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omments3.xml" ContentType="application/vnd.openxmlformats-officedocument.spreadsheetml.comments+xml"/>
  <Override PartName="/xl/pivotTables/pivotTable7.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hidePivotFieldList="1"/>
  <mc:AlternateContent xmlns:mc="http://schemas.openxmlformats.org/markup-compatibility/2006">
    <mc:Choice Requires="x15">
      <x15ac:absPath xmlns:x15ac="http://schemas.microsoft.com/office/spreadsheetml/2010/11/ac" url="C:\Users\877\Documents\Služby + dotace\Dotace\2020\Výsledky dotačního řízení\"/>
    </mc:Choice>
  </mc:AlternateContent>
  <bookViews>
    <workbookView xWindow="0" yWindow="0" windowWidth="16455" windowHeight="5745" firstSheet="1" activeTab="2"/>
  </bookViews>
  <sheets>
    <sheet name="žádosti MPSV 2020" sheetId="1" r:id="rId1"/>
    <sheet name="Hodnocení " sheetId="29" r:id="rId2"/>
    <sheet name="Hodnocení  pro  komisi a výbor" sheetId="31" r:id="rId3"/>
    <sheet name="Příloha MPSV" sheetId="32" r:id="rId4"/>
    <sheet name="HK-dotace 2020" sheetId="30" r:id="rId5"/>
    <sheet name="Výdaje obcí 2018" sheetId="25" r:id="rId6"/>
    <sheet name="Zdroje 2019 a 2020" sheetId="21" r:id="rId7"/>
    <sheet name="PnaPr2019" sheetId="22" r:id="rId8"/>
    <sheet name="PnaPr2020" sheetId="23" r:id="rId9"/>
    <sheet name="Náklady na ppp ER 2018" sheetId="20" r:id="rId10"/>
    <sheet name="ER VP 2018" sheetId="15" r:id="rId11"/>
    <sheet name="Průměrné mzdy 2018" sheetId="19" r:id="rId12"/>
    <sheet name="síť 2020" sheetId="5" r:id="rId13"/>
    <sheet name="Výpočet VP 2018" sheetId="17" r:id="rId14"/>
    <sheet name="Výpočet VP 2019" sheetId="10" r:id="rId15"/>
    <sheet name="Výpočet VP 2020" sheetId="9" r:id="rId16"/>
    <sheet name="MPSV 2019" sheetId="2" r:id="rId17"/>
    <sheet name="KHK 2019" sheetId="3" r:id="rId18"/>
    <sheet name="PZ 2019" sheetId="4" r:id="rId19"/>
    <sheet name="PZ 2018" sheetId="14" r:id="rId20"/>
    <sheet name="IP 2019" sheetId="13" r:id="rId21"/>
    <sheet name="IP5_2020" sheetId="7" r:id="rId22"/>
    <sheet name="IP6_2020" sheetId="8" r:id="rId23"/>
  </sheets>
  <externalReferences>
    <externalReference r:id="rId24"/>
    <externalReference r:id="rId25"/>
    <externalReference r:id="rId26"/>
  </externalReferences>
  <definedNames>
    <definedName name="_xlnm.Print_Titles" localSheetId="2">'Hodnocení  pro  komisi a výbor'!$B:$B</definedName>
    <definedName name="_xlnm.Print_Titles" localSheetId="3">'Příloha MPSV'!$1:$1</definedName>
    <definedName name="_xlnm.Print_Area" localSheetId="2">'Hodnocení  pro  komisi a výbor'!$B$1:$JI$165</definedName>
  </definedNames>
  <calcPr calcId="152511"/>
  <pivotCaches>
    <pivotCache cacheId="0" r:id="rId27"/>
    <pivotCache cacheId="1" r:id="rId28"/>
    <pivotCache cacheId="2" r:id="rId29"/>
    <pivotCache cacheId="3" r:id="rId30"/>
    <pivotCache cacheId="4" r:id="rId31"/>
    <pivotCache cacheId="5" r:id="rId32"/>
    <pivotCache cacheId="6" r:id="rId33"/>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G31" i="31" l="1"/>
  <c r="JG32" i="31"/>
  <c r="JG33" i="31"/>
  <c r="JG34" i="31"/>
  <c r="CG32" i="31"/>
  <c r="CG35" i="31"/>
  <c r="CI30" i="31"/>
  <c r="CI31" i="31"/>
  <c r="CI32" i="31"/>
  <c r="CI33" i="31"/>
  <c r="CG30" i="31"/>
  <c r="CB31" i="31"/>
  <c r="CB32" i="31"/>
  <c r="CB33" i="31"/>
  <c r="CL35" i="31"/>
  <c r="CL36" i="31"/>
  <c r="CD32" i="31"/>
  <c r="CD33" i="31"/>
  <c r="CD34" i="31"/>
  <c r="CD35" i="31"/>
  <c r="BY30" i="31"/>
  <c r="BY32" i="31"/>
  <c r="BY33" i="31"/>
  <c r="S31" i="31"/>
  <c r="S32" i="31"/>
  <c r="S33" i="31"/>
  <c r="S34" i="31"/>
  <c r="H31" i="31"/>
  <c r="H32" i="31"/>
  <c r="H33" i="31"/>
  <c r="I31" i="31"/>
  <c r="I32" i="31"/>
  <c r="I33" i="31"/>
  <c r="I34" i="31"/>
  <c r="G31" i="31"/>
  <c r="G32" i="31"/>
  <c r="G33" i="31"/>
  <c r="G34" i="31"/>
  <c r="F31" i="31"/>
  <c r="F32" i="31"/>
  <c r="F33" i="31"/>
  <c r="F34" i="31"/>
  <c r="E31" i="31"/>
  <c r="E32" i="31"/>
  <c r="E33" i="31"/>
  <c r="D31" i="31"/>
  <c r="D32" i="31"/>
  <c r="D33" i="31"/>
  <c r="C31" i="31"/>
  <c r="C32" i="31"/>
  <c r="C33" i="31"/>
  <c r="C34" i="31"/>
  <c r="DA35" i="31" l="1"/>
  <c r="CH35" i="31"/>
  <c r="AJ31" i="31"/>
  <c r="AJ32" i="31"/>
  <c r="AJ33" i="31"/>
  <c r="AI31" i="31"/>
  <c r="AI32" i="31"/>
  <c r="AI33" i="31"/>
  <c r="HD31" i="31"/>
  <c r="HD32" i="31"/>
  <c r="HD33" i="31"/>
  <c r="HE31" i="31"/>
  <c r="HE32" i="31"/>
  <c r="HE33" i="31"/>
  <c r="HE34" i="31"/>
  <c r="HA31" i="31"/>
  <c r="HA32" i="31"/>
  <c r="HA33" i="31"/>
  <c r="GW31" i="31"/>
  <c r="GW32" i="31"/>
  <c r="GW33" i="31"/>
  <c r="GN31" i="31"/>
  <c r="GN32" i="31"/>
  <c r="GN33" i="31"/>
  <c r="GM31" i="31"/>
  <c r="GM32" i="31"/>
  <c r="GM33" i="31"/>
  <c r="GL32" i="31"/>
  <c r="GL33" i="31"/>
  <c r="GK31" i="31"/>
  <c r="GK32" i="31"/>
  <c r="GK33" i="31"/>
  <c r="GI31" i="31"/>
  <c r="GI32" i="31"/>
  <c r="GI33" i="31"/>
  <c r="GD31" i="31"/>
  <c r="GD32" i="31"/>
  <c r="GD33" i="31"/>
  <c r="FZ31" i="31"/>
  <c r="FZ32" i="31"/>
  <c r="FZ33" i="31"/>
  <c r="FX31" i="31"/>
  <c r="FX32" i="31"/>
  <c r="FX33" i="31"/>
  <c r="FW31" i="31"/>
  <c r="FW32" i="31"/>
  <c r="FW33" i="31"/>
  <c r="FW34" i="31"/>
  <c r="FR31" i="31"/>
  <c r="FR32" i="31"/>
  <c r="FR33" i="31"/>
  <c r="FR34" i="31"/>
  <c r="FS31" i="31"/>
  <c r="FS32" i="31"/>
  <c r="FS33" i="31"/>
  <c r="FP31" i="31"/>
  <c r="FP32" i="31"/>
  <c r="FP33" i="31"/>
  <c r="FI31" i="31"/>
  <c r="FI32" i="31"/>
  <c r="FI33" i="31"/>
  <c r="FE31" i="31"/>
  <c r="FE32" i="31"/>
  <c r="FE33" i="31"/>
  <c r="FB31" i="31"/>
  <c r="FB32" i="31"/>
  <c r="FB33" i="31"/>
  <c r="EZ31" i="31"/>
  <c r="EZ32" i="31"/>
  <c r="EZ33" i="31"/>
  <c r="EZ34" i="31"/>
  <c r="EY31" i="31"/>
  <c r="EY32" i="31"/>
  <c r="EY33" i="31"/>
  <c r="JD35" i="31" l="1"/>
  <c r="JD34" i="31"/>
  <c r="JD33" i="31"/>
  <c r="JD32" i="31"/>
  <c r="JD31" i="31"/>
  <c r="HH31" i="31"/>
  <c r="HH32" i="31"/>
  <c r="HH33" i="31"/>
  <c r="HG31" i="31"/>
  <c r="HG32" i="31"/>
  <c r="HG33" i="31"/>
  <c r="EO31" i="31" l="1"/>
  <c r="EO32" i="31"/>
  <c r="EO33" i="31"/>
  <c r="EI31" i="31"/>
  <c r="EI32" i="31"/>
  <c r="EI33" i="31"/>
  <c r="DV31" i="31" l="1"/>
  <c r="DV32" i="31"/>
  <c r="DV33" i="31"/>
  <c r="DA31" i="31" l="1"/>
  <c r="DA32" i="31"/>
  <c r="DA33" i="31"/>
  <c r="CV31" i="31"/>
  <c r="CV32" i="31"/>
  <c r="CV33" i="31"/>
  <c r="CR31" i="31" l="1"/>
  <c r="CR32" i="31"/>
  <c r="CR33" i="31"/>
  <c r="BV31" i="31"/>
  <c r="BV32" i="31"/>
  <c r="BV33" i="31"/>
  <c r="BU31" i="31"/>
  <c r="BU32" i="31"/>
  <c r="BU33" i="31"/>
  <c r="BU34" i="31"/>
  <c r="BT31" i="31"/>
  <c r="BT32" i="31"/>
  <c r="BT33" i="31"/>
  <c r="BT34" i="31"/>
  <c r="BT35" i="31"/>
  <c r="BT36" i="31"/>
  <c r="BQ31" i="31"/>
  <c r="BQ32" i="31"/>
  <c r="BQ33" i="31"/>
  <c r="BP31" i="31"/>
  <c r="BP32" i="31"/>
  <c r="BP33" i="31"/>
  <c r="BM31" i="31"/>
  <c r="BM32" i="31"/>
  <c r="BM33" i="31"/>
  <c r="BM34" i="31"/>
  <c r="AX31" i="31"/>
  <c r="AX32" i="31"/>
  <c r="AX33" i="31"/>
  <c r="AV31" i="31"/>
  <c r="AV32" i="31"/>
  <c r="AV33" i="31"/>
  <c r="AR31" i="31"/>
  <c r="AR32" i="31"/>
  <c r="AR33" i="31"/>
  <c r="AP31" i="31"/>
  <c r="AP32" i="31"/>
  <c r="AP33" i="31"/>
  <c r="W31" i="31"/>
  <c r="W32" i="31"/>
  <c r="W33" i="31"/>
  <c r="W34" i="31"/>
  <c r="U31" i="31"/>
  <c r="U32" i="31"/>
  <c r="U33" i="31"/>
  <c r="U34" i="31"/>
  <c r="Z31" i="31"/>
  <c r="Z32" i="31"/>
  <c r="Z33" i="31"/>
  <c r="X31" i="31"/>
  <c r="X32" i="31"/>
  <c r="X33" i="31"/>
  <c r="X34" i="31"/>
  <c r="Y31" i="31" l="1"/>
  <c r="Y32" i="31"/>
  <c r="Y33" i="31"/>
  <c r="Y34" i="31"/>
  <c r="L31" i="31" l="1"/>
  <c r="L32" i="31"/>
  <c r="L33" i="31"/>
  <c r="JH31" i="31"/>
  <c r="JH32" i="31"/>
  <c r="JH33" i="31"/>
  <c r="HN31" i="31" l="1"/>
  <c r="HN32" i="31"/>
  <c r="HN33" i="31"/>
  <c r="IZ31" i="31"/>
  <c r="IZ32" i="31"/>
  <c r="IZ33" i="31"/>
  <c r="IG31" i="31"/>
  <c r="IG32" i="31"/>
  <c r="IG33" i="31"/>
  <c r="HL31" i="31"/>
  <c r="HL32" i="31"/>
  <c r="HL33" i="31"/>
  <c r="HP31" i="31"/>
  <c r="HP32" i="31"/>
  <c r="HP33" i="31"/>
  <c r="IY31" i="31"/>
  <c r="IY32" i="31"/>
  <c r="IY33" i="31"/>
  <c r="IN31" i="31"/>
  <c r="IN32" i="31"/>
  <c r="IN33" i="31"/>
  <c r="IK31" i="31"/>
  <c r="IK32" i="31"/>
  <c r="IK33" i="31"/>
  <c r="IJ31" i="31"/>
  <c r="IJ32" i="31"/>
  <c r="IJ33" i="31"/>
  <c r="IR31" i="31"/>
  <c r="IR32" i="31"/>
  <c r="IR33" i="31"/>
  <c r="IX31" i="31"/>
  <c r="IX32" i="31"/>
  <c r="IX33" i="31"/>
  <c r="IO31" i="31"/>
  <c r="IO32" i="31"/>
  <c r="IO33" i="31"/>
  <c r="IT31" i="31"/>
  <c r="IT32" i="31"/>
  <c r="IT33" i="31"/>
  <c r="HT31" i="31"/>
  <c r="HT32" i="31"/>
  <c r="HT33" i="31"/>
  <c r="IW31" i="31"/>
  <c r="IW32" i="31"/>
  <c r="IW33" i="31"/>
  <c r="II31" i="31"/>
  <c r="II32" i="31"/>
  <c r="II33" i="31"/>
  <c r="HX31" i="31"/>
  <c r="HX32" i="31"/>
  <c r="HX33" i="31"/>
  <c r="HU31" i="31"/>
  <c r="HU32" i="31"/>
  <c r="HU33" i="31"/>
  <c r="IS31" i="31"/>
  <c r="IS32" i="31"/>
  <c r="IS33" i="31"/>
  <c r="HV31" i="31"/>
  <c r="HV32" i="31"/>
  <c r="HV33" i="31"/>
  <c r="HZ31" i="31"/>
  <c r="HZ32" i="31"/>
  <c r="HZ33" i="31"/>
  <c r="HY31" i="31"/>
  <c r="HY32" i="31"/>
  <c r="HY33" i="31"/>
  <c r="IA31" i="31"/>
  <c r="IA32" i="31"/>
  <c r="IA33" i="31"/>
  <c r="IV31" i="31"/>
  <c r="IV32" i="31"/>
  <c r="IV33" i="31"/>
  <c r="IE31" i="31"/>
  <c r="IE32" i="31"/>
  <c r="IE33" i="31"/>
  <c r="IB31" i="31"/>
  <c r="IB32" i="31"/>
  <c r="IB33" i="31"/>
  <c r="IL31" i="31"/>
  <c r="IL32" i="31"/>
  <c r="IL33" i="31"/>
  <c r="IQ31" i="31"/>
  <c r="IQ32" i="31"/>
  <c r="IQ33" i="31"/>
  <c r="HQ32" i="31"/>
  <c r="HQ33" i="31"/>
  <c r="IU31" i="31"/>
  <c r="IU32" i="31"/>
  <c r="IU33" i="31"/>
  <c r="IP31" i="31"/>
  <c r="IP32" i="31"/>
  <c r="IP33" i="31"/>
  <c r="IH31" i="31"/>
  <c r="IH32" i="31"/>
  <c r="IH33" i="31"/>
  <c r="IF31" i="31"/>
  <c r="IF32" i="31"/>
  <c r="IF33" i="31"/>
  <c r="HO31" i="31"/>
  <c r="HO32" i="31"/>
  <c r="HO33" i="31"/>
  <c r="HR31" i="31"/>
  <c r="HR32" i="31"/>
  <c r="HR33" i="31"/>
  <c r="JF31" i="31"/>
  <c r="JF32" i="31"/>
  <c r="JF33" i="31"/>
  <c r="JE31" i="31"/>
  <c r="JE32" i="31"/>
  <c r="JE33" i="31"/>
  <c r="ID31" i="31"/>
  <c r="ID32" i="31"/>
  <c r="ID33" i="31"/>
  <c r="IC31" i="31"/>
  <c r="IC32" i="31"/>
  <c r="IC33" i="31"/>
  <c r="HW31" i="31" l="1"/>
  <c r="HW32" i="31"/>
  <c r="HW33" i="31"/>
  <c r="JH182" i="31" l="1"/>
  <c r="JH36" i="31" s="1"/>
  <c r="JG182" i="31"/>
  <c r="JG36" i="31" s="1"/>
  <c r="JF182" i="31"/>
  <c r="JF36" i="31" s="1"/>
  <c r="JE182" i="31"/>
  <c r="JE36" i="31" s="1"/>
  <c r="JD182" i="31"/>
  <c r="JD36" i="31" s="1"/>
  <c r="JC182" i="31"/>
  <c r="JC36" i="31" s="1"/>
  <c r="JB182" i="31"/>
  <c r="JB36" i="31" s="1"/>
  <c r="JA182" i="31"/>
  <c r="JA36" i="31" s="1"/>
  <c r="IZ182" i="31"/>
  <c r="IZ36" i="31" s="1"/>
  <c r="IY182" i="31"/>
  <c r="IY36" i="31" s="1"/>
  <c r="IX182" i="31"/>
  <c r="IX36" i="31" s="1"/>
  <c r="IW182" i="31"/>
  <c r="IW36" i="31" s="1"/>
  <c r="IV182" i="31"/>
  <c r="IV36" i="31" s="1"/>
  <c r="IU182" i="31"/>
  <c r="IU36" i="31" s="1"/>
  <c r="IT182" i="31"/>
  <c r="IT36" i="31" s="1"/>
  <c r="IS182" i="31"/>
  <c r="IS36" i="31" s="1"/>
  <c r="IR182" i="31"/>
  <c r="IR36" i="31" s="1"/>
  <c r="IQ182" i="31"/>
  <c r="IQ36" i="31" s="1"/>
  <c r="IP182" i="31"/>
  <c r="IP36" i="31" s="1"/>
  <c r="IO182" i="31"/>
  <c r="IO36" i="31" s="1"/>
  <c r="IN182" i="31"/>
  <c r="IN36" i="31" s="1"/>
  <c r="IM182" i="31"/>
  <c r="IM36" i="31" s="1"/>
  <c r="IL182" i="31"/>
  <c r="IL36" i="31" s="1"/>
  <c r="IK182" i="31"/>
  <c r="IK36" i="31" s="1"/>
  <c r="IJ182" i="31"/>
  <c r="IJ36" i="31" s="1"/>
  <c r="II182" i="31"/>
  <c r="II36" i="31" s="1"/>
  <c r="IH182" i="31"/>
  <c r="IH36" i="31" s="1"/>
  <c r="IG182" i="31"/>
  <c r="IG36" i="31" s="1"/>
  <c r="IF182" i="31"/>
  <c r="IF36" i="31" s="1"/>
  <c r="IE182" i="31"/>
  <c r="IE36" i="31" s="1"/>
  <c r="ID182" i="31"/>
  <c r="ID36" i="31" s="1"/>
  <c r="IC182" i="31"/>
  <c r="IC36" i="31" s="1"/>
  <c r="IB182" i="31"/>
  <c r="IB36" i="31" s="1"/>
  <c r="IA182" i="31"/>
  <c r="IA36" i="31" s="1"/>
  <c r="HZ182" i="31"/>
  <c r="HZ36" i="31" s="1"/>
  <c r="HY182" i="31"/>
  <c r="HY36" i="31" s="1"/>
  <c r="HX182" i="31"/>
  <c r="HX36" i="31" s="1"/>
  <c r="HW182" i="31"/>
  <c r="HW36" i="31" s="1"/>
  <c r="HV182" i="31"/>
  <c r="HV36" i="31" s="1"/>
  <c r="HU182" i="31"/>
  <c r="HU36" i="31" s="1"/>
  <c r="HT182" i="31"/>
  <c r="HT36" i="31" s="1"/>
  <c r="HS182" i="31"/>
  <c r="HS36" i="31" s="1"/>
  <c r="HR182" i="31"/>
  <c r="HR36" i="31" s="1"/>
  <c r="HQ182" i="31"/>
  <c r="HQ36" i="31" s="1"/>
  <c r="HP182" i="31"/>
  <c r="HP36" i="31" s="1"/>
  <c r="HO182" i="31"/>
  <c r="HO36" i="31" s="1"/>
  <c r="HN182" i="31"/>
  <c r="HN36" i="31" s="1"/>
  <c r="HM182" i="31"/>
  <c r="HM36" i="31" s="1"/>
  <c r="HL182" i="31"/>
  <c r="HL36" i="31" s="1"/>
  <c r="HK182" i="31"/>
  <c r="HK36" i="31" s="1"/>
  <c r="HJ182" i="31"/>
  <c r="HJ36" i="31" s="1"/>
  <c r="HI182" i="31"/>
  <c r="HI36" i="31" s="1"/>
  <c r="HH182" i="31"/>
  <c r="HH36" i="31" s="1"/>
  <c r="HG182" i="31"/>
  <c r="HG36" i="31" s="1"/>
  <c r="HF182" i="31"/>
  <c r="HF36" i="31" s="1"/>
  <c r="HE182" i="31"/>
  <c r="HE36" i="31" s="1"/>
  <c r="HD182" i="31"/>
  <c r="HD36" i="31" s="1"/>
  <c r="HC182" i="31"/>
  <c r="HC36" i="31" s="1"/>
  <c r="HB182" i="31"/>
  <c r="HB36" i="31" s="1"/>
  <c r="HA182" i="31"/>
  <c r="HA36" i="31" s="1"/>
  <c r="GZ182" i="31"/>
  <c r="GZ36" i="31" s="1"/>
  <c r="GY182" i="31"/>
  <c r="GY36" i="31" s="1"/>
  <c r="GX182" i="31"/>
  <c r="GX36" i="31" s="1"/>
  <c r="GW182" i="31"/>
  <c r="GW36" i="31" s="1"/>
  <c r="GV182" i="31"/>
  <c r="GV36" i="31" s="1"/>
  <c r="GU182" i="31"/>
  <c r="GU36" i="31" s="1"/>
  <c r="GT182" i="31"/>
  <c r="GT36" i="31" s="1"/>
  <c r="GS182" i="31"/>
  <c r="GS36" i="31" s="1"/>
  <c r="GR182" i="31"/>
  <c r="GR36" i="31" s="1"/>
  <c r="GQ182" i="31"/>
  <c r="GQ36" i="31" s="1"/>
  <c r="GP182" i="31"/>
  <c r="GP36" i="31" s="1"/>
  <c r="GO182" i="31"/>
  <c r="GO36" i="31" s="1"/>
  <c r="GN182" i="31"/>
  <c r="GN36" i="31" s="1"/>
  <c r="GM182" i="31"/>
  <c r="GM36" i="31" s="1"/>
  <c r="GL182" i="31"/>
  <c r="GL36" i="31" s="1"/>
  <c r="GK182" i="31"/>
  <c r="GK36" i="31" s="1"/>
  <c r="GJ182" i="31"/>
  <c r="GJ36" i="31" s="1"/>
  <c r="GI182" i="31"/>
  <c r="GI36" i="31" s="1"/>
  <c r="GH182" i="31"/>
  <c r="GH36" i="31" s="1"/>
  <c r="GG182" i="31"/>
  <c r="GG36" i="31" s="1"/>
  <c r="GF182" i="31"/>
  <c r="GF36" i="31" s="1"/>
  <c r="GE182" i="31"/>
  <c r="GE36" i="31" s="1"/>
  <c r="GD182" i="31"/>
  <c r="GD36" i="31" s="1"/>
  <c r="GC182" i="31"/>
  <c r="GC36" i="31" s="1"/>
  <c r="GB182" i="31"/>
  <c r="GB36" i="31" s="1"/>
  <c r="GA182" i="31"/>
  <c r="GA36" i="31" s="1"/>
  <c r="FZ182" i="31"/>
  <c r="FZ36" i="31" s="1"/>
  <c r="FY182" i="31"/>
  <c r="FY36" i="31" s="1"/>
  <c r="FX182" i="31"/>
  <c r="FX36" i="31" s="1"/>
  <c r="FW182" i="31"/>
  <c r="FW36" i="31" s="1"/>
  <c r="FV182" i="31"/>
  <c r="FV36" i="31" s="1"/>
  <c r="FU182" i="31"/>
  <c r="FU36" i="31" s="1"/>
  <c r="FT182" i="31"/>
  <c r="FT36" i="31" s="1"/>
  <c r="FS182" i="31"/>
  <c r="FS36" i="31" s="1"/>
  <c r="FR182" i="31"/>
  <c r="FR36" i="31" s="1"/>
  <c r="FQ182" i="31"/>
  <c r="FQ36" i="31" s="1"/>
  <c r="FP182" i="31"/>
  <c r="FP36" i="31" s="1"/>
  <c r="FO182" i="31"/>
  <c r="FO36" i="31" s="1"/>
  <c r="FN182" i="31"/>
  <c r="FN36" i="31" s="1"/>
  <c r="FM182" i="31"/>
  <c r="FM36" i="31" s="1"/>
  <c r="FL182" i="31"/>
  <c r="FL36" i="31" s="1"/>
  <c r="FK182" i="31"/>
  <c r="FK36" i="31" s="1"/>
  <c r="FJ182" i="31"/>
  <c r="FJ36" i="31" s="1"/>
  <c r="FI182" i="31"/>
  <c r="FI36" i="31" s="1"/>
  <c r="FH182" i="31"/>
  <c r="FH36" i="31" s="1"/>
  <c r="FG182" i="31"/>
  <c r="FG36" i="31" s="1"/>
  <c r="FF182" i="31"/>
  <c r="FF36" i="31" s="1"/>
  <c r="FE182" i="31"/>
  <c r="FE36" i="31" s="1"/>
  <c r="FD182" i="31"/>
  <c r="FD36" i="31" s="1"/>
  <c r="FC182" i="31"/>
  <c r="FC36" i="31" s="1"/>
  <c r="FB182" i="31"/>
  <c r="FB36" i="31" s="1"/>
  <c r="FA182" i="31"/>
  <c r="FA36" i="31" s="1"/>
  <c r="EZ182" i="31"/>
  <c r="EZ36" i="31" s="1"/>
  <c r="EY182" i="31"/>
  <c r="EY36" i="31" s="1"/>
  <c r="EX182" i="31"/>
  <c r="EX36" i="31" s="1"/>
  <c r="EW182" i="31"/>
  <c r="EW36" i="31" s="1"/>
  <c r="EV182" i="31"/>
  <c r="EV36" i="31" s="1"/>
  <c r="EU182" i="31"/>
  <c r="EU36" i="31" s="1"/>
  <c r="ET182" i="31"/>
  <c r="ET36" i="31" s="1"/>
  <c r="ES182" i="31"/>
  <c r="ES36" i="31" s="1"/>
  <c r="ER182" i="31"/>
  <c r="ER36" i="31" s="1"/>
  <c r="EQ182" i="31"/>
  <c r="EQ36" i="31" s="1"/>
  <c r="EP182" i="31"/>
  <c r="EP36" i="31" s="1"/>
  <c r="EO182" i="31"/>
  <c r="EO36" i="31" s="1"/>
  <c r="EN182" i="31"/>
  <c r="EN36" i="31" s="1"/>
  <c r="EM182" i="31"/>
  <c r="EM36" i="31" s="1"/>
  <c r="EL182" i="31"/>
  <c r="EL36" i="31" s="1"/>
  <c r="EK182" i="31"/>
  <c r="EK36" i="31" s="1"/>
  <c r="EJ182" i="31"/>
  <c r="EJ36" i="31" s="1"/>
  <c r="EI182" i="31"/>
  <c r="EI36" i="31" s="1"/>
  <c r="EH182" i="31"/>
  <c r="EH36" i="31" s="1"/>
  <c r="EG182" i="31"/>
  <c r="EG36" i="31" s="1"/>
  <c r="EF182" i="31"/>
  <c r="EF36" i="31" s="1"/>
  <c r="EE182" i="31"/>
  <c r="EE36" i="31" s="1"/>
  <c r="ED182" i="31"/>
  <c r="ED36" i="31" s="1"/>
  <c r="EC182" i="31"/>
  <c r="EC36" i="31" s="1"/>
  <c r="EB182" i="31"/>
  <c r="EB36" i="31" s="1"/>
  <c r="EA182" i="31"/>
  <c r="EA36" i="31" s="1"/>
  <c r="DZ182" i="31"/>
  <c r="DZ36" i="31" s="1"/>
  <c r="DY182" i="31"/>
  <c r="DY36" i="31" s="1"/>
  <c r="DX182" i="31"/>
  <c r="DX36" i="31" s="1"/>
  <c r="DW182" i="31"/>
  <c r="DW36" i="31" s="1"/>
  <c r="DV182" i="31"/>
  <c r="DV36" i="31" s="1"/>
  <c r="DU182" i="31"/>
  <c r="DU36" i="31" s="1"/>
  <c r="DT182" i="31"/>
  <c r="DT36" i="31" s="1"/>
  <c r="DS182" i="31"/>
  <c r="DS36" i="31" s="1"/>
  <c r="DR182" i="31"/>
  <c r="DR36" i="31" s="1"/>
  <c r="DQ182" i="31"/>
  <c r="DQ36" i="31" s="1"/>
  <c r="DP182" i="31"/>
  <c r="DP36" i="31" s="1"/>
  <c r="DO182" i="31"/>
  <c r="DO36" i="31" s="1"/>
  <c r="DN182" i="31"/>
  <c r="DN36" i="31" s="1"/>
  <c r="DM182" i="31"/>
  <c r="DM36" i="31" s="1"/>
  <c r="DL182" i="31"/>
  <c r="DL36" i="31" s="1"/>
  <c r="DK182" i="31"/>
  <c r="DK36" i="31" s="1"/>
  <c r="DJ182" i="31"/>
  <c r="DJ36" i="31" s="1"/>
  <c r="DI182" i="31"/>
  <c r="DI36" i="31" s="1"/>
  <c r="DH182" i="31"/>
  <c r="DH36" i="31" s="1"/>
  <c r="DG182" i="31"/>
  <c r="DG36" i="31" s="1"/>
  <c r="DF182" i="31"/>
  <c r="DF36" i="31" s="1"/>
  <c r="DE182" i="31"/>
  <c r="DE36" i="31" s="1"/>
  <c r="DD182" i="31"/>
  <c r="DD36" i="31" s="1"/>
  <c r="DC182" i="31"/>
  <c r="DC36" i="31" s="1"/>
  <c r="DB182" i="31"/>
  <c r="DB36" i="31" s="1"/>
  <c r="DA182" i="31"/>
  <c r="DA36" i="31" s="1"/>
  <c r="CZ182" i="31"/>
  <c r="CZ36" i="31" s="1"/>
  <c r="CY182" i="31"/>
  <c r="CY36" i="31" s="1"/>
  <c r="CX182" i="31"/>
  <c r="CX36" i="31" s="1"/>
  <c r="CW182" i="31"/>
  <c r="CW36" i="31" s="1"/>
  <c r="CV182" i="31"/>
  <c r="CV36" i="31" s="1"/>
  <c r="CU182" i="31"/>
  <c r="CU36" i="31" s="1"/>
  <c r="CT182" i="31"/>
  <c r="CT36" i="31" s="1"/>
  <c r="CS182" i="31"/>
  <c r="CS36" i="31" s="1"/>
  <c r="CR182" i="31"/>
  <c r="CR36" i="31" s="1"/>
  <c r="CQ182" i="31"/>
  <c r="CQ36" i="31" s="1"/>
  <c r="CP182" i="31"/>
  <c r="CP36" i="31" s="1"/>
  <c r="CO182" i="31"/>
  <c r="CO36" i="31" s="1"/>
  <c r="CN182" i="31"/>
  <c r="CN36" i="31" s="1"/>
  <c r="CM182" i="31"/>
  <c r="CM36" i="31" s="1"/>
  <c r="CL182" i="31"/>
  <c r="CK182" i="31"/>
  <c r="CK36" i="31" s="1"/>
  <c r="CJ182" i="31"/>
  <c r="CJ36" i="31" s="1"/>
  <c r="CI182" i="31"/>
  <c r="CI36" i="31" s="1"/>
  <c r="CH182" i="31"/>
  <c r="CH36" i="31" s="1"/>
  <c r="CG182" i="31"/>
  <c r="CG36" i="31" s="1"/>
  <c r="CF182" i="31"/>
  <c r="CF36" i="31" s="1"/>
  <c r="CE182" i="31"/>
  <c r="CE36" i="31" s="1"/>
  <c r="CD182" i="31"/>
  <c r="CD36" i="31" s="1"/>
  <c r="CC182" i="31"/>
  <c r="CC36" i="31" s="1"/>
  <c r="CB182" i="31"/>
  <c r="CB36" i="31" s="1"/>
  <c r="CA182" i="31"/>
  <c r="CA36" i="31" s="1"/>
  <c r="BZ182" i="31"/>
  <c r="BZ36" i="31" s="1"/>
  <c r="BY182" i="31"/>
  <c r="BY36" i="31" s="1"/>
  <c r="BX182" i="31"/>
  <c r="BX36" i="31" s="1"/>
  <c r="BW182" i="31"/>
  <c r="BW36" i="31" s="1"/>
  <c r="BV182" i="31"/>
  <c r="BV36" i="31" s="1"/>
  <c r="BU182" i="31"/>
  <c r="BU36" i="31" s="1"/>
  <c r="BT182" i="31"/>
  <c r="BS182" i="31"/>
  <c r="BS36" i="31" s="1"/>
  <c r="BR182" i="31"/>
  <c r="BR36" i="31" s="1"/>
  <c r="BQ182" i="31"/>
  <c r="BQ36" i="31" s="1"/>
  <c r="BP182" i="31"/>
  <c r="BP36" i="31" s="1"/>
  <c r="BO182" i="31"/>
  <c r="BO36" i="31" s="1"/>
  <c r="BN182" i="31"/>
  <c r="BN36" i="31" s="1"/>
  <c r="BM182" i="31"/>
  <c r="BM36" i="31" s="1"/>
  <c r="BL182" i="31"/>
  <c r="BL36" i="31" s="1"/>
  <c r="BK182" i="31"/>
  <c r="BK36" i="31" s="1"/>
  <c r="BJ182" i="31"/>
  <c r="BJ36" i="31" s="1"/>
  <c r="BI182" i="31"/>
  <c r="BI36" i="31" s="1"/>
  <c r="BH182" i="31"/>
  <c r="BH36" i="31" s="1"/>
  <c r="BG182" i="31"/>
  <c r="BG36" i="31" s="1"/>
  <c r="BF182" i="31"/>
  <c r="BF36" i="31" s="1"/>
  <c r="BE182" i="31"/>
  <c r="BE36" i="31" s="1"/>
  <c r="BD182" i="31"/>
  <c r="BD36" i="31" s="1"/>
  <c r="BC182" i="31"/>
  <c r="BC36" i="31" s="1"/>
  <c r="BB182" i="31"/>
  <c r="BB36" i="31" s="1"/>
  <c r="BA182" i="31"/>
  <c r="BA36" i="31" s="1"/>
  <c r="AZ182" i="31"/>
  <c r="AZ36" i="31" s="1"/>
  <c r="AY182" i="31"/>
  <c r="AY36" i="31" s="1"/>
  <c r="AX182" i="31"/>
  <c r="AX36" i="31" s="1"/>
  <c r="AW182" i="31"/>
  <c r="AW36" i="31" s="1"/>
  <c r="AV182" i="31"/>
  <c r="AV36" i="31" s="1"/>
  <c r="AU182" i="31"/>
  <c r="AU36" i="31" s="1"/>
  <c r="AT182" i="31"/>
  <c r="AT36" i="31" s="1"/>
  <c r="AS182" i="31"/>
  <c r="AS36" i="31" s="1"/>
  <c r="AR182" i="31"/>
  <c r="AR36" i="31" s="1"/>
  <c r="AQ182" i="31"/>
  <c r="AQ36" i="31" s="1"/>
  <c r="AP182" i="31"/>
  <c r="AP36" i="31" s="1"/>
  <c r="AO182" i="31"/>
  <c r="AO36" i="31" s="1"/>
  <c r="AN182" i="31"/>
  <c r="AN36" i="31" s="1"/>
  <c r="AM182" i="31"/>
  <c r="AM36" i="31" s="1"/>
  <c r="AL182" i="31"/>
  <c r="AL36" i="31" s="1"/>
  <c r="AK182" i="31"/>
  <c r="AK36" i="31" s="1"/>
  <c r="AJ182" i="31"/>
  <c r="AJ36" i="31" s="1"/>
  <c r="AI182" i="31"/>
  <c r="AI36" i="31" s="1"/>
  <c r="AH182" i="31"/>
  <c r="AH36" i="31" s="1"/>
  <c r="AG182" i="31"/>
  <c r="AG36" i="31" s="1"/>
  <c r="AF182" i="31"/>
  <c r="AF36" i="31" s="1"/>
  <c r="AE182" i="31"/>
  <c r="AE36" i="31" s="1"/>
  <c r="AD182" i="31"/>
  <c r="AD36" i="31" s="1"/>
  <c r="AC182" i="31"/>
  <c r="AC36" i="31" s="1"/>
  <c r="AB182" i="31"/>
  <c r="AB36" i="31" s="1"/>
  <c r="AA182" i="31"/>
  <c r="AA36" i="31" s="1"/>
  <c r="Z182" i="31"/>
  <c r="Z36" i="31" s="1"/>
  <c r="Y182" i="31"/>
  <c r="Y36" i="31" s="1"/>
  <c r="X182" i="31"/>
  <c r="X36" i="31" s="1"/>
  <c r="W182" i="31"/>
  <c r="W36" i="31" s="1"/>
  <c r="V182" i="31"/>
  <c r="V36" i="31" s="1"/>
  <c r="U182" i="31"/>
  <c r="U36" i="31" s="1"/>
  <c r="T182" i="31"/>
  <c r="T36" i="31" s="1"/>
  <c r="S182" i="31"/>
  <c r="S36" i="31" s="1"/>
  <c r="R182" i="31"/>
  <c r="R36" i="31" s="1"/>
  <c r="Q182" i="31"/>
  <c r="Q36" i="31" s="1"/>
  <c r="P182" i="31"/>
  <c r="P36" i="31" s="1"/>
  <c r="O182" i="31"/>
  <c r="O36" i="31" s="1"/>
  <c r="N182" i="31"/>
  <c r="N36" i="31" s="1"/>
  <c r="M182" i="31"/>
  <c r="M36" i="31" s="1"/>
  <c r="L182" i="31"/>
  <c r="L36" i="31" s="1"/>
  <c r="K182" i="31"/>
  <c r="K36" i="31" s="1"/>
  <c r="J182" i="31"/>
  <c r="J36" i="31" s="1"/>
  <c r="I182" i="31"/>
  <c r="I36" i="31" s="1"/>
  <c r="H182" i="31"/>
  <c r="H36" i="31" s="1"/>
  <c r="G182" i="31"/>
  <c r="G36" i="31" s="1"/>
  <c r="F182" i="31"/>
  <c r="F36" i="31" s="1"/>
  <c r="E182" i="31"/>
  <c r="E36" i="31" s="1"/>
  <c r="D182" i="31"/>
  <c r="D36" i="31" s="1"/>
  <c r="JH181" i="31"/>
  <c r="JG181" i="31"/>
  <c r="JG35" i="31" s="1"/>
  <c r="JF181" i="31"/>
  <c r="JF35" i="31" s="1"/>
  <c r="JE181" i="31"/>
  <c r="JE35" i="31" s="1"/>
  <c r="JD181" i="31"/>
  <c r="JC181" i="31"/>
  <c r="JC35" i="31" s="1"/>
  <c r="JB181" i="31"/>
  <c r="JB35" i="31" s="1"/>
  <c r="JA181" i="31"/>
  <c r="JA35" i="31" s="1"/>
  <c r="IZ181" i="31"/>
  <c r="IZ35" i="31" s="1"/>
  <c r="IY181" i="31"/>
  <c r="IY35" i="31" s="1"/>
  <c r="IX181" i="31"/>
  <c r="IX35" i="31" s="1"/>
  <c r="IW181" i="31"/>
  <c r="IW35" i="31" s="1"/>
  <c r="IV181" i="31"/>
  <c r="IV35" i="31" s="1"/>
  <c r="IU181" i="31"/>
  <c r="IU35" i="31" s="1"/>
  <c r="IT181" i="31"/>
  <c r="IT35" i="31" s="1"/>
  <c r="IS181" i="31"/>
  <c r="IS35" i="31" s="1"/>
  <c r="IR181" i="31"/>
  <c r="IR35" i="31" s="1"/>
  <c r="IQ181" i="31"/>
  <c r="IQ35" i="31" s="1"/>
  <c r="IP181" i="31"/>
  <c r="IP35" i="31" s="1"/>
  <c r="IO181" i="31"/>
  <c r="IO35" i="31" s="1"/>
  <c r="IN181" i="31"/>
  <c r="IN35" i="31" s="1"/>
  <c r="IM181" i="31"/>
  <c r="IM35" i="31" s="1"/>
  <c r="IL181" i="31"/>
  <c r="IL35" i="31" s="1"/>
  <c r="IK181" i="31"/>
  <c r="IK35" i="31" s="1"/>
  <c r="IJ181" i="31"/>
  <c r="IJ35" i="31" s="1"/>
  <c r="II181" i="31"/>
  <c r="II35" i="31" s="1"/>
  <c r="IH181" i="31"/>
  <c r="IH35" i="31" s="1"/>
  <c r="IG181" i="31"/>
  <c r="IG35" i="31" s="1"/>
  <c r="IF181" i="31"/>
  <c r="IF35" i="31" s="1"/>
  <c r="IE181" i="31"/>
  <c r="IE35" i="31" s="1"/>
  <c r="ID181" i="31"/>
  <c r="ID35" i="31" s="1"/>
  <c r="IC181" i="31"/>
  <c r="IC35" i="31" s="1"/>
  <c r="IB181" i="31"/>
  <c r="IB35" i="31" s="1"/>
  <c r="IA181" i="31"/>
  <c r="IA35" i="31" s="1"/>
  <c r="HZ181" i="31"/>
  <c r="HZ35" i="31" s="1"/>
  <c r="HY181" i="31"/>
  <c r="HY35" i="31" s="1"/>
  <c r="HX181" i="31"/>
  <c r="HX35" i="31" s="1"/>
  <c r="HW181" i="31"/>
  <c r="HW35" i="31" s="1"/>
  <c r="HV181" i="31"/>
  <c r="HV35" i="31" s="1"/>
  <c r="HU181" i="31"/>
  <c r="HU35" i="31" s="1"/>
  <c r="HT181" i="31"/>
  <c r="HT35" i="31" s="1"/>
  <c r="HS181" i="31"/>
  <c r="HS35" i="31" s="1"/>
  <c r="HR181" i="31"/>
  <c r="HR35" i="31" s="1"/>
  <c r="HQ181" i="31"/>
  <c r="HQ35" i="31" s="1"/>
  <c r="HP181" i="31"/>
  <c r="HP35" i="31" s="1"/>
  <c r="HO181" i="31"/>
  <c r="HO35" i="31" s="1"/>
  <c r="HN181" i="31"/>
  <c r="HN35" i="31" s="1"/>
  <c r="HM181" i="31"/>
  <c r="HM35" i="31" s="1"/>
  <c r="HL181" i="31"/>
  <c r="HL35" i="31" s="1"/>
  <c r="HK181" i="31"/>
  <c r="HK35" i="31" s="1"/>
  <c r="HJ181" i="31"/>
  <c r="HJ35" i="31" s="1"/>
  <c r="HI181" i="31"/>
  <c r="HI35" i="31" s="1"/>
  <c r="HH181" i="31"/>
  <c r="HH35" i="31" s="1"/>
  <c r="HG181" i="31"/>
  <c r="HG35" i="31" s="1"/>
  <c r="HF181" i="31"/>
  <c r="HF35" i="31" s="1"/>
  <c r="HE181" i="31"/>
  <c r="HE35" i="31" s="1"/>
  <c r="HD181" i="31"/>
  <c r="HD35" i="31" s="1"/>
  <c r="HC181" i="31"/>
  <c r="HC35" i="31" s="1"/>
  <c r="HB181" i="31"/>
  <c r="HB35" i="31" s="1"/>
  <c r="HA181" i="31"/>
  <c r="HA35" i="31" s="1"/>
  <c r="GZ181" i="31"/>
  <c r="GZ35" i="31" s="1"/>
  <c r="GY181" i="31"/>
  <c r="GY35" i="31" s="1"/>
  <c r="GX181" i="31"/>
  <c r="GX35" i="31" s="1"/>
  <c r="GW181" i="31"/>
  <c r="GW35" i="31" s="1"/>
  <c r="GV181" i="31"/>
  <c r="GV35" i="31" s="1"/>
  <c r="GU181" i="31"/>
  <c r="GU35" i="31" s="1"/>
  <c r="GT181" i="31"/>
  <c r="GT35" i="31" s="1"/>
  <c r="GS181" i="31"/>
  <c r="GS35" i="31" s="1"/>
  <c r="GR181" i="31"/>
  <c r="GR35" i="31" s="1"/>
  <c r="GQ181" i="31"/>
  <c r="GQ35" i="31" s="1"/>
  <c r="GP181" i="31"/>
  <c r="GP35" i="31" s="1"/>
  <c r="GO181" i="31"/>
  <c r="GO35" i="31" s="1"/>
  <c r="GN181" i="31"/>
  <c r="GN35" i="31" s="1"/>
  <c r="GM181" i="31"/>
  <c r="GM35" i="31" s="1"/>
  <c r="GL181" i="31"/>
  <c r="GL35" i="31" s="1"/>
  <c r="GK181" i="31"/>
  <c r="GK35" i="31" s="1"/>
  <c r="GJ181" i="31"/>
  <c r="GJ35" i="31" s="1"/>
  <c r="GI181" i="31"/>
  <c r="GI35" i="31" s="1"/>
  <c r="GH181" i="31"/>
  <c r="GH35" i="31" s="1"/>
  <c r="GG181" i="31"/>
  <c r="GG35" i="31" s="1"/>
  <c r="GF181" i="31"/>
  <c r="GF35" i="31" s="1"/>
  <c r="GE181" i="31"/>
  <c r="GE35" i="31" s="1"/>
  <c r="GD181" i="31"/>
  <c r="GD35" i="31" s="1"/>
  <c r="GC181" i="31"/>
  <c r="GC35" i="31" s="1"/>
  <c r="GB181" i="31"/>
  <c r="GB35" i="31" s="1"/>
  <c r="GA181" i="31"/>
  <c r="GA35" i="31" s="1"/>
  <c r="FZ181" i="31"/>
  <c r="FZ35" i="31" s="1"/>
  <c r="FY181" i="31"/>
  <c r="FY35" i="31" s="1"/>
  <c r="FX181" i="31"/>
  <c r="FX35" i="31" s="1"/>
  <c r="FW181" i="31"/>
  <c r="FW35" i="31" s="1"/>
  <c r="FV181" i="31"/>
  <c r="FV35" i="31" s="1"/>
  <c r="FU181" i="31"/>
  <c r="FU35" i="31" s="1"/>
  <c r="FT181" i="31"/>
  <c r="FT35" i="31" s="1"/>
  <c r="FS181" i="31"/>
  <c r="FS35" i="31" s="1"/>
  <c r="FR181" i="31"/>
  <c r="FR35" i="31" s="1"/>
  <c r="FQ181" i="31"/>
  <c r="FQ35" i="31" s="1"/>
  <c r="FP181" i="31"/>
  <c r="FP35" i="31" s="1"/>
  <c r="FO181" i="31"/>
  <c r="FO35" i="31" s="1"/>
  <c r="FN181" i="31"/>
  <c r="FN35" i="31" s="1"/>
  <c r="FM181" i="31"/>
  <c r="FM35" i="31" s="1"/>
  <c r="FL181" i="31"/>
  <c r="FL35" i="31" s="1"/>
  <c r="FK181" i="31"/>
  <c r="FK35" i="31" s="1"/>
  <c r="FJ181" i="31"/>
  <c r="FJ35" i="31" s="1"/>
  <c r="FI181" i="31"/>
  <c r="FI35" i="31" s="1"/>
  <c r="FH181" i="31"/>
  <c r="FH35" i="31" s="1"/>
  <c r="FG181" i="31"/>
  <c r="FG35" i="31" s="1"/>
  <c r="FF181" i="31"/>
  <c r="FF35" i="31" s="1"/>
  <c r="FE181" i="31"/>
  <c r="FE35" i="31" s="1"/>
  <c r="FD181" i="31"/>
  <c r="FD35" i="31" s="1"/>
  <c r="FC181" i="31"/>
  <c r="FC35" i="31" s="1"/>
  <c r="FB181" i="31"/>
  <c r="FB35" i="31" s="1"/>
  <c r="FA181" i="31"/>
  <c r="EZ181" i="31"/>
  <c r="EZ35" i="31" s="1"/>
  <c r="EY181" i="31"/>
  <c r="EY35" i="31" s="1"/>
  <c r="EX181" i="31"/>
  <c r="EX35" i="31" s="1"/>
  <c r="EW181" i="31"/>
  <c r="EW35" i="31" s="1"/>
  <c r="EV181" i="31"/>
  <c r="EV35" i="31" s="1"/>
  <c r="EU181" i="31"/>
  <c r="EU35" i="31" s="1"/>
  <c r="ET181" i="31"/>
  <c r="ET35" i="31" s="1"/>
  <c r="ES181" i="31"/>
  <c r="ES35" i="31" s="1"/>
  <c r="ER181" i="31"/>
  <c r="ER35" i="31" s="1"/>
  <c r="EQ181" i="31"/>
  <c r="EQ35" i="31" s="1"/>
  <c r="EP181" i="31"/>
  <c r="EP35" i="31" s="1"/>
  <c r="EO181" i="31"/>
  <c r="EO35" i="31" s="1"/>
  <c r="EN181" i="31"/>
  <c r="EM181" i="31"/>
  <c r="EM35" i="31" s="1"/>
  <c r="EL181" i="31"/>
  <c r="EL35" i="31" s="1"/>
  <c r="EK181" i="31"/>
  <c r="EK35" i="31" s="1"/>
  <c r="EJ181" i="31"/>
  <c r="EJ35" i="31" s="1"/>
  <c r="EI181" i="31"/>
  <c r="EI35" i="31" s="1"/>
  <c r="EH181" i="31"/>
  <c r="EH35" i="31" s="1"/>
  <c r="EG181" i="31"/>
  <c r="EG35" i="31" s="1"/>
  <c r="EF181" i="31"/>
  <c r="EF35" i="31" s="1"/>
  <c r="EE181" i="31"/>
  <c r="EE35" i="31" s="1"/>
  <c r="ED181" i="31"/>
  <c r="ED35" i="31" s="1"/>
  <c r="EC181" i="31"/>
  <c r="EC35" i="31" s="1"/>
  <c r="EB181" i="31"/>
  <c r="EB35" i="31" s="1"/>
  <c r="EA181" i="31"/>
  <c r="EA35" i="31" s="1"/>
  <c r="DZ181" i="31"/>
  <c r="DZ35" i="31" s="1"/>
  <c r="DY181" i="31"/>
  <c r="DY35" i="31" s="1"/>
  <c r="DX181" i="31"/>
  <c r="DX35" i="31" s="1"/>
  <c r="DW181" i="31"/>
  <c r="DW35" i="31" s="1"/>
  <c r="DV181" i="31"/>
  <c r="DV35" i="31" s="1"/>
  <c r="DU181" i="31"/>
  <c r="DU35" i="31" s="1"/>
  <c r="DT181" i="31"/>
  <c r="DT35" i="31" s="1"/>
  <c r="DS181" i="31"/>
  <c r="DS35" i="31" s="1"/>
  <c r="DR181" i="31"/>
  <c r="DR35" i="31" s="1"/>
  <c r="DQ181" i="31"/>
  <c r="DQ35" i="31" s="1"/>
  <c r="DP181" i="31"/>
  <c r="DP35" i="31" s="1"/>
  <c r="DO181" i="31"/>
  <c r="DO35" i="31" s="1"/>
  <c r="DN181" i="31"/>
  <c r="DN35" i="31" s="1"/>
  <c r="DM181" i="31"/>
  <c r="DM35" i="31" s="1"/>
  <c r="DL181" i="31"/>
  <c r="DL35" i="31" s="1"/>
  <c r="DK181" i="31"/>
  <c r="DK35" i="31" s="1"/>
  <c r="DJ181" i="31"/>
  <c r="DJ35" i="31" s="1"/>
  <c r="DI181" i="31"/>
  <c r="DI35" i="31" s="1"/>
  <c r="DH181" i="31"/>
  <c r="DH35" i="31" s="1"/>
  <c r="DG181" i="31"/>
  <c r="DG35" i="31" s="1"/>
  <c r="DF181" i="31"/>
  <c r="DF35" i="31" s="1"/>
  <c r="DE181" i="31"/>
  <c r="DE35" i="31" s="1"/>
  <c r="DD181" i="31"/>
  <c r="DD35" i="31" s="1"/>
  <c r="DC181" i="31"/>
  <c r="DC35" i="31" s="1"/>
  <c r="DB181" i="31"/>
  <c r="DB35" i="31" s="1"/>
  <c r="DA181" i="31"/>
  <c r="CZ181" i="31"/>
  <c r="CZ35" i="31" s="1"/>
  <c r="CY181" i="31"/>
  <c r="CY35" i="31" s="1"/>
  <c r="CX181" i="31"/>
  <c r="CX35" i="31" s="1"/>
  <c r="CW181" i="31"/>
  <c r="CW35" i="31" s="1"/>
  <c r="CV181" i="31"/>
  <c r="CV35" i="31" s="1"/>
  <c r="CU181" i="31"/>
  <c r="CU35" i="31" s="1"/>
  <c r="CT181" i="31"/>
  <c r="CT35" i="31" s="1"/>
  <c r="CS181" i="31"/>
  <c r="CS35" i="31" s="1"/>
  <c r="CR181" i="31"/>
  <c r="CR35" i="31" s="1"/>
  <c r="CQ181" i="31"/>
  <c r="CQ35" i="31" s="1"/>
  <c r="CP181" i="31"/>
  <c r="CP35" i="31" s="1"/>
  <c r="CO181" i="31"/>
  <c r="CO35" i="31" s="1"/>
  <c r="CN181" i="31"/>
  <c r="CN35" i="31" s="1"/>
  <c r="CM181" i="31"/>
  <c r="CM35" i="31" s="1"/>
  <c r="CL181" i="31"/>
  <c r="CK181" i="31"/>
  <c r="CK35" i="31" s="1"/>
  <c r="CJ181" i="31"/>
  <c r="CJ35" i="31" s="1"/>
  <c r="CI181" i="31"/>
  <c r="CI35" i="31" s="1"/>
  <c r="CH181" i="31"/>
  <c r="CG181" i="31"/>
  <c r="CF181" i="31"/>
  <c r="CF35" i="31" s="1"/>
  <c r="CE181" i="31"/>
  <c r="CE35" i="31" s="1"/>
  <c r="CD181" i="31"/>
  <c r="CC181" i="31"/>
  <c r="CC35" i="31" s="1"/>
  <c r="CB181" i="31"/>
  <c r="CB35" i="31" s="1"/>
  <c r="CA181" i="31"/>
  <c r="CA35" i="31" s="1"/>
  <c r="BZ181" i="31"/>
  <c r="BZ35" i="31" s="1"/>
  <c r="BY181" i="31"/>
  <c r="BY35" i="31" s="1"/>
  <c r="BX181" i="31"/>
  <c r="BX35" i="31" s="1"/>
  <c r="BW181" i="31"/>
  <c r="BW35" i="31" s="1"/>
  <c r="BV181" i="31"/>
  <c r="BV35" i="31" s="1"/>
  <c r="BU181" i="31"/>
  <c r="BU35" i="31" s="1"/>
  <c r="BT181" i="31"/>
  <c r="BS181" i="31"/>
  <c r="BS35" i="31" s="1"/>
  <c r="BR181" i="31"/>
  <c r="BR35" i="31" s="1"/>
  <c r="BQ181" i="31"/>
  <c r="BQ35" i="31" s="1"/>
  <c r="BP181" i="31"/>
  <c r="BP35" i="31" s="1"/>
  <c r="BO181" i="31"/>
  <c r="BO35" i="31" s="1"/>
  <c r="BN181" i="31"/>
  <c r="BN35" i="31" s="1"/>
  <c r="BM181" i="31"/>
  <c r="BM35" i="31" s="1"/>
  <c r="BL181" i="31"/>
  <c r="BL35" i="31" s="1"/>
  <c r="BK181" i="31"/>
  <c r="BK35" i="31" s="1"/>
  <c r="BJ181" i="31"/>
  <c r="BJ35" i="31" s="1"/>
  <c r="BI181" i="31"/>
  <c r="BI35" i="31" s="1"/>
  <c r="BH181" i="31"/>
  <c r="BH35" i="31" s="1"/>
  <c r="BG181" i="31"/>
  <c r="BG35" i="31" s="1"/>
  <c r="BF181" i="31"/>
  <c r="BF35" i="31" s="1"/>
  <c r="BE181" i="31"/>
  <c r="BE35" i="31" s="1"/>
  <c r="BD181" i="31"/>
  <c r="BD35" i="31" s="1"/>
  <c r="BC181" i="31"/>
  <c r="BC35" i="31" s="1"/>
  <c r="BB181" i="31"/>
  <c r="BB35" i="31" s="1"/>
  <c r="BA181" i="31"/>
  <c r="BA35" i="31" s="1"/>
  <c r="AZ181" i="31"/>
  <c r="AZ35" i="31" s="1"/>
  <c r="AY181" i="31"/>
  <c r="AY35" i="31" s="1"/>
  <c r="AX181" i="31"/>
  <c r="AX35" i="31" s="1"/>
  <c r="AW181" i="31"/>
  <c r="AW35" i="31" s="1"/>
  <c r="AV181" i="31"/>
  <c r="AV35" i="31" s="1"/>
  <c r="AU181" i="31"/>
  <c r="AU35" i="31" s="1"/>
  <c r="AT181" i="31"/>
  <c r="AT35" i="31" s="1"/>
  <c r="AS181" i="31"/>
  <c r="AS35" i="31" s="1"/>
  <c r="AR181" i="31"/>
  <c r="AR35" i="31" s="1"/>
  <c r="AQ181" i="31"/>
  <c r="AQ35" i="31" s="1"/>
  <c r="AP181" i="31"/>
  <c r="AP35" i="31" s="1"/>
  <c r="AO181" i="31"/>
  <c r="AO35" i="31" s="1"/>
  <c r="AN181" i="31"/>
  <c r="AN35" i="31" s="1"/>
  <c r="AM181" i="31"/>
  <c r="AM35" i="31" s="1"/>
  <c r="AL181" i="31"/>
  <c r="AL35" i="31" s="1"/>
  <c r="AK181" i="31"/>
  <c r="AK35" i="31" s="1"/>
  <c r="AJ181" i="31"/>
  <c r="AJ35" i="31" s="1"/>
  <c r="AI181" i="31"/>
  <c r="AI35" i="31" s="1"/>
  <c r="AH181" i="31"/>
  <c r="AH35" i="31" s="1"/>
  <c r="AG181" i="31"/>
  <c r="AG35" i="31" s="1"/>
  <c r="AF181" i="31"/>
  <c r="AF35" i="31" s="1"/>
  <c r="AE181" i="31"/>
  <c r="AE35" i="31" s="1"/>
  <c r="AD181" i="31"/>
  <c r="AD35" i="31" s="1"/>
  <c r="AC181" i="31"/>
  <c r="AC35" i="31" s="1"/>
  <c r="AB181" i="31"/>
  <c r="AB35" i="31" s="1"/>
  <c r="AA181" i="31"/>
  <c r="AA35" i="31" s="1"/>
  <c r="Z181" i="31"/>
  <c r="Z35" i="31" s="1"/>
  <c r="Y181" i="31"/>
  <c r="Y35" i="31" s="1"/>
  <c r="X181" i="31"/>
  <c r="X35" i="31" s="1"/>
  <c r="W181" i="31"/>
  <c r="W35" i="31" s="1"/>
  <c r="V181" i="31"/>
  <c r="V35" i="31" s="1"/>
  <c r="U181" i="31"/>
  <c r="U35" i="31" s="1"/>
  <c r="T181" i="31"/>
  <c r="T35" i="31" s="1"/>
  <c r="S181" i="31"/>
  <c r="S35" i="31" s="1"/>
  <c r="R181" i="31"/>
  <c r="R35" i="31" s="1"/>
  <c r="Q181" i="31"/>
  <c r="Q35" i="31" s="1"/>
  <c r="P181" i="31"/>
  <c r="P35" i="31" s="1"/>
  <c r="O181" i="31"/>
  <c r="O35" i="31" s="1"/>
  <c r="N181" i="31"/>
  <c r="N35" i="31" s="1"/>
  <c r="M181" i="31"/>
  <c r="M35" i="31" s="1"/>
  <c r="L181" i="31"/>
  <c r="L35" i="31" s="1"/>
  <c r="K181" i="31"/>
  <c r="K35" i="31" s="1"/>
  <c r="J181" i="31"/>
  <c r="J35" i="31" s="1"/>
  <c r="I181" i="31"/>
  <c r="I35" i="31" s="1"/>
  <c r="H181" i="31"/>
  <c r="H35" i="31" s="1"/>
  <c r="G181" i="31"/>
  <c r="G35" i="31" s="1"/>
  <c r="F181" i="31"/>
  <c r="F35" i="31" s="1"/>
  <c r="E181" i="31"/>
  <c r="E35" i="31" s="1"/>
  <c r="D181" i="31"/>
  <c r="D35" i="31" s="1"/>
  <c r="JH180" i="31"/>
  <c r="JG180" i="31"/>
  <c r="JF180" i="31"/>
  <c r="JE180" i="31"/>
  <c r="JD180" i="31"/>
  <c r="JC180" i="31"/>
  <c r="JB180" i="31"/>
  <c r="JA180" i="31"/>
  <c r="IZ180" i="31"/>
  <c r="IY180" i="31"/>
  <c r="IX180" i="31"/>
  <c r="IW180" i="31"/>
  <c r="IV180" i="31"/>
  <c r="IU180" i="31"/>
  <c r="IT180" i="31"/>
  <c r="IS180" i="31"/>
  <c r="IR180" i="31"/>
  <c r="IQ180" i="31"/>
  <c r="IP180" i="31"/>
  <c r="IO180" i="31"/>
  <c r="IN180" i="31"/>
  <c r="IM180" i="31"/>
  <c r="IL180" i="31"/>
  <c r="IK180" i="31"/>
  <c r="IJ180" i="31"/>
  <c r="II180" i="31"/>
  <c r="IH180" i="31"/>
  <c r="IG180" i="31"/>
  <c r="IF180" i="31"/>
  <c r="IE180" i="31"/>
  <c r="ID180" i="31"/>
  <c r="IC180" i="31"/>
  <c r="IB180" i="31"/>
  <c r="IA180" i="31"/>
  <c r="HZ180" i="31"/>
  <c r="HY180" i="31"/>
  <c r="HX180" i="31"/>
  <c r="HW180" i="31"/>
  <c r="HV180" i="31"/>
  <c r="HU180" i="31"/>
  <c r="HT180" i="31"/>
  <c r="HS180" i="31"/>
  <c r="HR180" i="31"/>
  <c r="HQ180" i="31"/>
  <c r="HP180" i="31"/>
  <c r="HO180" i="31"/>
  <c r="HN180" i="31"/>
  <c r="HM180" i="31"/>
  <c r="HL180" i="31"/>
  <c r="HK180" i="31"/>
  <c r="HJ180" i="31"/>
  <c r="HI180" i="31"/>
  <c r="HH180" i="31"/>
  <c r="HG180" i="31"/>
  <c r="HF180" i="31"/>
  <c r="HE180" i="31"/>
  <c r="HD180" i="31"/>
  <c r="HC180" i="31"/>
  <c r="HB180" i="31"/>
  <c r="HA180" i="31"/>
  <c r="GZ180" i="31"/>
  <c r="GY180" i="31"/>
  <c r="GX180" i="31"/>
  <c r="GW180" i="31"/>
  <c r="GV180" i="31"/>
  <c r="GU180" i="31"/>
  <c r="GT180" i="31"/>
  <c r="GS180" i="31"/>
  <c r="GR180" i="31"/>
  <c r="GQ180" i="31"/>
  <c r="GP180" i="31"/>
  <c r="GO180" i="31"/>
  <c r="GN180" i="31"/>
  <c r="GM180" i="31"/>
  <c r="GL180" i="31"/>
  <c r="GK180" i="31"/>
  <c r="GJ180" i="31"/>
  <c r="GI180" i="31"/>
  <c r="GH180" i="31"/>
  <c r="GG180" i="31"/>
  <c r="GF180" i="31"/>
  <c r="GE180" i="31"/>
  <c r="GD180" i="31"/>
  <c r="GC180" i="31"/>
  <c r="GB180" i="31"/>
  <c r="GA180" i="31"/>
  <c r="FZ180" i="31"/>
  <c r="FY180" i="31"/>
  <c r="FX180" i="31"/>
  <c r="FW180" i="31"/>
  <c r="FV180" i="31"/>
  <c r="FU180" i="31"/>
  <c r="FT180" i="31"/>
  <c r="FS180" i="31"/>
  <c r="FR180" i="31"/>
  <c r="FQ180" i="31"/>
  <c r="FP180" i="31"/>
  <c r="FO180" i="31"/>
  <c r="FN180" i="31"/>
  <c r="FM180" i="31"/>
  <c r="FL180" i="31"/>
  <c r="FK180" i="31"/>
  <c r="FJ180" i="31"/>
  <c r="FI180" i="31"/>
  <c r="FH180" i="31"/>
  <c r="FG180" i="31"/>
  <c r="FF180" i="31"/>
  <c r="FE180" i="31"/>
  <c r="FD180" i="31"/>
  <c r="FC180" i="31"/>
  <c r="FB180" i="31"/>
  <c r="FA180" i="31"/>
  <c r="EZ180" i="31"/>
  <c r="EY180" i="31"/>
  <c r="EX180" i="31"/>
  <c r="EW180" i="31"/>
  <c r="EV180" i="31"/>
  <c r="EU180" i="31"/>
  <c r="ET180" i="31"/>
  <c r="ES180" i="31"/>
  <c r="ER180" i="31"/>
  <c r="EQ180" i="31"/>
  <c r="EP180" i="31"/>
  <c r="EO180" i="31"/>
  <c r="EN180" i="31"/>
  <c r="EM180" i="31"/>
  <c r="EL180" i="31"/>
  <c r="EK180" i="31"/>
  <c r="EJ180" i="31"/>
  <c r="EI180" i="31"/>
  <c r="EH180" i="31"/>
  <c r="EG180" i="31"/>
  <c r="EF180" i="31"/>
  <c r="EE180" i="31"/>
  <c r="ED180" i="31"/>
  <c r="EC180" i="31"/>
  <c r="EB180" i="31"/>
  <c r="EA180" i="31"/>
  <c r="DZ180" i="31"/>
  <c r="DY180" i="31"/>
  <c r="DX180" i="31"/>
  <c r="DW180" i="31"/>
  <c r="DV180" i="31"/>
  <c r="DU180" i="31"/>
  <c r="DT180" i="31"/>
  <c r="DS180" i="31"/>
  <c r="DR180" i="31"/>
  <c r="DQ180" i="31"/>
  <c r="DP180" i="31"/>
  <c r="DO180" i="31"/>
  <c r="DN180" i="31"/>
  <c r="DM180" i="31"/>
  <c r="DL180" i="31"/>
  <c r="DK180" i="31"/>
  <c r="DJ180" i="31"/>
  <c r="DI180" i="31"/>
  <c r="DH180" i="31"/>
  <c r="DG180" i="31"/>
  <c r="DF180" i="31"/>
  <c r="DE180" i="31"/>
  <c r="DD180" i="31"/>
  <c r="DC180" i="31"/>
  <c r="DB180" i="31"/>
  <c r="DA180" i="31"/>
  <c r="CZ180" i="31"/>
  <c r="CY180" i="31"/>
  <c r="CX180" i="31"/>
  <c r="CW180" i="31"/>
  <c r="CV180" i="31"/>
  <c r="CU180" i="31"/>
  <c r="CT180" i="31"/>
  <c r="CS180" i="31"/>
  <c r="CR180" i="31"/>
  <c r="CQ180" i="31"/>
  <c r="CP180" i="31"/>
  <c r="CO180" i="31"/>
  <c r="CN180" i="31"/>
  <c r="CM180" i="31"/>
  <c r="CL180" i="31"/>
  <c r="CK180" i="31"/>
  <c r="CJ180" i="31"/>
  <c r="CI180" i="31"/>
  <c r="CH180" i="31"/>
  <c r="CG180" i="31"/>
  <c r="CF180" i="31"/>
  <c r="CE180" i="31"/>
  <c r="CD180" i="31"/>
  <c r="CC180" i="31"/>
  <c r="CB180" i="31"/>
  <c r="CA180" i="31"/>
  <c r="BZ180" i="31"/>
  <c r="BY180" i="31"/>
  <c r="BX180" i="31"/>
  <c r="BW180" i="31"/>
  <c r="BV180" i="31"/>
  <c r="BU180" i="31"/>
  <c r="BT180" i="31"/>
  <c r="BS180" i="31"/>
  <c r="BR180" i="31"/>
  <c r="BQ180" i="31"/>
  <c r="BP180" i="31"/>
  <c r="BO180" i="31"/>
  <c r="BN180" i="31"/>
  <c r="BM180" i="31"/>
  <c r="BL180" i="31"/>
  <c r="BK180" i="31"/>
  <c r="BJ180" i="31"/>
  <c r="BI180" i="31"/>
  <c r="BH180" i="31"/>
  <c r="BG180" i="31"/>
  <c r="BF180" i="31"/>
  <c r="BE180" i="31"/>
  <c r="BD180" i="31"/>
  <c r="BC180" i="31"/>
  <c r="BB180" i="31"/>
  <c r="BA180" i="31"/>
  <c r="AZ180" i="31"/>
  <c r="AY180" i="31"/>
  <c r="AX180" i="31"/>
  <c r="AW180" i="31"/>
  <c r="AV180" i="31"/>
  <c r="AU180" i="31"/>
  <c r="AT180" i="31"/>
  <c r="AS180" i="31"/>
  <c r="AR180" i="31"/>
  <c r="AQ180" i="31"/>
  <c r="AP180" i="31"/>
  <c r="AO180" i="31"/>
  <c r="AN180" i="31"/>
  <c r="AM180" i="31"/>
  <c r="AL180" i="31"/>
  <c r="AK180" i="31"/>
  <c r="AJ180" i="31"/>
  <c r="AI180" i="31"/>
  <c r="AH180" i="31"/>
  <c r="AG180" i="31"/>
  <c r="AF180" i="31"/>
  <c r="AE180" i="31"/>
  <c r="AD180" i="31"/>
  <c r="AC180" i="31"/>
  <c r="AB180" i="31"/>
  <c r="AA180" i="31"/>
  <c r="Z180" i="31"/>
  <c r="Y180" i="31"/>
  <c r="X180" i="31"/>
  <c r="W180" i="31"/>
  <c r="V180" i="31"/>
  <c r="U180" i="31"/>
  <c r="T180" i="31"/>
  <c r="S180" i="31"/>
  <c r="R180" i="31"/>
  <c r="Q180" i="31"/>
  <c r="P180" i="31"/>
  <c r="O180" i="31"/>
  <c r="N180" i="31"/>
  <c r="M180" i="31"/>
  <c r="L180" i="31"/>
  <c r="K180" i="31"/>
  <c r="J180" i="31"/>
  <c r="I180" i="31"/>
  <c r="H180" i="31"/>
  <c r="G180" i="31"/>
  <c r="F180" i="31"/>
  <c r="E180" i="31"/>
  <c r="D180" i="31"/>
  <c r="C181" i="31"/>
  <c r="C35" i="31" s="1"/>
  <c r="C182" i="31"/>
  <c r="C36" i="31" s="1"/>
  <c r="C180" i="31"/>
  <c r="AC111" i="29" l="1"/>
  <c r="AC170" i="31" l="1"/>
  <c r="AC166" i="31"/>
  <c r="AC153" i="31"/>
  <c r="AC143" i="31"/>
  <c r="AC135" i="31"/>
  <c r="AC134" i="31"/>
  <c r="AC131" i="31"/>
  <c r="AC130" i="31"/>
  <c r="AC123" i="31"/>
  <c r="AC122" i="31"/>
  <c r="AC118" i="31"/>
  <c r="AC115" i="31"/>
  <c r="AC113" i="31"/>
  <c r="AC112" i="31"/>
  <c r="AC101" i="31"/>
  <c r="AC96" i="31"/>
  <c r="AC95" i="31"/>
  <c r="AC91" i="31"/>
  <c r="AC90" i="31"/>
  <c r="AC88" i="31"/>
  <c r="AC87" i="31"/>
  <c r="AC86" i="31"/>
  <c r="AC85" i="31"/>
  <c r="AC84" i="31"/>
  <c r="AC83" i="31"/>
  <c r="AC76" i="31"/>
  <c r="AC75" i="31"/>
  <c r="AC74" i="31"/>
  <c r="AC73" i="31"/>
  <c r="AC72" i="31"/>
  <c r="AC71" i="31"/>
  <c r="AC57" i="31"/>
  <c r="AC54" i="31"/>
  <c r="AC53" i="31"/>
  <c r="AC52" i="31"/>
  <c r="AC51" i="31"/>
  <c r="AC48" i="31"/>
  <c r="AC47" i="31"/>
  <c r="AC45" i="31"/>
  <c r="AC39" i="31"/>
  <c r="AC26" i="31"/>
  <c r="AC18" i="31"/>
  <c r="AC17" i="31"/>
  <c r="AC16" i="31"/>
  <c r="AC15" i="31"/>
  <c r="AC2" i="31"/>
  <c r="AC142" i="29"/>
  <c r="AC146" i="31" s="1"/>
  <c r="AC141" i="29"/>
  <c r="AC145" i="31" s="1"/>
  <c r="AC140" i="29"/>
  <c r="AC143" i="29" s="1"/>
  <c r="AC147" i="31" s="1"/>
  <c r="AC137" i="29"/>
  <c r="AC141" i="31" s="1"/>
  <c r="AC136" i="29"/>
  <c r="AC140" i="31" s="1"/>
  <c r="AC135" i="29"/>
  <c r="AC138" i="29" s="1"/>
  <c r="AC142" i="31" s="1"/>
  <c r="AC124" i="29"/>
  <c r="AC128" i="31" s="1"/>
  <c r="AC123" i="29"/>
  <c r="AC127" i="31" s="1"/>
  <c r="AC122" i="29"/>
  <c r="AC126" i="31" s="1"/>
  <c r="AC121" i="29"/>
  <c r="AC125" i="31" s="1"/>
  <c r="AC120" i="29"/>
  <c r="AC176" i="29" s="1"/>
  <c r="AC95" i="29"/>
  <c r="AC99" i="31" s="1"/>
  <c r="AC89" i="29"/>
  <c r="AC93" i="31" s="1"/>
  <c r="AC88" i="29"/>
  <c r="AC92" i="31" s="1"/>
  <c r="AC77" i="29"/>
  <c r="AC81" i="31" s="1"/>
  <c r="AC75" i="29"/>
  <c r="AC79" i="31" s="1"/>
  <c r="AC74" i="29"/>
  <c r="AC78" i="31" s="1"/>
  <c r="AR99" i="9"/>
  <c r="AC13" i="29" s="1"/>
  <c r="AC40" i="29"/>
  <c r="AC44" i="31" s="1"/>
  <c r="AC37" i="29"/>
  <c r="AC41" i="31" s="1"/>
  <c r="AC30" i="29"/>
  <c r="AC30" i="31" s="1"/>
  <c r="AC27" i="29"/>
  <c r="AC27" i="31" s="1"/>
  <c r="AC25" i="29"/>
  <c r="AC25" i="31" s="1"/>
  <c r="AC24" i="29"/>
  <c r="AC24" i="31" s="1"/>
  <c r="AC10" i="29"/>
  <c r="AC10" i="31" s="1"/>
  <c r="AC2" i="29"/>
  <c r="AC39" i="29" l="1"/>
  <c r="AC43" i="31" s="1"/>
  <c r="AC46" i="29"/>
  <c r="AC50" i="31" s="1"/>
  <c r="AC99" i="29"/>
  <c r="AC103" i="31" s="1"/>
  <c r="AC13" i="31"/>
  <c r="AC124" i="31"/>
  <c r="AC139" i="31"/>
  <c r="AC144" i="31"/>
  <c r="AC132" i="29"/>
  <c r="AC144" i="29"/>
  <c r="AC125" i="29"/>
  <c r="AC129" i="31" s="1"/>
  <c r="E266" i="32"/>
  <c r="VW271" i="1"/>
  <c r="VV271" i="1"/>
  <c r="VR271" i="1"/>
  <c r="VP271" i="1"/>
  <c r="WF271" i="1" s="1"/>
  <c r="WQ271" i="1" s="1"/>
  <c r="VW270" i="1"/>
  <c r="VV270" i="1"/>
  <c r="VR270" i="1"/>
  <c r="VP270" i="1"/>
  <c r="WF270" i="1" s="1"/>
  <c r="WR270" i="1" s="1"/>
  <c r="VW269" i="1"/>
  <c r="VV269" i="1"/>
  <c r="VR269" i="1"/>
  <c r="VP269" i="1"/>
  <c r="WF269" i="1" s="1"/>
  <c r="WS269" i="1" s="1"/>
  <c r="VW268" i="1"/>
  <c r="VV268" i="1"/>
  <c r="VR268" i="1"/>
  <c r="VP268" i="1"/>
  <c r="WF268" i="1" s="1"/>
  <c r="WP268" i="1" s="1"/>
  <c r="VW267" i="1"/>
  <c r="VV267" i="1"/>
  <c r="VR267" i="1"/>
  <c r="VP267" i="1"/>
  <c r="WF267" i="1" s="1"/>
  <c r="WI267" i="1" s="1"/>
  <c r="VW266" i="1"/>
  <c r="VV266" i="1"/>
  <c r="VR266" i="1"/>
  <c r="VP266" i="1"/>
  <c r="WF266" i="1" s="1"/>
  <c r="VW265" i="1"/>
  <c r="VV265" i="1"/>
  <c r="VR265" i="1"/>
  <c r="VP265" i="1"/>
  <c r="WF265" i="1" s="1"/>
  <c r="VW264" i="1"/>
  <c r="VV264" i="1"/>
  <c r="VR264" i="1"/>
  <c r="VP264" i="1"/>
  <c r="WF264" i="1" s="1"/>
  <c r="WT264" i="1" s="1"/>
  <c r="VW263" i="1"/>
  <c r="VV263" i="1"/>
  <c r="VR263" i="1"/>
  <c r="VP263" i="1"/>
  <c r="WF263" i="1" s="1"/>
  <c r="VW262" i="1"/>
  <c r="VV262" i="1"/>
  <c r="VR262" i="1"/>
  <c r="VP262" i="1"/>
  <c r="WF262" i="1" s="1"/>
  <c r="VW261" i="1"/>
  <c r="VV261" i="1"/>
  <c r="VR261" i="1"/>
  <c r="VP261" i="1"/>
  <c r="WF261" i="1" s="1"/>
  <c r="VW260" i="1"/>
  <c r="VV260" i="1"/>
  <c r="VR260" i="1"/>
  <c r="VP260" i="1"/>
  <c r="WF260" i="1" s="1"/>
  <c r="VW259" i="1"/>
  <c r="VV259" i="1"/>
  <c r="VR259" i="1"/>
  <c r="VP259" i="1"/>
  <c r="WF259" i="1" s="1"/>
  <c r="WI259" i="1" s="1"/>
  <c r="VW258" i="1"/>
  <c r="VV258" i="1"/>
  <c r="VR258" i="1"/>
  <c r="VP258" i="1"/>
  <c r="WF258" i="1" s="1"/>
  <c r="VW257" i="1"/>
  <c r="VV257" i="1"/>
  <c r="VR257" i="1"/>
  <c r="VP257" i="1"/>
  <c r="WF257" i="1" s="1"/>
  <c r="VW256" i="1"/>
  <c r="VV256" i="1"/>
  <c r="VR256" i="1"/>
  <c r="VP256" i="1"/>
  <c r="WF256" i="1" s="1"/>
  <c r="WP256" i="1" s="1"/>
  <c r="VW255" i="1"/>
  <c r="VV255" i="1"/>
  <c r="VR255" i="1"/>
  <c r="VP255" i="1"/>
  <c r="WF255" i="1" s="1"/>
  <c r="WG255" i="1" s="1"/>
  <c r="VW254" i="1"/>
  <c r="VV254" i="1"/>
  <c r="VR254" i="1"/>
  <c r="VP254" i="1"/>
  <c r="WF254" i="1" s="1"/>
  <c r="VW253" i="1"/>
  <c r="VV253" i="1"/>
  <c r="VR253" i="1"/>
  <c r="VP253" i="1"/>
  <c r="WF253" i="1" s="1"/>
  <c r="VW252" i="1"/>
  <c r="VV252" i="1"/>
  <c r="VR252" i="1"/>
  <c r="VP252" i="1"/>
  <c r="WF252" i="1" s="1"/>
  <c r="VW251" i="1"/>
  <c r="VV251" i="1"/>
  <c r="VR251" i="1"/>
  <c r="VP251" i="1"/>
  <c r="WF251" i="1" s="1"/>
  <c r="VW250" i="1"/>
  <c r="VV250" i="1"/>
  <c r="VR250" i="1"/>
  <c r="VP250" i="1"/>
  <c r="WF250" i="1" s="1"/>
  <c r="WG250" i="1" s="1"/>
  <c r="VW249" i="1"/>
  <c r="VV249" i="1"/>
  <c r="VR249" i="1"/>
  <c r="VP249" i="1"/>
  <c r="WF249" i="1" s="1"/>
  <c r="WT249" i="1" s="1"/>
  <c r="VW248" i="1"/>
  <c r="VV248" i="1"/>
  <c r="VR248" i="1"/>
  <c r="VP248" i="1"/>
  <c r="WF248" i="1" s="1"/>
  <c r="WI248" i="1" s="1"/>
  <c r="VW247" i="1"/>
  <c r="VV247" i="1"/>
  <c r="VR247" i="1"/>
  <c r="VP247" i="1"/>
  <c r="WF247" i="1" s="1"/>
  <c r="WT247" i="1" s="1"/>
  <c r="VW246" i="1"/>
  <c r="VV246" i="1"/>
  <c r="VR246" i="1"/>
  <c r="VP246" i="1"/>
  <c r="WF246" i="1" s="1"/>
  <c r="VW245" i="1"/>
  <c r="VV245" i="1"/>
  <c r="VR245" i="1"/>
  <c r="VP245" i="1"/>
  <c r="WF245" i="1" s="1"/>
  <c r="WT245" i="1" s="1"/>
  <c r="VW244" i="1"/>
  <c r="VV244" i="1"/>
  <c r="VR244" i="1"/>
  <c r="VP244" i="1"/>
  <c r="WF244" i="1" s="1"/>
  <c r="WS244" i="1" s="1"/>
  <c r="VW243" i="1"/>
  <c r="VV243" i="1"/>
  <c r="VR243" i="1"/>
  <c r="VP243" i="1"/>
  <c r="WF243" i="1" s="1"/>
  <c r="VW242" i="1"/>
  <c r="VV242" i="1"/>
  <c r="VR242" i="1"/>
  <c r="VP242" i="1"/>
  <c r="WF242" i="1" s="1"/>
  <c r="WQ242" i="1" s="1"/>
  <c r="VW241" i="1"/>
  <c r="VV241" i="1"/>
  <c r="VR241" i="1"/>
  <c r="VP241" i="1"/>
  <c r="WF241" i="1" s="1"/>
  <c r="WI241" i="1" s="1"/>
  <c r="VW240" i="1"/>
  <c r="VV240" i="1"/>
  <c r="VR240" i="1"/>
  <c r="VP240" i="1"/>
  <c r="WF240" i="1" s="1"/>
  <c r="WG240" i="1" s="1"/>
  <c r="VW239" i="1"/>
  <c r="VV239" i="1"/>
  <c r="VR239" i="1"/>
  <c r="VP239" i="1"/>
  <c r="WF239" i="1" s="1"/>
  <c r="VW238" i="1"/>
  <c r="VV238" i="1"/>
  <c r="VR238" i="1"/>
  <c r="VP238" i="1"/>
  <c r="WF238" i="1" s="1"/>
  <c r="VW237" i="1"/>
  <c r="VV237" i="1"/>
  <c r="VR237" i="1"/>
  <c r="VP237" i="1"/>
  <c r="WF237" i="1" s="1"/>
  <c r="WR237" i="1" s="1"/>
  <c r="VW236" i="1"/>
  <c r="VV236" i="1"/>
  <c r="VR236" i="1"/>
  <c r="VP236" i="1"/>
  <c r="WF236" i="1" s="1"/>
  <c r="WO236" i="1" s="1"/>
  <c r="VW235" i="1"/>
  <c r="VV235" i="1"/>
  <c r="VR235" i="1"/>
  <c r="VP235" i="1"/>
  <c r="WF235" i="1" s="1"/>
  <c r="VW234" i="1"/>
  <c r="VV234" i="1"/>
  <c r="VR234" i="1"/>
  <c r="VP234" i="1"/>
  <c r="WF234" i="1" s="1"/>
  <c r="WI234" i="1" s="1"/>
  <c r="VW233" i="1"/>
  <c r="VV233" i="1"/>
  <c r="VR233" i="1"/>
  <c r="VP233" i="1"/>
  <c r="WF233" i="1" s="1"/>
  <c r="VW232" i="1"/>
  <c r="VV232" i="1"/>
  <c r="VR232" i="1"/>
  <c r="VP232" i="1"/>
  <c r="WF232" i="1" s="1"/>
  <c r="WO232" i="1" s="1"/>
  <c r="VW231" i="1"/>
  <c r="VV231" i="1"/>
  <c r="VR231" i="1"/>
  <c r="VP231" i="1"/>
  <c r="WF231" i="1" s="1"/>
  <c r="WH231" i="1" s="1"/>
  <c r="VW230" i="1"/>
  <c r="VV230" i="1"/>
  <c r="VR230" i="1"/>
  <c r="VP230" i="1"/>
  <c r="WF230" i="1" s="1"/>
  <c r="WQ230" i="1" s="1"/>
  <c r="VW229" i="1"/>
  <c r="VV229" i="1"/>
  <c r="VR229" i="1"/>
  <c r="VP229" i="1"/>
  <c r="WF229" i="1" s="1"/>
  <c r="WJ229" i="1" s="1"/>
  <c r="VW228" i="1"/>
  <c r="VV228" i="1"/>
  <c r="VR228" i="1"/>
  <c r="VP228" i="1"/>
  <c r="WF228" i="1" s="1"/>
  <c r="WC227" i="1"/>
  <c r="WA227" i="1"/>
  <c r="WB227" i="1" s="1"/>
  <c r="VW227" i="1"/>
  <c r="VV227" i="1"/>
  <c r="VS227" i="1"/>
  <c r="VR227" i="1"/>
  <c r="VP227" i="1"/>
  <c r="WF227" i="1" s="1"/>
  <c r="WC226" i="1"/>
  <c r="WA226" i="1"/>
  <c r="WB226" i="1" s="1"/>
  <c r="VW226" i="1"/>
  <c r="VV226" i="1"/>
  <c r="VS226" i="1"/>
  <c r="VR226" i="1"/>
  <c r="VP226" i="1"/>
  <c r="WF226" i="1" s="1"/>
  <c r="VW225" i="1"/>
  <c r="VV225" i="1"/>
  <c r="VR225" i="1"/>
  <c r="VP225" i="1"/>
  <c r="WF225" i="1" s="1"/>
  <c r="VW224" i="1"/>
  <c r="VV224" i="1"/>
  <c r="VR224" i="1"/>
  <c r="VP224" i="1"/>
  <c r="WF224" i="1" s="1"/>
  <c r="VW223" i="1"/>
  <c r="VV223" i="1"/>
  <c r="VR223" i="1"/>
  <c r="VP223" i="1"/>
  <c r="WF223" i="1" s="1"/>
  <c r="VW222" i="1"/>
  <c r="VV222" i="1"/>
  <c r="VR222" i="1"/>
  <c r="VP222" i="1"/>
  <c r="WF222" i="1" s="1"/>
  <c r="WH222" i="1" s="1"/>
  <c r="VW221" i="1"/>
  <c r="VV221" i="1"/>
  <c r="VR221" i="1"/>
  <c r="VP221" i="1"/>
  <c r="WF221" i="1" s="1"/>
  <c r="WQ221" i="1" s="1"/>
  <c r="VW220" i="1"/>
  <c r="VV220" i="1"/>
  <c r="VR220" i="1"/>
  <c r="VP220" i="1"/>
  <c r="WF220" i="1" s="1"/>
  <c r="VW219" i="1"/>
  <c r="VV219" i="1"/>
  <c r="VR219" i="1"/>
  <c r="VP219" i="1"/>
  <c r="WF219" i="1" s="1"/>
  <c r="WP219" i="1" s="1"/>
  <c r="VW218" i="1"/>
  <c r="VV218" i="1"/>
  <c r="VR218" i="1"/>
  <c r="VP218" i="1"/>
  <c r="WF218" i="1" s="1"/>
  <c r="VW217" i="1"/>
  <c r="VV217" i="1"/>
  <c r="VR217" i="1"/>
  <c r="VP217" i="1"/>
  <c r="WF217" i="1" s="1"/>
  <c r="VW216" i="1"/>
  <c r="VV216" i="1"/>
  <c r="VR216" i="1"/>
  <c r="VP216" i="1"/>
  <c r="WF216" i="1" s="1"/>
  <c r="WR216" i="1" s="1"/>
  <c r="VW215" i="1"/>
  <c r="VV215" i="1"/>
  <c r="VR215" i="1"/>
  <c r="VP215" i="1"/>
  <c r="WF215" i="1" s="1"/>
  <c r="WR215" i="1" s="1"/>
  <c r="VW214" i="1"/>
  <c r="VV214" i="1"/>
  <c r="VR214" i="1"/>
  <c r="VP214" i="1"/>
  <c r="WF214" i="1" s="1"/>
  <c r="VW213" i="1"/>
  <c r="VV213" i="1"/>
  <c r="VR213" i="1"/>
  <c r="VP213" i="1"/>
  <c r="WF213" i="1" s="1"/>
  <c r="VW212" i="1"/>
  <c r="VV212" i="1"/>
  <c r="VR212" i="1"/>
  <c r="VP212" i="1"/>
  <c r="WF212" i="1" s="1"/>
  <c r="VW211" i="1"/>
  <c r="VV211" i="1"/>
  <c r="VR211" i="1"/>
  <c r="VP211" i="1"/>
  <c r="WF211" i="1" s="1"/>
  <c r="WJ211" i="1" s="1"/>
  <c r="VW210" i="1"/>
  <c r="VV210" i="1"/>
  <c r="VR210" i="1"/>
  <c r="VP210" i="1"/>
  <c r="WF210" i="1" s="1"/>
  <c r="VW209" i="1"/>
  <c r="VV209" i="1"/>
  <c r="VR209" i="1"/>
  <c r="VP209" i="1"/>
  <c r="WF209" i="1" s="1"/>
  <c r="VW208" i="1"/>
  <c r="VV208" i="1"/>
  <c r="VR208" i="1"/>
  <c r="VP208" i="1"/>
  <c r="WF208" i="1" s="1"/>
  <c r="VW207" i="1"/>
  <c r="VV207" i="1"/>
  <c r="VR207" i="1"/>
  <c r="VP207" i="1"/>
  <c r="WF207" i="1" s="1"/>
  <c r="VW206" i="1"/>
  <c r="VV206" i="1"/>
  <c r="VR206" i="1"/>
  <c r="VP206" i="1"/>
  <c r="WF206" i="1" s="1"/>
  <c r="VW205" i="1"/>
  <c r="VV205" i="1"/>
  <c r="VR205" i="1"/>
  <c r="VP205" i="1"/>
  <c r="WF205" i="1" s="1"/>
  <c r="VW204" i="1"/>
  <c r="VV204" i="1"/>
  <c r="VR204" i="1"/>
  <c r="VP204" i="1"/>
  <c r="WF204" i="1" s="1"/>
  <c r="WS204" i="1" s="1"/>
  <c r="VW203" i="1"/>
  <c r="VV203" i="1"/>
  <c r="VR203" i="1"/>
  <c r="VP203" i="1"/>
  <c r="WF203" i="1" s="1"/>
  <c r="VW202" i="1"/>
  <c r="VV202" i="1"/>
  <c r="VR202" i="1"/>
  <c r="VP202" i="1"/>
  <c r="WF202" i="1" s="1"/>
  <c r="WO202" i="1" s="1"/>
  <c r="VW201" i="1"/>
  <c r="VV201" i="1"/>
  <c r="VR201" i="1"/>
  <c r="VP201" i="1"/>
  <c r="WF201" i="1" s="1"/>
  <c r="VW200" i="1"/>
  <c r="VV200" i="1"/>
  <c r="VR200" i="1"/>
  <c r="VP200" i="1"/>
  <c r="WF200" i="1" s="1"/>
  <c r="VW199" i="1"/>
  <c r="VV199" i="1"/>
  <c r="VR199" i="1"/>
  <c r="VP199" i="1"/>
  <c r="WF199" i="1" s="1"/>
  <c r="VW198" i="1"/>
  <c r="VV198" i="1"/>
  <c r="VR198" i="1"/>
  <c r="VP198" i="1"/>
  <c r="WF198" i="1" s="1"/>
  <c r="WS198" i="1" s="1"/>
  <c r="VW197" i="1"/>
  <c r="VV197" i="1"/>
  <c r="VR197" i="1"/>
  <c r="VP197" i="1"/>
  <c r="WF197" i="1" s="1"/>
  <c r="WP197" i="1" s="1"/>
  <c r="VW196" i="1"/>
  <c r="VV196" i="1"/>
  <c r="VR196" i="1"/>
  <c r="VP196" i="1"/>
  <c r="WF196" i="1" s="1"/>
  <c r="VW195" i="1"/>
  <c r="VV195" i="1"/>
  <c r="VR195" i="1"/>
  <c r="VP195" i="1"/>
  <c r="WF195" i="1" s="1"/>
  <c r="VW194" i="1"/>
  <c r="VV194" i="1"/>
  <c r="VR194" i="1"/>
  <c r="VP194" i="1"/>
  <c r="WF194" i="1" s="1"/>
  <c r="WQ194" i="1" s="1"/>
  <c r="VW193" i="1"/>
  <c r="VV193" i="1"/>
  <c r="VR193" i="1"/>
  <c r="VP193" i="1"/>
  <c r="WF193" i="1" s="1"/>
  <c r="VW192" i="1"/>
  <c r="VV192" i="1"/>
  <c r="VR192" i="1"/>
  <c r="VP192" i="1"/>
  <c r="WF192" i="1" s="1"/>
  <c r="VW191" i="1"/>
  <c r="VV191" i="1"/>
  <c r="VR191" i="1"/>
  <c r="VP191" i="1"/>
  <c r="WF191" i="1" s="1"/>
  <c r="WT191" i="1" s="1"/>
  <c r="VW190" i="1"/>
  <c r="VV190" i="1"/>
  <c r="VR190" i="1"/>
  <c r="VP190" i="1"/>
  <c r="WF190" i="1" s="1"/>
  <c r="WS190" i="1" s="1"/>
  <c r="VW189" i="1"/>
  <c r="VV189" i="1"/>
  <c r="VR189" i="1"/>
  <c r="VP189" i="1"/>
  <c r="WF189" i="1" s="1"/>
  <c r="WR189" i="1" s="1"/>
  <c r="VW188" i="1"/>
  <c r="VV188" i="1"/>
  <c r="VR188" i="1"/>
  <c r="VP188" i="1"/>
  <c r="WF188" i="1" s="1"/>
  <c r="VW187" i="1"/>
  <c r="VV187" i="1"/>
  <c r="VR187" i="1"/>
  <c r="VP187" i="1"/>
  <c r="WF187" i="1" s="1"/>
  <c r="VW186" i="1"/>
  <c r="VV186" i="1"/>
  <c r="VR186" i="1"/>
  <c r="VP186" i="1"/>
  <c r="WF186" i="1" s="1"/>
  <c r="VW185" i="1"/>
  <c r="VV185" i="1"/>
  <c r="VR185" i="1"/>
  <c r="VP185" i="1"/>
  <c r="WF185" i="1" s="1"/>
  <c r="WR185" i="1" s="1"/>
  <c r="VW184" i="1"/>
  <c r="VV184" i="1"/>
  <c r="VR184" i="1"/>
  <c r="VP184" i="1"/>
  <c r="WF184" i="1" s="1"/>
  <c r="VW183" i="1"/>
  <c r="VV183" i="1"/>
  <c r="VR183" i="1"/>
  <c r="VP183" i="1"/>
  <c r="WF183" i="1" s="1"/>
  <c r="WP183" i="1" s="1"/>
  <c r="VW182" i="1"/>
  <c r="VV182" i="1"/>
  <c r="VR182" i="1"/>
  <c r="VP182" i="1"/>
  <c r="WF182" i="1" s="1"/>
  <c r="WQ182" i="1" s="1"/>
  <c r="VW181" i="1"/>
  <c r="VV181" i="1"/>
  <c r="VR181" i="1"/>
  <c r="VP181" i="1"/>
  <c r="WF181" i="1" s="1"/>
  <c r="WR181" i="1" s="1"/>
  <c r="VW180" i="1"/>
  <c r="VV180" i="1"/>
  <c r="VR180" i="1"/>
  <c r="VP180" i="1"/>
  <c r="WF180" i="1" s="1"/>
  <c r="VW179" i="1"/>
  <c r="VV179" i="1"/>
  <c r="VR179" i="1"/>
  <c r="VP179" i="1"/>
  <c r="WF179" i="1" s="1"/>
  <c r="WP179" i="1" s="1"/>
  <c r="VW178" i="1"/>
  <c r="VV178" i="1"/>
  <c r="VR178" i="1"/>
  <c r="VP178" i="1"/>
  <c r="WF178" i="1" s="1"/>
  <c r="VW177" i="1"/>
  <c r="VV177" i="1"/>
  <c r="VR177" i="1"/>
  <c r="VP177" i="1"/>
  <c r="WF177" i="1" s="1"/>
  <c r="VW176" i="1"/>
  <c r="VV176" i="1"/>
  <c r="VR176" i="1"/>
  <c r="VP176" i="1"/>
  <c r="WF176" i="1" s="1"/>
  <c r="VW175" i="1"/>
  <c r="VV175" i="1"/>
  <c r="VR175" i="1"/>
  <c r="VP175" i="1"/>
  <c r="WF175" i="1" s="1"/>
  <c r="WP175" i="1" s="1"/>
  <c r="VW174" i="1"/>
  <c r="VV174" i="1"/>
  <c r="VR174" i="1"/>
  <c r="VP174" i="1"/>
  <c r="WF174" i="1" s="1"/>
  <c r="VW173" i="1"/>
  <c r="VV173" i="1"/>
  <c r="VR173" i="1"/>
  <c r="VP173" i="1"/>
  <c r="WF173" i="1" s="1"/>
  <c r="VW172" i="1"/>
  <c r="VV172" i="1"/>
  <c r="VR172" i="1"/>
  <c r="VP172" i="1"/>
  <c r="WF172" i="1" s="1"/>
  <c r="VW171" i="1"/>
  <c r="VV171" i="1"/>
  <c r="VR171" i="1"/>
  <c r="VP171" i="1"/>
  <c r="WF171" i="1" s="1"/>
  <c r="VW170" i="1"/>
  <c r="VV170" i="1"/>
  <c r="VR170" i="1"/>
  <c r="VP170" i="1"/>
  <c r="WF170" i="1" s="1"/>
  <c r="VW169" i="1"/>
  <c r="VV169" i="1"/>
  <c r="VR169" i="1"/>
  <c r="VP169" i="1"/>
  <c r="WF169" i="1" s="1"/>
  <c r="VW168" i="1"/>
  <c r="VV168" i="1"/>
  <c r="VR168" i="1"/>
  <c r="VP168" i="1"/>
  <c r="WF168" i="1" s="1"/>
  <c r="VW167" i="1"/>
  <c r="VV167" i="1"/>
  <c r="VR167" i="1"/>
  <c r="VP167" i="1"/>
  <c r="WF167" i="1" s="1"/>
  <c r="VW166" i="1"/>
  <c r="VV166" i="1"/>
  <c r="VR166" i="1"/>
  <c r="VP166" i="1"/>
  <c r="WF166" i="1" s="1"/>
  <c r="VW165" i="1"/>
  <c r="VV165" i="1"/>
  <c r="VR165" i="1"/>
  <c r="VP165" i="1"/>
  <c r="WF165" i="1" s="1"/>
  <c r="VW164" i="1"/>
  <c r="VV164" i="1"/>
  <c r="VR164" i="1"/>
  <c r="VP164" i="1"/>
  <c r="WF164" i="1" s="1"/>
  <c r="VW163" i="1"/>
  <c r="VV163" i="1"/>
  <c r="VR163" i="1"/>
  <c r="VP163" i="1"/>
  <c r="WF163" i="1" s="1"/>
  <c r="VW162" i="1"/>
  <c r="VV162" i="1"/>
  <c r="VR162" i="1"/>
  <c r="VP162" i="1"/>
  <c r="WF162" i="1" s="1"/>
  <c r="WC161" i="1"/>
  <c r="WA161" i="1"/>
  <c r="WB161" i="1" s="1"/>
  <c r="VW161" i="1"/>
  <c r="VV161" i="1"/>
  <c r="VS161" i="1"/>
  <c r="VT161" i="1" s="1"/>
  <c r="WK161" i="1" s="1"/>
  <c r="VR161" i="1"/>
  <c r="VP161" i="1"/>
  <c r="WF161" i="1" s="1"/>
  <c r="WJ161" i="1" s="1"/>
  <c r="VW160" i="1"/>
  <c r="VV160" i="1"/>
  <c r="VR160" i="1"/>
  <c r="VP160" i="1"/>
  <c r="WF160" i="1" s="1"/>
  <c r="VW159" i="1"/>
  <c r="VV159" i="1"/>
  <c r="VR159" i="1"/>
  <c r="VP159" i="1"/>
  <c r="WF159" i="1" s="1"/>
  <c r="WJ159" i="1" s="1"/>
  <c r="VW158" i="1"/>
  <c r="VV158" i="1"/>
  <c r="VR158" i="1"/>
  <c r="VP158" i="1"/>
  <c r="WF158" i="1" s="1"/>
  <c r="WT158" i="1" s="1"/>
  <c r="VW157" i="1"/>
  <c r="VV157" i="1"/>
  <c r="VR157" i="1"/>
  <c r="VP157" i="1"/>
  <c r="WF157" i="1" s="1"/>
  <c r="WQ157" i="1" s="1"/>
  <c r="VW156" i="1"/>
  <c r="VV156" i="1"/>
  <c r="VR156" i="1"/>
  <c r="VP156" i="1"/>
  <c r="WF156" i="1" s="1"/>
  <c r="VW155" i="1"/>
  <c r="VV155" i="1"/>
  <c r="VR155" i="1"/>
  <c r="VP155" i="1"/>
  <c r="WF155" i="1" s="1"/>
  <c r="VW154" i="1"/>
  <c r="VV154" i="1"/>
  <c r="VR154" i="1"/>
  <c r="VP154" i="1"/>
  <c r="WF154" i="1" s="1"/>
  <c r="WP154" i="1" s="1"/>
  <c r="VW153" i="1"/>
  <c r="VV153" i="1"/>
  <c r="VR153" i="1"/>
  <c r="VP153" i="1"/>
  <c r="WF153" i="1" s="1"/>
  <c r="WQ153" i="1" s="1"/>
  <c r="VW152" i="1"/>
  <c r="VV152" i="1"/>
  <c r="VR152" i="1"/>
  <c r="VP152" i="1"/>
  <c r="WF152" i="1" s="1"/>
  <c r="VW151" i="1"/>
  <c r="VV151" i="1"/>
  <c r="VR151" i="1"/>
  <c r="VP151" i="1"/>
  <c r="WF151" i="1" s="1"/>
  <c r="VW150" i="1"/>
  <c r="VV150" i="1"/>
  <c r="VR150" i="1"/>
  <c r="VP150" i="1"/>
  <c r="WF150" i="1" s="1"/>
  <c r="WP150" i="1" s="1"/>
  <c r="VW149" i="1"/>
  <c r="VV149" i="1"/>
  <c r="VR149" i="1"/>
  <c r="VP149" i="1"/>
  <c r="WF149" i="1" s="1"/>
  <c r="WQ149" i="1" s="1"/>
  <c r="VW148" i="1"/>
  <c r="VV148" i="1"/>
  <c r="VR148" i="1"/>
  <c r="VP148" i="1"/>
  <c r="WF148" i="1" s="1"/>
  <c r="WJ148" i="1" s="1"/>
  <c r="VW147" i="1"/>
  <c r="VV147" i="1"/>
  <c r="VR147" i="1"/>
  <c r="VP147" i="1"/>
  <c r="WF147" i="1" s="1"/>
  <c r="WS147" i="1" s="1"/>
  <c r="VW146" i="1"/>
  <c r="VV146" i="1"/>
  <c r="VR146" i="1"/>
  <c r="VP146" i="1"/>
  <c r="WF146" i="1" s="1"/>
  <c r="VW145" i="1"/>
  <c r="VV145" i="1"/>
  <c r="VR145" i="1"/>
  <c r="VP145" i="1"/>
  <c r="WF145" i="1" s="1"/>
  <c r="VW144" i="1"/>
  <c r="VV144" i="1"/>
  <c r="VR144" i="1"/>
  <c r="VP144" i="1"/>
  <c r="WF144" i="1" s="1"/>
  <c r="WJ144" i="1" s="1"/>
  <c r="VW143" i="1"/>
  <c r="VV143" i="1"/>
  <c r="VR143" i="1"/>
  <c r="VP143" i="1"/>
  <c r="WF143" i="1" s="1"/>
  <c r="WS143" i="1" s="1"/>
  <c r="VW142" i="1"/>
  <c r="VV142" i="1"/>
  <c r="VR142" i="1"/>
  <c r="VP142" i="1"/>
  <c r="WF142" i="1" s="1"/>
  <c r="VW141" i="1"/>
  <c r="VV141" i="1"/>
  <c r="VR141" i="1"/>
  <c r="VP141" i="1"/>
  <c r="WF141" i="1" s="1"/>
  <c r="VW140" i="1"/>
  <c r="VV140" i="1"/>
  <c r="VR140" i="1"/>
  <c r="VP140" i="1"/>
  <c r="WF140" i="1" s="1"/>
  <c r="VW139" i="1"/>
  <c r="VV139" i="1"/>
  <c r="VR139" i="1"/>
  <c r="VP139" i="1"/>
  <c r="WF139" i="1" s="1"/>
  <c r="WR139" i="1" s="1"/>
  <c r="VW138" i="1"/>
  <c r="VV138" i="1"/>
  <c r="VR138" i="1"/>
  <c r="VP138" i="1"/>
  <c r="WF138" i="1" s="1"/>
  <c r="WP138" i="1" s="1"/>
  <c r="VW137" i="1"/>
  <c r="VV137" i="1"/>
  <c r="VR137" i="1"/>
  <c r="VP137" i="1"/>
  <c r="WF137" i="1" s="1"/>
  <c r="WQ137" i="1" s="1"/>
  <c r="VW136" i="1"/>
  <c r="VV136" i="1"/>
  <c r="VR136" i="1"/>
  <c r="VP136" i="1"/>
  <c r="WF136" i="1" s="1"/>
  <c r="VW135" i="1"/>
  <c r="VV135" i="1"/>
  <c r="VR135" i="1"/>
  <c r="VP135" i="1"/>
  <c r="WF135" i="1" s="1"/>
  <c r="WS135" i="1" s="1"/>
  <c r="VW134" i="1"/>
  <c r="VV134" i="1"/>
  <c r="VR134" i="1"/>
  <c r="VP134" i="1"/>
  <c r="WF134" i="1" s="1"/>
  <c r="VW133" i="1"/>
  <c r="VV133" i="1"/>
  <c r="VR133" i="1"/>
  <c r="VP133" i="1"/>
  <c r="WF133" i="1" s="1"/>
  <c r="WQ133" i="1" s="1"/>
  <c r="VW132" i="1"/>
  <c r="VV132" i="1"/>
  <c r="VR132" i="1"/>
  <c r="VP132" i="1"/>
  <c r="WF132" i="1" s="1"/>
  <c r="VW131" i="1"/>
  <c r="VV131" i="1"/>
  <c r="VR131" i="1"/>
  <c r="VP131" i="1"/>
  <c r="WF131" i="1" s="1"/>
  <c r="VW130" i="1"/>
  <c r="VV130" i="1"/>
  <c r="VR130" i="1"/>
  <c r="VP130" i="1"/>
  <c r="WF130" i="1" s="1"/>
  <c r="VW129" i="1"/>
  <c r="VV129" i="1"/>
  <c r="VR129" i="1"/>
  <c r="VP129" i="1"/>
  <c r="WF129" i="1" s="1"/>
  <c r="WQ129" i="1" s="1"/>
  <c r="VW128" i="1"/>
  <c r="VV128" i="1"/>
  <c r="VR128" i="1"/>
  <c r="VP128" i="1"/>
  <c r="WF128" i="1" s="1"/>
  <c r="VW127" i="1"/>
  <c r="VV127" i="1"/>
  <c r="VR127" i="1"/>
  <c r="VP127" i="1"/>
  <c r="WF127" i="1" s="1"/>
  <c r="WS127" i="1" s="1"/>
  <c r="VW126" i="1"/>
  <c r="VV126" i="1"/>
  <c r="VR126" i="1"/>
  <c r="VP126" i="1"/>
  <c r="WF126" i="1" s="1"/>
  <c r="WT126" i="1" s="1"/>
  <c r="VW125" i="1"/>
  <c r="VV125" i="1"/>
  <c r="VR125" i="1"/>
  <c r="VP125" i="1"/>
  <c r="WF125" i="1" s="1"/>
  <c r="WQ125" i="1" s="1"/>
  <c r="VW124" i="1"/>
  <c r="VV124" i="1"/>
  <c r="VR124" i="1"/>
  <c r="VP124" i="1"/>
  <c r="WF124" i="1" s="1"/>
  <c r="WP124" i="1" s="1"/>
  <c r="VW123" i="1"/>
  <c r="VV123" i="1"/>
  <c r="VR123" i="1"/>
  <c r="VP123" i="1"/>
  <c r="WF123" i="1" s="1"/>
  <c r="WQ123" i="1" s="1"/>
  <c r="VW122" i="1"/>
  <c r="VV122" i="1"/>
  <c r="VR122" i="1"/>
  <c r="VP122" i="1"/>
  <c r="WF122" i="1" s="1"/>
  <c r="WP122" i="1" s="1"/>
  <c r="VW121" i="1"/>
  <c r="VV121" i="1"/>
  <c r="VR121" i="1"/>
  <c r="VP121" i="1"/>
  <c r="WF121" i="1" s="1"/>
  <c r="WS121" i="1" s="1"/>
  <c r="VW120" i="1"/>
  <c r="VV120" i="1"/>
  <c r="VR120" i="1"/>
  <c r="VP120" i="1"/>
  <c r="WF120" i="1" s="1"/>
  <c r="VW119" i="1"/>
  <c r="VV119" i="1"/>
  <c r="VR119" i="1"/>
  <c r="VP119" i="1"/>
  <c r="WF119" i="1" s="1"/>
  <c r="VW118" i="1"/>
  <c r="VV118" i="1"/>
  <c r="VR118" i="1"/>
  <c r="VP118" i="1"/>
  <c r="WF118" i="1" s="1"/>
  <c r="VW117" i="1"/>
  <c r="VV117" i="1"/>
  <c r="VR117" i="1"/>
  <c r="VP117" i="1"/>
  <c r="WF117" i="1" s="1"/>
  <c r="VW116" i="1"/>
  <c r="VV116" i="1"/>
  <c r="VR116" i="1"/>
  <c r="VP116" i="1"/>
  <c r="WF116" i="1" s="1"/>
  <c r="WQ116" i="1" s="1"/>
  <c r="VW115" i="1"/>
  <c r="VV115" i="1"/>
  <c r="VR115" i="1"/>
  <c r="VP115" i="1"/>
  <c r="WF115" i="1" s="1"/>
  <c r="WQ115" i="1" s="1"/>
  <c r="VW114" i="1"/>
  <c r="VV114" i="1"/>
  <c r="VR114" i="1"/>
  <c r="VP114" i="1"/>
  <c r="WF114" i="1" s="1"/>
  <c r="WP114" i="1" s="1"/>
  <c r="VW113" i="1"/>
  <c r="VV113" i="1"/>
  <c r="VR113" i="1"/>
  <c r="VP113" i="1"/>
  <c r="WF113" i="1" s="1"/>
  <c r="VW112" i="1"/>
  <c r="VV112" i="1"/>
  <c r="VR112" i="1"/>
  <c r="VP112" i="1"/>
  <c r="WF112" i="1" s="1"/>
  <c r="VW111" i="1"/>
  <c r="VV111" i="1"/>
  <c r="VR111" i="1"/>
  <c r="VP111" i="1"/>
  <c r="WF111" i="1" s="1"/>
  <c r="VW110" i="1"/>
  <c r="VV110" i="1"/>
  <c r="VR110" i="1"/>
  <c r="VP110" i="1"/>
  <c r="WF110" i="1" s="1"/>
  <c r="WS110" i="1" s="1"/>
  <c r="VW109" i="1"/>
  <c r="VV109" i="1"/>
  <c r="VR109" i="1"/>
  <c r="VP109" i="1"/>
  <c r="WF109" i="1" s="1"/>
  <c r="WQ109" i="1" s="1"/>
  <c r="VW108" i="1"/>
  <c r="VV108" i="1"/>
  <c r="VR108" i="1"/>
  <c r="VP108" i="1"/>
  <c r="WF108" i="1" s="1"/>
  <c r="WQ108" i="1" s="1"/>
  <c r="VW107" i="1"/>
  <c r="VV107" i="1"/>
  <c r="VR107" i="1"/>
  <c r="VP107" i="1"/>
  <c r="WF107" i="1" s="1"/>
  <c r="WQ107" i="1" s="1"/>
  <c r="VW106" i="1"/>
  <c r="VV106" i="1"/>
  <c r="VR106" i="1"/>
  <c r="VP106" i="1"/>
  <c r="WF106" i="1" s="1"/>
  <c r="VW105" i="1"/>
  <c r="VV105" i="1"/>
  <c r="VR105" i="1"/>
  <c r="VP105" i="1"/>
  <c r="WF105" i="1" s="1"/>
  <c r="WM105" i="1" s="1"/>
  <c r="VW104" i="1"/>
  <c r="VV104" i="1"/>
  <c r="VR104" i="1"/>
  <c r="VP104" i="1"/>
  <c r="WF104" i="1" s="1"/>
  <c r="WP104" i="1" s="1"/>
  <c r="VW103" i="1"/>
  <c r="VV103" i="1"/>
  <c r="VR103" i="1"/>
  <c r="VP103" i="1"/>
  <c r="WF103" i="1" s="1"/>
  <c r="WI103" i="1" s="1"/>
  <c r="VW102" i="1"/>
  <c r="VV102" i="1"/>
  <c r="VR102" i="1"/>
  <c r="VP102" i="1"/>
  <c r="WF102" i="1" s="1"/>
  <c r="VW101" i="1"/>
  <c r="VV101" i="1"/>
  <c r="VR101" i="1"/>
  <c r="VP101" i="1"/>
  <c r="WF101" i="1" s="1"/>
  <c r="WQ101" i="1" s="1"/>
  <c r="VW100" i="1"/>
  <c r="VV100" i="1"/>
  <c r="VR100" i="1"/>
  <c r="VP100" i="1"/>
  <c r="WF100" i="1" s="1"/>
  <c r="WR100" i="1" s="1"/>
  <c r="VW99" i="1"/>
  <c r="VV99" i="1"/>
  <c r="VR99" i="1"/>
  <c r="VP99" i="1"/>
  <c r="WF99" i="1" s="1"/>
  <c r="VW98" i="1"/>
  <c r="VV98" i="1"/>
  <c r="VR98" i="1"/>
  <c r="VP98" i="1"/>
  <c r="WF98" i="1" s="1"/>
  <c r="WT98" i="1" s="1"/>
  <c r="VW97" i="1"/>
  <c r="VV97" i="1"/>
  <c r="VR97" i="1"/>
  <c r="VP97" i="1"/>
  <c r="WF97" i="1" s="1"/>
  <c r="WQ97" i="1" s="1"/>
  <c r="VW96" i="1"/>
  <c r="VV96" i="1"/>
  <c r="VR96" i="1"/>
  <c r="VP96" i="1"/>
  <c r="WF96" i="1" s="1"/>
  <c r="VW95" i="1"/>
  <c r="VV95" i="1"/>
  <c r="VR95" i="1"/>
  <c r="VP95" i="1"/>
  <c r="WF95" i="1" s="1"/>
  <c r="WR95" i="1" s="1"/>
  <c r="VW94" i="1"/>
  <c r="VV94" i="1"/>
  <c r="VR94" i="1"/>
  <c r="VP94" i="1"/>
  <c r="WF94" i="1" s="1"/>
  <c r="VW93" i="1"/>
  <c r="VV93" i="1"/>
  <c r="VR93" i="1"/>
  <c r="VP93" i="1"/>
  <c r="WF93" i="1" s="1"/>
  <c r="VW92" i="1"/>
  <c r="VV92" i="1"/>
  <c r="VR92" i="1"/>
  <c r="VP92" i="1"/>
  <c r="WF92" i="1" s="1"/>
  <c r="WR92" i="1" s="1"/>
  <c r="VW91" i="1"/>
  <c r="VV91" i="1"/>
  <c r="VR91" i="1"/>
  <c r="VP91" i="1"/>
  <c r="WF91" i="1" s="1"/>
  <c r="WI91" i="1" s="1"/>
  <c r="VW90" i="1"/>
  <c r="VV90" i="1"/>
  <c r="VR90" i="1"/>
  <c r="VP90" i="1"/>
  <c r="WF90" i="1" s="1"/>
  <c r="VW89" i="1"/>
  <c r="VV89" i="1"/>
  <c r="VR89" i="1"/>
  <c r="VP89" i="1"/>
  <c r="WF89" i="1" s="1"/>
  <c r="VW88" i="1"/>
  <c r="VV88" i="1"/>
  <c r="VR88" i="1"/>
  <c r="VP88" i="1"/>
  <c r="WF88" i="1" s="1"/>
  <c r="VW87" i="1"/>
  <c r="VV87" i="1"/>
  <c r="VR87" i="1"/>
  <c r="VP87" i="1"/>
  <c r="WF87" i="1" s="1"/>
  <c r="VW86" i="1"/>
  <c r="VV86" i="1"/>
  <c r="VR86" i="1"/>
  <c r="VP86" i="1"/>
  <c r="WF86" i="1" s="1"/>
  <c r="VW85" i="1"/>
  <c r="VV85" i="1"/>
  <c r="VR85" i="1"/>
  <c r="VP85" i="1"/>
  <c r="WF85" i="1" s="1"/>
  <c r="WQ85" i="1" s="1"/>
  <c r="VW84" i="1"/>
  <c r="VV84" i="1"/>
  <c r="VR84" i="1"/>
  <c r="VP84" i="1"/>
  <c r="WF84" i="1" s="1"/>
  <c r="VW83" i="1"/>
  <c r="VV83" i="1"/>
  <c r="VR83" i="1"/>
  <c r="VP83" i="1"/>
  <c r="WF83" i="1" s="1"/>
  <c r="VW82" i="1"/>
  <c r="VV82" i="1"/>
  <c r="VR82" i="1"/>
  <c r="VP82" i="1"/>
  <c r="WF82" i="1" s="1"/>
  <c r="WT82" i="1" s="1"/>
  <c r="VW81" i="1"/>
  <c r="VV81" i="1"/>
  <c r="VR81" i="1"/>
  <c r="VP81" i="1"/>
  <c r="WF81" i="1" s="1"/>
  <c r="WQ81" i="1" s="1"/>
  <c r="VW80" i="1"/>
  <c r="VV80" i="1"/>
  <c r="VR80" i="1"/>
  <c r="VP80" i="1"/>
  <c r="WF80" i="1" s="1"/>
  <c r="VW79" i="1"/>
  <c r="VV79" i="1"/>
  <c r="VR79" i="1"/>
  <c r="VP79" i="1"/>
  <c r="WF79" i="1" s="1"/>
  <c r="VW78" i="1"/>
  <c r="VV78" i="1"/>
  <c r="VR78" i="1"/>
  <c r="VP78" i="1"/>
  <c r="WF78" i="1" s="1"/>
  <c r="VW77" i="1"/>
  <c r="VV77" i="1"/>
  <c r="VR77" i="1"/>
  <c r="VP77" i="1"/>
  <c r="WF77" i="1" s="1"/>
  <c r="WM77" i="1" s="1"/>
  <c r="VW76" i="1"/>
  <c r="VV76" i="1"/>
  <c r="VR76" i="1"/>
  <c r="VP76" i="1"/>
  <c r="WF76" i="1" s="1"/>
  <c r="WN76" i="1" s="1"/>
  <c r="VW75" i="1"/>
  <c r="VV75" i="1"/>
  <c r="VR75" i="1"/>
  <c r="VP75" i="1"/>
  <c r="WF75" i="1" s="1"/>
  <c r="WG75" i="1" s="1"/>
  <c r="VW74" i="1"/>
  <c r="VV74" i="1"/>
  <c r="VR74" i="1"/>
  <c r="VP74" i="1"/>
  <c r="WF74" i="1" s="1"/>
  <c r="WT74" i="1" s="1"/>
  <c r="VW73" i="1"/>
  <c r="VV73" i="1"/>
  <c r="VR73" i="1"/>
  <c r="VP73" i="1"/>
  <c r="WF73" i="1" s="1"/>
  <c r="VW72" i="1"/>
  <c r="VV72" i="1"/>
  <c r="VR72" i="1"/>
  <c r="VP72" i="1"/>
  <c r="WF72" i="1" s="1"/>
  <c r="WJ72" i="1" s="1"/>
  <c r="VW71" i="1"/>
  <c r="VV71" i="1"/>
  <c r="VR71" i="1"/>
  <c r="VP71" i="1"/>
  <c r="WF71" i="1" s="1"/>
  <c r="WG71" i="1" s="1"/>
  <c r="VW70" i="1"/>
  <c r="VV70" i="1"/>
  <c r="VR70" i="1"/>
  <c r="VP70" i="1"/>
  <c r="WF70" i="1" s="1"/>
  <c r="WT70" i="1" s="1"/>
  <c r="VW69" i="1"/>
  <c r="VV69" i="1"/>
  <c r="VR69" i="1"/>
  <c r="VP69" i="1"/>
  <c r="WF69" i="1" s="1"/>
  <c r="WQ69" i="1" s="1"/>
  <c r="VW68" i="1"/>
  <c r="VV68" i="1"/>
  <c r="VR68" i="1"/>
  <c r="VP68" i="1"/>
  <c r="WF68" i="1" s="1"/>
  <c r="VW67" i="1"/>
  <c r="VV67" i="1"/>
  <c r="VR67" i="1"/>
  <c r="VP67" i="1"/>
  <c r="WF67" i="1" s="1"/>
  <c r="WO67" i="1" s="1"/>
  <c r="VW66" i="1"/>
  <c r="VV66" i="1"/>
  <c r="VR66" i="1"/>
  <c r="VP66" i="1"/>
  <c r="WF66" i="1" s="1"/>
  <c r="WT66" i="1" s="1"/>
  <c r="VW65" i="1"/>
  <c r="VV65" i="1"/>
  <c r="VR65" i="1"/>
  <c r="VP65" i="1"/>
  <c r="WF65" i="1" s="1"/>
  <c r="VW64" i="1"/>
  <c r="VV64" i="1"/>
  <c r="VR64" i="1"/>
  <c r="VP64" i="1"/>
  <c r="WF64" i="1" s="1"/>
  <c r="VW63" i="1"/>
  <c r="VV63" i="1"/>
  <c r="VR63" i="1"/>
  <c r="VP63" i="1"/>
  <c r="WF63" i="1" s="1"/>
  <c r="WS63" i="1" s="1"/>
  <c r="VW62" i="1"/>
  <c r="VV62" i="1"/>
  <c r="VR62" i="1"/>
  <c r="VP62" i="1"/>
  <c r="WF62" i="1" s="1"/>
  <c r="VW61" i="1"/>
  <c r="VV61" i="1"/>
  <c r="VR61" i="1"/>
  <c r="VP61" i="1"/>
  <c r="WF61" i="1" s="1"/>
  <c r="VW60" i="1"/>
  <c r="VV60" i="1"/>
  <c r="VR60" i="1"/>
  <c r="VP60" i="1"/>
  <c r="WF60" i="1" s="1"/>
  <c r="VW59" i="1"/>
  <c r="VV59" i="1"/>
  <c r="VR59" i="1"/>
  <c r="VP59" i="1"/>
  <c r="WF59" i="1" s="1"/>
  <c r="VW58" i="1"/>
  <c r="VV58" i="1"/>
  <c r="VR58" i="1"/>
  <c r="VP58" i="1"/>
  <c r="WF58" i="1" s="1"/>
  <c r="VW57" i="1"/>
  <c r="VV57" i="1"/>
  <c r="VR57" i="1"/>
  <c r="VP57" i="1"/>
  <c r="WF57" i="1" s="1"/>
  <c r="WQ57" i="1" s="1"/>
  <c r="VW56" i="1"/>
  <c r="VV56" i="1"/>
  <c r="VR56" i="1"/>
  <c r="VP56" i="1"/>
  <c r="WF56" i="1" s="1"/>
  <c r="VW55" i="1"/>
  <c r="VV55" i="1"/>
  <c r="VR55" i="1"/>
  <c r="VP55" i="1"/>
  <c r="WF55" i="1" s="1"/>
  <c r="WS55" i="1" s="1"/>
  <c r="VW54" i="1"/>
  <c r="VV54" i="1"/>
  <c r="VR54" i="1"/>
  <c r="VP54" i="1"/>
  <c r="WF54" i="1" s="1"/>
  <c r="VW53" i="1"/>
  <c r="VV53" i="1"/>
  <c r="VR53" i="1"/>
  <c r="VP53" i="1"/>
  <c r="WF53" i="1" s="1"/>
  <c r="WI53" i="1" s="1"/>
  <c r="VW52" i="1"/>
  <c r="VV52" i="1"/>
  <c r="VR52" i="1"/>
  <c r="VP52" i="1"/>
  <c r="WF52" i="1" s="1"/>
  <c r="VW51" i="1"/>
  <c r="VV51" i="1"/>
  <c r="VR51" i="1"/>
  <c r="VP51" i="1"/>
  <c r="WF51" i="1" s="1"/>
  <c r="VW50" i="1"/>
  <c r="VV50" i="1"/>
  <c r="VR50" i="1"/>
  <c r="VP50" i="1"/>
  <c r="WF50" i="1" s="1"/>
  <c r="WG50" i="1" s="1"/>
  <c r="VW49" i="1"/>
  <c r="VV49" i="1"/>
  <c r="VR49" i="1"/>
  <c r="VP49" i="1"/>
  <c r="WF49" i="1" s="1"/>
  <c r="VW48" i="1"/>
  <c r="VV48" i="1"/>
  <c r="VR48" i="1"/>
  <c r="VP48" i="1"/>
  <c r="WF48" i="1" s="1"/>
  <c r="VW47" i="1"/>
  <c r="VV47" i="1"/>
  <c r="VR47" i="1"/>
  <c r="VP47" i="1"/>
  <c r="WF47" i="1" s="1"/>
  <c r="WQ47" i="1" s="1"/>
  <c r="VW46" i="1"/>
  <c r="VV46" i="1"/>
  <c r="VR46" i="1"/>
  <c r="VP46" i="1"/>
  <c r="WF46" i="1" s="1"/>
  <c r="VW45" i="1"/>
  <c r="VV45" i="1"/>
  <c r="VR45" i="1"/>
  <c r="VP45" i="1"/>
  <c r="WF45" i="1" s="1"/>
  <c r="VW44" i="1"/>
  <c r="VV44" i="1"/>
  <c r="VS44" i="1"/>
  <c r="VU44" i="1" s="1"/>
  <c r="WL44" i="1" s="1"/>
  <c r="VR44" i="1"/>
  <c r="VP44" i="1"/>
  <c r="WF44" i="1" s="1"/>
  <c r="VW43" i="1"/>
  <c r="VV43" i="1"/>
  <c r="VR43" i="1"/>
  <c r="VP43" i="1"/>
  <c r="WF43" i="1" s="1"/>
  <c r="WQ43" i="1" s="1"/>
  <c r="VW42" i="1"/>
  <c r="VV42" i="1"/>
  <c r="VR42" i="1"/>
  <c r="VP42" i="1"/>
  <c r="WF42" i="1" s="1"/>
  <c r="VW41" i="1"/>
  <c r="VV41" i="1"/>
  <c r="VR41" i="1"/>
  <c r="VP41" i="1"/>
  <c r="WF41" i="1" s="1"/>
  <c r="VW40" i="1"/>
  <c r="VV40" i="1"/>
  <c r="VR40" i="1"/>
  <c r="VP40" i="1"/>
  <c r="WF40" i="1" s="1"/>
  <c r="VW39" i="1"/>
  <c r="VV39" i="1"/>
  <c r="VR39" i="1"/>
  <c r="VP39" i="1"/>
  <c r="WF39" i="1" s="1"/>
  <c r="WQ39" i="1" s="1"/>
  <c r="WC38" i="1"/>
  <c r="WA38" i="1"/>
  <c r="WB38" i="1" s="1"/>
  <c r="VW38" i="1"/>
  <c r="VV38" i="1"/>
  <c r="VS38" i="1"/>
  <c r="VU38" i="1" s="1"/>
  <c r="WL38" i="1" s="1"/>
  <c r="VR38" i="1"/>
  <c r="VP38" i="1"/>
  <c r="WF38" i="1" s="1"/>
  <c r="WG38" i="1" s="1"/>
  <c r="VW37" i="1"/>
  <c r="VV37" i="1"/>
  <c r="VR37" i="1"/>
  <c r="VP37" i="1"/>
  <c r="WF37" i="1" s="1"/>
  <c r="VW36" i="1"/>
  <c r="VV36" i="1"/>
  <c r="VR36" i="1"/>
  <c r="VP36" i="1"/>
  <c r="WF36" i="1" s="1"/>
  <c r="VW35" i="1"/>
  <c r="VV35" i="1"/>
  <c r="VR35" i="1"/>
  <c r="VP35" i="1"/>
  <c r="WF35" i="1" s="1"/>
  <c r="WQ35" i="1" s="1"/>
  <c r="VW34" i="1"/>
  <c r="VV34" i="1"/>
  <c r="VR34" i="1"/>
  <c r="VP34" i="1"/>
  <c r="WF34" i="1" s="1"/>
  <c r="WO34" i="1" s="1"/>
  <c r="VW33" i="1"/>
  <c r="VV33" i="1"/>
  <c r="VR33" i="1"/>
  <c r="VP33" i="1"/>
  <c r="WF33" i="1" s="1"/>
  <c r="VW32" i="1"/>
  <c r="VV32" i="1"/>
  <c r="VR32" i="1"/>
  <c r="VP32" i="1"/>
  <c r="WF32" i="1" s="1"/>
  <c r="VW31" i="1"/>
  <c r="VV31" i="1"/>
  <c r="VR31" i="1"/>
  <c r="VP31" i="1"/>
  <c r="WF31" i="1" s="1"/>
  <c r="WQ31" i="1" s="1"/>
  <c r="VW30" i="1"/>
  <c r="VV30" i="1"/>
  <c r="VR30" i="1"/>
  <c r="VP30" i="1"/>
  <c r="WF30" i="1" s="1"/>
  <c r="WR30" i="1" s="1"/>
  <c r="VW29" i="1"/>
  <c r="VV29" i="1"/>
  <c r="VR29" i="1"/>
  <c r="VP29" i="1"/>
  <c r="WF29" i="1" s="1"/>
  <c r="VW28" i="1"/>
  <c r="VV28" i="1"/>
  <c r="VR28" i="1"/>
  <c r="VP28" i="1"/>
  <c r="WF28" i="1" s="1"/>
  <c r="VW27" i="1"/>
  <c r="VV27" i="1"/>
  <c r="VR27" i="1"/>
  <c r="VP27" i="1"/>
  <c r="WF27" i="1" s="1"/>
  <c r="WQ27" i="1" s="1"/>
  <c r="VW26" i="1"/>
  <c r="VV26" i="1"/>
  <c r="VR26" i="1"/>
  <c r="VP26" i="1"/>
  <c r="WF26" i="1" s="1"/>
  <c r="VW25" i="1"/>
  <c r="VV25" i="1"/>
  <c r="VR25" i="1"/>
  <c r="VP25" i="1"/>
  <c r="WF25" i="1" s="1"/>
  <c r="VW24" i="1"/>
  <c r="VV24" i="1"/>
  <c r="VR24" i="1"/>
  <c r="VP24" i="1"/>
  <c r="WF24" i="1" s="1"/>
  <c r="VW23" i="1"/>
  <c r="VV23" i="1"/>
  <c r="VR23" i="1"/>
  <c r="VP23" i="1"/>
  <c r="WF23" i="1" s="1"/>
  <c r="WQ23" i="1" s="1"/>
  <c r="VW22" i="1"/>
  <c r="VV22" i="1"/>
  <c r="VR22" i="1"/>
  <c r="VP22" i="1"/>
  <c r="WF22" i="1" s="1"/>
  <c r="WR22" i="1" s="1"/>
  <c r="VW21" i="1"/>
  <c r="VV21" i="1"/>
  <c r="VR21" i="1"/>
  <c r="VP21" i="1"/>
  <c r="WF21" i="1" s="1"/>
  <c r="VW20" i="1"/>
  <c r="VV20" i="1"/>
  <c r="VR20" i="1"/>
  <c r="VP20" i="1"/>
  <c r="WF20" i="1" s="1"/>
  <c r="VW19" i="1"/>
  <c r="VV19" i="1"/>
  <c r="VR19" i="1"/>
  <c r="VP19" i="1"/>
  <c r="WF19" i="1" s="1"/>
  <c r="WQ19" i="1" s="1"/>
  <c r="VW18" i="1"/>
  <c r="VV18" i="1"/>
  <c r="VR18" i="1"/>
  <c r="VP18" i="1"/>
  <c r="WF18" i="1" s="1"/>
  <c r="WO18" i="1" s="1"/>
  <c r="VW17" i="1"/>
  <c r="VV17" i="1"/>
  <c r="VR17" i="1"/>
  <c r="VP17" i="1"/>
  <c r="WF17" i="1" s="1"/>
  <c r="VW16" i="1"/>
  <c r="VV16" i="1"/>
  <c r="VR16" i="1"/>
  <c r="VP16" i="1"/>
  <c r="WF16" i="1" s="1"/>
  <c r="VW15" i="1"/>
  <c r="VV15" i="1"/>
  <c r="VR15" i="1"/>
  <c r="VP15" i="1"/>
  <c r="WF15" i="1" s="1"/>
  <c r="WQ15" i="1" s="1"/>
  <c r="VW14" i="1"/>
  <c r="VV14" i="1"/>
  <c r="VR14" i="1"/>
  <c r="VP14" i="1"/>
  <c r="WF14" i="1" s="1"/>
  <c r="VW13" i="1"/>
  <c r="VV13" i="1"/>
  <c r="VR13" i="1"/>
  <c r="VP13" i="1"/>
  <c r="WF13" i="1" s="1"/>
  <c r="VW12" i="1"/>
  <c r="VV12" i="1"/>
  <c r="VR12" i="1"/>
  <c r="VP12" i="1"/>
  <c r="WF12" i="1" s="1"/>
  <c r="VW11" i="1"/>
  <c r="VV11" i="1"/>
  <c r="VR11" i="1"/>
  <c r="VP11" i="1"/>
  <c r="WF11" i="1" s="1"/>
  <c r="WQ11" i="1" s="1"/>
  <c r="VW10" i="1"/>
  <c r="VV10" i="1"/>
  <c r="VR10" i="1"/>
  <c r="VP10" i="1"/>
  <c r="WF10" i="1" s="1"/>
  <c r="VW9" i="1"/>
  <c r="VV9" i="1"/>
  <c r="VR9" i="1"/>
  <c r="VP9" i="1"/>
  <c r="WF9" i="1" s="1"/>
  <c r="VP8" i="1"/>
  <c r="WF8" i="1" s="1"/>
  <c r="WR8" i="1" s="1"/>
  <c r="VW8" i="1"/>
  <c r="VV8" i="1"/>
  <c r="VR8" i="1"/>
  <c r="VW4" i="1"/>
  <c r="VV4" i="1"/>
  <c r="WN111" i="1" l="1"/>
  <c r="AC51" i="29"/>
  <c r="AC55" i="31" s="1"/>
  <c r="WN254" i="1"/>
  <c r="WN258" i="1"/>
  <c r="AC145" i="29"/>
  <c r="AC148" i="31"/>
  <c r="AC136" i="31"/>
  <c r="AC55" i="29"/>
  <c r="WM162" i="1"/>
  <c r="WM164" i="1"/>
  <c r="WM168" i="1"/>
  <c r="WM178" i="1"/>
  <c r="WM192" i="1"/>
  <c r="WM214" i="1"/>
  <c r="WM217" i="1"/>
  <c r="WR211" i="1"/>
  <c r="WP134" i="1"/>
  <c r="WT134" i="1"/>
  <c r="WT138" i="1"/>
  <c r="WH179" i="1"/>
  <c r="WG215" i="1"/>
  <c r="WM51" i="1"/>
  <c r="WP231" i="1"/>
  <c r="WQ77" i="1"/>
  <c r="WP82" i="1"/>
  <c r="WH109" i="1"/>
  <c r="WM147" i="1"/>
  <c r="WI190" i="1"/>
  <c r="WI230" i="1"/>
  <c r="WM81" i="1"/>
  <c r="WN110" i="1"/>
  <c r="WH150" i="1"/>
  <c r="WM241" i="1"/>
  <c r="WP66" i="1"/>
  <c r="WP98" i="1"/>
  <c r="WI157" i="1"/>
  <c r="WS162" i="1"/>
  <c r="WJ237" i="1"/>
  <c r="WM69" i="1"/>
  <c r="WO75" i="1"/>
  <c r="WG105" i="1"/>
  <c r="WG159" i="1"/>
  <c r="WI178" i="1"/>
  <c r="WO204" i="1"/>
  <c r="WO95" i="1"/>
  <c r="WM97" i="1"/>
  <c r="WP101" i="1"/>
  <c r="WM143" i="1"/>
  <c r="WH158" i="1"/>
  <c r="WG248" i="1"/>
  <c r="WR42" i="1"/>
  <c r="WS42" i="1"/>
  <c r="WR46" i="1"/>
  <c r="WS46" i="1"/>
  <c r="WT130" i="1"/>
  <c r="WP130" i="1"/>
  <c r="WG265" i="1"/>
  <c r="WS265" i="1"/>
  <c r="WS22" i="1"/>
  <c r="WS30" i="1"/>
  <c r="WI51" i="1"/>
  <c r="WM53" i="1"/>
  <c r="WS53" i="1"/>
  <c r="WO71" i="1"/>
  <c r="WT104" i="1"/>
  <c r="WT173" i="1"/>
  <c r="WR173" i="1"/>
  <c r="WJ173" i="1"/>
  <c r="WQ180" i="1"/>
  <c r="WO180" i="1"/>
  <c r="WR236" i="1"/>
  <c r="WG236" i="1"/>
  <c r="WQ238" i="1"/>
  <c r="WM238" i="1"/>
  <c r="WI238" i="1"/>
  <c r="WM93" i="1"/>
  <c r="WI93" i="1"/>
  <c r="WQ51" i="1"/>
  <c r="WM59" i="1"/>
  <c r="WI59" i="1"/>
  <c r="WR83" i="1"/>
  <c r="WO83" i="1"/>
  <c r="WT94" i="1"/>
  <c r="WP94" i="1"/>
  <c r="WR131" i="1"/>
  <c r="WO131" i="1"/>
  <c r="WQ151" i="1"/>
  <c r="WO151" i="1"/>
  <c r="WG151" i="1"/>
  <c r="WT167" i="1"/>
  <c r="WR167" i="1"/>
  <c r="WJ167" i="1"/>
  <c r="WS174" i="1"/>
  <c r="WI174" i="1"/>
  <c r="WP239" i="1"/>
  <c r="WH239" i="1"/>
  <c r="WS250" i="1"/>
  <c r="WQ263" i="1"/>
  <c r="WM263" i="1"/>
  <c r="WQ55" i="1"/>
  <c r="WI55" i="1"/>
  <c r="WS67" i="1"/>
  <c r="WG67" i="1"/>
  <c r="WS118" i="1"/>
  <c r="WN118" i="1"/>
  <c r="WH118" i="1"/>
  <c r="VU226" i="1"/>
  <c r="WL226" i="1" s="1"/>
  <c r="VT226" i="1"/>
  <c r="WK226" i="1" s="1"/>
  <c r="WR35" i="1"/>
  <c r="WQ59" i="1"/>
  <c r="WR99" i="1"/>
  <c r="WO99" i="1"/>
  <c r="WI191" i="1"/>
  <c r="WP209" i="1"/>
  <c r="WT209" i="1"/>
  <c r="VT227" i="1"/>
  <c r="WK227" i="1" s="1"/>
  <c r="VU227" i="1"/>
  <c r="WL227" i="1" s="1"/>
  <c r="WH235" i="1"/>
  <c r="WP235" i="1"/>
  <c r="WO246" i="1"/>
  <c r="WS246" i="1"/>
  <c r="WQ246" i="1"/>
  <c r="WG246" i="1"/>
  <c r="WP70" i="1"/>
  <c r="WM101" i="1"/>
  <c r="WS101" i="1"/>
  <c r="WP105" i="1"/>
  <c r="WS109" i="1"/>
  <c r="WO125" i="1"/>
  <c r="WI182" i="1"/>
  <c r="WG192" i="1"/>
  <c r="WT241" i="1"/>
  <c r="WG242" i="1"/>
  <c r="WP192" i="1"/>
  <c r="WP214" i="1"/>
  <c r="WP242" i="1"/>
  <c r="WM91" i="1"/>
  <c r="WG135" i="1"/>
  <c r="WO139" i="1"/>
  <c r="WM153" i="1"/>
  <c r="WM188" i="1"/>
  <c r="WQ192" i="1"/>
  <c r="WP264" i="1"/>
  <c r="WG269" i="1"/>
  <c r="WM271" i="1"/>
  <c r="WG87" i="1"/>
  <c r="WO87" i="1"/>
  <c r="WP113" i="1"/>
  <c r="WG113" i="1"/>
  <c r="WM113" i="1"/>
  <c r="WS113" i="1"/>
  <c r="WR132" i="1"/>
  <c r="WN132" i="1"/>
  <c r="WT52" i="1"/>
  <c r="WH52" i="1"/>
  <c r="WP52" i="1"/>
  <c r="WR52" i="1"/>
  <c r="WM61" i="1"/>
  <c r="WS61" i="1"/>
  <c r="WI61" i="1"/>
  <c r="WR84" i="1"/>
  <c r="WN84" i="1"/>
  <c r="WJ84" i="1"/>
  <c r="WS87" i="1"/>
  <c r="WR91" i="1"/>
  <c r="WS91" i="1"/>
  <c r="WG91" i="1"/>
  <c r="WQ91" i="1"/>
  <c r="WO91" i="1"/>
  <c r="WO103" i="1"/>
  <c r="WS103" i="1"/>
  <c r="WN103" i="1"/>
  <c r="WQ121" i="1"/>
  <c r="WO121" i="1"/>
  <c r="WG121" i="1"/>
  <c r="WG127" i="1"/>
  <c r="WM149" i="1"/>
  <c r="WI149" i="1"/>
  <c r="WR155" i="1"/>
  <c r="WS155" i="1"/>
  <c r="WO155" i="1"/>
  <c r="WI155" i="1"/>
  <c r="WG155" i="1"/>
  <c r="WR14" i="1"/>
  <c r="WS14" i="1"/>
  <c r="WO14" i="1"/>
  <c r="WG14" i="1"/>
  <c r="WR26" i="1"/>
  <c r="WO26" i="1"/>
  <c r="WS26" i="1"/>
  <c r="WO63" i="1"/>
  <c r="WG63" i="1"/>
  <c r="WR10" i="1"/>
  <c r="WG10" i="1"/>
  <c r="WS10" i="1"/>
  <c r="WO10" i="1"/>
  <c r="WR18" i="1"/>
  <c r="WG18" i="1"/>
  <c r="WS18" i="1"/>
  <c r="WG26" i="1"/>
  <c r="WQ61" i="1"/>
  <c r="WR64" i="1"/>
  <c r="WJ64" i="1"/>
  <c r="WH113" i="1"/>
  <c r="WR123" i="1"/>
  <c r="WO123" i="1"/>
  <c r="WS123" i="1"/>
  <c r="WG123" i="1"/>
  <c r="WI123" i="1"/>
  <c r="WR135" i="1"/>
  <c r="WQ135" i="1"/>
  <c r="WI135" i="1"/>
  <c r="WO135" i="1"/>
  <c r="WR136" i="1"/>
  <c r="WN136" i="1"/>
  <c r="WT142" i="1"/>
  <c r="WP142" i="1"/>
  <c r="WM166" i="1"/>
  <c r="WS166" i="1"/>
  <c r="WM172" i="1"/>
  <c r="WS172" i="1"/>
  <c r="WR80" i="1"/>
  <c r="WN80" i="1"/>
  <c r="WJ80" i="1"/>
  <c r="WO111" i="1"/>
  <c r="WI111" i="1"/>
  <c r="WS111" i="1"/>
  <c r="WQ117" i="1"/>
  <c r="WH117" i="1"/>
  <c r="WS117" i="1"/>
  <c r="WP117" i="1"/>
  <c r="WR152" i="1"/>
  <c r="WN152" i="1"/>
  <c r="WR206" i="1"/>
  <c r="WS206" i="1"/>
  <c r="WG206" i="1"/>
  <c r="WO206" i="1"/>
  <c r="WI206" i="1"/>
  <c r="WQ206" i="1"/>
  <c r="WR34" i="1"/>
  <c r="WG34" i="1"/>
  <c r="WS34" i="1"/>
  <c r="WR38" i="1"/>
  <c r="WS38" i="1"/>
  <c r="WO38" i="1"/>
  <c r="WR50" i="1"/>
  <c r="WS50" i="1"/>
  <c r="WO50" i="1"/>
  <c r="WJ52" i="1"/>
  <c r="WI65" i="1"/>
  <c r="WQ65" i="1"/>
  <c r="WR68" i="1"/>
  <c r="WJ68" i="1"/>
  <c r="WJ76" i="1"/>
  <c r="WR76" i="1"/>
  <c r="WT86" i="1"/>
  <c r="WP86" i="1"/>
  <c r="WN92" i="1"/>
  <c r="WJ92" i="1"/>
  <c r="WR96" i="1"/>
  <c r="WN96" i="1"/>
  <c r="WJ96" i="1"/>
  <c r="WP112" i="1"/>
  <c r="WT112" i="1"/>
  <c r="WN112" i="1"/>
  <c r="WI112" i="1"/>
  <c r="WQ113" i="1"/>
  <c r="WS119" i="1"/>
  <c r="WQ119" i="1"/>
  <c r="WI119" i="1"/>
  <c r="WR127" i="1"/>
  <c r="WQ127" i="1"/>
  <c r="WO127" i="1"/>
  <c r="WI127" i="1"/>
  <c r="WR128" i="1"/>
  <c r="WN128" i="1"/>
  <c r="WN140" i="1"/>
  <c r="WJ140" i="1"/>
  <c r="WR140" i="1"/>
  <c r="WN156" i="1"/>
  <c r="WJ156" i="1"/>
  <c r="WR156" i="1"/>
  <c r="WT161" i="1"/>
  <c r="WR161" i="1"/>
  <c r="WT169" i="1"/>
  <c r="WR169" i="1"/>
  <c r="WJ169" i="1"/>
  <c r="WR184" i="1"/>
  <c r="WO184" i="1"/>
  <c r="WI184" i="1"/>
  <c r="WG184" i="1"/>
  <c r="WN207" i="1"/>
  <c r="WN262" i="1"/>
  <c r="WR262" i="1"/>
  <c r="WS71" i="1"/>
  <c r="WQ99" i="1"/>
  <c r="WM117" i="1"/>
  <c r="WM127" i="1"/>
  <c r="WR143" i="1"/>
  <c r="WQ143" i="1"/>
  <c r="WG143" i="1"/>
  <c r="WO143" i="1"/>
  <c r="WT146" i="1"/>
  <c r="WP146" i="1"/>
  <c r="WM170" i="1"/>
  <c r="WS170" i="1"/>
  <c r="WN177" i="1"/>
  <c r="WJ177" i="1"/>
  <c r="WQ184" i="1"/>
  <c r="WR188" i="1"/>
  <c r="WS188" i="1"/>
  <c r="WG188" i="1"/>
  <c r="WQ188" i="1"/>
  <c r="WQ196" i="1"/>
  <c r="WS196" i="1"/>
  <c r="WG196" i="1"/>
  <c r="WI208" i="1"/>
  <c r="WQ208" i="1"/>
  <c r="WM208" i="1"/>
  <c r="WR210" i="1"/>
  <c r="WO210" i="1"/>
  <c r="WI210" i="1"/>
  <c r="WG210" i="1"/>
  <c r="WT213" i="1"/>
  <c r="WP213" i="1"/>
  <c r="WO216" i="1"/>
  <c r="WO224" i="1"/>
  <c r="WG224" i="1"/>
  <c r="WS224" i="1"/>
  <c r="WI224" i="1"/>
  <c r="WR224" i="1"/>
  <c r="WN224" i="1"/>
  <c r="WP227" i="1"/>
  <c r="WT227" i="1"/>
  <c r="WH227" i="1"/>
  <c r="WR252" i="1"/>
  <c r="WQ252" i="1"/>
  <c r="WO252" i="1"/>
  <c r="WI252" i="1"/>
  <c r="WG252" i="1"/>
  <c r="WM252" i="1"/>
  <c r="WJ262" i="1"/>
  <c r="WJ270" i="1"/>
  <c r="WR176" i="1"/>
  <c r="WQ176" i="1"/>
  <c r="WO176" i="1"/>
  <c r="WM176" i="1"/>
  <c r="WS176" i="1"/>
  <c r="WR253" i="1"/>
  <c r="WN253" i="1"/>
  <c r="WQ95" i="1"/>
  <c r="WH105" i="1"/>
  <c r="WQ105" i="1"/>
  <c r="WS125" i="1"/>
  <c r="WQ131" i="1"/>
  <c r="WQ139" i="1"/>
  <c r="WG22" i="1"/>
  <c r="WG30" i="1"/>
  <c r="VT38" i="1"/>
  <c r="WK38" i="1" s="1"/>
  <c r="WG42" i="1"/>
  <c r="VT44" i="1"/>
  <c r="WK44" i="1" s="1"/>
  <c r="WG46" i="1"/>
  <c r="WS51" i="1"/>
  <c r="WM55" i="1"/>
  <c r="WG83" i="1"/>
  <c r="WS83" i="1"/>
  <c r="WI85" i="1"/>
  <c r="WQ93" i="1"/>
  <c r="WG95" i="1"/>
  <c r="WS95" i="1"/>
  <c r="WG99" i="1"/>
  <c r="WS99" i="1"/>
  <c r="WJ100" i="1"/>
  <c r="WI104" i="1"/>
  <c r="WS105" i="1"/>
  <c r="WM123" i="1"/>
  <c r="WG131" i="1"/>
  <c r="WS131" i="1"/>
  <c r="WG139" i="1"/>
  <c r="WS139" i="1"/>
  <c r="WQ141" i="1"/>
  <c r="WM141" i="1"/>
  <c r="WI143" i="1"/>
  <c r="WR144" i="1"/>
  <c r="WR147" i="1"/>
  <c r="WQ147" i="1"/>
  <c r="WG147" i="1"/>
  <c r="WO147" i="1"/>
  <c r="WT163" i="1"/>
  <c r="WR163" i="1"/>
  <c r="WT165" i="1"/>
  <c r="WJ165" i="1"/>
  <c r="WT171" i="1"/>
  <c r="WJ171" i="1"/>
  <c r="WG176" i="1"/>
  <c r="WR177" i="1"/>
  <c r="WS184" i="1"/>
  <c r="WI188" i="1"/>
  <c r="WJ189" i="1"/>
  <c r="WR198" i="1"/>
  <c r="WI198" i="1"/>
  <c r="WO198" i="1"/>
  <c r="WG198" i="1"/>
  <c r="WR202" i="1"/>
  <c r="WI202" i="1"/>
  <c r="WS202" i="1"/>
  <c r="WQ202" i="1"/>
  <c r="WQ210" i="1"/>
  <c r="WQ222" i="1"/>
  <c r="WP222" i="1"/>
  <c r="WS222" i="1"/>
  <c r="WJ224" i="1"/>
  <c r="WS228" i="1"/>
  <c r="WR228" i="1"/>
  <c r="WJ228" i="1"/>
  <c r="WR233" i="1"/>
  <c r="WJ233" i="1"/>
  <c r="WN233" i="1"/>
  <c r="WO255" i="1"/>
  <c r="WS257" i="1"/>
  <c r="WI257" i="1"/>
  <c r="WQ257" i="1"/>
  <c r="WM257" i="1"/>
  <c r="WQ186" i="1"/>
  <c r="WI186" i="1"/>
  <c r="WR207" i="1"/>
  <c r="WJ207" i="1"/>
  <c r="WS216" i="1"/>
  <c r="WM216" i="1"/>
  <c r="WJ216" i="1"/>
  <c r="WG216" i="1"/>
  <c r="WM229" i="1"/>
  <c r="WR229" i="1"/>
  <c r="WQ83" i="1"/>
  <c r="WM135" i="1"/>
  <c r="WO22" i="1"/>
  <c r="WO30" i="1"/>
  <c r="WO42" i="1"/>
  <c r="WO46" i="1"/>
  <c r="WQ53" i="1"/>
  <c r="WM83" i="1"/>
  <c r="WI83" i="1"/>
  <c r="WM85" i="1"/>
  <c r="WM95" i="1"/>
  <c r="WI95" i="1"/>
  <c r="WM99" i="1"/>
  <c r="WI99" i="1"/>
  <c r="WH101" i="1"/>
  <c r="WN104" i="1"/>
  <c r="WM109" i="1"/>
  <c r="WP109" i="1"/>
  <c r="WH110" i="1"/>
  <c r="WG125" i="1"/>
  <c r="WM131" i="1"/>
  <c r="WI131" i="1"/>
  <c r="WM139" i="1"/>
  <c r="WI139" i="1"/>
  <c r="WQ145" i="1"/>
  <c r="WM145" i="1"/>
  <c r="WI147" i="1"/>
  <c r="WR148" i="1"/>
  <c r="WR151" i="1"/>
  <c r="WS151" i="1"/>
  <c r="WI151" i="1"/>
  <c r="WO159" i="1"/>
  <c r="WR159" i="1"/>
  <c r="WM160" i="1"/>
  <c r="WS160" i="1"/>
  <c r="WJ163" i="1"/>
  <c r="WR165" i="1"/>
  <c r="WR171" i="1"/>
  <c r="WI176" i="1"/>
  <c r="WQ178" i="1"/>
  <c r="WR180" i="1"/>
  <c r="WI180" i="1"/>
  <c r="WS180" i="1"/>
  <c r="WG180" i="1"/>
  <c r="WN181" i="1"/>
  <c r="WJ181" i="1"/>
  <c r="WP187" i="1"/>
  <c r="WH187" i="1"/>
  <c r="WO188" i="1"/>
  <c r="WO196" i="1"/>
  <c r="WQ198" i="1"/>
  <c r="WQ200" i="1"/>
  <c r="WG200" i="1"/>
  <c r="WS200" i="1"/>
  <c r="WO200" i="1"/>
  <c r="WG202" i="1"/>
  <c r="WS210" i="1"/>
  <c r="WQ212" i="1"/>
  <c r="WM212" i="1"/>
  <c r="WM224" i="1"/>
  <c r="WR232" i="1"/>
  <c r="WS232" i="1"/>
  <c r="WG232" i="1"/>
  <c r="WM234" i="1"/>
  <c r="WQ234" i="1"/>
  <c r="WP251" i="1"/>
  <c r="WT251" i="1"/>
  <c r="WS252" i="1"/>
  <c r="WM151" i="1"/>
  <c r="WM157" i="1"/>
  <c r="WS168" i="1"/>
  <c r="WQ174" i="1"/>
  <c r="WM180" i="1"/>
  <c r="WH183" i="1"/>
  <c r="WH192" i="1"/>
  <c r="WS192" i="1"/>
  <c r="WQ204" i="1"/>
  <c r="WG204" i="1"/>
  <c r="WM210" i="1"/>
  <c r="WG214" i="1"/>
  <c r="WQ214" i="1"/>
  <c r="WM230" i="1"/>
  <c r="WS236" i="1"/>
  <c r="VU161" i="1"/>
  <c r="WL161" i="1" s="1"/>
  <c r="WS164" i="1"/>
  <c r="WM184" i="1"/>
  <c r="WJ185" i="1"/>
  <c r="WP191" i="1"/>
  <c r="WN191" i="1"/>
  <c r="WM206" i="1"/>
  <c r="WH214" i="1"/>
  <c r="WS214" i="1"/>
  <c r="WS218" i="1"/>
  <c r="WG218" i="1"/>
  <c r="WQ218" i="1"/>
  <c r="WT223" i="1"/>
  <c r="WO223" i="1"/>
  <c r="WN237" i="1"/>
  <c r="WT240" i="1"/>
  <c r="WS240" i="1"/>
  <c r="WO240" i="1"/>
  <c r="WP241" i="1"/>
  <c r="WR241" i="1"/>
  <c r="WH241" i="1"/>
  <c r="WN241" i="1"/>
  <c r="WM242" i="1"/>
  <c r="WS242" i="1"/>
  <c r="WH242" i="1"/>
  <c r="WR248" i="1"/>
  <c r="WQ248" i="1"/>
  <c r="WO248" i="1"/>
  <c r="WM248" i="1"/>
  <c r="WS248" i="1"/>
  <c r="WQ250" i="1"/>
  <c r="WO250" i="1"/>
  <c r="WI250" i="1"/>
  <c r="WI246" i="1"/>
  <c r="WT268" i="1"/>
  <c r="WO269" i="1"/>
  <c r="WM198" i="1"/>
  <c r="WM202" i="1"/>
  <c r="WM222" i="1"/>
  <c r="WN270" i="1"/>
  <c r="WS13" i="1"/>
  <c r="WO13" i="1"/>
  <c r="WG13" i="1"/>
  <c r="WR13" i="1"/>
  <c r="WN13" i="1"/>
  <c r="WJ13" i="1"/>
  <c r="WQ13" i="1"/>
  <c r="WM13" i="1"/>
  <c r="WI13" i="1"/>
  <c r="WT13" i="1"/>
  <c r="WP13" i="1"/>
  <c r="WH13" i="1"/>
  <c r="WT16" i="1"/>
  <c r="WP16" i="1"/>
  <c r="WH16" i="1"/>
  <c r="WI16" i="1"/>
  <c r="WS16" i="1"/>
  <c r="WO16" i="1"/>
  <c r="WG16" i="1"/>
  <c r="WR16" i="1"/>
  <c r="WN16" i="1"/>
  <c r="WJ16" i="1"/>
  <c r="WQ16" i="1"/>
  <c r="WM16" i="1"/>
  <c r="WS17" i="1"/>
  <c r="WO17" i="1"/>
  <c r="WG17" i="1"/>
  <c r="WP17" i="1"/>
  <c r="WR17" i="1"/>
  <c r="WN17" i="1"/>
  <c r="WJ17" i="1"/>
  <c r="WT17" i="1"/>
  <c r="WH17" i="1"/>
  <c r="WQ17" i="1"/>
  <c r="WM17" i="1"/>
  <c r="WI17" i="1"/>
  <c r="WS9" i="1"/>
  <c r="WO9" i="1"/>
  <c r="WG9" i="1"/>
  <c r="WR9" i="1"/>
  <c r="WN9" i="1"/>
  <c r="WJ9" i="1"/>
  <c r="WT9" i="1"/>
  <c r="WP9" i="1"/>
  <c r="WH9" i="1"/>
  <c r="WQ9" i="1"/>
  <c r="WM9" i="1"/>
  <c r="WI9" i="1"/>
  <c r="WS21" i="1"/>
  <c r="WO21" i="1"/>
  <c r="WG21" i="1"/>
  <c r="WP21" i="1"/>
  <c r="WH21" i="1"/>
  <c r="WR21" i="1"/>
  <c r="WN21" i="1"/>
  <c r="WJ21" i="1"/>
  <c r="WT21" i="1"/>
  <c r="WQ21" i="1"/>
  <c r="WM21" i="1"/>
  <c r="WI21" i="1"/>
  <c r="WT28" i="1"/>
  <c r="WP28" i="1"/>
  <c r="WH28" i="1"/>
  <c r="WQ28" i="1"/>
  <c r="WM28" i="1"/>
  <c r="WS28" i="1"/>
  <c r="WO28" i="1"/>
  <c r="WG28" i="1"/>
  <c r="WI28" i="1"/>
  <c r="WR28" i="1"/>
  <c r="WN28" i="1"/>
  <c r="WJ28" i="1"/>
  <c r="WT36" i="1"/>
  <c r="WP36" i="1"/>
  <c r="WH36" i="1"/>
  <c r="WQ36" i="1"/>
  <c r="WM36" i="1"/>
  <c r="WI36" i="1"/>
  <c r="WS36" i="1"/>
  <c r="WO36" i="1"/>
  <c r="WG36" i="1"/>
  <c r="WR36" i="1"/>
  <c r="WN36" i="1"/>
  <c r="WJ36" i="1"/>
  <c r="WS45" i="1"/>
  <c r="WO45" i="1"/>
  <c r="WG45" i="1"/>
  <c r="WP45" i="1"/>
  <c r="WR45" i="1"/>
  <c r="WN45" i="1"/>
  <c r="WJ45" i="1"/>
  <c r="WH45" i="1"/>
  <c r="WQ45" i="1"/>
  <c r="WM45" i="1"/>
  <c r="WI45" i="1"/>
  <c r="WT45" i="1"/>
  <c r="WS62" i="1"/>
  <c r="WO62" i="1"/>
  <c r="WG62" i="1"/>
  <c r="WQ62" i="1"/>
  <c r="WM62" i="1"/>
  <c r="WI62" i="1"/>
  <c r="WR62" i="1"/>
  <c r="WJ62" i="1"/>
  <c r="WP62" i="1"/>
  <c r="WH62" i="1"/>
  <c r="WT62" i="1"/>
  <c r="WN62" i="1"/>
  <c r="WS25" i="1"/>
  <c r="WO25" i="1"/>
  <c r="WG25" i="1"/>
  <c r="WP25" i="1"/>
  <c r="WH25" i="1"/>
  <c r="WR25" i="1"/>
  <c r="WN25" i="1"/>
  <c r="WJ25" i="1"/>
  <c r="WT25" i="1"/>
  <c r="WQ25" i="1"/>
  <c r="WM25" i="1"/>
  <c r="WI25" i="1"/>
  <c r="WT40" i="1"/>
  <c r="WP40" i="1"/>
  <c r="WH40" i="1"/>
  <c r="WQ40" i="1"/>
  <c r="WM40" i="1"/>
  <c r="WI40" i="1"/>
  <c r="WS40" i="1"/>
  <c r="WO40" i="1"/>
  <c r="WG40" i="1"/>
  <c r="WR40" i="1"/>
  <c r="WN40" i="1"/>
  <c r="WJ40" i="1"/>
  <c r="WS49" i="1"/>
  <c r="WO49" i="1"/>
  <c r="WG49" i="1"/>
  <c r="WP49" i="1"/>
  <c r="WR49" i="1"/>
  <c r="WN49" i="1"/>
  <c r="WJ49" i="1"/>
  <c r="WQ49" i="1"/>
  <c r="WM49" i="1"/>
  <c r="WI49" i="1"/>
  <c r="WT49" i="1"/>
  <c r="WH49" i="1"/>
  <c r="WS58" i="1"/>
  <c r="WO58" i="1"/>
  <c r="WG58" i="1"/>
  <c r="WQ58" i="1"/>
  <c r="WM58" i="1"/>
  <c r="WI58" i="1"/>
  <c r="WN58" i="1"/>
  <c r="WT58" i="1"/>
  <c r="WP58" i="1"/>
  <c r="WH58" i="1"/>
  <c r="WR58" i="1"/>
  <c r="WJ58" i="1"/>
  <c r="WT20" i="1"/>
  <c r="WP20" i="1"/>
  <c r="WH20" i="1"/>
  <c r="WQ20" i="1"/>
  <c r="WM20" i="1"/>
  <c r="WI20" i="1"/>
  <c r="WS20" i="1"/>
  <c r="WO20" i="1"/>
  <c r="WG20" i="1"/>
  <c r="WR20" i="1"/>
  <c r="WN20" i="1"/>
  <c r="WJ20" i="1"/>
  <c r="WS29" i="1"/>
  <c r="WO29" i="1"/>
  <c r="WG29" i="1"/>
  <c r="WT29" i="1"/>
  <c r="WP29" i="1"/>
  <c r="WH29" i="1"/>
  <c r="WR29" i="1"/>
  <c r="WN29" i="1"/>
  <c r="WJ29" i="1"/>
  <c r="WQ29" i="1"/>
  <c r="WM29" i="1"/>
  <c r="WI29" i="1"/>
  <c r="WT32" i="1"/>
  <c r="WP32" i="1"/>
  <c r="WH32" i="1"/>
  <c r="WQ32" i="1"/>
  <c r="WI32" i="1"/>
  <c r="WS32" i="1"/>
  <c r="WO32" i="1"/>
  <c r="WG32" i="1"/>
  <c r="WM32" i="1"/>
  <c r="WR32" i="1"/>
  <c r="WN32" i="1"/>
  <c r="WJ32" i="1"/>
  <c r="WS33" i="1"/>
  <c r="WO33" i="1"/>
  <c r="WG33" i="1"/>
  <c r="WT33" i="1"/>
  <c r="WP33" i="1"/>
  <c r="WH33" i="1"/>
  <c r="WR33" i="1"/>
  <c r="WN33" i="1"/>
  <c r="WJ33" i="1"/>
  <c r="WQ33" i="1"/>
  <c r="WM33" i="1"/>
  <c r="WI33" i="1"/>
  <c r="WS37" i="1"/>
  <c r="WO37" i="1"/>
  <c r="WG37" i="1"/>
  <c r="WT37" i="1"/>
  <c r="WP37" i="1"/>
  <c r="WR37" i="1"/>
  <c r="WN37" i="1"/>
  <c r="WJ37" i="1"/>
  <c r="WQ37" i="1"/>
  <c r="WM37" i="1"/>
  <c r="WI37" i="1"/>
  <c r="WH37" i="1"/>
  <c r="WT44" i="1"/>
  <c r="WP44" i="1"/>
  <c r="WH44" i="1"/>
  <c r="WQ44" i="1"/>
  <c r="WM44" i="1"/>
  <c r="WI44" i="1"/>
  <c r="WS44" i="1"/>
  <c r="WO44" i="1"/>
  <c r="WG44" i="1"/>
  <c r="WR44" i="1"/>
  <c r="WN44" i="1"/>
  <c r="WJ44" i="1"/>
  <c r="WQ56" i="1"/>
  <c r="WM56" i="1"/>
  <c r="WI56" i="1"/>
  <c r="WS56" i="1"/>
  <c r="WO56" i="1"/>
  <c r="WG56" i="1"/>
  <c r="WT56" i="1"/>
  <c r="WN56" i="1"/>
  <c r="WR56" i="1"/>
  <c r="WJ56" i="1"/>
  <c r="WP56" i="1"/>
  <c r="WH56" i="1"/>
  <c r="WQ60" i="1"/>
  <c r="WM60" i="1"/>
  <c r="WI60" i="1"/>
  <c r="WS60" i="1"/>
  <c r="WO60" i="1"/>
  <c r="WG60" i="1"/>
  <c r="WP60" i="1"/>
  <c r="WH60" i="1"/>
  <c r="WN60" i="1"/>
  <c r="WR60" i="1"/>
  <c r="WT60" i="1"/>
  <c r="WJ60" i="1"/>
  <c r="WT12" i="1"/>
  <c r="WP12" i="1"/>
  <c r="WH12" i="1"/>
  <c r="WQ12" i="1"/>
  <c r="WI12" i="1"/>
  <c r="WS12" i="1"/>
  <c r="WO12" i="1"/>
  <c r="WG12" i="1"/>
  <c r="WR12" i="1"/>
  <c r="WN12" i="1"/>
  <c r="WJ12" i="1"/>
  <c r="WM12" i="1"/>
  <c r="WT24" i="1"/>
  <c r="WP24" i="1"/>
  <c r="WH24" i="1"/>
  <c r="WS24" i="1"/>
  <c r="WO24" i="1"/>
  <c r="WG24" i="1"/>
  <c r="WM24" i="1"/>
  <c r="WR24" i="1"/>
  <c r="WN24" i="1"/>
  <c r="WJ24" i="1"/>
  <c r="WQ24" i="1"/>
  <c r="WI24" i="1"/>
  <c r="WS41" i="1"/>
  <c r="WO41" i="1"/>
  <c r="WG41" i="1"/>
  <c r="WP41" i="1"/>
  <c r="WR41" i="1"/>
  <c r="WN41" i="1"/>
  <c r="WJ41" i="1"/>
  <c r="WT41" i="1"/>
  <c r="WQ41" i="1"/>
  <c r="WM41" i="1"/>
  <c r="WI41" i="1"/>
  <c r="WH41" i="1"/>
  <c r="WT48" i="1"/>
  <c r="WP48" i="1"/>
  <c r="WH48" i="1"/>
  <c r="WS48" i="1"/>
  <c r="WO48" i="1"/>
  <c r="WG48" i="1"/>
  <c r="WR48" i="1"/>
  <c r="WN48" i="1"/>
  <c r="WJ48" i="1"/>
  <c r="WQ48" i="1"/>
  <c r="WM48" i="1"/>
  <c r="WI48" i="1"/>
  <c r="WS54" i="1"/>
  <c r="WO54" i="1"/>
  <c r="WG54" i="1"/>
  <c r="WQ54" i="1"/>
  <c r="WM54" i="1"/>
  <c r="WI54" i="1"/>
  <c r="WR54" i="1"/>
  <c r="WJ54" i="1"/>
  <c r="WP54" i="1"/>
  <c r="WH54" i="1"/>
  <c r="WN54" i="1"/>
  <c r="WT54" i="1"/>
  <c r="WJ11" i="1"/>
  <c r="WJ35" i="1"/>
  <c r="WJ39" i="1"/>
  <c r="WR39" i="1"/>
  <c r="WJ47" i="1"/>
  <c r="WN47" i="1"/>
  <c r="WT73" i="1"/>
  <c r="WP73" i="1"/>
  <c r="WH73" i="1"/>
  <c r="WS73" i="1"/>
  <c r="WO73" i="1"/>
  <c r="WG73" i="1"/>
  <c r="WR73" i="1"/>
  <c r="WN73" i="1"/>
  <c r="WJ73" i="1"/>
  <c r="WI73" i="1"/>
  <c r="WS78" i="1"/>
  <c r="WO78" i="1"/>
  <c r="WG78" i="1"/>
  <c r="WR78" i="1"/>
  <c r="WN78" i="1"/>
  <c r="WJ78" i="1"/>
  <c r="WQ78" i="1"/>
  <c r="WM78" i="1"/>
  <c r="WI78" i="1"/>
  <c r="WR79" i="1"/>
  <c r="WN79" i="1"/>
  <c r="WJ79" i="1"/>
  <c r="WQ79" i="1"/>
  <c r="WM79" i="1"/>
  <c r="WI79" i="1"/>
  <c r="WT79" i="1"/>
  <c r="WP79" i="1"/>
  <c r="WH79" i="1"/>
  <c r="WQ88" i="1"/>
  <c r="WM88" i="1"/>
  <c r="WI88" i="1"/>
  <c r="WT88" i="1"/>
  <c r="WP88" i="1"/>
  <c r="WH88" i="1"/>
  <c r="WS88" i="1"/>
  <c r="WO88" i="1"/>
  <c r="WG88" i="1"/>
  <c r="WT89" i="1"/>
  <c r="WP89" i="1"/>
  <c r="WH89" i="1"/>
  <c r="WS89" i="1"/>
  <c r="WO89" i="1"/>
  <c r="WG89" i="1"/>
  <c r="WR89" i="1"/>
  <c r="WN89" i="1"/>
  <c r="WJ89" i="1"/>
  <c r="WQ102" i="1"/>
  <c r="WM102" i="1"/>
  <c r="WI102" i="1"/>
  <c r="WR102" i="1"/>
  <c r="WG102" i="1"/>
  <c r="WP102" i="1"/>
  <c r="WT102" i="1"/>
  <c r="WO102" i="1"/>
  <c r="WJ102" i="1"/>
  <c r="WQ106" i="1"/>
  <c r="WM106" i="1"/>
  <c r="WI106" i="1"/>
  <c r="WT106" i="1"/>
  <c r="WO106" i="1"/>
  <c r="WJ106" i="1"/>
  <c r="WS106" i="1"/>
  <c r="WN106" i="1"/>
  <c r="WH106" i="1"/>
  <c r="WR106" i="1"/>
  <c r="WG106" i="1"/>
  <c r="WQ120" i="1"/>
  <c r="WM120" i="1"/>
  <c r="WI120" i="1"/>
  <c r="WS120" i="1"/>
  <c r="WO120" i="1"/>
  <c r="WG120" i="1"/>
  <c r="WN120" i="1"/>
  <c r="WT120" i="1"/>
  <c r="WR120" i="1"/>
  <c r="WJ120" i="1"/>
  <c r="WH120" i="1"/>
  <c r="WH122" i="1"/>
  <c r="WT220" i="1"/>
  <c r="WP220" i="1"/>
  <c r="WH220" i="1"/>
  <c r="WO220" i="1"/>
  <c r="WJ220" i="1"/>
  <c r="WS220" i="1"/>
  <c r="WN220" i="1"/>
  <c r="WI220" i="1"/>
  <c r="WR220" i="1"/>
  <c r="WM220" i="1"/>
  <c r="WG220" i="1"/>
  <c r="WQ220" i="1"/>
  <c r="WQ243" i="1"/>
  <c r="WM243" i="1"/>
  <c r="WI243" i="1"/>
  <c r="WT243" i="1"/>
  <c r="WO243" i="1"/>
  <c r="WJ243" i="1"/>
  <c r="WS243" i="1"/>
  <c r="WN243" i="1"/>
  <c r="WH243" i="1"/>
  <c r="WR243" i="1"/>
  <c r="WG243" i="1"/>
  <c r="WP243" i="1"/>
  <c r="WH10" i="1"/>
  <c r="WP10" i="1"/>
  <c r="WT10" i="1"/>
  <c r="WG11" i="1"/>
  <c r="WO11" i="1"/>
  <c r="WS11" i="1"/>
  <c r="WH14" i="1"/>
  <c r="WP14" i="1"/>
  <c r="WT14" i="1"/>
  <c r="WG15" i="1"/>
  <c r="WO15" i="1"/>
  <c r="WS15" i="1"/>
  <c r="WH18" i="1"/>
  <c r="WP18" i="1"/>
  <c r="WT18" i="1"/>
  <c r="WG19" i="1"/>
  <c r="WO19" i="1"/>
  <c r="WS19" i="1"/>
  <c r="WH22" i="1"/>
  <c r="WP22" i="1"/>
  <c r="WT22" i="1"/>
  <c r="WG23" i="1"/>
  <c r="WO23" i="1"/>
  <c r="WS23" i="1"/>
  <c r="WH26" i="1"/>
  <c r="WP26" i="1"/>
  <c r="WT26" i="1"/>
  <c r="WG27" i="1"/>
  <c r="WO27" i="1"/>
  <c r="WS27" i="1"/>
  <c r="WH30" i="1"/>
  <c r="WP30" i="1"/>
  <c r="WT30" i="1"/>
  <c r="WG31" i="1"/>
  <c r="WO31" i="1"/>
  <c r="WS31" i="1"/>
  <c r="WH34" i="1"/>
  <c r="WP34" i="1"/>
  <c r="WT34" i="1"/>
  <c r="WG35" i="1"/>
  <c r="WO35" i="1"/>
  <c r="WS35" i="1"/>
  <c r="WH38" i="1"/>
  <c r="WP38" i="1"/>
  <c r="WT38" i="1"/>
  <c r="WG39" i="1"/>
  <c r="WO39" i="1"/>
  <c r="WS39" i="1"/>
  <c r="WH42" i="1"/>
  <c r="WP42" i="1"/>
  <c r="WT42" i="1"/>
  <c r="WG43" i="1"/>
  <c r="WO43" i="1"/>
  <c r="WS43" i="1"/>
  <c r="WH46" i="1"/>
  <c r="WP46" i="1"/>
  <c r="WT46" i="1"/>
  <c r="WG47" i="1"/>
  <c r="WO47" i="1"/>
  <c r="WS47" i="1"/>
  <c r="WH50" i="1"/>
  <c r="WP50" i="1"/>
  <c r="WT50" i="1"/>
  <c r="WR55" i="1"/>
  <c r="WN55" i="1"/>
  <c r="WJ55" i="1"/>
  <c r="WT55" i="1"/>
  <c r="WP55" i="1"/>
  <c r="WH55" i="1"/>
  <c r="WG55" i="1"/>
  <c r="WO55" i="1"/>
  <c r="WI57" i="1"/>
  <c r="WS59" i="1"/>
  <c r="WR63" i="1"/>
  <c r="WN63" i="1"/>
  <c r="WJ63" i="1"/>
  <c r="WQ63" i="1"/>
  <c r="WM63" i="1"/>
  <c r="WI63" i="1"/>
  <c r="WT63" i="1"/>
  <c r="WP63" i="1"/>
  <c r="WH63" i="1"/>
  <c r="WN64" i="1"/>
  <c r="WS66" i="1"/>
  <c r="WO66" i="1"/>
  <c r="WG66" i="1"/>
  <c r="WR66" i="1"/>
  <c r="WN66" i="1"/>
  <c r="WJ66" i="1"/>
  <c r="WQ66" i="1"/>
  <c r="WM66" i="1"/>
  <c r="WI66" i="1"/>
  <c r="WH66" i="1"/>
  <c r="WR67" i="1"/>
  <c r="WN67" i="1"/>
  <c r="WJ67" i="1"/>
  <c r="WQ67" i="1"/>
  <c r="WM67" i="1"/>
  <c r="WI67" i="1"/>
  <c r="WT67" i="1"/>
  <c r="WP67" i="1"/>
  <c r="WH67" i="1"/>
  <c r="WN68" i="1"/>
  <c r="WM73" i="1"/>
  <c r="WP74" i="1"/>
  <c r="WS75" i="1"/>
  <c r="WQ76" i="1"/>
  <c r="WM76" i="1"/>
  <c r="WI76" i="1"/>
  <c r="WT76" i="1"/>
  <c r="WP76" i="1"/>
  <c r="WH76" i="1"/>
  <c r="WS76" i="1"/>
  <c r="WO76" i="1"/>
  <c r="WG76" i="1"/>
  <c r="WT77" i="1"/>
  <c r="WP77" i="1"/>
  <c r="WH77" i="1"/>
  <c r="WS77" i="1"/>
  <c r="WO77" i="1"/>
  <c r="WG77" i="1"/>
  <c r="WR77" i="1"/>
  <c r="WN77" i="1"/>
  <c r="WJ77" i="1"/>
  <c r="WI77" i="1"/>
  <c r="WO79" i="1"/>
  <c r="WS82" i="1"/>
  <c r="WO82" i="1"/>
  <c r="WG82" i="1"/>
  <c r="WR82" i="1"/>
  <c r="WN82" i="1"/>
  <c r="WJ82" i="1"/>
  <c r="WQ82" i="1"/>
  <c r="WM82" i="1"/>
  <c r="WI82" i="1"/>
  <c r="WH82" i="1"/>
  <c r="WJ88" i="1"/>
  <c r="WI89" i="1"/>
  <c r="WQ92" i="1"/>
  <c r="WM92" i="1"/>
  <c r="WI92" i="1"/>
  <c r="WT92" i="1"/>
  <c r="WP92" i="1"/>
  <c r="WH92" i="1"/>
  <c r="WS92" i="1"/>
  <c r="WO92" i="1"/>
  <c r="WG92" i="1"/>
  <c r="WT93" i="1"/>
  <c r="WP93" i="1"/>
  <c r="WH93" i="1"/>
  <c r="WS93" i="1"/>
  <c r="WO93" i="1"/>
  <c r="WG93" i="1"/>
  <c r="WR93" i="1"/>
  <c r="WN93" i="1"/>
  <c r="WJ93" i="1"/>
  <c r="WS94" i="1"/>
  <c r="WO94" i="1"/>
  <c r="WG94" i="1"/>
  <c r="WR94" i="1"/>
  <c r="WN94" i="1"/>
  <c r="WJ94" i="1"/>
  <c r="WQ94" i="1"/>
  <c r="WM94" i="1"/>
  <c r="WI94" i="1"/>
  <c r="WH94" i="1"/>
  <c r="WS98" i="1"/>
  <c r="WO98" i="1"/>
  <c r="WG98" i="1"/>
  <c r="WR98" i="1"/>
  <c r="WN98" i="1"/>
  <c r="WJ98" i="1"/>
  <c r="WQ98" i="1"/>
  <c r="WM98" i="1"/>
  <c r="WI98" i="1"/>
  <c r="WH98" i="1"/>
  <c r="WN100" i="1"/>
  <c r="WH102" i="1"/>
  <c r="WP120" i="1"/>
  <c r="WN148" i="1"/>
  <c r="WR11" i="1"/>
  <c r="WJ19" i="1"/>
  <c r="WN23" i="1"/>
  <c r="WN27" i="1"/>
  <c r="WJ31" i="1"/>
  <c r="WN31" i="1"/>
  <c r="WR31" i="1"/>
  <c r="WR47" i="1"/>
  <c r="WT57" i="1"/>
  <c r="WP57" i="1"/>
  <c r="WH57" i="1"/>
  <c r="WR57" i="1"/>
  <c r="WN57" i="1"/>
  <c r="WJ57" i="1"/>
  <c r="WO57" i="1"/>
  <c r="WQ72" i="1"/>
  <c r="WM72" i="1"/>
  <c r="WI72" i="1"/>
  <c r="WT72" i="1"/>
  <c r="WP72" i="1"/>
  <c r="WH72" i="1"/>
  <c r="WS72" i="1"/>
  <c r="WO72" i="1"/>
  <c r="WG72" i="1"/>
  <c r="WS90" i="1"/>
  <c r="WO90" i="1"/>
  <c r="WG90" i="1"/>
  <c r="WR90" i="1"/>
  <c r="WN90" i="1"/>
  <c r="WJ90" i="1"/>
  <c r="WQ90" i="1"/>
  <c r="WM90" i="1"/>
  <c r="WI90" i="1"/>
  <c r="WH90" i="1"/>
  <c r="WS122" i="1"/>
  <c r="WO122" i="1"/>
  <c r="WG122" i="1"/>
  <c r="WQ122" i="1"/>
  <c r="WM122" i="1"/>
  <c r="WI122" i="1"/>
  <c r="WN122" i="1"/>
  <c r="WT122" i="1"/>
  <c r="WR122" i="1"/>
  <c r="WJ122" i="1"/>
  <c r="WI10" i="1"/>
  <c r="WM10" i="1"/>
  <c r="WQ10" i="1"/>
  <c r="WH11" i="1"/>
  <c r="WP11" i="1"/>
  <c r="WT11" i="1"/>
  <c r="WI14" i="1"/>
  <c r="WM14" i="1"/>
  <c r="WQ14" i="1"/>
  <c r="WH15" i="1"/>
  <c r="WP15" i="1"/>
  <c r="WT15" i="1"/>
  <c r="WI18" i="1"/>
  <c r="WM18" i="1"/>
  <c r="WQ18" i="1"/>
  <c r="WH19" i="1"/>
  <c r="WP19" i="1"/>
  <c r="WT19" i="1"/>
  <c r="WI22" i="1"/>
  <c r="WM22" i="1"/>
  <c r="WQ22" i="1"/>
  <c r="WH23" i="1"/>
  <c r="WP23" i="1"/>
  <c r="WT23" i="1"/>
  <c r="WI26" i="1"/>
  <c r="WM26" i="1"/>
  <c r="WQ26" i="1"/>
  <c r="WH27" i="1"/>
  <c r="WP27" i="1"/>
  <c r="WT27" i="1"/>
  <c r="WI30" i="1"/>
  <c r="WM30" i="1"/>
  <c r="WQ30" i="1"/>
  <c r="WH31" i="1"/>
  <c r="WP31" i="1"/>
  <c r="WT31" i="1"/>
  <c r="WI34" i="1"/>
  <c r="WM34" i="1"/>
  <c r="WQ34" i="1"/>
  <c r="WH35" i="1"/>
  <c r="WP35" i="1"/>
  <c r="WT35" i="1"/>
  <c r="WI38" i="1"/>
  <c r="WM38" i="1"/>
  <c r="WQ38" i="1"/>
  <c r="WH39" i="1"/>
  <c r="WP39" i="1"/>
  <c r="WT39" i="1"/>
  <c r="WI42" i="1"/>
  <c r="WM42" i="1"/>
  <c r="WQ42" i="1"/>
  <c r="WH43" i="1"/>
  <c r="WP43" i="1"/>
  <c r="WT43" i="1"/>
  <c r="WI46" i="1"/>
  <c r="WM46" i="1"/>
  <c r="WQ46" i="1"/>
  <c r="WH47" i="1"/>
  <c r="WP47" i="1"/>
  <c r="WT47" i="1"/>
  <c r="WI50" i="1"/>
  <c r="WM50" i="1"/>
  <c r="WQ50" i="1"/>
  <c r="WR51" i="1"/>
  <c r="WN51" i="1"/>
  <c r="WJ51" i="1"/>
  <c r="WT51" i="1"/>
  <c r="WP51" i="1"/>
  <c r="WH51" i="1"/>
  <c r="WG51" i="1"/>
  <c r="WO51" i="1"/>
  <c r="WQ52" i="1"/>
  <c r="WM52" i="1"/>
  <c r="WI52" i="1"/>
  <c r="WS52" i="1"/>
  <c r="WO52" i="1"/>
  <c r="WG52" i="1"/>
  <c r="WN52" i="1"/>
  <c r="WT53" i="1"/>
  <c r="WP53" i="1"/>
  <c r="WH53" i="1"/>
  <c r="WR53" i="1"/>
  <c r="WN53" i="1"/>
  <c r="WJ53" i="1"/>
  <c r="WG53" i="1"/>
  <c r="WO53" i="1"/>
  <c r="WS57" i="1"/>
  <c r="WT61" i="1"/>
  <c r="WP61" i="1"/>
  <c r="WH61" i="1"/>
  <c r="WR61" i="1"/>
  <c r="WN61" i="1"/>
  <c r="WJ61" i="1"/>
  <c r="WG61" i="1"/>
  <c r="WO61" i="1"/>
  <c r="WS70" i="1"/>
  <c r="WO70" i="1"/>
  <c r="WG70" i="1"/>
  <c r="WR70" i="1"/>
  <c r="WN70" i="1"/>
  <c r="WJ70" i="1"/>
  <c r="WQ70" i="1"/>
  <c r="WM70" i="1"/>
  <c r="WI70" i="1"/>
  <c r="WH70" i="1"/>
  <c r="WR71" i="1"/>
  <c r="WN71" i="1"/>
  <c r="WJ71" i="1"/>
  <c r="WQ71" i="1"/>
  <c r="WM71" i="1"/>
  <c r="WI71" i="1"/>
  <c r="WT71" i="1"/>
  <c r="WP71" i="1"/>
  <c r="WH71" i="1"/>
  <c r="WN72" i="1"/>
  <c r="WQ73" i="1"/>
  <c r="WP78" i="1"/>
  <c r="WS79" i="1"/>
  <c r="WQ80" i="1"/>
  <c r="WM80" i="1"/>
  <c r="WI80" i="1"/>
  <c r="WT80" i="1"/>
  <c r="WP80" i="1"/>
  <c r="WH80" i="1"/>
  <c r="WS80" i="1"/>
  <c r="WO80" i="1"/>
  <c r="WG80" i="1"/>
  <c r="WT81" i="1"/>
  <c r="WP81" i="1"/>
  <c r="WH81" i="1"/>
  <c r="WS81" i="1"/>
  <c r="WO81" i="1"/>
  <c r="WG81" i="1"/>
  <c r="WR81" i="1"/>
  <c r="WN81" i="1"/>
  <c r="WJ81" i="1"/>
  <c r="WI81" i="1"/>
  <c r="WQ84" i="1"/>
  <c r="WM84" i="1"/>
  <c r="WI84" i="1"/>
  <c r="WT84" i="1"/>
  <c r="WP84" i="1"/>
  <c r="WH84" i="1"/>
  <c r="WS84" i="1"/>
  <c r="WO84" i="1"/>
  <c r="WG84" i="1"/>
  <c r="WT85" i="1"/>
  <c r="WP85" i="1"/>
  <c r="WH85" i="1"/>
  <c r="WS85" i="1"/>
  <c r="WO85" i="1"/>
  <c r="WG85" i="1"/>
  <c r="WR85" i="1"/>
  <c r="WN85" i="1"/>
  <c r="WJ85" i="1"/>
  <c r="WS86" i="1"/>
  <c r="WO86" i="1"/>
  <c r="WG86" i="1"/>
  <c r="WR86" i="1"/>
  <c r="WN86" i="1"/>
  <c r="WJ86" i="1"/>
  <c r="WQ86" i="1"/>
  <c r="WM86" i="1"/>
  <c r="WI86" i="1"/>
  <c r="WH86" i="1"/>
  <c r="WR87" i="1"/>
  <c r="WN87" i="1"/>
  <c r="WJ87" i="1"/>
  <c r="WQ87" i="1"/>
  <c r="WM87" i="1"/>
  <c r="WI87" i="1"/>
  <c r="WT87" i="1"/>
  <c r="WP87" i="1"/>
  <c r="WH87" i="1"/>
  <c r="WN88" i="1"/>
  <c r="WM89" i="1"/>
  <c r="WP90" i="1"/>
  <c r="WQ96" i="1"/>
  <c r="WM96" i="1"/>
  <c r="WI96" i="1"/>
  <c r="WT96" i="1"/>
  <c r="WP96" i="1"/>
  <c r="WH96" i="1"/>
  <c r="WS96" i="1"/>
  <c r="WO96" i="1"/>
  <c r="WG96" i="1"/>
  <c r="WT97" i="1"/>
  <c r="WP97" i="1"/>
  <c r="WH97" i="1"/>
  <c r="WS97" i="1"/>
  <c r="WO97" i="1"/>
  <c r="WG97" i="1"/>
  <c r="WR97" i="1"/>
  <c r="WN97" i="1"/>
  <c r="WJ97" i="1"/>
  <c r="WI97" i="1"/>
  <c r="WN102" i="1"/>
  <c r="WP106" i="1"/>
  <c r="WT107" i="1"/>
  <c r="WP107" i="1"/>
  <c r="WH107" i="1"/>
  <c r="WO107" i="1"/>
  <c r="WJ107" i="1"/>
  <c r="WS107" i="1"/>
  <c r="WN107" i="1"/>
  <c r="WI107" i="1"/>
  <c r="WR107" i="1"/>
  <c r="WM107" i="1"/>
  <c r="WG107" i="1"/>
  <c r="WS108" i="1"/>
  <c r="WO108" i="1"/>
  <c r="WG108" i="1"/>
  <c r="WP108" i="1"/>
  <c r="WJ108" i="1"/>
  <c r="WT108" i="1"/>
  <c r="WN108" i="1"/>
  <c r="WI108" i="1"/>
  <c r="WR108" i="1"/>
  <c r="WM108" i="1"/>
  <c r="WH108" i="1"/>
  <c r="WQ110" i="1"/>
  <c r="WM110" i="1"/>
  <c r="WI110" i="1"/>
  <c r="WR110" i="1"/>
  <c r="WG110" i="1"/>
  <c r="WP110" i="1"/>
  <c r="WT110" i="1"/>
  <c r="WO110" i="1"/>
  <c r="WJ110" i="1"/>
  <c r="WT115" i="1"/>
  <c r="WP115" i="1"/>
  <c r="WH115" i="1"/>
  <c r="WO115" i="1"/>
  <c r="WJ115" i="1"/>
  <c r="WS115" i="1"/>
  <c r="WN115" i="1"/>
  <c r="WI115" i="1"/>
  <c r="WR115" i="1"/>
  <c r="WM115" i="1"/>
  <c r="WG115" i="1"/>
  <c r="WS116" i="1"/>
  <c r="WO116" i="1"/>
  <c r="WG116" i="1"/>
  <c r="WP116" i="1"/>
  <c r="WJ116" i="1"/>
  <c r="WT116" i="1"/>
  <c r="WN116" i="1"/>
  <c r="WI116" i="1"/>
  <c r="WR116" i="1"/>
  <c r="WM116" i="1"/>
  <c r="WH116" i="1"/>
  <c r="WQ118" i="1"/>
  <c r="WM118" i="1"/>
  <c r="WI118" i="1"/>
  <c r="WR118" i="1"/>
  <c r="WG118" i="1"/>
  <c r="WP118" i="1"/>
  <c r="WT118" i="1"/>
  <c r="WO118" i="1"/>
  <c r="WJ118" i="1"/>
  <c r="WQ124" i="1"/>
  <c r="WM124" i="1"/>
  <c r="WI124" i="1"/>
  <c r="WS124" i="1"/>
  <c r="WO124" i="1"/>
  <c r="WG124" i="1"/>
  <c r="WN124" i="1"/>
  <c r="WT124" i="1"/>
  <c r="WR124" i="1"/>
  <c r="WJ124" i="1"/>
  <c r="WH124" i="1"/>
  <c r="WS126" i="1"/>
  <c r="WO126" i="1"/>
  <c r="WG126" i="1"/>
  <c r="WR126" i="1"/>
  <c r="WN126" i="1"/>
  <c r="WQ126" i="1"/>
  <c r="WM126" i="1"/>
  <c r="WI126" i="1"/>
  <c r="WP126" i="1"/>
  <c r="WJ126" i="1"/>
  <c r="WH126" i="1"/>
  <c r="WN11" i="1"/>
  <c r="WJ15" i="1"/>
  <c r="WN15" i="1"/>
  <c r="WR15" i="1"/>
  <c r="WN19" i="1"/>
  <c r="WR19" i="1"/>
  <c r="WJ23" i="1"/>
  <c r="WR23" i="1"/>
  <c r="WJ27" i="1"/>
  <c r="WR27" i="1"/>
  <c r="WN35" i="1"/>
  <c r="WN39" i="1"/>
  <c r="WJ43" i="1"/>
  <c r="WN43" i="1"/>
  <c r="WR43" i="1"/>
  <c r="WG57" i="1"/>
  <c r="WH78" i="1"/>
  <c r="WQ114" i="1"/>
  <c r="WM114" i="1"/>
  <c r="WI114" i="1"/>
  <c r="WT114" i="1"/>
  <c r="WO114" i="1"/>
  <c r="WJ114" i="1"/>
  <c r="WS114" i="1"/>
  <c r="WN114" i="1"/>
  <c r="WH114" i="1"/>
  <c r="WR114" i="1"/>
  <c r="WG114" i="1"/>
  <c r="WJ10" i="1"/>
  <c r="WN10" i="1"/>
  <c r="WI11" i="1"/>
  <c r="WM11" i="1"/>
  <c r="WJ14" i="1"/>
  <c r="WN14" i="1"/>
  <c r="WI15" i="1"/>
  <c r="WM15" i="1"/>
  <c r="WJ18" i="1"/>
  <c r="WN18" i="1"/>
  <c r="WI19" i="1"/>
  <c r="WM19" i="1"/>
  <c r="WJ22" i="1"/>
  <c r="WN22" i="1"/>
  <c r="WI23" i="1"/>
  <c r="WM23" i="1"/>
  <c r="WJ26" i="1"/>
  <c r="WN26" i="1"/>
  <c r="WI27" i="1"/>
  <c r="WM27" i="1"/>
  <c r="WJ30" i="1"/>
  <c r="WN30" i="1"/>
  <c r="WI31" i="1"/>
  <c r="WM31" i="1"/>
  <c r="WJ34" i="1"/>
  <c r="WN34" i="1"/>
  <c r="WI35" i="1"/>
  <c r="WM35" i="1"/>
  <c r="WJ38" i="1"/>
  <c r="WN38" i="1"/>
  <c r="WI39" i="1"/>
  <c r="WM39" i="1"/>
  <c r="WJ42" i="1"/>
  <c r="WN42" i="1"/>
  <c r="WI43" i="1"/>
  <c r="WM43" i="1"/>
  <c r="WJ46" i="1"/>
  <c r="WN46" i="1"/>
  <c r="WI47" i="1"/>
  <c r="WM47" i="1"/>
  <c r="WJ50" i="1"/>
  <c r="WN50" i="1"/>
  <c r="WM57" i="1"/>
  <c r="WR59" i="1"/>
  <c r="WN59" i="1"/>
  <c r="WJ59" i="1"/>
  <c r="WT59" i="1"/>
  <c r="WP59" i="1"/>
  <c r="WH59" i="1"/>
  <c r="WG59" i="1"/>
  <c r="WO59" i="1"/>
  <c r="WQ64" i="1"/>
  <c r="WM64" i="1"/>
  <c r="WI64" i="1"/>
  <c r="WT64" i="1"/>
  <c r="WP64" i="1"/>
  <c r="WH64" i="1"/>
  <c r="WS64" i="1"/>
  <c r="WO64" i="1"/>
  <c r="WG64" i="1"/>
  <c r="WT65" i="1"/>
  <c r="WP65" i="1"/>
  <c r="WH65" i="1"/>
  <c r="WS65" i="1"/>
  <c r="WO65" i="1"/>
  <c r="WG65" i="1"/>
  <c r="WR65" i="1"/>
  <c r="WN65" i="1"/>
  <c r="WJ65" i="1"/>
  <c r="WM65" i="1"/>
  <c r="WQ68" i="1"/>
  <c r="WM68" i="1"/>
  <c r="WI68" i="1"/>
  <c r="WT68" i="1"/>
  <c r="WP68" i="1"/>
  <c r="WH68" i="1"/>
  <c r="WS68" i="1"/>
  <c r="WO68" i="1"/>
  <c r="WG68" i="1"/>
  <c r="WT69" i="1"/>
  <c r="WP69" i="1"/>
  <c r="WH69" i="1"/>
  <c r="WS69" i="1"/>
  <c r="WO69" i="1"/>
  <c r="WG69" i="1"/>
  <c r="WR69" i="1"/>
  <c r="WN69" i="1"/>
  <c r="WJ69" i="1"/>
  <c r="WI69" i="1"/>
  <c r="WR72" i="1"/>
  <c r="WS74" i="1"/>
  <c r="WO74" i="1"/>
  <c r="WG74" i="1"/>
  <c r="WR74" i="1"/>
  <c r="WN74" i="1"/>
  <c r="WJ74" i="1"/>
  <c r="WQ74" i="1"/>
  <c r="WM74" i="1"/>
  <c r="WI74" i="1"/>
  <c r="WH74" i="1"/>
  <c r="WR75" i="1"/>
  <c r="WN75" i="1"/>
  <c r="WJ75" i="1"/>
  <c r="WQ75" i="1"/>
  <c r="WM75" i="1"/>
  <c r="WI75" i="1"/>
  <c r="WT75" i="1"/>
  <c r="WP75" i="1"/>
  <c r="WH75" i="1"/>
  <c r="WT78" i="1"/>
  <c r="WG79" i="1"/>
  <c r="WR88" i="1"/>
  <c r="WQ89" i="1"/>
  <c r="WT90" i="1"/>
  <c r="WQ100" i="1"/>
  <c r="WM100" i="1"/>
  <c r="WI100" i="1"/>
  <c r="WT100" i="1"/>
  <c r="WP100" i="1"/>
  <c r="WH100" i="1"/>
  <c r="WS100" i="1"/>
  <c r="WO100" i="1"/>
  <c r="WG100" i="1"/>
  <c r="WS102" i="1"/>
  <c r="WN144" i="1"/>
  <c r="WQ193" i="1"/>
  <c r="WM193" i="1"/>
  <c r="WI193" i="1"/>
  <c r="WT193" i="1"/>
  <c r="WO193" i="1"/>
  <c r="WJ193" i="1"/>
  <c r="WS193" i="1"/>
  <c r="WN193" i="1"/>
  <c r="WH193" i="1"/>
  <c r="WR193" i="1"/>
  <c r="WG193" i="1"/>
  <c r="WP193" i="1"/>
  <c r="WH83" i="1"/>
  <c r="WP83" i="1"/>
  <c r="WT83" i="1"/>
  <c r="WH91" i="1"/>
  <c r="WP91" i="1"/>
  <c r="WT91" i="1"/>
  <c r="WH95" i="1"/>
  <c r="WP95" i="1"/>
  <c r="WT95" i="1"/>
  <c r="WH99" i="1"/>
  <c r="WP99" i="1"/>
  <c r="WT99" i="1"/>
  <c r="WG101" i="1"/>
  <c r="WJ103" i="1"/>
  <c r="WJ104" i="1"/>
  <c r="WR105" i="1"/>
  <c r="WN105" i="1"/>
  <c r="WJ105" i="1"/>
  <c r="WI105" i="1"/>
  <c r="WO105" i="1"/>
  <c r="WT105" i="1"/>
  <c r="WG109" i="1"/>
  <c r="WJ111" i="1"/>
  <c r="WJ112" i="1"/>
  <c r="WR113" i="1"/>
  <c r="WN113" i="1"/>
  <c r="WJ113" i="1"/>
  <c r="WI113" i="1"/>
  <c r="WO113" i="1"/>
  <c r="WT113" i="1"/>
  <c r="WG117" i="1"/>
  <c r="WI121" i="1"/>
  <c r="WI125" i="1"/>
  <c r="WS130" i="1"/>
  <c r="WO130" i="1"/>
  <c r="WG130" i="1"/>
  <c r="WR130" i="1"/>
  <c r="WN130" i="1"/>
  <c r="WJ130" i="1"/>
  <c r="WQ130" i="1"/>
  <c r="WM130" i="1"/>
  <c r="WI130" i="1"/>
  <c r="WH130" i="1"/>
  <c r="WS134" i="1"/>
  <c r="WO134" i="1"/>
  <c r="WG134" i="1"/>
  <c r="WR134" i="1"/>
  <c r="WN134" i="1"/>
  <c r="WJ134" i="1"/>
  <c r="WQ134" i="1"/>
  <c r="WM134" i="1"/>
  <c r="WI134" i="1"/>
  <c r="WH134" i="1"/>
  <c r="WS138" i="1"/>
  <c r="WO138" i="1"/>
  <c r="WG138" i="1"/>
  <c r="WR138" i="1"/>
  <c r="WN138" i="1"/>
  <c r="WJ138" i="1"/>
  <c r="WQ138" i="1"/>
  <c r="WM138" i="1"/>
  <c r="WI138" i="1"/>
  <c r="WH138" i="1"/>
  <c r="WQ156" i="1"/>
  <c r="WM156" i="1"/>
  <c r="WI156" i="1"/>
  <c r="WT156" i="1"/>
  <c r="WP156" i="1"/>
  <c r="WH156" i="1"/>
  <c r="WS156" i="1"/>
  <c r="WO156" i="1"/>
  <c r="WG156" i="1"/>
  <c r="WT157" i="1"/>
  <c r="WP157" i="1"/>
  <c r="WH157" i="1"/>
  <c r="WS157" i="1"/>
  <c r="WO157" i="1"/>
  <c r="WG157" i="1"/>
  <c r="WR157" i="1"/>
  <c r="WN157" i="1"/>
  <c r="WJ157" i="1"/>
  <c r="WS158" i="1"/>
  <c r="WO158" i="1"/>
  <c r="WG158" i="1"/>
  <c r="WR158" i="1"/>
  <c r="WN158" i="1"/>
  <c r="WJ158" i="1"/>
  <c r="WQ158" i="1"/>
  <c r="WM158" i="1"/>
  <c r="WI158" i="1"/>
  <c r="WP158" i="1"/>
  <c r="WM182" i="1"/>
  <c r="WQ195" i="1"/>
  <c r="WM195" i="1"/>
  <c r="WI195" i="1"/>
  <c r="WS195" i="1"/>
  <c r="WO195" i="1"/>
  <c r="WG195" i="1"/>
  <c r="WN195" i="1"/>
  <c r="WT195" i="1"/>
  <c r="WR195" i="1"/>
  <c r="WJ195" i="1"/>
  <c r="WP195" i="1"/>
  <c r="WH195" i="1"/>
  <c r="WT103" i="1"/>
  <c r="WP103" i="1"/>
  <c r="WH103" i="1"/>
  <c r="WQ103" i="1"/>
  <c r="WS104" i="1"/>
  <c r="WO104" i="1"/>
  <c r="WG104" i="1"/>
  <c r="WQ104" i="1"/>
  <c r="WT111" i="1"/>
  <c r="WP111" i="1"/>
  <c r="WH111" i="1"/>
  <c r="WQ111" i="1"/>
  <c r="WS112" i="1"/>
  <c r="WO112" i="1"/>
  <c r="WG112" i="1"/>
  <c r="WQ112" i="1"/>
  <c r="WR119" i="1"/>
  <c r="WN119" i="1"/>
  <c r="WJ119" i="1"/>
  <c r="WT119" i="1"/>
  <c r="WP119" i="1"/>
  <c r="WH119" i="1"/>
  <c r="WM119" i="1"/>
  <c r="WQ128" i="1"/>
  <c r="WM128" i="1"/>
  <c r="WI128" i="1"/>
  <c r="WT128" i="1"/>
  <c r="WP128" i="1"/>
  <c r="WH128" i="1"/>
  <c r="WS128" i="1"/>
  <c r="WO128" i="1"/>
  <c r="WG128" i="1"/>
  <c r="WT129" i="1"/>
  <c r="WP129" i="1"/>
  <c r="WH129" i="1"/>
  <c r="WS129" i="1"/>
  <c r="WO129" i="1"/>
  <c r="WG129" i="1"/>
  <c r="WR129" i="1"/>
  <c r="WN129" i="1"/>
  <c r="WJ129" i="1"/>
  <c r="WI129" i="1"/>
  <c r="WQ132" i="1"/>
  <c r="WM132" i="1"/>
  <c r="WI132" i="1"/>
  <c r="WT132" i="1"/>
  <c r="WP132" i="1"/>
  <c r="WH132" i="1"/>
  <c r="WS132" i="1"/>
  <c r="WO132" i="1"/>
  <c r="WG132" i="1"/>
  <c r="WT133" i="1"/>
  <c r="WP133" i="1"/>
  <c r="WH133" i="1"/>
  <c r="WS133" i="1"/>
  <c r="WO133" i="1"/>
  <c r="WG133" i="1"/>
  <c r="WR133" i="1"/>
  <c r="WN133" i="1"/>
  <c r="WJ133" i="1"/>
  <c r="WI133" i="1"/>
  <c r="WQ136" i="1"/>
  <c r="WM136" i="1"/>
  <c r="WI136" i="1"/>
  <c r="WT136" i="1"/>
  <c r="WP136" i="1"/>
  <c r="WH136" i="1"/>
  <c r="WS136" i="1"/>
  <c r="WO136" i="1"/>
  <c r="WG136" i="1"/>
  <c r="WT137" i="1"/>
  <c r="WP137" i="1"/>
  <c r="WH137" i="1"/>
  <c r="WS137" i="1"/>
  <c r="WO137" i="1"/>
  <c r="WG137" i="1"/>
  <c r="WR137" i="1"/>
  <c r="WN137" i="1"/>
  <c r="WJ137" i="1"/>
  <c r="WI137" i="1"/>
  <c r="WS142" i="1"/>
  <c r="WO142" i="1"/>
  <c r="WG142" i="1"/>
  <c r="WR142" i="1"/>
  <c r="WN142" i="1"/>
  <c r="WJ142" i="1"/>
  <c r="WQ142" i="1"/>
  <c r="WM142" i="1"/>
  <c r="WI142" i="1"/>
  <c r="WH142" i="1"/>
  <c r="WS146" i="1"/>
  <c r="WO146" i="1"/>
  <c r="WG146" i="1"/>
  <c r="WR146" i="1"/>
  <c r="WN146" i="1"/>
  <c r="WJ146" i="1"/>
  <c r="WQ146" i="1"/>
  <c r="WM146" i="1"/>
  <c r="WI146" i="1"/>
  <c r="WH146" i="1"/>
  <c r="WQ152" i="1"/>
  <c r="WM152" i="1"/>
  <c r="WI152" i="1"/>
  <c r="WT152" i="1"/>
  <c r="WP152" i="1"/>
  <c r="WH152" i="1"/>
  <c r="WS152" i="1"/>
  <c r="WO152" i="1"/>
  <c r="WG152" i="1"/>
  <c r="WT153" i="1"/>
  <c r="WP153" i="1"/>
  <c r="WH153" i="1"/>
  <c r="WS153" i="1"/>
  <c r="WO153" i="1"/>
  <c r="WG153" i="1"/>
  <c r="WR153" i="1"/>
  <c r="WN153" i="1"/>
  <c r="WJ153" i="1"/>
  <c r="WS154" i="1"/>
  <c r="WO154" i="1"/>
  <c r="WG154" i="1"/>
  <c r="WR154" i="1"/>
  <c r="WN154" i="1"/>
  <c r="WJ154" i="1"/>
  <c r="WQ154" i="1"/>
  <c r="WM154" i="1"/>
  <c r="WI154" i="1"/>
  <c r="WT154" i="1"/>
  <c r="WS201" i="1"/>
  <c r="WO201" i="1"/>
  <c r="WG201" i="1"/>
  <c r="WQ201" i="1"/>
  <c r="WM201" i="1"/>
  <c r="WI201" i="1"/>
  <c r="WN201" i="1"/>
  <c r="WT201" i="1"/>
  <c r="WR201" i="1"/>
  <c r="WJ201" i="1"/>
  <c r="WP201" i="1"/>
  <c r="WH201" i="1"/>
  <c r="WJ83" i="1"/>
  <c r="WN83" i="1"/>
  <c r="WJ91" i="1"/>
  <c r="WN91" i="1"/>
  <c r="WJ95" i="1"/>
  <c r="WN95" i="1"/>
  <c r="WJ99" i="1"/>
  <c r="WN99" i="1"/>
  <c r="WR101" i="1"/>
  <c r="WN101" i="1"/>
  <c r="WJ101" i="1"/>
  <c r="WI101" i="1"/>
  <c r="WO101" i="1"/>
  <c r="WT101" i="1"/>
  <c r="WG103" i="1"/>
  <c r="WM103" i="1"/>
  <c r="WR103" i="1"/>
  <c r="WH104" i="1"/>
  <c r="WM104" i="1"/>
  <c r="WR104" i="1"/>
  <c r="WR109" i="1"/>
  <c r="WN109" i="1"/>
  <c r="WJ109" i="1"/>
  <c r="WI109" i="1"/>
  <c r="WO109" i="1"/>
  <c r="WT109" i="1"/>
  <c r="WG111" i="1"/>
  <c r="WM111" i="1"/>
  <c r="WR111" i="1"/>
  <c r="WH112" i="1"/>
  <c r="WM112" i="1"/>
  <c r="WR112" i="1"/>
  <c r="WR117" i="1"/>
  <c r="WN117" i="1"/>
  <c r="WJ117" i="1"/>
  <c r="WI117" i="1"/>
  <c r="WO117" i="1"/>
  <c r="WT117" i="1"/>
  <c r="WG119" i="1"/>
  <c r="WO119" i="1"/>
  <c r="WT121" i="1"/>
  <c r="WP121" i="1"/>
  <c r="WH121" i="1"/>
  <c r="WR121" i="1"/>
  <c r="WN121" i="1"/>
  <c r="WJ121" i="1"/>
  <c r="WM121" i="1"/>
  <c r="WT125" i="1"/>
  <c r="WP125" i="1"/>
  <c r="WH125" i="1"/>
  <c r="WR125" i="1"/>
  <c r="WN125" i="1"/>
  <c r="WJ125" i="1"/>
  <c r="WM125" i="1"/>
  <c r="WJ128" i="1"/>
  <c r="WM129" i="1"/>
  <c r="WJ132" i="1"/>
  <c r="WM133" i="1"/>
  <c r="WJ136" i="1"/>
  <c r="WM137" i="1"/>
  <c r="WQ140" i="1"/>
  <c r="WM140" i="1"/>
  <c r="WI140" i="1"/>
  <c r="WT140" i="1"/>
  <c r="WP140" i="1"/>
  <c r="WH140" i="1"/>
  <c r="WS140" i="1"/>
  <c r="WO140" i="1"/>
  <c r="WG140" i="1"/>
  <c r="WT141" i="1"/>
  <c r="WP141" i="1"/>
  <c r="WH141" i="1"/>
  <c r="WS141" i="1"/>
  <c r="WO141" i="1"/>
  <c r="WG141" i="1"/>
  <c r="WR141" i="1"/>
  <c r="WN141" i="1"/>
  <c r="WJ141" i="1"/>
  <c r="WI141" i="1"/>
  <c r="WQ144" i="1"/>
  <c r="WM144" i="1"/>
  <c r="WI144" i="1"/>
  <c r="WT144" i="1"/>
  <c r="WP144" i="1"/>
  <c r="WH144" i="1"/>
  <c r="WS144" i="1"/>
  <c r="WO144" i="1"/>
  <c r="WG144" i="1"/>
  <c r="WT145" i="1"/>
  <c r="WP145" i="1"/>
  <c r="WH145" i="1"/>
  <c r="WS145" i="1"/>
  <c r="WO145" i="1"/>
  <c r="WG145" i="1"/>
  <c r="WR145" i="1"/>
  <c r="WN145" i="1"/>
  <c r="WJ145" i="1"/>
  <c r="WI145" i="1"/>
  <c r="WQ148" i="1"/>
  <c r="WM148" i="1"/>
  <c r="WI148" i="1"/>
  <c r="WT148" i="1"/>
  <c r="WP148" i="1"/>
  <c r="WH148" i="1"/>
  <c r="WS148" i="1"/>
  <c r="WO148" i="1"/>
  <c r="WG148" i="1"/>
  <c r="WT149" i="1"/>
  <c r="WP149" i="1"/>
  <c r="WH149" i="1"/>
  <c r="WS149" i="1"/>
  <c r="WO149" i="1"/>
  <c r="WG149" i="1"/>
  <c r="WR149" i="1"/>
  <c r="WN149" i="1"/>
  <c r="WJ149" i="1"/>
  <c r="WS150" i="1"/>
  <c r="WO150" i="1"/>
  <c r="WG150" i="1"/>
  <c r="WR150" i="1"/>
  <c r="WN150" i="1"/>
  <c r="WJ150" i="1"/>
  <c r="WQ150" i="1"/>
  <c r="WM150" i="1"/>
  <c r="WI150" i="1"/>
  <c r="WT150" i="1"/>
  <c r="WJ152" i="1"/>
  <c r="WI153" i="1"/>
  <c r="WH154" i="1"/>
  <c r="WS175" i="1"/>
  <c r="WO175" i="1"/>
  <c r="WG175" i="1"/>
  <c r="WQ175" i="1"/>
  <c r="WM175" i="1"/>
  <c r="WI175" i="1"/>
  <c r="WN175" i="1"/>
  <c r="WT175" i="1"/>
  <c r="WR175" i="1"/>
  <c r="WJ175" i="1"/>
  <c r="WH175" i="1"/>
  <c r="WQ199" i="1"/>
  <c r="WM199" i="1"/>
  <c r="WI199" i="1"/>
  <c r="WS199" i="1"/>
  <c r="WO199" i="1"/>
  <c r="WG199" i="1"/>
  <c r="WN199" i="1"/>
  <c r="WT199" i="1"/>
  <c r="WR199" i="1"/>
  <c r="WJ199" i="1"/>
  <c r="WP199" i="1"/>
  <c r="WH199" i="1"/>
  <c r="WH123" i="1"/>
  <c r="WP123" i="1"/>
  <c r="WT123" i="1"/>
  <c r="WH127" i="1"/>
  <c r="WP127" i="1"/>
  <c r="WT127" i="1"/>
  <c r="WH131" i="1"/>
  <c r="WP131" i="1"/>
  <c r="WT131" i="1"/>
  <c r="WH135" i="1"/>
  <c r="WP135" i="1"/>
  <c r="WT135" i="1"/>
  <c r="WH139" i="1"/>
  <c r="WP139" i="1"/>
  <c r="WT139" i="1"/>
  <c r="WH143" i="1"/>
  <c r="WP143" i="1"/>
  <c r="WT143" i="1"/>
  <c r="WH147" i="1"/>
  <c r="WP147" i="1"/>
  <c r="WT147" i="1"/>
  <c r="WH151" i="1"/>
  <c r="WP151" i="1"/>
  <c r="WT151" i="1"/>
  <c r="WH155" i="1"/>
  <c r="WP155" i="1"/>
  <c r="WT155" i="1"/>
  <c r="WH159" i="1"/>
  <c r="WN159" i="1"/>
  <c r="WT159" i="1"/>
  <c r="WN185" i="1"/>
  <c r="WM186" i="1"/>
  <c r="WN189" i="1"/>
  <c r="WN190" i="1"/>
  <c r="WT194" i="1"/>
  <c r="WP194" i="1"/>
  <c r="WH194" i="1"/>
  <c r="WO194" i="1"/>
  <c r="WJ194" i="1"/>
  <c r="WS194" i="1"/>
  <c r="WN194" i="1"/>
  <c r="WI194" i="1"/>
  <c r="WR194" i="1"/>
  <c r="WM194" i="1"/>
  <c r="WG194" i="1"/>
  <c r="WS197" i="1"/>
  <c r="WO197" i="1"/>
  <c r="WG197" i="1"/>
  <c r="WQ197" i="1"/>
  <c r="WM197" i="1"/>
  <c r="WI197" i="1"/>
  <c r="WN197" i="1"/>
  <c r="WT197" i="1"/>
  <c r="WR197" i="1"/>
  <c r="WJ197" i="1"/>
  <c r="WH197" i="1"/>
  <c r="WN211" i="1"/>
  <c r="WM155" i="1"/>
  <c r="WQ155" i="1"/>
  <c r="WR160" i="1"/>
  <c r="WN160" i="1"/>
  <c r="WJ160" i="1"/>
  <c r="WT160" i="1"/>
  <c r="WP160" i="1"/>
  <c r="WH160" i="1"/>
  <c r="WG160" i="1"/>
  <c r="WO160" i="1"/>
  <c r="WQ161" i="1"/>
  <c r="WM161" i="1"/>
  <c r="WI161" i="1"/>
  <c r="WS161" i="1"/>
  <c r="WO161" i="1"/>
  <c r="WG161" i="1"/>
  <c r="WN161" i="1"/>
  <c r="WT162" i="1"/>
  <c r="WP162" i="1"/>
  <c r="WH162" i="1"/>
  <c r="WR162" i="1"/>
  <c r="WN162" i="1"/>
  <c r="WJ162" i="1"/>
  <c r="WG162" i="1"/>
  <c r="WO162" i="1"/>
  <c r="WS163" i="1"/>
  <c r="WO163" i="1"/>
  <c r="WG163" i="1"/>
  <c r="WQ163" i="1"/>
  <c r="WM163" i="1"/>
  <c r="WI163" i="1"/>
  <c r="WN163" i="1"/>
  <c r="WR164" i="1"/>
  <c r="WN164" i="1"/>
  <c r="WJ164" i="1"/>
  <c r="WT164" i="1"/>
  <c r="WP164" i="1"/>
  <c r="WH164" i="1"/>
  <c r="WG164" i="1"/>
  <c r="WO164" i="1"/>
  <c r="WQ165" i="1"/>
  <c r="WM165" i="1"/>
  <c r="WI165" i="1"/>
  <c r="WS165" i="1"/>
  <c r="WO165" i="1"/>
  <c r="WG165" i="1"/>
  <c r="WN165" i="1"/>
  <c r="WT166" i="1"/>
  <c r="WP166" i="1"/>
  <c r="WH166" i="1"/>
  <c r="WR166" i="1"/>
  <c r="WN166" i="1"/>
  <c r="WJ166" i="1"/>
  <c r="WG166" i="1"/>
  <c r="WO166" i="1"/>
  <c r="WS167" i="1"/>
  <c r="WO167" i="1"/>
  <c r="WG167" i="1"/>
  <c r="WQ167" i="1"/>
  <c r="WM167" i="1"/>
  <c r="WI167" i="1"/>
  <c r="WN167" i="1"/>
  <c r="WR168" i="1"/>
  <c r="WN168" i="1"/>
  <c r="WJ168" i="1"/>
  <c r="WT168" i="1"/>
  <c r="WP168" i="1"/>
  <c r="WH168" i="1"/>
  <c r="WG168" i="1"/>
  <c r="WO168" i="1"/>
  <c r="WQ169" i="1"/>
  <c r="WM169" i="1"/>
  <c r="WI169" i="1"/>
  <c r="WS169" i="1"/>
  <c r="WO169" i="1"/>
  <c r="WG169" i="1"/>
  <c r="WN169" i="1"/>
  <c r="WT170" i="1"/>
  <c r="WP170" i="1"/>
  <c r="WH170" i="1"/>
  <c r="WR170" i="1"/>
  <c r="WN170" i="1"/>
  <c r="WJ170" i="1"/>
  <c r="WG170" i="1"/>
  <c r="WO170" i="1"/>
  <c r="WS171" i="1"/>
  <c r="WO171" i="1"/>
  <c r="WG171" i="1"/>
  <c r="WQ171" i="1"/>
  <c r="WM171" i="1"/>
  <c r="WI171" i="1"/>
  <c r="WN171" i="1"/>
  <c r="WR172" i="1"/>
  <c r="WN172" i="1"/>
  <c r="WJ172" i="1"/>
  <c r="WT172" i="1"/>
  <c r="WP172" i="1"/>
  <c r="WH172" i="1"/>
  <c r="WG172" i="1"/>
  <c r="WO172" i="1"/>
  <c r="WQ173" i="1"/>
  <c r="WM173" i="1"/>
  <c r="WI173" i="1"/>
  <c r="WS173" i="1"/>
  <c r="WO173" i="1"/>
  <c r="WG173" i="1"/>
  <c r="WN173" i="1"/>
  <c r="WT174" i="1"/>
  <c r="WP174" i="1"/>
  <c r="WH174" i="1"/>
  <c r="WR174" i="1"/>
  <c r="WN174" i="1"/>
  <c r="WJ174" i="1"/>
  <c r="WM174" i="1"/>
  <c r="WQ203" i="1"/>
  <c r="WM203" i="1"/>
  <c r="WI203" i="1"/>
  <c r="WS203" i="1"/>
  <c r="WO203" i="1"/>
  <c r="WG203" i="1"/>
  <c r="WN203" i="1"/>
  <c r="WT203" i="1"/>
  <c r="WR203" i="1"/>
  <c r="WJ203" i="1"/>
  <c r="WH203" i="1"/>
  <c r="WS205" i="1"/>
  <c r="WO205" i="1"/>
  <c r="WG205" i="1"/>
  <c r="WQ205" i="1"/>
  <c r="WM205" i="1"/>
  <c r="WI205" i="1"/>
  <c r="WN205" i="1"/>
  <c r="WT205" i="1"/>
  <c r="WR205" i="1"/>
  <c r="WJ205" i="1"/>
  <c r="WH205" i="1"/>
  <c r="WS226" i="1"/>
  <c r="WO226" i="1"/>
  <c r="WG226" i="1"/>
  <c r="WR226" i="1"/>
  <c r="WN226" i="1"/>
  <c r="WJ226" i="1"/>
  <c r="WQ226" i="1"/>
  <c r="WI226" i="1"/>
  <c r="WP226" i="1"/>
  <c r="WH226" i="1"/>
  <c r="WM226" i="1"/>
  <c r="WT226" i="1"/>
  <c r="WJ123" i="1"/>
  <c r="WN123" i="1"/>
  <c r="WJ127" i="1"/>
  <c r="WN127" i="1"/>
  <c r="WJ131" i="1"/>
  <c r="WN131" i="1"/>
  <c r="WJ135" i="1"/>
  <c r="WN135" i="1"/>
  <c r="WJ139" i="1"/>
  <c r="WN139" i="1"/>
  <c r="WJ143" i="1"/>
  <c r="WN143" i="1"/>
  <c r="WJ147" i="1"/>
  <c r="WN147" i="1"/>
  <c r="WJ151" i="1"/>
  <c r="WN151" i="1"/>
  <c r="WJ155" i="1"/>
  <c r="WN155" i="1"/>
  <c r="WS159" i="1"/>
  <c r="WQ159" i="1"/>
  <c r="WM159" i="1"/>
  <c r="WI159" i="1"/>
  <c r="WP159" i="1"/>
  <c r="WI160" i="1"/>
  <c r="WQ160" i="1"/>
  <c r="WH161" i="1"/>
  <c r="WP161" i="1"/>
  <c r="WI162" i="1"/>
  <c r="WQ162" i="1"/>
  <c r="WH163" i="1"/>
  <c r="WP163" i="1"/>
  <c r="WI164" i="1"/>
  <c r="WQ164" i="1"/>
  <c r="WH165" i="1"/>
  <c r="WP165" i="1"/>
  <c r="WI166" i="1"/>
  <c r="WQ166" i="1"/>
  <c r="WH167" i="1"/>
  <c r="WP167" i="1"/>
  <c r="WI168" i="1"/>
  <c r="WQ168" i="1"/>
  <c r="WH169" i="1"/>
  <c r="WP169" i="1"/>
  <c r="WI170" i="1"/>
  <c r="WQ170" i="1"/>
  <c r="WH171" i="1"/>
  <c r="WP171" i="1"/>
  <c r="WI172" i="1"/>
  <c r="WQ172" i="1"/>
  <c r="WH173" i="1"/>
  <c r="WP173" i="1"/>
  <c r="WG174" i="1"/>
  <c r="WO174" i="1"/>
  <c r="WQ177" i="1"/>
  <c r="WM177" i="1"/>
  <c r="WI177" i="1"/>
  <c r="WT177" i="1"/>
  <c r="WP177" i="1"/>
  <c r="WH177" i="1"/>
  <c r="WS177" i="1"/>
  <c r="WO177" i="1"/>
  <c r="WG177" i="1"/>
  <c r="WT178" i="1"/>
  <c r="WP178" i="1"/>
  <c r="WH178" i="1"/>
  <c r="WS178" i="1"/>
  <c r="WO178" i="1"/>
  <c r="WG178" i="1"/>
  <c r="WR178" i="1"/>
  <c r="WN178" i="1"/>
  <c r="WJ178" i="1"/>
  <c r="WS179" i="1"/>
  <c r="WO179" i="1"/>
  <c r="WG179" i="1"/>
  <c r="WR179" i="1"/>
  <c r="WN179" i="1"/>
  <c r="WJ179" i="1"/>
  <c r="WQ179" i="1"/>
  <c r="WM179" i="1"/>
  <c r="WI179" i="1"/>
  <c r="WT179" i="1"/>
  <c r="WQ181" i="1"/>
  <c r="WM181" i="1"/>
  <c r="WI181" i="1"/>
  <c r="WT181" i="1"/>
  <c r="WP181" i="1"/>
  <c r="WH181" i="1"/>
  <c r="WS181" i="1"/>
  <c r="WO181" i="1"/>
  <c r="WG181" i="1"/>
  <c r="WT182" i="1"/>
  <c r="WP182" i="1"/>
  <c r="WH182" i="1"/>
  <c r="WS182" i="1"/>
  <c r="WO182" i="1"/>
  <c r="WG182" i="1"/>
  <c r="WR182" i="1"/>
  <c r="WN182" i="1"/>
  <c r="WJ182" i="1"/>
  <c r="WS183" i="1"/>
  <c r="WO183" i="1"/>
  <c r="WG183" i="1"/>
  <c r="WR183" i="1"/>
  <c r="WN183" i="1"/>
  <c r="WJ183" i="1"/>
  <c r="WQ183" i="1"/>
  <c r="WM183" i="1"/>
  <c r="WI183" i="1"/>
  <c r="WT183" i="1"/>
  <c r="WQ185" i="1"/>
  <c r="WM185" i="1"/>
  <c r="WI185" i="1"/>
  <c r="WT185" i="1"/>
  <c r="WP185" i="1"/>
  <c r="WH185" i="1"/>
  <c r="WS185" i="1"/>
  <c r="WO185" i="1"/>
  <c r="WG185" i="1"/>
  <c r="WT186" i="1"/>
  <c r="WP186" i="1"/>
  <c r="WH186" i="1"/>
  <c r="WS186" i="1"/>
  <c r="WO186" i="1"/>
  <c r="WG186" i="1"/>
  <c r="WR186" i="1"/>
  <c r="WN186" i="1"/>
  <c r="WJ186" i="1"/>
  <c r="WS187" i="1"/>
  <c r="WO187" i="1"/>
  <c r="WG187" i="1"/>
  <c r="WR187" i="1"/>
  <c r="WN187" i="1"/>
  <c r="WJ187" i="1"/>
  <c r="WQ187" i="1"/>
  <c r="WM187" i="1"/>
  <c r="WI187" i="1"/>
  <c r="WT187" i="1"/>
  <c r="WQ189" i="1"/>
  <c r="WM189" i="1"/>
  <c r="WI189" i="1"/>
  <c r="WT189" i="1"/>
  <c r="WP189" i="1"/>
  <c r="WH189" i="1"/>
  <c r="WS189" i="1"/>
  <c r="WO189" i="1"/>
  <c r="WG189" i="1"/>
  <c r="WT190" i="1"/>
  <c r="WP190" i="1"/>
  <c r="WR190" i="1"/>
  <c r="WM190" i="1"/>
  <c r="WH190" i="1"/>
  <c r="WQ190" i="1"/>
  <c r="WG190" i="1"/>
  <c r="WO190" i="1"/>
  <c r="WJ190" i="1"/>
  <c r="WP203" i="1"/>
  <c r="WP205" i="1"/>
  <c r="WS217" i="1"/>
  <c r="WO217" i="1"/>
  <c r="WG217" i="1"/>
  <c r="WQ217" i="1"/>
  <c r="WP217" i="1"/>
  <c r="WJ217" i="1"/>
  <c r="WT217" i="1"/>
  <c r="WN217" i="1"/>
  <c r="WI217" i="1"/>
  <c r="WH217" i="1"/>
  <c r="WR217" i="1"/>
  <c r="WH176" i="1"/>
  <c r="WP176" i="1"/>
  <c r="WT176" i="1"/>
  <c r="WH180" i="1"/>
  <c r="WP180" i="1"/>
  <c r="WT180" i="1"/>
  <c r="WH184" i="1"/>
  <c r="WP184" i="1"/>
  <c r="WT184" i="1"/>
  <c r="WH188" i="1"/>
  <c r="WP188" i="1"/>
  <c r="WT188" i="1"/>
  <c r="WJ191" i="1"/>
  <c r="WR192" i="1"/>
  <c r="WN192" i="1"/>
  <c r="WJ192" i="1"/>
  <c r="WI192" i="1"/>
  <c r="WO192" i="1"/>
  <c r="WT192" i="1"/>
  <c r="WI196" i="1"/>
  <c r="WI200" i="1"/>
  <c r="WI204" i="1"/>
  <c r="WQ207" i="1"/>
  <c r="WM207" i="1"/>
  <c r="WI207" i="1"/>
  <c r="WT207" i="1"/>
  <c r="WP207" i="1"/>
  <c r="WH207" i="1"/>
  <c r="WS207" i="1"/>
  <c r="WO207" i="1"/>
  <c r="WG207" i="1"/>
  <c r="WT208" i="1"/>
  <c r="WP208" i="1"/>
  <c r="WH208" i="1"/>
  <c r="WS208" i="1"/>
  <c r="WO208" i="1"/>
  <c r="WG208" i="1"/>
  <c r="WR208" i="1"/>
  <c r="WN208" i="1"/>
  <c r="WJ208" i="1"/>
  <c r="WS209" i="1"/>
  <c r="WO209" i="1"/>
  <c r="WG209" i="1"/>
  <c r="WR209" i="1"/>
  <c r="WN209" i="1"/>
  <c r="WJ209" i="1"/>
  <c r="WQ209" i="1"/>
  <c r="WM209" i="1"/>
  <c r="WI209" i="1"/>
  <c r="WH209" i="1"/>
  <c r="WQ215" i="1"/>
  <c r="WM215" i="1"/>
  <c r="WI215" i="1"/>
  <c r="WP215" i="1"/>
  <c r="WT215" i="1"/>
  <c r="WO215" i="1"/>
  <c r="WJ215" i="1"/>
  <c r="WS215" i="1"/>
  <c r="WN215" i="1"/>
  <c r="WH215" i="1"/>
  <c r="WS191" i="1"/>
  <c r="WO191" i="1"/>
  <c r="WG191" i="1"/>
  <c r="WQ191" i="1"/>
  <c r="WS213" i="1"/>
  <c r="WO213" i="1"/>
  <c r="WG213" i="1"/>
  <c r="WR213" i="1"/>
  <c r="WN213" i="1"/>
  <c r="WJ213" i="1"/>
  <c r="WQ213" i="1"/>
  <c r="WM213" i="1"/>
  <c r="WI213" i="1"/>
  <c r="WH213" i="1"/>
  <c r="WS225" i="1"/>
  <c r="WO225" i="1"/>
  <c r="WG225" i="1"/>
  <c r="WT225" i="1"/>
  <c r="WN225" i="1"/>
  <c r="WI225" i="1"/>
  <c r="WR225" i="1"/>
  <c r="WM225" i="1"/>
  <c r="WH225" i="1"/>
  <c r="WQ225" i="1"/>
  <c r="WJ225" i="1"/>
  <c r="WJ176" i="1"/>
  <c r="WN176" i="1"/>
  <c r="WJ180" i="1"/>
  <c r="WN180" i="1"/>
  <c r="WJ184" i="1"/>
  <c r="WN184" i="1"/>
  <c r="WJ188" i="1"/>
  <c r="WN188" i="1"/>
  <c r="WH191" i="1"/>
  <c r="WM191" i="1"/>
  <c r="WR191" i="1"/>
  <c r="WT196" i="1"/>
  <c r="WP196" i="1"/>
  <c r="WH196" i="1"/>
  <c r="WR196" i="1"/>
  <c r="WN196" i="1"/>
  <c r="WJ196" i="1"/>
  <c r="WM196" i="1"/>
  <c r="WT200" i="1"/>
  <c r="WP200" i="1"/>
  <c r="WH200" i="1"/>
  <c r="WR200" i="1"/>
  <c r="WN200" i="1"/>
  <c r="WJ200" i="1"/>
  <c r="WM200" i="1"/>
  <c r="WT204" i="1"/>
  <c r="WP204" i="1"/>
  <c r="WH204" i="1"/>
  <c r="WR204" i="1"/>
  <c r="WN204" i="1"/>
  <c r="WJ204" i="1"/>
  <c r="WM204" i="1"/>
  <c r="WQ211" i="1"/>
  <c r="WM211" i="1"/>
  <c r="WI211" i="1"/>
  <c r="WT211" i="1"/>
  <c r="WP211" i="1"/>
  <c r="WH211" i="1"/>
  <c r="WS211" i="1"/>
  <c r="WO211" i="1"/>
  <c r="WG211" i="1"/>
  <c r="WT212" i="1"/>
  <c r="WP212" i="1"/>
  <c r="WH212" i="1"/>
  <c r="WS212" i="1"/>
  <c r="WO212" i="1"/>
  <c r="WG212" i="1"/>
  <c r="WR212" i="1"/>
  <c r="WN212" i="1"/>
  <c r="WJ212" i="1"/>
  <c r="WI212" i="1"/>
  <c r="WQ219" i="1"/>
  <c r="WM219" i="1"/>
  <c r="WI219" i="1"/>
  <c r="WT219" i="1"/>
  <c r="WO219" i="1"/>
  <c r="WJ219" i="1"/>
  <c r="WS219" i="1"/>
  <c r="WN219" i="1"/>
  <c r="WH219" i="1"/>
  <c r="WR219" i="1"/>
  <c r="WG219" i="1"/>
  <c r="WS221" i="1"/>
  <c r="WO221" i="1"/>
  <c r="WG221" i="1"/>
  <c r="WP221" i="1"/>
  <c r="WJ221" i="1"/>
  <c r="WT221" i="1"/>
  <c r="WN221" i="1"/>
  <c r="WI221" i="1"/>
  <c r="WR221" i="1"/>
  <c r="WM221" i="1"/>
  <c r="WH221" i="1"/>
  <c r="WQ223" i="1"/>
  <c r="WM223" i="1"/>
  <c r="WI223" i="1"/>
  <c r="WS223" i="1"/>
  <c r="WN223" i="1"/>
  <c r="WH223" i="1"/>
  <c r="WR223" i="1"/>
  <c r="WG223" i="1"/>
  <c r="WP223" i="1"/>
  <c r="WJ223" i="1"/>
  <c r="WP225" i="1"/>
  <c r="WH198" i="1"/>
  <c r="WP198" i="1"/>
  <c r="WT198" i="1"/>
  <c r="WH202" i="1"/>
  <c r="WP202" i="1"/>
  <c r="WT202" i="1"/>
  <c r="WH206" i="1"/>
  <c r="WP206" i="1"/>
  <c r="WT206" i="1"/>
  <c r="WH210" i="1"/>
  <c r="WP210" i="1"/>
  <c r="WT210" i="1"/>
  <c r="WR214" i="1"/>
  <c r="WN214" i="1"/>
  <c r="WJ214" i="1"/>
  <c r="WI214" i="1"/>
  <c r="WO214" i="1"/>
  <c r="WT214" i="1"/>
  <c r="WI216" i="1"/>
  <c r="WN216" i="1"/>
  <c r="WH218" i="1"/>
  <c r="WM218" i="1"/>
  <c r="WG222" i="1"/>
  <c r="WT224" i="1"/>
  <c r="WP224" i="1"/>
  <c r="WH224" i="1"/>
  <c r="WQ224" i="1"/>
  <c r="WR227" i="1"/>
  <c r="WN227" i="1"/>
  <c r="WJ227" i="1"/>
  <c r="WQ227" i="1"/>
  <c r="WM227" i="1"/>
  <c r="WI227" i="1"/>
  <c r="WS227" i="1"/>
  <c r="WT230" i="1"/>
  <c r="WP230" i="1"/>
  <c r="WH230" i="1"/>
  <c r="WS230" i="1"/>
  <c r="WO230" i="1"/>
  <c r="WG230" i="1"/>
  <c r="WR230" i="1"/>
  <c r="WN230" i="1"/>
  <c r="WJ230" i="1"/>
  <c r="WS231" i="1"/>
  <c r="WO231" i="1"/>
  <c r="WG231" i="1"/>
  <c r="WR231" i="1"/>
  <c r="WN231" i="1"/>
  <c r="WJ231" i="1"/>
  <c r="WQ231" i="1"/>
  <c r="WM231" i="1"/>
  <c r="WI231" i="1"/>
  <c r="WT231" i="1"/>
  <c r="WQ233" i="1"/>
  <c r="WM233" i="1"/>
  <c r="WI233" i="1"/>
  <c r="WT233" i="1"/>
  <c r="WP233" i="1"/>
  <c r="WH233" i="1"/>
  <c r="WS233" i="1"/>
  <c r="WO233" i="1"/>
  <c r="WG233" i="1"/>
  <c r="WT234" i="1"/>
  <c r="WP234" i="1"/>
  <c r="WH234" i="1"/>
  <c r="WS234" i="1"/>
  <c r="WO234" i="1"/>
  <c r="WG234" i="1"/>
  <c r="WR234" i="1"/>
  <c r="WN234" i="1"/>
  <c r="WJ234" i="1"/>
  <c r="WS235" i="1"/>
  <c r="WO235" i="1"/>
  <c r="WG235" i="1"/>
  <c r="WR235" i="1"/>
  <c r="WN235" i="1"/>
  <c r="WJ235" i="1"/>
  <c r="WQ235" i="1"/>
  <c r="WM235" i="1"/>
  <c r="WI235" i="1"/>
  <c r="WT235" i="1"/>
  <c r="WQ237" i="1"/>
  <c r="WM237" i="1"/>
  <c r="WI237" i="1"/>
  <c r="WT237" i="1"/>
  <c r="WP237" i="1"/>
  <c r="WH237" i="1"/>
  <c r="WS237" i="1"/>
  <c r="WO237" i="1"/>
  <c r="WG237" i="1"/>
  <c r="WT238" i="1"/>
  <c r="WP238" i="1"/>
  <c r="WH238" i="1"/>
  <c r="WS238" i="1"/>
  <c r="WO238" i="1"/>
  <c r="WG238" i="1"/>
  <c r="WR238" i="1"/>
  <c r="WN238" i="1"/>
  <c r="WJ238" i="1"/>
  <c r="WS239" i="1"/>
  <c r="WO239" i="1"/>
  <c r="WG239" i="1"/>
  <c r="WR239" i="1"/>
  <c r="WN239" i="1"/>
  <c r="WJ239" i="1"/>
  <c r="WQ239" i="1"/>
  <c r="WM239" i="1"/>
  <c r="WI239" i="1"/>
  <c r="WT239" i="1"/>
  <c r="WQ245" i="1"/>
  <c r="WM245" i="1"/>
  <c r="WI245" i="1"/>
  <c r="WS245" i="1"/>
  <c r="WO245" i="1"/>
  <c r="WG245" i="1"/>
  <c r="WR245" i="1"/>
  <c r="WJ245" i="1"/>
  <c r="WP245" i="1"/>
  <c r="WH245" i="1"/>
  <c r="WN245" i="1"/>
  <c r="WS247" i="1"/>
  <c r="WO247" i="1"/>
  <c r="WG247" i="1"/>
  <c r="WQ247" i="1"/>
  <c r="WM247" i="1"/>
  <c r="WI247" i="1"/>
  <c r="WR247" i="1"/>
  <c r="WJ247" i="1"/>
  <c r="WP247" i="1"/>
  <c r="WH247" i="1"/>
  <c r="WN247" i="1"/>
  <c r="WQ266" i="1"/>
  <c r="WM266" i="1"/>
  <c r="WI266" i="1"/>
  <c r="WT266" i="1"/>
  <c r="WP266" i="1"/>
  <c r="WH266" i="1"/>
  <c r="WS266" i="1"/>
  <c r="WO266" i="1"/>
  <c r="WG266" i="1"/>
  <c r="WR266" i="1"/>
  <c r="WN266" i="1"/>
  <c r="WJ266" i="1"/>
  <c r="WR218" i="1"/>
  <c r="WN218" i="1"/>
  <c r="WJ218" i="1"/>
  <c r="WI218" i="1"/>
  <c r="WO218" i="1"/>
  <c r="WT218" i="1"/>
  <c r="WQ228" i="1"/>
  <c r="WM228" i="1"/>
  <c r="WI228" i="1"/>
  <c r="WT228" i="1"/>
  <c r="WP228" i="1"/>
  <c r="WH228" i="1"/>
  <c r="WN228" i="1"/>
  <c r="WT229" i="1"/>
  <c r="WP229" i="1"/>
  <c r="WH229" i="1"/>
  <c r="WS229" i="1"/>
  <c r="WO229" i="1"/>
  <c r="WG229" i="1"/>
  <c r="WN229" i="1"/>
  <c r="WR244" i="1"/>
  <c r="WN244" i="1"/>
  <c r="WT244" i="1"/>
  <c r="WP244" i="1"/>
  <c r="WH244" i="1"/>
  <c r="WQ244" i="1"/>
  <c r="WJ244" i="1"/>
  <c r="WO244" i="1"/>
  <c r="WI244" i="1"/>
  <c r="WM244" i="1"/>
  <c r="WG244" i="1"/>
  <c r="WQ249" i="1"/>
  <c r="WM249" i="1"/>
  <c r="WI249" i="1"/>
  <c r="WS249" i="1"/>
  <c r="WO249" i="1"/>
  <c r="WG249" i="1"/>
  <c r="WR249" i="1"/>
  <c r="WJ249" i="1"/>
  <c r="WP249" i="1"/>
  <c r="WH249" i="1"/>
  <c r="WN249" i="1"/>
  <c r="WJ198" i="1"/>
  <c r="WN198" i="1"/>
  <c r="WJ202" i="1"/>
  <c r="WN202" i="1"/>
  <c r="WJ206" i="1"/>
  <c r="WN206" i="1"/>
  <c r="WJ210" i="1"/>
  <c r="WN210" i="1"/>
  <c r="WT216" i="1"/>
  <c r="WP216" i="1"/>
  <c r="WH216" i="1"/>
  <c r="WQ216" i="1"/>
  <c r="WP218" i="1"/>
  <c r="WR222" i="1"/>
  <c r="WN222" i="1"/>
  <c r="WJ222" i="1"/>
  <c r="WI222" i="1"/>
  <c r="WO222" i="1"/>
  <c r="WT222" i="1"/>
  <c r="WG227" i="1"/>
  <c r="WO227" i="1"/>
  <c r="WG228" i="1"/>
  <c r="WO228" i="1"/>
  <c r="WI229" i="1"/>
  <c r="WQ229" i="1"/>
  <c r="WH232" i="1"/>
  <c r="WP232" i="1"/>
  <c r="WT232" i="1"/>
  <c r="WH236" i="1"/>
  <c r="WP236" i="1"/>
  <c r="WT236" i="1"/>
  <c r="WH240" i="1"/>
  <c r="WP240" i="1"/>
  <c r="WJ241" i="1"/>
  <c r="WR242" i="1"/>
  <c r="WN242" i="1"/>
  <c r="WJ242" i="1"/>
  <c r="WI242" i="1"/>
  <c r="WO242" i="1"/>
  <c r="WT242" i="1"/>
  <c r="WT246" i="1"/>
  <c r="WP246" i="1"/>
  <c r="WH246" i="1"/>
  <c r="WR246" i="1"/>
  <c r="WN246" i="1"/>
  <c r="WJ246" i="1"/>
  <c r="WM246" i="1"/>
  <c r="WT250" i="1"/>
  <c r="WP250" i="1"/>
  <c r="WH250" i="1"/>
  <c r="WR250" i="1"/>
  <c r="WN250" i="1"/>
  <c r="WJ250" i="1"/>
  <c r="WM250" i="1"/>
  <c r="WS251" i="1"/>
  <c r="WO251" i="1"/>
  <c r="WG251" i="1"/>
  <c r="WR251" i="1"/>
  <c r="WN251" i="1"/>
  <c r="WJ251" i="1"/>
  <c r="WQ251" i="1"/>
  <c r="WM251" i="1"/>
  <c r="WI251" i="1"/>
  <c r="WH251" i="1"/>
  <c r="WT255" i="1"/>
  <c r="WP255" i="1"/>
  <c r="WH255" i="1"/>
  <c r="WR255" i="1"/>
  <c r="WN255" i="1"/>
  <c r="WJ255" i="1"/>
  <c r="WM255" i="1"/>
  <c r="WS255" i="1"/>
  <c r="WQ255" i="1"/>
  <c r="WI255" i="1"/>
  <c r="WT267" i="1"/>
  <c r="WP267" i="1"/>
  <c r="WH267" i="1"/>
  <c r="WS267" i="1"/>
  <c r="WO267" i="1"/>
  <c r="WG267" i="1"/>
  <c r="WR267" i="1"/>
  <c r="WN267" i="1"/>
  <c r="WJ267" i="1"/>
  <c r="WQ267" i="1"/>
  <c r="WM267" i="1"/>
  <c r="WI232" i="1"/>
  <c r="WM232" i="1"/>
  <c r="WQ232" i="1"/>
  <c r="WI236" i="1"/>
  <c r="WM236" i="1"/>
  <c r="WQ236" i="1"/>
  <c r="WI240" i="1"/>
  <c r="WM240" i="1"/>
  <c r="WQ240" i="1"/>
  <c r="WS241" i="1"/>
  <c r="WO241" i="1"/>
  <c r="WG241" i="1"/>
  <c r="WQ241" i="1"/>
  <c r="WQ253" i="1"/>
  <c r="WM253" i="1"/>
  <c r="WI253" i="1"/>
  <c r="WT253" i="1"/>
  <c r="WP253" i="1"/>
  <c r="WH253" i="1"/>
  <c r="WS253" i="1"/>
  <c r="WO253" i="1"/>
  <c r="WG253" i="1"/>
  <c r="WS260" i="1"/>
  <c r="WO260" i="1"/>
  <c r="WG260" i="1"/>
  <c r="WR260" i="1"/>
  <c r="WN260" i="1"/>
  <c r="WJ260" i="1"/>
  <c r="WQ260" i="1"/>
  <c r="WM260" i="1"/>
  <c r="WI260" i="1"/>
  <c r="WT260" i="1"/>
  <c r="WP260" i="1"/>
  <c r="WH260" i="1"/>
  <c r="WJ232" i="1"/>
  <c r="WN232" i="1"/>
  <c r="WJ236" i="1"/>
  <c r="WN236" i="1"/>
  <c r="WJ240" i="1"/>
  <c r="WN240" i="1"/>
  <c r="WR240" i="1"/>
  <c r="WJ253" i="1"/>
  <c r="WQ254" i="1"/>
  <c r="WM254" i="1"/>
  <c r="WI254" i="1"/>
  <c r="WS254" i="1"/>
  <c r="WO254" i="1"/>
  <c r="WG254" i="1"/>
  <c r="WT254" i="1"/>
  <c r="WR254" i="1"/>
  <c r="WJ254" i="1"/>
  <c r="WP254" i="1"/>
  <c r="WH254" i="1"/>
  <c r="WS256" i="1"/>
  <c r="WO256" i="1"/>
  <c r="WG256" i="1"/>
  <c r="WQ256" i="1"/>
  <c r="WM256" i="1"/>
  <c r="WI256" i="1"/>
  <c r="WN256" i="1"/>
  <c r="WT256" i="1"/>
  <c r="WR256" i="1"/>
  <c r="WJ256" i="1"/>
  <c r="WH256" i="1"/>
  <c r="WQ258" i="1"/>
  <c r="WM258" i="1"/>
  <c r="WI258" i="1"/>
  <c r="WT258" i="1"/>
  <c r="WP258" i="1"/>
  <c r="WH258" i="1"/>
  <c r="WS258" i="1"/>
  <c r="WO258" i="1"/>
  <c r="WG258" i="1"/>
  <c r="WJ258" i="1"/>
  <c r="WR258" i="1"/>
  <c r="WR261" i="1"/>
  <c r="WN261" i="1"/>
  <c r="WJ261" i="1"/>
  <c r="WQ261" i="1"/>
  <c r="WM261" i="1"/>
  <c r="WI261" i="1"/>
  <c r="WT261" i="1"/>
  <c r="WP261" i="1"/>
  <c r="WH261" i="1"/>
  <c r="WG261" i="1"/>
  <c r="WS261" i="1"/>
  <c r="WO261" i="1"/>
  <c r="WH248" i="1"/>
  <c r="WP248" i="1"/>
  <c r="WT248" i="1"/>
  <c r="WH252" i="1"/>
  <c r="WP252" i="1"/>
  <c r="WT252" i="1"/>
  <c r="WQ270" i="1"/>
  <c r="WM270" i="1"/>
  <c r="WI270" i="1"/>
  <c r="WT270" i="1"/>
  <c r="WP270" i="1"/>
  <c r="WH270" i="1"/>
  <c r="WS270" i="1"/>
  <c r="WO270" i="1"/>
  <c r="WG270" i="1"/>
  <c r="WT271" i="1"/>
  <c r="WP271" i="1"/>
  <c r="WH271" i="1"/>
  <c r="WS271" i="1"/>
  <c r="WO271" i="1"/>
  <c r="WG271" i="1"/>
  <c r="WR271" i="1"/>
  <c r="WN271" i="1"/>
  <c r="WJ271" i="1"/>
  <c r="WI271" i="1"/>
  <c r="WT259" i="1"/>
  <c r="WP259" i="1"/>
  <c r="WH259" i="1"/>
  <c r="WS259" i="1"/>
  <c r="WO259" i="1"/>
  <c r="WG259" i="1"/>
  <c r="WR259" i="1"/>
  <c r="WN259" i="1"/>
  <c r="WJ259" i="1"/>
  <c r="WM259" i="1"/>
  <c r="WS264" i="1"/>
  <c r="WO264" i="1"/>
  <c r="WG264" i="1"/>
  <c r="WR264" i="1"/>
  <c r="WN264" i="1"/>
  <c r="WJ264" i="1"/>
  <c r="WQ264" i="1"/>
  <c r="WM264" i="1"/>
  <c r="WI264" i="1"/>
  <c r="WH264" i="1"/>
  <c r="WR265" i="1"/>
  <c r="WN265" i="1"/>
  <c r="WJ265" i="1"/>
  <c r="WQ265" i="1"/>
  <c r="WM265" i="1"/>
  <c r="WI265" i="1"/>
  <c r="WT265" i="1"/>
  <c r="WP265" i="1"/>
  <c r="WH265" i="1"/>
  <c r="WJ248" i="1"/>
  <c r="WN248" i="1"/>
  <c r="WJ252" i="1"/>
  <c r="WN252" i="1"/>
  <c r="WR257" i="1"/>
  <c r="WN257" i="1"/>
  <c r="WJ257" i="1"/>
  <c r="WT257" i="1"/>
  <c r="WP257" i="1"/>
  <c r="WH257" i="1"/>
  <c r="WG257" i="1"/>
  <c r="WO257" i="1"/>
  <c r="WQ259" i="1"/>
  <c r="WQ262" i="1"/>
  <c r="WM262" i="1"/>
  <c r="WI262" i="1"/>
  <c r="WT262" i="1"/>
  <c r="WP262" i="1"/>
  <c r="WH262" i="1"/>
  <c r="WS262" i="1"/>
  <c r="WO262" i="1"/>
  <c r="WG262" i="1"/>
  <c r="WT263" i="1"/>
  <c r="WP263" i="1"/>
  <c r="WH263" i="1"/>
  <c r="WS263" i="1"/>
  <c r="WO263" i="1"/>
  <c r="WG263" i="1"/>
  <c r="WR263" i="1"/>
  <c r="WN263" i="1"/>
  <c r="WJ263" i="1"/>
  <c r="WI263" i="1"/>
  <c r="WO265" i="1"/>
  <c r="WS268" i="1"/>
  <c r="WO268" i="1"/>
  <c r="WG268" i="1"/>
  <c r="WR268" i="1"/>
  <c r="WN268" i="1"/>
  <c r="WJ268" i="1"/>
  <c r="WQ268" i="1"/>
  <c r="WM268" i="1"/>
  <c r="WI268" i="1"/>
  <c r="WH268" i="1"/>
  <c r="WR269" i="1"/>
  <c r="WN269" i="1"/>
  <c r="WJ269" i="1"/>
  <c r="WQ269" i="1"/>
  <c r="WM269" i="1"/>
  <c r="WI269" i="1"/>
  <c r="WT269" i="1"/>
  <c r="WP269" i="1"/>
  <c r="WH269" i="1"/>
  <c r="WM8" i="1"/>
  <c r="WI8" i="1"/>
  <c r="WQ8" i="1"/>
  <c r="WJ8" i="1"/>
  <c r="WG8" i="1"/>
  <c r="WO8" i="1"/>
  <c r="WS8" i="1"/>
  <c r="WH8" i="1"/>
  <c r="WP8" i="1"/>
  <c r="WT8" i="1"/>
  <c r="WN8" i="1"/>
  <c r="AC147" i="29" l="1"/>
  <c r="AC151" i="31" s="1"/>
  <c r="AC149" i="31"/>
  <c r="AC59" i="31"/>
  <c r="B2" i="29"/>
  <c r="B2" i="31" l="1"/>
  <c r="JI15" i="31"/>
  <c r="D17" i="31"/>
  <c r="E17" i="31"/>
  <c r="F17" i="31"/>
  <c r="G17" i="31"/>
  <c r="H17" i="31"/>
  <c r="I17" i="31"/>
  <c r="J17" i="31"/>
  <c r="K17" i="31"/>
  <c r="L17" i="31"/>
  <c r="M17" i="31"/>
  <c r="N17" i="31"/>
  <c r="O17" i="31"/>
  <c r="P17" i="31"/>
  <c r="Q17" i="31"/>
  <c r="R17" i="31"/>
  <c r="S17" i="31"/>
  <c r="T17" i="31"/>
  <c r="U17" i="31"/>
  <c r="V17" i="31"/>
  <c r="W17" i="31"/>
  <c r="X17" i="31"/>
  <c r="Y17" i="31"/>
  <c r="Z17" i="31"/>
  <c r="AA17" i="31"/>
  <c r="AB17" i="31"/>
  <c r="AD17" i="31"/>
  <c r="AE17" i="31"/>
  <c r="AF17" i="31"/>
  <c r="AG17" i="31"/>
  <c r="AH17" i="31"/>
  <c r="AI17" i="31"/>
  <c r="AJ17" i="31"/>
  <c r="AK17" i="31"/>
  <c r="AL17" i="31"/>
  <c r="AM17" i="31"/>
  <c r="AN17" i="31"/>
  <c r="AO17" i="31"/>
  <c r="AP17" i="31"/>
  <c r="AQ17" i="31"/>
  <c r="AR17" i="31"/>
  <c r="AS17" i="31"/>
  <c r="AT17" i="31"/>
  <c r="AU17" i="31"/>
  <c r="AV17" i="31"/>
  <c r="AW17" i="31"/>
  <c r="AX17" i="31"/>
  <c r="AY17" i="31"/>
  <c r="AZ17" i="31"/>
  <c r="BA17" i="31"/>
  <c r="BB17" i="31"/>
  <c r="BC17" i="31"/>
  <c r="BD17" i="31"/>
  <c r="BE17" i="31"/>
  <c r="BF17" i="31"/>
  <c r="BG17" i="31"/>
  <c r="BH17" i="31"/>
  <c r="BI17" i="31"/>
  <c r="BJ17" i="31"/>
  <c r="BK17" i="31"/>
  <c r="BL17" i="31"/>
  <c r="BM17" i="31"/>
  <c r="BN17" i="31"/>
  <c r="BO17" i="31"/>
  <c r="BP17" i="31"/>
  <c r="BQ17" i="31"/>
  <c r="BR17" i="31"/>
  <c r="BS17" i="31"/>
  <c r="BT17" i="31"/>
  <c r="BU17" i="31"/>
  <c r="BV17" i="31"/>
  <c r="BW17" i="31"/>
  <c r="BX17" i="31"/>
  <c r="BY17" i="31"/>
  <c r="BZ17" i="31"/>
  <c r="CA17" i="31"/>
  <c r="CB17" i="31"/>
  <c r="CC17" i="31"/>
  <c r="CD17" i="31"/>
  <c r="CE17" i="31"/>
  <c r="CF17" i="31"/>
  <c r="CG17" i="31"/>
  <c r="CH17" i="31"/>
  <c r="CI17" i="31"/>
  <c r="CJ17" i="31"/>
  <c r="CK17" i="31"/>
  <c r="CL17" i="31"/>
  <c r="CM17" i="31"/>
  <c r="CN17" i="31"/>
  <c r="CO17" i="31"/>
  <c r="CP17" i="31"/>
  <c r="CQ17" i="31"/>
  <c r="CR17" i="31"/>
  <c r="CS17" i="31"/>
  <c r="CT17" i="31"/>
  <c r="CU17" i="31"/>
  <c r="CV17" i="31"/>
  <c r="CW17" i="31"/>
  <c r="CY17" i="31"/>
  <c r="CZ17" i="31"/>
  <c r="DA17" i="31"/>
  <c r="DB17" i="31"/>
  <c r="DC17" i="31"/>
  <c r="DD17" i="31"/>
  <c r="DE17" i="31"/>
  <c r="DF17" i="31"/>
  <c r="DG17" i="31"/>
  <c r="DH17" i="31"/>
  <c r="DI17" i="31"/>
  <c r="DJ17" i="31"/>
  <c r="DK17" i="31"/>
  <c r="DL17" i="31"/>
  <c r="DM17" i="31"/>
  <c r="DN17" i="31"/>
  <c r="DO17" i="31"/>
  <c r="DP17" i="31"/>
  <c r="DQ17" i="31"/>
  <c r="DR17" i="31"/>
  <c r="DS17" i="31"/>
  <c r="DT17" i="31"/>
  <c r="DU17" i="31"/>
  <c r="DV17" i="31"/>
  <c r="DW17" i="31"/>
  <c r="DX17" i="31"/>
  <c r="DY17" i="31"/>
  <c r="DZ17" i="31"/>
  <c r="EA17" i="31"/>
  <c r="EB17" i="31"/>
  <c r="EC17" i="31"/>
  <c r="ED17" i="31"/>
  <c r="EE17" i="31"/>
  <c r="EF17" i="31"/>
  <c r="EG17" i="31"/>
  <c r="EH17" i="31"/>
  <c r="EI17" i="31"/>
  <c r="EJ17" i="31"/>
  <c r="EK17" i="31"/>
  <c r="EL17" i="31"/>
  <c r="EM17" i="31"/>
  <c r="EN17" i="31"/>
  <c r="EO17" i="31"/>
  <c r="EP17" i="31"/>
  <c r="EQ17" i="31"/>
  <c r="ER17" i="31"/>
  <c r="ES17" i="31"/>
  <c r="ET17" i="31"/>
  <c r="EU17" i="31"/>
  <c r="EV17" i="31"/>
  <c r="EW17" i="31"/>
  <c r="EX17" i="31"/>
  <c r="EY17" i="31"/>
  <c r="EZ17" i="31"/>
  <c r="FA17" i="31"/>
  <c r="FB17" i="31"/>
  <c r="FC17" i="31"/>
  <c r="FD17" i="31"/>
  <c r="FE17" i="31"/>
  <c r="FF17" i="31"/>
  <c r="FG17" i="31"/>
  <c r="FH17" i="31"/>
  <c r="FI17" i="31"/>
  <c r="FJ17" i="31"/>
  <c r="FK17" i="31"/>
  <c r="FL17" i="31"/>
  <c r="FM17" i="31"/>
  <c r="FN17" i="31"/>
  <c r="FO17" i="31"/>
  <c r="FP17" i="31"/>
  <c r="FQ17" i="31"/>
  <c r="FR17" i="31"/>
  <c r="FS17" i="31"/>
  <c r="FT17" i="31"/>
  <c r="FU17" i="31"/>
  <c r="FV17" i="31"/>
  <c r="FW17" i="31"/>
  <c r="FX17" i="31"/>
  <c r="FY17" i="31"/>
  <c r="FZ17" i="31"/>
  <c r="GA17" i="31"/>
  <c r="GB17" i="31"/>
  <c r="GC17" i="31"/>
  <c r="GD17" i="31"/>
  <c r="GE17" i="31"/>
  <c r="GF17" i="31"/>
  <c r="GG17" i="31"/>
  <c r="GH17" i="31"/>
  <c r="GI17" i="31"/>
  <c r="GJ17" i="31"/>
  <c r="GK17" i="31"/>
  <c r="GL17" i="31"/>
  <c r="GM17" i="31"/>
  <c r="GN17" i="31"/>
  <c r="GO17" i="31"/>
  <c r="GP17" i="31"/>
  <c r="GQ17" i="31"/>
  <c r="GR17" i="31"/>
  <c r="GS17" i="31"/>
  <c r="GT17" i="31"/>
  <c r="GU17" i="31"/>
  <c r="GV17" i="31"/>
  <c r="GW17" i="31"/>
  <c r="GX17" i="31"/>
  <c r="GY17" i="31"/>
  <c r="GZ17" i="31"/>
  <c r="HA17" i="31"/>
  <c r="HB17" i="31"/>
  <c r="HC17" i="31"/>
  <c r="HD17" i="31"/>
  <c r="HE17" i="31"/>
  <c r="HF17" i="31"/>
  <c r="HG17" i="31"/>
  <c r="HH17" i="31"/>
  <c r="HI17" i="31"/>
  <c r="HJ17" i="31"/>
  <c r="HK17" i="31"/>
  <c r="HL17" i="31"/>
  <c r="HM17" i="31"/>
  <c r="HN17" i="31"/>
  <c r="HO17" i="31"/>
  <c r="HP17" i="31"/>
  <c r="HQ17" i="31"/>
  <c r="HR17" i="31"/>
  <c r="HS17" i="31"/>
  <c r="HT17" i="31"/>
  <c r="HU17" i="31"/>
  <c r="HV17" i="31"/>
  <c r="HW17" i="31"/>
  <c r="HX17" i="31"/>
  <c r="HY17" i="31"/>
  <c r="HZ17" i="31"/>
  <c r="IA17" i="31"/>
  <c r="IB17" i="31"/>
  <c r="IC17" i="31"/>
  <c r="ID17" i="31"/>
  <c r="IE17" i="31"/>
  <c r="IF17" i="31"/>
  <c r="IG17" i="31"/>
  <c r="IH17" i="31"/>
  <c r="II17" i="31"/>
  <c r="IJ17" i="31"/>
  <c r="IK17" i="31"/>
  <c r="IL17" i="31"/>
  <c r="IM17" i="31"/>
  <c r="IN17" i="31"/>
  <c r="IO17" i="31"/>
  <c r="IP17" i="31"/>
  <c r="IQ17" i="31"/>
  <c r="IR17" i="31"/>
  <c r="IS17" i="31"/>
  <c r="IT17" i="31"/>
  <c r="IU17" i="31"/>
  <c r="IV17" i="31"/>
  <c r="IW17" i="31"/>
  <c r="IX17" i="31"/>
  <c r="IY17" i="31"/>
  <c r="IZ17" i="31"/>
  <c r="JA17" i="31"/>
  <c r="JB17" i="31"/>
  <c r="JC17" i="31"/>
  <c r="JD17" i="31"/>
  <c r="JE17" i="31"/>
  <c r="JF17" i="31"/>
  <c r="JG17" i="31"/>
  <c r="JH17" i="31"/>
  <c r="JI17" i="31"/>
  <c r="D18" i="31"/>
  <c r="E18" i="31"/>
  <c r="F18" i="31"/>
  <c r="G18" i="31"/>
  <c r="H18" i="31"/>
  <c r="I18" i="31"/>
  <c r="J18" i="31"/>
  <c r="K18" i="31"/>
  <c r="L18" i="31"/>
  <c r="M18" i="31"/>
  <c r="N18" i="31"/>
  <c r="O18" i="31"/>
  <c r="P18" i="31"/>
  <c r="Q18" i="31"/>
  <c r="R18" i="31"/>
  <c r="S18" i="31"/>
  <c r="T18" i="31"/>
  <c r="U18" i="31"/>
  <c r="V18" i="31"/>
  <c r="W18" i="31"/>
  <c r="X18" i="31"/>
  <c r="Y18" i="31"/>
  <c r="Z18" i="31"/>
  <c r="AA18" i="31"/>
  <c r="AB18" i="31"/>
  <c r="AD18" i="31"/>
  <c r="AE18" i="31"/>
  <c r="AF18" i="31"/>
  <c r="AG18" i="31"/>
  <c r="AH18" i="31"/>
  <c r="AI18" i="31"/>
  <c r="AJ18" i="31"/>
  <c r="AK18" i="31"/>
  <c r="AL18" i="31"/>
  <c r="AM18" i="31"/>
  <c r="AN18" i="31"/>
  <c r="AO18" i="31"/>
  <c r="AP18" i="31"/>
  <c r="AQ18" i="31"/>
  <c r="AR18" i="31"/>
  <c r="AS18" i="31"/>
  <c r="AT18" i="31"/>
  <c r="AU18" i="31"/>
  <c r="AV18" i="31"/>
  <c r="AW18" i="31"/>
  <c r="AX18" i="31"/>
  <c r="AY18" i="31"/>
  <c r="AZ18" i="31"/>
  <c r="BA18" i="31"/>
  <c r="BB18" i="31"/>
  <c r="BC18" i="31"/>
  <c r="BD18" i="31"/>
  <c r="BE18" i="31"/>
  <c r="BF18" i="31"/>
  <c r="BG18" i="31"/>
  <c r="BH18" i="31"/>
  <c r="BI18" i="31"/>
  <c r="BJ18" i="31"/>
  <c r="BK18" i="31"/>
  <c r="BL18" i="31"/>
  <c r="BM18" i="31"/>
  <c r="BN18" i="31"/>
  <c r="BO18" i="31"/>
  <c r="BP18" i="31"/>
  <c r="BQ18" i="31"/>
  <c r="BR18" i="31"/>
  <c r="BS18" i="31"/>
  <c r="BT18" i="31"/>
  <c r="BU18" i="31"/>
  <c r="BV18" i="31"/>
  <c r="BW18" i="31"/>
  <c r="BX18" i="31"/>
  <c r="BY18" i="31"/>
  <c r="BZ18" i="31"/>
  <c r="CA18" i="31"/>
  <c r="CB18" i="31"/>
  <c r="CC18" i="31"/>
  <c r="CD18" i="31"/>
  <c r="CE18" i="31"/>
  <c r="CF18" i="31"/>
  <c r="CG18" i="31"/>
  <c r="CH18" i="31"/>
  <c r="CI18" i="31"/>
  <c r="CJ18" i="31"/>
  <c r="CK18" i="31"/>
  <c r="CL18" i="31"/>
  <c r="CM18" i="31"/>
  <c r="CN18" i="31"/>
  <c r="CO18" i="31"/>
  <c r="CP18" i="31"/>
  <c r="CQ18" i="31"/>
  <c r="CR18" i="31"/>
  <c r="CS18" i="31"/>
  <c r="CT18" i="31"/>
  <c r="CU18" i="31"/>
  <c r="CV18" i="31"/>
  <c r="CW18" i="31"/>
  <c r="CX18" i="31"/>
  <c r="CY18" i="31"/>
  <c r="CZ18" i="31"/>
  <c r="DA18" i="31"/>
  <c r="DB18" i="31"/>
  <c r="DC18" i="31"/>
  <c r="DD18" i="31"/>
  <c r="DE18" i="31"/>
  <c r="DF18" i="31"/>
  <c r="DG18" i="31"/>
  <c r="DH18" i="31"/>
  <c r="DI18" i="31"/>
  <c r="DJ18" i="31"/>
  <c r="DK18" i="31"/>
  <c r="DL18" i="31"/>
  <c r="DM18" i="31"/>
  <c r="DN18" i="31"/>
  <c r="DO18" i="31"/>
  <c r="DP18" i="31"/>
  <c r="DQ18" i="31"/>
  <c r="DR18" i="31"/>
  <c r="DS18" i="31"/>
  <c r="DT18" i="31"/>
  <c r="DU18" i="31"/>
  <c r="DV18" i="31"/>
  <c r="DW18" i="31"/>
  <c r="DX18" i="31"/>
  <c r="DY18" i="31"/>
  <c r="DZ18" i="31"/>
  <c r="EA18" i="31"/>
  <c r="EB18" i="31"/>
  <c r="EC18" i="31"/>
  <c r="ED18" i="31"/>
  <c r="EE18" i="31"/>
  <c r="EF18" i="31"/>
  <c r="EG18" i="31"/>
  <c r="EH18" i="31"/>
  <c r="EI18" i="31"/>
  <c r="EJ18" i="31"/>
  <c r="EK18" i="31"/>
  <c r="EL18" i="31"/>
  <c r="EM18" i="31"/>
  <c r="EN18" i="31"/>
  <c r="EO18" i="31"/>
  <c r="EP18" i="31"/>
  <c r="EQ18" i="31"/>
  <c r="ER18" i="31"/>
  <c r="ES18" i="31"/>
  <c r="ET18" i="31"/>
  <c r="EU18" i="31"/>
  <c r="EV18" i="31"/>
  <c r="EW18" i="31"/>
  <c r="EX18" i="31"/>
  <c r="EY18" i="31"/>
  <c r="EZ18" i="31"/>
  <c r="FA18" i="31"/>
  <c r="FB18" i="31"/>
  <c r="FC18" i="31"/>
  <c r="FD18" i="31"/>
  <c r="FE18" i="31"/>
  <c r="FF18" i="31"/>
  <c r="FG18" i="31"/>
  <c r="FH18" i="31"/>
  <c r="FI18" i="31"/>
  <c r="FJ18" i="31"/>
  <c r="FK18" i="31"/>
  <c r="FL18" i="31"/>
  <c r="FM18" i="31"/>
  <c r="FN18" i="31"/>
  <c r="FO18" i="31"/>
  <c r="FP18" i="31"/>
  <c r="FQ18" i="31"/>
  <c r="FR18" i="31"/>
  <c r="FS18" i="31"/>
  <c r="FT18" i="31"/>
  <c r="FU18" i="31"/>
  <c r="FV18" i="31"/>
  <c r="FW18" i="31"/>
  <c r="FX18" i="31"/>
  <c r="FY18" i="31"/>
  <c r="FZ18" i="31"/>
  <c r="GA18" i="31"/>
  <c r="GB18" i="31"/>
  <c r="GC18" i="31"/>
  <c r="GD18" i="31"/>
  <c r="GE18" i="31"/>
  <c r="GF18" i="31"/>
  <c r="GG18" i="31"/>
  <c r="GH18" i="31"/>
  <c r="GI18" i="31"/>
  <c r="GJ18" i="31"/>
  <c r="GK18" i="31"/>
  <c r="GL18" i="31"/>
  <c r="GM18" i="31"/>
  <c r="GN18" i="31"/>
  <c r="GO18" i="31"/>
  <c r="GP18" i="31"/>
  <c r="GQ18" i="31"/>
  <c r="GR18" i="31"/>
  <c r="GS18" i="31"/>
  <c r="GT18" i="31"/>
  <c r="GU18" i="31"/>
  <c r="GV18" i="31"/>
  <c r="GW18" i="31"/>
  <c r="GX18" i="31"/>
  <c r="GY18" i="31"/>
  <c r="GZ18" i="31"/>
  <c r="HA18" i="31"/>
  <c r="HB18" i="31"/>
  <c r="HC18" i="31"/>
  <c r="HD18" i="31"/>
  <c r="HE18" i="31"/>
  <c r="HF18" i="31"/>
  <c r="HG18" i="31"/>
  <c r="HH18" i="31"/>
  <c r="HI18" i="31"/>
  <c r="HJ18" i="31"/>
  <c r="HK18" i="31"/>
  <c r="HL18" i="31"/>
  <c r="HM18" i="31"/>
  <c r="HN18" i="31"/>
  <c r="HO18" i="31"/>
  <c r="HP18" i="31"/>
  <c r="HQ18" i="31"/>
  <c r="HR18" i="31"/>
  <c r="HS18" i="31"/>
  <c r="HT18" i="31"/>
  <c r="HU18" i="31"/>
  <c r="HV18" i="31"/>
  <c r="HW18" i="31"/>
  <c r="HX18" i="31"/>
  <c r="HY18" i="31"/>
  <c r="HZ18" i="31"/>
  <c r="IA18" i="31"/>
  <c r="IB18" i="31"/>
  <c r="IC18" i="31"/>
  <c r="ID18" i="31"/>
  <c r="IE18" i="31"/>
  <c r="IF18" i="31"/>
  <c r="IG18" i="31"/>
  <c r="IH18" i="31"/>
  <c r="II18" i="31"/>
  <c r="IJ18" i="31"/>
  <c r="IK18" i="31"/>
  <c r="IL18" i="31"/>
  <c r="IM18" i="31"/>
  <c r="IN18" i="31"/>
  <c r="IO18" i="31"/>
  <c r="IP18" i="31"/>
  <c r="IQ18" i="31"/>
  <c r="IR18" i="31"/>
  <c r="IS18" i="31"/>
  <c r="IT18" i="31"/>
  <c r="IU18" i="31"/>
  <c r="IV18" i="31"/>
  <c r="IW18" i="31"/>
  <c r="IX18" i="31"/>
  <c r="IY18" i="31"/>
  <c r="IZ18" i="31"/>
  <c r="JA18" i="31"/>
  <c r="JB18" i="31"/>
  <c r="JC18" i="31"/>
  <c r="JD18" i="31"/>
  <c r="JE18" i="31"/>
  <c r="JF18" i="31"/>
  <c r="JG18" i="31"/>
  <c r="JH18" i="31"/>
  <c r="JI18" i="31"/>
  <c r="JI24" i="31"/>
  <c r="JI25" i="31"/>
  <c r="D26" i="31"/>
  <c r="E26" i="31"/>
  <c r="F26" i="31"/>
  <c r="G26" i="31"/>
  <c r="H26" i="31"/>
  <c r="I26" i="31"/>
  <c r="J26" i="31"/>
  <c r="K26" i="31"/>
  <c r="L26" i="31"/>
  <c r="M26" i="31"/>
  <c r="N26" i="31"/>
  <c r="O26" i="31"/>
  <c r="P26" i="31"/>
  <c r="Q26" i="31"/>
  <c r="R26" i="31"/>
  <c r="S26" i="31"/>
  <c r="T26" i="31"/>
  <c r="U26" i="31"/>
  <c r="V26" i="31"/>
  <c r="W26" i="31"/>
  <c r="X26" i="31"/>
  <c r="Y26" i="31"/>
  <c r="Z26" i="31"/>
  <c r="AA26" i="31"/>
  <c r="AB26" i="31"/>
  <c r="AD26" i="31"/>
  <c r="AE26" i="31"/>
  <c r="AF26" i="31"/>
  <c r="AG26" i="31"/>
  <c r="AH26" i="31"/>
  <c r="AI26" i="31"/>
  <c r="AJ26" i="31"/>
  <c r="AK26" i="31"/>
  <c r="AL26" i="31"/>
  <c r="AM26" i="31"/>
  <c r="AN26" i="31"/>
  <c r="AO26" i="31"/>
  <c r="AP26" i="31"/>
  <c r="AQ26" i="31"/>
  <c r="AR26" i="31"/>
  <c r="AS26" i="31"/>
  <c r="AT26" i="31"/>
  <c r="AU26" i="31"/>
  <c r="AV26" i="31"/>
  <c r="AW26" i="31"/>
  <c r="AX26" i="31"/>
  <c r="AY26" i="31"/>
  <c r="AZ26" i="31"/>
  <c r="BA26" i="31"/>
  <c r="BB26" i="31"/>
  <c r="BC26" i="31"/>
  <c r="BD26" i="31"/>
  <c r="BE26" i="31"/>
  <c r="BF26" i="31"/>
  <c r="BG26" i="31"/>
  <c r="BH26" i="31"/>
  <c r="BI26" i="31"/>
  <c r="BJ26" i="31"/>
  <c r="BK26" i="31"/>
  <c r="BL26" i="31"/>
  <c r="BM26" i="31"/>
  <c r="BN26" i="31"/>
  <c r="BO26" i="31"/>
  <c r="BP26" i="31"/>
  <c r="BQ26" i="31"/>
  <c r="BR26" i="31"/>
  <c r="BS26" i="31"/>
  <c r="BT26" i="31"/>
  <c r="BU26" i="31"/>
  <c r="BV26" i="31"/>
  <c r="BW26" i="31"/>
  <c r="BX26" i="31"/>
  <c r="BY26" i="31"/>
  <c r="BZ26" i="31"/>
  <c r="CA26" i="31"/>
  <c r="CB26" i="31"/>
  <c r="CC26" i="31"/>
  <c r="CD26" i="31"/>
  <c r="CE26" i="31"/>
  <c r="CF26" i="31"/>
  <c r="CG26" i="31"/>
  <c r="CH26" i="31"/>
  <c r="CI26" i="31"/>
  <c r="CJ26" i="31"/>
  <c r="CK26" i="31"/>
  <c r="CL26" i="31"/>
  <c r="CM26" i="31"/>
  <c r="CN26" i="31"/>
  <c r="CO26" i="31"/>
  <c r="CP26" i="31"/>
  <c r="CQ26" i="31"/>
  <c r="CR26" i="31"/>
  <c r="CS26" i="31"/>
  <c r="CT26" i="31"/>
  <c r="CU26" i="31"/>
  <c r="CV26" i="31"/>
  <c r="CW26" i="31"/>
  <c r="CX26" i="31"/>
  <c r="CY26" i="31"/>
  <c r="CZ26" i="31"/>
  <c r="DA26" i="31"/>
  <c r="DB26" i="31"/>
  <c r="DC26" i="31"/>
  <c r="DD26" i="31"/>
  <c r="DE26" i="31"/>
  <c r="DF26" i="31"/>
  <c r="DG26" i="31"/>
  <c r="DH26" i="31"/>
  <c r="DI26" i="31"/>
  <c r="DJ26" i="31"/>
  <c r="DK26" i="31"/>
  <c r="DL26" i="31"/>
  <c r="DM26" i="31"/>
  <c r="DN26" i="31"/>
  <c r="DO26" i="31"/>
  <c r="DP26" i="31"/>
  <c r="DQ26" i="31"/>
  <c r="DR26" i="31"/>
  <c r="DS26" i="31"/>
  <c r="DT26" i="31"/>
  <c r="DU26" i="31"/>
  <c r="DV26" i="31"/>
  <c r="DW26" i="31"/>
  <c r="DX26" i="31"/>
  <c r="DY26" i="31"/>
  <c r="DZ26" i="31"/>
  <c r="EA26" i="31"/>
  <c r="EB26" i="31"/>
  <c r="EC26" i="31"/>
  <c r="ED26" i="31"/>
  <c r="EE26" i="31"/>
  <c r="EF26" i="31"/>
  <c r="EG26" i="31"/>
  <c r="EH26" i="31"/>
  <c r="EI26" i="31"/>
  <c r="EJ26" i="31"/>
  <c r="EK26" i="31"/>
  <c r="EL26" i="31"/>
  <c r="EM26" i="31"/>
  <c r="EN26" i="31"/>
  <c r="EO26" i="31"/>
  <c r="EP26" i="31"/>
  <c r="EQ26" i="31"/>
  <c r="ER26" i="31"/>
  <c r="ES26" i="31"/>
  <c r="ET26" i="31"/>
  <c r="EU26" i="31"/>
  <c r="EV26" i="31"/>
  <c r="EW26" i="31"/>
  <c r="EX26" i="31"/>
  <c r="EY26" i="31"/>
  <c r="EZ26" i="31"/>
  <c r="FA26" i="31"/>
  <c r="FB26" i="31"/>
  <c r="FC26" i="31"/>
  <c r="FD26" i="31"/>
  <c r="FE26" i="31"/>
  <c r="FF26" i="31"/>
  <c r="FG26" i="31"/>
  <c r="FH26" i="31"/>
  <c r="FI26" i="31"/>
  <c r="FJ26" i="31"/>
  <c r="FK26" i="31"/>
  <c r="FL26" i="31"/>
  <c r="FM26" i="31"/>
  <c r="FN26" i="31"/>
  <c r="FO26" i="31"/>
  <c r="FP26" i="31"/>
  <c r="FQ26" i="31"/>
  <c r="FR26" i="31"/>
  <c r="FS26" i="31"/>
  <c r="FT26" i="31"/>
  <c r="FU26" i="31"/>
  <c r="FV26" i="31"/>
  <c r="FW26" i="31"/>
  <c r="FX26" i="31"/>
  <c r="FY26" i="31"/>
  <c r="FZ26" i="31"/>
  <c r="GA26" i="31"/>
  <c r="GB26" i="31"/>
  <c r="GC26" i="31"/>
  <c r="GD26" i="31"/>
  <c r="GE26" i="31"/>
  <c r="GF26" i="31"/>
  <c r="GG26" i="31"/>
  <c r="GH26" i="31"/>
  <c r="GI26" i="31"/>
  <c r="GJ26" i="31"/>
  <c r="GK26" i="31"/>
  <c r="GL26" i="31"/>
  <c r="GM26" i="31"/>
  <c r="GN26" i="31"/>
  <c r="GO26" i="31"/>
  <c r="GP26" i="31"/>
  <c r="GQ26" i="31"/>
  <c r="GR26" i="31"/>
  <c r="GS26" i="31"/>
  <c r="GT26" i="31"/>
  <c r="GU26" i="31"/>
  <c r="GV26" i="31"/>
  <c r="GW26" i="31"/>
  <c r="GX26" i="31"/>
  <c r="GY26" i="31"/>
  <c r="GZ26" i="31"/>
  <c r="HA26" i="31"/>
  <c r="HB26" i="31"/>
  <c r="HC26" i="31"/>
  <c r="HD26" i="31"/>
  <c r="HE26" i="31"/>
  <c r="HF26" i="31"/>
  <c r="HG26" i="31"/>
  <c r="HH26" i="31"/>
  <c r="HI26" i="31"/>
  <c r="HJ26" i="31"/>
  <c r="HK26" i="31"/>
  <c r="HL26" i="31"/>
  <c r="HM26" i="31"/>
  <c r="HN26" i="31"/>
  <c r="HO26" i="31"/>
  <c r="HP26" i="31"/>
  <c r="HQ26" i="31"/>
  <c r="HR26" i="31"/>
  <c r="HS26" i="31"/>
  <c r="HT26" i="31"/>
  <c r="HU26" i="31"/>
  <c r="HV26" i="31"/>
  <c r="HW26" i="31"/>
  <c r="HX26" i="31"/>
  <c r="HY26" i="31"/>
  <c r="HZ26" i="31"/>
  <c r="IA26" i="31"/>
  <c r="IB26" i="31"/>
  <c r="IC26" i="31"/>
  <c r="ID26" i="31"/>
  <c r="IE26" i="31"/>
  <c r="IF26" i="31"/>
  <c r="IG26" i="31"/>
  <c r="IH26" i="31"/>
  <c r="II26" i="31"/>
  <c r="IJ26" i="31"/>
  <c r="IK26" i="31"/>
  <c r="IL26" i="31"/>
  <c r="IM26" i="31"/>
  <c r="IN26" i="31"/>
  <c r="IO26" i="31"/>
  <c r="IP26" i="31"/>
  <c r="IQ26" i="31"/>
  <c r="IR26" i="31"/>
  <c r="IS26" i="31"/>
  <c r="IT26" i="31"/>
  <c r="IU26" i="31"/>
  <c r="IV26" i="31"/>
  <c r="IW26" i="31"/>
  <c r="IX26" i="31"/>
  <c r="IY26" i="31"/>
  <c r="IZ26" i="31"/>
  <c r="JA26" i="31"/>
  <c r="JB26" i="31"/>
  <c r="JC26" i="31"/>
  <c r="JD26" i="31"/>
  <c r="JE26" i="31"/>
  <c r="JF26" i="31"/>
  <c r="JG26" i="31"/>
  <c r="JH26" i="31"/>
  <c r="JI26" i="31"/>
  <c r="JI27" i="31"/>
  <c r="JI28" i="31"/>
  <c r="DC29" i="31"/>
  <c r="JI29" i="31"/>
  <c r="JI30" i="31"/>
  <c r="JI35" i="31"/>
  <c r="JI36" i="31"/>
  <c r="D39" i="31"/>
  <c r="E39" i="31"/>
  <c r="F39" i="31"/>
  <c r="G39" i="31"/>
  <c r="H39" i="31"/>
  <c r="I39" i="31"/>
  <c r="J39" i="31"/>
  <c r="K39" i="31"/>
  <c r="L39" i="31"/>
  <c r="M39" i="31"/>
  <c r="N39" i="31"/>
  <c r="O39" i="31"/>
  <c r="P39" i="31"/>
  <c r="Q39" i="31"/>
  <c r="R39" i="31"/>
  <c r="S39" i="31"/>
  <c r="T39" i="31"/>
  <c r="U39" i="31"/>
  <c r="V39" i="31"/>
  <c r="W39" i="31"/>
  <c r="X39" i="31"/>
  <c r="Y39" i="31"/>
  <c r="Z39" i="31"/>
  <c r="AA39" i="31"/>
  <c r="AB39" i="31"/>
  <c r="AD39" i="31"/>
  <c r="AE39" i="31"/>
  <c r="AF39" i="31"/>
  <c r="AG39" i="31"/>
  <c r="AH39" i="31"/>
  <c r="AI39" i="31"/>
  <c r="AJ39" i="31"/>
  <c r="AK39" i="31"/>
  <c r="AL39" i="31"/>
  <c r="AM39" i="31"/>
  <c r="AN39" i="31"/>
  <c r="AO39" i="31"/>
  <c r="AP39" i="31"/>
  <c r="AQ39" i="31"/>
  <c r="AR39" i="31"/>
  <c r="AS39" i="31"/>
  <c r="AT39" i="31"/>
  <c r="AU39" i="31"/>
  <c r="AV39" i="31"/>
  <c r="AW39" i="31"/>
  <c r="AX39" i="31"/>
  <c r="AY39" i="31"/>
  <c r="AZ39" i="31"/>
  <c r="BA39" i="31"/>
  <c r="BB39" i="31"/>
  <c r="BC39" i="31"/>
  <c r="BD39" i="31"/>
  <c r="BE39" i="31"/>
  <c r="BF39" i="31"/>
  <c r="BG39" i="31"/>
  <c r="BH39" i="31"/>
  <c r="BI39" i="31"/>
  <c r="BJ39" i="31"/>
  <c r="BK39" i="31"/>
  <c r="BL39" i="31"/>
  <c r="BM39" i="31"/>
  <c r="BN39" i="31"/>
  <c r="BO39" i="31"/>
  <c r="BP39" i="31"/>
  <c r="BQ39" i="31"/>
  <c r="BR39" i="31"/>
  <c r="BS39" i="31"/>
  <c r="BT39" i="31"/>
  <c r="BU39" i="31"/>
  <c r="BV39" i="31"/>
  <c r="BW39" i="31"/>
  <c r="BX39" i="31"/>
  <c r="BY39" i="31"/>
  <c r="BZ39" i="31"/>
  <c r="CA39" i="31"/>
  <c r="CB39" i="31"/>
  <c r="CC39" i="31"/>
  <c r="CD39" i="31"/>
  <c r="CE39" i="31"/>
  <c r="CF39" i="31"/>
  <c r="CG39" i="31"/>
  <c r="CH39" i="31"/>
  <c r="CI39" i="31"/>
  <c r="CJ39" i="31"/>
  <c r="CK39" i="31"/>
  <c r="CL39" i="31"/>
  <c r="CM39" i="31"/>
  <c r="CN39" i="31"/>
  <c r="CO39" i="31"/>
  <c r="CP39" i="31"/>
  <c r="CQ39" i="31"/>
  <c r="CR39" i="31"/>
  <c r="CS39" i="31"/>
  <c r="CT39" i="31"/>
  <c r="CU39" i="31"/>
  <c r="CV39" i="31"/>
  <c r="CW39" i="31"/>
  <c r="CX39" i="31"/>
  <c r="CY39" i="31"/>
  <c r="CZ39" i="31"/>
  <c r="DA39" i="31"/>
  <c r="DB39" i="31"/>
  <c r="DC39" i="31"/>
  <c r="DD39" i="31"/>
  <c r="DE39" i="31"/>
  <c r="DF39" i="31"/>
  <c r="DG39" i="31"/>
  <c r="DH39" i="31"/>
  <c r="DI39" i="31"/>
  <c r="DJ39" i="31"/>
  <c r="DK39" i="31"/>
  <c r="DL39" i="31"/>
  <c r="DM39" i="31"/>
  <c r="DN39" i="31"/>
  <c r="DO39" i="31"/>
  <c r="DP39" i="31"/>
  <c r="DQ39" i="31"/>
  <c r="DR39" i="31"/>
  <c r="DS39" i="31"/>
  <c r="DT39" i="31"/>
  <c r="DU39" i="31"/>
  <c r="DV39" i="31"/>
  <c r="DW39" i="31"/>
  <c r="DX39" i="31"/>
  <c r="DY39" i="31"/>
  <c r="DZ39" i="31"/>
  <c r="EA39" i="31"/>
  <c r="EB39" i="31"/>
  <c r="EC39" i="31"/>
  <c r="ED39" i="31"/>
  <c r="EE39" i="31"/>
  <c r="EF39" i="31"/>
  <c r="EG39" i="31"/>
  <c r="EH39" i="31"/>
  <c r="EI39" i="31"/>
  <c r="EJ39" i="31"/>
  <c r="EK39" i="31"/>
  <c r="EL39" i="31"/>
  <c r="EM39" i="31"/>
  <c r="EN39" i="31"/>
  <c r="EO39" i="31"/>
  <c r="EP39" i="31"/>
  <c r="EQ39" i="31"/>
  <c r="ER39" i="31"/>
  <c r="ES39" i="31"/>
  <c r="ET39" i="31"/>
  <c r="EU39" i="31"/>
  <c r="EV39" i="31"/>
  <c r="EW39" i="31"/>
  <c r="EX39" i="31"/>
  <c r="EY39" i="31"/>
  <c r="EZ39" i="31"/>
  <c r="FA39" i="31"/>
  <c r="FB39" i="31"/>
  <c r="FC39" i="31"/>
  <c r="FD39" i="31"/>
  <c r="FE39" i="31"/>
  <c r="FF39" i="31"/>
  <c r="FG39" i="31"/>
  <c r="FH39" i="31"/>
  <c r="FI39" i="31"/>
  <c r="FJ39" i="31"/>
  <c r="FK39" i="31"/>
  <c r="FL39" i="31"/>
  <c r="FM39" i="31"/>
  <c r="FN39" i="31"/>
  <c r="FO39" i="31"/>
  <c r="FP39" i="31"/>
  <c r="FQ39" i="31"/>
  <c r="FR39" i="31"/>
  <c r="FS39" i="31"/>
  <c r="FT39" i="31"/>
  <c r="FU39" i="31"/>
  <c r="FV39" i="31"/>
  <c r="FW39" i="31"/>
  <c r="FX39" i="31"/>
  <c r="FY39" i="31"/>
  <c r="FZ39" i="31"/>
  <c r="GA39" i="31"/>
  <c r="GB39" i="31"/>
  <c r="GC39" i="31"/>
  <c r="GD39" i="31"/>
  <c r="GE39" i="31"/>
  <c r="GF39" i="31"/>
  <c r="GG39" i="31"/>
  <c r="GH39" i="31"/>
  <c r="GI39" i="31"/>
  <c r="GJ39" i="31"/>
  <c r="GK39" i="31"/>
  <c r="GL39" i="31"/>
  <c r="GM39" i="31"/>
  <c r="GN39" i="31"/>
  <c r="GO39" i="31"/>
  <c r="GP39" i="31"/>
  <c r="GQ39" i="31"/>
  <c r="GR39" i="31"/>
  <c r="GS39" i="31"/>
  <c r="GT39" i="31"/>
  <c r="GU39" i="31"/>
  <c r="GV39" i="31"/>
  <c r="GW39" i="31"/>
  <c r="GX39" i="31"/>
  <c r="GY39" i="31"/>
  <c r="GZ39" i="31"/>
  <c r="HA39" i="31"/>
  <c r="HB39" i="31"/>
  <c r="HC39" i="31"/>
  <c r="HD39" i="31"/>
  <c r="HE39" i="31"/>
  <c r="HF39" i="31"/>
  <c r="HG39" i="31"/>
  <c r="HH39" i="31"/>
  <c r="HI39" i="31"/>
  <c r="HJ39" i="31"/>
  <c r="HK39" i="31"/>
  <c r="HL39" i="31"/>
  <c r="HM39" i="31"/>
  <c r="HN39" i="31"/>
  <c r="HO39" i="31"/>
  <c r="HP39" i="31"/>
  <c r="HQ39" i="31"/>
  <c r="HR39" i="31"/>
  <c r="HS39" i="31"/>
  <c r="HT39" i="31"/>
  <c r="HU39" i="31"/>
  <c r="HV39" i="31"/>
  <c r="HW39" i="31"/>
  <c r="HX39" i="31"/>
  <c r="HY39" i="31"/>
  <c r="HZ39" i="31"/>
  <c r="IA39" i="31"/>
  <c r="IB39" i="31"/>
  <c r="IC39" i="31"/>
  <c r="ID39" i="31"/>
  <c r="IE39" i="31"/>
  <c r="IF39" i="31"/>
  <c r="IG39" i="31"/>
  <c r="IH39" i="31"/>
  <c r="II39" i="31"/>
  <c r="IJ39" i="31"/>
  <c r="IK39" i="31"/>
  <c r="IL39" i="31"/>
  <c r="IM39" i="31"/>
  <c r="IN39" i="31"/>
  <c r="IO39" i="31"/>
  <c r="IP39" i="31"/>
  <c r="IQ39" i="31"/>
  <c r="IR39" i="31"/>
  <c r="IS39" i="31"/>
  <c r="IT39" i="31"/>
  <c r="IU39" i="31"/>
  <c r="IV39" i="31"/>
  <c r="IW39" i="31"/>
  <c r="IX39" i="31"/>
  <c r="IY39" i="31"/>
  <c r="IZ39" i="31"/>
  <c r="JA39" i="31"/>
  <c r="JB39" i="31"/>
  <c r="JC39" i="31"/>
  <c r="JD39" i="31"/>
  <c r="JE39" i="31"/>
  <c r="JF39" i="31"/>
  <c r="JG39" i="31"/>
  <c r="JH39" i="31"/>
  <c r="JI39" i="31"/>
  <c r="D45" i="31"/>
  <c r="E45" i="31"/>
  <c r="F45" i="31"/>
  <c r="G45" i="31"/>
  <c r="H45" i="31"/>
  <c r="I45" i="31"/>
  <c r="J45" i="31"/>
  <c r="K45" i="31"/>
  <c r="L45" i="31"/>
  <c r="M45" i="31"/>
  <c r="N45" i="31"/>
  <c r="O45" i="31"/>
  <c r="P45" i="31"/>
  <c r="Q45" i="31"/>
  <c r="R45" i="31"/>
  <c r="S45" i="31"/>
  <c r="T45" i="31"/>
  <c r="U45" i="31"/>
  <c r="V45" i="31"/>
  <c r="W45" i="31"/>
  <c r="X45" i="31"/>
  <c r="Y45" i="31"/>
  <c r="Z45" i="31"/>
  <c r="AA45" i="31"/>
  <c r="AB45" i="31"/>
  <c r="AD45" i="31"/>
  <c r="AE45" i="31"/>
  <c r="AF45" i="31"/>
  <c r="AG45" i="31"/>
  <c r="AH45" i="31"/>
  <c r="AI45" i="31"/>
  <c r="AJ45" i="31"/>
  <c r="AK45" i="31"/>
  <c r="AL45" i="31"/>
  <c r="AM45" i="31"/>
  <c r="AN45" i="31"/>
  <c r="AO45" i="31"/>
  <c r="AP45" i="31"/>
  <c r="AQ45" i="31"/>
  <c r="AR45" i="31"/>
  <c r="AS45" i="31"/>
  <c r="AT45" i="31"/>
  <c r="AU45" i="31"/>
  <c r="AV45" i="31"/>
  <c r="AW45" i="31"/>
  <c r="AX45" i="31"/>
  <c r="AY45" i="31"/>
  <c r="AZ45" i="31"/>
  <c r="BA45" i="31"/>
  <c r="BB45" i="31"/>
  <c r="BC45" i="31"/>
  <c r="BD45" i="31"/>
  <c r="BE45" i="31"/>
  <c r="BF45" i="31"/>
  <c r="BG45" i="31"/>
  <c r="BH45" i="31"/>
  <c r="BI45" i="31"/>
  <c r="BJ45" i="31"/>
  <c r="BK45" i="31"/>
  <c r="BL45" i="31"/>
  <c r="BM45" i="31"/>
  <c r="BN45" i="31"/>
  <c r="BO45" i="31"/>
  <c r="BP45" i="31"/>
  <c r="BQ45" i="31"/>
  <c r="BR45" i="31"/>
  <c r="BS45" i="31"/>
  <c r="BT45" i="31"/>
  <c r="BU45" i="31"/>
  <c r="BV45" i="31"/>
  <c r="BW45" i="31"/>
  <c r="BX45" i="31"/>
  <c r="BY45" i="31"/>
  <c r="BZ45" i="31"/>
  <c r="CA45" i="31"/>
  <c r="CB45" i="31"/>
  <c r="CC45" i="31"/>
  <c r="CD45" i="31"/>
  <c r="CE45" i="31"/>
  <c r="CF45" i="31"/>
  <c r="CG45" i="31"/>
  <c r="CH45" i="31"/>
  <c r="CI45" i="31"/>
  <c r="CJ45" i="31"/>
  <c r="CK45" i="31"/>
  <c r="CL45" i="31"/>
  <c r="CM45" i="31"/>
  <c r="CN45" i="31"/>
  <c r="CO45" i="31"/>
  <c r="CP45" i="31"/>
  <c r="CQ45" i="31"/>
  <c r="CR45" i="31"/>
  <c r="CS45" i="31"/>
  <c r="CT45" i="31"/>
  <c r="CU45" i="31"/>
  <c r="CV45" i="31"/>
  <c r="CW45" i="31"/>
  <c r="CX45" i="31"/>
  <c r="CY45" i="31"/>
  <c r="CZ45" i="31"/>
  <c r="DA45" i="31"/>
  <c r="DB45" i="31"/>
  <c r="DC45" i="31"/>
  <c r="DD45" i="31"/>
  <c r="DE45" i="31"/>
  <c r="DF45" i="31"/>
  <c r="DG45" i="31"/>
  <c r="DH45" i="31"/>
  <c r="DI45" i="31"/>
  <c r="DJ45" i="31"/>
  <c r="DK45" i="31"/>
  <c r="DL45" i="31"/>
  <c r="DM45" i="31"/>
  <c r="DN45" i="31"/>
  <c r="DO45" i="31"/>
  <c r="DP45" i="31"/>
  <c r="DQ45" i="31"/>
  <c r="DR45" i="31"/>
  <c r="DS45" i="31"/>
  <c r="DT45" i="31"/>
  <c r="DU45" i="31"/>
  <c r="DV45" i="31"/>
  <c r="DW45" i="31"/>
  <c r="DX45" i="31"/>
  <c r="DY45" i="31"/>
  <c r="DZ45" i="31"/>
  <c r="EA45" i="31"/>
  <c r="EB45" i="31"/>
  <c r="EC45" i="31"/>
  <c r="ED45" i="31"/>
  <c r="EE45" i="31"/>
  <c r="EF45" i="31"/>
  <c r="EG45" i="31"/>
  <c r="EH45" i="31"/>
  <c r="EI45" i="31"/>
  <c r="EJ45" i="31"/>
  <c r="EK45" i="31"/>
  <c r="EL45" i="31"/>
  <c r="EM45" i="31"/>
  <c r="EN45" i="31"/>
  <c r="EO45" i="31"/>
  <c r="EP45" i="31"/>
  <c r="EQ45" i="31"/>
  <c r="ER45" i="31"/>
  <c r="ES45" i="31"/>
  <c r="ET45" i="31"/>
  <c r="EU45" i="31"/>
  <c r="EV45" i="31"/>
  <c r="EW45" i="31"/>
  <c r="EX45" i="31"/>
  <c r="EY45" i="31"/>
  <c r="EZ45" i="31"/>
  <c r="FA45" i="31"/>
  <c r="FB45" i="31"/>
  <c r="FC45" i="31"/>
  <c r="FD45" i="31"/>
  <c r="FE45" i="31"/>
  <c r="FF45" i="31"/>
  <c r="FG45" i="31"/>
  <c r="FH45" i="31"/>
  <c r="FI45" i="31"/>
  <c r="FJ45" i="31"/>
  <c r="FK45" i="31"/>
  <c r="FL45" i="31"/>
  <c r="FM45" i="31"/>
  <c r="FN45" i="31"/>
  <c r="FO45" i="31"/>
  <c r="FP45" i="31"/>
  <c r="FQ45" i="31"/>
  <c r="FR45" i="31"/>
  <c r="FS45" i="31"/>
  <c r="FT45" i="31"/>
  <c r="FU45" i="31"/>
  <c r="FV45" i="31"/>
  <c r="FW45" i="31"/>
  <c r="FX45" i="31"/>
  <c r="FY45" i="31"/>
  <c r="FZ45" i="31"/>
  <c r="GA45" i="31"/>
  <c r="GB45" i="31"/>
  <c r="GC45" i="31"/>
  <c r="GD45" i="31"/>
  <c r="GE45" i="31"/>
  <c r="GF45" i="31"/>
  <c r="GG45" i="31"/>
  <c r="GH45" i="31"/>
  <c r="GI45" i="31"/>
  <c r="GJ45" i="31"/>
  <c r="GK45" i="31"/>
  <c r="GL45" i="31"/>
  <c r="GM45" i="31"/>
  <c r="GN45" i="31"/>
  <c r="GO45" i="31"/>
  <c r="GP45" i="31"/>
  <c r="GQ45" i="31"/>
  <c r="GR45" i="31"/>
  <c r="GS45" i="31"/>
  <c r="GT45" i="31"/>
  <c r="GU45" i="31"/>
  <c r="GV45" i="31"/>
  <c r="GW45" i="31"/>
  <c r="GX45" i="31"/>
  <c r="GY45" i="31"/>
  <c r="GZ45" i="31"/>
  <c r="HA45" i="31"/>
  <c r="HB45" i="31"/>
  <c r="HC45" i="31"/>
  <c r="HD45" i="31"/>
  <c r="HE45" i="31"/>
  <c r="HF45" i="31"/>
  <c r="HG45" i="31"/>
  <c r="HH45" i="31"/>
  <c r="HI45" i="31"/>
  <c r="HJ45" i="31"/>
  <c r="HK45" i="31"/>
  <c r="HL45" i="31"/>
  <c r="HM45" i="31"/>
  <c r="HN45" i="31"/>
  <c r="HO45" i="31"/>
  <c r="HP45" i="31"/>
  <c r="HQ45" i="31"/>
  <c r="HR45" i="31"/>
  <c r="HS45" i="31"/>
  <c r="HT45" i="31"/>
  <c r="HU45" i="31"/>
  <c r="HV45" i="31"/>
  <c r="HW45" i="31"/>
  <c r="HX45" i="31"/>
  <c r="HY45" i="31"/>
  <c r="HZ45" i="31"/>
  <c r="IA45" i="31"/>
  <c r="IB45" i="31"/>
  <c r="IC45" i="31"/>
  <c r="ID45" i="31"/>
  <c r="IE45" i="31"/>
  <c r="IF45" i="31"/>
  <c r="IG45" i="31"/>
  <c r="IH45" i="31"/>
  <c r="II45" i="31"/>
  <c r="IJ45" i="31"/>
  <c r="IK45" i="31"/>
  <c r="IL45" i="31"/>
  <c r="IM45" i="31"/>
  <c r="IN45" i="31"/>
  <c r="IO45" i="31"/>
  <c r="IP45" i="31"/>
  <c r="IQ45" i="31"/>
  <c r="IR45" i="31"/>
  <c r="IS45" i="31"/>
  <c r="IT45" i="31"/>
  <c r="IU45" i="31"/>
  <c r="IV45" i="31"/>
  <c r="IW45" i="31"/>
  <c r="IX45" i="31"/>
  <c r="IY45" i="31"/>
  <c r="IZ45" i="31"/>
  <c r="JA45" i="31"/>
  <c r="JB45" i="31"/>
  <c r="JC45" i="31"/>
  <c r="JD45" i="31"/>
  <c r="JE45" i="31"/>
  <c r="JF45" i="31"/>
  <c r="JG45" i="31"/>
  <c r="JH45" i="31"/>
  <c r="JI45" i="31"/>
  <c r="D54" i="31"/>
  <c r="E54" i="31"/>
  <c r="F54" i="31"/>
  <c r="G54" i="31"/>
  <c r="H54" i="31"/>
  <c r="I54" i="31"/>
  <c r="J54" i="31"/>
  <c r="K54" i="31"/>
  <c r="L54" i="31"/>
  <c r="M54" i="31"/>
  <c r="N54" i="31"/>
  <c r="O54" i="31"/>
  <c r="P54" i="31"/>
  <c r="Q54" i="31"/>
  <c r="R54" i="31"/>
  <c r="S54" i="31"/>
  <c r="T54" i="31"/>
  <c r="U54" i="31"/>
  <c r="V54" i="31"/>
  <c r="W54" i="31"/>
  <c r="X54" i="31"/>
  <c r="Y54" i="31"/>
  <c r="Z54" i="31"/>
  <c r="AA54" i="31"/>
  <c r="AB54" i="31"/>
  <c r="AD54" i="31"/>
  <c r="AE54" i="31"/>
  <c r="AF54" i="31"/>
  <c r="AG54" i="31"/>
  <c r="AH54" i="31"/>
  <c r="AI54" i="31"/>
  <c r="AJ54" i="31"/>
  <c r="AK54" i="31"/>
  <c r="AL54" i="31"/>
  <c r="AM54" i="31"/>
  <c r="AN54" i="31"/>
  <c r="AO54" i="31"/>
  <c r="AP54" i="31"/>
  <c r="AQ54" i="31"/>
  <c r="AR54" i="31"/>
  <c r="AS54" i="31"/>
  <c r="AT54" i="31"/>
  <c r="AU54" i="31"/>
  <c r="AV54" i="31"/>
  <c r="AW54" i="31"/>
  <c r="AX54" i="31"/>
  <c r="AY54" i="31"/>
  <c r="AZ54" i="31"/>
  <c r="BA54" i="31"/>
  <c r="BB54" i="31"/>
  <c r="BC54" i="31"/>
  <c r="BD54" i="31"/>
  <c r="BE54" i="31"/>
  <c r="BF54" i="31"/>
  <c r="BG54" i="31"/>
  <c r="BH54" i="31"/>
  <c r="BI54" i="31"/>
  <c r="BJ54" i="31"/>
  <c r="BK54" i="31"/>
  <c r="BL54" i="31"/>
  <c r="BM54" i="31"/>
  <c r="BN54" i="31"/>
  <c r="BO54" i="31"/>
  <c r="BP54" i="31"/>
  <c r="BQ54" i="31"/>
  <c r="BR54" i="31"/>
  <c r="BS54" i="31"/>
  <c r="BT54" i="31"/>
  <c r="BU54" i="31"/>
  <c r="BV54" i="31"/>
  <c r="BW54" i="31"/>
  <c r="BX54" i="31"/>
  <c r="BY54" i="31"/>
  <c r="BZ54" i="31"/>
  <c r="CA54" i="31"/>
  <c r="CB54" i="31"/>
  <c r="CC54" i="31"/>
  <c r="CD54" i="31"/>
  <c r="CE54" i="31"/>
  <c r="CF54" i="31"/>
  <c r="CG54" i="31"/>
  <c r="CH54" i="31"/>
  <c r="CI54" i="31"/>
  <c r="CJ54" i="31"/>
  <c r="CK54" i="31"/>
  <c r="CL54" i="31"/>
  <c r="CM54" i="31"/>
  <c r="CN54" i="31"/>
  <c r="CO54" i="31"/>
  <c r="CP54" i="31"/>
  <c r="CQ54" i="31"/>
  <c r="CR54" i="31"/>
  <c r="CS54" i="31"/>
  <c r="CT54" i="31"/>
  <c r="CU54" i="31"/>
  <c r="CV54" i="31"/>
  <c r="CW54" i="31"/>
  <c r="CX54" i="31"/>
  <c r="CY54" i="31"/>
  <c r="CZ54" i="31"/>
  <c r="DA54" i="31"/>
  <c r="DB54" i="31"/>
  <c r="DC54" i="31"/>
  <c r="DD54" i="31"/>
  <c r="DE54" i="31"/>
  <c r="DF54" i="31"/>
  <c r="DG54" i="31"/>
  <c r="DH54" i="31"/>
  <c r="DI54" i="31"/>
  <c r="DJ54" i="31"/>
  <c r="DK54" i="31"/>
  <c r="DL54" i="31"/>
  <c r="DM54" i="31"/>
  <c r="DN54" i="31"/>
  <c r="DO54" i="31"/>
  <c r="DP54" i="31"/>
  <c r="DQ54" i="31"/>
  <c r="DR54" i="31"/>
  <c r="DS54" i="31"/>
  <c r="DT54" i="31"/>
  <c r="DU54" i="31"/>
  <c r="DV54" i="31"/>
  <c r="DW54" i="31"/>
  <c r="DX54" i="31"/>
  <c r="DY54" i="31"/>
  <c r="DZ54" i="31"/>
  <c r="EA54" i="31"/>
  <c r="EB54" i="31"/>
  <c r="EC54" i="31"/>
  <c r="ED54" i="31"/>
  <c r="EE54" i="31"/>
  <c r="EF54" i="31"/>
  <c r="EG54" i="31"/>
  <c r="EH54" i="31"/>
  <c r="EI54" i="31"/>
  <c r="EJ54" i="31"/>
  <c r="EK54" i="31"/>
  <c r="EL54" i="31"/>
  <c r="EM54" i="31"/>
  <c r="EN54" i="31"/>
  <c r="EO54" i="31"/>
  <c r="EP54" i="31"/>
  <c r="EQ54" i="31"/>
  <c r="ER54" i="31"/>
  <c r="ES54" i="31"/>
  <c r="ET54" i="31"/>
  <c r="EU54" i="31"/>
  <c r="EV54" i="31"/>
  <c r="EW54" i="31"/>
  <c r="EX54" i="31"/>
  <c r="EY54" i="31"/>
  <c r="EZ54" i="31"/>
  <c r="FA54" i="31"/>
  <c r="FB54" i="31"/>
  <c r="FC54" i="31"/>
  <c r="FD54" i="31"/>
  <c r="FE54" i="31"/>
  <c r="FF54" i="31"/>
  <c r="FG54" i="31"/>
  <c r="FH54" i="31"/>
  <c r="FI54" i="31"/>
  <c r="FJ54" i="31"/>
  <c r="FK54" i="31"/>
  <c r="FL54" i="31"/>
  <c r="FM54" i="31"/>
  <c r="FN54" i="31"/>
  <c r="FO54" i="31"/>
  <c r="FP54" i="31"/>
  <c r="FQ54" i="31"/>
  <c r="FR54" i="31"/>
  <c r="FS54" i="31"/>
  <c r="FT54" i="31"/>
  <c r="FU54" i="31"/>
  <c r="FV54" i="31"/>
  <c r="FW54" i="31"/>
  <c r="FX54" i="31"/>
  <c r="FY54" i="31"/>
  <c r="FZ54" i="31"/>
  <c r="GA54" i="31"/>
  <c r="GB54" i="31"/>
  <c r="GC54" i="31"/>
  <c r="GD54" i="31"/>
  <c r="GE54" i="31"/>
  <c r="GF54" i="31"/>
  <c r="GG54" i="31"/>
  <c r="GH54" i="31"/>
  <c r="GI54" i="31"/>
  <c r="GJ54" i="31"/>
  <c r="GK54" i="31"/>
  <c r="GL54" i="31"/>
  <c r="GM54" i="31"/>
  <c r="GN54" i="31"/>
  <c r="GO54" i="31"/>
  <c r="GP54" i="31"/>
  <c r="GQ54" i="31"/>
  <c r="GR54" i="31"/>
  <c r="GS54" i="31"/>
  <c r="GT54" i="31"/>
  <c r="GU54" i="31"/>
  <c r="GV54" i="31"/>
  <c r="GW54" i="31"/>
  <c r="GX54" i="31"/>
  <c r="GY54" i="31"/>
  <c r="GZ54" i="31"/>
  <c r="HA54" i="31"/>
  <c r="HB54" i="31"/>
  <c r="HC54" i="31"/>
  <c r="HD54" i="31"/>
  <c r="HE54" i="31"/>
  <c r="HF54" i="31"/>
  <c r="HG54" i="31"/>
  <c r="HH54" i="31"/>
  <c r="HI54" i="31"/>
  <c r="HJ54" i="31"/>
  <c r="HK54" i="31"/>
  <c r="HL54" i="31"/>
  <c r="HM54" i="31"/>
  <c r="HN54" i="31"/>
  <c r="HO54" i="31"/>
  <c r="HP54" i="31"/>
  <c r="HQ54" i="31"/>
  <c r="HR54" i="31"/>
  <c r="HS54" i="31"/>
  <c r="HT54" i="31"/>
  <c r="HU54" i="31"/>
  <c r="HV54" i="31"/>
  <c r="HW54" i="31"/>
  <c r="HX54" i="31"/>
  <c r="HY54" i="31"/>
  <c r="HZ54" i="31"/>
  <c r="IA54" i="31"/>
  <c r="IB54" i="31"/>
  <c r="IC54" i="31"/>
  <c r="ID54" i="31"/>
  <c r="IE54" i="31"/>
  <c r="IF54" i="31"/>
  <c r="IG54" i="31"/>
  <c r="IH54" i="31"/>
  <c r="II54" i="31"/>
  <c r="IJ54" i="31"/>
  <c r="IK54" i="31"/>
  <c r="IL54" i="31"/>
  <c r="IM54" i="31"/>
  <c r="IN54" i="31"/>
  <c r="IO54" i="31"/>
  <c r="IP54" i="31"/>
  <c r="IQ54" i="31"/>
  <c r="IR54" i="31"/>
  <c r="IS54" i="31"/>
  <c r="IT54" i="31"/>
  <c r="IU54" i="31"/>
  <c r="IV54" i="31"/>
  <c r="IW54" i="31"/>
  <c r="IX54" i="31"/>
  <c r="IY54" i="31"/>
  <c r="IZ54" i="31"/>
  <c r="JA54" i="31"/>
  <c r="JB54" i="31"/>
  <c r="JC54" i="31"/>
  <c r="JD54" i="31"/>
  <c r="JE54" i="31"/>
  <c r="JF54" i="31"/>
  <c r="JG54" i="31"/>
  <c r="JH54" i="31"/>
  <c r="JI54" i="31"/>
  <c r="D57" i="31"/>
  <c r="E57" i="31"/>
  <c r="F57" i="31"/>
  <c r="G57" i="31"/>
  <c r="H57" i="31"/>
  <c r="I57" i="31"/>
  <c r="J57" i="31"/>
  <c r="K57" i="31"/>
  <c r="L57" i="31"/>
  <c r="M57" i="31"/>
  <c r="N57" i="31"/>
  <c r="O57" i="31"/>
  <c r="P57" i="31"/>
  <c r="Q57" i="31"/>
  <c r="R57" i="31"/>
  <c r="S57" i="31"/>
  <c r="T57" i="31"/>
  <c r="U57" i="31"/>
  <c r="V57" i="31"/>
  <c r="W57" i="31"/>
  <c r="X57" i="31"/>
  <c r="Y57" i="31"/>
  <c r="Z57" i="31"/>
  <c r="AA57" i="31"/>
  <c r="AB57" i="31"/>
  <c r="AD57" i="31"/>
  <c r="AE57" i="31"/>
  <c r="AF57" i="31"/>
  <c r="AG57" i="31"/>
  <c r="AH57" i="31"/>
  <c r="AI57" i="31"/>
  <c r="AJ57" i="31"/>
  <c r="AK57" i="31"/>
  <c r="AL57" i="31"/>
  <c r="AM57" i="31"/>
  <c r="AN57" i="31"/>
  <c r="AO57" i="31"/>
  <c r="AP57" i="31"/>
  <c r="AQ57" i="31"/>
  <c r="AR57" i="31"/>
  <c r="AS57" i="31"/>
  <c r="AT57" i="31"/>
  <c r="AU57" i="31"/>
  <c r="AV57" i="31"/>
  <c r="AW57" i="31"/>
  <c r="AX57" i="31"/>
  <c r="AY57" i="31"/>
  <c r="AZ57" i="31"/>
  <c r="BA57" i="31"/>
  <c r="BB57" i="31"/>
  <c r="BC57" i="31"/>
  <c r="BD57" i="31"/>
  <c r="BE57" i="31"/>
  <c r="BF57" i="31"/>
  <c r="BG57" i="31"/>
  <c r="BH57" i="31"/>
  <c r="BI57" i="31"/>
  <c r="BJ57" i="31"/>
  <c r="BK57" i="31"/>
  <c r="BL57" i="31"/>
  <c r="BM57" i="31"/>
  <c r="BN57" i="31"/>
  <c r="BO57" i="31"/>
  <c r="BP57" i="31"/>
  <c r="BQ57" i="31"/>
  <c r="BR57" i="31"/>
  <c r="BS57" i="31"/>
  <c r="BT57" i="31"/>
  <c r="BU57" i="31"/>
  <c r="BV57" i="31"/>
  <c r="BW57" i="31"/>
  <c r="BX57" i="31"/>
  <c r="BY57" i="31"/>
  <c r="BZ57" i="31"/>
  <c r="CA57" i="31"/>
  <c r="CB57" i="31"/>
  <c r="CC57" i="31"/>
  <c r="CD57" i="31"/>
  <c r="CE57" i="31"/>
  <c r="CF57" i="31"/>
  <c r="CG57" i="31"/>
  <c r="CH57" i="31"/>
  <c r="CI57" i="31"/>
  <c r="CJ57" i="31"/>
  <c r="CK57" i="31"/>
  <c r="CL57" i="31"/>
  <c r="CM57" i="31"/>
  <c r="CN57" i="31"/>
  <c r="CO57" i="31"/>
  <c r="CP57" i="31"/>
  <c r="CQ57" i="31"/>
  <c r="CR57" i="31"/>
  <c r="CS57" i="31"/>
  <c r="CT57" i="31"/>
  <c r="CU57" i="31"/>
  <c r="CV57" i="31"/>
  <c r="CW57" i="31"/>
  <c r="CX57" i="31"/>
  <c r="CY57" i="31"/>
  <c r="CZ57" i="31"/>
  <c r="DA57" i="31"/>
  <c r="DB57" i="31"/>
  <c r="DC57" i="31"/>
  <c r="DD57" i="31"/>
  <c r="DE57" i="31"/>
  <c r="DF57" i="31"/>
  <c r="DG57" i="31"/>
  <c r="DH57" i="31"/>
  <c r="DI57" i="31"/>
  <c r="DJ57" i="31"/>
  <c r="DK57" i="31"/>
  <c r="DL57" i="31"/>
  <c r="DM57" i="31"/>
  <c r="DN57" i="31"/>
  <c r="DO57" i="31"/>
  <c r="DP57" i="31"/>
  <c r="DQ57" i="31"/>
  <c r="DR57" i="31"/>
  <c r="DS57" i="31"/>
  <c r="DT57" i="31"/>
  <c r="DU57" i="31"/>
  <c r="DV57" i="31"/>
  <c r="DW57" i="31"/>
  <c r="DX57" i="31"/>
  <c r="DY57" i="31"/>
  <c r="DZ57" i="31"/>
  <c r="EA57" i="31"/>
  <c r="EB57" i="31"/>
  <c r="EC57" i="31"/>
  <c r="ED57" i="31"/>
  <c r="EE57" i="31"/>
  <c r="EF57" i="31"/>
  <c r="EG57" i="31"/>
  <c r="EH57" i="31"/>
  <c r="EI57" i="31"/>
  <c r="EJ57" i="31"/>
  <c r="EK57" i="31"/>
  <c r="EL57" i="31"/>
  <c r="EM57" i="31"/>
  <c r="EN57" i="31"/>
  <c r="EO57" i="31"/>
  <c r="EP57" i="31"/>
  <c r="EQ57" i="31"/>
  <c r="ER57" i="31"/>
  <c r="ES57" i="31"/>
  <c r="ET57" i="31"/>
  <c r="EU57" i="31"/>
  <c r="EV57" i="31"/>
  <c r="EW57" i="31"/>
  <c r="EX57" i="31"/>
  <c r="EY57" i="31"/>
  <c r="EZ57" i="31"/>
  <c r="FA57" i="31"/>
  <c r="FB57" i="31"/>
  <c r="FC57" i="31"/>
  <c r="FD57" i="31"/>
  <c r="FE57" i="31"/>
  <c r="FF57" i="31"/>
  <c r="FG57" i="31"/>
  <c r="FH57" i="31"/>
  <c r="FI57" i="31"/>
  <c r="FJ57" i="31"/>
  <c r="FK57" i="31"/>
  <c r="FL57" i="31"/>
  <c r="FM57" i="31"/>
  <c r="FN57" i="31"/>
  <c r="FO57" i="31"/>
  <c r="FP57" i="31"/>
  <c r="FQ57" i="31"/>
  <c r="FR57" i="31"/>
  <c r="FS57" i="31"/>
  <c r="FT57" i="31"/>
  <c r="FU57" i="31"/>
  <c r="FV57" i="31"/>
  <c r="FW57" i="31"/>
  <c r="FX57" i="31"/>
  <c r="FY57" i="31"/>
  <c r="FZ57" i="31"/>
  <c r="GA57" i="31"/>
  <c r="GB57" i="31"/>
  <c r="GC57" i="31"/>
  <c r="GD57" i="31"/>
  <c r="GE57" i="31"/>
  <c r="GF57" i="31"/>
  <c r="GG57" i="31"/>
  <c r="GH57" i="31"/>
  <c r="GI57" i="31"/>
  <c r="GJ57" i="31"/>
  <c r="GK57" i="31"/>
  <c r="GL57" i="31"/>
  <c r="GM57" i="31"/>
  <c r="GN57" i="31"/>
  <c r="GO57" i="31"/>
  <c r="GP57" i="31"/>
  <c r="GQ57" i="31"/>
  <c r="GR57" i="31"/>
  <c r="GS57" i="31"/>
  <c r="GT57" i="31"/>
  <c r="GU57" i="31"/>
  <c r="GV57" i="31"/>
  <c r="GW57" i="31"/>
  <c r="GX57" i="31"/>
  <c r="GY57" i="31"/>
  <c r="GZ57" i="31"/>
  <c r="HA57" i="31"/>
  <c r="HB57" i="31"/>
  <c r="HC57" i="31"/>
  <c r="HD57" i="31"/>
  <c r="HE57" i="31"/>
  <c r="HF57" i="31"/>
  <c r="HG57" i="31"/>
  <c r="HH57" i="31"/>
  <c r="HI57" i="31"/>
  <c r="HJ57" i="31"/>
  <c r="HK57" i="31"/>
  <c r="HL57" i="31"/>
  <c r="HM57" i="31"/>
  <c r="HN57" i="31"/>
  <c r="HO57" i="31"/>
  <c r="HP57" i="31"/>
  <c r="HQ57" i="31"/>
  <c r="HR57" i="31"/>
  <c r="HS57" i="31"/>
  <c r="HT57" i="31"/>
  <c r="HU57" i="31"/>
  <c r="HV57" i="31"/>
  <c r="HW57" i="31"/>
  <c r="HX57" i="31"/>
  <c r="HY57" i="31"/>
  <c r="HZ57" i="31"/>
  <c r="IA57" i="31"/>
  <c r="IB57" i="31"/>
  <c r="IC57" i="31"/>
  <c r="ID57" i="31"/>
  <c r="IE57" i="31"/>
  <c r="IF57" i="31"/>
  <c r="IG57" i="31"/>
  <c r="IH57" i="31"/>
  <c r="II57" i="31"/>
  <c r="IJ57" i="31"/>
  <c r="IK57" i="31"/>
  <c r="IL57" i="31"/>
  <c r="IM57" i="31"/>
  <c r="IN57" i="31"/>
  <c r="IO57" i="31"/>
  <c r="IP57" i="31"/>
  <c r="IQ57" i="31"/>
  <c r="IR57" i="31"/>
  <c r="IS57" i="31"/>
  <c r="IT57" i="31"/>
  <c r="IU57" i="31"/>
  <c r="IV57" i="31"/>
  <c r="IW57" i="31"/>
  <c r="IX57" i="31"/>
  <c r="IY57" i="31"/>
  <c r="IZ57" i="31"/>
  <c r="JA57" i="31"/>
  <c r="JB57" i="31"/>
  <c r="JC57" i="31"/>
  <c r="JD57" i="31"/>
  <c r="JE57" i="31"/>
  <c r="JF57" i="31"/>
  <c r="JG57" i="31"/>
  <c r="JH57" i="31"/>
  <c r="JI57" i="31"/>
  <c r="JI58" i="31"/>
  <c r="JI59" i="31"/>
  <c r="JI60" i="31"/>
  <c r="BZ63" i="31"/>
  <c r="EO63" i="31"/>
  <c r="ET63" i="31"/>
  <c r="EU63" i="31"/>
  <c r="EV63" i="31"/>
  <c r="EW63" i="31"/>
  <c r="EX63" i="31"/>
  <c r="EY63" i="31"/>
  <c r="EZ63" i="31"/>
  <c r="FA63" i="31"/>
  <c r="FB63" i="31"/>
  <c r="FC63" i="31"/>
  <c r="FD63" i="31"/>
  <c r="FE63" i="31"/>
  <c r="FF63" i="31"/>
  <c r="FG63" i="31"/>
  <c r="FH63" i="31"/>
  <c r="FI63" i="31"/>
  <c r="FJ63" i="31"/>
  <c r="FK63" i="31"/>
  <c r="FL63" i="31"/>
  <c r="FM63" i="31"/>
  <c r="FN63" i="31"/>
  <c r="FO63" i="31"/>
  <c r="FP63" i="31"/>
  <c r="FQ63" i="31"/>
  <c r="FR63" i="31"/>
  <c r="FS63" i="31"/>
  <c r="FT63" i="31"/>
  <c r="FU63" i="31"/>
  <c r="FV63" i="31"/>
  <c r="FW63" i="31"/>
  <c r="FX63" i="31"/>
  <c r="FY63" i="31"/>
  <c r="FZ63" i="31"/>
  <c r="GA63" i="31"/>
  <c r="GB63" i="31"/>
  <c r="GC63" i="31"/>
  <c r="GD63" i="31"/>
  <c r="GE63" i="31"/>
  <c r="GF63" i="31"/>
  <c r="GG63" i="31"/>
  <c r="GH63" i="31"/>
  <c r="GI63" i="31"/>
  <c r="GJ63" i="31"/>
  <c r="GK63" i="31"/>
  <c r="GL63" i="31"/>
  <c r="GM63" i="31"/>
  <c r="GN63" i="31"/>
  <c r="GO63" i="31"/>
  <c r="GP63" i="31"/>
  <c r="GQ63" i="31"/>
  <c r="GR63" i="31"/>
  <c r="GS63" i="31"/>
  <c r="GT63" i="31"/>
  <c r="GU63" i="31"/>
  <c r="GV63" i="31"/>
  <c r="GW63" i="31"/>
  <c r="GX63" i="31"/>
  <c r="GY63" i="31"/>
  <c r="GZ63" i="31"/>
  <c r="HA63" i="31"/>
  <c r="HB63" i="31"/>
  <c r="HC63" i="31"/>
  <c r="HD63" i="31"/>
  <c r="HE63" i="31"/>
  <c r="HF63" i="31"/>
  <c r="HG63" i="31"/>
  <c r="HH63" i="31"/>
  <c r="HI63" i="31"/>
  <c r="HJ63" i="31"/>
  <c r="HK63" i="31"/>
  <c r="HL63" i="31"/>
  <c r="HM63" i="31"/>
  <c r="HN63" i="31"/>
  <c r="HO63" i="31"/>
  <c r="HP63" i="31"/>
  <c r="HQ63" i="31"/>
  <c r="HR63" i="31"/>
  <c r="HS63" i="31"/>
  <c r="HT63" i="31"/>
  <c r="HU63" i="31"/>
  <c r="HV63" i="31"/>
  <c r="HW63" i="31"/>
  <c r="HX63" i="31"/>
  <c r="HY63" i="31"/>
  <c r="HZ63" i="31"/>
  <c r="IA63" i="31"/>
  <c r="IB63" i="31"/>
  <c r="IC63" i="31"/>
  <c r="ID63" i="31"/>
  <c r="IE63" i="31"/>
  <c r="IF63" i="31"/>
  <c r="IG63" i="31"/>
  <c r="IH63" i="31"/>
  <c r="II63" i="31"/>
  <c r="IJ63" i="31"/>
  <c r="IK63" i="31"/>
  <c r="IL63" i="31"/>
  <c r="IM63" i="31"/>
  <c r="IN63" i="31"/>
  <c r="IO63" i="31"/>
  <c r="IP63" i="31"/>
  <c r="IQ63" i="31"/>
  <c r="IR63" i="31"/>
  <c r="IS63" i="31"/>
  <c r="IT63" i="31"/>
  <c r="IU63" i="31"/>
  <c r="IV63" i="31"/>
  <c r="IW63" i="31"/>
  <c r="IX63" i="31"/>
  <c r="IY63" i="31"/>
  <c r="IZ63" i="31"/>
  <c r="JA63" i="31"/>
  <c r="JB63" i="31"/>
  <c r="JC63" i="31"/>
  <c r="JD63" i="31"/>
  <c r="JE63" i="31"/>
  <c r="JF63" i="31"/>
  <c r="JG63" i="31"/>
  <c r="JH63" i="31"/>
  <c r="JI63" i="31"/>
  <c r="JI64" i="31"/>
  <c r="JI65" i="31"/>
  <c r="JI66" i="31"/>
  <c r="ET67" i="31"/>
  <c r="EU67" i="31"/>
  <c r="EV67" i="31"/>
  <c r="EW67" i="31"/>
  <c r="EX67" i="31"/>
  <c r="EY67" i="31"/>
  <c r="EZ67" i="31"/>
  <c r="FA67" i="31"/>
  <c r="FB67" i="31"/>
  <c r="FC67" i="31"/>
  <c r="FD67" i="31"/>
  <c r="FE67" i="31"/>
  <c r="FF67" i="31"/>
  <c r="FG67" i="31"/>
  <c r="FH67" i="31"/>
  <c r="FI67" i="31"/>
  <c r="FJ67" i="31"/>
  <c r="FK67" i="31"/>
  <c r="FL67" i="31"/>
  <c r="FM67" i="31"/>
  <c r="FN67" i="31"/>
  <c r="FO67" i="31"/>
  <c r="FP67" i="31"/>
  <c r="FQ67" i="31"/>
  <c r="FR67" i="31"/>
  <c r="FS67" i="31"/>
  <c r="FT67" i="31"/>
  <c r="FU67" i="31"/>
  <c r="FV67" i="31"/>
  <c r="FW67" i="31"/>
  <c r="FX67" i="31"/>
  <c r="FY67" i="31"/>
  <c r="FZ67" i="31"/>
  <c r="GA67" i="31"/>
  <c r="GB67" i="31"/>
  <c r="GC67" i="31"/>
  <c r="GD67" i="31"/>
  <c r="GE67" i="31"/>
  <c r="GF67" i="31"/>
  <c r="GG67" i="31"/>
  <c r="GH67" i="31"/>
  <c r="GI67" i="31"/>
  <c r="GJ67" i="31"/>
  <c r="GK67" i="31"/>
  <c r="GL67" i="31"/>
  <c r="GM67" i="31"/>
  <c r="GN67" i="31"/>
  <c r="GO67" i="31"/>
  <c r="GP67" i="31"/>
  <c r="GQ67" i="31"/>
  <c r="GR67" i="31"/>
  <c r="GS67" i="31"/>
  <c r="GT67" i="31"/>
  <c r="GU67" i="31"/>
  <c r="GV67" i="31"/>
  <c r="GW67" i="31"/>
  <c r="GX67" i="31"/>
  <c r="GY67" i="31"/>
  <c r="GZ67" i="31"/>
  <c r="HA67" i="31"/>
  <c r="HB67" i="31"/>
  <c r="HC67" i="31"/>
  <c r="HD67" i="31"/>
  <c r="HE67" i="31"/>
  <c r="HF67" i="31"/>
  <c r="HG67" i="31"/>
  <c r="HH67" i="31"/>
  <c r="HI67" i="31"/>
  <c r="HJ67" i="31"/>
  <c r="HK67" i="31"/>
  <c r="HL67" i="31"/>
  <c r="HM67" i="31"/>
  <c r="HN67" i="31"/>
  <c r="HO67" i="31"/>
  <c r="HP67" i="31"/>
  <c r="HQ67" i="31"/>
  <c r="HR67" i="31"/>
  <c r="HS67" i="31"/>
  <c r="HT67" i="31"/>
  <c r="HU67" i="31"/>
  <c r="HV67" i="31"/>
  <c r="HW67" i="31"/>
  <c r="HX67" i="31"/>
  <c r="HY67" i="31"/>
  <c r="HZ67" i="31"/>
  <c r="IA67" i="31"/>
  <c r="IB67" i="31"/>
  <c r="IC67" i="31"/>
  <c r="ID67" i="31"/>
  <c r="IE67" i="31"/>
  <c r="IF67" i="31"/>
  <c r="IG67" i="31"/>
  <c r="IH67" i="31"/>
  <c r="II67" i="31"/>
  <c r="IJ67" i="31"/>
  <c r="IK67" i="31"/>
  <c r="IL67" i="31"/>
  <c r="IM67" i="31"/>
  <c r="IN67" i="31"/>
  <c r="IO67" i="31"/>
  <c r="IP67" i="31"/>
  <c r="IQ67" i="31"/>
  <c r="IR67" i="31"/>
  <c r="IS67" i="31"/>
  <c r="IT67" i="31"/>
  <c r="IU67" i="31"/>
  <c r="IV67" i="31"/>
  <c r="IW67" i="31"/>
  <c r="IX67" i="31"/>
  <c r="IY67" i="31"/>
  <c r="IZ67" i="31"/>
  <c r="JA67" i="31"/>
  <c r="JB67" i="31"/>
  <c r="JC67" i="31"/>
  <c r="JD67" i="31"/>
  <c r="JE67" i="31"/>
  <c r="JF67" i="31"/>
  <c r="JG67" i="31"/>
  <c r="JH67" i="31"/>
  <c r="JI67" i="31"/>
  <c r="ET68" i="31"/>
  <c r="EU68" i="31"/>
  <c r="EV68" i="31"/>
  <c r="EW68" i="31"/>
  <c r="EX68" i="31"/>
  <c r="EY68" i="31"/>
  <c r="EZ68" i="31"/>
  <c r="FA68" i="31"/>
  <c r="FB68" i="31"/>
  <c r="FC68" i="31"/>
  <c r="FD68" i="31"/>
  <c r="FE68" i="31"/>
  <c r="FF68" i="31"/>
  <c r="FG68" i="31"/>
  <c r="FH68" i="31"/>
  <c r="FI68" i="31"/>
  <c r="FJ68" i="31"/>
  <c r="FK68" i="31"/>
  <c r="FL68" i="31"/>
  <c r="FM68" i="31"/>
  <c r="FN68" i="31"/>
  <c r="FO68" i="31"/>
  <c r="FP68" i="31"/>
  <c r="FQ68" i="31"/>
  <c r="FR68" i="31"/>
  <c r="FS68" i="31"/>
  <c r="FT68" i="31"/>
  <c r="FU68" i="31"/>
  <c r="FV68" i="31"/>
  <c r="FW68" i="31"/>
  <c r="FX68" i="31"/>
  <c r="FY68" i="31"/>
  <c r="FZ68" i="31"/>
  <c r="GA68" i="31"/>
  <c r="GB68" i="31"/>
  <c r="GC68" i="31"/>
  <c r="GD68" i="31"/>
  <c r="GE68" i="31"/>
  <c r="GF68" i="31"/>
  <c r="GG68" i="31"/>
  <c r="GH68" i="31"/>
  <c r="GI68" i="31"/>
  <c r="GJ68" i="31"/>
  <c r="GK68" i="31"/>
  <c r="GL68" i="31"/>
  <c r="GM68" i="31"/>
  <c r="GN68" i="31"/>
  <c r="GO68" i="31"/>
  <c r="GP68" i="31"/>
  <c r="GQ68" i="31"/>
  <c r="GR68" i="31"/>
  <c r="GS68" i="31"/>
  <c r="GT68" i="31"/>
  <c r="GU68" i="31"/>
  <c r="GV68" i="31"/>
  <c r="GW68" i="31"/>
  <c r="GX68" i="31"/>
  <c r="GY68" i="31"/>
  <c r="GZ68" i="31"/>
  <c r="HA68" i="31"/>
  <c r="HB68" i="31"/>
  <c r="HC68" i="31"/>
  <c r="HD68" i="31"/>
  <c r="HE68" i="31"/>
  <c r="HF68" i="31"/>
  <c r="HG68" i="31"/>
  <c r="HH68" i="31"/>
  <c r="HI68" i="31"/>
  <c r="HJ68" i="31"/>
  <c r="HK68" i="31"/>
  <c r="HL68" i="31"/>
  <c r="HM68" i="31"/>
  <c r="HN68" i="31"/>
  <c r="HO68" i="31"/>
  <c r="HP68" i="31"/>
  <c r="HQ68" i="31"/>
  <c r="HR68" i="31"/>
  <c r="HS68" i="31"/>
  <c r="HT68" i="31"/>
  <c r="HU68" i="31"/>
  <c r="HV68" i="31"/>
  <c r="HW68" i="31"/>
  <c r="HX68" i="31"/>
  <c r="HY68" i="31"/>
  <c r="HZ68" i="31"/>
  <c r="IA68" i="31"/>
  <c r="IB68" i="31"/>
  <c r="IC68" i="31"/>
  <c r="ID68" i="31"/>
  <c r="IE68" i="31"/>
  <c r="IF68" i="31"/>
  <c r="IG68" i="31"/>
  <c r="IH68" i="31"/>
  <c r="II68" i="31"/>
  <c r="IJ68" i="31"/>
  <c r="IK68" i="31"/>
  <c r="IL68" i="31"/>
  <c r="IM68" i="31"/>
  <c r="IN68" i="31"/>
  <c r="IO68" i="31"/>
  <c r="IP68" i="31"/>
  <c r="IQ68" i="31"/>
  <c r="IR68" i="31"/>
  <c r="IS68" i="31"/>
  <c r="IT68" i="31"/>
  <c r="IU68" i="31"/>
  <c r="IV68" i="31"/>
  <c r="IW68" i="31"/>
  <c r="IX68" i="31"/>
  <c r="IY68" i="31"/>
  <c r="IZ68" i="31"/>
  <c r="JA68" i="31"/>
  <c r="JB68" i="31"/>
  <c r="JC68" i="31"/>
  <c r="JD68" i="31"/>
  <c r="JE68" i="31"/>
  <c r="JF68" i="31"/>
  <c r="JG68" i="31"/>
  <c r="JH68" i="31"/>
  <c r="JI68" i="31"/>
  <c r="D70" i="31"/>
  <c r="F70" i="31"/>
  <c r="H70" i="31"/>
  <c r="J70" i="31"/>
  <c r="L70" i="31"/>
  <c r="M70" i="31"/>
  <c r="N70" i="31"/>
  <c r="T70" i="31"/>
  <c r="W70" i="31"/>
  <c r="Z70" i="31"/>
  <c r="AE70" i="31"/>
  <c r="AH70" i="31"/>
  <c r="AL70" i="31"/>
  <c r="AN70" i="31"/>
  <c r="AS70" i="31"/>
  <c r="AT70" i="31"/>
  <c r="AV70" i="31"/>
  <c r="AX70" i="31"/>
  <c r="AZ70" i="31"/>
  <c r="BA70" i="31"/>
  <c r="BC70" i="31"/>
  <c r="BG70" i="31"/>
  <c r="BH70" i="31"/>
  <c r="BI70" i="31"/>
  <c r="BJ70" i="31"/>
  <c r="BL70" i="31"/>
  <c r="BS70" i="31"/>
  <c r="BT70" i="31"/>
  <c r="BU70" i="31"/>
  <c r="BW70" i="31"/>
  <c r="BX70" i="31"/>
  <c r="BY70" i="31"/>
  <c r="BZ70" i="31"/>
  <c r="CA70" i="31"/>
  <c r="CB70" i="31"/>
  <c r="CC70" i="31"/>
  <c r="CD70" i="31"/>
  <c r="CE70" i="31"/>
  <c r="CF70" i="31"/>
  <c r="CG70" i="31"/>
  <c r="CH70" i="31"/>
  <c r="CI70" i="31"/>
  <c r="CJ70" i="31"/>
  <c r="CM70" i="31"/>
  <c r="CN70" i="31"/>
  <c r="CO70" i="31"/>
  <c r="CP70" i="31"/>
  <c r="CS70" i="31"/>
  <c r="CT70" i="31"/>
  <c r="CW70" i="31"/>
  <c r="CY70" i="31"/>
  <c r="DA70" i="31"/>
  <c r="DE70" i="31"/>
  <c r="DF70" i="31"/>
  <c r="DI70" i="31"/>
  <c r="DJ70" i="31"/>
  <c r="DL70" i="31"/>
  <c r="DO70" i="31"/>
  <c r="DQ70" i="31"/>
  <c r="DS70" i="31"/>
  <c r="DX70" i="31"/>
  <c r="DY70" i="31"/>
  <c r="DZ70" i="31"/>
  <c r="EA70" i="31"/>
  <c r="EC70" i="31"/>
  <c r="EG70" i="31"/>
  <c r="EJ70" i="31"/>
  <c r="EM70" i="31"/>
  <c r="EN70" i="31"/>
  <c r="EQ70" i="31"/>
  <c r="ER70" i="31"/>
  <c r="ES70" i="31"/>
  <c r="ET70" i="31"/>
  <c r="EU70" i="31"/>
  <c r="EV70" i="31"/>
  <c r="EW70" i="31"/>
  <c r="EX70" i="31"/>
  <c r="EY70" i="31"/>
  <c r="EZ70" i="31"/>
  <c r="FA70" i="31"/>
  <c r="FB70" i="31"/>
  <c r="FC70" i="31"/>
  <c r="FD70" i="31"/>
  <c r="FE70" i="31"/>
  <c r="FF70" i="31"/>
  <c r="FG70" i="31"/>
  <c r="FH70" i="31"/>
  <c r="FI70" i="31"/>
  <c r="FJ70" i="31"/>
  <c r="FK70" i="31"/>
  <c r="FL70" i="31"/>
  <c r="FM70" i="31"/>
  <c r="FN70" i="31"/>
  <c r="FO70" i="31"/>
  <c r="FP70" i="31"/>
  <c r="FQ70" i="31"/>
  <c r="FR70" i="31"/>
  <c r="FS70" i="31"/>
  <c r="FT70" i="31"/>
  <c r="FU70" i="31"/>
  <c r="FV70" i="31"/>
  <c r="FW70" i="31"/>
  <c r="FX70" i="31"/>
  <c r="FY70" i="31"/>
  <c r="FZ70" i="31"/>
  <c r="GA70" i="31"/>
  <c r="GB70" i="31"/>
  <c r="GC70" i="31"/>
  <c r="GD70" i="31"/>
  <c r="GE70" i="31"/>
  <c r="GF70" i="31"/>
  <c r="GG70" i="31"/>
  <c r="GH70" i="31"/>
  <c r="GI70" i="31"/>
  <c r="GJ70" i="31"/>
  <c r="GK70" i="31"/>
  <c r="GL70" i="31"/>
  <c r="GM70" i="31"/>
  <c r="GN70" i="31"/>
  <c r="GO70" i="31"/>
  <c r="GP70" i="31"/>
  <c r="GQ70" i="31"/>
  <c r="GR70" i="31"/>
  <c r="GS70" i="31"/>
  <c r="GT70" i="31"/>
  <c r="GU70" i="31"/>
  <c r="GV70" i="31"/>
  <c r="GW70" i="31"/>
  <c r="GX70" i="31"/>
  <c r="GY70" i="31"/>
  <c r="GZ70" i="31"/>
  <c r="HA70" i="31"/>
  <c r="HB70" i="31"/>
  <c r="HC70" i="31"/>
  <c r="HD70" i="31"/>
  <c r="HE70" i="31"/>
  <c r="HF70" i="31"/>
  <c r="HG70" i="31"/>
  <c r="HH70" i="31"/>
  <c r="HI70" i="31"/>
  <c r="HJ70" i="31"/>
  <c r="HK70" i="31"/>
  <c r="HL70" i="31"/>
  <c r="HM70" i="31"/>
  <c r="HN70" i="31"/>
  <c r="HO70" i="31"/>
  <c r="HP70" i="31"/>
  <c r="HQ70" i="31"/>
  <c r="HR70" i="31"/>
  <c r="HS70" i="31"/>
  <c r="HT70" i="31"/>
  <c r="HU70" i="31"/>
  <c r="HV70" i="31"/>
  <c r="HW70" i="31"/>
  <c r="HX70" i="31"/>
  <c r="HY70" i="31"/>
  <c r="HZ70" i="31"/>
  <c r="IA70" i="31"/>
  <c r="IB70" i="31"/>
  <c r="IC70" i="31"/>
  <c r="ID70" i="31"/>
  <c r="IE70" i="31"/>
  <c r="IF70" i="31"/>
  <c r="IG70" i="31"/>
  <c r="IH70" i="31"/>
  <c r="II70" i="31"/>
  <c r="IJ70" i="31"/>
  <c r="IK70" i="31"/>
  <c r="IL70" i="31"/>
  <c r="IM70" i="31"/>
  <c r="IN70" i="31"/>
  <c r="IO70" i="31"/>
  <c r="IP70" i="31"/>
  <c r="IQ70" i="31"/>
  <c r="IR70" i="31"/>
  <c r="IS70" i="31"/>
  <c r="IT70" i="31"/>
  <c r="IU70" i="31"/>
  <c r="IV70" i="31"/>
  <c r="IW70" i="31"/>
  <c r="IX70" i="31"/>
  <c r="IY70" i="31"/>
  <c r="IZ70" i="31"/>
  <c r="JA70" i="31"/>
  <c r="JB70" i="31"/>
  <c r="JC70" i="31"/>
  <c r="JD70" i="31"/>
  <c r="JE70" i="31"/>
  <c r="JF70" i="31"/>
  <c r="JG70" i="31"/>
  <c r="JH70" i="31"/>
  <c r="JI70" i="31"/>
  <c r="D71" i="31"/>
  <c r="E71" i="31"/>
  <c r="F71" i="31"/>
  <c r="G71" i="31"/>
  <c r="H71" i="31"/>
  <c r="I71" i="31"/>
  <c r="J71" i="31"/>
  <c r="K71" i="31"/>
  <c r="L71" i="31"/>
  <c r="M71" i="31"/>
  <c r="N71" i="31"/>
  <c r="O71" i="31"/>
  <c r="P71" i="31"/>
  <c r="Q71" i="31"/>
  <c r="R71" i="31"/>
  <c r="S71" i="31"/>
  <c r="T71" i="31"/>
  <c r="U71" i="31"/>
  <c r="V71" i="31"/>
  <c r="W71" i="31"/>
  <c r="X71" i="31"/>
  <c r="Y71" i="31"/>
  <c r="Z71" i="31"/>
  <c r="AA71" i="31"/>
  <c r="AB71" i="31"/>
  <c r="AD71" i="31"/>
  <c r="AE71" i="31"/>
  <c r="AF71" i="31"/>
  <c r="AG71" i="31"/>
  <c r="AH71" i="31"/>
  <c r="AI71" i="31"/>
  <c r="AJ71" i="31"/>
  <c r="AK71" i="31"/>
  <c r="AL71" i="31"/>
  <c r="AM71" i="31"/>
  <c r="AN71" i="31"/>
  <c r="AO71" i="31"/>
  <c r="AP71" i="31"/>
  <c r="AQ71" i="31"/>
  <c r="AR71" i="31"/>
  <c r="AS71" i="31"/>
  <c r="AT71" i="31"/>
  <c r="AU71" i="31"/>
  <c r="AV71" i="31"/>
  <c r="AW71" i="31"/>
  <c r="AX71" i="31"/>
  <c r="AY71" i="31"/>
  <c r="AZ71" i="31"/>
  <c r="BA71" i="31"/>
  <c r="BB71" i="31"/>
  <c r="BC71" i="31"/>
  <c r="BD71" i="31"/>
  <c r="BE71" i="31"/>
  <c r="BF71" i="31"/>
  <c r="BG71" i="31"/>
  <c r="BH71" i="31"/>
  <c r="BI71" i="31"/>
  <c r="BJ71" i="31"/>
  <c r="BK71" i="31"/>
  <c r="BL71" i="31"/>
  <c r="BM71" i="31"/>
  <c r="BN71" i="31"/>
  <c r="BO71" i="31"/>
  <c r="BP71" i="31"/>
  <c r="BQ71" i="31"/>
  <c r="BR71" i="31"/>
  <c r="BS71" i="31"/>
  <c r="BT71" i="31"/>
  <c r="BU71" i="31"/>
  <c r="BV71" i="31"/>
  <c r="BW71" i="31"/>
  <c r="BX71" i="31"/>
  <c r="BY71" i="31"/>
  <c r="BZ71" i="31"/>
  <c r="CA71" i="31"/>
  <c r="CB71" i="31"/>
  <c r="CC71" i="31"/>
  <c r="CD71" i="31"/>
  <c r="CE71" i="31"/>
  <c r="CF71" i="31"/>
  <c r="CG71" i="31"/>
  <c r="CH71" i="31"/>
  <c r="CI71" i="31"/>
  <c r="CJ71" i="31"/>
  <c r="CK71" i="31"/>
  <c r="CL71" i="31"/>
  <c r="CM71" i="31"/>
  <c r="CN71" i="31"/>
  <c r="CO71" i="31"/>
  <c r="CP71" i="31"/>
  <c r="CQ71" i="31"/>
  <c r="CR71" i="31"/>
  <c r="CS71" i="31"/>
  <c r="CT71" i="31"/>
  <c r="CU71" i="31"/>
  <c r="CV71" i="31"/>
  <c r="CW71" i="31"/>
  <c r="CX71" i="31"/>
  <c r="CY71" i="31"/>
  <c r="CZ71" i="31"/>
  <c r="DA71" i="31"/>
  <c r="DB71" i="31"/>
  <c r="DC71" i="31"/>
  <c r="DD71" i="31"/>
  <c r="DE71" i="31"/>
  <c r="DF71" i="31"/>
  <c r="DG71" i="31"/>
  <c r="DH71" i="31"/>
  <c r="DI71" i="31"/>
  <c r="DJ71" i="31"/>
  <c r="DK71" i="31"/>
  <c r="DL71" i="31"/>
  <c r="DM71" i="31"/>
  <c r="DN71" i="31"/>
  <c r="DO71" i="31"/>
  <c r="DP71" i="31"/>
  <c r="DQ71" i="31"/>
  <c r="DR71" i="31"/>
  <c r="DS71" i="31"/>
  <c r="DT71" i="31"/>
  <c r="DU71" i="31"/>
  <c r="DV71" i="31"/>
  <c r="DW71" i="31"/>
  <c r="DX71" i="31"/>
  <c r="DY71" i="31"/>
  <c r="DZ71" i="31"/>
  <c r="EA71" i="31"/>
  <c r="EB71" i="31"/>
  <c r="EC71" i="31"/>
  <c r="ED71" i="31"/>
  <c r="EE71" i="31"/>
  <c r="EF71" i="31"/>
  <c r="EG71" i="31"/>
  <c r="EH71" i="31"/>
  <c r="EI71" i="31"/>
  <c r="EJ71" i="31"/>
  <c r="EK71" i="31"/>
  <c r="EL71" i="31"/>
  <c r="EM71" i="31"/>
  <c r="EN71" i="31"/>
  <c r="EO71" i="31"/>
  <c r="EP71" i="31"/>
  <c r="EQ71" i="31"/>
  <c r="ER71" i="31"/>
  <c r="ES71" i="31"/>
  <c r="ET71" i="31"/>
  <c r="EU71" i="31"/>
  <c r="EV71" i="31"/>
  <c r="EW71" i="31"/>
  <c r="EX71" i="31"/>
  <c r="EY71" i="31"/>
  <c r="EZ71" i="31"/>
  <c r="FA71" i="31"/>
  <c r="FB71" i="31"/>
  <c r="FC71" i="31"/>
  <c r="FD71" i="31"/>
  <c r="FE71" i="31"/>
  <c r="FF71" i="31"/>
  <c r="FG71" i="31"/>
  <c r="FH71" i="31"/>
  <c r="FI71" i="31"/>
  <c r="FJ71" i="31"/>
  <c r="FK71" i="31"/>
  <c r="FL71" i="31"/>
  <c r="FM71" i="31"/>
  <c r="FN71" i="31"/>
  <c r="FO71" i="31"/>
  <c r="FP71" i="31"/>
  <c r="FQ71" i="31"/>
  <c r="FR71" i="31"/>
  <c r="FS71" i="31"/>
  <c r="FT71" i="31"/>
  <c r="FU71" i="31"/>
  <c r="FV71" i="31"/>
  <c r="FW71" i="31"/>
  <c r="FX71" i="31"/>
  <c r="FY71" i="31"/>
  <c r="FZ71" i="31"/>
  <c r="GA71" i="31"/>
  <c r="GB71" i="31"/>
  <c r="GC71" i="31"/>
  <c r="GD71" i="31"/>
  <c r="GE71" i="31"/>
  <c r="GF71" i="31"/>
  <c r="GG71" i="31"/>
  <c r="GH71" i="31"/>
  <c r="GI71" i="31"/>
  <c r="GJ71" i="31"/>
  <c r="GK71" i="31"/>
  <c r="GL71" i="31"/>
  <c r="GM71" i="31"/>
  <c r="GN71" i="31"/>
  <c r="GO71" i="31"/>
  <c r="GP71" i="31"/>
  <c r="GQ71" i="31"/>
  <c r="GR71" i="31"/>
  <c r="GS71" i="31"/>
  <c r="GT71" i="31"/>
  <c r="GU71" i="31"/>
  <c r="GV71" i="31"/>
  <c r="GW71" i="31"/>
  <c r="GX71" i="31"/>
  <c r="GY71" i="31"/>
  <c r="GZ71" i="31"/>
  <c r="HA71" i="31"/>
  <c r="HB71" i="31"/>
  <c r="HC71" i="31"/>
  <c r="HD71" i="31"/>
  <c r="HE71" i="31"/>
  <c r="HF71" i="31"/>
  <c r="HG71" i="31"/>
  <c r="HH71" i="31"/>
  <c r="HI71" i="31"/>
  <c r="HJ71" i="31"/>
  <c r="HK71" i="31"/>
  <c r="HL71" i="31"/>
  <c r="HM71" i="31"/>
  <c r="HN71" i="31"/>
  <c r="HO71" i="31"/>
  <c r="HP71" i="31"/>
  <c r="HQ71" i="31"/>
  <c r="HR71" i="31"/>
  <c r="HS71" i="31"/>
  <c r="HT71" i="31"/>
  <c r="HU71" i="31"/>
  <c r="HV71" i="31"/>
  <c r="HW71" i="31"/>
  <c r="HX71" i="31"/>
  <c r="HY71" i="31"/>
  <c r="HZ71" i="31"/>
  <c r="IA71" i="31"/>
  <c r="IB71" i="31"/>
  <c r="IC71" i="31"/>
  <c r="ID71" i="31"/>
  <c r="IE71" i="31"/>
  <c r="IF71" i="31"/>
  <c r="IG71" i="31"/>
  <c r="IH71" i="31"/>
  <c r="II71" i="31"/>
  <c r="IJ71" i="31"/>
  <c r="IK71" i="31"/>
  <c r="IL71" i="31"/>
  <c r="IM71" i="31"/>
  <c r="IN71" i="31"/>
  <c r="IO71" i="31"/>
  <c r="IP71" i="31"/>
  <c r="IQ71" i="31"/>
  <c r="IR71" i="31"/>
  <c r="IS71" i="31"/>
  <c r="IT71" i="31"/>
  <c r="IU71" i="31"/>
  <c r="IV71" i="31"/>
  <c r="IW71" i="31"/>
  <c r="IX71" i="31"/>
  <c r="IY71" i="31"/>
  <c r="IZ71" i="31"/>
  <c r="JA71" i="31"/>
  <c r="JB71" i="31"/>
  <c r="JC71" i="31"/>
  <c r="JD71" i="31"/>
  <c r="JE71" i="31"/>
  <c r="JF71" i="31"/>
  <c r="JG71" i="31"/>
  <c r="JH71" i="31"/>
  <c r="JI71" i="31"/>
  <c r="D72" i="31"/>
  <c r="E72" i="31"/>
  <c r="F72" i="31"/>
  <c r="G72" i="31"/>
  <c r="H72" i="31"/>
  <c r="I72" i="31"/>
  <c r="J72" i="31"/>
  <c r="K72" i="31"/>
  <c r="L72" i="31"/>
  <c r="M72" i="31"/>
  <c r="N72" i="31"/>
  <c r="O72" i="31"/>
  <c r="P72" i="31"/>
  <c r="Q72" i="31"/>
  <c r="R72" i="31"/>
  <c r="S72" i="31"/>
  <c r="T72" i="31"/>
  <c r="U72" i="31"/>
  <c r="V72" i="31"/>
  <c r="W72" i="31"/>
  <c r="X72" i="31"/>
  <c r="Y72" i="31"/>
  <c r="Z72" i="31"/>
  <c r="AA72" i="31"/>
  <c r="AB72" i="31"/>
  <c r="AD72" i="31"/>
  <c r="AE72" i="31"/>
  <c r="AF72" i="31"/>
  <c r="AG72" i="31"/>
  <c r="AH72" i="31"/>
  <c r="AI72" i="31"/>
  <c r="AJ72" i="31"/>
  <c r="AK72" i="31"/>
  <c r="AL72" i="31"/>
  <c r="AM72" i="31"/>
  <c r="AN72" i="31"/>
  <c r="AO72" i="31"/>
  <c r="AP72" i="31"/>
  <c r="AQ72" i="31"/>
  <c r="AR72" i="31"/>
  <c r="AS72" i="31"/>
  <c r="AT72" i="31"/>
  <c r="AU72" i="31"/>
  <c r="AV72" i="31"/>
  <c r="AW72" i="31"/>
  <c r="AX72" i="31"/>
  <c r="AY72" i="31"/>
  <c r="AZ72" i="31"/>
  <c r="BA72" i="31"/>
  <c r="BB72" i="31"/>
  <c r="BC72" i="31"/>
  <c r="BD72" i="31"/>
  <c r="BE72" i="31"/>
  <c r="BF72" i="31"/>
  <c r="BG72" i="31"/>
  <c r="BH72" i="31"/>
  <c r="BI72" i="31"/>
  <c r="BJ72" i="31"/>
  <c r="BK72" i="31"/>
  <c r="BL72" i="31"/>
  <c r="BM72" i="31"/>
  <c r="BN72" i="31"/>
  <c r="BO72" i="31"/>
  <c r="BP72" i="31"/>
  <c r="BQ72" i="31"/>
  <c r="BR72" i="31"/>
  <c r="BS72" i="31"/>
  <c r="BT72" i="31"/>
  <c r="BU72" i="31"/>
  <c r="BV72" i="31"/>
  <c r="BW72" i="31"/>
  <c r="BX72" i="31"/>
  <c r="BY72" i="31"/>
  <c r="BZ72" i="31"/>
  <c r="CA72" i="31"/>
  <c r="CB72" i="31"/>
  <c r="CC72" i="31"/>
  <c r="CD72" i="31"/>
  <c r="CE72" i="31"/>
  <c r="CF72" i="31"/>
  <c r="CG72" i="31"/>
  <c r="CH72" i="31"/>
  <c r="CI72" i="31"/>
  <c r="CJ72" i="31"/>
  <c r="CK72" i="31"/>
  <c r="CL72" i="31"/>
  <c r="CM72" i="31"/>
  <c r="CN72" i="31"/>
  <c r="CO72" i="31"/>
  <c r="CP72" i="31"/>
  <c r="CQ72" i="31"/>
  <c r="CR72" i="31"/>
  <c r="CS72" i="31"/>
  <c r="CT72" i="31"/>
  <c r="CU72" i="31"/>
  <c r="CV72" i="31"/>
  <c r="CW72" i="31"/>
  <c r="CX72" i="31"/>
  <c r="CY72" i="31"/>
  <c r="CZ72" i="31"/>
  <c r="DA72" i="31"/>
  <c r="DB72" i="31"/>
  <c r="DC72" i="31"/>
  <c r="DD72" i="31"/>
  <c r="DE72" i="31"/>
  <c r="DF72" i="31"/>
  <c r="DG72" i="31"/>
  <c r="DH72" i="31"/>
  <c r="DI72" i="31"/>
  <c r="DJ72" i="31"/>
  <c r="DK72" i="31"/>
  <c r="DL72" i="31"/>
  <c r="DM72" i="31"/>
  <c r="DN72" i="31"/>
  <c r="DO72" i="31"/>
  <c r="DP72" i="31"/>
  <c r="DQ72" i="31"/>
  <c r="DR72" i="31"/>
  <c r="DS72" i="31"/>
  <c r="DT72" i="31"/>
  <c r="DU72" i="31"/>
  <c r="DV72" i="31"/>
  <c r="DW72" i="31"/>
  <c r="DX72" i="31"/>
  <c r="DY72" i="31"/>
  <c r="DZ72" i="31"/>
  <c r="EA72" i="31"/>
  <c r="EB72" i="31"/>
  <c r="EC72" i="31"/>
  <c r="ED72" i="31"/>
  <c r="EE72" i="31"/>
  <c r="EF72" i="31"/>
  <c r="EG72" i="31"/>
  <c r="EH72" i="31"/>
  <c r="EI72" i="31"/>
  <c r="EJ72" i="31"/>
  <c r="EK72" i="31"/>
  <c r="EL72" i="31"/>
  <c r="EM72" i="31"/>
  <c r="EN72" i="31"/>
  <c r="EO72" i="31"/>
  <c r="EP72" i="31"/>
  <c r="EQ72" i="31"/>
  <c r="ER72" i="31"/>
  <c r="ES72" i="31"/>
  <c r="ET72" i="31"/>
  <c r="EU72" i="31"/>
  <c r="EV72" i="31"/>
  <c r="EW72" i="31"/>
  <c r="EX72" i="31"/>
  <c r="EY72" i="31"/>
  <c r="EZ72" i="31"/>
  <c r="FA72" i="31"/>
  <c r="FB72" i="31"/>
  <c r="FC72" i="31"/>
  <c r="FD72" i="31"/>
  <c r="FE72" i="31"/>
  <c r="FF72" i="31"/>
  <c r="FG72" i="31"/>
  <c r="FH72" i="31"/>
  <c r="FI72" i="31"/>
  <c r="FJ72" i="31"/>
  <c r="FK72" i="31"/>
  <c r="FL72" i="31"/>
  <c r="FM72" i="31"/>
  <c r="FN72" i="31"/>
  <c r="FO72" i="31"/>
  <c r="FP72" i="31"/>
  <c r="FQ72" i="31"/>
  <c r="FR72" i="31"/>
  <c r="FS72" i="31"/>
  <c r="FT72" i="31"/>
  <c r="FU72" i="31"/>
  <c r="FV72" i="31"/>
  <c r="FW72" i="31"/>
  <c r="FX72" i="31"/>
  <c r="FY72" i="31"/>
  <c r="FZ72" i="31"/>
  <c r="GA72" i="31"/>
  <c r="GB72" i="31"/>
  <c r="GC72" i="31"/>
  <c r="GD72" i="31"/>
  <c r="GE72" i="31"/>
  <c r="GF72" i="31"/>
  <c r="GG72" i="31"/>
  <c r="GH72" i="31"/>
  <c r="GI72" i="31"/>
  <c r="GJ72" i="31"/>
  <c r="GK72" i="31"/>
  <c r="GL72" i="31"/>
  <c r="GM72" i="31"/>
  <c r="GN72" i="31"/>
  <c r="GO72" i="31"/>
  <c r="GP72" i="31"/>
  <c r="GQ72" i="31"/>
  <c r="GR72" i="31"/>
  <c r="GS72" i="31"/>
  <c r="GT72" i="31"/>
  <c r="GU72" i="31"/>
  <c r="GV72" i="31"/>
  <c r="GW72" i="31"/>
  <c r="GX72" i="31"/>
  <c r="GY72" i="31"/>
  <c r="GZ72" i="31"/>
  <c r="HA72" i="31"/>
  <c r="HB72" i="31"/>
  <c r="HC72" i="31"/>
  <c r="HD72" i="31"/>
  <c r="HE72" i="31"/>
  <c r="HF72" i="31"/>
  <c r="HG72" i="31"/>
  <c r="HH72" i="31"/>
  <c r="HI72" i="31"/>
  <c r="HJ72" i="31"/>
  <c r="HK72" i="31"/>
  <c r="HL72" i="31"/>
  <c r="HM72" i="31"/>
  <c r="HN72" i="31"/>
  <c r="HO72" i="31"/>
  <c r="HP72" i="31"/>
  <c r="HQ72" i="31"/>
  <c r="HR72" i="31"/>
  <c r="HS72" i="31"/>
  <c r="HT72" i="31"/>
  <c r="HU72" i="31"/>
  <c r="HV72" i="31"/>
  <c r="HW72" i="31"/>
  <c r="HX72" i="31"/>
  <c r="HY72" i="31"/>
  <c r="HZ72" i="31"/>
  <c r="IA72" i="31"/>
  <c r="IB72" i="31"/>
  <c r="IC72" i="31"/>
  <c r="ID72" i="31"/>
  <c r="IE72" i="31"/>
  <c r="IF72" i="31"/>
  <c r="IG72" i="31"/>
  <c r="IH72" i="31"/>
  <c r="II72" i="31"/>
  <c r="IJ72" i="31"/>
  <c r="IK72" i="31"/>
  <c r="IL72" i="31"/>
  <c r="IM72" i="31"/>
  <c r="IN72" i="31"/>
  <c r="IO72" i="31"/>
  <c r="IP72" i="31"/>
  <c r="IQ72" i="31"/>
  <c r="IR72" i="31"/>
  <c r="IS72" i="31"/>
  <c r="IT72" i="31"/>
  <c r="IU72" i="31"/>
  <c r="IV72" i="31"/>
  <c r="IW72" i="31"/>
  <c r="IX72" i="31"/>
  <c r="IY72" i="31"/>
  <c r="IZ72" i="31"/>
  <c r="JA72" i="31"/>
  <c r="JB72" i="31"/>
  <c r="JC72" i="31"/>
  <c r="JD72" i="31"/>
  <c r="JE72" i="31"/>
  <c r="JF72" i="31"/>
  <c r="JG72" i="31"/>
  <c r="JH72" i="31"/>
  <c r="JI72" i="31"/>
  <c r="D73" i="31"/>
  <c r="E73" i="31"/>
  <c r="F73" i="31"/>
  <c r="G73" i="31"/>
  <c r="H73" i="31"/>
  <c r="I73" i="31"/>
  <c r="J73" i="31"/>
  <c r="K73" i="31"/>
  <c r="L73" i="31"/>
  <c r="M73" i="31"/>
  <c r="N73" i="31"/>
  <c r="O73" i="31"/>
  <c r="P73" i="31"/>
  <c r="Q73" i="31"/>
  <c r="R73" i="31"/>
  <c r="S73" i="31"/>
  <c r="T73" i="31"/>
  <c r="U73" i="31"/>
  <c r="V73" i="31"/>
  <c r="W73" i="31"/>
  <c r="X73" i="31"/>
  <c r="Y73" i="31"/>
  <c r="Z73" i="31"/>
  <c r="AA73" i="31"/>
  <c r="AB73" i="31"/>
  <c r="AD73" i="31"/>
  <c r="AE73" i="31"/>
  <c r="AF73" i="31"/>
  <c r="AG73" i="31"/>
  <c r="AH73" i="31"/>
  <c r="AI73" i="31"/>
  <c r="AJ73" i="31"/>
  <c r="AK73" i="31"/>
  <c r="AL73" i="31"/>
  <c r="AM73" i="31"/>
  <c r="AN73" i="31"/>
  <c r="AO73" i="31"/>
  <c r="AP73" i="31"/>
  <c r="AQ73" i="31"/>
  <c r="AR73" i="31"/>
  <c r="AS73" i="31"/>
  <c r="AT73" i="31"/>
  <c r="AU73" i="31"/>
  <c r="AV73" i="31"/>
  <c r="AW73" i="31"/>
  <c r="AX73" i="31"/>
  <c r="AY73" i="31"/>
  <c r="AZ73" i="31"/>
  <c r="BA73" i="31"/>
  <c r="BB73" i="31"/>
  <c r="BC73" i="31"/>
  <c r="BD73" i="31"/>
  <c r="BE73" i="31"/>
  <c r="BF73" i="31"/>
  <c r="BG73" i="31"/>
  <c r="BH73" i="31"/>
  <c r="BI73" i="31"/>
  <c r="BJ73" i="31"/>
  <c r="BK73" i="31"/>
  <c r="BL73" i="31"/>
  <c r="BM73" i="31"/>
  <c r="BN73" i="31"/>
  <c r="BO73" i="31"/>
  <c r="BP73" i="31"/>
  <c r="BQ73" i="31"/>
  <c r="BR73" i="31"/>
  <c r="BS73" i="31"/>
  <c r="BT73" i="31"/>
  <c r="BU73" i="31"/>
  <c r="BV73" i="31"/>
  <c r="BW73" i="31"/>
  <c r="BX73" i="31"/>
  <c r="BY73" i="31"/>
  <c r="BZ73" i="31"/>
  <c r="CA73" i="31"/>
  <c r="CB73" i="31"/>
  <c r="CC73" i="31"/>
  <c r="CD73" i="31"/>
  <c r="CE73" i="31"/>
  <c r="CF73" i="31"/>
  <c r="CG73" i="31"/>
  <c r="CH73" i="31"/>
  <c r="CI73" i="31"/>
  <c r="CJ73" i="31"/>
  <c r="CK73" i="31"/>
  <c r="CL73" i="31"/>
  <c r="CM73" i="31"/>
  <c r="CN73" i="31"/>
  <c r="CO73" i="31"/>
  <c r="CP73" i="31"/>
  <c r="CQ73" i="31"/>
  <c r="CR73" i="31"/>
  <c r="CS73" i="31"/>
  <c r="CT73" i="31"/>
  <c r="CU73" i="31"/>
  <c r="CV73" i="31"/>
  <c r="CW73" i="31"/>
  <c r="CX73" i="31"/>
  <c r="CY73" i="31"/>
  <c r="CZ73" i="31"/>
  <c r="DA73" i="31"/>
  <c r="DB73" i="31"/>
  <c r="DC73" i="31"/>
  <c r="DD73" i="31"/>
  <c r="DE73" i="31"/>
  <c r="DF73" i="31"/>
  <c r="DG73" i="31"/>
  <c r="DH73" i="31"/>
  <c r="DI73" i="31"/>
  <c r="DJ73" i="31"/>
  <c r="DK73" i="31"/>
  <c r="DL73" i="31"/>
  <c r="DM73" i="31"/>
  <c r="DN73" i="31"/>
  <c r="DO73" i="31"/>
  <c r="DP73" i="31"/>
  <c r="DQ73" i="31"/>
  <c r="DR73" i="31"/>
  <c r="DS73" i="31"/>
  <c r="DT73" i="31"/>
  <c r="DU73" i="31"/>
  <c r="DV73" i="31"/>
  <c r="DW73" i="31"/>
  <c r="DX73" i="31"/>
  <c r="DY73" i="31"/>
  <c r="DZ73" i="31"/>
  <c r="EA73" i="31"/>
  <c r="EB73" i="31"/>
  <c r="EC73" i="31"/>
  <c r="ED73" i="31"/>
  <c r="EE73" i="31"/>
  <c r="EF73" i="31"/>
  <c r="EG73" i="31"/>
  <c r="EH73" i="31"/>
  <c r="EI73" i="31"/>
  <c r="EJ73" i="31"/>
  <c r="EK73" i="31"/>
  <c r="EL73" i="31"/>
  <c r="EM73" i="31"/>
  <c r="EN73" i="31"/>
  <c r="EO73" i="31"/>
  <c r="EP73" i="31"/>
  <c r="EQ73" i="31"/>
  <c r="ER73" i="31"/>
  <c r="ES73" i="31"/>
  <c r="ET73" i="31"/>
  <c r="EU73" i="31"/>
  <c r="EV73" i="31"/>
  <c r="EW73" i="31"/>
  <c r="EX73" i="31"/>
  <c r="EY73" i="31"/>
  <c r="EZ73" i="31"/>
  <c r="FA73" i="31"/>
  <c r="FB73" i="31"/>
  <c r="FC73" i="31"/>
  <c r="FD73" i="31"/>
  <c r="FE73" i="31"/>
  <c r="FF73" i="31"/>
  <c r="FG73" i="31"/>
  <c r="FH73" i="31"/>
  <c r="FI73" i="31"/>
  <c r="FJ73" i="31"/>
  <c r="FK73" i="31"/>
  <c r="FL73" i="31"/>
  <c r="FM73" i="31"/>
  <c r="FN73" i="31"/>
  <c r="FO73" i="31"/>
  <c r="FP73" i="31"/>
  <c r="FQ73" i="31"/>
  <c r="FR73" i="31"/>
  <c r="FS73" i="31"/>
  <c r="FT73" i="31"/>
  <c r="FU73" i="31"/>
  <c r="FV73" i="31"/>
  <c r="FW73" i="31"/>
  <c r="FX73" i="31"/>
  <c r="FY73" i="31"/>
  <c r="FZ73" i="31"/>
  <c r="GA73" i="31"/>
  <c r="GB73" i="31"/>
  <c r="GC73" i="31"/>
  <c r="GD73" i="31"/>
  <c r="GE73" i="31"/>
  <c r="GF73" i="31"/>
  <c r="GG73" i="31"/>
  <c r="GH73" i="31"/>
  <c r="GI73" i="31"/>
  <c r="GJ73" i="31"/>
  <c r="GK73" i="31"/>
  <c r="GL73" i="31"/>
  <c r="GM73" i="31"/>
  <c r="GN73" i="31"/>
  <c r="GO73" i="31"/>
  <c r="GP73" i="31"/>
  <c r="GQ73" i="31"/>
  <c r="GR73" i="31"/>
  <c r="GS73" i="31"/>
  <c r="GT73" i="31"/>
  <c r="GU73" i="31"/>
  <c r="GV73" i="31"/>
  <c r="GW73" i="31"/>
  <c r="GX73" i="31"/>
  <c r="GY73" i="31"/>
  <c r="GZ73" i="31"/>
  <c r="HA73" i="31"/>
  <c r="HB73" i="31"/>
  <c r="HC73" i="31"/>
  <c r="HD73" i="31"/>
  <c r="HE73" i="31"/>
  <c r="HF73" i="31"/>
  <c r="HG73" i="31"/>
  <c r="HH73" i="31"/>
  <c r="HI73" i="31"/>
  <c r="HJ73" i="31"/>
  <c r="HK73" i="31"/>
  <c r="HL73" i="31"/>
  <c r="HM73" i="31"/>
  <c r="HN73" i="31"/>
  <c r="HO73" i="31"/>
  <c r="HP73" i="31"/>
  <c r="HQ73" i="31"/>
  <c r="HR73" i="31"/>
  <c r="HS73" i="31"/>
  <c r="HT73" i="31"/>
  <c r="HU73" i="31"/>
  <c r="HV73" i="31"/>
  <c r="HW73" i="31"/>
  <c r="HX73" i="31"/>
  <c r="HY73" i="31"/>
  <c r="HZ73" i="31"/>
  <c r="IA73" i="31"/>
  <c r="IB73" i="31"/>
  <c r="IC73" i="31"/>
  <c r="ID73" i="31"/>
  <c r="IE73" i="31"/>
  <c r="IF73" i="31"/>
  <c r="IG73" i="31"/>
  <c r="IH73" i="31"/>
  <c r="II73" i="31"/>
  <c r="IJ73" i="31"/>
  <c r="IK73" i="31"/>
  <c r="IL73" i="31"/>
  <c r="IM73" i="31"/>
  <c r="IN73" i="31"/>
  <c r="IO73" i="31"/>
  <c r="IP73" i="31"/>
  <c r="IQ73" i="31"/>
  <c r="IR73" i="31"/>
  <c r="IS73" i="31"/>
  <c r="IT73" i="31"/>
  <c r="IU73" i="31"/>
  <c r="IV73" i="31"/>
  <c r="IW73" i="31"/>
  <c r="IX73" i="31"/>
  <c r="IY73" i="31"/>
  <c r="IZ73" i="31"/>
  <c r="JA73" i="31"/>
  <c r="JB73" i="31"/>
  <c r="JC73" i="31"/>
  <c r="JD73" i="31"/>
  <c r="JE73" i="31"/>
  <c r="JF73" i="31"/>
  <c r="JG73" i="31"/>
  <c r="JH73" i="31"/>
  <c r="JI73" i="31"/>
  <c r="D74" i="31"/>
  <c r="E74" i="31"/>
  <c r="F74" i="31"/>
  <c r="G74" i="31"/>
  <c r="H74" i="31"/>
  <c r="I74" i="31"/>
  <c r="J74" i="31"/>
  <c r="K74" i="31"/>
  <c r="L74" i="31"/>
  <c r="M74" i="31"/>
  <c r="N74" i="31"/>
  <c r="O74" i="31"/>
  <c r="P74" i="31"/>
  <c r="Q74" i="31"/>
  <c r="R74" i="31"/>
  <c r="S74" i="31"/>
  <c r="T74" i="31"/>
  <c r="U74" i="31"/>
  <c r="V74" i="31"/>
  <c r="W74" i="31"/>
  <c r="X74" i="31"/>
  <c r="Y74" i="31"/>
  <c r="Z74" i="31"/>
  <c r="AA74" i="31"/>
  <c r="AB74" i="31"/>
  <c r="AD74" i="31"/>
  <c r="AE74" i="31"/>
  <c r="AF74" i="31"/>
  <c r="AG74" i="31"/>
  <c r="AH74" i="31"/>
  <c r="AI74" i="31"/>
  <c r="AJ74" i="31"/>
  <c r="AK74" i="31"/>
  <c r="AL74" i="31"/>
  <c r="AM74" i="31"/>
  <c r="AN74" i="31"/>
  <c r="AO74" i="31"/>
  <c r="AP74" i="31"/>
  <c r="AQ74" i="31"/>
  <c r="AR74" i="31"/>
  <c r="AS74" i="31"/>
  <c r="AT74" i="31"/>
  <c r="AU74" i="31"/>
  <c r="AV74" i="31"/>
  <c r="AW74" i="31"/>
  <c r="AX74" i="31"/>
  <c r="AY74" i="31"/>
  <c r="AZ74" i="31"/>
  <c r="BA74" i="31"/>
  <c r="BB74" i="31"/>
  <c r="BC74" i="31"/>
  <c r="BD74" i="31"/>
  <c r="BE74" i="31"/>
  <c r="BF74" i="31"/>
  <c r="BG74" i="31"/>
  <c r="BH74" i="31"/>
  <c r="BI74" i="31"/>
  <c r="BJ74" i="31"/>
  <c r="BK74" i="31"/>
  <c r="BL74" i="31"/>
  <c r="BM74" i="31"/>
  <c r="BN74" i="31"/>
  <c r="BO74" i="31"/>
  <c r="BP74" i="31"/>
  <c r="BQ74" i="31"/>
  <c r="BR74" i="31"/>
  <c r="BS74" i="31"/>
  <c r="BT74" i="31"/>
  <c r="BU74" i="31"/>
  <c r="BV74" i="31"/>
  <c r="BW74" i="31"/>
  <c r="BX74" i="31"/>
  <c r="BY74" i="31"/>
  <c r="BZ74" i="31"/>
  <c r="CA74" i="31"/>
  <c r="CB74" i="31"/>
  <c r="CC74" i="31"/>
  <c r="CD74" i="31"/>
  <c r="CE74" i="31"/>
  <c r="CF74" i="31"/>
  <c r="CG74" i="31"/>
  <c r="CH74" i="31"/>
  <c r="CI74" i="31"/>
  <c r="CJ74" i="31"/>
  <c r="CK74" i="31"/>
  <c r="CL74" i="31"/>
  <c r="CM74" i="31"/>
  <c r="CN74" i="31"/>
  <c r="CO74" i="31"/>
  <c r="CP74" i="31"/>
  <c r="CQ74" i="31"/>
  <c r="CR74" i="31"/>
  <c r="CS74" i="31"/>
  <c r="CT74" i="31"/>
  <c r="CU74" i="31"/>
  <c r="CV74" i="31"/>
  <c r="CW74" i="31"/>
  <c r="CX74" i="31"/>
  <c r="CY74" i="31"/>
  <c r="CZ74" i="31"/>
  <c r="DA74" i="31"/>
  <c r="DB74" i="31"/>
  <c r="DC74" i="31"/>
  <c r="DD74" i="31"/>
  <c r="DE74" i="31"/>
  <c r="DF74" i="31"/>
  <c r="DG74" i="31"/>
  <c r="DH74" i="31"/>
  <c r="DI74" i="31"/>
  <c r="DJ74" i="31"/>
  <c r="DK74" i="31"/>
  <c r="DL74" i="31"/>
  <c r="DM74" i="31"/>
  <c r="DN74" i="31"/>
  <c r="DO74" i="31"/>
  <c r="DP74" i="31"/>
  <c r="DQ74" i="31"/>
  <c r="DR74" i="31"/>
  <c r="DS74" i="31"/>
  <c r="DT74" i="31"/>
  <c r="DU74" i="31"/>
  <c r="DV74" i="31"/>
  <c r="DW74" i="31"/>
  <c r="DX74" i="31"/>
  <c r="DY74" i="31"/>
  <c r="DZ74" i="31"/>
  <c r="EA74" i="31"/>
  <c r="EB74" i="31"/>
  <c r="EC74" i="31"/>
  <c r="ED74" i="31"/>
  <c r="EE74" i="31"/>
  <c r="EF74" i="31"/>
  <c r="EG74" i="31"/>
  <c r="EH74" i="31"/>
  <c r="EI74" i="31"/>
  <c r="EJ74" i="31"/>
  <c r="EK74" i="31"/>
  <c r="EL74" i="31"/>
  <c r="EM74" i="31"/>
  <c r="EN74" i="31"/>
  <c r="EO74" i="31"/>
  <c r="EP74" i="31"/>
  <c r="EQ74" i="31"/>
  <c r="ER74" i="31"/>
  <c r="ES74" i="31"/>
  <c r="ET74" i="31"/>
  <c r="EU74" i="31"/>
  <c r="EV74" i="31"/>
  <c r="EW74" i="31"/>
  <c r="EX74" i="31"/>
  <c r="EY74" i="31"/>
  <c r="EZ74" i="31"/>
  <c r="FA74" i="31"/>
  <c r="FB74" i="31"/>
  <c r="FC74" i="31"/>
  <c r="FD74" i="31"/>
  <c r="FE74" i="31"/>
  <c r="FF74" i="31"/>
  <c r="FG74" i="31"/>
  <c r="FH74" i="31"/>
  <c r="FI74" i="31"/>
  <c r="FJ74" i="31"/>
  <c r="FK74" i="31"/>
  <c r="FL74" i="31"/>
  <c r="FM74" i="31"/>
  <c r="FN74" i="31"/>
  <c r="FO74" i="31"/>
  <c r="FP74" i="31"/>
  <c r="FQ74" i="31"/>
  <c r="FR74" i="31"/>
  <c r="FS74" i="31"/>
  <c r="FT74" i="31"/>
  <c r="FU74" i="31"/>
  <c r="FV74" i="31"/>
  <c r="FW74" i="31"/>
  <c r="FX74" i="31"/>
  <c r="FY74" i="31"/>
  <c r="FZ74" i="31"/>
  <c r="GA74" i="31"/>
  <c r="GB74" i="31"/>
  <c r="GC74" i="31"/>
  <c r="GD74" i="31"/>
  <c r="GE74" i="31"/>
  <c r="GF74" i="31"/>
  <c r="GG74" i="31"/>
  <c r="GH74" i="31"/>
  <c r="GI74" i="31"/>
  <c r="GJ74" i="31"/>
  <c r="GK74" i="31"/>
  <c r="GL74" i="31"/>
  <c r="GM74" i="31"/>
  <c r="GN74" i="31"/>
  <c r="GO74" i="31"/>
  <c r="GP74" i="31"/>
  <c r="GQ74" i="31"/>
  <c r="GR74" i="31"/>
  <c r="GS74" i="31"/>
  <c r="GT74" i="31"/>
  <c r="GU74" i="31"/>
  <c r="GV74" i="31"/>
  <c r="GW74" i="31"/>
  <c r="GX74" i="31"/>
  <c r="GY74" i="31"/>
  <c r="GZ74" i="31"/>
  <c r="HA74" i="31"/>
  <c r="HB74" i="31"/>
  <c r="HC74" i="31"/>
  <c r="HD74" i="31"/>
  <c r="HE74" i="31"/>
  <c r="HF74" i="31"/>
  <c r="HG74" i="31"/>
  <c r="HH74" i="31"/>
  <c r="HI74" i="31"/>
  <c r="HJ74" i="31"/>
  <c r="HK74" i="31"/>
  <c r="HL74" i="31"/>
  <c r="HM74" i="31"/>
  <c r="HN74" i="31"/>
  <c r="HO74" i="31"/>
  <c r="HP74" i="31"/>
  <c r="HQ74" i="31"/>
  <c r="HR74" i="31"/>
  <c r="HS74" i="31"/>
  <c r="HT74" i="31"/>
  <c r="HU74" i="31"/>
  <c r="HV74" i="31"/>
  <c r="HW74" i="31"/>
  <c r="HX74" i="31"/>
  <c r="HY74" i="31"/>
  <c r="HZ74" i="31"/>
  <c r="IA74" i="31"/>
  <c r="IB74" i="31"/>
  <c r="IC74" i="31"/>
  <c r="ID74" i="31"/>
  <c r="IE74" i="31"/>
  <c r="IF74" i="31"/>
  <c r="IG74" i="31"/>
  <c r="IH74" i="31"/>
  <c r="II74" i="31"/>
  <c r="IJ74" i="31"/>
  <c r="IK74" i="31"/>
  <c r="IL74" i="31"/>
  <c r="IM74" i="31"/>
  <c r="IN74" i="31"/>
  <c r="IO74" i="31"/>
  <c r="IP74" i="31"/>
  <c r="IQ74" i="31"/>
  <c r="IR74" i="31"/>
  <c r="IS74" i="31"/>
  <c r="IT74" i="31"/>
  <c r="IU74" i="31"/>
  <c r="IV74" i="31"/>
  <c r="IW74" i="31"/>
  <c r="IX74" i="31"/>
  <c r="IY74" i="31"/>
  <c r="IZ74" i="31"/>
  <c r="JA74" i="31"/>
  <c r="JB74" i="31"/>
  <c r="JC74" i="31"/>
  <c r="JD74" i="31"/>
  <c r="JE74" i="31"/>
  <c r="JF74" i="31"/>
  <c r="JG74" i="31"/>
  <c r="JH74" i="31"/>
  <c r="JI74" i="31"/>
  <c r="D75" i="31"/>
  <c r="E75" i="31"/>
  <c r="F75" i="31"/>
  <c r="G75" i="31"/>
  <c r="H75" i="31"/>
  <c r="I75" i="31"/>
  <c r="J75" i="31"/>
  <c r="K75" i="31"/>
  <c r="L75" i="31"/>
  <c r="M75" i="31"/>
  <c r="N75" i="31"/>
  <c r="O75" i="31"/>
  <c r="P75" i="31"/>
  <c r="Q75" i="31"/>
  <c r="R75" i="31"/>
  <c r="S75" i="31"/>
  <c r="T75" i="31"/>
  <c r="U75" i="31"/>
  <c r="V75" i="31"/>
  <c r="W75" i="31"/>
  <c r="X75" i="31"/>
  <c r="Y75" i="31"/>
  <c r="Z75" i="31"/>
  <c r="AA75" i="31"/>
  <c r="AB75" i="31"/>
  <c r="AD75" i="31"/>
  <c r="AE75" i="31"/>
  <c r="AF75" i="31"/>
  <c r="AG75" i="31"/>
  <c r="AH75" i="31"/>
  <c r="AI75" i="31"/>
  <c r="AJ75" i="31"/>
  <c r="AK75" i="31"/>
  <c r="AL75" i="31"/>
  <c r="AM75" i="31"/>
  <c r="AN75" i="31"/>
  <c r="AO75" i="31"/>
  <c r="AP75" i="31"/>
  <c r="AQ75" i="31"/>
  <c r="AR75" i="31"/>
  <c r="AS75" i="31"/>
  <c r="AT75" i="31"/>
  <c r="AU75" i="31"/>
  <c r="AV75" i="31"/>
  <c r="AW75" i="31"/>
  <c r="AX75" i="31"/>
  <c r="AY75" i="31"/>
  <c r="AZ75" i="31"/>
  <c r="BA75" i="31"/>
  <c r="BB75" i="31"/>
  <c r="BC75" i="31"/>
  <c r="BD75" i="31"/>
  <c r="BE75" i="31"/>
  <c r="BF75" i="31"/>
  <c r="BG75" i="31"/>
  <c r="BH75" i="31"/>
  <c r="BI75" i="31"/>
  <c r="BJ75" i="31"/>
  <c r="BK75" i="31"/>
  <c r="BL75" i="31"/>
  <c r="BM75" i="31"/>
  <c r="BN75" i="31"/>
  <c r="BO75" i="31"/>
  <c r="BP75" i="31"/>
  <c r="BQ75" i="31"/>
  <c r="BR75" i="31"/>
  <c r="BS75" i="31"/>
  <c r="BT75" i="31"/>
  <c r="BU75" i="31"/>
  <c r="BV75" i="31"/>
  <c r="BW75" i="31"/>
  <c r="BX75" i="31"/>
  <c r="BY75" i="31"/>
  <c r="BZ75" i="31"/>
  <c r="CA75" i="31"/>
  <c r="CB75" i="31"/>
  <c r="CC75" i="31"/>
  <c r="CD75" i="31"/>
  <c r="CE75" i="31"/>
  <c r="CF75" i="31"/>
  <c r="CG75" i="31"/>
  <c r="CH75" i="31"/>
  <c r="CI75" i="31"/>
  <c r="CJ75" i="31"/>
  <c r="CK75" i="31"/>
  <c r="CL75" i="31"/>
  <c r="CM75" i="31"/>
  <c r="CN75" i="31"/>
  <c r="CO75" i="31"/>
  <c r="CP75" i="31"/>
  <c r="CQ75" i="31"/>
  <c r="CR75" i="31"/>
  <c r="CS75" i="31"/>
  <c r="CT75" i="31"/>
  <c r="CU75" i="31"/>
  <c r="CV75" i="31"/>
  <c r="CW75" i="31"/>
  <c r="CX75" i="31"/>
  <c r="CY75" i="31"/>
  <c r="CZ75" i="31"/>
  <c r="DA75" i="31"/>
  <c r="DB75" i="31"/>
  <c r="DC75" i="31"/>
  <c r="DD75" i="31"/>
  <c r="DE75" i="31"/>
  <c r="DF75" i="31"/>
  <c r="DG75" i="31"/>
  <c r="DH75" i="31"/>
  <c r="DI75" i="31"/>
  <c r="DJ75" i="31"/>
  <c r="DK75" i="31"/>
  <c r="DL75" i="31"/>
  <c r="DM75" i="31"/>
  <c r="DN75" i="31"/>
  <c r="DO75" i="31"/>
  <c r="DP75" i="31"/>
  <c r="DQ75" i="31"/>
  <c r="DR75" i="31"/>
  <c r="DS75" i="31"/>
  <c r="DT75" i="31"/>
  <c r="DU75" i="31"/>
  <c r="DV75" i="31"/>
  <c r="DW75" i="31"/>
  <c r="DX75" i="31"/>
  <c r="DY75" i="31"/>
  <c r="DZ75" i="31"/>
  <c r="EA75" i="31"/>
  <c r="EB75" i="31"/>
  <c r="EC75" i="31"/>
  <c r="ED75" i="31"/>
  <c r="EE75" i="31"/>
  <c r="EF75" i="31"/>
  <c r="EG75" i="31"/>
  <c r="EH75" i="31"/>
  <c r="EI75" i="31"/>
  <c r="EJ75" i="31"/>
  <c r="EK75" i="31"/>
  <c r="EL75" i="31"/>
  <c r="EM75" i="31"/>
  <c r="EN75" i="31"/>
  <c r="EO75" i="31"/>
  <c r="EP75" i="31"/>
  <c r="EQ75" i="31"/>
  <c r="ER75" i="31"/>
  <c r="ES75" i="31"/>
  <c r="ET75" i="31"/>
  <c r="EU75" i="31"/>
  <c r="EV75" i="31"/>
  <c r="EW75" i="31"/>
  <c r="EX75" i="31"/>
  <c r="EY75" i="31"/>
  <c r="EZ75" i="31"/>
  <c r="FA75" i="31"/>
  <c r="FB75" i="31"/>
  <c r="FC75" i="31"/>
  <c r="FD75" i="31"/>
  <c r="FE75" i="31"/>
  <c r="FF75" i="31"/>
  <c r="FG75" i="31"/>
  <c r="FH75" i="31"/>
  <c r="FI75" i="31"/>
  <c r="FJ75" i="31"/>
  <c r="FK75" i="31"/>
  <c r="FL75" i="31"/>
  <c r="FM75" i="31"/>
  <c r="FN75" i="31"/>
  <c r="FO75" i="31"/>
  <c r="FP75" i="31"/>
  <c r="FQ75" i="31"/>
  <c r="FR75" i="31"/>
  <c r="FS75" i="31"/>
  <c r="FT75" i="31"/>
  <c r="FU75" i="31"/>
  <c r="FV75" i="31"/>
  <c r="FW75" i="31"/>
  <c r="FX75" i="31"/>
  <c r="FY75" i="31"/>
  <c r="FZ75" i="31"/>
  <c r="GA75" i="31"/>
  <c r="GB75" i="31"/>
  <c r="GC75" i="31"/>
  <c r="GD75" i="31"/>
  <c r="GE75" i="31"/>
  <c r="GF75" i="31"/>
  <c r="GG75" i="31"/>
  <c r="GH75" i="31"/>
  <c r="GI75" i="31"/>
  <c r="GJ75" i="31"/>
  <c r="GK75" i="31"/>
  <c r="GL75" i="31"/>
  <c r="GM75" i="31"/>
  <c r="GN75" i="31"/>
  <c r="GO75" i="31"/>
  <c r="GP75" i="31"/>
  <c r="GQ75" i="31"/>
  <c r="GR75" i="31"/>
  <c r="GS75" i="31"/>
  <c r="GT75" i="31"/>
  <c r="GU75" i="31"/>
  <c r="GV75" i="31"/>
  <c r="GW75" i="31"/>
  <c r="GX75" i="31"/>
  <c r="GY75" i="31"/>
  <c r="GZ75" i="31"/>
  <c r="HA75" i="31"/>
  <c r="HB75" i="31"/>
  <c r="HC75" i="31"/>
  <c r="HD75" i="31"/>
  <c r="HE75" i="31"/>
  <c r="HF75" i="31"/>
  <c r="HG75" i="31"/>
  <c r="HH75" i="31"/>
  <c r="HI75" i="31"/>
  <c r="HJ75" i="31"/>
  <c r="HK75" i="31"/>
  <c r="HL75" i="31"/>
  <c r="HM75" i="31"/>
  <c r="HN75" i="31"/>
  <c r="HO75" i="31"/>
  <c r="HP75" i="31"/>
  <c r="HQ75" i="31"/>
  <c r="HR75" i="31"/>
  <c r="HS75" i="31"/>
  <c r="HT75" i="31"/>
  <c r="HU75" i="31"/>
  <c r="HV75" i="31"/>
  <c r="HW75" i="31"/>
  <c r="HX75" i="31"/>
  <c r="HY75" i="31"/>
  <c r="HZ75" i="31"/>
  <c r="IA75" i="31"/>
  <c r="IB75" i="31"/>
  <c r="IC75" i="31"/>
  <c r="ID75" i="31"/>
  <c r="IE75" i="31"/>
  <c r="IF75" i="31"/>
  <c r="IG75" i="31"/>
  <c r="IH75" i="31"/>
  <c r="II75" i="31"/>
  <c r="IJ75" i="31"/>
  <c r="IK75" i="31"/>
  <c r="IL75" i="31"/>
  <c r="IM75" i="31"/>
  <c r="IN75" i="31"/>
  <c r="IO75" i="31"/>
  <c r="IP75" i="31"/>
  <c r="IQ75" i="31"/>
  <c r="IR75" i="31"/>
  <c r="IS75" i="31"/>
  <c r="IT75" i="31"/>
  <c r="IU75" i="31"/>
  <c r="IV75" i="31"/>
  <c r="IW75" i="31"/>
  <c r="IX75" i="31"/>
  <c r="IY75" i="31"/>
  <c r="IZ75" i="31"/>
  <c r="JA75" i="31"/>
  <c r="JB75" i="31"/>
  <c r="JC75" i="31"/>
  <c r="JD75" i="31"/>
  <c r="JE75" i="31"/>
  <c r="JF75" i="31"/>
  <c r="JG75" i="31"/>
  <c r="JH75" i="31"/>
  <c r="JI75" i="31"/>
  <c r="D76" i="31"/>
  <c r="E76" i="31"/>
  <c r="F76" i="31"/>
  <c r="G76" i="31"/>
  <c r="H76" i="31"/>
  <c r="I76" i="31"/>
  <c r="J76" i="31"/>
  <c r="K76" i="31"/>
  <c r="L76" i="31"/>
  <c r="M76" i="31"/>
  <c r="N76" i="31"/>
  <c r="O76" i="31"/>
  <c r="P76" i="31"/>
  <c r="Q76" i="31"/>
  <c r="R76" i="31"/>
  <c r="S76" i="31"/>
  <c r="T76" i="31"/>
  <c r="U76" i="31"/>
  <c r="V76" i="31"/>
  <c r="W76" i="31"/>
  <c r="X76" i="31"/>
  <c r="Y76" i="31"/>
  <c r="Z76" i="31"/>
  <c r="AA76" i="31"/>
  <c r="AB76" i="31"/>
  <c r="AD76" i="31"/>
  <c r="AE76" i="31"/>
  <c r="AF76" i="31"/>
  <c r="AG76" i="31"/>
  <c r="AH76" i="31"/>
  <c r="AI76" i="31"/>
  <c r="AJ76" i="31"/>
  <c r="AK76" i="31"/>
  <c r="AL76" i="31"/>
  <c r="AM76" i="31"/>
  <c r="AN76" i="31"/>
  <c r="AO76" i="31"/>
  <c r="AP76" i="31"/>
  <c r="AQ76" i="31"/>
  <c r="AR76" i="31"/>
  <c r="AS76" i="31"/>
  <c r="AT76" i="31"/>
  <c r="AU76" i="31"/>
  <c r="AV76" i="31"/>
  <c r="AW76" i="31"/>
  <c r="AX76" i="31"/>
  <c r="AY76" i="31"/>
  <c r="AZ76" i="31"/>
  <c r="BA76" i="31"/>
  <c r="BB76" i="31"/>
  <c r="BC76" i="31"/>
  <c r="BD76" i="31"/>
  <c r="BE76" i="31"/>
  <c r="BF76" i="31"/>
  <c r="BG76" i="31"/>
  <c r="BH76" i="31"/>
  <c r="BI76" i="31"/>
  <c r="BJ76" i="31"/>
  <c r="BK76" i="31"/>
  <c r="BL76" i="31"/>
  <c r="BM76" i="31"/>
  <c r="BN76" i="31"/>
  <c r="BO76" i="31"/>
  <c r="BP76" i="31"/>
  <c r="BQ76" i="31"/>
  <c r="BR76" i="31"/>
  <c r="BS76" i="31"/>
  <c r="BT76" i="31"/>
  <c r="BU76" i="31"/>
  <c r="BV76" i="31"/>
  <c r="BW76" i="31"/>
  <c r="BX76" i="31"/>
  <c r="BY76" i="31"/>
  <c r="BZ76" i="31"/>
  <c r="CA76" i="31"/>
  <c r="CB76" i="31"/>
  <c r="CC76" i="31"/>
  <c r="CD76" i="31"/>
  <c r="CE76" i="31"/>
  <c r="CF76" i="31"/>
  <c r="CG76" i="31"/>
  <c r="CH76" i="31"/>
  <c r="CI76" i="31"/>
  <c r="CJ76" i="31"/>
  <c r="CK76" i="31"/>
  <c r="CL76" i="31"/>
  <c r="CM76" i="31"/>
  <c r="CN76" i="31"/>
  <c r="CO76" i="31"/>
  <c r="CP76" i="31"/>
  <c r="CQ76" i="31"/>
  <c r="CR76" i="31"/>
  <c r="CS76" i="31"/>
  <c r="CT76" i="31"/>
  <c r="CU76" i="31"/>
  <c r="CV76" i="31"/>
  <c r="CW76" i="31"/>
  <c r="CX76" i="31"/>
  <c r="CY76" i="31"/>
  <c r="CZ76" i="31"/>
  <c r="DA76" i="31"/>
  <c r="DB76" i="31"/>
  <c r="DC76" i="31"/>
  <c r="DD76" i="31"/>
  <c r="DE76" i="31"/>
  <c r="DF76" i="31"/>
  <c r="DG76" i="31"/>
  <c r="DH76" i="31"/>
  <c r="DI76" i="31"/>
  <c r="DJ76" i="31"/>
  <c r="DK76" i="31"/>
  <c r="DL76" i="31"/>
  <c r="DM76" i="31"/>
  <c r="DN76" i="31"/>
  <c r="DO76" i="31"/>
  <c r="DP76" i="31"/>
  <c r="DQ76" i="31"/>
  <c r="DR76" i="31"/>
  <c r="DS76" i="31"/>
  <c r="DT76" i="31"/>
  <c r="DU76" i="31"/>
  <c r="DV76" i="31"/>
  <c r="DW76" i="31"/>
  <c r="DX76" i="31"/>
  <c r="DY76" i="31"/>
  <c r="DZ76" i="31"/>
  <c r="EA76" i="31"/>
  <c r="EB76" i="31"/>
  <c r="EC76" i="31"/>
  <c r="ED76" i="31"/>
  <c r="EE76" i="31"/>
  <c r="EF76" i="31"/>
  <c r="EG76" i="31"/>
  <c r="EH76" i="31"/>
  <c r="EI76" i="31"/>
  <c r="EJ76" i="31"/>
  <c r="EK76" i="31"/>
  <c r="EL76" i="31"/>
  <c r="EM76" i="31"/>
  <c r="EN76" i="31"/>
  <c r="EO76" i="31"/>
  <c r="EP76" i="31"/>
  <c r="EQ76" i="31"/>
  <c r="ER76" i="31"/>
  <c r="ES76" i="31"/>
  <c r="ET76" i="31"/>
  <c r="EU76" i="31"/>
  <c r="EV76" i="31"/>
  <c r="EW76" i="31"/>
  <c r="EX76" i="31"/>
  <c r="EY76" i="31"/>
  <c r="EZ76" i="31"/>
  <c r="FA76" i="31"/>
  <c r="FB76" i="31"/>
  <c r="FC76" i="31"/>
  <c r="FD76" i="31"/>
  <c r="FE76" i="31"/>
  <c r="FF76" i="31"/>
  <c r="FG76" i="31"/>
  <c r="FH76" i="31"/>
  <c r="FI76" i="31"/>
  <c r="FJ76" i="31"/>
  <c r="FK76" i="31"/>
  <c r="FL76" i="31"/>
  <c r="FM76" i="31"/>
  <c r="FN76" i="31"/>
  <c r="FO76" i="31"/>
  <c r="FP76" i="31"/>
  <c r="FQ76" i="31"/>
  <c r="FR76" i="31"/>
  <c r="FS76" i="31"/>
  <c r="FT76" i="31"/>
  <c r="FU76" i="31"/>
  <c r="FV76" i="31"/>
  <c r="FW76" i="31"/>
  <c r="FX76" i="31"/>
  <c r="FY76" i="31"/>
  <c r="FZ76" i="31"/>
  <c r="GA76" i="31"/>
  <c r="GB76" i="31"/>
  <c r="GC76" i="31"/>
  <c r="GD76" i="31"/>
  <c r="GE76" i="31"/>
  <c r="GF76" i="31"/>
  <c r="GG76" i="31"/>
  <c r="GH76" i="31"/>
  <c r="GI76" i="31"/>
  <c r="GJ76" i="31"/>
  <c r="GK76" i="31"/>
  <c r="GL76" i="31"/>
  <c r="GM76" i="31"/>
  <c r="GN76" i="31"/>
  <c r="GO76" i="31"/>
  <c r="GP76" i="31"/>
  <c r="GQ76" i="31"/>
  <c r="GR76" i="31"/>
  <c r="GS76" i="31"/>
  <c r="GT76" i="31"/>
  <c r="GU76" i="31"/>
  <c r="GV76" i="31"/>
  <c r="GW76" i="31"/>
  <c r="GX76" i="31"/>
  <c r="GY76" i="31"/>
  <c r="GZ76" i="31"/>
  <c r="HA76" i="31"/>
  <c r="HB76" i="31"/>
  <c r="HC76" i="31"/>
  <c r="HD76" i="31"/>
  <c r="HE76" i="31"/>
  <c r="HF76" i="31"/>
  <c r="HG76" i="31"/>
  <c r="HH76" i="31"/>
  <c r="HI76" i="31"/>
  <c r="HJ76" i="31"/>
  <c r="HK76" i="31"/>
  <c r="HL76" i="31"/>
  <c r="HM76" i="31"/>
  <c r="HN76" i="31"/>
  <c r="HO76" i="31"/>
  <c r="HP76" i="31"/>
  <c r="HQ76" i="31"/>
  <c r="HR76" i="31"/>
  <c r="HS76" i="31"/>
  <c r="HT76" i="31"/>
  <c r="HU76" i="31"/>
  <c r="HV76" i="31"/>
  <c r="HW76" i="31"/>
  <c r="HX76" i="31"/>
  <c r="HY76" i="31"/>
  <c r="HZ76" i="31"/>
  <c r="IA76" i="31"/>
  <c r="IB76" i="31"/>
  <c r="IC76" i="31"/>
  <c r="ID76" i="31"/>
  <c r="IE76" i="31"/>
  <c r="IF76" i="31"/>
  <c r="IG76" i="31"/>
  <c r="IH76" i="31"/>
  <c r="II76" i="31"/>
  <c r="IJ76" i="31"/>
  <c r="IK76" i="31"/>
  <c r="IL76" i="31"/>
  <c r="IM76" i="31"/>
  <c r="IN76" i="31"/>
  <c r="IO76" i="31"/>
  <c r="IP76" i="31"/>
  <c r="IQ76" i="31"/>
  <c r="IR76" i="31"/>
  <c r="IS76" i="31"/>
  <c r="IT76" i="31"/>
  <c r="IU76" i="31"/>
  <c r="IV76" i="31"/>
  <c r="IW76" i="31"/>
  <c r="IX76" i="31"/>
  <c r="IY76" i="31"/>
  <c r="IZ76" i="31"/>
  <c r="JA76" i="31"/>
  <c r="JB76" i="31"/>
  <c r="JC76" i="31"/>
  <c r="JD76" i="31"/>
  <c r="JE76" i="31"/>
  <c r="JF76" i="31"/>
  <c r="JG76" i="31"/>
  <c r="JH76" i="31"/>
  <c r="JI76" i="31"/>
  <c r="D83" i="31"/>
  <c r="E83" i="31"/>
  <c r="F83" i="31"/>
  <c r="G83" i="31"/>
  <c r="H83" i="31"/>
  <c r="I83" i="31"/>
  <c r="J83" i="31"/>
  <c r="K83" i="31"/>
  <c r="L83" i="31"/>
  <c r="M83" i="31"/>
  <c r="N83" i="31"/>
  <c r="O83" i="31"/>
  <c r="P83" i="31"/>
  <c r="Q83" i="31"/>
  <c r="R83" i="31"/>
  <c r="S83" i="31"/>
  <c r="T83" i="31"/>
  <c r="U83" i="31"/>
  <c r="V83" i="31"/>
  <c r="W83" i="31"/>
  <c r="X83" i="31"/>
  <c r="Y83" i="31"/>
  <c r="Z83" i="31"/>
  <c r="AA83" i="31"/>
  <c r="AB83" i="31"/>
  <c r="AD83" i="31"/>
  <c r="AE83" i="31"/>
  <c r="AF83" i="31"/>
  <c r="AG83" i="31"/>
  <c r="AH83" i="31"/>
  <c r="AI83" i="31"/>
  <c r="AJ83" i="31"/>
  <c r="AK83" i="31"/>
  <c r="AL83" i="31"/>
  <c r="AM83" i="31"/>
  <c r="AN83" i="31"/>
  <c r="AO83" i="31"/>
  <c r="AP83" i="31"/>
  <c r="AQ83" i="31"/>
  <c r="AR83" i="31"/>
  <c r="AS83" i="31"/>
  <c r="AT83" i="31"/>
  <c r="AU83" i="31"/>
  <c r="AV83" i="31"/>
  <c r="AW83" i="31"/>
  <c r="AX83" i="31"/>
  <c r="AY83" i="31"/>
  <c r="AZ83" i="31"/>
  <c r="BA83" i="31"/>
  <c r="BB83" i="31"/>
  <c r="BC83" i="31"/>
  <c r="BD83" i="31"/>
  <c r="BE83" i="31"/>
  <c r="BF83" i="31"/>
  <c r="BG83" i="31"/>
  <c r="BH83" i="31"/>
  <c r="BI83" i="31"/>
  <c r="BJ83" i="31"/>
  <c r="BK83" i="31"/>
  <c r="BL83" i="31"/>
  <c r="BM83" i="31"/>
  <c r="BN83" i="31"/>
  <c r="BO83" i="31"/>
  <c r="BP83" i="31"/>
  <c r="BQ83" i="31"/>
  <c r="BR83" i="31"/>
  <c r="BS83" i="31"/>
  <c r="BT83" i="31"/>
  <c r="BU83" i="31"/>
  <c r="BV83" i="31"/>
  <c r="BW83" i="31"/>
  <c r="BX83" i="31"/>
  <c r="BY83" i="31"/>
  <c r="BZ83" i="31"/>
  <c r="CA83" i="31"/>
  <c r="CB83" i="31"/>
  <c r="CC83" i="31"/>
  <c r="CD83" i="31"/>
  <c r="CE83" i="31"/>
  <c r="CF83" i="31"/>
  <c r="CG83" i="31"/>
  <c r="CH83" i="31"/>
  <c r="CI83" i="31"/>
  <c r="CJ83" i="31"/>
  <c r="CK83" i="31"/>
  <c r="CL83" i="31"/>
  <c r="CM83" i="31"/>
  <c r="CN83" i="31"/>
  <c r="CO83" i="31"/>
  <c r="CP83" i="31"/>
  <c r="CQ83" i="31"/>
  <c r="CR83" i="31"/>
  <c r="CS83" i="31"/>
  <c r="CT83" i="31"/>
  <c r="CU83" i="31"/>
  <c r="CV83" i="31"/>
  <c r="CW83" i="31"/>
  <c r="CX83" i="31"/>
  <c r="CY83" i="31"/>
  <c r="CZ83" i="31"/>
  <c r="DA83" i="31"/>
  <c r="DB83" i="31"/>
  <c r="DC83" i="31"/>
  <c r="DD83" i="31"/>
  <c r="DE83" i="31"/>
  <c r="DF83" i="31"/>
  <c r="DG83" i="31"/>
  <c r="DH83" i="31"/>
  <c r="DI83" i="31"/>
  <c r="DJ83" i="31"/>
  <c r="DK83" i="31"/>
  <c r="DL83" i="31"/>
  <c r="DM83" i="31"/>
  <c r="DN83" i="31"/>
  <c r="DO83" i="31"/>
  <c r="DP83" i="31"/>
  <c r="DQ83" i="31"/>
  <c r="DR83" i="31"/>
  <c r="DS83" i="31"/>
  <c r="DT83" i="31"/>
  <c r="DU83" i="31"/>
  <c r="DV83" i="31"/>
  <c r="DW83" i="31"/>
  <c r="DX83" i="31"/>
  <c r="DY83" i="31"/>
  <c r="DZ83" i="31"/>
  <c r="EA83" i="31"/>
  <c r="EB83" i="31"/>
  <c r="EC83" i="31"/>
  <c r="ED83" i="31"/>
  <c r="EE83" i="31"/>
  <c r="EF83" i="31"/>
  <c r="EG83" i="31"/>
  <c r="EH83" i="31"/>
  <c r="EI83" i="31"/>
  <c r="EJ83" i="31"/>
  <c r="EK83" i="31"/>
  <c r="EL83" i="31"/>
  <c r="EM83" i="31"/>
  <c r="EN83" i="31"/>
  <c r="EO83" i="31"/>
  <c r="EP83" i="31"/>
  <c r="EQ83" i="31"/>
  <c r="ER83" i="31"/>
  <c r="ES83" i="31"/>
  <c r="ET83" i="31"/>
  <c r="EU83" i="31"/>
  <c r="EV83" i="31"/>
  <c r="EW83" i="31"/>
  <c r="EX83" i="31"/>
  <c r="EY83" i="31"/>
  <c r="EZ83" i="31"/>
  <c r="FA83" i="31"/>
  <c r="FB83" i="31"/>
  <c r="FC83" i="31"/>
  <c r="FD83" i="31"/>
  <c r="FE83" i="31"/>
  <c r="FF83" i="31"/>
  <c r="FG83" i="31"/>
  <c r="FH83" i="31"/>
  <c r="FI83" i="31"/>
  <c r="FJ83" i="31"/>
  <c r="FK83" i="31"/>
  <c r="FL83" i="31"/>
  <c r="FM83" i="31"/>
  <c r="FN83" i="31"/>
  <c r="FO83" i="31"/>
  <c r="FP83" i="31"/>
  <c r="FQ83" i="31"/>
  <c r="FR83" i="31"/>
  <c r="FS83" i="31"/>
  <c r="FT83" i="31"/>
  <c r="FU83" i="31"/>
  <c r="FV83" i="31"/>
  <c r="FW83" i="31"/>
  <c r="FX83" i="31"/>
  <c r="FY83" i="31"/>
  <c r="FZ83" i="31"/>
  <c r="GA83" i="31"/>
  <c r="GB83" i="31"/>
  <c r="GC83" i="31"/>
  <c r="GD83" i="31"/>
  <c r="GE83" i="31"/>
  <c r="GF83" i="31"/>
  <c r="GG83" i="31"/>
  <c r="GH83" i="31"/>
  <c r="GI83" i="31"/>
  <c r="GJ83" i="31"/>
  <c r="GK83" i="31"/>
  <c r="GL83" i="31"/>
  <c r="GM83" i="31"/>
  <c r="GN83" i="31"/>
  <c r="GO83" i="31"/>
  <c r="GP83" i="31"/>
  <c r="GQ83" i="31"/>
  <c r="GR83" i="31"/>
  <c r="GS83" i="31"/>
  <c r="GT83" i="31"/>
  <c r="GU83" i="31"/>
  <c r="GV83" i="31"/>
  <c r="GW83" i="31"/>
  <c r="GX83" i="31"/>
  <c r="GY83" i="31"/>
  <c r="GZ83" i="31"/>
  <c r="HA83" i="31"/>
  <c r="HB83" i="31"/>
  <c r="HC83" i="31"/>
  <c r="HD83" i="31"/>
  <c r="HE83" i="31"/>
  <c r="HF83" i="31"/>
  <c r="HG83" i="31"/>
  <c r="HH83" i="31"/>
  <c r="HI83" i="31"/>
  <c r="HJ83" i="31"/>
  <c r="HK83" i="31"/>
  <c r="HL83" i="31"/>
  <c r="HM83" i="31"/>
  <c r="HN83" i="31"/>
  <c r="HO83" i="31"/>
  <c r="HP83" i="31"/>
  <c r="HQ83" i="31"/>
  <c r="HR83" i="31"/>
  <c r="HS83" i="31"/>
  <c r="HT83" i="31"/>
  <c r="HU83" i="31"/>
  <c r="HV83" i="31"/>
  <c r="HW83" i="31"/>
  <c r="HX83" i="31"/>
  <c r="HY83" i="31"/>
  <c r="HZ83" i="31"/>
  <c r="IA83" i="31"/>
  <c r="IB83" i="31"/>
  <c r="IC83" i="31"/>
  <c r="ID83" i="31"/>
  <c r="IE83" i="31"/>
  <c r="IF83" i="31"/>
  <c r="IG83" i="31"/>
  <c r="IH83" i="31"/>
  <c r="II83" i="31"/>
  <c r="IJ83" i="31"/>
  <c r="IK83" i="31"/>
  <c r="IL83" i="31"/>
  <c r="IM83" i="31"/>
  <c r="IN83" i="31"/>
  <c r="IO83" i="31"/>
  <c r="IP83" i="31"/>
  <c r="IQ83" i="31"/>
  <c r="IR83" i="31"/>
  <c r="IS83" i="31"/>
  <c r="IT83" i="31"/>
  <c r="IU83" i="31"/>
  <c r="IV83" i="31"/>
  <c r="IW83" i="31"/>
  <c r="IX83" i="31"/>
  <c r="IY83" i="31"/>
  <c r="IZ83" i="31"/>
  <c r="JA83" i="31"/>
  <c r="JB83" i="31"/>
  <c r="JC83" i="31"/>
  <c r="JD83" i="31"/>
  <c r="JE83" i="31"/>
  <c r="JF83" i="31"/>
  <c r="JG83" i="31"/>
  <c r="JH83" i="31"/>
  <c r="JI83" i="31"/>
  <c r="D84" i="31"/>
  <c r="E84" i="31"/>
  <c r="F84" i="31"/>
  <c r="G84" i="31"/>
  <c r="H84" i="31"/>
  <c r="I84" i="31"/>
  <c r="J84" i="31"/>
  <c r="K84" i="31"/>
  <c r="L84" i="31"/>
  <c r="M84" i="31"/>
  <c r="N84" i="31"/>
  <c r="O84" i="31"/>
  <c r="P84" i="31"/>
  <c r="Q84" i="31"/>
  <c r="R84" i="31"/>
  <c r="S84" i="31"/>
  <c r="T84" i="31"/>
  <c r="U84" i="31"/>
  <c r="V84" i="31"/>
  <c r="W84" i="31"/>
  <c r="X84" i="31"/>
  <c r="Y84" i="31"/>
  <c r="Z84" i="31"/>
  <c r="AA84" i="31"/>
  <c r="AB84" i="31"/>
  <c r="AD84" i="31"/>
  <c r="AE84" i="31"/>
  <c r="AF84" i="31"/>
  <c r="AG84" i="31"/>
  <c r="AH84" i="31"/>
  <c r="AI84" i="31"/>
  <c r="AJ84" i="31"/>
  <c r="AK84" i="31"/>
  <c r="AL84" i="31"/>
  <c r="AM84" i="31"/>
  <c r="AN84" i="31"/>
  <c r="AO84" i="31"/>
  <c r="AP84" i="31"/>
  <c r="AQ84" i="31"/>
  <c r="AR84" i="31"/>
  <c r="AS84" i="31"/>
  <c r="AT84" i="31"/>
  <c r="AU84" i="31"/>
  <c r="AV84" i="31"/>
  <c r="AW84" i="31"/>
  <c r="AX84" i="31"/>
  <c r="AY84" i="31"/>
  <c r="AZ84" i="31"/>
  <c r="BA84" i="31"/>
  <c r="BB84" i="31"/>
  <c r="BC84" i="31"/>
  <c r="BD84" i="31"/>
  <c r="BE84" i="31"/>
  <c r="BF84" i="31"/>
  <c r="BG84" i="31"/>
  <c r="BH84" i="31"/>
  <c r="BI84" i="31"/>
  <c r="BJ84" i="31"/>
  <c r="BK84" i="31"/>
  <c r="BL84" i="31"/>
  <c r="BM84" i="31"/>
  <c r="BN84" i="31"/>
  <c r="BO84" i="31"/>
  <c r="BP84" i="31"/>
  <c r="BQ84" i="31"/>
  <c r="BR84" i="31"/>
  <c r="BS84" i="31"/>
  <c r="BT84" i="31"/>
  <c r="BU84" i="31"/>
  <c r="BV84" i="31"/>
  <c r="BW84" i="31"/>
  <c r="BX84" i="31"/>
  <c r="BY84" i="31"/>
  <c r="BZ84" i="31"/>
  <c r="CA84" i="31"/>
  <c r="CB84" i="31"/>
  <c r="CC84" i="31"/>
  <c r="CD84" i="31"/>
  <c r="CE84" i="31"/>
  <c r="CF84" i="31"/>
  <c r="CG84" i="31"/>
  <c r="CH84" i="31"/>
  <c r="CI84" i="31"/>
  <c r="CJ84" i="31"/>
  <c r="CK84" i="31"/>
  <c r="CL84" i="31"/>
  <c r="CM84" i="31"/>
  <c r="CN84" i="31"/>
  <c r="CO84" i="31"/>
  <c r="CP84" i="31"/>
  <c r="CQ84" i="31"/>
  <c r="CR84" i="31"/>
  <c r="CS84" i="31"/>
  <c r="CT84" i="31"/>
  <c r="CU84" i="31"/>
  <c r="CV84" i="31"/>
  <c r="CW84" i="31"/>
  <c r="CX84" i="31"/>
  <c r="CY84" i="31"/>
  <c r="CZ84" i="31"/>
  <c r="DA84" i="31"/>
  <c r="DB84" i="31"/>
  <c r="DC84" i="31"/>
  <c r="DD84" i="31"/>
  <c r="DE84" i="31"/>
  <c r="DF84" i="31"/>
  <c r="DG84" i="31"/>
  <c r="DH84" i="31"/>
  <c r="DI84" i="31"/>
  <c r="DJ84" i="31"/>
  <c r="DK84" i="31"/>
  <c r="DL84" i="31"/>
  <c r="DM84" i="31"/>
  <c r="DN84" i="31"/>
  <c r="DO84" i="31"/>
  <c r="DP84" i="31"/>
  <c r="DQ84" i="31"/>
  <c r="DR84" i="31"/>
  <c r="DS84" i="31"/>
  <c r="DT84" i="31"/>
  <c r="DU84" i="31"/>
  <c r="DV84" i="31"/>
  <c r="DW84" i="31"/>
  <c r="DX84" i="31"/>
  <c r="DY84" i="31"/>
  <c r="DZ84" i="31"/>
  <c r="EA84" i="31"/>
  <c r="EB84" i="31"/>
  <c r="EC84" i="31"/>
  <c r="ED84" i="31"/>
  <c r="EE84" i="31"/>
  <c r="EF84" i="31"/>
  <c r="EG84" i="31"/>
  <c r="EH84" i="31"/>
  <c r="EI84" i="31"/>
  <c r="EJ84" i="31"/>
  <c r="EK84" i="31"/>
  <c r="EL84" i="31"/>
  <c r="EM84" i="31"/>
  <c r="EN84" i="31"/>
  <c r="EO84" i="31"/>
  <c r="EP84" i="31"/>
  <c r="EQ84" i="31"/>
  <c r="ER84" i="31"/>
  <c r="ES84" i="31"/>
  <c r="ET84" i="31"/>
  <c r="EU84" i="31"/>
  <c r="EV84" i="31"/>
  <c r="EW84" i="31"/>
  <c r="EX84" i="31"/>
  <c r="EY84" i="31"/>
  <c r="EZ84" i="31"/>
  <c r="FA84" i="31"/>
  <c r="FB84" i="31"/>
  <c r="FC84" i="31"/>
  <c r="FD84" i="31"/>
  <c r="FE84" i="31"/>
  <c r="FF84" i="31"/>
  <c r="FG84" i="31"/>
  <c r="FH84" i="31"/>
  <c r="FI84" i="31"/>
  <c r="FJ84" i="31"/>
  <c r="FK84" i="31"/>
  <c r="FL84" i="31"/>
  <c r="FM84" i="31"/>
  <c r="FN84" i="31"/>
  <c r="FO84" i="31"/>
  <c r="FP84" i="31"/>
  <c r="FQ84" i="31"/>
  <c r="FR84" i="31"/>
  <c r="FS84" i="31"/>
  <c r="FT84" i="31"/>
  <c r="FU84" i="31"/>
  <c r="FV84" i="31"/>
  <c r="FW84" i="31"/>
  <c r="FX84" i="31"/>
  <c r="FY84" i="31"/>
  <c r="FZ84" i="31"/>
  <c r="GA84" i="31"/>
  <c r="GB84" i="31"/>
  <c r="GC84" i="31"/>
  <c r="GD84" i="31"/>
  <c r="GE84" i="31"/>
  <c r="GF84" i="31"/>
  <c r="GG84" i="31"/>
  <c r="GH84" i="31"/>
  <c r="GI84" i="31"/>
  <c r="GJ84" i="31"/>
  <c r="GK84" i="31"/>
  <c r="GL84" i="31"/>
  <c r="GM84" i="31"/>
  <c r="GN84" i="31"/>
  <c r="GO84" i="31"/>
  <c r="GP84" i="31"/>
  <c r="GQ84" i="31"/>
  <c r="GR84" i="31"/>
  <c r="GS84" i="31"/>
  <c r="GT84" i="31"/>
  <c r="GU84" i="31"/>
  <c r="GV84" i="31"/>
  <c r="GW84" i="31"/>
  <c r="GX84" i="31"/>
  <c r="GY84" i="31"/>
  <c r="GZ84" i="31"/>
  <c r="HA84" i="31"/>
  <c r="HB84" i="31"/>
  <c r="HC84" i="31"/>
  <c r="HD84" i="31"/>
  <c r="HE84" i="31"/>
  <c r="HF84" i="31"/>
  <c r="HG84" i="31"/>
  <c r="HH84" i="31"/>
  <c r="HI84" i="31"/>
  <c r="HJ84" i="31"/>
  <c r="HK84" i="31"/>
  <c r="HL84" i="31"/>
  <c r="HM84" i="31"/>
  <c r="HN84" i="31"/>
  <c r="HO84" i="31"/>
  <c r="HP84" i="31"/>
  <c r="HQ84" i="31"/>
  <c r="HR84" i="31"/>
  <c r="HS84" i="31"/>
  <c r="HT84" i="31"/>
  <c r="HU84" i="31"/>
  <c r="HV84" i="31"/>
  <c r="HW84" i="31"/>
  <c r="HX84" i="31"/>
  <c r="HY84" i="31"/>
  <c r="HZ84" i="31"/>
  <c r="IA84" i="31"/>
  <c r="IB84" i="31"/>
  <c r="IC84" i="31"/>
  <c r="ID84" i="31"/>
  <c r="IE84" i="31"/>
  <c r="IF84" i="31"/>
  <c r="IG84" i="31"/>
  <c r="IH84" i="31"/>
  <c r="II84" i="31"/>
  <c r="IJ84" i="31"/>
  <c r="IK84" i="31"/>
  <c r="IL84" i="31"/>
  <c r="IM84" i="31"/>
  <c r="IN84" i="31"/>
  <c r="IO84" i="31"/>
  <c r="IP84" i="31"/>
  <c r="IQ84" i="31"/>
  <c r="IR84" i="31"/>
  <c r="IS84" i="31"/>
  <c r="IT84" i="31"/>
  <c r="IU84" i="31"/>
  <c r="IV84" i="31"/>
  <c r="IW84" i="31"/>
  <c r="IX84" i="31"/>
  <c r="IY84" i="31"/>
  <c r="IZ84" i="31"/>
  <c r="JA84" i="31"/>
  <c r="JB84" i="31"/>
  <c r="JC84" i="31"/>
  <c r="JD84" i="31"/>
  <c r="JE84" i="31"/>
  <c r="JF84" i="31"/>
  <c r="JG84" i="31"/>
  <c r="JH84" i="31"/>
  <c r="JI84" i="31"/>
  <c r="D85" i="31"/>
  <c r="E85" i="31"/>
  <c r="F85" i="31"/>
  <c r="G85" i="31"/>
  <c r="H85" i="31"/>
  <c r="I85" i="31"/>
  <c r="J85" i="31"/>
  <c r="K85" i="31"/>
  <c r="L85" i="31"/>
  <c r="M85" i="31"/>
  <c r="N85" i="31"/>
  <c r="O85" i="31"/>
  <c r="P85" i="31"/>
  <c r="Q85" i="31"/>
  <c r="R85" i="31"/>
  <c r="S85" i="31"/>
  <c r="T85" i="31"/>
  <c r="U85" i="31"/>
  <c r="V85" i="31"/>
  <c r="W85" i="31"/>
  <c r="X85" i="31"/>
  <c r="Y85" i="31"/>
  <c r="Z85" i="31"/>
  <c r="AA85" i="31"/>
  <c r="AB85" i="31"/>
  <c r="AD85" i="31"/>
  <c r="AE85" i="31"/>
  <c r="AF85" i="31"/>
  <c r="AG85" i="31"/>
  <c r="AH85" i="31"/>
  <c r="AI85" i="31"/>
  <c r="AJ85" i="31"/>
  <c r="AK85" i="31"/>
  <c r="AL85" i="31"/>
  <c r="AM85" i="31"/>
  <c r="AN85" i="31"/>
  <c r="AO85" i="31"/>
  <c r="AP85" i="31"/>
  <c r="AQ85" i="31"/>
  <c r="AR85" i="31"/>
  <c r="AS85" i="31"/>
  <c r="AT85" i="31"/>
  <c r="AU85" i="31"/>
  <c r="AV85" i="31"/>
  <c r="AW85" i="31"/>
  <c r="AX85" i="31"/>
  <c r="AY85" i="31"/>
  <c r="AZ85" i="31"/>
  <c r="BA85" i="31"/>
  <c r="BB85" i="31"/>
  <c r="BC85" i="31"/>
  <c r="BD85" i="31"/>
  <c r="BE85" i="31"/>
  <c r="BF85" i="31"/>
  <c r="BG85" i="31"/>
  <c r="BH85" i="31"/>
  <c r="BI85" i="31"/>
  <c r="BJ85" i="31"/>
  <c r="BK85" i="31"/>
  <c r="BL85" i="31"/>
  <c r="BM85" i="31"/>
  <c r="BN85" i="31"/>
  <c r="BO85" i="31"/>
  <c r="BP85" i="31"/>
  <c r="BQ85" i="31"/>
  <c r="BR85" i="31"/>
  <c r="BS85" i="31"/>
  <c r="BT85" i="31"/>
  <c r="BU85" i="31"/>
  <c r="BV85" i="31"/>
  <c r="BW85" i="31"/>
  <c r="BX85" i="31"/>
  <c r="BY85" i="31"/>
  <c r="BZ85" i="31"/>
  <c r="CA85" i="31"/>
  <c r="CB85" i="31"/>
  <c r="CC85" i="31"/>
  <c r="CD85" i="31"/>
  <c r="CE85" i="31"/>
  <c r="CF85" i="31"/>
  <c r="CG85" i="31"/>
  <c r="CH85" i="31"/>
  <c r="CI85" i="31"/>
  <c r="CJ85" i="31"/>
  <c r="CK85" i="31"/>
  <c r="CL85" i="31"/>
  <c r="CM85" i="31"/>
  <c r="CN85" i="31"/>
  <c r="CO85" i="31"/>
  <c r="CP85" i="31"/>
  <c r="CQ85" i="31"/>
  <c r="CR85" i="31"/>
  <c r="CS85" i="31"/>
  <c r="CT85" i="31"/>
  <c r="CU85" i="31"/>
  <c r="CV85" i="31"/>
  <c r="CW85" i="31"/>
  <c r="CX85" i="31"/>
  <c r="CY85" i="31"/>
  <c r="CZ85" i="31"/>
  <c r="DA85" i="31"/>
  <c r="DB85" i="31"/>
  <c r="DC85" i="31"/>
  <c r="DD85" i="31"/>
  <c r="DE85" i="31"/>
  <c r="DF85" i="31"/>
  <c r="DG85" i="31"/>
  <c r="DH85" i="31"/>
  <c r="DI85" i="31"/>
  <c r="DJ85" i="31"/>
  <c r="DK85" i="31"/>
  <c r="DL85" i="31"/>
  <c r="DM85" i="31"/>
  <c r="DN85" i="31"/>
  <c r="DO85" i="31"/>
  <c r="DP85" i="31"/>
  <c r="DQ85" i="31"/>
  <c r="DR85" i="31"/>
  <c r="DS85" i="31"/>
  <c r="DT85" i="31"/>
  <c r="DU85" i="31"/>
  <c r="DV85" i="31"/>
  <c r="DW85" i="31"/>
  <c r="DX85" i="31"/>
  <c r="DY85" i="31"/>
  <c r="DZ85" i="31"/>
  <c r="EA85" i="31"/>
  <c r="EB85" i="31"/>
  <c r="EC85" i="31"/>
  <c r="ED85" i="31"/>
  <c r="EE85" i="31"/>
  <c r="EF85" i="31"/>
  <c r="EG85" i="31"/>
  <c r="EH85" i="31"/>
  <c r="EI85" i="31"/>
  <c r="EJ85" i="31"/>
  <c r="EK85" i="31"/>
  <c r="EL85" i="31"/>
  <c r="EM85" i="31"/>
  <c r="EN85" i="31"/>
  <c r="EO85" i="31"/>
  <c r="EP85" i="31"/>
  <c r="EQ85" i="31"/>
  <c r="ER85" i="31"/>
  <c r="ES85" i="31"/>
  <c r="ET85" i="31"/>
  <c r="EU85" i="31"/>
  <c r="FA85" i="31"/>
  <c r="HL85" i="31"/>
  <c r="HM85" i="31"/>
  <c r="HN85" i="31"/>
  <c r="HO85" i="31"/>
  <c r="HP85" i="31"/>
  <c r="HQ85" i="31"/>
  <c r="HR85" i="31"/>
  <c r="HS85" i="31"/>
  <c r="HT85" i="31"/>
  <c r="HU85" i="31"/>
  <c r="HV85" i="31"/>
  <c r="HW85" i="31"/>
  <c r="HX85" i="31"/>
  <c r="HY85" i="31"/>
  <c r="HZ85" i="31"/>
  <c r="IA85" i="31"/>
  <c r="IB85" i="31"/>
  <c r="IC85" i="31"/>
  <c r="ID85" i="31"/>
  <c r="IE85" i="31"/>
  <c r="IF85" i="31"/>
  <c r="IG85" i="31"/>
  <c r="IH85" i="31"/>
  <c r="II85" i="31"/>
  <c r="IJ85" i="31"/>
  <c r="IK85" i="31"/>
  <c r="IL85" i="31"/>
  <c r="IM85" i="31"/>
  <c r="IN85" i="31"/>
  <c r="IO85" i="31"/>
  <c r="IP85" i="31"/>
  <c r="IQ85" i="31"/>
  <c r="IR85" i="31"/>
  <c r="IS85" i="31"/>
  <c r="IT85" i="31"/>
  <c r="IU85" i="31"/>
  <c r="IV85" i="31"/>
  <c r="IW85" i="31"/>
  <c r="IX85" i="31"/>
  <c r="IY85" i="31"/>
  <c r="IZ85" i="31"/>
  <c r="JA85" i="31"/>
  <c r="JB85" i="31"/>
  <c r="JC85" i="31"/>
  <c r="JD85" i="31"/>
  <c r="JE85" i="31"/>
  <c r="JF85" i="31"/>
  <c r="JG85" i="31"/>
  <c r="JH85" i="31"/>
  <c r="JI85" i="31"/>
  <c r="F86" i="31"/>
  <c r="G86" i="31"/>
  <c r="H86" i="31"/>
  <c r="I86" i="31"/>
  <c r="J86" i="31"/>
  <c r="K86" i="31"/>
  <c r="L86" i="31"/>
  <c r="M86" i="31"/>
  <c r="N86" i="31"/>
  <c r="O86" i="31"/>
  <c r="P86" i="31"/>
  <c r="Q86" i="31"/>
  <c r="R86" i="31"/>
  <c r="S86" i="31"/>
  <c r="T86" i="31"/>
  <c r="U86" i="31"/>
  <c r="V86" i="31"/>
  <c r="W86" i="31"/>
  <c r="X86" i="31"/>
  <c r="Y86" i="31"/>
  <c r="Z86" i="31"/>
  <c r="AA86" i="31"/>
  <c r="AB86" i="31"/>
  <c r="AD86" i="31"/>
  <c r="AE86" i="31"/>
  <c r="AF86" i="31"/>
  <c r="AG86" i="31"/>
  <c r="AH86" i="31"/>
  <c r="AI86" i="31"/>
  <c r="AJ86" i="31"/>
  <c r="AK86" i="31"/>
  <c r="AL86" i="31"/>
  <c r="AM86" i="31"/>
  <c r="AN86" i="31"/>
  <c r="AO86" i="31"/>
  <c r="AP86" i="31"/>
  <c r="AQ86" i="31"/>
  <c r="AR86" i="31"/>
  <c r="AS86" i="31"/>
  <c r="AT86" i="31"/>
  <c r="AU86" i="31"/>
  <c r="AV86" i="31"/>
  <c r="AW86" i="31"/>
  <c r="AX86" i="31"/>
  <c r="AY86" i="31"/>
  <c r="AZ86" i="31"/>
  <c r="BA86" i="31"/>
  <c r="BB86" i="31"/>
  <c r="BC86" i="31"/>
  <c r="BD86" i="31"/>
  <c r="BE86" i="31"/>
  <c r="BF86" i="31"/>
  <c r="BG86" i="31"/>
  <c r="BH86" i="31"/>
  <c r="BI86" i="31"/>
  <c r="BJ86" i="31"/>
  <c r="BK86" i="31"/>
  <c r="BL86" i="31"/>
  <c r="BM86" i="31"/>
  <c r="BN86" i="31"/>
  <c r="BO86" i="31"/>
  <c r="BP86" i="31"/>
  <c r="BQ86" i="31"/>
  <c r="BR86" i="31"/>
  <c r="BS86" i="31"/>
  <c r="BT86" i="31"/>
  <c r="BU86" i="31"/>
  <c r="BV86" i="31"/>
  <c r="BW86" i="31"/>
  <c r="BX86" i="31"/>
  <c r="BY86" i="31"/>
  <c r="BZ86" i="31"/>
  <c r="CA86" i="31"/>
  <c r="CB86" i="31"/>
  <c r="CC86" i="31"/>
  <c r="CD86" i="31"/>
  <c r="CE86" i="31"/>
  <c r="CF86" i="31"/>
  <c r="CG86" i="31"/>
  <c r="CH86" i="31"/>
  <c r="CI86" i="31"/>
  <c r="CJ86" i="31"/>
  <c r="CK86" i="31"/>
  <c r="CL86" i="31"/>
  <c r="CM86" i="31"/>
  <c r="CN86" i="31"/>
  <c r="CO86" i="31"/>
  <c r="CP86" i="31"/>
  <c r="CQ86" i="31"/>
  <c r="CR86" i="31"/>
  <c r="CS86" i="31"/>
  <c r="CT86" i="31"/>
  <c r="CU86" i="31"/>
  <c r="CV86" i="31"/>
  <c r="CW86" i="31"/>
  <c r="CX86" i="31"/>
  <c r="CY86" i="31"/>
  <c r="CZ86" i="31"/>
  <c r="DA86" i="31"/>
  <c r="DB86" i="31"/>
  <c r="DC86" i="31"/>
  <c r="DD86" i="31"/>
  <c r="DE86" i="31"/>
  <c r="DF86" i="31"/>
  <c r="DG86" i="31"/>
  <c r="DH86" i="31"/>
  <c r="DI86" i="31"/>
  <c r="DJ86" i="31"/>
  <c r="DK86" i="31"/>
  <c r="DL86" i="31"/>
  <c r="DM86" i="31"/>
  <c r="DN86" i="31"/>
  <c r="DO86" i="31"/>
  <c r="DP86" i="31"/>
  <c r="DQ86" i="31"/>
  <c r="DR86" i="31"/>
  <c r="DS86" i="31"/>
  <c r="DT86" i="31"/>
  <c r="DU86" i="31"/>
  <c r="DV86" i="31"/>
  <c r="DW86" i="31"/>
  <c r="DX86" i="31"/>
  <c r="DY86" i="31"/>
  <c r="DZ86" i="31"/>
  <c r="EA86" i="31"/>
  <c r="EB86" i="31"/>
  <c r="EC86" i="31"/>
  <c r="ED86" i="31"/>
  <c r="EE86" i="31"/>
  <c r="EF86" i="31"/>
  <c r="EG86" i="31"/>
  <c r="EH86" i="31"/>
  <c r="EI86" i="31"/>
  <c r="EJ86" i="31"/>
  <c r="EK86" i="31"/>
  <c r="EL86" i="31"/>
  <c r="EM86" i="31"/>
  <c r="EN86" i="31"/>
  <c r="EO86" i="31"/>
  <c r="EP86" i="31"/>
  <c r="EQ86" i="31"/>
  <c r="ER86" i="31"/>
  <c r="ES86" i="31"/>
  <c r="ET86" i="31"/>
  <c r="EU86" i="31"/>
  <c r="HL86" i="31"/>
  <c r="HM86" i="31"/>
  <c r="HN86" i="31"/>
  <c r="HO86" i="31"/>
  <c r="HP86" i="31"/>
  <c r="HQ86" i="31"/>
  <c r="HR86" i="31"/>
  <c r="HS86" i="31"/>
  <c r="HT86" i="31"/>
  <c r="HU86" i="31"/>
  <c r="HV86" i="31"/>
  <c r="HW86" i="31"/>
  <c r="HX86" i="31"/>
  <c r="HY86" i="31"/>
  <c r="HZ86" i="31"/>
  <c r="IA86" i="31"/>
  <c r="IB86" i="31"/>
  <c r="IC86" i="31"/>
  <c r="ID86" i="31"/>
  <c r="IE86" i="31"/>
  <c r="IF86" i="31"/>
  <c r="IG86" i="31"/>
  <c r="IH86" i="31"/>
  <c r="II86" i="31"/>
  <c r="IJ86" i="31"/>
  <c r="IK86" i="31"/>
  <c r="IL86" i="31"/>
  <c r="IM86" i="31"/>
  <c r="IN86" i="31"/>
  <c r="IO86" i="31"/>
  <c r="IP86" i="31"/>
  <c r="IQ86" i="31"/>
  <c r="IR86" i="31"/>
  <c r="IS86" i="31"/>
  <c r="IT86" i="31"/>
  <c r="IU86" i="31"/>
  <c r="IV86" i="31"/>
  <c r="IW86" i="31"/>
  <c r="IX86" i="31"/>
  <c r="IY86" i="31"/>
  <c r="IZ86" i="31"/>
  <c r="JA86" i="31"/>
  <c r="JB86" i="31"/>
  <c r="JC86" i="31"/>
  <c r="JD86" i="31"/>
  <c r="JE86" i="31"/>
  <c r="JF86" i="31"/>
  <c r="JG86" i="31"/>
  <c r="JH86" i="31"/>
  <c r="JI86" i="31"/>
  <c r="F87" i="31"/>
  <c r="G87" i="31"/>
  <c r="H87" i="31"/>
  <c r="I87" i="31"/>
  <c r="J87" i="31"/>
  <c r="K87" i="31"/>
  <c r="L87" i="31"/>
  <c r="M87" i="31"/>
  <c r="N87" i="31"/>
  <c r="O87" i="31"/>
  <c r="P87" i="31"/>
  <c r="Q87" i="31"/>
  <c r="R87" i="31"/>
  <c r="S87" i="31"/>
  <c r="T87" i="31"/>
  <c r="U87" i="31"/>
  <c r="V87" i="31"/>
  <c r="W87" i="31"/>
  <c r="X87" i="31"/>
  <c r="Y87" i="31"/>
  <c r="Z87" i="31"/>
  <c r="AA87" i="31"/>
  <c r="AB87" i="31"/>
  <c r="AD87" i="31"/>
  <c r="AE87" i="31"/>
  <c r="AF87" i="31"/>
  <c r="AG87" i="31"/>
  <c r="AH87" i="31"/>
  <c r="AI87" i="31"/>
  <c r="AJ87" i="31"/>
  <c r="AK87" i="31"/>
  <c r="AL87" i="31"/>
  <c r="AM87" i="31"/>
  <c r="AN87" i="31"/>
  <c r="AO87" i="31"/>
  <c r="AP87" i="31"/>
  <c r="AQ87" i="31"/>
  <c r="AR87" i="31"/>
  <c r="AS87" i="31"/>
  <c r="AT87" i="31"/>
  <c r="AU87" i="31"/>
  <c r="AV87" i="31"/>
  <c r="AW87" i="31"/>
  <c r="AX87" i="31"/>
  <c r="AY87" i="31"/>
  <c r="AZ87" i="31"/>
  <c r="BA87" i="31"/>
  <c r="BB87" i="31"/>
  <c r="BC87" i="31"/>
  <c r="BD87" i="31"/>
  <c r="BE87" i="31"/>
  <c r="BF87" i="31"/>
  <c r="BG87" i="31"/>
  <c r="BH87" i="31"/>
  <c r="BI87" i="31"/>
  <c r="BJ87" i="31"/>
  <c r="BK87" i="31"/>
  <c r="BL87" i="31"/>
  <c r="BM87" i="31"/>
  <c r="BN87" i="31"/>
  <c r="BO87" i="31"/>
  <c r="BP87" i="31"/>
  <c r="BQ87" i="31"/>
  <c r="BR87" i="31"/>
  <c r="BS87" i="31"/>
  <c r="BT87" i="31"/>
  <c r="BU87" i="31"/>
  <c r="BV87" i="31"/>
  <c r="BW87" i="31"/>
  <c r="BX87" i="31"/>
  <c r="BY87" i="31"/>
  <c r="BZ87" i="31"/>
  <c r="CA87" i="31"/>
  <c r="CB87" i="31"/>
  <c r="CC87" i="31"/>
  <c r="CD87" i="31"/>
  <c r="CE87" i="31"/>
  <c r="CF87" i="31"/>
  <c r="CG87" i="31"/>
  <c r="CH87" i="31"/>
  <c r="CI87" i="31"/>
  <c r="CJ87" i="31"/>
  <c r="CK87" i="31"/>
  <c r="CL87" i="31"/>
  <c r="CM87" i="31"/>
  <c r="CN87" i="31"/>
  <c r="CO87" i="31"/>
  <c r="CP87" i="31"/>
  <c r="CQ87" i="31"/>
  <c r="CR87" i="31"/>
  <c r="CS87" i="31"/>
  <c r="CT87" i="31"/>
  <c r="CU87" i="31"/>
  <c r="CV87" i="31"/>
  <c r="CW87" i="31"/>
  <c r="CX87" i="31"/>
  <c r="CY87" i="31"/>
  <c r="CZ87" i="31"/>
  <c r="DA87" i="31"/>
  <c r="DB87" i="31"/>
  <c r="DC87" i="31"/>
  <c r="DD87" i="31"/>
  <c r="DE87" i="31"/>
  <c r="DF87" i="31"/>
  <c r="DG87" i="31"/>
  <c r="DH87" i="31"/>
  <c r="DI87" i="31"/>
  <c r="DJ87" i="31"/>
  <c r="DK87" i="31"/>
  <c r="DL87" i="31"/>
  <c r="DM87" i="31"/>
  <c r="DN87" i="31"/>
  <c r="DO87" i="31"/>
  <c r="DP87" i="31"/>
  <c r="DQ87" i="31"/>
  <c r="DR87" i="31"/>
  <c r="DS87" i="31"/>
  <c r="DT87" i="31"/>
  <c r="DU87" i="31"/>
  <c r="DV87" i="31"/>
  <c r="DW87" i="31"/>
  <c r="DX87" i="31"/>
  <c r="DY87" i="31"/>
  <c r="DZ87" i="31"/>
  <c r="EA87" i="31"/>
  <c r="EB87" i="31"/>
  <c r="EC87" i="31"/>
  <c r="ED87" i="31"/>
  <c r="EE87" i="31"/>
  <c r="EF87" i="31"/>
  <c r="EG87" i="31"/>
  <c r="EH87" i="31"/>
  <c r="EI87" i="31"/>
  <c r="EJ87" i="31"/>
  <c r="EK87" i="31"/>
  <c r="EL87" i="31"/>
  <c r="EM87" i="31"/>
  <c r="EN87" i="31"/>
  <c r="EO87" i="31"/>
  <c r="EP87" i="31"/>
  <c r="EQ87" i="31"/>
  <c r="ER87" i="31"/>
  <c r="ES87" i="31"/>
  <c r="ET87" i="31"/>
  <c r="ET175" i="31" s="1"/>
  <c r="EU87" i="31"/>
  <c r="EU175" i="31" s="1"/>
  <c r="HL87" i="31"/>
  <c r="HM87" i="31"/>
  <c r="HN87" i="31"/>
  <c r="HO87" i="31"/>
  <c r="HP87" i="31"/>
  <c r="HQ87" i="31"/>
  <c r="HR87" i="31"/>
  <c r="HS87" i="31"/>
  <c r="HT87" i="31"/>
  <c r="HU87" i="31"/>
  <c r="HV87" i="31"/>
  <c r="HW87" i="31"/>
  <c r="HX87" i="31"/>
  <c r="HY87" i="31"/>
  <c r="HZ87" i="31"/>
  <c r="IA87" i="31"/>
  <c r="IB87" i="31"/>
  <c r="IC87" i="31"/>
  <c r="ID87" i="31"/>
  <c r="IE87" i="31"/>
  <c r="IF87" i="31"/>
  <c r="IG87" i="31"/>
  <c r="IH87" i="31"/>
  <c r="II87" i="31"/>
  <c r="IJ87" i="31"/>
  <c r="IK87" i="31"/>
  <c r="IL87" i="31"/>
  <c r="IM87" i="31"/>
  <c r="IN87" i="31"/>
  <c r="IO87" i="31"/>
  <c r="IP87" i="31"/>
  <c r="IQ87" i="31"/>
  <c r="IR87" i="31"/>
  <c r="IS87" i="31"/>
  <c r="IT87" i="31"/>
  <c r="IU87" i="31"/>
  <c r="IV87" i="31"/>
  <c r="IW87" i="31"/>
  <c r="IX87" i="31"/>
  <c r="IY87" i="31"/>
  <c r="IZ87" i="31"/>
  <c r="JA87" i="31"/>
  <c r="JB87" i="31"/>
  <c r="JC87" i="31"/>
  <c r="JD87" i="31"/>
  <c r="JE87" i="31"/>
  <c r="JF87" i="31"/>
  <c r="JG87" i="31"/>
  <c r="JH87" i="31"/>
  <c r="D88" i="31"/>
  <c r="E88" i="31"/>
  <c r="F88" i="31"/>
  <c r="G88" i="31"/>
  <c r="H88" i="31"/>
  <c r="I88" i="31"/>
  <c r="J88" i="31"/>
  <c r="K88" i="31"/>
  <c r="L88" i="31"/>
  <c r="M88" i="31"/>
  <c r="N88" i="31"/>
  <c r="O88" i="31"/>
  <c r="P88" i="31"/>
  <c r="Q88" i="31"/>
  <c r="R88" i="31"/>
  <c r="S88" i="31"/>
  <c r="T88" i="31"/>
  <c r="U88" i="31"/>
  <c r="V88" i="31"/>
  <c r="W88" i="31"/>
  <c r="X88" i="31"/>
  <c r="Y88" i="31"/>
  <c r="Z88" i="31"/>
  <c r="AA88" i="31"/>
  <c r="AB88" i="31"/>
  <c r="AD88" i="31"/>
  <c r="AE88" i="31"/>
  <c r="AF88" i="31"/>
  <c r="AG88" i="31"/>
  <c r="AH88" i="31"/>
  <c r="AI88" i="31"/>
  <c r="AJ88" i="31"/>
  <c r="AK88" i="31"/>
  <c r="AL88" i="31"/>
  <c r="AM88" i="31"/>
  <c r="AN88" i="31"/>
  <c r="AO88" i="31"/>
  <c r="AP88" i="31"/>
  <c r="AQ88" i="31"/>
  <c r="AR88" i="31"/>
  <c r="AS88" i="31"/>
  <c r="AT88" i="31"/>
  <c r="AU88" i="31"/>
  <c r="AV88" i="31"/>
  <c r="AW88" i="31"/>
  <c r="AX88" i="31"/>
  <c r="AY88" i="31"/>
  <c r="AZ88" i="31"/>
  <c r="BA88" i="31"/>
  <c r="BB88" i="31"/>
  <c r="BC88" i="31"/>
  <c r="BD88" i="31"/>
  <c r="BE88" i="31"/>
  <c r="BF88" i="31"/>
  <c r="BG88" i="31"/>
  <c r="BH88" i="31"/>
  <c r="BI88" i="31"/>
  <c r="BJ88" i="31"/>
  <c r="BK88" i="31"/>
  <c r="BL88" i="31"/>
  <c r="BM88" i="31"/>
  <c r="BN88" i="31"/>
  <c r="BO88" i="31"/>
  <c r="BP88" i="31"/>
  <c r="BQ88" i="31"/>
  <c r="BR88" i="31"/>
  <c r="BS88" i="31"/>
  <c r="BT88" i="31"/>
  <c r="BU88" i="31"/>
  <c r="BV88" i="31"/>
  <c r="BW88" i="31"/>
  <c r="BX88" i="31"/>
  <c r="BY88" i="31"/>
  <c r="BZ88" i="31"/>
  <c r="CA88" i="31"/>
  <c r="CB88" i="31"/>
  <c r="CC88" i="31"/>
  <c r="CD88" i="31"/>
  <c r="CE88" i="31"/>
  <c r="CF88" i="31"/>
  <c r="CG88" i="31"/>
  <c r="CH88" i="31"/>
  <c r="CI88" i="31"/>
  <c r="CJ88" i="31"/>
  <c r="CK88" i="31"/>
  <c r="CL88" i="31"/>
  <c r="CM88" i="31"/>
  <c r="CN88" i="31"/>
  <c r="CO88" i="31"/>
  <c r="CP88" i="31"/>
  <c r="CQ88" i="31"/>
  <c r="CR88" i="31"/>
  <c r="CS88" i="31"/>
  <c r="CT88" i="31"/>
  <c r="CU88" i="31"/>
  <c r="CV88" i="31"/>
  <c r="CW88" i="31"/>
  <c r="CX88" i="31"/>
  <c r="CY88" i="31"/>
  <c r="CZ88" i="31"/>
  <c r="DA88" i="31"/>
  <c r="DB88" i="31"/>
  <c r="DC88" i="31"/>
  <c r="DD88" i="31"/>
  <c r="DE88" i="31"/>
  <c r="DF88" i="31"/>
  <c r="DG88" i="31"/>
  <c r="DH88" i="31"/>
  <c r="DI88" i="31"/>
  <c r="DJ88" i="31"/>
  <c r="DK88" i="31"/>
  <c r="DL88" i="31"/>
  <c r="DM88" i="31"/>
  <c r="DN88" i="31"/>
  <c r="DO88" i="31"/>
  <c r="DP88" i="31"/>
  <c r="DQ88" i="31"/>
  <c r="DR88" i="31"/>
  <c r="DS88" i="31"/>
  <c r="DT88" i="31"/>
  <c r="DU88" i="31"/>
  <c r="DV88" i="31"/>
  <c r="DW88" i="31"/>
  <c r="DX88" i="31"/>
  <c r="DY88" i="31"/>
  <c r="DZ88" i="31"/>
  <c r="EA88" i="31"/>
  <c r="EB88" i="31"/>
  <c r="EC88" i="31"/>
  <c r="ED88" i="31"/>
  <c r="EE88" i="31"/>
  <c r="EF88" i="31"/>
  <c r="EG88" i="31"/>
  <c r="EH88" i="31"/>
  <c r="EI88" i="31"/>
  <c r="EJ88" i="31"/>
  <c r="EK88" i="31"/>
  <c r="EL88" i="31"/>
  <c r="EM88" i="31"/>
  <c r="EN88" i="31"/>
  <c r="EO88" i="31"/>
  <c r="EP88" i="31"/>
  <c r="EQ88" i="31"/>
  <c r="ER88" i="31"/>
  <c r="ES88" i="31"/>
  <c r="ET88" i="31"/>
  <c r="EU88" i="31"/>
  <c r="EV88" i="31"/>
  <c r="EW88" i="31"/>
  <c r="EX88" i="31"/>
  <c r="EY88" i="31"/>
  <c r="EZ88" i="31"/>
  <c r="FA88" i="31"/>
  <c r="FB88" i="31"/>
  <c r="FC88" i="31"/>
  <c r="FD88" i="31"/>
  <c r="FE88" i="31"/>
  <c r="FF88" i="31"/>
  <c r="FG88" i="31"/>
  <c r="FH88" i="31"/>
  <c r="FI88" i="31"/>
  <c r="FJ88" i="31"/>
  <c r="FK88" i="31"/>
  <c r="FL88" i="31"/>
  <c r="FM88" i="31"/>
  <c r="FN88" i="31"/>
  <c r="FO88" i="31"/>
  <c r="FP88" i="31"/>
  <c r="FQ88" i="31"/>
  <c r="FR88" i="31"/>
  <c r="FS88" i="31"/>
  <c r="FT88" i="31"/>
  <c r="FU88" i="31"/>
  <c r="FV88" i="31"/>
  <c r="FW88" i="31"/>
  <c r="FX88" i="31"/>
  <c r="FY88" i="31"/>
  <c r="FZ88" i="31"/>
  <c r="GA88" i="31"/>
  <c r="GB88" i="31"/>
  <c r="GC88" i="31"/>
  <c r="GD88" i="31"/>
  <c r="GE88" i="31"/>
  <c r="GF88" i="31"/>
  <c r="GG88" i="31"/>
  <c r="GH88" i="31"/>
  <c r="GI88" i="31"/>
  <c r="GJ88" i="31"/>
  <c r="GK88" i="31"/>
  <c r="GL88" i="31"/>
  <c r="GM88" i="31"/>
  <c r="GN88" i="31"/>
  <c r="GO88" i="31"/>
  <c r="GP88" i="31"/>
  <c r="GQ88" i="31"/>
  <c r="GR88" i="31"/>
  <c r="GS88" i="31"/>
  <c r="GT88" i="31"/>
  <c r="GU88" i="31"/>
  <c r="GV88" i="31"/>
  <c r="GW88" i="31"/>
  <c r="GX88" i="31"/>
  <c r="GY88" i="31"/>
  <c r="GZ88" i="31"/>
  <c r="HA88" i="31"/>
  <c r="HB88" i="31"/>
  <c r="HC88" i="31"/>
  <c r="HD88" i="31"/>
  <c r="HE88" i="31"/>
  <c r="HF88" i="31"/>
  <c r="HG88" i="31"/>
  <c r="HH88" i="31"/>
  <c r="HI88" i="31"/>
  <c r="HJ88" i="31"/>
  <c r="HK88" i="31"/>
  <c r="HL88" i="31"/>
  <c r="HM88" i="31"/>
  <c r="HN88" i="31"/>
  <c r="HO88" i="31"/>
  <c r="HP88" i="31"/>
  <c r="HQ88" i="31"/>
  <c r="HR88" i="31"/>
  <c r="HS88" i="31"/>
  <c r="HT88" i="31"/>
  <c r="HU88" i="31"/>
  <c r="HV88" i="31"/>
  <c r="HW88" i="31"/>
  <c r="HX88" i="31"/>
  <c r="HY88" i="31"/>
  <c r="HZ88" i="31"/>
  <c r="IA88" i="31"/>
  <c r="IB88" i="31"/>
  <c r="IC88" i="31"/>
  <c r="ID88" i="31"/>
  <c r="IE88" i="31"/>
  <c r="IF88" i="31"/>
  <c r="IG88" i="31"/>
  <c r="IH88" i="31"/>
  <c r="II88" i="31"/>
  <c r="IJ88" i="31"/>
  <c r="IK88" i="31"/>
  <c r="IL88" i="31"/>
  <c r="IM88" i="31"/>
  <c r="IN88" i="31"/>
  <c r="IO88" i="31"/>
  <c r="IP88" i="31"/>
  <c r="IQ88" i="31"/>
  <c r="IR88" i="31"/>
  <c r="IS88" i="31"/>
  <c r="IT88" i="31"/>
  <c r="IU88" i="31"/>
  <c r="IV88" i="31"/>
  <c r="IW88" i="31"/>
  <c r="IX88" i="31"/>
  <c r="IY88" i="31"/>
  <c r="IZ88" i="31"/>
  <c r="JA88" i="31"/>
  <c r="JB88" i="31"/>
  <c r="JC88" i="31"/>
  <c r="JD88" i="31"/>
  <c r="JE88" i="31"/>
  <c r="JF88" i="31"/>
  <c r="JG88" i="31"/>
  <c r="JH88" i="31"/>
  <c r="JI88" i="31"/>
  <c r="D90" i="31"/>
  <c r="E90" i="31"/>
  <c r="F90" i="31"/>
  <c r="G90" i="31"/>
  <c r="H90" i="31"/>
  <c r="I90" i="31"/>
  <c r="J90" i="31"/>
  <c r="K90" i="31"/>
  <c r="L90" i="31"/>
  <c r="M90" i="31"/>
  <c r="N90" i="31"/>
  <c r="O90" i="31"/>
  <c r="P90" i="31"/>
  <c r="Q90" i="31"/>
  <c r="R90" i="31"/>
  <c r="S90" i="31"/>
  <c r="T90" i="31"/>
  <c r="U90" i="31"/>
  <c r="V90" i="31"/>
  <c r="W90" i="31"/>
  <c r="X90" i="31"/>
  <c r="Y90" i="31"/>
  <c r="Z90" i="31"/>
  <c r="AA90" i="31"/>
  <c r="AB90" i="31"/>
  <c r="AD90" i="31"/>
  <c r="AE90" i="31"/>
  <c r="AF90" i="31"/>
  <c r="AG90" i="31"/>
  <c r="AH90" i="31"/>
  <c r="AI90" i="31"/>
  <c r="AJ90" i="31"/>
  <c r="AK90" i="31"/>
  <c r="AL90" i="31"/>
  <c r="AM90" i="31"/>
  <c r="AN90" i="31"/>
  <c r="AO90" i="31"/>
  <c r="AP90" i="31"/>
  <c r="AQ90" i="31"/>
  <c r="AR90" i="31"/>
  <c r="AS90" i="31"/>
  <c r="AT90" i="31"/>
  <c r="AU90" i="31"/>
  <c r="AV90" i="31"/>
  <c r="AW90" i="31"/>
  <c r="AX90" i="31"/>
  <c r="AY90" i="31"/>
  <c r="AZ90" i="31"/>
  <c r="BA90" i="31"/>
  <c r="BB90" i="31"/>
  <c r="BC90" i="31"/>
  <c r="BD90" i="31"/>
  <c r="BE90" i="31"/>
  <c r="BF90" i="31"/>
  <c r="BG90" i="31"/>
  <c r="BH90" i="31"/>
  <c r="BI90" i="31"/>
  <c r="BJ90" i="31"/>
  <c r="BK90" i="31"/>
  <c r="BL90" i="31"/>
  <c r="BM90" i="31"/>
  <c r="BN90" i="31"/>
  <c r="BO90" i="31"/>
  <c r="BP90" i="31"/>
  <c r="BQ90" i="31"/>
  <c r="BR90" i="31"/>
  <c r="BS90" i="31"/>
  <c r="BT90" i="31"/>
  <c r="BU90" i="31"/>
  <c r="BV90" i="31"/>
  <c r="BW90" i="31"/>
  <c r="BX90" i="31"/>
  <c r="BY90" i="31"/>
  <c r="BZ90" i="31"/>
  <c r="CA90" i="31"/>
  <c r="CB90" i="31"/>
  <c r="CC90" i="31"/>
  <c r="CD90" i="31"/>
  <c r="CE90" i="31"/>
  <c r="CF90" i="31"/>
  <c r="CG90" i="31"/>
  <c r="CH90" i="31"/>
  <c r="CI90" i="31"/>
  <c r="CJ90" i="31"/>
  <c r="CK90" i="31"/>
  <c r="CL90" i="31"/>
  <c r="CM90" i="31"/>
  <c r="CN90" i="31"/>
  <c r="CO90" i="31"/>
  <c r="CP90" i="31"/>
  <c r="CQ90" i="31"/>
  <c r="CR90" i="31"/>
  <c r="CS90" i="31"/>
  <c r="CT90" i="31"/>
  <c r="CU90" i="31"/>
  <c r="CV90" i="31"/>
  <c r="CW90" i="31"/>
  <c r="CX90" i="31"/>
  <c r="CY90" i="31"/>
  <c r="CZ90" i="31"/>
  <c r="DA90" i="31"/>
  <c r="DB90" i="31"/>
  <c r="DC90" i="31"/>
  <c r="DD90" i="31"/>
  <c r="DE90" i="31"/>
  <c r="DF90" i="31"/>
  <c r="DG90" i="31"/>
  <c r="DH90" i="31"/>
  <c r="DI90" i="31"/>
  <c r="DJ90" i="31"/>
  <c r="DK90" i="31"/>
  <c r="DL90" i="31"/>
  <c r="DM90" i="31"/>
  <c r="DN90" i="31"/>
  <c r="DO90" i="31"/>
  <c r="DP90" i="31"/>
  <c r="DQ90" i="31"/>
  <c r="DR90" i="31"/>
  <c r="DS90" i="31"/>
  <c r="DT90" i="31"/>
  <c r="DU90" i="31"/>
  <c r="DV90" i="31"/>
  <c r="DW90" i="31"/>
  <c r="DX90" i="31"/>
  <c r="DY90" i="31"/>
  <c r="DZ90" i="31"/>
  <c r="EA90" i="31"/>
  <c r="EB90" i="31"/>
  <c r="EC90" i="31"/>
  <c r="ED90" i="31"/>
  <c r="EE90" i="31"/>
  <c r="EF90" i="31"/>
  <c r="EG90" i="31"/>
  <c r="EH90" i="31"/>
  <c r="EI90" i="31"/>
  <c r="EJ90" i="31"/>
  <c r="EK90" i="31"/>
  <c r="EL90" i="31"/>
  <c r="EM90" i="31"/>
  <c r="EN90" i="31"/>
  <c r="EO90" i="31"/>
  <c r="EP90" i="31"/>
  <c r="EQ90" i="31"/>
  <c r="ER90" i="31"/>
  <c r="ES90" i="31"/>
  <c r="ET90" i="31"/>
  <c r="EU90" i="31"/>
  <c r="EV90" i="31"/>
  <c r="EW90" i="31"/>
  <c r="EX90" i="31"/>
  <c r="EY90" i="31"/>
  <c r="EZ90" i="31"/>
  <c r="FA90" i="31"/>
  <c r="FB90" i="31"/>
  <c r="FC90" i="31"/>
  <c r="FD90" i="31"/>
  <c r="FE90" i="31"/>
  <c r="FF90" i="31"/>
  <c r="FG90" i="31"/>
  <c r="FH90" i="31"/>
  <c r="FI90" i="31"/>
  <c r="FJ90" i="31"/>
  <c r="FK90" i="31"/>
  <c r="FL90" i="31"/>
  <c r="FM90" i="31"/>
  <c r="FN90" i="31"/>
  <c r="FO90" i="31"/>
  <c r="FP90" i="31"/>
  <c r="FQ90" i="31"/>
  <c r="FR90" i="31"/>
  <c r="FS90" i="31"/>
  <c r="FT90" i="31"/>
  <c r="FU90" i="31"/>
  <c r="FV90" i="31"/>
  <c r="FW90" i="31"/>
  <c r="FX90" i="31"/>
  <c r="FY90" i="31"/>
  <c r="FZ90" i="31"/>
  <c r="GA90" i="31"/>
  <c r="GB90" i="31"/>
  <c r="GC90" i="31"/>
  <c r="GD90" i="31"/>
  <c r="GE90" i="31"/>
  <c r="GF90" i="31"/>
  <c r="GG90" i="31"/>
  <c r="GH90" i="31"/>
  <c r="GI90" i="31"/>
  <c r="GJ90" i="31"/>
  <c r="GK90" i="31"/>
  <c r="GL90" i="31"/>
  <c r="GM90" i="31"/>
  <c r="GN90" i="31"/>
  <c r="GO90" i="31"/>
  <c r="GP90" i="31"/>
  <c r="GQ90" i="31"/>
  <c r="GR90" i="31"/>
  <c r="GS90" i="31"/>
  <c r="GT90" i="31"/>
  <c r="GU90" i="31"/>
  <c r="GV90" i="31"/>
  <c r="GW90" i="31"/>
  <c r="GX90" i="31"/>
  <c r="GY90" i="31"/>
  <c r="GZ90" i="31"/>
  <c r="HA90" i="31"/>
  <c r="HB90" i="31"/>
  <c r="HC90" i="31"/>
  <c r="HD90" i="31"/>
  <c r="HE90" i="31"/>
  <c r="HF90" i="31"/>
  <c r="HG90" i="31"/>
  <c r="HH90" i="31"/>
  <c r="HI90" i="31"/>
  <c r="HJ90" i="31"/>
  <c r="HK90" i="31"/>
  <c r="HL90" i="31"/>
  <c r="HM90" i="31"/>
  <c r="HN90" i="31"/>
  <c r="HO90" i="31"/>
  <c r="HP90" i="31"/>
  <c r="HQ90" i="31"/>
  <c r="HR90" i="31"/>
  <c r="HS90" i="31"/>
  <c r="HT90" i="31"/>
  <c r="HU90" i="31"/>
  <c r="HV90" i="31"/>
  <c r="HW90" i="31"/>
  <c r="HX90" i="31"/>
  <c r="HY90" i="31"/>
  <c r="HZ90" i="31"/>
  <c r="IA90" i="31"/>
  <c r="IB90" i="31"/>
  <c r="IC90" i="31"/>
  <c r="ID90" i="31"/>
  <c r="IE90" i="31"/>
  <c r="IF90" i="31"/>
  <c r="IG90" i="31"/>
  <c r="IH90" i="31"/>
  <c r="II90" i="31"/>
  <c r="IJ90" i="31"/>
  <c r="IK90" i="31"/>
  <c r="IL90" i="31"/>
  <c r="IM90" i="31"/>
  <c r="IN90" i="31"/>
  <c r="IO90" i="31"/>
  <c r="IP90" i="31"/>
  <c r="IQ90" i="31"/>
  <c r="IR90" i="31"/>
  <c r="IS90" i="31"/>
  <c r="IT90" i="31"/>
  <c r="IU90" i="31"/>
  <c r="IV90" i="31"/>
  <c r="IW90" i="31"/>
  <c r="IX90" i="31"/>
  <c r="IY90" i="31"/>
  <c r="IZ90" i="31"/>
  <c r="JA90" i="31"/>
  <c r="JB90" i="31"/>
  <c r="JC90" i="31"/>
  <c r="JD90" i="31"/>
  <c r="JE90" i="31"/>
  <c r="JF90" i="31"/>
  <c r="JG90" i="31"/>
  <c r="JH90" i="31"/>
  <c r="JI90" i="31"/>
  <c r="D91" i="31"/>
  <c r="E91" i="31"/>
  <c r="F91" i="31"/>
  <c r="G91" i="31"/>
  <c r="H91" i="31"/>
  <c r="I91" i="31"/>
  <c r="J91" i="31"/>
  <c r="K91" i="31"/>
  <c r="L91" i="31"/>
  <c r="M91" i="31"/>
  <c r="N91" i="31"/>
  <c r="O91" i="31"/>
  <c r="P91" i="31"/>
  <c r="Q91" i="31"/>
  <c r="R91" i="31"/>
  <c r="S91" i="31"/>
  <c r="T91" i="31"/>
  <c r="U91" i="31"/>
  <c r="V91" i="31"/>
  <c r="W91" i="31"/>
  <c r="X91" i="31"/>
  <c r="Y91" i="31"/>
  <c r="Z91" i="31"/>
  <c r="AA91" i="31"/>
  <c r="AB91" i="31"/>
  <c r="AD91" i="31"/>
  <c r="AE91" i="31"/>
  <c r="AF91" i="31"/>
  <c r="AG91" i="31"/>
  <c r="AH91" i="31"/>
  <c r="AI91" i="31"/>
  <c r="AJ91" i="31"/>
  <c r="AK91" i="31"/>
  <c r="AL91" i="31"/>
  <c r="AM91" i="31"/>
  <c r="AN91" i="31"/>
  <c r="AO91" i="31"/>
  <c r="AP91" i="31"/>
  <c r="AQ91" i="31"/>
  <c r="AR91" i="31"/>
  <c r="AS91" i="31"/>
  <c r="AT91" i="31"/>
  <c r="AU91" i="31"/>
  <c r="AV91" i="31"/>
  <c r="AW91" i="31"/>
  <c r="AX91" i="31"/>
  <c r="AY91" i="31"/>
  <c r="AZ91" i="31"/>
  <c r="BA91" i="31"/>
  <c r="BB91" i="31"/>
  <c r="BC91" i="31"/>
  <c r="BD91" i="31"/>
  <c r="BE91" i="31"/>
  <c r="BF91" i="31"/>
  <c r="BG91" i="31"/>
  <c r="BH91" i="31"/>
  <c r="BI91" i="31"/>
  <c r="BJ91" i="31"/>
  <c r="BK91" i="31"/>
  <c r="BL91" i="31"/>
  <c r="BM91" i="31"/>
  <c r="BN91" i="31"/>
  <c r="BO91" i="31"/>
  <c r="BP91" i="31"/>
  <c r="BQ91" i="31"/>
  <c r="BR91" i="31"/>
  <c r="BS91" i="31"/>
  <c r="BT91" i="31"/>
  <c r="BU91" i="31"/>
  <c r="BV91" i="31"/>
  <c r="BW91" i="31"/>
  <c r="BX91" i="31"/>
  <c r="BY91" i="31"/>
  <c r="BZ91" i="31"/>
  <c r="CA91" i="31"/>
  <c r="CB91" i="31"/>
  <c r="CC91" i="31"/>
  <c r="CD91" i="31"/>
  <c r="CE91" i="31"/>
  <c r="CF91" i="31"/>
  <c r="CG91" i="31"/>
  <c r="CH91" i="31"/>
  <c r="CI91" i="31"/>
  <c r="CJ91" i="31"/>
  <c r="CK91" i="31"/>
  <c r="CL91" i="31"/>
  <c r="CM91" i="31"/>
  <c r="CN91" i="31"/>
  <c r="CO91" i="31"/>
  <c r="CP91" i="31"/>
  <c r="CQ91" i="31"/>
  <c r="CR91" i="31"/>
  <c r="CS91" i="31"/>
  <c r="CT91" i="31"/>
  <c r="CU91" i="31"/>
  <c r="CV91" i="31"/>
  <c r="CW91" i="31"/>
  <c r="CX91" i="31"/>
  <c r="CY91" i="31"/>
  <c r="CZ91" i="31"/>
  <c r="DA91" i="31"/>
  <c r="DB91" i="31"/>
  <c r="DC91" i="31"/>
  <c r="DD91" i="31"/>
  <c r="DE91" i="31"/>
  <c r="DF91" i="31"/>
  <c r="DG91" i="31"/>
  <c r="DH91" i="31"/>
  <c r="DI91" i="31"/>
  <c r="DJ91" i="31"/>
  <c r="DK91" i="31"/>
  <c r="DL91" i="31"/>
  <c r="DM91" i="31"/>
  <c r="DN91" i="31"/>
  <c r="DO91" i="31"/>
  <c r="DP91" i="31"/>
  <c r="DQ91" i="31"/>
  <c r="DR91" i="31"/>
  <c r="DS91" i="31"/>
  <c r="DT91" i="31"/>
  <c r="DU91" i="31"/>
  <c r="DV91" i="31"/>
  <c r="DW91" i="31"/>
  <c r="DX91" i="31"/>
  <c r="DY91" i="31"/>
  <c r="DZ91" i="31"/>
  <c r="EA91" i="31"/>
  <c r="EB91" i="31"/>
  <c r="EC91" i="31"/>
  <c r="ED91" i="31"/>
  <c r="EE91" i="31"/>
  <c r="EF91" i="31"/>
  <c r="EG91" i="31"/>
  <c r="EH91" i="31"/>
  <c r="EI91" i="31"/>
  <c r="EJ91" i="31"/>
  <c r="EK91" i="31"/>
  <c r="EL91" i="31"/>
  <c r="EM91" i="31"/>
  <c r="EN91" i="31"/>
  <c r="EO91" i="31"/>
  <c r="EP91" i="31"/>
  <c r="EQ91" i="31"/>
  <c r="ER91" i="31"/>
  <c r="ES91" i="31"/>
  <c r="ET91" i="31"/>
  <c r="EU91" i="31"/>
  <c r="EV91" i="31"/>
  <c r="EW91" i="31"/>
  <c r="EX91" i="31"/>
  <c r="EY91" i="31"/>
  <c r="EZ91" i="31"/>
  <c r="FA91" i="31"/>
  <c r="FB91" i="31"/>
  <c r="FC91" i="31"/>
  <c r="FD91" i="31"/>
  <c r="FE91" i="31"/>
  <c r="FF91" i="31"/>
  <c r="FG91" i="31"/>
  <c r="FH91" i="31"/>
  <c r="FI91" i="31"/>
  <c r="FJ91" i="31"/>
  <c r="FK91" i="31"/>
  <c r="FL91" i="31"/>
  <c r="FM91" i="31"/>
  <c r="FN91" i="31"/>
  <c r="FO91" i="31"/>
  <c r="FP91" i="31"/>
  <c r="FQ91" i="31"/>
  <c r="FR91" i="31"/>
  <c r="FS91" i="31"/>
  <c r="FT91" i="31"/>
  <c r="FU91" i="31"/>
  <c r="FV91" i="31"/>
  <c r="FW91" i="31"/>
  <c r="FX91" i="31"/>
  <c r="FY91" i="31"/>
  <c r="FZ91" i="31"/>
  <c r="GA91" i="31"/>
  <c r="GB91" i="31"/>
  <c r="GC91" i="31"/>
  <c r="GD91" i="31"/>
  <c r="GE91" i="31"/>
  <c r="GF91" i="31"/>
  <c r="GG91" i="31"/>
  <c r="GH91" i="31"/>
  <c r="GI91" i="31"/>
  <c r="GJ91" i="31"/>
  <c r="GK91" i="31"/>
  <c r="GL91" i="31"/>
  <c r="GM91" i="31"/>
  <c r="GN91" i="31"/>
  <c r="GO91" i="31"/>
  <c r="GP91" i="31"/>
  <c r="GQ91" i="31"/>
  <c r="GR91" i="31"/>
  <c r="GS91" i="31"/>
  <c r="GT91" i="31"/>
  <c r="GU91" i="31"/>
  <c r="GV91" i="31"/>
  <c r="GW91" i="31"/>
  <c r="GX91" i="31"/>
  <c r="GY91" i="31"/>
  <c r="GZ91" i="31"/>
  <c r="HA91" i="31"/>
  <c r="HB91" i="31"/>
  <c r="HC91" i="31"/>
  <c r="HD91" i="31"/>
  <c r="HE91" i="31"/>
  <c r="HF91" i="31"/>
  <c r="HG91" i="31"/>
  <c r="HH91" i="31"/>
  <c r="HI91" i="31"/>
  <c r="HJ91" i="31"/>
  <c r="HK91" i="31"/>
  <c r="HL91" i="31"/>
  <c r="HM91" i="31"/>
  <c r="HN91" i="31"/>
  <c r="HO91" i="31"/>
  <c r="HP91" i="31"/>
  <c r="HQ91" i="31"/>
  <c r="HR91" i="31"/>
  <c r="HS91" i="31"/>
  <c r="HT91" i="31"/>
  <c r="HU91" i="31"/>
  <c r="HV91" i="31"/>
  <c r="HW91" i="31"/>
  <c r="HX91" i="31"/>
  <c r="HY91" i="31"/>
  <c r="HZ91" i="31"/>
  <c r="IA91" i="31"/>
  <c r="IB91" i="31"/>
  <c r="IC91" i="31"/>
  <c r="ID91" i="31"/>
  <c r="IE91" i="31"/>
  <c r="IF91" i="31"/>
  <c r="IG91" i="31"/>
  <c r="IH91" i="31"/>
  <c r="II91" i="31"/>
  <c r="IJ91" i="31"/>
  <c r="IK91" i="31"/>
  <c r="IL91" i="31"/>
  <c r="IM91" i="31"/>
  <c r="IN91" i="31"/>
  <c r="IO91" i="31"/>
  <c r="IP91" i="31"/>
  <c r="IQ91" i="31"/>
  <c r="IR91" i="31"/>
  <c r="IS91" i="31"/>
  <c r="IT91" i="31"/>
  <c r="IU91" i="31"/>
  <c r="IV91" i="31"/>
  <c r="IW91" i="31"/>
  <c r="IX91" i="31"/>
  <c r="IY91" i="31"/>
  <c r="IZ91" i="31"/>
  <c r="JA91" i="31"/>
  <c r="JB91" i="31"/>
  <c r="JC91" i="31"/>
  <c r="JD91" i="31"/>
  <c r="JE91" i="31"/>
  <c r="JF91" i="31"/>
  <c r="JG91" i="31"/>
  <c r="JH91" i="31"/>
  <c r="JI91" i="31"/>
  <c r="JI92" i="31"/>
  <c r="D95" i="31"/>
  <c r="E95" i="31"/>
  <c r="F95" i="31"/>
  <c r="G95" i="31"/>
  <c r="H95" i="31"/>
  <c r="I95" i="31"/>
  <c r="J95" i="31"/>
  <c r="K95" i="31"/>
  <c r="L95" i="31"/>
  <c r="M95" i="31"/>
  <c r="N95" i="31"/>
  <c r="O95" i="31"/>
  <c r="P95" i="31"/>
  <c r="Q95" i="31"/>
  <c r="R95" i="31"/>
  <c r="S95" i="31"/>
  <c r="T95" i="31"/>
  <c r="U95" i="31"/>
  <c r="V95" i="31"/>
  <c r="W95" i="31"/>
  <c r="X95" i="31"/>
  <c r="Y95" i="31"/>
  <c r="Z95" i="31"/>
  <c r="AA95" i="31"/>
  <c r="AB95" i="31"/>
  <c r="AD95" i="31"/>
  <c r="AE95" i="31"/>
  <c r="AF95" i="31"/>
  <c r="AG95" i="31"/>
  <c r="AH95" i="31"/>
  <c r="AI95" i="31"/>
  <c r="AJ95" i="31"/>
  <c r="AK95" i="31"/>
  <c r="AL95" i="31"/>
  <c r="AM95" i="31"/>
  <c r="AN95" i="31"/>
  <c r="AO95" i="31"/>
  <c r="AP95" i="31"/>
  <c r="AQ95" i="31"/>
  <c r="AR95" i="31"/>
  <c r="AS95" i="31"/>
  <c r="AT95" i="31"/>
  <c r="AU95" i="31"/>
  <c r="AV95" i="31"/>
  <c r="AW95" i="31"/>
  <c r="AX95" i="31"/>
  <c r="AY95" i="31"/>
  <c r="AZ95" i="31"/>
  <c r="BA95" i="31"/>
  <c r="BB95" i="31"/>
  <c r="BC95" i="31"/>
  <c r="BD95" i="31"/>
  <c r="BE95" i="31"/>
  <c r="BF95" i="31"/>
  <c r="BG95" i="31"/>
  <c r="BH95" i="31"/>
  <c r="BI95" i="31"/>
  <c r="BJ95" i="31"/>
  <c r="BK95" i="31"/>
  <c r="BL95" i="31"/>
  <c r="BM95" i="31"/>
  <c r="BN95" i="31"/>
  <c r="BO95" i="31"/>
  <c r="BP95" i="31"/>
  <c r="BQ95" i="31"/>
  <c r="BR95" i="31"/>
  <c r="BS95" i="31"/>
  <c r="BT95" i="31"/>
  <c r="BU95" i="31"/>
  <c r="BV95" i="31"/>
  <c r="BW95" i="31"/>
  <c r="BX95" i="31"/>
  <c r="BY95" i="31"/>
  <c r="BZ95" i="31"/>
  <c r="CA95" i="31"/>
  <c r="CB95" i="31"/>
  <c r="CC95" i="31"/>
  <c r="CD95" i="31"/>
  <c r="CE95" i="31"/>
  <c r="CF95" i="31"/>
  <c r="CG95" i="31"/>
  <c r="CH95" i="31"/>
  <c r="CI95" i="31"/>
  <c r="CJ95" i="31"/>
  <c r="CK95" i="31"/>
  <c r="CL95" i="31"/>
  <c r="CM95" i="31"/>
  <c r="CN95" i="31"/>
  <c r="CO95" i="31"/>
  <c r="CP95" i="31"/>
  <c r="CQ95" i="31"/>
  <c r="CR95" i="31"/>
  <c r="CS95" i="31"/>
  <c r="CT95" i="31"/>
  <c r="CU95" i="31"/>
  <c r="CV95" i="31"/>
  <c r="CW95" i="31"/>
  <c r="CX95" i="31"/>
  <c r="CY95" i="31"/>
  <c r="CZ95" i="31"/>
  <c r="DA95" i="31"/>
  <c r="DB95" i="31"/>
  <c r="DC95" i="31"/>
  <c r="DD95" i="31"/>
  <c r="DE95" i="31"/>
  <c r="DF95" i="31"/>
  <c r="DG95" i="31"/>
  <c r="DH95" i="31"/>
  <c r="DI95" i="31"/>
  <c r="DJ95" i="31"/>
  <c r="DK95" i="31"/>
  <c r="DL95" i="31"/>
  <c r="DM95" i="31"/>
  <c r="DN95" i="31"/>
  <c r="DO95" i="31"/>
  <c r="DP95" i="31"/>
  <c r="DQ95" i="31"/>
  <c r="DR95" i="31"/>
  <c r="DS95" i="31"/>
  <c r="DT95" i="31"/>
  <c r="DU95" i="31"/>
  <c r="DV95" i="31"/>
  <c r="DW95" i="31"/>
  <c r="DX95" i="31"/>
  <c r="DY95" i="31"/>
  <c r="DZ95" i="31"/>
  <c r="EA95" i="31"/>
  <c r="EB95" i="31"/>
  <c r="EC95" i="31"/>
  <c r="ED95" i="31"/>
  <c r="EE95" i="31"/>
  <c r="EF95" i="31"/>
  <c r="EG95" i="31"/>
  <c r="EH95" i="31"/>
  <c r="EI95" i="31"/>
  <c r="EJ95" i="31"/>
  <c r="EK95" i="31"/>
  <c r="EL95" i="31"/>
  <c r="EM95" i="31"/>
  <c r="EN95" i="31"/>
  <c r="EO95" i="31"/>
  <c r="EP95" i="31"/>
  <c r="EQ95" i="31"/>
  <c r="ER95" i="31"/>
  <c r="ES95" i="31"/>
  <c r="ET95" i="31"/>
  <c r="EU95" i="31"/>
  <c r="EV95" i="31"/>
  <c r="EW95" i="31"/>
  <c r="EX95" i="31"/>
  <c r="EY95" i="31"/>
  <c r="EZ95" i="31"/>
  <c r="FA95" i="31"/>
  <c r="FB95" i="31"/>
  <c r="FC95" i="31"/>
  <c r="FD95" i="31"/>
  <c r="FE95" i="31"/>
  <c r="FF95" i="31"/>
  <c r="FG95" i="31"/>
  <c r="FH95" i="31"/>
  <c r="FI95" i="31"/>
  <c r="FJ95" i="31"/>
  <c r="FK95" i="31"/>
  <c r="FL95" i="31"/>
  <c r="FM95" i="31"/>
  <c r="FN95" i="31"/>
  <c r="FO95" i="31"/>
  <c r="FP95" i="31"/>
  <c r="FQ95" i="31"/>
  <c r="FR95" i="31"/>
  <c r="FS95" i="31"/>
  <c r="FT95" i="31"/>
  <c r="FU95" i="31"/>
  <c r="FV95" i="31"/>
  <c r="FW95" i="31"/>
  <c r="FX95" i="31"/>
  <c r="FY95" i="31"/>
  <c r="FZ95" i="31"/>
  <c r="GA95" i="31"/>
  <c r="GB95" i="31"/>
  <c r="GC95" i="31"/>
  <c r="GD95" i="31"/>
  <c r="GE95" i="31"/>
  <c r="GF95" i="31"/>
  <c r="GG95" i="31"/>
  <c r="GH95" i="31"/>
  <c r="GI95" i="31"/>
  <c r="GJ95" i="31"/>
  <c r="GK95" i="31"/>
  <c r="GL95" i="31"/>
  <c r="GM95" i="31"/>
  <c r="GN95" i="31"/>
  <c r="GO95" i="31"/>
  <c r="GP95" i="31"/>
  <c r="GQ95" i="31"/>
  <c r="GR95" i="31"/>
  <c r="GS95" i="31"/>
  <c r="GT95" i="31"/>
  <c r="GU95" i="31"/>
  <c r="GV95" i="31"/>
  <c r="GW95" i="31"/>
  <c r="GX95" i="31"/>
  <c r="GY95" i="31"/>
  <c r="GZ95" i="31"/>
  <c r="HA95" i="31"/>
  <c r="HB95" i="31"/>
  <c r="HC95" i="31"/>
  <c r="HD95" i="31"/>
  <c r="HE95" i="31"/>
  <c r="HF95" i="31"/>
  <c r="HG95" i="31"/>
  <c r="HH95" i="31"/>
  <c r="HI95" i="31"/>
  <c r="HJ95" i="31"/>
  <c r="HK95" i="31"/>
  <c r="HL95" i="31"/>
  <c r="HM95" i="31"/>
  <c r="HN95" i="31"/>
  <c r="HO95" i="31"/>
  <c r="HP95" i="31"/>
  <c r="HQ95" i="31"/>
  <c r="HR95" i="31"/>
  <c r="HS95" i="31"/>
  <c r="HT95" i="31"/>
  <c r="HU95" i="31"/>
  <c r="HV95" i="31"/>
  <c r="HW95" i="31"/>
  <c r="HX95" i="31"/>
  <c r="HY95" i="31"/>
  <c r="HZ95" i="31"/>
  <c r="IA95" i="31"/>
  <c r="IB95" i="31"/>
  <c r="IC95" i="31"/>
  <c r="ID95" i="31"/>
  <c r="IE95" i="31"/>
  <c r="IF95" i="31"/>
  <c r="IG95" i="31"/>
  <c r="IH95" i="31"/>
  <c r="II95" i="31"/>
  <c r="IJ95" i="31"/>
  <c r="IK95" i="31"/>
  <c r="IL95" i="31"/>
  <c r="IM95" i="31"/>
  <c r="IN95" i="31"/>
  <c r="IO95" i="31"/>
  <c r="IP95" i="31"/>
  <c r="IQ95" i="31"/>
  <c r="IR95" i="31"/>
  <c r="IS95" i="31"/>
  <c r="IT95" i="31"/>
  <c r="IU95" i="31"/>
  <c r="IV95" i="31"/>
  <c r="IW95" i="31"/>
  <c r="IX95" i="31"/>
  <c r="IY95" i="31"/>
  <c r="IZ95" i="31"/>
  <c r="JA95" i="31"/>
  <c r="JB95" i="31"/>
  <c r="JC95" i="31"/>
  <c r="JD95" i="31"/>
  <c r="JE95" i="31"/>
  <c r="JF95" i="31"/>
  <c r="JG95" i="31"/>
  <c r="JH95" i="31"/>
  <c r="JI95" i="31"/>
  <c r="D96" i="31"/>
  <c r="E96" i="31"/>
  <c r="F96" i="31"/>
  <c r="G96" i="31"/>
  <c r="H96" i="31"/>
  <c r="I96" i="31"/>
  <c r="J96" i="31"/>
  <c r="K96" i="31"/>
  <c r="L96" i="31"/>
  <c r="M96" i="31"/>
  <c r="N96" i="31"/>
  <c r="O96" i="31"/>
  <c r="P96" i="31"/>
  <c r="Q96" i="31"/>
  <c r="R96" i="31"/>
  <c r="S96" i="31"/>
  <c r="T96" i="31"/>
  <c r="U96" i="31"/>
  <c r="V96" i="31"/>
  <c r="W96" i="31"/>
  <c r="X96" i="31"/>
  <c r="Y96" i="31"/>
  <c r="Z96" i="31"/>
  <c r="AA96" i="31"/>
  <c r="AB96" i="31"/>
  <c r="AD96" i="31"/>
  <c r="AE96" i="31"/>
  <c r="AF96" i="31"/>
  <c r="AG96" i="31"/>
  <c r="AH96" i="31"/>
  <c r="AI96" i="31"/>
  <c r="AJ96" i="31"/>
  <c r="AK96" i="31"/>
  <c r="AL96" i="31"/>
  <c r="AM96" i="31"/>
  <c r="AN96" i="31"/>
  <c r="AO96" i="31"/>
  <c r="AP96" i="31"/>
  <c r="AQ96" i="31"/>
  <c r="AR96" i="31"/>
  <c r="AS96" i="31"/>
  <c r="AT96" i="31"/>
  <c r="AU96" i="31"/>
  <c r="AV96" i="31"/>
  <c r="AW96" i="31"/>
  <c r="AX96" i="31"/>
  <c r="AY96" i="31"/>
  <c r="AZ96" i="31"/>
  <c r="BA96" i="31"/>
  <c r="BB96" i="31"/>
  <c r="BC96" i="31"/>
  <c r="BD96" i="31"/>
  <c r="BE96" i="31"/>
  <c r="BF96" i="31"/>
  <c r="BG96" i="31"/>
  <c r="BH96" i="31"/>
  <c r="BI96" i="31"/>
  <c r="BJ96" i="31"/>
  <c r="BK96" i="31"/>
  <c r="BL96" i="31"/>
  <c r="BM96" i="31"/>
  <c r="BN96" i="31"/>
  <c r="BO96" i="31"/>
  <c r="BP96" i="31"/>
  <c r="BQ96" i="31"/>
  <c r="BR96" i="31"/>
  <c r="BS96" i="31"/>
  <c r="BT96" i="31"/>
  <c r="BU96" i="31"/>
  <c r="BV96" i="31"/>
  <c r="BW96" i="31"/>
  <c r="BX96" i="31"/>
  <c r="BY96" i="31"/>
  <c r="BZ96" i="31"/>
  <c r="CA96" i="31"/>
  <c r="CB96" i="31"/>
  <c r="CC96" i="31"/>
  <c r="CD96" i="31"/>
  <c r="CE96" i="31"/>
  <c r="CF96" i="31"/>
  <c r="CG96" i="31"/>
  <c r="CH96" i="31"/>
  <c r="CI96" i="31"/>
  <c r="CJ96" i="31"/>
  <c r="CK96" i="31"/>
  <c r="CL96" i="31"/>
  <c r="CM96" i="31"/>
  <c r="CN96" i="31"/>
  <c r="CO96" i="31"/>
  <c r="CP96" i="31"/>
  <c r="CQ96" i="31"/>
  <c r="CR96" i="31"/>
  <c r="CS96" i="31"/>
  <c r="CT96" i="31"/>
  <c r="CU96" i="31"/>
  <c r="CV96" i="31"/>
  <c r="CW96" i="31"/>
  <c r="CX96" i="31"/>
  <c r="CY96" i="31"/>
  <c r="CZ96" i="31"/>
  <c r="DA96" i="31"/>
  <c r="DB96" i="31"/>
  <c r="DC96" i="31"/>
  <c r="DD96" i="31"/>
  <c r="DE96" i="31"/>
  <c r="DF96" i="31"/>
  <c r="DG96" i="31"/>
  <c r="DH96" i="31"/>
  <c r="DI96" i="31"/>
  <c r="DJ96" i="31"/>
  <c r="DK96" i="31"/>
  <c r="DL96" i="31"/>
  <c r="DM96" i="31"/>
  <c r="DN96" i="31"/>
  <c r="DO96" i="31"/>
  <c r="DP96" i="31"/>
  <c r="DQ96" i="31"/>
  <c r="DR96" i="31"/>
  <c r="DS96" i="31"/>
  <c r="DT96" i="31"/>
  <c r="DU96" i="31"/>
  <c r="DV96" i="31"/>
  <c r="DW96" i="31"/>
  <c r="DX96" i="31"/>
  <c r="DY96" i="31"/>
  <c r="DZ96" i="31"/>
  <c r="EA96" i="31"/>
  <c r="EB96" i="31"/>
  <c r="EC96" i="31"/>
  <c r="ED96" i="31"/>
  <c r="EE96" i="31"/>
  <c r="EF96" i="31"/>
  <c r="EG96" i="31"/>
  <c r="EH96" i="31"/>
  <c r="EI96" i="31"/>
  <c r="EJ96" i="31"/>
  <c r="EK96" i="31"/>
  <c r="EL96" i="31"/>
  <c r="EM96" i="31"/>
  <c r="EN96" i="31"/>
  <c r="EO96" i="31"/>
  <c r="EP96" i="31"/>
  <c r="EQ96" i="31"/>
  <c r="ER96" i="31"/>
  <c r="ES96" i="31"/>
  <c r="JI99" i="31"/>
  <c r="JI100" i="31"/>
  <c r="D101" i="31"/>
  <c r="E101" i="31"/>
  <c r="F101" i="31"/>
  <c r="G101" i="31"/>
  <c r="H101" i="31"/>
  <c r="I101" i="31"/>
  <c r="J101" i="31"/>
  <c r="K101" i="31"/>
  <c r="L101" i="31"/>
  <c r="M101" i="31"/>
  <c r="N101" i="31"/>
  <c r="O101" i="31"/>
  <c r="P101" i="31"/>
  <c r="Q101" i="31"/>
  <c r="R101" i="31"/>
  <c r="S101" i="31"/>
  <c r="T101" i="31"/>
  <c r="U101" i="31"/>
  <c r="V101" i="31"/>
  <c r="W101" i="31"/>
  <c r="X101" i="31"/>
  <c r="Y101" i="31"/>
  <c r="Z101" i="31"/>
  <c r="AA101" i="31"/>
  <c r="AB101" i="31"/>
  <c r="AD101" i="31"/>
  <c r="AE101" i="31"/>
  <c r="AF101" i="31"/>
  <c r="AG101" i="31"/>
  <c r="AH101" i="31"/>
  <c r="AI101" i="31"/>
  <c r="AJ101" i="31"/>
  <c r="AK101" i="31"/>
  <c r="AL101" i="31"/>
  <c r="AM101" i="31"/>
  <c r="AN101" i="31"/>
  <c r="AO101" i="31"/>
  <c r="AP101" i="31"/>
  <c r="AQ101" i="31"/>
  <c r="AR101" i="31"/>
  <c r="AS101" i="31"/>
  <c r="AT101" i="31"/>
  <c r="AU101" i="31"/>
  <c r="AV101" i="31"/>
  <c r="AW101" i="31"/>
  <c r="AX101" i="31"/>
  <c r="AY101" i="31"/>
  <c r="AZ101" i="31"/>
  <c r="BA101" i="31"/>
  <c r="BB101" i="31"/>
  <c r="BC101" i="31"/>
  <c r="BD101" i="31"/>
  <c r="BE101" i="31"/>
  <c r="BF101" i="31"/>
  <c r="BG101" i="31"/>
  <c r="BH101" i="31"/>
  <c r="BI101" i="31"/>
  <c r="BJ101" i="31"/>
  <c r="BK101" i="31"/>
  <c r="BL101" i="31"/>
  <c r="BM101" i="31"/>
  <c r="BN101" i="31"/>
  <c r="BO101" i="31"/>
  <c r="BP101" i="31"/>
  <c r="BQ101" i="31"/>
  <c r="BR101" i="31"/>
  <c r="BS101" i="31"/>
  <c r="BT101" i="31"/>
  <c r="BU101" i="31"/>
  <c r="BV101" i="31"/>
  <c r="BW101" i="31"/>
  <c r="BX101" i="31"/>
  <c r="BY101" i="31"/>
  <c r="BZ101" i="31"/>
  <c r="CA101" i="31"/>
  <c r="CB101" i="31"/>
  <c r="CC101" i="31"/>
  <c r="CD101" i="31"/>
  <c r="CE101" i="31"/>
  <c r="CF101" i="31"/>
  <c r="CG101" i="31"/>
  <c r="CH101" i="31"/>
  <c r="CI101" i="31"/>
  <c r="CJ101" i="31"/>
  <c r="CK101" i="31"/>
  <c r="CL101" i="31"/>
  <c r="CM101" i="31"/>
  <c r="CN101" i="31"/>
  <c r="CO101" i="31"/>
  <c r="CP101" i="31"/>
  <c r="CQ101" i="31"/>
  <c r="CR101" i="31"/>
  <c r="CS101" i="31"/>
  <c r="CT101" i="31"/>
  <c r="CU101" i="31"/>
  <c r="CV101" i="31"/>
  <c r="CW101" i="31"/>
  <c r="CX101" i="31"/>
  <c r="CY101" i="31"/>
  <c r="CZ101" i="31"/>
  <c r="DA101" i="31"/>
  <c r="DB101" i="31"/>
  <c r="DC101" i="31"/>
  <c r="DD101" i="31"/>
  <c r="DE101" i="31"/>
  <c r="DF101" i="31"/>
  <c r="DG101" i="31"/>
  <c r="DH101" i="31"/>
  <c r="DI101" i="31"/>
  <c r="DJ101" i="31"/>
  <c r="DK101" i="31"/>
  <c r="DL101" i="31"/>
  <c r="DM101" i="31"/>
  <c r="DN101" i="31"/>
  <c r="DO101" i="31"/>
  <c r="DP101" i="31"/>
  <c r="DQ101" i="31"/>
  <c r="DR101" i="31"/>
  <c r="DS101" i="31"/>
  <c r="DT101" i="31"/>
  <c r="DU101" i="31"/>
  <c r="DV101" i="31"/>
  <c r="DW101" i="31"/>
  <c r="DX101" i="31"/>
  <c r="DY101" i="31"/>
  <c r="DZ101" i="31"/>
  <c r="EA101" i="31"/>
  <c r="EB101" i="31"/>
  <c r="EC101" i="31"/>
  <c r="ED101" i="31"/>
  <c r="EE101" i="31"/>
  <c r="EF101" i="31"/>
  <c r="EG101" i="31"/>
  <c r="EH101" i="31"/>
  <c r="EI101" i="31"/>
  <c r="EJ101" i="31"/>
  <c r="EK101" i="31"/>
  <c r="EL101" i="31"/>
  <c r="EM101" i="31"/>
  <c r="EN101" i="31"/>
  <c r="EO101" i="31"/>
  <c r="EP101" i="31"/>
  <c r="EQ101" i="31"/>
  <c r="ER101" i="31"/>
  <c r="ES101" i="31"/>
  <c r="ET101" i="31"/>
  <c r="EU101" i="31"/>
  <c r="EV101" i="31"/>
  <c r="EW101" i="31"/>
  <c r="EX101" i="31"/>
  <c r="EY101" i="31"/>
  <c r="EZ101" i="31"/>
  <c r="FA101" i="31"/>
  <c r="FB101" i="31"/>
  <c r="FC101" i="31"/>
  <c r="FD101" i="31"/>
  <c r="FE101" i="31"/>
  <c r="FF101" i="31"/>
  <c r="FG101" i="31"/>
  <c r="FH101" i="31"/>
  <c r="FI101" i="31"/>
  <c r="FJ101" i="31"/>
  <c r="FK101" i="31"/>
  <c r="FL101" i="31"/>
  <c r="FM101" i="31"/>
  <c r="FN101" i="31"/>
  <c r="FO101" i="31"/>
  <c r="FP101" i="31"/>
  <c r="FQ101" i="31"/>
  <c r="FR101" i="31"/>
  <c r="FS101" i="31"/>
  <c r="FT101" i="31"/>
  <c r="FU101" i="31"/>
  <c r="FV101" i="31"/>
  <c r="FW101" i="31"/>
  <c r="FX101" i="31"/>
  <c r="FY101" i="31"/>
  <c r="FZ101" i="31"/>
  <c r="GA101" i="31"/>
  <c r="GB101" i="31"/>
  <c r="GC101" i="31"/>
  <c r="GD101" i="31"/>
  <c r="GE101" i="31"/>
  <c r="GF101" i="31"/>
  <c r="GG101" i="31"/>
  <c r="GH101" i="31"/>
  <c r="GI101" i="31"/>
  <c r="GJ101" i="31"/>
  <c r="GK101" i="31"/>
  <c r="GL101" i="31"/>
  <c r="GM101" i="31"/>
  <c r="GN101" i="31"/>
  <c r="GO101" i="31"/>
  <c r="GP101" i="31"/>
  <c r="GQ101" i="31"/>
  <c r="GR101" i="31"/>
  <c r="GS101" i="31"/>
  <c r="GT101" i="31"/>
  <c r="GU101" i="31"/>
  <c r="GV101" i="31"/>
  <c r="GW101" i="31"/>
  <c r="GX101" i="31"/>
  <c r="GY101" i="31"/>
  <c r="GZ101" i="31"/>
  <c r="HA101" i="31"/>
  <c r="HB101" i="31"/>
  <c r="HC101" i="31"/>
  <c r="HD101" i="31"/>
  <c r="HE101" i="31"/>
  <c r="HF101" i="31"/>
  <c r="HG101" i="31"/>
  <c r="HH101" i="31"/>
  <c r="HI101" i="31"/>
  <c r="HJ101" i="31"/>
  <c r="HK101" i="31"/>
  <c r="HL101" i="31"/>
  <c r="HM101" i="31"/>
  <c r="HN101" i="31"/>
  <c r="HO101" i="31"/>
  <c r="HP101" i="31"/>
  <c r="HQ101" i="31"/>
  <c r="HR101" i="31"/>
  <c r="HS101" i="31"/>
  <c r="HT101" i="31"/>
  <c r="HU101" i="31"/>
  <c r="HV101" i="31"/>
  <c r="HW101" i="31"/>
  <c r="HX101" i="31"/>
  <c r="HY101" i="31"/>
  <c r="HZ101" i="31"/>
  <c r="IA101" i="31"/>
  <c r="IB101" i="31"/>
  <c r="IC101" i="31"/>
  <c r="ID101" i="31"/>
  <c r="IE101" i="31"/>
  <c r="IF101" i="31"/>
  <c r="IG101" i="31"/>
  <c r="IH101" i="31"/>
  <c r="II101" i="31"/>
  <c r="IJ101" i="31"/>
  <c r="IK101" i="31"/>
  <c r="IL101" i="31"/>
  <c r="IM101" i="31"/>
  <c r="IN101" i="31"/>
  <c r="IO101" i="31"/>
  <c r="IP101" i="31"/>
  <c r="IQ101" i="31"/>
  <c r="IR101" i="31"/>
  <c r="IS101" i="31"/>
  <c r="IT101" i="31"/>
  <c r="IU101" i="31"/>
  <c r="IV101" i="31"/>
  <c r="IW101" i="31"/>
  <c r="IX101" i="31"/>
  <c r="IY101" i="31"/>
  <c r="IZ101" i="31"/>
  <c r="JA101" i="31"/>
  <c r="JB101" i="31"/>
  <c r="JC101" i="31"/>
  <c r="JD101" i="31"/>
  <c r="JE101" i="31"/>
  <c r="JF101" i="31"/>
  <c r="JG101" i="31"/>
  <c r="JH101" i="31"/>
  <c r="JI101" i="31"/>
  <c r="JI102" i="31"/>
  <c r="JI103" i="31"/>
  <c r="JI104" i="31"/>
  <c r="JI105" i="31"/>
  <c r="JI106" i="31"/>
  <c r="FR110" i="31"/>
  <c r="JI110" i="31"/>
  <c r="D112" i="31"/>
  <c r="E112" i="31"/>
  <c r="F112" i="31"/>
  <c r="G112" i="31"/>
  <c r="H112" i="31"/>
  <c r="I112" i="31"/>
  <c r="J112" i="31"/>
  <c r="K112" i="31"/>
  <c r="L112" i="31"/>
  <c r="M112" i="31"/>
  <c r="N112" i="31"/>
  <c r="O112" i="31"/>
  <c r="P112" i="31"/>
  <c r="Q112" i="31"/>
  <c r="R112" i="31"/>
  <c r="S112" i="31"/>
  <c r="T112" i="31"/>
  <c r="U112" i="31"/>
  <c r="V112" i="31"/>
  <c r="W112" i="31"/>
  <c r="X112" i="31"/>
  <c r="Y112" i="31"/>
  <c r="Z112" i="31"/>
  <c r="AA112" i="31"/>
  <c r="AB112" i="31"/>
  <c r="AD112" i="31"/>
  <c r="AE112" i="31"/>
  <c r="AF112" i="31"/>
  <c r="AG112" i="31"/>
  <c r="AH112" i="31"/>
  <c r="AI112" i="31"/>
  <c r="AJ112" i="31"/>
  <c r="AK112" i="31"/>
  <c r="AL112" i="31"/>
  <c r="AM112" i="31"/>
  <c r="AN112" i="31"/>
  <c r="AO112" i="31"/>
  <c r="AP112" i="31"/>
  <c r="AQ112" i="31"/>
  <c r="AR112" i="31"/>
  <c r="AS112" i="31"/>
  <c r="AT112" i="31"/>
  <c r="AU112" i="31"/>
  <c r="AV112" i="31"/>
  <c r="AW112" i="31"/>
  <c r="AX112" i="31"/>
  <c r="AY112" i="31"/>
  <c r="AZ112" i="31"/>
  <c r="BA112" i="31"/>
  <c r="BB112" i="31"/>
  <c r="BC112" i="31"/>
  <c r="BD112" i="31"/>
  <c r="BE112" i="31"/>
  <c r="BF112" i="31"/>
  <c r="BG112" i="31"/>
  <c r="BH112" i="31"/>
  <c r="BI112" i="31"/>
  <c r="BJ112" i="31"/>
  <c r="BK112" i="31"/>
  <c r="BL112" i="31"/>
  <c r="BM112" i="31"/>
  <c r="BN112" i="31"/>
  <c r="BO112" i="31"/>
  <c r="BP112" i="31"/>
  <c r="BQ112" i="31"/>
  <c r="BR112" i="31"/>
  <c r="BS112" i="31"/>
  <c r="BT112" i="31"/>
  <c r="BU112" i="31"/>
  <c r="BV112" i="31"/>
  <c r="BW112" i="31"/>
  <c r="BX112" i="31"/>
  <c r="BY112" i="31"/>
  <c r="BZ112" i="31"/>
  <c r="CA112" i="31"/>
  <c r="CB112" i="31"/>
  <c r="CC112" i="31"/>
  <c r="CD112" i="31"/>
  <c r="CE112" i="31"/>
  <c r="CF112" i="31"/>
  <c r="CG112" i="31"/>
  <c r="CH112" i="31"/>
  <c r="CI112" i="31"/>
  <c r="CJ112" i="31"/>
  <c r="CK112" i="31"/>
  <c r="CL112" i="31"/>
  <c r="CM112" i="31"/>
  <c r="CN112" i="31"/>
  <c r="CO112" i="31"/>
  <c r="CP112" i="31"/>
  <c r="CQ112" i="31"/>
  <c r="CR112" i="31"/>
  <c r="CS112" i="31"/>
  <c r="CT112" i="31"/>
  <c r="CU112" i="31"/>
  <c r="CV112" i="31"/>
  <c r="CW112" i="31"/>
  <c r="CX112" i="31"/>
  <c r="CY112" i="31"/>
  <c r="CZ112" i="31"/>
  <c r="DA112" i="31"/>
  <c r="DB112" i="31"/>
  <c r="DC112" i="31"/>
  <c r="DD112" i="31"/>
  <c r="DE112" i="31"/>
  <c r="DF112" i="31"/>
  <c r="DG112" i="31"/>
  <c r="DH112" i="31"/>
  <c r="DI112" i="31"/>
  <c r="DJ112" i="31"/>
  <c r="DK112" i="31"/>
  <c r="DL112" i="31"/>
  <c r="DM112" i="31"/>
  <c r="DN112" i="31"/>
  <c r="DO112" i="31"/>
  <c r="DP112" i="31"/>
  <c r="DQ112" i="31"/>
  <c r="DR112" i="31"/>
  <c r="DS112" i="31"/>
  <c r="DT112" i="31"/>
  <c r="DU112" i="31"/>
  <c r="DV112" i="31"/>
  <c r="DW112" i="31"/>
  <c r="DX112" i="31"/>
  <c r="DY112" i="31"/>
  <c r="DZ112" i="31"/>
  <c r="EA112" i="31"/>
  <c r="EB112" i="31"/>
  <c r="EC112" i="31"/>
  <c r="ED112" i="31"/>
  <c r="EE112" i="31"/>
  <c r="EF112" i="31"/>
  <c r="EG112" i="31"/>
  <c r="EH112" i="31"/>
  <c r="EI112" i="31"/>
  <c r="EJ112" i="31"/>
  <c r="EK112" i="31"/>
  <c r="EL112" i="31"/>
  <c r="EM112" i="31"/>
  <c r="EN112" i="31"/>
  <c r="EO112" i="31"/>
  <c r="EP112" i="31"/>
  <c r="EQ112" i="31"/>
  <c r="ER112" i="31"/>
  <c r="ES112" i="31"/>
  <c r="ET112" i="31"/>
  <c r="EU112" i="31"/>
  <c r="EV112" i="31"/>
  <c r="EW112" i="31"/>
  <c r="EX112" i="31"/>
  <c r="EY112" i="31"/>
  <c r="EZ112" i="31"/>
  <c r="FA112" i="31"/>
  <c r="FB112" i="31"/>
  <c r="FC112" i="31"/>
  <c r="FD112" i="31"/>
  <c r="FE112" i="31"/>
  <c r="FF112" i="31"/>
  <c r="FG112" i="31"/>
  <c r="FH112" i="31"/>
  <c r="FI112" i="31"/>
  <c r="FJ112" i="31"/>
  <c r="FK112" i="31"/>
  <c r="FL112" i="31"/>
  <c r="FM112" i="31"/>
  <c r="FN112" i="31"/>
  <c r="FO112" i="31"/>
  <c r="FP112" i="31"/>
  <c r="FQ112" i="31"/>
  <c r="FR112" i="31"/>
  <c r="FS112" i="31"/>
  <c r="FT112" i="31"/>
  <c r="FU112" i="31"/>
  <c r="FV112" i="31"/>
  <c r="FW112" i="31"/>
  <c r="FX112" i="31"/>
  <c r="FY112" i="31"/>
  <c r="FZ112" i="31"/>
  <c r="GA112" i="31"/>
  <c r="GB112" i="31"/>
  <c r="GC112" i="31"/>
  <c r="GD112" i="31"/>
  <c r="GE112" i="31"/>
  <c r="GF112" i="31"/>
  <c r="GG112" i="31"/>
  <c r="GH112" i="31"/>
  <c r="GI112" i="31"/>
  <c r="GJ112" i="31"/>
  <c r="GK112" i="31"/>
  <c r="GL112" i="31"/>
  <c r="GM112" i="31"/>
  <c r="GN112" i="31"/>
  <c r="GO112" i="31"/>
  <c r="GP112" i="31"/>
  <c r="GQ112" i="31"/>
  <c r="GR112" i="31"/>
  <c r="GS112" i="31"/>
  <c r="GT112" i="31"/>
  <c r="GU112" i="31"/>
  <c r="GV112" i="31"/>
  <c r="GW112" i="31"/>
  <c r="GX112" i="31"/>
  <c r="GY112" i="31"/>
  <c r="GZ112" i="31"/>
  <c r="HA112" i="31"/>
  <c r="HB112" i="31"/>
  <c r="HC112" i="31"/>
  <c r="HD112" i="31"/>
  <c r="HE112" i="31"/>
  <c r="HF112" i="31"/>
  <c r="HG112" i="31"/>
  <c r="HH112" i="31"/>
  <c r="HI112" i="31"/>
  <c r="HJ112" i="31"/>
  <c r="HK112" i="31"/>
  <c r="HL112" i="31"/>
  <c r="HM112" i="31"/>
  <c r="HN112" i="31"/>
  <c r="HO112" i="31"/>
  <c r="HP112" i="31"/>
  <c r="HQ112" i="31"/>
  <c r="HR112" i="31"/>
  <c r="HS112" i="31"/>
  <c r="HT112" i="31"/>
  <c r="HU112" i="31"/>
  <c r="HV112" i="31"/>
  <c r="HW112" i="31"/>
  <c r="HX112" i="31"/>
  <c r="HY112" i="31"/>
  <c r="HZ112" i="31"/>
  <c r="IA112" i="31"/>
  <c r="IB112" i="31"/>
  <c r="IC112" i="31"/>
  <c r="ID112" i="31"/>
  <c r="IE112" i="31"/>
  <c r="IF112" i="31"/>
  <c r="IG112" i="31"/>
  <c r="IH112" i="31"/>
  <c r="II112" i="31"/>
  <c r="IJ112" i="31"/>
  <c r="IK112" i="31"/>
  <c r="IL112" i="31"/>
  <c r="IM112" i="31"/>
  <c r="IN112" i="31"/>
  <c r="IO112" i="31"/>
  <c r="IP112" i="31"/>
  <c r="IQ112" i="31"/>
  <c r="IR112" i="31"/>
  <c r="IS112" i="31"/>
  <c r="IT112" i="31"/>
  <c r="IU112" i="31"/>
  <c r="IV112" i="31"/>
  <c r="IW112" i="31"/>
  <c r="IX112" i="31"/>
  <c r="IY112" i="31"/>
  <c r="IZ112" i="31"/>
  <c r="JA112" i="31"/>
  <c r="JB112" i="31"/>
  <c r="JC112" i="31"/>
  <c r="JD112" i="31"/>
  <c r="JE112" i="31"/>
  <c r="JF112" i="31"/>
  <c r="JG112" i="31"/>
  <c r="JH112" i="31"/>
  <c r="JI112" i="31"/>
  <c r="D113" i="31"/>
  <c r="E113" i="31"/>
  <c r="F113" i="31"/>
  <c r="G113" i="31"/>
  <c r="H113" i="31"/>
  <c r="I113" i="31"/>
  <c r="J113" i="31"/>
  <c r="K113" i="31"/>
  <c r="L113" i="31"/>
  <c r="M113" i="31"/>
  <c r="N113" i="31"/>
  <c r="O113" i="31"/>
  <c r="P113" i="31"/>
  <c r="Q113" i="31"/>
  <c r="R113" i="31"/>
  <c r="S113" i="31"/>
  <c r="T113" i="31"/>
  <c r="U113" i="31"/>
  <c r="V113" i="31"/>
  <c r="W113" i="31"/>
  <c r="X113" i="31"/>
  <c r="Y113" i="31"/>
  <c r="Z113" i="31"/>
  <c r="AA113" i="31"/>
  <c r="AB113" i="31"/>
  <c r="AD113" i="31"/>
  <c r="AE113" i="31"/>
  <c r="AF113" i="31"/>
  <c r="AG113" i="31"/>
  <c r="AH113" i="31"/>
  <c r="AI113" i="31"/>
  <c r="AJ113" i="31"/>
  <c r="AK113" i="31"/>
  <c r="AL113" i="31"/>
  <c r="AM113" i="31"/>
  <c r="AN113" i="31"/>
  <c r="AO113" i="31"/>
  <c r="AP113" i="31"/>
  <c r="AQ113" i="31"/>
  <c r="AR113" i="31"/>
  <c r="AS113" i="31"/>
  <c r="AT113" i="31"/>
  <c r="AU113" i="31"/>
  <c r="AV113" i="31"/>
  <c r="AW113" i="31"/>
  <c r="AX113" i="31"/>
  <c r="AY113" i="31"/>
  <c r="AZ113" i="31"/>
  <c r="BA113" i="31"/>
  <c r="BB113" i="31"/>
  <c r="BC113" i="31"/>
  <c r="BD113" i="31"/>
  <c r="BE113" i="31"/>
  <c r="BF113" i="31"/>
  <c r="BG113" i="31"/>
  <c r="BH113" i="31"/>
  <c r="BI113" i="31"/>
  <c r="BJ113" i="31"/>
  <c r="BK113" i="31"/>
  <c r="BL113" i="31"/>
  <c r="BM113" i="31"/>
  <c r="BN113" i="31"/>
  <c r="BO113" i="31"/>
  <c r="BP113" i="31"/>
  <c r="BQ113" i="31"/>
  <c r="BR113" i="31"/>
  <c r="BS113" i="31"/>
  <c r="BT113" i="31"/>
  <c r="BU113" i="31"/>
  <c r="BV113" i="31"/>
  <c r="BW113" i="31"/>
  <c r="BX113" i="31"/>
  <c r="BY113" i="31"/>
  <c r="BZ113" i="31"/>
  <c r="CA113" i="31"/>
  <c r="CB113" i="31"/>
  <c r="CC113" i="31"/>
  <c r="CD113" i="31"/>
  <c r="CE113" i="31"/>
  <c r="CF113" i="31"/>
  <c r="CG113" i="31"/>
  <c r="CH113" i="31"/>
  <c r="CI113" i="31"/>
  <c r="CJ113" i="31"/>
  <c r="CK113" i="31"/>
  <c r="CL113" i="31"/>
  <c r="CM113" i="31"/>
  <c r="CN113" i="31"/>
  <c r="CO113" i="31"/>
  <c r="CP113" i="31"/>
  <c r="CQ113" i="31"/>
  <c r="CR113" i="31"/>
  <c r="CS113" i="31"/>
  <c r="CT113" i="31"/>
  <c r="CU113" i="31"/>
  <c r="CV113" i="31"/>
  <c r="CW113" i="31"/>
  <c r="CX113" i="31"/>
  <c r="CY113" i="31"/>
  <c r="CZ113" i="31"/>
  <c r="DA113" i="31"/>
  <c r="DB113" i="31"/>
  <c r="DC113" i="31"/>
  <c r="DD113" i="31"/>
  <c r="DE113" i="31"/>
  <c r="DF113" i="31"/>
  <c r="DG113" i="31"/>
  <c r="DH113" i="31"/>
  <c r="DI113" i="31"/>
  <c r="DJ113" i="31"/>
  <c r="DK113" i="31"/>
  <c r="DL113" i="31"/>
  <c r="DM113" i="31"/>
  <c r="DN113" i="31"/>
  <c r="DO113" i="31"/>
  <c r="DP113" i="31"/>
  <c r="DQ113" i="31"/>
  <c r="DR113" i="31"/>
  <c r="DS113" i="31"/>
  <c r="DT113" i="31"/>
  <c r="DU113" i="31"/>
  <c r="DV113" i="31"/>
  <c r="DW113" i="31"/>
  <c r="DX113" i="31"/>
  <c r="DY113" i="31"/>
  <c r="DZ113" i="31"/>
  <c r="EA113" i="31"/>
  <c r="EB113" i="31"/>
  <c r="EC113" i="31"/>
  <c r="ED113" i="31"/>
  <c r="EE113" i="31"/>
  <c r="EF113" i="31"/>
  <c r="EG113" i="31"/>
  <c r="EH113" i="31"/>
  <c r="EI113" i="31"/>
  <c r="EJ113" i="31"/>
  <c r="EK113" i="31"/>
  <c r="EL113" i="31"/>
  <c r="EM113" i="31"/>
  <c r="EN113" i="31"/>
  <c r="EO113" i="31"/>
  <c r="EP113" i="31"/>
  <c r="EQ113" i="31"/>
  <c r="ER113" i="31"/>
  <c r="ES113" i="31"/>
  <c r="ET113" i="31"/>
  <c r="EU113" i="31"/>
  <c r="EV113" i="31"/>
  <c r="EW113" i="31"/>
  <c r="EX113" i="31"/>
  <c r="EY113" i="31"/>
  <c r="EZ113" i="31"/>
  <c r="FA113" i="31"/>
  <c r="FB113" i="31"/>
  <c r="FC113" i="31"/>
  <c r="FD113" i="31"/>
  <c r="FE113" i="31"/>
  <c r="FF113" i="31"/>
  <c r="FG113" i="31"/>
  <c r="FH113" i="31"/>
  <c r="FI113" i="31"/>
  <c r="FJ113" i="31"/>
  <c r="FK113" i="31"/>
  <c r="FL113" i="31"/>
  <c r="FM113" i="31"/>
  <c r="FN113" i="31"/>
  <c r="FO113" i="31"/>
  <c r="FP113" i="31"/>
  <c r="FQ113" i="31"/>
  <c r="FR113" i="31"/>
  <c r="FS113" i="31"/>
  <c r="FT113" i="31"/>
  <c r="FU113" i="31"/>
  <c r="FV113" i="31"/>
  <c r="FW113" i="31"/>
  <c r="FX113" i="31"/>
  <c r="FY113" i="31"/>
  <c r="FZ113" i="31"/>
  <c r="GA113" i="31"/>
  <c r="GB113" i="31"/>
  <c r="GC113" i="31"/>
  <c r="GD113" i="31"/>
  <c r="GE113" i="31"/>
  <c r="GF113" i="31"/>
  <c r="GG113" i="31"/>
  <c r="GH113" i="31"/>
  <c r="GI113" i="31"/>
  <c r="GJ113" i="31"/>
  <c r="GK113" i="31"/>
  <c r="GL113" i="31"/>
  <c r="GM113" i="31"/>
  <c r="GN113" i="31"/>
  <c r="GO113" i="31"/>
  <c r="GP113" i="31"/>
  <c r="GQ113" i="31"/>
  <c r="GR113" i="31"/>
  <c r="GS113" i="31"/>
  <c r="GT113" i="31"/>
  <c r="GU113" i="31"/>
  <c r="GV113" i="31"/>
  <c r="GW113" i="31"/>
  <c r="GX113" i="31"/>
  <c r="GY113" i="31"/>
  <c r="GZ113" i="31"/>
  <c r="HA113" i="31"/>
  <c r="HB113" i="31"/>
  <c r="HC113" i="31"/>
  <c r="HD113" i="31"/>
  <c r="HE113" i="31"/>
  <c r="HF113" i="31"/>
  <c r="HG113" i="31"/>
  <c r="HH113" i="31"/>
  <c r="HI113" i="31"/>
  <c r="HJ113" i="31"/>
  <c r="HK113" i="31"/>
  <c r="IG113" i="31"/>
  <c r="IJ113" i="31"/>
  <c r="IK113" i="31"/>
  <c r="JI113" i="31"/>
  <c r="D115" i="31"/>
  <c r="E115" i="31"/>
  <c r="F115" i="31"/>
  <c r="G115" i="31"/>
  <c r="H115" i="31"/>
  <c r="I115" i="31"/>
  <c r="J115" i="31"/>
  <c r="K115" i="31"/>
  <c r="L115" i="31"/>
  <c r="M115" i="31"/>
  <c r="N115" i="31"/>
  <c r="O115" i="31"/>
  <c r="P115" i="31"/>
  <c r="Q115" i="31"/>
  <c r="R115" i="31"/>
  <c r="S115" i="31"/>
  <c r="T115" i="31"/>
  <c r="U115" i="31"/>
  <c r="V115" i="31"/>
  <c r="W115" i="31"/>
  <c r="X115" i="31"/>
  <c r="Y115" i="31"/>
  <c r="Z115" i="31"/>
  <c r="AA115" i="31"/>
  <c r="AB115" i="31"/>
  <c r="AD115" i="31"/>
  <c r="AE115" i="31"/>
  <c r="AF115" i="31"/>
  <c r="AG115" i="31"/>
  <c r="AH115" i="31"/>
  <c r="AI115" i="31"/>
  <c r="AJ115" i="31"/>
  <c r="AK115" i="31"/>
  <c r="AL115" i="31"/>
  <c r="AM115" i="31"/>
  <c r="AN115" i="31"/>
  <c r="AO115" i="31"/>
  <c r="AP115" i="31"/>
  <c r="AQ115" i="31"/>
  <c r="AR115" i="31"/>
  <c r="AS115" i="31"/>
  <c r="AT115" i="31"/>
  <c r="AU115" i="31"/>
  <c r="AV115" i="31"/>
  <c r="AW115" i="31"/>
  <c r="AX115" i="31"/>
  <c r="AY115" i="31"/>
  <c r="AZ115" i="31"/>
  <c r="BA115" i="31"/>
  <c r="BB115" i="31"/>
  <c r="BC115" i="31"/>
  <c r="BD115" i="31"/>
  <c r="BE115" i="31"/>
  <c r="BF115" i="31"/>
  <c r="BG115" i="31"/>
  <c r="BH115" i="31"/>
  <c r="BI115" i="31"/>
  <c r="BJ115" i="31"/>
  <c r="BK115" i="31"/>
  <c r="BL115" i="31"/>
  <c r="BM115" i="31"/>
  <c r="BN115" i="31"/>
  <c r="BO115" i="31"/>
  <c r="BP115" i="31"/>
  <c r="BQ115" i="31"/>
  <c r="BR115" i="31"/>
  <c r="BS115" i="31"/>
  <c r="BT115" i="31"/>
  <c r="BU115" i="31"/>
  <c r="BV115" i="31"/>
  <c r="BW115" i="31"/>
  <c r="BX115" i="31"/>
  <c r="BY115" i="31"/>
  <c r="BZ115" i="31"/>
  <c r="CA115" i="31"/>
  <c r="CB115" i="31"/>
  <c r="CC115" i="31"/>
  <c r="CD115" i="31"/>
  <c r="CE115" i="31"/>
  <c r="CF115" i="31"/>
  <c r="CG115" i="31"/>
  <c r="CH115" i="31"/>
  <c r="CI115" i="31"/>
  <c r="CJ115" i="31"/>
  <c r="CK115" i="31"/>
  <c r="CM115" i="31"/>
  <c r="CN115" i="31"/>
  <c r="CO115" i="31"/>
  <c r="CP115" i="31"/>
  <c r="CQ115" i="31"/>
  <c r="CR115" i="31"/>
  <c r="CS115" i="31"/>
  <c r="CT115" i="31"/>
  <c r="CU115" i="31"/>
  <c r="CV115" i="31"/>
  <c r="CW115" i="31"/>
  <c r="CX115" i="31"/>
  <c r="CY115" i="31"/>
  <c r="CZ115" i="31"/>
  <c r="DA115" i="31"/>
  <c r="DB115" i="31"/>
  <c r="DC115" i="31"/>
  <c r="DD115" i="31"/>
  <c r="DE115" i="31"/>
  <c r="DF115" i="31"/>
  <c r="DG115" i="31"/>
  <c r="DH115" i="31"/>
  <c r="DI115" i="31"/>
  <c r="DJ115" i="31"/>
  <c r="DK115" i="31"/>
  <c r="DL115" i="31"/>
  <c r="DM115" i="31"/>
  <c r="DN115" i="31"/>
  <c r="DO115" i="31"/>
  <c r="DP115" i="31"/>
  <c r="DQ115" i="31"/>
  <c r="DR115" i="31"/>
  <c r="DS115" i="31"/>
  <c r="DT115" i="31"/>
  <c r="DU115" i="31"/>
  <c r="DV115" i="31"/>
  <c r="DW115" i="31"/>
  <c r="DX115" i="31"/>
  <c r="DY115" i="31"/>
  <c r="DZ115" i="31"/>
  <c r="EA115" i="31"/>
  <c r="EB115" i="31"/>
  <c r="EC115" i="31"/>
  <c r="ED115" i="31"/>
  <c r="EE115" i="31"/>
  <c r="EF115" i="31"/>
  <c r="EG115" i="31"/>
  <c r="EH115" i="31"/>
  <c r="EI115" i="31"/>
  <c r="EJ115" i="31"/>
  <c r="EK115" i="31"/>
  <c r="EL115" i="31"/>
  <c r="EM115" i="31"/>
  <c r="EN115" i="31"/>
  <c r="EO115" i="31"/>
  <c r="EP115" i="31"/>
  <c r="EQ115" i="31"/>
  <c r="ER115" i="31"/>
  <c r="ES115" i="31"/>
  <c r="ET115" i="31"/>
  <c r="EU115" i="31"/>
  <c r="EV115" i="31"/>
  <c r="EW115" i="31"/>
  <c r="EX115" i="31"/>
  <c r="EY115" i="31"/>
  <c r="EZ115" i="31"/>
  <c r="FA115" i="31"/>
  <c r="FB115" i="31"/>
  <c r="FC115" i="31"/>
  <c r="FD115" i="31"/>
  <c r="FE115" i="31"/>
  <c r="FF115" i="31"/>
  <c r="FG115" i="31"/>
  <c r="FH115" i="31"/>
  <c r="FI115" i="31"/>
  <c r="FJ115" i="31"/>
  <c r="FK115" i="31"/>
  <c r="FL115" i="31"/>
  <c r="FM115" i="31"/>
  <c r="FN115" i="31"/>
  <c r="FO115" i="31"/>
  <c r="FP115" i="31"/>
  <c r="FQ115" i="31"/>
  <c r="FR115" i="31"/>
  <c r="FS115" i="31"/>
  <c r="FT115" i="31"/>
  <c r="FU115" i="31"/>
  <c r="FV115" i="31"/>
  <c r="FW115" i="31"/>
  <c r="FX115" i="31"/>
  <c r="FY115" i="31"/>
  <c r="FZ115" i="31"/>
  <c r="GA115" i="31"/>
  <c r="GB115" i="31"/>
  <c r="GC115" i="31"/>
  <c r="GD115" i="31"/>
  <c r="GE115" i="31"/>
  <c r="GF115" i="31"/>
  <c r="GG115" i="31"/>
  <c r="GH115" i="31"/>
  <c r="GI115" i="31"/>
  <c r="GJ115" i="31"/>
  <c r="GK115" i="31"/>
  <c r="GL115" i="31"/>
  <c r="GM115" i="31"/>
  <c r="GN115" i="31"/>
  <c r="GO115" i="31"/>
  <c r="GP115" i="31"/>
  <c r="GQ115" i="31"/>
  <c r="GR115" i="31"/>
  <c r="GS115" i="31"/>
  <c r="GT115" i="31"/>
  <c r="GU115" i="31"/>
  <c r="GV115" i="31"/>
  <c r="GW115" i="31"/>
  <c r="GX115" i="31"/>
  <c r="GY115" i="31"/>
  <c r="GZ115" i="31"/>
  <c r="HA115" i="31"/>
  <c r="HB115" i="31"/>
  <c r="HC115" i="31"/>
  <c r="HD115" i="31"/>
  <c r="HE115" i="31"/>
  <c r="HF115" i="31"/>
  <c r="HG115" i="31"/>
  <c r="HH115" i="31"/>
  <c r="HI115" i="31"/>
  <c r="HJ115" i="31"/>
  <c r="HK115" i="31"/>
  <c r="D116" i="31"/>
  <c r="E116" i="31"/>
  <c r="F116" i="31"/>
  <c r="G116" i="31"/>
  <c r="H116" i="31"/>
  <c r="I116" i="31"/>
  <c r="J116" i="31"/>
  <c r="K116" i="31"/>
  <c r="L116" i="31"/>
  <c r="M116" i="31"/>
  <c r="N116" i="31"/>
  <c r="Q116" i="31"/>
  <c r="S116" i="31"/>
  <c r="T116" i="31"/>
  <c r="U116" i="31"/>
  <c r="W116" i="31"/>
  <c r="X116" i="31"/>
  <c r="Y116" i="31"/>
  <c r="Z116" i="31"/>
  <c r="AA116" i="31"/>
  <c r="AB116" i="31"/>
  <c r="AD116" i="31"/>
  <c r="AE116" i="31"/>
  <c r="AF116" i="31"/>
  <c r="AG116" i="31"/>
  <c r="AH116" i="31"/>
  <c r="AI116" i="31"/>
  <c r="AJ116" i="31"/>
  <c r="AK116" i="31"/>
  <c r="AL116" i="31"/>
  <c r="AM116" i="31"/>
  <c r="AN116" i="31"/>
  <c r="AP116" i="31"/>
  <c r="AQ116" i="31"/>
  <c r="AR116" i="31"/>
  <c r="AS116" i="31"/>
  <c r="AT116" i="31"/>
  <c r="AU116" i="31"/>
  <c r="AV116" i="31"/>
  <c r="AW116" i="31"/>
  <c r="AX116" i="31"/>
  <c r="AY116" i="31"/>
  <c r="AZ116" i="31"/>
  <c r="BA116" i="31"/>
  <c r="BB116" i="31"/>
  <c r="BC116" i="31"/>
  <c r="BD116" i="31"/>
  <c r="BE116" i="31"/>
  <c r="BF116" i="31"/>
  <c r="BG116" i="31"/>
  <c r="BH116" i="31"/>
  <c r="BI116" i="31"/>
  <c r="BJ116" i="31"/>
  <c r="BK116" i="31"/>
  <c r="BL116" i="31"/>
  <c r="BM116" i="31"/>
  <c r="BP116" i="31"/>
  <c r="BQ116" i="31"/>
  <c r="BR116" i="31"/>
  <c r="BT116" i="31"/>
  <c r="BU116" i="31"/>
  <c r="BV116" i="31"/>
  <c r="BW116" i="31"/>
  <c r="BY116" i="31"/>
  <c r="BZ116" i="31"/>
  <c r="CA116" i="31"/>
  <c r="CB116" i="31"/>
  <c r="CC116" i="31"/>
  <c r="CE116" i="31"/>
  <c r="CF116" i="31"/>
  <c r="CH116" i="31"/>
  <c r="CI116" i="31"/>
  <c r="CJ116" i="31"/>
  <c r="CM116" i="31"/>
  <c r="CN116" i="31"/>
  <c r="CO116" i="31"/>
  <c r="CP116" i="31"/>
  <c r="CQ116" i="31"/>
  <c r="CR116" i="31"/>
  <c r="CS116" i="31"/>
  <c r="CT116" i="31"/>
  <c r="CU116" i="31"/>
  <c r="CV116" i="31"/>
  <c r="CW116" i="31"/>
  <c r="CX116" i="31"/>
  <c r="CY116" i="31"/>
  <c r="CZ116" i="31"/>
  <c r="DA116" i="31"/>
  <c r="DB116" i="31"/>
  <c r="DC116" i="31"/>
  <c r="DD116" i="31"/>
  <c r="DE116" i="31"/>
  <c r="DF116" i="31"/>
  <c r="DG116" i="31"/>
  <c r="DH116" i="31"/>
  <c r="DI116" i="31"/>
  <c r="DJ116" i="31"/>
  <c r="DK116" i="31"/>
  <c r="DL116" i="31"/>
  <c r="DO116" i="31"/>
  <c r="DP116" i="31"/>
  <c r="DR116" i="31"/>
  <c r="DS116" i="31"/>
  <c r="DT116" i="31"/>
  <c r="DU116" i="31"/>
  <c r="DV116" i="31"/>
  <c r="DW116" i="31"/>
  <c r="DX116" i="31"/>
  <c r="DY116" i="31"/>
  <c r="DZ116" i="31"/>
  <c r="EA116" i="31"/>
  <c r="EB116" i="31"/>
  <c r="EC116" i="31"/>
  <c r="ED116" i="31"/>
  <c r="EE116" i="31"/>
  <c r="EF116" i="31"/>
  <c r="EG116" i="31"/>
  <c r="EH116" i="31"/>
  <c r="EI116" i="31"/>
  <c r="EJ116" i="31"/>
  <c r="EK116" i="31"/>
  <c r="EL116" i="31"/>
  <c r="EN116" i="31"/>
  <c r="EO116" i="31"/>
  <c r="EP116" i="31"/>
  <c r="EQ116" i="31"/>
  <c r="ER116" i="31"/>
  <c r="ES116" i="31"/>
  <c r="ET116" i="31"/>
  <c r="EU116" i="31"/>
  <c r="EV116" i="31"/>
  <c r="EW116" i="31"/>
  <c r="EX116" i="31"/>
  <c r="EY116" i="31"/>
  <c r="EZ116" i="31"/>
  <c r="FA116" i="31"/>
  <c r="FB116" i="31"/>
  <c r="FC116" i="31"/>
  <c r="FD116" i="31"/>
  <c r="FE116" i="31"/>
  <c r="FF116" i="31"/>
  <c r="FG116" i="31"/>
  <c r="FH116" i="31"/>
  <c r="FI116" i="31"/>
  <c r="FJ116" i="31"/>
  <c r="FK116" i="31"/>
  <c r="FL116" i="31"/>
  <c r="FM116" i="31"/>
  <c r="FN116" i="31"/>
  <c r="FO116" i="31"/>
  <c r="FP116" i="31"/>
  <c r="FQ116" i="31"/>
  <c r="FR116" i="31"/>
  <c r="FS116" i="31"/>
  <c r="FT116" i="31"/>
  <c r="FU116" i="31"/>
  <c r="FV116" i="31"/>
  <c r="FW116" i="31"/>
  <c r="FX116" i="31"/>
  <c r="FY116" i="31"/>
  <c r="FZ116" i="31"/>
  <c r="GA116" i="31"/>
  <c r="GB116" i="31"/>
  <c r="GC116" i="31"/>
  <c r="GD116" i="31"/>
  <c r="GE116" i="31"/>
  <c r="GF116" i="31"/>
  <c r="GG116" i="31"/>
  <c r="GH116" i="31"/>
  <c r="GI116" i="31"/>
  <c r="GJ116" i="31"/>
  <c r="GK116" i="31"/>
  <c r="GL116" i="31"/>
  <c r="GM116" i="31"/>
  <c r="GN116" i="31"/>
  <c r="GO116" i="31"/>
  <c r="GP116" i="31"/>
  <c r="GQ116" i="31"/>
  <c r="GR116" i="31"/>
  <c r="GS116" i="31"/>
  <c r="GT116" i="31"/>
  <c r="GU116" i="31"/>
  <c r="GV116" i="31"/>
  <c r="GW116" i="31"/>
  <c r="GX116" i="31"/>
  <c r="GY116" i="31"/>
  <c r="GZ116" i="31"/>
  <c r="HA116" i="31"/>
  <c r="HB116" i="31"/>
  <c r="HC116" i="31"/>
  <c r="HD116" i="31"/>
  <c r="HE116" i="31"/>
  <c r="HF116" i="31"/>
  <c r="HG116" i="31"/>
  <c r="HH116" i="31"/>
  <c r="HI116" i="31"/>
  <c r="HJ116" i="31"/>
  <c r="HK116" i="31"/>
  <c r="HL116" i="31"/>
  <c r="HM116" i="31"/>
  <c r="HN116" i="31"/>
  <c r="HO116" i="31"/>
  <c r="HP116" i="31"/>
  <c r="HQ116" i="31"/>
  <c r="HR116" i="31"/>
  <c r="HS116" i="31"/>
  <c r="HT116" i="31"/>
  <c r="HU116" i="31"/>
  <c r="HV116" i="31"/>
  <c r="HW116" i="31"/>
  <c r="HX116" i="31"/>
  <c r="HY116" i="31"/>
  <c r="HZ116" i="31"/>
  <c r="IA116" i="31"/>
  <c r="IB116" i="31"/>
  <c r="IC116" i="31"/>
  <c r="ID116" i="31"/>
  <c r="IE116" i="31"/>
  <c r="IF116" i="31"/>
  <c r="IG116" i="31"/>
  <c r="IH116" i="31"/>
  <c r="II116" i="31"/>
  <c r="IJ116" i="31"/>
  <c r="IK116" i="31"/>
  <c r="IL116" i="31"/>
  <c r="IM116" i="31"/>
  <c r="IN116" i="31"/>
  <c r="IO116" i="31"/>
  <c r="IP116" i="31"/>
  <c r="IQ116" i="31"/>
  <c r="IR116" i="31"/>
  <c r="IS116" i="31"/>
  <c r="IT116" i="31"/>
  <c r="IU116" i="31"/>
  <c r="IV116" i="31"/>
  <c r="IW116" i="31"/>
  <c r="IX116" i="31"/>
  <c r="IY116" i="31"/>
  <c r="IZ116" i="31"/>
  <c r="JA116" i="31"/>
  <c r="JB116" i="31"/>
  <c r="JC116" i="31"/>
  <c r="JD116" i="31"/>
  <c r="JE116" i="31"/>
  <c r="JF116" i="31"/>
  <c r="JG116" i="31"/>
  <c r="JH116" i="31"/>
  <c r="JI116" i="31"/>
  <c r="D118" i="31"/>
  <c r="E118" i="31"/>
  <c r="F118" i="31"/>
  <c r="G118" i="31"/>
  <c r="H118" i="31"/>
  <c r="I118" i="31"/>
  <c r="J118" i="31"/>
  <c r="K118" i="31"/>
  <c r="L118" i="31"/>
  <c r="M118" i="31"/>
  <c r="N118" i="31"/>
  <c r="O118" i="31"/>
  <c r="P118" i="31"/>
  <c r="Q118" i="31"/>
  <c r="R118" i="31"/>
  <c r="S118" i="31"/>
  <c r="T118" i="31"/>
  <c r="U118" i="31"/>
  <c r="V118" i="31"/>
  <c r="W118" i="31"/>
  <c r="X118" i="31"/>
  <c r="Y118" i="31"/>
  <c r="Z118" i="31"/>
  <c r="AA118" i="31"/>
  <c r="AB118" i="31"/>
  <c r="AD118" i="31"/>
  <c r="AE118" i="31"/>
  <c r="AF118" i="31"/>
  <c r="AG118" i="31"/>
  <c r="AH118" i="31"/>
  <c r="AI118" i="31"/>
  <c r="AJ118" i="31"/>
  <c r="AK118" i="31"/>
  <c r="AL118" i="31"/>
  <c r="AM118" i="31"/>
  <c r="AN118" i="31"/>
  <c r="AO118" i="31"/>
  <c r="AP118" i="31"/>
  <c r="AQ118" i="31"/>
  <c r="AR118" i="31"/>
  <c r="AS118" i="31"/>
  <c r="AT118" i="31"/>
  <c r="AU118" i="31"/>
  <c r="AV118" i="31"/>
  <c r="AW118" i="31"/>
  <c r="AX118" i="31"/>
  <c r="AY118" i="31"/>
  <c r="AZ118" i="31"/>
  <c r="BA118" i="31"/>
  <c r="BB118" i="31"/>
  <c r="BC118" i="31"/>
  <c r="BD118" i="31"/>
  <c r="BE118" i="31"/>
  <c r="BF118" i="31"/>
  <c r="BG118" i="31"/>
  <c r="BH118" i="31"/>
  <c r="BI118" i="31"/>
  <c r="BJ118" i="31"/>
  <c r="BK118" i="31"/>
  <c r="BL118" i="31"/>
  <c r="BM118" i="31"/>
  <c r="BN118" i="31"/>
  <c r="BO118" i="31"/>
  <c r="BP118" i="31"/>
  <c r="BQ118" i="31"/>
  <c r="BR118" i="31"/>
  <c r="BS118" i="31"/>
  <c r="BT118" i="31"/>
  <c r="BU118" i="31"/>
  <c r="BV118" i="31"/>
  <c r="BW118" i="31"/>
  <c r="BX118" i="31"/>
  <c r="BY118" i="31"/>
  <c r="BZ118" i="31"/>
  <c r="CA118" i="31"/>
  <c r="CB118" i="31"/>
  <c r="CC118" i="31"/>
  <c r="CD118" i="31"/>
  <c r="CE118" i="31"/>
  <c r="CF118" i="31"/>
  <c r="CG118" i="31"/>
  <c r="CH118" i="31"/>
  <c r="CI118" i="31"/>
  <c r="CJ118" i="31"/>
  <c r="CK118" i="31"/>
  <c r="CL118" i="31"/>
  <c r="CM118" i="31"/>
  <c r="CN118" i="31"/>
  <c r="CO118" i="31"/>
  <c r="CP118" i="31"/>
  <c r="CQ118" i="31"/>
  <c r="CR118" i="31"/>
  <c r="CS118" i="31"/>
  <c r="CT118" i="31"/>
  <c r="CU118" i="31"/>
  <c r="CV118" i="31"/>
  <c r="CW118" i="31"/>
  <c r="CX118" i="31"/>
  <c r="CY118" i="31"/>
  <c r="CZ118" i="31"/>
  <c r="DA118" i="31"/>
  <c r="DB118" i="31"/>
  <c r="DC118" i="31"/>
  <c r="DD118" i="31"/>
  <c r="DE118" i="31"/>
  <c r="DF118" i="31"/>
  <c r="DG118" i="31"/>
  <c r="DH118" i="31"/>
  <c r="DI118" i="31"/>
  <c r="DJ118" i="31"/>
  <c r="DK118" i="31"/>
  <c r="DL118" i="31"/>
  <c r="DM118" i="31"/>
  <c r="DN118" i="31"/>
  <c r="DO118" i="31"/>
  <c r="DP118" i="31"/>
  <c r="DQ118" i="31"/>
  <c r="DR118" i="31"/>
  <c r="DS118" i="31"/>
  <c r="DT118" i="31"/>
  <c r="DU118" i="31"/>
  <c r="DV118" i="31"/>
  <c r="DW118" i="31"/>
  <c r="DX118" i="31"/>
  <c r="DY118" i="31"/>
  <c r="DZ118" i="31"/>
  <c r="EA118" i="31"/>
  <c r="EB118" i="31"/>
  <c r="EC118" i="31"/>
  <c r="ED118" i="31"/>
  <c r="EE118" i="31"/>
  <c r="EF118" i="31"/>
  <c r="EG118" i="31"/>
  <c r="EH118" i="31"/>
  <c r="EI118" i="31"/>
  <c r="EJ118" i="31"/>
  <c r="EK118" i="31"/>
  <c r="EL118" i="31"/>
  <c r="EM118" i="31"/>
  <c r="EN118" i="31"/>
  <c r="EO118" i="31"/>
  <c r="EP118" i="31"/>
  <c r="EQ118" i="31"/>
  <c r="ER118" i="31"/>
  <c r="ES118" i="31"/>
  <c r="ET118" i="31"/>
  <c r="EU118" i="31"/>
  <c r="EV118" i="31"/>
  <c r="EW118" i="31"/>
  <c r="EX118" i="31"/>
  <c r="EY118" i="31"/>
  <c r="EZ118" i="31"/>
  <c r="FA118" i="31"/>
  <c r="FB118" i="31"/>
  <c r="FC118" i="31"/>
  <c r="FD118" i="31"/>
  <c r="FE118" i="31"/>
  <c r="FF118" i="31"/>
  <c r="FG118" i="31"/>
  <c r="FH118" i="31"/>
  <c r="FI118" i="31"/>
  <c r="FJ118" i="31"/>
  <c r="FK118" i="31"/>
  <c r="FL118" i="31"/>
  <c r="FM118" i="31"/>
  <c r="FN118" i="31"/>
  <c r="FO118" i="31"/>
  <c r="FP118" i="31"/>
  <c r="FQ118" i="31"/>
  <c r="FR118" i="31"/>
  <c r="FS118" i="31"/>
  <c r="FT118" i="31"/>
  <c r="FU118" i="31"/>
  <c r="FV118" i="31"/>
  <c r="FW118" i="31"/>
  <c r="FX118" i="31"/>
  <c r="FY118" i="31"/>
  <c r="FZ118" i="31"/>
  <c r="GA118" i="31"/>
  <c r="GB118" i="31"/>
  <c r="GC118" i="31"/>
  <c r="GD118" i="31"/>
  <c r="GE118" i="31"/>
  <c r="GF118" i="31"/>
  <c r="GG118" i="31"/>
  <c r="GH118" i="31"/>
  <c r="GI118" i="31"/>
  <c r="GJ118" i="31"/>
  <c r="GK118" i="31"/>
  <c r="GL118" i="31"/>
  <c r="GM118" i="31"/>
  <c r="GN118" i="31"/>
  <c r="GO118" i="31"/>
  <c r="GP118" i="31"/>
  <c r="GQ118" i="31"/>
  <c r="GR118" i="31"/>
  <c r="GS118" i="31"/>
  <c r="GT118" i="31"/>
  <c r="GU118" i="31"/>
  <c r="GV118" i="31"/>
  <c r="GW118" i="31"/>
  <c r="GX118" i="31"/>
  <c r="GY118" i="31"/>
  <c r="GZ118" i="31"/>
  <c r="HA118" i="31"/>
  <c r="HB118" i="31"/>
  <c r="HC118" i="31"/>
  <c r="HD118" i="31"/>
  <c r="HE118" i="31"/>
  <c r="HF118" i="31"/>
  <c r="HG118" i="31"/>
  <c r="HH118" i="31"/>
  <c r="HI118" i="31"/>
  <c r="HJ118" i="31"/>
  <c r="HK118" i="31"/>
  <c r="HL118" i="31"/>
  <c r="HM118" i="31"/>
  <c r="HN118" i="31"/>
  <c r="HO118" i="31"/>
  <c r="HP118" i="31"/>
  <c r="HQ118" i="31"/>
  <c r="HR118" i="31"/>
  <c r="HS118" i="31"/>
  <c r="HT118" i="31"/>
  <c r="HU118" i="31"/>
  <c r="HV118" i="31"/>
  <c r="HW118" i="31"/>
  <c r="HX118" i="31"/>
  <c r="HY118" i="31"/>
  <c r="HZ118" i="31"/>
  <c r="IA118" i="31"/>
  <c r="IB118" i="31"/>
  <c r="IC118" i="31"/>
  <c r="ID118" i="31"/>
  <c r="IE118" i="31"/>
  <c r="IF118" i="31"/>
  <c r="IG118" i="31"/>
  <c r="IH118" i="31"/>
  <c r="II118" i="31"/>
  <c r="IJ118" i="31"/>
  <c r="IK118" i="31"/>
  <c r="IL118" i="31"/>
  <c r="IM118" i="31"/>
  <c r="IN118" i="31"/>
  <c r="IO118" i="31"/>
  <c r="IP118" i="31"/>
  <c r="IQ118" i="31"/>
  <c r="IR118" i="31"/>
  <c r="IS118" i="31"/>
  <c r="IT118" i="31"/>
  <c r="IU118" i="31"/>
  <c r="IV118" i="31"/>
  <c r="IW118" i="31"/>
  <c r="IX118" i="31"/>
  <c r="IY118" i="31"/>
  <c r="IZ118" i="31"/>
  <c r="JA118" i="31"/>
  <c r="JB118" i="31"/>
  <c r="JC118" i="31"/>
  <c r="JD118" i="31"/>
  <c r="JE118" i="31"/>
  <c r="JF118" i="31"/>
  <c r="JG118" i="31"/>
  <c r="JH118" i="31"/>
  <c r="JI118" i="31"/>
  <c r="D122" i="31"/>
  <c r="E122" i="31"/>
  <c r="F122" i="31"/>
  <c r="G122" i="31"/>
  <c r="H122" i="31"/>
  <c r="I122" i="31"/>
  <c r="J122" i="31"/>
  <c r="K122" i="31"/>
  <c r="L122" i="31"/>
  <c r="M122" i="31"/>
  <c r="N122" i="31"/>
  <c r="O122" i="31"/>
  <c r="P122" i="31"/>
  <c r="Q122" i="31"/>
  <c r="R122" i="31"/>
  <c r="S122" i="31"/>
  <c r="T122" i="31"/>
  <c r="U122" i="31"/>
  <c r="V122" i="31"/>
  <c r="W122" i="31"/>
  <c r="X122" i="31"/>
  <c r="Y122" i="31"/>
  <c r="Z122" i="31"/>
  <c r="AA122" i="31"/>
  <c r="AB122" i="31"/>
  <c r="AD122" i="31"/>
  <c r="AE122" i="31"/>
  <c r="AF122" i="31"/>
  <c r="AG122" i="31"/>
  <c r="AH122" i="31"/>
  <c r="AI122" i="31"/>
  <c r="AJ122" i="31"/>
  <c r="AK122" i="31"/>
  <c r="AL122" i="31"/>
  <c r="AM122" i="31"/>
  <c r="AN122" i="31"/>
  <c r="AO122" i="31"/>
  <c r="AP122" i="31"/>
  <c r="AQ122" i="31"/>
  <c r="AR122" i="31"/>
  <c r="AS122" i="31"/>
  <c r="AT122" i="31"/>
  <c r="AU122" i="31"/>
  <c r="AV122" i="31"/>
  <c r="AW122" i="31"/>
  <c r="AX122" i="31"/>
  <c r="AY122" i="31"/>
  <c r="AZ122" i="31"/>
  <c r="BA122" i="31"/>
  <c r="BB122" i="31"/>
  <c r="BC122" i="31"/>
  <c r="BD122" i="31"/>
  <c r="BE122" i="31"/>
  <c r="BF122" i="31"/>
  <c r="BG122" i="31"/>
  <c r="BH122" i="31"/>
  <c r="BI122" i="31"/>
  <c r="BJ122" i="31"/>
  <c r="BK122" i="31"/>
  <c r="BL122" i="31"/>
  <c r="BM122" i="31"/>
  <c r="BN122" i="31"/>
  <c r="BO122" i="31"/>
  <c r="BP122" i="31"/>
  <c r="BQ122" i="31"/>
  <c r="BR122" i="31"/>
  <c r="BS122" i="31"/>
  <c r="BT122" i="31"/>
  <c r="BU122" i="31"/>
  <c r="BV122" i="31"/>
  <c r="BW122" i="31"/>
  <c r="BX122" i="31"/>
  <c r="BY122" i="31"/>
  <c r="BZ122" i="31"/>
  <c r="CA122" i="31"/>
  <c r="CB122" i="31"/>
  <c r="CC122" i="31"/>
  <c r="CD122" i="31"/>
  <c r="CE122" i="31"/>
  <c r="CF122" i="31"/>
  <c r="CG122" i="31"/>
  <c r="CH122" i="31"/>
  <c r="CI122" i="31"/>
  <c r="CJ122" i="31"/>
  <c r="CK122" i="31"/>
  <c r="CL122" i="31"/>
  <c r="CM122" i="31"/>
  <c r="CN122" i="31"/>
  <c r="CO122" i="31"/>
  <c r="CP122" i="31"/>
  <c r="CQ122" i="31"/>
  <c r="CR122" i="31"/>
  <c r="CS122" i="31"/>
  <c r="CT122" i="31"/>
  <c r="CU122" i="31"/>
  <c r="CV122" i="31"/>
  <c r="CW122" i="31"/>
  <c r="CX122" i="31"/>
  <c r="CY122" i="31"/>
  <c r="CZ122" i="31"/>
  <c r="DA122" i="31"/>
  <c r="DB122" i="31"/>
  <c r="DC122" i="31"/>
  <c r="DD122" i="31"/>
  <c r="DE122" i="31"/>
  <c r="DF122" i="31"/>
  <c r="DG122" i="31"/>
  <c r="DH122" i="31"/>
  <c r="DI122" i="31"/>
  <c r="DJ122" i="31"/>
  <c r="DK122" i="31"/>
  <c r="DL122" i="31"/>
  <c r="DM122" i="31"/>
  <c r="DN122" i="31"/>
  <c r="DO122" i="31"/>
  <c r="DP122" i="31"/>
  <c r="DQ122" i="31"/>
  <c r="DR122" i="31"/>
  <c r="DS122" i="31"/>
  <c r="DT122" i="31"/>
  <c r="DU122" i="31"/>
  <c r="DV122" i="31"/>
  <c r="DW122" i="31"/>
  <c r="DX122" i="31"/>
  <c r="DY122" i="31"/>
  <c r="DZ122" i="31"/>
  <c r="EA122" i="31"/>
  <c r="EB122" i="31"/>
  <c r="EC122" i="31"/>
  <c r="ED122" i="31"/>
  <c r="EE122" i="31"/>
  <c r="EF122" i="31"/>
  <c r="EG122" i="31"/>
  <c r="EH122" i="31"/>
  <c r="EI122" i="31"/>
  <c r="EJ122" i="31"/>
  <c r="EK122" i="31"/>
  <c r="EL122" i="31"/>
  <c r="EM122" i="31"/>
  <c r="EN122" i="31"/>
  <c r="EO122" i="31"/>
  <c r="EP122" i="31"/>
  <c r="EQ122" i="31"/>
  <c r="ER122" i="31"/>
  <c r="ES122" i="31"/>
  <c r="ET122" i="31"/>
  <c r="EU122" i="31"/>
  <c r="EV122" i="31"/>
  <c r="EW122" i="31"/>
  <c r="EX122" i="31"/>
  <c r="EY122" i="31"/>
  <c r="EZ122" i="31"/>
  <c r="FA122" i="31"/>
  <c r="FB122" i="31"/>
  <c r="FC122" i="31"/>
  <c r="FD122" i="31"/>
  <c r="FE122" i="31"/>
  <c r="FF122" i="31"/>
  <c r="FG122" i="31"/>
  <c r="FH122" i="31"/>
  <c r="FI122" i="31"/>
  <c r="FJ122" i="31"/>
  <c r="FK122" i="31"/>
  <c r="FL122" i="31"/>
  <c r="FM122" i="31"/>
  <c r="FN122" i="31"/>
  <c r="FO122" i="31"/>
  <c r="FP122" i="31"/>
  <c r="FQ122" i="31"/>
  <c r="FR122" i="31"/>
  <c r="FS122" i="31"/>
  <c r="FT122" i="31"/>
  <c r="FU122" i="31"/>
  <c r="FV122" i="31"/>
  <c r="FW122" i="31"/>
  <c r="FX122" i="31"/>
  <c r="FY122" i="31"/>
  <c r="FZ122" i="31"/>
  <c r="GA122" i="31"/>
  <c r="GB122" i="31"/>
  <c r="GC122" i="31"/>
  <c r="GD122" i="31"/>
  <c r="GE122" i="31"/>
  <c r="GF122" i="31"/>
  <c r="GG122" i="31"/>
  <c r="GH122" i="31"/>
  <c r="GI122" i="31"/>
  <c r="GJ122" i="31"/>
  <c r="GK122" i="31"/>
  <c r="GL122" i="31"/>
  <c r="GM122" i="31"/>
  <c r="GN122" i="31"/>
  <c r="GO122" i="31"/>
  <c r="GP122" i="31"/>
  <c r="GQ122" i="31"/>
  <c r="GR122" i="31"/>
  <c r="GS122" i="31"/>
  <c r="GT122" i="31"/>
  <c r="GU122" i="31"/>
  <c r="GV122" i="31"/>
  <c r="GW122" i="31"/>
  <c r="GX122" i="31"/>
  <c r="GY122" i="31"/>
  <c r="GZ122" i="31"/>
  <c r="HA122" i="31"/>
  <c r="HB122" i="31"/>
  <c r="HC122" i="31"/>
  <c r="HD122" i="31"/>
  <c r="HE122" i="31"/>
  <c r="HF122" i="31"/>
  <c r="HG122" i="31"/>
  <c r="HH122" i="31"/>
  <c r="HI122" i="31"/>
  <c r="HJ122" i="31"/>
  <c r="HK122" i="31"/>
  <c r="HL122" i="31"/>
  <c r="HM122" i="31"/>
  <c r="HN122" i="31"/>
  <c r="HO122" i="31"/>
  <c r="HP122" i="31"/>
  <c r="HQ122" i="31"/>
  <c r="HR122" i="31"/>
  <c r="HS122" i="31"/>
  <c r="HT122" i="31"/>
  <c r="HU122" i="31"/>
  <c r="HV122" i="31"/>
  <c r="HW122" i="31"/>
  <c r="HX122" i="31"/>
  <c r="HY122" i="31"/>
  <c r="HZ122" i="31"/>
  <c r="IA122" i="31"/>
  <c r="IB122" i="31"/>
  <c r="IC122" i="31"/>
  <c r="ID122" i="31"/>
  <c r="IE122" i="31"/>
  <c r="IF122" i="31"/>
  <c r="IG122" i="31"/>
  <c r="IH122" i="31"/>
  <c r="II122" i="31"/>
  <c r="IJ122" i="31"/>
  <c r="IK122" i="31"/>
  <c r="IL122" i="31"/>
  <c r="IM122" i="31"/>
  <c r="IN122" i="31"/>
  <c r="IO122" i="31"/>
  <c r="IP122" i="31"/>
  <c r="IQ122" i="31"/>
  <c r="IR122" i="31"/>
  <c r="IS122" i="31"/>
  <c r="IT122" i="31"/>
  <c r="IU122" i="31"/>
  <c r="IV122" i="31"/>
  <c r="IW122" i="31"/>
  <c r="IX122" i="31"/>
  <c r="IY122" i="31"/>
  <c r="IZ122" i="31"/>
  <c r="JA122" i="31"/>
  <c r="JB122" i="31"/>
  <c r="JC122" i="31"/>
  <c r="JD122" i="31"/>
  <c r="JE122" i="31"/>
  <c r="JF122" i="31"/>
  <c r="JG122" i="31"/>
  <c r="JH122" i="31"/>
  <c r="JI122" i="31"/>
  <c r="D123" i="31"/>
  <c r="E123" i="31"/>
  <c r="F123" i="31"/>
  <c r="G123" i="31"/>
  <c r="H123" i="31"/>
  <c r="I123" i="31"/>
  <c r="J123" i="31"/>
  <c r="K123" i="31"/>
  <c r="L123" i="31"/>
  <c r="M123" i="31"/>
  <c r="N123" i="31"/>
  <c r="O123" i="31"/>
  <c r="P123" i="31"/>
  <c r="Q123" i="31"/>
  <c r="R123" i="31"/>
  <c r="S123" i="31"/>
  <c r="T123" i="31"/>
  <c r="U123" i="31"/>
  <c r="V123" i="31"/>
  <c r="W123" i="31"/>
  <c r="X123" i="31"/>
  <c r="Y123" i="31"/>
  <c r="Z123" i="31"/>
  <c r="AA123" i="31"/>
  <c r="AB123" i="31"/>
  <c r="AD123" i="31"/>
  <c r="AE123" i="31"/>
  <c r="AF123" i="31"/>
  <c r="AG123" i="31"/>
  <c r="AH123" i="31"/>
  <c r="AI123" i="31"/>
  <c r="AJ123" i="31"/>
  <c r="AK123" i="31"/>
  <c r="AL123" i="31"/>
  <c r="AM123" i="31"/>
  <c r="AN123" i="31"/>
  <c r="AO123" i="31"/>
  <c r="AP123" i="31"/>
  <c r="AQ123" i="31"/>
  <c r="AR123" i="31"/>
  <c r="AS123" i="31"/>
  <c r="AT123" i="31"/>
  <c r="AU123" i="31"/>
  <c r="AV123" i="31"/>
  <c r="AW123" i="31"/>
  <c r="AX123" i="31"/>
  <c r="AY123" i="31"/>
  <c r="AZ123" i="31"/>
  <c r="BA123" i="31"/>
  <c r="BB123" i="31"/>
  <c r="BC123" i="31"/>
  <c r="BD123" i="31"/>
  <c r="BE123" i="31"/>
  <c r="BF123" i="31"/>
  <c r="BG123" i="31"/>
  <c r="BH123" i="31"/>
  <c r="BI123" i="31"/>
  <c r="BJ123" i="31"/>
  <c r="BK123" i="31"/>
  <c r="BL123" i="31"/>
  <c r="BM123" i="31"/>
  <c r="BN123" i="31"/>
  <c r="BO123" i="31"/>
  <c r="BP123" i="31"/>
  <c r="BQ123" i="31"/>
  <c r="BR123" i="31"/>
  <c r="BS123" i="31"/>
  <c r="BT123" i="31"/>
  <c r="BU123" i="31"/>
  <c r="BV123" i="31"/>
  <c r="BW123" i="31"/>
  <c r="BX123" i="31"/>
  <c r="BY123" i="31"/>
  <c r="BZ123" i="31"/>
  <c r="CA123" i="31"/>
  <c r="CB123" i="31"/>
  <c r="CC123" i="31"/>
  <c r="CD123" i="31"/>
  <c r="CE123" i="31"/>
  <c r="CF123" i="31"/>
  <c r="CG123" i="31"/>
  <c r="CH123" i="31"/>
  <c r="CI123" i="31"/>
  <c r="CJ123" i="31"/>
  <c r="CK123" i="31"/>
  <c r="CL123" i="31"/>
  <c r="CM123" i="31"/>
  <c r="CN123" i="31"/>
  <c r="CO123" i="31"/>
  <c r="CP123" i="31"/>
  <c r="CQ123" i="31"/>
  <c r="CR123" i="31"/>
  <c r="CS123" i="31"/>
  <c r="CT123" i="31"/>
  <c r="CU123" i="31"/>
  <c r="CV123" i="31"/>
  <c r="CW123" i="31"/>
  <c r="CX123" i="31"/>
  <c r="CY123" i="31"/>
  <c r="CZ123" i="31"/>
  <c r="DA123" i="31"/>
  <c r="DB123" i="31"/>
  <c r="DC123" i="31"/>
  <c r="DD123" i="31"/>
  <c r="DE123" i="31"/>
  <c r="DF123" i="31"/>
  <c r="DG123" i="31"/>
  <c r="DH123" i="31"/>
  <c r="DI123" i="31"/>
  <c r="DJ123" i="31"/>
  <c r="DK123" i="31"/>
  <c r="DL123" i="31"/>
  <c r="DM123" i="31"/>
  <c r="DN123" i="31"/>
  <c r="DO123" i="31"/>
  <c r="DP123" i="31"/>
  <c r="DQ123" i="31"/>
  <c r="DR123" i="31"/>
  <c r="DS123" i="31"/>
  <c r="DT123" i="31"/>
  <c r="DU123" i="31"/>
  <c r="DV123" i="31"/>
  <c r="DW123" i="31"/>
  <c r="DX123" i="31"/>
  <c r="DY123" i="31"/>
  <c r="DZ123" i="31"/>
  <c r="EA123" i="31"/>
  <c r="EB123" i="31"/>
  <c r="EC123" i="31"/>
  <c r="ED123" i="31"/>
  <c r="EE123" i="31"/>
  <c r="EF123" i="31"/>
  <c r="EG123" i="31"/>
  <c r="EH123" i="31"/>
  <c r="EI123" i="31"/>
  <c r="EJ123" i="31"/>
  <c r="EK123" i="31"/>
  <c r="EL123" i="31"/>
  <c r="EM123" i="31"/>
  <c r="EN123" i="31"/>
  <c r="EO123" i="31"/>
  <c r="EP123" i="31"/>
  <c r="EQ123" i="31"/>
  <c r="ER123" i="31"/>
  <c r="ES123" i="31"/>
  <c r="ET123" i="31"/>
  <c r="EU123" i="31"/>
  <c r="EV123" i="31"/>
  <c r="EW123" i="31"/>
  <c r="EX123" i="31"/>
  <c r="EY123" i="31"/>
  <c r="EZ123" i="31"/>
  <c r="FA123" i="31"/>
  <c r="FB123" i="31"/>
  <c r="FC123" i="31"/>
  <c r="FD123" i="31"/>
  <c r="FE123" i="31"/>
  <c r="FF123" i="31"/>
  <c r="FG123" i="31"/>
  <c r="FH123" i="31"/>
  <c r="FI123" i="31"/>
  <c r="FJ123" i="31"/>
  <c r="FK123" i="31"/>
  <c r="FL123" i="31"/>
  <c r="FM123" i="31"/>
  <c r="FN123" i="31"/>
  <c r="FO123" i="31"/>
  <c r="FP123" i="31"/>
  <c r="FQ123" i="31"/>
  <c r="FR123" i="31"/>
  <c r="FS123" i="31"/>
  <c r="FT123" i="31"/>
  <c r="FU123" i="31"/>
  <c r="FV123" i="31"/>
  <c r="FW123" i="31"/>
  <c r="FX123" i="31"/>
  <c r="FY123" i="31"/>
  <c r="FZ123" i="31"/>
  <c r="GA123" i="31"/>
  <c r="GB123" i="31"/>
  <c r="GC123" i="31"/>
  <c r="GD123" i="31"/>
  <c r="GE123" i="31"/>
  <c r="GF123" i="31"/>
  <c r="GG123" i="31"/>
  <c r="GH123" i="31"/>
  <c r="GI123" i="31"/>
  <c r="GJ123" i="31"/>
  <c r="GK123" i="31"/>
  <c r="GL123" i="31"/>
  <c r="GM123" i="31"/>
  <c r="GN123" i="31"/>
  <c r="GO123" i="31"/>
  <c r="GP123" i="31"/>
  <c r="GQ123" i="31"/>
  <c r="GR123" i="31"/>
  <c r="GS123" i="31"/>
  <c r="GT123" i="31"/>
  <c r="GU123" i="31"/>
  <c r="GV123" i="31"/>
  <c r="GW123" i="31"/>
  <c r="GX123" i="31"/>
  <c r="GY123" i="31"/>
  <c r="GZ123" i="31"/>
  <c r="HA123" i="31"/>
  <c r="HB123" i="31"/>
  <c r="HC123" i="31"/>
  <c r="HD123" i="31"/>
  <c r="HE123" i="31"/>
  <c r="HF123" i="31"/>
  <c r="HG123" i="31"/>
  <c r="HH123" i="31"/>
  <c r="HI123" i="31"/>
  <c r="HJ123" i="31"/>
  <c r="HK123" i="31"/>
  <c r="HL123" i="31"/>
  <c r="HM123" i="31"/>
  <c r="HN123" i="31"/>
  <c r="HO123" i="31"/>
  <c r="HP123" i="31"/>
  <c r="HQ123" i="31"/>
  <c r="HR123" i="31"/>
  <c r="HS123" i="31"/>
  <c r="HT123" i="31"/>
  <c r="HU123" i="31"/>
  <c r="HV123" i="31"/>
  <c r="HW123" i="31"/>
  <c r="HX123" i="31"/>
  <c r="HY123" i="31"/>
  <c r="HZ123" i="31"/>
  <c r="IA123" i="31"/>
  <c r="IB123" i="31"/>
  <c r="IC123" i="31"/>
  <c r="ID123" i="31"/>
  <c r="IE123" i="31"/>
  <c r="IF123" i="31"/>
  <c r="IG123" i="31"/>
  <c r="IH123" i="31"/>
  <c r="II123" i="31"/>
  <c r="IJ123" i="31"/>
  <c r="IK123" i="31"/>
  <c r="IL123" i="31"/>
  <c r="IM123" i="31"/>
  <c r="IN123" i="31"/>
  <c r="IO123" i="31"/>
  <c r="IP123" i="31"/>
  <c r="IQ123" i="31"/>
  <c r="IR123" i="31"/>
  <c r="IS123" i="31"/>
  <c r="IT123" i="31"/>
  <c r="IU123" i="31"/>
  <c r="IV123" i="31"/>
  <c r="IW123" i="31"/>
  <c r="IX123" i="31"/>
  <c r="IY123" i="31"/>
  <c r="IZ123" i="31"/>
  <c r="JA123" i="31"/>
  <c r="JB123" i="31"/>
  <c r="JC123" i="31"/>
  <c r="JD123" i="31"/>
  <c r="JE123" i="31"/>
  <c r="JF123" i="31"/>
  <c r="JG123" i="31"/>
  <c r="JH123" i="31"/>
  <c r="JI123" i="31"/>
  <c r="D130" i="31"/>
  <c r="E130" i="31"/>
  <c r="F130" i="31"/>
  <c r="G130" i="31"/>
  <c r="H130" i="31"/>
  <c r="I130" i="31"/>
  <c r="J130" i="31"/>
  <c r="K130" i="31"/>
  <c r="L130" i="31"/>
  <c r="M130" i="31"/>
  <c r="N130" i="31"/>
  <c r="O130" i="31"/>
  <c r="P130" i="31"/>
  <c r="Q130" i="31"/>
  <c r="R130" i="31"/>
  <c r="S130" i="31"/>
  <c r="T130" i="31"/>
  <c r="U130" i="31"/>
  <c r="V130" i="31"/>
  <c r="W130" i="31"/>
  <c r="X130" i="31"/>
  <c r="Y130" i="31"/>
  <c r="Z130" i="31"/>
  <c r="AA130" i="31"/>
  <c r="AB130" i="31"/>
  <c r="AD130" i="31"/>
  <c r="AE130" i="31"/>
  <c r="AF130" i="31"/>
  <c r="AG130" i="31"/>
  <c r="AH130" i="31"/>
  <c r="AI130" i="31"/>
  <c r="AJ130" i="31"/>
  <c r="AK130" i="31"/>
  <c r="AL130" i="31"/>
  <c r="AM130" i="31"/>
  <c r="AN130" i="31"/>
  <c r="AO130" i="31"/>
  <c r="AP130" i="31"/>
  <c r="AQ130" i="31"/>
  <c r="AR130" i="31"/>
  <c r="AS130" i="31"/>
  <c r="AT130" i="31"/>
  <c r="AU130" i="31"/>
  <c r="AV130" i="31"/>
  <c r="AW130" i="31"/>
  <c r="AX130" i="31"/>
  <c r="AY130" i="31"/>
  <c r="AZ130" i="31"/>
  <c r="BA130" i="31"/>
  <c r="BB130" i="31"/>
  <c r="BC130" i="31"/>
  <c r="BD130" i="31"/>
  <c r="BE130" i="31"/>
  <c r="BF130" i="31"/>
  <c r="BG130" i="31"/>
  <c r="BH130" i="31"/>
  <c r="BI130" i="31"/>
  <c r="BJ130" i="31"/>
  <c r="BK130" i="31"/>
  <c r="BL130" i="31"/>
  <c r="BM130" i="31"/>
  <c r="BN130" i="31"/>
  <c r="BO130" i="31"/>
  <c r="BP130" i="31"/>
  <c r="BQ130" i="31"/>
  <c r="BR130" i="31"/>
  <c r="BS130" i="31"/>
  <c r="BT130" i="31"/>
  <c r="BU130" i="31"/>
  <c r="BV130" i="31"/>
  <c r="BW130" i="31"/>
  <c r="BX130" i="31"/>
  <c r="BY130" i="31"/>
  <c r="BZ130" i="31"/>
  <c r="CA130" i="31"/>
  <c r="CB130" i="31"/>
  <c r="CC130" i="31"/>
  <c r="CD130" i="31"/>
  <c r="CE130" i="31"/>
  <c r="CF130" i="31"/>
  <c r="CG130" i="31"/>
  <c r="CH130" i="31"/>
  <c r="CI130" i="31"/>
  <c r="CJ130" i="31"/>
  <c r="CK130" i="31"/>
  <c r="CL130" i="31"/>
  <c r="CM130" i="31"/>
  <c r="CN130" i="31"/>
  <c r="CO130" i="31"/>
  <c r="CP130" i="31"/>
  <c r="CQ130" i="31"/>
  <c r="CR130" i="31"/>
  <c r="CS130" i="31"/>
  <c r="CT130" i="31"/>
  <c r="CU130" i="31"/>
  <c r="CV130" i="31"/>
  <c r="CW130" i="31"/>
  <c r="CX130" i="31"/>
  <c r="CY130" i="31"/>
  <c r="CZ130" i="31"/>
  <c r="DA130" i="31"/>
  <c r="DB130" i="31"/>
  <c r="DC130" i="31"/>
  <c r="DD130" i="31"/>
  <c r="DE130" i="31"/>
  <c r="DF130" i="31"/>
  <c r="DG130" i="31"/>
  <c r="DH130" i="31"/>
  <c r="DI130" i="31"/>
  <c r="DJ130" i="31"/>
  <c r="DK130" i="31"/>
  <c r="DL130" i="31"/>
  <c r="DM130" i="31"/>
  <c r="DN130" i="31"/>
  <c r="DO130" i="31"/>
  <c r="DP130" i="31"/>
  <c r="DQ130" i="31"/>
  <c r="DR130" i="31"/>
  <c r="DS130" i="31"/>
  <c r="DT130" i="31"/>
  <c r="DU130" i="31"/>
  <c r="DV130" i="31"/>
  <c r="DW130" i="31"/>
  <c r="DX130" i="31"/>
  <c r="DY130" i="31"/>
  <c r="DZ130" i="31"/>
  <c r="EA130" i="31"/>
  <c r="EB130" i="31"/>
  <c r="EC130" i="31"/>
  <c r="ED130" i="31"/>
  <c r="EE130" i="31"/>
  <c r="EF130" i="31"/>
  <c r="EG130" i="31"/>
  <c r="EH130" i="31"/>
  <c r="EI130" i="31"/>
  <c r="EJ130" i="31"/>
  <c r="EK130" i="31"/>
  <c r="EL130" i="31"/>
  <c r="EM130" i="31"/>
  <c r="EN130" i="31"/>
  <c r="EO130" i="31"/>
  <c r="EP130" i="31"/>
  <c r="EQ130" i="31"/>
  <c r="ER130" i="31"/>
  <c r="ES130" i="31"/>
  <c r="ET130" i="31"/>
  <c r="EU130" i="31"/>
  <c r="EV130" i="31"/>
  <c r="EW130" i="31"/>
  <c r="EX130" i="31"/>
  <c r="EY130" i="31"/>
  <c r="EZ130" i="31"/>
  <c r="FA130" i="31"/>
  <c r="FB130" i="31"/>
  <c r="FC130" i="31"/>
  <c r="FD130" i="31"/>
  <c r="FE130" i="31"/>
  <c r="FF130" i="31"/>
  <c r="FG130" i="31"/>
  <c r="FH130" i="31"/>
  <c r="FI130" i="31"/>
  <c r="FJ130" i="31"/>
  <c r="FK130" i="31"/>
  <c r="FL130" i="31"/>
  <c r="FM130" i="31"/>
  <c r="FN130" i="31"/>
  <c r="FO130" i="31"/>
  <c r="FP130" i="31"/>
  <c r="FQ130" i="31"/>
  <c r="FR130" i="31"/>
  <c r="FS130" i="31"/>
  <c r="FT130" i="31"/>
  <c r="FU130" i="31"/>
  <c r="FV130" i="31"/>
  <c r="FW130" i="31"/>
  <c r="FX130" i="31"/>
  <c r="FY130" i="31"/>
  <c r="FZ130" i="31"/>
  <c r="GA130" i="31"/>
  <c r="GB130" i="31"/>
  <c r="GC130" i="31"/>
  <c r="GD130" i="31"/>
  <c r="GE130" i="31"/>
  <c r="GF130" i="31"/>
  <c r="GG130" i="31"/>
  <c r="GH130" i="31"/>
  <c r="GI130" i="31"/>
  <c r="GJ130" i="31"/>
  <c r="GK130" i="31"/>
  <c r="GL130" i="31"/>
  <c r="GM130" i="31"/>
  <c r="GN130" i="31"/>
  <c r="GO130" i="31"/>
  <c r="GP130" i="31"/>
  <c r="GQ130" i="31"/>
  <c r="GR130" i="31"/>
  <c r="GS130" i="31"/>
  <c r="GT130" i="31"/>
  <c r="GU130" i="31"/>
  <c r="GV130" i="31"/>
  <c r="GW130" i="31"/>
  <c r="GX130" i="31"/>
  <c r="GY130" i="31"/>
  <c r="GZ130" i="31"/>
  <c r="HA130" i="31"/>
  <c r="HB130" i="31"/>
  <c r="HC130" i="31"/>
  <c r="HD130" i="31"/>
  <c r="HE130" i="31"/>
  <c r="HF130" i="31"/>
  <c r="HG130" i="31"/>
  <c r="HH130" i="31"/>
  <c r="HI130" i="31"/>
  <c r="HJ130" i="31"/>
  <c r="HK130" i="31"/>
  <c r="HL130" i="31"/>
  <c r="HM130" i="31"/>
  <c r="HN130" i="31"/>
  <c r="HO130" i="31"/>
  <c r="HP130" i="31"/>
  <c r="HQ130" i="31"/>
  <c r="HR130" i="31"/>
  <c r="HS130" i="31"/>
  <c r="HT130" i="31"/>
  <c r="HU130" i="31"/>
  <c r="HV130" i="31"/>
  <c r="HW130" i="31"/>
  <c r="HX130" i="31"/>
  <c r="HY130" i="31"/>
  <c r="HZ130" i="31"/>
  <c r="IA130" i="31"/>
  <c r="IB130" i="31"/>
  <c r="IC130" i="31"/>
  <c r="ID130" i="31"/>
  <c r="IE130" i="31"/>
  <c r="IF130" i="31"/>
  <c r="IG130" i="31"/>
  <c r="IH130" i="31"/>
  <c r="II130" i="31"/>
  <c r="IJ130" i="31"/>
  <c r="IK130" i="31"/>
  <c r="IL130" i="31"/>
  <c r="IM130" i="31"/>
  <c r="IN130" i="31"/>
  <c r="IO130" i="31"/>
  <c r="IP130" i="31"/>
  <c r="IQ130" i="31"/>
  <c r="IR130" i="31"/>
  <c r="IS130" i="31"/>
  <c r="IT130" i="31"/>
  <c r="IU130" i="31"/>
  <c r="IV130" i="31"/>
  <c r="IW130" i="31"/>
  <c r="IX130" i="31"/>
  <c r="IY130" i="31"/>
  <c r="IZ130" i="31"/>
  <c r="JA130" i="31"/>
  <c r="JB130" i="31"/>
  <c r="JC130" i="31"/>
  <c r="JD130" i="31"/>
  <c r="JE130" i="31"/>
  <c r="JF130" i="31"/>
  <c r="JG130" i="31"/>
  <c r="JH130" i="31"/>
  <c r="JI130" i="31"/>
  <c r="D131" i="31"/>
  <c r="E131" i="31"/>
  <c r="F131" i="31"/>
  <c r="G131" i="31"/>
  <c r="H131" i="31"/>
  <c r="I131" i="31"/>
  <c r="J131" i="31"/>
  <c r="K131" i="31"/>
  <c r="L131" i="31"/>
  <c r="M131" i="31"/>
  <c r="N131" i="31"/>
  <c r="O131" i="31"/>
  <c r="P131" i="31"/>
  <c r="Q131" i="31"/>
  <c r="R131" i="31"/>
  <c r="S131" i="31"/>
  <c r="T131" i="31"/>
  <c r="U131" i="31"/>
  <c r="V131" i="31"/>
  <c r="W131" i="31"/>
  <c r="X131" i="31"/>
  <c r="Y131" i="31"/>
  <c r="Z131" i="31"/>
  <c r="AA131" i="31"/>
  <c r="AB131" i="31"/>
  <c r="AD131" i="31"/>
  <c r="AE131" i="31"/>
  <c r="AF131" i="31"/>
  <c r="AG131" i="31"/>
  <c r="AH131" i="31"/>
  <c r="AI131" i="31"/>
  <c r="AJ131" i="31"/>
  <c r="AK131" i="31"/>
  <c r="AL131" i="31"/>
  <c r="AM131" i="31"/>
  <c r="AN131" i="31"/>
  <c r="AO131" i="31"/>
  <c r="AP131" i="31"/>
  <c r="AQ131" i="31"/>
  <c r="AR131" i="31"/>
  <c r="AS131" i="31"/>
  <c r="AT131" i="31"/>
  <c r="AU131" i="31"/>
  <c r="AV131" i="31"/>
  <c r="AW131" i="31"/>
  <c r="AX131" i="31"/>
  <c r="AY131" i="31"/>
  <c r="AZ131" i="31"/>
  <c r="BA131" i="31"/>
  <c r="BB131" i="31"/>
  <c r="BC131" i="31"/>
  <c r="BD131" i="31"/>
  <c r="BE131" i="31"/>
  <c r="BF131" i="31"/>
  <c r="BG131" i="31"/>
  <c r="BH131" i="31"/>
  <c r="BI131" i="31"/>
  <c r="BJ131" i="31"/>
  <c r="BK131" i="31"/>
  <c r="BL131" i="31"/>
  <c r="BM131" i="31"/>
  <c r="BN131" i="31"/>
  <c r="BO131" i="31"/>
  <c r="BP131" i="31"/>
  <c r="BQ131" i="31"/>
  <c r="BR131" i="31"/>
  <c r="BS131" i="31"/>
  <c r="BT131" i="31"/>
  <c r="BU131" i="31"/>
  <c r="BV131" i="31"/>
  <c r="BW131" i="31"/>
  <c r="BX131" i="31"/>
  <c r="BY131" i="31"/>
  <c r="BZ131" i="31"/>
  <c r="CA131" i="31"/>
  <c r="CB131" i="31"/>
  <c r="CC131" i="31"/>
  <c r="CD131" i="31"/>
  <c r="CE131" i="31"/>
  <c r="CF131" i="31"/>
  <c r="CG131" i="31"/>
  <c r="CH131" i="31"/>
  <c r="CI131" i="31"/>
  <c r="CJ131" i="31"/>
  <c r="CK131" i="31"/>
  <c r="CL131" i="31"/>
  <c r="CM131" i="31"/>
  <c r="CN131" i="31"/>
  <c r="CO131" i="31"/>
  <c r="CP131" i="31"/>
  <c r="CQ131" i="31"/>
  <c r="CR131" i="31"/>
  <c r="CS131" i="31"/>
  <c r="CT131" i="31"/>
  <c r="CU131" i="31"/>
  <c r="CV131" i="31"/>
  <c r="CW131" i="31"/>
  <c r="CX131" i="31"/>
  <c r="CY131" i="31"/>
  <c r="CZ131" i="31"/>
  <c r="DA131" i="31"/>
  <c r="DB131" i="31"/>
  <c r="DC131" i="31"/>
  <c r="DD131" i="31"/>
  <c r="DE131" i="31"/>
  <c r="DF131" i="31"/>
  <c r="DG131" i="31"/>
  <c r="DH131" i="31"/>
  <c r="DI131" i="31"/>
  <c r="DJ131" i="31"/>
  <c r="DK131" i="31"/>
  <c r="DL131" i="31"/>
  <c r="DM131" i="31"/>
  <c r="DN131" i="31"/>
  <c r="DO131" i="31"/>
  <c r="DP131" i="31"/>
  <c r="DQ131" i="31"/>
  <c r="DR131" i="31"/>
  <c r="DS131" i="31"/>
  <c r="DT131" i="31"/>
  <c r="DU131" i="31"/>
  <c r="DV131" i="31"/>
  <c r="DW131" i="31"/>
  <c r="DX131" i="31"/>
  <c r="DY131" i="31"/>
  <c r="DZ131" i="31"/>
  <c r="EA131" i="31"/>
  <c r="EB131" i="31"/>
  <c r="EC131" i="31"/>
  <c r="ED131" i="31"/>
  <c r="EE131" i="31"/>
  <c r="EF131" i="31"/>
  <c r="EG131" i="31"/>
  <c r="EH131" i="31"/>
  <c r="EI131" i="31"/>
  <c r="EJ131" i="31"/>
  <c r="EK131" i="31"/>
  <c r="EL131" i="31"/>
  <c r="EM131" i="31"/>
  <c r="EN131" i="31"/>
  <c r="EO131" i="31"/>
  <c r="EP131" i="31"/>
  <c r="EQ131" i="31"/>
  <c r="ER131" i="31"/>
  <c r="ES131" i="31"/>
  <c r="ET131" i="31"/>
  <c r="EU131" i="31"/>
  <c r="EV131" i="31"/>
  <c r="EW131" i="31"/>
  <c r="EX131" i="31"/>
  <c r="EY131" i="31"/>
  <c r="EZ131" i="31"/>
  <c r="FA131" i="31"/>
  <c r="FB131" i="31"/>
  <c r="FC131" i="31"/>
  <c r="FD131" i="31"/>
  <c r="FE131" i="31"/>
  <c r="FF131" i="31"/>
  <c r="FG131" i="31"/>
  <c r="FH131" i="31"/>
  <c r="FI131" i="31"/>
  <c r="FJ131" i="31"/>
  <c r="FK131" i="31"/>
  <c r="FL131" i="31"/>
  <c r="FM131" i="31"/>
  <c r="FN131" i="31"/>
  <c r="FO131" i="31"/>
  <c r="FP131" i="31"/>
  <c r="FQ131" i="31"/>
  <c r="FR131" i="31"/>
  <c r="FS131" i="31"/>
  <c r="FT131" i="31"/>
  <c r="FU131" i="31"/>
  <c r="FV131" i="31"/>
  <c r="FW131" i="31"/>
  <c r="FX131" i="31"/>
  <c r="FY131" i="31"/>
  <c r="FZ131" i="31"/>
  <c r="GA131" i="31"/>
  <c r="GB131" i="31"/>
  <c r="GC131" i="31"/>
  <c r="GD131" i="31"/>
  <c r="GE131" i="31"/>
  <c r="GF131" i="31"/>
  <c r="GG131" i="31"/>
  <c r="GH131" i="31"/>
  <c r="GI131" i="31"/>
  <c r="GJ131" i="31"/>
  <c r="GK131" i="31"/>
  <c r="GL131" i="31"/>
  <c r="GM131" i="31"/>
  <c r="GN131" i="31"/>
  <c r="GO131" i="31"/>
  <c r="GP131" i="31"/>
  <c r="GQ131" i="31"/>
  <c r="GR131" i="31"/>
  <c r="GS131" i="31"/>
  <c r="GT131" i="31"/>
  <c r="GU131" i="31"/>
  <c r="GV131" i="31"/>
  <c r="GW131" i="31"/>
  <c r="GX131" i="31"/>
  <c r="GY131" i="31"/>
  <c r="GZ131" i="31"/>
  <c r="HA131" i="31"/>
  <c r="HB131" i="31"/>
  <c r="HC131" i="31"/>
  <c r="HD131" i="31"/>
  <c r="HE131" i="31"/>
  <c r="HF131" i="31"/>
  <c r="HG131" i="31"/>
  <c r="HH131" i="31"/>
  <c r="HI131" i="31"/>
  <c r="HJ131" i="31"/>
  <c r="HK131" i="31"/>
  <c r="HL131" i="31"/>
  <c r="HM131" i="31"/>
  <c r="HN131" i="31"/>
  <c r="HO131" i="31"/>
  <c r="HP131" i="31"/>
  <c r="HQ131" i="31"/>
  <c r="HR131" i="31"/>
  <c r="HS131" i="31"/>
  <c r="HT131" i="31"/>
  <c r="HU131" i="31"/>
  <c r="HV131" i="31"/>
  <c r="HW131" i="31"/>
  <c r="HX131" i="31"/>
  <c r="HY131" i="31"/>
  <c r="HZ131" i="31"/>
  <c r="IA131" i="31"/>
  <c r="IB131" i="31"/>
  <c r="IC131" i="31"/>
  <c r="ID131" i="31"/>
  <c r="IE131" i="31"/>
  <c r="IF131" i="31"/>
  <c r="IG131" i="31"/>
  <c r="IH131" i="31"/>
  <c r="II131" i="31"/>
  <c r="IJ131" i="31"/>
  <c r="IK131" i="31"/>
  <c r="IL131" i="31"/>
  <c r="IM131" i="31"/>
  <c r="IN131" i="31"/>
  <c r="IO131" i="31"/>
  <c r="IP131" i="31"/>
  <c r="IQ131" i="31"/>
  <c r="IR131" i="31"/>
  <c r="IS131" i="31"/>
  <c r="IT131" i="31"/>
  <c r="IU131" i="31"/>
  <c r="IV131" i="31"/>
  <c r="IW131" i="31"/>
  <c r="IX131" i="31"/>
  <c r="IY131" i="31"/>
  <c r="IZ131" i="31"/>
  <c r="JA131" i="31"/>
  <c r="JB131" i="31"/>
  <c r="JC131" i="31"/>
  <c r="JD131" i="31"/>
  <c r="JE131" i="31"/>
  <c r="JF131" i="31"/>
  <c r="JG131" i="31"/>
  <c r="JH131" i="31"/>
  <c r="JI131" i="31"/>
  <c r="D134" i="31"/>
  <c r="E134" i="31"/>
  <c r="F134" i="31"/>
  <c r="G134" i="31"/>
  <c r="H134" i="31"/>
  <c r="I134" i="31"/>
  <c r="J134" i="31"/>
  <c r="K134" i="31"/>
  <c r="L134" i="31"/>
  <c r="M134" i="31"/>
  <c r="N134" i="31"/>
  <c r="O134" i="31"/>
  <c r="P134" i="31"/>
  <c r="Q134" i="31"/>
  <c r="R134" i="31"/>
  <c r="S134" i="31"/>
  <c r="T134" i="31"/>
  <c r="U134" i="31"/>
  <c r="V134" i="31"/>
  <c r="W134" i="31"/>
  <c r="X134" i="31"/>
  <c r="Y134" i="31"/>
  <c r="Z134" i="31"/>
  <c r="AA134" i="31"/>
  <c r="AB134" i="31"/>
  <c r="AD134" i="31"/>
  <c r="AE134" i="31"/>
  <c r="AF134" i="31"/>
  <c r="AG134" i="31"/>
  <c r="AH134" i="31"/>
  <c r="AI134" i="31"/>
  <c r="AJ134" i="31"/>
  <c r="AK134" i="31"/>
  <c r="AL134" i="31"/>
  <c r="AM134" i="31"/>
  <c r="AN134" i="31"/>
  <c r="AO134" i="31"/>
  <c r="AP134" i="31"/>
  <c r="AQ134" i="31"/>
  <c r="AR134" i="31"/>
  <c r="AS134" i="31"/>
  <c r="AT134" i="31"/>
  <c r="AU134" i="31"/>
  <c r="AV134" i="31"/>
  <c r="AW134" i="31"/>
  <c r="AX134" i="31"/>
  <c r="AY134" i="31"/>
  <c r="AZ134" i="31"/>
  <c r="BA134" i="31"/>
  <c r="BB134" i="31"/>
  <c r="BC134" i="31"/>
  <c r="BD134" i="31"/>
  <c r="BE134" i="31"/>
  <c r="BF134" i="31"/>
  <c r="BG134" i="31"/>
  <c r="BH134" i="31"/>
  <c r="BI134" i="31"/>
  <c r="BJ134" i="31"/>
  <c r="BK134" i="31"/>
  <c r="BL134" i="31"/>
  <c r="BM134" i="31"/>
  <c r="BN134" i="31"/>
  <c r="BO134" i="31"/>
  <c r="BP134" i="31"/>
  <c r="BQ134" i="31"/>
  <c r="BR134" i="31"/>
  <c r="BS134" i="31"/>
  <c r="BT134" i="31"/>
  <c r="BU134" i="31"/>
  <c r="BV134" i="31"/>
  <c r="BW134" i="31"/>
  <c r="BX134" i="31"/>
  <c r="BY134" i="31"/>
  <c r="BZ134" i="31"/>
  <c r="CA134" i="31"/>
  <c r="CB134" i="31"/>
  <c r="CC134" i="31"/>
  <c r="CD134" i="31"/>
  <c r="CE134" i="31"/>
  <c r="CF134" i="31"/>
  <c r="CG134" i="31"/>
  <c r="CH134" i="31"/>
  <c r="CI134" i="31"/>
  <c r="CJ134" i="31"/>
  <c r="CK134" i="31"/>
  <c r="CL134" i="31"/>
  <c r="CM134" i="31"/>
  <c r="CN134" i="31"/>
  <c r="CO134" i="31"/>
  <c r="CP134" i="31"/>
  <c r="CQ134" i="31"/>
  <c r="CR134" i="31"/>
  <c r="CS134" i="31"/>
  <c r="CT134" i="31"/>
  <c r="CU134" i="31"/>
  <c r="CV134" i="31"/>
  <c r="CW134" i="31"/>
  <c r="CX134" i="31"/>
  <c r="CY134" i="31"/>
  <c r="CZ134" i="31"/>
  <c r="DA134" i="31"/>
  <c r="DB134" i="31"/>
  <c r="DC134" i="31"/>
  <c r="DD134" i="31"/>
  <c r="DE134" i="31"/>
  <c r="DF134" i="31"/>
  <c r="DG134" i="31"/>
  <c r="DH134" i="31"/>
  <c r="DI134" i="31"/>
  <c r="DJ134" i="31"/>
  <c r="DK134" i="31"/>
  <c r="DL134" i="31"/>
  <c r="DM134" i="31"/>
  <c r="DN134" i="31"/>
  <c r="DO134" i="31"/>
  <c r="DP134" i="31"/>
  <c r="DQ134" i="31"/>
  <c r="DR134" i="31"/>
  <c r="DS134" i="31"/>
  <c r="DT134" i="31"/>
  <c r="DU134" i="31"/>
  <c r="DV134" i="31"/>
  <c r="DW134" i="31"/>
  <c r="DX134" i="31"/>
  <c r="DY134" i="31"/>
  <c r="DZ134" i="31"/>
  <c r="EA134" i="31"/>
  <c r="EB134" i="31"/>
  <c r="EC134" i="31"/>
  <c r="ED134" i="31"/>
  <c r="EE134" i="31"/>
  <c r="EF134" i="31"/>
  <c r="EG134" i="31"/>
  <c r="EH134" i="31"/>
  <c r="EI134" i="31"/>
  <c r="EJ134" i="31"/>
  <c r="EK134" i="31"/>
  <c r="EL134" i="31"/>
  <c r="EM134" i="31"/>
  <c r="EN134" i="31"/>
  <c r="EO134" i="31"/>
  <c r="EP134" i="31"/>
  <c r="EQ134" i="31"/>
  <c r="ER134" i="31"/>
  <c r="ES134" i="31"/>
  <c r="ET134" i="31"/>
  <c r="EU134" i="31"/>
  <c r="EV134" i="31"/>
  <c r="EW134" i="31"/>
  <c r="EX134" i="31"/>
  <c r="EY134" i="31"/>
  <c r="EZ134" i="31"/>
  <c r="FA134" i="31"/>
  <c r="FB134" i="31"/>
  <c r="FC134" i="31"/>
  <c r="FD134" i="31"/>
  <c r="FE134" i="31"/>
  <c r="FF134" i="31"/>
  <c r="FG134" i="31"/>
  <c r="FH134" i="31"/>
  <c r="FI134" i="31"/>
  <c r="FJ134" i="31"/>
  <c r="FK134" i="31"/>
  <c r="FL134" i="31"/>
  <c r="FM134" i="31"/>
  <c r="FN134" i="31"/>
  <c r="FO134" i="31"/>
  <c r="FP134" i="31"/>
  <c r="FQ134" i="31"/>
  <c r="FR134" i="31"/>
  <c r="FS134" i="31"/>
  <c r="FT134" i="31"/>
  <c r="FU134" i="31"/>
  <c r="FV134" i="31"/>
  <c r="FW134" i="31"/>
  <c r="FX134" i="31"/>
  <c r="FY134" i="31"/>
  <c r="FZ134" i="31"/>
  <c r="GA134" i="31"/>
  <c r="GB134" i="31"/>
  <c r="GC134" i="31"/>
  <c r="GD134" i="31"/>
  <c r="GE134" i="31"/>
  <c r="GF134" i="31"/>
  <c r="GG134" i="31"/>
  <c r="GH134" i="31"/>
  <c r="GI134" i="31"/>
  <c r="GJ134" i="31"/>
  <c r="GK134" i="31"/>
  <c r="GL134" i="31"/>
  <c r="GM134" i="31"/>
  <c r="GN134" i="31"/>
  <c r="GO134" i="31"/>
  <c r="GP134" i="31"/>
  <c r="GQ134" i="31"/>
  <c r="GR134" i="31"/>
  <c r="GS134" i="31"/>
  <c r="GT134" i="31"/>
  <c r="GU134" i="31"/>
  <c r="GV134" i="31"/>
  <c r="GW134" i="31"/>
  <c r="GX134" i="31"/>
  <c r="GY134" i="31"/>
  <c r="GZ134" i="31"/>
  <c r="HA134" i="31"/>
  <c r="HB134" i="31"/>
  <c r="HC134" i="31"/>
  <c r="HD134" i="31"/>
  <c r="HE134" i="31"/>
  <c r="HF134" i="31"/>
  <c r="HG134" i="31"/>
  <c r="HH134" i="31"/>
  <c r="HI134" i="31"/>
  <c r="HJ134" i="31"/>
  <c r="HK134" i="31"/>
  <c r="HL134" i="31"/>
  <c r="HM134" i="31"/>
  <c r="HN134" i="31"/>
  <c r="HO134" i="31"/>
  <c r="HP134" i="31"/>
  <c r="HQ134" i="31"/>
  <c r="HR134" i="31"/>
  <c r="HS134" i="31"/>
  <c r="HT134" i="31"/>
  <c r="HU134" i="31"/>
  <c r="HV134" i="31"/>
  <c r="HW134" i="31"/>
  <c r="HX134" i="31"/>
  <c r="HY134" i="31"/>
  <c r="HZ134" i="31"/>
  <c r="IA134" i="31"/>
  <c r="IB134" i="31"/>
  <c r="IC134" i="31"/>
  <c r="ID134" i="31"/>
  <c r="IE134" i="31"/>
  <c r="IF134" i="31"/>
  <c r="IG134" i="31"/>
  <c r="IH134" i="31"/>
  <c r="II134" i="31"/>
  <c r="IJ134" i="31"/>
  <c r="IK134" i="31"/>
  <c r="IL134" i="31"/>
  <c r="IM134" i="31"/>
  <c r="IN134" i="31"/>
  <c r="IO134" i="31"/>
  <c r="IP134" i="31"/>
  <c r="IQ134" i="31"/>
  <c r="IR134" i="31"/>
  <c r="IS134" i="31"/>
  <c r="IT134" i="31"/>
  <c r="IU134" i="31"/>
  <c r="IV134" i="31"/>
  <c r="IW134" i="31"/>
  <c r="IX134" i="31"/>
  <c r="IY134" i="31"/>
  <c r="IZ134" i="31"/>
  <c r="JA134" i="31"/>
  <c r="JB134" i="31"/>
  <c r="JC134" i="31"/>
  <c r="JD134" i="31"/>
  <c r="JE134" i="31"/>
  <c r="JF134" i="31"/>
  <c r="JG134" i="31"/>
  <c r="JH134" i="31"/>
  <c r="JI134" i="31"/>
  <c r="D135" i="31"/>
  <c r="E135" i="31"/>
  <c r="F135" i="31"/>
  <c r="G135" i="31"/>
  <c r="H135" i="31"/>
  <c r="I135" i="31"/>
  <c r="J135" i="31"/>
  <c r="K135" i="31"/>
  <c r="L135" i="31"/>
  <c r="M135" i="31"/>
  <c r="N135" i="31"/>
  <c r="O135" i="31"/>
  <c r="P135" i="31"/>
  <c r="Q135" i="31"/>
  <c r="R135" i="31"/>
  <c r="S135" i="31"/>
  <c r="T135" i="31"/>
  <c r="U135" i="31"/>
  <c r="V135" i="31"/>
  <c r="W135" i="31"/>
  <c r="X135" i="31"/>
  <c r="Y135" i="31"/>
  <c r="Z135" i="31"/>
  <c r="AA135" i="31"/>
  <c r="AB135" i="31"/>
  <c r="AD135" i="31"/>
  <c r="AE135" i="31"/>
  <c r="AF135" i="31"/>
  <c r="AG135" i="31"/>
  <c r="AH135" i="31"/>
  <c r="AI135" i="31"/>
  <c r="AJ135" i="31"/>
  <c r="AK135" i="31"/>
  <c r="AL135" i="31"/>
  <c r="AM135" i="31"/>
  <c r="AN135" i="31"/>
  <c r="AO135" i="31"/>
  <c r="AP135" i="31"/>
  <c r="AQ135" i="31"/>
  <c r="AR135" i="31"/>
  <c r="AS135" i="31"/>
  <c r="AT135" i="31"/>
  <c r="AU135" i="31"/>
  <c r="AV135" i="31"/>
  <c r="AW135" i="31"/>
  <c r="AX135" i="31"/>
  <c r="AY135" i="31"/>
  <c r="AZ135" i="31"/>
  <c r="BA135" i="31"/>
  <c r="BB135" i="31"/>
  <c r="BC135" i="31"/>
  <c r="BD135" i="31"/>
  <c r="BE135" i="31"/>
  <c r="BF135" i="31"/>
  <c r="BG135" i="31"/>
  <c r="BH135" i="31"/>
  <c r="BI135" i="31"/>
  <c r="BJ135" i="31"/>
  <c r="BK135" i="31"/>
  <c r="BL135" i="31"/>
  <c r="BM135" i="31"/>
  <c r="BN135" i="31"/>
  <c r="BO135" i="31"/>
  <c r="BP135" i="31"/>
  <c r="BQ135" i="31"/>
  <c r="BR135" i="31"/>
  <c r="BS135" i="31"/>
  <c r="BT135" i="31"/>
  <c r="BU135" i="31"/>
  <c r="BV135" i="31"/>
  <c r="BW135" i="31"/>
  <c r="BX135" i="31"/>
  <c r="BY135" i="31"/>
  <c r="BZ135" i="31"/>
  <c r="CA135" i="31"/>
  <c r="CB135" i="31"/>
  <c r="CC135" i="31"/>
  <c r="CD135" i="31"/>
  <c r="CE135" i="31"/>
  <c r="CF135" i="31"/>
  <c r="CG135" i="31"/>
  <c r="CH135" i="31"/>
  <c r="CI135" i="31"/>
  <c r="CJ135" i="31"/>
  <c r="CK135" i="31"/>
  <c r="CL135" i="31"/>
  <c r="CM135" i="31"/>
  <c r="CN135" i="31"/>
  <c r="CO135" i="31"/>
  <c r="CP135" i="31"/>
  <c r="CQ135" i="31"/>
  <c r="CR135" i="31"/>
  <c r="CS135" i="31"/>
  <c r="CT135" i="31"/>
  <c r="CU135" i="31"/>
  <c r="CV135" i="31"/>
  <c r="CW135" i="31"/>
  <c r="CX135" i="31"/>
  <c r="CY135" i="31"/>
  <c r="CZ135" i="31"/>
  <c r="DA135" i="31"/>
  <c r="DB135" i="31"/>
  <c r="DC135" i="31"/>
  <c r="DD135" i="31"/>
  <c r="DE135" i="31"/>
  <c r="DF135" i="31"/>
  <c r="DG135" i="31"/>
  <c r="DH135" i="31"/>
  <c r="DI135" i="31"/>
  <c r="DJ135" i="31"/>
  <c r="DK135" i="31"/>
  <c r="DL135" i="31"/>
  <c r="DM135" i="31"/>
  <c r="DN135" i="31"/>
  <c r="DO135" i="31"/>
  <c r="DP135" i="31"/>
  <c r="DQ135" i="31"/>
  <c r="DR135" i="31"/>
  <c r="DS135" i="31"/>
  <c r="DT135" i="31"/>
  <c r="DU135" i="31"/>
  <c r="DV135" i="31"/>
  <c r="DW135" i="31"/>
  <c r="DX135" i="31"/>
  <c r="DY135" i="31"/>
  <c r="DZ135" i="31"/>
  <c r="EA135" i="31"/>
  <c r="EB135" i="31"/>
  <c r="EC135" i="31"/>
  <c r="ED135" i="31"/>
  <c r="EE135" i="31"/>
  <c r="EF135" i="31"/>
  <c r="EG135" i="31"/>
  <c r="EH135" i="31"/>
  <c r="EI135" i="31"/>
  <c r="EJ135" i="31"/>
  <c r="EK135" i="31"/>
  <c r="EL135" i="31"/>
  <c r="EM135" i="31"/>
  <c r="EN135" i="31"/>
  <c r="EO135" i="31"/>
  <c r="EP135" i="31"/>
  <c r="EQ135" i="31"/>
  <c r="ER135" i="31"/>
  <c r="ES135" i="31"/>
  <c r="ET135" i="31"/>
  <c r="EU135" i="31"/>
  <c r="EV135" i="31"/>
  <c r="EW135" i="31"/>
  <c r="EX135" i="31"/>
  <c r="EY135" i="31"/>
  <c r="EZ135" i="31"/>
  <c r="FA135" i="31"/>
  <c r="FB135" i="31"/>
  <c r="FC135" i="31"/>
  <c r="FD135" i="31"/>
  <c r="FE135" i="31"/>
  <c r="FF135" i="31"/>
  <c r="FG135" i="31"/>
  <c r="FH135" i="31"/>
  <c r="FI135" i="31"/>
  <c r="FJ135" i="31"/>
  <c r="FK135" i="31"/>
  <c r="FL135" i="31"/>
  <c r="FM135" i="31"/>
  <c r="FN135" i="31"/>
  <c r="FO135" i="31"/>
  <c r="FP135" i="31"/>
  <c r="FQ135" i="31"/>
  <c r="FR135" i="31"/>
  <c r="FS135" i="31"/>
  <c r="FT135" i="31"/>
  <c r="FU135" i="31"/>
  <c r="FV135" i="31"/>
  <c r="FW135" i="31"/>
  <c r="FX135" i="31"/>
  <c r="FY135" i="31"/>
  <c r="FZ135" i="31"/>
  <c r="GA135" i="31"/>
  <c r="GB135" i="31"/>
  <c r="GC135" i="31"/>
  <c r="GD135" i="31"/>
  <c r="GE135" i="31"/>
  <c r="GF135" i="31"/>
  <c r="GG135" i="31"/>
  <c r="GH135" i="31"/>
  <c r="GI135" i="31"/>
  <c r="GJ135" i="31"/>
  <c r="GK135" i="31"/>
  <c r="GL135" i="31"/>
  <c r="GM135" i="31"/>
  <c r="GN135" i="31"/>
  <c r="GO135" i="31"/>
  <c r="GP135" i="31"/>
  <c r="GQ135" i="31"/>
  <c r="GR135" i="31"/>
  <c r="GS135" i="31"/>
  <c r="GT135" i="31"/>
  <c r="GU135" i="31"/>
  <c r="GV135" i="31"/>
  <c r="GW135" i="31"/>
  <c r="GX135" i="31"/>
  <c r="GY135" i="31"/>
  <c r="GZ135" i="31"/>
  <c r="HA135" i="31"/>
  <c r="HB135" i="31"/>
  <c r="HC135" i="31"/>
  <c r="HD135" i="31"/>
  <c r="HE135" i="31"/>
  <c r="HF135" i="31"/>
  <c r="HG135" i="31"/>
  <c r="HH135" i="31"/>
  <c r="HI135" i="31"/>
  <c r="HJ135" i="31"/>
  <c r="HK135" i="31"/>
  <c r="HL135" i="31"/>
  <c r="HM135" i="31"/>
  <c r="HN135" i="31"/>
  <c r="HO135" i="31"/>
  <c r="HP135" i="31"/>
  <c r="HQ135" i="31"/>
  <c r="HR135" i="31"/>
  <c r="HS135" i="31"/>
  <c r="HT135" i="31"/>
  <c r="HU135" i="31"/>
  <c r="HV135" i="31"/>
  <c r="HW135" i="31"/>
  <c r="HX135" i="31"/>
  <c r="HY135" i="31"/>
  <c r="HZ135" i="31"/>
  <c r="IA135" i="31"/>
  <c r="IB135" i="31"/>
  <c r="IC135" i="31"/>
  <c r="ID135" i="31"/>
  <c r="IE135" i="31"/>
  <c r="IF135" i="31"/>
  <c r="IG135" i="31"/>
  <c r="IH135" i="31"/>
  <c r="II135" i="31"/>
  <c r="IJ135" i="31"/>
  <c r="IK135" i="31"/>
  <c r="IL135" i="31"/>
  <c r="IM135" i="31"/>
  <c r="IN135" i="31"/>
  <c r="IO135" i="31"/>
  <c r="IP135" i="31"/>
  <c r="IQ135" i="31"/>
  <c r="IR135" i="31"/>
  <c r="IS135" i="31"/>
  <c r="IT135" i="31"/>
  <c r="IU135" i="31"/>
  <c r="IV135" i="31"/>
  <c r="IW135" i="31"/>
  <c r="IX135" i="31"/>
  <c r="IY135" i="31"/>
  <c r="IZ135" i="31"/>
  <c r="JA135" i="31"/>
  <c r="JB135" i="31"/>
  <c r="JC135" i="31"/>
  <c r="JD135" i="31"/>
  <c r="JE135" i="31"/>
  <c r="JF135" i="31"/>
  <c r="JG135" i="31"/>
  <c r="JH135" i="31"/>
  <c r="JI135" i="31"/>
  <c r="JI137" i="31"/>
  <c r="EB140" i="31"/>
  <c r="D143" i="31"/>
  <c r="E143" i="31"/>
  <c r="F143" i="31"/>
  <c r="G143" i="31"/>
  <c r="H143" i="31"/>
  <c r="I143" i="31"/>
  <c r="J143" i="31"/>
  <c r="K143" i="31"/>
  <c r="L143" i="31"/>
  <c r="M143" i="31"/>
  <c r="N143" i="31"/>
  <c r="O143" i="31"/>
  <c r="P143" i="31"/>
  <c r="Q143" i="31"/>
  <c r="R143" i="31"/>
  <c r="S143" i="31"/>
  <c r="T143" i="31"/>
  <c r="U143" i="31"/>
  <c r="V143" i="31"/>
  <c r="W143" i="31"/>
  <c r="X143" i="31"/>
  <c r="Y143" i="31"/>
  <c r="Z143" i="31"/>
  <c r="AA143" i="31"/>
  <c r="AB143" i="31"/>
  <c r="AD143" i="31"/>
  <c r="AE143" i="31"/>
  <c r="AF143" i="31"/>
  <c r="AG143" i="31"/>
  <c r="AH143" i="31"/>
  <c r="AI143" i="31"/>
  <c r="AJ143" i="31"/>
  <c r="AK143" i="31"/>
  <c r="AL143" i="31"/>
  <c r="AM143" i="31"/>
  <c r="AN143" i="31"/>
  <c r="AO143" i="31"/>
  <c r="AP143" i="31"/>
  <c r="AQ143" i="31"/>
  <c r="AR143" i="31"/>
  <c r="AS143" i="31"/>
  <c r="AT143" i="31"/>
  <c r="AU143" i="31"/>
  <c r="AV143" i="31"/>
  <c r="AW143" i="31"/>
  <c r="AX143" i="31"/>
  <c r="AY143" i="31"/>
  <c r="AZ143" i="31"/>
  <c r="BA143" i="31"/>
  <c r="BB143" i="31"/>
  <c r="BC143" i="31"/>
  <c r="BD143" i="31"/>
  <c r="BE143" i="31"/>
  <c r="BF143" i="31"/>
  <c r="BG143" i="31"/>
  <c r="BH143" i="31"/>
  <c r="BI143" i="31"/>
  <c r="BJ143" i="31"/>
  <c r="BK143" i="31"/>
  <c r="BL143" i="31"/>
  <c r="BM143" i="31"/>
  <c r="BN143" i="31"/>
  <c r="BO143" i="31"/>
  <c r="BP143" i="31"/>
  <c r="BQ143" i="31"/>
  <c r="BR143" i="31"/>
  <c r="BS143" i="31"/>
  <c r="BT143" i="31"/>
  <c r="BU143" i="31"/>
  <c r="BV143" i="31"/>
  <c r="BW143" i="31"/>
  <c r="BX143" i="31"/>
  <c r="BY143" i="31"/>
  <c r="BZ143" i="31"/>
  <c r="CA143" i="31"/>
  <c r="CB143" i="31"/>
  <c r="CC143" i="31"/>
  <c r="CD143" i="31"/>
  <c r="CE143" i="31"/>
  <c r="CF143" i="31"/>
  <c r="CG143" i="31"/>
  <c r="CH143" i="31"/>
  <c r="CI143" i="31"/>
  <c r="CJ143" i="31"/>
  <c r="CK143" i="31"/>
  <c r="CL143" i="31"/>
  <c r="CM143" i="31"/>
  <c r="CN143" i="31"/>
  <c r="CO143" i="31"/>
  <c r="CP143" i="31"/>
  <c r="CQ143" i="31"/>
  <c r="CR143" i="31"/>
  <c r="CS143" i="31"/>
  <c r="CT143" i="31"/>
  <c r="CU143" i="31"/>
  <c r="CV143" i="31"/>
  <c r="CW143" i="31"/>
  <c r="CX143" i="31"/>
  <c r="CY143" i="31"/>
  <c r="CZ143" i="31"/>
  <c r="DA143" i="31"/>
  <c r="DB143" i="31"/>
  <c r="DC143" i="31"/>
  <c r="DD143" i="31"/>
  <c r="DE143" i="31"/>
  <c r="DF143" i="31"/>
  <c r="DG143" i="31"/>
  <c r="DH143" i="31"/>
  <c r="DI143" i="31"/>
  <c r="DJ143" i="31"/>
  <c r="DK143" i="31"/>
  <c r="DL143" i="31"/>
  <c r="DM143" i="31"/>
  <c r="DN143" i="31"/>
  <c r="DO143" i="31"/>
  <c r="DP143" i="31"/>
  <c r="DQ143" i="31"/>
  <c r="DR143" i="31"/>
  <c r="DS143" i="31"/>
  <c r="DT143" i="31"/>
  <c r="DU143" i="31"/>
  <c r="DV143" i="31"/>
  <c r="DW143" i="31"/>
  <c r="DX143" i="31"/>
  <c r="DY143" i="31"/>
  <c r="DZ143" i="31"/>
  <c r="EA143" i="31"/>
  <c r="EB143" i="31"/>
  <c r="EC143" i="31"/>
  <c r="ED143" i="31"/>
  <c r="EE143" i="31"/>
  <c r="EF143" i="31"/>
  <c r="EG143" i="31"/>
  <c r="EH143" i="31"/>
  <c r="EI143" i="31"/>
  <c r="EJ143" i="31"/>
  <c r="EK143" i="31"/>
  <c r="EL143" i="31"/>
  <c r="EM143" i="31"/>
  <c r="EN143" i="31"/>
  <c r="EO143" i="31"/>
  <c r="EP143" i="31"/>
  <c r="EQ143" i="31"/>
  <c r="ER143" i="31"/>
  <c r="ES143" i="31"/>
  <c r="ET143" i="31"/>
  <c r="EU143" i="31"/>
  <c r="EV143" i="31"/>
  <c r="EW143" i="31"/>
  <c r="EX143" i="31"/>
  <c r="EY143" i="31"/>
  <c r="EZ143" i="31"/>
  <c r="FA143" i="31"/>
  <c r="FB143" i="31"/>
  <c r="FC143" i="31"/>
  <c r="FD143" i="31"/>
  <c r="FE143" i="31"/>
  <c r="FF143" i="31"/>
  <c r="FG143" i="31"/>
  <c r="FH143" i="31"/>
  <c r="FI143" i="31"/>
  <c r="FJ143" i="31"/>
  <c r="FK143" i="31"/>
  <c r="FL143" i="31"/>
  <c r="FM143" i="31"/>
  <c r="FN143" i="31"/>
  <c r="FO143" i="31"/>
  <c r="FP143" i="31"/>
  <c r="FQ143" i="31"/>
  <c r="FR143" i="31"/>
  <c r="FS143" i="31"/>
  <c r="FT143" i="31"/>
  <c r="FU143" i="31"/>
  <c r="FV143" i="31"/>
  <c r="FW143" i="31"/>
  <c r="FX143" i="31"/>
  <c r="FY143" i="31"/>
  <c r="FZ143" i="31"/>
  <c r="GA143" i="31"/>
  <c r="GB143" i="31"/>
  <c r="GC143" i="31"/>
  <c r="GD143" i="31"/>
  <c r="GE143" i="31"/>
  <c r="GF143" i="31"/>
  <c r="GG143" i="31"/>
  <c r="GH143" i="31"/>
  <c r="GI143" i="31"/>
  <c r="GJ143" i="31"/>
  <c r="GK143" i="31"/>
  <c r="GL143" i="31"/>
  <c r="GM143" i="31"/>
  <c r="GN143" i="31"/>
  <c r="GO143" i="31"/>
  <c r="GP143" i="31"/>
  <c r="GQ143" i="31"/>
  <c r="GR143" i="31"/>
  <c r="GS143" i="31"/>
  <c r="GT143" i="31"/>
  <c r="GU143" i="31"/>
  <c r="GV143" i="31"/>
  <c r="GW143" i="31"/>
  <c r="GX143" i="31"/>
  <c r="GY143" i="31"/>
  <c r="GZ143" i="31"/>
  <c r="HA143" i="31"/>
  <c r="HB143" i="31"/>
  <c r="HC143" i="31"/>
  <c r="HD143" i="31"/>
  <c r="HE143" i="31"/>
  <c r="HF143" i="31"/>
  <c r="HG143" i="31"/>
  <c r="HH143" i="31"/>
  <c r="HI143" i="31"/>
  <c r="HJ143" i="31"/>
  <c r="HK143" i="31"/>
  <c r="HL143" i="31"/>
  <c r="HM143" i="31"/>
  <c r="HN143" i="31"/>
  <c r="HO143" i="31"/>
  <c r="HP143" i="31"/>
  <c r="HQ143" i="31"/>
  <c r="HR143" i="31"/>
  <c r="HS143" i="31"/>
  <c r="HT143" i="31"/>
  <c r="HU143" i="31"/>
  <c r="HV143" i="31"/>
  <c r="HW143" i="31"/>
  <c r="HX143" i="31"/>
  <c r="HY143" i="31"/>
  <c r="HZ143" i="31"/>
  <c r="IA143" i="31"/>
  <c r="IB143" i="31"/>
  <c r="IC143" i="31"/>
  <c r="ID143" i="31"/>
  <c r="IE143" i="31"/>
  <c r="IF143" i="31"/>
  <c r="IG143" i="31"/>
  <c r="IH143" i="31"/>
  <c r="II143" i="31"/>
  <c r="IJ143" i="31"/>
  <c r="IK143" i="31"/>
  <c r="IL143" i="31"/>
  <c r="IM143" i="31"/>
  <c r="IN143" i="31"/>
  <c r="IO143" i="31"/>
  <c r="IP143" i="31"/>
  <c r="IQ143" i="31"/>
  <c r="IR143" i="31"/>
  <c r="IS143" i="31"/>
  <c r="IT143" i="31"/>
  <c r="IU143" i="31"/>
  <c r="IV143" i="31"/>
  <c r="IW143" i="31"/>
  <c r="IX143" i="31"/>
  <c r="IY143" i="31"/>
  <c r="IZ143" i="31"/>
  <c r="JA143" i="31"/>
  <c r="JB143" i="31"/>
  <c r="JC143" i="31"/>
  <c r="JD143" i="31"/>
  <c r="JE143" i="31"/>
  <c r="JF143" i="31"/>
  <c r="JG143" i="31"/>
  <c r="JH143" i="31"/>
  <c r="JI143" i="31"/>
  <c r="EB148" i="31"/>
  <c r="ET150" i="31"/>
  <c r="EU150" i="31"/>
  <c r="EV150" i="31"/>
  <c r="EW150" i="31"/>
  <c r="EX150" i="31"/>
  <c r="EY150" i="31"/>
  <c r="EZ150" i="31"/>
  <c r="FA150" i="31"/>
  <c r="FB150" i="31"/>
  <c r="FC150" i="31"/>
  <c r="FD150" i="31"/>
  <c r="FE150" i="31"/>
  <c r="FF150" i="31"/>
  <c r="FG150" i="31"/>
  <c r="FH150" i="31"/>
  <c r="FI150" i="31"/>
  <c r="FJ150" i="31"/>
  <c r="FK150" i="31"/>
  <c r="FL150" i="31"/>
  <c r="FM150" i="31"/>
  <c r="FN150" i="31"/>
  <c r="FO150" i="31"/>
  <c r="FP150" i="31"/>
  <c r="FQ150" i="31"/>
  <c r="FR150" i="31"/>
  <c r="FS150" i="31"/>
  <c r="FT150" i="31"/>
  <c r="FU150" i="31"/>
  <c r="FV150" i="31"/>
  <c r="FW150" i="31"/>
  <c r="FX150" i="31"/>
  <c r="FY150" i="31"/>
  <c r="FZ150" i="31"/>
  <c r="GA150" i="31"/>
  <c r="GB150" i="31"/>
  <c r="GC150" i="31"/>
  <c r="GD150" i="31"/>
  <c r="GE150" i="31"/>
  <c r="GF150" i="31"/>
  <c r="GG150" i="31"/>
  <c r="GH150" i="31"/>
  <c r="GI150" i="31"/>
  <c r="GJ150" i="31"/>
  <c r="GK150" i="31"/>
  <c r="GL150" i="31"/>
  <c r="GM150" i="31"/>
  <c r="GN150" i="31"/>
  <c r="GO150" i="31"/>
  <c r="GP150" i="31"/>
  <c r="GQ150" i="31"/>
  <c r="GR150" i="31"/>
  <c r="GS150" i="31"/>
  <c r="GT150" i="31"/>
  <c r="GU150" i="31"/>
  <c r="GV150" i="31"/>
  <c r="GW150" i="31"/>
  <c r="GX150" i="31"/>
  <c r="GY150" i="31"/>
  <c r="GZ150" i="31"/>
  <c r="HA150" i="31"/>
  <c r="HB150" i="31"/>
  <c r="HC150" i="31"/>
  <c r="HD150" i="31"/>
  <c r="HE150" i="31"/>
  <c r="HF150" i="31"/>
  <c r="HG150" i="31"/>
  <c r="HH150" i="31"/>
  <c r="HI150" i="31"/>
  <c r="HJ150" i="31"/>
  <c r="HK150" i="31"/>
  <c r="HL150" i="31"/>
  <c r="HM150" i="31"/>
  <c r="HN150" i="31"/>
  <c r="HO150" i="31"/>
  <c r="HP150" i="31"/>
  <c r="HQ150" i="31"/>
  <c r="HR150" i="31"/>
  <c r="HS150" i="31"/>
  <c r="HT150" i="31"/>
  <c r="HU150" i="31"/>
  <c r="HV150" i="31"/>
  <c r="HW150" i="31"/>
  <c r="HX150" i="31"/>
  <c r="HY150" i="31"/>
  <c r="HZ150" i="31"/>
  <c r="IA150" i="31"/>
  <c r="IB150" i="31"/>
  <c r="IC150" i="31"/>
  <c r="ID150" i="31"/>
  <c r="IE150" i="31"/>
  <c r="IF150" i="31"/>
  <c r="IG150" i="31"/>
  <c r="IH150" i="31"/>
  <c r="II150" i="31"/>
  <c r="IJ150" i="31"/>
  <c r="IK150" i="31"/>
  <c r="IL150" i="31"/>
  <c r="IM150" i="31"/>
  <c r="IN150" i="31"/>
  <c r="IO150" i="31"/>
  <c r="IP150" i="31"/>
  <c r="IQ150" i="31"/>
  <c r="IR150" i="31"/>
  <c r="IS150" i="31"/>
  <c r="IT150" i="31"/>
  <c r="IU150" i="31"/>
  <c r="IV150" i="31"/>
  <c r="IW150" i="31"/>
  <c r="IX150" i="31"/>
  <c r="IY150" i="31"/>
  <c r="IZ150" i="31"/>
  <c r="JA150" i="31"/>
  <c r="JC150" i="31"/>
  <c r="JE150" i="31"/>
  <c r="JF150" i="31"/>
  <c r="JG150" i="31"/>
  <c r="JH150" i="31"/>
  <c r="JI150" i="31"/>
  <c r="D153" i="31"/>
  <c r="E153" i="31"/>
  <c r="F153" i="31"/>
  <c r="G153" i="31"/>
  <c r="H153" i="31"/>
  <c r="I153" i="31"/>
  <c r="J153" i="31"/>
  <c r="K153" i="31"/>
  <c r="L153" i="31"/>
  <c r="M153" i="31"/>
  <c r="N153" i="31"/>
  <c r="O153" i="31"/>
  <c r="P153" i="31"/>
  <c r="Q153" i="31"/>
  <c r="R153" i="31"/>
  <c r="S153" i="31"/>
  <c r="T153" i="31"/>
  <c r="U153" i="31"/>
  <c r="V153" i="31"/>
  <c r="W153" i="31"/>
  <c r="X153" i="31"/>
  <c r="Y153" i="31"/>
  <c r="Z153" i="31"/>
  <c r="AA153" i="31"/>
  <c r="AB153" i="31"/>
  <c r="AD153" i="31"/>
  <c r="AE153" i="31"/>
  <c r="AF153" i="31"/>
  <c r="AG153" i="31"/>
  <c r="AH153" i="31"/>
  <c r="AI153" i="31"/>
  <c r="AJ153" i="31"/>
  <c r="AK153" i="31"/>
  <c r="AL153" i="31"/>
  <c r="AM153" i="31"/>
  <c r="AN153" i="31"/>
  <c r="AO153" i="31"/>
  <c r="AP153" i="31"/>
  <c r="AQ153" i="31"/>
  <c r="AR153" i="31"/>
  <c r="AS153" i="31"/>
  <c r="AT153" i="31"/>
  <c r="AU153" i="31"/>
  <c r="AV153" i="31"/>
  <c r="AW153" i="31"/>
  <c r="AX153" i="31"/>
  <c r="AY153" i="31"/>
  <c r="AZ153" i="31"/>
  <c r="BA153" i="31"/>
  <c r="BB153" i="31"/>
  <c r="BC153" i="31"/>
  <c r="BD153" i="31"/>
  <c r="BE153" i="31"/>
  <c r="BF153" i="31"/>
  <c r="BG153" i="31"/>
  <c r="BH153" i="31"/>
  <c r="BI153" i="31"/>
  <c r="BJ153" i="31"/>
  <c r="BK153" i="31"/>
  <c r="BL153" i="31"/>
  <c r="BM153" i="31"/>
  <c r="BN153" i="31"/>
  <c r="BO153" i="31"/>
  <c r="BP153" i="31"/>
  <c r="BQ153" i="31"/>
  <c r="BR153" i="31"/>
  <c r="BS153" i="31"/>
  <c r="BT153" i="31"/>
  <c r="BU153" i="31"/>
  <c r="BV153" i="31"/>
  <c r="BW153" i="31"/>
  <c r="BX153" i="31"/>
  <c r="BY153" i="31"/>
  <c r="BZ153" i="31"/>
  <c r="CA153" i="31"/>
  <c r="CB153" i="31"/>
  <c r="CC153" i="31"/>
  <c r="CD153" i="31"/>
  <c r="CE153" i="31"/>
  <c r="CF153" i="31"/>
  <c r="CG153" i="31"/>
  <c r="CH153" i="31"/>
  <c r="CI153" i="31"/>
  <c r="CJ153" i="31"/>
  <c r="CK153" i="31"/>
  <c r="CL153" i="31"/>
  <c r="CM153" i="31"/>
  <c r="CN153" i="31"/>
  <c r="CO153" i="31"/>
  <c r="CP153" i="31"/>
  <c r="CQ153" i="31"/>
  <c r="CR153" i="31"/>
  <c r="CS153" i="31"/>
  <c r="CT153" i="31"/>
  <c r="CU153" i="31"/>
  <c r="CV153" i="31"/>
  <c r="CW153" i="31"/>
  <c r="CX153" i="31"/>
  <c r="CY153" i="31"/>
  <c r="CZ153" i="31"/>
  <c r="DA153" i="31"/>
  <c r="DB153" i="31"/>
  <c r="DC153" i="31"/>
  <c r="DD153" i="31"/>
  <c r="DE153" i="31"/>
  <c r="DF153" i="31"/>
  <c r="DG153" i="31"/>
  <c r="DH153" i="31"/>
  <c r="DI153" i="31"/>
  <c r="DJ153" i="31"/>
  <c r="DK153" i="31"/>
  <c r="DL153" i="31"/>
  <c r="DM153" i="31"/>
  <c r="DN153" i="31"/>
  <c r="DO153" i="31"/>
  <c r="DP153" i="31"/>
  <c r="DQ153" i="31"/>
  <c r="DR153" i="31"/>
  <c r="DS153" i="31"/>
  <c r="DT153" i="31"/>
  <c r="DU153" i="31"/>
  <c r="DV153" i="31"/>
  <c r="DW153" i="31"/>
  <c r="DX153" i="31"/>
  <c r="DY153" i="31"/>
  <c r="DZ153" i="31"/>
  <c r="EA153" i="31"/>
  <c r="EB153" i="31"/>
  <c r="EC153" i="31"/>
  <c r="ED153" i="31"/>
  <c r="EE153" i="31"/>
  <c r="EF153" i="31"/>
  <c r="EG153" i="31"/>
  <c r="EH153" i="31"/>
  <c r="EI153" i="31"/>
  <c r="EJ153" i="31"/>
  <c r="EK153" i="31"/>
  <c r="EL153" i="31"/>
  <c r="EM153" i="31"/>
  <c r="EN153" i="31"/>
  <c r="EO153" i="31"/>
  <c r="EP153" i="31"/>
  <c r="EQ153" i="31"/>
  <c r="ER153" i="31"/>
  <c r="ES153" i="31"/>
  <c r="ET153" i="31"/>
  <c r="EU153" i="31"/>
  <c r="EV153" i="31"/>
  <c r="EW153" i="31"/>
  <c r="EX153" i="31"/>
  <c r="EY153" i="31"/>
  <c r="EZ153" i="31"/>
  <c r="FA153" i="31"/>
  <c r="FB153" i="31"/>
  <c r="FC153" i="31"/>
  <c r="FD153" i="31"/>
  <c r="FE153" i="31"/>
  <c r="FF153" i="31"/>
  <c r="FG153" i="31"/>
  <c r="FH153" i="31"/>
  <c r="FI153" i="31"/>
  <c r="FJ153" i="31"/>
  <c r="FK153" i="31"/>
  <c r="FL153" i="31"/>
  <c r="FM153" i="31"/>
  <c r="FN153" i="31"/>
  <c r="FO153" i="31"/>
  <c r="FP153" i="31"/>
  <c r="FQ153" i="31"/>
  <c r="FR153" i="31"/>
  <c r="FS153" i="31"/>
  <c r="FT153" i="31"/>
  <c r="FU153" i="31"/>
  <c r="FV153" i="31"/>
  <c r="FW153" i="31"/>
  <c r="FX153" i="31"/>
  <c r="FY153" i="31"/>
  <c r="FZ153" i="31"/>
  <c r="GA153" i="31"/>
  <c r="GB153" i="31"/>
  <c r="GC153" i="31"/>
  <c r="GD153" i="31"/>
  <c r="GE153" i="31"/>
  <c r="GF153" i="31"/>
  <c r="GG153" i="31"/>
  <c r="GH153" i="31"/>
  <c r="GI153" i="31"/>
  <c r="GJ153" i="31"/>
  <c r="GK153" i="31"/>
  <c r="GL153" i="31"/>
  <c r="GM153" i="31"/>
  <c r="GN153" i="31"/>
  <c r="GO153" i="31"/>
  <c r="GP153" i="31"/>
  <c r="GQ153" i="31"/>
  <c r="GR153" i="31"/>
  <c r="GS153" i="31"/>
  <c r="GT153" i="31"/>
  <c r="GU153" i="31"/>
  <c r="GV153" i="31"/>
  <c r="GW153" i="31"/>
  <c r="GX153" i="31"/>
  <c r="GY153" i="31"/>
  <c r="GZ153" i="31"/>
  <c r="HA153" i="31"/>
  <c r="HB153" i="31"/>
  <c r="HC153" i="31"/>
  <c r="HD153" i="31"/>
  <c r="HE153" i="31"/>
  <c r="HF153" i="31"/>
  <c r="HG153" i="31"/>
  <c r="HH153" i="31"/>
  <c r="HI153" i="31"/>
  <c r="HJ153" i="31"/>
  <c r="HK153" i="31"/>
  <c r="HL153" i="31"/>
  <c r="HM153" i="31"/>
  <c r="HN153" i="31"/>
  <c r="HO153" i="31"/>
  <c r="HP153" i="31"/>
  <c r="HQ153" i="31"/>
  <c r="HR153" i="31"/>
  <c r="HS153" i="31"/>
  <c r="HT153" i="31"/>
  <c r="HU153" i="31"/>
  <c r="HV153" i="31"/>
  <c r="HW153" i="31"/>
  <c r="HX153" i="31"/>
  <c r="HY153" i="31"/>
  <c r="HZ153" i="31"/>
  <c r="IA153" i="31"/>
  <c r="IB153" i="31"/>
  <c r="IC153" i="31"/>
  <c r="ID153" i="31"/>
  <c r="IE153" i="31"/>
  <c r="IF153" i="31"/>
  <c r="IG153" i="31"/>
  <c r="IH153" i="31"/>
  <c r="II153" i="31"/>
  <c r="IJ153" i="31"/>
  <c r="IK153" i="31"/>
  <c r="IL153" i="31"/>
  <c r="IM153" i="31"/>
  <c r="IN153" i="31"/>
  <c r="IO153" i="31"/>
  <c r="IP153" i="31"/>
  <c r="IQ153" i="31"/>
  <c r="IR153" i="31"/>
  <c r="IS153" i="31"/>
  <c r="IT153" i="31"/>
  <c r="IU153" i="31"/>
  <c r="IV153" i="31"/>
  <c r="IW153" i="31"/>
  <c r="IX153" i="31"/>
  <c r="IY153" i="31"/>
  <c r="IZ153" i="31"/>
  <c r="JA153" i="31"/>
  <c r="JB153" i="31"/>
  <c r="JC153" i="31"/>
  <c r="JD153" i="31"/>
  <c r="JE153" i="31"/>
  <c r="JF153" i="31"/>
  <c r="JG153" i="31"/>
  <c r="JH153" i="31"/>
  <c r="JI153" i="31"/>
  <c r="FR163" i="31"/>
  <c r="D166" i="31"/>
  <c r="E166" i="31"/>
  <c r="F166" i="31"/>
  <c r="G166" i="31"/>
  <c r="H166" i="31"/>
  <c r="I166" i="31"/>
  <c r="J166" i="31"/>
  <c r="K166" i="31"/>
  <c r="L166" i="31"/>
  <c r="M166" i="31"/>
  <c r="N166" i="31"/>
  <c r="O166" i="31"/>
  <c r="P166" i="31"/>
  <c r="Q166" i="31"/>
  <c r="R166" i="31"/>
  <c r="S166" i="31"/>
  <c r="T166" i="31"/>
  <c r="U166" i="31"/>
  <c r="V166" i="31"/>
  <c r="W166" i="31"/>
  <c r="X166" i="31"/>
  <c r="Y166" i="31"/>
  <c r="Z166" i="31"/>
  <c r="AA166" i="31"/>
  <c r="AB166" i="31"/>
  <c r="AD166" i="31"/>
  <c r="AE166" i="31"/>
  <c r="AF166" i="31"/>
  <c r="AG166" i="31"/>
  <c r="AH166" i="31"/>
  <c r="AI166" i="31"/>
  <c r="AJ166" i="31"/>
  <c r="AK166" i="31"/>
  <c r="AL166" i="31"/>
  <c r="AM166" i="31"/>
  <c r="AN166" i="31"/>
  <c r="AO166" i="31"/>
  <c r="AP166" i="31"/>
  <c r="AQ166" i="31"/>
  <c r="AR166" i="31"/>
  <c r="AS166" i="31"/>
  <c r="AT166" i="31"/>
  <c r="AU166" i="31"/>
  <c r="AV166" i="31"/>
  <c r="AW166" i="31"/>
  <c r="AX166" i="31"/>
  <c r="AY166" i="31"/>
  <c r="AZ166" i="31"/>
  <c r="BA166" i="31"/>
  <c r="BB166" i="31"/>
  <c r="BC166" i="31"/>
  <c r="BD166" i="31"/>
  <c r="BE166" i="31"/>
  <c r="BF166" i="31"/>
  <c r="BG166" i="31"/>
  <c r="BH166" i="31"/>
  <c r="BI166" i="31"/>
  <c r="BJ166" i="31"/>
  <c r="BK166" i="31"/>
  <c r="BL166" i="31"/>
  <c r="BM166" i="31"/>
  <c r="BN166" i="31"/>
  <c r="BO166" i="31"/>
  <c r="BP166" i="31"/>
  <c r="BQ166" i="31"/>
  <c r="BR166" i="31"/>
  <c r="BS166" i="31"/>
  <c r="BT166" i="31"/>
  <c r="BU166" i="31"/>
  <c r="BV166" i="31"/>
  <c r="BW166" i="31"/>
  <c r="BX166" i="31"/>
  <c r="BY166" i="31"/>
  <c r="BZ166" i="31"/>
  <c r="CA166" i="31"/>
  <c r="CB166" i="31"/>
  <c r="CC166" i="31"/>
  <c r="CD166" i="31"/>
  <c r="CE166" i="31"/>
  <c r="CF166" i="31"/>
  <c r="CG166" i="31"/>
  <c r="CH166" i="31"/>
  <c r="CI166" i="31"/>
  <c r="CJ166" i="31"/>
  <c r="CK166" i="31"/>
  <c r="CL166" i="31"/>
  <c r="CM166" i="31"/>
  <c r="CN166" i="31"/>
  <c r="CO166" i="31"/>
  <c r="CP166" i="31"/>
  <c r="CQ166" i="31"/>
  <c r="CR166" i="31"/>
  <c r="CS166" i="31"/>
  <c r="CT166" i="31"/>
  <c r="CU166" i="31"/>
  <c r="CV166" i="31"/>
  <c r="CW166" i="31"/>
  <c r="CX166" i="31"/>
  <c r="CY166" i="31"/>
  <c r="CZ166" i="31"/>
  <c r="DA166" i="31"/>
  <c r="DB166" i="31"/>
  <c r="DC166" i="31"/>
  <c r="DD166" i="31"/>
  <c r="DE166" i="31"/>
  <c r="DF166" i="31"/>
  <c r="DG166" i="31"/>
  <c r="DH166" i="31"/>
  <c r="DI166" i="31"/>
  <c r="DJ166" i="31"/>
  <c r="DK166" i="31"/>
  <c r="DL166" i="31"/>
  <c r="DM166" i="31"/>
  <c r="DN166" i="31"/>
  <c r="DO166" i="31"/>
  <c r="DP166" i="31"/>
  <c r="DQ166" i="31"/>
  <c r="DR166" i="31"/>
  <c r="DS166" i="31"/>
  <c r="DT166" i="31"/>
  <c r="DU166" i="31"/>
  <c r="DV166" i="31"/>
  <c r="DW166" i="31"/>
  <c r="DX166" i="31"/>
  <c r="DY166" i="31"/>
  <c r="DZ166" i="31"/>
  <c r="EA166" i="31"/>
  <c r="EB166" i="31"/>
  <c r="EC166" i="31"/>
  <c r="ED166" i="31"/>
  <c r="EE166" i="31"/>
  <c r="EF166" i="31"/>
  <c r="EG166" i="31"/>
  <c r="EH166" i="31"/>
  <c r="EI166" i="31"/>
  <c r="EJ166" i="31"/>
  <c r="EK166" i="31"/>
  <c r="EL166" i="31"/>
  <c r="EM166" i="31"/>
  <c r="EN166" i="31"/>
  <c r="EO166" i="31"/>
  <c r="EP166" i="31"/>
  <c r="EQ166" i="31"/>
  <c r="ER166" i="31"/>
  <c r="ES166" i="31"/>
  <c r="ET166" i="31"/>
  <c r="EU166" i="31"/>
  <c r="EV166" i="31"/>
  <c r="EW166" i="31"/>
  <c r="EX166" i="31"/>
  <c r="EY166" i="31"/>
  <c r="EZ166" i="31"/>
  <c r="FA166" i="31"/>
  <c r="FB166" i="31"/>
  <c r="FC166" i="31"/>
  <c r="FD166" i="31"/>
  <c r="FE166" i="31"/>
  <c r="FF166" i="31"/>
  <c r="FG166" i="31"/>
  <c r="FH166" i="31"/>
  <c r="FI166" i="31"/>
  <c r="FJ166" i="31"/>
  <c r="FK166" i="31"/>
  <c r="FL166" i="31"/>
  <c r="FM166" i="31"/>
  <c r="FN166" i="31"/>
  <c r="FO166" i="31"/>
  <c r="FP166" i="31"/>
  <c r="FQ166" i="31"/>
  <c r="FR166" i="31"/>
  <c r="FS166" i="31"/>
  <c r="FT166" i="31"/>
  <c r="FU166" i="31"/>
  <c r="FV166" i="31"/>
  <c r="FW166" i="31"/>
  <c r="FX166" i="31"/>
  <c r="FY166" i="31"/>
  <c r="FZ166" i="31"/>
  <c r="GA166" i="31"/>
  <c r="GB166" i="31"/>
  <c r="GC166" i="31"/>
  <c r="GD166" i="31"/>
  <c r="GE166" i="31"/>
  <c r="GF166" i="31"/>
  <c r="GG166" i="31"/>
  <c r="GH166" i="31"/>
  <c r="GI166" i="31"/>
  <c r="GJ166" i="31"/>
  <c r="GK166" i="31"/>
  <c r="GL166" i="31"/>
  <c r="GM166" i="31"/>
  <c r="GN166" i="31"/>
  <c r="GO166" i="31"/>
  <c r="GP166" i="31"/>
  <c r="GQ166" i="31"/>
  <c r="GR166" i="31"/>
  <c r="GS166" i="31"/>
  <c r="GT166" i="31"/>
  <c r="GU166" i="31"/>
  <c r="GV166" i="31"/>
  <c r="GW166" i="31"/>
  <c r="GX166" i="31"/>
  <c r="GY166" i="31"/>
  <c r="GZ166" i="31"/>
  <c r="HA166" i="31"/>
  <c r="HB166" i="31"/>
  <c r="HC166" i="31"/>
  <c r="HD166" i="31"/>
  <c r="HE166" i="31"/>
  <c r="HF166" i="31"/>
  <c r="HG166" i="31"/>
  <c r="HH166" i="31"/>
  <c r="HI166" i="31"/>
  <c r="HJ166" i="31"/>
  <c r="HK166" i="31"/>
  <c r="HL166" i="31"/>
  <c r="HM166" i="31"/>
  <c r="HN166" i="31"/>
  <c r="HO166" i="31"/>
  <c r="HP166" i="31"/>
  <c r="HQ166" i="31"/>
  <c r="HR166" i="31"/>
  <c r="HS166" i="31"/>
  <c r="HT166" i="31"/>
  <c r="HU166" i="31"/>
  <c r="HV166" i="31"/>
  <c r="HW166" i="31"/>
  <c r="HX166" i="31"/>
  <c r="HY166" i="31"/>
  <c r="HZ166" i="31"/>
  <c r="IA166" i="31"/>
  <c r="IB166" i="31"/>
  <c r="IC166" i="31"/>
  <c r="ID166" i="31"/>
  <c r="IE166" i="31"/>
  <c r="IF166" i="31"/>
  <c r="IG166" i="31"/>
  <c r="IH166" i="31"/>
  <c r="II166" i="31"/>
  <c r="IJ166" i="31"/>
  <c r="IK166" i="31"/>
  <c r="IL166" i="31"/>
  <c r="IM166" i="31"/>
  <c r="IN166" i="31"/>
  <c r="IO166" i="31"/>
  <c r="IP166" i="31"/>
  <c r="IQ166" i="31"/>
  <c r="IR166" i="31"/>
  <c r="IS166" i="31"/>
  <c r="IT166" i="31"/>
  <c r="IU166" i="31"/>
  <c r="IV166" i="31"/>
  <c r="IW166" i="31"/>
  <c r="IX166" i="31"/>
  <c r="IY166" i="31"/>
  <c r="IZ166" i="31"/>
  <c r="JA166" i="31"/>
  <c r="JB166" i="31"/>
  <c r="JC166" i="31"/>
  <c r="JD166" i="31"/>
  <c r="JE166" i="31"/>
  <c r="JF166" i="31"/>
  <c r="JG166" i="31"/>
  <c r="JH166" i="31"/>
  <c r="JI166" i="31"/>
  <c r="D170" i="31"/>
  <c r="E170" i="31"/>
  <c r="F170" i="31"/>
  <c r="G170" i="31"/>
  <c r="H170" i="31"/>
  <c r="I170" i="31"/>
  <c r="J170" i="31"/>
  <c r="K170" i="31"/>
  <c r="L170" i="31"/>
  <c r="M170" i="31"/>
  <c r="N170" i="31"/>
  <c r="O170" i="31"/>
  <c r="P170" i="31"/>
  <c r="Q170" i="31"/>
  <c r="R170" i="31"/>
  <c r="S170" i="31"/>
  <c r="T170" i="31"/>
  <c r="U170" i="31"/>
  <c r="V170" i="31"/>
  <c r="W170" i="31"/>
  <c r="X170" i="31"/>
  <c r="Y170" i="31"/>
  <c r="Z170" i="31"/>
  <c r="AA170" i="31"/>
  <c r="AB170" i="31"/>
  <c r="AD170" i="31"/>
  <c r="AE170" i="31"/>
  <c r="AF170" i="31"/>
  <c r="AG170" i="31"/>
  <c r="AH170" i="31"/>
  <c r="AI170" i="31"/>
  <c r="AJ170" i="31"/>
  <c r="AK170" i="31"/>
  <c r="AL170" i="31"/>
  <c r="AM170" i="31"/>
  <c r="AN170" i="31"/>
  <c r="AO170" i="31"/>
  <c r="AP170" i="31"/>
  <c r="AQ170" i="31"/>
  <c r="AR170" i="31"/>
  <c r="AS170" i="31"/>
  <c r="AT170" i="31"/>
  <c r="AU170" i="31"/>
  <c r="AV170" i="31"/>
  <c r="AW170" i="31"/>
  <c r="AX170" i="31"/>
  <c r="AY170" i="31"/>
  <c r="AZ170" i="31"/>
  <c r="BA170" i="31"/>
  <c r="BB170" i="31"/>
  <c r="BC170" i="31"/>
  <c r="BD170" i="31"/>
  <c r="BE170" i="31"/>
  <c r="BF170" i="31"/>
  <c r="BG170" i="31"/>
  <c r="BH170" i="31"/>
  <c r="BI170" i="31"/>
  <c r="BJ170" i="31"/>
  <c r="BK170" i="31"/>
  <c r="BL170" i="31"/>
  <c r="BM170" i="31"/>
  <c r="BN170" i="31"/>
  <c r="BO170" i="31"/>
  <c r="BP170" i="31"/>
  <c r="BQ170" i="31"/>
  <c r="BR170" i="31"/>
  <c r="BS170" i="31"/>
  <c r="BT170" i="31"/>
  <c r="BU170" i="31"/>
  <c r="BV170" i="31"/>
  <c r="BW170" i="31"/>
  <c r="BX170" i="31"/>
  <c r="BY170" i="31"/>
  <c r="BZ170" i="31"/>
  <c r="CA170" i="31"/>
  <c r="CB170" i="31"/>
  <c r="CC170" i="31"/>
  <c r="CD170" i="31"/>
  <c r="CE170" i="31"/>
  <c r="CF170" i="31"/>
  <c r="CG170" i="31"/>
  <c r="CH170" i="31"/>
  <c r="CI170" i="31"/>
  <c r="CJ170" i="31"/>
  <c r="CK170" i="31"/>
  <c r="CL170" i="31"/>
  <c r="CM170" i="31"/>
  <c r="CN170" i="31"/>
  <c r="CO170" i="31"/>
  <c r="CP170" i="31"/>
  <c r="CQ170" i="31"/>
  <c r="CR170" i="31"/>
  <c r="CS170" i="31"/>
  <c r="CT170" i="31"/>
  <c r="CU170" i="31"/>
  <c r="CV170" i="31"/>
  <c r="CW170" i="31"/>
  <c r="CX170" i="31"/>
  <c r="CY170" i="31"/>
  <c r="CZ170" i="31"/>
  <c r="DA170" i="31"/>
  <c r="DB170" i="31"/>
  <c r="DC170" i="31"/>
  <c r="DD170" i="31"/>
  <c r="DE170" i="31"/>
  <c r="DF170" i="31"/>
  <c r="DG170" i="31"/>
  <c r="DH170" i="31"/>
  <c r="DI170" i="31"/>
  <c r="DJ170" i="31"/>
  <c r="DK170" i="31"/>
  <c r="DL170" i="31"/>
  <c r="DM170" i="31"/>
  <c r="DN170" i="31"/>
  <c r="DO170" i="31"/>
  <c r="DP170" i="31"/>
  <c r="DQ170" i="31"/>
  <c r="DR170" i="31"/>
  <c r="DS170" i="31"/>
  <c r="DT170" i="31"/>
  <c r="DU170" i="31"/>
  <c r="DV170" i="31"/>
  <c r="DW170" i="31"/>
  <c r="DX170" i="31"/>
  <c r="DY170" i="31"/>
  <c r="DZ170" i="31"/>
  <c r="EA170" i="31"/>
  <c r="EB170" i="31"/>
  <c r="EC170" i="31"/>
  <c r="ED170" i="31"/>
  <c r="EE170" i="31"/>
  <c r="EF170" i="31"/>
  <c r="EG170" i="31"/>
  <c r="EH170" i="31"/>
  <c r="EI170" i="31"/>
  <c r="EJ170" i="31"/>
  <c r="EK170" i="31"/>
  <c r="EL170" i="31"/>
  <c r="EM170" i="31"/>
  <c r="EN170" i="31"/>
  <c r="EO170" i="31"/>
  <c r="EP170" i="31"/>
  <c r="EQ170" i="31"/>
  <c r="ER170" i="31"/>
  <c r="ES170" i="31"/>
  <c r="ET170" i="31"/>
  <c r="EU170" i="31"/>
  <c r="EV170" i="31"/>
  <c r="EW170" i="31"/>
  <c r="EX170" i="31"/>
  <c r="EY170" i="31"/>
  <c r="EZ170" i="31"/>
  <c r="FA170" i="31"/>
  <c r="FB170" i="31"/>
  <c r="FC170" i="31"/>
  <c r="FD170" i="31"/>
  <c r="FE170" i="31"/>
  <c r="FF170" i="31"/>
  <c r="FG170" i="31"/>
  <c r="FH170" i="31"/>
  <c r="FI170" i="31"/>
  <c r="FJ170" i="31"/>
  <c r="FK170" i="31"/>
  <c r="FL170" i="31"/>
  <c r="FM170" i="31"/>
  <c r="FN170" i="31"/>
  <c r="FO170" i="31"/>
  <c r="FP170" i="31"/>
  <c r="FQ170" i="31"/>
  <c r="FR170" i="31"/>
  <c r="FS170" i="31"/>
  <c r="FT170" i="31"/>
  <c r="FU170" i="31"/>
  <c r="FV170" i="31"/>
  <c r="FW170" i="31"/>
  <c r="FX170" i="31"/>
  <c r="FY170" i="31"/>
  <c r="FZ170" i="31"/>
  <c r="GA170" i="31"/>
  <c r="GB170" i="31"/>
  <c r="GC170" i="31"/>
  <c r="GD170" i="31"/>
  <c r="GE170" i="31"/>
  <c r="GF170" i="31"/>
  <c r="GG170" i="31"/>
  <c r="GH170" i="31"/>
  <c r="GI170" i="31"/>
  <c r="GJ170" i="31"/>
  <c r="GK170" i="31"/>
  <c r="GL170" i="31"/>
  <c r="GM170" i="31"/>
  <c r="GN170" i="31"/>
  <c r="GO170" i="31"/>
  <c r="GP170" i="31"/>
  <c r="GQ170" i="31"/>
  <c r="GR170" i="31"/>
  <c r="GS170" i="31"/>
  <c r="GT170" i="31"/>
  <c r="GU170" i="31"/>
  <c r="GV170" i="31"/>
  <c r="GW170" i="31"/>
  <c r="GX170" i="31"/>
  <c r="GY170" i="31"/>
  <c r="GZ170" i="31"/>
  <c r="HA170" i="31"/>
  <c r="HB170" i="31"/>
  <c r="HC170" i="31"/>
  <c r="HD170" i="31"/>
  <c r="HE170" i="31"/>
  <c r="HF170" i="31"/>
  <c r="HG170" i="31"/>
  <c r="HH170" i="31"/>
  <c r="HI170" i="31"/>
  <c r="HJ170" i="31"/>
  <c r="HK170" i="31"/>
  <c r="HL170" i="31"/>
  <c r="HM170" i="31"/>
  <c r="HN170" i="31"/>
  <c r="HO170" i="31"/>
  <c r="HP170" i="31"/>
  <c r="HQ170" i="31"/>
  <c r="HR170" i="31"/>
  <c r="HS170" i="31"/>
  <c r="HT170" i="31"/>
  <c r="HU170" i="31"/>
  <c r="HV170" i="31"/>
  <c r="HW170" i="31"/>
  <c r="HX170" i="31"/>
  <c r="HY170" i="31"/>
  <c r="HZ170" i="31"/>
  <c r="IA170" i="31"/>
  <c r="IB170" i="31"/>
  <c r="IC170" i="31"/>
  <c r="ID170" i="31"/>
  <c r="IE170" i="31"/>
  <c r="IF170" i="31"/>
  <c r="IG170" i="31"/>
  <c r="IH170" i="31"/>
  <c r="II170" i="31"/>
  <c r="IJ170" i="31"/>
  <c r="IK170" i="31"/>
  <c r="IL170" i="31"/>
  <c r="IM170" i="31"/>
  <c r="IN170" i="31"/>
  <c r="IO170" i="31"/>
  <c r="IP170" i="31"/>
  <c r="IQ170" i="31"/>
  <c r="IR170" i="31"/>
  <c r="IS170" i="31"/>
  <c r="IT170" i="31"/>
  <c r="IU170" i="31"/>
  <c r="IV170" i="31"/>
  <c r="IW170" i="31"/>
  <c r="IX170" i="31"/>
  <c r="IY170" i="31"/>
  <c r="IZ170" i="31"/>
  <c r="JA170" i="31"/>
  <c r="JB170" i="31"/>
  <c r="JC170" i="31"/>
  <c r="JD170" i="31"/>
  <c r="JE170" i="31"/>
  <c r="JF170" i="31"/>
  <c r="JG170" i="31"/>
  <c r="JH170" i="31"/>
  <c r="JI170" i="31"/>
  <c r="C17" i="31"/>
  <c r="C18" i="31"/>
  <c r="C26" i="31"/>
  <c r="C39" i="31"/>
  <c r="C45" i="31"/>
  <c r="C54" i="31"/>
  <c r="C57" i="31"/>
  <c r="C70" i="31"/>
  <c r="C71" i="31"/>
  <c r="C72" i="31"/>
  <c r="C73" i="31"/>
  <c r="C74" i="31"/>
  <c r="C75" i="31"/>
  <c r="C76" i="31"/>
  <c r="C83" i="31"/>
  <c r="C84" i="31"/>
  <c r="C85" i="31"/>
  <c r="C88" i="31"/>
  <c r="C90" i="31"/>
  <c r="C91" i="31"/>
  <c r="C95" i="31"/>
  <c r="C96" i="31"/>
  <c r="C101" i="31"/>
  <c r="C112" i="31"/>
  <c r="C113" i="31"/>
  <c r="C115" i="31"/>
  <c r="C116" i="31"/>
  <c r="C118" i="31"/>
  <c r="C122" i="31"/>
  <c r="C123" i="31"/>
  <c r="C130" i="31"/>
  <c r="C131" i="31"/>
  <c r="C134" i="31"/>
  <c r="C135" i="31"/>
  <c r="C143" i="31"/>
  <c r="C153" i="31"/>
  <c r="C166" i="31"/>
  <c r="C170" i="31"/>
  <c r="B136" i="31"/>
  <c r="B120" i="31"/>
  <c r="B155" i="31" s="1"/>
  <c r="B105" i="31"/>
  <c r="B119" i="31" s="1"/>
  <c r="B154" i="31" s="1"/>
  <c r="B161" i="31" s="1"/>
  <c r="B99" i="31"/>
  <c r="A93" i="31"/>
  <c r="B81" i="31"/>
  <c r="B80" i="31"/>
  <c r="B78" i="31"/>
  <c r="B77" i="31"/>
  <c r="B66" i="31"/>
  <c r="B65" i="31"/>
  <c r="B64" i="31"/>
  <c r="JH6" i="31"/>
  <c r="JG6" i="31"/>
  <c r="JF6" i="31"/>
  <c r="JE6" i="31"/>
  <c r="JD6" i="31"/>
  <c r="JC6" i="31"/>
  <c r="JB6" i="31"/>
  <c r="JA6" i="31"/>
  <c r="IZ6" i="31"/>
  <c r="IY6" i="31"/>
  <c r="IX6" i="31"/>
  <c r="IW6" i="31"/>
  <c r="IV6" i="31"/>
  <c r="IU6" i="31"/>
  <c r="IT6" i="31"/>
  <c r="IS6" i="31"/>
  <c r="IR6" i="31"/>
  <c r="IQ6" i="31"/>
  <c r="IP6" i="31"/>
  <c r="IO6" i="31"/>
  <c r="IN6" i="31"/>
  <c r="IM6" i="31"/>
  <c r="IL6" i="31"/>
  <c r="IK6" i="31"/>
  <c r="IJ6" i="31"/>
  <c r="II6" i="31"/>
  <c r="IH6" i="31"/>
  <c r="IG6" i="31"/>
  <c r="IF6" i="31"/>
  <c r="IE6" i="31"/>
  <c r="ID6" i="31"/>
  <c r="IC6" i="31"/>
  <c r="IB6" i="31"/>
  <c r="IA6" i="31"/>
  <c r="HZ6" i="31"/>
  <c r="HY6" i="31"/>
  <c r="HX6" i="31"/>
  <c r="HW6" i="31"/>
  <c r="HV6" i="31"/>
  <c r="HU6" i="31"/>
  <c r="HT6" i="31"/>
  <c r="HS6" i="31"/>
  <c r="HR6" i="31"/>
  <c r="HQ6" i="31"/>
  <c r="HP6" i="31"/>
  <c r="HO6" i="31"/>
  <c r="HN6" i="31"/>
  <c r="HM6" i="31"/>
  <c r="HL6" i="31"/>
  <c r="HK6" i="31"/>
  <c r="HJ6" i="31"/>
  <c r="HI6" i="31"/>
  <c r="HH6" i="31"/>
  <c r="HG6" i="31"/>
  <c r="HF6" i="31"/>
  <c r="HE6" i="31"/>
  <c r="HD6" i="31"/>
  <c r="HC6" i="31"/>
  <c r="HB6" i="31"/>
  <c r="HA6" i="31"/>
  <c r="GY6" i="31"/>
  <c r="GX6" i="31"/>
  <c r="GW6" i="31"/>
  <c r="GV6" i="31"/>
  <c r="GU6" i="31"/>
  <c r="GT6" i="31"/>
  <c r="GS6" i="31"/>
  <c r="GR6" i="31"/>
  <c r="GQ6" i="31"/>
  <c r="GP6" i="31"/>
  <c r="GO6" i="31"/>
  <c r="GN6" i="31"/>
  <c r="GM6" i="31"/>
  <c r="GL6" i="31"/>
  <c r="GK6" i="31"/>
  <c r="GJ6" i="31"/>
  <c r="GI6" i="31"/>
  <c r="GH6" i="31"/>
  <c r="GG6" i="31"/>
  <c r="GF6" i="31"/>
  <c r="GE6" i="31"/>
  <c r="GD6" i="31"/>
  <c r="GC6" i="31"/>
  <c r="GB6" i="31"/>
  <c r="GA6" i="31"/>
  <c r="FZ6" i="31"/>
  <c r="FY6" i="31"/>
  <c r="FX6" i="31"/>
  <c r="FW6" i="31"/>
  <c r="FV6" i="31"/>
  <c r="FU6" i="31"/>
  <c r="FT6" i="31"/>
  <c r="FS6" i="31"/>
  <c r="FQ6" i="31"/>
  <c r="FP6" i="31"/>
  <c r="FO6" i="31"/>
  <c r="FN6" i="31"/>
  <c r="FM6" i="31"/>
  <c r="FL6" i="31"/>
  <c r="FK6" i="31"/>
  <c r="FJ6" i="31"/>
  <c r="FI6" i="31"/>
  <c r="FH6" i="31"/>
  <c r="FG6" i="31"/>
  <c r="FF6" i="31"/>
  <c r="FE6" i="31"/>
  <c r="FD6" i="31"/>
  <c r="FC6" i="31"/>
  <c r="FB6" i="31"/>
  <c r="FA6" i="31"/>
  <c r="EZ6" i="31"/>
  <c r="EY6" i="31"/>
  <c r="EX6" i="31"/>
  <c r="EW6" i="31"/>
  <c r="EV6" i="31"/>
  <c r="E6" i="31"/>
  <c r="D6" i="31"/>
  <c r="C6" i="31"/>
  <c r="JH5" i="31"/>
  <c r="JG5" i="31"/>
  <c r="JF5" i="31"/>
  <c r="JE5" i="31"/>
  <c r="JD5" i="31"/>
  <c r="JC5" i="31"/>
  <c r="JB5" i="31"/>
  <c r="JA5" i="31"/>
  <c r="IZ5" i="31"/>
  <c r="IY5" i="31"/>
  <c r="IX5" i="31"/>
  <c r="IW5" i="31"/>
  <c r="IV5" i="31"/>
  <c r="IU5" i="31"/>
  <c r="IT5" i="31"/>
  <c r="IS5" i="31"/>
  <c r="IR5" i="31"/>
  <c r="IQ5" i="31"/>
  <c r="IP5" i="31"/>
  <c r="IO5" i="31"/>
  <c r="IN5" i="31"/>
  <c r="IM5" i="31"/>
  <c r="IL5" i="31"/>
  <c r="IK5" i="31"/>
  <c r="IJ5" i="31"/>
  <c r="II5" i="31"/>
  <c r="IH5" i="31"/>
  <c r="IG5" i="31"/>
  <c r="IF5" i="31"/>
  <c r="IE5" i="31"/>
  <c r="ID5" i="31"/>
  <c r="IC5" i="31"/>
  <c r="IB5" i="31"/>
  <c r="IA5" i="31"/>
  <c r="HZ5" i="31"/>
  <c r="HY5" i="31"/>
  <c r="HX5" i="31"/>
  <c r="HW5" i="31"/>
  <c r="HV5" i="31"/>
  <c r="HU5" i="31"/>
  <c r="HT5" i="31"/>
  <c r="HS5" i="31"/>
  <c r="HR5" i="31"/>
  <c r="HQ5" i="31"/>
  <c r="HP5" i="31"/>
  <c r="HO5" i="31"/>
  <c r="HN5" i="31"/>
  <c r="HM5" i="31"/>
  <c r="HL5" i="31"/>
  <c r="HK5" i="31"/>
  <c r="HJ5" i="31"/>
  <c r="HI5" i="31"/>
  <c r="HH5" i="31"/>
  <c r="HG5" i="31"/>
  <c r="HF5" i="31"/>
  <c r="HE5" i="31"/>
  <c r="HD5" i="31"/>
  <c r="HC5" i="31"/>
  <c r="HB5" i="31"/>
  <c r="HA5" i="31"/>
  <c r="GZ5" i="31"/>
  <c r="GY5" i="31"/>
  <c r="GX5" i="31"/>
  <c r="GW5" i="31"/>
  <c r="GV5" i="31"/>
  <c r="GU5" i="31"/>
  <c r="GT5" i="31"/>
  <c r="GS5" i="31"/>
  <c r="GR5" i="31"/>
  <c r="GQ5" i="31"/>
  <c r="GP5" i="31"/>
  <c r="GO5" i="31"/>
  <c r="GN5" i="31"/>
  <c r="GM5" i="31"/>
  <c r="GL5" i="31"/>
  <c r="GK5" i="31"/>
  <c r="GJ5" i="31"/>
  <c r="GI5" i="31"/>
  <c r="GH5" i="31"/>
  <c r="GG5" i="31"/>
  <c r="GF5" i="31"/>
  <c r="GE5" i="31"/>
  <c r="GD5" i="31"/>
  <c r="GC5" i="31"/>
  <c r="GB5" i="31"/>
  <c r="GA5" i="31"/>
  <c r="FZ5" i="31"/>
  <c r="FY5" i="31"/>
  <c r="FX5" i="31"/>
  <c r="FW5" i="31"/>
  <c r="FV5" i="31"/>
  <c r="FU5" i="31"/>
  <c r="FT5" i="31"/>
  <c r="FS5" i="31"/>
  <c r="FR5" i="31"/>
  <c r="FQ5" i="31"/>
  <c r="FP5" i="31"/>
  <c r="FO5" i="31"/>
  <c r="FN5" i="31"/>
  <c r="FM5" i="31"/>
  <c r="FL5" i="31"/>
  <c r="FK5" i="31"/>
  <c r="FJ5" i="31"/>
  <c r="FI5" i="31"/>
  <c r="FH5" i="31"/>
  <c r="FG5" i="31"/>
  <c r="FF5" i="31"/>
  <c r="FE5" i="31"/>
  <c r="FD5" i="31"/>
  <c r="FC5" i="31"/>
  <c r="FB5" i="31"/>
  <c r="FA5" i="31"/>
  <c r="EZ5" i="31"/>
  <c r="EY5" i="31"/>
  <c r="EX5" i="31"/>
  <c r="EW5" i="31"/>
  <c r="EV5" i="31"/>
  <c r="EU5" i="31"/>
  <c r="ET5" i="31"/>
  <c r="ES5" i="31"/>
  <c r="ER5" i="31"/>
  <c r="EQ5" i="31"/>
  <c r="EP5" i="31"/>
  <c r="EO5" i="31"/>
  <c r="EN5" i="31"/>
  <c r="EM5" i="31"/>
  <c r="EL5" i="31"/>
  <c r="EK5" i="31"/>
  <c r="EJ5" i="31"/>
  <c r="EI5" i="31"/>
  <c r="EH5" i="31"/>
  <c r="EG5" i="31"/>
  <c r="EF5" i="31"/>
  <c r="EE5" i="31"/>
  <c r="ED5" i="31"/>
  <c r="EC5" i="31"/>
  <c r="EB5" i="31"/>
  <c r="EA5" i="31"/>
  <c r="DZ5" i="31"/>
  <c r="DY5" i="31"/>
  <c r="DX5" i="31"/>
  <c r="DW5" i="31"/>
  <c r="DV5" i="31"/>
  <c r="DU5" i="31"/>
  <c r="DT5" i="31"/>
  <c r="DS5" i="31"/>
  <c r="DR5" i="31"/>
  <c r="DQ5" i="31"/>
  <c r="DP5" i="31"/>
  <c r="DO5" i="31"/>
  <c r="DN5" i="31"/>
  <c r="DM5" i="31"/>
  <c r="DL5" i="31"/>
  <c r="DK5" i="31"/>
  <c r="DJ5" i="31"/>
  <c r="DI5" i="31"/>
  <c r="DH5" i="31"/>
  <c r="DG5" i="31"/>
  <c r="DF5" i="31"/>
  <c r="DE5" i="31"/>
  <c r="DD5" i="31"/>
  <c r="DC5" i="31"/>
  <c r="DB5" i="31"/>
  <c r="DA5" i="31"/>
  <c r="CZ5" i="31"/>
  <c r="CY5" i="31"/>
  <c r="CX5" i="31"/>
  <c r="CW5" i="31"/>
  <c r="CV5" i="31"/>
  <c r="CU5" i="31"/>
  <c r="CT5" i="31"/>
  <c r="CS5" i="31"/>
  <c r="CR5" i="31"/>
  <c r="CQ5" i="31"/>
  <c r="CP5" i="31"/>
  <c r="CO5" i="31"/>
  <c r="CN5" i="31"/>
  <c r="CM5" i="31"/>
  <c r="CL5" i="31"/>
  <c r="CK5" i="31"/>
  <c r="CJ5" i="31"/>
  <c r="CI5" i="31"/>
  <c r="CH5" i="31"/>
  <c r="CG5" i="31"/>
  <c r="CF5" i="31"/>
  <c r="CE5" i="31"/>
  <c r="CD5" i="31"/>
  <c r="CC5" i="31"/>
  <c r="CB5" i="31"/>
  <c r="CA5" i="31"/>
  <c r="BZ5" i="31"/>
  <c r="BY5" i="31"/>
  <c r="BX5" i="31"/>
  <c r="BW5" i="31"/>
  <c r="BV5" i="31"/>
  <c r="BU5" i="31"/>
  <c r="BT5" i="31"/>
  <c r="BS5" i="31"/>
  <c r="BR5" i="31"/>
  <c r="BQ5" i="31"/>
  <c r="BP5" i="31"/>
  <c r="BO5" i="31"/>
  <c r="BN5" i="31"/>
  <c r="BM5" i="31"/>
  <c r="BL5" i="31"/>
  <c r="BK5" i="31"/>
  <c r="BJ5" i="31"/>
  <c r="BI5" i="31"/>
  <c r="BH5" i="31"/>
  <c r="BG5" i="31"/>
  <c r="BF5" i="31"/>
  <c r="BE5" i="31"/>
  <c r="BD5" i="31"/>
  <c r="BC5" i="31"/>
  <c r="BB5" i="31"/>
  <c r="BA5" i="31"/>
  <c r="AZ5" i="31"/>
  <c r="AY5" i="31"/>
  <c r="AX5" i="31"/>
  <c r="AW5" i="31"/>
  <c r="AV5" i="31"/>
  <c r="AU5" i="31"/>
  <c r="AT5" i="31"/>
  <c r="AS5" i="31"/>
  <c r="AR5" i="31"/>
  <c r="AQ5" i="31"/>
  <c r="AP5" i="31"/>
  <c r="AO5" i="31"/>
  <c r="AN5" i="31"/>
  <c r="AM5" i="31"/>
  <c r="AL5" i="31"/>
  <c r="AK5" i="31"/>
  <c r="AJ5" i="31"/>
  <c r="AI5" i="31"/>
  <c r="AH5" i="31"/>
  <c r="AG5" i="31"/>
  <c r="AF5" i="31"/>
  <c r="AE5" i="31"/>
  <c r="AD5" i="31"/>
  <c r="AB5" i="31"/>
  <c r="AA5" i="31"/>
  <c r="Z5" i="31"/>
  <c r="Y5" i="31"/>
  <c r="X5" i="31"/>
  <c r="W5" i="31"/>
  <c r="V5" i="31"/>
  <c r="U5" i="31"/>
  <c r="T5" i="31"/>
  <c r="S5" i="31"/>
  <c r="R5" i="31"/>
  <c r="Q5" i="31"/>
  <c r="P5" i="31"/>
  <c r="O5" i="31"/>
  <c r="N5" i="31"/>
  <c r="M5" i="31"/>
  <c r="L5" i="31"/>
  <c r="K5" i="31"/>
  <c r="J5" i="31"/>
  <c r="I5" i="31"/>
  <c r="H5" i="31"/>
  <c r="G5" i="31"/>
  <c r="F5" i="31"/>
  <c r="E5" i="31"/>
  <c r="D5" i="31"/>
  <c r="C5" i="31"/>
  <c r="JL115" i="31" l="1"/>
  <c r="JN115" i="31"/>
  <c r="JO91" i="31"/>
  <c r="JN91" i="31"/>
  <c r="JM87" i="31"/>
  <c r="JM91" i="31"/>
  <c r="JN68" i="31"/>
  <c r="JO87" i="31"/>
  <c r="JL91" i="31"/>
  <c r="JO68" i="31"/>
  <c r="JP91" i="31" l="1"/>
  <c r="ET171" i="29"/>
  <c r="EU171" i="29"/>
  <c r="AX40" i="29" l="1"/>
  <c r="AX44" i="31" s="1"/>
  <c r="D43" i="29" l="1"/>
  <c r="D47" i="31" s="1"/>
  <c r="E43" i="29"/>
  <c r="E47" i="31" s="1"/>
  <c r="F43" i="29"/>
  <c r="F47" i="31" s="1"/>
  <c r="G43" i="29"/>
  <c r="G47" i="31" s="1"/>
  <c r="H43" i="29"/>
  <c r="H47" i="31" s="1"/>
  <c r="I43" i="29"/>
  <c r="I47" i="31" s="1"/>
  <c r="J43" i="29"/>
  <c r="J47" i="31" s="1"/>
  <c r="K43" i="29"/>
  <c r="K47" i="31" s="1"/>
  <c r="L43" i="29"/>
  <c r="L47" i="31" s="1"/>
  <c r="M43" i="29"/>
  <c r="M47" i="31" s="1"/>
  <c r="N43" i="29"/>
  <c r="N47" i="31" s="1"/>
  <c r="O43" i="29"/>
  <c r="O47" i="31" s="1"/>
  <c r="P43" i="29"/>
  <c r="P47" i="31" s="1"/>
  <c r="Q43" i="29"/>
  <c r="Q47" i="31" s="1"/>
  <c r="R43" i="29"/>
  <c r="R47" i="31" s="1"/>
  <c r="S43" i="29"/>
  <c r="S47" i="31" s="1"/>
  <c r="T43" i="29"/>
  <c r="T47" i="31" s="1"/>
  <c r="U43" i="29"/>
  <c r="U47" i="31" s="1"/>
  <c r="V43" i="29"/>
  <c r="V47" i="31" s="1"/>
  <c r="W43" i="29"/>
  <c r="W47" i="31" s="1"/>
  <c r="X43" i="29"/>
  <c r="X47" i="31" s="1"/>
  <c r="Y43" i="29"/>
  <c r="Y47" i="31" s="1"/>
  <c r="Z43" i="29"/>
  <c r="Z47" i="31" s="1"/>
  <c r="AA43" i="29"/>
  <c r="AA47" i="31" s="1"/>
  <c r="AB43" i="29"/>
  <c r="AB47" i="31" s="1"/>
  <c r="AD43" i="29"/>
  <c r="AD47" i="31" s="1"/>
  <c r="AE43" i="29"/>
  <c r="AE47" i="31" s="1"/>
  <c r="AF43" i="29"/>
  <c r="AF47" i="31" s="1"/>
  <c r="AG43" i="29"/>
  <c r="AG47" i="31" s="1"/>
  <c r="AH43" i="29"/>
  <c r="AH47" i="31" s="1"/>
  <c r="AI43" i="29"/>
  <c r="AI47" i="31" s="1"/>
  <c r="AJ43" i="29"/>
  <c r="AJ47" i="31" s="1"/>
  <c r="AK43" i="29"/>
  <c r="AK47" i="31" s="1"/>
  <c r="AL43" i="29"/>
  <c r="AL47" i="31" s="1"/>
  <c r="AM43" i="29"/>
  <c r="AM47" i="31" s="1"/>
  <c r="AN43" i="29"/>
  <c r="AN47" i="31" s="1"/>
  <c r="AO43" i="29"/>
  <c r="AO47" i="31" s="1"/>
  <c r="AP43" i="29"/>
  <c r="AP47" i="31" s="1"/>
  <c r="AQ43" i="29"/>
  <c r="AQ47" i="31" s="1"/>
  <c r="AR43" i="29"/>
  <c r="AR47" i="31" s="1"/>
  <c r="AS43" i="29"/>
  <c r="AS47" i="31" s="1"/>
  <c r="AT43" i="29"/>
  <c r="AT47" i="31" s="1"/>
  <c r="AU43" i="29"/>
  <c r="AU47" i="31" s="1"/>
  <c r="AV43" i="29"/>
  <c r="AV47" i="31" s="1"/>
  <c r="AW43" i="29"/>
  <c r="AW47" i="31" s="1"/>
  <c r="AX43" i="29"/>
  <c r="AX47" i="31" s="1"/>
  <c r="AY43" i="29"/>
  <c r="AY47" i="31" s="1"/>
  <c r="AZ43" i="29"/>
  <c r="AZ47" i="31" s="1"/>
  <c r="BA43" i="29"/>
  <c r="BA47" i="31" s="1"/>
  <c r="BB43" i="29"/>
  <c r="BB47" i="31" s="1"/>
  <c r="BC43" i="29"/>
  <c r="BC47" i="31" s="1"/>
  <c r="BD43" i="29"/>
  <c r="BD47" i="31" s="1"/>
  <c r="BE43" i="29"/>
  <c r="BE47" i="31" s="1"/>
  <c r="BF43" i="29"/>
  <c r="BF47" i="31" s="1"/>
  <c r="BG43" i="29"/>
  <c r="BG47" i="31" s="1"/>
  <c r="BH43" i="29"/>
  <c r="BH47" i="31" s="1"/>
  <c r="BI43" i="29"/>
  <c r="BI47" i="31" s="1"/>
  <c r="BJ43" i="29"/>
  <c r="BJ47" i="31" s="1"/>
  <c r="BK43" i="29"/>
  <c r="BK47" i="31" s="1"/>
  <c r="BL43" i="29"/>
  <c r="BL47" i="31" s="1"/>
  <c r="BM43" i="29"/>
  <c r="BM47" i="31" s="1"/>
  <c r="BN43" i="29"/>
  <c r="BN47" i="31" s="1"/>
  <c r="BO43" i="29"/>
  <c r="BO47" i="31" s="1"/>
  <c r="BP43" i="29"/>
  <c r="BP47" i="31" s="1"/>
  <c r="BQ43" i="29"/>
  <c r="BQ47" i="31" s="1"/>
  <c r="BR43" i="29"/>
  <c r="BR47" i="31" s="1"/>
  <c r="BS43" i="29"/>
  <c r="BS47" i="31" s="1"/>
  <c r="BT43" i="29"/>
  <c r="BT47" i="31" s="1"/>
  <c r="BU43" i="29"/>
  <c r="BU47" i="31" s="1"/>
  <c r="BV43" i="29"/>
  <c r="BV47" i="31" s="1"/>
  <c r="BW43" i="29"/>
  <c r="BW47" i="31" s="1"/>
  <c r="BX43" i="29"/>
  <c r="BX47" i="31" s="1"/>
  <c r="BY43" i="29"/>
  <c r="BY47" i="31" s="1"/>
  <c r="BZ43" i="29"/>
  <c r="BZ47" i="31" s="1"/>
  <c r="CA43" i="29"/>
  <c r="CA47" i="31" s="1"/>
  <c r="CB43" i="29"/>
  <c r="CB47" i="31" s="1"/>
  <c r="CC43" i="29"/>
  <c r="CC47" i="31" s="1"/>
  <c r="CD43" i="29"/>
  <c r="CD47" i="31" s="1"/>
  <c r="CE43" i="29"/>
  <c r="CE47" i="31" s="1"/>
  <c r="CF43" i="29"/>
  <c r="CF47" i="31" s="1"/>
  <c r="CG43" i="29"/>
  <c r="CG47" i="31" s="1"/>
  <c r="CH43" i="29"/>
  <c r="CH47" i="31" s="1"/>
  <c r="CI43" i="29"/>
  <c r="CI47" i="31" s="1"/>
  <c r="CJ43" i="29"/>
  <c r="CJ47" i="31" s="1"/>
  <c r="CK43" i="29"/>
  <c r="CK47" i="31" s="1"/>
  <c r="CL43" i="29"/>
  <c r="CL47" i="31" s="1"/>
  <c r="CM43" i="29"/>
  <c r="CM47" i="31" s="1"/>
  <c r="CN43" i="29"/>
  <c r="CN47" i="31" s="1"/>
  <c r="CO43" i="29"/>
  <c r="CO47" i="31" s="1"/>
  <c r="CP43" i="29"/>
  <c r="CP47" i="31" s="1"/>
  <c r="CQ43" i="29"/>
  <c r="CQ47" i="31" s="1"/>
  <c r="CR43" i="29"/>
  <c r="CR47" i="31" s="1"/>
  <c r="CS43" i="29"/>
  <c r="CS47" i="31" s="1"/>
  <c r="CT43" i="29"/>
  <c r="CT47" i="31" s="1"/>
  <c r="CU43" i="29"/>
  <c r="CU47" i="31" s="1"/>
  <c r="CV43" i="29"/>
  <c r="CV47" i="31" s="1"/>
  <c r="CW43" i="29"/>
  <c r="CW47" i="31" s="1"/>
  <c r="CX43" i="29"/>
  <c r="CX47" i="31" s="1"/>
  <c r="CY43" i="29"/>
  <c r="CY47" i="31" s="1"/>
  <c r="CZ43" i="29"/>
  <c r="CZ47" i="31" s="1"/>
  <c r="DA43" i="29"/>
  <c r="DA47" i="31" s="1"/>
  <c r="DB43" i="29"/>
  <c r="DB47" i="31" s="1"/>
  <c r="DC43" i="29"/>
  <c r="DC47" i="31" s="1"/>
  <c r="DD43" i="29"/>
  <c r="DD47" i="31" s="1"/>
  <c r="DE43" i="29"/>
  <c r="DE47" i="31" s="1"/>
  <c r="DF43" i="29"/>
  <c r="DF47" i="31" s="1"/>
  <c r="DG43" i="29"/>
  <c r="DG47" i="31" s="1"/>
  <c r="DH43" i="29"/>
  <c r="DH47" i="31" s="1"/>
  <c r="DI43" i="29"/>
  <c r="DI47" i="31" s="1"/>
  <c r="DJ43" i="29"/>
  <c r="DJ47" i="31" s="1"/>
  <c r="DK43" i="29"/>
  <c r="DK47" i="31" s="1"/>
  <c r="DL43" i="29"/>
  <c r="DL47" i="31" s="1"/>
  <c r="DM43" i="29"/>
  <c r="DM47" i="31" s="1"/>
  <c r="DN43" i="29"/>
  <c r="DN47" i="31" s="1"/>
  <c r="DO43" i="29"/>
  <c r="DO47" i="31" s="1"/>
  <c r="DP43" i="29"/>
  <c r="DP47" i="31" s="1"/>
  <c r="DQ43" i="29"/>
  <c r="DQ47" i="31" s="1"/>
  <c r="DR43" i="29"/>
  <c r="DR47" i="31" s="1"/>
  <c r="DS43" i="29"/>
  <c r="DS47" i="31" s="1"/>
  <c r="DT43" i="29"/>
  <c r="DT47" i="31" s="1"/>
  <c r="DU43" i="29"/>
  <c r="DU47" i="31" s="1"/>
  <c r="DV43" i="29"/>
  <c r="DV47" i="31" s="1"/>
  <c r="DW43" i="29"/>
  <c r="DW47" i="31" s="1"/>
  <c r="DX43" i="29"/>
  <c r="DX47" i="31" s="1"/>
  <c r="DY43" i="29"/>
  <c r="DY47" i="31" s="1"/>
  <c r="DZ43" i="29"/>
  <c r="DZ47" i="31" s="1"/>
  <c r="EA43" i="29"/>
  <c r="EA47" i="31" s="1"/>
  <c r="EB43" i="29"/>
  <c r="EB47" i="31" s="1"/>
  <c r="EC43" i="29"/>
  <c r="EC47" i="31" s="1"/>
  <c r="ED43" i="29"/>
  <c r="ED47" i="31" s="1"/>
  <c r="EE43" i="29"/>
  <c r="EE47" i="31" s="1"/>
  <c r="EF43" i="29"/>
  <c r="EF47" i="31" s="1"/>
  <c r="EG43" i="29"/>
  <c r="EG47" i="31" s="1"/>
  <c r="EH43" i="29"/>
  <c r="EH47" i="31" s="1"/>
  <c r="EI43" i="29"/>
  <c r="EI47" i="31" s="1"/>
  <c r="EJ43" i="29"/>
  <c r="EJ47" i="31" s="1"/>
  <c r="EK43" i="29"/>
  <c r="EK47" i="31" s="1"/>
  <c r="EL43" i="29"/>
  <c r="EL47" i="31" s="1"/>
  <c r="EM43" i="29"/>
  <c r="EM47" i="31" s="1"/>
  <c r="EN43" i="29"/>
  <c r="EN47" i="31" s="1"/>
  <c r="EO43" i="29"/>
  <c r="EO47" i="31" s="1"/>
  <c r="EP43" i="29"/>
  <c r="EP47" i="31" s="1"/>
  <c r="EQ43" i="29"/>
  <c r="EQ47" i="31" s="1"/>
  <c r="ER43" i="29"/>
  <c r="ER47" i="31" s="1"/>
  <c r="ES43" i="29"/>
  <c r="ES47" i="31" s="1"/>
  <c r="ET43" i="29"/>
  <c r="ET47" i="31" s="1"/>
  <c r="EU43" i="29"/>
  <c r="EU47" i="31" s="1"/>
  <c r="EV43" i="29"/>
  <c r="EV47" i="31" s="1"/>
  <c r="EW43" i="29"/>
  <c r="EW47" i="31" s="1"/>
  <c r="EX43" i="29"/>
  <c r="EX47" i="31" s="1"/>
  <c r="EY43" i="29"/>
  <c r="EY47" i="31" s="1"/>
  <c r="EZ43" i="29"/>
  <c r="EZ47" i="31" s="1"/>
  <c r="FA43" i="29"/>
  <c r="FA47" i="31" s="1"/>
  <c r="FB43" i="29"/>
  <c r="FB47" i="31" s="1"/>
  <c r="FC43" i="29"/>
  <c r="FC47" i="31" s="1"/>
  <c r="FD43" i="29"/>
  <c r="FD47" i="31" s="1"/>
  <c r="FE43" i="29"/>
  <c r="FE47" i="31" s="1"/>
  <c r="FF43" i="29"/>
  <c r="FF47" i="31" s="1"/>
  <c r="FG43" i="29"/>
  <c r="FG47" i="31" s="1"/>
  <c r="FH43" i="29"/>
  <c r="FH47" i="31" s="1"/>
  <c r="FI43" i="29"/>
  <c r="FI47" i="31" s="1"/>
  <c r="FJ43" i="29"/>
  <c r="FJ47" i="31" s="1"/>
  <c r="FK43" i="29"/>
  <c r="FK47" i="31" s="1"/>
  <c r="FL43" i="29"/>
  <c r="FL47" i="31" s="1"/>
  <c r="FM43" i="29"/>
  <c r="FM47" i="31" s="1"/>
  <c r="FN43" i="29"/>
  <c r="FN47" i="31" s="1"/>
  <c r="FO43" i="29"/>
  <c r="FO47" i="31" s="1"/>
  <c r="FP43" i="29"/>
  <c r="FP47" i="31" s="1"/>
  <c r="FQ43" i="29"/>
  <c r="FQ47" i="31" s="1"/>
  <c r="FR43" i="29"/>
  <c r="FR47" i="31" s="1"/>
  <c r="FS43" i="29"/>
  <c r="FS47" i="31" s="1"/>
  <c r="FT43" i="29"/>
  <c r="FT47" i="31" s="1"/>
  <c r="FU43" i="29"/>
  <c r="FU47" i="31" s="1"/>
  <c r="FV43" i="29"/>
  <c r="FV47" i="31" s="1"/>
  <c r="FW43" i="29"/>
  <c r="FW47" i="31" s="1"/>
  <c r="FX43" i="29"/>
  <c r="FX47" i="31" s="1"/>
  <c r="FY43" i="29"/>
  <c r="FY47" i="31" s="1"/>
  <c r="FZ43" i="29"/>
  <c r="FZ47" i="31" s="1"/>
  <c r="GA43" i="29"/>
  <c r="GA47" i="31" s="1"/>
  <c r="GB43" i="29"/>
  <c r="GB47" i="31" s="1"/>
  <c r="GC43" i="29"/>
  <c r="GC47" i="31" s="1"/>
  <c r="GD43" i="29"/>
  <c r="GD47" i="31" s="1"/>
  <c r="GE43" i="29"/>
  <c r="GE47" i="31" s="1"/>
  <c r="GF43" i="29"/>
  <c r="GF47" i="31" s="1"/>
  <c r="GG43" i="29"/>
  <c r="GG47" i="31" s="1"/>
  <c r="GH43" i="29"/>
  <c r="GH47" i="31" s="1"/>
  <c r="GI43" i="29"/>
  <c r="GI47" i="31" s="1"/>
  <c r="GJ43" i="29"/>
  <c r="GJ47" i="31" s="1"/>
  <c r="GK43" i="29"/>
  <c r="GK47" i="31" s="1"/>
  <c r="GL43" i="29"/>
  <c r="GL47" i="31" s="1"/>
  <c r="GM43" i="29"/>
  <c r="GM47" i="31" s="1"/>
  <c r="GN43" i="29"/>
  <c r="GN47" i="31" s="1"/>
  <c r="GO43" i="29"/>
  <c r="GO47" i="31" s="1"/>
  <c r="GP43" i="29"/>
  <c r="GP47" i="31" s="1"/>
  <c r="GQ43" i="29"/>
  <c r="GQ47" i="31" s="1"/>
  <c r="GR43" i="29"/>
  <c r="GR47" i="31" s="1"/>
  <c r="GS43" i="29"/>
  <c r="GS47" i="31" s="1"/>
  <c r="GT43" i="29"/>
  <c r="GT47" i="31" s="1"/>
  <c r="GU43" i="29"/>
  <c r="GU47" i="31" s="1"/>
  <c r="GV43" i="29"/>
  <c r="GV47" i="31" s="1"/>
  <c r="GW43" i="29"/>
  <c r="GW47" i="31" s="1"/>
  <c r="GX43" i="29"/>
  <c r="GX47" i="31" s="1"/>
  <c r="GY43" i="29"/>
  <c r="GY47" i="31" s="1"/>
  <c r="GZ43" i="29"/>
  <c r="GZ47" i="31" s="1"/>
  <c r="HA43" i="29"/>
  <c r="HA47" i="31" s="1"/>
  <c r="HB43" i="29"/>
  <c r="HB47" i="31" s="1"/>
  <c r="HC43" i="29"/>
  <c r="HC47" i="31" s="1"/>
  <c r="HD43" i="29"/>
  <c r="HD47" i="31" s="1"/>
  <c r="HE43" i="29"/>
  <c r="HE47" i="31" s="1"/>
  <c r="HF43" i="29"/>
  <c r="HF47" i="31" s="1"/>
  <c r="HG43" i="29"/>
  <c r="HG47" i="31" s="1"/>
  <c r="HH43" i="29"/>
  <c r="HH47" i="31" s="1"/>
  <c r="HI43" i="29"/>
  <c r="HI47" i="31" s="1"/>
  <c r="HJ43" i="29"/>
  <c r="HJ47" i="31" s="1"/>
  <c r="HK43" i="29"/>
  <c r="HK47" i="31" s="1"/>
  <c r="HL43" i="29"/>
  <c r="HL47" i="31" s="1"/>
  <c r="HM43" i="29"/>
  <c r="HM47" i="31" s="1"/>
  <c r="HN43" i="29"/>
  <c r="HN47" i="31" s="1"/>
  <c r="HO43" i="29"/>
  <c r="HO47" i="31" s="1"/>
  <c r="HP43" i="29"/>
  <c r="HP47" i="31" s="1"/>
  <c r="HQ43" i="29"/>
  <c r="HQ47" i="31" s="1"/>
  <c r="HR43" i="29"/>
  <c r="HR47" i="31" s="1"/>
  <c r="HS43" i="29"/>
  <c r="HS47" i="31" s="1"/>
  <c r="HT43" i="29"/>
  <c r="HT47" i="31" s="1"/>
  <c r="HU43" i="29"/>
  <c r="HU47" i="31" s="1"/>
  <c r="HV43" i="29"/>
  <c r="HV47" i="31" s="1"/>
  <c r="HW43" i="29"/>
  <c r="HW47" i="31" s="1"/>
  <c r="HX43" i="29"/>
  <c r="HX47" i="31" s="1"/>
  <c r="HY43" i="29"/>
  <c r="HY47" i="31" s="1"/>
  <c r="HZ43" i="29"/>
  <c r="HZ47" i="31" s="1"/>
  <c r="IA43" i="29"/>
  <c r="IA47" i="31" s="1"/>
  <c r="IB43" i="29"/>
  <c r="IB47" i="31" s="1"/>
  <c r="IC43" i="29"/>
  <c r="IC47" i="31" s="1"/>
  <c r="ID43" i="29"/>
  <c r="ID47" i="31" s="1"/>
  <c r="IE43" i="29"/>
  <c r="IE47" i="31" s="1"/>
  <c r="IF43" i="29"/>
  <c r="IF47" i="31" s="1"/>
  <c r="IG43" i="29"/>
  <c r="IG47" i="31" s="1"/>
  <c r="IH43" i="29"/>
  <c r="IH47" i="31" s="1"/>
  <c r="II43" i="29"/>
  <c r="II47" i="31" s="1"/>
  <c r="IJ43" i="29"/>
  <c r="IJ47" i="31" s="1"/>
  <c r="IK43" i="29"/>
  <c r="IK47" i="31" s="1"/>
  <c r="IL43" i="29"/>
  <c r="IL47" i="31" s="1"/>
  <c r="IM43" i="29"/>
  <c r="IM47" i="31" s="1"/>
  <c r="IN43" i="29"/>
  <c r="IN47" i="31" s="1"/>
  <c r="IO43" i="29"/>
  <c r="IO47" i="31" s="1"/>
  <c r="IP43" i="29"/>
  <c r="IP47" i="31" s="1"/>
  <c r="IQ43" i="29"/>
  <c r="IQ47" i="31" s="1"/>
  <c r="IR43" i="29"/>
  <c r="IR47" i="31" s="1"/>
  <c r="IS43" i="29"/>
  <c r="IS47" i="31" s="1"/>
  <c r="IT43" i="29"/>
  <c r="IT47" i="31" s="1"/>
  <c r="IU43" i="29"/>
  <c r="IU47" i="31" s="1"/>
  <c r="IV43" i="29"/>
  <c r="IV47" i="31" s="1"/>
  <c r="IW43" i="29"/>
  <c r="IW47" i="31" s="1"/>
  <c r="IX43" i="29"/>
  <c r="IX47" i="31" s="1"/>
  <c r="IY43" i="29"/>
  <c r="IY47" i="31" s="1"/>
  <c r="IZ43" i="29"/>
  <c r="IZ47" i="31" s="1"/>
  <c r="JA43" i="29"/>
  <c r="JA47" i="31" s="1"/>
  <c r="JB43" i="29"/>
  <c r="JB47" i="31" s="1"/>
  <c r="JC43" i="29"/>
  <c r="JC47" i="31" s="1"/>
  <c r="JD43" i="29"/>
  <c r="JD47" i="31" s="1"/>
  <c r="JE43" i="29"/>
  <c r="JE47" i="31" s="1"/>
  <c r="JF43" i="29"/>
  <c r="JF47" i="31" s="1"/>
  <c r="JG43" i="29"/>
  <c r="JG47" i="31" s="1"/>
  <c r="JH43" i="29"/>
  <c r="JH47" i="31" s="1"/>
  <c r="C43" i="29"/>
  <c r="G50" i="30"/>
  <c r="CL111" i="29"/>
  <c r="CL115" i="31" s="1"/>
  <c r="JM115" i="31" s="1"/>
  <c r="HO148" i="29"/>
  <c r="HO152" i="31" s="1"/>
  <c r="HJ148" i="29"/>
  <c r="HJ152" i="31" s="1"/>
  <c r="GZ148" i="29"/>
  <c r="GZ152" i="31" s="1"/>
  <c r="GE148" i="29"/>
  <c r="GE152" i="31" s="1"/>
  <c r="FR148" i="29"/>
  <c r="FR152" i="31" s="1"/>
  <c r="FD148" i="29"/>
  <c r="FD152" i="31" s="1"/>
  <c r="EJ148" i="29"/>
  <c r="EJ152" i="31" s="1"/>
  <c r="DX148" i="29"/>
  <c r="DX152" i="31" s="1"/>
  <c r="DW148" i="29"/>
  <c r="DW152" i="31" s="1"/>
  <c r="DU148" i="29"/>
  <c r="DU152" i="31" s="1"/>
  <c r="DK148" i="29"/>
  <c r="DK152" i="31" s="1"/>
  <c r="DJ148" i="29"/>
  <c r="DJ152" i="31" s="1"/>
  <c r="DI148" i="29"/>
  <c r="DI152" i="31" s="1"/>
  <c r="DD148" i="29"/>
  <c r="DD152" i="31" s="1"/>
  <c r="CT148" i="29"/>
  <c r="CT152" i="31" s="1"/>
  <c r="CS148" i="29"/>
  <c r="CS152" i="31" s="1"/>
  <c r="CL148" i="29"/>
  <c r="CL152" i="31" s="1"/>
  <c r="CI148" i="29"/>
  <c r="CI152" i="31" s="1"/>
  <c r="CH148" i="29"/>
  <c r="CH152" i="31" s="1"/>
  <c r="BQ148" i="29"/>
  <c r="BQ152" i="31" s="1"/>
  <c r="BE148" i="29"/>
  <c r="BE152" i="31" s="1"/>
  <c r="AW148" i="29"/>
  <c r="AW152" i="31" s="1"/>
  <c r="J148" i="29"/>
  <c r="J152" i="31" s="1"/>
  <c r="I148" i="29"/>
  <c r="I152" i="31" s="1"/>
  <c r="H148" i="29"/>
  <c r="H152" i="31" s="1"/>
  <c r="JI43" i="29" l="1"/>
  <c r="JI47" i="31" s="1"/>
  <c r="C47" i="31"/>
  <c r="JH142" i="29"/>
  <c r="JH146" i="31" s="1"/>
  <c r="JG142" i="29"/>
  <c r="JG146" i="31" s="1"/>
  <c r="JF142" i="29"/>
  <c r="JF146" i="31" s="1"/>
  <c r="JE142" i="29"/>
  <c r="JE146" i="31" s="1"/>
  <c r="JD142" i="29"/>
  <c r="JD146" i="31" s="1"/>
  <c r="JC142" i="29"/>
  <c r="JC146" i="31" s="1"/>
  <c r="JB142" i="29"/>
  <c r="JB146" i="31" s="1"/>
  <c r="JA142" i="29"/>
  <c r="JA146" i="31" s="1"/>
  <c r="IZ142" i="29"/>
  <c r="IZ146" i="31" s="1"/>
  <c r="IY142" i="29"/>
  <c r="IY146" i="31" s="1"/>
  <c r="IX142" i="29"/>
  <c r="IX146" i="31" s="1"/>
  <c r="IW142" i="29"/>
  <c r="IW146" i="31" s="1"/>
  <c r="IV142" i="29"/>
  <c r="IV146" i="31" s="1"/>
  <c r="IU142" i="29"/>
  <c r="IU146" i="31" s="1"/>
  <c r="IT142" i="29"/>
  <c r="IT146" i="31" s="1"/>
  <c r="IS142" i="29"/>
  <c r="IS146" i="31" s="1"/>
  <c r="IR142" i="29"/>
  <c r="IR146" i="31" s="1"/>
  <c r="IQ142" i="29"/>
  <c r="IQ146" i="31" s="1"/>
  <c r="IP142" i="29"/>
  <c r="IP146" i="31" s="1"/>
  <c r="IO142" i="29"/>
  <c r="IO146" i="31" s="1"/>
  <c r="IN142" i="29"/>
  <c r="IN146" i="31" s="1"/>
  <c r="IM142" i="29"/>
  <c r="IM146" i="31" s="1"/>
  <c r="IL142" i="29"/>
  <c r="IL146" i="31" s="1"/>
  <c r="IK142" i="29"/>
  <c r="IK146" i="31" s="1"/>
  <c r="IJ142" i="29"/>
  <c r="IJ146" i="31" s="1"/>
  <c r="II142" i="29"/>
  <c r="II146" i="31" s="1"/>
  <c r="IH142" i="29"/>
  <c r="IH146" i="31" s="1"/>
  <c r="IG142" i="29"/>
  <c r="IG146" i="31" s="1"/>
  <c r="IF142" i="29"/>
  <c r="IF146" i="31" s="1"/>
  <c r="IE142" i="29"/>
  <c r="IE146" i="31" s="1"/>
  <c r="ID142" i="29"/>
  <c r="ID146" i="31" s="1"/>
  <c r="IC142" i="29"/>
  <c r="IC146" i="31" s="1"/>
  <c r="IB142" i="29"/>
  <c r="IB146" i="31" s="1"/>
  <c r="IA142" i="29"/>
  <c r="IA146" i="31" s="1"/>
  <c r="HZ142" i="29"/>
  <c r="HZ146" i="31" s="1"/>
  <c r="HY142" i="29"/>
  <c r="HY146" i="31" s="1"/>
  <c r="HX142" i="29"/>
  <c r="HX146" i="31" s="1"/>
  <c r="HW142" i="29"/>
  <c r="HW146" i="31" s="1"/>
  <c r="HV142" i="29"/>
  <c r="HV146" i="31" s="1"/>
  <c r="HU142" i="29"/>
  <c r="HU146" i="31" s="1"/>
  <c r="HT142" i="29"/>
  <c r="HT146" i="31" s="1"/>
  <c r="HS142" i="29"/>
  <c r="HS146" i="31" s="1"/>
  <c r="HR142" i="29"/>
  <c r="HR146" i="31" s="1"/>
  <c r="HQ142" i="29"/>
  <c r="HQ146" i="31" s="1"/>
  <c r="HP142" i="29"/>
  <c r="HP146" i="31" s="1"/>
  <c r="HO142" i="29"/>
  <c r="HO146" i="31" s="1"/>
  <c r="HN142" i="29"/>
  <c r="HN146" i="31" s="1"/>
  <c r="HM142" i="29"/>
  <c r="HM146" i="31" s="1"/>
  <c r="HL142" i="29"/>
  <c r="HL146" i="31" s="1"/>
  <c r="HK142" i="29"/>
  <c r="HK146" i="31" s="1"/>
  <c r="HJ142" i="29"/>
  <c r="HJ146" i="31" s="1"/>
  <c r="HI142" i="29"/>
  <c r="HI146" i="31" s="1"/>
  <c r="HH142" i="29"/>
  <c r="HH146" i="31" s="1"/>
  <c r="HG142" i="29"/>
  <c r="HG146" i="31" s="1"/>
  <c r="HF142" i="29"/>
  <c r="HF146" i="31" s="1"/>
  <c r="HE142" i="29"/>
  <c r="HE146" i="31" s="1"/>
  <c r="HD142" i="29"/>
  <c r="HD146" i="31" s="1"/>
  <c r="HC142" i="29"/>
  <c r="HC146" i="31" s="1"/>
  <c r="HB142" i="29"/>
  <c r="HB146" i="31" s="1"/>
  <c r="HA142" i="29"/>
  <c r="HA146" i="31" s="1"/>
  <c r="GZ142" i="29"/>
  <c r="GZ146" i="31" s="1"/>
  <c r="GY142" i="29"/>
  <c r="GY146" i="31" s="1"/>
  <c r="GX142" i="29"/>
  <c r="GX146" i="31" s="1"/>
  <c r="GW142" i="29"/>
  <c r="GW146" i="31" s="1"/>
  <c r="GV142" i="29"/>
  <c r="GV146" i="31" s="1"/>
  <c r="GU142" i="29"/>
  <c r="GU146" i="31" s="1"/>
  <c r="GT142" i="29"/>
  <c r="GT146" i="31" s="1"/>
  <c r="GS142" i="29"/>
  <c r="GS146" i="31" s="1"/>
  <c r="GR142" i="29"/>
  <c r="GR146" i="31" s="1"/>
  <c r="GQ142" i="29"/>
  <c r="GQ146" i="31" s="1"/>
  <c r="GP142" i="29"/>
  <c r="GP146" i="31" s="1"/>
  <c r="GO142" i="29"/>
  <c r="GO146" i="31" s="1"/>
  <c r="GN142" i="29"/>
  <c r="GN146" i="31" s="1"/>
  <c r="GM142" i="29"/>
  <c r="GM146" i="31" s="1"/>
  <c r="GL142" i="29"/>
  <c r="GL146" i="31" s="1"/>
  <c r="GK142" i="29"/>
  <c r="GK146" i="31" s="1"/>
  <c r="GJ142" i="29"/>
  <c r="GJ146" i="31" s="1"/>
  <c r="GI142" i="29"/>
  <c r="GI146" i="31" s="1"/>
  <c r="GH142" i="29"/>
  <c r="GH146" i="31" s="1"/>
  <c r="GG142" i="29"/>
  <c r="GG146" i="31" s="1"/>
  <c r="GF142" i="29"/>
  <c r="GF146" i="31" s="1"/>
  <c r="GE142" i="29"/>
  <c r="GE146" i="31" s="1"/>
  <c r="GD142" i="29"/>
  <c r="GD146" i="31" s="1"/>
  <c r="GC142" i="29"/>
  <c r="GC146" i="31" s="1"/>
  <c r="GB142" i="29"/>
  <c r="GB146" i="31" s="1"/>
  <c r="GA142" i="29"/>
  <c r="GA146" i="31" s="1"/>
  <c r="FZ142" i="29"/>
  <c r="FZ146" i="31" s="1"/>
  <c r="FY142" i="29"/>
  <c r="FY146" i="31" s="1"/>
  <c r="FX142" i="29"/>
  <c r="FX146" i="31" s="1"/>
  <c r="FW142" i="29"/>
  <c r="FW146" i="31" s="1"/>
  <c r="FV142" i="29"/>
  <c r="FV146" i="31" s="1"/>
  <c r="FU142" i="29"/>
  <c r="FU146" i="31" s="1"/>
  <c r="FT142" i="29"/>
  <c r="FT146" i="31" s="1"/>
  <c r="FS142" i="29"/>
  <c r="FS146" i="31" s="1"/>
  <c r="FR142" i="29"/>
  <c r="FR146" i="31" s="1"/>
  <c r="FQ142" i="29"/>
  <c r="FQ146" i="31" s="1"/>
  <c r="FP142" i="29"/>
  <c r="FP146" i="31" s="1"/>
  <c r="FO142" i="29"/>
  <c r="FO146" i="31" s="1"/>
  <c r="FN142" i="29"/>
  <c r="FN146" i="31" s="1"/>
  <c r="FM142" i="29"/>
  <c r="FM146" i="31" s="1"/>
  <c r="FL142" i="29"/>
  <c r="FL146" i="31" s="1"/>
  <c r="FK142" i="29"/>
  <c r="FK146" i="31" s="1"/>
  <c r="FJ142" i="29"/>
  <c r="FJ146" i="31" s="1"/>
  <c r="FI142" i="29"/>
  <c r="FI146" i="31" s="1"/>
  <c r="FH142" i="29"/>
  <c r="FH146" i="31" s="1"/>
  <c r="FG142" i="29"/>
  <c r="FG146" i="31" s="1"/>
  <c r="FF142" i="29"/>
  <c r="FF146" i="31" s="1"/>
  <c r="FE142" i="29"/>
  <c r="FE146" i="31" s="1"/>
  <c r="FD142" i="29"/>
  <c r="FD146" i="31" s="1"/>
  <c r="FC142" i="29"/>
  <c r="FC146" i="31" s="1"/>
  <c r="FB142" i="29"/>
  <c r="FB146" i="31" s="1"/>
  <c r="FA142" i="29"/>
  <c r="FA146" i="31" s="1"/>
  <c r="EZ142" i="29"/>
  <c r="EZ146" i="31" s="1"/>
  <c r="EY142" i="29"/>
  <c r="EY146" i="31" s="1"/>
  <c r="EX142" i="29"/>
  <c r="EX146" i="31" s="1"/>
  <c r="EW142" i="29"/>
  <c r="EW146" i="31" s="1"/>
  <c r="EV142" i="29"/>
  <c r="EV146" i="31" s="1"/>
  <c r="EU142" i="29"/>
  <c r="EU146" i="31" s="1"/>
  <c r="ET142" i="29"/>
  <c r="ET146" i="31" s="1"/>
  <c r="ES142" i="29"/>
  <c r="ES146" i="31" s="1"/>
  <c r="ER142" i="29"/>
  <c r="ER146" i="31" s="1"/>
  <c r="EQ142" i="29"/>
  <c r="EQ146" i="31" s="1"/>
  <c r="EP142" i="29"/>
  <c r="EP146" i="31" s="1"/>
  <c r="EO142" i="29"/>
  <c r="EO146" i="31" s="1"/>
  <c r="EN142" i="29"/>
  <c r="EN146" i="31" s="1"/>
  <c r="EM142" i="29"/>
  <c r="EM146" i="31" s="1"/>
  <c r="EL142" i="29"/>
  <c r="EL146" i="31" s="1"/>
  <c r="EK142" i="29"/>
  <c r="EK146" i="31" s="1"/>
  <c r="EJ142" i="29"/>
  <c r="EJ146" i="31" s="1"/>
  <c r="EI142" i="29"/>
  <c r="EI146" i="31" s="1"/>
  <c r="EH142" i="29"/>
  <c r="EH146" i="31" s="1"/>
  <c r="EG142" i="29"/>
  <c r="EG146" i="31" s="1"/>
  <c r="EF142" i="29"/>
  <c r="EF146" i="31" s="1"/>
  <c r="EE142" i="29"/>
  <c r="EE146" i="31" s="1"/>
  <c r="ED142" i="29"/>
  <c r="ED146" i="31" s="1"/>
  <c r="EC142" i="29"/>
  <c r="EC146" i="31" s="1"/>
  <c r="EB142" i="29"/>
  <c r="EB146" i="31" s="1"/>
  <c r="EA142" i="29"/>
  <c r="EA146" i="31" s="1"/>
  <c r="DZ142" i="29"/>
  <c r="DZ146" i="31" s="1"/>
  <c r="DY142" i="29"/>
  <c r="DY146" i="31" s="1"/>
  <c r="DX142" i="29"/>
  <c r="DX146" i="31" s="1"/>
  <c r="DW142" i="29"/>
  <c r="DW146" i="31" s="1"/>
  <c r="DV142" i="29"/>
  <c r="DV146" i="31" s="1"/>
  <c r="DU142" i="29"/>
  <c r="DU146" i="31" s="1"/>
  <c r="DT142" i="29"/>
  <c r="DT146" i="31" s="1"/>
  <c r="DS142" i="29"/>
  <c r="DS146" i="31" s="1"/>
  <c r="DR142" i="29"/>
  <c r="DR146" i="31" s="1"/>
  <c r="DQ142" i="29"/>
  <c r="DQ146" i="31" s="1"/>
  <c r="DP142" i="29"/>
  <c r="DP146" i="31" s="1"/>
  <c r="DO142" i="29"/>
  <c r="DO146" i="31" s="1"/>
  <c r="DN142" i="29"/>
  <c r="DN146" i="31" s="1"/>
  <c r="DM142" i="29"/>
  <c r="DM146" i="31" s="1"/>
  <c r="DL142" i="29"/>
  <c r="DL146" i="31" s="1"/>
  <c r="DK142" i="29"/>
  <c r="DK146" i="31" s="1"/>
  <c r="DJ142" i="29"/>
  <c r="DJ146" i="31" s="1"/>
  <c r="DI142" i="29"/>
  <c r="DI146" i="31" s="1"/>
  <c r="DH142" i="29"/>
  <c r="DH146" i="31" s="1"/>
  <c r="DG142" i="29"/>
  <c r="DG146" i="31" s="1"/>
  <c r="DF142" i="29"/>
  <c r="DF146" i="31" s="1"/>
  <c r="DE142" i="29"/>
  <c r="DE146" i="31" s="1"/>
  <c r="DD142" i="29"/>
  <c r="DD146" i="31" s="1"/>
  <c r="DC142" i="29"/>
  <c r="DC146" i="31" s="1"/>
  <c r="DB142" i="29"/>
  <c r="DB146" i="31" s="1"/>
  <c r="DA142" i="29"/>
  <c r="DA146" i="31" s="1"/>
  <c r="CZ142" i="29"/>
  <c r="CZ146" i="31" s="1"/>
  <c r="CY142" i="29"/>
  <c r="CY146" i="31" s="1"/>
  <c r="CX142" i="29"/>
  <c r="CX146" i="31" s="1"/>
  <c r="CW142" i="29"/>
  <c r="CW146" i="31" s="1"/>
  <c r="CV142" i="29"/>
  <c r="CV146" i="31" s="1"/>
  <c r="CU142" i="29"/>
  <c r="CU146" i="31" s="1"/>
  <c r="CT142" i="29"/>
  <c r="CT146" i="31" s="1"/>
  <c r="CS142" i="29"/>
  <c r="CS146" i="31" s="1"/>
  <c r="CR142" i="29"/>
  <c r="CR146" i="31" s="1"/>
  <c r="CQ142" i="29"/>
  <c r="CQ146" i="31" s="1"/>
  <c r="CP142" i="29"/>
  <c r="CP146" i="31" s="1"/>
  <c r="CO142" i="29"/>
  <c r="CO146" i="31" s="1"/>
  <c r="CN142" i="29"/>
  <c r="CN146" i="31" s="1"/>
  <c r="CM142" i="29"/>
  <c r="CM146" i="31" s="1"/>
  <c r="CL142" i="29"/>
  <c r="CL146" i="31" s="1"/>
  <c r="CK142" i="29"/>
  <c r="CK146" i="31" s="1"/>
  <c r="CJ142" i="29"/>
  <c r="CJ146" i="31" s="1"/>
  <c r="CI142" i="29"/>
  <c r="CI146" i="31" s="1"/>
  <c r="CH142" i="29"/>
  <c r="CH146" i="31" s="1"/>
  <c r="CG142" i="29"/>
  <c r="CG146" i="31" s="1"/>
  <c r="CF142" i="29"/>
  <c r="CF146" i="31" s="1"/>
  <c r="CE142" i="29"/>
  <c r="CE146" i="31" s="1"/>
  <c r="CD142" i="29"/>
  <c r="CD146" i="31" s="1"/>
  <c r="CC142" i="29"/>
  <c r="CC146" i="31" s="1"/>
  <c r="CB142" i="29"/>
  <c r="CB146" i="31" s="1"/>
  <c r="CA142" i="29"/>
  <c r="CA146" i="31" s="1"/>
  <c r="BZ142" i="29"/>
  <c r="BZ146" i="31" s="1"/>
  <c r="BY142" i="29"/>
  <c r="BY146" i="31" s="1"/>
  <c r="BX142" i="29"/>
  <c r="BX146" i="31" s="1"/>
  <c r="BW142" i="29"/>
  <c r="BW146" i="31" s="1"/>
  <c r="BV142" i="29"/>
  <c r="BV146" i="31" s="1"/>
  <c r="BU142" i="29"/>
  <c r="BU146" i="31" s="1"/>
  <c r="BT142" i="29"/>
  <c r="BT146" i="31" s="1"/>
  <c r="BS142" i="29"/>
  <c r="BS146" i="31" s="1"/>
  <c r="BR142" i="29"/>
  <c r="BR146" i="31" s="1"/>
  <c r="BQ142" i="29"/>
  <c r="BQ146" i="31" s="1"/>
  <c r="BP142" i="29"/>
  <c r="BP146" i="31" s="1"/>
  <c r="BO142" i="29"/>
  <c r="BO146" i="31" s="1"/>
  <c r="BN142" i="29"/>
  <c r="BN146" i="31" s="1"/>
  <c r="BM142" i="29"/>
  <c r="BM146" i="31" s="1"/>
  <c r="BL142" i="29"/>
  <c r="BL146" i="31" s="1"/>
  <c r="BK142" i="29"/>
  <c r="BK146" i="31" s="1"/>
  <c r="BJ142" i="29"/>
  <c r="BJ146" i="31" s="1"/>
  <c r="BI142" i="29"/>
  <c r="BI146" i="31" s="1"/>
  <c r="BH142" i="29"/>
  <c r="BH146" i="31" s="1"/>
  <c r="BG142" i="29"/>
  <c r="BG146" i="31" s="1"/>
  <c r="BF142" i="29"/>
  <c r="BF146" i="31" s="1"/>
  <c r="BE142" i="29"/>
  <c r="BE146" i="31" s="1"/>
  <c r="BD142" i="29"/>
  <c r="BD146" i="31" s="1"/>
  <c r="BC142" i="29"/>
  <c r="BC146" i="31" s="1"/>
  <c r="BB142" i="29"/>
  <c r="BB146" i="31" s="1"/>
  <c r="BA142" i="29"/>
  <c r="BA146" i="31" s="1"/>
  <c r="AZ142" i="29"/>
  <c r="AZ146" i="31" s="1"/>
  <c r="AY142" i="29"/>
  <c r="AY146" i="31" s="1"/>
  <c r="AX142" i="29"/>
  <c r="AX146" i="31" s="1"/>
  <c r="AW142" i="29"/>
  <c r="AW146" i="31" s="1"/>
  <c r="AV142" i="29"/>
  <c r="AV146" i="31" s="1"/>
  <c r="AU142" i="29"/>
  <c r="AU146" i="31" s="1"/>
  <c r="AT142" i="29"/>
  <c r="AT146" i="31" s="1"/>
  <c r="AS142" i="29"/>
  <c r="AS146" i="31" s="1"/>
  <c r="AR142" i="29"/>
  <c r="AR146" i="31" s="1"/>
  <c r="AQ142" i="29"/>
  <c r="AQ146" i="31" s="1"/>
  <c r="AP142" i="29"/>
  <c r="AP146" i="31" s="1"/>
  <c r="AO142" i="29"/>
  <c r="AO146" i="31" s="1"/>
  <c r="AN142" i="29"/>
  <c r="AN146" i="31" s="1"/>
  <c r="AM142" i="29"/>
  <c r="AM146" i="31" s="1"/>
  <c r="AL142" i="29"/>
  <c r="AL146" i="31" s="1"/>
  <c r="AK142" i="29"/>
  <c r="AK146" i="31" s="1"/>
  <c r="AJ142" i="29"/>
  <c r="AJ146" i="31" s="1"/>
  <c r="AI142" i="29"/>
  <c r="AI146" i="31" s="1"/>
  <c r="AH142" i="29"/>
  <c r="AH146" i="31" s="1"/>
  <c r="AG142" i="29"/>
  <c r="AG146" i="31" s="1"/>
  <c r="AF142" i="29"/>
  <c r="AF146" i="31" s="1"/>
  <c r="AE142" i="29"/>
  <c r="AE146" i="31" s="1"/>
  <c r="AD142" i="29"/>
  <c r="AD146" i="31" s="1"/>
  <c r="AB142" i="29"/>
  <c r="AB146" i="31" s="1"/>
  <c r="AA142" i="29"/>
  <c r="AA146" i="31" s="1"/>
  <c r="Z142" i="29"/>
  <c r="Z146" i="31" s="1"/>
  <c r="Y142" i="29"/>
  <c r="Y146" i="31" s="1"/>
  <c r="X142" i="29"/>
  <c r="X146" i="31" s="1"/>
  <c r="W142" i="29"/>
  <c r="W146" i="31" s="1"/>
  <c r="V142" i="29"/>
  <c r="V146" i="31" s="1"/>
  <c r="U142" i="29"/>
  <c r="U146" i="31" s="1"/>
  <c r="T142" i="29"/>
  <c r="T146" i="31" s="1"/>
  <c r="S142" i="29"/>
  <c r="S146" i="31" s="1"/>
  <c r="R142" i="29"/>
  <c r="R146" i="31" s="1"/>
  <c r="Q142" i="29"/>
  <c r="Q146" i="31" s="1"/>
  <c r="P142" i="29"/>
  <c r="P146" i="31" s="1"/>
  <c r="O142" i="29"/>
  <c r="O146" i="31" s="1"/>
  <c r="N142" i="29"/>
  <c r="N146" i="31" s="1"/>
  <c r="M142" i="29"/>
  <c r="M146" i="31" s="1"/>
  <c r="L142" i="29"/>
  <c r="L146" i="31" s="1"/>
  <c r="K142" i="29"/>
  <c r="K146" i="31" s="1"/>
  <c r="J142" i="29"/>
  <c r="J146" i="31" s="1"/>
  <c r="I142" i="29"/>
  <c r="I146" i="31" s="1"/>
  <c r="H142" i="29"/>
  <c r="H146" i="31" s="1"/>
  <c r="G142" i="29"/>
  <c r="G146" i="31" s="1"/>
  <c r="F142" i="29"/>
  <c r="F146" i="31" s="1"/>
  <c r="E142" i="29"/>
  <c r="E146" i="31" s="1"/>
  <c r="D142" i="29"/>
  <c r="D146" i="31" s="1"/>
  <c r="C142" i="29"/>
  <c r="C146" i="31" s="1"/>
  <c r="JH141" i="29"/>
  <c r="JH145" i="31" s="1"/>
  <c r="JG141" i="29"/>
  <c r="JG145" i="31" s="1"/>
  <c r="JF141" i="29"/>
  <c r="JF145" i="31" s="1"/>
  <c r="JE141" i="29"/>
  <c r="JE145" i="31" s="1"/>
  <c r="JD141" i="29"/>
  <c r="JD145" i="31" s="1"/>
  <c r="JC141" i="29"/>
  <c r="JC145" i="31" s="1"/>
  <c r="JB141" i="29"/>
  <c r="JB145" i="31" s="1"/>
  <c r="JA141" i="29"/>
  <c r="JA145" i="31" s="1"/>
  <c r="IZ141" i="29"/>
  <c r="IZ145" i="31" s="1"/>
  <c r="IY141" i="29"/>
  <c r="IY145" i="31" s="1"/>
  <c r="IX141" i="29"/>
  <c r="IX145" i="31" s="1"/>
  <c r="IW141" i="29"/>
  <c r="IW145" i="31" s="1"/>
  <c r="IV141" i="29"/>
  <c r="IV145" i="31" s="1"/>
  <c r="IU141" i="29"/>
  <c r="IU145" i="31" s="1"/>
  <c r="IT141" i="29"/>
  <c r="IT145" i="31" s="1"/>
  <c r="IS141" i="29"/>
  <c r="IS145" i="31" s="1"/>
  <c r="IR141" i="29"/>
  <c r="IR145" i="31" s="1"/>
  <c r="IQ141" i="29"/>
  <c r="IQ145" i="31" s="1"/>
  <c r="IP141" i="29"/>
  <c r="IP145" i="31" s="1"/>
  <c r="IO141" i="29"/>
  <c r="IO145" i="31" s="1"/>
  <c r="IN141" i="29"/>
  <c r="IN145" i="31" s="1"/>
  <c r="IM141" i="29"/>
  <c r="IM145" i="31" s="1"/>
  <c r="IL141" i="29"/>
  <c r="IL145" i="31" s="1"/>
  <c r="IK141" i="29"/>
  <c r="IK145" i="31" s="1"/>
  <c r="IJ141" i="29"/>
  <c r="IJ145" i="31" s="1"/>
  <c r="II141" i="29"/>
  <c r="II145" i="31" s="1"/>
  <c r="IH141" i="29"/>
  <c r="IH145" i="31" s="1"/>
  <c r="IG141" i="29"/>
  <c r="IG145" i="31" s="1"/>
  <c r="IF141" i="29"/>
  <c r="IF145" i="31" s="1"/>
  <c r="IE141" i="29"/>
  <c r="IE145" i="31" s="1"/>
  <c r="ID141" i="29"/>
  <c r="ID145" i="31" s="1"/>
  <c r="IC141" i="29"/>
  <c r="IC145" i="31" s="1"/>
  <c r="IB141" i="29"/>
  <c r="IB145" i="31" s="1"/>
  <c r="IA141" i="29"/>
  <c r="IA145" i="31" s="1"/>
  <c r="HZ141" i="29"/>
  <c r="HZ145" i="31" s="1"/>
  <c r="HY141" i="29"/>
  <c r="HY145" i="31" s="1"/>
  <c r="HX141" i="29"/>
  <c r="HX145" i="31" s="1"/>
  <c r="HW141" i="29"/>
  <c r="HW145" i="31" s="1"/>
  <c r="HV141" i="29"/>
  <c r="HV145" i="31" s="1"/>
  <c r="HU141" i="29"/>
  <c r="HU145" i="31" s="1"/>
  <c r="HT141" i="29"/>
  <c r="HT145" i="31" s="1"/>
  <c r="HS141" i="29"/>
  <c r="HS145" i="31" s="1"/>
  <c r="HR141" i="29"/>
  <c r="HR145" i="31" s="1"/>
  <c r="HQ141" i="29"/>
  <c r="HQ145" i="31" s="1"/>
  <c r="HP141" i="29"/>
  <c r="HP145" i="31" s="1"/>
  <c r="HO141" i="29"/>
  <c r="HO145" i="31" s="1"/>
  <c r="HN141" i="29"/>
  <c r="HN145" i="31" s="1"/>
  <c r="HM141" i="29"/>
  <c r="HM145" i="31" s="1"/>
  <c r="HL141" i="29"/>
  <c r="HL145" i="31" s="1"/>
  <c r="HK141" i="29"/>
  <c r="HK145" i="31" s="1"/>
  <c r="HJ141" i="29"/>
  <c r="HJ145" i="31" s="1"/>
  <c r="HI141" i="29"/>
  <c r="HI145" i="31" s="1"/>
  <c r="HH141" i="29"/>
  <c r="HH145" i="31" s="1"/>
  <c r="HG141" i="29"/>
  <c r="HG145" i="31" s="1"/>
  <c r="HF141" i="29"/>
  <c r="HF145" i="31" s="1"/>
  <c r="HE141" i="29"/>
  <c r="HE145" i="31" s="1"/>
  <c r="HD141" i="29"/>
  <c r="HD145" i="31" s="1"/>
  <c r="HC141" i="29"/>
  <c r="HC145" i="31" s="1"/>
  <c r="HB141" i="29"/>
  <c r="HB145" i="31" s="1"/>
  <c r="HA141" i="29"/>
  <c r="HA145" i="31" s="1"/>
  <c r="GZ141" i="29"/>
  <c r="GZ145" i="31" s="1"/>
  <c r="GY141" i="29"/>
  <c r="GY145" i="31" s="1"/>
  <c r="GX141" i="29"/>
  <c r="GX145" i="31" s="1"/>
  <c r="GW141" i="29"/>
  <c r="GW145" i="31" s="1"/>
  <c r="GV141" i="29"/>
  <c r="GV145" i="31" s="1"/>
  <c r="GU141" i="29"/>
  <c r="GU145" i="31" s="1"/>
  <c r="GT141" i="29"/>
  <c r="GT145" i="31" s="1"/>
  <c r="GS141" i="29"/>
  <c r="GS145" i="31" s="1"/>
  <c r="GR141" i="29"/>
  <c r="GR145" i="31" s="1"/>
  <c r="GQ141" i="29"/>
  <c r="GQ145" i="31" s="1"/>
  <c r="GP141" i="29"/>
  <c r="GP145" i="31" s="1"/>
  <c r="GO141" i="29"/>
  <c r="GO145" i="31" s="1"/>
  <c r="GN141" i="29"/>
  <c r="GN145" i="31" s="1"/>
  <c r="GM141" i="29"/>
  <c r="GM145" i="31" s="1"/>
  <c r="GL141" i="29"/>
  <c r="GL145" i="31" s="1"/>
  <c r="GK141" i="29"/>
  <c r="GK145" i="31" s="1"/>
  <c r="GJ141" i="29"/>
  <c r="GJ145" i="31" s="1"/>
  <c r="GI141" i="29"/>
  <c r="GI145" i="31" s="1"/>
  <c r="GH141" i="29"/>
  <c r="GH145" i="31" s="1"/>
  <c r="GG141" i="29"/>
  <c r="GG145" i="31" s="1"/>
  <c r="GF141" i="29"/>
  <c r="GF145" i="31" s="1"/>
  <c r="GE141" i="29"/>
  <c r="GE145" i="31" s="1"/>
  <c r="GD141" i="29"/>
  <c r="GD145" i="31" s="1"/>
  <c r="GC141" i="29"/>
  <c r="GC145" i="31" s="1"/>
  <c r="GB141" i="29"/>
  <c r="GB145" i="31" s="1"/>
  <c r="GA141" i="29"/>
  <c r="GA145" i="31" s="1"/>
  <c r="FZ141" i="29"/>
  <c r="FZ145" i="31" s="1"/>
  <c r="FY141" i="29"/>
  <c r="FY145" i="31" s="1"/>
  <c r="FX141" i="29"/>
  <c r="FX145" i="31" s="1"/>
  <c r="FW141" i="29"/>
  <c r="FW145" i="31" s="1"/>
  <c r="FV141" i="29"/>
  <c r="FV145" i="31" s="1"/>
  <c r="FU141" i="29"/>
  <c r="FU145" i="31" s="1"/>
  <c r="FT141" i="29"/>
  <c r="FT145" i="31" s="1"/>
  <c r="FS141" i="29"/>
  <c r="FS145" i="31" s="1"/>
  <c r="FR141" i="29"/>
  <c r="FR145" i="31" s="1"/>
  <c r="FQ141" i="29"/>
  <c r="FQ145" i="31" s="1"/>
  <c r="FP141" i="29"/>
  <c r="FP145" i="31" s="1"/>
  <c r="FO141" i="29"/>
  <c r="FO145" i="31" s="1"/>
  <c r="FN141" i="29"/>
  <c r="FN145" i="31" s="1"/>
  <c r="FM141" i="29"/>
  <c r="FM145" i="31" s="1"/>
  <c r="FL141" i="29"/>
  <c r="FL145" i="31" s="1"/>
  <c r="FK141" i="29"/>
  <c r="FK145" i="31" s="1"/>
  <c r="FJ141" i="29"/>
  <c r="FJ145" i="31" s="1"/>
  <c r="FI141" i="29"/>
  <c r="FI145" i="31" s="1"/>
  <c r="FH141" i="29"/>
  <c r="FH145" i="31" s="1"/>
  <c r="FG141" i="29"/>
  <c r="FG145" i="31" s="1"/>
  <c r="FF141" i="29"/>
  <c r="FF145" i="31" s="1"/>
  <c r="FE141" i="29"/>
  <c r="FE145" i="31" s="1"/>
  <c r="FD141" i="29"/>
  <c r="FD145" i="31" s="1"/>
  <c r="FC141" i="29"/>
  <c r="FC145" i="31" s="1"/>
  <c r="FB141" i="29"/>
  <c r="FB145" i="31" s="1"/>
  <c r="FA141" i="29"/>
  <c r="FA145" i="31" s="1"/>
  <c r="EZ141" i="29"/>
  <c r="EZ145" i="31" s="1"/>
  <c r="EY141" i="29"/>
  <c r="EY145" i="31" s="1"/>
  <c r="EX141" i="29"/>
  <c r="EX145" i="31" s="1"/>
  <c r="EW141" i="29"/>
  <c r="EW145" i="31" s="1"/>
  <c r="EV141" i="29"/>
  <c r="EV145" i="31" s="1"/>
  <c r="EU141" i="29"/>
  <c r="EU145" i="31" s="1"/>
  <c r="ET141" i="29"/>
  <c r="ET145" i="31" s="1"/>
  <c r="ES141" i="29"/>
  <c r="ES145" i="31" s="1"/>
  <c r="ER141" i="29"/>
  <c r="ER145" i="31" s="1"/>
  <c r="EQ141" i="29"/>
  <c r="EQ145" i="31" s="1"/>
  <c r="EP141" i="29"/>
  <c r="EP145" i="31" s="1"/>
  <c r="EO141" i="29"/>
  <c r="EO145" i="31" s="1"/>
  <c r="EN141" i="29"/>
  <c r="EN145" i="31" s="1"/>
  <c r="EM141" i="29"/>
  <c r="EM145" i="31" s="1"/>
  <c r="EL141" i="29"/>
  <c r="EL145" i="31" s="1"/>
  <c r="EK141" i="29"/>
  <c r="EK145" i="31" s="1"/>
  <c r="EJ141" i="29"/>
  <c r="EJ145" i="31" s="1"/>
  <c r="EI141" i="29"/>
  <c r="EI145" i="31" s="1"/>
  <c r="EH141" i="29"/>
  <c r="EH145" i="31" s="1"/>
  <c r="EG141" i="29"/>
  <c r="EG145" i="31" s="1"/>
  <c r="EF141" i="29"/>
  <c r="EF145" i="31" s="1"/>
  <c r="EE141" i="29"/>
  <c r="EE145" i="31" s="1"/>
  <c r="ED141" i="29"/>
  <c r="ED145" i="31" s="1"/>
  <c r="EC141" i="29"/>
  <c r="EC145" i="31" s="1"/>
  <c r="EB141" i="29"/>
  <c r="EB145" i="31" s="1"/>
  <c r="EA141" i="29"/>
  <c r="EA145" i="31" s="1"/>
  <c r="DZ141" i="29"/>
  <c r="DZ145" i="31" s="1"/>
  <c r="DY141" i="29"/>
  <c r="DY145" i="31" s="1"/>
  <c r="DX141" i="29"/>
  <c r="DX145" i="31" s="1"/>
  <c r="DW141" i="29"/>
  <c r="DW145" i="31" s="1"/>
  <c r="DV141" i="29"/>
  <c r="DV145" i="31" s="1"/>
  <c r="DU141" i="29"/>
  <c r="DU145" i="31" s="1"/>
  <c r="DT141" i="29"/>
  <c r="DT145" i="31" s="1"/>
  <c r="DS141" i="29"/>
  <c r="DS145" i="31" s="1"/>
  <c r="DR141" i="29"/>
  <c r="DR145" i="31" s="1"/>
  <c r="DQ141" i="29"/>
  <c r="DQ145" i="31" s="1"/>
  <c r="DP141" i="29"/>
  <c r="DP145" i="31" s="1"/>
  <c r="DO141" i="29"/>
  <c r="DO145" i="31" s="1"/>
  <c r="DN141" i="29"/>
  <c r="DN145" i="31" s="1"/>
  <c r="DM141" i="29"/>
  <c r="DM145" i="31" s="1"/>
  <c r="DL141" i="29"/>
  <c r="DL145" i="31" s="1"/>
  <c r="DK141" i="29"/>
  <c r="DK145" i="31" s="1"/>
  <c r="DJ141" i="29"/>
  <c r="DJ145" i="31" s="1"/>
  <c r="DI141" i="29"/>
  <c r="DI145" i="31" s="1"/>
  <c r="DH141" i="29"/>
  <c r="DH145" i="31" s="1"/>
  <c r="DG141" i="29"/>
  <c r="DG145" i="31" s="1"/>
  <c r="DF141" i="29"/>
  <c r="DF145" i="31" s="1"/>
  <c r="DE141" i="29"/>
  <c r="DE145" i="31" s="1"/>
  <c r="DD141" i="29"/>
  <c r="DD145" i="31" s="1"/>
  <c r="DC141" i="29"/>
  <c r="DC145" i="31" s="1"/>
  <c r="DB141" i="29"/>
  <c r="DB145" i="31" s="1"/>
  <c r="DA141" i="29"/>
  <c r="DA145" i="31" s="1"/>
  <c r="CZ141" i="29"/>
  <c r="CZ145" i="31" s="1"/>
  <c r="CY141" i="29"/>
  <c r="CY145" i="31" s="1"/>
  <c r="CX141" i="29"/>
  <c r="CX145" i="31" s="1"/>
  <c r="CW141" i="29"/>
  <c r="CW145" i="31" s="1"/>
  <c r="CV141" i="29"/>
  <c r="CV145" i="31" s="1"/>
  <c r="CU141" i="29"/>
  <c r="CU145" i="31" s="1"/>
  <c r="CT141" i="29"/>
  <c r="CT145" i="31" s="1"/>
  <c r="CS141" i="29"/>
  <c r="CS145" i="31" s="1"/>
  <c r="CR141" i="29"/>
  <c r="CR145" i="31" s="1"/>
  <c r="CQ141" i="29"/>
  <c r="CQ145" i="31" s="1"/>
  <c r="CP141" i="29"/>
  <c r="CP145" i="31" s="1"/>
  <c r="CO141" i="29"/>
  <c r="CO145" i="31" s="1"/>
  <c r="CN141" i="29"/>
  <c r="CN145" i="31" s="1"/>
  <c r="CM141" i="29"/>
  <c r="CM145" i="31" s="1"/>
  <c r="CL141" i="29"/>
  <c r="CL145" i="31" s="1"/>
  <c r="CK141" i="29"/>
  <c r="CK145" i="31" s="1"/>
  <c r="CJ141" i="29"/>
  <c r="CJ145" i="31" s="1"/>
  <c r="CI141" i="29"/>
  <c r="CI145" i="31" s="1"/>
  <c r="CH141" i="29"/>
  <c r="CH145" i="31" s="1"/>
  <c r="CG141" i="29"/>
  <c r="CG145" i="31" s="1"/>
  <c r="CF141" i="29"/>
  <c r="CF145" i="31" s="1"/>
  <c r="CE141" i="29"/>
  <c r="CE145" i="31" s="1"/>
  <c r="CD141" i="29"/>
  <c r="CD145" i="31" s="1"/>
  <c r="CC141" i="29"/>
  <c r="CC145" i="31" s="1"/>
  <c r="CB141" i="29"/>
  <c r="CB145" i="31" s="1"/>
  <c r="CA141" i="29"/>
  <c r="CA145" i="31" s="1"/>
  <c r="BZ141" i="29"/>
  <c r="BZ145" i="31" s="1"/>
  <c r="BY141" i="29"/>
  <c r="BY145" i="31" s="1"/>
  <c r="BX141" i="29"/>
  <c r="BX145" i="31" s="1"/>
  <c r="BW141" i="29"/>
  <c r="BW145" i="31" s="1"/>
  <c r="BV141" i="29"/>
  <c r="BV145" i="31" s="1"/>
  <c r="BU141" i="29"/>
  <c r="BU145" i="31" s="1"/>
  <c r="BT141" i="29"/>
  <c r="BT145" i="31" s="1"/>
  <c r="BS141" i="29"/>
  <c r="BS145" i="31" s="1"/>
  <c r="BR141" i="29"/>
  <c r="BR145" i="31" s="1"/>
  <c r="BQ141" i="29"/>
  <c r="BQ145" i="31" s="1"/>
  <c r="BP141" i="29"/>
  <c r="BP145" i="31" s="1"/>
  <c r="BO141" i="29"/>
  <c r="BO145" i="31" s="1"/>
  <c r="BN141" i="29"/>
  <c r="BN145" i="31" s="1"/>
  <c r="BM141" i="29"/>
  <c r="BM145" i="31" s="1"/>
  <c r="BL141" i="29"/>
  <c r="BL145" i="31" s="1"/>
  <c r="BK141" i="29"/>
  <c r="BK145" i="31" s="1"/>
  <c r="BJ141" i="29"/>
  <c r="BJ145" i="31" s="1"/>
  <c r="BI141" i="29"/>
  <c r="BI145" i="31" s="1"/>
  <c r="BH141" i="29"/>
  <c r="BH145" i="31" s="1"/>
  <c r="BG141" i="29"/>
  <c r="BG145" i="31" s="1"/>
  <c r="BF141" i="29"/>
  <c r="BF145" i="31" s="1"/>
  <c r="BE141" i="29"/>
  <c r="BE145" i="31" s="1"/>
  <c r="BD141" i="29"/>
  <c r="BD145" i="31" s="1"/>
  <c r="BC141" i="29"/>
  <c r="BC145" i="31" s="1"/>
  <c r="BB141" i="29"/>
  <c r="BB145" i="31" s="1"/>
  <c r="BA141" i="29"/>
  <c r="BA145" i="31" s="1"/>
  <c r="AZ141" i="29"/>
  <c r="AZ145" i="31" s="1"/>
  <c r="AY141" i="29"/>
  <c r="AY145" i="31" s="1"/>
  <c r="AX141" i="29"/>
  <c r="AX145" i="31" s="1"/>
  <c r="AW141" i="29"/>
  <c r="AW145" i="31" s="1"/>
  <c r="AV141" i="29"/>
  <c r="AV145" i="31" s="1"/>
  <c r="AU141" i="29"/>
  <c r="AU145" i="31" s="1"/>
  <c r="AT141" i="29"/>
  <c r="AT145" i="31" s="1"/>
  <c r="AS141" i="29"/>
  <c r="AS145" i="31" s="1"/>
  <c r="AR141" i="29"/>
  <c r="AR145" i="31" s="1"/>
  <c r="AQ141" i="29"/>
  <c r="AQ145" i="31" s="1"/>
  <c r="AP141" i="29"/>
  <c r="AP145" i="31" s="1"/>
  <c r="AO141" i="29"/>
  <c r="AO145" i="31" s="1"/>
  <c r="AN141" i="29"/>
  <c r="AN145" i="31" s="1"/>
  <c r="AM141" i="29"/>
  <c r="AM145" i="31" s="1"/>
  <c r="AL141" i="29"/>
  <c r="AL145" i="31" s="1"/>
  <c r="AK141" i="29"/>
  <c r="AK145" i="31" s="1"/>
  <c r="AJ141" i="29"/>
  <c r="AJ145" i="31" s="1"/>
  <c r="AI141" i="29"/>
  <c r="AI145" i="31" s="1"/>
  <c r="AH141" i="29"/>
  <c r="AH145" i="31" s="1"/>
  <c r="AG141" i="29"/>
  <c r="AG145" i="31" s="1"/>
  <c r="AF141" i="29"/>
  <c r="AF145" i="31" s="1"/>
  <c r="AE141" i="29"/>
  <c r="AE145" i="31" s="1"/>
  <c r="AD141" i="29"/>
  <c r="AD145" i="31" s="1"/>
  <c r="AB141" i="29"/>
  <c r="AB145" i="31" s="1"/>
  <c r="AA141" i="29"/>
  <c r="AA145" i="31" s="1"/>
  <c r="Z141" i="29"/>
  <c r="Z145" i="31" s="1"/>
  <c r="Y141" i="29"/>
  <c r="Y145" i="31" s="1"/>
  <c r="X141" i="29"/>
  <c r="X145" i="31" s="1"/>
  <c r="W141" i="29"/>
  <c r="W145" i="31" s="1"/>
  <c r="V141" i="29"/>
  <c r="V145" i="31" s="1"/>
  <c r="U141" i="29"/>
  <c r="U145" i="31" s="1"/>
  <c r="T141" i="29"/>
  <c r="T145" i="31" s="1"/>
  <c r="S141" i="29"/>
  <c r="S145" i="31" s="1"/>
  <c r="R141" i="29"/>
  <c r="R145" i="31" s="1"/>
  <c r="Q141" i="29"/>
  <c r="Q145" i="31" s="1"/>
  <c r="P141" i="29"/>
  <c r="P145" i="31" s="1"/>
  <c r="O141" i="29"/>
  <c r="O145" i="31" s="1"/>
  <c r="N141" i="29"/>
  <c r="N145" i="31" s="1"/>
  <c r="M141" i="29"/>
  <c r="M145" i="31" s="1"/>
  <c r="L141" i="29"/>
  <c r="L145" i="31" s="1"/>
  <c r="K141" i="29"/>
  <c r="K145" i="31" s="1"/>
  <c r="J141" i="29"/>
  <c r="J145" i="31" s="1"/>
  <c r="I141" i="29"/>
  <c r="I145" i="31" s="1"/>
  <c r="H141" i="29"/>
  <c r="H145" i="31" s="1"/>
  <c r="G141" i="29"/>
  <c r="G145" i="31" s="1"/>
  <c r="F141" i="29"/>
  <c r="F145" i="31" s="1"/>
  <c r="E141" i="29"/>
  <c r="E145" i="31" s="1"/>
  <c r="D141" i="29"/>
  <c r="D145" i="31" s="1"/>
  <c r="C141" i="29"/>
  <c r="C145" i="31" s="1"/>
  <c r="JH140" i="29"/>
  <c r="JH144" i="31" s="1"/>
  <c r="JG140" i="29"/>
  <c r="JG144" i="31" s="1"/>
  <c r="JF140" i="29"/>
  <c r="JF144" i="31" s="1"/>
  <c r="JE140" i="29"/>
  <c r="JE144" i="31" s="1"/>
  <c r="JD140" i="29"/>
  <c r="JD144" i="31" s="1"/>
  <c r="JC140" i="29"/>
  <c r="JC144" i="31" s="1"/>
  <c r="JB140" i="29"/>
  <c r="JB144" i="31" s="1"/>
  <c r="JA140" i="29"/>
  <c r="JA144" i="31" s="1"/>
  <c r="IZ140" i="29"/>
  <c r="IZ144" i="31" s="1"/>
  <c r="IY140" i="29"/>
  <c r="IY144" i="31" s="1"/>
  <c r="IX140" i="29"/>
  <c r="IX144" i="31" s="1"/>
  <c r="IW140" i="29"/>
  <c r="IW144" i="31" s="1"/>
  <c r="IV140" i="29"/>
  <c r="IV144" i="31" s="1"/>
  <c r="IU140" i="29"/>
  <c r="IU144" i="31" s="1"/>
  <c r="IT140" i="29"/>
  <c r="IT144" i="31" s="1"/>
  <c r="IS140" i="29"/>
  <c r="IS144" i="31" s="1"/>
  <c r="IR140" i="29"/>
  <c r="IR144" i="31" s="1"/>
  <c r="IQ140" i="29"/>
  <c r="IQ144" i="31" s="1"/>
  <c r="IP140" i="29"/>
  <c r="IP144" i="31" s="1"/>
  <c r="IO140" i="29"/>
  <c r="IO144" i="31" s="1"/>
  <c r="IN140" i="29"/>
  <c r="IN144" i="31" s="1"/>
  <c r="IM140" i="29"/>
  <c r="IM144" i="31" s="1"/>
  <c r="IL140" i="29"/>
  <c r="IL144" i="31" s="1"/>
  <c r="IK140" i="29"/>
  <c r="IK144" i="31" s="1"/>
  <c r="IJ140" i="29"/>
  <c r="IJ144" i="31" s="1"/>
  <c r="II140" i="29"/>
  <c r="II144" i="31" s="1"/>
  <c r="IH140" i="29"/>
  <c r="IH144" i="31" s="1"/>
  <c r="IG140" i="29"/>
  <c r="IG144" i="31" s="1"/>
  <c r="IF140" i="29"/>
  <c r="IF144" i="31" s="1"/>
  <c r="IE140" i="29"/>
  <c r="IE144" i="31" s="1"/>
  <c r="ID140" i="29"/>
  <c r="ID144" i="31" s="1"/>
  <c r="IC140" i="29"/>
  <c r="IC144" i="31" s="1"/>
  <c r="IB140" i="29"/>
  <c r="IB144" i="31" s="1"/>
  <c r="IA140" i="29"/>
  <c r="IA144" i="31" s="1"/>
  <c r="HZ140" i="29"/>
  <c r="HZ144" i="31" s="1"/>
  <c r="HY140" i="29"/>
  <c r="HY144" i="31" s="1"/>
  <c r="HX140" i="29"/>
  <c r="HX144" i="31" s="1"/>
  <c r="HW140" i="29"/>
  <c r="HW144" i="31" s="1"/>
  <c r="HV140" i="29"/>
  <c r="HV144" i="31" s="1"/>
  <c r="HU140" i="29"/>
  <c r="HU144" i="31" s="1"/>
  <c r="HT140" i="29"/>
  <c r="HT144" i="31" s="1"/>
  <c r="HS140" i="29"/>
  <c r="HS144" i="31" s="1"/>
  <c r="HR140" i="29"/>
  <c r="HR144" i="31" s="1"/>
  <c r="HQ140" i="29"/>
  <c r="HQ144" i="31" s="1"/>
  <c r="HP140" i="29"/>
  <c r="HP144" i="31" s="1"/>
  <c r="HO140" i="29"/>
  <c r="HO144" i="31" s="1"/>
  <c r="HN140" i="29"/>
  <c r="HN144" i="31" s="1"/>
  <c r="HM140" i="29"/>
  <c r="HM144" i="31" s="1"/>
  <c r="HL140" i="29"/>
  <c r="HL144" i="31" s="1"/>
  <c r="HK140" i="29"/>
  <c r="HK144" i="31" s="1"/>
  <c r="HJ140" i="29"/>
  <c r="HJ144" i="31" s="1"/>
  <c r="HI140" i="29"/>
  <c r="HI144" i="31" s="1"/>
  <c r="HH140" i="29"/>
  <c r="HH144" i="31" s="1"/>
  <c r="HG140" i="29"/>
  <c r="HG144" i="31" s="1"/>
  <c r="HF140" i="29"/>
  <c r="HF144" i="31" s="1"/>
  <c r="HE140" i="29"/>
  <c r="HE144" i="31" s="1"/>
  <c r="HD140" i="29"/>
  <c r="HD144" i="31" s="1"/>
  <c r="HC140" i="29"/>
  <c r="HC144" i="31" s="1"/>
  <c r="HB140" i="29"/>
  <c r="HB144" i="31" s="1"/>
  <c r="HA140" i="29"/>
  <c r="HA144" i="31" s="1"/>
  <c r="GZ140" i="29"/>
  <c r="GZ144" i="31" s="1"/>
  <c r="GY140" i="29"/>
  <c r="GY144" i="31" s="1"/>
  <c r="GX140" i="29"/>
  <c r="GX144" i="31" s="1"/>
  <c r="GW140" i="29"/>
  <c r="GW144" i="31" s="1"/>
  <c r="GV140" i="29"/>
  <c r="GV144" i="31" s="1"/>
  <c r="GU140" i="29"/>
  <c r="GU144" i="31" s="1"/>
  <c r="GT140" i="29"/>
  <c r="GT144" i="31" s="1"/>
  <c r="GS140" i="29"/>
  <c r="GS144" i="31" s="1"/>
  <c r="GR140" i="29"/>
  <c r="GR144" i="31" s="1"/>
  <c r="GQ140" i="29"/>
  <c r="GQ144" i="31" s="1"/>
  <c r="GP140" i="29"/>
  <c r="GP144" i="31" s="1"/>
  <c r="GO140" i="29"/>
  <c r="GO144" i="31" s="1"/>
  <c r="GN140" i="29"/>
  <c r="GN144" i="31" s="1"/>
  <c r="GM140" i="29"/>
  <c r="GM144" i="31" s="1"/>
  <c r="GL140" i="29"/>
  <c r="GL144" i="31" s="1"/>
  <c r="GK140" i="29"/>
  <c r="GK144" i="31" s="1"/>
  <c r="GJ140" i="29"/>
  <c r="GJ144" i="31" s="1"/>
  <c r="GI140" i="29"/>
  <c r="GI144" i="31" s="1"/>
  <c r="GH140" i="29"/>
  <c r="GH144" i="31" s="1"/>
  <c r="GG140" i="29"/>
  <c r="GG144" i="31" s="1"/>
  <c r="GF140" i="29"/>
  <c r="GF144" i="31" s="1"/>
  <c r="GE140" i="29"/>
  <c r="GE144" i="31" s="1"/>
  <c r="GD140" i="29"/>
  <c r="GD144" i="31" s="1"/>
  <c r="GC140" i="29"/>
  <c r="GC144" i="31" s="1"/>
  <c r="GB140" i="29"/>
  <c r="GB144" i="31" s="1"/>
  <c r="GA140" i="29"/>
  <c r="GA144" i="31" s="1"/>
  <c r="FZ140" i="29"/>
  <c r="FZ144" i="31" s="1"/>
  <c r="FY140" i="29"/>
  <c r="FY144" i="31" s="1"/>
  <c r="FX140" i="29"/>
  <c r="FX144" i="31" s="1"/>
  <c r="FW140" i="29"/>
  <c r="FW144" i="31" s="1"/>
  <c r="FV140" i="29"/>
  <c r="FV144" i="31" s="1"/>
  <c r="FU140" i="29"/>
  <c r="FU144" i="31" s="1"/>
  <c r="FT140" i="29"/>
  <c r="FT144" i="31" s="1"/>
  <c r="FS140" i="29"/>
  <c r="FS144" i="31" s="1"/>
  <c r="FR140" i="29"/>
  <c r="FR144" i="31" s="1"/>
  <c r="FQ140" i="29"/>
  <c r="FQ144" i="31" s="1"/>
  <c r="FP140" i="29"/>
  <c r="FP144" i="31" s="1"/>
  <c r="FO140" i="29"/>
  <c r="FO144" i="31" s="1"/>
  <c r="FN140" i="29"/>
  <c r="FN144" i="31" s="1"/>
  <c r="FM140" i="29"/>
  <c r="FM144" i="31" s="1"/>
  <c r="FL140" i="29"/>
  <c r="FL144" i="31" s="1"/>
  <c r="FK140" i="29"/>
  <c r="FK144" i="31" s="1"/>
  <c r="FJ140" i="29"/>
  <c r="FJ144" i="31" s="1"/>
  <c r="FI140" i="29"/>
  <c r="FI144" i="31" s="1"/>
  <c r="FH140" i="29"/>
  <c r="FH144" i="31" s="1"/>
  <c r="FG140" i="29"/>
  <c r="FG144" i="31" s="1"/>
  <c r="FF140" i="29"/>
  <c r="FF144" i="31" s="1"/>
  <c r="FE140" i="29"/>
  <c r="FE144" i="31" s="1"/>
  <c r="FD140" i="29"/>
  <c r="FD144" i="31" s="1"/>
  <c r="FC140" i="29"/>
  <c r="FC144" i="31" s="1"/>
  <c r="FB140" i="29"/>
  <c r="FB144" i="31" s="1"/>
  <c r="FA140" i="29"/>
  <c r="FA144" i="31" s="1"/>
  <c r="EZ140" i="29"/>
  <c r="EZ144" i="31" s="1"/>
  <c r="EY140" i="29"/>
  <c r="EY144" i="31" s="1"/>
  <c r="EX140" i="29"/>
  <c r="EX144" i="31" s="1"/>
  <c r="EW140" i="29"/>
  <c r="EW144" i="31" s="1"/>
  <c r="EV140" i="29"/>
  <c r="EV144" i="31" s="1"/>
  <c r="EU140" i="29"/>
  <c r="EU144" i="31" s="1"/>
  <c r="ET140" i="29"/>
  <c r="ET144" i="31" s="1"/>
  <c r="ES140" i="29"/>
  <c r="ES144" i="31" s="1"/>
  <c r="ER140" i="29"/>
  <c r="ER144" i="31" s="1"/>
  <c r="EQ140" i="29"/>
  <c r="EQ144" i="31" s="1"/>
  <c r="EP140" i="29"/>
  <c r="EP144" i="31" s="1"/>
  <c r="EO140" i="29"/>
  <c r="EO144" i="31" s="1"/>
  <c r="EN140" i="29"/>
  <c r="EN144" i="31" s="1"/>
  <c r="EM140" i="29"/>
  <c r="EM144" i="31" s="1"/>
  <c r="EL140" i="29"/>
  <c r="EL144" i="31" s="1"/>
  <c r="EK140" i="29"/>
  <c r="EK144" i="31" s="1"/>
  <c r="EJ140" i="29"/>
  <c r="EJ144" i="31" s="1"/>
  <c r="EI140" i="29"/>
  <c r="EI144" i="31" s="1"/>
  <c r="EH140" i="29"/>
  <c r="EH144" i="31" s="1"/>
  <c r="EG140" i="29"/>
  <c r="EG144" i="31" s="1"/>
  <c r="EF140" i="29"/>
  <c r="EF144" i="31" s="1"/>
  <c r="EE140" i="29"/>
  <c r="EE144" i="31" s="1"/>
  <c r="ED140" i="29"/>
  <c r="ED144" i="31" s="1"/>
  <c r="EC140" i="29"/>
  <c r="EC144" i="31" s="1"/>
  <c r="EB140" i="29"/>
  <c r="EB144" i="31" s="1"/>
  <c r="EA140" i="29"/>
  <c r="EA144" i="31" s="1"/>
  <c r="DZ140" i="29"/>
  <c r="DZ144" i="31" s="1"/>
  <c r="DY140" i="29"/>
  <c r="DY144" i="31" s="1"/>
  <c r="DX140" i="29"/>
  <c r="DX144" i="31" s="1"/>
  <c r="DW140" i="29"/>
  <c r="DW144" i="31" s="1"/>
  <c r="DV140" i="29"/>
  <c r="DV144" i="31" s="1"/>
  <c r="DU140" i="29"/>
  <c r="DU144" i="31" s="1"/>
  <c r="DT140" i="29"/>
  <c r="DT144" i="31" s="1"/>
  <c r="DS140" i="29"/>
  <c r="DS144" i="31" s="1"/>
  <c r="DR140" i="29"/>
  <c r="DR144" i="31" s="1"/>
  <c r="DQ140" i="29"/>
  <c r="DQ144" i="31" s="1"/>
  <c r="DP140" i="29"/>
  <c r="DP144" i="31" s="1"/>
  <c r="DO140" i="29"/>
  <c r="DO144" i="31" s="1"/>
  <c r="DN140" i="29"/>
  <c r="DN144" i="31" s="1"/>
  <c r="DM140" i="29"/>
  <c r="DM144" i="31" s="1"/>
  <c r="DL140" i="29"/>
  <c r="DL144" i="31" s="1"/>
  <c r="DK140" i="29"/>
  <c r="DK144" i="31" s="1"/>
  <c r="DJ140" i="29"/>
  <c r="DJ144" i="31" s="1"/>
  <c r="DI140" i="29"/>
  <c r="DI144" i="31" s="1"/>
  <c r="DH140" i="29"/>
  <c r="DH144" i="31" s="1"/>
  <c r="DG140" i="29"/>
  <c r="DG144" i="31" s="1"/>
  <c r="DF140" i="29"/>
  <c r="DF144" i="31" s="1"/>
  <c r="DE140" i="29"/>
  <c r="DE144" i="31" s="1"/>
  <c r="DD140" i="29"/>
  <c r="DD144" i="31" s="1"/>
  <c r="DC140" i="29"/>
  <c r="DC144" i="31" s="1"/>
  <c r="DB140" i="29"/>
  <c r="DB144" i="31" s="1"/>
  <c r="DA140" i="29"/>
  <c r="DA144" i="31" s="1"/>
  <c r="CZ140" i="29"/>
  <c r="CZ144" i="31" s="1"/>
  <c r="CY140" i="29"/>
  <c r="CY144" i="31" s="1"/>
  <c r="CX140" i="29"/>
  <c r="CX144" i="31" s="1"/>
  <c r="CW140" i="29"/>
  <c r="CW144" i="31" s="1"/>
  <c r="CV140" i="29"/>
  <c r="CV144" i="31" s="1"/>
  <c r="CU140" i="29"/>
  <c r="CU144" i="31" s="1"/>
  <c r="CT140" i="29"/>
  <c r="CT144" i="31" s="1"/>
  <c r="CS140" i="29"/>
  <c r="CS144" i="31" s="1"/>
  <c r="CR140" i="29"/>
  <c r="CR144" i="31" s="1"/>
  <c r="CQ140" i="29"/>
  <c r="CQ144" i="31" s="1"/>
  <c r="CP140" i="29"/>
  <c r="CP144" i="31" s="1"/>
  <c r="CO140" i="29"/>
  <c r="CO144" i="31" s="1"/>
  <c r="CN140" i="29"/>
  <c r="CN144" i="31" s="1"/>
  <c r="CM140" i="29"/>
  <c r="CM144" i="31" s="1"/>
  <c r="CL140" i="29"/>
  <c r="CL144" i="31" s="1"/>
  <c r="CK140" i="29"/>
  <c r="CK144" i="31" s="1"/>
  <c r="CJ140" i="29"/>
  <c r="CJ144" i="31" s="1"/>
  <c r="CI140" i="29"/>
  <c r="CI144" i="31" s="1"/>
  <c r="CH140" i="29"/>
  <c r="CH144" i="31" s="1"/>
  <c r="CG140" i="29"/>
  <c r="CG144" i="31" s="1"/>
  <c r="CF140" i="29"/>
  <c r="CF144" i="31" s="1"/>
  <c r="CE140" i="29"/>
  <c r="CE144" i="31" s="1"/>
  <c r="CD140" i="29"/>
  <c r="CD144" i="31" s="1"/>
  <c r="CC140" i="29"/>
  <c r="CC144" i="31" s="1"/>
  <c r="CB140" i="29"/>
  <c r="CB144" i="31" s="1"/>
  <c r="CA140" i="29"/>
  <c r="CA144" i="31" s="1"/>
  <c r="BZ140" i="29"/>
  <c r="BZ144" i="31" s="1"/>
  <c r="BY140" i="29"/>
  <c r="BY144" i="31" s="1"/>
  <c r="BX140" i="29"/>
  <c r="BX144" i="31" s="1"/>
  <c r="BW140" i="29"/>
  <c r="BW144" i="31" s="1"/>
  <c r="BV140" i="29"/>
  <c r="BV144" i="31" s="1"/>
  <c r="BU140" i="29"/>
  <c r="BU144" i="31" s="1"/>
  <c r="BT140" i="29"/>
  <c r="BT144" i="31" s="1"/>
  <c r="BS140" i="29"/>
  <c r="BS144" i="31" s="1"/>
  <c r="BR140" i="29"/>
  <c r="BR144" i="31" s="1"/>
  <c r="BQ140" i="29"/>
  <c r="BQ144" i="31" s="1"/>
  <c r="BP140" i="29"/>
  <c r="BP144" i="31" s="1"/>
  <c r="BO140" i="29"/>
  <c r="BO144" i="31" s="1"/>
  <c r="BN140" i="29"/>
  <c r="BN144" i="31" s="1"/>
  <c r="BM140" i="29"/>
  <c r="BM144" i="31" s="1"/>
  <c r="BL140" i="29"/>
  <c r="BL144" i="31" s="1"/>
  <c r="BK140" i="29"/>
  <c r="BK144" i="31" s="1"/>
  <c r="BJ140" i="29"/>
  <c r="BJ144" i="31" s="1"/>
  <c r="BI140" i="29"/>
  <c r="BI144" i="31" s="1"/>
  <c r="BH140" i="29"/>
  <c r="BH144" i="31" s="1"/>
  <c r="BG140" i="29"/>
  <c r="BG144" i="31" s="1"/>
  <c r="BF140" i="29"/>
  <c r="BF144" i="31" s="1"/>
  <c r="BE140" i="29"/>
  <c r="BE144" i="31" s="1"/>
  <c r="BD140" i="29"/>
  <c r="BD144" i="31" s="1"/>
  <c r="BC140" i="29"/>
  <c r="BC144" i="31" s="1"/>
  <c r="BB140" i="29"/>
  <c r="BB144" i="31" s="1"/>
  <c r="BA140" i="29"/>
  <c r="BA144" i="31" s="1"/>
  <c r="AZ140" i="29"/>
  <c r="AZ144" i="31" s="1"/>
  <c r="AY140" i="29"/>
  <c r="AY144" i="31" s="1"/>
  <c r="AX140" i="29"/>
  <c r="AX144" i="31" s="1"/>
  <c r="AW140" i="29"/>
  <c r="AW144" i="31" s="1"/>
  <c r="AV140" i="29"/>
  <c r="AV144" i="31" s="1"/>
  <c r="AU140" i="29"/>
  <c r="AU144" i="31" s="1"/>
  <c r="AT140" i="29"/>
  <c r="AT144" i="31" s="1"/>
  <c r="AS140" i="29"/>
  <c r="AS144" i="31" s="1"/>
  <c r="AR140" i="29"/>
  <c r="AR144" i="31" s="1"/>
  <c r="AQ140" i="29"/>
  <c r="AQ144" i="31" s="1"/>
  <c r="AP140" i="29"/>
  <c r="AP144" i="31" s="1"/>
  <c r="AO140" i="29"/>
  <c r="AO144" i="31" s="1"/>
  <c r="AN140" i="29"/>
  <c r="AN144" i="31" s="1"/>
  <c r="AM140" i="29"/>
  <c r="AM144" i="31" s="1"/>
  <c r="AL140" i="29"/>
  <c r="AL144" i="31" s="1"/>
  <c r="AK140" i="29"/>
  <c r="AK144" i="31" s="1"/>
  <c r="AJ140" i="29"/>
  <c r="AJ144" i="31" s="1"/>
  <c r="AI140" i="29"/>
  <c r="AI144" i="31" s="1"/>
  <c r="AH140" i="29"/>
  <c r="AH144" i="31" s="1"/>
  <c r="AG140" i="29"/>
  <c r="AG144" i="31" s="1"/>
  <c r="AF140" i="29"/>
  <c r="AF144" i="31" s="1"/>
  <c r="AE140" i="29"/>
  <c r="AE144" i="31" s="1"/>
  <c r="AD140" i="29"/>
  <c r="AD144" i="31" s="1"/>
  <c r="AB140" i="29"/>
  <c r="AB144" i="31" s="1"/>
  <c r="AA140" i="29"/>
  <c r="AA144" i="31" s="1"/>
  <c r="Z140" i="29"/>
  <c r="Z144" i="31" s="1"/>
  <c r="Y140" i="29"/>
  <c r="Y144" i="31" s="1"/>
  <c r="X140" i="29"/>
  <c r="X144" i="31" s="1"/>
  <c r="W140" i="29"/>
  <c r="W144" i="31" s="1"/>
  <c r="V140" i="29"/>
  <c r="V144" i="31" s="1"/>
  <c r="U140" i="29"/>
  <c r="U144" i="31" s="1"/>
  <c r="T140" i="29"/>
  <c r="T144" i="31" s="1"/>
  <c r="S140" i="29"/>
  <c r="S144" i="31" s="1"/>
  <c r="R140" i="29"/>
  <c r="R144" i="31" s="1"/>
  <c r="Q140" i="29"/>
  <c r="Q144" i="31" s="1"/>
  <c r="P140" i="29"/>
  <c r="P144" i="31" s="1"/>
  <c r="O140" i="29"/>
  <c r="O144" i="31" s="1"/>
  <c r="N140" i="29"/>
  <c r="N144" i="31" s="1"/>
  <c r="M140" i="29"/>
  <c r="M144" i="31" s="1"/>
  <c r="L140" i="29"/>
  <c r="L144" i="31" s="1"/>
  <c r="K140" i="29"/>
  <c r="K144" i="31" s="1"/>
  <c r="J140" i="29"/>
  <c r="J144" i="31" s="1"/>
  <c r="I140" i="29"/>
  <c r="I144" i="31" s="1"/>
  <c r="H140" i="29"/>
  <c r="H144" i="31" s="1"/>
  <c r="G140" i="29"/>
  <c r="G144" i="31" s="1"/>
  <c r="F140" i="29"/>
  <c r="F144" i="31" s="1"/>
  <c r="E140" i="29"/>
  <c r="E144" i="31" s="1"/>
  <c r="D140" i="29"/>
  <c r="D144" i="31" s="1"/>
  <c r="C140" i="29"/>
  <c r="C144" i="31" s="1"/>
  <c r="JH137" i="29"/>
  <c r="JH141" i="31" s="1"/>
  <c r="JG137" i="29"/>
  <c r="JG141" i="31" s="1"/>
  <c r="JF137" i="29"/>
  <c r="JF141" i="31" s="1"/>
  <c r="JE137" i="29"/>
  <c r="JE141" i="31" s="1"/>
  <c r="JD137" i="29"/>
  <c r="JD141" i="31" s="1"/>
  <c r="JC137" i="29"/>
  <c r="JC141" i="31" s="1"/>
  <c r="JB137" i="29"/>
  <c r="JB141" i="31" s="1"/>
  <c r="JA137" i="29"/>
  <c r="JA141" i="31" s="1"/>
  <c r="IZ137" i="29"/>
  <c r="IZ141" i="31" s="1"/>
  <c r="IY137" i="29"/>
  <c r="IY141" i="31" s="1"/>
  <c r="IX137" i="29"/>
  <c r="IX141" i="31" s="1"/>
  <c r="IW137" i="29"/>
  <c r="IW141" i="31" s="1"/>
  <c r="IV137" i="29"/>
  <c r="IV141" i="31" s="1"/>
  <c r="IU137" i="29"/>
  <c r="IU141" i="31" s="1"/>
  <c r="IT137" i="29"/>
  <c r="IT141" i="31" s="1"/>
  <c r="IS137" i="29"/>
  <c r="IS141" i="31" s="1"/>
  <c r="IR137" i="29"/>
  <c r="IR141" i="31" s="1"/>
  <c r="IQ137" i="29"/>
  <c r="IQ141" i="31" s="1"/>
  <c r="IP137" i="29"/>
  <c r="IP141" i="31" s="1"/>
  <c r="IO137" i="29"/>
  <c r="IO141" i="31" s="1"/>
  <c r="IN137" i="29"/>
  <c r="IN141" i="31" s="1"/>
  <c r="IM137" i="29"/>
  <c r="IM141" i="31" s="1"/>
  <c r="IL137" i="29"/>
  <c r="IL141" i="31" s="1"/>
  <c r="IK137" i="29"/>
  <c r="IK141" i="31" s="1"/>
  <c r="IJ137" i="29"/>
  <c r="IJ141" i="31" s="1"/>
  <c r="II137" i="29"/>
  <c r="II141" i="31" s="1"/>
  <c r="IH137" i="29"/>
  <c r="IH141" i="31" s="1"/>
  <c r="IG137" i="29"/>
  <c r="IG141" i="31" s="1"/>
  <c r="IF137" i="29"/>
  <c r="IF141" i="31" s="1"/>
  <c r="IE137" i="29"/>
  <c r="IE141" i="31" s="1"/>
  <c r="ID137" i="29"/>
  <c r="ID141" i="31" s="1"/>
  <c r="IC137" i="29"/>
  <c r="IC141" i="31" s="1"/>
  <c r="IB137" i="29"/>
  <c r="IB141" i="31" s="1"/>
  <c r="IA137" i="29"/>
  <c r="IA141" i="31" s="1"/>
  <c r="HZ137" i="29"/>
  <c r="HZ141" i="31" s="1"/>
  <c r="HY137" i="29"/>
  <c r="HY141" i="31" s="1"/>
  <c r="HX137" i="29"/>
  <c r="HX141" i="31" s="1"/>
  <c r="HW137" i="29"/>
  <c r="HW141" i="31" s="1"/>
  <c r="HV137" i="29"/>
  <c r="HV141" i="31" s="1"/>
  <c r="HU137" i="29"/>
  <c r="HU141" i="31" s="1"/>
  <c r="HT137" i="29"/>
  <c r="HT141" i="31" s="1"/>
  <c r="HS137" i="29"/>
  <c r="HS141" i="31" s="1"/>
  <c r="HR137" i="29"/>
  <c r="HR141" i="31" s="1"/>
  <c r="HQ137" i="29"/>
  <c r="HQ141" i="31" s="1"/>
  <c r="HP137" i="29"/>
  <c r="HP141" i="31" s="1"/>
  <c r="HO137" i="29"/>
  <c r="HO141" i="31" s="1"/>
  <c r="HN137" i="29"/>
  <c r="HN141" i="31" s="1"/>
  <c r="HM137" i="29"/>
  <c r="HM141" i="31" s="1"/>
  <c r="HL137" i="29"/>
  <c r="HL141" i="31" s="1"/>
  <c r="HK137" i="29"/>
  <c r="HK141" i="31" s="1"/>
  <c r="HJ137" i="29"/>
  <c r="HJ141" i="31" s="1"/>
  <c r="HI137" i="29"/>
  <c r="HI141" i="31" s="1"/>
  <c r="HH137" i="29"/>
  <c r="HH141" i="31" s="1"/>
  <c r="HG137" i="29"/>
  <c r="HG141" i="31" s="1"/>
  <c r="HF137" i="29"/>
  <c r="HF141" i="31" s="1"/>
  <c r="HE137" i="29"/>
  <c r="HE141" i="31" s="1"/>
  <c r="HD137" i="29"/>
  <c r="HD141" i="31" s="1"/>
  <c r="HC137" i="29"/>
  <c r="HC141" i="31" s="1"/>
  <c r="HB137" i="29"/>
  <c r="HB141" i="31" s="1"/>
  <c r="HA137" i="29"/>
  <c r="HA141" i="31" s="1"/>
  <c r="GZ137" i="29"/>
  <c r="GZ141" i="31" s="1"/>
  <c r="GY137" i="29"/>
  <c r="GY141" i="31" s="1"/>
  <c r="GX137" i="29"/>
  <c r="GX141" i="31" s="1"/>
  <c r="GW137" i="29"/>
  <c r="GW141" i="31" s="1"/>
  <c r="GV137" i="29"/>
  <c r="GV141" i="31" s="1"/>
  <c r="GU137" i="29"/>
  <c r="GU141" i="31" s="1"/>
  <c r="GT137" i="29"/>
  <c r="GT141" i="31" s="1"/>
  <c r="GS137" i="29"/>
  <c r="GS141" i="31" s="1"/>
  <c r="GR137" i="29"/>
  <c r="GR141" i="31" s="1"/>
  <c r="GQ137" i="29"/>
  <c r="GQ141" i="31" s="1"/>
  <c r="GP137" i="29"/>
  <c r="GP141" i="31" s="1"/>
  <c r="GO137" i="29"/>
  <c r="GO141" i="31" s="1"/>
  <c r="GN137" i="29"/>
  <c r="GN141" i="31" s="1"/>
  <c r="GM137" i="29"/>
  <c r="GM141" i="31" s="1"/>
  <c r="GL137" i="29"/>
  <c r="GL141" i="31" s="1"/>
  <c r="GK137" i="29"/>
  <c r="GK141" i="31" s="1"/>
  <c r="GJ137" i="29"/>
  <c r="GJ141" i="31" s="1"/>
  <c r="GI137" i="29"/>
  <c r="GI141" i="31" s="1"/>
  <c r="GH137" i="29"/>
  <c r="GH141" i="31" s="1"/>
  <c r="GG137" i="29"/>
  <c r="GG141" i="31" s="1"/>
  <c r="GF137" i="29"/>
  <c r="GF141" i="31" s="1"/>
  <c r="GE137" i="29"/>
  <c r="GE141" i="31" s="1"/>
  <c r="GD137" i="29"/>
  <c r="GD141" i="31" s="1"/>
  <c r="GC137" i="29"/>
  <c r="GC141" i="31" s="1"/>
  <c r="GB137" i="29"/>
  <c r="GB141" i="31" s="1"/>
  <c r="GA137" i="29"/>
  <c r="GA141" i="31" s="1"/>
  <c r="FZ137" i="29"/>
  <c r="FZ141" i="31" s="1"/>
  <c r="FY137" i="29"/>
  <c r="FY141" i="31" s="1"/>
  <c r="FX137" i="29"/>
  <c r="FX141" i="31" s="1"/>
  <c r="FW137" i="29"/>
  <c r="FW141" i="31" s="1"/>
  <c r="FV137" i="29"/>
  <c r="FV141" i="31" s="1"/>
  <c r="FU137" i="29"/>
  <c r="FU141" i="31" s="1"/>
  <c r="FT137" i="29"/>
  <c r="FT141" i="31" s="1"/>
  <c r="FS137" i="29"/>
  <c r="FS141" i="31" s="1"/>
  <c r="FR137" i="29"/>
  <c r="FR141" i="31" s="1"/>
  <c r="FQ137" i="29"/>
  <c r="FQ141" i="31" s="1"/>
  <c r="FP137" i="29"/>
  <c r="FP141" i="31" s="1"/>
  <c r="FO137" i="29"/>
  <c r="FO141" i="31" s="1"/>
  <c r="FN137" i="29"/>
  <c r="FN141" i="31" s="1"/>
  <c r="FM137" i="29"/>
  <c r="FM141" i="31" s="1"/>
  <c r="FL137" i="29"/>
  <c r="FL141" i="31" s="1"/>
  <c r="FK137" i="29"/>
  <c r="FK141" i="31" s="1"/>
  <c r="FJ137" i="29"/>
  <c r="FJ141" i="31" s="1"/>
  <c r="FI137" i="29"/>
  <c r="FI141" i="31" s="1"/>
  <c r="FH137" i="29"/>
  <c r="FH141" i="31" s="1"/>
  <c r="FG137" i="29"/>
  <c r="FG141" i="31" s="1"/>
  <c r="FF137" i="29"/>
  <c r="FF141" i="31" s="1"/>
  <c r="FE137" i="29"/>
  <c r="FE141" i="31" s="1"/>
  <c r="FD137" i="29"/>
  <c r="FD141" i="31" s="1"/>
  <c r="FC137" i="29"/>
  <c r="FC141" i="31" s="1"/>
  <c r="FB137" i="29"/>
  <c r="FB141" i="31" s="1"/>
  <c r="FA137" i="29"/>
  <c r="FA141" i="31" s="1"/>
  <c r="EZ137" i="29"/>
  <c r="EZ141" i="31" s="1"/>
  <c r="EY137" i="29"/>
  <c r="EY141" i="31" s="1"/>
  <c r="EX137" i="29"/>
  <c r="EX141" i="31" s="1"/>
  <c r="EW137" i="29"/>
  <c r="EW141" i="31" s="1"/>
  <c r="EV137" i="29"/>
  <c r="EV141" i="31" s="1"/>
  <c r="EU137" i="29"/>
  <c r="EU141" i="31" s="1"/>
  <c r="ET137" i="29"/>
  <c r="ET141" i="31" s="1"/>
  <c r="ES137" i="29"/>
  <c r="ES141" i="31" s="1"/>
  <c r="ER137" i="29"/>
  <c r="ER141" i="31" s="1"/>
  <c r="EQ137" i="29"/>
  <c r="EQ141" i="31" s="1"/>
  <c r="EP137" i="29"/>
  <c r="EP141" i="31" s="1"/>
  <c r="EO137" i="29"/>
  <c r="EO141" i="31" s="1"/>
  <c r="EN137" i="29"/>
  <c r="EN141" i="31" s="1"/>
  <c r="EM137" i="29"/>
  <c r="EM141" i="31" s="1"/>
  <c r="EL137" i="29"/>
  <c r="EL141" i="31" s="1"/>
  <c r="EK137" i="29"/>
  <c r="EK141" i="31" s="1"/>
  <c r="EJ137" i="29"/>
  <c r="EJ141" i="31" s="1"/>
  <c r="EI137" i="29"/>
  <c r="EI141" i="31" s="1"/>
  <c r="EH137" i="29"/>
  <c r="EH141" i="31" s="1"/>
  <c r="EG137" i="29"/>
  <c r="EG141" i="31" s="1"/>
  <c r="EF137" i="29"/>
  <c r="EF141" i="31" s="1"/>
  <c r="EE137" i="29"/>
  <c r="EE141" i="31" s="1"/>
  <c r="ED137" i="29"/>
  <c r="ED141" i="31" s="1"/>
  <c r="EC137" i="29"/>
  <c r="EC141" i="31" s="1"/>
  <c r="EB137" i="29"/>
  <c r="EB141" i="31" s="1"/>
  <c r="EA137" i="29"/>
  <c r="EA141" i="31" s="1"/>
  <c r="DZ137" i="29"/>
  <c r="DZ141" i="31" s="1"/>
  <c r="DY137" i="29"/>
  <c r="DY141" i="31" s="1"/>
  <c r="DX137" i="29"/>
  <c r="DX141" i="31" s="1"/>
  <c r="DW137" i="29"/>
  <c r="DW141" i="31" s="1"/>
  <c r="DV137" i="29"/>
  <c r="DV141" i="31" s="1"/>
  <c r="DU137" i="29"/>
  <c r="DU141" i="31" s="1"/>
  <c r="DT137" i="29"/>
  <c r="DT141" i="31" s="1"/>
  <c r="DS137" i="29"/>
  <c r="DS141" i="31" s="1"/>
  <c r="DR137" i="29"/>
  <c r="DR141" i="31" s="1"/>
  <c r="DQ137" i="29"/>
  <c r="DQ141" i="31" s="1"/>
  <c r="DP137" i="29"/>
  <c r="DP141" i="31" s="1"/>
  <c r="DO137" i="29"/>
  <c r="DO141" i="31" s="1"/>
  <c r="DN137" i="29"/>
  <c r="DN141" i="31" s="1"/>
  <c r="DM137" i="29"/>
  <c r="DM141" i="31" s="1"/>
  <c r="DL137" i="29"/>
  <c r="DL141" i="31" s="1"/>
  <c r="DK137" i="29"/>
  <c r="DK141" i="31" s="1"/>
  <c r="DJ137" i="29"/>
  <c r="DJ141" i="31" s="1"/>
  <c r="DI137" i="29"/>
  <c r="DI141" i="31" s="1"/>
  <c r="DH137" i="29"/>
  <c r="DH141" i="31" s="1"/>
  <c r="DG137" i="29"/>
  <c r="DG141" i="31" s="1"/>
  <c r="DF137" i="29"/>
  <c r="DF141" i="31" s="1"/>
  <c r="DE137" i="29"/>
  <c r="DE141" i="31" s="1"/>
  <c r="DD137" i="29"/>
  <c r="DD141" i="31" s="1"/>
  <c r="DC137" i="29"/>
  <c r="DC141" i="31" s="1"/>
  <c r="DB137" i="29"/>
  <c r="DB141" i="31" s="1"/>
  <c r="DA137" i="29"/>
  <c r="DA141" i="31" s="1"/>
  <c r="CZ137" i="29"/>
  <c r="CZ141" i="31" s="1"/>
  <c r="CY137" i="29"/>
  <c r="CY141" i="31" s="1"/>
  <c r="CX137" i="29"/>
  <c r="CX141" i="31" s="1"/>
  <c r="CW137" i="29"/>
  <c r="CW141" i="31" s="1"/>
  <c r="CV137" i="29"/>
  <c r="CV141" i="31" s="1"/>
  <c r="CU137" i="29"/>
  <c r="CU141" i="31" s="1"/>
  <c r="CT137" i="29"/>
  <c r="CT141" i="31" s="1"/>
  <c r="CS137" i="29"/>
  <c r="CS141" i="31" s="1"/>
  <c r="CR137" i="29"/>
  <c r="CR141" i="31" s="1"/>
  <c r="CQ137" i="29"/>
  <c r="CQ141" i="31" s="1"/>
  <c r="CP137" i="29"/>
  <c r="CP141" i="31" s="1"/>
  <c r="CO137" i="29"/>
  <c r="CO141" i="31" s="1"/>
  <c r="CN137" i="29"/>
  <c r="CN141" i="31" s="1"/>
  <c r="CM137" i="29"/>
  <c r="CM141" i="31" s="1"/>
  <c r="CL137" i="29"/>
  <c r="CL141" i="31" s="1"/>
  <c r="CK137" i="29"/>
  <c r="CK141" i="31" s="1"/>
  <c r="CJ137" i="29"/>
  <c r="CJ141" i="31" s="1"/>
  <c r="CI137" i="29"/>
  <c r="CI141" i="31" s="1"/>
  <c r="CH137" i="29"/>
  <c r="CH141" i="31" s="1"/>
  <c r="CG137" i="29"/>
  <c r="CG141" i="31" s="1"/>
  <c r="CF137" i="29"/>
  <c r="CF141" i="31" s="1"/>
  <c r="CE137" i="29"/>
  <c r="CE141" i="31" s="1"/>
  <c r="CD137" i="29"/>
  <c r="CD141" i="31" s="1"/>
  <c r="CC137" i="29"/>
  <c r="CC141" i="31" s="1"/>
  <c r="CB137" i="29"/>
  <c r="CB141" i="31" s="1"/>
  <c r="CA137" i="29"/>
  <c r="CA141" i="31" s="1"/>
  <c r="BZ137" i="29"/>
  <c r="BZ141" i="31" s="1"/>
  <c r="BY137" i="29"/>
  <c r="BY141" i="31" s="1"/>
  <c r="BX137" i="29"/>
  <c r="BX141" i="31" s="1"/>
  <c r="BW137" i="29"/>
  <c r="BW141" i="31" s="1"/>
  <c r="BV137" i="29"/>
  <c r="BV141" i="31" s="1"/>
  <c r="BU137" i="29"/>
  <c r="BU141" i="31" s="1"/>
  <c r="BT137" i="29"/>
  <c r="BT141" i="31" s="1"/>
  <c r="BS137" i="29"/>
  <c r="BS141" i="31" s="1"/>
  <c r="BR137" i="29"/>
  <c r="BR141" i="31" s="1"/>
  <c r="BQ137" i="29"/>
  <c r="BQ141" i="31" s="1"/>
  <c r="BP137" i="29"/>
  <c r="BP141" i="31" s="1"/>
  <c r="BO137" i="29"/>
  <c r="BO141" i="31" s="1"/>
  <c r="BN137" i="29"/>
  <c r="BN141" i="31" s="1"/>
  <c r="BM137" i="29"/>
  <c r="BM141" i="31" s="1"/>
  <c r="BL137" i="29"/>
  <c r="BL141" i="31" s="1"/>
  <c r="BK137" i="29"/>
  <c r="BK141" i="31" s="1"/>
  <c r="BJ137" i="29"/>
  <c r="BJ141" i="31" s="1"/>
  <c r="BI137" i="29"/>
  <c r="BI141" i="31" s="1"/>
  <c r="BH137" i="29"/>
  <c r="BH141" i="31" s="1"/>
  <c r="BG137" i="29"/>
  <c r="BG141" i="31" s="1"/>
  <c r="BF137" i="29"/>
  <c r="BF141" i="31" s="1"/>
  <c r="BE137" i="29"/>
  <c r="BE141" i="31" s="1"/>
  <c r="BD137" i="29"/>
  <c r="BD141" i="31" s="1"/>
  <c r="BC137" i="29"/>
  <c r="BC141" i="31" s="1"/>
  <c r="BB137" i="29"/>
  <c r="BB141" i="31" s="1"/>
  <c r="BA137" i="29"/>
  <c r="BA141" i="31" s="1"/>
  <c r="AZ137" i="29"/>
  <c r="AZ141" i="31" s="1"/>
  <c r="AY137" i="29"/>
  <c r="AY141" i="31" s="1"/>
  <c r="AX137" i="29"/>
  <c r="AX141" i="31" s="1"/>
  <c r="AW137" i="29"/>
  <c r="AW141" i="31" s="1"/>
  <c r="AV137" i="29"/>
  <c r="AV141" i="31" s="1"/>
  <c r="AU137" i="29"/>
  <c r="AU141" i="31" s="1"/>
  <c r="AT137" i="29"/>
  <c r="AT141" i="31" s="1"/>
  <c r="AS137" i="29"/>
  <c r="AS141" i="31" s="1"/>
  <c r="AR137" i="29"/>
  <c r="AR141" i="31" s="1"/>
  <c r="AQ137" i="29"/>
  <c r="AQ141" i="31" s="1"/>
  <c r="AP137" i="29"/>
  <c r="AP141" i="31" s="1"/>
  <c r="AO137" i="29"/>
  <c r="AO141" i="31" s="1"/>
  <c r="AN137" i="29"/>
  <c r="AN141" i="31" s="1"/>
  <c r="AM137" i="29"/>
  <c r="AM141" i="31" s="1"/>
  <c r="AL137" i="29"/>
  <c r="AL141" i="31" s="1"/>
  <c r="AK137" i="29"/>
  <c r="AK141" i="31" s="1"/>
  <c r="AJ137" i="29"/>
  <c r="AJ141" i="31" s="1"/>
  <c r="AI137" i="29"/>
  <c r="AI141" i="31" s="1"/>
  <c r="AH137" i="29"/>
  <c r="AH141" i="31" s="1"/>
  <c r="AG137" i="29"/>
  <c r="AG141" i="31" s="1"/>
  <c r="AF137" i="29"/>
  <c r="AF141" i="31" s="1"/>
  <c r="AE137" i="29"/>
  <c r="AE141" i="31" s="1"/>
  <c r="AD137" i="29"/>
  <c r="AD141" i="31" s="1"/>
  <c r="AB137" i="29"/>
  <c r="AB141" i="31" s="1"/>
  <c r="AA137" i="29"/>
  <c r="AA141" i="31" s="1"/>
  <c r="Z137" i="29"/>
  <c r="Z141" i="31" s="1"/>
  <c r="Y137" i="29"/>
  <c r="Y141" i="31" s="1"/>
  <c r="X137" i="29"/>
  <c r="X141" i="31" s="1"/>
  <c r="W137" i="29"/>
  <c r="W141" i="31" s="1"/>
  <c r="V137" i="29"/>
  <c r="V141" i="31" s="1"/>
  <c r="U137" i="29"/>
  <c r="U141" i="31" s="1"/>
  <c r="T137" i="29"/>
  <c r="T141" i="31" s="1"/>
  <c r="S137" i="29"/>
  <c r="S141" i="31" s="1"/>
  <c r="R137" i="29"/>
  <c r="R141" i="31" s="1"/>
  <c r="Q137" i="29"/>
  <c r="Q141" i="31" s="1"/>
  <c r="P137" i="29"/>
  <c r="P141" i="31" s="1"/>
  <c r="O137" i="29"/>
  <c r="O141" i="31" s="1"/>
  <c r="N137" i="29"/>
  <c r="N141" i="31" s="1"/>
  <c r="M137" i="29"/>
  <c r="M141" i="31" s="1"/>
  <c r="L137" i="29"/>
  <c r="L141" i="31" s="1"/>
  <c r="K137" i="29"/>
  <c r="K141" i="31" s="1"/>
  <c r="J137" i="29"/>
  <c r="J141" i="31" s="1"/>
  <c r="I137" i="29"/>
  <c r="I141" i="31" s="1"/>
  <c r="H137" i="29"/>
  <c r="H141" i="31" s="1"/>
  <c r="G137" i="29"/>
  <c r="G141" i="31" s="1"/>
  <c r="F137" i="29"/>
  <c r="F141" i="31" s="1"/>
  <c r="E137" i="29"/>
  <c r="E141" i="31" s="1"/>
  <c r="D137" i="29"/>
  <c r="D141" i="31" s="1"/>
  <c r="C137" i="29"/>
  <c r="C141" i="31" s="1"/>
  <c r="JH136" i="29"/>
  <c r="JH140" i="31" s="1"/>
  <c r="JG136" i="29"/>
  <c r="JG140" i="31" s="1"/>
  <c r="JF136" i="29"/>
  <c r="JF140" i="31" s="1"/>
  <c r="JE136" i="29"/>
  <c r="JE140" i="31" s="1"/>
  <c r="JD136" i="29"/>
  <c r="JD140" i="31" s="1"/>
  <c r="JC136" i="29"/>
  <c r="JC140" i="31" s="1"/>
  <c r="JB136" i="29"/>
  <c r="JB140" i="31" s="1"/>
  <c r="JA136" i="29"/>
  <c r="JA140" i="31" s="1"/>
  <c r="IZ136" i="29"/>
  <c r="IZ140" i="31" s="1"/>
  <c r="IY136" i="29"/>
  <c r="IY140" i="31" s="1"/>
  <c r="IX136" i="29"/>
  <c r="IX140" i="31" s="1"/>
  <c r="IW136" i="29"/>
  <c r="IW140" i="31" s="1"/>
  <c r="IV136" i="29"/>
  <c r="IV140" i="31" s="1"/>
  <c r="IU136" i="29"/>
  <c r="IU140" i="31" s="1"/>
  <c r="IT136" i="29"/>
  <c r="IT140" i="31" s="1"/>
  <c r="IS136" i="29"/>
  <c r="IS140" i="31" s="1"/>
  <c r="IR136" i="29"/>
  <c r="IR140" i="31" s="1"/>
  <c r="IQ136" i="29"/>
  <c r="IQ140" i="31" s="1"/>
  <c r="IP136" i="29"/>
  <c r="IP140" i="31" s="1"/>
  <c r="IO136" i="29"/>
  <c r="IO140" i="31" s="1"/>
  <c r="IN136" i="29"/>
  <c r="IN140" i="31" s="1"/>
  <c r="IM136" i="29"/>
  <c r="IM140" i="31" s="1"/>
  <c r="IL136" i="29"/>
  <c r="IL140" i="31" s="1"/>
  <c r="IK136" i="29"/>
  <c r="IK140" i="31" s="1"/>
  <c r="IJ136" i="29"/>
  <c r="IJ140" i="31" s="1"/>
  <c r="II136" i="29"/>
  <c r="II140" i="31" s="1"/>
  <c r="IH136" i="29"/>
  <c r="IH140" i="31" s="1"/>
  <c r="IG136" i="29"/>
  <c r="IG140" i="31" s="1"/>
  <c r="IF136" i="29"/>
  <c r="IF140" i="31" s="1"/>
  <c r="IE136" i="29"/>
  <c r="IE140" i="31" s="1"/>
  <c r="ID136" i="29"/>
  <c r="ID140" i="31" s="1"/>
  <c r="IC136" i="29"/>
  <c r="IC140" i="31" s="1"/>
  <c r="IB136" i="29"/>
  <c r="IB140" i="31" s="1"/>
  <c r="IA136" i="29"/>
  <c r="IA140" i="31" s="1"/>
  <c r="HZ136" i="29"/>
  <c r="HZ140" i="31" s="1"/>
  <c r="HY136" i="29"/>
  <c r="HY140" i="31" s="1"/>
  <c r="HX136" i="29"/>
  <c r="HX140" i="31" s="1"/>
  <c r="HW136" i="29"/>
  <c r="HW140" i="31" s="1"/>
  <c r="HV136" i="29"/>
  <c r="HV140" i="31" s="1"/>
  <c r="HU136" i="29"/>
  <c r="HU140" i="31" s="1"/>
  <c r="HT136" i="29"/>
  <c r="HT140" i="31" s="1"/>
  <c r="HS136" i="29"/>
  <c r="HS140" i="31" s="1"/>
  <c r="HR136" i="29"/>
  <c r="HR140" i="31" s="1"/>
  <c r="HQ136" i="29"/>
  <c r="HQ140" i="31" s="1"/>
  <c r="HP136" i="29"/>
  <c r="HP140" i="31" s="1"/>
  <c r="HO136" i="29"/>
  <c r="HO140" i="31" s="1"/>
  <c r="HN136" i="29"/>
  <c r="HN140" i="31" s="1"/>
  <c r="HM136" i="29"/>
  <c r="HM140" i="31" s="1"/>
  <c r="HL136" i="29"/>
  <c r="HL140" i="31" s="1"/>
  <c r="HK136" i="29"/>
  <c r="HK140" i="31" s="1"/>
  <c r="HJ136" i="29"/>
  <c r="HJ140" i="31" s="1"/>
  <c r="HI136" i="29"/>
  <c r="HI140" i="31" s="1"/>
  <c r="HH136" i="29"/>
  <c r="HH140" i="31" s="1"/>
  <c r="HG136" i="29"/>
  <c r="HG140" i="31" s="1"/>
  <c r="HF136" i="29"/>
  <c r="HF140" i="31" s="1"/>
  <c r="HE136" i="29"/>
  <c r="HE140" i="31" s="1"/>
  <c r="HD136" i="29"/>
  <c r="HD140" i="31" s="1"/>
  <c r="HC136" i="29"/>
  <c r="HC140" i="31" s="1"/>
  <c r="HB136" i="29"/>
  <c r="HB140" i="31" s="1"/>
  <c r="HA136" i="29"/>
  <c r="HA140" i="31" s="1"/>
  <c r="GZ136" i="29"/>
  <c r="GZ140" i="31" s="1"/>
  <c r="GY136" i="29"/>
  <c r="GY140" i="31" s="1"/>
  <c r="GX136" i="29"/>
  <c r="GX140" i="31" s="1"/>
  <c r="GW136" i="29"/>
  <c r="GW140" i="31" s="1"/>
  <c r="GV136" i="29"/>
  <c r="GV140" i="31" s="1"/>
  <c r="GU136" i="29"/>
  <c r="GU140" i="31" s="1"/>
  <c r="GT136" i="29"/>
  <c r="GT140" i="31" s="1"/>
  <c r="GS136" i="29"/>
  <c r="GS140" i="31" s="1"/>
  <c r="GR136" i="29"/>
  <c r="GR140" i="31" s="1"/>
  <c r="GQ136" i="29"/>
  <c r="GQ140" i="31" s="1"/>
  <c r="GP136" i="29"/>
  <c r="GP140" i="31" s="1"/>
  <c r="GO136" i="29"/>
  <c r="GO140" i="31" s="1"/>
  <c r="GN136" i="29"/>
  <c r="GN140" i="31" s="1"/>
  <c r="GM136" i="29"/>
  <c r="GM140" i="31" s="1"/>
  <c r="GL136" i="29"/>
  <c r="GL140" i="31" s="1"/>
  <c r="GK136" i="29"/>
  <c r="GK140" i="31" s="1"/>
  <c r="GJ136" i="29"/>
  <c r="GJ140" i="31" s="1"/>
  <c r="GI136" i="29"/>
  <c r="GI140" i="31" s="1"/>
  <c r="GH136" i="29"/>
  <c r="GH140" i="31" s="1"/>
  <c r="GG136" i="29"/>
  <c r="GG140" i="31" s="1"/>
  <c r="GF136" i="29"/>
  <c r="GF140" i="31" s="1"/>
  <c r="GE136" i="29"/>
  <c r="GE140" i="31" s="1"/>
  <c r="GD136" i="29"/>
  <c r="GD140" i="31" s="1"/>
  <c r="GC136" i="29"/>
  <c r="GC140" i="31" s="1"/>
  <c r="GB136" i="29"/>
  <c r="GB140" i="31" s="1"/>
  <c r="GA136" i="29"/>
  <c r="GA140" i="31" s="1"/>
  <c r="FZ136" i="29"/>
  <c r="FZ140" i="31" s="1"/>
  <c r="FY136" i="29"/>
  <c r="FY140" i="31" s="1"/>
  <c r="FX136" i="29"/>
  <c r="FX140" i="31" s="1"/>
  <c r="FW136" i="29"/>
  <c r="FW140" i="31" s="1"/>
  <c r="FV136" i="29"/>
  <c r="FV140" i="31" s="1"/>
  <c r="FU136" i="29"/>
  <c r="FU140" i="31" s="1"/>
  <c r="FT136" i="29"/>
  <c r="FT140" i="31" s="1"/>
  <c r="FS136" i="29"/>
  <c r="FS140" i="31" s="1"/>
  <c r="FR136" i="29"/>
  <c r="FR140" i="31" s="1"/>
  <c r="FQ136" i="29"/>
  <c r="FQ140" i="31" s="1"/>
  <c r="FP136" i="29"/>
  <c r="FP140" i="31" s="1"/>
  <c r="FO136" i="29"/>
  <c r="FO140" i="31" s="1"/>
  <c r="FN136" i="29"/>
  <c r="FN140" i="31" s="1"/>
  <c r="FM136" i="29"/>
  <c r="FM140" i="31" s="1"/>
  <c r="FL136" i="29"/>
  <c r="FL140" i="31" s="1"/>
  <c r="FK136" i="29"/>
  <c r="FK140" i="31" s="1"/>
  <c r="FJ136" i="29"/>
  <c r="FJ140" i="31" s="1"/>
  <c r="FI136" i="29"/>
  <c r="FI140" i="31" s="1"/>
  <c r="FH136" i="29"/>
  <c r="FH140" i="31" s="1"/>
  <c r="FG136" i="29"/>
  <c r="FG140" i="31" s="1"/>
  <c r="FF136" i="29"/>
  <c r="FF140" i="31" s="1"/>
  <c r="FE136" i="29"/>
  <c r="FE140" i="31" s="1"/>
  <c r="FD136" i="29"/>
  <c r="FD140" i="31" s="1"/>
  <c r="FC136" i="29"/>
  <c r="FC140" i="31" s="1"/>
  <c r="FB136" i="29"/>
  <c r="FB140" i="31" s="1"/>
  <c r="FA136" i="29"/>
  <c r="FA140" i="31" s="1"/>
  <c r="EZ136" i="29"/>
  <c r="EZ140" i="31" s="1"/>
  <c r="EY136" i="29"/>
  <c r="EY140" i="31" s="1"/>
  <c r="EX136" i="29"/>
  <c r="EX140" i="31" s="1"/>
  <c r="EW136" i="29"/>
  <c r="EW140" i="31" s="1"/>
  <c r="EV136" i="29"/>
  <c r="EV140" i="31" s="1"/>
  <c r="EU136" i="29"/>
  <c r="EU140" i="31" s="1"/>
  <c r="ET136" i="29"/>
  <c r="ET140" i="31" s="1"/>
  <c r="ES136" i="29"/>
  <c r="ES140" i="31" s="1"/>
  <c r="ER136" i="29"/>
  <c r="ER140" i="31" s="1"/>
  <c r="EQ136" i="29"/>
  <c r="EQ140" i="31" s="1"/>
  <c r="EP136" i="29"/>
  <c r="EP140" i="31" s="1"/>
  <c r="EO136" i="29"/>
  <c r="EO140" i="31" s="1"/>
  <c r="EN136" i="29"/>
  <c r="EN140" i="31" s="1"/>
  <c r="EM136" i="29"/>
  <c r="EM140" i="31" s="1"/>
  <c r="EL136" i="29"/>
  <c r="EL140" i="31" s="1"/>
  <c r="EK136" i="29"/>
  <c r="EK140" i="31" s="1"/>
  <c r="EJ136" i="29"/>
  <c r="EJ140" i="31" s="1"/>
  <c r="EI136" i="29"/>
  <c r="EI140" i="31" s="1"/>
  <c r="EH136" i="29"/>
  <c r="EH140" i="31" s="1"/>
  <c r="EG136" i="29"/>
  <c r="EG140" i="31" s="1"/>
  <c r="EF136" i="29"/>
  <c r="EF140" i="31" s="1"/>
  <c r="EE136" i="29"/>
  <c r="EE140" i="31" s="1"/>
  <c r="ED136" i="29"/>
  <c r="ED140" i="31" s="1"/>
  <c r="EC136" i="29"/>
  <c r="EC140" i="31" s="1"/>
  <c r="EA136" i="29"/>
  <c r="EA140" i="31" s="1"/>
  <c r="DZ136" i="29"/>
  <c r="DZ140" i="31" s="1"/>
  <c r="DY136" i="29"/>
  <c r="DY140" i="31" s="1"/>
  <c r="DX136" i="29"/>
  <c r="DX140" i="31" s="1"/>
  <c r="DW136" i="29"/>
  <c r="DW140" i="31" s="1"/>
  <c r="DV136" i="29"/>
  <c r="DV140" i="31" s="1"/>
  <c r="DU136" i="29"/>
  <c r="DU140" i="31" s="1"/>
  <c r="DT136" i="29"/>
  <c r="DT140" i="31" s="1"/>
  <c r="DS136" i="29"/>
  <c r="DS140" i="31" s="1"/>
  <c r="DR136" i="29"/>
  <c r="DR140" i="31" s="1"/>
  <c r="DQ136" i="29"/>
  <c r="DQ140" i="31" s="1"/>
  <c r="DP136" i="29"/>
  <c r="DP140" i="31" s="1"/>
  <c r="DO136" i="29"/>
  <c r="DO140" i="31" s="1"/>
  <c r="DN136" i="29"/>
  <c r="DN140" i="31" s="1"/>
  <c r="DM136" i="29"/>
  <c r="DM140" i="31" s="1"/>
  <c r="DL136" i="29"/>
  <c r="DL140" i="31" s="1"/>
  <c r="DK136" i="29"/>
  <c r="DK140" i="31" s="1"/>
  <c r="DJ136" i="29"/>
  <c r="DJ140" i="31" s="1"/>
  <c r="DI136" i="29"/>
  <c r="DI140" i="31" s="1"/>
  <c r="DH136" i="29"/>
  <c r="DH140" i="31" s="1"/>
  <c r="DG136" i="29"/>
  <c r="DG140" i="31" s="1"/>
  <c r="DF136" i="29"/>
  <c r="DF140" i="31" s="1"/>
  <c r="DE136" i="29"/>
  <c r="DE140" i="31" s="1"/>
  <c r="DD136" i="29"/>
  <c r="DD140" i="31" s="1"/>
  <c r="DC136" i="29"/>
  <c r="DC140" i="31" s="1"/>
  <c r="DB136" i="29"/>
  <c r="DB140" i="31" s="1"/>
  <c r="DA136" i="29"/>
  <c r="DA140" i="31" s="1"/>
  <c r="CZ136" i="29"/>
  <c r="CZ140" i="31" s="1"/>
  <c r="CY136" i="29"/>
  <c r="CY140" i="31" s="1"/>
  <c r="CX136" i="29"/>
  <c r="CX140" i="31" s="1"/>
  <c r="CW136" i="29"/>
  <c r="CW140" i="31" s="1"/>
  <c r="CV136" i="29"/>
  <c r="CV140" i="31" s="1"/>
  <c r="CU136" i="29"/>
  <c r="CU140" i="31" s="1"/>
  <c r="CT136" i="29"/>
  <c r="CT140" i="31" s="1"/>
  <c r="CS136" i="29"/>
  <c r="CS140" i="31" s="1"/>
  <c r="CR136" i="29"/>
  <c r="CR140" i="31" s="1"/>
  <c r="CQ136" i="29"/>
  <c r="CQ140" i="31" s="1"/>
  <c r="CP136" i="29"/>
  <c r="CP140" i="31" s="1"/>
  <c r="CO136" i="29"/>
  <c r="CO140" i="31" s="1"/>
  <c r="CN136" i="29"/>
  <c r="CN140" i="31" s="1"/>
  <c r="CM136" i="29"/>
  <c r="CM140" i="31" s="1"/>
  <c r="CL136" i="29"/>
  <c r="CL140" i="31" s="1"/>
  <c r="CK136" i="29"/>
  <c r="CK140" i="31" s="1"/>
  <c r="CJ136" i="29"/>
  <c r="CJ140" i="31" s="1"/>
  <c r="CI136" i="29"/>
  <c r="CI140" i="31" s="1"/>
  <c r="CH136" i="29"/>
  <c r="CH140" i="31" s="1"/>
  <c r="CG136" i="29"/>
  <c r="CG140" i="31" s="1"/>
  <c r="CF136" i="29"/>
  <c r="CF140" i="31" s="1"/>
  <c r="CE136" i="29"/>
  <c r="CE140" i="31" s="1"/>
  <c r="CD136" i="29"/>
  <c r="CD140" i="31" s="1"/>
  <c r="CC136" i="29"/>
  <c r="CC140" i="31" s="1"/>
  <c r="CB136" i="29"/>
  <c r="CB140" i="31" s="1"/>
  <c r="CA136" i="29"/>
  <c r="CA140" i="31" s="1"/>
  <c r="BZ136" i="29"/>
  <c r="BZ140" i="31" s="1"/>
  <c r="BY136" i="29"/>
  <c r="BY140" i="31" s="1"/>
  <c r="BX136" i="29"/>
  <c r="BX140" i="31" s="1"/>
  <c r="BW136" i="29"/>
  <c r="BW140" i="31" s="1"/>
  <c r="BV136" i="29"/>
  <c r="BV140" i="31" s="1"/>
  <c r="BU136" i="29"/>
  <c r="BU140" i="31" s="1"/>
  <c r="BT136" i="29"/>
  <c r="BT140" i="31" s="1"/>
  <c r="BS136" i="29"/>
  <c r="BS140" i="31" s="1"/>
  <c r="BR136" i="29"/>
  <c r="BR140" i="31" s="1"/>
  <c r="BQ136" i="29"/>
  <c r="BQ140" i="31" s="1"/>
  <c r="BP136" i="29"/>
  <c r="BP140" i="31" s="1"/>
  <c r="BO136" i="29"/>
  <c r="BO140" i="31" s="1"/>
  <c r="BN136" i="29"/>
  <c r="BN140" i="31" s="1"/>
  <c r="BM136" i="29"/>
  <c r="BM140" i="31" s="1"/>
  <c r="BL136" i="29"/>
  <c r="BL140" i="31" s="1"/>
  <c r="BK136" i="29"/>
  <c r="BK140" i="31" s="1"/>
  <c r="BJ136" i="29"/>
  <c r="BJ140" i="31" s="1"/>
  <c r="BI136" i="29"/>
  <c r="BI140" i="31" s="1"/>
  <c r="BH136" i="29"/>
  <c r="BH140" i="31" s="1"/>
  <c r="BG136" i="29"/>
  <c r="BG140" i="31" s="1"/>
  <c r="BF136" i="29"/>
  <c r="BF140" i="31" s="1"/>
  <c r="BE136" i="29"/>
  <c r="BE140" i="31" s="1"/>
  <c r="BD136" i="29"/>
  <c r="BD140" i="31" s="1"/>
  <c r="BC136" i="29"/>
  <c r="BC140" i="31" s="1"/>
  <c r="BB136" i="29"/>
  <c r="BB140" i="31" s="1"/>
  <c r="BA136" i="29"/>
  <c r="BA140" i="31" s="1"/>
  <c r="AZ136" i="29"/>
  <c r="AZ140" i="31" s="1"/>
  <c r="AY136" i="29"/>
  <c r="AY140" i="31" s="1"/>
  <c r="AX136" i="29"/>
  <c r="AX140" i="31" s="1"/>
  <c r="AW136" i="29"/>
  <c r="AW140" i="31" s="1"/>
  <c r="AV136" i="29"/>
  <c r="AV140" i="31" s="1"/>
  <c r="AU136" i="29"/>
  <c r="AU140" i="31" s="1"/>
  <c r="AT136" i="29"/>
  <c r="AT140" i="31" s="1"/>
  <c r="AS136" i="29"/>
  <c r="AS140" i="31" s="1"/>
  <c r="AR136" i="29"/>
  <c r="AR140" i="31" s="1"/>
  <c r="AQ136" i="29"/>
  <c r="AQ140" i="31" s="1"/>
  <c r="AP136" i="29"/>
  <c r="AP140" i="31" s="1"/>
  <c r="AO136" i="29"/>
  <c r="AO140" i="31" s="1"/>
  <c r="AN136" i="29"/>
  <c r="AN140" i="31" s="1"/>
  <c r="AM136" i="29"/>
  <c r="AM140" i="31" s="1"/>
  <c r="AL136" i="29"/>
  <c r="AL140" i="31" s="1"/>
  <c r="AK136" i="29"/>
  <c r="AK140" i="31" s="1"/>
  <c r="AJ136" i="29"/>
  <c r="AJ140" i="31" s="1"/>
  <c r="AI136" i="29"/>
  <c r="AI140" i="31" s="1"/>
  <c r="AH136" i="29"/>
  <c r="AH140" i="31" s="1"/>
  <c r="AG136" i="29"/>
  <c r="AG140" i="31" s="1"/>
  <c r="AF136" i="29"/>
  <c r="AF140" i="31" s="1"/>
  <c r="AE136" i="29"/>
  <c r="AE140" i="31" s="1"/>
  <c r="AD136" i="29"/>
  <c r="AD140" i="31" s="1"/>
  <c r="AB136" i="29"/>
  <c r="AB140" i="31" s="1"/>
  <c r="AA136" i="29"/>
  <c r="AA140" i="31" s="1"/>
  <c r="Z136" i="29"/>
  <c r="Z140" i="31" s="1"/>
  <c r="Y136" i="29"/>
  <c r="Y140" i="31" s="1"/>
  <c r="X136" i="29"/>
  <c r="X140" i="31" s="1"/>
  <c r="W136" i="29"/>
  <c r="W140" i="31" s="1"/>
  <c r="V136" i="29"/>
  <c r="V140" i="31" s="1"/>
  <c r="U136" i="29"/>
  <c r="U140" i="31" s="1"/>
  <c r="T136" i="29"/>
  <c r="T140" i="31" s="1"/>
  <c r="S136" i="29"/>
  <c r="S140" i="31" s="1"/>
  <c r="R136" i="29"/>
  <c r="R140" i="31" s="1"/>
  <c r="Q136" i="29"/>
  <c r="Q140" i="31" s="1"/>
  <c r="P136" i="29"/>
  <c r="P140" i="31" s="1"/>
  <c r="O136" i="29"/>
  <c r="O140" i="31" s="1"/>
  <c r="N136" i="29"/>
  <c r="N140" i="31" s="1"/>
  <c r="M136" i="29"/>
  <c r="M140" i="31" s="1"/>
  <c r="L136" i="29"/>
  <c r="L140" i="31" s="1"/>
  <c r="K136" i="29"/>
  <c r="K140" i="31" s="1"/>
  <c r="J136" i="29"/>
  <c r="J140" i="31" s="1"/>
  <c r="I136" i="29"/>
  <c r="I140" i="31" s="1"/>
  <c r="H136" i="29"/>
  <c r="H140" i="31" s="1"/>
  <c r="G136" i="29"/>
  <c r="G140" i="31" s="1"/>
  <c r="F136" i="29"/>
  <c r="F140" i="31" s="1"/>
  <c r="E136" i="29"/>
  <c r="E140" i="31" s="1"/>
  <c r="D136" i="29"/>
  <c r="D140" i="31" s="1"/>
  <c r="C136" i="29"/>
  <c r="C140" i="31" s="1"/>
  <c r="JH135" i="29"/>
  <c r="JH139" i="31" s="1"/>
  <c r="JG135" i="29"/>
  <c r="JG139" i="31" s="1"/>
  <c r="JF135" i="29"/>
  <c r="JF139" i="31" s="1"/>
  <c r="JE135" i="29"/>
  <c r="JD135" i="29"/>
  <c r="JD139" i="31" s="1"/>
  <c r="JC135" i="29"/>
  <c r="JC139" i="31" s="1"/>
  <c r="JB135" i="29"/>
  <c r="JB139" i="31" s="1"/>
  <c r="JA135" i="29"/>
  <c r="IZ135" i="29"/>
  <c r="IZ139" i="31" s="1"/>
  <c r="IY135" i="29"/>
  <c r="IY139" i="31" s="1"/>
  <c r="IX135" i="29"/>
  <c r="IX139" i="31" s="1"/>
  <c r="IW135" i="29"/>
  <c r="IV135" i="29"/>
  <c r="IV139" i="31" s="1"/>
  <c r="IU135" i="29"/>
  <c r="IU139" i="31" s="1"/>
  <c r="IT135" i="29"/>
  <c r="IT139" i="31" s="1"/>
  <c r="IS135" i="29"/>
  <c r="IR135" i="29"/>
  <c r="IR139" i="31" s="1"/>
  <c r="IQ135" i="29"/>
  <c r="IQ139" i="31" s="1"/>
  <c r="IP135" i="29"/>
  <c r="IP139" i="31" s="1"/>
  <c r="IO135" i="29"/>
  <c r="IN135" i="29"/>
  <c r="IN139" i="31" s="1"/>
  <c r="IM135" i="29"/>
  <c r="IM139" i="31" s="1"/>
  <c r="IL135" i="29"/>
  <c r="IL139" i="31" s="1"/>
  <c r="IK135" i="29"/>
  <c r="IJ135" i="29"/>
  <c r="IJ139" i="31" s="1"/>
  <c r="II135" i="29"/>
  <c r="II139" i="31" s="1"/>
  <c r="IH135" i="29"/>
  <c r="IH139" i="31" s="1"/>
  <c r="IG135" i="29"/>
  <c r="IF135" i="29"/>
  <c r="IF139" i="31" s="1"/>
  <c r="IE135" i="29"/>
  <c r="IE139" i="31" s="1"/>
  <c r="ID135" i="29"/>
  <c r="ID139" i="31" s="1"/>
  <c r="IC135" i="29"/>
  <c r="IB135" i="29"/>
  <c r="IB139" i="31" s="1"/>
  <c r="IA135" i="29"/>
  <c r="IA139" i="31" s="1"/>
  <c r="HZ135" i="29"/>
  <c r="HZ139" i="31" s="1"/>
  <c r="HY135" i="29"/>
  <c r="HX135" i="29"/>
  <c r="HX139" i="31" s="1"/>
  <c r="HW135" i="29"/>
  <c r="HW139" i="31" s="1"/>
  <c r="HV135" i="29"/>
  <c r="HV139" i="31" s="1"/>
  <c r="HU135" i="29"/>
  <c r="HT135" i="29"/>
  <c r="HT139" i="31" s="1"/>
  <c r="HS135" i="29"/>
  <c r="HS139" i="31" s="1"/>
  <c r="HR135" i="29"/>
  <c r="HR139" i="31" s="1"/>
  <c r="HQ135" i="29"/>
  <c r="HP135" i="29"/>
  <c r="HP139" i="31" s="1"/>
  <c r="HO135" i="29"/>
  <c r="HO139" i="31" s="1"/>
  <c r="HN135" i="29"/>
  <c r="HN139" i="31" s="1"/>
  <c r="HM135" i="29"/>
  <c r="HL135" i="29"/>
  <c r="HL139" i="31" s="1"/>
  <c r="HK135" i="29"/>
  <c r="HK139" i="31" s="1"/>
  <c r="HJ135" i="29"/>
  <c r="HJ139" i="31" s="1"/>
  <c r="HI135" i="29"/>
  <c r="HH135" i="29"/>
  <c r="HH139" i="31" s="1"/>
  <c r="HG135" i="29"/>
  <c r="HG139" i="31" s="1"/>
  <c r="HF135" i="29"/>
  <c r="HF139" i="31" s="1"/>
  <c r="HE135" i="29"/>
  <c r="HD135" i="29"/>
  <c r="HD139" i="31" s="1"/>
  <c r="HC135" i="29"/>
  <c r="HC139" i="31" s="1"/>
  <c r="HB135" i="29"/>
  <c r="HB139" i="31" s="1"/>
  <c r="HA135" i="29"/>
  <c r="GZ135" i="29"/>
  <c r="GZ139" i="31" s="1"/>
  <c r="GY135" i="29"/>
  <c r="GY139" i="31" s="1"/>
  <c r="GX135" i="29"/>
  <c r="GX139" i="31" s="1"/>
  <c r="GW135" i="29"/>
  <c r="GV135" i="29"/>
  <c r="GV139" i="31" s="1"/>
  <c r="GU135" i="29"/>
  <c r="GU139" i="31" s="1"/>
  <c r="GT135" i="29"/>
  <c r="GT139" i="31" s="1"/>
  <c r="GS135" i="29"/>
  <c r="GR135" i="29"/>
  <c r="GR139" i="31" s="1"/>
  <c r="GQ135" i="29"/>
  <c r="GQ139" i="31" s="1"/>
  <c r="GP135" i="29"/>
  <c r="GP139" i="31" s="1"/>
  <c r="GO135" i="29"/>
  <c r="GN135" i="29"/>
  <c r="GN139" i="31" s="1"/>
  <c r="GM135" i="29"/>
  <c r="GM139" i="31" s="1"/>
  <c r="GL135" i="29"/>
  <c r="GL139" i="31" s="1"/>
  <c r="GK135" i="29"/>
  <c r="GJ135" i="29"/>
  <c r="GJ139" i="31" s="1"/>
  <c r="GI135" i="29"/>
  <c r="GI139" i="31" s="1"/>
  <c r="GH135" i="29"/>
  <c r="GH139" i="31" s="1"/>
  <c r="GG135" i="29"/>
  <c r="GF135" i="29"/>
  <c r="GF139" i="31" s="1"/>
  <c r="GE135" i="29"/>
  <c r="GE139" i="31" s="1"/>
  <c r="GD135" i="29"/>
  <c r="GD139" i="31" s="1"/>
  <c r="GC135" i="29"/>
  <c r="GB135" i="29"/>
  <c r="GB139" i="31" s="1"/>
  <c r="GA135" i="29"/>
  <c r="GA139" i="31" s="1"/>
  <c r="FZ135" i="29"/>
  <c r="FZ139" i="31" s="1"/>
  <c r="FY135" i="29"/>
  <c r="FX135" i="29"/>
  <c r="FX139" i="31" s="1"/>
  <c r="FW135" i="29"/>
  <c r="FW139" i="31" s="1"/>
  <c r="FV135" i="29"/>
  <c r="FV139" i="31" s="1"/>
  <c r="FU135" i="29"/>
  <c r="FT135" i="29"/>
  <c r="FT139" i="31" s="1"/>
  <c r="FS135" i="29"/>
  <c r="FS139" i="31" s="1"/>
  <c r="FR135" i="29"/>
  <c r="FR139" i="31" s="1"/>
  <c r="FQ135" i="29"/>
  <c r="FP135" i="29"/>
  <c r="FP139" i="31" s="1"/>
  <c r="FO135" i="29"/>
  <c r="FO139" i="31" s="1"/>
  <c r="FN135" i="29"/>
  <c r="FN139" i="31" s="1"/>
  <c r="FM135" i="29"/>
  <c r="FL135" i="29"/>
  <c r="FL139" i="31" s="1"/>
  <c r="FK135" i="29"/>
  <c r="FK139" i="31" s="1"/>
  <c r="FJ135" i="29"/>
  <c r="FJ139" i="31" s="1"/>
  <c r="FI135" i="29"/>
  <c r="FI139" i="31" s="1"/>
  <c r="FH135" i="29"/>
  <c r="FH139" i="31" s="1"/>
  <c r="FG135" i="29"/>
  <c r="FG139" i="31" s="1"/>
  <c r="FF135" i="29"/>
  <c r="FF139" i="31" s="1"/>
  <c r="FE135" i="29"/>
  <c r="FD135" i="29"/>
  <c r="FD139" i="31" s="1"/>
  <c r="FC135" i="29"/>
  <c r="FC139" i="31" s="1"/>
  <c r="FB135" i="29"/>
  <c r="FB139" i="31" s="1"/>
  <c r="FA135" i="29"/>
  <c r="EZ135" i="29"/>
  <c r="EZ139" i="31" s="1"/>
  <c r="EY135" i="29"/>
  <c r="EY139" i="31" s="1"/>
  <c r="EX135" i="29"/>
  <c r="EX139" i="31" s="1"/>
  <c r="EW135" i="29"/>
  <c r="EV135" i="29"/>
  <c r="EV139" i="31" s="1"/>
  <c r="EU135" i="29"/>
  <c r="EU139" i="31" s="1"/>
  <c r="ET135" i="29"/>
  <c r="ET139" i="31" s="1"/>
  <c r="ES135" i="29"/>
  <c r="ER135" i="29"/>
  <c r="ER139" i="31" s="1"/>
  <c r="EQ135" i="29"/>
  <c r="EQ139" i="31" s="1"/>
  <c r="EP135" i="29"/>
  <c r="EP139" i="31" s="1"/>
  <c r="EO135" i="29"/>
  <c r="EN135" i="29"/>
  <c r="EN139" i="31" s="1"/>
  <c r="EM135" i="29"/>
  <c r="EM139" i="31" s="1"/>
  <c r="EL135" i="29"/>
  <c r="EL139" i="31" s="1"/>
  <c r="EK135" i="29"/>
  <c r="EJ135" i="29"/>
  <c r="EJ139" i="31" s="1"/>
  <c r="EI135" i="29"/>
  <c r="EI139" i="31" s="1"/>
  <c r="EH135" i="29"/>
  <c r="EG135" i="29"/>
  <c r="EF135" i="29"/>
  <c r="EF139" i="31" s="1"/>
  <c r="EE135" i="29"/>
  <c r="EE139" i="31" s="1"/>
  <c r="ED135" i="29"/>
  <c r="EC135" i="29"/>
  <c r="EB135" i="29"/>
  <c r="EB139" i="31" s="1"/>
  <c r="EA135" i="29"/>
  <c r="EA139" i="31" s="1"/>
  <c r="DZ135" i="29"/>
  <c r="DY135" i="29"/>
  <c r="DY139" i="31" s="1"/>
  <c r="DX135" i="29"/>
  <c r="DX139" i="31" s="1"/>
  <c r="DW135" i="29"/>
  <c r="DW139" i="31" s="1"/>
  <c r="DV135" i="29"/>
  <c r="DU135" i="29"/>
  <c r="DU139" i="31" s="1"/>
  <c r="DT135" i="29"/>
  <c r="DT139" i="31" s="1"/>
  <c r="DS135" i="29"/>
  <c r="DS139" i="31" s="1"/>
  <c r="DR135" i="29"/>
  <c r="DQ135" i="29"/>
  <c r="DQ139" i="31" s="1"/>
  <c r="DP135" i="29"/>
  <c r="DP139" i="31" s="1"/>
  <c r="DO135" i="29"/>
  <c r="DO139" i="31" s="1"/>
  <c r="DN135" i="29"/>
  <c r="DM135" i="29"/>
  <c r="DM139" i="31" s="1"/>
  <c r="DL135" i="29"/>
  <c r="DL139" i="31" s="1"/>
  <c r="DK135" i="29"/>
  <c r="DK139" i="31" s="1"/>
  <c r="DJ135" i="29"/>
  <c r="DI135" i="29"/>
  <c r="DI139" i="31" s="1"/>
  <c r="DH135" i="29"/>
  <c r="DH139" i="31" s="1"/>
  <c r="DG135" i="29"/>
  <c r="DG139" i="31" s="1"/>
  <c r="DF135" i="29"/>
  <c r="DE135" i="29"/>
  <c r="DE139" i="31" s="1"/>
  <c r="DD135" i="29"/>
  <c r="DD139" i="31" s="1"/>
  <c r="DC135" i="29"/>
  <c r="DC139" i="31" s="1"/>
  <c r="DB135" i="29"/>
  <c r="DA135" i="29"/>
  <c r="DA139" i="31" s="1"/>
  <c r="CZ135" i="29"/>
  <c r="CZ139" i="31" s="1"/>
  <c r="CY135" i="29"/>
  <c r="CY139" i="31" s="1"/>
  <c r="CX135" i="29"/>
  <c r="CW135" i="29"/>
  <c r="CW139" i="31" s="1"/>
  <c r="CV135" i="29"/>
  <c r="CV139" i="31" s="1"/>
  <c r="CU135" i="29"/>
  <c r="CU139" i="31" s="1"/>
  <c r="CT135" i="29"/>
  <c r="CS135" i="29"/>
  <c r="CS139" i="31" s="1"/>
  <c r="CR135" i="29"/>
  <c r="CR139" i="31" s="1"/>
  <c r="CQ135" i="29"/>
  <c r="CQ139" i="31" s="1"/>
  <c r="CP135" i="29"/>
  <c r="CO135" i="29"/>
  <c r="CO139" i="31" s="1"/>
  <c r="CN135" i="29"/>
  <c r="CN139" i="31" s="1"/>
  <c r="CM135" i="29"/>
  <c r="CM139" i="31" s="1"/>
  <c r="CL135" i="29"/>
  <c r="CK135" i="29"/>
  <c r="CK139" i="31" s="1"/>
  <c r="CJ135" i="29"/>
  <c r="CJ139" i="31" s="1"/>
  <c r="CI135" i="29"/>
  <c r="CI139" i="31" s="1"/>
  <c r="CH135" i="29"/>
  <c r="CG135" i="29"/>
  <c r="CG139" i="31" s="1"/>
  <c r="CF135" i="29"/>
  <c r="CF139" i="31" s="1"/>
  <c r="CE135" i="29"/>
  <c r="CE139" i="31" s="1"/>
  <c r="CD135" i="29"/>
  <c r="CC135" i="29"/>
  <c r="CC139" i="31" s="1"/>
  <c r="CB135" i="29"/>
  <c r="CB139" i="31" s="1"/>
  <c r="CA135" i="29"/>
  <c r="CA139" i="31" s="1"/>
  <c r="BZ135" i="29"/>
  <c r="BY135" i="29"/>
  <c r="BY139" i="31" s="1"/>
  <c r="BX135" i="29"/>
  <c r="BX139" i="31" s="1"/>
  <c r="BW135" i="29"/>
  <c r="BW139" i="31" s="1"/>
  <c r="BV135" i="29"/>
  <c r="BU135" i="29"/>
  <c r="BU139" i="31" s="1"/>
  <c r="BT135" i="29"/>
  <c r="BT139" i="31" s="1"/>
  <c r="BS135" i="29"/>
  <c r="BS139" i="31" s="1"/>
  <c r="BR135" i="29"/>
  <c r="BQ135" i="29"/>
  <c r="BQ139" i="31" s="1"/>
  <c r="BP135" i="29"/>
  <c r="BP139" i="31" s="1"/>
  <c r="BO135" i="29"/>
  <c r="BO139" i="31" s="1"/>
  <c r="BN135" i="29"/>
  <c r="BM135" i="29"/>
  <c r="BM139" i="31" s="1"/>
  <c r="BL135" i="29"/>
  <c r="BL139" i="31" s="1"/>
  <c r="BK135" i="29"/>
  <c r="BK139" i="31" s="1"/>
  <c r="BJ135" i="29"/>
  <c r="BI135" i="29"/>
  <c r="BI139" i="31" s="1"/>
  <c r="BH135" i="29"/>
  <c r="BH139" i="31" s="1"/>
  <c r="BG135" i="29"/>
  <c r="BG139" i="31" s="1"/>
  <c r="BF135" i="29"/>
  <c r="BE135" i="29"/>
  <c r="BE139" i="31" s="1"/>
  <c r="BD135" i="29"/>
  <c r="BD139" i="31" s="1"/>
  <c r="BC135" i="29"/>
  <c r="BC139" i="31" s="1"/>
  <c r="BB135" i="29"/>
  <c r="BA135" i="29"/>
  <c r="BA139" i="31" s="1"/>
  <c r="AZ135" i="29"/>
  <c r="AZ139" i="31" s="1"/>
  <c r="AY135" i="29"/>
  <c r="AY139" i="31" s="1"/>
  <c r="AX135" i="29"/>
  <c r="AW135" i="29"/>
  <c r="AW139" i="31" s="1"/>
  <c r="AV135" i="29"/>
  <c r="AV139" i="31" s="1"/>
  <c r="AU135" i="29"/>
  <c r="AU139" i="31" s="1"/>
  <c r="AT135" i="29"/>
  <c r="AS135" i="29"/>
  <c r="AS139" i="31" s="1"/>
  <c r="AR135" i="29"/>
  <c r="AR139" i="31" s="1"/>
  <c r="AQ135" i="29"/>
  <c r="AQ139" i="31" s="1"/>
  <c r="AP135" i="29"/>
  <c r="AO135" i="29"/>
  <c r="AO139" i="31" s="1"/>
  <c r="AN135" i="29"/>
  <c r="AN139" i="31" s="1"/>
  <c r="AM135" i="29"/>
  <c r="AM139" i="31" s="1"/>
  <c r="AL135" i="29"/>
  <c r="AK135" i="29"/>
  <c r="AK139" i="31" s="1"/>
  <c r="AJ135" i="29"/>
  <c r="AJ139" i="31" s="1"/>
  <c r="AI135" i="29"/>
  <c r="AI139" i="31" s="1"/>
  <c r="AH135" i="29"/>
  <c r="AG135" i="29"/>
  <c r="AG139" i="31" s="1"/>
  <c r="AF135" i="29"/>
  <c r="AF139" i="31" s="1"/>
  <c r="AE135" i="29"/>
  <c r="AE139" i="31" s="1"/>
  <c r="AD135" i="29"/>
  <c r="AB135" i="29"/>
  <c r="AB139" i="31" s="1"/>
  <c r="AA135" i="29"/>
  <c r="AA139" i="31" s="1"/>
  <c r="Z135" i="29"/>
  <c r="Z139" i="31" s="1"/>
  <c r="Y135" i="29"/>
  <c r="X135" i="29"/>
  <c r="X139" i="31" s="1"/>
  <c r="W135" i="29"/>
  <c r="W139" i="31" s="1"/>
  <c r="V135" i="29"/>
  <c r="V139" i="31" s="1"/>
  <c r="U135" i="29"/>
  <c r="T135" i="29"/>
  <c r="T139" i="31" s="1"/>
  <c r="S135" i="29"/>
  <c r="S139" i="31" s="1"/>
  <c r="R135" i="29"/>
  <c r="R139" i="31" s="1"/>
  <c r="Q135" i="29"/>
  <c r="P135" i="29"/>
  <c r="P139" i="31" s="1"/>
  <c r="O135" i="29"/>
  <c r="O139" i="31" s="1"/>
  <c r="N135" i="29"/>
  <c r="N139" i="31" s="1"/>
  <c r="M135" i="29"/>
  <c r="L135" i="29"/>
  <c r="L139" i="31" s="1"/>
  <c r="K135" i="29"/>
  <c r="K139" i="31" s="1"/>
  <c r="J135" i="29"/>
  <c r="J139" i="31" s="1"/>
  <c r="I135" i="29"/>
  <c r="H135" i="29"/>
  <c r="H139" i="31" s="1"/>
  <c r="G135" i="29"/>
  <c r="G139" i="31" s="1"/>
  <c r="F135" i="29"/>
  <c r="F139" i="31" s="1"/>
  <c r="E135" i="29"/>
  <c r="D135" i="29"/>
  <c r="D139" i="31" s="1"/>
  <c r="C135" i="29"/>
  <c r="C139" i="31" s="1"/>
  <c r="HO134" i="29"/>
  <c r="HO138" i="31" s="1"/>
  <c r="HJ134" i="29"/>
  <c r="HJ138" i="31" s="1"/>
  <c r="ES134" i="29"/>
  <c r="ES138" i="31" s="1"/>
  <c r="DX134" i="29"/>
  <c r="DX138" i="31" s="1"/>
  <c r="DW134" i="29"/>
  <c r="DW138" i="31" s="1"/>
  <c r="DU134" i="29"/>
  <c r="DU138" i="31" s="1"/>
  <c r="CA134" i="29"/>
  <c r="CA138" i="31" s="1"/>
  <c r="B132" i="29"/>
  <c r="JH124" i="29"/>
  <c r="JH128" i="31" s="1"/>
  <c r="JG124" i="29"/>
  <c r="JG128" i="31" s="1"/>
  <c r="JF124" i="29"/>
  <c r="JF128" i="31" s="1"/>
  <c r="JE124" i="29"/>
  <c r="JE128" i="31" s="1"/>
  <c r="JD124" i="29"/>
  <c r="JD128" i="31" s="1"/>
  <c r="JC124" i="29"/>
  <c r="JC128" i="31" s="1"/>
  <c r="JB124" i="29"/>
  <c r="JB128" i="31" s="1"/>
  <c r="JA124" i="29"/>
  <c r="JA128" i="31" s="1"/>
  <c r="IZ124" i="29"/>
  <c r="IZ128" i="31" s="1"/>
  <c r="IY124" i="29"/>
  <c r="IY128" i="31" s="1"/>
  <c r="IX124" i="29"/>
  <c r="IX128" i="31" s="1"/>
  <c r="IW124" i="29"/>
  <c r="IW128" i="31" s="1"/>
  <c r="IV124" i="29"/>
  <c r="IV128" i="31" s="1"/>
  <c r="IU124" i="29"/>
  <c r="IU128" i="31" s="1"/>
  <c r="IT124" i="29"/>
  <c r="IT128" i="31" s="1"/>
  <c r="IS124" i="29"/>
  <c r="IS128" i="31" s="1"/>
  <c r="IR124" i="29"/>
  <c r="IR128" i="31" s="1"/>
  <c r="IQ124" i="29"/>
  <c r="IQ128" i="31" s="1"/>
  <c r="IP124" i="29"/>
  <c r="IP128" i="31" s="1"/>
  <c r="IO124" i="29"/>
  <c r="IO128" i="31" s="1"/>
  <c r="IN124" i="29"/>
  <c r="IN128" i="31" s="1"/>
  <c r="IM124" i="29"/>
  <c r="IM128" i="31" s="1"/>
  <c r="IL124" i="29"/>
  <c r="IL128" i="31" s="1"/>
  <c r="IK124" i="29"/>
  <c r="IK128" i="31" s="1"/>
  <c r="IJ124" i="29"/>
  <c r="IJ128" i="31" s="1"/>
  <c r="II124" i="29"/>
  <c r="II128" i="31" s="1"/>
  <c r="IH124" i="29"/>
  <c r="IH128" i="31" s="1"/>
  <c r="IG124" i="29"/>
  <c r="IG128" i="31" s="1"/>
  <c r="IF124" i="29"/>
  <c r="IF128" i="31" s="1"/>
  <c r="IE124" i="29"/>
  <c r="IE128" i="31" s="1"/>
  <c r="ID124" i="29"/>
  <c r="ID128" i="31" s="1"/>
  <c r="IC124" i="29"/>
  <c r="IC128" i="31" s="1"/>
  <c r="IB124" i="29"/>
  <c r="IB128" i="31" s="1"/>
  <c r="IA124" i="29"/>
  <c r="IA128" i="31" s="1"/>
  <c r="HZ124" i="29"/>
  <c r="HZ128" i="31" s="1"/>
  <c r="HY124" i="29"/>
  <c r="HY128" i="31" s="1"/>
  <c r="HX124" i="29"/>
  <c r="HX128" i="31" s="1"/>
  <c r="HW124" i="29"/>
  <c r="HW128" i="31" s="1"/>
  <c r="HV124" i="29"/>
  <c r="HV128" i="31" s="1"/>
  <c r="HU124" i="29"/>
  <c r="HU128" i="31" s="1"/>
  <c r="HT124" i="29"/>
  <c r="HT128" i="31" s="1"/>
  <c r="HS124" i="29"/>
  <c r="HS128" i="31" s="1"/>
  <c r="HR124" i="29"/>
  <c r="HR128" i="31" s="1"/>
  <c r="HQ124" i="29"/>
  <c r="HQ128" i="31" s="1"/>
  <c r="HP124" i="29"/>
  <c r="HP128" i="31" s="1"/>
  <c r="HO124" i="29"/>
  <c r="HO128" i="31" s="1"/>
  <c r="HN124" i="29"/>
  <c r="HN128" i="31" s="1"/>
  <c r="HM124" i="29"/>
  <c r="HM128" i="31" s="1"/>
  <c r="HL124" i="29"/>
  <c r="HL128" i="31" s="1"/>
  <c r="HK124" i="29"/>
  <c r="HK128" i="31" s="1"/>
  <c r="HJ124" i="29"/>
  <c r="HJ128" i="31" s="1"/>
  <c r="HI124" i="29"/>
  <c r="HI128" i="31" s="1"/>
  <c r="HH124" i="29"/>
  <c r="HH128" i="31" s="1"/>
  <c r="HG124" i="29"/>
  <c r="HG128" i="31" s="1"/>
  <c r="HF124" i="29"/>
  <c r="HF128" i="31" s="1"/>
  <c r="HE124" i="29"/>
  <c r="HE128" i="31" s="1"/>
  <c r="HD124" i="29"/>
  <c r="HD128" i="31" s="1"/>
  <c r="HC124" i="29"/>
  <c r="HC128" i="31" s="1"/>
  <c r="HB124" i="29"/>
  <c r="HB128" i="31" s="1"/>
  <c r="HA124" i="29"/>
  <c r="HA128" i="31" s="1"/>
  <c r="GZ124" i="29"/>
  <c r="GZ128" i="31" s="1"/>
  <c r="GY124" i="29"/>
  <c r="GY128" i="31" s="1"/>
  <c r="GX124" i="29"/>
  <c r="GX128" i="31" s="1"/>
  <c r="GW124" i="29"/>
  <c r="GW128" i="31" s="1"/>
  <c r="GV124" i="29"/>
  <c r="GV128" i="31" s="1"/>
  <c r="GU124" i="29"/>
  <c r="GU128" i="31" s="1"/>
  <c r="GT124" i="29"/>
  <c r="GT128" i="31" s="1"/>
  <c r="GS124" i="29"/>
  <c r="GS128" i="31" s="1"/>
  <c r="GR124" i="29"/>
  <c r="GR128" i="31" s="1"/>
  <c r="GQ124" i="29"/>
  <c r="GQ128" i="31" s="1"/>
  <c r="GP124" i="29"/>
  <c r="GP128" i="31" s="1"/>
  <c r="GO124" i="29"/>
  <c r="GO128" i="31" s="1"/>
  <c r="GN124" i="29"/>
  <c r="GN128" i="31" s="1"/>
  <c r="GM124" i="29"/>
  <c r="GM128" i="31" s="1"/>
  <c r="GL124" i="29"/>
  <c r="GL128" i="31" s="1"/>
  <c r="GK124" i="29"/>
  <c r="GK128" i="31" s="1"/>
  <c r="GJ124" i="29"/>
  <c r="GJ128" i="31" s="1"/>
  <c r="GI124" i="29"/>
  <c r="GI128" i="31" s="1"/>
  <c r="GH124" i="29"/>
  <c r="GH128" i="31" s="1"/>
  <c r="GG124" i="29"/>
  <c r="GG128" i="31" s="1"/>
  <c r="GF124" i="29"/>
  <c r="GF128" i="31" s="1"/>
  <c r="GE124" i="29"/>
  <c r="GE128" i="31" s="1"/>
  <c r="GD124" i="29"/>
  <c r="GD128" i="31" s="1"/>
  <c r="GC124" i="29"/>
  <c r="GC128" i="31" s="1"/>
  <c r="GB124" i="29"/>
  <c r="GB128" i="31" s="1"/>
  <c r="GA124" i="29"/>
  <c r="GA128" i="31" s="1"/>
  <c r="FZ124" i="29"/>
  <c r="FZ128" i="31" s="1"/>
  <c r="FY124" i="29"/>
  <c r="FY128" i="31" s="1"/>
  <c r="FX124" i="29"/>
  <c r="FX128" i="31" s="1"/>
  <c r="FW124" i="29"/>
  <c r="FW128" i="31" s="1"/>
  <c r="FV124" i="29"/>
  <c r="FV128" i="31" s="1"/>
  <c r="FU124" i="29"/>
  <c r="FU128" i="31" s="1"/>
  <c r="FT124" i="29"/>
  <c r="FT128" i="31" s="1"/>
  <c r="FS124" i="29"/>
  <c r="FS128" i="31" s="1"/>
  <c r="FR124" i="29"/>
  <c r="FR128" i="31" s="1"/>
  <c r="FQ124" i="29"/>
  <c r="FQ128" i="31" s="1"/>
  <c r="FP124" i="29"/>
  <c r="FP128" i="31" s="1"/>
  <c r="FO124" i="29"/>
  <c r="FO128" i="31" s="1"/>
  <c r="FN124" i="29"/>
  <c r="FN128" i="31" s="1"/>
  <c r="FM124" i="29"/>
  <c r="FM128" i="31" s="1"/>
  <c r="FL124" i="29"/>
  <c r="FL128" i="31" s="1"/>
  <c r="FK124" i="29"/>
  <c r="FK128" i="31" s="1"/>
  <c r="FJ124" i="29"/>
  <c r="FJ128" i="31" s="1"/>
  <c r="FI124" i="29"/>
  <c r="FI128" i="31" s="1"/>
  <c r="FH124" i="29"/>
  <c r="FH128" i="31" s="1"/>
  <c r="FG124" i="29"/>
  <c r="FG128" i="31" s="1"/>
  <c r="FF124" i="29"/>
  <c r="FF128" i="31" s="1"/>
  <c r="FE124" i="29"/>
  <c r="FE128" i="31" s="1"/>
  <c r="FD124" i="29"/>
  <c r="FD128" i="31" s="1"/>
  <c r="FC124" i="29"/>
  <c r="FC128" i="31" s="1"/>
  <c r="FB124" i="29"/>
  <c r="FB128" i="31" s="1"/>
  <c r="FA124" i="29"/>
  <c r="FA128" i="31" s="1"/>
  <c r="EZ124" i="29"/>
  <c r="EZ128" i="31" s="1"/>
  <c r="EY124" i="29"/>
  <c r="EY128" i="31" s="1"/>
  <c r="EX124" i="29"/>
  <c r="EX128" i="31" s="1"/>
  <c r="EW124" i="29"/>
  <c r="EW128" i="31" s="1"/>
  <c r="EV124" i="29"/>
  <c r="EV128" i="31" s="1"/>
  <c r="EU124" i="29"/>
  <c r="EU128" i="31" s="1"/>
  <c r="ET124" i="29"/>
  <c r="ET128" i="31" s="1"/>
  <c r="ES124" i="29"/>
  <c r="ES128" i="31" s="1"/>
  <c r="ER124" i="29"/>
  <c r="ER128" i="31" s="1"/>
  <c r="EQ124" i="29"/>
  <c r="EQ128" i="31" s="1"/>
  <c r="EP124" i="29"/>
  <c r="EP128" i="31" s="1"/>
  <c r="EO124" i="29"/>
  <c r="EO128" i="31" s="1"/>
  <c r="EN124" i="29"/>
  <c r="EN128" i="31" s="1"/>
  <c r="EM124" i="29"/>
  <c r="EM128" i="31" s="1"/>
  <c r="EL124" i="29"/>
  <c r="EL128" i="31" s="1"/>
  <c r="EK124" i="29"/>
  <c r="EK128" i="31" s="1"/>
  <c r="EJ124" i="29"/>
  <c r="EJ128" i="31" s="1"/>
  <c r="EI124" i="29"/>
  <c r="EI128" i="31" s="1"/>
  <c r="EH124" i="29"/>
  <c r="EH128" i="31" s="1"/>
  <c r="EG124" i="29"/>
  <c r="EG128" i="31" s="1"/>
  <c r="EF124" i="29"/>
  <c r="EF128" i="31" s="1"/>
  <c r="EE124" i="29"/>
  <c r="EE128" i="31" s="1"/>
  <c r="ED124" i="29"/>
  <c r="ED128" i="31" s="1"/>
  <c r="EC124" i="29"/>
  <c r="EC128" i="31" s="1"/>
  <c r="EB124" i="29"/>
  <c r="EB128" i="31" s="1"/>
  <c r="EA124" i="29"/>
  <c r="EA128" i="31" s="1"/>
  <c r="DZ124" i="29"/>
  <c r="DZ128" i="31" s="1"/>
  <c r="DY124" i="29"/>
  <c r="DY128" i="31" s="1"/>
  <c r="DX124" i="29"/>
  <c r="DX128" i="31" s="1"/>
  <c r="DW124" i="29"/>
  <c r="DW128" i="31" s="1"/>
  <c r="DV124" i="29"/>
  <c r="DV128" i="31" s="1"/>
  <c r="DU124" i="29"/>
  <c r="DU128" i="31" s="1"/>
  <c r="DT124" i="29"/>
  <c r="DT128" i="31" s="1"/>
  <c r="DS124" i="29"/>
  <c r="DS128" i="31" s="1"/>
  <c r="DR124" i="29"/>
  <c r="DR128" i="31" s="1"/>
  <c r="DQ124" i="29"/>
  <c r="DQ128" i="31" s="1"/>
  <c r="DP124" i="29"/>
  <c r="DP128" i="31" s="1"/>
  <c r="DO124" i="29"/>
  <c r="DO128" i="31" s="1"/>
  <c r="DN124" i="29"/>
  <c r="DN128" i="31" s="1"/>
  <c r="DM124" i="29"/>
  <c r="DM128" i="31" s="1"/>
  <c r="DL124" i="29"/>
  <c r="DL128" i="31" s="1"/>
  <c r="DK124" i="29"/>
  <c r="DK128" i="31" s="1"/>
  <c r="DJ124" i="29"/>
  <c r="DJ128" i="31" s="1"/>
  <c r="DI124" i="29"/>
  <c r="DI128" i="31" s="1"/>
  <c r="DH124" i="29"/>
  <c r="DH128" i="31" s="1"/>
  <c r="DG124" i="29"/>
  <c r="DG128" i="31" s="1"/>
  <c r="DF124" i="29"/>
  <c r="DF128" i="31" s="1"/>
  <c r="DE124" i="29"/>
  <c r="DE128" i="31" s="1"/>
  <c r="DD124" i="29"/>
  <c r="DD128" i="31" s="1"/>
  <c r="DC124" i="29"/>
  <c r="DC128" i="31" s="1"/>
  <c r="DB124" i="29"/>
  <c r="DB128" i="31" s="1"/>
  <c r="DA124" i="29"/>
  <c r="DA128" i="31" s="1"/>
  <c r="CZ124" i="29"/>
  <c r="CZ128" i="31" s="1"/>
  <c r="CY124" i="29"/>
  <c r="CY128" i="31" s="1"/>
  <c r="CX124" i="29"/>
  <c r="CX128" i="31" s="1"/>
  <c r="CW124" i="29"/>
  <c r="CW128" i="31" s="1"/>
  <c r="CV124" i="29"/>
  <c r="CV128" i="31" s="1"/>
  <c r="CU124" i="29"/>
  <c r="CU128" i="31" s="1"/>
  <c r="CT124" i="29"/>
  <c r="CT128" i="31" s="1"/>
  <c r="CS124" i="29"/>
  <c r="CS128" i="31" s="1"/>
  <c r="CR124" i="29"/>
  <c r="CR128" i="31" s="1"/>
  <c r="CQ124" i="29"/>
  <c r="CQ128" i="31" s="1"/>
  <c r="CP124" i="29"/>
  <c r="CP128" i="31" s="1"/>
  <c r="CO124" i="29"/>
  <c r="CO128" i="31" s="1"/>
  <c r="CN124" i="29"/>
  <c r="CN128" i="31" s="1"/>
  <c r="CM124" i="29"/>
  <c r="CM128" i="31" s="1"/>
  <c r="CL124" i="29"/>
  <c r="CL128" i="31" s="1"/>
  <c r="CK124" i="29"/>
  <c r="CK128" i="31" s="1"/>
  <c r="CJ124" i="29"/>
  <c r="CJ128" i="31" s="1"/>
  <c r="CI124" i="29"/>
  <c r="CI128" i="31" s="1"/>
  <c r="CH124" i="29"/>
  <c r="CH128" i="31" s="1"/>
  <c r="CG124" i="29"/>
  <c r="CG128" i="31" s="1"/>
  <c r="CF124" i="29"/>
  <c r="CF128" i="31" s="1"/>
  <c r="CE124" i="29"/>
  <c r="CE128" i="31" s="1"/>
  <c r="CD124" i="29"/>
  <c r="CD128" i="31" s="1"/>
  <c r="CC124" i="29"/>
  <c r="CC128" i="31" s="1"/>
  <c r="CB124" i="29"/>
  <c r="CB128" i="31" s="1"/>
  <c r="CA124" i="29"/>
  <c r="CA128" i="31" s="1"/>
  <c r="BZ124" i="29"/>
  <c r="BZ128" i="31" s="1"/>
  <c r="BY124" i="29"/>
  <c r="BY128" i="31" s="1"/>
  <c r="BX124" i="29"/>
  <c r="BX128" i="31" s="1"/>
  <c r="BW124" i="29"/>
  <c r="BW128" i="31" s="1"/>
  <c r="BV124" i="29"/>
  <c r="BV128" i="31" s="1"/>
  <c r="BU124" i="29"/>
  <c r="BU128" i="31" s="1"/>
  <c r="BT124" i="29"/>
  <c r="BT128" i="31" s="1"/>
  <c r="BS124" i="29"/>
  <c r="BS128" i="31" s="1"/>
  <c r="BR124" i="29"/>
  <c r="BR128" i="31" s="1"/>
  <c r="BQ124" i="29"/>
  <c r="BQ128" i="31" s="1"/>
  <c r="BP124" i="29"/>
  <c r="BP128" i="31" s="1"/>
  <c r="BO124" i="29"/>
  <c r="BO128" i="31" s="1"/>
  <c r="BN124" i="29"/>
  <c r="BN128" i="31" s="1"/>
  <c r="BM124" i="29"/>
  <c r="BM128" i="31" s="1"/>
  <c r="BL124" i="29"/>
  <c r="BL128" i="31" s="1"/>
  <c r="BK124" i="29"/>
  <c r="BK128" i="31" s="1"/>
  <c r="BJ124" i="29"/>
  <c r="BJ128" i="31" s="1"/>
  <c r="BI124" i="29"/>
  <c r="BI128" i="31" s="1"/>
  <c r="BH124" i="29"/>
  <c r="BH128" i="31" s="1"/>
  <c r="BG124" i="29"/>
  <c r="BG128" i="31" s="1"/>
  <c r="BF124" i="29"/>
  <c r="BF128" i="31" s="1"/>
  <c r="BE124" i="29"/>
  <c r="BE128" i="31" s="1"/>
  <c r="BD124" i="29"/>
  <c r="BD128" i="31" s="1"/>
  <c r="BC124" i="29"/>
  <c r="BC128" i="31" s="1"/>
  <c r="BB124" i="29"/>
  <c r="BB128" i="31" s="1"/>
  <c r="BA124" i="29"/>
  <c r="BA128" i="31" s="1"/>
  <c r="AZ124" i="29"/>
  <c r="AZ128" i="31" s="1"/>
  <c r="AY124" i="29"/>
  <c r="AY128" i="31" s="1"/>
  <c r="AX124" i="29"/>
  <c r="AX128" i="31" s="1"/>
  <c r="AW124" i="29"/>
  <c r="AW128" i="31" s="1"/>
  <c r="AV124" i="29"/>
  <c r="AV128" i="31" s="1"/>
  <c r="AU124" i="29"/>
  <c r="AU128" i="31" s="1"/>
  <c r="AT124" i="29"/>
  <c r="AT128" i="31" s="1"/>
  <c r="AS124" i="29"/>
  <c r="AS128" i="31" s="1"/>
  <c r="AR124" i="29"/>
  <c r="AR128" i="31" s="1"/>
  <c r="AQ124" i="29"/>
  <c r="AQ128" i="31" s="1"/>
  <c r="AP124" i="29"/>
  <c r="AP128" i="31" s="1"/>
  <c r="AO124" i="29"/>
  <c r="AO128" i="31" s="1"/>
  <c r="AN124" i="29"/>
  <c r="AN128" i="31" s="1"/>
  <c r="AM124" i="29"/>
  <c r="AM128" i="31" s="1"/>
  <c r="AL124" i="29"/>
  <c r="AL128" i="31" s="1"/>
  <c r="AK124" i="29"/>
  <c r="AK128" i="31" s="1"/>
  <c r="AJ124" i="29"/>
  <c r="AJ128" i="31" s="1"/>
  <c r="AI124" i="29"/>
  <c r="AI128" i="31" s="1"/>
  <c r="AH124" i="29"/>
  <c r="AH128" i="31" s="1"/>
  <c r="AG124" i="29"/>
  <c r="AG128" i="31" s="1"/>
  <c r="AF124" i="29"/>
  <c r="AF128" i="31" s="1"/>
  <c r="AE124" i="29"/>
  <c r="AE128" i="31" s="1"/>
  <c r="AD124" i="29"/>
  <c r="AD128" i="31" s="1"/>
  <c r="AB124" i="29"/>
  <c r="AB128" i="31" s="1"/>
  <c r="AA124" i="29"/>
  <c r="AA128" i="31" s="1"/>
  <c r="Z124" i="29"/>
  <c r="Z128" i="31" s="1"/>
  <c r="Y124" i="29"/>
  <c r="Y128" i="31" s="1"/>
  <c r="X124" i="29"/>
  <c r="X128" i="31" s="1"/>
  <c r="W124" i="29"/>
  <c r="W128" i="31" s="1"/>
  <c r="V124" i="29"/>
  <c r="V128" i="31" s="1"/>
  <c r="U124" i="29"/>
  <c r="U128" i="31" s="1"/>
  <c r="T124" i="29"/>
  <c r="T128" i="31" s="1"/>
  <c r="S124" i="29"/>
  <c r="S128" i="31" s="1"/>
  <c r="R124" i="29"/>
  <c r="R128" i="31" s="1"/>
  <c r="Q124" i="29"/>
  <c r="Q128" i="31" s="1"/>
  <c r="P124" i="29"/>
  <c r="P128" i="31" s="1"/>
  <c r="O124" i="29"/>
  <c r="O128" i="31" s="1"/>
  <c r="N124" i="29"/>
  <c r="N128" i="31" s="1"/>
  <c r="M124" i="29"/>
  <c r="M128" i="31" s="1"/>
  <c r="L124" i="29"/>
  <c r="L128" i="31" s="1"/>
  <c r="K124" i="29"/>
  <c r="K128" i="31" s="1"/>
  <c r="J124" i="29"/>
  <c r="J128" i="31" s="1"/>
  <c r="I124" i="29"/>
  <c r="I128" i="31" s="1"/>
  <c r="H124" i="29"/>
  <c r="H128" i="31" s="1"/>
  <c r="G124" i="29"/>
  <c r="G128" i="31" s="1"/>
  <c r="F124" i="29"/>
  <c r="F128" i="31" s="1"/>
  <c r="E124" i="29"/>
  <c r="E128" i="31" s="1"/>
  <c r="D124" i="29"/>
  <c r="D128" i="31" s="1"/>
  <c r="C124" i="29"/>
  <c r="C128" i="31" s="1"/>
  <c r="JH123" i="29"/>
  <c r="JH127" i="31" s="1"/>
  <c r="JG123" i="29"/>
  <c r="JG127" i="31" s="1"/>
  <c r="JF123" i="29"/>
  <c r="JF127" i="31" s="1"/>
  <c r="JE123" i="29"/>
  <c r="JE127" i="31" s="1"/>
  <c r="JD123" i="29"/>
  <c r="JD127" i="31" s="1"/>
  <c r="JC123" i="29"/>
  <c r="JC127" i="31" s="1"/>
  <c r="JB123" i="29"/>
  <c r="JB127" i="31" s="1"/>
  <c r="JA123" i="29"/>
  <c r="JA127" i="31" s="1"/>
  <c r="IZ123" i="29"/>
  <c r="IZ127" i="31" s="1"/>
  <c r="IY123" i="29"/>
  <c r="IY127" i="31" s="1"/>
  <c r="IX123" i="29"/>
  <c r="IX127" i="31" s="1"/>
  <c r="IW123" i="29"/>
  <c r="IW127" i="31" s="1"/>
  <c r="IV123" i="29"/>
  <c r="IV127" i="31" s="1"/>
  <c r="IU123" i="29"/>
  <c r="IU127" i="31" s="1"/>
  <c r="IT123" i="29"/>
  <c r="IT127" i="31" s="1"/>
  <c r="IS123" i="29"/>
  <c r="IS127" i="31" s="1"/>
  <c r="IR123" i="29"/>
  <c r="IR127" i="31" s="1"/>
  <c r="IQ123" i="29"/>
  <c r="IQ127" i="31" s="1"/>
  <c r="IP123" i="29"/>
  <c r="IP127" i="31" s="1"/>
  <c r="IO123" i="29"/>
  <c r="IO127" i="31" s="1"/>
  <c r="IN123" i="29"/>
  <c r="IN127" i="31" s="1"/>
  <c r="IM123" i="29"/>
  <c r="IM127" i="31" s="1"/>
  <c r="IL123" i="29"/>
  <c r="IL127" i="31" s="1"/>
  <c r="IK123" i="29"/>
  <c r="IK127" i="31" s="1"/>
  <c r="IJ123" i="29"/>
  <c r="IJ127" i="31" s="1"/>
  <c r="II123" i="29"/>
  <c r="II127" i="31" s="1"/>
  <c r="IH123" i="29"/>
  <c r="IH127" i="31" s="1"/>
  <c r="IG123" i="29"/>
  <c r="IG127" i="31" s="1"/>
  <c r="IF123" i="29"/>
  <c r="IF127" i="31" s="1"/>
  <c r="IE123" i="29"/>
  <c r="IE127" i="31" s="1"/>
  <c r="ID123" i="29"/>
  <c r="ID127" i="31" s="1"/>
  <c r="IC123" i="29"/>
  <c r="IC127" i="31" s="1"/>
  <c r="IB123" i="29"/>
  <c r="IB127" i="31" s="1"/>
  <c r="IA123" i="29"/>
  <c r="IA127" i="31" s="1"/>
  <c r="HZ123" i="29"/>
  <c r="HZ127" i="31" s="1"/>
  <c r="HY123" i="29"/>
  <c r="HY127" i="31" s="1"/>
  <c r="HX123" i="29"/>
  <c r="HX127" i="31" s="1"/>
  <c r="HW123" i="29"/>
  <c r="HW127" i="31" s="1"/>
  <c r="HV123" i="29"/>
  <c r="HV127" i="31" s="1"/>
  <c r="HU123" i="29"/>
  <c r="HU127" i="31" s="1"/>
  <c r="HT123" i="29"/>
  <c r="HT127" i="31" s="1"/>
  <c r="HS123" i="29"/>
  <c r="HS127" i="31" s="1"/>
  <c r="HR123" i="29"/>
  <c r="HR127" i="31" s="1"/>
  <c r="HQ123" i="29"/>
  <c r="HQ127" i="31" s="1"/>
  <c r="HP123" i="29"/>
  <c r="HP127" i="31" s="1"/>
  <c r="HO123" i="29"/>
  <c r="HO127" i="31" s="1"/>
  <c r="HN123" i="29"/>
  <c r="HN127" i="31" s="1"/>
  <c r="HM123" i="29"/>
  <c r="HM127" i="31" s="1"/>
  <c r="HL123" i="29"/>
  <c r="HL127" i="31" s="1"/>
  <c r="HK123" i="29"/>
  <c r="HK127" i="31" s="1"/>
  <c r="HJ123" i="29"/>
  <c r="HJ127" i="31" s="1"/>
  <c r="HI123" i="29"/>
  <c r="HI127" i="31" s="1"/>
  <c r="HH123" i="29"/>
  <c r="HH127" i="31" s="1"/>
  <c r="HG123" i="29"/>
  <c r="HG127" i="31" s="1"/>
  <c r="HF123" i="29"/>
  <c r="HF127" i="31" s="1"/>
  <c r="HE123" i="29"/>
  <c r="HE127" i="31" s="1"/>
  <c r="HD123" i="29"/>
  <c r="HD127" i="31" s="1"/>
  <c r="HC123" i="29"/>
  <c r="HC127" i="31" s="1"/>
  <c r="HB123" i="29"/>
  <c r="HB127" i="31" s="1"/>
  <c r="HA123" i="29"/>
  <c r="HA127" i="31" s="1"/>
  <c r="GZ123" i="29"/>
  <c r="GZ127" i="31" s="1"/>
  <c r="GY123" i="29"/>
  <c r="GY127" i="31" s="1"/>
  <c r="GX123" i="29"/>
  <c r="GX127" i="31" s="1"/>
  <c r="GW123" i="29"/>
  <c r="GW127" i="31" s="1"/>
  <c r="GV123" i="29"/>
  <c r="GV127" i="31" s="1"/>
  <c r="GU123" i="29"/>
  <c r="GU127" i="31" s="1"/>
  <c r="GT123" i="29"/>
  <c r="GT127" i="31" s="1"/>
  <c r="GS123" i="29"/>
  <c r="GS127" i="31" s="1"/>
  <c r="GR123" i="29"/>
  <c r="GR127" i="31" s="1"/>
  <c r="GQ123" i="29"/>
  <c r="GQ127" i="31" s="1"/>
  <c r="GP123" i="29"/>
  <c r="GP127" i="31" s="1"/>
  <c r="GO123" i="29"/>
  <c r="GO127" i="31" s="1"/>
  <c r="GN123" i="29"/>
  <c r="GN127" i="31" s="1"/>
  <c r="GM123" i="29"/>
  <c r="GM127" i="31" s="1"/>
  <c r="GL123" i="29"/>
  <c r="GL127" i="31" s="1"/>
  <c r="GK123" i="29"/>
  <c r="GK127" i="31" s="1"/>
  <c r="GJ123" i="29"/>
  <c r="GJ127" i="31" s="1"/>
  <c r="GI123" i="29"/>
  <c r="GI127" i="31" s="1"/>
  <c r="GH123" i="29"/>
  <c r="GH127" i="31" s="1"/>
  <c r="GG123" i="29"/>
  <c r="GG127" i="31" s="1"/>
  <c r="GF123" i="29"/>
  <c r="GF127" i="31" s="1"/>
  <c r="GE123" i="29"/>
  <c r="GE127" i="31" s="1"/>
  <c r="GD123" i="29"/>
  <c r="GD127" i="31" s="1"/>
  <c r="GC123" i="29"/>
  <c r="GC127" i="31" s="1"/>
  <c r="GB123" i="29"/>
  <c r="GB127" i="31" s="1"/>
  <c r="GA123" i="29"/>
  <c r="GA127" i="31" s="1"/>
  <c r="FZ123" i="29"/>
  <c r="FZ127" i="31" s="1"/>
  <c r="FY123" i="29"/>
  <c r="FY127" i="31" s="1"/>
  <c r="FX123" i="29"/>
  <c r="FX127" i="31" s="1"/>
  <c r="FW123" i="29"/>
  <c r="FW127" i="31" s="1"/>
  <c r="FV123" i="29"/>
  <c r="FV127" i="31" s="1"/>
  <c r="FU123" i="29"/>
  <c r="FU127" i="31" s="1"/>
  <c r="FT123" i="29"/>
  <c r="FT127" i="31" s="1"/>
  <c r="FS123" i="29"/>
  <c r="FS127" i="31" s="1"/>
  <c r="FR123" i="29"/>
  <c r="FR127" i="31" s="1"/>
  <c r="FQ123" i="29"/>
  <c r="FQ127" i="31" s="1"/>
  <c r="FP123" i="29"/>
  <c r="FP127" i="31" s="1"/>
  <c r="FO123" i="29"/>
  <c r="FO127" i="31" s="1"/>
  <c r="FN123" i="29"/>
  <c r="FN127" i="31" s="1"/>
  <c r="FM123" i="29"/>
  <c r="FM127" i="31" s="1"/>
  <c r="FL123" i="29"/>
  <c r="FL127" i="31" s="1"/>
  <c r="FK123" i="29"/>
  <c r="FK127" i="31" s="1"/>
  <c r="FJ123" i="29"/>
  <c r="FJ127" i="31" s="1"/>
  <c r="FI123" i="29"/>
  <c r="FI127" i="31" s="1"/>
  <c r="FH123" i="29"/>
  <c r="FH127" i="31" s="1"/>
  <c r="FG123" i="29"/>
  <c r="FG127" i="31" s="1"/>
  <c r="FF123" i="29"/>
  <c r="FF127" i="31" s="1"/>
  <c r="FE123" i="29"/>
  <c r="FE127" i="31" s="1"/>
  <c r="FD123" i="29"/>
  <c r="FD127" i="31" s="1"/>
  <c r="FC123" i="29"/>
  <c r="FC127" i="31" s="1"/>
  <c r="FB123" i="29"/>
  <c r="FB127" i="31" s="1"/>
  <c r="FA123" i="29"/>
  <c r="FA127" i="31" s="1"/>
  <c r="EZ123" i="29"/>
  <c r="EZ127" i="31" s="1"/>
  <c r="EY123" i="29"/>
  <c r="EY127" i="31" s="1"/>
  <c r="EX123" i="29"/>
  <c r="EX127" i="31" s="1"/>
  <c r="EW123" i="29"/>
  <c r="EW127" i="31" s="1"/>
  <c r="EV123" i="29"/>
  <c r="EV127" i="31" s="1"/>
  <c r="EU123" i="29"/>
  <c r="EU127" i="31" s="1"/>
  <c r="ET123" i="29"/>
  <c r="ET127" i="31" s="1"/>
  <c r="ES123" i="29"/>
  <c r="ES127" i="31" s="1"/>
  <c r="ER123" i="29"/>
  <c r="ER127" i="31" s="1"/>
  <c r="EQ123" i="29"/>
  <c r="EQ127" i="31" s="1"/>
  <c r="EP123" i="29"/>
  <c r="EP127" i="31" s="1"/>
  <c r="EO123" i="29"/>
  <c r="EO127" i="31" s="1"/>
  <c r="EN123" i="29"/>
  <c r="EN127" i="31" s="1"/>
  <c r="EM123" i="29"/>
  <c r="EM127" i="31" s="1"/>
  <c r="EL123" i="29"/>
  <c r="EL127" i="31" s="1"/>
  <c r="EK123" i="29"/>
  <c r="EK127" i="31" s="1"/>
  <c r="EJ123" i="29"/>
  <c r="EJ127" i="31" s="1"/>
  <c r="EI123" i="29"/>
  <c r="EI127" i="31" s="1"/>
  <c r="EH123" i="29"/>
  <c r="EH127" i="31" s="1"/>
  <c r="EG123" i="29"/>
  <c r="EG127" i="31" s="1"/>
  <c r="EF123" i="29"/>
  <c r="EF127" i="31" s="1"/>
  <c r="EE123" i="29"/>
  <c r="EE127" i="31" s="1"/>
  <c r="ED123" i="29"/>
  <c r="ED127" i="31" s="1"/>
  <c r="EC123" i="29"/>
  <c r="EC127" i="31" s="1"/>
  <c r="EB123" i="29"/>
  <c r="EB127" i="31" s="1"/>
  <c r="EA123" i="29"/>
  <c r="EA127" i="31" s="1"/>
  <c r="DZ123" i="29"/>
  <c r="DZ127" i="31" s="1"/>
  <c r="DY123" i="29"/>
  <c r="DY127" i="31" s="1"/>
  <c r="DX123" i="29"/>
  <c r="DX127" i="31" s="1"/>
  <c r="DW123" i="29"/>
  <c r="DW127" i="31" s="1"/>
  <c r="DV123" i="29"/>
  <c r="DV127" i="31" s="1"/>
  <c r="DU123" i="29"/>
  <c r="DU127" i="31" s="1"/>
  <c r="DT123" i="29"/>
  <c r="DT127" i="31" s="1"/>
  <c r="DS123" i="29"/>
  <c r="DS127" i="31" s="1"/>
  <c r="DR123" i="29"/>
  <c r="DR127" i="31" s="1"/>
  <c r="DQ123" i="29"/>
  <c r="DQ127" i="31" s="1"/>
  <c r="DP123" i="29"/>
  <c r="DP127" i="31" s="1"/>
  <c r="DO123" i="29"/>
  <c r="DO127" i="31" s="1"/>
  <c r="DN123" i="29"/>
  <c r="DN127" i="31" s="1"/>
  <c r="DM123" i="29"/>
  <c r="DM127" i="31" s="1"/>
  <c r="DL123" i="29"/>
  <c r="DL127" i="31" s="1"/>
  <c r="DK123" i="29"/>
  <c r="DK127" i="31" s="1"/>
  <c r="DJ123" i="29"/>
  <c r="DJ127" i="31" s="1"/>
  <c r="DI123" i="29"/>
  <c r="DI127" i="31" s="1"/>
  <c r="DH123" i="29"/>
  <c r="DH127" i="31" s="1"/>
  <c r="DG123" i="29"/>
  <c r="DG127" i="31" s="1"/>
  <c r="DF123" i="29"/>
  <c r="DF127" i="31" s="1"/>
  <c r="DE123" i="29"/>
  <c r="DE127" i="31" s="1"/>
  <c r="DD123" i="29"/>
  <c r="DD127" i="31" s="1"/>
  <c r="DC123" i="29"/>
  <c r="DC127" i="31" s="1"/>
  <c r="DB123" i="29"/>
  <c r="DB127" i="31" s="1"/>
  <c r="DA123" i="29"/>
  <c r="DA127" i="31" s="1"/>
  <c r="CZ123" i="29"/>
  <c r="CZ127" i="31" s="1"/>
  <c r="CY123" i="29"/>
  <c r="CY127" i="31" s="1"/>
  <c r="CX123" i="29"/>
  <c r="CX127" i="31" s="1"/>
  <c r="CW123" i="29"/>
  <c r="CW127" i="31" s="1"/>
  <c r="CV123" i="29"/>
  <c r="CV127" i="31" s="1"/>
  <c r="CU123" i="29"/>
  <c r="CU127" i="31" s="1"/>
  <c r="CT123" i="29"/>
  <c r="CT127" i="31" s="1"/>
  <c r="CS123" i="29"/>
  <c r="CS127" i="31" s="1"/>
  <c r="CR123" i="29"/>
  <c r="CR127" i="31" s="1"/>
  <c r="CQ123" i="29"/>
  <c r="CQ127" i="31" s="1"/>
  <c r="CP123" i="29"/>
  <c r="CP127" i="31" s="1"/>
  <c r="CO123" i="29"/>
  <c r="CO127" i="31" s="1"/>
  <c r="CN123" i="29"/>
  <c r="CN127" i="31" s="1"/>
  <c r="CM123" i="29"/>
  <c r="CM127" i="31" s="1"/>
  <c r="CL123" i="29"/>
  <c r="CL127" i="31" s="1"/>
  <c r="CK123" i="29"/>
  <c r="CK127" i="31" s="1"/>
  <c r="CJ123" i="29"/>
  <c r="CJ127" i="31" s="1"/>
  <c r="CI123" i="29"/>
  <c r="CI127" i="31" s="1"/>
  <c r="CH123" i="29"/>
  <c r="CH127" i="31" s="1"/>
  <c r="CG123" i="29"/>
  <c r="CG127" i="31" s="1"/>
  <c r="CF123" i="29"/>
  <c r="CF127" i="31" s="1"/>
  <c r="CE123" i="29"/>
  <c r="CE127" i="31" s="1"/>
  <c r="CD123" i="29"/>
  <c r="CD127" i="31" s="1"/>
  <c r="CC123" i="29"/>
  <c r="CC127" i="31" s="1"/>
  <c r="CB123" i="29"/>
  <c r="CB127" i="31" s="1"/>
  <c r="CA123" i="29"/>
  <c r="CA127" i="31" s="1"/>
  <c r="BZ123" i="29"/>
  <c r="BZ127" i="31" s="1"/>
  <c r="BY123" i="29"/>
  <c r="BY127" i="31" s="1"/>
  <c r="BX123" i="29"/>
  <c r="BX127" i="31" s="1"/>
  <c r="BW123" i="29"/>
  <c r="BW127" i="31" s="1"/>
  <c r="BV123" i="29"/>
  <c r="BV127" i="31" s="1"/>
  <c r="BU123" i="29"/>
  <c r="BU127" i="31" s="1"/>
  <c r="BT123" i="29"/>
  <c r="BT127" i="31" s="1"/>
  <c r="BS123" i="29"/>
  <c r="BS127" i="31" s="1"/>
  <c r="BR123" i="29"/>
  <c r="BR127" i="31" s="1"/>
  <c r="BQ123" i="29"/>
  <c r="BQ127" i="31" s="1"/>
  <c r="BP123" i="29"/>
  <c r="BP127" i="31" s="1"/>
  <c r="BO123" i="29"/>
  <c r="BO127" i="31" s="1"/>
  <c r="BN123" i="29"/>
  <c r="BN127" i="31" s="1"/>
  <c r="BM123" i="29"/>
  <c r="BM127" i="31" s="1"/>
  <c r="BL123" i="29"/>
  <c r="BL127" i="31" s="1"/>
  <c r="BK123" i="29"/>
  <c r="BK127" i="31" s="1"/>
  <c r="BJ123" i="29"/>
  <c r="BJ127" i="31" s="1"/>
  <c r="BI123" i="29"/>
  <c r="BI127" i="31" s="1"/>
  <c r="BH123" i="29"/>
  <c r="BH127" i="31" s="1"/>
  <c r="BG123" i="29"/>
  <c r="BG127" i="31" s="1"/>
  <c r="BF123" i="29"/>
  <c r="BF127" i="31" s="1"/>
  <c r="BE123" i="29"/>
  <c r="BE127" i="31" s="1"/>
  <c r="BD123" i="29"/>
  <c r="BD127" i="31" s="1"/>
  <c r="BC123" i="29"/>
  <c r="BC127" i="31" s="1"/>
  <c r="BB123" i="29"/>
  <c r="BB127" i="31" s="1"/>
  <c r="BA123" i="29"/>
  <c r="BA127" i="31" s="1"/>
  <c r="AZ123" i="29"/>
  <c r="AZ127" i="31" s="1"/>
  <c r="AY123" i="29"/>
  <c r="AY127" i="31" s="1"/>
  <c r="AX123" i="29"/>
  <c r="AX127" i="31" s="1"/>
  <c r="AW123" i="29"/>
  <c r="AW127" i="31" s="1"/>
  <c r="AV123" i="29"/>
  <c r="AV127" i="31" s="1"/>
  <c r="AU123" i="29"/>
  <c r="AU127" i="31" s="1"/>
  <c r="AT123" i="29"/>
  <c r="AT127" i="31" s="1"/>
  <c r="AS123" i="29"/>
  <c r="AS127" i="31" s="1"/>
  <c r="AR123" i="29"/>
  <c r="AR127" i="31" s="1"/>
  <c r="AQ123" i="29"/>
  <c r="AQ127" i="31" s="1"/>
  <c r="AP123" i="29"/>
  <c r="AP127" i="31" s="1"/>
  <c r="AO123" i="29"/>
  <c r="AO127" i="31" s="1"/>
  <c r="AN123" i="29"/>
  <c r="AN127" i="31" s="1"/>
  <c r="AM123" i="29"/>
  <c r="AM127" i="31" s="1"/>
  <c r="AL123" i="29"/>
  <c r="AL127" i="31" s="1"/>
  <c r="AK123" i="29"/>
  <c r="AK127" i="31" s="1"/>
  <c r="AJ123" i="29"/>
  <c r="AJ127" i="31" s="1"/>
  <c r="AI123" i="29"/>
  <c r="AI127" i="31" s="1"/>
  <c r="AH123" i="29"/>
  <c r="AH127" i="31" s="1"/>
  <c r="AG123" i="29"/>
  <c r="AG127" i="31" s="1"/>
  <c r="AF123" i="29"/>
  <c r="AF127" i="31" s="1"/>
  <c r="AE123" i="29"/>
  <c r="AE127" i="31" s="1"/>
  <c r="AD123" i="29"/>
  <c r="AD127" i="31" s="1"/>
  <c r="AB123" i="29"/>
  <c r="AB127" i="31" s="1"/>
  <c r="AA123" i="29"/>
  <c r="AA127" i="31" s="1"/>
  <c r="Z123" i="29"/>
  <c r="Z127" i="31" s="1"/>
  <c r="Y123" i="29"/>
  <c r="Y127" i="31" s="1"/>
  <c r="X123" i="29"/>
  <c r="X127" i="31" s="1"/>
  <c r="W123" i="29"/>
  <c r="W127" i="31" s="1"/>
  <c r="V123" i="29"/>
  <c r="V127" i="31" s="1"/>
  <c r="U123" i="29"/>
  <c r="U127" i="31" s="1"/>
  <c r="T123" i="29"/>
  <c r="T127" i="31" s="1"/>
  <c r="S123" i="29"/>
  <c r="S127" i="31" s="1"/>
  <c r="R123" i="29"/>
  <c r="R127" i="31" s="1"/>
  <c r="Q123" i="29"/>
  <c r="Q127" i="31" s="1"/>
  <c r="P123" i="29"/>
  <c r="P127" i="31" s="1"/>
  <c r="O123" i="29"/>
  <c r="O127" i="31" s="1"/>
  <c r="N123" i="29"/>
  <c r="N127" i="31" s="1"/>
  <c r="M123" i="29"/>
  <c r="M127" i="31" s="1"/>
  <c r="L123" i="29"/>
  <c r="L127" i="31" s="1"/>
  <c r="K123" i="29"/>
  <c r="K127" i="31" s="1"/>
  <c r="J123" i="29"/>
  <c r="J127" i="31" s="1"/>
  <c r="I123" i="29"/>
  <c r="I127" i="31" s="1"/>
  <c r="H123" i="29"/>
  <c r="H127" i="31" s="1"/>
  <c r="G123" i="29"/>
  <c r="G127" i="31" s="1"/>
  <c r="F123" i="29"/>
  <c r="F127" i="31" s="1"/>
  <c r="E123" i="29"/>
  <c r="E127" i="31" s="1"/>
  <c r="D123" i="29"/>
  <c r="D127" i="31" s="1"/>
  <c r="C123" i="29"/>
  <c r="C127" i="31" s="1"/>
  <c r="JH122" i="29"/>
  <c r="JH126" i="31" s="1"/>
  <c r="JG122" i="29"/>
  <c r="JG126" i="31" s="1"/>
  <c r="JF122" i="29"/>
  <c r="JF126" i="31" s="1"/>
  <c r="JE122" i="29"/>
  <c r="JE126" i="31" s="1"/>
  <c r="JD122" i="29"/>
  <c r="JD126" i="31" s="1"/>
  <c r="JC122" i="29"/>
  <c r="JC126" i="31" s="1"/>
  <c r="JB122" i="29"/>
  <c r="JB126" i="31" s="1"/>
  <c r="JA122" i="29"/>
  <c r="JA126" i="31" s="1"/>
  <c r="IZ122" i="29"/>
  <c r="IZ126" i="31" s="1"/>
  <c r="IY122" i="29"/>
  <c r="IY126" i="31" s="1"/>
  <c r="IX122" i="29"/>
  <c r="IX126" i="31" s="1"/>
  <c r="IW122" i="29"/>
  <c r="IW126" i="31" s="1"/>
  <c r="IV122" i="29"/>
  <c r="IV126" i="31" s="1"/>
  <c r="IU122" i="29"/>
  <c r="IU126" i="31" s="1"/>
  <c r="IT122" i="29"/>
  <c r="IT126" i="31" s="1"/>
  <c r="IS122" i="29"/>
  <c r="IS126" i="31" s="1"/>
  <c r="IR122" i="29"/>
  <c r="IR126" i="31" s="1"/>
  <c r="IQ122" i="29"/>
  <c r="IQ126" i="31" s="1"/>
  <c r="IP122" i="29"/>
  <c r="IP126" i="31" s="1"/>
  <c r="IO122" i="29"/>
  <c r="IO126" i="31" s="1"/>
  <c r="IN122" i="29"/>
  <c r="IN126" i="31" s="1"/>
  <c r="IM122" i="29"/>
  <c r="IM126" i="31" s="1"/>
  <c r="IL122" i="29"/>
  <c r="IL126" i="31" s="1"/>
  <c r="IK122" i="29"/>
  <c r="IK126" i="31" s="1"/>
  <c r="IJ122" i="29"/>
  <c r="IJ126" i="31" s="1"/>
  <c r="II122" i="29"/>
  <c r="II126" i="31" s="1"/>
  <c r="IH122" i="29"/>
  <c r="IH126" i="31" s="1"/>
  <c r="IG122" i="29"/>
  <c r="IG126" i="31" s="1"/>
  <c r="IF122" i="29"/>
  <c r="IF126" i="31" s="1"/>
  <c r="IE122" i="29"/>
  <c r="IE126" i="31" s="1"/>
  <c r="ID122" i="29"/>
  <c r="ID126" i="31" s="1"/>
  <c r="IC122" i="29"/>
  <c r="IC126" i="31" s="1"/>
  <c r="IB122" i="29"/>
  <c r="IB126" i="31" s="1"/>
  <c r="IA122" i="29"/>
  <c r="IA126" i="31" s="1"/>
  <c r="HZ122" i="29"/>
  <c r="HZ126" i="31" s="1"/>
  <c r="HY122" i="29"/>
  <c r="HY126" i="31" s="1"/>
  <c r="HX122" i="29"/>
  <c r="HX126" i="31" s="1"/>
  <c r="HW122" i="29"/>
  <c r="HW126" i="31" s="1"/>
  <c r="HV122" i="29"/>
  <c r="HV126" i="31" s="1"/>
  <c r="HU122" i="29"/>
  <c r="HU126" i="31" s="1"/>
  <c r="HT122" i="29"/>
  <c r="HT126" i="31" s="1"/>
  <c r="HS122" i="29"/>
  <c r="HS126" i="31" s="1"/>
  <c r="HR122" i="29"/>
  <c r="HR126" i="31" s="1"/>
  <c r="HQ122" i="29"/>
  <c r="HQ126" i="31" s="1"/>
  <c r="HP122" i="29"/>
  <c r="HP126" i="31" s="1"/>
  <c r="HO122" i="29"/>
  <c r="HO126" i="31" s="1"/>
  <c r="HN122" i="29"/>
  <c r="HN126" i="31" s="1"/>
  <c r="HM122" i="29"/>
  <c r="HM126" i="31" s="1"/>
  <c r="HL122" i="29"/>
  <c r="HL126" i="31" s="1"/>
  <c r="HK122" i="29"/>
  <c r="HK126" i="31" s="1"/>
  <c r="HJ122" i="29"/>
  <c r="HJ126" i="31" s="1"/>
  <c r="HI122" i="29"/>
  <c r="HI126" i="31" s="1"/>
  <c r="HH122" i="29"/>
  <c r="HH126" i="31" s="1"/>
  <c r="HG122" i="29"/>
  <c r="HG126" i="31" s="1"/>
  <c r="HF122" i="29"/>
  <c r="HF126" i="31" s="1"/>
  <c r="HE122" i="29"/>
  <c r="HE126" i="31" s="1"/>
  <c r="HD122" i="29"/>
  <c r="HD126" i="31" s="1"/>
  <c r="HC122" i="29"/>
  <c r="HC126" i="31" s="1"/>
  <c r="HB122" i="29"/>
  <c r="HB126" i="31" s="1"/>
  <c r="HA122" i="29"/>
  <c r="HA126" i="31" s="1"/>
  <c r="GZ122" i="29"/>
  <c r="GZ126" i="31" s="1"/>
  <c r="GY122" i="29"/>
  <c r="GY126" i="31" s="1"/>
  <c r="GX122" i="29"/>
  <c r="GX126" i="31" s="1"/>
  <c r="GW122" i="29"/>
  <c r="GW126" i="31" s="1"/>
  <c r="GV122" i="29"/>
  <c r="GV126" i="31" s="1"/>
  <c r="GU122" i="29"/>
  <c r="GU126" i="31" s="1"/>
  <c r="GT122" i="29"/>
  <c r="GT126" i="31" s="1"/>
  <c r="GS122" i="29"/>
  <c r="GS126" i="31" s="1"/>
  <c r="GR122" i="29"/>
  <c r="GR126" i="31" s="1"/>
  <c r="GQ122" i="29"/>
  <c r="GQ126" i="31" s="1"/>
  <c r="GP122" i="29"/>
  <c r="GP126" i="31" s="1"/>
  <c r="GO122" i="29"/>
  <c r="GO126" i="31" s="1"/>
  <c r="GN122" i="29"/>
  <c r="GN126" i="31" s="1"/>
  <c r="GM122" i="29"/>
  <c r="GM126" i="31" s="1"/>
  <c r="GL122" i="29"/>
  <c r="GL126" i="31" s="1"/>
  <c r="GK122" i="29"/>
  <c r="GK126" i="31" s="1"/>
  <c r="GJ122" i="29"/>
  <c r="GJ126" i="31" s="1"/>
  <c r="GI122" i="29"/>
  <c r="GI126" i="31" s="1"/>
  <c r="GH122" i="29"/>
  <c r="GH126" i="31" s="1"/>
  <c r="GG122" i="29"/>
  <c r="GG126" i="31" s="1"/>
  <c r="GF122" i="29"/>
  <c r="GF126" i="31" s="1"/>
  <c r="GE122" i="29"/>
  <c r="GE126" i="31" s="1"/>
  <c r="GD122" i="29"/>
  <c r="GD126" i="31" s="1"/>
  <c r="GC122" i="29"/>
  <c r="GC126" i="31" s="1"/>
  <c r="GB122" i="29"/>
  <c r="GB126" i="31" s="1"/>
  <c r="GA122" i="29"/>
  <c r="GA126" i="31" s="1"/>
  <c r="FZ122" i="29"/>
  <c r="FZ126" i="31" s="1"/>
  <c r="FY122" i="29"/>
  <c r="FY126" i="31" s="1"/>
  <c r="FX122" i="29"/>
  <c r="FX126" i="31" s="1"/>
  <c r="FW122" i="29"/>
  <c r="FW126" i="31" s="1"/>
  <c r="FV122" i="29"/>
  <c r="FV126" i="31" s="1"/>
  <c r="FU122" i="29"/>
  <c r="FU126" i="31" s="1"/>
  <c r="FT122" i="29"/>
  <c r="FT126" i="31" s="1"/>
  <c r="FS122" i="29"/>
  <c r="FS126" i="31" s="1"/>
  <c r="FR122" i="29"/>
  <c r="FR126" i="31" s="1"/>
  <c r="FQ122" i="29"/>
  <c r="FQ126" i="31" s="1"/>
  <c r="FP122" i="29"/>
  <c r="FP126" i="31" s="1"/>
  <c r="FO122" i="29"/>
  <c r="FO126" i="31" s="1"/>
  <c r="FN122" i="29"/>
  <c r="FN126" i="31" s="1"/>
  <c r="FM122" i="29"/>
  <c r="FM126" i="31" s="1"/>
  <c r="FL122" i="29"/>
  <c r="FL126" i="31" s="1"/>
  <c r="FK122" i="29"/>
  <c r="FK126" i="31" s="1"/>
  <c r="FJ122" i="29"/>
  <c r="FJ126" i="31" s="1"/>
  <c r="FI122" i="29"/>
  <c r="FI126" i="31" s="1"/>
  <c r="FH122" i="29"/>
  <c r="FH126" i="31" s="1"/>
  <c r="FG122" i="29"/>
  <c r="FG126" i="31" s="1"/>
  <c r="FF122" i="29"/>
  <c r="FF126" i="31" s="1"/>
  <c r="FE122" i="29"/>
  <c r="FE126" i="31" s="1"/>
  <c r="FD122" i="29"/>
  <c r="FD126" i="31" s="1"/>
  <c r="FC122" i="29"/>
  <c r="FC126" i="31" s="1"/>
  <c r="FB122" i="29"/>
  <c r="FB126" i="31" s="1"/>
  <c r="FA122" i="29"/>
  <c r="FA126" i="31" s="1"/>
  <c r="EZ122" i="29"/>
  <c r="EZ126" i="31" s="1"/>
  <c r="EY122" i="29"/>
  <c r="EY126" i="31" s="1"/>
  <c r="EX122" i="29"/>
  <c r="EX126" i="31" s="1"/>
  <c r="EW122" i="29"/>
  <c r="EW126" i="31" s="1"/>
  <c r="EV122" i="29"/>
  <c r="EV126" i="31" s="1"/>
  <c r="EU122" i="29"/>
  <c r="EU126" i="31" s="1"/>
  <c r="ET122" i="29"/>
  <c r="ET126" i="31" s="1"/>
  <c r="ES122" i="29"/>
  <c r="ES126" i="31" s="1"/>
  <c r="ER122" i="29"/>
  <c r="ER126" i="31" s="1"/>
  <c r="EQ122" i="29"/>
  <c r="EQ126" i="31" s="1"/>
  <c r="EP122" i="29"/>
  <c r="EP126" i="31" s="1"/>
  <c r="EO122" i="29"/>
  <c r="EO126" i="31" s="1"/>
  <c r="EN122" i="29"/>
  <c r="EN126" i="31" s="1"/>
  <c r="EM122" i="29"/>
  <c r="EM126" i="31" s="1"/>
  <c r="EL122" i="29"/>
  <c r="EL126" i="31" s="1"/>
  <c r="EK122" i="29"/>
  <c r="EK126" i="31" s="1"/>
  <c r="EJ122" i="29"/>
  <c r="EJ126" i="31" s="1"/>
  <c r="EI122" i="29"/>
  <c r="EI126" i="31" s="1"/>
  <c r="EH122" i="29"/>
  <c r="EH126" i="31" s="1"/>
  <c r="EG122" i="29"/>
  <c r="EG126" i="31" s="1"/>
  <c r="EF122" i="29"/>
  <c r="EF126" i="31" s="1"/>
  <c r="EE122" i="29"/>
  <c r="EE126" i="31" s="1"/>
  <c r="ED122" i="29"/>
  <c r="ED126" i="31" s="1"/>
  <c r="EC122" i="29"/>
  <c r="EC126" i="31" s="1"/>
  <c r="EB122" i="29"/>
  <c r="EB126" i="31" s="1"/>
  <c r="EA122" i="29"/>
  <c r="EA126" i="31" s="1"/>
  <c r="DZ122" i="29"/>
  <c r="DZ126" i="31" s="1"/>
  <c r="DY122" i="29"/>
  <c r="DY126" i="31" s="1"/>
  <c r="DX122" i="29"/>
  <c r="DX126" i="31" s="1"/>
  <c r="DW122" i="29"/>
  <c r="DW126" i="31" s="1"/>
  <c r="DV122" i="29"/>
  <c r="DV126" i="31" s="1"/>
  <c r="DU122" i="29"/>
  <c r="DU126" i="31" s="1"/>
  <c r="DT122" i="29"/>
  <c r="DT126" i="31" s="1"/>
  <c r="DS122" i="29"/>
  <c r="DS126" i="31" s="1"/>
  <c r="DR122" i="29"/>
  <c r="DR126" i="31" s="1"/>
  <c r="DQ122" i="29"/>
  <c r="DQ126" i="31" s="1"/>
  <c r="DP122" i="29"/>
  <c r="DP126" i="31" s="1"/>
  <c r="DO122" i="29"/>
  <c r="DO126" i="31" s="1"/>
  <c r="DN122" i="29"/>
  <c r="DN126" i="31" s="1"/>
  <c r="DM122" i="29"/>
  <c r="DM126" i="31" s="1"/>
  <c r="DL122" i="29"/>
  <c r="DL126" i="31" s="1"/>
  <c r="DK122" i="29"/>
  <c r="DK126" i="31" s="1"/>
  <c r="DJ122" i="29"/>
  <c r="DJ126" i="31" s="1"/>
  <c r="DI122" i="29"/>
  <c r="DI126" i="31" s="1"/>
  <c r="DH122" i="29"/>
  <c r="DH126" i="31" s="1"/>
  <c r="DG122" i="29"/>
  <c r="DG126" i="31" s="1"/>
  <c r="DF122" i="29"/>
  <c r="DF126" i="31" s="1"/>
  <c r="DE122" i="29"/>
  <c r="DE126" i="31" s="1"/>
  <c r="DD122" i="29"/>
  <c r="DD126" i="31" s="1"/>
  <c r="DC122" i="29"/>
  <c r="DC126" i="31" s="1"/>
  <c r="DB122" i="29"/>
  <c r="DB126" i="31" s="1"/>
  <c r="DA122" i="29"/>
  <c r="DA126" i="31" s="1"/>
  <c r="CZ122" i="29"/>
  <c r="CZ126" i="31" s="1"/>
  <c r="CY122" i="29"/>
  <c r="CY126" i="31" s="1"/>
  <c r="CX122" i="29"/>
  <c r="CX126" i="31" s="1"/>
  <c r="CW122" i="29"/>
  <c r="CW126" i="31" s="1"/>
  <c r="CV122" i="29"/>
  <c r="CV126" i="31" s="1"/>
  <c r="CU122" i="29"/>
  <c r="CU126" i="31" s="1"/>
  <c r="CT122" i="29"/>
  <c r="CT126" i="31" s="1"/>
  <c r="CS122" i="29"/>
  <c r="CS126" i="31" s="1"/>
  <c r="CR122" i="29"/>
  <c r="CR126" i="31" s="1"/>
  <c r="CQ122" i="29"/>
  <c r="CQ126" i="31" s="1"/>
  <c r="CP122" i="29"/>
  <c r="CP126" i="31" s="1"/>
  <c r="CO122" i="29"/>
  <c r="CO126" i="31" s="1"/>
  <c r="CN122" i="29"/>
  <c r="CN126" i="31" s="1"/>
  <c r="CM122" i="29"/>
  <c r="CM126" i="31" s="1"/>
  <c r="CL122" i="29"/>
  <c r="CL126" i="31" s="1"/>
  <c r="CK122" i="29"/>
  <c r="CK126" i="31" s="1"/>
  <c r="CJ122" i="29"/>
  <c r="CJ126" i="31" s="1"/>
  <c r="CI122" i="29"/>
  <c r="CI126" i="31" s="1"/>
  <c r="CH122" i="29"/>
  <c r="CH126" i="31" s="1"/>
  <c r="CG122" i="29"/>
  <c r="CG126" i="31" s="1"/>
  <c r="CF122" i="29"/>
  <c r="CF126" i="31" s="1"/>
  <c r="CE122" i="29"/>
  <c r="CE126" i="31" s="1"/>
  <c r="CD122" i="29"/>
  <c r="CD126" i="31" s="1"/>
  <c r="CC122" i="29"/>
  <c r="CC126" i="31" s="1"/>
  <c r="CB122" i="29"/>
  <c r="CB126" i="31" s="1"/>
  <c r="CA122" i="29"/>
  <c r="CA126" i="31" s="1"/>
  <c r="BZ122" i="29"/>
  <c r="BZ126" i="31" s="1"/>
  <c r="BY122" i="29"/>
  <c r="BY126" i="31" s="1"/>
  <c r="BX122" i="29"/>
  <c r="BX126" i="31" s="1"/>
  <c r="BW122" i="29"/>
  <c r="BW126" i="31" s="1"/>
  <c r="BV122" i="29"/>
  <c r="BV126" i="31" s="1"/>
  <c r="BU122" i="29"/>
  <c r="BU126" i="31" s="1"/>
  <c r="BT122" i="29"/>
  <c r="BT126" i="31" s="1"/>
  <c r="BS122" i="29"/>
  <c r="BS126" i="31" s="1"/>
  <c r="BR122" i="29"/>
  <c r="BR126" i="31" s="1"/>
  <c r="BQ122" i="29"/>
  <c r="BQ126" i="31" s="1"/>
  <c r="BP122" i="29"/>
  <c r="BP126" i="31" s="1"/>
  <c r="BO122" i="29"/>
  <c r="BO126" i="31" s="1"/>
  <c r="BN122" i="29"/>
  <c r="BN126" i="31" s="1"/>
  <c r="BM122" i="29"/>
  <c r="BM126" i="31" s="1"/>
  <c r="BL122" i="29"/>
  <c r="BL126" i="31" s="1"/>
  <c r="BK122" i="29"/>
  <c r="BK126" i="31" s="1"/>
  <c r="BJ122" i="29"/>
  <c r="BJ126" i="31" s="1"/>
  <c r="BI122" i="29"/>
  <c r="BI126" i="31" s="1"/>
  <c r="BH122" i="29"/>
  <c r="BH126" i="31" s="1"/>
  <c r="BG122" i="29"/>
  <c r="BG126" i="31" s="1"/>
  <c r="BF122" i="29"/>
  <c r="BF126" i="31" s="1"/>
  <c r="BE122" i="29"/>
  <c r="BE126" i="31" s="1"/>
  <c r="BD122" i="29"/>
  <c r="BD126" i="31" s="1"/>
  <c r="BC122" i="29"/>
  <c r="BC126" i="31" s="1"/>
  <c r="BB122" i="29"/>
  <c r="BB126" i="31" s="1"/>
  <c r="BA122" i="29"/>
  <c r="BA126" i="31" s="1"/>
  <c r="AZ122" i="29"/>
  <c r="AZ126" i="31" s="1"/>
  <c r="AY122" i="29"/>
  <c r="AY126" i="31" s="1"/>
  <c r="AX122" i="29"/>
  <c r="AX126" i="31" s="1"/>
  <c r="AW122" i="29"/>
  <c r="AW126" i="31" s="1"/>
  <c r="AV122" i="29"/>
  <c r="AV126" i="31" s="1"/>
  <c r="AU122" i="29"/>
  <c r="AU126" i="31" s="1"/>
  <c r="AT122" i="29"/>
  <c r="AT126" i="31" s="1"/>
  <c r="AS122" i="29"/>
  <c r="AS126" i="31" s="1"/>
  <c r="AR122" i="29"/>
  <c r="AR126" i="31" s="1"/>
  <c r="AQ122" i="29"/>
  <c r="AQ126" i="31" s="1"/>
  <c r="AP122" i="29"/>
  <c r="AP126" i="31" s="1"/>
  <c r="AO122" i="29"/>
  <c r="AO126" i="31" s="1"/>
  <c r="AN122" i="29"/>
  <c r="AN126" i="31" s="1"/>
  <c r="AM122" i="29"/>
  <c r="AM126" i="31" s="1"/>
  <c r="AL122" i="29"/>
  <c r="AL126" i="31" s="1"/>
  <c r="AK122" i="29"/>
  <c r="AK126" i="31" s="1"/>
  <c r="AJ122" i="29"/>
  <c r="AJ126" i="31" s="1"/>
  <c r="AI122" i="29"/>
  <c r="AI126" i="31" s="1"/>
  <c r="AH122" i="29"/>
  <c r="AH126" i="31" s="1"/>
  <c r="AG122" i="29"/>
  <c r="AG126" i="31" s="1"/>
  <c r="AF122" i="29"/>
  <c r="AF126" i="31" s="1"/>
  <c r="AE122" i="29"/>
  <c r="AE126" i="31" s="1"/>
  <c r="AD122" i="29"/>
  <c r="AD126" i="31" s="1"/>
  <c r="AB122" i="29"/>
  <c r="AB126" i="31" s="1"/>
  <c r="AA122" i="29"/>
  <c r="AA126" i="31" s="1"/>
  <c r="Z122" i="29"/>
  <c r="Z126" i="31" s="1"/>
  <c r="Y122" i="29"/>
  <c r="Y126" i="31" s="1"/>
  <c r="X122" i="29"/>
  <c r="X126" i="31" s="1"/>
  <c r="W122" i="29"/>
  <c r="W126" i="31" s="1"/>
  <c r="V122" i="29"/>
  <c r="V126" i="31" s="1"/>
  <c r="U122" i="29"/>
  <c r="U126" i="31" s="1"/>
  <c r="T122" i="29"/>
  <c r="T126" i="31" s="1"/>
  <c r="S122" i="29"/>
  <c r="S126" i="31" s="1"/>
  <c r="R122" i="29"/>
  <c r="R126" i="31" s="1"/>
  <c r="Q122" i="29"/>
  <c r="Q126" i="31" s="1"/>
  <c r="P122" i="29"/>
  <c r="P126" i="31" s="1"/>
  <c r="O122" i="29"/>
  <c r="O126" i="31" s="1"/>
  <c r="N122" i="29"/>
  <c r="N126" i="31" s="1"/>
  <c r="M122" i="29"/>
  <c r="M126" i="31" s="1"/>
  <c r="L122" i="29"/>
  <c r="L126" i="31" s="1"/>
  <c r="K122" i="29"/>
  <c r="K126" i="31" s="1"/>
  <c r="J122" i="29"/>
  <c r="J126" i="31" s="1"/>
  <c r="I122" i="29"/>
  <c r="I126" i="31" s="1"/>
  <c r="H122" i="29"/>
  <c r="H126" i="31" s="1"/>
  <c r="G122" i="29"/>
  <c r="G126" i="31" s="1"/>
  <c r="F122" i="29"/>
  <c r="F126" i="31" s="1"/>
  <c r="E122" i="29"/>
  <c r="E126" i="31" s="1"/>
  <c r="D122" i="29"/>
  <c r="D126" i="31" s="1"/>
  <c r="C122" i="29"/>
  <c r="C126" i="31" s="1"/>
  <c r="JH121" i="29"/>
  <c r="JH125" i="31" s="1"/>
  <c r="JG121" i="29"/>
  <c r="JG125" i="31" s="1"/>
  <c r="JF121" i="29"/>
  <c r="JF125" i="31" s="1"/>
  <c r="JE121" i="29"/>
  <c r="JE125" i="31" s="1"/>
  <c r="JD121" i="29"/>
  <c r="JD125" i="31" s="1"/>
  <c r="JC121" i="29"/>
  <c r="JC125" i="31" s="1"/>
  <c r="JB121" i="29"/>
  <c r="JB125" i="31" s="1"/>
  <c r="JA121" i="29"/>
  <c r="JA125" i="31" s="1"/>
  <c r="IZ121" i="29"/>
  <c r="IZ125" i="31" s="1"/>
  <c r="IY121" i="29"/>
  <c r="IY125" i="31" s="1"/>
  <c r="IX121" i="29"/>
  <c r="IX125" i="31" s="1"/>
  <c r="IW121" i="29"/>
  <c r="IW125" i="31" s="1"/>
  <c r="IV121" i="29"/>
  <c r="IV125" i="31" s="1"/>
  <c r="IU121" i="29"/>
  <c r="IU125" i="31" s="1"/>
  <c r="IT121" i="29"/>
  <c r="IT125" i="31" s="1"/>
  <c r="IS121" i="29"/>
  <c r="IS125" i="31" s="1"/>
  <c r="IR121" i="29"/>
  <c r="IR125" i="31" s="1"/>
  <c r="IQ121" i="29"/>
  <c r="IQ125" i="31" s="1"/>
  <c r="IP121" i="29"/>
  <c r="IP125" i="31" s="1"/>
  <c r="IO121" i="29"/>
  <c r="IO125" i="31" s="1"/>
  <c r="IN121" i="29"/>
  <c r="IN125" i="31" s="1"/>
  <c r="IM121" i="29"/>
  <c r="IM125" i="31" s="1"/>
  <c r="IL121" i="29"/>
  <c r="IL125" i="31" s="1"/>
  <c r="IK121" i="29"/>
  <c r="IK125" i="31" s="1"/>
  <c r="IJ121" i="29"/>
  <c r="IJ125" i="31" s="1"/>
  <c r="II121" i="29"/>
  <c r="II125" i="31" s="1"/>
  <c r="IH121" i="29"/>
  <c r="IH125" i="31" s="1"/>
  <c r="IG121" i="29"/>
  <c r="IG125" i="31" s="1"/>
  <c r="IF121" i="29"/>
  <c r="IF125" i="31" s="1"/>
  <c r="IE121" i="29"/>
  <c r="IE125" i="31" s="1"/>
  <c r="ID121" i="29"/>
  <c r="ID125" i="31" s="1"/>
  <c r="IC121" i="29"/>
  <c r="IC125" i="31" s="1"/>
  <c r="IB121" i="29"/>
  <c r="IB125" i="31" s="1"/>
  <c r="IA121" i="29"/>
  <c r="IA125" i="31" s="1"/>
  <c r="HZ121" i="29"/>
  <c r="HZ125" i="31" s="1"/>
  <c r="HY121" i="29"/>
  <c r="HY125" i="31" s="1"/>
  <c r="HX121" i="29"/>
  <c r="HX125" i="31" s="1"/>
  <c r="HW121" i="29"/>
  <c r="HW125" i="31" s="1"/>
  <c r="HV121" i="29"/>
  <c r="HV125" i="31" s="1"/>
  <c r="HU121" i="29"/>
  <c r="HU125" i="31" s="1"/>
  <c r="HT121" i="29"/>
  <c r="HT125" i="31" s="1"/>
  <c r="HS121" i="29"/>
  <c r="HS125" i="31" s="1"/>
  <c r="HR121" i="29"/>
  <c r="HR125" i="31" s="1"/>
  <c r="HQ121" i="29"/>
  <c r="HQ125" i="31" s="1"/>
  <c r="HP121" i="29"/>
  <c r="HP125" i="31" s="1"/>
  <c r="HO121" i="29"/>
  <c r="HO125" i="31" s="1"/>
  <c r="HN121" i="29"/>
  <c r="HN125" i="31" s="1"/>
  <c r="HM121" i="29"/>
  <c r="HM125" i="31" s="1"/>
  <c r="HL121" i="29"/>
  <c r="HL125" i="31" s="1"/>
  <c r="HK121" i="29"/>
  <c r="HK125" i="31" s="1"/>
  <c r="HJ121" i="29"/>
  <c r="HJ125" i="31" s="1"/>
  <c r="HI121" i="29"/>
  <c r="HI125" i="31" s="1"/>
  <c r="HH121" i="29"/>
  <c r="HH125" i="31" s="1"/>
  <c r="HG121" i="29"/>
  <c r="HG125" i="31" s="1"/>
  <c r="HF121" i="29"/>
  <c r="HF125" i="31" s="1"/>
  <c r="HE121" i="29"/>
  <c r="HE125" i="31" s="1"/>
  <c r="HD121" i="29"/>
  <c r="HD125" i="31" s="1"/>
  <c r="HC121" i="29"/>
  <c r="HC125" i="31" s="1"/>
  <c r="HB121" i="29"/>
  <c r="HB125" i="31" s="1"/>
  <c r="HA121" i="29"/>
  <c r="HA125" i="31" s="1"/>
  <c r="GZ121" i="29"/>
  <c r="GZ125" i="31" s="1"/>
  <c r="GY121" i="29"/>
  <c r="GY125" i="31" s="1"/>
  <c r="GX121" i="29"/>
  <c r="GX125" i="31" s="1"/>
  <c r="GW121" i="29"/>
  <c r="GW125" i="31" s="1"/>
  <c r="GV121" i="29"/>
  <c r="GV125" i="31" s="1"/>
  <c r="GU121" i="29"/>
  <c r="GU125" i="31" s="1"/>
  <c r="GT121" i="29"/>
  <c r="GT125" i="31" s="1"/>
  <c r="GS121" i="29"/>
  <c r="GS125" i="31" s="1"/>
  <c r="GR121" i="29"/>
  <c r="GR125" i="31" s="1"/>
  <c r="GQ121" i="29"/>
  <c r="GQ125" i="31" s="1"/>
  <c r="GP121" i="29"/>
  <c r="GP125" i="31" s="1"/>
  <c r="GO121" i="29"/>
  <c r="GO125" i="31" s="1"/>
  <c r="GN121" i="29"/>
  <c r="GN125" i="31" s="1"/>
  <c r="GM121" i="29"/>
  <c r="GM125" i="31" s="1"/>
  <c r="GL121" i="29"/>
  <c r="GL125" i="31" s="1"/>
  <c r="GK121" i="29"/>
  <c r="GK125" i="31" s="1"/>
  <c r="GJ121" i="29"/>
  <c r="GJ125" i="31" s="1"/>
  <c r="GI121" i="29"/>
  <c r="GI125" i="31" s="1"/>
  <c r="GH121" i="29"/>
  <c r="GH125" i="31" s="1"/>
  <c r="GG121" i="29"/>
  <c r="GG125" i="31" s="1"/>
  <c r="GF121" i="29"/>
  <c r="GF125" i="31" s="1"/>
  <c r="GE121" i="29"/>
  <c r="GE125" i="31" s="1"/>
  <c r="GD121" i="29"/>
  <c r="GD125" i="31" s="1"/>
  <c r="GC121" i="29"/>
  <c r="GC125" i="31" s="1"/>
  <c r="GB121" i="29"/>
  <c r="GB125" i="31" s="1"/>
  <c r="GA121" i="29"/>
  <c r="GA125" i="31" s="1"/>
  <c r="FZ121" i="29"/>
  <c r="FZ125" i="31" s="1"/>
  <c r="FY121" i="29"/>
  <c r="FY125" i="31" s="1"/>
  <c r="FX121" i="29"/>
  <c r="FX125" i="31" s="1"/>
  <c r="FW121" i="29"/>
  <c r="FW125" i="31" s="1"/>
  <c r="FV121" i="29"/>
  <c r="FV125" i="31" s="1"/>
  <c r="FU121" i="29"/>
  <c r="FU125" i="31" s="1"/>
  <c r="FT121" i="29"/>
  <c r="FT125" i="31" s="1"/>
  <c r="FS121" i="29"/>
  <c r="FS125" i="31" s="1"/>
  <c r="FR121" i="29"/>
  <c r="FR125" i="31" s="1"/>
  <c r="FQ121" i="29"/>
  <c r="FQ125" i="31" s="1"/>
  <c r="FP121" i="29"/>
  <c r="FP125" i="31" s="1"/>
  <c r="FO121" i="29"/>
  <c r="FO125" i="31" s="1"/>
  <c r="FN121" i="29"/>
  <c r="FN125" i="31" s="1"/>
  <c r="FM121" i="29"/>
  <c r="FM125" i="31" s="1"/>
  <c r="FL121" i="29"/>
  <c r="FL125" i="31" s="1"/>
  <c r="FK121" i="29"/>
  <c r="FK125" i="31" s="1"/>
  <c r="FJ121" i="29"/>
  <c r="FJ125" i="31" s="1"/>
  <c r="FI121" i="29"/>
  <c r="FI125" i="31" s="1"/>
  <c r="FH121" i="29"/>
  <c r="FH125" i="31" s="1"/>
  <c r="FG121" i="29"/>
  <c r="FG125" i="31" s="1"/>
  <c r="FF121" i="29"/>
  <c r="FF125" i="31" s="1"/>
  <c r="FE121" i="29"/>
  <c r="FE125" i="31" s="1"/>
  <c r="FD121" i="29"/>
  <c r="FD125" i="31" s="1"/>
  <c r="FC121" i="29"/>
  <c r="FC125" i="31" s="1"/>
  <c r="FB121" i="29"/>
  <c r="FB125" i="31" s="1"/>
  <c r="FA121" i="29"/>
  <c r="FA125" i="31" s="1"/>
  <c r="EZ121" i="29"/>
  <c r="EZ125" i="31" s="1"/>
  <c r="EY121" i="29"/>
  <c r="EY125" i="31" s="1"/>
  <c r="EX121" i="29"/>
  <c r="EX125" i="31" s="1"/>
  <c r="EW121" i="29"/>
  <c r="EW125" i="31" s="1"/>
  <c r="EV121" i="29"/>
  <c r="EV125" i="31" s="1"/>
  <c r="EU121" i="29"/>
  <c r="EU125" i="31" s="1"/>
  <c r="ET121" i="29"/>
  <c r="ET125" i="31" s="1"/>
  <c r="ES121" i="29"/>
  <c r="ES125" i="31" s="1"/>
  <c r="ER121" i="29"/>
  <c r="ER125" i="31" s="1"/>
  <c r="EQ121" i="29"/>
  <c r="EQ125" i="31" s="1"/>
  <c r="EP121" i="29"/>
  <c r="EP125" i="31" s="1"/>
  <c r="EO121" i="29"/>
  <c r="EO125" i="31" s="1"/>
  <c r="EN121" i="29"/>
  <c r="EN125" i="31" s="1"/>
  <c r="EM121" i="29"/>
  <c r="EM125" i="31" s="1"/>
  <c r="EL121" i="29"/>
  <c r="EL125" i="31" s="1"/>
  <c r="EK121" i="29"/>
  <c r="EK125" i="31" s="1"/>
  <c r="EJ121" i="29"/>
  <c r="EJ125" i="31" s="1"/>
  <c r="EI121" i="29"/>
  <c r="EI125" i="31" s="1"/>
  <c r="EH121" i="29"/>
  <c r="EH125" i="31" s="1"/>
  <c r="EG121" i="29"/>
  <c r="EG125" i="31" s="1"/>
  <c r="EF121" i="29"/>
  <c r="EF125" i="31" s="1"/>
  <c r="EE121" i="29"/>
  <c r="EE125" i="31" s="1"/>
  <c r="ED121" i="29"/>
  <c r="ED125" i="31" s="1"/>
  <c r="EC121" i="29"/>
  <c r="EC125" i="31" s="1"/>
  <c r="EB121" i="29"/>
  <c r="EB125" i="31" s="1"/>
  <c r="EA121" i="29"/>
  <c r="EA125" i="31" s="1"/>
  <c r="DZ121" i="29"/>
  <c r="DZ125" i="31" s="1"/>
  <c r="DY121" i="29"/>
  <c r="DY125" i="31" s="1"/>
  <c r="DX121" i="29"/>
  <c r="DX125" i="31" s="1"/>
  <c r="DW121" i="29"/>
  <c r="DW125" i="31" s="1"/>
  <c r="DV121" i="29"/>
  <c r="DV125" i="31" s="1"/>
  <c r="DU121" i="29"/>
  <c r="DU125" i="31" s="1"/>
  <c r="DT121" i="29"/>
  <c r="DT125" i="31" s="1"/>
  <c r="DS121" i="29"/>
  <c r="DS125" i="31" s="1"/>
  <c r="DR121" i="29"/>
  <c r="DR125" i="31" s="1"/>
  <c r="DQ121" i="29"/>
  <c r="DQ125" i="31" s="1"/>
  <c r="DP121" i="29"/>
  <c r="DP125" i="31" s="1"/>
  <c r="DO121" i="29"/>
  <c r="DO125" i="31" s="1"/>
  <c r="DN121" i="29"/>
  <c r="DN125" i="31" s="1"/>
  <c r="DM121" i="29"/>
  <c r="DM125" i="31" s="1"/>
  <c r="DL121" i="29"/>
  <c r="DL125" i="31" s="1"/>
  <c r="DK121" i="29"/>
  <c r="DK125" i="31" s="1"/>
  <c r="DJ121" i="29"/>
  <c r="DJ125" i="31" s="1"/>
  <c r="DI121" i="29"/>
  <c r="DI125" i="31" s="1"/>
  <c r="DH121" i="29"/>
  <c r="DH125" i="31" s="1"/>
  <c r="DG121" i="29"/>
  <c r="DG125" i="31" s="1"/>
  <c r="DF121" i="29"/>
  <c r="DF125" i="31" s="1"/>
  <c r="DE121" i="29"/>
  <c r="DE125" i="31" s="1"/>
  <c r="DD121" i="29"/>
  <c r="DD125" i="31" s="1"/>
  <c r="DC121" i="29"/>
  <c r="DC125" i="31" s="1"/>
  <c r="DB121" i="29"/>
  <c r="DB125" i="31" s="1"/>
  <c r="DA121" i="29"/>
  <c r="DA125" i="31" s="1"/>
  <c r="CZ121" i="29"/>
  <c r="CZ125" i="31" s="1"/>
  <c r="CY121" i="29"/>
  <c r="CY125" i="31" s="1"/>
  <c r="CX121" i="29"/>
  <c r="CX125" i="31" s="1"/>
  <c r="CW121" i="29"/>
  <c r="CW125" i="31" s="1"/>
  <c r="CV121" i="29"/>
  <c r="CV125" i="31" s="1"/>
  <c r="CU121" i="29"/>
  <c r="CU125" i="31" s="1"/>
  <c r="CT121" i="29"/>
  <c r="CT125" i="31" s="1"/>
  <c r="CS121" i="29"/>
  <c r="CS125" i="31" s="1"/>
  <c r="CR121" i="29"/>
  <c r="CR125" i="31" s="1"/>
  <c r="CQ121" i="29"/>
  <c r="CQ125" i="31" s="1"/>
  <c r="CP121" i="29"/>
  <c r="CP125" i="31" s="1"/>
  <c r="CO121" i="29"/>
  <c r="CO125" i="31" s="1"/>
  <c r="CN121" i="29"/>
  <c r="CN125" i="31" s="1"/>
  <c r="CM121" i="29"/>
  <c r="CM125" i="31" s="1"/>
  <c r="CL121" i="29"/>
  <c r="CL125" i="31" s="1"/>
  <c r="CK121" i="29"/>
  <c r="CK125" i="31" s="1"/>
  <c r="CJ121" i="29"/>
  <c r="CJ125" i="31" s="1"/>
  <c r="CI121" i="29"/>
  <c r="CI125" i="31" s="1"/>
  <c r="CH121" i="29"/>
  <c r="CH125" i="31" s="1"/>
  <c r="CG121" i="29"/>
  <c r="CG125" i="31" s="1"/>
  <c r="CF121" i="29"/>
  <c r="CF125" i="31" s="1"/>
  <c r="CE121" i="29"/>
  <c r="CE125" i="31" s="1"/>
  <c r="CD121" i="29"/>
  <c r="CD125" i="31" s="1"/>
  <c r="CC121" i="29"/>
  <c r="CC125" i="31" s="1"/>
  <c r="CB121" i="29"/>
  <c r="CB125" i="31" s="1"/>
  <c r="CA121" i="29"/>
  <c r="CA125" i="31" s="1"/>
  <c r="BZ121" i="29"/>
  <c r="BZ125" i="31" s="1"/>
  <c r="BY121" i="29"/>
  <c r="BY125" i="31" s="1"/>
  <c r="BX121" i="29"/>
  <c r="BX125" i="31" s="1"/>
  <c r="BW121" i="29"/>
  <c r="BW125" i="31" s="1"/>
  <c r="BV121" i="29"/>
  <c r="BV125" i="31" s="1"/>
  <c r="BU121" i="29"/>
  <c r="BU125" i="31" s="1"/>
  <c r="BT121" i="29"/>
  <c r="BT125" i="31" s="1"/>
  <c r="BS121" i="29"/>
  <c r="BS125" i="31" s="1"/>
  <c r="BR121" i="29"/>
  <c r="BR125" i="31" s="1"/>
  <c r="BQ121" i="29"/>
  <c r="BQ125" i="31" s="1"/>
  <c r="BP121" i="29"/>
  <c r="BP125" i="31" s="1"/>
  <c r="BO121" i="29"/>
  <c r="BO125" i="31" s="1"/>
  <c r="BN121" i="29"/>
  <c r="BN125" i="31" s="1"/>
  <c r="BM121" i="29"/>
  <c r="BM125" i="31" s="1"/>
  <c r="BL121" i="29"/>
  <c r="BL125" i="31" s="1"/>
  <c r="BK121" i="29"/>
  <c r="BK125" i="31" s="1"/>
  <c r="BJ121" i="29"/>
  <c r="BJ125" i="31" s="1"/>
  <c r="BI121" i="29"/>
  <c r="BI125" i="31" s="1"/>
  <c r="BH121" i="29"/>
  <c r="BH125" i="31" s="1"/>
  <c r="BG121" i="29"/>
  <c r="BG125" i="31" s="1"/>
  <c r="BF121" i="29"/>
  <c r="BF125" i="31" s="1"/>
  <c r="BE121" i="29"/>
  <c r="BE125" i="31" s="1"/>
  <c r="BD121" i="29"/>
  <c r="BD125" i="31" s="1"/>
  <c r="BC121" i="29"/>
  <c r="BC125" i="31" s="1"/>
  <c r="BB121" i="29"/>
  <c r="BB125" i="31" s="1"/>
  <c r="BA121" i="29"/>
  <c r="BA125" i="31" s="1"/>
  <c r="AZ121" i="29"/>
  <c r="AZ125" i="31" s="1"/>
  <c r="AY121" i="29"/>
  <c r="AY125" i="31" s="1"/>
  <c r="AX121" i="29"/>
  <c r="AX125" i="31" s="1"/>
  <c r="AW121" i="29"/>
  <c r="AW125" i="31" s="1"/>
  <c r="AV121" i="29"/>
  <c r="AV125" i="31" s="1"/>
  <c r="AU121" i="29"/>
  <c r="AU125" i="31" s="1"/>
  <c r="AT121" i="29"/>
  <c r="AT125" i="31" s="1"/>
  <c r="AS121" i="29"/>
  <c r="AS125" i="31" s="1"/>
  <c r="AR121" i="29"/>
  <c r="AR125" i="31" s="1"/>
  <c r="AQ121" i="29"/>
  <c r="AQ125" i="31" s="1"/>
  <c r="AP121" i="29"/>
  <c r="AP125" i="31" s="1"/>
  <c r="AO121" i="29"/>
  <c r="AO125" i="31" s="1"/>
  <c r="AN121" i="29"/>
  <c r="AN125" i="31" s="1"/>
  <c r="AM121" i="29"/>
  <c r="AM125" i="31" s="1"/>
  <c r="AL121" i="29"/>
  <c r="AL125" i="31" s="1"/>
  <c r="AK121" i="29"/>
  <c r="AK125" i="31" s="1"/>
  <c r="AJ121" i="29"/>
  <c r="AJ125" i="31" s="1"/>
  <c r="AI121" i="29"/>
  <c r="AI125" i="31" s="1"/>
  <c r="AH121" i="29"/>
  <c r="AH125" i="31" s="1"/>
  <c r="AG121" i="29"/>
  <c r="AG125" i="31" s="1"/>
  <c r="AF121" i="29"/>
  <c r="AF125" i="31" s="1"/>
  <c r="AE121" i="29"/>
  <c r="AE125" i="31" s="1"/>
  <c r="AD121" i="29"/>
  <c r="AD125" i="31" s="1"/>
  <c r="AB121" i="29"/>
  <c r="AB125" i="31" s="1"/>
  <c r="AA121" i="29"/>
  <c r="AA125" i="31" s="1"/>
  <c r="Z121" i="29"/>
  <c r="Z125" i="31" s="1"/>
  <c r="Y121" i="29"/>
  <c r="Y125" i="31" s="1"/>
  <c r="X121" i="29"/>
  <c r="X125" i="31" s="1"/>
  <c r="W121" i="29"/>
  <c r="W125" i="31" s="1"/>
  <c r="V121" i="29"/>
  <c r="V125" i="31" s="1"/>
  <c r="U121" i="29"/>
  <c r="U125" i="31" s="1"/>
  <c r="T121" i="29"/>
  <c r="T125" i="31" s="1"/>
  <c r="S121" i="29"/>
  <c r="S125" i="31" s="1"/>
  <c r="R121" i="29"/>
  <c r="R125" i="31" s="1"/>
  <c r="Q121" i="29"/>
  <c r="Q125" i="31" s="1"/>
  <c r="P121" i="29"/>
  <c r="P125" i="31" s="1"/>
  <c r="O121" i="29"/>
  <c r="O125" i="31" s="1"/>
  <c r="N121" i="29"/>
  <c r="N125" i="31" s="1"/>
  <c r="M121" i="29"/>
  <c r="M125" i="31" s="1"/>
  <c r="L121" i="29"/>
  <c r="L125" i="31" s="1"/>
  <c r="K121" i="29"/>
  <c r="K125" i="31" s="1"/>
  <c r="J121" i="29"/>
  <c r="J125" i="31" s="1"/>
  <c r="I121" i="29"/>
  <c r="I125" i="31" s="1"/>
  <c r="H121" i="29"/>
  <c r="H125" i="31" s="1"/>
  <c r="G121" i="29"/>
  <c r="G125" i="31" s="1"/>
  <c r="F121" i="29"/>
  <c r="F125" i="31" s="1"/>
  <c r="E121" i="29"/>
  <c r="E125" i="31" s="1"/>
  <c r="D121" i="29"/>
  <c r="D125" i="31" s="1"/>
  <c r="C121" i="29"/>
  <c r="C125" i="31" s="1"/>
  <c r="JH120" i="29"/>
  <c r="JH124" i="31" s="1"/>
  <c r="JG120" i="29"/>
  <c r="JG124" i="31" s="1"/>
  <c r="JF120" i="29"/>
  <c r="JF124" i="31" s="1"/>
  <c r="JE120" i="29"/>
  <c r="JE124" i="31" s="1"/>
  <c r="JD120" i="29"/>
  <c r="JD124" i="31" s="1"/>
  <c r="JC120" i="29"/>
  <c r="JC124" i="31" s="1"/>
  <c r="JB120" i="29"/>
  <c r="JB124" i="31" s="1"/>
  <c r="JA120" i="29"/>
  <c r="JA124" i="31" s="1"/>
  <c r="IZ120" i="29"/>
  <c r="IZ124" i="31" s="1"/>
  <c r="IY120" i="29"/>
  <c r="IY124" i="31" s="1"/>
  <c r="IX120" i="29"/>
  <c r="IX124" i="31" s="1"/>
  <c r="IW120" i="29"/>
  <c r="IW124" i="31" s="1"/>
  <c r="IV120" i="29"/>
  <c r="IV124" i="31" s="1"/>
  <c r="IU120" i="29"/>
  <c r="IU124" i="31" s="1"/>
  <c r="IT120" i="29"/>
  <c r="IT124" i="31" s="1"/>
  <c r="IS120" i="29"/>
  <c r="IS124" i="31" s="1"/>
  <c r="IR120" i="29"/>
  <c r="IR124" i="31" s="1"/>
  <c r="IQ120" i="29"/>
  <c r="IQ124" i="31" s="1"/>
  <c r="IP120" i="29"/>
  <c r="IP124" i="31" s="1"/>
  <c r="IO120" i="29"/>
  <c r="IO124" i="31" s="1"/>
  <c r="IN120" i="29"/>
  <c r="IN124" i="31" s="1"/>
  <c r="IM120" i="29"/>
  <c r="IM124" i="31" s="1"/>
  <c r="IL120" i="29"/>
  <c r="IL124" i="31" s="1"/>
  <c r="IK120" i="29"/>
  <c r="IK124" i="31" s="1"/>
  <c r="IJ120" i="29"/>
  <c r="IJ124" i="31" s="1"/>
  <c r="II120" i="29"/>
  <c r="II124" i="31" s="1"/>
  <c r="IH120" i="29"/>
  <c r="IH124" i="31" s="1"/>
  <c r="IG120" i="29"/>
  <c r="IG124" i="31" s="1"/>
  <c r="IF120" i="29"/>
  <c r="IF124" i="31" s="1"/>
  <c r="IE120" i="29"/>
  <c r="IE124" i="31" s="1"/>
  <c r="ID120" i="29"/>
  <c r="ID124" i="31" s="1"/>
  <c r="IC120" i="29"/>
  <c r="IC124" i="31" s="1"/>
  <c r="IB120" i="29"/>
  <c r="IB124" i="31" s="1"/>
  <c r="IA120" i="29"/>
  <c r="IA124" i="31" s="1"/>
  <c r="HZ120" i="29"/>
  <c r="HZ124" i="31" s="1"/>
  <c r="HY120" i="29"/>
  <c r="HY124" i="31" s="1"/>
  <c r="HX120" i="29"/>
  <c r="HX124" i="31" s="1"/>
  <c r="HW120" i="29"/>
  <c r="HW124" i="31" s="1"/>
  <c r="HV120" i="29"/>
  <c r="HV124" i="31" s="1"/>
  <c r="HU120" i="29"/>
  <c r="HU124" i="31" s="1"/>
  <c r="HT120" i="29"/>
  <c r="HT124" i="31" s="1"/>
  <c r="HS120" i="29"/>
  <c r="HS124" i="31" s="1"/>
  <c r="HR120" i="29"/>
  <c r="HR124" i="31" s="1"/>
  <c r="HQ120" i="29"/>
  <c r="HQ124" i="31" s="1"/>
  <c r="HP120" i="29"/>
  <c r="HP124" i="31" s="1"/>
  <c r="HO120" i="29"/>
  <c r="HO124" i="31" s="1"/>
  <c r="HN120" i="29"/>
  <c r="HN124" i="31" s="1"/>
  <c r="HM120" i="29"/>
  <c r="HM124" i="31" s="1"/>
  <c r="HL120" i="29"/>
  <c r="HL124" i="31" s="1"/>
  <c r="HK120" i="29"/>
  <c r="HK124" i="31" s="1"/>
  <c r="HJ120" i="29"/>
  <c r="HJ124" i="31" s="1"/>
  <c r="HI120" i="29"/>
  <c r="HI124" i="31" s="1"/>
  <c r="HH120" i="29"/>
  <c r="HH124" i="31" s="1"/>
  <c r="HG120" i="29"/>
  <c r="HG124" i="31" s="1"/>
  <c r="HF120" i="29"/>
  <c r="HF124" i="31" s="1"/>
  <c r="HE120" i="29"/>
  <c r="HE124" i="31" s="1"/>
  <c r="HD120" i="29"/>
  <c r="HD124" i="31" s="1"/>
  <c r="HC120" i="29"/>
  <c r="HC124" i="31" s="1"/>
  <c r="HB120" i="29"/>
  <c r="HB124" i="31" s="1"/>
  <c r="HA120" i="29"/>
  <c r="HA124" i="31" s="1"/>
  <c r="GZ120" i="29"/>
  <c r="GZ124" i="31" s="1"/>
  <c r="GY120" i="29"/>
  <c r="GY124" i="31" s="1"/>
  <c r="GX120" i="29"/>
  <c r="GX124" i="31" s="1"/>
  <c r="GW120" i="29"/>
  <c r="GW124" i="31" s="1"/>
  <c r="GV120" i="29"/>
  <c r="GV124" i="31" s="1"/>
  <c r="GU120" i="29"/>
  <c r="GU124" i="31" s="1"/>
  <c r="GT120" i="29"/>
  <c r="GT124" i="31" s="1"/>
  <c r="GS120" i="29"/>
  <c r="GS124" i="31" s="1"/>
  <c r="GR120" i="29"/>
  <c r="GR124" i="31" s="1"/>
  <c r="GQ120" i="29"/>
  <c r="GQ124" i="31" s="1"/>
  <c r="GP120" i="29"/>
  <c r="GP124" i="31" s="1"/>
  <c r="GO120" i="29"/>
  <c r="GO124" i="31" s="1"/>
  <c r="GN120" i="29"/>
  <c r="GN124" i="31" s="1"/>
  <c r="GM120" i="29"/>
  <c r="GM124" i="31" s="1"/>
  <c r="GL120" i="29"/>
  <c r="GL124" i="31" s="1"/>
  <c r="GK120" i="29"/>
  <c r="GK124" i="31" s="1"/>
  <c r="GJ120" i="29"/>
  <c r="GJ124" i="31" s="1"/>
  <c r="GI120" i="29"/>
  <c r="GI124" i="31" s="1"/>
  <c r="GH120" i="29"/>
  <c r="GH124" i="31" s="1"/>
  <c r="GG120" i="29"/>
  <c r="GG124" i="31" s="1"/>
  <c r="GF120" i="29"/>
  <c r="GF124" i="31" s="1"/>
  <c r="GE120" i="29"/>
  <c r="GE124" i="31" s="1"/>
  <c r="GD120" i="29"/>
  <c r="GD124" i="31" s="1"/>
  <c r="GC120" i="29"/>
  <c r="GC124" i="31" s="1"/>
  <c r="GB120" i="29"/>
  <c r="GB124" i="31" s="1"/>
  <c r="GA120" i="29"/>
  <c r="GA124" i="31" s="1"/>
  <c r="FZ120" i="29"/>
  <c r="FZ124" i="31" s="1"/>
  <c r="FY120" i="29"/>
  <c r="FY124" i="31" s="1"/>
  <c r="FX120" i="29"/>
  <c r="FX124" i="31" s="1"/>
  <c r="FW120" i="29"/>
  <c r="FW124" i="31" s="1"/>
  <c r="FV120" i="29"/>
  <c r="FV124" i="31" s="1"/>
  <c r="FU120" i="29"/>
  <c r="FU124" i="31" s="1"/>
  <c r="FT120" i="29"/>
  <c r="FT124" i="31" s="1"/>
  <c r="FS120" i="29"/>
  <c r="FS124" i="31" s="1"/>
  <c r="FR120" i="29"/>
  <c r="FR124" i="31" s="1"/>
  <c r="FQ120" i="29"/>
  <c r="FQ124" i="31" s="1"/>
  <c r="FP120" i="29"/>
  <c r="FP124" i="31" s="1"/>
  <c r="FO120" i="29"/>
  <c r="FO124" i="31" s="1"/>
  <c r="FN120" i="29"/>
  <c r="FN124" i="31" s="1"/>
  <c r="FM120" i="29"/>
  <c r="FM124" i="31" s="1"/>
  <c r="FL120" i="29"/>
  <c r="FL124" i="31" s="1"/>
  <c r="FK120" i="29"/>
  <c r="FK124" i="31" s="1"/>
  <c r="FJ120" i="29"/>
  <c r="FJ124" i="31" s="1"/>
  <c r="FI120" i="29"/>
  <c r="FI124" i="31" s="1"/>
  <c r="FH120" i="29"/>
  <c r="FH124" i="31" s="1"/>
  <c r="FG120" i="29"/>
  <c r="FG124" i="31" s="1"/>
  <c r="FF120" i="29"/>
  <c r="FF124" i="31" s="1"/>
  <c r="FE120" i="29"/>
  <c r="FE124" i="31" s="1"/>
  <c r="FD120" i="29"/>
  <c r="FD124" i="31" s="1"/>
  <c r="FC120" i="29"/>
  <c r="FC124" i="31" s="1"/>
  <c r="FB120" i="29"/>
  <c r="FB124" i="31" s="1"/>
  <c r="FA120" i="29"/>
  <c r="FA124" i="31" s="1"/>
  <c r="EZ120" i="29"/>
  <c r="EZ124" i="31" s="1"/>
  <c r="EY120" i="29"/>
  <c r="EY124" i="31" s="1"/>
  <c r="EX120" i="29"/>
  <c r="EX124" i="31" s="1"/>
  <c r="EW120" i="29"/>
  <c r="EW124" i="31" s="1"/>
  <c r="EV120" i="29"/>
  <c r="EV124" i="31" s="1"/>
  <c r="EU120" i="29"/>
  <c r="EU124" i="31" s="1"/>
  <c r="ET120" i="29"/>
  <c r="ET124" i="31" s="1"/>
  <c r="ES120" i="29"/>
  <c r="ES124" i="31" s="1"/>
  <c r="ER120" i="29"/>
  <c r="ER124" i="31" s="1"/>
  <c r="EQ120" i="29"/>
  <c r="EQ124" i="31" s="1"/>
  <c r="EP120" i="29"/>
  <c r="EP124" i="31" s="1"/>
  <c r="EO120" i="29"/>
  <c r="EO124" i="31" s="1"/>
  <c r="EN120" i="29"/>
  <c r="EN124" i="31" s="1"/>
  <c r="EM120" i="29"/>
  <c r="EM124" i="31" s="1"/>
  <c r="EL120" i="29"/>
  <c r="EL124" i="31" s="1"/>
  <c r="EK120" i="29"/>
  <c r="EK124" i="31" s="1"/>
  <c r="EJ120" i="29"/>
  <c r="EJ124" i="31" s="1"/>
  <c r="EI120" i="29"/>
  <c r="EI124" i="31" s="1"/>
  <c r="EH120" i="29"/>
  <c r="EH124" i="31" s="1"/>
  <c r="EG120" i="29"/>
  <c r="EG124" i="31" s="1"/>
  <c r="EF120" i="29"/>
  <c r="EF124" i="31" s="1"/>
  <c r="EE120" i="29"/>
  <c r="EE124" i="31" s="1"/>
  <c r="ED120" i="29"/>
  <c r="ED124" i="31" s="1"/>
  <c r="EC120" i="29"/>
  <c r="EC124" i="31" s="1"/>
  <c r="EB120" i="29"/>
  <c r="EB124" i="31" s="1"/>
  <c r="EA120" i="29"/>
  <c r="EA124" i="31" s="1"/>
  <c r="DZ120" i="29"/>
  <c r="DZ124" i="31" s="1"/>
  <c r="DY120" i="29"/>
  <c r="DY124" i="31" s="1"/>
  <c r="DX120" i="29"/>
  <c r="DX124" i="31" s="1"/>
  <c r="DW120" i="29"/>
  <c r="DW124" i="31" s="1"/>
  <c r="DV120" i="29"/>
  <c r="DV124" i="31" s="1"/>
  <c r="DU120" i="29"/>
  <c r="DU124" i="31" s="1"/>
  <c r="DT120" i="29"/>
  <c r="DT124" i="31" s="1"/>
  <c r="DS120" i="29"/>
  <c r="DS124" i="31" s="1"/>
  <c r="DR120" i="29"/>
  <c r="DR124" i="31" s="1"/>
  <c r="DQ120" i="29"/>
  <c r="DQ124" i="31" s="1"/>
  <c r="DP120" i="29"/>
  <c r="DP124" i="31" s="1"/>
  <c r="DO120" i="29"/>
  <c r="DO124" i="31" s="1"/>
  <c r="DN120" i="29"/>
  <c r="DN124" i="31" s="1"/>
  <c r="DM120" i="29"/>
  <c r="DM124" i="31" s="1"/>
  <c r="DL120" i="29"/>
  <c r="DL124" i="31" s="1"/>
  <c r="DK120" i="29"/>
  <c r="DK124" i="31" s="1"/>
  <c r="DJ120" i="29"/>
  <c r="DJ124" i="31" s="1"/>
  <c r="DI120" i="29"/>
  <c r="DI124" i="31" s="1"/>
  <c r="DH120" i="29"/>
  <c r="DH124" i="31" s="1"/>
  <c r="DG120" i="29"/>
  <c r="DG124" i="31" s="1"/>
  <c r="DF120" i="29"/>
  <c r="DF124" i="31" s="1"/>
  <c r="DE120" i="29"/>
  <c r="DE124" i="31" s="1"/>
  <c r="DD120" i="29"/>
  <c r="DD124" i="31" s="1"/>
  <c r="DC120" i="29"/>
  <c r="DC124" i="31" s="1"/>
  <c r="DB120" i="29"/>
  <c r="DB124" i="31" s="1"/>
  <c r="DA120" i="29"/>
  <c r="DA124" i="31" s="1"/>
  <c r="CZ120" i="29"/>
  <c r="CZ124" i="31" s="1"/>
  <c r="CY120" i="29"/>
  <c r="CY124" i="31" s="1"/>
  <c r="CX120" i="29"/>
  <c r="CX124" i="31" s="1"/>
  <c r="CW120" i="29"/>
  <c r="CW124" i="31" s="1"/>
  <c r="CV120" i="29"/>
  <c r="CV124" i="31" s="1"/>
  <c r="CU120" i="29"/>
  <c r="CU124" i="31" s="1"/>
  <c r="CT120" i="29"/>
  <c r="CT124" i="31" s="1"/>
  <c r="CS120" i="29"/>
  <c r="CS124" i="31" s="1"/>
  <c r="CR120" i="29"/>
  <c r="CR124" i="31" s="1"/>
  <c r="CQ120" i="29"/>
  <c r="CQ124" i="31" s="1"/>
  <c r="CP120" i="29"/>
  <c r="CP124" i="31" s="1"/>
  <c r="CO120" i="29"/>
  <c r="CO124" i="31" s="1"/>
  <c r="CN120" i="29"/>
  <c r="CN124" i="31" s="1"/>
  <c r="CM120" i="29"/>
  <c r="CM124" i="31" s="1"/>
  <c r="CL120" i="29"/>
  <c r="CL124" i="31" s="1"/>
  <c r="CK120" i="29"/>
  <c r="CK124" i="31" s="1"/>
  <c r="CJ120" i="29"/>
  <c r="CJ124" i="31" s="1"/>
  <c r="CI120" i="29"/>
  <c r="CI124" i="31" s="1"/>
  <c r="CH120" i="29"/>
  <c r="CH124" i="31" s="1"/>
  <c r="CG120" i="29"/>
  <c r="CG124" i="31" s="1"/>
  <c r="CF120" i="29"/>
  <c r="CF124" i="31" s="1"/>
  <c r="CE120" i="29"/>
  <c r="CE124" i="31" s="1"/>
  <c r="CD120" i="29"/>
  <c r="CD124" i="31" s="1"/>
  <c r="CC120" i="29"/>
  <c r="CC124" i="31" s="1"/>
  <c r="CB120" i="29"/>
  <c r="CB124" i="31" s="1"/>
  <c r="CA120" i="29"/>
  <c r="CA124" i="31" s="1"/>
  <c r="BZ120" i="29"/>
  <c r="BZ124" i="31" s="1"/>
  <c r="BY120" i="29"/>
  <c r="BY124" i="31" s="1"/>
  <c r="BX120" i="29"/>
  <c r="BX124" i="31" s="1"/>
  <c r="BW120" i="29"/>
  <c r="BW124" i="31" s="1"/>
  <c r="BV120" i="29"/>
  <c r="BV124" i="31" s="1"/>
  <c r="BU120" i="29"/>
  <c r="BU124" i="31" s="1"/>
  <c r="BT120" i="29"/>
  <c r="BT124" i="31" s="1"/>
  <c r="BS120" i="29"/>
  <c r="BS124" i="31" s="1"/>
  <c r="BR120" i="29"/>
  <c r="BR124" i="31" s="1"/>
  <c r="BQ120" i="29"/>
  <c r="BQ124" i="31" s="1"/>
  <c r="BP120" i="29"/>
  <c r="BP124" i="31" s="1"/>
  <c r="BO120" i="29"/>
  <c r="BO124" i="31" s="1"/>
  <c r="BN120" i="29"/>
  <c r="BN124" i="31" s="1"/>
  <c r="BM120" i="29"/>
  <c r="BM124" i="31" s="1"/>
  <c r="BL120" i="29"/>
  <c r="BL124" i="31" s="1"/>
  <c r="BK120" i="29"/>
  <c r="BK124" i="31" s="1"/>
  <c r="BJ120" i="29"/>
  <c r="BJ124" i="31" s="1"/>
  <c r="BI120" i="29"/>
  <c r="BI124" i="31" s="1"/>
  <c r="BH120" i="29"/>
  <c r="BH124" i="31" s="1"/>
  <c r="BG120" i="29"/>
  <c r="BG124" i="31" s="1"/>
  <c r="BF120" i="29"/>
  <c r="BF124" i="31" s="1"/>
  <c r="BE120" i="29"/>
  <c r="BE124" i="31" s="1"/>
  <c r="BD120" i="29"/>
  <c r="BD124" i="31" s="1"/>
  <c r="BC120" i="29"/>
  <c r="BC124" i="31" s="1"/>
  <c r="BB120" i="29"/>
  <c r="BB124" i="31" s="1"/>
  <c r="BA120" i="29"/>
  <c r="BA124" i="31" s="1"/>
  <c r="AZ120" i="29"/>
  <c r="AZ124" i="31" s="1"/>
  <c r="AY120" i="29"/>
  <c r="AY124" i="31" s="1"/>
  <c r="AX120" i="29"/>
  <c r="AX124" i="31" s="1"/>
  <c r="AW120" i="29"/>
  <c r="AW124" i="31" s="1"/>
  <c r="AV120" i="29"/>
  <c r="AV124" i="31" s="1"/>
  <c r="AU120" i="29"/>
  <c r="AU124" i="31" s="1"/>
  <c r="AT120" i="29"/>
  <c r="AT124" i="31" s="1"/>
  <c r="AS120" i="29"/>
  <c r="AS124" i="31" s="1"/>
  <c r="AR120" i="29"/>
  <c r="AR124" i="31" s="1"/>
  <c r="AQ120" i="29"/>
  <c r="AQ124" i="31" s="1"/>
  <c r="AP120" i="29"/>
  <c r="AP124" i="31" s="1"/>
  <c r="AO120" i="29"/>
  <c r="AO124" i="31" s="1"/>
  <c r="AN120" i="29"/>
  <c r="AN124" i="31" s="1"/>
  <c r="AM120" i="29"/>
  <c r="AM124" i="31" s="1"/>
  <c r="AL120" i="29"/>
  <c r="AL124" i="31" s="1"/>
  <c r="AK120" i="29"/>
  <c r="AK124" i="31" s="1"/>
  <c r="AJ120" i="29"/>
  <c r="AJ124" i="31" s="1"/>
  <c r="AI120" i="29"/>
  <c r="AI124" i="31" s="1"/>
  <c r="AH120" i="29"/>
  <c r="AH124" i="31" s="1"/>
  <c r="AG120" i="29"/>
  <c r="AG124" i="31" s="1"/>
  <c r="AF120" i="29"/>
  <c r="AF124" i="31" s="1"/>
  <c r="AE120" i="29"/>
  <c r="AE124" i="31" s="1"/>
  <c r="AD120" i="29"/>
  <c r="AD124" i="31" s="1"/>
  <c r="AB120" i="29"/>
  <c r="AB124" i="31" s="1"/>
  <c r="AA120" i="29"/>
  <c r="AA124" i="31" s="1"/>
  <c r="Z120" i="29"/>
  <c r="Z124" i="31" s="1"/>
  <c r="Y120" i="29"/>
  <c r="Y124" i="31" s="1"/>
  <c r="X120" i="29"/>
  <c r="X124" i="31" s="1"/>
  <c r="W120" i="29"/>
  <c r="W124" i="31" s="1"/>
  <c r="V120" i="29"/>
  <c r="V124" i="31" s="1"/>
  <c r="U120" i="29"/>
  <c r="U124" i="31" s="1"/>
  <c r="T120" i="29"/>
  <c r="T124" i="31" s="1"/>
  <c r="S120" i="29"/>
  <c r="S124" i="31" s="1"/>
  <c r="R120" i="29"/>
  <c r="R124" i="31" s="1"/>
  <c r="Q120" i="29"/>
  <c r="Q124" i="31" s="1"/>
  <c r="P120" i="29"/>
  <c r="P124" i="31" s="1"/>
  <c r="O120" i="29"/>
  <c r="O124" i="31" s="1"/>
  <c r="N120" i="29"/>
  <c r="N124" i="31" s="1"/>
  <c r="M120" i="29"/>
  <c r="M124" i="31" s="1"/>
  <c r="L120" i="29"/>
  <c r="L124" i="31" s="1"/>
  <c r="K120" i="29"/>
  <c r="K124" i="31" s="1"/>
  <c r="J120" i="29"/>
  <c r="J124" i="31" s="1"/>
  <c r="I120" i="29"/>
  <c r="I124" i="31" s="1"/>
  <c r="H120" i="29"/>
  <c r="H124" i="31" s="1"/>
  <c r="G120" i="29"/>
  <c r="G124" i="31" s="1"/>
  <c r="F120" i="29"/>
  <c r="F124" i="31" s="1"/>
  <c r="E120" i="29"/>
  <c r="E124" i="31" s="1"/>
  <c r="D120" i="29"/>
  <c r="D124" i="31" s="1"/>
  <c r="C120" i="29"/>
  <c r="C124" i="31" s="1"/>
  <c r="B116" i="29"/>
  <c r="B151" i="29" s="1"/>
  <c r="B101" i="29"/>
  <c r="B115" i="29" s="1"/>
  <c r="B150" i="29" s="1"/>
  <c r="B157" i="29" s="1"/>
  <c r="B95" i="29"/>
  <c r="JH89" i="29"/>
  <c r="JH93" i="31" s="1"/>
  <c r="JE89" i="29"/>
  <c r="JE93" i="31" s="1"/>
  <c r="JD89" i="29"/>
  <c r="JD93" i="31" s="1"/>
  <c r="JC89" i="29"/>
  <c r="JC93" i="31" s="1"/>
  <c r="JB89" i="29"/>
  <c r="JB93" i="31" s="1"/>
  <c r="JA89" i="29"/>
  <c r="JA93" i="31" s="1"/>
  <c r="IX89" i="29"/>
  <c r="IX93" i="31" s="1"/>
  <c r="IU89" i="29"/>
  <c r="IU93" i="31" s="1"/>
  <c r="IR89" i="29"/>
  <c r="IR93" i="31" s="1"/>
  <c r="IM89" i="29"/>
  <c r="IM93" i="31" s="1"/>
  <c r="IK89" i="29"/>
  <c r="IK93" i="31" s="1"/>
  <c r="IJ89" i="29"/>
  <c r="IJ93" i="31" s="1"/>
  <c r="HS89" i="29"/>
  <c r="HS93" i="31" s="1"/>
  <c r="HQ89" i="29"/>
  <c r="HQ93" i="31" s="1"/>
  <c r="HO89" i="29"/>
  <c r="HO93" i="31" s="1"/>
  <c r="HN89" i="29"/>
  <c r="HN93" i="31" s="1"/>
  <c r="HM89" i="29"/>
  <c r="HM93" i="31" s="1"/>
  <c r="HK89" i="29"/>
  <c r="HK93" i="31" s="1"/>
  <c r="HJ89" i="29"/>
  <c r="HJ93" i="31" s="1"/>
  <c r="HI89" i="29"/>
  <c r="HI93" i="31" s="1"/>
  <c r="HH89" i="29"/>
  <c r="HH93" i="31" s="1"/>
  <c r="HG89" i="29"/>
  <c r="HG93" i="31" s="1"/>
  <c r="HF89" i="29"/>
  <c r="HF93" i="31" s="1"/>
  <c r="HD89" i="29"/>
  <c r="HD93" i="31" s="1"/>
  <c r="HB89" i="29"/>
  <c r="HB93" i="31" s="1"/>
  <c r="HA89" i="29"/>
  <c r="HA93" i="31" s="1"/>
  <c r="GZ89" i="29"/>
  <c r="GZ93" i="31" s="1"/>
  <c r="GX89" i="29"/>
  <c r="GX93" i="31" s="1"/>
  <c r="GW89" i="29"/>
  <c r="GW93" i="31" s="1"/>
  <c r="GU89" i="29"/>
  <c r="GU93" i="31" s="1"/>
  <c r="GT89" i="29"/>
  <c r="GT93" i="31" s="1"/>
  <c r="GS89" i="29"/>
  <c r="GS93" i="31" s="1"/>
  <c r="GR89" i="29"/>
  <c r="GR93" i="31" s="1"/>
  <c r="GQ89" i="29"/>
  <c r="GQ93" i="31" s="1"/>
  <c r="GP89" i="29"/>
  <c r="GP93" i="31" s="1"/>
  <c r="GN89" i="29"/>
  <c r="GN93" i="31" s="1"/>
  <c r="GM89" i="29"/>
  <c r="GM93" i="31" s="1"/>
  <c r="GL89" i="29"/>
  <c r="GL93" i="31" s="1"/>
  <c r="GK89" i="29"/>
  <c r="GK93" i="31" s="1"/>
  <c r="GJ89" i="29"/>
  <c r="GJ93" i="31" s="1"/>
  <c r="GH89" i="29"/>
  <c r="GH93" i="31" s="1"/>
  <c r="GG89" i="29"/>
  <c r="GG93" i="31" s="1"/>
  <c r="GF89" i="29"/>
  <c r="GF93" i="31" s="1"/>
  <c r="GE89" i="29"/>
  <c r="GE93" i="31" s="1"/>
  <c r="GC89" i="29"/>
  <c r="GC93" i="31" s="1"/>
  <c r="GA89" i="29"/>
  <c r="GA93" i="31" s="1"/>
  <c r="FZ89" i="29"/>
  <c r="FZ93" i="31" s="1"/>
  <c r="FY89" i="29"/>
  <c r="FY93" i="31" s="1"/>
  <c r="FX89" i="29"/>
  <c r="FX93" i="31" s="1"/>
  <c r="FW89" i="29"/>
  <c r="FW93" i="31" s="1"/>
  <c r="FV89" i="29"/>
  <c r="FV93" i="31" s="1"/>
  <c r="FU89" i="29"/>
  <c r="FU93" i="31" s="1"/>
  <c r="FT89" i="29"/>
  <c r="FT93" i="31" s="1"/>
  <c r="FS89" i="29"/>
  <c r="FS93" i="31" s="1"/>
  <c r="FR89" i="29"/>
  <c r="FR93" i="31" s="1"/>
  <c r="FQ89" i="29"/>
  <c r="FQ93" i="31" s="1"/>
  <c r="FO89" i="29"/>
  <c r="FO93" i="31" s="1"/>
  <c r="FN89" i="29"/>
  <c r="FN93" i="31" s="1"/>
  <c r="FM89" i="29"/>
  <c r="FM93" i="31" s="1"/>
  <c r="FL89" i="29"/>
  <c r="FL93" i="31" s="1"/>
  <c r="FK89" i="29"/>
  <c r="FK93" i="31" s="1"/>
  <c r="FJ89" i="29"/>
  <c r="FJ93" i="31" s="1"/>
  <c r="FF89" i="29"/>
  <c r="FF93" i="31" s="1"/>
  <c r="FE89" i="29"/>
  <c r="FE93" i="31" s="1"/>
  <c r="FD89" i="29"/>
  <c r="FD93" i="31" s="1"/>
  <c r="FC89" i="29"/>
  <c r="FC93" i="31" s="1"/>
  <c r="FB89" i="29"/>
  <c r="FB93" i="31" s="1"/>
  <c r="FA89" i="29"/>
  <c r="FA93" i="31" s="1"/>
  <c r="EZ89" i="29"/>
  <c r="EZ93" i="31" s="1"/>
  <c r="EY89" i="29"/>
  <c r="EY93" i="31" s="1"/>
  <c r="EW89" i="29"/>
  <c r="EW93" i="31" s="1"/>
  <c r="EV89" i="29"/>
  <c r="EV93" i="31" s="1"/>
  <c r="ET89" i="29"/>
  <c r="ET93" i="31" s="1"/>
  <c r="ES89" i="29"/>
  <c r="ES93" i="31" s="1"/>
  <c r="ER89" i="29"/>
  <c r="ER93" i="31" s="1"/>
  <c r="EQ89" i="29"/>
  <c r="EQ93" i="31" s="1"/>
  <c r="EP89" i="29"/>
  <c r="EP93" i="31" s="1"/>
  <c r="EO89" i="29"/>
  <c r="EO93" i="31" s="1"/>
  <c r="EN89" i="29"/>
  <c r="EN93" i="31" s="1"/>
  <c r="EM89" i="29"/>
  <c r="EM93" i="31" s="1"/>
  <c r="EL89" i="29"/>
  <c r="EL93" i="31" s="1"/>
  <c r="EK89" i="29"/>
  <c r="EK93" i="31" s="1"/>
  <c r="EJ89" i="29"/>
  <c r="EJ93" i="31" s="1"/>
  <c r="EI89" i="29"/>
  <c r="EI93" i="31" s="1"/>
  <c r="EH89" i="29"/>
  <c r="EH93" i="31" s="1"/>
  <c r="EG89" i="29"/>
  <c r="EG93" i="31" s="1"/>
  <c r="EF89" i="29"/>
  <c r="EF93" i="31" s="1"/>
  <c r="EE89" i="29"/>
  <c r="EE93" i="31" s="1"/>
  <c r="ED89" i="29"/>
  <c r="ED93" i="31" s="1"/>
  <c r="EC89" i="29"/>
  <c r="EC93" i="31" s="1"/>
  <c r="EB89" i="29"/>
  <c r="EB93" i="31" s="1"/>
  <c r="EA89" i="29"/>
  <c r="EA93" i="31" s="1"/>
  <c r="DZ89" i="29"/>
  <c r="DZ93" i="31" s="1"/>
  <c r="DY89" i="29"/>
  <c r="DY93" i="31" s="1"/>
  <c r="DX89" i="29"/>
  <c r="DX93" i="31" s="1"/>
  <c r="DW89" i="29"/>
  <c r="DW93" i="31" s="1"/>
  <c r="DV89" i="29"/>
  <c r="DV93" i="31" s="1"/>
  <c r="DU89" i="29"/>
  <c r="DU93" i="31" s="1"/>
  <c r="DT89" i="29"/>
  <c r="DT93" i="31" s="1"/>
  <c r="DS89" i="29"/>
  <c r="DS93" i="31" s="1"/>
  <c r="DR89" i="29"/>
  <c r="DR93" i="31" s="1"/>
  <c r="DQ89" i="29"/>
  <c r="DQ93" i="31" s="1"/>
  <c r="DP89" i="29"/>
  <c r="DP93" i="31" s="1"/>
  <c r="DO89" i="29"/>
  <c r="DO93" i="31" s="1"/>
  <c r="DN89" i="29"/>
  <c r="DN93" i="31" s="1"/>
  <c r="DM89" i="29"/>
  <c r="DM93" i="31" s="1"/>
  <c r="DL89" i="29"/>
  <c r="DL93" i="31" s="1"/>
  <c r="DK89" i="29"/>
  <c r="DK93" i="31" s="1"/>
  <c r="DJ89" i="29"/>
  <c r="DJ93" i="31" s="1"/>
  <c r="DI89" i="29"/>
  <c r="DI93" i="31" s="1"/>
  <c r="DH89" i="29"/>
  <c r="DH93" i="31" s="1"/>
  <c r="DG89" i="29"/>
  <c r="DG93" i="31" s="1"/>
  <c r="DF89" i="29"/>
  <c r="DF93" i="31" s="1"/>
  <c r="DE89" i="29"/>
  <c r="DE93" i="31" s="1"/>
  <c r="DD89" i="29"/>
  <c r="DD93" i="31" s="1"/>
  <c r="DC89" i="29"/>
  <c r="DC93" i="31" s="1"/>
  <c r="DB89" i="29"/>
  <c r="DB93" i="31" s="1"/>
  <c r="CZ89" i="29"/>
  <c r="CZ93" i="31" s="1"/>
  <c r="CY89" i="29"/>
  <c r="CY93" i="31" s="1"/>
  <c r="CX89" i="29"/>
  <c r="CX93" i="31" s="1"/>
  <c r="CW89" i="29"/>
  <c r="CW93" i="31" s="1"/>
  <c r="CU89" i="29"/>
  <c r="CU93" i="31" s="1"/>
  <c r="CT89" i="29"/>
  <c r="CT93" i="31" s="1"/>
  <c r="CS89" i="29"/>
  <c r="CS93" i="31" s="1"/>
  <c r="CR89" i="29"/>
  <c r="CR93" i="31" s="1"/>
  <c r="CQ89" i="29"/>
  <c r="CQ93" i="31" s="1"/>
  <c r="CP89" i="29"/>
  <c r="CP93" i="31" s="1"/>
  <c r="CO89" i="29"/>
  <c r="CO93" i="31" s="1"/>
  <c r="CN89" i="29"/>
  <c r="CN93" i="31" s="1"/>
  <c r="CM89" i="29"/>
  <c r="CM93" i="31" s="1"/>
  <c r="CL89" i="29"/>
  <c r="CL93" i="31" s="1"/>
  <c r="CK89" i="29"/>
  <c r="CK93" i="31" s="1"/>
  <c r="CJ89" i="29"/>
  <c r="CJ93" i="31" s="1"/>
  <c r="CI89" i="29"/>
  <c r="CI93" i="31" s="1"/>
  <c r="CH89" i="29"/>
  <c r="CH93" i="31" s="1"/>
  <c r="CG89" i="29"/>
  <c r="CG93" i="31" s="1"/>
  <c r="CF89" i="29"/>
  <c r="CF93" i="31" s="1"/>
  <c r="CE89" i="29"/>
  <c r="CE93" i="31" s="1"/>
  <c r="CD89" i="29"/>
  <c r="CD93" i="31" s="1"/>
  <c r="CC89" i="29"/>
  <c r="CC93" i="31" s="1"/>
  <c r="CB89" i="29"/>
  <c r="CB93" i="31" s="1"/>
  <c r="CA89" i="29"/>
  <c r="CA93" i="31" s="1"/>
  <c r="BZ89" i="29"/>
  <c r="BZ93" i="31" s="1"/>
  <c r="BY89" i="29"/>
  <c r="BY93" i="31" s="1"/>
  <c r="BX89" i="29"/>
  <c r="BX93" i="31" s="1"/>
  <c r="BW89" i="29"/>
  <c r="BW93" i="31" s="1"/>
  <c r="BV89" i="29"/>
  <c r="BV93" i="31" s="1"/>
  <c r="BU89" i="29"/>
  <c r="BU93" i="31" s="1"/>
  <c r="BT89" i="29"/>
  <c r="BT93" i="31" s="1"/>
  <c r="BS89" i="29"/>
  <c r="BS93" i="31" s="1"/>
  <c r="BR89" i="29"/>
  <c r="BR93" i="31" s="1"/>
  <c r="BQ89" i="29"/>
  <c r="BQ93" i="31" s="1"/>
  <c r="BP89" i="29"/>
  <c r="BP93" i="31" s="1"/>
  <c r="BO89" i="29"/>
  <c r="BO93" i="31" s="1"/>
  <c r="BN89" i="29"/>
  <c r="BN93" i="31" s="1"/>
  <c r="BM89" i="29"/>
  <c r="BM93" i="31" s="1"/>
  <c r="BL89" i="29"/>
  <c r="BL93" i="31" s="1"/>
  <c r="BK89" i="29"/>
  <c r="BK93" i="31" s="1"/>
  <c r="BJ89" i="29"/>
  <c r="BJ93" i="31" s="1"/>
  <c r="BH89" i="29"/>
  <c r="BH93" i="31" s="1"/>
  <c r="BG89" i="29"/>
  <c r="BG93" i="31" s="1"/>
  <c r="BF89" i="29"/>
  <c r="BF93" i="31" s="1"/>
  <c r="BE89" i="29"/>
  <c r="BE93" i="31" s="1"/>
  <c r="BD89" i="29"/>
  <c r="BD93" i="31" s="1"/>
  <c r="BC89" i="29"/>
  <c r="BC93" i="31" s="1"/>
  <c r="BB89" i="29"/>
  <c r="BB93" i="31" s="1"/>
  <c r="BA89" i="29"/>
  <c r="BA93" i="31" s="1"/>
  <c r="AY89" i="29"/>
  <c r="AY93" i="31" s="1"/>
  <c r="AX89" i="29"/>
  <c r="AX93" i="31" s="1"/>
  <c r="AW89" i="29"/>
  <c r="AW93" i="31" s="1"/>
  <c r="AV89" i="29"/>
  <c r="AV93" i="31" s="1"/>
  <c r="AU89" i="29"/>
  <c r="AU93" i="31" s="1"/>
  <c r="AT89" i="29"/>
  <c r="AT93" i="31" s="1"/>
  <c r="AS89" i="29"/>
  <c r="AS93" i="31" s="1"/>
  <c r="AR89" i="29"/>
  <c r="AR93" i="31" s="1"/>
  <c r="AQ89" i="29"/>
  <c r="AQ93" i="31" s="1"/>
  <c r="AP89" i="29"/>
  <c r="AP93" i="31" s="1"/>
  <c r="AO89" i="29"/>
  <c r="AO93" i="31" s="1"/>
  <c r="AN89" i="29"/>
  <c r="AN93" i="31" s="1"/>
  <c r="AM89" i="29"/>
  <c r="AM93" i="31" s="1"/>
  <c r="AL89" i="29"/>
  <c r="AL93" i="31" s="1"/>
  <c r="AK89" i="29"/>
  <c r="AK93" i="31" s="1"/>
  <c r="AH89" i="29"/>
  <c r="AH93" i="31" s="1"/>
  <c r="AG89" i="29"/>
  <c r="AG93" i="31" s="1"/>
  <c r="AF89" i="29"/>
  <c r="AF93" i="31" s="1"/>
  <c r="AE89" i="29"/>
  <c r="AE93" i="31" s="1"/>
  <c r="AD89" i="29"/>
  <c r="AD93" i="31" s="1"/>
  <c r="AB89" i="29"/>
  <c r="AB93" i="31" s="1"/>
  <c r="AA89" i="29"/>
  <c r="AA93" i="31" s="1"/>
  <c r="Y89" i="29"/>
  <c r="Y93" i="31" s="1"/>
  <c r="X89" i="29"/>
  <c r="X93" i="31" s="1"/>
  <c r="W89" i="29"/>
  <c r="W93" i="31" s="1"/>
  <c r="V89" i="29"/>
  <c r="V93" i="31" s="1"/>
  <c r="U89" i="29"/>
  <c r="U93" i="31" s="1"/>
  <c r="T89" i="29"/>
  <c r="T93" i="31" s="1"/>
  <c r="S89" i="29"/>
  <c r="S93" i="31" s="1"/>
  <c r="R89" i="29"/>
  <c r="R93" i="31" s="1"/>
  <c r="Q89" i="29"/>
  <c r="Q93" i="31" s="1"/>
  <c r="P89" i="29"/>
  <c r="P93" i="31" s="1"/>
  <c r="O89" i="29"/>
  <c r="O93" i="31" s="1"/>
  <c r="N89" i="29"/>
  <c r="N93" i="31" s="1"/>
  <c r="M89" i="29"/>
  <c r="M93" i="31" s="1"/>
  <c r="L89" i="29"/>
  <c r="L93" i="31" s="1"/>
  <c r="K89" i="29"/>
  <c r="K93" i="31" s="1"/>
  <c r="J89" i="29"/>
  <c r="J93" i="31" s="1"/>
  <c r="I89" i="29"/>
  <c r="I93" i="31" s="1"/>
  <c r="H89" i="29"/>
  <c r="H93" i="31" s="1"/>
  <c r="G89" i="29"/>
  <c r="G93" i="31" s="1"/>
  <c r="F89" i="29"/>
  <c r="F93" i="31" s="1"/>
  <c r="A89" i="29"/>
  <c r="CA88" i="29"/>
  <c r="CA92" i="31" s="1"/>
  <c r="GZ81" i="29"/>
  <c r="GZ85" i="31" s="1"/>
  <c r="FR81" i="29"/>
  <c r="FR85" i="31" s="1"/>
  <c r="JH77" i="29"/>
  <c r="JH81" i="31" s="1"/>
  <c r="JG77" i="29"/>
  <c r="JG81" i="31" s="1"/>
  <c r="JF77" i="29"/>
  <c r="JF81" i="31" s="1"/>
  <c r="JE77" i="29"/>
  <c r="JE81" i="31" s="1"/>
  <c r="JD77" i="29"/>
  <c r="JD81" i="31" s="1"/>
  <c r="JC77" i="29"/>
  <c r="JC81" i="31" s="1"/>
  <c r="JB77" i="29"/>
  <c r="JB81" i="31" s="1"/>
  <c r="JA77" i="29"/>
  <c r="JA81" i="31" s="1"/>
  <c r="IZ77" i="29"/>
  <c r="IZ81" i="31" s="1"/>
  <c r="IY77" i="29"/>
  <c r="IY81" i="31" s="1"/>
  <c r="IX77" i="29"/>
  <c r="IX81" i="31" s="1"/>
  <c r="IW77" i="29"/>
  <c r="IW81" i="31" s="1"/>
  <c r="IV77" i="29"/>
  <c r="IV81" i="31" s="1"/>
  <c r="IU77" i="29"/>
  <c r="IU81" i="31" s="1"/>
  <c r="IT77" i="29"/>
  <c r="IT81" i="31" s="1"/>
  <c r="IS77" i="29"/>
  <c r="IS81" i="31" s="1"/>
  <c r="IR77" i="29"/>
  <c r="IR81" i="31" s="1"/>
  <c r="IQ77" i="29"/>
  <c r="IQ81" i="31" s="1"/>
  <c r="IP77" i="29"/>
  <c r="IP81" i="31" s="1"/>
  <c r="IO77" i="29"/>
  <c r="IO81" i="31" s="1"/>
  <c r="IN77" i="29"/>
  <c r="IN81" i="31" s="1"/>
  <c r="IM77" i="29"/>
  <c r="IM81" i="31" s="1"/>
  <c r="IL77" i="29"/>
  <c r="IL81" i="31" s="1"/>
  <c r="IK77" i="29"/>
  <c r="IK81" i="31" s="1"/>
  <c r="IJ77" i="29"/>
  <c r="IJ81" i="31" s="1"/>
  <c r="II77" i="29"/>
  <c r="II81" i="31" s="1"/>
  <c r="IH77" i="29"/>
  <c r="IH81" i="31" s="1"/>
  <c r="IG77" i="29"/>
  <c r="IG81" i="31" s="1"/>
  <c r="IF77" i="29"/>
  <c r="IF81" i="31" s="1"/>
  <c r="IE77" i="29"/>
  <c r="IE81" i="31" s="1"/>
  <c r="ID77" i="29"/>
  <c r="ID81" i="31" s="1"/>
  <c r="IC77" i="29"/>
  <c r="IC81" i="31" s="1"/>
  <c r="IB77" i="29"/>
  <c r="IB81" i="31" s="1"/>
  <c r="IA77" i="29"/>
  <c r="IA81" i="31" s="1"/>
  <c r="HZ77" i="29"/>
  <c r="HZ81" i="31" s="1"/>
  <c r="HY77" i="29"/>
  <c r="HY81" i="31" s="1"/>
  <c r="HX77" i="29"/>
  <c r="HX81" i="31" s="1"/>
  <c r="HW77" i="29"/>
  <c r="HW81" i="31" s="1"/>
  <c r="HV77" i="29"/>
  <c r="HV81" i="31" s="1"/>
  <c r="HU77" i="29"/>
  <c r="HU81" i="31" s="1"/>
  <c r="HT77" i="29"/>
  <c r="HT81" i="31" s="1"/>
  <c r="HS77" i="29"/>
  <c r="HS81" i="31" s="1"/>
  <c r="HR77" i="29"/>
  <c r="HR81" i="31" s="1"/>
  <c r="HQ77" i="29"/>
  <c r="HQ81" i="31" s="1"/>
  <c r="HP77" i="29"/>
  <c r="HP81" i="31" s="1"/>
  <c r="HO77" i="29"/>
  <c r="HO81" i="31" s="1"/>
  <c r="HN77" i="29"/>
  <c r="HN81" i="31" s="1"/>
  <c r="HM77" i="29"/>
  <c r="HM81" i="31" s="1"/>
  <c r="HL77" i="29"/>
  <c r="HL81" i="31" s="1"/>
  <c r="HK77" i="29"/>
  <c r="HK81" i="31" s="1"/>
  <c r="HB77" i="29"/>
  <c r="HB81" i="31" s="1"/>
  <c r="GZ77" i="29"/>
  <c r="GZ81" i="31" s="1"/>
  <c r="GN77" i="29"/>
  <c r="GN81" i="31" s="1"/>
  <c r="GB77" i="29"/>
  <c r="GB81" i="31" s="1"/>
  <c r="GA77" i="29"/>
  <c r="GA81" i="31" s="1"/>
  <c r="FR77" i="29"/>
  <c r="FR81" i="31" s="1"/>
  <c r="FF77" i="29"/>
  <c r="FF81" i="31" s="1"/>
  <c r="FE77" i="29"/>
  <c r="FE81" i="31" s="1"/>
  <c r="FD77" i="29"/>
  <c r="FD81" i="31" s="1"/>
  <c r="ET77" i="29"/>
  <c r="ET81" i="31" s="1"/>
  <c r="EB77" i="29"/>
  <c r="EB81" i="31" s="1"/>
  <c r="DZ77" i="29"/>
  <c r="DZ81" i="31" s="1"/>
  <c r="DY77" i="29"/>
  <c r="DY81" i="31" s="1"/>
  <c r="DG77" i="29"/>
  <c r="DG81" i="31" s="1"/>
  <c r="DA77" i="29"/>
  <c r="DA81" i="31" s="1"/>
  <c r="CS77" i="29"/>
  <c r="CS81" i="31" s="1"/>
  <c r="CQ77" i="29"/>
  <c r="CQ81" i="31" s="1"/>
  <c r="CP77" i="29"/>
  <c r="CP81" i="31" s="1"/>
  <c r="CO77" i="29"/>
  <c r="CO81" i="31" s="1"/>
  <c r="CN77" i="29"/>
  <c r="CN81" i="31" s="1"/>
  <c r="CM77" i="29"/>
  <c r="CM81" i="31" s="1"/>
  <c r="CH77" i="29"/>
  <c r="CH81" i="31" s="1"/>
  <c r="CF77" i="29"/>
  <c r="CF81" i="31" s="1"/>
  <c r="CA77" i="29"/>
  <c r="CA81" i="31" s="1"/>
  <c r="BT77" i="29"/>
  <c r="BT81" i="31" s="1"/>
  <c r="BS77" i="29"/>
  <c r="BS81" i="31" s="1"/>
  <c r="BR77" i="29"/>
  <c r="BR81" i="31" s="1"/>
  <c r="BO77" i="29"/>
  <c r="BO81" i="31" s="1"/>
  <c r="BN77" i="29"/>
  <c r="BN81" i="31" s="1"/>
  <c r="BL77" i="29"/>
  <c r="BL81" i="31" s="1"/>
  <c r="BK77" i="29"/>
  <c r="BK81" i="31" s="1"/>
  <c r="BE77" i="29"/>
  <c r="BE81" i="31" s="1"/>
  <c r="AP77" i="29"/>
  <c r="AP81" i="31" s="1"/>
  <c r="AN77" i="29"/>
  <c r="AN81" i="31" s="1"/>
  <c r="AD77" i="29"/>
  <c r="AD81" i="31" s="1"/>
  <c r="K77" i="29"/>
  <c r="K81" i="31" s="1"/>
  <c r="I77" i="29"/>
  <c r="I81" i="31" s="1"/>
  <c r="H77" i="29"/>
  <c r="H81" i="31" s="1"/>
  <c r="B77" i="29"/>
  <c r="IK76" i="29"/>
  <c r="IK80" i="31" s="1"/>
  <c r="HO76" i="29"/>
  <c r="HO80" i="31" s="1"/>
  <c r="GZ76" i="29"/>
  <c r="GZ80" i="31" s="1"/>
  <c r="FR76" i="29"/>
  <c r="FR80" i="31" s="1"/>
  <c r="EU76" i="29"/>
  <c r="EU80" i="31" s="1"/>
  <c r="ET76" i="29"/>
  <c r="ET80" i="31" s="1"/>
  <c r="DS76" i="29"/>
  <c r="DS80" i="31" s="1"/>
  <c r="DE76" i="29"/>
  <c r="DE80" i="31" s="1"/>
  <c r="CZ76" i="29"/>
  <c r="CZ80" i="31" s="1"/>
  <c r="CW76" i="29"/>
  <c r="CW80" i="31" s="1"/>
  <c r="CS76" i="29"/>
  <c r="CS80" i="31" s="1"/>
  <c r="CA76" i="29"/>
  <c r="CA80" i="31" s="1"/>
  <c r="BL76" i="29"/>
  <c r="BL80" i="31" s="1"/>
  <c r="BK76" i="29"/>
  <c r="BK80" i="31" s="1"/>
  <c r="AF76" i="29"/>
  <c r="AF80" i="31" s="1"/>
  <c r="AE76" i="29"/>
  <c r="AE80" i="31" s="1"/>
  <c r="B76" i="29"/>
  <c r="JH75" i="29"/>
  <c r="JH79" i="31" s="1"/>
  <c r="JG75" i="29"/>
  <c r="JG79" i="31" s="1"/>
  <c r="JF75" i="29"/>
  <c r="JF79" i="31" s="1"/>
  <c r="JE75" i="29"/>
  <c r="JE79" i="31" s="1"/>
  <c r="JD75" i="29"/>
  <c r="JD79" i="31" s="1"/>
  <c r="JC75" i="29"/>
  <c r="JC79" i="31" s="1"/>
  <c r="JB75" i="29"/>
  <c r="JB79" i="31" s="1"/>
  <c r="JA75" i="29"/>
  <c r="JA79" i="31" s="1"/>
  <c r="IZ75" i="29"/>
  <c r="IZ79" i="31" s="1"/>
  <c r="IY75" i="29"/>
  <c r="IY79" i="31" s="1"/>
  <c r="IX75" i="29"/>
  <c r="IX79" i="31" s="1"/>
  <c r="IW75" i="29"/>
  <c r="IW79" i="31" s="1"/>
  <c r="IV75" i="29"/>
  <c r="IV79" i="31" s="1"/>
  <c r="IU75" i="29"/>
  <c r="IU79" i="31" s="1"/>
  <c r="IT75" i="29"/>
  <c r="IT79" i="31" s="1"/>
  <c r="IS75" i="29"/>
  <c r="IS79" i="31" s="1"/>
  <c r="IR75" i="29"/>
  <c r="IR79" i="31" s="1"/>
  <c r="IQ75" i="29"/>
  <c r="IQ79" i="31" s="1"/>
  <c r="IP75" i="29"/>
  <c r="IP79" i="31" s="1"/>
  <c r="IO75" i="29"/>
  <c r="IO79" i="31" s="1"/>
  <c r="IN75" i="29"/>
  <c r="IN79" i="31" s="1"/>
  <c r="IM75" i="29"/>
  <c r="IM79" i="31" s="1"/>
  <c r="IL75" i="29"/>
  <c r="IL79" i="31" s="1"/>
  <c r="IK75" i="29"/>
  <c r="IK79" i="31" s="1"/>
  <c r="IJ75" i="29"/>
  <c r="IJ79" i="31" s="1"/>
  <c r="II75" i="29"/>
  <c r="II79" i="31" s="1"/>
  <c r="IH75" i="29"/>
  <c r="IH79" i="31" s="1"/>
  <c r="IG75" i="29"/>
  <c r="IG79" i="31" s="1"/>
  <c r="IF75" i="29"/>
  <c r="IF79" i="31" s="1"/>
  <c r="IE75" i="29"/>
  <c r="IE79" i="31" s="1"/>
  <c r="ID75" i="29"/>
  <c r="ID79" i="31" s="1"/>
  <c r="IC75" i="29"/>
  <c r="IC79" i="31" s="1"/>
  <c r="IB75" i="29"/>
  <c r="IB79" i="31" s="1"/>
  <c r="IA75" i="29"/>
  <c r="IA79" i="31" s="1"/>
  <c r="HZ75" i="29"/>
  <c r="HZ79" i="31" s="1"/>
  <c r="HY75" i="29"/>
  <c r="HY79" i="31" s="1"/>
  <c r="HX75" i="29"/>
  <c r="HX79" i="31" s="1"/>
  <c r="HW75" i="29"/>
  <c r="HW79" i="31" s="1"/>
  <c r="HV75" i="29"/>
  <c r="HV79" i="31" s="1"/>
  <c r="HU75" i="29"/>
  <c r="HU79" i="31" s="1"/>
  <c r="HT75" i="29"/>
  <c r="HT79" i="31" s="1"/>
  <c r="HS75" i="29"/>
  <c r="HS79" i="31" s="1"/>
  <c r="HR75" i="29"/>
  <c r="HR79" i="31" s="1"/>
  <c r="HQ75" i="29"/>
  <c r="HQ79" i="31" s="1"/>
  <c r="HP75" i="29"/>
  <c r="HP79" i="31" s="1"/>
  <c r="HO75" i="29"/>
  <c r="HO79" i="31" s="1"/>
  <c r="HN75" i="29"/>
  <c r="HN79" i="31" s="1"/>
  <c r="HM75" i="29"/>
  <c r="HM79" i="31" s="1"/>
  <c r="HL75" i="29"/>
  <c r="HL79" i="31" s="1"/>
  <c r="HK75" i="29"/>
  <c r="HK79" i="31" s="1"/>
  <c r="HJ75" i="29"/>
  <c r="HJ79" i="31" s="1"/>
  <c r="HI75" i="29"/>
  <c r="HI79" i="31" s="1"/>
  <c r="HH75" i="29"/>
  <c r="HH79" i="31" s="1"/>
  <c r="HG75" i="29"/>
  <c r="HG79" i="31" s="1"/>
  <c r="HF75" i="29"/>
  <c r="HF79" i="31" s="1"/>
  <c r="HE75" i="29"/>
  <c r="HE79" i="31" s="1"/>
  <c r="HD75" i="29"/>
  <c r="HD79" i="31" s="1"/>
  <c r="HC75" i="29"/>
  <c r="HC79" i="31" s="1"/>
  <c r="HB75" i="29"/>
  <c r="HB79" i="31" s="1"/>
  <c r="HA75" i="29"/>
  <c r="HA79" i="31" s="1"/>
  <c r="GZ75" i="29"/>
  <c r="GZ79" i="31" s="1"/>
  <c r="GY75" i="29"/>
  <c r="GY79" i="31" s="1"/>
  <c r="GX75" i="29"/>
  <c r="GX79" i="31" s="1"/>
  <c r="GW75" i="29"/>
  <c r="GW79" i="31" s="1"/>
  <c r="GV75" i="29"/>
  <c r="GV79" i="31" s="1"/>
  <c r="GU75" i="29"/>
  <c r="GU79" i="31" s="1"/>
  <c r="GT75" i="29"/>
  <c r="GT79" i="31" s="1"/>
  <c r="GS75" i="29"/>
  <c r="GS79" i="31" s="1"/>
  <c r="GR75" i="29"/>
  <c r="GR79" i="31" s="1"/>
  <c r="GQ75" i="29"/>
  <c r="GQ79" i="31" s="1"/>
  <c r="GP75" i="29"/>
  <c r="GP79" i="31" s="1"/>
  <c r="GO75" i="29"/>
  <c r="GO79" i="31" s="1"/>
  <c r="GN75" i="29"/>
  <c r="GN79" i="31" s="1"/>
  <c r="GM75" i="29"/>
  <c r="GM79" i="31" s="1"/>
  <c r="GL75" i="29"/>
  <c r="GL79" i="31" s="1"/>
  <c r="GK75" i="29"/>
  <c r="GK79" i="31" s="1"/>
  <c r="GJ75" i="29"/>
  <c r="GJ79" i="31" s="1"/>
  <c r="GI75" i="29"/>
  <c r="GI79" i="31" s="1"/>
  <c r="GH75" i="29"/>
  <c r="GH79" i="31" s="1"/>
  <c r="GG75" i="29"/>
  <c r="GG79" i="31" s="1"/>
  <c r="GF75" i="29"/>
  <c r="GF79" i="31" s="1"/>
  <c r="GE75" i="29"/>
  <c r="GE79" i="31" s="1"/>
  <c r="GD75" i="29"/>
  <c r="GD79" i="31" s="1"/>
  <c r="GC75" i="29"/>
  <c r="GC79" i="31" s="1"/>
  <c r="GB75" i="29"/>
  <c r="GB79" i="31" s="1"/>
  <c r="GA75" i="29"/>
  <c r="GA79" i="31" s="1"/>
  <c r="FZ75" i="29"/>
  <c r="FZ79" i="31" s="1"/>
  <c r="FY75" i="29"/>
  <c r="FY79" i="31" s="1"/>
  <c r="FX75" i="29"/>
  <c r="FX79" i="31" s="1"/>
  <c r="FW75" i="29"/>
  <c r="FW79" i="31" s="1"/>
  <c r="FV75" i="29"/>
  <c r="FV79" i="31" s="1"/>
  <c r="FU75" i="29"/>
  <c r="FU79" i="31" s="1"/>
  <c r="FT75" i="29"/>
  <c r="FT79" i="31" s="1"/>
  <c r="FS75" i="29"/>
  <c r="FS79" i="31" s="1"/>
  <c r="FR75" i="29"/>
  <c r="FR79" i="31" s="1"/>
  <c r="FQ75" i="29"/>
  <c r="FQ79" i="31" s="1"/>
  <c r="FP75" i="29"/>
  <c r="FP79" i="31" s="1"/>
  <c r="FO75" i="29"/>
  <c r="FO79" i="31" s="1"/>
  <c r="FN75" i="29"/>
  <c r="FN79" i="31" s="1"/>
  <c r="FM75" i="29"/>
  <c r="FM79" i="31" s="1"/>
  <c r="FL75" i="29"/>
  <c r="FL79" i="31" s="1"/>
  <c r="FK75" i="29"/>
  <c r="FK79" i="31" s="1"/>
  <c r="FJ75" i="29"/>
  <c r="FJ79" i="31" s="1"/>
  <c r="FI75" i="29"/>
  <c r="FI79" i="31" s="1"/>
  <c r="FH75" i="29"/>
  <c r="FH79" i="31" s="1"/>
  <c r="FG75" i="29"/>
  <c r="FG79" i="31" s="1"/>
  <c r="FF75" i="29"/>
  <c r="FF79" i="31" s="1"/>
  <c r="FE75" i="29"/>
  <c r="FE79" i="31" s="1"/>
  <c r="FD75" i="29"/>
  <c r="FD79" i="31" s="1"/>
  <c r="FC75" i="29"/>
  <c r="FC79" i="31" s="1"/>
  <c r="FB75" i="29"/>
  <c r="FB79" i="31" s="1"/>
  <c r="FA75" i="29"/>
  <c r="FA79" i="31" s="1"/>
  <c r="EZ75" i="29"/>
  <c r="EZ79" i="31" s="1"/>
  <c r="EY75" i="29"/>
  <c r="EY79" i="31" s="1"/>
  <c r="EX75" i="29"/>
  <c r="EX79" i="31" s="1"/>
  <c r="EW75" i="29"/>
  <c r="EW79" i="31" s="1"/>
  <c r="EV75" i="29"/>
  <c r="EV79" i="31" s="1"/>
  <c r="EU75" i="29"/>
  <c r="EU79" i="31" s="1"/>
  <c r="ET75" i="29"/>
  <c r="ET79" i="31" s="1"/>
  <c r="ES75" i="29"/>
  <c r="ES79" i="31" s="1"/>
  <c r="ER75" i="29"/>
  <c r="ER79" i="31" s="1"/>
  <c r="EQ75" i="29"/>
  <c r="EQ79" i="31" s="1"/>
  <c r="EP75" i="29"/>
  <c r="EP79" i="31" s="1"/>
  <c r="EO75" i="29"/>
  <c r="EO79" i="31" s="1"/>
  <c r="EN75" i="29"/>
  <c r="EN79" i="31" s="1"/>
  <c r="EM75" i="29"/>
  <c r="EM79" i="31" s="1"/>
  <c r="EL75" i="29"/>
  <c r="EL79" i="31" s="1"/>
  <c r="EK75" i="29"/>
  <c r="EK79" i="31" s="1"/>
  <c r="EJ75" i="29"/>
  <c r="EJ79" i="31" s="1"/>
  <c r="EI75" i="29"/>
  <c r="EI79" i="31" s="1"/>
  <c r="EH75" i="29"/>
  <c r="EH79" i="31" s="1"/>
  <c r="EG75" i="29"/>
  <c r="EG79" i="31" s="1"/>
  <c r="EF75" i="29"/>
  <c r="EF79" i="31" s="1"/>
  <c r="EE75" i="29"/>
  <c r="EE79" i="31" s="1"/>
  <c r="ED75" i="29"/>
  <c r="ED79" i="31" s="1"/>
  <c r="EC75" i="29"/>
  <c r="EC79" i="31" s="1"/>
  <c r="EB75" i="29"/>
  <c r="EB79" i="31" s="1"/>
  <c r="EA75" i="29"/>
  <c r="EA79" i="31" s="1"/>
  <c r="DZ75" i="29"/>
  <c r="DZ79" i="31" s="1"/>
  <c r="DY75" i="29"/>
  <c r="DY79" i="31" s="1"/>
  <c r="DX75" i="29"/>
  <c r="DX79" i="31" s="1"/>
  <c r="DW75" i="29"/>
  <c r="DW79" i="31" s="1"/>
  <c r="DV75" i="29"/>
  <c r="DV79" i="31" s="1"/>
  <c r="DU75" i="29"/>
  <c r="DU79" i="31" s="1"/>
  <c r="DT75" i="29"/>
  <c r="DT79" i="31" s="1"/>
  <c r="DS75" i="29"/>
  <c r="DS79" i="31" s="1"/>
  <c r="DR75" i="29"/>
  <c r="DR79" i="31" s="1"/>
  <c r="DQ75" i="29"/>
  <c r="DQ79" i="31" s="1"/>
  <c r="DP75" i="29"/>
  <c r="DP79" i="31" s="1"/>
  <c r="DO75" i="29"/>
  <c r="DO79" i="31" s="1"/>
  <c r="DN75" i="29"/>
  <c r="DN79" i="31" s="1"/>
  <c r="DM75" i="29"/>
  <c r="DM79" i="31" s="1"/>
  <c r="DL75" i="29"/>
  <c r="DL79" i="31" s="1"/>
  <c r="DK75" i="29"/>
  <c r="DK79" i="31" s="1"/>
  <c r="DJ75" i="29"/>
  <c r="DJ79" i="31" s="1"/>
  <c r="DI75" i="29"/>
  <c r="DI79" i="31" s="1"/>
  <c r="DH75" i="29"/>
  <c r="DH79" i="31" s="1"/>
  <c r="DG75" i="29"/>
  <c r="DG79" i="31" s="1"/>
  <c r="DF75" i="29"/>
  <c r="DF79" i="31" s="1"/>
  <c r="DE75" i="29"/>
  <c r="DE79" i="31" s="1"/>
  <c r="DD75" i="29"/>
  <c r="DD79" i="31" s="1"/>
  <c r="DC75" i="29"/>
  <c r="DC79" i="31" s="1"/>
  <c r="DB75" i="29"/>
  <c r="DB79" i="31" s="1"/>
  <c r="DA75" i="29"/>
  <c r="DA79" i="31" s="1"/>
  <c r="CZ75" i="29"/>
  <c r="CZ79" i="31" s="1"/>
  <c r="CY75" i="29"/>
  <c r="CY79" i="31" s="1"/>
  <c r="CX75" i="29"/>
  <c r="CX79" i="31" s="1"/>
  <c r="CW75" i="29"/>
  <c r="CW79" i="31" s="1"/>
  <c r="CV75" i="29"/>
  <c r="CV79" i="31" s="1"/>
  <c r="CU75" i="29"/>
  <c r="CU79" i="31" s="1"/>
  <c r="CT75" i="29"/>
  <c r="CT79" i="31" s="1"/>
  <c r="CS75" i="29"/>
  <c r="CS79" i="31" s="1"/>
  <c r="CR75" i="29"/>
  <c r="CR79" i="31" s="1"/>
  <c r="CQ75" i="29"/>
  <c r="CQ79" i="31" s="1"/>
  <c r="CP75" i="29"/>
  <c r="CP79" i="31" s="1"/>
  <c r="CO75" i="29"/>
  <c r="CO79" i="31" s="1"/>
  <c r="CN75" i="29"/>
  <c r="CN79" i="31" s="1"/>
  <c r="CM75" i="29"/>
  <c r="CM79" i="31" s="1"/>
  <c r="CL75" i="29"/>
  <c r="CL79" i="31" s="1"/>
  <c r="CK75" i="29"/>
  <c r="CK79" i="31" s="1"/>
  <c r="CJ75" i="29"/>
  <c r="CJ79" i="31" s="1"/>
  <c r="CI75" i="29"/>
  <c r="CI79" i="31" s="1"/>
  <c r="CH75" i="29"/>
  <c r="CH79" i="31" s="1"/>
  <c r="CG75" i="29"/>
  <c r="CG79" i="31" s="1"/>
  <c r="CF75" i="29"/>
  <c r="CF79" i="31" s="1"/>
  <c r="CE75" i="29"/>
  <c r="CE79" i="31" s="1"/>
  <c r="CD75" i="29"/>
  <c r="CD79" i="31" s="1"/>
  <c r="CC75" i="29"/>
  <c r="CC79" i="31" s="1"/>
  <c r="CB75" i="29"/>
  <c r="CB79" i="31" s="1"/>
  <c r="CA75" i="29"/>
  <c r="CA79" i="31" s="1"/>
  <c r="BZ75" i="29"/>
  <c r="BZ79" i="31" s="1"/>
  <c r="BY75" i="29"/>
  <c r="BY79" i="31" s="1"/>
  <c r="BX75" i="29"/>
  <c r="BX79" i="31" s="1"/>
  <c r="BW75" i="29"/>
  <c r="BW79" i="31" s="1"/>
  <c r="BV75" i="29"/>
  <c r="BV79" i="31" s="1"/>
  <c r="BU75" i="29"/>
  <c r="BU79" i="31" s="1"/>
  <c r="BT75" i="29"/>
  <c r="BT79" i="31" s="1"/>
  <c r="BS75" i="29"/>
  <c r="BS79" i="31" s="1"/>
  <c r="BR75" i="29"/>
  <c r="BR79" i="31" s="1"/>
  <c r="BQ75" i="29"/>
  <c r="BQ79" i="31" s="1"/>
  <c r="BP75" i="29"/>
  <c r="BP79" i="31" s="1"/>
  <c r="BO75" i="29"/>
  <c r="BO79" i="31" s="1"/>
  <c r="BN75" i="29"/>
  <c r="BN79" i="31" s="1"/>
  <c r="BM75" i="29"/>
  <c r="BM79" i="31" s="1"/>
  <c r="BL75" i="29"/>
  <c r="BL79" i="31" s="1"/>
  <c r="BK75" i="29"/>
  <c r="BK79" i="31" s="1"/>
  <c r="BJ75" i="29"/>
  <c r="BJ79" i="31" s="1"/>
  <c r="BI75" i="29"/>
  <c r="BI79" i="31" s="1"/>
  <c r="BH75" i="29"/>
  <c r="BH79" i="31" s="1"/>
  <c r="BG75" i="29"/>
  <c r="BG79" i="31" s="1"/>
  <c r="BF75" i="29"/>
  <c r="BF79" i="31" s="1"/>
  <c r="BE75" i="29"/>
  <c r="BE79" i="31" s="1"/>
  <c r="BD75" i="29"/>
  <c r="BD79" i="31" s="1"/>
  <c r="BC75" i="29"/>
  <c r="BC79" i="31" s="1"/>
  <c r="BB75" i="29"/>
  <c r="BB79" i="31" s="1"/>
  <c r="BA75" i="29"/>
  <c r="BA79" i="31" s="1"/>
  <c r="AZ75" i="29"/>
  <c r="AZ79" i="31" s="1"/>
  <c r="AY75" i="29"/>
  <c r="AY79" i="31" s="1"/>
  <c r="AX75" i="29"/>
  <c r="AX79" i="31" s="1"/>
  <c r="AW75" i="29"/>
  <c r="AW79" i="31" s="1"/>
  <c r="AV75" i="29"/>
  <c r="AV79" i="31" s="1"/>
  <c r="AU75" i="29"/>
  <c r="AU79" i="31" s="1"/>
  <c r="AT75" i="29"/>
  <c r="AT79" i="31" s="1"/>
  <c r="AS75" i="29"/>
  <c r="AS79" i="31" s="1"/>
  <c r="AR75" i="29"/>
  <c r="AR79" i="31" s="1"/>
  <c r="AQ75" i="29"/>
  <c r="AQ79" i="31" s="1"/>
  <c r="AP75" i="29"/>
  <c r="AP79" i="31" s="1"/>
  <c r="AO75" i="29"/>
  <c r="AO79" i="31" s="1"/>
  <c r="AN75" i="29"/>
  <c r="AN79" i="31" s="1"/>
  <c r="AM75" i="29"/>
  <c r="AM79" i="31" s="1"/>
  <c r="AL75" i="29"/>
  <c r="AL79" i="31" s="1"/>
  <c r="AK75" i="29"/>
  <c r="AK79" i="31" s="1"/>
  <c r="AJ75" i="29"/>
  <c r="AJ79" i="31" s="1"/>
  <c r="AI75" i="29"/>
  <c r="AI79" i="31" s="1"/>
  <c r="AH75" i="29"/>
  <c r="AH79" i="31" s="1"/>
  <c r="AG75" i="29"/>
  <c r="AG79" i="31" s="1"/>
  <c r="AF75" i="29"/>
  <c r="AF79" i="31" s="1"/>
  <c r="AE75" i="29"/>
  <c r="AE79" i="31" s="1"/>
  <c r="AD75" i="29"/>
  <c r="AD79" i="31" s="1"/>
  <c r="AB75" i="29"/>
  <c r="AB79" i="31" s="1"/>
  <c r="AA75" i="29"/>
  <c r="AA79" i="31" s="1"/>
  <c r="Z75" i="29"/>
  <c r="Z79" i="31" s="1"/>
  <c r="Y75" i="29"/>
  <c r="Y79" i="31" s="1"/>
  <c r="X75" i="29"/>
  <c r="X79" i="31" s="1"/>
  <c r="W75" i="29"/>
  <c r="W79" i="31" s="1"/>
  <c r="V75" i="29"/>
  <c r="V79" i="31" s="1"/>
  <c r="U75" i="29"/>
  <c r="U79" i="31" s="1"/>
  <c r="T75" i="29"/>
  <c r="T79" i="31" s="1"/>
  <c r="S75" i="29"/>
  <c r="S79" i="31" s="1"/>
  <c r="R75" i="29"/>
  <c r="R79" i="31" s="1"/>
  <c r="Q75" i="29"/>
  <c r="Q79" i="31" s="1"/>
  <c r="P75" i="29"/>
  <c r="P79" i="31" s="1"/>
  <c r="O75" i="29"/>
  <c r="O79" i="31" s="1"/>
  <c r="N75" i="29"/>
  <c r="N79" i="31" s="1"/>
  <c r="M75" i="29"/>
  <c r="M79" i="31" s="1"/>
  <c r="L75" i="29"/>
  <c r="L79" i="31" s="1"/>
  <c r="K75" i="29"/>
  <c r="K79" i="31" s="1"/>
  <c r="J75" i="29"/>
  <c r="J79" i="31" s="1"/>
  <c r="I75" i="29"/>
  <c r="I79" i="31" s="1"/>
  <c r="H75" i="29"/>
  <c r="H79" i="31" s="1"/>
  <c r="G75" i="29"/>
  <c r="G79" i="31" s="1"/>
  <c r="F75" i="29"/>
  <c r="F79" i="31" s="1"/>
  <c r="E75" i="29"/>
  <c r="E79" i="31" s="1"/>
  <c r="D75" i="29"/>
  <c r="D79" i="31" s="1"/>
  <c r="C75" i="29"/>
  <c r="C79" i="31" s="1"/>
  <c r="JH74" i="29"/>
  <c r="JH78" i="31" s="1"/>
  <c r="JG74" i="29"/>
  <c r="JG78" i="31" s="1"/>
  <c r="JF74" i="29"/>
  <c r="JF78" i="31" s="1"/>
  <c r="JE74" i="29"/>
  <c r="JE78" i="31" s="1"/>
  <c r="JD74" i="29"/>
  <c r="JD78" i="31" s="1"/>
  <c r="JC74" i="29"/>
  <c r="JC78" i="31" s="1"/>
  <c r="JB74" i="29"/>
  <c r="JB78" i="31" s="1"/>
  <c r="JA74" i="29"/>
  <c r="JA78" i="31" s="1"/>
  <c r="IZ74" i="29"/>
  <c r="IZ78" i="31" s="1"/>
  <c r="IY74" i="29"/>
  <c r="IY78" i="31" s="1"/>
  <c r="IX74" i="29"/>
  <c r="IX78" i="31" s="1"/>
  <c r="IW74" i="29"/>
  <c r="IW78" i="31" s="1"/>
  <c r="IV74" i="29"/>
  <c r="IV78" i="31" s="1"/>
  <c r="IU74" i="29"/>
  <c r="IU78" i="31" s="1"/>
  <c r="IT74" i="29"/>
  <c r="IT78" i="31" s="1"/>
  <c r="IS74" i="29"/>
  <c r="IS78" i="31" s="1"/>
  <c r="IR74" i="29"/>
  <c r="IR78" i="31" s="1"/>
  <c r="IQ74" i="29"/>
  <c r="IQ78" i="31" s="1"/>
  <c r="IP74" i="29"/>
  <c r="IP78" i="31" s="1"/>
  <c r="IO74" i="29"/>
  <c r="IO78" i="31" s="1"/>
  <c r="IN74" i="29"/>
  <c r="IN78" i="31" s="1"/>
  <c r="IM74" i="29"/>
  <c r="IM78" i="31" s="1"/>
  <c r="IL74" i="29"/>
  <c r="IL78" i="31" s="1"/>
  <c r="IK74" i="29"/>
  <c r="IK78" i="31" s="1"/>
  <c r="IJ74" i="29"/>
  <c r="IJ78" i="31" s="1"/>
  <c r="II74" i="29"/>
  <c r="II78" i="31" s="1"/>
  <c r="IH74" i="29"/>
  <c r="IH78" i="31" s="1"/>
  <c r="IG74" i="29"/>
  <c r="IG78" i="31" s="1"/>
  <c r="IF74" i="29"/>
  <c r="IF78" i="31" s="1"/>
  <c r="IE74" i="29"/>
  <c r="IE78" i="31" s="1"/>
  <c r="ID74" i="29"/>
  <c r="ID78" i="31" s="1"/>
  <c r="IC74" i="29"/>
  <c r="IC78" i="31" s="1"/>
  <c r="IB74" i="29"/>
  <c r="IB78" i="31" s="1"/>
  <c r="IA74" i="29"/>
  <c r="IA78" i="31" s="1"/>
  <c r="HZ74" i="29"/>
  <c r="HZ78" i="31" s="1"/>
  <c r="HY74" i="29"/>
  <c r="HY78" i="31" s="1"/>
  <c r="HX74" i="29"/>
  <c r="HX78" i="31" s="1"/>
  <c r="HW74" i="29"/>
  <c r="HW78" i="31" s="1"/>
  <c r="HV74" i="29"/>
  <c r="HV78" i="31" s="1"/>
  <c r="HU74" i="29"/>
  <c r="HU78" i="31" s="1"/>
  <c r="HT74" i="29"/>
  <c r="HT78" i="31" s="1"/>
  <c r="HS74" i="29"/>
  <c r="HS78" i="31" s="1"/>
  <c r="HR74" i="29"/>
  <c r="HR78" i="31" s="1"/>
  <c r="HQ74" i="29"/>
  <c r="HQ78" i="31" s="1"/>
  <c r="HP74" i="29"/>
  <c r="HP78" i="31" s="1"/>
  <c r="HO74" i="29"/>
  <c r="HO78" i="31" s="1"/>
  <c r="HN74" i="29"/>
  <c r="HN78" i="31" s="1"/>
  <c r="HM74" i="29"/>
  <c r="HM78" i="31" s="1"/>
  <c r="HL74" i="29"/>
  <c r="HL78" i="31" s="1"/>
  <c r="HK74" i="29"/>
  <c r="HK78" i="31" s="1"/>
  <c r="HJ74" i="29"/>
  <c r="HJ78" i="31" s="1"/>
  <c r="HI74" i="29"/>
  <c r="HI78" i="31" s="1"/>
  <c r="HH74" i="29"/>
  <c r="HH78" i="31" s="1"/>
  <c r="HG74" i="29"/>
  <c r="HG78" i="31" s="1"/>
  <c r="HF74" i="29"/>
  <c r="HF78" i="31" s="1"/>
  <c r="HE74" i="29"/>
  <c r="HE78" i="31" s="1"/>
  <c r="HD74" i="29"/>
  <c r="HD78" i="31" s="1"/>
  <c r="HC74" i="29"/>
  <c r="HC78" i="31" s="1"/>
  <c r="HB74" i="29"/>
  <c r="HB78" i="31" s="1"/>
  <c r="HA74" i="29"/>
  <c r="HA78" i="31" s="1"/>
  <c r="GZ74" i="29"/>
  <c r="GZ78" i="31" s="1"/>
  <c r="GY74" i="29"/>
  <c r="GY78" i="31" s="1"/>
  <c r="GX74" i="29"/>
  <c r="GX78" i="31" s="1"/>
  <c r="GW74" i="29"/>
  <c r="GW78" i="31" s="1"/>
  <c r="GV74" i="29"/>
  <c r="GV78" i="31" s="1"/>
  <c r="GU74" i="29"/>
  <c r="GU78" i="31" s="1"/>
  <c r="GT74" i="29"/>
  <c r="GT78" i="31" s="1"/>
  <c r="GS74" i="29"/>
  <c r="GS78" i="31" s="1"/>
  <c r="GR74" i="29"/>
  <c r="GR78" i="31" s="1"/>
  <c r="GQ74" i="29"/>
  <c r="GQ78" i="31" s="1"/>
  <c r="GP74" i="29"/>
  <c r="GP78" i="31" s="1"/>
  <c r="GO74" i="29"/>
  <c r="GO78" i="31" s="1"/>
  <c r="GN74" i="29"/>
  <c r="GN78" i="31" s="1"/>
  <c r="GM74" i="29"/>
  <c r="GM78" i="31" s="1"/>
  <c r="GL74" i="29"/>
  <c r="GL78" i="31" s="1"/>
  <c r="GK74" i="29"/>
  <c r="GK78" i="31" s="1"/>
  <c r="GJ74" i="29"/>
  <c r="GJ78" i="31" s="1"/>
  <c r="GI74" i="29"/>
  <c r="GI78" i="31" s="1"/>
  <c r="GH74" i="29"/>
  <c r="GH78" i="31" s="1"/>
  <c r="GG74" i="29"/>
  <c r="GG78" i="31" s="1"/>
  <c r="GF74" i="29"/>
  <c r="GF78" i="31" s="1"/>
  <c r="GE74" i="29"/>
  <c r="GE78" i="31" s="1"/>
  <c r="GD74" i="29"/>
  <c r="GD78" i="31" s="1"/>
  <c r="GC74" i="29"/>
  <c r="GC78" i="31" s="1"/>
  <c r="GB74" i="29"/>
  <c r="GB78" i="31" s="1"/>
  <c r="GA74" i="29"/>
  <c r="GA78" i="31" s="1"/>
  <c r="FZ74" i="29"/>
  <c r="FZ78" i="31" s="1"/>
  <c r="FY74" i="29"/>
  <c r="FY78" i="31" s="1"/>
  <c r="FX74" i="29"/>
  <c r="FX78" i="31" s="1"/>
  <c r="FW74" i="29"/>
  <c r="FW78" i="31" s="1"/>
  <c r="FV74" i="29"/>
  <c r="FV78" i="31" s="1"/>
  <c r="FU74" i="29"/>
  <c r="FU78" i="31" s="1"/>
  <c r="FT74" i="29"/>
  <c r="FT78" i="31" s="1"/>
  <c r="FS74" i="29"/>
  <c r="FS78" i="31" s="1"/>
  <c r="FR74" i="29"/>
  <c r="FR78" i="31" s="1"/>
  <c r="FQ74" i="29"/>
  <c r="FQ78" i="31" s="1"/>
  <c r="FP74" i="29"/>
  <c r="FP78" i="31" s="1"/>
  <c r="FO74" i="29"/>
  <c r="FO78" i="31" s="1"/>
  <c r="FN74" i="29"/>
  <c r="FN78" i="31" s="1"/>
  <c r="FM74" i="29"/>
  <c r="FM78" i="31" s="1"/>
  <c r="FL74" i="29"/>
  <c r="FL78" i="31" s="1"/>
  <c r="FK74" i="29"/>
  <c r="FK78" i="31" s="1"/>
  <c r="FJ74" i="29"/>
  <c r="FJ78" i="31" s="1"/>
  <c r="FI74" i="29"/>
  <c r="FI78" i="31" s="1"/>
  <c r="FH74" i="29"/>
  <c r="FH78" i="31" s="1"/>
  <c r="FG74" i="29"/>
  <c r="FG78" i="31" s="1"/>
  <c r="FF74" i="29"/>
  <c r="FF78" i="31" s="1"/>
  <c r="FE74" i="29"/>
  <c r="FE78" i="31" s="1"/>
  <c r="FD74" i="29"/>
  <c r="FD78" i="31" s="1"/>
  <c r="FC74" i="29"/>
  <c r="FC78" i="31" s="1"/>
  <c r="FB74" i="29"/>
  <c r="FB78" i="31" s="1"/>
  <c r="FA74" i="29"/>
  <c r="FA78" i="31" s="1"/>
  <c r="EZ74" i="29"/>
  <c r="EZ78" i="31" s="1"/>
  <c r="EY74" i="29"/>
  <c r="EY78" i="31" s="1"/>
  <c r="EX74" i="29"/>
  <c r="EX78" i="31" s="1"/>
  <c r="EW74" i="29"/>
  <c r="EW78" i="31" s="1"/>
  <c r="EV74" i="29"/>
  <c r="EV78" i="31" s="1"/>
  <c r="EU74" i="29"/>
  <c r="EU78" i="31" s="1"/>
  <c r="ET74" i="29"/>
  <c r="ET78" i="31" s="1"/>
  <c r="ES74" i="29"/>
  <c r="ES78" i="31" s="1"/>
  <c r="ER74" i="29"/>
  <c r="ER78" i="31" s="1"/>
  <c r="EQ74" i="29"/>
  <c r="EQ78" i="31" s="1"/>
  <c r="EP74" i="29"/>
  <c r="EP78" i="31" s="1"/>
  <c r="EO74" i="29"/>
  <c r="EO78" i="31" s="1"/>
  <c r="EN74" i="29"/>
  <c r="EN78" i="31" s="1"/>
  <c r="EM74" i="29"/>
  <c r="EM78" i="31" s="1"/>
  <c r="EL74" i="29"/>
  <c r="EL78" i="31" s="1"/>
  <c r="EK74" i="29"/>
  <c r="EK78" i="31" s="1"/>
  <c r="EJ74" i="29"/>
  <c r="EJ78" i="31" s="1"/>
  <c r="EI74" i="29"/>
  <c r="EI78" i="31" s="1"/>
  <c r="EH74" i="29"/>
  <c r="EH78" i="31" s="1"/>
  <c r="EG74" i="29"/>
  <c r="EG78" i="31" s="1"/>
  <c r="EF74" i="29"/>
  <c r="EF78" i="31" s="1"/>
  <c r="EE74" i="29"/>
  <c r="EE78" i="31" s="1"/>
  <c r="ED74" i="29"/>
  <c r="ED78" i="31" s="1"/>
  <c r="EC74" i="29"/>
  <c r="EC78" i="31" s="1"/>
  <c r="EB74" i="29"/>
  <c r="EB78" i="31" s="1"/>
  <c r="EA74" i="29"/>
  <c r="EA78" i="31" s="1"/>
  <c r="DZ74" i="29"/>
  <c r="DZ78" i="31" s="1"/>
  <c r="DY74" i="29"/>
  <c r="DY78" i="31" s="1"/>
  <c r="DX74" i="29"/>
  <c r="DX78" i="31" s="1"/>
  <c r="DW74" i="29"/>
  <c r="DW78" i="31" s="1"/>
  <c r="DV74" i="29"/>
  <c r="DV78" i="31" s="1"/>
  <c r="DU74" i="29"/>
  <c r="DU78" i="31" s="1"/>
  <c r="DT74" i="29"/>
  <c r="DT78" i="31" s="1"/>
  <c r="DS74" i="29"/>
  <c r="DS78" i="31" s="1"/>
  <c r="DR74" i="29"/>
  <c r="DR78" i="31" s="1"/>
  <c r="DQ74" i="29"/>
  <c r="DQ78" i="31" s="1"/>
  <c r="DP74" i="29"/>
  <c r="DP78" i="31" s="1"/>
  <c r="DO74" i="29"/>
  <c r="DO78" i="31" s="1"/>
  <c r="DN74" i="29"/>
  <c r="DN78" i="31" s="1"/>
  <c r="DM74" i="29"/>
  <c r="DM78" i="31" s="1"/>
  <c r="DL74" i="29"/>
  <c r="DL78" i="31" s="1"/>
  <c r="DK74" i="29"/>
  <c r="DK78" i="31" s="1"/>
  <c r="DJ74" i="29"/>
  <c r="DJ78" i="31" s="1"/>
  <c r="DI74" i="29"/>
  <c r="DI78" i="31" s="1"/>
  <c r="DH74" i="29"/>
  <c r="DH78" i="31" s="1"/>
  <c r="DG74" i="29"/>
  <c r="DG78" i="31" s="1"/>
  <c r="DF74" i="29"/>
  <c r="DF78" i="31" s="1"/>
  <c r="DE74" i="29"/>
  <c r="DE78" i="31" s="1"/>
  <c r="DD74" i="29"/>
  <c r="DD78" i="31" s="1"/>
  <c r="DC74" i="29"/>
  <c r="DC78" i="31" s="1"/>
  <c r="DB74" i="29"/>
  <c r="DB78" i="31" s="1"/>
  <c r="DA74" i="29"/>
  <c r="DA78" i="31" s="1"/>
  <c r="CZ74" i="29"/>
  <c r="CZ78" i="31" s="1"/>
  <c r="CY74" i="29"/>
  <c r="CY78" i="31" s="1"/>
  <c r="CX74" i="29"/>
  <c r="CX78" i="31" s="1"/>
  <c r="CW74" i="29"/>
  <c r="CW78" i="31" s="1"/>
  <c r="CV74" i="29"/>
  <c r="CV78" i="31" s="1"/>
  <c r="CU74" i="29"/>
  <c r="CU78" i="31" s="1"/>
  <c r="CT74" i="29"/>
  <c r="CT78" i="31" s="1"/>
  <c r="CS74" i="29"/>
  <c r="CS78" i="31" s="1"/>
  <c r="CR74" i="29"/>
  <c r="CR78" i="31" s="1"/>
  <c r="CQ74" i="29"/>
  <c r="CQ78" i="31" s="1"/>
  <c r="CP74" i="29"/>
  <c r="CP78" i="31" s="1"/>
  <c r="CO74" i="29"/>
  <c r="CO78" i="31" s="1"/>
  <c r="CN74" i="29"/>
  <c r="CN78" i="31" s="1"/>
  <c r="CM74" i="29"/>
  <c r="CM78" i="31" s="1"/>
  <c r="CL74" i="29"/>
  <c r="CL78" i="31" s="1"/>
  <c r="CK74" i="29"/>
  <c r="CK78" i="31" s="1"/>
  <c r="CJ74" i="29"/>
  <c r="CJ78" i="31" s="1"/>
  <c r="CI74" i="29"/>
  <c r="CI78" i="31" s="1"/>
  <c r="CH74" i="29"/>
  <c r="CH78" i="31" s="1"/>
  <c r="CG74" i="29"/>
  <c r="CG78" i="31" s="1"/>
  <c r="CF74" i="29"/>
  <c r="CF78" i="31" s="1"/>
  <c r="CE74" i="29"/>
  <c r="CE78" i="31" s="1"/>
  <c r="CD74" i="29"/>
  <c r="CD78" i="31" s="1"/>
  <c r="CC74" i="29"/>
  <c r="CC78" i="31" s="1"/>
  <c r="CB74" i="29"/>
  <c r="CB78" i="31" s="1"/>
  <c r="CA74" i="29"/>
  <c r="CA78" i="31" s="1"/>
  <c r="BZ74" i="29"/>
  <c r="BZ78" i="31" s="1"/>
  <c r="BY74" i="29"/>
  <c r="BY78" i="31" s="1"/>
  <c r="BX74" i="29"/>
  <c r="BX78" i="31" s="1"/>
  <c r="BW74" i="29"/>
  <c r="BW78" i="31" s="1"/>
  <c r="BV74" i="29"/>
  <c r="BV78" i="31" s="1"/>
  <c r="BU74" i="29"/>
  <c r="BU78" i="31" s="1"/>
  <c r="BT74" i="29"/>
  <c r="BT78" i="31" s="1"/>
  <c r="BS74" i="29"/>
  <c r="BS78" i="31" s="1"/>
  <c r="BR74" i="29"/>
  <c r="BR78" i="31" s="1"/>
  <c r="BQ74" i="29"/>
  <c r="BQ78" i="31" s="1"/>
  <c r="BP74" i="29"/>
  <c r="BP78" i="31" s="1"/>
  <c r="BO74" i="29"/>
  <c r="BO78" i="31" s="1"/>
  <c r="BN74" i="29"/>
  <c r="BN78" i="31" s="1"/>
  <c r="BM74" i="29"/>
  <c r="BM78" i="31" s="1"/>
  <c r="BL74" i="29"/>
  <c r="BL78" i="31" s="1"/>
  <c r="BK74" i="29"/>
  <c r="BK78" i="31" s="1"/>
  <c r="BJ74" i="29"/>
  <c r="BJ78" i="31" s="1"/>
  <c r="BI74" i="29"/>
  <c r="BI78" i="31" s="1"/>
  <c r="BH74" i="29"/>
  <c r="BH78" i="31" s="1"/>
  <c r="BG74" i="29"/>
  <c r="BG78" i="31" s="1"/>
  <c r="BF74" i="29"/>
  <c r="BF78" i="31" s="1"/>
  <c r="BE74" i="29"/>
  <c r="BE78" i="31" s="1"/>
  <c r="BD74" i="29"/>
  <c r="BD78" i="31" s="1"/>
  <c r="BC74" i="29"/>
  <c r="BC78" i="31" s="1"/>
  <c r="BB74" i="29"/>
  <c r="BB78" i="31" s="1"/>
  <c r="BA74" i="29"/>
  <c r="BA78" i="31" s="1"/>
  <c r="AZ74" i="29"/>
  <c r="AZ78" i="31" s="1"/>
  <c r="AY74" i="29"/>
  <c r="AY78" i="31" s="1"/>
  <c r="AX74" i="29"/>
  <c r="AX78" i="31" s="1"/>
  <c r="AW74" i="29"/>
  <c r="AW78" i="31" s="1"/>
  <c r="AV74" i="29"/>
  <c r="AV78" i="31" s="1"/>
  <c r="AU74" i="29"/>
  <c r="AU78" i="31" s="1"/>
  <c r="AT74" i="29"/>
  <c r="AT78" i="31" s="1"/>
  <c r="AS74" i="29"/>
  <c r="AS78" i="31" s="1"/>
  <c r="AR74" i="29"/>
  <c r="AR78" i="31" s="1"/>
  <c r="AQ74" i="29"/>
  <c r="AQ78" i="31" s="1"/>
  <c r="AP74" i="29"/>
  <c r="AP78" i="31" s="1"/>
  <c r="AO74" i="29"/>
  <c r="AO78" i="31" s="1"/>
  <c r="AN74" i="29"/>
  <c r="AN78" i="31" s="1"/>
  <c r="AM74" i="29"/>
  <c r="AM78" i="31" s="1"/>
  <c r="AL74" i="29"/>
  <c r="AL78" i="31" s="1"/>
  <c r="AK74" i="29"/>
  <c r="AK78" i="31" s="1"/>
  <c r="AJ74" i="29"/>
  <c r="AJ78" i="31" s="1"/>
  <c r="AI74" i="29"/>
  <c r="AI78" i="31" s="1"/>
  <c r="AH74" i="29"/>
  <c r="AH78" i="31" s="1"/>
  <c r="AG74" i="29"/>
  <c r="AG78" i="31" s="1"/>
  <c r="AF74" i="29"/>
  <c r="AF78" i="31" s="1"/>
  <c r="AE74" i="29"/>
  <c r="AE78" i="31" s="1"/>
  <c r="AD74" i="29"/>
  <c r="AD78" i="31" s="1"/>
  <c r="AB74" i="29"/>
  <c r="AB78" i="31" s="1"/>
  <c r="AA74" i="29"/>
  <c r="AA78" i="31" s="1"/>
  <c r="Z74" i="29"/>
  <c r="Z78" i="31" s="1"/>
  <c r="Y74" i="29"/>
  <c r="Y78" i="31" s="1"/>
  <c r="X74" i="29"/>
  <c r="X78" i="31" s="1"/>
  <c r="W74" i="29"/>
  <c r="W78" i="31" s="1"/>
  <c r="V74" i="29"/>
  <c r="V78" i="31" s="1"/>
  <c r="U74" i="29"/>
  <c r="U78" i="31" s="1"/>
  <c r="T74" i="29"/>
  <c r="T78" i="31" s="1"/>
  <c r="S74" i="29"/>
  <c r="S78" i="31" s="1"/>
  <c r="R74" i="29"/>
  <c r="R78" i="31" s="1"/>
  <c r="Q74" i="29"/>
  <c r="Q78" i="31" s="1"/>
  <c r="P74" i="29"/>
  <c r="P78" i="31" s="1"/>
  <c r="O74" i="29"/>
  <c r="O78" i="31" s="1"/>
  <c r="N74" i="29"/>
  <c r="N78" i="31" s="1"/>
  <c r="M74" i="29"/>
  <c r="M78" i="31" s="1"/>
  <c r="L74" i="29"/>
  <c r="L78" i="31" s="1"/>
  <c r="K74" i="29"/>
  <c r="K78" i="31" s="1"/>
  <c r="J74" i="29"/>
  <c r="J78" i="31" s="1"/>
  <c r="I74" i="29"/>
  <c r="I78" i="31" s="1"/>
  <c r="H74" i="29"/>
  <c r="H78" i="31" s="1"/>
  <c r="G74" i="29"/>
  <c r="G78" i="31" s="1"/>
  <c r="F74" i="29"/>
  <c r="F78" i="31" s="1"/>
  <c r="E74" i="29"/>
  <c r="E78" i="31" s="1"/>
  <c r="D74" i="29"/>
  <c r="C74" i="29"/>
  <c r="C78" i="31" s="1"/>
  <c r="B74" i="29"/>
  <c r="B73" i="29"/>
  <c r="B62" i="29"/>
  <c r="B61" i="29"/>
  <c r="B60" i="29"/>
  <c r="JG48" i="29"/>
  <c r="JF48" i="29"/>
  <c r="JE48" i="29"/>
  <c r="IZ48" i="29"/>
  <c r="IY48" i="29"/>
  <c r="IX48" i="29"/>
  <c r="IW48" i="29"/>
  <c r="IV48" i="29"/>
  <c r="IU48" i="29"/>
  <c r="IT48" i="29"/>
  <c r="IS48" i="29"/>
  <c r="IR48" i="29"/>
  <c r="IQ48" i="29"/>
  <c r="IP48" i="29"/>
  <c r="IO48" i="29"/>
  <c r="IN48" i="29"/>
  <c r="IM48" i="29"/>
  <c r="IL48" i="29"/>
  <c r="IK48" i="29"/>
  <c r="IJ48" i="29"/>
  <c r="II48" i="29"/>
  <c r="IH48" i="29"/>
  <c r="IG48" i="29"/>
  <c r="IF48" i="29"/>
  <c r="IE48" i="29"/>
  <c r="ID48" i="29"/>
  <c r="IC48" i="29"/>
  <c r="IB48" i="29"/>
  <c r="IA48" i="29"/>
  <c r="HZ48" i="29"/>
  <c r="HY48" i="29"/>
  <c r="HX48" i="29"/>
  <c r="HW48" i="29"/>
  <c r="HV48" i="29"/>
  <c r="HU48" i="29"/>
  <c r="HT48" i="29"/>
  <c r="HS48" i="29"/>
  <c r="HR48" i="29"/>
  <c r="HQ48" i="29"/>
  <c r="HP48" i="29"/>
  <c r="HO48" i="29"/>
  <c r="HN48" i="29"/>
  <c r="HM48" i="29"/>
  <c r="HL48" i="29"/>
  <c r="HK48" i="29"/>
  <c r="HK52" i="31" s="1"/>
  <c r="HJ48" i="29"/>
  <c r="HJ52" i="31" s="1"/>
  <c r="HI48" i="29"/>
  <c r="HI52" i="31" s="1"/>
  <c r="HH48" i="29"/>
  <c r="HH52" i="31" s="1"/>
  <c r="HG48" i="29"/>
  <c r="HG52" i="31" s="1"/>
  <c r="HF48" i="29"/>
  <c r="HF52" i="31" s="1"/>
  <c r="HE48" i="29"/>
  <c r="HE52" i="31" s="1"/>
  <c r="HD48" i="29"/>
  <c r="HD52" i="31" s="1"/>
  <c r="HC48" i="29"/>
  <c r="HC52" i="31" s="1"/>
  <c r="HB48" i="29"/>
  <c r="HB52" i="31" s="1"/>
  <c r="HA48" i="29"/>
  <c r="HA52" i="31" s="1"/>
  <c r="GZ48" i="29"/>
  <c r="GZ52" i="31" s="1"/>
  <c r="GY48" i="29"/>
  <c r="GY52" i="31" s="1"/>
  <c r="GX48" i="29"/>
  <c r="GX52" i="31" s="1"/>
  <c r="GW48" i="29"/>
  <c r="GW52" i="31" s="1"/>
  <c r="GV48" i="29"/>
  <c r="GV52" i="31" s="1"/>
  <c r="GU48" i="29"/>
  <c r="GU52" i="31" s="1"/>
  <c r="GT48" i="29"/>
  <c r="GT52" i="31" s="1"/>
  <c r="GS48" i="29"/>
  <c r="GS52" i="31" s="1"/>
  <c r="GR48" i="29"/>
  <c r="GR52" i="31" s="1"/>
  <c r="GQ48" i="29"/>
  <c r="GQ52" i="31" s="1"/>
  <c r="GP48" i="29"/>
  <c r="GP52" i="31" s="1"/>
  <c r="GO48" i="29"/>
  <c r="GO52" i="31" s="1"/>
  <c r="GN48" i="29"/>
  <c r="GN52" i="31" s="1"/>
  <c r="GM48" i="29"/>
  <c r="GM52" i="31" s="1"/>
  <c r="GL48" i="29"/>
  <c r="GL52" i="31" s="1"/>
  <c r="GK48" i="29"/>
  <c r="GK52" i="31" s="1"/>
  <c r="GJ48" i="29"/>
  <c r="GJ52" i="31" s="1"/>
  <c r="GI48" i="29"/>
  <c r="GI52" i="31" s="1"/>
  <c r="GH48" i="29"/>
  <c r="GH52" i="31" s="1"/>
  <c r="GG48" i="29"/>
  <c r="GG52" i="31" s="1"/>
  <c r="GF48" i="29"/>
  <c r="GF52" i="31" s="1"/>
  <c r="GE48" i="29"/>
  <c r="GE52" i="31" s="1"/>
  <c r="GD48" i="29"/>
  <c r="GD52" i="31" s="1"/>
  <c r="GC48" i="29"/>
  <c r="GC52" i="31" s="1"/>
  <c r="GB48" i="29"/>
  <c r="GB52" i="31" s="1"/>
  <c r="GA48" i="29"/>
  <c r="GA52" i="31" s="1"/>
  <c r="FZ48" i="29"/>
  <c r="FZ52" i="31" s="1"/>
  <c r="FY48" i="29"/>
  <c r="FY52" i="31" s="1"/>
  <c r="FX48" i="29"/>
  <c r="FX52" i="31" s="1"/>
  <c r="FW48" i="29"/>
  <c r="FW52" i="31" s="1"/>
  <c r="FV48" i="29"/>
  <c r="FV52" i="31" s="1"/>
  <c r="FU48" i="29"/>
  <c r="FU52" i="31" s="1"/>
  <c r="FT48" i="29"/>
  <c r="FT52" i="31" s="1"/>
  <c r="FS48" i="29"/>
  <c r="FS52" i="31" s="1"/>
  <c r="FR48" i="29"/>
  <c r="FR52" i="31" s="1"/>
  <c r="FQ48" i="29"/>
  <c r="FQ52" i="31" s="1"/>
  <c r="FP48" i="29"/>
  <c r="FP52" i="31" s="1"/>
  <c r="FO48" i="29"/>
  <c r="FO52" i="31" s="1"/>
  <c r="FN48" i="29"/>
  <c r="FN52" i="31" s="1"/>
  <c r="FM48" i="29"/>
  <c r="FM52" i="31" s="1"/>
  <c r="FL48" i="29"/>
  <c r="FL52" i="31" s="1"/>
  <c r="FK48" i="29"/>
  <c r="FK52" i="31" s="1"/>
  <c r="FJ48" i="29"/>
  <c r="FJ52" i="31" s="1"/>
  <c r="FI48" i="29"/>
  <c r="FI52" i="31" s="1"/>
  <c r="FH48" i="29"/>
  <c r="FH52" i="31" s="1"/>
  <c r="FG48" i="29"/>
  <c r="FG52" i="31" s="1"/>
  <c r="FF48" i="29"/>
  <c r="FF52" i="31" s="1"/>
  <c r="FE48" i="29"/>
  <c r="FE52" i="31" s="1"/>
  <c r="FD48" i="29"/>
  <c r="FD52" i="31" s="1"/>
  <c r="FC48" i="29"/>
  <c r="FC52" i="31" s="1"/>
  <c r="FB48" i="29"/>
  <c r="FB52" i="31" s="1"/>
  <c r="FA48" i="29"/>
  <c r="FA52" i="31" s="1"/>
  <c r="EZ48" i="29"/>
  <c r="EZ52" i="31" s="1"/>
  <c r="EY48" i="29"/>
  <c r="EY52" i="31" s="1"/>
  <c r="EX48" i="29"/>
  <c r="EX52" i="31" s="1"/>
  <c r="EW48" i="29"/>
  <c r="EW52" i="31" s="1"/>
  <c r="EV48" i="29"/>
  <c r="EV52" i="31" s="1"/>
  <c r="EU48" i="29"/>
  <c r="EU52" i="31" s="1"/>
  <c r="ET48" i="29"/>
  <c r="ET52" i="31" s="1"/>
  <c r="ES48" i="29"/>
  <c r="ES52" i="31" s="1"/>
  <c r="ER48" i="29"/>
  <c r="ER52" i="31" s="1"/>
  <c r="EQ48" i="29"/>
  <c r="EQ52" i="31" s="1"/>
  <c r="EP48" i="29"/>
  <c r="EP52" i="31" s="1"/>
  <c r="EO48" i="29"/>
  <c r="EO52" i="31" s="1"/>
  <c r="EN48" i="29"/>
  <c r="EN52" i="31" s="1"/>
  <c r="EM48" i="29"/>
  <c r="EM52" i="31" s="1"/>
  <c r="EL48" i="29"/>
  <c r="EL52" i="31" s="1"/>
  <c r="EK48" i="29"/>
  <c r="EK52" i="31" s="1"/>
  <c r="EJ48" i="29"/>
  <c r="EJ52" i="31" s="1"/>
  <c r="EI48" i="29"/>
  <c r="EI52" i="31" s="1"/>
  <c r="EH48" i="29"/>
  <c r="EH52" i="31" s="1"/>
  <c r="EG48" i="29"/>
  <c r="EG52" i="31" s="1"/>
  <c r="EF48" i="29"/>
  <c r="EF52" i="31" s="1"/>
  <c r="EE48" i="29"/>
  <c r="EE52" i="31" s="1"/>
  <c r="ED48" i="29"/>
  <c r="ED52" i="31" s="1"/>
  <c r="EC48" i="29"/>
  <c r="EC52" i="31" s="1"/>
  <c r="EB48" i="29"/>
  <c r="EB52" i="31" s="1"/>
  <c r="EA48" i="29"/>
  <c r="EA52" i="31" s="1"/>
  <c r="DZ48" i="29"/>
  <c r="DZ52" i="31" s="1"/>
  <c r="DY48" i="29"/>
  <c r="DY52" i="31" s="1"/>
  <c r="DX48" i="29"/>
  <c r="DX52" i="31" s="1"/>
  <c r="DW48" i="29"/>
  <c r="DW52" i="31" s="1"/>
  <c r="DV48" i="29"/>
  <c r="DV52" i="31" s="1"/>
  <c r="DU48" i="29"/>
  <c r="DU52" i="31" s="1"/>
  <c r="DT48" i="29"/>
  <c r="DT52" i="31" s="1"/>
  <c r="DS48" i="29"/>
  <c r="DS52" i="31" s="1"/>
  <c r="DR48" i="29"/>
  <c r="DR52" i="31" s="1"/>
  <c r="DQ48" i="29"/>
  <c r="DQ52" i="31" s="1"/>
  <c r="DP48" i="29"/>
  <c r="DP52" i="31" s="1"/>
  <c r="DO48" i="29"/>
  <c r="DO52" i="31" s="1"/>
  <c r="DN48" i="29"/>
  <c r="DN52" i="31" s="1"/>
  <c r="DM48" i="29"/>
  <c r="DM52" i="31" s="1"/>
  <c r="DL48" i="29"/>
  <c r="DL52" i="31" s="1"/>
  <c r="DK48" i="29"/>
  <c r="DK52" i="31" s="1"/>
  <c r="DJ48" i="29"/>
  <c r="DJ52" i="31" s="1"/>
  <c r="DI48" i="29"/>
  <c r="DI52" i="31" s="1"/>
  <c r="DH48" i="29"/>
  <c r="DH52" i="31" s="1"/>
  <c r="DG48" i="29"/>
  <c r="DG52" i="31" s="1"/>
  <c r="DF48" i="29"/>
  <c r="DF52" i="31" s="1"/>
  <c r="DE48" i="29"/>
  <c r="DE52" i="31" s="1"/>
  <c r="DD48" i="29"/>
  <c r="DD52" i="31" s="1"/>
  <c r="DC48" i="29"/>
  <c r="DC52" i="31" s="1"/>
  <c r="DB48" i="29"/>
  <c r="DB52" i="31" s="1"/>
  <c r="DA48" i="29"/>
  <c r="DA52" i="31" s="1"/>
  <c r="CZ48" i="29"/>
  <c r="CZ52" i="31" s="1"/>
  <c r="CY48" i="29"/>
  <c r="CY52" i="31" s="1"/>
  <c r="CX48" i="29"/>
  <c r="CX52" i="31" s="1"/>
  <c r="CW48" i="29"/>
  <c r="CW52" i="31" s="1"/>
  <c r="CV48" i="29"/>
  <c r="CV52" i="31" s="1"/>
  <c r="CU48" i="29"/>
  <c r="CU52" i="31" s="1"/>
  <c r="CT48" i="29"/>
  <c r="CT52" i="31" s="1"/>
  <c r="CS48" i="29"/>
  <c r="CS52" i="31" s="1"/>
  <c r="CR48" i="29"/>
  <c r="CR52" i="31" s="1"/>
  <c r="CQ48" i="29"/>
  <c r="CQ52" i="31" s="1"/>
  <c r="CP48" i="29"/>
  <c r="CP52" i="31" s="1"/>
  <c r="CO48" i="29"/>
  <c r="CO52" i="31" s="1"/>
  <c r="CN48" i="29"/>
  <c r="CN52" i="31" s="1"/>
  <c r="CM48" i="29"/>
  <c r="CM52" i="31" s="1"/>
  <c r="CL48" i="29"/>
  <c r="CL52" i="31" s="1"/>
  <c r="CK48" i="29"/>
  <c r="CK52" i="31" s="1"/>
  <c r="CJ48" i="29"/>
  <c r="CJ52" i="31" s="1"/>
  <c r="CI48" i="29"/>
  <c r="CI52" i="31" s="1"/>
  <c r="CH48" i="29"/>
  <c r="CH52" i="31" s="1"/>
  <c r="CG48" i="29"/>
  <c r="CG52" i="31" s="1"/>
  <c r="CF48" i="29"/>
  <c r="CF52" i="31" s="1"/>
  <c r="CE48" i="29"/>
  <c r="CE52" i="31" s="1"/>
  <c r="CD48" i="29"/>
  <c r="CD52" i="31" s="1"/>
  <c r="CC48" i="29"/>
  <c r="CC52" i="31" s="1"/>
  <c r="CB48" i="29"/>
  <c r="CB52" i="31" s="1"/>
  <c r="CA48" i="29"/>
  <c r="CA52" i="31" s="1"/>
  <c r="BZ48" i="29"/>
  <c r="BZ52" i="31" s="1"/>
  <c r="BY48" i="29"/>
  <c r="BY52" i="31" s="1"/>
  <c r="BX48" i="29"/>
  <c r="BX52" i="31" s="1"/>
  <c r="BW48" i="29"/>
  <c r="BW52" i="31" s="1"/>
  <c r="BV48" i="29"/>
  <c r="BV52" i="31" s="1"/>
  <c r="BU48" i="29"/>
  <c r="BU52" i="31" s="1"/>
  <c r="BT48" i="29"/>
  <c r="BT52" i="31" s="1"/>
  <c r="BS48" i="29"/>
  <c r="BS52" i="31" s="1"/>
  <c r="BR48" i="29"/>
  <c r="BR52" i="31" s="1"/>
  <c r="BQ48" i="29"/>
  <c r="BQ52" i="31" s="1"/>
  <c r="BP48" i="29"/>
  <c r="BP52" i="31" s="1"/>
  <c r="BO48" i="29"/>
  <c r="BO52" i="31" s="1"/>
  <c r="BN48" i="29"/>
  <c r="BN52" i="31" s="1"/>
  <c r="BM48" i="29"/>
  <c r="BM52" i="31" s="1"/>
  <c r="BL48" i="29"/>
  <c r="BL52" i="31" s="1"/>
  <c r="BK48" i="29"/>
  <c r="BK52" i="31" s="1"/>
  <c r="BJ48" i="29"/>
  <c r="BJ52" i="31" s="1"/>
  <c r="BI48" i="29"/>
  <c r="BI52" i="31" s="1"/>
  <c r="BH48" i="29"/>
  <c r="BH52" i="31" s="1"/>
  <c r="BG48" i="29"/>
  <c r="BG52" i="31" s="1"/>
  <c r="BF48" i="29"/>
  <c r="BF52" i="31" s="1"/>
  <c r="BE48" i="29"/>
  <c r="BE52" i="31" s="1"/>
  <c r="BD48" i="29"/>
  <c r="BD52" i="31" s="1"/>
  <c r="BC48" i="29"/>
  <c r="BC52" i="31" s="1"/>
  <c r="BB48" i="29"/>
  <c r="BB52" i="31" s="1"/>
  <c r="BA48" i="29"/>
  <c r="BA52" i="31" s="1"/>
  <c r="AZ48" i="29"/>
  <c r="AZ52" i="31" s="1"/>
  <c r="AY48" i="29"/>
  <c r="AY52" i="31" s="1"/>
  <c r="AX48" i="29"/>
  <c r="AX52" i="31" s="1"/>
  <c r="AW48" i="29"/>
  <c r="AW52" i="31" s="1"/>
  <c r="AV48" i="29"/>
  <c r="AV52" i="31" s="1"/>
  <c r="AU48" i="29"/>
  <c r="AU52" i="31" s="1"/>
  <c r="AT48" i="29"/>
  <c r="AT52" i="31" s="1"/>
  <c r="AS48" i="29"/>
  <c r="AS52" i="31" s="1"/>
  <c r="AR48" i="29"/>
  <c r="AR52" i="31" s="1"/>
  <c r="AQ48" i="29"/>
  <c r="AQ52" i="31" s="1"/>
  <c r="AP48" i="29"/>
  <c r="AP52" i="31" s="1"/>
  <c r="AO48" i="29"/>
  <c r="AO52" i="31" s="1"/>
  <c r="AN48" i="29"/>
  <c r="AN52" i="31" s="1"/>
  <c r="AM48" i="29"/>
  <c r="AM52" i="31" s="1"/>
  <c r="AL48" i="29"/>
  <c r="AL52" i="31" s="1"/>
  <c r="AK48" i="29"/>
  <c r="AK52" i="31" s="1"/>
  <c r="AJ48" i="29"/>
  <c r="AJ52" i="31" s="1"/>
  <c r="AI48" i="29"/>
  <c r="AI52" i="31" s="1"/>
  <c r="AH48" i="29"/>
  <c r="AH52" i="31" s="1"/>
  <c r="AG48" i="29"/>
  <c r="AG52" i="31" s="1"/>
  <c r="AF48" i="29"/>
  <c r="AF52" i="31" s="1"/>
  <c r="AE48" i="29"/>
  <c r="AE52" i="31" s="1"/>
  <c r="AD48" i="29"/>
  <c r="AD52" i="31" s="1"/>
  <c r="AB48" i="29"/>
  <c r="AB52" i="31" s="1"/>
  <c r="AA48" i="29"/>
  <c r="AA52" i="31" s="1"/>
  <c r="Z48" i="29"/>
  <c r="Z52" i="31" s="1"/>
  <c r="Y48" i="29"/>
  <c r="Y52" i="31" s="1"/>
  <c r="X48" i="29"/>
  <c r="X52" i="31" s="1"/>
  <c r="W48" i="29"/>
  <c r="W52" i="31" s="1"/>
  <c r="V48" i="29"/>
  <c r="V52" i="31" s="1"/>
  <c r="U48" i="29"/>
  <c r="U52" i="31" s="1"/>
  <c r="T48" i="29"/>
  <c r="T52" i="31" s="1"/>
  <c r="S48" i="29"/>
  <c r="S52" i="31" s="1"/>
  <c r="R48" i="29"/>
  <c r="R52" i="31" s="1"/>
  <c r="Q48" i="29"/>
  <c r="Q52" i="31" s="1"/>
  <c r="P48" i="29"/>
  <c r="P52" i="31" s="1"/>
  <c r="O48" i="29"/>
  <c r="O52" i="31" s="1"/>
  <c r="N48" i="29"/>
  <c r="N52" i="31" s="1"/>
  <c r="M48" i="29"/>
  <c r="M52" i="31" s="1"/>
  <c r="L48" i="29"/>
  <c r="L52" i="31" s="1"/>
  <c r="K48" i="29"/>
  <c r="K52" i="31" s="1"/>
  <c r="J48" i="29"/>
  <c r="J52" i="31" s="1"/>
  <c r="I48" i="29"/>
  <c r="I52" i="31" s="1"/>
  <c r="H48" i="29"/>
  <c r="H52" i="31" s="1"/>
  <c r="G48" i="29"/>
  <c r="G52" i="31" s="1"/>
  <c r="F48" i="29"/>
  <c r="F52" i="31" s="1"/>
  <c r="E48" i="29"/>
  <c r="E52" i="31" s="1"/>
  <c r="D48" i="29"/>
  <c r="D52" i="31" s="1"/>
  <c r="C48" i="29"/>
  <c r="C52" i="31" s="1"/>
  <c r="JH47" i="29"/>
  <c r="JH51" i="31" s="1"/>
  <c r="JG47" i="29"/>
  <c r="JG51" i="31" s="1"/>
  <c r="JF47" i="29"/>
  <c r="JF51" i="31" s="1"/>
  <c r="JE47" i="29"/>
  <c r="JE51" i="31" s="1"/>
  <c r="JD47" i="29"/>
  <c r="JD51" i="31" s="1"/>
  <c r="JC47" i="29"/>
  <c r="JC51" i="31" s="1"/>
  <c r="JB47" i="29"/>
  <c r="JB51" i="31" s="1"/>
  <c r="JA47" i="29"/>
  <c r="JA51" i="31" s="1"/>
  <c r="IZ47" i="29"/>
  <c r="IZ51" i="31" s="1"/>
  <c r="IY47" i="29"/>
  <c r="IY51" i="31" s="1"/>
  <c r="IX47" i="29"/>
  <c r="IX51" i="31" s="1"/>
  <c r="IW47" i="29"/>
  <c r="IW51" i="31" s="1"/>
  <c r="IV47" i="29"/>
  <c r="IV51" i="31" s="1"/>
  <c r="IU47" i="29"/>
  <c r="IU51" i="31" s="1"/>
  <c r="IT47" i="29"/>
  <c r="IT51" i="31" s="1"/>
  <c r="IS47" i="29"/>
  <c r="IS51" i="31" s="1"/>
  <c r="IR47" i="29"/>
  <c r="IR51" i="31" s="1"/>
  <c r="IQ47" i="29"/>
  <c r="IQ51" i="31" s="1"/>
  <c r="IP47" i="29"/>
  <c r="IP51" i="31" s="1"/>
  <c r="IO47" i="29"/>
  <c r="IO51" i="31" s="1"/>
  <c r="IN47" i="29"/>
  <c r="IN51" i="31" s="1"/>
  <c r="IM47" i="29"/>
  <c r="IM51" i="31" s="1"/>
  <c r="IL47" i="29"/>
  <c r="IL51" i="31" s="1"/>
  <c r="IK47" i="29"/>
  <c r="IK51" i="31" s="1"/>
  <c r="IJ47" i="29"/>
  <c r="IJ51" i="31" s="1"/>
  <c r="II47" i="29"/>
  <c r="II51" i="31" s="1"/>
  <c r="IH47" i="29"/>
  <c r="IH51" i="31" s="1"/>
  <c r="IG47" i="29"/>
  <c r="IG51" i="31" s="1"/>
  <c r="IF47" i="29"/>
  <c r="IF51" i="31" s="1"/>
  <c r="IE47" i="29"/>
  <c r="IE51" i="31" s="1"/>
  <c r="ID47" i="29"/>
  <c r="ID51" i="31" s="1"/>
  <c r="IC47" i="29"/>
  <c r="IC51" i="31" s="1"/>
  <c r="IB47" i="29"/>
  <c r="IB51" i="31" s="1"/>
  <c r="IA47" i="29"/>
  <c r="IA51" i="31" s="1"/>
  <c r="HZ47" i="29"/>
  <c r="HZ51" i="31" s="1"/>
  <c r="HY47" i="29"/>
  <c r="HY51" i="31" s="1"/>
  <c r="HX47" i="29"/>
  <c r="HX51" i="31" s="1"/>
  <c r="HW47" i="29"/>
  <c r="HW51" i="31" s="1"/>
  <c r="HV47" i="29"/>
  <c r="HV51" i="31" s="1"/>
  <c r="HU47" i="29"/>
  <c r="HU51" i="31" s="1"/>
  <c r="HT47" i="29"/>
  <c r="HT51" i="31" s="1"/>
  <c r="HS47" i="29"/>
  <c r="HS51" i="31" s="1"/>
  <c r="HR47" i="29"/>
  <c r="HR51" i="31" s="1"/>
  <c r="HQ47" i="29"/>
  <c r="HQ51" i="31" s="1"/>
  <c r="HP47" i="29"/>
  <c r="HP51" i="31" s="1"/>
  <c r="HO47" i="29"/>
  <c r="HO51" i="31" s="1"/>
  <c r="HN47" i="29"/>
  <c r="HN51" i="31" s="1"/>
  <c r="HM47" i="29"/>
  <c r="HM51" i="31" s="1"/>
  <c r="HL47" i="29"/>
  <c r="HL51" i="31" s="1"/>
  <c r="HK47" i="29"/>
  <c r="HK51" i="31" s="1"/>
  <c r="HJ47" i="29"/>
  <c r="HJ51" i="31" s="1"/>
  <c r="HI47" i="29"/>
  <c r="HI51" i="31" s="1"/>
  <c r="HH47" i="29"/>
  <c r="HH51" i="31" s="1"/>
  <c r="HG47" i="29"/>
  <c r="HG51" i="31" s="1"/>
  <c r="HF47" i="29"/>
  <c r="HF51" i="31" s="1"/>
  <c r="HE47" i="29"/>
  <c r="HE51" i="31" s="1"/>
  <c r="HD47" i="29"/>
  <c r="HD51" i="31" s="1"/>
  <c r="HC47" i="29"/>
  <c r="HC51" i="31" s="1"/>
  <c r="HB47" i="29"/>
  <c r="HB51" i="31" s="1"/>
  <c r="HA47" i="29"/>
  <c r="HA51" i="31" s="1"/>
  <c r="GZ47" i="29"/>
  <c r="GZ51" i="31" s="1"/>
  <c r="GY47" i="29"/>
  <c r="GY51" i="31" s="1"/>
  <c r="GX47" i="29"/>
  <c r="GX51" i="31" s="1"/>
  <c r="GW47" i="29"/>
  <c r="GW51" i="31" s="1"/>
  <c r="GV47" i="29"/>
  <c r="GV51" i="31" s="1"/>
  <c r="GU47" i="29"/>
  <c r="GU51" i="31" s="1"/>
  <c r="GT47" i="29"/>
  <c r="GT51" i="31" s="1"/>
  <c r="GS47" i="29"/>
  <c r="GS51" i="31" s="1"/>
  <c r="GR47" i="29"/>
  <c r="GR51" i="31" s="1"/>
  <c r="GQ47" i="29"/>
  <c r="GQ51" i="31" s="1"/>
  <c r="GP47" i="29"/>
  <c r="GP51" i="31" s="1"/>
  <c r="GO47" i="29"/>
  <c r="GO51" i="31" s="1"/>
  <c r="GN47" i="29"/>
  <c r="GN51" i="31" s="1"/>
  <c r="GM47" i="29"/>
  <c r="GM51" i="31" s="1"/>
  <c r="GL47" i="29"/>
  <c r="GL51" i="31" s="1"/>
  <c r="GK47" i="29"/>
  <c r="GK51" i="31" s="1"/>
  <c r="GJ47" i="29"/>
  <c r="GJ51" i="31" s="1"/>
  <c r="GI47" i="29"/>
  <c r="GI51" i="31" s="1"/>
  <c r="GH47" i="29"/>
  <c r="GH51" i="31" s="1"/>
  <c r="GG47" i="29"/>
  <c r="GG51" i="31" s="1"/>
  <c r="GF47" i="29"/>
  <c r="GF51" i="31" s="1"/>
  <c r="GE47" i="29"/>
  <c r="GE51" i="31" s="1"/>
  <c r="GD47" i="29"/>
  <c r="GD51" i="31" s="1"/>
  <c r="GC47" i="29"/>
  <c r="GC51" i="31" s="1"/>
  <c r="GB47" i="29"/>
  <c r="GB51" i="31" s="1"/>
  <c r="GA47" i="29"/>
  <c r="GA51" i="31" s="1"/>
  <c r="FZ47" i="29"/>
  <c r="FZ51" i="31" s="1"/>
  <c r="FY47" i="29"/>
  <c r="FY51" i="31" s="1"/>
  <c r="FX47" i="29"/>
  <c r="FX51" i="31" s="1"/>
  <c r="FW47" i="29"/>
  <c r="FW51" i="31" s="1"/>
  <c r="FV47" i="29"/>
  <c r="FV51" i="31" s="1"/>
  <c r="FU47" i="29"/>
  <c r="FU51" i="31" s="1"/>
  <c r="FT47" i="29"/>
  <c r="FT51" i="31" s="1"/>
  <c r="FS47" i="29"/>
  <c r="FS51" i="31" s="1"/>
  <c r="FR47" i="29"/>
  <c r="FR51" i="31" s="1"/>
  <c r="FQ47" i="29"/>
  <c r="FQ51" i="31" s="1"/>
  <c r="FP47" i="29"/>
  <c r="FP51" i="31" s="1"/>
  <c r="FO47" i="29"/>
  <c r="FO51" i="31" s="1"/>
  <c r="FN47" i="29"/>
  <c r="FN51" i="31" s="1"/>
  <c r="FM47" i="29"/>
  <c r="FM51" i="31" s="1"/>
  <c r="FL47" i="29"/>
  <c r="FL51" i="31" s="1"/>
  <c r="FK47" i="29"/>
  <c r="FK51" i="31" s="1"/>
  <c r="FJ47" i="29"/>
  <c r="FJ51" i="31" s="1"/>
  <c r="FI47" i="29"/>
  <c r="FI51" i="31" s="1"/>
  <c r="FH47" i="29"/>
  <c r="FH51" i="31" s="1"/>
  <c r="FG47" i="29"/>
  <c r="FG51" i="31" s="1"/>
  <c r="FF47" i="29"/>
  <c r="FF51" i="31" s="1"/>
  <c r="FE47" i="29"/>
  <c r="FE51" i="31" s="1"/>
  <c r="FD47" i="29"/>
  <c r="FD51" i="31" s="1"/>
  <c r="FC47" i="29"/>
  <c r="FC51" i="31" s="1"/>
  <c r="FB47" i="29"/>
  <c r="FB51" i="31" s="1"/>
  <c r="FA47" i="29"/>
  <c r="FA51" i="31" s="1"/>
  <c r="EZ47" i="29"/>
  <c r="EZ51" i="31" s="1"/>
  <c r="EY47" i="29"/>
  <c r="EY51" i="31" s="1"/>
  <c r="EX47" i="29"/>
  <c r="EX51" i="31" s="1"/>
  <c r="EW47" i="29"/>
  <c r="EW51" i="31" s="1"/>
  <c r="EV47" i="29"/>
  <c r="EV51" i="31" s="1"/>
  <c r="EU47" i="29"/>
  <c r="EU51" i="31" s="1"/>
  <c r="ET47" i="29"/>
  <c r="ET51" i="31" s="1"/>
  <c r="ES47" i="29"/>
  <c r="ES51" i="31" s="1"/>
  <c r="ER47" i="29"/>
  <c r="ER51" i="31" s="1"/>
  <c r="EQ47" i="29"/>
  <c r="EQ51" i="31" s="1"/>
  <c r="EP47" i="29"/>
  <c r="EP51" i="31" s="1"/>
  <c r="EO47" i="29"/>
  <c r="EO51" i="31" s="1"/>
  <c r="EN47" i="29"/>
  <c r="EN51" i="31" s="1"/>
  <c r="EM47" i="29"/>
  <c r="EM51" i="31" s="1"/>
  <c r="EL47" i="29"/>
  <c r="EL51" i="31" s="1"/>
  <c r="EK47" i="29"/>
  <c r="EK51" i="31" s="1"/>
  <c r="EJ47" i="29"/>
  <c r="EJ51" i="31" s="1"/>
  <c r="EI47" i="29"/>
  <c r="EI51" i="31" s="1"/>
  <c r="EH47" i="29"/>
  <c r="EH51" i="31" s="1"/>
  <c r="EG47" i="29"/>
  <c r="EG51" i="31" s="1"/>
  <c r="EF47" i="29"/>
  <c r="EF51" i="31" s="1"/>
  <c r="EE47" i="29"/>
  <c r="EE51" i="31" s="1"/>
  <c r="ED47" i="29"/>
  <c r="ED51" i="31" s="1"/>
  <c r="EC47" i="29"/>
  <c r="EC51" i="31" s="1"/>
  <c r="EB47" i="29"/>
  <c r="EB51" i="31" s="1"/>
  <c r="EA47" i="29"/>
  <c r="EA51" i="31" s="1"/>
  <c r="DZ47" i="29"/>
  <c r="DZ51" i="31" s="1"/>
  <c r="DY47" i="29"/>
  <c r="DY51" i="31" s="1"/>
  <c r="DX47" i="29"/>
  <c r="DX51" i="31" s="1"/>
  <c r="DW47" i="29"/>
  <c r="DW51" i="31" s="1"/>
  <c r="DV47" i="29"/>
  <c r="DV51" i="31" s="1"/>
  <c r="DU47" i="29"/>
  <c r="DU51" i="31" s="1"/>
  <c r="DT47" i="29"/>
  <c r="DT51" i="31" s="1"/>
  <c r="DS47" i="29"/>
  <c r="DS51" i="31" s="1"/>
  <c r="DR47" i="29"/>
  <c r="DR51" i="31" s="1"/>
  <c r="DQ47" i="29"/>
  <c r="DQ51" i="31" s="1"/>
  <c r="DP47" i="29"/>
  <c r="DP51" i="31" s="1"/>
  <c r="DO47" i="29"/>
  <c r="DO51" i="31" s="1"/>
  <c r="DN47" i="29"/>
  <c r="DN51" i="31" s="1"/>
  <c r="DM47" i="29"/>
  <c r="DM51" i="31" s="1"/>
  <c r="DL47" i="29"/>
  <c r="DL51" i="31" s="1"/>
  <c r="DK47" i="29"/>
  <c r="DK51" i="31" s="1"/>
  <c r="DJ47" i="29"/>
  <c r="DJ51" i="31" s="1"/>
  <c r="DI47" i="29"/>
  <c r="DI51" i="31" s="1"/>
  <c r="DH47" i="29"/>
  <c r="DH51" i="31" s="1"/>
  <c r="DG47" i="29"/>
  <c r="DG51" i="31" s="1"/>
  <c r="DF47" i="29"/>
  <c r="DF51" i="31" s="1"/>
  <c r="DE47" i="29"/>
  <c r="DE51" i="31" s="1"/>
  <c r="DD47" i="29"/>
  <c r="DD51" i="31" s="1"/>
  <c r="DC47" i="29"/>
  <c r="DC51" i="31" s="1"/>
  <c r="DB47" i="29"/>
  <c r="DB51" i="31" s="1"/>
  <c r="DA47" i="29"/>
  <c r="DA51" i="31" s="1"/>
  <c r="CZ47" i="29"/>
  <c r="CZ51" i="31" s="1"/>
  <c r="CY47" i="29"/>
  <c r="CY51" i="31" s="1"/>
  <c r="CX47" i="29"/>
  <c r="CX51" i="31" s="1"/>
  <c r="CW47" i="29"/>
  <c r="CW51" i="31" s="1"/>
  <c r="CV47" i="29"/>
  <c r="CV51" i="31" s="1"/>
  <c r="CU47" i="29"/>
  <c r="CU51" i="31" s="1"/>
  <c r="CT47" i="29"/>
  <c r="CT51" i="31" s="1"/>
  <c r="CS47" i="29"/>
  <c r="CS51" i="31" s="1"/>
  <c r="CR47" i="29"/>
  <c r="CR51" i="31" s="1"/>
  <c r="CQ47" i="29"/>
  <c r="CQ51" i="31" s="1"/>
  <c r="CP47" i="29"/>
  <c r="CP51" i="31" s="1"/>
  <c r="CO47" i="29"/>
  <c r="CO51" i="31" s="1"/>
  <c r="CN47" i="29"/>
  <c r="CN51" i="31" s="1"/>
  <c r="CM47" i="29"/>
  <c r="CM51" i="31" s="1"/>
  <c r="CL47" i="29"/>
  <c r="CL51" i="31" s="1"/>
  <c r="CK47" i="29"/>
  <c r="CK51" i="31" s="1"/>
  <c r="CJ47" i="29"/>
  <c r="CJ51" i="31" s="1"/>
  <c r="CI47" i="29"/>
  <c r="CI51" i="31" s="1"/>
  <c r="CH47" i="29"/>
  <c r="CH51" i="31" s="1"/>
  <c r="CG47" i="29"/>
  <c r="CG51" i="31" s="1"/>
  <c r="CF47" i="29"/>
  <c r="CF51" i="31" s="1"/>
  <c r="CE47" i="29"/>
  <c r="CE51" i="31" s="1"/>
  <c r="CD47" i="29"/>
  <c r="CD51" i="31" s="1"/>
  <c r="CC47" i="29"/>
  <c r="CC51" i="31" s="1"/>
  <c r="CB47" i="29"/>
  <c r="CB51" i="31" s="1"/>
  <c r="CA47" i="29"/>
  <c r="CA51" i="31" s="1"/>
  <c r="BZ47" i="29"/>
  <c r="BZ51" i="31" s="1"/>
  <c r="BY47" i="29"/>
  <c r="BY51" i="31" s="1"/>
  <c r="BX47" i="29"/>
  <c r="BX51" i="31" s="1"/>
  <c r="BW47" i="29"/>
  <c r="BW51" i="31" s="1"/>
  <c r="BV47" i="29"/>
  <c r="BV51" i="31" s="1"/>
  <c r="BU47" i="29"/>
  <c r="BU51" i="31" s="1"/>
  <c r="BT47" i="29"/>
  <c r="BT51" i="31" s="1"/>
  <c r="BS47" i="29"/>
  <c r="BS51" i="31" s="1"/>
  <c r="BR47" i="29"/>
  <c r="BR51" i="31" s="1"/>
  <c r="BQ47" i="29"/>
  <c r="BQ51" i="31" s="1"/>
  <c r="BP47" i="29"/>
  <c r="BP51" i="31" s="1"/>
  <c r="BO47" i="29"/>
  <c r="BO51" i="31" s="1"/>
  <c r="BN47" i="29"/>
  <c r="BN51" i="31" s="1"/>
  <c r="BM47" i="29"/>
  <c r="BM51" i="31" s="1"/>
  <c r="BL47" i="29"/>
  <c r="BL51" i="31" s="1"/>
  <c r="BK47" i="29"/>
  <c r="BK51" i="31" s="1"/>
  <c r="BJ47" i="29"/>
  <c r="BJ51" i="31" s="1"/>
  <c r="BI47" i="29"/>
  <c r="BI51" i="31" s="1"/>
  <c r="BH47" i="29"/>
  <c r="BH51" i="31" s="1"/>
  <c r="BG47" i="29"/>
  <c r="BG51" i="31" s="1"/>
  <c r="BF47" i="29"/>
  <c r="BF51" i="31" s="1"/>
  <c r="BE47" i="29"/>
  <c r="BE51" i="31" s="1"/>
  <c r="BD47" i="29"/>
  <c r="BD51" i="31" s="1"/>
  <c r="BC47" i="29"/>
  <c r="BC51" i="31" s="1"/>
  <c r="BB47" i="29"/>
  <c r="BB51" i="31" s="1"/>
  <c r="BA47" i="29"/>
  <c r="BA51" i="31" s="1"/>
  <c r="AZ47" i="29"/>
  <c r="AZ51" i="31" s="1"/>
  <c r="AY47" i="29"/>
  <c r="AY51" i="31" s="1"/>
  <c r="AX47" i="29"/>
  <c r="AX51" i="31" s="1"/>
  <c r="AW47" i="29"/>
  <c r="AW51" i="31" s="1"/>
  <c r="AV47" i="29"/>
  <c r="AV51" i="31" s="1"/>
  <c r="AU47" i="29"/>
  <c r="AU51" i="31" s="1"/>
  <c r="AT47" i="29"/>
  <c r="AT51" i="31" s="1"/>
  <c r="AS47" i="29"/>
  <c r="AS51" i="31" s="1"/>
  <c r="AR47" i="29"/>
  <c r="AR51" i="31" s="1"/>
  <c r="AQ47" i="29"/>
  <c r="AQ51" i="31" s="1"/>
  <c r="AP47" i="29"/>
  <c r="AP51" i="31" s="1"/>
  <c r="AO47" i="29"/>
  <c r="AO51" i="31" s="1"/>
  <c r="AN47" i="29"/>
  <c r="AN51" i="31" s="1"/>
  <c r="AM47" i="29"/>
  <c r="AM51" i="31" s="1"/>
  <c r="AL47" i="29"/>
  <c r="AL51" i="31" s="1"/>
  <c r="AK47" i="29"/>
  <c r="AK51" i="31" s="1"/>
  <c r="AJ47" i="29"/>
  <c r="AJ51" i="31" s="1"/>
  <c r="AI47" i="29"/>
  <c r="AI51" i="31" s="1"/>
  <c r="AH47" i="29"/>
  <c r="AH51" i="31" s="1"/>
  <c r="AG47" i="29"/>
  <c r="AG51" i="31" s="1"/>
  <c r="AF47" i="29"/>
  <c r="AF51" i="31" s="1"/>
  <c r="AE47" i="29"/>
  <c r="AE51" i="31" s="1"/>
  <c r="AD47" i="29"/>
  <c r="AD51" i="31" s="1"/>
  <c r="AB47" i="29"/>
  <c r="AB51" i="31" s="1"/>
  <c r="AA47" i="29"/>
  <c r="AA51" i="31" s="1"/>
  <c r="Z47" i="29"/>
  <c r="Z51" i="31" s="1"/>
  <c r="Y47" i="29"/>
  <c r="Y51" i="31" s="1"/>
  <c r="X47" i="29"/>
  <c r="X51" i="31" s="1"/>
  <c r="W47" i="29"/>
  <c r="W51" i="31" s="1"/>
  <c r="V47" i="29"/>
  <c r="V51" i="31" s="1"/>
  <c r="U47" i="29"/>
  <c r="U51" i="31" s="1"/>
  <c r="T47" i="29"/>
  <c r="T51" i="31" s="1"/>
  <c r="S47" i="29"/>
  <c r="S51" i="31" s="1"/>
  <c r="R47" i="29"/>
  <c r="R51" i="31" s="1"/>
  <c r="Q47" i="29"/>
  <c r="Q51" i="31" s="1"/>
  <c r="P47" i="29"/>
  <c r="P51" i="31" s="1"/>
  <c r="O47" i="29"/>
  <c r="O51" i="31" s="1"/>
  <c r="N47" i="29"/>
  <c r="N51" i="31" s="1"/>
  <c r="M47" i="29"/>
  <c r="M51" i="31" s="1"/>
  <c r="L47" i="29"/>
  <c r="L51" i="31" s="1"/>
  <c r="K47" i="29"/>
  <c r="K51" i="31" s="1"/>
  <c r="J47" i="29"/>
  <c r="J51" i="31" s="1"/>
  <c r="I47" i="29"/>
  <c r="I51" i="31" s="1"/>
  <c r="H47" i="29"/>
  <c r="H51" i="31" s="1"/>
  <c r="G47" i="29"/>
  <c r="G51" i="31" s="1"/>
  <c r="F47" i="29"/>
  <c r="F51" i="31" s="1"/>
  <c r="E47" i="29"/>
  <c r="E51" i="31" s="1"/>
  <c r="D47" i="29"/>
  <c r="C47" i="29"/>
  <c r="C51" i="31" s="1"/>
  <c r="JH40" i="29"/>
  <c r="JG40" i="29"/>
  <c r="JG44" i="31" s="1"/>
  <c r="JF40" i="29"/>
  <c r="JF44" i="31" s="1"/>
  <c r="JE40" i="29"/>
  <c r="JE44" i="31" s="1"/>
  <c r="JD40" i="29"/>
  <c r="JC40" i="29"/>
  <c r="JB40" i="29"/>
  <c r="JA40" i="29"/>
  <c r="IZ40" i="29"/>
  <c r="IZ44" i="31" s="1"/>
  <c r="IY40" i="29"/>
  <c r="IY44" i="31" s="1"/>
  <c r="IX40" i="29"/>
  <c r="IX44" i="31" s="1"/>
  <c r="IW40" i="29"/>
  <c r="IW44" i="31" s="1"/>
  <c r="IV40" i="29"/>
  <c r="IV44" i="31" s="1"/>
  <c r="IU40" i="29"/>
  <c r="IU44" i="31" s="1"/>
  <c r="IT40" i="29"/>
  <c r="IT44" i="31" s="1"/>
  <c r="IS40" i="29"/>
  <c r="IS44" i="31" s="1"/>
  <c r="IR40" i="29"/>
  <c r="IR44" i="31" s="1"/>
  <c r="IQ40" i="29"/>
  <c r="IQ44" i="31" s="1"/>
  <c r="IP40" i="29"/>
  <c r="IP44" i="31" s="1"/>
  <c r="IO40" i="29"/>
  <c r="IO44" i="31" s="1"/>
  <c r="IN40" i="29"/>
  <c r="IN44" i="31" s="1"/>
  <c r="IM40" i="29"/>
  <c r="IM44" i="31" s="1"/>
  <c r="IL40" i="29"/>
  <c r="IL44" i="31" s="1"/>
  <c r="IK40" i="29"/>
  <c r="IK44" i="31" s="1"/>
  <c r="IJ40" i="29"/>
  <c r="IJ44" i="31" s="1"/>
  <c r="II40" i="29"/>
  <c r="II44" i="31" s="1"/>
  <c r="IH40" i="29"/>
  <c r="IH44" i="31" s="1"/>
  <c r="IG40" i="29"/>
  <c r="IG44" i="31" s="1"/>
  <c r="IF40" i="29"/>
  <c r="IF44" i="31" s="1"/>
  <c r="IE40" i="29"/>
  <c r="IE44" i="31" s="1"/>
  <c r="ID40" i="29"/>
  <c r="ID44" i="31" s="1"/>
  <c r="IC40" i="29"/>
  <c r="IC44" i="31" s="1"/>
  <c r="IB40" i="29"/>
  <c r="IB44" i="31" s="1"/>
  <c r="IA40" i="29"/>
  <c r="IA44" i="31" s="1"/>
  <c r="HZ40" i="29"/>
  <c r="HZ44" i="31" s="1"/>
  <c r="HY40" i="29"/>
  <c r="HY44" i="31" s="1"/>
  <c r="HX40" i="29"/>
  <c r="HX44" i="31" s="1"/>
  <c r="HW40" i="29"/>
  <c r="HW44" i="31" s="1"/>
  <c r="HV40" i="29"/>
  <c r="HV44" i="31" s="1"/>
  <c r="HU40" i="29"/>
  <c r="HU44" i="31" s="1"/>
  <c r="HT40" i="29"/>
  <c r="HT44" i="31" s="1"/>
  <c r="HS40" i="29"/>
  <c r="HS44" i="31" s="1"/>
  <c r="HR40" i="29"/>
  <c r="HR44" i="31" s="1"/>
  <c r="HQ40" i="29"/>
  <c r="HQ44" i="31" s="1"/>
  <c r="HP40" i="29"/>
  <c r="HP44" i="31" s="1"/>
  <c r="HO40" i="29"/>
  <c r="HO44" i="31" s="1"/>
  <c r="HN40" i="29"/>
  <c r="HN44" i="31" s="1"/>
  <c r="HM40" i="29"/>
  <c r="HM44" i="31" s="1"/>
  <c r="HL40" i="29"/>
  <c r="HL44" i="31" s="1"/>
  <c r="HK40" i="29"/>
  <c r="HK44" i="31" s="1"/>
  <c r="HJ40" i="29"/>
  <c r="HJ44" i="31" s="1"/>
  <c r="HI40" i="29"/>
  <c r="HI44" i="31" s="1"/>
  <c r="HH40" i="29"/>
  <c r="HH44" i="31" s="1"/>
  <c r="HG40" i="29"/>
  <c r="HG44" i="31" s="1"/>
  <c r="HF40" i="29"/>
  <c r="HF44" i="31" s="1"/>
  <c r="HE40" i="29"/>
  <c r="HE44" i="31" s="1"/>
  <c r="HD40" i="29"/>
  <c r="HD44" i="31" s="1"/>
  <c r="HC40" i="29"/>
  <c r="HC44" i="31" s="1"/>
  <c r="HB40" i="29"/>
  <c r="HB44" i="31" s="1"/>
  <c r="HA40" i="29"/>
  <c r="HA44" i="31" s="1"/>
  <c r="GZ40" i="29"/>
  <c r="GZ44" i="31" s="1"/>
  <c r="GY40" i="29"/>
  <c r="GY44" i="31" s="1"/>
  <c r="GX40" i="29"/>
  <c r="GX44" i="31" s="1"/>
  <c r="GW40" i="29"/>
  <c r="GW44" i="31" s="1"/>
  <c r="GV40" i="29"/>
  <c r="GV44" i="31" s="1"/>
  <c r="GU40" i="29"/>
  <c r="GU44" i="31" s="1"/>
  <c r="GT40" i="29"/>
  <c r="GT44" i="31" s="1"/>
  <c r="GS40" i="29"/>
  <c r="GS44" i="31" s="1"/>
  <c r="GR40" i="29"/>
  <c r="GR44" i="31" s="1"/>
  <c r="GQ40" i="29"/>
  <c r="GQ44" i="31" s="1"/>
  <c r="GP40" i="29"/>
  <c r="GP44" i="31" s="1"/>
  <c r="GO40" i="29"/>
  <c r="GO44" i="31" s="1"/>
  <c r="GN40" i="29"/>
  <c r="GN44" i="31" s="1"/>
  <c r="GM40" i="29"/>
  <c r="GM44" i="31" s="1"/>
  <c r="GL40" i="29"/>
  <c r="GL44" i="31" s="1"/>
  <c r="GK40" i="29"/>
  <c r="GK44" i="31" s="1"/>
  <c r="GJ40" i="29"/>
  <c r="GJ44" i="31" s="1"/>
  <c r="GI40" i="29"/>
  <c r="GI44" i="31" s="1"/>
  <c r="GH40" i="29"/>
  <c r="GH44" i="31" s="1"/>
  <c r="GG40" i="29"/>
  <c r="GG44" i="31" s="1"/>
  <c r="GF40" i="29"/>
  <c r="GF44" i="31" s="1"/>
  <c r="GE40" i="29"/>
  <c r="GE44" i="31" s="1"/>
  <c r="GD40" i="29"/>
  <c r="GD44" i="31" s="1"/>
  <c r="GC40" i="29"/>
  <c r="GC44" i="31" s="1"/>
  <c r="GB40" i="29"/>
  <c r="GB44" i="31" s="1"/>
  <c r="GA40" i="29"/>
  <c r="GA44" i="31" s="1"/>
  <c r="FZ40" i="29"/>
  <c r="FZ44" i="31" s="1"/>
  <c r="FY40" i="29"/>
  <c r="FY44" i="31" s="1"/>
  <c r="FX40" i="29"/>
  <c r="FX44" i="31" s="1"/>
  <c r="FW40" i="29"/>
  <c r="FW44" i="31" s="1"/>
  <c r="FV40" i="29"/>
  <c r="FV44" i="31" s="1"/>
  <c r="FU40" i="29"/>
  <c r="FU44" i="31" s="1"/>
  <c r="FT40" i="29"/>
  <c r="FT44" i="31" s="1"/>
  <c r="FS40" i="29"/>
  <c r="FS44" i="31" s="1"/>
  <c r="FR40" i="29"/>
  <c r="FR44" i="31" s="1"/>
  <c r="FQ40" i="29"/>
  <c r="FQ44" i="31" s="1"/>
  <c r="FP40" i="29"/>
  <c r="FP44" i="31" s="1"/>
  <c r="FO40" i="29"/>
  <c r="FO44" i="31" s="1"/>
  <c r="FN40" i="29"/>
  <c r="FN44" i="31" s="1"/>
  <c r="FM40" i="29"/>
  <c r="FM44" i="31" s="1"/>
  <c r="FL40" i="29"/>
  <c r="FL44" i="31" s="1"/>
  <c r="FK40" i="29"/>
  <c r="FK44" i="31" s="1"/>
  <c r="FJ40" i="29"/>
  <c r="FJ44" i="31" s="1"/>
  <c r="FI40" i="29"/>
  <c r="FI44" i="31" s="1"/>
  <c r="FH40" i="29"/>
  <c r="FH44" i="31" s="1"/>
  <c r="FG40" i="29"/>
  <c r="FG44" i="31" s="1"/>
  <c r="FF40" i="29"/>
  <c r="FF44" i="31" s="1"/>
  <c r="FE40" i="29"/>
  <c r="FE44" i="31" s="1"/>
  <c r="FD40" i="29"/>
  <c r="FD44" i="31" s="1"/>
  <c r="FC40" i="29"/>
  <c r="FC44" i="31" s="1"/>
  <c r="FB40" i="29"/>
  <c r="FB44" i="31" s="1"/>
  <c r="FA40" i="29"/>
  <c r="FA44" i="31" s="1"/>
  <c r="EZ40" i="29"/>
  <c r="EZ44" i="31" s="1"/>
  <c r="EY40" i="29"/>
  <c r="EY44" i="31" s="1"/>
  <c r="EX40" i="29"/>
  <c r="EX44" i="31" s="1"/>
  <c r="EW40" i="29"/>
  <c r="EW44" i="31" s="1"/>
  <c r="EV40" i="29"/>
  <c r="EV44" i="31" s="1"/>
  <c r="EU40" i="29"/>
  <c r="EU44" i="31" s="1"/>
  <c r="ET40" i="29"/>
  <c r="ET44" i="31" s="1"/>
  <c r="ES40" i="29"/>
  <c r="ES44" i="31" s="1"/>
  <c r="ER40" i="29"/>
  <c r="ER44" i="31" s="1"/>
  <c r="EQ40" i="29"/>
  <c r="EQ44" i="31" s="1"/>
  <c r="EP40" i="29"/>
  <c r="EP44" i="31" s="1"/>
  <c r="EO40" i="29"/>
  <c r="EO44" i="31" s="1"/>
  <c r="EN40" i="29"/>
  <c r="EN44" i="31" s="1"/>
  <c r="EM40" i="29"/>
  <c r="EM44" i="31" s="1"/>
  <c r="EL40" i="29"/>
  <c r="EL44" i="31" s="1"/>
  <c r="EK40" i="29"/>
  <c r="EK44" i="31" s="1"/>
  <c r="EJ40" i="29"/>
  <c r="EJ44" i="31" s="1"/>
  <c r="EI40" i="29"/>
  <c r="EI44" i="31" s="1"/>
  <c r="EH40" i="29"/>
  <c r="EH44" i="31" s="1"/>
  <c r="EG40" i="29"/>
  <c r="EG44" i="31" s="1"/>
  <c r="EF40" i="29"/>
  <c r="EF44" i="31" s="1"/>
  <c r="EE40" i="29"/>
  <c r="EE44" i="31" s="1"/>
  <c r="ED40" i="29"/>
  <c r="ED44" i="31" s="1"/>
  <c r="EC40" i="29"/>
  <c r="EC44" i="31" s="1"/>
  <c r="EB40" i="29"/>
  <c r="EB44" i="31" s="1"/>
  <c r="EA40" i="29"/>
  <c r="EA44" i="31" s="1"/>
  <c r="DZ40" i="29"/>
  <c r="DZ44" i="31" s="1"/>
  <c r="DY40" i="29"/>
  <c r="DY44" i="31" s="1"/>
  <c r="DX40" i="29"/>
  <c r="DX44" i="31" s="1"/>
  <c r="DW40" i="29"/>
  <c r="DW44" i="31" s="1"/>
  <c r="DV40" i="29"/>
  <c r="DV44" i="31" s="1"/>
  <c r="DU40" i="29"/>
  <c r="DU44" i="31" s="1"/>
  <c r="DT40" i="29"/>
  <c r="DT44" i="31" s="1"/>
  <c r="DS40" i="29"/>
  <c r="DS44" i="31" s="1"/>
  <c r="DR40" i="29"/>
  <c r="DR44" i="31" s="1"/>
  <c r="DQ40" i="29"/>
  <c r="DQ44" i="31" s="1"/>
  <c r="DP40" i="29"/>
  <c r="DP44" i="31" s="1"/>
  <c r="DO40" i="29"/>
  <c r="DO44" i="31" s="1"/>
  <c r="DN40" i="29"/>
  <c r="DN44" i="31" s="1"/>
  <c r="DM40" i="29"/>
  <c r="DM44" i="31" s="1"/>
  <c r="DL40" i="29"/>
  <c r="DL44" i="31" s="1"/>
  <c r="DK40" i="29"/>
  <c r="DK44" i="31" s="1"/>
  <c r="DJ40" i="29"/>
  <c r="DJ44" i="31" s="1"/>
  <c r="DI40" i="29"/>
  <c r="DI44" i="31" s="1"/>
  <c r="DH40" i="29"/>
  <c r="DH44" i="31" s="1"/>
  <c r="DG40" i="29"/>
  <c r="DG44" i="31" s="1"/>
  <c r="DF40" i="29"/>
  <c r="DF44" i="31" s="1"/>
  <c r="DE40" i="29"/>
  <c r="DE44" i="31" s="1"/>
  <c r="DD40" i="29"/>
  <c r="DD44" i="31" s="1"/>
  <c r="DC40" i="29"/>
  <c r="DC44" i="31" s="1"/>
  <c r="DB40" i="29"/>
  <c r="DB44" i="31" s="1"/>
  <c r="DA40" i="29"/>
  <c r="DA44" i="31" s="1"/>
  <c r="CZ40" i="29"/>
  <c r="CZ44" i="31" s="1"/>
  <c r="CY40" i="29"/>
  <c r="CY44" i="31" s="1"/>
  <c r="CX40" i="29"/>
  <c r="CX44" i="31" s="1"/>
  <c r="CW40" i="29"/>
  <c r="CW44" i="31" s="1"/>
  <c r="CV40" i="29"/>
  <c r="CV44" i="31" s="1"/>
  <c r="CU40" i="29"/>
  <c r="CU44" i="31" s="1"/>
  <c r="CT40" i="29"/>
  <c r="CT44" i="31" s="1"/>
  <c r="CS40" i="29"/>
  <c r="CS44" i="31" s="1"/>
  <c r="CR40" i="29"/>
  <c r="CR44" i="31" s="1"/>
  <c r="CQ40" i="29"/>
  <c r="CQ44" i="31" s="1"/>
  <c r="CP40" i="29"/>
  <c r="CP44" i="31" s="1"/>
  <c r="CO40" i="29"/>
  <c r="CO44" i="31" s="1"/>
  <c r="CN40" i="29"/>
  <c r="CN44" i="31" s="1"/>
  <c r="CM40" i="29"/>
  <c r="CM44" i="31" s="1"/>
  <c r="CL40" i="29"/>
  <c r="CL44" i="31" s="1"/>
  <c r="CK40" i="29"/>
  <c r="CK44" i="31" s="1"/>
  <c r="CJ40" i="29"/>
  <c r="CJ44" i="31" s="1"/>
  <c r="CI40" i="29"/>
  <c r="CI44" i="31" s="1"/>
  <c r="CH40" i="29"/>
  <c r="CH44" i="31" s="1"/>
  <c r="CG40" i="29"/>
  <c r="CG44" i="31" s="1"/>
  <c r="CF40" i="29"/>
  <c r="CF44" i="31" s="1"/>
  <c r="CE40" i="29"/>
  <c r="CE44" i="31" s="1"/>
  <c r="CD40" i="29"/>
  <c r="CD44" i="31" s="1"/>
  <c r="CC40" i="29"/>
  <c r="CC44" i="31" s="1"/>
  <c r="CB40" i="29"/>
  <c r="CB44" i="31" s="1"/>
  <c r="CA40" i="29"/>
  <c r="CA44" i="31" s="1"/>
  <c r="BZ40" i="29"/>
  <c r="BZ44" i="31" s="1"/>
  <c r="BY40" i="29"/>
  <c r="BY44" i="31" s="1"/>
  <c r="BX40" i="29"/>
  <c r="BX44" i="31" s="1"/>
  <c r="BW40" i="29"/>
  <c r="BW44" i="31" s="1"/>
  <c r="BV40" i="29"/>
  <c r="BV44" i="31" s="1"/>
  <c r="BU40" i="29"/>
  <c r="BU44" i="31" s="1"/>
  <c r="BT40" i="29"/>
  <c r="BT44" i="31" s="1"/>
  <c r="BS40" i="29"/>
  <c r="BS44" i="31" s="1"/>
  <c r="BR40" i="29"/>
  <c r="BR44" i="31" s="1"/>
  <c r="BQ40" i="29"/>
  <c r="BQ44" i="31" s="1"/>
  <c r="BP40" i="29"/>
  <c r="BP44" i="31" s="1"/>
  <c r="BO40" i="29"/>
  <c r="BO44" i="31" s="1"/>
  <c r="BN40" i="29"/>
  <c r="BN44" i="31" s="1"/>
  <c r="BM40" i="29"/>
  <c r="BM44" i="31" s="1"/>
  <c r="BL40" i="29"/>
  <c r="BL44" i="31" s="1"/>
  <c r="BK40" i="29"/>
  <c r="BK44" i="31" s="1"/>
  <c r="BJ40" i="29"/>
  <c r="BJ44" i="31" s="1"/>
  <c r="BI40" i="29"/>
  <c r="BI44" i="31" s="1"/>
  <c r="BH40" i="29"/>
  <c r="BH44" i="31" s="1"/>
  <c r="BG40" i="29"/>
  <c r="BG44" i="31" s="1"/>
  <c r="BF40" i="29"/>
  <c r="BF44" i="31" s="1"/>
  <c r="BE40" i="29"/>
  <c r="BE44" i="31" s="1"/>
  <c r="BD40" i="29"/>
  <c r="BD44" i="31" s="1"/>
  <c r="BC40" i="29"/>
  <c r="BC44" i="31" s="1"/>
  <c r="BB40" i="29"/>
  <c r="BB44" i="31" s="1"/>
  <c r="BA40" i="29"/>
  <c r="BA44" i="31" s="1"/>
  <c r="AZ40" i="29"/>
  <c r="AZ44" i="31" s="1"/>
  <c r="AY40" i="29"/>
  <c r="AY44" i="31" s="1"/>
  <c r="AW40" i="29"/>
  <c r="AW44" i="31" s="1"/>
  <c r="AV40" i="29"/>
  <c r="AV44" i="31" s="1"/>
  <c r="AU40" i="29"/>
  <c r="AU44" i="31" s="1"/>
  <c r="AT40" i="29"/>
  <c r="AT44" i="31" s="1"/>
  <c r="AS40" i="29"/>
  <c r="AS44" i="31" s="1"/>
  <c r="AR40" i="29"/>
  <c r="AR44" i="31" s="1"/>
  <c r="AQ40" i="29"/>
  <c r="AQ44" i="31" s="1"/>
  <c r="AP40" i="29"/>
  <c r="AP44" i="31" s="1"/>
  <c r="AO40" i="29"/>
  <c r="AO44" i="31" s="1"/>
  <c r="AN40" i="29"/>
  <c r="AN44" i="31" s="1"/>
  <c r="AM40" i="29"/>
  <c r="AM44" i="31" s="1"/>
  <c r="AL40" i="29"/>
  <c r="AL44" i="31" s="1"/>
  <c r="AK40" i="29"/>
  <c r="AK44" i="31" s="1"/>
  <c r="AJ40" i="29"/>
  <c r="AJ44" i="31" s="1"/>
  <c r="AI40" i="29"/>
  <c r="AI44" i="31" s="1"/>
  <c r="AH40" i="29"/>
  <c r="AH44" i="31" s="1"/>
  <c r="AG40" i="29"/>
  <c r="AG44" i="31" s="1"/>
  <c r="AF40" i="29"/>
  <c r="AF44" i="31" s="1"/>
  <c r="AE40" i="29"/>
  <c r="AE44" i="31" s="1"/>
  <c r="AD40" i="29"/>
  <c r="AD44" i="31" s="1"/>
  <c r="AB40" i="29"/>
  <c r="AB44" i="31" s="1"/>
  <c r="AA40" i="29"/>
  <c r="AA44" i="31" s="1"/>
  <c r="Z40" i="29"/>
  <c r="Z44" i="31" s="1"/>
  <c r="Y40" i="29"/>
  <c r="Y44" i="31" s="1"/>
  <c r="X40" i="29"/>
  <c r="X44" i="31" s="1"/>
  <c r="W40" i="29"/>
  <c r="W44" i="31" s="1"/>
  <c r="V40" i="29"/>
  <c r="V44" i="31" s="1"/>
  <c r="U40" i="29"/>
  <c r="U44" i="31" s="1"/>
  <c r="T40" i="29"/>
  <c r="T44" i="31" s="1"/>
  <c r="S40" i="29"/>
  <c r="S44" i="31" s="1"/>
  <c r="R40" i="29"/>
  <c r="R44" i="31" s="1"/>
  <c r="Q40" i="29"/>
  <c r="Q44" i="31" s="1"/>
  <c r="P40" i="29"/>
  <c r="P44" i="31" s="1"/>
  <c r="O40" i="29"/>
  <c r="O44" i="31" s="1"/>
  <c r="N40" i="29"/>
  <c r="N44" i="31" s="1"/>
  <c r="M40" i="29"/>
  <c r="M44" i="31" s="1"/>
  <c r="L40" i="29"/>
  <c r="L44" i="31" s="1"/>
  <c r="K40" i="29"/>
  <c r="K44" i="31" s="1"/>
  <c r="J40" i="29"/>
  <c r="J44" i="31" s="1"/>
  <c r="I40" i="29"/>
  <c r="I44" i="31" s="1"/>
  <c r="H40" i="29"/>
  <c r="H44" i="31" s="1"/>
  <c r="G40" i="29"/>
  <c r="G44" i="31" s="1"/>
  <c r="F40" i="29"/>
  <c r="F44" i="31" s="1"/>
  <c r="E40" i="29"/>
  <c r="E44" i="31" s="1"/>
  <c r="D40" i="29"/>
  <c r="D44" i="31" s="1"/>
  <c r="C40" i="29"/>
  <c r="C44" i="31" s="1"/>
  <c r="JH39" i="29"/>
  <c r="JH43" i="31" s="1"/>
  <c r="JG39" i="29"/>
  <c r="JG43" i="31" s="1"/>
  <c r="JF39" i="29"/>
  <c r="JF43" i="31" s="1"/>
  <c r="JE39" i="29"/>
  <c r="JE43" i="31" s="1"/>
  <c r="JD39" i="29"/>
  <c r="JD43" i="31" s="1"/>
  <c r="JC39" i="29"/>
  <c r="JC43" i="31" s="1"/>
  <c r="JB39" i="29"/>
  <c r="JB43" i="31" s="1"/>
  <c r="JA39" i="29"/>
  <c r="JA43" i="31" s="1"/>
  <c r="IZ39" i="29"/>
  <c r="IZ43" i="31" s="1"/>
  <c r="IY39" i="29"/>
  <c r="IY43" i="31" s="1"/>
  <c r="IX39" i="29"/>
  <c r="IX43" i="31" s="1"/>
  <c r="IW39" i="29"/>
  <c r="IW43" i="31" s="1"/>
  <c r="IV39" i="29"/>
  <c r="IV43" i="31" s="1"/>
  <c r="IU39" i="29"/>
  <c r="IU43" i="31" s="1"/>
  <c r="IT39" i="29"/>
  <c r="IT43" i="31" s="1"/>
  <c r="IS39" i="29"/>
  <c r="IS43" i="31" s="1"/>
  <c r="IR39" i="29"/>
  <c r="IR43" i="31" s="1"/>
  <c r="IQ39" i="29"/>
  <c r="IQ43" i="31" s="1"/>
  <c r="IP39" i="29"/>
  <c r="IP43" i="31" s="1"/>
  <c r="IO39" i="29"/>
  <c r="IO43" i="31" s="1"/>
  <c r="IN39" i="29"/>
  <c r="IN43" i="31" s="1"/>
  <c r="IM39" i="29"/>
  <c r="IM43" i="31" s="1"/>
  <c r="IL39" i="29"/>
  <c r="IL43" i="31" s="1"/>
  <c r="IK39" i="29"/>
  <c r="IK43" i="31" s="1"/>
  <c r="IJ39" i="29"/>
  <c r="IJ43" i="31" s="1"/>
  <c r="II39" i="29"/>
  <c r="II43" i="31" s="1"/>
  <c r="IH39" i="29"/>
  <c r="IH43" i="31" s="1"/>
  <c r="IG39" i="29"/>
  <c r="IG43" i="31" s="1"/>
  <c r="IF39" i="29"/>
  <c r="IF43" i="31" s="1"/>
  <c r="IE39" i="29"/>
  <c r="IE43" i="31" s="1"/>
  <c r="ID39" i="29"/>
  <c r="ID43" i="31" s="1"/>
  <c r="IC39" i="29"/>
  <c r="IC43" i="31" s="1"/>
  <c r="IB39" i="29"/>
  <c r="IB43" i="31" s="1"/>
  <c r="IA39" i="29"/>
  <c r="IA43" i="31" s="1"/>
  <c r="HZ39" i="29"/>
  <c r="HZ43" i="31" s="1"/>
  <c r="HY39" i="29"/>
  <c r="HY43" i="31" s="1"/>
  <c r="HX39" i="29"/>
  <c r="HX43" i="31" s="1"/>
  <c r="HW39" i="29"/>
  <c r="HW43" i="31" s="1"/>
  <c r="HV39" i="29"/>
  <c r="HV43" i="31" s="1"/>
  <c r="HU39" i="29"/>
  <c r="HU43" i="31" s="1"/>
  <c r="HT39" i="29"/>
  <c r="HT43" i="31" s="1"/>
  <c r="HS39" i="29"/>
  <c r="HS43" i="31" s="1"/>
  <c r="HR39" i="29"/>
  <c r="HR43" i="31" s="1"/>
  <c r="HQ39" i="29"/>
  <c r="HQ43" i="31" s="1"/>
  <c r="HP39" i="29"/>
  <c r="HP43" i="31" s="1"/>
  <c r="HO39" i="29"/>
  <c r="HO43" i="31" s="1"/>
  <c r="HN39" i="29"/>
  <c r="HN43" i="31" s="1"/>
  <c r="HM39" i="29"/>
  <c r="HM43" i="31" s="1"/>
  <c r="HL39" i="29"/>
  <c r="HL43" i="31" s="1"/>
  <c r="HK39" i="29"/>
  <c r="HK43" i="31" s="1"/>
  <c r="HB39" i="29"/>
  <c r="HB43" i="31" s="1"/>
  <c r="GZ39" i="29"/>
  <c r="GZ43" i="31" s="1"/>
  <c r="GN39" i="29"/>
  <c r="GN43" i="31" s="1"/>
  <c r="GB39" i="29"/>
  <c r="GB43" i="31" s="1"/>
  <c r="GA39" i="29"/>
  <c r="GA43" i="31" s="1"/>
  <c r="FR39" i="29"/>
  <c r="FR43" i="31" s="1"/>
  <c r="FF39" i="29"/>
  <c r="FF43" i="31" s="1"/>
  <c r="FE39" i="29"/>
  <c r="FE43" i="31" s="1"/>
  <c r="FD39" i="29"/>
  <c r="FD43" i="31" s="1"/>
  <c r="ET39" i="29"/>
  <c r="ET43" i="31" s="1"/>
  <c r="IK38" i="29"/>
  <c r="IK42" i="31" s="1"/>
  <c r="HO38" i="29"/>
  <c r="HO42" i="31" s="1"/>
  <c r="GZ38" i="29"/>
  <c r="GZ42" i="31" s="1"/>
  <c r="FR38" i="29"/>
  <c r="FR42" i="31" s="1"/>
  <c r="EU38" i="29"/>
  <c r="EU42" i="31" s="1"/>
  <c r="ET38" i="29"/>
  <c r="ET42" i="31" s="1"/>
  <c r="DS38" i="29"/>
  <c r="DS42" i="31" s="1"/>
  <c r="DE38" i="29"/>
  <c r="DE42" i="31" s="1"/>
  <c r="CZ38" i="29"/>
  <c r="CZ42" i="31" s="1"/>
  <c r="CW38" i="29"/>
  <c r="CW42" i="31" s="1"/>
  <c r="CS38" i="29"/>
  <c r="CS42" i="31" s="1"/>
  <c r="CA38" i="29"/>
  <c r="CA42" i="31" s="1"/>
  <c r="BL38" i="29"/>
  <c r="BL42" i="31" s="1"/>
  <c r="BK38" i="29"/>
  <c r="BK42" i="31" s="1"/>
  <c r="AF38" i="29"/>
  <c r="AF42" i="31" s="1"/>
  <c r="AE38" i="29"/>
  <c r="AE42" i="31" s="1"/>
  <c r="JH37" i="29"/>
  <c r="JH41" i="31" s="1"/>
  <c r="JG37" i="29"/>
  <c r="JG41" i="31" s="1"/>
  <c r="JF37" i="29"/>
  <c r="JF41" i="31" s="1"/>
  <c r="JE37" i="29"/>
  <c r="JE41" i="31" s="1"/>
  <c r="JD37" i="29"/>
  <c r="JD41" i="31" s="1"/>
  <c r="JC37" i="29"/>
  <c r="JC41" i="31" s="1"/>
  <c r="JB37" i="29"/>
  <c r="JB41" i="31" s="1"/>
  <c r="JA37" i="29"/>
  <c r="JA41" i="31" s="1"/>
  <c r="IZ37" i="29"/>
  <c r="IZ41" i="31" s="1"/>
  <c r="IY37" i="29"/>
  <c r="IY41" i="31" s="1"/>
  <c r="IX37" i="29"/>
  <c r="IX41" i="31" s="1"/>
  <c r="IW37" i="29"/>
  <c r="IW41" i="31" s="1"/>
  <c r="IV37" i="29"/>
  <c r="IV41" i="31" s="1"/>
  <c r="IU37" i="29"/>
  <c r="IU41" i="31" s="1"/>
  <c r="IT37" i="29"/>
  <c r="IT41" i="31" s="1"/>
  <c r="IS37" i="29"/>
  <c r="IS41" i="31" s="1"/>
  <c r="IR37" i="29"/>
  <c r="IR41" i="31" s="1"/>
  <c r="IQ37" i="29"/>
  <c r="IQ41" i="31" s="1"/>
  <c r="IP37" i="29"/>
  <c r="IP41" i="31" s="1"/>
  <c r="IO37" i="29"/>
  <c r="IO41" i="31" s="1"/>
  <c r="IN37" i="29"/>
  <c r="IN41" i="31" s="1"/>
  <c r="IM37" i="29"/>
  <c r="IM41" i="31" s="1"/>
  <c r="IL37" i="29"/>
  <c r="IL41" i="31" s="1"/>
  <c r="IK37" i="29"/>
  <c r="IK41" i="31" s="1"/>
  <c r="IJ37" i="29"/>
  <c r="IJ41" i="31" s="1"/>
  <c r="II37" i="29"/>
  <c r="II41" i="31" s="1"/>
  <c r="IH37" i="29"/>
  <c r="IH41" i="31" s="1"/>
  <c r="IG37" i="29"/>
  <c r="IG41" i="31" s="1"/>
  <c r="IF37" i="29"/>
  <c r="IF41" i="31" s="1"/>
  <c r="IE37" i="29"/>
  <c r="IE41" i="31" s="1"/>
  <c r="ID37" i="29"/>
  <c r="ID41" i="31" s="1"/>
  <c r="IC37" i="29"/>
  <c r="IC41" i="31" s="1"/>
  <c r="IB37" i="29"/>
  <c r="IB41" i="31" s="1"/>
  <c r="IA37" i="29"/>
  <c r="IA41" i="31" s="1"/>
  <c r="HZ37" i="29"/>
  <c r="HZ41" i="31" s="1"/>
  <c r="HY37" i="29"/>
  <c r="HY41" i="31" s="1"/>
  <c r="HX37" i="29"/>
  <c r="HX41" i="31" s="1"/>
  <c r="HW37" i="29"/>
  <c r="HW41" i="31" s="1"/>
  <c r="HV37" i="29"/>
  <c r="HV41" i="31" s="1"/>
  <c r="HU37" i="29"/>
  <c r="HU41" i="31" s="1"/>
  <c r="HT37" i="29"/>
  <c r="HT41" i="31" s="1"/>
  <c r="HS37" i="29"/>
  <c r="HS41" i="31" s="1"/>
  <c r="HR37" i="29"/>
  <c r="HR41" i="31" s="1"/>
  <c r="HQ37" i="29"/>
  <c r="HQ41" i="31" s="1"/>
  <c r="HP37" i="29"/>
  <c r="HP41" i="31" s="1"/>
  <c r="HO37" i="29"/>
  <c r="HO41" i="31" s="1"/>
  <c r="HN37" i="29"/>
  <c r="HN41" i="31" s="1"/>
  <c r="HM37" i="29"/>
  <c r="HM41" i="31" s="1"/>
  <c r="HL37" i="29"/>
  <c r="HL41" i="31" s="1"/>
  <c r="HK37" i="29"/>
  <c r="HK41" i="31" s="1"/>
  <c r="HJ37" i="29"/>
  <c r="HJ41" i="31" s="1"/>
  <c r="HI37" i="29"/>
  <c r="HI41" i="31" s="1"/>
  <c r="HH37" i="29"/>
  <c r="HH41" i="31" s="1"/>
  <c r="HG37" i="29"/>
  <c r="HG41" i="31" s="1"/>
  <c r="HF37" i="29"/>
  <c r="HF41" i="31" s="1"/>
  <c r="HE37" i="29"/>
  <c r="HE41" i="31" s="1"/>
  <c r="HD37" i="29"/>
  <c r="HD41" i="31" s="1"/>
  <c r="HC37" i="29"/>
  <c r="HC41" i="31" s="1"/>
  <c r="HB37" i="29"/>
  <c r="HB41" i="31" s="1"/>
  <c r="HA37" i="29"/>
  <c r="HA41" i="31" s="1"/>
  <c r="GZ37" i="29"/>
  <c r="GY37" i="29"/>
  <c r="GY41" i="31" s="1"/>
  <c r="GX37" i="29"/>
  <c r="GX41" i="31" s="1"/>
  <c r="GW37" i="29"/>
  <c r="GW41" i="31" s="1"/>
  <c r="GV37" i="29"/>
  <c r="GV41" i="31" s="1"/>
  <c r="GU37" i="29"/>
  <c r="GU41" i="31" s="1"/>
  <c r="GT37" i="29"/>
  <c r="GT41" i="31" s="1"/>
  <c r="GS37" i="29"/>
  <c r="GS41" i="31" s="1"/>
  <c r="GR37" i="29"/>
  <c r="GR41" i="31" s="1"/>
  <c r="GQ37" i="29"/>
  <c r="GQ41" i="31" s="1"/>
  <c r="GP37" i="29"/>
  <c r="GP41" i="31" s="1"/>
  <c r="GO37" i="29"/>
  <c r="GO41" i="31" s="1"/>
  <c r="GN37" i="29"/>
  <c r="GN41" i="31" s="1"/>
  <c r="GM37" i="29"/>
  <c r="GM41" i="31" s="1"/>
  <c r="GL37" i="29"/>
  <c r="GL41" i="31" s="1"/>
  <c r="GK37" i="29"/>
  <c r="GK41" i="31" s="1"/>
  <c r="GJ37" i="29"/>
  <c r="GJ41" i="31" s="1"/>
  <c r="GI37" i="29"/>
  <c r="GI41" i="31" s="1"/>
  <c r="GH37" i="29"/>
  <c r="GH41" i="31" s="1"/>
  <c r="GG37" i="29"/>
  <c r="GG41" i="31" s="1"/>
  <c r="GF37" i="29"/>
  <c r="GF41" i="31" s="1"/>
  <c r="GE37" i="29"/>
  <c r="GE41" i="31" s="1"/>
  <c r="GD37" i="29"/>
  <c r="GD41" i="31" s="1"/>
  <c r="GC37" i="29"/>
  <c r="GC41" i="31" s="1"/>
  <c r="GB37" i="29"/>
  <c r="GB41" i="31" s="1"/>
  <c r="GA37" i="29"/>
  <c r="GA41" i="31" s="1"/>
  <c r="FZ37" i="29"/>
  <c r="FZ41" i="31" s="1"/>
  <c r="FY37" i="29"/>
  <c r="FY41" i="31" s="1"/>
  <c r="FX37" i="29"/>
  <c r="FX41" i="31" s="1"/>
  <c r="FW37" i="29"/>
  <c r="FW41" i="31" s="1"/>
  <c r="FV37" i="29"/>
  <c r="FV41" i="31" s="1"/>
  <c r="FU37" i="29"/>
  <c r="FU41" i="31" s="1"/>
  <c r="FT37" i="29"/>
  <c r="FT41" i="31" s="1"/>
  <c r="FS37" i="29"/>
  <c r="FS41" i="31" s="1"/>
  <c r="FR37" i="29"/>
  <c r="FQ37" i="29"/>
  <c r="FQ41" i="31" s="1"/>
  <c r="FP37" i="29"/>
  <c r="FP41" i="31" s="1"/>
  <c r="FO37" i="29"/>
  <c r="FO41" i="31" s="1"/>
  <c r="FN37" i="29"/>
  <c r="FN41" i="31" s="1"/>
  <c r="FM37" i="29"/>
  <c r="FM41" i="31" s="1"/>
  <c r="FL37" i="29"/>
  <c r="FL41" i="31" s="1"/>
  <c r="FK37" i="29"/>
  <c r="FK41" i="31" s="1"/>
  <c r="FJ37" i="29"/>
  <c r="FJ41" i="31" s="1"/>
  <c r="FI37" i="29"/>
  <c r="FI41" i="31" s="1"/>
  <c r="FH37" i="29"/>
  <c r="FH41" i="31" s="1"/>
  <c r="FG37" i="29"/>
  <c r="FG41" i="31" s="1"/>
  <c r="FF37" i="29"/>
  <c r="FF41" i="31" s="1"/>
  <c r="FE37" i="29"/>
  <c r="FE41" i="31" s="1"/>
  <c r="FD37" i="29"/>
  <c r="FD41" i="31" s="1"/>
  <c r="FC37" i="29"/>
  <c r="FC41" i="31" s="1"/>
  <c r="FB37" i="29"/>
  <c r="FB41" i="31" s="1"/>
  <c r="FA37" i="29"/>
  <c r="FA41" i="31" s="1"/>
  <c r="EZ37" i="29"/>
  <c r="EZ41" i="31" s="1"/>
  <c r="EY37" i="29"/>
  <c r="EY41" i="31" s="1"/>
  <c r="EX37" i="29"/>
  <c r="EX41" i="31" s="1"/>
  <c r="EW37" i="29"/>
  <c r="EW41" i="31" s="1"/>
  <c r="EV37" i="29"/>
  <c r="EV41" i="31" s="1"/>
  <c r="EU37" i="29"/>
  <c r="EU41" i="31" s="1"/>
  <c r="ET37" i="29"/>
  <c r="ES37" i="29"/>
  <c r="ES41" i="31" s="1"/>
  <c r="ER37" i="29"/>
  <c r="ER41" i="31" s="1"/>
  <c r="EQ37" i="29"/>
  <c r="EQ41" i="31" s="1"/>
  <c r="EP37" i="29"/>
  <c r="EP41" i="31" s="1"/>
  <c r="EO37" i="29"/>
  <c r="EO41" i="31" s="1"/>
  <c r="EN37" i="29"/>
  <c r="EN41" i="31" s="1"/>
  <c r="EM37" i="29"/>
  <c r="EM41" i="31" s="1"/>
  <c r="EL37" i="29"/>
  <c r="EL41" i="31" s="1"/>
  <c r="EK37" i="29"/>
  <c r="EK41" i="31" s="1"/>
  <c r="EJ37" i="29"/>
  <c r="EJ41" i="31" s="1"/>
  <c r="EI37" i="29"/>
  <c r="EI41" i="31" s="1"/>
  <c r="EH37" i="29"/>
  <c r="EH41" i="31" s="1"/>
  <c r="EG37" i="29"/>
  <c r="EG41" i="31" s="1"/>
  <c r="EF37" i="29"/>
  <c r="EF41" i="31" s="1"/>
  <c r="EE37" i="29"/>
  <c r="EE41" i="31" s="1"/>
  <c r="ED37" i="29"/>
  <c r="ED41" i="31" s="1"/>
  <c r="EC37" i="29"/>
  <c r="EC41" i="31" s="1"/>
  <c r="EB37" i="29"/>
  <c r="EB41" i="31" s="1"/>
  <c r="EA37" i="29"/>
  <c r="EA41" i="31" s="1"/>
  <c r="DZ37" i="29"/>
  <c r="DZ41" i="31" s="1"/>
  <c r="DY37" i="29"/>
  <c r="DY41" i="31" s="1"/>
  <c r="DX37" i="29"/>
  <c r="DX41" i="31" s="1"/>
  <c r="DW37" i="29"/>
  <c r="DW41" i="31" s="1"/>
  <c r="DV37" i="29"/>
  <c r="DV41" i="31" s="1"/>
  <c r="DU37" i="29"/>
  <c r="DU41" i="31" s="1"/>
  <c r="DT37" i="29"/>
  <c r="DT41" i="31" s="1"/>
  <c r="DS37" i="29"/>
  <c r="DS41" i="31" s="1"/>
  <c r="DR37" i="29"/>
  <c r="DR41" i="31" s="1"/>
  <c r="DQ37" i="29"/>
  <c r="DQ41" i="31" s="1"/>
  <c r="DP37" i="29"/>
  <c r="DP41" i="31" s="1"/>
  <c r="DO37" i="29"/>
  <c r="DO41" i="31" s="1"/>
  <c r="DN37" i="29"/>
  <c r="DN41" i="31" s="1"/>
  <c r="DM37" i="29"/>
  <c r="DM41" i="31" s="1"/>
  <c r="DL37" i="29"/>
  <c r="DL41" i="31" s="1"/>
  <c r="DK37" i="29"/>
  <c r="DK41" i="31" s="1"/>
  <c r="DJ37" i="29"/>
  <c r="DJ41" i="31" s="1"/>
  <c r="DI37" i="29"/>
  <c r="DI41" i="31" s="1"/>
  <c r="DH37" i="29"/>
  <c r="DH41" i="31" s="1"/>
  <c r="DG37" i="29"/>
  <c r="DG41" i="31" s="1"/>
  <c r="DF37" i="29"/>
  <c r="DF41" i="31" s="1"/>
  <c r="DE37" i="29"/>
  <c r="DE41" i="31" s="1"/>
  <c r="DD37" i="29"/>
  <c r="DD41" i="31" s="1"/>
  <c r="DC37" i="29"/>
  <c r="DC41" i="31" s="1"/>
  <c r="DB37" i="29"/>
  <c r="DB41" i="31" s="1"/>
  <c r="DA37" i="29"/>
  <c r="DA41" i="31" s="1"/>
  <c r="CZ37" i="29"/>
  <c r="CZ41" i="31" s="1"/>
  <c r="CY37" i="29"/>
  <c r="CY41" i="31" s="1"/>
  <c r="CX37" i="29"/>
  <c r="CX41" i="31" s="1"/>
  <c r="CW37" i="29"/>
  <c r="CW41" i="31" s="1"/>
  <c r="CV37" i="29"/>
  <c r="CV41" i="31" s="1"/>
  <c r="CU37" i="29"/>
  <c r="CU41" i="31" s="1"/>
  <c r="CT37" i="29"/>
  <c r="CT41" i="31" s="1"/>
  <c r="CS37" i="29"/>
  <c r="CS41" i="31" s="1"/>
  <c r="CR37" i="29"/>
  <c r="CR41" i="31" s="1"/>
  <c r="CQ37" i="29"/>
  <c r="CQ41" i="31" s="1"/>
  <c r="CP37" i="29"/>
  <c r="CP41" i="31" s="1"/>
  <c r="CO37" i="29"/>
  <c r="CO41" i="31" s="1"/>
  <c r="CN37" i="29"/>
  <c r="CN41" i="31" s="1"/>
  <c r="CM37" i="29"/>
  <c r="CM41" i="31" s="1"/>
  <c r="CL37" i="29"/>
  <c r="CL41" i="31" s="1"/>
  <c r="CK37" i="29"/>
  <c r="CK41" i="31" s="1"/>
  <c r="CJ37" i="29"/>
  <c r="CJ41" i="31" s="1"/>
  <c r="CI37" i="29"/>
  <c r="CI41" i="31" s="1"/>
  <c r="CH37" i="29"/>
  <c r="CH41" i="31" s="1"/>
  <c r="CG37" i="29"/>
  <c r="CG41" i="31" s="1"/>
  <c r="CF37" i="29"/>
  <c r="CF41" i="31" s="1"/>
  <c r="CE37" i="29"/>
  <c r="CE41" i="31" s="1"/>
  <c r="CD37" i="29"/>
  <c r="CD41" i="31" s="1"/>
  <c r="CC37" i="29"/>
  <c r="CC41" i="31" s="1"/>
  <c r="CB37" i="29"/>
  <c r="CB41" i="31" s="1"/>
  <c r="CA37" i="29"/>
  <c r="CA41" i="31" s="1"/>
  <c r="BZ37" i="29"/>
  <c r="BZ41" i="31" s="1"/>
  <c r="BY37" i="29"/>
  <c r="BY41" i="31" s="1"/>
  <c r="BX37" i="29"/>
  <c r="BX41" i="31" s="1"/>
  <c r="BW37" i="29"/>
  <c r="BW41" i="31" s="1"/>
  <c r="BV37" i="29"/>
  <c r="BV41" i="31" s="1"/>
  <c r="BU37" i="29"/>
  <c r="BU41" i="31" s="1"/>
  <c r="BT37" i="29"/>
  <c r="BT41" i="31" s="1"/>
  <c r="BS37" i="29"/>
  <c r="BS41" i="31" s="1"/>
  <c r="BR37" i="29"/>
  <c r="BR41" i="31" s="1"/>
  <c r="BQ37" i="29"/>
  <c r="BQ41" i="31" s="1"/>
  <c r="BP37" i="29"/>
  <c r="BP41" i="31" s="1"/>
  <c r="BO37" i="29"/>
  <c r="BO41" i="31" s="1"/>
  <c r="BN37" i="29"/>
  <c r="BN41" i="31" s="1"/>
  <c r="BM37" i="29"/>
  <c r="BM41" i="31" s="1"/>
  <c r="BL37" i="29"/>
  <c r="BL41" i="31" s="1"/>
  <c r="BK37" i="29"/>
  <c r="BK41" i="31" s="1"/>
  <c r="BJ37" i="29"/>
  <c r="BJ41" i="31" s="1"/>
  <c r="BI37" i="29"/>
  <c r="BI41" i="31" s="1"/>
  <c r="BH37" i="29"/>
  <c r="BH41" i="31" s="1"/>
  <c r="BG37" i="29"/>
  <c r="BG41" i="31" s="1"/>
  <c r="BF37" i="29"/>
  <c r="BF41" i="31" s="1"/>
  <c r="BE37" i="29"/>
  <c r="BE41" i="31" s="1"/>
  <c r="BD37" i="29"/>
  <c r="BD41" i="31" s="1"/>
  <c r="BC37" i="29"/>
  <c r="BC41" i="31" s="1"/>
  <c r="BB37" i="29"/>
  <c r="BB41" i="31" s="1"/>
  <c r="BA37" i="29"/>
  <c r="BA41" i="31" s="1"/>
  <c r="AZ37" i="29"/>
  <c r="AZ41" i="31" s="1"/>
  <c r="AY37" i="29"/>
  <c r="AY41" i="31" s="1"/>
  <c r="AX37" i="29"/>
  <c r="AX41" i="31" s="1"/>
  <c r="AW37" i="29"/>
  <c r="AW41" i="31" s="1"/>
  <c r="AV37" i="29"/>
  <c r="AV41" i="31" s="1"/>
  <c r="AU37" i="29"/>
  <c r="AU41" i="31" s="1"/>
  <c r="AT37" i="29"/>
  <c r="AT41" i="31" s="1"/>
  <c r="AS37" i="29"/>
  <c r="AS41" i="31" s="1"/>
  <c r="AR37" i="29"/>
  <c r="AR41" i="31" s="1"/>
  <c r="AQ37" i="29"/>
  <c r="AQ41" i="31" s="1"/>
  <c r="AP37" i="29"/>
  <c r="AP41" i="31" s="1"/>
  <c r="AO37" i="29"/>
  <c r="AO41" i="31" s="1"/>
  <c r="AN37" i="29"/>
  <c r="AN41" i="31" s="1"/>
  <c r="AM37" i="29"/>
  <c r="AM41" i="31" s="1"/>
  <c r="AL37" i="29"/>
  <c r="AL41" i="31" s="1"/>
  <c r="AK37" i="29"/>
  <c r="AK41" i="31" s="1"/>
  <c r="AJ37" i="29"/>
  <c r="AJ41" i="31" s="1"/>
  <c r="AI37" i="29"/>
  <c r="AI41" i="31" s="1"/>
  <c r="AH37" i="29"/>
  <c r="AH41" i="31" s="1"/>
  <c r="AG37" i="29"/>
  <c r="AG41" i="31" s="1"/>
  <c r="AF37" i="29"/>
  <c r="AF41" i="31" s="1"/>
  <c r="AE37" i="29"/>
  <c r="AE41" i="31" s="1"/>
  <c r="AD37" i="29"/>
  <c r="AD41" i="31" s="1"/>
  <c r="AB37" i="29"/>
  <c r="AB41" i="31" s="1"/>
  <c r="AA37" i="29"/>
  <c r="AA41" i="31" s="1"/>
  <c r="Z37" i="29"/>
  <c r="Z41" i="31" s="1"/>
  <c r="Y37" i="29"/>
  <c r="Y41" i="31" s="1"/>
  <c r="X37" i="29"/>
  <c r="X41" i="31" s="1"/>
  <c r="W37" i="29"/>
  <c r="W41" i="31" s="1"/>
  <c r="V37" i="29"/>
  <c r="V41" i="31" s="1"/>
  <c r="U37" i="29"/>
  <c r="U41" i="31" s="1"/>
  <c r="T37" i="29"/>
  <c r="T41" i="31" s="1"/>
  <c r="S37" i="29"/>
  <c r="S41" i="31" s="1"/>
  <c r="R37" i="29"/>
  <c r="R41" i="31" s="1"/>
  <c r="Q37" i="29"/>
  <c r="Q41" i="31" s="1"/>
  <c r="P37" i="29"/>
  <c r="P41" i="31" s="1"/>
  <c r="O37" i="29"/>
  <c r="O41" i="31" s="1"/>
  <c r="N37" i="29"/>
  <c r="N41" i="31" s="1"/>
  <c r="M37" i="29"/>
  <c r="M41" i="31" s="1"/>
  <c r="L37" i="29"/>
  <c r="L41" i="31" s="1"/>
  <c r="K37" i="29"/>
  <c r="K41" i="31" s="1"/>
  <c r="J37" i="29"/>
  <c r="J41" i="31" s="1"/>
  <c r="I37" i="29"/>
  <c r="I41" i="31" s="1"/>
  <c r="H37" i="29"/>
  <c r="H41" i="31" s="1"/>
  <c r="G37" i="29"/>
  <c r="G41" i="31" s="1"/>
  <c r="F37" i="29"/>
  <c r="F41" i="31" s="1"/>
  <c r="E37" i="29"/>
  <c r="E41" i="31" s="1"/>
  <c r="D37" i="29"/>
  <c r="D41" i="31" s="1"/>
  <c r="C37" i="29"/>
  <c r="IG34" i="29"/>
  <c r="IG38" i="31" s="1"/>
  <c r="GZ34" i="29"/>
  <c r="GZ38" i="31" s="1"/>
  <c r="GV34" i="29"/>
  <c r="GV38" i="31" s="1"/>
  <c r="FR34" i="29"/>
  <c r="FR38" i="31" s="1"/>
  <c r="EU34" i="29"/>
  <c r="EU38" i="31" s="1"/>
  <c r="ET34" i="29"/>
  <c r="ET38" i="31" s="1"/>
  <c r="DW34" i="29"/>
  <c r="DW38" i="31" s="1"/>
  <c r="DS34" i="29"/>
  <c r="DS38" i="31" s="1"/>
  <c r="DG34" i="29"/>
  <c r="DG38" i="31" s="1"/>
  <c r="CW34" i="29"/>
  <c r="CW38" i="31" s="1"/>
  <c r="CS34" i="29"/>
  <c r="CS38" i="31" s="1"/>
  <c r="CR34" i="29"/>
  <c r="CR38" i="31" s="1"/>
  <c r="CA34" i="29"/>
  <c r="CA38" i="31" s="1"/>
  <c r="BL34" i="29"/>
  <c r="BL38" i="31" s="1"/>
  <c r="H34" i="29"/>
  <c r="H38" i="31" s="1"/>
  <c r="GZ33" i="29"/>
  <c r="GZ37" i="31" s="1"/>
  <c r="FR33" i="29"/>
  <c r="FR37" i="31" s="1"/>
  <c r="CA33" i="29"/>
  <c r="CA37" i="31" s="1"/>
  <c r="BL33" i="29"/>
  <c r="BL37" i="31" s="1"/>
  <c r="CA30" i="29"/>
  <c r="CA30" i="31" s="1"/>
  <c r="IG28" i="29"/>
  <c r="IG28" i="31" s="1"/>
  <c r="GZ28" i="29"/>
  <c r="GZ28" i="31" s="1"/>
  <c r="GV28" i="29"/>
  <c r="GV28" i="31" s="1"/>
  <c r="FR28" i="29"/>
  <c r="FR28" i="31" s="1"/>
  <c r="EU28" i="29"/>
  <c r="EU28" i="31" s="1"/>
  <c r="ET28" i="29"/>
  <c r="ET28" i="31" s="1"/>
  <c r="DW28" i="29"/>
  <c r="DW28" i="31" s="1"/>
  <c r="DS28" i="29"/>
  <c r="DS28" i="31" s="1"/>
  <c r="DG28" i="29"/>
  <c r="DG28" i="31" s="1"/>
  <c r="CW28" i="29"/>
  <c r="CW28" i="31" s="1"/>
  <c r="CS28" i="29"/>
  <c r="CS28" i="31" s="1"/>
  <c r="CR28" i="29"/>
  <c r="CR28" i="31" s="1"/>
  <c r="CA28" i="29"/>
  <c r="CA28" i="31" s="1"/>
  <c r="BL28" i="29"/>
  <c r="BL28" i="31" s="1"/>
  <c r="H28" i="29"/>
  <c r="H28" i="31" s="1"/>
  <c r="JH27" i="29"/>
  <c r="JH27" i="31" s="1"/>
  <c r="JG27" i="29"/>
  <c r="JG27" i="31" s="1"/>
  <c r="JF27" i="29"/>
  <c r="JF27" i="31" s="1"/>
  <c r="JE27" i="29"/>
  <c r="JE27" i="31" s="1"/>
  <c r="JD27" i="29"/>
  <c r="JD27" i="31" s="1"/>
  <c r="JC27" i="29"/>
  <c r="JC27" i="31" s="1"/>
  <c r="JB27" i="29"/>
  <c r="JB27" i="31" s="1"/>
  <c r="JA27" i="29"/>
  <c r="JA27" i="31" s="1"/>
  <c r="IZ27" i="29"/>
  <c r="IZ27" i="31" s="1"/>
  <c r="IY27" i="29"/>
  <c r="IY27" i="31" s="1"/>
  <c r="IX27" i="29"/>
  <c r="IX27" i="31" s="1"/>
  <c r="IW27" i="29"/>
  <c r="IW27" i="31" s="1"/>
  <c r="IV27" i="29"/>
  <c r="IV27" i="31" s="1"/>
  <c r="IU27" i="29"/>
  <c r="IU27" i="31" s="1"/>
  <c r="IT27" i="29"/>
  <c r="IT27" i="31" s="1"/>
  <c r="IS27" i="29"/>
  <c r="IS27" i="31" s="1"/>
  <c r="IR27" i="29"/>
  <c r="IR27" i="31" s="1"/>
  <c r="IQ27" i="29"/>
  <c r="IQ27" i="31" s="1"/>
  <c r="IP27" i="29"/>
  <c r="IP27" i="31" s="1"/>
  <c r="IO27" i="29"/>
  <c r="IO27" i="31" s="1"/>
  <c r="IN27" i="29"/>
  <c r="IN27" i="31" s="1"/>
  <c r="IM27" i="29"/>
  <c r="IM27" i="31" s="1"/>
  <c r="IL27" i="29"/>
  <c r="IL27" i="31" s="1"/>
  <c r="IK27" i="29"/>
  <c r="IK27" i="31" s="1"/>
  <c r="IJ27" i="29"/>
  <c r="IJ27" i="31" s="1"/>
  <c r="II27" i="29"/>
  <c r="II27" i="31" s="1"/>
  <c r="IH27" i="29"/>
  <c r="IH27" i="31" s="1"/>
  <c r="IG27" i="29"/>
  <c r="IG27" i="31" s="1"/>
  <c r="IF27" i="29"/>
  <c r="IF27" i="31" s="1"/>
  <c r="IE27" i="29"/>
  <c r="IE27" i="31" s="1"/>
  <c r="ID27" i="29"/>
  <c r="ID27" i="31" s="1"/>
  <c r="IC27" i="29"/>
  <c r="IC27" i="31" s="1"/>
  <c r="IB27" i="29"/>
  <c r="IB27" i="31" s="1"/>
  <c r="IA27" i="29"/>
  <c r="IA27" i="31" s="1"/>
  <c r="HZ27" i="29"/>
  <c r="HZ27" i="31" s="1"/>
  <c r="HY27" i="29"/>
  <c r="HY27" i="31" s="1"/>
  <c r="HX27" i="29"/>
  <c r="HX27" i="31" s="1"/>
  <c r="HW27" i="29"/>
  <c r="HW27" i="31" s="1"/>
  <c r="HV27" i="29"/>
  <c r="HV27" i="31" s="1"/>
  <c r="HU27" i="29"/>
  <c r="HU27" i="31" s="1"/>
  <c r="HT27" i="29"/>
  <c r="HT27" i="31" s="1"/>
  <c r="HS27" i="29"/>
  <c r="HS27" i="31" s="1"/>
  <c r="HR27" i="29"/>
  <c r="HR27" i="31" s="1"/>
  <c r="HQ27" i="29"/>
  <c r="HQ27" i="31" s="1"/>
  <c r="HP27" i="29"/>
  <c r="HP27" i="31" s="1"/>
  <c r="HO27" i="29"/>
  <c r="HO27" i="31" s="1"/>
  <c r="HN27" i="29"/>
  <c r="HN27" i="31" s="1"/>
  <c r="HM27" i="29"/>
  <c r="HM27" i="31" s="1"/>
  <c r="HL27" i="29"/>
  <c r="HL27" i="31" s="1"/>
  <c r="HK27" i="29"/>
  <c r="HK27" i="31" s="1"/>
  <c r="HJ27" i="29"/>
  <c r="HJ27" i="31" s="1"/>
  <c r="HI27" i="29"/>
  <c r="HI27" i="31" s="1"/>
  <c r="HH27" i="29"/>
  <c r="HH27" i="31" s="1"/>
  <c r="HG27" i="29"/>
  <c r="HG27" i="31" s="1"/>
  <c r="HF27" i="29"/>
  <c r="HF27" i="31" s="1"/>
  <c r="HE27" i="29"/>
  <c r="HE27" i="31" s="1"/>
  <c r="HD27" i="29"/>
  <c r="HD27" i="31" s="1"/>
  <c r="HC27" i="29"/>
  <c r="HC27" i="31" s="1"/>
  <c r="HB27" i="29"/>
  <c r="HB27" i="31" s="1"/>
  <c r="HA27" i="29"/>
  <c r="HA27" i="31" s="1"/>
  <c r="GZ27" i="29"/>
  <c r="GZ27" i="31" s="1"/>
  <c r="GY27" i="29"/>
  <c r="GY27" i="31" s="1"/>
  <c r="GX27" i="29"/>
  <c r="GX27" i="31" s="1"/>
  <c r="GW27" i="29"/>
  <c r="GW27" i="31" s="1"/>
  <c r="GV27" i="29"/>
  <c r="GV27" i="31" s="1"/>
  <c r="GU27" i="29"/>
  <c r="GU27" i="31" s="1"/>
  <c r="GT27" i="29"/>
  <c r="GT27" i="31" s="1"/>
  <c r="GS27" i="29"/>
  <c r="GS27" i="31" s="1"/>
  <c r="GR27" i="29"/>
  <c r="GR27" i="31" s="1"/>
  <c r="GQ27" i="29"/>
  <c r="GQ27" i="31" s="1"/>
  <c r="GP27" i="29"/>
  <c r="GP27" i="31" s="1"/>
  <c r="GO27" i="29"/>
  <c r="GO27" i="31" s="1"/>
  <c r="GN27" i="29"/>
  <c r="GN27" i="31" s="1"/>
  <c r="GM27" i="29"/>
  <c r="GM27" i="31" s="1"/>
  <c r="GL27" i="29"/>
  <c r="GL27" i="31" s="1"/>
  <c r="GK27" i="29"/>
  <c r="GK27" i="31" s="1"/>
  <c r="GJ27" i="29"/>
  <c r="GJ27" i="31" s="1"/>
  <c r="GI27" i="29"/>
  <c r="GI27" i="31" s="1"/>
  <c r="GH27" i="29"/>
  <c r="GH27" i="31" s="1"/>
  <c r="GG27" i="29"/>
  <c r="GG27" i="31" s="1"/>
  <c r="GF27" i="29"/>
  <c r="GF27" i="31" s="1"/>
  <c r="GE27" i="29"/>
  <c r="GE27" i="31" s="1"/>
  <c r="GD27" i="29"/>
  <c r="GD27" i="31" s="1"/>
  <c r="GC27" i="29"/>
  <c r="GC27" i="31" s="1"/>
  <c r="GB27" i="29"/>
  <c r="GB27" i="31" s="1"/>
  <c r="GA27" i="29"/>
  <c r="GA27" i="31" s="1"/>
  <c r="FZ27" i="29"/>
  <c r="FZ27" i="31" s="1"/>
  <c r="FY27" i="29"/>
  <c r="FY27" i="31" s="1"/>
  <c r="FX27" i="29"/>
  <c r="FX27" i="31" s="1"/>
  <c r="FW27" i="29"/>
  <c r="FW27" i="31" s="1"/>
  <c r="FV27" i="29"/>
  <c r="FV27" i="31" s="1"/>
  <c r="FU27" i="29"/>
  <c r="FU27" i="31" s="1"/>
  <c r="FT27" i="29"/>
  <c r="FT27" i="31" s="1"/>
  <c r="FS27" i="29"/>
  <c r="FS27" i="31" s="1"/>
  <c r="FR27" i="29"/>
  <c r="FR27" i="31" s="1"/>
  <c r="FQ27" i="29"/>
  <c r="FQ27" i="31" s="1"/>
  <c r="FP27" i="29"/>
  <c r="FP27" i="31" s="1"/>
  <c r="FO27" i="29"/>
  <c r="FO27" i="31" s="1"/>
  <c r="FN27" i="29"/>
  <c r="FN27" i="31" s="1"/>
  <c r="FM27" i="29"/>
  <c r="FM27" i="31" s="1"/>
  <c r="FL27" i="29"/>
  <c r="FL27" i="31" s="1"/>
  <c r="FK27" i="29"/>
  <c r="FK27" i="31" s="1"/>
  <c r="FJ27" i="29"/>
  <c r="FJ27" i="31" s="1"/>
  <c r="FI27" i="29"/>
  <c r="FI27" i="31" s="1"/>
  <c r="FH27" i="29"/>
  <c r="FH27" i="31" s="1"/>
  <c r="FG27" i="29"/>
  <c r="FG27" i="31" s="1"/>
  <c r="FF27" i="29"/>
  <c r="FF27" i="31" s="1"/>
  <c r="FE27" i="29"/>
  <c r="FE27" i="31" s="1"/>
  <c r="FD27" i="29"/>
  <c r="FD27" i="31" s="1"/>
  <c r="FC27" i="29"/>
  <c r="FC27" i="31" s="1"/>
  <c r="FB27" i="29"/>
  <c r="FB27" i="31" s="1"/>
  <c r="FA27" i="29"/>
  <c r="FA27" i="31" s="1"/>
  <c r="EZ27" i="29"/>
  <c r="EZ27" i="31" s="1"/>
  <c r="EY27" i="29"/>
  <c r="EY27" i="31" s="1"/>
  <c r="EX27" i="29"/>
  <c r="EX27" i="31" s="1"/>
  <c r="EW27" i="29"/>
  <c r="EW27" i="31" s="1"/>
  <c r="EV27" i="29"/>
  <c r="EV27" i="31" s="1"/>
  <c r="EU27" i="29"/>
  <c r="EU27" i="31" s="1"/>
  <c r="ET27" i="29"/>
  <c r="ET27" i="31" s="1"/>
  <c r="ES27" i="29"/>
  <c r="ES27" i="31" s="1"/>
  <c r="ER27" i="29"/>
  <c r="ER27" i="31" s="1"/>
  <c r="EQ27" i="29"/>
  <c r="EQ27" i="31" s="1"/>
  <c r="EP27" i="29"/>
  <c r="EP27" i="31" s="1"/>
  <c r="EO27" i="29"/>
  <c r="EO27" i="31" s="1"/>
  <c r="EN27" i="29"/>
  <c r="EN27" i="31" s="1"/>
  <c r="EM27" i="29"/>
  <c r="EM27" i="31" s="1"/>
  <c r="EL27" i="29"/>
  <c r="EL27" i="31" s="1"/>
  <c r="EK27" i="29"/>
  <c r="EK27" i="31" s="1"/>
  <c r="EJ27" i="29"/>
  <c r="EJ27" i="31" s="1"/>
  <c r="EI27" i="29"/>
  <c r="EI27" i="31" s="1"/>
  <c r="EH27" i="29"/>
  <c r="EH27" i="31" s="1"/>
  <c r="EG27" i="29"/>
  <c r="EG27" i="31" s="1"/>
  <c r="EF27" i="29"/>
  <c r="EF27" i="31" s="1"/>
  <c r="EE27" i="29"/>
  <c r="EE27" i="31" s="1"/>
  <c r="ED27" i="29"/>
  <c r="ED27" i="31" s="1"/>
  <c r="EC27" i="29"/>
  <c r="EC27" i="31" s="1"/>
  <c r="EB27" i="29"/>
  <c r="EB27" i="31" s="1"/>
  <c r="EA27" i="29"/>
  <c r="EA27" i="31" s="1"/>
  <c r="DZ27" i="29"/>
  <c r="DZ27" i="31" s="1"/>
  <c r="DY27" i="29"/>
  <c r="DY27" i="31" s="1"/>
  <c r="DX27" i="29"/>
  <c r="DX27" i="31" s="1"/>
  <c r="DW27" i="29"/>
  <c r="DW27" i="31" s="1"/>
  <c r="DV27" i="29"/>
  <c r="DV27" i="31" s="1"/>
  <c r="DU27" i="29"/>
  <c r="DU27" i="31" s="1"/>
  <c r="DT27" i="29"/>
  <c r="DT27" i="31" s="1"/>
  <c r="DS27" i="29"/>
  <c r="DS27" i="31" s="1"/>
  <c r="DR27" i="29"/>
  <c r="DR27" i="31" s="1"/>
  <c r="DQ27" i="29"/>
  <c r="DQ27" i="31" s="1"/>
  <c r="DP27" i="29"/>
  <c r="DP27" i="31" s="1"/>
  <c r="DO27" i="29"/>
  <c r="DO27" i="31" s="1"/>
  <c r="DN27" i="29"/>
  <c r="DN27" i="31" s="1"/>
  <c r="DM27" i="29"/>
  <c r="DM27" i="31" s="1"/>
  <c r="DL27" i="29"/>
  <c r="DL27" i="31" s="1"/>
  <c r="DK27" i="29"/>
  <c r="DK27" i="31" s="1"/>
  <c r="DJ27" i="29"/>
  <c r="DJ27" i="31" s="1"/>
  <c r="DI27" i="29"/>
  <c r="DI27" i="31" s="1"/>
  <c r="DH27" i="29"/>
  <c r="DH27" i="31" s="1"/>
  <c r="DG27" i="29"/>
  <c r="DG27" i="31" s="1"/>
  <c r="DF27" i="29"/>
  <c r="DF27" i="31" s="1"/>
  <c r="DE27" i="29"/>
  <c r="DE27" i="31" s="1"/>
  <c r="DD27" i="29"/>
  <c r="DD27" i="31" s="1"/>
  <c r="DC27" i="29"/>
  <c r="DC27" i="31" s="1"/>
  <c r="DB27" i="29"/>
  <c r="DB27" i="31" s="1"/>
  <c r="DA27" i="29"/>
  <c r="DA27" i="31" s="1"/>
  <c r="CZ27" i="29"/>
  <c r="CZ27" i="31" s="1"/>
  <c r="CY27" i="29"/>
  <c r="CY27" i="31" s="1"/>
  <c r="CX27" i="29"/>
  <c r="CX27" i="31" s="1"/>
  <c r="CW27" i="29"/>
  <c r="CW27" i="31" s="1"/>
  <c r="CV27" i="29"/>
  <c r="CV27" i="31" s="1"/>
  <c r="CU27" i="29"/>
  <c r="CU27" i="31" s="1"/>
  <c r="CT27" i="29"/>
  <c r="CT27" i="31" s="1"/>
  <c r="CS27" i="29"/>
  <c r="CS27" i="31" s="1"/>
  <c r="CR27" i="29"/>
  <c r="CR27" i="31" s="1"/>
  <c r="CQ27" i="29"/>
  <c r="CQ27" i="31" s="1"/>
  <c r="CP27" i="29"/>
  <c r="CP27" i="31" s="1"/>
  <c r="CO27" i="29"/>
  <c r="CO27" i="31" s="1"/>
  <c r="CN27" i="29"/>
  <c r="CN27" i="31" s="1"/>
  <c r="CM27" i="29"/>
  <c r="CM27" i="31" s="1"/>
  <c r="CL27" i="29"/>
  <c r="CL27" i="31" s="1"/>
  <c r="CK27" i="29"/>
  <c r="CK27" i="31" s="1"/>
  <c r="CJ27" i="29"/>
  <c r="CJ27" i="31" s="1"/>
  <c r="CI27" i="29"/>
  <c r="CI27" i="31" s="1"/>
  <c r="CH27" i="29"/>
  <c r="CH27" i="31" s="1"/>
  <c r="CG27" i="29"/>
  <c r="CG27" i="31" s="1"/>
  <c r="CF27" i="29"/>
  <c r="CF27" i="31" s="1"/>
  <c r="CE27" i="29"/>
  <c r="CE27" i="31" s="1"/>
  <c r="CD27" i="29"/>
  <c r="CD27" i="31" s="1"/>
  <c r="CC27" i="29"/>
  <c r="CC27" i="31" s="1"/>
  <c r="CB27" i="29"/>
  <c r="CB27" i="31" s="1"/>
  <c r="CA27" i="29"/>
  <c r="CA27" i="31" s="1"/>
  <c r="BZ27" i="29"/>
  <c r="BZ27" i="31" s="1"/>
  <c r="BY27" i="29"/>
  <c r="BY27" i="31" s="1"/>
  <c r="BX27" i="29"/>
  <c r="BX27" i="31" s="1"/>
  <c r="BW27" i="29"/>
  <c r="BW27" i="31" s="1"/>
  <c r="BV27" i="29"/>
  <c r="BV27" i="31" s="1"/>
  <c r="BU27" i="29"/>
  <c r="BU27" i="31" s="1"/>
  <c r="BT27" i="29"/>
  <c r="BT27" i="31" s="1"/>
  <c r="BS27" i="29"/>
  <c r="BS27" i="31" s="1"/>
  <c r="BR27" i="29"/>
  <c r="BR27" i="31" s="1"/>
  <c r="BQ27" i="29"/>
  <c r="BQ27" i="31" s="1"/>
  <c r="BP27" i="29"/>
  <c r="BP27" i="31" s="1"/>
  <c r="BO27" i="29"/>
  <c r="BO27" i="31" s="1"/>
  <c r="BN27" i="29"/>
  <c r="BN27" i="31" s="1"/>
  <c r="BM27" i="29"/>
  <c r="BM27" i="31" s="1"/>
  <c r="BL27" i="29"/>
  <c r="BL27" i="31" s="1"/>
  <c r="BK27" i="29"/>
  <c r="BK27" i="31" s="1"/>
  <c r="BJ27" i="29"/>
  <c r="BJ27" i="31" s="1"/>
  <c r="BI27" i="29"/>
  <c r="BI27" i="31" s="1"/>
  <c r="BH27" i="29"/>
  <c r="BH27" i="31" s="1"/>
  <c r="BG27" i="29"/>
  <c r="BG27" i="31" s="1"/>
  <c r="BF27" i="29"/>
  <c r="BF27" i="31" s="1"/>
  <c r="BE27" i="29"/>
  <c r="BE27" i="31" s="1"/>
  <c r="BD27" i="29"/>
  <c r="BD27" i="31" s="1"/>
  <c r="BC27" i="29"/>
  <c r="BC27" i="31" s="1"/>
  <c r="BB27" i="29"/>
  <c r="BB27" i="31" s="1"/>
  <c r="BA27" i="29"/>
  <c r="BA27" i="31" s="1"/>
  <c r="AZ27" i="29"/>
  <c r="AZ27" i="31" s="1"/>
  <c r="AY27" i="29"/>
  <c r="AY27" i="31" s="1"/>
  <c r="AX27" i="29"/>
  <c r="AX27" i="31" s="1"/>
  <c r="AW27" i="29"/>
  <c r="AW27" i="31" s="1"/>
  <c r="AV27" i="29"/>
  <c r="AV27" i="31" s="1"/>
  <c r="AU27" i="29"/>
  <c r="AU27" i="31" s="1"/>
  <c r="AT27" i="29"/>
  <c r="AT27" i="31" s="1"/>
  <c r="AS27" i="29"/>
  <c r="AS27" i="31" s="1"/>
  <c r="AR27" i="29"/>
  <c r="AR27" i="31" s="1"/>
  <c r="AQ27" i="29"/>
  <c r="AQ27" i="31" s="1"/>
  <c r="AP27" i="29"/>
  <c r="AP27" i="31" s="1"/>
  <c r="AO27" i="29"/>
  <c r="AO27" i="31" s="1"/>
  <c r="AN27" i="29"/>
  <c r="AN27" i="31" s="1"/>
  <c r="AM27" i="29"/>
  <c r="AM27" i="31" s="1"/>
  <c r="AL27" i="29"/>
  <c r="AL27" i="31" s="1"/>
  <c r="AK27" i="29"/>
  <c r="AK27" i="31" s="1"/>
  <c r="AJ27" i="29"/>
  <c r="AJ27" i="31" s="1"/>
  <c r="AI27" i="29"/>
  <c r="AI27" i="31" s="1"/>
  <c r="AH27" i="29"/>
  <c r="AH27" i="31" s="1"/>
  <c r="AG27" i="29"/>
  <c r="AG27" i="31" s="1"/>
  <c r="AF27" i="29"/>
  <c r="AF27" i="31" s="1"/>
  <c r="AE27" i="29"/>
  <c r="AE27" i="31" s="1"/>
  <c r="AD27" i="29"/>
  <c r="AD27" i="31" s="1"/>
  <c r="AB27" i="29"/>
  <c r="AB27" i="31" s="1"/>
  <c r="AA27" i="29"/>
  <c r="AA27" i="31" s="1"/>
  <c r="Z27" i="29"/>
  <c r="Z27" i="31" s="1"/>
  <c r="Y27" i="29"/>
  <c r="Y27" i="31" s="1"/>
  <c r="X27" i="29"/>
  <c r="X27" i="31" s="1"/>
  <c r="W27" i="29"/>
  <c r="W27" i="31" s="1"/>
  <c r="V27" i="29"/>
  <c r="V27" i="31" s="1"/>
  <c r="U27" i="29"/>
  <c r="U27" i="31" s="1"/>
  <c r="T27" i="29"/>
  <c r="T27" i="31" s="1"/>
  <c r="S27" i="29"/>
  <c r="S27" i="31" s="1"/>
  <c r="R27" i="29"/>
  <c r="R27" i="31" s="1"/>
  <c r="Q27" i="29"/>
  <c r="Q27" i="31" s="1"/>
  <c r="P27" i="29"/>
  <c r="P27" i="31" s="1"/>
  <c r="O27" i="29"/>
  <c r="O27" i="31" s="1"/>
  <c r="N27" i="29"/>
  <c r="N27" i="31" s="1"/>
  <c r="M27" i="29"/>
  <c r="M27" i="31" s="1"/>
  <c r="L27" i="29"/>
  <c r="L27" i="31" s="1"/>
  <c r="K27" i="29"/>
  <c r="K27" i="31" s="1"/>
  <c r="J27" i="29"/>
  <c r="J27" i="31" s="1"/>
  <c r="I27" i="29"/>
  <c r="I27" i="31" s="1"/>
  <c r="H27" i="29"/>
  <c r="H27" i="31" s="1"/>
  <c r="G27" i="29"/>
  <c r="G27" i="31" s="1"/>
  <c r="F27" i="29"/>
  <c r="F27" i="31" s="1"/>
  <c r="E27" i="29"/>
  <c r="E27" i="31" s="1"/>
  <c r="D27" i="29"/>
  <c r="D27" i="31" s="1"/>
  <c r="C27" i="29"/>
  <c r="C27" i="31" s="1"/>
  <c r="JH25" i="29"/>
  <c r="JH25" i="31" s="1"/>
  <c r="JG25" i="29"/>
  <c r="JG25" i="31" s="1"/>
  <c r="JF25" i="29"/>
  <c r="JF25" i="31" s="1"/>
  <c r="JE25" i="29"/>
  <c r="JE25" i="31" s="1"/>
  <c r="JD25" i="29"/>
  <c r="JD25" i="31" s="1"/>
  <c r="JC25" i="29"/>
  <c r="JC25" i="31" s="1"/>
  <c r="JB25" i="29"/>
  <c r="JB25" i="31" s="1"/>
  <c r="JA25" i="29"/>
  <c r="JA25" i="31" s="1"/>
  <c r="IZ25" i="29"/>
  <c r="IZ25" i="31" s="1"/>
  <c r="IY25" i="29"/>
  <c r="IY25" i="31" s="1"/>
  <c r="IX25" i="29"/>
  <c r="IX25" i="31" s="1"/>
  <c r="IW25" i="29"/>
  <c r="IW25" i="31" s="1"/>
  <c r="IV25" i="29"/>
  <c r="IV25" i="31" s="1"/>
  <c r="IU25" i="29"/>
  <c r="IU25" i="31" s="1"/>
  <c r="IT25" i="29"/>
  <c r="IT25" i="31" s="1"/>
  <c r="IS25" i="29"/>
  <c r="IS25" i="31" s="1"/>
  <c r="IR25" i="29"/>
  <c r="IR25" i="31" s="1"/>
  <c r="IQ25" i="29"/>
  <c r="IQ25" i="31" s="1"/>
  <c r="IP25" i="29"/>
  <c r="IP25" i="31" s="1"/>
  <c r="IO25" i="29"/>
  <c r="IO25" i="31" s="1"/>
  <c r="IN25" i="29"/>
  <c r="IN25" i="31" s="1"/>
  <c r="IM25" i="29"/>
  <c r="IM25" i="31" s="1"/>
  <c r="IL25" i="29"/>
  <c r="IL25" i="31" s="1"/>
  <c r="IK25" i="29"/>
  <c r="IK25" i="31" s="1"/>
  <c r="IJ25" i="29"/>
  <c r="IJ25" i="31" s="1"/>
  <c r="II25" i="29"/>
  <c r="II25" i="31" s="1"/>
  <c r="IH25" i="29"/>
  <c r="IH25" i="31" s="1"/>
  <c r="IG25" i="29"/>
  <c r="IG25" i="31" s="1"/>
  <c r="IF25" i="29"/>
  <c r="IF25" i="31" s="1"/>
  <c r="IE25" i="29"/>
  <c r="IE25" i="31" s="1"/>
  <c r="ID25" i="29"/>
  <c r="ID25" i="31" s="1"/>
  <c r="IC25" i="29"/>
  <c r="IC25" i="31" s="1"/>
  <c r="IB25" i="29"/>
  <c r="IB25" i="31" s="1"/>
  <c r="IA25" i="29"/>
  <c r="IA25" i="31" s="1"/>
  <c r="HZ25" i="29"/>
  <c r="HZ25" i="31" s="1"/>
  <c r="HY25" i="29"/>
  <c r="HY25" i="31" s="1"/>
  <c r="HX25" i="29"/>
  <c r="HX25" i="31" s="1"/>
  <c r="HW25" i="29"/>
  <c r="HW25" i="31" s="1"/>
  <c r="HV25" i="29"/>
  <c r="HV25" i="31" s="1"/>
  <c r="HU25" i="29"/>
  <c r="HU25" i="31" s="1"/>
  <c r="HT25" i="29"/>
  <c r="HT25" i="31" s="1"/>
  <c r="HS25" i="29"/>
  <c r="HS25" i="31" s="1"/>
  <c r="HR25" i="29"/>
  <c r="HR25" i="31" s="1"/>
  <c r="HQ25" i="29"/>
  <c r="HQ25" i="31" s="1"/>
  <c r="HP25" i="29"/>
  <c r="HP25" i="31" s="1"/>
  <c r="HO25" i="29"/>
  <c r="HO25" i="31" s="1"/>
  <c r="HN25" i="29"/>
  <c r="HN25" i="31" s="1"/>
  <c r="HM25" i="29"/>
  <c r="HM25" i="31" s="1"/>
  <c r="HL25" i="29"/>
  <c r="HL25" i="31" s="1"/>
  <c r="HK25" i="29"/>
  <c r="HK25" i="31" s="1"/>
  <c r="HJ25" i="29"/>
  <c r="HJ25" i="31" s="1"/>
  <c r="HI25" i="29"/>
  <c r="HI25" i="31" s="1"/>
  <c r="HH25" i="29"/>
  <c r="HH25" i="31" s="1"/>
  <c r="HG25" i="29"/>
  <c r="HG25" i="31" s="1"/>
  <c r="HF25" i="29"/>
  <c r="HF25" i="31" s="1"/>
  <c r="HE25" i="29"/>
  <c r="HE25" i="31" s="1"/>
  <c r="HD25" i="29"/>
  <c r="HD25" i="31" s="1"/>
  <c r="HC25" i="29"/>
  <c r="HC25" i="31" s="1"/>
  <c r="HB25" i="29"/>
  <c r="HB25" i="31" s="1"/>
  <c r="HA25" i="29"/>
  <c r="HA25" i="31" s="1"/>
  <c r="GZ25" i="29"/>
  <c r="GZ25" i="31" s="1"/>
  <c r="GY25" i="29"/>
  <c r="GY25" i="31" s="1"/>
  <c r="GX25" i="29"/>
  <c r="GX25" i="31" s="1"/>
  <c r="GW25" i="29"/>
  <c r="GW25" i="31" s="1"/>
  <c r="GV25" i="29"/>
  <c r="GV25" i="31" s="1"/>
  <c r="GU25" i="29"/>
  <c r="GU25" i="31" s="1"/>
  <c r="GT25" i="29"/>
  <c r="GT25" i="31" s="1"/>
  <c r="GS25" i="29"/>
  <c r="GS25" i="31" s="1"/>
  <c r="GR25" i="29"/>
  <c r="GR25" i="31" s="1"/>
  <c r="GQ25" i="29"/>
  <c r="GQ25" i="31" s="1"/>
  <c r="GP25" i="29"/>
  <c r="GP25" i="31" s="1"/>
  <c r="GO25" i="29"/>
  <c r="GO25" i="31" s="1"/>
  <c r="GN25" i="29"/>
  <c r="GN25" i="31" s="1"/>
  <c r="GM25" i="29"/>
  <c r="GM25" i="31" s="1"/>
  <c r="GL25" i="29"/>
  <c r="GL25" i="31" s="1"/>
  <c r="GK25" i="29"/>
  <c r="GK25" i="31" s="1"/>
  <c r="GJ25" i="29"/>
  <c r="GJ25" i="31" s="1"/>
  <c r="GI25" i="29"/>
  <c r="GI25" i="31" s="1"/>
  <c r="GH25" i="29"/>
  <c r="GH25" i="31" s="1"/>
  <c r="GG25" i="29"/>
  <c r="GG25" i="31" s="1"/>
  <c r="GF25" i="29"/>
  <c r="GF25" i="31" s="1"/>
  <c r="GE25" i="29"/>
  <c r="GE25" i="31" s="1"/>
  <c r="GD25" i="29"/>
  <c r="GD25" i="31" s="1"/>
  <c r="GC25" i="29"/>
  <c r="GC25" i="31" s="1"/>
  <c r="GB25" i="29"/>
  <c r="GB25" i="31" s="1"/>
  <c r="GA25" i="29"/>
  <c r="GA25" i="31" s="1"/>
  <c r="FZ25" i="29"/>
  <c r="FZ25" i="31" s="1"/>
  <c r="FY25" i="29"/>
  <c r="FY25" i="31" s="1"/>
  <c r="FX25" i="29"/>
  <c r="FX25" i="31" s="1"/>
  <c r="FW25" i="29"/>
  <c r="FW25" i="31" s="1"/>
  <c r="FV25" i="29"/>
  <c r="FV25" i="31" s="1"/>
  <c r="FU25" i="29"/>
  <c r="FU25" i="31" s="1"/>
  <c r="FT25" i="29"/>
  <c r="FT25" i="31" s="1"/>
  <c r="FS25" i="29"/>
  <c r="FS25" i="31" s="1"/>
  <c r="FR25" i="29"/>
  <c r="FR25" i="31" s="1"/>
  <c r="FQ25" i="29"/>
  <c r="FQ25" i="31" s="1"/>
  <c r="FP25" i="29"/>
  <c r="FP25" i="31" s="1"/>
  <c r="FO25" i="29"/>
  <c r="FO25" i="31" s="1"/>
  <c r="FN25" i="29"/>
  <c r="FN25" i="31" s="1"/>
  <c r="FM25" i="29"/>
  <c r="FM25" i="31" s="1"/>
  <c r="FL25" i="29"/>
  <c r="FL25" i="31" s="1"/>
  <c r="FK25" i="29"/>
  <c r="FK25" i="31" s="1"/>
  <c r="FJ25" i="29"/>
  <c r="FJ25" i="31" s="1"/>
  <c r="FI25" i="29"/>
  <c r="FI25" i="31" s="1"/>
  <c r="FH25" i="29"/>
  <c r="FH25" i="31" s="1"/>
  <c r="FG25" i="29"/>
  <c r="FG25" i="31" s="1"/>
  <c r="FF25" i="29"/>
  <c r="FF25" i="31" s="1"/>
  <c r="FE25" i="29"/>
  <c r="FE25" i="31" s="1"/>
  <c r="FD25" i="29"/>
  <c r="FD25" i="31" s="1"/>
  <c r="FC25" i="29"/>
  <c r="FC25" i="31" s="1"/>
  <c r="FB25" i="29"/>
  <c r="FB25" i="31" s="1"/>
  <c r="FA25" i="29"/>
  <c r="FA25" i="31" s="1"/>
  <c r="EZ25" i="29"/>
  <c r="EZ25" i="31" s="1"/>
  <c r="EY25" i="29"/>
  <c r="EY25" i="31" s="1"/>
  <c r="EX25" i="29"/>
  <c r="EX25" i="31" s="1"/>
  <c r="EW25" i="29"/>
  <c r="EW25" i="31" s="1"/>
  <c r="EV25" i="29"/>
  <c r="EV25" i="31" s="1"/>
  <c r="EU25" i="29"/>
  <c r="EU25" i="31" s="1"/>
  <c r="ET25" i="29"/>
  <c r="ET25" i="31" s="1"/>
  <c r="ES25" i="29"/>
  <c r="ES25" i="31" s="1"/>
  <c r="ER25" i="29"/>
  <c r="ER25" i="31" s="1"/>
  <c r="EQ25" i="29"/>
  <c r="EQ25" i="31" s="1"/>
  <c r="EP25" i="29"/>
  <c r="EP25" i="31" s="1"/>
  <c r="EO25" i="29"/>
  <c r="EO25" i="31" s="1"/>
  <c r="EN25" i="29"/>
  <c r="EN25" i="31" s="1"/>
  <c r="EM25" i="29"/>
  <c r="EM25" i="31" s="1"/>
  <c r="EL25" i="29"/>
  <c r="EL25" i="31" s="1"/>
  <c r="EK25" i="29"/>
  <c r="EK25" i="31" s="1"/>
  <c r="EJ25" i="29"/>
  <c r="EJ25" i="31" s="1"/>
  <c r="EI25" i="29"/>
  <c r="EI25" i="31" s="1"/>
  <c r="EH25" i="29"/>
  <c r="EH25" i="31" s="1"/>
  <c r="EG25" i="29"/>
  <c r="EG25" i="31" s="1"/>
  <c r="EF25" i="29"/>
  <c r="EF25" i="31" s="1"/>
  <c r="EE25" i="29"/>
  <c r="EE25" i="31" s="1"/>
  <c r="ED25" i="29"/>
  <c r="ED25" i="31" s="1"/>
  <c r="EC25" i="29"/>
  <c r="EC25" i="31" s="1"/>
  <c r="EB25" i="29"/>
  <c r="EB25" i="31" s="1"/>
  <c r="EA25" i="29"/>
  <c r="EA25" i="31" s="1"/>
  <c r="DZ25" i="29"/>
  <c r="DZ25" i="31" s="1"/>
  <c r="DY25" i="29"/>
  <c r="DY25" i="31" s="1"/>
  <c r="DX25" i="29"/>
  <c r="DX25" i="31" s="1"/>
  <c r="DW25" i="29"/>
  <c r="DW25" i="31" s="1"/>
  <c r="DV25" i="29"/>
  <c r="DV25" i="31" s="1"/>
  <c r="DU25" i="29"/>
  <c r="DU25" i="31" s="1"/>
  <c r="DT25" i="29"/>
  <c r="DT25" i="31" s="1"/>
  <c r="DS25" i="29"/>
  <c r="DS25" i="31" s="1"/>
  <c r="DR25" i="29"/>
  <c r="DR25" i="31" s="1"/>
  <c r="DQ25" i="29"/>
  <c r="DQ25" i="31" s="1"/>
  <c r="DP25" i="29"/>
  <c r="DP25" i="31" s="1"/>
  <c r="DO25" i="29"/>
  <c r="DO25" i="31" s="1"/>
  <c r="DN25" i="29"/>
  <c r="DN25" i="31" s="1"/>
  <c r="DM25" i="29"/>
  <c r="DM25" i="31" s="1"/>
  <c r="DL25" i="29"/>
  <c r="DL25" i="31" s="1"/>
  <c r="DK25" i="29"/>
  <c r="DK25" i="31" s="1"/>
  <c r="DJ25" i="29"/>
  <c r="DJ25" i="31" s="1"/>
  <c r="DI25" i="29"/>
  <c r="DI25" i="31" s="1"/>
  <c r="DH25" i="29"/>
  <c r="DH25" i="31" s="1"/>
  <c r="DG25" i="29"/>
  <c r="DG25" i="31" s="1"/>
  <c r="DF25" i="29"/>
  <c r="DF25" i="31" s="1"/>
  <c r="DE25" i="29"/>
  <c r="DE25" i="31" s="1"/>
  <c r="DD25" i="29"/>
  <c r="DD25" i="31" s="1"/>
  <c r="DC25" i="29"/>
  <c r="DC25" i="31" s="1"/>
  <c r="DB25" i="29"/>
  <c r="DB25" i="31" s="1"/>
  <c r="DA25" i="29"/>
  <c r="DA25" i="31" s="1"/>
  <c r="CZ25" i="29"/>
  <c r="CZ25" i="31" s="1"/>
  <c r="CY25" i="29"/>
  <c r="CY25" i="31" s="1"/>
  <c r="CX25" i="29"/>
  <c r="CX25" i="31" s="1"/>
  <c r="CW25" i="29"/>
  <c r="CW25" i="31" s="1"/>
  <c r="CV25" i="29"/>
  <c r="CV25" i="31" s="1"/>
  <c r="CU25" i="29"/>
  <c r="CU25" i="31" s="1"/>
  <c r="CT25" i="29"/>
  <c r="CT25" i="31" s="1"/>
  <c r="CS25" i="29"/>
  <c r="CS25" i="31" s="1"/>
  <c r="CR25" i="29"/>
  <c r="CR25" i="31" s="1"/>
  <c r="CQ25" i="29"/>
  <c r="CQ25" i="31" s="1"/>
  <c r="CP25" i="29"/>
  <c r="CP25" i="31" s="1"/>
  <c r="CO25" i="29"/>
  <c r="CO25" i="31" s="1"/>
  <c r="CN25" i="29"/>
  <c r="CN25" i="31" s="1"/>
  <c r="CM25" i="29"/>
  <c r="CM25" i="31" s="1"/>
  <c r="CL25" i="29"/>
  <c r="CL25" i="31" s="1"/>
  <c r="CK25" i="29"/>
  <c r="CK25" i="31" s="1"/>
  <c r="CJ25" i="29"/>
  <c r="CJ25" i="31" s="1"/>
  <c r="CI25" i="29"/>
  <c r="CI25" i="31" s="1"/>
  <c r="CH25" i="29"/>
  <c r="CH25" i="31" s="1"/>
  <c r="CG25" i="29"/>
  <c r="CG25" i="31" s="1"/>
  <c r="CF25" i="29"/>
  <c r="CF25" i="31" s="1"/>
  <c r="CE25" i="29"/>
  <c r="CE25" i="31" s="1"/>
  <c r="CD25" i="29"/>
  <c r="CD25" i="31" s="1"/>
  <c r="CC25" i="29"/>
  <c r="CC25" i="31" s="1"/>
  <c r="CB25" i="29"/>
  <c r="CB25" i="31" s="1"/>
  <c r="CA25" i="29"/>
  <c r="CA25" i="31" s="1"/>
  <c r="BZ25" i="29"/>
  <c r="BZ25" i="31" s="1"/>
  <c r="BY25" i="29"/>
  <c r="BY25" i="31" s="1"/>
  <c r="BX25" i="29"/>
  <c r="BX25" i="31" s="1"/>
  <c r="BW25" i="29"/>
  <c r="BW25" i="31" s="1"/>
  <c r="BV25" i="29"/>
  <c r="BV25" i="31" s="1"/>
  <c r="BU25" i="29"/>
  <c r="BU25" i="31" s="1"/>
  <c r="BT25" i="29"/>
  <c r="BT25" i="31" s="1"/>
  <c r="BS25" i="29"/>
  <c r="BS25" i="31" s="1"/>
  <c r="BR25" i="29"/>
  <c r="BR25" i="31" s="1"/>
  <c r="BQ25" i="29"/>
  <c r="BQ25" i="31" s="1"/>
  <c r="BP25" i="29"/>
  <c r="BP25" i="31" s="1"/>
  <c r="BO25" i="29"/>
  <c r="BO25" i="31" s="1"/>
  <c r="BN25" i="29"/>
  <c r="BN25" i="31" s="1"/>
  <c r="BM25" i="29"/>
  <c r="BM25" i="31" s="1"/>
  <c r="BL25" i="29"/>
  <c r="BL25" i="31" s="1"/>
  <c r="BK25" i="29"/>
  <c r="BK25" i="31" s="1"/>
  <c r="BJ25" i="29"/>
  <c r="BJ25" i="31" s="1"/>
  <c r="BI25" i="29"/>
  <c r="BI25" i="31" s="1"/>
  <c r="BH25" i="29"/>
  <c r="BH25" i="31" s="1"/>
  <c r="BG25" i="29"/>
  <c r="BG25" i="31" s="1"/>
  <c r="BF25" i="29"/>
  <c r="BF25" i="31" s="1"/>
  <c r="BE25" i="29"/>
  <c r="BE25" i="31" s="1"/>
  <c r="BD25" i="29"/>
  <c r="BD25" i="31" s="1"/>
  <c r="BC25" i="29"/>
  <c r="BC25" i="31" s="1"/>
  <c r="BB25" i="29"/>
  <c r="BB25" i="31" s="1"/>
  <c r="BA25" i="29"/>
  <c r="BA25" i="31" s="1"/>
  <c r="AZ25" i="29"/>
  <c r="AZ25" i="31" s="1"/>
  <c r="AY25" i="29"/>
  <c r="AY25" i="31" s="1"/>
  <c r="AX25" i="29"/>
  <c r="AX25" i="31" s="1"/>
  <c r="AW25" i="29"/>
  <c r="AW25" i="31" s="1"/>
  <c r="AV25" i="29"/>
  <c r="AV25" i="31" s="1"/>
  <c r="AU25" i="29"/>
  <c r="AU25" i="31" s="1"/>
  <c r="AT25" i="29"/>
  <c r="AT25" i="31" s="1"/>
  <c r="AS25" i="29"/>
  <c r="AS25" i="31" s="1"/>
  <c r="AR25" i="29"/>
  <c r="AR25" i="31" s="1"/>
  <c r="AQ25" i="29"/>
  <c r="AQ25" i="31" s="1"/>
  <c r="AP25" i="29"/>
  <c r="AP25" i="31" s="1"/>
  <c r="AO25" i="29"/>
  <c r="AO25" i="31" s="1"/>
  <c r="AN25" i="29"/>
  <c r="AN25" i="31" s="1"/>
  <c r="AM25" i="29"/>
  <c r="AM25" i="31" s="1"/>
  <c r="AL25" i="29"/>
  <c r="AL25" i="31" s="1"/>
  <c r="AK25" i="29"/>
  <c r="AK25" i="31" s="1"/>
  <c r="AJ25" i="29"/>
  <c r="AJ25" i="31" s="1"/>
  <c r="AI25" i="29"/>
  <c r="AI25" i="31" s="1"/>
  <c r="AH25" i="29"/>
  <c r="AH25" i="31" s="1"/>
  <c r="AG25" i="29"/>
  <c r="AG25" i="31" s="1"/>
  <c r="AF25" i="29"/>
  <c r="AF25" i="31" s="1"/>
  <c r="AE25" i="29"/>
  <c r="AE25" i="31" s="1"/>
  <c r="AD25" i="29"/>
  <c r="AD25" i="31" s="1"/>
  <c r="AB25" i="29"/>
  <c r="AB25" i="31" s="1"/>
  <c r="AA25" i="29"/>
  <c r="AA25" i="31" s="1"/>
  <c r="Z25" i="29"/>
  <c r="Z25" i="31" s="1"/>
  <c r="Y25" i="29"/>
  <c r="Y25" i="31" s="1"/>
  <c r="X25" i="29"/>
  <c r="X25" i="31" s="1"/>
  <c r="W25" i="29"/>
  <c r="W25" i="31" s="1"/>
  <c r="V25" i="29"/>
  <c r="V25" i="31" s="1"/>
  <c r="U25" i="29"/>
  <c r="U25" i="31" s="1"/>
  <c r="T25" i="29"/>
  <c r="T25" i="31" s="1"/>
  <c r="S25" i="29"/>
  <c r="S25" i="31" s="1"/>
  <c r="R25" i="29"/>
  <c r="R25" i="31" s="1"/>
  <c r="Q25" i="29"/>
  <c r="Q25" i="31" s="1"/>
  <c r="P25" i="29"/>
  <c r="P25" i="31" s="1"/>
  <c r="O25" i="29"/>
  <c r="O25" i="31" s="1"/>
  <c r="N25" i="29"/>
  <c r="N25" i="31" s="1"/>
  <c r="M25" i="29"/>
  <c r="M25" i="31" s="1"/>
  <c r="L25" i="29"/>
  <c r="L25" i="31" s="1"/>
  <c r="K25" i="29"/>
  <c r="K25" i="31" s="1"/>
  <c r="J25" i="29"/>
  <c r="J25" i="31" s="1"/>
  <c r="I25" i="29"/>
  <c r="I25" i="31" s="1"/>
  <c r="H25" i="29"/>
  <c r="H25" i="31" s="1"/>
  <c r="G25" i="29"/>
  <c r="G25" i="31" s="1"/>
  <c r="F25" i="29"/>
  <c r="F25" i="31" s="1"/>
  <c r="E25" i="29"/>
  <c r="E25" i="31" s="1"/>
  <c r="D25" i="29"/>
  <c r="D25" i="31" s="1"/>
  <c r="C25" i="29"/>
  <c r="C25" i="31" s="1"/>
  <c r="JH24" i="29"/>
  <c r="JH24" i="31" s="1"/>
  <c r="JG24" i="29"/>
  <c r="JG24" i="31" s="1"/>
  <c r="JF24" i="29"/>
  <c r="JF24" i="31" s="1"/>
  <c r="JE24" i="29"/>
  <c r="JE24" i="31" s="1"/>
  <c r="JD24" i="29"/>
  <c r="JD24" i="31" s="1"/>
  <c r="JC24" i="29"/>
  <c r="JC24" i="31" s="1"/>
  <c r="JB24" i="29"/>
  <c r="JB24" i="31" s="1"/>
  <c r="JA24" i="29"/>
  <c r="JA24" i="31" s="1"/>
  <c r="IZ24" i="29"/>
  <c r="IZ24" i="31" s="1"/>
  <c r="IY24" i="29"/>
  <c r="IY24" i="31" s="1"/>
  <c r="IX24" i="29"/>
  <c r="IX24" i="31" s="1"/>
  <c r="IW24" i="29"/>
  <c r="IW24" i="31" s="1"/>
  <c r="IV24" i="29"/>
  <c r="IV24" i="31" s="1"/>
  <c r="IU24" i="29"/>
  <c r="IU24" i="31" s="1"/>
  <c r="IT24" i="29"/>
  <c r="IT24" i="31" s="1"/>
  <c r="IS24" i="29"/>
  <c r="IS24" i="31" s="1"/>
  <c r="IR24" i="29"/>
  <c r="IR24" i="31" s="1"/>
  <c r="IQ24" i="29"/>
  <c r="IQ24" i="31" s="1"/>
  <c r="IP24" i="29"/>
  <c r="IP24" i="31" s="1"/>
  <c r="IO24" i="29"/>
  <c r="IO24" i="31" s="1"/>
  <c r="IN24" i="29"/>
  <c r="IN24" i="31" s="1"/>
  <c r="IM24" i="29"/>
  <c r="IM24" i="31" s="1"/>
  <c r="IL24" i="29"/>
  <c r="IL24" i="31" s="1"/>
  <c r="IK24" i="29"/>
  <c r="IK24" i="31" s="1"/>
  <c r="IJ24" i="29"/>
  <c r="IJ24" i="31" s="1"/>
  <c r="II24" i="29"/>
  <c r="II24" i="31" s="1"/>
  <c r="IH24" i="29"/>
  <c r="IH24" i="31" s="1"/>
  <c r="IG24" i="29"/>
  <c r="IG24" i="31" s="1"/>
  <c r="IF24" i="29"/>
  <c r="IF24" i="31" s="1"/>
  <c r="IE24" i="29"/>
  <c r="IE24" i="31" s="1"/>
  <c r="ID24" i="29"/>
  <c r="ID24" i="31" s="1"/>
  <c r="IC24" i="29"/>
  <c r="IC24" i="31" s="1"/>
  <c r="IB24" i="29"/>
  <c r="IB24" i="31" s="1"/>
  <c r="IA24" i="29"/>
  <c r="IA24" i="31" s="1"/>
  <c r="HZ24" i="29"/>
  <c r="HZ24" i="31" s="1"/>
  <c r="HY24" i="29"/>
  <c r="HY24" i="31" s="1"/>
  <c r="HX24" i="29"/>
  <c r="HX24" i="31" s="1"/>
  <c r="HW24" i="29"/>
  <c r="HW24" i="31" s="1"/>
  <c r="HV24" i="29"/>
  <c r="HV24" i="31" s="1"/>
  <c r="HU24" i="29"/>
  <c r="HU24" i="31" s="1"/>
  <c r="HT24" i="29"/>
  <c r="HT24" i="31" s="1"/>
  <c r="HS24" i="29"/>
  <c r="HS24" i="31" s="1"/>
  <c r="HR24" i="29"/>
  <c r="HR24" i="31" s="1"/>
  <c r="HQ24" i="29"/>
  <c r="HQ24" i="31" s="1"/>
  <c r="HP24" i="29"/>
  <c r="HP24" i="31" s="1"/>
  <c r="HO24" i="29"/>
  <c r="HO24" i="31" s="1"/>
  <c r="HN24" i="29"/>
  <c r="HN24" i="31" s="1"/>
  <c r="HM24" i="29"/>
  <c r="HM24" i="31" s="1"/>
  <c r="HL24" i="29"/>
  <c r="HL24" i="31" s="1"/>
  <c r="HK24" i="29"/>
  <c r="HK24" i="31" s="1"/>
  <c r="HJ24" i="29"/>
  <c r="HJ24" i="31" s="1"/>
  <c r="HI24" i="29"/>
  <c r="HI24" i="31" s="1"/>
  <c r="HH24" i="29"/>
  <c r="HH24" i="31" s="1"/>
  <c r="HG24" i="29"/>
  <c r="HG24" i="31" s="1"/>
  <c r="HF24" i="29"/>
  <c r="HF24" i="31" s="1"/>
  <c r="HE24" i="29"/>
  <c r="HE24" i="31" s="1"/>
  <c r="HD24" i="29"/>
  <c r="HD24" i="31" s="1"/>
  <c r="HC24" i="29"/>
  <c r="HC24" i="31" s="1"/>
  <c r="HB24" i="29"/>
  <c r="HB24" i="31" s="1"/>
  <c r="HA24" i="29"/>
  <c r="HA24" i="31" s="1"/>
  <c r="GZ24" i="29"/>
  <c r="GZ24" i="31" s="1"/>
  <c r="GY24" i="29"/>
  <c r="GY24" i="31" s="1"/>
  <c r="GX24" i="29"/>
  <c r="GX24" i="31" s="1"/>
  <c r="GW24" i="29"/>
  <c r="GW24" i="31" s="1"/>
  <c r="GV24" i="29"/>
  <c r="GV24" i="31" s="1"/>
  <c r="GU24" i="29"/>
  <c r="GU24" i="31" s="1"/>
  <c r="GT24" i="29"/>
  <c r="GT24" i="31" s="1"/>
  <c r="GS24" i="29"/>
  <c r="GS24" i="31" s="1"/>
  <c r="GR24" i="29"/>
  <c r="GR24" i="31" s="1"/>
  <c r="GQ24" i="29"/>
  <c r="GQ24" i="31" s="1"/>
  <c r="GP24" i="29"/>
  <c r="GP24" i="31" s="1"/>
  <c r="GO24" i="29"/>
  <c r="GO24" i="31" s="1"/>
  <c r="GN24" i="29"/>
  <c r="GN24" i="31" s="1"/>
  <c r="GM24" i="29"/>
  <c r="GM24" i="31" s="1"/>
  <c r="GL24" i="29"/>
  <c r="GL24" i="31" s="1"/>
  <c r="GK24" i="29"/>
  <c r="GK24" i="31" s="1"/>
  <c r="GJ24" i="29"/>
  <c r="GJ24" i="31" s="1"/>
  <c r="GI24" i="29"/>
  <c r="GI24" i="31" s="1"/>
  <c r="GH24" i="29"/>
  <c r="GH24" i="31" s="1"/>
  <c r="GG24" i="29"/>
  <c r="GG24" i="31" s="1"/>
  <c r="GF24" i="29"/>
  <c r="GF24" i="31" s="1"/>
  <c r="GE24" i="29"/>
  <c r="GE24" i="31" s="1"/>
  <c r="GD24" i="29"/>
  <c r="GD24" i="31" s="1"/>
  <c r="GC24" i="29"/>
  <c r="GC24" i="31" s="1"/>
  <c r="GB24" i="29"/>
  <c r="GB24" i="31" s="1"/>
  <c r="GA24" i="29"/>
  <c r="GA24" i="31" s="1"/>
  <c r="FZ24" i="29"/>
  <c r="FZ24" i="31" s="1"/>
  <c r="FY24" i="29"/>
  <c r="FY24" i="31" s="1"/>
  <c r="FX24" i="29"/>
  <c r="FX24" i="31" s="1"/>
  <c r="FW24" i="29"/>
  <c r="FW24" i="31" s="1"/>
  <c r="FV24" i="29"/>
  <c r="FV24" i="31" s="1"/>
  <c r="FU24" i="29"/>
  <c r="FU24" i="31" s="1"/>
  <c r="FT24" i="29"/>
  <c r="FT24" i="31" s="1"/>
  <c r="FS24" i="29"/>
  <c r="FS24" i="31" s="1"/>
  <c r="FR24" i="29"/>
  <c r="FR24" i="31" s="1"/>
  <c r="FQ24" i="29"/>
  <c r="FQ24" i="31" s="1"/>
  <c r="FP24" i="29"/>
  <c r="FP24" i="31" s="1"/>
  <c r="FO24" i="29"/>
  <c r="FO24" i="31" s="1"/>
  <c r="FN24" i="29"/>
  <c r="FN24" i="31" s="1"/>
  <c r="FM24" i="29"/>
  <c r="FM24" i="31" s="1"/>
  <c r="FL24" i="29"/>
  <c r="FL24" i="31" s="1"/>
  <c r="FK24" i="29"/>
  <c r="FK24" i="31" s="1"/>
  <c r="FJ24" i="29"/>
  <c r="FJ24" i="31" s="1"/>
  <c r="FI24" i="29"/>
  <c r="FI24" i="31" s="1"/>
  <c r="FH24" i="29"/>
  <c r="FH24" i="31" s="1"/>
  <c r="FG24" i="29"/>
  <c r="FG24" i="31" s="1"/>
  <c r="FF24" i="29"/>
  <c r="FF24" i="31" s="1"/>
  <c r="FE24" i="29"/>
  <c r="FE24" i="31" s="1"/>
  <c r="FD24" i="29"/>
  <c r="FD24" i="31" s="1"/>
  <c r="FC24" i="29"/>
  <c r="FC24" i="31" s="1"/>
  <c r="FB24" i="29"/>
  <c r="FB24" i="31" s="1"/>
  <c r="FA24" i="29"/>
  <c r="FA24" i="31" s="1"/>
  <c r="EZ24" i="29"/>
  <c r="EZ24" i="31" s="1"/>
  <c r="EY24" i="29"/>
  <c r="EY24" i="31" s="1"/>
  <c r="EX24" i="29"/>
  <c r="EX24" i="31" s="1"/>
  <c r="EW24" i="29"/>
  <c r="EW24" i="31" s="1"/>
  <c r="EV24" i="29"/>
  <c r="EV24" i="31" s="1"/>
  <c r="EU24" i="29"/>
  <c r="EU24" i="31" s="1"/>
  <c r="ET24" i="29"/>
  <c r="ET24" i="31" s="1"/>
  <c r="ES24" i="29"/>
  <c r="ES24" i="31" s="1"/>
  <c r="ER24" i="29"/>
  <c r="ER24" i="31" s="1"/>
  <c r="EQ24" i="29"/>
  <c r="EQ24" i="31" s="1"/>
  <c r="EP24" i="29"/>
  <c r="EP24" i="31" s="1"/>
  <c r="EO24" i="29"/>
  <c r="EO24" i="31" s="1"/>
  <c r="EN24" i="29"/>
  <c r="EN24" i="31" s="1"/>
  <c r="EM24" i="29"/>
  <c r="EM24" i="31" s="1"/>
  <c r="EL24" i="29"/>
  <c r="EL24" i="31" s="1"/>
  <c r="EK24" i="29"/>
  <c r="EK24" i="31" s="1"/>
  <c r="EJ24" i="29"/>
  <c r="EJ24" i="31" s="1"/>
  <c r="EI24" i="29"/>
  <c r="EI24" i="31" s="1"/>
  <c r="EH24" i="29"/>
  <c r="EH24" i="31" s="1"/>
  <c r="EG24" i="29"/>
  <c r="EG24" i="31" s="1"/>
  <c r="EF24" i="29"/>
  <c r="EF24" i="31" s="1"/>
  <c r="EE24" i="29"/>
  <c r="EE24" i="31" s="1"/>
  <c r="ED24" i="29"/>
  <c r="ED24" i="31" s="1"/>
  <c r="EC24" i="29"/>
  <c r="EC24" i="31" s="1"/>
  <c r="EB24" i="29"/>
  <c r="EB24" i="31" s="1"/>
  <c r="EA24" i="29"/>
  <c r="EA24" i="31" s="1"/>
  <c r="DZ24" i="29"/>
  <c r="DZ24" i="31" s="1"/>
  <c r="DY24" i="29"/>
  <c r="DY24" i="31" s="1"/>
  <c r="DX24" i="29"/>
  <c r="DX24" i="31" s="1"/>
  <c r="DW24" i="29"/>
  <c r="DW24" i="31" s="1"/>
  <c r="DV24" i="29"/>
  <c r="DV24" i="31" s="1"/>
  <c r="DU24" i="29"/>
  <c r="DU24" i="31" s="1"/>
  <c r="DT24" i="29"/>
  <c r="DT24" i="31" s="1"/>
  <c r="DS24" i="29"/>
  <c r="DS24" i="31" s="1"/>
  <c r="DR24" i="29"/>
  <c r="DR24" i="31" s="1"/>
  <c r="DQ24" i="29"/>
  <c r="DQ24" i="31" s="1"/>
  <c r="DP24" i="29"/>
  <c r="DP24" i="31" s="1"/>
  <c r="DO24" i="29"/>
  <c r="DO24" i="31" s="1"/>
  <c r="DN24" i="29"/>
  <c r="DN24" i="31" s="1"/>
  <c r="DM24" i="29"/>
  <c r="DM24" i="31" s="1"/>
  <c r="DL24" i="29"/>
  <c r="DL24" i="31" s="1"/>
  <c r="DK24" i="29"/>
  <c r="DK24" i="31" s="1"/>
  <c r="DJ24" i="29"/>
  <c r="DJ24" i="31" s="1"/>
  <c r="DI24" i="29"/>
  <c r="DI24" i="31" s="1"/>
  <c r="DH24" i="29"/>
  <c r="DH24" i="31" s="1"/>
  <c r="DG24" i="29"/>
  <c r="DG24" i="31" s="1"/>
  <c r="DF24" i="29"/>
  <c r="DF24" i="31" s="1"/>
  <c r="DE24" i="29"/>
  <c r="DE24" i="31" s="1"/>
  <c r="DD24" i="29"/>
  <c r="DD24" i="31" s="1"/>
  <c r="DC24" i="29"/>
  <c r="DC24" i="31" s="1"/>
  <c r="DB24" i="29"/>
  <c r="DB24" i="31" s="1"/>
  <c r="DA24" i="29"/>
  <c r="DA24" i="31" s="1"/>
  <c r="CZ24" i="29"/>
  <c r="CZ24" i="31" s="1"/>
  <c r="CY24" i="29"/>
  <c r="CY24" i="31" s="1"/>
  <c r="CX24" i="29"/>
  <c r="CX24" i="31" s="1"/>
  <c r="CW24" i="29"/>
  <c r="CW24" i="31" s="1"/>
  <c r="CV24" i="29"/>
  <c r="CV24" i="31" s="1"/>
  <c r="CU24" i="29"/>
  <c r="CU24" i="31" s="1"/>
  <c r="CT24" i="29"/>
  <c r="CT24" i="31" s="1"/>
  <c r="CS24" i="29"/>
  <c r="CS24" i="31" s="1"/>
  <c r="CR24" i="29"/>
  <c r="CR24" i="31" s="1"/>
  <c r="CQ24" i="29"/>
  <c r="CQ24" i="31" s="1"/>
  <c r="CP24" i="29"/>
  <c r="CP24" i="31" s="1"/>
  <c r="CO24" i="29"/>
  <c r="CO24" i="31" s="1"/>
  <c r="CN24" i="29"/>
  <c r="CN24" i="31" s="1"/>
  <c r="CM24" i="29"/>
  <c r="CM24" i="31" s="1"/>
  <c r="CL24" i="29"/>
  <c r="CL24" i="31" s="1"/>
  <c r="CK24" i="29"/>
  <c r="CK24" i="31" s="1"/>
  <c r="CJ24" i="29"/>
  <c r="CJ24" i="31" s="1"/>
  <c r="CI24" i="29"/>
  <c r="CI24" i="31" s="1"/>
  <c r="CH24" i="29"/>
  <c r="CH24" i="31" s="1"/>
  <c r="CG24" i="29"/>
  <c r="CG24" i="31" s="1"/>
  <c r="CF24" i="29"/>
  <c r="CF24" i="31" s="1"/>
  <c r="CE24" i="29"/>
  <c r="CE24" i="31" s="1"/>
  <c r="CD24" i="29"/>
  <c r="CD24" i="31" s="1"/>
  <c r="CC24" i="29"/>
  <c r="CC24" i="31" s="1"/>
  <c r="CB24" i="29"/>
  <c r="CB24" i="31" s="1"/>
  <c r="CA24" i="29"/>
  <c r="CA24" i="31" s="1"/>
  <c r="BZ24" i="29"/>
  <c r="BZ24" i="31" s="1"/>
  <c r="BY24" i="29"/>
  <c r="BY24" i="31" s="1"/>
  <c r="BX24" i="29"/>
  <c r="BX24" i="31" s="1"/>
  <c r="BW24" i="29"/>
  <c r="BW24" i="31" s="1"/>
  <c r="BV24" i="29"/>
  <c r="BV24" i="31" s="1"/>
  <c r="BU24" i="29"/>
  <c r="BU24" i="31" s="1"/>
  <c r="BT24" i="29"/>
  <c r="BT24" i="31" s="1"/>
  <c r="BS24" i="29"/>
  <c r="BS24" i="31" s="1"/>
  <c r="BR24" i="29"/>
  <c r="BR24" i="31" s="1"/>
  <c r="BQ24" i="29"/>
  <c r="BQ24" i="31" s="1"/>
  <c r="BP24" i="29"/>
  <c r="BP24" i="31" s="1"/>
  <c r="BO24" i="29"/>
  <c r="BO24" i="31" s="1"/>
  <c r="BN24" i="29"/>
  <c r="BN24" i="31" s="1"/>
  <c r="BM24" i="29"/>
  <c r="BM24" i="31" s="1"/>
  <c r="BL24" i="29"/>
  <c r="BL24" i="31" s="1"/>
  <c r="BK24" i="29"/>
  <c r="BK24" i="31" s="1"/>
  <c r="BJ24" i="29"/>
  <c r="BJ24" i="31" s="1"/>
  <c r="BI24" i="29"/>
  <c r="BI24" i="31" s="1"/>
  <c r="BH24" i="29"/>
  <c r="BH24" i="31" s="1"/>
  <c r="BG24" i="29"/>
  <c r="BG24" i="31" s="1"/>
  <c r="BF24" i="29"/>
  <c r="BF24" i="31" s="1"/>
  <c r="BE24" i="29"/>
  <c r="BE24" i="31" s="1"/>
  <c r="BD24" i="29"/>
  <c r="BD24" i="31" s="1"/>
  <c r="BC24" i="29"/>
  <c r="BC24" i="31" s="1"/>
  <c r="BB24" i="29"/>
  <c r="BB24" i="31" s="1"/>
  <c r="BA24" i="29"/>
  <c r="BA24" i="31" s="1"/>
  <c r="AZ24" i="29"/>
  <c r="AZ24" i="31" s="1"/>
  <c r="AY24" i="29"/>
  <c r="AY24" i="31" s="1"/>
  <c r="AX24" i="29"/>
  <c r="AX24" i="31" s="1"/>
  <c r="AW24" i="29"/>
  <c r="AW24" i="31" s="1"/>
  <c r="AV24" i="29"/>
  <c r="AV24" i="31" s="1"/>
  <c r="AU24" i="29"/>
  <c r="AU24" i="31" s="1"/>
  <c r="AT24" i="29"/>
  <c r="AT24" i="31" s="1"/>
  <c r="AS24" i="29"/>
  <c r="AS24" i="31" s="1"/>
  <c r="AR24" i="29"/>
  <c r="AR24" i="31" s="1"/>
  <c r="AQ24" i="29"/>
  <c r="AQ24" i="31" s="1"/>
  <c r="AP24" i="29"/>
  <c r="AP24" i="31" s="1"/>
  <c r="AO24" i="29"/>
  <c r="AO24" i="31" s="1"/>
  <c r="AN24" i="29"/>
  <c r="AN24" i="31" s="1"/>
  <c r="AM24" i="29"/>
  <c r="AM24" i="31" s="1"/>
  <c r="AL24" i="29"/>
  <c r="AL24" i="31" s="1"/>
  <c r="AK24" i="29"/>
  <c r="AK24" i="31" s="1"/>
  <c r="AJ24" i="29"/>
  <c r="AJ24" i="31" s="1"/>
  <c r="AI24" i="29"/>
  <c r="AI24" i="31" s="1"/>
  <c r="AH24" i="29"/>
  <c r="AH24" i="31" s="1"/>
  <c r="AG24" i="29"/>
  <c r="AG24" i="31" s="1"/>
  <c r="AF24" i="29"/>
  <c r="AF24" i="31" s="1"/>
  <c r="AE24" i="29"/>
  <c r="AE24" i="31" s="1"/>
  <c r="AD24" i="29"/>
  <c r="AD24" i="31" s="1"/>
  <c r="AB24" i="29"/>
  <c r="AB24" i="31" s="1"/>
  <c r="AA24" i="29"/>
  <c r="AA24" i="31" s="1"/>
  <c r="Z24" i="29"/>
  <c r="Z24" i="31" s="1"/>
  <c r="Y24" i="29"/>
  <c r="Y24" i="31" s="1"/>
  <c r="X24" i="29"/>
  <c r="X24" i="31" s="1"/>
  <c r="W24" i="29"/>
  <c r="W24" i="31" s="1"/>
  <c r="V24" i="29"/>
  <c r="V24" i="31" s="1"/>
  <c r="U24" i="29"/>
  <c r="U24" i="31" s="1"/>
  <c r="T24" i="29"/>
  <c r="T24" i="31" s="1"/>
  <c r="S24" i="29"/>
  <c r="S24" i="31" s="1"/>
  <c r="R24" i="29"/>
  <c r="R24" i="31" s="1"/>
  <c r="Q24" i="29"/>
  <c r="Q24" i="31" s="1"/>
  <c r="P24" i="29"/>
  <c r="P24" i="31" s="1"/>
  <c r="O24" i="29"/>
  <c r="O24" i="31" s="1"/>
  <c r="N24" i="29"/>
  <c r="N24" i="31" s="1"/>
  <c r="M24" i="29"/>
  <c r="M24" i="31" s="1"/>
  <c r="L24" i="29"/>
  <c r="L24" i="31" s="1"/>
  <c r="K24" i="29"/>
  <c r="K24" i="31" s="1"/>
  <c r="J24" i="29"/>
  <c r="J24" i="31" s="1"/>
  <c r="I24" i="29"/>
  <c r="I24" i="31" s="1"/>
  <c r="H24" i="29"/>
  <c r="H24" i="31" s="1"/>
  <c r="G24" i="29"/>
  <c r="G24" i="31" s="1"/>
  <c r="F24" i="29"/>
  <c r="F24" i="31" s="1"/>
  <c r="E24" i="29"/>
  <c r="E24" i="31" s="1"/>
  <c r="D24" i="29"/>
  <c r="D24" i="31" s="1"/>
  <c r="C24" i="29"/>
  <c r="C24" i="31" s="1"/>
  <c r="CA13" i="29"/>
  <c r="CA13" i="31" s="1"/>
  <c r="IG11" i="29"/>
  <c r="IG11" i="31" s="1"/>
  <c r="GZ11" i="29"/>
  <c r="GZ11" i="31" s="1"/>
  <c r="GV11" i="29"/>
  <c r="GV11" i="31" s="1"/>
  <c r="FR11" i="29"/>
  <c r="FR11" i="31" s="1"/>
  <c r="EU11" i="29"/>
  <c r="EU11" i="31" s="1"/>
  <c r="ET11" i="29"/>
  <c r="ET11" i="31" s="1"/>
  <c r="DW11" i="29"/>
  <c r="DW11" i="31" s="1"/>
  <c r="DS11" i="29"/>
  <c r="DS11" i="31" s="1"/>
  <c r="DG11" i="29"/>
  <c r="DG11" i="31" s="1"/>
  <c r="CW11" i="29"/>
  <c r="CW11" i="31" s="1"/>
  <c r="CS11" i="29"/>
  <c r="CS11" i="31" s="1"/>
  <c r="CR11" i="29"/>
  <c r="CR11" i="31" s="1"/>
  <c r="CA11" i="29"/>
  <c r="CA11" i="31" s="1"/>
  <c r="BL11" i="29"/>
  <c r="BL11" i="31" s="1"/>
  <c r="H11" i="29"/>
  <c r="H11" i="31" s="1"/>
  <c r="JH10" i="29"/>
  <c r="JH10" i="31" s="1"/>
  <c r="JG10" i="29"/>
  <c r="JG10" i="31" s="1"/>
  <c r="JF10" i="29"/>
  <c r="JF10" i="31" s="1"/>
  <c r="JE10" i="29"/>
  <c r="JE10" i="31" s="1"/>
  <c r="JD10" i="29"/>
  <c r="JD10" i="31" s="1"/>
  <c r="JC10" i="29"/>
  <c r="JC10" i="31" s="1"/>
  <c r="JB10" i="29"/>
  <c r="JB10" i="31" s="1"/>
  <c r="JA10" i="29"/>
  <c r="JA10" i="31" s="1"/>
  <c r="IZ10" i="29"/>
  <c r="IZ10" i="31" s="1"/>
  <c r="IY10" i="29"/>
  <c r="IY10" i="31" s="1"/>
  <c r="IX10" i="29"/>
  <c r="IX10" i="31" s="1"/>
  <c r="IW10" i="29"/>
  <c r="IW10" i="31" s="1"/>
  <c r="IV10" i="29"/>
  <c r="IV10" i="31" s="1"/>
  <c r="IU10" i="29"/>
  <c r="IU10" i="31" s="1"/>
  <c r="IT10" i="29"/>
  <c r="IT10" i="31" s="1"/>
  <c r="IS10" i="29"/>
  <c r="IS10" i="31" s="1"/>
  <c r="IR10" i="29"/>
  <c r="IR10" i="31" s="1"/>
  <c r="IQ10" i="29"/>
  <c r="IQ10" i="31" s="1"/>
  <c r="IP10" i="29"/>
  <c r="IP10" i="31" s="1"/>
  <c r="IO10" i="29"/>
  <c r="IO10" i="31" s="1"/>
  <c r="IN10" i="29"/>
  <c r="IN10" i="31" s="1"/>
  <c r="IM10" i="29"/>
  <c r="IM10" i="31" s="1"/>
  <c r="IL10" i="29"/>
  <c r="IL10" i="31" s="1"/>
  <c r="IK10" i="29"/>
  <c r="IK10" i="31" s="1"/>
  <c r="IJ10" i="29"/>
  <c r="IJ10" i="31" s="1"/>
  <c r="II10" i="29"/>
  <c r="II10" i="31" s="1"/>
  <c r="IH10" i="29"/>
  <c r="IH10" i="31" s="1"/>
  <c r="IG10" i="29"/>
  <c r="IF10" i="29"/>
  <c r="IF10" i="31" s="1"/>
  <c r="IE10" i="29"/>
  <c r="IE10" i="31" s="1"/>
  <c r="ID10" i="29"/>
  <c r="ID10" i="31" s="1"/>
  <c r="IC10" i="29"/>
  <c r="IC10" i="31" s="1"/>
  <c r="IB10" i="29"/>
  <c r="IB10" i="31" s="1"/>
  <c r="IA10" i="29"/>
  <c r="IA10" i="31" s="1"/>
  <c r="HZ10" i="29"/>
  <c r="HZ10" i="31" s="1"/>
  <c r="HY10" i="29"/>
  <c r="HY10" i="31" s="1"/>
  <c r="HX10" i="29"/>
  <c r="HX10" i="31" s="1"/>
  <c r="HW10" i="29"/>
  <c r="HW10" i="31" s="1"/>
  <c r="HV10" i="29"/>
  <c r="HV10" i="31" s="1"/>
  <c r="HU10" i="29"/>
  <c r="HU10" i="31" s="1"/>
  <c r="HT10" i="29"/>
  <c r="HT10" i="31" s="1"/>
  <c r="HS10" i="29"/>
  <c r="HS10" i="31" s="1"/>
  <c r="HR10" i="29"/>
  <c r="HR10" i="31" s="1"/>
  <c r="HQ10" i="29"/>
  <c r="HQ10" i="31" s="1"/>
  <c r="HP10" i="29"/>
  <c r="HP10" i="31" s="1"/>
  <c r="HO10" i="29"/>
  <c r="HO10" i="31" s="1"/>
  <c r="HN10" i="29"/>
  <c r="HN10" i="31" s="1"/>
  <c r="HM10" i="29"/>
  <c r="HM10" i="31" s="1"/>
  <c r="HL10" i="29"/>
  <c r="HL10" i="31" s="1"/>
  <c r="HK10" i="29"/>
  <c r="HK10" i="31" s="1"/>
  <c r="HJ10" i="29"/>
  <c r="HJ10" i="31" s="1"/>
  <c r="HI10" i="29"/>
  <c r="HI10" i="31" s="1"/>
  <c r="HH10" i="29"/>
  <c r="HH10" i="31" s="1"/>
  <c r="HG10" i="29"/>
  <c r="HG10" i="31" s="1"/>
  <c r="HF10" i="29"/>
  <c r="HF10" i="31" s="1"/>
  <c r="HE10" i="29"/>
  <c r="HE10" i="31" s="1"/>
  <c r="HD10" i="29"/>
  <c r="HD10" i="31" s="1"/>
  <c r="HC10" i="29"/>
  <c r="HC10" i="31" s="1"/>
  <c r="HB10" i="29"/>
  <c r="HB10" i="31" s="1"/>
  <c r="HA10" i="29"/>
  <c r="HA10" i="31" s="1"/>
  <c r="GZ10" i="29"/>
  <c r="GY10" i="29"/>
  <c r="GY10" i="31" s="1"/>
  <c r="GX10" i="29"/>
  <c r="GX10" i="31" s="1"/>
  <c r="GW10" i="29"/>
  <c r="GW10" i="31" s="1"/>
  <c r="GV10" i="29"/>
  <c r="GU10" i="29"/>
  <c r="GU10" i="31" s="1"/>
  <c r="GT10" i="29"/>
  <c r="GT10" i="31" s="1"/>
  <c r="GS10" i="29"/>
  <c r="GS10" i="31" s="1"/>
  <c r="GR10" i="29"/>
  <c r="GR10" i="31" s="1"/>
  <c r="GQ10" i="29"/>
  <c r="GQ10" i="31" s="1"/>
  <c r="GP10" i="29"/>
  <c r="GP10" i="31" s="1"/>
  <c r="GO10" i="29"/>
  <c r="GO10" i="31" s="1"/>
  <c r="GN10" i="29"/>
  <c r="GN10" i="31" s="1"/>
  <c r="GM10" i="29"/>
  <c r="GM10" i="31" s="1"/>
  <c r="GL10" i="29"/>
  <c r="GL10" i="31" s="1"/>
  <c r="GK10" i="29"/>
  <c r="GK10" i="31" s="1"/>
  <c r="GJ10" i="29"/>
  <c r="GJ10" i="31" s="1"/>
  <c r="GI10" i="29"/>
  <c r="GI10" i="31" s="1"/>
  <c r="GH10" i="29"/>
  <c r="GH10" i="31" s="1"/>
  <c r="GG10" i="29"/>
  <c r="GG10" i="31" s="1"/>
  <c r="GF10" i="29"/>
  <c r="GF10" i="31" s="1"/>
  <c r="GE10" i="29"/>
  <c r="GE10" i="31" s="1"/>
  <c r="GD10" i="29"/>
  <c r="GD10" i="31" s="1"/>
  <c r="GC10" i="29"/>
  <c r="GC10" i="31" s="1"/>
  <c r="GB10" i="29"/>
  <c r="GB10" i="31" s="1"/>
  <c r="GA10" i="29"/>
  <c r="GA10" i="31" s="1"/>
  <c r="FZ10" i="29"/>
  <c r="FZ10" i="31" s="1"/>
  <c r="FY10" i="29"/>
  <c r="FY10" i="31" s="1"/>
  <c r="FX10" i="29"/>
  <c r="FX10" i="31" s="1"/>
  <c r="FW10" i="29"/>
  <c r="FW10" i="31" s="1"/>
  <c r="FV10" i="29"/>
  <c r="FV10" i="31" s="1"/>
  <c r="FU10" i="29"/>
  <c r="FU10" i="31" s="1"/>
  <c r="FT10" i="29"/>
  <c r="FT10" i="31" s="1"/>
  <c r="FS10" i="29"/>
  <c r="FS10" i="31" s="1"/>
  <c r="FR10" i="29"/>
  <c r="FQ10" i="29"/>
  <c r="FQ10" i="31" s="1"/>
  <c r="FP10" i="29"/>
  <c r="FP10" i="31" s="1"/>
  <c r="FO10" i="29"/>
  <c r="FO10" i="31" s="1"/>
  <c r="FN10" i="29"/>
  <c r="FN10" i="31" s="1"/>
  <c r="FM10" i="29"/>
  <c r="FM10" i="31" s="1"/>
  <c r="FL10" i="29"/>
  <c r="FL10" i="31" s="1"/>
  <c r="FK10" i="29"/>
  <c r="FK10" i="31" s="1"/>
  <c r="FJ10" i="29"/>
  <c r="FJ10" i="31" s="1"/>
  <c r="FI10" i="29"/>
  <c r="FI10" i="31" s="1"/>
  <c r="FH10" i="29"/>
  <c r="FH10" i="31" s="1"/>
  <c r="FG10" i="29"/>
  <c r="FG10" i="31" s="1"/>
  <c r="FF10" i="29"/>
  <c r="FF10" i="31" s="1"/>
  <c r="FE10" i="29"/>
  <c r="FE10" i="31" s="1"/>
  <c r="FD10" i="29"/>
  <c r="FD10" i="31" s="1"/>
  <c r="FC10" i="29"/>
  <c r="FC10" i="31" s="1"/>
  <c r="FB10" i="29"/>
  <c r="FB10" i="31" s="1"/>
  <c r="FA10" i="29"/>
  <c r="FA10" i="31" s="1"/>
  <c r="EZ10" i="29"/>
  <c r="EZ10" i="31" s="1"/>
  <c r="EY10" i="29"/>
  <c r="EY10" i="31" s="1"/>
  <c r="EX10" i="29"/>
  <c r="EX10" i="31" s="1"/>
  <c r="EW10" i="29"/>
  <c r="EW10" i="31" s="1"/>
  <c r="EV10" i="29"/>
  <c r="EV10" i="31" s="1"/>
  <c r="EU10" i="29"/>
  <c r="ET10" i="29"/>
  <c r="ES10" i="29"/>
  <c r="ES10" i="31" s="1"/>
  <c r="ER10" i="29"/>
  <c r="ER10" i="31" s="1"/>
  <c r="EQ10" i="29"/>
  <c r="EQ10" i="31" s="1"/>
  <c r="EP10" i="29"/>
  <c r="EP10" i="31" s="1"/>
  <c r="EO10" i="29"/>
  <c r="EO10" i="31" s="1"/>
  <c r="EN10" i="29"/>
  <c r="EN10" i="31" s="1"/>
  <c r="EM10" i="29"/>
  <c r="EM10" i="31" s="1"/>
  <c r="EL10" i="29"/>
  <c r="EL10" i="31" s="1"/>
  <c r="EK10" i="29"/>
  <c r="EK10" i="31" s="1"/>
  <c r="EJ10" i="29"/>
  <c r="EJ10" i="31" s="1"/>
  <c r="EI10" i="29"/>
  <c r="EI10" i="31" s="1"/>
  <c r="EH10" i="29"/>
  <c r="EH10" i="31" s="1"/>
  <c r="EG10" i="29"/>
  <c r="EG10" i="31" s="1"/>
  <c r="EF10" i="29"/>
  <c r="EF10" i="31" s="1"/>
  <c r="EE10" i="29"/>
  <c r="EE10" i="31" s="1"/>
  <c r="ED10" i="29"/>
  <c r="ED10" i="31" s="1"/>
  <c r="EC10" i="29"/>
  <c r="EC10" i="31" s="1"/>
  <c r="EB10" i="29"/>
  <c r="EB10" i="31" s="1"/>
  <c r="EA10" i="29"/>
  <c r="EA10" i="31" s="1"/>
  <c r="DZ10" i="29"/>
  <c r="DZ10" i="31" s="1"/>
  <c r="DY10" i="29"/>
  <c r="DY10" i="31" s="1"/>
  <c r="DX10" i="29"/>
  <c r="DX10" i="31" s="1"/>
  <c r="DW10" i="29"/>
  <c r="DV10" i="29"/>
  <c r="DV10" i="31" s="1"/>
  <c r="DU10" i="29"/>
  <c r="DU10" i="31" s="1"/>
  <c r="DT10" i="29"/>
  <c r="DT10" i="31" s="1"/>
  <c r="DS10" i="29"/>
  <c r="DR10" i="29"/>
  <c r="DR10" i="31" s="1"/>
  <c r="DQ10" i="29"/>
  <c r="DQ10" i="31" s="1"/>
  <c r="DP10" i="29"/>
  <c r="DP10" i="31" s="1"/>
  <c r="DO10" i="29"/>
  <c r="DO10" i="31" s="1"/>
  <c r="DN10" i="29"/>
  <c r="DN10" i="31" s="1"/>
  <c r="DM10" i="29"/>
  <c r="DM10" i="31" s="1"/>
  <c r="DL10" i="29"/>
  <c r="DL10" i="31" s="1"/>
  <c r="DK10" i="29"/>
  <c r="DK10" i="31" s="1"/>
  <c r="DJ10" i="29"/>
  <c r="DJ10" i="31" s="1"/>
  <c r="DI10" i="29"/>
  <c r="DI10" i="31" s="1"/>
  <c r="DH10" i="29"/>
  <c r="DH10" i="31" s="1"/>
  <c r="DG10" i="29"/>
  <c r="DF10" i="29"/>
  <c r="DF10" i="31" s="1"/>
  <c r="DE10" i="29"/>
  <c r="DE10" i="31" s="1"/>
  <c r="DD10" i="29"/>
  <c r="DD10" i="31" s="1"/>
  <c r="DC10" i="29"/>
  <c r="DC10" i="31" s="1"/>
  <c r="DB10" i="29"/>
  <c r="DB10" i="31" s="1"/>
  <c r="DA10" i="29"/>
  <c r="DA10" i="31" s="1"/>
  <c r="CZ10" i="29"/>
  <c r="CZ10" i="31" s="1"/>
  <c r="CY10" i="29"/>
  <c r="CY10" i="31" s="1"/>
  <c r="CX10" i="29"/>
  <c r="CX10" i="31" s="1"/>
  <c r="CW10" i="29"/>
  <c r="CV10" i="29"/>
  <c r="CV10" i="31" s="1"/>
  <c r="CU10" i="29"/>
  <c r="CU10" i="31" s="1"/>
  <c r="CT10" i="29"/>
  <c r="CT10" i="31" s="1"/>
  <c r="CS10" i="29"/>
  <c r="CR10" i="29"/>
  <c r="CQ10" i="29"/>
  <c r="CQ10" i="31" s="1"/>
  <c r="CP10" i="29"/>
  <c r="CP10" i="31" s="1"/>
  <c r="CO10" i="29"/>
  <c r="CO10" i="31" s="1"/>
  <c r="CN10" i="29"/>
  <c r="CN10" i="31" s="1"/>
  <c r="CM10" i="29"/>
  <c r="CM10" i="31" s="1"/>
  <c r="CL10" i="29"/>
  <c r="CL10" i="31" s="1"/>
  <c r="CK10" i="29"/>
  <c r="CK10" i="31" s="1"/>
  <c r="CJ10" i="29"/>
  <c r="CJ10" i="31" s="1"/>
  <c r="CI10" i="29"/>
  <c r="CI10" i="31" s="1"/>
  <c r="CH10" i="29"/>
  <c r="CH10" i="31" s="1"/>
  <c r="CG10" i="29"/>
  <c r="CG10" i="31" s="1"/>
  <c r="CF10" i="29"/>
  <c r="CF10" i="31" s="1"/>
  <c r="CE10" i="29"/>
  <c r="CE10" i="31" s="1"/>
  <c r="CD10" i="29"/>
  <c r="CD10" i="31" s="1"/>
  <c r="CC10" i="29"/>
  <c r="CC10" i="31" s="1"/>
  <c r="CB10" i="29"/>
  <c r="CB10" i="31" s="1"/>
  <c r="CA10" i="29"/>
  <c r="BZ10" i="29"/>
  <c r="BZ10" i="31" s="1"/>
  <c r="BY10" i="29"/>
  <c r="BY10" i="31" s="1"/>
  <c r="BX10" i="29"/>
  <c r="BX10" i="31" s="1"/>
  <c r="BW10" i="29"/>
  <c r="BW10" i="31" s="1"/>
  <c r="BV10" i="29"/>
  <c r="BV10" i="31" s="1"/>
  <c r="BU10" i="29"/>
  <c r="BU10" i="31" s="1"/>
  <c r="BT10" i="29"/>
  <c r="BT10" i="31" s="1"/>
  <c r="BS10" i="29"/>
  <c r="BS10" i="31" s="1"/>
  <c r="BR10" i="29"/>
  <c r="BR10" i="31" s="1"/>
  <c r="BQ10" i="29"/>
  <c r="BQ10" i="31" s="1"/>
  <c r="BP10" i="29"/>
  <c r="BP10" i="31" s="1"/>
  <c r="BO10" i="29"/>
  <c r="BO10" i="31" s="1"/>
  <c r="BN10" i="29"/>
  <c r="BN10" i="31" s="1"/>
  <c r="BM10" i="29"/>
  <c r="BM10" i="31" s="1"/>
  <c r="BL10" i="29"/>
  <c r="BK10" i="29"/>
  <c r="BK10" i="31" s="1"/>
  <c r="BJ10" i="29"/>
  <c r="BJ10" i="31" s="1"/>
  <c r="BI10" i="29"/>
  <c r="BI10" i="31" s="1"/>
  <c r="BH10" i="29"/>
  <c r="BH10" i="31" s="1"/>
  <c r="BG10" i="29"/>
  <c r="BG10" i="31" s="1"/>
  <c r="BF10" i="29"/>
  <c r="BF10" i="31" s="1"/>
  <c r="BE10" i="29"/>
  <c r="BE10" i="31" s="1"/>
  <c r="BD10" i="29"/>
  <c r="BD10" i="31" s="1"/>
  <c r="BC10" i="29"/>
  <c r="BC10" i="31" s="1"/>
  <c r="BB10" i="29"/>
  <c r="BB10" i="31" s="1"/>
  <c r="BA10" i="29"/>
  <c r="BA10" i="31" s="1"/>
  <c r="AZ10" i="29"/>
  <c r="AZ10" i="31" s="1"/>
  <c r="AY10" i="29"/>
  <c r="AY10" i="31" s="1"/>
  <c r="AX10" i="29"/>
  <c r="AX10" i="31" s="1"/>
  <c r="AW10" i="29"/>
  <c r="AW10" i="31" s="1"/>
  <c r="AV10" i="29"/>
  <c r="AV10" i="31" s="1"/>
  <c r="AU10" i="29"/>
  <c r="AU10" i="31" s="1"/>
  <c r="AT10" i="29"/>
  <c r="AT10" i="31" s="1"/>
  <c r="AS10" i="29"/>
  <c r="AS10" i="31" s="1"/>
  <c r="AR10" i="29"/>
  <c r="AR10" i="31" s="1"/>
  <c r="AQ10" i="29"/>
  <c r="AQ10" i="31" s="1"/>
  <c r="AP10" i="29"/>
  <c r="AP10" i="31" s="1"/>
  <c r="AO10" i="29"/>
  <c r="AO10" i="31" s="1"/>
  <c r="AN10" i="29"/>
  <c r="AN10" i="31" s="1"/>
  <c r="AM10" i="29"/>
  <c r="AM10" i="31" s="1"/>
  <c r="AL10" i="29"/>
  <c r="AL10" i="31" s="1"/>
  <c r="AK10" i="29"/>
  <c r="AK10" i="31" s="1"/>
  <c r="AJ10" i="29"/>
  <c r="AJ10" i="31" s="1"/>
  <c r="AI10" i="29"/>
  <c r="AI10" i="31" s="1"/>
  <c r="AH10" i="29"/>
  <c r="AH10" i="31" s="1"/>
  <c r="AG10" i="29"/>
  <c r="AG10" i="31" s="1"/>
  <c r="AF10" i="29"/>
  <c r="AF10" i="31" s="1"/>
  <c r="AE10" i="29"/>
  <c r="AE10" i="31" s="1"/>
  <c r="AD10" i="29"/>
  <c r="AD10" i="31" s="1"/>
  <c r="AB10" i="29"/>
  <c r="AB10" i="31" s="1"/>
  <c r="AA10" i="29"/>
  <c r="AA10" i="31" s="1"/>
  <c r="Z10" i="29"/>
  <c r="Z10" i="31" s="1"/>
  <c r="Y10" i="29"/>
  <c r="Y10" i="31" s="1"/>
  <c r="X10" i="29"/>
  <c r="X10" i="31" s="1"/>
  <c r="W10" i="29"/>
  <c r="W10" i="31" s="1"/>
  <c r="V10" i="29"/>
  <c r="V10" i="31" s="1"/>
  <c r="U10" i="29"/>
  <c r="U10" i="31" s="1"/>
  <c r="T10" i="29"/>
  <c r="T10" i="31" s="1"/>
  <c r="S10" i="29"/>
  <c r="S10" i="31" s="1"/>
  <c r="R10" i="29"/>
  <c r="R10" i="31" s="1"/>
  <c r="Q10" i="29"/>
  <c r="Q10" i="31" s="1"/>
  <c r="P10" i="29"/>
  <c r="P10" i="31" s="1"/>
  <c r="O10" i="29"/>
  <c r="O10" i="31" s="1"/>
  <c r="N10" i="29"/>
  <c r="N10" i="31" s="1"/>
  <c r="M10" i="29"/>
  <c r="M10" i="31" s="1"/>
  <c r="L10" i="29"/>
  <c r="L10" i="31" s="1"/>
  <c r="K10" i="29"/>
  <c r="K10" i="31" s="1"/>
  <c r="J10" i="29"/>
  <c r="J10" i="31" s="1"/>
  <c r="I10" i="29"/>
  <c r="I10" i="31" s="1"/>
  <c r="H10" i="29"/>
  <c r="G10" i="29"/>
  <c r="G10" i="31" s="1"/>
  <c r="F10" i="29"/>
  <c r="F10" i="31" s="1"/>
  <c r="E10" i="29"/>
  <c r="E10" i="31" s="1"/>
  <c r="D10" i="29"/>
  <c r="D10" i="31" s="1"/>
  <c r="C10" i="29"/>
  <c r="JH6" i="29"/>
  <c r="JG6" i="29"/>
  <c r="JF6" i="29"/>
  <c r="JE6" i="29"/>
  <c r="JD6" i="29"/>
  <c r="JC6" i="29"/>
  <c r="JB6" i="29"/>
  <c r="JA6" i="29"/>
  <c r="IZ6" i="29"/>
  <c r="IY6" i="29"/>
  <c r="IX6" i="29"/>
  <c r="IW6" i="29"/>
  <c r="IV6" i="29"/>
  <c r="IU6" i="29"/>
  <c r="IT6" i="29"/>
  <c r="IS6" i="29"/>
  <c r="IR6" i="29"/>
  <c r="IQ6" i="29"/>
  <c r="IP6" i="29"/>
  <c r="IO6" i="29"/>
  <c r="IN6" i="29"/>
  <c r="IM6" i="29"/>
  <c r="IL6" i="29"/>
  <c r="IK6" i="29"/>
  <c r="IJ6" i="29"/>
  <c r="II6" i="29"/>
  <c r="IH6" i="29"/>
  <c r="IG6" i="29"/>
  <c r="IF6" i="29"/>
  <c r="IE6" i="29"/>
  <c r="ID6" i="29"/>
  <c r="IC6" i="29"/>
  <c r="IB6" i="29"/>
  <c r="IA6" i="29"/>
  <c r="HZ6" i="29"/>
  <c r="HY6" i="29"/>
  <c r="HX6" i="29"/>
  <c r="HW6" i="29"/>
  <c r="HV6" i="29"/>
  <c r="HU6" i="29"/>
  <c r="HT6" i="29"/>
  <c r="HS6" i="29"/>
  <c r="HR6" i="29"/>
  <c r="HQ6" i="29"/>
  <c r="HP6" i="29"/>
  <c r="HO6" i="29"/>
  <c r="HN6" i="29"/>
  <c r="HM6" i="29"/>
  <c r="HL6" i="29"/>
  <c r="HK6" i="29"/>
  <c r="HK81" i="29" s="1"/>
  <c r="HK85" i="31" s="1"/>
  <c r="HJ6" i="29"/>
  <c r="HI6" i="29"/>
  <c r="HH6" i="29"/>
  <c r="HG6" i="29"/>
  <c r="HG81" i="29" s="1"/>
  <c r="HG85" i="31" s="1"/>
  <c r="HF6" i="29"/>
  <c r="HE6" i="29"/>
  <c r="HD6" i="29"/>
  <c r="HC6" i="29"/>
  <c r="HB6" i="29"/>
  <c r="HA6" i="29"/>
  <c r="GY6" i="29"/>
  <c r="GX6" i="29"/>
  <c r="GX81" i="29" s="1"/>
  <c r="GX85" i="31" s="1"/>
  <c r="GW6" i="29"/>
  <c r="GW81" i="29" s="1"/>
  <c r="GW85" i="31" s="1"/>
  <c r="GV6" i="29"/>
  <c r="GU6" i="29"/>
  <c r="GT6" i="29"/>
  <c r="GS6" i="29"/>
  <c r="GR6" i="29"/>
  <c r="GQ6" i="29"/>
  <c r="GQ81" i="29" s="1"/>
  <c r="GQ85" i="31" s="1"/>
  <c r="GP6" i="29"/>
  <c r="GO6" i="29"/>
  <c r="GN6" i="29"/>
  <c r="GM6" i="29"/>
  <c r="GL6" i="29"/>
  <c r="GK6" i="29"/>
  <c r="GJ6" i="29"/>
  <c r="GI6" i="29"/>
  <c r="GH6" i="29"/>
  <c r="GG6" i="29"/>
  <c r="GF6" i="29"/>
  <c r="GE6" i="29"/>
  <c r="GD6" i="29"/>
  <c r="GC6" i="29"/>
  <c r="GB6" i="29"/>
  <c r="GA6" i="29"/>
  <c r="FZ6" i="29"/>
  <c r="FY6" i="29"/>
  <c r="FX6" i="29"/>
  <c r="FW6" i="29"/>
  <c r="FW81" i="29" s="1"/>
  <c r="FW85" i="31" s="1"/>
  <c r="FV6" i="29"/>
  <c r="FU6" i="29"/>
  <c r="FT6" i="29"/>
  <c r="FS6" i="29"/>
  <c r="FQ6" i="29"/>
  <c r="FP6" i="29"/>
  <c r="FO6" i="29"/>
  <c r="FN6" i="29"/>
  <c r="FM6" i="29"/>
  <c r="FL6" i="29"/>
  <c r="FK6" i="29"/>
  <c r="FJ6" i="29"/>
  <c r="FI6" i="29"/>
  <c r="FH6" i="29"/>
  <c r="FG6" i="29"/>
  <c r="FF6" i="29"/>
  <c r="FE6" i="29"/>
  <c r="FD6" i="29"/>
  <c r="FC6" i="29"/>
  <c r="FB6" i="29"/>
  <c r="FA6" i="29"/>
  <c r="EZ6" i="29"/>
  <c r="EY6" i="29"/>
  <c r="EX6" i="29"/>
  <c r="EW6" i="29"/>
  <c r="EV6" i="29"/>
  <c r="E6" i="29"/>
  <c r="D6" i="29"/>
  <c r="C6" i="29"/>
  <c r="JH5" i="29"/>
  <c r="VS265" i="1" s="1"/>
  <c r="JG5" i="29"/>
  <c r="VS258" i="1" s="1"/>
  <c r="JF5" i="29"/>
  <c r="VS256" i="1" s="1"/>
  <c r="JE5" i="29"/>
  <c r="VS257" i="1" s="1"/>
  <c r="JD5" i="29"/>
  <c r="VS224" i="1" s="1"/>
  <c r="JC5" i="29"/>
  <c r="VS222" i="1" s="1"/>
  <c r="JB5" i="29"/>
  <c r="VS225" i="1" s="1"/>
  <c r="JA5" i="29"/>
  <c r="VS223" i="1" s="1"/>
  <c r="IZ5" i="29"/>
  <c r="VS93" i="1" s="1"/>
  <c r="IY5" i="29"/>
  <c r="VS94" i="1" s="1"/>
  <c r="IX5" i="29"/>
  <c r="VS89" i="1" s="1"/>
  <c r="IW5" i="29"/>
  <c r="VS91" i="1" s="1"/>
  <c r="IV5" i="29"/>
  <c r="VS90" i="1" s="1"/>
  <c r="IU5" i="29"/>
  <c r="VS92" i="1" s="1"/>
  <c r="IT5" i="29"/>
  <c r="VS87" i="1" s="1"/>
  <c r="IS5" i="29"/>
  <c r="VS88" i="1" s="1"/>
  <c r="IR5" i="29"/>
  <c r="VS86" i="1" s="1"/>
  <c r="IQ5" i="29"/>
  <c r="VS85" i="1" s="1"/>
  <c r="IP5" i="29"/>
  <c r="VS84" i="1" s="1"/>
  <c r="IO5" i="29"/>
  <c r="VS83" i="1" s="1"/>
  <c r="IN5" i="29"/>
  <c r="VS82" i="1" s="1"/>
  <c r="IM5" i="29"/>
  <c r="VS81" i="1" s="1"/>
  <c r="IL5" i="29"/>
  <c r="VS79" i="1" s="1"/>
  <c r="IK5" i="29"/>
  <c r="VS76" i="1" s="1"/>
  <c r="IJ5" i="29"/>
  <c r="VS74" i="1" s="1"/>
  <c r="II5" i="29"/>
  <c r="VS75" i="1" s="1"/>
  <c r="IH5" i="29"/>
  <c r="VS77" i="1" s="1"/>
  <c r="IG5" i="29"/>
  <c r="VS72" i="1" s="1"/>
  <c r="IF5" i="29"/>
  <c r="VS73" i="1" s="1"/>
  <c r="IE5" i="29"/>
  <c r="VS71" i="1" s="1"/>
  <c r="ID5" i="29"/>
  <c r="VS69" i="1" s="1"/>
  <c r="IC5" i="29"/>
  <c r="VS70" i="1" s="1"/>
  <c r="IB5" i="29"/>
  <c r="VS67" i="1" s="1"/>
  <c r="IA5" i="29"/>
  <c r="VS66" i="1" s="1"/>
  <c r="HZ5" i="29"/>
  <c r="VS64" i="1" s="1"/>
  <c r="HY5" i="29"/>
  <c r="VS63" i="1" s="1"/>
  <c r="HX5" i="29"/>
  <c r="VS62" i="1" s="1"/>
  <c r="HW5" i="29"/>
  <c r="VS61" i="1" s="1"/>
  <c r="HV5" i="29"/>
  <c r="VS60" i="1" s="1"/>
  <c r="HU5" i="29"/>
  <c r="VS59" i="1" s="1"/>
  <c r="HT5" i="29"/>
  <c r="VS58" i="1" s="1"/>
  <c r="HS5" i="29"/>
  <c r="VS57" i="1" s="1"/>
  <c r="HR5" i="29"/>
  <c r="VS56" i="1" s="1"/>
  <c r="HQ5" i="29"/>
  <c r="VS55" i="1" s="1"/>
  <c r="HP5" i="29"/>
  <c r="VS54" i="1" s="1"/>
  <c r="HO5" i="29"/>
  <c r="HN5" i="29"/>
  <c r="VS15" i="1" s="1"/>
  <c r="HM5" i="29"/>
  <c r="VS16" i="1" s="1"/>
  <c r="HL5" i="29"/>
  <c r="VS14" i="1" s="1"/>
  <c r="HK5" i="29"/>
  <c r="VS204" i="1" s="1"/>
  <c r="HJ5" i="29"/>
  <c r="HI5" i="29"/>
  <c r="VS139" i="1" s="1"/>
  <c r="HH5" i="29"/>
  <c r="VS138" i="1" s="1"/>
  <c r="HG5" i="29"/>
  <c r="VS136" i="1" s="1"/>
  <c r="HF5" i="29"/>
  <c r="VS137" i="1" s="1"/>
  <c r="HE5" i="29"/>
  <c r="VS112" i="1" s="1"/>
  <c r="HD5" i="29"/>
  <c r="VS111" i="1" s="1"/>
  <c r="HC5" i="29"/>
  <c r="VS65" i="1" s="1"/>
  <c r="HB5" i="29"/>
  <c r="VS247" i="1" s="1"/>
  <c r="HA5" i="29"/>
  <c r="VS203" i="1" s="1"/>
  <c r="GZ5" i="29"/>
  <c r="VS151" i="1" s="1"/>
  <c r="GY5" i="29"/>
  <c r="VS80" i="1" s="1"/>
  <c r="GX5" i="29"/>
  <c r="VS135" i="1" s="1"/>
  <c r="GW5" i="29"/>
  <c r="VS99" i="1" s="1"/>
  <c r="GV5" i="29"/>
  <c r="VS212" i="1" s="1"/>
  <c r="GU5" i="29"/>
  <c r="VS213" i="1" s="1"/>
  <c r="GT5" i="29"/>
  <c r="VS214" i="1" s="1"/>
  <c r="GS5" i="29"/>
  <c r="VS134" i="1" s="1"/>
  <c r="GR5" i="29"/>
  <c r="VS133" i="1" s="1"/>
  <c r="GQ5" i="29"/>
  <c r="VS132" i="1" s="1"/>
  <c r="GP5" i="29"/>
  <c r="VS148" i="1" s="1"/>
  <c r="GO5" i="29"/>
  <c r="VS239" i="1" s="1"/>
  <c r="GN5" i="29"/>
  <c r="VS131" i="1" s="1"/>
  <c r="GM5" i="29"/>
  <c r="VS97" i="1" s="1"/>
  <c r="GL5" i="29"/>
  <c r="VS95" i="1" s="1"/>
  <c r="GK5" i="29"/>
  <c r="VS96" i="1" s="1"/>
  <c r="GJ5" i="29"/>
  <c r="VS98" i="1" s="1"/>
  <c r="GI5" i="29"/>
  <c r="VS146" i="1" s="1"/>
  <c r="GH5" i="29"/>
  <c r="VS144" i="1" s="1"/>
  <c r="GG5" i="29"/>
  <c r="VS145" i="1" s="1"/>
  <c r="GF5" i="29"/>
  <c r="VS147" i="1" s="1"/>
  <c r="GE5" i="29"/>
  <c r="VS130" i="1" s="1"/>
  <c r="GD5" i="29"/>
  <c r="VS259" i="1" s="1"/>
  <c r="GC5" i="29"/>
  <c r="VS260" i="1" s="1"/>
  <c r="GB5" i="29"/>
  <c r="VS141" i="1" s="1"/>
  <c r="GA5" i="29"/>
  <c r="VS142" i="1" s="1"/>
  <c r="FZ5" i="29"/>
  <c r="VS143" i="1" s="1"/>
  <c r="FY5" i="29"/>
  <c r="VS129" i="1" s="1"/>
  <c r="FX5" i="29"/>
  <c r="VS128" i="1" s="1"/>
  <c r="FW5" i="29"/>
  <c r="VS127" i="1" s="1"/>
  <c r="FV5" i="29"/>
  <c r="VS162" i="1" s="1"/>
  <c r="FU5" i="29"/>
  <c r="VS126" i="1" s="1"/>
  <c r="FT5" i="29"/>
  <c r="VS125" i="1" s="1"/>
  <c r="FS5" i="29"/>
  <c r="VS235" i="1" s="1"/>
  <c r="FR5" i="29"/>
  <c r="VS237" i="1" s="1"/>
  <c r="FQ5" i="29"/>
  <c r="VS236" i="1" s="1"/>
  <c r="FP5" i="29"/>
  <c r="VS234" i="1" s="1"/>
  <c r="FO5" i="29"/>
  <c r="VS238" i="1" s="1"/>
  <c r="FN5" i="29"/>
  <c r="VS233" i="1" s="1"/>
  <c r="FM5" i="29"/>
  <c r="VS124" i="1" s="1"/>
  <c r="FL5" i="29"/>
  <c r="VS248" i="1" s="1"/>
  <c r="FK5" i="29"/>
  <c r="VS249" i="1" s="1"/>
  <c r="FJ5" i="29"/>
  <c r="VS123" i="1" s="1"/>
  <c r="FI5" i="29"/>
  <c r="VS78" i="1" s="1"/>
  <c r="FH5" i="29"/>
  <c r="VS230" i="1" s="1"/>
  <c r="FG5" i="29"/>
  <c r="VS232" i="1" s="1"/>
  <c r="FF5" i="29"/>
  <c r="VS231" i="1" s="1"/>
  <c r="FE5" i="29"/>
  <c r="VS200" i="1" s="1"/>
  <c r="FD5" i="29"/>
  <c r="VS201" i="1" s="1"/>
  <c r="FC5" i="29"/>
  <c r="VS202" i="1" s="1"/>
  <c r="FB5" i="29"/>
  <c r="VS229" i="1" s="1"/>
  <c r="FA5" i="29"/>
  <c r="VS122" i="1" s="1"/>
  <c r="EZ5" i="29"/>
  <c r="VS121" i="1" s="1"/>
  <c r="EY5" i="29"/>
  <c r="VS31" i="1" s="1"/>
  <c r="EX5" i="29"/>
  <c r="VS32" i="1" s="1"/>
  <c r="EW5" i="29"/>
  <c r="VS29" i="1" s="1"/>
  <c r="EV5" i="29"/>
  <c r="VS30" i="1" s="1"/>
  <c r="EU5" i="29"/>
  <c r="VS34" i="1" s="1"/>
  <c r="ET5" i="29"/>
  <c r="VS35" i="1" s="1"/>
  <c r="ES5" i="29"/>
  <c r="VS271" i="1" s="1"/>
  <c r="ER5" i="29"/>
  <c r="VS270" i="1" s="1"/>
  <c r="EQ5" i="29"/>
  <c r="VS268" i="1" s="1"/>
  <c r="EP5" i="29"/>
  <c r="VS267" i="1" s="1"/>
  <c r="EO5" i="29"/>
  <c r="VS269" i="1" s="1"/>
  <c r="EN5" i="29"/>
  <c r="VS266" i="1" s="1"/>
  <c r="EM5" i="29"/>
  <c r="VS263" i="1" s="1"/>
  <c r="EL5" i="29"/>
  <c r="VS264" i="1" s="1"/>
  <c r="EK5" i="29"/>
  <c r="VS262" i="1" s="1"/>
  <c r="EJ5" i="29"/>
  <c r="VS253" i="1" s="1"/>
  <c r="EI5" i="29"/>
  <c r="VS250" i="1" s="1"/>
  <c r="EH5" i="29"/>
  <c r="VS252" i="1" s="1"/>
  <c r="EG5" i="29"/>
  <c r="VS255" i="1" s="1"/>
  <c r="EF5" i="29"/>
  <c r="VS254" i="1" s="1"/>
  <c r="EE5" i="29"/>
  <c r="VS251" i="1" s="1"/>
  <c r="ED5" i="29"/>
  <c r="VS246" i="1" s="1"/>
  <c r="EC5" i="29"/>
  <c r="VS245" i="1" s="1"/>
  <c r="EB5" i="29"/>
  <c r="VS244" i="1" s="1"/>
  <c r="EA5" i="29"/>
  <c r="VS243" i="1" s="1"/>
  <c r="DZ5" i="29"/>
  <c r="VS242" i="1" s="1"/>
  <c r="DY5" i="29"/>
  <c r="VS241" i="1" s="1"/>
  <c r="DX5" i="29"/>
  <c r="DW5" i="29"/>
  <c r="DV5" i="29"/>
  <c r="VS228" i="1" s="1"/>
  <c r="DU5" i="29"/>
  <c r="DT5" i="29"/>
  <c r="VS221" i="1" s="1"/>
  <c r="DS5" i="29"/>
  <c r="VS220" i="1" s="1"/>
  <c r="DR5" i="29"/>
  <c r="VS219" i="1" s="1"/>
  <c r="DQ5" i="29"/>
  <c r="VS217" i="1" s="1"/>
  <c r="DP5" i="29"/>
  <c r="VS218" i="1" s="1"/>
  <c r="DO5" i="29"/>
  <c r="VS216" i="1" s="1"/>
  <c r="DN5" i="29"/>
  <c r="VS215" i="1" s="1"/>
  <c r="DM5" i="29"/>
  <c r="VS211" i="1" s="1"/>
  <c r="DL5" i="29"/>
  <c r="VS210" i="1" s="1"/>
  <c r="DK5" i="29"/>
  <c r="VS209" i="1" s="1"/>
  <c r="DJ5" i="29"/>
  <c r="VS208" i="1" s="1"/>
  <c r="DI5" i="29"/>
  <c r="VS207" i="1" s="1"/>
  <c r="DH5" i="29"/>
  <c r="VS206" i="1" s="1"/>
  <c r="DG5" i="29"/>
  <c r="VS205" i="1" s="1"/>
  <c r="DF5" i="29"/>
  <c r="VS199" i="1" s="1"/>
  <c r="DE5" i="29"/>
  <c r="VS198" i="1" s="1"/>
  <c r="DD5" i="29"/>
  <c r="VS197" i="1" s="1"/>
  <c r="DC5" i="29"/>
  <c r="VS196" i="1" s="1"/>
  <c r="DB5" i="29"/>
  <c r="VS195" i="1" s="1"/>
  <c r="DA5" i="29"/>
  <c r="VS194" i="1" s="1"/>
  <c r="CZ5" i="29"/>
  <c r="VS190" i="1" s="1"/>
  <c r="CY5" i="29"/>
  <c r="VS191" i="1" s="1"/>
  <c r="CX5" i="29"/>
  <c r="VS193" i="1" s="1"/>
  <c r="CW5" i="29"/>
  <c r="VS192" i="1" s="1"/>
  <c r="CV5" i="29"/>
  <c r="VS189" i="1" s="1"/>
  <c r="CU5" i="29"/>
  <c r="VS188" i="1" s="1"/>
  <c r="CT5" i="29"/>
  <c r="VS187" i="1" s="1"/>
  <c r="CS5" i="29"/>
  <c r="VS186" i="1" s="1"/>
  <c r="CR5" i="29"/>
  <c r="VS185" i="1" s="1"/>
  <c r="CQ5" i="29"/>
  <c r="VS181" i="1" s="1"/>
  <c r="CP5" i="29"/>
  <c r="VS183" i="1" s="1"/>
  <c r="CO5" i="29"/>
  <c r="VS182" i="1" s="1"/>
  <c r="CN5" i="29"/>
  <c r="VS180" i="1" s="1"/>
  <c r="CM5" i="29"/>
  <c r="VS184" i="1" s="1"/>
  <c r="CL5" i="29"/>
  <c r="VS173" i="1" s="1"/>
  <c r="CK5" i="29"/>
  <c r="VS172" i="1" s="1"/>
  <c r="CJ5" i="29"/>
  <c r="VS179" i="1" s="1"/>
  <c r="CI5" i="29"/>
  <c r="VS178" i="1" s="1"/>
  <c r="CH5" i="29"/>
  <c r="VS175" i="1" s="1"/>
  <c r="CG5" i="29"/>
  <c r="VS170" i="1" s="1"/>
  <c r="CF5" i="29"/>
  <c r="VS171" i="1" s="1"/>
  <c r="CE5" i="29"/>
  <c r="VS176" i="1" s="1"/>
  <c r="CD5" i="29"/>
  <c r="VS177" i="1" s="1"/>
  <c r="CC5" i="29"/>
  <c r="VS174" i="1" s="1"/>
  <c r="CB5" i="29"/>
  <c r="VS168" i="1" s="1"/>
  <c r="CA5" i="29"/>
  <c r="BZ5" i="29"/>
  <c r="VS166" i="1" s="1"/>
  <c r="BY5" i="29"/>
  <c r="VS169" i="1" s="1"/>
  <c r="BX5" i="29"/>
  <c r="VS165" i="1" s="1"/>
  <c r="BW5" i="29"/>
  <c r="VS167" i="1" s="1"/>
  <c r="BV5" i="29"/>
  <c r="VS163" i="1" s="1"/>
  <c r="BU5" i="29"/>
  <c r="VS164" i="1" s="1"/>
  <c r="BT5" i="29"/>
  <c r="VS160" i="1" s="1"/>
  <c r="BS5" i="29"/>
  <c r="VS159" i="1" s="1"/>
  <c r="BR5" i="29"/>
  <c r="VS158" i="1" s="1"/>
  <c r="BQ5" i="29"/>
  <c r="VS157" i="1" s="1"/>
  <c r="BP5" i="29"/>
  <c r="VS156" i="1" s="1"/>
  <c r="BO5" i="29"/>
  <c r="VS154" i="1" s="1"/>
  <c r="BN5" i="29"/>
  <c r="VS155" i="1" s="1"/>
  <c r="BM5" i="29"/>
  <c r="VS153" i="1" s="1"/>
  <c r="BL5" i="29"/>
  <c r="VS152" i="1" s="1"/>
  <c r="BK5" i="29"/>
  <c r="VS150" i="1" s="1"/>
  <c r="BJ5" i="29"/>
  <c r="VS149" i="1" s="1"/>
  <c r="BI5" i="29"/>
  <c r="VS140" i="1" s="1"/>
  <c r="BH5" i="29"/>
  <c r="VS119" i="1" s="1"/>
  <c r="BG5" i="29"/>
  <c r="VS120" i="1" s="1"/>
  <c r="BF5" i="29"/>
  <c r="VS118" i="1" s="1"/>
  <c r="BE5" i="29"/>
  <c r="VS116" i="1" s="1"/>
  <c r="BD5" i="29"/>
  <c r="VS117" i="1" s="1"/>
  <c r="BC5" i="29"/>
  <c r="VS114" i="1" s="1"/>
  <c r="BB5" i="29"/>
  <c r="VS115" i="1" s="1"/>
  <c r="BA5" i="29"/>
  <c r="VS113" i="1" s="1"/>
  <c r="AZ5" i="29"/>
  <c r="VS110" i="1" s="1"/>
  <c r="AY5" i="29"/>
  <c r="VS109" i="1" s="1"/>
  <c r="AX5" i="29"/>
  <c r="VS108" i="1" s="1"/>
  <c r="AW5" i="29"/>
  <c r="VS104" i="1" s="1"/>
  <c r="AV5" i="29"/>
  <c r="VS102" i="1" s="1"/>
  <c r="AU5" i="29"/>
  <c r="VS105" i="1" s="1"/>
  <c r="AT5" i="29"/>
  <c r="VS101" i="1" s="1"/>
  <c r="AS5" i="29"/>
  <c r="VS107" i="1" s="1"/>
  <c r="AR5" i="29"/>
  <c r="VS106" i="1" s="1"/>
  <c r="AQ5" i="29"/>
  <c r="VS103" i="1" s="1"/>
  <c r="AP5" i="29"/>
  <c r="VS100" i="1" s="1"/>
  <c r="AO5" i="29"/>
  <c r="VS53" i="1" s="1"/>
  <c r="AN5" i="29"/>
  <c r="VS52" i="1" s="1"/>
  <c r="AM5" i="29"/>
  <c r="VS51" i="1" s="1"/>
  <c r="AL5" i="29"/>
  <c r="VS50" i="1" s="1"/>
  <c r="AK5" i="29"/>
  <c r="VS49" i="1" s="1"/>
  <c r="AJ5" i="29"/>
  <c r="VS48" i="1" s="1"/>
  <c r="AI5" i="29"/>
  <c r="VS47" i="1" s="1"/>
  <c r="AH5" i="29"/>
  <c r="VS46" i="1" s="1"/>
  <c r="AG5" i="29"/>
  <c r="VS45" i="1" s="1"/>
  <c r="AF5" i="29"/>
  <c r="VS43" i="1" s="1"/>
  <c r="AE5" i="29"/>
  <c r="VS41" i="1" s="1"/>
  <c r="AD5" i="29"/>
  <c r="VS42" i="1" s="1"/>
  <c r="AB5" i="29"/>
  <c r="VS40" i="1" s="1"/>
  <c r="AA5" i="29"/>
  <c r="VS39" i="1" s="1"/>
  <c r="Z5" i="29"/>
  <c r="VS37" i="1" s="1"/>
  <c r="Y5" i="29"/>
  <c r="VS36" i="1" s="1"/>
  <c r="X5" i="29"/>
  <c r="VS33" i="1" s="1"/>
  <c r="W5" i="29"/>
  <c r="VS26" i="1" s="1"/>
  <c r="V5" i="29"/>
  <c r="VS28" i="1" s="1"/>
  <c r="U5" i="29"/>
  <c r="VS27" i="1" s="1"/>
  <c r="T5" i="29"/>
  <c r="VS25" i="1" s="1"/>
  <c r="S5" i="29"/>
  <c r="VS24" i="1" s="1"/>
  <c r="R5" i="29"/>
  <c r="VS23" i="1" s="1"/>
  <c r="Q5" i="29"/>
  <c r="VS22" i="1" s="1"/>
  <c r="P5" i="29"/>
  <c r="VS21" i="1" s="1"/>
  <c r="O5" i="29"/>
  <c r="VS20" i="1" s="1"/>
  <c r="N5" i="29"/>
  <c r="VS19" i="1" s="1"/>
  <c r="M5" i="29"/>
  <c r="VS18" i="1" s="1"/>
  <c r="L5" i="29"/>
  <c r="VS17" i="1" s="1"/>
  <c r="K5" i="29"/>
  <c r="VS13" i="1" s="1"/>
  <c r="J5" i="29"/>
  <c r="VS12" i="1" s="1"/>
  <c r="I5" i="29"/>
  <c r="VS11" i="1" s="1"/>
  <c r="H5" i="29"/>
  <c r="VS10" i="1" s="1"/>
  <c r="G5" i="29"/>
  <c r="VS8" i="1" s="1"/>
  <c r="F5" i="29"/>
  <c r="VS9" i="1" s="1"/>
  <c r="E5" i="29"/>
  <c r="VS261" i="1" s="1"/>
  <c r="D5" i="29"/>
  <c r="VS240" i="1" s="1"/>
  <c r="C5" i="29"/>
  <c r="VS68" i="1" s="1"/>
  <c r="JR41" i="15"/>
  <c r="JQ41" i="15"/>
  <c r="JP41" i="15"/>
  <c r="JO41" i="15"/>
  <c r="JN41" i="15"/>
  <c r="JM41" i="15"/>
  <c r="JL41" i="15"/>
  <c r="JK41" i="15"/>
  <c r="JJ41" i="15"/>
  <c r="JI41" i="15"/>
  <c r="JH41" i="15"/>
  <c r="JG41" i="15"/>
  <c r="JF41" i="15"/>
  <c r="JE41" i="15"/>
  <c r="JD41" i="15"/>
  <c r="JC41" i="15"/>
  <c r="JB41" i="15"/>
  <c r="JA41" i="15"/>
  <c r="IZ41" i="15"/>
  <c r="IY41" i="15"/>
  <c r="IX41" i="15"/>
  <c r="IW41" i="15"/>
  <c r="IV41" i="15"/>
  <c r="IU41" i="15"/>
  <c r="IT41" i="15"/>
  <c r="IS41" i="15"/>
  <c r="IR41" i="15"/>
  <c r="IQ41" i="15"/>
  <c r="IP41" i="15"/>
  <c r="IO41" i="15"/>
  <c r="IN41" i="15"/>
  <c r="IM41" i="15"/>
  <c r="IL41" i="15"/>
  <c r="IK41" i="15"/>
  <c r="IJ41" i="15"/>
  <c r="II41" i="15"/>
  <c r="IH41" i="15"/>
  <c r="IG41" i="15"/>
  <c r="IF41" i="15"/>
  <c r="IE41" i="15"/>
  <c r="ID41" i="15"/>
  <c r="IC41" i="15"/>
  <c r="IB41" i="15"/>
  <c r="IA41" i="15"/>
  <c r="HZ41" i="15"/>
  <c r="HY41" i="15"/>
  <c r="HX41" i="15"/>
  <c r="HW41" i="15"/>
  <c r="HV41" i="15"/>
  <c r="HU41" i="15"/>
  <c r="HT41" i="15"/>
  <c r="HS41" i="15"/>
  <c r="HR41" i="15"/>
  <c r="HQ41" i="15"/>
  <c r="HP41" i="15"/>
  <c r="HO41" i="15"/>
  <c r="HN41" i="15"/>
  <c r="HM41" i="15"/>
  <c r="HL41" i="15"/>
  <c r="HK41" i="15"/>
  <c r="HJ41" i="15"/>
  <c r="HI41" i="15"/>
  <c r="HH41" i="15"/>
  <c r="HG41" i="15"/>
  <c r="HF41" i="15"/>
  <c r="HE41" i="15"/>
  <c r="HD41" i="15"/>
  <c r="HC41" i="15"/>
  <c r="HB41" i="15"/>
  <c r="HA41" i="15"/>
  <c r="GZ41" i="15"/>
  <c r="GY41" i="15"/>
  <c r="GX41" i="15"/>
  <c r="GW41" i="15"/>
  <c r="GV41" i="15"/>
  <c r="GU41" i="15"/>
  <c r="GT41" i="15"/>
  <c r="GS41" i="15"/>
  <c r="GR41" i="15"/>
  <c r="GQ41" i="15"/>
  <c r="GP41" i="15"/>
  <c r="GO41" i="15"/>
  <c r="GN41" i="15"/>
  <c r="GM41" i="15"/>
  <c r="GL41" i="15"/>
  <c r="GK41" i="15"/>
  <c r="GJ41" i="15"/>
  <c r="GI41" i="15"/>
  <c r="GH41" i="15"/>
  <c r="GG41" i="15"/>
  <c r="GF41" i="15"/>
  <c r="GE41" i="15"/>
  <c r="GD41" i="15"/>
  <c r="GC41" i="15"/>
  <c r="GB41" i="15"/>
  <c r="GA41" i="15"/>
  <c r="FZ41" i="15"/>
  <c r="FY41" i="15"/>
  <c r="FX41" i="15"/>
  <c r="FW41" i="15"/>
  <c r="FV41" i="15"/>
  <c r="FU41" i="15"/>
  <c r="FT41" i="15"/>
  <c r="FS41" i="15"/>
  <c r="FR41" i="15"/>
  <c r="FQ41" i="15"/>
  <c r="FP41" i="15"/>
  <c r="FO41" i="15"/>
  <c r="FN41" i="15"/>
  <c r="FM41" i="15"/>
  <c r="FL41" i="15"/>
  <c r="FK41" i="15"/>
  <c r="FJ41" i="15"/>
  <c r="FI41" i="15"/>
  <c r="FH41" i="15"/>
  <c r="FG41" i="15"/>
  <c r="FF41" i="15"/>
  <c r="FE41" i="15"/>
  <c r="FD41" i="15"/>
  <c r="FC41" i="15"/>
  <c r="FB41" i="15"/>
  <c r="FA41" i="15"/>
  <c r="EZ41" i="15"/>
  <c r="EY41" i="15"/>
  <c r="EX41" i="15"/>
  <c r="EW41" i="15"/>
  <c r="EV41" i="15"/>
  <c r="EU41" i="15"/>
  <c r="ET41" i="15"/>
  <c r="ES41" i="15"/>
  <c r="ER41" i="15"/>
  <c r="EQ41" i="15"/>
  <c r="EP41" i="15"/>
  <c r="EO41" i="15"/>
  <c r="EN41" i="15"/>
  <c r="EM41" i="15"/>
  <c r="EL41" i="15"/>
  <c r="EK41" i="15"/>
  <c r="EJ41" i="15"/>
  <c r="EI41" i="15"/>
  <c r="EH41" i="15"/>
  <c r="EG41" i="15"/>
  <c r="EF41" i="15"/>
  <c r="EE41" i="15"/>
  <c r="ED41" i="15"/>
  <c r="EC41" i="15"/>
  <c r="EB41" i="15"/>
  <c r="EA41" i="15"/>
  <c r="DZ41" i="15"/>
  <c r="DY41" i="15"/>
  <c r="DX41" i="15"/>
  <c r="DW41" i="15"/>
  <c r="DV41" i="15"/>
  <c r="DU41" i="15"/>
  <c r="DT41" i="15"/>
  <c r="DS41" i="15"/>
  <c r="DR41" i="15"/>
  <c r="DQ41" i="15"/>
  <c r="DP41" i="15"/>
  <c r="DO41" i="15"/>
  <c r="DN41" i="15"/>
  <c r="DM41" i="15"/>
  <c r="DL41" i="15"/>
  <c r="DK41" i="15"/>
  <c r="DJ41" i="15"/>
  <c r="DI41" i="15"/>
  <c r="DH41" i="15"/>
  <c r="DG41" i="15"/>
  <c r="DF41" i="15"/>
  <c r="DE41" i="15"/>
  <c r="DD41" i="15"/>
  <c r="DC41" i="15"/>
  <c r="DB41" i="15"/>
  <c r="DA41" i="15"/>
  <c r="CZ41" i="15"/>
  <c r="CY41" i="15"/>
  <c r="CX41" i="15"/>
  <c r="CW41" i="15"/>
  <c r="CV41" i="15"/>
  <c r="CU41" i="15"/>
  <c r="CT41" i="15"/>
  <c r="CS41" i="15"/>
  <c r="CR41" i="15"/>
  <c r="CQ41" i="15"/>
  <c r="CP41" i="15"/>
  <c r="CO41" i="15"/>
  <c r="CN41" i="15"/>
  <c r="CM41" i="15"/>
  <c r="CL41" i="15"/>
  <c r="CK41" i="15"/>
  <c r="CJ41" i="15"/>
  <c r="CI41" i="15"/>
  <c r="CH41" i="15"/>
  <c r="CG41" i="15"/>
  <c r="CF41" i="15"/>
  <c r="CE41" i="15"/>
  <c r="CD41" i="15"/>
  <c r="CC41" i="15"/>
  <c r="CB41" i="15"/>
  <c r="CA41" i="15"/>
  <c r="BZ41" i="15"/>
  <c r="BY41" i="15"/>
  <c r="BX41" i="15"/>
  <c r="BW41" i="15"/>
  <c r="BV41" i="15"/>
  <c r="BU41" i="15"/>
  <c r="BT41" i="15"/>
  <c r="BS41" i="15"/>
  <c r="BR41" i="15"/>
  <c r="BQ41" i="15"/>
  <c r="BP41" i="15"/>
  <c r="BO41" i="15"/>
  <c r="BN41" i="15"/>
  <c r="BM41" i="15"/>
  <c r="BL41" i="15"/>
  <c r="BK41" i="15"/>
  <c r="BJ41" i="15"/>
  <c r="BI41" i="15"/>
  <c r="BH41" i="15"/>
  <c r="BG41" i="15"/>
  <c r="BF41" i="15"/>
  <c r="BE41" i="15"/>
  <c r="BD41" i="15"/>
  <c r="BC41" i="15"/>
  <c r="BB41" i="15"/>
  <c r="BA41" i="15"/>
  <c r="AZ41" i="15"/>
  <c r="AY41" i="15"/>
  <c r="AX41" i="15"/>
  <c r="AW41" i="15"/>
  <c r="AV41" i="15"/>
  <c r="AU41" i="15"/>
  <c r="AT41" i="15"/>
  <c r="AS41" i="15"/>
  <c r="AR41" i="15"/>
  <c r="AQ41" i="15"/>
  <c r="AP41" i="15"/>
  <c r="AO41" i="15"/>
  <c r="AN41" i="15"/>
  <c r="AM41" i="15"/>
  <c r="AL41" i="15"/>
  <c r="AK41" i="15"/>
  <c r="AJ41" i="15"/>
  <c r="AI41" i="15"/>
  <c r="AH41" i="15"/>
  <c r="AG41" i="15"/>
  <c r="AF41" i="15"/>
  <c r="AE41" i="15"/>
  <c r="AD41" i="15"/>
  <c r="AC41" i="15"/>
  <c r="AB41" i="15"/>
  <c r="AA41" i="15"/>
  <c r="Z41" i="15"/>
  <c r="Y41" i="15"/>
  <c r="X41" i="15"/>
  <c r="W41" i="15"/>
  <c r="V41" i="15"/>
  <c r="U41" i="15"/>
  <c r="T41" i="15"/>
  <c r="S41" i="15"/>
  <c r="R41" i="15"/>
  <c r="Q41" i="15"/>
  <c r="P41" i="15"/>
  <c r="O41" i="15"/>
  <c r="N41" i="15"/>
  <c r="M41" i="15"/>
  <c r="L41" i="15"/>
  <c r="K41" i="15"/>
  <c r="J41" i="15"/>
  <c r="I41" i="15"/>
  <c r="H41" i="15"/>
  <c r="G41" i="15"/>
  <c r="F41" i="15"/>
  <c r="E41" i="15"/>
  <c r="D41" i="15"/>
  <c r="C41" i="15"/>
  <c r="D51" i="31" l="1"/>
  <c r="VT17" i="1"/>
  <c r="WK17" i="1" s="1"/>
  <c r="VU17" i="1"/>
  <c r="WL17" i="1" s="1"/>
  <c r="VT33" i="1"/>
  <c r="WK33" i="1" s="1"/>
  <c r="VU33" i="1"/>
  <c r="WL33" i="1" s="1"/>
  <c r="VU53" i="1"/>
  <c r="WL53" i="1" s="1"/>
  <c r="VT53" i="1"/>
  <c r="WK53" i="1" s="1"/>
  <c r="VT116" i="1"/>
  <c r="WK116" i="1" s="1"/>
  <c r="VU116" i="1"/>
  <c r="WL116" i="1" s="1"/>
  <c r="VU153" i="1"/>
  <c r="WL153" i="1" s="1"/>
  <c r="VT153" i="1"/>
  <c r="WK153" i="1" s="1"/>
  <c r="VT169" i="1"/>
  <c r="WK169" i="1" s="1"/>
  <c r="VU169" i="1"/>
  <c r="WL169" i="1" s="1"/>
  <c r="VU182" i="1"/>
  <c r="WL182" i="1" s="1"/>
  <c r="VT182" i="1"/>
  <c r="WK182" i="1" s="1"/>
  <c r="VU194" i="1"/>
  <c r="WL194" i="1" s="1"/>
  <c r="VT194" i="1"/>
  <c r="WK194" i="1" s="1"/>
  <c r="VU217" i="1"/>
  <c r="WL217" i="1" s="1"/>
  <c r="VT217" i="1"/>
  <c r="WK217" i="1" s="1"/>
  <c r="VT245" i="1"/>
  <c r="WK245" i="1" s="1"/>
  <c r="VU245" i="1"/>
  <c r="WL245" i="1" s="1"/>
  <c r="VU269" i="1"/>
  <c r="WL269" i="1" s="1"/>
  <c r="VT269" i="1"/>
  <c r="WK269" i="1" s="1"/>
  <c r="VU200" i="1"/>
  <c r="WL200" i="1" s="1"/>
  <c r="VT200" i="1"/>
  <c r="WK200" i="1" s="1"/>
  <c r="VU236" i="1"/>
  <c r="WL236" i="1" s="1"/>
  <c r="VT236" i="1"/>
  <c r="WK236" i="1" s="1"/>
  <c r="VT260" i="1"/>
  <c r="WK260" i="1" s="1"/>
  <c r="VU260" i="1"/>
  <c r="WL260" i="1" s="1"/>
  <c r="VU239" i="1"/>
  <c r="WL239" i="1" s="1"/>
  <c r="VT239" i="1"/>
  <c r="WK239" i="1" s="1"/>
  <c r="VU203" i="1"/>
  <c r="WL203" i="1" s="1"/>
  <c r="VT203" i="1"/>
  <c r="WK203" i="1" s="1"/>
  <c r="VT16" i="1"/>
  <c r="WK16" i="1" s="1"/>
  <c r="VU16" i="1"/>
  <c r="WL16" i="1" s="1"/>
  <c r="VU63" i="1"/>
  <c r="WL63" i="1" s="1"/>
  <c r="VT63" i="1"/>
  <c r="WK63" i="1" s="1"/>
  <c r="VU76" i="1"/>
  <c r="WL76" i="1" s="1"/>
  <c r="VT76" i="1"/>
  <c r="WK76" i="1" s="1"/>
  <c r="VU91" i="1"/>
  <c r="WL91" i="1" s="1"/>
  <c r="VT91" i="1"/>
  <c r="WK91" i="1" s="1"/>
  <c r="VU261" i="1"/>
  <c r="WL261" i="1" s="1"/>
  <c r="VT261" i="1"/>
  <c r="WK261" i="1" s="1"/>
  <c r="VU11" i="1"/>
  <c r="WL11" i="1" s="1"/>
  <c r="VT11" i="1"/>
  <c r="WK11" i="1" s="1"/>
  <c r="VU18" i="1"/>
  <c r="WL18" i="1" s="1"/>
  <c r="VT18" i="1"/>
  <c r="WK18" i="1" s="1"/>
  <c r="VU22" i="1"/>
  <c r="WL22" i="1" s="1"/>
  <c r="VT22" i="1"/>
  <c r="WK22" i="1" s="1"/>
  <c r="VU27" i="1"/>
  <c r="WL27" i="1" s="1"/>
  <c r="VT27" i="1"/>
  <c r="WK27" i="1" s="1"/>
  <c r="VT36" i="1"/>
  <c r="WK36" i="1" s="1"/>
  <c r="VU36" i="1"/>
  <c r="WL36" i="1" s="1"/>
  <c r="VU42" i="1"/>
  <c r="WL42" i="1" s="1"/>
  <c r="VT42" i="1"/>
  <c r="WK42" i="1" s="1"/>
  <c r="VU46" i="1"/>
  <c r="WL46" i="1" s="1"/>
  <c r="VT46" i="1"/>
  <c r="WK46" i="1" s="1"/>
  <c r="VU50" i="1"/>
  <c r="WL50" i="1" s="1"/>
  <c r="VT50" i="1"/>
  <c r="WK50" i="1" s="1"/>
  <c r="VU100" i="1"/>
  <c r="WL100" i="1" s="1"/>
  <c r="VT100" i="1"/>
  <c r="WK100" i="1" s="1"/>
  <c r="VU101" i="1"/>
  <c r="WL101" i="1" s="1"/>
  <c r="VT101" i="1"/>
  <c r="WK101" i="1" s="1"/>
  <c r="VT108" i="1"/>
  <c r="WK108" i="1" s="1"/>
  <c r="VU108" i="1"/>
  <c r="WL108" i="1" s="1"/>
  <c r="VU115" i="1"/>
  <c r="WL115" i="1" s="1"/>
  <c r="VT115" i="1"/>
  <c r="WK115" i="1" s="1"/>
  <c r="VT118" i="1"/>
  <c r="WK118" i="1" s="1"/>
  <c r="VU118" i="1"/>
  <c r="WL118" i="1" s="1"/>
  <c r="VU149" i="1"/>
  <c r="WL149" i="1" s="1"/>
  <c r="VT149" i="1"/>
  <c r="WK149" i="1" s="1"/>
  <c r="VT155" i="1"/>
  <c r="WK155" i="1" s="1"/>
  <c r="VU155" i="1"/>
  <c r="WL155" i="1" s="1"/>
  <c r="VU158" i="1"/>
  <c r="WL158" i="1" s="1"/>
  <c r="VT158" i="1"/>
  <c r="WK158" i="1" s="1"/>
  <c r="VT163" i="1"/>
  <c r="WK163" i="1" s="1"/>
  <c r="VU163" i="1"/>
  <c r="WL163" i="1" s="1"/>
  <c r="VT166" i="1"/>
  <c r="WK166" i="1" s="1"/>
  <c r="VU166" i="1"/>
  <c r="WL166" i="1" s="1"/>
  <c r="VU177" i="1"/>
  <c r="WL177" i="1" s="1"/>
  <c r="VT177" i="1"/>
  <c r="WK177" i="1" s="1"/>
  <c r="VT175" i="1"/>
  <c r="WK175" i="1" s="1"/>
  <c r="VU175" i="1"/>
  <c r="WL175" i="1" s="1"/>
  <c r="VT173" i="1"/>
  <c r="WK173" i="1" s="1"/>
  <c r="VU173" i="1"/>
  <c r="WL173" i="1" s="1"/>
  <c r="VU183" i="1"/>
  <c r="WL183" i="1" s="1"/>
  <c r="VT183" i="1"/>
  <c r="WK183" i="1" s="1"/>
  <c r="VT187" i="1"/>
  <c r="WK187" i="1" s="1"/>
  <c r="VU187" i="1"/>
  <c r="WL187" i="1" s="1"/>
  <c r="VU193" i="1"/>
  <c r="WL193" i="1" s="1"/>
  <c r="VT193" i="1"/>
  <c r="WK193" i="1" s="1"/>
  <c r="VU195" i="1"/>
  <c r="WL195" i="1" s="1"/>
  <c r="VT195" i="1"/>
  <c r="WK195" i="1" s="1"/>
  <c r="VT199" i="1"/>
  <c r="WK199" i="1" s="1"/>
  <c r="VU199" i="1"/>
  <c r="WL199" i="1" s="1"/>
  <c r="VT208" i="1"/>
  <c r="WK208" i="1" s="1"/>
  <c r="VU208" i="1"/>
  <c r="WL208" i="1" s="1"/>
  <c r="VU215" i="1"/>
  <c r="WL215" i="1" s="1"/>
  <c r="VT215" i="1"/>
  <c r="WK215" i="1" s="1"/>
  <c r="VU219" i="1"/>
  <c r="WL219" i="1" s="1"/>
  <c r="VT219" i="1"/>
  <c r="WK219" i="1" s="1"/>
  <c r="VU228" i="1"/>
  <c r="WL228" i="1" s="1"/>
  <c r="VT228" i="1"/>
  <c r="WK228" i="1" s="1"/>
  <c r="VU242" i="1"/>
  <c r="WL242" i="1" s="1"/>
  <c r="VT242" i="1"/>
  <c r="WK242" i="1" s="1"/>
  <c r="VU246" i="1"/>
  <c r="WL246" i="1" s="1"/>
  <c r="VT246" i="1"/>
  <c r="WK246" i="1" s="1"/>
  <c r="VU252" i="1"/>
  <c r="WL252" i="1" s="1"/>
  <c r="VT252" i="1"/>
  <c r="WK252" i="1" s="1"/>
  <c r="VT264" i="1"/>
  <c r="WK264" i="1" s="1"/>
  <c r="VU264" i="1"/>
  <c r="WL264" i="1" s="1"/>
  <c r="VU267" i="1"/>
  <c r="WL267" i="1" s="1"/>
  <c r="VT267" i="1"/>
  <c r="WK267" i="1" s="1"/>
  <c r="VU35" i="1"/>
  <c r="WL35" i="1" s="1"/>
  <c r="VT35" i="1"/>
  <c r="WK35" i="1" s="1"/>
  <c r="VU32" i="1"/>
  <c r="WL32" i="1" s="1"/>
  <c r="VT32" i="1"/>
  <c r="WK32" i="1" s="1"/>
  <c r="VU229" i="1"/>
  <c r="WL229" i="1" s="1"/>
  <c r="VT229" i="1"/>
  <c r="WK229" i="1" s="1"/>
  <c r="VU231" i="1"/>
  <c r="WL231" i="1" s="1"/>
  <c r="VT231" i="1"/>
  <c r="WK231" i="1" s="1"/>
  <c r="VU123" i="1"/>
  <c r="WL123" i="1" s="1"/>
  <c r="VT123" i="1"/>
  <c r="WK123" i="1" s="1"/>
  <c r="VT233" i="1"/>
  <c r="WK233" i="1" s="1"/>
  <c r="VU233" i="1"/>
  <c r="WL233" i="1" s="1"/>
  <c r="VU237" i="1"/>
  <c r="WL237" i="1" s="1"/>
  <c r="VT237" i="1"/>
  <c r="WK237" i="1" s="1"/>
  <c r="VU162" i="1"/>
  <c r="WL162" i="1" s="1"/>
  <c r="VT162" i="1"/>
  <c r="WK162" i="1" s="1"/>
  <c r="VU143" i="1"/>
  <c r="WL143" i="1" s="1"/>
  <c r="VT143" i="1"/>
  <c r="WK143" i="1" s="1"/>
  <c r="VU259" i="1"/>
  <c r="WL259" i="1" s="1"/>
  <c r="VT259" i="1"/>
  <c r="WK259" i="1" s="1"/>
  <c r="VT144" i="1"/>
  <c r="WK144" i="1" s="1"/>
  <c r="VU144" i="1"/>
  <c r="WL144" i="1" s="1"/>
  <c r="VU95" i="1"/>
  <c r="WL95" i="1" s="1"/>
  <c r="VT95" i="1"/>
  <c r="WK95" i="1" s="1"/>
  <c r="VT148" i="1"/>
  <c r="WK148" i="1" s="1"/>
  <c r="VU148" i="1"/>
  <c r="WL148" i="1" s="1"/>
  <c r="VU214" i="1"/>
  <c r="WL214" i="1" s="1"/>
  <c r="VT214" i="1"/>
  <c r="WK214" i="1" s="1"/>
  <c r="VU135" i="1"/>
  <c r="WL135" i="1" s="1"/>
  <c r="VT135" i="1"/>
  <c r="WK135" i="1" s="1"/>
  <c r="VT247" i="1"/>
  <c r="WK247" i="1" s="1"/>
  <c r="VU247" i="1"/>
  <c r="WL247" i="1" s="1"/>
  <c r="VU137" i="1"/>
  <c r="WL137" i="1" s="1"/>
  <c r="VT137" i="1"/>
  <c r="WK137" i="1" s="1"/>
  <c r="VU15" i="1"/>
  <c r="WL15" i="1" s="1"/>
  <c r="VT15" i="1"/>
  <c r="WK15" i="1" s="1"/>
  <c r="VT56" i="1"/>
  <c r="WK56" i="1" s="1"/>
  <c r="VU56" i="1"/>
  <c r="WL56" i="1" s="1"/>
  <c r="VT60" i="1"/>
  <c r="WK60" i="1" s="1"/>
  <c r="VU60" i="1"/>
  <c r="WL60" i="1" s="1"/>
  <c r="VU64" i="1"/>
  <c r="WL64" i="1" s="1"/>
  <c r="VT64" i="1"/>
  <c r="WK64" i="1" s="1"/>
  <c r="VU69" i="1"/>
  <c r="WL69" i="1" s="1"/>
  <c r="VT69" i="1"/>
  <c r="WK69" i="1" s="1"/>
  <c r="VU77" i="1"/>
  <c r="WL77" i="1" s="1"/>
  <c r="VT77" i="1"/>
  <c r="WK77" i="1" s="1"/>
  <c r="VU79" i="1"/>
  <c r="WL79" i="1" s="1"/>
  <c r="VT79" i="1"/>
  <c r="WK79" i="1" s="1"/>
  <c r="VU84" i="1"/>
  <c r="WL84" i="1" s="1"/>
  <c r="VT84" i="1"/>
  <c r="WK84" i="1" s="1"/>
  <c r="VU87" i="1"/>
  <c r="WL87" i="1" s="1"/>
  <c r="VT87" i="1"/>
  <c r="WK87" i="1" s="1"/>
  <c r="VU89" i="1"/>
  <c r="WL89" i="1" s="1"/>
  <c r="VT89" i="1"/>
  <c r="WK89" i="1" s="1"/>
  <c r="VT225" i="1"/>
  <c r="WK225" i="1" s="1"/>
  <c r="VU225" i="1"/>
  <c r="WL225" i="1" s="1"/>
  <c r="VT256" i="1"/>
  <c r="WK256" i="1" s="1"/>
  <c r="VU256" i="1"/>
  <c r="WL256" i="1" s="1"/>
  <c r="VU10" i="1"/>
  <c r="WL10" i="1" s="1"/>
  <c r="VT10" i="1"/>
  <c r="WK10" i="1" s="1"/>
  <c r="VU25" i="1"/>
  <c r="WL25" i="1" s="1"/>
  <c r="VT25" i="1"/>
  <c r="WK25" i="1" s="1"/>
  <c r="VU45" i="1"/>
  <c r="WL45" i="1" s="1"/>
  <c r="VT45" i="1"/>
  <c r="WK45" i="1" s="1"/>
  <c r="VT104" i="1"/>
  <c r="WK104" i="1" s="1"/>
  <c r="VU104" i="1"/>
  <c r="WL104" i="1" s="1"/>
  <c r="VU140" i="1"/>
  <c r="WL140" i="1" s="1"/>
  <c r="VT140" i="1"/>
  <c r="WK140" i="1" s="1"/>
  <c r="VU164" i="1"/>
  <c r="WL164" i="1" s="1"/>
  <c r="VT164" i="1"/>
  <c r="WK164" i="1" s="1"/>
  <c r="VU174" i="1"/>
  <c r="WL174" i="1" s="1"/>
  <c r="VT174" i="1"/>
  <c r="WK174" i="1" s="1"/>
  <c r="VU172" i="1"/>
  <c r="WL172" i="1" s="1"/>
  <c r="VT172" i="1"/>
  <c r="WK172" i="1" s="1"/>
  <c r="VU192" i="1"/>
  <c r="WL192" i="1" s="1"/>
  <c r="VT192" i="1"/>
  <c r="WK192" i="1" s="1"/>
  <c r="VU207" i="1"/>
  <c r="WL207" i="1" s="1"/>
  <c r="VT207" i="1"/>
  <c r="WK207" i="1" s="1"/>
  <c r="VT241" i="1"/>
  <c r="WK241" i="1" s="1"/>
  <c r="VU241" i="1"/>
  <c r="WL241" i="1" s="1"/>
  <c r="VT262" i="1"/>
  <c r="WK262" i="1" s="1"/>
  <c r="VU262" i="1"/>
  <c r="WL262" i="1" s="1"/>
  <c r="VU29" i="1"/>
  <c r="WL29" i="1" s="1"/>
  <c r="VT29" i="1"/>
  <c r="WK29" i="1" s="1"/>
  <c r="VT78" i="1"/>
  <c r="WK78" i="1" s="1"/>
  <c r="VU78" i="1"/>
  <c r="WL78" i="1" s="1"/>
  <c r="VT126" i="1"/>
  <c r="WK126" i="1" s="1"/>
  <c r="VU126" i="1"/>
  <c r="WL126" i="1" s="1"/>
  <c r="VU145" i="1"/>
  <c r="WL145" i="1" s="1"/>
  <c r="VT145" i="1"/>
  <c r="WK145" i="1" s="1"/>
  <c r="VU134" i="1"/>
  <c r="WL134" i="1" s="1"/>
  <c r="VT134" i="1"/>
  <c r="WK134" i="1" s="1"/>
  <c r="VU112" i="1"/>
  <c r="WL112" i="1" s="1"/>
  <c r="VT112" i="1"/>
  <c r="WK112" i="1" s="1"/>
  <c r="VU55" i="1"/>
  <c r="WL55" i="1" s="1"/>
  <c r="VT55" i="1"/>
  <c r="WK55" i="1" s="1"/>
  <c r="VT70" i="1"/>
  <c r="WK70" i="1" s="1"/>
  <c r="VU70" i="1"/>
  <c r="WL70" i="1" s="1"/>
  <c r="VU83" i="1"/>
  <c r="WL83" i="1" s="1"/>
  <c r="VT83" i="1"/>
  <c r="WK83" i="1" s="1"/>
  <c r="VT257" i="1"/>
  <c r="WK257" i="1" s="1"/>
  <c r="VU257" i="1"/>
  <c r="WL257" i="1" s="1"/>
  <c r="VT9" i="1"/>
  <c r="WK9" i="1" s="1"/>
  <c r="VU9" i="1"/>
  <c r="WL9" i="1" s="1"/>
  <c r="VT12" i="1"/>
  <c r="WK12" i="1" s="1"/>
  <c r="VU12" i="1"/>
  <c r="WL12" i="1" s="1"/>
  <c r="VU19" i="1"/>
  <c r="WL19" i="1" s="1"/>
  <c r="VT19" i="1"/>
  <c r="WK19" i="1" s="1"/>
  <c r="VU23" i="1"/>
  <c r="WL23" i="1" s="1"/>
  <c r="VT23" i="1"/>
  <c r="WK23" i="1" s="1"/>
  <c r="VU28" i="1"/>
  <c r="WL28" i="1" s="1"/>
  <c r="VT28" i="1"/>
  <c r="WK28" i="1" s="1"/>
  <c r="VU37" i="1"/>
  <c r="WL37" i="1" s="1"/>
  <c r="VT37" i="1"/>
  <c r="WK37" i="1" s="1"/>
  <c r="VU41" i="1"/>
  <c r="WL41" i="1" s="1"/>
  <c r="VT41" i="1"/>
  <c r="WK41" i="1" s="1"/>
  <c r="VU47" i="1"/>
  <c r="WL47" i="1" s="1"/>
  <c r="VT47" i="1"/>
  <c r="WK47" i="1" s="1"/>
  <c r="VU51" i="1"/>
  <c r="WL51" i="1" s="1"/>
  <c r="VT51" i="1"/>
  <c r="WK51" i="1" s="1"/>
  <c r="VT103" i="1"/>
  <c r="WK103" i="1" s="1"/>
  <c r="VU103" i="1"/>
  <c r="WL103" i="1" s="1"/>
  <c r="VU105" i="1"/>
  <c r="WL105" i="1" s="1"/>
  <c r="VT105" i="1"/>
  <c r="WK105" i="1" s="1"/>
  <c r="VT109" i="1"/>
  <c r="WK109" i="1" s="1"/>
  <c r="VU109" i="1"/>
  <c r="WL109" i="1" s="1"/>
  <c r="VT114" i="1"/>
  <c r="WK114" i="1" s="1"/>
  <c r="VU114" i="1"/>
  <c r="WL114" i="1" s="1"/>
  <c r="VT120" i="1"/>
  <c r="WK120" i="1" s="1"/>
  <c r="VU120" i="1"/>
  <c r="WL120" i="1" s="1"/>
  <c r="VU150" i="1"/>
  <c r="WL150" i="1" s="1"/>
  <c r="VT150" i="1"/>
  <c r="WK150" i="1" s="1"/>
  <c r="VT154" i="1"/>
  <c r="WK154" i="1" s="1"/>
  <c r="VU154" i="1"/>
  <c r="WL154" i="1" s="1"/>
  <c r="VU159" i="1"/>
  <c r="WL159" i="1" s="1"/>
  <c r="VT159" i="1"/>
  <c r="WK159" i="1" s="1"/>
  <c r="VT167" i="1"/>
  <c r="WK167" i="1" s="1"/>
  <c r="VU167" i="1"/>
  <c r="WL167" i="1" s="1"/>
  <c r="VU176" i="1"/>
  <c r="WL176" i="1" s="1"/>
  <c r="VT176" i="1"/>
  <c r="WK176" i="1" s="1"/>
  <c r="VU178" i="1"/>
  <c r="WL178" i="1" s="1"/>
  <c r="VT178" i="1"/>
  <c r="WK178" i="1" s="1"/>
  <c r="VT184" i="1"/>
  <c r="WK184" i="1" s="1"/>
  <c r="VU184" i="1"/>
  <c r="WL184" i="1" s="1"/>
  <c r="VU181" i="1"/>
  <c r="WL181" i="1" s="1"/>
  <c r="VT181" i="1"/>
  <c r="WK181" i="1" s="1"/>
  <c r="VT188" i="1"/>
  <c r="WK188" i="1" s="1"/>
  <c r="VU188" i="1"/>
  <c r="WL188" i="1" s="1"/>
  <c r="VT191" i="1"/>
  <c r="WK191" i="1" s="1"/>
  <c r="VU191" i="1"/>
  <c r="WL191" i="1" s="1"/>
  <c r="VT196" i="1"/>
  <c r="WK196" i="1" s="1"/>
  <c r="VU196" i="1"/>
  <c r="WL196" i="1" s="1"/>
  <c r="VT205" i="1"/>
  <c r="WK205" i="1" s="1"/>
  <c r="VU205" i="1"/>
  <c r="WL205" i="1" s="1"/>
  <c r="VT209" i="1"/>
  <c r="WK209" i="1" s="1"/>
  <c r="VU209" i="1"/>
  <c r="WL209" i="1" s="1"/>
  <c r="VU216" i="1"/>
  <c r="WL216" i="1" s="1"/>
  <c r="VT216" i="1"/>
  <c r="WK216" i="1" s="1"/>
  <c r="VU220" i="1"/>
  <c r="WL220" i="1" s="1"/>
  <c r="VT220" i="1"/>
  <c r="WK220" i="1" s="1"/>
  <c r="VU243" i="1"/>
  <c r="WL243" i="1" s="1"/>
  <c r="VT243" i="1"/>
  <c r="WK243" i="1" s="1"/>
  <c r="VT251" i="1"/>
  <c r="WK251" i="1" s="1"/>
  <c r="VU251" i="1"/>
  <c r="WL251" i="1" s="1"/>
  <c r="VT250" i="1"/>
  <c r="WK250" i="1" s="1"/>
  <c r="VU250" i="1"/>
  <c r="WL250" i="1" s="1"/>
  <c r="VU263" i="1"/>
  <c r="WL263" i="1" s="1"/>
  <c r="VT263" i="1"/>
  <c r="WK263" i="1" s="1"/>
  <c r="VT268" i="1"/>
  <c r="WK268" i="1" s="1"/>
  <c r="VU268" i="1"/>
  <c r="WL268" i="1" s="1"/>
  <c r="VU34" i="1"/>
  <c r="WL34" i="1" s="1"/>
  <c r="VT34" i="1"/>
  <c r="WK34" i="1" s="1"/>
  <c r="VU31" i="1"/>
  <c r="WL31" i="1" s="1"/>
  <c r="VT31" i="1"/>
  <c r="WK31" i="1" s="1"/>
  <c r="VU202" i="1"/>
  <c r="WL202" i="1" s="1"/>
  <c r="VT202" i="1"/>
  <c r="WK202" i="1" s="1"/>
  <c r="VU232" i="1"/>
  <c r="WL232" i="1" s="1"/>
  <c r="VT232" i="1"/>
  <c r="WK232" i="1" s="1"/>
  <c r="VT249" i="1"/>
  <c r="WK249" i="1" s="1"/>
  <c r="VU249" i="1"/>
  <c r="WL249" i="1" s="1"/>
  <c r="VU238" i="1"/>
  <c r="WL238" i="1" s="1"/>
  <c r="VT238" i="1"/>
  <c r="WK238" i="1" s="1"/>
  <c r="VT235" i="1"/>
  <c r="WK235" i="1" s="1"/>
  <c r="VU235" i="1"/>
  <c r="WL235" i="1" s="1"/>
  <c r="VU127" i="1"/>
  <c r="WL127" i="1" s="1"/>
  <c r="VT127" i="1"/>
  <c r="WK127" i="1" s="1"/>
  <c r="VU142" i="1"/>
  <c r="WL142" i="1" s="1"/>
  <c r="VT142" i="1"/>
  <c r="WK142" i="1" s="1"/>
  <c r="VT130" i="1"/>
  <c r="WK130" i="1" s="1"/>
  <c r="VU130" i="1"/>
  <c r="WL130" i="1" s="1"/>
  <c r="VT146" i="1"/>
  <c r="WK146" i="1" s="1"/>
  <c r="VU146" i="1"/>
  <c r="WL146" i="1" s="1"/>
  <c r="VU97" i="1"/>
  <c r="WL97" i="1" s="1"/>
  <c r="VT97" i="1"/>
  <c r="WK97" i="1" s="1"/>
  <c r="VU132" i="1"/>
  <c r="WL132" i="1" s="1"/>
  <c r="VT132" i="1"/>
  <c r="WK132" i="1" s="1"/>
  <c r="VT213" i="1"/>
  <c r="WK213" i="1" s="1"/>
  <c r="VU213" i="1"/>
  <c r="WL213" i="1" s="1"/>
  <c r="VU80" i="1"/>
  <c r="WL80" i="1" s="1"/>
  <c r="VT80" i="1"/>
  <c r="WK80" i="1" s="1"/>
  <c r="VU65" i="1"/>
  <c r="WL65" i="1" s="1"/>
  <c r="VT65" i="1"/>
  <c r="WK65" i="1" s="1"/>
  <c r="VU136" i="1"/>
  <c r="WL136" i="1" s="1"/>
  <c r="VT136" i="1"/>
  <c r="WK136" i="1" s="1"/>
  <c r="VU204" i="1"/>
  <c r="WL204" i="1" s="1"/>
  <c r="VT204" i="1"/>
  <c r="WK204" i="1" s="1"/>
  <c r="VU57" i="1"/>
  <c r="WL57" i="1" s="1"/>
  <c r="VT57" i="1"/>
  <c r="WK57" i="1" s="1"/>
  <c r="VU61" i="1"/>
  <c r="WL61" i="1" s="1"/>
  <c r="VT61" i="1"/>
  <c r="WK61" i="1" s="1"/>
  <c r="VT66" i="1"/>
  <c r="WK66" i="1" s="1"/>
  <c r="VU66" i="1"/>
  <c r="WL66" i="1" s="1"/>
  <c r="VU71" i="1"/>
  <c r="WL71" i="1" s="1"/>
  <c r="VT71" i="1"/>
  <c r="WK71" i="1" s="1"/>
  <c r="VU75" i="1"/>
  <c r="WL75" i="1" s="1"/>
  <c r="VT75" i="1"/>
  <c r="WK75" i="1" s="1"/>
  <c r="VU81" i="1"/>
  <c r="WL81" i="1" s="1"/>
  <c r="VT81" i="1"/>
  <c r="WK81" i="1" s="1"/>
  <c r="VU85" i="1"/>
  <c r="WL85" i="1" s="1"/>
  <c r="VT85" i="1"/>
  <c r="WK85" i="1" s="1"/>
  <c r="VU92" i="1"/>
  <c r="WL92" i="1" s="1"/>
  <c r="VT92" i="1"/>
  <c r="WK92" i="1" s="1"/>
  <c r="VT94" i="1"/>
  <c r="WK94" i="1" s="1"/>
  <c r="VU94" i="1"/>
  <c r="WL94" i="1" s="1"/>
  <c r="VU222" i="1"/>
  <c r="WL222" i="1" s="1"/>
  <c r="VT222" i="1"/>
  <c r="WK222" i="1" s="1"/>
  <c r="VU258" i="1"/>
  <c r="WL258" i="1" s="1"/>
  <c r="VT258" i="1"/>
  <c r="WK258" i="1" s="1"/>
  <c r="VU240" i="1"/>
  <c r="WL240" i="1" s="1"/>
  <c r="VT240" i="1"/>
  <c r="WK240" i="1" s="1"/>
  <c r="VT21" i="1"/>
  <c r="WK21" i="1" s="1"/>
  <c r="VU21" i="1"/>
  <c r="WL21" i="1" s="1"/>
  <c r="VT40" i="1"/>
  <c r="WK40" i="1" s="1"/>
  <c r="VU40" i="1"/>
  <c r="WL40" i="1" s="1"/>
  <c r="VU49" i="1"/>
  <c r="WL49" i="1" s="1"/>
  <c r="VT49" i="1"/>
  <c r="WK49" i="1" s="1"/>
  <c r="VU107" i="1"/>
  <c r="WL107" i="1" s="1"/>
  <c r="VT107" i="1"/>
  <c r="WK107" i="1" s="1"/>
  <c r="VT113" i="1"/>
  <c r="WK113" i="1" s="1"/>
  <c r="VU113" i="1"/>
  <c r="WL113" i="1" s="1"/>
  <c r="VU157" i="1"/>
  <c r="WL157" i="1" s="1"/>
  <c r="VT157" i="1"/>
  <c r="WK157" i="1" s="1"/>
  <c r="VU170" i="1"/>
  <c r="WL170" i="1" s="1"/>
  <c r="VT170" i="1"/>
  <c r="WK170" i="1" s="1"/>
  <c r="VU186" i="1"/>
  <c r="WL186" i="1" s="1"/>
  <c r="VT186" i="1"/>
  <c r="WK186" i="1" s="1"/>
  <c r="VT198" i="1"/>
  <c r="WK198" i="1" s="1"/>
  <c r="VU198" i="1"/>
  <c r="WL198" i="1" s="1"/>
  <c r="VU211" i="1"/>
  <c r="WL211" i="1" s="1"/>
  <c r="VT211" i="1"/>
  <c r="WK211" i="1" s="1"/>
  <c r="VU255" i="1"/>
  <c r="WL255" i="1" s="1"/>
  <c r="VT255" i="1"/>
  <c r="WK255" i="1" s="1"/>
  <c r="VU271" i="1"/>
  <c r="WL271" i="1" s="1"/>
  <c r="VT271" i="1"/>
  <c r="WK271" i="1" s="1"/>
  <c r="VT122" i="1"/>
  <c r="WK122" i="1" s="1"/>
  <c r="VU122" i="1"/>
  <c r="WL122" i="1" s="1"/>
  <c r="VT124" i="1"/>
  <c r="WK124" i="1" s="1"/>
  <c r="VU124" i="1"/>
  <c r="WL124" i="1" s="1"/>
  <c r="VU129" i="1"/>
  <c r="WL129" i="1" s="1"/>
  <c r="VT129" i="1"/>
  <c r="WK129" i="1" s="1"/>
  <c r="VU96" i="1"/>
  <c r="WL96" i="1" s="1"/>
  <c r="VT96" i="1"/>
  <c r="WK96" i="1" s="1"/>
  <c r="VU99" i="1"/>
  <c r="WL99" i="1" s="1"/>
  <c r="VT99" i="1"/>
  <c r="WK99" i="1" s="1"/>
  <c r="VU139" i="1"/>
  <c r="WL139" i="1" s="1"/>
  <c r="VT139" i="1"/>
  <c r="WK139" i="1" s="1"/>
  <c r="VU59" i="1"/>
  <c r="WL59" i="1" s="1"/>
  <c r="VT59" i="1"/>
  <c r="WK59" i="1" s="1"/>
  <c r="VT72" i="1"/>
  <c r="WK72" i="1" s="1"/>
  <c r="VU72" i="1"/>
  <c r="WL72" i="1" s="1"/>
  <c r="VT88" i="1"/>
  <c r="WK88" i="1" s="1"/>
  <c r="VU88" i="1"/>
  <c r="WL88" i="1" s="1"/>
  <c r="VT223" i="1"/>
  <c r="WK223" i="1" s="1"/>
  <c r="VU223" i="1"/>
  <c r="WL223" i="1" s="1"/>
  <c r="VT68" i="1"/>
  <c r="WK68" i="1" s="1"/>
  <c r="VU68" i="1"/>
  <c r="WL68" i="1" s="1"/>
  <c r="VU8" i="1"/>
  <c r="WL8" i="1" s="1"/>
  <c r="VT8" i="1"/>
  <c r="WK8" i="1" s="1"/>
  <c r="VU13" i="1"/>
  <c r="WL13" i="1" s="1"/>
  <c r="VT13" i="1"/>
  <c r="WK13" i="1" s="1"/>
  <c r="VU20" i="1"/>
  <c r="WL20" i="1" s="1"/>
  <c r="VT20" i="1"/>
  <c r="WK20" i="1" s="1"/>
  <c r="VU24" i="1"/>
  <c r="WL24" i="1" s="1"/>
  <c r="VT24" i="1"/>
  <c r="WK24" i="1" s="1"/>
  <c r="VU26" i="1"/>
  <c r="WL26" i="1" s="1"/>
  <c r="VT26" i="1"/>
  <c r="WK26" i="1" s="1"/>
  <c r="VU39" i="1"/>
  <c r="WL39" i="1" s="1"/>
  <c r="VT39" i="1"/>
  <c r="WK39" i="1" s="1"/>
  <c r="VU43" i="1"/>
  <c r="WL43" i="1" s="1"/>
  <c r="VT43" i="1"/>
  <c r="WK43" i="1" s="1"/>
  <c r="VU48" i="1"/>
  <c r="WL48" i="1" s="1"/>
  <c r="VT48" i="1"/>
  <c r="WK48" i="1" s="1"/>
  <c r="VT52" i="1"/>
  <c r="WK52" i="1" s="1"/>
  <c r="VU52" i="1"/>
  <c r="WL52" i="1" s="1"/>
  <c r="VU106" i="1"/>
  <c r="WL106" i="1" s="1"/>
  <c r="VT106" i="1"/>
  <c r="WK106" i="1" s="1"/>
  <c r="VT102" i="1"/>
  <c r="WK102" i="1" s="1"/>
  <c r="VU102" i="1"/>
  <c r="WL102" i="1" s="1"/>
  <c r="VU110" i="1"/>
  <c r="WL110" i="1" s="1"/>
  <c r="VT110" i="1"/>
  <c r="WK110" i="1" s="1"/>
  <c r="VT117" i="1"/>
  <c r="WK117" i="1" s="1"/>
  <c r="VU117" i="1"/>
  <c r="WL117" i="1" s="1"/>
  <c r="VU119" i="1"/>
  <c r="WL119" i="1" s="1"/>
  <c r="VT119" i="1"/>
  <c r="WK119" i="1" s="1"/>
  <c r="VU152" i="1"/>
  <c r="WL152" i="1" s="1"/>
  <c r="VT152" i="1"/>
  <c r="WK152" i="1" s="1"/>
  <c r="VU156" i="1"/>
  <c r="WL156" i="1" s="1"/>
  <c r="VT156" i="1"/>
  <c r="WK156" i="1" s="1"/>
  <c r="VU160" i="1"/>
  <c r="WL160" i="1" s="1"/>
  <c r="VT160" i="1"/>
  <c r="WK160" i="1" s="1"/>
  <c r="VT165" i="1"/>
  <c r="WK165" i="1" s="1"/>
  <c r="VU165" i="1"/>
  <c r="WL165" i="1" s="1"/>
  <c r="VU168" i="1"/>
  <c r="WL168" i="1" s="1"/>
  <c r="VT168" i="1"/>
  <c r="WK168" i="1" s="1"/>
  <c r="VT171" i="1"/>
  <c r="WK171" i="1" s="1"/>
  <c r="VU171" i="1"/>
  <c r="WL171" i="1" s="1"/>
  <c r="VT179" i="1"/>
  <c r="WK179" i="1" s="1"/>
  <c r="VU179" i="1"/>
  <c r="WL179" i="1" s="1"/>
  <c r="VU180" i="1"/>
  <c r="WL180" i="1" s="1"/>
  <c r="VT180" i="1"/>
  <c r="WK180" i="1" s="1"/>
  <c r="VU185" i="1"/>
  <c r="WL185" i="1" s="1"/>
  <c r="VT185" i="1"/>
  <c r="WK185" i="1" s="1"/>
  <c r="VU189" i="1"/>
  <c r="WL189" i="1" s="1"/>
  <c r="VT189" i="1"/>
  <c r="WK189" i="1" s="1"/>
  <c r="VU190" i="1"/>
  <c r="WL190" i="1" s="1"/>
  <c r="VT190" i="1"/>
  <c r="WK190" i="1" s="1"/>
  <c r="VT197" i="1"/>
  <c r="WK197" i="1" s="1"/>
  <c r="VU197" i="1"/>
  <c r="WL197" i="1" s="1"/>
  <c r="VT206" i="1"/>
  <c r="WK206" i="1" s="1"/>
  <c r="VU206" i="1"/>
  <c r="WL206" i="1" s="1"/>
  <c r="VU210" i="1"/>
  <c r="WL210" i="1" s="1"/>
  <c r="VT210" i="1"/>
  <c r="WK210" i="1" s="1"/>
  <c r="VU218" i="1"/>
  <c r="WL218" i="1" s="1"/>
  <c r="VT218" i="1"/>
  <c r="WK218" i="1" s="1"/>
  <c r="VT221" i="1"/>
  <c r="WK221" i="1" s="1"/>
  <c r="VU221" i="1"/>
  <c r="WL221" i="1" s="1"/>
  <c r="VU244" i="1"/>
  <c r="WL244" i="1" s="1"/>
  <c r="VT244" i="1"/>
  <c r="WK244" i="1" s="1"/>
  <c r="VU254" i="1"/>
  <c r="WL254" i="1" s="1"/>
  <c r="VT254" i="1"/>
  <c r="WK254" i="1" s="1"/>
  <c r="VT253" i="1"/>
  <c r="WK253" i="1" s="1"/>
  <c r="VU253" i="1"/>
  <c r="WL253" i="1" s="1"/>
  <c r="VT266" i="1"/>
  <c r="WK266" i="1" s="1"/>
  <c r="VU266" i="1"/>
  <c r="WL266" i="1" s="1"/>
  <c r="VT270" i="1"/>
  <c r="WK270" i="1" s="1"/>
  <c r="VU270" i="1"/>
  <c r="WL270" i="1" s="1"/>
  <c r="VU30" i="1"/>
  <c r="WL30" i="1" s="1"/>
  <c r="VT30" i="1"/>
  <c r="WK30" i="1" s="1"/>
  <c r="VU121" i="1"/>
  <c r="WL121" i="1" s="1"/>
  <c r="VT121" i="1"/>
  <c r="WK121" i="1" s="1"/>
  <c r="VT201" i="1"/>
  <c r="WK201" i="1" s="1"/>
  <c r="VU201" i="1"/>
  <c r="WL201" i="1" s="1"/>
  <c r="VU230" i="1"/>
  <c r="WL230" i="1" s="1"/>
  <c r="VT230" i="1"/>
  <c r="WK230" i="1" s="1"/>
  <c r="VU248" i="1"/>
  <c r="WL248" i="1" s="1"/>
  <c r="VT248" i="1"/>
  <c r="WK248" i="1" s="1"/>
  <c r="VU234" i="1"/>
  <c r="WL234" i="1" s="1"/>
  <c r="VT234" i="1"/>
  <c r="WK234" i="1" s="1"/>
  <c r="VU125" i="1"/>
  <c r="WL125" i="1" s="1"/>
  <c r="VT125" i="1"/>
  <c r="WK125" i="1" s="1"/>
  <c r="VU128" i="1"/>
  <c r="WL128" i="1" s="1"/>
  <c r="VT128" i="1"/>
  <c r="WK128" i="1" s="1"/>
  <c r="VU141" i="1"/>
  <c r="WL141" i="1" s="1"/>
  <c r="VT141" i="1"/>
  <c r="WK141" i="1" s="1"/>
  <c r="VU147" i="1"/>
  <c r="WL147" i="1" s="1"/>
  <c r="VT147" i="1"/>
  <c r="WK147" i="1" s="1"/>
  <c r="VT98" i="1"/>
  <c r="WK98" i="1" s="1"/>
  <c r="VU98" i="1"/>
  <c r="WL98" i="1" s="1"/>
  <c r="VU131" i="1"/>
  <c r="WL131" i="1" s="1"/>
  <c r="VT131" i="1"/>
  <c r="WK131" i="1" s="1"/>
  <c r="VU133" i="1"/>
  <c r="WL133" i="1" s="1"/>
  <c r="VT133" i="1"/>
  <c r="WK133" i="1" s="1"/>
  <c r="VU212" i="1"/>
  <c r="WL212" i="1" s="1"/>
  <c r="VT212" i="1"/>
  <c r="WK212" i="1" s="1"/>
  <c r="VU151" i="1"/>
  <c r="WL151" i="1" s="1"/>
  <c r="VT151" i="1"/>
  <c r="WK151" i="1" s="1"/>
  <c r="VU111" i="1"/>
  <c r="WL111" i="1" s="1"/>
  <c r="VT111" i="1"/>
  <c r="WK111" i="1" s="1"/>
  <c r="VU138" i="1"/>
  <c r="WL138" i="1" s="1"/>
  <c r="VT138" i="1"/>
  <c r="WK138" i="1" s="1"/>
  <c r="VU14" i="1"/>
  <c r="WL14" i="1" s="1"/>
  <c r="VT14" i="1"/>
  <c r="WK14" i="1" s="1"/>
  <c r="VU54" i="1"/>
  <c r="WL54" i="1" s="1"/>
  <c r="VT54" i="1"/>
  <c r="WK54" i="1" s="1"/>
  <c r="VU58" i="1"/>
  <c r="WL58" i="1" s="1"/>
  <c r="VT58" i="1"/>
  <c r="WK58" i="1" s="1"/>
  <c r="VT62" i="1"/>
  <c r="WK62" i="1" s="1"/>
  <c r="VU62" i="1"/>
  <c r="WL62" i="1" s="1"/>
  <c r="VT67" i="1"/>
  <c r="WK67" i="1" s="1"/>
  <c r="VU67" i="1"/>
  <c r="WL67" i="1" s="1"/>
  <c r="VU73" i="1"/>
  <c r="WL73" i="1" s="1"/>
  <c r="VT73" i="1"/>
  <c r="WK73" i="1" s="1"/>
  <c r="VT74" i="1"/>
  <c r="WK74" i="1" s="1"/>
  <c r="VU74" i="1"/>
  <c r="WL74" i="1" s="1"/>
  <c r="VT82" i="1"/>
  <c r="WK82" i="1" s="1"/>
  <c r="VU82" i="1"/>
  <c r="WL82" i="1" s="1"/>
  <c r="VT86" i="1"/>
  <c r="WK86" i="1" s="1"/>
  <c r="VU86" i="1"/>
  <c r="WL86" i="1" s="1"/>
  <c r="VT90" i="1"/>
  <c r="WK90" i="1" s="1"/>
  <c r="VU90" i="1"/>
  <c r="WL90" i="1" s="1"/>
  <c r="VT93" i="1"/>
  <c r="WK93" i="1" s="1"/>
  <c r="VU93" i="1"/>
  <c r="WL93" i="1" s="1"/>
  <c r="VU224" i="1"/>
  <c r="WL224" i="1" s="1"/>
  <c r="VT224" i="1"/>
  <c r="WK224" i="1" s="1"/>
  <c r="VU265" i="1"/>
  <c r="WL265" i="1" s="1"/>
  <c r="VT265" i="1"/>
  <c r="WK265" i="1" s="1"/>
  <c r="JN44" i="31"/>
  <c r="JL52" i="31"/>
  <c r="JM78" i="31"/>
  <c r="JN79" i="31"/>
  <c r="JO81" i="31"/>
  <c r="JM124" i="31"/>
  <c r="JN125" i="31"/>
  <c r="JL127" i="31"/>
  <c r="JO127" i="31"/>
  <c r="JM128" i="31"/>
  <c r="E138" i="29"/>
  <c r="E142" i="31" s="1"/>
  <c r="E139" i="31"/>
  <c r="I138" i="29"/>
  <c r="I142" i="31" s="1"/>
  <c r="I139" i="31"/>
  <c r="M138" i="29"/>
  <c r="M142" i="31" s="1"/>
  <c r="M139" i="31"/>
  <c r="Q138" i="29"/>
  <c r="Q142" i="31" s="1"/>
  <c r="Q139" i="31"/>
  <c r="U138" i="29"/>
  <c r="U142" i="31" s="1"/>
  <c r="U139" i="31"/>
  <c r="Y138" i="29"/>
  <c r="Y142" i="31" s="1"/>
  <c r="Y139" i="31"/>
  <c r="AD138" i="29"/>
  <c r="AD142" i="31" s="1"/>
  <c r="AD139" i="31"/>
  <c r="AH138" i="29"/>
  <c r="AH142" i="31" s="1"/>
  <c r="AH139" i="31"/>
  <c r="AL138" i="29"/>
  <c r="AL142" i="31" s="1"/>
  <c r="AL139" i="31"/>
  <c r="AP138" i="29"/>
  <c r="AP142" i="31" s="1"/>
  <c r="AP139" i="31"/>
  <c r="AT138" i="29"/>
  <c r="AT142" i="31" s="1"/>
  <c r="AT139" i="31"/>
  <c r="AX138" i="29"/>
  <c r="AX142" i="31" s="1"/>
  <c r="AX139" i="31"/>
  <c r="BB138" i="29"/>
  <c r="BB142" i="31" s="1"/>
  <c r="BB139" i="31"/>
  <c r="BF138" i="29"/>
  <c r="BF142" i="31" s="1"/>
  <c r="BF139" i="31"/>
  <c r="BJ138" i="29"/>
  <c r="BJ142" i="31" s="1"/>
  <c r="BJ139" i="31"/>
  <c r="BN138" i="29"/>
  <c r="BN142" i="31" s="1"/>
  <c r="BN139" i="31"/>
  <c r="BR138" i="29"/>
  <c r="BR142" i="31" s="1"/>
  <c r="BR139" i="31"/>
  <c r="BV138" i="29"/>
  <c r="BV142" i="31" s="1"/>
  <c r="BV139" i="31"/>
  <c r="BZ138" i="29"/>
  <c r="BZ142" i="31" s="1"/>
  <c r="BZ139" i="31"/>
  <c r="CD138" i="29"/>
  <c r="CD142" i="31" s="1"/>
  <c r="CD139" i="31"/>
  <c r="CH138" i="29"/>
  <c r="CH142" i="31" s="1"/>
  <c r="CH139" i="31"/>
  <c r="CL138" i="29"/>
  <c r="CL142" i="31" s="1"/>
  <c r="CL139" i="31"/>
  <c r="CP138" i="29"/>
  <c r="CP142" i="31" s="1"/>
  <c r="CP139" i="31"/>
  <c r="CT138" i="29"/>
  <c r="CT142" i="31" s="1"/>
  <c r="CT139" i="31"/>
  <c r="CX138" i="29"/>
  <c r="CX142" i="31" s="1"/>
  <c r="CX139" i="31"/>
  <c r="DB138" i="29"/>
  <c r="DB142" i="31" s="1"/>
  <c r="DB139" i="31"/>
  <c r="DF138" i="29"/>
  <c r="DF142" i="31" s="1"/>
  <c r="DF139" i="31"/>
  <c r="DJ138" i="29"/>
  <c r="DJ142" i="31" s="1"/>
  <c r="DJ139" i="31"/>
  <c r="DN138" i="29"/>
  <c r="DN142" i="31" s="1"/>
  <c r="DN139" i="31"/>
  <c r="DR138" i="29"/>
  <c r="DR142" i="31" s="1"/>
  <c r="DR139" i="31"/>
  <c r="DV138" i="29"/>
  <c r="DV142" i="31" s="1"/>
  <c r="DV139" i="31"/>
  <c r="DZ138" i="29"/>
  <c r="DZ142" i="31" s="1"/>
  <c r="DZ139" i="31"/>
  <c r="ED138" i="29"/>
  <c r="ED142" i="31" s="1"/>
  <c r="ED139" i="31"/>
  <c r="EH138" i="29"/>
  <c r="EH142" i="31" s="1"/>
  <c r="EH139" i="31"/>
  <c r="CW16" i="29"/>
  <c r="CW16" i="31" s="1"/>
  <c r="CW10" i="31"/>
  <c r="JB48" i="29"/>
  <c r="JB52" i="31" s="1"/>
  <c r="JB44" i="31"/>
  <c r="ET16" i="29"/>
  <c r="ET16" i="31" s="1"/>
  <c r="ET10" i="31"/>
  <c r="FR16" i="29"/>
  <c r="FR16" i="31" s="1"/>
  <c r="FR10" i="31"/>
  <c r="JM41" i="31"/>
  <c r="JC48" i="29"/>
  <c r="JC52" i="31" s="1"/>
  <c r="JC44" i="31"/>
  <c r="JN51" i="31"/>
  <c r="JO78" i="31"/>
  <c r="JM79" i="31"/>
  <c r="JL124" i="31"/>
  <c r="JO124" i="31"/>
  <c r="JM125" i="31"/>
  <c r="JN126" i="31"/>
  <c r="JL128" i="31"/>
  <c r="JO128" i="31"/>
  <c r="CS16" i="29"/>
  <c r="CS16" i="31" s="1"/>
  <c r="CS10" i="31"/>
  <c r="DG16" i="29"/>
  <c r="DG16" i="31" s="1"/>
  <c r="DG10" i="31"/>
  <c r="DW16" i="29"/>
  <c r="DW16" i="31" s="1"/>
  <c r="DW10" i="31"/>
  <c r="EU16" i="29"/>
  <c r="EU16" i="31" s="1"/>
  <c r="EU10" i="31"/>
  <c r="JI37" i="29"/>
  <c r="JI41" i="31" s="1"/>
  <c r="C41" i="31"/>
  <c r="JL41" i="31" s="1"/>
  <c r="GZ54" i="29"/>
  <c r="GZ41" i="31"/>
  <c r="JO41" i="31"/>
  <c r="JO43" i="31"/>
  <c r="JM44" i="31"/>
  <c r="JD48" i="29"/>
  <c r="JD52" i="31" s="1"/>
  <c r="JD44" i="31"/>
  <c r="JH48" i="29"/>
  <c r="JH52" i="31" s="1"/>
  <c r="JH44" i="31"/>
  <c r="JM51" i="31"/>
  <c r="JN52" i="31"/>
  <c r="JI74" i="29"/>
  <c r="JI78" i="31" s="1"/>
  <c r="D78" i="31"/>
  <c r="JL78" i="31" s="1"/>
  <c r="JL79" i="31"/>
  <c r="JO79" i="31"/>
  <c r="JL125" i="31"/>
  <c r="JO125" i="31"/>
  <c r="JM126" i="31"/>
  <c r="JN127" i="31"/>
  <c r="H16" i="29"/>
  <c r="H16" i="31" s="1"/>
  <c r="H10" i="31"/>
  <c r="IG16" i="29"/>
  <c r="IG16" i="31" s="1"/>
  <c r="IG10" i="31"/>
  <c r="JO10" i="31" s="1"/>
  <c r="ET54" i="29"/>
  <c r="ET41" i="31"/>
  <c r="FR54" i="29"/>
  <c r="FR41" i="31"/>
  <c r="CA16" i="29"/>
  <c r="CA16" i="31" s="1"/>
  <c r="CA10" i="31"/>
  <c r="DS16" i="29"/>
  <c r="DS16" i="31" s="1"/>
  <c r="DS10" i="31"/>
  <c r="JI10" i="29"/>
  <c r="JI10" i="31" s="1"/>
  <c r="C10" i="31"/>
  <c r="JL10" i="31" s="1"/>
  <c r="BL16" i="29"/>
  <c r="BL16" i="31" s="1"/>
  <c r="BL10" i="31"/>
  <c r="CR16" i="29"/>
  <c r="CR16" i="31" s="1"/>
  <c r="CR10" i="31"/>
  <c r="GV16" i="29"/>
  <c r="GV16" i="31" s="1"/>
  <c r="GV10" i="31"/>
  <c r="GZ16" i="29"/>
  <c r="GZ16" i="31" s="1"/>
  <c r="GZ10" i="31"/>
  <c r="JL44" i="31"/>
  <c r="JA48" i="29"/>
  <c r="JA52" i="31" s="1"/>
  <c r="JA44" i="31"/>
  <c r="JL51" i="31"/>
  <c r="JO51" i="31"/>
  <c r="JM52" i="31"/>
  <c r="JN78" i="31"/>
  <c r="JN124" i="31"/>
  <c r="JL126" i="31"/>
  <c r="JO126" i="31"/>
  <c r="JM127" i="31"/>
  <c r="JN128" i="31"/>
  <c r="EC138" i="29"/>
  <c r="EC142" i="31" s="1"/>
  <c r="EC139" i="31"/>
  <c r="EG138" i="29"/>
  <c r="EG142" i="31" s="1"/>
  <c r="EG139" i="31"/>
  <c r="EK138" i="29"/>
  <c r="EK142" i="31" s="1"/>
  <c r="EK139" i="31"/>
  <c r="EO138" i="29"/>
  <c r="EO142" i="31" s="1"/>
  <c r="EO139" i="31"/>
  <c r="ES138" i="29"/>
  <c r="ES142" i="31" s="1"/>
  <c r="ES139" i="31"/>
  <c r="EW138" i="29"/>
  <c r="EW142" i="31" s="1"/>
  <c r="EW139" i="31"/>
  <c r="FA138" i="29"/>
  <c r="FA142" i="31" s="1"/>
  <c r="FA139" i="31"/>
  <c r="FE138" i="29"/>
  <c r="FE142" i="31" s="1"/>
  <c r="FE139" i="31"/>
  <c r="FM138" i="29"/>
  <c r="FM142" i="31" s="1"/>
  <c r="FM139" i="31"/>
  <c r="FQ138" i="29"/>
  <c r="FQ142" i="31" s="1"/>
  <c r="FQ139" i="31"/>
  <c r="FU138" i="29"/>
  <c r="FU142" i="31" s="1"/>
  <c r="FU139" i="31"/>
  <c r="FY138" i="29"/>
  <c r="FY142" i="31" s="1"/>
  <c r="FY139" i="31"/>
  <c r="GC138" i="29"/>
  <c r="GC142" i="31" s="1"/>
  <c r="GC139" i="31"/>
  <c r="GG138" i="29"/>
  <c r="GG142" i="31" s="1"/>
  <c r="GG139" i="31"/>
  <c r="GK138" i="29"/>
  <c r="GK142" i="31" s="1"/>
  <c r="GK139" i="31"/>
  <c r="GO138" i="29"/>
  <c r="GO142" i="31" s="1"/>
  <c r="GO139" i="31"/>
  <c r="GS138" i="29"/>
  <c r="GS142" i="31" s="1"/>
  <c r="GS139" i="31"/>
  <c r="GW138" i="29"/>
  <c r="GW142" i="31" s="1"/>
  <c r="GW139" i="31"/>
  <c r="HA138" i="29"/>
  <c r="HA142" i="31" s="1"/>
  <c r="HA139" i="31"/>
  <c r="HE138" i="29"/>
  <c r="HE142" i="31" s="1"/>
  <c r="HE139" i="31"/>
  <c r="HI138" i="29"/>
  <c r="HI142" i="31" s="1"/>
  <c r="HI139" i="31"/>
  <c r="HM138" i="29"/>
  <c r="HM142" i="31" s="1"/>
  <c r="HM139" i="31"/>
  <c r="HQ138" i="29"/>
  <c r="HQ142" i="31" s="1"/>
  <c r="HQ139" i="31"/>
  <c r="HU138" i="29"/>
  <c r="HU142" i="31" s="1"/>
  <c r="HU139" i="31"/>
  <c r="HY138" i="29"/>
  <c r="HY142" i="31" s="1"/>
  <c r="HY139" i="31"/>
  <c r="IC138" i="29"/>
  <c r="IC142" i="31" s="1"/>
  <c r="IC139" i="31"/>
  <c r="IG138" i="29"/>
  <c r="IG142" i="31" s="1"/>
  <c r="IG139" i="31"/>
  <c r="IK138" i="29"/>
  <c r="IK142" i="31" s="1"/>
  <c r="IK139" i="31"/>
  <c r="IO138" i="29"/>
  <c r="IO142" i="31" s="1"/>
  <c r="IO139" i="31"/>
  <c r="IS138" i="29"/>
  <c r="IS142" i="31" s="1"/>
  <c r="IS139" i="31"/>
  <c r="IW138" i="29"/>
  <c r="IW142" i="31" s="1"/>
  <c r="IW139" i="31"/>
  <c r="JA138" i="29"/>
  <c r="JA142" i="31" s="1"/>
  <c r="JA139" i="31"/>
  <c r="JE138" i="29"/>
  <c r="JE142" i="31" s="1"/>
  <c r="JE139" i="31"/>
  <c r="CX17" i="29"/>
  <c r="CX17" i="31" s="1"/>
  <c r="BL42" i="29"/>
  <c r="BL46" i="31" s="1"/>
  <c r="FR42" i="29"/>
  <c r="GZ42" i="29"/>
  <c r="CA42" i="29"/>
  <c r="CA46" i="31" s="1"/>
  <c r="IK54" i="29"/>
  <c r="HO54" i="29"/>
  <c r="C176" i="29"/>
  <c r="G176" i="29"/>
  <c r="K39" i="29"/>
  <c r="K43" i="31" s="1"/>
  <c r="K176" i="29"/>
  <c r="O176" i="29"/>
  <c r="S176" i="29"/>
  <c r="W176" i="29"/>
  <c r="AA176" i="29"/>
  <c r="AF176" i="29"/>
  <c r="AJ176" i="29"/>
  <c r="AN39" i="29"/>
  <c r="AN43" i="31" s="1"/>
  <c r="AN176" i="29"/>
  <c r="AR176" i="29"/>
  <c r="AV176" i="29"/>
  <c r="AZ176" i="29"/>
  <c r="BD176" i="29"/>
  <c r="BH176" i="29"/>
  <c r="BL176" i="29"/>
  <c r="BL39" i="29"/>
  <c r="BP176" i="29"/>
  <c r="BT176" i="29"/>
  <c r="BT39" i="29"/>
  <c r="BT43" i="31" s="1"/>
  <c r="BX176" i="29"/>
  <c r="CB176" i="29"/>
  <c r="CF176" i="29"/>
  <c r="CF39" i="29"/>
  <c r="CF43" i="31" s="1"/>
  <c r="CJ176" i="29"/>
  <c r="CN176" i="29"/>
  <c r="CN39" i="29"/>
  <c r="CN43" i="31" s="1"/>
  <c r="CR176" i="29"/>
  <c r="CV176" i="29"/>
  <c r="CZ176" i="29"/>
  <c r="DD176" i="29"/>
  <c r="DH176" i="29"/>
  <c r="DL176" i="29"/>
  <c r="DP176" i="29"/>
  <c r="DT176" i="29"/>
  <c r="DX176" i="29"/>
  <c r="EB176" i="29"/>
  <c r="EB39" i="29"/>
  <c r="EB43" i="31" s="1"/>
  <c r="EF176" i="29"/>
  <c r="EJ176" i="29"/>
  <c r="EN176" i="29"/>
  <c r="ER176" i="29"/>
  <c r="D176" i="29"/>
  <c r="H39" i="29"/>
  <c r="H43" i="31" s="1"/>
  <c r="H176" i="29"/>
  <c r="L176" i="29"/>
  <c r="P176" i="29"/>
  <c r="T176" i="29"/>
  <c r="X176" i="29"/>
  <c r="AB176" i="29"/>
  <c r="AG176" i="29"/>
  <c r="AK176" i="29"/>
  <c r="AO176" i="29"/>
  <c r="AS176" i="29"/>
  <c r="AW176" i="29"/>
  <c r="BA176" i="29"/>
  <c r="BE39" i="29"/>
  <c r="BE43" i="31" s="1"/>
  <c r="BE176" i="29"/>
  <c r="BI176" i="29"/>
  <c r="BM176" i="29"/>
  <c r="BQ176" i="29"/>
  <c r="BU176" i="29"/>
  <c r="BY176" i="29"/>
  <c r="CC176" i="29"/>
  <c r="CG176" i="29"/>
  <c r="CK176" i="29"/>
  <c r="CO39" i="29"/>
  <c r="CO43" i="31" s="1"/>
  <c r="CO176" i="29"/>
  <c r="CS39" i="29"/>
  <c r="CS176" i="29"/>
  <c r="CW176" i="29"/>
  <c r="DA39" i="29"/>
  <c r="DA43" i="31" s="1"/>
  <c r="DA176" i="29"/>
  <c r="DE176" i="29"/>
  <c r="DI176" i="29"/>
  <c r="DM176" i="29"/>
  <c r="DQ176" i="29"/>
  <c r="DU176" i="29"/>
  <c r="DY39" i="29"/>
  <c r="DY43" i="31" s="1"/>
  <c r="DY176" i="29"/>
  <c r="EC176" i="29"/>
  <c r="EG176" i="29"/>
  <c r="EK176" i="29"/>
  <c r="EO176" i="29"/>
  <c r="ES176" i="29"/>
  <c r="E176" i="29"/>
  <c r="I39" i="29"/>
  <c r="I43" i="31" s="1"/>
  <c r="I176" i="29"/>
  <c r="M176" i="29"/>
  <c r="Q176" i="29"/>
  <c r="U176" i="29"/>
  <c r="Y176" i="29"/>
  <c r="AD39" i="29"/>
  <c r="AD43" i="31" s="1"/>
  <c r="AD176" i="29"/>
  <c r="AH176" i="29"/>
  <c r="AL176" i="29"/>
  <c r="AP39" i="29"/>
  <c r="AP43" i="31" s="1"/>
  <c r="AP176" i="29"/>
  <c r="AT176" i="29"/>
  <c r="AX176" i="29"/>
  <c r="BB176" i="29"/>
  <c r="BF176" i="29"/>
  <c r="BJ176" i="29"/>
  <c r="BN39" i="29"/>
  <c r="BN43" i="31" s="1"/>
  <c r="BN176" i="29"/>
  <c r="BR39" i="29"/>
  <c r="BR43" i="31" s="1"/>
  <c r="BR176" i="29"/>
  <c r="BV176" i="29"/>
  <c r="BZ176" i="29"/>
  <c r="CD176" i="29"/>
  <c r="CH39" i="29"/>
  <c r="CH43" i="31" s="1"/>
  <c r="CH176" i="29"/>
  <c r="CL176" i="29"/>
  <c r="CP39" i="29"/>
  <c r="CP43" i="31" s="1"/>
  <c r="CP176" i="29"/>
  <c r="CT176" i="29"/>
  <c r="CX176" i="29"/>
  <c r="DB176" i="29"/>
  <c r="DF176" i="29"/>
  <c r="DJ176" i="29"/>
  <c r="DN176" i="29"/>
  <c r="DR176" i="29"/>
  <c r="DV176" i="29"/>
  <c r="DZ39" i="29"/>
  <c r="DZ43" i="31" s="1"/>
  <c r="DZ176" i="29"/>
  <c r="ED176" i="29"/>
  <c r="EH176" i="29"/>
  <c r="EL176" i="29"/>
  <c r="EP176" i="29"/>
  <c r="F176" i="29"/>
  <c r="J176" i="29"/>
  <c r="N176" i="29"/>
  <c r="R176" i="29"/>
  <c r="V176" i="29"/>
  <c r="Z176" i="29"/>
  <c r="AE176" i="29"/>
  <c r="AI176" i="29"/>
  <c r="AM176" i="29"/>
  <c r="AQ176" i="29"/>
  <c r="AU176" i="29"/>
  <c r="AY176" i="29"/>
  <c r="BC176" i="29"/>
  <c r="BG176" i="29"/>
  <c r="BK39" i="29"/>
  <c r="BK176" i="29"/>
  <c r="BO39" i="29"/>
  <c r="BO43" i="31" s="1"/>
  <c r="BO176" i="29"/>
  <c r="BS176" i="29"/>
  <c r="BS39" i="29"/>
  <c r="BS43" i="31" s="1"/>
  <c r="BW176" i="29"/>
  <c r="CA39" i="29"/>
  <c r="CA176" i="29"/>
  <c r="CE176" i="29"/>
  <c r="CI176" i="29"/>
  <c r="CM39" i="29"/>
  <c r="CM43" i="31" s="1"/>
  <c r="CM176" i="29"/>
  <c r="CQ39" i="29"/>
  <c r="CQ43" i="31" s="1"/>
  <c r="CQ176" i="29"/>
  <c r="CU176" i="29"/>
  <c r="CY176" i="29"/>
  <c r="DC176" i="29"/>
  <c r="DG39" i="29"/>
  <c r="DG43" i="31" s="1"/>
  <c r="DG176" i="29"/>
  <c r="DK176" i="29"/>
  <c r="DO176" i="29"/>
  <c r="DS176" i="29"/>
  <c r="DW176" i="29"/>
  <c r="EA176" i="29"/>
  <c r="EE176" i="29"/>
  <c r="EI176" i="29"/>
  <c r="EM176" i="29"/>
  <c r="EQ176" i="29"/>
  <c r="D138" i="29"/>
  <c r="D142" i="31" s="1"/>
  <c r="H138" i="29"/>
  <c r="H142" i="31" s="1"/>
  <c r="L138" i="29"/>
  <c r="L142" i="31" s="1"/>
  <c r="P138" i="29"/>
  <c r="P142" i="31" s="1"/>
  <c r="T138" i="29"/>
  <c r="T142" i="31" s="1"/>
  <c r="X138" i="29"/>
  <c r="X142" i="31" s="1"/>
  <c r="AB138" i="29"/>
  <c r="AB142" i="31" s="1"/>
  <c r="AG138" i="29"/>
  <c r="AG142" i="31" s="1"/>
  <c r="AK138" i="29"/>
  <c r="AK142" i="31" s="1"/>
  <c r="AO138" i="29"/>
  <c r="AO142" i="31" s="1"/>
  <c r="AS138" i="29"/>
  <c r="AS142" i="31" s="1"/>
  <c r="AW138" i="29"/>
  <c r="AW142" i="31" s="1"/>
  <c r="BA138" i="29"/>
  <c r="BA142" i="31" s="1"/>
  <c r="BE138" i="29"/>
  <c r="BE142" i="31" s="1"/>
  <c r="BI138" i="29"/>
  <c r="BI142" i="31" s="1"/>
  <c r="BM138" i="29"/>
  <c r="BM142" i="31" s="1"/>
  <c r="BQ138" i="29"/>
  <c r="BQ142" i="31" s="1"/>
  <c r="BU138" i="29"/>
  <c r="BU142" i="31" s="1"/>
  <c r="BY138" i="29"/>
  <c r="BY142" i="31" s="1"/>
  <c r="CC138" i="29"/>
  <c r="CC142" i="31" s="1"/>
  <c r="CG138" i="29"/>
  <c r="CG142" i="31" s="1"/>
  <c r="CK138" i="29"/>
  <c r="CK142" i="31" s="1"/>
  <c r="CO138" i="29"/>
  <c r="CO142" i="31" s="1"/>
  <c r="CS138" i="29"/>
  <c r="CS142" i="31" s="1"/>
  <c r="CW138" i="29"/>
  <c r="CW142" i="31" s="1"/>
  <c r="DA138" i="29"/>
  <c r="DA142" i="31" s="1"/>
  <c r="DE138" i="29"/>
  <c r="DE142" i="31" s="1"/>
  <c r="DI138" i="29"/>
  <c r="DI142" i="31" s="1"/>
  <c r="DM138" i="29"/>
  <c r="DM142" i="31" s="1"/>
  <c r="DQ138" i="29"/>
  <c r="DQ142" i="31" s="1"/>
  <c r="DU138" i="29"/>
  <c r="DU142" i="31" s="1"/>
  <c r="DY138" i="29"/>
  <c r="DY142" i="31" s="1"/>
  <c r="FI138" i="29"/>
  <c r="FI142" i="31" s="1"/>
  <c r="E143" i="29"/>
  <c r="E147" i="31" s="1"/>
  <c r="I143" i="29"/>
  <c r="M143" i="29"/>
  <c r="Q143" i="29"/>
  <c r="U143" i="29"/>
  <c r="Y143" i="29"/>
  <c r="AD143" i="29"/>
  <c r="AH143" i="29"/>
  <c r="AL143" i="29"/>
  <c r="AL147" i="31" s="1"/>
  <c r="AP143" i="29"/>
  <c r="AT143" i="29"/>
  <c r="AX143" i="29"/>
  <c r="BB143" i="29"/>
  <c r="BF143" i="29"/>
  <c r="BJ143" i="29"/>
  <c r="BJ147" i="31" s="1"/>
  <c r="BN143" i="29"/>
  <c r="BR143" i="29"/>
  <c r="BV143" i="29"/>
  <c r="BZ143" i="29"/>
  <c r="CD143" i="29"/>
  <c r="CH143" i="29"/>
  <c r="CH147" i="31" s="1"/>
  <c r="CL143" i="29"/>
  <c r="CP143" i="29"/>
  <c r="CT143" i="29"/>
  <c r="CX143" i="29"/>
  <c r="DB143" i="29"/>
  <c r="DF143" i="29"/>
  <c r="DJ143" i="29"/>
  <c r="DN143" i="29"/>
  <c r="DN147" i="31" s="1"/>
  <c r="DR143" i="29"/>
  <c r="DV143" i="29"/>
  <c r="DZ143" i="29"/>
  <c r="ED143" i="29"/>
  <c r="ED147" i="31" s="1"/>
  <c r="EH143" i="29"/>
  <c r="EL143" i="29"/>
  <c r="EL147" i="31" s="1"/>
  <c r="EP143" i="29"/>
  <c r="EP147" i="31" s="1"/>
  <c r="ET143" i="29"/>
  <c r="ET147" i="31" s="1"/>
  <c r="EX143" i="29"/>
  <c r="EX147" i="31" s="1"/>
  <c r="FB143" i="29"/>
  <c r="FB147" i="31" s="1"/>
  <c r="FF143" i="29"/>
  <c r="FF147" i="31" s="1"/>
  <c r="FJ143" i="29"/>
  <c r="FJ147" i="31" s="1"/>
  <c r="FN143" i="29"/>
  <c r="FN147" i="31" s="1"/>
  <c r="FR143" i="29"/>
  <c r="FR147" i="31" s="1"/>
  <c r="FV143" i="29"/>
  <c r="FV147" i="31" s="1"/>
  <c r="FZ143" i="29"/>
  <c r="FZ147" i="31" s="1"/>
  <c r="GD143" i="29"/>
  <c r="GD147" i="31" s="1"/>
  <c r="GH143" i="29"/>
  <c r="GH147" i="31" s="1"/>
  <c r="GL143" i="29"/>
  <c r="GL147" i="31" s="1"/>
  <c r="GP143" i="29"/>
  <c r="GP147" i="31" s="1"/>
  <c r="GT143" i="29"/>
  <c r="GT147" i="31" s="1"/>
  <c r="GX143" i="29"/>
  <c r="GX147" i="31" s="1"/>
  <c r="HB143" i="29"/>
  <c r="HB147" i="31" s="1"/>
  <c r="HF143" i="29"/>
  <c r="HF147" i="31" s="1"/>
  <c r="HJ143" i="29"/>
  <c r="HJ147" i="31" s="1"/>
  <c r="HN143" i="29"/>
  <c r="HN147" i="31" s="1"/>
  <c r="HR143" i="29"/>
  <c r="HR147" i="31" s="1"/>
  <c r="HV143" i="29"/>
  <c r="HV147" i="31" s="1"/>
  <c r="HZ143" i="29"/>
  <c r="HZ147" i="31" s="1"/>
  <c r="ID143" i="29"/>
  <c r="ID147" i="31" s="1"/>
  <c r="IH143" i="29"/>
  <c r="IL143" i="29"/>
  <c r="IL147" i="31" s="1"/>
  <c r="IP143" i="29"/>
  <c r="IT143" i="29"/>
  <c r="IT147" i="31" s="1"/>
  <c r="IX143" i="29"/>
  <c r="IX147" i="31" s="1"/>
  <c r="JB143" i="29"/>
  <c r="JB147" i="31" s="1"/>
  <c r="JF143" i="29"/>
  <c r="JF147" i="31" s="1"/>
  <c r="JI40" i="29"/>
  <c r="JI44" i="31" s="1"/>
  <c r="CC125" i="29"/>
  <c r="CC129" i="31" s="1"/>
  <c r="FU125" i="29"/>
  <c r="FU129" i="31" s="1"/>
  <c r="GC125" i="29"/>
  <c r="GC129" i="31" s="1"/>
  <c r="GG125" i="29"/>
  <c r="GG129" i="31" s="1"/>
  <c r="GO125" i="29"/>
  <c r="GO129" i="31" s="1"/>
  <c r="HA125" i="29"/>
  <c r="HA129" i="31" s="1"/>
  <c r="HM125" i="29"/>
  <c r="HM129" i="31" s="1"/>
  <c r="HY125" i="29"/>
  <c r="HY129" i="31" s="1"/>
  <c r="IK125" i="29"/>
  <c r="IK129" i="31" s="1"/>
  <c r="IS125" i="29"/>
  <c r="IS129" i="31" s="1"/>
  <c r="JE125" i="29"/>
  <c r="JE129" i="31" s="1"/>
  <c r="FY125" i="29"/>
  <c r="FY129" i="31" s="1"/>
  <c r="GK125" i="29"/>
  <c r="GK129" i="31" s="1"/>
  <c r="GS125" i="29"/>
  <c r="GS129" i="31" s="1"/>
  <c r="GW125" i="29"/>
  <c r="GW129" i="31" s="1"/>
  <c r="HE125" i="29"/>
  <c r="HE129" i="31" s="1"/>
  <c r="HI125" i="29"/>
  <c r="HI129" i="31" s="1"/>
  <c r="HQ125" i="29"/>
  <c r="HQ129" i="31" s="1"/>
  <c r="HU125" i="29"/>
  <c r="HU129" i="31" s="1"/>
  <c r="IC125" i="29"/>
  <c r="IC129" i="31" s="1"/>
  <c r="IG125" i="29"/>
  <c r="IG129" i="31" s="1"/>
  <c r="IO125" i="29"/>
  <c r="IO129" i="31" s="1"/>
  <c r="IW125" i="29"/>
  <c r="IW129" i="31" s="1"/>
  <c r="JA125" i="29"/>
  <c r="JA129" i="31" s="1"/>
  <c r="C138" i="29"/>
  <c r="C142" i="31" s="1"/>
  <c r="G138" i="29"/>
  <c r="G142" i="31" s="1"/>
  <c r="K138" i="29"/>
  <c r="K142" i="31" s="1"/>
  <c r="O138" i="29"/>
  <c r="O142" i="31" s="1"/>
  <c r="S138" i="29"/>
  <c r="W138" i="29"/>
  <c r="W142" i="31" s="1"/>
  <c r="AA138" i="29"/>
  <c r="AA142" i="31" s="1"/>
  <c r="AF138" i="29"/>
  <c r="AF142" i="31" s="1"/>
  <c r="AJ138" i="29"/>
  <c r="AJ142" i="31" s="1"/>
  <c r="AN138" i="29"/>
  <c r="AN142" i="31" s="1"/>
  <c r="AR138" i="29"/>
  <c r="AR142" i="31" s="1"/>
  <c r="AV138" i="29"/>
  <c r="AV142" i="31" s="1"/>
  <c r="AZ138" i="29"/>
  <c r="AZ142" i="31" s="1"/>
  <c r="BD138" i="29"/>
  <c r="BD142" i="31" s="1"/>
  <c r="BH138" i="29"/>
  <c r="BH142" i="31" s="1"/>
  <c r="BL138" i="29"/>
  <c r="BL142" i="31" s="1"/>
  <c r="BP138" i="29"/>
  <c r="BP142" i="31" s="1"/>
  <c r="BT138" i="29"/>
  <c r="BT142" i="31" s="1"/>
  <c r="BX138" i="29"/>
  <c r="BX142" i="31" s="1"/>
  <c r="CB138" i="29"/>
  <c r="CB142" i="31" s="1"/>
  <c r="CF138" i="29"/>
  <c r="CF142" i="31" s="1"/>
  <c r="CJ138" i="29"/>
  <c r="CJ142" i="31" s="1"/>
  <c r="CN138" i="29"/>
  <c r="CN142" i="31" s="1"/>
  <c r="CR138" i="29"/>
  <c r="CR142" i="31" s="1"/>
  <c r="CV138" i="29"/>
  <c r="CV142" i="31" s="1"/>
  <c r="CZ138" i="29"/>
  <c r="CZ142" i="31" s="1"/>
  <c r="DD138" i="29"/>
  <c r="DD142" i="31" s="1"/>
  <c r="DH138" i="29"/>
  <c r="DH142" i="31" s="1"/>
  <c r="DL138" i="29"/>
  <c r="DL142" i="31" s="1"/>
  <c r="DP138" i="29"/>
  <c r="DP142" i="31" s="1"/>
  <c r="DT138" i="29"/>
  <c r="DT142" i="31" s="1"/>
  <c r="DX138" i="29"/>
  <c r="DX142" i="31" s="1"/>
  <c r="EB138" i="29"/>
  <c r="EB142" i="31" s="1"/>
  <c r="EF138" i="29"/>
  <c r="EF142" i="31" s="1"/>
  <c r="EJ138" i="29"/>
  <c r="EJ142" i="31" s="1"/>
  <c r="EN138" i="29"/>
  <c r="EN142" i="31" s="1"/>
  <c r="ER138" i="29"/>
  <c r="ER142" i="31" s="1"/>
  <c r="EV138" i="29"/>
  <c r="EV142" i="31" s="1"/>
  <c r="EZ138" i="29"/>
  <c r="EZ142" i="31" s="1"/>
  <c r="FD138" i="29"/>
  <c r="FD142" i="31" s="1"/>
  <c r="FH138" i="29"/>
  <c r="FH142" i="31" s="1"/>
  <c r="FL138" i="29"/>
  <c r="FL142" i="31" s="1"/>
  <c r="FP138" i="29"/>
  <c r="FP142" i="31" s="1"/>
  <c r="FT138" i="29"/>
  <c r="FT142" i="31" s="1"/>
  <c r="FX138" i="29"/>
  <c r="FX142" i="31" s="1"/>
  <c r="GB138" i="29"/>
  <c r="GB142" i="31" s="1"/>
  <c r="GF138" i="29"/>
  <c r="GF142" i="31" s="1"/>
  <c r="GJ138" i="29"/>
  <c r="GJ142" i="31" s="1"/>
  <c r="GN138" i="29"/>
  <c r="GN142" i="31" s="1"/>
  <c r="GR138" i="29"/>
  <c r="GR142" i="31" s="1"/>
  <c r="GV138" i="29"/>
  <c r="GV142" i="31" s="1"/>
  <c r="GZ138" i="29"/>
  <c r="GZ142" i="31" s="1"/>
  <c r="HD138" i="29"/>
  <c r="HD142" i="31" s="1"/>
  <c r="HH138" i="29"/>
  <c r="HH142" i="31" s="1"/>
  <c r="HL138" i="29"/>
  <c r="HL142" i="31" s="1"/>
  <c r="HP138" i="29"/>
  <c r="HP142" i="31" s="1"/>
  <c r="HT138" i="29"/>
  <c r="HT142" i="31" s="1"/>
  <c r="HX138" i="29"/>
  <c r="HX142" i="31" s="1"/>
  <c r="IB138" i="29"/>
  <c r="IB142" i="31" s="1"/>
  <c r="IF138" i="29"/>
  <c r="IF142" i="31" s="1"/>
  <c r="IJ138" i="29"/>
  <c r="IJ142" i="31" s="1"/>
  <c r="IN138" i="29"/>
  <c r="IN142" i="31" s="1"/>
  <c r="IR138" i="29"/>
  <c r="IR142" i="31" s="1"/>
  <c r="IV138" i="29"/>
  <c r="IV142" i="31" s="1"/>
  <c r="IZ138" i="29"/>
  <c r="IZ142" i="31" s="1"/>
  <c r="JD138" i="29"/>
  <c r="JD142" i="31" s="1"/>
  <c r="JH138" i="29"/>
  <c r="JH142" i="31" s="1"/>
  <c r="DT125" i="29"/>
  <c r="DT129" i="31" s="1"/>
  <c r="EJ125" i="29"/>
  <c r="EJ129" i="31" s="1"/>
  <c r="EZ125" i="29"/>
  <c r="EZ129" i="31" s="1"/>
  <c r="FP125" i="29"/>
  <c r="FP129" i="31" s="1"/>
  <c r="GF125" i="29"/>
  <c r="GF129" i="31" s="1"/>
  <c r="GV125" i="29"/>
  <c r="GV129" i="31" s="1"/>
  <c r="HL125" i="29"/>
  <c r="HL129" i="31" s="1"/>
  <c r="IB125" i="29"/>
  <c r="IB129" i="31" s="1"/>
  <c r="IR125" i="29"/>
  <c r="IR129" i="31" s="1"/>
  <c r="JH125" i="29"/>
  <c r="JH129" i="31" s="1"/>
  <c r="JI123" i="29"/>
  <c r="JI127" i="31" s="1"/>
  <c r="F143" i="29"/>
  <c r="F147" i="31" s="1"/>
  <c r="J143" i="29"/>
  <c r="J147" i="31" s="1"/>
  <c r="N143" i="29"/>
  <c r="N147" i="31" s="1"/>
  <c r="R143" i="29"/>
  <c r="R147" i="31" s="1"/>
  <c r="V143" i="29"/>
  <c r="V147" i="31" s="1"/>
  <c r="Z143" i="29"/>
  <c r="Z147" i="31" s="1"/>
  <c r="AE143" i="29"/>
  <c r="AE147" i="31" s="1"/>
  <c r="AI143" i="29"/>
  <c r="AI147" i="31" s="1"/>
  <c r="AM143" i="29"/>
  <c r="AM147" i="31" s="1"/>
  <c r="AQ143" i="29"/>
  <c r="AQ147" i="31" s="1"/>
  <c r="AU143" i="29"/>
  <c r="AU147" i="31" s="1"/>
  <c r="AY143" i="29"/>
  <c r="AY147" i="31" s="1"/>
  <c r="BC143" i="29"/>
  <c r="BC147" i="31" s="1"/>
  <c r="BG143" i="29"/>
  <c r="BG147" i="31" s="1"/>
  <c r="BK143" i="29"/>
  <c r="BK147" i="31" s="1"/>
  <c r="BO143" i="29"/>
  <c r="BO147" i="31" s="1"/>
  <c r="BS143" i="29"/>
  <c r="BS147" i="31" s="1"/>
  <c r="BW143" i="29"/>
  <c r="BW147" i="31" s="1"/>
  <c r="CA143" i="29"/>
  <c r="CA147" i="31" s="1"/>
  <c r="CE143" i="29"/>
  <c r="CE147" i="31" s="1"/>
  <c r="CI143" i="29"/>
  <c r="CI147" i="31" s="1"/>
  <c r="CM143" i="29"/>
  <c r="CM147" i="31" s="1"/>
  <c r="CQ143" i="29"/>
  <c r="CQ147" i="31" s="1"/>
  <c r="CU143" i="29"/>
  <c r="CU147" i="31" s="1"/>
  <c r="CY143" i="29"/>
  <c r="CY147" i="31" s="1"/>
  <c r="DC143" i="29"/>
  <c r="DC147" i="31" s="1"/>
  <c r="DG143" i="29"/>
  <c r="DG147" i="31" s="1"/>
  <c r="DK143" i="29"/>
  <c r="DK147" i="31" s="1"/>
  <c r="DO143" i="29"/>
  <c r="DO147" i="31" s="1"/>
  <c r="DS143" i="29"/>
  <c r="DS147" i="31" s="1"/>
  <c r="DW143" i="29"/>
  <c r="DW147" i="31" s="1"/>
  <c r="EA143" i="29"/>
  <c r="EA147" i="31" s="1"/>
  <c r="EE143" i="29"/>
  <c r="EE147" i="31" s="1"/>
  <c r="EI143" i="29"/>
  <c r="EI147" i="31" s="1"/>
  <c r="EM143" i="29"/>
  <c r="EM147" i="31" s="1"/>
  <c r="EQ143" i="29"/>
  <c r="EQ147" i="31" s="1"/>
  <c r="EU143" i="29"/>
  <c r="EU147" i="31" s="1"/>
  <c r="EY143" i="29"/>
  <c r="EY147" i="31" s="1"/>
  <c r="FC143" i="29"/>
  <c r="FC147" i="31" s="1"/>
  <c r="FG143" i="29"/>
  <c r="FG147" i="31" s="1"/>
  <c r="FK143" i="29"/>
  <c r="FK147" i="31" s="1"/>
  <c r="FO143" i="29"/>
  <c r="FO147" i="31" s="1"/>
  <c r="FS143" i="29"/>
  <c r="FS147" i="31" s="1"/>
  <c r="FW143" i="29"/>
  <c r="FW147" i="31" s="1"/>
  <c r="GA143" i="29"/>
  <c r="GA147" i="31" s="1"/>
  <c r="GE143" i="29"/>
  <c r="GE147" i="31" s="1"/>
  <c r="GI143" i="29"/>
  <c r="GI147" i="31" s="1"/>
  <c r="GM143" i="29"/>
  <c r="GM147" i="31" s="1"/>
  <c r="GQ143" i="29"/>
  <c r="GQ147" i="31" s="1"/>
  <c r="GU143" i="29"/>
  <c r="GU147" i="31" s="1"/>
  <c r="GY143" i="29"/>
  <c r="GY147" i="31" s="1"/>
  <c r="HC143" i="29"/>
  <c r="HC147" i="31" s="1"/>
  <c r="HG143" i="29"/>
  <c r="HG147" i="31" s="1"/>
  <c r="HK143" i="29"/>
  <c r="HK147" i="31" s="1"/>
  <c r="HO143" i="29"/>
  <c r="HO147" i="31" s="1"/>
  <c r="HS143" i="29"/>
  <c r="HS147" i="31" s="1"/>
  <c r="HW143" i="29"/>
  <c r="HW147" i="31" s="1"/>
  <c r="IA143" i="29"/>
  <c r="IA147" i="31" s="1"/>
  <c r="IE143" i="29"/>
  <c r="IE147" i="31" s="1"/>
  <c r="II143" i="29"/>
  <c r="II147" i="31" s="1"/>
  <c r="IM143" i="29"/>
  <c r="IM147" i="31" s="1"/>
  <c r="IQ143" i="29"/>
  <c r="IQ147" i="31" s="1"/>
  <c r="IU143" i="29"/>
  <c r="IU147" i="31" s="1"/>
  <c r="IY143" i="29"/>
  <c r="IY147" i="31" s="1"/>
  <c r="JC143" i="29"/>
  <c r="JC147" i="31" s="1"/>
  <c r="JG143" i="29"/>
  <c r="JG147" i="31" s="1"/>
  <c r="EL138" i="29"/>
  <c r="EL142" i="31" s="1"/>
  <c r="EP138" i="29"/>
  <c r="EP142" i="31" s="1"/>
  <c r="ET138" i="29"/>
  <c r="EX138" i="29"/>
  <c r="EX142" i="31" s="1"/>
  <c r="FB138" i="29"/>
  <c r="FB142" i="31" s="1"/>
  <c r="FF138" i="29"/>
  <c r="FF142" i="31" s="1"/>
  <c r="FJ138" i="29"/>
  <c r="FN138" i="29"/>
  <c r="FN142" i="31" s="1"/>
  <c r="FR138" i="29"/>
  <c r="FR142" i="31" s="1"/>
  <c r="FV138" i="29"/>
  <c r="FV142" i="31" s="1"/>
  <c r="FZ138" i="29"/>
  <c r="GD138" i="29"/>
  <c r="GD142" i="31" s="1"/>
  <c r="GH138" i="29"/>
  <c r="GH142" i="31" s="1"/>
  <c r="GL138" i="29"/>
  <c r="GL142" i="31" s="1"/>
  <c r="GP138" i="29"/>
  <c r="GT138" i="29"/>
  <c r="GT142" i="31" s="1"/>
  <c r="GX138" i="29"/>
  <c r="GX142" i="31" s="1"/>
  <c r="HB138" i="29"/>
  <c r="HB142" i="31" s="1"/>
  <c r="HF138" i="29"/>
  <c r="HJ138" i="29"/>
  <c r="HJ142" i="31" s="1"/>
  <c r="HN138" i="29"/>
  <c r="HN142" i="31" s="1"/>
  <c r="HR138" i="29"/>
  <c r="HR142" i="31" s="1"/>
  <c r="HV138" i="29"/>
  <c r="HZ138" i="29"/>
  <c r="HZ142" i="31" s="1"/>
  <c r="ID138" i="29"/>
  <c r="ID142" i="31" s="1"/>
  <c r="IH138" i="29"/>
  <c r="IH142" i="31" s="1"/>
  <c r="IL138" i="29"/>
  <c r="IP138" i="29"/>
  <c r="IP142" i="31" s="1"/>
  <c r="IT138" i="29"/>
  <c r="IT142" i="31" s="1"/>
  <c r="IX138" i="29"/>
  <c r="IX142" i="31" s="1"/>
  <c r="JB138" i="29"/>
  <c r="JB142" i="31" s="1"/>
  <c r="JF138" i="29"/>
  <c r="JF142" i="31" s="1"/>
  <c r="CG125" i="29"/>
  <c r="CG129" i="31" s="1"/>
  <c r="CK125" i="29"/>
  <c r="CK129" i="31" s="1"/>
  <c r="CO125" i="29"/>
  <c r="CO129" i="31" s="1"/>
  <c r="CS125" i="29"/>
  <c r="CS129" i="31" s="1"/>
  <c r="DA125" i="29"/>
  <c r="DA129" i="31" s="1"/>
  <c r="DI125" i="29"/>
  <c r="DI129" i="31" s="1"/>
  <c r="DM125" i="29"/>
  <c r="DM129" i="31" s="1"/>
  <c r="DU125" i="29"/>
  <c r="DU129" i="31" s="1"/>
  <c r="EC125" i="29"/>
  <c r="EC129" i="31" s="1"/>
  <c r="EK125" i="29"/>
  <c r="EK129" i="31" s="1"/>
  <c r="EO125" i="29"/>
  <c r="EO129" i="31" s="1"/>
  <c r="EW125" i="29"/>
  <c r="EW129" i="31" s="1"/>
  <c r="FE125" i="29"/>
  <c r="FE129" i="31" s="1"/>
  <c r="FM125" i="29"/>
  <c r="FM129" i="31" s="1"/>
  <c r="JI121" i="29"/>
  <c r="JI125" i="31" s="1"/>
  <c r="D125" i="29"/>
  <c r="D129" i="31" s="1"/>
  <c r="H125" i="29"/>
  <c r="H129" i="31" s="1"/>
  <c r="L125" i="29"/>
  <c r="L129" i="31" s="1"/>
  <c r="P125" i="29"/>
  <c r="P129" i="31" s="1"/>
  <c r="T125" i="29"/>
  <c r="T129" i="31" s="1"/>
  <c r="X125" i="29"/>
  <c r="X129" i="31" s="1"/>
  <c r="AB125" i="29"/>
  <c r="AB129" i="31" s="1"/>
  <c r="AG125" i="29"/>
  <c r="AG129" i="31" s="1"/>
  <c r="AK125" i="29"/>
  <c r="AK129" i="31" s="1"/>
  <c r="AO125" i="29"/>
  <c r="AO129" i="31" s="1"/>
  <c r="AS125" i="29"/>
  <c r="AS129" i="31" s="1"/>
  <c r="AW125" i="29"/>
  <c r="AW129" i="31" s="1"/>
  <c r="BA125" i="29"/>
  <c r="BA129" i="31" s="1"/>
  <c r="BE125" i="29"/>
  <c r="BE129" i="31" s="1"/>
  <c r="BI125" i="29"/>
  <c r="BI129" i="31" s="1"/>
  <c r="BM125" i="29"/>
  <c r="BM129" i="31" s="1"/>
  <c r="BQ125" i="29"/>
  <c r="BQ129" i="31" s="1"/>
  <c r="BU125" i="29"/>
  <c r="BU129" i="31" s="1"/>
  <c r="BY125" i="29"/>
  <c r="BY129" i="31" s="1"/>
  <c r="CW125" i="29"/>
  <c r="CW129" i="31" s="1"/>
  <c r="DE125" i="29"/>
  <c r="DE129" i="31" s="1"/>
  <c r="DQ125" i="29"/>
  <c r="DQ129" i="31" s="1"/>
  <c r="DY125" i="29"/>
  <c r="DY129" i="31" s="1"/>
  <c r="EG125" i="29"/>
  <c r="EG129" i="31" s="1"/>
  <c r="ES125" i="29"/>
  <c r="ES129" i="31" s="1"/>
  <c r="FA125" i="29"/>
  <c r="FA129" i="31" s="1"/>
  <c r="FI125" i="29"/>
  <c r="FI129" i="31" s="1"/>
  <c r="FQ125" i="29"/>
  <c r="FQ129" i="31" s="1"/>
  <c r="E125" i="29"/>
  <c r="E129" i="31" s="1"/>
  <c r="I125" i="29"/>
  <c r="I129" i="31" s="1"/>
  <c r="M125" i="29"/>
  <c r="M129" i="31" s="1"/>
  <c r="Q125" i="29"/>
  <c r="Q129" i="31" s="1"/>
  <c r="U125" i="29"/>
  <c r="U129" i="31" s="1"/>
  <c r="Y125" i="29"/>
  <c r="Y129" i="31" s="1"/>
  <c r="AD125" i="29"/>
  <c r="AD129" i="31" s="1"/>
  <c r="AH125" i="29"/>
  <c r="AH129" i="31" s="1"/>
  <c r="AL125" i="29"/>
  <c r="AL129" i="31" s="1"/>
  <c r="AP125" i="29"/>
  <c r="AP129" i="31" s="1"/>
  <c r="AT125" i="29"/>
  <c r="AT129" i="31" s="1"/>
  <c r="AX125" i="29"/>
  <c r="AX129" i="31" s="1"/>
  <c r="BB125" i="29"/>
  <c r="BB129" i="31" s="1"/>
  <c r="BF125" i="29"/>
  <c r="BF129" i="31" s="1"/>
  <c r="BJ125" i="29"/>
  <c r="BJ129" i="31" s="1"/>
  <c r="BN125" i="29"/>
  <c r="BN129" i="31" s="1"/>
  <c r="BR125" i="29"/>
  <c r="BR129" i="31" s="1"/>
  <c r="BV125" i="29"/>
  <c r="BV129" i="31" s="1"/>
  <c r="BZ125" i="29"/>
  <c r="BZ129" i="31" s="1"/>
  <c r="CD125" i="29"/>
  <c r="CD129" i="31" s="1"/>
  <c r="CH125" i="29"/>
  <c r="CH129" i="31" s="1"/>
  <c r="CL125" i="29"/>
  <c r="CL129" i="31" s="1"/>
  <c r="CP125" i="29"/>
  <c r="CP129" i="31" s="1"/>
  <c r="CT125" i="29"/>
  <c r="CT129" i="31" s="1"/>
  <c r="CX125" i="29"/>
  <c r="CX129" i="31" s="1"/>
  <c r="DB125" i="29"/>
  <c r="DB129" i="31" s="1"/>
  <c r="DF125" i="29"/>
  <c r="DF129" i="31" s="1"/>
  <c r="DJ125" i="29"/>
  <c r="DJ129" i="31" s="1"/>
  <c r="DN125" i="29"/>
  <c r="DN129" i="31" s="1"/>
  <c r="DR125" i="29"/>
  <c r="DR129" i="31" s="1"/>
  <c r="F125" i="29"/>
  <c r="F129" i="31" s="1"/>
  <c r="J125" i="29"/>
  <c r="J129" i="31" s="1"/>
  <c r="N125" i="29"/>
  <c r="N129" i="31" s="1"/>
  <c r="R125" i="29"/>
  <c r="R129" i="31" s="1"/>
  <c r="V125" i="29"/>
  <c r="V129" i="31" s="1"/>
  <c r="Z125" i="29"/>
  <c r="Z129" i="31" s="1"/>
  <c r="AE125" i="29"/>
  <c r="AE129" i="31" s="1"/>
  <c r="AI125" i="29"/>
  <c r="AI129" i="31" s="1"/>
  <c r="AM125" i="29"/>
  <c r="AM129" i="31" s="1"/>
  <c r="AQ125" i="29"/>
  <c r="AQ129" i="31" s="1"/>
  <c r="AU125" i="29"/>
  <c r="AU129" i="31" s="1"/>
  <c r="AY125" i="29"/>
  <c r="AY129" i="31" s="1"/>
  <c r="BC125" i="29"/>
  <c r="BC129" i="31" s="1"/>
  <c r="BG125" i="29"/>
  <c r="BG129" i="31" s="1"/>
  <c r="BK125" i="29"/>
  <c r="BK129" i="31" s="1"/>
  <c r="BO125" i="29"/>
  <c r="BO129" i="31" s="1"/>
  <c r="BS125" i="29"/>
  <c r="BS129" i="31" s="1"/>
  <c r="BW125" i="29"/>
  <c r="BW129" i="31" s="1"/>
  <c r="CA125" i="29"/>
  <c r="CA129" i="31" s="1"/>
  <c r="CE125" i="29"/>
  <c r="CE129" i="31" s="1"/>
  <c r="CI125" i="29"/>
  <c r="CI129" i="31" s="1"/>
  <c r="CM125" i="29"/>
  <c r="CM129" i="31" s="1"/>
  <c r="CQ125" i="29"/>
  <c r="CQ129" i="31" s="1"/>
  <c r="CU125" i="29"/>
  <c r="CU129" i="31" s="1"/>
  <c r="CY125" i="29"/>
  <c r="CY129" i="31" s="1"/>
  <c r="DC125" i="29"/>
  <c r="DC129" i="31" s="1"/>
  <c r="DG125" i="29"/>
  <c r="DG129" i="31" s="1"/>
  <c r="DK125" i="29"/>
  <c r="DK129" i="31" s="1"/>
  <c r="DO125" i="29"/>
  <c r="DO129" i="31" s="1"/>
  <c r="DS125" i="29"/>
  <c r="DS129" i="31" s="1"/>
  <c r="DW125" i="29"/>
  <c r="DW129" i="31" s="1"/>
  <c r="EA125" i="29"/>
  <c r="EA129" i="31" s="1"/>
  <c r="EE125" i="29"/>
  <c r="EE129" i="31" s="1"/>
  <c r="EI125" i="29"/>
  <c r="EI129" i="31" s="1"/>
  <c r="EM125" i="29"/>
  <c r="EM129" i="31" s="1"/>
  <c r="EQ125" i="29"/>
  <c r="EQ129" i="31" s="1"/>
  <c r="EU125" i="29"/>
  <c r="EU129" i="31" s="1"/>
  <c r="EY125" i="29"/>
  <c r="EY129" i="31" s="1"/>
  <c r="FC125" i="29"/>
  <c r="FC129" i="31" s="1"/>
  <c r="FG125" i="29"/>
  <c r="FG129" i="31" s="1"/>
  <c r="FK125" i="29"/>
  <c r="FK129" i="31" s="1"/>
  <c r="FO125" i="29"/>
  <c r="FO129" i="31" s="1"/>
  <c r="FS125" i="29"/>
  <c r="FS129" i="31" s="1"/>
  <c r="FW125" i="29"/>
  <c r="FW129" i="31" s="1"/>
  <c r="GA125" i="29"/>
  <c r="GA129" i="31" s="1"/>
  <c r="GE125" i="29"/>
  <c r="GE129" i="31" s="1"/>
  <c r="GI125" i="29"/>
  <c r="GI129" i="31" s="1"/>
  <c r="GM125" i="29"/>
  <c r="GM129" i="31" s="1"/>
  <c r="GQ125" i="29"/>
  <c r="GQ129" i="31" s="1"/>
  <c r="GU125" i="29"/>
  <c r="GU129" i="31" s="1"/>
  <c r="GY125" i="29"/>
  <c r="GY129" i="31" s="1"/>
  <c r="HC125" i="29"/>
  <c r="HC129" i="31" s="1"/>
  <c r="HG125" i="29"/>
  <c r="HG129" i="31" s="1"/>
  <c r="HK125" i="29"/>
  <c r="HK129" i="31" s="1"/>
  <c r="HO125" i="29"/>
  <c r="HO129" i="31" s="1"/>
  <c r="HS125" i="29"/>
  <c r="HS129" i="31" s="1"/>
  <c r="HW125" i="29"/>
  <c r="HW129" i="31" s="1"/>
  <c r="IA125" i="29"/>
  <c r="IA129" i="31" s="1"/>
  <c r="IE125" i="29"/>
  <c r="IE129" i="31" s="1"/>
  <c r="II125" i="29"/>
  <c r="II129" i="31" s="1"/>
  <c r="IM125" i="29"/>
  <c r="IM129" i="31" s="1"/>
  <c r="IQ125" i="29"/>
  <c r="IQ129" i="31" s="1"/>
  <c r="IU125" i="29"/>
  <c r="IU129" i="31" s="1"/>
  <c r="IY125" i="29"/>
  <c r="IY129" i="31" s="1"/>
  <c r="JC125" i="29"/>
  <c r="JC129" i="31" s="1"/>
  <c r="JG125" i="29"/>
  <c r="JG129" i="31" s="1"/>
  <c r="DV125" i="29"/>
  <c r="DV129" i="31" s="1"/>
  <c r="DZ125" i="29"/>
  <c r="DZ129" i="31" s="1"/>
  <c r="ED125" i="29"/>
  <c r="ED129" i="31" s="1"/>
  <c r="EH125" i="29"/>
  <c r="EH129" i="31" s="1"/>
  <c r="EL125" i="29"/>
  <c r="EL129" i="31" s="1"/>
  <c r="EP125" i="29"/>
  <c r="EP129" i="31" s="1"/>
  <c r="ET125" i="29"/>
  <c r="ET129" i="31" s="1"/>
  <c r="EX125" i="29"/>
  <c r="EX129" i="31" s="1"/>
  <c r="FB125" i="29"/>
  <c r="FB129" i="31" s="1"/>
  <c r="FF125" i="29"/>
  <c r="FF129" i="31" s="1"/>
  <c r="FJ125" i="29"/>
  <c r="FJ129" i="31" s="1"/>
  <c r="FN125" i="29"/>
  <c r="FN129" i="31" s="1"/>
  <c r="FR125" i="29"/>
  <c r="FR129" i="31" s="1"/>
  <c r="FV125" i="29"/>
  <c r="FV129" i="31" s="1"/>
  <c r="FZ125" i="29"/>
  <c r="FZ129" i="31" s="1"/>
  <c r="GD125" i="29"/>
  <c r="GD129" i="31" s="1"/>
  <c r="GH125" i="29"/>
  <c r="GH129" i="31" s="1"/>
  <c r="GL125" i="29"/>
  <c r="GL129" i="31" s="1"/>
  <c r="GP125" i="29"/>
  <c r="GP129" i="31" s="1"/>
  <c r="GT125" i="29"/>
  <c r="GT129" i="31" s="1"/>
  <c r="GX125" i="29"/>
  <c r="GX129" i="31" s="1"/>
  <c r="HB125" i="29"/>
  <c r="HB129" i="31" s="1"/>
  <c r="HF125" i="29"/>
  <c r="HF129" i="31" s="1"/>
  <c r="HJ125" i="29"/>
  <c r="HJ129" i="31" s="1"/>
  <c r="HN125" i="29"/>
  <c r="HN129" i="31" s="1"/>
  <c r="HR125" i="29"/>
  <c r="HR129" i="31" s="1"/>
  <c r="HV125" i="29"/>
  <c r="HV129" i="31" s="1"/>
  <c r="HZ125" i="29"/>
  <c r="HZ129" i="31" s="1"/>
  <c r="ID125" i="29"/>
  <c r="ID129" i="31" s="1"/>
  <c r="IH125" i="29"/>
  <c r="IH129" i="31" s="1"/>
  <c r="IL125" i="29"/>
  <c r="IL129" i="31" s="1"/>
  <c r="IP125" i="29"/>
  <c r="IP129" i="31" s="1"/>
  <c r="IT125" i="29"/>
  <c r="IT129" i="31" s="1"/>
  <c r="IX125" i="29"/>
  <c r="IX129" i="31" s="1"/>
  <c r="JB125" i="29"/>
  <c r="JB129" i="31" s="1"/>
  <c r="JF125" i="29"/>
  <c r="JF129" i="31" s="1"/>
  <c r="F138" i="29"/>
  <c r="F142" i="31" s="1"/>
  <c r="J138" i="29"/>
  <c r="J142" i="31" s="1"/>
  <c r="N138" i="29"/>
  <c r="R138" i="29"/>
  <c r="R142" i="31" s="1"/>
  <c r="V138" i="29"/>
  <c r="V142" i="31" s="1"/>
  <c r="Z138" i="29"/>
  <c r="Z142" i="31" s="1"/>
  <c r="AE138" i="29"/>
  <c r="AI138" i="29"/>
  <c r="AM138" i="29"/>
  <c r="AM142" i="31" s="1"/>
  <c r="AQ138" i="29"/>
  <c r="AQ142" i="31" s="1"/>
  <c r="AU138" i="29"/>
  <c r="AY138" i="29"/>
  <c r="AY142" i="31" s="1"/>
  <c r="BC138" i="29"/>
  <c r="BC142" i="31" s="1"/>
  <c r="BG138" i="29"/>
  <c r="BG142" i="31" s="1"/>
  <c r="BK138" i="29"/>
  <c r="BO138" i="29"/>
  <c r="BO142" i="31" s="1"/>
  <c r="BS138" i="29"/>
  <c r="BS142" i="31" s="1"/>
  <c r="BW138" i="29"/>
  <c r="BW142" i="31" s="1"/>
  <c r="CA138" i="29"/>
  <c r="CE138" i="29"/>
  <c r="CE142" i="31" s="1"/>
  <c r="CI138" i="29"/>
  <c r="CI142" i="31" s="1"/>
  <c r="CM138" i="29"/>
  <c r="CM142" i="31" s="1"/>
  <c r="CQ138" i="29"/>
  <c r="CU138" i="29"/>
  <c r="CY138" i="29"/>
  <c r="CY142" i="31" s="1"/>
  <c r="DC138" i="29"/>
  <c r="DC142" i="31" s="1"/>
  <c r="DG138" i="29"/>
  <c r="DK138" i="29"/>
  <c r="DK142" i="31" s="1"/>
  <c r="DO138" i="29"/>
  <c r="DO142" i="31" s="1"/>
  <c r="DS138" i="29"/>
  <c r="DS142" i="31" s="1"/>
  <c r="DW138" i="29"/>
  <c r="EA138" i="29"/>
  <c r="EA142" i="31" s="1"/>
  <c r="EE138" i="29"/>
  <c r="EE142" i="31" s="1"/>
  <c r="EI138" i="29"/>
  <c r="EI142" i="31" s="1"/>
  <c r="EM138" i="29"/>
  <c r="EQ138" i="29"/>
  <c r="EQ142" i="31" s="1"/>
  <c r="EU138" i="29"/>
  <c r="EU142" i="31" s="1"/>
  <c r="EY138" i="29"/>
  <c r="EY142" i="31" s="1"/>
  <c r="FC138" i="29"/>
  <c r="FG138" i="29"/>
  <c r="FK138" i="29"/>
  <c r="FK142" i="31" s="1"/>
  <c r="FO138" i="29"/>
  <c r="FO142" i="31" s="1"/>
  <c r="FS138" i="29"/>
  <c r="FW138" i="29"/>
  <c r="FW142" i="31" s="1"/>
  <c r="GA138" i="29"/>
  <c r="GA142" i="31" s="1"/>
  <c r="GE138" i="29"/>
  <c r="GE142" i="31" s="1"/>
  <c r="GI138" i="29"/>
  <c r="GM138" i="29"/>
  <c r="GM142" i="31" s="1"/>
  <c r="GQ138" i="29"/>
  <c r="GQ142" i="31" s="1"/>
  <c r="JI136" i="29"/>
  <c r="JI140" i="31" s="1"/>
  <c r="JI137" i="29"/>
  <c r="JI141" i="31" s="1"/>
  <c r="JI142" i="29"/>
  <c r="JI146" i="31" s="1"/>
  <c r="C143" i="29"/>
  <c r="G143" i="29"/>
  <c r="G147" i="31" s="1"/>
  <c r="K143" i="29"/>
  <c r="O143" i="29"/>
  <c r="S143" i="29"/>
  <c r="S147" i="31" s="1"/>
  <c r="W143" i="29"/>
  <c r="W147" i="31" s="1"/>
  <c r="AA143" i="29"/>
  <c r="AF143" i="29"/>
  <c r="AJ143" i="29"/>
  <c r="AN143" i="29"/>
  <c r="AN147" i="31" s="1"/>
  <c r="AR143" i="29"/>
  <c r="AV143" i="29"/>
  <c r="AZ143" i="29"/>
  <c r="BD143" i="29"/>
  <c r="BD147" i="31" s="1"/>
  <c r="BH143" i="29"/>
  <c r="BL143" i="29"/>
  <c r="BP143" i="29"/>
  <c r="BT143" i="29"/>
  <c r="BT147" i="31" s="1"/>
  <c r="BX143" i="29"/>
  <c r="CB143" i="29"/>
  <c r="CF143" i="29"/>
  <c r="CJ143" i="29"/>
  <c r="CJ147" i="31" s="1"/>
  <c r="CN143" i="29"/>
  <c r="CR143" i="29"/>
  <c r="CV143" i="29"/>
  <c r="CZ143" i="29"/>
  <c r="CZ147" i="31" s="1"/>
  <c r="DD143" i="29"/>
  <c r="DH143" i="29"/>
  <c r="DL143" i="29"/>
  <c r="DP143" i="29"/>
  <c r="DP147" i="31" s="1"/>
  <c r="DT143" i="29"/>
  <c r="DX143" i="29"/>
  <c r="EB143" i="29"/>
  <c r="EF143" i="29"/>
  <c r="EF147" i="31" s="1"/>
  <c r="EJ143" i="29"/>
  <c r="EN143" i="29"/>
  <c r="ER143" i="29"/>
  <c r="EV143" i="29"/>
  <c r="EV147" i="31" s="1"/>
  <c r="EZ143" i="29"/>
  <c r="FD143" i="29"/>
  <c r="FH143" i="29"/>
  <c r="FL143" i="29"/>
  <c r="FL147" i="31" s="1"/>
  <c r="FP143" i="29"/>
  <c r="FT143" i="29"/>
  <c r="FX143" i="29"/>
  <c r="GB143" i="29"/>
  <c r="GB147" i="31" s="1"/>
  <c r="GF143" i="29"/>
  <c r="GJ143" i="29"/>
  <c r="GN143" i="29"/>
  <c r="GR143" i="29"/>
  <c r="GR147" i="31" s="1"/>
  <c r="GV143" i="29"/>
  <c r="GZ143" i="29"/>
  <c r="HD143" i="29"/>
  <c r="HH143" i="29"/>
  <c r="HH147" i="31" s="1"/>
  <c r="HL143" i="29"/>
  <c r="HP143" i="29"/>
  <c r="HT143" i="29"/>
  <c r="HX143" i="29"/>
  <c r="HX147" i="31" s="1"/>
  <c r="IB143" i="29"/>
  <c r="IF143" i="29"/>
  <c r="IJ143" i="29"/>
  <c r="IN143" i="29"/>
  <c r="IN147" i="31" s="1"/>
  <c r="IR143" i="29"/>
  <c r="IV143" i="29"/>
  <c r="IZ143" i="29"/>
  <c r="JD143" i="29"/>
  <c r="JD147" i="31" s="1"/>
  <c r="JH143" i="29"/>
  <c r="GU138" i="29"/>
  <c r="GU142" i="31" s="1"/>
  <c r="GY138" i="29"/>
  <c r="GY142" i="31" s="1"/>
  <c r="HC138" i="29"/>
  <c r="HG138" i="29"/>
  <c r="HK138" i="29"/>
  <c r="HK142" i="31" s="1"/>
  <c r="HO138" i="29"/>
  <c r="HO142" i="31" s="1"/>
  <c r="HS138" i="29"/>
  <c r="HW138" i="29"/>
  <c r="IA138" i="29"/>
  <c r="IA142" i="31" s="1"/>
  <c r="IE138" i="29"/>
  <c r="IE142" i="31" s="1"/>
  <c r="II138" i="29"/>
  <c r="IM138" i="29"/>
  <c r="IM142" i="31" s="1"/>
  <c r="IQ138" i="29"/>
  <c r="IQ142" i="31" s="1"/>
  <c r="IU138" i="29"/>
  <c r="IU142" i="31" s="1"/>
  <c r="IY138" i="29"/>
  <c r="JC138" i="29"/>
  <c r="JG138" i="29"/>
  <c r="JG142" i="31" s="1"/>
  <c r="D143" i="29"/>
  <c r="H143" i="29"/>
  <c r="L143" i="29"/>
  <c r="L147" i="31" s="1"/>
  <c r="P143" i="29"/>
  <c r="T143" i="29"/>
  <c r="X143" i="29"/>
  <c r="AB143" i="29"/>
  <c r="AG143" i="29"/>
  <c r="AK143" i="29"/>
  <c r="AO143" i="29"/>
  <c r="AS143" i="29"/>
  <c r="AS147" i="31" s="1"/>
  <c r="AW143" i="29"/>
  <c r="BA143" i="29"/>
  <c r="BE143" i="29"/>
  <c r="BI143" i="29"/>
  <c r="BM143" i="29"/>
  <c r="BQ143" i="29"/>
  <c r="BU143" i="29"/>
  <c r="BY143" i="29"/>
  <c r="CC143" i="29"/>
  <c r="CG143" i="29"/>
  <c r="CK143" i="29"/>
  <c r="CO143" i="29"/>
  <c r="CS143" i="29"/>
  <c r="CW143" i="29"/>
  <c r="DA143" i="29"/>
  <c r="DE143" i="29"/>
  <c r="DE147" i="31" s="1"/>
  <c r="DI143" i="29"/>
  <c r="DM143" i="29"/>
  <c r="DQ143" i="29"/>
  <c r="DU143" i="29"/>
  <c r="DY143" i="29"/>
  <c r="EC143" i="29"/>
  <c r="EG143" i="29"/>
  <c r="EK143" i="29"/>
  <c r="EO143" i="29"/>
  <c r="ES143" i="29"/>
  <c r="EW143" i="29"/>
  <c r="FA143" i="29"/>
  <c r="FE143" i="29"/>
  <c r="FI143" i="29"/>
  <c r="FM143" i="29"/>
  <c r="FQ143" i="29"/>
  <c r="FU143" i="29"/>
  <c r="FY143" i="29"/>
  <c r="GC143" i="29"/>
  <c r="GG143" i="29"/>
  <c r="GK143" i="29"/>
  <c r="GO143" i="29"/>
  <c r="GS143" i="29"/>
  <c r="GW143" i="29"/>
  <c r="HA143" i="29"/>
  <c r="HE143" i="29"/>
  <c r="HI143" i="29"/>
  <c r="HM143" i="29"/>
  <c r="HQ143" i="29"/>
  <c r="HU143" i="29"/>
  <c r="HY143" i="29"/>
  <c r="IC143" i="29"/>
  <c r="IG143" i="29"/>
  <c r="IK143" i="29"/>
  <c r="IO143" i="29"/>
  <c r="IS143" i="29"/>
  <c r="IW143" i="29"/>
  <c r="JA143" i="29"/>
  <c r="JE143" i="29"/>
  <c r="JI124" i="29"/>
  <c r="JI128" i="31" s="1"/>
  <c r="CA49" i="29"/>
  <c r="CA53" i="31" s="1"/>
  <c r="EV81" i="29"/>
  <c r="EV85" i="31" s="1"/>
  <c r="GG81" i="29"/>
  <c r="GG85" i="31" s="1"/>
  <c r="JL37" i="29"/>
  <c r="JO40" i="29"/>
  <c r="JL47" i="29"/>
  <c r="JM48" i="29"/>
  <c r="JI75" i="29"/>
  <c r="JI79" i="31" s="1"/>
  <c r="JN124" i="29"/>
  <c r="JM124" i="29"/>
  <c r="JL123" i="29"/>
  <c r="JO122" i="29"/>
  <c r="JL124" i="29"/>
  <c r="JO123" i="29"/>
  <c r="JN123" i="29"/>
  <c r="JM122" i="29"/>
  <c r="JM123" i="29"/>
  <c r="JL122" i="29"/>
  <c r="JN121" i="29"/>
  <c r="JM121" i="29"/>
  <c r="JL120" i="29"/>
  <c r="JO124" i="29"/>
  <c r="JL121" i="29"/>
  <c r="JO120" i="29"/>
  <c r="JN122" i="29"/>
  <c r="JO121" i="29"/>
  <c r="JN120" i="29"/>
  <c r="JM120" i="29"/>
  <c r="JM87" i="29"/>
  <c r="JL87" i="29"/>
  <c r="JN87" i="29"/>
  <c r="JO83" i="29"/>
  <c r="JM75" i="29"/>
  <c r="JL74" i="29"/>
  <c r="JM83" i="29"/>
  <c r="JO77" i="29"/>
  <c r="JO75" i="29"/>
  <c r="JN74" i="29"/>
  <c r="JO87" i="29"/>
  <c r="JN75" i="29"/>
  <c r="JM74" i="29"/>
  <c r="FD81" i="29"/>
  <c r="FD85" i="31" s="1"/>
  <c r="FU81" i="29"/>
  <c r="FU85" i="31" s="1"/>
  <c r="GK81" i="29"/>
  <c r="GK85" i="31" s="1"/>
  <c r="HF81" i="29"/>
  <c r="HF85" i="31" s="1"/>
  <c r="FM81" i="29"/>
  <c r="FM85" i="31" s="1"/>
  <c r="FV81" i="29"/>
  <c r="FV85" i="31" s="1"/>
  <c r="GL81" i="29"/>
  <c r="GL85" i="31" s="1"/>
  <c r="GP81" i="29"/>
  <c r="GP85" i="31" s="1"/>
  <c r="JO10" i="29"/>
  <c r="CA132" i="29"/>
  <c r="JM37" i="29"/>
  <c r="JO39" i="29"/>
  <c r="JL40" i="29"/>
  <c r="JM47" i="29"/>
  <c r="JN48" i="29"/>
  <c r="JL75" i="29"/>
  <c r="EZ81" i="29"/>
  <c r="EZ85" i="31" s="1"/>
  <c r="FH81" i="29"/>
  <c r="FH85" i="31" s="1"/>
  <c r="FY81" i="29"/>
  <c r="FY85" i="31" s="1"/>
  <c r="GS81" i="29"/>
  <c r="GS85" i="31" s="1"/>
  <c r="HJ81" i="29"/>
  <c r="HJ85" i="31" s="1"/>
  <c r="JN10" i="29"/>
  <c r="EW81" i="29"/>
  <c r="EW85" i="31" s="1"/>
  <c r="FI81" i="29"/>
  <c r="FI85" i="31" s="1"/>
  <c r="FZ81" i="29"/>
  <c r="FZ85" i="31" s="1"/>
  <c r="GD81" i="29"/>
  <c r="GD85" i="31" s="1"/>
  <c r="EX81" i="29"/>
  <c r="EX85" i="31" s="1"/>
  <c r="FB81" i="29"/>
  <c r="FB85" i="31" s="1"/>
  <c r="FF81" i="29"/>
  <c r="FF85" i="31" s="1"/>
  <c r="FJ81" i="29"/>
  <c r="FJ85" i="31" s="1"/>
  <c r="FN81" i="29"/>
  <c r="FN85" i="31" s="1"/>
  <c r="FS81" i="29"/>
  <c r="FS85" i="31" s="1"/>
  <c r="GA81" i="29"/>
  <c r="GA85" i="31" s="1"/>
  <c r="GE81" i="29"/>
  <c r="GE85" i="31" s="1"/>
  <c r="GI81" i="29"/>
  <c r="GI85" i="31" s="1"/>
  <c r="GM81" i="29"/>
  <c r="GM85" i="31" s="1"/>
  <c r="GU81" i="29"/>
  <c r="GU85" i="31" s="1"/>
  <c r="GY81" i="29"/>
  <c r="GY85" i="31" s="1"/>
  <c r="HD81" i="29"/>
  <c r="HD85" i="31" s="1"/>
  <c r="HH81" i="29"/>
  <c r="HH85" i="31" s="1"/>
  <c r="JL10" i="29"/>
  <c r="JN37" i="29"/>
  <c r="JM40" i="29"/>
  <c r="JN47" i="29"/>
  <c r="JN64" i="29"/>
  <c r="FP81" i="29"/>
  <c r="FP85" i="31" s="1"/>
  <c r="GC81" i="29"/>
  <c r="GC85" i="31" s="1"/>
  <c r="GO81" i="29"/>
  <c r="GO85" i="31" s="1"/>
  <c r="HB81" i="29"/>
  <c r="HB85" i="31" s="1"/>
  <c r="FE81" i="29"/>
  <c r="FE85" i="31" s="1"/>
  <c r="FQ81" i="29"/>
  <c r="FQ85" i="31" s="1"/>
  <c r="GH81" i="29"/>
  <c r="GH85" i="31" s="1"/>
  <c r="GT81" i="29"/>
  <c r="GT85" i="31" s="1"/>
  <c r="HC81" i="29"/>
  <c r="HC85" i="31" s="1"/>
  <c r="EY81" i="29"/>
  <c r="EY85" i="31" s="1"/>
  <c r="FC81" i="29"/>
  <c r="FC85" i="31" s="1"/>
  <c r="FG81" i="29"/>
  <c r="FG85" i="31" s="1"/>
  <c r="FO81" i="29"/>
  <c r="FO85" i="31" s="1"/>
  <c r="FT81" i="29"/>
  <c r="FT85" i="31" s="1"/>
  <c r="FX81" i="29"/>
  <c r="FX85" i="31" s="1"/>
  <c r="GB81" i="29"/>
  <c r="GB85" i="31" s="1"/>
  <c r="GF81" i="29"/>
  <c r="GF85" i="31" s="1"/>
  <c r="GJ81" i="29"/>
  <c r="GJ85" i="31" s="1"/>
  <c r="GN81" i="29"/>
  <c r="GN85" i="31" s="1"/>
  <c r="GR81" i="29"/>
  <c r="GR85" i="31" s="1"/>
  <c r="GV81" i="29"/>
  <c r="GV85" i="31" s="1"/>
  <c r="HA81" i="29"/>
  <c r="HA85" i="31" s="1"/>
  <c r="HE81" i="29"/>
  <c r="HE85" i="31" s="1"/>
  <c r="HI81" i="29"/>
  <c r="HI85" i="31" s="1"/>
  <c r="JM10" i="29"/>
  <c r="JO37" i="29"/>
  <c r="JN40" i="29"/>
  <c r="JI47" i="29"/>
  <c r="JI51" i="31" s="1"/>
  <c r="JO47" i="29"/>
  <c r="JL48" i="29"/>
  <c r="JO64" i="29"/>
  <c r="JO74" i="29"/>
  <c r="K125" i="29"/>
  <c r="K129" i="31" s="1"/>
  <c r="AA125" i="29"/>
  <c r="AA129" i="31" s="1"/>
  <c r="AR125" i="29"/>
  <c r="AR129" i="31" s="1"/>
  <c r="BH125" i="29"/>
  <c r="BH129" i="31" s="1"/>
  <c r="BX125" i="29"/>
  <c r="BX129" i="31" s="1"/>
  <c r="CN125" i="29"/>
  <c r="CN129" i="31" s="1"/>
  <c r="DD125" i="29"/>
  <c r="DD129" i="31" s="1"/>
  <c r="C125" i="29"/>
  <c r="C129" i="31" s="1"/>
  <c r="G125" i="29"/>
  <c r="G129" i="31" s="1"/>
  <c r="O125" i="29"/>
  <c r="O129" i="31" s="1"/>
  <c r="S125" i="29"/>
  <c r="S129" i="31" s="1"/>
  <c r="W125" i="29"/>
  <c r="W129" i="31" s="1"/>
  <c r="AF125" i="29"/>
  <c r="AF129" i="31" s="1"/>
  <c r="AJ125" i="29"/>
  <c r="AJ129" i="31" s="1"/>
  <c r="AN125" i="29"/>
  <c r="AN129" i="31" s="1"/>
  <c r="AV125" i="29"/>
  <c r="AV129" i="31" s="1"/>
  <c r="AZ125" i="29"/>
  <c r="AZ129" i="31" s="1"/>
  <c r="BD125" i="29"/>
  <c r="BD129" i="31" s="1"/>
  <c r="BL125" i="29"/>
  <c r="BL129" i="31" s="1"/>
  <c r="BP125" i="29"/>
  <c r="BP129" i="31" s="1"/>
  <c r="BT125" i="29"/>
  <c r="BT129" i="31" s="1"/>
  <c r="CB125" i="29"/>
  <c r="CB129" i="31" s="1"/>
  <c r="CF125" i="29"/>
  <c r="CF129" i="31" s="1"/>
  <c r="CJ125" i="29"/>
  <c r="CJ129" i="31" s="1"/>
  <c r="CR125" i="29"/>
  <c r="CR129" i="31" s="1"/>
  <c r="CV125" i="29"/>
  <c r="CV129" i="31" s="1"/>
  <c r="CZ125" i="29"/>
  <c r="CZ129" i="31" s="1"/>
  <c r="DH125" i="29"/>
  <c r="DH129" i="31" s="1"/>
  <c r="DL125" i="29"/>
  <c r="DL129" i="31" s="1"/>
  <c r="DP125" i="29"/>
  <c r="DP129" i="31" s="1"/>
  <c r="DX125" i="29"/>
  <c r="DX129" i="31" s="1"/>
  <c r="EB125" i="29"/>
  <c r="EB129" i="31" s="1"/>
  <c r="EF125" i="29"/>
  <c r="EF129" i="31" s="1"/>
  <c r="EN125" i="29"/>
  <c r="EN129" i="31" s="1"/>
  <c r="ER125" i="29"/>
  <c r="ER129" i="31" s="1"/>
  <c r="EV125" i="29"/>
  <c r="EV129" i="31" s="1"/>
  <c r="FD125" i="29"/>
  <c r="FD129" i="31" s="1"/>
  <c r="FH125" i="29"/>
  <c r="FH129" i="31" s="1"/>
  <c r="FL125" i="29"/>
  <c r="FL129" i="31" s="1"/>
  <c r="FT125" i="29"/>
  <c r="FT129" i="31" s="1"/>
  <c r="FX125" i="29"/>
  <c r="FX129" i="31" s="1"/>
  <c r="GB125" i="29"/>
  <c r="GB129" i="31" s="1"/>
  <c r="GJ125" i="29"/>
  <c r="GJ129" i="31" s="1"/>
  <c r="GN125" i="29"/>
  <c r="GN129" i="31" s="1"/>
  <c r="GR125" i="29"/>
  <c r="GR129" i="31" s="1"/>
  <c r="GZ125" i="29"/>
  <c r="GZ129" i="31" s="1"/>
  <c r="HD125" i="29"/>
  <c r="HD129" i="31" s="1"/>
  <c r="HH125" i="29"/>
  <c r="HH129" i="31" s="1"/>
  <c r="HP125" i="29"/>
  <c r="HP129" i="31" s="1"/>
  <c r="HT125" i="29"/>
  <c r="HT129" i="31" s="1"/>
  <c r="HX125" i="29"/>
  <c r="HX129" i="31" s="1"/>
  <c r="IF125" i="29"/>
  <c r="IF129" i="31" s="1"/>
  <c r="IJ125" i="29"/>
  <c r="IJ129" i="31" s="1"/>
  <c r="IN125" i="29"/>
  <c r="IN129" i="31" s="1"/>
  <c r="IV125" i="29"/>
  <c r="IV129" i="31" s="1"/>
  <c r="IZ125" i="29"/>
  <c r="IZ129" i="31" s="1"/>
  <c r="JD125" i="29"/>
  <c r="JD129" i="31" s="1"/>
  <c r="JI120" i="29"/>
  <c r="JI124" i="31" s="1"/>
  <c r="JI122" i="29"/>
  <c r="JI126" i="31" s="1"/>
  <c r="AM144" i="29"/>
  <c r="AQ144" i="29"/>
  <c r="BO144" i="29"/>
  <c r="CI144" i="29"/>
  <c r="JI140" i="29"/>
  <c r="JI144" i="31" s="1"/>
  <c r="JI135" i="29"/>
  <c r="JI141" i="29"/>
  <c r="JI145" i="31" s="1"/>
  <c r="HO151" i="29"/>
  <c r="HO155" i="31" s="1"/>
  <c r="HO154" i="29"/>
  <c r="HO155" i="29" s="1"/>
  <c r="JO48" i="29" l="1"/>
  <c r="JP48" i="29" s="1"/>
  <c r="JL129" i="31"/>
  <c r="JP127" i="31"/>
  <c r="DS144" i="29"/>
  <c r="DS148" i="31" s="1"/>
  <c r="BW144" i="29"/>
  <c r="JI48" i="29"/>
  <c r="JI52" i="31" s="1"/>
  <c r="JO44" i="31"/>
  <c r="JP44" i="31" s="1"/>
  <c r="JM10" i="31"/>
  <c r="JP78" i="31"/>
  <c r="DC144" i="29"/>
  <c r="DC145" i="29" s="1"/>
  <c r="Z144" i="29"/>
  <c r="Z148" i="31" s="1"/>
  <c r="JO52" i="31"/>
  <c r="JP52" i="31" s="1"/>
  <c r="CM144" i="29"/>
  <c r="BG144" i="29"/>
  <c r="BG148" i="31" s="1"/>
  <c r="J144" i="29"/>
  <c r="J148" i="31" s="1"/>
  <c r="F144" i="29"/>
  <c r="F145" i="29" s="1"/>
  <c r="AY144" i="29"/>
  <c r="AY145" i="29" s="1"/>
  <c r="CE144" i="29"/>
  <c r="CE145" i="29" s="1"/>
  <c r="V144" i="29"/>
  <c r="V145" i="29" s="1"/>
  <c r="BS144" i="29"/>
  <c r="BS145" i="29" s="1"/>
  <c r="R144" i="29"/>
  <c r="IQ144" i="29"/>
  <c r="IQ148" i="31" s="1"/>
  <c r="GE144" i="29"/>
  <c r="GE145" i="29" s="1"/>
  <c r="FO144" i="29"/>
  <c r="FO145" i="29" s="1"/>
  <c r="EY144" i="29"/>
  <c r="EY148" i="31" s="1"/>
  <c r="EI144" i="29"/>
  <c r="EI148" i="31" s="1"/>
  <c r="BJ144" i="29"/>
  <c r="CH144" i="29"/>
  <c r="CH148" i="31" s="1"/>
  <c r="IA144" i="29"/>
  <c r="IA148" i="31" s="1"/>
  <c r="GU144" i="29"/>
  <c r="GU145" i="29" s="1"/>
  <c r="EU144" i="29"/>
  <c r="EU145" i="29" s="1"/>
  <c r="CY144" i="29"/>
  <c r="CY148" i="31" s="1"/>
  <c r="FW144" i="29"/>
  <c r="FW145" i="29" s="1"/>
  <c r="HO144" i="29"/>
  <c r="HO145" i="29" s="1"/>
  <c r="HK144" i="29"/>
  <c r="HK148" i="31" s="1"/>
  <c r="EE144" i="29"/>
  <c r="EE145" i="29" s="1"/>
  <c r="JG144" i="29"/>
  <c r="JG145" i="29" s="1"/>
  <c r="IM144" i="29"/>
  <c r="IM145" i="29" s="1"/>
  <c r="EA144" i="29"/>
  <c r="EA148" i="31" s="1"/>
  <c r="GQ144" i="29"/>
  <c r="GQ145" i="29" s="1"/>
  <c r="EQ144" i="29"/>
  <c r="EQ148" i="31" s="1"/>
  <c r="GM144" i="29"/>
  <c r="GM145" i="29" s="1"/>
  <c r="FK144" i="29"/>
  <c r="FK148" i="31" s="1"/>
  <c r="DK144" i="29"/>
  <c r="DK145" i="29" s="1"/>
  <c r="JF144" i="29"/>
  <c r="JF148" i="31" s="1"/>
  <c r="HO159" i="31"/>
  <c r="HO162" i="31" s="1"/>
  <c r="HO153" i="29"/>
  <c r="JE144" i="29"/>
  <c r="JE147" i="31"/>
  <c r="IO144" i="29"/>
  <c r="IO147" i="31"/>
  <c r="HY144" i="29"/>
  <c r="HY147" i="31"/>
  <c r="HI144" i="29"/>
  <c r="HI147" i="31"/>
  <c r="GS144" i="29"/>
  <c r="GS147" i="31"/>
  <c r="GC144" i="29"/>
  <c r="GC147" i="31"/>
  <c r="FM144" i="29"/>
  <c r="FM147" i="31"/>
  <c r="EW144" i="29"/>
  <c r="EW147" i="31"/>
  <c r="EG144" i="29"/>
  <c r="EG147" i="31"/>
  <c r="DQ144" i="29"/>
  <c r="DQ147" i="31"/>
  <c r="DA144" i="29"/>
  <c r="DA148" i="31" s="1"/>
  <c r="DA147" i="31"/>
  <c r="CK144" i="29"/>
  <c r="CK147" i="31"/>
  <c r="BU144" i="29"/>
  <c r="BU147" i="31"/>
  <c r="BE144" i="29"/>
  <c r="BE147" i="31"/>
  <c r="AO144" i="29"/>
  <c r="AO147" i="31"/>
  <c r="X144" i="29"/>
  <c r="X147" i="31"/>
  <c r="H144" i="29"/>
  <c r="H147" i="31"/>
  <c r="IY144" i="29"/>
  <c r="IY142" i="31"/>
  <c r="II144" i="29"/>
  <c r="II142" i="31"/>
  <c r="HS144" i="29"/>
  <c r="HS142" i="31"/>
  <c r="HC144" i="29"/>
  <c r="HC142" i="31"/>
  <c r="HZ144" i="29"/>
  <c r="S144" i="29"/>
  <c r="S142" i="31"/>
  <c r="IH144" i="29"/>
  <c r="IH147" i="31"/>
  <c r="DZ144" i="29"/>
  <c r="DZ147" i="31"/>
  <c r="DJ144" i="29"/>
  <c r="DJ147" i="31"/>
  <c r="CT144" i="29"/>
  <c r="CT147" i="31"/>
  <c r="CD144" i="29"/>
  <c r="CD147" i="31"/>
  <c r="BN144" i="29"/>
  <c r="BN147" i="31"/>
  <c r="AX144" i="29"/>
  <c r="AX147" i="31"/>
  <c r="AH144" i="29"/>
  <c r="AH147" i="31"/>
  <c r="Q144" i="29"/>
  <c r="Q147" i="31"/>
  <c r="ED144" i="29"/>
  <c r="AL144" i="29"/>
  <c r="CA54" i="29"/>
  <c r="CA43" i="31"/>
  <c r="JP51" i="31"/>
  <c r="JN41" i="31"/>
  <c r="JP41" i="31" s="1"/>
  <c r="JP79" i="31"/>
  <c r="JI138" i="29"/>
  <c r="JI142" i="31" s="1"/>
  <c r="JI139" i="31"/>
  <c r="CM145" i="29"/>
  <c r="CM148" i="31"/>
  <c r="AQ145" i="29"/>
  <c r="AQ148" i="31"/>
  <c r="R145" i="29"/>
  <c r="R148" i="31"/>
  <c r="CI145" i="29"/>
  <c r="CI148" i="31"/>
  <c r="BO145" i="29"/>
  <c r="BO148" i="31"/>
  <c r="AM145" i="29"/>
  <c r="AM148" i="31"/>
  <c r="J145" i="29"/>
  <c r="CA36" i="29"/>
  <c r="JA144" i="29"/>
  <c r="JA147" i="31"/>
  <c r="IK144" i="29"/>
  <c r="IK147" i="31"/>
  <c r="HU144" i="29"/>
  <c r="HU147" i="31"/>
  <c r="HE144" i="29"/>
  <c r="HE147" i="31"/>
  <c r="GO144" i="29"/>
  <c r="GO147" i="31"/>
  <c r="FY144" i="29"/>
  <c r="FY147" i="31"/>
  <c r="FI144" i="29"/>
  <c r="FI147" i="31"/>
  <c r="ES144" i="29"/>
  <c r="ES147" i="31"/>
  <c r="EC144" i="29"/>
  <c r="EC147" i="31"/>
  <c r="DM144" i="29"/>
  <c r="DM147" i="31"/>
  <c r="CW144" i="29"/>
  <c r="CW147" i="31"/>
  <c r="CG144" i="29"/>
  <c r="CG147" i="31"/>
  <c r="BQ144" i="29"/>
  <c r="BQ147" i="31"/>
  <c r="BA144" i="29"/>
  <c r="BA147" i="31"/>
  <c r="AK144" i="29"/>
  <c r="AK147" i="31"/>
  <c r="T144" i="29"/>
  <c r="T147" i="31"/>
  <c r="D144" i="29"/>
  <c r="D147" i="31"/>
  <c r="IZ144" i="29"/>
  <c r="IZ147" i="31"/>
  <c r="IJ144" i="29"/>
  <c r="IJ147" i="31"/>
  <c r="HT144" i="29"/>
  <c r="HT147" i="31"/>
  <c r="HD144" i="29"/>
  <c r="HD147" i="31"/>
  <c r="GN144" i="29"/>
  <c r="GN147" i="31"/>
  <c r="FX144" i="29"/>
  <c r="FX147" i="31"/>
  <c r="FH144" i="29"/>
  <c r="FH147" i="31"/>
  <c r="ER144" i="29"/>
  <c r="ER147" i="31"/>
  <c r="EB145" i="29"/>
  <c r="EB147" i="31"/>
  <c r="DL144" i="29"/>
  <c r="DL147" i="31"/>
  <c r="CV144" i="29"/>
  <c r="CV147" i="31"/>
  <c r="CF144" i="29"/>
  <c r="CF147" i="31"/>
  <c r="BP144" i="29"/>
  <c r="BP147" i="31"/>
  <c r="AZ144" i="29"/>
  <c r="AZ147" i="31"/>
  <c r="AJ144" i="29"/>
  <c r="AJ147" i="31"/>
  <c r="C144" i="29"/>
  <c r="C147" i="31"/>
  <c r="GT144" i="29"/>
  <c r="DV144" i="29"/>
  <c r="DV147" i="31"/>
  <c r="DF144" i="29"/>
  <c r="DF148" i="31" s="1"/>
  <c r="DF147" i="31"/>
  <c r="CP144" i="29"/>
  <c r="CP147" i="31"/>
  <c r="BZ144" i="29"/>
  <c r="BZ147" i="31"/>
  <c r="AT144" i="29"/>
  <c r="AT147" i="31"/>
  <c r="AD144" i="29"/>
  <c r="AD147" i="31"/>
  <c r="M144" i="29"/>
  <c r="M147" i="31"/>
  <c r="DN144" i="29"/>
  <c r="E144" i="29"/>
  <c r="HO101" i="29"/>
  <c r="HO105" i="31" s="1"/>
  <c r="HO58" i="31"/>
  <c r="BL36" i="29"/>
  <c r="ET101" i="29"/>
  <c r="ET58" i="31"/>
  <c r="JP125" i="31"/>
  <c r="IW144" i="29"/>
  <c r="IW147" i="31"/>
  <c r="IG144" i="29"/>
  <c r="IG147" i="31"/>
  <c r="HQ144" i="29"/>
  <c r="HQ147" i="31"/>
  <c r="HA144" i="29"/>
  <c r="HA147" i="31"/>
  <c r="GK144" i="29"/>
  <c r="GK147" i="31"/>
  <c r="FU144" i="29"/>
  <c r="FU147" i="31"/>
  <c r="FE144" i="29"/>
  <c r="FE147" i="31"/>
  <c r="EO144" i="29"/>
  <c r="EO147" i="31"/>
  <c r="DY144" i="29"/>
  <c r="DY147" i="31"/>
  <c r="DI144" i="29"/>
  <c r="DI147" i="31"/>
  <c r="CS144" i="29"/>
  <c r="CS147" i="31"/>
  <c r="CC144" i="29"/>
  <c r="CC147" i="31"/>
  <c r="BM144" i="29"/>
  <c r="BM147" i="31"/>
  <c r="AW144" i="29"/>
  <c r="AW147" i="31"/>
  <c r="AG144" i="29"/>
  <c r="AG147" i="31"/>
  <c r="P144" i="29"/>
  <c r="P147" i="31"/>
  <c r="IV144" i="29"/>
  <c r="IV147" i="31"/>
  <c r="IF144" i="29"/>
  <c r="IF147" i="31"/>
  <c r="HP144" i="29"/>
  <c r="HP147" i="31"/>
  <c r="GZ144" i="29"/>
  <c r="GZ147" i="31"/>
  <c r="GJ144" i="29"/>
  <c r="GJ147" i="31"/>
  <c r="FT144" i="29"/>
  <c r="FT147" i="31"/>
  <c r="FD144" i="29"/>
  <c r="FD147" i="31"/>
  <c r="EN144" i="29"/>
  <c r="EN147" i="31"/>
  <c r="DX144" i="29"/>
  <c r="DX147" i="31"/>
  <c r="DH144" i="29"/>
  <c r="DH147" i="31"/>
  <c r="CR144" i="29"/>
  <c r="CR147" i="31"/>
  <c r="CB144" i="29"/>
  <c r="CB147" i="31"/>
  <c r="BL144" i="29"/>
  <c r="BL147" i="31"/>
  <c r="AV144" i="29"/>
  <c r="AV147" i="31"/>
  <c r="AF144" i="29"/>
  <c r="AF147" i="31"/>
  <c r="O144" i="29"/>
  <c r="O147" i="31"/>
  <c r="FG144" i="29"/>
  <c r="FG142" i="31"/>
  <c r="CU144" i="29"/>
  <c r="CU142" i="31"/>
  <c r="AI144" i="29"/>
  <c r="AI142" i="31"/>
  <c r="IL144" i="29"/>
  <c r="IL142" i="31"/>
  <c r="HV144" i="29"/>
  <c r="HV142" i="31"/>
  <c r="HF144" i="29"/>
  <c r="HF142" i="31"/>
  <c r="GP144" i="29"/>
  <c r="GP142" i="31"/>
  <c r="FZ144" i="29"/>
  <c r="FZ142" i="31"/>
  <c r="FJ144" i="29"/>
  <c r="FJ142" i="31"/>
  <c r="ET144" i="29"/>
  <c r="ET142" i="31"/>
  <c r="IP144" i="29"/>
  <c r="IP147" i="31"/>
  <c r="EH144" i="29"/>
  <c r="EH147" i="31"/>
  <c r="DR144" i="29"/>
  <c r="DR147" i="31"/>
  <c r="DB144" i="29"/>
  <c r="DB147" i="31"/>
  <c r="CL144" i="29"/>
  <c r="CL147" i="31"/>
  <c r="BV144" i="29"/>
  <c r="BV147" i="31"/>
  <c r="BF144" i="29"/>
  <c r="BF148" i="31" s="1"/>
  <c r="BF147" i="31"/>
  <c r="AP144" i="29"/>
  <c r="AP147" i="31"/>
  <c r="Y144" i="29"/>
  <c r="Y147" i="31"/>
  <c r="I144" i="29"/>
  <c r="I147" i="31"/>
  <c r="CS54" i="29"/>
  <c r="CS43" i="31"/>
  <c r="BL54" i="29"/>
  <c r="BL43" i="31"/>
  <c r="GZ36" i="29"/>
  <c r="GZ46" i="31"/>
  <c r="GZ101" i="29"/>
  <c r="GZ58" i="31"/>
  <c r="JN10" i="31"/>
  <c r="Z145" i="29"/>
  <c r="BW145" i="29"/>
  <c r="BW148" i="31"/>
  <c r="V148" i="31"/>
  <c r="CA133" i="29"/>
  <c r="CA136" i="31"/>
  <c r="IS144" i="29"/>
  <c r="IS147" i="31"/>
  <c r="IC144" i="29"/>
  <c r="IC147" i="31"/>
  <c r="HM144" i="29"/>
  <c r="HM147" i="31"/>
  <c r="GW144" i="29"/>
  <c r="GW147" i="31"/>
  <c r="GG144" i="29"/>
  <c r="GG147" i="31"/>
  <c r="FQ144" i="29"/>
  <c r="FQ147" i="31"/>
  <c r="FA144" i="29"/>
  <c r="FA147" i="31"/>
  <c r="EK144" i="29"/>
  <c r="EK147" i="31"/>
  <c r="DU144" i="29"/>
  <c r="DU147" i="31"/>
  <c r="CO144" i="29"/>
  <c r="CO147" i="31"/>
  <c r="BY144" i="29"/>
  <c r="BY147" i="31"/>
  <c r="BI144" i="29"/>
  <c r="BI147" i="31"/>
  <c r="AB144" i="29"/>
  <c r="AB147" i="31"/>
  <c r="JC144" i="29"/>
  <c r="JC142" i="31"/>
  <c r="HW144" i="29"/>
  <c r="HW142" i="31"/>
  <c r="HG144" i="29"/>
  <c r="HG142" i="31"/>
  <c r="JH144" i="29"/>
  <c r="JH147" i="31"/>
  <c r="IR144" i="29"/>
  <c r="IR147" i="31"/>
  <c r="IB144" i="29"/>
  <c r="IB147" i="31"/>
  <c r="HL144" i="29"/>
  <c r="HL147" i="31"/>
  <c r="GV144" i="29"/>
  <c r="GV147" i="31"/>
  <c r="GF144" i="29"/>
  <c r="GF147" i="31"/>
  <c r="FP144" i="29"/>
  <c r="FP147" i="31"/>
  <c r="EZ144" i="29"/>
  <c r="EZ147" i="31"/>
  <c r="EJ144" i="29"/>
  <c r="EJ147" i="31"/>
  <c r="DT144" i="29"/>
  <c r="DT147" i="31"/>
  <c r="DD144" i="29"/>
  <c r="DD147" i="31"/>
  <c r="CN144" i="29"/>
  <c r="CN147" i="31"/>
  <c r="BX144" i="29"/>
  <c r="BX147" i="31"/>
  <c r="BH144" i="29"/>
  <c r="BH148" i="31" s="1"/>
  <c r="BH147" i="31"/>
  <c r="AR144" i="29"/>
  <c r="AR147" i="31"/>
  <c r="AA144" i="29"/>
  <c r="AA147" i="31"/>
  <c r="K144" i="29"/>
  <c r="K147" i="31"/>
  <c r="JB144" i="29"/>
  <c r="JB148" i="31" s="1"/>
  <c r="GI144" i="29"/>
  <c r="GI142" i="31"/>
  <c r="FS144" i="29"/>
  <c r="FS142" i="31"/>
  <c r="FC144" i="29"/>
  <c r="FC142" i="31"/>
  <c r="EM144" i="29"/>
  <c r="EM142" i="31"/>
  <c r="DW144" i="29"/>
  <c r="DW142" i="31"/>
  <c r="DG144" i="29"/>
  <c r="DG142" i="31"/>
  <c r="CQ144" i="29"/>
  <c r="CQ142" i="31"/>
  <c r="CA144" i="29"/>
  <c r="CA142" i="31"/>
  <c r="BK144" i="29"/>
  <c r="BK142" i="31"/>
  <c r="AU144" i="29"/>
  <c r="AU142" i="31"/>
  <c r="AE144" i="29"/>
  <c r="AE142" i="31"/>
  <c r="N144" i="29"/>
  <c r="N142" i="31"/>
  <c r="JN129" i="31"/>
  <c r="JM129" i="31"/>
  <c r="JO129" i="31"/>
  <c r="CX144" i="29"/>
  <c r="CX147" i="31"/>
  <c r="BR144" i="29"/>
  <c r="BR147" i="31"/>
  <c r="BB144" i="29"/>
  <c r="BB147" i="31"/>
  <c r="U144" i="29"/>
  <c r="U147" i="31"/>
  <c r="BJ145" i="29"/>
  <c r="BJ148" i="31"/>
  <c r="BK54" i="29"/>
  <c r="BK43" i="31"/>
  <c r="IK101" i="29"/>
  <c r="IK105" i="31" s="1"/>
  <c r="IK58" i="31"/>
  <c r="FR36" i="29"/>
  <c r="FR46" i="31"/>
  <c r="JP126" i="31"/>
  <c r="FR101" i="29"/>
  <c r="FR58" i="31"/>
  <c r="JP128" i="31"/>
  <c r="JP124" i="31"/>
  <c r="HJ144" i="29"/>
  <c r="GD144" i="29"/>
  <c r="FN144" i="29"/>
  <c r="EX144" i="29"/>
  <c r="GA144" i="29"/>
  <c r="DO144" i="29"/>
  <c r="BC144" i="29"/>
  <c r="DE144" i="29"/>
  <c r="AS144" i="29"/>
  <c r="HO115" i="29"/>
  <c r="HO158" i="29"/>
  <c r="HO183" i="29"/>
  <c r="L144" i="29"/>
  <c r="IX144" i="29"/>
  <c r="HR144" i="29"/>
  <c r="HB144" i="29"/>
  <c r="GL144" i="29"/>
  <c r="FV144" i="29"/>
  <c r="FF144" i="29"/>
  <c r="EP144" i="29"/>
  <c r="IT144" i="29"/>
  <c r="ID144" i="29"/>
  <c r="HN144" i="29"/>
  <c r="GX144" i="29"/>
  <c r="GH144" i="29"/>
  <c r="FR144" i="29"/>
  <c r="FB144" i="29"/>
  <c r="EL144" i="29"/>
  <c r="CA99" i="29"/>
  <c r="CA103" i="31" s="1"/>
  <c r="JO125" i="29"/>
  <c r="JM125" i="29"/>
  <c r="JP75" i="29"/>
  <c r="JD144" i="29"/>
  <c r="JD148" i="31" s="1"/>
  <c r="IN144" i="29"/>
  <c r="HX144" i="29"/>
  <c r="HH144" i="29"/>
  <c r="GR144" i="29"/>
  <c r="GB144" i="29"/>
  <c r="FL144" i="29"/>
  <c r="EV144" i="29"/>
  <c r="EF144" i="29"/>
  <c r="DP144" i="29"/>
  <c r="CZ144" i="29"/>
  <c r="CJ144" i="29"/>
  <c r="BT144" i="29"/>
  <c r="BD144" i="29"/>
  <c r="AN144" i="29"/>
  <c r="W144" i="29"/>
  <c r="G144" i="29"/>
  <c r="IU144" i="29"/>
  <c r="IE144" i="29"/>
  <c r="GY144" i="29"/>
  <c r="JN125" i="29"/>
  <c r="JP122" i="29"/>
  <c r="JI143" i="29"/>
  <c r="JI147" i="31" s="1"/>
  <c r="JP121" i="29"/>
  <c r="JP124" i="29"/>
  <c r="JP40" i="29"/>
  <c r="JI125" i="29"/>
  <c r="JI129" i="31" s="1"/>
  <c r="JP10" i="29"/>
  <c r="JP123" i="29"/>
  <c r="JP87" i="29"/>
  <c r="JP74" i="29"/>
  <c r="JP120" i="29"/>
  <c r="JL125" i="29"/>
  <c r="JP47" i="29"/>
  <c r="JP37" i="29"/>
  <c r="AY148" i="31" l="1"/>
  <c r="IK115" i="29"/>
  <c r="EB147" i="29"/>
  <c r="EB151" i="31" s="1"/>
  <c r="EB149" i="31"/>
  <c r="JP10" i="31"/>
  <c r="GE148" i="31"/>
  <c r="DS145" i="29"/>
  <c r="DS149" i="31" s="1"/>
  <c r="DC148" i="31"/>
  <c r="CH145" i="29"/>
  <c r="CH147" i="29" s="1"/>
  <c r="CH151" i="31" s="1"/>
  <c r="JP129" i="31"/>
  <c r="F148" i="31"/>
  <c r="BS148" i="31"/>
  <c r="CE148" i="31"/>
  <c r="IQ145" i="29"/>
  <c r="IQ147" i="29" s="1"/>
  <c r="IQ151" i="31" s="1"/>
  <c r="EI145" i="29"/>
  <c r="EI147" i="29" s="1"/>
  <c r="EI151" i="31" s="1"/>
  <c r="FW148" i="31"/>
  <c r="EY145" i="29"/>
  <c r="EY149" i="31" s="1"/>
  <c r="JG148" i="31"/>
  <c r="FO148" i="31"/>
  <c r="IA145" i="29"/>
  <c r="IA149" i="31" s="1"/>
  <c r="GU148" i="31"/>
  <c r="EU148" i="31"/>
  <c r="EA145" i="29"/>
  <c r="EA147" i="29" s="1"/>
  <c r="EA151" i="31" s="1"/>
  <c r="HO148" i="31"/>
  <c r="CY145" i="29"/>
  <c r="CY149" i="31" s="1"/>
  <c r="EE148" i="31"/>
  <c r="GQ148" i="31"/>
  <c r="HK145" i="29"/>
  <c r="HK149" i="31" s="1"/>
  <c r="FK145" i="29"/>
  <c r="FK149" i="31" s="1"/>
  <c r="IM148" i="31"/>
  <c r="GM148" i="31"/>
  <c r="DK148" i="31"/>
  <c r="JF145" i="29"/>
  <c r="JF147" i="29" s="1"/>
  <c r="JF151" i="31" s="1"/>
  <c r="EQ145" i="29"/>
  <c r="EQ147" i="29" s="1"/>
  <c r="EQ151" i="31" s="1"/>
  <c r="HX145" i="29"/>
  <c r="HX148" i="31"/>
  <c r="AL145" i="29"/>
  <c r="AL148" i="31"/>
  <c r="HC145" i="29"/>
  <c r="HC148" i="31"/>
  <c r="II145" i="29"/>
  <c r="II148" i="31"/>
  <c r="H145" i="29"/>
  <c r="H148" i="31"/>
  <c r="AO145" i="29"/>
  <c r="AO148" i="31"/>
  <c r="BU145" i="29"/>
  <c r="BU148" i="31"/>
  <c r="EG145" i="29"/>
  <c r="EG148" i="31"/>
  <c r="FM145" i="29"/>
  <c r="FM148" i="31"/>
  <c r="GS145" i="29"/>
  <c r="GS148" i="31"/>
  <c r="HY145" i="29"/>
  <c r="HY148" i="31"/>
  <c r="JE145" i="29"/>
  <c r="JE148" i="31"/>
  <c r="N145" i="29"/>
  <c r="N148" i="31"/>
  <c r="AU145" i="29"/>
  <c r="AU148" i="31"/>
  <c r="CA145" i="29"/>
  <c r="CA148" i="31"/>
  <c r="DG145" i="29"/>
  <c r="DG148" i="31"/>
  <c r="EM145" i="29"/>
  <c r="EM148" i="31"/>
  <c r="FS145" i="29"/>
  <c r="FS148" i="31"/>
  <c r="GZ105" i="31"/>
  <c r="GZ115" i="29"/>
  <c r="BL101" i="29"/>
  <c r="BL58" i="31"/>
  <c r="Y145" i="29"/>
  <c r="Y148" i="31"/>
  <c r="CL145" i="29"/>
  <c r="CL148" i="31"/>
  <c r="DR145" i="29"/>
  <c r="DR148" i="31"/>
  <c r="IP145" i="29"/>
  <c r="IP148" i="31"/>
  <c r="FJ145" i="29"/>
  <c r="FJ148" i="31"/>
  <c r="GP145" i="29"/>
  <c r="GP148" i="31"/>
  <c r="HV145" i="29"/>
  <c r="HV148" i="31"/>
  <c r="AI145" i="29"/>
  <c r="AI148" i="31"/>
  <c r="FG145" i="29"/>
  <c r="FG148" i="31"/>
  <c r="O145" i="29"/>
  <c r="O148" i="31"/>
  <c r="AV145" i="29"/>
  <c r="AV148" i="31"/>
  <c r="CB145" i="29"/>
  <c r="CB148" i="31"/>
  <c r="DH145" i="29"/>
  <c r="DH148" i="31"/>
  <c r="EN145" i="29"/>
  <c r="EN148" i="31"/>
  <c r="FT145" i="29"/>
  <c r="FT148" i="31"/>
  <c r="GZ145" i="29"/>
  <c r="GZ148" i="31"/>
  <c r="IF145" i="29"/>
  <c r="IF148" i="31"/>
  <c r="P145" i="29"/>
  <c r="P148" i="31"/>
  <c r="AW145" i="29"/>
  <c r="AW148" i="31"/>
  <c r="CC145" i="29"/>
  <c r="CC148" i="31"/>
  <c r="DI145" i="29"/>
  <c r="DI148" i="31"/>
  <c r="EO145" i="29"/>
  <c r="EO148" i="31"/>
  <c r="FU145" i="29"/>
  <c r="FU148" i="31"/>
  <c r="HA145" i="29"/>
  <c r="HA148" i="31"/>
  <c r="IG145" i="29"/>
  <c r="IG148" i="31"/>
  <c r="F147" i="29"/>
  <c r="F151" i="31" s="1"/>
  <c r="F149" i="31"/>
  <c r="BL73" i="29"/>
  <c r="BL40" i="31"/>
  <c r="DN145" i="29"/>
  <c r="DN148" i="31"/>
  <c r="AD145" i="29"/>
  <c r="AD148" i="31"/>
  <c r="BZ145" i="29"/>
  <c r="BZ148" i="31"/>
  <c r="J147" i="29"/>
  <c r="J151" i="31" s="1"/>
  <c r="J149" i="31"/>
  <c r="BO147" i="29"/>
  <c r="BO151" i="31" s="1"/>
  <c r="BO149" i="31"/>
  <c r="DK147" i="29"/>
  <c r="DK151" i="31" s="1"/>
  <c r="DK149" i="31"/>
  <c r="HO147" i="29"/>
  <c r="HO151" i="31" s="1"/>
  <c r="HO149" i="31"/>
  <c r="R147" i="29"/>
  <c r="R151" i="31" s="1"/>
  <c r="R149" i="31"/>
  <c r="BS147" i="29"/>
  <c r="BS151" i="31" s="1"/>
  <c r="BS149" i="31"/>
  <c r="FO147" i="29"/>
  <c r="FO151" i="31" s="1"/>
  <c r="FO149" i="31"/>
  <c r="GU147" i="29"/>
  <c r="GU151" i="31" s="1"/>
  <c r="GU149" i="31"/>
  <c r="IU145" i="29"/>
  <c r="IU148" i="31"/>
  <c r="BD145" i="29"/>
  <c r="BD148" i="31"/>
  <c r="DP145" i="29"/>
  <c r="DP148" i="31"/>
  <c r="GB145" i="29"/>
  <c r="GB148" i="31"/>
  <c r="IN145" i="29"/>
  <c r="IN148" i="31"/>
  <c r="FR145" i="29"/>
  <c r="FR148" i="31"/>
  <c r="ID145" i="29"/>
  <c r="ID148" i="31"/>
  <c r="FV145" i="29"/>
  <c r="FV148" i="31"/>
  <c r="IX145" i="29"/>
  <c r="IX148" i="31"/>
  <c r="IK150" i="29"/>
  <c r="IK119" i="31"/>
  <c r="BC145" i="29"/>
  <c r="BC148" i="31"/>
  <c r="FN145" i="29"/>
  <c r="FN148" i="31"/>
  <c r="FR73" i="29"/>
  <c r="FR40" i="31"/>
  <c r="BK101" i="29"/>
  <c r="BK58" i="31"/>
  <c r="U145" i="29"/>
  <c r="U148" i="31"/>
  <c r="BR145" i="29"/>
  <c r="BR148" i="31"/>
  <c r="K145" i="29"/>
  <c r="K148" i="31"/>
  <c r="AR145" i="29"/>
  <c r="AR148" i="31"/>
  <c r="BX145" i="29"/>
  <c r="BX148" i="31"/>
  <c r="DD145" i="29"/>
  <c r="DD148" i="31"/>
  <c r="EJ145" i="29"/>
  <c r="EJ148" i="31"/>
  <c r="FP145" i="29"/>
  <c r="FP148" i="31"/>
  <c r="GV145" i="29"/>
  <c r="GV148" i="31"/>
  <c r="IB145" i="29"/>
  <c r="IB148" i="31"/>
  <c r="JH145" i="29"/>
  <c r="JH148" i="31"/>
  <c r="HW145" i="29"/>
  <c r="HW148" i="31"/>
  <c r="AB145" i="29"/>
  <c r="AB148" i="31"/>
  <c r="BY145" i="29"/>
  <c r="BY148" i="31"/>
  <c r="DU145" i="29"/>
  <c r="DU148" i="31"/>
  <c r="FA145" i="29"/>
  <c r="FA148" i="31"/>
  <c r="GG145" i="29"/>
  <c r="GG148" i="31"/>
  <c r="HM145" i="29"/>
  <c r="HM148" i="31"/>
  <c r="IS145" i="29"/>
  <c r="IS148" i="31"/>
  <c r="V147" i="29"/>
  <c r="V151" i="31" s="1"/>
  <c r="V149" i="31"/>
  <c r="BW147" i="29"/>
  <c r="BW151" i="31" s="1"/>
  <c r="BW149" i="31"/>
  <c r="EU147" i="29"/>
  <c r="EU151" i="31" s="1"/>
  <c r="EU149" i="31"/>
  <c r="IM147" i="29"/>
  <c r="IM151" i="31" s="1"/>
  <c r="IM149" i="31"/>
  <c r="CE147" i="29"/>
  <c r="CE151" i="31" s="1"/>
  <c r="CE149" i="31"/>
  <c r="C145" i="29"/>
  <c r="C148" i="31"/>
  <c r="AZ145" i="29"/>
  <c r="AZ148" i="31"/>
  <c r="CF145" i="29"/>
  <c r="CF148" i="31"/>
  <c r="DL145" i="29"/>
  <c r="DL148" i="31"/>
  <c r="ER145" i="29"/>
  <c r="ER148" i="31"/>
  <c r="FX145" i="29"/>
  <c r="FX148" i="31"/>
  <c r="HD145" i="29"/>
  <c r="HD148" i="31"/>
  <c r="IJ145" i="29"/>
  <c r="IJ148" i="31"/>
  <c r="D145" i="29"/>
  <c r="D148" i="31"/>
  <c r="AK145" i="29"/>
  <c r="AK148" i="31"/>
  <c r="BQ145" i="29"/>
  <c r="BQ148" i="31"/>
  <c r="CW145" i="29"/>
  <c r="CW148" i="31"/>
  <c r="EC145" i="29"/>
  <c r="EC148" i="31"/>
  <c r="FI145" i="29"/>
  <c r="FI148" i="31"/>
  <c r="GO145" i="29"/>
  <c r="GO148" i="31"/>
  <c r="HU145" i="29"/>
  <c r="HU148" i="31"/>
  <c r="JA145" i="29"/>
  <c r="JA148" i="31"/>
  <c r="ED145" i="29"/>
  <c r="ED148" i="31"/>
  <c r="AH145" i="29"/>
  <c r="AH148" i="31"/>
  <c r="BN145" i="29"/>
  <c r="BN148" i="31"/>
  <c r="CT145" i="29"/>
  <c r="CT148" i="31"/>
  <c r="DZ145" i="29"/>
  <c r="DZ148" i="31"/>
  <c r="S145" i="29"/>
  <c r="S148" i="31"/>
  <c r="FB145" i="29"/>
  <c r="FB148" i="31"/>
  <c r="HN145" i="29"/>
  <c r="HN148" i="31"/>
  <c r="FF145" i="29"/>
  <c r="FF148" i="31"/>
  <c r="HR145" i="29"/>
  <c r="HR148" i="31"/>
  <c r="DE145" i="29"/>
  <c r="DE148" i="31"/>
  <c r="EX145" i="29"/>
  <c r="EX148" i="31"/>
  <c r="FR105" i="31"/>
  <c r="FR115" i="29"/>
  <c r="G145" i="29"/>
  <c r="G148" i="31"/>
  <c r="BT145" i="29"/>
  <c r="BT148" i="31"/>
  <c r="EF145" i="29"/>
  <c r="EF148" i="31"/>
  <c r="GR145" i="29"/>
  <c r="GR148" i="31"/>
  <c r="GH145" i="29"/>
  <c r="GH148" i="31"/>
  <c r="IT145" i="29"/>
  <c r="IT148" i="31"/>
  <c r="GL145" i="29"/>
  <c r="GL148" i="31"/>
  <c r="L145" i="29"/>
  <c r="L148" i="31"/>
  <c r="HO150" i="29"/>
  <c r="HO119" i="31"/>
  <c r="DO145" i="29"/>
  <c r="DO148" i="31"/>
  <c r="GD145" i="29"/>
  <c r="GD148" i="31"/>
  <c r="AE145" i="29"/>
  <c r="AE148" i="31"/>
  <c r="BK145" i="29"/>
  <c r="BK148" i="31"/>
  <c r="CQ145" i="29"/>
  <c r="CQ148" i="31"/>
  <c r="DW145" i="29"/>
  <c r="DW148" i="31"/>
  <c r="FC145" i="29"/>
  <c r="FC148" i="31"/>
  <c r="GI145" i="29"/>
  <c r="GI148" i="31"/>
  <c r="M145" i="29"/>
  <c r="M148" i="31"/>
  <c r="AT145" i="29"/>
  <c r="AT148" i="31"/>
  <c r="CP145" i="29"/>
  <c r="CP148" i="31"/>
  <c r="DV145" i="29"/>
  <c r="DV148" i="31"/>
  <c r="CA73" i="29"/>
  <c r="CA40" i="31"/>
  <c r="AM147" i="29"/>
  <c r="AM151" i="31" s="1"/>
  <c r="AM149" i="31"/>
  <c r="CI147" i="29"/>
  <c r="CI151" i="31" s="1"/>
  <c r="CI149" i="31"/>
  <c r="GM147" i="29"/>
  <c r="GM151" i="31" s="1"/>
  <c r="GM149" i="31"/>
  <c r="JG147" i="29"/>
  <c r="JG151" i="31" s="1"/>
  <c r="JG149" i="31"/>
  <c r="AQ147" i="29"/>
  <c r="AQ151" i="31" s="1"/>
  <c r="AQ149" i="31"/>
  <c r="CM147" i="29"/>
  <c r="CM151" i="31" s="1"/>
  <c r="CM149" i="31"/>
  <c r="GQ147" i="29"/>
  <c r="GQ151" i="31" s="1"/>
  <c r="GQ149" i="31"/>
  <c r="HZ145" i="29"/>
  <c r="HZ148" i="31"/>
  <c r="HS145" i="29"/>
  <c r="HS148" i="31"/>
  <c r="IY145" i="29"/>
  <c r="IY148" i="31"/>
  <c r="X145" i="29"/>
  <c r="X148" i="31"/>
  <c r="BE145" i="29"/>
  <c r="BE148" i="31"/>
  <c r="CK145" i="29"/>
  <c r="CK148" i="31"/>
  <c r="DQ145" i="29"/>
  <c r="DQ148" i="31"/>
  <c r="EW145" i="29"/>
  <c r="EW148" i="31"/>
  <c r="GC145" i="29"/>
  <c r="GC148" i="31"/>
  <c r="HI145" i="29"/>
  <c r="HI148" i="31"/>
  <c r="IO145" i="29"/>
  <c r="IO148" i="31"/>
  <c r="IE145" i="29"/>
  <c r="IE148" i="31"/>
  <c r="AN145" i="29"/>
  <c r="AN148" i="31"/>
  <c r="CZ145" i="29"/>
  <c r="CZ148" i="31"/>
  <c r="FL145" i="29"/>
  <c r="FL148" i="31"/>
  <c r="GZ73" i="29"/>
  <c r="GZ40" i="31"/>
  <c r="CS101" i="29"/>
  <c r="CS58" i="31"/>
  <c r="I145" i="29"/>
  <c r="I148" i="31"/>
  <c r="AP145" i="29"/>
  <c r="AP148" i="31"/>
  <c r="BV145" i="29"/>
  <c r="BV148" i="31"/>
  <c r="DB145" i="29"/>
  <c r="DB148" i="31"/>
  <c r="EH145" i="29"/>
  <c r="EH148" i="31"/>
  <c r="ET145" i="29"/>
  <c r="ET148" i="31"/>
  <c r="FZ145" i="29"/>
  <c r="FZ148" i="31"/>
  <c r="HF145" i="29"/>
  <c r="HF148" i="31"/>
  <c r="IL145" i="29"/>
  <c r="IL148" i="31"/>
  <c r="CU145" i="29"/>
  <c r="CU148" i="31"/>
  <c r="AF145" i="29"/>
  <c r="AF148" i="31"/>
  <c r="BL145" i="29"/>
  <c r="BL148" i="31"/>
  <c r="CR145" i="29"/>
  <c r="CR148" i="31"/>
  <c r="DX145" i="29"/>
  <c r="DX148" i="31"/>
  <c r="FD145" i="29"/>
  <c r="FD148" i="31"/>
  <c r="GJ145" i="29"/>
  <c r="GJ148" i="31"/>
  <c r="HP145" i="29"/>
  <c r="HP148" i="31"/>
  <c r="IV145" i="29"/>
  <c r="IV148" i="31"/>
  <c r="AG145" i="29"/>
  <c r="AG148" i="31"/>
  <c r="BM145" i="29"/>
  <c r="BM148" i="31"/>
  <c r="CS145" i="29"/>
  <c r="CS148" i="31"/>
  <c r="DY145" i="29"/>
  <c r="DY148" i="31"/>
  <c r="FE145" i="29"/>
  <c r="FE148" i="31"/>
  <c r="GK145" i="29"/>
  <c r="GK148" i="31"/>
  <c r="HQ145" i="29"/>
  <c r="HQ148" i="31"/>
  <c r="IW145" i="29"/>
  <c r="IW148" i="31"/>
  <c r="EE147" i="29"/>
  <c r="EE151" i="31" s="1"/>
  <c r="EE149" i="31"/>
  <c r="GY145" i="29"/>
  <c r="GY148" i="31"/>
  <c r="W145" i="29"/>
  <c r="W148" i="31"/>
  <c r="CJ145" i="29"/>
  <c r="CJ148" i="31"/>
  <c r="EV145" i="29"/>
  <c r="EV148" i="31"/>
  <c r="HH145" i="29"/>
  <c r="HH148" i="31"/>
  <c r="EL145" i="29"/>
  <c r="EL148" i="31"/>
  <c r="GX145" i="29"/>
  <c r="GX148" i="31"/>
  <c r="EP145" i="29"/>
  <c r="EP148" i="31"/>
  <c r="HB145" i="29"/>
  <c r="HB148" i="31"/>
  <c r="AS145" i="29"/>
  <c r="AS148" i="31"/>
  <c r="GA145" i="29"/>
  <c r="GA148" i="31"/>
  <c r="HJ145" i="29"/>
  <c r="HJ148" i="31"/>
  <c r="BJ147" i="29"/>
  <c r="BJ151" i="31" s="1"/>
  <c r="BJ149" i="31"/>
  <c r="BB145" i="29"/>
  <c r="BB148" i="31"/>
  <c r="CX145" i="29"/>
  <c r="CX148" i="31"/>
  <c r="AA145" i="29"/>
  <c r="AA148" i="31"/>
  <c r="CN145" i="29"/>
  <c r="CN148" i="31"/>
  <c r="DT145" i="29"/>
  <c r="DT148" i="31"/>
  <c r="EZ145" i="29"/>
  <c r="EZ148" i="31"/>
  <c r="GF145" i="29"/>
  <c r="GF148" i="31"/>
  <c r="HL145" i="29"/>
  <c r="HL148" i="31"/>
  <c r="IR145" i="29"/>
  <c r="IR148" i="31"/>
  <c r="HG145" i="29"/>
  <c r="HG148" i="31"/>
  <c r="JC145" i="29"/>
  <c r="JC148" i="31"/>
  <c r="BI145" i="29"/>
  <c r="BI148" i="31"/>
  <c r="CO145" i="29"/>
  <c r="CO148" i="31"/>
  <c r="EK145" i="29"/>
  <c r="EK148" i="31"/>
  <c r="FQ145" i="29"/>
  <c r="FQ148" i="31"/>
  <c r="GW145" i="29"/>
  <c r="GW148" i="31"/>
  <c r="IC145" i="29"/>
  <c r="IC148" i="31"/>
  <c r="CA46" i="29"/>
  <c r="CA137" i="31"/>
  <c r="AY147" i="29"/>
  <c r="AY151" i="31" s="1"/>
  <c r="AY149" i="31"/>
  <c r="FW147" i="29"/>
  <c r="FW151" i="31" s="1"/>
  <c r="FW149" i="31"/>
  <c r="Z147" i="29"/>
  <c r="Z151" i="31" s="1"/>
  <c r="Z149" i="31"/>
  <c r="DC147" i="29"/>
  <c r="DC151" i="31" s="1"/>
  <c r="DC149" i="31"/>
  <c r="GE147" i="29"/>
  <c r="GE151" i="31" s="1"/>
  <c r="GE149" i="31"/>
  <c r="ET115" i="29"/>
  <c r="ET105" i="31"/>
  <c r="E145" i="29"/>
  <c r="E148" i="31"/>
  <c r="GT145" i="29"/>
  <c r="GT148" i="31"/>
  <c r="AJ145" i="29"/>
  <c r="AJ148" i="31"/>
  <c r="BP145" i="29"/>
  <c r="BP148" i="31"/>
  <c r="CV145" i="29"/>
  <c r="CV148" i="31"/>
  <c r="FH145" i="29"/>
  <c r="FH148" i="31"/>
  <c r="GN145" i="29"/>
  <c r="GN148" i="31"/>
  <c r="HT145" i="29"/>
  <c r="HT148" i="31"/>
  <c r="IZ145" i="29"/>
  <c r="IZ148" i="31"/>
  <c r="T145" i="29"/>
  <c r="T148" i="31"/>
  <c r="BA145" i="29"/>
  <c r="BA148" i="31"/>
  <c r="CG145" i="29"/>
  <c r="CG148" i="31"/>
  <c r="DM145" i="29"/>
  <c r="DM148" i="31"/>
  <c r="ES145" i="29"/>
  <c r="ES148" i="31"/>
  <c r="FY145" i="29"/>
  <c r="FY148" i="31"/>
  <c r="HE145" i="29"/>
  <c r="HE148" i="31"/>
  <c r="IK145" i="29"/>
  <c r="IK148" i="31"/>
  <c r="CA101" i="29"/>
  <c r="CA58" i="31"/>
  <c r="Q145" i="29"/>
  <c r="Q148" i="31"/>
  <c r="AX145" i="29"/>
  <c r="AX148" i="31"/>
  <c r="CD145" i="29"/>
  <c r="CD148" i="31"/>
  <c r="DJ145" i="29"/>
  <c r="DJ148" i="31"/>
  <c r="IH145" i="29"/>
  <c r="IH148" i="31"/>
  <c r="JP125" i="29"/>
  <c r="JI144" i="29"/>
  <c r="JI148" i="31" s="1"/>
  <c r="CY147" i="29" l="1"/>
  <c r="CY151" i="31" s="1"/>
  <c r="CH149" i="31"/>
  <c r="DS147" i="29"/>
  <c r="DS151" i="31" s="1"/>
  <c r="IA147" i="29"/>
  <c r="IA151" i="31" s="1"/>
  <c r="IQ149" i="31"/>
  <c r="EY147" i="29"/>
  <c r="EY151" i="31" s="1"/>
  <c r="EI149" i="31"/>
  <c r="EA149" i="31"/>
  <c r="EQ149" i="31"/>
  <c r="FK147" i="29"/>
  <c r="FK151" i="31" s="1"/>
  <c r="HK147" i="29"/>
  <c r="HK151" i="31" s="1"/>
  <c r="JF149" i="31"/>
  <c r="IH147" i="29"/>
  <c r="IH151" i="31" s="1"/>
  <c r="IH149" i="31"/>
  <c r="CD147" i="29"/>
  <c r="CD151" i="31" s="1"/>
  <c r="CD149" i="31"/>
  <c r="Q147" i="29"/>
  <c r="Q151" i="31" s="1"/>
  <c r="Q149" i="31"/>
  <c r="IK147" i="29"/>
  <c r="IK151" i="31" s="1"/>
  <c r="IK149" i="31"/>
  <c r="FY147" i="29"/>
  <c r="FY151" i="31" s="1"/>
  <c r="FY149" i="31"/>
  <c r="DM147" i="29"/>
  <c r="DM151" i="31" s="1"/>
  <c r="DM149" i="31"/>
  <c r="BA147" i="29"/>
  <c r="BA151" i="31" s="1"/>
  <c r="BA149" i="31"/>
  <c r="IZ147" i="29"/>
  <c r="IZ151" i="31" s="1"/>
  <c r="IZ149" i="31"/>
  <c r="GN147" i="29"/>
  <c r="GN151" i="31" s="1"/>
  <c r="GN149" i="31"/>
  <c r="CV147" i="29"/>
  <c r="CV151" i="31" s="1"/>
  <c r="CV149" i="31"/>
  <c r="AJ147" i="29"/>
  <c r="AJ151" i="31" s="1"/>
  <c r="AJ149" i="31"/>
  <c r="E147" i="29"/>
  <c r="E151" i="31" s="1"/>
  <c r="E149" i="31"/>
  <c r="CA52" i="29"/>
  <c r="CA50" i="31"/>
  <c r="CA51" i="29"/>
  <c r="GW147" i="29"/>
  <c r="GW151" i="31" s="1"/>
  <c r="GW149" i="31"/>
  <c r="EK147" i="29"/>
  <c r="EK151" i="31" s="1"/>
  <c r="EK149" i="31"/>
  <c r="BI147" i="29"/>
  <c r="BI151" i="31" s="1"/>
  <c r="BI149" i="31"/>
  <c r="HG147" i="29"/>
  <c r="HG151" i="31" s="1"/>
  <c r="HG149" i="31"/>
  <c r="HL147" i="29"/>
  <c r="HL151" i="31" s="1"/>
  <c r="HL149" i="31"/>
  <c r="EZ147" i="29"/>
  <c r="EZ151" i="31" s="1"/>
  <c r="EZ149" i="31"/>
  <c r="CN147" i="29"/>
  <c r="CN151" i="31" s="1"/>
  <c r="CN149" i="31"/>
  <c r="CX147" i="29"/>
  <c r="CX151" i="31" s="1"/>
  <c r="CX149" i="31"/>
  <c r="GA147" i="29"/>
  <c r="GA151" i="31" s="1"/>
  <c r="GA149" i="31"/>
  <c r="HB147" i="29"/>
  <c r="HB151" i="31" s="1"/>
  <c r="HB149" i="31"/>
  <c r="GX147" i="29"/>
  <c r="GX151" i="31" s="1"/>
  <c r="GX149" i="31"/>
  <c r="HH147" i="29"/>
  <c r="HH151" i="31" s="1"/>
  <c r="HH149" i="31"/>
  <c r="CJ147" i="29"/>
  <c r="CJ151" i="31" s="1"/>
  <c r="CJ149" i="31"/>
  <c r="GY147" i="29"/>
  <c r="GY151" i="31" s="1"/>
  <c r="GY149" i="31"/>
  <c r="IW147" i="29"/>
  <c r="IW151" i="31" s="1"/>
  <c r="IW149" i="31"/>
  <c r="GK147" i="29"/>
  <c r="GK151" i="31" s="1"/>
  <c r="GK149" i="31"/>
  <c r="DY147" i="29"/>
  <c r="DY151" i="31" s="1"/>
  <c r="DY149" i="31"/>
  <c r="BM147" i="29"/>
  <c r="BM151" i="31" s="1"/>
  <c r="BM149" i="31"/>
  <c r="IV147" i="29"/>
  <c r="IV151" i="31" s="1"/>
  <c r="IV149" i="31"/>
  <c r="GJ147" i="29"/>
  <c r="GJ151" i="31" s="1"/>
  <c r="GJ149" i="31"/>
  <c r="DX147" i="29"/>
  <c r="DX151" i="31" s="1"/>
  <c r="DX149" i="31"/>
  <c r="BL147" i="29"/>
  <c r="BL151" i="31" s="1"/>
  <c r="BL149" i="31"/>
  <c r="IL147" i="29"/>
  <c r="IL151" i="31" s="1"/>
  <c r="IL149" i="31"/>
  <c r="FZ147" i="29"/>
  <c r="FZ151" i="31" s="1"/>
  <c r="FZ149" i="31"/>
  <c r="EH147" i="29"/>
  <c r="EH151" i="31" s="1"/>
  <c r="EH149" i="31"/>
  <c r="BV147" i="29"/>
  <c r="BV151" i="31" s="1"/>
  <c r="BV149" i="31"/>
  <c r="I147" i="29"/>
  <c r="I151" i="31" s="1"/>
  <c r="I149" i="31"/>
  <c r="GZ78" i="29"/>
  <c r="GZ82" i="31" s="1"/>
  <c r="GZ77" i="31"/>
  <c r="CZ147" i="29"/>
  <c r="CZ151" i="31" s="1"/>
  <c r="CZ149" i="31"/>
  <c r="IE147" i="29"/>
  <c r="IE151" i="31" s="1"/>
  <c r="IE149" i="31"/>
  <c r="HI147" i="29"/>
  <c r="HI151" i="31" s="1"/>
  <c r="HI149" i="31"/>
  <c r="EW147" i="29"/>
  <c r="EW151" i="31" s="1"/>
  <c r="EW149" i="31"/>
  <c r="CK147" i="29"/>
  <c r="CK151" i="31" s="1"/>
  <c r="CK149" i="31"/>
  <c r="X147" i="29"/>
  <c r="X151" i="31" s="1"/>
  <c r="X149" i="31"/>
  <c r="HS147" i="29"/>
  <c r="HS151" i="31" s="1"/>
  <c r="HS149" i="31"/>
  <c r="CA78" i="29"/>
  <c r="CA82" i="31" s="1"/>
  <c r="CA77" i="31"/>
  <c r="CP147" i="29"/>
  <c r="CP151" i="31" s="1"/>
  <c r="CP149" i="31"/>
  <c r="M147" i="29"/>
  <c r="M151" i="31" s="1"/>
  <c r="M149" i="31"/>
  <c r="FR150" i="29"/>
  <c r="FR119" i="31"/>
  <c r="FC147" i="29"/>
  <c r="FC151" i="31" s="1"/>
  <c r="FC149" i="31"/>
  <c r="CQ147" i="29"/>
  <c r="CQ151" i="31" s="1"/>
  <c r="CQ149" i="31"/>
  <c r="AE147" i="29"/>
  <c r="AE151" i="31" s="1"/>
  <c r="AE149" i="31"/>
  <c r="DO147" i="29"/>
  <c r="DO151" i="31" s="1"/>
  <c r="DO149" i="31"/>
  <c r="L147" i="29"/>
  <c r="L151" i="31" s="1"/>
  <c r="L149" i="31"/>
  <c r="IT147" i="29"/>
  <c r="IT151" i="31" s="1"/>
  <c r="IT149" i="31"/>
  <c r="GR147" i="29"/>
  <c r="GR151" i="31" s="1"/>
  <c r="GR149" i="31"/>
  <c r="BT147" i="29"/>
  <c r="BT151" i="31" s="1"/>
  <c r="BT149" i="31"/>
  <c r="DE147" i="29"/>
  <c r="DE151" i="31" s="1"/>
  <c r="DE149" i="31"/>
  <c r="HR147" i="29"/>
  <c r="HR151" i="31" s="1"/>
  <c r="HR149" i="31"/>
  <c r="HN147" i="29"/>
  <c r="HN151" i="31" s="1"/>
  <c r="HN149" i="31"/>
  <c r="S147" i="29"/>
  <c r="S151" i="31" s="1"/>
  <c r="S149" i="31"/>
  <c r="CT147" i="29"/>
  <c r="CT151" i="31" s="1"/>
  <c r="CT149" i="31"/>
  <c r="AH147" i="29"/>
  <c r="AH151" i="31" s="1"/>
  <c r="AH149" i="31"/>
  <c r="JA147" i="29"/>
  <c r="JA151" i="31" s="1"/>
  <c r="JA149" i="31"/>
  <c r="GO147" i="29"/>
  <c r="GO151" i="31" s="1"/>
  <c r="GO149" i="31"/>
  <c r="EC147" i="29"/>
  <c r="EC151" i="31" s="1"/>
  <c r="EC149" i="31"/>
  <c r="BQ147" i="29"/>
  <c r="BQ151" i="31" s="1"/>
  <c r="BQ149" i="31"/>
  <c r="D147" i="29"/>
  <c r="D151" i="31" s="1"/>
  <c r="D149" i="31"/>
  <c r="HD147" i="29"/>
  <c r="HD151" i="31" s="1"/>
  <c r="HD149" i="31"/>
  <c r="ER147" i="29"/>
  <c r="ER151" i="31" s="1"/>
  <c r="ER149" i="31"/>
  <c r="CF147" i="29"/>
  <c r="CF151" i="31" s="1"/>
  <c r="CF149" i="31"/>
  <c r="C149" i="31"/>
  <c r="C147" i="29"/>
  <c r="C151" i="31" s="1"/>
  <c r="IS147" i="29"/>
  <c r="IS151" i="31" s="1"/>
  <c r="IS149" i="31"/>
  <c r="GG147" i="29"/>
  <c r="GG151" i="31" s="1"/>
  <c r="GG149" i="31"/>
  <c r="DU147" i="29"/>
  <c r="DU151" i="31" s="1"/>
  <c r="DU149" i="31"/>
  <c r="AB147" i="29"/>
  <c r="AB151" i="31" s="1"/>
  <c r="AB149" i="31"/>
  <c r="JH147" i="29"/>
  <c r="JH151" i="31" s="1"/>
  <c r="JH149" i="31"/>
  <c r="GV147" i="29"/>
  <c r="GV151" i="31" s="1"/>
  <c r="GV149" i="31"/>
  <c r="EJ147" i="29"/>
  <c r="EJ151" i="31" s="1"/>
  <c r="EJ149" i="31"/>
  <c r="BX147" i="29"/>
  <c r="BX151" i="31" s="1"/>
  <c r="BX149" i="31"/>
  <c r="K147" i="29"/>
  <c r="K151" i="31" s="1"/>
  <c r="K149" i="31"/>
  <c r="U147" i="29"/>
  <c r="U151" i="31" s="1"/>
  <c r="U149" i="31"/>
  <c r="FR78" i="29"/>
  <c r="FR82" i="31" s="1"/>
  <c r="FR77" i="31"/>
  <c r="BC147" i="29"/>
  <c r="BC151" i="31" s="1"/>
  <c r="BC149" i="31"/>
  <c r="IX147" i="29"/>
  <c r="IX151" i="31" s="1"/>
  <c r="IX149" i="31"/>
  <c r="ID147" i="29"/>
  <c r="ID151" i="31" s="1"/>
  <c r="ID149" i="31"/>
  <c r="IN147" i="29"/>
  <c r="IN151" i="31" s="1"/>
  <c r="IN149" i="31"/>
  <c r="DP147" i="29"/>
  <c r="DP151" i="31" s="1"/>
  <c r="DP149" i="31"/>
  <c r="IU147" i="29"/>
  <c r="IU151" i="31" s="1"/>
  <c r="IU149" i="31"/>
  <c r="BZ147" i="29"/>
  <c r="BZ151" i="31" s="1"/>
  <c r="BZ149" i="31"/>
  <c r="DN147" i="29"/>
  <c r="DN151" i="31" s="1"/>
  <c r="DN149" i="31"/>
  <c r="IG147" i="29"/>
  <c r="IG151" i="31" s="1"/>
  <c r="IG149" i="31"/>
  <c r="FU147" i="29"/>
  <c r="FU151" i="31" s="1"/>
  <c r="FU149" i="31"/>
  <c r="DI147" i="29"/>
  <c r="DI151" i="31" s="1"/>
  <c r="DI149" i="31"/>
  <c r="AW147" i="29"/>
  <c r="AW151" i="31" s="1"/>
  <c r="AW149" i="31"/>
  <c r="IF147" i="29"/>
  <c r="IF151" i="31" s="1"/>
  <c r="IF149" i="31"/>
  <c r="FT147" i="29"/>
  <c r="FT151" i="31" s="1"/>
  <c r="FT149" i="31"/>
  <c r="DH147" i="29"/>
  <c r="DH151" i="31" s="1"/>
  <c r="DH149" i="31"/>
  <c r="AV147" i="29"/>
  <c r="AV151" i="31" s="1"/>
  <c r="AV149" i="31"/>
  <c r="FG147" i="29"/>
  <c r="FG151" i="31" s="1"/>
  <c r="FG149" i="31"/>
  <c r="HV147" i="29"/>
  <c r="HV151" i="31" s="1"/>
  <c r="HV149" i="31"/>
  <c r="FJ147" i="29"/>
  <c r="FJ151" i="31" s="1"/>
  <c r="FJ149" i="31"/>
  <c r="DR147" i="29"/>
  <c r="DR151" i="31" s="1"/>
  <c r="DR149" i="31"/>
  <c r="Y147" i="29"/>
  <c r="Y151" i="31" s="1"/>
  <c r="Y149" i="31"/>
  <c r="BL115" i="29"/>
  <c r="BL105" i="31"/>
  <c r="FS147" i="29"/>
  <c r="FS151" i="31" s="1"/>
  <c r="FS149" i="31"/>
  <c r="DG147" i="29"/>
  <c r="DG151" i="31" s="1"/>
  <c r="DG149" i="31"/>
  <c r="AU147" i="29"/>
  <c r="AU151" i="31" s="1"/>
  <c r="AU149" i="31"/>
  <c r="JE147" i="29"/>
  <c r="JE151" i="31" s="1"/>
  <c r="JE149" i="31"/>
  <c r="GS147" i="29"/>
  <c r="GS151" i="31" s="1"/>
  <c r="GS149" i="31"/>
  <c r="EG147" i="29"/>
  <c r="EG151" i="31" s="1"/>
  <c r="EG149" i="31"/>
  <c r="AO147" i="29"/>
  <c r="AO151" i="31" s="1"/>
  <c r="AO149" i="31"/>
  <c r="II147" i="29"/>
  <c r="II151" i="31" s="1"/>
  <c r="II149" i="31"/>
  <c r="AL147" i="29"/>
  <c r="AL151" i="31" s="1"/>
  <c r="AL149" i="31"/>
  <c r="DJ147" i="29"/>
  <c r="DJ151" i="31" s="1"/>
  <c r="DJ149" i="31"/>
  <c r="AX147" i="29"/>
  <c r="AX151" i="31" s="1"/>
  <c r="AX149" i="31"/>
  <c r="CA115" i="29"/>
  <c r="CA105" i="31"/>
  <c r="HE147" i="29"/>
  <c r="HE151" i="31" s="1"/>
  <c r="HE149" i="31"/>
  <c r="ES147" i="29"/>
  <c r="ES151" i="31" s="1"/>
  <c r="ES149" i="31"/>
  <c r="CG147" i="29"/>
  <c r="CG151" i="31" s="1"/>
  <c r="CG149" i="31"/>
  <c r="T147" i="29"/>
  <c r="T151" i="31" s="1"/>
  <c r="T149" i="31"/>
  <c r="HT147" i="29"/>
  <c r="HT151" i="31" s="1"/>
  <c r="HT149" i="31"/>
  <c r="FH147" i="29"/>
  <c r="FH151" i="31" s="1"/>
  <c r="FH149" i="31"/>
  <c r="BP147" i="29"/>
  <c r="BP151" i="31" s="1"/>
  <c r="BP149" i="31"/>
  <c r="GT147" i="29"/>
  <c r="GT151" i="31" s="1"/>
  <c r="GT149" i="31"/>
  <c r="ET150" i="29"/>
  <c r="ET119" i="31"/>
  <c r="IC147" i="29"/>
  <c r="IC151" i="31" s="1"/>
  <c r="IC149" i="31"/>
  <c r="FQ147" i="29"/>
  <c r="FQ151" i="31" s="1"/>
  <c r="FQ149" i="31"/>
  <c r="CO147" i="29"/>
  <c r="CO151" i="31" s="1"/>
  <c r="CO149" i="31"/>
  <c r="JC147" i="29"/>
  <c r="JC151" i="31" s="1"/>
  <c r="JC149" i="31"/>
  <c r="IR147" i="29"/>
  <c r="IR151" i="31" s="1"/>
  <c r="IR149" i="31"/>
  <c r="GF147" i="29"/>
  <c r="GF151" i="31" s="1"/>
  <c r="GF149" i="31"/>
  <c r="DT147" i="29"/>
  <c r="DT151" i="31" s="1"/>
  <c r="DT149" i="31"/>
  <c r="AA147" i="29"/>
  <c r="AA151" i="31" s="1"/>
  <c r="AA149" i="31"/>
  <c r="BB147" i="29"/>
  <c r="BB151" i="31" s="1"/>
  <c r="BB149" i="31"/>
  <c r="HJ147" i="29"/>
  <c r="HJ151" i="31" s="1"/>
  <c r="HJ149" i="31"/>
  <c r="AS147" i="29"/>
  <c r="AS151" i="31" s="1"/>
  <c r="AS149" i="31"/>
  <c r="EP147" i="29"/>
  <c r="EP151" i="31" s="1"/>
  <c r="EP149" i="31"/>
  <c r="EL147" i="29"/>
  <c r="EL151" i="31" s="1"/>
  <c r="EL149" i="31"/>
  <c r="EV147" i="29"/>
  <c r="EV151" i="31" s="1"/>
  <c r="EV149" i="31"/>
  <c r="W147" i="29"/>
  <c r="W151" i="31" s="1"/>
  <c r="W149" i="31"/>
  <c r="HQ147" i="29"/>
  <c r="HQ151" i="31" s="1"/>
  <c r="HQ149" i="31"/>
  <c r="FE147" i="29"/>
  <c r="FE151" i="31" s="1"/>
  <c r="FE149" i="31"/>
  <c r="CS147" i="29"/>
  <c r="CS151" i="31" s="1"/>
  <c r="CS149" i="31"/>
  <c r="AG147" i="29"/>
  <c r="AG151" i="31" s="1"/>
  <c r="AG149" i="31"/>
  <c r="HP147" i="29"/>
  <c r="HP151" i="31" s="1"/>
  <c r="HP149" i="31"/>
  <c r="FD147" i="29"/>
  <c r="FD151" i="31" s="1"/>
  <c r="FD149" i="31"/>
  <c r="CR147" i="29"/>
  <c r="CR151" i="31" s="1"/>
  <c r="CR149" i="31"/>
  <c r="AF147" i="29"/>
  <c r="AF151" i="31" s="1"/>
  <c r="AF149" i="31"/>
  <c r="CU147" i="29"/>
  <c r="CU151" i="31" s="1"/>
  <c r="CU149" i="31"/>
  <c r="HF147" i="29"/>
  <c r="HF151" i="31" s="1"/>
  <c r="HF149" i="31"/>
  <c r="ET147" i="29"/>
  <c r="ET151" i="31" s="1"/>
  <c r="ET149" i="31"/>
  <c r="DB147" i="29"/>
  <c r="DB151" i="31" s="1"/>
  <c r="DB149" i="31"/>
  <c r="AP147" i="29"/>
  <c r="AP151" i="31" s="1"/>
  <c r="AP149" i="31"/>
  <c r="CS115" i="29"/>
  <c r="CS105" i="31"/>
  <c r="FL147" i="29"/>
  <c r="FL151" i="31" s="1"/>
  <c r="FL149" i="31"/>
  <c r="AN147" i="29"/>
  <c r="AN151" i="31" s="1"/>
  <c r="AN149" i="31"/>
  <c r="IO147" i="29"/>
  <c r="IO151" i="31" s="1"/>
  <c r="IO149" i="31"/>
  <c r="GC147" i="29"/>
  <c r="GC151" i="31" s="1"/>
  <c r="GC149" i="31"/>
  <c r="DQ147" i="29"/>
  <c r="DQ151" i="31" s="1"/>
  <c r="DQ149" i="31"/>
  <c r="BE147" i="29"/>
  <c r="BE151" i="31" s="1"/>
  <c r="BE149" i="31"/>
  <c r="IY147" i="29"/>
  <c r="IY151" i="31" s="1"/>
  <c r="IY149" i="31"/>
  <c r="HZ147" i="29"/>
  <c r="HZ151" i="31" s="1"/>
  <c r="HZ149" i="31"/>
  <c r="DV147" i="29"/>
  <c r="DV151" i="31" s="1"/>
  <c r="DV149" i="31"/>
  <c r="AT147" i="29"/>
  <c r="AT151" i="31" s="1"/>
  <c r="AT149" i="31"/>
  <c r="GZ150" i="29"/>
  <c r="GZ119" i="31"/>
  <c r="GI147" i="29"/>
  <c r="GI151" i="31" s="1"/>
  <c r="GI149" i="31"/>
  <c r="DW147" i="29"/>
  <c r="DW151" i="31" s="1"/>
  <c r="DW149" i="31"/>
  <c r="BK147" i="29"/>
  <c r="BK151" i="31" s="1"/>
  <c r="BK149" i="31"/>
  <c r="GD147" i="29"/>
  <c r="GD151" i="31" s="1"/>
  <c r="GD149" i="31"/>
  <c r="HO157" i="29"/>
  <c r="HO154" i="31"/>
  <c r="HO152" i="29"/>
  <c r="HO156" i="31" s="1"/>
  <c r="GL147" i="29"/>
  <c r="GL151" i="31" s="1"/>
  <c r="GL149" i="31"/>
  <c r="GH147" i="29"/>
  <c r="GH151" i="31" s="1"/>
  <c r="GH149" i="31"/>
  <c r="EF147" i="29"/>
  <c r="EF151" i="31" s="1"/>
  <c r="EF149" i="31"/>
  <c r="G147" i="29"/>
  <c r="G151" i="31" s="1"/>
  <c r="G149" i="31"/>
  <c r="EX147" i="29"/>
  <c r="EX151" i="31" s="1"/>
  <c r="EX149" i="31"/>
  <c r="FF147" i="29"/>
  <c r="FF151" i="31" s="1"/>
  <c r="FF149" i="31"/>
  <c r="FB147" i="29"/>
  <c r="FB151" i="31" s="1"/>
  <c r="FB149" i="31"/>
  <c r="DZ147" i="29"/>
  <c r="DZ151" i="31" s="1"/>
  <c r="DZ149" i="31"/>
  <c r="BN147" i="29"/>
  <c r="BN151" i="31" s="1"/>
  <c r="BN149" i="31"/>
  <c r="ED147" i="29"/>
  <c r="ED151" i="31" s="1"/>
  <c r="ED149" i="31"/>
  <c r="HU147" i="29"/>
  <c r="HU151" i="31" s="1"/>
  <c r="HU149" i="31"/>
  <c r="FI147" i="29"/>
  <c r="FI151" i="31" s="1"/>
  <c r="FI149" i="31"/>
  <c r="CW147" i="29"/>
  <c r="CW151" i="31" s="1"/>
  <c r="CW149" i="31"/>
  <c r="AK147" i="29"/>
  <c r="AK151" i="31" s="1"/>
  <c r="AK149" i="31"/>
  <c r="IJ147" i="29"/>
  <c r="IJ151" i="31" s="1"/>
  <c r="IJ149" i="31"/>
  <c r="FX147" i="29"/>
  <c r="FX151" i="31" s="1"/>
  <c r="FX149" i="31"/>
  <c r="DL147" i="29"/>
  <c r="DL151" i="31" s="1"/>
  <c r="DL149" i="31"/>
  <c r="AZ147" i="29"/>
  <c r="AZ151" i="31" s="1"/>
  <c r="AZ149" i="31"/>
  <c r="HM147" i="29"/>
  <c r="HM151" i="31" s="1"/>
  <c r="HM149" i="31"/>
  <c r="FA147" i="29"/>
  <c r="FA151" i="31" s="1"/>
  <c r="FA149" i="31"/>
  <c r="BY147" i="29"/>
  <c r="BY151" i="31" s="1"/>
  <c r="BY149" i="31"/>
  <c r="HW147" i="29"/>
  <c r="HW151" i="31" s="1"/>
  <c r="HW149" i="31"/>
  <c r="IB147" i="29"/>
  <c r="IB151" i="31" s="1"/>
  <c r="IB149" i="31"/>
  <c r="FP147" i="29"/>
  <c r="FP151" i="31" s="1"/>
  <c r="FP149" i="31"/>
  <c r="DD147" i="29"/>
  <c r="DD151" i="31" s="1"/>
  <c r="DD149" i="31"/>
  <c r="AR147" i="29"/>
  <c r="AR151" i="31" s="1"/>
  <c r="AR149" i="31"/>
  <c r="BR147" i="29"/>
  <c r="BR151" i="31" s="1"/>
  <c r="BR149" i="31"/>
  <c r="BK115" i="29"/>
  <c r="BK105" i="31"/>
  <c r="FN147" i="29"/>
  <c r="FN151" i="31" s="1"/>
  <c r="FN149" i="31"/>
  <c r="IK157" i="29"/>
  <c r="IK161" i="31" s="1"/>
  <c r="IK154" i="31"/>
  <c r="FV147" i="29"/>
  <c r="FV151" i="31" s="1"/>
  <c r="FV149" i="31"/>
  <c r="FR147" i="29"/>
  <c r="FR151" i="31" s="1"/>
  <c r="FR149" i="31"/>
  <c r="GB147" i="29"/>
  <c r="GB151" i="31" s="1"/>
  <c r="GB149" i="31"/>
  <c r="BD147" i="29"/>
  <c r="BD151" i="31" s="1"/>
  <c r="BD149" i="31"/>
  <c r="AD147" i="29"/>
  <c r="AD151" i="31" s="1"/>
  <c r="AD149" i="31"/>
  <c r="BL78" i="29"/>
  <c r="BL82" i="31" s="1"/>
  <c r="BL77" i="31"/>
  <c r="HA147" i="29"/>
  <c r="HA151" i="31" s="1"/>
  <c r="HA149" i="31"/>
  <c r="EO147" i="29"/>
  <c r="EO151" i="31" s="1"/>
  <c r="EO149" i="31"/>
  <c r="CC147" i="29"/>
  <c r="CC151" i="31" s="1"/>
  <c r="CC149" i="31"/>
  <c r="P147" i="29"/>
  <c r="P151" i="31" s="1"/>
  <c r="P149" i="31"/>
  <c r="GZ147" i="29"/>
  <c r="GZ151" i="31" s="1"/>
  <c r="GZ149" i="31"/>
  <c r="EN147" i="29"/>
  <c r="EN151" i="31" s="1"/>
  <c r="EN149" i="31"/>
  <c r="CB147" i="29"/>
  <c r="CB151" i="31" s="1"/>
  <c r="CB149" i="31"/>
  <c r="O147" i="29"/>
  <c r="O151" i="31" s="1"/>
  <c r="O149" i="31"/>
  <c r="AI147" i="29"/>
  <c r="AI151" i="31" s="1"/>
  <c r="AI149" i="31"/>
  <c r="GP147" i="29"/>
  <c r="GP151" i="31" s="1"/>
  <c r="GP149" i="31"/>
  <c r="IP147" i="29"/>
  <c r="IP151" i="31" s="1"/>
  <c r="IP149" i="31"/>
  <c r="CL147" i="29"/>
  <c r="CL151" i="31" s="1"/>
  <c r="CL149" i="31"/>
  <c r="EM147" i="29"/>
  <c r="EM151" i="31" s="1"/>
  <c r="EM149" i="31"/>
  <c r="CA147" i="29"/>
  <c r="CA151" i="31" s="1"/>
  <c r="CA149" i="31"/>
  <c r="N147" i="29"/>
  <c r="N151" i="31" s="1"/>
  <c r="N149" i="31"/>
  <c r="HY147" i="29"/>
  <c r="HY151" i="31" s="1"/>
  <c r="HY149" i="31"/>
  <c r="FM147" i="29"/>
  <c r="FM151" i="31" s="1"/>
  <c r="FM149" i="31"/>
  <c r="BU147" i="29"/>
  <c r="BU151" i="31" s="1"/>
  <c r="BU149" i="31"/>
  <c r="H147" i="29"/>
  <c r="H151" i="31" s="1"/>
  <c r="H149" i="31"/>
  <c r="HC147" i="29"/>
  <c r="HC151" i="31" s="1"/>
  <c r="HC149" i="31"/>
  <c r="HX147" i="29"/>
  <c r="HX151" i="31" s="1"/>
  <c r="HX149" i="31"/>
  <c r="FR157" i="29" l="1"/>
  <c r="FR161" i="31" s="1"/>
  <c r="FR154" i="31"/>
  <c r="GZ157" i="29"/>
  <c r="GZ161" i="31" s="1"/>
  <c r="GZ154" i="31"/>
  <c r="ET157" i="29"/>
  <c r="ET161" i="31" s="1"/>
  <c r="ET154" i="31"/>
  <c r="CA55" i="31"/>
  <c r="CA55" i="29"/>
  <c r="BK150" i="29"/>
  <c r="BK119" i="31"/>
  <c r="HO161" i="31"/>
  <c r="HO163" i="31" s="1"/>
  <c r="HO159" i="29"/>
  <c r="CS150" i="29"/>
  <c r="CS119" i="31"/>
  <c r="CA150" i="29"/>
  <c r="CA119" i="31"/>
  <c r="BL150" i="29"/>
  <c r="BL119" i="31"/>
  <c r="BE154" i="29"/>
  <c r="BE164" i="29" s="1"/>
  <c r="BE168" i="31" s="1"/>
  <c r="BE151" i="29"/>
  <c r="BE155" i="31" s="1"/>
  <c r="DI154" i="29"/>
  <c r="DI164" i="29" s="1"/>
  <c r="DI168" i="31" s="1"/>
  <c r="DI151" i="29"/>
  <c r="DI155" i="31" s="1"/>
  <c r="DW151" i="29"/>
  <c r="DW155" i="31" s="1"/>
  <c r="DW154" i="29"/>
  <c r="DW164" i="29" s="1"/>
  <c r="DW168" i="31" s="1"/>
  <c r="CI154" i="29"/>
  <c r="CI164" i="29" s="1"/>
  <c r="CI168" i="31" s="1"/>
  <c r="CI151" i="29"/>
  <c r="CI155" i="31" s="1"/>
  <c r="FD151" i="29"/>
  <c r="FD155" i="31" s="1"/>
  <c r="FD154" i="29"/>
  <c r="AW154" i="29"/>
  <c r="AW164" i="29" s="1"/>
  <c r="AW168" i="31" s="1"/>
  <c r="AW151" i="29"/>
  <c r="AW155" i="31" s="1"/>
  <c r="CT154" i="29"/>
  <c r="CT164" i="29" s="1"/>
  <c r="CT168" i="31" s="1"/>
  <c r="CT151" i="29"/>
  <c r="CT155" i="31" s="1"/>
  <c r="I154" i="29"/>
  <c r="I164" i="29" s="1"/>
  <c r="I168" i="31" s="1"/>
  <c r="I151" i="29"/>
  <c r="I155" i="31" s="1"/>
  <c r="HJ151" i="29"/>
  <c r="HJ155" i="31" s="1"/>
  <c r="HJ154" i="29"/>
  <c r="J154" i="29"/>
  <c r="J164" i="29" s="1"/>
  <c r="J168" i="31" s="1"/>
  <c r="J151" i="29"/>
  <c r="J155" i="31" s="1"/>
  <c r="H154" i="29"/>
  <c r="H164" i="29" s="1"/>
  <c r="H168" i="31" s="1"/>
  <c r="H151" i="29"/>
  <c r="H155" i="31" s="1"/>
  <c r="CL151" i="29"/>
  <c r="CL155" i="31" s="1"/>
  <c r="CL154" i="29"/>
  <c r="CL164" i="29" s="1"/>
  <c r="CL168" i="31" s="1"/>
  <c r="DX151" i="29"/>
  <c r="DX155" i="31" s="1"/>
  <c r="DX154" i="29"/>
  <c r="DX164" i="29" s="1"/>
  <c r="DX168" i="31" s="1"/>
  <c r="EJ154" i="29"/>
  <c r="EJ164" i="29" s="1"/>
  <c r="EJ168" i="31" s="1"/>
  <c r="EJ151" i="29"/>
  <c r="EJ155" i="31" s="1"/>
  <c r="BQ154" i="29"/>
  <c r="BQ164" i="29" s="1"/>
  <c r="BQ168" i="31" s="1"/>
  <c r="BQ151" i="29"/>
  <c r="BQ155" i="31" s="1"/>
  <c r="GE151" i="29"/>
  <c r="GE155" i="31" s="1"/>
  <c r="GE154" i="29"/>
  <c r="DJ154" i="29"/>
  <c r="DJ164" i="29" s="1"/>
  <c r="DJ168" i="31" s="1"/>
  <c r="DJ151" i="29"/>
  <c r="DJ155" i="31" s="1"/>
  <c r="DU154" i="29"/>
  <c r="DU164" i="29" s="1"/>
  <c r="DU168" i="31" s="1"/>
  <c r="DU151" i="29"/>
  <c r="DU155" i="31" s="1"/>
  <c r="FR154" i="29"/>
  <c r="FR151" i="29"/>
  <c r="FR155" i="31" s="1"/>
  <c r="CH151" i="29"/>
  <c r="CH155" i="31" s="1"/>
  <c r="CH154" i="29"/>
  <c r="CH164" i="29" s="1"/>
  <c r="CH168" i="31" s="1"/>
  <c r="DK154" i="29"/>
  <c r="DK164" i="29" s="1"/>
  <c r="DK168" i="31" s="1"/>
  <c r="DK151" i="29"/>
  <c r="DK155" i="31" s="1"/>
  <c r="DD154" i="29"/>
  <c r="DD164" i="29" s="1"/>
  <c r="DD168" i="31" s="1"/>
  <c r="DD151" i="29"/>
  <c r="DD155" i="31" s="1"/>
  <c r="BL157" i="29" l="1"/>
  <c r="BL161" i="31" s="1"/>
  <c r="BL154" i="31"/>
  <c r="CS157" i="29"/>
  <c r="CS161" i="31" s="1"/>
  <c r="CS154" i="31"/>
  <c r="CA157" i="29"/>
  <c r="CA161" i="31" s="1"/>
  <c r="CA154" i="31"/>
  <c r="BK157" i="29"/>
  <c r="BK161" i="31" s="1"/>
  <c r="BK154" i="31"/>
  <c r="HO160" i="29"/>
  <c r="HO164" i="31" s="1"/>
  <c r="HO161" i="29"/>
  <c r="HO165" i="31" s="1"/>
  <c r="CA56" i="29"/>
  <c r="CA59" i="31"/>
  <c r="J155" i="29"/>
  <c r="DD155" i="29"/>
  <c r="WC197" i="1" s="1"/>
  <c r="DK155" i="29"/>
  <c r="WC209" i="1" s="1"/>
  <c r="FR155" i="29"/>
  <c r="WC237" i="1" s="1"/>
  <c r="DX155" i="29"/>
  <c r="DW155" i="29"/>
  <c r="DU155" i="29"/>
  <c r="EJ155" i="29"/>
  <c r="WC253" i="1" s="1"/>
  <c r="HJ155" i="29"/>
  <c r="FD155" i="29"/>
  <c r="WC201" i="1" s="1"/>
  <c r="DI155" i="29"/>
  <c r="WC207" i="1" s="1"/>
  <c r="GZ151" i="29"/>
  <c r="GZ155" i="31" s="1"/>
  <c r="GZ154" i="29"/>
  <c r="CL155" i="29"/>
  <c r="GE155" i="29"/>
  <c r="WC130" i="1" s="1"/>
  <c r="CT155" i="29"/>
  <c r="AW155" i="29"/>
  <c r="CI155" i="29"/>
  <c r="DJ155" i="29"/>
  <c r="WC208" i="1" s="1"/>
  <c r="FR152" i="29"/>
  <c r="FR156" i="31" s="1"/>
  <c r="CH155" i="29"/>
  <c r="BQ155" i="29"/>
  <c r="CS154" i="29"/>
  <c r="CS164" i="29" s="1"/>
  <c r="CS168" i="31" s="1"/>
  <c r="CS151" i="29"/>
  <c r="CS155" i="31" s="1"/>
  <c r="H155" i="29"/>
  <c r="I155" i="29"/>
  <c r="BE155" i="29"/>
  <c r="WC11" i="1" l="1"/>
  <c r="F5" i="32"/>
  <c r="I153" i="29"/>
  <c r="I159" i="31"/>
  <c r="I178" i="31" s="1"/>
  <c r="WC157" i="1"/>
  <c r="F151" i="32"/>
  <c r="BQ153" i="29"/>
  <c r="BQ159" i="31"/>
  <c r="BQ178" i="31" s="1"/>
  <c r="WC116" i="1"/>
  <c r="F110" i="32"/>
  <c r="BE153" i="29"/>
  <c r="BE159" i="31"/>
  <c r="BE178" i="31" s="1"/>
  <c r="WC10" i="1"/>
  <c r="F4" i="32"/>
  <c r="H153" i="29"/>
  <c r="H159" i="31"/>
  <c r="H178" i="31" s="1"/>
  <c r="WC104" i="1"/>
  <c r="F98" i="32"/>
  <c r="AW153" i="29"/>
  <c r="AW159" i="31"/>
  <c r="AW178" i="31" s="1"/>
  <c r="WC12" i="1"/>
  <c r="F6" i="32"/>
  <c r="J153" i="29"/>
  <c r="J159" i="31"/>
  <c r="J178" i="31" s="1"/>
  <c r="WC178" i="1"/>
  <c r="F172" i="32"/>
  <c r="CI159" i="31"/>
  <c r="CI178" i="31" s="1"/>
  <c r="CI153" i="29"/>
  <c r="WC173" i="1"/>
  <c r="F167" i="32"/>
  <c r="CL159" i="31"/>
  <c r="CL178" i="31" s="1"/>
  <c r="CL153" i="29"/>
  <c r="WC175" i="1"/>
  <c r="F169" i="32"/>
  <c r="CH159" i="31"/>
  <c r="CH178" i="31" s="1"/>
  <c r="CH153" i="29"/>
  <c r="WC187" i="1"/>
  <c r="F181" i="32"/>
  <c r="CT153" i="29"/>
  <c r="CT159" i="31"/>
  <c r="CT178" i="31" s="1"/>
  <c r="DW153" i="29"/>
  <c r="DW159" i="31"/>
  <c r="DW178" i="31" s="1"/>
  <c r="F191" i="32"/>
  <c r="DD159" i="31"/>
  <c r="DD178" i="31" s="1"/>
  <c r="DD153" i="29"/>
  <c r="DX159" i="31"/>
  <c r="DX178" i="31" s="1"/>
  <c r="DX153" i="29"/>
  <c r="F202" i="32"/>
  <c r="DJ153" i="29"/>
  <c r="DJ159" i="31"/>
  <c r="DJ178" i="31" s="1"/>
  <c r="F124" i="32"/>
  <c r="GE159" i="31"/>
  <c r="GE153" i="29"/>
  <c r="F201" i="32"/>
  <c r="DI159" i="31"/>
  <c r="DI178" i="31" s="1"/>
  <c r="DI153" i="29"/>
  <c r="DU159" i="31"/>
  <c r="DU178" i="31" s="1"/>
  <c r="DU153" i="29"/>
  <c r="F203" i="32"/>
  <c r="DK153" i="29"/>
  <c r="DK159" i="31"/>
  <c r="DK178" i="31" s="1"/>
  <c r="F195" i="32"/>
  <c r="FD153" i="29"/>
  <c r="FD159" i="31"/>
  <c r="HJ153" i="29"/>
  <c r="HJ159" i="31"/>
  <c r="F247" i="32"/>
  <c r="EJ159" i="31"/>
  <c r="EJ178" i="31" s="1"/>
  <c r="EJ153" i="29"/>
  <c r="F231" i="32"/>
  <c r="FR153" i="29"/>
  <c r="FR159" i="31"/>
  <c r="CA60" i="31"/>
  <c r="CA57" i="29"/>
  <c r="CA61" i="31" s="1"/>
  <c r="CA58" i="29"/>
  <c r="BQ174" i="29"/>
  <c r="BQ158" i="29"/>
  <c r="BQ162" i="31" s="1"/>
  <c r="BQ183" i="29"/>
  <c r="BQ180" i="29"/>
  <c r="CI174" i="29"/>
  <c r="CI183" i="29"/>
  <c r="CI158" i="29"/>
  <c r="CI162" i="31" s="1"/>
  <c r="CI180" i="29"/>
  <c r="DW174" i="29"/>
  <c r="DW158" i="29"/>
  <c r="DW162" i="31" s="1"/>
  <c r="DW183" i="29"/>
  <c r="DW180" i="29"/>
  <c r="DK174" i="29"/>
  <c r="DK183" i="29"/>
  <c r="DK158" i="29"/>
  <c r="DK162" i="31" s="1"/>
  <c r="DK180" i="29"/>
  <c r="BE174" i="29"/>
  <c r="BE158" i="29"/>
  <c r="BE162" i="31" s="1"/>
  <c r="BE183" i="29"/>
  <c r="BE180" i="29"/>
  <c r="CH174" i="29"/>
  <c r="CH158" i="29"/>
  <c r="CH162" i="31" s="1"/>
  <c r="CH183" i="29"/>
  <c r="CH180" i="29"/>
  <c r="I174" i="29"/>
  <c r="I158" i="29"/>
  <c r="I162" i="31" s="1"/>
  <c r="I183" i="29"/>
  <c r="I180" i="29"/>
  <c r="DJ174" i="29"/>
  <c r="DJ158" i="29"/>
  <c r="DJ162" i="31" s="1"/>
  <c r="DJ183" i="29"/>
  <c r="DJ180" i="29"/>
  <c r="DI174" i="29"/>
  <c r="DI158" i="29"/>
  <c r="DI162" i="31" s="1"/>
  <c r="DI183" i="29"/>
  <c r="DI180" i="29"/>
  <c r="H174" i="29"/>
  <c r="H158" i="29"/>
  <c r="H162" i="31" s="1"/>
  <c r="H183" i="29"/>
  <c r="H180" i="29"/>
  <c r="AW174" i="29"/>
  <c r="AW158" i="29"/>
  <c r="AW162" i="31" s="1"/>
  <c r="AW183" i="29"/>
  <c r="AW180" i="29"/>
  <c r="EJ174" i="29"/>
  <c r="EJ158" i="29"/>
  <c r="EJ162" i="31" s="1"/>
  <c r="EJ183" i="29"/>
  <c r="EJ180" i="29"/>
  <c r="DD174" i="29"/>
  <c r="DD158" i="29"/>
  <c r="DD162" i="31" s="1"/>
  <c r="DD183" i="29"/>
  <c r="DD180" i="29"/>
  <c r="J174" i="29"/>
  <c r="J158" i="29"/>
  <c r="J162" i="31" s="1"/>
  <c r="J183" i="29"/>
  <c r="J180" i="29"/>
  <c r="CT174" i="29"/>
  <c r="CT158" i="29"/>
  <c r="CT162" i="31" s="1"/>
  <c r="CT183" i="29"/>
  <c r="CT180" i="29"/>
  <c r="CL174" i="29"/>
  <c r="CL183" i="29"/>
  <c r="CL158" i="29"/>
  <c r="CL162" i="31" s="1"/>
  <c r="CL180" i="29"/>
  <c r="DU174" i="29"/>
  <c r="DU158" i="29"/>
  <c r="DU162" i="31" s="1"/>
  <c r="DU183" i="29"/>
  <c r="DU180" i="29"/>
  <c r="DX174" i="29"/>
  <c r="DX158" i="29"/>
  <c r="DX162" i="31" s="1"/>
  <c r="DX183" i="29"/>
  <c r="DX180" i="29"/>
  <c r="FD158" i="29"/>
  <c r="FD162" i="31" s="1"/>
  <c r="FD183" i="29"/>
  <c r="HJ158" i="29"/>
  <c r="HJ162" i="31" s="1"/>
  <c r="HJ183" i="29"/>
  <c r="GE183" i="29"/>
  <c r="GE158" i="29"/>
  <c r="GE162" i="31" s="1"/>
  <c r="FR158" i="29"/>
  <c r="FR162" i="31" s="1"/>
  <c r="FR183" i="29"/>
  <c r="CS155" i="29"/>
  <c r="GZ155" i="29"/>
  <c r="WC151" i="1" s="1"/>
  <c r="CS152" i="29"/>
  <c r="CS156" i="31" s="1"/>
  <c r="GZ152" i="29"/>
  <c r="GZ156" i="31" s="1"/>
  <c r="WC186" i="1" l="1"/>
  <c r="F180" i="32"/>
  <c r="CS153" i="29"/>
  <c r="CS159" i="31"/>
  <c r="CS178" i="31" s="1"/>
  <c r="F145" i="32"/>
  <c r="GZ153" i="29"/>
  <c r="GZ159" i="31"/>
  <c r="CA64" i="29"/>
  <c r="CA62" i="31"/>
  <c r="CS174" i="29"/>
  <c r="CS158" i="29"/>
  <c r="CS162" i="31" s="1"/>
  <c r="CS183" i="29"/>
  <c r="CS180" i="29"/>
  <c r="GZ158" i="29"/>
  <c r="GZ162" i="31" s="1"/>
  <c r="GZ183" i="29"/>
  <c r="FR160" i="29"/>
  <c r="FR164" i="31" s="1"/>
  <c r="FR161" i="29"/>
  <c r="FR165" i="31" s="1"/>
  <c r="CS159" i="29" l="1"/>
  <c r="CS163" i="31" s="1"/>
  <c r="CA65" i="29"/>
  <c r="CA68" i="31"/>
  <c r="GZ159" i="29"/>
  <c r="GZ163" i="31" s="1"/>
  <c r="CA85" i="29" l="1"/>
  <c r="CA69" i="31"/>
  <c r="CS161" i="29"/>
  <c r="CS165" i="31" s="1"/>
  <c r="CS160" i="29"/>
  <c r="CS164" i="31" s="1"/>
  <c r="GZ161" i="29"/>
  <c r="GZ165" i="31" s="1"/>
  <c r="GZ160" i="29"/>
  <c r="GZ164" i="31" s="1"/>
  <c r="CA90" i="29" l="1"/>
  <c r="CA89" i="31"/>
  <c r="RH9" i="1"/>
  <c r="F134" i="29" s="1"/>
  <c r="F138" i="31" s="1"/>
  <c r="RH10" i="1"/>
  <c r="H134" i="29" s="1"/>
  <c r="H138" i="31" s="1"/>
  <c r="RH11" i="1"/>
  <c r="I134" i="29" s="1"/>
  <c r="I138" i="31" s="1"/>
  <c r="RH12" i="1"/>
  <c r="J134" i="29" s="1"/>
  <c r="J138" i="31" s="1"/>
  <c r="RH13" i="1"/>
  <c r="K134" i="29" s="1"/>
  <c r="K138" i="31" s="1"/>
  <c r="RH14" i="1"/>
  <c r="HL134" i="29" s="1"/>
  <c r="HL138" i="31" s="1"/>
  <c r="RH15" i="1"/>
  <c r="HN134" i="29" s="1"/>
  <c r="HN138" i="31" s="1"/>
  <c r="RH16" i="1"/>
  <c r="HM134" i="29" s="1"/>
  <c r="HM138" i="31" s="1"/>
  <c r="RH17" i="1"/>
  <c r="L134" i="29" s="1"/>
  <c r="L138" i="31" s="1"/>
  <c r="RH18" i="1"/>
  <c r="M134" i="29" s="1"/>
  <c r="M138" i="31" s="1"/>
  <c r="RH19" i="1"/>
  <c r="N134" i="29" s="1"/>
  <c r="N138" i="31" s="1"/>
  <c r="RH20" i="1"/>
  <c r="O134" i="29" s="1"/>
  <c r="O138" i="31" s="1"/>
  <c r="RH21" i="1"/>
  <c r="P134" i="29" s="1"/>
  <c r="P138" i="31" s="1"/>
  <c r="RH22" i="1"/>
  <c r="Q134" i="29" s="1"/>
  <c r="Q138" i="31" s="1"/>
  <c r="RH23" i="1"/>
  <c r="R134" i="29" s="1"/>
  <c r="R138" i="31" s="1"/>
  <c r="RH24" i="1"/>
  <c r="S134" i="29" s="1"/>
  <c r="S138" i="31" s="1"/>
  <c r="RH25" i="1"/>
  <c r="T134" i="29" s="1"/>
  <c r="T138" i="31" s="1"/>
  <c r="RH26" i="1"/>
  <c r="W134" i="29" s="1"/>
  <c r="W138" i="31" s="1"/>
  <c r="RH27" i="1"/>
  <c r="U134" i="29" s="1"/>
  <c r="U138" i="31" s="1"/>
  <c r="RH28" i="1"/>
  <c r="V134" i="29" s="1"/>
  <c r="V138" i="31" s="1"/>
  <c r="RH29" i="1"/>
  <c r="EW134" i="29" s="1"/>
  <c r="EW138" i="31" s="1"/>
  <c r="RH30" i="1"/>
  <c r="EV134" i="29" s="1"/>
  <c r="EV138" i="31" s="1"/>
  <c r="RH31" i="1"/>
  <c r="EY134" i="29" s="1"/>
  <c r="EY138" i="31" s="1"/>
  <c r="RH32" i="1"/>
  <c r="EX134" i="29" s="1"/>
  <c r="EX138" i="31" s="1"/>
  <c r="RH33" i="1"/>
  <c r="X134" i="29" s="1"/>
  <c r="X138" i="31" s="1"/>
  <c r="RH34" i="1"/>
  <c r="EU134" i="29" s="1"/>
  <c r="EU138" i="31" s="1"/>
  <c r="RH35" i="1"/>
  <c r="ET134" i="29" s="1"/>
  <c r="ET138" i="31" s="1"/>
  <c r="RH36" i="1"/>
  <c r="Y134" i="29" s="1"/>
  <c r="Y138" i="31" s="1"/>
  <c r="RH37" i="1"/>
  <c r="Z134" i="29" s="1"/>
  <c r="Z138" i="31" s="1"/>
  <c r="RH38" i="1"/>
  <c r="RH39" i="1"/>
  <c r="AA134" i="29" s="1"/>
  <c r="AA138" i="31" s="1"/>
  <c r="RH40" i="1"/>
  <c r="AB134" i="29" s="1"/>
  <c r="AB138" i="31" s="1"/>
  <c r="RH41" i="1"/>
  <c r="AE134" i="29" s="1"/>
  <c r="AE138" i="31" s="1"/>
  <c r="RH42" i="1"/>
  <c r="AD134" i="29" s="1"/>
  <c r="AD138" i="31" s="1"/>
  <c r="RH43" i="1"/>
  <c r="AF134" i="29" s="1"/>
  <c r="AF138" i="31" s="1"/>
  <c r="RH44" i="1"/>
  <c r="AC134" i="29" s="1"/>
  <c r="RH45" i="1"/>
  <c r="AG134" i="29" s="1"/>
  <c r="AG138" i="31" s="1"/>
  <c r="RH46" i="1"/>
  <c r="AH134" i="29" s="1"/>
  <c r="AH138" i="31" s="1"/>
  <c r="RH47" i="1"/>
  <c r="AI134" i="29" s="1"/>
  <c r="AI138" i="31" s="1"/>
  <c r="RH48" i="1"/>
  <c r="AJ134" i="29" s="1"/>
  <c r="AJ138" i="31" s="1"/>
  <c r="RH49" i="1"/>
  <c r="AK134" i="29" s="1"/>
  <c r="AK138" i="31" s="1"/>
  <c r="RH50" i="1"/>
  <c r="AL134" i="29" s="1"/>
  <c r="AL138" i="31" s="1"/>
  <c r="RH51" i="1"/>
  <c r="AM134" i="29" s="1"/>
  <c r="AM138" i="31" s="1"/>
  <c r="RH52" i="1"/>
  <c r="AN134" i="29" s="1"/>
  <c r="AN138" i="31" s="1"/>
  <c r="RH53" i="1"/>
  <c r="AO134" i="29" s="1"/>
  <c r="AO138" i="31" s="1"/>
  <c r="RH54" i="1"/>
  <c r="HP134" i="29" s="1"/>
  <c r="HP138" i="31" s="1"/>
  <c r="RH55" i="1"/>
  <c r="HQ134" i="29" s="1"/>
  <c r="HQ138" i="31" s="1"/>
  <c r="RH56" i="1"/>
  <c r="HR134" i="29" s="1"/>
  <c r="HR138" i="31" s="1"/>
  <c r="RH57" i="1"/>
  <c r="HS134" i="29" s="1"/>
  <c r="HS138" i="31" s="1"/>
  <c r="RH58" i="1"/>
  <c r="HT134" i="29" s="1"/>
  <c r="HT138" i="31" s="1"/>
  <c r="RH59" i="1"/>
  <c r="HU134" i="29" s="1"/>
  <c r="HU138" i="31" s="1"/>
  <c r="RH60" i="1"/>
  <c r="HV134" i="29" s="1"/>
  <c r="HV138" i="31" s="1"/>
  <c r="RH61" i="1"/>
  <c r="HW134" i="29" s="1"/>
  <c r="HW138" i="31" s="1"/>
  <c r="RH62" i="1"/>
  <c r="HX134" i="29" s="1"/>
  <c r="HX138" i="31" s="1"/>
  <c r="RH63" i="1"/>
  <c r="HY134" i="29" s="1"/>
  <c r="HY138" i="31" s="1"/>
  <c r="RH64" i="1"/>
  <c r="HZ134" i="29" s="1"/>
  <c r="HZ138" i="31" s="1"/>
  <c r="RH65" i="1"/>
  <c r="HC134" i="29" s="1"/>
  <c r="HC138" i="31" s="1"/>
  <c r="RH66" i="1"/>
  <c r="IA134" i="29" s="1"/>
  <c r="IA138" i="31" s="1"/>
  <c r="RH67" i="1"/>
  <c r="IB134" i="29" s="1"/>
  <c r="IB138" i="31" s="1"/>
  <c r="RH68" i="1"/>
  <c r="C134" i="29" s="1"/>
  <c r="C138" i="31" s="1"/>
  <c r="RH69" i="1"/>
  <c r="ID134" i="29" s="1"/>
  <c r="ID138" i="31" s="1"/>
  <c r="RH70" i="1"/>
  <c r="IC134" i="29" s="1"/>
  <c r="IC138" i="31" s="1"/>
  <c r="RH71" i="1"/>
  <c r="IE134" i="29" s="1"/>
  <c r="IE138" i="31" s="1"/>
  <c r="RH72" i="1"/>
  <c r="IG134" i="29" s="1"/>
  <c r="IG138" i="31" s="1"/>
  <c r="RH73" i="1"/>
  <c r="IF134" i="29" s="1"/>
  <c r="IF138" i="31" s="1"/>
  <c r="RH74" i="1"/>
  <c r="IJ134" i="29" s="1"/>
  <c r="IJ138" i="31" s="1"/>
  <c r="RH75" i="1"/>
  <c r="II134" i="29" s="1"/>
  <c r="II138" i="31" s="1"/>
  <c r="RH76" i="1"/>
  <c r="IK134" i="29" s="1"/>
  <c r="IK138" i="31" s="1"/>
  <c r="RH77" i="1"/>
  <c r="IH134" i="29" s="1"/>
  <c r="IH138" i="31" s="1"/>
  <c r="RH78" i="1"/>
  <c r="FI134" i="29" s="1"/>
  <c r="FI138" i="31" s="1"/>
  <c r="RH79" i="1"/>
  <c r="IL134" i="29" s="1"/>
  <c r="IL138" i="31" s="1"/>
  <c r="RH80" i="1"/>
  <c r="GY134" i="29" s="1"/>
  <c r="GY138" i="31" s="1"/>
  <c r="RH81" i="1"/>
  <c r="IM134" i="29" s="1"/>
  <c r="IM138" i="31" s="1"/>
  <c r="RH82" i="1"/>
  <c r="IN134" i="29" s="1"/>
  <c r="IN138" i="31" s="1"/>
  <c r="RH83" i="1"/>
  <c r="IO134" i="29" s="1"/>
  <c r="IO138" i="31" s="1"/>
  <c r="RH84" i="1"/>
  <c r="IP134" i="29" s="1"/>
  <c r="IP138" i="31" s="1"/>
  <c r="RH85" i="1"/>
  <c r="IQ134" i="29" s="1"/>
  <c r="IQ138" i="31" s="1"/>
  <c r="RH86" i="1"/>
  <c r="IR134" i="29" s="1"/>
  <c r="IR138" i="31" s="1"/>
  <c r="RH87" i="1"/>
  <c r="IT134" i="29" s="1"/>
  <c r="IT138" i="31" s="1"/>
  <c r="RH88" i="1"/>
  <c r="IS134" i="29" s="1"/>
  <c r="IS138" i="31" s="1"/>
  <c r="RH89" i="1"/>
  <c r="IX134" i="29" s="1"/>
  <c r="IX138" i="31" s="1"/>
  <c r="RH90" i="1"/>
  <c r="IV134" i="29" s="1"/>
  <c r="IV138" i="31" s="1"/>
  <c r="RH91" i="1"/>
  <c r="IW134" i="29" s="1"/>
  <c r="IW138" i="31" s="1"/>
  <c r="RH92" i="1"/>
  <c r="IU134" i="29" s="1"/>
  <c r="IU138" i="31" s="1"/>
  <c r="RH93" i="1"/>
  <c r="IZ134" i="29" s="1"/>
  <c r="IZ138" i="31" s="1"/>
  <c r="RH94" i="1"/>
  <c r="IY134" i="29" s="1"/>
  <c r="IY138" i="31" s="1"/>
  <c r="RH95" i="1"/>
  <c r="GL134" i="29" s="1"/>
  <c r="GL138" i="31" s="1"/>
  <c r="RH96" i="1"/>
  <c r="GK134" i="29" s="1"/>
  <c r="GK138" i="31" s="1"/>
  <c r="RH97" i="1"/>
  <c r="GM134" i="29" s="1"/>
  <c r="GM138" i="31" s="1"/>
  <c r="RH98" i="1"/>
  <c r="GJ134" i="29" s="1"/>
  <c r="GJ138" i="31" s="1"/>
  <c r="RH99" i="1"/>
  <c r="GW134" i="29" s="1"/>
  <c r="GW138" i="31" s="1"/>
  <c r="RH100" i="1"/>
  <c r="AP134" i="29" s="1"/>
  <c r="AP138" i="31" s="1"/>
  <c r="RH101" i="1"/>
  <c r="AT134" i="29" s="1"/>
  <c r="AT138" i="31" s="1"/>
  <c r="RH102" i="1"/>
  <c r="AV134" i="29" s="1"/>
  <c r="AV138" i="31" s="1"/>
  <c r="RH103" i="1"/>
  <c r="AQ134" i="29" s="1"/>
  <c r="AQ138" i="31" s="1"/>
  <c r="RH104" i="1"/>
  <c r="AW134" i="29" s="1"/>
  <c r="AW138" i="31" s="1"/>
  <c r="RH105" i="1"/>
  <c r="AU134" i="29" s="1"/>
  <c r="AU138" i="31" s="1"/>
  <c r="RH106" i="1"/>
  <c r="AR134" i="29" s="1"/>
  <c r="AR138" i="31" s="1"/>
  <c r="RH107" i="1"/>
  <c r="AS134" i="29" s="1"/>
  <c r="AS138" i="31" s="1"/>
  <c r="RH108" i="1"/>
  <c r="AX134" i="29" s="1"/>
  <c r="AX138" i="31" s="1"/>
  <c r="RH109" i="1"/>
  <c r="AY134" i="29" s="1"/>
  <c r="AY138" i="31" s="1"/>
  <c r="RH110" i="1"/>
  <c r="AZ134" i="29" s="1"/>
  <c r="AZ138" i="31" s="1"/>
  <c r="RH111" i="1"/>
  <c r="HD134" i="29" s="1"/>
  <c r="HD138" i="31" s="1"/>
  <c r="RH112" i="1"/>
  <c r="HE134" i="29" s="1"/>
  <c r="HE138" i="31" s="1"/>
  <c r="RH113" i="1"/>
  <c r="BA134" i="29" s="1"/>
  <c r="BA138" i="31" s="1"/>
  <c r="RH114" i="1"/>
  <c r="BC134" i="29" s="1"/>
  <c r="BC138" i="31" s="1"/>
  <c r="RH115" i="1"/>
  <c r="BB134" i="29" s="1"/>
  <c r="BB138" i="31" s="1"/>
  <c r="RH116" i="1"/>
  <c r="BE134" i="29" s="1"/>
  <c r="BE138" i="31" s="1"/>
  <c r="RH117" i="1"/>
  <c r="BD134" i="29" s="1"/>
  <c r="BD138" i="31" s="1"/>
  <c r="RH118" i="1"/>
  <c r="BF134" i="29" s="1"/>
  <c r="BF138" i="31" s="1"/>
  <c r="RH119" i="1"/>
  <c r="BH134" i="29" s="1"/>
  <c r="BH138" i="31" s="1"/>
  <c r="RH120" i="1"/>
  <c r="BG134" i="29" s="1"/>
  <c r="BG138" i="31" s="1"/>
  <c r="RH121" i="1"/>
  <c r="EZ134" i="29" s="1"/>
  <c r="EZ138" i="31" s="1"/>
  <c r="RH122" i="1"/>
  <c r="FA134" i="29" s="1"/>
  <c r="FA138" i="31" s="1"/>
  <c r="RH123" i="1"/>
  <c r="FJ134" i="29" s="1"/>
  <c r="FJ138" i="31" s="1"/>
  <c r="RH124" i="1"/>
  <c r="FM134" i="29" s="1"/>
  <c r="FM138" i="31" s="1"/>
  <c r="RH125" i="1"/>
  <c r="FT134" i="29" s="1"/>
  <c r="FT138" i="31" s="1"/>
  <c r="RH126" i="1"/>
  <c r="FU134" i="29" s="1"/>
  <c r="FU138" i="31" s="1"/>
  <c r="RH127" i="1"/>
  <c r="FW134" i="29" s="1"/>
  <c r="FW138" i="31" s="1"/>
  <c r="RH128" i="1"/>
  <c r="FX134" i="29" s="1"/>
  <c r="FX138" i="31" s="1"/>
  <c r="RH129" i="1"/>
  <c r="FY134" i="29" s="1"/>
  <c r="FY138" i="31" s="1"/>
  <c r="RH130" i="1"/>
  <c r="GE134" i="29" s="1"/>
  <c r="GE138" i="31" s="1"/>
  <c r="RH131" i="1"/>
  <c r="GN134" i="29" s="1"/>
  <c r="GN138" i="31" s="1"/>
  <c r="RH132" i="1"/>
  <c r="GQ134" i="29" s="1"/>
  <c r="GQ138" i="31" s="1"/>
  <c r="RH133" i="1"/>
  <c r="GR134" i="29" s="1"/>
  <c r="GR138" i="31" s="1"/>
  <c r="RH134" i="1"/>
  <c r="GS134" i="29" s="1"/>
  <c r="GS138" i="31" s="1"/>
  <c r="RH135" i="1"/>
  <c r="GX134" i="29" s="1"/>
  <c r="GX138" i="31" s="1"/>
  <c r="RH136" i="1"/>
  <c r="HG134" i="29" s="1"/>
  <c r="HG138" i="31" s="1"/>
  <c r="RH137" i="1"/>
  <c r="HF134" i="29" s="1"/>
  <c r="HF138" i="31" s="1"/>
  <c r="RH138" i="1"/>
  <c r="HH134" i="29" s="1"/>
  <c r="HH138" i="31" s="1"/>
  <c r="RH139" i="1"/>
  <c r="HI134" i="29" s="1"/>
  <c r="HI138" i="31" s="1"/>
  <c r="RH140" i="1"/>
  <c r="BI134" i="29" s="1"/>
  <c r="BI138" i="31" s="1"/>
  <c r="RH141" i="1"/>
  <c r="GB134" i="29" s="1"/>
  <c r="GB138" i="31" s="1"/>
  <c r="RH142" i="1"/>
  <c r="GA134" i="29" s="1"/>
  <c r="GA138" i="31" s="1"/>
  <c r="RH143" i="1"/>
  <c r="FZ134" i="29" s="1"/>
  <c r="FZ138" i="31" s="1"/>
  <c r="RH144" i="1"/>
  <c r="GH134" i="29" s="1"/>
  <c r="GH138" i="31" s="1"/>
  <c r="RH145" i="1"/>
  <c r="GG134" i="29" s="1"/>
  <c r="GG138" i="31" s="1"/>
  <c r="RH146" i="1"/>
  <c r="GI134" i="29" s="1"/>
  <c r="GI138" i="31" s="1"/>
  <c r="RH147" i="1"/>
  <c r="GF134" i="29" s="1"/>
  <c r="GF138" i="31" s="1"/>
  <c r="RH148" i="1"/>
  <c r="GP134" i="29" s="1"/>
  <c r="GP138" i="31" s="1"/>
  <c r="RH149" i="1"/>
  <c r="BJ134" i="29" s="1"/>
  <c r="BJ138" i="31" s="1"/>
  <c r="RH150" i="1"/>
  <c r="BK134" i="29" s="1"/>
  <c r="BK138" i="31" s="1"/>
  <c r="RH151" i="1"/>
  <c r="GZ134" i="29" s="1"/>
  <c r="GZ138" i="31" s="1"/>
  <c r="RH152" i="1"/>
  <c r="BL134" i="29" s="1"/>
  <c r="BL138" i="31" s="1"/>
  <c r="RH153" i="1"/>
  <c r="BM134" i="29" s="1"/>
  <c r="BM138" i="31" s="1"/>
  <c r="RH154" i="1"/>
  <c r="BO134" i="29" s="1"/>
  <c r="BO138" i="31" s="1"/>
  <c r="RH155" i="1"/>
  <c r="BN134" i="29" s="1"/>
  <c r="BN138" i="31" s="1"/>
  <c r="RH156" i="1"/>
  <c r="BP134" i="29" s="1"/>
  <c r="BP138" i="31" s="1"/>
  <c r="RH157" i="1"/>
  <c r="BQ134" i="29" s="1"/>
  <c r="BQ138" i="31" s="1"/>
  <c r="RH158" i="1"/>
  <c r="BR134" i="29" s="1"/>
  <c r="BR138" i="31" s="1"/>
  <c r="RH159" i="1"/>
  <c r="BS134" i="29" s="1"/>
  <c r="BS138" i="31" s="1"/>
  <c r="RH160" i="1"/>
  <c r="BT134" i="29" s="1"/>
  <c r="BT138" i="31" s="1"/>
  <c r="RH161" i="1"/>
  <c r="RH162" i="1"/>
  <c r="FV134" i="29" s="1"/>
  <c r="FV138" i="31" s="1"/>
  <c r="RH163" i="1"/>
  <c r="BV134" i="29" s="1"/>
  <c r="BV138" i="31" s="1"/>
  <c r="RH164" i="1"/>
  <c r="BU134" i="29" s="1"/>
  <c r="BU138" i="31" s="1"/>
  <c r="RH165" i="1"/>
  <c r="BX134" i="29" s="1"/>
  <c r="BX138" i="31" s="1"/>
  <c r="RH166" i="1"/>
  <c r="BZ134" i="29" s="1"/>
  <c r="BZ138" i="31" s="1"/>
  <c r="RH167" i="1"/>
  <c r="BW134" i="29" s="1"/>
  <c r="BW138" i="31" s="1"/>
  <c r="RH168" i="1"/>
  <c r="CB134" i="29" s="1"/>
  <c r="CB138" i="31" s="1"/>
  <c r="RH169" i="1"/>
  <c r="BY134" i="29" s="1"/>
  <c r="BY138" i="31" s="1"/>
  <c r="RH170" i="1"/>
  <c r="CG134" i="29" s="1"/>
  <c r="CG138" i="31" s="1"/>
  <c r="RH171" i="1"/>
  <c r="CF134" i="29" s="1"/>
  <c r="CF138" i="31" s="1"/>
  <c r="RH172" i="1"/>
  <c r="CK134" i="29" s="1"/>
  <c r="CK138" i="31" s="1"/>
  <c r="RH173" i="1"/>
  <c r="CL134" i="29" s="1"/>
  <c r="CL138" i="31" s="1"/>
  <c r="RH174" i="1"/>
  <c r="CC134" i="29" s="1"/>
  <c r="CC138" i="31" s="1"/>
  <c r="RH175" i="1"/>
  <c r="CH134" i="29" s="1"/>
  <c r="CH138" i="31" s="1"/>
  <c r="RH176" i="1"/>
  <c r="CE134" i="29" s="1"/>
  <c r="CE138" i="31" s="1"/>
  <c r="RH177" i="1"/>
  <c r="CD134" i="29" s="1"/>
  <c r="CD138" i="31" s="1"/>
  <c r="RH178" i="1"/>
  <c r="CI134" i="29" s="1"/>
  <c r="CI138" i="31" s="1"/>
  <c r="RH179" i="1"/>
  <c r="CJ134" i="29" s="1"/>
  <c r="CJ138" i="31" s="1"/>
  <c r="RH180" i="1"/>
  <c r="CN134" i="29" s="1"/>
  <c r="CN138" i="31" s="1"/>
  <c r="RH181" i="1"/>
  <c r="CQ134" i="29" s="1"/>
  <c r="CQ138" i="31" s="1"/>
  <c r="RH182" i="1"/>
  <c r="CO134" i="29" s="1"/>
  <c r="CO138" i="31" s="1"/>
  <c r="RH183" i="1"/>
  <c r="CP134" i="29" s="1"/>
  <c r="CP138" i="31" s="1"/>
  <c r="RH184" i="1"/>
  <c r="CM134" i="29" s="1"/>
  <c r="CM138" i="31" s="1"/>
  <c r="RH185" i="1"/>
  <c r="CR134" i="29" s="1"/>
  <c r="CR138" i="31" s="1"/>
  <c r="RH186" i="1"/>
  <c r="CS134" i="29" s="1"/>
  <c r="CS138" i="31" s="1"/>
  <c r="RH187" i="1"/>
  <c r="CT134" i="29" s="1"/>
  <c r="CT138" i="31" s="1"/>
  <c r="RH188" i="1"/>
  <c r="CU134" i="29" s="1"/>
  <c r="CU138" i="31" s="1"/>
  <c r="RH189" i="1"/>
  <c r="CV134" i="29" s="1"/>
  <c r="CV138" i="31" s="1"/>
  <c r="RH190" i="1"/>
  <c r="CZ134" i="29" s="1"/>
  <c r="CZ138" i="31" s="1"/>
  <c r="RH191" i="1"/>
  <c r="CY134" i="29" s="1"/>
  <c r="CY138" i="31" s="1"/>
  <c r="RH192" i="1"/>
  <c r="CW134" i="29" s="1"/>
  <c r="CW138" i="31" s="1"/>
  <c r="RH193" i="1"/>
  <c r="CX134" i="29" s="1"/>
  <c r="CX138" i="31" s="1"/>
  <c r="RH194" i="1"/>
  <c r="DA134" i="29" s="1"/>
  <c r="DA138" i="31" s="1"/>
  <c r="RH195" i="1"/>
  <c r="DB134" i="29" s="1"/>
  <c r="DB138" i="31" s="1"/>
  <c r="RH196" i="1"/>
  <c r="DC134" i="29" s="1"/>
  <c r="DC138" i="31" s="1"/>
  <c r="RH197" i="1"/>
  <c r="DD134" i="29" s="1"/>
  <c r="DD138" i="31" s="1"/>
  <c r="RH198" i="1"/>
  <c r="DE134" i="29" s="1"/>
  <c r="DE138" i="31" s="1"/>
  <c r="RH199" i="1"/>
  <c r="DF134" i="29" s="1"/>
  <c r="DF138" i="31" s="1"/>
  <c r="RH200" i="1"/>
  <c r="FE134" i="29" s="1"/>
  <c r="FE138" i="31" s="1"/>
  <c r="RH201" i="1"/>
  <c r="FD134" i="29" s="1"/>
  <c r="FD138" i="31" s="1"/>
  <c r="RH202" i="1"/>
  <c r="FC134" i="29" s="1"/>
  <c r="FC138" i="31" s="1"/>
  <c r="RH203" i="1"/>
  <c r="HA134" i="29" s="1"/>
  <c r="HA138" i="31" s="1"/>
  <c r="RH204" i="1"/>
  <c r="HK134" i="29" s="1"/>
  <c r="HK138" i="31" s="1"/>
  <c r="RH205" i="1"/>
  <c r="DG134" i="29" s="1"/>
  <c r="DG138" i="31" s="1"/>
  <c r="RH206" i="1"/>
  <c r="DH134" i="29" s="1"/>
  <c r="DH138" i="31" s="1"/>
  <c r="RH207" i="1"/>
  <c r="DI134" i="29" s="1"/>
  <c r="DI138" i="31" s="1"/>
  <c r="RH208" i="1"/>
  <c r="DJ134" i="29" s="1"/>
  <c r="DJ138" i="31" s="1"/>
  <c r="RH209" i="1"/>
  <c r="DK134" i="29" s="1"/>
  <c r="DK138" i="31" s="1"/>
  <c r="RH210" i="1"/>
  <c r="DL134" i="29" s="1"/>
  <c r="DL138" i="31" s="1"/>
  <c r="RH211" i="1"/>
  <c r="DM134" i="29" s="1"/>
  <c r="DM138" i="31" s="1"/>
  <c r="RH212" i="1"/>
  <c r="GV134" i="29" s="1"/>
  <c r="GV138" i="31" s="1"/>
  <c r="RH213" i="1"/>
  <c r="GU134" i="29" s="1"/>
  <c r="GU138" i="31" s="1"/>
  <c r="RH214" i="1"/>
  <c r="GT134" i="29" s="1"/>
  <c r="GT138" i="31" s="1"/>
  <c r="RH215" i="1"/>
  <c r="DN134" i="29" s="1"/>
  <c r="DN138" i="31" s="1"/>
  <c r="RH216" i="1"/>
  <c r="DO134" i="29" s="1"/>
  <c r="DO138" i="31" s="1"/>
  <c r="RH217" i="1"/>
  <c r="DQ134" i="29" s="1"/>
  <c r="DQ138" i="31" s="1"/>
  <c r="RH218" i="1"/>
  <c r="DP134" i="29" s="1"/>
  <c r="DP138" i="31" s="1"/>
  <c r="RH219" i="1"/>
  <c r="DR134" i="29" s="1"/>
  <c r="DR138" i="31" s="1"/>
  <c r="RH220" i="1"/>
  <c r="DS134" i="29" s="1"/>
  <c r="DS138" i="31" s="1"/>
  <c r="RH221" i="1"/>
  <c r="DT134" i="29" s="1"/>
  <c r="DT138" i="31" s="1"/>
  <c r="RH222" i="1"/>
  <c r="JC134" i="29" s="1"/>
  <c r="JC138" i="31" s="1"/>
  <c r="RH223" i="1"/>
  <c r="JA134" i="29" s="1"/>
  <c r="JA138" i="31" s="1"/>
  <c r="RH224" i="1"/>
  <c r="JD134" i="29" s="1"/>
  <c r="JD138" i="31" s="1"/>
  <c r="RH225" i="1"/>
  <c r="JB134" i="29" s="1"/>
  <c r="JB138" i="31" s="1"/>
  <c r="RH226" i="1"/>
  <c r="RH227" i="1"/>
  <c r="RH228" i="1"/>
  <c r="DV134" i="29" s="1"/>
  <c r="DV138" i="31" s="1"/>
  <c r="RH229" i="1"/>
  <c r="FB134" i="29" s="1"/>
  <c r="FB138" i="31" s="1"/>
  <c r="RH230" i="1"/>
  <c r="FH134" i="29" s="1"/>
  <c r="FH138" i="31" s="1"/>
  <c r="RH231" i="1"/>
  <c r="FF134" i="29" s="1"/>
  <c r="FF138" i="31" s="1"/>
  <c r="RH232" i="1"/>
  <c r="FG134" i="29" s="1"/>
  <c r="FG138" i="31" s="1"/>
  <c r="RH233" i="1"/>
  <c r="FN134" i="29" s="1"/>
  <c r="FN138" i="31" s="1"/>
  <c r="RH234" i="1"/>
  <c r="FP134" i="29" s="1"/>
  <c r="FP138" i="31" s="1"/>
  <c r="RH235" i="1"/>
  <c r="FS134" i="29" s="1"/>
  <c r="FS138" i="31" s="1"/>
  <c r="RH236" i="1"/>
  <c r="FQ134" i="29" s="1"/>
  <c r="FQ138" i="31" s="1"/>
  <c r="RH237" i="1"/>
  <c r="FR134" i="29" s="1"/>
  <c r="FR138" i="31" s="1"/>
  <c r="RH238" i="1"/>
  <c r="FO134" i="29" s="1"/>
  <c r="FO138" i="31" s="1"/>
  <c r="RH239" i="1"/>
  <c r="GO134" i="29" s="1"/>
  <c r="GO138" i="31" s="1"/>
  <c r="RH240" i="1"/>
  <c r="D134" i="29" s="1"/>
  <c r="D138" i="31" s="1"/>
  <c r="RH241" i="1"/>
  <c r="DY134" i="29" s="1"/>
  <c r="DY138" i="31" s="1"/>
  <c r="RH242" i="1"/>
  <c r="DZ134" i="29" s="1"/>
  <c r="DZ138" i="31" s="1"/>
  <c r="RH243" i="1"/>
  <c r="EA134" i="29" s="1"/>
  <c r="EA138" i="31" s="1"/>
  <c r="RH244" i="1"/>
  <c r="EB134" i="29" s="1"/>
  <c r="EB138" i="31" s="1"/>
  <c r="RH245" i="1"/>
  <c r="EC134" i="29" s="1"/>
  <c r="EC138" i="31" s="1"/>
  <c r="RH246" i="1"/>
  <c r="ED134" i="29" s="1"/>
  <c r="ED138" i="31" s="1"/>
  <c r="RH247" i="1"/>
  <c r="HB134" i="29" s="1"/>
  <c r="HB138" i="31" s="1"/>
  <c r="RH248" i="1"/>
  <c r="FL134" i="29" s="1"/>
  <c r="FL138" i="31" s="1"/>
  <c r="RH249" i="1"/>
  <c r="FK134" i="29" s="1"/>
  <c r="FK138" i="31" s="1"/>
  <c r="RH250" i="1"/>
  <c r="EI134" i="29" s="1"/>
  <c r="EI138" i="31" s="1"/>
  <c r="RH251" i="1"/>
  <c r="EE134" i="29" s="1"/>
  <c r="EE138" i="31" s="1"/>
  <c r="RH252" i="1"/>
  <c r="EH134" i="29" s="1"/>
  <c r="EH138" i="31" s="1"/>
  <c r="RH253" i="1"/>
  <c r="EJ134" i="29" s="1"/>
  <c r="EJ138" i="31" s="1"/>
  <c r="RH254" i="1"/>
  <c r="EF134" i="29" s="1"/>
  <c r="EF138" i="31" s="1"/>
  <c r="RH255" i="1"/>
  <c r="EG134" i="29" s="1"/>
  <c r="EG138" i="31" s="1"/>
  <c r="RH256" i="1"/>
  <c r="JF134" i="29" s="1"/>
  <c r="JF138" i="31" s="1"/>
  <c r="RH257" i="1"/>
  <c r="JE134" i="29" s="1"/>
  <c r="JE138" i="31" s="1"/>
  <c r="RH258" i="1"/>
  <c r="JG134" i="29" s="1"/>
  <c r="JG138" i="31" s="1"/>
  <c r="RH259" i="1"/>
  <c r="GD134" i="29" s="1"/>
  <c r="GD138" i="31" s="1"/>
  <c r="RH260" i="1"/>
  <c r="GC134" i="29" s="1"/>
  <c r="GC138" i="31" s="1"/>
  <c r="RH261" i="1"/>
  <c r="E134" i="29" s="1"/>
  <c r="E138" i="31" s="1"/>
  <c r="RH262" i="1"/>
  <c r="EK134" i="29" s="1"/>
  <c r="EK138" i="31" s="1"/>
  <c r="RH263" i="1"/>
  <c r="EM134" i="29" s="1"/>
  <c r="EM138" i="31" s="1"/>
  <c r="RH264" i="1"/>
  <c r="EL134" i="29" s="1"/>
  <c r="EL138" i="31" s="1"/>
  <c r="RH265" i="1"/>
  <c r="JH134" i="29" s="1"/>
  <c r="JH138" i="31" s="1"/>
  <c r="RH266" i="1"/>
  <c r="EN134" i="29" s="1"/>
  <c r="EN138" i="31" s="1"/>
  <c r="RH267" i="1"/>
  <c r="EP134" i="29" s="1"/>
  <c r="EP138" i="31" s="1"/>
  <c r="RH268" i="1"/>
  <c r="EQ134" i="29" s="1"/>
  <c r="EQ138" i="31" s="1"/>
  <c r="RH269" i="1"/>
  <c r="EO134" i="29" s="1"/>
  <c r="EO138" i="31" s="1"/>
  <c r="RH270" i="1"/>
  <c r="ER134" i="29" s="1"/>
  <c r="ER138" i="31" s="1"/>
  <c r="RH271" i="1"/>
  <c r="RH8" i="1"/>
  <c r="G134" i="29" s="1"/>
  <c r="G138" i="31" s="1"/>
  <c r="AC138" i="31" l="1"/>
  <c r="AC133" i="29"/>
  <c r="AC137" i="31" s="1"/>
  <c r="CA93" i="29"/>
  <c r="CA97" i="31" s="1"/>
  <c r="CA94" i="31"/>
  <c r="JI134" i="29"/>
  <c r="JI138" i="31" s="1"/>
  <c r="F1" i="1"/>
  <c r="G1" i="1" s="1"/>
  <c r="H1" i="1" s="1"/>
  <c r="I1" i="1" s="1"/>
  <c r="J1" i="1" s="1"/>
  <c r="K1" i="1" s="1"/>
  <c r="L1" i="1" s="1"/>
  <c r="M1" i="1" s="1"/>
  <c r="N1" i="1" s="1"/>
  <c r="O1" i="1" s="1"/>
  <c r="P1" i="1" s="1"/>
  <c r="Q1" i="1" s="1"/>
  <c r="R1" i="1" s="1"/>
  <c r="S1" i="1" s="1"/>
  <c r="T1" i="1" s="1"/>
  <c r="U1" i="1" s="1"/>
  <c r="V1" i="1" s="1"/>
  <c r="W1" i="1" s="1"/>
  <c r="X1" i="1" s="1"/>
  <c r="Y1" i="1" s="1"/>
  <c r="Z1" i="1" s="1"/>
  <c r="AA1" i="1" s="1"/>
  <c r="AB1" i="1" s="1"/>
  <c r="AC1" i="1" s="1"/>
  <c r="AD1" i="1" s="1"/>
  <c r="AE1" i="1" s="1"/>
  <c r="AF1" i="1" s="1"/>
  <c r="AG1" i="1" s="1"/>
  <c r="AH1" i="1" s="1"/>
  <c r="AI1" i="1" s="1"/>
  <c r="AJ1" i="1" s="1"/>
  <c r="AK1" i="1" s="1"/>
  <c r="AL1" i="1" s="1"/>
  <c r="AM1" i="1" s="1"/>
  <c r="AN1" i="1" s="1"/>
  <c r="AO1" i="1" s="1"/>
  <c r="AP1" i="1" s="1"/>
  <c r="AQ1" i="1" s="1"/>
  <c r="AR1" i="1" s="1"/>
  <c r="AS1" i="1" s="1"/>
  <c r="AT1" i="1" s="1"/>
  <c r="AU1" i="1" s="1"/>
  <c r="AV1" i="1" s="1"/>
  <c r="AW1" i="1" s="1"/>
  <c r="AX1" i="1" s="1"/>
  <c r="AY1" i="1" s="1"/>
  <c r="AZ1" i="1" s="1"/>
  <c r="BA1" i="1" s="1"/>
  <c r="BB1" i="1" s="1"/>
  <c r="BC1" i="1" s="1"/>
  <c r="BD1" i="1" s="1"/>
  <c r="BE1" i="1" s="1"/>
  <c r="BF1" i="1" s="1"/>
  <c r="BG1" i="1" s="1"/>
  <c r="BH1" i="1" s="1"/>
  <c r="BI1" i="1" s="1"/>
  <c r="BJ1" i="1" s="1"/>
  <c r="BK1" i="1" s="1"/>
  <c r="BL1" i="1" s="1"/>
  <c r="BM1" i="1" s="1"/>
  <c r="BN1" i="1" s="1"/>
  <c r="BO1" i="1" s="1"/>
  <c r="BP1" i="1" s="1"/>
  <c r="BQ1" i="1" s="1"/>
  <c r="BR1" i="1" s="1"/>
  <c r="BS1" i="1" s="1"/>
  <c r="BT1" i="1" s="1"/>
  <c r="BU1" i="1" s="1"/>
  <c r="BV1" i="1" s="1"/>
  <c r="BW1" i="1" s="1"/>
  <c r="BX1" i="1" s="1"/>
  <c r="BY1" i="1" s="1"/>
  <c r="BZ1" i="1" s="1"/>
  <c r="CA1" i="1" s="1"/>
  <c r="CB1" i="1" s="1"/>
  <c r="CC1" i="1" s="1"/>
  <c r="CD1" i="1" s="1"/>
  <c r="CE1" i="1" s="1"/>
  <c r="CF1" i="1" s="1"/>
  <c r="CG1" i="1" s="1"/>
  <c r="CH1" i="1" s="1"/>
  <c r="CI1" i="1" s="1"/>
  <c r="CJ1" i="1" s="1"/>
  <c r="CK1" i="1" s="1"/>
  <c r="CL1" i="1" s="1"/>
  <c r="CM1" i="1" s="1"/>
  <c r="CN1" i="1" s="1"/>
  <c r="CO1" i="1" s="1"/>
  <c r="CP1" i="1" s="1"/>
  <c r="CQ1" i="1" s="1"/>
  <c r="CR1" i="1" s="1"/>
  <c r="CS1" i="1" s="1"/>
  <c r="CT1" i="1" s="1"/>
  <c r="CU1" i="1" s="1"/>
  <c r="CV1" i="1" s="1"/>
  <c r="CW1" i="1" s="1"/>
  <c r="CX1" i="1" s="1"/>
  <c r="CY1" i="1" s="1"/>
  <c r="CZ1" i="1" s="1"/>
  <c r="DA1" i="1" s="1"/>
  <c r="DB1" i="1" s="1"/>
  <c r="DC1" i="1" s="1"/>
  <c r="DD1" i="1" s="1"/>
  <c r="DE1" i="1" s="1"/>
  <c r="DF1" i="1" s="1"/>
  <c r="DG1" i="1" s="1"/>
  <c r="DH1" i="1" s="1"/>
  <c r="DI1" i="1" s="1"/>
  <c r="DJ1" i="1" s="1"/>
  <c r="DK1" i="1" s="1"/>
  <c r="DL1" i="1" s="1"/>
  <c r="DM1" i="1" s="1"/>
  <c r="DN1" i="1" s="1"/>
  <c r="DO1" i="1" s="1"/>
  <c r="DP1" i="1" s="1"/>
  <c r="DQ1" i="1" s="1"/>
  <c r="DR1" i="1" s="1"/>
  <c r="DS1" i="1" s="1"/>
  <c r="DT1" i="1" s="1"/>
  <c r="DU1" i="1" s="1"/>
  <c r="DV1" i="1" s="1"/>
  <c r="DW1" i="1" s="1"/>
  <c r="DX1" i="1" s="1"/>
  <c r="DY1" i="1" s="1"/>
  <c r="DZ1" i="1" s="1"/>
  <c r="EA1" i="1" s="1"/>
  <c r="EB1" i="1" s="1"/>
  <c r="EC1" i="1" s="1"/>
  <c r="ED1" i="1" s="1"/>
  <c r="EE1" i="1" s="1"/>
  <c r="EF1" i="1" s="1"/>
  <c r="EG1" i="1" s="1"/>
  <c r="EH1" i="1" s="1"/>
  <c r="EI1" i="1" s="1"/>
  <c r="EJ1" i="1" s="1"/>
  <c r="EK1" i="1" s="1"/>
  <c r="EL1" i="1" s="1"/>
  <c r="EM1" i="1" s="1"/>
  <c r="EN1" i="1" s="1"/>
  <c r="EO1" i="1" s="1"/>
  <c r="EP1" i="1" s="1"/>
  <c r="EQ1" i="1" s="1"/>
  <c r="ER1" i="1" s="1"/>
  <c r="ES1" i="1" s="1"/>
  <c r="ET1" i="1" s="1"/>
  <c r="EU1" i="1" s="1"/>
  <c r="EV1" i="1" s="1"/>
  <c r="EW1" i="1" s="1"/>
  <c r="EX1" i="1" s="1"/>
  <c r="EY1" i="1" s="1"/>
  <c r="EZ1" i="1" s="1"/>
  <c r="FA1" i="1" s="1"/>
  <c r="FB1" i="1" s="1"/>
  <c r="FC1" i="1" s="1"/>
  <c r="FD1" i="1" s="1"/>
  <c r="FE1" i="1" s="1"/>
  <c r="FF1" i="1" s="1"/>
  <c r="FG1" i="1" s="1"/>
  <c r="FH1" i="1" s="1"/>
  <c r="FI1" i="1" s="1"/>
  <c r="FJ1" i="1" s="1"/>
  <c r="FK1" i="1" s="1"/>
  <c r="FL1" i="1" s="1"/>
  <c r="FM1" i="1" s="1"/>
  <c r="FN1" i="1" s="1"/>
  <c r="FO1" i="1" s="1"/>
  <c r="FP1" i="1" s="1"/>
  <c r="FQ1" i="1" s="1"/>
  <c r="FR1" i="1" s="1"/>
  <c r="FS1" i="1" s="1"/>
  <c r="FT1" i="1" s="1"/>
  <c r="FU1" i="1" s="1"/>
  <c r="FV1" i="1" s="1"/>
  <c r="FW1" i="1" s="1"/>
  <c r="FX1" i="1" s="1"/>
  <c r="FY1" i="1" s="1"/>
  <c r="FZ1" i="1" s="1"/>
  <c r="GA1" i="1" s="1"/>
  <c r="GB1" i="1" s="1"/>
  <c r="GC1" i="1" s="1"/>
  <c r="GD1" i="1" s="1"/>
  <c r="GE1" i="1" s="1"/>
  <c r="GF1" i="1" s="1"/>
  <c r="GG1" i="1" s="1"/>
  <c r="GH1" i="1" s="1"/>
  <c r="GI1" i="1" s="1"/>
  <c r="GJ1" i="1" s="1"/>
  <c r="GK1" i="1" s="1"/>
  <c r="GL1" i="1" s="1"/>
  <c r="GM1" i="1" s="1"/>
  <c r="GN1" i="1" s="1"/>
  <c r="GO1" i="1" s="1"/>
  <c r="GP1" i="1" s="1"/>
  <c r="GQ1" i="1" s="1"/>
  <c r="GR1" i="1" s="1"/>
  <c r="GS1" i="1" s="1"/>
  <c r="GT1" i="1" s="1"/>
  <c r="GU1" i="1" s="1"/>
  <c r="GV1" i="1" s="1"/>
  <c r="GW1" i="1" s="1"/>
  <c r="GX1" i="1" s="1"/>
  <c r="GY1" i="1" s="1"/>
  <c r="GZ1" i="1" s="1"/>
  <c r="HA1" i="1" s="1"/>
  <c r="HB1" i="1" s="1"/>
  <c r="HC1" i="1" s="1"/>
  <c r="HD1" i="1" s="1"/>
  <c r="HE1" i="1" s="1"/>
  <c r="HF1" i="1" s="1"/>
  <c r="HG1" i="1" s="1"/>
  <c r="HH1" i="1" s="1"/>
  <c r="HI1" i="1" s="1"/>
  <c r="HJ1" i="1" s="1"/>
  <c r="HK1" i="1" s="1"/>
  <c r="HL1" i="1" s="1"/>
  <c r="HM1" i="1" s="1"/>
  <c r="HN1" i="1" s="1"/>
  <c r="HO1" i="1" s="1"/>
  <c r="HP1" i="1" s="1"/>
  <c r="HQ1" i="1" s="1"/>
  <c r="HR1" i="1" s="1"/>
  <c r="HS1" i="1" s="1"/>
  <c r="HT1" i="1" s="1"/>
  <c r="HU1" i="1" s="1"/>
  <c r="HV1" i="1" s="1"/>
  <c r="HW1" i="1" s="1"/>
  <c r="HX1" i="1" s="1"/>
  <c r="HY1" i="1" s="1"/>
  <c r="HZ1" i="1" s="1"/>
  <c r="IA1" i="1" s="1"/>
  <c r="IB1" i="1" s="1"/>
  <c r="IC1" i="1" s="1"/>
  <c r="ID1" i="1" s="1"/>
  <c r="IE1" i="1" s="1"/>
  <c r="IF1" i="1" s="1"/>
  <c r="IG1" i="1" s="1"/>
  <c r="IH1" i="1" s="1"/>
  <c r="II1" i="1" s="1"/>
  <c r="IJ1" i="1" s="1"/>
  <c r="IK1" i="1" s="1"/>
  <c r="IL1" i="1" s="1"/>
  <c r="IM1" i="1" s="1"/>
  <c r="IN1" i="1" s="1"/>
  <c r="IO1" i="1" s="1"/>
  <c r="IP1" i="1" s="1"/>
  <c r="IQ1" i="1" s="1"/>
  <c r="IR1" i="1" s="1"/>
  <c r="IS1" i="1" s="1"/>
  <c r="IT1" i="1" s="1"/>
  <c r="IU1" i="1" s="1"/>
  <c r="IV1" i="1" s="1"/>
  <c r="IW1" i="1" s="1"/>
  <c r="IX1" i="1" s="1"/>
  <c r="IY1" i="1" s="1"/>
  <c r="IZ1" i="1" s="1"/>
  <c r="JA1" i="1" s="1"/>
  <c r="JB1" i="1" s="1"/>
  <c r="JC1" i="1" s="1"/>
  <c r="JD1" i="1" s="1"/>
  <c r="JE1" i="1" s="1"/>
  <c r="JF1" i="1" s="1"/>
  <c r="JG1" i="1" s="1"/>
  <c r="JH1" i="1" s="1"/>
  <c r="JI1" i="1" s="1"/>
  <c r="JJ1" i="1" s="1"/>
  <c r="JK1" i="1" s="1"/>
  <c r="JL1" i="1" s="1"/>
  <c r="JM1" i="1" s="1"/>
  <c r="JN1" i="1" s="1"/>
  <c r="JO1" i="1" s="1"/>
  <c r="JP1" i="1" s="1"/>
  <c r="JQ1" i="1" s="1"/>
  <c r="JR1" i="1" s="1"/>
  <c r="JS1" i="1" s="1"/>
  <c r="JT1" i="1" s="1"/>
  <c r="JU1" i="1" s="1"/>
  <c r="JV1" i="1" s="1"/>
  <c r="JW1" i="1" s="1"/>
  <c r="JX1" i="1" s="1"/>
  <c r="JY1" i="1" s="1"/>
  <c r="JZ1" i="1" s="1"/>
  <c r="KA1" i="1" s="1"/>
  <c r="KB1" i="1" s="1"/>
  <c r="KC1" i="1" s="1"/>
  <c r="KD1" i="1" s="1"/>
  <c r="KE1" i="1" s="1"/>
  <c r="KF1" i="1" s="1"/>
  <c r="KG1" i="1" s="1"/>
  <c r="KH1" i="1" s="1"/>
  <c r="KI1" i="1" s="1"/>
  <c r="KJ1" i="1" s="1"/>
  <c r="KK1" i="1" s="1"/>
  <c r="KL1" i="1" s="1"/>
  <c r="KM1" i="1" s="1"/>
  <c r="KN1" i="1" s="1"/>
  <c r="KO1" i="1" s="1"/>
  <c r="KP1" i="1" s="1"/>
  <c r="KQ1" i="1" s="1"/>
  <c r="KR1" i="1" s="1"/>
  <c r="KS1" i="1" s="1"/>
  <c r="KT1" i="1" s="1"/>
  <c r="KU1" i="1" s="1"/>
  <c r="KV1" i="1" s="1"/>
  <c r="KW1" i="1" s="1"/>
  <c r="KX1" i="1" s="1"/>
  <c r="KY1" i="1" s="1"/>
  <c r="KZ1" i="1" s="1"/>
  <c r="LA1" i="1" s="1"/>
  <c r="LB1" i="1" s="1"/>
  <c r="LC1" i="1" s="1"/>
  <c r="LD1" i="1" s="1"/>
  <c r="LE1" i="1" s="1"/>
  <c r="LF1" i="1" s="1"/>
  <c r="LG1" i="1" s="1"/>
  <c r="LH1" i="1" s="1"/>
  <c r="LI1" i="1" s="1"/>
  <c r="LJ1" i="1" s="1"/>
  <c r="LK1" i="1" s="1"/>
  <c r="LL1" i="1" s="1"/>
  <c r="LM1" i="1" s="1"/>
  <c r="LN1" i="1" s="1"/>
  <c r="LO1" i="1" s="1"/>
  <c r="LP1" i="1" s="1"/>
  <c r="LQ1" i="1" s="1"/>
  <c r="LR1" i="1" s="1"/>
  <c r="LS1" i="1" s="1"/>
  <c r="LT1" i="1" s="1"/>
  <c r="LU1" i="1" s="1"/>
  <c r="LV1" i="1" s="1"/>
  <c r="LW1" i="1" s="1"/>
  <c r="LX1" i="1" s="1"/>
  <c r="LY1" i="1" s="1"/>
  <c r="LZ1" i="1" s="1"/>
  <c r="MA1" i="1" s="1"/>
  <c r="MB1" i="1" s="1"/>
  <c r="MC1" i="1" s="1"/>
  <c r="MD1" i="1" s="1"/>
  <c r="ME1" i="1" s="1"/>
  <c r="MF1" i="1" s="1"/>
  <c r="MG1" i="1" s="1"/>
  <c r="MH1" i="1" s="1"/>
  <c r="MI1" i="1" s="1"/>
  <c r="MJ1" i="1" s="1"/>
  <c r="MK1" i="1" s="1"/>
  <c r="ML1" i="1" s="1"/>
  <c r="MM1" i="1" s="1"/>
  <c r="MN1" i="1" s="1"/>
  <c r="MO1" i="1" s="1"/>
  <c r="MP1" i="1" s="1"/>
  <c r="MQ1" i="1" s="1"/>
  <c r="MR1" i="1" s="1"/>
  <c r="MS1" i="1" s="1"/>
  <c r="MT1" i="1" s="1"/>
  <c r="MU1" i="1" s="1"/>
  <c r="MV1" i="1" s="1"/>
  <c r="MW1" i="1" s="1"/>
  <c r="MX1" i="1" s="1"/>
  <c r="MY1" i="1" s="1"/>
  <c r="MZ1" i="1" s="1"/>
  <c r="NA1" i="1" s="1"/>
  <c r="NB1" i="1" s="1"/>
  <c r="NC1" i="1" s="1"/>
  <c r="ND1" i="1" s="1"/>
  <c r="NE1" i="1" s="1"/>
  <c r="NF1" i="1" s="1"/>
  <c r="NG1" i="1" s="1"/>
  <c r="NH1" i="1" s="1"/>
  <c r="NI1" i="1" s="1"/>
  <c r="NJ1" i="1" s="1"/>
  <c r="NK1" i="1" s="1"/>
  <c r="NL1" i="1" s="1"/>
  <c r="NM1" i="1" s="1"/>
  <c r="NN1" i="1" s="1"/>
  <c r="NO1" i="1" s="1"/>
  <c r="NP1" i="1" s="1"/>
  <c r="NQ1" i="1" s="1"/>
  <c r="NR1" i="1" s="1"/>
  <c r="NS1" i="1" s="1"/>
  <c r="NT1" i="1" s="1"/>
  <c r="NU1" i="1" s="1"/>
  <c r="NV1" i="1" s="1"/>
  <c r="NW1" i="1" s="1"/>
  <c r="NX1" i="1" s="1"/>
  <c r="NY1" i="1" s="1"/>
  <c r="NZ1" i="1" s="1"/>
  <c r="OA1" i="1" s="1"/>
  <c r="OB1" i="1" s="1"/>
  <c r="OC1" i="1" s="1"/>
  <c r="OD1" i="1" s="1"/>
  <c r="OE1" i="1" s="1"/>
  <c r="OF1" i="1" s="1"/>
  <c r="OG1" i="1" s="1"/>
  <c r="OH1" i="1" s="1"/>
  <c r="OI1" i="1" s="1"/>
  <c r="OJ1" i="1" s="1"/>
  <c r="OK1" i="1" s="1"/>
  <c r="OL1" i="1" s="1"/>
  <c r="OM1" i="1" s="1"/>
  <c r="ON1" i="1" s="1"/>
  <c r="OO1" i="1" s="1"/>
  <c r="OP1" i="1" s="1"/>
  <c r="OQ1" i="1" s="1"/>
  <c r="OR1" i="1" s="1"/>
  <c r="OS1" i="1" s="1"/>
  <c r="OT1" i="1" s="1"/>
  <c r="OU1" i="1" s="1"/>
  <c r="OV1" i="1" s="1"/>
  <c r="OW1" i="1" s="1"/>
  <c r="OX1" i="1" s="1"/>
  <c r="OY1" i="1" s="1"/>
  <c r="OZ1" i="1" s="1"/>
  <c r="PA1" i="1" s="1"/>
  <c r="PB1" i="1" s="1"/>
  <c r="PC1" i="1" s="1"/>
  <c r="PD1" i="1" s="1"/>
  <c r="PE1" i="1" s="1"/>
  <c r="PF1" i="1" s="1"/>
  <c r="PG1" i="1" s="1"/>
  <c r="PH1" i="1" s="1"/>
  <c r="PI1" i="1" s="1"/>
  <c r="PJ1" i="1" s="1"/>
  <c r="PK1" i="1" s="1"/>
  <c r="PL1" i="1" s="1"/>
  <c r="PM1" i="1" s="1"/>
  <c r="PN1" i="1" s="1"/>
  <c r="PO1" i="1" s="1"/>
  <c r="PP1" i="1" s="1"/>
  <c r="PQ1" i="1" s="1"/>
  <c r="PR1" i="1" s="1"/>
  <c r="PS1" i="1" s="1"/>
  <c r="PT1" i="1" s="1"/>
  <c r="PU1" i="1" s="1"/>
  <c r="PV1" i="1" s="1"/>
  <c r="PW1" i="1" s="1"/>
  <c r="PX1" i="1" s="1"/>
  <c r="PY1" i="1" s="1"/>
  <c r="PZ1" i="1" s="1"/>
  <c r="QA1" i="1" s="1"/>
  <c r="QB1" i="1" s="1"/>
  <c r="QC1" i="1" s="1"/>
  <c r="QD1" i="1" s="1"/>
  <c r="QE1" i="1" s="1"/>
  <c r="QF1" i="1" s="1"/>
  <c r="QG1" i="1" s="1"/>
  <c r="QH1" i="1" s="1"/>
  <c r="QI1" i="1" s="1"/>
  <c r="QJ1" i="1" s="1"/>
  <c r="QK1" i="1" s="1"/>
  <c r="QL1" i="1" s="1"/>
  <c r="QM1" i="1" s="1"/>
  <c r="QN1" i="1" s="1"/>
  <c r="QO1" i="1" s="1"/>
  <c r="QP1" i="1" s="1"/>
  <c r="QQ1" i="1" s="1"/>
  <c r="QR1" i="1" s="1"/>
  <c r="QS1" i="1" s="1"/>
  <c r="QT1" i="1" s="1"/>
  <c r="QU1" i="1" s="1"/>
  <c r="QV1" i="1" s="1"/>
  <c r="QW1" i="1" s="1"/>
  <c r="QX1" i="1" s="1"/>
  <c r="QY1" i="1" s="1"/>
  <c r="QZ1" i="1" s="1"/>
  <c r="RA1" i="1" s="1"/>
  <c r="RB1" i="1" s="1"/>
  <c r="RC1" i="1" s="1"/>
  <c r="RD1" i="1" s="1"/>
  <c r="RE1" i="1" s="1"/>
  <c r="RF1" i="1" s="1"/>
  <c r="RG1" i="1" s="1"/>
  <c r="RH1" i="1" s="1"/>
  <c r="RI1" i="1" s="1"/>
  <c r="RJ1" i="1" s="1"/>
  <c r="RK1" i="1" s="1"/>
  <c r="RL1" i="1" s="1"/>
  <c r="RM1" i="1" s="1"/>
  <c r="RN1" i="1" s="1"/>
  <c r="RO1" i="1" s="1"/>
  <c r="RP1" i="1" s="1"/>
  <c r="RQ1" i="1" s="1"/>
  <c r="RR1" i="1" s="1"/>
  <c r="RS1" i="1" s="1"/>
  <c r="RT1" i="1" s="1"/>
  <c r="G40" i="25" l="1"/>
  <c r="H40" i="25" s="1"/>
  <c r="G5" i="25"/>
  <c r="H5" i="25" s="1"/>
  <c r="G10" i="25"/>
  <c r="H10" i="25" s="1"/>
  <c r="B11" i="25" l="1"/>
  <c r="D11" i="25" s="1"/>
  <c r="E11" i="25" s="1"/>
  <c r="F11" i="25" s="1"/>
  <c r="FK81" i="29" l="1"/>
  <c r="FK85" i="31" s="1"/>
  <c r="FL81" i="29"/>
  <c r="FL85" i="31" s="1"/>
  <c r="C295" i="14"/>
  <c r="D295" i="14" s="1"/>
  <c r="C292" i="14"/>
  <c r="D292" i="14" s="1"/>
  <c r="C288" i="14"/>
  <c r="D288" i="14" s="1"/>
  <c r="D301" i="14"/>
  <c r="D294" i="14"/>
  <c r="D299" i="14"/>
  <c r="D296" i="14"/>
  <c r="D297" i="14"/>
  <c r="D298" i="14"/>
  <c r="D291" i="14"/>
  <c r="D300" i="14"/>
  <c r="D289" i="14"/>
  <c r="D290" i="14"/>
  <c r="D287" i="14"/>
  <c r="D293" i="14"/>
  <c r="D286" i="14"/>
  <c r="LC5" i="15" l="1"/>
  <c r="LB5" i="15"/>
  <c r="LA5" i="15"/>
  <c r="KZ5" i="15"/>
  <c r="KY5" i="15"/>
  <c r="KX5" i="15"/>
  <c r="KW5" i="15"/>
  <c r="KV5" i="15"/>
  <c r="KU5" i="15"/>
  <c r="KT5" i="15"/>
  <c r="KS5" i="15"/>
  <c r="KR5" i="15"/>
  <c r="KQ5" i="15"/>
  <c r="KP5" i="15"/>
  <c r="KO5" i="15"/>
  <c r="KN5" i="15"/>
  <c r="KM5" i="15"/>
  <c r="KL5" i="15"/>
  <c r="KK5" i="15"/>
  <c r="KJ5" i="15"/>
  <c r="KI5" i="15"/>
  <c r="KH5" i="15"/>
  <c r="KG5" i="15"/>
  <c r="KF5" i="15"/>
  <c r="KE5" i="15"/>
  <c r="KD5" i="15"/>
  <c r="KC5" i="15"/>
  <c r="KB5" i="15"/>
  <c r="KA5" i="15"/>
  <c r="JZ5" i="15"/>
  <c r="JY5" i="15"/>
  <c r="JX5" i="15"/>
  <c r="JW5" i="15"/>
  <c r="JV5" i="15"/>
  <c r="JW6" i="15"/>
  <c r="JX6" i="15"/>
  <c r="JY6" i="15"/>
  <c r="JZ6" i="15"/>
  <c r="KA6" i="15"/>
  <c r="KB6" i="15"/>
  <c r="KC6" i="15"/>
  <c r="KD6" i="15"/>
  <c r="KE6" i="15"/>
  <c r="KF6" i="15"/>
  <c r="KG6" i="15"/>
  <c r="KH6" i="15"/>
  <c r="KI6" i="15"/>
  <c r="KJ6" i="15"/>
  <c r="KK6" i="15"/>
  <c r="KL6" i="15"/>
  <c r="KM6" i="15"/>
  <c r="KN6" i="15"/>
  <c r="KO6" i="15"/>
  <c r="KP6" i="15"/>
  <c r="KQ6" i="15"/>
  <c r="KR6" i="15"/>
  <c r="KS6" i="15"/>
  <c r="KT6" i="15"/>
  <c r="KU6" i="15"/>
  <c r="KV6" i="15"/>
  <c r="KW6" i="15"/>
  <c r="KX6" i="15"/>
  <c r="KY6" i="15"/>
  <c r="KZ6" i="15"/>
  <c r="LA6" i="15"/>
  <c r="LB6" i="15"/>
  <c r="LC6" i="15"/>
  <c r="JW7" i="15"/>
  <c r="JX7" i="15"/>
  <c r="JY7" i="15"/>
  <c r="JZ7" i="15"/>
  <c r="KA7" i="15"/>
  <c r="KB7" i="15"/>
  <c r="KC7" i="15"/>
  <c r="KD7" i="15"/>
  <c r="KE7" i="15"/>
  <c r="KF7" i="15"/>
  <c r="KG7" i="15"/>
  <c r="KH7" i="15"/>
  <c r="KI7" i="15"/>
  <c r="KJ7" i="15"/>
  <c r="KK7" i="15"/>
  <c r="KL7" i="15"/>
  <c r="KM7" i="15"/>
  <c r="KN7" i="15"/>
  <c r="KO7" i="15"/>
  <c r="KP7" i="15"/>
  <c r="KQ7" i="15"/>
  <c r="KR7" i="15"/>
  <c r="KS7" i="15"/>
  <c r="KT7" i="15"/>
  <c r="KU7" i="15"/>
  <c r="KV7" i="15"/>
  <c r="KW7" i="15"/>
  <c r="KX7" i="15"/>
  <c r="KY7" i="15"/>
  <c r="KZ7" i="15"/>
  <c r="LA7" i="15"/>
  <c r="LB7" i="15"/>
  <c r="LC7" i="15"/>
  <c r="JW8" i="15"/>
  <c r="JX8" i="15"/>
  <c r="JY8" i="15"/>
  <c r="JZ8" i="15"/>
  <c r="KA8" i="15"/>
  <c r="KB8" i="15"/>
  <c r="KC8" i="15"/>
  <c r="KD8" i="15"/>
  <c r="KE8" i="15"/>
  <c r="KF8" i="15"/>
  <c r="KG8" i="15"/>
  <c r="KH8" i="15"/>
  <c r="KI8" i="15"/>
  <c r="KJ8" i="15"/>
  <c r="KK8" i="15"/>
  <c r="KL8" i="15"/>
  <c r="KM8" i="15"/>
  <c r="KN8" i="15"/>
  <c r="KO8" i="15"/>
  <c r="KP8" i="15"/>
  <c r="KQ8" i="15"/>
  <c r="KR8" i="15"/>
  <c r="KS8" i="15"/>
  <c r="KT8" i="15"/>
  <c r="KU8" i="15"/>
  <c r="KV8" i="15"/>
  <c r="KW8" i="15"/>
  <c r="KX8" i="15"/>
  <c r="KY8" i="15"/>
  <c r="KZ8" i="15"/>
  <c r="LA8" i="15"/>
  <c r="LB8" i="15"/>
  <c r="LC8" i="15"/>
  <c r="JW9" i="15"/>
  <c r="JX9" i="15"/>
  <c r="JY9" i="15"/>
  <c r="JZ9" i="15"/>
  <c r="KA9" i="15"/>
  <c r="KB9" i="15"/>
  <c r="KC9" i="15"/>
  <c r="KD9" i="15"/>
  <c r="KE9" i="15"/>
  <c r="KF9" i="15"/>
  <c r="KG9" i="15"/>
  <c r="KH9" i="15"/>
  <c r="KI9" i="15"/>
  <c r="KJ9" i="15"/>
  <c r="KK9" i="15"/>
  <c r="KL9" i="15"/>
  <c r="KM9" i="15"/>
  <c r="KN9" i="15"/>
  <c r="KO9" i="15"/>
  <c r="KP9" i="15"/>
  <c r="KQ9" i="15"/>
  <c r="KR9" i="15"/>
  <c r="KS9" i="15"/>
  <c r="KT9" i="15"/>
  <c r="KU9" i="15"/>
  <c r="KV9" i="15"/>
  <c r="KW9" i="15"/>
  <c r="KX9" i="15"/>
  <c r="KY9" i="15"/>
  <c r="KZ9" i="15"/>
  <c r="LA9" i="15"/>
  <c r="LB9" i="15"/>
  <c r="LC9" i="15"/>
  <c r="JW10" i="15"/>
  <c r="JX10" i="15"/>
  <c r="JY10" i="15"/>
  <c r="JZ10" i="15"/>
  <c r="KA10" i="15"/>
  <c r="KB10" i="15"/>
  <c r="KC10" i="15"/>
  <c r="KD10" i="15"/>
  <c r="KE10" i="15"/>
  <c r="KF10" i="15"/>
  <c r="KG10" i="15"/>
  <c r="KH10" i="15"/>
  <c r="KI10" i="15"/>
  <c r="KJ10" i="15"/>
  <c r="KK10" i="15"/>
  <c r="KL10" i="15"/>
  <c r="KM10" i="15"/>
  <c r="KN10" i="15"/>
  <c r="KO10" i="15"/>
  <c r="KP10" i="15"/>
  <c r="KQ10" i="15"/>
  <c r="KR10" i="15"/>
  <c r="KS10" i="15"/>
  <c r="KT10" i="15"/>
  <c r="KU10" i="15"/>
  <c r="KV10" i="15"/>
  <c r="KW10" i="15"/>
  <c r="KX10" i="15"/>
  <c r="KY10" i="15"/>
  <c r="KZ10" i="15"/>
  <c r="LA10" i="15"/>
  <c r="LB10" i="15"/>
  <c r="LC10" i="15"/>
  <c r="JW11" i="15"/>
  <c r="JX11" i="15"/>
  <c r="JY11" i="15"/>
  <c r="JZ11" i="15"/>
  <c r="KA11" i="15"/>
  <c r="KB11" i="15"/>
  <c r="KC11" i="15"/>
  <c r="KD11" i="15"/>
  <c r="KE11" i="15"/>
  <c r="KF11" i="15"/>
  <c r="KG11" i="15"/>
  <c r="KH11" i="15"/>
  <c r="KI11" i="15"/>
  <c r="KJ11" i="15"/>
  <c r="KK11" i="15"/>
  <c r="KL11" i="15"/>
  <c r="KM11" i="15"/>
  <c r="KN11" i="15"/>
  <c r="KO11" i="15"/>
  <c r="KP11" i="15"/>
  <c r="KQ11" i="15"/>
  <c r="KR11" i="15"/>
  <c r="KS11" i="15"/>
  <c r="KT11" i="15"/>
  <c r="KU11" i="15"/>
  <c r="KV11" i="15"/>
  <c r="KW11" i="15"/>
  <c r="KX11" i="15"/>
  <c r="KY11" i="15"/>
  <c r="KZ11" i="15"/>
  <c r="LA11" i="15"/>
  <c r="LB11" i="15"/>
  <c r="LC11" i="15"/>
  <c r="JW12" i="15"/>
  <c r="JX12" i="15"/>
  <c r="JY12" i="15"/>
  <c r="JZ12" i="15"/>
  <c r="KA12" i="15"/>
  <c r="KB12" i="15"/>
  <c r="KC12" i="15"/>
  <c r="KD12" i="15"/>
  <c r="KE12" i="15"/>
  <c r="KF12" i="15"/>
  <c r="KG12" i="15"/>
  <c r="KH12" i="15"/>
  <c r="KI12" i="15"/>
  <c r="KJ12" i="15"/>
  <c r="KK12" i="15"/>
  <c r="KL12" i="15"/>
  <c r="KM12" i="15"/>
  <c r="KN12" i="15"/>
  <c r="KO12" i="15"/>
  <c r="KP12" i="15"/>
  <c r="KQ12" i="15"/>
  <c r="KR12" i="15"/>
  <c r="KS12" i="15"/>
  <c r="KT12" i="15"/>
  <c r="KU12" i="15"/>
  <c r="KV12" i="15"/>
  <c r="KW12" i="15"/>
  <c r="KX12" i="15"/>
  <c r="KY12" i="15"/>
  <c r="KZ12" i="15"/>
  <c r="LA12" i="15"/>
  <c r="LB12" i="15"/>
  <c r="LC12" i="15"/>
  <c r="JW13" i="15"/>
  <c r="JX13" i="15"/>
  <c r="JY13" i="15"/>
  <c r="JZ13" i="15"/>
  <c r="KA13" i="15"/>
  <c r="KB13" i="15"/>
  <c r="KC13" i="15"/>
  <c r="KD13" i="15"/>
  <c r="KE13" i="15"/>
  <c r="KF13" i="15"/>
  <c r="KG13" i="15"/>
  <c r="KH13" i="15"/>
  <c r="KI13" i="15"/>
  <c r="KJ13" i="15"/>
  <c r="KK13" i="15"/>
  <c r="KL13" i="15"/>
  <c r="KM13" i="15"/>
  <c r="KN13" i="15"/>
  <c r="KO13" i="15"/>
  <c r="KP13" i="15"/>
  <c r="KQ13" i="15"/>
  <c r="KR13" i="15"/>
  <c r="KS13" i="15"/>
  <c r="KT13" i="15"/>
  <c r="KU13" i="15"/>
  <c r="KV13" i="15"/>
  <c r="KW13" i="15"/>
  <c r="KX13" i="15"/>
  <c r="KY13" i="15"/>
  <c r="KZ13" i="15"/>
  <c r="LA13" i="15"/>
  <c r="LB13" i="15"/>
  <c r="LC13" i="15"/>
  <c r="JW14" i="15"/>
  <c r="JX14" i="15"/>
  <c r="JY14" i="15"/>
  <c r="JZ14" i="15"/>
  <c r="KA14" i="15"/>
  <c r="KB14" i="15"/>
  <c r="KC14" i="15"/>
  <c r="KD14" i="15"/>
  <c r="KE14" i="15"/>
  <c r="KF14" i="15"/>
  <c r="KG14" i="15"/>
  <c r="KH14" i="15"/>
  <c r="KI14" i="15"/>
  <c r="KJ14" i="15"/>
  <c r="KK14" i="15"/>
  <c r="KL14" i="15"/>
  <c r="KM14" i="15"/>
  <c r="KN14" i="15"/>
  <c r="KO14" i="15"/>
  <c r="KP14" i="15"/>
  <c r="KQ14" i="15"/>
  <c r="KR14" i="15"/>
  <c r="KS14" i="15"/>
  <c r="KT14" i="15"/>
  <c r="KU14" i="15"/>
  <c r="KV14" i="15"/>
  <c r="KW14" i="15"/>
  <c r="KX14" i="15"/>
  <c r="KY14" i="15"/>
  <c r="KZ14" i="15"/>
  <c r="LA14" i="15"/>
  <c r="LB14" i="15"/>
  <c r="LC14" i="15"/>
  <c r="JW15" i="15"/>
  <c r="JX15" i="15"/>
  <c r="JY15" i="15"/>
  <c r="JZ15" i="15"/>
  <c r="KA15" i="15"/>
  <c r="KB15" i="15"/>
  <c r="KC15" i="15"/>
  <c r="KD15" i="15"/>
  <c r="KE15" i="15"/>
  <c r="KF15" i="15"/>
  <c r="KG15" i="15"/>
  <c r="KH15" i="15"/>
  <c r="KI15" i="15"/>
  <c r="KJ15" i="15"/>
  <c r="KK15" i="15"/>
  <c r="KL15" i="15"/>
  <c r="KM15" i="15"/>
  <c r="KN15" i="15"/>
  <c r="KO15" i="15"/>
  <c r="KP15" i="15"/>
  <c r="KQ15" i="15"/>
  <c r="KR15" i="15"/>
  <c r="KS15" i="15"/>
  <c r="KT15" i="15"/>
  <c r="KU15" i="15"/>
  <c r="KV15" i="15"/>
  <c r="KW15" i="15"/>
  <c r="KX15" i="15"/>
  <c r="KY15" i="15"/>
  <c r="KZ15" i="15"/>
  <c r="LA15" i="15"/>
  <c r="LB15" i="15"/>
  <c r="LC15" i="15"/>
  <c r="JW16" i="15"/>
  <c r="JX16" i="15"/>
  <c r="JY16" i="15"/>
  <c r="JZ16" i="15"/>
  <c r="KA16" i="15"/>
  <c r="KB16" i="15"/>
  <c r="KC16" i="15"/>
  <c r="KD16" i="15"/>
  <c r="KE16" i="15"/>
  <c r="KF16" i="15"/>
  <c r="KG16" i="15"/>
  <c r="KH16" i="15"/>
  <c r="KI16" i="15"/>
  <c r="KJ16" i="15"/>
  <c r="KK16" i="15"/>
  <c r="KL16" i="15"/>
  <c r="KM16" i="15"/>
  <c r="KN16" i="15"/>
  <c r="KO16" i="15"/>
  <c r="KP16" i="15"/>
  <c r="KQ16" i="15"/>
  <c r="KR16" i="15"/>
  <c r="KS16" i="15"/>
  <c r="KT16" i="15"/>
  <c r="KU16" i="15"/>
  <c r="KV16" i="15"/>
  <c r="KW16" i="15"/>
  <c r="KX16" i="15"/>
  <c r="KY16" i="15"/>
  <c r="KZ16" i="15"/>
  <c r="LA16" i="15"/>
  <c r="LB16" i="15"/>
  <c r="LC16" i="15"/>
  <c r="JW17" i="15"/>
  <c r="JX17" i="15"/>
  <c r="JY17" i="15"/>
  <c r="JZ17" i="15"/>
  <c r="KA17" i="15"/>
  <c r="KB17" i="15"/>
  <c r="KC17" i="15"/>
  <c r="KD17" i="15"/>
  <c r="KE17" i="15"/>
  <c r="KF17" i="15"/>
  <c r="KG17" i="15"/>
  <c r="KH17" i="15"/>
  <c r="KI17" i="15"/>
  <c r="KJ17" i="15"/>
  <c r="KK17" i="15"/>
  <c r="KL17" i="15"/>
  <c r="KM17" i="15"/>
  <c r="KN17" i="15"/>
  <c r="KO17" i="15"/>
  <c r="KP17" i="15"/>
  <c r="KQ17" i="15"/>
  <c r="KR17" i="15"/>
  <c r="KS17" i="15"/>
  <c r="KT17" i="15"/>
  <c r="KU17" i="15"/>
  <c r="KV17" i="15"/>
  <c r="KW17" i="15"/>
  <c r="KX17" i="15"/>
  <c r="KY17" i="15"/>
  <c r="KZ17" i="15"/>
  <c r="LA17" i="15"/>
  <c r="LB17" i="15"/>
  <c r="LC17" i="15"/>
  <c r="JW18" i="15"/>
  <c r="JX18" i="15"/>
  <c r="JY18" i="15"/>
  <c r="JZ18" i="15"/>
  <c r="KA18" i="15"/>
  <c r="KB18" i="15"/>
  <c r="KC18" i="15"/>
  <c r="KD18" i="15"/>
  <c r="KE18" i="15"/>
  <c r="KF18" i="15"/>
  <c r="KG18" i="15"/>
  <c r="KH18" i="15"/>
  <c r="KI18" i="15"/>
  <c r="KJ18" i="15"/>
  <c r="KK18" i="15"/>
  <c r="KL18" i="15"/>
  <c r="KM18" i="15"/>
  <c r="KN18" i="15"/>
  <c r="KO18" i="15"/>
  <c r="KP18" i="15"/>
  <c r="KQ18" i="15"/>
  <c r="KR18" i="15"/>
  <c r="KS18" i="15"/>
  <c r="KT18" i="15"/>
  <c r="KU18" i="15"/>
  <c r="KV18" i="15"/>
  <c r="KW18" i="15"/>
  <c r="KX18" i="15"/>
  <c r="KY18" i="15"/>
  <c r="KZ18" i="15"/>
  <c r="LA18" i="15"/>
  <c r="LB18" i="15"/>
  <c r="LC18" i="15"/>
  <c r="JW19" i="15"/>
  <c r="JX19" i="15"/>
  <c r="JY19" i="15"/>
  <c r="JZ19" i="15"/>
  <c r="KA19" i="15"/>
  <c r="KB19" i="15"/>
  <c r="KC19" i="15"/>
  <c r="KD19" i="15"/>
  <c r="KE19" i="15"/>
  <c r="KF19" i="15"/>
  <c r="KG19" i="15"/>
  <c r="KH19" i="15"/>
  <c r="KI19" i="15"/>
  <c r="KJ19" i="15"/>
  <c r="KK19" i="15"/>
  <c r="KL19" i="15"/>
  <c r="KM19" i="15"/>
  <c r="KN19" i="15"/>
  <c r="KO19" i="15"/>
  <c r="KP19" i="15"/>
  <c r="KQ19" i="15"/>
  <c r="KR19" i="15"/>
  <c r="KS19" i="15"/>
  <c r="KT19" i="15"/>
  <c r="KU19" i="15"/>
  <c r="KV19" i="15"/>
  <c r="KW19" i="15"/>
  <c r="KX19" i="15"/>
  <c r="KY19" i="15"/>
  <c r="KZ19" i="15"/>
  <c r="LA19" i="15"/>
  <c r="LB19" i="15"/>
  <c r="LC19" i="15"/>
  <c r="JW20" i="15"/>
  <c r="JX20" i="15"/>
  <c r="JY20" i="15"/>
  <c r="JZ20" i="15"/>
  <c r="KA20" i="15"/>
  <c r="KB20" i="15"/>
  <c r="KC20" i="15"/>
  <c r="KD20" i="15"/>
  <c r="KE20" i="15"/>
  <c r="KF20" i="15"/>
  <c r="KG20" i="15"/>
  <c r="KH20" i="15"/>
  <c r="KI20" i="15"/>
  <c r="KJ20" i="15"/>
  <c r="KK20" i="15"/>
  <c r="KL20" i="15"/>
  <c r="KM20" i="15"/>
  <c r="KN20" i="15"/>
  <c r="KO20" i="15"/>
  <c r="KP20" i="15"/>
  <c r="KQ20" i="15"/>
  <c r="KR20" i="15"/>
  <c r="KS20" i="15"/>
  <c r="KT20" i="15"/>
  <c r="KU20" i="15"/>
  <c r="KV20" i="15"/>
  <c r="KW20" i="15"/>
  <c r="KX20" i="15"/>
  <c r="KY20" i="15"/>
  <c r="KZ20" i="15"/>
  <c r="LA20" i="15"/>
  <c r="LB20" i="15"/>
  <c r="LC20" i="15"/>
  <c r="JW21" i="15"/>
  <c r="JX21" i="15"/>
  <c r="JY21" i="15"/>
  <c r="JZ21" i="15"/>
  <c r="KA21" i="15"/>
  <c r="KB21" i="15"/>
  <c r="KC21" i="15"/>
  <c r="KD21" i="15"/>
  <c r="KE21" i="15"/>
  <c r="KF21" i="15"/>
  <c r="KG21" i="15"/>
  <c r="KH21" i="15"/>
  <c r="KI21" i="15"/>
  <c r="KJ21" i="15"/>
  <c r="KK21" i="15"/>
  <c r="KL21" i="15"/>
  <c r="KM21" i="15"/>
  <c r="KN21" i="15"/>
  <c r="KO21" i="15"/>
  <c r="KP21" i="15"/>
  <c r="KQ21" i="15"/>
  <c r="KR21" i="15"/>
  <c r="KS21" i="15"/>
  <c r="KT21" i="15"/>
  <c r="KU21" i="15"/>
  <c r="KV21" i="15"/>
  <c r="KW21" i="15"/>
  <c r="KX21" i="15"/>
  <c r="KY21" i="15"/>
  <c r="KZ21" i="15"/>
  <c r="LA21" i="15"/>
  <c r="LB21" i="15"/>
  <c r="LC21" i="15"/>
  <c r="JW22" i="15"/>
  <c r="JX22" i="15"/>
  <c r="JY22" i="15"/>
  <c r="JZ22" i="15"/>
  <c r="KA22" i="15"/>
  <c r="KB22" i="15"/>
  <c r="KC22" i="15"/>
  <c r="KD22" i="15"/>
  <c r="KE22" i="15"/>
  <c r="KF22" i="15"/>
  <c r="KG22" i="15"/>
  <c r="KH22" i="15"/>
  <c r="KI22" i="15"/>
  <c r="KJ22" i="15"/>
  <c r="KK22" i="15"/>
  <c r="KL22" i="15"/>
  <c r="KM22" i="15"/>
  <c r="KN22" i="15"/>
  <c r="KO22" i="15"/>
  <c r="KP22" i="15"/>
  <c r="KQ22" i="15"/>
  <c r="KR22" i="15"/>
  <c r="KS22" i="15"/>
  <c r="KT22" i="15"/>
  <c r="KU22" i="15"/>
  <c r="KV22" i="15"/>
  <c r="KW22" i="15"/>
  <c r="KX22" i="15"/>
  <c r="KY22" i="15"/>
  <c r="KZ22" i="15"/>
  <c r="LA22" i="15"/>
  <c r="LB22" i="15"/>
  <c r="LC22" i="15"/>
  <c r="JW23" i="15"/>
  <c r="JX23" i="15"/>
  <c r="JY23" i="15"/>
  <c r="JZ23" i="15"/>
  <c r="KA23" i="15"/>
  <c r="KB23" i="15"/>
  <c r="KC23" i="15"/>
  <c r="KD23" i="15"/>
  <c r="KE23" i="15"/>
  <c r="KF23" i="15"/>
  <c r="KG23" i="15"/>
  <c r="KH23" i="15"/>
  <c r="KI23" i="15"/>
  <c r="KJ23" i="15"/>
  <c r="KK23" i="15"/>
  <c r="KL23" i="15"/>
  <c r="KM23" i="15"/>
  <c r="KN23" i="15"/>
  <c r="KO23" i="15"/>
  <c r="KP23" i="15"/>
  <c r="KQ23" i="15"/>
  <c r="KR23" i="15"/>
  <c r="KS23" i="15"/>
  <c r="KT23" i="15"/>
  <c r="KU23" i="15"/>
  <c r="KV23" i="15"/>
  <c r="KW23" i="15"/>
  <c r="KX23" i="15"/>
  <c r="KY23" i="15"/>
  <c r="KZ23" i="15"/>
  <c r="LA23" i="15"/>
  <c r="LB23" i="15"/>
  <c r="LC23" i="15"/>
  <c r="JW24" i="15"/>
  <c r="JX24" i="15"/>
  <c r="JY24" i="15"/>
  <c r="JZ24" i="15"/>
  <c r="KA24" i="15"/>
  <c r="KB24" i="15"/>
  <c r="KC24" i="15"/>
  <c r="KD24" i="15"/>
  <c r="KE24" i="15"/>
  <c r="KF24" i="15"/>
  <c r="KG24" i="15"/>
  <c r="KH24" i="15"/>
  <c r="KI24" i="15"/>
  <c r="KJ24" i="15"/>
  <c r="KK24" i="15"/>
  <c r="KL24" i="15"/>
  <c r="KM24" i="15"/>
  <c r="KN24" i="15"/>
  <c r="KO24" i="15"/>
  <c r="KP24" i="15"/>
  <c r="KQ24" i="15"/>
  <c r="KR24" i="15"/>
  <c r="KS24" i="15"/>
  <c r="KT24" i="15"/>
  <c r="KU24" i="15"/>
  <c r="KV24" i="15"/>
  <c r="KW24" i="15"/>
  <c r="KX24" i="15"/>
  <c r="KY24" i="15"/>
  <c r="KZ24" i="15"/>
  <c r="LA24" i="15"/>
  <c r="LB24" i="15"/>
  <c r="LC24" i="15"/>
  <c r="JW25" i="15"/>
  <c r="JX25" i="15"/>
  <c r="JY25" i="15"/>
  <c r="JZ25" i="15"/>
  <c r="KA25" i="15"/>
  <c r="KB25" i="15"/>
  <c r="KC25" i="15"/>
  <c r="KD25" i="15"/>
  <c r="KE25" i="15"/>
  <c r="KF25" i="15"/>
  <c r="KG25" i="15"/>
  <c r="KH25" i="15"/>
  <c r="KI25" i="15"/>
  <c r="KJ25" i="15"/>
  <c r="KK25" i="15"/>
  <c r="KL25" i="15"/>
  <c r="KM25" i="15"/>
  <c r="KN25" i="15"/>
  <c r="KO25" i="15"/>
  <c r="KP25" i="15"/>
  <c r="KQ25" i="15"/>
  <c r="KR25" i="15"/>
  <c r="KS25" i="15"/>
  <c r="KT25" i="15"/>
  <c r="KU25" i="15"/>
  <c r="KV25" i="15"/>
  <c r="KW25" i="15"/>
  <c r="KX25" i="15"/>
  <c r="KY25" i="15"/>
  <c r="KZ25" i="15"/>
  <c r="LA25" i="15"/>
  <c r="LB25" i="15"/>
  <c r="LC25" i="15"/>
  <c r="JW26" i="15"/>
  <c r="JX26" i="15"/>
  <c r="JY26" i="15"/>
  <c r="JZ26" i="15"/>
  <c r="KA26" i="15"/>
  <c r="KB26" i="15"/>
  <c r="KC26" i="15"/>
  <c r="KD26" i="15"/>
  <c r="KE26" i="15"/>
  <c r="KF26" i="15"/>
  <c r="KG26" i="15"/>
  <c r="KH26" i="15"/>
  <c r="KI26" i="15"/>
  <c r="KJ26" i="15"/>
  <c r="KK26" i="15"/>
  <c r="KL26" i="15"/>
  <c r="KM26" i="15"/>
  <c r="KN26" i="15"/>
  <c r="KO26" i="15"/>
  <c r="KP26" i="15"/>
  <c r="KQ26" i="15"/>
  <c r="KR26" i="15"/>
  <c r="KS26" i="15"/>
  <c r="KT26" i="15"/>
  <c r="KU26" i="15"/>
  <c r="KV26" i="15"/>
  <c r="KW26" i="15"/>
  <c r="KX26" i="15"/>
  <c r="KY26" i="15"/>
  <c r="KZ26" i="15"/>
  <c r="LA26" i="15"/>
  <c r="LB26" i="15"/>
  <c r="LC26" i="15"/>
  <c r="JW27" i="15"/>
  <c r="JX27" i="15"/>
  <c r="JY27" i="15"/>
  <c r="JZ27" i="15"/>
  <c r="KA27" i="15"/>
  <c r="KB27" i="15"/>
  <c r="KC27" i="15"/>
  <c r="KD27" i="15"/>
  <c r="KE27" i="15"/>
  <c r="KF27" i="15"/>
  <c r="KG27" i="15"/>
  <c r="KH27" i="15"/>
  <c r="KI27" i="15"/>
  <c r="KJ27" i="15"/>
  <c r="KK27" i="15"/>
  <c r="KL27" i="15"/>
  <c r="KM27" i="15"/>
  <c r="KN27" i="15"/>
  <c r="KO27" i="15"/>
  <c r="KP27" i="15"/>
  <c r="KQ27" i="15"/>
  <c r="KR27" i="15"/>
  <c r="KS27" i="15"/>
  <c r="KT27" i="15"/>
  <c r="KU27" i="15"/>
  <c r="KV27" i="15"/>
  <c r="KW27" i="15"/>
  <c r="KX27" i="15"/>
  <c r="KY27" i="15"/>
  <c r="KZ27" i="15"/>
  <c r="LA27" i="15"/>
  <c r="LB27" i="15"/>
  <c r="LC27" i="15"/>
  <c r="JW28" i="15"/>
  <c r="JX28" i="15"/>
  <c r="JY28" i="15"/>
  <c r="JZ28" i="15"/>
  <c r="KA28" i="15"/>
  <c r="KB28" i="15"/>
  <c r="KC28" i="15"/>
  <c r="KD28" i="15"/>
  <c r="KE28" i="15"/>
  <c r="KF28" i="15"/>
  <c r="KG28" i="15"/>
  <c r="KH28" i="15"/>
  <c r="KI28" i="15"/>
  <c r="KJ28" i="15"/>
  <c r="KK28" i="15"/>
  <c r="KL28" i="15"/>
  <c r="KM28" i="15"/>
  <c r="KN28" i="15"/>
  <c r="KO28" i="15"/>
  <c r="KP28" i="15"/>
  <c r="KQ28" i="15"/>
  <c r="KR28" i="15"/>
  <c r="KS28" i="15"/>
  <c r="KT28" i="15"/>
  <c r="KU28" i="15"/>
  <c r="KV28" i="15"/>
  <c r="KW28" i="15"/>
  <c r="KX28" i="15"/>
  <c r="KY28" i="15"/>
  <c r="KZ28" i="15"/>
  <c r="LA28" i="15"/>
  <c r="LB28" i="15"/>
  <c r="LC28" i="15"/>
  <c r="JW29" i="15"/>
  <c r="JX29" i="15"/>
  <c r="JY29" i="15"/>
  <c r="JZ29" i="15"/>
  <c r="KA29" i="15"/>
  <c r="KB29" i="15"/>
  <c r="KC29" i="15"/>
  <c r="KD29" i="15"/>
  <c r="KE29" i="15"/>
  <c r="KF29" i="15"/>
  <c r="KG29" i="15"/>
  <c r="KH29" i="15"/>
  <c r="KI29" i="15"/>
  <c r="KJ29" i="15"/>
  <c r="KK29" i="15"/>
  <c r="KL29" i="15"/>
  <c r="KM29" i="15"/>
  <c r="KN29" i="15"/>
  <c r="KO29" i="15"/>
  <c r="KP29" i="15"/>
  <c r="KQ29" i="15"/>
  <c r="KR29" i="15"/>
  <c r="KS29" i="15"/>
  <c r="KT29" i="15"/>
  <c r="KU29" i="15"/>
  <c r="KV29" i="15"/>
  <c r="KW29" i="15"/>
  <c r="KX29" i="15"/>
  <c r="KY29" i="15"/>
  <c r="KZ29" i="15"/>
  <c r="LA29" i="15"/>
  <c r="LB29" i="15"/>
  <c r="LC29" i="15"/>
  <c r="JW30" i="15"/>
  <c r="JX30" i="15"/>
  <c r="JY30" i="15"/>
  <c r="JZ30" i="15"/>
  <c r="KA30" i="15"/>
  <c r="KB30" i="15"/>
  <c r="KC30" i="15"/>
  <c r="KD30" i="15"/>
  <c r="KE30" i="15"/>
  <c r="KF30" i="15"/>
  <c r="KG30" i="15"/>
  <c r="KH30" i="15"/>
  <c r="KI30" i="15"/>
  <c r="KJ30" i="15"/>
  <c r="KK30" i="15"/>
  <c r="KL30" i="15"/>
  <c r="KM30" i="15"/>
  <c r="KN30" i="15"/>
  <c r="KO30" i="15"/>
  <c r="KP30" i="15"/>
  <c r="KQ30" i="15"/>
  <c r="KR30" i="15"/>
  <c r="KS30" i="15"/>
  <c r="KT30" i="15"/>
  <c r="KU30" i="15"/>
  <c r="KV30" i="15"/>
  <c r="KW30" i="15"/>
  <c r="KX30" i="15"/>
  <c r="KY30" i="15"/>
  <c r="KZ30" i="15"/>
  <c r="LA30" i="15"/>
  <c r="LB30" i="15"/>
  <c r="LC30" i="15"/>
  <c r="JW31" i="15"/>
  <c r="JX31" i="15"/>
  <c r="JY31" i="15"/>
  <c r="JZ31" i="15"/>
  <c r="KA31" i="15"/>
  <c r="KB31" i="15"/>
  <c r="KC31" i="15"/>
  <c r="KD31" i="15"/>
  <c r="KE31" i="15"/>
  <c r="KF31" i="15"/>
  <c r="KG31" i="15"/>
  <c r="KH31" i="15"/>
  <c r="KI31" i="15"/>
  <c r="KJ31" i="15"/>
  <c r="KK31" i="15"/>
  <c r="KL31" i="15"/>
  <c r="KM31" i="15"/>
  <c r="KN31" i="15"/>
  <c r="KO31" i="15"/>
  <c r="KP31" i="15"/>
  <c r="KQ31" i="15"/>
  <c r="KR31" i="15"/>
  <c r="KS31" i="15"/>
  <c r="KT31" i="15"/>
  <c r="KU31" i="15"/>
  <c r="KV31" i="15"/>
  <c r="KW31" i="15"/>
  <c r="KX31" i="15"/>
  <c r="KY31" i="15"/>
  <c r="KZ31" i="15"/>
  <c r="LA31" i="15"/>
  <c r="LB31" i="15"/>
  <c r="LC31" i="15"/>
  <c r="JW32" i="15"/>
  <c r="JX32" i="15"/>
  <c r="JY32" i="15"/>
  <c r="JZ32" i="15"/>
  <c r="KA32" i="15"/>
  <c r="KB32" i="15"/>
  <c r="KC32" i="15"/>
  <c r="KD32" i="15"/>
  <c r="KE32" i="15"/>
  <c r="KF32" i="15"/>
  <c r="KG32" i="15"/>
  <c r="KH32" i="15"/>
  <c r="KI32" i="15"/>
  <c r="KJ32" i="15"/>
  <c r="KK32" i="15"/>
  <c r="KL32" i="15"/>
  <c r="KM32" i="15"/>
  <c r="KN32" i="15"/>
  <c r="KO32" i="15"/>
  <c r="KP32" i="15"/>
  <c r="KQ32" i="15"/>
  <c r="KR32" i="15"/>
  <c r="KS32" i="15"/>
  <c r="KT32" i="15"/>
  <c r="KU32" i="15"/>
  <c r="KV32" i="15"/>
  <c r="KW32" i="15"/>
  <c r="KX32" i="15"/>
  <c r="KY32" i="15"/>
  <c r="KZ32" i="15"/>
  <c r="LA32" i="15"/>
  <c r="LB32" i="15"/>
  <c r="LC32" i="15"/>
  <c r="JW33" i="15"/>
  <c r="JX33" i="15"/>
  <c r="JY33" i="15"/>
  <c r="JZ33" i="15"/>
  <c r="KA33" i="15"/>
  <c r="KB33" i="15"/>
  <c r="KC33" i="15"/>
  <c r="KD33" i="15"/>
  <c r="KE33" i="15"/>
  <c r="KF33" i="15"/>
  <c r="KG33" i="15"/>
  <c r="KH33" i="15"/>
  <c r="KI33" i="15"/>
  <c r="KJ33" i="15"/>
  <c r="KK33" i="15"/>
  <c r="KL33" i="15"/>
  <c r="KM33" i="15"/>
  <c r="KN33" i="15"/>
  <c r="KO33" i="15"/>
  <c r="KP33" i="15"/>
  <c r="KQ33" i="15"/>
  <c r="KR33" i="15"/>
  <c r="KS33" i="15"/>
  <c r="KT33" i="15"/>
  <c r="KU33" i="15"/>
  <c r="KV33" i="15"/>
  <c r="KW33" i="15"/>
  <c r="KX33" i="15"/>
  <c r="KY33" i="15"/>
  <c r="KZ33" i="15"/>
  <c r="LA33" i="15"/>
  <c r="LB33" i="15"/>
  <c r="LC33" i="15"/>
  <c r="JW34" i="15"/>
  <c r="JX34" i="15"/>
  <c r="JY34" i="15"/>
  <c r="JZ34" i="15"/>
  <c r="KA34" i="15"/>
  <c r="KB34" i="15"/>
  <c r="KC34" i="15"/>
  <c r="KD34" i="15"/>
  <c r="KE34" i="15"/>
  <c r="KF34" i="15"/>
  <c r="KG34" i="15"/>
  <c r="KH34" i="15"/>
  <c r="KI34" i="15"/>
  <c r="KJ34" i="15"/>
  <c r="KK34" i="15"/>
  <c r="KL34" i="15"/>
  <c r="KM34" i="15"/>
  <c r="KN34" i="15"/>
  <c r="KO34" i="15"/>
  <c r="KP34" i="15"/>
  <c r="KQ34" i="15"/>
  <c r="KR34" i="15"/>
  <c r="KS34" i="15"/>
  <c r="KT34" i="15"/>
  <c r="KU34" i="15"/>
  <c r="KV34" i="15"/>
  <c r="KW34" i="15"/>
  <c r="KX34" i="15"/>
  <c r="KY34" i="15"/>
  <c r="KZ34" i="15"/>
  <c r="LA34" i="15"/>
  <c r="LB34" i="15"/>
  <c r="LC34" i="15"/>
  <c r="JW35" i="15"/>
  <c r="JX35" i="15"/>
  <c r="JY35" i="15"/>
  <c r="JZ35" i="15"/>
  <c r="KA35" i="15"/>
  <c r="KB35" i="15"/>
  <c r="KC35" i="15"/>
  <c r="KD35" i="15"/>
  <c r="KE35" i="15"/>
  <c r="KF35" i="15"/>
  <c r="KG35" i="15"/>
  <c r="KH35" i="15"/>
  <c r="KI35" i="15"/>
  <c r="KJ35" i="15"/>
  <c r="KK35" i="15"/>
  <c r="KL35" i="15"/>
  <c r="KM35" i="15"/>
  <c r="KN35" i="15"/>
  <c r="KO35" i="15"/>
  <c r="KP35" i="15"/>
  <c r="KQ35" i="15"/>
  <c r="KR35" i="15"/>
  <c r="KS35" i="15"/>
  <c r="KT35" i="15"/>
  <c r="KU35" i="15"/>
  <c r="KV35" i="15"/>
  <c r="KW35" i="15"/>
  <c r="KX35" i="15"/>
  <c r="KY35" i="15"/>
  <c r="KZ35" i="15"/>
  <c r="LA35" i="15"/>
  <c r="LB35" i="15"/>
  <c r="LC35" i="15"/>
  <c r="JW36" i="15"/>
  <c r="JX36" i="15"/>
  <c r="JY36" i="15"/>
  <c r="JZ36" i="15"/>
  <c r="KA36" i="15"/>
  <c r="KB36" i="15"/>
  <c r="KC36" i="15"/>
  <c r="KD36" i="15"/>
  <c r="KE36" i="15"/>
  <c r="KF36" i="15"/>
  <c r="KG36" i="15"/>
  <c r="KH36" i="15"/>
  <c r="KI36" i="15"/>
  <c r="KJ36" i="15"/>
  <c r="KK36" i="15"/>
  <c r="KL36" i="15"/>
  <c r="KM36" i="15"/>
  <c r="KN36" i="15"/>
  <c r="KO36" i="15"/>
  <c r="KP36" i="15"/>
  <c r="KQ36" i="15"/>
  <c r="KR36" i="15"/>
  <c r="KS36" i="15"/>
  <c r="KT36" i="15"/>
  <c r="KU36" i="15"/>
  <c r="KV36" i="15"/>
  <c r="KW36" i="15"/>
  <c r="KX36" i="15"/>
  <c r="KY36" i="15"/>
  <c r="KZ36" i="15"/>
  <c r="LA36" i="15"/>
  <c r="LB36" i="15"/>
  <c r="LC36" i="15"/>
  <c r="JW37" i="15"/>
  <c r="JX37" i="15"/>
  <c r="JY37" i="15"/>
  <c r="JZ37" i="15"/>
  <c r="KA37" i="15"/>
  <c r="KB37" i="15"/>
  <c r="KC37" i="15"/>
  <c r="KD37" i="15"/>
  <c r="KE37" i="15"/>
  <c r="KF37" i="15"/>
  <c r="KG37" i="15"/>
  <c r="KH37" i="15"/>
  <c r="KI37" i="15"/>
  <c r="KJ37" i="15"/>
  <c r="KK37" i="15"/>
  <c r="KL37" i="15"/>
  <c r="KM37" i="15"/>
  <c r="KN37" i="15"/>
  <c r="KO37" i="15"/>
  <c r="KP37" i="15"/>
  <c r="KQ37" i="15"/>
  <c r="KR37" i="15"/>
  <c r="KS37" i="15"/>
  <c r="KT37" i="15"/>
  <c r="KU37" i="15"/>
  <c r="KV37" i="15"/>
  <c r="KW37" i="15"/>
  <c r="KX37" i="15"/>
  <c r="KY37" i="15"/>
  <c r="KZ37" i="15"/>
  <c r="LA37" i="15"/>
  <c r="LB37" i="15"/>
  <c r="LC37" i="15"/>
  <c r="JW38" i="15"/>
  <c r="JX38" i="15"/>
  <c r="JY38" i="15"/>
  <c r="JZ38" i="15"/>
  <c r="KA38" i="15"/>
  <c r="KB38" i="15"/>
  <c r="KC38" i="15"/>
  <c r="KD38" i="15"/>
  <c r="KE38" i="15"/>
  <c r="KF38" i="15"/>
  <c r="KG38" i="15"/>
  <c r="KH38" i="15"/>
  <c r="KI38" i="15"/>
  <c r="KJ38" i="15"/>
  <c r="KK38" i="15"/>
  <c r="KL38" i="15"/>
  <c r="KM38" i="15"/>
  <c r="KN38" i="15"/>
  <c r="KO38" i="15"/>
  <c r="KP38" i="15"/>
  <c r="KQ38" i="15"/>
  <c r="KR38" i="15"/>
  <c r="KS38" i="15"/>
  <c r="KT38" i="15"/>
  <c r="KU38" i="15"/>
  <c r="KV38" i="15"/>
  <c r="KW38" i="15"/>
  <c r="KX38" i="15"/>
  <c r="KY38" i="15"/>
  <c r="KZ38" i="15"/>
  <c r="LA38" i="15"/>
  <c r="LB38" i="15"/>
  <c r="LC38" i="15"/>
  <c r="JW39" i="15"/>
  <c r="JX39" i="15"/>
  <c r="JY39" i="15"/>
  <c r="JZ39" i="15"/>
  <c r="KA39" i="15"/>
  <c r="KB39" i="15"/>
  <c r="KC39" i="15"/>
  <c r="KD39" i="15"/>
  <c r="KE39" i="15"/>
  <c r="KF39" i="15"/>
  <c r="KG39" i="15"/>
  <c r="KH39" i="15"/>
  <c r="KI39" i="15"/>
  <c r="KJ39" i="15"/>
  <c r="KK39" i="15"/>
  <c r="KL39" i="15"/>
  <c r="KM39" i="15"/>
  <c r="KN39" i="15"/>
  <c r="KO39" i="15"/>
  <c r="KP39" i="15"/>
  <c r="KQ39" i="15"/>
  <c r="KR39" i="15"/>
  <c r="KS39" i="15"/>
  <c r="KT39" i="15"/>
  <c r="KU39" i="15"/>
  <c r="KV39" i="15"/>
  <c r="KW39" i="15"/>
  <c r="KX39" i="15"/>
  <c r="KY39" i="15"/>
  <c r="KZ39" i="15"/>
  <c r="LA39" i="15"/>
  <c r="LB39" i="15"/>
  <c r="LC39" i="15"/>
  <c r="JW40" i="15"/>
  <c r="JX40" i="15"/>
  <c r="JY40" i="15"/>
  <c r="JZ40" i="15"/>
  <c r="KA40" i="15"/>
  <c r="KB40" i="15"/>
  <c r="KC40" i="15"/>
  <c r="KD40" i="15"/>
  <c r="KE40" i="15"/>
  <c r="KF40" i="15"/>
  <c r="KG40" i="15"/>
  <c r="KH40" i="15"/>
  <c r="KI40" i="15"/>
  <c r="KJ40" i="15"/>
  <c r="KK40" i="15"/>
  <c r="KL40" i="15"/>
  <c r="KM40" i="15"/>
  <c r="KN40" i="15"/>
  <c r="KO40" i="15"/>
  <c r="KP40" i="15"/>
  <c r="KQ40" i="15"/>
  <c r="KR40" i="15"/>
  <c r="KS40" i="15"/>
  <c r="KT40" i="15"/>
  <c r="KU40" i="15"/>
  <c r="KV40" i="15"/>
  <c r="KW40" i="15"/>
  <c r="KX40" i="15"/>
  <c r="KY40" i="15"/>
  <c r="KZ40" i="15"/>
  <c r="LA40" i="15"/>
  <c r="LB40" i="15"/>
  <c r="LC40" i="15"/>
  <c r="JW41" i="15"/>
  <c r="JX41" i="15"/>
  <c r="JY41" i="15"/>
  <c r="JZ41" i="15"/>
  <c r="KA41" i="15"/>
  <c r="KB41" i="15"/>
  <c r="KC41" i="15"/>
  <c r="KD41" i="15"/>
  <c r="KE41" i="15"/>
  <c r="KF41" i="15"/>
  <c r="KG41" i="15"/>
  <c r="KH41" i="15"/>
  <c r="KI41" i="15"/>
  <c r="KJ41" i="15"/>
  <c r="KK41" i="15"/>
  <c r="KL41" i="15"/>
  <c r="KM41" i="15"/>
  <c r="KN41" i="15"/>
  <c r="KO41" i="15"/>
  <c r="KP41" i="15"/>
  <c r="KQ41" i="15"/>
  <c r="KR41" i="15"/>
  <c r="KS41" i="15"/>
  <c r="KT41" i="15"/>
  <c r="KU41" i="15"/>
  <c r="KV41" i="15"/>
  <c r="KW41" i="15"/>
  <c r="KX41" i="15"/>
  <c r="KY41" i="15"/>
  <c r="KZ41" i="15"/>
  <c r="LA41" i="15"/>
  <c r="LB41" i="15"/>
  <c r="LC41" i="15"/>
  <c r="JV7" i="15"/>
  <c r="JV8" i="15"/>
  <c r="JV9" i="15"/>
  <c r="JV10" i="15"/>
  <c r="JV11" i="15"/>
  <c r="JV12" i="15"/>
  <c r="JV13" i="15"/>
  <c r="JV14" i="15"/>
  <c r="JV15" i="15"/>
  <c r="JV16" i="15"/>
  <c r="JV17" i="15"/>
  <c r="JV18" i="15"/>
  <c r="JV19" i="15"/>
  <c r="JV20" i="15"/>
  <c r="JV21" i="15"/>
  <c r="JV22" i="15"/>
  <c r="JV23" i="15"/>
  <c r="JV24" i="15"/>
  <c r="JV25" i="15"/>
  <c r="JV26" i="15"/>
  <c r="JV27" i="15"/>
  <c r="JV28" i="15"/>
  <c r="JV29" i="15"/>
  <c r="JV30" i="15"/>
  <c r="JV31" i="15"/>
  <c r="JV32" i="15"/>
  <c r="JV33" i="15"/>
  <c r="JV34" i="15"/>
  <c r="JV35" i="15"/>
  <c r="JV36" i="15"/>
  <c r="JV37" i="15"/>
  <c r="JV38" i="15"/>
  <c r="JV39" i="15"/>
  <c r="JV40" i="15"/>
  <c r="JV41" i="15"/>
  <c r="JV6" i="15"/>
  <c r="S289" i="4" l="1"/>
  <c r="A271" i="1"/>
  <c r="G9" i="21" l="1"/>
  <c r="H3" i="21" s="1"/>
  <c r="JJ93" i="29" l="1"/>
  <c r="JJ65" i="29"/>
  <c r="JI1" i="29"/>
  <c r="C3" i="21"/>
  <c r="H2" i="21" l="1"/>
  <c r="H4" i="21"/>
  <c r="F46" i="25" l="1"/>
  <c r="E68" i="7" l="1"/>
  <c r="P279" i="14"/>
  <c r="P278" i="14"/>
  <c r="DA34" i="29" s="1"/>
  <c r="DA38" i="31" s="1"/>
  <c r="P277" i="14"/>
  <c r="BM34" i="29" s="1"/>
  <c r="BM38" i="31" s="1"/>
  <c r="P276" i="14"/>
  <c r="JH34" i="29" s="1"/>
  <c r="JH38" i="31" s="1"/>
  <c r="P275" i="14"/>
  <c r="P274" i="14"/>
  <c r="P273" i="14"/>
  <c r="P272" i="14"/>
  <c r="P271" i="14"/>
  <c r="P270" i="14"/>
  <c r="CE34" i="29" s="1"/>
  <c r="CE38" i="31" s="1"/>
  <c r="P269" i="14"/>
  <c r="BT34" i="29" s="1"/>
  <c r="BT38" i="31" s="1"/>
  <c r="P268" i="14"/>
  <c r="EP34" i="29" s="1"/>
  <c r="EP38" i="31" s="1"/>
  <c r="P267" i="14"/>
  <c r="FG34" i="29" s="1"/>
  <c r="FG38" i="31" s="1"/>
  <c r="P266" i="14"/>
  <c r="CK34" i="29" s="1"/>
  <c r="CK38" i="31" s="1"/>
  <c r="P265" i="14"/>
  <c r="DQ34" i="29" s="1"/>
  <c r="DQ38" i="31" s="1"/>
  <c r="P264" i="14"/>
  <c r="V34" i="29" s="1"/>
  <c r="V38" i="31" s="1"/>
  <c r="P263" i="14"/>
  <c r="CH34" i="29" s="1"/>
  <c r="CH38" i="31" s="1"/>
  <c r="P262" i="14"/>
  <c r="AR34" i="29" s="1"/>
  <c r="AR38" i="31" s="1"/>
  <c r="P261" i="14"/>
  <c r="GW34" i="29" s="1"/>
  <c r="GW38" i="31" s="1"/>
  <c r="P260" i="14"/>
  <c r="GC34" i="29" s="1"/>
  <c r="GC38" i="31" s="1"/>
  <c r="P259" i="14"/>
  <c r="ED34" i="29" s="1"/>
  <c r="ED38" i="31" s="1"/>
  <c r="P258" i="14"/>
  <c r="F34" i="29" s="1"/>
  <c r="F38" i="31" s="1"/>
  <c r="P257" i="14"/>
  <c r="FZ34" i="29" s="1"/>
  <c r="FZ38" i="31" s="1"/>
  <c r="P256" i="14"/>
  <c r="DU34" i="29" s="1"/>
  <c r="DU38" i="31" s="1"/>
  <c r="P255" i="14"/>
  <c r="BG34" i="29" s="1"/>
  <c r="BG38" i="31" s="1"/>
  <c r="P254" i="14"/>
  <c r="FF34" i="29" s="1"/>
  <c r="FF38" i="31" s="1"/>
  <c r="P253" i="14"/>
  <c r="AI34" i="29" s="1"/>
  <c r="AI38" i="31" s="1"/>
  <c r="P252" i="14"/>
  <c r="W34" i="29" s="1"/>
  <c r="W38" i="31" s="1"/>
  <c r="P251" i="14"/>
  <c r="GO34" i="29" s="1"/>
  <c r="GO38" i="31" s="1"/>
  <c r="P250" i="14"/>
  <c r="AT34" i="29" s="1"/>
  <c r="AT38" i="31" s="1"/>
  <c r="P249" i="14"/>
  <c r="JB34" i="29" s="1"/>
  <c r="JB38" i="31" s="1"/>
  <c r="P248" i="14"/>
  <c r="IJ34" i="29" s="1"/>
  <c r="IJ38" i="31" s="1"/>
  <c r="P247" i="14"/>
  <c r="T34" i="29" s="1"/>
  <c r="T38" i="31" s="1"/>
  <c r="P246" i="14"/>
  <c r="AN34" i="29" s="1"/>
  <c r="AN38" i="31" s="1"/>
  <c r="P245" i="14"/>
  <c r="P244" i="14"/>
  <c r="GJ34" i="29" s="1"/>
  <c r="GJ38" i="31" s="1"/>
  <c r="P243" i="14"/>
  <c r="HO34" i="29" s="1"/>
  <c r="HO38" i="31" s="1"/>
  <c r="P242" i="14"/>
  <c r="AK34" i="29" s="1"/>
  <c r="AK38" i="31" s="1"/>
  <c r="P241" i="14"/>
  <c r="FW34" i="29" s="1"/>
  <c r="FW38" i="31" s="1"/>
  <c r="P240" i="14"/>
  <c r="P239" i="14"/>
  <c r="II34" i="29" s="1"/>
  <c r="II38" i="31" s="1"/>
  <c r="P238" i="14"/>
  <c r="GT34" i="29" s="1"/>
  <c r="GT38" i="31" s="1"/>
  <c r="P237" i="14"/>
  <c r="IV34" i="29" s="1"/>
  <c r="IV38" i="31" s="1"/>
  <c r="P236" i="14"/>
  <c r="BQ34" i="29" s="1"/>
  <c r="BQ38" i="31" s="1"/>
  <c r="P235" i="14"/>
  <c r="FU34" i="29" s="1"/>
  <c r="FU38" i="31" s="1"/>
  <c r="P234" i="14"/>
  <c r="IC34" i="29" s="1"/>
  <c r="IC38" i="31" s="1"/>
  <c r="P233" i="14"/>
  <c r="GS34" i="29" s="1"/>
  <c r="GS38" i="31" s="1"/>
  <c r="P232" i="14"/>
  <c r="GR34" i="29" s="1"/>
  <c r="GR38" i="31" s="1"/>
  <c r="P231" i="14"/>
  <c r="CY34" i="29" s="1"/>
  <c r="CY38" i="31" s="1"/>
  <c r="P230" i="14"/>
  <c r="Y34" i="29" s="1"/>
  <c r="Y38" i="31" s="1"/>
  <c r="P229" i="14"/>
  <c r="EQ34" i="29" s="1"/>
  <c r="EQ38" i="31" s="1"/>
  <c r="P228" i="14"/>
  <c r="FY34" i="29" s="1"/>
  <c r="FY38" i="31" s="1"/>
  <c r="P227" i="14"/>
  <c r="HS34" i="29" s="1"/>
  <c r="HS38" i="31" s="1"/>
  <c r="P226" i="14"/>
  <c r="IM34" i="29" s="1"/>
  <c r="IM38" i="31" s="1"/>
  <c r="P225" i="14"/>
  <c r="BF34" i="29" s="1"/>
  <c r="BF38" i="31" s="1"/>
  <c r="P224" i="14"/>
  <c r="S34" i="29" s="1"/>
  <c r="S38" i="31" s="1"/>
  <c r="P223" i="14"/>
  <c r="HR34" i="29" s="1"/>
  <c r="HR38" i="31" s="1"/>
  <c r="P222" i="14"/>
  <c r="CD34" i="29" s="1"/>
  <c r="CD38" i="31" s="1"/>
  <c r="P221" i="14"/>
  <c r="HF34" i="29" s="1"/>
  <c r="HF38" i="31" s="1"/>
  <c r="P220" i="14"/>
  <c r="BX34" i="29" s="1"/>
  <c r="BX38" i="31" s="1"/>
  <c r="P219" i="14"/>
  <c r="AJ34" i="29" s="1"/>
  <c r="AJ38" i="31" s="1"/>
  <c r="P218" i="14"/>
  <c r="AM34" i="29" s="1"/>
  <c r="AM38" i="31" s="1"/>
  <c r="P217" i="14"/>
  <c r="P216" i="14"/>
  <c r="DN34" i="29" s="1"/>
  <c r="DN38" i="31" s="1"/>
  <c r="P215" i="14"/>
  <c r="BK34" i="29" s="1"/>
  <c r="BK38" i="31" s="1"/>
  <c r="P214" i="14"/>
  <c r="P213" i="14"/>
  <c r="AB34" i="29" s="1"/>
  <c r="AB38" i="31" s="1"/>
  <c r="P212" i="14"/>
  <c r="N34" i="29" s="1"/>
  <c r="N38" i="31" s="1"/>
  <c r="P211" i="14"/>
  <c r="CL34" i="29" s="1"/>
  <c r="CL38" i="31" s="1"/>
  <c r="P210" i="14"/>
  <c r="EK34" i="29" s="1"/>
  <c r="EK38" i="31" s="1"/>
  <c r="P209" i="14"/>
  <c r="DB34" i="29" s="1"/>
  <c r="DB38" i="31" s="1"/>
  <c r="P208" i="14"/>
  <c r="HE34" i="29" s="1"/>
  <c r="HE38" i="31" s="1"/>
  <c r="P207" i="14"/>
  <c r="K34" i="29" s="1"/>
  <c r="K38" i="31" s="1"/>
  <c r="P206" i="14"/>
  <c r="FN34" i="29" s="1"/>
  <c r="FN38" i="31" s="1"/>
  <c r="P205" i="14"/>
  <c r="FL34" i="29" s="1"/>
  <c r="FL38" i="31" s="1"/>
  <c r="P204" i="14"/>
  <c r="IH34" i="29" s="1"/>
  <c r="IH38" i="31" s="1"/>
  <c r="P203" i="14"/>
  <c r="CT34" i="29" s="1"/>
  <c r="CT38" i="31" s="1"/>
  <c r="P202" i="14"/>
  <c r="Z34" i="29" s="1"/>
  <c r="Z38" i="31" s="1"/>
  <c r="P201" i="14"/>
  <c r="BA34" i="29" s="1"/>
  <c r="BA38" i="31" s="1"/>
  <c r="P200" i="14"/>
  <c r="DZ34" i="29" s="1"/>
  <c r="DZ38" i="31" s="1"/>
  <c r="P199" i="14"/>
  <c r="GL34" i="29" s="1"/>
  <c r="GL38" i="31" s="1"/>
  <c r="P198" i="14"/>
  <c r="FX34" i="29" s="1"/>
  <c r="FX38" i="31" s="1"/>
  <c r="P197" i="14"/>
  <c r="BN34" i="29" s="1"/>
  <c r="BN38" i="31" s="1"/>
  <c r="P196" i="14"/>
  <c r="GB34" i="29" s="1"/>
  <c r="GB38" i="31" s="1"/>
  <c r="P195" i="14"/>
  <c r="DR34" i="29" s="1"/>
  <c r="DR38" i="31" s="1"/>
  <c r="P194" i="14"/>
  <c r="CQ34" i="29" s="1"/>
  <c r="CQ38" i="31" s="1"/>
  <c r="P193" i="14"/>
  <c r="DI34" i="29" s="1"/>
  <c r="DI38" i="31" s="1"/>
  <c r="P192" i="14"/>
  <c r="JD34" i="29" s="1"/>
  <c r="JD38" i="31" s="1"/>
  <c r="P191" i="14"/>
  <c r="CV34" i="29" s="1"/>
  <c r="CV38" i="31" s="1"/>
  <c r="P190" i="14"/>
  <c r="P189" i="14"/>
  <c r="AQ34" i="29" s="1"/>
  <c r="AQ38" i="31" s="1"/>
  <c r="P188" i="14"/>
  <c r="E34" i="29" s="1"/>
  <c r="E38" i="31" s="1"/>
  <c r="P187" i="14"/>
  <c r="L34" i="29" s="1"/>
  <c r="L38" i="31" s="1"/>
  <c r="P186" i="14"/>
  <c r="FO34" i="29" s="1"/>
  <c r="FO38" i="31" s="1"/>
  <c r="P185" i="14"/>
  <c r="BS34" i="29" s="1"/>
  <c r="BS38" i="31" s="1"/>
  <c r="P184" i="14"/>
  <c r="P183" i="14"/>
  <c r="CN34" i="29" s="1"/>
  <c r="CN38" i="31" s="1"/>
  <c r="P182" i="14"/>
  <c r="DX34" i="29" s="1"/>
  <c r="DX38" i="31" s="1"/>
  <c r="P181" i="14"/>
  <c r="DF34" i="29" s="1"/>
  <c r="DF38" i="31" s="1"/>
  <c r="P180" i="14"/>
  <c r="FP34" i="29" s="1"/>
  <c r="FP38" i="31" s="1"/>
  <c r="P179" i="14"/>
  <c r="IR34" i="29" s="1"/>
  <c r="IR38" i="31" s="1"/>
  <c r="P178" i="14"/>
  <c r="IO34" i="29" s="1"/>
  <c r="IO38" i="31" s="1"/>
  <c r="P177" i="14"/>
  <c r="BR34" i="29" s="1"/>
  <c r="BR38" i="31" s="1"/>
  <c r="P176" i="14"/>
  <c r="EO34" i="29" s="1"/>
  <c r="EO38" i="31" s="1"/>
  <c r="P175" i="14"/>
  <c r="AD34" i="29" s="1"/>
  <c r="AD38" i="31" s="1"/>
  <c r="P174" i="14"/>
  <c r="DC34" i="29" s="1"/>
  <c r="DC38" i="31" s="1"/>
  <c r="P173" i="14"/>
  <c r="EE34" i="29" s="1"/>
  <c r="EE38" i="31" s="1"/>
  <c r="P172" i="14"/>
  <c r="EB34" i="29" s="1"/>
  <c r="EB38" i="31" s="1"/>
  <c r="P171" i="14"/>
  <c r="DJ34" i="29" s="1"/>
  <c r="DJ38" i="31" s="1"/>
  <c r="P170" i="14"/>
  <c r="CF34" i="29" s="1"/>
  <c r="CF38" i="31" s="1"/>
  <c r="P169" i="14"/>
  <c r="P168" i="14"/>
  <c r="AF34" i="29" s="1"/>
  <c r="AF38" i="31" s="1"/>
  <c r="P167" i="14"/>
  <c r="JE34" i="29" s="1"/>
  <c r="JE38" i="31" s="1"/>
  <c r="P166" i="14"/>
  <c r="GG34" i="29" s="1"/>
  <c r="GG38" i="31" s="1"/>
  <c r="P165" i="14"/>
  <c r="AL34" i="29" s="1"/>
  <c r="AL38" i="31" s="1"/>
  <c r="P164" i="14"/>
  <c r="P163" i="14"/>
  <c r="EM34" i="29" s="1"/>
  <c r="EM38" i="31" s="1"/>
  <c r="P162" i="14"/>
  <c r="EH34" i="29" s="1"/>
  <c r="EH38" i="31" s="1"/>
  <c r="P161" i="14"/>
  <c r="BY34" i="29" s="1"/>
  <c r="BY38" i="31" s="1"/>
  <c r="P160" i="14"/>
  <c r="J34" i="29" s="1"/>
  <c r="J38" i="31" s="1"/>
  <c r="P159" i="14"/>
  <c r="BW34" i="29" s="1"/>
  <c r="BW38" i="31" s="1"/>
  <c r="P158" i="14"/>
  <c r="GI34" i="29" s="1"/>
  <c r="GI38" i="31" s="1"/>
  <c r="P157" i="14"/>
  <c r="BO34" i="29" s="1"/>
  <c r="BO38" i="31" s="1"/>
  <c r="P156" i="14"/>
  <c r="JA34" i="29" s="1"/>
  <c r="JA38" i="31" s="1"/>
  <c r="P155" i="14"/>
  <c r="IK34" i="29" s="1"/>
  <c r="IK38" i="31" s="1"/>
  <c r="P154" i="14"/>
  <c r="D34" i="29" s="1"/>
  <c r="D38" i="31" s="1"/>
  <c r="P153" i="14"/>
  <c r="DE34" i="29" s="1"/>
  <c r="DE38" i="31" s="1"/>
  <c r="P152" i="14"/>
  <c r="I34" i="29" s="1"/>
  <c r="I38" i="31" s="1"/>
  <c r="P151" i="14"/>
  <c r="AC34" i="29" s="1"/>
  <c r="AC38" i="31" s="1"/>
  <c r="P150" i="14"/>
  <c r="BJ34" i="29" s="1"/>
  <c r="BJ38" i="31" s="1"/>
  <c r="P149" i="14"/>
  <c r="CJ34" i="29" s="1"/>
  <c r="CJ38" i="31" s="1"/>
  <c r="P148" i="14"/>
  <c r="GH34" i="29" s="1"/>
  <c r="GH38" i="31" s="1"/>
  <c r="P147" i="14"/>
  <c r="X34" i="29" s="1"/>
  <c r="X38" i="31" s="1"/>
  <c r="P146" i="14"/>
  <c r="HX34" i="29" s="1"/>
  <c r="HX38" i="31" s="1"/>
  <c r="P145" i="14"/>
  <c r="GF34" i="29" s="1"/>
  <c r="GF38" i="31" s="1"/>
  <c r="P144" i="14"/>
  <c r="P143" i="14"/>
  <c r="HL34" i="29" s="1"/>
  <c r="HL38" i="31" s="1"/>
  <c r="P142" i="14"/>
  <c r="EF34" i="29" s="1"/>
  <c r="EF38" i="31" s="1"/>
  <c r="P141" i="14"/>
  <c r="DO34" i="29" s="1"/>
  <c r="DO38" i="31" s="1"/>
  <c r="P140" i="14"/>
  <c r="IU34" i="29" s="1"/>
  <c r="IU38" i="31" s="1"/>
  <c r="P139" i="14"/>
  <c r="P138" i="14"/>
  <c r="AP34" i="29" s="1"/>
  <c r="AP38" i="31" s="1"/>
  <c r="P137" i="14"/>
  <c r="HG34" i="29" s="1"/>
  <c r="HG38" i="31" s="1"/>
  <c r="P136" i="14"/>
  <c r="DK34" i="29" s="1"/>
  <c r="DK38" i="31" s="1"/>
  <c r="P135" i="14"/>
  <c r="GM34" i="29" s="1"/>
  <c r="GM38" i="31" s="1"/>
  <c r="P134" i="14"/>
  <c r="IN34" i="29" s="1"/>
  <c r="IN38" i="31" s="1"/>
  <c r="P133" i="14"/>
  <c r="P132" i="14"/>
  <c r="BZ34" i="29" s="1"/>
  <c r="BZ38" i="31" s="1"/>
  <c r="P131" i="14"/>
  <c r="GU34" i="29" s="1"/>
  <c r="GU38" i="31" s="1"/>
  <c r="P130" i="14"/>
  <c r="JG34" i="29" s="1"/>
  <c r="JG38" i="31" s="1"/>
  <c r="P129" i="14"/>
  <c r="AS34" i="29" s="1"/>
  <c r="AS38" i="31" s="1"/>
  <c r="P128" i="14"/>
  <c r="HN34" i="29" s="1"/>
  <c r="HN38" i="31" s="1"/>
  <c r="P127" i="14"/>
  <c r="FC34" i="29" s="1"/>
  <c r="FC38" i="31" s="1"/>
  <c r="P126" i="14"/>
  <c r="AH34" i="29" s="1"/>
  <c r="AH38" i="31" s="1"/>
  <c r="P125" i="14"/>
  <c r="P124" i="14"/>
  <c r="DP34" i="29" s="1"/>
  <c r="DP38" i="31" s="1"/>
  <c r="P123" i="14"/>
  <c r="IW34" i="29" s="1"/>
  <c r="IW38" i="31" s="1"/>
  <c r="P122" i="14"/>
  <c r="AU34" i="29" s="1"/>
  <c r="AU38" i="31" s="1"/>
  <c r="P121" i="14"/>
  <c r="CX34" i="29" s="1"/>
  <c r="CX38" i="31" s="1"/>
  <c r="P120" i="14"/>
  <c r="CM34" i="29" s="1"/>
  <c r="CM38" i="31" s="1"/>
  <c r="P119" i="14"/>
  <c r="AZ34" i="29" s="1"/>
  <c r="AZ38" i="31" s="1"/>
  <c r="P118" i="14"/>
  <c r="IX34" i="29" s="1"/>
  <c r="IX38" i="31" s="1"/>
  <c r="P117" i="14"/>
  <c r="IS34" i="29" s="1"/>
  <c r="IS38" i="31" s="1"/>
  <c r="P116" i="14"/>
  <c r="FH34" i="29" s="1"/>
  <c r="FH38" i="31" s="1"/>
  <c r="P115" i="14"/>
  <c r="EG34" i="29" s="1"/>
  <c r="EG38" i="31" s="1"/>
  <c r="P114" i="14"/>
  <c r="FK34" i="29" s="1"/>
  <c r="FK38" i="31" s="1"/>
  <c r="P113" i="14"/>
  <c r="P112" i="14"/>
  <c r="FS34" i="29" s="1"/>
  <c r="FS38" i="31" s="1"/>
  <c r="P111" i="14"/>
  <c r="EJ34" i="29" s="1"/>
  <c r="EJ38" i="31" s="1"/>
  <c r="P110" i="14"/>
  <c r="EL34" i="29" s="1"/>
  <c r="EL38" i="31" s="1"/>
  <c r="P109" i="14"/>
  <c r="CC34" i="29" s="1"/>
  <c r="CC38" i="31" s="1"/>
  <c r="P108" i="14"/>
  <c r="FD34" i="29" s="1"/>
  <c r="FD38" i="31" s="1"/>
  <c r="P107" i="14"/>
  <c r="HJ34" i="29" s="1"/>
  <c r="HJ38" i="31" s="1"/>
  <c r="P106" i="14"/>
  <c r="DV34" i="29" s="1"/>
  <c r="DV38" i="31" s="1"/>
  <c r="P105" i="14"/>
  <c r="P104" i="14"/>
  <c r="AV34" i="29" s="1"/>
  <c r="AV38" i="31" s="1"/>
  <c r="P103" i="14"/>
  <c r="DD34" i="29" s="1"/>
  <c r="DD38" i="31" s="1"/>
  <c r="P102" i="14"/>
  <c r="AE34" i="29" s="1"/>
  <c r="AE38" i="31" s="1"/>
  <c r="P101" i="14"/>
  <c r="HM34" i="29" s="1"/>
  <c r="HM38" i="31" s="1"/>
  <c r="P100" i="14"/>
  <c r="EY34" i="29" s="1"/>
  <c r="EY38" i="31" s="1"/>
  <c r="P99" i="14"/>
  <c r="U34" i="29" s="1"/>
  <c r="U38" i="31" s="1"/>
  <c r="P98" i="14"/>
  <c r="HI34" i="29" s="1"/>
  <c r="HI38" i="31" s="1"/>
  <c r="P97" i="14"/>
  <c r="IZ34" i="29" s="1"/>
  <c r="IZ38" i="31" s="1"/>
  <c r="P96" i="14"/>
  <c r="FQ34" i="29" s="1"/>
  <c r="FQ38" i="31" s="1"/>
  <c r="P95" i="14"/>
  <c r="Q34" i="29" s="1"/>
  <c r="Q38" i="31" s="1"/>
  <c r="P94" i="14"/>
  <c r="IQ34" i="29" s="1"/>
  <c r="IQ38" i="31" s="1"/>
  <c r="P93" i="14"/>
  <c r="EW34" i="29" s="1"/>
  <c r="EW38" i="31" s="1"/>
  <c r="P92" i="14"/>
  <c r="HC34" i="29" s="1"/>
  <c r="HC38" i="31" s="1"/>
  <c r="P91" i="14"/>
  <c r="BB34" i="29" s="1"/>
  <c r="BB38" i="31" s="1"/>
  <c r="P90" i="14"/>
  <c r="CU34" i="29" s="1"/>
  <c r="CU38" i="31" s="1"/>
  <c r="P89" i="14"/>
  <c r="CO34" i="29" s="1"/>
  <c r="CO38" i="31" s="1"/>
  <c r="P88" i="14"/>
  <c r="P87" i="14"/>
  <c r="HA34" i="29" s="1"/>
  <c r="HA38" i="31" s="1"/>
  <c r="P86" i="14"/>
  <c r="EV34" i="29" s="1"/>
  <c r="EV38" i="31" s="1"/>
  <c r="P85" i="14"/>
  <c r="IY34" i="29" s="1"/>
  <c r="IY38" i="31" s="1"/>
  <c r="P84" i="14"/>
  <c r="HH34" i="29" s="1"/>
  <c r="HH38" i="31" s="1"/>
  <c r="P83" i="14"/>
  <c r="AW34" i="29" s="1"/>
  <c r="AW38" i="31" s="1"/>
  <c r="P82" i="14"/>
  <c r="CP34" i="29" s="1"/>
  <c r="CP38" i="31" s="1"/>
  <c r="P81" i="14"/>
  <c r="GA34" i="29" s="1"/>
  <c r="GA38" i="31" s="1"/>
  <c r="P80" i="14"/>
  <c r="HB34" i="29" s="1"/>
  <c r="HB38" i="31" s="1"/>
  <c r="P79" i="14"/>
  <c r="FI34" i="29" s="1"/>
  <c r="FI38" i="31" s="1"/>
  <c r="P78" i="14"/>
  <c r="DY34" i="29" s="1"/>
  <c r="DY38" i="31" s="1"/>
  <c r="P77" i="14"/>
  <c r="FE34" i="29" s="1"/>
  <c r="FE38" i="31" s="1"/>
  <c r="P76" i="14"/>
  <c r="FT34" i="29" s="1"/>
  <c r="FT38" i="31" s="1"/>
  <c r="P75" i="14"/>
  <c r="DH34" i="29" s="1"/>
  <c r="DH38" i="31" s="1"/>
  <c r="P74" i="14"/>
  <c r="HU34" i="29" s="1"/>
  <c r="HU38" i="31" s="1"/>
  <c r="P73" i="14"/>
  <c r="CG34" i="29" s="1"/>
  <c r="CG38" i="31" s="1"/>
  <c r="P72" i="14"/>
  <c r="P71" i="14"/>
  <c r="CI34" i="29" s="1"/>
  <c r="CI38" i="31" s="1"/>
  <c r="P70" i="14"/>
  <c r="GX34" i="29" s="1"/>
  <c r="GX38" i="31" s="1"/>
  <c r="P69" i="14"/>
  <c r="HD34" i="29" s="1"/>
  <c r="HD38" i="31" s="1"/>
  <c r="P68" i="14"/>
  <c r="ES34" i="29" s="1"/>
  <c r="ES38" i="31" s="1"/>
  <c r="P67" i="14"/>
  <c r="EA34" i="29" s="1"/>
  <c r="EA38" i="31" s="1"/>
  <c r="P66" i="14"/>
  <c r="JF34" i="29" s="1"/>
  <c r="JF38" i="31" s="1"/>
  <c r="P65" i="14"/>
  <c r="EX34" i="29" s="1"/>
  <c r="EX38" i="31" s="1"/>
  <c r="P64" i="14"/>
  <c r="HT34" i="29" s="1"/>
  <c r="HT38" i="31" s="1"/>
  <c r="P63" i="14"/>
  <c r="HZ34" i="29" s="1"/>
  <c r="HZ38" i="31" s="1"/>
  <c r="P62" i="14"/>
  <c r="BI34" i="29" s="1"/>
  <c r="BI38" i="31" s="1"/>
  <c r="P61" i="14"/>
  <c r="P34" i="29" s="1"/>
  <c r="P38" i="31" s="1"/>
  <c r="P60" i="14"/>
  <c r="O34" i="29" s="1"/>
  <c r="O38" i="31" s="1"/>
  <c r="P59" i="14"/>
  <c r="GE34" i="29" s="1"/>
  <c r="GE38" i="31" s="1"/>
  <c r="P58" i="14"/>
  <c r="BH34" i="29" s="1"/>
  <c r="BH38" i="31" s="1"/>
  <c r="P57" i="14"/>
  <c r="FV34" i="29" s="1"/>
  <c r="FV38" i="31" s="1"/>
  <c r="P56" i="14"/>
  <c r="HV34" i="29" s="1"/>
  <c r="HV38" i="31" s="1"/>
  <c r="P55" i="14"/>
  <c r="IF34" i="29" s="1"/>
  <c r="IF38" i="31" s="1"/>
  <c r="P54" i="14"/>
  <c r="M34" i="29" s="1"/>
  <c r="M38" i="31" s="1"/>
  <c r="P53" i="14"/>
  <c r="BV34" i="29" s="1"/>
  <c r="BV38" i="31" s="1"/>
  <c r="P52" i="14"/>
  <c r="FB34" i="29" s="1"/>
  <c r="FB38" i="31" s="1"/>
  <c r="P51" i="14"/>
  <c r="P50" i="14"/>
  <c r="BC34" i="29" s="1"/>
  <c r="BC38" i="31" s="1"/>
  <c r="P49" i="14"/>
  <c r="HK34" i="29" s="1"/>
  <c r="HK38" i="31" s="1"/>
  <c r="P48" i="14"/>
  <c r="FA34" i="29" s="1"/>
  <c r="FA38" i="31" s="1"/>
  <c r="P47" i="14"/>
  <c r="EZ34" i="29" s="1"/>
  <c r="EZ38" i="31" s="1"/>
  <c r="P46" i="14"/>
  <c r="DM34" i="29" s="1"/>
  <c r="DM38" i="31" s="1"/>
  <c r="P45" i="14"/>
  <c r="G34" i="29" s="1"/>
  <c r="G38" i="31" s="1"/>
  <c r="P44" i="14"/>
  <c r="C34" i="29" s="1"/>
  <c r="C38" i="31" s="1"/>
  <c r="P43" i="14"/>
  <c r="JC34" i="29" s="1"/>
  <c r="JC38" i="31" s="1"/>
  <c r="P42" i="14"/>
  <c r="GP34" i="29" s="1"/>
  <c r="GP38" i="31" s="1"/>
  <c r="P41" i="14"/>
  <c r="IB34" i="29" s="1"/>
  <c r="IB38" i="31" s="1"/>
  <c r="P40" i="14"/>
  <c r="IE34" i="29" s="1"/>
  <c r="IE38" i="31" s="1"/>
  <c r="P39" i="14"/>
  <c r="BU34" i="29" s="1"/>
  <c r="BU38" i="31" s="1"/>
  <c r="P38" i="14"/>
  <c r="AO34" i="29" s="1"/>
  <c r="AO38" i="31" s="1"/>
  <c r="P37" i="14"/>
  <c r="HQ34" i="29" s="1"/>
  <c r="HQ38" i="31" s="1"/>
  <c r="P36" i="14"/>
  <c r="AA34" i="29" s="1"/>
  <c r="AA38" i="31" s="1"/>
  <c r="P35" i="14"/>
  <c r="BD34" i="29" s="1"/>
  <c r="BD38" i="31" s="1"/>
  <c r="P34" i="14"/>
  <c r="BE34" i="29" s="1"/>
  <c r="BE38" i="31" s="1"/>
  <c r="P33" i="14"/>
  <c r="ID34" i="29" s="1"/>
  <c r="ID38" i="31" s="1"/>
  <c r="P32" i="14"/>
  <c r="IP34" i="29" s="1"/>
  <c r="IP38" i="31" s="1"/>
  <c r="P31" i="14"/>
  <c r="IT34" i="29" s="1"/>
  <c r="IT38" i="31" s="1"/>
  <c r="P30" i="14"/>
  <c r="ER34" i="29" s="1"/>
  <c r="ER38" i="31" s="1"/>
  <c r="P29" i="14"/>
  <c r="IA34" i="29" s="1"/>
  <c r="IA38" i="31" s="1"/>
  <c r="P28" i="14"/>
  <c r="CB34" i="29" s="1"/>
  <c r="CB38" i="31" s="1"/>
  <c r="P27" i="14"/>
  <c r="EI34" i="29" s="1"/>
  <c r="EI38" i="31" s="1"/>
  <c r="P26" i="14"/>
  <c r="AY34" i="29" s="1"/>
  <c r="AY38" i="31" s="1"/>
  <c r="P25" i="14"/>
  <c r="HW34" i="29" s="1"/>
  <c r="HW38" i="31" s="1"/>
  <c r="P24" i="14"/>
  <c r="AX34" i="29" s="1"/>
  <c r="AX38" i="31" s="1"/>
  <c r="P23" i="14"/>
  <c r="DL34" i="29" s="1"/>
  <c r="DL38" i="31" s="1"/>
  <c r="P22" i="14"/>
  <c r="BP34" i="29" s="1"/>
  <c r="BP38" i="31" s="1"/>
  <c r="P21" i="14"/>
  <c r="P20" i="14"/>
  <c r="P19" i="14"/>
  <c r="R34" i="29" s="1"/>
  <c r="R38" i="31" s="1"/>
  <c r="P18" i="14"/>
  <c r="GK34" i="29" s="1"/>
  <c r="GK38" i="31" s="1"/>
  <c r="P17" i="14"/>
  <c r="P16" i="14"/>
  <c r="FJ34" i="29" s="1"/>
  <c r="FJ38" i="31" s="1"/>
  <c r="P15" i="14"/>
  <c r="FM34" i="29" s="1"/>
  <c r="FM38" i="31" s="1"/>
  <c r="P14" i="14"/>
  <c r="HP34" i="29" s="1"/>
  <c r="HP38" i="31" s="1"/>
  <c r="P13" i="14"/>
  <c r="HY34" i="29" s="1"/>
  <c r="HY38" i="31" s="1"/>
  <c r="P12" i="14"/>
  <c r="DT34" i="29" s="1"/>
  <c r="DT38" i="31" s="1"/>
  <c r="P11" i="14"/>
  <c r="GY34" i="29" s="1"/>
  <c r="GY38" i="31" s="1"/>
  <c r="P10" i="14"/>
  <c r="EN34" i="29" s="1"/>
  <c r="EN38" i="31" s="1"/>
  <c r="P9" i="14"/>
  <c r="GQ34" i="29" s="1"/>
  <c r="GQ38" i="31" s="1"/>
  <c r="P8" i="14"/>
  <c r="AG34" i="29" s="1"/>
  <c r="AG38" i="31" s="1"/>
  <c r="P7" i="14"/>
  <c r="IL34" i="29" s="1"/>
  <c r="IL38" i="31" s="1"/>
  <c r="P6" i="14"/>
  <c r="CZ34" i="29" s="1"/>
  <c r="CZ38" i="31" s="1"/>
  <c r="P5" i="14"/>
  <c r="EC34" i="29" s="1"/>
  <c r="EC38" i="31" s="1"/>
  <c r="P4" i="14"/>
  <c r="GN34" i="29" s="1"/>
  <c r="GN38" i="31" s="1"/>
  <c r="P3" i="14"/>
  <c r="GD34" i="29" s="1"/>
  <c r="GD38" i="31" s="1"/>
  <c r="Q4" i="4"/>
  <c r="BE33" i="29" s="1"/>
  <c r="Q5" i="4"/>
  <c r="Q6" i="4"/>
  <c r="AO33" i="29" s="1"/>
  <c r="Q7" i="4"/>
  <c r="Y33" i="29" s="1"/>
  <c r="Q8" i="4"/>
  <c r="L33" i="29" s="1"/>
  <c r="Q9" i="4"/>
  <c r="HV33" i="29" s="1"/>
  <c r="Q10" i="4"/>
  <c r="Q11" i="4"/>
  <c r="X33" i="29" s="1"/>
  <c r="Q12" i="4"/>
  <c r="JF33" i="29" s="1"/>
  <c r="Q13" i="4"/>
  <c r="HT33" i="29" s="1"/>
  <c r="Q14" i="4"/>
  <c r="IP33" i="29" s="1"/>
  <c r="Q15" i="4"/>
  <c r="AB33" i="29" s="1"/>
  <c r="AB37" i="31" s="1"/>
  <c r="Q16" i="4"/>
  <c r="AE33" i="29" s="1"/>
  <c r="Q17" i="4"/>
  <c r="AD33" i="29" s="1"/>
  <c r="Q18" i="4"/>
  <c r="AF33" i="29" s="1"/>
  <c r="AF37" i="31" s="1"/>
  <c r="Q19" i="4"/>
  <c r="AC33" i="29" s="1"/>
  <c r="Q20" i="4"/>
  <c r="BH33" i="29" s="1"/>
  <c r="Q21" i="4"/>
  <c r="Q22" i="4"/>
  <c r="T33" i="29" s="1"/>
  <c r="Q23" i="4"/>
  <c r="H33" i="29" s="1"/>
  <c r="Q24" i="4"/>
  <c r="IG33" i="29" s="1"/>
  <c r="Q25" i="4"/>
  <c r="BU33" i="29" s="1"/>
  <c r="BU37" i="31" s="1"/>
  <c r="Q26" i="4"/>
  <c r="Q27" i="4"/>
  <c r="CM33" i="29" s="1"/>
  <c r="Q28" i="4"/>
  <c r="IB33" i="29" s="1"/>
  <c r="Q29" i="4"/>
  <c r="CG33" i="29" s="1"/>
  <c r="CG37" i="31" s="1"/>
  <c r="Q30" i="4"/>
  <c r="FP33" i="29" s="1"/>
  <c r="Q31" i="4"/>
  <c r="FQ33" i="29" s="1"/>
  <c r="Q32" i="4"/>
  <c r="BA33" i="29" s="1"/>
  <c r="Q33" i="4"/>
  <c r="FC33" i="29" s="1"/>
  <c r="Q34" i="4"/>
  <c r="FW33" i="29" s="1"/>
  <c r="FW37" i="31" s="1"/>
  <c r="Q35" i="4"/>
  <c r="HK33" i="29" s="1"/>
  <c r="HK37" i="31" s="1"/>
  <c r="Q36" i="4"/>
  <c r="GN33" i="29" s="1"/>
  <c r="Q37" i="4"/>
  <c r="GB33" i="29" s="1"/>
  <c r="Q38" i="4"/>
  <c r="ER33" i="29" s="1"/>
  <c r="Q39" i="4"/>
  <c r="EP33" i="29" s="1"/>
  <c r="Q40" i="4"/>
  <c r="FE33" i="29" s="1"/>
  <c r="Q41" i="4"/>
  <c r="FD33" i="29" s="1"/>
  <c r="Q42" i="4"/>
  <c r="FZ33" i="29" s="1"/>
  <c r="FZ37" i="31" s="1"/>
  <c r="Q43" i="4"/>
  <c r="JA33" i="29" s="1"/>
  <c r="Q44" i="4"/>
  <c r="JG33" i="29" s="1"/>
  <c r="Q45" i="4"/>
  <c r="AI33" i="29" s="1"/>
  <c r="AI37" i="31" s="1"/>
  <c r="Q46" i="4"/>
  <c r="GF33" i="29" s="1"/>
  <c r="GF37" i="31" s="1"/>
  <c r="Q47" i="4"/>
  <c r="BJ33" i="29" s="1"/>
  <c r="Q48" i="4"/>
  <c r="O33" i="29" s="1"/>
  <c r="Q49" i="4"/>
  <c r="DT33" i="29" s="1"/>
  <c r="DT37" i="31" s="1"/>
  <c r="Q50" i="4"/>
  <c r="CK33" i="29" s="1"/>
  <c r="Q51" i="4"/>
  <c r="DM33" i="29" s="1"/>
  <c r="Q52" i="4"/>
  <c r="V33" i="29" s="1"/>
  <c r="Q53" i="4"/>
  <c r="HD33" i="29" s="1"/>
  <c r="HD37" i="31" s="1"/>
  <c r="Q54" i="4"/>
  <c r="FI33" i="29" s="1"/>
  <c r="Q55" i="4"/>
  <c r="HP33" i="29" s="1"/>
  <c r="Q56" i="4"/>
  <c r="EA33" i="29" s="1"/>
  <c r="Q57" i="4"/>
  <c r="HI33" i="29" s="1"/>
  <c r="Q58" i="4"/>
  <c r="EQ33" i="29" s="1"/>
  <c r="EQ37" i="31" s="1"/>
  <c r="Q59" i="4"/>
  <c r="EO33" i="29" s="1"/>
  <c r="Q60" i="4"/>
  <c r="E33" i="29" s="1"/>
  <c r="Q61" i="4"/>
  <c r="EV33" i="29" s="1"/>
  <c r="Q62" i="4"/>
  <c r="IE33" i="29" s="1"/>
  <c r="Q63" i="4"/>
  <c r="Q64" i="4"/>
  <c r="Q65" i="4"/>
  <c r="AX33" i="29" s="1"/>
  <c r="Q66" i="4"/>
  <c r="DI33" i="29" s="1"/>
  <c r="DI37" i="31" s="1"/>
  <c r="Q67" i="4"/>
  <c r="DH33" i="29" s="1"/>
  <c r="Q68" i="4"/>
  <c r="AP33" i="29" s="1"/>
  <c r="AP37" i="31" s="1"/>
  <c r="Q69" i="4"/>
  <c r="Q70" i="4"/>
  <c r="CD33" i="29" s="1"/>
  <c r="Q71" i="4"/>
  <c r="CH33" i="29" s="1"/>
  <c r="Q72" i="4"/>
  <c r="CJ33" i="29" s="1"/>
  <c r="Q73" i="4"/>
  <c r="EC33" i="29" s="1"/>
  <c r="EC37" i="31" s="1"/>
  <c r="Q74" i="4"/>
  <c r="EM33" i="29" s="1"/>
  <c r="Q75" i="4"/>
  <c r="EF33" i="29" s="1"/>
  <c r="Q76" i="4"/>
  <c r="GE33" i="29" s="1"/>
  <c r="Q77" i="4"/>
  <c r="AL33" i="29" s="1"/>
  <c r="AL37" i="31" s="1"/>
  <c r="Q78" i="4"/>
  <c r="GP33" i="29" s="1"/>
  <c r="Q79" i="4"/>
  <c r="F33" i="29" s="1"/>
  <c r="F37" i="31" s="1"/>
  <c r="Q80" i="4"/>
  <c r="R33" i="29" s="1"/>
  <c r="Q81" i="4"/>
  <c r="Q82" i="4"/>
  <c r="HU33" i="29" s="1"/>
  <c r="Q83" i="4"/>
  <c r="Q84" i="4"/>
  <c r="EW33" i="29" s="1"/>
  <c r="Q85" i="4"/>
  <c r="BR33" i="29" s="1"/>
  <c r="BR37" i="31" s="1"/>
  <c r="Q86" i="4"/>
  <c r="W33" i="29" s="1"/>
  <c r="Q87" i="4"/>
  <c r="DU33" i="29" s="1"/>
  <c r="Q88" i="4"/>
  <c r="FM33" i="29" s="1"/>
  <c r="Q89" i="4"/>
  <c r="EY33" i="29" s="1"/>
  <c r="Q90" i="4"/>
  <c r="BP33" i="29" s="1"/>
  <c r="Q91" i="4"/>
  <c r="EU33" i="29" s="1"/>
  <c r="Q92" i="4"/>
  <c r="GI33" i="29" s="1"/>
  <c r="Q93" i="4"/>
  <c r="HQ33" i="29" s="1"/>
  <c r="HQ37" i="31" s="1"/>
  <c r="Q94" i="4"/>
  <c r="GV33" i="29" s="1"/>
  <c r="Q95" i="4"/>
  <c r="DA33" i="29" s="1"/>
  <c r="Q96" i="4"/>
  <c r="JE33" i="29" s="1"/>
  <c r="Q97" i="4"/>
  <c r="AV33" i="29" s="1"/>
  <c r="Q98" i="4"/>
  <c r="IN33" i="29" s="1"/>
  <c r="Q99" i="4"/>
  <c r="CC33" i="29" s="1"/>
  <c r="CC37" i="31" s="1"/>
  <c r="Q100" i="4"/>
  <c r="BW33" i="29" s="1"/>
  <c r="BW37" i="31" s="1"/>
  <c r="Q101" i="4"/>
  <c r="EJ33" i="29" s="1"/>
  <c r="EJ37" i="31" s="1"/>
  <c r="Q102" i="4"/>
  <c r="P33" i="29" s="1"/>
  <c r="P37" i="31" s="1"/>
  <c r="Q103" i="4"/>
  <c r="JD33" i="29" s="1"/>
  <c r="Q104" i="4"/>
  <c r="AW33" i="29" s="1"/>
  <c r="Q105" i="4"/>
  <c r="EG33" i="29" s="1"/>
  <c r="EG37" i="31" s="1"/>
  <c r="Q106" i="4"/>
  <c r="HO33" i="29" s="1"/>
  <c r="Q107" i="4"/>
  <c r="HB33" i="29" s="1"/>
  <c r="Q108" i="4"/>
  <c r="BX33" i="29" s="1"/>
  <c r="Q109" i="4"/>
  <c r="GD33" i="29" s="1"/>
  <c r="Q110" i="4"/>
  <c r="DL33" i="29" s="1"/>
  <c r="Q111" i="4"/>
  <c r="GU33" i="29" s="1"/>
  <c r="Q112" i="4"/>
  <c r="DC33" i="29" s="1"/>
  <c r="Q113" i="4"/>
  <c r="BM33" i="29" s="1"/>
  <c r="BM37" i="31" s="1"/>
  <c r="Q114" i="4"/>
  <c r="CN33" i="29" s="1"/>
  <c r="Q115" i="4"/>
  <c r="HZ33" i="29" s="1"/>
  <c r="Q116" i="4"/>
  <c r="GG33" i="29" s="1"/>
  <c r="Q117" i="4"/>
  <c r="Q118" i="4"/>
  <c r="IR33" i="29" s="1"/>
  <c r="Q119" i="4"/>
  <c r="FT33" i="29" s="1"/>
  <c r="Q120" i="4"/>
  <c r="BK33" i="29" s="1"/>
  <c r="Q121" i="4"/>
  <c r="Q122" i="4"/>
  <c r="FB33" i="29" s="1"/>
  <c r="Q123" i="4"/>
  <c r="DX33" i="29" s="1"/>
  <c r="Q124" i="4"/>
  <c r="HJ33" i="29" s="1"/>
  <c r="Q125" i="4"/>
  <c r="EH33" i="29" s="1"/>
  <c r="Q126" i="4"/>
  <c r="HH33" i="29" s="1"/>
  <c r="Q127" i="4"/>
  <c r="C33" i="29" s="1"/>
  <c r="C37" i="31" s="1"/>
  <c r="Q128" i="4"/>
  <c r="IU33" i="29" s="1"/>
  <c r="Q129" i="4"/>
  <c r="FX33" i="29" s="1"/>
  <c r="Q130" i="4"/>
  <c r="GW33" i="29" s="1"/>
  <c r="Q131" i="4"/>
  <c r="BI33" i="29" s="1"/>
  <c r="Q132" i="4"/>
  <c r="IA33" i="29" s="1"/>
  <c r="Q133" i="4"/>
  <c r="CV33" i="29" s="1"/>
  <c r="CV37" i="31" s="1"/>
  <c r="Q134" i="4"/>
  <c r="BZ33" i="29" s="1"/>
  <c r="Q135" i="4"/>
  <c r="DF33" i="29" s="1"/>
  <c r="DF37" i="31" s="1"/>
  <c r="Q136" i="4"/>
  <c r="HG33" i="29" s="1"/>
  <c r="Q137" i="4"/>
  <c r="EI33" i="29" s="1"/>
  <c r="Q138" i="4"/>
  <c r="FK33" i="29" s="1"/>
  <c r="Q139" i="4"/>
  <c r="BG33" i="29" s="1"/>
  <c r="Q140" i="4"/>
  <c r="GM33" i="29" s="1"/>
  <c r="Q141" i="4"/>
  <c r="EZ33" i="29" s="1"/>
  <c r="Q142" i="4"/>
  <c r="GY33" i="29" s="1"/>
  <c r="Q143" i="4"/>
  <c r="Q33" i="29" s="1"/>
  <c r="Q144" i="4"/>
  <c r="Q145" i="4"/>
  <c r="GT33" i="29" s="1"/>
  <c r="Q146" i="4"/>
  <c r="JH33" i="29" s="1"/>
  <c r="Q147" i="4"/>
  <c r="IC33" i="29" s="1"/>
  <c r="Q148" i="4"/>
  <c r="DG33" i="29" s="1"/>
  <c r="DG37" i="31" s="1"/>
  <c r="Q149" i="4"/>
  <c r="JC33" i="29" s="1"/>
  <c r="Q150" i="4"/>
  <c r="FA33" i="29" s="1"/>
  <c r="Q151" i="4"/>
  <c r="IL33" i="29" s="1"/>
  <c r="Q152" i="4"/>
  <c r="IQ33" i="29" s="1"/>
  <c r="Q153" i="4"/>
  <c r="IV33" i="29" s="1"/>
  <c r="Q154" i="4"/>
  <c r="ID33" i="29" s="1"/>
  <c r="ID37" i="31" s="1"/>
  <c r="Q155" i="4"/>
  <c r="IM33" i="29" s="1"/>
  <c r="Q156" i="4"/>
  <c r="EL33" i="29" s="1"/>
  <c r="Q157" i="4"/>
  <c r="AM33" i="29" s="1"/>
  <c r="Q158" i="4"/>
  <c r="DY33" i="29" s="1"/>
  <c r="Q159" i="4"/>
  <c r="IO33" i="29" s="1"/>
  <c r="Q160" i="4"/>
  <c r="ET33" i="29" s="1"/>
  <c r="ET37" i="31" s="1"/>
  <c r="Q161" i="4"/>
  <c r="FJ33" i="29" s="1"/>
  <c r="Q162" i="4"/>
  <c r="GJ33" i="29" s="1"/>
  <c r="Q163" i="4"/>
  <c r="DB33" i="29" s="1"/>
  <c r="Q164" i="4"/>
  <c r="IF33" i="29" s="1"/>
  <c r="Q165" i="4"/>
  <c r="II33" i="29" s="1"/>
  <c r="Q166" i="4"/>
  <c r="G33" i="29" s="1"/>
  <c r="G37" i="31" s="1"/>
  <c r="Q167" i="4"/>
  <c r="IZ33" i="29" s="1"/>
  <c r="IZ37" i="31" s="1"/>
  <c r="Q168" i="4"/>
  <c r="BY33" i="29" s="1"/>
  <c r="Q169" i="4"/>
  <c r="BF33" i="29" s="1"/>
  <c r="Q170" i="4"/>
  <c r="DZ33" i="29" s="1"/>
  <c r="DZ37" i="31" s="1"/>
  <c r="Q171" i="4"/>
  <c r="CE33" i="29" s="1"/>
  <c r="Q172" i="4"/>
  <c r="HF33" i="29" s="1"/>
  <c r="Q173" i="4"/>
  <c r="FF33" i="29" s="1"/>
  <c r="Q174" i="4"/>
  <c r="DO33" i="29" s="1"/>
  <c r="DO37" i="31" s="1"/>
  <c r="Q175" i="4"/>
  <c r="BD33" i="29" s="1"/>
  <c r="Q176" i="4"/>
  <c r="HL33" i="29" s="1"/>
  <c r="HL37" i="31" s="1"/>
  <c r="Q177" i="4"/>
  <c r="FS33" i="29" s="1"/>
  <c r="Q178" i="4"/>
  <c r="AN33" i="29" s="1"/>
  <c r="Q179" i="4"/>
  <c r="HN33" i="29" s="1"/>
  <c r="Q180" i="4"/>
  <c r="HM33" i="29" s="1"/>
  <c r="Q181" i="4"/>
  <c r="GL33" i="29" s="1"/>
  <c r="Q182" i="4"/>
  <c r="HE33" i="29" s="1"/>
  <c r="Q183" i="4"/>
  <c r="Q184" i="4"/>
  <c r="FO33" i="29" s="1"/>
  <c r="Q185" i="4"/>
  <c r="EK33" i="29" s="1"/>
  <c r="Q186" i="4"/>
  <c r="CR33" i="29" s="1"/>
  <c r="Q187" i="4"/>
  <c r="AT33" i="29" s="1"/>
  <c r="Q188" i="4"/>
  <c r="Q189" i="4"/>
  <c r="CT33" i="29" s="1"/>
  <c r="Q190" i="4"/>
  <c r="FU33" i="29" s="1"/>
  <c r="Q191" i="4"/>
  <c r="HX33" i="29" s="1"/>
  <c r="Q192" i="4"/>
  <c r="IX33" i="29" s="1"/>
  <c r="Q193" i="4"/>
  <c r="ES33" i="29" s="1"/>
  <c r="Q194" i="4"/>
  <c r="Q195" i="4"/>
  <c r="DD33" i="29" s="1"/>
  <c r="Q196" i="4"/>
  <c r="DK33" i="29" s="1"/>
  <c r="Q197" i="4"/>
  <c r="DJ33" i="29" s="1"/>
  <c r="Q198" i="4"/>
  <c r="BC33" i="29" s="1"/>
  <c r="Q199" i="4"/>
  <c r="J33" i="29" s="1"/>
  <c r="J37" i="31" s="1"/>
  <c r="Q200" i="4"/>
  <c r="DQ33" i="29" s="1"/>
  <c r="Q201" i="4"/>
  <c r="GH33" i="29" s="1"/>
  <c r="Q202" i="4"/>
  <c r="CU33" i="29" s="1"/>
  <c r="Q203" i="4"/>
  <c r="AH33" i="29" s="1"/>
  <c r="Q204" i="4"/>
  <c r="DP33" i="29" s="1"/>
  <c r="Q205" i="4"/>
  <c r="BN33" i="29" s="1"/>
  <c r="Q206" i="4"/>
  <c r="GA33" i="29" s="1"/>
  <c r="Q207" i="4"/>
  <c r="CO33" i="29" s="1"/>
  <c r="Q208" i="4"/>
  <c r="FG33" i="29" s="1"/>
  <c r="Q209" i="4"/>
  <c r="Q210" i="4"/>
  <c r="BQ33" i="29" s="1"/>
  <c r="BQ37" i="31" s="1"/>
  <c r="Q211" i="4"/>
  <c r="AY33" i="29" s="1"/>
  <c r="Q212" i="4"/>
  <c r="AU33" i="29" s="1"/>
  <c r="Q213" i="4"/>
  <c r="HS33" i="29" s="1"/>
  <c r="Q214" i="4"/>
  <c r="U33" i="29" s="1"/>
  <c r="Q215" i="4"/>
  <c r="HR33" i="29" s="1"/>
  <c r="Q216" i="4"/>
  <c r="Q217" i="4"/>
  <c r="CQ33" i="29" s="1"/>
  <c r="Q218" i="4"/>
  <c r="AJ33" i="29" s="1"/>
  <c r="AJ37" i="31" s="1"/>
  <c r="Q219" i="4"/>
  <c r="Z33" i="29" s="1"/>
  <c r="Q220" i="4"/>
  <c r="EN33" i="29" s="1"/>
  <c r="EN37" i="31" s="1"/>
  <c r="Q221" i="4"/>
  <c r="EB33" i="29" s="1"/>
  <c r="Q222" i="4"/>
  <c r="Q223" i="4"/>
  <c r="GQ33" i="29" s="1"/>
  <c r="Q224" i="4"/>
  <c r="Q225" i="4"/>
  <c r="AS33" i="29" s="1"/>
  <c r="Q226" i="4"/>
  <c r="Q227" i="4"/>
  <c r="FL33" i="29" s="1"/>
  <c r="Q228" i="4"/>
  <c r="GC33" i="29" s="1"/>
  <c r="Q229" i="4"/>
  <c r="BS33" i="29" s="1"/>
  <c r="Q230" i="4"/>
  <c r="BT33" i="29" s="1"/>
  <c r="Q231" i="4"/>
  <c r="IY33" i="29" s="1"/>
  <c r="Q232" i="4"/>
  <c r="BV33" i="29" s="1"/>
  <c r="BV37" i="31" s="1"/>
  <c r="Q233" i="4"/>
  <c r="Q234" i="4"/>
  <c r="FN33" i="29" s="1"/>
  <c r="Q235" i="4"/>
  <c r="GR33" i="29" s="1"/>
  <c r="Q236" i="4"/>
  <c r="CL33" i="29" s="1"/>
  <c r="Q237" i="4"/>
  <c r="AA33" i="29" s="1"/>
  <c r="Q238" i="4"/>
  <c r="AZ33" i="29" s="1"/>
  <c r="Q239" i="4"/>
  <c r="IT33" i="29" s="1"/>
  <c r="Q240" i="4"/>
  <c r="CB33" i="29" s="1"/>
  <c r="CB37" i="31" s="1"/>
  <c r="Q241" i="4"/>
  <c r="GS33" i="29" s="1"/>
  <c r="Q242" i="4"/>
  <c r="AK33" i="29" s="1"/>
  <c r="AK37" i="31" s="1"/>
  <c r="Q243" i="4"/>
  <c r="HC33" i="29" s="1"/>
  <c r="Q244" i="4"/>
  <c r="IK33" i="29" s="1"/>
  <c r="Q245" i="4"/>
  <c r="HW33" i="29" s="1"/>
  <c r="HW37" i="31" s="1"/>
  <c r="Q246" i="4"/>
  <c r="GO33" i="29" s="1"/>
  <c r="Q247" i="4"/>
  <c r="EE33" i="29" s="1"/>
  <c r="Q248" i="4"/>
  <c r="HA33" i="29" s="1"/>
  <c r="Q249" i="4"/>
  <c r="DN33" i="29" s="1"/>
  <c r="Q250" i="4"/>
  <c r="Q251" i="4"/>
  <c r="IS33" i="29" s="1"/>
  <c r="Q252" i="4"/>
  <c r="Q253" i="4"/>
  <c r="GK33" i="29" s="1"/>
  <c r="Q254" i="4"/>
  <c r="EX33" i="29" s="1"/>
  <c r="Q255" i="4"/>
  <c r="DE33" i="29" s="1"/>
  <c r="Q256" i="4"/>
  <c r="ED33" i="29" s="1"/>
  <c r="Q257" i="4"/>
  <c r="IW33" i="29" s="1"/>
  <c r="Q258" i="4"/>
  <c r="CX33" i="29" s="1"/>
  <c r="Q259" i="4"/>
  <c r="IH33" i="29" s="1"/>
  <c r="Q260" i="4"/>
  <c r="Q261" i="4"/>
  <c r="GX33" i="29" s="1"/>
  <c r="Q262" i="4"/>
  <c r="D33" i="29" s="1"/>
  <c r="Q263" i="4"/>
  <c r="HY33" i="29" s="1"/>
  <c r="Q264" i="4"/>
  <c r="AR33" i="29" s="1"/>
  <c r="Q265" i="4"/>
  <c r="CZ33" i="29" s="1"/>
  <c r="Q266" i="4"/>
  <c r="JB33" i="29" s="1"/>
  <c r="Q267" i="4"/>
  <c r="S33" i="29" s="1"/>
  <c r="Q268" i="4"/>
  <c r="CP33" i="29" s="1"/>
  <c r="Q269" i="4"/>
  <c r="I33" i="29" s="1"/>
  <c r="Q270" i="4"/>
  <c r="CF33" i="29" s="1"/>
  <c r="Q271" i="4"/>
  <c r="AQ33" i="29" s="1"/>
  <c r="Q272" i="4"/>
  <c r="DR33" i="29" s="1"/>
  <c r="DR37" i="31" s="1"/>
  <c r="Q273" i="4"/>
  <c r="N33" i="29" s="1"/>
  <c r="Q274" i="4"/>
  <c r="IJ33" i="29" s="1"/>
  <c r="Q275" i="4"/>
  <c r="M33" i="29" s="1"/>
  <c r="Q276" i="4"/>
  <c r="FV33" i="29" s="1"/>
  <c r="Q277" i="4"/>
  <c r="FY33" i="29" s="1"/>
  <c r="Q278" i="4"/>
  <c r="K33" i="29" s="1"/>
  <c r="K37" i="31" s="1"/>
  <c r="Q279" i="4"/>
  <c r="CY33" i="29" s="1"/>
  <c r="Q280" i="4"/>
  <c r="BB33" i="29" s="1"/>
  <c r="Q281" i="4"/>
  <c r="CI33" i="29" s="1"/>
  <c r="Q282" i="4"/>
  <c r="BO33" i="29" s="1"/>
  <c r="Q283" i="4"/>
  <c r="FH33" i="29" s="1"/>
  <c r="Q284" i="4"/>
  <c r="DW33" i="29" s="1"/>
  <c r="DW37" i="31" s="1"/>
  <c r="Q285" i="4"/>
  <c r="DS33" i="29" s="1"/>
  <c r="DS37" i="31" s="1"/>
  <c r="Q286" i="4"/>
  <c r="Q287" i="4"/>
  <c r="CW33" i="29" s="1"/>
  <c r="Q288" i="4"/>
  <c r="CS33" i="29" s="1"/>
  <c r="CS37" i="31" s="1"/>
  <c r="Q3" i="4"/>
  <c r="AG33" i="29" s="1"/>
  <c r="F344" i="10"/>
  <c r="F345" i="10"/>
  <c r="F346" i="10"/>
  <c r="F347" i="10"/>
  <c r="F348" i="10"/>
  <c r="F349" i="10"/>
  <c r="F350" i="10"/>
  <c r="F351" i="10"/>
  <c r="F352" i="10"/>
  <c r="F353" i="10"/>
  <c r="F354" i="10"/>
  <c r="F355" i="10"/>
  <c r="F356" i="10"/>
  <c r="F357" i="10"/>
  <c r="F358" i="10"/>
  <c r="F359" i="10"/>
  <c r="F360" i="10"/>
  <c r="F361" i="10"/>
  <c r="F362" i="10"/>
  <c r="F363" i="10"/>
  <c r="F364" i="10"/>
  <c r="F365" i="10"/>
  <c r="F366" i="10"/>
  <c r="F367" i="10"/>
  <c r="F368" i="10"/>
  <c r="F369" i="10"/>
  <c r="F370" i="10"/>
  <c r="F371" i="10"/>
  <c r="F372" i="10"/>
  <c r="F373" i="10"/>
  <c r="F374" i="10"/>
  <c r="F375" i="10"/>
  <c r="F376" i="10"/>
  <c r="F377" i="10"/>
  <c r="F378" i="10"/>
  <c r="F379" i="10"/>
  <c r="F380" i="10"/>
  <c r="F381" i="10"/>
  <c r="F382" i="10"/>
  <c r="F383" i="10"/>
  <c r="F384" i="10"/>
  <c r="F385" i="10"/>
  <c r="F386" i="10"/>
  <c r="F387" i="10"/>
  <c r="F388" i="10"/>
  <c r="F389" i="10"/>
  <c r="F390" i="10"/>
  <c r="F391" i="10"/>
  <c r="F392" i="10"/>
  <c r="F393" i="10"/>
  <c r="F394" i="10"/>
  <c r="F395" i="10"/>
  <c r="F396" i="10"/>
  <c r="F397" i="10"/>
  <c r="F398" i="10"/>
  <c r="F399" i="10"/>
  <c r="F400" i="10"/>
  <c r="F401" i="10"/>
  <c r="F402" i="10"/>
  <c r="F403" i="10"/>
  <c r="F404" i="10"/>
  <c r="F405" i="10"/>
  <c r="F406" i="10"/>
  <c r="F407" i="10"/>
  <c r="F408" i="10"/>
  <c r="F409" i="10"/>
  <c r="F410" i="10"/>
  <c r="F411" i="10"/>
  <c r="F412" i="10"/>
  <c r="F413" i="10"/>
  <c r="F414" i="10"/>
  <c r="F415" i="10"/>
  <c r="F416" i="10"/>
  <c r="F417" i="10"/>
  <c r="F418" i="10"/>
  <c r="F419" i="10"/>
  <c r="F420" i="10"/>
  <c r="F421" i="10"/>
  <c r="F422" i="10"/>
  <c r="F423" i="10"/>
  <c r="F424" i="10"/>
  <c r="F425" i="10"/>
  <c r="F426" i="10"/>
  <c r="F427" i="10"/>
  <c r="F428" i="10"/>
  <c r="F429" i="10"/>
  <c r="F430" i="10"/>
  <c r="F431" i="10"/>
  <c r="F432" i="10"/>
  <c r="F433" i="10"/>
  <c r="F434" i="10"/>
  <c r="F435" i="10"/>
  <c r="F436" i="10"/>
  <c r="F437" i="10"/>
  <c r="F438" i="10"/>
  <c r="F439" i="10"/>
  <c r="F440" i="10"/>
  <c r="F441" i="10"/>
  <c r="F442" i="10"/>
  <c r="F443" i="10"/>
  <c r="F444" i="10"/>
  <c r="F445" i="10"/>
  <c r="F446" i="10"/>
  <c r="F447" i="10"/>
  <c r="F448" i="10"/>
  <c r="F449" i="10"/>
  <c r="F450" i="10"/>
  <c r="F451" i="10"/>
  <c r="F452" i="10"/>
  <c r="F453" i="10"/>
  <c r="F454" i="10"/>
  <c r="F455" i="10"/>
  <c r="F456" i="10"/>
  <c r="F457" i="10"/>
  <c r="F458" i="10"/>
  <c r="F459" i="10"/>
  <c r="F460" i="10"/>
  <c r="F461" i="10"/>
  <c r="F462" i="10"/>
  <c r="F463" i="10"/>
  <c r="F464" i="10"/>
  <c r="F465" i="10"/>
  <c r="F466" i="10"/>
  <c r="F467" i="10"/>
  <c r="F468" i="10"/>
  <c r="F469" i="10"/>
  <c r="F470" i="10"/>
  <c r="F471" i="10"/>
  <c r="F472" i="10"/>
  <c r="F473" i="10"/>
  <c r="F474" i="10"/>
  <c r="F475" i="10"/>
  <c r="F476" i="10"/>
  <c r="F477" i="10"/>
  <c r="F478" i="10"/>
  <c r="F479" i="10"/>
  <c r="F480" i="10"/>
  <c r="F481" i="10"/>
  <c r="F482" i="10"/>
  <c r="F483" i="10"/>
  <c r="F484" i="10"/>
  <c r="F485" i="10"/>
  <c r="F486" i="10"/>
  <c r="F487" i="10"/>
  <c r="F488" i="10"/>
  <c r="F489" i="10"/>
  <c r="F490" i="10"/>
  <c r="F491" i="10"/>
  <c r="F492" i="10"/>
  <c r="F493" i="10"/>
  <c r="F494" i="10"/>
  <c r="F495" i="10"/>
  <c r="F496" i="10"/>
  <c r="F497" i="10"/>
  <c r="F498" i="10"/>
  <c r="F499" i="10"/>
  <c r="F500" i="10"/>
  <c r="F501" i="10"/>
  <c r="F502" i="10"/>
  <c r="F503" i="10"/>
  <c r="F504" i="10"/>
  <c r="F505" i="10"/>
  <c r="F506" i="10"/>
  <c r="F507" i="10"/>
  <c r="F508" i="10"/>
  <c r="F509" i="10"/>
  <c r="F510" i="10"/>
  <c r="F511" i="10"/>
  <c r="F512" i="10"/>
  <c r="F513" i="10"/>
  <c r="F514" i="10"/>
  <c r="F515" i="10"/>
  <c r="F516" i="10"/>
  <c r="F517" i="10"/>
  <c r="F518" i="10"/>
  <c r="F519" i="10"/>
  <c r="F520" i="10"/>
  <c r="F521" i="10"/>
  <c r="F522" i="10"/>
  <c r="F523" i="10"/>
  <c r="F524" i="10"/>
  <c r="F525" i="10"/>
  <c r="F526" i="10"/>
  <c r="F527" i="10"/>
  <c r="F528" i="10"/>
  <c r="F529" i="10"/>
  <c r="F530" i="10"/>
  <c r="F531" i="10"/>
  <c r="F532" i="10"/>
  <c r="F533" i="10"/>
  <c r="F534" i="10"/>
  <c r="F535" i="10"/>
  <c r="F536" i="10"/>
  <c r="F537" i="10"/>
  <c r="F538" i="10"/>
  <c r="F539" i="10"/>
  <c r="F540" i="10"/>
  <c r="F541" i="10"/>
  <c r="F542" i="10"/>
  <c r="F543" i="10"/>
  <c r="F544" i="10"/>
  <c r="F545" i="10"/>
  <c r="F546" i="10"/>
  <c r="F547" i="10"/>
  <c r="F548" i="10"/>
  <c r="F549" i="10"/>
  <c r="F550" i="10"/>
  <c r="F551" i="10"/>
  <c r="F552" i="10"/>
  <c r="F553" i="10"/>
  <c r="F554" i="10"/>
  <c r="F555" i="10"/>
  <c r="F556" i="10"/>
  <c r="F557" i="10"/>
  <c r="F558" i="10"/>
  <c r="F559" i="10"/>
  <c r="F560" i="10"/>
  <c r="F561" i="10"/>
  <c r="F562" i="10"/>
  <c r="F563" i="10"/>
  <c r="F564" i="10"/>
  <c r="F565" i="10"/>
  <c r="F566" i="10"/>
  <c r="F567" i="10"/>
  <c r="F568" i="10"/>
  <c r="F569" i="10"/>
  <c r="F570" i="10"/>
  <c r="F571" i="10"/>
  <c r="F572" i="10"/>
  <c r="F573" i="10"/>
  <c r="F574" i="10"/>
  <c r="F575" i="10"/>
  <c r="F576" i="10"/>
  <c r="F577" i="10"/>
  <c r="F578" i="10"/>
  <c r="F579" i="10"/>
  <c r="F580" i="10"/>
  <c r="F581" i="10"/>
  <c r="F582" i="10"/>
  <c r="F583" i="10"/>
  <c r="F584" i="10"/>
  <c r="F585" i="10"/>
  <c r="F586" i="10"/>
  <c r="F587" i="10"/>
  <c r="F588" i="10"/>
  <c r="F589" i="10"/>
  <c r="F590" i="10"/>
  <c r="F591" i="10"/>
  <c r="F592" i="10"/>
  <c r="F593" i="10"/>
  <c r="F594" i="10"/>
  <c r="F595" i="10"/>
  <c r="F596" i="10"/>
  <c r="F597" i="10"/>
  <c r="F598" i="10"/>
  <c r="F599" i="10"/>
  <c r="F600" i="10"/>
  <c r="F601" i="10"/>
  <c r="F602" i="10"/>
  <c r="F603" i="10"/>
  <c r="F604" i="10"/>
  <c r="F605" i="10"/>
  <c r="F606" i="10"/>
  <c r="F607" i="10"/>
  <c r="F608" i="10"/>
  <c r="F609" i="10"/>
  <c r="F610" i="10"/>
  <c r="F611" i="10"/>
  <c r="F612" i="10"/>
  <c r="F613" i="10"/>
  <c r="F614" i="10"/>
  <c r="F615" i="10"/>
  <c r="F616" i="10"/>
  <c r="F617" i="10"/>
  <c r="F618" i="10"/>
  <c r="F619" i="10"/>
  <c r="F620" i="10"/>
  <c r="F621" i="10"/>
  <c r="F622" i="10"/>
  <c r="F343" i="10"/>
  <c r="U6" i="22"/>
  <c r="U7" i="22"/>
  <c r="U8" i="22"/>
  <c r="U9" i="22"/>
  <c r="U10" i="22"/>
  <c r="U11" i="22"/>
  <c r="U12" i="22"/>
  <c r="U13" i="22"/>
  <c r="U14" i="22"/>
  <c r="U15" i="22"/>
  <c r="U16" i="22"/>
  <c r="U17" i="22"/>
  <c r="U18" i="22"/>
  <c r="U19" i="22"/>
  <c r="U20" i="22"/>
  <c r="U21" i="22"/>
  <c r="U22" i="22"/>
  <c r="U23" i="22"/>
  <c r="U24" i="22"/>
  <c r="U25" i="22"/>
  <c r="U26" i="22"/>
  <c r="U27" i="22"/>
  <c r="U28" i="22"/>
  <c r="U29" i="22"/>
  <c r="U30" i="22"/>
  <c r="U31" i="22"/>
  <c r="U32" i="22"/>
  <c r="U33" i="22"/>
  <c r="U34" i="22"/>
  <c r="U35" i="22"/>
  <c r="U36" i="22"/>
  <c r="U37" i="22"/>
  <c r="U38" i="22"/>
  <c r="U39" i="22"/>
  <c r="U40" i="22"/>
  <c r="U41" i="22"/>
  <c r="U42" i="22"/>
  <c r="U43" i="22"/>
  <c r="U44" i="22"/>
  <c r="U45" i="22"/>
  <c r="U46" i="22"/>
  <c r="U47" i="22"/>
  <c r="U48" i="22"/>
  <c r="U49" i="22"/>
  <c r="U50" i="22"/>
  <c r="U5" i="22"/>
  <c r="B28" i="10"/>
  <c r="B29" i="10"/>
  <c r="B30" i="10"/>
  <c r="B31" i="10"/>
  <c r="B32" i="10"/>
  <c r="B33" i="10"/>
  <c r="B34" i="10"/>
  <c r="B35" i="10"/>
  <c r="B36" i="10"/>
  <c r="B37" i="10"/>
  <c r="B38" i="10"/>
  <c r="B287" i="10"/>
  <c r="B39" i="10"/>
  <c r="B40" i="10"/>
  <c r="B41" i="10"/>
  <c r="B42" i="10"/>
  <c r="B43" i="10"/>
  <c r="B44" i="10"/>
  <c r="B45" i="10"/>
  <c r="B46" i="10"/>
  <c r="B47" i="10"/>
  <c r="B48" i="10"/>
  <c r="B49" i="10"/>
  <c r="B50" i="10"/>
  <c r="B51" i="10"/>
  <c r="B52" i="10"/>
  <c r="B53" i="10"/>
  <c r="B54" i="10"/>
  <c r="B55" i="10"/>
  <c r="B56" i="10"/>
  <c r="B57" i="10"/>
  <c r="B58" i="10"/>
  <c r="B59" i="10"/>
  <c r="B60" i="10"/>
  <c r="B61" i="10"/>
  <c r="B62" i="10"/>
  <c r="B220" i="10"/>
  <c r="B63" i="10"/>
  <c r="B221" i="10"/>
  <c r="B222" i="10"/>
  <c r="B64" i="10"/>
  <c r="B65" i="10"/>
  <c r="B223" i="10"/>
  <c r="B224" i="10"/>
  <c r="B225" i="10"/>
  <c r="B66" i="10"/>
  <c r="B67" i="10"/>
  <c r="B68" i="10"/>
  <c r="B69" i="10"/>
  <c r="B70" i="10"/>
  <c r="B226" i="10"/>
  <c r="B227" i="10"/>
  <c r="B228" i="10"/>
  <c r="B71" i="10"/>
  <c r="B72" i="10"/>
  <c r="B229" i="10"/>
  <c r="B73" i="10"/>
  <c r="B74" i="10"/>
  <c r="B230" i="10"/>
  <c r="B231" i="10"/>
  <c r="B232" i="10"/>
  <c r="B75" i="10"/>
  <c r="B233" i="10"/>
  <c r="B234" i="10"/>
  <c r="B235" i="10"/>
  <c r="B236" i="10"/>
  <c r="B76" i="10"/>
  <c r="B237" i="10"/>
  <c r="B238" i="10"/>
  <c r="B239" i="10"/>
  <c r="B240" i="10"/>
  <c r="B77" i="10"/>
  <c r="B78" i="10"/>
  <c r="B241" i="10"/>
  <c r="B79" i="10"/>
  <c r="B242" i="10"/>
  <c r="B243" i="10"/>
  <c r="B80" i="10"/>
  <c r="B81" i="10"/>
  <c r="B244" i="10"/>
  <c r="B245" i="10"/>
  <c r="B82" i="10"/>
  <c r="B246" i="10"/>
  <c r="B247" i="10"/>
  <c r="B83" i="10"/>
  <c r="B248" i="10"/>
  <c r="B249" i="10"/>
  <c r="B250" i="10"/>
  <c r="B251" i="10"/>
  <c r="B84" i="10"/>
  <c r="B85" i="10"/>
  <c r="B86" i="10"/>
  <c r="B87" i="10"/>
  <c r="B88" i="10"/>
  <c r="B89" i="10"/>
  <c r="B90" i="10"/>
  <c r="B91" i="10"/>
  <c r="B92" i="10"/>
  <c r="B93" i="10"/>
  <c r="B94" i="10"/>
  <c r="B288" i="10"/>
  <c r="B95" i="10"/>
  <c r="B98" i="10"/>
  <c r="B99" i="10"/>
  <c r="B252" i="10"/>
  <c r="B253" i="10"/>
  <c r="B254" i="10"/>
  <c r="B289" i="10"/>
  <c r="B100" i="10"/>
  <c r="B255" i="10"/>
  <c r="B290" i="10"/>
  <c r="B256" i="10"/>
  <c r="B257" i="10"/>
  <c r="B258" i="10"/>
  <c r="B259" i="10"/>
  <c r="B101" i="10"/>
  <c r="B260" i="10"/>
  <c r="B291" i="10"/>
  <c r="B103" i="10"/>
  <c r="B104" i="10"/>
  <c r="B105" i="10"/>
  <c r="B106" i="10"/>
  <c r="B261" i="10"/>
  <c r="B107" i="10"/>
  <c r="B108" i="10"/>
  <c r="B109" i="10"/>
  <c r="B110" i="10"/>
  <c r="B111" i="10"/>
  <c r="B262" i="10"/>
  <c r="B112" i="10"/>
  <c r="B113" i="10"/>
  <c r="B263" i="10"/>
  <c r="B114" i="10"/>
  <c r="B264" i="10"/>
  <c r="B292" i="10"/>
  <c r="B293" i="10"/>
  <c r="B294" i="10"/>
  <c r="B295" i="10"/>
  <c r="B296" i="10"/>
  <c r="B297" i="10"/>
  <c r="B298" i="10"/>
  <c r="B299" i="10"/>
  <c r="B300" i="10"/>
  <c r="B116" i="10"/>
  <c r="B265" i="10"/>
  <c r="B266" i="10"/>
  <c r="B117" i="10"/>
  <c r="B301" i="10"/>
  <c r="B267" i="10"/>
  <c r="B4" i="10"/>
  <c r="B302" i="10"/>
  <c r="B268" i="10"/>
  <c r="B303" i="10"/>
  <c r="B304" i="10"/>
  <c r="B5" i="10"/>
  <c r="B118" i="10"/>
  <c r="B6" i="10"/>
  <c r="B269" i="10"/>
  <c r="B305" i="10"/>
  <c r="B270" i="10"/>
  <c r="B306" i="10"/>
  <c r="B307" i="10"/>
  <c r="B308" i="10"/>
  <c r="B309" i="10"/>
  <c r="B271" i="10"/>
  <c r="B272" i="10"/>
  <c r="B273" i="10"/>
  <c r="B310" i="10"/>
  <c r="B274" i="10"/>
  <c r="B275" i="10"/>
  <c r="B311" i="10"/>
  <c r="B312" i="10"/>
  <c r="B313" i="10"/>
  <c r="B276" i="10"/>
  <c r="B314" i="10"/>
  <c r="B315" i="10"/>
  <c r="B316" i="10"/>
  <c r="B317" i="10"/>
  <c r="B277" i="10"/>
  <c r="B318" i="10"/>
  <c r="B319" i="10"/>
  <c r="B320" i="10"/>
  <c r="B321" i="10"/>
  <c r="B120" i="10"/>
  <c r="B322" i="10"/>
  <c r="B323" i="10"/>
  <c r="B121" i="10"/>
  <c r="B122" i="10"/>
  <c r="B324" i="10"/>
  <c r="B325" i="10"/>
  <c r="B326" i="10"/>
  <c r="B278" i="10"/>
  <c r="B123" i="10"/>
  <c r="B327" i="10"/>
  <c r="B328" i="10"/>
  <c r="B329" i="10"/>
  <c r="B124" i="10"/>
  <c r="B330" i="10"/>
  <c r="B125" i="10"/>
  <c r="B126" i="10"/>
  <c r="B127" i="10"/>
  <c r="B128" i="10"/>
  <c r="B130" i="10"/>
  <c r="B131" i="10"/>
  <c r="B132" i="10"/>
  <c r="B133" i="10"/>
  <c r="B134" i="10"/>
  <c r="B135" i="10"/>
  <c r="B331" i="10"/>
  <c r="B137" i="10"/>
  <c r="B138" i="10"/>
  <c r="B140" i="10"/>
  <c r="B141" i="10"/>
  <c r="B279" i="10"/>
  <c r="B144" i="10"/>
  <c r="B332" i="10"/>
  <c r="B145" i="10"/>
  <c r="B146" i="10"/>
  <c r="B147" i="10"/>
  <c r="B148" i="10"/>
  <c r="B149" i="10"/>
  <c r="B150" i="10"/>
  <c r="B151" i="10"/>
  <c r="B280" i="10"/>
  <c r="B152" i="10"/>
  <c r="B153" i="10"/>
  <c r="B333" i="10"/>
  <c r="B281" i="10"/>
  <c r="B154" i="10"/>
  <c r="B282" i="10"/>
  <c r="B156" i="10"/>
  <c r="B283" i="10"/>
  <c r="B157" i="10"/>
  <c r="B158" i="10"/>
  <c r="B160" i="10"/>
  <c r="B162" i="10"/>
  <c r="B163" i="10"/>
  <c r="B164" i="10"/>
  <c r="B165" i="10"/>
  <c r="B167" i="10"/>
  <c r="B169" i="10"/>
  <c r="B171" i="10"/>
  <c r="B284" i="10"/>
  <c r="B172" i="10"/>
  <c r="B174" i="10"/>
  <c r="B175" i="10"/>
  <c r="B176" i="10"/>
  <c r="B178" i="10"/>
  <c r="B179" i="10"/>
  <c r="B334" i="10"/>
  <c r="B180" i="10"/>
  <c r="B181" i="10"/>
  <c r="B182" i="10"/>
  <c r="B183" i="10"/>
  <c r="B184" i="10"/>
  <c r="B185" i="10"/>
  <c r="B186" i="10"/>
  <c r="B187" i="10"/>
  <c r="B189" i="10"/>
  <c r="B190" i="10"/>
  <c r="B191" i="10"/>
  <c r="B192" i="10"/>
  <c r="B193" i="10"/>
  <c r="B194" i="10"/>
  <c r="B195" i="10"/>
  <c r="B196" i="10"/>
  <c r="B197" i="10"/>
  <c r="B198" i="10"/>
  <c r="B199" i="10"/>
  <c r="B200" i="10"/>
  <c r="B201" i="10"/>
  <c r="B203" i="10"/>
  <c r="B205" i="10"/>
  <c r="B206" i="10"/>
  <c r="B208" i="10"/>
  <c r="B209" i="10"/>
  <c r="B210" i="10"/>
  <c r="B211" i="10"/>
  <c r="B212" i="10"/>
  <c r="B213" i="10"/>
  <c r="B285" i="10"/>
  <c r="B335" i="10"/>
  <c r="B214" i="10"/>
  <c r="B215" i="10"/>
  <c r="B217" i="10"/>
  <c r="B336" i="10"/>
  <c r="B337" i="10"/>
  <c r="B218" i="10"/>
  <c r="B286" i="10"/>
  <c r="B8" i="10"/>
  <c r="B9" i="10"/>
  <c r="B10" i="10"/>
  <c r="B11" i="10"/>
  <c r="B12" i="10"/>
  <c r="B13" i="10"/>
  <c r="B14" i="10"/>
  <c r="B15" i="10"/>
  <c r="B16" i="10"/>
  <c r="B17" i="10"/>
  <c r="B18" i="10"/>
  <c r="B19" i="10"/>
  <c r="B20" i="10"/>
  <c r="B21" i="10"/>
  <c r="B22" i="10"/>
  <c r="B23" i="10"/>
  <c r="B24" i="10"/>
  <c r="B25" i="10"/>
  <c r="B26" i="10"/>
  <c r="B27" i="10"/>
  <c r="B219" i="10"/>
  <c r="B7" i="10"/>
  <c r="W6" i="23"/>
  <c r="W7" i="23"/>
  <c r="W8" i="23"/>
  <c r="W9" i="23"/>
  <c r="W10" i="23"/>
  <c r="W11" i="23"/>
  <c r="W12" i="23"/>
  <c r="W13" i="23"/>
  <c r="W14" i="23"/>
  <c r="W15" i="23"/>
  <c r="W16" i="23"/>
  <c r="W17" i="23"/>
  <c r="W18" i="23"/>
  <c r="W19" i="23"/>
  <c r="W20" i="23"/>
  <c r="W21" i="23"/>
  <c r="W22" i="23"/>
  <c r="W23" i="23"/>
  <c r="W24" i="23"/>
  <c r="W25" i="23"/>
  <c r="W26" i="23"/>
  <c r="W27" i="23"/>
  <c r="W28" i="23"/>
  <c r="W29" i="23"/>
  <c r="W30" i="23"/>
  <c r="W31" i="23"/>
  <c r="W32" i="23"/>
  <c r="W33" i="23"/>
  <c r="W34" i="23"/>
  <c r="W35" i="23"/>
  <c r="W36" i="23"/>
  <c r="W37" i="23"/>
  <c r="W38" i="23"/>
  <c r="W39" i="23"/>
  <c r="W40" i="23"/>
  <c r="W41" i="23"/>
  <c r="W42" i="23"/>
  <c r="W43" i="23"/>
  <c r="W44" i="23"/>
  <c r="W45" i="23"/>
  <c r="W46" i="23"/>
  <c r="W47" i="23"/>
  <c r="W48" i="23"/>
  <c r="W49" i="23"/>
  <c r="W50" i="23"/>
  <c r="W51" i="23"/>
  <c r="W5" i="23"/>
  <c r="V6" i="23"/>
  <c r="V7" i="23"/>
  <c r="V8" i="23"/>
  <c r="V9" i="23"/>
  <c r="V10" i="23"/>
  <c r="V11" i="23"/>
  <c r="V12" i="23"/>
  <c r="V13" i="23"/>
  <c r="V14" i="23"/>
  <c r="V15" i="23"/>
  <c r="V16" i="23"/>
  <c r="V17" i="23"/>
  <c r="V18" i="23"/>
  <c r="V19" i="23"/>
  <c r="V20" i="23"/>
  <c r="V21" i="23"/>
  <c r="V22" i="23"/>
  <c r="V23" i="23"/>
  <c r="V24" i="23"/>
  <c r="V25" i="23"/>
  <c r="V26" i="23"/>
  <c r="V27" i="23"/>
  <c r="V28" i="23"/>
  <c r="V29" i="23"/>
  <c r="V30" i="23"/>
  <c r="V31" i="23"/>
  <c r="V32" i="23"/>
  <c r="V33" i="23"/>
  <c r="V34" i="23"/>
  <c r="V35" i="23"/>
  <c r="V36" i="23"/>
  <c r="V37" i="23"/>
  <c r="V38" i="23"/>
  <c r="V39" i="23"/>
  <c r="V40" i="23"/>
  <c r="V41" i="23"/>
  <c r="V42" i="23"/>
  <c r="V43" i="23"/>
  <c r="V44" i="23"/>
  <c r="V45" i="23"/>
  <c r="V46" i="23"/>
  <c r="V47" i="23"/>
  <c r="V48" i="23"/>
  <c r="V49" i="23"/>
  <c r="V50" i="23"/>
  <c r="V51" i="23"/>
  <c r="V5" i="23"/>
  <c r="H28" i="22"/>
  <c r="J28" i="22" s="1"/>
  <c r="M28" i="22" s="1"/>
  <c r="V50" i="22" s="1"/>
  <c r="W50" i="22" s="1"/>
  <c r="H27" i="22"/>
  <c r="J27" i="22" s="1"/>
  <c r="M27" i="22" s="1"/>
  <c r="H26" i="22"/>
  <c r="J26" i="22" s="1"/>
  <c r="M26" i="22" s="1"/>
  <c r="H25" i="22"/>
  <c r="J25" i="22" s="1"/>
  <c r="M25" i="22" s="1"/>
  <c r="H24" i="22"/>
  <c r="J24" i="22" s="1"/>
  <c r="M24" i="22" s="1"/>
  <c r="H23" i="22"/>
  <c r="J23" i="22" s="1"/>
  <c r="M23" i="22" s="1"/>
  <c r="H22" i="22"/>
  <c r="J22" i="22" s="1"/>
  <c r="M22" i="22" s="1"/>
  <c r="V37" i="22" s="1"/>
  <c r="H21" i="22"/>
  <c r="J21" i="22" s="1"/>
  <c r="M21" i="22" s="1"/>
  <c r="H20" i="22"/>
  <c r="J20" i="22" s="1"/>
  <c r="M20" i="22" s="1"/>
  <c r="V33" i="22" s="1"/>
  <c r="H19" i="22"/>
  <c r="J19" i="22" s="1"/>
  <c r="M19" i="22" s="1"/>
  <c r="H18" i="22"/>
  <c r="J18" i="22" s="1"/>
  <c r="M18" i="22" s="1"/>
  <c r="H17" i="22"/>
  <c r="J17" i="22" s="1"/>
  <c r="M17" i="22" s="1"/>
  <c r="V26" i="22" s="1"/>
  <c r="W26" i="22" s="1"/>
  <c r="H16" i="22"/>
  <c r="J16" i="22" s="1"/>
  <c r="M16" i="22" s="1"/>
  <c r="H15" i="22"/>
  <c r="J15" i="22" s="1"/>
  <c r="M15" i="22" s="1"/>
  <c r="V23" i="22" s="1"/>
  <c r="W23" i="22" s="1"/>
  <c r="H14" i="22"/>
  <c r="J14" i="22" s="1"/>
  <c r="M14" i="22" s="1"/>
  <c r="V22" i="22" s="1"/>
  <c r="W22" i="22" s="1"/>
  <c r="H13" i="22"/>
  <c r="J13" i="22" s="1"/>
  <c r="M13" i="22" s="1"/>
  <c r="V21" i="22" s="1"/>
  <c r="H12" i="22"/>
  <c r="J12" i="22" s="1"/>
  <c r="M12" i="22" s="1"/>
  <c r="V20" i="22" s="1"/>
  <c r="W20" i="22" s="1"/>
  <c r="H11" i="22"/>
  <c r="J11" i="22" s="1"/>
  <c r="M11" i="22" s="1"/>
  <c r="H10" i="22"/>
  <c r="J10" i="22" s="1"/>
  <c r="M10" i="22" s="1"/>
  <c r="V17" i="22" s="1"/>
  <c r="H9" i="22"/>
  <c r="J9" i="22" s="1"/>
  <c r="M9" i="22" s="1"/>
  <c r="V16" i="22" s="1"/>
  <c r="H8" i="22"/>
  <c r="J8" i="22" s="1"/>
  <c r="M8" i="22" s="1"/>
  <c r="V15" i="22" s="1"/>
  <c r="W15" i="22" s="1"/>
  <c r="H7" i="22"/>
  <c r="J7" i="22" s="1"/>
  <c r="M7" i="22" s="1"/>
  <c r="H6" i="22"/>
  <c r="J6" i="22" s="1"/>
  <c r="M6" i="22" s="1"/>
  <c r="V9" i="22" s="1"/>
  <c r="H5" i="22"/>
  <c r="I3" i="22"/>
  <c r="G3" i="22"/>
  <c r="F3" i="22"/>
  <c r="E3" i="22"/>
  <c r="C5" i="21"/>
  <c r="B5" i="21"/>
  <c r="X5" i="23" l="1"/>
  <c r="X44" i="23"/>
  <c r="X36" i="23"/>
  <c r="X28" i="23"/>
  <c r="X20" i="23"/>
  <c r="X12" i="23"/>
  <c r="X49" i="23"/>
  <c r="X41" i="23"/>
  <c r="X33" i="23"/>
  <c r="X25" i="23"/>
  <c r="X17" i="23"/>
  <c r="X9" i="23"/>
  <c r="X48" i="23"/>
  <c r="X40" i="23"/>
  <c r="X32" i="23"/>
  <c r="X24" i="23"/>
  <c r="X16" i="23"/>
  <c r="X8" i="23"/>
  <c r="X45" i="23"/>
  <c r="X37" i="23"/>
  <c r="X29" i="23"/>
  <c r="X21" i="23"/>
  <c r="X13" i="23"/>
  <c r="W33" i="22"/>
  <c r="W16" i="22"/>
  <c r="W21" i="22"/>
  <c r="X51" i="23"/>
  <c r="X47" i="23"/>
  <c r="X43" i="23"/>
  <c r="X39" i="23"/>
  <c r="X35" i="23"/>
  <c r="X31" i="23"/>
  <c r="X27" i="23"/>
  <c r="X23" i="23"/>
  <c r="X19" i="23"/>
  <c r="X15" i="23"/>
  <c r="X11" i="23"/>
  <c r="X7" i="23"/>
  <c r="AC37" i="31"/>
  <c r="AC42" i="29"/>
  <c r="W9" i="22"/>
  <c r="W17" i="22"/>
  <c r="W37" i="22"/>
  <c r="X50" i="23"/>
  <c r="X46" i="23"/>
  <c r="X42" i="23"/>
  <c r="X38" i="23"/>
  <c r="X34" i="23"/>
  <c r="X30" i="23"/>
  <c r="X26" i="23"/>
  <c r="X22" i="23"/>
  <c r="X18" i="23"/>
  <c r="X14" i="23"/>
  <c r="X10" i="23"/>
  <c r="X6" i="23"/>
  <c r="JL38" i="31"/>
  <c r="FV42" i="29"/>
  <c r="FV46" i="31" s="1"/>
  <c r="FV37" i="31"/>
  <c r="M42" i="29"/>
  <c r="M46" i="31" s="1"/>
  <c r="M37" i="31"/>
  <c r="AG42" i="29"/>
  <c r="AG46" i="31" s="1"/>
  <c r="AG37" i="31"/>
  <c r="CI42" i="29"/>
  <c r="CI46" i="31" s="1"/>
  <c r="CI37" i="31"/>
  <c r="FY42" i="29"/>
  <c r="FY46" i="31" s="1"/>
  <c r="FY37" i="31"/>
  <c r="N42" i="29"/>
  <c r="N46" i="31" s="1"/>
  <c r="N37" i="31"/>
  <c r="I42" i="29"/>
  <c r="I46" i="31" s="1"/>
  <c r="I37" i="31"/>
  <c r="CZ42" i="29"/>
  <c r="CZ46" i="31" s="1"/>
  <c r="CZ37" i="31"/>
  <c r="GX42" i="29"/>
  <c r="GX46" i="31" s="1"/>
  <c r="GX37" i="31"/>
  <c r="IW42" i="29"/>
  <c r="IW46" i="31" s="1"/>
  <c r="IW37" i="31"/>
  <c r="GK42" i="29"/>
  <c r="GK46" i="31" s="1"/>
  <c r="GK37" i="31"/>
  <c r="DN42" i="29"/>
  <c r="DN46" i="31" s="1"/>
  <c r="DN37" i="31"/>
  <c r="GS42" i="29"/>
  <c r="GS46" i="31" s="1"/>
  <c r="GS37" i="31"/>
  <c r="AA42" i="29"/>
  <c r="AA46" i="31" s="1"/>
  <c r="AA37" i="31"/>
  <c r="BS42" i="29"/>
  <c r="BS46" i="31" s="1"/>
  <c r="BS37" i="31"/>
  <c r="AS42" i="29"/>
  <c r="AS46" i="31" s="1"/>
  <c r="AS37" i="31"/>
  <c r="EB42" i="29"/>
  <c r="EB46" i="31" s="1"/>
  <c r="EB37" i="31"/>
  <c r="CQ42" i="29"/>
  <c r="CQ46" i="31" s="1"/>
  <c r="CQ37" i="31"/>
  <c r="HS42" i="29"/>
  <c r="HS46" i="31" s="1"/>
  <c r="HS37" i="31"/>
  <c r="BN42" i="29"/>
  <c r="BN46" i="31" s="1"/>
  <c r="BN37" i="31"/>
  <c r="GH42" i="29"/>
  <c r="GH46" i="31" s="1"/>
  <c r="GH37" i="31"/>
  <c r="DJ42" i="29"/>
  <c r="DJ46" i="31" s="1"/>
  <c r="DJ37" i="31"/>
  <c r="ES42" i="29"/>
  <c r="ES46" i="31" s="1"/>
  <c r="ES37" i="31"/>
  <c r="CT42" i="29"/>
  <c r="CT46" i="31" s="1"/>
  <c r="CT37" i="31"/>
  <c r="EK42" i="29"/>
  <c r="EK46" i="31" s="1"/>
  <c r="EK37" i="31"/>
  <c r="GL42" i="29"/>
  <c r="GL46" i="31" s="1"/>
  <c r="GL37" i="31"/>
  <c r="FS42" i="29"/>
  <c r="FS46" i="31" s="1"/>
  <c r="FS37" i="31"/>
  <c r="FF42" i="29"/>
  <c r="FF46" i="31" s="1"/>
  <c r="FF37" i="31"/>
  <c r="BF42" i="29"/>
  <c r="BF46" i="31" s="1"/>
  <c r="BF37" i="31"/>
  <c r="II42" i="29"/>
  <c r="II46" i="31" s="1"/>
  <c r="II37" i="31"/>
  <c r="FJ42" i="29"/>
  <c r="FJ46" i="31" s="1"/>
  <c r="FJ37" i="31"/>
  <c r="AM42" i="29"/>
  <c r="AM46" i="31" s="1"/>
  <c r="AM37" i="31"/>
  <c r="IV42" i="29"/>
  <c r="IV46" i="31" s="1"/>
  <c r="IV37" i="31"/>
  <c r="JC42" i="29"/>
  <c r="JC46" i="31" s="1"/>
  <c r="JC37" i="31"/>
  <c r="GT42" i="29"/>
  <c r="GT46" i="31" s="1"/>
  <c r="GT37" i="31"/>
  <c r="EZ42" i="29"/>
  <c r="EZ46" i="31" s="1"/>
  <c r="EZ37" i="31"/>
  <c r="EI42" i="29"/>
  <c r="EI46" i="31" s="1"/>
  <c r="EI37" i="31"/>
  <c r="FX42" i="29"/>
  <c r="FX46" i="31" s="1"/>
  <c r="FX37" i="31"/>
  <c r="EH42" i="29"/>
  <c r="EH46" i="31" s="1"/>
  <c r="EH37" i="31"/>
  <c r="GD42" i="29"/>
  <c r="GD46" i="31" s="1"/>
  <c r="GD37" i="31"/>
  <c r="AV42" i="29"/>
  <c r="AV46" i="31" s="1"/>
  <c r="AV37" i="31"/>
  <c r="EY42" i="29"/>
  <c r="EY46" i="31" s="1"/>
  <c r="EY37" i="31"/>
  <c r="AX42" i="29"/>
  <c r="AX46" i="31" s="1"/>
  <c r="AX37" i="31"/>
  <c r="EV42" i="29"/>
  <c r="EV46" i="31" s="1"/>
  <c r="EV37" i="31"/>
  <c r="HI42" i="29"/>
  <c r="HI46" i="31" s="1"/>
  <c r="HI37" i="31"/>
  <c r="FD42" i="29"/>
  <c r="FD46" i="31" s="1"/>
  <c r="FD37" i="31"/>
  <c r="GB42" i="29"/>
  <c r="GB46" i="31" s="1"/>
  <c r="GB37" i="31"/>
  <c r="FC42" i="29"/>
  <c r="FC46" i="31" s="1"/>
  <c r="FC37" i="31"/>
  <c r="AD42" i="29"/>
  <c r="AD46" i="31" s="1"/>
  <c r="AD37" i="31"/>
  <c r="HT42" i="29"/>
  <c r="HT46" i="31" s="1"/>
  <c r="HT37" i="31"/>
  <c r="HV42" i="29"/>
  <c r="HV46" i="31" s="1"/>
  <c r="HV37" i="31"/>
  <c r="CP42" i="29"/>
  <c r="CP46" i="31" s="1"/>
  <c r="CP37" i="31"/>
  <c r="AR42" i="29"/>
  <c r="AR46" i="31" s="1"/>
  <c r="AR37" i="31"/>
  <c r="ED42" i="29"/>
  <c r="ED46" i="31" s="1"/>
  <c r="ED37" i="31"/>
  <c r="HA42" i="29"/>
  <c r="HA46" i="31" s="1"/>
  <c r="HA37" i="31"/>
  <c r="IK42" i="29"/>
  <c r="IK46" i="31" s="1"/>
  <c r="IK37" i="31"/>
  <c r="CL42" i="29"/>
  <c r="CL46" i="31" s="1"/>
  <c r="CL37" i="31"/>
  <c r="GC42" i="29"/>
  <c r="GC46" i="31" s="1"/>
  <c r="GC37" i="31"/>
  <c r="AU42" i="29"/>
  <c r="AU46" i="31" s="1"/>
  <c r="AU37" i="31"/>
  <c r="FG42" i="29"/>
  <c r="FG46" i="31" s="1"/>
  <c r="FG37" i="31"/>
  <c r="DP42" i="29"/>
  <c r="DP46" i="31" s="1"/>
  <c r="DP37" i="31"/>
  <c r="DQ42" i="29"/>
  <c r="DQ46" i="31" s="1"/>
  <c r="DQ37" i="31"/>
  <c r="DK42" i="29"/>
  <c r="DK46" i="31" s="1"/>
  <c r="DK37" i="31"/>
  <c r="IX42" i="29"/>
  <c r="IX46" i="31" s="1"/>
  <c r="IX37" i="31"/>
  <c r="FO42" i="29"/>
  <c r="FO46" i="31" s="1"/>
  <c r="FO37" i="31"/>
  <c r="HM42" i="29"/>
  <c r="HM46" i="31" s="1"/>
  <c r="HM37" i="31"/>
  <c r="HF42" i="29"/>
  <c r="HF46" i="31" s="1"/>
  <c r="HF37" i="31"/>
  <c r="BY42" i="29"/>
  <c r="BY46" i="31" s="1"/>
  <c r="BY37" i="31"/>
  <c r="IF42" i="29"/>
  <c r="IF46" i="31" s="1"/>
  <c r="IF37" i="31"/>
  <c r="EL42" i="29"/>
  <c r="EL46" i="31" s="1"/>
  <c r="EL37" i="31"/>
  <c r="IQ42" i="29"/>
  <c r="IQ46" i="31" s="1"/>
  <c r="IQ37" i="31"/>
  <c r="GM42" i="29"/>
  <c r="GM46" i="31" s="1"/>
  <c r="GM37" i="31"/>
  <c r="HG42" i="29"/>
  <c r="HG46" i="31" s="1"/>
  <c r="HG37" i="31"/>
  <c r="IA42" i="29"/>
  <c r="IA46" i="31" s="1"/>
  <c r="IA37" i="31"/>
  <c r="IU42" i="29"/>
  <c r="IU46" i="31" s="1"/>
  <c r="IU37" i="31"/>
  <c r="HJ42" i="29"/>
  <c r="HJ46" i="31" s="1"/>
  <c r="HJ37" i="31"/>
  <c r="BK42" i="29"/>
  <c r="BK46" i="31" s="1"/>
  <c r="BK37" i="31"/>
  <c r="GG42" i="29"/>
  <c r="GG46" i="31" s="1"/>
  <c r="GG37" i="31"/>
  <c r="DC42" i="29"/>
  <c r="DC46" i="31" s="1"/>
  <c r="DC37" i="31"/>
  <c r="BX42" i="29"/>
  <c r="BX46" i="31" s="1"/>
  <c r="BX37" i="31"/>
  <c r="AW42" i="29"/>
  <c r="AW46" i="31" s="1"/>
  <c r="AW37" i="31"/>
  <c r="JE42" i="29"/>
  <c r="JE46" i="31" s="1"/>
  <c r="JE37" i="31"/>
  <c r="GI42" i="29"/>
  <c r="GI46" i="31" s="1"/>
  <c r="GI37" i="31"/>
  <c r="FM42" i="29"/>
  <c r="FM46" i="31" s="1"/>
  <c r="FM37" i="31"/>
  <c r="EW42" i="29"/>
  <c r="EW46" i="31" s="1"/>
  <c r="EW37" i="31"/>
  <c r="R42" i="29"/>
  <c r="R46" i="31" s="1"/>
  <c r="R37" i="31"/>
  <c r="GE42" i="29"/>
  <c r="GE46" i="31" s="1"/>
  <c r="GE37" i="31"/>
  <c r="CJ42" i="29"/>
  <c r="CJ46" i="31" s="1"/>
  <c r="CJ37" i="31"/>
  <c r="E42" i="29"/>
  <c r="E46" i="31" s="1"/>
  <c r="E37" i="31"/>
  <c r="EA42" i="29"/>
  <c r="EA46" i="31" s="1"/>
  <c r="EA37" i="31"/>
  <c r="V42" i="29"/>
  <c r="V46" i="31" s="1"/>
  <c r="V37" i="31"/>
  <c r="O42" i="29"/>
  <c r="O46" i="31" s="1"/>
  <c r="O37" i="31"/>
  <c r="JG42" i="29"/>
  <c r="JG46" i="31" s="1"/>
  <c r="JG37" i="31"/>
  <c r="FE42" i="29"/>
  <c r="FE46" i="31" s="1"/>
  <c r="FE37" i="31"/>
  <c r="GN42" i="29"/>
  <c r="GN46" i="31" s="1"/>
  <c r="GN37" i="31"/>
  <c r="BA42" i="29"/>
  <c r="BA46" i="31" s="1"/>
  <c r="BA37" i="31"/>
  <c r="IB42" i="29"/>
  <c r="IB46" i="31" s="1"/>
  <c r="IB37" i="31"/>
  <c r="IG42" i="29"/>
  <c r="IG46" i="31" s="1"/>
  <c r="IG37" i="31"/>
  <c r="BH42" i="29"/>
  <c r="BH46" i="31" s="1"/>
  <c r="BH37" i="31"/>
  <c r="AE42" i="29"/>
  <c r="AE46" i="31" s="1"/>
  <c r="AE37" i="31"/>
  <c r="JF42" i="29"/>
  <c r="JF46" i="31" s="1"/>
  <c r="JF37" i="31"/>
  <c r="L42" i="29"/>
  <c r="L46" i="31" s="1"/>
  <c r="L37" i="31"/>
  <c r="BE42" i="29"/>
  <c r="BE46" i="31" s="1"/>
  <c r="BE37" i="31"/>
  <c r="JN38" i="31"/>
  <c r="JM38" i="31"/>
  <c r="CW42" i="29"/>
  <c r="CW46" i="31" s="1"/>
  <c r="CW37" i="31"/>
  <c r="FH42" i="29"/>
  <c r="FH46" i="31" s="1"/>
  <c r="FH37" i="31"/>
  <c r="AQ42" i="29"/>
  <c r="AQ46" i="31" s="1"/>
  <c r="AQ37" i="31"/>
  <c r="S42" i="29"/>
  <c r="S46" i="31" s="1"/>
  <c r="S37" i="31"/>
  <c r="HY42" i="29"/>
  <c r="HY46" i="31" s="1"/>
  <c r="HY37" i="31"/>
  <c r="IH42" i="29"/>
  <c r="IH46" i="31" s="1"/>
  <c r="IH37" i="31"/>
  <c r="DE42" i="29"/>
  <c r="DE46" i="31" s="1"/>
  <c r="DE37" i="31"/>
  <c r="IS42" i="29"/>
  <c r="IS46" i="31" s="1"/>
  <c r="IS37" i="31"/>
  <c r="EE42" i="29"/>
  <c r="EE46" i="31" s="1"/>
  <c r="EE37" i="31"/>
  <c r="HC42" i="29"/>
  <c r="HC46" i="31" s="1"/>
  <c r="HC37" i="31"/>
  <c r="IT42" i="29"/>
  <c r="IT46" i="31" s="1"/>
  <c r="IT37" i="31"/>
  <c r="GR42" i="29"/>
  <c r="GR46" i="31" s="1"/>
  <c r="GR37" i="31"/>
  <c r="IY42" i="29"/>
  <c r="IY46" i="31" s="1"/>
  <c r="IY37" i="31"/>
  <c r="FL42" i="29"/>
  <c r="FL46" i="31" s="1"/>
  <c r="FL37" i="31"/>
  <c r="GQ42" i="29"/>
  <c r="GQ46" i="31" s="1"/>
  <c r="GQ37" i="31"/>
  <c r="Z42" i="29"/>
  <c r="Z46" i="31" s="1"/>
  <c r="Z37" i="31"/>
  <c r="HR42" i="29"/>
  <c r="HR46" i="31" s="1"/>
  <c r="HR37" i="31"/>
  <c r="AY42" i="29"/>
  <c r="AY46" i="31" s="1"/>
  <c r="AY37" i="31"/>
  <c r="CO42" i="29"/>
  <c r="CO46" i="31" s="1"/>
  <c r="CO37" i="31"/>
  <c r="AH42" i="29"/>
  <c r="AH46" i="31" s="1"/>
  <c r="AH37" i="31"/>
  <c r="DD42" i="29"/>
  <c r="DD46" i="31" s="1"/>
  <c r="DD37" i="31"/>
  <c r="HX42" i="29"/>
  <c r="HX46" i="31" s="1"/>
  <c r="HX37" i="31"/>
  <c r="AT42" i="29"/>
  <c r="AT46" i="31" s="1"/>
  <c r="AT37" i="31"/>
  <c r="HN42" i="29"/>
  <c r="HN46" i="31" s="1"/>
  <c r="HN37" i="31"/>
  <c r="BD42" i="29"/>
  <c r="BD46" i="31" s="1"/>
  <c r="BD37" i="31"/>
  <c r="CE42" i="29"/>
  <c r="CE46" i="31" s="1"/>
  <c r="CE37" i="31"/>
  <c r="DB42" i="29"/>
  <c r="DB46" i="31" s="1"/>
  <c r="DB37" i="31"/>
  <c r="IO42" i="29"/>
  <c r="IO46" i="31" s="1"/>
  <c r="IO37" i="31"/>
  <c r="IM42" i="29"/>
  <c r="IM46" i="31" s="1"/>
  <c r="IM37" i="31"/>
  <c r="IL42" i="29"/>
  <c r="IL46" i="31" s="1"/>
  <c r="IL37" i="31"/>
  <c r="IC42" i="29"/>
  <c r="IC46" i="31" s="1"/>
  <c r="IC37" i="31"/>
  <c r="Q42" i="29"/>
  <c r="Q46" i="31" s="1"/>
  <c r="Q37" i="31"/>
  <c r="BG42" i="29"/>
  <c r="BG46" i="31" s="1"/>
  <c r="BG37" i="31"/>
  <c r="BI42" i="29"/>
  <c r="BI46" i="31" s="1"/>
  <c r="BI37" i="31"/>
  <c r="DX42" i="29"/>
  <c r="DX46" i="31" s="1"/>
  <c r="DX37" i="31"/>
  <c r="FT42" i="29"/>
  <c r="FT46" i="31" s="1"/>
  <c r="FT37" i="31"/>
  <c r="HZ42" i="29"/>
  <c r="HZ46" i="31" s="1"/>
  <c r="HZ37" i="31"/>
  <c r="GU42" i="29"/>
  <c r="GU46" i="31" s="1"/>
  <c r="GU37" i="31"/>
  <c r="HB42" i="29"/>
  <c r="HB46" i="31" s="1"/>
  <c r="HB37" i="31"/>
  <c r="JD42" i="29"/>
  <c r="JD46" i="31" s="1"/>
  <c r="JD37" i="31"/>
  <c r="DA42" i="29"/>
  <c r="DA46" i="31" s="1"/>
  <c r="DA37" i="31"/>
  <c r="EU42" i="29"/>
  <c r="EU46" i="31" s="1"/>
  <c r="EU37" i="31"/>
  <c r="DU42" i="29"/>
  <c r="DU46" i="31" s="1"/>
  <c r="DU37" i="31"/>
  <c r="EF42" i="29"/>
  <c r="EF46" i="31" s="1"/>
  <c r="EF37" i="31"/>
  <c r="CH42" i="29"/>
  <c r="CH46" i="31" s="1"/>
  <c r="CH37" i="31"/>
  <c r="DH42" i="29"/>
  <c r="DH46" i="31" s="1"/>
  <c r="DH37" i="31"/>
  <c r="EO42" i="29"/>
  <c r="EO46" i="31" s="1"/>
  <c r="EO37" i="31"/>
  <c r="HP42" i="29"/>
  <c r="HP46" i="31" s="1"/>
  <c r="HP37" i="31"/>
  <c r="DM42" i="29"/>
  <c r="DM46" i="31" s="1"/>
  <c r="DM37" i="31"/>
  <c r="BJ42" i="29"/>
  <c r="BJ46" i="31" s="1"/>
  <c r="BJ37" i="31"/>
  <c r="JA42" i="29"/>
  <c r="JA46" i="31" s="1"/>
  <c r="JA37" i="31"/>
  <c r="EP42" i="29"/>
  <c r="EP46" i="31" s="1"/>
  <c r="EP37" i="31"/>
  <c r="FQ42" i="29"/>
  <c r="FQ46" i="31" s="1"/>
  <c r="FQ37" i="31"/>
  <c r="CM42" i="29"/>
  <c r="CM46" i="31" s="1"/>
  <c r="CM37" i="31"/>
  <c r="H42" i="29"/>
  <c r="H46" i="31" s="1"/>
  <c r="H37" i="31"/>
  <c r="X42" i="29"/>
  <c r="X46" i="31" s="1"/>
  <c r="X37" i="31"/>
  <c r="Y42" i="29"/>
  <c r="Y46" i="31" s="1"/>
  <c r="Y37" i="31"/>
  <c r="JO38" i="31"/>
  <c r="BB42" i="29"/>
  <c r="BB46" i="31" s="1"/>
  <c r="BB37" i="31"/>
  <c r="CY42" i="29"/>
  <c r="CY46" i="31" s="1"/>
  <c r="CY37" i="31"/>
  <c r="BO42" i="29"/>
  <c r="BO46" i="31" s="1"/>
  <c r="BO37" i="31"/>
  <c r="IJ42" i="29"/>
  <c r="IJ46" i="31" s="1"/>
  <c r="IJ37" i="31"/>
  <c r="CF42" i="29"/>
  <c r="CF46" i="31" s="1"/>
  <c r="CF37" i="31"/>
  <c r="JB42" i="29"/>
  <c r="JB46" i="31" s="1"/>
  <c r="JB37" i="31"/>
  <c r="D42" i="29"/>
  <c r="D46" i="31" s="1"/>
  <c r="D37" i="31"/>
  <c r="CX42" i="29"/>
  <c r="CX46" i="31" s="1"/>
  <c r="CX37" i="31"/>
  <c r="EX42" i="29"/>
  <c r="EX46" i="31" s="1"/>
  <c r="EX37" i="31"/>
  <c r="GO42" i="29"/>
  <c r="GO46" i="31" s="1"/>
  <c r="GO37" i="31"/>
  <c r="AZ42" i="29"/>
  <c r="AZ46" i="31" s="1"/>
  <c r="AZ37" i="31"/>
  <c r="FN42" i="29"/>
  <c r="FN46" i="31" s="1"/>
  <c r="FN37" i="31"/>
  <c r="BT42" i="29"/>
  <c r="BT46" i="31" s="1"/>
  <c r="BT37" i="31"/>
  <c r="U42" i="29"/>
  <c r="U46" i="31" s="1"/>
  <c r="U37" i="31"/>
  <c r="GA42" i="29"/>
  <c r="GA46" i="31" s="1"/>
  <c r="GA37" i="31"/>
  <c r="CU42" i="29"/>
  <c r="CU46" i="31" s="1"/>
  <c r="CU37" i="31"/>
  <c r="BC42" i="29"/>
  <c r="BC46" i="31" s="1"/>
  <c r="BC37" i="31"/>
  <c r="FU42" i="29"/>
  <c r="FU46" i="31" s="1"/>
  <c r="FU37" i="31"/>
  <c r="CR42" i="29"/>
  <c r="CR46" i="31" s="1"/>
  <c r="CR37" i="31"/>
  <c r="HE42" i="29"/>
  <c r="HE46" i="31" s="1"/>
  <c r="HE37" i="31"/>
  <c r="AN42" i="29"/>
  <c r="AN46" i="31" s="1"/>
  <c r="AN37" i="31"/>
  <c r="GJ42" i="29"/>
  <c r="GJ46" i="31" s="1"/>
  <c r="GJ37" i="31"/>
  <c r="DY42" i="29"/>
  <c r="DY46" i="31" s="1"/>
  <c r="DY37" i="31"/>
  <c r="FA42" i="29"/>
  <c r="FA46" i="31" s="1"/>
  <c r="FA37" i="31"/>
  <c r="JH42" i="29"/>
  <c r="JH46" i="31" s="1"/>
  <c r="JH37" i="31"/>
  <c r="GY42" i="29"/>
  <c r="GY46" i="31" s="1"/>
  <c r="GY37" i="31"/>
  <c r="FK42" i="29"/>
  <c r="FK46" i="31" s="1"/>
  <c r="FK37" i="31"/>
  <c r="BZ42" i="29"/>
  <c r="BZ46" i="31" s="1"/>
  <c r="BZ37" i="31"/>
  <c r="GW42" i="29"/>
  <c r="GW46" i="31" s="1"/>
  <c r="GW37" i="31"/>
  <c r="HH42" i="29"/>
  <c r="HH46" i="31" s="1"/>
  <c r="HH37" i="31"/>
  <c r="FB42" i="29"/>
  <c r="FB46" i="31" s="1"/>
  <c r="FB37" i="31"/>
  <c r="IR42" i="29"/>
  <c r="IR46" i="31" s="1"/>
  <c r="IR37" i="31"/>
  <c r="CN42" i="29"/>
  <c r="CN46" i="31" s="1"/>
  <c r="CN37" i="31"/>
  <c r="DL42" i="29"/>
  <c r="DL46" i="31" s="1"/>
  <c r="DL37" i="31"/>
  <c r="HO42" i="29"/>
  <c r="HO46" i="31" s="1"/>
  <c r="HO37" i="31"/>
  <c r="IN42" i="29"/>
  <c r="IN46" i="31" s="1"/>
  <c r="IN37" i="31"/>
  <c r="GV42" i="29"/>
  <c r="GV46" i="31" s="1"/>
  <c r="GV37" i="31"/>
  <c r="BP42" i="29"/>
  <c r="BP46" i="31" s="1"/>
  <c r="BP37" i="31"/>
  <c r="W42" i="29"/>
  <c r="W46" i="31" s="1"/>
  <c r="W37" i="31"/>
  <c r="HU42" i="29"/>
  <c r="HU46" i="31" s="1"/>
  <c r="HU37" i="31"/>
  <c r="GP42" i="29"/>
  <c r="GP46" i="31" s="1"/>
  <c r="GP37" i="31"/>
  <c r="EM42" i="29"/>
  <c r="EM46" i="31" s="1"/>
  <c r="EM37" i="31"/>
  <c r="CD42" i="29"/>
  <c r="CD46" i="31" s="1"/>
  <c r="CD37" i="31"/>
  <c r="IE42" i="29"/>
  <c r="IE46" i="31" s="1"/>
  <c r="IE37" i="31"/>
  <c r="FI42" i="29"/>
  <c r="FI46" i="31" s="1"/>
  <c r="FI37" i="31"/>
  <c r="CK42" i="29"/>
  <c r="CK46" i="31" s="1"/>
  <c r="CK37" i="31"/>
  <c r="ER42" i="29"/>
  <c r="ER46" i="31" s="1"/>
  <c r="ER37" i="31"/>
  <c r="FP42" i="29"/>
  <c r="FP46" i="31" s="1"/>
  <c r="FP37" i="31"/>
  <c r="T42" i="29"/>
  <c r="T46" i="31" s="1"/>
  <c r="T37" i="31"/>
  <c r="IP42" i="29"/>
  <c r="IP46" i="31" s="1"/>
  <c r="IP37" i="31"/>
  <c r="AO42" i="29"/>
  <c r="AO46" i="31" s="1"/>
  <c r="AO37" i="31"/>
  <c r="G5" i="21"/>
  <c r="H5" i="21"/>
  <c r="V18" i="22"/>
  <c r="W18" i="22" s="1"/>
  <c r="V19" i="22"/>
  <c r="W19" i="22" s="1"/>
  <c r="V38" i="22"/>
  <c r="W38" i="22" s="1"/>
  <c r="V39" i="22"/>
  <c r="W39" i="22" s="1"/>
  <c r="V24" i="22"/>
  <c r="W24" i="22" s="1"/>
  <c r="V25" i="22"/>
  <c r="W25" i="22" s="1"/>
  <c r="V40" i="22"/>
  <c r="W40" i="22" s="1"/>
  <c r="V41" i="22"/>
  <c r="W41" i="22" s="1"/>
  <c r="V10" i="22"/>
  <c r="W10" i="22" s="1"/>
  <c r="V14" i="22"/>
  <c r="W14" i="22" s="1"/>
  <c r="V11" i="22"/>
  <c r="W11" i="22" s="1"/>
  <c r="V12" i="22"/>
  <c r="W12" i="22" s="1"/>
  <c r="V13" i="22"/>
  <c r="W13" i="22" s="1"/>
  <c r="V30" i="22"/>
  <c r="W30" i="22" s="1"/>
  <c r="V31" i="22"/>
  <c r="W31" i="22" s="1"/>
  <c r="V32" i="22"/>
  <c r="W32" i="22" s="1"/>
  <c r="V29" i="22"/>
  <c r="W29" i="22" s="1"/>
  <c r="V34" i="22"/>
  <c r="W34" i="22" s="1"/>
  <c r="V35" i="22"/>
  <c r="W35" i="22" s="1"/>
  <c r="V36" i="22"/>
  <c r="W36" i="22" s="1"/>
  <c r="V42" i="22"/>
  <c r="W42" i="22" s="1"/>
  <c r="V43" i="22"/>
  <c r="W43" i="22" s="1"/>
  <c r="V44" i="22"/>
  <c r="W44" i="22" s="1"/>
  <c r="V45" i="22"/>
  <c r="W45" i="22" s="1"/>
  <c r="V48" i="22"/>
  <c r="W48" i="22" s="1"/>
  <c r="V49" i="22"/>
  <c r="W49" i="22" s="1"/>
  <c r="V27" i="22"/>
  <c r="W27" i="22" s="1"/>
  <c r="V28" i="22"/>
  <c r="W28" i="22" s="1"/>
  <c r="V46" i="22"/>
  <c r="W46" i="22" s="1"/>
  <c r="V47" i="22"/>
  <c r="W47" i="22" s="1"/>
  <c r="CS42" i="29"/>
  <c r="DW42" i="29"/>
  <c r="BB49" i="29"/>
  <c r="BB53" i="31" s="1"/>
  <c r="FV49" i="29"/>
  <c r="FV53" i="31" s="1"/>
  <c r="FV36" i="29"/>
  <c r="DR42" i="29"/>
  <c r="CP36" i="29"/>
  <c r="CP49" i="29"/>
  <c r="CP53" i="31" s="1"/>
  <c r="AR36" i="29"/>
  <c r="AR49" i="29"/>
  <c r="AR53" i="31" s="1"/>
  <c r="ED36" i="29"/>
  <c r="ED49" i="29"/>
  <c r="ED53" i="31" s="1"/>
  <c r="HA49" i="29"/>
  <c r="HA53" i="31" s="1"/>
  <c r="HA36" i="29"/>
  <c r="IK49" i="29"/>
  <c r="IK36" i="29"/>
  <c r="CB42" i="29"/>
  <c r="CL49" i="29"/>
  <c r="CL53" i="31" s="1"/>
  <c r="CL36" i="29"/>
  <c r="BV42" i="29"/>
  <c r="GC49" i="29"/>
  <c r="GC53" i="31" s="1"/>
  <c r="GC36" i="29"/>
  <c r="EN42" i="29"/>
  <c r="AU49" i="29"/>
  <c r="AU53" i="31" s="1"/>
  <c r="AU36" i="29"/>
  <c r="FG36" i="29"/>
  <c r="FG49" i="29"/>
  <c r="FG53" i="31" s="1"/>
  <c r="DP49" i="29"/>
  <c r="DP53" i="31" s="1"/>
  <c r="DP36" i="29"/>
  <c r="DQ49" i="29"/>
  <c r="DQ53" i="31" s="1"/>
  <c r="DQ36" i="29"/>
  <c r="DK36" i="29"/>
  <c r="DK49" i="29"/>
  <c r="DK53" i="31" s="1"/>
  <c r="IX36" i="29"/>
  <c r="IX49" i="29"/>
  <c r="IX53" i="31" s="1"/>
  <c r="FO36" i="29"/>
  <c r="FO49" i="29"/>
  <c r="FO53" i="31" s="1"/>
  <c r="HM49" i="29"/>
  <c r="HM53" i="31" s="1"/>
  <c r="HM36" i="29"/>
  <c r="HL42" i="29"/>
  <c r="HL46" i="31" s="1"/>
  <c r="JO33" i="29"/>
  <c r="HF49" i="29"/>
  <c r="HF53" i="31" s="1"/>
  <c r="HF36" i="29"/>
  <c r="BY49" i="29"/>
  <c r="BY53" i="31" s="1"/>
  <c r="BY36" i="29"/>
  <c r="IF49" i="29"/>
  <c r="IF53" i="31" s="1"/>
  <c r="IF36" i="29"/>
  <c r="ET42" i="29"/>
  <c r="ET46" i="31" s="1"/>
  <c r="JN33" i="29"/>
  <c r="EL36" i="29"/>
  <c r="EL49" i="29"/>
  <c r="EL53" i="31" s="1"/>
  <c r="IQ36" i="29"/>
  <c r="IQ49" i="29"/>
  <c r="IQ53" i="31" s="1"/>
  <c r="DG42" i="29"/>
  <c r="GM36" i="29"/>
  <c r="GM49" i="29"/>
  <c r="GM53" i="31" s="1"/>
  <c r="HG49" i="29"/>
  <c r="HG53" i="31" s="1"/>
  <c r="HG36" i="29"/>
  <c r="IA36" i="29"/>
  <c r="IA49" i="29"/>
  <c r="IA53" i="31" s="1"/>
  <c r="IU49" i="29"/>
  <c r="IU53" i="31" s="1"/>
  <c r="IU36" i="29"/>
  <c r="HJ36" i="29"/>
  <c r="HJ49" i="29"/>
  <c r="HJ53" i="31" s="1"/>
  <c r="BK49" i="29"/>
  <c r="BK53" i="31" s="1"/>
  <c r="BK36" i="29"/>
  <c r="GG49" i="29"/>
  <c r="GG53" i="31" s="1"/>
  <c r="GG36" i="29"/>
  <c r="DC49" i="29"/>
  <c r="DC53" i="31" s="1"/>
  <c r="DC36" i="29"/>
  <c r="BX36" i="29"/>
  <c r="BX49" i="29"/>
  <c r="BX53" i="31" s="1"/>
  <c r="AW49" i="29"/>
  <c r="AW53" i="31" s="1"/>
  <c r="AW36" i="29"/>
  <c r="BW42" i="29"/>
  <c r="JE49" i="29"/>
  <c r="JE53" i="31" s="1"/>
  <c r="JE36" i="29"/>
  <c r="GI49" i="29"/>
  <c r="GI53" i="31" s="1"/>
  <c r="GI36" i="29"/>
  <c r="FM49" i="29"/>
  <c r="FM53" i="31" s="1"/>
  <c r="FM36" i="29"/>
  <c r="EW49" i="29"/>
  <c r="EW53" i="31" s="1"/>
  <c r="EW36" i="29"/>
  <c r="R49" i="29"/>
  <c r="R53" i="31" s="1"/>
  <c r="R36" i="29"/>
  <c r="GE36" i="29"/>
  <c r="GE49" i="29"/>
  <c r="GE53" i="31" s="1"/>
  <c r="CJ36" i="29"/>
  <c r="CJ49" i="29"/>
  <c r="CJ53" i="31" s="1"/>
  <c r="AP42" i="29"/>
  <c r="E36" i="29"/>
  <c r="E49" i="29"/>
  <c r="E53" i="31" s="1"/>
  <c r="EA49" i="29"/>
  <c r="EA53" i="31" s="1"/>
  <c r="EA36" i="29"/>
  <c r="V36" i="29"/>
  <c r="V49" i="29"/>
  <c r="V53" i="31" s="1"/>
  <c r="O36" i="29"/>
  <c r="O49" i="29"/>
  <c r="O53" i="31" s="1"/>
  <c r="JG36" i="29"/>
  <c r="JG49" i="29"/>
  <c r="JG53" i="31" s="1"/>
  <c r="FE49" i="29"/>
  <c r="FE53" i="31" s="1"/>
  <c r="FE36" i="29"/>
  <c r="GN49" i="29"/>
  <c r="GN53" i="31" s="1"/>
  <c r="GN36" i="29"/>
  <c r="BA49" i="29"/>
  <c r="BA53" i="31" s="1"/>
  <c r="BA36" i="29"/>
  <c r="IB36" i="29"/>
  <c r="IB49" i="29"/>
  <c r="IB53" i="31" s="1"/>
  <c r="IG49" i="29"/>
  <c r="IG53" i="31" s="1"/>
  <c r="IG36" i="29"/>
  <c r="BH36" i="29"/>
  <c r="BH49" i="29"/>
  <c r="BH53" i="31" s="1"/>
  <c r="AE36" i="29"/>
  <c r="AE49" i="29"/>
  <c r="AE53" i="31" s="1"/>
  <c r="JF36" i="29"/>
  <c r="JF49" i="29"/>
  <c r="JF53" i="31" s="1"/>
  <c r="L49" i="29"/>
  <c r="L53" i="31" s="1"/>
  <c r="L36" i="29"/>
  <c r="BE49" i="29"/>
  <c r="BE53" i="31" s="1"/>
  <c r="BE36" i="29"/>
  <c r="CW49" i="29"/>
  <c r="CW53" i="31" s="1"/>
  <c r="CW36" i="29"/>
  <c r="FH36" i="29"/>
  <c r="CY36" i="29"/>
  <c r="CY49" i="29"/>
  <c r="CY53" i="31" s="1"/>
  <c r="M36" i="29"/>
  <c r="M49" i="29"/>
  <c r="M53" i="31" s="1"/>
  <c r="AQ36" i="29"/>
  <c r="AQ49" i="29"/>
  <c r="AQ53" i="31" s="1"/>
  <c r="S49" i="29"/>
  <c r="S53" i="31" s="1"/>
  <c r="HY49" i="29"/>
  <c r="HY53" i="31" s="1"/>
  <c r="HY36" i="29"/>
  <c r="IH49" i="29"/>
  <c r="IH53" i="31" s="1"/>
  <c r="DE49" i="29"/>
  <c r="DE53" i="31" s="1"/>
  <c r="DE36" i="29"/>
  <c r="EE36" i="29"/>
  <c r="EE49" i="29"/>
  <c r="EE53" i="31" s="1"/>
  <c r="HC49" i="29"/>
  <c r="HC53" i="31" s="1"/>
  <c r="IT49" i="29"/>
  <c r="IT53" i="31" s="1"/>
  <c r="IT36" i="29"/>
  <c r="IY36" i="29"/>
  <c r="IY49" i="29"/>
  <c r="IY53" i="31" s="1"/>
  <c r="FL49" i="29"/>
  <c r="FL53" i="31" s="1"/>
  <c r="GQ49" i="29"/>
  <c r="GQ53" i="31" s="1"/>
  <c r="GQ36" i="29"/>
  <c r="HR36" i="29"/>
  <c r="HR49" i="29"/>
  <c r="HR53" i="31" s="1"/>
  <c r="AY49" i="29"/>
  <c r="AY53" i="31" s="1"/>
  <c r="CO49" i="29"/>
  <c r="CO53" i="31" s="1"/>
  <c r="CO36" i="29"/>
  <c r="J42" i="29"/>
  <c r="DD36" i="29"/>
  <c r="DD49" i="29"/>
  <c r="DD53" i="31" s="1"/>
  <c r="HX49" i="29"/>
  <c r="HX53" i="31" s="1"/>
  <c r="HX36" i="29"/>
  <c r="AT49" i="29"/>
  <c r="AT53" i="31" s="1"/>
  <c r="AT36" i="29"/>
  <c r="HN36" i="29"/>
  <c r="BD49" i="29"/>
  <c r="BD53" i="31" s="1"/>
  <c r="BD36" i="29"/>
  <c r="CE49" i="29"/>
  <c r="CE53" i="31" s="1"/>
  <c r="CE36" i="29"/>
  <c r="IZ42" i="29"/>
  <c r="IZ46" i="31" s="1"/>
  <c r="DB49" i="29"/>
  <c r="DB53" i="31" s="1"/>
  <c r="DB36" i="29"/>
  <c r="IO49" i="29"/>
  <c r="IO53" i="31" s="1"/>
  <c r="IM49" i="29"/>
  <c r="IM53" i="31" s="1"/>
  <c r="IM36" i="29"/>
  <c r="IL49" i="29"/>
  <c r="IL53" i="31" s="1"/>
  <c r="IC49" i="29"/>
  <c r="IC53" i="31" s="1"/>
  <c r="IC36" i="29"/>
  <c r="BG36" i="29"/>
  <c r="BG49" i="29"/>
  <c r="BG53" i="31" s="1"/>
  <c r="DF42" i="29"/>
  <c r="DF46" i="31" s="1"/>
  <c r="C42" i="29"/>
  <c r="C46" i="31" s="1"/>
  <c r="JL33" i="29"/>
  <c r="DX36" i="29"/>
  <c r="DX49" i="29"/>
  <c r="DX53" i="31" s="1"/>
  <c r="HZ36" i="29"/>
  <c r="HZ49" i="29"/>
  <c r="HZ53" i="31" s="1"/>
  <c r="GU36" i="29"/>
  <c r="GU49" i="29"/>
  <c r="GU53" i="31" s="1"/>
  <c r="HB49" i="29"/>
  <c r="HB53" i="31" s="1"/>
  <c r="HB36" i="29"/>
  <c r="CC42" i="29"/>
  <c r="CC46" i="31" s="1"/>
  <c r="DA49" i="29"/>
  <c r="DA53" i="31" s="1"/>
  <c r="DA36" i="29"/>
  <c r="EU49" i="29"/>
  <c r="EU53" i="31" s="1"/>
  <c r="EU36" i="29"/>
  <c r="DU49" i="29"/>
  <c r="DU53" i="31" s="1"/>
  <c r="DU36" i="29"/>
  <c r="F42" i="29"/>
  <c r="F46" i="31" s="1"/>
  <c r="CH36" i="29"/>
  <c r="CH49" i="29"/>
  <c r="CH53" i="31" s="1"/>
  <c r="DH49" i="29"/>
  <c r="DH53" i="31" s="1"/>
  <c r="EO49" i="29"/>
  <c r="EO53" i="31" s="1"/>
  <c r="EO36" i="29"/>
  <c r="HP49" i="29"/>
  <c r="HP53" i="31" s="1"/>
  <c r="DM49" i="29"/>
  <c r="DM53" i="31" s="1"/>
  <c r="DM36" i="29"/>
  <c r="BJ49" i="29"/>
  <c r="BJ53" i="31" s="1"/>
  <c r="JA49" i="29"/>
  <c r="JA53" i="31" s="1"/>
  <c r="JA36" i="29"/>
  <c r="HK42" i="29"/>
  <c r="HK46" i="31" s="1"/>
  <c r="FQ49" i="29"/>
  <c r="FQ53" i="31" s="1"/>
  <c r="FQ36" i="29"/>
  <c r="CM36" i="29"/>
  <c r="H49" i="29"/>
  <c r="H53" i="31" s="1"/>
  <c r="H36" i="29"/>
  <c r="AB42" i="29"/>
  <c r="AB46" i="31" s="1"/>
  <c r="X36" i="29"/>
  <c r="Y49" i="29"/>
  <c r="Y53" i="31" s="1"/>
  <c r="Q289" i="4"/>
  <c r="JN34" i="29"/>
  <c r="JM34" i="29"/>
  <c r="K42" i="29"/>
  <c r="K46" i="31" s="1"/>
  <c r="IJ36" i="29"/>
  <c r="IJ49" i="29"/>
  <c r="IJ53" i="31" s="1"/>
  <c r="CF49" i="29"/>
  <c r="CF53" i="31" s="1"/>
  <c r="CF36" i="29"/>
  <c r="JB49" i="29"/>
  <c r="JB53" i="31" s="1"/>
  <c r="JB36" i="29"/>
  <c r="CX36" i="29"/>
  <c r="CX49" i="29"/>
  <c r="CX53" i="31" s="1"/>
  <c r="EX49" i="29"/>
  <c r="EX53" i="31" s="1"/>
  <c r="EX36" i="29"/>
  <c r="GO49" i="29"/>
  <c r="GO53" i="31" s="1"/>
  <c r="GO36" i="29"/>
  <c r="AK42" i="29"/>
  <c r="AK46" i="31" s="1"/>
  <c r="FN49" i="29"/>
  <c r="FN53" i="31" s="1"/>
  <c r="FN36" i="29"/>
  <c r="BT36" i="29"/>
  <c r="AJ42" i="29"/>
  <c r="AJ46" i="31" s="1"/>
  <c r="U36" i="29"/>
  <c r="U49" i="29"/>
  <c r="U53" i="31" s="1"/>
  <c r="BQ42" i="29"/>
  <c r="BQ46" i="31" s="1"/>
  <c r="CU49" i="29"/>
  <c r="CU53" i="31" s="1"/>
  <c r="CU36" i="29"/>
  <c r="BC49" i="29"/>
  <c r="BC53" i="31" s="1"/>
  <c r="FU49" i="29"/>
  <c r="FU53" i="31" s="1"/>
  <c r="FU36" i="29"/>
  <c r="CR36" i="29"/>
  <c r="HE49" i="29"/>
  <c r="HE53" i="31" s="1"/>
  <c r="HE36" i="29"/>
  <c r="AN49" i="29"/>
  <c r="AN53" i="31" s="1"/>
  <c r="DO42" i="29"/>
  <c r="DO46" i="31" s="1"/>
  <c r="DZ42" i="29"/>
  <c r="DZ46" i="31" s="1"/>
  <c r="G42" i="29"/>
  <c r="G46" i="31" s="1"/>
  <c r="GJ36" i="29"/>
  <c r="GJ49" i="29"/>
  <c r="GJ53" i="31" s="1"/>
  <c r="ID42" i="29"/>
  <c r="ID46" i="31" s="1"/>
  <c r="FA49" i="29"/>
  <c r="FA53" i="31" s="1"/>
  <c r="FA36" i="29"/>
  <c r="JH49" i="29"/>
  <c r="JH53" i="31" s="1"/>
  <c r="GY49" i="29"/>
  <c r="GY53" i="31" s="1"/>
  <c r="GY36" i="29"/>
  <c r="BZ36" i="29"/>
  <c r="BZ49" i="29"/>
  <c r="BZ53" i="31" s="1"/>
  <c r="GW36" i="29"/>
  <c r="HH49" i="29"/>
  <c r="HH53" i="31" s="1"/>
  <c r="HH36" i="29"/>
  <c r="IR36" i="29"/>
  <c r="IR49" i="29"/>
  <c r="IR53" i="31" s="1"/>
  <c r="CN36" i="29"/>
  <c r="DL36" i="29"/>
  <c r="DL49" i="29"/>
  <c r="DL53" i="31" s="1"/>
  <c r="P42" i="29"/>
  <c r="P46" i="31" s="1"/>
  <c r="IN49" i="29"/>
  <c r="IN53" i="31" s="1"/>
  <c r="IN36" i="29"/>
  <c r="GV49" i="29"/>
  <c r="GV53" i="31" s="1"/>
  <c r="GV36" i="29"/>
  <c r="BP49" i="29"/>
  <c r="BP53" i="31" s="1"/>
  <c r="BP36" i="29"/>
  <c r="W36" i="29"/>
  <c r="HU49" i="29"/>
  <c r="HU53" i="31" s="1"/>
  <c r="HU36" i="29"/>
  <c r="GP49" i="29"/>
  <c r="GP53" i="31" s="1"/>
  <c r="GP36" i="29"/>
  <c r="EM36" i="29"/>
  <c r="EM49" i="29"/>
  <c r="EM53" i="31" s="1"/>
  <c r="DI42" i="29"/>
  <c r="DI46" i="31" s="1"/>
  <c r="IE49" i="29"/>
  <c r="IE53" i="31" s="1"/>
  <c r="IE36" i="29"/>
  <c r="EQ42" i="29"/>
  <c r="EQ46" i="31" s="1"/>
  <c r="CK49" i="29"/>
  <c r="CK53" i="31" s="1"/>
  <c r="CK36" i="29"/>
  <c r="GF42" i="29"/>
  <c r="GF46" i="31" s="1"/>
  <c r="FZ42" i="29"/>
  <c r="FZ46" i="31" s="1"/>
  <c r="ER36" i="29"/>
  <c r="FW42" i="29"/>
  <c r="FW46" i="31" s="1"/>
  <c r="FP49" i="29"/>
  <c r="FP53" i="31" s="1"/>
  <c r="FP36" i="29"/>
  <c r="T49" i="29"/>
  <c r="T53" i="31" s="1"/>
  <c r="AF42" i="29"/>
  <c r="IP36" i="29"/>
  <c r="IP49" i="29"/>
  <c r="IP53" i="31" s="1"/>
  <c r="JO34" i="29"/>
  <c r="GZ29" i="29"/>
  <c r="GZ29" i="31" s="1"/>
  <c r="CA29" i="29"/>
  <c r="CA29" i="31" s="1"/>
  <c r="CA172" i="31" s="1"/>
  <c r="BL29" i="29"/>
  <c r="BL29" i="31" s="1"/>
  <c r="FR29" i="29"/>
  <c r="FR29" i="31" s="1"/>
  <c r="GZ12" i="29"/>
  <c r="GZ12" i="31" s="1"/>
  <c r="BL12" i="29"/>
  <c r="BL12" i="31" s="1"/>
  <c r="CA12" i="29"/>
  <c r="FR12" i="29"/>
  <c r="FR12" i="31" s="1"/>
  <c r="AG49" i="29"/>
  <c r="AG53" i="31" s="1"/>
  <c r="AG36" i="29"/>
  <c r="DS42" i="29"/>
  <c r="CI36" i="29"/>
  <c r="CI49" i="29"/>
  <c r="CI53" i="31" s="1"/>
  <c r="FY49" i="29"/>
  <c r="FY53" i="31" s="1"/>
  <c r="FY36" i="29"/>
  <c r="N36" i="29"/>
  <c r="N49" i="29"/>
  <c r="N53" i="31" s="1"/>
  <c r="I49" i="29"/>
  <c r="I53" i="31" s="1"/>
  <c r="I36" i="29"/>
  <c r="CZ49" i="29"/>
  <c r="CZ53" i="31" s="1"/>
  <c r="CZ36" i="29"/>
  <c r="GX49" i="29"/>
  <c r="GX53" i="31" s="1"/>
  <c r="GX36" i="29"/>
  <c r="IW49" i="29"/>
  <c r="IW53" i="31" s="1"/>
  <c r="IW36" i="29"/>
  <c r="GK49" i="29"/>
  <c r="GK53" i="31" s="1"/>
  <c r="GK36" i="29"/>
  <c r="DN36" i="29"/>
  <c r="DN49" i="29"/>
  <c r="DN53" i="31" s="1"/>
  <c r="HW42" i="29"/>
  <c r="HW46" i="31" s="1"/>
  <c r="GS49" i="29"/>
  <c r="GS53" i="31" s="1"/>
  <c r="GS36" i="29"/>
  <c r="AA49" i="29"/>
  <c r="AA53" i="31" s="1"/>
  <c r="AA36" i="29"/>
  <c r="BS49" i="29"/>
  <c r="BS53" i="31" s="1"/>
  <c r="BS36" i="29"/>
  <c r="AS49" i="29"/>
  <c r="AS53" i="31" s="1"/>
  <c r="AS36" i="29"/>
  <c r="EB49" i="29"/>
  <c r="EB53" i="31" s="1"/>
  <c r="EB36" i="29"/>
  <c r="CQ36" i="29"/>
  <c r="CQ49" i="29"/>
  <c r="CQ53" i="31" s="1"/>
  <c r="HS36" i="29"/>
  <c r="HS49" i="29"/>
  <c r="HS53" i="31" s="1"/>
  <c r="BN36" i="29"/>
  <c r="BN49" i="29"/>
  <c r="BN53" i="31" s="1"/>
  <c r="GH49" i="29"/>
  <c r="GH53" i="31" s="1"/>
  <c r="GH36" i="29"/>
  <c r="DJ49" i="29"/>
  <c r="DJ53" i="31" s="1"/>
  <c r="DJ36" i="29"/>
  <c r="ES49" i="29"/>
  <c r="ES53" i="31" s="1"/>
  <c r="ES36" i="29"/>
  <c r="CT49" i="29"/>
  <c r="CT53" i="31" s="1"/>
  <c r="CT36" i="29"/>
  <c r="EK49" i="29"/>
  <c r="EK53" i="31" s="1"/>
  <c r="EK36" i="29"/>
  <c r="GL36" i="29"/>
  <c r="GL49" i="29"/>
  <c r="GL53" i="31" s="1"/>
  <c r="FS49" i="29"/>
  <c r="FS53" i="31" s="1"/>
  <c r="FS36" i="29"/>
  <c r="FF49" i="29"/>
  <c r="FF53" i="31" s="1"/>
  <c r="FF36" i="29"/>
  <c r="BF36" i="29"/>
  <c r="BF49" i="29"/>
  <c r="BF53" i="31" s="1"/>
  <c r="II36" i="29"/>
  <c r="II49" i="29"/>
  <c r="II53" i="31" s="1"/>
  <c r="FJ36" i="29"/>
  <c r="FJ49" i="29"/>
  <c r="FJ53" i="31" s="1"/>
  <c r="AM49" i="29"/>
  <c r="AM53" i="31" s="1"/>
  <c r="AM36" i="29"/>
  <c r="IV49" i="29"/>
  <c r="IV53" i="31" s="1"/>
  <c r="IV36" i="29"/>
  <c r="JC49" i="29"/>
  <c r="JC53" i="31" s="1"/>
  <c r="JC36" i="29"/>
  <c r="GT49" i="29"/>
  <c r="GT53" i="31" s="1"/>
  <c r="GT36" i="29"/>
  <c r="EZ49" i="29"/>
  <c r="EZ53" i="31" s="1"/>
  <c r="EZ36" i="29"/>
  <c r="EI49" i="29"/>
  <c r="EI53" i="31" s="1"/>
  <c r="EI36" i="29"/>
  <c r="CV42" i="29"/>
  <c r="CV46" i="31" s="1"/>
  <c r="FX49" i="29"/>
  <c r="FX53" i="31" s="1"/>
  <c r="FX36" i="29"/>
  <c r="EH49" i="29"/>
  <c r="EH53" i="31" s="1"/>
  <c r="EH36" i="29"/>
  <c r="DV33" i="29"/>
  <c r="T121" i="4"/>
  <c r="T289" i="4" s="1"/>
  <c r="BM42" i="29"/>
  <c r="BM46" i="31" s="1"/>
  <c r="GD36" i="29"/>
  <c r="GD49" i="29"/>
  <c r="GD53" i="31" s="1"/>
  <c r="EG42" i="29"/>
  <c r="EG46" i="31" s="1"/>
  <c r="EJ42" i="29"/>
  <c r="EJ46" i="31" s="1"/>
  <c r="AV36" i="29"/>
  <c r="AV49" i="29"/>
  <c r="AV53" i="31" s="1"/>
  <c r="HQ42" i="29"/>
  <c r="HQ46" i="31" s="1"/>
  <c r="EY36" i="29"/>
  <c r="EY49" i="29"/>
  <c r="EY53" i="31" s="1"/>
  <c r="BR42" i="29"/>
  <c r="BR46" i="31" s="1"/>
  <c r="AL42" i="29"/>
  <c r="AL46" i="31" s="1"/>
  <c r="EC42" i="29"/>
  <c r="EC46" i="31" s="1"/>
  <c r="AX36" i="29"/>
  <c r="AX49" i="29"/>
  <c r="AX53" i="31" s="1"/>
  <c r="EV36" i="29"/>
  <c r="EV49" i="29"/>
  <c r="EV53" i="31" s="1"/>
  <c r="HI49" i="29"/>
  <c r="HI53" i="31" s="1"/>
  <c r="HI36" i="29"/>
  <c r="HD42" i="29"/>
  <c r="HD46" i="31" s="1"/>
  <c r="DT42" i="29"/>
  <c r="AI42" i="29"/>
  <c r="FD36" i="29"/>
  <c r="FD49" i="29"/>
  <c r="FD53" i="31" s="1"/>
  <c r="GB49" i="29"/>
  <c r="GB53" i="31" s="1"/>
  <c r="GB36" i="29"/>
  <c r="FC49" i="29"/>
  <c r="FC53" i="31" s="1"/>
  <c r="FC36" i="29"/>
  <c r="CG42" i="29"/>
  <c r="CG46" i="31" s="1"/>
  <c r="BU42" i="29"/>
  <c r="BU46" i="31" s="1"/>
  <c r="AD36" i="29"/>
  <c r="AD49" i="29"/>
  <c r="AD53" i="31" s="1"/>
  <c r="HT36" i="29"/>
  <c r="HT49" i="29"/>
  <c r="HT53" i="31" s="1"/>
  <c r="HV49" i="29"/>
  <c r="HV53" i="31" s="1"/>
  <c r="HV36" i="29"/>
  <c r="JI34" i="29"/>
  <c r="JI38" i="31" s="1"/>
  <c r="JL34" i="29"/>
  <c r="C6" i="21"/>
  <c r="D5" i="21"/>
  <c r="H3" i="22"/>
  <c r="J5" i="22"/>
  <c r="CD36" i="29" l="1"/>
  <c r="FK36" i="29"/>
  <c r="EF36" i="29"/>
  <c r="FT36" i="29"/>
  <c r="Q49" i="29"/>
  <c r="Q53" i="31" s="1"/>
  <c r="JD49" i="29"/>
  <c r="JD53" i="31" s="1"/>
  <c r="X49" i="29"/>
  <c r="X53" i="31" s="1"/>
  <c r="EP49" i="29"/>
  <c r="EP53" i="31" s="1"/>
  <c r="GR36" i="29"/>
  <c r="CD49" i="29"/>
  <c r="CD53" i="31" s="1"/>
  <c r="W49" i="29"/>
  <c r="W53" i="31" s="1"/>
  <c r="GA49" i="29"/>
  <c r="GA53" i="31" s="1"/>
  <c r="AZ49" i="29"/>
  <c r="AZ53" i="31" s="1"/>
  <c r="D36" i="29"/>
  <c r="DY49" i="29"/>
  <c r="DY53" i="31" s="1"/>
  <c r="D49" i="29"/>
  <c r="D53" i="31" s="1"/>
  <c r="BO36" i="29"/>
  <c r="ER49" i="29"/>
  <c r="ER53" i="31" s="1"/>
  <c r="FB49" i="29"/>
  <c r="FB53" i="31" s="1"/>
  <c r="JD36" i="29"/>
  <c r="FT49" i="29"/>
  <c r="FT53" i="31" s="1"/>
  <c r="HN49" i="29"/>
  <c r="HN53" i="31" s="1"/>
  <c r="AH36" i="29"/>
  <c r="AH73" i="29" s="1"/>
  <c r="AH77" i="31" s="1"/>
  <c r="HO36" i="29"/>
  <c r="X52" i="23"/>
  <c r="JL37" i="31"/>
  <c r="JL46" i="31"/>
  <c r="AC46" i="31"/>
  <c r="AC36" i="29"/>
  <c r="JN37" i="31"/>
  <c r="JO37" i="31"/>
  <c r="AJ36" i="29"/>
  <c r="K36" i="29"/>
  <c r="K73" i="29" s="1"/>
  <c r="K77" i="31" s="1"/>
  <c r="JP38" i="31"/>
  <c r="AO36" i="29"/>
  <c r="AO40" i="31" s="1"/>
  <c r="FI36" i="29"/>
  <c r="HO49" i="29"/>
  <c r="HO53" i="31" s="1"/>
  <c r="CN49" i="29"/>
  <c r="CN53" i="31" s="1"/>
  <c r="FB36" i="29"/>
  <c r="FB73" i="29" s="1"/>
  <c r="FB77" i="31" s="1"/>
  <c r="GW49" i="29"/>
  <c r="GW53" i="31" s="1"/>
  <c r="FK49" i="29"/>
  <c r="FK53" i="31" s="1"/>
  <c r="JH36" i="29"/>
  <c r="JH40" i="31" s="1"/>
  <c r="DY36" i="29"/>
  <c r="DY73" i="29" s="1"/>
  <c r="DY77" i="31" s="1"/>
  <c r="AN36" i="29"/>
  <c r="CR49" i="29"/>
  <c r="CR53" i="31" s="1"/>
  <c r="BC36" i="29"/>
  <c r="BC40" i="31" s="1"/>
  <c r="GA36" i="29"/>
  <c r="GA73" i="29" s="1"/>
  <c r="GA77" i="31" s="1"/>
  <c r="BT49" i="29"/>
  <c r="BT53" i="31" s="1"/>
  <c r="AZ36" i="29"/>
  <c r="BO49" i="29"/>
  <c r="BO53" i="31" s="1"/>
  <c r="CM49" i="29"/>
  <c r="CM53" i="31" s="1"/>
  <c r="EP36" i="29"/>
  <c r="BJ36" i="29"/>
  <c r="HP36" i="29"/>
  <c r="HP73" i="29" s="1"/>
  <c r="HP77" i="31" s="1"/>
  <c r="DH36" i="29"/>
  <c r="DH40" i="31" s="1"/>
  <c r="EF49" i="29"/>
  <c r="EF53" i="31" s="1"/>
  <c r="BI49" i="29"/>
  <c r="BI53" i="31" s="1"/>
  <c r="Q36" i="29"/>
  <c r="Q40" i="31" s="1"/>
  <c r="IL36" i="29"/>
  <c r="IL73" i="29" s="1"/>
  <c r="IL77" i="31" s="1"/>
  <c r="IO36" i="29"/>
  <c r="Z36" i="29"/>
  <c r="IS36" i="29"/>
  <c r="IS73" i="29" s="1"/>
  <c r="IS77" i="31" s="1"/>
  <c r="DO36" i="29"/>
  <c r="DO40" i="31" s="1"/>
  <c r="BQ36" i="29"/>
  <c r="AK36" i="29"/>
  <c r="AO49" i="29"/>
  <c r="AO53" i="31" s="1"/>
  <c r="T36" i="29"/>
  <c r="T73" i="29" s="1"/>
  <c r="T77" i="31" s="1"/>
  <c r="FI49" i="29"/>
  <c r="FI53" i="31" s="1"/>
  <c r="BB36" i="29"/>
  <c r="AD73" i="29"/>
  <c r="AD77" i="31" s="1"/>
  <c r="AD40" i="31"/>
  <c r="FF73" i="29"/>
  <c r="FF77" i="31" s="1"/>
  <c r="FF40" i="31"/>
  <c r="CT73" i="29"/>
  <c r="CT77" i="31" s="1"/>
  <c r="CT40" i="31"/>
  <c r="DJ73" i="29"/>
  <c r="DJ77" i="31" s="1"/>
  <c r="DJ40" i="31"/>
  <c r="AS73" i="29"/>
  <c r="AS77" i="31" s="1"/>
  <c r="AS40" i="31"/>
  <c r="AA73" i="29"/>
  <c r="AA77" i="31" s="1"/>
  <c r="AA40" i="31"/>
  <c r="AG73" i="29"/>
  <c r="AG77" i="31" s="1"/>
  <c r="AG40" i="31"/>
  <c r="HU73" i="29"/>
  <c r="HU77" i="31" s="1"/>
  <c r="HU40" i="31"/>
  <c r="BP73" i="29"/>
  <c r="BP77" i="31" s="1"/>
  <c r="BP40" i="31"/>
  <c r="IN73" i="29"/>
  <c r="IN77" i="31" s="1"/>
  <c r="IN40" i="31"/>
  <c r="BQ73" i="29"/>
  <c r="BQ77" i="31" s="1"/>
  <c r="BQ40" i="31"/>
  <c r="AJ73" i="29"/>
  <c r="AJ77" i="31" s="1"/>
  <c r="AJ40" i="31"/>
  <c r="AK73" i="29"/>
  <c r="AK77" i="31" s="1"/>
  <c r="AK40" i="31"/>
  <c r="K40" i="31"/>
  <c r="X73" i="29"/>
  <c r="X77" i="31" s="1"/>
  <c r="X40" i="31"/>
  <c r="JA73" i="29"/>
  <c r="JA77" i="31" s="1"/>
  <c r="JA40" i="31"/>
  <c r="DM73" i="29"/>
  <c r="DM77" i="31" s="1"/>
  <c r="DM40" i="31"/>
  <c r="EO73" i="29"/>
  <c r="EO77" i="31" s="1"/>
  <c r="EO40" i="31"/>
  <c r="JD73" i="29"/>
  <c r="JD77" i="31" s="1"/>
  <c r="JD40" i="31"/>
  <c r="CE73" i="29"/>
  <c r="CE77" i="31" s="1"/>
  <c r="CE40" i="31"/>
  <c r="HN73" i="29"/>
  <c r="HN77" i="31" s="1"/>
  <c r="HN40" i="31"/>
  <c r="HX73" i="29"/>
  <c r="HX77" i="31" s="1"/>
  <c r="HX40" i="31"/>
  <c r="J36" i="29"/>
  <c r="J46" i="31"/>
  <c r="HR73" i="29"/>
  <c r="HR77" i="31" s="1"/>
  <c r="HR40" i="31"/>
  <c r="IY73" i="29"/>
  <c r="IY77" i="31" s="1"/>
  <c r="IY40" i="31"/>
  <c r="EE73" i="29"/>
  <c r="EE77" i="31" s="1"/>
  <c r="EE40" i="31"/>
  <c r="AQ73" i="29"/>
  <c r="AQ77" i="31" s="1"/>
  <c r="AQ40" i="31"/>
  <c r="CY73" i="29"/>
  <c r="CY77" i="31" s="1"/>
  <c r="CY40" i="31"/>
  <c r="AE73" i="29"/>
  <c r="AE77" i="31" s="1"/>
  <c r="AE40" i="31"/>
  <c r="O73" i="29"/>
  <c r="O77" i="31" s="1"/>
  <c r="O40" i="31"/>
  <c r="R73" i="29"/>
  <c r="R77" i="31" s="1"/>
  <c r="R40" i="31"/>
  <c r="FM73" i="29"/>
  <c r="FM77" i="31" s="1"/>
  <c r="FM40" i="31"/>
  <c r="JE73" i="29"/>
  <c r="JE77" i="31" s="1"/>
  <c r="JE40" i="31"/>
  <c r="BY73" i="29"/>
  <c r="BY77" i="31" s="1"/>
  <c r="BY40" i="31"/>
  <c r="DP73" i="29"/>
  <c r="DP77" i="31" s="1"/>
  <c r="DP40" i="31"/>
  <c r="AU73" i="29"/>
  <c r="AU77" i="31" s="1"/>
  <c r="AU40" i="31"/>
  <c r="CB36" i="29"/>
  <c r="CB46" i="31"/>
  <c r="AR73" i="29"/>
  <c r="AR77" i="31" s="1"/>
  <c r="AR40" i="31"/>
  <c r="FV73" i="29"/>
  <c r="FV77" i="31" s="1"/>
  <c r="FV40" i="31"/>
  <c r="DW36" i="29"/>
  <c r="DW46" i="31"/>
  <c r="JP34" i="29"/>
  <c r="GB73" i="29"/>
  <c r="GB77" i="31" s="1"/>
  <c r="GB40" i="31"/>
  <c r="AI36" i="29"/>
  <c r="AI46" i="31"/>
  <c r="AX73" i="29"/>
  <c r="AX77" i="31" s="1"/>
  <c r="AX40" i="31"/>
  <c r="AV73" i="29"/>
  <c r="AV77" i="31" s="1"/>
  <c r="AV40" i="31"/>
  <c r="EG36" i="29"/>
  <c r="BM36" i="29"/>
  <c r="CV36" i="29"/>
  <c r="II73" i="29"/>
  <c r="II77" i="31" s="1"/>
  <c r="II40" i="31"/>
  <c r="GL73" i="29"/>
  <c r="GL77" i="31" s="1"/>
  <c r="GL40" i="31"/>
  <c r="BN73" i="29"/>
  <c r="BN77" i="31" s="1"/>
  <c r="BN40" i="31"/>
  <c r="CQ73" i="29"/>
  <c r="CQ77" i="31" s="1"/>
  <c r="CQ40" i="31"/>
  <c r="IW73" i="29"/>
  <c r="IW77" i="31" s="1"/>
  <c r="IW40" i="31"/>
  <c r="CZ73" i="29"/>
  <c r="CZ77" i="31" s="1"/>
  <c r="CZ40" i="31"/>
  <c r="ER73" i="29"/>
  <c r="ER77" i="31" s="1"/>
  <c r="ER40" i="31"/>
  <c r="CK73" i="29"/>
  <c r="CK77" i="31" s="1"/>
  <c r="CK40" i="31"/>
  <c r="EM73" i="29"/>
  <c r="EM77" i="31" s="1"/>
  <c r="EM40" i="31"/>
  <c r="HH73" i="29"/>
  <c r="HH77" i="31" s="1"/>
  <c r="HH40" i="31"/>
  <c r="GY73" i="29"/>
  <c r="GY77" i="31" s="1"/>
  <c r="GY40" i="31"/>
  <c r="FA73" i="29"/>
  <c r="FA77" i="31" s="1"/>
  <c r="FA40" i="31"/>
  <c r="AN73" i="29"/>
  <c r="AN77" i="31" s="1"/>
  <c r="AN40" i="31"/>
  <c r="AZ73" i="29"/>
  <c r="AZ77" i="31" s="1"/>
  <c r="AZ40" i="31"/>
  <c r="GO73" i="29"/>
  <c r="GO77" i="31" s="1"/>
  <c r="GO40" i="31"/>
  <c r="JB73" i="29"/>
  <c r="JB77" i="31" s="1"/>
  <c r="JB40" i="31"/>
  <c r="CM73" i="29"/>
  <c r="CM77" i="31" s="1"/>
  <c r="CM40" i="31"/>
  <c r="CH73" i="29"/>
  <c r="CH77" i="31" s="1"/>
  <c r="CH40" i="31"/>
  <c r="DU73" i="29"/>
  <c r="DU77" i="31" s="1"/>
  <c r="DU40" i="31"/>
  <c r="DA73" i="29"/>
  <c r="DA77" i="31" s="1"/>
  <c r="DA40" i="31"/>
  <c r="GU73" i="29"/>
  <c r="GU77" i="31" s="1"/>
  <c r="GU40" i="31"/>
  <c r="FT73" i="29"/>
  <c r="FT77" i="31" s="1"/>
  <c r="FT40" i="31"/>
  <c r="IC73" i="29"/>
  <c r="IC77" i="31" s="1"/>
  <c r="IC40" i="31"/>
  <c r="IM73" i="29"/>
  <c r="IM77" i="31" s="1"/>
  <c r="IM40" i="31"/>
  <c r="DB73" i="29"/>
  <c r="DB77" i="31" s="1"/>
  <c r="DB40" i="31"/>
  <c r="Z73" i="29"/>
  <c r="Z77" i="31" s="1"/>
  <c r="Z40" i="31"/>
  <c r="GR73" i="29"/>
  <c r="GR77" i="31" s="1"/>
  <c r="GR40" i="31"/>
  <c r="FH73" i="29"/>
  <c r="FH77" i="31" s="1"/>
  <c r="FH40" i="31"/>
  <c r="BE73" i="29"/>
  <c r="BE77" i="31" s="1"/>
  <c r="BE40" i="31"/>
  <c r="GN73" i="29"/>
  <c r="GN77" i="31" s="1"/>
  <c r="GN40" i="31"/>
  <c r="CJ73" i="29"/>
  <c r="CJ77" i="31" s="1"/>
  <c r="CJ40" i="31"/>
  <c r="GG73" i="29"/>
  <c r="GG77" i="31" s="1"/>
  <c r="GG40" i="31"/>
  <c r="IQ73" i="29"/>
  <c r="IQ77" i="31" s="1"/>
  <c r="IQ40" i="31"/>
  <c r="JN46" i="31"/>
  <c r="JO46" i="31"/>
  <c r="FO73" i="29"/>
  <c r="FO77" i="31" s="1"/>
  <c r="FO40" i="31"/>
  <c r="DK73" i="29"/>
  <c r="DK77" i="31" s="1"/>
  <c r="DK40" i="31"/>
  <c r="BV36" i="29"/>
  <c r="BV46" i="31"/>
  <c r="IK73" i="29"/>
  <c r="IK40" i="31"/>
  <c r="CS36" i="29"/>
  <c r="CS46" i="31"/>
  <c r="IP73" i="29"/>
  <c r="IP77" i="31" s="1"/>
  <c r="IP40" i="31"/>
  <c r="FP73" i="29"/>
  <c r="FP77" i="31" s="1"/>
  <c r="FP40" i="31"/>
  <c r="EQ36" i="29"/>
  <c r="CD73" i="29"/>
  <c r="CD77" i="31" s="1"/>
  <c r="CD40" i="31"/>
  <c r="GP73" i="29"/>
  <c r="GP77" i="31" s="1"/>
  <c r="GP40" i="31"/>
  <c r="W73" i="29"/>
  <c r="W77" i="31" s="1"/>
  <c r="W40" i="31"/>
  <c r="GV73" i="29"/>
  <c r="GV77" i="31" s="1"/>
  <c r="GV40" i="31"/>
  <c r="DL73" i="29"/>
  <c r="DL77" i="31" s="1"/>
  <c r="DL40" i="31"/>
  <c r="IR73" i="29"/>
  <c r="IR77" i="31" s="1"/>
  <c r="IR40" i="31"/>
  <c r="BZ73" i="29"/>
  <c r="BZ77" i="31" s="1"/>
  <c r="BZ40" i="31"/>
  <c r="DZ36" i="29"/>
  <c r="CR73" i="29"/>
  <c r="CR77" i="31" s="1"/>
  <c r="CR40" i="31"/>
  <c r="U73" i="29"/>
  <c r="U77" i="31" s="1"/>
  <c r="U40" i="31"/>
  <c r="BT73" i="29"/>
  <c r="BT77" i="31" s="1"/>
  <c r="BT40" i="31"/>
  <c r="CX73" i="29"/>
  <c r="CX77" i="31" s="1"/>
  <c r="CX40" i="31"/>
  <c r="IJ73" i="29"/>
  <c r="IJ77" i="31" s="1"/>
  <c r="IJ40" i="31"/>
  <c r="BO73" i="29"/>
  <c r="BO77" i="31" s="1"/>
  <c r="BO40" i="31"/>
  <c r="Y36" i="29"/>
  <c r="EP73" i="29"/>
  <c r="EP77" i="31" s="1"/>
  <c r="EP40" i="31"/>
  <c r="BJ73" i="29"/>
  <c r="BJ77" i="31" s="1"/>
  <c r="BJ40" i="31"/>
  <c r="DH73" i="29"/>
  <c r="DH77" i="31" s="1"/>
  <c r="HB73" i="29"/>
  <c r="HB77" i="31" s="1"/>
  <c r="HB40" i="31"/>
  <c r="BI36" i="29"/>
  <c r="BG73" i="29"/>
  <c r="BG77" i="31" s="1"/>
  <c r="BG40" i="31"/>
  <c r="BD73" i="29"/>
  <c r="BD77" i="31" s="1"/>
  <c r="BD40" i="31"/>
  <c r="AT73" i="29"/>
  <c r="AT77" i="31" s="1"/>
  <c r="AT40" i="31"/>
  <c r="AH49" i="29"/>
  <c r="AH53" i="31" s="1"/>
  <c r="AY36" i="29"/>
  <c r="Z49" i="29"/>
  <c r="Z53" i="31" s="1"/>
  <c r="FL36" i="29"/>
  <c r="GR49" i="29"/>
  <c r="GR53" i="31" s="1"/>
  <c r="HC36" i="29"/>
  <c r="IS49" i="29"/>
  <c r="IS53" i="31" s="1"/>
  <c r="IH36" i="29"/>
  <c r="S36" i="29"/>
  <c r="M73" i="29"/>
  <c r="M77" i="31" s="1"/>
  <c r="M40" i="31"/>
  <c r="FH49" i="29"/>
  <c r="FH53" i="31" s="1"/>
  <c r="JF73" i="29"/>
  <c r="JF77" i="31" s="1"/>
  <c r="JF40" i="31"/>
  <c r="BH73" i="29"/>
  <c r="BH77" i="31" s="1"/>
  <c r="BH40" i="31"/>
  <c r="IB73" i="29"/>
  <c r="IB77" i="31" s="1"/>
  <c r="IB40" i="31"/>
  <c r="JG73" i="29"/>
  <c r="JG77" i="31" s="1"/>
  <c r="JG40" i="31"/>
  <c r="V73" i="29"/>
  <c r="V77" i="31" s="1"/>
  <c r="V40" i="31"/>
  <c r="E73" i="29"/>
  <c r="E77" i="31" s="1"/>
  <c r="E40" i="31"/>
  <c r="EW73" i="29"/>
  <c r="EW77" i="31" s="1"/>
  <c r="EW40" i="31"/>
  <c r="GI73" i="29"/>
  <c r="GI77" i="31" s="1"/>
  <c r="GI40" i="31"/>
  <c r="BW36" i="29"/>
  <c r="BW46" i="31"/>
  <c r="BX73" i="29"/>
  <c r="BX77" i="31" s="1"/>
  <c r="BX40" i="31"/>
  <c r="HJ73" i="29"/>
  <c r="HJ77" i="31" s="1"/>
  <c r="HJ40" i="31"/>
  <c r="IA73" i="29"/>
  <c r="IA77" i="31" s="1"/>
  <c r="IA40" i="31"/>
  <c r="GM73" i="29"/>
  <c r="GM77" i="31" s="1"/>
  <c r="GM40" i="31"/>
  <c r="IF73" i="29"/>
  <c r="IF77" i="31" s="1"/>
  <c r="IF40" i="31"/>
  <c r="HF73" i="29"/>
  <c r="HF77" i="31" s="1"/>
  <c r="HF40" i="31"/>
  <c r="HM73" i="29"/>
  <c r="HM77" i="31" s="1"/>
  <c r="HM40" i="31"/>
  <c r="DQ73" i="29"/>
  <c r="DQ77" i="31" s="1"/>
  <c r="DQ40" i="31"/>
  <c r="EN36" i="29"/>
  <c r="EN46" i="31"/>
  <c r="CL73" i="29"/>
  <c r="CL77" i="31" s="1"/>
  <c r="CL40" i="31"/>
  <c r="ED73" i="29"/>
  <c r="ED77" i="31" s="1"/>
  <c r="ED40" i="31"/>
  <c r="CP73" i="29"/>
  <c r="CP77" i="31" s="1"/>
  <c r="CP40" i="31"/>
  <c r="BB73" i="29"/>
  <c r="BB77" i="31" s="1"/>
  <c r="BB40" i="31"/>
  <c r="FD73" i="29"/>
  <c r="FD77" i="31" s="1"/>
  <c r="FD40" i="31"/>
  <c r="HI73" i="29"/>
  <c r="HI77" i="31" s="1"/>
  <c r="HI40" i="31"/>
  <c r="EH73" i="29"/>
  <c r="EH77" i="31" s="1"/>
  <c r="EH40" i="31"/>
  <c r="EZ73" i="29"/>
  <c r="EZ77" i="31" s="1"/>
  <c r="EZ40" i="31"/>
  <c r="JC73" i="29"/>
  <c r="JC77" i="31" s="1"/>
  <c r="JC40" i="31"/>
  <c r="AM73" i="29"/>
  <c r="AM77" i="31" s="1"/>
  <c r="AM40" i="31"/>
  <c r="HT73" i="29"/>
  <c r="HT77" i="31" s="1"/>
  <c r="HT40" i="31"/>
  <c r="DT36" i="29"/>
  <c r="DT46" i="31"/>
  <c r="EY73" i="29"/>
  <c r="EY77" i="31" s="1"/>
  <c r="EY40" i="31"/>
  <c r="FX73" i="29"/>
  <c r="FX77" i="31" s="1"/>
  <c r="FX40" i="31"/>
  <c r="EI73" i="29"/>
  <c r="EI77" i="31" s="1"/>
  <c r="EI40" i="31"/>
  <c r="GT73" i="29"/>
  <c r="GT77" i="31" s="1"/>
  <c r="GT40" i="31"/>
  <c r="IV73" i="29"/>
  <c r="IV77" i="31" s="1"/>
  <c r="IV40" i="31"/>
  <c r="FS73" i="29"/>
  <c r="FS77" i="31" s="1"/>
  <c r="FS40" i="31"/>
  <c r="EK73" i="29"/>
  <c r="EK77" i="31" s="1"/>
  <c r="EK40" i="31"/>
  <c r="ES73" i="29"/>
  <c r="ES77" i="31" s="1"/>
  <c r="ES40" i="31"/>
  <c r="GH73" i="29"/>
  <c r="GH77" i="31" s="1"/>
  <c r="GH40" i="31"/>
  <c r="EB73" i="29"/>
  <c r="EB77" i="31" s="1"/>
  <c r="EB40" i="31"/>
  <c r="BS73" i="29"/>
  <c r="BS77" i="31" s="1"/>
  <c r="BS40" i="31"/>
  <c r="GS73" i="29"/>
  <c r="GS77" i="31" s="1"/>
  <c r="GS40" i="31"/>
  <c r="DN73" i="29"/>
  <c r="DN77" i="31" s="1"/>
  <c r="DN40" i="31"/>
  <c r="N73" i="29"/>
  <c r="N77" i="31" s="1"/>
  <c r="N40" i="31"/>
  <c r="CI73" i="29"/>
  <c r="CI77" i="31" s="1"/>
  <c r="CI40" i="31"/>
  <c r="HV73" i="29"/>
  <c r="HV77" i="31" s="1"/>
  <c r="HV40" i="31"/>
  <c r="FC73" i="29"/>
  <c r="FC77" i="31" s="1"/>
  <c r="FC40" i="31"/>
  <c r="EV73" i="29"/>
  <c r="EV77" i="31" s="1"/>
  <c r="EV40" i="31"/>
  <c r="EJ36" i="29"/>
  <c r="GD73" i="29"/>
  <c r="GD77" i="31" s="1"/>
  <c r="GD40" i="31"/>
  <c r="DV42" i="29"/>
  <c r="DV46" i="31" s="1"/>
  <c r="DV37" i="31"/>
  <c r="JM37" i="31" s="1"/>
  <c r="FJ73" i="29"/>
  <c r="FJ77" i="31" s="1"/>
  <c r="FJ40" i="31"/>
  <c r="BF73" i="29"/>
  <c r="BF77" i="31" s="1"/>
  <c r="BF40" i="31"/>
  <c r="HS73" i="29"/>
  <c r="HS77" i="31" s="1"/>
  <c r="HS40" i="31"/>
  <c r="GK73" i="29"/>
  <c r="GK77" i="31" s="1"/>
  <c r="GK40" i="31"/>
  <c r="GX73" i="29"/>
  <c r="GX77" i="31" s="1"/>
  <c r="GX40" i="31"/>
  <c r="I73" i="29"/>
  <c r="I77" i="31" s="1"/>
  <c r="I40" i="31"/>
  <c r="FY73" i="29"/>
  <c r="FY77" i="31" s="1"/>
  <c r="FY40" i="31"/>
  <c r="DS36" i="29"/>
  <c r="DS46" i="31"/>
  <c r="CA107" i="29"/>
  <c r="CA111" i="31" s="1"/>
  <c r="CA12" i="31"/>
  <c r="AF36" i="29"/>
  <c r="AF46" i="31"/>
  <c r="FI73" i="29"/>
  <c r="FI77" i="31" s="1"/>
  <c r="FI40" i="31"/>
  <c r="IE73" i="29"/>
  <c r="IE77" i="31" s="1"/>
  <c r="IE40" i="31"/>
  <c r="HO73" i="29"/>
  <c r="HO40" i="31"/>
  <c r="CN73" i="29"/>
  <c r="CN77" i="31" s="1"/>
  <c r="CN40" i="31"/>
  <c r="GW73" i="29"/>
  <c r="GW77" i="31" s="1"/>
  <c r="GW40" i="31"/>
  <c r="FK73" i="29"/>
  <c r="FK77" i="31" s="1"/>
  <c r="FK40" i="31"/>
  <c r="GJ73" i="29"/>
  <c r="GJ77" i="31" s="1"/>
  <c r="GJ40" i="31"/>
  <c r="HE73" i="29"/>
  <c r="HE77" i="31" s="1"/>
  <c r="HE40" i="31"/>
  <c r="FU73" i="29"/>
  <c r="FU77" i="31" s="1"/>
  <c r="FU40" i="31"/>
  <c r="CU73" i="29"/>
  <c r="CU77" i="31" s="1"/>
  <c r="CU40" i="31"/>
  <c r="FN73" i="29"/>
  <c r="FN77" i="31" s="1"/>
  <c r="FN40" i="31"/>
  <c r="EX73" i="29"/>
  <c r="EX77" i="31" s="1"/>
  <c r="EX40" i="31"/>
  <c r="D73" i="29"/>
  <c r="D77" i="31" s="1"/>
  <c r="D40" i="31"/>
  <c r="CF73" i="29"/>
  <c r="CF77" i="31" s="1"/>
  <c r="CF40" i="31"/>
  <c r="H73" i="29"/>
  <c r="H77" i="31" s="1"/>
  <c r="H40" i="31"/>
  <c r="FQ73" i="29"/>
  <c r="FQ77" i="31" s="1"/>
  <c r="FQ40" i="31"/>
  <c r="EF73" i="29"/>
  <c r="EF77" i="31" s="1"/>
  <c r="EF40" i="31"/>
  <c r="EU73" i="29"/>
  <c r="EU77" i="31" s="1"/>
  <c r="EU40" i="31"/>
  <c r="HZ73" i="29"/>
  <c r="HZ77" i="31" s="1"/>
  <c r="HZ40" i="31"/>
  <c r="DX73" i="29"/>
  <c r="DX77" i="31" s="1"/>
  <c r="DX40" i="31"/>
  <c r="IL40" i="31"/>
  <c r="IO73" i="29"/>
  <c r="IO77" i="31" s="1"/>
  <c r="IO40" i="31"/>
  <c r="DD73" i="29"/>
  <c r="DD77" i="31" s="1"/>
  <c r="DD40" i="31"/>
  <c r="CO73" i="29"/>
  <c r="CO77" i="31" s="1"/>
  <c r="CO40" i="31"/>
  <c r="GQ73" i="29"/>
  <c r="GQ77" i="31" s="1"/>
  <c r="GQ40" i="31"/>
  <c r="IT73" i="29"/>
  <c r="IT77" i="31" s="1"/>
  <c r="IT40" i="31"/>
  <c r="DE73" i="29"/>
  <c r="DE77" i="31" s="1"/>
  <c r="DE40" i="31"/>
  <c r="HY73" i="29"/>
  <c r="HY77" i="31" s="1"/>
  <c r="HY40" i="31"/>
  <c r="CW73" i="29"/>
  <c r="CW77" i="31" s="1"/>
  <c r="CW40" i="31"/>
  <c r="L73" i="29"/>
  <c r="L77" i="31" s="1"/>
  <c r="L40" i="31"/>
  <c r="IG73" i="29"/>
  <c r="IG77" i="31" s="1"/>
  <c r="IG40" i="31"/>
  <c r="BA73" i="29"/>
  <c r="BA77" i="31" s="1"/>
  <c r="BA40" i="31"/>
  <c r="FE73" i="29"/>
  <c r="FE77" i="31" s="1"/>
  <c r="FE40" i="31"/>
  <c r="EA73" i="29"/>
  <c r="EA77" i="31" s="1"/>
  <c r="EA40" i="31"/>
  <c r="AP36" i="29"/>
  <c r="AP46" i="31"/>
  <c r="GE73" i="29"/>
  <c r="GE77" i="31" s="1"/>
  <c r="GE40" i="31"/>
  <c r="AW73" i="29"/>
  <c r="AW77" i="31" s="1"/>
  <c r="AW40" i="31"/>
  <c r="DC73" i="29"/>
  <c r="DC77" i="31" s="1"/>
  <c r="DC40" i="31"/>
  <c r="BK73" i="29"/>
  <c r="BK40" i="31"/>
  <c r="IU73" i="29"/>
  <c r="IU77" i="31" s="1"/>
  <c r="IU40" i="31"/>
  <c r="HG73" i="29"/>
  <c r="HG77" i="31" s="1"/>
  <c r="HG40" i="31"/>
  <c r="DG36" i="29"/>
  <c r="DG46" i="31"/>
  <c r="EL73" i="29"/>
  <c r="EL77" i="31" s="1"/>
  <c r="EL40" i="31"/>
  <c r="IX73" i="29"/>
  <c r="IX77" i="31" s="1"/>
  <c r="IX40" i="31"/>
  <c r="FG73" i="29"/>
  <c r="FG77" i="31" s="1"/>
  <c r="FG40" i="31"/>
  <c r="GC73" i="29"/>
  <c r="GC77" i="31" s="1"/>
  <c r="GC40" i="31"/>
  <c r="HA73" i="29"/>
  <c r="HA77" i="31" s="1"/>
  <c r="HA40" i="31"/>
  <c r="DR36" i="29"/>
  <c r="DR46" i="31"/>
  <c r="CA59" i="29"/>
  <c r="CA63" i="31" s="1"/>
  <c r="CA168" i="29"/>
  <c r="P49" i="29"/>
  <c r="P53" i="31" s="1"/>
  <c r="P36" i="29"/>
  <c r="AB49" i="29"/>
  <c r="AB53" i="31" s="1"/>
  <c r="AB36" i="29"/>
  <c r="JI33" i="29"/>
  <c r="JI37" i="31" s="1"/>
  <c r="DF36" i="29"/>
  <c r="DF49" i="29"/>
  <c r="DF53" i="31" s="1"/>
  <c r="J29" i="22"/>
  <c r="J30" i="22" s="1"/>
  <c r="B4" i="21" s="1"/>
  <c r="G4" i="21" s="1"/>
  <c r="I4" i="21" s="1"/>
  <c r="M5" i="22"/>
  <c r="EC49" i="29"/>
  <c r="EC53" i="31" s="1"/>
  <c r="EC36" i="29"/>
  <c r="FZ49" i="29"/>
  <c r="FZ53" i="31" s="1"/>
  <c r="FZ36" i="29"/>
  <c r="ID49" i="29"/>
  <c r="ID53" i="31" s="1"/>
  <c r="ID36" i="29"/>
  <c r="C36" i="29"/>
  <c r="C40" i="31" s="1"/>
  <c r="JL42" i="29"/>
  <c r="C49" i="29"/>
  <c r="C53" i="31" s="1"/>
  <c r="JL53" i="31" s="1"/>
  <c r="ET36" i="29"/>
  <c r="ET40" i="31" s="1"/>
  <c r="JN42" i="29"/>
  <c r="ET49" i="29"/>
  <c r="ET53" i="31" s="1"/>
  <c r="HL36" i="29"/>
  <c r="HL40" i="31" s="1"/>
  <c r="JO42" i="29"/>
  <c r="HL49" i="29"/>
  <c r="HL53" i="31" s="1"/>
  <c r="BU49" i="29"/>
  <c r="BU53" i="31" s="1"/>
  <c r="BU36" i="29"/>
  <c r="HD36" i="29"/>
  <c r="HD49" i="29"/>
  <c r="HD53" i="31" s="1"/>
  <c r="AL36" i="29"/>
  <c r="AL49" i="29"/>
  <c r="AL53" i="31" s="1"/>
  <c r="HQ49" i="29"/>
  <c r="HQ53" i="31" s="1"/>
  <c r="HQ36" i="29"/>
  <c r="FW36" i="29"/>
  <c r="FW49" i="29"/>
  <c r="FW53" i="31" s="1"/>
  <c r="GF49" i="29"/>
  <c r="GF53" i="31" s="1"/>
  <c r="GF36" i="29"/>
  <c r="G49" i="29"/>
  <c r="G53" i="31" s="1"/>
  <c r="G36" i="29"/>
  <c r="JM33" i="29"/>
  <c r="JP33" i="29" s="1"/>
  <c r="CC49" i="29"/>
  <c r="CC53" i="31" s="1"/>
  <c r="CC36" i="29"/>
  <c r="I5" i="21"/>
  <c r="H6" i="21"/>
  <c r="DV49" i="29"/>
  <c r="DV53" i="31" s="1"/>
  <c r="CG49" i="29"/>
  <c r="CG53" i="31" s="1"/>
  <c r="CG36" i="29"/>
  <c r="BR49" i="29"/>
  <c r="BR53" i="31" s="1"/>
  <c r="BR36" i="29"/>
  <c r="HW49" i="29"/>
  <c r="HW53" i="31" s="1"/>
  <c r="HW36" i="29"/>
  <c r="DI49" i="29"/>
  <c r="DI53" i="31" s="1"/>
  <c r="DI36" i="29"/>
  <c r="HK36" i="29"/>
  <c r="HK49" i="29"/>
  <c r="HK53" i="31" s="1"/>
  <c r="JM42" i="29"/>
  <c r="F49" i="29"/>
  <c r="F53" i="31" s="1"/>
  <c r="F36" i="29"/>
  <c r="F40" i="31" s="1"/>
  <c r="IZ36" i="29"/>
  <c r="IZ49" i="29"/>
  <c r="IZ53" i="31" s="1"/>
  <c r="D4" i="21"/>
  <c r="AH40" i="31" l="1"/>
  <c r="GA40" i="31"/>
  <c r="DO73" i="29"/>
  <c r="DO77" i="31" s="1"/>
  <c r="FB40" i="31"/>
  <c r="JO53" i="31"/>
  <c r="JL40" i="31"/>
  <c r="AO73" i="29"/>
  <c r="AO77" i="31" s="1"/>
  <c r="IS40" i="31"/>
  <c r="BC73" i="29"/>
  <c r="BC77" i="31" s="1"/>
  <c r="DY40" i="31"/>
  <c r="AC40" i="31"/>
  <c r="AC73" i="29"/>
  <c r="Q73" i="29"/>
  <c r="Q77" i="31" s="1"/>
  <c r="JH73" i="29"/>
  <c r="JH77" i="31" s="1"/>
  <c r="T40" i="31"/>
  <c r="JP37" i="31"/>
  <c r="HP40" i="31"/>
  <c r="JM46" i="31"/>
  <c r="JP46" i="31" s="1"/>
  <c r="HD73" i="29"/>
  <c r="HD77" i="31" s="1"/>
  <c r="HD40" i="31"/>
  <c r="JI42" i="29"/>
  <c r="JI46" i="31" s="1"/>
  <c r="AB73" i="29"/>
  <c r="AB77" i="31" s="1"/>
  <c r="AB40" i="31"/>
  <c r="DT73" i="29"/>
  <c r="DT77" i="31" s="1"/>
  <c r="DT40" i="31"/>
  <c r="EN73" i="29"/>
  <c r="EN77" i="31" s="1"/>
  <c r="EN40" i="31"/>
  <c r="Y73" i="29"/>
  <c r="Y77" i="31" s="1"/>
  <c r="Y40" i="31"/>
  <c r="EQ73" i="29"/>
  <c r="EQ77" i="31" s="1"/>
  <c r="EQ40" i="31"/>
  <c r="IK78" i="29"/>
  <c r="IK82" i="31" s="1"/>
  <c r="IK77" i="31"/>
  <c r="HK73" i="29"/>
  <c r="HK77" i="31" s="1"/>
  <c r="HK40" i="31"/>
  <c r="G73" i="29"/>
  <c r="G77" i="31" s="1"/>
  <c r="G40" i="31"/>
  <c r="BU73" i="29"/>
  <c r="BU77" i="31" s="1"/>
  <c r="BU40" i="31"/>
  <c r="ID73" i="29"/>
  <c r="ID77" i="31" s="1"/>
  <c r="ID40" i="31"/>
  <c r="EC73" i="29"/>
  <c r="EC77" i="31" s="1"/>
  <c r="EC40" i="31"/>
  <c r="BK78" i="29"/>
  <c r="BK82" i="31" s="1"/>
  <c r="BK77" i="31"/>
  <c r="AP73" i="29"/>
  <c r="AP77" i="31" s="1"/>
  <c r="AP40" i="31"/>
  <c r="AF73" i="29"/>
  <c r="AF77" i="31" s="1"/>
  <c r="AF40" i="31"/>
  <c r="HC73" i="29"/>
  <c r="HC77" i="31" s="1"/>
  <c r="HC40" i="31"/>
  <c r="AY73" i="29"/>
  <c r="AY77" i="31" s="1"/>
  <c r="AY40" i="31"/>
  <c r="BI73" i="29"/>
  <c r="BI77" i="31" s="1"/>
  <c r="BI40" i="31"/>
  <c r="DZ73" i="29"/>
  <c r="DZ77" i="31" s="1"/>
  <c r="DZ40" i="31"/>
  <c r="BM73" i="29"/>
  <c r="BM77" i="31" s="1"/>
  <c r="BM40" i="31"/>
  <c r="DW73" i="29"/>
  <c r="DW77" i="31" s="1"/>
  <c r="DW40" i="31"/>
  <c r="GF73" i="29"/>
  <c r="GF77" i="31" s="1"/>
  <c r="GF40" i="31"/>
  <c r="HQ73" i="29"/>
  <c r="HQ77" i="31" s="1"/>
  <c r="HQ40" i="31"/>
  <c r="FZ73" i="29"/>
  <c r="FZ77" i="31" s="1"/>
  <c r="FZ40" i="31"/>
  <c r="DR73" i="29"/>
  <c r="DR77" i="31" s="1"/>
  <c r="DR40" i="31"/>
  <c r="DG73" i="29"/>
  <c r="DG77" i="31" s="1"/>
  <c r="DG40" i="31"/>
  <c r="HO78" i="29"/>
  <c r="HO82" i="31" s="1"/>
  <c r="HO77" i="31"/>
  <c r="DS73" i="29"/>
  <c r="DS77" i="31" s="1"/>
  <c r="DS40" i="31"/>
  <c r="IH73" i="29"/>
  <c r="IH77" i="31" s="1"/>
  <c r="IH40" i="31"/>
  <c r="FL73" i="29"/>
  <c r="FL77" i="31" s="1"/>
  <c r="FL40" i="31"/>
  <c r="DI73" i="29"/>
  <c r="DI77" i="31" s="1"/>
  <c r="DI40" i="31"/>
  <c r="BR73" i="29"/>
  <c r="BR77" i="31" s="1"/>
  <c r="BR40" i="31"/>
  <c r="DV36" i="29"/>
  <c r="CC73" i="29"/>
  <c r="CC77" i="31" s="1"/>
  <c r="CC40" i="31"/>
  <c r="FW73" i="29"/>
  <c r="FW77" i="31" s="1"/>
  <c r="FW40" i="31"/>
  <c r="AL73" i="29"/>
  <c r="AL77" i="31" s="1"/>
  <c r="AL40" i="31"/>
  <c r="DF73" i="29"/>
  <c r="DF77" i="31" s="1"/>
  <c r="DF40" i="31"/>
  <c r="P73" i="29"/>
  <c r="P77" i="31" s="1"/>
  <c r="P40" i="31"/>
  <c r="EJ73" i="29"/>
  <c r="EJ77" i="31" s="1"/>
  <c r="EJ40" i="31"/>
  <c r="BW73" i="29"/>
  <c r="BW77" i="31" s="1"/>
  <c r="BW40" i="31"/>
  <c r="S73" i="29"/>
  <c r="S77" i="31" s="1"/>
  <c r="S40" i="31"/>
  <c r="CS73" i="29"/>
  <c r="CS40" i="31"/>
  <c r="BV73" i="29"/>
  <c r="BV77" i="31" s="1"/>
  <c r="BV40" i="31"/>
  <c r="EG73" i="29"/>
  <c r="EG77" i="31" s="1"/>
  <c r="EG40" i="31"/>
  <c r="CB73" i="29"/>
  <c r="CB77" i="31" s="1"/>
  <c r="CB40" i="31"/>
  <c r="J73" i="29"/>
  <c r="J77" i="31" s="1"/>
  <c r="J40" i="31"/>
  <c r="IZ73" i="29"/>
  <c r="IZ77" i="31" s="1"/>
  <c r="IZ40" i="31"/>
  <c r="HW73" i="29"/>
  <c r="HW77" i="31" s="1"/>
  <c r="HW40" i="31"/>
  <c r="CG73" i="29"/>
  <c r="CG77" i="31" s="1"/>
  <c r="CG40" i="31"/>
  <c r="CV73" i="29"/>
  <c r="CV77" i="31" s="1"/>
  <c r="CV40" i="31"/>
  <c r="AI73" i="29"/>
  <c r="AI77" i="31" s="1"/>
  <c r="AI40" i="31"/>
  <c r="JO49" i="29"/>
  <c r="JL49" i="29"/>
  <c r="JP42" i="29"/>
  <c r="V6" i="22"/>
  <c r="W6" i="22" s="1"/>
  <c r="V7" i="22"/>
  <c r="W7" i="22" s="1"/>
  <c r="V5" i="22"/>
  <c r="W5" i="22" s="1"/>
  <c r="V8" i="22"/>
  <c r="W8" i="22" s="1"/>
  <c r="F73" i="29"/>
  <c r="F77" i="31" s="1"/>
  <c r="JM36" i="29"/>
  <c r="HL73" i="29"/>
  <c r="HL77" i="31" s="1"/>
  <c r="JO36" i="29"/>
  <c r="ET73" i="29"/>
  <c r="ET77" i="31" s="1"/>
  <c r="JN36" i="29"/>
  <c r="JL36" i="29"/>
  <c r="C73" i="29"/>
  <c r="C77" i="31" s="1"/>
  <c r="JL77" i="31" s="1"/>
  <c r="JI36" i="29"/>
  <c r="JI40" i="31" s="1"/>
  <c r="L59" i="13"/>
  <c r="D3" i="19"/>
  <c r="D4" i="19"/>
  <c r="D5" i="19"/>
  <c r="D6" i="19"/>
  <c r="D7" i="19"/>
  <c r="D8" i="19"/>
  <c r="D9" i="19"/>
  <c r="D10" i="19"/>
  <c r="D11"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D119" i="19"/>
  <c r="D120" i="19"/>
  <c r="D121" i="19"/>
  <c r="D122" i="19"/>
  <c r="D123" i="19"/>
  <c r="D124" i="19"/>
  <c r="D125" i="19"/>
  <c r="D126" i="19"/>
  <c r="D127" i="19"/>
  <c r="D128" i="19"/>
  <c r="D129" i="19"/>
  <c r="D130" i="19"/>
  <c r="D131" i="19"/>
  <c r="D132" i="19"/>
  <c r="D133" i="19"/>
  <c r="D134" i="19"/>
  <c r="D135" i="19"/>
  <c r="D136" i="19"/>
  <c r="D137" i="19"/>
  <c r="D138" i="19"/>
  <c r="D139" i="19"/>
  <c r="D140" i="19"/>
  <c r="D141" i="19"/>
  <c r="D142" i="19"/>
  <c r="D143" i="19"/>
  <c r="D144" i="19"/>
  <c r="D145" i="19"/>
  <c r="D146" i="19"/>
  <c r="D147" i="19"/>
  <c r="D148" i="19"/>
  <c r="D149" i="19"/>
  <c r="D150" i="19"/>
  <c r="D151" i="19"/>
  <c r="D152" i="19"/>
  <c r="D153" i="19"/>
  <c r="D154" i="19"/>
  <c r="D155" i="19"/>
  <c r="D156" i="19"/>
  <c r="D157" i="19"/>
  <c r="D158" i="19"/>
  <c r="D159" i="19"/>
  <c r="D160" i="19"/>
  <c r="D161" i="19"/>
  <c r="D162" i="19"/>
  <c r="D163" i="19"/>
  <c r="D164" i="19"/>
  <c r="D165" i="19"/>
  <c r="D166" i="19"/>
  <c r="D167" i="19"/>
  <c r="D168" i="19"/>
  <c r="D169" i="19"/>
  <c r="D170" i="19"/>
  <c r="D171" i="19"/>
  <c r="D172" i="19"/>
  <c r="D173" i="19"/>
  <c r="D174" i="19"/>
  <c r="D175" i="19"/>
  <c r="D176" i="19"/>
  <c r="D177" i="19"/>
  <c r="D178" i="19"/>
  <c r="D179" i="19"/>
  <c r="D180" i="19"/>
  <c r="D181" i="19"/>
  <c r="D182" i="19"/>
  <c r="D183" i="19"/>
  <c r="D184" i="19"/>
  <c r="D185" i="19"/>
  <c r="D186" i="19"/>
  <c r="D187" i="19"/>
  <c r="D188" i="19"/>
  <c r="D189" i="19"/>
  <c r="D190" i="19"/>
  <c r="D191" i="19"/>
  <c r="D192" i="19"/>
  <c r="D193" i="19"/>
  <c r="D194" i="19"/>
  <c r="D195" i="19"/>
  <c r="D196" i="19"/>
  <c r="D197" i="19"/>
  <c r="D198" i="19"/>
  <c r="D199" i="19"/>
  <c r="D200" i="19"/>
  <c r="D201" i="19"/>
  <c r="D202" i="19"/>
  <c r="D203" i="19"/>
  <c r="D204" i="19"/>
  <c r="D205" i="19"/>
  <c r="D206" i="19"/>
  <c r="D207" i="19"/>
  <c r="D208" i="19"/>
  <c r="D209" i="19"/>
  <c r="D210" i="19"/>
  <c r="D211" i="19"/>
  <c r="D212" i="19"/>
  <c r="D213" i="19"/>
  <c r="D214" i="19"/>
  <c r="D215" i="19"/>
  <c r="D216" i="19"/>
  <c r="D217" i="19"/>
  <c r="D218" i="19"/>
  <c r="D219" i="19"/>
  <c r="D220" i="19"/>
  <c r="D221" i="19"/>
  <c r="D222" i="19"/>
  <c r="D223" i="19"/>
  <c r="D224" i="19"/>
  <c r="D225" i="19"/>
  <c r="D226" i="19"/>
  <c r="D227" i="19"/>
  <c r="D228" i="19"/>
  <c r="D229" i="19"/>
  <c r="D230" i="19"/>
  <c r="D231" i="19"/>
  <c r="D232" i="19"/>
  <c r="D233" i="19"/>
  <c r="D234" i="19"/>
  <c r="D235" i="19"/>
  <c r="D236" i="19"/>
  <c r="D237" i="19"/>
  <c r="D238" i="19"/>
  <c r="D239" i="19"/>
  <c r="D240" i="19"/>
  <c r="D241" i="19"/>
  <c r="D242" i="19"/>
  <c r="D243" i="19"/>
  <c r="D244" i="19"/>
  <c r="D245" i="19"/>
  <c r="D246" i="19"/>
  <c r="D247" i="19"/>
  <c r="D248" i="19"/>
  <c r="D249" i="19"/>
  <c r="D250" i="19"/>
  <c r="D251" i="19"/>
  <c r="D252" i="19"/>
  <c r="D253" i="19"/>
  <c r="D254" i="19"/>
  <c r="D255" i="19"/>
  <c r="D256" i="19"/>
  <c r="D257" i="19"/>
  <c r="D258" i="19"/>
  <c r="D259" i="19"/>
  <c r="D260" i="19"/>
  <c r="D261" i="19"/>
  <c r="D262" i="19"/>
  <c r="D263" i="19"/>
  <c r="D264" i="19"/>
  <c r="D265" i="19"/>
  <c r="D266" i="19"/>
  <c r="D267" i="19"/>
  <c r="D268" i="19"/>
  <c r="D269" i="19"/>
  <c r="D270" i="19"/>
  <c r="D271" i="19"/>
  <c r="D272" i="19"/>
  <c r="D273" i="19"/>
  <c r="D274" i="19"/>
  <c r="D275" i="19"/>
  <c r="D276" i="19"/>
  <c r="D277" i="19"/>
  <c r="D278" i="19"/>
  <c r="D279" i="19"/>
  <c r="D280" i="19"/>
  <c r="D281" i="19"/>
  <c r="D282" i="19"/>
  <c r="D283" i="19"/>
  <c r="D284" i="19"/>
  <c r="D285" i="19"/>
  <c r="D286" i="19"/>
  <c r="D287" i="19"/>
  <c r="D288" i="19"/>
  <c r="D289" i="19"/>
  <c r="D290" i="19"/>
  <c r="D291" i="19"/>
  <c r="D292" i="19"/>
  <c r="D293" i="19"/>
  <c r="D294" i="19"/>
  <c r="D295" i="19"/>
  <c r="D296" i="19"/>
  <c r="D297" i="19"/>
  <c r="D298" i="19"/>
  <c r="D299" i="19"/>
  <c r="D300" i="19"/>
  <c r="D301" i="19"/>
  <c r="D302" i="19"/>
  <c r="D303" i="19"/>
  <c r="D304" i="19"/>
  <c r="D305" i="19"/>
  <c r="D306" i="19"/>
  <c r="D307" i="19"/>
  <c r="D308" i="19"/>
  <c r="D309" i="19"/>
  <c r="D310" i="19"/>
  <c r="D311" i="19"/>
  <c r="D312" i="19"/>
  <c r="D313" i="19"/>
  <c r="D314" i="19"/>
  <c r="D315" i="19"/>
  <c r="D316" i="19"/>
  <c r="D317" i="19"/>
  <c r="D318" i="19"/>
  <c r="D319" i="19"/>
  <c r="D320" i="19"/>
  <c r="D321" i="19"/>
  <c r="D322" i="19"/>
  <c r="D323" i="19"/>
  <c r="D324" i="19"/>
  <c r="D325" i="19"/>
  <c r="D326" i="19"/>
  <c r="D327" i="19"/>
  <c r="D328" i="19"/>
  <c r="D329" i="19"/>
  <c r="D330" i="19"/>
  <c r="D331" i="19"/>
  <c r="D332" i="19"/>
  <c r="D333" i="19"/>
  <c r="D334" i="19"/>
  <c r="D335" i="19"/>
  <c r="D336" i="19"/>
  <c r="D337" i="19"/>
  <c r="D338" i="19"/>
  <c r="D339" i="19"/>
  <c r="D340" i="19"/>
  <c r="D341" i="19"/>
  <c r="D342" i="19"/>
  <c r="D343" i="19"/>
  <c r="D344" i="19"/>
  <c r="D345" i="19"/>
  <c r="D346" i="19"/>
  <c r="D347" i="19"/>
  <c r="D348" i="19"/>
  <c r="D349" i="19"/>
  <c r="D350" i="19"/>
  <c r="D351" i="19"/>
  <c r="D352" i="19"/>
  <c r="D353" i="19"/>
  <c r="D354" i="19"/>
  <c r="D355" i="19"/>
  <c r="D356" i="19"/>
  <c r="D357" i="19"/>
  <c r="D358" i="19"/>
  <c r="D359" i="19"/>
  <c r="D360" i="19"/>
  <c r="D361" i="19"/>
  <c r="D362" i="19"/>
  <c r="D363" i="19"/>
  <c r="D364" i="19"/>
  <c r="D365" i="19"/>
  <c r="D366" i="19"/>
  <c r="D367" i="19"/>
  <c r="D368" i="19"/>
  <c r="D369" i="19"/>
  <c r="D370" i="19"/>
  <c r="D371" i="19"/>
  <c r="D372" i="19"/>
  <c r="D373" i="19"/>
  <c r="D374" i="19"/>
  <c r="D375" i="19"/>
  <c r="D376" i="19"/>
  <c r="D377" i="19"/>
  <c r="D378" i="19"/>
  <c r="D379" i="19"/>
  <c r="D380" i="19"/>
  <c r="D381" i="19"/>
  <c r="D382" i="19"/>
  <c r="D383" i="19"/>
  <c r="D384" i="19"/>
  <c r="D385" i="19"/>
  <c r="D386" i="19"/>
  <c r="D387" i="19"/>
  <c r="D388" i="19"/>
  <c r="D389" i="19"/>
  <c r="D390" i="19"/>
  <c r="D391" i="19"/>
  <c r="D392" i="19"/>
  <c r="D393" i="19"/>
  <c r="D394" i="19"/>
  <c r="D395" i="19"/>
  <c r="D396" i="19"/>
  <c r="D397" i="19"/>
  <c r="D398" i="19"/>
  <c r="D399" i="19"/>
  <c r="D400" i="19"/>
  <c r="D401" i="19"/>
  <c r="D402" i="19"/>
  <c r="D403" i="19"/>
  <c r="D404" i="19"/>
  <c r="D405" i="19"/>
  <c r="D406" i="19"/>
  <c r="D407" i="19"/>
  <c r="D408" i="19"/>
  <c r="D409" i="19"/>
  <c r="D410" i="19"/>
  <c r="D411" i="19"/>
  <c r="D412" i="19"/>
  <c r="D413" i="19"/>
  <c r="D414" i="19"/>
  <c r="D415" i="19"/>
  <c r="D416" i="19"/>
  <c r="D417" i="19"/>
  <c r="D418" i="19"/>
  <c r="D419" i="19"/>
  <c r="D420" i="19"/>
  <c r="D421" i="19"/>
  <c r="D422" i="19"/>
  <c r="D423" i="19"/>
  <c r="D424" i="19"/>
  <c r="D425" i="19"/>
  <c r="D426" i="19"/>
  <c r="D427" i="19"/>
  <c r="D428" i="19"/>
  <c r="D429" i="19"/>
  <c r="D430" i="19"/>
  <c r="D431" i="19"/>
  <c r="D432" i="19"/>
  <c r="D433" i="19"/>
  <c r="D434" i="19"/>
  <c r="D435" i="19"/>
  <c r="D436" i="19"/>
  <c r="D437" i="19"/>
  <c r="D438" i="19"/>
  <c r="D439" i="19"/>
  <c r="D440" i="19"/>
  <c r="D441" i="19"/>
  <c r="D442" i="19"/>
  <c r="D443" i="19"/>
  <c r="D444" i="19"/>
  <c r="D445" i="19"/>
  <c r="D446" i="19"/>
  <c r="D447" i="19"/>
  <c r="D448" i="19"/>
  <c r="D449" i="19"/>
  <c r="D450" i="19"/>
  <c r="D451" i="19"/>
  <c r="D452" i="19"/>
  <c r="D453" i="19"/>
  <c r="D454" i="19"/>
  <c r="D455" i="19"/>
  <c r="D456" i="19"/>
  <c r="D457" i="19"/>
  <c r="D458" i="19"/>
  <c r="D459" i="19"/>
  <c r="D460" i="19"/>
  <c r="D461" i="19"/>
  <c r="D462" i="19"/>
  <c r="D463" i="19"/>
  <c r="D464" i="19"/>
  <c r="D465" i="19"/>
  <c r="D466" i="19"/>
  <c r="D467" i="19"/>
  <c r="D468" i="19"/>
  <c r="D469" i="19"/>
  <c r="D470" i="19"/>
  <c r="D471" i="19"/>
  <c r="D472" i="19"/>
  <c r="D473" i="19"/>
  <c r="D474" i="19"/>
  <c r="D475" i="19"/>
  <c r="D476" i="19"/>
  <c r="D477" i="19"/>
  <c r="D478" i="19"/>
  <c r="D479" i="19"/>
  <c r="D480" i="19"/>
  <c r="D481" i="19"/>
  <c r="D482" i="19"/>
  <c r="D483" i="19"/>
  <c r="D484" i="19"/>
  <c r="D485" i="19"/>
  <c r="D486" i="19"/>
  <c r="D487" i="19"/>
  <c r="D488" i="19"/>
  <c r="D489" i="19"/>
  <c r="D490" i="19"/>
  <c r="D491" i="19"/>
  <c r="D492" i="19"/>
  <c r="D493" i="19"/>
  <c r="D494" i="19"/>
  <c r="D495" i="19"/>
  <c r="D496" i="19"/>
  <c r="D497" i="19"/>
  <c r="D498" i="19"/>
  <c r="D499" i="19"/>
  <c r="D500" i="19"/>
  <c r="D501" i="19"/>
  <c r="D502" i="19"/>
  <c r="D503" i="19"/>
  <c r="D504" i="19"/>
  <c r="D505" i="19"/>
  <c r="D506" i="19"/>
  <c r="D507" i="19"/>
  <c r="D508" i="19"/>
  <c r="D509" i="19"/>
  <c r="D510" i="19"/>
  <c r="D511" i="19"/>
  <c r="D512" i="19"/>
  <c r="D513" i="19"/>
  <c r="D514" i="19"/>
  <c r="D515" i="19"/>
  <c r="D516" i="19"/>
  <c r="D517" i="19"/>
  <c r="D518" i="19"/>
  <c r="D519" i="19"/>
  <c r="D520" i="19"/>
  <c r="D521" i="19"/>
  <c r="D522" i="19"/>
  <c r="D523" i="19"/>
  <c r="D524" i="19"/>
  <c r="D525" i="19"/>
  <c r="D526" i="19"/>
  <c r="D527" i="19"/>
  <c r="D528" i="19"/>
  <c r="D529" i="19"/>
  <c r="D530" i="19"/>
  <c r="D531" i="19"/>
  <c r="D532" i="19"/>
  <c r="D533" i="19"/>
  <c r="D534" i="19"/>
  <c r="D535" i="19"/>
  <c r="D536" i="19"/>
  <c r="D537" i="19"/>
  <c r="D538" i="19"/>
  <c r="D539" i="19"/>
  <c r="D540" i="19"/>
  <c r="D541" i="19"/>
  <c r="D542" i="19"/>
  <c r="D543" i="19"/>
  <c r="D544" i="19"/>
  <c r="D545" i="19"/>
  <c r="D546" i="19"/>
  <c r="D547" i="19"/>
  <c r="D548" i="19"/>
  <c r="D549" i="19"/>
  <c r="D550" i="19"/>
  <c r="D551" i="19"/>
  <c r="D552" i="19"/>
  <c r="D553" i="19"/>
  <c r="D554" i="19"/>
  <c r="D555" i="19"/>
  <c r="D556" i="19"/>
  <c r="D557" i="19"/>
  <c r="D558" i="19"/>
  <c r="D559" i="19"/>
  <c r="D560" i="19"/>
  <c r="D561" i="19"/>
  <c r="D562" i="19"/>
  <c r="D563" i="19"/>
  <c r="D564" i="19"/>
  <c r="D565" i="19"/>
  <c r="D566" i="19"/>
  <c r="D567" i="19"/>
  <c r="D568" i="19"/>
  <c r="D569" i="19"/>
  <c r="D570" i="19"/>
  <c r="D571" i="19"/>
  <c r="D572" i="19"/>
  <c r="D573" i="19"/>
  <c r="D574" i="19"/>
  <c r="D575" i="19"/>
  <c r="D576" i="19"/>
  <c r="D577" i="19"/>
  <c r="D578" i="19"/>
  <c r="D579" i="19"/>
  <c r="D580" i="19"/>
  <c r="D581" i="19"/>
  <c r="D582" i="19"/>
  <c r="D583" i="19"/>
  <c r="D584" i="19"/>
  <c r="D585" i="19"/>
  <c r="D586" i="19"/>
  <c r="D587" i="19"/>
  <c r="D588" i="19"/>
  <c r="D589" i="19"/>
  <c r="D590" i="19"/>
  <c r="D591" i="19"/>
  <c r="D592" i="19"/>
  <c r="D593" i="19"/>
  <c r="D594" i="19"/>
  <c r="D595" i="19"/>
  <c r="D596" i="19"/>
  <c r="D597" i="19"/>
  <c r="D598" i="19"/>
  <c r="D599" i="19"/>
  <c r="D600" i="19"/>
  <c r="D601" i="19"/>
  <c r="D602" i="19"/>
  <c r="D603" i="19"/>
  <c r="D604" i="19"/>
  <c r="D605" i="19"/>
  <c r="D606" i="19"/>
  <c r="D607" i="19"/>
  <c r="D608" i="19"/>
  <c r="D610" i="19"/>
  <c r="D611" i="19"/>
  <c r="D612" i="19"/>
  <c r="D613" i="19"/>
  <c r="D614" i="19"/>
  <c r="D615" i="19"/>
  <c r="D616" i="19"/>
  <c r="D617" i="19"/>
  <c r="D618" i="19"/>
  <c r="D619" i="19"/>
  <c r="D620" i="19"/>
  <c r="D621" i="19"/>
  <c r="D622" i="19"/>
  <c r="D623" i="19"/>
  <c r="D624" i="19"/>
  <c r="D625" i="19"/>
  <c r="D626" i="19"/>
  <c r="D627" i="19"/>
  <c r="D628" i="19"/>
  <c r="D629" i="19"/>
  <c r="D630" i="19"/>
  <c r="D631" i="19"/>
  <c r="D632" i="19"/>
  <c r="D633" i="19"/>
  <c r="D634" i="19"/>
  <c r="D635" i="19"/>
  <c r="D636" i="19"/>
  <c r="D637" i="19"/>
  <c r="D638" i="19"/>
  <c r="D639" i="19"/>
  <c r="D640" i="19"/>
  <c r="D641" i="19"/>
  <c r="D642" i="19"/>
  <c r="D643" i="19"/>
  <c r="D644" i="19"/>
  <c r="D645" i="19"/>
  <c r="D646" i="19"/>
  <c r="D647" i="19"/>
  <c r="D648" i="19"/>
  <c r="D649" i="19"/>
  <c r="D650" i="19"/>
  <c r="D651" i="19"/>
  <c r="D652" i="19"/>
  <c r="D653" i="19"/>
  <c r="D654" i="19"/>
  <c r="D655" i="19"/>
  <c r="D656" i="19"/>
  <c r="D657" i="19"/>
  <c r="D658" i="19"/>
  <c r="D659" i="19"/>
  <c r="D660" i="19"/>
  <c r="D661" i="19"/>
  <c r="D662" i="19"/>
  <c r="D663" i="19"/>
  <c r="D664" i="19"/>
  <c r="D665" i="19"/>
  <c r="D666" i="19"/>
  <c r="D667" i="19"/>
  <c r="D668" i="19"/>
  <c r="D669" i="19"/>
  <c r="D670" i="19"/>
  <c r="D671" i="19"/>
  <c r="D672" i="19"/>
  <c r="D673" i="19"/>
  <c r="D674" i="19"/>
  <c r="D675" i="19"/>
  <c r="D676" i="19"/>
  <c r="D677" i="19"/>
  <c r="D678" i="19"/>
  <c r="D679" i="19"/>
  <c r="D680" i="19"/>
  <c r="D681" i="19"/>
  <c r="D682" i="19"/>
  <c r="D683" i="19"/>
  <c r="D684" i="19"/>
  <c r="D685" i="19"/>
  <c r="D686" i="19"/>
  <c r="D687" i="19"/>
  <c r="D688" i="19"/>
  <c r="D689" i="19"/>
  <c r="D690" i="19"/>
  <c r="D691" i="19"/>
  <c r="D692" i="19"/>
  <c r="D693" i="19"/>
  <c r="D694" i="19"/>
  <c r="D695" i="19"/>
  <c r="D696" i="19"/>
  <c r="D697" i="19"/>
  <c r="D698" i="19"/>
  <c r="D699" i="19"/>
  <c r="D700" i="19"/>
  <c r="D701" i="19"/>
  <c r="D702" i="19"/>
  <c r="D703" i="19"/>
  <c r="D704" i="19"/>
  <c r="D705" i="19"/>
  <c r="D706" i="19"/>
  <c r="D707" i="19"/>
  <c r="D708" i="19"/>
  <c r="D709" i="19"/>
  <c r="D710" i="19"/>
  <c r="D711" i="19"/>
  <c r="D712" i="19"/>
  <c r="D713" i="19"/>
  <c r="D714" i="19"/>
  <c r="D715" i="19"/>
  <c r="D716" i="19"/>
  <c r="D717" i="19"/>
  <c r="D718" i="19"/>
  <c r="D719" i="19"/>
  <c r="D720" i="19"/>
  <c r="D721" i="19"/>
  <c r="D722" i="19"/>
  <c r="D723" i="19"/>
  <c r="D724" i="19"/>
  <c r="D725" i="19"/>
  <c r="D726" i="19"/>
  <c r="D727" i="19"/>
  <c r="D728" i="19"/>
  <c r="D729" i="19"/>
  <c r="D730" i="19"/>
  <c r="D731" i="19"/>
  <c r="D732" i="19"/>
  <c r="D733" i="19"/>
  <c r="D734" i="19"/>
  <c r="D735" i="19"/>
  <c r="D736" i="19"/>
  <c r="D737" i="19"/>
  <c r="D738" i="19"/>
  <c r="D739" i="19"/>
  <c r="D740" i="19"/>
  <c r="D741" i="19"/>
  <c r="D742" i="19"/>
  <c r="D743" i="19"/>
  <c r="D744" i="19"/>
  <c r="D745" i="19"/>
  <c r="D746" i="19"/>
  <c r="D747" i="19"/>
  <c r="D748" i="19"/>
  <c r="D749" i="19"/>
  <c r="D750" i="19"/>
  <c r="D751" i="19"/>
  <c r="D752" i="19"/>
  <c r="D753" i="19"/>
  <c r="D754" i="19"/>
  <c r="D755" i="19"/>
  <c r="D756" i="19"/>
  <c r="D757" i="19"/>
  <c r="D758" i="19"/>
  <c r="D759" i="19"/>
  <c r="D760" i="19"/>
  <c r="D761" i="19"/>
  <c r="D762" i="19"/>
  <c r="D763" i="19"/>
  <c r="D764" i="19"/>
  <c r="D765" i="19"/>
  <c r="D766" i="19"/>
  <c r="D767" i="19"/>
  <c r="D768" i="19"/>
  <c r="D769" i="19"/>
  <c r="D770" i="19"/>
  <c r="D771" i="19"/>
  <c r="D772" i="19"/>
  <c r="D773" i="19"/>
  <c r="D774" i="19"/>
  <c r="D775" i="19"/>
  <c r="D776" i="19"/>
  <c r="D777" i="19"/>
  <c r="D778" i="19"/>
  <c r="D779" i="19"/>
  <c r="D780" i="19"/>
  <c r="D781" i="19"/>
  <c r="D782" i="19"/>
  <c r="D783" i="19"/>
  <c r="D784" i="19"/>
  <c r="D785" i="19"/>
  <c r="D786" i="19"/>
  <c r="D787" i="19"/>
  <c r="D788" i="19"/>
  <c r="D789" i="19"/>
  <c r="D790" i="19"/>
  <c r="D791" i="19"/>
  <c r="D792" i="19"/>
  <c r="D793" i="19"/>
  <c r="D794" i="19"/>
  <c r="D795" i="19"/>
  <c r="D796" i="19"/>
  <c r="D797" i="19"/>
  <c r="D798" i="19"/>
  <c r="D799" i="19"/>
  <c r="D800" i="19"/>
  <c r="D801" i="19"/>
  <c r="D802" i="19"/>
  <c r="D803" i="19"/>
  <c r="D804" i="19"/>
  <c r="D805" i="19"/>
  <c r="D806" i="19"/>
  <c r="D807" i="19"/>
  <c r="D808" i="19"/>
  <c r="D809" i="19"/>
  <c r="D810" i="19"/>
  <c r="D811" i="19"/>
  <c r="D812" i="19"/>
  <c r="D813" i="19"/>
  <c r="D814" i="19"/>
  <c r="D815" i="19"/>
  <c r="D816" i="19"/>
  <c r="D817" i="19"/>
  <c r="D818" i="19"/>
  <c r="D819" i="19"/>
  <c r="D820" i="19"/>
  <c r="D821" i="19"/>
  <c r="D822" i="19"/>
  <c r="D823" i="19"/>
  <c r="D824" i="19"/>
  <c r="D825" i="19"/>
  <c r="D826" i="19"/>
  <c r="D827" i="19"/>
  <c r="D828" i="19"/>
  <c r="D829" i="19"/>
  <c r="D830" i="19"/>
  <c r="D831" i="19"/>
  <c r="D832" i="19"/>
  <c r="D833" i="19"/>
  <c r="D834" i="19"/>
  <c r="D835" i="19"/>
  <c r="D836" i="19"/>
  <c r="D837" i="19"/>
  <c r="D838" i="19"/>
  <c r="D839" i="19"/>
  <c r="D840" i="19"/>
  <c r="D841" i="19"/>
  <c r="D842" i="19"/>
  <c r="D843" i="19"/>
  <c r="D844" i="19"/>
  <c r="D845" i="19"/>
  <c r="D846" i="19"/>
  <c r="D847" i="19"/>
  <c r="D848" i="19"/>
  <c r="D849" i="19"/>
  <c r="D850" i="19"/>
  <c r="D851" i="19"/>
  <c r="D852" i="19"/>
  <c r="D853" i="19"/>
  <c r="D854" i="19"/>
  <c r="D855" i="19"/>
  <c r="D856" i="19"/>
  <c r="D857" i="19"/>
  <c r="D858" i="19"/>
  <c r="D859" i="19"/>
  <c r="D860" i="19"/>
  <c r="D861" i="19"/>
  <c r="D862" i="19"/>
  <c r="D863" i="19"/>
  <c r="D864" i="19"/>
  <c r="D865" i="19"/>
  <c r="D866" i="19"/>
  <c r="D867" i="19"/>
  <c r="D868" i="19"/>
  <c r="D869" i="19"/>
  <c r="D870" i="19"/>
  <c r="D871" i="19"/>
  <c r="D872" i="19"/>
  <c r="D873" i="19"/>
  <c r="D874" i="19"/>
  <c r="D875" i="19"/>
  <c r="D876" i="19"/>
  <c r="D877" i="19"/>
  <c r="D878" i="19"/>
  <c r="D879" i="19"/>
  <c r="D880" i="19"/>
  <c r="D881" i="19"/>
  <c r="D882" i="19"/>
  <c r="D883" i="19"/>
  <c r="D884" i="19"/>
  <c r="D885" i="19"/>
  <c r="D886" i="19"/>
  <c r="D887" i="19"/>
  <c r="D888" i="19"/>
  <c r="D889" i="19"/>
  <c r="D890" i="19"/>
  <c r="D891" i="19"/>
  <c r="D892" i="19"/>
  <c r="D893" i="19"/>
  <c r="D894" i="19"/>
  <c r="D895" i="19"/>
  <c r="D896" i="19"/>
  <c r="D897" i="19"/>
  <c r="D898" i="19"/>
  <c r="D899" i="19"/>
  <c r="D900" i="19"/>
  <c r="D901" i="19"/>
  <c r="D902" i="19"/>
  <c r="D903" i="19"/>
  <c r="D904" i="19"/>
  <c r="D905" i="19"/>
  <c r="D906" i="19"/>
  <c r="D907" i="19"/>
  <c r="D908" i="19"/>
  <c r="D909" i="19"/>
  <c r="D910" i="19"/>
  <c r="D911" i="19"/>
  <c r="D912" i="19"/>
  <c r="D913" i="19"/>
  <c r="D914" i="19"/>
  <c r="D915" i="19"/>
  <c r="D916" i="19"/>
  <c r="D917" i="19"/>
  <c r="D918" i="19"/>
  <c r="D919" i="19"/>
  <c r="D920" i="19"/>
  <c r="D921" i="19"/>
  <c r="D922" i="19"/>
  <c r="D923" i="19"/>
  <c r="D924" i="19"/>
  <c r="D925" i="19"/>
  <c r="D926" i="19"/>
  <c r="D927" i="19"/>
  <c r="D928" i="19"/>
  <c r="D929" i="19"/>
  <c r="D930" i="19"/>
  <c r="D931" i="19"/>
  <c r="D932" i="19"/>
  <c r="D933" i="19"/>
  <c r="D934" i="19"/>
  <c r="D935" i="19"/>
  <c r="D936" i="19"/>
  <c r="D937" i="19"/>
  <c r="D938" i="19"/>
  <c r="D939" i="19"/>
  <c r="D940" i="19"/>
  <c r="D941" i="19"/>
  <c r="D942" i="19"/>
  <c r="D943" i="19"/>
  <c r="D944" i="19"/>
  <c r="D945" i="19"/>
  <c r="D946" i="19"/>
  <c r="D947" i="19"/>
  <c r="D948" i="19"/>
  <c r="D949" i="19"/>
  <c r="D950" i="19"/>
  <c r="D951" i="19"/>
  <c r="D952" i="19"/>
  <c r="D953" i="19"/>
  <c r="D954" i="19"/>
  <c r="D955" i="19"/>
  <c r="D956" i="19"/>
  <c r="D957" i="19"/>
  <c r="D958" i="19"/>
  <c r="D959" i="19"/>
  <c r="D960" i="19"/>
  <c r="D961" i="19"/>
  <c r="D962" i="19"/>
  <c r="D963" i="19"/>
  <c r="D964" i="19"/>
  <c r="D965" i="19"/>
  <c r="D966" i="19"/>
  <c r="D967" i="19"/>
  <c r="D968" i="19"/>
  <c r="D969" i="19"/>
  <c r="D970" i="19"/>
  <c r="D971" i="19"/>
  <c r="D972" i="19"/>
  <c r="D973" i="19"/>
  <c r="D974" i="19"/>
  <c r="D975" i="19"/>
  <c r="D976" i="19"/>
  <c r="D977" i="19"/>
  <c r="D978" i="19"/>
  <c r="D979" i="19"/>
  <c r="D980" i="19"/>
  <c r="D981" i="19"/>
  <c r="D982" i="19"/>
  <c r="D983" i="19"/>
  <c r="D984" i="19"/>
  <c r="D985" i="19"/>
  <c r="D986" i="19"/>
  <c r="D987" i="19"/>
  <c r="D988" i="19"/>
  <c r="D989" i="19"/>
  <c r="D990" i="19"/>
  <c r="D991" i="19"/>
  <c r="D992" i="19"/>
  <c r="D993" i="19"/>
  <c r="D994" i="19"/>
  <c r="D995" i="19"/>
  <c r="D996" i="19"/>
  <c r="D997" i="19"/>
  <c r="D998" i="19"/>
  <c r="D999" i="19"/>
  <c r="D1000" i="19"/>
  <c r="D1001" i="19"/>
  <c r="D1002" i="19"/>
  <c r="D1003" i="19"/>
  <c r="D1004" i="19"/>
  <c r="D1005" i="19"/>
  <c r="D1006" i="19"/>
  <c r="D1007" i="19"/>
  <c r="D1008" i="19"/>
  <c r="D1009" i="19"/>
  <c r="D1010" i="19"/>
  <c r="D1011" i="19"/>
  <c r="D1012" i="19"/>
  <c r="D1013" i="19"/>
  <c r="D1014" i="19"/>
  <c r="D1015" i="19"/>
  <c r="D1016" i="19"/>
  <c r="D1017" i="19"/>
  <c r="D1018" i="19"/>
  <c r="D1019" i="19"/>
  <c r="D1020" i="19"/>
  <c r="D1021" i="19"/>
  <c r="D1022" i="19"/>
  <c r="D1023" i="19"/>
  <c r="D1024" i="19"/>
  <c r="D1025" i="19"/>
  <c r="D1026" i="19"/>
  <c r="D1027" i="19"/>
  <c r="D1028" i="19"/>
  <c r="D1029" i="19"/>
  <c r="D1030" i="19"/>
  <c r="D1031" i="19"/>
  <c r="D1032" i="19"/>
  <c r="D1033" i="19"/>
  <c r="D1034" i="19"/>
  <c r="D1035" i="19"/>
  <c r="D1036" i="19"/>
  <c r="D1037" i="19"/>
  <c r="D1038" i="19"/>
  <c r="D1039" i="19"/>
  <c r="D1040" i="19"/>
  <c r="D1041" i="19"/>
  <c r="D1042" i="19"/>
  <c r="D1043" i="19"/>
  <c r="D1044" i="19"/>
  <c r="D1045" i="19"/>
  <c r="D1046" i="19"/>
  <c r="D1047" i="19"/>
  <c r="D1048" i="19"/>
  <c r="D1049" i="19"/>
  <c r="D1050" i="19"/>
  <c r="D1051" i="19"/>
  <c r="D1052" i="19"/>
  <c r="D1053" i="19"/>
  <c r="D1054" i="19"/>
  <c r="D1055" i="19"/>
  <c r="D1056" i="19"/>
  <c r="D1057" i="19"/>
  <c r="D1058" i="19"/>
  <c r="D1059" i="19"/>
  <c r="D1060" i="19"/>
  <c r="D1061" i="19"/>
  <c r="D1062" i="19"/>
  <c r="D1063" i="19"/>
  <c r="D1064" i="19"/>
  <c r="D1065" i="19"/>
  <c r="D1066" i="19"/>
  <c r="D1067" i="19"/>
  <c r="D1068" i="19"/>
  <c r="D1069" i="19"/>
  <c r="D1070" i="19"/>
  <c r="D1071" i="19"/>
  <c r="D1072" i="19"/>
  <c r="D1073" i="19"/>
  <c r="D1074" i="19"/>
  <c r="D1075" i="19"/>
  <c r="D1076" i="19"/>
  <c r="D1077" i="19"/>
  <c r="D1078" i="19"/>
  <c r="D1079" i="19"/>
  <c r="D1080" i="19"/>
  <c r="D1081" i="19"/>
  <c r="D1082" i="19"/>
  <c r="D1083" i="19"/>
  <c r="D1084" i="19"/>
  <c r="D1085" i="19"/>
  <c r="D1086" i="19"/>
  <c r="D1087" i="19"/>
  <c r="D1088" i="19"/>
  <c r="D1089" i="19"/>
  <c r="D1090" i="19"/>
  <c r="D1091" i="19"/>
  <c r="D1092" i="19"/>
  <c r="D1093" i="19"/>
  <c r="D1094" i="19"/>
  <c r="D1095" i="19"/>
  <c r="D1096" i="19"/>
  <c r="D1097" i="19"/>
  <c r="D1098" i="19"/>
  <c r="D1099" i="19"/>
  <c r="D1100" i="19"/>
  <c r="D1101" i="19"/>
  <c r="D1102" i="19"/>
  <c r="D1103" i="19"/>
  <c r="D1104" i="19"/>
  <c r="D1105" i="19"/>
  <c r="D1106" i="19"/>
  <c r="D1107" i="19"/>
  <c r="D1108" i="19"/>
  <c r="D1109" i="19"/>
  <c r="D1110" i="19"/>
  <c r="D1111" i="19"/>
  <c r="D1112" i="19"/>
  <c r="D1113" i="19"/>
  <c r="D1114" i="19"/>
  <c r="D1115" i="19"/>
  <c r="D1116" i="19"/>
  <c r="D1117" i="19"/>
  <c r="D1118" i="19"/>
  <c r="D1119" i="19"/>
  <c r="D1120" i="19"/>
  <c r="D1121" i="19"/>
  <c r="D1122" i="19"/>
  <c r="D1123" i="19"/>
  <c r="D1124" i="19"/>
  <c r="D1125" i="19"/>
  <c r="D1126" i="19"/>
  <c r="D1127" i="19"/>
  <c r="D1128" i="19"/>
  <c r="D1129" i="19"/>
  <c r="D1130" i="19"/>
  <c r="D1131" i="19"/>
  <c r="D1132" i="19"/>
  <c r="D1133" i="19"/>
  <c r="D1134" i="19"/>
  <c r="D1135" i="19"/>
  <c r="D1136" i="19"/>
  <c r="D1137" i="19"/>
  <c r="D1138" i="19"/>
  <c r="D1139" i="19"/>
  <c r="D1140" i="19"/>
  <c r="D1141" i="19"/>
  <c r="D1142" i="19"/>
  <c r="D1143" i="19"/>
  <c r="D1144" i="19"/>
  <c r="D1145" i="19"/>
  <c r="D1146" i="19"/>
  <c r="D1147" i="19"/>
  <c r="D1148" i="19"/>
  <c r="D1149" i="19"/>
  <c r="D1150" i="19"/>
  <c r="D1151" i="19"/>
  <c r="D1152" i="19"/>
  <c r="D1153" i="19"/>
  <c r="D1154" i="19"/>
  <c r="D1155" i="19"/>
  <c r="D1156" i="19"/>
  <c r="D1157" i="19"/>
  <c r="D1158" i="19"/>
  <c r="D1159" i="19"/>
  <c r="D1160" i="19"/>
  <c r="D1161" i="19"/>
  <c r="D1162" i="19"/>
  <c r="D1163" i="19"/>
  <c r="D1164" i="19"/>
  <c r="D1165" i="19"/>
  <c r="D1166" i="19"/>
  <c r="D1167" i="19"/>
  <c r="D1168" i="19"/>
  <c r="D1169" i="19"/>
  <c r="D1170" i="19"/>
  <c r="D1171" i="19"/>
  <c r="D1172" i="19"/>
  <c r="D1173" i="19"/>
  <c r="D1174" i="19"/>
  <c r="D1175" i="19"/>
  <c r="D1176" i="19"/>
  <c r="D1177" i="19"/>
  <c r="D1178" i="19"/>
  <c r="D1179" i="19"/>
  <c r="D1180" i="19"/>
  <c r="D1181" i="19"/>
  <c r="D1182" i="19"/>
  <c r="D1183" i="19"/>
  <c r="D1184" i="19"/>
  <c r="D1185" i="19"/>
  <c r="D1186" i="19"/>
  <c r="D1187" i="19"/>
  <c r="D1188" i="19"/>
  <c r="D1189" i="19"/>
  <c r="D1190" i="19"/>
  <c r="D1191" i="19"/>
  <c r="D1192" i="19"/>
  <c r="D1193" i="19"/>
  <c r="D1194" i="19"/>
  <c r="D1195" i="19"/>
  <c r="D1196" i="19"/>
  <c r="D1197" i="19"/>
  <c r="D1198" i="19"/>
  <c r="D1199" i="19"/>
  <c r="D1200" i="19"/>
  <c r="D1201" i="19"/>
  <c r="D1202" i="19"/>
  <c r="D1203" i="19"/>
  <c r="D1204" i="19"/>
  <c r="D1205" i="19"/>
  <c r="D1206" i="19"/>
  <c r="D1207" i="19"/>
  <c r="D1208" i="19"/>
  <c r="D1209" i="19"/>
  <c r="D1210" i="19"/>
  <c r="D1211" i="19"/>
  <c r="D1212" i="19"/>
  <c r="D1213" i="19"/>
  <c r="D1214" i="19"/>
  <c r="D1215" i="19"/>
  <c r="D1216" i="19"/>
  <c r="D1217" i="19"/>
  <c r="D1218" i="19"/>
  <c r="D1219" i="19"/>
  <c r="D1220" i="19"/>
  <c r="D1221" i="19"/>
  <c r="D1222" i="19"/>
  <c r="D1223" i="19"/>
  <c r="D1224" i="19"/>
  <c r="D1225" i="19"/>
  <c r="D1226" i="19"/>
  <c r="D1227" i="19"/>
  <c r="D1228" i="19"/>
  <c r="D1229" i="19"/>
  <c r="D1230" i="19"/>
  <c r="D1231" i="19"/>
  <c r="D1232" i="19"/>
  <c r="D1233" i="19"/>
  <c r="D1234" i="19"/>
  <c r="D1235" i="19"/>
  <c r="D1236" i="19"/>
  <c r="D1237" i="19"/>
  <c r="D1238" i="19"/>
  <c r="D1239" i="19"/>
  <c r="D1240" i="19"/>
  <c r="D1241" i="19"/>
  <c r="D1242" i="19"/>
  <c r="D1243" i="19"/>
  <c r="D1244" i="19"/>
  <c r="D1245" i="19"/>
  <c r="D1246" i="19"/>
  <c r="D1247" i="19"/>
  <c r="D1248" i="19"/>
  <c r="D1249" i="19"/>
  <c r="D1250" i="19"/>
  <c r="D1251" i="19"/>
  <c r="D1252" i="19"/>
  <c r="D1253" i="19"/>
  <c r="D1254" i="19"/>
  <c r="D1255" i="19"/>
  <c r="D1256" i="19"/>
  <c r="D1257" i="19"/>
  <c r="D1258" i="19"/>
  <c r="D1259" i="19"/>
  <c r="D1260" i="19"/>
  <c r="D1261" i="19"/>
  <c r="D1262" i="19"/>
  <c r="D1263" i="19"/>
  <c r="D1264" i="19"/>
  <c r="D1265" i="19"/>
  <c r="D1266" i="19"/>
  <c r="D1267" i="19"/>
  <c r="D1268" i="19"/>
  <c r="D1269" i="19"/>
  <c r="D1270" i="19"/>
  <c r="D1271" i="19"/>
  <c r="D1272" i="19"/>
  <c r="D1273" i="19"/>
  <c r="D1274" i="19"/>
  <c r="D1275" i="19"/>
  <c r="D1276" i="19"/>
  <c r="D1277" i="19"/>
  <c r="D1278" i="19"/>
  <c r="D1279" i="19"/>
  <c r="D1280" i="19"/>
  <c r="D1281" i="19"/>
  <c r="D1282" i="19"/>
  <c r="D1283" i="19"/>
  <c r="D1284" i="19"/>
  <c r="D1285" i="19"/>
  <c r="D1286" i="19"/>
  <c r="D1287" i="19"/>
  <c r="D1288" i="19"/>
  <c r="D1289" i="19"/>
  <c r="D1290" i="19"/>
  <c r="D1291" i="19"/>
  <c r="D1292" i="19"/>
  <c r="D1293" i="19"/>
  <c r="D1294" i="19"/>
  <c r="D1295" i="19"/>
  <c r="D1296" i="19"/>
  <c r="D1297" i="19"/>
  <c r="D1298" i="19"/>
  <c r="D1299" i="19"/>
  <c r="D1300" i="19"/>
  <c r="D1301" i="19"/>
  <c r="D1302" i="19"/>
  <c r="D1303" i="19"/>
  <c r="D1304" i="19"/>
  <c r="D1305" i="19"/>
  <c r="D1306" i="19"/>
  <c r="D1307" i="19"/>
  <c r="D1308" i="19"/>
  <c r="D1309" i="19"/>
  <c r="D1310" i="19"/>
  <c r="D1311" i="19"/>
  <c r="D1312" i="19"/>
  <c r="D1313" i="19"/>
  <c r="D1314" i="19"/>
  <c r="D1315" i="19"/>
  <c r="D1316" i="19"/>
  <c r="D1317" i="19"/>
  <c r="D1318" i="19"/>
  <c r="D1319" i="19"/>
  <c r="D1320" i="19"/>
  <c r="D1321" i="19"/>
  <c r="D1322" i="19"/>
  <c r="D1323" i="19"/>
  <c r="D1324" i="19"/>
  <c r="D1325" i="19"/>
  <c r="D1326" i="19"/>
  <c r="D1327" i="19"/>
  <c r="D1328" i="19"/>
  <c r="D1329" i="19"/>
  <c r="D1330" i="19"/>
  <c r="D1331" i="19"/>
  <c r="D1332" i="19"/>
  <c r="D1333" i="19"/>
  <c r="D1334" i="19"/>
  <c r="D1335" i="19"/>
  <c r="D1336" i="19"/>
  <c r="D1337" i="19"/>
  <c r="D1338" i="19"/>
  <c r="D1339" i="19"/>
  <c r="D1340" i="19"/>
  <c r="D1341" i="19"/>
  <c r="D1342" i="19"/>
  <c r="D1343" i="19"/>
  <c r="D1344" i="19"/>
  <c r="D1345" i="19"/>
  <c r="D1346" i="19"/>
  <c r="D1347" i="19"/>
  <c r="D609" i="19"/>
  <c r="JN40" i="31" l="1"/>
  <c r="AC22" i="29"/>
  <c r="AC21" i="29"/>
  <c r="AC20" i="29"/>
  <c r="AC19" i="29"/>
  <c r="AC19" i="31" s="1"/>
  <c r="AC77" i="31"/>
  <c r="JN77" i="31"/>
  <c r="JO40" i="31"/>
  <c r="CS78" i="29"/>
  <c r="CS82" i="31" s="1"/>
  <c r="CS77" i="31"/>
  <c r="JO77" i="31"/>
  <c r="DV73" i="29"/>
  <c r="DV77" i="31" s="1"/>
  <c r="DV40" i="31"/>
  <c r="JM40" i="31" s="1"/>
  <c r="JE22" i="29"/>
  <c r="JA22" i="29"/>
  <c r="IW22" i="29"/>
  <c r="IS22" i="29"/>
  <c r="IO22" i="29"/>
  <c r="IK22" i="29"/>
  <c r="JH22" i="29"/>
  <c r="JD22" i="29"/>
  <c r="IZ22" i="29"/>
  <c r="IV22" i="29"/>
  <c r="IR22" i="29"/>
  <c r="IN22" i="29"/>
  <c r="IJ22" i="29"/>
  <c r="IF22" i="29"/>
  <c r="JG22" i="29"/>
  <c r="JC22" i="29"/>
  <c r="IY22" i="29"/>
  <c r="IU22" i="29"/>
  <c r="IQ22" i="29"/>
  <c r="IM22" i="29"/>
  <c r="II22" i="29"/>
  <c r="IE22" i="29"/>
  <c r="IA22" i="29"/>
  <c r="JB22" i="29"/>
  <c r="IL22" i="29"/>
  <c r="IC22" i="29"/>
  <c r="HX22" i="29"/>
  <c r="HT22" i="29"/>
  <c r="HP22" i="29"/>
  <c r="HL22" i="29"/>
  <c r="HH22" i="29"/>
  <c r="HD22" i="29"/>
  <c r="GZ22" i="29"/>
  <c r="GV22" i="29"/>
  <c r="GR22" i="29"/>
  <c r="GN22" i="29"/>
  <c r="GJ22" i="29"/>
  <c r="GF22" i="29"/>
  <c r="GB22" i="29"/>
  <c r="FX22" i="29"/>
  <c r="FT22" i="29"/>
  <c r="FP22" i="29"/>
  <c r="FL22" i="29"/>
  <c r="FH22" i="29"/>
  <c r="FD22" i="29"/>
  <c r="EZ22" i="29"/>
  <c r="EV22" i="29"/>
  <c r="ER22" i="29"/>
  <c r="EN22" i="29"/>
  <c r="EJ22" i="29"/>
  <c r="EF22" i="29"/>
  <c r="EB22" i="29"/>
  <c r="DX22" i="29"/>
  <c r="DT22" i="29"/>
  <c r="DP22" i="29"/>
  <c r="DL22" i="29"/>
  <c r="DH22" i="29"/>
  <c r="DD22" i="29"/>
  <c r="CZ22" i="29"/>
  <c r="CV22" i="29"/>
  <c r="CR22" i="29"/>
  <c r="CN22" i="29"/>
  <c r="CJ22" i="29"/>
  <c r="CF22" i="29"/>
  <c r="CB22" i="29"/>
  <c r="BX22" i="29"/>
  <c r="BT22" i="29"/>
  <c r="BP22" i="29"/>
  <c r="BL22" i="29"/>
  <c r="BH22" i="29"/>
  <c r="BD22" i="29"/>
  <c r="AZ22" i="29"/>
  <c r="AV22" i="29"/>
  <c r="AR22" i="29"/>
  <c r="AN22" i="29"/>
  <c r="AJ22" i="29"/>
  <c r="AF22" i="29"/>
  <c r="AA22" i="29"/>
  <c r="W22" i="29"/>
  <c r="S22" i="29"/>
  <c r="O22" i="29"/>
  <c r="K22" i="29"/>
  <c r="G22" i="29"/>
  <c r="C22" i="29"/>
  <c r="JE21" i="29"/>
  <c r="JA21" i="29"/>
  <c r="IW21" i="29"/>
  <c r="IS21" i="29"/>
  <c r="IO21" i="29"/>
  <c r="IK21" i="29"/>
  <c r="IG21" i="29"/>
  <c r="IC21" i="29"/>
  <c r="HY21" i="29"/>
  <c r="HU21" i="29"/>
  <c r="HQ21" i="29"/>
  <c r="HM21" i="29"/>
  <c r="HI21" i="29"/>
  <c r="HE21" i="29"/>
  <c r="HA21" i="29"/>
  <c r="GW21" i="29"/>
  <c r="GS21" i="29"/>
  <c r="GO21" i="29"/>
  <c r="GK21" i="29"/>
  <c r="GG21" i="29"/>
  <c r="GC21" i="29"/>
  <c r="FY21" i="29"/>
  <c r="FU21" i="29"/>
  <c r="FQ21" i="29"/>
  <c r="FM21" i="29"/>
  <c r="FI21" i="29"/>
  <c r="FE21" i="29"/>
  <c r="FA21" i="29"/>
  <c r="EW21" i="29"/>
  <c r="ES21" i="29"/>
  <c r="EO21" i="29"/>
  <c r="EK21" i="29"/>
  <c r="EG21" i="29"/>
  <c r="EC21" i="29"/>
  <c r="DY21" i="29"/>
  <c r="DU21" i="29"/>
  <c r="DQ21" i="29"/>
  <c r="DM21" i="29"/>
  <c r="DI21" i="29"/>
  <c r="DE21" i="29"/>
  <c r="DA21" i="29"/>
  <c r="CW21" i="29"/>
  <c r="CS21" i="29"/>
  <c r="CO21" i="29"/>
  <c r="CK21" i="29"/>
  <c r="CG21" i="29"/>
  <c r="CC21" i="29"/>
  <c r="BY21" i="29"/>
  <c r="BU21" i="29"/>
  <c r="BQ21" i="29"/>
  <c r="BM21" i="29"/>
  <c r="BI21" i="29"/>
  <c r="BE21" i="29"/>
  <c r="BA21" i="29"/>
  <c r="AW21" i="29"/>
  <c r="AS21" i="29"/>
  <c r="AO21" i="29"/>
  <c r="AK21" i="29"/>
  <c r="AG21" i="29"/>
  <c r="AB21" i="29"/>
  <c r="X21" i="29"/>
  <c r="T21" i="29"/>
  <c r="P21" i="29"/>
  <c r="L21" i="29"/>
  <c r="H21" i="29"/>
  <c r="D21" i="29"/>
  <c r="JF20" i="29"/>
  <c r="JF20" i="31" s="1"/>
  <c r="JB20" i="29"/>
  <c r="JB20" i="31" s="1"/>
  <c r="IX20" i="29"/>
  <c r="IX20" i="31" s="1"/>
  <c r="IT20" i="29"/>
  <c r="IT20" i="31" s="1"/>
  <c r="IP20" i="29"/>
  <c r="IP20" i="31" s="1"/>
  <c r="IL20" i="29"/>
  <c r="IL20" i="31" s="1"/>
  <c r="IH20" i="29"/>
  <c r="IH20" i="31" s="1"/>
  <c r="ID20" i="29"/>
  <c r="ID20" i="31" s="1"/>
  <c r="HZ20" i="29"/>
  <c r="HZ20" i="31" s="1"/>
  <c r="HV20" i="29"/>
  <c r="HV20" i="31" s="1"/>
  <c r="HR20" i="29"/>
  <c r="HR20" i="31" s="1"/>
  <c r="HN20" i="29"/>
  <c r="HN20" i="31" s="1"/>
  <c r="HJ20" i="29"/>
  <c r="HJ20" i="31" s="1"/>
  <c r="HF20" i="29"/>
  <c r="HF20" i="31" s="1"/>
  <c r="HB20" i="29"/>
  <c r="HB20" i="31" s="1"/>
  <c r="GX20" i="29"/>
  <c r="GX20" i="31" s="1"/>
  <c r="GT20" i="29"/>
  <c r="GT20" i="31" s="1"/>
  <c r="GP20" i="29"/>
  <c r="GP20" i="31" s="1"/>
  <c r="GL20" i="29"/>
  <c r="GL20" i="31" s="1"/>
  <c r="GH20" i="29"/>
  <c r="GH20" i="31" s="1"/>
  <c r="GD20" i="29"/>
  <c r="GD20" i="31" s="1"/>
  <c r="FZ20" i="29"/>
  <c r="FZ20" i="31" s="1"/>
  <c r="FV20" i="29"/>
  <c r="FV20" i="31" s="1"/>
  <c r="FR20" i="29"/>
  <c r="FR20" i="31" s="1"/>
  <c r="FN20" i="29"/>
  <c r="FN20" i="31" s="1"/>
  <c r="FJ20" i="29"/>
  <c r="FJ20" i="31" s="1"/>
  <c r="FF20" i="29"/>
  <c r="FF20" i="31" s="1"/>
  <c r="FB20" i="29"/>
  <c r="FB20" i="31" s="1"/>
  <c r="EX20" i="29"/>
  <c r="EX20" i="31" s="1"/>
  <c r="ET20" i="29"/>
  <c r="ET20" i="31" s="1"/>
  <c r="EP20" i="29"/>
  <c r="EP20" i="31" s="1"/>
  <c r="EL20" i="29"/>
  <c r="EL20" i="31" s="1"/>
  <c r="EH20" i="29"/>
  <c r="EH20" i="31" s="1"/>
  <c r="ED20" i="29"/>
  <c r="ED20" i="31" s="1"/>
  <c r="DZ20" i="29"/>
  <c r="DZ20" i="31" s="1"/>
  <c r="DV20" i="29"/>
  <c r="DV20" i="31" s="1"/>
  <c r="DR20" i="29"/>
  <c r="DR20" i="31" s="1"/>
  <c r="DN20" i="29"/>
  <c r="DN20" i="31" s="1"/>
  <c r="DJ20" i="29"/>
  <c r="DJ20" i="31" s="1"/>
  <c r="DF20" i="29"/>
  <c r="DF20" i="31" s="1"/>
  <c r="DB20" i="29"/>
  <c r="DB20" i="31" s="1"/>
  <c r="CX20" i="29"/>
  <c r="CX20" i="31" s="1"/>
  <c r="CT20" i="29"/>
  <c r="CT20" i="31" s="1"/>
  <c r="CP20" i="29"/>
  <c r="CP20" i="31" s="1"/>
  <c r="CL20" i="29"/>
  <c r="CL20" i="31" s="1"/>
  <c r="CH20" i="29"/>
  <c r="CH20" i="31" s="1"/>
  <c r="CD20" i="29"/>
  <c r="CD20" i="31" s="1"/>
  <c r="BZ20" i="29"/>
  <c r="BZ20" i="31" s="1"/>
  <c r="BV20" i="29"/>
  <c r="BV20" i="31" s="1"/>
  <c r="BR20" i="29"/>
  <c r="BR20" i="31" s="1"/>
  <c r="BN20" i="29"/>
  <c r="BN20" i="31" s="1"/>
  <c r="BJ20" i="29"/>
  <c r="BJ20" i="31" s="1"/>
  <c r="BF20" i="29"/>
  <c r="BF20" i="31" s="1"/>
  <c r="BB20" i="29"/>
  <c r="BB20" i="31" s="1"/>
  <c r="AX20" i="29"/>
  <c r="AX20" i="31" s="1"/>
  <c r="AT20" i="29"/>
  <c r="AT20" i="31" s="1"/>
  <c r="AP20" i="29"/>
  <c r="AP20" i="31" s="1"/>
  <c r="AL20" i="29"/>
  <c r="AL20" i="31" s="1"/>
  <c r="AH20" i="29"/>
  <c r="AH20" i="31" s="1"/>
  <c r="AD20" i="29"/>
  <c r="AD20" i="31" s="1"/>
  <c r="Y20" i="29"/>
  <c r="Y20" i="31" s="1"/>
  <c r="U20" i="29"/>
  <c r="U20" i="31" s="1"/>
  <c r="Q20" i="29"/>
  <c r="Q20" i="31" s="1"/>
  <c r="M20" i="29"/>
  <c r="M20" i="31" s="1"/>
  <c r="I20" i="29"/>
  <c r="I20" i="31" s="1"/>
  <c r="E20" i="29"/>
  <c r="E20" i="31" s="1"/>
  <c r="JG19" i="29"/>
  <c r="JG19" i="31" s="1"/>
  <c r="JC19" i="29"/>
  <c r="JC19" i="31" s="1"/>
  <c r="IY19" i="29"/>
  <c r="IY19" i="31" s="1"/>
  <c r="IU19" i="29"/>
  <c r="IU19" i="31" s="1"/>
  <c r="IQ19" i="29"/>
  <c r="IQ19" i="31" s="1"/>
  <c r="IM19" i="29"/>
  <c r="IM19" i="31" s="1"/>
  <c r="II19" i="29"/>
  <c r="II19" i="31" s="1"/>
  <c r="IE19" i="29"/>
  <c r="IE19" i="31" s="1"/>
  <c r="IA19" i="29"/>
  <c r="IA19" i="31" s="1"/>
  <c r="HW19" i="29"/>
  <c r="HW19" i="31" s="1"/>
  <c r="HS19" i="29"/>
  <c r="HS19" i="31" s="1"/>
  <c r="HO19" i="29"/>
  <c r="HK19" i="29"/>
  <c r="HK19" i="31" s="1"/>
  <c r="HG19" i="29"/>
  <c r="HG19" i="31" s="1"/>
  <c r="HC19" i="29"/>
  <c r="HC19" i="31" s="1"/>
  <c r="GY19" i="29"/>
  <c r="GY19" i="31" s="1"/>
  <c r="GU19" i="29"/>
  <c r="GU19" i="31" s="1"/>
  <c r="GQ19" i="29"/>
  <c r="GQ19" i="31" s="1"/>
  <c r="GM19" i="29"/>
  <c r="GM19" i="31" s="1"/>
  <c r="GI19" i="29"/>
  <c r="GI19" i="31" s="1"/>
  <c r="GE19" i="29"/>
  <c r="GE19" i="31" s="1"/>
  <c r="GA19" i="29"/>
  <c r="GA19" i="31" s="1"/>
  <c r="FW19" i="29"/>
  <c r="FW19" i="31" s="1"/>
  <c r="FS19" i="29"/>
  <c r="FS19" i="31" s="1"/>
  <c r="FO19" i="29"/>
  <c r="FO19" i="31" s="1"/>
  <c r="FK19" i="29"/>
  <c r="FK19" i="31" s="1"/>
  <c r="FG19" i="29"/>
  <c r="FG19" i="31" s="1"/>
  <c r="FC19" i="29"/>
  <c r="FC19" i="31" s="1"/>
  <c r="EY19" i="29"/>
  <c r="EY19" i="31" s="1"/>
  <c r="EU19" i="29"/>
  <c r="EU19" i="31" s="1"/>
  <c r="EQ19" i="29"/>
  <c r="EQ19" i="31" s="1"/>
  <c r="EM19" i="29"/>
  <c r="EM19" i="31" s="1"/>
  <c r="EI19" i="29"/>
  <c r="EI19" i="31" s="1"/>
  <c r="EE19" i="29"/>
  <c r="EE19" i="31" s="1"/>
  <c r="EA19" i="29"/>
  <c r="EA19" i="31" s="1"/>
  <c r="DW19" i="29"/>
  <c r="DW19" i="31" s="1"/>
  <c r="DS19" i="29"/>
  <c r="DS19" i="31" s="1"/>
  <c r="DO19" i="29"/>
  <c r="DO19" i="31" s="1"/>
  <c r="DK19" i="29"/>
  <c r="DK19" i="31" s="1"/>
  <c r="DG19" i="29"/>
  <c r="DG19" i="31" s="1"/>
  <c r="DC19" i="29"/>
  <c r="DC19" i="31" s="1"/>
  <c r="CY19" i="29"/>
  <c r="CY19" i="31" s="1"/>
  <c r="CU19" i="29"/>
  <c r="CU19" i="31" s="1"/>
  <c r="CQ19" i="29"/>
  <c r="CQ19" i="31" s="1"/>
  <c r="CM19" i="29"/>
  <c r="CM19" i="31" s="1"/>
  <c r="CI19" i="29"/>
  <c r="CI19" i="31" s="1"/>
  <c r="CE19" i="29"/>
  <c r="CE19" i="31" s="1"/>
  <c r="CA19" i="29"/>
  <c r="CA19" i="31" s="1"/>
  <c r="BW19" i="29"/>
  <c r="BW19" i="31" s="1"/>
  <c r="BS19" i="29"/>
  <c r="BS19" i="31" s="1"/>
  <c r="BO19" i="29"/>
  <c r="BO19" i="31" s="1"/>
  <c r="BK19" i="29"/>
  <c r="BK19" i="31" s="1"/>
  <c r="BG19" i="29"/>
  <c r="BG19" i="31" s="1"/>
  <c r="BC19" i="29"/>
  <c r="BC19" i="31" s="1"/>
  <c r="AY19" i="29"/>
  <c r="AY19" i="31" s="1"/>
  <c r="AU19" i="29"/>
  <c r="AU19" i="31" s="1"/>
  <c r="AQ19" i="29"/>
  <c r="AQ19" i="31" s="1"/>
  <c r="AM19" i="29"/>
  <c r="AM19" i="31" s="1"/>
  <c r="AI19" i="29"/>
  <c r="AI19" i="31" s="1"/>
  <c r="AE19" i="29"/>
  <c r="AE19" i="31" s="1"/>
  <c r="Z19" i="29"/>
  <c r="Z19" i="31" s="1"/>
  <c r="V19" i="29"/>
  <c r="V19" i="31" s="1"/>
  <c r="R19" i="29"/>
  <c r="R19" i="31" s="1"/>
  <c r="N19" i="29"/>
  <c r="N19" i="31" s="1"/>
  <c r="J19" i="29"/>
  <c r="J19" i="31" s="1"/>
  <c r="F19" i="29"/>
  <c r="F19" i="31" s="1"/>
  <c r="IX22" i="29"/>
  <c r="IH22" i="29"/>
  <c r="IB22" i="29"/>
  <c r="HW22" i="29"/>
  <c r="HS22" i="29"/>
  <c r="HO22" i="29"/>
  <c r="HK22" i="29"/>
  <c r="HG22" i="29"/>
  <c r="HC22" i="29"/>
  <c r="GY22" i="29"/>
  <c r="GU22" i="29"/>
  <c r="GQ22" i="29"/>
  <c r="GM22" i="29"/>
  <c r="GI22" i="29"/>
  <c r="GE22" i="29"/>
  <c r="GA22" i="29"/>
  <c r="FW22" i="29"/>
  <c r="FS22" i="29"/>
  <c r="FO22" i="29"/>
  <c r="FK22" i="29"/>
  <c r="FG22" i="29"/>
  <c r="FC22" i="29"/>
  <c r="EY22" i="29"/>
  <c r="EU22" i="29"/>
  <c r="EQ22" i="29"/>
  <c r="EM22" i="29"/>
  <c r="EI22" i="29"/>
  <c r="EE22" i="29"/>
  <c r="EA22" i="29"/>
  <c r="DW22" i="29"/>
  <c r="DS22" i="29"/>
  <c r="DO22" i="29"/>
  <c r="DK22" i="29"/>
  <c r="DG22" i="29"/>
  <c r="DC22" i="29"/>
  <c r="CY22" i="29"/>
  <c r="CU22" i="29"/>
  <c r="CQ22" i="29"/>
  <c r="CM22" i="29"/>
  <c r="CI22" i="29"/>
  <c r="CE22" i="29"/>
  <c r="CA22" i="29"/>
  <c r="BW22" i="29"/>
  <c r="BS22" i="29"/>
  <c r="BO22" i="29"/>
  <c r="BK22" i="29"/>
  <c r="BG22" i="29"/>
  <c r="BC22" i="29"/>
  <c r="AY22" i="29"/>
  <c r="AU22" i="29"/>
  <c r="AQ22" i="29"/>
  <c r="AM22" i="29"/>
  <c r="AI22" i="29"/>
  <c r="AE22" i="29"/>
  <c r="Z22" i="29"/>
  <c r="V22" i="29"/>
  <c r="R22" i="29"/>
  <c r="N22" i="29"/>
  <c r="J22" i="29"/>
  <c r="F22" i="29"/>
  <c r="JH21" i="29"/>
  <c r="JD21" i="29"/>
  <c r="IZ21" i="29"/>
  <c r="IV21" i="29"/>
  <c r="IR21" i="29"/>
  <c r="IN21" i="29"/>
  <c r="IJ21" i="29"/>
  <c r="IF21" i="29"/>
  <c r="IB21" i="29"/>
  <c r="HX21" i="29"/>
  <c r="HT21" i="29"/>
  <c r="HP21" i="29"/>
  <c r="HL21" i="29"/>
  <c r="HH21" i="29"/>
  <c r="HD21" i="29"/>
  <c r="GZ21" i="29"/>
  <c r="GV21" i="29"/>
  <c r="GR21" i="29"/>
  <c r="GN21" i="29"/>
  <c r="GJ21" i="29"/>
  <c r="GF21" i="29"/>
  <c r="GB21" i="29"/>
  <c r="FX21" i="29"/>
  <c r="FT21" i="29"/>
  <c r="FP21" i="29"/>
  <c r="FL21" i="29"/>
  <c r="FH21" i="29"/>
  <c r="FD21" i="29"/>
  <c r="EZ21" i="29"/>
  <c r="EV21" i="29"/>
  <c r="ER21" i="29"/>
  <c r="EN21" i="29"/>
  <c r="EJ21" i="29"/>
  <c r="EF21" i="29"/>
  <c r="EB21" i="29"/>
  <c r="DX21" i="29"/>
  <c r="DT21" i="29"/>
  <c r="DP21" i="29"/>
  <c r="DL21" i="29"/>
  <c r="DH21" i="29"/>
  <c r="DD21" i="29"/>
  <c r="CZ21" i="29"/>
  <c r="CV21" i="29"/>
  <c r="CR21" i="29"/>
  <c r="CN21" i="29"/>
  <c r="CJ21" i="29"/>
  <c r="CF21" i="29"/>
  <c r="CB21" i="29"/>
  <c r="BX21" i="29"/>
  <c r="BT21" i="29"/>
  <c r="BP21" i="29"/>
  <c r="BL21" i="29"/>
  <c r="BH21" i="29"/>
  <c r="BD21" i="29"/>
  <c r="AZ21" i="29"/>
  <c r="AV21" i="29"/>
  <c r="AR21" i="29"/>
  <c r="AN21" i="29"/>
  <c r="AJ21" i="29"/>
  <c r="AF21" i="29"/>
  <c r="AA21" i="29"/>
  <c r="W21" i="29"/>
  <c r="S21" i="29"/>
  <c r="O21" i="29"/>
  <c r="K21" i="29"/>
  <c r="G21" i="29"/>
  <c r="C21" i="29"/>
  <c r="JE20" i="29"/>
  <c r="JE20" i="31" s="1"/>
  <c r="JA20" i="29"/>
  <c r="JA20" i="31" s="1"/>
  <c r="IW20" i="29"/>
  <c r="IW20" i="31" s="1"/>
  <c r="IS20" i="29"/>
  <c r="IS20" i="31" s="1"/>
  <c r="IO20" i="29"/>
  <c r="IO20" i="31" s="1"/>
  <c r="IK20" i="29"/>
  <c r="IK20" i="31" s="1"/>
  <c r="IG20" i="29"/>
  <c r="IG20" i="31" s="1"/>
  <c r="IC20" i="29"/>
  <c r="IC20" i="31" s="1"/>
  <c r="HY20" i="29"/>
  <c r="HY20" i="31" s="1"/>
  <c r="HU20" i="29"/>
  <c r="HU20" i="31" s="1"/>
  <c r="HQ20" i="29"/>
  <c r="HQ20" i="31" s="1"/>
  <c r="HM20" i="29"/>
  <c r="HM20" i="31" s="1"/>
  <c r="HI20" i="29"/>
  <c r="HI20" i="31" s="1"/>
  <c r="HE20" i="29"/>
  <c r="HE20" i="31" s="1"/>
  <c r="HA20" i="29"/>
  <c r="HA20" i="31" s="1"/>
  <c r="GW20" i="29"/>
  <c r="GW20" i="31" s="1"/>
  <c r="GS20" i="29"/>
  <c r="GS20" i="31" s="1"/>
  <c r="GO20" i="29"/>
  <c r="GO20" i="31" s="1"/>
  <c r="GK20" i="29"/>
  <c r="GK20" i="31" s="1"/>
  <c r="GG20" i="29"/>
  <c r="GG20" i="31" s="1"/>
  <c r="GC20" i="29"/>
  <c r="GC20" i="31" s="1"/>
  <c r="FY20" i="29"/>
  <c r="FY20" i="31" s="1"/>
  <c r="FU20" i="29"/>
  <c r="FU20" i="31" s="1"/>
  <c r="FQ20" i="29"/>
  <c r="FQ20" i="31" s="1"/>
  <c r="FM20" i="29"/>
  <c r="FM20" i="31" s="1"/>
  <c r="FI20" i="29"/>
  <c r="FI20" i="31" s="1"/>
  <c r="FE20" i="29"/>
  <c r="FE20" i="31" s="1"/>
  <c r="FA20" i="29"/>
  <c r="FA20" i="31" s="1"/>
  <c r="EW20" i="29"/>
  <c r="EW20" i="31" s="1"/>
  <c r="ES20" i="29"/>
  <c r="ES20" i="31" s="1"/>
  <c r="EO20" i="29"/>
  <c r="EO20" i="31" s="1"/>
  <c r="EK20" i="29"/>
  <c r="EK20" i="31" s="1"/>
  <c r="EG20" i="29"/>
  <c r="EG20" i="31" s="1"/>
  <c r="EC20" i="29"/>
  <c r="EC20" i="31" s="1"/>
  <c r="DY20" i="29"/>
  <c r="DY20" i="31" s="1"/>
  <c r="DU20" i="29"/>
  <c r="DU20" i="31" s="1"/>
  <c r="DQ20" i="29"/>
  <c r="DQ20" i="31" s="1"/>
  <c r="DM20" i="29"/>
  <c r="DM20" i="31" s="1"/>
  <c r="DI20" i="29"/>
  <c r="DI20" i="31" s="1"/>
  <c r="DE20" i="29"/>
  <c r="DE20" i="31" s="1"/>
  <c r="DA20" i="29"/>
  <c r="DA20" i="31" s="1"/>
  <c r="CW20" i="29"/>
  <c r="CW20" i="31" s="1"/>
  <c r="CS20" i="29"/>
  <c r="CS20" i="31" s="1"/>
  <c r="CO20" i="29"/>
  <c r="CO20" i="31" s="1"/>
  <c r="CK20" i="29"/>
  <c r="CK20" i="31" s="1"/>
  <c r="CG20" i="29"/>
  <c r="CG20" i="31" s="1"/>
  <c r="CC20" i="29"/>
  <c r="CC20" i="31" s="1"/>
  <c r="BY20" i="29"/>
  <c r="BY20" i="31" s="1"/>
  <c r="BU20" i="29"/>
  <c r="BU20" i="31" s="1"/>
  <c r="BQ20" i="29"/>
  <c r="BQ20" i="31" s="1"/>
  <c r="BM20" i="29"/>
  <c r="BM20" i="31" s="1"/>
  <c r="BI20" i="29"/>
  <c r="BI20" i="31" s="1"/>
  <c r="BE20" i="29"/>
  <c r="BE20" i="31" s="1"/>
  <c r="BA20" i="29"/>
  <c r="BA20" i="31" s="1"/>
  <c r="AW20" i="29"/>
  <c r="AW20" i="31" s="1"/>
  <c r="AS20" i="29"/>
  <c r="AS20" i="31" s="1"/>
  <c r="AO20" i="29"/>
  <c r="AO20" i="31" s="1"/>
  <c r="AK20" i="29"/>
  <c r="AK20" i="31" s="1"/>
  <c r="AG20" i="29"/>
  <c r="AG20" i="31" s="1"/>
  <c r="AB20" i="29"/>
  <c r="AB20" i="31" s="1"/>
  <c r="X20" i="29"/>
  <c r="X20" i="31" s="1"/>
  <c r="T20" i="29"/>
  <c r="T20" i="31" s="1"/>
  <c r="P20" i="29"/>
  <c r="P20" i="31" s="1"/>
  <c r="L20" i="29"/>
  <c r="L20" i="31" s="1"/>
  <c r="H20" i="29"/>
  <c r="H20" i="31" s="1"/>
  <c r="D20" i="29"/>
  <c r="D20" i="31" s="1"/>
  <c r="JF19" i="29"/>
  <c r="JF19" i="31" s="1"/>
  <c r="JB19" i="29"/>
  <c r="JB19" i="31" s="1"/>
  <c r="IX19" i="29"/>
  <c r="IX19" i="31" s="1"/>
  <c r="IT19" i="29"/>
  <c r="IT19" i="31" s="1"/>
  <c r="IP19" i="29"/>
  <c r="IP19" i="31" s="1"/>
  <c r="IL19" i="29"/>
  <c r="IL19" i="31" s="1"/>
  <c r="IH19" i="29"/>
  <c r="IH19" i="31" s="1"/>
  <c r="ID19" i="29"/>
  <c r="ID19" i="31" s="1"/>
  <c r="HZ19" i="29"/>
  <c r="HZ19" i="31" s="1"/>
  <c r="HV19" i="29"/>
  <c r="HV19" i="31" s="1"/>
  <c r="HR19" i="29"/>
  <c r="HR19" i="31" s="1"/>
  <c r="HN19" i="29"/>
  <c r="HN19" i="31" s="1"/>
  <c r="HJ19" i="29"/>
  <c r="HJ19" i="31" s="1"/>
  <c r="HF19" i="29"/>
  <c r="HF19" i="31" s="1"/>
  <c r="HB19" i="29"/>
  <c r="HB19" i="31" s="1"/>
  <c r="GX19" i="29"/>
  <c r="GX19" i="31" s="1"/>
  <c r="GT19" i="29"/>
  <c r="GT19" i="31" s="1"/>
  <c r="GP19" i="29"/>
  <c r="GP19" i="31" s="1"/>
  <c r="GL19" i="29"/>
  <c r="GL19" i="31" s="1"/>
  <c r="GH19" i="29"/>
  <c r="GH19" i="31" s="1"/>
  <c r="GD19" i="29"/>
  <c r="GD19" i="31" s="1"/>
  <c r="FZ19" i="29"/>
  <c r="FZ19" i="31" s="1"/>
  <c r="FV19" i="29"/>
  <c r="FV19" i="31" s="1"/>
  <c r="FR19" i="29"/>
  <c r="FN19" i="29"/>
  <c r="FN19" i="31" s="1"/>
  <c r="FJ19" i="29"/>
  <c r="FJ19" i="31" s="1"/>
  <c r="FF19" i="29"/>
  <c r="FF19" i="31" s="1"/>
  <c r="FB19" i="29"/>
  <c r="FB19" i="31" s="1"/>
  <c r="EX19" i="29"/>
  <c r="EX19" i="31" s="1"/>
  <c r="ET19" i="29"/>
  <c r="ET19" i="31" s="1"/>
  <c r="EP19" i="29"/>
  <c r="EP19" i="31" s="1"/>
  <c r="EL19" i="29"/>
  <c r="EL19" i="31" s="1"/>
  <c r="EH19" i="29"/>
  <c r="EH19" i="31" s="1"/>
  <c r="ED19" i="29"/>
  <c r="ED19" i="31" s="1"/>
  <c r="DZ19" i="29"/>
  <c r="DZ19" i="31" s="1"/>
  <c r="DV19" i="29"/>
  <c r="DV19" i="31" s="1"/>
  <c r="DR19" i="29"/>
  <c r="DR19" i="31" s="1"/>
  <c r="DN19" i="29"/>
  <c r="DN19" i="31" s="1"/>
  <c r="DJ19" i="29"/>
  <c r="DJ19" i="31" s="1"/>
  <c r="DF19" i="29"/>
  <c r="DF19" i="31" s="1"/>
  <c r="DB19" i="29"/>
  <c r="DB19" i="31" s="1"/>
  <c r="CX19" i="29"/>
  <c r="CX19" i="31" s="1"/>
  <c r="CT19" i="29"/>
  <c r="CT19" i="31" s="1"/>
  <c r="CP19" i="29"/>
  <c r="CP19" i="31" s="1"/>
  <c r="CL19" i="29"/>
  <c r="CL19" i="31" s="1"/>
  <c r="CH19" i="29"/>
  <c r="CH19" i="31" s="1"/>
  <c r="CD19" i="29"/>
  <c r="CD19" i="31" s="1"/>
  <c r="BZ19" i="29"/>
  <c r="BZ19" i="31" s="1"/>
  <c r="BV19" i="29"/>
  <c r="BV19" i="31" s="1"/>
  <c r="BR19" i="29"/>
  <c r="BR19" i="31" s="1"/>
  <c r="BN19" i="29"/>
  <c r="BN19" i="31" s="1"/>
  <c r="BJ19" i="29"/>
  <c r="BJ19" i="31" s="1"/>
  <c r="BF19" i="29"/>
  <c r="BF19" i="31" s="1"/>
  <c r="BB19" i="29"/>
  <c r="BB19" i="31" s="1"/>
  <c r="AX19" i="29"/>
  <c r="AX19" i="31" s="1"/>
  <c r="AT19" i="29"/>
  <c r="AT19" i="31" s="1"/>
  <c r="AP19" i="29"/>
  <c r="AP19" i="31" s="1"/>
  <c r="AL19" i="29"/>
  <c r="AL19" i="31" s="1"/>
  <c r="AH19" i="29"/>
  <c r="AH19" i="31" s="1"/>
  <c r="AD19" i="29"/>
  <c r="AD19" i="31" s="1"/>
  <c r="Y19" i="29"/>
  <c r="Y19" i="31" s="1"/>
  <c r="U19" i="29"/>
  <c r="U19" i="31" s="1"/>
  <c r="Q19" i="29"/>
  <c r="Q19" i="31" s="1"/>
  <c r="M19" i="29"/>
  <c r="M19" i="31" s="1"/>
  <c r="I19" i="29"/>
  <c r="I19" i="31" s="1"/>
  <c r="E19" i="29"/>
  <c r="E19" i="31" s="1"/>
  <c r="IT22" i="29"/>
  <c r="IG22" i="29"/>
  <c r="HZ22" i="29"/>
  <c r="HV22" i="29"/>
  <c r="HR22" i="29"/>
  <c r="HN22" i="29"/>
  <c r="HJ22" i="29"/>
  <c r="HF22" i="29"/>
  <c r="HB22" i="29"/>
  <c r="GX22" i="29"/>
  <c r="GT22" i="29"/>
  <c r="GP22" i="29"/>
  <c r="GL22" i="29"/>
  <c r="GH22" i="29"/>
  <c r="GD22" i="29"/>
  <c r="FZ22" i="29"/>
  <c r="FV22" i="29"/>
  <c r="FR22" i="29"/>
  <c r="FN22" i="29"/>
  <c r="FJ22" i="29"/>
  <c r="FF22" i="29"/>
  <c r="FB22" i="29"/>
  <c r="EX22" i="29"/>
  <c r="ET22" i="29"/>
  <c r="EP22" i="29"/>
  <c r="EL22" i="29"/>
  <c r="EH22" i="29"/>
  <c r="ED22" i="29"/>
  <c r="DZ22" i="29"/>
  <c r="DV22" i="29"/>
  <c r="DR22" i="29"/>
  <c r="DN22" i="29"/>
  <c r="DJ22" i="29"/>
  <c r="DF22" i="29"/>
  <c r="DB22" i="29"/>
  <c r="CX22" i="29"/>
  <c r="CT22" i="29"/>
  <c r="CP22" i="29"/>
  <c r="CL22" i="29"/>
  <c r="CH22" i="29"/>
  <c r="CD22" i="29"/>
  <c r="BZ22" i="29"/>
  <c r="BV22" i="29"/>
  <c r="BR22" i="29"/>
  <c r="BN22" i="29"/>
  <c r="BJ22" i="29"/>
  <c r="BF22" i="29"/>
  <c r="BB22" i="29"/>
  <c r="AX22" i="29"/>
  <c r="AT22" i="29"/>
  <c r="AP22" i="29"/>
  <c r="AL22" i="29"/>
  <c r="AH22" i="29"/>
  <c r="AD22" i="29"/>
  <c r="Y22" i="29"/>
  <c r="U22" i="29"/>
  <c r="Q22" i="29"/>
  <c r="M22" i="29"/>
  <c r="I22" i="29"/>
  <c r="E22" i="29"/>
  <c r="JG21" i="29"/>
  <c r="JC21" i="29"/>
  <c r="IY21" i="29"/>
  <c r="IU21" i="29"/>
  <c r="IQ21" i="29"/>
  <c r="IM21" i="29"/>
  <c r="II21" i="29"/>
  <c r="IE21" i="29"/>
  <c r="IA21" i="29"/>
  <c r="HW21" i="29"/>
  <c r="HS21" i="29"/>
  <c r="HO21" i="29"/>
  <c r="HK21" i="29"/>
  <c r="HG21" i="29"/>
  <c r="HC21" i="29"/>
  <c r="GY21" i="29"/>
  <c r="GU21" i="29"/>
  <c r="GQ21" i="29"/>
  <c r="GM21" i="29"/>
  <c r="GI21" i="29"/>
  <c r="GE21" i="29"/>
  <c r="GA21" i="29"/>
  <c r="FW21" i="29"/>
  <c r="FS21" i="29"/>
  <c r="FO21" i="29"/>
  <c r="FK21" i="29"/>
  <c r="FG21" i="29"/>
  <c r="FC21" i="29"/>
  <c r="EY21" i="29"/>
  <c r="EU21" i="29"/>
  <c r="EQ21" i="29"/>
  <c r="EM21" i="29"/>
  <c r="EI21" i="29"/>
  <c r="EE21" i="29"/>
  <c r="EA21" i="29"/>
  <c r="DW21" i="29"/>
  <c r="DS21" i="29"/>
  <c r="DO21" i="29"/>
  <c r="DK21" i="29"/>
  <c r="DG21" i="29"/>
  <c r="DC21" i="29"/>
  <c r="CY21" i="29"/>
  <c r="CU21" i="29"/>
  <c r="CQ21" i="29"/>
  <c r="CM21" i="29"/>
  <c r="CI21" i="29"/>
  <c r="CE21" i="29"/>
  <c r="CA21" i="29"/>
  <c r="BW21" i="29"/>
  <c r="BS21" i="29"/>
  <c r="BO21" i="29"/>
  <c r="BK21" i="29"/>
  <c r="BG21" i="29"/>
  <c r="BC21" i="29"/>
  <c r="AY21" i="29"/>
  <c r="AU21" i="29"/>
  <c r="AQ21" i="29"/>
  <c r="AM21" i="29"/>
  <c r="AI21" i="29"/>
  <c r="AE21" i="29"/>
  <c r="Z21" i="29"/>
  <c r="V21" i="29"/>
  <c r="R21" i="29"/>
  <c r="N21" i="29"/>
  <c r="J21" i="29"/>
  <c r="F21" i="29"/>
  <c r="JH20" i="29"/>
  <c r="JH20" i="31" s="1"/>
  <c r="JD20" i="29"/>
  <c r="JD20" i="31" s="1"/>
  <c r="IZ20" i="29"/>
  <c r="IZ20" i="31" s="1"/>
  <c r="IV20" i="29"/>
  <c r="IV20" i="31" s="1"/>
  <c r="IR20" i="29"/>
  <c r="IR20" i="31" s="1"/>
  <c r="IN20" i="29"/>
  <c r="IN20" i="31" s="1"/>
  <c r="IJ20" i="29"/>
  <c r="IJ20" i="31" s="1"/>
  <c r="IF20" i="29"/>
  <c r="IF20" i="31" s="1"/>
  <c r="IB20" i="29"/>
  <c r="IB20" i="31" s="1"/>
  <c r="HX20" i="29"/>
  <c r="HX20" i="31" s="1"/>
  <c r="HT20" i="29"/>
  <c r="HT20" i="31" s="1"/>
  <c r="HP20" i="29"/>
  <c r="HP20" i="31" s="1"/>
  <c r="HL20" i="29"/>
  <c r="HL20" i="31" s="1"/>
  <c r="HH20" i="29"/>
  <c r="HH20" i="31" s="1"/>
  <c r="HD20" i="29"/>
  <c r="HD20" i="31" s="1"/>
  <c r="GZ20" i="29"/>
  <c r="GZ20" i="31" s="1"/>
  <c r="GV20" i="29"/>
  <c r="GV20" i="31" s="1"/>
  <c r="GR20" i="29"/>
  <c r="GR20" i="31" s="1"/>
  <c r="GN20" i="29"/>
  <c r="GN20" i="31" s="1"/>
  <c r="GJ20" i="29"/>
  <c r="GJ20" i="31" s="1"/>
  <c r="GF20" i="29"/>
  <c r="GF20" i="31" s="1"/>
  <c r="GB20" i="29"/>
  <c r="GB20" i="31" s="1"/>
  <c r="FX20" i="29"/>
  <c r="FX20" i="31" s="1"/>
  <c r="FT20" i="29"/>
  <c r="FT20" i="31" s="1"/>
  <c r="FP20" i="29"/>
  <c r="FP20" i="31" s="1"/>
  <c r="FL20" i="29"/>
  <c r="FL20" i="31" s="1"/>
  <c r="FH20" i="29"/>
  <c r="FH20" i="31" s="1"/>
  <c r="FD20" i="29"/>
  <c r="FD20" i="31" s="1"/>
  <c r="EZ20" i="29"/>
  <c r="EZ20" i="31" s="1"/>
  <c r="EV20" i="29"/>
  <c r="EV20" i="31" s="1"/>
  <c r="ER20" i="29"/>
  <c r="ER20" i="31" s="1"/>
  <c r="EN20" i="29"/>
  <c r="EN20" i="31" s="1"/>
  <c r="EJ20" i="29"/>
  <c r="EJ20" i="31" s="1"/>
  <c r="EF20" i="29"/>
  <c r="EF20" i="31" s="1"/>
  <c r="EB20" i="29"/>
  <c r="EB20" i="31" s="1"/>
  <c r="DX20" i="29"/>
  <c r="DX20" i="31" s="1"/>
  <c r="DT20" i="29"/>
  <c r="DT20" i="31" s="1"/>
  <c r="DP20" i="29"/>
  <c r="DP20" i="31" s="1"/>
  <c r="DL20" i="29"/>
  <c r="DL20" i="31" s="1"/>
  <c r="DH20" i="29"/>
  <c r="DH20" i="31" s="1"/>
  <c r="DD20" i="29"/>
  <c r="DD20" i="31" s="1"/>
  <c r="CZ20" i="29"/>
  <c r="CZ20" i="31" s="1"/>
  <c r="CV20" i="29"/>
  <c r="CV20" i="31" s="1"/>
  <c r="CR20" i="29"/>
  <c r="CR20" i="31" s="1"/>
  <c r="CN20" i="29"/>
  <c r="CN20" i="31" s="1"/>
  <c r="CJ20" i="29"/>
  <c r="CJ20" i="31" s="1"/>
  <c r="CF20" i="29"/>
  <c r="CF20" i="31" s="1"/>
  <c r="CB20" i="29"/>
  <c r="CB20" i="31" s="1"/>
  <c r="BX20" i="29"/>
  <c r="BX20" i="31" s="1"/>
  <c r="BT20" i="29"/>
  <c r="BT20" i="31" s="1"/>
  <c r="BP20" i="29"/>
  <c r="BP20" i="31" s="1"/>
  <c r="BL20" i="29"/>
  <c r="BL20" i="31" s="1"/>
  <c r="BH20" i="29"/>
  <c r="BH20" i="31" s="1"/>
  <c r="BD20" i="29"/>
  <c r="BD20" i="31" s="1"/>
  <c r="AZ20" i="29"/>
  <c r="AZ20" i="31" s="1"/>
  <c r="AV20" i="29"/>
  <c r="AV20" i="31" s="1"/>
  <c r="AR20" i="29"/>
  <c r="AR20" i="31" s="1"/>
  <c r="AN20" i="29"/>
  <c r="AN20" i="31" s="1"/>
  <c r="AJ20" i="29"/>
  <c r="AJ20" i="31" s="1"/>
  <c r="AF20" i="29"/>
  <c r="AF20" i="31" s="1"/>
  <c r="AA20" i="29"/>
  <c r="AA20" i="31" s="1"/>
  <c r="W20" i="29"/>
  <c r="W20" i="31" s="1"/>
  <c r="S20" i="29"/>
  <c r="S20" i="31" s="1"/>
  <c r="O20" i="29"/>
  <c r="O20" i="31" s="1"/>
  <c r="K20" i="29"/>
  <c r="K20" i="31" s="1"/>
  <c r="G20" i="29"/>
  <c r="G20" i="31" s="1"/>
  <c r="C20" i="29"/>
  <c r="C20" i="31" s="1"/>
  <c r="JE19" i="29"/>
  <c r="JE19" i="31" s="1"/>
  <c r="JA19" i="29"/>
  <c r="JA19" i="31" s="1"/>
  <c r="IW19" i="29"/>
  <c r="IW19" i="31" s="1"/>
  <c r="IS19" i="29"/>
  <c r="IS19" i="31" s="1"/>
  <c r="IO19" i="29"/>
  <c r="IO19" i="31" s="1"/>
  <c r="IK19" i="29"/>
  <c r="IG19" i="29"/>
  <c r="IG19" i="31" s="1"/>
  <c r="IC19" i="29"/>
  <c r="IC19" i="31" s="1"/>
  <c r="HY19" i="29"/>
  <c r="HY19" i="31" s="1"/>
  <c r="HU19" i="29"/>
  <c r="HU19" i="31" s="1"/>
  <c r="HQ19" i="29"/>
  <c r="HQ19" i="31" s="1"/>
  <c r="HM19" i="29"/>
  <c r="HM19" i="31" s="1"/>
  <c r="HI19" i="29"/>
  <c r="HI19" i="31" s="1"/>
  <c r="HE19" i="29"/>
  <c r="HE19" i="31" s="1"/>
  <c r="HA19" i="29"/>
  <c r="HA19" i="31" s="1"/>
  <c r="GW19" i="29"/>
  <c r="GW19" i="31" s="1"/>
  <c r="GS19" i="29"/>
  <c r="GS19" i="31" s="1"/>
  <c r="GO19" i="29"/>
  <c r="GO19" i="31" s="1"/>
  <c r="GK19" i="29"/>
  <c r="GK19" i="31" s="1"/>
  <c r="GG19" i="29"/>
  <c r="GG19" i="31" s="1"/>
  <c r="GC19" i="29"/>
  <c r="GC19" i="31" s="1"/>
  <c r="FY19" i="29"/>
  <c r="FY19" i="31" s="1"/>
  <c r="FU19" i="29"/>
  <c r="FU19" i="31" s="1"/>
  <c r="FQ19" i="29"/>
  <c r="FQ19" i="31" s="1"/>
  <c r="FM19" i="29"/>
  <c r="FM19" i="31" s="1"/>
  <c r="FI19" i="29"/>
  <c r="FI19" i="31" s="1"/>
  <c r="FE19" i="29"/>
  <c r="FE19" i="31" s="1"/>
  <c r="FA19" i="29"/>
  <c r="FA19" i="31" s="1"/>
  <c r="EW19" i="29"/>
  <c r="EW19" i="31" s="1"/>
  <c r="ES19" i="29"/>
  <c r="ES19" i="31" s="1"/>
  <c r="EO19" i="29"/>
  <c r="EO19" i="31" s="1"/>
  <c r="EK19" i="29"/>
  <c r="EK19" i="31" s="1"/>
  <c r="EG19" i="29"/>
  <c r="EG19" i="31" s="1"/>
  <c r="EC19" i="29"/>
  <c r="EC19" i="31" s="1"/>
  <c r="DY19" i="29"/>
  <c r="DY19" i="31" s="1"/>
  <c r="DU19" i="29"/>
  <c r="DU19" i="31" s="1"/>
  <c r="DQ19" i="29"/>
  <c r="DQ19" i="31" s="1"/>
  <c r="DM19" i="29"/>
  <c r="DM19" i="31" s="1"/>
  <c r="DI19" i="29"/>
  <c r="DI19" i="31" s="1"/>
  <c r="DE19" i="29"/>
  <c r="DE19" i="31" s="1"/>
  <c r="DA19" i="29"/>
  <c r="DA19" i="31" s="1"/>
  <c r="CW19" i="29"/>
  <c r="CW19" i="31" s="1"/>
  <c r="CS19" i="29"/>
  <c r="CS19" i="31" s="1"/>
  <c r="CO19" i="29"/>
  <c r="CO19" i="31" s="1"/>
  <c r="CK19" i="29"/>
  <c r="CK19" i="31" s="1"/>
  <c r="CG19" i="29"/>
  <c r="CG19" i="31" s="1"/>
  <c r="CC19" i="29"/>
  <c r="CC19" i="31" s="1"/>
  <c r="BY19" i="29"/>
  <c r="BY19" i="31" s="1"/>
  <c r="BU19" i="29"/>
  <c r="BU19" i="31" s="1"/>
  <c r="BQ19" i="29"/>
  <c r="BQ19" i="31" s="1"/>
  <c r="BM19" i="29"/>
  <c r="BM19" i="31" s="1"/>
  <c r="BI19" i="29"/>
  <c r="BI19" i="31" s="1"/>
  <c r="BE19" i="29"/>
  <c r="BE19" i="31" s="1"/>
  <c r="BA19" i="29"/>
  <c r="BA19" i="31" s="1"/>
  <c r="AW19" i="29"/>
  <c r="AW19" i="31" s="1"/>
  <c r="AS19" i="29"/>
  <c r="AS19" i="31" s="1"/>
  <c r="AO19" i="29"/>
  <c r="AO19" i="31" s="1"/>
  <c r="AK19" i="29"/>
  <c r="AK19" i="31" s="1"/>
  <c r="AG19" i="29"/>
  <c r="AG19" i="31" s="1"/>
  <c r="AB19" i="29"/>
  <c r="AB19" i="31" s="1"/>
  <c r="X19" i="29"/>
  <c r="X19" i="31" s="1"/>
  <c r="T19" i="29"/>
  <c r="T19" i="31" s="1"/>
  <c r="P19" i="29"/>
  <c r="P19" i="31" s="1"/>
  <c r="L19" i="29"/>
  <c r="L19" i="31" s="1"/>
  <c r="H19" i="29"/>
  <c r="H19" i="31" s="1"/>
  <c r="D19" i="29"/>
  <c r="D19" i="31" s="1"/>
  <c r="JF22" i="29"/>
  <c r="IP22" i="29"/>
  <c r="ID22" i="29"/>
  <c r="HY22" i="29"/>
  <c r="HU22" i="29"/>
  <c r="HQ22" i="29"/>
  <c r="HM22" i="29"/>
  <c r="HI22" i="29"/>
  <c r="HE22" i="29"/>
  <c r="HA22" i="29"/>
  <c r="GW22" i="29"/>
  <c r="GS22" i="29"/>
  <c r="GO22" i="29"/>
  <c r="GK22" i="29"/>
  <c r="GG22" i="29"/>
  <c r="GC22" i="29"/>
  <c r="FY22" i="29"/>
  <c r="FU22" i="29"/>
  <c r="FQ22" i="29"/>
  <c r="FM22" i="29"/>
  <c r="FI22" i="29"/>
  <c r="FE22" i="29"/>
  <c r="FA22" i="29"/>
  <c r="EW22" i="29"/>
  <c r="ES22" i="29"/>
  <c r="EO22" i="29"/>
  <c r="EK22" i="29"/>
  <c r="EG22" i="29"/>
  <c r="EC22" i="29"/>
  <c r="DY22" i="29"/>
  <c r="DU22" i="29"/>
  <c r="DQ22" i="29"/>
  <c r="DM22" i="29"/>
  <c r="DI22" i="29"/>
  <c r="DE22" i="29"/>
  <c r="DA22" i="29"/>
  <c r="CW22" i="29"/>
  <c r="CS22" i="29"/>
  <c r="CO22" i="29"/>
  <c r="CK22" i="29"/>
  <c r="CG22" i="29"/>
  <c r="CC22" i="29"/>
  <c r="BY22" i="29"/>
  <c r="BU22" i="29"/>
  <c r="BQ22" i="29"/>
  <c r="BM22" i="29"/>
  <c r="BI22" i="29"/>
  <c r="BE22" i="29"/>
  <c r="BA22" i="29"/>
  <c r="AW22" i="29"/>
  <c r="AS22" i="29"/>
  <c r="AO22" i="29"/>
  <c r="AK22" i="29"/>
  <c r="AG22" i="29"/>
  <c r="AB22" i="29"/>
  <c r="X22" i="29"/>
  <c r="T22" i="29"/>
  <c r="P22" i="29"/>
  <c r="L22" i="29"/>
  <c r="H22" i="29"/>
  <c r="D22" i="29"/>
  <c r="JF21" i="29"/>
  <c r="JB21" i="29"/>
  <c r="IX21" i="29"/>
  <c r="IT21" i="29"/>
  <c r="IP21" i="29"/>
  <c r="IL21" i="29"/>
  <c r="IH21" i="29"/>
  <c r="ID21" i="29"/>
  <c r="HZ21" i="29"/>
  <c r="HV21" i="29"/>
  <c r="HR21" i="29"/>
  <c r="HN21" i="29"/>
  <c r="HJ21" i="29"/>
  <c r="HF21" i="29"/>
  <c r="HB21" i="29"/>
  <c r="GX21" i="29"/>
  <c r="GT21" i="29"/>
  <c r="GP21" i="29"/>
  <c r="GL21" i="29"/>
  <c r="GH21" i="29"/>
  <c r="GD21" i="29"/>
  <c r="FZ21" i="29"/>
  <c r="FV21" i="29"/>
  <c r="FR21" i="29"/>
  <c r="FN21" i="29"/>
  <c r="FJ21" i="29"/>
  <c r="FF21" i="29"/>
  <c r="FB21" i="29"/>
  <c r="EX21" i="29"/>
  <c r="ET21" i="29"/>
  <c r="EP21" i="29"/>
  <c r="EL21" i="29"/>
  <c r="EH21" i="29"/>
  <c r="ED21" i="29"/>
  <c r="DZ21" i="29"/>
  <c r="DV21" i="29"/>
  <c r="DR21" i="29"/>
  <c r="DN21" i="29"/>
  <c r="DJ21" i="29"/>
  <c r="DF21" i="29"/>
  <c r="DB21" i="29"/>
  <c r="CX21" i="29"/>
  <c r="CT21" i="29"/>
  <c r="CP21" i="29"/>
  <c r="CL21" i="29"/>
  <c r="CH21" i="29"/>
  <c r="CD21" i="29"/>
  <c r="BZ21" i="29"/>
  <c r="BV21" i="29"/>
  <c r="BR21" i="29"/>
  <c r="BN21" i="29"/>
  <c r="BJ21" i="29"/>
  <c r="BF21" i="29"/>
  <c r="BB21" i="29"/>
  <c r="AX21" i="29"/>
  <c r="AT21" i="29"/>
  <c r="AP21" i="29"/>
  <c r="AL21" i="29"/>
  <c r="AH21" i="29"/>
  <c r="AD21" i="29"/>
  <c r="Y21" i="29"/>
  <c r="U21" i="29"/>
  <c r="Q21" i="29"/>
  <c r="M21" i="29"/>
  <c r="I21" i="29"/>
  <c r="E21" i="29"/>
  <c r="JG20" i="29"/>
  <c r="JG20" i="31" s="1"/>
  <c r="JC20" i="29"/>
  <c r="JC20" i="31" s="1"/>
  <c r="IY20" i="29"/>
  <c r="IY20" i="31" s="1"/>
  <c r="IU20" i="29"/>
  <c r="IU20" i="31" s="1"/>
  <c r="IQ20" i="29"/>
  <c r="IQ20" i="31" s="1"/>
  <c r="IM20" i="29"/>
  <c r="IM20" i="31" s="1"/>
  <c r="II20" i="29"/>
  <c r="II20" i="31" s="1"/>
  <c r="IE20" i="29"/>
  <c r="IE20" i="31" s="1"/>
  <c r="IA20" i="29"/>
  <c r="IA20" i="31" s="1"/>
  <c r="HW20" i="29"/>
  <c r="HW20" i="31" s="1"/>
  <c r="HS20" i="29"/>
  <c r="HS20" i="31" s="1"/>
  <c r="HO20" i="29"/>
  <c r="HO20" i="31" s="1"/>
  <c r="HK20" i="29"/>
  <c r="HK20" i="31" s="1"/>
  <c r="HG20" i="29"/>
  <c r="HG20" i="31" s="1"/>
  <c r="HC20" i="29"/>
  <c r="HC20" i="31" s="1"/>
  <c r="GY20" i="29"/>
  <c r="GY20" i="31" s="1"/>
  <c r="GU20" i="29"/>
  <c r="GU20" i="31" s="1"/>
  <c r="GQ20" i="29"/>
  <c r="GQ20" i="31" s="1"/>
  <c r="GM20" i="29"/>
  <c r="GM20" i="31" s="1"/>
  <c r="GI20" i="29"/>
  <c r="GI20" i="31" s="1"/>
  <c r="GE20" i="29"/>
  <c r="GE20" i="31" s="1"/>
  <c r="GA20" i="29"/>
  <c r="GA20" i="31" s="1"/>
  <c r="FW20" i="29"/>
  <c r="FW20" i="31" s="1"/>
  <c r="FS20" i="29"/>
  <c r="FS20" i="31" s="1"/>
  <c r="FO20" i="29"/>
  <c r="FO20" i="31" s="1"/>
  <c r="FK20" i="29"/>
  <c r="FK20" i="31" s="1"/>
  <c r="FG20" i="29"/>
  <c r="FG20" i="31" s="1"/>
  <c r="FC20" i="29"/>
  <c r="FC20" i="31" s="1"/>
  <c r="EY20" i="29"/>
  <c r="EY20" i="31" s="1"/>
  <c r="EU20" i="29"/>
  <c r="EU20" i="31" s="1"/>
  <c r="EQ20" i="29"/>
  <c r="EQ20" i="31" s="1"/>
  <c r="EM20" i="29"/>
  <c r="EM20" i="31" s="1"/>
  <c r="EI20" i="29"/>
  <c r="EI20" i="31" s="1"/>
  <c r="EE20" i="29"/>
  <c r="EE20" i="31" s="1"/>
  <c r="EA20" i="29"/>
  <c r="EA20" i="31" s="1"/>
  <c r="DW20" i="29"/>
  <c r="DW20" i="31" s="1"/>
  <c r="DS20" i="29"/>
  <c r="DS20" i="31" s="1"/>
  <c r="DO20" i="29"/>
  <c r="DO20" i="31" s="1"/>
  <c r="DK20" i="29"/>
  <c r="DK20" i="31" s="1"/>
  <c r="DG20" i="29"/>
  <c r="DG20" i="31" s="1"/>
  <c r="DC20" i="29"/>
  <c r="DC20" i="31" s="1"/>
  <c r="CY20" i="29"/>
  <c r="CY20" i="31" s="1"/>
  <c r="CU20" i="29"/>
  <c r="CU20" i="31" s="1"/>
  <c r="CQ20" i="29"/>
  <c r="CQ20" i="31" s="1"/>
  <c r="CM20" i="29"/>
  <c r="CM20" i="31" s="1"/>
  <c r="CI20" i="29"/>
  <c r="CI20" i="31" s="1"/>
  <c r="CE20" i="29"/>
  <c r="CE20" i="31" s="1"/>
  <c r="CA20" i="29"/>
  <c r="CA20" i="31" s="1"/>
  <c r="BW20" i="29"/>
  <c r="BW20" i="31" s="1"/>
  <c r="BS20" i="29"/>
  <c r="BS20" i="31" s="1"/>
  <c r="BO20" i="29"/>
  <c r="BO20" i="31" s="1"/>
  <c r="BK20" i="29"/>
  <c r="BK20" i="31" s="1"/>
  <c r="BG20" i="29"/>
  <c r="BG20" i="31" s="1"/>
  <c r="BC20" i="29"/>
  <c r="BC20" i="31" s="1"/>
  <c r="AY20" i="29"/>
  <c r="AY20" i="31" s="1"/>
  <c r="AU20" i="29"/>
  <c r="AU20" i="31" s="1"/>
  <c r="AQ20" i="29"/>
  <c r="AQ20" i="31" s="1"/>
  <c r="AM20" i="29"/>
  <c r="AM20" i="31" s="1"/>
  <c r="AI20" i="29"/>
  <c r="AI20" i="31" s="1"/>
  <c r="AE20" i="29"/>
  <c r="AE20" i="31" s="1"/>
  <c r="Z20" i="29"/>
  <c r="Z20" i="31" s="1"/>
  <c r="V20" i="29"/>
  <c r="V20" i="31" s="1"/>
  <c r="R20" i="29"/>
  <c r="R20" i="31" s="1"/>
  <c r="N20" i="29"/>
  <c r="N20" i="31" s="1"/>
  <c r="J20" i="29"/>
  <c r="J20" i="31" s="1"/>
  <c r="F20" i="29"/>
  <c r="F20" i="31" s="1"/>
  <c r="JH19" i="29"/>
  <c r="JH19" i="31" s="1"/>
  <c r="JD19" i="29"/>
  <c r="JD19" i="31" s="1"/>
  <c r="IZ19" i="29"/>
  <c r="IZ19" i="31" s="1"/>
  <c r="IV19" i="29"/>
  <c r="IV19" i="31" s="1"/>
  <c r="IR19" i="29"/>
  <c r="IR19" i="31" s="1"/>
  <c r="IN19" i="29"/>
  <c r="IN19" i="31" s="1"/>
  <c r="IJ19" i="29"/>
  <c r="IJ19" i="31" s="1"/>
  <c r="IF19" i="29"/>
  <c r="IF19" i="31" s="1"/>
  <c r="IB19" i="29"/>
  <c r="IB19" i="31" s="1"/>
  <c r="HX19" i="29"/>
  <c r="HX19" i="31" s="1"/>
  <c r="HT19" i="29"/>
  <c r="HT19" i="31" s="1"/>
  <c r="HP19" i="29"/>
  <c r="HP19" i="31" s="1"/>
  <c r="HL19" i="29"/>
  <c r="HL19" i="31" s="1"/>
  <c r="HH19" i="29"/>
  <c r="HH19" i="31" s="1"/>
  <c r="HD19" i="29"/>
  <c r="HD19" i="31" s="1"/>
  <c r="GZ19" i="29"/>
  <c r="GV19" i="29"/>
  <c r="GV19" i="31" s="1"/>
  <c r="GR19" i="29"/>
  <c r="GR19" i="31" s="1"/>
  <c r="GN19" i="29"/>
  <c r="GN19" i="31" s="1"/>
  <c r="GJ19" i="29"/>
  <c r="GJ19" i="31" s="1"/>
  <c r="GF19" i="29"/>
  <c r="GF19" i="31" s="1"/>
  <c r="GB19" i="29"/>
  <c r="GB19" i="31" s="1"/>
  <c r="FX19" i="29"/>
  <c r="FX19" i="31" s="1"/>
  <c r="FT19" i="29"/>
  <c r="FT19" i="31" s="1"/>
  <c r="FP19" i="29"/>
  <c r="FP19" i="31" s="1"/>
  <c r="FL19" i="29"/>
  <c r="FL19" i="31" s="1"/>
  <c r="FH19" i="29"/>
  <c r="FH19" i="31" s="1"/>
  <c r="FD19" i="29"/>
  <c r="FD19" i="31" s="1"/>
  <c r="EZ19" i="29"/>
  <c r="EZ19" i="31" s="1"/>
  <c r="EV19" i="29"/>
  <c r="EV19" i="31" s="1"/>
  <c r="ER19" i="29"/>
  <c r="ER19" i="31" s="1"/>
  <c r="EN19" i="29"/>
  <c r="EN19" i="31" s="1"/>
  <c r="EJ19" i="29"/>
  <c r="EJ19" i="31" s="1"/>
  <c r="EF19" i="29"/>
  <c r="EF19" i="31" s="1"/>
  <c r="EB19" i="29"/>
  <c r="EB19" i="31" s="1"/>
  <c r="DX19" i="29"/>
  <c r="DX19" i="31" s="1"/>
  <c r="DT19" i="29"/>
  <c r="DT19" i="31" s="1"/>
  <c r="DP19" i="29"/>
  <c r="DP19" i="31" s="1"/>
  <c r="DL19" i="29"/>
  <c r="DL19" i="31" s="1"/>
  <c r="DH19" i="29"/>
  <c r="DH19" i="31" s="1"/>
  <c r="DD19" i="29"/>
  <c r="DD19" i="31" s="1"/>
  <c r="CZ19" i="29"/>
  <c r="CZ19" i="31" s="1"/>
  <c r="CV19" i="29"/>
  <c r="CV19" i="31" s="1"/>
  <c r="CR19" i="29"/>
  <c r="CR19" i="31" s="1"/>
  <c r="CN19" i="29"/>
  <c r="CN19" i="31" s="1"/>
  <c r="CJ19" i="29"/>
  <c r="CJ19" i="31" s="1"/>
  <c r="CF19" i="29"/>
  <c r="CF19" i="31" s="1"/>
  <c r="CB19" i="29"/>
  <c r="CB19" i="31" s="1"/>
  <c r="BX19" i="29"/>
  <c r="BX19" i="31" s="1"/>
  <c r="BT19" i="29"/>
  <c r="BT19" i="31" s="1"/>
  <c r="BP19" i="29"/>
  <c r="BP19" i="31" s="1"/>
  <c r="BL19" i="29"/>
  <c r="BL19" i="31" s="1"/>
  <c r="BH19" i="29"/>
  <c r="BH19" i="31" s="1"/>
  <c r="BD19" i="29"/>
  <c r="BD19" i="31" s="1"/>
  <c r="AZ19" i="29"/>
  <c r="AZ19" i="31" s="1"/>
  <c r="AV19" i="29"/>
  <c r="AV19" i="31" s="1"/>
  <c r="AR19" i="29"/>
  <c r="AR19" i="31" s="1"/>
  <c r="AN19" i="29"/>
  <c r="AN19" i="31" s="1"/>
  <c r="AJ19" i="29"/>
  <c r="AJ19" i="31" s="1"/>
  <c r="AF19" i="29"/>
  <c r="AF19" i="31" s="1"/>
  <c r="AA19" i="29"/>
  <c r="AA19" i="31" s="1"/>
  <c r="W19" i="29"/>
  <c r="W19" i="31" s="1"/>
  <c r="S19" i="29"/>
  <c r="S19" i="31" s="1"/>
  <c r="O19" i="29"/>
  <c r="O19" i="31" s="1"/>
  <c r="K19" i="29"/>
  <c r="K19" i="31" s="1"/>
  <c r="G19" i="29"/>
  <c r="G19" i="31" s="1"/>
  <c r="C19" i="29"/>
  <c r="C19" i="31" s="1"/>
  <c r="JL73" i="29"/>
  <c r="JI73" i="29"/>
  <c r="JI77" i="31" s="1"/>
  <c r="JO73" i="29"/>
  <c r="JM73" i="29"/>
  <c r="W51" i="22"/>
  <c r="JP36" i="29"/>
  <c r="ET78" i="29"/>
  <c r="ET82" i="31" s="1"/>
  <c r="JN73" i="29"/>
  <c r="A268" i="1"/>
  <c r="A269" i="1"/>
  <c r="A270" i="1"/>
  <c r="AC20" i="31" l="1"/>
  <c r="AC60" i="29"/>
  <c r="AC64" i="31" s="1"/>
  <c r="AC21" i="31"/>
  <c r="AC61" i="29"/>
  <c r="AC22" i="31"/>
  <c r="AC62" i="29"/>
  <c r="AC66" i="31" s="1"/>
  <c r="JP40" i="31"/>
  <c r="JM77" i="31"/>
  <c r="JP77" i="31" s="1"/>
  <c r="FF61" i="29"/>
  <c r="FF65" i="31" s="1"/>
  <c r="FF21" i="31"/>
  <c r="GL61" i="29"/>
  <c r="GL65" i="31" s="1"/>
  <c r="GL21" i="31"/>
  <c r="IX61" i="29"/>
  <c r="IX65" i="31" s="1"/>
  <c r="IX21" i="31"/>
  <c r="AO62" i="29"/>
  <c r="AO66" i="31" s="1"/>
  <c r="AO22" i="31"/>
  <c r="CK62" i="29"/>
  <c r="CK66" i="31" s="1"/>
  <c r="CK22" i="31"/>
  <c r="EG62" i="29"/>
  <c r="EG66" i="31" s="1"/>
  <c r="EG22" i="31"/>
  <c r="EW62" i="29"/>
  <c r="EW66" i="31" s="1"/>
  <c r="EW22" i="31"/>
  <c r="FM62" i="29"/>
  <c r="FM66" i="31" s="1"/>
  <c r="FM22" i="31"/>
  <c r="GC62" i="29"/>
  <c r="GC66" i="31" s="1"/>
  <c r="GC22" i="31"/>
  <c r="GS62" i="29"/>
  <c r="GS66" i="31" s="1"/>
  <c r="GS22" i="31"/>
  <c r="HI62" i="29"/>
  <c r="HI66" i="31" s="1"/>
  <c r="HI22" i="31"/>
  <c r="HY62" i="29"/>
  <c r="HY66" i="31" s="1"/>
  <c r="HY22" i="31"/>
  <c r="IK185" i="29"/>
  <c r="IK19" i="31"/>
  <c r="R61" i="29"/>
  <c r="R65" i="31" s="1"/>
  <c r="R21" i="31"/>
  <c r="AI61" i="29"/>
  <c r="AI65" i="31" s="1"/>
  <c r="AI21" i="31"/>
  <c r="AY61" i="29"/>
  <c r="AY65" i="31" s="1"/>
  <c r="AY21" i="31"/>
  <c r="BO61" i="29"/>
  <c r="BO65" i="31" s="1"/>
  <c r="BO21" i="31"/>
  <c r="CE61" i="29"/>
  <c r="CE65" i="31" s="1"/>
  <c r="CE21" i="31"/>
  <c r="CU61" i="29"/>
  <c r="CU65" i="31" s="1"/>
  <c r="CU21" i="31"/>
  <c r="DK61" i="29"/>
  <c r="DK65" i="31" s="1"/>
  <c r="DK21" i="31"/>
  <c r="EA61" i="29"/>
  <c r="EA65" i="31" s="1"/>
  <c r="EA21" i="31"/>
  <c r="EQ61" i="29"/>
  <c r="EQ65" i="31" s="1"/>
  <c r="EQ21" i="31"/>
  <c r="FG61" i="29"/>
  <c r="FG65" i="31" s="1"/>
  <c r="FG21" i="31"/>
  <c r="FW61" i="29"/>
  <c r="FW65" i="31" s="1"/>
  <c r="FW21" i="31"/>
  <c r="GM61" i="29"/>
  <c r="GM65" i="31" s="1"/>
  <c r="GM21" i="31"/>
  <c r="HC61" i="29"/>
  <c r="HC65" i="31" s="1"/>
  <c r="HC21" i="31"/>
  <c r="HS61" i="29"/>
  <c r="HS65" i="31" s="1"/>
  <c r="HS21" i="31"/>
  <c r="II61" i="29"/>
  <c r="II65" i="31" s="1"/>
  <c r="II21" i="31"/>
  <c r="IY61" i="29"/>
  <c r="IY65" i="31" s="1"/>
  <c r="IY21" i="31"/>
  <c r="I62" i="29"/>
  <c r="I66" i="31" s="1"/>
  <c r="I22" i="31"/>
  <c r="Y62" i="29"/>
  <c r="Y66" i="31" s="1"/>
  <c r="Y22" i="31"/>
  <c r="AP62" i="29"/>
  <c r="AP66" i="31" s="1"/>
  <c r="AP22" i="31"/>
  <c r="BF62" i="29"/>
  <c r="BF66" i="31" s="1"/>
  <c r="BF22" i="31"/>
  <c r="BV62" i="29"/>
  <c r="BV66" i="31" s="1"/>
  <c r="BV22" i="31"/>
  <c r="CL62" i="29"/>
  <c r="CL66" i="31" s="1"/>
  <c r="CL22" i="31"/>
  <c r="DB62" i="29"/>
  <c r="DB66" i="31" s="1"/>
  <c r="DB22" i="31"/>
  <c r="DR62" i="29"/>
  <c r="DR66" i="31" s="1"/>
  <c r="DR22" i="31"/>
  <c r="EH62" i="29"/>
  <c r="EH66" i="31" s="1"/>
  <c r="EH22" i="31"/>
  <c r="EX62" i="29"/>
  <c r="EX66" i="31" s="1"/>
  <c r="EX22" i="31"/>
  <c r="FN62" i="29"/>
  <c r="FN66" i="31" s="1"/>
  <c r="FN22" i="31"/>
  <c r="GD62" i="29"/>
  <c r="GD66" i="31" s="1"/>
  <c r="GD22" i="31"/>
  <c r="GT62" i="29"/>
  <c r="GT66" i="31" s="1"/>
  <c r="GT22" i="31"/>
  <c r="HJ62" i="29"/>
  <c r="HJ66" i="31" s="1"/>
  <c r="HJ22" i="31"/>
  <c r="HZ62" i="29"/>
  <c r="HZ66" i="31" s="1"/>
  <c r="HZ22" i="31"/>
  <c r="G61" i="29"/>
  <c r="G65" i="31" s="1"/>
  <c r="G21" i="31"/>
  <c r="W61" i="29"/>
  <c r="W65" i="31" s="1"/>
  <c r="W21" i="31"/>
  <c r="AN61" i="29"/>
  <c r="AN65" i="31" s="1"/>
  <c r="AN21" i="31"/>
  <c r="BD61" i="29"/>
  <c r="BD65" i="31" s="1"/>
  <c r="BD21" i="31"/>
  <c r="BT61" i="29"/>
  <c r="BT65" i="31" s="1"/>
  <c r="BT21" i="31"/>
  <c r="CJ61" i="29"/>
  <c r="CJ65" i="31" s="1"/>
  <c r="CJ21" i="31"/>
  <c r="CZ61" i="29"/>
  <c r="CZ65" i="31" s="1"/>
  <c r="CZ21" i="31"/>
  <c r="DP61" i="29"/>
  <c r="DP65" i="31" s="1"/>
  <c r="DP21" i="31"/>
  <c r="EF61" i="29"/>
  <c r="EF65" i="31" s="1"/>
  <c r="EF21" i="31"/>
  <c r="EV61" i="29"/>
  <c r="EV65" i="31" s="1"/>
  <c r="EV21" i="31"/>
  <c r="FL61" i="29"/>
  <c r="FL65" i="31" s="1"/>
  <c r="FL21" i="31"/>
  <c r="GB61" i="29"/>
  <c r="GB65" i="31" s="1"/>
  <c r="GB21" i="31"/>
  <c r="GR61" i="29"/>
  <c r="GR65" i="31" s="1"/>
  <c r="GR21" i="31"/>
  <c r="HH61" i="29"/>
  <c r="HH65" i="31" s="1"/>
  <c r="HH21" i="31"/>
  <c r="HX61" i="29"/>
  <c r="HX65" i="31" s="1"/>
  <c r="HX21" i="31"/>
  <c r="IN61" i="29"/>
  <c r="IN65" i="31" s="1"/>
  <c r="IN21" i="31"/>
  <c r="JD61" i="29"/>
  <c r="JD65" i="31" s="1"/>
  <c r="JD21" i="31"/>
  <c r="N62" i="29"/>
  <c r="N66" i="31" s="1"/>
  <c r="N22" i="31"/>
  <c r="AE62" i="29"/>
  <c r="AE66" i="31" s="1"/>
  <c r="AE22" i="31"/>
  <c r="AU62" i="29"/>
  <c r="AU66" i="31" s="1"/>
  <c r="AU22" i="31"/>
  <c r="BK62" i="29"/>
  <c r="BK66" i="31" s="1"/>
  <c r="BK22" i="31"/>
  <c r="CA62" i="29"/>
  <c r="CA66" i="31" s="1"/>
  <c r="CA22" i="31"/>
  <c r="CQ62" i="29"/>
  <c r="CQ66" i="31" s="1"/>
  <c r="CQ22" i="31"/>
  <c r="DG62" i="29"/>
  <c r="DG66" i="31" s="1"/>
  <c r="DG22" i="31"/>
  <c r="DW62" i="29"/>
  <c r="DW66" i="31" s="1"/>
  <c r="DW22" i="31"/>
  <c r="EM62" i="29"/>
  <c r="EM66" i="31" s="1"/>
  <c r="EM22" i="31"/>
  <c r="FC62" i="29"/>
  <c r="FC66" i="31" s="1"/>
  <c r="FC22" i="31"/>
  <c r="FS62" i="29"/>
  <c r="FS66" i="31" s="1"/>
  <c r="FS22" i="31"/>
  <c r="GI62" i="29"/>
  <c r="GI66" i="31" s="1"/>
  <c r="GI22" i="31"/>
  <c r="GY62" i="29"/>
  <c r="GY66" i="31" s="1"/>
  <c r="GY22" i="31"/>
  <c r="HO62" i="29"/>
  <c r="HO66" i="31" s="1"/>
  <c r="HO22" i="31"/>
  <c r="IH62" i="29"/>
  <c r="IH66" i="31" s="1"/>
  <c r="IH22" i="31"/>
  <c r="HO185" i="29"/>
  <c r="HO186" i="29" s="1"/>
  <c r="HO19" i="31"/>
  <c r="L61" i="29"/>
  <c r="L65" i="31" s="1"/>
  <c r="L21" i="31"/>
  <c r="AB61" i="29"/>
  <c r="AB65" i="31" s="1"/>
  <c r="AB21" i="31"/>
  <c r="AS61" i="29"/>
  <c r="AS65" i="31" s="1"/>
  <c r="AS21" i="31"/>
  <c r="BI61" i="29"/>
  <c r="BI65" i="31" s="1"/>
  <c r="BI21" i="31"/>
  <c r="BY61" i="29"/>
  <c r="BY65" i="31" s="1"/>
  <c r="BY21" i="31"/>
  <c r="CO61" i="29"/>
  <c r="CO65" i="31" s="1"/>
  <c r="CO21" i="31"/>
  <c r="DE61" i="29"/>
  <c r="DE65" i="31" s="1"/>
  <c r="DE21" i="31"/>
  <c r="DU61" i="29"/>
  <c r="DU65" i="31" s="1"/>
  <c r="DU21" i="31"/>
  <c r="EK61" i="29"/>
  <c r="EK65" i="31" s="1"/>
  <c r="EK21" i="31"/>
  <c r="FA61" i="29"/>
  <c r="FA65" i="31" s="1"/>
  <c r="FA21" i="31"/>
  <c r="FQ61" i="29"/>
  <c r="FQ65" i="31" s="1"/>
  <c r="FQ21" i="31"/>
  <c r="GG61" i="29"/>
  <c r="GG65" i="31" s="1"/>
  <c r="GG21" i="31"/>
  <c r="GW61" i="29"/>
  <c r="GW65" i="31" s="1"/>
  <c r="GW21" i="31"/>
  <c r="HM61" i="29"/>
  <c r="HM65" i="31" s="1"/>
  <c r="HM21" i="31"/>
  <c r="IC61" i="29"/>
  <c r="IC65" i="31" s="1"/>
  <c r="IC21" i="31"/>
  <c r="IS61" i="29"/>
  <c r="IS65" i="31" s="1"/>
  <c r="IS21" i="31"/>
  <c r="C62" i="29"/>
  <c r="C66" i="31" s="1"/>
  <c r="C22" i="31"/>
  <c r="S62" i="29"/>
  <c r="S66" i="31" s="1"/>
  <c r="S22" i="31"/>
  <c r="AJ62" i="29"/>
  <c r="AJ66" i="31" s="1"/>
  <c r="AJ22" i="31"/>
  <c r="AZ62" i="29"/>
  <c r="AZ66" i="31" s="1"/>
  <c r="AZ22" i="31"/>
  <c r="BP62" i="29"/>
  <c r="BP66" i="31" s="1"/>
  <c r="BP22" i="31"/>
  <c r="CF62" i="29"/>
  <c r="CF66" i="31" s="1"/>
  <c r="CF22" i="31"/>
  <c r="CV62" i="29"/>
  <c r="CV66" i="31" s="1"/>
  <c r="CV22" i="31"/>
  <c r="DL62" i="29"/>
  <c r="DL66" i="31" s="1"/>
  <c r="DL22" i="31"/>
  <c r="EB62" i="29"/>
  <c r="EB66" i="31" s="1"/>
  <c r="EB22" i="31"/>
  <c r="ER62" i="29"/>
  <c r="ER66" i="31" s="1"/>
  <c r="ER22" i="31"/>
  <c r="FH62" i="29"/>
  <c r="FH66" i="31" s="1"/>
  <c r="FH22" i="31"/>
  <c r="FX62" i="29"/>
  <c r="FX66" i="31" s="1"/>
  <c r="FX22" i="31"/>
  <c r="GN62" i="29"/>
  <c r="GN66" i="31" s="1"/>
  <c r="GN22" i="31"/>
  <c r="HD62" i="29"/>
  <c r="HD66" i="31" s="1"/>
  <c r="HD22" i="31"/>
  <c r="HT62" i="29"/>
  <c r="HT66" i="31" s="1"/>
  <c r="HT22" i="31"/>
  <c r="JB62" i="29"/>
  <c r="JB66" i="31" s="1"/>
  <c r="JB22" i="31"/>
  <c r="IM62" i="29"/>
  <c r="IM66" i="31" s="1"/>
  <c r="IM22" i="31"/>
  <c r="JC62" i="29"/>
  <c r="JC66" i="31" s="1"/>
  <c r="JC22" i="31"/>
  <c r="IN62" i="29"/>
  <c r="IN66" i="31" s="1"/>
  <c r="IN22" i="31"/>
  <c r="JD62" i="29"/>
  <c r="JD66" i="31" s="1"/>
  <c r="JD22" i="31"/>
  <c r="IS62" i="29"/>
  <c r="IS66" i="31" s="1"/>
  <c r="IS22" i="31"/>
  <c r="CD61" i="29"/>
  <c r="CD65" i="31" s="1"/>
  <c r="CD21" i="31"/>
  <c r="CT61" i="29"/>
  <c r="CT65" i="31" s="1"/>
  <c r="CT21" i="31"/>
  <c r="FV61" i="29"/>
  <c r="FV65" i="31" s="1"/>
  <c r="FV21" i="31"/>
  <c r="BE62" i="29"/>
  <c r="BE66" i="31" s="1"/>
  <c r="BE22" i="31"/>
  <c r="U61" i="29"/>
  <c r="U65" i="31" s="1"/>
  <c r="U21" i="31"/>
  <c r="BR61" i="29"/>
  <c r="BR65" i="31" s="1"/>
  <c r="BR21" i="31"/>
  <c r="CH61" i="29"/>
  <c r="CH65" i="31" s="1"/>
  <c r="CH21" i="31"/>
  <c r="FJ61" i="29"/>
  <c r="FJ65" i="31" s="1"/>
  <c r="FJ21" i="31"/>
  <c r="HF61" i="29"/>
  <c r="HF65" i="31" s="1"/>
  <c r="HF21" i="31"/>
  <c r="JB61" i="29"/>
  <c r="JB65" i="31" s="1"/>
  <c r="JB21" i="31"/>
  <c r="BI62" i="29"/>
  <c r="BI66" i="31" s="1"/>
  <c r="BI22" i="31"/>
  <c r="FA62" i="29"/>
  <c r="FA66" i="31" s="1"/>
  <c r="FA22" i="31"/>
  <c r="GW62" i="29"/>
  <c r="GW66" i="31" s="1"/>
  <c r="GW22" i="31"/>
  <c r="HM62" i="29"/>
  <c r="HM66" i="31" s="1"/>
  <c r="HM22" i="31"/>
  <c r="ID62" i="29"/>
  <c r="ID66" i="31" s="1"/>
  <c r="ID22" i="31"/>
  <c r="F61" i="29"/>
  <c r="F65" i="31" s="1"/>
  <c r="F21" i="31"/>
  <c r="V61" i="29"/>
  <c r="V65" i="31" s="1"/>
  <c r="V21" i="31"/>
  <c r="AM61" i="29"/>
  <c r="AM65" i="31" s="1"/>
  <c r="AM21" i="31"/>
  <c r="BC61" i="29"/>
  <c r="BC65" i="31" s="1"/>
  <c r="BC21" i="31"/>
  <c r="BS61" i="29"/>
  <c r="BS65" i="31" s="1"/>
  <c r="BS21" i="31"/>
  <c r="CI61" i="29"/>
  <c r="CI65" i="31" s="1"/>
  <c r="CI21" i="31"/>
  <c r="CY61" i="29"/>
  <c r="CY65" i="31" s="1"/>
  <c r="CY21" i="31"/>
  <c r="DO61" i="29"/>
  <c r="DO65" i="31" s="1"/>
  <c r="DO21" i="31"/>
  <c r="EE61" i="29"/>
  <c r="EE65" i="31" s="1"/>
  <c r="EE21" i="31"/>
  <c r="EU61" i="29"/>
  <c r="EU65" i="31" s="1"/>
  <c r="EU21" i="31"/>
  <c r="FK61" i="29"/>
  <c r="FK65" i="31" s="1"/>
  <c r="FK21" i="31"/>
  <c r="GA61" i="29"/>
  <c r="GA65" i="31" s="1"/>
  <c r="GA21" i="31"/>
  <c r="GQ61" i="29"/>
  <c r="GQ65" i="31" s="1"/>
  <c r="GQ21" i="31"/>
  <c r="HG61" i="29"/>
  <c r="HG65" i="31" s="1"/>
  <c r="HG21" i="31"/>
  <c r="HW61" i="29"/>
  <c r="HW65" i="31" s="1"/>
  <c r="HW21" i="31"/>
  <c r="IM61" i="29"/>
  <c r="IM65" i="31" s="1"/>
  <c r="IM21" i="31"/>
  <c r="JC61" i="29"/>
  <c r="JC65" i="31" s="1"/>
  <c r="JC21" i="31"/>
  <c r="M62" i="29"/>
  <c r="M66" i="31" s="1"/>
  <c r="M22" i="31"/>
  <c r="AD62" i="29"/>
  <c r="AD66" i="31" s="1"/>
  <c r="AD22" i="31"/>
  <c r="AT62" i="29"/>
  <c r="AT66" i="31" s="1"/>
  <c r="AT22" i="31"/>
  <c r="BJ62" i="29"/>
  <c r="BJ66" i="31" s="1"/>
  <c r="BJ22" i="31"/>
  <c r="BZ62" i="29"/>
  <c r="BZ66" i="31" s="1"/>
  <c r="BZ22" i="31"/>
  <c r="CP62" i="29"/>
  <c r="CP66" i="31" s="1"/>
  <c r="CP22" i="31"/>
  <c r="DF62" i="29"/>
  <c r="DF66" i="31" s="1"/>
  <c r="DF22" i="31"/>
  <c r="DV62" i="29"/>
  <c r="DV66" i="31" s="1"/>
  <c r="DV22" i="31"/>
  <c r="EL62" i="29"/>
  <c r="EL66" i="31" s="1"/>
  <c r="EL22" i="31"/>
  <c r="FB62" i="29"/>
  <c r="FB66" i="31" s="1"/>
  <c r="FB22" i="31"/>
  <c r="FR62" i="29"/>
  <c r="FR66" i="31" s="1"/>
  <c r="FR22" i="31"/>
  <c r="GH62" i="29"/>
  <c r="GH66" i="31" s="1"/>
  <c r="GH22" i="31"/>
  <c r="GX62" i="29"/>
  <c r="GX66" i="31" s="1"/>
  <c r="GX22" i="31"/>
  <c r="HN62" i="29"/>
  <c r="HN66" i="31" s="1"/>
  <c r="HN22" i="31"/>
  <c r="IG62" i="29"/>
  <c r="IG66" i="31" s="1"/>
  <c r="IG22" i="31"/>
  <c r="FR185" i="29"/>
  <c r="FR186" i="29" s="1"/>
  <c r="FR19" i="31"/>
  <c r="K61" i="29"/>
  <c r="K65" i="31" s="1"/>
  <c r="K21" i="31"/>
  <c r="AA61" i="29"/>
  <c r="AA65" i="31" s="1"/>
  <c r="AA21" i="31"/>
  <c r="AR61" i="29"/>
  <c r="AR65" i="31" s="1"/>
  <c r="AR21" i="31"/>
  <c r="BH61" i="29"/>
  <c r="BH65" i="31" s="1"/>
  <c r="BH21" i="31"/>
  <c r="BX61" i="29"/>
  <c r="BX65" i="31" s="1"/>
  <c r="BX21" i="31"/>
  <c r="CN61" i="29"/>
  <c r="CN65" i="31" s="1"/>
  <c r="CN21" i="31"/>
  <c r="DD61" i="29"/>
  <c r="DD65" i="31" s="1"/>
  <c r="DD21" i="31"/>
  <c r="DT61" i="29"/>
  <c r="DT65" i="31" s="1"/>
  <c r="DT21" i="31"/>
  <c r="EJ61" i="29"/>
  <c r="EJ65" i="31" s="1"/>
  <c r="EJ21" i="31"/>
  <c r="EZ61" i="29"/>
  <c r="EZ65" i="31" s="1"/>
  <c r="EZ21" i="31"/>
  <c r="FP61" i="29"/>
  <c r="FP65" i="31" s="1"/>
  <c r="FP21" i="31"/>
  <c r="GF61" i="29"/>
  <c r="GF65" i="31" s="1"/>
  <c r="GF21" i="31"/>
  <c r="GV61" i="29"/>
  <c r="GV65" i="31" s="1"/>
  <c r="GV21" i="31"/>
  <c r="HL61" i="29"/>
  <c r="HL65" i="31" s="1"/>
  <c r="HL21" i="31"/>
  <c r="IB61" i="29"/>
  <c r="IB65" i="31" s="1"/>
  <c r="IB21" i="31"/>
  <c r="IR61" i="29"/>
  <c r="IR65" i="31" s="1"/>
  <c r="IR21" i="31"/>
  <c r="JH61" i="29"/>
  <c r="JH65" i="31" s="1"/>
  <c r="JH21" i="31"/>
  <c r="R62" i="29"/>
  <c r="R66" i="31" s="1"/>
  <c r="R22" i="31"/>
  <c r="AI62" i="29"/>
  <c r="AI66" i="31" s="1"/>
  <c r="AI22" i="31"/>
  <c r="AY62" i="29"/>
  <c r="AY66" i="31" s="1"/>
  <c r="AY22" i="31"/>
  <c r="BO62" i="29"/>
  <c r="BO66" i="31" s="1"/>
  <c r="BO22" i="31"/>
  <c r="CE62" i="29"/>
  <c r="CE66" i="31" s="1"/>
  <c r="CE22" i="31"/>
  <c r="CU62" i="29"/>
  <c r="CU66" i="31" s="1"/>
  <c r="CU22" i="31"/>
  <c r="DK62" i="29"/>
  <c r="DK66" i="31" s="1"/>
  <c r="DK22" i="31"/>
  <c r="EA62" i="29"/>
  <c r="EA66" i="31" s="1"/>
  <c r="EA22" i="31"/>
  <c r="EQ62" i="29"/>
  <c r="EQ66" i="31" s="1"/>
  <c r="EQ22" i="31"/>
  <c r="FG62" i="29"/>
  <c r="FG66" i="31" s="1"/>
  <c r="FG22" i="31"/>
  <c r="FW62" i="29"/>
  <c r="FW66" i="31" s="1"/>
  <c r="FW22" i="31"/>
  <c r="GM62" i="29"/>
  <c r="GM66" i="31" s="1"/>
  <c r="GM22" i="31"/>
  <c r="HC62" i="29"/>
  <c r="HC66" i="31" s="1"/>
  <c r="HC22" i="31"/>
  <c r="HS62" i="29"/>
  <c r="HS66" i="31" s="1"/>
  <c r="HS22" i="31"/>
  <c r="IX62" i="29"/>
  <c r="IX66" i="31" s="1"/>
  <c r="IX22" i="31"/>
  <c r="P61" i="29"/>
  <c r="P65" i="31" s="1"/>
  <c r="P21" i="31"/>
  <c r="AG61" i="29"/>
  <c r="AG65" i="31" s="1"/>
  <c r="AG21" i="31"/>
  <c r="AW61" i="29"/>
  <c r="AW65" i="31" s="1"/>
  <c r="AW21" i="31"/>
  <c r="BM61" i="29"/>
  <c r="BM65" i="31" s="1"/>
  <c r="BM21" i="31"/>
  <c r="CC61" i="29"/>
  <c r="CC65" i="31" s="1"/>
  <c r="CC21" i="31"/>
  <c r="CS61" i="29"/>
  <c r="CS65" i="31" s="1"/>
  <c r="CS21" i="31"/>
  <c r="DI61" i="29"/>
  <c r="DI65" i="31" s="1"/>
  <c r="DI21" i="31"/>
  <c r="DY61" i="29"/>
  <c r="DY65" i="31" s="1"/>
  <c r="DY21" i="31"/>
  <c r="EO61" i="29"/>
  <c r="EO65" i="31" s="1"/>
  <c r="EO21" i="31"/>
  <c r="FE61" i="29"/>
  <c r="FE65" i="31" s="1"/>
  <c r="FE21" i="31"/>
  <c r="FU61" i="29"/>
  <c r="FU65" i="31" s="1"/>
  <c r="FU21" i="31"/>
  <c r="GK61" i="29"/>
  <c r="GK65" i="31" s="1"/>
  <c r="GK21" i="31"/>
  <c r="HA61" i="29"/>
  <c r="HA65" i="31" s="1"/>
  <c r="HA21" i="31"/>
  <c r="HQ61" i="29"/>
  <c r="HQ65" i="31" s="1"/>
  <c r="HQ21" i="31"/>
  <c r="IG61" i="29"/>
  <c r="IG65" i="31" s="1"/>
  <c r="IG21" i="31"/>
  <c r="IW61" i="29"/>
  <c r="IW65" i="31" s="1"/>
  <c r="IW21" i="31"/>
  <c r="G62" i="29"/>
  <c r="G66" i="31" s="1"/>
  <c r="G22" i="31"/>
  <c r="W62" i="29"/>
  <c r="W66" i="31" s="1"/>
  <c r="W22" i="31"/>
  <c r="AN62" i="29"/>
  <c r="AN66" i="31" s="1"/>
  <c r="AN22" i="31"/>
  <c r="BD62" i="29"/>
  <c r="BD66" i="31" s="1"/>
  <c r="BD22" i="31"/>
  <c r="BT62" i="29"/>
  <c r="BT66" i="31" s="1"/>
  <c r="BT22" i="31"/>
  <c r="CJ62" i="29"/>
  <c r="CJ66" i="31" s="1"/>
  <c r="CJ22" i="31"/>
  <c r="CZ62" i="29"/>
  <c r="CZ66" i="31" s="1"/>
  <c r="CZ22" i="31"/>
  <c r="DP62" i="29"/>
  <c r="DP66" i="31" s="1"/>
  <c r="DP22" i="31"/>
  <c r="EF62" i="29"/>
  <c r="EF66" i="31" s="1"/>
  <c r="EF22" i="31"/>
  <c r="EV62" i="29"/>
  <c r="EV66" i="31" s="1"/>
  <c r="EV22" i="31"/>
  <c r="FL62" i="29"/>
  <c r="FL66" i="31" s="1"/>
  <c r="FL22" i="31"/>
  <c r="GB62" i="29"/>
  <c r="GB66" i="31" s="1"/>
  <c r="GB22" i="31"/>
  <c r="GR62" i="29"/>
  <c r="GR66" i="31" s="1"/>
  <c r="GR22" i="31"/>
  <c r="HH62" i="29"/>
  <c r="HH66" i="31" s="1"/>
  <c r="HH22" i="31"/>
  <c r="HX62" i="29"/>
  <c r="HX66" i="31" s="1"/>
  <c r="HX22" i="31"/>
  <c r="IA62" i="29"/>
  <c r="IA66" i="31" s="1"/>
  <c r="IA22" i="31"/>
  <c r="IQ62" i="29"/>
  <c r="IQ66" i="31" s="1"/>
  <c r="IQ22" i="31"/>
  <c r="JG62" i="29"/>
  <c r="JG66" i="31" s="1"/>
  <c r="JG22" i="31"/>
  <c r="IR62" i="29"/>
  <c r="IR66" i="31" s="1"/>
  <c r="IR22" i="31"/>
  <c r="JH62" i="29"/>
  <c r="JH66" i="31" s="1"/>
  <c r="JH22" i="31"/>
  <c r="IW62" i="29"/>
  <c r="IW66" i="31" s="1"/>
  <c r="IW22" i="31"/>
  <c r="Q61" i="29"/>
  <c r="Q65" i="31" s="1"/>
  <c r="Q21" i="31"/>
  <c r="AH61" i="29"/>
  <c r="AH65" i="31" s="1"/>
  <c r="AH21" i="31"/>
  <c r="BN61" i="29"/>
  <c r="BN65" i="31" s="1"/>
  <c r="BN21" i="31"/>
  <c r="DZ61" i="29"/>
  <c r="DZ65" i="31" s="1"/>
  <c r="DZ21" i="31"/>
  <c r="EP61" i="29"/>
  <c r="EP65" i="31" s="1"/>
  <c r="EP21" i="31"/>
  <c r="HB61" i="29"/>
  <c r="HB65" i="31" s="1"/>
  <c r="HB21" i="31"/>
  <c r="HR61" i="29"/>
  <c r="HR65" i="31" s="1"/>
  <c r="HR21" i="31"/>
  <c r="IH61" i="29"/>
  <c r="IH65" i="31" s="1"/>
  <c r="IH21" i="31"/>
  <c r="BU62" i="29"/>
  <c r="BU66" i="31" s="1"/>
  <c r="BU22" i="31"/>
  <c r="DQ62" i="29"/>
  <c r="DQ66" i="31" s="1"/>
  <c r="DQ22" i="31"/>
  <c r="E61" i="29"/>
  <c r="E65" i="31" s="1"/>
  <c r="E21" i="31"/>
  <c r="BB61" i="29"/>
  <c r="BB65" i="31" s="1"/>
  <c r="BB21" i="31"/>
  <c r="ET61" i="29"/>
  <c r="ET65" i="31" s="1"/>
  <c r="ET21" i="31"/>
  <c r="GP61" i="29"/>
  <c r="GP65" i="31" s="1"/>
  <c r="GP21" i="31"/>
  <c r="HV61" i="29"/>
  <c r="HV65" i="31" s="1"/>
  <c r="HV21" i="31"/>
  <c r="IL61" i="29"/>
  <c r="IL65" i="31" s="1"/>
  <c r="IL21" i="31"/>
  <c r="AB62" i="29"/>
  <c r="AB66" i="31" s="1"/>
  <c r="AB22" i="31"/>
  <c r="BY62" i="29"/>
  <c r="BY66" i="31" s="1"/>
  <c r="BY22" i="31"/>
  <c r="CO62" i="29"/>
  <c r="CO66" i="31" s="1"/>
  <c r="CO22" i="31"/>
  <c r="EK62" i="29"/>
  <c r="EK66" i="31" s="1"/>
  <c r="EK22" i="31"/>
  <c r="GG62" i="29"/>
  <c r="GG66" i="31" s="1"/>
  <c r="GG22" i="31"/>
  <c r="I61" i="29"/>
  <c r="I65" i="31" s="1"/>
  <c r="I21" i="31"/>
  <c r="Y61" i="29"/>
  <c r="Y65" i="31" s="1"/>
  <c r="Y21" i="31"/>
  <c r="AP61" i="29"/>
  <c r="AP65" i="31" s="1"/>
  <c r="AP21" i="31"/>
  <c r="BF61" i="29"/>
  <c r="BF65" i="31" s="1"/>
  <c r="BF21" i="31"/>
  <c r="BV61" i="29"/>
  <c r="BV65" i="31" s="1"/>
  <c r="BV21" i="31"/>
  <c r="CL61" i="29"/>
  <c r="CL65" i="31" s="1"/>
  <c r="CL21" i="31"/>
  <c r="DB61" i="29"/>
  <c r="DB65" i="31" s="1"/>
  <c r="DB21" i="31"/>
  <c r="DR61" i="29"/>
  <c r="DR65" i="31" s="1"/>
  <c r="DR21" i="31"/>
  <c r="EH61" i="29"/>
  <c r="EH65" i="31" s="1"/>
  <c r="EH21" i="31"/>
  <c r="EX61" i="29"/>
  <c r="EX65" i="31" s="1"/>
  <c r="EX21" i="31"/>
  <c r="FN61" i="29"/>
  <c r="FN65" i="31" s="1"/>
  <c r="FN21" i="31"/>
  <c r="GD61" i="29"/>
  <c r="GD65" i="31" s="1"/>
  <c r="GD21" i="31"/>
  <c r="GT61" i="29"/>
  <c r="GT65" i="31" s="1"/>
  <c r="GT21" i="31"/>
  <c r="HJ61" i="29"/>
  <c r="HJ65" i="31" s="1"/>
  <c r="HJ21" i="31"/>
  <c r="HZ61" i="29"/>
  <c r="HZ65" i="31" s="1"/>
  <c r="HZ21" i="31"/>
  <c r="IP61" i="29"/>
  <c r="IP65" i="31" s="1"/>
  <c r="IP21" i="31"/>
  <c r="JF61" i="29"/>
  <c r="JF65" i="31" s="1"/>
  <c r="JF21" i="31"/>
  <c r="P62" i="29"/>
  <c r="P66" i="31" s="1"/>
  <c r="P22" i="31"/>
  <c r="AG62" i="29"/>
  <c r="AG66" i="31" s="1"/>
  <c r="AG22" i="31"/>
  <c r="AW62" i="29"/>
  <c r="AW66" i="31" s="1"/>
  <c r="AW22" i="31"/>
  <c r="BM62" i="29"/>
  <c r="BM66" i="31" s="1"/>
  <c r="BM22" i="31"/>
  <c r="CC62" i="29"/>
  <c r="CC66" i="31" s="1"/>
  <c r="CC22" i="31"/>
  <c r="CS62" i="29"/>
  <c r="CS66" i="31" s="1"/>
  <c r="CS22" i="31"/>
  <c r="DI62" i="29"/>
  <c r="DI66" i="31" s="1"/>
  <c r="DI22" i="31"/>
  <c r="DY62" i="29"/>
  <c r="DY66" i="31" s="1"/>
  <c r="DY22" i="31"/>
  <c r="EO62" i="29"/>
  <c r="EO66" i="31" s="1"/>
  <c r="EO22" i="31"/>
  <c r="FE62" i="29"/>
  <c r="FE66" i="31" s="1"/>
  <c r="FE22" i="31"/>
  <c r="FU62" i="29"/>
  <c r="FU66" i="31" s="1"/>
  <c r="FU22" i="31"/>
  <c r="GK62" i="29"/>
  <c r="GK66" i="31" s="1"/>
  <c r="GK22" i="31"/>
  <c r="HA62" i="29"/>
  <c r="HA66" i="31" s="1"/>
  <c r="HA22" i="31"/>
  <c r="HQ62" i="29"/>
  <c r="HQ66" i="31" s="1"/>
  <c r="HQ22" i="31"/>
  <c r="IP62" i="29"/>
  <c r="IP66" i="31" s="1"/>
  <c r="IP22" i="31"/>
  <c r="J61" i="29"/>
  <c r="J65" i="31" s="1"/>
  <c r="J21" i="31"/>
  <c r="Z61" i="29"/>
  <c r="Z65" i="31" s="1"/>
  <c r="Z21" i="31"/>
  <c r="AQ61" i="29"/>
  <c r="AQ65" i="31" s="1"/>
  <c r="AQ21" i="31"/>
  <c r="BG61" i="29"/>
  <c r="BG65" i="31" s="1"/>
  <c r="BG21" i="31"/>
  <c r="BW61" i="29"/>
  <c r="BW65" i="31" s="1"/>
  <c r="BW21" i="31"/>
  <c r="CM61" i="29"/>
  <c r="CM65" i="31" s="1"/>
  <c r="CM21" i="31"/>
  <c r="DC61" i="29"/>
  <c r="DC65" i="31" s="1"/>
  <c r="DC21" i="31"/>
  <c r="DS61" i="29"/>
  <c r="DS65" i="31" s="1"/>
  <c r="DS21" i="31"/>
  <c r="EI61" i="29"/>
  <c r="EI65" i="31" s="1"/>
  <c r="EI21" i="31"/>
  <c r="EY61" i="29"/>
  <c r="EY65" i="31" s="1"/>
  <c r="EY21" i="31"/>
  <c r="FO61" i="29"/>
  <c r="FO65" i="31" s="1"/>
  <c r="FO21" i="31"/>
  <c r="GE61" i="29"/>
  <c r="GE65" i="31" s="1"/>
  <c r="GE21" i="31"/>
  <c r="GU61" i="29"/>
  <c r="GU65" i="31" s="1"/>
  <c r="GU21" i="31"/>
  <c r="HK61" i="29"/>
  <c r="HK65" i="31" s="1"/>
  <c r="HK21" i="31"/>
  <c r="IA61" i="29"/>
  <c r="IA65" i="31" s="1"/>
  <c r="IA21" i="31"/>
  <c r="IQ61" i="29"/>
  <c r="IQ65" i="31" s="1"/>
  <c r="IQ21" i="31"/>
  <c r="JG61" i="29"/>
  <c r="JG65" i="31" s="1"/>
  <c r="JG21" i="31"/>
  <c r="Q62" i="29"/>
  <c r="Q66" i="31" s="1"/>
  <c r="Q22" i="31"/>
  <c r="AH62" i="29"/>
  <c r="AH66" i="31" s="1"/>
  <c r="AH22" i="31"/>
  <c r="AX62" i="29"/>
  <c r="AX66" i="31" s="1"/>
  <c r="AX22" i="31"/>
  <c r="BN62" i="29"/>
  <c r="BN66" i="31" s="1"/>
  <c r="BN22" i="31"/>
  <c r="CD62" i="29"/>
  <c r="CD66" i="31" s="1"/>
  <c r="CD22" i="31"/>
  <c r="CT62" i="29"/>
  <c r="CT66" i="31" s="1"/>
  <c r="CT22" i="31"/>
  <c r="DJ62" i="29"/>
  <c r="DJ66" i="31" s="1"/>
  <c r="DJ22" i="31"/>
  <c r="DZ62" i="29"/>
  <c r="DZ66" i="31" s="1"/>
  <c r="DZ22" i="31"/>
  <c r="EP62" i="29"/>
  <c r="EP66" i="31" s="1"/>
  <c r="EP22" i="31"/>
  <c r="FF62" i="29"/>
  <c r="FF66" i="31" s="1"/>
  <c r="FF22" i="31"/>
  <c r="FV62" i="29"/>
  <c r="FV66" i="31" s="1"/>
  <c r="FV22" i="31"/>
  <c r="GL62" i="29"/>
  <c r="GL66" i="31" s="1"/>
  <c r="GL22" i="31"/>
  <c r="HB62" i="29"/>
  <c r="HB66" i="31" s="1"/>
  <c r="HB22" i="31"/>
  <c r="HR62" i="29"/>
  <c r="HR66" i="31" s="1"/>
  <c r="HR22" i="31"/>
  <c r="IT62" i="29"/>
  <c r="IT66" i="31" s="1"/>
  <c r="IT22" i="31"/>
  <c r="O61" i="29"/>
  <c r="O65" i="31" s="1"/>
  <c r="O21" i="31"/>
  <c r="AF61" i="29"/>
  <c r="AF65" i="31" s="1"/>
  <c r="AF21" i="31"/>
  <c r="AV61" i="29"/>
  <c r="AV65" i="31" s="1"/>
  <c r="AV21" i="31"/>
  <c r="BL61" i="29"/>
  <c r="BL65" i="31" s="1"/>
  <c r="BL21" i="31"/>
  <c r="CB61" i="29"/>
  <c r="CB65" i="31" s="1"/>
  <c r="CB21" i="31"/>
  <c r="CR61" i="29"/>
  <c r="CR65" i="31" s="1"/>
  <c r="CR21" i="31"/>
  <c r="DH61" i="29"/>
  <c r="DH65" i="31" s="1"/>
  <c r="DH21" i="31"/>
  <c r="DX61" i="29"/>
  <c r="DX65" i="31" s="1"/>
  <c r="DX21" i="31"/>
  <c r="EN61" i="29"/>
  <c r="EN65" i="31" s="1"/>
  <c r="EN21" i="31"/>
  <c r="FD61" i="29"/>
  <c r="FD65" i="31" s="1"/>
  <c r="FD21" i="31"/>
  <c r="FT61" i="29"/>
  <c r="FT65" i="31" s="1"/>
  <c r="FT21" i="31"/>
  <c r="GJ61" i="29"/>
  <c r="GJ65" i="31" s="1"/>
  <c r="GJ21" i="31"/>
  <c r="GZ61" i="29"/>
  <c r="GZ65" i="31" s="1"/>
  <c r="GZ21" i="31"/>
  <c r="HP61" i="29"/>
  <c r="HP65" i="31" s="1"/>
  <c r="HP21" i="31"/>
  <c r="IF61" i="29"/>
  <c r="IF65" i="31" s="1"/>
  <c r="IF21" i="31"/>
  <c r="IV61" i="29"/>
  <c r="IV65" i="31" s="1"/>
  <c r="IV21" i="31"/>
  <c r="F62" i="29"/>
  <c r="F66" i="31" s="1"/>
  <c r="F22" i="31"/>
  <c r="V62" i="29"/>
  <c r="V66" i="31" s="1"/>
  <c r="V22" i="31"/>
  <c r="AM62" i="29"/>
  <c r="AM66" i="31" s="1"/>
  <c r="AM22" i="31"/>
  <c r="BC62" i="29"/>
  <c r="BC66" i="31" s="1"/>
  <c r="BC22" i="31"/>
  <c r="BS62" i="29"/>
  <c r="BS66" i="31" s="1"/>
  <c r="BS22" i="31"/>
  <c r="CI62" i="29"/>
  <c r="CI66" i="31" s="1"/>
  <c r="CI22" i="31"/>
  <c r="CY62" i="29"/>
  <c r="CY66" i="31" s="1"/>
  <c r="CY22" i="31"/>
  <c r="DO62" i="29"/>
  <c r="DO66" i="31" s="1"/>
  <c r="DO22" i="31"/>
  <c r="EE62" i="29"/>
  <c r="EE66" i="31" s="1"/>
  <c r="EE22" i="31"/>
  <c r="EU62" i="29"/>
  <c r="EU66" i="31" s="1"/>
  <c r="EU22" i="31"/>
  <c r="FK62" i="29"/>
  <c r="FK66" i="31" s="1"/>
  <c r="FK22" i="31"/>
  <c r="GA62" i="29"/>
  <c r="GA66" i="31" s="1"/>
  <c r="GA22" i="31"/>
  <c r="GQ62" i="29"/>
  <c r="GQ66" i="31" s="1"/>
  <c r="GQ22" i="31"/>
  <c r="HG62" i="29"/>
  <c r="HG66" i="31" s="1"/>
  <c r="HG22" i="31"/>
  <c r="HW62" i="29"/>
  <c r="HW66" i="31" s="1"/>
  <c r="HW22" i="31"/>
  <c r="D61" i="29"/>
  <c r="D65" i="31" s="1"/>
  <c r="D21" i="31"/>
  <c r="T61" i="29"/>
  <c r="T65" i="31" s="1"/>
  <c r="T21" i="31"/>
  <c r="AK61" i="29"/>
  <c r="AK65" i="31" s="1"/>
  <c r="AK21" i="31"/>
  <c r="BA61" i="29"/>
  <c r="BA65" i="31" s="1"/>
  <c r="BA21" i="31"/>
  <c r="BQ61" i="29"/>
  <c r="BQ65" i="31" s="1"/>
  <c r="BQ21" i="31"/>
  <c r="CG61" i="29"/>
  <c r="CG65" i="31" s="1"/>
  <c r="CG21" i="31"/>
  <c r="CW61" i="29"/>
  <c r="CW65" i="31" s="1"/>
  <c r="CW21" i="31"/>
  <c r="DM61" i="29"/>
  <c r="DM65" i="31" s="1"/>
  <c r="DM21" i="31"/>
  <c r="EC61" i="29"/>
  <c r="EC65" i="31" s="1"/>
  <c r="EC21" i="31"/>
  <c r="ES61" i="29"/>
  <c r="ES65" i="31" s="1"/>
  <c r="ES21" i="31"/>
  <c r="FI61" i="29"/>
  <c r="FI65" i="31" s="1"/>
  <c r="FI21" i="31"/>
  <c r="FY61" i="29"/>
  <c r="FY65" i="31" s="1"/>
  <c r="FY21" i="31"/>
  <c r="GO61" i="29"/>
  <c r="GO65" i="31" s="1"/>
  <c r="GO21" i="31"/>
  <c r="HE61" i="29"/>
  <c r="HE65" i="31" s="1"/>
  <c r="HE21" i="31"/>
  <c r="HU61" i="29"/>
  <c r="HU65" i="31" s="1"/>
  <c r="HU21" i="31"/>
  <c r="IK61" i="29"/>
  <c r="IK65" i="31" s="1"/>
  <c r="IK21" i="31"/>
  <c r="JA61" i="29"/>
  <c r="JA65" i="31" s="1"/>
  <c r="JA21" i="31"/>
  <c r="K62" i="29"/>
  <c r="K66" i="31" s="1"/>
  <c r="K22" i="31"/>
  <c r="AA62" i="29"/>
  <c r="AA66" i="31" s="1"/>
  <c r="AA22" i="31"/>
  <c r="AR62" i="29"/>
  <c r="AR66" i="31" s="1"/>
  <c r="AR22" i="31"/>
  <c r="BH62" i="29"/>
  <c r="BH66" i="31" s="1"/>
  <c r="BH22" i="31"/>
  <c r="BX62" i="29"/>
  <c r="BX66" i="31" s="1"/>
  <c r="BX22" i="31"/>
  <c r="CN62" i="29"/>
  <c r="CN66" i="31" s="1"/>
  <c r="CN22" i="31"/>
  <c r="DD62" i="29"/>
  <c r="DD66" i="31" s="1"/>
  <c r="DD22" i="31"/>
  <c r="DT62" i="29"/>
  <c r="DT66" i="31" s="1"/>
  <c r="DT22" i="31"/>
  <c r="EJ62" i="29"/>
  <c r="EJ66" i="31" s="1"/>
  <c r="EJ22" i="31"/>
  <c r="EZ62" i="29"/>
  <c r="EZ66" i="31" s="1"/>
  <c r="EZ22" i="31"/>
  <c r="FP62" i="29"/>
  <c r="FP66" i="31" s="1"/>
  <c r="FP22" i="31"/>
  <c r="GF62" i="29"/>
  <c r="GF66" i="31" s="1"/>
  <c r="GF22" i="31"/>
  <c r="GV62" i="29"/>
  <c r="GV66" i="31" s="1"/>
  <c r="GV22" i="31"/>
  <c r="HL62" i="29"/>
  <c r="HL66" i="31" s="1"/>
  <c r="HL22" i="31"/>
  <c r="IC62" i="29"/>
  <c r="IC66" i="31" s="1"/>
  <c r="IC22" i="31"/>
  <c r="IE62" i="29"/>
  <c r="IE66" i="31" s="1"/>
  <c r="IE22" i="31"/>
  <c r="IU62" i="29"/>
  <c r="IU66" i="31" s="1"/>
  <c r="IU22" i="31"/>
  <c r="IF62" i="29"/>
  <c r="IF66" i="31" s="1"/>
  <c r="IF22" i="31"/>
  <c r="IV62" i="29"/>
  <c r="IV66" i="31" s="1"/>
  <c r="IV22" i="31"/>
  <c r="IK62" i="29"/>
  <c r="IK66" i="31" s="1"/>
  <c r="IK22" i="31"/>
  <c r="JA62" i="29"/>
  <c r="JA66" i="31" s="1"/>
  <c r="JA22" i="31"/>
  <c r="AX61" i="29"/>
  <c r="AX65" i="31" s="1"/>
  <c r="AX21" i="31"/>
  <c r="DJ61" i="29"/>
  <c r="DJ65" i="31" s="1"/>
  <c r="DJ21" i="31"/>
  <c r="H62" i="29"/>
  <c r="H66" i="31" s="1"/>
  <c r="H22" i="31"/>
  <c r="X62" i="29"/>
  <c r="X66" i="31" s="1"/>
  <c r="X22" i="31"/>
  <c r="DA62" i="29"/>
  <c r="DA66" i="31" s="1"/>
  <c r="DA22" i="31"/>
  <c r="AL61" i="29"/>
  <c r="AL65" i="31" s="1"/>
  <c r="AL21" i="31"/>
  <c r="CX61" i="29"/>
  <c r="CX65" i="31" s="1"/>
  <c r="CX21" i="31"/>
  <c r="DN61" i="29"/>
  <c r="DN65" i="31" s="1"/>
  <c r="DN21" i="31"/>
  <c r="ED61" i="29"/>
  <c r="ED65" i="31" s="1"/>
  <c r="ED21" i="31"/>
  <c r="FZ61" i="29"/>
  <c r="FZ65" i="31" s="1"/>
  <c r="FZ21" i="31"/>
  <c r="L62" i="29"/>
  <c r="L66" i="31" s="1"/>
  <c r="L22" i="31"/>
  <c r="AS62" i="29"/>
  <c r="AS66" i="31" s="1"/>
  <c r="AS22" i="31"/>
  <c r="DE62" i="29"/>
  <c r="DE66" i="31" s="1"/>
  <c r="DE22" i="31"/>
  <c r="DU62" i="29"/>
  <c r="DU66" i="31" s="1"/>
  <c r="DU22" i="31"/>
  <c r="FQ62" i="29"/>
  <c r="FQ66" i="31" s="1"/>
  <c r="FQ22" i="31"/>
  <c r="GZ185" i="29"/>
  <c r="GZ186" i="29" s="1"/>
  <c r="GZ19" i="31"/>
  <c r="M61" i="29"/>
  <c r="M65" i="31" s="1"/>
  <c r="M21" i="31"/>
  <c r="AD61" i="29"/>
  <c r="AD65" i="31" s="1"/>
  <c r="AD21" i="31"/>
  <c r="AT61" i="29"/>
  <c r="AT65" i="31" s="1"/>
  <c r="AT21" i="31"/>
  <c r="BJ61" i="29"/>
  <c r="BJ65" i="31" s="1"/>
  <c r="BJ21" i="31"/>
  <c r="BZ61" i="29"/>
  <c r="BZ65" i="31" s="1"/>
  <c r="BZ21" i="31"/>
  <c r="CP61" i="29"/>
  <c r="CP65" i="31" s="1"/>
  <c r="CP21" i="31"/>
  <c r="DF61" i="29"/>
  <c r="DF65" i="31" s="1"/>
  <c r="DF21" i="31"/>
  <c r="DV61" i="29"/>
  <c r="DV65" i="31" s="1"/>
  <c r="DV21" i="31"/>
  <c r="EL61" i="29"/>
  <c r="EL65" i="31" s="1"/>
  <c r="EL21" i="31"/>
  <c r="FB61" i="29"/>
  <c r="FB65" i="31" s="1"/>
  <c r="FB21" i="31"/>
  <c r="FR61" i="29"/>
  <c r="FR65" i="31" s="1"/>
  <c r="FR21" i="31"/>
  <c r="GH61" i="29"/>
  <c r="GH65" i="31" s="1"/>
  <c r="GH21" i="31"/>
  <c r="GX61" i="29"/>
  <c r="GX65" i="31" s="1"/>
  <c r="GX21" i="31"/>
  <c r="HN61" i="29"/>
  <c r="HN65" i="31" s="1"/>
  <c r="HN21" i="31"/>
  <c r="ID61" i="29"/>
  <c r="ID65" i="31" s="1"/>
  <c r="ID21" i="31"/>
  <c r="IT61" i="29"/>
  <c r="IT65" i="31" s="1"/>
  <c r="IT21" i="31"/>
  <c r="D62" i="29"/>
  <c r="D66" i="31" s="1"/>
  <c r="D22" i="31"/>
  <c r="T62" i="29"/>
  <c r="T66" i="31" s="1"/>
  <c r="T22" i="31"/>
  <c r="AK62" i="29"/>
  <c r="AK66" i="31" s="1"/>
  <c r="AK22" i="31"/>
  <c r="BA62" i="29"/>
  <c r="BA66" i="31" s="1"/>
  <c r="BA22" i="31"/>
  <c r="BQ62" i="29"/>
  <c r="BQ66" i="31" s="1"/>
  <c r="BQ22" i="31"/>
  <c r="CG62" i="29"/>
  <c r="CG66" i="31" s="1"/>
  <c r="CG22" i="31"/>
  <c r="CW62" i="29"/>
  <c r="CW66" i="31" s="1"/>
  <c r="CW22" i="31"/>
  <c r="DM62" i="29"/>
  <c r="DM66" i="31" s="1"/>
  <c r="DM22" i="31"/>
  <c r="EC62" i="29"/>
  <c r="EC66" i="31" s="1"/>
  <c r="EC22" i="31"/>
  <c r="ES62" i="29"/>
  <c r="ES66" i="31" s="1"/>
  <c r="ES22" i="31"/>
  <c r="FI62" i="29"/>
  <c r="FI66" i="31" s="1"/>
  <c r="FI22" i="31"/>
  <c r="FY62" i="29"/>
  <c r="FY66" i="31" s="1"/>
  <c r="FY22" i="31"/>
  <c r="GO62" i="29"/>
  <c r="GO66" i="31" s="1"/>
  <c r="GO22" i="31"/>
  <c r="HE62" i="29"/>
  <c r="HE66" i="31" s="1"/>
  <c r="HE22" i="31"/>
  <c r="HU62" i="29"/>
  <c r="HU66" i="31" s="1"/>
  <c r="HU22" i="31"/>
  <c r="JF62" i="29"/>
  <c r="JF66" i="31" s="1"/>
  <c r="JF22" i="31"/>
  <c r="N61" i="29"/>
  <c r="N65" i="31" s="1"/>
  <c r="N21" i="31"/>
  <c r="AE61" i="29"/>
  <c r="AE65" i="31" s="1"/>
  <c r="AE21" i="31"/>
  <c r="AU61" i="29"/>
  <c r="AU65" i="31" s="1"/>
  <c r="AU21" i="31"/>
  <c r="BK61" i="29"/>
  <c r="BK65" i="31" s="1"/>
  <c r="BK21" i="31"/>
  <c r="CA61" i="29"/>
  <c r="CA65" i="31" s="1"/>
  <c r="CA21" i="31"/>
  <c r="CQ61" i="29"/>
  <c r="CQ65" i="31" s="1"/>
  <c r="CQ21" i="31"/>
  <c r="DG61" i="29"/>
  <c r="DG65" i="31" s="1"/>
  <c r="DG21" i="31"/>
  <c r="DW61" i="29"/>
  <c r="DW65" i="31" s="1"/>
  <c r="DW21" i="31"/>
  <c r="EM61" i="29"/>
  <c r="EM65" i="31" s="1"/>
  <c r="EM21" i="31"/>
  <c r="FC61" i="29"/>
  <c r="FC65" i="31" s="1"/>
  <c r="FC21" i="31"/>
  <c r="FS61" i="29"/>
  <c r="FS65" i="31" s="1"/>
  <c r="FS21" i="31"/>
  <c r="GI61" i="29"/>
  <c r="GI65" i="31" s="1"/>
  <c r="GI21" i="31"/>
  <c r="GY61" i="29"/>
  <c r="GY65" i="31" s="1"/>
  <c r="GY21" i="31"/>
  <c r="HO61" i="29"/>
  <c r="HO65" i="31" s="1"/>
  <c r="HO21" i="31"/>
  <c r="IE61" i="29"/>
  <c r="IE65" i="31" s="1"/>
  <c r="IE21" i="31"/>
  <c r="IU61" i="29"/>
  <c r="IU65" i="31" s="1"/>
  <c r="IU21" i="31"/>
  <c r="E62" i="29"/>
  <c r="E66" i="31" s="1"/>
  <c r="E22" i="31"/>
  <c r="U62" i="29"/>
  <c r="U66" i="31" s="1"/>
  <c r="U22" i="31"/>
  <c r="AL62" i="29"/>
  <c r="AL66" i="31" s="1"/>
  <c r="AL22" i="31"/>
  <c r="BB62" i="29"/>
  <c r="BB66" i="31" s="1"/>
  <c r="BB22" i="31"/>
  <c r="BR62" i="29"/>
  <c r="BR66" i="31" s="1"/>
  <c r="BR22" i="31"/>
  <c r="CH62" i="29"/>
  <c r="CH66" i="31" s="1"/>
  <c r="CH22" i="31"/>
  <c r="CX62" i="29"/>
  <c r="CX66" i="31" s="1"/>
  <c r="CX22" i="31"/>
  <c r="DN62" i="29"/>
  <c r="DN66" i="31" s="1"/>
  <c r="DN22" i="31"/>
  <c r="ED62" i="29"/>
  <c r="ED66" i="31" s="1"/>
  <c r="ED22" i="31"/>
  <c r="ET62" i="29"/>
  <c r="ET66" i="31" s="1"/>
  <c r="ET22" i="31"/>
  <c r="FJ62" i="29"/>
  <c r="FJ66" i="31" s="1"/>
  <c r="FJ22" i="31"/>
  <c r="FZ62" i="29"/>
  <c r="FZ66" i="31" s="1"/>
  <c r="FZ22" i="31"/>
  <c r="GP62" i="29"/>
  <c r="GP66" i="31" s="1"/>
  <c r="GP22" i="31"/>
  <c r="HF62" i="29"/>
  <c r="HF66" i="31" s="1"/>
  <c r="HF22" i="31"/>
  <c r="HV62" i="29"/>
  <c r="HV66" i="31" s="1"/>
  <c r="HV22" i="31"/>
  <c r="C61" i="29"/>
  <c r="C65" i="31" s="1"/>
  <c r="C21" i="31"/>
  <c r="S61" i="29"/>
  <c r="S65" i="31" s="1"/>
  <c r="S21" i="31"/>
  <c r="AJ61" i="29"/>
  <c r="AJ65" i="31" s="1"/>
  <c r="AJ21" i="31"/>
  <c r="AZ61" i="29"/>
  <c r="AZ65" i="31" s="1"/>
  <c r="AZ21" i="31"/>
  <c r="BP61" i="29"/>
  <c r="BP65" i="31" s="1"/>
  <c r="BP21" i="31"/>
  <c r="CF61" i="29"/>
  <c r="CF65" i="31" s="1"/>
  <c r="CF21" i="31"/>
  <c r="CV61" i="29"/>
  <c r="CV65" i="31" s="1"/>
  <c r="CV21" i="31"/>
  <c r="DL61" i="29"/>
  <c r="DL65" i="31" s="1"/>
  <c r="DL21" i="31"/>
  <c r="EB61" i="29"/>
  <c r="EB65" i="31" s="1"/>
  <c r="EB21" i="31"/>
  <c r="ER61" i="29"/>
  <c r="ER65" i="31" s="1"/>
  <c r="ER21" i="31"/>
  <c r="FH61" i="29"/>
  <c r="FH65" i="31" s="1"/>
  <c r="FH21" i="31"/>
  <c r="FX61" i="29"/>
  <c r="FX65" i="31" s="1"/>
  <c r="FX21" i="31"/>
  <c r="GN61" i="29"/>
  <c r="GN65" i="31" s="1"/>
  <c r="GN21" i="31"/>
  <c r="HD61" i="29"/>
  <c r="HD65" i="31" s="1"/>
  <c r="HD21" i="31"/>
  <c r="HT61" i="29"/>
  <c r="HT65" i="31" s="1"/>
  <c r="HT21" i="31"/>
  <c r="IJ61" i="29"/>
  <c r="IJ65" i="31" s="1"/>
  <c r="IJ21" i="31"/>
  <c r="IZ61" i="29"/>
  <c r="IZ65" i="31" s="1"/>
  <c r="IZ21" i="31"/>
  <c r="J62" i="29"/>
  <c r="J66" i="31" s="1"/>
  <c r="J22" i="31"/>
  <c r="Z62" i="29"/>
  <c r="Z66" i="31" s="1"/>
  <c r="Z22" i="31"/>
  <c r="AQ62" i="29"/>
  <c r="AQ66" i="31" s="1"/>
  <c r="AQ22" i="31"/>
  <c r="BG62" i="29"/>
  <c r="BG66" i="31" s="1"/>
  <c r="BG22" i="31"/>
  <c r="BW62" i="29"/>
  <c r="BW66" i="31" s="1"/>
  <c r="BW22" i="31"/>
  <c r="CM62" i="29"/>
  <c r="CM66" i="31" s="1"/>
  <c r="CM22" i="31"/>
  <c r="DC62" i="29"/>
  <c r="DC66" i="31" s="1"/>
  <c r="DC22" i="31"/>
  <c r="DS62" i="29"/>
  <c r="DS66" i="31" s="1"/>
  <c r="DS22" i="31"/>
  <c r="EI62" i="29"/>
  <c r="EI66" i="31" s="1"/>
  <c r="EI22" i="31"/>
  <c r="EY62" i="29"/>
  <c r="EY66" i="31" s="1"/>
  <c r="EY22" i="31"/>
  <c r="FO62" i="29"/>
  <c r="FO66" i="31" s="1"/>
  <c r="FO22" i="31"/>
  <c r="GE62" i="29"/>
  <c r="GE66" i="31" s="1"/>
  <c r="GE22" i="31"/>
  <c r="GU62" i="29"/>
  <c r="GU66" i="31" s="1"/>
  <c r="GU22" i="31"/>
  <c r="HK62" i="29"/>
  <c r="HK66" i="31" s="1"/>
  <c r="HK22" i="31"/>
  <c r="IB62" i="29"/>
  <c r="IB66" i="31" s="1"/>
  <c r="IB22" i="31"/>
  <c r="H61" i="29"/>
  <c r="H65" i="31" s="1"/>
  <c r="H21" i="31"/>
  <c r="X61" i="29"/>
  <c r="X65" i="31" s="1"/>
  <c r="X21" i="31"/>
  <c r="AO61" i="29"/>
  <c r="AO65" i="31" s="1"/>
  <c r="AO21" i="31"/>
  <c r="BE61" i="29"/>
  <c r="BE65" i="31" s="1"/>
  <c r="BE21" i="31"/>
  <c r="BU61" i="29"/>
  <c r="BU65" i="31" s="1"/>
  <c r="BU21" i="31"/>
  <c r="CK61" i="29"/>
  <c r="CK65" i="31" s="1"/>
  <c r="CK21" i="31"/>
  <c r="DA61" i="29"/>
  <c r="DA65" i="31" s="1"/>
  <c r="DA21" i="31"/>
  <c r="DQ61" i="29"/>
  <c r="DQ65" i="31" s="1"/>
  <c r="DQ21" i="31"/>
  <c r="EG61" i="29"/>
  <c r="EG65" i="31" s="1"/>
  <c r="EG21" i="31"/>
  <c r="EW61" i="29"/>
  <c r="EW65" i="31" s="1"/>
  <c r="EW21" i="31"/>
  <c r="FM61" i="29"/>
  <c r="FM65" i="31" s="1"/>
  <c r="FM21" i="31"/>
  <c r="GC61" i="29"/>
  <c r="GC65" i="31" s="1"/>
  <c r="GC21" i="31"/>
  <c r="GS61" i="29"/>
  <c r="GS65" i="31" s="1"/>
  <c r="GS21" i="31"/>
  <c r="HI61" i="29"/>
  <c r="HI65" i="31" s="1"/>
  <c r="HI21" i="31"/>
  <c r="HY61" i="29"/>
  <c r="HY65" i="31" s="1"/>
  <c r="HY21" i="31"/>
  <c r="IO61" i="29"/>
  <c r="IO65" i="31" s="1"/>
  <c r="IO21" i="31"/>
  <c r="JE61" i="29"/>
  <c r="JE65" i="31" s="1"/>
  <c r="JE21" i="31"/>
  <c r="O62" i="29"/>
  <c r="O66" i="31" s="1"/>
  <c r="O22" i="31"/>
  <c r="AF62" i="29"/>
  <c r="AF66" i="31" s="1"/>
  <c r="AF22" i="31"/>
  <c r="AV62" i="29"/>
  <c r="AV66" i="31" s="1"/>
  <c r="AV22" i="31"/>
  <c r="BL62" i="29"/>
  <c r="BL66" i="31" s="1"/>
  <c r="BL22" i="31"/>
  <c r="CB62" i="29"/>
  <c r="CB66" i="31" s="1"/>
  <c r="CB22" i="31"/>
  <c r="CR62" i="29"/>
  <c r="CR66" i="31" s="1"/>
  <c r="CR22" i="31"/>
  <c r="DH62" i="29"/>
  <c r="DH66" i="31" s="1"/>
  <c r="DH22" i="31"/>
  <c r="DX62" i="29"/>
  <c r="DX66" i="31" s="1"/>
  <c r="DX22" i="31"/>
  <c r="EN62" i="29"/>
  <c r="EN66" i="31" s="1"/>
  <c r="EN22" i="31"/>
  <c r="FD62" i="29"/>
  <c r="FD66" i="31" s="1"/>
  <c r="FD22" i="31"/>
  <c r="FT62" i="29"/>
  <c r="FT66" i="31" s="1"/>
  <c r="FT22" i="31"/>
  <c r="GJ62" i="29"/>
  <c r="GJ66" i="31" s="1"/>
  <c r="GJ22" i="31"/>
  <c r="GZ62" i="29"/>
  <c r="GZ66" i="31" s="1"/>
  <c r="GZ22" i="31"/>
  <c r="HP62" i="29"/>
  <c r="HP66" i="31" s="1"/>
  <c r="HP22" i="31"/>
  <c r="IL62" i="29"/>
  <c r="IL66" i="31" s="1"/>
  <c r="IL22" i="31"/>
  <c r="II62" i="29"/>
  <c r="II66" i="31" s="1"/>
  <c r="II22" i="31"/>
  <c r="IY62" i="29"/>
  <c r="IY66" i="31" s="1"/>
  <c r="IY22" i="31"/>
  <c r="IJ62" i="29"/>
  <c r="IJ66" i="31" s="1"/>
  <c r="IJ22" i="31"/>
  <c r="IZ62" i="29"/>
  <c r="IZ66" i="31" s="1"/>
  <c r="IZ22" i="31"/>
  <c r="IO62" i="29"/>
  <c r="IO66" i="31" s="1"/>
  <c r="IO22" i="31"/>
  <c r="JE62" i="29"/>
  <c r="JE66" i="31" s="1"/>
  <c r="JE22" i="31"/>
  <c r="Z60" i="29"/>
  <c r="Z64" i="31" s="1"/>
  <c r="DS60" i="29"/>
  <c r="DS64" i="31" s="1"/>
  <c r="DS15" i="29"/>
  <c r="DS15" i="31" s="1"/>
  <c r="HK60" i="29"/>
  <c r="HK64" i="31" s="1"/>
  <c r="K60" i="29"/>
  <c r="K64" i="31" s="1"/>
  <c r="AA60" i="29"/>
  <c r="AA64" i="31" s="1"/>
  <c r="AR60" i="29"/>
  <c r="AR64" i="31" s="1"/>
  <c r="BH60" i="29"/>
  <c r="BH64" i="31" s="1"/>
  <c r="BX60" i="29"/>
  <c r="BX64" i="31" s="1"/>
  <c r="CN60" i="29"/>
  <c r="CN64" i="31" s="1"/>
  <c r="DD60" i="29"/>
  <c r="DD64" i="31" s="1"/>
  <c r="DT60" i="29"/>
  <c r="DT64" i="31" s="1"/>
  <c r="EJ60" i="29"/>
  <c r="EJ64" i="31" s="1"/>
  <c r="EZ60" i="29"/>
  <c r="EZ64" i="31" s="1"/>
  <c r="FP60" i="29"/>
  <c r="FP64" i="31" s="1"/>
  <c r="GF60" i="29"/>
  <c r="GF64" i="31" s="1"/>
  <c r="GV60" i="29"/>
  <c r="GV64" i="31" s="1"/>
  <c r="GV15" i="29"/>
  <c r="GV15" i="31" s="1"/>
  <c r="HL60" i="29"/>
  <c r="HL64" i="31" s="1"/>
  <c r="IB60" i="29"/>
  <c r="IB64" i="31" s="1"/>
  <c r="IR60" i="29"/>
  <c r="IR64" i="31" s="1"/>
  <c r="JH60" i="29"/>
  <c r="JH64" i="31" s="1"/>
  <c r="P60" i="29"/>
  <c r="P64" i="31" s="1"/>
  <c r="AG60" i="29"/>
  <c r="AG64" i="31" s="1"/>
  <c r="AW60" i="29"/>
  <c r="AW64" i="31" s="1"/>
  <c r="BM60" i="29"/>
  <c r="BM64" i="31" s="1"/>
  <c r="CC60" i="29"/>
  <c r="CC64" i="31" s="1"/>
  <c r="CS60" i="29"/>
  <c r="CS64" i="31" s="1"/>
  <c r="CS15" i="29"/>
  <c r="CS15" i="31" s="1"/>
  <c r="DI60" i="29"/>
  <c r="DI64" i="31" s="1"/>
  <c r="DY60" i="29"/>
  <c r="DY64" i="31" s="1"/>
  <c r="EO60" i="29"/>
  <c r="EO64" i="31" s="1"/>
  <c r="FE60" i="29"/>
  <c r="FE64" i="31" s="1"/>
  <c r="FU60" i="29"/>
  <c r="FU64" i="31" s="1"/>
  <c r="GK60" i="29"/>
  <c r="GK64" i="31" s="1"/>
  <c r="HA60" i="29"/>
  <c r="HA64" i="31" s="1"/>
  <c r="HQ60" i="29"/>
  <c r="HQ64" i="31" s="1"/>
  <c r="IG60" i="29"/>
  <c r="IG64" i="31" s="1"/>
  <c r="IG15" i="29"/>
  <c r="IG15" i="31" s="1"/>
  <c r="IW60" i="29"/>
  <c r="IW64" i="31" s="1"/>
  <c r="E60" i="29"/>
  <c r="E64" i="31" s="1"/>
  <c r="U60" i="29"/>
  <c r="U64" i="31" s="1"/>
  <c r="AL60" i="29"/>
  <c r="AL64" i="31" s="1"/>
  <c r="BB60" i="29"/>
  <c r="BB64" i="31" s="1"/>
  <c r="BR60" i="29"/>
  <c r="BR64" i="31" s="1"/>
  <c r="CH60" i="29"/>
  <c r="CH64" i="31" s="1"/>
  <c r="CX60" i="29"/>
  <c r="CX64" i="31" s="1"/>
  <c r="DN60" i="29"/>
  <c r="DN64" i="31" s="1"/>
  <c r="ED60" i="29"/>
  <c r="ED64" i="31" s="1"/>
  <c r="ET60" i="29"/>
  <c r="ET64" i="31" s="1"/>
  <c r="ET15" i="29"/>
  <c r="ET15" i="31" s="1"/>
  <c r="FJ60" i="29"/>
  <c r="FJ64" i="31" s="1"/>
  <c r="FZ60" i="29"/>
  <c r="FZ64" i="31" s="1"/>
  <c r="GP60" i="29"/>
  <c r="GP64" i="31" s="1"/>
  <c r="HF60" i="29"/>
  <c r="HF64" i="31" s="1"/>
  <c r="HV60" i="29"/>
  <c r="HV64" i="31" s="1"/>
  <c r="IL60" i="29"/>
  <c r="IL64" i="31" s="1"/>
  <c r="JB60" i="29"/>
  <c r="JB64" i="31" s="1"/>
  <c r="BG60" i="29"/>
  <c r="BG64" i="31" s="1"/>
  <c r="DC60" i="29"/>
  <c r="DC64" i="31" s="1"/>
  <c r="EY60" i="29"/>
  <c r="EY64" i="31" s="1"/>
  <c r="GU60" i="29"/>
  <c r="GU64" i="31" s="1"/>
  <c r="D60" i="29"/>
  <c r="D64" i="31" s="1"/>
  <c r="T60" i="29"/>
  <c r="T64" i="31" s="1"/>
  <c r="AK60" i="29"/>
  <c r="AK64" i="31" s="1"/>
  <c r="BA60" i="29"/>
  <c r="BA64" i="31" s="1"/>
  <c r="BQ60" i="29"/>
  <c r="BQ64" i="31" s="1"/>
  <c r="CG60" i="29"/>
  <c r="CG64" i="31" s="1"/>
  <c r="CW60" i="29"/>
  <c r="CW64" i="31" s="1"/>
  <c r="CW15" i="29"/>
  <c r="CW15" i="31" s="1"/>
  <c r="DM60" i="29"/>
  <c r="DM64" i="31" s="1"/>
  <c r="EC60" i="29"/>
  <c r="EC64" i="31" s="1"/>
  <c r="ES60" i="29"/>
  <c r="ES64" i="31" s="1"/>
  <c r="FI60" i="29"/>
  <c r="FI64" i="31" s="1"/>
  <c r="FY60" i="29"/>
  <c r="FY64" i="31" s="1"/>
  <c r="GO60" i="29"/>
  <c r="GO64" i="31" s="1"/>
  <c r="HE60" i="29"/>
  <c r="HE64" i="31" s="1"/>
  <c r="HU60" i="29"/>
  <c r="HU64" i="31" s="1"/>
  <c r="IK60" i="29"/>
  <c r="IK64" i="31" s="1"/>
  <c r="JA60" i="29"/>
  <c r="JA64" i="31" s="1"/>
  <c r="I60" i="29"/>
  <c r="I64" i="31" s="1"/>
  <c r="Y60" i="29"/>
  <c r="Y64" i="31" s="1"/>
  <c r="AP60" i="29"/>
  <c r="AP64" i="31" s="1"/>
  <c r="BF60" i="29"/>
  <c r="BF64" i="31" s="1"/>
  <c r="BV60" i="29"/>
  <c r="BV64" i="31" s="1"/>
  <c r="CL60" i="29"/>
  <c r="CL64" i="31" s="1"/>
  <c r="DB60" i="29"/>
  <c r="DB64" i="31" s="1"/>
  <c r="DR60" i="29"/>
  <c r="DR64" i="31" s="1"/>
  <c r="EH60" i="29"/>
  <c r="EH64" i="31" s="1"/>
  <c r="EX60" i="29"/>
  <c r="EX64" i="31" s="1"/>
  <c r="FN60" i="29"/>
  <c r="FN64" i="31" s="1"/>
  <c r="GD60" i="29"/>
  <c r="GD64" i="31" s="1"/>
  <c r="GT60" i="29"/>
  <c r="GT64" i="31" s="1"/>
  <c r="HJ60" i="29"/>
  <c r="HJ64" i="31" s="1"/>
  <c r="HZ60" i="29"/>
  <c r="HZ64" i="31" s="1"/>
  <c r="IP60" i="29"/>
  <c r="IP64" i="31" s="1"/>
  <c r="JF60" i="29"/>
  <c r="JF64" i="31" s="1"/>
  <c r="J60" i="29"/>
  <c r="J64" i="31" s="1"/>
  <c r="CM60" i="29"/>
  <c r="CM64" i="31" s="1"/>
  <c r="GE60" i="29"/>
  <c r="GE64" i="31" s="1"/>
  <c r="IA60" i="29"/>
  <c r="IA64" i="31" s="1"/>
  <c r="IQ60" i="29"/>
  <c r="IQ64" i="31" s="1"/>
  <c r="JG60" i="29"/>
  <c r="JG64" i="31" s="1"/>
  <c r="N60" i="29"/>
  <c r="N64" i="31" s="1"/>
  <c r="CA60" i="29"/>
  <c r="CA15" i="29"/>
  <c r="CA15" i="31" s="1"/>
  <c r="DG60" i="29"/>
  <c r="DG64" i="31" s="1"/>
  <c r="DG15" i="29"/>
  <c r="DG15" i="31" s="1"/>
  <c r="EM60" i="29"/>
  <c r="EM64" i="31" s="1"/>
  <c r="FS60" i="29"/>
  <c r="FS64" i="31" s="1"/>
  <c r="HO60" i="29"/>
  <c r="HO64" i="31" s="1"/>
  <c r="IE60" i="29"/>
  <c r="IE64" i="31" s="1"/>
  <c r="O60" i="29"/>
  <c r="O64" i="31" s="1"/>
  <c r="AF60" i="29"/>
  <c r="AF64" i="31" s="1"/>
  <c r="AV60" i="29"/>
  <c r="AV64" i="31" s="1"/>
  <c r="BL60" i="29"/>
  <c r="BL64" i="31" s="1"/>
  <c r="BL15" i="29"/>
  <c r="BL15" i="31" s="1"/>
  <c r="CB60" i="29"/>
  <c r="CB64" i="31" s="1"/>
  <c r="CR60" i="29"/>
  <c r="CR64" i="31" s="1"/>
  <c r="CR15" i="29"/>
  <c r="CR15" i="31" s="1"/>
  <c r="DH60" i="29"/>
  <c r="DH64" i="31" s="1"/>
  <c r="DX60" i="29"/>
  <c r="DX64" i="31" s="1"/>
  <c r="EN60" i="29"/>
  <c r="EN64" i="31" s="1"/>
  <c r="FD60" i="29"/>
  <c r="FD64" i="31" s="1"/>
  <c r="FT60" i="29"/>
  <c r="FT64" i="31" s="1"/>
  <c r="GJ60" i="29"/>
  <c r="GJ64" i="31" s="1"/>
  <c r="GZ60" i="29"/>
  <c r="GZ64" i="31" s="1"/>
  <c r="GZ15" i="29"/>
  <c r="GZ15" i="31" s="1"/>
  <c r="HP60" i="29"/>
  <c r="HP64" i="31" s="1"/>
  <c r="IF60" i="29"/>
  <c r="IF64" i="31" s="1"/>
  <c r="IV60" i="29"/>
  <c r="IV64" i="31" s="1"/>
  <c r="R60" i="29"/>
  <c r="R64" i="31" s="1"/>
  <c r="AI60" i="29"/>
  <c r="AI64" i="31" s="1"/>
  <c r="AY60" i="29"/>
  <c r="AY64" i="31" s="1"/>
  <c r="BO60" i="29"/>
  <c r="BO64" i="31" s="1"/>
  <c r="CE60" i="29"/>
  <c r="CE64" i="31" s="1"/>
  <c r="CU60" i="29"/>
  <c r="CU64" i="31" s="1"/>
  <c r="DK60" i="29"/>
  <c r="DK64" i="31" s="1"/>
  <c r="EA60" i="29"/>
  <c r="EA64" i="31" s="1"/>
  <c r="EQ60" i="29"/>
  <c r="EQ64" i="31" s="1"/>
  <c r="FG60" i="29"/>
  <c r="FG64" i="31" s="1"/>
  <c r="FW60" i="29"/>
  <c r="FW64" i="31" s="1"/>
  <c r="GM60" i="29"/>
  <c r="GM64" i="31" s="1"/>
  <c r="HC60" i="29"/>
  <c r="HC64" i="31" s="1"/>
  <c r="HS60" i="29"/>
  <c r="HS64" i="31" s="1"/>
  <c r="II60" i="29"/>
  <c r="II64" i="31" s="1"/>
  <c r="IY60" i="29"/>
  <c r="IY64" i="31" s="1"/>
  <c r="C60" i="29"/>
  <c r="C64" i="31" s="1"/>
  <c r="S60" i="29"/>
  <c r="S64" i="31" s="1"/>
  <c r="AJ60" i="29"/>
  <c r="AJ64" i="31" s="1"/>
  <c r="AZ60" i="29"/>
  <c r="AZ64" i="31" s="1"/>
  <c r="BP60" i="29"/>
  <c r="BP64" i="31" s="1"/>
  <c r="CF60" i="29"/>
  <c r="CF64" i="31" s="1"/>
  <c r="CV60" i="29"/>
  <c r="CV64" i="31" s="1"/>
  <c r="DL60" i="29"/>
  <c r="DL64" i="31" s="1"/>
  <c r="EB60" i="29"/>
  <c r="EB64" i="31" s="1"/>
  <c r="ER60" i="29"/>
  <c r="ER64" i="31" s="1"/>
  <c r="FH60" i="29"/>
  <c r="FH64" i="31" s="1"/>
  <c r="FX60" i="29"/>
  <c r="FX64" i="31" s="1"/>
  <c r="GN60" i="29"/>
  <c r="GN64" i="31" s="1"/>
  <c r="HD60" i="29"/>
  <c r="HD64" i="31" s="1"/>
  <c r="HT60" i="29"/>
  <c r="HT64" i="31" s="1"/>
  <c r="IJ60" i="29"/>
  <c r="IJ64" i="31" s="1"/>
  <c r="IZ60" i="29"/>
  <c r="IZ64" i="31" s="1"/>
  <c r="H60" i="29"/>
  <c r="H64" i="31" s="1"/>
  <c r="H15" i="29"/>
  <c r="H15" i="31" s="1"/>
  <c r="X60" i="29"/>
  <c r="X64" i="31" s="1"/>
  <c r="AO60" i="29"/>
  <c r="AO64" i="31" s="1"/>
  <c r="BE60" i="29"/>
  <c r="BE64" i="31" s="1"/>
  <c r="BU60" i="29"/>
  <c r="BU64" i="31" s="1"/>
  <c r="CK60" i="29"/>
  <c r="CK64" i="31" s="1"/>
  <c r="DA60" i="29"/>
  <c r="DA64" i="31" s="1"/>
  <c r="DQ60" i="29"/>
  <c r="DQ64" i="31" s="1"/>
  <c r="EG60" i="29"/>
  <c r="EG64" i="31" s="1"/>
  <c r="EW60" i="29"/>
  <c r="EW64" i="31" s="1"/>
  <c r="FM60" i="29"/>
  <c r="FM64" i="31" s="1"/>
  <c r="GC60" i="29"/>
  <c r="GC64" i="31" s="1"/>
  <c r="GS60" i="29"/>
  <c r="GS64" i="31" s="1"/>
  <c r="HI60" i="29"/>
  <c r="HI64" i="31" s="1"/>
  <c r="HY60" i="29"/>
  <c r="HY64" i="31" s="1"/>
  <c r="IO60" i="29"/>
  <c r="IO64" i="31" s="1"/>
  <c r="JE60" i="29"/>
  <c r="JE64" i="31" s="1"/>
  <c r="M60" i="29"/>
  <c r="M64" i="31" s="1"/>
  <c r="AD60" i="29"/>
  <c r="AD64" i="31" s="1"/>
  <c r="AT60" i="29"/>
  <c r="AT64" i="31" s="1"/>
  <c r="BJ60" i="29"/>
  <c r="BJ64" i="31" s="1"/>
  <c r="BZ60" i="29"/>
  <c r="BZ64" i="31" s="1"/>
  <c r="CP60" i="29"/>
  <c r="CP64" i="31" s="1"/>
  <c r="DF60" i="29"/>
  <c r="DF64" i="31" s="1"/>
  <c r="DV60" i="29"/>
  <c r="DV64" i="31" s="1"/>
  <c r="EL60" i="29"/>
  <c r="EL64" i="31" s="1"/>
  <c r="FB60" i="29"/>
  <c r="FB64" i="31" s="1"/>
  <c r="FR60" i="29"/>
  <c r="FR64" i="31" s="1"/>
  <c r="FR15" i="29"/>
  <c r="FR15" i="31" s="1"/>
  <c r="GH60" i="29"/>
  <c r="GH64" i="31" s="1"/>
  <c r="GX60" i="29"/>
  <c r="GX64" i="31" s="1"/>
  <c r="HN60" i="29"/>
  <c r="HN64" i="31" s="1"/>
  <c r="ID60" i="29"/>
  <c r="ID64" i="31" s="1"/>
  <c r="IT60" i="29"/>
  <c r="IT64" i="31" s="1"/>
  <c r="AQ60" i="29"/>
  <c r="AQ64" i="31" s="1"/>
  <c r="BW60" i="29"/>
  <c r="BW64" i="31" s="1"/>
  <c r="EI60" i="29"/>
  <c r="EI64" i="31" s="1"/>
  <c r="FO60" i="29"/>
  <c r="FO64" i="31" s="1"/>
  <c r="JP73" i="29"/>
  <c r="AE60" i="29"/>
  <c r="AE64" i="31" s="1"/>
  <c r="AU60" i="29"/>
  <c r="AU64" i="31" s="1"/>
  <c r="BK60" i="29"/>
  <c r="BK64" i="31" s="1"/>
  <c r="CQ60" i="29"/>
  <c r="CQ64" i="31" s="1"/>
  <c r="DW60" i="29"/>
  <c r="DW64" i="31" s="1"/>
  <c r="DW15" i="29"/>
  <c r="DW15" i="31" s="1"/>
  <c r="FC60" i="29"/>
  <c r="FC64" i="31" s="1"/>
  <c r="GI60" i="29"/>
  <c r="GI64" i="31" s="1"/>
  <c r="GY60" i="29"/>
  <c r="GY64" i="31" s="1"/>
  <c r="IU60" i="29"/>
  <c r="IU64" i="31" s="1"/>
  <c r="F60" i="29"/>
  <c r="F64" i="31" s="1"/>
  <c r="V60" i="29"/>
  <c r="V64" i="31" s="1"/>
  <c r="AM60" i="29"/>
  <c r="AM64" i="31" s="1"/>
  <c r="BC60" i="29"/>
  <c r="BC64" i="31" s="1"/>
  <c r="BS60" i="29"/>
  <c r="BS64" i="31" s="1"/>
  <c r="CI60" i="29"/>
  <c r="CI64" i="31" s="1"/>
  <c r="CY60" i="29"/>
  <c r="CY64" i="31" s="1"/>
  <c r="DO60" i="29"/>
  <c r="DO64" i="31" s="1"/>
  <c r="EE60" i="29"/>
  <c r="EE64" i="31" s="1"/>
  <c r="EU60" i="29"/>
  <c r="EU64" i="31" s="1"/>
  <c r="EU15" i="29"/>
  <c r="EU15" i="31" s="1"/>
  <c r="FK60" i="29"/>
  <c r="FK64" i="31" s="1"/>
  <c r="GA60" i="29"/>
  <c r="GA64" i="31" s="1"/>
  <c r="GQ60" i="29"/>
  <c r="GQ64" i="31" s="1"/>
  <c r="HG60" i="29"/>
  <c r="HG64" i="31" s="1"/>
  <c r="HW60" i="29"/>
  <c r="HW64" i="31" s="1"/>
  <c r="IM60" i="29"/>
  <c r="IM64" i="31" s="1"/>
  <c r="JC60" i="29"/>
  <c r="JC64" i="31" s="1"/>
  <c r="G60" i="29"/>
  <c r="G64" i="31" s="1"/>
  <c r="W60" i="29"/>
  <c r="W64" i="31" s="1"/>
  <c r="AN60" i="29"/>
  <c r="AN64" i="31" s="1"/>
  <c r="BD60" i="29"/>
  <c r="BD64" i="31" s="1"/>
  <c r="BT60" i="29"/>
  <c r="BT64" i="31" s="1"/>
  <c r="CJ60" i="29"/>
  <c r="CJ64" i="31" s="1"/>
  <c r="CZ60" i="29"/>
  <c r="CZ64" i="31" s="1"/>
  <c r="DP60" i="29"/>
  <c r="DP64" i="31" s="1"/>
  <c r="EF60" i="29"/>
  <c r="EF64" i="31" s="1"/>
  <c r="EV60" i="29"/>
  <c r="EV64" i="31" s="1"/>
  <c r="FL60" i="29"/>
  <c r="FL64" i="31" s="1"/>
  <c r="GB60" i="29"/>
  <c r="GB64" i="31" s="1"/>
  <c r="GR60" i="29"/>
  <c r="GR64" i="31" s="1"/>
  <c r="HH60" i="29"/>
  <c r="HH64" i="31" s="1"/>
  <c r="HX60" i="29"/>
  <c r="HX64" i="31" s="1"/>
  <c r="IN60" i="29"/>
  <c r="IN64" i="31" s="1"/>
  <c r="JD60" i="29"/>
  <c r="JD64" i="31" s="1"/>
  <c r="L60" i="29"/>
  <c r="L64" i="31" s="1"/>
  <c r="AB60" i="29"/>
  <c r="AB64" i="31" s="1"/>
  <c r="AS60" i="29"/>
  <c r="AS64" i="31" s="1"/>
  <c r="BI60" i="29"/>
  <c r="BI64" i="31" s="1"/>
  <c r="BY60" i="29"/>
  <c r="BY64" i="31" s="1"/>
  <c r="CO60" i="29"/>
  <c r="CO64" i="31" s="1"/>
  <c r="DE60" i="29"/>
  <c r="DE64" i="31" s="1"/>
  <c r="DU60" i="29"/>
  <c r="DU64" i="31" s="1"/>
  <c r="EK60" i="29"/>
  <c r="EK64" i="31" s="1"/>
  <c r="FA60" i="29"/>
  <c r="FA64" i="31" s="1"/>
  <c r="FQ60" i="29"/>
  <c r="FQ64" i="31" s="1"/>
  <c r="GG60" i="29"/>
  <c r="GG64" i="31" s="1"/>
  <c r="GW60" i="29"/>
  <c r="GW64" i="31" s="1"/>
  <c r="HM60" i="29"/>
  <c r="HM64" i="31" s="1"/>
  <c r="IC60" i="29"/>
  <c r="IC64" i="31" s="1"/>
  <c r="IS60" i="29"/>
  <c r="IS64" i="31" s="1"/>
  <c r="Q60" i="29"/>
  <c r="Q64" i="31" s="1"/>
  <c r="AH60" i="29"/>
  <c r="AH64" i="31" s="1"/>
  <c r="AX60" i="29"/>
  <c r="AX64" i="31" s="1"/>
  <c r="BN60" i="29"/>
  <c r="BN64" i="31" s="1"/>
  <c r="CD60" i="29"/>
  <c r="CD64" i="31" s="1"/>
  <c r="CT60" i="29"/>
  <c r="CT64" i="31" s="1"/>
  <c r="DJ60" i="29"/>
  <c r="DJ64" i="31" s="1"/>
  <c r="DZ60" i="29"/>
  <c r="DZ64" i="31" s="1"/>
  <c r="EP60" i="29"/>
  <c r="EP64" i="31" s="1"/>
  <c r="FF60" i="29"/>
  <c r="FF64" i="31" s="1"/>
  <c r="FV60" i="29"/>
  <c r="FV64" i="31" s="1"/>
  <c r="GL60" i="29"/>
  <c r="GL64" i="31" s="1"/>
  <c r="HB60" i="29"/>
  <c r="HB64" i="31" s="1"/>
  <c r="HR60" i="29"/>
  <c r="HR64" i="31" s="1"/>
  <c r="IH60" i="29"/>
  <c r="IH64" i="31" s="1"/>
  <c r="IX60" i="29"/>
  <c r="IX64" i="31" s="1"/>
  <c r="W13" i="13"/>
  <c r="V13" i="13"/>
  <c r="AC65" i="31" l="1"/>
  <c r="AC64" i="29"/>
  <c r="AC63" i="29"/>
  <c r="AC67" i="31" s="1"/>
  <c r="CA63" i="29"/>
  <c r="CA67" i="31" s="1"/>
  <c r="CA64" i="31"/>
  <c r="A267" i="1"/>
  <c r="AC68" i="31" l="1"/>
  <c r="AC65" i="29"/>
  <c r="A264" i="1"/>
  <c r="A265" i="1"/>
  <c r="A266" i="1"/>
  <c r="AC69" i="31" l="1"/>
  <c r="AC85" i="29"/>
  <c r="S330" i="17"/>
  <c r="T330" i="17"/>
  <c r="U330" i="17"/>
  <c r="V330" i="17"/>
  <c r="W330" i="17"/>
  <c r="X330" i="17"/>
  <c r="Y330" i="17"/>
  <c r="Z330" i="17"/>
  <c r="AA330" i="17"/>
  <c r="AB330" i="17"/>
  <c r="AC330" i="17"/>
  <c r="AD330" i="17"/>
  <c r="AE330" i="17"/>
  <c r="AF330" i="17"/>
  <c r="AG330" i="17"/>
  <c r="AH330" i="17"/>
  <c r="AI330" i="17"/>
  <c r="AJ330" i="17"/>
  <c r="AK330" i="17"/>
  <c r="AG11" i="29" s="1"/>
  <c r="S331" i="17"/>
  <c r="T331" i="17"/>
  <c r="U331" i="17"/>
  <c r="V331" i="17"/>
  <c r="W331" i="17"/>
  <c r="X331" i="17"/>
  <c r="Y331" i="17"/>
  <c r="Z331" i="17"/>
  <c r="AA331" i="17"/>
  <c r="AB331" i="17"/>
  <c r="AC331" i="17"/>
  <c r="AD331" i="17"/>
  <c r="AE331" i="17"/>
  <c r="AF331" i="17"/>
  <c r="AG331" i="17"/>
  <c r="AH331" i="17"/>
  <c r="AI331" i="17"/>
  <c r="AJ331" i="17"/>
  <c r="AK331" i="17"/>
  <c r="GD11" i="29" s="1"/>
  <c r="S332" i="17"/>
  <c r="T332" i="17"/>
  <c r="U332" i="17"/>
  <c r="V332" i="17"/>
  <c r="W332" i="17"/>
  <c r="X332" i="17"/>
  <c r="Y332" i="17"/>
  <c r="Z332" i="17"/>
  <c r="AA332" i="17"/>
  <c r="AB332" i="17"/>
  <c r="AC332" i="17"/>
  <c r="AD332" i="17"/>
  <c r="AE332" i="17"/>
  <c r="AF332" i="17"/>
  <c r="AG332" i="17"/>
  <c r="AH332" i="17"/>
  <c r="AI332" i="17"/>
  <c r="AJ332" i="17"/>
  <c r="AK332" i="17"/>
  <c r="FT11" i="29" s="1"/>
  <c r="S333" i="17"/>
  <c r="T333" i="17"/>
  <c r="U333" i="17"/>
  <c r="V333" i="17"/>
  <c r="W333" i="17"/>
  <c r="X333" i="17"/>
  <c r="Y333" i="17"/>
  <c r="Z333" i="17"/>
  <c r="AA333" i="17"/>
  <c r="AB333" i="17"/>
  <c r="AC333" i="17"/>
  <c r="AD333" i="17"/>
  <c r="AE333" i="17"/>
  <c r="AF333" i="17"/>
  <c r="AG333" i="17"/>
  <c r="AH333" i="17"/>
  <c r="AI333" i="17"/>
  <c r="AJ333" i="17"/>
  <c r="AK333" i="17"/>
  <c r="BF11" i="29" s="1"/>
  <c r="S334" i="17"/>
  <c r="T334" i="17"/>
  <c r="U334" i="17"/>
  <c r="V334" i="17"/>
  <c r="W334" i="17"/>
  <c r="X334" i="17"/>
  <c r="Y334" i="17"/>
  <c r="Z334" i="17"/>
  <c r="AA334" i="17"/>
  <c r="AB334" i="17"/>
  <c r="AC334" i="17"/>
  <c r="AD334" i="17"/>
  <c r="AE334" i="17"/>
  <c r="AF334" i="17"/>
  <c r="AG334" i="17"/>
  <c r="AH334" i="17"/>
  <c r="AI334" i="17"/>
  <c r="AJ334" i="17"/>
  <c r="AK334" i="17"/>
  <c r="FN11" i="29" s="1"/>
  <c r="S335" i="17"/>
  <c r="T335" i="17"/>
  <c r="U335" i="17"/>
  <c r="V335" i="17"/>
  <c r="W335" i="17"/>
  <c r="X335" i="17"/>
  <c r="Y335" i="17"/>
  <c r="Z335" i="17"/>
  <c r="AA335" i="17"/>
  <c r="AB335" i="17"/>
  <c r="AC335" i="17"/>
  <c r="AD335" i="17"/>
  <c r="AE335" i="17"/>
  <c r="AF335" i="17"/>
  <c r="AG335" i="17"/>
  <c r="AH335" i="17"/>
  <c r="AI335" i="17"/>
  <c r="AJ335" i="17"/>
  <c r="AK335" i="17"/>
  <c r="CG11" i="29" s="1"/>
  <c r="S336" i="17"/>
  <c r="T336" i="17"/>
  <c r="U336" i="17"/>
  <c r="V336" i="17"/>
  <c r="W336" i="17"/>
  <c r="X336" i="17"/>
  <c r="Y336" i="17"/>
  <c r="Z336" i="17"/>
  <c r="AA336" i="17"/>
  <c r="AB336" i="17"/>
  <c r="AC336" i="17"/>
  <c r="AD336" i="17"/>
  <c r="AE336" i="17"/>
  <c r="AF336" i="17"/>
  <c r="AG336" i="17"/>
  <c r="AH336" i="17"/>
  <c r="AI336" i="17"/>
  <c r="AJ336" i="17"/>
  <c r="AK336" i="17"/>
  <c r="GN11" i="29" s="1"/>
  <c r="S337" i="17"/>
  <c r="T337" i="17"/>
  <c r="U337" i="17"/>
  <c r="V337" i="17"/>
  <c r="W337" i="17"/>
  <c r="X337" i="17"/>
  <c r="Y337" i="17"/>
  <c r="Z337" i="17"/>
  <c r="AA337" i="17"/>
  <c r="AB337" i="17"/>
  <c r="AC337" i="17"/>
  <c r="AD337" i="17"/>
  <c r="AE337" i="17"/>
  <c r="AF337" i="17"/>
  <c r="AG337" i="17"/>
  <c r="AH337" i="17"/>
  <c r="AI337" i="17"/>
  <c r="AJ337" i="17"/>
  <c r="AK337" i="17"/>
  <c r="CU11" i="29" s="1"/>
  <c r="S338" i="17"/>
  <c r="T338" i="17"/>
  <c r="U338" i="17"/>
  <c r="V338" i="17"/>
  <c r="W338" i="17"/>
  <c r="X338" i="17"/>
  <c r="Y338" i="17"/>
  <c r="Z338" i="17"/>
  <c r="AA338" i="17"/>
  <c r="AB338" i="17"/>
  <c r="AC338" i="17"/>
  <c r="AD338" i="17"/>
  <c r="AE338" i="17"/>
  <c r="AF338" i="17"/>
  <c r="AG338" i="17"/>
  <c r="AH338" i="17"/>
  <c r="AI338" i="17"/>
  <c r="AJ338" i="17"/>
  <c r="AK338" i="17"/>
  <c r="DH11" i="29" s="1"/>
  <c r="S339" i="17"/>
  <c r="T339" i="17"/>
  <c r="U339" i="17"/>
  <c r="V339" i="17"/>
  <c r="W339" i="17"/>
  <c r="X339" i="17"/>
  <c r="Y339" i="17"/>
  <c r="Z339" i="17"/>
  <c r="AA339" i="17"/>
  <c r="AB339" i="17"/>
  <c r="AC339" i="17"/>
  <c r="AD339" i="17"/>
  <c r="AE339" i="17"/>
  <c r="AF339" i="17"/>
  <c r="AG339" i="17"/>
  <c r="AH339" i="17"/>
  <c r="AI339" i="17"/>
  <c r="AJ339" i="17"/>
  <c r="AK339" i="17"/>
  <c r="AX11" i="29" s="1"/>
  <c r="S340" i="17"/>
  <c r="T340" i="17"/>
  <c r="U340" i="17"/>
  <c r="V340" i="17"/>
  <c r="W340" i="17"/>
  <c r="X340" i="17"/>
  <c r="Y340" i="17"/>
  <c r="Z340" i="17"/>
  <c r="AA340" i="17"/>
  <c r="AB340" i="17"/>
  <c r="AC340" i="17"/>
  <c r="AD340" i="17"/>
  <c r="AE340" i="17"/>
  <c r="AF340" i="17"/>
  <c r="AG340" i="17"/>
  <c r="AH340" i="17"/>
  <c r="AI340" i="17"/>
  <c r="AJ340" i="17"/>
  <c r="AK340" i="17"/>
  <c r="HU11" i="29" s="1"/>
  <c r="S341" i="17"/>
  <c r="T341" i="17"/>
  <c r="U341" i="17"/>
  <c r="V341" i="17"/>
  <c r="W341" i="17"/>
  <c r="X341" i="17"/>
  <c r="Y341" i="17"/>
  <c r="Z341" i="17"/>
  <c r="AA341" i="17"/>
  <c r="AB341" i="17"/>
  <c r="AC341" i="17"/>
  <c r="AD341" i="17"/>
  <c r="AE341" i="17"/>
  <c r="AF341" i="17"/>
  <c r="AG341" i="17"/>
  <c r="AH341" i="17"/>
  <c r="AI341" i="17"/>
  <c r="AJ341" i="17"/>
  <c r="AK341" i="17"/>
  <c r="AN11" i="29" s="1"/>
  <c r="S342" i="17"/>
  <c r="T342" i="17"/>
  <c r="U342" i="17"/>
  <c r="V342" i="17"/>
  <c r="W342" i="17"/>
  <c r="X342" i="17"/>
  <c r="Y342" i="17"/>
  <c r="Z342" i="17"/>
  <c r="AA342" i="17"/>
  <c r="AB342" i="17"/>
  <c r="AC342" i="17"/>
  <c r="AD342" i="17"/>
  <c r="AE342" i="17"/>
  <c r="AF342" i="17"/>
  <c r="AG342" i="17"/>
  <c r="AH342" i="17"/>
  <c r="AI342" i="17"/>
  <c r="AJ342" i="17"/>
  <c r="AK342" i="17"/>
  <c r="GQ11" i="29" s="1"/>
  <c r="S343" i="17"/>
  <c r="T343" i="17"/>
  <c r="U343" i="17"/>
  <c r="V343" i="17"/>
  <c r="W343" i="17"/>
  <c r="X343" i="17"/>
  <c r="Y343" i="17"/>
  <c r="Z343" i="17"/>
  <c r="AA343" i="17"/>
  <c r="AB343" i="17"/>
  <c r="AC343" i="17"/>
  <c r="AD343" i="17"/>
  <c r="AE343" i="17"/>
  <c r="AF343" i="17"/>
  <c r="AG343" i="17"/>
  <c r="AH343" i="17"/>
  <c r="AI343" i="17"/>
  <c r="AJ343" i="17"/>
  <c r="AK343" i="17"/>
  <c r="BH11" i="29" s="1"/>
  <c r="S344" i="17"/>
  <c r="T344" i="17"/>
  <c r="U344" i="17"/>
  <c r="V344" i="17"/>
  <c r="W344" i="17"/>
  <c r="X344" i="17"/>
  <c r="Y344" i="17"/>
  <c r="Z344" i="17"/>
  <c r="AA344" i="17"/>
  <c r="AB344" i="17"/>
  <c r="AC344" i="17"/>
  <c r="AD344" i="17"/>
  <c r="AE344" i="17"/>
  <c r="AF344" i="17"/>
  <c r="AG344" i="17"/>
  <c r="AH344" i="17"/>
  <c r="AI344" i="17"/>
  <c r="AJ344" i="17"/>
  <c r="AK344" i="17"/>
  <c r="JF11" i="29" s="1"/>
  <c r="S345" i="17"/>
  <c r="T345" i="17"/>
  <c r="U345" i="17"/>
  <c r="V345" i="17"/>
  <c r="W345" i="17"/>
  <c r="X345" i="17"/>
  <c r="Y345" i="17"/>
  <c r="Z345" i="17"/>
  <c r="AA345" i="17"/>
  <c r="AB345" i="17"/>
  <c r="AC345" i="17"/>
  <c r="AD345" i="17"/>
  <c r="AE345" i="17"/>
  <c r="AF345" i="17"/>
  <c r="AG345" i="17"/>
  <c r="AH345" i="17"/>
  <c r="AI345" i="17"/>
  <c r="AJ345" i="17"/>
  <c r="AK345" i="17"/>
  <c r="DI11" i="29" s="1"/>
  <c r="S346" i="17"/>
  <c r="T346" i="17"/>
  <c r="U346" i="17"/>
  <c r="V346" i="17"/>
  <c r="W346" i="17"/>
  <c r="X346" i="17"/>
  <c r="Y346" i="17"/>
  <c r="Z346" i="17"/>
  <c r="AA346" i="17"/>
  <c r="AB346" i="17"/>
  <c r="AC346" i="17"/>
  <c r="AD346" i="17"/>
  <c r="AE346" i="17"/>
  <c r="AF346" i="17"/>
  <c r="AG346" i="17"/>
  <c r="AH346" i="17"/>
  <c r="AI346" i="17"/>
  <c r="AJ346" i="17"/>
  <c r="AK346" i="17"/>
  <c r="AH11" i="29" s="1"/>
  <c r="S347" i="17"/>
  <c r="T347" i="17"/>
  <c r="U347" i="17"/>
  <c r="V347" i="17"/>
  <c r="W347" i="17"/>
  <c r="X347" i="17"/>
  <c r="Y347" i="17"/>
  <c r="Z347" i="17"/>
  <c r="AA347" i="17"/>
  <c r="AB347" i="17"/>
  <c r="AC347" i="17"/>
  <c r="AD347" i="17"/>
  <c r="AE347" i="17"/>
  <c r="AF347" i="17"/>
  <c r="AG347" i="17"/>
  <c r="AH347" i="17"/>
  <c r="AI347" i="17"/>
  <c r="AJ347" i="17"/>
  <c r="AK347" i="17"/>
  <c r="IX11" i="29" s="1"/>
  <c r="S348" i="17"/>
  <c r="T348" i="17"/>
  <c r="U348" i="17"/>
  <c r="V348" i="17"/>
  <c r="W348" i="17"/>
  <c r="X348" i="17"/>
  <c r="Y348" i="17"/>
  <c r="Z348" i="17"/>
  <c r="AA348" i="17"/>
  <c r="AB348" i="17"/>
  <c r="AC348" i="17"/>
  <c r="AD348" i="17"/>
  <c r="AE348" i="17"/>
  <c r="AF348" i="17"/>
  <c r="AG348" i="17"/>
  <c r="AH348" i="17"/>
  <c r="AI348" i="17"/>
  <c r="AJ348" i="17"/>
  <c r="AK348" i="17"/>
  <c r="EC11" i="29" s="1"/>
  <c r="S349" i="17"/>
  <c r="T349" i="17"/>
  <c r="U349" i="17"/>
  <c r="V349" i="17"/>
  <c r="W349" i="17"/>
  <c r="X349" i="17"/>
  <c r="Y349" i="17"/>
  <c r="Z349" i="17"/>
  <c r="AA349" i="17"/>
  <c r="AB349" i="17"/>
  <c r="AC349" i="17"/>
  <c r="AD349" i="17"/>
  <c r="AE349" i="17"/>
  <c r="AF349" i="17"/>
  <c r="AG349" i="17"/>
  <c r="AH349" i="17"/>
  <c r="AI349" i="17"/>
  <c r="AJ349" i="17"/>
  <c r="AK349" i="17"/>
  <c r="FH11" i="29" s="1"/>
  <c r="S350" i="17"/>
  <c r="T350" i="17"/>
  <c r="U350" i="17"/>
  <c r="V350" i="17"/>
  <c r="W350" i="17"/>
  <c r="X350" i="17"/>
  <c r="Y350" i="17"/>
  <c r="Z350" i="17"/>
  <c r="AA350" i="17"/>
  <c r="AB350" i="17"/>
  <c r="AC350" i="17"/>
  <c r="AD350" i="17"/>
  <c r="AE350" i="17"/>
  <c r="AF350" i="17"/>
  <c r="AG350" i="17"/>
  <c r="AH350" i="17"/>
  <c r="AI350" i="17"/>
  <c r="AJ350" i="17"/>
  <c r="AK350" i="17"/>
  <c r="FA11" i="29" s="1"/>
  <c r="S351" i="17"/>
  <c r="T351" i="17"/>
  <c r="U351" i="17"/>
  <c r="V351" i="17"/>
  <c r="W351" i="17"/>
  <c r="X351" i="17"/>
  <c r="Y351" i="17"/>
  <c r="Z351" i="17"/>
  <c r="AA351" i="17"/>
  <c r="AB351" i="17"/>
  <c r="AC351" i="17"/>
  <c r="AD351" i="17"/>
  <c r="AE351" i="17"/>
  <c r="AF351" i="17"/>
  <c r="AG351" i="17"/>
  <c r="AH351" i="17"/>
  <c r="AI351" i="17"/>
  <c r="AJ351" i="17"/>
  <c r="AK351" i="17"/>
  <c r="C11" i="29" s="1"/>
  <c r="C11" i="31" s="1"/>
  <c r="S352" i="17"/>
  <c r="T352" i="17"/>
  <c r="U352" i="17"/>
  <c r="V352" i="17"/>
  <c r="W352" i="17"/>
  <c r="X352" i="17"/>
  <c r="Y352" i="17"/>
  <c r="Z352" i="17"/>
  <c r="AA352" i="17"/>
  <c r="AB352" i="17"/>
  <c r="AC352" i="17"/>
  <c r="AD352" i="17"/>
  <c r="AE352" i="17"/>
  <c r="AF352" i="17"/>
  <c r="AG352" i="17"/>
  <c r="AH352" i="17"/>
  <c r="AI352" i="17"/>
  <c r="AJ352" i="17"/>
  <c r="AK352" i="17"/>
  <c r="FX11" i="29" s="1"/>
  <c r="S353" i="17"/>
  <c r="T353" i="17"/>
  <c r="U353" i="17"/>
  <c r="V353" i="17"/>
  <c r="W353" i="17"/>
  <c r="X353" i="17"/>
  <c r="Y353" i="17"/>
  <c r="Z353" i="17"/>
  <c r="AA353" i="17"/>
  <c r="AB353" i="17"/>
  <c r="AC353" i="17"/>
  <c r="AD353" i="17"/>
  <c r="AE353" i="17"/>
  <c r="AF353" i="17"/>
  <c r="AG353" i="17"/>
  <c r="AH353" i="17"/>
  <c r="AI353" i="17"/>
  <c r="AJ353" i="17"/>
  <c r="AK353" i="17"/>
  <c r="ER11" i="29" s="1"/>
  <c r="S354" i="17"/>
  <c r="T354" i="17"/>
  <c r="U354" i="17"/>
  <c r="V354" i="17"/>
  <c r="W354" i="17"/>
  <c r="X354" i="17"/>
  <c r="Y354" i="17"/>
  <c r="Z354" i="17"/>
  <c r="AA354" i="17"/>
  <c r="AB354" i="17"/>
  <c r="AC354" i="17"/>
  <c r="AD354" i="17"/>
  <c r="AE354" i="17"/>
  <c r="AF354" i="17"/>
  <c r="AG354" i="17"/>
  <c r="AH354" i="17"/>
  <c r="AI354" i="17"/>
  <c r="AJ354" i="17"/>
  <c r="AK354" i="17"/>
  <c r="FE11" i="29" s="1"/>
  <c r="S355" i="17"/>
  <c r="T355" i="17"/>
  <c r="U355" i="17"/>
  <c r="V355" i="17"/>
  <c r="W355" i="17"/>
  <c r="X355" i="17"/>
  <c r="Y355" i="17"/>
  <c r="Z355" i="17"/>
  <c r="AA355" i="17"/>
  <c r="AB355" i="17"/>
  <c r="AC355" i="17"/>
  <c r="AD355" i="17"/>
  <c r="AE355" i="17"/>
  <c r="AF355" i="17"/>
  <c r="AG355" i="17"/>
  <c r="AH355" i="17"/>
  <c r="AI355" i="17"/>
  <c r="AJ355" i="17"/>
  <c r="AK355" i="17"/>
  <c r="DY11" i="29" s="1"/>
  <c r="S356" i="17"/>
  <c r="T356" i="17"/>
  <c r="U356" i="17"/>
  <c r="V356" i="17"/>
  <c r="W356" i="17"/>
  <c r="X356" i="17"/>
  <c r="Y356" i="17"/>
  <c r="Z356" i="17"/>
  <c r="AA356" i="17"/>
  <c r="AB356" i="17"/>
  <c r="AC356" i="17"/>
  <c r="AD356" i="17"/>
  <c r="AE356" i="17"/>
  <c r="AF356" i="17"/>
  <c r="AG356" i="17"/>
  <c r="AH356" i="17"/>
  <c r="AI356" i="17"/>
  <c r="AJ356" i="17"/>
  <c r="AK356" i="17"/>
  <c r="CN11" i="29" s="1"/>
  <c r="S357" i="17"/>
  <c r="T357" i="17"/>
  <c r="U357" i="17"/>
  <c r="V357" i="17"/>
  <c r="W357" i="17"/>
  <c r="X357" i="17"/>
  <c r="Y357" i="17"/>
  <c r="Z357" i="17"/>
  <c r="AA357" i="17"/>
  <c r="AB357" i="17"/>
  <c r="AC357" i="17"/>
  <c r="AD357" i="17"/>
  <c r="AE357" i="17"/>
  <c r="AF357" i="17"/>
  <c r="AG357" i="17"/>
  <c r="AH357" i="17"/>
  <c r="AI357" i="17"/>
  <c r="AJ357" i="17"/>
  <c r="AK357" i="17"/>
  <c r="K11" i="29" s="1"/>
  <c r="S358" i="17"/>
  <c r="T358" i="17"/>
  <c r="U358" i="17"/>
  <c r="V358" i="17"/>
  <c r="W358" i="17"/>
  <c r="X358" i="17"/>
  <c r="Y358" i="17"/>
  <c r="Z358" i="17"/>
  <c r="AA358" i="17"/>
  <c r="AB358" i="17"/>
  <c r="AC358" i="17"/>
  <c r="AD358" i="17"/>
  <c r="AE358" i="17"/>
  <c r="AF358" i="17"/>
  <c r="AG358" i="17"/>
  <c r="AH358" i="17"/>
  <c r="AI358" i="17"/>
  <c r="AJ358" i="17"/>
  <c r="AK358" i="17"/>
  <c r="EI11" i="29" s="1"/>
  <c r="S359" i="17"/>
  <c r="T359" i="17"/>
  <c r="U359" i="17"/>
  <c r="V359" i="17"/>
  <c r="W359" i="17"/>
  <c r="X359" i="17"/>
  <c r="Y359" i="17"/>
  <c r="Z359" i="17"/>
  <c r="AA359" i="17"/>
  <c r="AB359" i="17"/>
  <c r="AC359" i="17"/>
  <c r="AD359" i="17"/>
  <c r="AE359" i="17"/>
  <c r="AF359" i="17"/>
  <c r="AG359" i="17"/>
  <c r="AH359" i="17"/>
  <c r="AI359" i="17"/>
  <c r="AJ359" i="17"/>
  <c r="AK359" i="17"/>
  <c r="AB11" i="29" s="1"/>
  <c r="S360" i="17"/>
  <c r="T360" i="17"/>
  <c r="U360" i="17"/>
  <c r="V360" i="17"/>
  <c r="W360" i="17"/>
  <c r="X360" i="17"/>
  <c r="Y360" i="17"/>
  <c r="Z360" i="17"/>
  <c r="AA360" i="17"/>
  <c r="AB360" i="17"/>
  <c r="AC360" i="17"/>
  <c r="AD360" i="17"/>
  <c r="AE360" i="17"/>
  <c r="AF360" i="17"/>
  <c r="AG360" i="17"/>
  <c r="AH360" i="17"/>
  <c r="AI360" i="17"/>
  <c r="AJ360" i="17"/>
  <c r="AK360" i="17"/>
  <c r="GB11" i="29" s="1"/>
  <c r="S361" i="17"/>
  <c r="T361" i="17"/>
  <c r="U361" i="17"/>
  <c r="V361" i="17"/>
  <c r="W361" i="17"/>
  <c r="X361" i="17"/>
  <c r="Y361" i="17"/>
  <c r="Z361" i="17"/>
  <c r="AA361" i="17"/>
  <c r="AB361" i="17"/>
  <c r="AC361" i="17"/>
  <c r="AD361" i="17"/>
  <c r="AE361" i="17"/>
  <c r="AF361" i="17"/>
  <c r="AG361" i="17"/>
  <c r="AH361" i="17"/>
  <c r="AI361" i="17"/>
  <c r="AJ361" i="17"/>
  <c r="AK361" i="17"/>
  <c r="DL11" i="29" s="1"/>
  <c r="S362" i="17"/>
  <c r="T362" i="17"/>
  <c r="U362" i="17"/>
  <c r="V362" i="17"/>
  <c r="W362" i="17"/>
  <c r="X362" i="17"/>
  <c r="Y362" i="17"/>
  <c r="Z362" i="17"/>
  <c r="AA362" i="17"/>
  <c r="AB362" i="17"/>
  <c r="AC362" i="17"/>
  <c r="AD362" i="17"/>
  <c r="AE362" i="17"/>
  <c r="AF362" i="17"/>
  <c r="AG362" i="17"/>
  <c r="AH362" i="17"/>
  <c r="AI362" i="17"/>
  <c r="AJ362" i="17"/>
  <c r="AK362" i="17"/>
  <c r="CF11" i="29" s="1"/>
  <c r="S363" i="17"/>
  <c r="T363" i="17"/>
  <c r="U363" i="17"/>
  <c r="V363" i="17"/>
  <c r="W363" i="17"/>
  <c r="X363" i="17"/>
  <c r="Y363" i="17"/>
  <c r="Z363" i="17"/>
  <c r="AA363" i="17"/>
  <c r="AB363" i="17"/>
  <c r="AC363" i="17"/>
  <c r="AD363" i="17"/>
  <c r="AE363" i="17"/>
  <c r="AF363" i="17"/>
  <c r="AG363" i="17"/>
  <c r="AH363" i="17"/>
  <c r="AI363" i="17"/>
  <c r="AJ363" i="17"/>
  <c r="AK363" i="17"/>
  <c r="IL11" i="29" s="1"/>
  <c r="S364" i="17"/>
  <c r="T364" i="17"/>
  <c r="U364" i="17"/>
  <c r="V364" i="17"/>
  <c r="W364" i="17"/>
  <c r="X364" i="17"/>
  <c r="Y364" i="17"/>
  <c r="Z364" i="17"/>
  <c r="AA364" i="17"/>
  <c r="AB364" i="17"/>
  <c r="AC364" i="17"/>
  <c r="AD364" i="17"/>
  <c r="AE364" i="17"/>
  <c r="AF364" i="17"/>
  <c r="AG364" i="17"/>
  <c r="AH364" i="17"/>
  <c r="AI364" i="17"/>
  <c r="AJ364" i="17"/>
  <c r="AK364" i="17"/>
  <c r="IM11" i="29" s="1"/>
  <c r="S365" i="17"/>
  <c r="T365" i="17"/>
  <c r="U365" i="17"/>
  <c r="V365" i="17"/>
  <c r="W365" i="17"/>
  <c r="X365" i="17"/>
  <c r="Y365" i="17"/>
  <c r="Z365" i="17"/>
  <c r="AA365" i="17"/>
  <c r="AB365" i="17"/>
  <c r="AC365" i="17"/>
  <c r="AD365" i="17"/>
  <c r="AE365" i="17"/>
  <c r="AF365" i="17"/>
  <c r="AG365" i="17"/>
  <c r="AH365" i="17"/>
  <c r="AI365" i="17"/>
  <c r="AJ365" i="17"/>
  <c r="AK365" i="17"/>
  <c r="AO11" i="29" s="1"/>
  <c r="S366" i="17"/>
  <c r="T366" i="17"/>
  <c r="U366" i="17"/>
  <c r="V366" i="17"/>
  <c r="W366" i="17"/>
  <c r="X366" i="17"/>
  <c r="Y366" i="17"/>
  <c r="Z366" i="17"/>
  <c r="AA366" i="17"/>
  <c r="AB366" i="17"/>
  <c r="AC366" i="17"/>
  <c r="AD366" i="17"/>
  <c r="AE366" i="17"/>
  <c r="AF366" i="17"/>
  <c r="AG366" i="17"/>
  <c r="AH366" i="17"/>
  <c r="AI366" i="17"/>
  <c r="AJ366" i="17"/>
  <c r="AK366" i="17"/>
  <c r="CQ11" i="29" s="1"/>
  <c r="S367" i="17"/>
  <c r="T367" i="17"/>
  <c r="U367" i="17"/>
  <c r="V367" i="17"/>
  <c r="W367" i="17"/>
  <c r="X367" i="17"/>
  <c r="Y367" i="17"/>
  <c r="Z367" i="17"/>
  <c r="AA367" i="17"/>
  <c r="AB367" i="17"/>
  <c r="AC367" i="17"/>
  <c r="AD367" i="17"/>
  <c r="AE367" i="17"/>
  <c r="AF367" i="17"/>
  <c r="AG367" i="17"/>
  <c r="AH367" i="17"/>
  <c r="AI367" i="17"/>
  <c r="AJ367" i="17"/>
  <c r="AK367" i="17"/>
  <c r="AY11" i="29" s="1"/>
  <c r="S368" i="17"/>
  <c r="T368" i="17"/>
  <c r="U368" i="17"/>
  <c r="V368" i="17"/>
  <c r="W368" i="17"/>
  <c r="X368" i="17"/>
  <c r="Y368" i="17"/>
  <c r="Z368" i="17"/>
  <c r="AA368" i="17"/>
  <c r="AB368" i="17"/>
  <c r="AC368" i="17"/>
  <c r="AD368" i="17"/>
  <c r="AE368" i="17"/>
  <c r="AF368" i="17"/>
  <c r="AG368" i="17"/>
  <c r="AH368" i="17"/>
  <c r="AI368" i="17"/>
  <c r="AJ368" i="17"/>
  <c r="AK368" i="17"/>
  <c r="CK11" i="29" s="1"/>
  <c r="S369" i="17"/>
  <c r="T369" i="17"/>
  <c r="U369" i="17"/>
  <c r="V369" i="17"/>
  <c r="W369" i="17"/>
  <c r="X369" i="17"/>
  <c r="Y369" i="17"/>
  <c r="Z369" i="17"/>
  <c r="AA369" i="17"/>
  <c r="AB369" i="17"/>
  <c r="AC369" i="17"/>
  <c r="AD369" i="17"/>
  <c r="AE369" i="17"/>
  <c r="AF369" i="17"/>
  <c r="AG369" i="17"/>
  <c r="AH369" i="17"/>
  <c r="AI369" i="17"/>
  <c r="AJ369" i="17"/>
  <c r="AK369" i="17"/>
  <c r="ID11" i="29" s="1"/>
  <c r="S370" i="17"/>
  <c r="T370" i="17"/>
  <c r="U370" i="17"/>
  <c r="V370" i="17"/>
  <c r="W370" i="17"/>
  <c r="X370" i="17"/>
  <c r="Y370" i="17"/>
  <c r="Z370" i="17"/>
  <c r="AA370" i="17"/>
  <c r="AB370" i="17"/>
  <c r="AC370" i="17"/>
  <c r="AD370" i="17"/>
  <c r="AE370" i="17"/>
  <c r="AF370" i="17"/>
  <c r="AG370" i="17"/>
  <c r="AH370" i="17"/>
  <c r="AI370" i="17"/>
  <c r="AJ370" i="17"/>
  <c r="AK370" i="17"/>
  <c r="FL11" i="29" s="1"/>
  <c r="S371" i="17"/>
  <c r="T371" i="17"/>
  <c r="U371" i="17"/>
  <c r="V371" i="17"/>
  <c r="W371" i="17"/>
  <c r="X371" i="17"/>
  <c r="Y371" i="17"/>
  <c r="Z371" i="17"/>
  <c r="AA371" i="17"/>
  <c r="AB371" i="17"/>
  <c r="AC371" i="17"/>
  <c r="AD371" i="17"/>
  <c r="AE371" i="17"/>
  <c r="AF371" i="17"/>
  <c r="AG371" i="17"/>
  <c r="AH371" i="17"/>
  <c r="AI371" i="17"/>
  <c r="AJ371" i="17"/>
  <c r="AK371" i="17"/>
  <c r="BX11" i="29" s="1"/>
  <c r="S372" i="17"/>
  <c r="T372" i="17"/>
  <c r="U372" i="17"/>
  <c r="V372" i="17"/>
  <c r="W372" i="17"/>
  <c r="X372" i="17"/>
  <c r="Y372" i="17"/>
  <c r="Z372" i="17"/>
  <c r="AA372" i="17"/>
  <c r="AB372" i="17"/>
  <c r="AC372" i="17"/>
  <c r="AD372" i="17"/>
  <c r="AE372" i="17"/>
  <c r="AF372" i="17"/>
  <c r="AG372" i="17"/>
  <c r="AH372" i="17"/>
  <c r="AI372" i="17"/>
  <c r="AJ372" i="17"/>
  <c r="AK372" i="17"/>
  <c r="M11" i="29" s="1"/>
  <c r="S373" i="17"/>
  <c r="T373" i="17"/>
  <c r="U373" i="17"/>
  <c r="V373" i="17"/>
  <c r="W373" i="17"/>
  <c r="X373" i="17"/>
  <c r="Y373" i="17"/>
  <c r="Z373" i="17"/>
  <c r="AA373" i="17"/>
  <c r="AB373" i="17"/>
  <c r="AC373" i="17"/>
  <c r="AD373" i="17"/>
  <c r="AE373" i="17"/>
  <c r="AF373" i="17"/>
  <c r="AG373" i="17"/>
  <c r="AH373" i="17"/>
  <c r="AI373" i="17"/>
  <c r="AJ373" i="17"/>
  <c r="AK373" i="17"/>
  <c r="JG11" i="29" s="1"/>
  <c r="S374" i="17"/>
  <c r="T374" i="17"/>
  <c r="U374" i="17"/>
  <c r="V374" i="17"/>
  <c r="W374" i="17"/>
  <c r="X374" i="17"/>
  <c r="Y374" i="17"/>
  <c r="Z374" i="17"/>
  <c r="AA374" i="17"/>
  <c r="AB374" i="17"/>
  <c r="AC374" i="17"/>
  <c r="AD374" i="17"/>
  <c r="AE374" i="17"/>
  <c r="AF374" i="17"/>
  <c r="AG374" i="17"/>
  <c r="AH374" i="17"/>
  <c r="AI374" i="17"/>
  <c r="AJ374" i="17"/>
  <c r="AK374" i="17"/>
  <c r="EE11" i="29" s="1"/>
  <c r="S375" i="17"/>
  <c r="T375" i="17"/>
  <c r="U375" i="17"/>
  <c r="V375" i="17"/>
  <c r="W375" i="17"/>
  <c r="X375" i="17"/>
  <c r="Y375" i="17"/>
  <c r="Z375" i="17"/>
  <c r="AA375" i="17"/>
  <c r="AB375" i="17"/>
  <c r="AC375" i="17"/>
  <c r="AD375" i="17"/>
  <c r="AE375" i="17"/>
  <c r="AF375" i="17"/>
  <c r="AG375" i="17"/>
  <c r="AH375" i="17"/>
  <c r="AI375" i="17"/>
  <c r="AJ375" i="17"/>
  <c r="AK375" i="17"/>
  <c r="HC11" i="29" s="1"/>
  <c r="S376" i="17"/>
  <c r="T376" i="17"/>
  <c r="U376" i="17"/>
  <c r="V376" i="17"/>
  <c r="W376" i="17"/>
  <c r="X376" i="17"/>
  <c r="Y376" i="17"/>
  <c r="Z376" i="17"/>
  <c r="AA376" i="17"/>
  <c r="AB376" i="17"/>
  <c r="AC376" i="17"/>
  <c r="AD376" i="17"/>
  <c r="AE376" i="17"/>
  <c r="AF376" i="17"/>
  <c r="AG376" i="17"/>
  <c r="AH376" i="17"/>
  <c r="AI376" i="17"/>
  <c r="AJ376" i="17"/>
  <c r="AK376" i="17"/>
  <c r="DN11" i="29" s="1"/>
  <c r="S377" i="17"/>
  <c r="T377" i="17"/>
  <c r="U377" i="17"/>
  <c r="V377" i="17"/>
  <c r="W377" i="17"/>
  <c r="X377" i="17"/>
  <c r="Y377" i="17"/>
  <c r="Z377" i="17"/>
  <c r="AA377" i="17"/>
  <c r="AB377" i="17"/>
  <c r="AC377" i="17"/>
  <c r="AD377" i="17"/>
  <c r="AE377" i="17"/>
  <c r="AF377" i="17"/>
  <c r="AG377" i="17"/>
  <c r="AH377" i="17"/>
  <c r="AI377" i="17"/>
  <c r="AJ377" i="17"/>
  <c r="AK377" i="17"/>
  <c r="BV11" i="29" s="1"/>
  <c r="S378" i="17"/>
  <c r="T378" i="17"/>
  <c r="U378" i="17"/>
  <c r="V378" i="17"/>
  <c r="W378" i="17"/>
  <c r="X378" i="17"/>
  <c r="Y378" i="17"/>
  <c r="Z378" i="17"/>
  <c r="AA378" i="17"/>
  <c r="AB378" i="17"/>
  <c r="AC378" i="17"/>
  <c r="AD378" i="17"/>
  <c r="AE378" i="17"/>
  <c r="AF378" i="17"/>
  <c r="AG378" i="17"/>
  <c r="AH378" i="17"/>
  <c r="AI378" i="17"/>
  <c r="AJ378" i="17"/>
  <c r="AK378" i="17"/>
  <c r="CO11" i="29" s="1"/>
  <c r="S379" i="17"/>
  <c r="T379" i="17"/>
  <c r="U379" i="17"/>
  <c r="V379" i="17"/>
  <c r="W379" i="17"/>
  <c r="X379" i="17"/>
  <c r="Y379" i="17"/>
  <c r="Z379" i="17"/>
  <c r="AA379" i="17"/>
  <c r="AB379" i="17"/>
  <c r="AC379" i="17"/>
  <c r="AD379" i="17"/>
  <c r="AE379" i="17"/>
  <c r="AF379" i="17"/>
  <c r="AG379" i="17"/>
  <c r="AH379" i="17"/>
  <c r="AI379" i="17"/>
  <c r="AJ379" i="17"/>
  <c r="AK379" i="17"/>
  <c r="X11" i="29" s="1"/>
  <c r="S380" i="17"/>
  <c r="T380" i="17"/>
  <c r="U380" i="17"/>
  <c r="V380" i="17"/>
  <c r="W380" i="17"/>
  <c r="X380" i="17"/>
  <c r="Y380" i="17"/>
  <c r="Z380" i="17"/>
  <c r="AA380" i="17"/>
  <c r="AB380" i="17"/>
  <c r="AC380" i="17"/>
  <c r="AD380" i="17"/>
  <c r="AE380" i="17"/>
  <c r="AF380" i="17"/>
  <c r="AG380" i="17"/>
  <c r="AH380" i="17"/>
  <c r="AI380" i="17"/>
  <c r="AJ380" i="17"/>
  <c r="AK380" i="17"/>
  <c r="BK11" i="29" s="1"/>
  <c r="S381" i="17"/>
  <c r="T381" i="17"/>
  <c r="U381" i="17"/>
  <c r="V381" i="17"/>
  <c r="W381" i="17"/>
  <c r="X381" i="17"/>
  <c r="Y381" i="17"/>
  <c r="Z381" i="17"/>
  <c r="AA381" i="17"/>
  <c r="AB381" i="17"/>
  <c r="AC381" i="17"/>
  <c r="AD381" i="17"/>
  <c r="AE381" i="17"/>
  <c r="AF381" i="17"/>
  <c r="AG381" i="17"/>
  <c r="AH381" i="17"/>
  <c r="AI381" i="17"/>
  <c r="AJ381" i="17"/>
  <c r="AK381" i="17"/>
  <c r="AT11" i="29" s="1"/>
  <c r="S382" i="17"/>
  <c r="T382" i="17"/>
  <c r="U382" i="17"/>
  <c r="V382" i="17"/>
  <c r="W382" i="17"/>
  <c r="X382" i="17"/>
  <c r="Y382" i="17"/>
  <c r="Z382" i="17"/>
  <c r="AA382" i="17"/>
  <c r="AB382" i="17"/>
  <c r="AC382" i="17"/>
  <c r="AD382" i="17"/>
  <c r="AE382" i="17"/>
  <c r="AF382" i="17"/>
  <c r="AG382" i="17"/>
  <c r="AH382" i="17"/>
  <c r="AI382" i="17"/>
  <c r="AJ382" i="17"/>
  <c r="AK382" i="17"/>
  <c r="S383" i="17"/>
  <c r="T383" i="17"/>
  <c r="U383" i="17"/>
  <c r="V383" i="17"/>
  <c r="W383" i="17"/>
  <c r="X383" i="17"/>
  <c r="Y383" i="17"/>
  <c r="Z383" i="17"/>
  <c r="AA383" i="17"/>
  <c r="AB383" i="17"/>
  <c r="AC383" i="17"/>
  <c r="AD383" i="17"/>
  <c r="AE383" i="17"/>
  <c r="AF383" i="17"/>
  <c r="AG383" i="17"/>
  <c r="AH383" i="17"/>
  <c r="AI383" i="17"/>
  <c r="AJ383" i="17"/>
  <c r="AK383" i="17"/>
  <c r="EK11" i="29" s="1"/>
  <c r="S384" i="17"/>
  <c r="T384" i="17"/>
  <c r="U384" i="17"/>
  <c r="V384" i="17"/>
  <c r="W384" i="17"/>
  <c r="X384" i="17"/>
  <c r="Y384" i="17"/>
  <c r="Z384" i="17"/>
  <c r="AA384" i="17"/>
  <c r="AB384" i="17"/>
  <c r="AC384" i="17"/>
  <c r="AD384" i="17"/>
  <c r="AE384" i="17"/>
  <c r="AF384" i="17"/>
  <c r="AG384" i="17"/>
  <c r="AH384" i="17"/>
  <c r="AI384" i="17"/>
  <c r="AJ384" i="17"/>
  <c r="AK384" i="17"/>
  <c r="AZ11" i="29" s="1"/>
  <c r="S385" i="17"/>
  <c r="T385" i="17"/>
  <c r="U385" i="17"/>
  <c r="V385" i="17"/>
  <c r="W385" i="17"/>
  <c r="X385" i="17"/>
  <c r="Y385" i="17"/>
  <c r="Z385" i="17"/>
  <c r="AA385" i="17"/>
  <c r="AB385" i="17"/>
  <c r="AC385" i="17"/>
  <c r="AD385" i="17"/>
  <c r="AE385" i="17"/>
  <c r="AF385" i="17"/>
  <c r="AG385" i="17"/>
  <c r="AH385" i="17"/>
  <c r="AI385" i="17"/>
  <c r="AJ385" i="17"/>
  <c r="AK385" i="17"/>
  <c r="GH11" i="29" s="1"/>
  <c r="S386" i="17"/>
  <c r="T386" i="17"/>
  <c r="U386" i="17"/>
  <c r="V386" i="17"/>
  <c r="W386" i="17"/>
  <c r="X386" i="17"/>
  <c r="Y386" i="17"/>
  <c r="Z386" i="17"/>
  <c r="AA386" i="17"/>
  <c r="AB386" i="17"/>
  <c r="AC386" i="17"/>
  <c r="AD386" i="17"/>
  <c r="AE386" i="17"/>
  <c r="AF386" i="17"/>
  <c r="AG386" i="17"/>
  <c r="AH386" i="17"/>
  <c r="AI386" i="17"/>
  <c r="AJ386" i="17"/>
  <c r="AK386" i="17"/>
  <c r="FD11" i="29" s="1"/>
  <c r="S387" i="17"/>
  <c r="T387" i="17"/>
  <c r="U387" i="17"/>
  <c r="V387" i="17"/>
  <c r="W387" i="17"/>
  <c r="X387" i="17"/>
  <c r="Y387" i="17"/>
  <c r="Z387" i="17"/>
  <c r="AA387" i="17"/>
  <c r="AB387" i="17"/>
  <c r="AC387" i="17"/>
  <c r="AD387" i="17"/>
  <c r="AE387" i="17"/>
  <c r="AF387" i="17"/>
  <c r="AG387" i="17"/>
  <c r="AH387" i="17"/>
  <c r="AI387" i="17"/>
  <c r="AJ387" i="17"/>
  <c r="AK387" i="17"/>
  <c r="BJ11" i="29" s="1"/>
  <c r="S388" i="17"/>
  <c r="T388" i="17"/>
  <c r="U388" i="17"/>
  <c r="V388" i="17"/>
  <c r="W388" i="17"/>
  <c r="X388" i="17"/>
  <c r="Y388" i="17"/>
  <c r="Z388" i="17"/>
  <c r="AA388" i="17"/>
  <c r="AB388" i="17"/>
  <c r="AC388" i="17"/>
  <c r="AD388" i="17"/>
  <c r="AE388" i="17"/>
  <c r="AF388" i="17"/>
  <c r="AG388" i="17"/>
  <c r="AH388" i="17"/>
  <c r="AI388" i="17"/>
  <c r="AJ388" i="17"/>
  <c r="AK388" i="17"/>
  <c r="AM11" i="29" s="1"/>
  <c r="S389" i="17"/>
  <c r="T389" i="17"/>
  <c r="U389" i="17"/>
  <c r="V389" i="17"/>
  <c r="W389" i="17"/>
  <c r="X389" i="17"/>
  <c r="Y389" i="17"/>
  <c r="Z389" i="17"/>
  <c r="AA389" i="17"/>
  <c r="AB389" i="17"/>
  <c r="AC389" i="17"/>
  <c r="AD389" i="17"/>
  <c r="AE389" i="17"/>
  <c r="AF389" i="17"/>
  <c r="AG389" i="17"/>
  <c r="AH389" i="17"/>
  <c r="AI389" i="17"/>
  <c r="AJ389" i="17"/>
  <c r="AK389" i="17"/>
  <c r="IB11" i="29" s="1"/>
  <c r="S390" i="17"/>
  <c r="T390" i="17"/>
  <c r="U390" i="17"/>
  <c r="V390" i="17"/>
  <c r="W390" i="17"/>
  <c r="X390" i="17"/>
  <c r="Y390" i="17"/>
  <c r="Z390" i="17"/>
  <c r="AA390" i="17"/>
  <c r="AB390" i="17"/>
  <c r="AC390" i="17"/>
  <c r="AD390" i="17"/>
  <c r="AE390" i="17"/>
  <c r="AF390" i="17"/>
  <c r="AG390" i="17"/>
  <c r="AH390" i="17"/>
  <c r="AI390" i="17"/>
  <c r="AJ390" i="17"/>
  <c r="AK390" i="17"/>
  <c r="BO11" i="29" s="1"/>
  <c r="S391" i="17"/>
  <c r="T391" i="17"/>
  <c r="U391" i="17"/>
  <c r="V391" i="17"/>
  <c r="W391" i="17"/>
  <c r="X391" i="17"/>
  <c r="Y391" i="17"/>
  <c r="Z391" i="17"/>
  <c r="AA391" i="17"/>
  <c r="AB391" i="17"/>
  <c r="AC391" i="17"/>
  <c r="AD391" i="17"/>
  <c r="AE391" i="17"/>
  <c r="AF391" i="17"/>
  <c r="AG391" i="17"/>
  <c r="AH391" i="17"/>
  <c r="AI391" i="17"/>
  <c r="AJ391" i="17"/>
  <c r="AK391" i="17"/>
  <c r="CZ11" i="29" s="1"/>
  <c r="S392" i="17"/>
  <c r="T392" i="17"/>
  <c r="U392" i="17"/>
  <c r="V392" i="17"/>
  <c r="W392" i="17"/>
  <c r="X392" i="17"/>
  <c r="Y392" i="17"/>
  <c r="Z392" i="17"/>
  <c r="AA392" i="17"/>
  <c r="AB392" i="17"/>
  <c r="AC392" i="17"/>
  <c r="AD392" i="17"/>
  <c r="AE392" i="17"/>
  <c r="AF392" i="17"/>
  <c r="AG392" i="17"/>
  <c r="AH392" i="17"/>
  <c r="AI392" i="17"/>
  <c r="AJ392" i="17"/>
  <c r="AK392" i="17"/>
  <c r="IE11" i="29" s="1"/>
  <c r="S393" i="17"/>
  <c r="T393" i="17"/>
  <c r="U393" i="17"/>
  <c r="V393" i="17"/>
  <c r="W393" i="17"/>
  <c r="X393" i="17"/>
  <c r="Y393" i="17"/>
  <c r="Z393" i="17"/>
  <c r="AA393" i="17"/>
  <c r="AB393" i="17"/>
  <c r="AC393" i="17"/>
  <c r="AD393" i="17"/>
  <c r="AE393" i="17"/>
  <c r="AF393" i="17"/>
  <c r="AG393" i="17"/>
  <c r="AH393" i="17"/>
  <c r="AI393" i="17"/>
  <c r="AJ393" i="17"/>
  <c r="AK393" i="17"/>
  <c r="CL11" i="29" s="1"/>
  <c r="S394" i="17"/>
  <c r="T394" i="17"/>
  <c r="U394" i="17"/>
  <c r="V394" i="17"/>
  <c r="W394" i="17"/>
  <c r="X394" i="17"/>
  <c r="Y394" i="17"/>
  <c r="Z394" i="17"/>
  <c r="AA394" i="17"/>
  <c r="AB394" i="17"/>
  <c r="AC394" i="17"/>
  <c r="AD394" i="17"/>
  <c r="AE394" i="17"/>
  <c r="AF394" i="17"/>
  <c r="AG394" i="17"/>
  <c r="AH394" i="17"/>
  <c r="AI394" i="17"/>
  <c r="AJ394" i="17"/>
  <c r="AK394" i="17"/>
  <c r="HG11" i="29" s="1"/>
  <c r="S395" i="17"/>
  <c r="T395" i="17"/>
  <c r="U395" i="17"/>
  <c r="V395" i="17"/>
  <c r="W395" i="17"/>
  <c r="X395" i="17"/>
  <c r="Y395" i="17"/>
  <c r="Z395" i="17"/>
  <c r="AA395" i="17"/>
  <c r="AB395" i="17"/>
  <c r="AC395" i="17"/>
  <c r="AD395" i="17"/>
  <c r="AE395" i="17"/>
  <c r="AF395" i="17"/>
  <c r="AG395" i="17"/>
  <c r="AH395" i="17"/>
  <c r="AI395" i="17"/>
  <c r="AJ395" i="17"/>
  <c r="AK395" i="17"/>
  <c r="HW11" i="29" s="1"/>
  <c r="S396" i="17"/>
  <c r="T396" i="17"/>
  <c r="U396" i="17"/>
  <c r="V396" i="17"/>
  <c r="W396" i="17"/>
  <c r="X396" i="17"/>
  <c r="Y396" i="17"/>
  <c r="Z396" i="17"/>
  <c r="AA396" i="17"/>
  <c r="AB396" i="17"/>
  <c r="AC396" i="17"/>
  <c r="AD396" i="17"/>
  <c r="AE396" i="17"/>
  <c r="AF396" i="17"/>
  <c r="AG396" i="17"/>
  <c r="AH396" i="17"/>
  <c r="AI396" i="17"/>
  <c r="AJ396" i="17"/>
  <c r="AK396" i="17"/>
  <c r="CC11" i="29" s="1"/>
  <c r="S397" i="17"/>
  <c r="T397" i="17"/>
  <c r="U397" i="17"/>
  <c r="V397" i="17"/>
  <c r="W397" i="17"/>
  <c r="X397" i="17"/>
  <c r="Y397" i="17"/>
  <c r="Z397" i="17"/>
  <c r="AA397" i="17"/>
  <c r="AB397" i="17"/>
  <c r="AC397" i="17"/>
  <c r="AD397" i="17"/>
  <c r="AE397" i="17"/>
  <c r="AF397" i="17"/>
  <c r="AG397" i="17"/>
  <c r="AH397" i="17"/>
  <c r="AI397" i="17"/>
  <c r="AJ397" i="17"/>
  <c r="AK397" i="17"/>
  <c r="GW11" i="29" s="1"/>
  <c r="S398" i="17"/>
  <c r="T398" i="17"/>
  <c r="U398" i="17"/>
  <c r="V398" i="17"/>
  <c r="W398" i="17"/>
  <c r="X398" i="17"/>
  <c r="Y398" i="17"/>
  <c r="Z398" i="17"/>
  <c r="AA398" i="17"/>
  <c r="AB398" i="17"/>
  <c r="AC398" i="17"/>
  <c r="AD398" i="17"/>
  <c r="AE398" i="17"/>
  <c r="AF398" i="17"/>
  <c r="AG398" i="17"/>
  <c r="AH398" i="17"/>
  <c r="AI398" i="17"/>
  <c r="AJ398" i="17"/>
  <c r="AK398" i="17"/>
  <c r="S399" i="17"/>
  <c r="T399" i="17"/>
  <c r="U399" i="17"/>
  <c r="V399" i="17"/>
  <c r="W399" i="17"/>
  <c r="X399" i="17"/>
  <c r="Y399" i="17"/>
  <c r="Z399" i="17"/>
  <c r="AA399" i="17"/>
  <c r="AB399" i="17"/>
  <c r="AC399" i="17"/>
  <c r="AD399" i="17"/>
  <c r="AE399" i="17"/>
  <c r="AF399" i="17"/>
  <c r="AG399" i="17"/>
  <c r="AH399" i="17"/>
  <c r="AI399" i="17"/>
  <c r="AJ399" i="17"/>
  <c r="AK399" i="17"/>
  <c r="BR11" i="29" s="1"/>
  <c r="S400" i="17"/>
  <c r="T400" i="17"/>
  <c r="U400" i="17"/>
  <c r="V400" i="17"/>
  <c r="W400" i="17"/>
  <c r="X400" i="17"/>
  <c r="Y400" i="17"/>
  <c r="Z400" i="17"/>
  <c r="AA400" i="17"/>
  <c r="AB400" i="17"/>
  <c r="AC400" i="17"/>
  <c r="AD400" i="17"/>
  <c r="AE400" i="17"/>
  <c r="AF400" i="17"/>
  <c r="AG400" i="17"/>
  <c r="AH400" i="17"/>
  <c r="AI400" i="17"/>
  <c r="AJ400" i="17"/>
  <c r="AK400" i="17"/>
  <c r="BM11" i="29" s="1"/>
  <c r="S401" i="17"/>
  <c r="T401" i="17"/>
  <c r="U401" i="17"/>
  <c r="V401" i="17"/>
  <c r="W401" i="17"/>
  <c r="X401" i="17"/>
  <c r="Y401" i="17"/>
  <c r="Z401" i="17"/>
  <c r="AA401" i="17"/>
  <c r="AB401" i="17"/>
  <c r="AC401" i="17"/>
  <c r="AD401" i="17"/>
  <c r="AE401" i="17"/>
  <c r="AF401" i="17"/>
  <c r="AG401" i="17"/>
  <c r="AH401" i="17"/>
  <c r="AI401" i="17"/>
  <c r="AJ401" i="17"/>
  <c r="AK401" i="17"/>
  <c r="GC11" i="29" s="1"/>
  <c r="S402" i="17"/>
  <c r="T402" i="17"/>
  <c r="U402" i="17"/>
  <c r="V402" i="17"/>
  <c r="W402" i="17"/>
  <c r="X402" i="17"/>
  <c r="Y402" i="17"/>
  <c r="Z402" i="17"/>
  <c r="AA402" i="17"/>
  <c r="AB402" i="17"/>
  <c r="AC402" i="17"/>
  <c r="AD402" i="17"/>
  <c r="AE402" i="17"/>
  <c r="AF402" i="17"/>
  <c r="AG402" i="17"/>
  <c r="AH402" i="17"/>
  <c r="AI402" i="17"/>
  <c r="AJ402" i="17"/>
  <c r="AK402" i="17"/>
  <c r="CY11" i="29" s="1"/>
  <c r="S403" i="17"/>
  <c r="T403" i="17"/>
  <c r="U403" i="17"/>
  <c r="V403" i="17"/>
  <c r="W403" i="17"/>
  <c r="X403" i="17"/>
  <c r="Y403" i="17"/>
  <c r="Z403" i="17"/>
  <c r="AA403" i="17"/>
  <c r="AB403" i="17"/>
  <c r="AC403" i="17"/>
  <c r="AD403" i="17"/>
  <c r="AE403" i="17"/>
  <c r="AF403" i="17"/>
  <c r="AG403" i="17"/>
  <c r="AH403" i="17"/>
  <c r="AI403" i="17"/>
  <c r="AJ403" i="17"/>
  <c r="AK403" i="17"/>
  <c r="E11" i="29" s="1"/>
  <c r="S404" i="17"/>
  <c r="T404" i="17"/>
  <c r="U404" i="17"/>
  <c r="V404" i="17"/>
  <c r="W404" i="17"/>
  <c r="X404" i="17"/>
  <c r="Y404" i="17"/>
  <c r="Z404" i="17"/>
  <c r="AA404" i="17"/>
  <c r="AB404" i="17"/>
  <c r="AC404" i="17"/>
  <c r="AD404" i="17"/>
  <c r="AE404" i="17"/>
  <c r="AF404" i="17"/>
  <c r="AG404" i="17"/>
  <c r="AH404" i="17"/>
  <c r="AI404" i="17"/>
  <c r="AJ404" i="17"/>
  <c r="AK404" i="17"/>
  <c r="EA11" i="29" s="1"/>
  <c r="S405" i="17"/>
  <c r="T405" i="17"/>
  <c r="U405" i="17"/>
  <c r="V405" i="17"/>
  <c r="W405" i="17"/>
  <c r="X405" i="17"/>
  <c r="Y405" i="17"/>
  <c r="Z405" i="17"/>
  <c r="AA405" i="17"/>
  <c r="AB405" i="17"/>
  <c r="AC405" i="17"/>
  <c r="AD405" i="17"/>
  <c r="AE405" i="17"/>
  <c r="AF405" i="17"/>
  <c r="AG405" i="17"/>
  <c r="AH405" i="17"/>
  <c r="AI405" i="17"/>
  <c r="AJ405" i="17"/>
  <c r="AK405" i="17"/>
  <c r="L11" i="29" s="1"/>
  <c r="S406" i="17"/>
  <c r="T406" i="17"/>
  <c r="U406" i="17"/>
  <c r="V406" i="17"/>
  <c r="W406" i="17"/>
  <c r="X406" i="17"/>
  <c r="Y406" i="17"/>
  <c r="Z406" i="17"/>
  <c r="AA406" i="17"/>
  <c r="AB406" i="17"/>
  <c r="AC406" i="17"/>
  <c r="AD406" i="17"/>
  <c r="AE406" i="17"/>
  <c r="AF406" i="17"/>
  <c r="AG406" i="17"/>
  <c r="AH406" i="17"/>
  <c r="AI406" i="17"/>
  <c r="AJ406" i="17"/>
  <c r="AK406" i="17"/>
  <c r="GA11" i="29" s="1"/>
  <c r="S407" i="17"/>
  <c r="T407" i="17"/>
  <c r="U407" i="17"/>
  <c r="V407" i="17"/>
  <c r="W407" i="17"/>
  <c r="X407" i="17"/>
  <c r="Y407" i="17"/>
  <c r="Z407" i="17"/>
  <c r="AA407" i="17"/>
  <c r="AB407" i="17"/>
  <c r="AC407" i="17"/>
  <c r="AD407" i="17"/>
  <c r="AE407" i="17"/>
  <c r="AF407" i="17"/>
  <c r="AG407" i="17"/>
  <c r="AH407" i="17"/>
  <c r="AI407" i="17"/>
  <c r="AJ407" i="17"/>
  <c r="AK407" i="17"/>
  <c r="HQ11" i="29" s="1"/>
  <c r="S408" i="17"/>
  <c r="T408" i="17"/>
  <c r="U408" i="17"/>
  <c r="V408" i="17"/>
  <c r="W408" i="17"/>
  <c r="X408" i="17"/>
  <c r="Y408" i="17"/>
  <c r="Z408" i="17"/>
  <c r="AA408" i="17"/>
  <c r="AB408" i="17"/>
  <c r="AC408" i="17"/>
  <c r="AD408" i="17"/>
  <c r="AE408" i="17"/>
  <c r="AF408" i="17"/>
  <c r="AG408" i="17"/>
  <c r="AH408" i="17"/>
  <c r="AI408" i="17"/>
  <c r="AJ408" i="17"/>
  <c r="AK408" i="17"/>
  <c r="S409" i="17"/>
  <c r="T409" i="17"/>
  <c r="U409" i="17"/>
  <c r="V409" i="17"/>
  <c r="W409" i="17"/>
  <c r="X409" i="17"/>
  <c r="Y409" i="17"/>
  <c r="Z409" i="17"/>
  <c r="AA409" i="17"/>
  <c r="AB409" i="17"/>
  <c r="AC409" i="17"/>
  <c r="AD409" i="17"/>
  <c r="AE409" i="17"/>
  <c r="AF409" i="17"/>
  <c r="AG409" i="17"/>
  <c r="AH409" i="17"/>
  <c r="AI409" i="17"/>
  <c r="AJ409" i="17"/>
  <c r="AK409" i="17"/>
  <c r="HR11" i="29" s="1"/>
  <c r="S410" i="17"/>
  <c r="T410" i="17"/>
  <c r="U410" i="17"/>
  <c r="V410" i="17"/>
  <c r="W410" i="17"/>
  <c r="X410" i="17"/>
  <c r="Y410" i="17"/>
  <c r="Z410" i="17"/>
  <c r="AA410" i="17"/>
  <c r="AB410" i="17"/>
  <c r="AC410" i="17"/>
  <c r="AD410" i="17"/>
  <c r="AE410" i="17"/>
  <c r="AF410" i="17"/>
  <c r="AG410" i="17"/>
  <c r="AH410" i="17"/>
  <c r="AI410" i="17"/>
  <c r="AJ410" i="17"/>
  <c r="AK410" i="17"/>
  <c r="S411" i="17"/>
  <c r="T411" i="17"/>
  <c r="U411" i="17"/>
  <c r="V411" i="17"/>
  <c r="W411" i="17"/>
  <c r="X411" i="17"/>
  <c r="Y411" i="17"/>
  <c r="Z411" i="17"/>
  <c r="AA411" i="17"/>
  <c r="AB411" i="17"/>
  <c r="AC411" i="17"/>
  <c r="AD411" i="17"/>
  <c r="AE411" i="17"/>
  <c r="AF411" i="17"/>
  <c r="AG411" i="17"/>
  <c r="AH411" i="17"/>
  <c r="AI411" i="17"/>
  <c r="AJ411" i="17"/>
  <c r="AK411" i="17"/>
  <c r="IV11" i="29" s="1"/>
  <c r="S412" i="17"/>
  <c r="T412" i="17"/>
  <c r="U412" i="17"/>
  <c r="V412" i="17"/>
  <c r="W412" i="17"/>
  <c r="X412" i="17"/>
  <c r="Y412" i="17"/>
  <c r="Z412" i="17"/>
  <c r="AA412" i="17"/>
  <c r="AB412" i="17"/>
  <c r="AC412" i="17"/>
  <c r="AD412" i="17"/>
  <c r="AE412" i="17"/>
  <c r="AF412" i="17"/>
  <c r="AG412" i="17"/>
  <c r="AH412" i="17"/>
  <c r="AI412" i="17"/>
  <c r="AJ412" i="17"/>
  <c r="AK412" i="17"/>
  <c r="S413" i="17"/>
  <c r="T413" i="17"/>
  <c r="U413" i="17"/>
  <c r="V413" i="17"/>
  <c r="W413" i="17"/>
  <c r="X413" i="17"/>
  <c r="Y413" i="17"/>
  <c r="Z413" i="17"/>
  <c r="AA413" i="17"/>
  <c r="AB413" i="17"/>
  <c r="AC413" i="17"/>
  <c r="AD413" i="17"/>
  <c r="AE413" i="17"/>
  <c r="AF413" i="17"/>
  <c r="AG413" i="17"/>
  <c r="AH413" i="17"/>
  <c r="AI413" i="17"/>
  <c r="AJ413" i="17"/>
  <c r="AK413" i="17"/>
  <c r="DX11" i="29" s="1"/>
  <c r="S414" i="17"/>
  <c r="T414" i="17"/>
  <c r="U414" i="17"/>
  <c r="V414" i="17"/>
  <c r="W414" i="17"/>
  <c r="X414" i="17"/>
  <c r="Y414" i="17"/>
  <c r="Z414" i="17"/>
  <c r="AA414" i="17"/>
  <c r="AB414" i="17"/>
  <c r="AC414" i="17"/>
  <c r="AD414" i="17"/>
  <c r="AE414" i="17"/>
  <c r="AF414" i="17"/>
  <c r="AG414" i="17"/>
  <c r="AH414" i="17"/>
  <c r="AI414" i="17"/>
  <c r="AJ414" i="17"/>
  <c r="AK414" i="17"/>
  <c r="EW11" i="29" s="1"/>
  <c r="S415" i="17"/>
  <c r="T415" i="17"/>
  <c r="U415" i="17"/>
  <c r="V415" i="17"/>
  <c r="W415" i="17"/>
  <c r="X415" i="17"/>
  <c r="Y415" i="17"/>
  <c r="Z415" i="17"/>
  <c r="AA415" i="17"/>
  <c r="AB415" i="17"/>
  <c r="AC415" i="17"/>
  <c r="AD415" i="17"/>
  <c r="AE415" i="17"/>
  <c r="AF415" i="17"/>
  <c r="AG415" i="17"/>
  <c r="AH415" i="17"/>
  <c r="AI415" i="17"/>
  <c r="AJ415" i="17"/>
  <c r="AK415" i="17"/>
  <c r="GO11" i="29" s="1"/>
  <c r="S416" i="17"/>
  <c r="T416" i="17"/>
  <c r="U416" i="17"/>
  <c r="V416" i="17"/>
  <c r="W416" i="17"/>
  <c r="X416" i="17"/>
  <c r="Y416" i="17"/>
  <c r="Z416" i="17"/>
  <c r="AA416" i="17"/>
  <c r="AB416" i="17"/>
  <c r="AC416" i="17"/>
  <c r="AD416" i="17"/>
  <c r="AE416" i="17"/>
  <c r="AF416" i="17"/>
  <c r="AG416" i="17"/>
  <c r="AH416" i="17"/>
  <c r="AI416" i="17"/>
  <c r="AJ416" i="17"/>
  <c r="AK416" i="17"/>
  <c r="HO11" i="29" s="1"/>
  <c r="S417" i="17"/>
  <c r="T417" i="17"/>
  <c r="U417" i="17"/>
  <c r="V417" i="17"/>
  <c r="W417" i="17"/>
  <c r="X417" i="17"/>
  <c r="Y417" i="17"/>
  <c r="Z417" i="17"/>
  <c r="AA417" i="17"/>
  <c r="AB417" i="17"/>
  <c r="AC417" i="17"/>
  <c r="AD417" i="17"/>
  <c r="AE417" i="17"/>
  <c r="AF417" i="17"/>
  <c r="AG417" i="17"/>
  <c r="AH417" i="17"/>
  <c r="AI417" i="17"/>
  <c r="AJ417" i="17"/>
  <c r="AK417" i="17"/>
  <c r="G11" i="29" s="1"/>
  <c r="S418" i="17"/>
  <c r="T418" i="17"/>
  <c r="U418" i="17"/>
  <c r="V418" i="17"/>
  <c r="W418" i="17"/>
  <c r="X418" i="17"/>
  <c r="Y418" i="17"/>
  <c r="Z418" i="17"/>
  <c r="AA418" i="17"/>
  <c r="AB418" i="17"/>
  <c r="AC418" i="17"/>
  <c r="AD418" i="17"/>
  <c r="AE418" i="17"/>
  <c r="AF418" i="17"/>
  <c r="AG418" i="17"/>
  <c r="AH418" i="17"/>
  <c r="AI418" i="17"/>
  <c r="AJ418" i="17"/>
  <c r="AK418" i="17"/>
  <c r="IQ11" i="29" s="1"/>
  <c r="S419" i="17"/>
  <c r="T419" i="17"/>
  <c r="U419" i="17"/>
  <c r="V419" i="17"/>
  <c r="W419" i="17"/>
  <c r="X419" i="17"/>
  <c r="Y419" i="17"/>
  <c r="Z419" i="17"/>
  <c r="AA419" i="17"/>
  <c r="AB419" i="17"/>
  <c r="AC419" i="17"/>
  <c r="AD419" i="17"/>
  <c r="AE419" i="17"/>
  <c r="AF419" i="17"/>
  <c r="AG419" i="17"/>
  <c r="AH419" i="17"/>
  <c r="AI419" i="17"/>
  <c r="AJ419" i="17"/>
  <c r="AK419" i="17"/>
  <c r="EH11" i="29" s="1"/>
  <c r="S420" i="17"/>
  <c r="T420" i="17"/>
  <c r="U420" i="17"/>
  <c r="V420" i="17"/>
  <c r="W420" i="17"/>
  <c r="X420" i="17"/>
  <c r="Y420" i="17"/>
  <c r="Z420" i="17"/>
  <c r="AA420" i="17"/>
  <c r="AB420" i="17"/>
  <c r="AC420" i="17"/>
  <c r="AD420" i="17"/>
  <c r="AE420" i="17"/>
  <c r="AF420" i="17"/>
  <c r="AG420" i="17"/>
  <c r="AH420" i="17"/>
  <c r="AI420" i="17"/>
  <c r="AJ420" i="17"/>
  <c r="AK420" i="17"/>
  <c r="DD11" i="29" s="1"/>
  <c r="S421" i="17"/>
  <c r="T421" i="17"/>
  <c r="U421" i="17"/>
  <c r="V421" i="17"/>
  <c r="W421" i="17"/>
  <c r="X421" i="17"/>
  <c r="Y421" i="17"/>
  <c r="Z421" i="17"/>
  <c r="AA421" i="17"/>
  <c r="AB421" i="17"/>
  <c r="AC421" i="17"/>
  <c r="AD421" i="17"/>
  <c r="AE421" i="17"/>
  <c r="AF421" i="17"/>
  <c r="AG421" i="17"/>
  <c r="AH421" i="17"/>
  <c r="AI421" i="17"/>
  <c r="AJ421" i="17"/>
  <c r="AK421" i="17"/>
  <c r="HX11" i="29" s="1"/>
  <c r="S422" i="17"/>
  <c r="T422" i="17"/>
  <c r="U422" i="17"/>
  <c r="V422" i="17"/>
  <c r="W422" i="17"/>
  <c r="X422" i="17"/>
  <c r="Y422" i="17"/>
  <c r="Z422" i="17"/>
  <c r="AA422" i="17"/>
  <c r="AB422" i="17"/>
  <c r="AC422" i="17"/>
  <c r="AD422" i="17"/>
  <c r="AE422" i="17"/>
  <c r="AF422" i="17"/>
  <c r="AG422" i="17"/>
  <c r="AH422" i="17"/>
  <c r="AI422" i="17"/>
  <c r="AJ422" i="17"/>
  <c r="AK422" i="17"/>
  <c r="HI11" i="29" s="1"/>
  <c r="S423" i="17"/>
  <c r="T423" i="17"/>
  <c r="U423" i="17"/>
  <c r="V423" i="17"/>
  <c r="W423" i="17"/>
  <c r="X423" i="17"/>
  <c r="Y423" i="17"/>
  <c r="Z423" i="17"/>
  <c r="AA423" i="17"/>
  <c r="AB423" i="17"/>
  <c r="AC423" i="17"/>
  <c r="AD423" i="17"/>
  <c r="AE423" i="17"/>
  <c r="AF423" i="17"/>
  <c r="AG423" i="17"/>
  <c r="AH423" i="17"/>
  <c r="AI423" i="17"/>
  <c r="AJ423" i="17"/>
  <c r="AK423" i="17"/>
  <c r="S424" i="17"/>
  <c r="T424" i="17"/>
  <c r="U424" i="17"/>
  <c r="V424" i="17"/>
  <c r="W424" i="17"/>
  <c r="X424" i="17"/>
  <c r="Y424" i="17"/>
  <c r="Z424" i="17"/>
  <c r="AA424" i="17"/>
  <c r="AB424" i="17"/>
  <c r="AC424" i="17"/>
  <c r="AD424" i="17"/>
  <c r="AE424" i="17"/>
  <c r="AF424" i="17"/>
  <c r="AG424" i="17"/>
  <c r="AH424" i="17"/>
  <c r="AI424" i="17"/>
  <c r="AJ424" i="17"/>
  <c r="AK424" i="17"/>
  <c r="DZ11" i="29" s="1"/>
  <c r="S425" i="17"/>
  <c r="T425" i="17"/>
  <c r="U425" i="17"/>
  <c r="V425" i="17"/>
  <c r="W425" i="17"/>
  <c r="X425" i="17"/>
  <c r="Y425" i="17"/>
  <c r="Z425" i="17"/>
  <c r="AA425" i="17"/>
  <c r="AB425" i="17"/>
  <c r="AC425" i="17"/>
  <c r="AD425" i="17"/>
  <c r="AE425" i="17"/>
  <c r="AF425" i="17"/>
  <c r="AG425" i="17"/>
  <c r="AH425" i="17"/>
  <c r="AI425" i="17"/>
  <c r="AJ425" i="17"/>
  <c r="AK425" i="17"/>
  <c r="IA11" i="29" s="1"/>
  <c r="S426" i="17"/>
  <c r="T426" i="17"/>
  <c r="U426" i="17"/>
  <c r="V426" i="17"/>
  <c r="W426" i="17"/>
  <c r="X426" i="17"/>
  <c r="Y426" i="17"/>
  <c r="Z426" i="17"/>
  <c r="AA426" i="17"/>
  <c r="AB426" i="17"/>
  <c r="AC426" i="17"/>
  <c r="AD426" i="17"/>
  <c r="AE426" i="17"/>
  <c r="AF426" i="17"/>
  <c r="AG426" i="17"/>
  <c r="AH426" i="17"/>
  <c r="AI426" i="17"/>
  <c r="AJ426" i="17"/>
  <c r="AK426" i="17"/>
  <c r="S427" i="17"/>
  <c r="T427" i="17"/>
  <c r="U427" i="17"/>
  <c r="V427" i="17"/>
  <c r="W427" i="17"/>
  <c r="X427" i="17"/>
  <c r="Y427" i="17"/>
  <c r="Z427" i="17"/>
  <c r="AA427" i="17"/>
  <c r="AB427" i="17"/>
  <c r="AC427" i="17"/>
  <c r="AD427" i="17"/>
  <c r="AE427" i="17"/>
  <c r="AF427" i="17"/>
  <c r="AG427" i="17"/>
  <c r="AH427" i="17"/>
  <c r="AI427" i="17"/>
  <c r="AJ427" i="17"/>
  <c r="AK427" i="17"/>
  <c r="GE11" i="29" s="1"/>
  <c r="S428" i="17"/>
  <c r="T428" i="17"/>
  <c r="U428" i="17"/>
  <c r="V428" i="17"/>
  <c r="W428" i="17"/>
  <c r="X428" i="17"/>
  <c r="Y428" i="17"/>
  <c r="Z428" i="17"/>
  <c r="AA428" i="17"/>
  <c r="AB428" i="17"/>
  <c r="AC428" i="17"/>
  <c r="AD428" i="17"/>
  <c r="AE428" i="17"/>
  <c r="AF428" i="17"/>
  <c r="AG428" i="17"/>
  <c r="AH428" i="17"/>
  <c r="AI428" i="17"/>
  <c r="AJ428" i="17"/>
  <c r="AK428" i="17"/>
  <c r="IR11" i="29" s="1"/>
  <c r="S429" i="17"/>
  <c r="T429" i="17"/>
  <c r="U429" i="17"/>
  <c r="V429" i="17"/>
  <c r="W429" i="17"/>
  <c r="X429" i="17"/>
  <c r="Y429" i="17"/>
  <c r="Z429" i="17"/>
  <c r="AA429" i="17"/>
  <c r="AB429" i="17"/>
  <c r="AC429" i="17"/>
  <c r="AD429" i="17"/>
  <c r="AE429" i="17"/>
  <c r="AF429" i="17"/>
  <c r="AG429" i="17"/>
  <c r="AH429" i="17"/>
  <c r="AI429" i="17"/>
  <c r="AJ429" i="17"/>
  <c r="AK429" i="17"/>
  <c r="GG11" i="29" s="1"/>
  <c r="S430" i="17"/>
  <c r="T430" i="17"/>
  <c r="U430" i="17"/>
  <c r="V430" i="17"/>
  <c r="W430" i="17"/>
  <c r="X430" i="17"/>
  <c r="Y430" i="17"/>
  <c r="Z430" i="17"/>
  <c r="AA430" i="17"/>
  <c r="AB430" i="17"/>
  <c r="AC430" i="17"/>
  <c r="AD430" i="17"/>
  <c r="AE430" i="17"/>
  <c r="AF430" i="17"/>
  <c r="AG430" i="17"/>
  <c r="AH430" i="17"/>
  <c r="AI430" i="17"/>
  <c r="AJ430" i="17"/>
  <c r="AK430" i="17"/>
  <c r="S431" i="17"/>
  <c r="T431" i="17"/>
  <c r="U431" i="17"/>
  <c r="V431" i="17"/>
  <c r="W431" i="17"/>
  <c r="X431" i="17"/>
  <c r="Y431" i="17"/>
  <c r="Z431" i="17"/>
  <c r="AA431" i="17"/>
  <c r="AB431" i="17"/>
  <c r="AC431" i="17"/>
  <c r="AD431" i="17"/>
  <c r="AE431" i="17"/>
  <c r="AF431" i="17"/>
  <c r="AG431" i="17"/>
  <c r="AH431" i="17"/>
  <c r="AI431" i="17"/>
  <c r="AJ431" i="17"/>
  <c r="AK431" i="17"/>
  <c r="EB11" i="29" s="1"/>
  <c r="S432" i="17"/>
  <c r="T432" i="17"/>
  <c r="U432" i="17"/>
  <c r="V432" i="17"/>
  <c r="W432" i="17"/>
  <c r="X432" i="17"/>
  <c r="Y432" i="17"/>
  <c r="Z432" i="17"/>
  <c r="AA432" i="17"/>
  <c r="AB432" i="17"/>
  <c r="AC432" i="17"/>
  <c r="AD432" i="17"/>
  <c r="AE432" i="17"/>
  <c r="AF432" i="17"/>
  <c r="AG432" i="17"/>
  <c r="AH432" i="17"/>
  <c r="AI432" i="17"/>
  <c r="AJ432" i="17"/>
  <c r="AK432" i="17"/>
  <c r="R11" i="29" s="1"/>
  <c r="S433" i="17"/>
  <c r="T433" i="17"/>
  <c r="U433" i="17"/>
  <c r="V433" i="17"/>
  <c r="W433" i="17"/>
  <c r="X433" i="17"/>
  <c r="Y433" i="17"/>
  <c r="Z433" i="17"/>
  <c r="AA433" i="17"/>
  <c r="AB433" i="17"/>
  <c r="AC433" i="17"/>
  <c r="AD433" i="17"/>
  <c r="AE433" i="17"/>
  <c r="AF433" i="17"/>
  <c r="AG433" i="17"/>
  <c r="AH433" i="17"/>
  <c r="AI433" i="17"/>
  <c r="AJ433" i="17"/>
  <c r="AK433" i="17"/>
  <c r="EJ11" i="29" s="1"/>
  <c r="S434" i="17"/>
  <c r="T434" i="17"/>
  <c r="U434" i="17"/>
  <c r="V434" i="17"/>
  <c r="W434" i="17"/>
  <c r="X434" i="17"/>
  <c r="Y434" i="17"/>
  <c r="Z434" i="17"/>
  <c r="AA434" i="17"/>
  <c r="AB434" i="17"/>
  <c r="AC434" i="17"/>
  <c r="AD434" i="17"/>
  <c r="AE434" i="17"/>
  <c r="AF434" i="17"/>
  <c r="AG434" i="17"/>
  <c r="AH434" i="17"/>
  <c r="AI434" i="17"/>
  <c r="AJ434" i="17"/>
  <c r="AK434" i="17"/>
  <c r="FP11" i="29" s="1"/>
  <c r="S435" i="17"/>
  <c r="T435" i="17"/>
  <c r="U435" i="17"/>
  <c r="V435" i="17"/>
  <c r="W435" i="17"/>
  <c r="X435" i="17"/>
  <c r="Y435" i="17"/>
  <c r="Z435" i="17"/>
  <c r="AA435" i="17"/>
  <c r="AB435" i="17"/>
  <c r="AC435" i="17"/>
  <c r="AD435" i="17"/>
  <c r="AE435" i="17"/>
  <c r="AF435" i="17"/>
  <c r="AG435" i="17"/>
  <c r="AH435" i="17"/>
  <c r="AI435" i="17"/>
  <c r="AJ435" i="17"/>
  <c r="AK435" i="17"/>
  <c r="EV11" i="29" s="1"/>
  <c r="EV11" i="31" s="1"/>
  <c r="S436" i="17"/>
  <c r="T436" i="17"/>
  <c r="U436" i="17"/>
  <c r="V436" i="17"/>
  <c r="W436" i="17"/>
  <c r="X436" i="17"/>
  <c r="Y436" i="17"/>
  <c r="Z436" i="17"/>
  <c r="AA436" i="17"/>
  <c r="AB436" i="17"/>
  <c r="AC436" i="17"/>
  <c r="AD436" i="17"/>
  <c r="AE436" i="17"/>
  <c r="AF436" i="17"/>
  <c r="AG436" i="17"/>
  <c r="AH436" i="17"/>
  <c r="AI436" i="17"/>
  <c r="AJ436" i="17"/>
  <c r="AK436" i="17"/>
  <c r="IJ11" i="29" s="1"/>
  <c r="S437" i="17"/>
  <c r="T437" i="17"/>
  <c r="U437" i="17"/>
  <c r="V437" i="17"/>
  <c r="W437" i="17"/>
  <c r="X437" i="17"/>
  <c r="Y437" i="17"/>
  <c r="Z437" i="17"/>
  <c r="AA437" i="17"/>
  <c r="AB437" i="17"/>
  <c r="AC437" i="17"/>
  <c r="AD437" i="17"/>
  <c r="AE437" i="17"/>
  <c r="AF437" i="17"/>
  <c r="AG437" i="17"/>
  <c r="AH437" i="17"/>
  <c r="AI437" i="17"/>
  <c r="AJ437" i="17"/>
  <c r="AK437" i="17"/>
  <c r="HA11" i="29" s="1"/>
  <c r="S438" i="17"/>
  <c r="T438" i="17"/>
  <c r="U438" i="17"/>
  <c r="V438" i="17"/>
  <c r="W438" i="17"/>
  <c r="X438" i="17"/>
  <c r="Y438" i="17"/>
  <c r="Z438" i="17"/>
  <c r="AA438" i="17"/>
  <c r="AB438" i="17"/>
  <c r="AC438" i="17"/>
  <c r="AD438" i="17"/>
  <c r="AE438" i="17"/>
  <c r="AF438" i="17"/>
  <c r="AG438" i="17"/>
  <c r="AH438" i="17"/>
  <c r="AI438" i="17"/>
  <c r="AJ438" i="17"/>
  <c r="AK438" i="17"/>
  <c r="S439" i="17"/>
  <c r="T439" i="17"/>
  <c r="U439" i="17"/>
  <c r="V439" i="17"/>
  <c r="W439" i="17"/>
  <c r="X439" i="17"/>
  <c r="Y439" i="17"/>
  <c r="Z439" i="17"/>
  <c r="AA439" i="17"/>
  <c r="AB439" i="17"/>
  <c r="AC439" i="17"/>
  <c r="AD439" i="17"/>
  <c r="AE439" i="17"/>
  <c r="AF439" i="17"/>
  <c r="AG439" i="17"/>
  <c r="AH439" i="17"/>
  <c r="AI439" i="17"/>
  <c r="AJ439" i="17"/>
  <c r="AK439" i="17"/>
  <c r="S440" i="17"/>
  <c r="T440" i="17"/>
  <c r="U440" i="17"/>
  <c r="V440" i="17"/>
  <c r="W440" i="17"/>
  <c r="X440" i="17"/>
  <c r="Y440" i="17"/>
  <c r="Z440" i="17"/>
  <c r="AA440" i="17"/>
  <c r="AB440" i="17"/>
  <c r="AC440" i="17"/>
  <c r="AD440" i="17"/>
  <c r="AE440" i="17"/>
  <c r="AF440" i="17"/>
  <c r="AG440" i="17"/>
  <c r="AH440" i="17"/>
  <c r="AI440" i="17"/>
  <c r="AJ440" i="17"/>
  <c r="AK440" i="17"/>
  <c r="S441" i="17"/>
  <c r="T441" i="17"/>
  <c r="U441" i="17"/>
  <c r="V441" i="17"/>
  <c r="W441" i="17"/>
  <c r="X441" i="17"/>
  <c r="Y441" i="17"/>
  <c r="Z441" i="17"/>
  <c r="AA441" i="17"/>
  <c r="AB441" i="17"/>
  <c r="AC441" i="17"/>
  <c r="AD441" i="17"/>
  <c r="AE441" i="17"/>
  <c r="AF441" i="17"/>
  <c r="AG441" i="17"/>
  <c r="AH441" i="17"/>
  <c r="AI441" i="17"/>
  <c r="AJ441" i="17"/>
  <c r="AK441" i="17"/>
  <c r="S442" i="17"/>
  <c r="T442" i="17"/>
  <c r="U442" i="17"/>
  <c r="V442" i="17"/>
  <c r="W442" i="17"/>
  <c r="X442" i="17"/>
  <c r="Y442" i="17"/>
  <c r="Z442" i="17"/>
  <c r="AA442" i="17"/>
  <c r="AB442" i="17"/>
  <c r="AC442" i="17"/>
  <c r="AD442" i="17"/>
  <c r="AE442" i="17"/>
  <c r="AF442" i="17"/>
  <c r="AG442" i="17"/>
  <c r="AH442" i="17"/>
  <c r="AI442" i="17"/>
  <c r="AJ442" i="17"/>
  <c r="AK442" i="17"/>
  <c r="EM11" i="29" s="1"/>
  <c r="S443" i="17"/>
  <c r="T443" i="17"/>
  <c r="U443" i="17"/>
  <c r="V443" i="17"/>
  <c r="W443" i="17"/>
  <c r="X443" i="17"/>
  <c r="Y443" i="17"/>
  <c r="Z443" i="17"/>
  <c r="AA443" i="17"/>
  <c r="AB443" i="17"/>
  <c r="AC443" i="17"/>
  <c r="AD443" i="17"/>
  <c r="AE443" i="17"/>
  <c r="AF443" i="17"/>
  <c r="AG443" i="17"/>
  <c r="AH443" i="17"/>
  <c r="AI443" i="17"/>
  <c r="AJ443" i="17"/>
  <c r="AK443" i="17"/>
  <c r="AV11" i="29" s="1"/>
  <c r="S444" i="17"/>
  <c r="T444" i="17"/>
  <c r="U444" i="17"/>
  <c r="V444" i="17"/>
  <c r="W444" i="17"/>
  <c r="X444" i="17"/>
  <c r="Y444" i="17"/>
  <c r="Z444" i="17"/>
  <c r="AA444" i="17"/>
  <c r="AB444" i="17"/>
  <c r="AC444" i="17"/>
  <c r="AD444" i="17"/>
  <c r="AE444" i="17"/>
  <c r="AF444" i="17"/>
  <c r="AG444" i="17"/>
  <c r="AH444" i="17"/>
  <c r="AI444" i="17"/>
  <c r="AJ444" i="17"/>
  <c r="AK444" i="17"/>
  <c r="FU11" i="29" s="1"/>
  <c r="S445" i="17"/>
  <c r="T445" i="17"/>
  <c r="U445" i="17"/>
  <c r="V445" i="17"/>
  <c r="W445" i="17"/>
  <c r="X445" i="17"/>
  <c r="Y445" i="17"/>
  <c r="Z445" i="17"/>
  <c r="AA445" i="17"/>
  <c r="AB445" i="17"/>
  <c r="AC445" i="17"/>
  <c r="AD445" i="17"/>
  <c r="AE445" i="17"/>
  <c r="AF445" i="17"/>
  <c r="AG445" i="17"/>
  <c r="AH445" i="17"/>
  <c r="AI445" i="17"/>
  <c r="AJ445" i="17"/>
  <c r="AK445" i="17"/>
  <c r="DQ11" i="29" s="1"/>
  <c r="S446" i="17"/>
  <c r="T446" i="17"/>
  <c r="U446" i="17"/>
  <c r="V446" i="17"/>
  <c r="W446" i="17"/>
  <c r="X446" i="17"/>
  <c r="Y446" i="17"/>
  <c r="Z446" i="17"/>
  <c r="AA446" i="17"/>
  <c r="AB446" i="17"/>
  <c r="AC446" i="17"/>
  <c r="AD446" i="17"/>
  <c r="AE446" i="17"/>
  <c r="AF446" i="17"/>
  <c r="AG446" i="17"/>
  <c r="AH446" i="17"/>
  <c r="AI446" i="17"/>
  <c r="AJ446" i="17"/>
  <c r="AK446" i="17"/>
  <c r="GL11" i="29" s="1"/>
  <c r="S447" i="17"/>
  <c r="T447" i="17"/>
  <c r="U447" i="17"/>
  <c r="V447" i="17"/>
  <c r="W447" i="17"/>
  <c r="X447" i="17"/>
  <c r="Y447" i="17"/>
  <c r="Z447" i="17"/>
  <c r="AA447" i="17"/>
  <c r="AB447" i="17"/>
  <c r="AC447" i="17"/>
  <c r="AD447" i="17"/>
  <c r="AE447" i="17"/>
  <c r="AF447" i="17"/>
  <c r="AG447" i="17"/>
  <c r="AH447" i="17"/>
  <c r="AI447" i="17"/>
  <c r="AJ447" i="17"/>
  <c r="AK447" i="17"/>
  <c r="DO11" i="29" s="1"/>
  <c r="S448" i="17"/>
  <c r="T448" i="17"/>
  <c r="U448" i="17"/>
  <c r="V448" i="17"/>
  <c r="W448" i="17"/>
  <c r="X448" i="17"/>
  <c r="Y448" i="17"/>
  <c r="Z448" i="17"/>
  <c r="AA448" i="17"/>
  <c r="AB448" i="17"/>
  <c r="AC448" i="17"/>
  <c r="AD448" i="17"/>
  <c r="AE448" i="17"/>
  <c r="AF448" i="17"/>
  <c r="AG448" i="17"/>
  <c r="AH448" i="17"/>
  <c r="AI448" i="17"/>
  <c r="AJ448" i="17"/>
  <c r="AK448" i="17"/>
  <c r="CH11" i="29" s="1"/>
  <c r="S449" i="17"/>
  <c r="T449" i="17"/>
  <c r="U449" i="17"/>
  <c r="V449" i="17"/>
  <c r="W449" i="17"/>
  <c r="X449" i="17"/>
  <c r="Y449" i="17"/>
  <c r="Z449" i="17"/>
  <c r="AA449" i="17"/>
  <c r="AB449" i="17"/>
  <c r="AC449" i="17"/>
  <c r="AD449" i="17"/>
  <c r="AE449" i="17"/>
  <c r="AF449" i="17"/>
  <c r="AG449" i="17"/>
  <c r="AH449" i="17"/>
  <c r="AI449" i="17"/>
  <c r="AJ449" i="17"/>
  <c r="AK449" i="17"/>
  <c r="FS11" i="29" s="1"/>
  <c r="S450" i="17"/>
  <c r="T450" i="17"/>
  <c r="U450" i="17"/>
  <c r="V450" i="17"/>
  <c r="W450" i="17"/>
  <c r="X450" i="17"/>
  <c r="Y450" i="17"/>
  <c r="Z450" i="17"/>
  <c r="AA450" i="17"/>
  <c r="AB450" i="17"/>
  <c r="AC450" i="17"/>
  <c r="AD450" i="17"/>
  <c r="AE450" i="17"/>
  <c r="AF450" i="17"/>
  <c r="AG450" i="17"/>
  <c r="AH450" i="17"/>
  <c r="AI450" i="17"/>
  <c r="AJ450" i="17"/>
  <c r="AK450" i="17"/>
  <c r="HP11" i="29" s="1"/>
  <c r="S451" i="17"/>
  <c r="T451" i="17"/>
  <c r="U451" i="17"/>
  <c r="V451" i="17"/>
  <c r="W451" i="17"/>
  <c r="X451" i="17"/>
  <c r="Y451" i="17"/>
  <c r="Z451" i="17"/>
  <c r="AA451" i="17"/>
  <c r="AB451" i="17"/>
  <c r="AC451" i="17"/>
  <c r="AD451" i="17"/>
  <c r="AE451" i="17"/>
  <c r="AF451" i="17"/>
  <c r="AG451" i="17"/>
  <c r="AH451" i="17"/>
  <c r="AI451" i="17"/>
  <c r="AJ451" i="17"/>
  <c r="AK451" i="17"/>
  <c r="HY11" i="29" s="1"/>
  <c r="S452" i="17"/>
  <c r="T452" i="17"/>
  <c r="U452" i="17"/>
  <c r="V452" i="17"/>
  <c r="W452" i="17"/>
  <c r="X452" i="17"/>
  <c r="Y452" i="17"/>
  <c r="Z452" i="17"/>
  <c r="AA452" i="17"/>
  <c r="AB452" i="17"/>
  <c r="AC452" i="17"/>
  <c r="AD452" i="17"/>
  <c r="AE452" i="17"/>
  <c r="AF452" i="17"/>
  <c r="AG452" i="17"/>
  <c r="AH452" i="17"/>
  <c r="AI452" i="17"/>
  <c r="AJ452" i="17"/>
  <c r="AK452" i="17"/>
  <c r="GI11" i="29" s="1"/>
  <c r="S453" i="17"/>
  <c r="T453" i="17"/>
  <c r="U453" i="17"/>
  <c r="V453" i="17"/>
  <c r="W453" i="17"/>
  <c r="X453" i="17"/>
  <c r="Y453" i="17"/>
  <c r="Z453" i="17"/>
  <c r="AA453" i="17"/>
  <c r="AB453" i="17"/>
  <c r="AC453" i="17"/>
  <c r="AD453" i="17"/>
  <c r="AE453" i="17"/>
  <c r="AF453" i="17"/>
  <c r="AG453" i="17"/>
  <c r="AH453" i="17"/>
  <c r="AI453" i="17"/>
  <c r="AJ453" i="17"/>
  <c r="AK453" i="17"/>
  <c r="FF11" i="29" s="1"/>
  <c r="S454" i="17"/>
  <c r="T454" i="17"/>
  <c r="U454" i="17"/>
  <c r="V454" i="17"/>
  <c r="W454" i="17"/>
  <c r="X454" i="17"/>
  <c r="Y454" i="17"/>
  <c r="Z454" i="17"/>
  <c r="AA454" i="17"/>
  <c r="AB454" i="17"/>
  <c r="AC454" i="17"/>
  <c r="AD454" i="17"/>
  <c r="AE454" i="17"/>
  <c r="AF454" i="17"/>
  <c r="AG454" i="17"/>
  <c r="AH454" i="17"/>
  <c r="AI454" i="17"/>
  <c r="AJ454" i="17"/>
  <c r="AK454" i="17"/>
  <c r="J11" i="29" s="1"/>
  <c r="S455" i="17"/>
  <c r="T455" i="17"/>
  <c r="U455" i="17"/>
  <c r="V455" i="17"/>
  <c r="W455" i="17"/>
  <c r="X455" i="17"/>
  <c r="Y455" i="17"/>
  <c r="Z455" i="17"/>
  <c r="AA455" i="17"/>
  <c r="AB455" i="17"/>
  <c r="AC455" i="17"/>
  <c r="AD455" i="17"/>
  <c r="AE455" i="17"/>
  <c r="AF455" i="17"/>
  <c r="AG455" i="17"/>
  <c r="AH455" i="17"/>
  <c r="AI455" i="17"/>
  <c r="AJ455" i="17"/>
  <c r="AK455" i="17"/>
  <c r="GR11" i="29" s="1"/>
  <c r="S456" i="17"/>
  <c r="T456" i="17"/>
  <c r="U456" i="17"/>
  <c r="V456" i="17"/>
  <c r="W456" i="17"/>
  <c r="X456" i="17"/>
  <c r="Y456" i="17"/>
  <c r="Z456" i="17"/>
  <c r="AA456" i="17"/>
  <c r="AB456" i="17"/>
  <c r="AC456" i="17"/>
  <c r="AD456" i="17"/>
  <c r="AE456" i="17"/>
  <c r="AF456" i="17"/>
  <c r="AG456" i="17"/>
  <c r="AH456" i="17"/>
  <c r="AI456" i="17"/>
  <c r="AJ456" i="17"/>
  <c r="AK456" i="17"/>
  <c r="EY11" i="29" s="1"/>
  <c r="S457" i="17"/>
  <c r="T457" i="17"/>
  <c r="U457" i="17"/>
  <c r="V457" i="17"/>
  <c r="W457" i="17"/>
  <c r="X457" i="17"/>
  <c r="Y457" i="17"/>
  <c r="Z457" i="17"/>
  <c r="AA457" i="17"/>
  <c r="AB457" i="17"/>
  <c r="AC457" i="17"/>
  <c r="AD457" i="17"/>
  <c r="AE457" i="17"/>
  <c r="AF457" i="17"/>
  <c r="AG457" i="17"/>
  <c r="AH457" i="17"/>
  <c r="AI457" i="17"/>
  <c r="AJ457" i="17"/>
  <c r="AK457" i="17"/>
  <c r="HL11" i="29" s="1"/>
  <c r="HL11" i="31" s="1"/>
  <c r="S458" i="17"/>
  <c r="T458" i="17"/>
  <c r="U458" i="17"/>
  <c r="V458" i="17"/>
  <c r="W458" i="17"/>
  <c r="X458" i="17"/>
  <c r="Y458" i="17"/>
  <c r="Z458" i="17"/>
  <c r="AA458" i="17"/>
  <c r="AB458" i="17"/>
  <c r="AC458" i="17"/>
  <c r="AD458" i="17"/>
  <c r="AE458" i="17"/>
  <c r="AF458" i="17"/>
  <c r="AG458" i="17"/>
  <c r="AH458" i="17"/>
  <c r="AI458" i="17"/>
  <c r="AJ458" i="17"/>
  <c r="AK458" i="17"/>
  <c r="S459" i="17"/>
  <c r="T459" i="17"/>
  <c r="U459" i="17"/>
  <c r="V459" i="17"/>
  <c r="W459" i="17"/>
  <c r="X459" i="17"/>
  <c r="Y459" i="17"/>
  <c r="Z459" i="17"/>
  <c r="AA459" i="17"/>
  <c r="AB459" i="17"/>
  <c r="AC459" i="17"/>
  <c r="AD459" i="17"/>
  <c r="AE459" i="17"/>
  <c r="AF459" i="17"/>
  <c r="AG459" i="17"/>
  <c r="AH459" i="17"/>
  <c r="AI459" i="17"/>
  <c r="AJ459" i="17"/>
  <c r="AK459" i="17"/>
  <c r="N11" i="29" s="1"/>
  <c r="S460" i="17"/>
  <c r="T460" i="17"/>
  <c r="U460" i="17"/>
  <c r="V460" i="17"/>
  <c r="W460" i="17"/>
  <c r="X460" i="17"/>
  <c r="Y460" i="17"/>
  <c r="Z460" i="17"/>
  <c r="AA460" i="17"/>
  <c r="AB460" i="17"/>
  <c r="AC460" i="17"/>
  <c r="AD460" i="17"/>
  <c r="AE460" i="17"/>
  <c r="AF460" i="17"/>
  <c r="AG460" i="17"/>
  <c r="AH460" i="17"/>
  <c r="AI460" i="17"/>
  <c r="AJ460" i="17"/>
  <c r="AK460" i="17"/>
  <c r="HZ11" i="29" s="1"/>
  <c r="S461" i="17"/>
  <c r="T461" i="17"/>
  <c r="U461" i="17"/>
  <c r="V461" i="17"/>
  <c r="W461" i="17"/>
  <c r="X461" i="17"/>
  <c r="Y461" i="17"/>
  <c r="Z461" i="17"/>
  <c r="AA461" i="17"/>
  <c r="AB461" i="17"/>
  <c r="AC461" i="17"/>
  <c r="AD461" i="17"/>
  <c r="AE461" i="17"/>
  <c r="AF461" i="17"/>
  <c r="AG461" i="17"/>
  <c r="AH461" i="17"/>
  <c r="AI461" i="17"/>
  <c r="AJ461" i="17"/>
  <c r="AK461" i="17"/>
  <c r="S462" i="17"/>
  <c r="T462" i="17"/>
  <c r="U462" i="17"/>
  <c r="V462" i="17"/>
  <c r="W462" i="17"/>
  <c r="X462" i="17"/>
  <c r="Y462" i="17"/>
  <c r="Z462" i="17"/>
  <c r="AA462" i="17"/>
  <c r="AB462" i="17"/>
  <c r="AC462" i="17"/>
  <c r="AD462" i="17"/>
  <c r="AE462" i="17"/>
  <c r="AF462" i="17"/>
  <c r="AG462" i="17"/>
  <c r="AH462" i="17"/>
  <c r="AI462" i="17"/>
  <c r="AJ462" i="17"/>
  <c r="AK462" i="17"/>
  <c r="BN11" i="29" s="1"/>
  <c r="S463" i="17"/>
  <c r="T463" i="17"/>
  <c r="U463" i="17"/>
  <c r="V463" i="17"/>
  <c r="W463" i="17"/>
  <c r="X463" i="17"/>
  <c r="Y463" i="17"/>
  <c r="Z463" i="17"/>
  <c r="AA463" i="17"/>
  <c r="AB463" i="17"/>
  <c r="AC463" i="17"/>
  <c r="AD463" i="17"/>
  <c r="AE463" i="17"/>
  <c r="AF463" i="17"/>
  <c r="AG463" i="17"/>
  <c r="AH463" i="17"/>
  <c r="AI463" i="17"/>
  <c r="AJ463" i="17"/>
  <c r="AK463" i="17"/>
  <c r="FY11" i="29" s="1"/>
  <c r="S464" i="17"/>
  <c r="T464" i="17"/>
  <c r="U464" i="17"/>
  <c r="V464" i="17"/>
  <c r="W464" i="17"/>
  <c r="X464" i="17"/>
  <c r="Y464" i="17"/>
  <c r="Z464" i="17"/>
  <c r="AA464" i="17"/>
  <c r="AB464" i="17"/>
  <c r="AC464" i="17"/>
  <c r="AD464" i="17"/>
  <c r="AE464" i="17"/>
  <c r="AF464" i="17"/>
  <c r="AG464" i="17"/>
  <c r="AH464" i="17"/>
  <c r="AI464" i="17"/>
  <c r="AJ464" i="17"/>
  <c r="AK464" i="17"/>
  <c r="HB11" i="29" s="1"/>
  <c r="S465" i="17"/>
  <c r="T465" i="17"/>
  <c r="U465" i="17"/>
  <c r="V465" i="17"/>
  <c r="W465" i="17"/>
  <c r="X465" i="17"/>
  <c r="Y465" i="17"/>
  <c r="Z465" i="17"/>
  <c r="AA465" i="17"/>
  <c r="AB465" i="17"/>
  <c r="AC465" i="17"/>
  <c r="AD465" i="17"/>
  <c r="AE465" i="17"/>
  <c r="AF465" i="17"/>
  <c r="AG465" i="17"/>
  <c r="AH465" i="17"/>
  <c r="AI465" i="17"/>
  <c r="AJ465" i="17"/>
  <c r="AK465" i="17"/>
  <c r="FK11" i="29" s="1"/>
  <c r="S466" i="17"/>
  <c r="T466" i="17"/>
  <c r="U466" i="17"/>
  <c r="V466" i="17"/>
  <c r="W466" i="17"/>
  <c r="X466" i="17"/>
  <c r="Y466" i="17"/>
  <c r="Z466" i="17"/>
  <c r="AA466" i="17"/>
  <c r="AB466" i="17"/>
  <c r="AC466" i="17"/>
  <c r="AD466" i="17"/>
  <c r="AE466" i="17"/>
  <c r="AF466" i="17"/>
  <c r="AG466" i="17"/>
  <c r="AH466" i="17"/>
  <c r="AI466" i="17"/>
  <c r="AJ466" i="17"/>
  <c r="AK466" i="17"/>
  <c r="HF11" i="29" s="1"/>
  <c r="S467" i="17"/>
  <c r="T467" i="17"/>
  <c r="U467" i="17"/>
  <c r="V467" i="17"/>
  <c r="W467" i="17"/>
  <c r="X467" i="17"/>
  <c r="Y467" i="17"/>
  <c r="Z467" i="17"/>
  <c r="AA467" i="17"/>
  <c r="AB467" i="17"/>
  <c r="AC467" i="17"/>
  <c r="AD467" i="17"/>
  <c r="AE467" i="17"/>
  <c r="AF467" i="17"/>
  <c r="AG467" i="17"/>
  <c r="AH467" i="17"/>
  <c r="AI467" i="17"/>
  <c r="AJ467" i="17"/>
  <c r="AK467" i="17"/>
  <c r="II11" i="29" s="1"/>
  <c r="S468" i="17"/>
  <c r="T468" i="17"/>
  <c r="U468" i="17"/>
  <c r="V468" i="17"/>
  <c r="W468" i="17"/>
  <c r="X468" i="17"/>
  <c r="Y468" i="17"/>
  <c r="Z468" i="17"/>
  <c r="AA468" i="17"/>
  <c r="AB468" i="17"/>
  <c r="AC468" i="17"/>
  <c r="AD468" i="17"/>
  <c r="AE468" i="17"/>
  <c r="AF468" i="17"/>
  <c r="AG468" i="17"/>
  <c r="AH468" i="17"/>
  <c r="AI468" i="17"/>
  <c r="AJ468" i="17"/>
  <c r="AK468" i="17"/>
  <c r="FG11" i="29" s="1"/>
  <c r="S469" i="17"/>
  <c r="T469" i="17"/>
  <c r="U469" i="17"/>
  <c r="V469" i="17"/>
  <c r="W469" i="17"/>
  <c r="X469" i="17"/>
  <c r="Y469" i="17"/>
  <c r="Z469" i="17"/>
  <c r="AA469" i="17"/>
  <c r="AB469" i="17"/>
  <c r="AC469" i="17"/>
  <c r="AD469" i="17"/>
  <c r="AE469" i="17"/>
  <c r="AF469" i="17"/>
  <c r="AG469" i="17"/>
  <c r="AH469" i="17"/>
  <c r="AI469" i="17"/>
  <c r="AJ469" i="17"/>
  <c r="AK469" i="17"/>
  <c r="EN11" i="29" s="1"/>
  <c r="S470" i="17"/>
  <c r="T470" i="17"/>
  <c r="U470" i="17"/>
  <c r="V470" i="17"/>
  <c r="W470" i="17"/>
  <c r="X470" i="17"/>
  <c r="Y470" i="17"/>
  <c r="Z470" i="17"/>
  <c r="AA470" i="17"/>
  <c r="AB470" i="17"/>
  <c r="AC470" i="17"/>
  <c r="AD470" i="17"/>
  <c r="AE470" i="17"/>
  <c r="AF470" i="17"/>
  <c r="AG470" i="17"/>
  <c r="AH470" i="17"/>
  <c r="AI470" i="17"/>
  <c r="AJ470" i="17"/>
  <c r="AK470" i="17"/>
  <c r="CE11" i="29" s="1"/>
  <c r="S471" i="17"/>
  <c r="T471" i="17"/>
  <c r="U471" i="17"/>
  <c r="V471" i="17"/>
  <c r="W471" i="17"/>
  <c r="X471" i="17"/>
  <c r="Y471" i="17"/>
  <c r="Z471" i="17"/>
  <c r="AA471" i="17"/>
  <c r="AB471" i="17"/>
  <c r="AC471" i="17"/>
  <c r="AD471" i="17"/>
  <c r="AE471" i="17"/>
  <c r="AF471" i="17"/>
  <c r="AG471" i="17"/>
  <c r="AH471" i="17"/>
  <c r="AI471" i="17"/>
  <c r="AJ471" i="17"/>
  <c r="AK471" i="17"/>
  <c r="EP11" i="29" s="1"/>
  <c r="S472" i="17"/>
  <c r="T472" i="17"/>
  <c r="U472" i="17"/>
  <c r="V472" i="17"/>
  <c r="W472" i="17"/>
  <c r="X472" i="17"/>
  <c r="Y472" i="17"/>
  <c r="Z472" i="17"/>
  <c r="AA472" i="17"/>
  <c r="AB472" i="17"/>
  <c r="AC472" i="17"/>
  <c r="AD472" i="17"/>
  <c r="AE472" i="17"/>
  <c r="AF472" i="17"/>
  <c r="AG472" i="17"/>
  <c r="AH472" i="17"/>
  <c r="AI472" i="17"/>
  <c r="AJ472" i="17"/>
  <c r="AK472" i="17"/>
  <c r="GU11" i="29" s="1"/>
  <c r="S473" i="17"/>
  <c r="T473" i="17"/>
  <c r="U473" i="17"/>
  <c r="V473" i="17"/>
  <c r="W473" i="17"/>
  <c r="X473" i="17"/>
  <c r="Y473" i="17"/>
  <c r="Z473" i="17"/>
  <c r="AA473" i="17"/>
  <c r="AB473" i="17"/>
  <c r="AC473" i="17"/>
  <c r="AD473" i="17"/>
  <c r="AE473" i="17"/>
  <c r="AF473" i="17"/>
  <c r="AG473" i="17"/>
  <c r="AH473" i="17"/>
  <c r="AI473" i="17"/>
  <c r="AJ473" i="17"/>
  <c r="AK473" i="17"/>
  <c r="IW11" i="29" s="1"/>
  <c r="S474" i="17"/>
  <c r="T474" i="17"/>
  <c r="U474" i="17"/>
  <c r="V474" i="17"/>
  <c r="W474" i="17"/>
  <c r="X474" i="17"/>
  <c r="Y474" i="17"/>
  <c r="Z474" i="17"/>
  <c r="AA474" i="17"/>
  <c r="AB474" i="17"/>
  <c r="AC474" i="17"/>
  <c r="AD474" i="17"/>
  <c r="AE474" i="17"/>
  <c r="AF474" i="17"/>
  <c r="AG474" i="17"/>
  <c r="AH474" i="17"/>
  <c r="AI474" i="17"/>
  <c r="AJ474" i="17"/>
  <c r="AK474" i="17"/>
  <c r="AK11" i="29" s="1"/>
  <c r="S475" i="17"/>
  <c r="T475" i="17"/>
  <c r="U475" i="17"/>
  <c r="V475" i="17"/>
  <c r="W475" i="17"/>
  <c r="X475" i="17"/>
  <c r="Y475" i="17"/>
  <c r="Z475" i="17"/>
  <c r="AA475" i="17"/>
  <c r="AB475" i="17"/>
  <c r="AC475" i="17"/>
  <c r="AD475" i="17"/>
  <c r="AE475" i="17"/>
  <c r="AF475" i="17"/>
  <c r="AG475" i="17"/>
  <c r="AH475" i="17"/>
  <c r="AI475" i="17"/>
  <c r="AJ475" i="17"/>
  <c r="AK475" i="17"/>
  <c r="HT11" i="29" s="1"/>
  <c r="S476" i="17"/>
  <c r="T476" i="17"/>
  <c r="U476" i="17"/>
  <c r="V476" i="17"/>
  <c r="W476" i="17"/>
  <c r="X476" i="17"/>
  <c r="Y476" i="17"/>
  <c r="Z476" i="17"/>
  <c r="AA476" i="17"/>
  <c r="AB476" i="17"/>
  <c r="AC476" i="17"/>
  <c r="AD476" i="17"/>
  <c r="AE476" i="17"/>
  <c r="AF476" i="17"/>
  <c r="AG476" i="17"/>
  <c r="AH476" i="17"/>
  <c r="AI476" i="17"/>
  <c r="AJ476" i="17"/>
  <c r="AK476" i="17"/>
  <c r="EF11" i="29" s="1"/>
  <c r="S477" i="17"/>
  <c r="T477" i="17"/>
  <c r="U477" i="17"/>
  <c r="V477" i="17"/>
  <c r="W477" i="17"/>
  <c r="X477" i="17"/>
  <c r="Y477" i="17"/>
  <c r="Z477" i="17"/>
  <c r="AA477" i="17"/>
  <c r="AB477" i="17"/>
  <c r="AC477" i="17"/>
  <c r="AD477" i="17"/>
  <c r="AE477" i="17"/>
  <c r="AF477" i="17"/>
  <c r="AG477" i="17"/>
  <c r="AH477" i="17"/>
  <c r="AI477" i="17"/>
  <c r="AJ477" i="17"/>
  <c r="AK477" i="17"/>
  <c r="FQ11" i="29" s="1"/>
  <c r="S478" i="17"/>
  <c r="T478" i="17"/>
  <c r="U478" i="17"/>
  <c r="V478" i="17"/>
  <c r="W478" i="17"/>
  <c r="X478" i="17"/>
  <c r="Y478" i="17"/>
  <c r="Z478" i="17"/>
  <c r="AA478" i="17"/>
  <c r="AB478" i="17"/>
  <c r="AC478" i="17"/>
  <c r="AD478" i="17"/>
  <c r="AE478" i="17"/>
  <c r="AF478" i="17"/>
  <c r="AG478" i="17"/>
  <c r="AH478" i="17"/>
  <c r="AI478" i="17"/>
  <c r="AJ478" i="17"/>
  <c r="AK478" i="17"/>
  <c r="S11" i="29" s="1"/>
  <c r="S479" i="17"/>
  <c r="T479" i="17"/>
  <c r="U479" i="17"/>
  <c r="V479" i="17"/>
  <c r="W479" i="17"/>
  <c r="X479" i="17"/>
  <c r="Y479" i="17"/>
  <c r="Z479" i="17"/>
  <c r="AA479" i="17"/>
  <c r="AB479" i="17"/>
  <c r="AC479" i="17"/>
  <c r="AD479" i="17"/>
  <c r="AE479" i="17"/>
  <c r="AF479" i="17"/>
  <c r="AG479" i="17"/>
  <c r="AH479" i="17"/>
  <c r="AI479" i="17"/>
  <c r="AJ479" i="17"/>
  <c r="AK479" i="17"/>
  <c r="IT11" i="29" s="1"/>
  <c r="S480" i="17"/>
  <c r="T480" i="17"/>
  <c r="U480" i="17"/>
  <c r="V480" i="17"/>
  <c r="W480" i="17"/>
  <c r="X480" i="17"/>
  <c r="Y480" i="17"/>
  <c r="Z480" i="17"/>
  <c r="AA480" i="17"/>
  <c r="AB480" i="17"/>
  <c r="AC480" i="17"/>
  <c r="AD480" i="17"/>
  <c r="AE480" i="17"/>
  <c r="AF480" i="17"/>
  <c r="AG480" i="17"/>
  <c r="AH480" i="17"/>
  <c r="AI480" i="17"/>
  <c r="AJ480" i="17"/>
  <c r="AK480" i="17"/>
  <c r="BG11" i="29" s="1"/>
  <c r="S481" i="17"/>
  <c r="T481" i="17"/>
  <c r="U481" i="17"/>
  <c r="V481" i="17"/>
  <c r="W481" i="17"/>
  <c r="X481" i="17"/>
  <c r="Y481" i="17"/>
  <c r="Z481" i="17"/>
  <c r="AA481" i="17"/>
  <c r="AB481" i="17"/>
  <c r="AC481" i="17"/>
  <c r="AD481" i="17"/>
  <c r="AE481" i="17"/>
  <c r="AF481" i="17"/>
  <c r="AG481" i="17"/>
  <c r="AH481" i="17"/>
  <c r="AI481" i="17"/>
  <c r="AJ481" i="17"/>
  <c r="AK481" i="17"/>
  <c r="IZ11" i="29" s="1"/>
  <c r="S482" i="17"/>
  <c r="T482" i="17"/>
  <c r="U482" i="17"/>
  <c r="V482" i="17"/>
  <c r="W482" i="17"/>
  <c r="X482" i="17"/>
  <c r="Y482" i="17"/>
  <c r="Z482" i="17"/>
  <c r="AA482" i="17"/>
  <c r="AB482" i="17"/>
  <c r="AC482" i="17"/>
  <c r="AD482" i="17"/>
  <c r="AE482" i="17"/>
  <c r="AF482" i="17"/>
  <c r="AG482" i="17"/>
  <c r="AH482" i="17"/>
  <c r="AI482" i="17"/>
  <c r="AJ482" i="17"/>
  <c r="AK482" i="17"/>
  <c r="DV11" i="29" s="1"/>
  <c r="S483" i="17"/>
  <c r="T483" i="17"/>
  <c r="U483" i="17"/>
  <c r="V483" i="17"/>
  <c r="W483" i="17"/>
  <c r="X483" i="17"/>
  <c r="Y483" i="17"/>
  <c r="Z483" i="17"/>
  <c r="AA483" i="17"/>
  <c r="AB483" i="17"/>
  <c r="AC483" i="17"/>
  <c r="AD483" i="17"/>
  <c r="AE483" i="17"/>
  <c r="AF483" i="17"/>
  <c r="AG483" i="17"/>
  <c r="AH483" i="17"/>
  <c r="AI483" i="17"/>
  <c r="AJ483" i="17"/>
  <c r="AK483" i="17"/>
  <c r="CV11" i="29" s="1"/>
  <c r="S484" i="17"/>
  <c r="T484" i="17"/>
  <c r="U484" i="17"/>
  <c r="V484" i="17"/>
  <c r="W484" i="17"/>
  <c r="X484" i="17"/>
  <c r="Y484" i="17"/>
  <c r="Z484" i="17"/>
  <c r="AA484" i="17"/>
  <c r="AB484" i="17"/>
  <c r="AC484" i="17"/>
  <c r="AD484" i="17"/>
  <c r="AE484" i="17"/>
  <c r="AF484" i="17"/>
  <c r="AG484" i="17"/>
  <c r="AH484" i="17"/>
  <c r="AI484" i="17"/>
  <c r="AJ484" i="17"/>
  <c r="AK484" i="17"/>
  <c r="CD11" i="29" s="1"/>
  <c r="S485" i="17"/>
  <c r="T485" i="17"/>
  <c r="U485" i="17"/>
  <c r="V485" i="17"/>
  <c r="W485" i="17"/>
  <c r="X485" i="17"/>
  <c r="Y485" i="17"/>
  <c r="Z485" i="17"/>
  <c r="AA485" i="17"/>
  <c r="AB485" i="17"/>
  <c r="AC485" i="17"/>
  <c r="AD485" i="17"/>
  <c r="AE485" i="17"/>
  <c r="AF485" i="17"/>
  <c r="AG485" i="17"/>
  <c r="AH485" i="17"/>
  <c r="AI485" i="17"/>
  <c r="AJ485" i="17"/>
  <c r="AK485" i="17"/>
  <c r="JC11" i="29" s="1"/>
  <c r="S486" i="17"/>
  <c r="T486" i="17"/>
  <c r="U486" i="17"/>
  <c r="V486" i="17"/>
  <c r="W486" i="17"/>
  <c r="X486" i="17"/>
  <c r="Y486" i="17"/>
  <c r="Z486" i="17"/>
  <c r="AA486" i="17"/>
  <c r="AB486" i="17"/>
  <c r="AC486" i="17"/>
  <c r="AD486" i="17"/>
  <c r="AE486" i="17"/>
  <c r="AF486" i="17"/>
  <c r="AG486" i="17"/>
  <c r="AH486" i="17"/>
  <c r="AI486" i="17"/>
  <c r="AJ486" i="17"/>
  <c r="AK486" i="17"/>
  <c r="BE11" i="29" s="1"/>
  <c r="S487" i="17"/>
  <c r="T487" i="17"/>
  <c r="U487" i="17"/>
  <c r="V487" i="17"/>
  <c r="W487" i="17"/>
  <c r="X487" i="17"/>
  <c r="Y487" i="17"/>
  <c r="Z487" i="17"/>
  <c r="AA487" i="17"/>
  <c r="AB487" i="17"/>
  <c r="AC487" i="17"/>
  <c r="AD487" i="17"/>
  <c r="AE487" i="17"/>
  <c r="AF487" i="17"/>
  <c r="AG487" i="17"/>
  <c r="AH487" i="17"/>
  <c r="AI487" i="17"/>
  <c r="AJ487" i="17"/>
  <c r="AK487" i="17"/>
  <c r="HJ11" i="29" s="1"/>
  <c r="S488" i="17"/>
  <c r="T488" i="17"/>
  <c r="U488" i="17"/>
  <c r="V488" i="17"/>
  <c r="W488" i="17"/>
  <c r="X488" i="17"/>
  <c r="Y488" i="17"/>
  <c r="Z488" i="17"/>
  <c r="AA488" i="17"/>
  <c r="AB488" i="17"/>
  <c r="AC488" i="17"/>
  <c r="AD488" i="17"/>
  <c r="AE488" i="17"/>
  <c r="AF488" i="17"/>
  <c r="AG488" i="17"/>
  <c r="AH488" i="17"/>
  <c r="AI488" i="17"/>
  <c r="AJ488" i="17"/>
  <c r="AK488" i="17"/>
  <c r="BZ11" i="29" s="1"/>
  <c r="S489" i="17"/>
  <c r="T489" i="17"/>
  <c r="U489" i="17"/>
  <c r="V489" i="17"/>
  <c r="W489" i="17"/>
  <c r="X489" i="17"/>
  <c r="Y489" i="17"/>
  <c r="Z489" i="17"/>
  <c r="AA489" i="17"/>
  <c r="AB489" i="17"/>
  <c r="AC489" i="17"/>
  <c r="AD489" i="17"/>
  <c r="AE489" i="17"/>
  <c r="AF489" i="17"/>
  <c r="AG489" i="17"/>
  <c r="AH489" i="17"/>
  <c r="AI489" i="17"/>
  <c r="AJ489" i="17"/>
  <c r="AK489" i="17"/>
  <c r="DM11" i="29" s="1"/>
  <c r="S490" i="17"/>
  <c r="T490" i="17"/>
  <c r="U490" i="17"/>
  <c r="V490" i="17"/>
  <c r="W490" i="17"/>
  <c r="X490" i="17"/>
  <c r="Y490" i="17"/>
  <c r="Z490" i="17"/>
  <c r="AA490" i="17"/>
  <c r="AB490" i="17"/>
  <c r="AC490" i="17"/>
  <c r="AD490" i="17"/>
  <c r="AE490" i="17"/>
  <c r="AF490" i="17"/>
  <c r="AG490" i="17"/>
  <c r="AH490" i="17"/>
  <c r="AI490" i="17"/>
  <c r="AJ490" i="17"/>
  <c r="AK490" i="17"/>
  <c r="F11" i="29" s="1"/>
  <c r="F11" i="31" s="1"/>
  <c r="S491" i="17"/>
  <c r="T491" i="17"/>
  <c r="U491" i="17"/>
  <c r="V491" i="17"/>
  <c r="W491" i="17"/>
  <c r="X491" i="17"/>
  <c r="Y491" i="17"/>
  <c r="Z491" i="17"/>
  <c r="AA491" i="17"/>
  <c r="AB491" i="17"/>
  <c r="AC491" i="17"/>
  <c r="AD491" i="17"/>
  <c r="AE491" i="17"/>
  <c r="AF491" i="17"/>
  <c r="AG491" i="17"/>
  <c r="AH491" i="17"/>
  <c r="AI491" i="17"/>
  <c r="AJ491" i="17"/>
  <c r="AK491" i="17"/>
  <c r="HN11" i="29" s="1"/>
  <c r="S492" i="17"/>
  <c r="T492" i="17"/>
  <c r="U492" i="17"/>
  <c r="V492" i="17"/>
  <c r="W492" i="17"/>
  <c r="X492" i="17"/>
  <c r="Y492" i="17"/>
  <c r="Z492" i="17"/>
  <c r="AA492" i="17"/>
  <c r="AB492" i="17"/>
  <c r="AC492" i="17"/>
  <c r="AD492" i="17"/>
  <c r="AE492" i="17"/>
  <c r="AF492" i="17"/>
  <c r="AG492" i="17"/>
  <c r="AH492" i="17"/>
  <c r="AI492" i="17"/>
  <c r="AJ492" i="17"/>
  <c r="AK492" i="17"/>
  <c r="EZ11" i="29" s="1"/>
  <c r="S493" i="17"/>
  <c r="T493" i="17"/>
  <c r="U493" i="17"/>
  <c r="V493" i="17"/>
  <c r="W493" i="17"/>
  <c r="X493" i="17"/>
  <c r="Y493" i="17"/>
  <c r="Z493" i="17"/>
  <c r="AA493" i="17"/>
  <c r="AB493" i="17"/>
  <c r="AC493" i="17"/>
  <c r="AD493" i="17"/>
  <c r="AE493" i="17"/>
  <c r="AF493" i="17"/>
  <c r="AG493" i="17"/>
  <c r="AH493" i="17"/>
  <c r="AI493" i="17"/>
  <c r="AJ493" i="17"/>
  <c r="AK493" i="17"/>
  <c r="T11" i="29" s="1"/>
  <c r="S494" i="17"/>
  <c r="T494" i="17"/>
  <c r="U494" i="17"/>
  <c r="V494" i="17"/>
  <c r="W494" i="17"/>
  <c r="X494" i="17"/>
  <c r="Y494" i="17"/>
  <c r="Z494" i="17"/>
  <c r="AA494" i="17"/>
  <c r="AB494" i="17"/>
  <c r="AC494" i="17"/>
  <c r="AD494" i="17"/>
  <c r="AE494" i="17"/>
  <c r="AF494" i="17"/>
  <c r="AG494" i="17"/>
  <c r="AH494" i="17"/>
  <c r="AI494" i="17"/>
  <c r="AJ494" i="17"/>
  <c r="AK494" i="17"/>
  <c r="FJ11" i="29" s="1"/>
  <c r="S495" i="17"/>
  <c r="T495" i="17"/>
  <c r="U495" i="17"/>
  <c r="V495" i="17"/>
  <c r="W495" i="17"/>
  <c r="X495" i="17"/>
  <c r="Y495" i="17"/>
  <c r="Z495" i="17"/>
  <c r="AA495" i="17"/>
  <c r="AB495" i="17"/>
  <c r="AC495" i="17"/>
  <c r="AD495" i="17"/>
  <c r="AE495" i="17"/>
  <c r="AF495" i="17"/>
  <c r="AG495" i="17"/>
  <c r="AH495" i="17"/>
  <c r="AI495" i="17"/>
  <c r="AJ495" i="17"/>
  <c r="AK495" i="17"/>
  <c r="S496" i="17"/>
  <c r="T496" i="17"/>
  <c r="U496" i="17"/>
  <c r="V496" i="17"/>
  <c r="W496" i="17"/>
  <c r="X496" i="17"/>
  <c r="Y496" i="17"/>
  <c r="Z496" i="17"/>
  <c r="AA496" i="17"/>
  <c r="AB496" i="17"/>
  <c r="AC496" i="17"/>
  <c r="AD496" i="17"/>
  <c r="AE496" i="17"/>
  <c r="AF496" i="17"/>
  <c r="AG496" i="17"/>
  <c r="AH496" i="17"/>
  <c r="AI496" i="17"/>
  <c r="AJ496" i="17"/>
  <c r="AK496" i="17"/>
  <c r="AE11" i="29" s="1"/>
  <c r="S497" i="17"/>
  <c r="T497" i="17"/>
  <c r="U497" i="17"/>
  <c r="V497" i="17"/>
  <c r="W497" i="17"/>
  <c r="X497" i="17"/>
  <c r="Y497" i="17"/>
  <c r="Z497" i="17"/>
  <c r="AA497" i="17"/>
  <c r="AB497" i="17"/>
  <c r="AC497" i="17"/>
  <c r="AD497" i="17"/>
  <c r="AE497" i="17"/>
  <c r="AF497" i="17"/>
  <c r="AG497" i="17"/>
  <c r="AH497" i="17"/>
  <c r="AI497" i="17"/>
  <c r="AJ497" i="17"/>
  <c r="AK497" i="17"/>
  <c r="JE11" i="29" s="1"/>
  <c r="S498" i="17"/>
  <c r="T498" i="17"/>
  <c r="U498" i="17"/>
  <c r="V498" i="17"/>
  <c r="W498" i="17"/>
  <c r="X498" i="17"/>
  <c r="Y498" i="17"/>
  <c r="Z498" i="17"/>
  <c r="AA498" i="17"/>
  <c r="AB498" i="17"/>
  <c r="AC498" i="17"/>
  <c r="AD498" i="17"/>
  <c r="AE498" i="17"/>
  <c r="AF498" i="17"/>
  <c r="AG498" i="17"/>
  <c r="AH498" i="17"/>
  <c r="AI498" i="17"/>
  <c r="AJ498" i="17"/>
  <c r="AK498" i="17"/>
  <c r="FM11" i="29" s="1"/>
  <c r="S499" i="17"/>
  <c r="T499" i="17"/>
  <c r="U499" i="17"/>
  <c r="V499" i="17"/>
  <c r="W499" i="17"/>
  <c r="X499" i="17"/>
  <c r="Y499" i="17"/>
  <c r="Z499" i="17"/>
  <c r="AA499" i="17"/>
  <c r="AB499" i="17"/>
  <c r="AC499" i="17"/>
  <c r="AD499" i="17"/>
  <c r="AE499" i="17"/>
  <c r="AF499" i="17"/>
  <c r="AG499" i="17"/>
  <c r="AH499" i="17"/>
  <c r="AI499" i="17"/>
  <c r="AJ499" i="17"/>
  <c r="AK499" i="17"/>
  <c r="AD11" i="29" s="1"/>
  <c r="S500" i="17"/>
  <c r="T500" i="17"/>
  <c r="U500" i="17"/>
  <c r="V500" i="17"/>
  <c r="W500" i="17"/>
  <c r="X500" i="17"/>
  <c r="Y500" i="17"/>
  <c r="Z500" i="17"/>
  <c r="AA500" i="17"/>
  <c r="AB500" i="17"/>
  <c r="AC500" i="17"/>
  <c r="AD500" i="17"/>
  <c r="AE500" i="17"/>
  <c r="AF500" i="17"/>
  <c r="AG500" i="17"/>
  <c r="AH500" i="17"/>
  <c r="AI500" i="17"/>
  <c r="AJ500" i="17"/>
  <c r="AK500" i="17"/>
  <c r="BW11" i="29" s="1"/>
  <c r="S501" i="17"/>
  <c r="T501" i="17"/>
  <c r="U501" i="17"/>
  <c r="V501" i="17"/>
  <c r="W501" i="17"/>
  <c r="X501" i="17"/>
  <c r="Y501" i="17"/>
  <c r="Z501" i="17"/>
  <c r="AA501" i="17"/>
  <c r="AB501" i="17"/>
  <c r="AC501" i="17"/>
  <c r="AD501" i="17"/>
  <c r="AE501" i="17"/>
  <c r="AF501" i="17"/>
  <c r="AG501" i="17"/>
  <c r="AH501" i="17"/>
  <c r="AI501" i="17"/>
  <c r="AJ501" i="17"/>
  <c r="AK501" i="17"/>
  <c r="DJ11" i="29" s="1"/>
  <c r="S502" i="17"/>
  <c r="T502" i="17"/>
  <c r="U502" i="17"/>
  <c r="V502" i="17"/>
  <c r="W502" i="17"/>
  <c r="X502" i="17"/>
  <c r="Y502" i="17"/>
  <c r="Z502" i="17"/>
  <c r="AA502" i="17"/>
  <c r="AB502" i="17"/>
  <c r="AC502" i="17"/>
  <c r="AD502" i="17"/>
  <c r="AE502" i="17"/>
  <c r="AF502" i="17"/>
  <c r="AG502" i="17"/>
  <c r="AH502" i="17"/>
  <c r="AI502" i="17"/>
  <c r="AJ502" i="17"/>
  <c r="AK502" i="17"/>
  <c r="HS11" i="29" s="1"/>
  <c r="S503" i="17"/>
  <c r="T503" i="17"/>
  <c r="U503" i="17"/>
  <c r="V503" i="17"/>
  <c r="W503" i="17"/>
  <c r="X503" i="17"/>
  <c r="Y503" i="17"/>
  <c r="Z503" i="17"/>
  <c r="AA503" i="17"/>
  <c r="AB503" i="17"/>
  <c r="AC503" i="17"/>
  <c r="AD503" i="17"/>
  <c r="AE503" i="17"/>
  <c r="AF503" i="17"/>
  <c r="AG503" i="17"/>
  <c r="AH503" i="17"/>
  <c r="AI503" i="17"/>
  <c r="AJ503" i="17"/>
  <c r="AK503" i="17"/>
  <c r="O11" i="29" s="1"/>
  <c r="S504" i="17"/>
  <c r="T504" i="17"/>
  <c r="U504" i="17"/>
  <c r="V504" i="17"/>
  <c r="W504" i="17"/>
  <c r="X504" i="17"/>
  <c r="Y504" i="17"/>
  <c r="Z504" i="17"/>
  <c r="AA504" i="17"/>
  <c r="AB504" i="17"/>
  <c r="AC504" i="17"/>
  <c r="AD504" i="17"/>
  <c r="AE504" i="17"/>
  <c r="AF504" i="17"/>
  <c r="AG504" i="17"/>
  <c r="AH504" i="17"/>
  <c r="AI504" i="17"/>
  <c r="AJ504" i="17"/>
  <c r="AK504" i="17"/>
  <c r="IN11" i="29" s="1"/>
  <c r="S505" i="17"/>
  <c r="T505" i="17"/>
  <c r="U505" i="17"/>
  <c r="V505" i="17"/>
  <c r="W505" i="17"/>
  <c r="X505" i="17"/>
  <c r="Y505" i="17"/>
  <c r="Z505" i="17"/>
  <c r="AA505" i="17"/>
  <c r="AB505" i="17"/>
  <c r="AC505" i="17"/>
  <c r="AD505" i="17"/>
  <c r="AE505" i="17"/>
  <c r="AF505" i="17"/>
  <c r="AG505" i="17"/>
  <c r="AH505" i="17"/>
  <c r="AI505" i="17"/>
  <c r="AJ505" i="17"/>
  <c r="AK505" i="17"/>
  <c r="HV11" i="29" s="1"/>
  <c r="S506" i="17"/>
  <c r="T506" i="17"/>
  <c r="U506" i="17"/>
  <c r="V506" i="17"/>
  <c r="W506" i="17"/>
  <c r="X506" i="17"/>
  <c r="Y506" i="17"/>
  <c r="Z506" i="17"/>
  <c r="AA506" i="17"/>
  <c r="AB506" i="17"/>
  <c r="AC506" i="17"/>
  <c r="AD506" i="17"/>
  <c r="AE506" i="17"/>
  <c r="AF506" i="17"/>
  <c r="AG506" i="17"/>
  <c r="AH506" i="17"/>
  <c r="AI506" i="17"/>
  <c r="AJ506" i="17"/>
  <c r="AK506" i="17"/>
  <c r="CI11" i="29" s="1"/>
  <c r="S507" i="17"/>
  <c r="T507" i="17"/>
  <c r="U507" i="17"/>
  <c r="V507" i="17"/>
  <c r="W507" i="17"/>
  <c r="X507" i="17"/>
  <c r="Y507" i="17"/>
  <c r="Z507" i="17"/>
  <c r="AA507" i="17"/>
  <c r="AB507" i="17"/>
  <c r="AC507" i="17"/>
  <c r="AD507" i="17"/>
  <c r="AE507" i="17"/>
  <c r="AF507" i="17"/>
  <c r="AG507" i="17"/>
  <c r="AH507" i="17"/>
  <c r="AI507" i="17"/>
  <c r="AJ507" i="17"/>
  <c r="AK507" i="17"/>
  <c r="CP11" i="29" s="1"/>
  <c r="S508" i="17"/>
  <c r="T508" i="17"/>
  <c r="U508" i="17"/>
  <c r="V508" i="17"/>
  <c r="W508" i="17"/>
  <c r="X508" i="17"/>
  <c r="Y508" i="17"/>
  <c r="Z508" i="17"/>
  <c r="AA508" i="17"/>
  <c r="AB508" i="17"/>
  <c r="AC508" i="17"/>
  <c r="AD508" i="17"/>
  <c r="AE508" i="17"/>
  <c r="AF508" i="17"/>
  <c r="AG508" i="17"/>
  <c r="AH508" i="17"/>
  <c r="AI508" i="17"/>
  <c r="AJ508" i="17"/>
  <c r="AK508" i="17"/>
  <c r="CB11" i="29" s="1"/>
  <c r="S509" i="17"/>
  <c r="T509" i="17"/>
  <c r="U509" i="17"/>
  <c r="V509" i="17"/>
  <c r="W509" i="17"/>
  <c r="X509" i="17"/>
  <c r="Y509" i="17"/>
  <c r="Z509" i="17"/>
  <c r="AA509" i="17"/>
  <c r="AB509" i="17"/>
  <c r="AC509" i="17"/>
  <c r="AD509" i="17"/>
  <c r="AE509" i="17"/>
  <c r="AF509" i="17"/>
  <c r="AG509" i="17"/>
  <c r="AH509" i="17"/>
  <c r="AI509" i="17"/>
  <c r="AJ509" i="17"/>
  <c r="AK509" i="17"/>
  <c r="P11" i="29" s="1"/>
  <c r="S510" i="17"/>
  <c r="T510" i="17"/>
  <c r="U510" i="17"/>
  <c r="V510" i="17"/>
  <c r="W510" i="17"/>
  <c r="X510" i="17"/>
  <c r="Y510" i="17"/>
  <c r="Z510" i="17"/>
  <c r="AA510" i="17"/>
  <c r="AB510" i="17"/>
  <c r="AC510" i="17"/>
  <c r="AD510" i="17"/>
  <c r="AE510" i="17"/>
  <c r="AF510" i="17"/>
  <c r="AG510" i="17"/>
  <c r="AH510" i="17"/>
  <c r="AI510" i="17"/>
  <c r="AJ510" i="17"/>
  <c r="AK510" i="17"/>
  <c r="BP11" i="29" s="1"/>
  <c r="S511" i="17"/>
  <c r="T511" i="17"/>
  <c r="U511" i="17"/>
  <c r="V511" i="17"/>
  <c r="W511" i="17"/>
  <c r="X511" i="17"/>
  <c r="Y511" i="17"/>
  <c r="Z511" i="17"/>
  <c r="AA511" i="17"/>
  <c r="AB511" i="17"/>
  <c r="AC511" i="17"/>
  <c r="AD511" i="17"/>
  <c r="AE511" i="17"/>
  <c r="AF511" i="17"/>
  <c r="AG511" i="17"/>
  <c r="AH511" i="17"/>
  <c r="AI511" i="17"/>
  <c r="AJ511" i="17"/>
  <c r="AK511" i="17"/>
  <c r="GX11" i="29" s="1"/>
  <c r="S512" i="17"/>
  <c r="T512" i="17"/>
  <c r="U512" i="17"/>
  <c r="V512" i="17"/>
  <c r="W512" i="17"/>
  <c r="X512" i="17"/>
  <c r="Y512" i="17"/>
  <c r="Z512" i="17"/>
  <c r="AA512" i="17"/>
  <c r="AB512" i="17"/>
  <c r="AC512" i="17"/>
  <c r="AD512" i="17"/>
  <c r="AE512" i="17"/>
  <c r="AF512" i="17"/>
  <c r="AG512" i="17"/>
  <c r="AH512" i="17"/>
  <c r="AI512" i="17"/>
  <c r="AJ512" i="17"/>
  <c r="AK512" i="17"/>
  <c r="DB11" i="29" s="1"/>
  <c r="S513" i="17"/>
  <c r="T513" i="17"/>
  <c r="U513" i="17"/>
  <c r="V513" i="17"/>
  <c r="W513" i="17"/>
  <c r="X513" i="17"/>
  <c r="Y513" i="17"/>
  <c r="Z513" i="17"/>
  <c r="AA513" i="17"/>
  <c r="AB513" i="17"/>
  <c r="AC513" i="17"/>
  <c r="AD513" i="17"/>
  <c r="AE513" i="17"/>
  <c r="AF513" i="17"/>
  <c r="AG513" i="17"/>
  <c r="AH513" i="17"/>
  <c r="AI513" i="17"/>
  <c r="AJ513" i="17"/>
  <c r="AK513" i="17"/>
  <c r="GK11" i="29" s="1"/>
  <c r="S514" i="17"/>
  <c r="T514" i="17"/>
  <c r="U514" i="17"/>
  <c r="V514" i="17"/>
  <c r="W514" i="17"/>
  <c r="X514" i="17"/>
  <c r="Y514" i="17"/>
  <c r="Z514" i="17"/>
  <c r="AA514" i="17"/>
  <c r="AB514" i="17"/>
  <c r="AC514" i="17"/>
  <c r="AD514" i="17"/>
  <c r="AE514" i="17"/>
  <c r="AF514" i="17"/>
  <c r="AG514" i="17"/>
  <c r="AH514" i="17"/>
  <c r="AI514" i="17"/>
  <c r="AJ514" i="17"/>
  <c r="AK514" i="17"/>
  <c r="EG11" i="29" s="1"/>
  <c r="S515" i="17"/>
  <c r="T515" i="17"/>
  <c r="U515" i="17"/>
  <c r="V515" i="17"/>
  <c r="W515" i="17"/>
  <c r="X515" i="17"/>
  <c r="Y515" i="17"/>
  <c r="Z515" i="17"/>
  <c r="AA515" i="17"/>
  <c r="AB515" i="17"/>
  <c r="AC515" i="17"/>
  <c r="AD515" i="17"/>
  <c r="AE515" i="17"/>
  <c r="AF515" i="17"/>
  <c r="AG515" i="17"/>
  <c r="AH515" i="17"/>
  <c r="AI515" i="17"/>
  <c r="AJ515" i="17"/>
  <c r="AK515" i="17"/>
  <c r="IY11" i="29" s="1"/>
  <c r="S516" i="17"/>
  <c r="T516" i="17"/>
  <c r="U516" i="17"/>
  <c r="V516" i="17"/>
  <c r="W516" i="17"/>
  <c r="X516" i="17"/>
  <c r="Y516" i="17"/>
  <c r="Z516" i="17"/>
  <c r="AA516" i="17"/>
  <c r="AB516" i="17"/>
  <c r="AC516" i="17"/>
  <c r="AD516" i="17"/>
  <c r="AE516" i="17"/>
  <c r="AF516" i="17"/>
  <c r="AG516" i="17"/>
  <c r="AH516" i="17"/>
  <c r="AI516" i="17"/>
  <c r="AJ516" i="17"/>
  <c r="AK516" i="17"/>
  <c r="DE11" i="29" s="1"/>
  <c r="S517" i="17"/>
  <c r="T517" i="17"/>
  <c r="U517" i="17"/>
  <c r="V517" i="17"/>
  <c r="W517" i="17"/>
  <c r="X517" i="17"/>
  <c r="Y517" i="17"/>
  <c r="Z517" i="17"/>
  <c r="AA517" i="17"/>
  <c r="AB517" i="17"/>
  <c r="AC517" i="17"/>
  <c r="AD517" i="17"/>
  <c r="AE517" i="17"/>
  <c r="AF517" i="17"/>
  <c r="AG517" i="17"/>
  <c r="AH517" i="17"/>
  <c r="AI517" i="17"/>
  <c r="AJ517" i="17"/>
  <c r="AK517" i="17"/>
  <c r="GM11" i="29" s="1"/>
  <c r="S518" i="17"/>
  <c r="T518" i="17"/>
  <c r="U518" i="17"/>
  <c r="V518" i="17"/>
  <c r="W518" i="17"/>
  <c r="X518" i="17"/>
  <c r="Y518" i="17"/>
  <c r="Z518" i="17"/>
  <c r="AA518" i="17"/>
  <c r="AB518" i="17"/>
  <c r="AC518" i="17"/>
  <c r="AD518" i="17"/>
  <c r="AE518" i="17"/>
  <c r="AF518" i="17"/>
  <c r="AG518" i="17"/>
  <c r="AH518" i="17"/>
  <c r="AI518" i="17"/>
  <c r="AJ518" i="17"/>
  <c r="AK518" i="17"/>
  <c r="IU11" i="29" s="1"/>
  <c r="S519" i="17"/>
  <c r="T519" i="17"/>
  <c r="U519" i="17"/>
  <c r="V519" i="17"/>
  <c r="W519" i="17"/>
  <c r="X519" i="17"/>
  <c r="Y519" i="17"/>
  <c r="Z519" i="17"/>
  <c r="AA519" i="17"/>
  <c r="AB519" i="17"/>
  <c r="AC519" i="17"/>
  <c r="AD519" i="17"/>
  <c r="AE519" i="17"/>
  <c r="AF519" i="17"/>
  <c r="AG519" i="17"/>
  <c r="AH519" i="17"/>
  <c r="AI519" i="17"/>
  <c r="AJ519" i="17"/>
  <c r="AK519" i="17"/>
  <c r="S520" i="17"/>
  <c r="T520" i="17"/>
  <c r="U520" i="17"/>
  <c r="V520" i="17"/>
  <c r="W520" i="17"/>
  <c r="X520" i="17"/>
  <c r="Y520" i="17"/>
  <c r="Z520" i="17"/>
  <c r="AA520" i="17"/>
  <c r="AB520" i="17"/>
  <c r="AC520" i="17"/>
  <c r="AD520" i="17"/>
  <c r="AE520" i="17"/>
  <c r="AF520" i="17"/>
  <c r="AG520" i="17"/>
  <c r="AH520" i="17"/>
  <c r="AI520" i="17"/>
  <c r="AJ520" i="17"/>
  <c r="AK520" i="17"/>
  <c r="GT11" i="29" s="1"/>
  <c r="S521" i="17"/>
  <c r="T521" i="17"/>
  <c r="U521" i="17"/>
  <c r="V521" i="17"/>
  <c r="W521" i="17"/>
  <c r="X521" i="17"/>
  <c r="Y521" i="17"/>
  <c r="Z521" i="17"/>
  <c r="AA521" i="17"/>
  <c r="AB521" i="17"/>
  <c r="AC521" i="17"/>
  <c r="AD521" i="17"/>
  <c r="AE521" i="17"/>
  <c r="AF521" i="17"/>
  <c r="AG521" i="17"/>
  <c r="AH521" i="17"/>
  <c r="AI521" i="17"/>
  <c r="AJ521" i="17"/>
  <c r="AK521" i="17"/>
  <c r="EQ11" i="29" s="1"/>
  <c r="S522" i="17"/>
  <c r="T522" i="17"/>
  <c r="U522" i="17"/>
  <c r="V522" i="17"/>
  <c r="W522" i="17"/>
  <c r="X522" i="17"/>
  <c r="Y522" i="17"/>
  <c r="Z522" i="17"/>
  <c r="AA522" i="17"/>
  <c r="AB522" i="17"/>
  <c r="AC522" i="17"/>
  <c r="AD522" i="17"/>
  <c r="AE522" i="17"/>
  <c r="AF522" i="17"/>
  <c r="AG522" i="17"/>
  <c r="AH522" i="17"/>
  <c r="AI522" i="17"/>
  <c r="AJ522" i="17"/>
  <c r="AK522" i="17"/>
  <c r="FZ11" i="29" s="1"/>
  <c r="S523" i="17"/>
  <c r="T523" i="17"/>
  <c r="U523" i="17"/>
  <c r="V523" i="17"/>
  <c r="W523" i="17"/>
  <c r="X523" i="17"/>
  <c r="Y523" i="17"/>
  <c r="Z523" i="17"/>
  <c r="AA523" i="17"/>
  <c r="AB523" i="17"/>
  <c r="AC523" i="17"/>
  <c r="AD523" i="17"/>
  <c r="AE523" i="17"/>
  <c r="AF523" i="17"/>
  <c r="AG523" i="17"/>
  <c r="AH523" i="17"/>
  <c r="AI523" i="17"/>
  <c r="AJ523" i="17"/>
  <c r="AK523" i="17"/>
  <c r="W11" i="29" s="1"/>
  <c r="S524" i="17"/>
  <c r="T524" i="17"/>
  <c r="U524" i="17"/>
  <c r="V524" i="17"/>
  <c r="W524" i="17"/>
  <c r="X524" i="17"/>
  <c r="Y524" i="17"/>
  <c r="Z524" i="17"/>
  <c r="AA524" i="17"/>
  <c r="AB524" i="17"/>
  <c r="AC524" i="17"/>
  <c r="AD524" i="17"/>
  <c r="AE524" i="17"/>
  <c r="AF524" i="17"/>
  <c r="AG524" i="17"/>
  <c r="AH524" i="17"/>
  <c r="AI524" i="17"/>
  <c r="AJ524" i="17"/>
  <c r="AK524" i="17"/>
  <c r="BQ11" i="29" s="1"/>
  <c r="S525" i="17"/>
  <c r="T525" i="17"/>
  <c r="U525" i="17"/>
  <c r="V525" i="17"/>
  <c r="W525" i="17"/>
  <c r="X525" i="17"/>
  <c r="Y525" i="17"/>
  <c r="Z525" i="17"/>
  <c r="AA525" i="17"/>
  <c r="AB525" i="17"/>
  <c r="AC525" i="17"/>
  <c r="AD525" i="17"/>
  <c r="AE525" i="17"/>
  <c r="AF525" i="17"/>
  <c r="AG525" i="17"/>
  <c r="AH525" i="17"/>
  <c r="AI525" i="17"/>
  <c r="AJ525" i="17"/>
  <c r="AK525" i="17"/>
  <c r="IK11" i="29" s="1"/>
  <c r="S526" i="17"/>
  <c r="T526" i="17"/>
  <c r="U526" i="17"/>
  <c r="V526" i="17"/>
  <c r="W526" i="17"/>
  <c r="X526" i="17"/>
  <c r="Y526" i="17"/>
  <c r="Z526" i="17"/>
  <c r="AA526" i="17"/>
  <c r="AB526" i="17"/>
  <c r="AC526" i="17"/>
  <c r="AD526" i="17"/>
  <c r="AE526" i="17"/>
  <c r="AF526" i="17"/>
  <c r="AG526" i="17"/>
  <c r="AH526" i="17"/>
  <c r="AI526" i="17"/>
  <c r="AJ526" i="17"/>
  <c r="AK526" i="17"/>
  <c r="HD11" i="29" s="1"/>
  <c r="S527" i="17"/>
  <c r="T527" i="17"/>
  <c r="U527" i="17"/>
  <c r="V527" i="17"/>
  <c r="W527" i="17"/>
  <c r="X527" i="17"/>
  <c r="Y527" i="17"/>
  <c r="Z527" i="17"/>
  <c r="AA527" i="17"/>
  <c r="AB527" i="17"/>
  <c r="AC527" i="17"/>
  <c r="AD527" i="17"/>
  <c r="AE527" i="17"/>
  <c r="AF527" i="17"/>
  <c r="AG527" i="17"/>
  <c r="AH527" i="17"/>
  <c r="AI527" i="17"/>
  <c r="AJ527" i="17"/>
  <c r="AK527" i="17"/>
  <c r="CX11" i="29" s="1"/>
  <c r="S528" i="17"/>
  <c r="T528" i="17"/>
  <c r="U528" i="17"/>
  <c r="V528" i="17"/>
  <c r="W528" i="17"/>
  <c r="X528" i="17"/>
  <c r="Y528" i="17"/>
  <c r="Z528" i="17"/>
  <c r="AA528" i="17"/>
  <c r="AB528" i="17"/>
  <c r="AC528" i="17"/>
  <c r="AD528" i="17"/>
  <c r="AE528" i="17"/>
  <c r="AF528" i="17"/>
  <c r="AG528" i="17"/>
  <c r="AH528" i="17"/>
  <c r="AI528" i="17"/>
  <c r="AJ528" i="17"/>
  <c r="AK528" i="17"/>
  <c r="BA11" i="29" s="1"/>
  <c r="S529" i="17"/>
  <c r="T529" i="17"/>
  <c r="U529" i="17"/>
  <c r="V529" i="17"/>
  <c r="W529" i="17"/>
  <c r="X529" i="17"/>
  <c r="Y529" i="17"/>
  <c r="Z529" i="17"/>
  <c r="AA529" i="17"/>
  <c r="AB529" i="17"/>
  <c r="AC529" i="17"/>
  <c r="AD529" i="17"/>
  <c r="AE529" i="17"/>
  <c r="AF529" i="17"/>
  <c r="AG529" i="17"/>
  <c r="AH529" i="17"/>
  <c r="AI529" i="17"/>
  <c r="AJ529" i="17"/>
  <c r="AK529" i="17"/>
  <c r="IS11" i="29" s="1"/>
  <c r="S530" i="17"/>
  <c r="T530" i="17"/>
  <c r="U530" i="17"/>
  <c r="V530" i="17"/>
  <c r="W530" i="17"/>
  <c r="X530" i="17"/>
  <c r="Y530" i="17"/>
  <c r="Z530" i="17"/>
  <c r="AA530" i="17"/>
  <c r="AB530" i="17"/>
  <c r="AC530" i="17"/>
  <c r="AD530" i="17"/>
  <c r="AE530" i="17"/>
  <c r="AF530" i="17"/>
  <c r="AG530" i="17"/>
  <c r="AH530" i="17"/>
  <c r="AI530" i="17"/>
  <c r="AJ530" i="17"/>
  <c r="AK530" i="17"/>
  <c r="AQ11" i="29" s="1"/>
  <c r="S531" i="17"/>
  <c r="T531" i="17"/>
  <c r="U531" i="17"/>
  <c r="V531" i="17"/>
  <c r="W531" i="17"/>
  <c r="X531" i="17"/>
  <c r="Y531" i="17"/>
  <c r="Z531" i="17"/>
  <c r="AA531" i="17"/>
  <c r="AB531" i="17"/>
  <c r="AC531" i="17"/>
  <c r="AD531" i="17"/>
  <c r="AE531" i="17"/>
  <c r="AF531" i="17"/>
  <c r="AG531" i="17"/>
  <c r="AH531" i="17"/>
  <c r="AI531" i="17"/>
  <c r="AJ531" i="17"/>
  <c r="AK531" i="17"/>
  <c r="AW11" i="29" s="1"/>
  <c r="S532" i="17"/>
  <c r="T532" i="17"/>
  <c r="U532" i="17"/>
  <c r="V532" i="17"/>
  <c r="W532" i="17"/>
  <c r="X532" i="17"/>
  <c r="Y532" i="17"/>
  <c r="Z532" i="17"/>
  <c r="AA532" i="17"/>
  <c r="AB532" i="17"/>
  <c r="AC532" i="17"/>
  <c r="AD532" i="17"/>
  <c r="AE532" i="17"/>
  <c r="AF532" i="17"/>
  <c r="AG532" i="17"/>
  <c r="AH532" i="17"/>
  <c r="AI532" i="17"/>
  <c r="AJ532" i="17"/>
  <c r="AK532" i="17"/>
  <c r="FW11" i="29" s="1"/>
  <c r="S533" i="17"/>
  <c r="T533" i="17"/>
  <c r="U533" i="17"/>
  <c r="V533" i="17"/>
  <c r="W533" i="17"/>
  <c r="X533" i="17"/>
  <c r="Y533" i="17"/>
  <c r="Z533" i="17"/>
  <c r="AA533" i="17"/>
  <c r="AB533" i="17"/>
  <c r="AC533" i="17"/>
  <c r="AD533" i="17"/>
  <c r="AE533" i="17"/>
  <c r="AF533" i="17"/>
  <c r="AG533" i="17"/>
  <c r="AH533" i="17"/>
  <c r="AI533" i="17"/>
  <c r="AJ533" i="17"/>
  <c r="AK533" i="17"/>
  <c r="BY11" i="29" s="1"/>
  <c r="S534" i="17"/>
  <c r="T534" i="17"/>
  <c r="U534" i="17"/>
  <c r="V534" i="17"/>
  <c r="W534" i="17"/>
  <c r="X534" i="17"/>
  <c r="Y534" i="17"/>
  <c r="Z534" i="17"/>
  <c r="AA534" i="17"/>
  <c r="AB534" i="17"/>
  <c r="AC534" i="17"/>
  <c r="AD534" i="17"/>
  <c r="AE534" i="17"/>
  <c r="AF534" i="17"/>
  <c r="AG534" i="17"/>
  <c r="AH534" i="17"/>
  <c r="AI534" i="17"/>
  <c r="AJ534" i="17"/>
  <c r="AK534" i="17"/>
  <c r="AF11" i="29" s="1"/>
  <c r="S535" i="17"/>
  <c r="T535" i="17"/>
  <c r="U535" i="17"/>
  <c r="V535" i="17"/>
  <c r="W535" i="17"/>
  <c r="X535" i="17"/>
  <c r="Y535" i="17"/>
  <c r="Z535" i="17"/>
  <c r="AA535" i="17"/>
  <c r="AB535" i="17"/>
  <c r="AC535" i="17"/>
  <c r="AD535" i="17"/>
  <c r="AE535" i="17"/>
  <c r="AF535" i="17"/>
  <c r="AG535" i="17"/>
  <c r="AH535" i="17"/>
  <c r="AI535" i="17"/>
  <c r="AJ535" i="17"/>
  <c r="AK535" i="17"/>
  <c r="DK11" i="29" s="1"/>
  <c r="S536" i="17"/>
  <c r="T536" i="17"/>
  <c r="U536" i="17"/>
  <c r="V536" i="17"/>
  <c r="W536" i="17"/>
  <c r="X536" i="17"/>
  <c r="Y536" i="17"/>
  <c r="Z536" i="17"/>
  <c r="AA536" i="17"/>
  <c r="AB536" i="17"/>
  <c r="AC536" i="17"/>
  <c r="AD536" i="17"/>
  <c r="AE536" i="17"/>
  <c r="AF536" i="17"/>
  <c r="AG536" i="17"/>
  <c r="AH536" i="17"/>
  <c r="AI536" i="17"/>
  <c r="AJ536" i="17"/>
  <c r="AK536" i="17"/>
  <c r="CJ11" i="29" s="1"/>
  <c r="S537" i="17"/>
  <c r="T537" i="17"/>
  <c r="U537" i="17"/>
  <c r="V537" i="17"/>
  <c r="W537" i="17"/>
  <c r="X537" i="17"/>
  <c r="Y537" i="17"/>
  <c r="Z537" i="17"/>
  <c r="AA537" i="17"/>
  <c r="AB537" i="17"/>
  <c r="AC537" i="17"/>
  <c r="AD537" i="17"/>
  <c r="AE537" i="17"/>
  <c r="AF537" i="17"/>
  <c r="AG537" i="17"/>
  <c r="AH537" i="17"/>
  <c r="AI537" i="17"/>
  <c r="AJ537" i="17"/>
  <c r="AK537" i="17"/>
  <c r="DU11" i="29" s="1"/>
  <c r="S538" i="17"/>
  <c r="T538" i="17"/>
  <c r="U538" i="17"/>
  <c r="V538" i="17"/>
  <c r="W538" i="17"/>
  <c r="X538" i="17"/>
  <c r="Y538" i="17"/>
  <c r="Z538" i="17"/>
  <c r="AA538" i="17"/>
  <c r="AB538" i="17"/>
  <c r="AC538" i="17"/>
  <c r="AD538" i="17"/>
  <c r="AE538" i="17"/>
  <c r="AF538" i="17"/>
  <c r="AG538" i="17"/>
  <c r="AH538" i="17"/>
  <c r="AI538" i="17"/>
  <c r="AJ538" i="17"/>
  <c r="AK538" i="17"/>
  <c r="AI11" i="29" s="1"/>
  <c r="S539" i="17"/>
  <c r="T539" i="17"/>
  <c r="U539" i="17"/>
  <c r="V539" i="17"/>
  <c r="W539" i="17"/>
  <c r="X539" i="17"/>
  <c r="Y539" i="17"/>
  <c r="Z539" i="17"/>
  <c r="AA539" i="17"/>
  <c r="AB539" i="17"/>
  <c r="AC539" i="17"/>
  <c r="AD539" i="17"/>
  <c r="AE539" i="17"/>
  <c r="AF539" i="17"/>
  <c r="AG539" i="17"/>
  <c r="AH539" i="17"/>
  <c r="AI539" i="17"/>
  <c r="AJ539" i="17"/>
  <c r="AK539" i="17"/>
  <c r="EX11" i="29" s="1"/>
  <c r="S540" i="17"/>
  <c r="T540" i="17"/>
  <c r="U540" i="17"/>
  <c r="V540" i="17"/>
  <c r="W540" i="17"/>
  <c r="X540" i="17"/>
  <c r="Y540" i="17"/>
  <c r="Z540" i="17"/>
  <c r="AA540" i="17"/>
  <c r="AB540" i="17"/>
  <c r="AC540" i="17"/>
  <c r="AD540" i="17"/>
  <c r="AE540" i="17"/>
  <c r="AF540" i="17"/>
  <c r="AG540" i="17"/>
  <c r="AH540" i="17"/>
  <c r="AI540" i="17"/>
  <c r="AJ540" i="17"/>
  <c r="AK540" i="17"/>
  <c r="S541" i="17"/>
  <c r="T541" i="17"/>
  <c r="U541" i="17"/>
  <c r="V541" i="17"/>
  <c r="W541" i="17"/>
  <c r="X541" i="17"/>
  <c r="Y541" i="17"/>
  <c r="Z541" i="17"/>
  <c r="AA541" i="17"/>
  <c r="AB541" i="17"/>
  <c r="AC541" i="17"/>
  <c r="AD541" i="17"/>
  <c r="AE541" i="17"/>
  <c r="AF541" i="17"/>
  <c r="AG541" i="17"/>
  <c r="AH541" i="17"/>
  <c r="AI541" i="17"/>
  <c r="AJ541" i="17"/>
  <c r="AK541" i="17"/>
  <c r="DT11" i="29" s="1"/>
  <c r="S542" i="17"/>
  <c r="T542" i="17"/>
  <c r="U542" i="17"/>
  <c r="V542" i="17"/>
  <c r="W542" i="17"/>
  <c r="X542" i="17"/>
  <c r="Y542" i="17"/>
  <c r="Z542" i="17"/>
  <c r="AA542" i="17"/>
  <c r="AB542" i="17"/>
  <c r="AC542" i="17"/>
  <c r="AD542" i="17"/>
  <c r="AE542" i="17"/>
  <c r="AF542" i="17"/>
  <c r="AG542" i="17"/>
  <c r="AH542" i="17"/>
  <c r="AI542" i="17"/>
  <c r="AJ542" i="17"/>
  <c r="AK542" i="17"/>
  <c r="AC11" i="29" s="1"/>
  <c r="AC11" i="31" s="1"/>
  <c r="S543" i="17"/>
  <c r="T543" i="17"/>
  <c r="U543" i="17"/>
  <c r="V543" i="17"/>
  <c r="W543" i="17"/>
  <c r="X543" i="17"/>
  <c r="Y543" i="17"/>
  <c r="Z543" i="17"/>
  <c r="AA543" i="17"/>
  <c r="AB543" i="17"/>
  <c r="AC543" i="17"/>
  <c r="AD543" i="17"/>
  <c r="AE543" i="17"/>
  <c r="AF543" i="17"/>
  <c r="AG543" i="17"/>
  <c r="AH543" i="17"/>
  <c r="AI543" i="17"/>
  <c r="AJ543" i="17"/>
  <c r="AK543" i="17"/>
  <c r="S544" i="17"/>
  <c r="T544" i="17"/>
  <c r="U544" i="17"/>
  <c r="V544" i="17"/>
  <c r="W544" i="17"/>
  <c r="X544" i="17"/>
  <c r="Y544" i="17"/>
  <c r="Z544" i="17"/>
  <c r="AA544" i="17"/>
  <c r="AB544" i="17"/>
  <c r="AC544" i="17"/>
  <c r="AD544" i="17"/>
  <c r="AE544" i="17"/>
  <c r="AF544" i="17"/>
  <c r="AG544" i="17"/>
  <c r="AH544" i="17"/>
  <c r="AI544" i="17"/>
  <c r="AJ544" i="17"/>
  <c r="AK544" i="17"/>
  <c r="AU11" i="29" s="1"/>
  <c r="S545" i="17"/>
  <c r="T545" i="17"/>
  <c r="U545" i="17"/>
  <c r="V545" i="17"/>
  <c r="W545" i="17"/>
  <c r="X545" i="17"/>
  <c r="Y545" i="17"/>
  <c r="Z545" i="17"/>
  <c r="AA545" i="17"/>
  <c r="AB545" i="17"/>
  <c r="AC545" i="17"/>
  <c r="AD545" i="17"/>
  <c r="AE545" i="17"/>
  <c r="AF545" i="17"/>
  <c r="AG545" i="17"/>
  <c r="AH545" i="17"/>
  <c r="AI545" i="17"/>
  <c r="AJ545" i="17"/>
  <c r="AK545" i="17"/>
  <c r="DF11" i="29" s="1"/>
  <c r="S546" i="17"/>
  <c r="T546" i="17"/>
  <c r="U546" i="17"/>
  <c r="V546" i="17"/>
  <c r="W546" i="17"/>
  <c r="X546" i="17"/>
  <c r="Y546" i="17"/>
  <c r="Z546" i="17"/>
  <c r="AA546" i="17"/>
  <c r="AB546" i="17"/>
  <c r="AC546" i="17"/>
  <c r="AD546" i="17"/>
  <c r="AE546" i="17"/>
  <c r="AF546" i="17"/>
  <c r="AG546" i="17"/>
  <c r="AH546" i="17"/>
  <c r="AI546" i="17"/>
  <c r="AJ546" i="17"/>
  <c r="AK546" i="17"/>
  <c r="AR11" i="29" s="1"/>
  <c r="S547" i="17"/>
  <c r="T547" i="17"/>
  <c r="U547" i="17"/>
  <c r="V547" i="17"/>
  <c r="W547" i="17"/>
  <c r="X547" i="17"/>
  <c r="Y547" i="17"/>
  <c r="Z547" i="17"/>
  <c r="AA547" i="17"/>
  <c r="AB547" i="17"/>
  <c r="AC547" i="17"/>
  <c r="AD547" i="17"/>
  <c r="AE547" i="17"/>
  <c r="AF547" i="17"/>
  <c r="AG547" i="17"/>
  <c r="AH547" i="17"/>
  <c r="AI547" i="17"/>
  <c r="AJ547" i="17"/>
  <c r="AK547" i="17"/>
  <c r="BD11" i="29" s="1"/>
  <c r="S548" i="17"/>
  <c r="T548" i="17"/>
  <c r="U548" i="17"/>
  <c r="V548" i="17"/>
  <c r="W548" i="17"/>
  <c r="X548" i="17"/>
  <c r="Y548" i="17"/>
  <c r="Z548" i="17"/>
  <c r="AA548" i="17"/>
  <c r="AB548" i="17"/>
  <c r="AC548" i="17"/>
  <c r="AD548" i="17"/>
  <c r="AE548" i="17"/>
  <c r="AF548" i="17"/>
  <c r="AG548" i="17"/>
  <c r="AH548" i="17"/>
  <c r="AI548" i="17"/>
  <c r="AJ548" i="17"/>
  <c r="AK548" i="17"/>
  <c r="JA11" i="29" s="1"/>
  <c r="S549" i="17"/>
  <c r="T549" i="17"/>
  <c r="U549" i="17"/>
  <c r="V549" i="17"/>
  <c r="W549" i="17"/>
  <c r="X549" i="17"/>
  <c r="Y549" i="17"/>
  <c r="Z549" i="17"/>
  <c r="AA549" i="17"/>
  <c r="AB549" i="17"/>
  <c r="AC549" i="17"/>
  <c r="AD549" i="17"/>
  <c r="AE549" i="17"/>
  <c r="AF549" i="17"/>
  <c r="AG549" i="17"/>
  <c r="AH549" i="17"/>
  <c r="AI549" i="17"/>
  <c r="AJ549" i="17"/>
  <c r="AK549" i="17"/>
  <c r="IH11" i="29" s="1"/>
  <c r="S550" i="17"/>
  <c r="T550" i="17"/>
  <c r="U550" i="17"/>
  <c r="V550" i="17"/>
  <c r="W550" i="17"/>
  <c r="X550" i="17"/>
  <c r="Y550" i="17"/>
  <c r="Z550" i="17"/>
  <c r="AA550" i="17"/>
  <c r="AB550" i="17"/>
  <c r="AC550" i="17"/>
  <c r="AD550" i="17"/>
  <c r="AE550" i="17"/>
  <c r="AF550" i="17"/>
  <c r="AG550" i="17"/>
  <c r="AH550" i="17"/>
  <c r="AI550" i="17"/>
  <c r="AJ550" i="17"/>
  <c r="AK550" i="17"/>
  <c r="DC11" i="29" s="1"/>
  <c r="S551" i="17"/>
  <c r="T551" i="17"/>
  <c r="U551" i="17"/>
  <c r="V551" i="17"/>
  <c r="W551" i="17"/>
  <c r="X551" i="17"/>
  <c r="Y551" i="17"/>
  <c r="Z551" i="17"/>
  <c r="AA551" i="17"/>
  <c r="AB551" i="17"/>
  <c r="AC551" i="17"/>
  <c r="AD551" i="17"/>
  <c r="AE551" i="17"/>
  <c r="AF551" i="17"/>
  <c r="AG551" i="17"/>
  <c r="AH551" i="17"/>
  <c r="AI551" i="17"/>
  <c r="AJ551" i="17"/>
  <c r="AK551" i="17"/>
  <c r="BC11" i="29" s="1"/>
  <c r="S552" i="17"/>
  <c r="T552" i="17"/>
  <c r="U552" i="17"/>
  <c r="V552" i="17"/>
  <c r="W552" i="17"/>
  <c r="X552" i="17"/>
  <c r="Y552" i="17"/>
  <c r="Z552" i="17"/>
  <c r="AA552" i="17"/>
  <c r="AB552" i="17"/>
  <c r="AC552" i="17"/>
  <c r="AD552" i="17"/>
  <c r="AE552" i="17"/>
  <c r="AF552" i="17"/>
  <c r="AG552" i="17"/>
  <c r="AH552" i="17"/>
  <c r="AI552" i="17"/>
  <c r="AJ552" i="17"/>
  <c r="AK552" i="17"/>
  <c r="AL11" i="29" s="1"/>
  <c r="S553" i="17"/>
  <c r="T553" i="17"/>
  <c r="U553" i="17"/>
  <c r="V553" i="17"/>
  <c r="W553" i="17"/>
  <c r="X553" i="17"/>
  <c r="Y553" i="17"/>
  <c r="Z553" i="17"/>
  <c r="AA553" i="17"/>
  <c r="AB553" i="17"/>
  <c r="AC553" i="17"/>
  <c r="AD553" i="17"/>
  <c r="AE553" i="17"/>
  <c r="AF553" i="17"/>
  <c r="AG553" i="17"/>
  <c r="AH553" i="17"/>
  <c r="AI553" i="17"/>
  <c r="AJ553" i="17"/>
  <c r="AK553" i="17"/>
  <c r="DP11" i="29" s="1"/>
  <c r="S554" i="17"/>
  <c r="T554" i="17"/>
  <c r="U554" i="17"/>
  <c r="V554" i="17"/>
  <c r="W554" i="17"/>
  <c r="X554" i="17"/>
  <c r="Y554" i="17"/>
  <c r="Z554" i="17"/>
  <c r="AA554" i="17"/>
  <c r="AB554" i="17"/>
  <c r="AC554" i="17"/>
  <c r="AD554" i="17"/>
  <c r="AE554" i="17"/>
  <c r="AF554" i="17"/>
  <c r="AG554" i="17"/>
  <c r="AH554" i="17"/>
  <c r="AI554" i="17"/>
  <c r="AJ554" i="17"/>
  <c r="AK554" i="17"/>
  <c r="JH11" i="29" s="1"/>
  <c r="S555" i="17"/>
  <c r="T555" i="17"/>
  <c r="U555" i="17"/>
  <c r="V555" i="17"/>
  <c r="W555" i="17"/>
  <c r="X555" i="17"/>
  <c r="Y555" i="17"/>
  <c r="Z555" i="17"/>
  <c r="AA555" i="17"/>
  <c r="AB555" i="17"/>
  <c r="AC555" i="17"/>
  <c r="AD555" i="17"/>
  <c r="AE555" i="17"/>
  <c r="AF555" i="17"/>
  <c r="AG555" i="17"/>
  <c r="AH555" i="17"/>
  <c r="AI555" i="17"/>
  <c r="AJ555" i="17"/>
  <c r="AK555" i="17"/>
  <c r="HM11" i="29" s="1"/>
  <c r="S556" i="17"/>
  <c r="T556" i="17"/>
  <c r="U556" i="17"/>
  <c r="V556" i="17"/>
  <c r="W556" i="17"/>
  <c r="X556" i="17"/>
  <c r="Y556" i="17"/>
  <c r="Z556" i="17"/>
  <c r="AA556" i="17"/>
  <c r="AB556" i="17"/>
  <c r="AC556" i="17"/>
  <c r="AD556" i="17"/>
  <c r="AE556" i="17"/>
  <c r="AF556" i="17"/>
  <c r="AG556" i="17"/>
  <c r="AH556" i="17"/>
  <c r="AI556" i="17"/>
  <c r="AJ556" i="17"/>
  <c r="AK556" i="17"/>
  <c r="IC11" i="29" s="1"/>
  <c r="S557" i="17"/>
  <c r="T557" i="17"/>
  <c r="U557" i="17"/>
  <c r="V557" i="17"/>
  <c r="W557" i="17"/>
  <c r="X557" i="17"/>
  <c r="Y557" i="17"/>
  <c r="Z557" i="17"/>
  <c r="AA557" i="17"/>
  <c r="AB557" i="17"/>
  <c r="AC557" i="17"/>
  <c r="AD557" i="17"/>
  <c r="AE557" i="17"/>
  <c r="AF557" i="17"/>
  <c r="AG557" i="17"/>
  <c r="AH557" i="17"/>
  <c r="AI557" i="17"/>
  <c r="AJ557" i="17"/>
  <c r="AK557" i="17"/>
  <c r="GS11" i="29" s="1"/>
  <c r="S558" i="17"/>
  <c r="T558" i="17"/>
  <c r="U558" i="17"/>
  <c r="V558" i="17"/>
  <c r="W558" i="17"/>
  <c r="X558" i="17"/>
  <c r="Y558" i="17"/>
  <c r="Z558" i="17"/>
  <c r="AA558" i="17"/>
  <c r="AB558" i="17"/>
  <c r="AC558" i="17"/>
  <c r="AD558" i="17"/>
  <c r="AE558" i="17"/>
  <c r="AF558" i="17"/>
  <c r="AG558" i="17"/>
  <c r="AH558" i="17"/>
  <c r="AI558" i="17"/>
  <c r="AJ558" i="17"/>
  <c r="AK558" i="17"/>
  <c r="S559" i="17"/>
  <c r="T559" i="17"/>
  <c r="U559" i="17"/>
  <c r="V559" i="17"/>
  <c r="W559" i="17"/>
  <c r="X559" i="17"/>
  <c r="Y559" i="17"/>
  <c r="Z559" i="17"/>
  <c r="AA559" i="17"/>
  <c r="AB559" i="17"/>
  <c r="AC559" i="17"/>
  <c r="AD559" i="17"/>
  <c r="AE559" i="17"/>
  <c r="AF559" i="17"/>
  <c r="AG559" i="17"/>
  <c r="AH559" i="17"/>
  <c r="AI559" i="17"/>
  <c r="AJ559" i="17"/>
  <c r="AK559" i="17"/>
  <c r="Q11" i="29" s="1"/>
  <c r="S560" i="17"/>
  <c r="T560" i="17"/>
  <c r="U560" i="17"/>
  <c r="V560" i="17"/>
  <c r="W560" i="17"/>
  <c r="X560" i="17"/>
  <c r="Y560" i="17"/>
  <c r="Z560" i="17"/>
  <c r="AA560" i="17"/>
  <c r="AB560" i="17"/>
  <c r="AC560" i="17"/>
  <c r="AD560" i="17"/>
  <c r="AE560" i="17"/>
  <c r="AF560" i="17"/>
  <c r="AG560" i="17"/>
  <c r="AH560" i="17"/>
  <c r="AI560" i="17"/>
  <c r="AJ560" i="17"/>
  <c r="AK560" i="17"/>
  <c r="FI11" i="29" s="1"/>
  <c r="S561" i="17"/>
  <c r="T561" i="17"/>
  <c r="U561" i="17"/>
  <c r="V561" i="17"/>
  <c r="W561" i="17"/>
  <c r="X561" i="17"/>
  <c r="Y561" i="17"/>
  <c r="Z561" i="17"/>
  <c r="AA561" i="17"/>
  <c r="AB561" i="17"/>
  <c r="AC561" i="17"/>
  <c r="AD561" i="17"/>
  <c r="AE561" i="17"/>
  <c r="AF561" i="17"/>
  <c r="AG561" i="17"/>
  <c r="AH561" i="17"/>
  <c r="AI561" i="17"/>
  <c r="AJ561" i="17"/>
  <c r="AK561" i="17"/>
  <c r="BS11" i="29" s="1"/>
  <c r="S562" i="17"/>
  <c r="T562" i="17"/>
  <c r="U562" i="17"/>
  <c r="V562" i="17"/>
  <c r="W562" i="17"/>
  <c r="X562" i="17"/>
  <c r="Y562" i="17"/>
  <c r="Z562" i="17"/>
  <c r="AA562" i="17"/>
  <c r="AB562" i="17"/>
  <c r="AC562" i="17"/>
  <c r="AD562" i="17"/>
  <c r="AE562" i="17"/>
  <c r="AF562" i="17"/>
  <c r="AG562" i="17"/>
  <c r="AH562" i="17"/>
  <c r="AI562" i="17"/>
  <c r="AJ562" i="17"/>
  <c r="AK562" i="17"/>
  <c r="HE11" i="29" s="1"/>
  <c r="S563" i="17"/>
  <c r="T563" i="17"/>
  <c r="U563" i="17"/>
  <c r="V563" i="17"/>
  <c r="W563" i="17"/>
  <c r="X563" i="17"/>
  <c r="Y563" i="17"/>
  <c r="Z563" i="17"/>
  <c r="AA563" i="17"/>
  <c r="AB563" i="17"/>
  <c r="AC563" i="17"/>
  <c r="AD563" i="17"/>
  <c r="AE563" i="17"/>
  <c r="AF563" i="17"/>
  <c r="AG563" i="17"/>
  <c r="AH563" i="17"/>
  <c r="AI563" i="17"/>
  <c r="AJ563" i="17"/>
  <c r="AK563" i="17"/>
  <c r="AP11" i="29" s="1"/>
  <c r="S564" i="17"/>
  <c r="T564" i="17"/>
  <c r="U564" i="17"/>
  <c r="V564" i="17"/>
  <c r="W564" i="17"/>
  <c r="X564" i="17"/>
  <c r="Y564" i="17"/>
  <c r="Z564" i="17"/>
  <c r="AA564" i="17"/>
  <c r="AB564" i="17"/>
  <c r="AC564" i="17"/>
  <c r="AD564" i="17"/>
  <c r="AE564" i="17"/>
  <c r="AF564" i="17"/>
  <c r="AG564" i="17"/>
  <c r="AH564" i="17"/>
  <c r="AI564" i="17"/>
  <c r="AJ564" i="17"/>
  <c r="AK564" i="17"/>
  <c r="AJ11" i="29" s="1"/>
  <c r="S565" i="17"/>
  <c r="T565" i="17"/>
  <c r="U565" i="17"/>
  <c r="V565" i="17"/>
  <c r="W565" i="17"/>
  <c r="X565" i="17"/>
  <c r="Y565" i="17"/>
  <c r="Z565" i="17"/>
  <c r="AA565" i="17"/>
  <c r="AB565" i="17"/>
  <c r="AC565" i="17"/>
  <c r="AD565" i="17"/>
  <c r="AE565" i="17"/>
  <c r="AF565" i="17"/>
  <c r="AG565" i="17"/>
  <c r="AH565" i="17"/>
  <c r="AI565" i="17"/>
  <c r="AJ565" i="17"/>
  <c r="AK565" i="17"/>
  <c r="AA11" i="29" s="1"/>
  <c r="S566" i="17"/>
  <c r="T566" i="17"/>
  <c r="U566" i="17"/>
  <c r="V566" i="17"/>
  <c r="W566" i="17"/>
  <c r="X566" i="17"/>
  <c r="Y566" i="17"/>
  <c r="Z566" i="17"/>
  <c r="AA566" i="17"/>
  <c r="AB566" i="17"/>
  <c r="AC566" i="17"/>
  <c r="AD566" i="17"/>
  <c r="AE566" i="17"/>
  <c r="AF566" i="17"/>
  <c r="AG566" i="17"/>
  <c r="AH566" i="17"/>
  <c r="AI566" i="17"/>
  <c r="AJ566" i="17"/>
  <c r="AK566" i="17"/>
  <c r="ED11" i="29" s="1"/>
  <c r="S567" i="17"/>
  <c r="T567" i="17"/>
  <c r="U567" i="17"/>
  <c r="V567" i="17"/>
  <c r="W567" i="17"/>
  <c r="X567" i="17"/>
  <c r="Y567" i="17"/>
  <c r="Z567" i="17"/>
  <c r="AA567" i="17"/>
  <c r="AB567" i="17"/>
  <c r="AC567" i="17"/>
  <c r="AD567" i="17"/>
  <c r="AE567" i="17"/>
  <c r="AF567" i="17"/>
  <c r="AG567" i="17"/>
  <c r="AH567" i="17"/>
  <c r="AI567" i="17"/>
  <c r="AJ567" i="17"/>
  <c r="AK567" i="17"/>
  <c r="D11" i="29" s="1"/>
  <c r="D11" i="31" s="1"/>
  <c r="S568" i="17"/>
  <c r="T568" i="17"/>
  <c r="U568" i="17"/>
  <c r="V568" i="17"/>
  <c r="W568" i="17"/>
  <c r="X568" i="17"/>
  <c r="Y568" i="17"/>
  <c r="Z568" i="17"/>
  <c r="AA568" i="17"/>
  <c r="AB568" i="17"/>
  <c r="AC568" i="17"/>
  <c r="AD568" i="17"/>
  <c r="AE568" i="17"/>
  <c r="AF568" i="17"/>
  <c r="AG568" i="17"/>
  <c r="AH568" i="17"/>
  <c r="AI568" i="17"/>
  <c r="AJ568" i="17"/>
  <c r="AK568" i="17"/>
  <c r="BT11" i="29" s="1"/>
  <c r="S569" i="17"/>
  <c r="T569" i="17"/>
  <c r="U569" i="17"/>
  <c r="V569" i="17"/>
  <c r="W569" i="17"/>
  <c r="X569" i="17"/>
  <c r="Y569" i="17"/>
  <c r="Z569" i="17"/>
  <c r="AA569" i="17"/>
  <c r="AB569" i="17"/>
  <c r="AC569" i="17"/>
  <c r="AD569" i="17"/>
  <c r="AE569" i="17"/>
  <c r="AF569" i="17"/>
  <c r="AG569" i="17"/>
  <c r="AH569" i="17"/>
  <c r="AI569" i="17"/>
  <c r="AJ569" i="17"/>
  <c r="AK569" i="17"/>
  <c r="CT11" i="29" s="1"/>
  <c r="S570" i="17"/>
  <c r="T570" i="17"/>
  <c r="U570" i="17"/>
  <c r="V570" i="17"/>
  <c r="W570" i="17"/>
  <c r="X570" i="17"/>
  <c r="Y570" i="17"/>
  <c r="Z570" i="17"/>
  <c r="AA570" i="17"/>
  <c r="AB570" i="17"/>
  <c r="AC570" i="17"/>
  <c r="AD570" i="17"/>
  <c r="AE570" i="17"/>
  <c r="AF570" i="17"/>
  <c r="AG570" i="17"/>
  <c r="AH570" i="17"/>
  <c r="AI570" i="17"/>
  <c r="AJ570" i="17"/>
  <c r="AK570" i="17"/>
  <c r="BU11" i="29" s="1"/>
  <c r="S571" i="17"/>
  <c r="T571" i="17"/>
  <c r="U571" i="17"/>
  <c r="V571" i="17"/>
  <c r="W571" i="17"/>
  <c r="X571" i="17"/>
  <c r="Y571" i="17"/>
  <c r="Z571" i="17"/>
  <c r="AA571" i="17"/>
  <c r="AB571" i="17"/>
  <c r="AC571" i="17"/>
  <c r="AD571" i="17"/>
  <c r="AE571" i="17"/>
  <c r="AF571" i="17"/>
  <c r="AG571" i="17"/>
  <c r="AH571" i="17"/>
  <c r="AI571" i="17"/>
  <c r="AJ571" i="17"/>
  <c r="AK571" i="17"/>
  <c r="DA11" i="29" s="1"/>
  <c r="S572" i="17"/>
  <c r="T572" i="17"/>
  <c r="U572" i="17"/>
  <c r="V572" i="17"/>
  <c r="W572" i="17"/>
  <c r="X572" i="17"/>
  <c r="Y572" i="17"/>
  <c r="Z572" i="17"/>
  <c r="AA572" i="17"/>
  <c r="AB572" i="17"/>
  <c r="AC572" i="17"/>
  <c r="AD572" i="17"/>
  <c r="AE572" i="17"/>
  <c r="AF572" i="17"/>
  <c r="AG572" i="17"/>
  <c r="AH572" i="17"/>
  <c r="AI572" i="17"/>
  <c r="AJ572" i="17"/>
  <c r="AK572" i="17"/>
  <c r="FV11" i="29" s="1"/>
  <c r="S573" i="17"/>
  <c r="T573" i="17"/>
  <c r="U573" i="17"/>
  <c r="V573" i="17"/>
  <c r="W573" i="17"/>
  <c r="X573" i="17"/>
  <c r="Y573" i="17"/>
  <c r="Z573" i="17"/>
  <c r="AA573" i="17"/>
  <c r="AB573" i="17"/>
  <c r="AC573" i="17"/>
  <c r="AD573" i="17"/>
  <c r="AE573" i="17"/>
  <c r="AF573" i="17"/>
  <c r="AG573" i="17"/>
  <c r="AH573" i="17"/>
  <c r="AI573" i="17"/>
  <c r="AJ573" i="17"/>
  <c r="AK573" i="17"/>
  <c r="GJ11" i="29" s="1"/>
  <c r="S574" i="17"/>
  <c r="T574" i="17"/>
  <c r="U574" i="17"/>
  <c r="V574" i="17"/>
  <c r="W574" i="17"/>
  <c r="X574" i="17"/>
  <c r="Y574" i="17"/>
  <c r="Z574" i="17"/>
  <c r="AA574" i="17"/>
  <c r="AB574" i="17"/>
  <c r="AC574" i="17"/>
  <c r="AD574" i="17"/>
  <c r="AE574" i="17"/>
  <c r="AF574" i="17"/>
  <c r="AG574" i="17"/>
  <c r="AH574" i="17"/>
  <c r="AI574" i="17"/>
  <c r="AJ574" i="17"/>
  <c r="AK574" i="17"/>
  <c r="EO11" i="29" s="1"/>
  <c r="S575" i="17"/>
  <c r="T575" i="17"/>
  <c r="U575" i="17"/>
  <c r="V575" i="17"/>
  <c r="W575" i="17"/>
  <c r="X575" i="17"/>
  <c r="Y575" i="17"/>
  <c r="Z575" i="17"/>
  <c r="AA575" i="17"/>
  <c r="AB575" i="17"/>
  <c r="AC575" i="17"/>
  <c r="AD575" i="17"/>
  <c r="AE575" i="17"/>
  <c r="AF575" i="17"/>
  <c r="AG575" i="17"/>
  <c r="AH575" i="17"/>
  <c r="AI575" i="17"/>
  <c r="AJ575" i="17"/>
  <c r="AK575" i="17"/>
  <c r="Y11" i="29" s="1"/>
  <c r="S576" i="17"/>
  <c r="T576" i="17"/>
  <c r="U576" i="17"/>
  <c r="V576" i="17"/>
  <c r="W576" i="17"/>
  <c r="X576" i="17"/>
  <c r="Y576" i="17"/>
  <c r="Z576" i="17"/>
  <c r="AA576" i="17"/>
  <c r="AB576" i="17"/>
  <c r="AC576" i="17"/>
  <c r="AD576" i="17"/>
  <c r="AE576" i="17"/>
  <c r="AF576" i="17"/>
  <c r="AG576" i="17"/>
  <c r="AH576" i="17"/>
  <c r="AI576" i="17"/>
  <c r="AJ576" i="17"/>
  <c r="AK576" i="17"/>
  <c r="Z11" i="29" s="1"/>
  <c r="S577" i="17"/>
  <c r="T577" i="17"/>
  <c r="U577" i="17"/>
  <c r="V577" i="17"/>
  <c r="W577" i="17"/>
  <c r="X577" i="17"/>
  <c r="Y577" i="17"/>
  <c r="Z577" i="17"/>
  <c r="AA577" i="17"/>
  <c r="AB577" i="17"/>
  <c r="AC577" i="17"/>
  <c r="AD577" i="17"/>
  <c r="AE577" i="17"/>
  <c r="AF577" i="17"/>
  <c r="AG577" i="17"/>
  <c r="AH577" i="17"/>
  <c r="AI577" i="17"/>
  <c r="AJ577" i="17"/>
  <c r="AK577" i="17"/>
  <c r="EL11" i="29" s="1"/>
  <c r="S578" i="17"/>
  <c r="T578" i="17"/>
  <c r="U578" i="17"/>
  <c r="V578" i="17"/>
  <c r="W578" i="17"/>
  <c r="X578" i="17"/>
  <c r="Y578" i="17"/>
  <c r="Z578" i="17"/>
  <c r="AA578" i="17"/>
  <c r="AB578" i="17"/>
  <c r="AC578" i="17"/>
  <c r="AD578" i="17"/>
  <c r="AE578" i="17"/>
  <c r="AF578" i="17"/>
  <c r="AG578" i="17"/>
  <c r="AH578" i="17"/>
  <c r="AI578" i="17"/>
  <c r="AJ578" i="17"/>
  <c r="AK578" i="17"/>
  <c r="BI11" i="29" s="1"/>
  <c r="S579" i="17"/>
  <c r="T579" i="17"/>
  <c r="U579" i="17"/>
  <c r="V579" i="17"/>
  <c r="W579" i="17"/>
  <c r="X579" i="17"/>
  <c r="Y579" i="17"/>
  <c r="Z579" i="17"/>
  <c r="AA579" i="17"/>
  <c r="AB579" i="17"/>
  <c r="AC579" i="17"/>
  <c r="AD579" i="17"/>
  <c r="AE579" i="17"/>
  <c r="AF579" i="17"/>
  <c r="AG579" i="17"/>
  <c r="AH579" i="17"/>
  <c r="AI579" i="17"/>
  <c r="AJ579" i="17"/>
  <c r="AK579" i="17"/>
  <c r="JD11" i="29" s="1"/>
  <c r="S580" i="17"/>
  <c r="T580" i="17"/>
  <c r="U580" i="17"/>
  <c r="V580" i="17"/>
  <c r="W580" i="17"/>
  <c r="X580" i="17"/>
  <c r="Y580" i="17"/>
  <c r="Z580" i="17"/>
  <c r="AA580" i="17"/>
  <c r="AB580" i="17"/>
  <c r="AC580" i="17"/>
  <c r="AD580" i="17"/>
  <c r="AE580" i="17"/>
  <c r="AF580" i="17"/>
  <c r="AG580" i="17"/>
  <c r="AH580" i="17"/>
  <c r="AI580" i="17"/>
  <c r="AJ580" i="17"/>
  <c r="AK580" i="17"/>
  <c r="IP11" i="29" s="1"/>
  <c r="S581" i="17"/>
  <c r="T581" i="17"/>
  <c r="U581" i="17"/>
  <c r="V581" i="17"/>
  <c r="W581" i="17"/>
  <c r="X581" i="17"/>
  <c r="Y581" i="17"/>
  <c r="Z581" i="17"/>
  <c r="AA581" i="17"/>
  <c r="AB581" i="17"/>
  <c r="AC581" i="17"/>
  <c r="AD581" i="17"/>
  <c r="AE581" i="17"/>
  <c r="AF581" i="17"/>
  <c r="AG581" i="17"/>
  <c r="AH581" i="17"/>
  <c r="AI581" i="17"/>
  <c r="AJ581" i="17"/>
  <c r="AK581" i="17"/>
  <c r="FO11" i="29" s="1"/>
  <c r="S582" i="17"/>
  <c r="T582" i="17"/>
  <c r="U582" i="17"/>
  <c r="V582" i="17"/>
  <c r="W582" i="17"/>
  <c r="X582" i="17"/>
  <c r="Y582" i="17"/>
  <c r="Z582" i="17"/>
  <c r="AA582" i="17"/>
  <c r="AB582" i="17"/>
  <c r="AC582" i="17"/>
  <c r="AD582" i="17"/>
  <c r="AE582" i="17"/>
  <c r="AF582" i="17"/>
  <c r="AG582" i="17"/>
  <c r="AH582" i="17"/>
  <c r="AI582" i="17"/>
  <c r="AJ582" i="17"/>
  <c r="AK582" i="17"/>
  <c r="FB11" i="29" s="1"/>
  <c r="S583" i="17"/>
  <c r="T583" i="17"/>
  <c r="U583" i="17"/>
  <c r="V583" i="17"/>
  <c r="W583" i="17"/>
  <c r="X583" i="17"/>
  <c r="Y583" i="17"/>
  <c r="Z583" i="17"/>
  <c r="AA583" i="17"/>
  <c r="AB583" i="17"/>
  <c r="AC583" i="17"/>
  <c r="AD583" i="17"/>
  <c r="AE583" i="17"/>
  <c r="AF583" i="17"/>
  <c r="AG583" i="17"/>
  <c r="AH583" i="17"/>
  <c r="AI583" i="17"/>
  <c r="AJ583" i="17"/>
  <c r="AK583" i="17"/>
  <c r="AS11" i="29" s="1"/>
  <c r="S584" i="17"/>
  <c r="T584" i="17"/>
  <c r="U584" i="17"/>
  <c r="V584" i="17"/>
  <c r="W584" i="17"/>
  <c r="X584" i="17"/>
  <c r="Y584" i="17"/>
  <c r="Z584" i="17"/>
  <c r="AA584" i="17"/>
  <c r="AB584" i="17"/>
  <c r="AC584" i="17"/>
  <c r="AD584" i="17"/>
  <c r="AE584" i="17"/>
  <c r="AF584" i="17"/>
  <c r="AG584" i="17"/>
  <c r="AH584" i="17"/>
  <c r="AI584" i="17"/>
  <c r="AJ584" i="17"/>
  <c r="AK584" i="17"/>
  <c r="CM11" i="29" s="1"/>
  <c r="S585" i="17"/>
  <c r="T585" i="17"/>
  <c r="U585" i="17"/>
  <c r="V585" i="17"/>
  <c r="W585" i="17"/>
  <c r="X585" i="17"/>
  <c r="Y585" i="17"/>
  <c r="Z585" i="17"/>
  <c r="AA585" i="17"/>
  <c r="AB585" i="17"/>
  <c r="AC585" i="17"/>
  <c r="AD585" i="17"/>
  <c r="AE585" i="17"/>
  <c r="AF585" i="17"/>
  <c r="AG585" i="17"/>
  <c r="AH585" i="17"/>
  <c r="AI585" i="17"/>
  <c r="AJ585" i="17"/>
  <c r="AK585" i="17"/>
  <c r="ES11" i="29" s="1"/>
  <c r="S586" i="17"/>
  <c r="T586" i="17"/>
  <c r="U586" i="17"/>
  <c r="V586" i="17"/>
  <c r="W586" i="17"/>
  <c r="X586" i="17"/>
  <c r="Y586" i="17"/>
  <c r="Z586" i="17"/>
  <c r="AA586" i="17"/>
  <c r="AB586" i="17"/>
  <c r="AC586" i="17"/>
  <c r="AD586" i="17"/>
  <c r="AE586" i="17"/>
  <c r="AF586" i="17"/>
  <c r="AG586" i="17"/>
  <c r="AH586" i="17"/>
  <c r="AI586" i="17"/>
  <c r="AJ586" i="17"/>
  <c r="AK586" i="17"/>
  <c r="HK11" i="29" s="1"/>
  <c r="S587" i="17"/>
  <c r="T587" i="17"/>
  <c r="U587" i="17"/>
  <c r="V587" i="17"/>
  <c r="W587" i="17"/>
  <c r="X587" i="17"/>
  <c r="Y587" i="17"/>
  <c r="Z587" i="17"/>
  <c r="AA587" i="17"/>
  <c r="AB587" i="17"/>
  <c r="AC587" i="17"/>
  <c r="AD587" i="17"/>
  <c r="AE587" i="17"/>
  <c r="AF587" i="17"/>
  <c r="AG587" i="17"/>
  <c r="AH587" i="17"/>
  <c r="AI587" i="17"/>
  <c r="AJ587" i="17"/>
  <c r="AK587" i="17"/>
  <c r="IF11" i="29" s="1"/>
  <c r="S588" i="17"/>
  <c r="T588" i="17"/>
  <c r="U588" i="17"/>
  <c r="V588" i="17"/>
  <c r="W588" i="17"/>
  <c r="X588" i="17"/>
  <c r="Y588" i="17"/>
  <c r="Z588" i="17"/>
  <c r="AA588" i="17"/>
  <c r="AB588" i="17"/>
  <c r="AC588" i="17"/>
  <c r="AD588" i="17"/>
  <c r="AE588" i="17"/>
  <c r="AF588" i="17"/>
  <c r="AG588" i="17"/>
  <c r="AH588" i="17"/>
  <c r="AI588" i="17"/>
  <c r="AJ588" i="17"/>
  <c r="AK588" i="17"/>
  <c r="BB11" i="29" s="1"/>
  <c r="S589" i="17"/>
  <c r="T589" i="17"/>
  <c r="U589" i="17"/>
  <c r="V589" i="17"/>
  <c r="W589" i="17"/>
  <c r="X589" i="17"/>
  <c r="Y589" i="17"/>
  <c r="Z589" i="17"/>
  <c r="AA589" i="17"/>
  <c r="AB589" i="17"/>
  <c r="AC589" i="17"/>
  <c r="AD589" i="17"/>
  <c r="AE589" i="17"/>
  <c r="AF589" i="17"/>
  <c r="AG589" i="17"/>
  <c r="AH589" i="17"/>
  <c r="AI589" i="17"/>
  <c r="AJ589" i="17"/>
  <c r="AK589" i="17"/>
  <c r="DR11" i="29" s="1"/>
  <c r="S590" i="17"/>
  <c r="T590" i="17"/>
  <c r="U590" i="17"/>
  <c r="V590" i="17"/>
  <c r="W590" i="17"/>
  <c r="X590" i="17"/>
  <c r="Y590" i="17"/>
  <c r="Z590" i="17"/>
  <c r="AA590" i="17"/>
  <c r="AB590" i="17"/>
  <c r="AC590" i="17"/>
  <c r="AD590" i="17"/>
  <c r="AE590" i="17"/>
  <c r="AF590" i="17"/>
  <c r="AG590" i="17"/>
  <c r="AH590" i="17"/>
  <c r="AI590" i="17"/>
  <c r="AJ590" i="17"/>
  <c r="AK590" i="17"/>
  <c r="HH11" i="29" s="1"/>
  <c r="S591" i="17"/>
  <c r="T591" i="17"/>
  <c r="U591" i="17"/>
  <c r="V591" i="17"/>
  <c r="W591" i="17"/>
  <c r="X591" i="17"/>
  <c r="Y591" i="17"/>
  <c r="Z591" i="17"/>
  <c r="AA591" i="17"/>
  <c r="AB591" i="17"/>
  <c r="AC591" i="17"/>
  <c r="AD591" i="17"/>
  <c r="AE591" i="17"/>
  <c r="AF591" i="17"/>
  <c r="AG591" i="17"/>
  <c r="AH591" i="17"/>
  <c r="AI591" i="17"/>
  <c r="AJ591" i="17"/>
  <c r="AK591" i="17"/>
  <c r="U11" i="29" s="1"/>
  <c r="S592" i="17"/>
  <c r="T592" i="17"/>
  <c r="U592" i="17"/>
  <c r="V592" i="17"/>
  <c r="W592" i="17"/>
  <c r="X592" i="17"/>
  <c r="Y592" i="17"/>
  <c r="Z592" i="17"/>
  <c r="AA592" i="17"/>
  <c r="AB592" i="17"/>
  <c r="AC592" i="17"/>
  <c r="AD592" i="17"/>
  <c r="AE592" i="17"/>
  <c r="AF592" i="17"/>
  <c r="AG592" i="17"/>
  <c r="AH592" i="17"/>
  <c r="AI592" i="17"/>
  <c r="AJ592" i="17"/>
  <c r="AK592" i="17"/>
  <c r="GY11" i="29" s="1"/>
  <c r="S593" i="17"/>
  <c r="T593" i="17"/>
  <c r="U593" i="17"/>
  <c r="V593" i="17"/>
  <c r="W593" i="17"/>
  <c r="X593" i="17"/>
  <c r="Y593" i="17"/>
  <c r="Z593" i="17"/>
  <c r="AA593" i="17"/>
  <c r="AB593" i="17"/>
  <c r="AC593" i="17"/>
  <c r="AD593" i="17"/>
  <c r="AE593" i="17"/>
  <c r="AF593" i="17"/>
  <c r="AG593" i="17"/>
  <c r="AH593" i="17"/>
  <c r="AI593" i="17"/>
  <c r="AJ593" i="17"/>
  <c r="AK593" i="17"/>
  <c r="V11" i="29" s="1"/>
  <c r="S594" i="17"/>
  <c r="T594" i="17"/>
  <c r="U594" i="17"/>
  <c r="V594" i="17"/>
  <c r="W594" i="17"/>
  <c r="X594" i="17"/>
  <c r="Y594" i="17"/>
  <c r="Z594" i="17"/>
  <c r="AA594" i="17"/>
  <c r="AB594" i="17"/>
  <c r="AC594" i="17"/>
  <c r="AD594" i="17"/>
  <c r="AE594" i="17"/>
  <c r="AF594" i="17"/>
  <c r="AG594" i="17"/>
  <c r="AH594" i="17"/>
  <c r="AI594" i="17"/>
  <c r="AJ594" i="17"/>
  <c r="AK594" i="17"/>
  <c r="I11" i="29" s="1"/>
  <c r="S595" i="17"/>
  <c r="T595" i="17"/>
  <c r="U595" i="17"/>
  <c r="V595" i="17"/>
  <c r="W595" i="17"/>
  <c r="X595" i="17"/>
  <c r="Y595" i="17"/>
  <c r="Z595" i="17"/>
  <c r="AA595" i="17"/>
  <c r="AB595" i="17"/>
  <c r="AC595" i="17"/>
  <c r="AD595" i="17"/>
  <c r="AE595" i="17"/>
  <c r="AF595" i="17"/>
  <c r="AG595" i="17"/>
  <c r="AH595" i="17"/>
  <c r="AI595" i="17"/>
  <c r="AJ595" i="17"/>
  <c r="AK595" i="17"/>
  <c r="S596" i="17"/>
  <c r="T596" i="17"/>
  <c r="U596" i="17"/>
  <c r="V596" i="17"/>
  <c r="W596" i="17"/>
  <c r="X596" i="17"/>
  <c r="Y596" i="17"/>
  <c r="Z596" i="17"/>
  <c r="AA596" i="17"/>
  <c r="AB596" i="17"/>
  <c r="AC596" i="17"/>
  <c r="AD596" i="17"/>
  <c r="AE596" i="17"/>
  <c r="AF596" i="17"/>
  <c r="AG596" i="17"/>
  <c r="AH596" i="17"/>
  <c r="AI596" i="17"/>
  <c r="AJ596" i="17"/>
  <c r="AK596" i="17"/>
  <c r="JB11" i="29" s="1"/>
  <c r="S597" i="17"/>
  <c r="T597" i="17"/>
  <c r="U597" i="17"/>
  <c r="V597" i="17"/>
  <c r="W597" i="17"/>
  <c r="X597" i="17"/>
  <c r="Y597" i="17"/>
  <c r="Z597" i="17"/>
  <c r="AA597" i="17"/>
  <c r="AB597" i="17"/>
  <c r="AC597" i="17"/>
  <c r="AD597" i="17"/>
  <c r="AE597" i="17"/>
  <c r="AF597" i="17"/>
  <c r="AG597" i="17"/>
  <c r="AH597" i="17"/>
  <c r="AI597" i="17"/>
  <c r="AJ597" i="17"/>
  <c r="AK597" i="17"/>
  <c r="IO11" i="29" s="1"/>
  <c r="S598" i="17"/>
  <c r="T598" i="17"/>
  <c r="U598" i="17"/>
  <c r="V598" i="17"/>
  <c r="W598" i="17"/>
  <c r="X598" i="17"/>
  <c r="Y598" i="17"/>
  <c r="Z598" i="17"/>
  <c r="AA598" i="17"/>
  <c r="AB598" i="17"/>
  <c r="AC598" i="17"/>
  <c r="AD598" i="17"/>
  <c r="AE598" i="17"/>
  <c r="AF598" i="17"/>
  <c r="AG598" i="17"/>
  <c r="AH598" i="17"/>
  <c r="AI598" i="17"/>
  <c r="AJ598" i="17"/>
  <c r="AK598" i="17"/>
  <c r="FC11" i="29" s="1"/>
  <c r="S599" i="17"/>
  <c r="T599" i="17"/>
  <c r="U599" i="17"/>
  <c r="V599" i="17"/>
  <c r="W599" i="17"/>
  <c r="X599" i="17"/>
  <c r="Y599" i="17"/>
  <c r="Z599" i="17"/>
  <c r="AA599" i="17"/>
  <c r="AB599" i="17"/>
  <c r="AC599" i="17"/>
  <c r="AD599" i="17"/>
  <c r="AE599" i="17"/>
  <c r="AF599" i="17"/>
  <c r="AG599" i="17"/>
  <c r="AH599" i="17"/>
  <c r="AI599" i="17"/>
  <c r="AJ599" i="17"/>
  <c r="AK599" i="17"/>
  <c r="GF11" i="29" s="1"/>
  <c r="S600" i="17"/>
  <c r="T600" i="17"/>
  <c r="U600" i="17"/>
  <c r="V600" i="17"/>
  <c r="W600" i="17"/>
  <c r="X600" i="17"/>
  <c r="Y600" i="17"/>
  <c r="Z600" i="17"/>
  <c r="AA600" i="17"/>
  <c r="AB600" i="17"/>
  <c r="AC600" i="17"/>
  <c r="AD600" i="17"/>
  <c r="AE600" i="17"/>
  <c r="AF600" i="17"/>
  <c r="AG600" i="17"/>
  <c r="AH600" i="17"/>
  <c r="AI600" i="17"/>
  <c r="AJ600" i="17"/>
  <c r="AK600" i="17"/>
  <c r="GP11" i="29" s="1"/>
  <c r="R331" i="17"/>
  <c r="GD28" i="29" s="1"/>
  <c r="R332" i="17"/>
  <c r="FT28" i="29" s="1"/>
  <c r="R333" i="17"/>
  <c r="BF28" i="29" s="1"/>
  <c r="R334" i="17"/>
  <c r="FN28" i="29" s="1"/>
  <c r="R335" i="17"/>
  <c r="CG28" i="29" s="1"/>
  <c r="R336" i="17"/>
  <c r="GN28" i="29" s="1"/>
  <c r="R337" i="17"/>
  <c r="CU28" i="29" s="1"/>
  <c r="R338" i="17"/>
  <c r="DH28" i="29" s="1"/>
  <c r="R339" i="17"/>
  <c r="AX28" i="29" s="1"/>
  <c r="R340" i="17"/>
  <c r="HU28" i="29" s="1"/>
  <c r="R341" i="17"/>
  <c r="AN28" i="29" s="1"/>
  <c r="R342" i="17"/>
  <c r="GQ28" i="29" s="1"/>
  <c r="R343" i="17"/>
  <c r="BH28" i="29" s="1"/>
  <c r="R344" i="17"/>
  <c r="JF28" i="29" s="1"/>
  <c r="R345" i="17"/>
  <c r="DI28" i="29" s="1"/>
  <c r="R346" i="17"/>
  <c r="AH28" i="29" s="1"/>
  <c r="R347" i="17"/>
  <c r="IX28" i="29" s="1"/>
  <c r="R348" i="17"/>
  <c r="EC28" i="29" s="1"/>
  <c r="R349" i="17"/>
  <c r="FH28" i="29" s="1"/>
  <c r="R350" i="17"/>
  <c r="FA28" i="29" s="1"/>
  <c r="R351" i="17"/>
  <c r="C28" i="29" s="1"/>
  <c r="R352" i="17"/>
  <c r="FX28" i="29" s="1"/>
  <c r="R353" i="17"/>
  <c r="ER28" i="29" s="1"/>
  <c r="R354" i="17"/>
  <c r="FE28" i="29" s="1"/>
  <c r="R355" i="17"/>
  <c r="DY28" i="29" s="1"/>
  <c r="R356" i="17"/>
  <c r="CN28" i="29" s="1"/>
  <c r="R357" i="17"/>
  <c r="K28" i="29" s="1"/>
  <c r="R358" i="17"/>
  <c r="EI28" i="29" s="1"/>
  <c r="R359" i="17"/>
  <c r="AB28" i="29" s="1"/>
  <c r="R360" i="17"/>
  <c r="GB28" i="29" s="1"/>
  <c r="R361" i="17"/>
  <c r="DL28" i="29" s="1"/>
  <c r="R362" i="17"/>
  <c r="CF28" i="29" s="1"/>
  <c r="R363" i="17"/>
  <c r="IL28" i="29" s="1"/>
  <c r="R364" i="17"/>
  <c r="IM28" i="29" s="1"/>
  <c r="R365" i="17"/>
  <c r="AO28" i="29" s="1"/>
  <c r="R366" i="17"/>
  <c r="CQ28" i="29" s="1"/>
  <c r="R367" i="17"/>
  <c r="AY28" i="29" s="1"/>
  <c r="R368" i="17"/>
  <c r="CK28" i="29" s="1"/>
  <c r="R369" i="17"/>
  <c r="ID28" i="29" s="1"/>
  <c r="R370" i="17"/>
  <c r="FL28" i="29" s="1"/>
  <c r="R371" i="17"/>
  <c r="BX28" i="29" s="1"/>
  <c r="R372" i="17"/>
  <c r="M28" i="29" s="1"/>
  <c r="R373" i="17"/>
  <c r="JG28" i="29" s="1"/>
  <c r="R374" i="17"/>
  <c r="EE28" i="29" s="1"/>
  <c r="R375" i="17"/>
  <c r="HC28" i="29" s="1"/>
  <c r="R376" i="17"/>
  <c r="DN28" i="29" s="1"/>
  <c r="R377" i="17"/>
  <c r="BV28" i="29" s="1"/>
  <c r="R378" i="17"/>
  <c r="CO28" i="29" s="1"/>
  <c r="R379" i="17"/>
  <c r="X28" i="29" s="1"/>
  <c r="R380" i="17"/>
  <c r="BK28" i="29" s="1"/>
  <c r="R381" i="17"/>
  <c r="AT28" i="29" s="1"/>
  <c r="R382" i="17"/>
  <c r="R383" i="17"/>
  <c r="EK28" i="29" s="1"/>
  <c r="R384" i="17"/>
  <c r="AZ28" i="29" s="1"/>
  <c r="R385" i="17"/>
  <c r="GH28" i="29" s="1"/>
  <c r="R386" i="17"/>
  <c r="FD28" i="29" s="1"/>
  <c r="R387" i="17"/>
  <c r="BJ28" i="29" s="1"/>
  <c r="R388" i="17"/>
  <c r="AM28" i="29" s="1"/>
  <c r="R389" i="17"/>
  <c r="IB28" i="29" s="1"/>
  <c r="R390" i="17"/>
  <c r="BO28" i="29" s="1"/>
  <c r="R391" i="17"/>
  <c r="CZ28" i="29" s="1"/>
  <c r="R392" i="17"/>
  <c r="IE28" i="29" s="1"/>
  <c r="R393" i="17"/>
  <c r="CL28" i="29" s="1"/>
  <c r="R394" i="17"/>
  <c r="HG28" i="29" s="1"/>
  <c r="R395" i="17"/>
  <c r="HW28" i="29" s="1"/>
  <c r="R396" i="17"/>
  <c r="CC28" i="29" s="1"/>
  <c r="R397" i="17"/>
  <c r="GW28" i="29" s="1"/>
  <c r="R398" i="17"/>
  <c r="R399" i="17"/>
  <c r="BR28" i="29" s="1"/>
  <c r="R400" i="17"/>
  <c r="BM28" i="29" s="1"/>
  <c r="R401" i="17"/>
  <c r="GC28" i="29" s="1"/>
  <c r="R402" i="17"/>
  <c r="CY28" i="29" s="1"/>
  <c r="R403" i="17"/>
  <c r="E28" i="29" s="1"/>
  <c r="R404" i="17"/>
  <c r="EA28" i="29" s="1"/>
  <c r="R405" i="17"/>
  <c r="L28" i="29" s="1"/>
  <c r="R406" i="17"/>
  <c r="GA28" i="29" s="1"/>
  <c r="R407" i="17"/>
  <c r="HQ28" i="29" s="1"/>
  <c r="R408" i="17"/>
  <c r="R409" i="17"/>
  <c r="HR28" i="29" s="1"/>
  <c r="R410" i="17"/>
  <c r="R411" i="17"/>
  <c r="IV28" i="29" s="1"/>
  <c r="R412" i="17"/>
  <c r="R413" i="17"/>
  <c r="DX28" i="29" s="1"/>
  <c r="R414" i="17"/>
  <c r="EW28" i="29" s="1"/>
  <c r="R415" i="17"/>
  <c r="GO28" i="29" s="1"/>
  <c r="R416" i="17"/>
  <c r="HO28" i="29" s="1"/>
  <c r="R417" i="17"/>
  <c r="G28" i="29" s="1"/>
  <c r="R418" i="17"/>
  <c r="IQ28" i="29" s="1"/>
  <c r="R419" i="17"/>
  <c r="EH28" i="29" s="1"/>
  <c r="R420" i="17"/>
  <c r="DD28" i="29" s="1"/>
  <c r="R421" i="17"/>
  <c r="HX28" i="29" s="1"/>
  <c r="R422" i="17"/>
  <c r="HI28" i="29" s="1"/>
  <c r="R423" i="17"/>
  <c r="R424" i="17"/>
  <c r="DZ28" i="29" s="1"/>
  <c r="R425" i="17"/>
  <c r="IA28" i="29" s="1"/>
  <c r="R426" i="17"/>
  <c r="R427" i="17"/>
  <c r="GE28" i="29" s="1"/>
  <c r="R428" i="17"/>
  <c r="IR28" i="29" s="1"/>
  <c r="R429" i="17"/>
  <c r="GG28" i="29" s="1"/>
  <c r="R430" i="17"/>
  <c r="R431" i="17"/>
  <c r="EB28" i="29" s="1"/>
  <c r="R432" i="17"/>
  <c r="R28" i="29" s="1"/>
  <c r="R433" i="17"/>
  <c r="EJ28" i="29" s="1"/>
  <c r="R434" i="17"/>
  <c r="FP28" i="29" s="1"/>
  <c r="R435" i="17"/>
  <c r="EV28" i="29" s="1"/>
  <c r="R436" i="17"/>
  <c r="IJ28" i="29" s="1"/>
  <c r="R437" i="17"/>
  <c r="HA28" i="29" s="1"/>
  <c r="R438" i="17"/>
  <c r="R439" i="17"/>
  <c r="R440" i="17"/>
  <c r="R441" i="17"/>
  <c r="R442" i="17"/>
  <c r="EM28" i="29" s="1"/>
  <c r="R443" i="17"/>
  <c r="AV28" i="29" s="1"/>
  <c r="R444" i="17"/>
  <c r="FU28" i="29" s="1"/>
  <c r="R445" i="17"/>
  <c r="DQ28" i="29" s="1"/>
  <c r="R446" i="17"/>
  <c r="GL28" i="29" s="1"/>
  <c r="R447" i="17"/>
  <c r="DO28" i="29" s="1"/>
  <c r="R448" i="17"/>
  <c r="CH28" i="29" s="1"/>
  <c r="R449" i="17"/>
  <c r="FS28" i="29" s="1"/>
  <c r="R450" i="17"/>
  <c r="HP28" i="29" s="1"/>
  <c r="R451" i="17"/>
  <c r="HY28" i="29" s="1"/>
  <c r="R452" i="17"/>
  <c r="GI28" i="29" s="1"/>
  <c r="R453" i="17"/>
  <c r="FF28" i="29" s="1"/>
  <c r="R454" i="17"/>
  <c r="J28" i="29" s="1"/>
  <c r="R455" i="17"/>
  <c r="GR28" i="29" s="1"/>
  <c r="R456" i="17"/>
  <c r="EY28" i="29" s="1"/>
  <c r="R457" i="17"/>
  <c r="HL28" i="29" s="1"/>
  <c r="R458" i="17"/>
  <c r="R459" i="17"/>
  <c r="N28" i="29" s="1"/>
  <c r="R460" i="17"/>
  <c r="HZ28" i="29" s="1"/>
  <c r="R461" i="17"/>
  <c r="R462" i="17"/>
  <c r="BN28" i="29" s="1"/>
  <c r="R463" i="17"/>
  <c r="FY28" i="29" s="1"/>
  <c r="R464" i="17"/>
  <c r="HB28" i="29" s="1"/>
  <c r="R465" i="17"/>
  <c r="FK28" i="29" s="1"/>
  <c r="R466" i="17"/>
  <c r="HF28" i="29" s="1"/>
  <c r="R467" i="17"/>
  <c r="II28" i="29" s="1"/>
  <c r="R468" i="17"/>
  <c r="FG28" i="29" s="1"/>
  <c r="R469" i="17"/>
  <c r="EN28" i="29" s="1"/>
  <c r="R470" i="17"/>
  <c r="CE28" i="29" s="1"/>
  <c r="R471" i="17"/>
  <c r="EP28" i="29" s="1"/>
  <c r="R472" i="17"/>
  <c r="GU28" i="29" s="1"/>
  <c r="R473" i="17"/>
  <c r="IW28" i="29" s="1"/>
  <c r="R474" i="17"/>
  <c r="AK28" i="29" s="1"/>
  <c r="R475" i="17"/>
  <c r="HT28" i="29" s="1"/>
  <c r="R476" i="17"/>
  <c r="EF28" i="29" s="1"/>
  <c r="R477" i="17"/>
  <c r="FQ28" i="29" s="1"/>
  <c r="R478" i="17"/>
  <c r="S28" i="29" s="1"/>
  <c r="R479" i="17"/>
  <c r="IT28" i="29" s="1"/>
  <c r="R480" i="17"/>
  <c r="BG28" i="29" s="1"/>
  <c r="R481" i="17"/>
  <c r="IZ28" i="29" s="1"/>
  <c r="R482" i="17"/>
  <c r="DV28" i="29" s="1"/>
  <c r="R483" i="17"/>
  <c r="CV28" i="29" s="1"/>
  <c r="R484" i="17"/>
  <c r="CD28" i="29" s="1"/>
  <c r="R485" i="17"/>
  <c r="JC28" i="29" s="1"/>
  <c r="R486" i="17"/>
  <c r="BE28" i="29" s="1"/>
  <c r="R487" i="17"/>
  <c r="HJ28" i="29" s="1"/>
  <c r="R488" i="17"/>
  <c r="BZ28" i="29" s="1"/>
  <c r="R489" i="17"/>
  <c r="DM28" i="29" s="1"/>
  <c r="R490" i="17"/>
  <c r="F28" i="29" s="1"/>
  <c r="R491" i="17"/>
  <c r="HN28" i="29" s="1"/>
  <c r="R492" i="17"/>
  <c r="EZ28" i="29" s="1"/>
  <c r="R493" i="17"/>
  <c r="T28" i="29" s="1"/>
  <c r="R494" i="17"/>
  <c r="FJ28" i="29" s="1"/>
  <c r="R495" i="17"/>
  <c r="R496" i="17"/>
  <c r="AE28" i="29" s="1"/>
  <c r="R497" i="17"/>
  <c r="JE28" i="29" s="1"/>
  <c r="R498" i="17"/>
  <c r="FM28" i="29" s="1"/>
  <c r="R499" i="17"/>
  <c r="AD28" i="29" s="1"/>
  <c r="R500" i="17"/>
  <c r="BW28" i="29" s="1"/>
  <c r="R501" i="17"/>
  <c r="DJ28" i="29" s="1"/>
  <c r="R502" i="17"/>
  <c r="HS28" i="29" s="1"/>
  <c r="R503" i="17"/>
  <c r="O28" i="29" s="1"/>
  <c r="R504" i="17"/>
  <c r="IN28" i="29" s="1"/>
  <c r="R505" i="17"/>
  <c r="HV28" i="29" s="1"/>
  <c r="R506" i="17"/>
  <c r="CI28" i="29" s="1"/>
  <c r="R507" i="17"/>
  <c r="CP28" i="29" s="1"/>
  <c r="R508" i="17"/>
  <c r="CB28" i="29" s="1"/>
  <c r="R509" i="17"/>
  <c r="P28" i="29" s="1"/>
  <c r="R510" i="17"/>
  <c r="BP28" i="29" s="1"/>
  <c r="R511" i="17"/>
  <c r="GX28" i="29" s="1"/>
  <c r="R512" i="17"/>
  <c r="DB28" i="29" s="1"/>
  <c r="R513" i="17"/>
  <c r="GK28" i="29" s="1"/>
  <c r="R514" i="17"/>
  <c r="EG28" i="29" s="1"/>
  <c r="R515" i="17"/>
  <c r="IY28" i="29" s="1"/>
  <c r="R516" i="17"/>
  <c r="DE28" i="29" s="1"/>
  <c r="R517" i="17"/>
  <c r="GM28" i="29" s="1"/>
  <c r="R518" i="17"/>
  <c r="IU28" i="29" s="1"/>
  <c r="R519" i="17"/>
  <c r="R520" i="17"/>
  <c r="GT28" i="29" s="1"/>
  <c r="R521" i="17"/>
  <c r="EQ28" i="29" s="1"/>
  <c r="R522" i="17"/>
  <c r="FZ28" i="29" s="1"/>
  <c r="R523" i="17"/>
  <c r="W28" i="29" s="1"/>
  <c r="R524" i="17"/>
  <c r="BQ28" i="29" s="1"/>
  <c r="R525" i="17"/>
  <c r="IK28" i="29" s="1"/>
  <c r="R526" i="17"/>
  <c r="HD28" i="29" s="1"/>
  <c r="R527" i="17"/>
  <c r="CX28" i="29" s="1"/>
  <c r="R528" i="17"/>
  <c r="BA28" i="29" s="1"/>
  <c r="R529" i="17"/>
  <c r="IS28" i="29" s="1"/>
  <c r="R530" i="17"/>
  <c r="AQ28" i="29" s="1"/>
  <c r="R531" i="17"/>
  <c r="AW28" i="29" s="1"/>
  <c r="R532" i="17"/>
  <c r="FW28" i="29" s="1"/>
  <c r="R533" i="17"/>
  <c r="BY28" i="29" s="1"/>
  <c r="R534" i="17"/>
  <c r="AF28" i="29" s="1"/>
  <c r="R535" i="17"/>
  <c r="DK28" i="29" s="1"/>
  <c r="R536" i="17"/>
  <c r="CJ28" i="29" s="1"/>
  <c r="R537" i="17"/>
  <c r="DU28" i="29" s="1"/>
  <c r="R538" i="17"/>
  <c r="AI28" i="29" s="1"/>
  <c r="R539" i="17"/>
  <c r="EX28" i="29" s="1"/>
  <c r="R540" i="17"/>
  <c r="R541" i="17"/>
  <c r="DT28" i="29" s="1"/>
  <c r="R542" i="17"/>
  <c r="AC28" i="29" s="1"/>
  <c r="AC28" i="31" s="1"/>
  <c r="R543" i="17"/>
  <c r="R544" i="17"/>
  <c r="AU28" i="29" s="1"/>
  <c r="R545" i="17"/>
  <c r="DF28" i="29" s="1"/>
  <c r="R546" i="17"/>
  <c r="AR28" i="29" s="1"/>
  <c r="R547" i="17"/>
  <c r="BD28" i="29" s="1"/>
  <c r="R548" i="17"/>
  <c r="JA28" i="29" s="1"/>
  <c r="R549" i="17"/>
  <c r="IH28" i="29" s="1"/>
  <c r="R550" i="17"/>
  <c r="DC28" i="29" s="1"/>
  <c r="R551" i="17"/>
  <c r="BC28" i="29" s="1"/>
  <c r="R552" i="17"/>
  <c r="AL28" i="29" s="1"/>
  <c r="R553" i="17"/>
  <c r="DP28" i="29" s="1"/>
  <c r="R554" i="17"/>
  <c r="JH28" i="29" s="1"/>
  <c r="R555" i="17"/>
  <c r="HM28" i="29" s="1"/>
  <c r="R556" i="17"/>
  <c r="IC28" i="29" s="1"/>
  <c r="R557" i="17"/>
  <c r="GS28" i="29" s="1"/>
  <c r="R558" i="17"/>
  <c r="R559" i="17"/>
  <c r="Q28" i="29" s="1"/>
  <c r="R560" i="17"/>
  <c r="FI28" i="29" s="1"/>
  <c r="R561" i="17"/>
  <c r="BS28" i="29" s="1"/>
  <c r="R562" i="17"/>
  <c r="HE28" i="29" s="1"/>
  <c r="R563" i="17"/>
  <c r="AP28" i="29" s="1"/>
  <c r="R564" i="17"/>
  <c r="AJ28" i="29" s="1"/>
  <c r="R565" i="17"/>
  <c r="AA28" i="29" s="1"/>
  <c r="R566" i="17"/>
  <c r="ED28" i="29" s="1"/>
  <c r="R567" i="17"/>
  <c r="D28" i="29" s="1"/>
  <c r="R568" i="17"/>
  <c r="BT28" i="29" s="1"/>
  <c r="R569" i="17"/>
  <c r="CT28" i="29" s="1"/>
  <c r="R570" i="17"/>
  <c r="BU28" i="29" s="1"/>
  <c r="R571" i="17"/>
  <c r="DA28" i="29" s="1"/>
  <c r="R572" i="17"/>
  <c r="FV28" i="29" s="1"/>
  <c r="R573" i="17"/>
  <c r="GJ28" i="29" s="1"/>
  <c r="R574" i="17"/>
  <c r="EO28" i="29" s="1"/>
  <c r="R575" i="17"/>
  <c r="Y28" i="29" s="1"/>
  <c r="R576" i="17"/>
  <c r="Z28" i="29" s="1"/>
  <c r="R577" i="17"/>
  <c r="EL28" i="29" s="1"/>
  <c r="R578" i="17"/>
  <c r="BI28" i="29" s="1"/>
  <c r="R579" i="17"/>
  <c r="JD28" i="29" s="1"/>
  <c r="R580" i="17"/>
  <c r="IP28" i="29" s="1"/>
  <c r="R581" i="17"/>
  <c r="FO28" i="29" s="1"/>
  <c r="R582" i="17"/>
  <c r="FB28" i="29" s="1"/>
  <c r="R583" i="17"/>
  <c r="AS28" i="29" s="1"/>
  <c r="R584" i="17"/>
  <c r="CM28" i="29" s="1"/>
  <c r="R585" i="17"/>
  <c r="ES28" i="29" s="1"/>
  <c r="R586" i="17"/>
  <c r="HK28" i="29" s="1"/>
  <c r="R587" i="17"/>
  <c r="IF28" i="29" s="1"/>
  <c r="R588" i="17"/>
  <c r="BB28" i="29" s="1"/>
  <c r="R589" i="17"/>
  <c r="DR28" i="29" s="1"/>
  <c r="R590" i="17"/>
  <c r="HH28" i="29" s="1"/>
  <c r="R591" i="17"/>
  <c r="U28" i="29" s="1"/>
  <c r="R592" i="17"/>
  <c r="GY28" i="29" s="1"/>
  <c r="R593" i="17"/>
  <c r="V28" i="29" s="1"/>
  <c r="R594" i="17"/>
  <c r="I28" i="29" s="1"/>
  <c r="R595" i="17"/>
  <c r="R596" i="17"/>
  <c r="JB28" i="29" s="1"/>
  <c r="R597" i="17"/>
  <c r="IO28" i="29" s="1"/>
  <c r="R598" i="17"/>
  <c r="FC28" i="29" s="1"/>
  <c r="R599" i="17"/>
  <c r="GF28" i="29" s="1"/>
  <c r="R600" i="17"/>
  <c r="GP28" i="29" s="1"/>
  <c r="R330" i="17"/>
  <c r="AG28" i="29" s="1"/>
  <c r="AC90" i="29" l="1"/>
  <c r="AC89" i="31"/>
  <c r="AG15" i="29"/>
  <c r="AG15" i="31" s="1"/>
  <c r="AG28" i="31"/>
  <c r="ES15" i="29"/>
  <c r="ES15" i="31" s="1"/>
  <c r="ES28" i="31"/>
  <c r="CT15" i="29"/>
  <c r="CT15" i="31" s="1"/>
  <c r="CT28" i="31"/>
  <c r="DP15" i="29"/>
  <c r="DP15" i="31" s="1"/>
  <c r="DP28" i="31"/>
  <c r="DU15" i="29"/>
  <c r="DU15" i="31" s="1"/>
  <c r="DU28" i="31"/>
  <c r="EQ15" i="29"/>
  <c r="EQ15" i="31" s="1"/>
  <c r="EQ28" i="31"/>
  <c r="HV15" i="29"/>
  <c r="HV15" i="31" s="1"/>
  <c r="HV28" i="31"/>
  <c r="JC15" i="29"/>
  <c r="JC15" i="31" s="1"/>
  <c r="JC28" i="31"/>
  <c r="IW15" i="29"/>
  <c r="IW15" i="31" s="1"/>
  <c r="IW28" i="31"/>
  <c r="HL15" i="29"/>
  <c r="HL15" i="31" s="1"/>
  <c r="HL28" i="31"/>
  <c r="DQ15" i="29"/>
  <c r="DQ15" i="31" s="1"/>
  <c r="DQ28" i="31"/>
  <c r="EJ15" i="29"/>
  <c r="EJ15" i="31" s="1"/>
  <c r="EJ28" i="31"/>
  <c r="GG15" i="29"/>
  <c r="GG15" i="31" s="1"/>
  <c r="GG28" i="31"/>
  <c r="HX15" i="29"/>
  <c r="HX15" i="31" s="1"/>
  <c r="HX28" i="31"/>
  <c r="G15" i="29"/>
  <c r="G15" i="31" s="1"/>
  <c r="G28" i="31"/>
  <c r="DX15" i="29"/>
  <c r="DX15" i="31" s="1"/>
  <c r="DX28" i="31"/>
  <c r="HR15" i="29"/>
  <c r="HR15" i="31" s="1"/>
  <c r="HR28" i="31"/>
  <c r="L15" i="29"/>
  <c r="L15" i="31" s="1"/>
  <c r="L28" i="31"/>
  <c r="GC15" i="29"/>
  <c r="GC15" i="31" s="1"/>
  <c r="GC28" i="31"/>
  <c r="GW15" i="29"/>
  <c r="GW15" i="31" s="1"/>
  <c r="GW28" i="31"/>
  <c r="CL15" i="29"/>
  <c r="CL15" i="31" s="1"/>
  <c r="CL28" i="31"/>
  <c r="IB15" i="29"/>
  <c r="IB15" i="31" s="1"/>
  <c r="IB28" i="31"/>
  <c r="GH15" i="29"/>
  <c r="GH15" i="31" s="1"/>
  <c r="GH28" i="31"/>
  <c r="AT15" i="29"/>
  <c r="AT15" i="31" s="1"/>
  <c r="AT28" i="31"/>
  <c r="BV15" i="29"/>
  <c r="BV15" i="31" s="1"/>
  <c r="BV28" i="31"/>
  <c r="JG15" i="29"/>
  <c r="JG15" i="31" s="1"/>
  <c r="JG28" i="31"/>
  <c r="ID15" i="29"/>
  <c r="ID15" i="31" s="1"/>
  <c r="ID28" i="31"/>
  <c r="AO15" i="29"/>
  <c r="AO15" i="31" s="1"/>
  <c r="AO28" i="31"/>
  <c r="DL15" i="29"/>
  <c r="DL15" i="31" s="1"/>
  <c r="DL28" i="31"/>
  <c r="K15" i="29"/>
  <c r="K15" i="31" s="1"/>
  <c r="K28" i="31"/>
  <c r="ER15" i="29"/>
  <c r="ER15" i="31" s="1"/>
  <c r="ER28" i="31"/>
  <c r="FH15" i="29"/>
  <c r="FH15" i="31" s="1"/>
  <c r="FH28" i="31"/>
  <c r="DI15" i="29"/>
  <c r="DI15" i="31" s="1"/>
  <c r="DI28" i="31"/>
  <c r="AN15" i="29"/>
  <c r="AN15" i="31" s="1"/>
  <c r="AN28" i="31"/>
  <c r="CU15" i="29"/>
  <c r="CU15" i="31" s="1"/>
  <c r="CU28" i="31"/>
  <c r="BF15" i="29"/>
  <c r="BF15" i="31" s="1"/>
  <c r="BF28" i="31"/>
  <c r="IO16" i="29"/>
  <c r="IO16" i="31" s="1"/>
  <c r="IO11" i="31"/>
  <c r="V16" i="29"/>
  <c r="V16" i="31" s="1"/>
  <c r="V11" i="31"/>
  <c r="DR16" i="29"/>
  <c r="DR16" i="31" s="1"/>
  <c r="DR11" i="31"/>
  <c r="ES16" i="29"/>
  <c r="ES16" i="31" s="1"/>
  <c r="ES11" i="31"/>
  <c r="FO16" i="29"/>
  <c r="FO16" i="31" s="1"/>
  <c r="FO11" i="31"/>
  <c r="EL16" i="29"/>
  <c r="EL16" i="31" s="1"/>
  <c r="EL11" i="31"/>
  <c r="GJ16" i="29"/>
  <c r="GJ16" i="31" s="1"/>
  <c r="GJ11" i="31"/>
  <c r="CT16" i="29"/>
  <c r="CT16" i="31" s="1"/>
  <c r="CT11" i="31"/>
  <c r="AA16" i="29"/>
  <c r="AA16" i="31" s="1"/>
  <c r="AA11" i="31"/>
  <c r="BS16" i="29"/>
  <c r="BS16" i="31" s="1"/>
  <c r="BS11" i="31"/>
  <c r="GS16" i="29"/>
  <c r="GS16" i="31" s="1"/>
  <c r="GS11" i="31"/>
  <c r="DP16" i="29"/>
  <c r="DP16" i="31" s="1"/>
  <c r="DP11" i="31"/>
  <c r="IH16" i="29"/>
  <c r="IH16" i="31" s="1"/>
  <c r="IH11" i="31"/>
  <c r="DF16" i="29"/>
  <c r="DF16" i="31" s="1"/>
  <c r="DF11" i="31"/>
  <c r="DT16" i="29"/>
  <c r="DT16" i="31" s="1"/>
  <c r="DT11" i="31"/>
  <c r="DU16" i="29"/>
  <c r="DU16" i="31" s="1"/>
  <c r="DU11" i="31"/>
  <c r="BY16" i="29"/>
  <c r="BY16" i="31" s="1"/>
  <c r="BY11" i="31"/>
  <c r="IS16" i="29"/>
  <c r="IS16" i="31" s="1"/>
  <c r="IS11" i="31"/>
  <c r="IK16" i="29"/>
  <c r="IK16" i="31" s="1"/>
  <c r="IK11" i="31"/>
  <c r="EQ16" i="29"/>
  <c r="EQ16" i="31" s="1"/>
  <c r="EQ11" i="31"/>
  <c r="GM16" i="29"/>
  <c r="GM16" i="31" s="1"/>
  <c r="GM11" i="31"/>
  <c r="GK16" i="29"/>
  <c r="GK16" i="31" s="1"/>
  <c r="GK11" i="31"/>
  <c r="P16" i="29"/>
  <c r="P16" i="31" s="1"/>
  <c r="P11" i="31"/>
  <c r="HV16" i="29"/>
  <c r="HV16" i="31" s="1"/>
  <c r="HV11" i="31"/>
  <c r="DJ16" i="29"/>
  <c r="DJ16" i="31" s="1"/>
  <c r="DJ11" i="31"/>
  <c r="JE16" i="29"/>
  <c r="JE16" i="31" s="1"/>
  <c r="JE11" i="31"/>
  <c r="T16" i="29"/>
  <c r="T16" i="31" s="1"/>
  <c r="T11" i="31"/>
  <c r="DM16" i="29"/>
  <c r="DM16" i="31" s="1"/>
  <c r="DM11" i="31"/>
  <c r="JC16" i="29"/>
  <c r="JC16" i="31" s="1"/>
  <c r="JC11" i="31"/>
  <c r="IZ16" i="29"/>
  <c r="IZ16" i="31" s="1"/>
  <c r="IZ11" i="31"/>
  <c r="FQ16" i="29"/>
  <c r="FQ16" i="31" s="1"/>
  <c r="FQ11" i="31"/>
  <c r="IW16" i="29"/>
  <c r="IW16" i="31" s="1"/>
  <c r="IW11" i="31"/>
  <c r="EN16" i="29"/>
  <c r="EN16" i="31" s="1"/>
  <c r="EN11" i="31"/>
  <c r="FK16" i="29"/>
  <c r="FK16" i="31" s="1"/>
  <c r="FK11" i="31"/>
  <c r="FF16" i="29"/>
  <c r="FF16" i="31" s="1"/>
  <c r="FF11" i="31"/>
  <c r="FS16" i="29"/>
  <c r="FS16" i="31" s="1"/>
  <c r="FS11" i="31"/>
  <c r="DQ16" i="29"/>
  <c r="DQ16" i="31" s="1"/>
  <c r="DQ11" i="31"/>
  <c r="HA16" i="29"/>
  <c r="HA16" i="31" s="1"/>
  <c r="HA11" i="31"/>
  <c r="EJ16" i="29"/>
  <c r="EJ16" i="31" s="1"/>
  <c r="EJ11" i="31"/>
  <c r="GG16" i="29"/>
  <c r="GG16" i="31" s="1"/>
  <c r="GG11" i="31"/>
  <c r="IA16" i="29"/>
  <c r="IA16" i="31" s="1"/>
  <c r="IA11" i="31"/>
  <c r="HX16" i="29"/>
  <c r="HX16" i="31" s="1"/>
  <c r="HX11" i="31"/>
  <c r="G16" i="29"/>
  <c r="G16" i="31" s="1"/>
  <c r="G11" i="31"/>
  <c r="DX16" i="29"/>
  <c r="DX16" i="31" s="1"/>
  <c r="DX11" i="31"/>
  <c r="HR16" i="29"/>
  <c r="HR16" i="31" s="1"/>
  <c r="HR11" i="31"/>
  <c r="L16" i="29"/>
  <c r="L16" i="31" s="1"/>
  <c r="L11" i="31"/>
  <c r="GC16" i="29"/>
  <c r="GC16" i="31" s="1"/>
  <c r="GC11" i="31"/>
  <c r="GW16" i="29"/>
  <c r="GW16" i="31" s="1"/>
  <c r="GW11" i="31"/>
  <c r="CL16" i="29"/>
  <c r="CL16" i="31" s="1"/>
  <c r="CL11" i="31"/>
  <c r="IB16" i="29"/>
  <c r="IB16" i="31" s="1"/>
  <c r="IB11" i="31"/>
  <c r="GH16" i="29"/>
  <c r="GH16" i="31" s="1"/>
  <c r="GH11" i="31"/>
  <c r="AT16" i="29"/>
  <c r="AT16" i="31" s="1"/>
  <c r="AT11" i="31"/>
  <c r="BV16" i="29"/>
  <c r="BV16" i="31" s="1"/>
  <c r="BV11" i="31"/>
  <c r="JG16" i="29"/>
  <c r="JG16" i="31" s="1"/>
  <c r="JG11" i="31"/>
  <c r="ID16" i="29"/>
  <c r="ID16" i="31" s="1"/>
  <c r="ID11" i="31"/>
  <c r="AO16" i="29"/>
  <c r="AO16" i="31" s="1"/>
  <c r="AO11" i="31"/>
  <c r="DL16" i="29"/>
  <c r="DL16" i="31" s="1"/>
  <c r="DL11" i="31"/>
  <c r="K16" i="29"/>
  <c r="K16" i="31" s="1"/>
  <c r="K11" i="31"/>
  <c r="ER16" i="29"/>
  <c r="ER16" i="31" s="1"/>
  <c r="ER11" i="31"/>
  <c r="FH16" i="29"/>
  <c r="FH16" i="31" s="1"/>
  <c r="FH11" i="31"/>
  <c r="DI16" i="29"/>
  <c r="DI16" i="31" s="1"/>
  <c r="DI11" i="31"/>
  <c r="AN16" i="29"/>
  <c r="AN16" i="31" s="1"/>
  <c r="AN11" i="31"/>
  <c r="CU16" i="29"/>
  <c r="CU16" i="31" s="1"/>
  <c r="CU11" i="31"/>
  <c r="BF16" i="29"/>
  <c r="BF16" i="31" s="1"/>
  <c r="BF11" i="31"/>
  <c r="IO15" i="29"/>
  <c r="IO15" i="31" s="1"/>
  <c r="IO28" i="31"/>
  <c r="FO15" i="29"/>
  <c r="FO15" i="31" s="1"/>
  <c r="FO28" i="31"/>
  <c r="AA15" i="29"/>
  <c r="AA15" i="31" s="1"/>
  <c r="AA28" i="31"/>
  <c r="IH15" i="29"/>
  <c r="IH15" i="31" s="1"/>
  <c r="IH28" i="31"/>
  <c r="BY15" i="29"/>
  <c r="BY15" i="31" s="1"/>
  <c r="BY28" i="31"/>
  <c r="GM15" i="29"/>
  <c r="GM15" i="31" s="1"/>
  <c r="GM28" i="31"/>
  <c r="DJ15" i="29"/>
  <c r="DJ15" i="31" s="1"/>
  <c r="DJ28" i="31"/>
  <c r="DM15" i="29"/>
  <c r="DM15" i="31" s="1"/>
  <c r="DM28" i="31"/>
  <c r="FQ15" i="29"/>
  <c r="FQ15" i="31" s="1"/>
  <c r="FQ28" i="31"/>
  <c r="FK15" i="29"/>
  <c r="FK15" i="31" s="1"/>
  <c r="FK28" i="31"/>
  <c r="FS15" i="29"/>
  <c r="FS15" i="31" s="1"/>
  <c r="FS28" i="31"/>
  <c r="HA15" i="29"/>
  <c r="HA15" i="31" s="1"/>
  <c r="HA28" i="31"/>
  <c r="IA15" i="29"/>
  <c r="IA15" i="31" s="1"/>
  <c r="IA28" i="31"/>
  <c r="GP15" i="29"/>
  <c r="GP15" i="31" s="1"/>
  <c r="GP28" i="31"/>
  <c r="JB15" i="29"/>
  <c r="JB15" i="31" s="1"/>
  <c r="JB28" i="31"/>
  <c r="GY15" i="29"/>
  <c r="GY15" i="31" s="1"/>
  <c r="GY28" i="31"/>
  <c r="BB15" i="29"/>
  <c r="BB15" i="31" s="1"/>
  <c r="BB28" i="31"/>
  <c r="CM15" i="29"/>
  <c r="CM15" i="31" s="1"/>
  <c r="CM28" i="31"/>
  <c r="IP15" i="29"/>
  <c r="IP15" i="31" s="1"/>
  <c r="IP28" i="31"/>
  <c r="Z15" i="29"/>
  <c r="Z15" i="31" s="1"/>
  <c r="Z28" i="31"/>
  <c r="FV15" i="29"/>
  <c r="FV15" i="31" s="1"/>
  <c r="FV28" i="31"/>
  <c r="BT15" i="29"/>
  <c r="BT15" i="31" s="1"/>
  <c r="BT28" i="31"/>
  <c r="AJ15" i="29"/>
  <c r="AJ15" i="31" s="1"/>
  <c r="AJ28" i="31"/>
  <c r="FI15" i="29"/>
  <c r="FI15" i="31" s="1"/>
  <c r="FI28" i="31"/>
  <c r="IC15" i="29"/>
  <c r="IC15" i="31" s="1"/>
  <c r="IC28" i="31"/>
  <c r="AL15" i="29"/>
  <c r="AL15" i="31" s="1"/>
  <c r="AL28" i="31"/>
  <c r="JA15" i="29"/>
  <c r="JA15" i="31" s="1"/>
  <c r="JA28" i="31"/>
  <c r="AU15" i="29"/>
  <c r="AU15" i="31" s="1"/>
  <c r="AU28" i="31"/>
  <c r="CJ15" i="29"/>
  <c r="CJ15" i="31" s="1"/>
  <c r="CJ28" i="31"/>
  <c r="FW15" i="29"/>
  <c r="FW15" i="31" s="1"/>
  <c r="FW28" i="31"/>
  <c r="BA15" i="29"/>
  <c r="BA15" i="31" s="1"/>
  <c r="BA28" i="31"/>
  <c r="BQ15" i="29"/>
  <c r="BQ15" i="31" s="1"/>
  <c r="BQ28" i="31"/>
  <c r="GT15" i="29"/>
  <c r="GT15" i="31" s="1"/>
  <c r="GT28" i="31"/>
  <c r="DE15" i="29"/>
  <c r="DE15" i="31" s="1"/>
  <c r="DE28" i="31"/>
  <c r="DB15" i="29"/>
  <c r="DB15" i="31" s="1"/>
  <c r="DB28" i="31"/>
  <c r="CB15" i="29"/>
  <c r="CB15" i="31" s="1"/>
  <c r="CB28" i="31"/>
  <c r="IN15" i="29"/>
  <c r="IN15" i="31" s="1"/>
  <c r="IN28" i="31"/>
  <c r="BW15" i="29"/>
  <c r="BW15" i="31" s="1"/>
  <c r="BW28" i="31"/>
  <c r="AE15" i="29"/>
  <c r="AE15" i="31" s="1"/>
  <c r="AE28" i="31"/>
  <c r="EZ15" i="29"/>
  <c r="EZ15" i="31" s="1"/>
  <c r="EZ28" i="31"/>
  <c r="BZ15" i="29"/>
  <c r="BZ15" i="31" s="1"/>
  <c r="BZ28" i="31"/>
  <c r="CD15" i="29"/>
  <c r="CD15" i="31" s="1"/>
  <c r="CD28" i="31"/>
  <c r="BG15" i="29"/>
  <c r="BG15" i="31" s="1"/>
  <c r="BG28" i="31"/>
  <c r="EF15" i="29"/>
  <c r="EF15" i="31" s="1"/>
  <c r="EF28" i="31"/>
  <c r="GU15" i="29"/>
  <c r="GU15" i="31" s="1"/>
  <c r="GU28" i="31"/>
  <c r="FG15" i="29"/>
  <c r="FG15" i="31" s="1"/>
  <c r="FG28" i="31"/>
  <c r="HB15" i="29"/>
  <c r="HB15" i="31" s="1"/>
  <c r="HB28" i="31"/>
  <c r="HZ15" i="29"/>
  <c r="HZ15" i="31" s="1"/>
  <c r="HZ28" i="31"/>
  <c r="EY15" i="29"/>
  <c r="EY15" i="31" s="1"/>
  <c r="EY28" i="31"/>
  <c r="GI15" i="29"/>
  <c r="GI15" i="31" s="1"/>
  <c r="GI28" i="31"/>
  <c r="CH15" i="29"/>
  <c r="CH15" i="31" s="1"/>
  <c r="CH28" i="31"/>
  <c r="FU15" i="29"/>
  <c r="FU15" i="31" s="1"/>
  <c r="FU28" i="31"/>
  <c r="IJ15" i="29"/>
  <c r="IJ15" i="31" s="1"/>
  <c r="IJ28" i="31"/>
  <c r="R15" i="29"/>
  <c r="R15" i="31" s="1"/>
  <c r="R28" i="31"/>
  <c r="IR15" i="29"/>
  <c r="IR15" i="31" s="1"/>
  <c r="IR28" i="31"/>
  <c r="DZ15" i="29"/>
  <c r="DZ15" i="31" s="1"/>
  <c r="DZ28" i="31"/>
  <c r="DD15" i="29"/>
  <c r="DD15" i="31" s="1"/>
  <c r="DD28" i="31"/>
  <c r="HO15" i="29"/>
  <c r="HO15" i="31" s="1"/>
  <c r="HO28" i="31"/>
  <c r="EA15" i="29"/>
  <c r="EA15" i="31" s="1"/>
  <c r="EA28" i="31"/>
  <c r="BM15" i="29"/>
  <c r="BM15" i="31" s="1"/>
  <c r="BM28" i="31"/>
  <c r="CC15" i="29"/>
  <c r="CC15" i="31" s="1"/>
  <c r="CC28" i="31"/>
  <c r="IE15" i="29"/>
  <c r="IE15" i="31" s="1"/>
  <c r="IE28" i="31"/>
  <c r="AM15" i="29"/>
  <c r="AM15" i="31" s="1"/>
  <c r="AM28" i="31"/>
  <c r="AZ15" i="29"/>
  <c r="AZ15" i="31" s="1"/>
  <c r="AZ28" i="31"/>
  <c r="BK15" i="29"/>
  <c r="BK15" i="31" s="1"/>
  <c r="BK28" i="31"/>
  <c r="DN15" i="29"/>
  <c r="DN15" i="31" s="1"/>
  <c r="DN28" i="31"/>
  <c r="M15" i="29"/>
  <c r="M15" i="31" s="1"/>
  <c r="M28" i="31"/>
  <c r="CK15" i="29"/>
  <c r="CK15" i="31" s="1"/>
  <c r="CK28" i="31"/>
  <c r="IM15" i="29"/>
  <c r="IM15" i="31" s="1"/>
  <c r="IM28" i="31"/>
  <c r="GB15" i="29"/>
  <c r="GB15" i="31" s="1"/>
  <c r="GB28" i="31"/>
  <c r="CN15" i="29"/>
  <c r="CN15" i="31" s="1"/>
  <c r="CN28" i="31"/>
  <c r="FX15" i="29"/>
  <c r="FX15" i="31" s="1"/>
  <c r="FX28" i="31"/>
  <c r="EC15" i="29"/>
  <c r="EC15" i="31" s="1"/>
  <c r="EC28" i="31"/>
  <c r="JF15" i="29"/>
  <c r="JF15" i="31" s="1"/>
  <c r="JF28" i="31"/>
  <c r="HU15" i="29"/>
  <c r="HU15" i="31" s="1"/>
  <c r="HU28" i="31"/>
  <c r="GN15" i="29"/>
  <c r="GN15" i="31" s="1"/>
  <c r="GN28" i="31"/>
  <c r="FT15" i="29"/>
  <c r="FT15" i="31" s="1"/>
  <c r="FT28" i="31"/>
  <c r="FC16" i="29"/>
  <c r="FC16" i="31" s="1"/>
  <c r="FC11" i="31"/>
  <c r="I16" i="29"/>
  <c r="I16" i="31" s="1"/>
  <c r="I11" i="31"/>
  <c r="HH16" i="29"/>
  <c r="HH16" i="31" s="1"/>
  <c r="HH11" i="31"/>
  <c r="HK16" i="29"/>
  <c r="HK16" i="31" s="1"/>
  <c r="HK11" i="31"/>
  <c r="FB16" i="29"/>
  <c r="FB16" i="31" s="1"/>
  <c r="FB11" i="31"/>
  <c r="BI16" i="29"/>
  <c r="BI16" i="31" s="1"/>
  <c r="BI11" i="31"/>
  <c r="EO16" i="29"/>
  <c r="EO16" i="31" s="1"/>
  <c r="EO11" i="31"/>
  <c r="BU16" i="29"/>
  <c r="BU16" i="31" s="1"/>
  <c r="BU11" i="31"/>
  <c r="ED16" i="29"/>
  <c r="ED16" i="31" s="1"/>
  <c r="ED11" i="31"/>
  <c r="HE16" i="29"/>
  <c r="HE16" i="31" s="1"/>
  <c r="HE11" i="31"/>
  <c r="JH16" i="29"/>
  <c r="JH16" i="31" s="1"/>
  <c r="JH11" i="31"/>
  <c r="DC16" i="29"/>
  <c r="DC16" i="31" s="1"/>
  <c r="DC11" i="31"/>
  <c r="AR16" i="29"/>
  <c r="AR16" i="31" s="1"/>
  <c r="AR11" i="31"/>
  <c r="AI16" i="29"/>
  <c r="AI16" i="31" s="1"/>
  <c r="AI11" i="31"/>
  <c r="AF16" i="29"/>
  <c r="AF16" i="31" s="1"/>
  <c r="AF11" i="31"/>
  <c r="AQ16" i="29"/>
  <c r="AQ16" i="31" s="1"/>
  <c r="AQ11" i="31"/>
  <c r="HD16" i="29"/>
  <c r="HD16" i="31" s="1"/>
  <c r="HD11" i="31"/>
  <c r="FZ16" i="29"/>
  <c r="FZ16" i="31" s="1"/>
  <c r="FZ11" i="31"/>
  <c r="IU16" i="29"/>
  <c r="IU16" i="31" s="1"/>
  <c r="IU11" i="31"/>
  <c r="EG16" i="29"/>
  <c r="EG16" i="31" s="1"/>
  <c r="EG11" i="31"/>
  <c r="BP16" i="29"/>
  <c r="BP16" i="31" s="1"/>
  <c r="BP11" i="31"/>
  <c r="CI16" i="29"/>
  <c r="CI16" i="31" s="1"/>
  <c r="CI11" i="31"/>
  <c r="HS16" i="29"/>
  <c r="HS16" i="31" s="1"/>
  <c r="HS11" i="31"/>
  <c r="FM16" i="29"/>
  <c r="FM16" i="31" s="1"/>
  <c r="FM11" i="31"/>
  <c r="FJ16" i="29"/>
  <c r="FJ16" i="31" s="1"/>
  <c r="FJ11" i="31"/>
  <c r="BE16" i="29"/>
  <c r="BE16" i="31" s="1"/>
  <c r="BE11" i="31"/>
  <c r="DV16" i="29"/>
  <c r="DV16" i="31" s="1"/>
  <c r="DV11" i="31"/>
  <c r="S16" i="29"/>
  <c r="S16" i="31" s="1"/>
  <c r="S11" i="31"/>
  <c r="AK16" i="29"/>
  <c r="AK16" i="31" s="1"/>
  <c r="AK11" i="31"/>
  <c r="CE16" i="29"/>
  <c r="CE16" i="31" s="1"/>
  <c r="CE11" i="31"/>
  <c r="HF16" i="29"/>
  <c r="HF16" i="31" s="1"/>
  <c r="HF11" i="31"/>
  <c r="BN16" i="29"/>
  <c r="BN16" i="31" s="1"/>
  <c r="BN11" i="31"/>
  <c r="J16" i="29"/>
  <c r="J16" i="31" s="1"/>
  <c r="J11" i="31"/>
  <c r="HP16" i="29"/>
  <c r="HP16" i="31" s="1"/>
  <c r="HP11" i="31"/>
  <c r="GL16" i="29"/>
  <c r="GL16" i="31" s="1"/>
  <c r="GL11" i="31"/>
  <c r="EM16" i="29"/>
  <c r="EM16" i="31" s="1"/>
  <c r="EM11" i="31"/>
  <c r="FP16" i="29"/>
  <c r="FP16" i="31" s="1"/>
  <c r="FP11" i="31"/>
  <c r="HI16" i="29"/>
  <c r="HI16" i="31" s="1"/>
  <c r="HI11" i="31"/>
  <c r="IQ16" i="29"/>
  <c r="IQ16" i="31" s="1"/>
  <c r="IQ11" i="31"/>
  <c r="EW16" i="29"/>
  <c r="EW16" i="31" s="1"/>
  <c r="EW11" i="31"/>
  <c r="GA16" i="29"/>
  <c r="GA16" i="31" s="1"/>
  <c r="GA11" i="31"/>
  <c r="CY16" i="29"/>
  <c r="CY16" i="31" s="1"/>
  <c r="CY11" i="31"/>
  <c r="HG16" i="29"/>
  <c r="HG16" i="31" s="1"/>
  <c r="HG11" i="31"/>
  <c r="BO16" i="29"/>
  <c r="BO16" i="31" s="1"/>
  <c r="BO11" i="31"/>
  <c r="FD16" i="29"/>
  <c r="FD16" i="31" s="1"/>
  <c r="FD11" i="31"/>
  <c r="CO16" i="29"/>
  <c r="CO16" i="31" s="1"/>
  <c r="CO11" i="31"/>
  <c r="EE16" i="29"/>
  <c r="EE16" i="31" s="1"/>
  <c r="EE11" i="31"/>
  <c r="FL16" i="29"/>
  <c r="FL16" i="31" s="1"/>
  <c r="FL11" i="31"/>
  <c r="CQ16" i="29"/>
  <c r="CQ16" i="31" s="1"/>
  <c r="CQ11" i="31"/>
  <c r="CF16" i="29"/>
  <c r="CF16" i="31" s="1"/>
  <c r="CF11" i="31"/>
  <c r="EI16" i="29"/>
  <c r="EI16" i="31" s="1"/>
  <c r="EI11" i="31"/>
  <c r="FE16" i="29"/>
  <c r="FE16" i="31" s="1"/>
  <c r="FE11" i="31"/>
  <c r="FA16" i="29"/>
  <c r="FA16" i="31" s="1"/>
  <c r="FA11" i="31"/>
  <c r="AH16" i="29"/>
  <c r="AH16" i="31" s="1"/>
  <c r="AH11" i="31"/>
  <c r="GQ16" i="29"/>
  <c r="GQ16" i="31" s="1"/>
  <c r="GQ11" i="31"/>
  <c r="DH16" i="29"/>
  <c r="DH16" i="31" s="1"/>
  <c r="DH11" i="31"/>
  <c r="FN16" i="29"/>
  <c r="FN16" i="31" s="1"/>
  <c r="FN11" i="31"/>
  <c r="AG16" i="29"/>
  <c r="AG16" i="31" s="1"/>
  <c r="AG11" i="31"/>
  <c r="V15" i="29"/>
  <c r="V15" i="31" s="1"/>
  <c r="V28" i="31"/>
  <c r="EL15" i="29"/>
  <c r="EL15" i="31" s="1"/>
  <c r="EL28" i="31"/>
  <c r="BS15" i="29"/>
  <c r="BS15" i="31" s="1"/>
  <c r="BS28" i="31"/>
  <c r="DF15" i="29"/>
  <c r="DF15" i="31" s="1"/>
  <c r="DF28" i="31"/>
  <c r="IS15" i="29"/>
  <c r="IS15" i="31" s="1"/>
  <c r="IS28" i="31"/>
  <c r="GK15" i="29"/>
  <c r="GK15" i="31" s="1"/>
  <c r="GK28" i="31"/>
  <c r="JE15" i="29"/>
  <c r="JE15" i="31" s="1"/>
  <c r="JE28" i="31"/>
  <c r="IZ15" i="29"/>
  <c r="IZ15" i="31" s="1"/>
  <c r="IZ28" i="31"/>
  <c r="FF15" i="29"/>
  <c r="FF15" i="31" s="1"/>
  <c r="FF28" i="31"/>
  <c r="GF15" i="29"/>
  <c r="GF15" i="31" s="1"/>
  <c r="GF28" i="31"/>
  <c r="U15" i="29"/>
  <c r="U15" i="31" s="1"/>
  <c r="U28" i="31"/>
  <c r="IF15" i="29"/>
  <c r="IF15" i="31" s="1"/>
  <c r="IF28" i="31"/>
  <c r="AS15" i="29"/>
  <c r="AS15" i="31" s="1"/>
  <c r="AS28" i="31"/>
  <c r="JD15" i="29"/>
  <c r="JD15" i="31" s="1"/>
  <c r="JD28" i="31"/>
  <c r="Y15" i="29"/>
  <c r="Y15" i="31" s="1"/>
  <c r="Y28" i="31"/>
  <c r="DA15" i="29"/>
  <c r="DA15" i="31" s="1"/>
  <c r="DA28" i="31"/>
  <c r="D15" i="29"/>
  <c r="D15" i="31" s="1"/>
  <c r="D28" i="31"/>
  <c r="AP15" i="29"/>
  <c r="AP15" i="31" s="1"/>
  <c r="AP28" i="31"/>
  <c r="Q15" i="29"/>
  <c r="Q15" i="31" s="1"/>
  <c r="Q28" i="31"/>
  <c r="HM15" i="29"/>
  <c r="HM15" i="31" s="1"/>
  <c r="HM28" i="31"/>
  <c r="BC15" i="29"/>
  <c r="BC15" i="31" s="1"/>
  <c r="BC28" i="31"/>
  <c r="BD15" i="29"/>
  <c r="BD15" i="31" s="1"/>
  <c r="BD28" i="31"/>
  <c r="EX15" i="29"/>
  <c r="EX15" i="31" s="1"/>
  <c r="EX28" i="31"/>
  <c r="DK15" i="29"/>
  <c r="DK15" i="31" s="1"/>
  <c r="DK28" i="31"/>
  <c r="AW15" i="29"/>
  <c r="AW15" i="31" s="1"/>
  <c r="AW28" i="31"/>
  <c r="CX15" i="29"/>
  <c r="CX15" i="31" s="1"/>
  <c r="CX28" i="31"/>
  <c r="W15" i="29"/>
  <c r="W15" i="31" s="1"/>
  <c r="W28" i="31"/>
  <c r="IY15" i="29"/>
  <c r="IY15" i="31" s="1"/>
  <c r="IY28" i="31"/>
  <c r="GX15" i="29"/>
  <c r="GX15" i="31" s="1"/>
  <c r="GX28" i="31"/>
  <c r="CP15" i="29"/>
  <c r="CP15" i="31" s="1"/>
  <c r="CP28" i="31"/>
  <c r="O15" i="29"/>
  <c r="O15" i="31" s="1"/>
  <c r="O28" i="31"/>
  <c r="AD15" i="29"/>
  <c r="AD15" i="31" s="1"/>
  <c r="AD28" i="31"/>
  <c r="HN15" i="29"/>
  <c r="HN15" i="31" s="1"/>
  <c r="HN28" i="31"/>
  <c r="HJ15" i="29"/>
  <c r="HJ15" i="31" s="1"/>
  <c r="HJ28" i="31"/>
  <c r="CV15" i="29"/>
  <c r="CV15" i="31" s="1"/>
  <c r="CV28" i="31"/>
  <c r="IT15" i="29"/>
  <c r="IT15" i="31" s="1"/>
  <c r="IT28" i="31"/>
  <c r="HT15" i="29"/>
  <c r="HT15" i="31" s="1"/>
  <c r="HT28" i="31"/>
  <c r="EP15" i="29"/>
  <c r="EP15" i="31" s="1"/>
  <c r="EP28" i="31"/>
  <c r="II15" i="29"/>
  <c r="II15" i="31" s="1"/>
  <c r="II28" i="31"/>
  <c r="FY15" i="29"/>
  <c r="FY15" i="31" s="1"/>
  <c r="FY28" i="31"/>
  <c r="N15" i="29"/>
  <c r="N15" i="31" s="1"/>
  <c r="N28" i="31"/>
  <c r="GR15" i="29"/>
  <c r="GR15" i="31" s="1"/>
  <c r="GR28" i="31"/>
  <c r="HY15" i="29"/>
  <c r="HY15" i="31" s="1"/>
  <c r="HY28" i="31"/>
  <c r="DO15" i="29"/>
  <c r="DO15" i="31" s="1"/>
  <c r="DO28" i="31"/>
  <c r="AV15" i="29"/>
  <c r="AV15" i="31" s="1"/>
  <c r="AV28" i="31"/>
  <c r="EV15" i="29"/>
  <c r="EV15" i="31" s="1"/>
  <c r="EV28" i="31"/>
  <c r="EB15" i="29"/>
  <c r="EB15" i="31" s="1"/>
  <c r="EB28" i="31"/>
  <c r="GE15" i="29"/>
  <c r="GE15" i="31" s="1"/>
  <c r="GE28" i="31"/>
  <c r="EH15" i="29"/>
  <c r="EH15" i="31" s="1"/>
  <c r="EH28" i="31"/>
  <c r="GO15" i="29"/>
  <c r="GO15" i="31" s="1"/>
  <c r="GO28" i="31"/>
  <c r="IV15" i="29"/>
  <c r="IV15" i="31" s="1"/>
  <c r="IV28" i="31"/>
  <c r="HQ15" i="29"/>
  <c r="HQ15" i="31" s="1"/>
  <c r="HQ28" i="31"/>
  <c r="E15" i="29"/>
  <c r="E15" i="31" s="1"/>
  <c r="E28" i="31"/>
  <c r="BR15" i="29"/>
  <c r="BR15" i="31" s="1"/>
  <c r="BR28" i="31"/>
  <c r="HW15" i="29"/>
  <c r="HW15" i="31" s="1"/>
  <c r="HW28" i="31"/>
  <c r="CZ15" i="29"/>
  <c r="CZ15" i="31" s="1"/>
  <c r="CZ28" i="31"/>
  <c r="BJ15" i="29"/>
  <c r="BJ15" i="31" s="1"/>
  <c r="BJ28" i="31"/>
  <c r="EK15" i="29"/>
  <c r="EK15" i="31" s="1"/>
  <c r="EK28" i="31"/>
  <c r="X15" i="29"/>
  <c r="X15" i="31" s="1"/>
  <c r="X28" i="31"/>
  <c r="HC15" i="29"/>
  <c r="HC15" i="31" s="1"/>
  <c r="HC28" i="31"/>
  <c r="BX15" i="29"/>
  <c r="BX15" i="31" s="1"/>
  <c r="BX28" i="31"/>
  <c r="AY15" i="29"/>
  <c r="AY15" i="31" s="1"/>
  <c r="AY28" i="31"/>
  <c r="IL15" i="29"/>
  <c r="IL15" i="31" s="1"/>
  <c r="IL28" i="31"/>
  <c r="AB15" i="29"/>
  <c r="AB15" i="31" s="1"/>
  <c r="AB28" i="31"/>
  <c r="DY15" i="29"/>
  <c r="DY15" i="31" s="1"/>
  <c r="DY28" i="31"/>
  <c r="C15" i="29"/>
  <c r="C15" i="31" s="1"/>
  <c r="C28" i="31"/>
  <c r="IX15" i="29"/>
  <c r="IX15" i="31" s="1"/>
  <c r="IX28" i="31"/>
  <c r="BH15" i="29"/>
  <c r="BH15" i="31" s="1"/>
  <c r="BH28" i="31"/>
  <c r="AX15" i="29"/>
  <c r="AX15" i="31" s="1"/>
  <c r="AX28" i="31"/>
  <c r="CG15" i="29"/>
  <c r="CG15" i="31" s="1"/>
  <c r="CG28" i="31"/>
  <c r="GD15" i="29"/>
  <c r="GD15" i="31" s="1"/>
  <c r="GD28" i="31"/>
  <c r="GF16" i="29"/>
  <c r="GF16" i="31" s="1"/>
  <c r="GF11" i="31"/>
  <c r="U16" i="29"/>
  <c r="U16" i="31" s="1"/>
  <c r="U11" i="31"/>
  <c r="IF16" i="29"/>
  <c r="IF16" i="31" s="1"/>
  <c r="IF11" i="31"/>
  <c r="AS16" i="29"/>
  <c r="AS16" i="31" s="1"/>
  <c r="AS11" i="31"/>
  <c r="JD16" i="29"/>
  <c r="JD16" i="31" s="1"/>
  <c r="JD11" i="31"/>
  <c r="Y16" i="29"/>
  <c r="Y16" i="31" s="1"/>
  <c r="Y11" i="31"/>
  <c r="DA16" i="29"/>
  <c r="DA16" i="31" s="1"/>
  <c r="DA11" i="31"/>
  <c r="AP16" i="29"/>
  <c r="AP16" i="31" s="1"/>
  <c r="AP11" i="31"/>
  <c r="Q16" i="29"/>
  <c r="Q16" i="31" s="1"/>
  <c r="Q11" i="31"/>
  <c r="HM16" i="29"/>
  <c r="HM16" i="31" s="1"/>
  <c r="HM11" i="31"/>
  <c r="BC16" i="29"/>
  <c r="BC16" i="31" s="1"/>
  <c r="BC11" i="31"/>
  <c r="BD16" i="29"/>
  <c r="BD16" i="31" s="1"/>
  <c r="BD11" i="31"/>
  <c r="EX16" i="29"/>
  <c r="EX16" i="31" s="1"/>
  <c r="EX11" i="31"/>
  <c r="DK16" i="29"/>
  <c r="DK16" i="31" s="1"/>
  <c r="DK11" i="31"/>
  <c r="AW16" i="29"/>
  <c r="AW16" i="31" s="1"/>
  <c r="AW11" i="31"/>
  <c r="CX16" i="29"/>
  <c r="CX16" i="31" s="1"/>
  <c r="CX11" i="31"/>
  <c r="W16" i="29"/>
  <c r="W16" i="31" s="1"/>
  <c r="W11" i="31"/>
  <c r="IY16" i="29"/>
  <c r="IY16" i="31" s="1"/>
  <c r="IY11" i="31"/>
  <c r="GX16" i="29"/>
  <c r="GX16" i="31" s="1"/>
  <c r="GX11" i="31"/>
  <c r="CP16" i="29"/>
  <c r="CP16" i="31" s="1"/>
  <c r="CP11" i="31"/>
  <c r="O16" i="29"/>
  <c r="O16" i="31" s="1"/>
  <c r="O11" i="31"/>
  <c r="AD16" i="29"/>
  <c r="AD16" i="31" s="1"/>
  <c r="AD11" i="31"/>
  <c r="HN16" i="29"/>
  <c r="HN16" i="31" s="1"/>
  <c r="HN11" i="31"/>
  <c r="HJ16" i="29"/>
  <c r="HJ16" i="31" s="1"/>
  <c r="HJ11" i="31"/>
  <c r="CV16" i="29"/>
  <c r="CV16" i="31" s="1"/>
  <c r="CV11" i="31"/>
  <c r="IT16" i="29"/>
  <c r="IT16" i="31" s="1"/>
  <c r="IT11" i="31"/>
  <c r="HT16" i="29"/>
  <c r="HT16" i="31" s="1"/>
  <c r="HT11" i="31"/>
  <c r="EP16" i="29"/>
  <c r="EP16" i="31" s="1"/>
  <c r="EP11" i="31"/>
  <c r="II16" i="29"/>
  <c r="II16" i="31" s="1"/>
  <c r="II11" i="31"/>
  <c r="FY16" i="29"/>
  <c r="FY16" i="31" s="1"/>
  <c r="FY11" i="31"/>
  <c r="N16" i="29"/>
  <c r="N16" i="31" s="1"/>
  <c r="N11" i="31"/>
  <c r="GR16" i="29"/>
  <c r="GR16" i="31" s="1"/>
  <c r="GR11" i="31"/>
  <c r="HY16" i="29"/>
  <c r="HY16" i="31" s="1"/>
  <c r="HY11" i="31"/>
  <c r="DO16" i="29"/>
  <c r="DO16" i="31" s="1"/>
  <c r="DO11" i="31"/>
  <c r="AV16" i="29"/>
  <c r="AV16" i="31" s="1"/>
  <c r="AV11" i="31"/>
  <c r="EB16" i="29"/>
  <c r="EB16" i="31" s="1"/>
  <c r="EB11" i="31"/>
  <c r="GE16" i="29"/>
  <c r="GE16" i="31" s="1"/>
  <c r="GE11" i="31"/>
  <c r="EH16" i="29"/>
  <c r="EH16" i="31" s="1"/>
  <c r="EH11" i="31"/>
  <c r="GO16" i="29"/>
  <c r="GO16" i="31" s="1"/>
  <c r="GO11" i="31"/>
  <c r="IV16" i="29"/>
  <c r="IV16" i="31" s="1"/>
  <c r="IV11" i="31"/>
  <c r="HQ16" i="29"/>
  <c r="HQ16" i="31" s="1"/>
  <c r="HQ11" i="31"/>
  <c r="E16" i="29"/>
  <c r="E16" i="31" s="1"/>
  <c r="E11" i="31"/>
  <c r="JL11" i="31" s="1"/>
  <c r="BR16" i="29"/>
  <c r="BR16" i="31" s="1"/>
  <c r="BR11" i="31"/>
  <c r="HW16" i="29"/>
  <c r="HW16" i="31" s="1"/>
  <c r="HW11" i="31"/>
  <c r="CZ16" i="29"/>
  <c r="CZ16" i="31" s="1"/>
  <c r="CZ11" i="31"/>
  <c r="BJ16" i="29"/>
  <c r="BJ16" i="31" s="1"/>
  <c r="BJ11" i="31"/>
  <c r="EK16" i="29"/>
  <c r="EK16" i="31" s="1"/>
  <c r="EK11" i="31"/>
  <c r="X16" i="29"/>
  <c r="X16" i="31" s="1"/>
  <c r="X11" i="31"/>
  <c r="HC16" i="29"/>
  <c r="HC16" i="31" s="1"/>
  <c r="HC11" i="31"/>
  <c r="BX16" i="29"/>
  <c r="BX16" i="31" s="1"/>
  <c r="BX11" i="31"/>
  <c r="AY16" i="29"/>
  <c r="AY16" i="31" s="1"/>
  <c r="AY11" i="31"/>
  <c r="IL16" i="29"/>
  <c r="IL16" i="31" s="1"/>
  <c r="IL11" i="31"/>
  <c r="AB16" i="29"/>
  <c r="AB16" i="31" s="1"/>
  <c r="AB11" i="31"/>
  <c r="DY16" i="29"/>
  <c r="DY16" i="31" s="1"/>
  <c r="DY11" i="31"/>
  <c r="IX16" i="29"/>
  <c r="IX16" i="31" s="1"/>
  <c r="IX11" i="31"/>
  <c r="BH16" i="29"/>
  <c r="BH16" i="31" s="1"/>
  <c r="BH11" i="31"/>
  <c r="AX16" i="29"/>
  <c r="AX16" i="31" s="1"/>
  <c r="AX11" i="31"/>
  <c r="CG16" i="29"/>
  <c r="CG16" i="31" s="1"/>
  <c r="CG11" i="31"/>
  <c r="GD16" i="29"/>
  <c r="GD16" i="31" s="1"/>
  <c r="GD11" i="31"/>
  <c r="DR15" i="29"/>
  <c r="DR15" i="31" s="1"/>
  <c r="DR28" i="31"/>
  <c r="GJ15" i="29"/>
  <c r="GJ15" i="31" s="1"/>
  <c r="GJ28" i="31"/>
  <c r="GS15" i="29"/>
  <c r="GS15" i="31" s="1"/>
  <c r="GS28" i="31"/>
  <c r="DT15" i="29"/>
  <c r="DT15" i="31" s="1"/>
  <c r="DT28" i="31"/>
  <c r="IK15" i="29"/>
  <c r="IK15" i="31" s="1"/>
  <c r="IK28" i="31"/>
  <c r="P15" i="29"/>
  <c r="P15" i="31" s="1"/>
  <c r="P28" i="31"/>
  <c r="T15" i="29"/>
  <c r="T15" i="31" s="1"/>
  <c r="T28" i="31"/>
  <c r="EN15" i="29"/>
  <c r="EN15" i="31" s="1"/>
  <c r="EN28" i="31"/>
  <c r="FC15" i="29"/>
  <c r="FC15" i="31" s="1"/>
  <c r="FC28" i="31"/>
  <c r="I15" i="29"/>
  <c r="I15" i="31" s="1"/>
  <c r="I28" i="31"/>
  <c r="HH15" i="29"/>
  <c r="HH15" i="31" s="1"/>
  <c r="HH28" i="31"/>
  <c r="HK15" i="29"/>
  <c r="HK15" i="31" s="1"/>
  <c r="HK28" i="31"/>
  <c r="FB15" i="29"/>
  <c r="FB15" i="31" s="1"/>
  <c r="FB28" i="31"/>
  <c r="BI15" i="29"/>
  <c r="BI15" i="31" s="1"/>
  <c r="BI28" i="31"/>
  <c r="EO15" i="29"/>
  <c r="EO15" i="31" s="1"/>
  <c r="EO28" i="31"/>
  <c r="BU15" i="29"/>
  <c r="BU15" i="31" s="1"/>
  <c r="BU28" i="31"/>
  <c r="ED15" i="29"/>
  <c r="ED15" i="31" s="1"/>
  <c r="ED28" i="31"/>
  <c r="HE15" i="29"/>
  <c r="HE15" i="31" s="1"/>
  <c r="HE28" i="31"/>
  <c r="JH15" i="29"/>
  <c r="JH15" i="31" s="1"/>
  <c r="JH28" i="31"/>
  <c r="DC15" i="29"/>
  <c r="DC15" i="31" s="1"/>
  <c r="DC28" i="31"/>
  <c r="AR15" i="29"/>
  <c r="AR15" i="31" s="1"/>
  <c r="AR28" i="31"/>
  <c r="AI15" i="29"/>
  <c r="AI15" i="31" s="1"/>
  <c r="AI28" i="31"/>
  <c r="AF15" i="29"/>
  <c r="AF15" i="31" s="1"/>
  <c r="AF28" i="31"/>
  <c r="AQ15" i="29"/>
  <c r="AQ15" i="31" s="1"/>
  <c r="AQ28" i="31"/>
  <c r="HD15" i="29"/>
  <c r="HD15" i="31" s="1"/>
  <c r="HD28" i="31"/>
  <c r="FZ15" i="29"/>
  <c r="FZ15" i="31" s="1"/>
  <c r="FZ28" i="31"/>
  <c r="IU15" i="29"/>
  <c r="IU15" i="31" s="1"/>
  <c r="IU28" i="31"/>
  <c r="EG15" i="29"/>
  <c r="EG15" i="31" s="1"/>
  <c r="EG28" i="31"/>
  <c r="BP15" i="29"/>
  <c r="BP15" i="31" s="1"/>
  <c r="BP28" i="31"/>
  <c r="CI15" i="29"/>
  <c r="CI15" i="31" s="1"/>
  <c r="CI28" i="31"/>
  <c r="HS15" i="29"/>
  <c r="HS15" i="31" s="1"/>
  <c r="HS28" i="31"/>
  <c r="FM15" i="29"/>
  <c r="FM15" i="31" s="1"/>
  <c r="FM28" i="31"/>
  <c r="FJ15" i="29"/>
  <c r="FJ15" i="31" s="1"/>
  <c r="FJ28" i="31"/>
  <c r="F15" i="29"/>
  <c r="F15" i="31" s="1"/>
  <c r="F28" i="31"/>
  <c r="BE15" i="29"/>
  <c r="BE15" i="31" s="1"/>
  <c r="BE28" i="31"/>
  <c r="DV15" i="29"/>
  <c r="DV15" i="31" s="1"/>
  <c r="DV28" i="31"/>
  <c r="S15" i="29"/>
  <c r="S15" i="31" s="1"/>
  <c r="S28" i="31"/>
  <c r="AK15" i="29"/>
  <c r="AK28" i="31"/>
  <c r="CE15" i="29"/>
  <c r="CE15" i="31" s="1"/>
  <c r="CE28" i="31"/>
  <c r="HF15" i="29"/>
  <c r="HF15" i="31" s="1"/>
  <c r="HF28" i="31"/>
  <c r="BN15" i="29"/>
  <c r="BN15" i="31" s="1"/>
  <c r="BN28" i="31"/>
  <c r="J15" i="29"/>
  <c r="J15" i="31" s="1"/>
  <c r="J28" i="31"/>
  <c r="HP15" i="29"/>
  <c r="HP15" i="31" s="1"/>
  <c r="HP28" i="31"/>
  <c r="GL15" i="29"/>
  <c r="GL15" i="31" s="1"/>
  <c r="GL28" i="31"/>
  <c r="EM15" i="29"/>
  <c r="EM15" i="31" s="1"/>
  <c r="EM28" i="31"/>
  <c r="FP15" i="29"/>
  <c r="FP15" i="31" s="1"/>
  <c r="FP28" i="31"/>
  <c r="HI15" i="29"/>
  <c r="HI15" i="31" s="1"/>
  <c r="HI28" i="31"/>
  <c r="IQ15" i="29"/>
  <c r="IQ15" i="31" s="1"/>
  <c r="IQ28" i="31"/>
  <c r="EW15" i="29"/>
  <c r="EW15" i="31" s="1"/>
  <c r="EW28" i="31"/>
  <c r="GA15" i="29"/>
  <c r="GA15" i="31" s="1"/>
  <c r="GA28" i="31"/>
  <c r="CY15" i="29"/>
  <c r="CY15" i="31" s="1"/>
  <c r="CY28" i="31"/>
  <c r="HG15" i="29"/>
  <c r="HG15" i="31" s="1"/>
  <c r="HG28" i="31"/>
  <c r="BO15" i="29"/>
  <c r="BO15" i="31" s="1"/>
  <c r="BO28" i="31"/>
  <c r="FD15" i="29"/>
  <c r="FD15" i="31" s="1"/>
  <c r="FD28" i="31"/>
  <c r="CO15" i="29"/>
  <c r="CO15" i="31" s="1"/>
  <c r="CO28" i="31"/>
  <c r="EE15" i="29"/>
  <c r="EE15" i="31" s="1"/>
  <c r="EE28" i="31"/>
  <c r="FL15" i="29"/>
  <c r="FL15" i="31" s="1"/>
  <c r="FL28" i="31"/>
  <c r="CQ15" i="29"/>
  <c r="CQ15" i="31" s="1"/>
  <c r="CQ28" i="31"/>
  <c r="CF15" i="29"/>
  <c r="CF15" i="31" s="1"/>
  <c r="CF28" i="31"/>
  <c r="EI15" i="29"/>
  <c r="EI15" i="31" s="1"/>
  <c r="EI28" i="31"/>
  <c r="FE15" i="29"/>
  <c r="FE15" i="31" s="1"/>
  <c r="FE28" i="31"/>
  <c r="FA15" i="29"/>
  <c r="FA15" i="31" s="1"/>
  <c r="FA28" i="31"/>
  <c r="AH15" i="29"/>
  <c r="AH15" i="31" s="1"/>
  <c r="AH28" i="31"/>
  <c r="GQ15" i="29"/>
  <c r="GQ15" i="31" s="1"/>
  <c r="GQ28" i="31"/>
  <c r="DH15" i="29"/>
  <c r="DH15" i="31" s="1"/>
  <c r="DH28" i="31"/>
  <c r="FN15" i="29"/>
  <c r="FN15" i="31" s="1"/>
  <c r="FN28" i="31"/>
  <c r="GP16" i="29"/>
  <c r="GP16" i="31" s="1"/>
  <c r="GP11" i="31"/>
  <c r="JB16" i="29"/>
  <c r="JB16" i="31" s="1"/>
  <c r="JB11" i="31"/>
  <c r="GY16" i="29"/>
  <c r="GY16" i="31" s="1"/>
  <c r="GY11" i="31"/>
  <c r="BB16" i="29"/>
  <c r="BB16" i="31" s="1"/>
  <c r="BB11" i="31"/>
  <c r="CM16" i="29"/>
  <c r="CM16" i="31" s="1"/>
  <c r="CM11" i="31"/>
  <c r="IP16" i="29"/>
  <c r="IP16" i="31" s="1"/>
  <c r="IP11" i="31"/>
  <c r="Z16" i="29"/>
  <c r="Z16" i="31" s="1"/>
  <c r="Z11" i="31"/>
  <c r="FV16" i="29"/>
  <c r="FV16" i="31" s="1"/>
  <c r="FV11" i="31"/>
  <c r="BT16" i="29"/>
  <c r="BT16" i="31" s="1"/>
  <c r="BT11" i="31"/>
  <c r="AJ16" i="29"/>
  <c r="AJ16" i="31" s="1"/>
  <c r="AJ11" i="31"/>
  <c r="FI16" i="29"/>
  <c r="FI16" i="31" s="1"/>
  <c r="FI11" i="31"/>
  <c r="IC16" i="29"/>
  <c r="IC16" i="31" s="1"/>
  <c r="IC11" i="31"/>
  <c r="AL16" i="29"/>
  <c r="AL16" i="31" s="1"/>
  <c r="AL11" i="31"/>
  <c r="JA16" i="29"/>
  <c r="JA16" i="31" s="1"/>
  <c r="JA11" i="31"/>
  <c r="AU16" i="29"/>
  <c r="AU16" i="31" s="1"/>
  <c r="AU11" i="31"/>
  <c r="CJ16" i="29"/>
  <c r="CJ16" i="31" s="1"/>
  <c r="CJ11" i="31"/>
  <c r="FW16" i="29"/>
  <c r="FW16" i="31" s="1"/>
  <c r="FW11" i="31"/>
  <c r="BA16" i="29"/>
  <c r="BA16" i="31" s="1"/>
  <c r="BA11" i="31"/>
  <c r="BQ16" i="29"/>
  <c r="BQ16" i="31" s="1"/>
  <c r="BQ11" i="31"/>
  <c r="GT16" i="29"/>
  <c r="GT16" i="31" s="1"/>
  <c r="GT11" i="31"/>
  <c r="DE16" i="29"/>
  <c r="DE16" i="31" s="1"/>
  <c r="DE11" i="31"/>
  <c r="DB16" i="29"/>
  <c r="DB16" i="31" s="1"/>
  <c r="DB11" i="31"/>
  <c r="CB16" i="29"/>
  <c r="CB16" i="31" s="1"/>
  <c r="CB11" i="31"/>
  <c r="IN16" i="29"/>
  <c r="IN16" i="31" s="1"/>
  <c r="IN11" i="31"/>
  <c r="BW16" i="29"/>
  <c r="BW16" i="31" s="1"/>
  <c r="BW11" i="31"/>
  <c r="AE16" i="29"/>
  <c r="AE16" i="31" s="1"/>
  <c r="AE11" i="31"/>
  <c r="EZ16" i="29"/>
  <c r="EZ16" i="31" s="1"/>
  <c r="EZ11" i="31"/>
  <c r="BZ16" i="29"/>
  <c r="BZ16" i="31" s="1"/>
  <c r="BZ11" i="31"/>
  <c r="CD16" i="29"/>
  <c r="CD16" i="31" s="1"/>
  <c r="CD11" i="31"/>
  <c r="BG16" i="29"/>
  <c r="BG16" i="31" s="1"/>
  <c r="BG11" i="31"/>
  <c r="EF16" i="29"/>
  <c r="EF16" i="31" s="1"/>
  <c r="EF11" i="31"/>
  <c r="GU16" i="29"/>
  <c r="GU16" i="31" s="1"/>
  <c r="GU11" i="31"/>
  <c r="FG16" i="29"/>
  <c r="FG16" i="31" s="1"/>
  <c r="FG11" i="31"/>
  <c r="HB16" i="29"/>
  <c r="HB16" i="31" s="1"/>
  <c r="HB11" i="31"/>
  <c r="HZ16" i="29"/>
  <c r="HZ16" i="31" s="1"/>
  <c r="HZ11" i="31"/>
  <c r="EY16" i="29"/>
  <c r="EY16" i="31" s="1"/>
  <c r="EY11" i="31"/>
  <c r="GI16" i="29"/>
  <c r="GI16" i="31" s="1"/>
  <c r="GI11" i="31"/>
  <c r="CH16" i="29"/>
  <c r="CH16" i="31" s="1"/>
  <c r="CH11" i="31"/>
  <c r="FU16" i="29"/>
  <c r="FU16" i="31" s="1"/>
  <c r="FU11" i="31"/>
  <c r="IJ16" i="29"/>
  <c r="IJ16" i="31" s="1"/>
  <c r="IJ11" i="31"/>
  <c r="R16" i="29"/>
  <c r="R16" i="31" s="1"/>
  <c r="R11" i="31"/>
  <c r="IR16" i="29"/>
  <c r="IR16" i="31" s="1"/>
  <c r="IR11" i="31"/>
  <c r="DZ16" i="29"/>
  <c r="DZ16" i="31" s="1"/>
  <c r="DZ11" i="31"/>
  <c r="DD16" i="29"/>
  <c r="DD16" i="31" s="1"/>
  <c r="DD11" i="31"/>
  <c r="HO16" i="29"/>
  <c r="HO16" i="31" s="1"/>
  <c r="HO11" i="31"/>
  <c r="EA16" i="29"/>
  <c r="EA16" i="31" s="1"/>
  <c r="EA11" i="31"/>
  <c r="BM16" i="29"/>
  <c r="BM16" i="31" s="1"/>
  <c r="BM11" i="31"/>
  <c r="CC16" i="29"/>
  <c r="CC16" i="31" s="1"/>
  <c r="CC11" i="31"/>
  <c r="IE16" i="29"/>
  <c r="IE16" i="31" s="1"/>
  <c r="IE11" i="31"/>
  <c r="AM16" i="29"/>
  <c r="AM16" i="31" s="1"/>
  <c r="AM11" i="31"/>
  <c r="AZ16" i="29"/>
  <c r="AZ16" i="31" s="1"/>
  <c r="AZ11" i="31"/>
  <c r="BK16" i="29"/>
  <c r="BK16" i="31" s="1"/>
  <c r="BK11" i="31"/>
  <c r="DN16" i="29"/>
  <c r="DN16" i="31" s="1"/>
  <c r="DN11" i="31"/>
  <c r="M16" i="29"/>
  <c r="M16" i="31" s="1"/>
  <c r="M11" i="31"/>
  <c r="CK16" i="29"/>
  <c r="CK16" i="31" s="1"/>
  <c r="CK11" i="31"/>
  <c r="IM16" i="29"/>
  <c r="IM16" i="31" s="1"/>
  <c r="IM11" i="31"/>
  <c r="GB16" i="29"/>
  <c r="GB16" i="31" s="1"/>
  <c r="GB11" i="31"/>
  <c r="CN16" i="29"/>
  <c r="CN16" i="31" s="1"/>
  <c r="CN11" i="31"/>
  <c r="FX16" i="29"/>
  <c r="FX16" i="31" s="1"/>
  <c r="FX11" i="31"/>
  <c r="EC16" i="29"/>
  <c r="EC16" i="31" s="1"/>
  <c r="EC11" i="31"/>
  <c r="JF16" i="29"/>
  <c r="JF16" i="31" s="1"/>
  <c r="JF11" i="31"/>
  <c r="HU16" i="29"/>
  <c r="HU16" i="31" s="1"/>
  <c r="HU11" i="31"/>
  <c r="GN16" i="29"/>
  <c r="GN16" i="31" s="1"/>
  <c r="GN11" i="31"/>
  <c r="FT16" i="29"/>
  <c r="FT16" i="31" s="1"/>
  <c r="FT11" i="31"/>
  <c r="HL16" i="29"/>
  <c r="JO11" i="29"/>
  <c r="F16" i="29"/>
  <c r="JM11" i="29"/>
  <c r="JL15" i="29"/>
  <c r="JI11" i="29"/>
  <c r="JI11" i="31" s="1"/>
  <c r="D16" i="29"/>
  <c r="D16" i="31" s="1"/>
  <c r="JN11" i="29"/>
  <c r="EV16" i="29"/>
  <c r="JL11" i="29"/>
  <c r="C16" i="29"/>
  <c r="C16" i="31" s="1"/>
  <c r="F191" i="3"/>
  <c r="H3" i="3"/>
  <c r="H4" i="3"/>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9" i="3"/>
  <c r="H170" i="3"/>
  <c r="H171" i="3"/>
  <c r="H172" i="3"/>
  <c r="H173" i="3"/>
  <c r="H174" i="3"/>
  <c r="H175" i="3"/>
  <c r="H176" i="3"/>
  <c r="H177" i="3"/>
  <c r="H178" i="3"/>
  <c r="H179" i="3"/>
  <c r="H180" i="3"/>
  <c r="H181" i="3"/>
  <c r="H182" i="3"/>
  <c r="H183" i="3"/>
  <c r="H184" i="3"/>
  <c r="H185" i="3"/>
  <c r="H186" i="3"/>
  <c r="H187" i="3"/>
  <c r="H188" i="3"/>
  <c r="H189" i="3"/>
  <c r="H190" i="3"/>
  <c r="H2" i="3"/>
  <c r="G168" i="3"/>
  <c r="H168" i="3" s="1"/>
  <c r="J257" i="2"/>
  <c r="K3" i="2"/>
  <c r="K4" i="2"/>
  <c r="K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 i="2"/>
  <c r="F4" i="8"/>
  <c r="F5" i="8"/>
  <c r="F6" i="8"/>
  <c r="F7" i="8"/>
  <c r="F8" i="8"/>
  <c r="F9" i="8"/>
  <c r="F10" i="8"/>
  <c r="F11" i="8"/>
  <c r="F12" i="8"/>
  <c r="F3" i="8"/>
  <c r="E13" i="8"/>
  <c r="JL15" i="31" l="1"/>
  <c r="AC76" i="29"/>
  <c r="AC38" i="29"/>
  <c r="AC93" i="29"/>
  <c r="AC94" i="31"/>
  <c r="JO11" i="31"/>
  <c r="JO15" i="29"/>
  <c r="JM11" i="31"/>
  <c r="JN11" i="31"/>
  <c r="JL16" i="31"/>
  <c r="JM15" i="29"/>
  <c r="JO16" i="29"/>
  <c r="HL16" i="31"/>
  <c r="JO16" i="31" s="1"/>
  <c r="JN15" i="31"/>
  <c r="JO15" i="31"/>
  <c r="JM16" i="29"/>
  <c r="F16" i="31"/>
  <c r="JM16" i="31" s="1"/>
  <c r="JN16" i="29"/>
  <c r="EV16" i="31"/>
  <c r="JN16" i="31" s="1"/>
  <c r="JN15" i="29"/>
  <c r="AK14" i="29"/>
  <c r="AK15" i="31"/>
  <c r="JM15" i="31" s="1"/>
  <c r="GK77" i="29"/>
  <c r="GK81" i="31" s="1"/>
  <c r="GK39" i="29"/>
  <c r="GK43" i="31" s="1"/>
  <c r="JE38" i="29"/>
  <c r="JE76" i="29"/>
  <c r="IS76" i="29"/>
  <c r="IS38" i="29"/>
  <c r="IJ38" i="29"/>
  <c r="IJ76" i="29"/>
  <c r="IB76" i="29"/>
  <c r="IB38" i="29"/>
  <c r="HT38" i="29"/>
  <c r="HT76" i="29"/>
  <c r="HK76" i="29"/>
  <c r="HK38" i="29"/>
  <c r="HC76" i="29"/>
  <c r="HC80" i="31" s="1"/>
  <c r="HC38" i="29"/>
  <c r="HC42" i="31" s="1"/>
  <c r="GT38" i="29"/>
  <c r="GT42" i="31" s="1"/>
  <c r="GT76" i="29"/>
  <c r="GT80" i="31" s="1"/>
  <c r="GL38" i="29"/>
  <c r="GL42" i="31" s="1"/>
  <c r="GL76" i="29"/>
  <c r="GL80" i="31" s="1"/>
  <c r="GI76" i="29"/>
  <c r="GI80" i="31" s="1"/>
  <c r="GI38" i="29"/>
  <c r="GI42" i="31" s="1"/>
  <c r="FZ38" i="29"/>
  <c r="FZ42" i="31" s="1"/>
  <c r="FZ76" i="29"/>
  <c r="FZ80" i="31" s="1"/>
  <c r="FQ76" i="29"/>
  <c r="FQ80" i="31" s="1"/>
  <c r="FQ38" i="29"/>
  <c r="FQ42" i="31" s="1"/>
  <c r="FJ38" i="29"/>
  <c r="FJ42" i="31" s="1"/>
  <c r="FJ76" i="29"/>
  <c r="FJ80" i="31" s="1"/>
  <c r="FB38" i="29"/>
  <c r="FB42" i="31" s="1"/>
  <c r="FB76" i="29"/>
  <c r="FB80" i="31" s="1"/>
  <c r="ER76" i="29"/>
  <c r="ER80" i="31" s="1"/>
  <c r="ER38" i="29"/>
  <c r="ER42" i="31" s="1"/>
  <c r="EJ38" i="29"/>
  <c r="EJ42" i="31" s="1"/>
  <c r="EJ76" i="29"/>
  <c r="EJ80" i="31" s="1"/>
  <c r="EB76" i="29"/>
  <c r="EB38" i="29"/>
  <c r="DT38" i="29"/>
  <c r="DT42" i="31" s="1"/>
  <c r="DT76" i="29"/>
  <c r="DT80" i="31" s="1"/>
  <c r="DJ38" i="29"/>
  <c r="DJ42" i="31" s="1"/>
  <c r="DJ76" i="29"/>
  <c r="DJ80" i="31" s="1"/>
  <c r="CY76" i="29"/>
  <c r="CY80" i="31" s="1"/>
  <c r="CY38" i="29"/>
  <c r="CY42" i="31" s="1"/>
  <c r="CP38" i="29"/>
  <c r="CP76" i="29"/>
  <c r="CC76" i="29"/>
  <c r="CC80" i="31" s="1"/>
  <c r="CC38" i="29"/>
  <c r="CC42" i="31" s="1"/>
  <c r="AJ76" i="29"/>
  <c r="AJ80" i="31" s="1"/>
  <c r="AJ38" i="29"/>
  <c r="AJ42" i="31" s="1"/>
  <c r="JH76" i="29"/>
  <c r="JH38" i="29"/>
  <c r="JD76" i="29"/>
  <c r="JD38" i="29"/>
  <c r="IZ38" i="29"/>
  <c r="IZ76" i="29"/>
  <c r="IV76" i="29"/>
  <c r="IV38" i="29"/>
  <c r="IR76" i="29"/>
  <c r="IR38" i="29"/>
  <c r="IN76" i="29"/>
  <c r="IN38" i="29"/>
  <c r="II76" i="29"/>
  <c r="II38" i="29"/>
  <c r="IE76" i="29"/>
  <c r="IE38" i="29"/>
  <c r="IA76" i="29"/>
  <c r="IA38" i="29"/>
  <c r="HW76" i="29"/>
  <c r="HW38" i="29"/>
  <c r="HS76" i="29"/>
  <c r="HS38" i="29"/>
  <c r="HN38" i="29"/>
  <c r="HN76" i="29"/>
  <c r="HJ38" i="29"/>
  <c r="HJ42" i="31" s="1"/>
  <c r="HJ76" i="29"/>
  <c r="HJ80" i="31" s="1"/>
  <c r="HF38" i="29"/>
  <c r="HF42" i="31" s="1"/>
  <c r="HF76" i="29"/>
  <c r="HF80" i="31" s="1"/>
  <c r="GY76" i="29"/>
  <c r="GY80" i="31" s="1"/>
  <c r="GY38" i="29"/>
  <c r="GY42" i="31" s="1"/>
  <c r="GW76" i="29"/>
  <c r="GW80" i="31" s="1"/>
  <c r="GW38" i="29"/>
  <c r="GW42" i="31" s="1"/>
  <c r="GS76" i="29"/>
  <c r="GS80" i="31" s="1"/>
  <c r="GS38" i="29"/>
  <c r="GS42" i="31" s="1"/>
  <c r="GO76" i="29"/>
  <c r="GO80" i="31" s="1"/>
  <c r="GO38" i="29"/>
  <c r="GO42" i="31" s="1"/>
  <c r="GK76" i="29"/>
  <c r="GK38" i="29"/>
  <c r="GH38" i="29"/>
  <c r="GH42" i="31" s="1"/>
  <c r="GH76" i="29"/>
  <c r="GH80" i="31" s="1"/>
  <c r="GC76" i="29"/>
  <c r="GC80" i="31" s="1"/>
  <c r="GC38" i="29"/>
  <c r="GC42" i="31" s="1"/>
  <c r="FY76" i="29"/>
  <c r="FY80" i="31" s="1"/>
  <c r="FY38" i="29"/>
  <c r="FY42" i="31" s="1"/>
  <c r="FU76" i="29"/>
  <c r="FU80" i="31" s="1"/>
  <c r="FU38" i="29"/>
  <c r="FU42" i="31" s="1"/>
  <c r="FP76" i="29"/>
  <c r="FP80" i="31" s="1"/>
  <c r="FP38" i="29"/>
  <c r="FP42" i="31" s="1"/>
  <c r="FL76" i="29"/>
  <c r="FL80" i="31" s="1"/>
  <c r="FL38" i="29"/>
  <c r="FL42" i="31" s="1"/>
  <c r="BI76" i="29"/>
  <c r="BI80" i="31" s="1"/>
  <c r="BI38" i="29"/>
  <c r="BI42" i="31" s="1"/>
  <c r="FE76" i="29"/>
  <c r="FE38" i="29"/>
  <c r="FA76" i="29"/>
  <c r="FA80" i="31" s="1"/>
  <c r="FA38" i="29"/>
  <c r="FA42" i="31" s="1"/>
  <c r="EW76" i="29"/>
  <c r="EW80" i="31" s="1"/>
  <c r="EW38" i="29"/>
  <c r="EW42" i="31" s="1"/>
  <c r="EQ76" i="29"/>
  <c r="EQ38" i="29"/>
  <c r="EM76" i="29"/>
  <c r="EM80" i="31" s="1"/>
  <c r="EM38" i="29"/>
  <c r="EM42" i="31" s="1"/>
  <c r="EI76" i="29"/>
  <c r="EI80" i="31" s="1"/>
  <c r="EI38" i="29"/>
  <c r="EI42" i="31" s="1"/>
  <c r="EF76" i="29"/>
  <c r="EF80" i="31" s="1"/>
  <c r="EF38" i="29"/>
  <c r="EF42" i="31" s="1"/>
  <c r="EA76" i="29"/>
  <c r="EA80" i="31" s="1"/>
  <c r="EA38" i="29"/>
  <c r="EA42" i="31" s="1"/>
  <c r="DW76" i="29"/>
  <c r="DW80" i="31" s="1"/>
  <c r="DW38" i="29"/>
  <c r="DW42" i="31" s="1"/>
  <c r="DR38" i="29"/>
  <c r="DR42" i="31" s="1"/>
  <c r="DR76" i="29"/>
  <c r="DR80" i="31" s="1"/>
  <c r="DN38" i="29"/>
  <c r="DN42" i="31" s="1"/>
  <c r="DN76" i="29"/>
  <c r="DN80" i="31" s="1"/>
  <c r="DK76" i="29"/>
  <c r="DK80" i="31" s="1"/>
  <c r="DK38" i="29"/>
  <c r="DK42" i="31" s="1"/>
  <c r="DG76" i="29"/>
  <c r="DG38" i="29"/>
  <c r="DB38" i="29"/>
  <c r="DB42" i="31" s="1"/>
  <c r="DB76" i="29"/>
  <c r="DB80" i="31" s="1"/>
  <c r="CX38" i="29"/>
  <c r="CX42" i="31" s="1"/>
  <c r="CX76" i="29"/>
  <c r="CX80" i="31" s="1"/>
  <c r="CT38" i="29"/>
  <c r="CT42" i="31" s="1"/>
  <c r="CT76" i="29"/>
  <c r="CT80" i="31" s="1"/>
  <c r="CO76" i="29"/>
  <c r="CO38" i="29"/>
  <c r="CK76" i="29"/>
  <c r="CK38" i="29"/>
  <c r="CG76" i="29"/>
  <c r="CG80" i="31" s="1"/>
  <c r="CG38" i="29"/>
  <c r="CG42" i="31" s="1"/>
  <c r="CD38" i="29"/>
  <c r="CD42" i="31" s="1"/>
  <c r="CD76" i="29"/>
  <c r="CD80" i="31" s="1"/>
  <c r="BX38" i="29"/>
  <c r="BX42" i="31" s="1"/>
  <c r="BX76" i="29"/>
  <c r="BX80" i="31" s="1"/>
  <c r="BT76" i="29"/>
  <c r="BT38" i="29"/>
  <c r="BP76" i="29"/>
  <c r="BP80" i="31" s="1"/>
  <c r="BP38" i="29"/>
  <c r="BP42" i="31" s="1"/>
  <c r="BF38" i="29"/>
  <c r="BF76" i="29"/>
  <c r="BC76" i="29"/>
  <c r="BC80" i="31" s="1"/>
  <c r="BC38" i="29"/>
  <c r="BC42" i="31" s="1"/>
  <c r="AY76" i="29"/>
  <c r="AY80" i="31" s="1"/>
  <c r="AY38" i="29"/>
  <c r="AY42" i="31" s="1"/>
  <c r="AU76" i="29"/>
  <c r="AU80" i="31" s="1"/>
  <c r="AU38" i="29"/>
  <c r="AU42" i="31" s="1"/>
  <c r="AS76" i="29"/>
  <c r="AS80" i="31" s="1"/>
  <c r="AS38" i="29"/>
  <c r="AS42" i="31" s="1"/>
  <c r="AM76" i="29"/>
  <c r="AM80" i="31" s="1"/>
  <c r="AM38" i="29"/>
  <c r="AM42" i="31" s="1"/>
  <c r="AI76" i="29"/>
  <c r="AI80" i="31" s="1"/>
  <c r="AI38" i="29"/>
  <c r="AI42" i="31" s="1"/>
  <c r="Y38" i="29"/>
  <c r="Y42" i="31" s="1"/>
  <c r="Y76" i="29"/>
  <c r="Y80" i="31" s="1"/>
  <c r="S76" i="29"/>
  <c r="S80" i="31" s="1"/>
  <c r="S38" i="29"/>
  <c r="S42" i="31" s="1"/>
  <c r="Q38" i="29"/>
  <c r="Q42" i="31" s="1"/>
  <c r="Q76" i="29"/>
  <c r="Q80" i="31" s="1"/>
  <c r="M38" i="29"/>
  <c r="M42" i="31" s="1"/>
  <c r="M76" i="29"/>
  <c r="M80" i="31" s="1"/>
  <c r="I38" i="29"/>
  <c r="I76" i="29"/>
  <c r="E38" i="29"/>
  <c r="E42" i="31" s="1"/>
  <c r="E76" i="29"/>
  <c r="HH77" i="29"/>
  <c r="HH81" i="31" s="1"/>
  <c r="HH39" i="29"/>
  <c r="HH43" i="31" s="1"/>
  <c r="HD77" i="29"/>
  <c r="HD81" i="31" s="1"/>
  <c r="HD39" i="29"/>
  <c r="HD43" i="31" s="1"/>
  <c r="GX77" i="29"/>
  <c r="GX81" i="31" s="1"/>
  <c r="GX39" i="29"/>
  <c r="GX43" i="31" s="1"/>
  <c r="GT77" i="29"/>
  <c r="GT81" i="31" s="1"/>
  <c r="GT39" i="29"/>
  <c r="GT43" i="31" s="1"/>
  <c r="GP77" i="29"/>
  <c r="GP81" i="31" s="1"/>
  <c r="GP39" i="29"/>
  <c r="GP43" i="31" s="1"/>
  <c r="GH77" i="29"/>
  <c r="GH81" i="31" s="1"/>
  <c r="GH39" i="29"/>
  <c r="GH43" i="31" s="1"/>
  <c r="GC77" i="29"/>
  <c r="GC81" i="31" s="1"/>
  <c r="GC39" i="29"/>
  <c r="GC43" i="31" s="1"/>
  <c r="FW77" i="29"/>
  <c r="FW81" i="31" s="1"/>
  <c r="FW39" i="29"/>
  <c r="FW43" i="31" s="1"/>
  <c r="FS77" i="29"/>
  <c r="FS81" i="31" s="1"/>
  <c r="FS39" i="29"/>
  <c r="FS43" i="31" s="1"/>
  <c r="FN77" i="29"/>
  <c r="FN81" i="31" s="1"/>
  <c r="FN39" i="29"/>
  <c r="FN43" i="31" s="1"/>
  <c r="FI77" i="29"/>
  <c r="FI81" i="31" s="1"/>
  <c r="FI39" i="29"/>
  <c r="FI43" i="31" s="1"/>
  <c r="FG77" i="29"/>
  <c r="FG81" i="31" s="1"/>
  <c r="FG39" i="29"/>
  <c r="FG43" i="31" s="1"/>
  <c r="EZ77" i="29"/>
  <c r="EZ81" i="31" s="1"/>
  <c r="EZ39" i="29"/>
  <c r="EZ43" i="31" s="1"/>
  <c r="EV77" i="29"/>
  <c r="EV81" i="31" s="1"/>
  <c r="EV39" i="29"/>
  <c r="EV43" i="31" s="1"/>
  <c r="EQ77" i="29"/>
  <c r="EQ81" i="31" s="1"/>
  <c r="EQ39" i="29"/>
  <c r="EQ43" i="31" s="1"/>
  <c r="EM77" i="29"/>
  <c r="EM81" i="31" s="1"/>
  <c r="EM39" i="29"/>
  <c r="EM43" i="31" s="1"/>
  <c r="EJ77" i="29"/>
  <c r="EJ81" i="31" s="1"/>
  <c r="EJ39" i="29"/>
  <c r="EJ43" i="31" s="1"/>
  <c r="EG77" i="29"/>
  <c r="EG81" i="31" s="1"/>
  <c r="EG39" i="29"/>
  <c r="EG43" i="31" s="1"/>
  <c r="ED77" i="29"/>
  <c r="ED81" i="31" s="1"/>
  <c r="ED39" i="29"/>
  <c r="ED43" i="31" s="1"/>
  <c r="DW77" i="29"/>
  <c r="DW81" i="31" s="1"/>
  <c r="DW39" i="29"/>
  <c r="DW43" i="31" s="1"/>
  <c r="DS77" i="29"/>
  <c r="DS39" i="29"/>
  <c r="DO77" i="29"/>
  <c r="DO81" i="31" s="1"/>
  <c r="DO39" i="29"/>
  <c r="DO43" i="31" s="1"/>
  <c r="DJ77" i="29"/>
  <c r="DJ81" i="31" s="1"/>
  <c r="DJ39" i="29"/>
  <c r="DJ43" i="31" s="1"/>
  <c r="DH77" i="29"/>
  <c r="DH81" i="31" s="1"/>
  <c r="DH39" i="29"/>
  <c r="DH43" i="31" s="1"/>
  <c r="DC77" i="29"/>
  <c r="DC81" i="31" s="1"/>
  <c r="DC39" i="29"/>
  <c r="DC43" i="31" s="1"/>
  <c r="CX77" i="29"/>
  <c r="CX81" i="31" s="1"/>
  <c r="CX39" i="29"/>
  <c r="CX43" i="31" s="1"/>
  <c r="CK77" i="29"/>
  <c r="CK81" i="31" s="1"/>
  <c r="CK39" i="29"/>
  <c r="CK43" i="31" s="1"/>
  <c r="CE77" i="29"/>
  <c r="CE81" i="31" s="1"/>
  <c r="CE39" i="29"/>
  <c r="CE43" i="31" s="1"/>
  <c r="BX77" i="29"/>
  <c r="BX81" i="31" s="1"/>
  <c r="BX39" i="29"/>
  <c r="BX43" i="31" s="1"/>
  <c r="BQ77" i="29"/>
  <c r="BQ81" i="31" s="1"/>
  <c r="BQ39" i="29"/>
  <c r="BQ43" i="31" s="1"/>
  <c r="BF77" i="29"/>
  <c r="BF81" i="31" s="1"/>
  <c r="BF39" i="29"/>
  <c r="BF43" i="31" s="1"/>
  <c r="BB77" i="29"/>
  <c r="BB81" i="31" s="1"/>
  <c r="BB39" i="29"/>
  <c r="BB43" i="31" s="1"/>
  <c r="AX77" i="29"/>
  <c r="AX81" i="31" s="1"/>
  <c r="AX39" i="29"/>
  <c r="AX43" i="31" s="1"/>
  <c r="AT77" i="29"/>
  <c r="AT81" i="31" s="1"/>
  <c r="AT39" i="29"/>
  <c r="AT43" i="31" s="1"/>
  <c r="AO77" i="29"/>
  <c r="AO81" i="31" s="1"/>
  <c r="AO39" i="29"/>
  <c r="AO43" i="31" s="1"/>
  <c r="AJ77" i="29"/>
  <c r="AJ81" i="31" s="1"/>
  <c r="AJ39" i="29"/>
  <c r="AJ43" i="31" s="1"/>
  <c r="AF77" i="29"/>
  <c r="AF39" i="29"/>
  <c r="Z77" i="29"/>
  <c r="Z81" i="31" s="1"/>
  <c r="Z39" i="29"/>
  <c r="Z43" i="31" s="1"/>
  <c r="V77" i="29"/>
  <c r="V81" i="31" s="1"/>
  <c r="V39" i="29"/>
  <c r="V43" i="31" s="1"/>
  <c r="T77" i="29"/>
  <c r="T81" i="31" s="1"/>
  <c r="T39" i="29"/>
  <c r="T43" i="31" s="1"/>
  <c r="L77" i="29"/>
  <c r="L81" i="31" s="1"/>
  <c r="L39" i="29"/>
  <c r="L43" i="31" s="1"/>
  <c r="E77" i="29"/>
  <c r="E81" i="31" s="1"/>
  <c r="E39" i="29"/>
  <c r="E43" i="31" s="1"/>
  <c r="JI16" i="29"/>
  <c r="JI16" i="31" s="1"/>
  <c r="JL16" i="29"/>
  <c r="JF38" i="29"/>
  <c r="JF76" i="29"/>
  <c r="JB38" i="29"/>
  <c r="JB76" i="29"/>
  <c r="IX38" i="29"/>
  <c r="IX76" i="29"/>
  <c r="IT38" i="29"/>
  <c r="IT76" i="29"/>
  <c r="IP38" i="29"/>
  <c r="IP76" i="29"/>
  <c r="IL38" i="29"/>
  <c r="IL76" i="29"/>
  <c r="IG76" i="29"/>
  <c r="IG38" i="29"/>
  <c r="IC76" i="29"/>
  <c r="IC38" i="29"/>
  <c r="HY38" i="29"/>
  <c r="HY76" i="29"/>
  <c r="HU76" i="29"/>
  <c r="HU38" i="29"/>
  <c r="HQ76" i="29"/>
  <c r="HQ38" i="29"/>
  <c r="HL76" i="29"/>
  <c r="HL80" i="31" s="1"/>
  <c r="HL38" i="29"/>
  <c r="HL42" i="31" s="1"/>
  <c r="HH76" i="29"/>
  <c r="HH38" i="29"/>
  <c r="HD76" i="29"/>
  <c r="HD38" i="29"/>
  <c r="HA76" i="29"/>
  <c r="HA80" i="31" s="1"/>
  <c r="HA38" i="29"/>
  <c r="HA42" i="31" s="1"/>
  <c r="GU76" i="29"/>
  <c r="GU80" i="31" s="1"/>
  <c r="GU38" i="29"/>
  <c r="GU42" i="31" s="1"/>
  <c r="GQ76" i="29"/>
  <c r="GQ80" i="31" s="1"/>
  <c r="GQ38" i="29"/>
  <c r="GQ42" i="31" s="1"/>
  <c r="GM76" i="29"/>
  <c r="GM80" i="31" s="1"/>
  <c r="GM38" i="29"/>
  <c r="GM42" i="31" s="1"/>
  <c r="GE76" i="29"/>
  <c r="GE80" i="31" s="1"/>
  <c r="GE38" i="29"/>
  <c r="GE42" i="31" s="1"/>
  <c r="GF76" i="29"/>
  <c r="GF80" i="31" s="1"/>
  <c r="GF38" i="29"/>
  <c r="GF42" i="31" s="1"/>
  <c r="GA76" i="29"/>
  <c r="GA38" i="29"/>
  <c r="FW76" i="29"/>
  <c r="FW38" i="29"/>
  <c r="FS76" i="29"/>
  <c r="FS38" i="29"/>
  <c r="FN38" i="29"/>
  <c r="FN42" i="31" s="1"/>
  <c r="FN76" i="29"/>
  <c r="FI38" i="29"/>
  <c r="FI76" i="29"/>
  <c r="FG76" i="29"/>
  <c r="FG38" i="29"/>
  <c r="FC76" i="29"/>
  <c r="FC80" i="31" s="1"/>
  <c r="FC38" i="29"/>
  <c r="FC42" i="31" s="1"/>
  <c r="EY76" i="29"/>
  <c r="EY80" i="31" s="1"/>
  <c r="EY38" i="29"/>
  <c r="EY42" i="31" s="1"/>
  <c r="ES76" i="29"/>
  <c r="ES80" i="31" s="1"/>
  <c r="ES38" i="29"/>
  <c r="ES42" i="31" s="1"/>
  <c r="EO38" i="29"/>
  <c r="EO42" i="31" s="1"/>
  <c r="EO76" i="29"/>
  <c r="EK76" i="29"/>
  <c r="EK80" i="31" s="1"/>
  <c r="EK38" i="29"/>
  <c r="EK42" i="31" s="1"/>
  <c r="EE76" i="29"/>
  <c r="EE80" i="31" s="1"/>
  <c r="EE38" i="29"/>
  <c r="EE42" i="31" s="1"/>
  <c r="EC76" i="29"/>
  <c r="EC80" i="31" s="1"/>
  <c r="EC38" i="29"/>
  <c r="EC42" i="31" s="1"/>
  <c r="DY38" i="29"/>
  <c r="DY76" i="29"/>
  <c r="DU76" i="29"/>
  <c r="DU38" i="29"/>
  <c r="DU42" i="31" s="1"/>
  <c r="DP76" i="29"/>
  <c r="DP80" i="31" s="1"/>
  <c r="DP38" i="29"/>
  <c r="DP42" i="31" s="1"/>
  <c r="DL76" i="29"/>
  <c r="DL80" i="31" s="1"/>
  <c r="DL38" i="29"/>
  <c r="DL42" i="31" s="1"/>
  <c r="DI76" i="29"/>
  <c r="DI80" i="31" s="1"/>
  <c r="DI38" i="29"/>
  <c r="DI42" i="31" s="1"/>
  <c r="DF38" i="29"/>
  <c r="DF42" i="31" s="1"/>
  <c r="DF76" i="29"/>
  <c r="DF80" i="31" s="1"/>
  <c r="DA76" i="29"/>
  <c r="DA38" i="29"/>
  <c r="CU76" i="29"/>
  <c r="CU80" i="31" s="1"/>
  <c r="CU38" i="29"/>
  <c r="CU42" i="31" s="1"/>
  <c r="CQ76" i="29"/>
  <c r="CQ38" i="29"/>
  <c r="CM76" i="29"/>
  <c r="CM38" i="29"/>
  <c r="CI76" i="29"/>
  <c r="CI80" i="31" s="1"/>
  <c r="CI38" i="29"/>
  <c r="CI42" i="31" s="1"/>
  <c r="CE76" i="29"/>
  <c r="CE38" i="29"/>
  <c r="BZ38" i="29"/>
  <c r="BZ42" i="31" s="1"/>
  <c r="BZ76" i="29"/>
  <c r="BZ80" i="31" s="1"/>
  <c r="BV38" i="29"/>
  <c r="BV42" i="31" s="1"/>
  <c r="BV76" i="29"/>
  <c r="BR38" i="29"/>
  <c r="BR76" i="29"/>
  <c r="BN38" i="29"/>
  <c r="BN76" i="29"/>
  <c r="BH38" i="29"/>
  <c r="BH42" i="31" s="1"/>
  <c r="BH76" i="29"/>
  <c r="BD76" i="29"/>
  <c r="BD80" i="31" s="1"/>
  <c r="BD38" i="29"/>
  <c r="BD42" i="31" s="1"/>
  <c r="BA38" i="29"/>
  <c r="BA42" i="31" s="1"/>
  <c r="BA76" i="29"/>
  <c r="BA80" i="31" s="1"/>
  <c r="AW38" i="29"/>
  <c r="AW42" i="31" s="1"/>
  <c r="AW76" i="29"/>
  <c r="AW80" i="31" s="1"/>
  <c r="AQ76" i="29"/>
  <c r="AQ80" i="31" s="1"/>
  <c r="AQ38" i="29"/>
  <c r="AQ42" i="31" s="1"/>
  <c r="AO76" i="29"/>
  <c r="AO38" i="29"/>
  <c r="AK38" i="29"/>
  <c r="AK42" i="31" s="1"/>
  <c r="AK76" i="29"/>
  <c r="AK80" i="31" s="1"/>
  <c r="AG38" i="29"/>
  <c r="AG42" i="31" s="1"/>
  <c r="AG76" i="29"/>
  <c r="AG80" i="31" s="1"/>
  <c r="AA38" i="29"/>
  <c r="AA42" i="31" s="1"/>
  <c r="AA76" i="29"/>
  <c r="AA80" i="31" s="1"/>
  <c r="W76" i="29"/>
  <c r="W80" i="31" s="1"/>
  <c r="W38" i="29"/>
  <c r="W42" i="31" s="1"/>
  <c r="R76" i="29"/>
  <c r="R80" i="31" s="1"/>
  <c r="R38" i="29"/>
  <c r="R42" i="31" s="1"/>
  <c r="O76" i="29"/>
  <c r="O80" i="31" s="1"/>
  <c r="O38" i="29"/>
  <c r="O42" i="31" s="1"/>
  <c r="K38" i="29"/>
  <c r="K76" i="29"/>
  <c r="G76" i="29"/>
  <c r="G80" i="31" s="1"/>
  <c r="G38" i="29"/>
  <c r="G42" i="31" s="1"/>
  <c r="HJ77" i="29"/>
  <c r="HJ81" i="31" s="1"/>
  <c r="HJ39" i="29"/>
  <c r="HJ43" i="31" s="1"/>
  <c r="HF77" i="29"/>
  <c r="HF81" i="31" s="1"/>
  <c r="HF39" i="29"/>
  <c r="HF43" i="31" s="1"/>
  <c r="GY77" i="29"/>
  <c r="GY81" i="31" s="1"/>
  <c r="GY39" i="29"/>
  <c r="GY43" i="31" s="1"/>
  <c r="GV77" i="29"/>
  <c r="GV81" i="31" s="1"/>
  <c r="GV39" i="29"/>
  <c r="GV43" i="31" s="1"/>
  <c r="GR77" i="29"/>
  <c r="GR81" i="31" s="1"/>
  <c r="GR39" i="29"/>
  <c r="GR43" i="31" s="1"/>
  <c r="GM77" i="29"/>
  <c r="GM81" i="31" s="1"/>
  <c r="GM39" i="29"/>
  <c r="GM43" i="31" s="1"/>
  <c r="GE77" i="29"/>
  <c r="GE81" i="31" s="1"/>
  <c r="GE39" i="29"/>
  <c r="GE43" i="31" s="1"/>
  <c r="GF77" i="29"/>
  <c r="GF81" i="31" s="1"/>
  <c r="GF39" i="29"/>
  <c r="GF43" i="31" s="1"/>
  <c r="FY77" i="29"/>
  <c r="FY81" i="31" s="1"/>
  <c r="FY39" i="29"/>
  <c r="FY43" i="31" s="1"/>
  <c r="FU77" i="29"/>
  <c r="FU81" i="31" s="1"/>
  <c r="FU39" i="29"/>
  <c r="FU43" i="31" s="1"/>
  <c r="FP77" i="29"/>
  <c r="FP81" i="31" s="1"/>
  <c r="FP39" i="29"/>
  <c r="FP43" i="31" s="1"/>
  <c r="FL77" i="29"/>
  <c r="FL81" i="31" s="1"/>
  <c r="FL39" i="29"/>
  <c r="FL43" i="31" s="1"/>
  <c r="BI77" i="29"/>
  <c r="BI81" i="31" s="1"/>
  <c r="BI39" i="29"/>
  <c r="BI43" i="31" s="1"/>
  <c r="FB77" i="29"/>
  <c r="FB81" i="31" s="1"/>
  <c r="FB39" i="29"/>
  <c r="FB43" i="31" s="1"/>
  <c r="EX77" i="29"/>
  <c r="EX81" i="31" s="1"/>
  <c r="EX39" i="29"/>
  <c r="EX43" i="31" s="1"/>
  <c r="ES77" i="29"/>
  <c r="ES81" i="31" s="1"/>
  <c r="ES39" i="29"/>
  <c r="ES43" i="31" s="1"/>
  <c r="EO77" i="29"/>
  <c r="EO81" i="31" s="1"/>
  <c r="EO39" i="29"/>
  <c r="EO43" i="31" s="1"/>
  <c r="EK77" i="29"/>
  <c r="EK81" i="31" s="1"/>
  <c r="EK39" i="29"/>
  <c r="EK43" i="31" s="1"/>
  <c r="EH77" i="29"/>
  <c r="EH81" i="31" s="1"/>
  <c r="EH39" i="29"/>
  <c r="EH43" i="31" s="1"/>
  <c r="EA77" i="29"/>
  <c r="EA81" i="31" s="1"/>
  <c r="EA39" i="29"/>
  <c r="EA43" i="31" s="1"/>
  <c r="DU77" i="29"/>
  <c r="DU81" i="31" s="1"/>
  <c r="DU39" i="29"/>
  <c r="DU43" i="31" s="1"/>
  <c r="DQ77" i="29"/>
  <c r="DQ81" i="31" s="1"/>
  <c r="DQ39" i="29"/>
  <c r="DQ43" i="31" s="1"/>
  <c r="DM77" i="29"/>
  <c r="DM81" i="31" s="1"/>
  <c r="DM39" i="29"/>
  <c r="DM43" i="31" s="1"/>
  <c r="DD77" i="29"/>
  <c r="DD81" i="31" s="1"/>
  <c r="DD39" i="29"/>
  <c r="DD43" i="31" s="1"/>
  <c r="CZ77" i="29"/>
  <c r="CZ39" i="29"/>
  <c r="CV77" i="29"/>
  <c r="CV81" i="31" s="1"/>
  <c r="CV39" i="29"/>
  <c r="CV43" i="31" s="1"/>
  <c r="CR77" i="29"/>
  <c r="CR81" i="31" s="1"/>
  <c r="CR39" i="29"/>
  <c r="CR43" i="31" s="1"/>
  <c r="CI77" i="29"/>
  <c r="CI81" i="31" s="1"/>
  <c r="CI39" i="29"/>
  <c r="CI43" i="31" s="1"/>
  <c r="CD77" i="29"/>
  <c r="CD81" i="31" s="1"/>
  <c r="CD39" i="29"/>
  <c r="CD43" i="31" s="1"/>
  <c r="BZ77" i="29"/>
  <c r="BZ81" i="31" s="1"/>
  <c r="BZ39" i="29"/>
  <c r="BZ43" i="31" s="1"/>
  <c r="BV77" i="29"/>
  <c r="BV81" i="31" s="1"/>
  <c r="BV39" i="29"/>
  <c r="BV43" i="31" s="1"/>
  <c r="BM77" i="29"/>
  <c r="BM81" i="31" s="1"/>
  <c r="BM39" i="29"/>
  <c r="BM43" i="31" s="1"/>
  <c r="BH77" i="29"/>
  <c r="BH81" i="31" s="1"/>
  <c r="BH39" i="29"/>
  <c r="BH43" i="31" s="1"/>
  <c r="AZ77" i="29"/>
  <c r="AZ81" i="31" s="1"/>
  <c r="AZ39" i="29"/>
  <c r="AZ43" i="31" s="1"/>
  <c r="AV77" i="29"/>
  <c r="AV81" i="31" s="1"/>
  <c r="AV39" i="29"/>
  <c r="AV43" i="31" s="1"/>
  <c r="AR77" i="29"/>
  <c r="AR81" i="31" s="1"/>
  <c r="AR39" i="29"/>
  <c r="AR43" i="31" s="1"/>
  <c r="AL77" i="29"/>
  <c r="AL81" i="31" s="1"/>
  <c r="AL39" i="29"/>
  <c r="AL43" i="31" s="1"/>
  <c r="AH77" i="29"/>
  <c r="AH81" i="31" s="1"/>
  <c r="AH39" i="29"/>
  <c r="AH43" i="31" s="1"/>
  <c r="AB77" i="29"/>
  <c r="AB81" i="31" s="1"/>
  <c r="AB39" i="29"/>
  <c r="AB43" i="31" s="1"/>
  <c r="X77" i="29"/>
  <c r="X81" i="31" s="1"/>
  <c r="X39" i="29"/>
  <c r="X43" i="31" s="1"/>
  <c r="U77" i="29"/>
  <c r="U81" i="31" s="1"/>
  <c r="U39" i="29"/>
  <c r="U43" i="31" s="1"/>
  <c r="P77" i="29"/>
  <c r="P81" i="31" s="1"/>
  <c r="P39" i="29"/>
  <c r="P43" i="31" s="1"/>
  <c r="N77" i="29"/>
  <c r="N81" i="31" s="1"/>
  <c r="N39" i="29"/>
  <c r="N43" i="31" s="1"/>
  <c r="G77" i="29"/>
  <c r="G81" i="31" s="1"/>
  <c r="G39" i="29"/>
  <c r="G43" i="31" s="1"/>
  <c r="H191" i="3"/>
  <c r="B2" i="21" s="1"/>
  <c r="C76" i="29"/>
  <c r="C80" i="31" s="1"/>
  <c r="C38" i="29"/>
  <c r="C42" i="31" s="1"/>
  <c r="JA76" i="29"/>
  <c r="JA38" i="29"/>
  <c r="IW76" i="29"/>
  <c r="IW38" i="29"/>
  <c r="IO38" i="29"/>
  <c r="IO76" i="29"/>
  <c r="IF76" i="29"/>
  <c r="IF38" i="29"/>
  <c r="HX76" i="29"/>
  <c r="HX38" i="29"/>
  <c r="HP76" i="29"/>
  <c r="HP38" i="29"/>
  <c r="HG76" i="29"/>
  <c r="HG80" i="31" s="1"/>
  <c r="HG38" i="29"/>
  <c r="HG42" i="31" s="1"/>
  <c r="GX38" i="29"/>
  <c r="GX76" i="29"/>
  <c r="GP38" i="29"/>
  <c r="GP76" i="29"/>
  <c r="GD38" i="29"/>
  <c r="GD42" i="31" s="1"/>
  <c r="GD76" i="29"/>
  <c r="GD80" i="31" s="1"/>
  <c r="FV38" i="29"/>
  <c r="FV42" i="31" s="1"/>
  <c r="FV76" i="29"/>
  <c r="FV80" i="31" s="1"/>
  <c r="FM76" i="29"/>
  <c r="FM80" i="31" s="1"/>
  <c r="FM38" i="29"/>
  <c r="FM42" i="31" s="1"/>
  <c r="FF38" i="29"/>
  <c r="FF76" i="29"/>
  <c r="EX38" i="29"/>
  <c r="EX76" i="29"/>
  <c r="EN76" i="29"/>
  <c r="EN38" i="29"/>
  <c r="EN42" i="31" s="1"/>
  <c r="EG76" i="29"/>
  <c r="EG38" i="29"/>
  <c r="DX76" i="29"/>
  <c r="DX38" i="29"/>
  <c r="DX42" i="31" s="1"/>
  <c r="DO76" i="29"/>
  <c r="DO38" i="29"/>
  <c r="DH76" i="29"/>
  <c r="DH38" i="29"/>
  <c r="DC76" i="29"/>
  <c r="DC38" i="29"/>
  <c r="CL38" i="29"/>
  <c r="CL42" i="31" s="1"/>
  <c r="CL76" i="29"/>
  <c r="CL80" i="31" s="1"/>
  <c r="CH38" i="29"/>
  <c r="CH76" i="29"/>
  <c r="BY76" i="29"/>
  <c r="BY38" i="29"/>
  <c r="BY42" i="31" s="1"/>
  <c r="BU38" i="29"/>
  <c r="BU42" i="31" s="1"/>
  <c r="BU76" i="29"/>
  <c r="BQ38" i="29"/>
  <c r="BQ76" i="29"/>
  <c r="BM38" i="29"/>
  <c r="BM76" i="29"/>
  <c r="BG76" i="29"/>
  <c r="BG38" i="29"/>
  <c r="BG42" i="31" s="1"/>
  <c r="AZ76" i="29"/>
  <c r="AZ38" i="29"/>
  <c r="AV38" i="29"/>
  <c r="AV76" i="29"/>
  <c r="AR38" i="29"/>
  <c r="AR76" i="29"/>
  <c r="AN76" i="29"/>
  <c r="AN38" i="29"/>
  <c r="AD38" i="29"/>
  <c r="AD76" i="29"/>
  <c r="Z76" i="29"/>
  <c r="Z38" i="29"/>
  <c r="V76" i="29"/>
  <c r="V38" i="29"/>
  <c r="T76" i="29"/>
  <c r="T38" i="29"/>
  <c r="N76" i="29"/>
  <c r="N38" i="29"/>
  <c r="J76" i="29"/>
  <c r="J80" i="31" s="1"/>
  <c r="J38" i="29"/>
  <c r="J42" i="31" s="1"/>
  <c r="F76" i="29"/>
  <c r="F80" i="31" s="1"/>
  <c r="F38" i="29"/>
  <c r="F42" i="31" s="1"/>
  <c r="K257" i="2"/>
  <c r="B3" i="21" s="1"/>
  <c r="HI77" i="29"/>
  <c r="HI81" i="31" s="1"/>
  <c r="HI39" i="29"/>
  <c r="HI43" i="31" s="1"/>
  <c r="HE77" i="29"/>
  <c r="HE81" i="31" s="1"/>
  <c r="HE39" i="29"/>
  <c r="HE43" i="31" s="1"/>
  <c r="HA77" i="29"/>
  <c r="HA81" i="31" s="1"/>
  <c r="HA39" i="29"/>
  <c r="HA43" i="31" s="1"/>
  <c r="GU77" i="29"/>
  <c r="GU81" i="31" s="1"/>
  <c r="GU39" i="29"/>
  <c r="GU43" i="31" s="1"/>
  <c r="GQ77" i="29"/>
  <c r="GQ81" i="31" s="1"/>
  <c r="GQ39" i="29"/>
  <c r="GQ43" i="31" s="1"/>
  <c r="GL77" i="29"/>
  <c r="GL81" i="31" s="1"/>
  <c r="GL39" i="29"/>
  <c r="GL43" i="31" s="1"/>
  <c r="GI77" i="29"/>
  <c r="GI81" i="31" s="1"/>
  <c r="GI39" i="29"/>
  <c r="GI43" i="31" s="1"/>
  <c r="GD77" i="29"/>
  <c r="GD81" i="31" s="1"/>
  <c r="GD39" i="29"/>
  <c r="GD43" i="31" s="1"/>
  <c r="FX77" i="29"/>
  <c r="FX81" i="31" s="1"/>
  <c r="FX39" i="29"/>
  <c r="FX43" i="31" s="1"/>
  <c r="FT77" i="29"/>
  <c r="FT81" i="31" s="1"/>
  <c r="FT39" i="29"/>
  <c r="FT43" i="31" s="1"/>
  <c r="FO77" i="29"/>
  <c r="FO81" i="31" s="1"/>
  <c r="FO39" i="29"/>
  <c r="FO43" i="31" s="1"/>
  <c r="FK77" i="29"/>
  <c r="FK81" i="31" s="1"/>
  <c r="FK39" i="29"/>
  <c r="FK43" i="31" s="1"/>
  <c r="FH77" i="29"/>
  <c r="FH81" i="31" s="1"/>
  <c r="FH39" i="29"/>
  <c r="FH43" i="31" s="1"/>
  <c r="FA77" i="29"/>
  <c r="FA81" i="31" s="1"/>
  <c r="FA39" i="29"/>
  <c r="FA43" i="31" s="1"/>
  <c r="EW77" i="29"/>
  <c r="EW81" i="31" s="1"/>
  <c r="EW39" i="29"/>
  <c r="EW43" i="31" s="1"/>
  <c r="ER77" i="29"/>
  <c r="ER81" i="31" s="1"/>
  <c r="ER39" i="29"/>
  <c r="ER43" i="31" s="1"/>
  <c r="EN77" i="29"/>
  <c r="EN81" i="31" s="1"/>
  <c r="EN39" i="29"/>
  <c r="EN43" i="31" s="1"/>
  <c r="EE77" i="29"/>
  <c r="EE81" i="31" s="1"/>
  <c r="EE39" i="29"/>
  <c r="EE43" i="31" s="1"/>
  <c r="DX77" i="29"/>
  <c r="DX81" i="31" s="1"/>
  <c r="DX39" i="29"/>
  <c r="DX43" i="31" s="1"/>
  <c r="DT77" i="29"/>
  <c r="DT81" i="31" s="1"/>
  <c r="DT39" i="29"/>
  <c r="DT43" i="31" s="1"/>
  <c r="DP77" i="29"/>
  <c r="DP81" i="31" s="1"/>
  <c r="DP39" i="29"/>
  <c r="DP43" i="31" s="1"/>
  <c r="DL77" i="29"/>
  <c r="DL81" i="31" s="1"/>
  <c r="DL39" i="29"/>
  <c r="DL43" i="31" s="1"/>
  <c r="DI77" i="29"/>
  <c r="DI81" i="31" s="1"/>
  <c r="DI39" i="29"/>
  <c r="DI43" i="31" s="1"/>
  <c r="DF77" i="29"/>
  <c r="DF81" i="31" s="1"/>
  <c r="DF39" i="29"/>
  <c r="DF43" i="31" s="1"/>
  <c r="CY77" i="29"/>
  <c r="CY81" i="31" s="1"/>
  <c r="CY39" i="29"/>
  <c r="CY43" i="31" s="1"/>
  <c r="CU77" i="29"/>
  <c r="CU81" i="31" s="1"/>
  <c r="CU39" i="29"/>
  <c r="CU43" i="31" s="1"/>
  <c r="CL77" i="29"/>
  <c r="CL81" i="31" s="1"/>
  <c r="CL39" i="29"/>
  <c r="CL43" i="31" s="1"/>
  <c r="CG77" i="29"/>
  <c r="CG81" i="31" s="1"/>
  <c r="CG39" i="29"/>
  <c r="CG43" i="31" s="1"/>
  <c r="CB77" i="29"/>
  <c r="CB81" i="31" s="1"/>
  <c r="CB39" i="29"/>
  <c r="CB43" i="31" s="1"/>
  <c r="BY77" i="29"/>
  <c r="BY81" i="31" s="1"/>
  <c r="BY39" i="29"/>
  <c r="BY43" i="31" s="1"/>
  <c r="BU77" i="29"/>
  <c r="BU81" i="31" s="1"/>
  <c r="BU39" i="29"/>
  <c r="BU43" i="31" s="1"/>
  <c r="BG77" i="29"/>
  <c r="BG81" i="31" s="1"/>
  <c r="BG39" i="29"/>
  <c r="BG43" i="31" s="1"/>
  <c r="BC77" i="29"/>
  <c r="BC81" i="31" s="1"/>
  <c r="BC39" i="29"/>
  <c r="BC43" i="31" s="1"/>
  <c r="AY77" i="29"/>
  <c r="AY81" i="31" s="1"/>
  <c r="AY39" i="29"/>
  <c r="AY43" i="31" s="1"/>
  <c r="AU77" i="29"/>
  <c r="AU81" i="31" s="1"/>
  <c r="AU39" i="29"/>
  <c r="AU43" i="31" s="1"/>
  <c r="AS77" i="29"/>
  <c r="AS81" i="31" s="1"/>
  <c r="AS39" i="29"/>
  <c r="AS43" i="31" s="1"/>
  <c r="AK77" i="29"/>
  <c r="AK81" i="31" s="1"/>
  <c r="AK39" i="29"/>
  <c r="AK43" i="31" s="1"/>
  <c r="AG77" i="29"/>
  <c r="AG81" i="31" s="1"/>
  <c r="AG39" i="29"/>
  <c r="AG43" i="31" s="1"/>
  <c r="AA77" i="29"/>
  <c r="AA81" i="31" s="1"/>
  <c r="AA39" i="29"/>
  <c r="AA43" i="31" s="1"/>
  <c r="W77" i="29"/>
  <c r="W81" i="31" s="1"/>
  <c r="W39" i="29"/>
  <c r="W43" i="31" s="1"/>
  <c r="R77" i="29"/>
  <c r="R81" i="31" s="1"/>
  <c r="R39" i="29"/>
  <c r="R43" i="31" s="1"/>
  <c r="O77" i="29"/>
  <c r="O81" i="31" s="1"/>
  <c r="O39" i="29"/>
  <c r="O43" i="31" s="1"/>
  <c r="M77" i="29"/>
  <c r="M81" i="31" s="1"/>
  <c r="M39" i="29"/>
  <c r="M43" i="31" s="1"/>
  <c r="F77" i="29"/>
  <c r="F81" i="31" s="1"/>
  <c r="F39" i="29"/>
  <c r="F43" i="31" s="1"/>
  <c r="JG76" i="29"/>
  <c r="JG38" i="29"/>
  <c r="JC76" i="29"/>
  <c r="JC38" i="29"/>
  <c r="IY76" i="29"/>
  <c r="IY38" i="29"/>
  <c r="IU76" i="29"/>
  <c r="IU38" i="29"/>
  <c r="IQ76" i="29"/>
  <c r="IQ38" i="29"/>
  <c r="IM76" i="29"/>
  <c r="IM38" i="29"/>
  <c r="IH38" i="29"/>
  <c r="IH76" i="29"/>
  <c r="ID38" i="29"/>
  <c r="ID76" i="29"/>
  <c r="HZ38" i="29"/>
  <c r="HZ76" i="29"/>
  <c r="HV38" i="29"/>
  <c r="HV76" i="29"/>
  <c r="HR38" i="29"/>
  <c r="HR76" i="29"/>
  <c r="HM76" i="29"/>
  <c r="HM38" i="29"/>
  <c r="HI76" i="29"/>
  <c r="HI38" i="29"/>
  <c r="HE76" i="29"/>
  <c r="HE38" i="29"/>
  <c r="HB38" i="29"/>
  <c r="HB76" i="29"/>
  <c r="GV76" i="29"/>
  <c r="GV38" i="29"/>
  <c r="GR76" i="29"/>
  <c r="GR38" i="29"/>
  <c r="GN76" i="29"/>
  <c r="GN38" i="29"/>
  <c r="GJ76" i="29"/>
  <c r="GJ80" i="31" s="1"/>
  <c r="GJ38" i="29"/>
  <c r="GJ42" i="31" s="1"/>
  <c r="GG76" i="29"/>
  <c r="GG80" i="31" s="1"/>
  <c r="GG38" i="29"/>
  <c r="GG42" i="31" s="1"/>
  <c r="GB76" i="29"/>
  <c r="GB38" i="29"/>
  <c r="FX76" i="29"/>
  <c r="FX38" i="29"/>
  <c r="FT76" i="29"/>
  <c r="FT38" i="29"/>
  <c r="FO76" i="29"/>
  <c r="FO38" i="29"/>
  <c r="FK76" i="29"/>
  <c r="FK38" i="29"/>
  <c r="FH76" i="29"/>
  <c r="FH38" i="29"/>
  <c r="FD38" i="29"/>
  <c r="FD76" i="29"/>
  <c r="EZ76" i="29"/>
  <c r="EZ38" i="29"/>
  <c r="EV76" i="29"/>
  <c r="EV80" i="31" s="1"/>
  <c r="EV38" i="29"/>
  <c r="EV42" i="31" s="1"/>
  <c r="EP38" i="29"/>
  <c r="EP42" i="31" s="1"/>
  <c r="EP76" i="29"/>
  <c r="EL38" i="29"/>
  <c r="EL42" i="31" s="1"/>
  <c r="EL76" i="29"/>
  <c r="EL80" i="31" s="1"/>
  <c r="EH38" i="29"/>
  <c r="EH76" i="29"/>
  <c r="ED38" i="29"/>
  <c r="ED76" i="29"/>
  <c r="DZ38" i="29"/>
  <c r="DZ76" i="29"/>
  <c r="DV38" i="29"/>
  <c r="DV42" i="31" s="1"/>
  <c r="DV76" i="29"/>
  <c r="DV80" i="31" s="1"/>
  <c r="DQ76" i="29"/>
  <c r="DQ38" i="29"/>
  <c r="DM76" i="29"/>
  <c r="DM38" i="29"/>
  <c r="DD76" i="29"/>
  <c r="DD38" i="29"/>
  <c r="CV76" i="29"/>
  <c r="CV38" i="29"/>
  <c r="CR76" i="29"/>
  <c r="CR38" i="29"/>
  <c r="CN76" i="29"/>
  <c r="CN38" i="29"/>
  <c r="CJ76" i="29"/>
  <c r="CJ80" i="31" s="1"/>
  <c r="CJ38" i="29"/>
  <c r="CJ42" i="31" s="1"/>
  <c r="CF76" i="29"/>
  <c r="CF38" i="29"/>
  <c r="CB76" i="29"/>
  <c r="CB38" i="29"/>
  <c r="BW76" i="29"/>
  <c r="BW80" i="31" s="1"/>
  <c r="BW38" i="29"/>
  <c r="BW42" i="31" s="1"/>
  <c r="BS76" i="29"/>
  <c r="BS38" i="29"/>
  <c r="BO76" i="29"/>
  <c r="BO38" i="29"/>
  <c r="BJ38" i="29"/>
  <c r="BJ42" i="31" s="1"/>
  <c r="BJ76" i="29"/>
  <c r="BE76" i="29"/>
  <c r="BE38" i="29"/>
  <c r="BB38" i="29"/>
  <c r="BB76" i="29"/>
  <c r="AX38" i="29"/>
  <c r="AX76" i="29"/>
  <c r="AT38" i="29"/>
  <c r="AT76" i="29"/>
  <c r="AP38" i="29"/>
  <c r="AP76" i="29"/>
  <c r="AL38" i="29"/>
  <c r="AL76" i="29"/>
  <c r="AH38" i="29"/>
  <c r="AH76" i="29"/>
  <c r="AB76" i="29"/>
  <c r="AB38" i="29"/>
  <c r="X76" i="29"/>
  <c r="X38" i="29"/>
  <c r="U38" i="29"/>
  <c r="U76" i="29"/>
  <c r="P38" i="29"/>
  <c r="P76" i="29"/>
  <c r="L38" i="29"/>
  <c r="L76" i="29"/>
  <c r="H76" i="29"/>
  <c r="H38" i="29"/>
  <c r="D76" i="29"/>
  <c r="D80" i="31" s="1"/>
  <c r="D38" i="29"/>
  <c r="D42" i="31" s="1"/>
  <c r="C77" i="29"/>
  <c r="C81" i="31" s="1"/>
  <c r="C39" i="29"/>
  <c r="C43" i="31" s="1"/>
  <c r="HG77" i="29"/>
  <c r="HG81" i="31" s="1"/>
  <c r="HG39" i="29"/>
  <c r="HG43" i="31" s="1"/>
  <c r="HC77" i="29"/>
  <c r="HC81" i="31" s="1"/>
  <c r="HC39" i="29"/>
  <c r="HC43" i="31" s="1"/>
  <c r="GW77" i="29"/>
  <c r="GW81" i="31" s="1"/>
  <c r="GW39" i="29"/>
  <c r="GW43" i="31" s="1"/>
  <c r="GS77" i="29"/>
  <c r="GS81" i="31" s="1"/>
  <c r="GS39" i="29"/>
  <c r="GS43" i="31" s="1"/>
  <c r="GO77" i="29"/>
  <c r="GO81" i="31" s="1"/>
  <c r="GO39" i="29"/>
  <c r="GO43" i="31" s="1"/>
  <c r="GJ77" i="29"/>
  <c r="GJ81" i="31" s="1"/>
  <c r="GJ39" i="29"/>
  <c r="GJ43" i="31" s="1"/>
  <c r="GG77" i="29"/>
  <c r="GG81" i="31" s="1"/>
  <c r="GG39" i="29"/>
  <c r="GG43" i="31" s="1"/>
  <c r="FZ77" i="29"/>
  <c r="FZ81" i="31" s="1"/>
  <c r="FZ39" i="29"/>
  <c r="FZ43" i="31" s="1"/>
  <c r="FV77" i="29"/>
  <c r="FV81" i="31" s="1"/>
  <c r="FV39" i="29"/>
  <c r="FV43" i="31" s="1"/>
  <c r="FQ77" i="29"/>
  <c r="FQ81" i="31" s="1"/>
  <c r="FQ39" i="29"/>
  <c r="FQ43" i="31" s="1"/>
  <c r="FM77" i="29"/>
  <c r="FM81" i="31" s="1"/>
  <c r="FM39" i="29"/>
  <c r="FM43" i="31" s="1"/>
  <c r="FJ77" i="29"/>
  <c r="FJ81" i="31" s="1"/>
  <c r="FJ39" i="29"/>
  <c r="FJ43" i="31" s="1"/>
  <c r="FC77" i="29"/>
  <c r="FC81" i="31" s="1"/>
  <c r="FC39" i="29"/>
  <c r="FC43" i="31" s="1"/>
  <c r="EY77" i="29"/>
  <c r="EY81" i="31" s="1"/>
  <c r="EY39" i="29"/>
  <c r="EY43" i="31" s="1"/>
  <c r="EU77" i="29"/>
  <c r="EU81" i="31" s="1"/>
  <c r="EU39" i="29"/>
  <c r="EU43" i="31" s="1"/>
  <c r="EP77" i="29"/>
  <c r="EP81" i="31" s="1"/>
  <c r="EP39" i="29"/>
  <c r="EP43" i="31" s="1"/>
  <c r="EL77" i="29"/>
  <c r="EL81" i="31" s="1"/>
  <c r="EL39" i="29"/>
  <c r="EL43" i="31" s="1"/>
  <c r="EI77" i="29"/>
  <c r="EI81" i="31" s="1"/>
  <c r="EI39" i="29"/>
  <c r="EI43" i="31" s="1"/>
  <c r="EF77" i="29"/>
  <c r="EF81" i="31" s="1"/>
  <c r="EF39" i="29"/>
  <c r="EF43" i="31" s="1"/>
  <c r="EC77" i="29"/>
  <c r="EC81" i="31" s="1"/>
  <c r="EC39" i="29"/>
  <c r="EC43" i="31" s="1"/>
  <c r="DV77" i="29"/>
  <c r="DV81" i="31" s="1"/>
  <c r="DV39" i="29"/>
  <c r="DV43" i="31" s="1"/>
  <c r="DR77" i="29"/>
  <c r="DR81" i="31" s="1"/>
  <c r="DR39" i="29"/>
  <c r="DR43" i="31" s="1"/>
  <c r="DN77" i="29"/>
  <c r="DN81" i="31" s="1"/>
  <c r="DN39" i="29"/>
  <c r="DN43" i="31" s="1"/>
  <c r="DK77" i="29"/>
  <c r="DK81" i="31" s="1"/>
  <c r="DK39" i="29"/>
  <c r="DK43" i="31" s="1"/>
  <c r="DE77" i="29"/>
  <c r="DE39" i="29"/>
  <c r="DB77" i="29"/>
  <c r="DB81" i="31" s="1"/>
  <c r="DB39" i="29"/>
  <c r="DB43" i="31" s="1"/>
  <c r="CW77" i="29"/>
  <c r="CW39" i="29"/>
  <c r="CT77" i="29"/>
  <c r="CT81" i="31" s="1"/>
  <c r="CT39" i="29"/>
  <c r="CT43" i="31" s="1"/>
  <c r="CJ77" i="29"/>
  <c r="CJ81" i="31" s="1"/>
  <c r="CJ39" i="29"/>
  <c r="CJ43" i="31" s="1"/>
  <c r="CC77" i="29"/>
  <c r="CC81" i="31" s="1"/>
  <c r="CC39" i="29"/>
  <c r="CC43" i="31" s="1"/>
  <c r="BW77" i="29"/>
  <c r="BW81" i="31" s="1"/>
  <c r="BW39" i="29"/>
  <c r="BW43" i="31" s="1"/>
  <c r="BP77" i="29"/>
  <c r="BP81" i="31" s="1"/>
  <c r="BP39" i="29"/>
  <c r="BP43" i="31" s="1"/>
  <c r="BJ77" i="29"/>
  <c r="BJ81" i="31" s="1"/>
  <c r="BJ39" i="29"/>
  <c r="BJ43" i="31" s="1"/>
  <c r="BD77" i="29"/>
  <c r="BD81" i="31" s="1"/>
  <c r="BD39" i="29"/>
  <c r="BD43" i="31" s="1"/>
  <c r="BA77" i="29"/>
  <c r="BA81" i="31" s="1"/>
  <c r="BA39" i="29"/>
  <c r="BA43" i="31" s="1"/>
  <c r="AW77" i="29"/>
  <c r="AW81" i="31" s="1"/>
  <c r="AW39" i="29"/>
  <c r="AW43" i="31" s="1"/>
  <c r="AQ77" i="29"/>
  <c r="AQ81" i="31" s="1"/>
  <c r="AQ39" i="29"/>
  <c r="AQ43" i="31" s="1"/>
  <c r="AM77" i="29"/>
  <c r="AM81" i="31" s="1"/>
  <c r="AM39" i="29"/>
  <c r="AM43" i="31" s="1"/>
  <c r="AI77" i="29"/>
  <c r="AI81" i="31" s="1"/>
  <c r="AI39" i="29"/>
  <c r="AI43" i="31" s="1"/>
  <c r="AE77" i="29"/>
  <c r="AE39" i="29"/>
  <c r="Y77" i="29"/>
  <c r="Y81" i="31" s="1"/>
  <c r="Y39" i="29"/>
  <c r="Y43" i="31" s="1"/>
  <c r="S77" i="29"/>
  <c r="S81" i="31" s="1"/>
  <c r="S39" i="29"/>
  <c r="S43" i="31" s="1"/>
  <c r="Q77" i="29"/>
  <c r="Q81" i="31" s="1"/>
  <c r="Q39" i="29"/>
  <c r="Q43" i="31" s="1"/>
  <c r="J77" i="29"/>
  <c r="J81" i="31" s="1"/>
  <c r="J39" i="29"/>
  <c r="J43" i="31" s="1"/>
  <c r="D77" i="29"/>
  <c r="D81" i="31" s="1"/>
  <c r="D39" i="29"/>
  <c r="D43" i="31" s="1"/>
  <c r="JP11" i="29"/>
  <c r="E14" i="8"/>
  <c r="E15" i="8" s="1"/>
  <c r="JP16" i="29" l="1"/>
  <c r="AC97" i="31"/>
  <c r="AC45" i="29"/>
  <c r="AC42" i="31"/>
  <c r="AC54" i="29"/>
  <c r="AC80" i="31"/>
  <c r="AC78" i="29"/>
  <c r="AC82" i="31" s="1"/>
  <c r="JP15" i="31"/>
  <c r="JP11" i="31"/>
  <c r="JP15" i="29"/>
  <c r="JN81" i="31"/>
  <c r="JL42" i="31"/>
  <c r="DE78" i="29"/>
  <c r="DE82" i="31" s="1"/>
  <c r="DE81" i="31"/>
  <c r="CR78" i="29"/>
  <c r="CR82" i="31" s="1"/>
  <c r="CR80" i="31"/>
  <c r="DQ78" i="29"/>
  <c r="DQ82" i="31" s="1"/>
  <c r="DQ80" i="31"/>
  <c r="EH54" i="29"/>
  <c r="EH42" i="31"/>
  <c r="EZ78" i="29"/>
  <c r="EZ82" i="31" s="1"/>
  <c r="EZ80" i="31"/>
  <c r="FO78" i="29"/>
  <c r="FO82" i="31" s="1"/>
  <c r="FO80" i="31"/>
  <c r="FX78" i="29"/>
  <c r="FX82" i="31" s="1"/>
  <c r="FX80" i="31"/>
  <c r="GN78" i="29"/>
  <c r="GN82" i="31" s="1"/>
  <c r="GN80" i="31"/>
  <c r="HE78" i="29"/>
  <c r="HE82" i="31" s="1"/>
  <c r="HE80" i="31"/>
  <c r="HV54" i="29"/>
  <c r="HV42" i="31"/>
  <c r="IU78" i="29"/>
  <c r="IU82" i="31" s="1"/>
  <c r="IU80" i="31"/>
  <c r="AD78" i="29"/>
  <c r="AD82" i="31" s="1"/>
  <c r="AD80" i="31"/>
  <c r="AZ54" i="29"/>
  <c r="AZ42" i="31"/>
  <c r="BU78" i="29"/>
  <c r="BU82" i="31" s="1"/>
  <c r="BU80" i="31"/>
  <c r="CH78" i="29"/>
  <c r="CH82" i="31" s="1"/>
  <c r="CH80" i="31"/>
  <c r="DO54" i="29"/>
  <c r="DO42" i="31"/>
  <c r="EX78" i="29"/>
  <c r="EX82" i="31" s="1"/>
  <c r="EX80" i="31"/>
  <c r="GX78" i="29"/>
  <c r="GX82" i="31" s="1"/>
  <c r="GX80" i="31"/>
  <c r="HP54" i="29"/>
  <c r="HP42" i="31"/>
  <c r="IF54" i="29"/>
  <c r="IF42" i="31"/>
  <c r="IW54" i="29"/>
  <c r="IW42" i="31"/>
  <c r="AO78" i="29"/>
  <c r="AO82" i="31" s="1"/>
  <c r="AO80" i="31"/>
  <c r="BN54" i="29"/>
  <c r="BN42" i="31"/>
  <c r="CE78" i="29"/>
  <c r="CE82" i="31" s="1"/>
  <c r="CE80" i="31"/>
  <c r="CM78" i="29"/>
  <c r="CM82" i="31" s="1"/>
  <c r="CM80" i="31"/>
  <c r="DU78" i="29"/>
  <c r="DU82" i="31" s="1"/>
  <c r="DU80" i="31"/>
  <c r="FI54" i="29"/>
  <c r="FI42" i="31"/>
  <c r="FS78" i="29"/>
  <c r="FS82" i="31" s="1"/>
  <c r="FS80" i="31"/>
  <c r="GA78" i="29"/>
  <c r="GA82" i="31" s="1"/>
  <c r="GA80" i="31"/>
  <c r="HH78" i="29"/>
  <c r="HH82" i="31" s="1"/>
  <c r="HH80" i="31"/>
  <c r="HQ78" i="29"/>
  <c r="HQ82" i="31" s="1"/>
  <c r="HQ80" i="31"/>
  <c r="HY54" i="29"/>
  <c r="HY42" i="31"/>
  <c r="IG78" i="29"/>
  <c r="IG82" i="31" s="1"/>
  <c r="IG80" i="31"/>
  <c r="IP54" i="29"/>
  <c r="IP42" i="31"/>
  <c r="IX54" i="29"/>
  <c r="IX42" i="31"/>
  <c r="JF54" i="29"/>
  <c r="JF42" i="31"/>
  <c r="BF54" i="29"/>
  <c r="BF42" i="31"/>
  <c r="BT78" i="29"/>
  <c r="BT82" i="31" s="1"/>
  <c r="BT80" i="31"/>
  <c r="CK78" i="29"/>
  <c r="CK82" i="31" s="1"/>
  <c r="CK80" i="31"/>
  <c r="EQ78" i="29"/>
  <c r="EQ82" i="31" s="1"/>
  <c r="EQ80" i="31"/>
  <c r="HN54" i="29"/>
  <c r="HN42" i="31"/>
  <c r="HW78" i="29"/>
  <c r="HW82" i="31" s="1"/>
  <c r="HW80" i="31"/>
  <c r="IE78" i="29"/>
  <c r="IE82" i="31" s="1"/>
  <c r="IE80" i="31"/>
  <c r="IN78" i="29"/>
  <c r="IN82" i="31" s="1"/>
  <c r="IN80" i="31"/>
  <c r="IV78" i="29"/>
  <c r="IV82" i="31" s="1"/>
  <c r="IV80" i="31"/>
  <c r="JD78" i="29"/>
  <c r="JD82" i="31" s="1"/>
  <c r="JD80" i="31"/>
  <c r="CP54" i="29"/>
  <c r="CP42" i="31"/>
  <c r="EB78" i="29"/>
  <c r="EB82" i="31" s="1"/>
  <c r="EB80" i="31"/>
  <c r="HT54" i="29"/>
  <c r="HT42" i="31"/>
  <c r="IJ54" i="29"/>
  <c r="IJ42" i="31"/>
  <c r="JE54" i="29"/>
  <c r="JE42" i="31"/>
  <c r="L54" i="29"/>
  <c r="L42" i="31"/>
  <c r="U54" i="29"/>
  <c r="U42" i="31"/>
  <c r="AB78" i="29"/>
  <c r="AB82" i="31" s="1"/>
  <c r="AB80" i="31"/>
  <c r="AL54" i="29"/>
  <c r="AL42" i="31"/>
  <c r="AT54" i="29"/>
  <c r="AT42" i="31"/>
  <c r="BB54" i="29"/>
  <c r="BB42" i="31"/>
  <c r="BS78" i="29"/>
  <c r="BS82" i="31" s="1"/>
  <c r="BS80" i="31"/>
  <c r="CB78" i="29"/>
  <c r="CB82" i="31" s="1"/>
  <c r="CB80" i="31"/>
  <c r="DD78" i="29"/>
  <c r="DD82" i="31" s="1"/>
  <c r="DD80" i="31"/>
  <c r="DZ54" i="29"/>
  <c r="DZ42" i="31"/>
  <c r="FH78" i="29"/>
  <c r="FH82" i="31" s="1"/>
  <c r="FH80" i="31"/>
  <c r="GV78" i="29"/>
  <c r="GV82" i="31" s="1"/>
  <c r="GV80" i="31"/>
  <c r="HM78" i="29"/>
  <c r="HM82" i="31" s="1"/>
  <c r="HM80" i="31"/>
  <c r="ID54" i="29"/>
  <c r="ID42" i="31"/>
  <c r="IM78" i="29"/>
  <c r="IM82" i="31" s="1"/>
  <c r="IM80" i="31"/>
  <c r="JC78" i="29"/>
  <c r="JC82" i="31" s="1"/>
  <c r="JC80" i="31"/>
  <c r="N54" i="29"/>
  <c r="N42" i="31"/>
  <c r="V54" i="29"/>
  <c r="V42" i="31"/>
  <c r="AR78" i="29"/>
  <c r="AR82" i="31" s="1"/>
  <c r="AR80" i="31"/>
  <c r="BM78" i="29"/>
  <c r="BM82" i="31" s="1"/>
  <c r="BM80" i="31"/>
  <c r="DC54" i="29"/>
  <c r="DC42" i="31"/>
  <c r="EG54" i="29"/>
  <c r="EG42" i="31"/>
  <c r="AE54" i="29"/>
  <c r="AE43" i="31"/>
  <c r="JL43" i="31"/>
  <c r="H54" i="29"/>
  <c r="H42" i="31"/>
  <c r="P78" i="29"/>
  <c r="P82" i="31" s="1"/>
  <c r="P80" i="31"/>
  <c r="X54" i="29"/>
  <c r="X42" i="31"/>
  <c r="AH78" i="29"/>
  <c r="AH82" i="31" s="1"/>
  <c r="AH80" i="31"/>
  <c r="AP78" i="29"/>
  <c r="AP82" i="31" s="1"/>
  <c r="AP80" i="31"/>
  <c r="AX78" i="29"/>
  <c r="AX82" i="31" s="1"/>
  <c r="AX80" i="31"/>
  <c r="BE54" i="29"/>
  <c r="BE42" i="31"/>
  <c r="BO54" i="29"/>
  <c r="BO42" i="31"/>
  <c r="CF54" i="29"/>
  <c r="CF42" i="31"/>
  <c r="CN54" i="29"/>
  <c r="CN42" i="31"/>
  <c r="CV54" i="29"/>
  <c r="CV42" i="31"/>
  <c r="DM54" i="29"/>
  <c r="DM42" i="31"/>
  <c r="ED78" i="29"/>
  <c r="ED82" i="31" s="1"/>
  <c r="ED80" i="31"/>
  <c r="FD78" i="29"/>
  <c r="FD82" i="31" s="1"/>
  <c r="FD80" i="31"/>
  <c r="FK54" i="29"/>
  <c r="FK42" i="31"/>
  <c r="FT54" i="29"/>
  <c r="FT42" i="31"/>
  <c r="GB54" i="29"/>
  <c r="GB42" i="31"/>
  <c r="GR54" i="29"/>
  <c r="GR42" i="31"/>
  <c r="HB78" i="29"/>
  <c r="HB82" i="31" s="1"/>
  <c r="HB80" i="31"/>
  <c r="HI54" i="29"/>
  <c r="HI42" i="31"/>
  <c r="HR78" i="29"/>
  <c r="HR82" i="31" s="1"/>
  <c r="HR80" i="31"/>
  <c r="HZ78" i="29"/>
  <c r="HZ82" i="31" s="1"/>
  <c r="HZ80" i="31"/>
  <c r="IH78" i="29"/>
  <c r="IH82" i="31" s="1"/>
  <c r="IH80" i="31"/>
  <c r="IQ54" i="29"/>
  <c r="IQ42" i="31"/>
  <c r="IY54" i="29"/>
  <c r="IY42" i="31"/>
  <c r="JG54" i="29"/>
  <c r="JG42" i="31"/>
  <c r="N78" i="29"/>
  <c r="N82" i="31" s="1"/>
  <c r="N80" i="31"/>
  <c r="V78" i="29"/>
  <c r="V82" i="31" s="1"/>
  <c r="V80" i="31"/>
  <c r="AD54" i="29"/>
  <c r="AD42" i="31"/>
  <c r="AR54" i="29"/>
  <c r="AR42" i="31"/>
  <c r="AZ78" i="29"/>
  <c r="AZ82" i="31" s="1"/>
  <c r="AZ80" i="31"/>
  <c r="BM54" i="29"/>
  <c r="BM42" i="31"/>
  <c r="CH54" i="29"/>
  <c r="CH42" i="31"/>
  <c r="DC78" i="29"/>
  <c r="DC82" i="31" s="1"/>
  <c r="DC80" i="31"/>
  <c r="DO78" i="29"/>
  <c r="DO82" i="31" s="1"/>
  <c r="DO80" i="31"/>
  <c r="EG78" i="29"/>
  <c r="EG82" i="31" s="1"/>
  <c r="EG80" i="31"/>
  <c r="EX54" i="29"/>
  <c r="EX42" i="31"/>
  <c r="GX54" i="29"/>
  <c r="GX42" i="31"/>
  <c r="HP78" i="29"/>
  <c r="HP82" i="31" s="1"/>
  <c r="HP80" i="31"/>
  <c r="IF78" i="29"/>
  <c r="IF82" i="31" s="1"/>
  <c r="IF80" i="31"/>
  <c r="IW78" i="29"/>
  <c r="IW82" i="31" s="1"/>
  <c r="IW80" i="31"/>
  <c r="CZ54" i="29"/>
  <c r="CZ43" i="31"/>
  <c r="K78" i="29"/>
  <c r="K82" i="31" s="1"/>
  <c r="K80" i="31"/>
  <c r="BH78" i="29"/>
  <c r="BH82" i="31" s="1"/>
  <c r="BH80" i="31"/>
  <c r="BR78" i="29"/>
  <c r="BR82" i="31" s="1"/>
  <c r="BR80" i="31"/>
  <c r="CQ54" i="29"/>
  <c r="CQ42" i="31"/>
  <c r="DA54" i="29"/>
  <c r="DA42" i="31"/>
  <c r="DY78" i="29"/>
  <c r="DY82" i="31" s="1"/>
  <c r="DY80" i="31"/>
  <c r="EO78" i="29"/>
  <c r="EO82" i="31" s="1"/>
  <c r="EO80" i="31"/>
  <c r="FG54" i="29"/>
  <c r="FG42" i="31"/>
  <c r="FN78" i="29"/>
  <c r="FN82" i="31" s="1"/>
  <c r="FN80" i="31"/>
  <c r="FW54" i="29"/>
  <c r="FW42" i="31"/>
  <c r="HD54" i="29"/>
  <c r="HD42" i="31"/>
  <c r="HU54" i="29"/>
  <c r="HU42" i="31"/>
  <c r="IC54" i="29"/>
  <c r="IC42" i="31"/>
  <c r="IL78" i="29"/>
  <c r="IL82" i="31" s="1"/>
  <c r="IL80" i="31"/>
  <c r="IT78" i="29"/>
  <c r="IT82" i="31" s="1"/>
  <c r="IT80" i="31"/>
  <c r="JB78" i="29"/>
  <c r="JB82" i="31" s="1"/>
  <c r="JB80" i="31"/>
  <c r="AF54" i="29"/>
  <c r="AF43" i="31"/>
  <c r="DS54" i="29"/>
  <c r="DS43" i="31"/>
  <c r="I78" i="29"/>
  <c r="I82" i="31" s="1"/>
  <c r="I80" i="31"/>
  <c r="CO54" i="29"/>
  <c r="CO42" i="31"/>
  <c r="DG54" i="29"/>
  <c r="DG42" i="31"/>
  <c r="FE54" i="29"/>
  <c r="FE42" i="31"/>
  <c r="GK54" i="29"/>
  <c r="GK42" i="31"/>
  <c r="HS54" i="29"/>
  <c r="HS42" i="31"/>
  <c r="IA54" i="29"/>
  <c r="IA42" i="31"/>
  <c r="II54" i="29"/>
  <c r="II42" i="31"/>
  <c r="IR54" i="29"/>
  <c r="IR42" i="31"/>
  <c r="IZ78" i="29"/>
  <c r="IZ82" i="31" s="1"/>
  <c r="IZ80" i="31"/>
  <c r="JH54" i="29"/>
  <c r="JH42" i="31"/>
  <c r="HK54" i="29"/>
  <c r="HK42" i="31"/>
  <c r="IB54" i="29"/>
  <c r="IB42" i="31"/>
  <c r="IS54" i="29"/>
  <c r="IS42" i="31"/>
  <c r="JP16" i="31"/>
  <c r="CW78" i="29"/>
  <c r="CW82" i="31" s="1"/>
  <c r="CW81" i="31"/>
  <c r="AE78" i="29"/>
  <c r="AE82" i="31" s="1"/>
  <c r="AE81" i="31"/>
  <c r="T54" i="29"/>
  <c r="T42" i="31"/>
  <c r="Z54" i="29"/>
  <c r="Z42" i="31"/>
  <c r="AN54" i="29"/>
  <c r="AN42" i="31"/>
  <c r="AV78" i="29"/>
  <c r="AV82" i="31" s="1"/>
  <c r="AV80" i="31"/>
  <c r="BQ78" i="29"/>
  <c r="BQ82" i="31" s="1"/>
  <c r="BQ80" i="31"/>
  <c r="DH54" i="29"/>
  <c r="DH42" i="31"/>
  <c r="FF78" i="29"/>
  <c r="FF82" i="31" s="1"/>
  <c r="FF80" i="31"/>
  <c r="GP78" i="29"/>
  <c r="GP82" i="31" s="1"/>
  <c r="GP80" i="31"/>
  <c r="HX54" i="29"/>
  <c r="HX42" i="31"/>
  <c r="IO78" i="29"/>
  <c r="IO82" i="31" s="1"/>
  <c r="IO80" i="31"/>
  <c r="JA54" i="29"/>
  <c r="JA42" i="31"/>
  <c r="CZ78" i="29"/>
  <c r="CZ82" i="31" s="1"/>
  <c r="CZ81" i="31"/>
  <c r="K54" i="29"/>
  <c r="K42" i="31"/>
  <c r="BR54" i="29"/>
  <c r="BR42" i="31"/>
  <c r="CQ78" i="29"/>
  <c r="CQ82" i="31" s="1"/>
  <c r="CQ80" i="31"/>
  <c r="DA78" i="29"/>
  <c r="DA82" i="31" s="1"/>
  <c r="DA80" i="31"/>
  <c r="DY54" i="29"/>
  <c r="DY42" i="31"/>
  <c r="FG78" i="29"/>
  <c r="FG82" i="31" s="1"/>
  <c r="FG80" i="31"/>
  <c r="FW78" i="29"/>
  <c r="FW82" i="31" s="1"/>
  <c r="FW80" i="31"/>
  <c r="HD78" i="29"/>
  <c r="HD82" i="31" s="1"/>
  <c r="HD80" i="31"/>
  <c r="HU78" i="29"/>
  <c r="HU82" i="31" s="1"/>
  <c r="HU80" i="31"/>
  <c r="IC78" i="29"/>
  <c r="IC82" i="31" s="1"/>
  <c r="IC80" i="31"/>
  <c r="IL54" i="29"/>
  <c r="IL42" i="31"/>
  <c r="IT54" i="29"/>
  <c r="IT42" i="31"/>
  <c r="JB54" i="29"/>
  <c r="JB42" i="31"/>
  <c r="AF78" i="29"/>
  <c r="AF82" i="31" s="1"/>
  <c r="AF81" i="31"/>
  <c r="DS78" i="29"/>
  <c r="DS82" i="31" s="1"/>
  <c r="DS81" i="31"/>
  <c r="I54" i="29"/>
  <c r="I42" i="31"/>
  <c r="CO78" i="29"/>
  <c r="CO82" i="31" s="1"/>
  <c r="CO80" i="31"/>
  <c r="DG78" i="29"/>
  <c r="DG82" i="31" s="1"/>
  <c r="DG80" i="31"/>
  <c r="FE78" i="29"/>
  <c r="FE82" i="31" s="1"/>
  <c r="FE80" i="31"/>
  <c r="GK78" i="29"/>
  <c r="GK82" i="31" s="1"/>
  <c r="GK80" i="31"/>
  <c r="HS78" i="29"/>
  <c r="HS82" i="31" s="1"/>
  <c r="HS80" i="31"/>
  <c r="IA78" i="29"/>
  <c r="IA82" i="31" s="1"/>
  <c r="IA80" i="31"/>
  <c r="II78" i="29"/>
  <c r="II82" i="31" s="1"/>
  <c r="II80" i="31"/>
  <c r="IR78" i="29"/>
  <c r="IR82" i="31" s="1"/>
  <c r="IR80" i="31"/>
  <c r="IZ54" i="29"/>
  <c r="IZ42" i="31"/>
  <c r="JH78" i="29"/>
  <c r="JH82" i="31" s="1"/>
  <c r="JH80" i="31"/>
  <c r="HK78" i="29"/>
  <c r="HK82" i="31" s="1"/>
  <c r="HK80" i="31"/>
  <c r="IB78" i="29"/>
  <c r="IB82" i="31" s="1"/>
  <c r="IB80" i="31"/>
  <c r="IS78" i="29"/>
  <c r="IS82" i="31" s="1"/>
  <c r="IS80" i="31"/>
  <c r="JL81" i="31"/>
  <c r="H78" i="29"/>
  <c r="H82" i="31" s="1"/>
  <c r="H80" i="31"/>
  <c r="P54" i="29"/>
  <c r="P42" i="31"/>
  <c r="X78" i="29"/>
  <c r="X82" i="31" s="1"/>
  <c r="X80" i="31"/>
  <c r="AH54" i="29"/>
  <c r="AH42" i="31"/>
  <c r="AP54" i="29"/>
  <c r="AP42" i="31"/>
  <c r="AX54" i="29"/>
  <c r="AX42" i="31"/>
  <c r="BE78" i="29"/>
  <c r="BE82" i="31" s="1"/>
  <c r="BE80" i="31"/>
  <c r="BO78" i="29"/>
  <c r="BO82" i="31" s="1"/>
  <c r="BO80" i="31"/>
  <c r="CF78" i="29"/>
  <c r="CF82" i="31" s="1"/>
  <c r="CF80" i="31"/>
  <c r="CN78" i="29"/>
  <c r="CN82" i="31" s="1"/>
  <c r="CN80" i="31"/>
  <c r="CV78" i="29"/>
  <c r="CV82" i="31" s="1"/>
  <c r="CV80" i="31"/>
  <c r="DM78" i="29"/>
  <c r="DM82" i="31" s="1"/>
  <c r="DM80" i="31"/>
  <c r="ED54" i="29"/>
  <c r="ED42" i="31"/>
  <c r="FD54" i="29"/>
  <c r="FD42" i="31"/>
  <c r="FK78" i="29"/>
  <c r="FK82" i="31" s="1"/>
  <c r="FK80" i="31"/>
  <c r="FT78" i="29"/>
  <c r="FT82" i="31" s="1"/>
  <c r="FT80" i="31"/>
  <c r="GB78" i="29"/>
  <c r="GB82" i="31" s="1"/>
  <c r="GB80" i="31"/>
  <c r="GR78" i="29"/>
  <c r="GR82" i="31" s="1"/>
  <c r="GR80" i="31"/>
  <c r="HB54" i="29"/>
  <c r="HB42" i="31"/>
  <c r="HI78" i="29"/>
  <c r="HI82" i="31" s="1"/>
  <c r="HI80" i="31"/>
  <c r="HR54" i="29"/>
  <c r="HR42" i="31"/>
  <c r="HZ54" i="29"/>
  <c r="HZ42" i="31"/>
  <c r="IH54" i="29"/>
  <c r="IH42" i="31"/>
  <c r="IQ78" i="29"/>
  <c r="IQ82" i="31" s="1"/>
  <c r="IQ80" i="31"/>
  <c r="IY78" i="29"/>
  <c r="IY82" i="31" s="1"/>
  <c r="IY80" i="31"/>
  <c r="JG78" i="29"/>
  <c r="JG82" i="31" s="1"/>
  <c r="JG80" i="31"/>
  <c r="CW54" i="29"/>
  <c r="CW43" i="31"/>
  <c r="DE54" i="29"/>
  <c r="DE43" i="31"/>
  <c r="JN43" i="31"/>
  <c r="L78" i="29"/>
  <c r="L82" i="31" s="1"/>
  <c r="L80" i="31"/>
  <c r="U78" i="29"/>
  <c r="U82" i="31" s="1"/>
  <c r="U80" i="31"/>
  <c r="AB54" i="29"/>
  <c r="AB42" i="31"/>
  <c r="AL78" i="29"/>
  <c r="AL82" i="31" s="1"/>
  <c r="AL80" i="31"/>
  <c r="AT78" i="29"/>
  <c r="AT82" i="31" s="1"/>
  <c r="AT80" i="31"/>
  <c r="BB78" i="29"/>
  <c r="BB82" i="31" s="1"/>
  <c r="BB80" i="31"/>
  <c r="BJ78" i="29"/>
  <c r="BJ82" i="31" s="1"/>
  <c r="BJ80" i="31"/>
  <c r="BS54" i="29"/>
  <c r="BS42" i="31"/>
  <c r="CB54" i="29"/>
  <c r="CB42" i="31"/>
  <c r="CR54" i="29"/>
  <c r="CR42" i="31"/>
  <c r="DD54" i="29"/>
  <c r="DD42" i="31"/>
  <c r="DQ54" i="29"/>
  <c r="DQ42" i="31"/>
  <c r="DZ78" i="29"/>
  <c r="DZ82" i="31" s="1"/>
  <c r="DZ80" i="31"/>
  <c r="EH78" i="29"/>
  <c r="EH82" i="31" s="1"/>
  <c r="EH80" i="31"/>
  <c r="EP78" i="29"/>
  <c r="EP82" i="31" s="1"/>
  <c r="EP80" i="31"/>
  <c r="EZ54" i="29"/>
  <c r="EZ42" i="31"/>
  <c r="FH54" i="29"/>
  <c r="FH42" i="31"/>
  <c r="FO54" i="29"/>
  <c r="FO42" i="31"/>
  <c r="FX54" i="29"/>
  <c r="FX42" i="31"/>
  <c r="GN54" i="29"/>
  <c r="GN42" i="31"/>
  <c r="GV54" i="29"/>
  <c r="GV42" i="31"/>
  <c r="HE54" i="29"/>
  <c r="HE42" i="31"/>
  <c r="HM54" i="29"/>
  <c r="HM42" i="31"/>
  <c r="HV78" i="29"/>
  <c r="HV82" i="31" s="1"/>
  <c r="HV80" i="31"/>
  <c r="ID78" i="29"/>
  <c r="ID82" i="31" s="1"/>
  <c r="ID80" i="31"/>
  <c r="IM54" i="29"/>
  <c r="IM42" i="31"/>
  <c r="IU54" i="29"/>
  <c r="IU42" i="31"/>
  <c r="JC54" i="29"/>
  <c r="JC42" i="31"/>
  <c r="T78" i="29"/>
  <c r="T82" i="31" s="1"/>
  <c r="T80" i="31"/>
  <c r="Z78" i="29"/>
  <c r="Z82" i="31" s="1"/>
  <c r="Z80" i="31"/>
  <c r="AN78" i="29"/>
  <c r="AN82" i="31" s="1"/>
  <c r="AN80" i="31"/>
  <c r="AV54" i="29"/>
  <c r="AV42" i="31"/>
  <c r="BG78" i="29"/>
  <c r="BG82" i="31" s="1"/>
  <c r="BG80" i="31"/>
  <c r="BQ54" i="29"/>
  <c r="BQ42" i="31"/>
  <c r="BY78" i="29"/>
  <c r="BY82" i="31" s="1"/>
  <c r="BY80" i="31"/>
  <c r="DH78" i="29"/>
  <c r="DH82" i="31" s="1"/>
  <c r="DH80" i="31"/>
  <c r="DX78" i="29"/>
  <c r="DX82" i="31" s="1"/>
  <c r="DX80" i="31"/>
  <c r="EN78" i="29"/>
  <c r="EN82" i="31" s="1"/>
  <c r="EN80" i="31"/>
  <c r="FF54" i="29"/>
  <c r="FF42" i="31"/>
  <c r="GP54" i="29"/>
  <c r="GP42" i="31"/>
  <c r="HX78" i="29"/>
  <c r="HX82" i="31" s="1"/>
  <c r="HX80" i="31"/>
  <c r="IO54" i="29"/>
  <c r="IO42" i="31"/>
  <c r="JA78" i="29"/>
  <c r="JA82" i="31" s="1"/>
  <c r="JA80" i="31"/>
  <c r="AO54" i="29"/>
  <c r="AO42" i="31"/>
  <c r="BN78" i="29"/>
  <c r="BN82" i="31" s="1"/>
  <c r="BN80" i="31"/>
  <c r="BV78" i="29"/>
  <c r="BV82" i="31" s="1"/>
  <c r="BV80" i="31"/>
  <c r="CE54" i="29"/>
  <c r="CE42" i="31"/>
  <c r="CM54" i="29"/>
  <c r="CM42" i="31"/>
  <c r="FI78" i="29"/>
  <c r="FI82" i="31" s="1"/>
  <c r="FI80" i="31"/>
  <c r="FS54" i="29"/>
  <c r="FS42" i="31"/>
  <c r="GA54" i="29"/>
  <c r="GA42" i="31"/>
  <c r="HH54" i="29"/>
  <c r="HH42" i="31"/>
  <c r="HQ54" i="29"/>
  <c r="HQ42" i="31"/>
  <c r="HY78" i="29"/>
  <c r="HY82" i="31" s="1"/>
  <c r="HY80" i="31"/>
  <c r="IG54" i="29"/>
  <c r="IG42" i="31"/>
  <c r="IP78" i="29"/>
  <c r="IP82" i="31" s="1"/>
  <c r="IP80" i="31"/>
  <c r="IX78" i="29"/>
  <c r="IX82" i="31" s="1"/>
  <c r="IX80" i="31"/>
  <c r="JF78" i="29"/>
  <c r="JF82" i="31" s="1"/>
  <c r="JF80" i="31"/>
  <c r="E78" i="29"/>
  <c r="E82" i="31" s="1"/>
  <c r="E80" i="31"/>
  <c r="JL80" i="31" s="1"/>
  <c r="BF78" i="29"/>
  <c r="BF82" i="31" s="1"/>
  <c r="BF80" i="31"/>
  <c r="BT54" i="29"/>
  <c r="BT42" i="31"/>
  <c r="CK54" i="29"/>
  <c r="CK42" i="31"/>
  <c r="EQ54" i="29"/>
  <c r="EQ42" i="31"/>
  <c r="HN78" i="29"/>
  <c r="HN82" i="31" s="1"/>
  <c r="HN80" i="31"/>
  <c r="HW54" i="29"/>
  <c r="HW42" i="31"/>
  <c r="IE54" i="29"/>
  <c r="IE42" i="31"/>
  <c r="IN54" i="29"/>
  <c r="IN42" i="31"/>
  <c r="IV54" i="29"/>
  <c r="IV42" i="31"/>
  <c r="JD54" i="29"/>
  <c r="JD42" i="31"/>
  <c r="CP78" i="29"/>
  <c r="CP82" i="31" s="1"/>
  <c r="CP80" i="31"/>
  <c r="EB54" i="29"/>
  <c r="EB42" i="31"/>
  <c r="HT78" i="29"/>
  <c r="HT82" i="31" s="1"/>
  <c r="HT80" i="31"/>
  <c r="IJ78" i="29"/>
  <c r="IJ82" i="31" s="1"/>
  <c r="IJ80" i="31"/>
  <c r="JE78" i="29"/>
  <c r="JE82" i="31" s="1"/>
  <c r="JE80" i="31"/>
  <c r="EU54" i="29"/>
  <c r="EU58" i="31" s="1"/>
  <c r="JN39" i="29"/>
  <c r="D54" i="29"/>
  <c r="GG54" i="29"/>
  <c r="JM39" i="29"/>
  <c r="G3" i="21"/>
  <c r="I3" i="21" s="1"/>
  <c r="D3" i="21"/>
  <c r="J78" i="29"/>
  <c r="J82" i="31" s="1"/>
  <c r="CL54" i="29"/>
  <c r="FV54" i="29"/>
  <c r="HG78" i="29"/>
  <c r="HG82" i="31" s="1"/>
  <c r="G54" i="29"/>
  <c r="O54" i="29"/>
  <c r="W54" i="29"/>
  <c r="AG78" i="29"/>
  <c r="AG82" i="31" s="1"/>
  <c r="AW78" i="29"/>
  <c r="AW82" i="31" s="1"/>
  <c r="BD54" i="29"/>
  <c r="CU54" i="29"/>
  <c r="DF78" i="29"/>
  <c r="DF82" i="31" s="1"/>
  <c r="DL54" i="29"/>
  <c r="DU54" i="29"/>
  <c r="EC54" i="29"/>
  <c r="EK54" i="29"/>
  <c r="ES54" i="29"/>
  <c r="FC54" i="29"/>
  <c r="GE54" i="29"/>
  <c r="GQ54" i="29"/>
  <c r="HA54" i="29"/>
  <c r="M78" i="29"/>
  <c r="M82" i="31" s="1"/>
  <c r="S54" i="29"/>
  <c r="AI54" i="29"/>
  <c r="AS54" i="29"/>
  <c r="AY54" i="29"/>
  <c r="CD78" i="29"/>
  <c r="CD82" i="31" s="1"/>
  <c r="CT78" i="29"/>
  <c r="CT82" i="31" s="1"/>
  <c r="DB78" i="29"/>
  <c r="DB82" i="31" s="1"/>
  <c r="DK54" i="29"/>
  <c r="DR78" i="29"/>
  <c r="DR82" i="31" s="1"/>
  <c r="EA54" i="29"/>
  <c r="EI54" i="29"/>
  <c r="FA54" i="29"/>
  <c r="BI54" i="29"/>
  <c r="FP54" i="29"/>
  <c r="FY54" i="29"/>
  <c r="GH78" i="29"/>
  <c r="GH82" i="31" s="1"/>
  <c r="GO54" i="29"/>
  <c r="GW54" i="29"/>
  <c r="HF78" i="29"/>
  <c r="HF82" i="31" s="1"/>
  <c r="AJ54" i="29"/>
  <c r="DJ78" i="29"/>
  <c r="DJ82" i="31" s="1"/>
  <c r="ER54" i="29"/>
  <c r="FJ78" i="29"/>
  <c r="FJ82" i="31" s="1"/>
  <c r="FZ78" i="29"/>
  <c r="FZ82" i="31" s="1"/>
  <c r="GL78" i="29"/>
  <c r="GL82" i="31" s="1"/>
  <c r="HC54" i="29"/>
  <c r="CJ54" i="29"/>
  <c r="D78" i="29"/>
  <c r="D82" i="31" s="1"/>
  <c r="BJ54" i="29"/>
  <c r="CJ78" i="29"/>
  <c r="CJ82" i="31" s="1"/>
  <c r="EP54" i="29"/>
  <c r="GG78" i="29"/>
  <c r="GG82" i="31" s="1"/>
  <c r="JM77" i="29"/>
  <c r="JM38" i="29"/>
  <c r="F54" i="29"/>
  <c r="F58" i="31" s="1"/>
  <c r="FM54" i="29"/>
  <c r="GD78" i="29"/>
  <c r="GD82" i="31" s="1"/>
  <c r="JI38" i="29"/>
  <c r="JI42" i="31" s="1"/>
  <c r="JL38" i="29"/>
  <c r="C54" i="29"/>
  <c r="C58" i="31" s="1"/>
  <c r="G78" i="29"/>
  <c r="G82" i="31" s="1"/>
  <c r="O78" i="29"/>
  <c r="O82" i="31" s="1"/>
  <c r="W78" i="29"/>
  <c r="W82" i="31" s="1"/>
  <c r="AG54" i="29"/>
  <c r="AW54" i="29"/>
  <c r="BD78" i="29"/>
  <c r="BD82" i="31" s="1"/>
  <c r="BV54" i="29"/>
  <c r="CU78" i="29"/>
  <c r="CU82" i="31" s="1"/>
  <c r="DF54" i="29"/>
  <c r="DL78" i="29"/>
  <c r="DL82" i="31" s="1"/>
  <c r="EC78" i="29"/>
  <c r="EC82" i="31" s="1"/>
  <c r="EK78" i="29"/>
  <c r="EK82" i="31" s="1"/>
  <c r="ES78" i="29"/>
  <c r="ES82" i="31" s="1"/>
  <c r="FC78" i="29"/>
  <c r="FC82" i="31" s="1"/>
  <c r="GE78" i="29"/>
  <c r="GE82" i="31" s="1"/>
  <c r="GQ78" i="29"/>
  <c r="GQ82" i="31" s="1"/>
  <c r="HA78" i="29"/>
  <c r="HA82" i="31" s="1"/>
  <c r="E54" i="29"/>
  <c r="M54" i="29"/>
  <c r="S78" i="29"/>
  <c r="S82" i="31" s="1"/>
  <c r="AI78" i="29"/>
  <c r="AI82" i="31" s="1"/>
  <c r="AS78" i="29"/>
  <c r="AS82" i="31" s="1"/>
  <c r="AY78" i="29"/>
  <c r="AY82" i="31" s="1"/>
  <c r="CD54" i="29"/>
  <c r="CT54" i="29"/>
  <c r="DB54" i="29"/>
  <c r="DK78" i="29"/>
  <c r="DK82" i="31" s="1"/>
  <c r="DR54" i="29"/>
  <c r="EA78" i="29"/>
  <c r="EA82" i="31" s="1"/>
  <c r="EI78" i="29"/>
  <c r="EI82" i="31" s="1"/>
  <c r="FA78" i="29"/>
  <c r="FA82" i="31" s="1"/>
  <c r="BI78" i="29"/>
  <c r="BI82" i="31" s="1"/>
  <c r="FP78" i="29"/>
  <c r="FP82" i="31" s="1"/>
  <c r="FY78" i="29"/>
  <c r="FY82" i="31" s="1"/>
  <c r="GH54" i="29"/>
  <c r="GO78" i="29"/>
  <c r="GO82" i="31" s="1"/>
  <c r="GW78" i="29"/>
  <c r="GW82" i="31" s="1"/>
  <c r="HF54" i="29"/>
  <c r="AJ78" i="29"/>
  <c r="AJ82" i="31" s="1"/>
  <c r="DJ54" i="29"/>
  <c r="ER78" i="29"/>
  <c r="ER82" i="31" s="1"/>
  <c r="FJ54" i="29"/>
  <c r="FZ54" i="29"/>
  <c r="GL54" i="29"/>
  <c r="HC78" i="29"/>
  <c r="HC82" i="31" s="1"/>
  <c r="JN77" i="29"/>
  <c r="EU78" i="29"/>
  <c r="EU82" i="31" s="1"/>
  <c r="BW54" i="29"/>
  <c r="DV78" i="29"/>
  <c r="DV82" i="31" s="1"/>
  <c r="EL78" i="29"/>
  <c r="EL82" i="31" s="1"/>
  <c r="JN38" i="29"/>
  <c r="EV54" i="29"/>
  <c r="GJ54" i="29"/>
  <c r="JM76" i="29"/>
  <c r="F78" i="29"/>
  <c r="F82" i="31" s="1"/>
  <c r="BU54" i="29"/>
  <c r="FM78" i="29"/>
  <c r="FM82" i="31" s="1"/>
  <c r="GD54" i="29"/>
  <c r="JI76" i="29"/>
  <c r="JI80" i="31" s="1"/>
  <c r="JL76" i="29"/>
  <c r="C78" i="29"/>
  <c r="C82" i="31" s="1"/>
  <c r="R54" i="29"/>
  <c r="AA78" i="29"/>
  <c r="AA82" i="31" s="1"/>
  <c r="AK78" i="29"/>
  <c r="AK82" i="31" s="1"/>
  <c r="AQ54" i="29"/>
  <c r="BA78" i="29"/>
  <c r="BA82" i="31" s="1"/>
  <c r="BZ78" i="29"/>
  <c r="BZ82" i="31" s="1"/>
  <c r="CI54" i="29"/>
  <c r="DI54" i="29"/>
  <c r="DP54" i="29"/>
  <c r="EE54" i="29"/>
  <c r="EY54" i="29"/>
  <c r="GF54" i="29"/>
  <c r="GM54" i="29"/>
  <c r="GU54" i="29"/>
  <c r="JO38" i="29"/>
  <c r="HL54" i="29"/>
  <c r="HL58" i="31" s="1"/>
  <c r="Q78" i="29"/>
  <c r="Q82" i="31" s="1"/>
  <c r="Y78" i="29"/>
  <c r="Y82" i="31" s="1"/>
  <c r="AM54" i="29"/>
  <c r="AU54" i="29"/>
  <c r="BC54" i="29"/>
  <c r="BP54" i="29"/>
  <c r="BX78" i="29"/>
  <c r="BX82" i="31" s="1"/>
  <c r="CG54" i="29"/>
  <c r="CX78" i="29"/>
  <c r="CX82" i="31" s="1"/>
  <c r="DN78" i="29"/>
  <c r="DN82" i="31" s="1"/>
  <c r="DW54" i="29"/>
  <c r="EF54" i="29"/>
  <c r="EM54" i="29"/>
  <c r="EW54" i="29"/>
  <c r="FL54" i="29"/>
  <c r="FU54" i="29"/>
  <c r="GC54" i="29"/>
  <c r="GS54" i="29"/>
  <c r="GY54" i="29"/>
  <c r="HJ78" i="29"/>
  <c r="HJ82" i="31" s="1"/>
  <c r="CC54" i="29"/>
  <c r="CY54" i="29"/>
  <c r="DT78" i="29"/>
  <c r="DT82" i="31" s="1"/>
  <c r="EJ78" i="29"/>
  <c r="EJ82" i="31" s="1"/>
  <c r="FB78" i="29"/>
  <c r="FB82" i="31" s="1"/>
  <c r="FQ54" i="29"/>
  <c r="GI54" i="29"/>
  <c r="GT78" i="29"/>
  <c r="GT82" i="31" s="1"/>
  <c r="JI39" i="29"/>
  <c r="JI43" i="31" s="1"/>
  <c r="JL39" i="29"/>
  <c r="JI77" i="29"/>
  <c r="JI81" i="31" s="1"/>
  <c r="JL77" i="29"/>
  <c r="BW78" i="29"/>
  <c r="BW82" i="31" s="1"/>
  <c r="DV54" i="29"/>
  <c r="EL54" i="29"/>
  <c r="JN76" i="29"/>
  <c r="EV78" i="29"/>
  <c r="EV82" i="31" s="1"/>
  <c r="GJ78" i="29"/>
  <c r="GJ82" i="31" s="1"/>
  <c r="J54" i="29"/>
  <c r="BG54" i="29"/>
  <c r="BY54" i="29"/>
  <c r="CL78" i="29"/>
  <c r="CL82" i="31" s="1"/>
  <c r="DX54" i="29"/>
  <c r="EN54" i="29"/>
  <c r="FV78" i="29"/>
  <c r="FV82" i="31" s="1"/>
  <c r="HG54" i="29"/>
  <c r="G2" i="21"/>
  <c r="D2" i="21"/>
  <c r="B6" i="21"/>
  <c r="R78" i="29"/>
  <c r="R82" i="31" s="1"/>
  <c r="AA54" i="29"/>
  <c r="AK54" i="29"/>
  <c r="AQ78" i="29"/>
  <c r="AQ82" i="31" s="1"/>
  <c r="BA54" i="29"/>
  <c r="BH54" i="29"/>
  <c r="BZ54" i="29"/>
  <c r="CI78" i="29"/>
  <c r="CI82" i="31" s="1"/>
  <c r="DI78" i="29"/>
  <c r="DI82" i="31" s="1"/>
  <c r="DP78" i="29"/>
  <c r="DP82" i="31" s="1"/>
  <c r="EE78" i="29"/>
  <c r="EE82" i="31" s="1"/>
  <c r="EO54" i="29"/>
  <c r="EY78" i="29"/>
  <c r="EY82" i="31" s="1"/>
  <c r="FN54" i="29"/>
  <c r="GF78" i="29"/>
  <c r="GF82" i="31" s="1"/>
  <c r="GM78" i="29"/>
  <c r="GM82" i="31" s="1"/>
  <c r="GU78" i="29"/>
  <c r="GU82" i="31" s="1"/>
  <c r="JO76" i="29"/>
  <c r="HL78" i="29"/>
  <c r="Q54" i="29"/>
  <c r="Y54" i="29"/>
  <c r="AM78" i="29"/>
  <c r="AM82" i="31" s="1"/>
  <c r="AU78" i="29"/>
  <c r="AU82" i="31" s="1"/>
  <c r="BC78" i="29"/>
  <c r="BC82" i="31" s="1"/>
  <c r="BP78" i="29"/>
  <c r="BP82" i="31" s="1"/>
  <c r="BX54" i="29"/>
  <c r="CG78" i="29"/>
  <c r="CG82" i="31" s="1"/>
  <c r="CX54" i="29"/>
  <c r="DN54" i="29"/>
  <c r="DW78" i="29"/>
  <c r="DW82" i="31" s="1"/>
  <c r="EF78" i="29"/>
  <c r="EF82" i="31" s="1"/>
  <c r="EM78" i="29"/>
  <c r="EM82" i="31" s="1"/>
  <c r="EW78" i="29"/>
  <c r="EW82" i="31" s="1"/>
  <c r="FL78" i="29"/>
  <c r="FL82" i="31" s="1"/>
  <c r="FU78" i="29"/>
  <c r="FU82" i="31" s="1"/>
  <c r="GC78" i="29"/>
  <c r="GC82" i="31" s="1"/>
  <c r="GS78" i="29"/>
  <c r="GS82" i="31" s="1"/>
  <c r="GY78" i="29"/>
  <c r="GY82" i="31" s="1"/>
  <c r="HJ54" i="29"/>
  <c r="CC78" i="29"/>
  <c r="CC82" i="31" s="1"/>
  <c r="CY78" i="29"/>
  <c r="CY82" i="31" s="1"/>
  <c r="DT54" i="29"/>
  <c r="EJ54" i="29"/>
  <c r="FB54" i="29"/>
  <c r="FQ78" i="29"/>
  <c r="FQ82" i="31" s="1"/>
  <c r="GI78" i="29"/>
  <c r="GI82" i="31" s="1"/>
  <c r="GT54" i="29"/>
  <c r="F34" i="7"/>
  <c r="F35" i="7"/>
  <c r="F36" i="7"/>
  <c r="F37" i="7"/>
  <c r="F38" i="7"/>
  <c r="F39" i="7"/>
  <c r="F40" i="7"/>
  <c r="F41" i="7"/>
  <c r="F42" i="7"/>
  <c r="F43" i="7"/>
  <c r="F44" i="7"/>
  <c r="F45" i="7"/>
  <c r="F46" i="7"/>
  <c r="F47" i="7"/>
  <c r="F48" i="7"/>
  <c r="F49" i="7"/>
  <c r="F50" i="7"/>
  <c r="F51" i="7"/>
  <c r="F52" i="7"/>
  <c r="F53" i="7"/>
  <c r="F54" i="7"/>
  <c r="F55" i="7"/>
  <c r="F56" i="7"/>
  <c r="F57" i="7"/>
  <c r="F58" i="7"/>
  <c r="F33" i="7"/>
  <c r="R22" i="7"/>
  <c r="D6" i="21" l="1"/>
  <c r="AC101" i="29"/>
  <c r="AC58" i="31"/>
  <c r="AC56" i="29"/>
  <c r="JP77" i="29"/>
  <c r="JL82" i="31"/>
  <c r="JO42" i="31"/>
  <c r="JO80" i="31"/>
  <c r="JM80" i="31"/>
  <c r="JN42" i="31"/>
  <c r="JM42" i="31"/>
  <c r="JM43" i="31"/>
  <c r="JP43" i="31" s="1"/>
  <c r="JP39" i="29"/>
  <c r="JM81" i="31"/>
  <c r="JP81" i="31" s="1"/>
  <c r="JN80" i="31"/>
  <c r="DT101" i="29"/>
  <c r="DT58" i="31"/>
  <c r="CX101" i="29"/>
  <c r="CX58" i="31"/>
  <c r="Q101" i="29"/>
  <c r="Q58" i="31"/>
  <c r="EO101" i="29"/>
  <c r="EO58" i="31"/>
  <c r="BY101" i="29"/>
  <c r="BY58" i="31"/>
  <c r="FB101" i="29"/>
  <c r="FB105" i="31" s="1"/>
  <c r="FB58" i="31"/>
  <c r="BX101" i="29"/>
  <c r="BX58" i="31"/>
  <c r="GS101" i="29"/>
  <c r="GS105" i="31" s="1"/>
  <c r="GS58" i="31"/>
  <c r="FU101" i="29"/>
  <c r="FU105" i="31" s="1"/>
  <c r="FU58" i="31"/>
  <c r="EW101" i="29"/>
  <c r="EW105" i="31" s="1"/>
  <c r="EW58" i="31"/>
  <c r="BP101" i="29"/>
  <c r="BP58" i="31"/>
  <c r="GF101" i="29"/>
  <c r="GF105" i="31" s="1"/>
  <c r="GF58" i="31"/>
  <c r="DI101" i="29"/>
  <c r="DI58" i="31"/>
  <c r="AQ101" i="29"/>
  <c r="AQ58" i="31"/>
  <c r="JN82" i="31"/>
  <c r="GH101" i="29"/>
  <c r="GH105" i="31" s="1"/>
  <c r="GH58" i="31"/>
  <c r="M101" i="29"/>
  <c r="M58" i="31"/>
  <c r="DF101" i="29"/>
  <c r="DF58" i="31"/>
  <c r="AW101" i="29"/>
  <c r="AW58" i="31"/>
  <c r="BJ101" i="29"/>
  <c r="BJ58" i="31"/>
  <c r="HC101" i="29"/>
  <c r="HC105" i="31" s="1"/>
  <c r="HC58" i="31"/>
  <c r="ER101" i="29"/>
  <c r="ER58" i="31"/>
  <c r="GW101" i="29"/>
  <c r="GW105" i="31" s="1"/>
  <c r="GW58" i="31"/>
  <c r="FP101" i="29"/>
  <c r="FP105" i="31" s="1"/>
  <c r="FP58" i="31"/>
  <c r="EA101" i="29"/>
  <c r="EA58" i="31"/>
  <c r="AI101" i="29"/>
  <c r="AI58" i="31"/>
  <c r="FC101" i="29"/>
  <c r="FC105" i="31" s="1"/>
  <c r="FC58" i="31"/>
  <c r="DU101" i="29"/>
  <c r="DU58" i="31"/>
  <c r="BD101" i="29"/>
  <c r="BD58" i="31"/>
  <c r="O101" i="29"/>
  <c r="O58" i="31"/>
  <c r="IU101" i="29"/>
  <c r="IU58" i="31"/>
  <c r="HM101" i="29"/>
  <c r="HM58" i="31"/>
  <c r="GV101" i="29"/>
  <c r="GV58" i="31"/>
  <c r="FX101" i="29"/>
  <c r="FX58" i="31"/>
  <c r="FH101" i="29"/>
  <c r="FH58" i="31"/>
  <c r="DD101" i="29"/>
  <c r="DD58" i="31"/>
  <c r="CB101" i="29"/>
  <c r="CB58" i="31"/>
  <c r="AB101" i="29"/>
  <c r="AB58" i="31"/>
  <c r="AX101" i="29"/>
  <c r="AX58" i="31"/>
  <c r="AH101" i="29"/>
  <c r="AH58" i="31"/>
  <c r="P101" i="29"/>
  <c r="P58" i="31"/>
  <c r="BR101" i="29"/>
  <c r="BR58" i="31"/>
  <c r="DH101" i="29"/>
  <c r="DH58" i="31"/>
  <c r="Z101" i="29"/>
  <c r="Z58" i="31"/>
  <c r="HD101" i="29"/>
  <c r="HD58" i="31"/>
  <c r="DA101" i="29"/>
  <c r="DA58" i="31"/>
  <c r="JG101" i="29"/>
  <c r="JG58" i="31"/>
  <c r="IQ101" i="29"/>
  <c r="IQ58" i="31"/>
  <c r="HI101" i="29"/>
  <c r="HI58" i="31"/>
  <c r="GR101" i="29"/>
  <c r="GR58" i="31"/>
  <c r="FT101" i="29"/>
  <c r="FT58" i="31"/>
  <c r="EG101" i="29"/>
  <c r="EG58" i="31"/>
  <c r="V101" i="29"/>
  <c r="V58" i="31"/>
  <c r="ID101" i="29"/>
  <c r="ID58" i="31"/>
  <c r="DZ101" i="29"/>
  <c r="DZ58" i="31"/>
  <c r="BB101" i="29"/>
  <c r="BB58" i="31"/>
  <c r="AL101" i="29"/>
  <c r="AL58" i="31"/>
  <c r="U101" i="29"/>
  <c r="U58" i="31"/>
  <c r="JE101" i="29"/>
  <c r="JE58" i="31"/>
  <c r="HT101" i="29"/>
  <c r="HT58" i="31"/>
  <c r="CP101" i="29"/>
  <c r="CP58" i="31"/>
  <c r="HN101" i="29"/>
  <c r="HN58" i="31"/>
  <c r="BF101" i="29"/>
  <c r="BF58" i="31"/>
  <c r="IX101" i="29"/>
  <c r="IX58" i="31"/>
  <c r="FI101" i="29"/>
  <c r="FI58" i="31"/>
  <c r="BN101" i="29"/>
  <c r="BN58" i="31"/>
  <c r="FN101" i="29"/>
  <c r="FN105" i="31" s="1"/>
  <c r="FN58" i="31"/>
  <c r="BH101" i="29"/>
  <c r="BH58" i="31"/>
  <c r="AA101" i="29"/>
  <c r="AA58" i="31"/>
  <c r="DX101" i="29"/>
  <c r="DX58" i="31"/>
  <c r="DV101" i="29"/>
  <c r="DV58" i="31"/>
  <c r="JM82" i="31"/>
  <c r="GJ101" i="29"/>
  <c r="GJ105" i="31" s="1"/>
  <c r="GJ58" i="31"/>
  <c r="GT101" i="29"/>
  <c r="GT105" i="31" s="1"/>
  <c r="GT58" i="31"/>
  <c r="EJ101" i="29"/>
  <c r="EJ58" i="31"/>
  <c r="DN101" i="29"/>
  <c r="DN58" i="31"/>
  <c r="Y101" i="29"/>
  <c r="Y58" i="31"/>
  <c r="BA101" i="29"/>
  <c r="BA58" i="31"/>
  <c r="HG101" i="29"/>
  <c r="HG105" i="31" s="1"/>
  <c r="HG58" i="31"/>
  <c r="J101" i="29"/>
  <c r="J58" i="31"/>
  <c r="GI101" i="29"/>
  <c r="GI105" i="31" s="1"/>
  <c r="GI58" i="31"/>
  <c r="FL101" i="29"/>
  <c r="FL105" i="31" s="1"/>
  <c r="FL58" i="31"/>
  <c r="EM101" i="29"/>
  <c r="EM58" i="31"/>
  <c r="BC101" i="29"/>
  <c r="BC58" i="31"/>
  <c r="EY101" i="29"/>
  <c r="EY105" i="31" s="1"/>
  <c r="EY58" i="31"/>
  <c r="CI101" i="29"/>
  <c r="CI58" i="31"/>
  <c r="GD101" i="29"/>
  <c r="GD105" i="31" s="1"/>
  <c r="GD58" i="31"/>
  <c r="GL101" i="29"/>
  <c r="GL105" i="31" s="1"/>
  <c r="GL58" i="31"/>
  <c r="DJ101" i="29"/>
  <c r="DJ58" i="31"/>
  <c r="HF101" i="29"/>
  <c r="HF105" i="31" s="1"/>
  <c r="HF58" i="31"/>
  <c r="DB101" i="29"/>
  <c r="DB58" i="31"/>
  <c r="E101" i="29"/>
  <c r="E58" i="31"/>
  <c r="AG101" i="29"/>
  <c r="AG58" i="31"/>
  <c r="GO101" i="29"/>
  <c r="GO105" i="31" s="1"/>
  <c r="GO58" i="31"/>
  <c r="BI101" i="29"/>
  <c r="BI58" i="31"/>
  <c r="S101" i="29"/>
  <c r="S58" i="31"/>
  <c r="HA101" i="29"/>
  <c r="HA105" i="31" s="1"/>
  <c r="HA58" i="31"/>
  <c r="ES101" i="29"/>
  <c r="ES58" i="31"/>
  <c r="DL101" i="29"/>
  <c r="DL58" i="31"/>
  <c r="G101" i="29"/>
  <c r="G58" i="31"/>
  <c r="D101" i="29"/>
  <c r="D58" i="31"/>
  <c r="IV101" i="29"/>
  <c r="IV58" i="31"/>
  <c r="IE101" i="29"/>
  <c r="IE58" i="31"/>
  <c r="CK101" i="29"/>
  <c r="CK58" i="31"/>
  <c r="HH101" i="29"/>
  <c r="HH58" i="31"/>
  <c r="FS101" i="29"/>
  <c r="FS58" i="31"/>
  <c r="CM101" i="29"/>
  <c r="CM58" i="31"/>
  <c r="AO101" i="29"/>
  <c r="AO58" i="31"/>
  <c r="IO101" i="29"/>
  <c r="IO58" i="31"/>
  <c r="GP101" i="29"/>
  <c r="GP58" i="31"/>
  <c r="BQ101" i="29"/>
  <c r="BQ58" i="31"/>
  <c r="AV101" i="29"/>
  <c r="AV58" i="31"/>
  <c r="CW101" i="29"/>
  <c r="CW58" i="31"/>
  <c r="IH101" i="29"/>
  <c r="IH58" i="31"/>
  <c r="HR101" i="29"/>
  <c r="HR58" i="31"/>
  <c r="HB101" i="29"/>
  <c r="HB58" i="31"/>
  <c r="IZ101" i="29"/>
  <c r="IZ58" i="31"/>
  <c r="JB101" i="29"/>
  <c r="JB58" i="31"/>
  <c r="IL101" i="29"/>
  <c r="IL58" i="31"/>
  <c r="IS101" i="29"/>
  <c r="IS58" i="31"/>
  <c r="HK101" i="29"/>
  <c r="HK58" i="31"/>
  <c r="II101" i="29"/>
  <c r="II58" i="31"/>
  <c r="HS101" i="29"/>
  <c r="HS58" i="31"/>
  <c r="FE101" i="29"/>
  <c r="FE58" i="31"/>
  <c r="CO101" i="29"/>
  <c r="CO58" i="31"/>
  <c r="DS101" i="29"/>
  <c r="DS58" i="31"/>
  <c r="HU101" i="29"/>
  <c r="HU58" i="31"/>
  <c r="EX101" i="29"/>
  <c r="EX58" i="31"/>
  <c r="CH101" i="29"/>
  <c r="CH58" i="31"/>
  <c r="AD101" i="29"/>
  <c r="AD58" i="31"/>
  <c r="DM101" i="29"/>
  <c r="DM58" i="31"/>
  <c r="CN101" i="29"/>
  <c r="CN58" i="31"/>
  <c r="BO101" i="29"/>
  <c r="BO58" i="31"/>
  <c r="IW101" i="29"/>
  <c r="IW58" i="31"/>
  <c r="HP101" i="29"/>
  <c r="HP58" i="31"/>
  <c r="AZ101" i="29"/>
  <c r="AZ58" i="31"/>
  <c r="HV101" i="29"/>
  <c r="HV58" i="31"/>
  <c r="EH101" i="29"/>
  <c r="EH58" i="31"/>
  <c r="JC101" i="29"/>
  <c r="JC58" i="31"/>
  <c r="IM101" i="29"/>
  <c r="IM58" i="31"/>
  <c r="HE101" i="29"/>
  <c r="HE58" i="31"/>
  <c r="GN101" i="29"/>
  <c r="GN58" i="31"/>
  <c r="FO101" i="29"/>
  <c r="FO58" i="31"/>
  <c r="EZ101" i="29"/>
  <c r="EZ58" i="31"/>
  <c r="DQ101" i="29"/>
  <c r="DQ58" i="31"/>
  <c r="CR101" i="29"/>
  <c r="CR58" i="31"/>
  <c r="BS101" i="29"/>
  <c r="BS58" i="31"/>
  <c r="ED101" i="29"/>
  <c r="ED58" i="31"/>
  <c r="AP101" i="29"/>
  <c r="AP58" i="31"/>
  <c r="DY101" i="29"/>
  <c r="DY58" i="31"/>
  <c r="K101" i="29"/>
  <c r="K58" i="31"/>
  <c r="JA101" i="29"/>
  <c r="JA58" i="31"/>
  <c r="HX101" i="29"/>
  <c r="HX58" i="31"/>
  <c r="AN101" i="29"/>
  <c r="AN58" i="31"/>
  <c r="T101" i="29"/>
  <c r="T58" i="31"/>
  <c r="FW101" i="29"/>
  <c r="FW58" i="31"/>
  <c r="FG101" i="29"/>
  <c r="FG58" i="31"/>
  <c r="CQ101" i="29"/>
  <c r="CQ58" i="31"/>
  <c r="CZ101" i="29"/>
  <c r="CZ58" i="31"/>
  <c r="IY101" i="29"/>
  <c r="IY58" i="31"/>
  <c r="GB101" i="29"/>
  <c r="GB58" i="31"/>
  <c r="FK101" i="29"/>
  <c r="FK58" i="31"/>
  <c r="AE101" i="29"/>
  <c r="AE58" i="31"/>
  <c r="DC101" i="29"/>
  <c r="DC58" i="31"/>
  <c r="N101" i="29"/>
  <c r="N58" i="31"/>
  <c r="AT101" i="29"/>
  <c r="AT58" i="31"/>
  <c r="L101" i="29"/>
  <c r="L58" i="31"/>
  <c r="IJ101" i="29"/>
  <c r="IJ58" i="31"/>
  <c r="JF101" i="29"/>
  <c r="JF58" i="31"/>
  <c r="IP101" i="29"/>
  <c r="IP58" i="31"/>
  <c r="HY101" i="29"/>
  <c r="HY58" i="31"/>
  <c r="FQ101" i="29"/>
  <c r="FQ105" i="31" s="1"/>
  <c r="FQ58" i="31"/>
  <c r="CY101" i="29"/>
  <c r="CY58" i="31"/>
  <c r="EF101" i="29"/>
  <c r="EF58" i="31"/>
  <c r="CG101" i="29"/>
  <c r="CG58" i="31"/>
  <c r="AU101" i="29"/>
  <c r="AU58" i="31"/>
  <c r="GU101" i="29"/>
  <c r="GU105" i="31" s="1"/>
  <c r="GU58" i="31"/>
  <c r="EE101" i="29"/>
  <c r="EE58" i="31"/>
  <c r="FZ101" i="29"/>
  <c r="FZ105" i="31" s="1"/>
  <c r="FZ58" i="31"/>
  <c r="CT101" i="29"/>
  <c r="CT58" i="31"/>
  <c r="BV101" i="29"/>
  <c r="BV58" i="31"/>
  <c r="EP101" i="29"/>
  <c r="EP58" i="31"/>
  <c r="AJ101" i="29"/>
  <c r="AJ58" i="31"/>
  <c r="FA101" i="29"/>
  <c r="FA105" i="31" s="1"/>
  <c r="FA58" i="31"/>
  <c r="DK101" i="29"/>
  <c r="DK58" i="31"/>
  <c r="AY101" i="29"/>
  <c r="AY58" i="31"/>
  <c r="GQ101" i="29"/>
  <c r="GQ105" i="31" s="1"/>
  <c r="GQ58" i="31"/>
  <c r="EK101" i="29"/>
  <c r="EK58" i="31"/>
  <c r="CL101" i="29"/>
  <c r="CL58" i="31"/>
  <c r="HJ101" i="29"/>
  <c r="HJ58" i="31"/>
  <c r="JO78" i="29"/>
  <c r="HL82" i="31"/>
  <c r="JO82" i="31" s="1"/>
  <c r="BZ101" i="29"/>
  <c r="BZ58" i="31"/>
  <c r="AK101" i="29"/>
  <c r="AK58" i="31"/>
  <c r="EN101" i="29"/>
  <c r="EN58" i="31"/>
  <c r="BG101" i="29"/>
  <c r="BG58" i="31"/>
  <c r="EL101" i="29"/>
  <c r="EL58" i="31"/>
  <c r="CC101" i="29"/>
  <c r="CC58" i="31"/>
  <c r="GY101" i="29"/>
  <c r="GY105" i="31" s="1"/>
  <c r="GY58" i="31"/>
  <c r="GC101" i="29"/>
  <c r="GC105" i="31" s="1"/>
  <c r="GC58" i="31"/>
  <c r="DW101" i="29"/>
  <c r="DW58" i="31"/>
  <c r="AM101" i="29"/>
  <c r="AM58" i="31"/>
  <c r="GM101" i="29"/>
  <c r="GM105" i="31" s="1"/>
  <c r="GM58" i="31"/>
  <c r="DP101" i="29"/>
  <c r="DP58" i="31"/>
  <c r="R101" i="29"/>
  <c r="R58" i="31"/>
  <c r="BU101" i="29"/>
  <c r="BU58" i="31"/>
  <c r="EV101" i="29"/>
  <c r="EV58" i="31"/>
  <c r="BW101" i="29"/>
  <c r="BW58" i="31"/>
  <c r="FJ101" i="29"/>
  <c r="FJ105" i="31" s="1"/>
  <c r="FJ58" i="31"/>
  <c r="DR101" i="29"/>
  <c r="DR58" i="31"/>
  <c r="CD101" i="29"/>
  <c r="CD58" i="31"/>
  <c r="FM101" i="29"/>
  <c r="FM105" i="31" s="1"/>
  <c r="FM58" i="31"/>
  <c r="CJ101" i="29"/>
  <c r="CJ58" i="31"/>
  <c r="FY101" i="29"/>
  <c r="FY105" i="31" s="1"/>
  <c r="FY58" i="31"/>
  <c r="EI101" i="29"/>
  <c r="EI58" i="31"/>
  <c r="AS101" i="29"/>
  <c r="AS58" i="31"/>
  <c r="GE101" i="29"/>
  <c r="GE105" i="31" s="1"/>
  <c r="GE58" i="31"/>
  <c r="EC101" i="29"/>
  <c r="EC58" i="31"/>
  <c r="CU101" i="29"/>
  <c r="CU58" i="31"/>
  <c r="W101" i="29"/>
  <c r="W58" i="31"/>
  <c r="FV101" i="29"/>
  <c r="FV105" i="31" s="1"/>
  <c r="FV58" i="31"/>
  <c r="GG101" i="29"/>
  <c r="GG105" i="31" s="1"/>
  <c r="GG58" i="31"/>
  <c r="EB101" i="29"/>
  <c r="EB58" i="31"/>
  <c r="JD101" i="29"/>
  <c r="JD58" i="31"/>
  <c r="IN101" i="29"/>
  <c r="IN58" i="31"/>
  <c r="HW101" i="29"/>
  <c r="HW58" i="31"/>
  <c r="EQ101" i="29"/>
  <c r="EQ58" i="31"/>
  <c r="BT101" i="29"/>
  <c r="BT58" i="31"/>
  <c r="IG101" i="29"/>
  <c r="IG58" i="31"/>
  <c r="HQ101" i="29"/>
  <c r="HQ58" i="31"/>
  <c r="GA101" i="29"/>
  <c r="GA58" i="31"/>
  <c r="CE101" i="29"/>
  <c r="CE58" i="31"/>
  <c r="FF101" i="29"/>
  <c r="FF58" i="31"/>
  <c r="DE101" i="29"/>
  <c r="DE58" i="31"/>
  <c r="HZ101" i="29"/>
  <c r="HZ58" i="31"/>
  <c r="FD101" i="29"/>
  <c r="FD58" i="31"/>
  <c r="I101" i="29"/>
  <c r="I58" i="31"/>
  <c r="IT101" i="29"/>
  <c r="IT58" i="31"/>
  <c r="IB101" i="29"/>
  <c r="IB58" i="31"/>
  <c r="JH101" i="29"/>
  <c r="JH58" i="31"/>
  <c r="IR101" i="29"/>
  <c r="IR58" i="31"/>
  <c r="IA101" i="29"/>
  <c r="IA58" i="31"/>
  <c r="GK101" i="29"/>
  <c r="GK58" i="31"/>
  <c r="DG101" i="29"/>
  <c r="DG58" i="31"/>
  <c r="AF101" i="29"/>
  <c r="AF58" i="31"/>
  <c r="IC101" i="29"/>
  <c r="IC58" i="31"/>
  <c r="GX101" i="29"/>
  <c r="GX58" i="31"/>
  <c r="BM101" i="29"/>
  <c r="BM58" i="31"/>
  <c r="AR101" i="29"/>
  <c r="AR58" i="31"/>
  <c r="CV101" i="29"/>
  <c r="CV58" i="31"/>
  <c r="CF101" i="29"/>
  <c r="CF58" i="31"/>
  <c r="BE101" i="29"/>
  <c r="BE58" i="31"/>
  <c r="X101" i="29"/>
  <c r="X58" i="31"/>
  <c r="H101" i="29"/>
  <c r="H58" i="31"/>
  <c r="IF101" i="29"/>
  <c r="IF58" i="31"/>
  <c r="DO101" i="29"/>
  <c r="DO58" i="31"/>
  <c r="GS115" i="29"/>
  <c r="EW115" i="29"/>
  <c r="FN115" i="29"/>
  <c r="FN185" i="29"/>
  <c r="I2" i="21"/>
  <c r="I6" i="21" s="1"/>
  <c r="G6" i="21"/>
  <c r="GI115" i="29"/>
  <c r="GI185" i="29"/>
  <c r="GF185" i="29"/>
  <c r="JL78" i="29"/>
  <c r="JI78" i="29"/>
  <c r="JI82" i="31" s="1"/>
  <c r="JM78" i="29"/>
  <c r="GJ115" i="29"/>
  <c r="JN78" i="29"/>
  <c r="GQ115" i="29"/>
  <c r="GQ185" i="29"/>
  <c r="JP38" i="29"/>
  <c r="F101" i="29"/>
  <c r="F105" i="31" s="1"/>
  <c r="JM54" i="29"/>
  <c r="EY115" i="29"/>
  <c r="FY185" i="29"/>
  <c r="GE185" i="29"/>
  <c r="FJ115" i="29"/>
  <c r="HA115" i="29"/>
  <c r="HA185" i="29"/>
  <c r="FB115" i="29"/>
  <c r="HG115" i="29"/>
  <c r="HG185" i="29"/>
  <c r="JP76" i="29"/>
  <c r="GD115" i="29"/>
  <c r="GD185" i="29"/>
  <c r="GL185" i="29"/>
  <c r="GC115" i="29"/>
  <c r="GC185" i="29"/>
  <c r="HL101" i="29"/>
  <c r="HL105" i="31" s="1"/>
  <c r="JO54" i="29"/>
  <c r="GU115" i="29"/>
  <c r="FZ115" i="29"/>
  <c r="C101" i="29"/>
  <c r="C105" i="31" s="1"/>
  <c r="JL54" i="29"/>
  <c r="HC115" i="29"/>
  <c r="GW115" i="29"/>
  <c r="GW185" i="29"/>
  <c r="FC115" i="29"/>
  <c r="EU101" i="29"/>
  <c r="EU105" i="31" s="1"/>
  <c r="JN54" i="29"/>
  <c r="SF264" i="1"/>
  <c r="SG264" i="1"/>
  <c r="SJ264" i="1"/>
  <c r="SK264" i="1"/>
  <c r="SL264" i="1"/>
  <c r="SM264" i="1"/>
  <c r="SP264" i="1"/>
  <c r="SQ264" i="1"/>
  <c r="SR264" i="1"/>
  <c r="SS264" i="1"/>
  <c r="ST264" i="1"/>
  <c r="SU264" i="1"/>
  <c r="SW264" i="1"/>
  <c r="SX264" i="1"/>
  <c r="SY264" i="1"/>
  <c r="SZ264" i="1"/>
  <c r="TA264" i="1"/>
  <c r="TB264" i="1"/>
  <c r="TC264" i="1"/>
  <c r="TD264" i="1"/>
  <c r="TE264" i="1"/>
  <c r="TF264" i="1"/>
  <c r="TG264" i="1"/>
  <c r="TH264" i="1"/>
  <c r="TJ264" i="1"/>
  <c r="TM264" i="1"/>
  <c r="TN264" i="1"/>
  <c r="TO264" i="1"/>
  <c r="TP264" i="1"/>
  <c r="TS264" i="1"/>
  <c r="TT264" i="1"/>
  <c r="TU264" i="1"/>
  <c r="TV264" i="1"/>
  <c r="TW264" i="1"/>
  <c r="TX264" i="1"/>
  <c r="TZ264" i="1"/>
  <c r="UA264" i="1"/>
  <c r="UB264" i="1"/>
  <c r="UC264" i="1"/>
  <c r="UD264" i="1"/>
  <c r="UE264" i="1"/>
  <c r="UF264" i="1"/>
  <c r="UG264" i="1"/>
  <c r="UH264" i="1"/>
  <c r="UI264" i="1"/>
  <c r="UJ264" i="1"/>
  <c r="UK264" i="1"/>
  <c r="UL264" i="1"/>
  <c r="UM264" i="1"/>
  <c r="UP264" i="1"/>
  <c r="UQ264" i="1"/>
  <c r="UR264" i="1"/>
  <c r="US264" i="1"/>
  <c r="UV264" i="1"/>
  <c r="UW264" i="1"/>
  <c r="UX264" i="1"/>
  <c r="UY264" i="1"/>
  <c r="UZ264" i="1"/>
  <c r="VA264" i="1"/>
  <c r="VC264" i="1"/>
  <c r="VD264" i="1"/>
  <c r="VE264" i="1"/>
  <c r="VF264" i="1"/>
  <c r="VG264" i="1"/>
  <c r="VH264" i="1"/>
  <c r="VI264" i="1"/>
  <c r="VJ264" i="1"/>
  <c r="VK264" i="1"/>
  <c r="VL264" i="1"/>
  <c r="VM264" i="1"/>
  <c r="VN264" i="1"/>
  <c r="SF265" i="1"/>
  <c r="SG265" i="1"/>
  <c r="SJ265" i="1"/>
  <c r="SK265" i="1"/>
  <c r="SL265" i="1"/>
  <c r="SM265" i="1"/>
  <c r="SP265" i="1"/>
  <c r="SQ265" i="1"/>
  <c r="SR265" i="1"/>
  <c r="SS265" i="1"/>
  <c r="ST265" i="1"/>
  <c r="SU265" i="1"/>
  <c r="SW265" i="1"/>
  <c r="SX265" i="1"/>
  <c r="SY265" i="1"/>
  <c r="SZ265" i="1"/>
  <c r="TA265" i="1"/>
  <c r="TB265" i="1"/>
  <c r="TC265" i="1"/>
  <c r="TD265" i="1"/>
  <c r="TE265" i="1"/>
  <c r="TF265" i="1"/>
  <c r="TG265" i="1"/>
  <c r="TH265" i="1"/>
  <c r="TJ265" i="1"/>
  <c r="TM265" i="1"/>
  <c r="TN265" i="1"/>
  <c r="TO265" i="1"/>
  <c r="TP265" i="1"/>
  <c r="TS265" i="1"/>
  <c r="TT265" i="1"/>
  <c r="TU265" i="1"/>
  <c r="TV265" i="1"/>
  <c r="TW265" i="1"/>
  <c r="TX265" i="1"/>
  <c r="TZ265" i="1"/>
  <c r="UA265" i="1"/>
  <c r="UB265" i="1"/>
  <c r="UC265" i="1"/>
  <c r="UD265" i="1"/>
  <c r="UE265" i="1"/>
  <c r="UF265" i="1"/>
  <c r="UG265" i="1"/>
  <c r="UH265" i="1"/>
  <c r="UI265" i="1"/>
  <c r="UJ265" i="1"/>
  <c r="UK265" i="1"/>
  <c r="UL265" i="1"/>
  <c r="UM265" i="1"/>
  <c r="UP265" i="1"/>
  <c r="UQ265" i="1"/>
  <c r="UR265" i="1"/>
  <c r="US265" i="1"/>
  <c r="UV265" i="1"/>
  <c r="UW265" i="1"/>
  <c r="UX265" i="1"/>
  <c r="UY265" i="1"/>
  <c r="UZ265" i="1"/>
  <c r="VA265" i="1"/>
  <c r="VC265" i="1"/>
  <c r="VD265" i="1"/>
  <c r="VE265" i="1"/>
  <c r="VF265" i="1"/>
  <c r="VG265" i="1"/>
  <c r="VH265" i="1"/>
  <c r="VI265" i="1"/>
  <c r="VJ265" i="1"/>
  <c r="VK265" i="1"/>
  <c r="VL265" i="1"/>
  <c r="VM265" i="1"/>
  <c r="VN265" i="1"/>
  <c r="SF266" i="1"/>
  <c r="SG266" i="1"/>
  <c r="SJ266" i="1"/>
  <c r="SK266" i="1"/>
  <c r="SL266" i="1"/>
  <c r="SM266" i="1"/>
  <c r="SP266" i="1"/>
  <c r="SQ266" i="1"/>
  <c r="SR266" i="1"/>
  <c r="SS266" i="1"/>
  <c r="ST266" i="1"/>
  <c r="SU266" i="1"/>
  <c r="SW266" i="1"/>
  <c r="SX266" i="1"/>
  <c r="SY266" i="1"/>
  <c r="SZ266" i="1"/>
  <c r="TA266" i="1"/>
  <c r="TB266" i="1"/>
  <c r="TC266" i="1"/>
  <c r="TD266" i="1"/>
  <c r="TE266" i="1"/>
  <c r="TF266" i="1"/>
  <c r="TG266" i="1"/>
  <c r="TH266" i="1"/>
  <c r="TJ266" i="1"/>
  <c r="TM266" i="1"/>
  <c r="TN266" i="1"/>
  <c r="TO266" i="1"/>
  <c r="TP266" i="1"/>
  <c r="TS266" i="1"/>
  <c r="TT266" i="1"/>
  <c r="TU266" i="1"/>
  <c r="TV266" i="1"/>
  <c r="TW266" i="1"/>
  <c r="TX266" i="1"/>
  <c r="TZ266" i="1"/>
  <c r="UA266" i="1"/>
  <c r="UB266" i="1"/>
  <c r="UC266" i="1"/>
  <c r="UD266" i="1"/>
  <c r="UE266" i="1"/>
  <c r="UF266" i="1"/>
  <c r="UG266" i="1"/>
  <c r="UH266" i="1"/>
  <c r="UI266" i="1"/>
  <c r="UJ266" i="1"/>
  <c r="UK266" i="1"/>
  <c r="UL266" i="1"/>
  <c r="UM266" i="1"/>
  <c r="UP266" i="1"/>
  <c r="UQ266" i="1"/>
  <c r="UR266" i="1"/>
  <c r="US266" i="1"/>
  <c r="UV266" i="1"/>
  <c r="UW266" i="1"/>
  <c r="UX266" i="1"/>
  <c r="UY266" i="1"/>
  <c r="UZ266" i="1"/>
  <c r="VA266" i="1"/>
  <c r="VC266" i="1"/>
  <c r="VD266" i="1"/>
  <c r="VE266" i="1"/>
  <c r="VF266" i="1"/>
  <c r="VG266" i="1"/>
  <c r="VH266" i="1"/>
  <c r="VI266" i="1"/>
  <c r="VJ266" i="1"/>
  <c r="VK266" i="1"/>
  <c r="VL266" i="1"/>
  <c r="VM266" i="1"/>
  <c r="VN266" i="1"/>
  <c r="SF267" i="1"/>
  <c r="SG267" i="1"/>
  <c r="SJ267" i="1"/>
  <c r="SK267" i="1"/>
  <c r="SL267" i="1"/>
  <c r="SM267" i="1"/>
  <c r="SP267" i="1"/>
  <c r="SQ267" i="1"/>
  <c r="SR267" i="1"/>
  <c r="SS267" i="1"/>
  <c r="ST267" i="1"/>
  <c r="SU267" i="1"/>
  <c r="SW267" i="1"/>
  <c r="SX267" i="1"/>
  <c r="SY267" i="1"/>
  <c r="SZ267" i="1"/>
  <c r="TA267" i="1"/>
  <c r="TB267" i="1"/>
  <c r="TC267" i="1"/>
  <c r="TD267" i="1"/>
  <c r="TE267" i="1"/>
  <c r="TF267" i="1"/>
  <c r="TG267" i="1"/>
  <c r="TH267" i="1"/>
  <c r="TJ267" i="1"/>
  <c r="TM267" i="1"/>
  <c r="TN267" i="1"/>
  <c r="TO267" i="1"/>
  <c r="TP267" i="1"/>
  <c r="TS267" i="1"/>
  <c r="TT267" i="1"/>
  <c r="TU267" i="1"/>
  <c r="TV267" i="1"/>
  <c r="TW267" i="1"/>
  <c r="TX267" i="1"/>
  <c r="TZ267" i="1"/>
  <c r="UA267" i="1"/>
  <c r="UB267" i="1"/>
  <c r="UC267" i="1"/>
  <c r="UD267" i="1"/>
  <c r="UE267" i="1"/>
  <c r="UF267" i="1"/>
  <c r="UG267" i="1"/>
  <c r="UH267" i="1"/>
  <c r="UI267" i="1"/>
  <c r="UJ267" i="1"/>
  <c r="UK267" i="1"/>
  <c r="UL267" i="1"/>
  <c r="UM267" i="1"/>
  <c r="UP267" i="1"/>
  <c r="UQ267" i="1"/>
  <c r="UR267" i="1"/>
  <c r="US267" i="1"/>
  <c r="UV267" i="1"/>
  <c r="UW267" i="1"/>
  <c r="UX267" i="1"/>
  <c r="UY267" i="1"/>
  <c r="UZ267" i="1"/>
  <c r="VA267" i="1"/>
  <c r="VC267" i="1"/>
  <c r="VD267" i="1"/>
  <c r="VE267" i="1"/>
  <c r="VF267" i="1"/>
  <c r="VG267" i="1"/>
  <c r="VH267" i="1"/>
  <c r="VI267" i="1"/>
  <c r="VJ267" i="1"/>
  <c r="VK267" i="1"/>
  <c r="VL267" i="1"/>
  <c r="VM267" i="1"/>
  <c r="VN267" i="1"/>
  <c r="SF268" i="1"/>
  <c r="SG268" i="1"/>
  <c r="SJ268" i="1"/>
  <c r="SK268" i="1"/>
  <c r="SL268" i="1"/>
  <c r="SM268" i="1"/>
  <c r="SP268" i="1"/>
  <c r="SQ268" i="1"/>
  <c r="SR268" i="1"/>
  <c r="SS268" i="1"/>
  <c r="ST268" i="1"/>
  <c r="SU268" i="1"/>
  <c r="SW268" i="1"/>
  <c r="SX268" i="1"/>
  <c r="SY268" i="1"/>
  <c r="SZ268" i="1"/>
  <c r="TA268" i="1"/>
  <c r="TB268" i="1"/>
  <c r="TC268" i="1"/>
  <c r="TD268" i="1"/>
  <c r="TE268" i="1"/>
  <c r="TF268" i="1"/>
  <c r="TG268" i="1"/>
  <c r="TH268" i="1"/>
  <c r="TJ268" i="1"/>
  <c r="TM268" i="1"/>
  <c r="TN268" i="1"/>
  <c r="TO268" i="1"/>
  <c r="TP268" i="1"/>
  <c r="TS268" i="1"/>
  <c r="TT268" i="1"/>
  <c r="TU268" i="1"/>
  <c r="TV268" i="1"/>
  <c r="TW268" i="1"/>
  <c r="TX268" i="1"/>
  <c r="TZ268" i="1"/>
  <c r="UA268" i="1"/>
  <c r="UB268" i="1"/>
  <c r="UC268" i="1"/>
  <c r="UD268" i="1"/>
  <c r="UE268" i="1"/>
  <c r="UF268" i="1"/>
  <c r="UG268" i="1"/>
  <c r="UH268" i="1"/>
  <c r="UI268" i="1"/>
  <c r="UJ268" i="1"/>
  <c r="UK268" i="1"/>
  <c r="UL268" i="1"/>
  <c r="UM268" i="1"/>
  <c r="UP268" i="1"/>
  <c r="UQ268" i="1"/>
  <c r="UR268" i="1"/>
  <c r="US268" i="1"/>
  <c r="UV268" i="1"/>
  <c r="UW268" i="1"/>
  <c r="UX268" i="1"/>
  <c r="UY268" i="1"/>
  <c r="UZ268" i="1"/>
  <c r="VA268" i="1"/>
  <c r="VC268" i="1"/>
  <c r="VD268" i="1"/>
  <c r="VE268" i="1"/>
  <c r="VF268" i="1"/>
  <c r="VG268" i="1"/>
  <c r="VH268" i="1"/>
  <c r="VI268" i="1"/>
  <c r="VJ268" i="1"/>
  <c r="VK268" i="1"/>
  <c r="VL268" i="1"/>
  <c r="VM268" i="1"/>
  <c r="VN268" i="1"/>
  <c r="SF269" i="1"/>
  <c r="SG269" i="1"/>
  <c r="SJ269" i="1"/>
  <c r="SK269" i="1"/>
  <c r="SL269" i="1"/>
  <c r="SM269" i="1"/>
  <c r="SP269" i="1"/>
  <c r="SQ269" i="1"/>
  <c r="SR269" i="1"/>
  <c r="SS269" i="1"/>
  <c r="ST269" i="1"/>
  <c r="SU269" i="1"/>
  <c r="SW269" i="1"/>
  <c r="SX269" i="1"/>
  <c r="SY269" i="1"/>
  <c r="SZ269" i="1"/>
  <c r="TA269" i="1"/>
  <c r="TB269" i="1"/>
  <c r="TC269" i="1"/>
  <c r="TD269" i="1"/>
  <c r="TE269" i="1"/>
  <c r="TF269" i="1"/>
  <c r="TG269" i="1"/>
  <c r="TH269" i="1"/>
  <c r="TJ269" i="1"/>
  <c r="TM269" i="1"/>
  <c r="TN269" i="1"/>
  <c r="TO269" i="1"/>
  <c r="TP269" i="1"/>
  <c r="TS269" i="1"/>
  <c r="TT269" i="1"/>
  <c r="TU269" i="1"/>
  <c r="TV269" i="1"/>
  <c r="TW269" i="1"/>
  <c r="TX269" i="1"/>
  <c r="TZ269" i="1"/>
  <c r="UA269" i="1"/>
  <c r="UB269" i="1"/>
  <c r="UC269" i="1"/>
  <c r="UD269" i="1"/>
  <c r="UE269" i="1"/>
  <c r="UF269" i="1"/>
  <c r="UG269" i="1"/>
  <c r="UH269" i="1"/>
  <c r="UI269" i="1"/>
  <c r="UJ269" i="1"/>
  <c r="UK269" i="1"/>
  <c r="UL269" i="1"/>
  <c r="UM269" i="1"/>
  <c r="UP269" i="1"/>
  <c r="UQ269" i="1"/>
  <c r="UR269" i="1"/>
  <c r="US269" i="1"/>
  <c r="UV269" i="1"/>
  <c r="UW269" i="1"/>
  <c r="UX269" i="1"/>
  <c r="UY269" i="1"/>
  <c r="UZ269" i="1"/>
  <c r="VA269" i="1"/>
  <c r="VC269" i="1"/>
  <c r="VD269" i="1"/>
  <c r="VE269" i="1"/>
  <c r="VF269" i="1"/>
  <c r="VG269" i="1"/>
  <c r="VH269" i="1"/>
  <c r="VI269" i="1"/>
  <c r="VJ269" i="1"/>
  <c r="VK269" i="1"/>
  <c r="VL269" i="1"/>
  <c r="VM269" i="1"/>
  <c r="VN269" i="1"/>
  <c r="SF270" i="1"/>
  <c r="SG270" i="1"/>
  <c r="SJ270" i="1"/>
  <c r="SK270" i="1"/>
  <c r="SL270" i="1"/>
  <c r="SM270" i="1"/>
  <c r="SP270" i="1"/>
  <c r="SQ270" i="1"/>
  <c r="SR270" i="1"/>
  <c r="SS270" i="1"/>
  <c r="ST270" i="1"/>
  <c r="SU270" i="1"/>
  <c r="SW270" i="1"/>
  <c r="SX270" i="1"/>
  <c r="SY270" i="1"/>
  <c r="SZ270" i="1"/>
  <c r="TA270" i="1"/>
  <c r="TB270" i="1"/>
  <c r="TC270" i="1"/>
  <c r="TD270" i="1"/>
  <c r="TE270" i="1"/>
  <c r="TF270" i="1"/>
  <c r="TG270" i="1"/>
  <c r="TH270" i="1"/>
  <c r="TJ270" i="1"/>
  <c r="TM270" i="1"/>
  <c r="TN270" i="1"/>
  <c r="TO270" i="1"/>
  <c r="TP270" i="1"/>
  <c r="TS270" i="1"/>
  <c r="TT270" i="1"/>
  <c r="TU270" i="1"/>
  <c r="TV270" i="1"/>
  <c r="TW270" i="1"/>
  <c r="TX270" i="1"/>
  <c r="TZ270" i="1"/>
  <c r="UA270" i="1"/>
  <c r="UB270" i="1"/>
  <c r="UC270" i="1"/>
  <c r="UD270" i="1"/>
  <c r="UE270" i="1"/>
  <c r="UF270" i="1"/>
  <c r="UG270" i="1"/>
  <c r="UH270" i="1"/>
  <c r="UI270" i="1"/>
  <c r="UJ270" i="1"/>
  <c r="UK270" i="1"/>
  <c r="UL270" i="1"/>
  <c r="UM270" i="1"/>
  <c r="UP270" i="1"/>
  <c r="UQ270" i="1"/>
  <c r="UR270" i="1"/>
  <c r="US270" i="1"/>
  <c r="UV270" i="1"/>
  <c r="UW270" i="1"/>
  <c r="UX270" i="1"/>
  <c r="UY270" i="1"/>
  <c r="UZ270" i="1"/>
  <c r="VA270" i="1"/>
  <c r="VC270" i="1"/>
  <c r="VD270" i="1"/>
  <c r="VE270" i="1"/>
  <c r="VF270" i="1"/>
  <c r="VG270" i="1"/>
  <c r="VH270" i="1"/>
  <c r="VI270" i="1"/>
  <c r="VJ270" i="1"/>
  <c r="VK270" i="1"/>
  <c r="VL270" i="1"/>
  <c r="VM270" i="1"/>
  <c r="VN270" i="1"/>
  <c r="SF271" i="1"/>
  <c r="SG271" i="1"/>
  <c r="SJ271" i="1"/>
  <c r="SK271" i="1"/>
  <c r="SL271" i="1"/>
  <c r="SM271" i="1"/>
  <c r="SP271" i="1"/>
  <c r="SQ271" i="1"/>
  <c r="SR271" i="1"/>
  <c r="SS271" i="1"/>
  <c r="ST271" i="1"/>
  <c r="SU271" i="1"/>
  <c r="SW271" i="1"/>
  <c r="SX271" i="1"/>
  <c r="SY271" i="1"/>
  <c r="SZ271" i="1"/>
  <c r="TA271" i="1"/>
  <c r="TB271" i="1"/>
  <c r="TC271" i="1"/>
  <c r="TD271" i="1"/>
  <c r="TE271" i="1"/>
  <c r="TF271" i="1"/>
  <c r="TG271" i="1"/>
  <c r="TH271" i="1"/>
  <c r="TJ271" i="1"/>
  <c r="TM271" i="1"/>
  <c r="TN271" i="1"/>
  <c r="TO271" i="1"/>
  <c r="TP271" i="1"/>
  <c r="TS271" i="1"/>
  <c r="TT271" i="1"/>
  <c r="TU271" i="1"/>
  <c r="TV271" i="1"/>
  <c r="TW271" i="1"/>
  <c r="TX271" i="1"/>
  <c r="TZ271" i="1"/>
  <c r="UA271" i="1"/>
  <c r="UB271" i="1"/>
  <c r="UC271" i="1"/>
  <c r="UD271" i="1"/>
  <c r="UE271" i="1"/>
  <c r="UF271" i="1"/>
  <c r="UG271" i="1"/>
  <c r="UH271" i="1"/>
  <c r="UI271" i="1"/>
  <c r="UJ271" i="1"/>
  <c r="UK271" i="1"/>
  <c r="UL271" i="1"/>
  <c r="UM271" i="1"/>
  <c r="UP271" i="1"/>
  <c r="UQ271" i="1"/>
  <c r="UR271" i="1"/>
  <c r="US271" i="1"/>
  <c r="UV271" i="1"/>
  <c r="UW271" i="1"/>
  <c r="UX271" i="1"/>
  <c r="UY271" i="1"/>
  <c r="UZ271" i="1"/>
  <c r="VA271" i="1"/>
  <c r="VC271" i="1"/>
  <c r="VD271" i="1"/>
  <c r="VE271" i="1"/>
  <c r="VF271" i="1"/>
  <c r="VG271" i="1"/>
  <c r="VH271" i="1"/>
  <c r="VI271" i="1"/>
  <c r="VJ271" i="1"/>
  <c r="VK271" i="1"/>
  <c r="VL271" i="1"/>
  <c r="VM271" i="1"/>
  <c r="VN271" i="1"/>
  <c r="SF8" i="1"/>
  <c r="SF9" i="1"/>
  <c r="SF10" i="1"/>
  <c r="SF11" i="1"/>
  <c r="SF12" i="1"/>
  <c r="SF13" i="1"/>
  <c r="SF14" i="1"/>
  <c r="SF15" i="1"/>
  <c r="SF16" i="1"/>
  <c r="SF17" i="1"/>
  <c r="SF18" i="1"/>
  <c r="SF19" i="1"/>
  <c r="SF20" i="1"/>
  <c r="SF21" i="1"/>
  <c r="SF22" i="1"/>
  <c r="SF23" i="1"/>
  <c r="SF24" i="1"/>
  <c r="SF25" i="1"/>
  <c r="SF26" i="1"/>
  <c r="SF27" i="1"/>
  <c r="SF28" i="1"/>
  <c r="SF29" i="1"/>
  <c r="SF30" i="1"/>
  <c r="SF31" i="1"/>
  <c r="SF32" i="1"/>
  <c r="SF33" i="1"/>
  <c r="SF34" i="1"/>
  <c r="SF35" i="1"/>
  <c r="SF36" i="1"/>
  <c r="SF37" i="1"/>
  <c r="SF38" i="1"/>
  <c r="SF39" i="1"/>
  <c r="SF40" i="1"/>
  <c r="SF41" i="1"/>
  <c r="SF42" i="1"/>
  <c r="SF43" i="1"/>
  <c r="SF44" i="1"/>
  <c r="SF45" i="1"/>
  <c r="SF46" i="1"/>
  <c r="SF47" i="1"/>
  <c r="SF48" i="1"/>
  <c r="SF49" i="1"/>
  <c r="SF50" i="1"/>
  <c r="SF51" i="1"/>
  <c r="SF52" i="1"/>
  <c r="SF53" i="1"/>
  <c r="SF54" i="1"/>
  <c r="SF55" i="1"/>
  <c r="SF56" i="1"/>
  <c r="SF57" i="1"/>
  <c r="SF58" i="1"/>
  <c r="SF59" i="1"/>
  <c r="SF60" i="1"/>
  <c r="SF61" i="1"/>
  <c r="SF62" i="1"/>
  <c r="SF63" i="1"/>
  <c r="SF64" i="1"/>
  <c r="SF65" i="1"/>
  <c r="SF66" i="1"/>
  <c r="SF67" i="1"/>
  <c r="SF68" i="1"/>
  <c r="SF69" i="1"/>
  <c r="SF70" i="1"/>
  <c r="SF71" i="1"/>
  <c r="SF72" i="1"/>
  <c r="SF73" i="1"/>
  <c r="SF74" i="1"/>
  <c r="SF75" i="1"/>
  <c r="SF76" i="1"/>
  <c r="SF77" i="1"/>
  <c r="SF78" i="1"/>
  <c r="SF79" i="1"/>
  <c r="SF80" i="1"/>
  <c r="SF81" i="1"/>
  <c r="SF82" i="1"/>
  <c r="SF83" i="1"/>
  <c r="SF84" i="1"/>
  <c r="SF85" i="1"/>
  <c r="SF86" i="1"/>
  <c r="SF87" i="1"/>
  <c r="SF88" i="1"/>
  <c r="SF89" i="1"/>
  <c r="SF90" i="1"/>
  <c r="SF91" i="1"/>
  <c r="SF92" i="1"/>
  <c r="SF93" i="1"/>
  <c r="SF94" i="1"/>
  <c r="SF95" i="1"/>
  <c r="SF96" i="1"/>
  <c r="SF97" i="1"/>
  <c r="SF98" i="1"/>
  <c r="SF99" i="1"/>
  <c r="SF100" i="1"/>
  <c r="SF101" i="1"/>
  <c r="SF102" i="1"/>
  <c r="SF103" i="1"/>
  <c r="SF104" i="1"/>
  <c r="SF105" i="1"/>
  <c r="SF106" i="1"/>
  <c r="SF107" i="1"/>
  <c r="SF108" i="1"/>
  <c r="SF109" i="1"/>
  <c r="SF110" i="1"/>
  <c r="SF111" i="1"/>
  <c r="SF112" i="1"/>
  <c r="SF113" i="1"/>
  <c r="SF114" i="1"/>
  <c r="SF115" i="1"/>
  <c r="SF116" i="1"/>
  <c r="SF117" i="1"/>
  <c r="SF118" i="1"/>
  <c r="SF119" i="1"/>
  <c r="SF120" i="1"/>
  <c r="SF121" i="1"/>
  <c r="SF122" i="1"/>
  <c r="SF123" i="1"/>
  <c r="SF124" i="1"/>
  <c r="SF125" i="1"/>
  <c r="SF126" i="1"/>
  <c r="SF127" i="1"/>
  <c r="SF128" i="1"/>
  <c r="SF129" i="1"/>
  <c r="SF130" i="1"/>
  <c r="SF131" i="1"/>
  <c r="SF132" i="1"/>
  <c r="SF133" i="1"/>
  <c r="SF134" i="1"/>
  <c r="SF135" i="1"/>
  <c r="SF136" i="1"/>
  <c r="SF137" i="1"/>
  <c r="SF138" i="1"/>
  <c r="SF139" i="1"/>
  <c r="SF140" i="1"/>
  <c r="SF141" i="1"/>
  <c r="SF142" i="1"/>
  <c r="SF143" i="1"/>
  <c r="SF144" i="1"/>
  <c r="SF145" i="1"/>
  <c r="SF146" i="1"/>
  <c r="SF147" i="1"/>
  <c r="SF148" i="1"/>
  <c r="SF149" i="1"/>
  <c r="SF150" i="1"/>
  <c r="SF151" i="1"/>
  <c r="SF152" i="1"/>
  <c r="SF153" i="1"/>
  <c r="SF154" i="1"/>
  <c r="SF155" i="1"/>
  <c r="SF156" i="1"/>
  <c r="SF157" i="1"/>
  <c r="SF158" i="1"/>
  <c r="SF159" i="1"/>
  <c r="SF160" i="1"/>
  <c r="SF161" i="1"/>
  <c r="SF162" i="1"/>
  <c r="SF163" i="1"/>
  <c r="SF164" i="1"/>
  <c r="SF165" i="1"/>
  <c r="SF166" i="1"/>
  <c r="SF167" i="1"/>
  <c r="SF168" i="1"/>
  <c r="SF169" i="1"/>
  <c r="SF170" i="1"/>
  <c r="SF171" i="1"/>
  <c r="SF172" i="1"/>
  <c r="SF173" i="1"/>
  <c r="SF174" i="1"/>
  <c r="SF175" i="1"/>
  <c r="SF176" i="1"/>
  <c r="SF177" i="1"/>
  <c r="SF178" i="1"/>
  <c r="SF179" i="1"/>
  <c r="SF180" i="1"/>
  <c r="SF181" i="1"/>
  <c r="SF182" i="1"/>
  <c r="SF183" i="1"/>
  <c r="SF184" i="1"/>
  <c r="SF185" i="1"/>
  <c r="SF186" i="1"/>
  <c r="SF187" i="1"/>
  <c r="SF188" i="1"/>
  <c r="SF189" i="1"/>
  <c r="SF190" i="1"/>
  <c r="SF191" i="1"/>
  <c r="SF192" i="1"/>
  <c r="SF193" i="1"/>
  <c r="SF194" i="1"/>
  <c r="SF195" i="1"/>
  <c r="SF196" i="1"/>
  <c r="SF197" i="1"/>
  <c r="SF198" i="1"/>
  <c r="SF199" i="1"/>
  <c r="SF200" i="1"/>
  <c r="SF201" i="1"/>
  <c r="SF202" i="1"/>
  <c r="SF203" i="1"/>
  <c r="SF204" i="1"/>
  <c r="SF205" i="1"/>
  <c r="SF206" i="1"/>
  <c r="SF207" i="1"/>
  <c r="SF208" i="1"/>
  <c r="SF209" i="1"/>
  <c r="SF210" i="1"/>
  <c r="SF211" i="1"/>
  <c r="SF212" i="1"/>
  <c r="SF213" i="1"/>
  <c r="SF214" i="1"/>
  <c r="SF215" i="1"/>
  <c r="SF216" i="1"/>
  <c r="SF217" i="1"/>
  <c r="SF218" i="1"/>
  <c r="SF219" i="1"/>
  <c r="SF220" i="1"/>
  <c r="SF221" i="1"/>
  <c r="SF222" i="1"/>
  <c r="SF223" i="1"/>
  <c r="SF224" i="1"/>
  <c r="SF225" i="1"/>
  <c r="SF226" i="1"/>
  <c r="SF227" i="1"/>
  <c r="SF228" i="1"/>
  <c r="SF229" i="1"/>
  <c r="SF230" i="1"/>
  <c r="SF231" i="1"/>
  <c r="SF232" i="1"/>
  <c r="SF233" i="1"/>
  <c r="SF234" i="1"/>
  <c r="SF235" i="1"/>
  <c r="SF236" i="1"/>
  <c r="SF237" i="1"/>
  <c r="SF238" i="1"/>
  <c r="SF239" i="1"/>
  <c r="SF240" i="1"/>
  <c r="SF241" i="1"/>
  <c r="SF242" i="1"/>
  <c r="SF243" i="1"/>
  <c r="SF244" i="1"/>
  <c r="SF245" i="1"/>
  <c r="SF246" i="1"/>
  <c r="SF247" i="1"/>
  <c r="SF248" i="1"/>
  <c r="SF249" i="1"/>
  <c r="SF250" i="1"/>
  <c r="SF251" i="1"/>
  <c r="SF252" i="1"/>
  <c r="SF253" i="1"/>
  <c r="SF254" i="1"/>
  <c r="SF255" i="1"/>
  <c r="SF256" i="1"/>
  <c r="SF257" i="1"/>
  <c r="SF258" i="1"/>
  <c r="SF259" i="1"/>
  <c r="SF260" i="1"/>
  <c r="SF261" i="1"/>
  <c r="SF262" i="1"/>
  <c r="SF263" i="1"/>
  <c r="UL16" i="1"/>
  <c r="UL17" i="1"/>
  <c r="UL18" i="1"/>
  <c r="UL19" i="1"/>
  <c r="UL20" i="1"/>
  <c r="UL21" i="1"/>
  <c r="UL22" i="1"/>
  <c r="UL23" i="1"/>
  <c r="UL24" i="1"/>
  <c r="UL25" i="1"/>
  <c r="UL26" i="1"/>
  <c r="UL27" i="1"/>
  <c r="UL28" i="1"/>
  <c r="UL29" i="1"/>
  <c r="UL30" i="1"/>
  <c r="UL31" i="1"/>
  <c r="UL32" i="1"/>
  <c r="UL33" i="1"/>
  <c r="UL34" i="1"/>
  <c r="UL35" i="1"/>
  <c r="UL36" i="1"/>
  <c r="UL37" i="1"/>
  <c r="UL38" i="1"/>
  <c r="UL39" i="1"/>
  <c r="UL40" i="1"/>
  <c r="UL41" i="1"/>
  <c r="UL42" i="1"/>
  <c r="UL43" i="1"/>
  <c r="UL44" i="1"/>
  <c r="UL45" i="1"/>
  <c r="UL46" i="1"/>
  <c r="UL47" i="1"/>
  <c r="UL48" i="1"/>
  <c r="UL49" i="1"/>
  <c r="UL50" i="1"/>
  <c r="UL51" i="1"/>
  <c r="UL52" i="1"/>
  <c r="UL53" i="1"/>
  <c r="UL54" i="1"/>
  <c r="UL55" i="1"/>
  <c r="UL56" i="1"/>
  <c r="UL57" i="1"/>
  <c r="UL58" i="1"/>
  <c r="UL59" i="1"/>
  <c r="UL60" i="1"/>
  <c r="UL61" i="1"/>
  <c r="UL62" i="1"/>
  <c r="UL63" i="1"/>
  <c r="UL64" i="1"/>
  <c r="UL65" i="1"/>
  <c r="UL66" i="1"/>
  <c r="UL67" i="1"/>
  <c r="UL68" i="1"/>
  <c r="UL69" i="1"/>
  <c r="UL70" i="1"/>
  <c r="UL71" i="1"/>
  <c r="UL72" i="1"/>
  <c r="UL73" i="1"/>
  <c r="UL74" i="1"/>
  <c r="UL75" i="1"/>
  <c r="UL76" i="1"/>
  <c r="UL77" i="1"/>
  <c r="UL78" i="1"/>
  <c r="UL79" i="1"/>
  <c r="UL80" i="1"/>
  <c r="UL81" i="1"/>
  <c r="UL82" i="1"/>
  <c r="UL83" i="1"/>
  <c r="UL84" i="1"/>
  <c r="UL85" i="1"/>
  <c r="UL86" i="1"/>
  <c r="UL87" i="1"/>
  <c r="UL88" i="1"/>
  <c r="UL89" i="1"/>
  <c r="UL90" i="1"/>
  <c r="UL91" i="1"/>
  <c r="UL92" i="1"/>
  <c r="UL93" i="1"/>
  <c r="UL94" i="1"/>
  <c r="UL95" i="1"/>
  <c r="UL96" i="1"/>
  <c r="UL97" i="1"/>
  <c r="UL98" i="1"/>
  <c r="UL99" i="1"/>
  <c r="UL100" i="1"/>
  <c r="UL101" i="1"/>
  <c r="UL102" i="1"/>
  <c r="UL103" i="1"/>
  <c r="UL104" i="1"/>
  <c r="UL105" i="1"/>
  <c r="UL106" i="1"/>
  <c r="UL107" i="1"/>
  <c r="UL108" i="1"/>
  <c r="UL109" i="1"/>
  <c r="UL110" i="1"/>
  <c r="UL111" i="1"/>
  <c r="UL112" i="1"/>
  <c r="UL113" i="1"/>
  <c r="UL114" i="1"/>
  <c r="UL115" i="1"/>
  <c r="UL116" i="1"/>
  <c r="UL117" i="1"/>
  <c r="UL118" i="1"/>
  <c r="UL119" i="1"/>
  <c r="UL120" i="1"/>
  <c r="UL121" i="1"/>
  <c r="UL122" i="1"/>
  <c r="UL123" i="1"/>
  <c r="UL124" i="1"/>
  <c r="UL125" i="1"/>
  <c r="UL126" i="1"/>
  <c r="UL127" i="1"/>
  <c r="UL128" i="1"/>
  <c r="UL129" i="1"/>
  <c r="UL130" i="1"/>
  <c r="UL131" i="1"/>
  <c r="UL132" i="1"/>
  <c r="UL133" i="1"/>
  <c r="UL134" i="1"/>
  <c r="UL135" i="1"/>
  <c r="UL136" i="1"/>
  <c r="UL137" i="1"/>
  <c r="UL138" i="1"/>
  <c r="UL139" i="1"/>
  <c r="UL140" i="1"/>
  <c r="UL141" i="1"/>
  <c r="UL142" i="1"/>
  <c r="UL143" i="1"/>
  <c r="UL144" i="1"/>
  <c r="UL145" i="1"/>
  <c r="UL146" i="1"/>
  <c r="UL147" i="1"/>
  <c r="UL148" i="1"/>
  <c r="UL149" i="1"/>
  <c r="UL150" i="1"/>
  <c r="UL151" i="1"/>
  <c r="UL152" i="1"/>
  <c r="UL153" i="1"/>
  <c r="UL154" i="1"/>
  <c r="UL155" i="1"/>
  <c r="UL156" i="1"/>
  <c r="UL157" i="1"/>
  <c r="UL158" i="1"/>
  <c r="UL159" i="1"/>
  <c r="UL160" i="1"/>
  <c r="UL161" i="1"/>
  <c r="UL162" i="1"/>
  <c r="UL163" i="1"/>
  <c r="UL164" i="1"/>
  <c r="UL165" i="1"/>
  <c r="UL166" i="1"/>
  <c r="UL167" i="1"/>
  <c r="UL168" i="1"/>
  <c r="UL169" i="1"/>
  <c r="UL170" i="1"/>
  <c r="UL171" i="1"/>
  <c r="UL172" i="1"/>
  <c r="UL173" i="1"/>
  <c r="UL174" i="1"/>
  <c r="UL175" i="1"/>
  <c r="UL176" i="1"/>
  <c r="UL177" i="1"/>
  <c r="UL178" i="1"/>
  <c r="UL179" i="1"/>
  <c r="UL180" i="1"/>
  <c r="UL181" i="1"/>
  <c r="UL182" i="1"/>
  <c r="UL183" i="1"/>
  <c r="UL184" i="1"/>
  <c r="UL185" i="1"/>
  <c r="UL186" i="1"/>
  <c r="UL187" i="1"/>
  <c r="UL188" i="1"/>
  <c r="UL189" i="1"/>
  <c r="UL190" i="1"/>
  <c r="UL191" i="1"/>
  <c r="UL192" i="1"/>
  <c r="UL193" i="1"/>
  <c r="UL194" i="1"/>
  <c r="UL195" i="1"/>
  <c r="UL196" i="1"/>
  <c r="UL197" i="1"/>
  <c r="UL198" i="1"/>
  <c r="UL199" i="1"/>
  <c r="UL200" i="1"/>
  <c r="UL201" i="1"/>
  <c r="UL202" i="1"/>
  <c r="UL203" i="1"/>
  <c r="UL204" i="1"/>
  <c r="UL205" i="1"/>
  <c r="UL206" i="1"/>
  <c r="UL207" i="1"/>
  <c r="UL208" i="1"/>
  <c r="UL209" i="1"/>
  <c r="UL210" i="1"/>
  <c r="UL211" i="1"/>
  <c r="UL212" i="1"/>
  <c r="UL213" i="1"/>
  <c r="UL214" i="1"/>
  <c r="UL215" i="1"/>
  <c r="UL216" i="1"/>
  <c r="UL217" i="1"/>
  <c r="UL218" i="1"/>
  <c r="UL219" i="1"/>
  <c r="UL220" i="1"/>
  <c r="UL221" i="1"/>
  <c r="UL222" i="1"/>
  <c r="UL223" i="1"/>
  <c r="UL224" i="1"/>
  <c r="UL225" i="1"/>
  <c r="UL226" i="1"/>
  <c r="UL227" i="1"/>
  <c r="UL228" i="1"/>
  <c r="UL229" i="1"/>
  <c r="UL230" i="1"/>
  <c r="UL231" i="1"/>
  <c r="UL232" i="1"/>
  <c r="UL233" i="1"/>
  <c r="UL234" i="1"/>
  <c r="UL235" i="1"/>
  <c r="UL236" i="1"/>
  <c r="UL237" i="1"/>
  <c r="UL238" i="1"/>
  <c r="UL239" i="1"/>
  <c r="UL240" i="1"/>
  <c r="UL241" i="1"/>
  <c r="UL242" i="1"/>
  <c r="UL243" i="1"/>
  <c r="UL244" i="1"/>
  <c r="UL245" i="1"/>
  <c r="UL246" i="1"/>
  <c r="UL247" i="1"/>
  <c r="UL248" i="1"/>
  <c r="UL249" i="1"/>
  <c r="UL250" i="1"/>
  <c r="UL251" i="1"/>
  <c r="UL252" i="1"/>
  <c r="UL253" i="1"/>
  <c r="UL254" i="1"/>
  <c r="UL255" i="1"/>
  <c r="UL256" i="1"/>
  <c r="UL257" i="1"/>
  <c r="UL258" i="1"/>
  <c r="UL259" i="1"/>
  <c r="UL260" i="1"/>
  <c r="UL261" i="1"/>
  <c r="UL262" i="1"/>
  <c r="UL263" i="1"/>
  <c r="UL9" i="1"/>
  <c r="UL10" i="1"/>
  <c r="UL11" i="1"/>
  <c r="UL12" i="1"/>
  <c r="UL13" i="1"/>
  <c r="UL14" i="1"/>
  <c r="UL15" i="1"/>
  <c r="UL8" i="1"/>
  <c r="GU185" i="29" l="1"/>
  <c r="GG115" i="29"/>
  <c r="HC185" i="29"/>
  <c r="EY185" i="29"/>
  <c r="GJ185" i="29"/>
  <c r="FU185" i="29"/>
  <c r="FU115" i="29"/>
  <c r="GS185" i="29"/>
  <c r="GM185" i="29"/>
  <c r="GT115" i="29"/>
  <c r="FC185" i="29"/>
  <c r="FZ185" i="29"/>
  <c r="GY185" i="29"/>
  <c r="FB185" i="29"/>
  <c r="FY115" i="29"/>
  <c r="FM185" i="29"/>
  <c r="GF115" i="29"/>
  <c r="EW185" i="29"/>
  <c r="FL185" i="29"/>
  <c r="AC60" i="31"/>
  <c r="AC58" i="29"/>
  <c r="AC62" i="31" s="1"/>
  <c r="AC57" i="29"/>
  <c r="AC115" i="29"/>
  <c r="AC105" i="31"/>
  <c r="JP42" i="31"/>
  <c r="JM58" i="31"/>
  <c r="JP80" i="31"/>
  <c r="GL115" i="29"/>
  <c r="FP185" i="29"/>
  <c r="HF185" i="29"/>
  <c r="GH185" i="29"/>
  <c r="GO115" i="29"/>
  <c r="GO150" i="29" s="1"/>
  <c r="FV185" i="29"/>
  <c r="FQ185" i="29"/>
  <c r="FA115" i="29"/>
  <c r="FA185" i="29"/>
  <c r="FP115" i="29"/>
  <c r="FP150" i="29" s="1"/>
  <c r="HF115" i="29"/>
  <c r="GH115" i="29"/>
  <c r="GT185" i="29"/>
  <c r="FJ185" i="29"/>
  <c r="FV115" i="29"/>
  <c r="FV119" i="31" s="1"/>
  <c r="FQ115" i="29"/>
  <c r="JP82" i="31"/>
  <c r="GY115" i="29"/>
  <c r="GY150" i="29" s="1"/>
  <c r="GO185" i="29"/>
  <c r="GE115" i="29"/>
  <c r="FL115" i="29"/>
  <c r="FL150" i="29" s="1"/>
  <c r="GM115" i="29"/>
  <c r="JN58" i="31"/>
  <c r="JO58" i="31"/>
  <c r="JL58" i="31"/>
  <c r="VZ266" i="1"/>
  <c r="VZ271" i="1"/>
  <c r="VZ267" i="1"/>
  <c r="VZ268" i="1"/>
  <c r="VZ264" i="1"/>
  <c r="VZ269" i="1"/>
  <c r="VZ265" i="1"/>
  <c r="VZ270" i="1"/>
  <c r="ES8" i="31"/>
  <c r="EO8" i="31"/>
  <c r="DU8" i="31"/>
  <c r="HJ7" i="31"/>
  <c r="JH8" i="31"/>
  <c r="ER8" i="31"/>
  <c r="EN8" i="31"/>
  <c r="DX8" i="31"/>
  <c r="ES7" i="31"/>
  <c r="EO7" i="31"/>
  <c r="DU7" i="31"/>
  <c r="HO8" i="31"/>
  <c r="EQ8" i="31"/>
  <c r="DW8" i="31"/>
  <c r="CA8" i="31"/>
  <c r="JH7" i="31"/>
  <c r="ER7" i="31"/>
  <c r="EN7" i="31"/>
  <c r="DX7" i="31"/>
  <c r="EP7" i="31"/>
  <c r="HJ8" i="31"/>
  <c r="EP8" i="31"/>
  <c r="EL8" i="31"/>
  <c r="HO7" i="31"/>
  <c r="EQ7" i="31"/>
  <c r="DW7" i="31"/>
  <c r="CA7" i="31"/>
  <c r="EL7" i="31"/>
  <c r="FB150" i="29"/>
  <c r="FB119" i="31"/>
  <c r="FJ150" i="29"/>
  <c r="FJ119" i="31"/>
  <c r="GG150" i="29"/>
  <c r="GG119" i="31"/>
  <c r="GE150" i="29"/>
  <c r="GE154" i="31" s="1"/>
  <c r="GE119" i="31"/>
  <c r="FQ150" i="29"/>
  <c r="FQ119" i="31"/>
  <c r="EW150" i="29"/>
  <c r="EW119" i="31"/>
  <c r="GS150" i="29"/>
  <c r="GS119" i="31"/>
  <c r="DO115" i="29"/>
  <c r="DO105" i="31"/>
  <c r="H115" i="29"/>
  <c r="H105" i="31"/>
  <c r="BE115" i="29"/>
  <c r="BE105" i="31"/>
  <c r="CV115" i="29"/>
  <c r="CV105" i="31"/>
  <c r="BM115" i="29"/>
  <c r="BM105" i="31"/>
  <c r="IC105" i="31"/>
  <c r="IC115" i="29"/>
  <c r="IC185" i="29"/>
  <c r="DG115" i="29"/>
  <c r="DG105" i="31"/>
  <c r="IA105" i="31"/>
  <c r="IA115" i="29"/>
  <c r="IA185" i="29"/>
  <c r="JH105" i="31"/>
  <c r="JH115" i="29"/>
  <c r="JH185" i="29"/>
  <c r="IT105" i="31"/>
  <c r="IT185" i="29"/>
  <c r="IT115" i="29"/>
  <c r="CU115" i="29"/>
  <c r="CU105" i="31"/>
  <c r="EI115" i="29"/>
  <c r="EI105" i="31"/>
  <c r="CJ115" i="29"/>
  <c r="CJ105" i="31"/>
  <c r="CD115" i="29"/>
  <c r="CD105" i="31"/>
  <c r="EV115" i="29"/>
  <c r="EV105" i="31"/>
  <c r="R115" i="29"/>
  <c r="R105" i="31"/>
  <c r="DW115" i="29"/>
  <c r="DW105" i="31"/>
  <c r="EL115" i="29"/>
  <c r="EL105" i="31"/>
  <c r="EN115" i="29"/>
  <c r="EN105" i="31"/>
  <c r="BZ115" i="29"/>
  <c r="BZ105" i="31"/>
  <c r="HJ115" i="29"/>
  <c r="HJ105" i="31"/>
  <c r="EK115" i="29"/>
  <c r="EK105" i="31"/>
  <c r="AY115" i="29"/>
  <c r="AY105" i="31"/>
  <c r="EP115" i="29"/>
  <c r="EP105" i="31"/>
  <c r="CG115" i="29"/>
  <c r="CG105" i="31"/>
  <c r="CY115" i="29"/>
  <c r="CY105" i="31"/>
  <c r="HY105" i="31"/>
  <c r="HY115" i="29"/>
  <c r="HY185" i="29"/>
  <c r="JF105" i="31"/>
  <c r="JF115" i="29"/>
  <c r="JF185" i="29"/>
  <c r="L115" i="29"/>
  <c r="L105" i="31"/>
  <c r="N115" i="29"/>
  <c r="N105" i="31"/>
  <c r="AE115" i="29"/>
  <c r="AE105" i="31"/>
  <c r="GB105" i="31"/>
  <c r="GB115" i="29"/>
  <c r="GB185" i="29"/>
  <c r="CZ115" i="29"/>
  <c r="CZ105" i="31"/>
  <c r="FG105" i="31"/>
  <c r="FG185" i="29"/>
  <c r="FG115" i="29"/>
  <c r="T115" i="29"/>
  <c r="T105" i="31"/>
  <c r="HX105" i="31"/>
  <c r="HX185" i="29"/>
  <c r="HX115" i="29"/>
  <c r="K115" i="29"/>
  <c r="K105" i="31"/>
  <c r="AP115" i="29"/>
  <c r="AP105" i="31"/>
  <c r="BS115" i="29"/>
  <c r="BS105" i="31"/>
  <c r="DQ115" i="29"/>
  <c r="DQ105" i="31"/>
  <c r="FO105" i="31"/>
  <c r="FO115" i="29"/>
  <c r="FO185" i="29"/>
  <c r="HE105" i="31"/>
  <c r="HE115" i="29"/>
  <c r="HE185" i="29"/>
  <c r="JC105" i="31"/>
  <c r="JC115" i="29"/>
  <c r="JC185" i="29"/>
  <c r="HV105" i="31"/>
  <c r="HV185" i="29"/>
  <c r="HV115" i="29"/>
  <c r="HP105" i="31"/>
  <c r="HP115" i="29"/>
  <c r="HP185" i="29"/>
  <c r="BO115" i="29"/>
  <c r="BO105" i="31"/>
  <c r="DM115" i="29"/>
  <c r="DM105" i="31"/>
  <c r="CH115" i="29"/>
  <c r="CH105" i="31"/>
  <c r="HU105" i="31"/>
  <c r="HU115" i="29"/>
  <c r="HU185" i="29"/>
  <c r="CO115" i="29"/>
  <c r="CO105" i="31"/>
  <c r="HS105" i="31"/>
  <c r="HS115" i="29"/>
  <c r="HS185" i="29"/>
  <c r="HK115" i="29"/>
  <c r="HK105" i="31"/>
  <c r="IL105" i="31"/>
  <c r="IL185" i="29"/>
  <c r="IL115" i="29"/>
  <c r="IZ105" i="31"/>
  <c r="IZ185" i="29"/>
  <c r="IZ115" i="29"/>
  <c r="HR105" i="31"/>
  <c r="HR115" i="29"/>
  <c r="HR185" i="29"/>
  <c r="CW115" i="29"/>
  <c r="CW105" i="31"/>
  <c r="BQ115" i="29"/>
  <c r="BQ105" i="31"/>
  <c r="IO105" i="31"/>
  <c r="IO115" i="29"/>
  <c r="IO185" i="29"/>
  <c r="CM115" i="29"/>
  <c r="CM105" i="31"/>
  <c r="HH105" i="31"/>
  <c r="HH185" i="29"/>
  <c r="HH115" i="29"/>
  <c r="IE105" i="31"/>
  <c r="IE185" i="29"/>
  <c r="IE115" i="29"/>
  <c r="D115" i="29"/>
  <c r="D105" i="31"/>
  <c r="DL115" i="29"/>
  <c r="DL105" i="31"/>
  <c r="BI115" i="29"/>
  <c r="BI105" i="31"/>
  <c r="GR105" i="31"/>
  <c r="GR115" i="29"/>
  <c r="GR185" i="29"/>
  <c r="IQ105" i="31"/>
  <c r="IQ115" i="29"/>
  <c r="IQ185" i="29"/>
  <c r="DA115" i="29"/>
  <c r="DA105" i="31"/>
  <c r="Z115" i="29"/>
  <c r="Z105" i="31"/>
  <c r="BR115" i="29"/>
  <c r="BR105" i="31"/>
  <c r="AH115" i="29"/>
  <c r="AH105" i="31"/>
  <c r="AB115" i="29"/>
  <c r="AB105" i="31"/>
  <c r="DD115" i="29"/>
  <c r="DD105" i="31"/>
  <c r="FX105" i="31"/>
  <c r="FX115" i="29"/>
  <c r="FX185" i="29"/>
  <c r="HM105" i="31"/>
  <c r="HM185" i="29"/>
  <c r="HM115" i="29"/>
  <c r="O115" i="29"/>
  <c r="O105" i="31"/>
  <c r="DU115" i="29"/>
  <c r="DU105" i="31"/>
  <c r="AI115" i="29"/>
  <c r="AI105" i="31"/>
  <c r="ER115" i="29"/>
  <c r="ER105" i="31"/>
  <c r="BJ115" i="29"/>
  <c r="BJ105" i="31"/>
  <c r="DF115" i="29"/>
  <c r="DF105" i="31"/>
  <c r="GC150" i="29"/>
  <c r="GC119" i="31"/>
  <c r="GH150" i="29"/>
  <c r="GH119" i="31"/>
  <c r="GD150" i="29"/>
  <c r="GD119" i="31"/>
  <c r="GQ150" i="29"/>
  <c r="GQ119" i="31"/>
  <c r="FA150" i="29"/>
  <c r="FA119" i="31"/>
  <c r="FD115" i="29"/>
  <c r="FD105" i="31"/>
  <c r="DE115" i="29"/>
  <c r="DE105" i="31"/>
  <c r="CE115" i="29"/>
  <c r="CE105" i="31"/>
  <c r="HQ105" i="31"/>
  <c r="HQ115" i="29"/>
  <c r="HQ185" i="29"/>
  <c r="BT115" i="29"/>
  <c r="BT105" i="31"/>
  <c r="HW105" i="31"/>
  <c r="HW115" i="29"/>
  <c r="HW185" i="29"/>
  <c r="JD115" i="29"/>
  <c r="JD105" i="31"/>
  <c r="CT115" i="29"/>
  <c r="CT105" i="31"/>
  <c r="EE115" i="29"/>
  <c r="EE105" i="31"/>
  <c r="AG115" i="29"/>
  <c r="AG105" i="31"/>
  <c r="DB115" i="29"/>
  <c r="DB105" i="31"/>
  <c r="DJ115" i="29"/>
  <c r="DJ105" i="31"/>
  <c r="EM115" i="29"/>
  <c r="EM105" i="31"/>
  <c r="Y115" i="29"/>
  <c r="Y105" i="31"/>
  <c r="EJ115" i="29"/>
  <c r="EJ105" i="31"/>
  <c r="DV115" i="29"/>
  <c r="DV105" i="31"/>
  <c r="AA115" i="29"/>
  <c r="AA105" i="31"/>
  <c r="FI105" i="31"/>
  <c r="FI115" i="29"/>
  <c r="FI185" i="29"/>
  <c r="BF115" i="29"/>
  <c r="BF105" i="31"/>
  <c r="CP115" i="29"/>
  <c r="CP105" i="31"/>
  <c r="JE105" i="31"/>
  <c r="JE115" i="29"/>
  <c r="JE185" i="29"/>
  <c r="AL115" i="29"/>
  <c r="AL105" i="31"/>
  <c r="DZ115" i="29"/>
  <c r="DZ105" i="31"/>
  <c r="V115" i="29"/>
  <c r="V105" i="31"/>
  <c r="DI115" i="29"/>
  <c r="DI105" i="31"/>
  <c r="BP115" i="29"/>
  <c r="BP105" i="31"/>
  <c r="BX115" i="29"/>
  <c r="BX105" i="31"/>
  <c r="BY115" i="29"/>
  <c r="BY105" i="31"/>
  <c r="Q115" i="29"/>
  <c r="Q105" i="31"/>
  <c r="DT115" i="29"/>
  <c r="DT105" i="31"/>
  <c r="FC150" i="29"/>
  <c r="FC119" i="31"/>
  <c r="GW150" i="29"/>
  <c r="GW119" i="31"/>
  <c r="HC150" i="29"/>
  <c r="HC119" i="31"/>
  <c r="HG150" i="29"/>
  <c r="HG119" i="31"/>
  <c r="GT150" i="29"/>
  <c r="GT119" i="31"/>
  <c r="HA150" i="29"/>
  <c r="HA119" i="31"/>
  <c r="FV150" i="29"/>
  <c r="FY150" i="29"/>
  <c r="FY119" i="31"/>
  <c r="EY150" i="29"/>
  <c r="EY119" i="31"/>
  <c r="GJ150" i="29"/>
  <c r="GJ119" i="31"/>
  <c r="GF150" i="29"/>
  <c r="GF119" i="31"/>
  <c r="GI150" i="29"/>
  <c r="GI119" i="31"/>
  <c r="FN150" i="29"/>
  <c r="FN119" i="31"/>
  <c r="GM150" i="29"/>
  <c r="GM119" i="31"/>
  <c r="FU150" i="29"/>
  <c r="FU119" i="31"/>
  <c r="IF105" i="31"/>
  <c r="IF115" i="29"/>
  <c r="IF185" i="29"/>
  <c r="X115" i="29"/>
  <c r="X105" i="31"/>
  <c r="CF115" i="29"/>
  <c r="CF105" i="31"/>
  <c r="AR115" i="29"/>
  <c r="AR105" i="31"/>
  <c r="GX105" i="31"/>
  <c r="GX185" i="29"/>
  <c r="GX115" i="29"/>
  <c r="AF115" i="29"/>
  <c r="AF105" i="31"/>
  <c r="GK105" i="31"/>
  <c r="GK115" i="29"/>
  <c r="GK185" i="29"/>
  <c r="IR105" i="31"/>
  <c r="IR115" i="29"/>
  <c r="IR185" i="29"/>
  <c r="IB105" i="31"/>
  <c r="IB115" i="29"/>
  <c r="IB185" i="29"/>
  <c r="I115" i="29"/>
  <c r="I105" i="31"/>
  <c r="W115" i="29"/>
  <c r="W105" i="31"/>
  <c r="EC115" i="29"/>
  <c r="EC105" i="31"/>
  <c r="AS115" i="29"/>
  <c r="AS105" i="31"/>
  <c r="DR115" i="29"/>
  <c r="DR105" i="31"/>
  <c r="BW115" i="29"/>
  <c r="BW105" i="31"/>
  <c r="BU115" i="29"/>
  <c r="BU105" i="31"/>
  <c r="DP115" i="29"/>
  <c r="DP105" i="31"/>
  <c r="AM115" i="29"/>
  <c r="AM105" i="31"/>
  <c r="CC115" i="29"/>
  <c r="CC105" i="31"/>
  <c r="BG115" i="29"/>
  <c r="BG105" i="31"/>
  <c r="AK115" i="29"/>
  <c r="AK105" i="31"/>
  <c r="CL115" i="29"/>
  <c r="CL105" i="31"/>
  <c r="DK115" i="29"/>
  <c r="DK105" i="31"/>
  <c r="AJ115" i="29"/>
  <c r="AJ105" i="31"/>
  <c r="AU115" i="29"/>
  <c r="AU105" i="31"/>
  <c r="EF115" i="29"/>
  <c r="EF105" i="31"/>
  <c r="IP105" i="31"/>
  <c r="IP115" i="29"/>
  <c r="IP185" i="29"/>
  <c r="IJ105" i="31"/>
  <c r="IJ115" i="29"/>
  <c r="IJ185" i="29"/>
  <c r="AT115" i="29"/>
  <c r="AT105" i="31"/>
  <c r="DC115" i="29"/>
  <c r="DC105" i="31"/>
  <c r="FK105" i="31"/>
  <c r="FK115" i="29"/>
  <c r="FK185" i="29"/>
  <c r="IY105" i="31"/>
  <c r="IY115" i="29"/>
  <c r="IY185" i="29"/>
  <c r="CQ115" i="29"/>
  <c r="CQ105" i="31"/>
  <c r="FW105" i="31"/>
  <c r="FW115" i="29"/>
  <c r="FW185" i="29"/>
  <c r="AN115" i="29"/>
  <c r="AN105" i="31"/>
  <c r="JA105" i="31"/>
  <c r="JA185" i="29"/>
  <c r="JA115" i="29"/>
  <c r="DY115" i="29"/>
  <c r="DY105" i="31"/>
  <c r="ED115" i="29"/>
  <c r="ED105" i="31"/>
  <c r="CR115" i="29"/>
  <c r="CR105" i="31"/>
  <c r="EZ105" i="31"/>
  <c r="EZ115" i="29"/>
  <c r="EZ185" i="29"/>
  <c r="GN105" i="31"/>
  <c r="GN115" i="29"/>
  <c r="GN185" i="29"/>
  <c r="IM105" i="31"/>
  <c r="IM115" i="29"/>
  <c r="IM185" i="29"/>
  <c r="EH115" i="29"/>
  <c r="EH105" i="31"/>
  <c r="AZ115" i="29"/>
  <c r="AZ105" i="31"/>
  <c r="IW105" i="31"/>
  <c r="IW115" i="29"/>
  <c r="IW185" i="29"/>
  <c r="CN115" i="29"/>
  <c r="CN105" i="31"/>
  <c r="AD115" i="29"/>
  <c r="AD105" i="31"/>
  <c r="EX105" i="31"/>
  <c r="EX185" i="29"/>
  <c r="EX115" i="29"/>
  <c r="DS115" i="29"/>
  <c r="DS105" i="31"/>
  <c r="FE105" i="31"/>
  <c r="FE115" i="29"/>
  <c r="FE185" i="29"/>
  <c r="II105" i="31"/>
  <c r="II115" i="29"/>
  <c r="II185" i="29"/>
  <c r="IS105" i="31"/>
  <c r="IS115" i="29"/>
  <c r="IS185" i="29"/>
  <c r="JB105" i="31"/>
  <c r="JB185" i="29"/>
  <c r="JB115" i="29"/>
  <c r="HB105" i="31"/>
  <c r="HB115" i="29"/>
  <c r="HB185" i="29"/>
  <c r="IH105" i="31"/>
  <c r="IH115" i="29"/>
  <c r="IH185" i="29"/>
  <c r="AV115" i="29"/>
  <c r="AV105" i="31"/>
  <c r="GP105" i="31"/>
  <c r="GP115" i="29"/>
  <c r="GP185" i="29"/>
  <c r="AO115" i="29"/>
  <c r="AO105" i="31"/>
  <c r="FS105" i="31"/>
  <c r="FS115" i="29"/>
  <c r="FS185" i="29"/>
  <c r="CK115" i="29"/>
  <c r="CK105" i="31"/>
  <c r="IV105" i="31"/>
  <c r="IV185" i="29"/>
  <c r="IV115" i="29"/>
  <c r="G115" i="29"/>
  <c r="G105" i="31"/>
  <c r="ES115" i="29"/>
  <c r="ES105" i="31"/>
  <c r="S115" i="29"/>
  <c r="S105" i="31"/>
  <c r="FT105" i="31"/>
  <c r="FT185" i="29"/>
  <c r="FT115" i="29"/>
  <c r="HI105" i="31"/>
  <c r="HI115" i="29"/>
  <c r="HI185" i="29"/>
  <c r="JG105" i="31"/>
  <c r="JG115" i="29"/>
  <c r="JG185" i="29"/>
  <c r="HD105" i="31"/>
  <c r="HD115" i="29"/>
  <c r="HD185" i="29"/>
  <c r="DH115" i="29"/>
  <c r="DH105" i="31"/>
  <c r="P115" i="29"/>
  <c r="P105" i="31"/>
  <c r="AX115" i="29"/>
  <c r="AX105" i="31"/>
  <c r="CB115" i="29"/>
  <c r="CB105" i="31"/>
  <c r="FH105" i="31"/>
  <c r="FH115" i="29"/>
  <c r="FH185" i="29"/>
  <c r="GV105" i="31"/>
  <c r="GV185" i="29"/>
  <c r="GV115" i="29"/>
  <c r="IU105" i="31"/>
  <c r="IU185" i="29"/>
  <c r="IU115" i="29"/>
  <c r="BD115" i="29"/>
  <c r="BD105" i="31"/>
  <c r="EA115" i="29"/>
  <c r="EA105" i="31"/>
  <c r="AW115" i="29"/>
  <c r="AW105" i="31"/>
  <c r="M115" i="29"/>
  <c r="M105" i="31"/>
  <c r="HF150" i="29"/>
  <c r="HF119" i="31"/>
  <c r="FZ150" i="29"/>
  <c r="FZ119" i="31"/>
  <c r="GU150" i="29"/>
  <c r="GU119" i="31"/>
  <c r="GL150" i="29"/>
  <c r="GL119" i="31"/>
  <c r="GG185" i="29"/>
  <c r="FM115" i="29"/>
  <c r="HZ105" i="31"/>
  <c r="HZ115" i="29"/>
  <c r="HZ185" i="29"/>
  <c r="FF105" i="31"/>
  <c r="FF115" i="29"/>
  <c r="FF185" i="29"/>
  <c r="GA105" i="31"/>
  <c r="GA115" i="29"/>
  <c r="GA185" i="29"/>
  <c r="IG105" i="31"/>
  <c r="IG185" i="29"/>
  <c r="IG115" i="29"/>
  <c r="EQ115" i="29"/>
  <c r="EQ105" i="31"/>
  <c r="IN105" i="31"/>
  <c r="IN115" i="29"/>
  <c r="IN185" i="29"/>
  <c r="EB115" i="29"/>
  <c r="EB105" i="31"/>
  <c r="BV115" i="29"/>
  <c r="BV105" i="31"/>
  <c r="E115" i="29"/>
  <c r="E105" i="31"/>
  <c r="CI115" i="29"/>
  <c r="CI105" i="31"/>
  <c r="BC115" i="29"/>
  <c r="BC105" i="31"/>
  <c r="J115" i="29"/>
  <c r="J105" i="31"/>
  <c r="BA115" i="29"/>
  <c r="BA105" i="31"/>
  <c r="DN115" i="29"/>
  <c r="DN105" i="31"/>
  <c r="DX115" i="29"/>
  <c r="DX105" i="31"/>
  <c r="BH115" i="29"/>
  <c r="BH105" i="31"/>
  <c r="BN115" i="29"/>
  <c r="BN105" i="31"/>
  <c r="IX105" i="31"/>
  <c r="IX115" i="29"/>
  <c r="IX185" i="29"/>
  <c r="HN105" i="31"/>
  <c r="HN185" i="29"/>
  <c r="HN115" i="29"/>
  <c r="HT105" i="31"/>
  <c r="HT115" i="29"/>
  <c r="HT185" i="29"/>
  <c r="U115" i="29"/>
  <c r="U105" i="31"/>
  <c r="BB115" i="29"/>
  <c r="BB105" i="31"/>
  <c r="ID105" i="31"/>
  <c r="ID115" i="29"/>
  <c r="ID185" i="29"/>
  <c r="EG115" i="29"/>
  <c r="EG105" i="31"/>
  <c r="AQ115" i="29"/>
  <c r="AQ105" i="31"/>
  <c r="EO115" i="29"/>
  <c r="EO105" i="31"/>
  <c r="CX115" i="29"/>
  <c r="CX105" i="31"/>
  <c r="C115" i="29"/>
  <c r="C119" i="31" s="1"/>
  <c r="JL101" i="29"/>
  <c r="TL271" i="1"/>
  <c r="SO271" i="1"/>
  <c r="F115" i="29"/>
  <c r="F119" i="31" s="1"/>
  <c r="JM101" i="29"/>
  <c r="HO8" i="29"/>
  <c r="EQ8" i="29"/>
  <c r="DW8" i="29"/>
  <c r="CA8" i="29"/>
  <c r="ES8" i="29"/>
  <c r="EO8" i="29"/>
  <c r="DU8" i="29"/>
  <c r="JH8" i="29"/>
  <c r="ER8" i="29"/>
  <c r="EN8" i="29"/>
  <c r="DX8" i="29"/>
  <c r="EL8" i="29"/>
  <c r="EQ7" i="29"/>
  <c r="DW7" i="29"/>
  <c r="CA7" i="29"/>
  <c r="HJ8" i="29"/>
  <c r="HO7" i="29"/>
  <c r="HJ7" i="29"/>
  <c r="EP7" i="29"/>
  <c r="EL7" i="29"/>
  <c r="ES7" i="29"/>
  <c r="EO7" i="29"/>
  <c r="DU7" i="29"/>
  <c r="EP8" i="29"/>
  <c r="JH7" i="29"/>
  <c r="ER7" i="29"/>
  <c r="EN7" i="29"/>
  <c r="DX7" i="29"/>
  <c r="UU271" i="1"/>
  <c r="EU115" i="29"/>
  <c r="EU119" i="31" s="1"/>
  <c r="JN101" i="29"/>
  <c r="SO270" i="1"/>
  <c r="TR265" i="1"/>
  <c r="JP54" i="29"/>
  <c r="HL115" i="29"/>
  <c r="HL119" i="31" s="1"/>
  <c r="HL185" i="29"/>
  <c r="JO101" i="29"/>
  <c r="GE157" i="29"/>
  <c r="GE152" i="29"/>
  <c r="GE156" i="31" s="1"/>
  <c r="JP78" i="29"/>
  <c r="UO271" i="1"/>
  <c r="TR271" i="1"/>
  <c r="VB271" i="1"/>
  <c r="SV271" i="1"/>
  <c r="SO266" i="1"/>
  <c r="TY271" i="1"/>
  <c r="SI271" i="1"/>
  <c r="SV269" i="1"/>
  <c r="SO267" i="1"/>
  <c r="UU269" i="1"/>
  <c r="VB270" i="1"/>
  <c r="UO270" i="1"/>
  <c r="VB269" i="1"/>
  <c r="TR270" i="1"/>
  <c r="SV270" i="1"/>
  <c r="TY269" i="1"/>
  <c r="SI269" i="1"/>
  <c r="TR268" i="1"/>
  <c r="TR267" i="1"/>
  <c r="SO265" i="1"/>
  <c r="TR264" i="1"/>
  <c r="TY270" i="1"/>
  <c r="SI270" i="1"/>
  <c r="TL269" i="1"/>
  <c r="SO269" i="1"/>
  <c r="UU270" i="1"/>
  <c r="TL270" i="1"/>
  <c r="UO269" i="1"/>
  <c r="TR269" i="1"/>
  <c r="UU268" i="1"/>
  <c r="UO268" i="1"/>
  <c r="SI268" i="1"/>
  <c r="VB268" i="1"/>
  <c r="TL268" i="1"/>
  <c r="SV268" i="1"/>
  <c r="TY268" i="1"/>
  <c r="SO268" i="1"/>
  <c r="TR266" i="1"/>
  <c r="VB265" i="1"/>
  <c r="UU264" i="1"/>
  <c r="UU266" i="1"/>
  <c r="SO264" i="1"/>
  <c r="TY264" i="1"/>
  <c r="TY266" i="1"/>
  <c r="UU265" i="1"/>
  <c r="UO265" i="1"/>
  <c r="TL265" i="1"/>
  <c r="SI265" i="1"/>
  <c r="UO266" i="1"/>
  <c r="SI266" i="1"/>
  <c r="UO264" i="1"/>
  <c r="SI264" i="1"/>
  <c r="VB266" i="1"/>
  <c r="TL266" i="1"/>
  <c r="SV266" i="1"/>
  <c r="TY265" i="1"/>
  <c r="SV265" i="1"/>
  <c r="VB264" i="1"/>
  <c r="TL264" i="1"/>
  <c r="SV264" i="1"/>
  <c r="TY267" i="1"/>
  <c r="SV267" i="1"/>
  <c r="VB267" i="1"/>
  <c r="UU267" i="1"/>
  <c r="UO267" i="1"/>
  <c r="TL267" i="1"/>
  <c r="SI26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W622" i="10"/>
  <c r="GP12" i="29" s="1"/>
  <c r="GP12" i="31" s="1"/>
  <c r="AW621" i="10"/>
  <c r="GF12" i="29" s="1"/>
  <c r="GF12" i="31" s="1"/>
  <c r="AW620" i="10"/>
  <c r="FC12" i="29" s="1"/>
  <c r="FC12" i="31" s="1"/>
  <c r="AW619" i="10"/>
  <c r="IO12" i="29" s="1"/>
  <c r="IO12" i="31" s="1"/>
  <c r="AW618" i="10"/>
  <c r="JB12" i="29" s="1"/>
  <c r="JB12" i="31" s="1"/>
  <c r="AW617" i="10"/>
  <c r="AW616" i="10"/>
  <c r="DG12" i="29" s="1"/>
  <c r="DG12" i="31" s="1"/>
  <c r="AW615" i="10"/>
  <c r="I12" i="29" s="1"/>
  <c r="I12" i="31" s="1"/>
  <c r="AW614" i="10"/>
  <c r="V12" i="29" s="1"/>
  <c r="V12" i="31" s="1"/>
  <c r="AW613" i="10"/>
  <c r="GY12" i="29" s="1"/>
  <c r="GY12" i="31" s="1"/>
  <c r="AW612" i="10"/>
  <c r="U12" i="29" s="1"/>
  <c r="U12" i="31" s="1"/>
  <c r="AW611" i="10"/>
  <c r="HH12" i="29" s="1"/>
  <c r="HH12" i="31" s="1"/>
  <c r="AW610" i="10"/>
  <c r="DR12" i="29" s="1"/>
  <c r="DR12" i="31" s="1"/>
  <c r="AW609" i="10"/>
  <c r="BB12" i="29" s="1"/>
  <c r="BB12" i="31" s="1"/>
  <c r="AW608" i="10"/>
  <c r="IF12" i="29" s="1"/>
  <c r="IF12" i="31" s="1"/>
  <c r="AW607" i="10"/>
  <c r="HK12" i="29" s="1"/>
  <c r="HK12" i="31" s="1"/>
  <c r="AW606" i="10"/>
  <c r="ES12" i="29" s="1"/>
  <c r="ES12" i="31" s="1"/>
  <c r="AW605" i="10"/>
  <c r="CM12" i="29" s="1"/>
  <c r="CM12" i="31" s="1"/>
  <c r="AW604" i="10"/>
  <c r="AS12" i="29" s="1"/>
  <c r="AS12" i="31" s="1"/>
  <c r="AW603" i="10"/>
  <c r="FB12" i="29" s="1"/>
  <c r="FB12" i="31" s="1"/>
  <c r="AW602" i="10"/>
  <c r="FO12" i="29" s="1"/>
  <c r="FO12" i="31" s="1"/>
  <c r="AW601" i="10"/>
  <c r="IP12" i="29" s="1"/>
  <c r="IP12" i="31" s="1"/>
  <c r="AW600" i="10"/>
  <c r="JD12" i="29" s="1"/>
  <c r="JD12" i="31" s="1"/>
  <c r="AW599" i="10"/>
  <c r="BI12" i="29" s="1"/>
  <c r="BI12" i="31" s="1"/>
  <c r="AW598" i="10"/>
  <c r="EL12" i="29" s="1"/>
  <c r="EL12" i="31" s="1"/>
  <c r="AW597" i="10"/>
  <c r="Z12" i="29" s="1"/>
  <c r="Z12" i="31" s="1"/>
  <c r="AW596" i="10"/>
  <c r="Y12" i="29" s="1"/>
  <c r="Y12" i="31" s="1"/>
  <c r="AW595" i="10"/>
  <c r="EO12" i="29" s="1"/>
  <c r="EO12" i="31" s="1"/>
  <c r="AW594" i="10"/>
  <c r="GJ12" i="29" s="1"/>
  <c r="GJ12" i="31" s="1"/>
  <c r="AW593" i="10"/>
  <c r="FV12" i="29" s="1"/>
  <c r="FV12" i="31" s="1"/>
  <c r="AW592" i="10"/>
  <c r="DA12" i="29" s="1"/>
  <c r="DA12" i="31" s="1"/>
  <c r="AW591" i="10"/>
  <c r="BU12" i="29" s="1"/>
  <c r="BU12" i="31" s="1"/>
  <c r="AW590" i="10"/>
  <c r="CT12" i="29" s="1"/>
  <c r="CT12" i="31" s="1"/>
  <c r="AW589" i="10"/>
  <c r="BT12" i="29" s="1"/>
  <c r="BT12" i="31" s="1"/>
  <c r="AW588" i="10"/>
  <c r="D12" i="29" s="1"/>
  <c r="D12" i="31" s="1"/>
  <c r="AW587" i="10"/>
  <c r="ED12" i="29" s="1"/>
  <c r="ED12" i="31" s="1"/>
  <c r="AW586" i="10"/>
  <c r="AA12" i="29" s="1"/>
  <c r="AA12" i="31" s="1"/>
  <c r="AW585" i="10"/>
  <c r="AJ12" i="29" s="1"/>
  <c r="AJ12" i="31" s="1"/>
  <c r="AW584" i="10"/>
  <c r="AP12" i="29" s="1"/>
  <c r="AP12" i="31" s="1"/>
  <c r="AW583" i="10"/>
  <c r="CS12" i="29" s="1"/>
  <c r="CS12" i="31" s="1"/>
  <c r="AW582" i="10"/>
  <c r="HE12" i="29" s="1"/>
  <c r="HE12" i="31" s="1"/>
  <c r="AW581" i="10"/>
  <c r="BS12" i="29" s="1"/>
  <c r="BS12" i="31" s="1"/>
  <c r="AW580" i="10"/>
  <c r="FI12" i="29" s="1"/>
  <c r="FI12" i="31" s="1"/>
  <c r="AW579" i="10"/>
  <c r="Q12" i="29" s="1"/>
  <c r="Q12" i="31" s="1"/>
  <c r="AW578" i="10"/>
  <c r="AW577" i="10"/>
  <c r="GS12" i="29" s="1"/>
  <c r="GS12" i="31" s="1"/>
  <c r="AW576" i="10"/>
  <c r="IC12" i="29" s="1"/>
  <c r="IC12" i="31" s="1"/>
  <c r="AW575" i="10"/>
  <c r="HM12" i="29" s="1"/>
  <c r="HM12" i="31" s="1"/>
  <c r="AW574" i="10"/>
  <c r="AW573" i="10"/>
  <c r="JH12" i="29" s="1"/>
  <c r="JH12" i="31" s="1"/>
  <c r="AW572" i="10"/>
  <c r="DP12" i="29" s="1"/>
  <c r="DP12" i="31" s="1"/>
  <c r="AW571" i="10"/>
  <c r="AL12" i="29" s="1"/>
  <c r="AL12" i="31" s="1"/>
  <c r="AW570" i="10"/>
  <c r="BC12" i="29" s="1"/>
  <c r="BC12" i="31" s="1"/>
  <c r="AW569" i="10"/>
  <c r="DC12" i="29" s="1"/>
  <c r="DC12" i="31" s="1"/>
  <c r="AW568" i="10"/>
  <c r="IH12" i="29" s="1"/>
  <c r="IH12" i="31" s="1"/>
  <c r="AW567" i="10"/>
  <c r="JA12" i="29" s="1"/>
  <c r="JA12" i="31" s="1"/>
  <c r="AW566" i="10"/>
  <c r="BD12" i="29" s="1"/>
  <c r="BD12" i="31" s="1"/>
  <c r="AW565" i="10"/>
  <c r="AR12" i="29" s="1"/>
  <c r="AR12" i="31" s="1"/>
  <c r="AW564" i="10"/>
  <c r="DF12" i="29" s="1"/>
  <c r="DF12" i="31" s="1"/>
  <c r="AW563" i="10"/>
  <c r="AU12" i="29" s="1"/>
  <c r="AU12" i="31" s="1"/>
  <c r="AW562" i="10"/>
  <c r="AW561" i="10"/>
  <c r="AC12" i="29" s="1"/>
  <c r="AW560" i="10"/>
  <c r="DT12" i="29" s="1"/>
  <c r="DT12" i="31" s="1"/>
  <c r="AW559" i="10"/>
  <c r="EX12" i="29" s="1"/>
  <c r="EX12" i="31" s="1"/>
  <c r="AW558" i="10"/>
  <c r="AI12" i="29" s="1"/>
  <c r="AI12" i="31" s="1"/>
  <c r="AW557" i="10"/>
  <c r="DU12" i="29" s="1"/>
  <c r="DU12" i="31" s="1"/>
  <c r="AW556" i="10"/>
  <c r="CJ12" i="29" s="1"/>
  <c r="CJ12" i="31" s="1"/>
  <c r="AW555" i="10"/>
  <c r="DK12" i="29" s="1"/>
  <c r="DK12" i="31" s="1"/>
  <c r="AW554" i="10"/>
  <c r="AF12" i="29" s="1"/>
  <c r="AF12" i="31" s="1"/>
  <c r="AW553" i="10"/>
  <c r="BY12" i="29" s="1"/>
  <c r="BY12" i="31" s="1"/>
  <c r="AW552" i="10"/>
  <c r="FW12" i="29" s="1"/>
  <c r="FW12" i="31" s="1"/>
  <c r="AW551" i="10"/>
  <c r="IG12" i="29" s="1"/>
  <c r="IG12" i="31" s="1"/>
  <c r="AW550" i="10"/>
  <c r="AW12" i="29" s="1"/>
  <c r="AW12" i="31" s="1"/>
  <c r="AW549" i="10"/>
  <c r="AQ12" i="29" s="1"/>
  <c r="AQ12" i="31" s="1"/>
  <c r="AW548" i="10"/>
  <c r="IS12" i="29" s="1"/>
  <c r="IS12" i="31" s="1"/>
  <c r="AW547" i="10"/>
  <c r="BA12" i="29" s="1"/>
  <c r="BA12" i="31" s="1"/>
  <c r="AW546" i="10"/>
  <c r="CX12" i="29" s="1"/>
  <c r="CX12" i="31" s="1"/>
  <c r="AW545" i="10"/>
  <c r="HD12" i="29" s="1"/>
  <c r="HD12" i="31" s="1"/>
  <c r="AW544" i="10"/>
  <c r="IK12" i="29" s="1"/>
  <c r="IK12" i="31" s="1"/>
  <c r="AW543" i="10"/>
  <c r="BQ12" i="29" s="1"/>
  <c r="BQ12" i="31" s="1"/>
  <c r="AW542" i="10"/>
  <c r="H12" i="29" s="1"/>
  <c r="H12" i="31" s="1"/>
  <c r="AW541" i="10"/>
  <c r="W12" i="29" s="1"/>
  <c r="W12" i="31" s="1"/>
  <c r="AW540" i="10"/>
  <c r="DW12" i="29" s="1"/>
  <c r="DW12" i="31" s="1"/>
  <c r="AW539" i="10"/>
  <c r="FZ12" i="29" s="1"/>
  <c r="FZ12" i="31" s="1"/>
  <c r="AW538" i="10"/>
  <c r="CW12" i="29" s="1"/>
  <c r="CW12" i="31" s="1"/>
  <c r="AW537" i="10"/>
  <c r="EQ12" i="29" s="1"/>
  <c r="EQ12" i="31" s="1"/>
  <c r="AW536" i="10"/>
  <c r="GT12" i="29" s="1"/>
  <c r="GT12" i="31" s="1"/>
  <c r="AW535" i="10"/>
  <c r="AW534" i="10"/>
  <c r="IU12" i="29" s="1"/>
  <c r="IU12" i="31" s="1"/>
  <c r="AW533" i="10"/>
  <c r="GM12" i="29" s="1"/>
  <c r="GM12" i="31" s="1"/>
  <c r="AW532" i="10"/>
  <c r="DE12" i="29" s="1"/>
  <c r="DE12" i="31" s="1"/>
  <c r="AW531" i="10"/>
  <c r="IY12" i="29" s="1"/>
  <c r="IY12" i="31" s="1"/>
  <c r="AW530" i="10"/>
  <c r="ET12" i="29" s="1"/>
  <c r="ET12" i="31" s="1"/>
  <c r="AW529" i="10"/>
  <c r="EG12" i="29" s="1"/>
  <c r="EG12" i="31" s="1"/>
  <c r="AW528" i="10"/>
  <c r="GK12" i="29" s="1"/>
  <c r="GK12" i="31" s="1"/>
  <c r="AW527" i="10"/>
  <c r="DB12" i="29" s="1"/>
  <c r="DB12" i="31" s="1"/>
  <c r="AW526" i="10"/>
  <c r="GX12" i="29" s="1"/>
  <c r="GX12" i="31" s="1"/>
  <c r="AW525" i="10"/>
  <c r="BP12" i="29" s="1"/>
  <c r="BP12" i="31" s="1"/>
  <c r="AW524" i="10"/>
  <c r="P12" i="29" s="1"/>
  <c r="P12" i="31" s="1"/>
  <c r="AW523" i="10"/>
  <c r="CB12" i="29" s="1"/>
  <c r="CB12" i="31" s="1"/>
  <c r="AW522" i="10"/>
  <c r="CP12" i="29" s="1"/>
  <c r="CP12" i="31" s="1"/>
  <c r="AW521" i="10"/>
  <c r="CI12" i="29" s="1"/>
  <c r="CI12" i="31" s="1"/>
  <c r="AW520" i="10"/>
  <c r="HV12" i="29" s="1"/>
  <c r="HV12" i="31" s="1"/>
  <c r="AW519" i="10"/>
  <c r="IN12" i="29" s="1"/>
  <c r="IN12" i="31" s="1"/>
  <c r="AW518" i="10"/>
  <c r="O12" i="29" s="1"/>
  <c r="O12" i="31" s="1"/>
  <c r="AW517" i="10"/>
  <c r="HS12" i="29" s="1"/>
  <c r="HS12" i="31" s="1"/>
  <c r="AW516" i="10"/>
  <c r="DJ12" i="29" s="1"/>
  <c r="DJ12" i="31" s="1"/>
  <c r="AW515" i="10"/>
  <c r="BW12" i="29" s="1"/>
  <c r="BW12" i="31" s="1"/>
  <c r="AW514" i="10"/>
  <c r="AD12" i="29" s="1"/>
  <c r="AD12" i="31" s="1"/>
  <c r="AW513" i="10"/>
  <c r="FM12" i="29" s="1"/>
  <c r="FM12" i="31" s="1"/>
  <c r="AW512" i="10"/>
  <c r="JE12" i="29" s="1"/>
  <c r="JE12" i="31" s="1"/>
  <c r="AW511" i="10"/>
  <c r="AE12" i="29" s="1"/>
  <c r="AE12" i="31" s="1"/>
  <c r="AW510" i="10"/>
  <c r="FJ12" i="29" s="1"/>
  <c r="FJ12" i="31" s="1"/>
  <c r="AW509" i="10"/>
  <c r="T12" i="29" s="1"/>
  <c r="T12" i="31" s="1"/>
  <c r="AW508" i="10"/>
  <c r="EZ12" i="29" s="1"/>
  <c r="EZ12" i="31" s="1"/>
  <c r="AW507" i="10"/>
  <c r="HN12" i="29" s="1"/>
  <c r="HN12" i="31" s="1"/>
  <c r="AW506" i="10"/>
  <c r="CR12" i="29" s="1"/>
  <c r="CR12" i="31" s="1"/>
  <c r="AW505" i="10"/>
  <c r="F12" i="29" s="1"/>
  <c r="F12" i="31" s="1"/>
  <c r="AW504" i="10"/>
  <c r="DS12" i="29" s="1"/>
  <c r="DS12" i="31" s="1"/>
  <c r="AW503" i="10"/>
  <c r="DM12" i="29" s="1"/>
  <c r="DM12" i="31" s="1"/>
  <c r="AW502" i="10"/>
  <c r="BZ12" i="29" s="1"/>
  <c r="BZ12" i="31" s="1"/>
  <c r="AW501" i="10"/>
  <c r="HJ12" i="29" s="1"/>
  <c r="HJ12" i="31" s="1"/>
  <c r="AW500" i="10"/>
  <c r="BE12" i="29" s="1"/>
  <c r="BE12" i="31" s="1"/>
  <c r="AW499" i="10"/>
  <c r="JC12" i="29" s="1"/>
  <c r="JC12" i="31" s="1"/>
  <c r="AW498" i="10"/>
  <c r="CD12" i="29" s="1"/>
  <c r="CD12" i="31" s="1"/>
  <c r="AW497" i="10"/>
  <c r="CV12" i="29" s="1"/>
  <c r="CV12" i="31" s="1"/>
  <c r="AW496" i="10"/>
  <c r="DV12" i="29" s="1"/>
  <c r="DV12" i="31" s="1"/>
  <c r="AW495" i="10"/>
  <c r="IZ12" i="29" s="1"/>
  <c r="IZ12" i="31" s="1"/>
  <c r="AW494" i="10"/>
  <c r="BG12" i="29" s="1"/>
  <c r="BG12" i="31" s="1"/>
  <c r="AW493" i="10"/>
  <c r="IT12" i="29" s="1"/>
  <c r="IT12" i="31" s="1"/>
  <c r="AW492" i="10"/>
  <c r="S12" i="29" s="1"/>
  <c r="S12" i="31" s="1"/>
  <c r="AW491" i="10"/>
  <c r="FQ12" i="29" s="1"/>
  <c r="FQ12" i="31" s="1"/>
  <c r="AW490" i="10"/>
  <c r="EF12" i="29" s="1"/>
  <c r="EF12" i="31" s="1"/>
  <c r="AW489" i="10"/>
  <c r="HT12" i="29" s="1"/>
  <c r="HT12" i="31" s="1"/>
  <c r="AW488" i="10"/>
  <c r="AK12" i="29" s="1"/>
  <c r="AK12" i="31" s="1"/>
  <c r="AW487" i="10"/>
  <c r="IW12" i="29" s="1"/>
  <c r="IW12" i="31" s="1"/>
  <c r="AW486" i="10"/>
  <c r="GU12" i="29" s="1"/>
  <c r="GU12" i="31" s="1"/>
  <c r="AW485" i="10"/>
  <c r="EP12" i="29" s="1"/>
  <c r="EP12" i="31" s="1"/>
  <c r="AW484" i="10"/>
  <c r="CE12" i="29" s="1"/>
  <c r="CE12" i="31" s="1"/>
  <c r="AW483" i="10"/>
  <c r="EN12" i="29" s="1"/>
  <c r="EN12" i="31" s="1"/>
  <c r="AW482" i="10"/>
  <c r="FG12" i="29" s="1"/>
  <c r="FG12" i="31" s="1"/>
  <c r="AW481" i="10"/>
  <c r="EU12" i="29" s="1"/>
  <c r="EU12" i="31" s="1"/>
  <c r="AW480" i="10"/>
  <c r="II12" i="29" s="1"/>
  <c r="II12" i="31" s="1"/>
  <c r="AW479" i="10"/>
  <c r="HF12" i="29" s="1"/>
  <c r="HF12" i="31" s="1"/>
  <c r="AW478" i="10"/>
  <c r="FK12" i="29" s="1"/>
  <c r="FK12" i="31" s="1"/>
  <c r="AW477" i="10"/>
  <c r="HB12" i="29" s="1"/>
  <c r="HB12" i="31" s="1"/>
  <c r="AW476" i="10"/>
  <c r="FY12" i="29" s="1"/>
  <c r="FY12" i="31" s="1"/>
  <c r="AW475" i="10"/>
  <c r="BN12" i="29" s="1"/>
  <c r="BN12" i="31" s="1"/>
  <c r="AW474" i="10"/>
  <c r="HZ12" i="29" s="1"/>
  <c r="HZ12" i="31" s="1"/>
  <c r="AW473" i="10"/>
  <c r="N12" i="29" s="1"/>
  <c r="N12" i="31" s="1"/>
  <c r="AW472" i="10"/>
  <c r="AW471" i="10"/>
  <c r="HL12" i="29" s="1"/>
  <c r="HL12" i="31" s="1"/>
  <c r="AW470" i="10"/>
  <c r="EY12" i="29" s="1"/>
  <c r="EY12" i="31" s="1"/>
  <c r="AW469" i="10"/>
  <c r="GR12" i="29" s="1"/>
  <c r="GR12" i="31" s="1"/>
  <c r="AW468" i="10"/>
  <c r="J12" i="29" s="1"/>
  <c r="J12" i="31" s="1"/>
  <c r="AW467" i="10"/>
  <c r="FF12" i="29" s="1"/>
  <c r="FF12" i="31" s="1"/>
  <c r="AW466" i="10"/>
  <c r="GI12" i="29" s="1"/>
  <c r="GI12" i="31" s="1"/>
  <c r="AW465" i="10"/>
  <c r="HY12" i="29" s="1"/>
  <c r="HY12" i="31" s="1"/>
  <c r="AW464" i="10"/>
  <c r="HP12" i="29" s="1"/>
  <c r="HP12" i="31" s="1"/>
  <c r="AW463" i="10"/>
  <c r="FS12" i="29" s="1"/>
  <c r="FS12" i="31" s="1"/>
  <c r="AW462" i="10"/>
  <c r="CH12" i="29" s="1"/>
  <c r="CH12" i="31" s="1"/>
  <c r="AW461" i="10"/>
  <c r="DO12" i="29" s="1"/>
  <c r="DO12" i="31" s="1"/>
  <c r="AW460" i="10"/>
  <c r="GL12" i="29" s="1"/>
  <c r="GL12" i="31" s="1"/>
  <c r="AW459" i="10"/>
  <c r="DQ12" i="29" s="1"/>
  <c r="DQ12" i="31" s="1"/>
  <c r="AW458" i="10"/>
  <c r="FU12" i="29" s="1"/>
  <c r="FU12" i="31" s="1"/>
  <c r="AW457" i="10"/>
  <c r="AV12" i="29" s="1"/>
  <c r="AV12" i="31" s="1"/>
  <c r="AW456" i="10"/>
  <c r="EM12" i="29" s="1"/>
  <c r="EM12" i="31" s="1"/>
  <c r="AW455" i="10"/>
  <c r="AW454" i="10"/>
  <c r="AW453" i="10"/>
  <c r="AW452" i="10"/>
  <c r="GV12" i="29" s="1"/>
  <c r="GV12" i="31" s="1"/>
  <c r="AW451" i="10"/>
  <c r="AW450" i="10"/>
  <c r="HA12" i="29" s="1"/>
  <c r="HA12" i="31" s="1"/>
  <c r="AW449" i="10"/>
  <c r="IJ12" i="29" s="1"/>
  <c r="IJ12" i="31" s="1"/>
  <c r="AW448" i="10"/>
  <c r="EV12" i="29" s="1"/>
  <c r="EV12" i="31" s="1"/>
  <c r="AW447" i="10"/>
  <c r="FP12" i="29" s="1"/>
  <c r="FP12" i="31" s="1"/>
  <c r="AW446" i="10"/>
  <c r="EJ12" i="29" s="1"/>
  <c r="EJ12" i="31" s="1"/>
  <c r="AW445" i="10"/>
  <c r="R12" i="29" s="1"/>
  <c r="R12" i="31" s="1"/>
  <c r="AW444" i="10"/>
  <c r="EB12" i="29" s="1"/>
  <c r="EB12" i="31" s="1"/>
  <c r="AW443" i="10"/>
  <c r="AW442" i="10"/>
  <c r="GG12" i="29" s="1"/>
  <c r="GG12" i="31" s="1"/>
  <c r="AW441" i="10"/>
  <c r="IR12" i="29" s="1"/>
  <c r="IR12" i="31" s="1"/>
  <c r="AW440" i="10"/>
  <c r="GE12" i="29" s="1"/>
  <c r="GE12" i="31" s="1"/>
  <c r="AW439" i="10"/>
  <c r="AW438" i="10"/>
  <c r="IA12" i="29" s="1"/>
  <c r="IA12" i="31" s="1"/>
  <c r="AW437" i="10"/>
  <c r="DZ12" i="29" s="1"/>
  <c r="DZ12" i="31" s="1"/>
  <c r="AW436" i="10"/>
  <c r="AW435" i="10"/>
  <c r="HI12" i="29" s="1"/>
  <c r="HI12" i="31" s="1"/>
  <c r="AW434" i="10"/>
  <c r="HX12" i="29" s="1"/>
  <c r="HX12" i="31" s="1"/>
  <c r="AW433" i="10"/>
  <c r="DD12" i="29" s="1"/>
  <c r="DD12" i="31" s="1"/>
  <c r="AW432" i="10"/>
  <c r="EH12" i="29" s="1"/>
  <c r="EH12" i="31" s="1"/>
  <c r="AW431" i="10"/>
  <c r="IQ12" i="29" s="1"/>
  <c r="IQ12" i="31" s="1"/>
  <c r="AW430" i="10"/>
  <c r="G12" i="29" s="1"/>
  <c r="G12" i="31" s="1"/>
  <c r="AW429" i="10"/>
  <c r="HO12" i="29" s="1"/>
  <c r="HO12" i="31" s="1"/>
  <c r="AW428" i="10"/>
  <c r="GO12" i="29" s="1"/>
  <c r="GO12" i="31" s="1"/>
  <c r="AW427" i="10"/>
  <c r="EW12" i="29" s="1"/>
  <c r="EW12" i="31" s="1"/>
  <c r="AW426" i="10"/>
  <c r="DX12" i="29" s="1"/>
  <c r="DX12" i="31" s="1"/>
  <c r="AW425" i="10"/>
  <c r="AW424" i="10"/>
  <c r="IV12" i="29" s="1"/>
  <c r="IV12" i="31" s="1"/>
  <c r="AW423" i="10"/>
  <c r="AW422" i="10"/>
  <c r="HR12" i="29" s="1"/>
  <c r="HR12" i="31" s="1"/>
  <c r="AW421" i="10"/>
  <c r="AW420" i="10"/>
  <c r="HQ12" i="29" s="1"/>
  <c r="HQ12" i="31" s="1"/>
  <c r="AW419" i="10"/>
  <c r="GA12" i="29" s="1"/>
  <c r="GA12" i="31" s="1"/>
  <c r="AW418" i="10"/>
  <c r="L12" i="29" s="1"/>
  <c r="L12" i="31" s="1"/>
  <c r="AW417" i="10"/>
  <c r="EA12" i="29" s="1"/>
  <c r="EA12" i="31" s="1"/>
  <c r="AW416" i="10"/>
  <c r="E12" i="29" s="1"/>
  <c r="E12" i="31" s="1"/>
  <c r="AW415" i="10"/>
  <c r="CY12" i="29" s="1"/>
  <c r="CY12" i="31" s="1"/>
  <c r="AW414" i="10"/>
  <c r="GC12" i="29" s="1"/>
  <c r="GC12" i="31" s="1"/>
  <c r="AW413" i="10"/>
  <c r="BM12" i="29" s="1"/>
  <c r="BM12" i="31" s="1"/>
  <c r="AW412" i="10"/>
  <c r="BR12" i="29" s="1"/>
  <c r="BR12" i="31" s="1"/>
  <c r="AW411" i="10"/>
  <c r="AW410" i="10"/>
  <c r="GW12" i="29" s="1"/>
  <c r="GW12" i="31" s="1"/>
  <c r="AW409" i="10"/>
  <c r="CC12" i="29" s="1"/>
  <c r="CC12" i="31" s="1"/>
  <c r="AW408" i="10"/>
  <c r="HW12" i="29" s="1"/>
  <c r="HW12" i="31" s="1"/>
  <c r="AW407" i="10"/>
  <c r="HG12" i="29" s="1"/>
  <c r="HG12" i="31" s="1"/>
  <c r="AW406" i="10"/>
  <c r="CL12" i="29" s="1"/>
  <c r="CL12" i="31" s="1"/>
  <c r="AW405" i="10"/>
  <c r="IE12" i="29" s="1"/>
  <c r="IE12" i="31" s="1"/>
  <c r="AW404" i="10"/>
  <c r="CZ12" i="29" s="1"/>
  <c r="CZ12" i="31" s="1"/>
  <c r="AW403" i="10"/>
  <c r="BO12" i="29" s="1"/>
  <c r="BO12" i="31" s="1"/>
  <c r="AW402" i="10"/>
  <c r="IB12" i="29" s="1"/>
  <c r="IB12" i="31" s="1"/>
  <c r="AW401" i="10"/>
  <c r="AM12" i="29" s="1"/>
  <c r="AM12" i="31" s="1"/>
  <c r="AW400" i="10"/>
  <c r="BJ12" i="29" s="1"/>
  <c r="BJ12" i="31" s="1"/>
  <c r="AW399" i="10"/>
  <c r="FD12" i="29" s="1"/>
  <c r="FD12" i="31" s="1"/>
  <c r="AW398" i="10"/>
  <c r="GH12" i="29" s="1"/>
  <c r="GH12" i="31" s="1"/>
  <c r="AW397" i="10"/>
  <c r="AZ12" i="29" s="1"/>
  <c r="AZ12" i="31" s="1"/>
  <c r="AW396" i="10"/>
  <c r="EK12" i="29" s="1"/>
  <c r="EK12" i="31" s="1"/>
  <c r="AW395" i="10"/>
  <c r="AW394" i="10"/>
  <c r="AT12" i="29" s="1"/>
  <c r="AT12" i="31" s="1"/>
  <c r="AW393" i="10"/>
  <c r="BK12" i="29" s="1"/>
  <c r="BK12" i="31" s="1"/>
  <c r="AW392" i="10"/>
  <c r="X12" i="29" s="1"/>
  <c r="X12" i="31" s="1"/>
  <c r="AW391" i="10"/>
  <c r="CO12" i="29" s="1"/>
  <c r="CO12" i="31" s="1"/>
  <c r="AW390" i="10"/>
  <c r="BV12" i="29" s="1"/>
  <c r="BV12" i="31" s="1"/>
  <c r="AW389" i="10"/>
  <c r="DN12" i="29" s="1"/>
  <c r="DN12" i="31" s="1"/>
  <c r="AW388" i="10"/>
  <c r="HC12" i="29" s="1"/>
  <c r="HC12" i="31" s="1"/>
  <c r="AW387" i="10"/>
  <c r="EE12" i="29" s="1"/>
  <c r="EE12" i="31" s="1"/>
  <c r="AW386" i="10"/>
  <c r="JG12" i="29" s="1"/>
  <c r="JG12" i="31" s="1"/>
  <c r="AW385" i="10"/>
  <c r="M12" i="29" s="1"/>
  <c r="M12" i="31" s="1"/>
  <c r="AW384" i="10"/>
  <c r="BX12" i="29" s="1"/>
  <c r="BX12" i="31" s="1"/>
  <c r="AW383" i="10"/>
  <c r="FL12" i="29" s="1"/>
  <c r="FL12" i="31" s="1"/>
  <c r="AW382" i="10"/>
  <c r="ID12" i="29" s="1"/>
  <c r="ID12" i="31" s="1"/>
  <c r="AW381" i="10"/>
  <c r="CK12" i="29" s="1"/>
  <c r="CK12" i="31" s="1"/>
  <c r="AW380" i="10"/>
  <c r="AY12" i="29" s="1"/>
  <c r="AY12" i="31" s="1"/>
  <c r="AW379" i="10"/>
  <c r="CQ12" i="29" s="1"/>
  <c r="CQ12" i="31" s="1"/>
  <c r="AW378" i="10"/>
  <c r="AO12" i="29" s="1"/>
  <c r="AO12" i="31" s="1"/>
  <c r="AW377" i="10"/>
  <c r="IM12" i="29" s="1"/>
  <c r="IM12" i="31" s="1"/>
  <c r="AW376" i="10"/>
  <c r="IL12" i="29" s="1"/>
  <c r="IL12" i="31" s="1"/>
  <c r="AW375" i="10"/>
  <c r="CF12" i="29" s="1"/>
  <c r="CF12" i="31" s="1"/>
  <c r="AW374" i="10"/>
  <c r="DL12" i="29" s="1"/>
  <c r="DL12" i="31" s="1"/>
  <c r="AW373" i="10"/>
  <c r="GB12" i="29" s="1"/>
  <c r="GB12" i="31" s="1"/>
  <c r="AW372" i="10"/>
  <c r="AB12" i="29" s="1"/>
  <c r="AB12" i="31" s="1"/>
  <c r="AW371" i="10"/>
  <c r="EI12" i="29" s="1"/>
  <c r="EI12" i="31" s="1"/>
  <c r="AW370" i="10"/>
  <c r="K12" i="29" s="1"/>
  <c r="K12" i="31" s="1"/>
  <c r="AW369" i="10"/>
  <c r="CN12" i="29" s="1"/>
  <c r="CN12" i="31" s="1"/>
  <c r="AW368" i="10"/>
  <c r="DY12" i="29" s="1"/>
  <c r="DY12" i="31" s="1"/>
  <c r="AW367" i="10"/>
  <c r="FE12" i="29" s="1"/>
  <c r="FE12" i="31" s="1"/>
  <c r="AW366" i="10"/>
  <c r="ER12" i="29" s="1"/>
  <c r="ER12" i="31" s="1"/>
  <c r="AW365" i="10"/>
  <c r="FX12" i="29" s="1"/>
  <c r="FX12" i="31" s="1"/>
  <c r="AW364" i="10"/>
  <c r="C12" i="29" s="1"/>
  <c r="C12" i="31" s="1"/>
  <c r="JL12" i="31" s="1"/>
  <c r="AW363" i="10"/>
  <c r="FA12" i="29" s="1"/>
  <c r="FA12" i="31" s="1"/>
  <c r="AW362" i="10"/>
  <c r="FH12" i="29" s="1"/>
  <c r="FH12" i="31" s="1"/>
  <c r="AW361" i="10"/>
  <c r="EC12" i="29" s="1"/>
  <c r="EC12" i="31" s="1"/>
  <c r="AW360" i="10"/>
  <c r="IX12" i="29" s="1"/>
  <c r="IX12" i="31" s="1"/>
  <c r="AW359" i="10"/>
  <c r="AH12" i="29" s="1"/>
  <c r="AH12" i="31" s="1"/>
  <c r="AW358" i="10"/>
  <c r="DI12" i="29" s="1"/>
  <c r="DI12" i="31" s="1"/>
  <c r="AW357" i="10"/>
  <c r="JF12" i="29" s="1"/>
  <c r="JF12" i="31" s="1"/>
  <c r="AW356" i="10"/>
  <c r="BH12" i="29" s="1"/>
  <c r="BH12" i="31" s="1"/>
  <c r="AW355" i="10"/>
  <c r="GQ12" i="29" s="1"/>
  <c r="GQ12" i="31" s="1"/>
  <c r="AW354" i="10"/>
  <c r="AN12" i="29" s="1"/>
  <c r="AN12" i="31" s="1"/>
  <c r="AW353" i="10"/>
  <c r="HU12" i="29" s="1"/>
  <c r="HU12" i="31" s="1"/>
  <c r="AW352" i="10"/>
  <c r="AX12" i="29" s="1"/>
  <c r="AX12" i="31" s="1"/>
  <c r="AW351" i="10"/>
  <c r="DH12" i="29" s="1"/>
  <c r="DH12" i="31" s="1"/>
  <c r="AW350" i="10"/>
  <c r="CU12" i="29" s="1"/>
  <c r="CU12" i="31" s="1"/>
  <c r="AW349" i="10"/>
  <c r="GN12" i="29" s="1"/>
  <c r="GN12" i="31" s="1"/>
  <c r="AW348" i="10"/>
  <c r="CG12" i="29" s="1"/>
  <c r="CG12" i="31" s="1"/>
  <c r="AW347" i="10"/>
  <c r="FN12" i="29" s="1"/>
  <c r="FN12" i="31" s="1"/>
  <c r="AW346" i="10"/>
  <c r="BF12" i="29" s="1"/>
  <c r="BF12" i="31" s="1"/>
  <c r="AW345" i="10"/>
  <c r="FT12" i="29" s="1"/>
  <c r="FT12" i="31" s="1"/>
  <c r="AW344" i="10"/>
  <c r="GD12" i="29" s="1"/>
  <c r="GD12" i="31" s="1"/>
  <c r="AW343" i="10"/>
  <c r="AG12" i="29" s="1"/>
  <c r="AG12" i="31" s="1"/>
  <c r="AV622" i="10"/>
  <c r="AV621" i="10"/>
  <c r="AV620" i="10"/>
  <c r="AV619" i="10"/>
  <c r="AV618" i="10"/>
  <c r="AV617" i="10"/>
  <c r="AV616" i="10"/>
  <c r="AV615" i="10"/>
  <c r="AV614" i="10"/>
  <c r="AV613" i="10"/>
  <c r="AV612" i="10"/>
  <c r="AV611" i="10"/>
  <c r="AV610" i="10"/>
  <c r="AV609" i="10"/>
  <c r="AV608" i="10"/>
  <c r="AV607" i="10"/>
  <c r="AV606" i="10"/>
  <c r="AV605" i="10"/>
  <c r="AV604" i="10"/>
  <c r="AV603" i="10"/>
  <c r="AV602" i="10"/>
  <c r="AV601" i="10"/>
  <c r="AV600" i="10"/>
  <c r="AV599" i="10"/>
  <c r="AV598" i="10"/>
  <c r="AV597" i="10"/>
  <c r="AV596" i="10"/>
  <c r="AV595" i="10"/>
  <c r="AV594" i="10"/>
  <c r="AV593" i="10"/>
  <c r="AV592" i="10"/>
  <c r="AV591" i="10"/>
  <c r="AV590" i="10"/>
  <c r="AV589" i="10"/>
  <c r="AV588" i="10"/>
  <c r="AV587" i="10"/>
  <c r="AV586" i="10"/>
  <c r="AV585" i="10"/>
  <c r="AV584" i="10"/>
  <c r="AV583" i="10"/>
  <c r="AV582" i="10"/>
  <c r="AV581" i="10"/>
  <c r="AV580" i="10"/>
  <c r="AV579" i="10"/>
  <c r="AV578" i="10"/>
  <c r="AV577" i="10"/>
  <c r="AV576" i="10"/>
  <c r="AV575" i="10"/>
  <c r="AV574" i="10"/>
  <c r="AV573" i="10"/>
  <c r="AV572" i="10"/>
  <c r="AV571" i="10"/>
  <c r="AV570" i="10"/>
  <c r="AV569" i="10"/>
  <c r="AV568" i="10"/>
  <c r="AV567" i="10"/>
  <c r="AV566" i="10"/>
  <c r="AV565" i="10"/>
  <c r="AV564" i="10"/>
  <c r="AV563" i="10"/>
  <c r="AV562" i="10"/>
  <c r="AV561" i="10"/>
  <c r="AV560" i="10"/>
  <c r="AV559" i="10"/>
  <c r="AV558" i="10"/>
  <c r="AV557" i="10"/>
  <c r="AV556" i="10"/>
  <c r="AV555" i="10"/>
  <c r="AV554" i="10"/>
  <c r="AV553" i="10"/>
  <c r="AV552" i="10"/>
  <c r="AV551" i="10"/>
  <c r="AV550" i="10"/>
  <c r="AV549" i="10"/>
  <c r="AV548" i="10"/>
  <c r="AV547" i="10"/>
  <c r="AV546" i="10"/>
  <c r="AV545" i="10"/>
  <c r="AV544" i="10"/>
  <c r="AV543" i="10"/>
  <c r="AV542" i="10"/>
  <c r="AV541" i="10"/>
  <c r="AV540" i="10"/>
  <c r="AV539" i="10"/>
  <c r="AV538" i="10"/>
  <c r="AV537" i="10"/>
  <c r="AV536" i="10"/>
  <c r="AV535" i="10"/>
  <c r="AV534" i="10"/>
  <c r="AV533" i="10"/>
  <c r="AV532" i="10"/>
  <c r="AV531" i="10"/>
  <c r="AV530" i="10"/>
  <c r="AV529" i="10"/>
  <c r="AV528" i="10"/>
  <c r="AV527" i="10"/>
  <c r="AV526" i="10"/>
  <c r="AV525" i="10"/>
  <c r="AV524" i="10"/>
  <c r="AV523" i="10"/>
  <c r="AV522" i="10"/>
  <c r="AV521" i="10"/>
  <c r="AV520" i="10"/>
  <c r="AV519" i="10"/>
  <c r="AV518" i="10"/>
  <c r="AV517" i="10"/>
  <c r="AV516" i="10"/>
  <c r="AV515" i="10"/>
  <c r="AV514" i="10"/>
  <c r="AV513" i="10"/>
  <c r="AV512" i="10"/>
  <c r="AV511" i="10"/>
  <c r="AV510" i="10"/>
  <c r="AV509" i="10"/>
  <c r="AV508" i="10"/>
  <c r="AV507" i="10"/>
  <c r="AV506" i="10"/>
  <c r="AV505" i="10"/>
  <c r="AV504" i="10"/>
  <c r="AV503" i="10"/>
  <c r="AV502" i="10"/>
  <c r="AV501" i="10"/>
  <c r="AV500" i="10"/>
  <c r="AV499" i="10"/>
  <c r="AV498" i="10"/>
  <c r="AV497" i="10"/>
  <c r="AV496" i="10"/>
  <c r="AV495" i="10"/>
  <c r="AV494" i="10"/>
  <c r="AV493" i="10"/>
  <c r="AV492" i="10"/>
  <c r="AV491" i="10"/>
  <c r="AV490" i="10"/>
  <c r="AV489" i="10"/>
  <c r="AV488" i="10"/>
  <c r="AV487" i="10"/>
  <c r="AV486" i="10"/>
  <c r="AV485" i="10"/>
  <c r="AV484" i="10"/>
  <c r="AV483" i="10"/>
  <c r="AV482" i="10"/>
  <c r="AV481" i="10"/>
  <c r="AV480" i="10"/>
  <c r="AV479" i="10"/>
  <c r="AV478" i="10"/>
  <c r="AV477" i="10"/>
  <c r="AV476" i="10"/>
  <c r="AV475" i="10"/>
  <c r="AV474" i="10"/>
  <c r="AV473" i="10"/>
  <c r="AV472" i="10"/>
  <c r="AV471" i="10"/>
  <c r="AV470" i="10"/>
  <c r="AV469" i="10"/>
  <c r="AV468" i="10"/>
  <c r="AV467" i="10"/>
  <c r="AV466" i="10"/>
  <c r="AV465" i="10"/>
  <c r="AV464" i="10"/>
  <c r="AV463" i="10"/>
  <c r="AV462" i="10"/>
  <c r="AV461" i="10"/>
  <c r="AV460" i="10"/>
  <c r="AV459" i="10"/>
  <c r="AV458" i="10"/>
  <c r="AV457" i="10"/>
  <c r="AV456" i="10"/>
  <c r="AV455" i="10"/>
  <c r="AV454" i="10"/>
  <c r="AV453" i="10"/>
  <c r="AV452" i="10"/>
  <c r="AV451" i="10"/>
  <c r="AV450" i="10"/>
  <c r="AV449" i="10"/>
  <c r="AV448" i="10"/>
  <c r="AV447" i="10"/>
  <c r="AV446" i="10"/>
  <c r="AV445" i="10"/>
  <c r="AV444" i="10"/>
  <c r="AV443" i="10"/>
  <c r="AV442" i="10"/>
  <c r="AV441" i="10"/>
  <c r="AV440" i="10"/>
  <c r="AV439" i="10"/>
  <c r="AV438" i="10"/>
  <c r="AV437" i="10"/>
  <c r="AV436" i="10"/>
  <c r="AV435" i="10"/>
  <c r="AV434" i="10"/>
  <c r="AV433" i="10"/>
  <c r="AV432" i="10"/>
  <c r="AV431" i="10"/>
  <c r="AV430" i="10"/>
  <c r="AV429" i="10"/>
  <c r="AV428" i="10"/>
  <c r="AV427" i="10"/>
  <c r="AV426" i="10"/>
  <c r="AV425" i="10"/>
  <c r="AV424" i="10"/>
  <c r="AV423" i="10"/>
  <c r="AV422" i="10"/>
  <c r="AV421" i="10"/>
  <c r="AV420" i="10"/>
  <c r="AV419" i="10"/>
  <c r="AV418" i="10"/>
  <c r="AV417" i="10"/>
  <c r="AV416" i="10"/>
  <c r="AV415" i="10"/>
  <c r="AV414" i="10"/>
  <c r="AV413" i="10"/>
  <c r="AV412" i="10"/>
  <c r="AV411" i="10"/>
  <c r="AV410" i="10"/>
  <c r="AV409" i="10"/>
  <c r="AV408" i="10"/>
  <c r="AV407" i="10"/>
  <c r="AV406" i="10"/>
  <c r="AV405" i="10"/>
  <c r="AV404" i="10"/>
  <c r="AV403" i="10"/>
  <c r="AV402" i="10"/>
  <c r="AV401" i="10"/>
  <c r="AV400" i="10"/>
  <c r="AV399" i="10"/>
  <c r="AV398" i="10"/>
  <c r="AV397" i="10"/>
  <c r="AV396" i="10"/>
  <c r="AV395" i="10"/>
  <c r="AV394" i="10"/>
  <c r="AV393" i="10"/>
  <c r="AV392" i="10"/>
  <c r="AV391" i="10"/>
  <c r="AV390" i="10"/>
  <c r="AV389" i="10"/>
  <c r="AV388" i="10"/>
  <c r="AV387" i="10"/>
  <c r="AV386" i="10"/>
  <c r="AV385" i="10"/>
  <c r="AV384" i="10"/>
  <c r="AV383" i="10"/>
  <c r="AV382" i="10"/>
  <c r="AV381" i="10"/>
  <c r="AV380" i="10"/>
  <c r="AV379" i="10"/>
  <c r="AV378" i="10"/>
  <c r="AV377" i="10"/>
  <c r="AV376" i="10"/>
  <c r="AV375" i="10"/>
  <c r="AV374" i="10"/>
  <c r="AV373" i="10"/>
  <c r="AV372" i="10"/>
  <c r="AV371" i="10"/>
  <c r="AV370" i="10"/>
  <c r="AV369" i="10"/>
  <c r="AV368" i="10"/>
  <c r="AV367" i="10"/>
  <c r="AV366" i="10"/>
  <c r="AV365" i="10"/>
  <c r="AV364" i="10"/>
  <c r="AV363" i="10"/>
  <c r="AV362" i="10"/>
  <c r="AV361" i="10"/>
  <c r="AV360" i="10"/>
  <c r="AV359" i="10"/>
  <c r="AV358" i="10"/>
  <c r="AV357" i="10"/>
  <c r="AV356" i="10"/>
  <c r="AV355" i="10"/>
  <c r="AV354" i="10"/>
  <c r="AV353" i="10"/>
  <c r="AV352" i="10"/>
  <c r="AV351" i="10"/>
  <c r="AV350" i="10"/>
  <c r="AV349" i="10"/>
  <c r="AV348" i="10"/>
  <c r="AV347" i="10"/>
  <c r="AV346" i="10"/>
  <c r="AV345" i="10"/>
  <c r="AV344" i="10"/>
  <c r="AV343" i="10"/>
  <c r="AU622" i="10"/>
  <c r="AU621" i="10"/>
  <c r="AU620" i="10"/>
  <c r="AU619" i="10"/>
  <c r="AU618" i="10"/>
  <c r="AU617" i="10"/>
  <c r="AU616" i="10"/>
  <c r="AU615" i="10"/>
  <c r="AU614" i="10"/>
  <c r="AU613" i="10"/>
  <c r="AU612" i="10"/>
  <c r="AU611" i="10"/>
  <c r="AU610" i="10"/>
  <c r="AU609" i="10"/>
  <c r="AU608" i="10"/>
  <c r="AU607" i="10"/>
  <c r="AU606" i="10"/>
  <c r="AU605" i="10"/>
  <c r="AU604" i="10"/>
  <c r="AU603" i="10"/>
  <c r="AU602" i="10"/>
  <c r="AU601" i="10"/>
  <c r="AU600" i="10"/>
  <c r="AU599" i="10"/>
  <c r="AU598" i="10"/>
  <c r="AU597" i="10"/>
  <c r="AU596" i="10"/>
  <c r="AU595" i="10"/>
  <c r="AU594" i="10"/>
  <c r="AU593" i="10"/>
  <c r="AU592" i="10"/>
  <c r="AU591" i="10"/>
  <c r="AU590" i="10"/>
  <c r="AU589" i="10"/>
  <c r="AU588" i="10"/>
  <c r="AU587" i="10"/>
  <c r="AU586" i="10"/>
  <c r="AU585" i="10"/>
  <c r="AU584" i="10"/>
  <c r="AU583" i="10"/>
  <c r="AU582" i="10"/>
  <c r="AU581" i="10"/>
  <c r="AU580" i="10"/>
  <c r="AU579" i="10"/>
  <c r="AU578" i="10"/>
  <c r="AU577" i="10"/>
  <c r="AU576" i="10"/>
  <c r="AU575" i="10"/>
  <c r="AU574" i="10"/>
  <c r="AU573" i="10"/>
  <c r="AU572" i="10"/>
  <c r="AU571" i="10"/>
  <c r="AU570" i="10"/>
  <c r="AU569" i="10"/>
  <c r="AU568" i="10"/>
  <c r="AU567" i="10"/>
  <c r="AU566" i="10"/>
  <c r="AU565" i="10"/>
  <c r="AU564" i="10"/>
  <c r="AU563" i="10"/>
  <c r="AU562" i="10"/>
  <c r="AU561" i="10"/>
  <c r="AU560" i="10"/>
  <c r="AU559" i="10"/>
  <c r="AU558" i="10"/>
  <c r="AU557" i="10"/>
  <c r="AU556" i="10"/>
  <c r="AU555" i="10"/>
  <c r="AU554" i="10"/>
  <c r="AU553" i="10"/>
  <c r="AU552" i="10"/>
  <c r="AU551" i="10"/>
  <c r="AU550" i="10"/>
  <c r="AU549" i="10"/>
  <c r="AU548" i="10"/>
  <c r="AU547" i="10"/>
  <c r="AU546" i="10"/>
  <c r="AU545" i="10"/>
  <c r="AU544" i="10"/>
  <c r="AU543" i="10"/>
  <c r="AU542" i="10"/>
  <c r="AU541" i="10"/>
  <c r="AU540" i="10"/>
  <c r="AU539" i="10"/>
  <c r="AU538" i="10"/>
  <c r="AU537" i="10"/>
  <c r="AU536" i="10"/>
  <c r="AU535" i="10"/>
  <c r="AU534" i="10"/>
  <c r="AU533" i="10"/>
  <c r="AU532" i="10"/>
  <c r="AU531" i="10"/>
  <c r="AU530" i="10"/>
  <c r="AU529" i="10"/>
  <c r="AU528" i="10"/>
  <c r="AU527" i="10"/>
  <c r="AU526" i="10"/>
  <c r="AU525" i="10"/>
  <c r="AU524" i="10"/>
  <c r="AU523" i="10"/>
  <c r="AU522" i="10"/>
  <c r="AU521" i="10"/>
  <c r="AU520" i="10"/>
  <c r="AU519" i="10"/>
  <c r="AU518" i="10"/>
  <c r="AU517" i="10"/>
  <c r="AU516" i="10"/>
  <c r="AU515" i="10"/>
  <c r="AU514" i="10"/>
  <c r="AU513" i="10"/>
  <c r="AU512" i="10"/>
  <c r="AU511" i="10"/>
  <c r="AU510" i="10"/>
  <c r="AU509" i="10"/>
  <c r="AU508" i="10"/>
  <c r="AU507" i="10"/>
  <c r="AU506" i="10"/>
  <c r="AU505" i="10"/>
  <c r="AU504" i="10"/>
  <c r="AU503" i="10"/>
  <c r="AU502" i="10"/>
  <c r="AU501" i="10"/>
  <c r="AU500" i="10"/>
  <c r="AU499" i="10"/>
  <c r="AU498" i="10"/>
  <c r="AU497" i="10"/>
  <c r="AU496" i="10"/>
  <c r="AU495" i="10"/>
  <c r="AU494" i="10"/>
  <c r="AU493" i="10"/>
  <c r="AU492" i="10"/>
  <c r="AU491" i="10"/>
  <c r="AU490" i="10"/>
  <c r="AU489" i="10"/>
  <c r="AU488" i="10"/>
  <c r="AU487" i="10"/>
  <c r="AU486" i="10"/>
  <c r="AU485" i="10"/>
  <c r="AU484" i="10"/>
  <c r="AU483" i="10"/>
  <c r="AU482" i="10"/>
  <c r="AU481" i="10"/>
  <c r="AU480" i="10"/>
  <c r="AU479" i="10"/>
  <c r="AU478" i="10"/>
  <c r="AU477" i="10"/>
  <c r="AU476" i="10"/>
  <c r="AU475" i="10"/>
  <c r="AU474" i="10"/>
  <c r="AU473" i="10"/>
  <c r="AU472" i="10"/>
  <c r="AU471" i="10"/>
  <c r="AU470" i="10"/>
  <c r="AU469" i="10"/>
  <c r="AU468" i="10"/>
  <c r="AU467" i="10"/>
  <c r="AU466" i="10"/>
  <c r="AU465" i="10"/>
  <c r="AU464" i="10"/>
  <c r="AU463" i="10"/>
  <c r="AU462" i="10"/>
  <c r="AU461" i="10"/>
  <c r="AU460" i="10"/>
  <c r="AU459" i="10"/>
  <c r="AU458" i="10"/>
  <c r="AU457" i="10"/>
  <c r="AU456" i="10"/>
  <c r="AU455" i="10"/>
  <c r="AU454" i="10"/>
  <c r="AU453" i="10"/>
  <c r="AU452" i="10"/>
  <c r="AU451" i="10"/>
  <c r="AU450" i="10"/>
  <c r="AU449" i="10"/>
  <c r="AU448" i="10"/>
  <c r="AU447" i="10"/>
  <c r="AU446" i="10"/>
  <c r="AU445" i="10"/>
  <c r="AU444" i="10"/>
  <c r="AU443" i="10"/>
  <c r="AU442" i="10"/>
  <c r="AU441" i="10"/>
  <c r="AU440" i="10"/>
  <c r="AU439" i="10"/>
  <c r="AU438" i="10"/>
  <c r="AU437" i="10"/>
  <c r="AU436" i="10"/>
  <c r="AU435" i="10"/>
  <c r="AU434" i="10"/>
  <c r="AU433" i="10"/>
  <c r="AU432" i="10"/>
  <c r="AU431" i="10"/>
  <c r="AU430" i="10"/>
  <c r="AU429" i="10"/>
  <c r="AU428" i="10"/>
  <c r="AU427" i="10"/>
  <c r="AU426" i="10"/>
  <c r="AU425" i="10"/>
  <c r="AU424" i="10"/>
  <c r="AU423" i="10"/>
  <c r="AU422" i="10"/>
  <c r="AU421" i="10"/>
  <c r="AU420" i="10"/>
  <c r="AU419" i="10"/>
  <c r="AU418" i="10"/>
  <c r="AU417" i="10"/>
  <c r="AU416" i="10"/>
  <c r="AU415" i="10"/>
  <c r="AU414" i="10"/>
  <c r="AU413" i="10"/>
  <c r="AU412" i="10"/>
  <c r="AU411" i="10"/>
  <c r="AU410" i="10"/>
  <c r="AU409" i="10"/>
  <c r="AU408" i="10"/>
  <c r="AU407" i="10"/>
  <c r="AU406" i="10"/>
  <c r="AU405" i="10"/>
  <c r="AU404" i="10"/>
  <c r="AU403" i="10"/>
  <c r="AU402" i="10"/>
  <c r="AU401" i="10"/>
  <c r="AU400" i="10"/>
  <c r="AU399" i="10"/>
  <c r="AU398" i="10"/>
  <c r="AU397" i="10"/>
  <c r="AU396" i="10"/>
  <c r="AU395" i="10"/>
  <c r="AU394" i="10"/>
  <c r="AU393" i="10"/>
  <c r="AU392" i="10"/>
  <c r="AU391" i="10"/>
  <c r="AU390" i="10"/>
  <c r="AU389" i="10"/>
  <c r="AU388" i="10"/>
  <c r="AU387" i="10"/>
  <c r="AU386" i="10"/>
  <c r="AU385" i="10"/>
  <c r="AU384" i="10"/>
  <c r="AU383" i="10"/>
  <c r="AU382" i="10"/>
  <c r="AU381" i="10"/>
  <c r="AU380" i="10"/>
  <c r="AU379" i="10"/>
  <c r="AU378" i="10"/>
  <c r="AU377" i="10"/>
  <c r="AU376" i="10"/>
  <c r="AU375" i="10"/>
  <c r="AU374" i="10"/>
  <c r="AU373" i="10"/>
  <c r="AU372" i="10"/>
  <c r="AU371" i="10"/>
  <c r="AU370" i="10"/>
  <c r="AU369" i="10"/>
  <c r="AU368" i="10"/>
  <c r="AU367" i="10"/>
  <c r="AU366" i="10"/>
  <c r="AU365" i="10"/>
  <c r="AU364" i="10"/>
  <c r="AU363" i="10"/>
  <c r="AU362" i="10"/>
  <c r="AU361" i="10"/>
  <c r="AU360" i="10"/>
  <c r="AU359" i="10"/>
  <c r="AU358" i="10"/>
  <c r="AU357" i="10"/>
  <c r="AU356" i="10"/>
  <c r="AU355" i="10"/>
  <c r="AU354" i="10"/>
  <c r="AU353" i="10"/>
  <c r="AU352" i="10"/>
  <c r="AU351" i="10"/>
  <c r="AU350" i="10"/>
  <c r="AU349" i="10"/>
  <c r="AU348" i="10"/>
  <c r="AU347" i="10"/>
  <c r="AU346" i="10"/>
  <c r="AU345" i="10"/>
  <c r="AU344" i="10"/>
  <c r="AU343" i="10"/>
  <c r="AT622" i="10"/>
  <c r="AT621" i="10"/>
  <c r="AT620" i="10"/>
  <c r="AT619" i="10"/>
  <c r="AT618" i="10"/>
  <c r="AT617" i="10"/>
  <c r="AT616" i="10"/>
  <c r="AT615" i="10"/>
  <c r="AT614" i="10"/>
  <c r="AT613" i="10"/>
  <c r="AT612" i="10"/>
  <c r="AT611" i="10"/>
  <c r="AT610" i="10"/>
  <c r="AT609" i="10"/>
  <c r="AT608" i="10"/>
  <c r="AT607" i="10"/>
  <c r="AT606" i="10"/>
  <c r="AT605" i="10"/>
  <c r="AT604" i="10"/>
  <c r="AT603" i="10"/>
  <c r="AT602" i="10"/>
  <c r="AT601" i="10"/>
  <c r="AT600" i="10"/>
  <c r="AT599" i="10"/>
  <c r="AT598" i="10"/>
  <c r="AT597" i="10"/>
  <c r="AT596" i="10"/>
  <c r="AT595" i="10"/>
  <c r="AT594" i="10"/>
  <c r="AT593" i="10"/>
  <c r="AT592" i="10"/>
  <c r="AT591" i="10"/>
  <c r="AT590" i="10"/>
  <c r="AT589" i="10"/>
  <c r="AT588" i="10"/>
  <c r="AT587" i="10"/>
  <c r="AT586" i="10"/>
  <c r="AT585" i="10"/>
  <c r="AT584" i="10"/>
  <c r="AT583" i="10"/>
  <c r="AT582" i="10"/>
  <c r="AT581" i="10"/>
  <c r="AT580" i="10"/>
  <c r="AT579" i="10"/>
  <c r="AT578" i="10"/>
  <c r="AT577" i="10"/>
  <c r="AT576" i="10"/>
  <c r="AT575" i="10"/>
  <c r="AT574" i="10"/>
  <c r="AT573" i="10"/>
  <c r="AT572" i="10"/>
  <c r="AT571" i="10"/>
  <c r="AT570" i="10"/>
  <c r="AT569" i="10"/>
  <c r="AT568" i="10"/>
  <c r="AT567" i="10"/>
  <c r="AT566" i="10"/>
  <c r="AT565" i="10"/>
  <c r="AT564" i="10"/>
  <c r="AT563" i="10"/>
  <c r="AT562" i="10"/>
  <c r="AT561" i="10"/>
  <c r="AT560" i="10"/>
  <c r="AT559" i="10"/>
  <c r="AT558" i="10"/>
  <c r="AT557" i="10"/>
  <c r="AT556" i="10"/>
  <c r="AT555" i="10"/>
  <c r="AT554" i="10"/>
  <c r="AT553" i="10"/>
  <c r="AT552" i="10"/>
  <c r="AT551" i="10"/>
  <c r="AT550" i="10"/>
  <c r="AT549" i="10"/>
  <c r="AT548" i="10"/>
  <c r="AT547" i="10"/>
  <c r="AT546" i="10"/>
  <c r="AT545" i="10"/>
  <c r="AT544" i="10"/>
  <c r="AT543" i="10"/>
  <c r="AT542" i="10"/>
  <c r="AT541" i="10"/>
  <c r="AT540" i="10"/>
  <c r="AT539" i="10"/>
  <c r="AT538" i="10"/>
  <c r="AT537" i="10"/>
  <c r="AT536" i="10"/>
  <c r="AT535" i="10"/>
  <c r="AT534" i="10"/>
  <c r="AT533" i="10"/>
  <c r="AT532" i="10"/>
  <c r="AT531" i="10"/>
  <c r="AT530" i="10"/>
  <c r="AT529" i="10"/>
  <c r="AT528" i="10"/>
  <c r="AT527" i="10"/>
  <c r="AT526" i="10"/>
  <c r="AT525" i="10"/>
  <c r="AT524" i="10"/>
  <c r="AT523" i="10"/>
  <c r="AT522" i="10"/>
  <c r="AT521" i="10"/>
  <c r="AT520" i="10"/>
  <c r="AT519" i="10"/>
  <c r="AT518" i="10"/>
  <c r="AT517" i="10"/>
  <c r="AT516" i="10"/>
  <c r="AT515" i="10"/>
  <c r="AT514" i="10"/>
  <c r="AT513" i="10"/>
  <c r="AT512" i="10"/>
  <c r="AT511" i="10"/>
  <c r="AT510" i="10"/>
  <c r="AT509" i="10"/>
  <c r="AT508" i="10"/>
  <c r="AT507" i="10"/>
  <c r="AT506" i="10"/>
  <c r="AT505" i="10"/>
  <c r="AT504" i="10"/>
  <c r="AT503" i="10"/>
  <c r="AT502" i="10"/>
  <c r="AT501" i="10"/>
  <c r="AT500" i="10"/>
  <c r="AT499" i="10"/>
  <c r="AT498" i="10"/>
  <c r="AT497" i="10"/>
  <c r="AT496" i="10"/>
  <c r="AT495" i="10"/>
  <c r="AT494" i="10"/>
  <c r="AT493" i="10"/>
  <c r="AT492" i="10"/>
  <c r="AT491" i="10"/>
  <c r="AT490" i="10"/>
  <c r="AT489" i="10"/>
  <c r="AT488" i="10"/>
  <c r="AT487" i="10"/>
  <c r="AT486" i="10"/>
  <c r="AT485" i="10"/>
  <c r="AT484" i="10"/>
  <c r="AT483" i="10"/>
  <c r="AT482" i="10"/>
  <c r="AT481" i="10"/>
  <c r="AT480" i="10"/>
  <c r="AT479" i="10"/>
  <c r="AT478" i="10"/>
  <c r="AT477" i="10"/>
  <c r="AT476" i="10"/>
  <c r="AT475" i="10"/>
  <c r="AT474" i="10"/>
  <c r="AT473" i="10"/>
  <c r="AT472" i="10"/>
  <c r="AT471" i="10"/>
  <c r="AT470" i="10"/>
  <c r="AT469" i="10"/>
  <c r="AT468" i="10"/>
  <c r="AT467" i="10"/>
  <c r="AT466" i="10"/>
  <c r="AT465" i="10"/>
  <c r="AT464" i="10"/>
  <c r="AT463" i="10"/>
  <c r="AT462" i="10"/>
  <c r="AT461" i="10"/>
  <c r="AT460" i="10"/>
  <c r="AT459" i="10"/>
  <c r="AT458" i="10"/>
  <c r="AT457" i="10"/>
  <c r="AT456" i="10"/>
  <c r="AT455" i="10"/>
  <c r="AT454" i="10"/>
  <c r="AT453" i="10"/>
  <c r="AT452" i="10"/>
  <c r="AT451" i="10"/>
  <c r="AT450" i="10"/>
  <c r="AT449" i="10"/>
  <c r="AT448" i="10"/>
  <c r="AT447" i="10"/>
  <c r="AT446" i="10"/>
  <c r="AT445" i="10"/>
  <c r="AT444" i="10"/>
  <c r="AT443" i="10"/>
  <c r="AT442" i="10"/>
  <c r="AT441" i="10"/>
  <c r="AT440" i="10"/>
  <c r="AT439" i="10"/>
  <c r="AT438" i="10"/>
  <c r="AT437" i="10"/>
  <c r="AT436" i="10"/>
  <c r="AT435" i="10"/>
  <c r="AT434" i="10"/>
  <c r="AT433" i="10"/>
  <c r="AT432" i="10"/>
  <c r="AT431" i="10"/>
  <c r="AT430" i="10"/>
  <c r="AT429" i="10"/>
  <c r="AT428" i="10"/>
  <c r="AT427" i="10"/>
  <c r="AT426" i="10"/>
  <c r="AT425" i="10"/>
  <c r="AT424" i="10"/>
  <c r="AT423" i="10"/>
  <c r="AT422" i="10"/>
  <c r="AT421" i="10"/>
  <c r="AT420" i="10"/>
  <c r="AT419" i="10"/>
  <c r="AT418" i="10"/>
  <c r="AT417" i="10"/>
  <c r="AT416" i="10"/>
  <c r="AT415" i="10"/>
  <c r="AT414" i="10"/>
  <c r="AT413" i="10"/>
  <c r="AT412" i="10"/>
  <c r="AT411" i="10"/>
  <c r="AT410" i="10"/>
  <c r="AT409" i="10"/>
  <c r="AT408" i="10"/>
  <c r="AT407" i="10"/>
  <c r="AT406" i="10"/>
  <c r="AT405" i="10"/>
  <c r="AT404" i="10"/>
  <c r="AT403" i="10"/>
  <c r="AT402" i="10"/>
  <c r="AT401" i="10"/>
  <c r="AT400" i="10"/>
  <c r="AT399" i="10"/>
  <c r="AT398" i="10"/>
  <c r="AT397" i="10"/>
  <c r="AT396" i="10"/>
  <c r="AT395" i="10"/>
  <c r="AT394" i="10"/>
  <c r="AT393" i="10"/>
  <c r="AT392" i="10"/>
  <c r="AT391" i="10"/>
  <c r="AT390" i="10"/>
  <c r="AT389" i="10"/>
  <c r="AT388" i="10"/>
  <c r="AT387" i="10"/>
  <c r="AT386" i="10"/>
  <c r="AT385" i="10"/>
  <c r="AT384" i="10"/>
  <c r="AT383" i="10"/>
  <c r="AT382" i="10"/>
  <c r="AT381" i="10"/>
  <c r="AT380" i="10"/>
  <c r="AT379" i="10"/>
  <c r="AT378" i="10"/>
  <c r="AT377" i="10"/>
  <c r="AT376" i="10"/>
  <c r="AT375" i="10"/>
  <c r="AT374" i="10"/>
  <c r="AT373" i="10"/>
  <c r="AT372" i="10"/>
  <c r="AT371" i="10"/>
  <c r="AT370" i="10"/>
  <c r="AT369" i="10"/>
  <c r="AT368" i="10"/>
  <c r="AT367" i="10"/>
  <c r="AT366" i="10"/>
  <c r="AT365" i="10"/>
  <c r="AT364" i="10"/>
  <c r="AT363" i="10"/>
  <c r="AT362" i="10"/>
  <c r="AT361" i="10"/>
  <c r="AT360" i="10"/>
  <c r="AT359" i="10"/>
  <c r="AT358" i="10"/>
  <c r="AT357" i="10"/>
  <c r="AT356" i="10"/>
  <c r="AT355" i="10"/>
  <c r="AT354" i="10"/>
  <c r="AT353" i="10"/>
  <c r="AT352" i="10"/>
  <c r="AT351" i="10"/>
  <c r="AT350" i="10"/>
  <c r="AT349" i="10"/>
  <c r="AT348" i="10"/>
  <c r="AT347" i="10"/>
  <c r="AT346" i="10"/>
  <c r="AT345" i="10"/>
  <c r="AT344" i="10"/>
  <c r="AT343" i="10"/>
  <c r="AS622" i="10"/>
  <c r="AS621" i="10"/>
  <c r="AS620" i="10"/>
  <c r="AS619" i="10"/>
  <c r="AS618" i="10"/>
  <c r="AS617" i="10"/>
  <c r="AS616" i="10"/>
  <c r="AS615" i="10"/>
  <c r="AS614" i="10"/>
  <c r="AS613" i="10"/>
  <c r="AS612" i="10"/>
  <c r="AS611" i="10"/>
  <c r="AS610" i="10"/>
  <c r="AS609" i="10"/>
  <c r="AS608" i="10"/>
  <c r="AS607" i="10"/>
  <c r="AS606" i="10"/>
  <c r="AS605" i="10"/>
  <c r="AS604" i="10"/>
  <c r="AS603" i="10"/>
  <c r="AS602" i="10"/>
  <c r="AS601" i="10"/>
  <c r="AS600" i="10"/>
  <c r="AS599" i="10"/>
  <c r="AS598" i="10"/>
  <c r="AS597" i="10"/>
  <c r="AS596" i="10"/>
  <c r="AS595" i="10"/>
  <c r="AS594" i="10"/>
  <c r="AS593" i="10"/>
  <c r="AS592" i="10"/>
  <c r="AS591" i="10"/>
  <c r="AS590" i="10"/>
  <c r="AS589" i="10"/>
  <c r="AS588" i="10"/>
  <c r="AS587" i="10"/>
  <c r="AS586" i="10"/>
  <c r="AS585" i="10"/>
  <c r="AS584" i="10"/>
  <c r="AS583" i="10"/>
  <c r="AS582" i="10"/>
  <c r="AS581" i="10"/>
  <c r="AS580" i="10"/>
  <c r="AS579" i="10"/>
  <c r="AS578" i="10"/>
  <c r="AS577" i="10"/>
  <c r="AS576" i="10"/>
  <c r="AS575" i="10"/>
  <c r="AS574" i="10"/>
  <c r="AS573" i="10"/>
  <c r="AS572" i="10"/>
  <c r="AS571" i="10"/>
  <c r="AS570" i="10"/>
  <c r="AS569" i="10"/>
  <c r="AS568" i="10"/>
  <c r="AS567" i="10"/>
  <c r="AS566" i="10"/>
  <c r="AS565" i="10"/>
  <c r="AS564" i="10"/>
  <c r="AS563" i="10"/>
  <c r="AS562" i="10"/>
  <c r="AS561" i="10"/>
  <c r="AS560" i="10"/>
  <c r="AS559" i="10"/>
  <c r="AS558" i="10"/>
  <c r="AS557" i="10"/>
  <c r="AS556" i="10"/>
  <c r="AS555" i="10"/>
  <c r="AS554" i="10"/>
  <c r="AS553" i="10"/>
  <c r="AS552" i="10"/>
  <c r="AS551" i="10"/>
  <c r="AS550" i="10"/>
  <c r="AS549" i="10"/>
  <c r="AS548" i="10"/>
  <c r="AS547" i="10"/>
  <c r="AS546" i="10"/>
  <c r="AS545" i="10"/>
  <c r="AS544" i="10"/>
  <c r="AS543" i="10"/>
  <c r="AS542" i="10"/>
  <c r="AS541" i="10"/>
  <c r="AS540" i="10"/>
  <c r="AS539" i="10"/>
  <c r="AS538" i="10"/>
  <c r="AS537" i="10"/>
  <c r="AS536" i="10"/>
  <c r="AS535" i="10"/>
  <c r="AS534" i="10"/>
  <c r="AS533" i="10"/>
  <c r="AS532" i="10"/>
  <c r="AS531" i="10"/>
  <c r="AS530" i="10"/>
  <c r="AS529" i="10"/>
  <c r="AS528" i="10"/>
  <c r="AS527" i="10"/>
  <c r="AS526" i="10"/>
  <c r="AS525" i="10"/>
  <c r="AS524" i="10"/>
  <c r="AS523" i="10"/>
  <c r="AS522" i="10"/>
  <c r="AS521" i="10"/>
  <c r="AS520" i="10"/>
  <c r="AS519" i="10"/>
  <c r="AS518" i="10"/>
  <c r="AS517" i="10"/>
  <c r="AS516" i="10"/>
  <c r="AS515" i="10"/>
  <c r="AS514" i="10"/>
  <c r="AS513" i="10"/>
  <c r="AS512" i="10"/>
  <c r="AS511" i="10"/>
  <c r="AS510" i="10"/>
  <c r="AS509" i="10"/>
  <c r="AS508" i="10"/>
  <c r="AS507" i="10"/>
  <c r="AS506" i="10"/>
  <c r="AS505" i="10"/>
  <c r="AS504" i="10"/>
  <c r="AS503" i="10"/>
  <c r="AS502" i="10"/>
  <c r="AS501" i="10"/>
  <c r="AS500" i="10"/>
  <c r="AS499" i="10"/>
  <c r="AS498" i="10"/>
  <c r="AS497" i="10"/>
  <c r="AS496" i="10"/>
  <c r="AS495" i="10"/>
  <c r="AS494" i="10"/>
  <c r="AS493" i="10"/>
  <c r="AS492" i="10"/>
  <c r="AS491" i="10"/>
  <c r="AS490" i="10"/>
  <c r="AS489" i="10"/>
  <c r="AS488" i="10"/>
  <c r="AS487" i="10"/>
  <c r="AS486" i="10"/>
  <c r="AS485" i="10"/>
  <c r="AS484" i="10"/>
  <c r="AS483" i="10"/>
  <c r="AS482" i="10"/>
  <c r="AS481" i="10"/>
  <c r="AS480" i="10"/>
  <c r="AS479" i="10"/>
  <c r="AS478" i="10"/>
  <c r="AS477" i="10"/>
  <c r="AS476" i="10"/>
  <c r="AS475" i="10"/>
  <c r="AS474" i="10"/>
  <c r="AS473" i="10"/>
  <c r="AS472" i="10"/>
  <c r="AS471" i="10"/>
  <c r="AS470" i="10"/>
  <c r="AS469" i="10"/>
  <c r="AS468" i="10"/>
  <c r="AS467" i="10"/>
  <c r="AS466" i="10"/>
  <c r="AS465" i="10"/>
  <c r="AS464" i="10"/>
  <c r="AS463" i="10"/>
  <c r="AS462" i="10"/>
  <c r="AS461" i="10"/>
  <c r="AS460" i="10"/>
  <c r="AS459" i="10"/>
  <c r="AS458" i="10"/>
  <c r="AS457" i="10"/>
  <c r="AS456" i="10"/>
  <c r="AS455" i="10"/>
  <c r="AS454" i="10"/>
  <c r="AS453" i="10"/>
  <c r="AS452" i="10"/>
  <c r="AS451" i="10"/>
  <c r="AS450" i="10"/>
  <c r="AS449" i="10"/>
  <c r="AS448" i="10"/>
  <c r="AS447" i="10"/>
  <c r="AS446" i="10"/>
  <c r="AS445" i="10"/>
  <c r="AS444" i="10"/>
  <c r="AS443" i="10"/>
  <c r="AS442" i="10"/>
  <c r="AS441" i="10"/>
  <c r="AS440" i="10"/>
  <c r="AS439" i="10"/>
  <c r="AS438" i="10"/>
  <c r="AS437" i="10"/>
  <c r="AS436" i="10"/>
  <c r="AS435" i="10"/>
  <c r="AS434" i="10"/>
  <c r="AS433" i="10"/>
  <c r="AS432" i="10"/>
  <c r="AS431" i="10"/>
  <c r="AS430" i="10"/>
  <c r="AS429" i="10"/>
  <c r="AS428" i="10"/>
  <c r="AS427" i="10"/>
  <c r="AS426" i="10"/>
  <c r="AS425" i="10"/>
  <c r="AS424" i="10"/>
  <c r="AS423" i="10"/>
  <c r="AS422" i="10"/>
  <c r="AS421" i="10"/>
  <c r="AS420" i="10"/>
  <c r="AS419" i="10"/>
  <c r="AS418" i="10"/>
  <c r="AS417" i="10"/>
  <c r="AS416" i="10"/>
  <c r="AS415" i="10"/>
  <c r="AS414" i="10"/>
  <c r="AS413" i="10"/>
  <c r="AS412" i="10"/>
  <c r="AS411" i="10"/>
  <c r="AS410" i="10"/>
  <c r="AS409" i="10"/>
  <c r="AS408" i="10"/>
  <c r="AS407" i="10"/>
  <c r="AS406" i="10"/>
  <c r="AS405" i="10"/>
  <c r="AS404" i="10"/>
  <c r="AS403" i="10"/>
  <c r="AS402" i="10"/>
  <c r="AS401" i="10"/>
  <c r="AS400" i="10"/>
  <c r="AS399" i="10"/>
  <c r="AS398" i="10"/>
  <c r="AS397" i="10"/>
  <c r="AS396" i="10"/>
  <c r="AS395" i="10"/>
  <c r="AS394" i="10"/>
  <c r="AS393" i="10"/>
  <c r="AS392" i="10"/>
  <c r="AS391" i="10"/>
  <c r="AS390" i="10"/>
  <c r="AS389" i="10"/>
  <c r="AS388" i="10"/>
  <c r="AS387" i="10"/>
  <c r="AS386" i="10"/>
  <c r="AS385" i="10"/>
  <c r="AS384" i="10"/>
  <c r="AS383" i="10"/>
  <c r="AS382" i="10"/>
  <c r="AS381" i="10"/>
  <c r="AS380" i="10"/>
  <c r="AS379" i="10"/>
  <c r="AS378" i="10"/>
  <c r="AS377" i="10"/>
  <c r="AS376" i="10"/>
  <c r="AS375" i="10"/>
  <c r="AS374" i="10"/>
  <c r="AS373" i="10"/>
  <c r="AS372" i="10"/>
  <c r="AS371" i="10"/>
  <c r="AS370" i="10"/>
  <c r="AS369" i="10"/>
  <c r="AS368" i="10"/>
  <c r="AS367" i="10"/>
  <c r="AS366" i="10"/>
  <c r="AS365" i="10"/>
  <c r="AS364" i="10"/>
  <c r="AS363" i="10"/>
  <c r="AS362" i="10"/>
  <c r="AS361" i="10"/>
  <c r="AS360" i="10"/>
  <c r="AS359" i="10"/>
  <c r="AS358" i="10"/>
  <c r="AS357" i="10"/>
  <c r="AS356" i="10"/>
  <c r="AS355" i="10"/>
  <c r="AS354" i="10"/>
  <c r="AS353" i="10"/>
  <c r="AS352" i="10"/>
  <c r="AS351" i="10"/>
  <c r="AS350" i="10"/>
  <c r="AS349" i="10"/>
  <c r="AS348" i="10"/>
  <c r="AS347" i="10"/>
  <c r="AS346" i="10"/>
  <c r="AS345" i="10"/>
  <c r="AS344" i="10"/>
  <c r="AS343" i="10"/>
  <c r="AR622" i="10"/>
  <c r="AR621" i="10"/>
  <c r="AR620" i="10"/>
  <c r="AR619" i="10"/>
  <c r="AR618" i="10"/>
  <c r="AR617" i="10"/>
  <c r="AR616" i="10"/>
  <c r="AR615" i="10"/>
  <c r="AR614" i="10"/>
  <c r="AR613" i="10"/>
  <c r="AR612" i="10"/>
  <c r="AR611" i="10"/>
  <c r="AR610" i="10"/>
  <c r="AR609" i="10"/>
  <c r="AR608" i="10"/>
  <c r="AR607" i="10"/>
  <c r="AR606" i="10"/>
  <c r="AR605" i="10"/>
  <c r="AR604" i="10"/>
  <c r="AR603" i="10"/>
  <c r="AR602" i="10"/>
  <c r="AR601" i="10"/>
  <c r="AR600" i="10"/>
  <c r="AR599" i="10"/>
  <c r="AR598" i="10"/>
  <c r="AR597" i="10"/>
  <c r="AR596" i="10"/>
  <c r="AR595" i="10"/>
  <c r="AR594" i="10"/>
  <c r="AR593" i="10"/>
  <c r="AR592" i="10"/>
  <c r="AR591" i="10"/>
  <c r="AR590" i="10"/>
  <c r="AR589" i="10"/>
  <c r="AR588" i="10"/>
  <c r="AR587" i="10"/>
  <c r="AR586" i="10"/>
  <c r="AR585" i="10"/>
  <c r="AR584" i="10"/>
  <c r="AR583" i="10"/>
  <c r="AR582" i="10"/>
  <c r="AR581" i="10"/>
  <c r="AR580" i="10"/>
  <c r="AR579" i="10"/>
  <c r="AR578" i="10"/>
  <c r="AR577" i="10"/>
  <c r="AR576" i="10"/>
  <c r="AR575" i="10"/>
  <c r="AR574" i="10"/>
  <c r="AR573" i="10"/>
  <c r="AR572" i="10"/>
  <c r="AR571" i="10"/>
  <c r="AR570" i="10"/>
  <c r="AR569" i="10"/>
  <c r="AR568" i="10"/>
  <c r="AR567" i="10"/>
  <c r="AR566" i="10"/>
  <c r="AR565" i="10"/>
  <c r="AR564" i="10"/>
  <c r="AR563" i="10"/>
  <c r="AR562" i="10"/>
  <c r="AR561" i="10"/>
  <c r="AR560" i="10"/>
  <c r="AR559" i="10"/>
  <c r="AR558" i="10"/>
  <c r="AR557" i="10"/>
  <c r="AR556" i="10"/>
  <c r="AR555" i="10"/>
  <c r="AR554" i="10"/>
  <c r="AR553" i="10"/>
  <c r="AR552" i="10"/>
  <c r="AR551" i="10"/>
  <c r="AR550" i="10"/>
  <c r="AR549" i="10"/>
  <c r="AR548" i="10"/>
  <c r="AR547" i="10"/>
  <c r="AR546" i="10"/>
  <c r="AR545" i="10"/>
  <c r="AR544" i="10"/>
  <c r="AR543" i="10"/>
  <c r="AR542" i="10"/>
  <c r="AR541" i="10"/>
  <c r="AR540" i="10"/>
  <c r="AR539" i="10"/>
  <c r="AR538" i="10"/>
  <c r="AR537" i="10"/>
  <c r="AR536" i="10"/>
  <c r="AR535" i="10"/>
  <c r="AR534" i="10"/>
  <c r="AR533" i="10"/>
  <c r="AR532" i="10"/>
  <c r="AR531" i="10"/>
  <c r="AR530" i="10"/>
  <c r="AR529" i="10"/>
  <c r="AR528" i="10"/>
  <c r="AR527" i="10"/>
  <c r="AR526" i="10"/>
  <c r="AR525" i="10"/>
  <c r="AR524" i="10"/>
  <c r="AR523" i="10"/>
  <c r="AR522" i="10"/>
  <c r="AR521" i="10"/>
  <c r="AR520" i="10"/>
  <c r="AR519" i="10"/>
  <c r="AR518" i="10"/>
  <c r="AR517" i="10"/>
  <c r="AR516" i="10"/>
  <c r="AR515" i="10"/>
  <c r="AR514" i="10"/>
  <c r="AR513" i="10"/>
  <c r="AR512" i="10"/>
  <c r="AR511" i="10"/>
  <c r="AR510" i="10"/>
  <c r="AR509" i="10"/>
  <c r="AR508" i="10"/>
  <c r="AR507" i="10"/>
  <c r="AR506" i="10"/>
  <c r="AR505" i="10"/>
  <c r="AR504" i="10"/>
  <c r="AR503" i="10"/>
  <c r="AR502" i="10"/>
  <c r="AR501" i="10"/>
  <c r="AR500" i="10"/>
  <c r="AR499" i="10"/>
  <c r="AR498" i="10"/>
  <c r="AR497" i="10"/>
  <c r="AR496" i="10"/>
  <c r="AR495" i="10"/>
  <c r="AR494" i="10"/>
  <c r="AR493" i="10"/>
  <c r="AR492" i="10"/>
  <c r="AR491" i="10"/>
  <c r="AR490" i="10"/>
  <c r="AR489" i="10"/>
  <c r="AR488" i="10"/>
  <c r="AR487" i="10"/>
  <c r="AR486" i="10"/>
  <c r="AR485" i="10"/>
  <c r="AR484" i="10"/>
  <c r="AR483" i="10"/>
  <c r="AR482" i="10"/>
  <c r="AR481" i="10"/>
  <c r="AR480" i="10"/>
  <c r="AR479" i="10"/>
  <c r="AR478" i="10"/>
  <c r="AR477" i="10"/>
  <c r="AR476" i="10"/>
  <c r="AR475" i="10"/>
  <c r="AR474" i="10"/>
  <c r="AR473" i="10"/>
  <c r="AR472" i="10"/>
  <c r="AR471" i="10"/>
  <c r="AR470" i="10"/>
  <c r="AR469" i="10"/>
  <c r="AR468" i="10"/>
  <c r="AR467" i="10"/>
  <c r="AR466" i="10"/>
  <c r="AR465" i="10"/>
  <c r="AR464" i="10"/>
  <c r="AR463" i="10"/>
  <c r="AR462" i="10"/>
  <c r="AR461" i="10"/>
  <c r="AR460" i="10"/>
  <c r="AR459" i="10"/>
  <c r="AR458" i="10"/>
  <c r="AR457" i="10"/>
  <c r="AR456" i="10"/>
  <c r="AR455" i="10"/>
  <c r="AR454" i="10"/>
  <c r="AR453" i="10"/>
  <c r="AR452" i="10"/>
  <c r="AR451" i="10"/>
  <c r="AR450" i="10"/>
  <c r="AR449" i="10"/>
  <c r="AR448" i="10"/>
  <c r="AR447" i="10"/>
  <c r="AR446" i="10"/>
  <c r="AR445" i="10"/>
  <c r="AR444" i="10"/>
  <c r="AR443" i="10"/>
  <c r="AR442" i="10"/>
  <c r="AR441" i="10"/>
  <c r="AR440" i="10"/>
  <c r="AR439" i="10"/>
  <c r="AR438" i="10"/>
  <c r="AR437" i="10"/>
  <c r="AR436" i="10"/>
  <c r="AR435" i="10"/>
  <c r="AR434" i="10"/>
  <c r="AR433" i="10"/>
  <c r="AR432" i="10"/>
  <c r="AR431" i="10"/>
  <c r="AR430" i="10"/>
  <c r="AR429" i="10"/>
  <c r="AR428" i="10"/>
  <c r="AR427" i="10"/>
  <c r="AR426" i="10"/>
  <c r="AR425" i="10"/>
  <c r="AR424" i="10"/>
  <c r="AR423" i="10"/>
  <c r="AR422" i="10"/>
  <c r="AR421" i="10"/>
  <c r="AR420" i="10"/>
  <c r="AR419" i="10"/>
  <c r="AR418" i="10"/>
  <c r="AR417" i="10"/>
  <c r="AR416" i="10"/>
  <c r="AR415" i="10"/>
  <c r="AR414" i="10"/>
  <c r="AR413" i="10"/>
  <c r="AR412" i="10"/>
  <c r="AR411" i="10"/>
  <c r="AR410" i="10"/>
  <c r="AR409" i="10"/>
  <c r="AR408" i="10"/>
  <c r="AR407" i="10"/>
  <c r="AR406" i="10"/>
  <c r="AR405" i="10"/>
  <c r="AR404" i="10"/>
  <c r="AR403" i="10"/>
  <c r="AR402" i="10"/>
  <c r="AR401" i="10"/>
  <c r="AR400" i="10"/>
  <c r="AR399" i="10"/>
  <c r="AR398" i="10"/>
  <c r="AR397" i="10"/>
  <c r="AR396" i="10"/>
  <c r="AR395" i="10"/>
  <c r="AR394" i="10"/>
  <c r="AR393" i="10"/>
  <c r="AR392" i="10"/>
  <c r="AR391" i="10"/>
  <c r="AR390" i="10"/>
  <c r="AR389" i="10"/>
  <c r="AR388" i="10"/>
  <c r="AR387" i="10"/>
  <c r="AR386" i="10"/>
  <c r="AR385" i="10"/>
  <c r="AR384" i="10"/>
  <c r="AR383" i="10"/>
  <c r="AR382" i="10"/>
  <c r="AR381" i="10"/>
  <c r="AR380" i="10"/>
  <c r="AR379" i="10"/>
  <c r="AR378" i="10"/>
  <c r="AR377" i="10"/>
  <c r="AR376" i="10"/>
  <c r="AR375" i="10"/>
  <c r="AR374" i="10"/>
  <c r="AR373" i="10"/>
  <c r="AR372" i="10"/>
  <c r="AR371" i="10"/>
  <c r="AR370" i="10"/>
  <c r="AR369" i="10"/>
  <c r="AR368" i="10"/>
  <c r="AR367" i="10"/>
  <c r="AR366" i="10"/>
  <c r="AR365" i="10"/>
  <c r="AR364" i="10"/>
  <c r="AR363" i="10"/>
  <c r="AR362" i="10"/>
  <c r="AR361" i="10"/>
  <c r="AR360" i="10"/>
  <c r="AR359" i="10"/>
  <c r="AR358" i="10"/>
  <c r="AR357" i="10"/>
  <c r="AR356" i="10"/>
  <c r="AR355" i="10"/>
  <c r="AR354" i="10"/>
  <c r="AR353" i="10"/>
  <c r="AR352" i="10"/>
  <c r="AR351" i="10"/>
  <c r="AR350" i="10"/>
  <c r="AR349" i="10"/>
  <c r="AR348" i="10"/>
  <c r="AR347" i="10"/>
  <c r="AR346" i="10"/>
  <c r="AR345" i="10"/>
  <c r="AR344" i="10"/>
  <c r="AR343" i="10"/>
  <c r="AP622" i="10"/>
  <c r="AP621" i="10"/>
  <c r="AP620" i="10"/>
  <c r="AP619" i="10"/>
  <c r="AP618" i="10"/>
  <c r="AP617" i="10"/>
  <c r="AP616" i="10"/>
  <c r="AP615" i="10"/>
  <c r="AP614" i="10"/>
  <c r="AP613" i="10"/>
  <c r="AP612" i="10"/>
  <c r="AP611" i="10"/>
  <c r="AP610" i="10"/>
  <c r="AP609" i="10"/>
  <c r="AP608" i="10"/>
  <c r="AP607" i="10"/>
  <c r="AP606" i="10"/>
  <c r="AP605" i="10"/>
  <c r="AP604" i="10"/>
  <c r="AP603" i="10"/>
  <c r="AP602" i="10"/>
  <c r="AP601" i="10"/>
  <c r="AP600" i="10"/>
  <c r="AP599" i="10"/>
  <c r="AP598" i="10"/>
  <c r="AP597" i="10"/>
  <c r="AP596" i="10"/>
  <c r="AP595" i="10"/>
  <c r="AP594" i="10"/>
  <c r="AP593" i="10"/>
  <c r="AP592" i="10"/>
  <c r="AP591" i="10"/>
  <c r="AP590" i="10"/>
  <c r="AP589" i="10"/>
  <c r="AP588" i="10"/>
  <c r="AP587" i="10"/>
  <c r="AP586" i="10"/>
  <c r="AP585" i="10"/>
  <c r="AP584" i="10"/>
  <c r="AP583" i="10"/>
  <c r="AP582" i="10"/>
  <c r="AP581" i="10"/>
  <c r="AP580" i="10"/>
  <c r="AP579" i="10"/>
  <c r="AP578" i="10"/>
  <c r="AP577" i="10"/>
  <c r="AP576" i="10"/>
  <c r="AP575" i="10"/>
  <c r="AP574" i="10"/>
  <c r="AP573" i="10"/>
  <c r="AP572" i="10"/>
  <c r="AP571" i="10"/>
  <c r="AP570" i="10"/>
  <c r="AP569" i="10"/>
  <c r="AP568" i="10"/>
  <c r="AP567" i="10"/>
  <c r="AP566" i="10"/>
  <c r="AP565" i="10"/>
  <c r="AP564" i="10"/>
  <c r="AP563" i="10"/>
  <c r="AP562" i="10"/>
  <c r="AP561" i="10"/>
  <c r="AP560" i="10"/>
  <c r="AP559" i="10"/>
  <c r="AP558" i="10"/>
  <c r="AP557" i="10"/>
  <c r="AP556" i="10"/>
  <c r="AP555" i="10"/>
  <c r="AP554" i="10"/>
  <c r="AP553" i="10"/>
  <c r="AP552" i="10"/>
  <c r="AP551" i="10"/>
  <c r="AP550" i="10"/>
  <c r="AP549" i="10"/>
  <c r="AP548" i="10"/>
  <c r="AP547" i="10"/>
  <c r="AP546" i="10"/>
  <c r="AP545" i="10"/>
  <c r="AP544" i="10"/>
  <c r="AP543" i="10"/>
  <c r="AP542" i="10"/>
  <c r="AP541" i="10"/>
  <c r="AP540" i="10"/>
  <c r="AP539" i="10"/>
  <c r="AP538" i="10"/>
  <c r="AP537" i="10"/>
  <c r="AP536" i="10"/>
  <c r="AP535" i="10"/>
  <c r="AP534" i="10"/>
  <c r="AP533" i="10"/>
  <c r="AP532" i="10"/>
  <c r="AP531" i="10"/>
  <c r="AP530" i="10"/>
  <c r="AP529" i="10"/>
  <c r="AP528" i="10"/>
  <c r="AP527" i="10"/>
  <c r="AP526" i="10"/>
  <c r="AP525" i="10"/>
  <c r="AP524" i="10"/>
  <c r="AP523" i="10"/>
  <c r="AP522" i="10"/>
  <c r="AP521" i="10"/>
  <c r="AP520" i="10"/>
  <c r="AP519" i="10"/>
  <c r="AP518" i="10"/>
  <c r="AP517" i="10"/>
  <c r="AP516" i="10"/>
  <c r="AP515" i="10"/>
  <c r="AP514" i="10"/>
  <c r="AP513" i="10"/>
  <c r="AP512" i="10"/>
  <c r="AP511" i="10"/>
  <c r="AP510" i="10"/>
  <c r="AP509" i="10"/>
  <c r="AP508" i="10"/>
  <c r="AP507" i="10"/>
  <c r="AP506" i="10"/>
  <c r="AP505" i="10"/>
  <c r="AP504" i="10"/>
  <c r="AP503" i="10"/>
  <c r="AP502" i="10"/>
  <c r="AP501" i="10"/>
  <c r="AP500" i="10"/>
  <c r="AP499" i="10"/>
  <c r="AP498" i="10"/>
  <c r="AP497" i="10"/>
  <c r="AP496" i="10"/>
  <c r="AP495" i="10"/>
  <c r="AP494" i="10"/>
  <c r="AP493" i="10"/>
  <c r="AP492" i="10"/>
  <c r="AP491" i="10"/>
  <c r="AP490" i="10"/>
  <c r="AP489" i="10"/>
  <c r="AP488" i="10"/>
  <c r="AP487" i="10"/>
  <c r="AP486" i="10"/>
  <c r="AP485" i="10"/>
  <c r="AP484" i="10"/>
  <c r="AP483" i="10"/>
  <c r="AP482" i="10"/>
  <c r="AP481" i="10"/>
  <c r="AP480" i="10"/>
  <c r="AP479" i="10"/>
  <c r="AP478" i="10"/>
  <c r="AP477" i="10"/>
  <c r="AP476" i="10"/>
  <c r="AP475" i="10"/>
  <c r="AP474" i="10"/>
  <c r="AP473" i="10"/>
  <c r="AP472" i="10"/>
  <c r="AP471" i="10"/>
  <c r="AP470" i="10"/>
  <c r="AP469" i="10"/>
  <c r="AP468" i="10"/>
  <c r="AP467" i="10"/>
  <c r="AP466" i="10"/>
  <c r="AP465" i="10"/>
  <c r="AP464" i="10"/>
  <c r="AP463" i="10"/>
  <c r="AP462" i="10"/>
  <c r="AP461" i="10"/>
  <c r="AP460" i="10"/>
  <c r="AP459" i="10"/>
  <c r="AP458" i="10"/>
  <c r="AP457" i="10"/>
  <c r="AP456" i="10"/>
  <c r="AP455" i="10"/>
  <c r="AP454" i="10"/>
  <c r="AP453" i="10"/>
  <c r="AP452" i="10"/>
  <c r="AP451" i="10"/>
  <c r="AP450" i="10"/>
  <c r="AP449" i="10"/>
  <c r="AP448" i="10"/>
  <c r="AP447" i="10"/>
  <c r="AP446" i="10"/>
  <c r="AP445" i="10"/>
  <c r="AP444" i="10"/>
  <c r="AP443" i="10"/>
  <c r="AP442" i="10"/>
  <c r="AP441" i="10"/>
  <c r="AP440" i="10"/>
  <c r="AP439" i="10"/>
  <c r="AP438" i="10"/>
  <c r="AP437" i="10"/>
  <c r="AP436" i="10"/>
  <c r="AP435" i="10"/>
  <c r="AP434" i="10"/>
  <c r="AP433" i="10"/>
  <c r="AP432" i="10"/>
  <c r="AP431" i="10"/>
  <c r="AP430" i="10"/>
  <c r="AP429" i="10"/>
  <c r="AP428" i="10"/>
  <c r="AP427" i="10"/>
  <c r="AP426" i="10"/>
  <c r="AP425" i="10"/>
  <c r="AP424" i="10"/>
  <c r="AP423" i="10"/>
  <c r="AP422" i="10"/>
  <c r="AP421" i="10"/>
  <c r="AP420" i="10"/>
  <c r="AP419" i="10"/>
  <c r="AP418" i="10"/>
  <c r="AP417" i="10"/>
  <c r="AP416" i="10"/>
  <c r="AP415" i="10"/>
  <c r="AP414" i="10"/>
  <c r="AP413" i="10"/>
  <c r="AP412" i="10"/>
  <c r="AP411" i="10"/>
  <c r="AP410" i="10"/>
  <c r="AP409" i="10"/>
  <c r="AP408" i="10"/>
  <c r="AP407" i="10"/>
  <c r="AP406" i="10"/>
  <c r="AP405" i="10"/>
  <c r="AP404" i="10"/>
  <c r="AP403" i="10"/>
  <c r="AP402" i="10"/>
  <c r="AP401" i="10"/>
  <c r="AP400" i="10"/>
  <c r="AP399" i="10"/>
  <c r="AP398" i="10"/>
  <c r="AP397" i="10"/>
  <c r="AP396" i="10"/>
  <c r="AP395" i="10"/>
  <c r="AP394" i="10"/>
  <c r="AP393" i="10"/>
  <c r="AP392" i="10"/>
  <c r="AP391" i="10"/>
  <c r="AP390" i="10"/>
  <c r="AP389" i="10"/>
  <c r="AP388" i="10"/>
  <c r="AP387" i="10"/>
  <c r="AP386" i="10"/>
  <c r="AP385" i="10"/>
  <c r="AP384" i="10"/>
  <c r="AP383" i="10"/>
  <c r="AP382" i="10"/>
  <c r="AP381" i="10"/>
  <c r="AP380" i="10"/>
  <c r="AP379" i="10"/>
  <c r="AP378" i="10"/>
  <c r="AP377" i="10"/>
  <c r="AP376" i="10"/>
  <c r="AP375" i="10"/>
  <c r="AP374" i="10"/>
  <c r="AP373" i="10"/>
  <c r="AP372" i="10"/>
  <c r="AP371" i="10"/>
  <c r="AP370" i="10"/>
  <c r="AP369" i="10"/>
  <c r="AP368" i="10"/>
  <c r="AP367" i="10"/>
  <c r="AP366" i="10"/>
  <c r="AP365" i="10"/>
  <c r="AP364" i="10"/>
  <c r="AP363" i="10"/>
  <c r="AP362" i="10"/>
  <c r="AP361" i="10"/>
  <c r="AP360" i="10"/>
  <c r="AP359" i="10"/>
  <c r="AP358" i="10"/>
  <c r="AP357" i="10"/>
  <c r="AP356" i="10"/>
  <c r="AP355" i="10"/>
  <c r="AP354" i="10"/>
  <c r="AP353" i="10"/>
  <c r="AP352" i="10"/>
  <c r="AP351" i="10"/>
  <c r="AP350" i="10"/>
  <c r="AP349" i="10"/>
  <c r="AP348" i="10"/>
  <c r="AP347" i="10"/>
  <c r="AP346" i="10"/>
  <c r="AP345" i="10"/>
  <c r="AP344" i="10"/>
  <c r="AP343" i="10"/>
  <c r="AO622" i="10"/>
  <c r="AO621" i="10"/>
  <c r="AO620" i="10"/>
  <c r="AO619" i="10"/>
  <c r="AO618" i="10"/>
  <c r="AO617" i="10"/>
  <c r="AO616" i="10"/>
  <c r="AO615" i="10"/>
  <c r="AO614" i="10"/>
  <c r="AO613" i="10"/>
  <c r="AO612" i="10"/>
  <c r="AO611" i="10"/>
  <c r="AO610" i="10"/>
  <c r="AO609" i="10"/>
  <c r="AO608" i="10"/>
  <c r="AO607" i="10"/>
  <c r="AO606" i="10"/>
  <c r="AO605" i="10"/>
  <c r="AO604" i="10"/>
  <c r="AO603" i="10"/>
  <c r="AO602" i="10"/>
  <c r="AO601" i="10"/>
  <c r="AO600" i="10"/>
  <c r="AO599" i="10"/>
  <c r="AO598" i="10"/>
  <c r="AO597" i="10"/>
  <c r="AO596" i="10"/>
  <c r="AO595" i="10"/>
  <c r="AO594" i="10"/>
  <c r="AO593" i="10"/>
  <c r="AO592" i="10"/>
  <c r="AO591" i="10"/>
  <c r="AO590" i="10"/>
  <c r="AO589" i="10"/>
  <c r="AO588" i="10"/>
  <c r="AO587" i="10"/>
  <c r="AO586" i="10"/>
  <c r="AO585" i="10"/>
  <c r="AO584" i="10"/>
  <c r="AO583" i="10"/>
  <c r="AO582" i="10"/>
  <c r="AO581" i="10"/>
  <c r="AO580" i="10"/>
  <c r="AO579" i="10"/>
  <c r="AO578" i="10"/>
  <c r="AO577" i="10"/>
  <c r="AO576" i="10"/>
  <c r="AO575" i="10"/>
  <c r="AO574" i="10"/>
  <c r="AO573" i="10"/>
  <c r="AO572" i="10"/>
  <c r="AO571" i="10"/>
  <c r="AO570" i="10"/>
  <c r="AO569" i="10"/>
  <c r="AO568" i="10"/>
  <c r="AO567" i="10"/>
  <c r="AO566" i="10"/>
  <c r="AO565" i="10"/>
  <c r="AO564" i="10"/>
  <c r="AO563" i="10"/>
  <c r="AO562" i="10"/>
  <c r="AO561" i="10"/>
  <c r="AO560" i="10"/>
  <c r="AO559" i="10"/>
  <c r="AO558" i="10"/>
  <c r="AO557" i="10"/>
  <c r="AO556" i="10"/>
  <c r="AO555" i="10"/>
  <c r="AO554" i="10"/>
  <c r="AO553" i="10"/>
  <c r="AO552" i="10"/>
  <c r="AO551" i="10"/>
  <c r="AO550" i="10"/>
  <c r="AO549" i="10"/>
  <c r="AO548" i="10"/>
  <c r="AO547" i="10"/>
  <c r="AO546" i="10"/>
  <c r="AO545" i="10"/>
  <c r="AO544" i="10"/>
  <c r="AO543" i="10"/>
  <c r="AO542" i="10"/>
  <c r="AO541" i="10"/>
  <c r="AO540" i="10"/>
  <c r="AO539" i="10"/>
  <c r="AO538" i="10"/>
  <c r="AO537" i="10"/>
  <c r="AO536" i="10"/>
  <c r="AO535" i="10"/>
  <c r="AO534" i="10"/>
  <c r="AO533" i="10"/>
  <c r="AO532" i="10"/>
  <c r="AO531" i="10"/>
  <c r="AO530" i="10"/>
  <c r="AO529" i="10"/>
  <c r="AO528" i="10"/>
  <c r="AO527" i="10"/>
  <c r="AO526" i="10"/>
  <c r="AO525" i="10"/>
  <c r="AO524" i="10"/>
  <c r="AO523" i="10"/>
  <c r="AO522" i="10"/>
  <c r="AO521" i="10"/>
  <c r="AO520" i="10"/>
  <c r="AO519" i="10"/>
  <c r="AO518" i="10"/>
  <c r="AO517" i="10"/>
  <c r="AO516" i="10"/>
  <c r="AO515" i="10"/>
  <c r="AO514" i="10"/>
  <c r="AO513" i="10"/>
  <c r="AO512" i="10"/>
  <c r="AO511" i="10"/>
  <c r="AO510" i="10"/>
  <c r="AO509" i="10"/>
  <c r="AO508" i="10"/>
  <c r="AO507" i="10"/>
  <c r="AO506" i="10"/>
  <c r="AO505" i="10"/>
  <c r="AO504" i="10"/>
  <c r="AO503" i="10"/>
  <c r="AO502" i="10"/>
  <c r="AO501" i="10"/>
  <c r="AO500" i="10"/>
  <c r="AO499" i="10"/>
  <c r="AO498" i="10"/>
  <c r="AO497" i="10"/>
  <c r="AO496" i="10"/>
  <c r="AO495" i="10"/>
  <c r="AO494" i="10"/>
  <c r="AO493" i="10"/>
  <c r="AO492" i="10"/>
  <c r="AO491" i="10"/>
  <c r="AO490" i="10"/>
  <c r="AO489" i="10"/>
  <c r="AO488" i="10"/>
  <c r="AO487" i="10"/>
  <c r="AO486" i="10"/>
  <c r="AO485" i="10"/>
  <c r="AO484" i="10"/>
  <c r="AO483" i="10"/>
  <c r="AO482" i="10"/>
  <c r="AO481" i="10"/>
  <c r="AO480" i="10"/>
  <c r="AO479" i="10"/>
  <c r="AO478" i="10"/>
  <c r="AO477" i="10"/>
  <c r="AO476" i="10"/>
  <c r="AO475" i="10"/>
  <c r="AO474" i="10"/>
  <c r="AO473" i="10"/>
  <c r="AO472" i="10"/>
  <c r="AO471" i="10"/>
  <c r="AO470" i="10"/>
  <c r="AO469" i="10"/>
  <c r="AO468" i="10"/>
  <c r="AO467" i="10"/>
  <c r="AO466" i="10"/>
  <c r="AO465" i="10"/>
  <c r="AO464" i="10"/>
  <c r="AO463" i="10"/>
  <c r="AO462" i="10"/>
  <c r="AO461" i="10"/>
  <c r="AO460" i="10"/>
  <c r="AO459" i="10"/>
  <c r="AO458" i="10"/>
  <c r="AO457" i="10"/>
  <c r="AO456" i="10"/>
  <c r="AO455" i="10"/>
  <c r="AO454" i="10"/>
  <c r="AO453" i="10"/>
  <c r="AO452" i="10"/>
  <c r="AO451" i="10"/>
  <c r="AO450" i="10"/>
  <c r="AO449" i="10"/>
  <c r="AO448" i="10"/>
  <c r="AO447" i="10"/>
  <c r="AO446" i="10"/>
  <c r="AO445" i="10"/>
  <c r="AO444" i="10"/>
  <c r="AO443" i="10"/>
  <c r="AO442" i="10"/>
  <c r="AO441" i="10"/>
  <c r="AO440" i="10"/>
  <c r="AO439" i="10"/>
  <c r="AO438" i="10"/>
  <c r="AO437" i="10"/>
  <c r="AO436" i="10"/>
  <c r="AO435" i="10"/>
  <c r="AO434" i="10"/>
  <c r="AO433" i="10"/>
  <c r="AO432" i="10"/>
  <c r="AO431" i="10"/>
  <c r="AO430" i="10"/>
  <c r="AO429" i="10"/>
  <c r="AO428" i="10"/>
  <c r="AO427" i="10"/>
  <c r="AO426" i="10"/>
  <c r="AO425" i="10"/>
  <c r="AO424" i="10"/>
  <c r="AO423" i="10"/>
  <c r="AO422" i="10"/>
  <c r="AO421" i="10"/>
  <c r="AO420" i="10"/>
  <c r="AO419" i="10"/>
  <c r="AO418" i="10"/>
  <c r="AO417" i="10"/>
  <c r="AO416" i="10"/>
  <c r="AO415" i="10"/>
  <c r="AO414" i="10"/>
  <c r="AO413" i="10"/>
  <c r="AO412" i="10"/>
  <c r="AO411" i="10"/>
  <c r="AO410" i="10"/>
  <c r="AO409" i="10"/>
  <c r="AO408" i="10"/>
  <c r="AO407" i="10"/>
  <c r="AO406" i="10"/>
  <c r="AO405" i="10"/>
  <c r="AO404" i="10"/>
  <c r="AO403" i="10"/>
  <c r="AO402" i="10"/>
  <c r="AO401" i="10"/>
  <c r="AO400" i="10"/>
  <c r="AO399" i="10"/>
  <c r="AO398" i="10"/>
  <c r="AO397" i="10"/>
  <c r="AO396" i="10"/>
  <c r="AO395" i="10"/>
  <c r="AO394" i="10"/>
  <c r="AO393" i="10"/>
  <c r="AO392" i="10"/>
  <c r="AO391" i="10"/>
  <c r="AO390" i="10"/>
  <c r="AO389" i="10"/>
  <c r="AO388" i="10"/>
  <c r="AO387" i="10"/>
  <c r="AO386" i="10"/>
  <c r="AO385" i="10"/>
  <c r="AO384" i="10"/>
  <c r="AO383" i="10"/>
  <c r="AO382" i="10"/>
  <c r="AO381" i="10"/>
  <c r="AO380" i="10"/>
  <c r="AO379" i="10"/>
  <c r="AO378" i="10"/>
  <c r="AO377" i="10"/>
  <c r="AO376" i="10"/>
  <c r="AO375" i="10"/>
  <c r="AO374" i="10"/>
  <c r="AO373" i="10"/>
  <c r="AO372" i="10"/>
  <c r="AO371" i="10"/>
  <c r="AO370" i="10"/>
  <c r="AO369" i="10"/>
  <c r="AO368" i="10"/>
  <c r="AO367" i="10"/>
  <c r="AO366" i="10"/>
  <c r="AO365" i="10"/>
  <c r="AO364" i="10"/>
  <c r="AO363" i="10"/>
  <c r="AO362" i="10"/>
  <c r="AO361" i="10"/>
  <c r="AO360" i="10"/>
  <c r="AO359" i="10"/>
  <c r="AO358" i="10"/>
  <c r="AO357" i="10"/>
  <c r="AO356" i="10"/>
  <c r="AO355" i="10"/>
  <c r="AO354" i="10"/>
  <c r="AO353" i="10"/>
  <c r="AO352" i="10"/>
  <c r="AO351" i="10"/>
  <c r="AO350" i="10"/>
  <c r="AO349" i="10"/>
  <c r="AO348" i="10"/>
  <c r="AO347" i="10"/>
  <c r="AO346" i="10"/>
  <c r="AO345" i="10"/>
  <c r="AO344" i="10"/>
  <c r="AO343" i="10"/>
  <c r="AN622" i="10"/>
  <c r="AN621" i="10"/>
  <c r="AN620" i="10"/>
  <c r="AN619" i="10"/>
  <c r="AN618" i="10"/>
  <c r="AN617" i="10"/>
  <c r="AN616" i="10"/>
  <c r="AN615" i="10"/>
  <c r="AN614" i="10"/>
  <c r="AN613" i="10"/>
  <c r="AN612" i="10"/>
  <c r="AN611" i="10"/>
  <c r="AN610" i="10"/>
  <c r="AN609" i="10"/>
  <c r="AN608" i="10"/>
  <c r="AN607" i="10"/>
  <c r="AN606" i="10"/>
  <c r="AN605" i="10"/>
  <c r="AN604" i="10"/>
  <c r="AN603" i="10"/>
  <c r="AN602" i="10"/>
  <c r="AN601" i="10"/>
  <c r="AN600" i="10"/>
  <c r="AN599" i="10"/>
  <c r="AN598" i="10"/>
  <c r="AN597" i="10"/>
  <c r="AN596" i="10"/>
  <c r="AN595" i="10"/>
  <c r="AN594" i="10"/>
  <c r="AN593" i="10"/>
  <c r="AN592" i="10"/>
  <c r="AN591" i="10"/>
  <c r="AN590" i="10"/>
  <c r="AN589" i="10"/>
  <c r="AN588" i="10"/>
  <c r="AN587" i="10"/>
  <c r="AN586" i="10"/>
  <c r="AN585" i="10"/>
  <c r="AN584" i="10"/>
  <c r="AN583" i="10"/>
  <c r="AN582" i="10"/>
  <c r="AN581" i="10"/>
  <c r="AN580" i="10"/>
  <c r="AN579" i="10"/>
  <c r="AN578" i="10"/>
  <c r="AN577" i="10"/>
  <c r="AN576" i="10"/>
  <c r="AN575" i="10"/>
  <c r="AN574" i="10"/>
  <c r="AN573" i="10"/>
  <c r="AN572" i="10"/>
  <c r="AN571" i="10"/>
  <c r="AN570" i="10"/>
  <c r="AN569" i="10"/>
  <c r="AN568" i="10"/>
  <c r="AN567" i="10"/>
  <c r="AN566" i="10"/>
  <c r="AN565" i="10"/>
  <c r="AN564" i="10"/>
  <c r="AN563" i="10"/>
  <c r="AN562" i="10"/>
  <c r="AN561" i="10"/>
  <c r="AN560" i="10"/>
  <c r="AN559" i="10"/>
  <c r="AN558" i="10"/>
  <c r="AN557" i="10"/>
  <c r="AN556" i="10"/>
  <c r="AN555" i="10"/>
  <c r="AN554" i="10"/>
  <c r="AN553" i="10"/>
  <c r="AN552" i="10"/>
  <c r="AN551" i="10"/>
  <c r="AN550" i="10"/>
  <c r="AN549" i="10"/>
  <c r="AN548" i="10"/>
  <c r="AN547" i="10"/>
  <c r="AN546" i="10"/>
  <c r="AN545" i="10"/>
  <c r="AN544" i="10"/>
  <c r="AN543" i="10"/>
  <c r="AN542" i="10"/>
  <c r="AN541" i="10"/>
  <c r="AN540" i="10"/>
  <c r="AN539" i="10"/>
  <c r="AN538" i="10"/>
  <c r="AN537" i="10"/>
  <c r="AN536" i="10"/>
  <c r="AN535" i="10"/>
  <c r="AN534" i="10"/>
  <c r="AN533" i="10"/>
  <c r="AN532" i="10"/>
  <c r="AN531" i="10"/>
  <c r="AN530" i="10"/>
  <c r="AN529" i="10"/>
  <c r="AN528" i="10"/>
  <c r="AN527" i="10"/>
  <c r="AN526" i="10"/>
  <c r="AN525" i="10"/>
  <c r="AN524" i="10"/>
  <c r="AN523" i="10"/>
  <c r="AN522" i="10"/>
  <c r="AN521" i="10"/>
  <c r="AN520" i="10"/>
  <c r="AN519" i="10"/>
  <c r="AN518" i="10"/>
  <c r="AN517" i="10"/>
  <c r="AN516" i="10"/>
  <c r="AN515" i="10"/>
  <c r="AN514" i="10"/>
  <c r="AN513" i="10"/>
  <c r="AN512" i="10"/>
  <c r="AN511" i="10"/>
  <c r="AN510" i="10"/>
  <c r="AN509" i="10"/>
  <c r="AN508" i="10"/>
  <c r="AN507" i="10"/>
  <c r="AN506" i="10"/>
  <c r="AN505" i="10"/>
  <c r="AN504" i="10"/>
  <c r="AN503" i="10"/>
  <c r="AN502" i="10"/>
  <c r="AN501" i="10"/>
  <c r="AN500" i="10"/>
  <c r="AN499" i="10"/>
  <c r="AN498" i="10"/>
  <c r="AN497" i="10"/>
  <c r="AN496" i="10"/>
  <c r="AN495" i="10"/>
  <c r="AN494" i="10"/>
  <c r="AN493" i="10"/>
  <c r="AN492" i="10"/>
  <c r="AN491" i="10"/>
  <c r="AN490" i="10"/>
  <c r="AN489" i="10"/>
  <c r="AN488" i="10"/>
  <c r="AN487" i="10"/>
  <c r="AN486" i="10"/>
  <c r="AN485" i="10"/>
  <c r="AN484" i="10"/>
  <c r="AN483" i="10"/>
  <c r="AN482" i="10"/>
  <c r="AN481" i="10"/>
  <c r="AN480" i="10"/>
  <c r="AN479" i="10"/>
  <c r="AN478" i="10"/>
  <c r="AN477" i="10"/>
  <c r="AN476" i="10"/>
  <c r="AN475" i="10"/>
  <c r="AN474" i="10"/>
  <c r="AN473" i="10"/>
  <c r="AN472" i="10"/>
  <c r="AN471" i="10"/>
  <c r="AN470" i="10"/>
  <c r="AN469" i="10"/>
  <c r="AN468" i="10"/>
  <c r="AN467" i="10"/>
  <c r="AN466" i="10"/>
  <c r="AN465" i="10"/>
  <c r="AN464" i="10"/>
  <c r="AN463" i="10"/>
  <c r="AN462" i="10"/>
  <c r="AN461" i="10"/>
  <c r="AN460" i="10"/>
  <c r="AN459" i="10"/>
  <c r="AN458" i="10"/>
  <c r="AN457" i="10"/>
  <c r="AN456" i="10"/>
  <c r="AN455" i="10"/>
  <c r="AN454" i="10"/>
  <c r="AN453" i="10"/>
  <c r="AN452" i="10"/>
  <c r="AN451" i="10"/>
  <c r="AN450" i="10"/>
  <c r="AN449" i="10"/>
  <c r="AN448" i="10"/>
  <c r="AN447" i="10"/>
  <c r="AN446" i="10"/>
  <c r="AN445" i="10"/>
  <c r="AN444" i="10"/>
  <c r="AN443" i="10"/>
  <c r="AN442" i="10"/>
  <c r="AN441" i="10"/>
  <c r="AN440" i="10"/>
  <c r="AN439" i="10"/>
  <c r="AN438" i="10"/>
  <c r="AN437" i="10"/>
  <c r="AN436" i="10"/>
  <c r="AN435" i="10"/>
  <c r="AN434" i="10"/>
  <c r="AN433" i="10"/>
  <c r="AN432" i="10"/>
  <c r="AN431" i="10"/>
  <c r="AN430" i="10"/>
  <c r="AN429" i="10"/>
  <c r="AN428" i="10"/>
  <c r="AN427" i="10"/>
  <c r="AN426" i="10"/>
  <c r="AN425" i="10"/>
  <c r="AN424" i="10"/>
  <c r="AN423" i="10"/>
  <c r="AN422" i="10"/>
  <c r="AN421" i="10"/>
  <c r="AN420" i="10"/>
  <c r="AN419" i="10"/>
  <c r="AN418" i="10"/>
  <c r="AN417" i="10"/>
  <c r="AN416" i="10"/>
  <c r="AN415" i="10"/>
  <c r="AN414" i="10"/>
  <c r="AN413" i="10"/>
  <c r="AN412" i="10"/>
  <c r="AN411" i="10"/>
  <c r="AN410" i="10"/>
  <c r="AN409" i="10"/>
  <c r="AN408" i="10"/>
  <c r="AN407" i="10"/>
  <c r="AN406" i="10"/>
  <c r="AN405" i="10"/>
  <c r="AN404" i="10"/>
  <c r="AN403" i="10"/>
  <c r="AN402" i="10"/>
  <c r="AN401" i="10"/>
  <c r="AN400" i="10"/>
  <c r="AN399" i="10"/>
  <c r="AN398" i="10"/>
  <c r="AN397" i="10"/>
  <c r="AN396" i="10"/>
  <c r="AN395" i="10"/>
  <c r="AN394" i="10"/>
  <c r="AN393" i="10"/>
  <c r="AN392" i="10"/>
  <c r="AN391" i="10"/>
  <c r="AN390" i="10"/>
  <c r="AN389" i="10"/>
  <c r="AN388" i="10"/>
  <c r="AN387" i="10"/>
  <c r="AN386" i="10"/>
  <c r="AN385" i="10"/>
  <c r="AN384" i="10"/>
  <c r="AN383" i="10"/>
  <c r="AN382" i="10"/>
  <c r="AN381" i="10"/>
  <c r="AN380" i="10"/>
  <c r="AN379" i="10"/>
  <c r="AN378" i="10"/>
  <c r="AN377" i="10"/>
  <c r="AN376" i="10"/>
  <c r="AN375" i="10"/>
  <c r="AN374" i="10"/>
  <c r="AN373" i="10"/>
  <c r="AN372" i="10"/>
  <c r="AN371" i="10"/>
  <c r="AN370" i="10"/>
  <c r="AN369" i="10"/>
  <c r="AN368" i="10"/>
  <c r="AN367" i="10"/>
  <c r="AN366" i="10"/>
  <c r="AN365" i="10"/>
  <c r="AN364" i="10"/>
  <c r="AN363" i="10"/>
  <c r="AN362" i="10"/>
  <c r="AN361" i="10"/>
  <c r="AN360" i="10"/>
  <c r="AN359" i="10"/>
  <c r="AN358" i="10"/>
  <c r="AN357" i="10"/>
  <c r="AN356" i="10"/>
  <c r="AN355" i="10"/>
  <c r="AN354" i="10"/>
  <c r="AN353" i="10"/>
  <c r="AN352" i="10"/>
  <c r="AN351" i="10"/>
  <c r="AN350" i="10"/>
  <c r="AN349" i="10"/>
  <c r="AN348" i="10"/>
  <c r="AN347" i="10"/>
  <c r="AN346" i="10"/>
  <c r="AN345" i="10"/>
  <c r="AN344" i="10"/>
  <c r="AN343" i="10"/>
  <c r="AM622" i="10"/>
  <c r="AM621" i="10"/>
  <c r="AM620" i="10"/>
  <c r="AM619" i="10"/>
  <c r="AM618" i="10"/>
  <c r="AM617" i="10"/>
  <c r="AM616" i="10"/>
  <c r="AM615" i="10"/>
  <c r="AM614" i="10"/>
  <c r="AM613" i="10"/>
  <c r="AM612" i="10"/>
  <c r="AM611" i="10"/>
  <c r="AM610" i="10"/>
  <c r="AM609" i="10"/>
  <c r="AM608" i="10"/>
  <c r="AM607" i="10"/>
  <c r="AM606" i="10"/>
  <c r="AM605" i="10"/>
  <c r="AM604" i="10"/>
  <c r="AM603" i="10"/>
  <c r="AM602" i="10"/>
  <c r="AM601" i="10"/>
  <c r="AM600" i="10"/>
  <c r="AM599" i="10"/>
  <c r="AM598" i="10"/>
  <c r="AM597" i="10"/>
  <c r="AM596" i="10"/>
  <c r="AM595" i="10"/>
  <c r="AM594" i="10"/>
  <c r="AM593" i="10"/>
  <c r="AM592" i="10"/>
  <c r="AM591" i="10"/>
  <c r="AM590" i="10"/>
  <c r="AM589" i="10"/>
  <c r="AM588" i="10"/>
  <c r="AM587" i="10"/>
  <c r="AM586" i="10"/>
  <c r="AM585" i="10"/>
  <c r="AM584" i="10"/>
  <c r="AM583" i="10"/>
  <c r="AM582" i="10"/>
  <c r="AM581" i="10"/>
  <c r="AM580" i="10"/>
  <c r="AM579" i="10"/>
  <c r="AM578" i="10"/>
  <c r="AM577" i="10"/>
  <c r="AM576" i="10"/>
  <c r="AM575" i="10"/>
  <c r="AM574" i="10"/>
  <c r="AM573" i="10"/>
  <c r="AM572" i="10"/>
  <c r="AM571" i="10"/>
  <c r="AM570" i="10"/>
  <c r="AM569" i="10"/>
  <c r="AM568" i="10"/>
  <c r="AM567" i="10"/>
  <c r="AM566" i="10"/>
  <c r="AM565" i="10"/>
  <c r="AM564" i="10"/>
  <c r="AM563" i="10"/>
  <c r="AM562" i="10"/>
  <c r="AM561" i="10"/>
  <c r="AM560" i="10"/>
  <c r="AM559" i="10"/>
  <c r="AM558" i="10"/>
  <c r="AM557" i="10"/>
  <c r="AM556" i="10"/>
  <c r="AM555" i="10"/>
  <c r="AM554" i="10"/>
  <c r="AM553" i="10"/>
  <c r="AM552" i="10"/>
  <c r="AM551" i="10"/>
  <c r="AM550" i="10"/>
  <c r="AM549" i="10"/>
  <c r="AM548" i="10"/>
  <c r="AM547" i="10"/>
  <c r="AM546" i="10"/>
  <c r="AM545" i="10"/>
  <c r="AM544" i="10"/>
  <c r="AM543" i="10"/>
  <c r="AM542" i="10"/>
  <c r="AM541" i="10"/>
  <c r="AM540" i="10"/>
  <c r="AM539" i="10"/>
  <c r="AM538" i="10"/>
  <c r="AM537" i="10"/>
  <c r="AM536" i="10"/>
  <c r="AM535" i="10"/>
  <c r="AM534" i="10"/>
  <c r="AM533" i="10"/>
  <c r="AM532" i="10"/>
  <c r="AM531" i="10"/>
  <c r="AM530" i="10"/>
  <c r="AM529" i="10"/>
  <c r="AM528" i="10"/>
  <c r="AM527" i="10"/>
  <c r="AM526" i="10"/>
  <c r="AM525" i="10"/>
  <c r="AM524" i="10"/>
  <c r="AM523" i="10"/>
  <c r="AM522" i="10"/>
  <c r="AM521" i="10"/>
  <c r="AM520" i="10"/>
  <c r="AM519" i="10"/>
  <c r="AM518" i="10"/>
  <c r="AM517" i="10"/>
  <c r="AM516" i="10"/>
  <c r="AM515" i="10"/>
  <c r="AM514" i="10"/>
  <c r="AM513" i="10"/>
  <c r="AM512" i="10"/>
  <c r="AM511" i="10"/>
  <c r="AM510" i="10"/>
  <c r="AM509" i="10"/>
  <c r="AM508" i="10"/>
  <c r="AM507" i="10"/>
  <c r="AM506" i="10"/>
  <c r="AM505" i="10"/>
  <c r="AM504" i="10"/>
  <c r="AM503" i="10"/>
  <c r="AM502" i="10"/>
  <c r="AM501" i="10"/>
  <c r="AM500" i="10"/>
  <c r="AM499" i="10"/>
  <c r="AM498" i="10"/>
  <c r="AM497" i="10"/>
  <c r="AM496" i="10"/>
  <c r="AM495" i="10"/>
  <c r="AM494" i="10"/>
  <c r="AM493" i="10"/>
  <c r="AM492" i="10"/>
  <c r="AM491" i="10"/>
  <c r="AM490" i="10"/>
  <c r="AM489" i="10"/>
  <c r="AM488" i="10"/>
  <c r="AM487" i="10"/>
  <c r="AM486" i="10"/>
  <c r="AM485" i="10"/>
  <c r="AM484" i="10"/>
  <c r="AM483" i="10"/>
  <c r="AM482" i="10"/>
  <c r="AM481" i="10"/>
  <c r="AM480" i="10"/>
  <c r="AM479" i="10"/>
  <c r="AM478" i="10"/>
  <c r="AM477" i="10"/>
  <c r="AM476" i="10"/>
  <c r="AM475" i="10"/>
  <c r="AM474" i="10"/>
  <c r="AM473" i="10"/>
  <c r="AM472" i="10"/>
  <c r="AM471" i="10"/>
  <c r="AM470" i="10"/>
  <c r="AM469" i="10"/>
  <c r="AM468" i="10"/>
  <c r="AM467" i="10"/>
  <c r="AM466" i="10"/>
  <c r="AM465" i="10"/>
  <c r="AM464" i="10"/>
  <c r="AM463" i="10"/>
  <c r="AM462" i="10"/>
  <c r="AM461" i="10"/>
  <c r="AM460" i="10"/>
  <c r="AM459" i="10"/>
  <c r="AM458" i="10"/>
  <c r="AM457" i="10"/>
  <c r="AM456" i="10"/>
  <c r="AM455" i="10"/>
  <c r="AM454" i="10"/>
  <c r="AM453" i="10"/>
  <c r="AM452" i="10"/>
  <c r="AM451" i="10"/>
  <c r="AM450" i="10"/>
  <c r="AM449" i="10"/>
  <c r="AM448" i="10"/>
  <c r="AM447" i="10"/>
  <c r="AM446" i="10"/>
  <c r="AM445" i="10"/>
  <c r="AM444" i="10"/>
  <c r="AM443" i="10"/>
  <c r="AM442" i="10"/>
  <c r="AM441" i="10"/>
  <c r="AM440" i="10"/>
  <c r="AM439" i="10"/>
  <c r="AM438" i="10"/>
  <c r="AM437" i="10"/>
  <c r="AM436" i="10"/>
  <c r="AM435" i="10"/>
  <c r="AM434" i="10"/>
  <c r="AM433" i="10"/>
  <c r="AM432" i="10"/>
  <c r="AM431" i="10"/>
  <c r="AM430" i="10"/>
  <c r="AM429" i="10"/>
  <c r="AM428" i="10"/>
  <c r="AM427" i="10"/>
  <c r="AM426" i="10"/>
  <c r="AM425" i="10"/>
  <c r="AM424" i="10"/>
  <c r="AM423" i="10"/>
  <c r="AM422" i="10"/>
  <c r="AM421" i="10"/>
  <c r="AM420" i="10"/>
  <c r="AM419" i="10"/>
  <c r="AM418" i="10"/>
  <c r="AM417" i="10"/>
  <c r="AM416" i="10"/>
  <c r="AM415" i="10"/>
  <c r="AM414" i="10"/>
  <c r="AM413" i="10"/>
  <c r="AM412" i="10"/>
  <c r="AM411" i="10"/>
  <c r="AM410" i="10"/>
  <c r="AM409" i="10"/>
  <c r="AM408" i="10"/>
  <c r="AM407" i="10"/>
  <c r="AM406" i="10"/>
  <c r="AM405" i="10"/>
  <c r="AM404" i="10"/>
  <c r="AM403" i="10"/>
  <c r="AM402" i="10"/>
  <c r="AM401" i="10"/>
  <c r="AM400" i="10"/>
  <c r="AM399" i="10"/>
  <c r="AM398" i="10"/>
  <c r="AM397" i="10"/>
  <c r="AM396" i="10"/>
  <c r="AM395" i="10"/>
  <c r="AM394" i="10"/>
  <c r="AM393" i="10"/>
  <c r="AM392" i="10"/>
  <c r="AM391" i="10"/>
  <c r="AM390" i="10"/>
  <c r="AM389" i="10"/>
  <c r="AM388" i="10"/>
  <c r="AM387" i="10"/>
  <c r="AM386" i="10"/>
  <c r="AM385" i="10"/>
  <c r="AM384" i="10"/>
  <c r="AM383" i="10"/>
  <c r="AM382" i="10"/>
  <c r="AM381" i="10"/>
  <c r="AM380" i="10"/>
  <c r="AM379" i="10"/>
  <c r="AM378" i="10"/>
  <c r="AM377" i="10"/>
  <c r="AM376" i="10"/>
  <c r="AM375" i="10"/>
  <c r="AM374" i="10"/>
  <c r="AM373" i="10"/>
  <c r="AM372" i="10"/>
  <c r="AM371" i="10"/>
  <c r="AM370" i="10"/>
  <c r="AM369" i="10"/>
  <c r="AM368" i="10"/>
  <c r="AM367" i="10"/>
  <c r="AM366" i="10"/>
  <c r="AM365" i="10"/>
  <c r="AM364" i="10"/>
  <c r="AM363" i="10"/>
  <c r="AM362" i="10"/>
  <c r="AM361" i="10"/>
  <c r="AM360" i="10"/>
  <c r="AM359" i="10"/>
  <c r="AM358" i="10"/>
  <c r="AM357" i="10"/>
  <c r="AM356" i="10"/>
  <c r="AM355" i="10"/>
  <c r="AM354" i="10"/>
  <c r="AM353" i="10"/>
  <c r="AM352" i="10"/>
  <c r="AM351" i="10"/>
  <c r="AM350" i="10"/>
  <c r="AM349" i="10"/>
  <c r="AM348" i="10"/>
  <c r="AM347" i="10"/>
  <c r="AM346" i="10"/>
  <c r="AM345" i="10"/>
  <c r="AM344" i="10"/>
  <c r="AM343" i="10"/>
  <c r="AL622" i="10"/>
  <c r="AL621" i="10"/>
  <c r="AL620" i="10"/>
  <c r="AL619" i="10"/>
  <c r="AL618" i="10"/>
  <c r="AL617" i="10"/>
  <c r="AL616" i="10"/>
  <c r="AL615" i="10"/>
  <c r="AL614" i="10"/>
  <c r="AL613" i="10"/>
  <c r="AL612" i="10"/>
  <c r="AL611" i="10"/>
  <c r="AL610" i="10"/>
  <c r="AL609" i="10"/>
  <c r="AL608" i="10"/>
  <c r="AL607" i="10"/>
  <c r="AL606" i="10"/>
  <c r="AL605" i="10"/>
  <c r="AL604" i="10"/>
  <c r="AL603" i="10"/>
  <c r="AL602" i="10"/>
  <c r="AL601" i="10"/>
  <c r="AL600" i="10"/>
  <c r="AL599" i="10"/>
  <c r="AL598" i="10"/>
  <c r="AL597" i="10"/>
  <c r="AL596" i="10"/>
  <c r="AL595" i="10"/>
  <c r="AL594" i="10"/>
  <c r="AL593" i="10"/>
  <c r="AL592" i="10"/>
  <c r="AL591" i="10"/>
  <c r="AL590" i="10"/>
  <c r="AL589" i="10"/>
  <c r="AL588" i="10"/>
  <c r="AL587" i="10"/>
  <c r="AL586" i="10"/>
  <c r="AL585" i="10"/>
  <c r="AL584" i="10"/>
  <c r="AL583" i="10"/>
  <c r="AL582" i="10"/>
  <c r="AL581" i="10"/>
  <c r="AL580" i="10"/>
  <c r="AL579" i="10"/>
  <c r="AL578" i="10"/>
  <c r="AL577" i="10"/>
  <c r="AL576" i="10"/>
  <c r="AL575" i="10"/>
  <c r="AL574" i="10"/>
  <c r="AL573" i="10"/>
  <c r="AL572" i="10"/>
  <c r="AL571" i="10"/>
  <c r="AL570" i="10"/>
  <c r="AL569" i="10"/>
  <c r="AL568" i="10"/>
  <c r="AL567" i="10"/>
  <c r="AL566" i="10"/>
  <c r="AL565" i="10"/>
  <c r="AL564" i="10"/>
  <c r="AL563" i="10"/>
  <c r="AL562" i="10"/>
  <c r="AL561" i="10"/>
  <c r="AL560" i="10"/>
  <c r="AL559" i="10"/>
  <c r="AL558" i="10"/>
  <c r="AL557" i="10"/>
  <c r="AL556" i="10"/>
  <c r="AL555" i="10"/>
  <c r="AL554" i="10"/>
  <c r="AL553" i="10"/>
  <c r="AL552" i="10"/>
  <c r="AL551" i="10"/>
  <c r="AL550" i="10"/>
  <c r="AL549" i="10"/>
  <c r="AL548" i="10"/>
  <c r="AL547" i="10"/>
  <c r="AL546" i="10"/>
  <c r="AL545" i="10"/>
  <c r="AL544" i="10"/>
  <c r="AL543" i="10"/>
  <c r="AL542" i="10"/>
  <c r="AL541" i="10"/>
  <c r="AL540" i="10"/>
  <c r="AL539" i="10"/>
  <c r="AL538" i="10"/>
  <c r="AL537" i="10"/>
  <c r="AL536" i="10"/>
  <c r="AL535" i="10"/>
  <c r="AL534" i="10"/>
  <c r="AL533" i="10"/>
  <c r="AL532" i="10"/>
  <c r="AL531" i="10"/>
  <c r="AL530" i="10"/>
  <c r="AL529" i="10"/>
  <c r="AL528" i="10"/>
  <c r="AL527" i="10"/>
  <c r="AL526" i="10"/>
  <c r="AL525" i="10"/>
  <c r="AL524" i="10"/>
  <c r="AL523" i="10"/>
  <c r="AL522" i="10"/>
  <c r="AL521" i="10"/>
  <c r="AL520" i="10"/>
  <c r="AL519" i="10"/>
  <c r="AL518" i="10"/>
  <c r="AL517" i="10"/>
  <c r="AL516" i="10"/>
  <c r="AL515" i="10"/>
  <c r="AL514" i="10"/>
  <c r="AL513" i="10"/>
  <c r="AL512" i="10"/>
  <c r="AL511" i="10"/>
  <c r="AL510" i="10"/>
  <c r="AL509" i="10"/>
  <c r="AL508" i="10"/>
  <c r="AL507" i="10"/>
  <c r="AL506" i="10"/>
  <c r="AL505" i="10"/>
  <c r="AL504" i="10"/>
  <c r="AL503" i="10"/>
  <c r="AL502" i="10"/>
  <c r="AL501" i="10"/>
  <c r="AL500" i="10"/>
  <c r="AL499" i="10"/>
  <c r="AL498" i="10"/>
  <c r="AL497" i="10"/>
  <c r="AL496" i="10"/>
  <c r="AL495" i="10"/>
  <c r="AL494" i="10"/>
  <c r="AL493" i="10"/>
  <c r="AL492" i="10"/>
  <c r="AL491" i="10"/>
  <c r="AL490" i="10"/>
  <c r="AL489" i="10"/>
  <c r="AL488" i="10"/>
  <c r="AL487" i="10"/>
  <c r="AL486" i="10"/>
  <c r="AL485" i="10"/>
  <c r="AL484" i="10"/>
  <c r="AL483" i="10"/>
  <c r="AL482" i="10"/>
  <c r="AL481" i="10"/>
  <c r="AL480" i="10"/>
  <c r="AL479" i="10"/>
  <c r="AL478" i="10"/>
  <c r="AL477" i="10"/>
  <c r="AL476" i="10"/>
  <c r="AL475" i="10"/>
  <c r="AL474" i="10"/>
  <c r="AL473" i="10"/>
  <c r="AL472" i="10"/>
  <c r="AL471" i="10"/>
  <c r="AL470" i="10"/>
  <c r="AL469" i="10"/>
  <c r="AL468" i="10"/>
  <c r="AL467" i="10"/>
  <c r="AL466" i="10"/>
  <c r="AL465" i="10"/>
  <c r="AL464" i="10"/>
  <c r="AL463" i="10"/>
  <c r="AL462" i="10"/>
  <c r="AL461" i="10"/>
  <c r="AL460" i="10"/>
  <c r="AL459" i="10"/>
  <c r="AL458" i="10"/>
  <c r="AL457" i="10"/>
  <c r="AL456" i="10"/>
  <c r="AL455" i="10"/>
  <c r="AL454" i="10"/>
  <c r="AL453" i="10"/>
  <c r="AL452" i="10"/>
  <c r="AL451" i="10"/>
  <c r="AL450" i="10"/>
  <c r="AL449" i="10"/>
  <c r="AL448" i="10"/>
  <c r="AL447" i="10"/>
  <c r="AL446" i="10"/>
  <c r="AL445" i="10"/>
  <c r="AL444" i="10"/>
  <c r="AL443" i="10"/>
  <c r="AL442" i="10"/>
  <c r="AL441" i="10"/>
  <c r="AL440" i="10"/>
  <c r="AL439" i="10"/>
  <c r="AL438" i="10"/>
  <c r="AL437" i="10"/>
  <c r="AL436" i="10"/>
  <c r="AL435" i="10"/>
  <c r="AL434" i="10"/>
  <c r="AL433" i="10"/>
  <c r="AL432" i="10"/>
  <c r="AL431" i="10"/>
  <c r="AL430" i="10"/>
  <c r="AL429" i="10"/>
  <c r="AL428" i="10"/>
  <c r="AL427" i="10"/>
  <c r="AL426" i="10"/>
  <c r="AL425" i="10"/>
  <c r="AL424" i="10"/>
  <c r="AL423" i="10"/>
  <c r="AL422" i="10"/>
  <c r="AL421" i="10"/>
  <c r="AL420" i="10"/>
  <c r="AL419" i="10"/>
  <c r="AL418" i="10"/>
  <c r="AL417" i="10"/>
  <c r="AL416" i="10"/>
  <c r="AL415" i="10"/>
  <c r="AL414" i="10"/>
  <c r="AL413" i="10"/>
  <c r="AL412" i="10"/>
  <c r="AL411" i="10"/>
  <c r="AL410" i="10"/>
  <c r="AL409" i="10"/>
  <c r="AL408" i="10"/>
  <c r="AL407" i="10"/>
  <c r="AL406" i="10"/>
  <c r="AL405" i="10"/>
  <c r="AL404" i="10"/>
  <c r="AL403" i="10"/>
  <c r="AL402" i="10"/>
  <c r="AL401" i="10"/>
  <c r="AL400" i="10"/>
  <c r="AL399" i="10"/>
  <c r="AL398" i="10"/>
  <c r="AL397" i="10"/>
  <c r="AL396" i="10"/>
  <c r="AL395" i="10"/>
  <c r="AL394" i="10"/>
  <c r="AL393" i="10"/>
  <c r="AL392" i="10"/>
  <c r="AL391" i="10"/>
  <c r="AL390" i="10"/>
  <c r="AL389" i="10"/>
  <c r="AL388" i="10"/>
  <c r="AL387" i="10"/>
  <c r="AL386" i="10"/>
  <c r="AL385" i="10"/>
  <c r="AL384" i="10"/>
  <c r="AL383" i="10"/>
  <c r="AL382" i="10"/>
  <c r="AL381" i="10"/>
  <c r="AL380" i="10"/>
  <c r="AL379" i="10"/>
  <c r="AL378" i="10"/>
  <c r="AL377" i="10"/>
  <c r="AL376" i="10"/>
  <c r="AL375" i="10"/>
  <c r="AL374" i="10"/>
  <c r="AL373" i="10"/>
  <c r="AL372" i="10"/>
  <c r="AL371" i="10"/>
  <c r="AL370" i="10"/>
  <c r="AL369" i="10"/>
  <c r="AL368" i="10"/>
  <c r="AL367" i="10"/>
  <c r="AL366" i="10"/>
  <c r="AL365" i="10"/>
  <c r="AL364" i="10"/>
  <c r="AL363" i="10"/>
  <c r="AL362" i="10"/>
  <c r="AL361" i="10"/>
  <c r="AL360" i="10"/>
  <c r="AL359" i="10"/>
  <c r="AL358" i="10"/>
  <c r="AL357" i="10"/>
  <c r="AL356" i="10"/>
  <c r="AL355" i="10"/>
  <c r="AL354" i="10"/>
  <c r="AL353" i="10"/>
  <c r="AL352" i="10"/>
  <c r="AL351" i="10"/>
  <c r="AL350" i="10"/>
  <c r="AL349" i="10"/>
  <c r="AL348" i="10"/>
  <c r="AL347" i="10"/>
  <c r="AL346" i="10"/>
  <c r="AL345" i="10"/>
  <c r="AL344" i="10"/>
  <c r="AL343" i="10"/>
  <c r="AJ622" i="10"/>
  <c r="AJ621" i="10"/>
  <c r="AJ620" i="10"/>
  <c r="AJ619" i="10"/>
  <c r="AJ618" i="10"/>
  <c r="AJ617" i="10"/>
  <c r="AJ616" i="10"/>
  <c r="AJ615" i="10"/>
  <c r="AJ614" i="10"/>
  <c r="AJ613" i="10"/>
  <c r="AJ612" i="10"/>
  <c r="AJ611" i="10"/>
  <c r="AJ610" i="10"/>
  <c r="AJ609" i="10"/>
  <c r="AJ608" i="10"/>
  <c r="AJ607" i="10"/>
  <c r="AJ606" i="10"/>
  <c r="AJ605" i="10"/>
  <c r="AJ604" i="10"/>
  <c r="AJ603" i="10"/>
  <c r="AJ602" i="10"/>
  <c r="AJ601" i="10"/>
  <c r="AJ600" i="10"/>
  <c r="AJ599" i="10"/>
  <c r="AJ598" i="10"/>
  <c r="AJ597" i="10"/>
  <c r="AJ596" i="10"/>
  <c r="AJ595" i="10"/>
  <c r="AJ594" i="10"/>
  <c r="AJ593" i="10"/>
  <c r="AJ592" i="10"/>
  <c r="AJ591" i="10"/>
  <c r="AJ590" i="10"/>
  <c r="AJ589" i="10"/>
  <c r="AJ588" i="10"/>
  <c r="AJ587" i="10"/>
  <c r="AJ586" i="10"/>
  <c r="AJ585" i="10"/>
  <c r="AJ584" i="10"/>
  <c r="AJ583" i="10"/>
  <c r="AJ582" i="10"/>
  <c r="AJ581" i="10"/>
  <c r="AJ580" i="10"/>
  <c r="AJ579" i="10"/>
  <c r="AJ578" i="10"/>
  <c r="AJ577" i="10"/>
  <c r="AJ576" i="10"/>
  <c r="AJ575" i="10"/>
  <c r="AJ574" i="10"/>
  <c r="AJ573" i="10"/>
  <c r="AJ572" i="10"/>
  <c r="AJ571" i="10"/>
  <c r="AJ570" i="10"/>
  <c r="AJ569" i="10"/>
  <c r="AJ568" i="10"/>
  <c r="AJ567" i="10"/>
  <c r="AJ566" i="10"/>
  <c r="AJ565" i="10"/>
  <c r="AJ564" i="10"/>
  <c r="AJ563" i="10"/>
  <c r="AJ562" i="10"/>
  <c r="AJ561" i="10"/>
  <c r="AJ560" i="10"/>
  <c r="AJ559" i="10"/>
  <c r="AJ558" i="10"/>
  <c r="AJ557" i="10"/>
  <c r="AJ556" i="10"/>
  <c r="AJ555" i="10"/>
  <c r="AJ554" i="10"/>
  <c r="AJ553" i="10"/>
  <c r="AJ552" i="10"/>
  <c r="AJ551" i="10"/>
  <c r="AJ550" i="10"/>
  <c r="AJ549" i="10"/>
  <c r="AJ548" i="10"/>
  <c r="AJ547" i="10"/>
  <c r="AJ546" i="10"/>
  <c r="AJ545" i="10"/>
  <c r="AJ544" i="10"/>
  <c r="AJ543" i="10"/>
  <c r="AJ542" i="10"/>
  <c r="AJ541" i="10"/>
  <c r="AJ540" i="10"/>
  <c r="AJ539" i="10"/>
  <c r="AJ538" i="10"/>
  <c r="AJ537" i="10"/>
  <c r="AJ536" i="10"/>
  <c r="AJ535" i="10"/>
  <c r="AJ534" i="10"/>
  <c r="AJ533" i="10"/>
  <c r="AJ532" i="10"/>
  <c r="AJ531" i="10"/>
  <c r="AJ530" i="10"/>
  <c r="AJ529" i="10"/>
  <c r="AJ528" i="10"/>
  <c r="AJ527" i="10"/>
  <c r="AJ526" i="10"/>
  <c r="AJ525" i="10"/>
  <c r="AJ524" i="10"/>
  <c r="AJ523" i="10"/>
  <c r="AJ522" i="10"/>
  <c r="AJ521" i="10"/>
  <c r="AJ520" i="10"/>
  <c r="AJ519" i="10"/>
  <c r="AJ518" i="10"/>
  <c r="AJ517" i="10"/>
  <c r="AJ516" i="10"/>
  <c r="AJ515" i="10"/>
  <c r="AJ514" i="10"/>
  <c r="AJ513" i="10"/>
  <c r="AJ512" i="10"/>
  <c r="AJ511" i="10"/>
  <c r="AJ510" i="10"/>
  <c r="AJ509" i="10"/>
  <c r="AJ508" i="10"/>
  <c r="AJ507" i="10"/>
  <c r="AJ506" i="10"/>
  <c r="AJ505" i="10"/>
  <c r="AJ504" i="10"/>
  <c r="AJ503" i="10"/>
  <c r="AJ502" i="10"/>
  <c r="AJ501" i="10"/>
  <c r="AJ500" i="10"/>
  <c r="AJ499" i="10"/>
  <c r="AJ498" i="10"/>
  <c r="AJ497" i="10"/>
  <c r="AJ496" i="10"/>
  <c r="AJ495" i="10"/>
  <c r="AJ494" i="10"/>
  <c r="AJ493" i="10"/>
  <c r="AJ492" i="10"/>
  <c r="AJ491" i="10"/>
  <c r="AJ490" i="10"/>
  <c r="AJ489" i="10"/>
  <c r="AJ488" i="10"/>
  <c r="AJ487" i="10"/>
  <c r="AJ486" i="10"/>
  <c r="AJ485" i="10"/>
  <c r="AJ484" i="10"/>
  <c r="AJ483" i="10"/>
  <c r="AJ482" i="10"/>
  <c r="AJ481" i="10"/>
  <c r="AJ480" i="10"/>
  <c r="AJ479" i="10"/>
  <c r="AJ478" i="10"/>
  <c r="AJ477" i="10"/>
  <c r="AJ476" i="10"/>
  <c r="AJ475" i="10"/>
  <c r="AJ474" i="10"/>
  <c r="AJ473" i="10"/>
  <c r="AJ472" i="10"/>
  <c r="AJ471" i="10"/>
  <c r="AJ470" i="10"/>
  <c r="AJ469" i="10"/>
  <c r="AJ468" i="10"/>
  <c r="AJ467" i="10"/>
  <c r="AJ466" i="10"/>
  <c r="AJ465" i="10"/>
  <c r="AJ464" i="10"/>
  <c r="AJ463" i="10"/>
  <c r="AJ462" i="10"/>
  <c r="AJ461" i="10"/>
  <c r="AJ460" i="10"/>
  <c r="AJ459" i="10"/>
  <c r="AJ458" i="10"/>
  <c r="AJ457" i="10"/>
  <c r="AJ456" i="10"/>
  <c r="AJ455" i="10"/>
  <c r="AJ454" i="10"/>
  <c r="AJ453" i="10"/>
  <c r="AJ452" i="10"/>
  <c r="AJ451" i="10"/>
  <c r="AJ450" i="10"/>
  <c r="AJ449" i="10"/>
  <c r="AJ448" i="10"/>
  <c r="AJ447" i="10"/>
  <c r="AJ446" i="10"/>
  <c r="AJ445" i="10"/>
  <c r="AJ444" i="10"/>
  <c r="AJ443" i="10"/>
  <c r="AJ442" i="10"/>
  <c r="AJ441" i="10"/>
  <c r="AJ440" i="10"/>
  <c r="AJ439" i="10"/>
  <c r="AJ438" i="10"/>
  <c r="AJ437" i="10"/>
  <c r="AJ436" i="10"/>
  <c r="AJ435" i="10"/>
  <c r="AJ434" i="10"/>
  <c r="AJ433" i="10"/>
  <c r="AJ432" i="10"/>
  <c r="AJ431" i="10"/>
  <c r="AJ430" i="10"/>
  <c r="AJ429" i="10"/>
  <c r="AJ428" i="10"/>
  <c r="AJ427" i="10"/>
  <c r="AJ426" i="10"/>
  <c r="AJ425" i="10"/>
  <c r="AJ424" i="10"/>
  <c r="AJ423" i="10"/>
  <c r="AJ422" i="10"/>
  <c r="AJ421" i="10"/>
  <c r="AJ420" i="10"/>
  <c r="AJ419" i="10"/>
  <c r="AJ418" i="10"/>
  <c r="AJ417" i="10"/>
  <c r="AJ416" i="10"/>
  <c r="AJ415" i="10"/>
  <c r="AJ414" i="10"/>
  <c r="AJ413" i="10"/>
  <c r="AJ412" i="10"/>
  <c r="AJ411" i="10"/>
  <c r="AJ410" i="10"/>
  <c r="AJ409" i="10"/>
  <c r="AJ408" i="10"/>
  <c r="AJ407" i="10"/>
  <c r="AJ406" i="10"/>
  <c r="AJ405" i="10"/>
  <c r="AJ404" i="10"/>
  <c r="AJ403" i="10"/>
  <c r="AJ402" i="10"/>
  <c r="AJ401" i="10"/>
  <c r="AJ400" i="10"/>
  <c r="AJ399" i="10"/>
  <c r="AJ398" i="10"/>
  <c r="AJ397" i="10"/>
  <c r="AJ396" i="10"/>
  <c r="AJ395" i="10"/>
  <c r="AJ394" i="10"/>
  <c r="AJ393" i="10"/>
  <c r="AJ392" i="10"/>
  <c r="AJ391" i="10"/>
  <c r="AJ390" i="10"/>
  <c r="AJ389" i="10"/>
  <c r="AJ388" i="10"/>
  <c r="AJ387" i="10"/>
  <c r="AJ386" i="10"/>
  <c r="AJ385" i="10"/>
  <c r="AJ384" i="10"/>
  <c r="AJ383" i="10"/>
  <c r="AJ382" i="10"/>
  <c r="AJ381" i="10"/>
  <c r="AJ380" i="10"/>
  <c r="AJ379" i="10"/>
  <c r="AJ378" i="10"/>
  <c r="AJ377" i="10"/>
  <c r="AJ376" i="10"/>
  <c r="AJ375" i="10"/>
  <c r="AJ374" i="10"/>
  <c r="AJ373" i="10"/>
  <c r="AJ372" i="10"/>
  <c r="AJ371" i="10"/>
  <c r="AJ370" i="10"/>
  <c r="AJ369" i="10"/>
  <c r="AJ368" i="10"/>
  <c r="AJ367" i="10"/>
  <c r="AJ366" i="10"/>
  <c r="AJ365" i="10"/>
  <c r="AJ364" i="10"/>
  <c r="AJ363" i="10"/>
  <c r="AJ362" i="10"/>
  <c r="AJ361" i="10"/>
  <c r="AJ360" i="10"/>
  <c r="AJ359" i="10"/>
  <c r="AJ358" i="10"/>
  <c r="AJ357" i="10"/>
  <c r="AJ356" i="10"/>
  <c r="AJ355" i="10"/>
  <c r="AJ354" i="10"/>
  <c r="AJ353" i="10"/>
  <c r="AJ352" i="10"/>
  <c r="AJ351" i="10"/>
  <c r="AJ350" i="10"/>
  <c r="AJ349" i="10"/>
  <c r="AJ348" i="10"/>
  <c r="AJ347" i="10"/>
  <c r="AJ346" i="10"/>
  <c r="AJ345" i="10"/>
  <c r="AJ344" i="10"/>
  <c r="AJ343" i="10"/>
  <c r="AI622" i="10"/>
  <c r="AI621" i="10"/>
  <c r="AI620" i="10"/>
  <c r="AI619" i="10"/>
  <c r="AI618" i="10"/>
  <c r="AI617" i="10"/>
  <c r="AI616" i="10"/>
  <c r="AI615" i="10"/>
  <c r="AI614" i="10"/>
  <c r="AI613" i="10"/>
  <c r="AI612" i="10"/>
  <c r="AI611" i="10"/>
  <c r="AI610" i="10"/>
  <c r="AI609" i="10"/>
  <c r="AI608" i="10"/>
  <c r="AI607" i="10"/>
  <c r="AI606" i="10"/>
  <c r="AI605" i="10"/>
  <c r="AI604" i="10"/>
  <c r="AI603" i="10"/>
  <c r="AI602" i="10"/>
  <c r="AI601" i="10"/>
  <c r="AI600" i="10"/>
  <c r="AI599" i="10"/>
  <c r="AI598" i="10"/>
  <c r="AI597" i="10"/>
  <c r="AI596" i="10"/>
  <c r="AI595" i="10"/>
  <c r="AI594" i="10"/>
  <c r="AI593" i="10"/>
  <c r="AI592" i="10"/>
  <c r="AI591" i="10"/>
  <c r="AI590" i="10"/>
  <c r="AI589" i="10"/>
  <c r="AI588" i="10"/>
  <c r="AI587" i="10"/>
  <c r="AI586" i="10"/>
  <c r="AI585" i="10"/>
  <c r="AI584" i="10"/>
  <c r="AI583" i="10"/>
  <c r="AI582" i="10"/>
  <c r="AI581" i="10"/>
  <c r="AI580" i="10"/>
  <c r="AI579" i="10"/>
  <c r="AI578" i="10"/>
  <c r="AI577" i="10"/>
  <c r="AI576" i="10"/>
  <c r="AI575" i="10"/>
  <c r="AI574" i="10"/>
  <c r="AI573" i="10"/>
  <c r="AI572" i="10"/>
  <c r="AI571" i="10"/>
  <c r="AI570" i="10"/>
  <c r="AI569" i="10"/>
  <c r="AI568" i="10"/>
  <c r="AI567" i="10"/>
  <c r="AI566" i="10"/>
  <c r="AI565" i="10"/>
  <c r="AI564" i="10"/>
  <c r="AI563" i="10"/>
  <c r="AI562" i="10"/>
  <c r="AI561" i="10"/>
  <c r="AI560" i="10"/>
  <c r="AI559" i="10"/>
  <c r="AI558" i="10"/>
  <c r="AI557" i="10"/>
  <c r="AI556" i="10"/>
  <c r="AI555" i="10"/>
  <c r="AI554" i="10"/>
  <c r="AI553" i="10"/>
  <c r="AI552" i="10"/>
  <c r="AI551" i="10"/>
  <c r="AI550" i="10"/>
  <c r="AI549" i="10"/>
  <c r="AI548" i="10"/>
  <c r="AI547" i="10"/>
  <c r="AI546" i="10"/>
  <c r="AI545" i="10"/>
  <c r="AI544" i="10"/>
  <c r="AI543" i="10"/>
  <c r="AI542" i="10"/>
  <c r="AI541" i="10"/>
  <c r="AI540" i="10"/>
  <c r="AI539" i="10"/>
  <c r="AI538" i="10"/>
  <c r="AI537" i="10"/>
  <c r="AI536" i="10"/>
  <c r="AI535" i="10"/>
  <c r="AI534" i="10"/>
  <c r="AI533" i="10"/>
  <c r="AI532" i="10"/>
  <c r="AI531" i="10"/>
  <c r="AI530" i="10"/>
  <c r="AI529" i="10"/>
  <c r="AI528" i="10"/>
  <c r="AI527" i="10"/>
  <c r="AI526" i="10"/>
  <c r="AI525" i="10"/>
  <c r="AI524" i="10"/>
  <c r="AI523" i="10"/>
  <c r="AI522" i="10"/>
  <c r="AI521" i="10"/>
  <c r="AI520" i="10"/>
  <c r="AI519" i="10"/>
  <c r="AI518" i="10"/>
  <c r="AI517" i="10"/>
  <c r="AI516" i="10"/>
  <c r="AI515" i="10"/>
  <c r="AI514" i="10"/>
  <c r="AI513" i="10"/>
  <c r="AI512" i="10"/>
  <c r="AI511" i="10"/>
  <c r="AI510" i="10"/>
  <c r="AI509" i="10"/>
  <c r="AI508" i="10"/>
  <c r="AI507" i="10"/>
  <c r="AI506" i="10"/>
  <c r="AI505" i="10"/>
  <c r="AI504" i="10"/>
  <c r="AI503" i="10"/>
  <c r="AI502" i="10"/>
  <c r="AI501" i="10"/>
  <c r="AI500" i="10"/>
  <c r="AI499" i="10"/>
  <c r="AI498" i="10"/>
  <c r="AI497" i="10"/>
  <c r="AI496" i="10"/>
  <c r="AI495" i="10"/>
  <c r="AI494" i="10"/>
  <c r="AI493" i="10"/>
  <c r="AI492" i="10"/>
  <c r="AI491" i="10"/>
  <c r="AI490" i="10"/>
  <c r="AI489" i="10"/>
  <c r="AI488" i="10"/>
  <c r="AI487" i="10"/>
  <c r="AI486" i="10"/>
  <c r="AI485" i="10"/>
  <c r="AI484" i="10"/>
  <c r="AI483" i="10"/>
  <c r="AI482" i="10"/>
  <c r="AI481" i="10"/>
  <c r="AI480" i="10"/>
  <c r="AI479" i="10"/>
  <c r="AI478" i="10"/>
  <c r="AI477" i="10"/>
  <c r="AI476" i="10"/>
  <c r="AI475" i="10"/>
  <c r="AI474" i="10"/>
  <c r="AI473" i="10"/>
  <c r="AI472" i="10"/>
  <c r="AI471" i="10"/>
  <c r="AI470" i="10"/>
  <c r="AI469" i="10"/>
  <c r="AI468" i="10"/>
  <c r="AI467" i="10"/>
  <c r="AI466" i="10"/>
  <c r="AI465" i="10"/>
  <c r="AI464" i="10"/>
  <c r="AI463" i="10"/>
  <c r="AI462" i="10"/>
  <c r="AI461" i="10"/>
  <c r="AI460" i="10"/>
  <c r="AI459" i="10"/>
  <c r="AI458" i="10"/>
  <c r="AI457" i="10"/>
  <c r="AI456" i="10"/>
  <c r="AI455" i="10"/>
  <c r="AI454" i="10"/>
  <c r="AI453" i="10"/>
  <c r="AI452" i="10"/>
  <c r="AI451" i="10"/>
  <c r="AI450" i="10"/>
  <c r="AI449" i="10"/>
  <c r="AI448" i="10"/>
  <c r="AI447" i="10"/>
  <c r="AI446" i="10"/>
  <c r="AI445" i="10"/>
  <c r="AI444" i="10"/>
  <c r="AI443" i="10"/>
  <c r="AI442" i="10"/>
  <c r="AI441" i="10"/>
  <c r="AI440" i="10"/>
  <c r="AI439" i="10"/>
  <c r="AI438" i="10"/>
  <c r="AI437" i="10"/>
  <c r="AI436" i="10"/>
  <c r="AI435" i="10"/>
  <c r="AI434" i="10"/>
  <c r="AI433" i="10"/>
  <c r="AI432" i="10"/>
  <c r="AI431" i="10"/>
  <c r="AI430" i="10"/>
  <c r="AI429" i="10"/>
  <c r="AI428" i="10"/>
  <c r="AI427" i="10"/>
  <c r="AI426" i="10"/>
  <c r="AI425" i="10"/>
  <c r="AI424" i="10"/>
  <c r="AI423" i="10"/>
  <c r="AI422" i="10"/>
  <c r="AI421" i="10"/>
  <c r="AI420" i="10"/>
  <c r="AI419" i="10"/>
  <c r="AI418" i="10"/>
  <c r="AI417" i="10"/>
  <c r="AI416" i="10"/>
  <c r="AI415" i="10"/>
  <c r="AI414" i="10"/>
  <c r="AI413" i="10"/>
  <c r="AI412" i="10"/>
  <c r="AI411" i="10"/>
  <c r="AI410" i="10"/>
  <c r="AI409" i="10"/>
  <c r="AI408" i="10"/>
  <c r="AI407" i="10"/>
  <c r="AI406" i="10"/>
  <c r="AI405" i="10"/>
  <c r="AI404" i="10"/>
  <c r="AI403" i="10"/>
  <c r="AI402" i="10"/>
  <c r="AI401" i="10"/>
  <c r="AI400" i="10"/>
  <c r="AI399" i="10"/>
  <c r="AI398" i="10"/>
  <c r="AI397" i="10"/>
  <c r="AI396" i="10"/>
  <c r="AI395" i="10"/>
  <c r="AI394" i="10"/>
  <c r="AI393" i="10"/>
  <c r="AI392" i="10"/>
  <c r="AI391" i="10"/>
  <c r="AI390" i="10"/>
  <c r="AI389" i="10"/>
  <c r="AI388" i="10"/>
  <c r="AI387" i="10"/>
  <c r="AI386" i="10"/>
  <c r="AI385" i="10"/>
  <c r="AI384" i="10"/>
  <c r="AI383" i="10"/>
  <c r="AI382" i="10"/>
  <c r="AI381" i="10"/>
  <c r="AI380" i="10"/>
  <c r="AI379" i="10"/>
  <c r="AI378" i="10"/>
  <c r="AI377" i="10"/>
  <c r="AI376" i="10"/>
  <c r="AI375" i="10"/>
  <c r="AI374" i="10"/>
  <c r="AI373" i="10"/>
  <c r="AI372" i="10"/>
  <c r="AI371" i="10"/>
  <c r="AI370" i="10"/>
  <c r="AI369" i="10"/>
  <c r="AI368" i="10"/>
  <c r="AI367" i="10"/>
  <c r="AI366" i="10"/>
  <c r="AI365" i="10"/>
  <c r="AI364" i="10"/>
  <c r="AI363" i="10"/>
  <c r="AI362" i="10"/>
  <c r="AI361" i="10"/>
  <c r="AI360" i="10"/>
  <c r="AI359" i="10"/>
  <c r="AI358" i="10"/>
  <c r="AI357" i="10"/>
  <c r="AI356" i="10"/>
  <c r="AI355" i="10"/>
  <c r="AI354" i="10"/>
  <c r="AI353" i="10"/>
  <c r="AI352" i="10"/>
  <c r="AI351" i="10"/>
  <c r="AI350" i="10"/>
  <c r="AI349" i="10"/>
  <c r="AI348" i="10"/>
  <c r="AI347" i="10"/>
  <c r="AI346" i="10"/>
  <c r="AI345" i="10"/>
  <c r="AI344" i="10"/>
  <c r="AI343" i="10"/>
  <c r="AH622" i="10"/>
  <c r="AH621" i="10"/>
  <c r="AH620" i="10"/>
  <c r="AH619" i="10"/>
  <c r="AH618" i="10"/>
  <c r="AH617" i="10"/>
  <c r="AH616" i="10"/>
  <c r="AH615" i="10"/>
  <c r="AH614" i="10"/>
  <c r="AH613" i="10"/>
  <c r="AH612" i="10"/>
  <c r="AH611" i="10"/>
  <c r="AH610" i="10"/>
  <c r="AH609" i="10"/>
  <c r="AH608" i="10"/>
  <c r="AH607" i="10"/>
  <c r="AH606" i="10"/>
  <c r="AH605" i="10"/>
  <c r="AH604" i="10"/>
  <c r="AH603" i="10"/>
  <c r="AH602" i="10"/>
  <c r="AH601" i="10"/>
  <c r="AH600" i="10"/>
  <c r="AH599" i="10"/>
  <c r="AH598" i="10"/>
  <c r="AH597" i="10"/>
  <c r="AH596" i="10"/>
  <c r="AH595" i="10"/>
  <c r="AH594" i="10"/>
  <c r="AH593" i="10"/>
  <c r="AH592" i="10"/>
  <c r="AH591" i="10"/>
  <c r="AH590" i="10"/>
  <c r="AH589" i="10"/>
  <c r="AH588" i="10"/>
  <c r="AH587" i="10"/>
  <c r="AH586" i="10"/>
  <c r="AH585" i="10"/>
  <c r="AH584" i="10"/>
  <c r="AH583" i="10"/>
  <c r="AH582" i="10"/>
  <c r="AH581" i="10"/>
  <c r="AH580" i="10"/>
  <c r="AH579" i="10"/>
  <c r="AH578" i="10"/>
  <c r="AH577" i="10"/>
  <c r="AH576" i="10"/>
  <c r="AH575" i="10"/>
  <c r="AH574" i="10"/>
  <c r="AH573" i="10"/>
  <c r="AH572" i="10"/>
  <c r="AH571" i="10"/>
  <c r="AH570" i="10"/>
  <c r="AH569" i="10"/>
  <c r="AH568" i="10"/>
  <c r="AH567" i="10"/>
  <c r="AH566" i="10"/>
  <c r="AH565" i="10"/>
  <c r="AH564" i="10"/>
  <c r="AH563" i="10"/>
  <c r="AH562" i="10"/>
  <c r="AH561" i="10"/>
  <c r="AH560" i="10"/>
  <c r="AH559" i="10"/>
  <c r="AH558" i="10"/>
  <c r="AH557" i="10"/>
  <c r="AH556" i="10"/>
  <c r="AH555" i="10"/>
  <c r="AH554" i="10"/>
  <c r="AH553" i="10"/>
  <c r="AH552" i="10"/>
  <c r="AH551" i="10"/>
  <c r="AH550" i="10"/>
  <c r="AH549" i="10"/>
  <c r="AH548" i="10"/>
  <c r="AH547" i="10"/>
  <c r="AH546" i="10"/>
  <c r="AH545" i="10"/>
  <c r="AH544" i="10"/>
  <c r="AH543" i="10"/>
  <c r="AH542" i="10"/>
  <c r="AH541" i="10"/>
  <c r="AH540" i="10"/>
  <c r="AH539" i="10"/>
  <c r="AH538" i="10"/>
  <c r="AH537" i="10"/>
  <c r="AH536" i="10"/>
  <c r="AH535" i="10"/>
  <c r="AH534" i="10"/>
  <c r="AH533" i="10"/>
  <c r="AH532" i="10"/>
  <c r="AH531" i="10"/>
  <c r="AH530" i="10"/>
  <c r="AH529" i="10"/>
  <c r="AH528" i="10"/>
  <c r="AH527" i="10"/>
  <c r="AH526" i="10"/>
  <c r="AH525" i="10"/>
  <c r="AH524" i="10"/>
  <c r="AH523" i="10"/>
  <c r="AH522" i="10"/>
  <c r="AH521" i="10"/>
  <c r="AH520" i="10"/>
  <c r="AH519" i="10"/>
  <c r="AH518" i="10"/>
  <c r="AH517" i="10"/>
  <c r="AH516" i="10"/>
  <c r="AH515" i="10"/>
  <c r="AH514" i="10"/>
  <c r="AH513" i="10"/>
  <c r="AH512" i="10"/>
  <c r="AH511" i="10"/>
  <c r="AH510" i="10"/>
  <c r="AH509" i="10"/>
  <c r="AH508" i="10"/>
  <c r="AH507" i="10"/>
  <c r="AH506" i="10"/>
  <c r="AH505" i="10"/>
  <c r="AH504" i="10"/>
  <c r="AH503" i="10"/>
  <c r="AH502" i="10"/>
  <c r="AH501" i="10"/>
  <c r="AH500" i="10"/>
  <c r="AH499" i="10"/>
  <c r="AH498" i="10"/>
  <c r="AH497" i="10"/>
  <c r="AH496" i="10"/>
  <c r="AH495" i="10"/>
  <c r="AH494" i="10"/>
  <c r="AH493" i="10"/>
  <c r="AH492" i="10"/>
  <c r="AH491" i="10"/>
  <c r="AH490" i="10"/>
  <c r="AH489" i="10"/>
  <c r="AH488" i="10"/>
  <c r="AH487" i="10"/>
  <c r="AH486" i="10"/>
  <c r="AH485" i="10"/>
  <c r="AH484" i="10"/>
  <c r="AH483" i="10"/>
  <c r="AH482" i="10"/>
  <c r="AH481" i="10"/>
  <c r="AH480" i="10"/>
  <c r="AH479" i="10"/>
  <c r="AH478" i="10"/>
  <c r="AH477" i="10"/>
  <c r="AH476" i="10"/>
  <c r="AH475" i="10"/>
  <c r="AH474" i="10"/>
  <c r="AH473" i="10"/>
  <c r="AH472" i="10"/>
  <c r="AH471" i="10"/>
  <c r="AH470" i="10"/>
  <c r="AH469" i="10"/>
  <c r="AH468" i="10"/>
  <c r="AH467" i="10"/>
  <c r="AH466" i="10"/>
  <c r="AH465" i="10"/>
  <c r="AH464" i="10"/>
  <c r="AH463" i="10"/>
  <c r="AH462" i="10"/>
  <c r="AH461" i="10"/>
  <c r="AH460" i="10"/>
  <c r="AH459" i="10"/>
  <c r="AH458" i="10"/>
  <c r="AH457" i="10"/>
  <c r="AH456" i="10"/>
  <c r="AH455" i="10"/>
  <c r="AH454" i="10"/>
  <c r="AH453" i="10"/>
  <c r="AH452" i="10"/>
  <c r="AH451" i="10"/>
  <c r="AH450" i="10"/>
  <c r="AH449" i="10"/>
  <c r="AH448" i="10"/>
  <c r="AH447" i="10"/>
  <c r="AH446" i="10"/>
  <c r="AH445" i="10"/>
  <c r="AH444" i="10"/>
  <c r="AH443" i="10"/>
  <c r="AH442" i="10"/>
  <c r="AH441" i="10"/>
  <c r="AH440" i="10"/>
  <c r="AH439" i="10"/>
  <c r="AH438" i="10"/>
  <c r="AH437" i="10"/>
  <c r="AH436" i="10"/>
  <c r="AH435" i="10"/>
  <c r="AH434" i="10"/>
  <c r="AH433" i="10"/>
  <c r="AH432" i="10"/>
  <c r="AH431" i="10"/>
  <c r="AH430" i="10"/>
  <c r="AH429" i="10"/>
  <c r="AH428" i="10"/>
  <c r="AH427" i="10"/>
  <c r="AH426" i="10"/>
  <c r="AH425" i="10"/>
  <c r="AH424" i="10"/>
  <c r="AH423" i="10"/>
  <c r="AH422" i="10"/>
  <c r="AH421" i="10"/>
  <c r="AH420" i="10"/>
  <c r="AH419" i="10"/>
  <c r="AH418" i="10"/>
  <c r="AH417" i="10"/>
  <c r="AH416" i="10"/>
  <c r="AH415" i="10"/>
  <c r="AH414" i="10"/>
  <c r="AH413" i="10"/>
  <c r="AH412" i="10"/>
  <c r="AH411" i="10"/>
  <c r="AH410" i="10"/>
  <c r="AH409" i="10"/>
  <c r="AH408" i="10"/>
  <c r="AH407" i="10"/>
  <c r="AH406" i="10"/>
  <c r="AH405" i="10"/>
  <c r="AH404" i="10"/>
  <c r="AH403" i="10"/>
  <c r="AH402" i="10"/>
  <c r="AH401" i="10"/>
  <c r="AH400" i="10"/>
  <c r="AH399" i="10"/>
  <c r="AH398" i="10"/>
  <c r="AH397" i="10"/>
  <c r="AH396" i="10"/>
  <c r="AH395" i="10"/>
  <c r="AH394" i="10"/>
  <c r="AH393" i="10"/>
  <c r="AH392" i="10"/>
  <c r="AH391" i="10"/>
  <c r="AH390" i="10"/>
  <c r="AH389" i="10"/>
  <c r="AH388" i="10"/>
  <c r="AH387" i="10"/>
  <c r="AH386" i="10"/>
  <c r="AH385" i="10"/>
  <c r="AH384" i="10"/>
  <c r="AH383" i="10"/>
  <c r="AH382" i="10"/>
  <c r="AH381" i="10"/>
  <c r="AH380" i="10"/>
  <c r="AH379" i="10"/>
  <c r="AH378" i="10"/>
  <c r="AH377" i="10"/>
  <c r="AH376" i="10"/>
  <c r="AH375" i="10"/>
  <c r="AH374" i="10"/>
  <c r="AH373" i="10"/>
  <c r="AH372" i="10"/>
  <c r="AH371" i="10"/>
  <c r="AH370" i="10"/>
  <c r="AH369" i="10"/>
  <c r="AH368" i="10"/>
  <c r="AH367" i="10"/>
  <c r="AH366" i="10"/>
  <c r="AH365" i="10"/>
  <c r="AH364" i="10"/>
  <c r="AH363" i="10"/>
  <c r="AH362" i="10"/>
  <c r="AH361" i="10"/>
  <c r="AH360" i="10"/>
  <c r="AH359" i="10"/>
  <c r="AH358" i="10"/>
  <c r="AH357" i="10"/>
  <c r="AH356" i="10"/>
  <c r="AH355" i="10"/>
  <c r="AH354" i="10"/>
  <c r="AH353" i="10"/>
  <c r="AH352" i="10"/>
  <c r="AH351" i="10"/>
  <c r="AH350" i="10"/>
  <c r="AH349" i="10"/>
  <c r="AH348" i="10"/>
  <c r="AH347" i="10"/>
  <c r="AH346" i="10"/>
  <c r="AH345" i="10"/>
  <c r="AH344" i="10"/>
  <c r="AH343" i="10"/>
  <c r="AG622" i="10"/>
  <c r="AG621" i="10"/>
  <c r="AG620" i="10"/>
  <c r="AG619" i="10"/>
  <c r="AG618" i="10"/>
  <c r="AG617" i="10"/>
  <c r="AG616" i="10"/>
  <c r="AG615" i="10"/>
  <c r="AG614" i="10"/>
  <c r="AG613" i="10"/>
  <c r="AG612" i="10"/>
  <c r="AG611" i="10"/>
  <c r="AG610" i="10"/>
  <c r="AG609" i="10"/>
  <c r="AG608" i="10"/>
  <c r="AG607" i="10"/>
  <c r="AG606" i="10"/>
  <c r="AG605" i="10"/>
  <c r="AG604" i="10"/>
  <c r="AG603" i="10"/>
  <c r="AG602" i="10"/>
  <c r="AG601" i="10"/>
  <c r="AG600" i="10"/>
  <c r="AG599" i="10"/>
  <c r="AG598" i="10"/>
  <c r="AG597" i="10"/>
  <c r="AG596" i="10"/>
  <c r="AG595" i="10"/>
  <c r="AG594" i="10"/>
  <c r="AG593" i="10"/>
  <c r="AG592" i="10"/>
  <c r="AG591" i="10"/>
  <c r="AG590" i="10"/>
  <c r="AG589" i="10"/>
  <c r="AG588" i="10"/>
  <c r="AG587" i="10"/>
  <c r="AG586" i="10"/>
  <c r="AG585" i="10"/>
  <c r="AG584" i="10"/>
  <c r="AG583" i="10"/>
  <c r="AG582" i="10"/>
  <c r="AG581" i="10"/>
  <c r="AG580" i="10"/>
  <c r="AG579" i="10"/>
  <c r="AG578" i="10"/>
  <c r="AG577" i="10"/>
  <c r="AG576" i="10"/>
  <c r="AG575" i="10"/>
  <c r="AG574" i="10"/>
  <c r="AG573" i="10"/>
  <c r="AG572" i="10"/>
  <c r="AG571" i="10"/>
  <c r="AG570" i="10"/>
  <c r="AG569" i="10"/>
  <c r="AG568" i="10"/>
  <c r="AG567" i="10"/>
  <c r="AG566" i="10"/>
  <c r="AG565" i="10"/>
  <c r="AG564" i="10"/>
  <c r="AG563" i="10"/>
  <c r="AG562" i="10"/>
  <c r="AG561" i="10"/>
  <c r="AG560" i="10"/>
  <c r="AG559" i="10"/>
  <c r="AG558" i="10"/>
  <c r="AG557" i="10"/>
  <c r="AG556" i="10"/>
  <c r="AG555" i="10"/>
  <c r="AG554" i="10"/>
  <c r="AG553" i="10"/>
  <c r="AG552" i="10"/>
  <c r="AG551" i="10"/>
  <c r="AG550" i="10"/>
  <c r="AG549" i="10"/>
  <c r="AG548" i="10"/>
  <c r="AG547" i="10"/>
  <c r="AG546" i="10"/>
  <c r="AG545" i="10"/>
  <c r="AG544" i="10"/>
  <c r="AG543" i="10"/>
  <c r="AG542" i="10"/>
  <c r="AG541" i="10"/>
  <c r="AG540" i="10"/>
  <c r="AG539" i="10"/>
  <c r="AG538" i="10"/>
  <c r="AG537" i="10"/>
  <c r="AG536" i="10"/>
  <c r="AG535" i="10"/>
  <c r="AG534" i="10"/>
  <c r="AG533" i="10"/>
  <c r="AG532" i="10"/>
  <c r="AG531" i="10"/>
  <c r="AG530" i="10"/>
  <c r="AG529" i="10"/>
  <c r="AG528" i="10"/>
  <c r="AG527" i="10"/>
  <c r="AG526" i="10"/>
  <c r="AG525" i="10"/>
  <c r="AG524" i="10"/>
  <c r="AG523" i="10"/>
  <c r="AG522" i="10"/>
  <c r="AG521" i="10"/>
  <c r="AG520" i="10"/>
  <c r="AG519" i="10"/>
  <c r="AG518" i="10"/>
  <c r="AG517" i="10"/>
  <c r="AG516" i="10"/>
  <c r="AG515" i="10"/>
  <c r="AG514" i="10"/>
  <c r="AG513" i="10"/>
  <c r="AG512" i="10"/>
  <c r="AG511" i="10"/>
  <c r="AG510" i="10"/>
  <c r="AG509" i="10"/>
  <c r="AG508" i="10"/>
  <c r="AG507" i="10"/>
  <c r="AG506" i="10"/>
  <c r="AG505" i="10"/>
  <c r="AG504" i="10"/>
  <c r="AG503" i="10"/>
  <c r="AG502" i="10"/>
  <c r="AG501" i="10"/>
  <c r="AG500" i="10"/>
  <c r="AG499" i="10"/>
  <c r="AG498" i="10"/>
  <c r="AG497" i="10"/>
  <c r="AG496" i="10"/>
  <c r="AG495" i="10"/>
  <c r="AG494" i="10"/>
  <c r="AG493" i="10"/>
  <c r="AG492" i="10"/>
  <c r="AG491" i="10"/>
  <c r="AG490" i="10"/>
  <c r="AG489" i="10"/>
  <c r="AG488" i="10"/>
  <c r="AG487" i="10"/>
  <c r="AG486" i="10"/>
  <c r="AG485" i="10"/>
  <c r="AG484" i="10"/>
  <c r="AG483" i="10"/>
  <c r="AG482" i="10"/>
  <c r="AG481" i="10"/>
  <c r="AG480" i="10"/>
  <c r="AG479" i="10"/>
  <c r="AG478" i="10"/>
  <c r="AG477" i="10"/>
  <c r="AG476" i="10"/>
  <c r="AG475" i="10"/>
  <c r="AG474" i="10"/>
  <c r="AG473" i="10"/>
  <c r="AG472" i="10"/>
  <c r="AG471" i="10"/>
  <c r="AG470" i="10"/>
  <c r="AG469" i="10"/>
  <c r="AG468" i="10"/>
  <c r="AG467" i="10"/>
  <c r="AG466" i="10"/>
  <c r="AG465" i="10"/>
  <c r="AG464" i="10"/>
  <c r="AG463" i="10"/>
  <c r="AG462" i="10"/>
  <c r="AG461" i="10"/>
  <c r="AG460" i="10"/>
  <c r="AG459" i="10"/>
  <c r="AG458" i="10"/>
  <c r="AG457" i="10"/>
  <c r="AG456" i="10"/>
  <c r="AG455" i="10"/>
  <c r="AG454" i="10"/>
  <c r="AG453" i="10"/>
  <c r="AG452" i="10"/>
  <c r="AG451" i="10"/>
  <c r="AG450" i="10"/>
  <c r="AG449" i="10"/>
  <c r="AG448" i="10"/>
  <c r="AG447" i="10"/>
  <c r="AG446" i="10"/>
  <c r="AG445" i="10"/>
  <c r="AG444" i="10"/>
  <c r="AG443" i="10"/>
  <c r="AG442" i="10"/>
  <c r="AG441" i="10"/>
  <c r="AG440" i="10"/>
  <c r="AG439" i="10"/>
  <c r="AG438" i="10"/>
  <c r="AG437" i="10"/>
  <c r="AG436" i="10"/>
  <c r="AG435" i="10"/>
  <c r="AG434" i="10"/>
  <c r="AG433" i="10"/>
  <c r="AG432" i="10"/>
  <c r="AG431" i="10"/>
  <c r="AG430" i="10"/>
  <c r="AG429" i="10"/>
  <c r="AG428" i="10"/>
  <c r="AG427" i="10"/>
  <c r="AG426" i="10"/>
  <c r="AG425" i="10"/>
  <c r="AG424" i="10"/>
  <c r="AG423" i="10"/>
  <c r="AG422" i="10"/>
  <c r="AG421" i="10"/>
  <c r="AG420" i="10"/>
  <c r="AG419" i="10"/>
  <c r="AG418" i="10"/>
  <c r="AG417" i="10"/>
  <c r="AG416" i="10"/>
  <c r="AG415" i="10"/>
  <c r="AG414" i="10"/>
  <c r="AG413" i="10"/>
  <c r="AG412" i="10"/>
  <c r="AG411" i="10"/>
  <c r="AG410" i="10"/>
  <c r="AG409" i="10"/>
  <c r="AG408" i="10"/>
  <c r="AG407" i="10"/>
  <c r="AG406" i="10"/>
  <c r="AG405" i="10"/>
  <c r="AG404" i="10"/>
  <c r="AG403" i="10"/>
  <c r="AG402" i="10"/>
  <c r="AG401" i="10"/>
  <c r="AG400" i="10"/>
  <c r="AG399" i="10"/>
  <c r="AG398" i="10"/>
  <c r="AG397" i="10"/>
  <c r="AG396" i="10"/>
  <c r="AG395" i="10"/>
  <c r="AG394" i="10"/>
  <c r="AG393" i="10"/>
  <c r="AG392" i="10"/>
  <c r="AG391" i="10"/>
  <c r="AG390" i="10"/>
  <c r="AG389" i="10"/>
  <c r="AG388" i="10"/>
  <c r="AG387" i="10"/>
  <c r="AG386" i="10"/>
  <c r="AG385" i="10"/>
  <c r="AG384" i="10"/>
  <c r="AG383" i="10"/>
  <c r="AG382" i="10"/>
  <c r="AG381" i="10"/>
  <c r="AG380" i="10"/>
  <c r="AG379" i="10"/>
  <c r="AG378" i="10"/>
  <c r="AG377" i="10"/>
  <c r="AG376" i="10"/>
  <c r="AG375" i="10"/>
  <c r="AG374" i="10"/>
  <c r="AG373" i="10"/>
  <c r="AG372" i="10"/>
  <c r="AG371" i="10"/>
  <c r="AG370" i="10"/>
  <c r="AG369" i="10"/>
  <c r="AG368" i="10"/>
  <c r="AG367" i="10"/>
  <c r="AG366" i="10"/>
  <c r="AG365" i="10"/>
  <c r="AG364" i="10"/>
  <c r="AG363" i="10"/>
  <c r="AG362" i="10"/>
  <c r="AG361" i="10"/>
  <c r="AG360" i="10"/>
  <c r="AG359" i="10"/>
  <c r="AG358" i="10"/>
  <c r="AG357" i="10"/>
  <c r="AG356" i="10"/>
  <c r="AG355" i="10"/>
  <c r="AG354" i="10"/>
  <c r="AG353" i="10"/>
  <c r="AG352" i="10"/>
  <c r="AG351" i="10"/>
  <c r="AG350" i="10"/>
  <c r="AG349" i="10"/>
  <c r="AG348" i="10"/>
  <c r="AG347" i="10"/>
  <c r="AG346" i="10"/>
  <c r="AG345" i="10"/>
  <c r="AG344" i="10"/>
  <c r="AG343" i="10"/>
  <c r="AF622" i="10"/>
  <c r="AF621" i="10"/>
  <c r="AF620" i="10"/>
  <c r="AF619" i="10"/>
  <c r="AF618" i="10"/>
  <c r="AF617" i="10"/>
  <c r="AF616" i="10"/>
  <c r="AF615" i="10"/>
  <c r="AF614" i="10"/>
  <c r="AF613" i="10"/>
  <c r="AF612" i="10"/>
  <c r="AF611" i="10"/>
  <c r="AF610" i="10"/>
  <c r="AF609" i="10"/>
  <c r="AF608" i="10"/>
  <c r="AF607" i="10"/>
  <c r="AF606" i="10"/>
  <c r="AF605" i="10"/>
  <c r="AF604" i="10"/>
  <c r="AF603" i="10"/>
  <c r="AF602" i="10"/>
  <c r="AF601" i="10"/>
  <c r="AF600" i="10"/>
  <c r="AF599" i="10"/>
  <c r="AF598" i="10"/>
  <c r="AF597" i="10"/>
  <c r="AF596" i="10"/>
  <c r="AF595" i="10"/>
  <c r="AF594" i="10"/>
  <c r="AF593" i="10"/>
  <c r="AF592" i="10"/>
  <c r="AF591" i="10"/>
  <c r="AF590" i="10"/>
  <c r="AF589" i="10"/>
  <c r="AF588" i="10"/>
  <c r="AF587" i="10"/>
  <c r="AF586" i="10"/>
  <c r="AF585" i="10"/>
  <c r="AF584" i="10"/>
  <c r="AF583" i="10"/>
  <c r="AF582" i="10"/>
  <c r="AF581" i="10"/>
  <c r="AF580" i="10"/>
  <c r="AF579" i="10"/>
  <c r="AF578" i="10"/>
  <c r="AF577" i="10"/>
  <c r="AF576" i="10"/>
  <c r="AF575" i="10"/>
  <c r="AF574" i="10"/>
  <c r="AF573" i="10"/>
  <c r="AF572" i="10"/>
  <c r="AF571" i="10"/>
  <c r="AF570" i="10"/>
  <c r="AF569" i="10"/>
  <c r="AF568" i="10"/>
  <c r="AF567" i="10"/>
  <c r="AF566" i="10"/>
  <c r="AF565" i="10"/>
  <c r="AF564" i="10"/>
  <c r="AF563" i="10"/>
  <c r="AF562" i="10"/>
  <c r="AF561" i="10"/>
  <c r="AF560" i="10"/>
  <c r="AF559" i="10"/>
  <c r="AF558" i="10"/>
  <c r="AF557" i="10"/>
  <c r="AF556" i="10"/>
  <c r="AF555" i="10"/>
  <c r="AF554" i="10"/>
  <c r="AF553" i="10"/>
  <c r="AF552" i="10"/>
  <c r="AF551" i="10"/>
  <c r="AF550" i="10"/>
  <c r="AF549" i="10"/>
  <c r="AF548" i="10"/>
  <c r="AF547" i="10"/>
  <c r="AF546" i="10"/>
  <c r="AF545" i="10"/>
  <c r="AF544" i="10"/>
  <c r="AF543" i="10"/>
  <c r="AF542" i="10"/>
  <c r="AF541" i="10"/>
  <c r="AF540" i="10"/>
  <c r="AF539" i="10"/>
  <c r="AF538" i="10"/>
  <c r="AF537" i="10"/>
  <c r="AF536" i="10"/>
  <c r="AF535" i="10"/>
  <c r="AF534" i="10"/>
  <c r="AF533" i="10"/>
  <c r="AF532" i="10"/>
  <c r="AF531" i="10"/>
  <c r="AF530" i="10"/>
  <c r="AF529" i="10"/>
  <c r="AF528" i="10"/>
  <c r="AF527" i="10"/>
  <c r="AF526" i="10"/>
  <c r="AF525" i="10"/>
  <c r="AF524" i="10"/>
  <c r="AF523" i="10"/>
  <c r="AF522" i="10"/>
  <c r="AF521" i="10"/>
  <c r="AF520" i="10"/>
  <c r="AF519" i="10"/>
  <c r="AF518" i="10"/>
  <c r="AF517" i="10"/>
  <c r="AF516" i="10"/>
  <c r="AF515" i="10"/>
  <c r="AF514" i="10"/>
  <c r="AF513" i="10"/>
  <c r="AF512" i="10"/>
  <c r="AF511" i="10"/>
  <c r="AF510" i="10"/>
  <c r="AF509" i="10"/>
  <c r="AF508" i="10"/>
  <c r="AF507" i="10"/>
  <c r="AF506" i="10"/>
  <c r="AF505" i="10"/>
  <c r="AF504" i="10"/>
  <c r="AF503" i="10"/>
  <c r="AF502" i="10"/>
  <c r="AF501" i="10"/>
  <c r="AF500" i="10"/>
  <c r="AF499" i="10"/>
  <c r="AF498" i="10"/>
  <c r="AF497" i="10"/>
  <c r="AF496" i="10"/>
  <c r="AF495" i="10"/>
  <c r="AF494" i="10"/>
  <c r="AF493" i="10"/>
  <c r="AF492" i="10"/>
  <c r="AF491" i="10"/>
  <c r="AF490" i="10"/>
  <c r="AF489" i="10"/>
  <c r="AF488" i="10"/>
  <c r="AF487" i="10"/>
  <c r="AF486" i="10"/>
  <c r="AF485" i="10"/>
  <c r="AF484" i="10"/>
  <c r="AF483" i="10"/>
  <c r="AF482" i="10"/>
  <c r="AF481" i="10"/>
  <c r="AF480" i="10"/>
  <c r="AF479" i="10"/>
  <c r="AF478" i="10"/>
  <c r="AF477" i="10"/>
  <c r="AF476" i="10"/>
  <c r="AF475" i="10"/>
  <c r="AF474" i="10"/>
  <c r="AF473" i="10"/>
  <c r="AF472" i="10"/>
  <c r="AF471" i="10"/>
  <c r="AF470" i="10"/>
  <c r="AF469" i="10"/>
  <c r="AF468" i="10"/>
  <c r="AF467" i="10"/>
  <c r="AF466" i="10"/>
  <c r="AF465" i="10"/>
  <c r="AF464" i="10"/>
  <c r="AF463" i="10"/>
  <c r="AF462" i="10"/>
  <c r="AF461" i="10"/>
  <c r="AF460" i="10"/>
  <c r="AF459" i="10"/>
  <c r="AF458" i="10"/>
  <c r="AF457" i="10"/>
  <c r="AF456" i="10"/>
  <c r="AF455" i="10"/>
  <c r="AF454" i="10"/>
  <c r="AF453" i="10"/>
  <c r="AF452" i="10"/>
  <c r="AF451" i="10"/>
  <c r="AF450" i="10"/>
  <c r="AF449" i="10"/>
  <c r="AF448" i="10"/>
  <c r="AF447" i="10"/>
  <c r="AF446" i="10"/>
  <c r="AF445" i="10"/>
  <c r="AF444" i="10"/>
  <c r="AF443" i="10"/>
  <c r="AF442" i="10"/>
  <c r="AF441" i="10"/>
  <c r="AF440" i="10"/>
  <c r="AF439" i="10"/>
  <c r="AF438" i="10"/>
  <c r="AF437" i="10"/>
  <c r="AF436" i="10"/>
  <c r="AF435" i="10"/>
  <c r="AF434" i="10"/>
  <c r="AF433" i="10"/>
  <c r="AF432" i="10"/>
  <c r="AF431" i="10"/>
  <c r="AF430" i="10"/>
  <c r="AF429" i="10"/>
  <c r="AF428" i="10"/>
  <c r="AF427" i="10"/>
  <c r="AF426" i="10"/>
  <c r="AF425" i="10"/>
  <c r="AF424" i="10"/>
  <c r="AF423" i="10"/>
  <c r="AF422" i="10"/>
  <c r="AF421" i="10"/>
  <c r="AF420" i="10"/>
  <c r="AF419" i="10"/>
  <c r="AF418" i="10"/>
  <c r="AF417" i="10"/>
  <c r="AF416" i="10"/>
  <c r="AF415" i="10"/>
  <c r="AF414" i="10"/>
  <c r="AF413" i="10"/>
  <c r="AF412" i="10"/>
  <c r="AF411" i="10"/>
  <c r="AF410" i="10"/>
  <c r="AF409" i="10"/>
  <c r="AF408" i="10"/>
  <c r="AF407" i="10"/>
  <c r="AF406" i="10"/>
  <c r="AF405" i="10"/>
  <c r="AF404" i="10"/>
  <c r="AF403" i="10"/>
  <c r="AF402" i="10"/>
  <c r="AF401" i="10"/>
  <c r="AF400" i="10"/>
  <c r="AF399" i="10"/>
  <c r="AF398" i="10"/>
  <c r="AF397" i="10"/>
  <c r="AF396" i="10"/>
  <c r="AF395" i="10"/>
  <c r="AF394" i="10"/>
  <c r="AF393" i="10"/>
  <c r="AF392" i="10"/>
  <c r="AF391" i="10"/>
  <c r="AF390" i="10"/>
  <c r="AF389" i="10"/>
  <c r="AF388" i="10"/>
  <c r="AF387" i="10"/>
  <c r="AF386" i="10"/>
  <c r="AF385" i="10"/>
  <c r="AF384" i="10"/>
  <c r="AF383" i="10"/>
  <c r="AF382" i="10"/>
  <c r="AF381" i="10"/>
  <c r="AF380" i="10"/>
  <c r="AF379" i="10"/>
  <c r="AF378" i="10"/>
  <c r="AF377" i="10"/>
  <c r="AF376" i="10"/>
  <c r="AF375" i="10"/>
  <c r="AF374" i="10"/>
  <c r="AF373" i="10"/>
  <c r="AF372" i="10"/>
  <c r="AF371" i="10"/>
  <c r="AF370" i="10"/>
  <c r="AF369" i="10"/>
  <c r="AF368" i="10"/>
  <c r="AF367" i="10"/>
  <c r="AF366" i="10"/>
  <c r="AF365" i="10"/>
  <c r="AF364" i="10"/>
  <c r="AF363" i="10"/>
  <c r="AF362" i="10"/>
  <c r="AF361" i="10"/>
  <c r="AF360" i="10"/>
  <c r="AF359" i="10"/>
  <c r="AF358" i="10"/>
  <c r="AF357" i="10"/>
  <c r="AF356" i="10"/>
  <c r="AF355" i="10"/>
  <c r="AF354" i="10"/>
  <c r="AF353" i="10"/>
  <c r="AF352" i="10"/>
  <c r="AF351" i="10"/>
  <c r="AF350" i="10"/>
  <c r="AF349" i="10"/>
  <c r="AF348" i="10"/>
  <c r="AF347" i="10"/>
  <c r="AF346" i="10"/>
  <c r="AF345" i="10"/>
  <c r="AF344" i="10"/>
  <c r="AF343" i="10"/>
  <c r="AE622" i="10"/>
  <c r="AE621" i="10"/>
  <c r="AE620" i="10"/>
  <c r="AE619" i="10"/>
  <c r="AE618" i="10"/>
  <c r="AE617" i="10"/>
  <c r="AE616" i="10"/>
  <c r="AE615" i="10"/>
  <c r="AE614" i="10"/>
  <c r="AE613" i="10"/>
  <c r="AE612" i="10"/>
  <c r="AE611" i="10"/>
  <c r="AE610" i="10"/>
  <c r="AE609" i="10"/>
  <c r="AE608" i="10"/>
  <c r="AE607" i="10"/>
  <c r="AE606" i="10"/>
  <c r="AE605" i="10"/>
  <c r="AE604" i="10"/>
  <c r="AE603" i="10"/>
  <c r="AE602" i="10"/>
  <c r="AE601" i="10"/>
  <c r="AE600" i="10"/>
  <c r="AE599" i="10"/>
  <c r="AE598" i="10"/>
  <c r="AE597" i="10"/>
  <c r="AE596" i="10"/>
  <c r="AE595" i="10"/>
  <c r="AE594" i="10"/>
  <c r="AE593" i="10"/>
  <c r="AE592" i="10"/>
  <c r="AE591" i="10"/>
  <c r="AE590" i="10"/>
  <c r="AE589" i="10"/>
  <c r="AE588" i="10"/>
  <c r="AE587" i="10"/>
  <c r="AE586" i="10"/>
  <c r="AE585" i="10"/>
  <c r="AE584" i="10"/>
  <c r="AE583" i="10"/>
  <c r="AE582" i="10"/>
  <c r="AE581" i="10"/>
  <c r="AE580" i="10"/>
  <c r="AE579" i="10"/>
  <c r="AE578" i="10"/>
  <c r="AE577" i="10"/>
  <c r="AE576" i="10"/>
  <c r="AE575" i="10"/>
  <c r="AE574" i="10"/>
  <c r="AE573" i="10"/>
  <c r="AE572" i="10"/>
  <c r="AE571" i="10"/>
  <c r="AE570" i="10"/>
  <c r="AE569" i="10"/>
  <c r="AE568" i="10"/>
  <c r="AE567" i="10"/>
  <c r="AE566" i="10"/>
  <c r="AE565" i="10"/>
  <c r="AE564" i="10"/>
  <c r="AE563" i="10"/>
  <c r="AE562" i="10"/>
  <c r="AE561" i="10"/>
  <c r="AE560" i="10"/>
  <c r="AE559" i="10"/>
  <c r="AE558" i="10"/>
  <c r="AE557" i="10"/>
  <c r="AE556" i="10"/>
  <c r="AE555" i="10"/>
  <c r="AE554" i="10"/>
  <c r="AE553" i="10"/>
  <c r="AE552" i="10"/>
  <c r="AE551" i="10"/>
  <c r="AE550" i="10"/>
  <c r="AE549" i="10"/>
  <c r="AE548" i="10"/>
  <c r="AE547" i="10"/>
  <c r="AE546" i="10"/>
  <c r="AE545" i="10"/>
  <c r="AE544" i="10"/>
  <c r="AE543" i="10"/>
  <c r="AE542" i="10"/>
  <c r="AE541" i="10"/>
  <c r="AE540" i="10"/>
  <c r="AE539" i="10"/>
  <c r="AE538" i="10"/>
  <c r="AE537" i="10"/>
  <c r="AE536" i="10"/>
  <c r="AE535" i="10"/>
  <c r="AE534" i="10"/>
  <c r="AE533" i="10"/>
  <c r="AE532" i="10"/>
  <c r="AE531" i="10"/>
  <c r="AE530" i="10"/>
  <c r="AE529" i="10"/>
  <c r="AE528" i="10"/>
  <c r="AE527" i="10"/>
  <c r="AE526" i="10"/>
  <c r="AE525" i="10"/>
  <c r="AE524" i="10"/>
  <c r="AE523" i="10"/>
  <c r="AE522" i="10"/>
  <c r="AE521" i="10"/>
  <c r="AE520" i="10"/>
  <c r="AE519" i="10"/>
  <c r="AE518" i="10"/>
  <c r="AE517" i="10"/>
  <c r="AE516" i="10"/>
  <c r="AE515" i="10"/>
  <c r="AE514" i="10"/>
  <c r="AE513" i="10"/>
  <c r="AE512" i="10"/>
  <c r="AE511" i="10"/>
  <c r="AE510" i="10"/>
  <c r="AE509" i="10"/>
  <c r="AE508" i="10"/>
  <c r="AE507" i="10"/>
  <c r="AE506" i="10"/>
  <c r="AE505" i="10"/>
  <c r="AE504" i="10"/>
  <c r="AE503" i="10"/>
  <c r="AE502" i="10"/>
  <c r="AE501" i="10"/>
  <c r="AE500" i="10"/>
  <c r="AE499" i="10"/>
  <c r="AE498" i="10"/>
  <c r="AE497" i="10"/>
  <c r="AE496" i="10"/>
  <c r="AE495" i="10"/>
  <c r="AE494" i="10"/>
  <c r="AE493" i="10"/>
  <c r="AE492" i="10"/>
  <c r="AE491" i="10"/>
  <c r="AE490" i="10"/>
  <c r="AE489" i="10"/>
  <c r="AE488" i="10"/>
  <c r="AE487" i="10"/>
  <c r="AE486" i="10"/>
  <c r="AE485" i="10"/>
  <c r="AE484" i="10"/>
  <c r="AE483" i="10"/>
  <c r="AE482" i="10"/>
  <c r="AE481" i="10"/>
  <c r="AE480" i="10"/>
  <c r="AE479" i="10"/>
  <c r="AE478" i="10"/>
  <c r="AE477" i="10"/>
  <c r="AE476" i="10"/>
  <c r="AE475" i="10"/>
  <c r="AE474" i="10"/>
  <c r="AE473" i="10"/>
  <c r="AE472" i="10"/>
  <c r="AE471" i="10"/>
  <c r="AE470" i="10"/>
  <c r="AE469" i="10"/>
  <c r="AE468" i="10"/>
  <c r="AE467" i="10"/>
  <c r="AE466" i="10"/>
  <c r="AE465" i="10"/>
  <c r="AE464" i="10"/>
  <c r="AE463" i="10"/>
  <c r="AE462" i="10"/>
  <c r="AE461" i="10"/>
  <c r="AE460" i="10"/>
  <c r="AE459" i="10"/>
  <c r="AE458" i="10"/>
  <c r="AE457" i="10"/>
  <c r="AE456" i="10"/>
  <c r="AE455" i="10"/>
  <c r="AE454" i="10"/>
  <c r="AE453" i="10"/>
  <c r="AE452" i="10"/>
  <c r="AE451" i="10"/>
  <c r="AE450" i="10"/>
  <c r="AE449" i="10"/>
  <c r="AE448" i="10"/>
  <c r="AE447" i="10"/>
  <c r="AE446" i="10"/>
  <c r="AE445" i="10"/>
  <c r="AE444" i="10"/>
  <c r="AE443" i="10"/>
  <c r="AE442" i="10"/>
  <c r="AE441" i="10"/>
  <c r="AE440" i="10"/>
  <c r="AE439" i="10"/>
  <c r="AE438" i="10"/>
  <c r="AE437" i="10"/>
  <c r="AE436" i="10"/>
  <c r="AE435" i="10"/>
  <c r="AE434" i="10"/>
  <c r="AE433" i="10"/>
  <c r="AE432" i="10"/>
  <c r="AE431" i="10"/>
  <c r="AE430" i="10"/>
  <c r="AE429" i="10"/>
  <c r="AE428" i="10"/>
  <c r="AE427" i="10"/>
  <c r="AE426" i="10"/>
  <c r="AE425" i="10"/>
  <c r="AE424" i="10"/>
  <c r="AE423" i="10"/>
  <c r="AE422" i="10"/>
  <c r="AE421" i="10"/>
  <c r="AE420" i="10"/>
  <c r="AE419" i="10"/>
  <c r="AE418" i="10"/>
  <c r="AE417" i="10"/>
  <c r="AE416" i="10"/>
  <c r="AE415" i="10"/>
  <c r="AE414" i="10"/>
  <c r="AE413" i="10"/>
  <c r="AE412" i="10"/>
  <c r="AE411" i="10"/>
  <c r="AE410" i="10"/>
  <c r="AE409" i="10"/>
  <c r="AE408" i="10"/>
  <c r="AE407" i="10"/>
  <c r="AE406" i="10"/>
  <c r="AE405" i="10"/>
  <c r="AE404" i="10"/>
  <c r="AE403" i="10"/>
  <c r="AE402" i="10"/>
  <c r="AE401" i="10"/>
  <c r="AE400" i="10"/>
  <c r="AE399" i="10"/>
  <c r="AE398" i="10"/>
  <c r="AE397" i="10"/>
  <c r="AE396" i="10"/>
  <c r="AE395" i="10"/>
  <c r="AE394" i="10"/>
  <c r="AE393" i="10"/>
  <c r="AE392" i="10"/>
  <c r="AE391" i="10"/>
  <c r="AE390" i="10"/>
  <c r="AE389" i="10"/>
  <c r="AE388" i="10"/>
  <c r="AE387" i="10"/>
  <c r="AE386" i="10"/>
  <c r="AE385" i="10"/>
  <c r="AE384" i="10"/>
  <c r="AE383" i="10"/>
  <c r="AE382" i="10"/>
  <c r="AE381" i="10"/>
  <c r="AE380" i="10"/>
  <c r="AE379" i="10"/>
  <c r="AE378" i="10"/>
  <c r="AE377" i="10"/>
  <c r="AE376" i="10"/>
  <c r="AE375" i="10"/>
  <c r="AE374" i="10"/>
  <c r="AE373" i="10"/>
  <c r="AE372" i="10"/>
  <c r="AE371" i="10"/>
  <c r="AE370" i="10"/>
  <c r="AE369" i="10"/>
  <c r="AE368" i="10"/>
  <c r="AE367" i="10"/>
  <c r="AE366" i="10"/>
  <c r="AE365" i="10"/>
  <c r="AE364" i="10"/>
  <c r="AE363" i="10"/>
  <c r="AE362" i="10"/>
  <c r="AE361" i="10"/>
  <c r="AE360" i="10"/>
  <c r="AE359" i="10"/>
  <c r="AE358" i="10"/>
  <c r="AE357" i="10"/>
  <c r="AE356" i="10"/>
  <c r="AE355" i="10"/>
  <c r="AE354" i="10"/>
  <c r="AE353" i="10"/>
  <c r="AE352" i="10"/>
  <c r="AE351" i="10"/>
  <c r="AE350" i="10"/>
  <c r="AE349" i="10"/>
  <c r="AE348" i="10"/>
  <c r="AE347" i="10"/>
  <c r="AE346" i="10"/>
  <c r="AE345" i="10"/>
  <c r="AE344" i="10"/>
  <c r="AE343" i="10"/>
  <c r="AD622" i="10"/>
  <c r="AD621" i="10"/>
  <c r="AD620" i="10"/>
  <c r="AD619" i="10"/>
  <c r="AD618" i="10"/>
  <c r="AD617" i="10"/>
  <c r="AD616" i="10"/>
  <c r="AD615" i="10"/>
  <c r="AD614" i="10"/>
  <c r="AD613" i="10"/>
  <c r="AD612" i="10"/>
  <c r="AD611" i="10"/>
  <c r="AD610" i="10"/>
  <c r="AD609" i="10"/>
  <c r="AD608" i="10"/>
  <c r="AD607" i="10"/>
  <c r="AD606" i="10"/>
  <c r="AD605" i="10"/>
  <c r="AD604" i="10"/>
  <c r="AD603" i="10"/>
  <c r="AD602" i="10"/>
  <c r="AD601" i="10"/>
  <c r="AD600" i="10"/>
  <c r="AD599" i="10"/>
  <c r="AD598" i="10"/>
  <c r="AD597" i="10"/>
  <c r="AD596" i="10"/>
  <c r="AD595" i="10"/>
  <c r="AD594" i="10"/>
  <c r="AD593" i="10"/>
  <c r="AD592" i="10"/>
  <c r="AD591" i="10"/>
  <c r="AD590" i="10"/>
  <c r="AD589" i="10"/>
  <c r="AD588" i="10"/>
  <c r="AD587" i="10"/>
  <c r="AD586" i="10"/>
  <c r="AD585" i="10"/>
  <c r="AD584" i="10"/>
  <c r="AD583" i="10"/>
  <c r="AD582" i="10"/>
  <c r="AD581" i="10"/>
  <c r="AD580" i="10"/>
  <c r="AD579" i="10"/>
  <c r="AD578" i="10"/>
  <c r="AD577" i="10"/>
  <c r="AD576" i="10"/>
  <c r="AD575" i="10"/>
  <c r="AD574" i="10"/>
  <c r="AD573" i="10"/>
  <c r="AD572" i="10"/>
  <c r="AD571" i="10"/>
  <c r="AD570" i="10"/>
  <c r="AD569" i="10"/>
  <c r="AD568" i="10"/>
  <c r="AD567" i="10"/>
  <c r="AD566" i="10"/>
  <c r="AD565" i="10"/>
  <c r="AD564" i="10"/>
  <c r="AD563" i="10"/>
  <c r="AD562" i="10"/>
  <c r="AD561" i="10"/>
  <c r="AD560" i="10"/>
  <c r="AD559" i="10"/>
  <c r="AD558" i="10"/>
  <c r="AD557" i="10"/>
  <c r="AD556" i="10"/>
  <c r="AD555" i="10"/>
  <c r="AD554" i="10"/>
  <c r="AD553" i="10"/>
  <c r="AD552" i="10"/>
  <c r="AD551" i="10"/>
  <c r="AD550" i="10"/>
  <c r="AD549" i="10"/>
  <c r="AD548" i="10"/>
  <c r="AD547" i="10"/>
  <c r="AD546" i="10"/>
  <c r="AD545" i="10"/>
  <c r="AD544" i="10"/>
  <c r="AD543" i="10"/>
  <c r="AD542" i="10"/>
  <c r="AD541" i="10"/>
  <c r="AD540" i="10"/>
  <c r="AD539" i="10"/>
  <c r="AD538" i="10"/>
  <c r="AD537" i="10"/>
  <c r="AD536" i="10"/>
  <c r="AD535" i="10"/>
  <c r="AD534" i="10"/>
  <c r="AD533" i="10"/>
  <c r="AD532" i="10"/>
  <c r="AD531" i="10"/>
  <c r="AD530" i="10"/>
  <c r="AD529" i="10"/>
  <c r="AD528" i="10"/>
  <c r="AD527" i="10"/>
  <c r="AD526" i="10"/>
  <c r="AD525" i="10"/>
  <c r="AD524" i="10"/>
  <c r="AD523" i="10"/>
  <c r="AD522" i="10"/>
  <c r="AD521" i="10"/>
  <c r="AD520" i="10"/>
  <c r="AD519" i="10"/>
  <c r="AD518" i="10"/>
  <c r="AD517" i="10"/>
  <c r="AD516" i="10"/>
  <c r="AD515" i="10"/>
  <c r="AD514" i="10"/>
  <c r="AD513" i="10"/>
  <c r="AD512" i="10"/>
  <c r="AD511" i="10"/>
  <c r="AD510" i="10"/>
  <c r="AD509" i="10"/>
  <c r="AD508" i="10"/>
  <c r="AD507" i="10"/>
  <c r="AD506" i="10"/>
  <c r="AD505" i="10"/>
  <c r="AD504" i="10"/>
  <c r="AD503" i="10"/>
  <c r="AD502" i="10"/>
  <c r="AD501" i="10"/>
  <c r="AD500" i="10"/>
  <c r="AD499" i="10"/>
  <c r="AD498" i="10"/>
  <c r="AD497" i="10"/>
  <c r="AD496" i="10"/>
  <c r="AD495" i="10"/>
  <c r="AD494" i="10"/>
  <c r="AD493" i="10"/>
  <c r="AD492" i="10"/>
  <c r="AD491" i="10"/>
  <c r="AD490" i="10"/>
  <c r="AD489" i="10"/>
  <c r="AD488" i="10"/>
  <c r="AD487" i="10"/>
  <c r="AD486" i="10"/>
  <c r="AD485" i="10"/>
  <c r="AD484" i="10"/>
  <c r="AD483" i="10"/>
  <c r="AD482" i="10"/>
  <c r="AD481" i="10"/>
  <c r="AD480" i="10"/>
  <c r="AD479" i="10"/>
  <c r="AD478" i="10"/>
  <c r="AD477" i="10"/>
  <c r="AD476" i="10"/>
  <c r="AD475" i="10"/>
  <c r="AD474" i="10"/>
  <c r="AD473" i="10"/>
  <c r="AD472" i="10"/>
  <c r="AD471" i="10"/>
  <c r="AD470" i="10"/>
  <c r="AD469" i="10"/>
  <c r="AD468" i="10"/>
  <c r="AD467" i="10"/>
  <c r="AD466" i="10"/>
  <c r="AD465" i="10"/>
  <c r="AD464" i="10"/>
  <c r="AD463" i="10"/>
  <c r="AD462" i="10"/>
  <c r="AD461" i="10"/>
  <c r="AD460" i="10"/>
  <c r="AD459" i="10"/>
  <c r="AD458" i="10"/>
  <c r="AD457" i="10"/>
  <c r="AD456" i="10"/>
  <c r="AD455" i="10"/>
  <c r="AD454" i="10"/>
  <c r="AD453" i="10"/>
  <c r="AD452" i="10"/>
  <c r="AD451" i="10"/>
  <c r="AD450" i="10"/>
  <c r="AD449" i="10"/>
  <c r="AD448" i="10"/>
  <c r="AD447" i="10"/>
  <c r="AD446" i="10"/>
  <c r="AD445" i="10"/>
  <c r="AD444" i="10"/>
  <c r="AD443" i="10"/>
  <c r="AD442" i="10"/>
  <c r="AD441" i="10"/>
  <c r="AD440" i="10"/>
  <c r="AD439" i="10"/>
  <c r="AD438" i="10"/>
  <c r="AD437" i="10"/>
  <c r="AD436" i="10"/>
  <c r="AD435" i="10"/>
  <c r="AD434" i="10"/>
  <c r="AD433" i="10"/>
  <c r="AD432" i="10"/>
  <c r="AD431" i="10"/>
  <c r="AD430" i="10"/>
  <c r="AD429" i="10"/>
  <c r="AD428" i="10"/>
  <c r="AD427" i="10"/>
  <c r="AD426" i="10"/>
  <c r="AD425" i="10"/>
  <c r="AD424" i="10"/>
  <c r="AD423" i="10"/>
  <c r="AD422" i="10"/>
  <c r="AD421" i="10"/>
  <c r="AD420" i="10"/>
  <c r="AD419" i="10"/>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U343" i="10"/>
  <c r="V343" i="10"/>
  <c r="W343" i="10"/>
  <c r="X343" i="10"/>
  <c r="Y343" i="10"/>
  <c r="Z343" i="10"/>
  <c r="AA343" i="10"/>
  <c r="AB343" i="10"/>
  <c r="U344" i="10"/>
  <c r="V344" i="10"/>
  <c r="W344" i="10"/>
  <c r="X344" i="10"/>
  <c r="Y344" i="10"/>
  <c r="Z344" i="10"/>
  <c r="AA344" i="10"/>
  <c r="AB344" i="10"/>
  <c r="U345" i="10"/>
  <c r="V345" i="10"/>
  <c r="W345" i="10"/>
  <c r="X345" i="10"/>
  <c r="Y345" i="10"/>
  <c r="Z345" i="10"/>
  <c r="AA345" i="10"/>
  <c r="AB345" i="10"/>
  <c r="U346" i="10"/>
  <c r="V346" i="10"/>
  <c r="W346" i="10"/>
  <c r="X346" i="10"/>
  <c r="Y346" i="10"/>
  <c r="Z346" i="10"/>
  <c r="AA346" i="10"/>
  <c r="AB346" i="10"/>
  <c r="U347" i="10"/>
  <c r="V347" i="10"/>
  <c r="W347" i="10"/>
  <c r="X347" i="10"/>
  <c r="Y347" i="10"/>
  <c r="Z347" i="10"/>
  <c r="AA347" i="10"/>
  <c r="AB347" i="10"/>
  <c r="U348" i="10"/>
  <c r="V348" i="10"/>
  <c r="W348" i="10"/>
  <c r="X348" i="10"/>
  <c r="Y348" i="10"/>
  <c r="Z348" i="10"/>
  <c r="AA348" i="10"/>
  <c r="AB348" i="10"/>
  <c r="U349" i="10"/>
  <c r="V349" i="10"/>
  <c r="W349" i="10"/>
  <c r="X349" i="10"/>
  <c r="Y349" i="10"/>
  <c r="Z349" i="10"/>
  <c r="AA349" i="10"/>
  <c r="AB349" i="10"/>
  <c r="U350" i="10"/>
  <c r="V350" i="10"/>
  <c r="W350" i="10"/>
  <c r="X350" i="10"/>
  <c r="Y350" i="10"/>
  <c r="Z350" i="10"/>
  <c r="AA350" i="10"/>
  <c r="AB350" i="10"/>
  <c r="U351" i="10"/>
  <c r="V351" i="10"/>
  <c r="W351" i="10"/>
  <c r="X351" i="10"/>
  <c r="Y351" i="10"/>
  <c r="Z351" i="10"/>
  <c r="AA351" i="10"/>
  <c r="AB351" i="10"/>
  <c r="U352" i="10"/>
  <c r="V352" i="10"/>
  <c r="W352" i="10"/>
  <c r="X352" i="10"/>
  <c r="Y352" i="10"/>
  <c r="Z352" i="10"/>
  <c r="AA352" i="10"/>
  <c r="AB352" i="10"/>
  <c r="U353" i="10"/>
  <c r="V353" i="10"/>
  <c r="W353" i="10"/>
  <c r="X353" i="10"/>
  <c r="Y353" i="10"/>
  <c r="Z353" i="10"/>
  <c r="AA353" i="10"/>
  <c r="AB353" i="10"/>
  <c r="U354" i="10"/>
  <c r="V354" i="10"/>
  <c r="W354" i="10"/>
  <c r="X354" i="10"/>
  <c r="Y354" i="10"/>
  <c r="Z354" i="10"/>
  <c r="AA354" i="10"/>
  <c r="AB354" i="10"/>
  <c r="U355" i="10"/>
  <c r="V355" i="10"/>
  <c r="W355" i="10"/>
  <c r="X355" i="10"/>
  <c r="Y355" i="10"/>
  <c r="Z355" i="10"/>
  <c r="AA355" i="10"/>
  <c r="AB355" i="10"/>
  <c r="U356" i="10"/>
  <c r="V356" i="10"/>
  <c r="W356" i="10"/>
  <c r="X356" i="10"/>
  <c r="Y356" i="10"/>
  <c r="Z356" i="10"/>
  <c r="AA356" i="10"/>
  <c r="AB356" i="10"/>
  <c r="U357" i="10"/>
  <c r="V357" i="10"/>
  <c r="W357" i="10"/>
  <c r="X357" i="10"/>
  <c r="Y357" i="10"/>
  <c r="Z357" i="10"/>
  <c r="AA357" i="10"/>
  <c r="AB357" i="10"/>
  <c r="U358" i="10"/>
  <c r="V358" i="10"/>
  <c r="W358" i="10"/>
  <c r="X358" i="10"/>
  <c r="Y358" i="10"/>
  <c r="Z358" i="10"/>
  <c r="AA358" i="10"/>
  <c r="AB358" i="10"/>
  <c r="U359" i="10"/>
  <c r="V359" i="10"/>
  <c r="W359" i="10"/>
  <c r="X359" i="10"/>
  <c r="Y359" i="10"/>
  <c r="Z359" i="10"/>
  <c r="AA359" i="10"/>
  <c r="AB359" i="10"/>
  <c r="U360" i="10"/>
  <c r="V360" i="10"/>
  <c r="W360" i="10"/>
  <c r="X360" i="10"/>
  <c r="Y360" i="10"/>
  <c r="Z360" i="10"/>
  <c r="AA360" i="10"/>
  <c r="AB360" i="10"/>
  <c r="U361" i="10"/>
  <c r="V361" i="10"/>
  <c r="W361" i="10"/>
  <c r="X361" i="10"/>
  <c r="Y361" i="10"/>
  <c r="Z361" i="10"/>
  <c r="AA361" i="10"/>
  <c r="AB361" i="10"/>
  <c r="U362" i="10"/>
  <c r="V362" i="10"/>
  <c r="W362" i="10"/>
  <c r="X362" i="10"/>
  <c r="Y362" i="10"/>
  <c r="Z362" i="10"/>
  <c r="AA362" i="10"/>
  <c r="AB362" i="10"/>
  <c r="U363" i="10"/>
  <c r="V363" i="10"/>
  <c r="W363" i="10"/>
  <c r="X363" i="10"/>
  <c r="Y363" i="10"/>
  <c r="Z363" i="10"/>
  <c r="AA363" i="10"/>
  <c r="AB363" i="10"/>
  <c r="U364" i="10"/>
  <c r="V364" i="10"/>
  <c r="W364" i="10"/>
  <c r="X364" i="10"/>
  <c r="Y364" i="10"/>
  <c r="Z364" i="10"/>
  <c r="AA364" i="10"/>
  <c r="AB364" i="10"/>
  <c r="U365" i="10"/>
  <c r="V365" i="10"/>
  <c r="W365" i="10"/>
  <c r="X365" i="10"/>
  <c r="Y365" i="10"/>
  <c r="Z365" i="10"/>
  <c r="AA365" i="10"/>
  <c r="AB365" i="10"/>
  <c r="U366" i="10"/>
  <c r="V366" i="10"/>
  <c r="W366" i="10"/>
  <c r="X366" i="10"/>
  <c r="Y366" i="10"/>
  <c r="Z366" i="10"/>
  <c r="AA366" i="10"/>
  <c r="AB366" i="10"/>
  <c r="U367" i="10"/>
  <c r="V367" i="10"/>
  <c r="W367" i="10"/>
  <c r="X367" i="10"/>
  <c r="Y367" i="10"/>
  <c r="Z367" i="10"/>
  <c r="AA367" i="10"/>
  <c r="AB367" i="10"/>
  <c r="U368" i="10"/>
  <c r="V368" i="10"/>
  <c r="W368" i="10"/>
  <c r="X368" i="10"/>
  <c r="Y368" i="10"/>
  <c r="Z368" i="10"/>
  <c r="AA368" i="10"/>
  <c r="AB368" i="10"/>
  <c r="U369" i="10"/>
  <c r="V369" i="10"/>
  <c r="W369" i="10"/>
  <c r="X369" i="10"/>
  <c r="Y369" i="10"/>
  <c r="Z369" i="10"/>
  <c r="AA369" i="10"/>
  <c r="AB369" i="10"/>
  <c r="U370" i="10"/>
  <c r="V370" i="10"/>
  <c r="W370" i="10"/>
  <c r="X370" i="10"/>
  <c r="Y370" i="10"/>
  <c r="Z370" i="10"/>
  <c r="AA370" i="10"/>
  <c r="AB370" i="10"/>
  <c r="U371" i="10"/>
  <c r="V371" i="10"/>
  <c r="W371" i="10"/>
  <c r="X371" i="10"/>
  <c r="Y371" i="10"/>
  <c r="Z371" i="10"/>
  <c r="AA371" i="10"/>
  <c r="AB371" i="10"/>
  <c r="U372" i="10"/>
  <c r="V372" i="10"/>
  <c r="W372" i="10"/>
  <c r="X372" i="10"/>
  <c r="Y372" i="10"/>
  <c r="Z372" i="10"/>
  <c r="AA372" i="10"/>
  <c r="AB372" i="10"/>
  <c r="U373" i="10"/>
  <c r="V373" i="10"/>
  <c r="W373" i="10"/>
  <c r="X373" i="10"/>
  <c r="Y373" i="10"/>
  <c r="Z373" i="10"/>
  <c r="AA373" i="10"/>
  <c r="AB373" i="10"/>
  <c r="U374" i="10"/>
  <c r="V374" i="10"/>
  <c r="W374" i="10"/>
  <c r="X374" i="10"/>
  <c r="Y374" i="10"/>
  <c r="Z374" i="10"/>
  <c r="AA374" i="10"/>
  <c r="AB374" i="10"/>
  <c r="U375" i="10"/>
  <c r="V375" i="10"/>
  <c r="W375" i="10"/>
  <c r="X375" i="10"/>
  <c r="Y375" i="10"/>
  <c r="Z375" i="10"/>
  <c r="AA375" i="10"/>
  <c r="AB375" i="10"/>
  <c r="U376" i="10"/>
  <c r="V376" i="10"/>
  <c r="W376" i="10"/>
  <c r="X376" i="10"/>
  <c r="Y376" i="10"/>
  <c r="Z376" i="10"/>
  <c r="AA376" i="10"/>
  <c r="AB376" i="10"/>
  <c r="U377" i="10"/>
  <c r="V377" i="10"/>
  <c r="W377" i="10"/>
  <c r="X377" i="10"/>
  <c r="Y377" i="10"/>
  <c r="Z377" i="10"/>
  <c r="AA377" i="10"/>
  <c r="AB377" i="10"/>
  <c r="U378" i="10"/>
  <c r="V378" i="10"/>
  <c r="W378" i="10"/>
  <c r="X378" i="10"/>
  <c r="Y378" i="10"/>
  <c r="Z378" i="10"/>
  <c r="AA378" i="10"/>
  <c r="AB378" i="10"/>
  <c r="U379" i="10"/>
  <c r="V379" i="10"/>
  <c r="W379" i="10"/>
  <c r="X379" i="10"/>
  <c r="Y379" i="10"/>
  <c r="Z379" i="10"/>
  <c r="AA379" i="10"/>
  <c r="AB379" i="10"/>
  <c r="U380" i="10"/>
  <c r="V380" i="10"/>
  <c r="W380" i="10"/>
  <c r="X380" i="10"/>
  <c r="Y380" i="10"/>
  <c r="Z380" i="10"/>
  <c r="AA380" i="10"/>
  <c r="AB380" i="10"/>
  <c r="U381" i="10"/>
  <c r="V381" i="10"/>
  <c r="W381" i="10"/>
  <c r="X381" i="10"/>
  <c r="Y381" i="10"/>
  <c r="Z381" i="10"/>
  <c r="AA381" i="10"/>
  <c r="AB381" i="10"/>
  <c r="U382" i="10"/>
  <c r="V382" i="10"/>
  <c r="W382" i="10"/>
  <c r="X382" i="10"/>
  <c r="Y382" i="10"/>
  <c r="Z382" i="10"/>
  <c r="AA382" i="10"/>
  <c r="AB382" i="10"/>
  <c r="U383" i="10"/>
  <c r="V383" i="10"/>
  <c r="W383" i="10"/>
  <c r="X383" i="10"/>
  <c r="Y383" i="10"/>
  <c r="Z383" i="10"/>
  <c r="AA383" i="10"/>
  <c r="AB383" i="10"/>
  <c r="U384" i="10"/>
  <c r="V384" i="10"/>
  <c r="W384" i="10"/>
  <c r="X384" i="10"/>
  <c r="Y384" i="10"/>
  <c r="Z384" i="10"/>
  <c r="AA384" i="10"/>
  <c r="AB384" i="10"/>
  <c r="U385" i="10"/>
  <c r="V385" i="10"/>
  <c r="W385" i="10"/>
  <c r="X385" i="10"/>
  <c r="Y385" i="10"/>
  <c r="Z385" i="10"/>
  <c r="AA385" i="10"/>
  <c r="AB385" i="10"/>
  <c r="U386" i="10"/>
  <c r="V386" i="10"/>
  <c r="W386" i="10"/>
  <c r="X386" i="10"/>
  <c r="Y386" i="10"/>
  <c r="Z386" i="10"/>
  <c r="AA386" i="10"/>
  <c r="AB386" i="10"/>
  <c r="U387" i="10"/>
  <c r="V387" i="10"/>
  <c r="W387" i="10"/>
  <c r="X387" i="10"/>
  <c r="Y387" i="10"/>
  <c r="Z387" i="10"/>
  <c r="AA387" i="10"/>
  <c r="AB387" i="10"/>
  <c r="U388" i="10"/>
  <c r="V388" i="10"/>
  <c r="W388" i="10"/>
  <c r="X388" i="10"/>
  <c r="Y388" i="10"/>
  <c r="Z388" i="10"/>
  <c r="AA388" i="10"/>
  <c r="AB388" i="10"/>
  <c r="U389" i="10"/>
  <c r="V389" i="10"/>
  <c r="W389" i="10"/>
  <c r="X389" i="10"/>
  <c r="Y389" i="10"/>
  <c r="Z389" i="10"/>
  <c r="AA389" i="10"/>
  <c r="AB389" i="10"/>
  <c r="U390" i="10"/>
  <c r="V390" i="10"/>
  <c r="W390" i="10"/>
  <c r="X390" i="10"/>
  <c r="Y390" i="10"/>
  <c r="Z390" i="10"/>
  <c r="AA390" i="10"/>
  <c r="AB390" i="10"/>
  <c r="U391" i="10"/>
  <c r="V391" i="10"/>
  <c r="W391" i="10"/>
  <c r="X391" i="10"/>
  <c r="Y391" i="10"/>
  <c r="Z391" i="10"/>
  <c r="AA391" i="10"/>
  <c r="AB391" i="10"/>
  <c r="U392" i="10"/>
  <c r="V392" i="10"/>
  <c r="W392" i="10"/>
  <c r="X392" i="10"/>
  <c r="Y392" i="10"/>
  <c r="Z392" i="10"/>
  <c r="AA392" i="10"/>
  <c r="AB392" i="10"/>
  <c r="U393" i="10"/>
  <c r="V393" i="10"/>
  <c r="W393" i="10"/>
  <c r="X393" i="10"/>
  <c r="Y393" i="10"/>
  <c r="Z393" i="10"/>
  <c r="AA393" i="10"/>
  <c r="AB393" i="10"/>
  <c r="U394" i="10"/>
  <c r="V394" i="10"/>
  <c r="W394" i="10"/>
  <c r="X394" i="10"/>
  <c r="Y394" i="10"/>
  <c r="Z394" i="10"/>
  <c r="AA394" i="10"/>
  <c r="AB394" i="10"/>
  <c r="U395" i="10"/>
  <c r="V395" i="10"/>
  <c r="W395" i="10"/>
  <c r="X395" i="10"/>
  <c r="Y395" i="10"/>
  <c r="Z395" i="10"/>
  <c r="AA395" i="10"/>
  <c r="AB395" i="10"/>
  <c r="U396" i="10"/>
  <c r="V396" i="10"/>
  <c r="W396" i="10"/>
  <c r="X396" i="10"/>
  <c r="Y396" i="10"/>
  <c r="Z396" i="10"/>
  <c r="AA396" i="10"/>
  <c r="AB396" i="10"/>
  <c r="U397" i="10"/>
  <c r="V397" i="10"/>
  <c r="W397" i="10"/>
  <c r="X397" i="10"/>
  <c r="Y397" i="10"/>
  <c r="Z397" i="10"/>
  <c r="AA397" i="10"/>
  <c r="AB397" i="10"/>
  <c r="U398" i="10"/>
  <c r="V398" i="10"/>
  <c r="W398" i="10"/>
  <c r="X398" i="10"/>
  <c r="Y398" i="10"/>
  <c r="Z398" i="10"/>
  <c r="AA398" i="10"/>
  <c r="AB398" i="10"/>
  <c r="U399" i="10"/>
  <c r="V399" i="10"/>
  <c r="W399" i="10"/>
  <c r="X399" i="10"/>
  <c r="Y399" i="10"/>
  <c r="Z399" i="10"/>
  <c r="AA399" i="10"/>
  <c r="AB399" i="10"/>
  <c r="U400" i="10"/>
  <c r="V400" i="10"/>
  <c r="W400" i="10"/>
  <c r="X400" i="10"/>
  <c r="Y400" i="10"/>
  <c r="Z400" i="10"/>
  <c r="AA400" i="10"/>
  <c r="AB400" i="10"/>
  <c r="U401" i="10"/>
  <c r="V401" i="10"/>
  <c r="W401" i="10"/>
  <c r="X401" i="10"/>
  <c r="Y401" i="10"/>
  <c r="Z401" i="10"/>
  <c r="AA401" i="10"/>
  <c r="AB401" i="10"/>
  <c r="U402" i="10"/>
  <c r="V402" i="10"/>
  <c r="W402" i="10"/>
  <c r="X402" i="10"/>
  <c r="Y402" i="10"/>
  <c r="Z402" i="10"/>
  <c r="AA402" i="10"/>
  <c r="AB402" i="10"/>
  <c r="U403" i="10"/>
  <c r="V403" i="10"/>
  <c r="W403" i="10"/>
  <c r="X403" i="10"/>
  <c r="Y403" i="10"/>
  <c r="Z403" i="10"/>
  <c r="AA403" i="10"/>
  <c r="AB403" i="10"/>
  <c r="U404" i="10"/>
  <c r="V404" i="10"/>
  <c r="W404" i="10"/>
  <c r="X404" i="10"/>
  <c r="Y404" i="10"/>
  <c r="Z404" i="10"/>
  <c r="AA404" i="10"/>
  <c r="AB404" i="10"/>
  <c r="U405" i="10"/>
  <c r="V405" i="10"/>
  <c r="W405" i="10"/>
  <c r="X405" i="10"/>
  <c r="Y405" i="10"/>
  <c r="Z405" i="10"/>
  <c r="AA405" i="10"/>
  <c r="AB405" i="10"/>
  <c r="U406" i="10"/>
  <c r="V406" i="10"/>
  <c r="W406" i="10"/>
  <c r="X406" i="10"/>
  <c r="Y406" i="10"/>
  <c r="Z406" i="10"/>
  <c r="AA406" i="10"/>
  <c r="AB406" i="10"/>
  <c r="U407" i="10"/>
  <c r="V407" i="10"/>
  <c r="W407" i="10"/>
  <c r="X407" i="10"/>
  <c r="Y407" i="10"/>
  <c r="Z407" i="10"/>
  <c r="AA407" i="10"/>
  <c r="AB407" i="10"/>
  <c r="U408" i="10"/>
  <c r="V408" i="10"/>
  <c r="W408" i="10"/>
  <c r="X408" i="10"/>
  <c r="Y408" i="10"/>
  <c r="Z408" i="10"/>
  <c r="AA408" i="10"/>
  <c r="AB408" i="10"/>
  <c r="U409" i="10"/>
  <c r="V409" i="10"/>
  <c r="W409" i="10"/>
  <c r="X409" i="10"/>
  <c r="Y409" i="10"/>
  <c r="Z409" i="10"/>
  <c r="AA409" i="10"/>
  <c r="AB409" i="10"/>
  <c r="U410" i="10"/>
  <c r="V410" i="10"/>
  <c r="W410" i="10"/>
  <c r="X410" i="10"/>
  <c r="Y410" i="10"/>
  <c r="Z410" i="10"/>
  <c r="AA410" i="10"/>
  <c r="AB410" i="10"/>
  <c r="U411" i="10"/>
  <c r="V411" i="10"/>
  <c r="W411" i="10"/>
  <c r="X411" i="10"/>
  <c r="Y411" i="10"/>
  <c r="Z411" i="10"/>
  <c r="AA411" i="10"/>
  <c r="AB411" i="10"/>
  <c r="U412" i="10"/>
  <c r="V412" i="10"/>
  <c r="W412" i="10"/>
  <c r="X412" i="10"/>
  <c r="Y412" i="10"/>
  <c r="Z412" i="10"/>
  <c r="AA412" i="10"/>
  <c r="AB412" i="10"/>
  <c r="U413" i="10"/>
  <c r="V413" i="10"/>
  <c r="W413" i="10"/>
  <c r="X413" i="10"/>
  <c r="Y413" i="10"/>
  <c r="Z413" i="10"/>
  <c r="AA413" i="10"/>
  <c r="AB413" i="10"/>
  <c r="U414" i="10"/>
  <c r="V414" i="10"/>
  <c r="W414" i="10"/>
  <c r="X414" i="10"/>
  <c r="Y414" i="10"/>
  <c r="Z414" i="10"/>
  <c r="AA414" i="10"/>
  <c r="AB414" i="10"/>
  <c r="U415" i="10"/>
  <c r="V415" i="10"/>
  <c r="W415" i="10"/>
  <c r="X415" i="10"/>
  <c r="Y415" i="10"/>
  <c r="Z415" i="10"/>
  <c r="AA415" i="10"/>
  <c r="AB415" i="10"/>
  <c r="U416" i="10"/>
  <c r="V416" i="10"/>
  <c r="W416" i="10"/>
  <c r="X416" i="10"/>
  <c r="Y416" i="10"/>
  <c r="Z416" i="10"/>
  <c r="AA416" i="10"/>
  <c r="AB416" i="10"/>
  <c r="U417" i="10"/>
  <c r="V417" i="10"/>
  <c r="W417" i="10"/>
  <c r="X417" i="10"/>
  <c r="Y417" i="10"/>
  <c r="Z417" i="10"/>
  <c r="AA417" i="10"/>
  <c r="AB417" i="10"/>
  <c r="U418" i="10"/>
  <c r="V418" i="10"/>
  <c r="W418" i="10"/>
  <c r="X418" i="10"/>
  <c r="Y418" i="10"/>
  <c r="Z418" i="10"/>
  <c r="AA418" i="10"/>
  <c r="AB418" i="10"/>
  <c r="U419" i="10"/>
  <c r="V419" i="10"/>
  <c r="W419" i="10"/>
  <c r="X419" i="10"/>
  <c r="Y419" i="10"/>
  <c r="Z419" i="10"/>
  <c r="AA419" i="10"/>
  <c r="AB419" i="10"/>
  <c r="U420" i="10"/>
  <c r="V420" i="10"/>
  <c r="W420" i="10"/>
  <c r="X420" i="10"/>
  <c r="Y420" i="10"/>
  <c r="Z420" i="10"/>
  <c r="AA420" i="10"/>
  <c r="AB420" i="10"/>
  <c r="U421" i="10"/>
  <c r="V421" i="10"/>
  <c r="W421" i="10"/>
  <c r="X421" i="10"/>
  <c r="Y421" i="10"/>
  <c r="Z421" i="10"/>
  <c r="AA421" i="10"/>
  <c r="AB421" i="10"/>
  <c r="U422" i="10"/>
  <c r="V422" i="10"/>
  <c r="W422" i="10"/>
  <c r="X422" i="10"/>
  <c r="Y422" i="10"/>
  <c r="Z422" i="10"/>
  <c r="AA422" i="10"/>
  <c r="AB422" i="10"/>
  <c r="U423" i="10"/>
  <c r="V423" i="10"/>
  <c r="W423" i="10"/>
  <c r="X423" i="10"/>
  <c r="Y423" i="10"/>
  <c r="Z423" i="10"/>
  <c r="AA423" i="10"/>
  <c r="AB423" i="10"/>
  <c r="U424" i="10"/>
  <c r="V424" i="10"/>
  <c r="W424" i="10"/>
  <c r="X424" i="10"/>
  <c r="Y424" i="10"/>
  <c r="Z424" i="10"/>
  <c r="AA424" i="10"/>
  <c r="AB424" i="10"/>
  <c r="U425" i="10"/>
  <c r="V425" i="10"/>
  <c r="W425" i="10"/>
  <c r="X425" i="10"/>
  <c r="Y425" i="10"/>
  <c r="Z425" i="10"/>
  <c r="AA425" i="10"/>
  <c r="AB425" i="10"/>
  <c r="U426" i="10"/>
  <c r="V426" i="10"/>
  <c r="W426" i="10"/>
  <c r="X426" i="10"/>
  <c r="Y426" i="10"/>
  <c r="Z426" i="10"/>
  <c r="AA426" i="10"/>
  <c r="AB426" i="10"/>
  <c r="U427" i="10"/>
  <c r="V427" i="10"/>
  <c r="W427" i="10"/>
  <c r="X427" i="10"/>
  <c r="Y427" i="10"/>
  <c r="Z427" i="10"/>
  <c r="AA427" i="10"/>
  <c r="AB427" i="10"/>
  <c r="U428" i="10"/>
  <c r="V428" i="10"/>
  <c r="W428" i="10"/>
  <c r="X428" i="10"/>
  <c r="Y428" i="10"/>
  <c r="Z428" i="10"/>
  <c r="AA428" i="10"/>
  <c r="AB428" i="10"/>
  <c r="U429" i="10"/>
  <c r="V429" i="10"/>
  <c r="W429" i="10"/>
  <c r="X429" i="10"/>
  <c r="Y429" i="10"/>
  <c r="Z429" i="10"/>
  <c r="AA429" i="10"/>
  <c r="AB429" i="10"/>
  <c r="U430" i="10"/>
  <c r="V430" i="10"/>
  <c r="W430" i="10"/>
  <c r="X430" i="10"/>
  <c r="Y430" i="10"/>
  <c r="Z430" i="10"/>
  <c r="AA430" i="10"/>
  <c r="AB430" i="10"/>
  <c r="U431" i="10"/>
  <c r="V431" i="10"/>
  <c r="W431" i="10"/>
  <c r="X431" i="10"/>
  <c r="Y431" i="10"/>
  <c r="Z431" i="10"/>
  <c r="AA431" i="10"/>
  <c r="AB431" i="10"/>
  <c r="U432" i="10"/>
  <c r="V432" i="10"/>
  <c r="W432" i="10"/>
  <c r="X432" i="10"/>
  <c r="Y432" i="10"/>
  <c r="Z432" i="10"/>
  <c r="AA432" i="10"/>
  <c r="AB432" i="10"/>
  <c r="U433" i="10"/>
  <c r="V433" i="10"/>
  <c r="W433" i="10"/>
  <c r="X433" i="10"/>
  <c r="Y433" i="10"/>
  <c r="Z433" i="10"/>
  <c r="AA433" i="10"/>
  <c r="AB433" i="10"/>
  <c r="U434" i="10"/>
  <c r="V434" i="10"/>
  <c r="W434" i="10"/>
  <c r="X434" i="10"/>
  <c r="Y434" i="10"/>
  <c r="Z434" i="10"/>
  <c r="AA434" i="10"/>
  <c r="AB434" i="10"/>
  <c r="U435" i="10"/>
  <c r="V435" i="10"/>
  <c r="W435" i="10"/>
  <c r="X435" i="10"/>
  <c r="Y435" i="10"/>
  <c r="Z435" i="10"/>
  <c r="AA435" i="10"/>
  <c r="AB435" i="10"/>
  <c r="U436" i="10"/>
  <c r="V436" i="10"/>
  <c r="W436" i="10"/>
  <c r="X436" i="10"/>
  <c r="Y436" i="10"/>
  <c r="Z436" i="10"/>
  <c r="AA436" i="10"/>
  <c r="AB436" i="10"/>
  <c r="U437" i="10"/>
  <c r="V437" i="10"/>
  <c r="W437" i="10"/>
  <c r="X437" i="10"/>
  <c r="Y437" i="10"/>
  <c r="Z437" i="10"/>
  <c r="AA437" i="10"/>
  <c r="AB437" i="10"/>
  <c r="U438" i="10"/>
  <c r="V438" i="10"/>
  <c r="W438" i="10"/>
  <c r="X438" i="10"/>
  <c r="Y438" i="10"/>
  <c r="Z438" i="10"/>
  <c r="AA438" i="10"/>
  <c r="AB438" i="10"/>
  <c r="U439" i="10"/>
  <c r="V439" i="10"/>
  <c r="W439" i="10"/>
  <c r="X439" i="10"/>
  <c r="Y439" i="10"/>
  <c r="Z439" i="10"/>
  <c r="AA439" i="10"/>
  <c r="AB439" i="10"/>
  <c r="U440" i="10"/>
  <c r="V440" i="10"/>
  <c r="W440" i="10"/>
  <c r="X440" i="10"/>
  <c r="Y440" i="10"/>
  <c r="Z440" i="10"/>
  <c r="AA440" i="10"/>
  <c r="AB440" i="10"/>
  <c r="U441" i="10"/>
  <c r="V441" i="10"/>
  <c r="W441" i="10"/>
  <c r="X441" i="10"/>
  <c r="Y441" i="10"/>
  <c r="Z441" i="10"/>
  <c r="AA441" i="10"/>
  <c r="AB441" i="10"/>
  <c r="U442" i="10"/>
  <c r="V442" i="10"/>
  <c r="W442" i="10"/>
  <c r="X442" i="10"/>
  <c r="Y442" i="10"/>
  <c r="Z442" i="10"/>
  <c r="AA442" i="10"/>
  <c r="AB442" i="10"/>
  <c r="U443" i="10"/>
  <c r="V443" i="10"/>
  <c r="W443" i="10"/>
  <c r="X443" i="10"/>
  <c r="Y443" i="10"/>
  <c r="Z443" i="10"/>
  <c r="AA443" i="10"/>
  <c r="AB443" i="10"/>
  <c r="U444" i="10"/>
  <c r="V444" i="10"/>
  <c r="W444" i="10"/>
  <c r="X444" i="10"/>
  <c r="Y444" i="10"/>
  <c r="Z444" i="10"/>
  <c r="AA444" i="10"/>
  <c r="AB444" i="10"/>
  <c r="U445" i="10"/>
  <c r="V445" i="10"/>
  <c r="W445" i="10"/>
  <c r="X445" i="10"/>
  <c r="Y445" i="10"/>
  <c r="Z445" i="10"/>
  <c r="AA445" i="10"/>
  <c r="AB445" i="10"/>
  <c r="U446" i="10"/>
  <c r="V446" i="10"/>
  <c r="W446" i="10"/>
  <c r="X446" i="10"/>
  <c r="Y446" i="10"/>
  <c r="Z446" i="10"/>
  <c r="AA446" i="10"/>
  <c r="AB446" i="10"/>
  <c r="U447" i="10"/>
  <c r="V447" i="10"/>
  <c r="W447" i="10"/>
  <c r="X447" i="10"/>
  <c r="Y447" i="10"/>
  <c r="Z447" i="10"/>
  <c r="AA447" i="10"/>
  <c r="AB447" i="10"/>
  <c r="U448" i="10"/>
  <c r="V448" i="10"/>
  <c r="W448" i="10"/>
  <c r="X448" i="10"/>
  <c r="Y448" i="10"/>
  <c r="Z448" i="10"/>
  <c r="AA448" i="10"/>
  <c r="AB448" i="10"/>
  <c r="U449" i="10"/>
  <c r="V449" i="10"/>
  <c r="W449" i="10"/>
  <c r="X449" i="10"/>
  <c r="Y449" i="10"/>
  <c r="Z449" i="10"/>
  <c r="AA449" i="10"/>
  <c r="AB449" i="10"/>
  <c r="U450" i="10"/>
  <c r="V450" i="10"/>
  <c r="W450" i="10"/>
  <c r="X450" i="10"/>
  <c r="Y450" i="10"/>
  <c r="Z450" i="10"/>
  <c r="AA450" i="10"/>
  <c r="AB450" i="10"/>
  <c r="U451" i="10"/>
  <c r="V451" i="10"/>
  <c r="W451" i="10"/>
  <c r="X451" i="10"/>
  <c r="Y451" i="10"/>
  <c r="Z451" i="10"/>
  <c r="AA451" i="10"/>
  <c r="AB451" i="10"/>
  <c r="U452" i="10"/>
  <c r="V452" i="10"/>
  <c r="W452" i="10"/>
  <c r="X452" i="10"/>
  <c r="Y452" i="10"/>
  <c r="Z452" i="10"/>
  <c r="AA452" i="10"/>
  <c r="AB452" i="10"/>
  <c r="U453" i="10"/>
  <c r="V453" i="10"/>
  <c r="W453" i="10"/>
  <c r="X453" i="10"/>
  <c r="Y453" i="10"/>
  <c r="Z453" i="10"/>
  <c r="AA453" i="10"/>
  <c r="AB453" i="10"/>
  <c r="U454" i="10"/>
  <c r="V454" i="10"/>
  <c r="W454" i="10"/>
  <c r="X454" i="10"/>
  <c r="Y454" i="10"/>
  <c r="Z454" i="10"/>
  <c r="AA454" i="10"/>
  <c r="AB454" i="10"/>
  <c r="U455" i="10"/>
  <c r="V455" i="10"/>
  <c r="W455" i="10"/>
  <c r="X455" i="10"/>
  <c r="Y455" i="10"/>
  <c r="Z455" i="10"/>
  <c r="AA455" i="10"/>
  <c r="AB455" i="10"/>
  <c r="U456" i="10"/>
  <c r="V456" i="10"/>
  <c r="W456" i="10"/>
  <c r="X456" i="10"/>
  <c r="Y456" i="10"/>
  <c r="Z456" i="10"/>
  <c r="AA456" i="10"/>
  <c r="AB456" i="10"/>
  <c r="U457" i="10"/>
  <c r="V457" i="10"/>
  <c r="W457" i="10"/>
  <c r="X457" i="10"/>
  <c r="Y457" i="10"/>
  <c r="Z457" i="10"/>
  <c r="AA457" i="10"/>
  <c r="AB457" i="10"/>
  <c r="U458" i="10"/>
  <c r="V458" i="10"/>
  <c r="W458" i="10"/>
  <c r="X458" i="10"/>
  <c r="Y458" i="10"/>
  <c r="Z458" i="10"/>
  <c r="AA458" i="10"/>
  <c r="AB458" i="10"/>
  <c r="U459" i="10"/>
  <c r="V459" i="10"/>
  <c r="W459" i="10"/>
  <c r="X459" i="10"/>
  <c r="Y459" i="10"/>
  <c r="Z459" i="10"/>
  <c r="AA459" i="10"/>
  <c r="AB459" i="10"/>
  <c r="U460" i="10"/>
  <c r="V460" i="10"/>
  <c r="W460" i="10"/>
  <c r="X460" i="10"/>
  <c r="Y460" i="10"/>
  <c r="Z460" i="10"/>
  <c r="AA460" i="10"/>
  <c r="AB460" i="10"/>
  <c r="U461" i="10"/>
  <c r="V461" i="10"/>
  <c r="W461" i="10"/>
  <c r="X461" i="10"/>
  <c r="Y461" i="10"/>
  <c r="Z461" i="10"/>
  <c r="AA461" i="10"/>
  <c r="AB461" i="10"/>
  <c r="U462" i="10"/>
  <c r="V462" i="10"/>
  <c r="W462" i="10"/>
  <c r="X462" i="10"/>
  <c r="Y462" i="10"/>
  <c r="Z462" i="10"/>
  <c r="AA462" i="10"/>
  <c r="AB462" i="10"/>
  <c r="U463" i="10"/>
  <c r="V463" i="10"/>
  <c r="W463" i="10"/>
  <c r="X463" i="10"/>
  <c r="Y463" i="10"/>
  <c r="Z463" i="10"/>
  <c r="AA463" i="10"/>
  <c r="AB463" i="10"/>
  <c r="U464" i="10"/>
  <c r="V464" i="10"/>
  <c r="W464" i="10"/>
  <c r="X464" i="10"/>
  <c r="Y464" i="10"/>
  <c r="Z464" i="10"/>
  <c r="AA464" i="10"/>
  <c r="AB464" i="10"/>
  <c r="U465" i="10"/>
  <c r="V465" i="10"/>
  <c r="W465" i="10"/>
  <c r="X465" i="10"/>
  <c r="Y465" i="10"/>
  <c r="Z465" i="10"/>
  <c r="AA465" i="10"/>
  <c r="AB465" i="10"/>
  <c r="U466" i="10"/>
  <c r="V466" i="10"/>
  <c r="W466" i="10"/>
  <c r="X466" i="10"/>
  <c r="Y466" i="10"/>
  <c r="Z466" i="10"/>
  <c r="AA466" i="10"/>
  <c r="AB466" i="10"/>
  <c r="U467" i="10"/>
  <c r="V467" i="10"/>
  <c r="W467" i="10"/>
  <c r="X467" i="10"/>
  <c r="Y467" i="10"/>
  <c r="Z467" i="10"/>
  <c r="AA467" i="10"/>
  <c r="AB467" i="10"/>
  <c r="U468" i="10"/>
  <c r="V468" i="10"/>
  <c r="W468" i="10"/>
  <c r="X468" i="10"/>
  <c r="Y468" i="10"/>
  <c r="Z468" i="10"/>
  <c r="AA468" i="10"/>
  <c r="AB468" i="10"/>
  <c r="U469" i="10"/>
  <c r="V469" i="10"/>
  <c r="W469" i="10"/>
  <c r="X469" i="10"/>
  <c r="Y469" i="10"/>
  <c r="Z469" i="10"/>
  <c r="AA469" i="10"/>
  <c r="AB469" i="10"/>
  <c r="U470" i="10"/>
  <c r="V470" i="10"/>
  <c r="W470" i="10"/>
  <c r="X470" i="10"/>
  <c r="Y470" i="10"/>
  <c r="Z470" i="10"/>
  <c r="AA470" i="10"/>
  <c r="AB470" i="10"/>
  <c r="U471" i="10"/>
  <c r="V471" i="10"/>
  <c r="W471" i="10"/>
  <c r="X471" i="10"/>
  <c r="Y471" i="10"/>
  <c r="Z471" i="10"/>
  <c r="AA471" i="10"/>
  <c r="AB471" i="10"/>
  <c r="U472" i="10"/>
  <c r="V472" i="10"/>
  <c r="W472" i="10"/>
  <c r="X472" i="10"/>
  <c r="Y472" i="10"/>
  <c r="Z472" i="10"/>
  <c r="AA472" i="10"/>
  <c r="AB472" i="10"/>
  <c r="U473" i="10"/>
  <c r="V473" i="10"/>
  <c r="W473" i="10"/>
  <c r="X473" i="10"/>
  <c r="Y473" i="10"/>
  <c r="Z473" i="10"/>
  <c r="AA473" i="10"/>
  <c r="AB473" i="10"/>
  <c r="U474" i="10"/>
  <c r="V474" i="10"/>
  <c r="W474" i="10"/>
  <c r="X474" i="10"/>
  <c r="Y474" i="10"/>
  <c r="Z474" i="10"/>
  <c r="AA474" i="10"/>
  <c r="AB474" i="10"/>
  <c r="U475" i="10"/>
  <c r="V475" i="10"/>
  <c r="W475" i="10"/>
  <c r="X475" i="10"/>
  <c r="Y475" i="10"/>
  <c r="Z475" i="10"/>
  <c r="AA475" i="10"/>
  <c r="AB475" i="10"/>
  <c r="U476" i="10"/>
  <c r="V476" i="10"/>
  <c r="W476" i="10"/>
  <c r="X476" i="10"/>
  <c r="Y476" i="10"/>
  <c r="Z476" i="10"/>
  <c r="AA476" i="10"/>
  <c r="AB476" i="10"/>
  <c r="U477" i="10"/>
  <c r="V477" i="10"/>
  <c r="W477" i="10"/>
  <c r="X477" i="10"/>
  <c r="Y477" i="10"/>
  <c r="Z477" i="10"/>
  <c r="AA477" i="10"/>
  <c r="AB477" i="10"/>
  <c r="U478" i="10"/>
  <c r="V478" i="10"/>
  <c r="W478" i="10"/>
  <c r="X478" i="10"/>
  <c r="Y478" i="10"/>
  <c r="Z478" i="10"/>
  <c r="AA478" i="10"/>
  <c r="AB478" i="10"/>
  <c r="U479" i="10"/>
  <c r="V479" i="10"/>
  <c r="W479" i="10"/>
  <c r="X479" i="10"/>
  <c r="Y479" i="10"/>
  <c r="Z479" i="10"/>
  <c r="AA479" i="10"/>
  <c r="AB479" i="10"/>
  <c r="U480" i="10"/>
  <c r="V480" i="10"/>
  <c r="W480" i="10"/>
  <c r="X480" i="10"/>
  <c r="Y480" i="10"/>
  <c r="Z480" i="10"/>
  <c r="AA480" i="10"/>
  <c r="AB480" i="10"/>
  <c r="U481" i="10"/>
  <c r="V481" i="10"/>
  <c r="W481" i="10"/>
  <c r="X481" i="10"/>
  <c r="Y481" i="10"/>
  <c r="Z481" i="10"/>
  <c r="AA481" i="10"/>
  <c r="AB481" i="10"/>
  <c r="U482" i="10"/>
  <c r="V482" i="10"/>
  <c r="W482" i="10"/>
  <c r="X482" i="10"/>
  <c r="Y482" i="10"/>
  <c r="Z482" i="10"/>
  <c r="AA482" i="10"/>
  <c r="AB482" i="10"/>
  <c r="U483" i="10"/>
  <c r="V483" i="10"/>
  <c r="W483" i="10"/>
  <c r="X483" i="10"/>
  <c r="Y483" i="10"/>
  <c r="Z483" i="10"/>
  <c r="AA483" i="10"/>
  <c r="AB483" i="10"/>
  <c r="U484" i="10"/>
  <c r="V484" i="10"/>
  <c r="W484" i="10"/>
  <c r="X484" i="10"/>
  <c r="Y484" i="10"/>
  <c r="Z484" i="10"/>
  <c r="AA484" i="10"/>
  <c r="AB484" i="10"/>
  <c r="U485" i="10"/>
  <c r="V485" i="10"/>
  <c r="W485" i="10"/>
  <c r="X485" i="10"/>
  <c r="Y485" i="10"/>
  <c r="Z485" i="10"/>
  <c r="AA485" i="10"/>
  <c r="AB485" i="10"/>
  <c r="U486" i="10"/>
  <c r="V486" i="10"/>
  <c r="W486" i="10"/>
  <c r="X486" i="10"/>
  <c r="Y486" i="10"/>
  <c r="Z486" i="10"/>
  <c r="AA486" i="10"/>
  <c r="AB486" i="10"/>
  <c r="U487" i="10"/>
  <c r="V487" i="10"/>
  <c r="W487" i="10"/>
  <c r="X487" i="10"/>
  <c r="Y487" i="10"/>
  <c r="Z487" i="10"/>
  <c r="AA487" i="10"/>
  <c r="AB487" i="10"/>
  <c r="U488" i="10"/>
  <c r="V488" i="10"/>
  <c r="W488" i="10"/>
  <c r="X488" i="10"/>
  <c r="Y488" i="10"/>
  <c r="Z488" i="10"/>
  <c r="AA488" i="10"/>
  <c r="AB488" i="10"/>
  <c r="U489" i="10"/>
  <c r="V489" i="10"/>
  <c r="W489" i="10"/>
  <c r="X489" i="10"/>
  <c r="Y489" i="10"/>
  <c r="Z489" i="10"/>
  <c r="AA489" i="10"/>
  <c r="AB489" i="10"/>
  <c r="U490" i="10"/>
  <c r="V490" i="10"/>
  <c r="W490" i="10"/>
  <c r="X490" i="10"/>
  <c r="Y490" i="10"/>
  <c r="Z490" i="10"/>
  <c r="AA490" i="10"/>
  <c r="AB490" i="10"/>
  <c r="U491" i="10"/>
  <c r="V491" i="10"/>
  <c r="W491" i="10"/>
  <c r="X491" i="10"/>
  <c r="Y491" i="10"/>
  <c r="Z491" i="10"/>
  <c r="AA491" i="10"/>
  <c r="AB491" i="10"/>
  <c r="U492" i="10"/>
  <c r="V492" i="10"/>
  <c r="W492" i="10"/>
  <c r="X492" i="10"/>
  <c r="Y492" i="10"/>
  <c r="Z492" i="10"/>
  <c r="AA492" i="10"/>
  <c r="AB492" i="10"/>
  <c r="U493" i="10"/>
  <c r="V493" i="10"/>
  <c r="W493" i="10"/>
  <c r="X493" i="10"/>
  <c r="Y493" i="10"/>
  <c r="Z493" i="10"/>
  <c r="AA493" i="10"/>
  <c r="AB493" i="10"/>
  <c r="U494" i="10"/>
  <c r="V494" i="10"/>
  <c r="W494" i="10"/>
  <c r="X494" i="10"/>
  <c r="Y494" i="10"/>
  <c r="Z494" i="10"/>
  <c r="AA494" i="10"/>
  <c r="AB494" i="10"/>
  <c r="U495" i="10"/>
  <c r="V495" i="10"/>
  <c r="W495" i="10"/>
  <c r="X495" i="10"/>
  <c r="Y495" i="10"/>
  <c r="Z495" i="10"/>
  <c r="AA495" i="10"/>
  <c r="AB495" i="10"/>
  <c r="U496" i="10"/>
  <c r="V496" i="10"/>
  <c r="W496" i="10"/>
  <c r="X496" i="10"/>
  <c r="Y496" i="10"/>
  <c r="Z496" i="10"/>
  <c r="AA496" i="10"/>
  <c r="AB496" i="10"/>
  <c r="U497" i="10"/>
  <c r="V497" i="10"/>
  <c r="W497" i="10"/>
  <c r="X497" i="10"/>
  <c r="Y497" i="10"/>
  <c r="Z497" i="10"/>
  <c r="AA497" i="10"/>
  <c r="AB497" i="10"/>
  <c r="U498" i="10"/>
  <c r="V498" i="10"/>
  <c r="W498" i="10"/>
  <c r="X498" i="10"/>
  <c r="Y498" i="10"/>
  <c r="Z498" i="10"/>
  <c r="AA498" i="10"/>
  <c r="AB498" i="10"/>
  <c r="U499" i="10"/>
  <c r="V499" i="10"/>
  <c r="W499" i="10"/>
  <c r="X499" i="10"/>
  <c r="Y499" i="10"/>
  <c r="Z499" i="10"/>
  <c r="AA499" i="10"/>
  <c r="AB499" i="10"/>
  <c r="U500" i="10"/>
  <c r="V500" i="10"/>
  <c r="W500" i="10"/>
  <c r="X500" i="10"/>
  <c r="Y500" i="10"/>
  <c r="Z500" i="10"/>
  <c r="AA500" i="10"/>
  <c r="AB500" i="10"/>
  <c r="U501" i="10"/>
  <c r="V501" i="10"/>
  <c r="W501" i="10"/>
  <c r="X501" i="10"/>
  <c r="Y501" i="10"/>
  <c r="Z501" i="10"/>
  <c r="AA501" i="10"/>
  <c r="AB501" i="10"/>
  <c r="U502" i="10"/>
  <c r="V502" i="10"/>
  <c r="W502" i="10"/>
  <c r="X502" i="10"/>
  <c r="Y502" i="10"/>
  <c r="Z502" i="10"/>
  <c r="AA502" i="10"/>
  <c r="AB502" i="10"/>
  <c r="U503" i="10"/>
  <c r="V503" i="10"/>
  <c r="W503" i="10"/>
  <c r="X503" i="10"/>
  <c r="Y503" i="10"/>
  <c r="Z503" i="10"/>
  <c r="AA503" i="10"/>
  <c r="AB503" i="10"/>
  <c r="U504" i="10"/>
  <c r="V504" i="10"/>
  <c r="W504" i="10"/>
  <c r="X504" i="10"/>
  <c r="Y504" i="10"/>
  <c r="Z504" i="10"/>
  <c r="AA504" i="10"/>
  <c r="AB504" i="10"/>
  <c r="U505" i="10"/>
  <c r="V505" i="10"/>
  <c r="W505" i="10"/>
  <c r="X505" i="10"/>
  <c r="Y505" i="10"/>
  <c r="Z505" i="10"/>
  <c r="AA505" i="10"/>
  <c r="AB505" i="10"/>
  <c r="U506" i="10"/>
  <c r="V506" i="10"/>
  <c r="W506" i="10"/>
  <c r="X506" i="10"/>
  <c r="Y506" i="10"/>
  <c r="Z506" i="10"/>
  <c r="AA506" i="10"/>
  <c r="AB506" i="10"/>
  <c r="U507" i="10"/>
  <c r="V507" i="10"/>
  <c r="W507" i="10"/>
  <c r="X507" i="10"/>
  <c r="Y507" i="10"/>
  <c r="Z507" i="10"/>
  <c r="AA507" i="10"/>
  <c r="AB507" i="10"/>
  <c r="U508" i="10"/>
  <c r="V508" i="10"/>
  <c r="W508" i="10"/>
  <c r="X508" i="10"/>
  <c r="Y508" i="10"/>
  <c r="Z508" i="10"/>
  <c r="AA508" i="10"/>
  <c r="AB508" i="10"/>
  <c r="U509" i="10"/>
  <c r="V509" i="10"/>
  <c r="W509" i="10"/>
  <c r="X509" i="10"/>
  <c r="Y509" i="10"/>
  <c r="Z509" i="10"/>
  <c r="AA509" i="10"/>
  <c r="AB509" i="10"/>
  <c r="U510" i="10"/>
  <c r="V510" i="10"/>
  <c r="W510" i="10"/>
  <c r="X510" i="10"/>
  <c r="Y510" i="10"/>
  <c r="Z510" i="10"/>
  <c r="AA510" i="10"/>
  <c r="AB510" i="10"/>
  <c r="U511" i="10"/>
  <c r="V511" i="10"/>
  <c r="W511" i="10"/>
  <c r="X511" i="10"/>
  <c r="Y511" i="10"/>
  <c r="Z511" i="10"/>
  <c r="AA511" i="10"/>
  <c r="AB511" i="10"/>
  <c r="U512" i="10"/>
  <c r="V512" i="10"/>
  <c r="W512" i="10"/>
  <c r="X512" i="10"/>
  <c r="Y512" i="10"/>
  <c r="Z512" i="10"/>
  <c r="AA512" i="10"/>
  <c r="AB512" i="10"/>
  <c r="U513" i="10"/>
  <c r="V513" i="10"/>
  <c r="W513" i="10"/>
  <c r="X513" i="10"/>
  <c r="Y513" i="10"/>
  <c r="Z513" i="10"/>
  <c r="AA513" i="10"/>
  <c r="AB513" i="10"/>
  <c r="U514" i="10"/>
  <c r="V514" i="10"/>
  <c r="W514" i="10"/>
  <c r="X514" i="10"/>
  <c r="Y514" i="10"/>
  <c r="Z514" i="10"/>
  <c r="AA514" i="10"/>
  <c r="AB514" i="10"/>
  <c r="U515" i="10"/>
  <c r="V515" i="10"/>
  <c r="W515" i="10"/>
  <c r="X515" i="10"/>
  <c r="Y515" i="10"/>
  <c r="Z515" i="10"/>
  <c r="AA515" i="10"/>
  <c r="AB515" i="10"/>
  <c r="U516" i="10"/>
  <c r="V516" i="10"/>
  <c r="W516" i="10"/>
  <c r="X516" i="10"/>
  <c r="Y516" i="10"/>
  <c r="Z516" i="10"/>
  <c r="AA516" i="10"/>
  <c r="AB516" i="10"/>
  <c r="U517" i="10"/>
  <c r="V517" i="10"/>
  <c r="W517" i="10"/>
  <c r="X517" i="10"/>
  <c r="Y517" i="10"/>
  <c r="Z517" i="10"/>
  <c r="AA517" i="10"/>
  <c r="AB517" i="10"/>
  <c r="U518" i="10"/>
  <c r="V518" i="10"/>
  <c r="W518" i="10"/>
  <c r="X518" i="10"/>
  <c r="Y518" i="10"/>
  <c r="Z518" i="10"/>
  <c r="AA518" i="10"/>
  <c r="AB518" i="10"/>
  <c r="U519" i="10"/>
  <c r="V519" i="10"/>
  <c r="W519" i="10"/>
  <c r="X519" i="10"/>
  <c r="Y519" i="10"/>
  <c r="Z519" i="10"/>
  <c r="AA519" i="10"/>
  <c r="AB519" i="10"/>
  <c r="U520" i="10"/>
  <c r="V520" i="10"/>
  <c r="W520" i="10"/>
  <c r="X520" i="10"/>
  <c r="Y520" i="10"/>
  <c r="Z520" i="10"/>
  <c r="AA520" i="10"/>
  <c r="AB520" i="10"/>
  <c r="U521" i="10"/>
  <c r="V521" i="10"/>
  <c r="W521" i="10"/>
  <c r="X521" i="10"/>
  <c r="Y521" i="10"/>
  <c r="Z521" i="10"/>
  <c r="AA521" i="10"/>
  <c r="AB521" i="10"/>
  <c r="U522" i="10"/>
  <c r="V522" i="10"/>
  <c r="W522" i="10"/>
  <c r="X522" i="10"/>
  <c r="Y522" i="10"/>
  <c r="Z522" i="10"/>
  <c r="AA522" i="10"/>
  <c r="AB522" i="10"/>
  <c r="U523" i="10"/>
  <c r="V523" i="10"/>
  <c r="W523" i="10"/>
  <c r="X523" i="10"/>
  <c r="Y523" i="10"/>
  <c r="Z523" i="10"/>
  <c r="AA523" i="10"/>
  <c r="AB523" i="10"/>
  <c r="U524" i="10"/>
  <c r="V524" i="10"/>
  <c r="W524" i="10"/>
  <c r="X524" i="10"/>
  <c r="Y524" i="10"/>
  <c r="Z524" i="10"/>
  <c r="AA524" i="10"/>
  <c r="AB524" i="10"/>
  <c r="U525" i="10"/>
  <c r="V525" i="10"/>
  <c r="W525" i="10"/>
  <c r="X525" i="10"/>
  <c r="Y525" i="10"/>
  <c r="Z525" i="10"/>
  <c r="AA525" i="10"/>
  <c r="AB525" i="10"/>
  <c r="U526" i="10"/>
  <c r="V526" i="10"/>
  <c r="W526" i="10"/>
  <c r="X526" i="10"/>
  <c r="Y526" i="10"/>
  <c r="Z526" i="10"/>
  <c r="AA526" i="10"/>
  <c r="AB526" i="10"/>
  <c r="U527" i="10"/>
  <c r="V527" i="10"/>
  <c r="W527" i="10"/>
  <c r="X527" i="10"/>
  <c r="Y527" i="10"/>
  <c r="Z527" i="10"/>
  <c r="AA527" i="10"/>
  <c r="AB527" i="10"/>
  <c r="U528" i="10"/>
  <c r="V528" i="10"/>
  <c r="W528" i="10"/>
  <c r="X528" i="10"/>
  <c r="Y528" i="10"/>
  <c r="Z528" i="10"/>
  <c r="AA528" i="10"/>
  <c r="AB528" i="10"/>
  <c r="U529" i="10"/>
  <c r="V529" i="10"/>
  <c r="W529" i="10"/>
  <c r="X529" i="10"/>
  <c r="Y529" i="10"/>
  <c r="Z529" i="10"/>
  <c r="AA529" i="10"/>
  <c r="AB529" i="10"/>
  <c r="U530" i="10"/>
  <c r="V530" i="10"/>
  <c r="W530" i="10"/>
  <c r="X530" i="10"/>
  <c r="Y530" i="10"/>
  <c r="Z530" i="10"/>
  <c r="AA530" i="10"/>
  <c r="AB530" i="10"/>
  <c r="U531" i="10"/>
  <c r="V531" i="10"/>
  <c r="W531" i="10"/>
  <c r="X531" i="10"/>
  <c r="Y531" i="10"/>
  <c r="Z531" i="10"/>
  <c r="AA531" i="10"/>
  <c r="AB531" i="10"/>
  <c r="U532" i="10"/>
  <c r="V532" i="10"/>
  <c r="W532" i="10"/>
  <c r="X532" i="10"/>
  <c r="Y532" i="10"/>
  <c r="Z532" i="10"/>
  <c r="AA532" i="10"/>
  <c r="AB532" i="10"/>
  <c r="U533" i="10"/>
  <c r="V533" i="10"/>
  <c r="W533" i="10"/>
  <c r="X533" i="10"/>
  <c r="Y533" i="10"/>
  <c r="Z533" i="10"/>
  <c r="AA533" i="10"/>
  <c r="AB533" i="10"/>
  <c r="U534" i="10"/>
  <c r="V534" i="10"/>
  <c r="W534" i="10"/>
  <c r="X534" i="10"/>
  <c r="Y534" i="10"/>
  <c r="Z534" i="10"/>
  <c r="AA534" i="10"/>
  <c r="AB534" i="10"/>
  <c r="U535" i="10"/>
  <c r="V535" i="10"/>
  <c r="W535" i="10"/>
  <c r="X535" i="10"/>
  <c r="Y535" i="10"/>
  <c r="Z535" i="10"/>
  <c r="AA535" i="10"/>
  <c r="AB535" i="10"/>
  <c r="U536" i="10"/>
  <c r="V536" i="10"/>
  <c r="W536" i="10"/>
  <c r="X536" i="10"/>
  <c r="Y536" i="10"/>
  <c r="Z536" i="10"/>
  <c r="AA536" i="10"/>
  <c r="AB536" i="10"/>
  <c r="U537" i="10"/>
  <c r="V537" i="10"/>
  <c r="W537" i="10"/>
  <c r="X537" i="10"/>
  <c r="Y537" i="10"/>
  <c r="Z537" i="10"/>
  <c r="AA537" i="10"/>
  <c r="AB537" i="10"/>
  <c r="U538" i="10"/>
  <c r="V538" i="10"/>
  <c r="W538" i="10"/>
  <c r="X538" i="10"/>
  <c r="Y538" i="10"/>
  <c r="Z538" i="10"/>
  <c r="AA538" i="10"/>
  <c r="AB538" i="10"/>
  <c r="U539" i="10"/>
  <c r="V539" i="10"/>
  <c r="W539" i="10"/>
  <c r="X539" i="10"/>
  <c r="Y539" i="10"/>
  <c r="Z539" i="10"/>
  <c r="AA539" i="10"/>
  <c r="AB539" i="10"/>
  <c r="U540" i="10"/>
  <c r="V540" i="10"/>
  <c r="W540" i="10"/>
  <c r="X540" i="10"/>
  <c r="Y540" i="10"/>
  <c r="Z540" i="10"/>
  <c r="AA540" i="10"/>
  <c r="AB540" i="10"/>
  <c r="U541" i="10"/>
  <c r="V541" i="10"/>
  <c r="W541" i="10"/>
  <c r="X541" i="10"/>
  <c r="Y541" i="10"/>
  <c r="Z541" i="10"/>
  <c r="AA541" i="10"/>
  <c r="AB541" i="10"/>
  <c r="U542" i="10"/>
  <c r="V542" i="10"/>
  <c r="W542" i="10"/>
  <c r="X542" i="10"/>
  <c r="Y542" i="10"/>
  <c r="Z542" i="10"/>
  <c r="AA542" i="10"/>
  <c r="AB542" i="10"/>
  <c r="U543" i="10"/>
  <c r="V543" i="10"/>
  <c r="W543" i="10"/>
  <c r="X543" i="10"/>
  <c r="Y543" i="10"/>
  <c r="Z543" i="10"/>
  <c r="AA543" i="10"/>
  <c r="AB543" i="10"/>
  <c r="U544" i="10"/>
  <c r="V544" i="10"/>
  <c r="W544" i="10"/>
  <c r="X544" i="10"/>
  <c r="Y544" i="10"/>
  <c r="Z544" i="10"/>
  <c r="AA544" i="10"/>
  <c r="AB544" i="10"/>
  <c r="U545" i="10"/>
  <c r="V545" i="10"/>
  <c r="W545" i="10"/>
  <c r="X545" i="10"/>
  <c r="Y545" i="10"/>
  <c r="Z545" i="10"/>
  <c r="AA545" i="10"/>
  <c r="AB545" i="10"/>
  <c r="U546" i="10"/>
  <c r="V546" i="10"/>
  <c r="W546" i="10"/>
  <c r="X546" i="10"/>
  <c r="Y546" i="10"/>
  <c r="Z546" i="10"/>
  <c r="AA546" i="10"/>
  <c r="AB546" i="10"/>
  <c r="U547" i="10"/>
  <c r="V547" i="10"/>
  <c r="W547" i="10"/>
  <c r="X547" i="10"/>
  <c r="Y547" i="10"/>
  <c r="Z547" i="10"/>
  <c r="AA547" i="10"/>
  <c r="AB547" i="10"/>
  <c r="U548" i="10"/>
  <c r="V548" i="10"/>
  <c r="W548" i="10"/>
  <c r="X548" i="10"/>
  <c r="Y548" i="10"/>
  <c r="Z548" i="10"/>
  <c r="AA548" i="10"/>
  <c r="AB548" i="10"/>
  <c r="U549" i="10"/>
  <c r="V549" i="10"/>
  <c r="W549" i="10"/>
  <c r="X549" i="10"/>
  <c r="Y549" i="10"/>
  <c r="Z549" i="10"/>
  <c r="AA549" i="10"/>
  <c r="AB549" i="10"/>
  <c r="U550" i="10"/>
  <c r="V550" i="10"/>
  <c r="W550" i="10"/>
  <c r="X550" i="10"/>
  <c r="Y550" i="10"/>
  <c r="Z550" i="10"/>
  <c r="AA550" i="10"/>
  <c r="AB550" i="10"/>
  <c r="U551" i="10"/>
  <c r="V551" i="10"/>
  <c r="W551" i="10"/>
  <c r="X551" i="10"/>
  <c r="Y551" i="10"/>
  <c r="Z551" i="10"/>
  <c r="AA551" i="10"/>
  <c r="AB551" i="10"/>
  <c r="U552" i="10"/>
  <c r="V552" i="10"/>
  <c r="W552" i="10"/>
  <c r="X552" i="10"/>
  <c r="Y552" i="10"/>
  <c r="Z552" i="10"/>
  <c r="AA552" i="10"/>
  <c r="AB552" i="10"/>
  <c r="U553" i="10"/>
  <c r="V553" i="10"/>
  <c r="W553" i="10"/>
  <c r="X553" i="10"/>
  <c r="Y553" i="10"/>
  <c r="Z553" i="10"/>
  <c r="AA553" i="10"/>
  <c r="AB553" i="10"/>
  <c r="U554" i="10"/>
  <c r="V554" i="10"/>
  <c r="W554" i="10"/>
  <c r="X554" i="10"/>
  <c r="Y554" i="10"/>
  <c r="Z554" i="10"/>
  <c r="AA554" i="10"/>
  <c r="AB554" i="10"/>
  <c r="U555" i="10"/>
  <c r="V555" i="10"/>
  <c r="W555" i="10"/>
  <c r="X555" i="10"/>
  <c r="Y555" i="10"/>
  <c r="Z555" i="10"/>
  <c r="AA555" i="10"/>
  <c r="AB555" i="10"/>
  <c r="U556" i="10"/>
  <c r="V556" i="10"/>
  <c r="W556" i="10"/>
  <c r="X556" i="10"/>
  <c r="Y556" i="10"/>
  <c r="Z556" i="10"/>
  <c r="AA556" i="10"/>
  <c r="AB556" i="10"/>
  <c r="U557" i="10"/>
  <c r="V557" i="10"/>
  <c r="W557" i="10"/>
  <c r="X557" i="10"/>
  <c r="Y557" i="10"/>
  <c r="Z557" i="10"/>
  <c r="AA557" i="10"/>
  <c r="AB557" i="10"/>
  <c r="U558" i="10"/>
  <c r="V558" i="10"/>
  <c r="W558" i="10"/>
  <c r="X558" i="10"/>
  <c r="Y558" i="10"/>
  <c r="Z558" i="10"/>
  <c r="AA558" i="10"/>
  <c r="AB558" i="10"/>
  <c r="U559" i="10"/>
  <c r="V559" i="10"/>
  <c r="W559" i="10"/>
  <c r="X559" i="10"/>
  <c r="Y559" i="10"/>
  <c r="Z559" i="10"/>
  <c r="AA559" i="10"/>
  <c r="AB559" i="10"/>
  <c r="U560" i="10"/>
  <c r="V560" i="10"/>
  <c r="W560" i="10"/>
  <c r="X560" i="10"/>
  <c r="Y560" i="10"/>
  <c r="Z560" i="10"/>
  <c r="AA560" i="10"/>
  <c r="AB560" i="10"/>
  <c r="U561" i="10"/>
  <c r="V561" i="10"/>
  <c r="W561" i="10"/>
  <c r="X561" i="10"/>
  <c r="Y561" i="10"/>
  <c r="Z561" i="10"/>
  <c r="AA561" i="10"/>
  <c r="AB561" i="10"/>
  <c r="U562" i="10"/>
  <c r="V562" i="10"/>
  <c r="W562" i="10"/>
  <c r="X562" i="10"/>
  <c r="Y562" i="10"/>
  <c r="Z562" i="10"/>
  <c r="AA562" i="10"/>
  <c r="AB562" i="10"/>
  <c r="U563" i="10"/>
  <c r="V563" i="10"/>
  <c r="W563" i="10"/>
  <c r="X563" i="10"/>
  <c r="Y563" i="10"/>
  <c r="Z563" i="10"/>
  <c r="AA563" i="10"/>
  <c r="AB563" i="10"/>
  <c r="U564" i="10"/>
  <c r="V564" i="10"/>
  <c r="W564" i="10"/>
  <c r="X564" i="10"/>
  <c r="Y564" i="10"/>
  <c r="Z564" i="10"/>
  <c r="AA564" i="10"/>
  <c r="AB564" i="10"/>
  <c r="U565" i="10"/>
  <c r="V565" i="10"/>
  <c r="W565" i="10"/>
  <c r="X565" i="10"/>
  <c r="Y565" i="10"/>
  <c r="Z565" i="10"/>
  <c r="AA565" i="10"/>
  <c r="AB565" i="10"/>
  <c r="U566" i="10"/>
  <c r="V566" i="10"/>
  <c r="W566" i="10"/>
  <c r="X566" i="10"/>
  <c r="Y566" i="10"/>
  <c r="Z566" i="10"/>
  <c r="AA566" i="10"/>
  <c r="AB566" i="10"/>
  <c r="U567" i="10"/>
  <c r="V567" i="10"/>
  <c r="W567" i="10"/>
  <c r="X567" i="10"/>
  <c r="Y567" i="10"/>
  <c r="Z567" i="10"/>
  <c r="AA567" i="10"/>
  <c r="AB567" i="10"/>
  <c r="U568" i="10"/>
  <c r="V568" i="10"/>
  <c r="W568" i="10"/>
  <c r="X568" i="10"/>
  <c r="Y568" i="10"/>
  <c r="Z568" i="10"/>
  <c r="AA568" i="10"/>
  <c r="AB568" i="10"/>
  <c r="U569" i="10"/>
  <c r="V569" i="10"/>
  <c r="W569" i="10"/>
  <c r="X569" i="10"/>
  <c r="Y569" i="10"/>
  <c r="Z569" i="10"/>
  <c r="AA569" i="10"/>
  <c r="AB569" i="10"/>
  <c r="U570" i="10"/>
  <c r="V570" i="10"/>
  <c r="W570" i="10"/>
  <c r="X570" i="10"/>
  <c r="Y570" i="10"/>
  <c r="Z570" i="10"/>
  <c r="AA570" i="10"/>
  <c r="AB570" i="10"/>
  <c r="U571" i="10"/>
  <c r="V571" i="10"/>
  <c r="W571" i="10"/>
  <c r="X571" i="10"/>
  <c r="Y571" i="10"/>
  <c r="Z571" i="10"/>
  <c r="AA571" i="10"/>
  <c r="AB571" i="10"/>
  <c r="U572" i="10"/>
  <c r="V572" i="10"/>
  <c r="W572" i="10"/>
  <c r="X572" i="10"/>
  <c r="Y572" i="10"/>
  <c r="Z572" i="10"/>
  <c r="AA572" i="10"/>
  <c r="AB572" i="10"/>
  <c r="U573" i="10"/>
  <c r="V573" i="10"/>
  <c r="W573" i="10"/>
  <c r="X573" i="10"/>
  <c r="Y573" i="10"/>
  <c r="Z573" i="10"/>
  <c r="AA573" i="10"/>
  <c r="AB573" i="10"/>
  <c r="U574" i="10"/>
  <c r="V574" i="10"/>
  <c r="W574" i="10"/>
  <c r="X574" i="10"/>
  <c r="Y574" i="10"/>
  <c r="Z574" i="10"/>
  <c r="AA574" i="10"/>
  <c r="AB574" i="10"/>
  <c r="U575" i="10"/>
  <c r="V575" i="10"/>
  <c r="W575" i="10"/>
  <c r="X575" i="10"/>
  <c r="Y575" i="10"/>
  <c r="Z575" i="10"/>
  <c r="AA575" i="10"/>
  <c r="AB575" i="10"/>
  <c r="U576" i="10"/>
  <c r="V576" i="10"/>
  <c r="W576" i="10"/>
  <c r="X576" i="10"/>
  <c r="Y576" i="10"/>
  <c r="Z576" i="10"/>
  <c r="AA576" i="10"/>
  <c r="AB576" i="10"/>
  <c r="U577" i="10"/>
  <c r="V577" i="10"/>
  <c r="W577" i="10"/>
  <c r="X577" i="10"/>
  <c r="Y577" i="10"/>
  <c r="Z577" i="10"/>
  <c r="AA577" i="10"/>
  <c r="AB577" i="10"/>
  <c r="U578" i="10"/>
  <c r="V578" i="10"/>
  <c r="W578" i="10"/>
  <c r="X578" i="10"/>
  <c r="Y578" i="10"/>
  <c r="Z578" i="10"/>
  <c r="AA578" i="10"/>
  <c r="AB578" i="10"/>
  <c r="U579" i="10"/>
  <c r="V579" i="10"/>
  <c r="W579" i="10"/>
  <c r="X579" i="10"/>
  <c r="Y579" i="10"/>
  <c r="Z579" i="10"/>
  <c r="AA579" i="10"/>
  <c r="AB579" i="10"/>
  <c r="U580" i="10"/>
  <c r="V580" i="10"/>
  <c r="W580" i="10"/>
  <c r="X580" i="10"/>
  <c r="Y580" i="10"/>
  <c r="Z580" i="10"/>
  <c r="AA580" i="10"/>
  <c r="AB580" i="10"/>
  <c r="U581" i="10"/>
  <c r="V581" i="10"/>
  <c r="W581" i="10"/>
  <c r="X581" i="10"/>
  <c r="Y581" i="10"/>
  <c r="Z581" i="10"/>
  <c r="AA581" i="10"/>
  <c r="AB581" i="10"/>
  <c r="U582" i="10"/>
  <c r="V582" i="10"/>
  <c r="W582" i="10"/>
  <c r="X582" i="10"/>
  <c r="Y582" i="10"/>
  <c r="Z582" i="10"/>
  <c r="AA582" i="10"/>
  <c r="AB582" i="10"/>
  <c r="U583" i="10"/>
  <c r="V583" i="10"/>
  <c r="W583" i="10"/>
  <c r="X583" i="10"/>
  <c r="Y583" i="10"/>
  <c r="Z583" i="10"/>
  <c r="AA583" i="10"/>
  <c r="AB583" i="10"/>
  <c r="U584" i="10"/>
  <c r="V584" i="10"/>
  <c r="W584" i="10"/>
  <c r="X584" i="10"/>
  <c r="Y584" i="10"/>
  <c r="Z584" i="10"/>
  <c r="AA584" i="10"/>
  <c r="AB584" i="10"/>
  <c r="U585" i="10"/>
  <c r="V585" i="10"/>
  <c r="W585" i="10"/>
  <c r="X585" i="10"/>
  <c r="Y585" i="10"/>
  <c r="Z585" i="10"/>
  <c r="AA585" i="10"/>
  <c r="AB585" i="10"/>
  <c r="U586" i="10"/>
  <c r="V586" i="10"/>
  <c r="W586" i="10"/>
  <c r="X586" i="10"/>
  <c r="Y586" i="10"/>
  <c r="Z586" i="10"/>
  <c r="AA586" i="10"/>
  <c r="AB586" i="10"/>
  <c r="U587" i="10"/>
  <c r="V587" i="10"/>
  <c r="W587" i="10"/>
  <c r="X587" i="10"/>
  <c r="Y587" i="10"/>
  <c r="Z587" i="10"/>
  <c r="AA587" i="10"/>
  <c r="AB587" i="10"/>
  <c r="U588" i="10"/>
  <c r="V588" i="10"/>
  <c r="W588" i="10"/>
  <c r="X588" i="10"/>
  <c r="Y588" i="10"/>
  <c r="Z588" i="10"/>
  <c r="AA588" i="10"/>
  <c r="AB588" i="10"/>
  <c r="U589" i="10"/>
  <c r="V589" i="10"/>
  <c r="W589" i="10"/>
  <c r="X589" i="10"/>
  <c r="Y589" i="10"/>
  <c r="Z589" i="10"/>
  <c r="AA589" i="10"/>
  <c r="AB589" i="10"/>
  <c r="U590" i="10"/>
  <c r="V590" i="10"/>
  <c r="W590" i="10"/>
  <c r="X590" i="10"/>
  <c r="Y590" i="10"/>
  <c r="Z590" i="10"/>
  <c r="AA590" i="10"/>
  <c r="AB590" i="10"/>
  <c r="U591" i="10"/>
  <c r="V591" i="10"/>
  <c r="W591" i="10"/>
  <c r="X591" i="10"/>
  <c r="Y591" i="10"/>
  <c r="Z591" i="10"/>
  <c r="AA591" i="10"/>
  <c r="AB591" i="10"/>
  <c r="U592" i="10"/>
  <c r="V592" i="10"/>
  <c r="W592" i="10"/>
  <c r="X592" i="10"/>
  <c r="Y592" i="10"/>
  <c r="Z592" i="10"/>
  <c r="AA592" i="10"/>
  <c r="AB592" i="10"/>
  <c r="U593" i="10"/>
  <c r="V593" i="10"/>
  <c r="W593" i="10"/>
  <c r="X593" i="10"/>
  <c r="Y593" i="10"/>
  <c r="Z593" i="10"/>
  <c r="AA593" i="10"/>
  <c r="AB593" i="10"/>
  <c r="U594" i="10"/>
  <c r="V594" i="10"/>
  <c r="W594" i="10"/>
  <c r="X594" i="10"/>
  <c r="Y594" i="10"/>
  <c r="Z594" i="10"/>
  <c r="AA594" i="10"/>
  <c r="AB594" i="10"/>
  <c r="U595" i="10"/>
  <c r="V595" i="10"/>
  <c r="W595" i="10"/>
  <c r="X595" i="10"/>
  <c r="Y595" i="10"/>
  <c r="Z595" i="10"/>
  <c r="AA595" i="10"/>
  <c r="AB595" i="10"/>
  <c r="U596" i="10"/>
  <c r="V596" i="10"/>
  <c r="W596" i="10"/>
  <c r="X596" i="10"/>
  <c r="Y596" i="10"/>
  <c r="Z596" i="10"/>
  <c r="AA596" i="10"/>
  <c r="AB596" i="10"/>
  <c r="U597" i="10"/>
  <c r="V597" i="10"/>
  <c r="W597" i="10"/>
  <c r="X597" i="10"/>
  <c r="Y597" i="10"/>
  <c r="Z597" i="10"/>
  <c r="AA597" i="10"/>
  <c r="AB597" i="10"/>
  <c r="U598" i="10"/>
  <c r="V598" i="10"/>
  <c r="W598" i="10"/>
  <c r="X598" i="10"/>
  <c r="Y598" i="10"/>
  <c r="Z598" i="10"/>
  <c r="AA598" i="10"/>
  <c r="AB598" i="10"/>
  <c r="U599" i="10"/>
  <c r="V599" i="10"/>
  <c r="W599" i="10"/>
  <c r="X599" i="10"/>
  <c r="Y599" i="10"/>
  <c r="Z599" i="10"/>
  <c r="AA599" i="10"/>
  <c r="AB599" i="10"/>
  <c r="U600" i="10"/>
  <c r="V600" i="10"/>
  <c r="W600" i="10"/>
  <c r="X600" i="10"/>
  <c r="Y600" i="10"/>
  <c r="Z600" i="10"/>
  <c r="AA600" i="10"/>
  <c r="AB600" i="10"/>
  <c r="U601" i="10"/>
  <c r="V601" i="10"/>
  <c r="W601" i="10"/>
  <c r="X601" i="10"/>
  <c r="Y601" i="10"/>
  <c r="Z601" i="10"/>
  <c r="AA601" i="10"/>
  <c r="AB601" i="10"/>
  <c r="U602" i="10"/>
  <c r="V602" i="10"/>
  <c r="W602" i="10"/>
  <c r="X602" i="10"/>
  <c r="Y602" i="10"/>
  <c r="Z602" i="10"/>
  <c r="AA602" i="10"/>
  <c r="AB602" i="10"/>
  <c r="U603" i="10"/>
  <c r="V603" i="10"/>
  <c r="W603" i="10"/>
  <c r="X603" i="10"/>
  <c r="Y603" i="10"/>
  <c r="Z603" i="10"/>
  <c r="AA603" i="10"/>
  <c r="AB603" i="10"/>
  <c r="U604" i="10"/>
  <c r="V604" i="10"/>
  <c r="W604" i="10"/>
  <c r="X604" i="10"/>
  <c r="Y604" i="10"/>
  <c r="Z604" i="10"/>
  <c r="AA604" i="10"/>
  <c r="AB604" i="10"/>
  <c r="U605" i="10"/>
  <c r="V605" i="10"/>
  <c r="W605" i="10"/>
  <c r="X605" i="10"/>
  <c r="Y605" i="10"/>
  <c r="Z605" i="10"/>
  <c r="AA605" i="10"/>
  <c r="AB605" i="10"/>
  <c r="U606" i="10"/>
  <c r="V606" i="10"/>
  <c r="W606" i="10"/>
  <c r="X606" i="10"/>
  <c r="Y606" i="10"/>
  <c r="Z606" i="10"/>
  <c r="AA606" i="10"/>
  <c r="AB606" i="10"/>
  <c r="U607" i="10"/>
  <c r="V607" i="10"/>
  <c r="W607" i="10"/>
  <c r="X607" i="10"/>
  <c r="Y607" i="10"/>
  <c r="Z607" i="10"/>
  <c r="AA607" i="10"/>
  <c r="AB607" i="10"/>
  <c r="U608" i="10"/>
  <c r="V608" i="10"/>
  <c r="W608" i="10"/>
  <c r="X608" i="10"/>
  <c r="Y608" i="10"/>
  <c r="Z608" i="10"/>
  <c r="AA608" i="10"/>
  <c r="AB608" i="10"/>
  <c r="U609" i="10"/>
  <c r="V609" i="10"/>
  <c r="W609" i="10"/>
  <c r="X609" i="10"/>
  <c r="Y609" i="10"/>
  <c r="Z609" i="10"/>
  <c r="AA609" i="10"/>
  <c r="AB609" i="10"/>
  <c r="U610" i="10"/>
  <c r="V610" i="10"/>
  <c r="W610" i="10"/>
  <c r="X610" i="10"/>
  <c r="Y610" i="10"/>
  <c r="Z610" i="10"/>
  <c r="AA610" i="10"/>
  <c r="AB610" i="10"/>
  <c r="U611" i="10"/>
  <c r="V611" i="10"/>
  <c r="W611" i="10"/>
  <c r="X611" i="10"/>
  <c r="Y611" i="10"/>
  <c r="Z611" i="10"/>
  <c r="AA611" i="10"/>
  <c r="AB611" i="10"/>
  <c r="U612" i="10"/>
  <c r="V612" i="10"/>
  <c r="W612" i="10"/>
  <c r="X612" i="10"/>
  <c r="Y612" i="10"/>
  <c r="Z612" i="10"/>
  <c r="AA612" i="10"/>
  <c r="AB612" i="10"/>
  <c r="U613" i="10"/>
  <c r="V613" i="10"/>
  <c r="W613" i="10"/>
  <c r="X613" i="10"/>
  <c r="Y613" i="10"/>
  <c r="Z613" i="10"/>
  <c r="AA613" i="10"/>
  <c r="AB613" i="10"/>
  <c r="U614" i="10"/>
  <c r="V614" i="10"/>
  <c r="W614" i="10"/>
  <c r="X614" i="10"/>
  <c r="Y614" i="10"/>
  <c r="Z614" i="10"/>
  <c r="AA614" i="10"/>
  <c r="AB614" i="10"/>
  <c r="U615" i="10"/>
  <c r="V615" i="10"/>
  <c r="W615" i="10"/>
  <c r="X615" i="10"/>
  <c r="Y615" i="10"/>
  <c r="Z615" i="10"/>
  <c r="AA615" i="10"/>
  <c r="AB615" i="10"/>
  <c r="U616" i="10"/>
  <c r="V616" i="10"/>
  <c r="W616" i="10"/>
  <c r="X616" i="10"/>
  <c r="Y616" i="10"/>
  <c r="Z616" i="10"/>
  <c r="AA616" i="10"/>
  <c r="AB616" i="10"/>
  <c r="U617" i="10"/>
  <c r="V617" i="10"/>
  <c r="W617" i="10"/>
  <c r="X617" i="10"/>
  <c r="Y617" i="10"/>
  <c r="Z617" i="10"/>
  <c r="AA617" i="10"/>
  <c r="AB617" i="10"/>
  <c r="U618" i="10"/>
  <c r="V618" i="10"/>
  <c r="W618" i="10"/>
  <c r="X618" i="10"/>
  <c r="Y618" i="10"/>
  <c r="Z618" i="10"/>
  <c r="AA618" i="10"/>
  <c r="AB618" i="10"/>
  <c r="U619" i="10"/>
  <c r="V619" i="10"/>
  <c r="W619" i="10"/>
  <c r="X619" i="10"/>
  <c r="Y619" i="10"/>
  <c r="Z619" i="10"/>
  <c r="AA619" i="10"/>
  <c r="AB619" i="10"/>
  <c r="U620" i="10"/>
  <c r="V620" i="10"/>
  <c r="W620" i="10"/>
  <c r="X620" i="10"/>
  <c r="Y620" i="10"/>
  <c r="Z620" i="10"/>
  <c r="AA620" i="10"/>
  <c r="AB620" i="10"/>
  <c r="U621" i="10"/>
  <c r="V621" i="10"/>
  <c r="W621" i="10"/>
  <c r="X621" i="10"/>
  <c r="Y621" i="10"/>
  <c r="Z621" i="10"/>
  <c r="AA621" i="10"/>
  <c r="AB621" i="10"/>
  <c r="U622" i="10"/>
  <c r="V622" i="10"/>
  <c r="W622" i="10"/>
  <c r="X622" i="10"/>
  <c r="Y622" i="10"/>
  <c r="Z622" i="10"/>
  <c r="AA622" i="10"/>
  <c r="AB622" i="10"/>
  <c r="C344" i="10"/>
  <c r="D344" i="10"/>
  <c r="E344" i="10"/>
  <c r="T344" i="10"/>
  <c r="GD29" i="29" s="1"/>
  <c r="GD29" i="31" s="1"/>
  <c r="C345" i="10"/>
  <c r="D345" i="10"/>
  <c r="E345" i="10"/>
  <c r="T345" i="10"/>
  <c r="FT29" i="29" s="1"/>
  <c r="FT29" i="31" s="1"/>
  <c r="C346" i="10"/>
  <c r="D346" i="10"/>
  <c r="E346" i="10"/>
  <c r="T346" i="10"/>
  <c r="BF29" i="29" s="1"/>
  <c r="BF29" i="31" s="1"/>
  <c r="C347" i="10"/>
  <c r="D347" i="10"/>
  <c r="E347" i="10"/>
  <c r="T347" i="10"/>
  <c r="FN29" i="29" s="1"/>
  <c r="FN29" i="31" s="1"/>
  <c r="C348" i="10"/>
  <c r="D348" i="10"/>
  <c r="E348" i="10"/>
  <c r="T348" i="10"/>
  <c r="CG29" i="29" s="1"/>
  <c r="CG29" i="31" s="1"/>
  <c r="C349" i="10"/>
  <c r="D349" i="10"/>
  <c r="E349" i="10"/>
  <c r="T349" i="10"/>
  <c r="GN29" i="29" s="1"/>
  <c r="GN29" i="31" s="1"/>
  <c r="C350" i="10"/>
  <c r="D350" i="10"/>
  <c r="E350" i="10"/>
  <c r="T350" i="10"/>
  <c r="CU29" i="29" s="1"/>
  <c r="CU29" i="31" s="1"/>
  <c r="C351" i="10"/>
  <c r="D351" i="10"/>
  <c r="E351" i="10"/>
  <c r="T351" i="10"/>
  <c r="DH29" i="29" s="1"/>
  <c r="DH29" i="31" s="1"/>
  <c r="C352" i="10"/>
  <c r="D352" i="10"/>
  <c r="E352" i="10"/>
  <c r="T352" i="10"/>
  <c r="AX29" i="29" s="1"/>
  <c r="AX29" i="31" s="1"/>
  <c r="C353" i="10"/>
  <c r="D353" i="10"/>
  <c r="E353" i="10"/>
  <c r="T353" i="10"/>
  <c r="HU29" i="29" s="1"/>
  <c r="HU29" i="31" s="1"/>
  <c r="C354" i="10"/>
  <c r="D354" i="10"/>
  <c r="E354" i="10"/>
  <c r="T354" i="10"/>
  <c r="AN29" i="29" s="1"/>
  <c r="AN29" i="31" s="1"/>
  <c r="C355" i="10"/>
  <c r="D355" i="10"/>
  <c r="E355" i="10"/>
  <c r="T355" i="10"/>
  <c r="GQ29" i="29" s="1"/>
  <c r="GQ29" i="31" s="1"/>
  <c r="C356" i="10"/>
  <c r="D356" i="10"/>
  <c r="E356" i="10"/>
  <c r="T356" i="10"/>
  <c r="BH29" i="29" s="1"/>
  <c r="BH29" i="31" s="1"/>
  <c r="C357" i="10"/>
  <c r="D357" i="10"/>
  <c r="E357" i="10"/>
  <c r="T357" i="10"/>
  <c r="JF29" i="29" s="1"/>
  <c r="JF29" i="31" s="1"/>
  <c r="C358" i="10"/>
  <c r="D358" i="10"/>
  <c r="E358" i="10"/>
  <c r="T358" i="10"/>
  <c r="DI29" i="29" s="1"/>
  <c r="DI29" i="31" s="1"/>
  <c r="C359" i="10"/>
  <c r="D359" i="10"/>
  <c r="E359" i="10"/>
  <c r="T359" i="10"/>
  <c r="AH29" i="29" s="1"/>
  <c r="AH29" i="31" s="1"/>
  <c r="C360" i="10"/>
  <c r="D360" i="10"/>
  <c r="E360" i="10"/>
  <c r="T360" i="10"/>
  <c r="IX29" i="29" s="1"/>
  <c r="IX29" i="31" s="1"/>
  <c r="C361" i="10"/>
  <c r="D361" i="10"/>
  <c r="E361" i="10"/>
  <c r="T361" i="10"/>
  <c r="EC29" i="29" s="1"/>
  <c r="EC29" i="31" s="1"/>
  <c r="C362" i="10"/>
  <c r="D362" i="10"/>
  <c r="E362" i="10"/>
  <c r="T362" i="10"/>
  <c r="FH29" i="29" s="1"/>
  <c r="FH29" i="31" s="1"/>
  <c r="C363" i="10"/>
  <c r="D363" i="10"/>
  <c r="E363" i="10"/>
  <c r="T363" i="10"/>
  <c r="FA29" i="29" s="1"/>
  <c r="FA29" i="31" s="1"/>
  <c r="C364" i="10"/>
  <c r="D364" i="10"/>
  <c r="E364" i="10"/>
  <c r="T364" i="10"/>
  <c r="C29" i="29" s="1"/>
  <c r="C29" i="31" s="1"/>
  <c r="C365" i="10"/>
  <c r="D365" i="10"/>
  <c r="E365" i="10"/>
  <c r="T365" i="10"/>
  <c r="FX29" i="29" s="1"/>
  <c r="FX29" i="31" s="1"/>
  <c r="C366" i="10"/>
  <c r="D366" i="10"/>
  <c r="E366" i="10"/>
  <c r="T366" i="10"/>
  <c r="ER29" i="29" s="1"/>
  <c r="ER29" i="31" s="1"/>
  <c r="C367" i="10"/>
  <c r="D367" i="10"/>
  <c r="E367" i="10"/>
  <c r="T367" i="10"/>
  <c r="FE29" i="29" s="1"/>
  <c r="FE29" i="31" s="1"/>
  <c r="C368" i="10"/>
  <c r="D368" i="10"/>
  <c r="E368" i="10"/>
  <c r="T368" i="10"/>
  <c r="DY29" i="29" s="1"/>
  <c r="DY29" i="31" s="1"/>
  <c r="C369" i="10"/>
  <c r="D369" i="10"/>
  <c r="E369" i="10"/>
  <c r="T369" i="10"/>
  <c r="CN29" i="29" s="1"/>
  <c r="CN29" i="31" s="1"/>
  <c r="C370" i="10"/>
  <c r="D370" i="10"/>
  <c r="E370" i="10"/>
  <c r="T370" i="10"/>
  <c r="K29" i="29" s="1"/>
  <c r="K29" i="31" s="1"/>
  <c r="C371" i="10"/>
  <c r="D371" i="10"/>
  <c r="E371" i="10"/>
  <c r="T371" i="10"/>
  <c r="EI29" i="29" s="1"/>
  <c r="EI29" i="31" s="1"/>
  <c r="C372" i="10"/>
  <c r="D372" i="10"/>
  <c r="E372" i="10"/>
  <c r="T372" i="10"/>
  <c r="AB29" i="29" s="1"/>
  <c r="AB29" i="31" s="1"/>
  <c r="C373" i="10"/>
  <c r="D373" i="10"/>
  <c r="E373" i="10"/>
  <c r="T373" i="10"/>
  <c r="GB29" i="29" s="1"/>
  <c r="GB29" i="31" s="1"/>
  <c r="C374" i="10"/>
  <c r="D374" i="10"/>
  <c r="E374" i="10"/>
  <c r="T374" i="10"/>
  <c r="DL29" i="29" s="1"/>
  <c r="DL29" i="31" s="1"/>
  <c r="C375" i="10"/>
  <c r="D375" i="10"/>
  <c r="E375" i="10"/>
  <c r="T375" i="10"/>
  <c r="CF29" i="29" s="1"/>
  <c r="CF29" i="31" s="1"/>
  <c r="C376" i="10"/>
  <c r="D376" i="10"/>
  <c r="E376" i="10"/>
  <c r="T376" i="10"/>
  <c r="IL29" i="29" s="1"/>
  <c r="IL29" i="31" s="1"/>
  <c r="C377" i="10"/>
  <c r="D377" i="10"/>
  <c r="E377" i="10"/>
  <c r="T377" i="10"/>
  <c r="IM29" i="29" s="1"/>
  <c r="IM29" i="31" s="1"/>
  <c r="C378" i="10"/>
  <c r="D378" i="10"/>
  <c r="E378" i="10"/>
  <c r="T378" i="10"/>
  <c r="AO29" i="29" s="1"/>
  <c r="AO29" i="31" s="1"/>
  <c r="C379" i="10"/>
  <c r="D379" i="10"/>
  <c r="E379" i="10"/>
  <c r="T379" i="10"/>
  <c r="CQ29" i="29" s="1"/>
  <c r="CQ29" i="31" s="1"/>
  <c r="C380" i="10"/>
  <c r="D380" i="10"/>
  <c r="E380" i="10"/>
  <c r="T380" i="10"/>
  <c r="AY29" i="29" s="1"/>
  <c r="AY29" i="31" s="1"/>
  <c r="C381" i="10"/>
  <c r="D381" i="10"/>
  <c r="E381" i="10"/>
  <c r="T381" i="10"/>
  <c r="CK29" i="29" s="1"/>
  <c r="CK29" i="31" s="1"/>
  <c r="C382" i="10"/>
  <c r="D382" i="10"/>
  <c r="E382" i="10"/>
  <c r="T382" i="10"/>
  <c r="ID29" i="29" s="1"/>
  <c r="ID29" i="31" s="1"/>
  <c r="C383" i="10"/>
  <c r="D383" i="10"/>
  <c r="E383" i="10"/>
  <c r="T383" i="10"/>
  <c r="FL29" i="29" s="1"/>
  <c r="FL29" i="31" s="1"/>
  <c r="C384" i="10"/>
  <c r="D384" i="10"/>
  <c r="E384" i="10"/>
  <c r="T384" i="10"/>
  <c r="BX29" i="29" s="1"/>
  <c r="BX29" i="31" s="1"/>
  <c r="C385" i="10"/>
  <c r="D385" i="10"/>
  <c r="E385" i="10"/>
  <c r="T385" i="10"/>
  <c r="M29" i="29" s="1"/>
  <c r="M29" i="31" s="1"/>
  <c r="C386" i="10"/>
  <c r="D386" i="10"/>
  <c r="E386" i="10"/>
  <c r="T386" i="10"/>
  <c r="JG29" i="29" s="1"/>
  <c r="JG29" i="31" s="1"/>
  <c r="C387" i="10"/>
  <c r="D387" i="10"/>
  <c r="E387" i="10"/>
  <c r="T387" i="10"/>
  <c r="EE29" i="29" s="1"/>
  <c r="EE29" i="31" s="1"/>
  <c r="C388" i="10"/>
  <c r="D388" i="10"/>
  <c r="E388" i="10"/>
  <c r="T388" i="10"/>
  <c r="HC29" i="29" s="1"/>
  <c r="HC29" i="31" s="1"/>
  <c r="C389" i="10"/>
  <c r="D389" i="10"/>
  <c r="E389" i="10"/>
  <c r="T389" i="10"/>
  <c r="DN29" i="29" s="1"/>
  <c r="DN29" i="31" s="1"/>
  <c r="C390" i="10"/>
  <c r="D390" i="10"/>
  <c r="E390" i="10"/>
  <c r="T390" i="10"/>
  <c r="BV29" i="29" s="1"/>
  <c r="BV29" i="31" s="1"/>
  <c r="C391" i="10"/>
  <c r="D391" i="10"/>
  <c r="E391" i="10"/>
  <c r="T391" i="10"/>
  <c r="CO29" i="29" s="1"/>
  <c r="CO29" i="31" s="1"/>
  <c r="C392" i="10"/>
  <c r="D392" i="10"/>
  <c r="E392" i="10"/>
  <c r="T392" i="10"/>
  <c r="X29" i="29" s="1"/>
  <c r="X29" i="31" s="1"/>
  <c r="C393" i="10"/>
  <c r="D393" i="10"/>
  <c r="E393" i="10"/>
  <c r="T393" i="10"/>
  <c r="BK29" i="29" s="1"/>
  <c r="BK29" i="31" s="1"/>
  <c r="C394" i="10"/>
  <c r="D394" i="10"/>
  <c r="E394" i="10"/>
  <c r="T394" i="10"/>
  <c r="AT29" i="29" s="1"/>
  <c r="AT29" i="31" s="1"/>
  <c r="C395" i="10"/>
  <c r="D395" i="10"/>
  <c r="E395" i="10"/>
  <c r="T395" i="10"/>
  <c r="C396" i="10"/>
  <c r="D396" i="10"/>
  <c r="E396" i="10"/>
  <c r="T396" i="10"/>
  <c r="EK29" i="29" s="1"/>
  <c r="EK29" i="31" s="1"/>
  <c r="C397" i="10"/>
  <c r="D397" i="10"/>
  <c r="E397" i="10"/>
  <c r="T397" i="10"/>
  <c r="AZ29" i="29" s="1"/>
  <c r="AZ29" i="31" s="1"/>
  <c r="C398" i="10"/>
  <c r="D398" i="10"/>
  <c r="E398" i="10"/>
  <c r="T398" i="10"/>
  <c r="GH29" i="29" s="1"/>
  <c r="GH29" i="31" s="1"/>
  <c r="C399" i="10"/>
  <c r="D399" i="10"/>
  <c r="E399" i="10"/>
  <c r="T399" i="10"/>
  <c r="FD29" i="29" s="1"/>
  <c r="FD29" i="31" s="1"/>
  <c r="C400" i="10"/>
  <c r="D400" i="10"/>
  <c r="E400" i="10"/>
  <c r="T400" i="10"/>
  <c r="BJ29" i="29" s="1"/>
  <c r="BJ29" i="31" s="1"/>
  <c r="C401" i="10"/>
  <c r="D401" i="10"/>
  <c r="E401" i="10"/>
  <c r="T401" i="10"/>
  <c r="AM29" i="29" s="1"/>
  <c r="AM29" i="31" s="1"/>
  <c r="C402" i="10"/>
  <c r="D402" i="10"/>
  <c r="E402" i="10"/>
  <c r="T402" i="10"/>
  <c r="IB29" i="29" s="1"/>
  <c r="IB29" i="31" s="1"/>
  <c r="C403" i="10"/>
  <c r="D403" i="10"/>
  <c r="E403" i="10"/>
  <c r="T403" i="10"/>
  <c r="BO29" i="29" s="1"/>
  <c r="BO29" i="31" s="1"/>
  <c r="C404" i="10"/>
  <c r="D404" i="10"/>
  <c r="E404" i="10"/>
  <c r="T404" i="10"/>
  <c r="CZ29" i="29" s="1"/>
  <c r="CZ29" i="31" s="1"/>
  <c r="C405" i="10"/>
  <c r="D405" i="10"/>
  <c r="E405" i="10"/>
  <c r="T405" i="10"/>
  <c r="IE29" i="29" s="1"/>
  <c r="IE29" i="31" s="1"/>
  <c r="C406" i="10"/>
  <c r="D406" i="10"/>
  <c r="E406" i="10"/>
  <c r="T406" i="10"/>
  <c r="CL29" i="29" s="1"/>
  <c r="CL29" i="31" s="1"/>
  <c r="C407" i="10"/>
  <c r="D407" i="10"/>
  <c r="E407" i="10"/>
  <c r="T407" i="10"/>
  <c r="HG29" i="29" s="1"/>
  <c r="HG29" i="31" s="1"/>
  <c r="C408" i="10"/>
  <c r="D408" i="10"/>
  <c r="E408" i="10"/>
  <c r="T408" i="10"/>
  <c r="HW29" i="29" s="1"/>
  <c r="HW29" i="31" s="1"/>
  <c r="C409" i="10"/>
  <c r="D409" i="10"/>
  <c r="E409" i="10"/>
  <c r="T409" i="10"/>
  <c r="CC29" i="29" s="1"/>
  <c r="CC29" i="31" s="1"/>
  <c r="C410" i="10"/>
  <c r="D410" i="10"/>
  <c r="E410" i="10"/>
  <c r="T410" i="10"/>
  <c r="GW29" i="29" s="1"/>
  <c r="GW29" i="31" s="1"/>
  <c r="C411" i="10"/>
  <c r="D411" i="10"/>
  <c r="E411" i="10"/>
  <c r="T411" i="10"/>
  <c r="C412" i="10"/>
  <c r="D412" i="10"/>
  <c r="E412" i="10"/>
  <c r="T412" i="10"/>
  <c r="BR29" i="29" s="1"/>
  <c r="BR29" i="31" s="1"/>
  <c r="C413" i="10"/>
  <c r="D413" i="10"/>
  <c r="E413" i="10"/>
  <c r="T413" i="10"/>
  <c r="BM29" i="29" s="1"/>
  <c r="BM29" i="31" s="1"/>
  <c r="C414" i="10"/>
  <c r="D414" i="10"/>
  <c r="E414" i="10"/>
  <c r="T414" i="10"/>
  <c r="GC29" i="29" s="1"/>
  <c r="GC29" i="31" s="1"/>
  <c r="C415" i="10"/>
  <c r="D415" i="10"/>
  <c r="E415" i="10"/>
  <c r="T415" i="10"/>
  <c r="CY29" i="29" s="1"/>
  <c r="CY29" i="31" s="1"/>
  <c r="C416" i="10"/>
  <c r="D416" i="10"/>
  <c r="E416" i="10"/>
  <c r="T416" i="10"/>
  <c r="E29" i="29" s="1"/>
  <c r="E29" i="31" s="1"/>
  <c r="C417" i="10"/>
  <c r="D417" i="10"/>
  <c r="E417" i="10"/>
  <c r="T417" i="10"/>
  <c r="EA29" i="29" s="1"/>
  <c r="EA29" i="31" s="1"/>
  <c r="C418" i="10"/>
  <c r="D418" i="10"/>
  <c r="E418" i="10"/>
  <c r="T418" i="10"/>
  <c r="L29" i="29" s="1"/>
  <c r="L29" i="31" s="1"/>
  <c r="C419" i="10"/>
  <c r="D419" i="10"/>
  <c r="E419" i="10"/>
  <c r="T419" i="10"/>
  <c r="GA29" i="29" s="1"/>
  <c r="GA29" i="31" s="1"/>
  <c r="C420" i="10"/>
  <c r="D420" i="10"/>
  <c r="E420" i="10"/>
  <c r="T420" i="10"/>
  <c r="HQ29" i="29" s="1"/>
  <c r="HQ29" i="31" s="1"/>
  <c r="C421" i="10"/>
  <c r="D421" i="10"/>
  <c r="E421" i="10"/>
  <c r="T421" i="10"/>
  <c r="C422" i="10"/>
  <c r="D422" i="10"/>
  <c r="E422" i="10"/>
  <c r="T422" i="10"/>
  <c r="HR29" i="29" s="1"/>
  <c r="HR29" i="31" s="1"/>
  <c r="C423" i="10"/>
  <c r="D423" i="10"/>
  <c r="E423" i="10"/>
  <c r="T423" i="10"/>
  <c r="C424" i="10"/>
  <c r="D424" i="10"/>
  <c r="E424" i="10"/>
  <c r="T424" i="10"/>
  <c r="IV29" i="29" s="1"/>
  <c r="IV29" i="31" s="1"/>
  <c r="C425" i="10"/>
  <c r="D425" i="10"/>
  <c r="E425" i="10"/>
  <c r="T425" i="10"/>
  <c r="C426" i="10"/>
  <c r="D426" i="10"/>
  <c r="E426" i="10"/>
  <c r="T426" i="10"/>
  <c r="DX29" i="29" s="1"/>
  <c r="DX29" i="31" s="1"/>
  <c r="C427" i="10"/>
  <c r="D427" i="10"/>
  <c r="E427" i="10"/>
  <c r="T427" i="10"/>
  <c r="EW29" i="29" s="1"/>
  <c r="EW29" i="31" s="1"/>
  <c r="C428" i="10"/>
  <c r="D428" i="10"/>
  <c r="E428" i="10"/>
  <c r="T428" i="10"/>
  <c r="GO29" i="29" s="1"/>
  <c r="GO29" i="31" s="1"/>
  <c r="C429" i="10"/>
  <c r="D429" i="10"/>
  <c r="E429" i="10"/>
  <c r="T429" i="10"/>
  <c r="HO29" i="29" s="1"/>
  <c r="HO29" i="31" s="1"/>
  <c r="C430" i="10"/>
  <c r="D430" i="10"/>
  <c r="E430" i="10"/>
  <c r="T430" i="10"/>
  <c r="G29" i="29" s="1"/>
  <c r="G29" i="31" s="1"/>
  <c r="C431" i="10"/>
  <c r="D431" i="10"/>
  <c r="E431" i="10"/>
  <c r="T431" i="10"/>
  <c r="IQ29" i="29" s="1"/>
  <c r="IQ29" i="31" s="1"/>
  <c r="C432" i="10"/>
  <c r="D432" i="10"/>
  <c r="E432" i="10"/>
  <c r="T432" i="10"/>
  <c r="EH29" i="29" s="1"/>
  <c r="EH29" i="31" s="1"/>
  <c r="C433" i="10"/>
  <c r="D433" i="10"/>
  <c r="E433" i="10"/>
  <c r="T433" i="10"/>
  <c r="DD29" i="29" s="1"/>
  <c r="DD29" i="31" s="1"/>
  <c r="C434" i="10"/>
  <c r="D434" i="10"/>
  <c r="E434" i="10"/>
  <c r="T434" i="10"/>
  <c r="HX29" i="29" s="1"/>
  <c r="HX29" i="31" s="1"/>
  <c r="C435" i="10"/>
  <c r="D435" i="10"/>
  <c r="E435" i="10"/>
  <c r="T435" i="10"/>
  <c r="HI29" i="29" s="1"/>
  <c r="HI29" i="31" s="1"/>
  <c r="C436" i="10"/>
  <c r="D436" i="10"/>
  <c r="E436" i="10"/>
  <c r="T436" i="10"/>
  <c r="C437" i="10"/>
  <c r="D437" i="10"/>
  <c r="E437" i="10"/>
  <c r="T437" i="10"/>
  <c r="DZ29" i="29" s="1"/>
  <c r="DZ29" i="31" s="1"/>
  <c r="C438" i="10"/>
  <c r="D438" i="10"/>
  <c r="E438" i="10"/>
  <c r="T438" i="10"/>
  <c r="IA29" i="29" s="1"/>
  <c r="IA29" i="31" s="1"/>
  <c r="C439" i="10"/>
  <c r="D439" i="10"/>
  <c r="E439" i="10"/>
  <c r="T439" i="10"/>
  <c r="C440" i="10"/>
  <c r="D440" i="10"/>
  <c r="E440" i="10"/>
  <c r="T440" i="10"/>
  <c r="GE29" i="29" s="1"/>
  <c r="GE29" i="31" s="1"/>
  <c r="C441" i="10"/>
  <c r="D441" i="10"/>
  <c r="E441" i="10"/>
  <c r="T441" i="10"/>
  <c r="IR29" i="29" s="1"/>
  <c r="IR29" i="31" s="1"/>
  <c r="C442" i="10"/>
  <c r="D442" i="10"/>
  <c r="E442" i="10"/>
  <c r="T442" i="10"/>
  <c r="GG29" i="29" s="1"/>
  <c r="GG29" i="31" s="1"/>
  <c r="C443" i="10"/>
  <c r="D443" i="10"/>
  <c r="E443" i="10"/>
  <c r="T443" i="10"/>
  <c r="C444" i="10"/>
  <c r="D444" i="10"/>
  <c r="E444" i="10"/>
  <c r="T444" i="10"/>
  <c r="EB29" i="29" s="1"/>
  <c r="EB29" i="31" s="1"/>
  <c r="C445" i="10"/>
  <c r="D445" i="10"/>
  <c r="E445" i="10"/>
  <c r="T445" i="10"/>
  <c r="R29" i="29" s="1"/>
  <c r="R29" i="31" s="1"/>
  <c r="C446" i="10"/>
  <c r="D446" i="10"/>
  <c r="E446" i="10"/>
  <c r="T446" i="10"/>
  <c r="EJ29" i="29" s="1"/>
  <c r="EJ29" i="31" s="1"/>
  <c r="C447" i="10"/>
  <c r="D447" i="10"/>
  <c r="E447" i="10"/>
  <c r="T447" i="10"/>
  <c r="FP29" i="29" s="1"/>
  <c r="FP29" i="31" s="1"/>
  <c r="C448" i="10"/>
  <c r="D448" i="10"/>
  <c r="E448" i="10"/>
  <c r="T448" i="10"/>
  <c r="EV29" i="29" s="1"/>
  <c r="EV29" i="31" s="1"/>
  <c r="C449" i="10"/>
  <c r="D449" i="10"/>
  <c r="E449" i="10"/>
  <c r="T449" i="10"/>
  <c r="IJ29" i="29" s="1"/>
  <c r="IJ29" i="31" s="1"/>
  <c r="C450" i="10"/>
  <c r="D450" i="10"/>
  <c r="E450" i="10"/>
  <c r="T450" i="10"/>
  <c r="HA29" i="29" s="1"/>
  <c r="HA29" i="31" s="1"/>
  <c r="C451" i="10"/>
  <c r="D451" i="10"/>
  <c r="E451" i="10"/>
  <c r="T451" i="10"/>
  <c r="C452" i="10"/>
  <c r="D452" i="10"/>
  <c r="E452" i="10"/>
  <c r="T452" i="10"/>
  <c r="GV29" i="29" s="1"/>
  <c r="GV29" i="31" s="1"/>
  <c r="C453" i="10"/>
  <c r="D453" i="10"/>
  <c r="E453" i="10"/>
  <c r="T453" i="10"/>
  <c r="C454" i="10"/>
  <c r="D454" i="10"/>
  <c r="E454" i="10"/>
  <c r="T454" i="10"/>
  <c r="C455" i="10"/>
  <c r="D455" i="10"/>
  <c r="E455" i="10"/>
  <c r="T455" i="10"/>
  <c r="C456" i="10"/>
  <c r="D456" i="10"/>
  <c r="E456" i="10"/>
  <c r="T456" i="10"/>
  <c r="EM29" i="29" s="1"/>
  <c r="EM29" i="31" s="1"/>
  <c r="C457" i="10"/>
  <c r="D457" i="10"/>
  <c r="E457" i="10"/>
  <c r="T457" i="10"/>
  <c r="AV29" i="29" s="1"/>
  <c r="AV29" i="31" s="1"/>
  <c r="C458" i="10"/>
  <c r="D458" i="10"/>
  <c r="E458" i="10"/>
  <c r="T458" i="10"/>
  <c r="FU29" i="29" s="1"/>
  <c r="FU29" i="31" s="1"/>
  <c r="C459" i="10"/>
  <c r="D459" i="10"/>
  <c r="E459" i="10"/>
  <c r="T459" i="10"/>
  <c r="DQ29" i="29" s="1"/>
  <c r="DQ29" i="31" s="1"/>
  <c r="C460" i="10"/>
  <c r="D460" i="10"/>
  <c r="E460" i="10"/>
  <c r="T460" i="10"/>
  <c r="GL29" i="29" s="1"/>
  <c r="GL29" i="31" s="1"/>
  <c r="C461" i="10"/>
  <c r="D461" i="10"/>
  <c r="E461" i="10"/>
  <c r="T461" i="10"/>
  <c r="DO29" i="29" s="1"/>
  <c r="DO29" i="31" s="1"/>
  <c r="C462" i="10"/>
  <c r="D462" i="10"/>
  <c r="E462" i="10"/>
  <c r="T462" i="10"/>
  <c r="CH29" i="29" s="1"/>
  <c r="CH29" i="31" s="1"/>
  <c r="C463" i="10"/>
  <c r="D463" i="10"/>
  <c r="E463" i="10"/>
  <c r="T463" i="10"/>
  <c r="FS29" i="29" s="1"/>
  <c r="FS29" i="31" s="1"/>
  <c r="C464" i="10"/>
  <c r="D464" i="10"/>
  <c r="E464" i="10"/>
  <c r="T464" i="10"/>
  <c r="HP29" i="29" s="1"/>
  <c r="HP29" i="31" s="1"/>
  <c r="C465" i="10"/>
  <c r="D465" i="10"/>
  <c r="E465" i="10"/>
  <c r="T465" i="10"/>
  <c r="HY29" i="29" s="1"/>
  <c r="HY29" i="31" s="1"/>
  <c r="C466" i="10"/>
  <c r="D466" i="10"/>
  <c r="E466" i="10"/>
  <c r="T466" i="10"/>
  <c r="GI29" i="29" s="1"/>
  <c r="GI29" i="31" s="1"/>
  <c r="C467" i="10"/>
  <c r="D467" i="10"/>
  <c r="E467" i="10"/>
  <c r="T467" i="10"/>
  <c r="FF29" i="29" s="1"/>
  <c r="FF29" i="31" s="1"/>
  <c r="C468" i="10"/>
  <c r="D468" i="10"/>
  <c r="E468" i="10"/>
  <c r="T468" i="10"/>
  <c r="J29" i="29" s="1"/>
  <c r="J29" i="31" s="1"/>
  <c r="C469" i="10"/>
  <c r="D469" i="10"/>
  <c r="E469" i="10"/>
  <c r="T469" i="10"/>
  <c r="GR29" i="29" s="1"/>
  <c r="GR29" i="31" s="1"/>
  <c r="C470" i="10"/>
  <c r="D470" i="10"/>
  <c r="E470" i="10"/>
  <c r="T470" i="10"/>
  <c r="EY29" i="29" s="1"/>
  <c r="EY29" i="31" s="1"/>
  <c r="C471" i="10"/>
  <c r="D471" i="10"/>
  <c r="E471" i="10"/>
  <c r="T471" i="10"/>
  <c r="HL29" i="29" s="1"/>
  <c r="HL29" i="31" s="1"/>
  <c r="C472" i="10"/>
  <c r="D472" i="10"/>
  <c r="E472" i="10"/>
  <c r="T472" i="10"/>
  <c r="C473" i="10"/>
  <c r="D473" i="10"/>
  <c r="E473" i="10"/>
  <c r="T473" i="10"/>
  <c r="N29" i="29" s="1"/>
  <c r="N29" i="31" s="1"/>
  <c r="C474" i="10"/>
  <c r="D474" i="10"/>
  <c r="E474" i="10"/>
  <c r="T474" i="10"/>
  <c r="HZ29" i="29" s="1"/>
  <c r="HZ29" i="31" s="1"/>
  <c r="C475" i="10"/>
  <c r="D475" i="10"/>
  <c r="E475" i="10"/>
  <c r="T475" i="10"/>
  <c r="BN29" i="29" s="1"/>
  <c r="BN29" i="31" s="1"/>
  <c r="C476" i="10"/>
  <c r="D476" i="10"/>
  <c r="E476" i="10"/>
  <c r="T476" i="10"/>
  <c r="FY29" i="29" s="1"/>
  <c r="FY29" i="31" s="1"/>
  <c r="C477" i="10"/>
  <c r="D477" i="10"/>
  <c r="E477" i="10"/>
  <c r="T477" i="10"/>
  <c r="HB29" i="29" s="1"/>
  <c r="HB29" i="31" s="1"/>
  <c r="C478" i="10"/>
  <c r="D478" i="10"/>
  <c r="E478" i="10"/>
  <c r="T478" i="10"/>
  <c r="FK29" i="29" s="1"/>
  <c r="FK29" i="31" s="1"/>
  <c r="C479" i="10"/>
  <c r="D479" i="10"/>
  <c r="E479" i="10"/>
  <c r="T479" i="10"/>
  <c r="HF29" i="29" s="1"/>
  <c r="HF29" i="31" s="1"/>
  <c r="C480" i="10"/>
  <c r="D480" i="10"/>
  <c r="E480" i="10"/>
  <c r="T480" i="10"/>
  <c r="II29" i="29" s="1"/>
  <c r="II29" i="31" s="1"/>
  <c r="C481" i="10"/>
  <c r="D481" i="10"/>
  <c r="E481" i="10"/>
  <c r="T481" i="10"/>
  <c r="EU29" i="29" s="1"/>
  <c r="EU29" i="31" s="1"/>
  <c r="C482" i="10"/>
  <c r="D482" i="10"/>
  <c r="E482" i="10"/>
  <c r="T482" i="10"/>
  <c r="FG29" i="29" s="1"/>
  <c r="FG29" i="31" s="1"/>
  <c r="C483" i="10"/>
  <c r="D483" i="10"/>
  <c r="E483" i="10"/>
  <c r="T483" i="10"/>
  <c r="EN29" i="29" s="1"/>
  <c r="EN29" i="31" s="1"/>
  <c r="C484" i="10"/>
  <c r="D484" i="10"/>
  <c r="E484" i="10"/>
  <c r="T484" i="10"/>
  <c r="CE29" i="29" s="1"/>
  <c r="CE29" i="31" s="1"/>
  <c r="C485" i="10"/>
  <c r="D485" i="10"/>
  <c r="E485" i="10"/>
  <c r="T485" i="10"/>
  <c r="EP29" i="29" s="1"/>
  <c r="EP29" i="31" s="1"/>
  <c r="C486" i="10"/>
  <c r="D486" i="10"/>
  <c r="E486" i="10"/>
  <c r="T486" i="10"/>
  <c r="GU29" i="29" s="1"/>
  <c r="GU29" i="31" s="1"/>
  <c r="C487" i="10"/>
  <c r="D487" i="10"/>
  <c r="E487" i="10"/>
  <c r="T487" i="10"/>
  <c r="IW29" i="29" s="1"/>
  <c r="IW29" i="31" s="1"/>
  <c r="C488" i="10"/>
  <c r="D488" i="10"/>
  <c r="E488" i="10"/>
  <c r="T488" i="10"/>
  <c r="AK29" i="29" s="1"/>
  <c r="AK29" i="31" s="1"/>
  <c r="C489" i="10"/>
  <c r="D489" i="10"/>
  <c r="E489" i="10"/>
  <c r="T489" i="10"/>
  <c r="HT29" i="29" s="1"/>
  <c r="HT29" i="31" s="1"/>
  <c r="C490" i="10"/>
  <c r="D490" i="10"/>
  <c r="E490" i="10"/>
  <c r="T490" i="10"/>
  <c r="EF29" i="29" s="1"/>
  <c r="EF29" i="31" s="1"/>
  <c r="C491" i="10"/>
  <c r="D491" i="10"/>
  <c r="E491" i="10"/>
  <c r="T491" i="10"/>
  <c r="FQ29" i="29" s="1"/>
  <c r="FQ29" i="31" s="1"/>
  <c r="C492" i="10"/>
  <c r="D492" i="10"/>
  <c r="E492" i="10"/>
  <c r="T492" i="10"/>
  <c r="S29" i="29" s="1"/>
  <c r="S29" i="31" s="1"/>
  <c r="C493" i="10"/>
  <c r="D493" i="10"/>
  <c r="E493" i="10"/>
  <c r="T493" i="10"/>
  <c r="IT29" i="29" s="1"/>
  <c r="IT29" i="31" s="1"/>
  <c r="C494" i="10"/>
  <c r="D494" i="10"/>
  <c r="E494" i="10"/>
  <c r="T494" i="10"/>
  <c r="BG29" i="29" s="1"/>
  <c r="BG29" i="31" s="1"/>
  <c r="C495" i="10"/>
  <c r="D495" i="10"/>
  <c r="E495" i="10"/>
  <c r="T495" i="10"/>
  <c r="IZ29" i="29" s="1"/>
  <c r="IZ29" i="31" s="1"/>
  <c r="C496" i="10"/>
  <c r="D496" i="10"/>
  <c r="E496" i="10"/>
  <c r="T496" i="10"/>
  <c r="DV29" i="29" s="1"/>
  <c r="DV29" i="31" s="1"/>
  <c r="C497" i="10"/>
  <c r="D497" i="10"/>
  <c r="E497" i="10"/>
  <c r="T497" i="10"/>
  <c r="CV29" i="29" s="1"/>
  <c r="CV29" i="31" s="1"/>
  <c r="C498" i="10"/>
  <c r="D498" i="10"/>
  <c r="E498" i="10"/>
  <c r="T498" i="10"/>
  <c r="CD29" i="29" s="1"/>
  <c r="CD29" i="31" s="1"/>
  <c r="C499" i="10"/>
  <c r="D499" i="10"/>
  <c r="E499" i="10"/>
  <c r="T499" i="10"/>
  <c r="JC29" i="29" s="1"/>
  <c r="JC29" i="31" s="1"/>
  <c r="C500" i="10"/>
  <c r="D500" i="10"/>
  <c r="E500" i="10"/>
  <c r="T500" i="10"/>
  <c r="BE29" i="29" s="1"/>
  <c r="BE29" i="31" s="1"/>
  <c r="C501" i="10"/>
  <c r="D501" i="10"/>
  <c r="E501" i="10"/>
  <c r="T501" i="10"/>
  <c r="HJ29" i="29" s="1"/>
  <c r="HJ29" i="31" s="1"/>
  <c r="C502" i="10"/>
  <c r="D502" i="10"/>
  <c r="E502" i="10"/>
  <c r="T502" i="10"/>
  <c r="BZ29" i="29" s="1"/>
  <c r="BZ29" i="31" s="1"/>
  <c r="C503" i="10"/>
  <c r="D503" i="10"/>
  <c r="E503" i="10"/>
  <c r="T503" i="10"/>
  <c r="DM29" i="29" s="1"/>
  <c r="DM29" i="31" s="1"/>
  <c r="C504" i="10"/>
  <c r="D504" i="10"/>
  <c r="E504" i="10"/>
  <c r="T504" i="10"/>
  <c r="DS29" i="29" s="1"/>
  <c r="DS29" i="31" s="1"/>
  <c r="C505" i="10"/>
  <c r="D505" i="10"/>
  <c r="E505" i="10"/>
  <c r="T505" i="10"/>
  <c r="F29" i="29" s="1"/>
  <c r="F29" i="31" s="1"/>
  <c r="C506" i="10"/>
  <c r="D506" i="10"/>
  <c r="E506" i="10"/>
  <c r="T506" i="10"/>
  <c r="CR29" i="29" s="1"/>
  <c r="CR29" i="31" s="1"/>
  <c r="C507" i="10"/>
  <c r="D507" i="10"/>
  <c r="E507" i="10"/>
  <c r="T507" i="10"/>
  <c r="HN29" i="29" s="1"/>
  <c r="HN29" i="31" s="1"/>
  <c r="C508" i="10"/>
  <c r="D508" i="10"/>
  <c r="E508" i="10"/>
  <c r="T508" i="10"/>
  <c r="EZ29" i="29" s="1"/>
  <c r="EZ29" i="31" s="1"/>
  <c r="C509" i="10"/>
  <c r="D509" i="10"/>
  <c r="E509" i="10"/>
  <c r="T509" i="10"/>
  <c r="T29" i="29" s="1"/>
  <c r="T29" i="31" s="1"/>
  <c r="C510" i="10"/>
  <c r="D510" i="10"/>
  <c r="E510" i="10"/>
  <c r="T510" i="10"/>
  <c r="FJ29" i="29" s="1"/>
  <c r="FJ29" i="31" s="1"/>
  <c r="C511" i="10"/>
  <c r="D511" i="10"/>
  <c r="E511" i="10"/>
  <c r="T511" i="10"/>
  <c r="AE29" i="29" s="1"/>
  <c r="AE29" i="31" s="1"/>
  <c r="C512" i="10"/>
  <c r="D512" i="10"/>
  <c r="E512" i="10"/>
  <c r="T512" i="10"/>
  <c r="JE29" i="29" s="1"/>
  <c r="JE29" i="31" s="1"/>
  <c r="C513" i="10"/>
  <c r="D513" i="10"/>
  <c r="E513" i="10"/>
  <c r="T513" i="10"/>
  <c r="FM29" i="29" s="1"/>
  <c r="FM29" i="31" s="1"/>
  <c r="C514" i="10"/>
  <c r="D514" i="10"/>
  <c r="E514" i="10"/>
  <c r="T514" i="10"/>
  <c r="AD29" i="29" s="1"/>
  <c r="AD29" i="31" s="1"/>
  <c r="C515" i="10"/>
  <c r="D515" i="10"/>
  <c r="E515" i="10"/>
  <c r="T515" i="10"/>
  <c r="BW29" i="29" s="1"/>
  <c r="BW29" i="31" s="1"/>
  <c r="C516" i="10"/>
  <c r="D516" i="10"/>
  <c r="E516" i="10"/>
  <c r="T516" i="10"/>
  <c r="DJ29" i="29" s="1"/>
  <c r="DJ29" i="31" s="1"/>
  <c r="C517" i="10"/>
  <c r="D517" i="10"/>
  <c r="E517" i="10"/>
  <c r="T517" i="10"/>
  <c r="HS29" i="29" s="1"/>
  <c r="HS29" i="31" s="1"/>
  <c r="C518" i="10"/>
  <c r="D518" i="10"/>
  <c r="E518" i="10"/>
  <c r="T518" i="10"/>
  <c r="O29" i="29" s="1"/>
  <c r="O29" i="31" s="1"/>
  <c r="C519" i="10"/>
  <c r="D519" i="10"/>
  <c r="E519" i="10"/>
  <c r="T519" i="10"/>
  <c r="IN29" i="29" s="1"/>
  <c r="IN29" i="31" s="1"/>
  <c r="C520" i="10"/>
  <c r="D520" i="10"/>
  <c r="E520" i="10"/>
  <c r="T520" i="10"/>
  <c r="HV29" i="29" s="1"/>
  <c r="HV29" i="31" s="1"/>
  <c r="C521" i="10"/>
  <c r="D521" i="10"/>
  <c r="E521" i="10"/>
  <c r="T521" i="10"/>
  <c r="CI29" i="29" s="1"/>
  <c r="CI29" i="31" s="1"/>
  <c r="C522" i="10"/>
  <c r="D522" i="10"/>
  <c r="E522" i="10"/>
  <c r="T522" i="10"/>
  <c r="CP29" i="29" s="1"/>
  <c r="CP29" i="31" s="1"/>
  <c r="C523" i="10"/>
  <c r="D523" i="10"/>
  <c r="E523" i="10"/>
  <c r="T523" i="10"/>
  <c r="CB29" i="29" s="1"/>
  <c r="CB29" i="31" s="1"/>
  <c r="C524" i="10"/>
  <c r="D524" i="10"/>
  <c r="E524" i="10"/>
  <c r="T524" i="10"/>
  <c r="P29" i="29" s="1"/>
  <c r="P29" i="31" s="1"/>
  <c r="C525" i="10"/>
  <c r="D525" i="10"/>
  <c r="E525" i="10"/>
  <c r="T525" i="10"/>
  <c r="BP29" i="29" s="1"/>
  <c r="BP29" i="31" s="1"/>
  <c r="C526" i="10"/>
  <c r="D526" i="10"/>
  <c r="E526" i="10"/>
  <c r="T526" i="10"/>
  <c r="GX29" i="29" s="1"/>
  <c r="GX29" i="31" s="1"/>
  <c r="C527" i="10"/>
  <c r="D527" i="10"/>
  <c r="E527" i="10"/>
  <c r="T527" i="10"/>
  <c r="DB29" i="29" s="1"/>
  <c r="DB29" i="31" s="1"/>
  <c r="C528" i="10"/>
  <c r="D528" i="10"/>
  <c r="E528" i="10"/>
  <c r="T528" i="10"/>
  <c r="GK29" i="29" s="1"/>
  <c r="GK29" i="31" s="1"/>
  <c r="C529" i="10"/>
  <c r="D529" i="10"/>
  <c r="E529" i="10"/>
  <c r="T529" i="10"/>
  <c r="EG29" i="29" s="1"/>
  <c r="EG29" i="31" s="1"/>
  <c r="C530" i="10"/>
  <c r="D530" i="10"/>
  <c r="E530" i="10"/>
  <c r="T530" i="10"/>
  <c r="ET29" i="29" s="1"/>
  <c r="ET29" i="31" s="1"/>
  <c r="C531" i="10"/>
  <c r="D531" i="10"/>
  <c r="E531" i="10"/>
  <c r="T531" i="10"/>
  <c r="IY29" i="29" s="1"/>
  <c r="IY29" i="31" s="1"/>
  <c r="C532" i="10"/>
  <c r="D532" i="10"/>
  <c r="E532" i="10"/>
  <c r="T532" i="10"/>
  <c r="DE29" i="29" s="1"/>
  <c r="DE29" i="31" s="1"/>
  <c r="C533" i="10"/>
  <c r="D533" i="10"/>
  <c r="E533" i="10"/>
  <c r="T533" i="10"/>
  <c r="GM29" i="29" s="1"/>
  <c r="GM29" i="31" s="1"/>
  <c r="C534" i="10"/>
  <c r="D534" i="10"/>
  <c r="E534" i="10"/>
  <c r="T534" i="10"/>
  <c r="IU29" i="29" s="1"/>
  <c r="IU29" i="31" s="1"/>
  <c r="C535" i="10"/>
  <c r="D535" i="10"/>
  <c r="E535" i="10"/>
  <c r="T535" i="10"/>
  <c r="C536" i="10"/>
  <c r="D536" i="10"/>
  <c r="E536" i="10"/>
  <c r="T536" i="10"/>
  <c r="GT29" i="29" s="1"/>
  <c r="GT29" i="31" s="1"/>
  <c r="C537" i="10"/>
  <c r="D537" i="10"/>
  <c r="E537" i="10"/>
  <c r="T537" i="10"/>
  <c r="EQ29" i="29" s="1"/>
  <c r="EQ29" i="31" s="1"/>
  <c r="C538" i="10"/>
  <c r="D538" i="10"/>
  <c r="E538" i="10"/>
  <c r="T538" i="10"/>
  <c r="CW29" i="29" s="1"/>
  <c r="CW29" i="31" s="1"/>
  <c r="C539" i="10"/>
  <c r="D539" i="10"/>
  <c r="E539" i="10"/>
  <c r="T539" i="10"/>
  <c r="FZ29" i="29" s="1"/>
  <c r="FZ29" i="31" s="1"/>
  <c r="C540" i="10"/>
  <c r="D540" i="10"/>
  <c r="E540" i="10"/>
  <c r="T540" i="10"/>
  <c r="DW29" i="29" s="1"/>
  <c r="DW29" i="31" s="1"/>
  <c r="C541" i="10"/>
  <c r="D541" i="10"/>
  <c r="E541" i="10"/>
  <c r="T541" i="10"/>
  <c r="W29" i="29" s="1"/>
  <c r="W29" i="31" s="1"/>
  <c r="C542" i="10"/>
  <c r="D542" i="10"/>
  <c r="E542" i="10"/>
  <c r="T542" i="10"/>
  <c r="H29" i="29" s="1"/>
  <c r="H29" i="31" s="1"/>
  <c r="C543" i="10"/>
  <c r="D543" i="10"/>
  <c r="E543" i="10"/>
  <c r="T543" i="10"/>
  <c r="BQ29" i="29" s="1"/>
  <c r="BQ29" i="31" s="1"/>
  <c r="C544" i="10"/>
  <c r="D544" i="10"/>
  <c r="E544" i="10"/>
  <c r="T544" i="10"/>
  <c r="IK29" i="29" s="1"/>
  <c r="IK29" i="31" s="1"/>
  <c r="C545" i="10"/>
  <c r="D545" i="10"/>
  <c r="E545" i="10"/>
  <c r="T545" i="10"/>
  <c r="HD29" i="29" s="1"/>
  <c r="HD29" i="31" s="1"/>
  <c r="C546" i="10"/>
  <c r="D546" i="10"/>
  <c r="E546" i="10"/>
  <c r="T546" i="10"/>
  <c r="CX29" i="29" s="1"/>
  <c r="CX29" i="31" s="1"/>
  <c r="C547" i="10"/>
  <c r="D547" i="10"/>
  <c r="E547" i="10"/>
  <c r="T547" i="10"/>
  <c r="BA29" i="29" s="1"/>
  <c r="BA29" i="31" s="1"/>
  <c r="C548" i="10"/>
  <c r="D548" i="10"/>
  <c r="E548" i="10"/>
  <c r="T548" i="10"/>
  <c r="IS29" i="29" s="1"/>
  <c r="IS29" i="31" s="1"/>
  <c r="C549" i="10"/>
  <c r="D549" i="10"/>
  <c r="E549" i="10"/>
  <c r="T549" i="10"/>
  <c r="AQ29" i="29" s="1"/>
  <c r="AQ29" i="31" s="1"/>
  <c r="C550" i="10"/>
  <c r="D550" i="10"/>
  <c r="E550" i="10"/>
  <c r="T550" i="10"/>
  <c r="AW29" i="29" s="1"/>
  <c r="AW29" i="31" s="1"/>
  <c r="C551" i="10"/>
  <c r="D551" i="10"/>
  <c r="E551" i="10"/>
  <c r="T551" i="10"/>
  <c r="IG29" i="29" s="1"/>
  <c r="IG29" i="31" s="1"/>
  <c r="C552" i="10"/>
  <c r="D552" i="10"/>
  <c r="E552" i="10"/>
  <c r="T552" i="10"/>
  <c r="FW29" i="29" s="1"/>
  <c r="FW29" i="31" s="1"/>
  <c r="C553" i="10"/>
  <c r="D553" i="10"/>
  <c r="E553" i="10"/>
  <c r="T553" i="10"/>
  <c r="BY29" i="29" s="1"/>
  <c r="BY29" i="31" s="1"/>
  <c r="C554" i="10"/>
  <c r="D554" i="10"/>
  <c r="E554" i="10"/>
  <c r="T554" i="10"/>
  <c r="AF29" i="29" s="1"/>
  <c r="AF29" i="31" s="1"/>
  <c r="C555" i="10"/>
  <c r="D555" i="10"/>
  <c r="E555" i="10"/>
  <c r="T555" i="10"/>
  <c r="DK29" i="29" s="1"/>
  <c r="DK29" i="31" s="1"/>
  <c r="C556" i="10"/>
  <c r="D556" i="10"/>
  <c r="E556" i="10"/>
  <c r="T556" i="10"/>
  <c r="CJ29" i="29" s="1"/>
  <c r="CJ29" i="31" s="1"/>
  <c r="C557" i="10"/>
  <c r="D557" i="10"/>
  <c r="E557" i="10"/>
  <c r="T557" i="10"/>
  <c r="DU29" i="29" s="1"/>
  <c r="DU29" i="31" s="1"/>
  <c r="C558" i="10"/>
  <c r="D558" i="10"/>
  <c r="E558" i="10"/>
  <c r="T558" i="10"/>
  <c r="AI29" i="29" s="1"/>
  <c r="AI29" i="31" s="1"/>
  <c r="C559" i="10"/>
  <c r="D559" i="10"/>
  <c r="E559" i="10"/>
  <c r="T559" i="10"/>
  <c r="EX29" i="29" s="1"/>
  <c r="EX29" i="31" s="1"/>
  <c r="C560" i="10"/>
  <c r="D560" i="10"/>
  <c r="E560" i="10"/>
  <c r="T560" i="10"/>
  <c r="DT29" i="29" s="1"/>
  <c r="DT29" i="31" s="1"/>
  <c r="C561" i="10"/>
  <c r="D561" i="10"/>
  <c r="E561" i="10"/>
  <c r="T561" i="10"/>
  <c r="AC29" i="29" s="1"/>
  <c r="C562" i="10"/>
  <c r="D562" i="10"/>
  <c r="E562" i="10"/>
  <c r="T562" i="10"/>
  <c r="C563" i="10"/>
  <c r="D563" i="10"/>
  <c r="E563" i="10"/>
  <c r="T563" i="10"/>
  <c r="AU29" i="29" s="1"/>
  <c r="AU29" i="31" s="1"/>
  <c r="C564" i="10"/>
  <c r="D564" i="10"/>
  <c r="E564" i="10"/>
  <c r="T564" i="10"/>
  <c r="DF29" i="29" s="1"/>
  <c r="DF29" i="31" s="1"/>
  <c r="C565" i="10"/>
  <c r="D565" i="10"/>
  <c r="E565" i="10"/>
  <c r="T565" i="10"/>
  <c r="AR29" i="29" s="1"/>
  <c r="AR29" i="31" s="1"/>
  <c r="C566" i="10"/>
  <c r="D566" i="10"/>
  <c r="E566" i="10"/>
  <c r="T566" i="10"/>
  <c r="BD29" i="29" s="1"/>
  <c r="BD29" i="31" s="1"/>
  <c r="C567" i="10"/>
  <c r="D567" i="10"/>
  <c r="E567" i="10"/>
  <c r="T567" i="10"/>
  <c r="JA29" i="29" s="1"/>
  <c r="JA29" i="31" s="1"/>
  <c r="C568" i="10"/>
  <c r="D568" i="10"/>
  <c r="E568" i="10"/>
  <c r="T568" i="10"/>
  <c r="IH29" i="29" s="1"/>
  <c r="IH29" i="31" s="1"/>
  <c r="C569" i="10"/>
  <c r="D569" i="10"/>
  <c r="E569" i="10"/>
  <c r="T569" i="10"/>
  <c r="C570" i="10"/>
  <c r="D570" i="10"/>
  <c r="E570" i="10"/>
  <c r="T570" i="10"/>
  <c r="BC29" i="29" s="1"/>
  <c r="BC29" i="31" s="1"/>
  <c r="C571" i="10"/>
  <c r="D571" i="10"/>
  <c r="E571" i="10"/>
  <c r="T571" i="10"/>
  <c r="AL29" i="29" s="1"/>
  <c r="AL29" i="31" s="1"/>
  <c r="C572" i="10"/>
  <c r="D572" i="10"/>
  <c r="E572" i="10"/>
  <c r="T572" i="10"/>
  <c r="DP29" i="29" s="1"/>
  <c r="DP29" i="31" s="1"/>
  <c r="C573" i="10"/>
  <c r="D573" i="10"/>
  <c r="E573" i="10"/>
  <c r="T573" i="10"/>
  <c r="JH29" i="29" s="1"/>
  <c r="JH29" i="31" s="1"/>
  <c r="C574" i="10"/>
  <c r="D574" i="10"/>
  <c r="E574" i="10"/>
  <c r="T574" i="10"/>
  <c r="C575" i="10"/>
  <c r="D575" i="10"/>
  <c r="E575" i="10"/>
  <c r="T575" i="10"/>
  <c r="HM29" i="29" s="1"/>
  <c r="HM29" i="31" s="1"/>
  <c r="C576" i="10"/>
  <c r="D576" i="10"/>
  <c r="E576" i="10"/>
  <c r="T576" i="10"/>
  <c r="IC29" i="29" s="1"/>
  <c r="IC29" i="31" s="1"/>
  <c r="C577" i="10"/>
  <c r="D577" i="10"/>
  <c r="E577" i="10"/>
  <c r="T577" i="10"/>
  <c r="GS29" i="29" s="1"/>
  <c r="GS29" i="31" s="1"/>
  <c r="C578" i="10"/>
  <c r="D578" i="10"/>
  <c r="E578" i="10"/>
  <c r="T578" i="10"/>
  <c r="C579" i="10"/>
  <c r="D579" i="10"/>
  <c r="E579" i="10"/>
  <c r="T579" i="10"/>
  <c r="Q29" i="29" s="1"/>
  <c r="Q29" i="31" s="1"/>
  <c r="C580" i="10"/>
  <c r="D580" i="10"/>
  <c r="E580" i="10"/>
  <c r="T580" i="10"/>
  <c r="FI29" i="29" s="1"/>
  <c r="FI29" i="31" s="1"/>
  <c r="C581" i="10"/>
  <c r="D581" i="10"/>
  <c r="E581" i="10"/>
  <c r="T581" i="10"/>
  <c r="BS29" i="29" s="1"/>
  <c r="BS29" i="31" s="1"/>
  <c r="C582" i="10"/>
  <c r="D582" i="10"/>
  <c r="E582" i="10"/>
  <c r="T582" i="10"/>
  <c r="HE29" i="29" s="1"/>
  <c r="HE29" i="31" s="1"/>
  <c r="C583" i="10"/>
  <c r="D583" i="10"/>
  <c r="E583" i="10"/>
  <c r="T583" i="10"/>
  <c r="CS29" i="29" s="1"/>
  <c r="CS29" i="31" s="1"/>
  <c r="C584" i="10"/>
  <c r="D584" i="10"/>
  <c r="E584" i="10"/>
  <c r="T584" i="10"/>
  <c r="AP29" i="29" s="1"/>
  <c r="AP29" i="31" s="1"/>
  <c r="C585" i="10"/>
  <c r="D585" i="10"/>
  <c r="E585" i="10"/>
  <c r="T585" i="10"/>
  <c r="AJ29" i="29" s="1"/>
  <c r="AJ29" i="31" s="1"/>
  <c r="C586" i="10"/>
  <c r="D586" i="10"/>
  <c r="E586" i="10"/>
  <c r="T586" i="10"/>
  <c r="AA29" i="29" s="1"/>
  <c r="AA29" i="31" s="1"/>
  <c r="C587" i="10"/>
  <c r="D587" i="10"/>
  <c r="E587" i="10"/>
  <c r="T587" i="10"/>
  <c r="ED29" i="29" s="1"/>
  <c r="ED29" i="31" s="1"/>
  <c r="C588" i="10"/>
  <c r="D588" i="10"/>
  <c r="E588" i="10"/>
  <c r="T588" i="10"/>
  <c r="D29" i="29" s="1"/>
  <c r="D29" i="31" s="1"/>
  <c r="C589" i="10"/>
  <c r="D589" i="10"/>
  <c r="E589" i="10"/>
  <c r="T589" i="10"/>
  <c r="BT29" i="29" s="1"/>
  <c r="BT29" i="31" s="1"/>
  <c r="C590" i="10"/>
  <c r="D590" i="10"/>
  <c r="E590" i="10"/>
  <c r="T590" i="10"/>
  <c r="CT29" i="29" s="1"/>
  <c r="CT29" i="31" s="1"/>
  <c r="C591" i="10"/>
  <c r="D591" i="10"/>
  <c r="E591" i="10"/>
  <c r="T591" i="10"/>
  <c r="BU29" i="29" s="1"/>
  <c r="BU29" i="31" s="1"/>
  <c r="C592" i="10"/>
  <c r="D592" i="10"/>
  <c r="E592" i="10"/>
  <c r="T592" i="10"/>
  <c r="DA29" i="29" s="1"/>
  <c r="DA29" i="31" s="1"/>
  <c r="C593" i="10"/>
  <c r="D593" i="10"/>
  <c r="E593" i="10"/>
  <c r="T593" i="10"/>
  <c r="FV29" i="29" s="1"/>
  <c r="FV29" i="31" s="1"/>
  <c r="C594" i="10"/>
  <c r="D594" i="10"/>
  <c r="E594" i="10"/>
  <c r="T594" i="10"/>
  <c r="GJ29" i="29" s="1"/>
  <c r="GJ29" i="31" s="1"/>
  <c r="C595" i="10"/>
  <c r="D595" i="10"/>
  <c r="E595" i="10"/>
  <c r="T595" i="10"/>
  <c r="EO29" i="29" s="1"/>
  <c r="EO29" i="31" s="1"/>
  <c r="C596" i="10"/>
  <c r="D596" i="10"/>
  <c r="E596" i="10"/>
  <c r="T596" i="10"/>
  <c r="Y29" i="29" s="1"/>
  <c r="Y29" i="31" s="1"/>
  <c r="C597" i="10"/>
  <c r="D597" i="10"/>
  <c r="E597" i="10"/>
  <c r="T597" i="10"/>
  <c r="Z29" i="29" s="1"/>
  <c r="Z29" i="31" s="1"/>
  <c r="C598" i="10"/>
  <c r="D598" i="10"/>
  <c r="E598" i="10"/>
  <c r="T598" i="10"/>
  <c r="EL29" i="29" s="1"/>
  <c r="EL29" i="31" s="1"/>
  <c r="C599" i="10"/>
  <c r="D599" i="10"/>
  <c r="E599" i="10"/>
  <c r="T599" i="10"/>
  <c r="BI29" i="29" s="1"/>
  <c r="BI29" i="31" s="1"/>
  <c r="C600" i="10"/>
  <c r="D600" i="10"/>
  <c r="E600" i="10"/>
  <c r="T600" i="10"/>
  <c r="JD29" i="29" s="1"/>
  <c r="JD29" i="31" s="1"/>
  <c r="C601" i="10"/>
  <c r="D601" i="10"/>
  <c r="E601" i="10"/>
  <c r="T601" i="10"/>
  <c r="IP29" i="29" s="1"/>
  <c r="IP29" i="31" s="1"/>
  <c r="C602" i="10"/>
  <c r="D602" i="10"/>
  <c r="E602" i="10"/>
  <c r="T602" i="10"/>
  <c r="FO29" i="29" s="1"/>
  <c r="FO29" i="31" s="1"/>
  <c r="C603" i="10"/>
  <c r="D603" i="10"/>
  <c r="E603" i="10"/>
  <c r="T603" i="10"/>
  <c r="FB29" i="29" s="1"/>
  <c r="FB29" i="31" s="1"/>
  <c r="C604" i="10"/>
  <c r="D604" i="10"/>
  <c r="E604" i="10"/>
  <c r="T604" i="10"/>
  <c r="AS29" i="29" s="1"/>
  <c r="AS29" i="31" s="1"/>
  <c r="C605" i="10"/>
  <c r="D605" i="10"/>
  <c r="E605" i="10"/>
  <c r="T605" i="10"/>
  <c r="CM29" i="29" s="1"/>
  <c r="CM29" i="31" s="1"/>
  <c r="C606" i="10"/>
  <c r="D606" i="10"/>
  <c r="E606" i="10"/>
  <c r="T606" i="10"/>
  <c r="ES29" i="29" s="1"/>
  <c r="ES29" i="31" s="1"/>
  <c r="C607" i="10"/>
  <c r="D607" i="10"/>
  <c r="E607" i="10"/>
  <c r="T607" i="10"/>
  <c r="HK29" i="29" s="1"/>
  <c r="HK29" i="31" s="1"/>
  <c r="C608" i="10"/>
  <c r="D608" i="10"/>
  <c r="E608" i="10"/>
  <c r="T608" i="10"/>
  <c r="IF29" i="29" s="1"/>
  <c r="IF29" i="31" s="1"/>
  <c r="C609" i="10"/>
  <c r="D609" i="10"/>
  <c r="E609" i="10"/>
  <c r="T609" i="10"/>
  <c r="BB29" i="29" s="1"/>
  <c r="BB29" i="31" s="1"/>
  <c r="C610" i="10"/>
  <c r="D610" i="10"/>
  <c r="E610" i="10"/>
  <c r="T610" i="10"/>
  <c r="DR29" i="29" s="1"/>
  <c r="DR29" i="31" s="1"/>
  <c r="C611" i="10"/>
  <c r="D611" i="10"/>
  <c r="E611" i="10"/>
  <c r="T611" i="10"/>
  <c r="HH29" i="29" s="1"/>
  <c r="HH29" i="31" s="1"/>
  <c r="C612" i="10"/>
  <c r="D612" i="10"/>
  <c r="E612" i="10"/>
  <c r="T612" i="10"/>
  <c r="U29" i="29" s="1"/>
  <c r="U29" i="31" s="1"/>
  <c r="C613" i="10"/>
  <c r="D613" i="10"/>
  <c r="E613" i="10"/>
  <c r="T613" i="10"/>
  <c r="GY29" i="29" s="1"/>
  <c r="GY29" i="31" s="1"/>
  <c r="C614" i="10"/>
  <c r="D614" i="10"/>
  <c r="E614" i="10"/>
  <c r="T614" i="10"/>
  <c r="V29" i="29" s="1"/>
  <c r="V29" i="31" s="1"/>
  <c r="C615" i="10"/>
  <c r="D615" i="10"/>
  <c r="E615" i="10"/>
  <c r="T615" i="10"/>
  <c r="I29" i="29" s="1"/>
  <c r="I29" i="31" s="1"/>
  <c r="C616" i="10"/>
  <c r="D616" i="10"/>
  <c r="E616" i="10"/>
  <c r="T616" i="10"/>
  <c r="DG29" i="29" s="1"/>
  <c r="DG29" i="31" s="1"/>
  <c r="C617" i="10"/>
  <c r="D617" i="10"/>
  <c r="E617" i="10"/>
  <c r="T617" i="10"/>
  <c r="C618" i="10"/>
  <c r="D618" i="10"/>
  <c r="E618" i="10"/>
  <c r="T618" i="10"/>
  <c r="JB29" i="29" s="1"/>
  <c r="JB29" i="31" s="1"/>
  <c r="C619" i="10"/>
  <c r="D619" i="10"/>
  <c r="E619" i="10"/>
  <c r="T619" i="10"/>
  <c r="IO29" i="29" s="1"/>
  <c r="IO29" i="31" s="1"/>
  <c r="C620" i="10"/>
  <c r="D620" i="10"/>
  <c r="E620" i="10"/>
  <c r="T620" i="10"/>
  <c r="FC29" i="29" s="1"/>
  <c r="FC29" i="31" s="1"/>
  <c r="C621" i="10"/>
  <c r="D621" i="10"/>
  <c r="E621" i="10"/>
  <c r="T621" i="10"/>
  <c r="GF29" i="29" s="1"/>
  <c r="GF29" i="31" s="1"/>
  <c r="C622" i="10"/>
  <c r="D622" i="10"/>
  <c r="E622" i="10"/>
  <c r="T622" i="10"/>
  <c r="GP29" i="29" s="1"/>
  <c r="GP29" i="31" s="1"/>
  <c r="T343" i="10"/>
  <c r="AG29" i="29" s="1"/>
  <c r="AG29" i="31" s="1"/>
  <c r="E343" i="10"/>
  <c r="D343" i="10"/>
  <c r="C343" i="10"/>
  <c r="W319" i="9"/>
  <c r="X319" i="9"/>
  <c r="Y319" i="9"/>
  <c r="Z319" i="9"/>
  <c r="AA319" i="9"/>
  <c r="AB319" i="9"/>
  <c r="AC319" i="9"/>
  <c r="AE319" i="9"/>
  <c r="AF319" i="9"/>
  <c r="AG319" i="9"/>
  <c r="AH319" i="9"/>
  <c r="AI319" i="9"/>
  <c r="AK319" i="9"/>
  <c r="AL319" i="9"/>
  <c r="AM319" i="9"/>
  <c r="AN319" i="9"/>
  <c r="AO319" i="9"/>
  <c r="AP319" i="9"/>
  <c r="W324" i="9"/>
  <c r="X324" i="9"/>
  <c r="Y324" i="9"/>
  <c r="Z324" i="9"/>
  <c r="AA324" i="9"/>
  <c r="AB324" i="9"/>
  <c r="AC324" i="9"/>
  <c r="AE324" i="9"/>
  <c r="AF324" i="9"/>
  <c r="AG324" i="9"/>
  <c r="AH324" i="9"/>
  <c r="AI324" i="9"/>
  <c r="AG88" i="29" s="1"/>
  <c r="AG92" i="31" s="1"/>
  <c r="AK324" i="9"/>
  <c r="AL324" i="9"/>
  <c r="AM324" i="9"/>
  <c r="AN324" i="9"/>
  <c r="AO324" i="9"/>
  <c r="AP324" i="9"/>
  <c r="AG13" i="29" s="1"/>
  <c r="AG13" i="31" s="1"/>
  <c r="W325" i="9"/>
  <c r="X325" i="9"/>
  <c r="Y325" i="9"/>
  <c r="Z325" i="9"/>
  <c r="AA325" i="9"/>
  <c r="AB325" i="9"/>
  <c r="AC325" i="9"/>
  <c r="AE325" i="9"/>
  <c r="AF325" i="9"/>
  <c r="AG325" i="9"/>
  <c r="AH325" i="9"/>
  <c r="AI325" i="9"/>
  <c r="GD88" i="29" s="1"/>
  <c r="AK325" i="9"/>
  <c r="AL325" i="9"/>
  <c r="AM325" i="9"/>
  <c r="AN325" i="9"/>
  <c r="AO325" i="9"/>
  <c r="AP325" i="9"/>
  <c r="GD13" i="29" s="1"/>
  <c r="GD13" i="31" s="1"/>
  <c r="W326" i="9"/>
  <c r="X326" i="9"/>
  <c r="Y326" i="9"/>
  <c r="Z326" i="9"/>
  <c r="AA326" i="9"/>
  <c r="AB326" i="9"/>
  <c r="AC326" i="9"/>
  <c r="AE326" i="9"/>
  <c r="AF326" i="9"/>
  <c r="AG326" i="9"/>
  <c r="AH326" i="9"/>
  <c r="AI326" i="9"/>
  <c r="FT88" i="29" s="1"/>
  <c r="FT92" i="31" s="1"/>
  <c r="AK326" i="9"/>
  <c r="AL326" i="9"/>
  <c r="AM326" i="9"/>
  <c r="AN326" i="9"/>
  <c r="AO326" i="9"/>
  <c r="AP326" i="9"/>
  <c r="FT13" i="29" s="1"/>
  <c r="FT13" i="31" s="1"/>
  <c r="W327" i="9"/>
  <c r="X327" i="9"/>
  <c r="Y327" i="9"/>
  <c r="Z327" i="9"/>
  <c r="AA327" i="9"/>
  <c r="AB327" i="9"/>
  <c r="AC327" i="9"/>
  <c r="AE327" i="9"/>
  <c r="AF327" i="9"/>
  <c r="AG327" i="9"/>
  <c r="AH327" i="9"/>
  <c r="AI327" i="9"/>
  <c r="BF88" i="29" s="1"/>
  <c r="BF92" i="31" s="1"/>
  <c r="AK327" i="9"/>
  <c r="AL327" i="9"/>
  <c r="AM327" i="9"/>
  <c r="AN327" i="9"/>
  <c r="AO327" i="9"/>
  <c r="AP327" i="9"/>
  <c r="BF13" i="29" s="1"/>
  <c r="BF13" i="31" s="1"/>
  <c r="W328" i="9"/>
  <c r="X328" i="9"/>
  <c r="Y328" i="9"/>
  <c r="Z328" i="9"/>
  <c r="AA328" i="9"/>
  <c r="AB328" i="9"/>
  <c r="AC328" i="9"/>
  <c r="AE328" i="9"/>
  <c r="AF328" i="9"/>
  <c r="AG328" i="9"/>
  <c r="AH328" i="9"/>
  <c r="AI328" i="9"/>
  <c r="FN88" i="29" s="1"/>
  <c r="FN92" i="31" s="1"/>
  <c r="AK328" i="9"/>
  <c r="AL328" i="9"/>
  <c r="AM328" i="9"/>
  <c r="AN328" i="9"/>
  <c r="AO328" i="9"/>
  <c r="AP328" i="9"/>
  <c r="FN13" i="29" s="1"/>
  <c r="FN13" i="31" s="1"/>
  <c r="W329" i="9"/>
  <c r="X329" i="9"/>
  <c r="Y329" i="9"/>
  <c r="Z329" i="9"/>
  <c r="AA329" i="9"/>
  <c r="AB329" i="9"/>
  <c r="AC329" i="9"/>
  <c r="AE329" i="9"/>
  <c r="AF329" i="9"/>
  <c r="AG329" i="9"/>
  <c r="AH329" i="9"/>
  <c r="AI329" i="9"/>
  <c r="CG88" i="29" s="1"/>
  <c r="CG92" i="31" s="1"/>
  <c r="AK329" i="9"/>
  <c r="AL329" i="9"/>
  <c r="AM329" i="9"/>
  <c r="AN329" i="9"/>
  <c r="AO329" i="9"/>
  <c r="AP329" i="9"/>
  <c r="CG13" i="29" s="1"/>
  <c r="CG13" i="31" s="1"/>
  <c r="W330" i="9"/>
  <c r="X330" i="9"/>
  <c r="Y330" i="9"/>
  <c r="Z330" i="9"/>
  <c r="AA330" i="9"/>
  <c r="AB330" i="9"/>
  <c r="AC330" i="9"/>
  <c r="AE330" i="9"/>
  <c r="AF330" i="9"/>
  <c r="AG330" i="9"/>
  <c r="AH330" i="9"/>
  <c r="AI330" i="9"/>
  <c r="GN88" i="29" s="1"/>
  <c r="GN92" i="31" s="1"/>
  <c r="AK330" i="9"/>
  <c r="AL330" i="9"/>
  <c r="AM330" i="9"/>
  <c r="AN330" i="9"/>
  <c r="AO330" i="9"/>
  <c r="AP330" i="9"/>
  <c r="GN13" i="29" s="1"/>
  <c r="GN13" i="31" s="1"/>
  <c r="W331" i="9"/>
  <c r="X331" i="9"/>
  <c r="Y331" i="9"/>
  <c r="Z331" i="9"/>
  <c r="AA331" i="9"/>
  <c r="AB331" i="9"/>
  <c r="AC331" i="9"/>
  <c r="AE331" i="9"/>
  <c r="AF331" i="9"/>
  <c r="AG331" i="9"/>
  <c r="AH331" i="9"/>
  <c r="AI331" i="9"/>
  <c r="CU88" i="29" s="1"/>
  <c r="CU92" i="31" s="1"/>
  <c r="AK331" i="9"/>
  <c r="AL331" i="9"/>
  <c r="AM331" i="9"/>
  <c r="AN331" i="9"/>
  <c r="AO331" i="9"/>
  <c r="AP331" i="9"/>
  <c r="CU13" i="29" s="1"/>
  <c r="CU13" i="31" s="1"/>
  <c r="W332" i="9"/>
  <c r="X332" i="9"/>
  <c r="Y332" i="9"/>
  <c r="Z332" i="9"/>
  <c r="AA332" i="9"/>
  <c r="AB332" i="9"/>
  <c r="AC332" i="9"/>
  <c r="AE332" i="9"/>
  <c r="AF332" i="9"/>
  <c r="AG332" i="9"/>
  <c r="AH332" i="9"/>
  <c r="AI332" i="9"/>
  <c r="DH88" i="29" s="1"/>
  <c r="DH92" i="31" s="1"/>
  <c r="AK332" i="9"/>
  <c r="AL332" i="9"/>
  <c r="AM332" i="9"/>
  <c r="AN332" i="9"/>
  <c r="AO332" i="9"/>
  <c r="AP332" i="9"/>
  <c r="DH13" i="29" s="1"/>
  <c r="DH13" i="31" s="1"/>
  <c r="W333" i="9"/>
  <c r="X333" i="9"/>
  <c r="Y333" i="9"/>
  <c r="Z333" i="9"/>
  <c r="AA333" i="9"/>
  <c r="AB333" i="9"/>
  <c r="AC333" i="9"/>
  <c r="AE333" i="9"/>
  <c r="AF333" i="9"/>
  <c r="AG333" i="9"/>
  <c r="AH333" i="9"/>
  <c r="AI333" i="9"/>
  <c r="AX88" i="29" s="1"/>
  <c r="AX92" i="31" s="1"/>
  <c r="AK333" i="9"/>
  <c r="AL333" i="9"/>
  <c r="AM333" i="9"/>
  <c r="AN333" i="9"/>
  <c r="AO333" i="9"/>
  <c r="AP333" i="9"/>
  <c r="AX13" i="29" s="1"/>
  <c r="AX13" i="31" s="1"/>
  <c r="W334" i="9"/>
  <c r="X334" i="9"/>
  <c r="Y334" i="9"/>
  <c r="Z334" i="9"/>
  <c r="AA334" i="9"/>
  <c r="AB334" i="9"/>
  <c r="AC334" i="9"/>
  <c r="AE334" i="9"/>
  <c r="AF334" i="9"/>
  <c r="AG334" i="9"/>
  <c r="AH334" i="9"/>
  <c r="AI334" i="9"/>
  <c r="HU88" i="29" s="1"/>
  <c r="AK334" i="9"/>
  <c r="AL334" i="9"/>
  <c r="AM334" i="9"/>
  <c r="AN334" i="9"/>
  <c r="AO334" i="9"/>
  <c r="AP334" i="9"/>
  <c r="HU13" i="29" s="1"/>
  <c r="HU13" i="31" s="1"/>
  <c r="W335" i="9"/>
  <c r="X335" i="9"/>
  <c r="Y335" i="9"/>
  <c r="Z335" i="9"/>
  <c r="AA335" i="9"/>
  <c r="AB335" i="9"/>
  <c r="AC335" i="9"/>
  <c r="AE335" i="9"/>
  <c r="AF335" i="9"/>
  <c r="AG335" i="9"/>
  <c r="AH335" i="9"/>
  <c r="AI335" i="9"/>
  <c r="AN88" i="29" s="1"/>
  <c r="AN92" i="31" s="1"/>
  <c r="AK335" i="9"/>
  <c r="AL335" i="9"/>
  <c r="AM335" i="9"/>
  <c r="AN335" i="9"/>
  <c r="AO335" i="9"/>
  <c r="AP335" i="9"/>
  <c r="AN13" i="29" s="1"/>
  <c r="AN13" i="31" s="1"/>
  <c r="W336" i="9"/>
  <c r="X336" i="9"/>
  <c r="Y336" i="9"/>
  <c r="Z336" i="9"/>
  <c r="AA336" i="9"/>
  <c r="AB336" i="9"/>
  <c r="AC336" i="9"/>
  <c r="AE336" i="9"/>
  <c r="AF336" i="9"/>
  <c r="AG336" i="9"/>
  <c r="AH336" i="9"/>
  <c r="AI336" i="9"/>
  <c r="GQ88" i="29" s="1"/>
  <c r="GQ92" i="31" s="1"/>
  <c r="AK336" i="9"/>
  <c r="AL336" i="9"/>
  <c r="AM336" i="9"/>
  <c r="AN336" i="9"/>
  <c r="AO336" i="9"/>
  <c r="AP336" i="9"/>
  <c r="GQ13" i="29" s="1"/>
  <c r="GQ13" i="31" s="1"/>
  <c r="W337" i="9"/>
  <c r="X337" i="9"/>
  <c r="Y337" i="9"/>
  <c r="Z337" i="9"/>
  <c r="AA337" i="9"/>
  <c r="AB337" i="9"/>
  <c r="AC337" i="9"/>
  <c r="AE337" i="9"/>
  <c r="AF337" i="9"/>
  <c r="AG337" i="9"/>
  <c r="AH337" i="9"/>
  <c r="AI337" i="9"/>
  <c r="BH88" i="29" s="1"/>
  <c r="BH92" i="31" s="1"/>
  <c r="AK337" i="9"/>
  <c r="AL337" i="9"/>
  <c r="AM337" i="9"/>
  <c r="AN337" i="9"/>
  <c r="AO337" i="9"/>
  <c r="AP337" i="9"/>
  <c r="BH13" i="29" s="1"/>
  <c r="BH13" i="31" s="1"/>
  <c r="W338" i="9"/>
  <c r="X338" i="9"/>
  <c r="Y338" i="9"/>
  <c r="Z338" i="9"/>
  <c r="AA338" i="9"/>
  <c r="AB338" i="9"/>
  <c r="AC338" i="9"/>
  <c r="AE338" i="9"/>
  <c r="AF338" i="9"/>
  <c r="AG338" i="9"/>
  <c r="AH338" i="9"/>
  <c r="AI338" i="9"/>
  <c r="JF88" i="29" s="1"/>
  <c r="AK338" i="9"/>
  <c r="AL338" i="9"/>
  <c r="AM338" i="9"/>
  <c r="AN338" i="9"/>
  <c r="AO338" i="9"/>
  <c r="AP338" i="9"/>
  <c r="JF13" i="29" s="1"/>
  <c r="JF13" i="31" s="1"/>
  <c r="W339" i="9"/>
  <c r="X339" i="9"/>
  <c r="Y339" i="9"/>
  <c r="Z339" i="9"/>
  <c r="AA339" i="9"/>
  <c r="AB339" i="9"/>
  <c r="AC339" i="9"/>
  <c r="AE339" i="9"/>
  <c r="AF339" i="9"/>
  <c r="AG339" i="9"/>
  <c r="AH339" i="9"/>
  <c r="AI339" i="9"/>
  <c r="DI88" i="29" s="1"/>
  <c r="DI92" i="31" s="1"/>
  <c r="AK339" i="9"/>
  <c r="AL339" i="9"/>
  <c r="AM339" i="9"/>
  <c r="AN339" i="9"/>
  <c r="AO339" i="9"/>
  <c r="AP339" i="9"/>
  <c r="DI13" i="29" s="1"/>
  <c r="DI13" i="31" s="1"/>
  <c r="DI173" i="31" s="1"/>
  <c r="DI114" i="31" s="1"/>
  <c r="W340" i="9"/>
  <c r="X340" i="9"/>
  <c r="Y340" i="9"/>
  <c r="Z340" i="9"/>
  <c r="AA340" i="9"/>
  <c r="AB340" i="9"/>
  <c r="AC340" i="9"/>
  <c r="AE340" i="9"/>
  <c r="AF340" i="9"/>
  <c r="AG340" i="9"/>
  <c r="AH340" i="9"/>
  <c r="AI340" i="9"/>
  <c r="AH88" i="29" s="1"/>
  <c r="AH92" i="31" s="1"/>
  <c r="AK340" i="9"/>
  <c r="AL340" i="9"/>
  <c r="AM340" i="9"/>
  <c r="AN340" i="9"/>
  <c r="AO340" i="9"/>
  <c r="AP340" i="9"/>
  <c r="AH13" i="29" s="1"/>
  <c r="AH13" i="31" s="1"/>
  <c r="W341" i="9"/>
  <c r="X341" i="9"/>
  <c r="Y341" i="9"/>
  <c r="Z341" i="9"/>
  <c r="AA341" i="9"/>
  <c r="AB341" i="9"/>
  <c r="AC341" i="9"/>
  <c r="AE341" i="9"/>
  <c r="AF341" i="9"/>
  <c r="AG341" i="9"/>
  <c r="AH341" i="9"/>
  <c r="AI341" i="9"/>
  <c r="IX88" i="29" s="1"/>
  <c r="IX92" i="31" s="1"/>
  <c r="AK341" i="9"/>
  <c r="AL341" i="9"/>
  <c r="AM341" i="9"/>
  <c r="AN341" i="9"/>
  <c r="AO341" i="9"/>
  <c r="AP341" i="9"/>
  <c r="IX13" i="29" s="1"/>
  <c r="IX13" i="31" s="1"/>
  <c r="W342" i="9"/>
  <c r="X342" i="9"/>
  <c r="Y342" i="9"/>
  <c r="Z342" i="9"/>
  <c r="AA342" i="9"/>
  <c r="AB342" i="9"/>
  <c r="AC342" i="9"/>
  <c r="AE342" i="9"/>
  <c r="AF342" i="9"/>
  <c r="AG342" i="9"/>
  <c r="AH342" i="9"/>
  <c r="AI342" i="9"/>
  <c r="EC88" i="29" s="1"/>
  <c r="EC92" i="31" s="1"/>
  <c r="AK342" i="9"/>
  <c r="AL342" i="9"/>
  <c r="AM342" i="9"/>
  <c r="AN342" i="9"/>
  <c r="AO342" i="9"/>
  <c r="AP342" i="9"/>
  <c r="EC13" i="29" s="1"/>
  <c r="EC13" i="31" s="1"/>
  <c r="W343" i="9"/>
  <c r="X343" i="9"/>
  <c r="Y343" i="9"/>
  <c r="Z343" i="9"/>
  <c r="AA343" i="9"/>
  <c r="AB343" i="9"/>
  <c r="AC343" i="9"/>
  <c r="AE343" i="9"/>
  <c r="AF343" i="9"/>
  <c r="AG343" i="9"/>
  <c r="AH343" i="9"/>
  <c r="AI343" i="9"/>
  <c r="FH88" i="29" s="1"/>
  <c r="AK343" i="9"/>
  <c r="AL343" i="9"/>
  <c r="AM343" i="9"/>
  <c r="AN343" i="9"/>
  <c r="AO343" i="9"/>
  <c r="AP343" i="9"/>
  <c r="FH13" i="29" s="1"/>
  <c r="FH13" i="31" s="1"/>
  <c r="W344" i="9"/>
  <c r="X344" i="9"/>
  <c r="Y344" i="9"/>
  <c r="Z344" i="9"/>
  <c r="AA344" i="9"/>
  <c r="AB344" i="9"/>
  <c r="AC344" i="9"/>
  <c r="AE344" i="9"/>
  <c r="AF344" i="9"/>
  <c r="AG344" i="9"/>
  <c r="AH344" i="9"/>
  <c r="AI344" i="9"/>
  <c r="FA88" i="29" s="1"/>
  <c r="FA92" i="31" s="1"/>
  <c r="AK344" i="9"/>
  <c r="AL344" i="9"/>
  <c r="AM344" i="9"/>
  <c r="AN344" i="9"/>
  <c r="AO344" i="9"/>
  <c r="AP344" i="9"/>
  <c r="FA13" i="29" s="1"/>
  <c r="FA13" i="31" s="1"/>
  <c r="W345" i="9"/>
  <c r="X345" i="9"/>
  <c r="Y345" i="9"/>
  <c r="Z345" i="9"/>
  <c r="AA345" i="9"/>
  <c r="AB345" i="9"/>
  <c r="AC345" i="9"/>
  <c r="AE345" i="9"/>
  <c r="AF345" i="9"/>
  <c r="AG345" i="9"/>
  <c r="AH345" i="9"/>
  <c r="AI345" i="9"/>
  <c r="C88" i="29" s="1"/>
  <c r="AK345" i="9"/>
  <c r="AL345" i="9"/>
  <c r="AM345" i="9"/>
  <c r="AN345" i="9"/>
  <c r="AO345" i="9"/>
  <c r="AP345" i="9"/>
  <c r="C13" i="29" s="1"/>
  <c r="C13" i="31" s="1"/>
  <c r="W346" i="9"/>
  <c r="X346" i="9"/>
  <c r="Y346" i="9"/>
  <c r="Z346" i="9"/>
  <c r="AA346" i="9"/>
  <c r="AB346" i="9"/>
  <c r="AC346" i="9"/>
  <c r="AE346" i="9"/>
  <c r="AF346" i="9"/>
  <c r="AG346" i="9"/>
  <c r="AH346" i="9"/>
  <c r="AI346" i="9"/>
  <c r="FX88" i="29" s="1"/>
  <c r="FX92" i="31" s="1"/>
  <c r="AK346" i="9"/>
  <c r="AL346" i="9"/>
  <c r="AM346" i="9"/>
  <c r="AN346" i="9"/>
  <c r="AO346" i="9"/>
  <c r="AP346" i="9"/>
  <c r="FX13" i="29" s="1"/>
  <c r="FX13" i="31" s="1"/>
  <c r="W347" i="9"/>
  <c r="X347" i="9"/>
  <c r="Y347" i="9"/>
  <c r="Z347" i="9"/>
  <c r="AA347" i="9"/>
  <c r="AB347" i="9"/>
  <c r="AC347" i="9"/>
  <c r="AE347" i="9"/>
  <c r="AF347" i="9"/>
  <c r="AG347" i="9"/>
  <c r="AH347" i="9"/>
  <c r="AI347" i="9"/>
  <c r="ER88" i="29" s="1"/>
  <c r="ER92" i="31" s="1"/>
  <c r="AK347" i="9"/>
  <c r="AL347" i="9"/>
  <c r="AM347" i="9"/>
  <c r="AN347" i="9"/>
  <c r="AO347" i="9"/>
  <c r="AP347" i="9"/>
  <c r="ER13" i="29" s="1"/>
  <c r="ER13" i="31" s="1"/>
  <c r="W348" i="9"/>
  <c r="X348" i="9"/>
  <c r="Y348" i="9"/>
  <c r="Z348" i="9"/>
  <c r="AA348" i="9"/>
  <c r="AB348" i="9"/>
  <c r="AC348" i="9"/>
  <c r="AE348" i="9"/>
  <c r="AF348" i="9"/>
  <c r="AG348" i="9"/>
  <c r="AH348" i="9"/>
  <c r="AI348" i="9"/>
  <c r="FE88" i="29" s="1"/>
  <c r="FE92" i="31" s="1"/>
  <c r="AK348" i="9"/>
  <c r="AL348" i="9"/>
  <c r="AM348" i="9"/>
  <c r="AN348" i="9"/>
  <c r="AO348" i="9"/>
  <c r="AP348" i="9"/>
  <c r="FE13" i="29" s="1"/>
  <c r="FE13" i="31" s="1"/>
  <c r="W349" i="9"/>
  <c r="X349" i="9"/>
  <c r="Y349" i="9"/>
  <c r="Z349" i="9"/>
  <c r="AA349" i="9"/>
  <c r="AB349" i="9"/>
  <c r="AC349" i="9"/>
  <c r="AE349" i="9"/>
  <c r="AF349" i="9"/>
  <c r="AG349" i="9"/>
  <c r="AH349" i="9"/>
  <c r="AI349" i="9"/>
  <c r="DY88" i="29" s="1"/>
  <c r="DY92" i="31" s="1"/>
  <c r="AK349" i="9"/>
  <c r="AL349" i="9"/>
  <c r="AM349" i="9"/>
  <c r="AN349" i="9"/>
  <c r="AO349" i="9"/>
  <c r="AP349" i="9"/>
  <c r="DY13" i="29" s="1"/>
  <c r="DY13" i="31" s="1"/>
  <c r="W350" i="9"/>
  <c r="X350" i="9"/>
  <c r="Y350" i="9"/>
  <c r="Z350" i="9"/>
  <c r="AA350" i="9"/>
  <c r="AB350" i="9"/>
  <c r="AC350" i="9"/>
  <c r="AE350" i="9"/>
  <c r="AF350" i="9"/>
  <c r="AG350" i="9"/>
  <c r="AH350" i="9"/>
  <c r="AI350" i="9"/>
  <c r="CN88" i="29" s="1"/>
  <c r="CN92" i="31" s="1"/>
  <c r="AK350" i="9"/>
  <c r="AL350" i="9"/>
  <c r="AM350" i="9"/>
  <c r="AN350" i="9"/>
  <c r="AO350" i="9"/>
  <c r="AP350" i="9"/>
  <c r="CN13" i="29" s="1"/>
  <c r="CN13" i="31" s="1"/>
  <c r="W351" i="9"/>
  <c r="X351" i="9"/>
  <c r="Y351" i="9"/>
  <c r="Z351" i="9"/>
  <c r="AA351" i="9"/>
  <c r="AB351" i="9"/>
  <c r="AC351" i="9"/>
  <c r="AE351" i="9"/>
  <c r="AF351" i="9"/>
  <c r="AG351" i="9"/>
  <c r="AH351" i="9"/>
  <c r="AI351" i="9"/>
  <c r="K88" i="29" s="1"/>
  <c r="K92" i="31" s="1"/>
  <c r="AK351" i="9"/>
  <c r="AL351" i="9"/>
  <c r="AM351" i="9"/>
  <c r="AN351" i="9"/>
  <c r="AO351" i="9"/>
  <c r="AP351" i="9"/>
  <c r="K13" i="29" s="1"/>
  <c r="K13" i="31" s="1"/>
  <c r="W352" i="9"/>
  <c r="X352" i="9"/>
  <c r="Y352" i="9"/>
  <c r="Z352" i="9"/>
  <c r="AA352" i="9"/>
  <c r="AB352" i="9"/>
  <c r="AC352" i="9"/>
  <c r="AE352" i="9"/>
  <c r="AF352" i="9"/>
  <c r="AG352" i="9"/>
  <c r="AH352" i="9"/>
  <c r="AI352" i="9"/>
  <c r="EI88" i="29" s="1"/>
  <c r="EI92" i="31" s="1"/>
  <c r="AK352" i="9"/>
  <c r="AL352" i="9"/>
  <c r="AM352" i="9"/>
  <c r="AN352" i="9"/>
  <c r="AO352" i="9"/>
  <c r="AP352" i="9"/>
  <c r="EI13" i="29" s="1"/>
  <c r="EI13" i="31" s="1"/>
  <c r="W353" i="9"/>
  <c r="X353" i="9"/>
  <c r="Y353" i="9"/>
  <c r="Z353" i="9"/>
  <c r="AA353" i="9"/>
  <c r="AB353" i="9"/>
  <c r="AC353" i="9"/>
  <c r="AE353" i="9"/>
  <c r="AF353" i="9"/>
  <c r="AG353" i="9"/>
  <c r="AH353" i="9"/>
  <c r="AI353" i="9"/>
  <c r="AB88" i="29" s="1"/>
  <c r="AB92" i="31" s="1"/>
  <c r="AK353" i="9"/>
  <c r="AL353" i="9"/>
  <c r="AM353" i="9"/>
  <c r="AN353" i="9"/>
  <c r="AO353" i="9"/>
  <c r="AP353" i="9"/>
  <c r="AB13" i="29" s="1"/>
  <c r="AB13" i="31" s="1"/>
  <c r="W354" i="9"/>
  <c r="X354" i="9"/>
  <c r="Y354" i="9"/>
  <c r="Z354" i="9"/>
  <c r="AA354" i="9"/>
  <c r="AB354" i="9"/>
  <c r="AC354" i="9"/>
  <c r="AE354" i="9"/>
  <c r="AF354" i="9"/>
  <c r="AG354" i="9"/>
  <c r="AH354" i="9"/>
  <c r="AI354" i="9"/>
  <c r="GB88" i="29" s="1"/>
  <c r="AK354" i="9"/>
  <c r="AL354" i="9"/>
  <c r="AM354" i="9"/>
  <c r="AN354" i="9"/>
  <c r="AO354" i="9"/>
  <c r="AP354" i="9"/>
  <c r="GB13" i="29" s="1"/>
  <c r="GB13" i="31" s="1"/>
  <c r="W355" i="9"/>
  <c r="X355" i="9"/>
  <c r="Y355" i="9"/>
  <c r="Z355" i="9"/>
  <c r="AA355" i="9"/>
  <c r="AB355" i="9"/>
  <c r="AC355" i="9"/>
  <c r="AE355" i="9"/>
  <c r="AF355" i="9"/>
  <c r="AG355" i="9"/>
  <c r="AH355" i="9"/>
  <c r="AI355" i="9"/>
  <c r="DL88" i="29" s="1"/>
  <c r="DL92" i="31" s="1"/>
  <c r="AK355" i="9"/>
  <c r="AL355" i="9"/>
  <c r="AM355" i="9"/>
  <c r="AN355" i="9"/>
  <c r="AO355" i="9"/>
  <c r="AP355" i="9"/>
  <c r="DL13" i="29" s="1"/>
  <c r="DL13" i="31" s="1"/>
  <c r="W356" i="9"/>
  <c r="X356" i="9"/>
  <c r="Y356" i="9"/>
  <c r="Z356" i="9"/>
  <c r="AA356" i="9"/>
  <c r="AB356" i="9"/>
  <c r="AC356" i="9"/>
  <c r="AE356" i="9"/>
  <c r="AF356" i="9"/>
  <c r="AG356" i="9"/>
  <c r="AH356" i="9"/>
  <c r="AI356" i="9"/>
  <c r="CF88" i="29" s="1"/>
  <c r="CF92" i="31" s="1"/>
  <c r="AK356" i="9"/>
  <c r="AL356" i="9"/>
  <c r="AM356" i="9"/>
  <c r="AN356" i="9"/>
  <c r="AO356" i="9"/>
  <c r="AP356" i="9"/>
  <c r="CF13" i="29" s="1"/>
  <c r="CF13" i="31" s="1"/>
  <c r="W357" i="9"/>
  <c r="X357" i="9"/>
  <c r="Y357" i="9"/>
  <c r="Z357" i="9"/>
  <c r="AA357" i="9"/>
  <c r="AB357" i="9"/>
  <c r="AC357" i="9"/>
  <c r="AE357" i="9"/>
  <c r="AF357" i="9"/>
  <c r="AG357" i="9"/>
  <c r="AH357" i="9"/>
  <c r="AI357" i="9"/>
  <c r="IL88" i="29" s="1"/>
  <c r="AK357" i="9"/>
  <c r="AL357" i="9"/>
  <c r="AM357" i="9"/>
  <c r="AN357" i="9"/>
  <c r="AO357" i="9"/>
  <c r="AP357" i="9"/>
  <c r="IL13" i="29" s="1"/>
  <c r="IL13" i="31" s="1"/>
  <c r="W358" i="9"/>
  <c r="X358" i="9"/>
  <c r="Y358" i="9"/>
  <c r="Z358" i="9"/>
  <c r="AA358" i="9"/>
  <c r="AB358" i="9"/>
  <c r="AC358" i="9"/>
  <c r="AE358" i="9"/>
  <c r="AF358" i="9"/>
  <c r="AG358" i="9"/>
  <c r="AH358" i="9"/>
  <c r="AI358" i="9"/>
  <c r="IM88" i="29" s="1"/>
  <c r="IM92" i="31" s="1"/>
  <c r="AK358" i="9"/>
  <c r="AL358" i="9"/>
  <c r="AM358" i="9"/>
  <c r="AN358" i="9"/>
  <c r="AO358" i="9"/>
  <c r="AP358" i="9"/>
  <c r="IM13" i="29" s="1"/>
  <c r="IM13" i="31" s="1"/>
  <c r="W359" i="9"/>
  <c r="X359" i="9"/>
  <c r="Y359" i="9"/>
  <c r="Z359" i="9"/>
  <c r="AA359" i="9"/>
  <c r="AB359" i="9"/>
  <c r="AC359" i="9"/>
  <c r="AE359" i="9"/>
  <c r="AF359" i="9"/>
  <c r="AG359" i="9"/>
  <c r="AH359" i="9"/>
  <c r="AI359" i="9"/>
  <c r="AO88" i="29" s="1"/>
  <c r="AO92" i="31" s="1"/>
  <c r="AK359" i="9"/>
  <c r="AL359" i="9"/>
  <c r="AM359" i="9"/>
  <c r="AN359" i="9"/>
  <c r="AO359" i="9"/>
  <c r="AP359" i="9"/>
  <c r="AO13" i="29" s="1"/>
  <c r="AO13" i="31" s="1"/>
  <c r="W360" i="9"/>
  <c r="X360" i="9"/>
  <c r="Y360" i="9"/>
  <c r="Z360" i="9"/>
  <c r="AA360" i="9"/>
  <c r="AB360" i="9"/>
  <c r="AC360" i="9"/>
  <c r="AE360" i="9"/>
  <c r="AF360" i="9"/>
  <c r="AG360" i="9"/>
  <c r="AH360" i="9"/>
  <c r="AI360" i="9"/>
  <c r="CQ88" i="29" s="1"/>
  <c r="CQ92" i="31" s="1"/>
  <c r="AK360" i="9"/>
  <c r="AL360" i="9"/>
  <c r="AM360" i="9"/>
  <c r="AN360" i="9"/>
  <c r="AO360" i="9"/>
  <c r="AP360" i="9"/>
  <c r="CQ13" i="29" s="1"/>
  <c r="CQ13" i="31" s="1"/>
  <c r="W361" i="9"/>
  <c r="X361" i="9"/>
  <c r="Y361" i="9"/>
  <c r="Z361" i="9"/>
  <c r="AA361" i="9"/>
  <c r="AB361" i="9"/>
  <c r="AC361" i="9"/>
  <c r="AE361" i="9"/>
  <c r="AF361" i="9"/>
  <c r="AG361" i="9"/>
  <c r="AH361" i="9"/>
  <c r="AI361" i="9"/>
  <c r="AY88" i="29" s="1"/>
  <c r="AY92" i="31" s="1"/>
  <c r="AK361" i="9"/>
  <c r="AL361" i="9"/>
  <c r="AM361" i="9"/>
  <c r="AN361" i="9"/>
  <c r="AO361" i="9"/>
  <c r="AP361" i="9"/>
  <c r="AY13" i="29" s="1"/>
  <c r="AY13" i="31" s="1"/>
  <c r="W362" i="9"/>
  <c r="X362" i="9"/>
  <c r="Y362" i="9"/>
  <c r="Z362" i="9"/>
  <c r="AA362" i="9"/>
  <c r="AB362" i="9"/>
  <c r="AC362" i="9"/>
  <c r="AE362" i="9"/>
  <c r="AF362" i="9"/>
  <c r="AG362" i="9"/>
  <c r="AH362" i="9"/>
  <c r="AI362" i="9"/>
  <c r="CK88" i="29" s="1"/>
  <c r="CK92" i="31" s="1"/>
  <c r="AK362" i="9"/>
  <c r="AL362" i="9"/>
  <c r="AM362" i="9"/>
  <c r="AN362" i="9"/>
  <c r="AO362" i="9"/>
  <c r="AP362" i="9"/>
  <c r="CK13" i="29" s="1"/>
  <c r="CK13" i="31" s="1"/>
  <c r="W363" i="9"/>
  <c r="X363" i="9"/>
  <c r="Y363" i="9"/>
  <c r="Z363" i="9"/>
  <c r="AA363" i="9"/>
  <c r="AB363" i="9"/>
  <c r="AC363" i="9"/>
  <c r="AE363" i="9"/>
  <c r="AF363" i="9"/>
  <c r="AG363" i="9"/>
  <c r="AH363" i="9"/>
  <c r="AI363" i="9"/>
  <c r="ID88" i="29" s="1"/>
  <c r="AK363" i="9"/>
  <c r="AL363" i="9"/>
  <c r="AM363" i="9"/>
  <c r="AN363" i="9"/>
  <c r="AO363" i="9"/>
  <c r="AP363" i="9"/>
  <c r="ID13" i="29" s="1"/>
  <c r="ID13" i="31" s="1"/>
  <c r="W364" i="9"/>
  <c r="X364" i="9"/>
  <c r="Y364" i="9"/>
  <c r="Z364" i="9"/>
  <c r="AA364" i="9"/>
  <c r="AB364" i="9"/>
  <c r="AC364" i="9"/>
  <c r="AE364" i="9"/>
  <c r="AF364" i="9"/>
  <c r="AG364" i="9"/>
  <c r="AH364" i="9"/>
  <c r="AI364" i="9"/>
  <c r="FL88" i="29" s="1"/>
  <c r="FL92" i="31" s="1"/>
  <c r="AK364" i="9"/>
  <c r="AL364" i="9"/>
  <c r="AM364" i="9"/>
  <c r="AN364" i="9"/>
  <c r="AO364" i="9"/>
  <c r="AP364" i="9"/>
  <c r="FL13" i="29" s="1"/>
  <c r="FL13" i="31" s="1"/>
  <c r="W365" i="9"/>
  <c r="X365" i="9"/>
  <c r="Y365" i="9"/>
  <c r="Z365" i="9"/>
  <c r="AA365" i="9"/>
  <c r="AB365" i="9"/>
  <c r="AC365" i="9"/>
  <c r="AE365" i="9"/>
  <c r="AF365" i="9"/>
  <c r="AG365" i="9"/>
  <c r="AH365" i="9"/>
  <c r="AI365" i="9"/>
  <c r="BX88" i="29" s="1"/>
  <c r="BX92" i="31" s="1"/>
  <c r="AK365" i="9"/>
  <c r="AL365" i="9"/>
  <c r="AM365" i="9"/>
  <c r="AN365" i="9"/>
  <c r="AO365" i="9"/>
  <c r="AP365" i="9"/>
  <c r="BX13" i="29" s="1"/>
  <c r="BX13" i="31" s="1"/>
  <c r="W366" i="9"/>
  <c r="X366" i="9"/>
  <c r="Y366" i="9"/>
  <c r="Z366" i="9"/>
  <c r="AA366" i="9"/>
  <c r="AB366" i="9"/>
  <c r="AC366" i="9"/>
  <c r="AE366" i="9"/>
  <c r="AF366" i="9"/>
  <c r="AG366" i="9"/>
  <c r="AH366" i="9"/>
  <c r="AI366" i="9"/>
  <c r="M88" i="29" s="1"/>
  <c r="M92" i="31" s="1"/>
  <c r="AK366" i="9"/>
  <c r="AL366" i="9"/>
  <c r="AM366" i="9"/>
  <c r="AN366" i="9"/>
  <c r="AO366" i="9"/>
  <c r="AP366" i="9"/>
  <c r="M13" i="29" s="1"/>
  <c r="M13" i="31" s="1"/>
  <c r="W367" i="9"/>
  <c r="X367" i="9"/>
  <c r="Y367" i="9"/>
  <c r="Z367" i="9"/>
  <c r="AA367" i="9"/>
  <c r="AB367" i="9"/>
  <c r="AC367" i="9"/>
  <c r="AE367" i="9"/>
  <c r="AF367" i="9"/>
  <c r="AG367" i="9"/>
  <c r="AH367" i="9"/>
  <c r="AI367" i="9"/>
  <c r="JG88" i="29" s="1"/>
  <c r="AK367" i="9"/>
  <c r="AL367" i="9"/>
  <c r="AM367" i="9"/>
  <c r="AN367" i="9"/>
  <c r="AO367" i="9"/>
  <c r="AP367" i="9"/>
  <c r="JG13" i="29" s="1"/>
  <c r="JG13" i="31" s="1"/>
  <c r="W368" i="9"/>
  <c r="X368" i="9"/>
  <c r="Y368" i="9"/>
  <c r="Z368" i="9"/>
  <c r="AA368" i="9"/>
  <c r="AB368" i="9"/>
  <c r="AC368" i="9"/>
  <c r="AE368" i="9"/>
  <c r="AF368" i="9"/>
  <c r="AG368" i="9"/>
  <c r="AH368" i="9"/>
  <c r="AI368" i="9"/>
  <c r="EE88" i="29" s="1"/>
  <c r="EE92" i="31" s="1"/>
  <c r="AK368" i="9"/>
  <c r="AL368" i="9"/>
  <c r="AM368" i="9"/>
  <c r="AN368" i="9"/>
  <c r="AO368" i="9"/>
  <c r="AP368" i="9"/>
  <c r="EE13" i="29" s="1"/>
  <c r="EE13" i="31" s="1"/>
  <c r="W369" i="9"/>
  <c r="X369" i="9"/>
  <c r="Y369" i="9"/>
  <c r="Z369" i="9"/>
  <c r="AA369" i="9"/>
  <c r="AB369" i="9"/>
  <c r="AC369" i="9"/>
  <c r="AE369" i="9"/>
  <c r="AF369" i="9"/>
  <c r="AG369" i="9"/>
  <c r="AH369" i="9"/>
  <c r="AI369" i="9"/>
  <c r="HC88" i="29" s="1"/>
  <c r="AK369" i="9"/>
  <c r="AL369" i="9"/>
  <c r="AM369" i="9"/>
  <c r="AN369" i="9"/>
  <c r="AO369" i="9"/>
  <c r="AP369" i="9"/>
  <c r="HC13" i="29" s="1"/>
  <c r="HC13" i="31" s="1"/>
  <c r="W370" i="9"/>
  <c r="X370" i="9"/>
  <c r="Y370" i="9"/>
  <c r="Z370" i="9"/>
  <c r="AA370" i="9"/>
  <c r="AB370" i="9"/>
  <c r="AC370" i="9"/>
  <c r="AE370" i="9"/>
  <c r="AF370" i="9"/>
  <c r="AG370" i="9"/>
  <c r="AH370" i="9"/>
  <c r="AI370" i="9"/>
  <c r="DN88" i="29" s="1"/>
  <c r="DN92" i="31" s="1"/>
  <c r="AK370" i="9"/>
  <c r="AL370" i="9"/>
  <c r="AM370" i="9"/>
  <c r="AN370" i="9"/>
  <c r="AO370" i="9"/>
  <c r="AP370" i="9"/>
  <c r="DN13" i="29" s="1"/>
  <c r="DN13" i="31" s="1"/>
  <c r="W371" i="9"/>
  <c r="X371" i="9"/>
  <c r="Y371" i="9"/>
  <c r="Z371" i="9"/>
  <c r="AA371" i="9"/>
  <c r="AB371" i="9"/>
  <c r="AC371" i="9"/>
  <c r="AE371" i="9"/>
  <c r="AF371" i="9"/>
  <c r="AG371" i="9"/>
  <c r="AH371" i="9"/>
  <c r="AI371" i="9"/>
  <c r="BV88" i="29" s="1"/>
  <c r="BV92" i="31" s="1"/>
  <c r="AK371" i="9"/>
  <c r="AL371" i="9"/>
  <c r="AM371" i="9"/>
  <c r="AN371" i="9"/>
  <c r="AO371" i="9"/>
  <c r="AP371" i="9"/>
  <c r="BV13" i="29" s="1"/>
  <c r="BV13" i="31" s="1"/>
  <c r="W372" i="9"/>
  <c r="X372" i="9"/>
  <c r="Y372" i="9"/>
  <c r="Z372" i="9"/>
  <c r="AA372" i="9"/>
  <c r="AB372" i="9"/>
  <c r="AC372" i="9"/>
  <c r="AE372" i="9"/>
  <c r="AF372" i="9"/>
  <c r="AG372" i="9"/>
  <c r="AH372" i="9"/>
  <c r="AI372" i="9"/>
  <c r="CO88" i="29" s="1"/>
  <c r="CO92" i="31" s="1"/>
  <c r="AK372" i="9"/>
  <c r="AL372" i="9"/>
  <c r="AM372" i="9"/>
  <c r="AN372" i="9"/>
  <c r="AO372" i="9"/>
  <c r="AP372" i="9"/>
  <c r="CO13" i="29" s="1"/>
  <c r="CO13" i="31" s="1"/>
  <c r="W373" i="9"/>
  <c r="X373" i="9"/>
  <c r="Y373" i="9"/>
  <c r="Z373" i="9"/>
  <c r="AA373" i="9"/>
  <c r="AB373" i="9"/>
  <c r="AC373" i="9"/>
  <c r="AE373" i="9"/>
  <c r="AF373" i="9"/>
  <c r="AG373" i="9"/>
  <c r="AH373" i="9"/>
  <c r="AI373" i="9"/>
  <c r="X88" i="29" s="1"/>
  <c r="X92" i="31" s="1"/>
  <c r="AK373" i="9"/>
  <c r="AL373" i="9"/>
  <c r="AM373" i="9"/>
  <c r="AN373" i="9"/>
  <c r="AO373" i="9"/>
  <c r="AP373" i="9"/>
  <c r="X13" i="29" s="1"/>
  <c r="X13" i="31" s="1"/>
  <c r="W374" i="9"/>
  <c r="X374" i="9"/>
  <c r="Y374" i="9"/>
  <c r="Z374" i="9"/>
  <c r="AA374" i="9"/>
  <c r="AB374" i="9"/>
  <c r="AC374" i="9"/>
  <c r="AE374" i="9"/>
  <c r="AF374" i="9"/>
  <c r="AG374" i="9"/>
  <c r="AH374" i="9"/>
  <c r="AI374" i="9"/>
  <c r="BK88" i="29" s="1"/>
  <c r="BK92" i="31" s="1"/>
  <c r="AK374" i="9"/>
  <c r="AL374" i="9"/>
  <c r="AM374" i="9"/>
  <c r="AN374" i="9"/>
  <c r="AO374" i="9"/>
  <c r="AP374" i="9"/>
  <c r="BK13" i="29" s="1"/>
  <c r="BK13" i="31" s="1"/>
  <c r="W375" i="9"/>
  <c r="X375" i="9"/>
  <c r="Y375" i="9"/>
  <c r="Z375" i="9"/>
  <c r="AA375" i="9"/>
  <c r="AB375" i="9"/>
  <c r="AC375" i="9"/>
  <c r="AE375" i="9"/>
  <c r="AF375" i="9"/>
  <c r="AG375" i="9"/>
  <c r="AH375" i="9"/>
  <c r="AI375" i="9"/>
  <c r="AT88" i="29" s="1"/>
  <c r="AT92" i="31" s="1"/>
  <c r="AK375" i="9"/>
  <c r="AL375" i="9"/>
  <c r="AM375" i="9"/>
  <c r="AN375" i="9"/>
  <c r="AO375" i="9"/>
  <c r="AP375" i="9"/>
  <c r="AT13" i="29" s="1"/>
  <c r="AT13" i="31" s="1"/>
  <c r="W376" i="9"/>
  <c r="X376" i="9"/>
  <c r="Y376" i="9"/>
  <c r="Z376" i="9"/>
  <c r="AA376" i="9"/>
  <c r="AB376" i="9"/>
  <c r="AC376" i="9"/>
  <c r="AE376" i="9"/>
  <c r="AF376" i="9"/>
  <c r="AG376" i="9"/>
  <c r="AH376" i="9"/>
  <c r="AI376" i="9"/>
  <c r="EK88" i="29" s="1"/>
  <c r="EK92" i="31" s="1"/>
  <c r="AK376" i="9"/>
  <c r="AL376" i="9"/>
  <c r="AM376" i="9"/>
  <c r="AN376" i="9"/>
  <c r="AO376" i="9"/>
  <c r="AP376" i="9"/>
  <c r="EK13" i="29" s="1"/>
  <c r="EK13" i="31" s="1"/>
  <c r="W377" i="9"/>
  <c r="X377" i="9"/>
  <c r="Y377" i="9"/>
  <c r="Z377" i="9"/>
  <c r="AA377" i="9"/>
  <c r="AB377" i="9"/>
  <c r="AC377" i="9"/>
  <c r="AE377" i="9"/>
  <c r="AF377" i="9"/>
  <c r="AG377" i="9"/>
  <c r="AH377" i="9"/>
  <c r="AI377" i="9"/>
  <c r="AZ88" i="29" s="1"/>
  <c r="AK377" i="9"/>
  <c r="AL377" i="9"/>
  <c r="AM377" i="9"/>
  <c r="AN377" i="9"/>
  <c r="AO377" i="9"/>
  <c r="AP377" i="9"/>
  <c r="AZ13" i="29" s="1"/>
  <c r="AZ13" i="31" s="1"/>
  <c r="W378" i="9"/>
  <c r="X378" i="9"/>
  <c r="Y378" i="9"/>
  <c r="Z378" i="9"/>
  <c r="AA378" i="9"/>
  <c r="AB378" i="9"/>
  <c r="AC378" i="9"/>
  <c r="AE378" i="9"/>
  <c r="AF378" i="9"/>
  <c r="AG378" i="9"/>
  <c r="AH378" i="9"/>
  <c r="AI378" i="9"/>
  <c r="GH88" i="29" s="1"/>
  <c r="GH92" i="31" s="1"/>
  <c r="AK378" i="9"/>
  <c r="AL378" i="9"/>
  <c r="AM378" i="9"/>
  <c r="AN378" i="9"/>
  <c r="AO378" i="9"/>
  <c r="AP378" i="9"/>
  <c r="GH13" i="29" s="1"/>
  <c r="GH13" i="31" s="1"/>
  <c r="W379" i="9"/>
  <c r="X379" i="9"/>
  <c r="Y379" i="9"/>
  <c r="Z379" i="9"/>
  <c r="AA379" i="9"/>
  <c r="AB379" i="9"/>
  <c r="AC379" i="9"/>
  <c r="AE379" i="9"/>
  <c r="AF379" i="9"/>
  <c r="AG379" i="9"/>
  <c r="AH379" i="9"/>
  <c r="AI379" i="9"/>
  <c r="FD88" i="29" s="1"/>
  <c r="FD92" i="31" s="1"/>
  <c r="AK379" i="9"/>
  <c r="AL379" i="9"/>
  <c r="AM379" i="9"/>
  <c r="AN379" i="9"/>
  <c r="AO379" i="9"/>
  <c r="AP379" i="9"/>
  <c r="FD13" i="29" s="1"/>
  <c r="FD13" i="31" s="1"/>
  <c r="FD173" i="31" s="1"/>
  <c r="W380" i="9"/>
  <c r="X380" i="9"/>
  <c r="Y380" i="9"/>
  <c r="Z380" i="9"/>
  <c r="AA380" i="9"/>
  <c r="AB380" i="9"/>
  <c r="AC380" i="9"/>
  <c r="AE380" i="9"/>
  <c r="AF380" i="9"/>
  <c r="AG380" i="9"/>
  <c r="AH380" i="9"/>
  <c r="AI380" i="9"/>
  <c r="BJ88" i="29" s="1"/>
  <c r="BJ92" i="31" s="1"/>
  <c r="AK380" i="9"/>
  <c r="AL380" i="9"/>
  <c r="AM380" i="9"/>
  <c r="AN380" i="9"/>
  <c r="AO380" i="9"/>
  <c r="AP380" i="9"/>
  <c r="BJ13" i="29" s="1"/>
  <c r="BJ13" i="31" s="1"/>
  <c r="W381" i="9"/>
  <c r="X381" i="9"/>
  <c r="Y381" i="9"/>
  <c r="Z381" i="9"/>
  <c r="AA381" i="9"/>
  <c r="AB381" i="9"/>
  <c r="AC381" i="9"/>
  <c r="AE381" i="9"/>
  <c r="AF381" i="9"/>
  <c r="AG381" i="9"/>
  <c r="AH381" i="9"/>
  <c r="AI381" i="9"/>
  <c r="AM88" i="29" s="1"/>
  <c r="AM92" i="31" s="1"/>
  <c r="AK381" i="9"/>
  <c r="AL381" i="9"/>
  <c r="AM381" i="9"/>
  <c r="AN381" i="9"/>
  <c r="AO381" i="9"/>
  <c r="AP381" i="9"/>
  <c r="AM13" i="29" s="1"/>
  <c r="AM13" i="31" s="1"/>
  <c r="W382" i="9"/>
  <c r="X382" i="9"/>
  <c r="Y382" i="9"/>
  <c r="Z382" i="9"/>
  <c r="AA382" i="9"/>
  <c r="AB382" i="9"/>
  <c r="AC382" i="9"/>
  <c r="AE382" i="9"/>
  <c r="AF382" i="9"/>
  <c r="AG382" i="9"/>
  <c r="AH382" i="9"/>
  <c r="AI382" i="9"/>
  <c r="IB88" i="29" s="1"/>
  <c r="AK382" i="9"/>
  <c r="AL382" i="9"/>
  <c r="AM382" i="9"/>
  <c r="AN382" i="9"/>
  <c r="AO382" i="9"/>
  <c r="AP382" i="9"/>
  <c r="IB13" i="29" s="1"/>
  <c r="IB13" i="31" s="1"/>
  <c r="W383" i="9"/>
  <c r="X383" i="9"/>
  <c r="Y383" i="9"/>
  <c r="Z383" i="9"/>
  <c r="AA383" i="9"/>
  <c r="AB383" i="9"/>
  <c r="AC383" i="9"/>
  <c r="AE383" i="9"/>
  <c r="AF383" i="9"/>
  <c r="AG383" i="9"/>
  <c r="AH383" i="9"/>
  <c r="AI383" i="9"/>
  <c r="BO88" i="29" s="1"/>
  <c r="BO92" i="31" s="1"/>
  <c r="AK383" i="9"/>
  <c r="AL383" i="9"/>
  <c r="AM383" i="9"/>
  <c r="AN383" i="9"/>
  <c r="AO383" i="9"/>
  <c r="AP383" i="9"/>
  <c r="BO13" i="29" s="1"/>
  <c r="BO13" i="31" s="1"/>
  <c r="W384" i="9"/>
  <c r="X384" i="9"/>
  <c r="Y384" i="9"/>
  <c r="Z384" i="9"/>
  <c r="AA384" i="9"/>
  <c r="AB384" i="9"/>
  <c r="AC384" i="9"/>
  <c r="AE384" i="9"/>
  <c r="AF384" i="9"/>
  <c r="AG384" i="9"/>
  <c r="AH384" i="9"/>
  <c r="AI384" i="9"/>
  <c r="CZ88" i="29" s="1"/>
  <c r="CZ92" i="31" s="1"/>
  <c r="AK384" i="9"/>
  <c r="AL384" i="9"/>
  <c r="AM384" i="9"/>
  <c r="AN384" i="9"/>
  <c r="AO384" i="9"/>
  <c r="AP384" i="9"/>
  <c r="CZ13" i="29" s="1"/>
  <c r="CZ13" i="31" s="1"/>
  <c r="W385" i="9"/>
  <c r="X385" i="9"/>
  <c r="Y385" i="9"/>
  <c r="Z385" i="9"/>
  <c r="AA385" i="9"/>
  <c r="AB385" i="9"/>
  <c r="AC385" i="9"/>
  <c r="AE385" i="9"/>
  <c r="AF385" i="9"/>
  <c r="AG385" i="9"/>
  <c r="AH385" i="9"/>
  <c r="AI385" i="9"/>
  <c r="IE88" i="29" s="1"/>
  <c r="AK385" i="9"/>
  <c r="AL385" i="9"/>
  <c r="AM385" i="9"/>
  <c r="AN385" i="9"/>
  <c r="AO385" i="9"/>
  <c r="AP385" i="9"/>
  <c r="IE13" i="29" s="1"/>
  <c r="IE13" i="31" s="1"/>
  <c r="W386" i="9"/>
  <c r="X386" i="9"/>
  <c r="Y386" i="9"/>
  <c r="Z386" i="9"/>
  <c r="AA386" i="9"/>
  <c r="AB386" i="9"/>
  <c r="AC386" i="9"/>
  <c r="AE386" i="9"/>
  <c r="AF386" i="9"/>
  <c r="AG386" i="9"/>
  <c r="AH386" i="9"/>
  <c r="AI386" i="9"/>
  <c r="CL88" i="29" s="1"/>
  <c r="CL92" i="31" s="1"/>
  <c r="AK386" i="9"/>
  <c r="AL386" i="9"/>
  <c r="AM386" i="9"/>
  <c r="AN386" i="9"/>
  <c r="AO386" i="9"/>
  <c r="AP386" i="9"/>
  <c r="CL13" i="29" s="1"/>
  <c r="CL13" i="31" s="1"/>
  <c r="CL173" i="31" s="1"/>
  <c r="CL114" i="31" s="1"/>
  <c r="W387" i="9"/>
  <c r="X387" i="9"/>
  <c r="Y387" i="9"/>
  <c r="Z387" i="9"/>
  <c r="AA387" i="9"/>
  <c r="AB387" i="9"/>
  <c r="AC387" i="9"/>
  <c r="AE387" i="9"/>
  <c r="AF387" i="9"/>
  <c r="AG387" i="9"/>
  <c r="AH387" i="9"/>
  <c r="AI387" i="9"/>
  <c r="HG88" i="29" s="1"/>
  <c r="HG92" i="31" s="1"/>
  <c r="AK387" i="9"/>
  <c r="AL387" i="9"/>
  <c r="AM387" i="9"/>
  <c r="AN387" i="9"/>
  <c r="AO387" i="9"/>
  <c r="AP387" i="9"/>
  <c r="HG13" i="29" s="1"/>
  <c r="HG13" i="31" s="1"/>
  <c r="W388" i="9"/>
  <c r="X388" i="9"/>
  <c r="Y388" i="9"/>
  <c r="Z388" i="9"/>
  <c r="AA388" i="9"/>
  <c r="AB388" i="9"/>
  <c r="AC388" i="9"/>
  <c r="AE388" i="9"/>
  <c r="AF388" i="9"/>
  <c r="AG388" i="9"/>
  <c r="AH388" i="9"/>
  <c r="AI388" i="9"/>
  <c r="HW88" i="29" s="1"/>
  <c r="AK388" i="9"/>
  <c r="AL388" i="9"/>
  <c r="AM388" i="9"/>
  <c r="AN388" i="9"/>
  <c r="AO388" i="9"/>
  <c r="AP388" i="9"/>
  <c r="HW13" i="29" s="1"/>
  <c r="HW13" i="31" s="1"/>
  <c r="W389" i="9"/>
  <c r="X389" i="9"/>
  <c r="Y389" i="9"/>
  <c r="Z389" i="9"/>
  <c r="AA389" i="9"/>
  <c r="AB389" i="9"/>
  <c r="AC389" i="9"/>
  <c r="AE389" i="9"/>
  <c r="AF389" i="9"/>
  <c r="AG389" i="9"/>
  <c r="AH389" i="9"/>
  <c r="AI389" i="9"/>
  <c r="CC88" i="29" s="1"/>
  <c r="CC92" i="31" s="1"/>
  <c r="AK389" i="9"/>
  <c r="AL389" i="9"/>
  <c r="AM389" i="9"/>
  <c r="AN389" i="9"/>
  <c r="AO389" i="9"/>
  <c r="AP389" i="9"/>
  <c r="CC13" i="29" s="1"/>
  <c r="CC13" i="31" s="1"/>
  <c r="W390" i="9"/>
  <c r="X390" i="9"/>
  <c r="Y390" i="9"/>
  <c r="Z390" i="9"/>
  <c r="AA390" i="9"/>
  <c r="AB390" i="9"/>
  <c r="AC390" i="9"/>
  <c r="AE390" i="9"/>
  <c r="AF390" i="9"/>
  <c r="AG390" i="9"/>
  <c r="AH390" i="9"/>
  <c r="AI390" i="9"/>
  <c r="GW88" i="29" s="1"/>
  <c r="GW92" i="31" s="1"/>
  <c r="AK390" i="9"/>
  <c r="AL390" i="9"/>
  <c r="AM390" i="9"/>
  <c r="AN390" i="9"/>
  <c r="AO390" i="9"/>
  <c r="AP390" i="9"/>
  <c r="GW13" i="29" s="1"/>
  <c r="GW13" i="31" s="1"/>
  <c r="W391" i="9"/>
  <c r="X391" i="9"/>
  <c r="Y391" i="9"/>
  <c r="Z391" i="9"/>
  <c r="AA391" i="9"/>
  <c r="AB391" i="9"/>
  <c r="AC391" i="9"/>
  <c r="AE391" i="9"/>
  <c r="AF391" i="9"/>
  <c r="AG391" i="9"/>
  <c r="AH391" i="9"/>
  <c r="AI391" i="9"/>
  <c r="BR88" i="29" s="1"/>
  <c r="BR92" i="31" s="1"/>
  <c r="AK391" i="9"/>
  <c r="AL391" i="9"/>
  <c r="AM391" i="9"/>
  <c r="AN391" i="9"/>
  <c r="AO391" i="9"/>
  <c r="AP391" i="9"/>
  <c r="BR13" i="29" s="1"/>
  <c r="BR13" i="31" s="1"/>
  <c r="W392" i="9"/>
  <c r="X392" i="9"/>
  <c r="Y392" i="9"/>
  <c r="Z392" i="9"/>
  <c r="AA392" i="9"/>
  <c r="AB392" i="9"/>
  <c r="AC392" i="9"/>
  <c r="AE392" i="9"/>
  <c r="AF392" i="9"/>
  <c r="AG392" i="9"/>
  <c r="AH392" i="9"/>
  <c r="AI392" i="9"/>
  <c r="BM88" i="29" s="1"/>
  <c r="BM92" i="31" s="1"/>
  <c r="AK392" i="9"/>
  <c r="AL392" i="9"/>
  <c r="AM392" i="9"/>
  <c r="AN392" i="9"/>
  <c r="AO392" i="9"/>
  <c r="AP392" i="9"/>
  <c r="BM13" i="29" s="1"/>
  <c r="BM13" i="31" s="1"/>
  <c r="W393" i="9"/>
  <c r="X393" i="9"/>
  <c r="Y393" i="9"/>
  <c r="Z393" i="9"/>
  <c r="AA393" i="9"/>
  <c r="AB393" i="9"/>
  <c r="AC393" i="9"/>
  <c r="AE393" i="9"/>
  <c r="AF393" i="9"/>
  <c r="AG393" i="9"/>
  <c r="AH393" i="9"/>
  <c r="AI393" i="9"/>
  <c r="GC88" i="29" s="1"/>
  <c r="GC92" i="31" s="1"/>
  <c r="AK393" i="9"/>
  <c r="AL393" i="9"/>
  <c r="AM393" i="9"/>
  <c r="AN393" i="9"/>
  <c r="AO393" i="9"/>
  <c r="AP393" i="9"/>
  <c r="GC13" i="29" s="1"/>
  <c r="GC13" i="31" s="1"/>
  <c r="W394" i="9"/>
  <c r="X394" i="9"/>
  <c r="Y394" i="9"/>
  <c r="Z394" i="9"/>
  <c r="AA394" i="9"/>
  <c r="AB394" i="9"/>
  <c r="AC394" i="9"/>
  <c r="AE394" i="9"/>
  <c r="AF394" i="9"/>
  <c r="AG394" i="9"/>
  <c r="AH394" i="9"/>
  <c r="AI394" i="9"/>
  <c r="CY88" i="29" s="1"/>
  <c r="CY92" i="31" s="1"/>
  <c r="AK394" i="9"/>
  <c r="AL394" i="9"/>
  <c r="AM394" i="9"/>
  <c r="AN394" i="9"/>
  <c r="AO394" i="9"/>
  <c r="AP394" i="9"/>
  <c r="CY13" i="29" s="1"/>
  <c r="CY13" i="31" s="1"/>
  <c r="W395" i="9"/>
  <c r="X395" i="9"/>
  <c r="Y395" i="9"/>
  <c r="Z395" i="9"/>
  <c r="AA395" i="9"/>
  <c r="AB395" i="9"/>
  <c r="AC395" i="9"/>
  <c r="AE395" i="9"/>
  <c r="AF395" i="9"/>
  <c r="AG395" i="9"/>
  <c r="AH395" i="9"/>
  <c r="AI395" i="9"/>
  <c r="E88" i="29" s="1"/>
  <c r="AK395" i="9"/>
  <c r="AL395" i="9"/>
  <c r="AM395" i="9"/>
  <c r="AN395" i="9"/>
  <c r="AO395" i="9"/>
  <c r="AP395" i="9"/>
  <c r="E13" i="29" s="1"/>
  <c r="E13" i="31" s="1"/>
  <c r="W396" i="9"/>
  <c r="X396" i="9"/>
  <c r="Y396" i="9"/>
  <c r="Z396" i="9"/>
  <c r="AA396" i="9"/>
  <c r="AB396" i="9"/>
  <c r="AC396" i="9"/>
  <c r="AE396" i="9"/>
  <c r="AF396" i="9"/>
  <c r="AG396" i="9"/>
  <c r="AH396" i="9"/>
  <c r="AI396" i="9"/>
  <c r="EA88" i="29" s="1"/>
  <c r="EA92" i="31" s="1"/>
  <c r="AK396" i="9"/>
  <c r="AL396" i="9"/>
  <c r="AM396" i="9"/>
  <c r="AN396" i="9"/>
  <c r="AO396" i="9"/>
  <c r="AP396" i="9"/>
  <c r="EA13" i="29" s="1"/>
  <c r="EA13" i="31" s="1"/>
  <c r="W397" i="9"/>
  <c r="X397" i="9"/>
  <c r="Y397" i="9"/>
  <c r="Z397" i="9"/>
  <c r="AA397" i="9"/>
  <c r="AB397" i="9"/>
  <c r="AC397" i="9"/>
  <c r="AE397" i="9"/>
  <c r="AF397" i="9"/>
  <c r="AG397" i="9"/>
  <c r="AH397" i="9"/>
  <c r="AI397" i="9"/>
  <c r="L88" i="29" s="1"/>
  <c r="L92" i="31" s="1"/>
  <c r="AK397" i="9"/>
  <c r="AL397" i="9"/>
  <c r="AM397" i="9"/>
  <c r="AN397" i="9"/>
  <c r="AO397" i="9"/>
  <c r="AP397" i="9"/>
  <c r="L13" i="29" s="1"/>
  <c r="L13" i="31" s="1"/>
  <c r="W398" i="9"/>
  <c r="X398" i="9"/>
  <c r="Y398" i="9"/>
  <c r="Z398" i="9"/>
  <c r="AA398" i="9"/>
  <c r="AB398" i="9"/>
  <c r="AC398" i="9"/>
  <c r="AE398" i="9"/>
  <c r="AF398" i="9"/>
  <c r="AG398" i="9"/>
  <c r="AH398" i="9"/>
  <c r="AI398" i="9"/>
  <c r="GA88" i="29" s="1"/>
  <c r="GA92" i="31" s="1"/>
  <c r="AK398" i="9"/>
  <c r="AL398" i="9"/>
  <c r="AM398" i="9"/>
  <c r="AN398" i="9"/>
  <c r="AO398" i="9"/>
  <c r="AP398" i="9"/>
  <c r="GA13" i="29" s="1"/>
  <c r="GA13" i="31" s="1"/>
  <c r="W399" i="9"/>
  <c r="X399" i="9"/>
  <c r="Y399" i="9"/>
  <c r="Z399" i="9"/>
  <c r="AA399" i="9"/>
  <c r="AB399" i="9"/>
  <c r="AC399" i="9"/>
  <c r="AE399" i="9"/>
  <c r="AF399" i="9"/>
  <c r="AG399" i="9"/>
  <c r="AH399" i="9"/>
  <c r="AI399" i="9"/>
  <c r="HQ88" i="29" s="1"/>
  <c r="HQ92" i="31" s="1"/>
  <c r="AK399" i="9"/>
  <c r="AL399" i="9"/>
  <c r="AM399" i="9"/>
  <c r="AN399" i="9"/>
  <c r="AO399" i="9"/>
  <c r="AP399" i="9"/>
  <c r="HQ13" i="29" s="1"/>
  <c r="HQ13" i="31" s="1"/>
  <c r="W400" i="9"/>
  <c r="X400" i="9"/>
  <c r="Y400" i="9"/>
  <c r="Z400" i="9"/>
  <c r="AA400" i="9"/>
  <c r="AB400" i="9"/>
  <c r="AC400" i="9"/>
  <c r="AE400" i="9"/>
  <c r="AF400" i="9"/>
  <c r="AG400" i="9"/>
  <c r="AH400" i="9"/>
  <c r="AI400" i="9"/>
  <c r="HR88" i="29" s="1"/>
  <c r="AK400" i="9"/>
  <c r="AL400" i="9"/>
  <c r="AM400" i="9"/>
  <c r="AN400" i="9"/>
  <c r="AO400" i="9"/>
  <c r="AP400" i="9"/>
  <c r="HR13" i="29" s="1"/>
  <c r="HR13" i="31" s="1"/>
  <c r="W401" i="9"/>
  <c r="X401" i="9"/>
  <c r="Y401" i="9"/>
  <c r="Z401" i="9"/>
  <c r="AA401" i="9"/>
  <c r="AB401" i="9"/>
  <c r="AC401" i="9"/>
  <c r="AE401" i="9"/>
  <c r="AF401" i="9"/>
  <c r="AG401" i="9"/>
  <c r="AH401" i="9"/>
  <c r="AI401" i="9"/>
  <c r="IV88" i="29" s="1"/>
  <c r="AK401" i="9"/>
  <c r="AL401" i="9"/>
  <c r="AM401" i="9"/>
  <c r="AN401" i="9"/>
  <c r="AO401" i="9"/>
  <c r="AP401" i="9"/>
  <c r="IV13" i="29" s="1"/>
  <c r="IV13" i="31" s="1"/>
  <c r="W402" i="9"/>
  <c r="X402" i="9"/>
  <c r="Y402" i="9"/>
  <c r="Z402" i="9"/>
  <c r="AA402" i="9"/>
  <c r="AB402" i="9"/>
  <c r="AC402" i="9"/>
  <c r="AE402" i="9"/>
  <c r="AF402" i="9"/>
  <c r="AG402" i="9"/>
  <c r="AH402" i="9"/>
  <c r="AI402" i="9"/>
  <c r="DX88" i="29" s="1"/>
  <c r="DX92" i="31" s="1"/>
  <c r="AK402" i="9"/>
  <c r="AL402" i="9"/>
  <c r="AM402" i="9"/>
  <c r="AN402" i="9"/>
  <c r="AO402" i="9"/>
  <c r="AP402" i="9"/>
  <c r="DX13" i="29" s="1"/>
  <c r="DX13" i="31" s="1"/>
  <c r="DX173" i="31" s="1"/>
  <c r="DX114" i="31" s="1"/>
  <c r="W403" i="9"/>
  <c r="X403" i="9"/>
  <c r="Y403" i="9"/>
  <c r="Z403" i="9"/>
  <c r="AA403" i="9"/>
  <c r="AB403" i="9"/>
  <c r="AC403" i="9"/>
  <c r="AE403" i="9"/>
  <c r="AF403" i="9"/>
  <c r="AG403" i="9"/>
  <c r="AH403" i="9"/>
  <c r="AI403" i="9"/>
  <c r="EW88" i="29" s="1"/>
  <c r="EW92" i="31" s="1"/>
  <c r="AK403" i="9"/>
  <c r="AL403" i="9"/>
  <c r="AM403" i="9"/>
  <c r="AN403" i="9"/>
  <c r="AO403" i="9"/>
  <c r="AP403" i="9"/>
  <c r="EW13" i="29" s="1"/>
  <c r="EW13" i="31" s="1"/>
  <c r="W404" i="9"/>
  <c r="X404" i="9"/>
  <c r="Y404" i="9"/>
  <c r="Z404" i="9"/>
  <c r="AA404" i="9"/>
  <c r="AB404" i="9"/>
  <c r="AC404" i="9"/>
  <c r="AE404" i="9"/>
  <c r="AF404" i="9"/>
  <c r="AG404" i="9"/>
  <c r="AH404" i="9"/>
  <c r="AI404" i="9"/>
  <c r="GO88" i="29" s="1"/>
  <c r="AK404" i="9"/>
  <c r="AL404" i="9"/>
  <c r="AM404" i="9"/>
  <c r="AN404" i="9"/>
  <c r="AO404" i="9"/>
  <c r="AP404" i="9"/>
  <c r="GO13" i="29" s="1"/>
  <c r="GO13" i="31" s="1"/>
  <c r="W405" i="9"/>
  <c r="X405" i="9"/>
  <c r="Y405" i="9"/>
  <c r="Z405" i="9"/>
  <c r="AA405" i="9"/>
  <c r="AB405" i="9"/>
  <c r="AC405" i="9"/>
  <c r="AE405" i="9"/>
  <c r="AF405" i="9"/>
  <c r="AG405" i="9"/>
  <c r="AH405" i="9"/>
  <c r="AI405" i="9"/>
  <c r="HO88" i="29" s="1"/>
  <c r="HO92" i="31" s="1"/>
  <c r="AK405" i="9"/>
  <c r="AL405" i="9"/>
  <c r="AM405" i="9"/>
  <c r="AN405" i="9"/>
  <c r="AO405" i="9"/>
  <c r="AP405" i="9"/>
  <c r="HO13" i="29" s="1"/>
  <c r="HO13" i="31" s="1"/>
  <c r="HO173" i="31" s="1"/>
  <c r="W406" i="9"/>
  <c r="X406" i="9"/>
  <c r="Y406" i="9"/>
  <c r="Z406" i="9"/>
  <c r="AA406" i="9"/>
  <c r="AB406" i="9"/>
  <c r="AC406" i="9"/>
  <c r="AE406" i="9"/>
  <c r="AF406" i="9"/>
  <c r="AG406" i="9"/>
  <c r="AH406" i="9"/>
  <c r="AI406" i="9"/>
  <c r="G88" i="29" s="1"/>
  <c r="G92" i="31" s="1"/>
  <c r="AK406" i="9"/>
  <c r="AL406" i="9"/>
  <c r="AM406" i="9"/>
  <c r="AN406" i="9"/>
  <c r="AO406" i="9"/>
  <c r="AP406" i="9"/>
  <c r="G13" i="29" s="1"/>
  <c r="G13" i="31" s="1"/>
  <c r="W407" i="9"/>
  <c r="X407" i="9"/>
  <c r="Y407" i="9"/>
  <c r="Z407" i="9"/>
  <c r="AA407" i="9"/>
  <c r="AB407" i="9"/>
  <c r="AC407" i="9"/>
  <c r="AE407" i="9"/>
  <c r="AF407" i="9"/>
  <c r="AG407" i="9"/>
  <c r="AH407" i="9"/>
  <c r="AI407" i="9"/>
  <c r="IQ88" i="29" s="1"/>
  <c r="AK407" i="9"/>
  <c r="AL407" i="9"/>
  <c r="AM407" i="9"/>
  <c r="AN407" i="9"/>
  <c r="AO407" i="9"/>
  <c r="AP407" i="9"/>
  <c r="IQ13" i="29" s="1"/>
  <c r="IQ13" i="31" s="1"/>
  <c r="W408" i="9"/>
  <c r="X408" i="9"/>
  <c r="Y408" i="9"/>
  <c r="Z408" i="9"/>
  <c r="AA408" i="9"/>
  <c r="AB408" i="9"/>
  <c r="AC408" i="9"/>
  <c r="AE408" i="9"/>
  <c r="AF408" i="9"/>
  <c r="AG408" i="9"/>
  <c r="AH408" i="9"/>
  <c r="AI408" i="9"/>
  <c r="EH88" i="29" s="1"/>
  <c r="EH92" i="31" s="1"/>
  <c r="AK408" i="9"/>
  <c r="AL408" i="9"/>
  <c r="AM408" i="9"/>
  <c r="AN408" i="9"/>
  <c r="AO408" i="9"/>
  <c r="AP408" i="9"/>
  <c r="EH13" i="29" s="1"/>
  <c r="EH13" i="31" s="1"/>
  <c r="W409" i="9"/>
  <c r="X409" i="9"/>
  <c r="Y409" i="9"/>
  <c r="Z409" i="9"/>
  <c r="AA409" i="9"/>
  <c r="AB409" i="9"/>
  <c r="AC409" i="9"/>
  <c r="AE409" i="9"/>
  <c r="AF409" i="9"/>
  <c r="AG409" i="9"/>
  <c r="AH409" i="9"/>
  <c r="AI409" i="9"/>
  <c r="DD88" i="29" s="1"/>
  <c r="DD92" i="31" s="1"/>
  <c r="AK409" i="9"/>
  <c r="AL409" i="9"/>
  <c r="AM409" i="9"/>
  <c r="AN409" i="9"/>
  <c r="AO409" i="9"/>
  <c r="AP409" i="9"/>
  <c r="DD13" i="29" s="1"/>
  <c r="DD13" i="31" s="1"/>
  <c r="DD173" i="31" s="1"/>
  <c r="DD114" i="31" s="1"/>
  <c r="W410" i="9"/>
  <c r="X410" i="9"/>
  <c r="Y410" i="9"/>
  <c r="Z410" i="9"/>
  <c r="AA410" i="9"/>
  <c r="AB410" i="9"/>
  <c r="AC410" i="9"/>
  <c r="AE410" i="9"/>
  <c r="AF410" i="9"/>
  <c r="AG410" i="9"/>
  <c r="AH410" i="9"/>
  <c r="AI410" i="9"/>
  <c r="HX88" i="29" s="1"/>
  <c r="AK410" i="9"/>
  <c r="AL410" i="9"/>
  <c r="AM410" i="9"/>
  <c r="AN410" i="9"/>
  <c r="AO410" i="9"/>
  <c r="AP410" i="9"/>
  <c r="HX13" i="29" s="1"/>
  <c r="HX13" i="31" s="1"/>
  <c r="W411" i="9"/>
  <c r="X411" i="9"/>
  <c r="Y411" i="9"/>
  <c r="Z411" i="9"/>
  <c r="AA411" i="9"/>
  <c r="AB411" i="9"/>
  <c r="AC411" i="9"/>
  <c r="AE411" i="9"/>
  <c r="AF411" i="9"/>
  <c r="AG411" i="9"/>
  <c r="AH411" i="9"/>
  <c r="AI411" i="9"/>
  <c r="HI88" i="29" s="1"/>
  <c r="HI92" i="31" s="1"/>
  <c r="AK411" i="9"/>
  <c r="AL411" i="9"/>
  <c r="AM411" i="9"/>
  <c r="AN411" i="9"/>
  <c r="AO411" i="9"/>
  <c r="AP411" i="9"/>
  <c r="HI13" i="29" s="1"/>
  <c r="HI13" i="31" s="1"/>
  <c r="W412" i="9"/>
  <c r="X412" i="9"/>
  <c r="Y412" i="9"/>
  <c r="Z412" i="9"/>
  <c r="AA412" i="9"/>
  <c r="AB412" i="9"/>
  <c r="AC412" i="9"/>
  <c r="AE412" i="9"/>
  <c r="AF412" i="9"/>
  <c r="AG412" i="9"/>
  <c r="AH412" i="9"/>
  <c r="AI412" i="9"/>
  <c r="DZ88" i="29" s="1"/>
  <c r="DZ92" i="31" s="1"/>
  <c r="AK412" i="9"/>
  <c r="AL412" i="9"/>
  <c r="AM412" i="9"/>
  <c r="AN412" i="9"/>
  <c r="AO412" i="9"/>
  <c r="AP412" i="9"/>
  <c r="DZ13" i="29" s="1"/>
  <c r="DZ13" i="31" s="1"/>
  <c r="W413" i="9"/>
  <c r="X413" i="9"/>
  <c r="Y413" i="9"/>
  <c r="Z413" i="9"/>
  <c r="AA413" i="9"/>
  <c r="AB413" i="9"/>
  <c r="AC413" i="9"/>
  <c r="AE413" i="9"/>
  <c r="AF413" i="9"/>
  <c r="AG413" i="9"/>
  <c r="AH413" i="9"/>
  <c r="AI413" i="9"/>
  <c r="IA88" i="29" s="1"/>
  <c r="AK413" i="9"/>
  <c r="AL413" i="9"/>
  <c r="AM413" i="9"/>
  <c r="AN413" i="9"/>
  <c r="AO413" i="9"/>
  <c r="AP413" i="9"/>
  <c r="IA13" i="29" s="1"/>
  <c r="IA13" i="31" s="1"/>
  <c r="W414" i="9"/>
  <c r="X414" i="9"/>
  <c r="Y414" i="9"/>
  <c r="Z414" i="9"/>
  <c r="AA414" i="9"/>
  <c r="AB414" i="9"/>
  <c r="AC414" i="9"/>
  <c r="AE414" i="9"/>
  <c r="AF414" i="9"/>
  <c r="AG414" i="9"/>
  <c r="AH414" i="9"/>
  <c r="AI414" i="9"/>
  <c r="GE88" i="29" s="1"/>
  <c r="GE92" i="31" s="1"/>
  <c r="AK414" i="9"/>
  <c r="AL414" i="9"/>
  <c r="AM414" i="9"/>
  <c r="AN414" i="9"/>
  <c r="AO414" i="9"/>
  <c r="AP414" i="9"/>
  <c r="GE13" i="29" s="1"/>
  <c r="GE13" i="31" s="1"/>
  <c r="GE173" i="31" s="1"/>
  <c r="W415" i="9"/>
  <c r="X415" i="9"/>
  <c r="Y415" i="9"/>
  <c r="Z415" i="9"/>
  <c r="AA415" i="9"/>
  <c r="AB415" i="9"/>
  <c r="AC415" i="9"/>
  <c r="AE415" i="9"/>
  <c r="AF415" i="9"/>
  <c r="AG415" i="9"/>
  <c r="AH415" i="9"/>
  <c r="AI415" i="9"/>
  <c r="IR88" i="29" s="1"/>
  <c r="IR92" i="31" s="1"/>
  <c r="AK415" i="9"/>
  <c r="AL415" i="9"/>
  <c r="AM415" i="9"/>
  <c r="AN415" i="9"/>
  <c r="AO415" i="9"/>
  <c r="AP415" i="9"/>
  <c r="IR13" i="29" s="1"/>
  <c r="IR13" i="31" s="1"/>
  <c r="W416" i="9"/>
  <c r="X416" i="9"/>
  <c r="Y416" i="9"/>
  <c r="Z416" i="9"/>
  <c r="AA416" i="9"/>
  <c r="AB416" i="9"/>
  <c r="AC416" i="9"/>
  <c r="AE416" i="9"/>
  <c r="AF416" i="9"/>
  <c r="AG416" i="9"/>
  <c r="AH416" i="9"/>
  <c r="AI416" i="9"/>
  <c r="GG88" i="29" s="1"/>
  <c r="GG92" i="31" s="1"/>
  <c r="AK416" i="9"/>
  <c r="AL416" i="9"/>
  <c r="AM416" i="9"/>
  <c r="AN416" i="9"/>
  <c r="AO416" i="9"/>
  <c r="AP416" i="9"/>
  <c r="GG13" i="29" s="1"/>
  <c r="GG13" i="31" s="1"/>
  <c r="W417" i="9"/>
  <c r="X417" i="9"/>
  <c r="Y417" i="9"/>
  <c r="Z417" i="9"/>
  <c r="AA417" i="9"/>
  <c r="AB417" i="9"/>
  <c r="AC417" i="9"/>
  <c r="AE417" i="9"/>
  <c r="AF417" i="9"/>
  <c r="AG417" i="9"/>
  <c r="AH417" i="9"/>
  <c r="AI417" i="9"/>
  <c r="EB88" i="29" s="1"/>
  <c r="EB92" i="31" s="1"/>
  <c r="AK417" i="9"/>
  <c r="AL417" i="9"/>
  <c r="AM417" i="9"/>
  <c r="AN417" i="9"/>
  <c r="AO417" i="9"/>
  <c r="AP417" i="9"/>
  <c r="EB13" i="29" s="1"/>
  <c r="EB13" i="31" s="1"/>
  <c r="W418" i="9"/>
  <c r="X418" i="9"/>
  <c r="Y418" i="9"/>
  <c r="Z418" i="9"/>
  <c r="AA418" i="9"/>
  <c r="AB418" i="9"/>
  <c r="AC418" i="9"/>
  <c r="AE418" i="9"/>
  <c r="AF418" i="9"/>
  <c r="AG418" i="9"/>
  <c r="AH418" i="9"/>
  <c r="AI418" i="9"/>
  <c r="R88" i="29" s="1"/>
  <c r="R92" i="31" s="1"/>
  <c r="AK418" i="9"/>
  <c r="AL418" i="9"/>
  <c r="AM418" i="9"/>
  <c r="AN418" i="9"/>
  <c r="AO418" i="9"/>
  <c r="AP418" i="9"/>
  <c r="R13" i="29" s="1"/>
  <c r="R13" i="31" s="1"/>
  <c r="W419" i="9"/>
  <c r="X419" i="9"/>
  <c r="Y419" i="9"/>
  <c r="Z419" i="9"/>
  <c r="AA419" i="9"/>
  <c r="AB419" i="9"/>
  <c r="AC419" i="9"/>
  <c r="AE419" i="9"/>
  <c r="AF419" i="9"/>
  <c r="AG419" i="9"/>
  <c r="AH419" i="9"/>
  <c r="AI419" i="9"/>
  <c r="BL88" i="29" s="1"/>
  <c r="BL92" i="31" s="1"/>
  <c r="AK419" i="9"/>
  <c r="AL419" i="9"/>
  <c r="AM419" i="9"/>
  <c r="AN419" i="9"/>
  <c r="AO419" i="9"/>
  <c r="AP419" i="9"/>
  <c r="BL13" i="29" s="1"/>
  <c r="BL13" i="31" s="1"/>
  <c r="W420" i="9"/>
  <c r="X420" i="9"/>
  <c r="Y420" i="9"/>
  <c r="Z420" i="9"/>
  <c r="AA420" i="9"/>
  <c r="AB420" i="9"/>
  <c r="AC420" i="9"/>
  <c r="AE420" i="9"/>
  <c r="AF420" i="9"/>
  <c r="AG420" i="9"/>
  <c r="AH420" i="9"/>
  <c r="AI420" i="9"/>
  <c r="EJ88" i="29" s="1"/>
  <c r="EJ92" i="31" s="1"/>
  <c r="AK420" i="9"/>
  <c r="AL420" i="9"/>
  <c r="AM420" i="9"/>
  <c r="AN420" i="9"/>
  <c r="AO420" i="9"/>
  <c r="AP420" i="9"/>
  <c r="EJ13" i="29" s="1"/>
  <c r="EJ13" i="31" s="1"/>
  <c r="W421" i="9"/>
  <c r="X421" i="9"/>
  <c r="Y421" i="9"/>
  <c r="Z421" i="9"/>
  <c r="AA421" i="9"/>
  <c r="AB421" i="9"/>
  <c r="AC421" i="9"/>
  <c r="AE421" i="9"/>
  <c r="AF421" i="9"/>
  <c r="AG421" i="9"/>
  <c r="AH421" i="9"/>
  <c r="AI421" i="9"/>
  <c r="FP88" i="29" s="1"/>
  <c r="AK421" i="9"/>
  <c r="AL421" i="9"/>
  <c r="AM421" i="9"/>
  <c r="AN421" i="9"/>
  <c r="AO421" i="9"/>
  <c r="AP421" i="9"/>
  <c r="FP13" i="29" s="1"/>
  <c r="FP13" i="31" s="1"/>
  <c r="W422" i="9"/>
  <c r="X422" i="9"/>
  <c r="Y422" i="9"/>
  <c r="Z422" i="9"/>
  <c r="AA422" i="9"/>
  <c r="AB422" i="9"/>
  <c r="AC422" i="9"/>
  <c r="AE422" i="9"/>
  <c r="AF422" i="9"/>
  <c r="AG422" i="9"/>
  <c r="AH422" i="9"/>
  <c r="AI422" i="9"/>
  <c r="EV88" i="29" s="1"/>
  <c r="EV92" i="31" s="1"/>
  <c r="AK422" i="9"/>
  <c r="AL422" i="9"/>
  <c r="AM422" i="9"/>
  <c r="AN422" i="9"/>
  <c r="AO422" i="9"/>
  <c r="AP422" i="9"/>
  <c r="EV13" i="29" s="1"/>
  <c r="EV13" i="31" s="1"/>
  <c r="W423" i="9"/>
  <c r="X423" i="9"/>
  <c r="Y423" i="9"/>
  <c r="Z423" i="9"/>
  <c r="AA423" i="9"/>
  <c r="AB423" i="9"/>
  <c r="AC423" i="9"/>
  <c r="AE423" i="9"/>
  <c r="AF423" i="9"/>
  <c r="AG423" i="9"/>
  <c r="AH423" i="9"/>
  <c r="AI423" i="9"/>
  <c r="IJ88" i="29" s="1"/>
  <c r="IJ92" i="31" s="1"/>
  <c r="AK423" i="9"/>
  <c r="AL423" i="9"/>
  <c r="AM423" i="9"/>
  <c r="AN423" i="9"/>
  <c r="AO423" i="9"/>
  <c r="AP423" i="9"/>
  <c r="IJ13" i="29" s="1"/>
  <c r="IJ13" i="31" s="1"/>
  <c r="W424" i="9"/>
  <c r="X424" i="9"/>
  <c r="Y424" i="9"/>
  <c r="Z424" i="9"/>
  <c r="AA424" i="9"/>
  <c r="AB424" i="9"/>
  <c r="AC424" i="9"/>
  <c r="AE424" i="9"/>
  <c r="AF424" i="9"/>
  <c r="AG424" i="9"/>
  <c r="AH424" i="9"/>
  <c r="AI424" i="9"/>
  <c r="HA88" i="29" s="1"/>
  <c r="HA92" i="31" s="1"/>
  <c r="AK424" i="9"/>
  <c r="AL424" i="9"/>
  <c r="AM424" i="9"/>
  <c r="AN424" i="9"/>
  <c r="AO424" i="9"/>
  <c r="AP424" i="9"/>
  <c r="HA13" i="29" s="1"/>
  <c r="HA13" i="31" s="1"/>
  <c r="W425" i="9"/>
  <c r="X425" i="9"/>
  <c r="Y425" i="9"/>
  <c r="Z425" i="9"/>
  <c r="AA425" i="9"/>
  <c r="AB425" i="9"/>
  <c r="AC425" i="9"/>
  <c r="AE425" i="9"/>
  <c r="AF425" i="9"/>
  <c r="AG425" i="9"/>
  <c r="AH425" i="9"/>
  <c r="AI425" i="9"/>
  <c r="GV88" i="29" s="1"/>
  <c r="AK425" i="9"/>
  <c r="AL425" i="9"/>
  <c r="AM425" i="9"/>
  <c r="AN425" i="9"/>
  <c r="AO425" i="9"/>
  <c r="AP425" i="9"/>
  <c r="GV13" i="29" s="1"/>
  <c r="GV13" i="31" s="1"/>
  <c r="W426" i="9"/>
  <c r="X426" i="9"/>
  <c r="Y426" i="9"/>
  <c r="Z426" i="9"/>
  <c r="AA426" i="9"/>
  <c r="AB426" i="9"/>
  <c r="AC426" i="9"/>
  <c r="AE426" i="9"/>
  <c r="AF426" i="9"/>
  <c r="AG426" i="9"/>
  <c r="AH426" i="9"/>
  <c r="AI426" i="9"/>
  <c r="EM88" i="29" s="1"/>
  <c r="EM92" i="31" s="1"/>
  <c r="AK426" i="9"/>
  <c r="AL426" i="9"/>
  <c r="AM426" i="9"/>
  <c r="AN426" i="9"/>
  <c r="AO426" i="9"/>
  <c r="AP426" i="9"/>
  <c r="EM13" i="29" s="1"/>
  <c r="EM13" i="31" s="1"/>
  <c r="W427" i="9"/>
  <c r="X427" i="9"/>
  <c r="Y427" i="9"/>
  <c r="Z427" i="9"/>
  <c r="AA427" i="9"/>
  <c r="AB427" i="9"/>
  <c r="AC427" i="9"/>
  <c r="AE427" i="9"/>
  <c r="AF427" i="9"/>
  <c r="AG427" i="9"/>
  <c r="AH427" i="9"/>
  <c r="AI427" i="9"/>
  <c r="AV88" i="29" s="1"/>
  <c r="AV92" i="31" s="1"/>
  <c r="AK427" i="9"/>
  <c r="AL427" i="9"/>
  <c r="AM427" i="9"/>
  <c r="AN427" i="9"/>
  <c r="AO427" i="9"/>
  <c r="AP427" i="9"/>
  <c r="AV13" i="29" s="1"/>
  <c r="AV13" i="31" s="1"/>
  <c r="W428" i="9"/>
  <c r="X428" i="9"/>
  <c r="Y428" i="9"/>
  <c r="Z428" i="9"/>
  <c r="AA428" i="9"/>
  <c r="AB428" i="9"/>
  <c r="AC428" i="9"/>
  <c r="AE428" i="9"/>
  <c r="AF428" i="9"/>
  <c r="AG428" i="9"/>
  <c r="AH428" i="9"/>
  <c r="AI428" i="9"/>
  <c r="FU88" i="29" s="1"/>
  <c r="FU92" i="31" s="1"/>
  <c r="AK428" i="9"/>
  <c r="AL428" i="9"/>
  <c r="AM428" i="9"/>
  <c r="AN428" i="9"/>
  <c r="AO428" i="9"/>
  <c r="AP428" i="9"/>
  <c r="FU13" i="29" s="1"/>
  <c r="FU13" i="31" s="1"/>
  <c r="W429" i="9"/>
  <c r="X429" i="9"/>
  <c r="Y429" i="9"/>
  <c r="Z429" i="9"/>
  <c r="AA429" i="9"/>
  <c r="AB429" i="9"/>
  <c r="AC429" i="9"/>
  <c r="AE429" i="9"/>
  <c r="AF429" i="9"/>
  <c r="AG429" i="9"/>
  <c r="AH429" i="9"/>
  <c r="AI429" i="9"/>
  <c r="DQ88" i="29" s="1"/>
  <c r="DQ92" i="31" s="1"/>
  <c r="AK429" i="9"/>
  <c r="AL429" i="9"/>
  <c r="AM429" i="9"/>
  <c r="AN429" i="9"/>
  <c r="AO429" i="9"/>
  <c r="AP429" i="9"/>
  <c r="DQ13" i="29" s="1"/>
  <c r="DQ13" i="31" s="1"/>
  <c r="W430" i="9"/>
  <c r="X430" i="9"/>
  <c r="Y430" i="9"/>
  <c r="Z430" i="9"/>
  <c r="AA430" i="9"/>
  <c r="AB430" i="9"/>
  <c r="AC430" i="9"/>
  <c r="AE430" i="9"/>
  <c r="AF430" i="9"/>
  <c r="AG430" i="9"/>
  <c r="AH430" i="9"/>
  <c r="AI430" i="9"/>
  <c r="GL88" i="29" s="1"/>
  <c r="GL92" i="31" s="1"/>
  <c r="AK430" i="9"/>
  <c r="AL430" i="9"/>
  <c r="AM430" i="9"/>
  <c r="AN430" i="9"/>
  <c r="AO430" i="9"/>
  <c r="AP430" i="9"/>
  <c r="GL13" i="29" s="1"/>
  <c r="GL13" i="31" s="1"/>
  <c r="W431" i="9"/>
  <c r="X431" i="9"/>
  <c r="Y431" i="9"/>
  <c r="Z431" i="9"/>
  <c r="AA431" i="9"/>
  <c r="AB431" i="9"/>
  <c r="AC431" i="9"/>
  <c r="AE431" i="9"/>
  <c r="AF431" i="9"/>
  <c r="AG431" i="9"/>
  <c r="AH431" i="9"/>
  <c r="AI431" i="9"/>
  <c r="DO88" i="29" s="1"/>
  <c r="DO92" i="31" s="1"/>
  <c r="AK431" i="9"/>
  <c r="AL431" i="9"/>
  <c r="AM431" i="9"/>
  <c r="AN431" i="9"/>
  <c r="AO431" i="9"/>
  <c r="AP431" i="9"/>
  <c r="DO13" i="29" s="1"/>
  <c r="DO13" i="31" s="1"/>
  <c r="W432" i="9"/>
  <c r="X432" i="9"/>
  <c r="Y432" i="9"/>
  <c r="Z432" i="9"/>
  <c r="AA432" i="9"/>
  <c r="AB432" i="9"/>
  <c r="AC432" i="9"/>
  <c r="AE432" i="9"/>
  <c r="AF432" i="9"/>
  <c r="AG432" i="9"/>
  <c r="AH432" i="9"/>
  <c r="AI432" i="9"/>
  <c r="CH88" i="29" s="1"/>
  <c r="CH92" i="31" s="1"/>
  <c r="AK432" i="9"/>
  <c r="AL432" i="9"/>
  <c r="AM432" i="9"/>
  <c r="AN432" i="9"/>
  <c r="AO432" i="9"/>
  <c r="AP432" i="9"/>
  <c r="CH13" i="29" s="1"/>
  <c r="CH13" i="31" s="1"/>
  <c r="CH173" i="31" s="1"/>
  <c r="CH114" i="31" s="1"/>
  <c r="W433" i="9"/>
  <c r="X433" i="9"/>
  <c r="Y433" i="9"/>
  <c r="Z433" i="9"/>
  <c r="AA433" i="9"/>
  <c r="AB433" i="9"/>
  <c r="AC433" i="9"/>
  <c r="AE433" i="9"/>
  <c r="AF433" i="9"/>
  <c r="AG433" i="9"/>
  <c r="AH433" i="9"/>
  <c r="AI433" i="9"/>
  <c r="FS88" i="29" s="1"/>
  <c r="FS92" i="31" s="1"/>
  <c r="AK433" i="9"/>
  <c r="AL433" i="9"/>
  <c r="AM433" i="9"/>
  <c r="AN433" i="9"/>
  <c r="AO433" i="9"/>
  <c r="AP433" i="9"/>
  <c r="FS13" i="29" s="1"/>
  <c r="FS13" i="31" s="1"/>
  <c r="W434" i="9"/>
  <c r="X434" i="9"/>
  <c r="Y434" i="9"/>
  <c r="Z434" i="9"/>
  <c r="AA434" i="9"/>
  <c r="AB434" i="9"/>
  <c r="AC434" i="9"/>
  <c r="AE434" i="9"/>
  <c r="AF434" i="9"/>
  <c r="AG434" i="9"/>
  <c r="AH434" i="9"/>
  <c r="AI434" i="9"/>
  <c r="HP88" i="29" s="1"/>
  <c r="AK434" i="9"/>
  <c r="AL434" i="9"/>
  <c r="AM434" i="9"/>
  <c r="AN434" i="9"/>
  <c r="AO434" i="9"/>
  <c r="AP434" i="9"/>
  <c r="HP13" i="29" s="1"/>
  <c r="HP13" i="31" s="1"/>
  <c r="W435" i="9"/>
  <c r="X435" i="9"/>
  <c r="Y435" i="9"/>
  <c r="Z435" i="9"/>
  <c r="AA435" i="9"/>
  <c r="AB435" i="9"/>
  <c r="AC435" i="9"/>
  <c r="AE435" i="9"/>
  <c r="AF435" i="9"/>
  <c r="AG435" i="9"/>
  <c r="AH435" i="9"/>
  <c r="AI435" i="9"/>
  <c r="HY88" i="29" s="1"/>
  <c r="AK435" i="9"/>
  <c r="AL435" i="9"/>
  <c r="AM435" i="9"/>
  <c r="AN435" i="9"/>
  <c r="AO435" i="9"/>
  <c r="AP435" i="9"/>
  <c r="HY13" i="29" s="1"/>
  <c r="HY13" i="31" s="1"/>
  <c r="W436" i="9"/>
  <c r="X436" i="9"/>
  <c r="Y436" i="9"/>
  <c r="Z436" i="9"/>
  <c r="AA436" i="9"/>
  <c r="AB436" i="9"/>
  <c r="AC436" i="9"/>
  <c r="AE436" i="9"/>
  <c r="AF436" i="9"/>
  <c r="AG436" i="9"/>
  <c r="AH436" i="9"/>
  <c r="AI436" i="9"/>
  <c r="GI88" i="29" s="1"/>
  <c r="AK436" i="9"/>
  <c r="AL436" i="9"/>
  <c r="AM436" i="9"/>
  <c r="AN436" i="9"/>
  <c r="AO436" i="9"/>
  <c r="AP436" i="9"/>
  <c r="GI13" i="29" s="1"/>
  <c r="GI13" i="31" s="1"/>
  <c r="W437" i="9"/>
  <c r="X437" i="9"/>
  <c r="Y437" i="9"/>
  <c r="Z437" i="9"/>
  <c r="AA437" i="9"/>
  <c r="AB437" i="9"/>
  <c r="AC437" i="9"/>
  <c r="AE437" i="9"/>
  <c r="AF437" i="9"/>
  <c r="AG437" i="9"/>
  <c r="AH437" i="9"/>
  <c r="AI437" i="9"/>
  <c r="FF88" i="29" s="1"/>
  <c r="FF92" i="31" s="1"/>
  <c r="AK437" i="9"/>
  <c r="AL437" i="9"/>
  <c r="AM437" i="9"/>
  <c r="AN437" i="9"/>
  <c r="AO437" i="9"/>
  <c r="AP437" i="9"/>
  <c r="FF13" i="29" s="1"/>
  <c r="FF13" i="31" s="1"/>
  <c r="W438" i="9"/>
  <c r="X438" i="9"/>
  <c r="Y438" i="9"/>
  <c r="Z438" i="9"/>
  <c r="AA438" i="9"/>
  <c r="AB438" i="9"/>
  <c r="AC438" i="9"/>
  <c r="AE438" i="9"/>
  <c r="AF438" i="9"/>
  <c r="AG438" i="9"/>
  <c r="AH438" i="9"/>
  <c r="AI438" i="9"/>
  <c r="J88" i="29" s="1"/>
  <c r="J92" i="31" s="1"/>
  <c r="AK438" i="9"/>
  <c r="AL438" i="9"/>
  <c r="AM438" i="9"/>
  <c r="AN438" i="9"/>
  <c r="AO438" i="9"/>
  <c r="AP438" i="9"/>
  <c r="J13" i="29" s="1"/>
  <c r="J13" i="31" s="1"/>
  <c r="W439" i="9"/>
  <c r="X439" i="9"/>
  <c r="Y439" i="9"/>
  <c r="Z439" i="9"/>
  <c r="AA439" i="9"/>
  <c r="AB439" i="9"/>
  <c r="AC439" i="9"/>
  <c r="AE439" i="9"/>
  <c r="AF439" i="9"/>
  <c r="AG439" i="9"/>
  <c r="AH439" i="9"/>
  <c r="AI439" i="9"/>
  <c r="GR88" i="29" s="1"/>
  <c r="GR92" i="31" s="1"/>
  <c r="AK439" i="9"/>
  <c r="AL439" i="9"/>
  <c r="AM439" i="9"/>
  <c r="AN439" i="9"/>
  <c r="AO439" i="9"/>
  <c r="AP439" i="9"/>
  <c r="GR13" i="29" s="1"/>
  <c r="GR13" i="31" s="1"/>
  <c r="W440" i="9"/>
  <c r="X440" i="9"/>
  <c r="Y440" i="9"/>
  <c r="Z440" i="9"/>
  <c r="AA440" i="9"/>
  <c r="AB440" i="9"/>
  <c r="AC440" i="9"/>
  <c r="AE440" i="9"/>
  <c r="AF440" i="9"/>
  <c r="AG440" i="9"/>
  <c r="AH440" i="9"/>
  <c r="AI440" i="9"/>
  <c r="EY88" i="29" s="1"/>
  <c r="EY92" i="31" s="1"/>
  <c r="AK440" i="9"/>
  <c r="AL440" i="9"/>
  <c r="AM440" i="9"/>
  <c r="AN440" i="9"/>
  <c r="AO440" i="9"/>
  <c r="AP440" i="9"/>
  <c r="EY13" i="29" s="1"/>
  <c r="EY13" i="31" s="1"/>
  <c r="W441" i="9"/>
  <c r="X441" i="9"/>
  <c r="Y441" i="9"/>
  <c r="Z441" i="9"/>
  <c r="AA441" i="9"/>
  <c r="AB441" i="9"/>
  <c r="AC441" i="9"/>
  <c r="AE441" i="9"/>
  <c r="AF441" i="9"/>
  <c r="AG441" i="9"/>
  <c r="AH441" i="9"/>
  <c r="AI441" i="9"/>
  <c r="HL88" i="29" s="1"/>
  <c r="AK441" i="9"/>
  <c r="AL441" i="9"/>
  <c r="AM441" i="9"/>
  <c r="AN441" i="9"/>
  <c r="AO441" i="9"/>
  <c r="AP441" i="9"/>
  <c r="HL13" i="29" s="1"/>
  <c r="HL13" i="31" s="1"/>
  <c r="W442" i="9"/>
  <c r="X442" i="9"/>
  <c r="Y442" i="9"/>
  <c r="Z442" i="9"/>
  <c r="AA442" i="9"/>
  <c r="AB442" i="9"/>
  <c r="AC442" i="9"/>
  <c r="AE442" i="9"/>
  <c r="AF442" i="9"/>
  <c r="AG442" i="9"/>
  <c r="AH442" i="9"/>
  <c r="AI442" i="9"/>
  <c r="N88" i="29" s="1"/>
  <c r="N92" i="31" s="1"/>
  <c r="AK442" i="9"/>
  <c r="AL442" i="9"/>
  <c r="AM442" i="9"/>
  <c r="AN442" i="9"/>
  <c r="AO442" i="9"/>
  <c r="AP442" i="9"/>
  <c r="N13" i="29" s="1"/>
  <c r="N13" i="31" s="1"/>
  <c r="W443" i="9"/>
  <c r="X443" i="9"/>
  <c r="Y443" i="9"/>
  <c r="Z443" i="9"/>
  <c r="AA443" i="9"/>
  <c r="AB443" i="9"/>
  <c r="AC443" i="9"/>
  <c r="AE443" i="9"/>
  <c r="AF443" i="9"/>
  <c r="AG443" i="9"/>
  <c r="AH443" i="9"/>
  <c r="AI443" i="9"/>
  <c r="HZ88" i="29" s="1"/>
  <c r="AK443" i="9"/>
  <c r="AL443" i="9"/>
  <c r="AM443" i="9"/>
  <c r="AN443" i="9"/>
  <c r="AO443" i="9"/>
  <c r="AP443" i="9"/>
  <c r="HZ13" i="29" s="1"/>
  <c r="HZ13" i="31" s="1"/>
  <c r="W444" i="9"/>
  <c r="X444" i="9"/>
  <c r="Y444" i="9"/>
  <c r="Z444" i="9"/>
  <c r="AA444" i="9"/>
  <c r="AB444" i="9"/>
  <c r="AC444" i="9"/>
  <c r="AE444" i="9"/>
  <c r="AF444" i="9"/>
  <c r="AG444" i="9"/>
  <c r="AH444" i="9"/>
  <c r="AI444" i="9"/>
  <c r="BN88" i="29" s="1"/>
  <c r="BN92" i="31" s="1"/>
  <c r="AK444" i="9"/>
  <c r="AL444" i="9"/>
  <c r="AM444" i="9"/>
  <c r="AN444" i="9"/>
  <c r="AO444" i="9"/>
  <c r="AP444" i="9"/>
  <c r="BN13" i="29" s="1"/>
  <c r="BN13" i="31" s="1"/>
  <c r="W445" i="9"/>
  <c r="X445" i="9"/>
  <c r="Y445" i="9"/>
  <c r="Z445" i="9"/>
  <c r="AA445" i="9"/>
  <c r="AB445" i="9"/>
  <c r="AC445" i="9"/>
  <c r="AE445" i="9"/>
  <c r="AF445" i="9"/>
  <c r="AG445" i="9"/>
  <c r="AH445" i="9"/>
  <c r="AI445" i="9"/>
  <c r="FY88" i="29" s="1"/>
  <c r="FY92" i="31" s="1"/>
  <c r="AK445" i="9"/>
  <c r="AL445" i="9"/>
  <c r="AM445" i="9"/>
  <c r="AN445" i="9"/>
  <c r="AO445" i="9"/>
  <c r="AP445" i="9"/>
  <c r="FY13" i="29" s="1"/>
  <c r="FY13" i="31" s="1"/>
  <c r="W446" i="9"/>
  <c r="X446" i="9"/>
  <c r="Y446" i="9"/>
  <c r="Z446" i="9"/>
  <c r="AA446" i="9"/>
  <c r="AB446" i="9"/>
  <c r="AC446" i="9"/>
  <c r="AE446" i="9"/>
  <c r="AF446" i="9"/>
  <c r="AG446" i="9"/>
  <c r="AH446" i="9"/>
  <c r="AI446" i="9"/>
  <c r="HB88" i="29" s="1"/>
  <c r="HB92" i="31" s="1"/>
  <c r="AK446" i="9"/>
  <c r="AL446" i="9"/>
  <c r="AM446" i="9"/>
  <c r="AN446" i="9"/>
  <c r="AO446" i="9"/>
  <c r="AP446" i="9"/>
  <c r="HB13" i="29" s="1"/>
  <c r="HB13" i="31" s="1"/>
  <c r="W447" i="9"/>
  <c r="X447" i="9"/>
  <c r="Y447" i="9"/>
  <c r="Z447" i="9"/>
  <c r="AA447" i="9"/>
  <c r="AB447" i="9"/>
  <c r="AC447" i="9"/>
  <c r="AE447" i="9"/>
  <c r="AF447" i="9"/>
  <c r="AG447" i="9"/>
  <c r="AH447" i="9"/>
  <c r="AI447" i="9"/>
  <c r="FK88" i="29" s="1"/>
  <c r="FK92" i="31" s="1"/>
  <c r="AK447" i="9"/>
  <c r="AL447" i="9"/>
  <c r="AM447" i="9"/>
  <c r="AN447" i="9"/>
  <c r="AO447" i="9"/>
  <c r="AP447" i="9"/>
  <c r="FK13" i="29" s="1"/>
  <c r="FK13" i="31" s="1"/>
  <c r="W448" i="9"/>
  <c r="X448" i="9"/>
  <c r="Y448" i="9"/>
  <c r="Z448" i="9"/>
  <c r="AA448" i="9"/>
  <c r="AB448" i="9"/>
  <c r="AC448" i="9"/>
  <c r="AE448" i="9"/>
  <c r="AF448" i="9"/>
  <c r="AG448" i="9"/>
  <c r="AH448" i="9"/>
  <c r="AI448" i="9"/>
  <c r="HF88" i="29" s="1"/>
  <c r="HF92" i="31" s="1"/>
  <c r="AK448" i="9"/>
  <c r="AL448" i="9"/>
  <c r="AM448" i="9"/>
  <c r="AN448" i="9"/>
  <c r="AO448" i="9"/>
  <c r="AP448" i="9"/>
  <c r="HF13" i="29" s="1"/>
  <c r="HF13" i="31" s="1"/>
  <c r="W449" i="9"/>
  <c r="X449" i="9"/>
  <c r="Y449" i="9"/>
  <c r="Z449" i="9"/>
  <c r="AA449" i="9"/>
  <c r="AB449" i="9"/>
  <c r="AC449" i="9"/>
  <c r="AE449" i="9"/>
  <c r="AF449" i="9"/>
  <c r="AG449" i="9"/>
  <c r="AH449" i="9"/>
  <c r="AI449" i="9"/>
  <c r="II88" i="29" s="1"/>
  <c r="AK449" i="9"/>
  <c r="AL449" i="9"/>
  <c r="AM449" i="9"/>
  <c r="AN449" i="9"/>
  <c r="AO449" i="9"/>
  <c r="AP449" i="9"/>
  <c r="II13" i="29" s="1"/>
  <c r="II13" i="31" s="1"/>
  <c r="W450" i="9"/>
  <c r="X450" i="9"/>
  <c r="Y450" i="9"/>
  <c r="Z450" i="9"/>
  <c r="AA450" i="9"/>
  <c r="AB450" i="9"/>
  <c r="AC450" i="9"/>
  <c r="AE450" i="9"/>
  <c r="AF450" i="9"/>
  <c r="AG450" i="9"/>
  <c r="AH450" i="9"/>
  <c r="AI450" i="9"/>
  <c r="EU88" i="29" s="1"/>
  <c r="AK450" i="9"/>
  <c r="AL450" i="9"/>
  <c r="AM450" i="9"/>
  <c r="AN450" i="9"/>
  <c r="AO450" i="9"/>
  <c r="AP450" i="9"/>
  <c r="EU13" i="29" s="1"/>
  <c r="EU13" i="31" s="1"/>
  <c r="W451" i="9"/>
  <c r="X451" i="9"/>
  <c r="Y451" i="9"/>
  <c r="Z451" i="9"/>
  <c r="AA451" i="9"/>
  <c r="AB451" i="9"/>
  <c r="AC451" i="9"/>
  <c r="AE451" i="9"/>
  <c r="AF451" i="9"/>
  <c r="AG451" i="9"/>
  <c r="AH451" i="9"/>
  <c r="AI451" i="9"/>
  <c r="FG88" i="29" s="1"/>
  <c r="AK451" i="9"/>
  <c r="AL451" i="9"/>
  <c r="AM451" i="9"/>
  <c r="AN451" i="9"/>
  <c r="AO451" i="9"/>
  <c r="AP451" i="9"/>
  <c r="FG13" i="29" s="1"/>
  <c r="FG13" i="31" s="1"/>
  <c r="W452" i="9"/>
  <c r="X452" i="9"/>
  <c r="Y452" i="9"/>
  <c r="Z452" i="9"/>
  <c r="AA452" i="9"/>
  <c r="AB452" i="9"/>
  <c r="AC452" i="9"/>
  <c r="AE452" i="9"/>
  <c r="AF452" i="9"/>
  <c r="AG452" i="9"/>
  <c r="AH452" i="9"/>
  <c r="AI452" i="9"/>
  <c r="EN88" i="29" s="1"/>
  <c r="EN92" i="31" s="1"/>
  <c r="AK452" i="9"/>
  <c r="AL452" i="9"/>
  <c r="AM452" i="9"/>
  <c r="AN452" i="9"/>
  <c r="AO452" i="9"/>
  <c r="AP452" i="9"/>
  <c r="EN13" i="29" s="1"/>
  <c r="EN13" i="31" s="1"/>
  <c r="W453" i="9"/>
  <c r="X453" i="9"/>
  <c r="Y453" i="9"/>
  <c r="Z453" i="9"/>
  <c r="AA453" i="9"/>
  <c r="AB453" i="9"/>
  <c r="AC453" i="9"/>
  <c r="AE453" i="9"/>
  <c r="AF453" i="9"/>
  <c r="AG453" i="9"/>
  <c r="AH453" i="9"/>
  <c r="AI453" i="9"/>
  <c r="CE88" i="29" s="1"/>
  <c r="CE92" i="31" s="1"/>
  <c r="AK453" i="9"/>
  <c r="AL453" i="9"/>
  <c r="AM453" i="9"/>
  <c r="AN453" i="9"/>
  <c r="AO453" i="9"/>
  <c r="AP453" i="9"/>
  <c r="CE13" i="29" s="1"/>
  <c r="CE13" i="31" s="1"/>
  <c r="W454" i="9"/>
  <c r="X454" i="9"/>
  <c r="Y454" i="9"/>
  <c r="Z454" i="9"/>
  <c r="AA454" i="9"/>
  <c r="AB454" i="9"/>
  <c r="AC454" i="9"/>
  <c r="AE454" i="9"/>
  <c r="AF454" i="9"/>
  <c r="AG454" i="9"/>
  <c r="AH454" i="9"/>
  <c r="AI454" i="9"/>
  <c r="EP88" i="29" s="1"/>
  <c r="EP92" i="31" s="1"/>
  <c r="AK454" i="9"/>
  <c r="AL454" i="9"/>
  <c r="AM454" i="9"/>
  <c r="AN454" i="9"/>
  <c r="AO454" i="9"/>
  <c r="AP454" i="9"/>
  <c r="EP13" i="29" s="1"/>
  <c r="EP13" i="31" s="1"/>
  <c r="W455" i="9"/>
  <c r="X455" i="9"/>
  <c r="Y455" i="9"/>
  <c r="Z455" i="9"/>
  <c r="AA455" i="9"/>
  <c r="AB455" i="9"/>
  <c r="AC455" i="9"/>
  <c r="AE455" i="9"/>
  <c r="AF455" i="9"/>
  <c r="AG455" i="9"/>
  <c r="AH455" i="9"/>
  <c r="AI455" i="9"/>
  <c r="GU88" i="29" s="1"/>
  <c r="GU92" i="31" s="1"/>
  <c r="AK455" i="9"/>
  <c r="AL455" i="9"/>
  <c r="AM455" i="9"/>
  <c r="AN455" i="9"/>
  <c r="AO455" i="9"/>
  <c r="AP455" i="9"/>
  <c r="GU13" i="29" s="1"/>
  <c r="GU13" i="31" s="1"/>
  <c r="W456" i="9"/>
  <c r="X456" i="9"/>
  <c r="Y456" i="9"/>
  <c r="Z456" i="9"/>
  <c r="AA456" i="9"/>
  <c r="AB456" i="9"/>
  <c r="AC456" i="9"/>
  <c r="AE456" i="9"/>
  <c r="AF456" i="9"/>
  <c r="AG456" i="9"/>
  <c r="AH456" i="9"/>
  <c r="AI456" i="9"/>
  <c r="IW88" i="29" s="1"/>
  <c r="AK456" i="9"/>
  <c r="AL456" i="9"/>
  <c r="AM456" i="9"/>
  <c r="AN456" i="9"/>
  <c r="AO456" i="9"/>
  <c r="AP456" i="9"/>
  <c r="IW13" i="29" s="1"/>
  <c r="IW13" i="31" s="1"/>
  <c r="W457" i="9"/>
  <c r="X457" i="9"/>
  <c r="Y457" i="9"/>
  <c r="Z457" i="9"/>
  <c r="AA457" i="9"/>
  <c r="AB457" i="9"/>
  <c r="AC457" i="9"/>
  <c r="AE457" i="9"/>
  <c r="AF457" i="9"/>
  <c r="AG457" i="9"/>
  <c r="AH457" i="9"/>
  <c r="AI457" i="9"/>
  <c r="AK88" i="29" s="1"/>
  <c r="AK92" i="31" s="1"/>
  <c r="AK457" i="9"/>
  <c r="AL457" i="9"/>
  <c r="AM457" i="9"/>
  <c r="AN457" i="9"/>
  <c r="AO457" i="9"/>
  <c r="AP457" i="9"/>
  <c r="AK13" i="29" s="1"/>
  <c r="AK13" i="31" s="1"/>
  <c r="W458" i="9"/>
  <c r="X458" i="9"/>
  <c r="Y458" i="9"/>
  <c r="Z458" i="9"/>
  <c r="AA458" i="9"/>
  <c r="AB458" i="9"/>
  <c r="AC458" i="9"/>
  <c r="AE458" i="9"/>
  <c r="AF458" i="9"/>
  <c r="AG458" i="9"/>
  <c r="AH458" i="9"/>
  <c r="AI458" i="9"/>
  <c r="HT88" i="29" s="1"/>
  <c r="AK458" i="9"/>
  <c r="AL458" i="9"/>
  <c r="AM458" i="9"/>
  <c r="AN458" i="9"/>
  <c r="AO458" i="9"/>
  <c r="AP458" i="9"/>
  <c r="HT13" i="29" s="1"/>
  <c r="HT13" i="31" s="1"/>
  <c r="W459" i="9"/>
  <c r="X459" i="9"/>
  <c r="Y459" i="9"/>
  <c r="Z459" i="9"/>
  <c r="AA459" i="9"/>
  <c r="AB459" i="9"/>
  <c r="AC459" i="9"/>
  <c r="AE459" i="9"/>
  <c r="AF459" i="9"/>
  <c r="AG459" i="9"/>
  <c r="AH459" i="9"/>
  <c r="AI459" i="9"/>
  <c r="EF88" i="29" s="1"/>
  <c r="EF92" i="31" s="1"/>
  <c r="AK459" i="9"/>
  <c r="AL459" i="9"/>
  <c r="AM459" i="9"/>
  <c r="AN459" i="9"/>
  <c r="AO459" i="9"/>
  <c r="AP459" i="9"/>
  <c r="EF13" i="29" s="1"/>
  <c r="EF13" i="31" s="1"/>
  <c r="W460" i="9"/>
  <c r="X460" i="9"/>
  <c r="Y460" i="9"/>
  <c r="Z460" i="9"/>
  <c r="AA460" i="9"/>
  <c r="AB460" i="9"/>
  <c r="AC460" i="9"/>
  <c r="AE460" i="9"/>
  <c r="AF460" i="9"/>
  <c r="AG460" i="9"/>
  <c r="AH460" i="9"/>
  <c r="AI460" i="9"/>
  <c r="FQ88" i="29" s="1"/>
  <c r="FQ92" i="31" s="1"/>
  <c r="AK460" i="9"/>
  <c r="AL460" i="9"/>
  <c r="AM460" i="9"/>
  <c r="AN460" i="9"/>
  <c r="AO460" i="9"/>
  <c r="AP460" i="9"/>
  <c r="FQ13" i="29" s="1"/>
  <c r="FQ13" i="31" s="1"/>
  <c r="W461" i="9"/>
  <c r="X461" i="9"/>
  <c r="Y461" i="9"/>
  <c r="Z461" i="9"/>
  <c r="AA461" i="9"/>
  <c r="AB461" i="9"/>
  <c r="AC461" i="9"/>
  <c r="AE461" i="9"/>
  <c r="AF461" i="9"/>
  <c r="AG461" i="9"/>
  <c r="AH461" i="9"/>
  <c r="AI461" i="9"/>
  <c r="GZ88" i="29" s="1"/>
  <c r="GZ92" i="31" s="1"/>
  <c r="AK461" i="9"/>
  <c r="AL461" i="9"/>
  <c r="AM461" i="9"/>
  <c r="AN461" i="9"/>
  <c r="AO461" i="9"/>
  <c r="AP461" i="9"/>
  <c r="GZ13" i="29" s="1"/>
  <c r="GZ13" i="31" s="1"/>
  <c r="W462" i="9"/>
  <c r="X462" i="9"/>
  <c r="Y462" i="9"/>
  <c r="Z462" i="9"/>
  <c r="AA462" i="9"/>
  <c r="AB462" i="9"/>
  <c r="AC462" i="9"/>
  <c r="AE462" i="9"/>
  <c r="AF462" i="9"/>
  <c r="AG462" i="9"/>
  <c r="AH462" i="9"/>
  <c r="AI462" i="9"/>
  <c r="S88" i="29" s="1"/>
  <c r="S92" i="31" s="1"/>
  <c r="AK462" i="9"/>
  <c r="AL462" i="9"/>
  <c r="AM462" i="9"/>
  <c r="AN462" i="9"/>
  <c r="AO462" i="9"/>
  <c r="AP462" i="9"/>
  <c r="S13" i="29" s="1"/>
  <c r="S13" i="31" s="1"/>
  <c r="W463" i="9"/>
  <c r="X463" i="9"/>
  <c r="Y463" i="9"/>
  <c r="Z463" i="9"/>
  <c r="AA463" i="9"/>
  <c r="AB463" i="9"/>
  <c r="AC463" i="9"/>
  <c r="AE463" i="9"/>
  <c r="AF463" i="9"/>
  <c r="AG463" i="9"/>
  <c r="AH463" i="9"/>
  <c r="AI463" i="9"/>
  <c r="IT88" i="29" s="1"/>
  <c r="AK463" i="9"/>
  <c r="AL463" i="9"/>
  <c r="AM463" i="9"/>
  <c r="AN463" i="9"/>
  <c r="AO463" i="9"/>
  <c r="AP463" i="9"/>
  <c r="IT13" i="29" s="1"/>
  <c r="IT13" i="31" s="1"/>
  <c r="W464" i="9"/>
  <c r="X464" i="9"/>
  <c r="Y464" i="9"/>
  <c r="Z464" i="9"/>
  <c r="AA464" i="9"/>
  <c r="AB464" i="9"/>
  <c r="AC464" i="9"/>
  <c r="AE464" i="9"/>
  <c r="AF464" i="9"/>
  <c r="AG464" i="9"/>
  <c r="AH464" i="9"/>
  <c r="AI464" i="9"/>
  <c r="BG88" i="29" s="1"/>
  <c r="BG92" i="31" s="1"/>
  <c r="AK464" i="9"/>
  <c r="AL464" i="9"/>
  <c r="AM464" i="9"/>
  <c r="AN464" i="9"/>
  <c r="AO464" i="9"/>
  <c r="AP464" i="9"/>
  <c r="BG13" i="29" s="1"/>
  <c r="BG13" i="31" s="1"/>
  <c r="W465" i="9"/>
  <c r="X465" i="9"/>
  <c r="Y465" i="9"/>
  <c r="Z465" i="9"/>
  <c r="AA465" i="9"/>
  <c r="AB465" i="9"/>
  <c r="AC465" i="9"/>
  <c r="AE465" i="9"/>
  <c r="AF465" i="9"/>
  <c r="AG465" i="9"/>
  <c r="AH465" i="9"/>
  <c r="AI465" i="9"/>
  <c r="IZ88" i="29" s="1"/>
  <c r="AK465" i="9"/>
  <c r="AL465" i="9"/>
  <c r="AM465" i="9"/>
  <c r="AN465" i="9"/>
  <c r="AO465" i="9"/>
  <c r="AP465" i="9"/>
  <c r="IZ13" i="29" s="1"/>
  <c r="IZ13" i="31" s="1"/>
  <c r="W466" i="9"/>
  <c r="X466" i="9"/>
  <c r="Y466" i="9"/>
  <c r="Z466" i="9"/>
  <c r="AA466" i="9"/>
  <c r="AB466" i="9"/>
  <c r="AC466" i="9"/>
  <c r="AE466" i="9"/>
  <c r="AF466" i="9"/>
  <c r="AG466" i="9"/>
  <c r="AH466" i="9"/>
  <c r="AI466" i="9"/>
  <c r="DV88" i="29" s="1"/>
  <c r="DV92" i="31" s="1"/>
  <c r="AK466" i="9"/>
  <c r="AL466" i="9"/>
  <c r="AM466" i="9"/>
  <c r="AN466" i="9"/>
  <c r="AO466" i="9"/>
  <c r="AP466" i="9"/>
  <c r="DV13" i="29" s="1"/>
  <c r="DV13" i="31" s="1"/>
  <c r="W467" i="9"/>
  <c r="X467" i="9"/>
  <c r="Y467" i="9"/>
  <c r="Z467" i="9"/>
  <c r="AA467" i="9"/>
  <c r="AB467" i="9"/>
  <c r="AC467" i="9"/>
  <c r="AE467" i="9"/>
  <c r="AF467" i="9"/>
  <c r="AG467" i="9"/>
  <c r="AH467" i="9"/>
  <c r="AI467" i="9"/>
  <c r="CV88" i="29" s="1"/>
  <c r="AK467" i="9"/>
  <c r="AL467" i="9"/>
  <c r="AM467" i="9"/>
  <c r="AN467" i="9"/>
  <c r="AO467" i="9"/>
  <c r="AP467" i="9"/>
  <c r="CV13" i="29" s="1"/>
  <c r="CV13" i="31" s="1"/>
  <c r="W468" i="9"/>
  <c r="X468" i="9"/>
  <c r="Y468" i="9"/>
  <c r="Z468" i="9"/>
  <c r="AA468" i="9"/>
  <c r="AB468" i="9"/>
  <c r="AC468" i="9"/>
  <c r="AE468" i="9"/>
  <c r="AF468" i="9"/>
  <c r="AG468" i="9"/>
  <c r="AH468" i="9"/>
  <c r="AI468" i="9"/>
  <c r="CD88" i="29" s="1"/>
  <c r="CD92" i="31" s="1"/>
  <c r="AK468" i="9"/>
  <c r="AL468" i="9"/>
  <c r="AM468" i="9"/>
  <c r="AN468" i="9"/>
  <c r="AO468" i="9"/>
  <c r="AP468" i="9"/>
  <c r="CD13" i="29" s="1"/>
  <c r="CD13" i="31" s="1"/>
  <c r="W469" i="9"/>
  <c r="X469" i="9"/>
  <c r="Y469" i="9"/>
  <c r="Z469" i="9"/>
  <c r="AA469" i="9"/>
  <c r="AB469" i="9"/>
  <c r="AC469" i="9"/>
  <c r="AE469" i="9"/>
  <c r="AF469" i="9"/>
  <c r="AG469" i="9"/>
  <c r="AH469" i="9"/>
  <c r="AI469" i="9"/>
  <c r="JC88" i="29" s="1"/>
  <c r="JC92" i="31" s="1"/>
  <c r="AK469" i="9"/>
  <c r="AL469" i="9"/>
  <c r="AM469" i="9"/>
  <c r="AN469" i="9"/>
  <c r="AO469" i="9"/>
  <c r="AP469" i="9"/>
  <c r="JC13" i="29" s="1"/>
  <c r="JC13" i="31" s="1"/>
  <c r="W470" i="9"/>
  <c r="X470" i="9"/>
  <c r="Y470" i="9"/>
  <c r="Z470" i="9"/>
  <c r="AA470" i="9"/>
  <c r="AB470" i="9"/>
  <c r="AC470" i="9"/>
  <c r="AE470" i="9"/>
  <c r="AF470" i="9"/>
  <c r="AG470" i="9"/>
  <c r="AH470" i="9"/>
  <c r="AI470" i="9"/>
  <c r="BE88" i="29" s="1"/>
  <c r="BE92" i="31" s="1"/>
  <c r="AK470" i="9"/>
  <c r="AL470" i="9"/>
  <c r="AM470" i="9"/>
  <c r="AN470" i="9"/>
  <c r="AO470" i="9"/>
  <c r="AP470" i="9"/>
  <c r="BE13" i="29" s="1"/>
  <c r="BE13" i="31" s="1"/>
  <c r="BE173" i="31" s="1"/>
  <c r="W471" i="9"/>
  <c r="X471" i="9"/>
  <c r="Y471" i="9"/>
  <c r="Z471" i="9"/>
  <c r="AA471" i="9"/>
  <c r="AB471" i="9"/>
  <c r="AC471" i="9"/>
  <c r="AE471" i="9"/>
  <c r="AF471" i="9"/>
  <c r="AG471" i="9"/>
  <c r="AH471" i="9"/>
  <c r="AI471" i="9"/>
  <c r="HJ88" i="29" s="1"/>
  <c r="HJ92" i="31" s="1"/>
  <c r="AK471" i="9"/>
  <c r="AL471" i="9"/>
  <c r="AM471" i="9"/>
  <c r="AN471" i="9"/>
  <c r="AO471" i="9"/>
  <c r="AP471" i="9"/>
  <c r="HJ13" i="29" s="1"/>
  <c r="HJ13" i="31" s="1"/>
  <c r="HJ173" i="31" s="1"/>
  <c r="W472" i="9"/>
  <c r="X472" i="9"/>
  <c r="Y472" i="9"/>
  <c r="Z472" i="9"/>
  <c r="AA472" i="9"/>
  <c r="AB472" i="9"/>
  <c r="AC472" i="9"/>
  <c r="AE472" i="9"/>
  <c r="AF472" i="9"/>
  <c r="AG472" i="9"/>
  <c r="AH472" i="9"/>
  <c r="AI472" i="9"/>
  <c r="BZ88" i="29" s="1"/>
  <c r="BZ92" i="31" s="1"/>
  <c r="AK472" i="9"/>
  <c r="AL472" i="9"/>
  <c r="AM472" i="9"/>
  <c r="AN472" i="9"/>
  <c r="AO472" i="9"/>
  <c r="AP472" i="9"/>
  <c r="BZ13" i="29" s="1"/>
  <c r="BZ13" i="31" s="1"/>
  <c r="W473" i="9"/>
  <c r="X473" i="9"/>
  <c r="Y473" i="9"/>
  <c r="Z473" i="9"/>
  <c r="AA473" i="9"/>
  <c r="AB473" i="9"/>
  <c r="AC473" i="9"/>
  <c r="AE473" i="9"/>
  <c r="AF473" i="9"/>
  <c r="AG473" i="9"/>
  <c r="AH473" i="9"/>
  <c r="AI473" i="9"/>
  <c r="DM88" i="29" s="1"/>
  <c r="DM92" i="31" s="1"/>
  <c r="AK473" i="9"/>
  <c r="AL473" i="9"/>
  <c r="AM473" i="9"/>
  <c r="AN473" i="9"/>
  <c r="AO473" i="9"/>
  <c r="AP473" i="9"/>
  <c r="DM13" i="29" s="1"/>
  <c r="DM13" i="31" s="1"/>
  <c r="W474" i="9"/>
  <c r="X474" i="9"/>
  <c r="Y474" i="9"/>
  <c r="Z474" i="9"/>
  <c r="AA474" i="9"/>
  <c r="AB474" i="9"/>
  <c r="AC474" i="9"/>
  <c r="AE474" i="9"/>
  <c r="AF474" i="9"/>
  <c r="AG474" i="9"/>
  <c r="AH474" i="9"/>
  <c r="AI474" i="9"/>
  <c r="DS88" i="29" s="1"/>
  <c r="DS92" i="31" s="1"/>
  <c r="AK474" i="9"/>
  <c r="AL474" i="9"/>
  <c r="AM474" i="9"/>
  <c r="AN474" i="9"/>
  <c r="AO474" i="9"/>
  <c r="AP474" i="9"/>
  <c r="DS13" i="29" s="1"/>
  <c r="DS13" i="31" s="1"/>
  <c r="W475" i="9"/>
  <c r="X475" i="9"/>
  <c r="Y475" i="9"/>
  <c r="Z475" i="9"/>
  <c r="AA475" i="9"/>
  <c r="AB475" i="9"/>
  <c r="AC475" i="9"/>
  <c r="AE475" i="9"/>
  <c r="AF475" i="9"/>
  <c r="AG475" i="9"/>
  <c r="AH475" i="9"/>
  <c r="AI475" i="9"/>
  <c r="F88" i="29" s="1"/>
  <c r="F92" i="31" s="1"/>
  <c r="AK475" i="9"/>
  <c r="AL475" i="9"/>
  <c r="AM475" i="9"/>
  <c r="AN475" i="9"/>
  <c r="AO475" i="9"/>
  <c r="AP475" i="9"/>
  <c r="F13" i="29" s="1"/>
  <c r="F13" i="31" s="1"/>
  <c r="W476" i="9"/>
  <c r="X476" i="9"/>
  <c r="Y476" i="9"/>
  <c r="Z476" i="9"/>
  <c r="AA476" i="9"/>
  <c r="AB476" i="9"/>
  <c r="AC476" i="9"/>
  <c r="AE476" i="9"/>
  <c r="AF476" i="9"/>
  <c r="AG476" i="9"/>
  <c r="AH476" i="9"/>
  <c r="AI476" i="9"/>
  <c r="CR88" i="29" s="1"/>
  <c r="CR92" i="31" s="1"/>
  <c r="AK476" i="9"/>
  <c r="AL476" i="9"/>
  <c r="AM476" i="9"/>
  <c r="AN476" i="9"/>
  <c r="AO476" i="9"/>
  <c r="AP476" i="9"/>
  <c r="CR13" i="29" s="1"/>
  <c r="CR13" i="31" s="1"/>
  <c r="W477" i="9"/>
  <c r="X477" i="9"/>
  <c r="Y477" i="9"/>
  <c r="Z477" i="9"/>
  <c r="AA477" i="9"/>
  <c r="AB477" i="9"/>
  <c r="AC477" i="9"/>
  <c r="AE477" i="9"/>
  <c r="AF477" i="9"/>
  <c r="AG477" i="9"/>
  <c r="AH477" i="9"/>
  <c r="AI477" i="9"/>
  <c r="HN88" i="29" s="1"/>
  <c r="HN92" i="31" s="1"/>
  <c r="AK477" i="9"/>
  <c r="AL477" i="9"/>
  <c r="AM477" i="9"/>
  <c r="AN477" i="9"/>
  <c r="AO477" i="9"/>
  <c r="AP477" i="9"/>
  <c r="HN13" i="29" s="1"/>
  <c r="HN13" i="31" s="1"/>
  <c r="W478" i="9"/>
  <c r="X478" i="9"/>
  <c r="Y478" i="9"/>
  <c r="Z478" i="9"/>
  <c r="AA478" i="9"/>
  <c r="AB478" i="9"/>
  <c r="AC478" i="9"/>
  <c r="AE478" i="9"/>
  <c r="AF478" i="9"/>
  <c r="AG478" i="9"/>
  <c r="AH478" i="9"/>
  <c r="AI478" i="9"/>
  <c r="EZ88" i="29" s="1"/>
  <c r="EZ92" i="31" s="1"/>
  <c r="AK478" i="9"/>
  <c r="AL478" i="9"/>
  <c r="AM478" i="9"/>
  <c r="AN478" i="9"/>
  <c r="AO478" i="9"/>
  <c r="AP478" i="9"/>
  <c r="EZ13" i="29" s="1"/>
  <c r="EZ13" i="31" s="1"/>
  <c r="W479" i="9"/>
  <c r="X479" i="9"/>
  <c r="Y479" i="9"/>
  <c r="Z479" i="9"/>
  <c r="AA479" i="9"/>
  <c r="AB479" i="9"/>
  <c r="AC479" i="9"/>
  <c r="AE479" i="9"/>
  <c r="AF479" i="9"/>
  <c r="AG479" i="9"/>
  <c r="AH479" i="9"/>
  <c r="AI479" i="9"/>
  <c r="T88" i="29" s="1"/>
  <c r="T92" i="31" s="1"/>
  <c r="AK479" i="9"/>
  <c r="AL479" i="9"/>
  <c r="AM479" i="9"/>
  <c r="AN479" i="9"/>
  <c r="AO479" i="9"/>
  <c r="AP479" i="9"/>
  <c r="T13" i="29" s="1"/>
  <c r="T13" i="31" s="1"/>
  <c r="W480" i="9"/>
  <c r="X480" i="9"/>
  <c r="Y480" i="9"/>
  <c r="Z480" i="9"/>
  <c r="AA480" i="9"/>
  <c r="AB480" i="9"/>
  <c r="AC480" i="9"/>
  <c r="AE480" i="9"/>
  <c r="AF480" i="9"/>
  <c r="AG480" i="9"/>
  <c r="AH480" i="9"/>
  <c r="AI480" i="9"/>
  <c r="FJ88" i="29" s="1"/>
  <c r="FJ92" i="31" s="1"/>
  <c r="AK480" i="9"/>
  <c r="AL480" i="9"/>
  <c r="AM480" i="9"/>
  <c r="AN480" i="9"/>
  <c r="AO480" i="9"/>
  <c r="AP480" i="9"/>
  <c r="FJ13" i="29" s="1"/>
  <c r="FJ13" i="31" s="1"/>
  <c r="W481" i="9"/>
  <c r="X481" i="9"/>
  <c r="Y481" i="9"/>
  <c r="Z481" i="9"/>
  <c r="AA481" i="9"/>
  <c r="AB481" i="9"/>
  <c r="AC481" i="9"/>
  <c r="AE481" i="9"/>
  <c r="AF481" i="9"/>
  <c r="AG481" i="9"/>
  <c r="AH481" i="9"/>
  <c r="AI481" i="9"/>
  <c r="AE88" i="29" s="1"/>
  <c r="AE92" i="31" s="1"/>
  <c r="AK481" i="9"/>
  <c r="AL481" i="9"/>
  <c r="AM481" i="9"/>
  <c r="AN481" i="9"/>
  <c r="AO481" i="9"/>
  <c r="AP481" i="9"/>
  <c r="AE13" i="29" s="1"/>
  <c r="AE13" i="31" s="1"/>
  <c r="W482" i="9"/>
  <c r="X482" i="9"/>
  <c r="Y482" i="9"/>
  <c r="Z482" i="9"/>
  <c r="AA482" i="9"/>
  <c r="AB482" i="9"/>
  <c r="AC482" i="9"/>
  <c r="AE482" i="9"/>
  <c r="AF482" i="9"/>
  <c r="AG482" i="9"/>
  <c r="AH482" i="9"/>
  <c r="AI482" i="9"/>
  <c r="JE88" i="29" s="1"/>
  <c r="JE92" i="31" s="1"/>
  <c r="AK482" i="9"/>
  <c r="AL482" i="9"/>
  <c r="AM482" i="9"/>
  <c r="AN482" i="9"/>
  <c r="AO482" i="9"/>
  <c r="AP482" i="9"/>
  <c r="JE13" i="29" s="1"/>
  <c r="JE13" i="31" s="1"/>
  <c r="W483" i="9"/>
  <c r="X483" i="9"/>
  <c r="Y483" i="9"/>
  <c r="Z483" i="9"/>
  <c r="AA483" i="9"/>
  <c r="AB483" i="9"/>
  <c r="AC483" i="9"/>
  <c r="AE483" i="9"/>
  <c r="AF483" i="9"/>
  <c r="AG483" i="9"/>
  <c r="AH483" i="9"/>
  <c r="AI483" i="9"/>
  <c r="FM88" i="29" s="1"/>
  <c r="FM92" i="31" s="1"/>
  <c r="AK483" i="9"/>
  <c r="AL483" i="9"/>
  <c r="AM483" i="9"/>
  <c r="AN483" i="9"/>
  <c r="AO483" i="9"/>
  <c r="AP483" i="9"/>
  <c r="FM13" i="29" s="1"/>
  <c r="FM13" i="31" s="1"/>
  <c r="W484" i="9"/>
  <c r="X484" i="9"/>
  <c r="Y484" i="9"/>
  <c r="Z484" i="9"/>
  <c r="AA484" i="9"/>
  <c r="AB484" i="9"/>
  <c r="AC484" i="9"/>
  <c r="AE484" i="9"/>
  <c r="AF484" i="9"/>
  <c r="AG484" i="9"/>
  <c r="AH484" i="9"/>
  <c r="AI484" i="9"/>
  <c r="AD88" i="29" s="1"/>
  <c r="AD92" i="31" s="1"/>
  <c r="AK484" i="9"/>
  <c r="AL484" i="9"/>
  <c r="AM484" i="9"/>
  <c r="AN484" i="9"/>
  <c r="AO484" i="9"/>
  <c r="AP484" i="9"/>
  <c r="AD13" i="29" s="1"/>
  <c r="AD13" i="31" s="1"/>
  <c r="W485" i="9"/>
  <c r="X485" i="9"/>
  <c r="Y485" i="9"/>
  <c r="Z485" i="9"/>
  <c r="AA485" i="9"/>
  <c r="AB485" i="9"/>
  <c r="AC485" i="9"/>
  <c r="AE485" i="9"/>
  <c r="AF485" i="9"/>
  <c r="AG485" i="9"/>
  <c r="AH485" i="9"/>
  <c r="AI485" i="9"/>
  <c r="BW88" i="29" s="1"/>
  <c r="BW92" i="31" s="1"/>
  <c r="AK485" i="9"/>
  <c r="AL485" i="9"/>
  <c r="AM485" i="9"/>
  <c r="AN485" i="9"/>
  <c r="AO485" i="9"/>
  <c r="AP485" i="9"/>
  <c r="BW13" i="29" s="1"/>
  <c r="BW13" i="31" s="1"/>
  <c r="W486" i="9"/>
  <c r="X486" i="9"/>
  <c r="Y486" i="9"/>
  <c r="Z486" i="9"/>
  <c r="AA486" i="9"/>
  <c r="AB486" i="9"/>
  <c r="AC486" i="9"/>
  <c r="AE486" i="9"/>
  <c r="AF486" i="9"/>
  <c r="AG486" i="9"/>
  <c r="AH486" i="9"/>
  <c r="AI486" i="9"/>
  <c r="DJ88" i="29" s="1"/>
  <c r="DJ92" i="31" s="1"/>
  <c r="AK486" i="9"/>
  <c r="AL486" i="9"/>
  <c r="AM486" i="9"/>
  <c r="AN486" i="9"/>
  <c r="AO486" i="9"/>
  <c r="AP486" i="9"/>
  <c r="DJ13" i="29" s="1"/>
  <c r="DJ13" i="31" s="1"/>
  <c r="DJ173" i="31" s="1"/>
  <c r="DJ114" i="31" s="1"/>
  <c r="W487" i="9"/>
  <c r="X487" i="9"/>
  <c r="Y487" i="9"/>
  <c r="Z487" i="9"/>
  <c r="AA487" i="9"/>
  <c r="AB487" i="9"/>
  <c r="AC487" i="9"/>
  <c r="AE487" i="9"/>
  <c r="AF487" i="9"/>
  <c r="AG487" i="9"/>
  <c r="AH487" i="9"/>
  <c r="AI487" i="9"/>
  <c r="HS88" i="29" s="1"/>
  <c r="HS92" i="31" s="1"/>
  <c r="AK487" i="9"/>
  <c r="AL487" i="9"/>
  <c r="AM487" i="9"/>
  <c r="AN487" i="9"/>
  <c r="AO487" i="9"/>
  <c r="AP487" i="9"/>
  <c r="HS13" i="29" s="1"/>
  <c r="HS13" i="31" s="1"/>
  <c r="W488" i="9"/>
  <c r="X488" i="9"/>
  <c r="Y488" i="9"/>
  <c r="Z488" i="9"/>
  <c r="AA488" i="9"/>
  <c r="AB488" i="9"/>
  <c r="AC488" i="9"/>
  <c r="AE488" i="9"/>
  <c r="AF488" i="9"/>
  <c r="AG488" i="9"/>
  <c r="AH488" i="9"/>
  <c r="AI488" i="9"/>
  <c r="O88" i="29" s="1"/>
  <c r="O92" i="31" s="1"/>
  <c r="AK488" i="9"/>
  <c r="AL488" i="9"/>
  <c r="AM488" i="9"/>
  <c r="AN488" i="9"/>
  <c r="AO488" i="9"/>
  <c r="AP488" i="9"/>
  <c r="O13" i="29" s="1"/>
  <c r="O13" i="31" s="1"/>
  <c r="W489" i="9"/>
  <c r="X489" i="9"/>
  <c r="Y489" i="9"/>
  <c r="Z489" i="9"/>
  <c r="AA489" i="9"/>
  <c r="AB489" i="9"/>
  <c r="AC489" i="9"/>
  <c r="AE489" i="9"/>
  <c r="AF489" i="9"/>
  <c r="AG489" i="9"/>
  <c r="AH489" i="9"/>
  <c r="AI489" i="9"/>
  <c r="IN88" i="29" s="1"/>
  <c r="AK489" i="9"/>
  <c r="AL489" i="9"/>
  <c r="AM489" i="9"/>
  <c r="AN489" i="9"/>
  <c r="AO489" i="9"/>
  <c r="AP489" i="9"/>
  <c r="IN13" i="29" s="1"/>
  <c r="IN13" i="31" s="1"/>
  <c r="W490" i="9"/>
  <c r="X490" i="9"/>
  <c r="Y490" i="9"/>
  <c r="Z490" i="9"/>
  <c r="AA490" i="9"/>
  <c r="AB490" i="9"/>
  <c r="AC490" i="9"/>
  <c r="AE490" i="9"/>
  <c r="AF490" i="9"/>
  <c r="AG490" i="9"/>
  <c r="AH490" i="9"/>
  <c r="AI490" i="9"/>
  <c r="HV88" i="29" s="1"/>
  <c r="AK490" i="9"/>
  <c r="AL490" i="9"/>
  <c r="AM490" i="9"/>
  <c r="AN490" i="9"/>
  <c r="AO490" i="9"/>
  <c r="AP490" i="9"/>
  <c r="HV13" i="29" s="1"/>
  <c r="HV13" i="31" s="1"/>
  <c r="W491" i="9"/>
  <c r="X491" i="9"/>
  <c r="Y491" i="9"/>
  <c r="Z491" i="9"/>
  <c r="AA491" i="9"/>
  <c r="AB491" i="9"/>
  <c r="AC491" i="9"/>
  <c r="AE491" i="9"/>
  <c r="AF491" i="9"/>
  <c r="AG491" i="9"/>
  <c r="AH491" i="9"/>
  <c r="AI491" i="9"/>
  <c r="CI88" i="29" s="1"/>
  <c r="CI92" i="31" s="1"/>
  <c r="AK491" i="9"/>
  <c r="AL491" i="9"/>
  <c r="AM491" i="9"/>
  <c r="AN491" i="9"/>
  <c r="AO491" i="9"/>
  <c r="AP491" i="9"/>
  <c r="CI13" i="29" s="1"/>
  <c r="CI13" i="31" s="1"/>
  <c r="CI173" i="31" s="1"/>
  <c r="CI114" i="31" s="1"/>
  <c r="W492" i="9"/>
  <c r="X492" i="9"/>
  <c r="Y492" i="9"/>
  <c r="Z492" i="9"/>
  <c r="AA492" i="9"/>
  <c r="AB492" i="9"/>
  <c r="AC492" i="9"/>
  <c r="AE492" i="9"/>
  <c r="AF492" i="9"/>
  <c r="AG492" i="9"/>
  <c r="AH492" i="9"/>
  <c r="AI492" i="9"/>
  <c r="CP88" i="29" s="1"/>
  <c r="CP92" i="31" s="1"/>
  <c r="AK492" i="9"/>
  <c r="AL492" i="9"/>
  <c r="AM492" i="9"/>
  <c r="AN492" i="9"/>
  <c r="AO492" i="9"/>
  <c r="AP492" i="9"/>
  <c r="CP13" i="29" s="1"/>
  <c r="CP13" i="31" s="1"/>
  <c r="W493" i="9"/>
  <c r="X493" i="9"/>
  <c r="Y493" i="9"/>
  <c r="Z493" i="9"/>
  <c r="AA493" i="9"/>
  <c r="AB493" i="9"/>
  <c r="AC493" i="9"/>
  <c r="AE493" i="9"/>
  <c r="AF493" i="9"/>
  <c r="AG493" i="9"/>
  <c r="AH493" i="9"/>
  <c r="AI493" i="9"/>
  <c r="CB88" i="29" s="1"/>
  <c r="CB92" i="31" s="1"/>
  <c r="AK493" i="9"/>
  <c r="AL493" i="9"/>
  <c r="AM493" i="9"/>
  <c r="AN493" i="9"/>
  <c r="AO493" i="9"/>
  <c r="AP493" i="9"/>
  <c r="CB13" i="29" s="1"/>
  <c r="CB13" i="31" s="1"/>
  <c r="W494" i="9"/>
  <c r="X494" i="9"/>
  <c r="Y494" i="9"/>
  <c r="Z494" i="9"/>
  <c r="AA494" i="9"/>
  <c r="AB494" i="9"/>
  <c r="AC494" i="9"/>
  <c r="AE494" i="9"/>
  <c r="AF494" i="9"/>
  <c r="AG494" i="9"/>
  <c r="AH494" i="9"/>
  <c r="AI494" i="9"/>
  <c r="P88" i="29" s="1"/>
  <c r="P92" i="31" s="1"/>
  <c r="AK494" i="9"/>
  <c r="AL494" i="9"/>
  <c r="AM494" i="9"/>
  <c r="AN494" i="9"/>
  <c r="AO494" i="9"/>
  <c r="AP494" i="9"/>
  <c r="P13" i="29" s="1"/>
  <c r="P13" i="31" s="1"/>
  <c r="W495" i="9"/>
  <c r="X495" i="9"/>
  <c r="Y495" i="9"/>
  <c r="Z495" i="9"/>
  <c r="AA495" i="9"/>
  <c r="AB495" i="9"/>
  <c r="AC495" i="9"/>
  <c r="AE495" i="9"/>
  <c r="AF495" i="9"/>
  <c r="AG495" i="9"/>
  <c r="AH495" i="9"/>
  <c r="AI495" i="9"/>
  <c r="BP88" i="29" s="1"/>
  <c r="BP92" i="31" s="1"/>
  <c r="AK495" i="9"/>
  <c r="AL495" i="9"/>
  <c r="AM495" i="9"/>
  <c r="AN495" i="9"/>
  <c r="AO495" i="9"/>
  <c r="AP495" i="9"/>
  <c r="BP13" i="29" s="1"/>
  <c r="BP13" i="31" s="1"/>
  <c r="W496" i="9"/>
  <c r="X496" i="9"/>
  <c r="Y496" i="9"/>
  <c r="Z496" i="9"/>
  <c r="AA496" i="9"/>
  <c r="AB496" i="9"/>
  <c r="AC496" i="9"/>
  <c r="AE496" i="9"/>
  <c r="AF496" i="9"/>
  <c r="AG496" i="9"/>
  <c r="AH496" i="9"/>
  <c r="AI496" i="9"/>
  <c r="GX88" i="29" s="1"/>
  <c r="GX92" i="31" s="1"/>
  <c r="AK496" i="9"/>
  <c r="AL496" i="9"/>
  <c r="AM496" i="9"/>
  <c r="AN496" i="9"/>
  <c r="AO496" i="9"/>
  <c r="AP496" i="9"/>
  <c r="GX13" i="29" s="1"/>
  <c r="GX13" i="31" s="1"/>
  <c r="W497" i="9"/>
  <c r="X497" i="9"/>
  <c r="Y497" i="9"/>
  <c r="Z497" i="9"/>
  <c r="AA497" i="9"/>
  <c r="AB497" i="9"/>
  <c r="AC497" i="9"/>
  <c r="AE497" i="9"/>
  <c r="AF497" i="9"/>
  <c r="AG497" i="9"/>
  <c r="AH497" i="9"/>
  <c r="AI497" i="9"/>
  <c r="DB88" i="29" s="1"/>
  <c r="DB92" i="31" s="1"/>
  <c r="AK497" i="9"/>
  <c r="AL497" i="9"/>
  <c r="AM497" i="9"/>
  <c r="AN497" i="9"/>
  <c r="AO497" i="9"/>
  <c r="AP497" i="9"/>
  <c r="DB13" i="29" s="1"/>
  <c r="DB13" i="31" s="1"/>
  <c r="W498" i="9"/>
  <c r="X498" i="9"/>
  <c r="Y498" i="9"/>
  <c r="Z498" i="9"/>
  <c r="AA498" i="9"/>
  <c r="AB498" i="9"/>
  <c r="AC498" i="9"/>
  <c r="AE498" i="9"/>
  <c r="AF498" i="9"/>
  <c r="AG498" i="9"/>
  <c r="AH498" i="9"/>
  <c r="AI498" i="9"/>
  <c r="GK88" i="29" s="1"/>
  <c r="GK92" i="31" s="1"/>
  <c r="AK498" i="9"/>
  <c r="AL498" i="9"/>
  <c r="AM498" i="9"/>
  <c r="AN498" i="9"/>
  <c r="AO498" i="9"/>
  <c r="AP498" i="9"/>
  <c r="GK13" i="29" s="1"/>
  <c r="GK13" i="31" s="1"/>
  <c r="W499" i="9"/>
  <c r="X499" i="9"/>
  <c r="Y499" i="9"/>
  <c r="Z499" i="9"/>
  <c r="AA499" i="9"/>
  <c r="AB499" i="9"/>
  <c r="AC499" i="9"/>
  <c r="AE499" i="9"/>
  <c r="AF499" i="9"/>
  <c r="AG499" i="9"/>
  <c r="AH499" i="9"/>
  <c r="AI499" i="9"/>
  <c r="EG88" i="29" s="1"/>
  <c r="EG92" i="31" s="1"/>
  <c r="AK499" i="9"/>
  <c r="AL499" i="9"/>
  <c r="AM499" i="9"/>
  <c r="AN499" i="9"/>
  <c r="AO499" i="9"/>
  <c r="AP499" i="9"/>
  <c r="EG13" i="29" s="1"/>
  <c r="EG13" i="31" s="1"/>
  <c r="W500" i="9"/>
  <c r="X500" i="9"/>
  <c r="Y500" i="9"/>
  <c r="Z500" i="9"/>
  <c r="AA500" i="9"/>
  <c r="AB500" i="9"/>
  <c r="AC500" i="9"/>
  <c r="AE500" i="9"/>
  <c r="AF500" i="9"/>
  <c r="AG500" i="9"/>
  <c r="AH500" i="9"/>
  <c r="AI500" i="9"/>
  <c r="ET88" i="29" s="1"/>
  <c r="ET92" i="31" s="1"/>
  <c r="AK500" i="9"/>
  <c r="AL500" i="9"/>
  <c r="AM500" i="9"/>
  <c r="AN500" i="9"/>
  <c r="AO500" i="9"/>
  <c r="AP500" i="9"/>
  <c r="ET13" i="29" s="1"/>
  <c r="ET13" i="31" s="1"/>
  <c r="W501" i="9"/>
  <c r="X501" i="9"/>
  <c r="Y501" i="9"/>
  <c r="Z501" i="9"/>
  <c r="AA501" i="9"/>
  <c r="AB501" i="9"/>
  <c r="AC501" i="9"/>
  <c r="AE501" i="9"/>
  <c r="AF501" i="9"/>
  <c r="AG501" i="9"/>
  <c r="AH501" i="9"/>
  <c r="AI501" i="9"/>
  <c r="IY88" i="29" s="1"/>
  <c r="AK501" i="9"/>
  <c r="AL501" i="9"/>
  <c r="AM501" i="9"/>
  <c r="AN501" i="9"/>
  <c r="AO501" i="9"/>
  <c r="AP501" i="9"/>
  <c r="IY13" i="29" s="1"/>
  <c r="IY13" i="31" s="1"/>
  <c r="W502" i="9"/>
  <c r="X502" i="9"/>
  <c r="Y502" i="9"/>
  <c r="Z502" i="9"/>
  <c r="AA502" i="9"/>
  <c r="AB502" i="9"/>
  <c r="AC502" i="9"/>
  <c r="AE502" i="9"/>
  <c r="AF502" i="9"/>
  <c r="AG502" i="9"/>
  <c r="AH502" i="9"/>
  <c r="AI502" i="9"/>
  <c r="DE88" i="29" s="1"/>
  <c r="DE92" i="31" s="1"/>
  <c r="AK502" i="9"/>
  <c r="AL502" i="9"/>
  <c r="AM502" i="9"/>
  <c r="AN502" i="9"/>
  <c r="AO502" i="9"/>
  <c r="AP502" i="9"/>
  <c r="DE13" i="29" s="1"/>
  <c r="DE13" i="31" s="1"/>
  <c r="W503" i="9"/>
  <c r="X503" i="9"/>
  <c r="Y503" i="9"/>
  <c r="Z503" i="9"/>
  <c r="AA503" i="9"/>
  <c r="AB503" i="9"/>
  <c r="AC503" i="9"/>
  <c r="AE503" i="9"/>
  <c r="AF503" i="9"/>
  <c r="AG503" i="9"/>
  <c r="AH503" i="9"/>
  <c r="AI503" i="9"/>
  <c r="GM88" i="29" s="1"/>
  <c r="GM92" i="31" s="1"/>
  <c r="AK503" i="9"/>
  <c r="AL503" i="9"/>
  <c r="AM503" i="9"/>
  <c r="AN503" i="9"/>
  <c r="AO503" i="9"/>
  <c r="AP503" i="9"/>
  <c r="GM13" i="29" s="1"/>
  <c r="GM13" i="31" s="1"/>
  <c r="W504" i="9"/>
  <c r="X504" i="9"/>
  <c r="Y504" i="9"/>
  <c r="Z504" i="9"/>
  <c r="AA504" i="9"/>
  <c r="AB504" i="9"/>
  <c r="AC504" i="9"/>
  <c r="AE504" i="9"/>
  <c r="AF504" i="9"/>
  <c r="AG504" i="9"/>
  <c r="AH504" i="9"/>
  <c r="AI504" i="9"/>
  <c r="IU88" i="29" s="1"/>
  <c r="IU92" i="31" s="1"/>
  <c r="AK504" i="9"/>
  <c r="AL504" i="9"/>
  <c r="AM504" i="9"/>
  <c r="AN504" i="9"/>
  <c r="AO504" i="9"/>
  <c r="AP504" i="9"/>
  <c r="IU13" i="29" s="1"/>
  <c r="IU13" i="31" s="1"/>
  <c r="W505" i="9"/>
  <c r="X505" i="9"/>
  <c r="Y505" i="9"/>
  <c r="Z505" i="9"/>
  <c r="AA505" i="9"/>
  <c r="AB505" i="9"/>
  <c r="AC505" i="9"/>
  <c r="AE505" i="9"/>
  <c r="AF505" i="9"/>
  <c r="AG505" i="9"/>
  <c r="AH505" i="9"/>
  <c r="AI505" i="9"/>
  <c r="FR88" i="29" s="1"/>
  <c r="FR92" i="31" s="1"/>
  <c r="AK505" i="9"/>
  <c r="AL505" i="9"/>
  <c r="AM505" i="9"/>
  <c r="AN505" i="9"/>
  <c r="AO505" i="9"/>
  <c r="AP505" i="9"/>
  <c r="FR13" i="29" s="1"/>
  <c r="FR13" i="31" s="1"/>
  <c r="W506" i="9"/>
  <c r="X506" i="9"/>
  <c r="Y506" i="9"/>
  <c r="Z506" i="9"/>
  <c r="AA506" i="9"/>
  <c r="AB506" i="9"/>
  <c r="AC506" i="9"/>
  <c r="AE506" i="9"/>
  <c r="AF506" i="9"/>
  <c r="AG506" i="9"/>
  <c r="AH506" i="9"/>
  <c r="AI506" i="9"/>
  <c r="GT88" i="29" s="1"/>
  <c r="GT92" i="31" s="1"/>
  <c r="AK506" i="9"/>
  <c r="AL506" i="9"/>
  <c r="AM506" i="9"/>
  <c r="AN506" i="9"/>
  <c r="AO506" i="9"/>
  <c r="AP506" i="9"/>
  <c r="GT13" i="29" s="1"/>
  <c r="GT13" i="31" s="1"/>
  <c r="W507" i="9"/>
  <c r="X507" i="9"/>
  <c r="Y507" i="9"/>
  <c r="Z507" i="9"/>
  <c r="AA507" i="9"/>
  <c r="AB507" i="9"/>
  <c r="AC507" i="9"/>
  <c r="AE507" i="9"/>
  <c r="AF507" i="9"/>
  <c r="AG507" i="9"/>
  <c r="AH507" i="9"/>
  <c r="AI507" i="9"/>
  <c r="EQ88" i="29" s="1"/>
  <c r="EQ92" i="31" s="1"/>
  <c r="AK507" i="9"/>
  <c r="AL507" i="9"/>
  <c r="AM507" i="9"/>
  <c r="AN507" i="9"/>
  <c r="AO507" i="9"/>
  <c r="AP507" i="9"/>
  <c r="EQ13" i="29" s="1"/>
  <c r="EQ13" i="31" s="1"/>
  <c r="W508" i="9"/>
  <c r="X508" i="9"/>
  <c r="Y508" i="9"/>
  <c r="Z508" i="9"/>
  <c r="AA508" i="9"/>
  <c r="AB508" i="9"/>
  <c r="AC508" i="9"/>
  <c r="AE508" i="9"/>
  <c r="AF508" i="9"/>
  <c r="AG508" i="9"/>
  <c r="AH508" i="9"/>
  <c r="AI508" i="9"/>
  <c r="CW88" i="29" s="1"/>
  <c r="CW92" i="31" s="1"/>
  <c r="AK508" i="9"/>
  <c r="AL508" i="9"/>
  <c r="AM508" i="9"/>
  <c r="AN508" i="9"/>
  <c r="AO508" i="9"/>
  <c r="AP508" i="9"/>
  <c r="CW13" i="29" s="1"/>
  <c r="CW13" i="31" s="1"/>
  <c r="W509" i="9"/>
  <c r="X509" i="9"/>
  <c r="Y509" i="9"/>
  <c r="Z509" i="9"/>
  <c r="AA509" i="9"/>
  <c r="AB509" i="9"/>
  <c r="AC509" i="9"/>
  <c r="AE509" i="9"/>
  <c r="AF509" i="9"/>
  <c r="AG509" i="9"/>
  <c r="AH509" i="9"/>
  <c r="AI509" i="9"/>
  <c r="FZ88" i="29" s="1"/>
  <c r="FZ92" i="31" s="1"/>
  <c r="AK509" i="9"/>
  <c r="AL509" i="9"/>
  <c r="AM509" i="9"/>
  <c r="AN509" i="9"/>
  <c r="AO509" i="9"/>
  <c r="AP509" i="9"/>
  <c r="FZ13" i="29" s="1"/>
  <c r="FZ13" i="31" s="1"/>
  <c r="W510" i="9"/>
  <c r="X510" i="9"/>
  <c r="Y510" i="9"/>
  <c r="Z510" i="9"/>
  <c r="AA510" i="9"/>
  <c r="AB510" i="9"/>
  <c r="AC510" i="9"/>
  <c r="AE510" i="9"/>
  <c r="AF510" i="9"/>
  <c r="AG510" i="9"/>
  <c r="AH510" i="9"/>
  <c r="AI510" i="9"/>
  <c r="DW88" i="29" s="1"/>
  <c r="DW92" i="31" s="1"/>
  <c r="AK510" i="9"/>
  <c r="AL510" i="9"/>
  <c r="AM510" i="9"/>
  <c r="AN510" i="9"/>
  <c r="AO510" i="9"/>
  <c r="AP510" i="9"/>
  <c r="DW13" i="29" s="1"/>
  <c r="DW13" i="31" s="1"/>
  <c r="W511" i="9"/>
  <c r="X511" i="9"/>
  <c r="Y511" i="9"/>
  <c r="Z511" i="9"/>
  <c r="AA511" i="9"/>
  <c r="AB511" i="9"/>
  <c r="AC511" i="9"/>
  <c r="AE511" i="9"/>
  <c r="AF511" i="9"/>
  <c r="AG511" i="9"/>
  <c r="AH511" i="9"/>
  <c r="AI511" i="9"/>
  <c r="W88" i="29" s="1"/>
  <c r="W92" i="31" s="1"/>
  <c r="AK511" i="9"/>
  <c r="AL511" i="9"/>
  <c r="AM511" i="9"/>
  <c r="AN511" i="9"/>
  <c r="AO511" i="9"/>
  <c r="AP511" i="9"/>
  <c r="W13" i="29" s="1"/>
  <c r="W13" i="31" s="1"/>
  <c r="W512" i="9"/>
  <c r="X512" i="9"/>
  <c r="Y512" i="9"/>
  <c r="Z512" i="9"/>
  <c r="AA512" i="9"/>
  <c r="AB512" i="9"/>
  <c r="AC512" i="9"/>
  <c r="AE512" i="9"/>
  <c r="AF512" i="9"/>
  <c r="AG512" i="9"/>
  <c r="AH512" i="9"/>
  <c r="AI512" i="9"/>
  <c r="H88" i="29" s="1"/>
  <c r="H92" i="31" s="1"/>
  <c r="AK512" i="9"/>
  <c r="AL512" i="9"/>
  <c r="AM512" i="9"/>
  <c r="AN512" i="9"/>
  <c r="AO512" i="9"/>
  <c r="AP512" i="9"/>
  <c r="H13" i="29" s="1"/>
  <c r="H13" i="31" s="1"/>
  <c r="H173" i="31" s="1"/>
  <c r="H114" i="31" s="1"/>
  <c r="W513" i="9"/>
  <c r="X513" i="9"/>
  <c r="Y513" i="9"/>
  <c r="Z513" i="9"/>
  <c r="AA513" i="9"/>
  <c r="AB513" i="9"/>
  <c r="AC513" i="9"/>
  <c r="AE513" i="9"/>
  <c r="AF513" i="9"/>
  <c r="AG513" i="9"/>
  <c r="AH513" i="9"/>
  <c r="AI513" i="9"/>
  <c r="BQ88" i="29" s="1"/>
  <c r="BQ92" i="31" s="1"/>
  <c r="AK513" i="9"/>
  <c r="AL513" i="9"/>
  <c r="AM513" i="9"/>
  <c r="AN513" i="9"/>
  <c r="AO513" i="9"/>
  <c r="AP513" i="9"/>
  <c r="BQ13" i="29" s="1"/>
  <c r="BQ13" i="31" s="1"/>
  <c r="W514" i="9"/>
  <c r="X514" i="9"/>
  <c r="Y514" i="9"/>
  <c r="Z514" i="9"/>
  <c r="AA514" i="9"/>
  <c r="AB514" i="9"/>
  <c r="AC514" i="9"/>
  <c r="AE514" i="9"/>
  <c r="AF514" i="9"/>
  <c r="AG514" i="9"/>
  <c r="AH514" i="9"/>
  <c r="AI514" i="9"/>
  <c r="IK88" i="29" s="1"/>
  <c r="IK92" i="31" s="1"/>
  <c r="AK514" i="9"/>
  <c r="AL514" i="9"/>
  <c r="AM514" i="9"/>
  <c r="AN514" i="9"/>
  <c r="AO514" i="9"/>
  <c r="AP514" i="9"/>
  <c r="IK13" i="29" s="1"/>
  <c r="IK13" i="31" s="1"/>
  <c r="W515" i="9"/>
  <c r="X515" i="9"/>
  <c r="Y515" i="9"/>
  <c r="Z515" i="9"/>
  <c r="AA515" i="9"/>
  <c r="AB515" i="9"/>
  <c r="AC515" i="9"/>
  <c r="AE515" i="9"/>
  <c r="AF515" i="9"/>
  <c r="AG515" i="9"/>
  <c r="AH515" i="9"/>
  <c r="AI515" i="9"/>
  <c r="HD88" i="29" s="1"/>
  <c r="HD92" i="31" s="1"/>
  <c r="AK515" i="9"/>
  <c r="AL515" i="9"/>
  <c r="AM515" i="9"/>
  <c r="AN515" i="9"/>
  <c r="AO515" i="9"/>
  <c r="AP515" i="9"/>
  <c r="HD13" i="29" s="1"/>
  <c r="HD13" i="31" s="1"/>
  <c r="W516" i="9"/>
  <c r="X516" i="9"/>
  <c r="Y516" i="9"/>
  <c r="Z516" i="9"/>
  <c r="AA516" i="9"/>
  <c r="AB516" i="9"/>
  <c r="AC516" i="9"/>
  <c r="AE516" i="9"/>
  <c r="AF516" i="9"/>
  <c r="AG516" i="9"/>
  <c r="AH516" i="9"/>
  <c r="AI516" i="9"/>
  <c r="CX88" i="29" s="1"/>
  <c r="CX92" i="31" s="1"/>
  <c r="AK516" i="9"/>
  <c r="AL516" i="9"/>
  <c r="AM516" i="9"/>
  <c r="AN516" i="9"/>
  <c r="AO516" i="9"/>
  <c r="AP516" i="9"/>
  <c r="CX13" i="29" s="1"/>
  <c r="CX13" i="31" s="1"/>
  <c r="W517" i="9"/>
  <c r="X517" i="9"/>
  <c r="Y517" i="9"/>
  <c r="Z517" i="9"/>
  <c r="AA517" i="9"/>
  <c r="AB517" i="9"/>
  <c r="AC517" i="9"/>
  <c r="AE517" i="9"/>
  <c r="AF517" i="9"/>
  <c r="AG517" i="9"/>
  <c r="AH517" i="9"/>
  <c r="AI517" i="9"/>
  <c r="BA88" i="29" s="1"/>
  <c r="BA92" i="31" s="1"/>
  <c r="AK517" i="9"/>
  <c r="AL517" i="9"/>
  <c r="AM517" i="9"/>
  <c r="AN517" i="9"/>
  <c r="AO517" i="9"/>
  <c r="AP517" i="9"/>
  <c r="BA13" i="29" s="1"/>
  <c r="BA13" i="31" s="1"/>
  <c r="W518" i="9"/>
  <c r="X518" i="9"/>
  <c r="Y518" i="9"/>
  <c r="Z518" i="9"/>
  <c r="AA518" i="9"/>
  <c r="AB518" i="9"/>
  <c r="AC518" i="9"/>
  <c r="AE518" i="9"/>
  <c r="AF518" i="9"/>
  <c r="AG518" i="9"/>
  <c r="AH518" i="9"/>
  <c r="AI518" i="9"/>
  <c r="IS88" i="29" s="1"/>
  <c r="AK518" i="9"/>
  <c r="AL518" i="9"/>
  <c r="AM518" i="9"/>
  <c r="AN518" i="9"/>
  <c r="AO518" i="9"/>
  <c r="AP518" i="9"/>
  <c r="IS13" i="29" s="1"/>
  <c r="IS13" i="31" s="1"/>
  <c r="W519" i="9"/>
  <c r="X519" i="9"/>
  <c r="Y519" i="9"/>
  <c r="Z519" i="9"/>
  <c r="AA519" i="9"/>
  <c r="AB519" i="9"/>
  <c r="AC519" i="9"/>
  <c r="AE519" i="9"/>
  <c r="AF519" i="9"/>
  <c r="AG519" i="9"/>
  <c r="AH519" i="9"/>
  <c r="AI519" i="9"/>
  <c r="AQ88" i="29" s="1"/>
  <c r="AQ92" i="31" s="1"/>
  <c r="AK519" i="9"/>
  <c r="AL519" i="9"/>
  <c r="AM519" i="9"/>
  <c r="AN519" i="9"/>
  <c r="AO519" i="9"/>
  <c r="AP519" i="9"/>
  <c r="AQ13" i="29" s="1"/>
  <c r="AQ13" i="31" s="1"/>
  <c r="W520" i="9"/>
  <c r="X520" i="9"/>
  <c r="Y520" i="9"/>
  <c r="Z520" i="9"/>
  <c r="AA520" i="9"/>
  <c r="AB520" i="9"/>
  <c r="AC520" i="9"/>
  <c r="AE520" i="9"/>
  <c r="AF520" i="9"/>
  <c r="AG520" i="9"/>
  <c r="AH520" i="9"/>
  <c r="AI520" i="9"/>
  <c r="AW88" i="29" s="1"/>
  <c r="AW92" i="31" s="1"/>
  <c r="AK520" i="9"/>
  <c r="AL520" i="9"/>
  <c r="AM520" i="9"/>
  <c r="AN520" i="9"/>
  <c r="AO520" i="9"/>
  <c r="AP520" i="9"/>
  <c r="AW13" i="29" s="1"/>
  <c r="AW13" i="31" s="1"/>
  <c r="AW173" i="31" s="1"/>
  <c r="AW114" i="31" s="1"/>
  <c r="W521" i="9"/>
  <c r="X521" i="9"/>
  <c r="Y521" i="9"/>
  <c r="Z521" i="9"/>
  <c r="AA521" i="9"/>
  <c r="AB521" i="9"/>
  <c r="AC521" i="9"/>
  <c r="AE521" i="9"/>
  <c r="AF521" i="9"/>
  <c r="AG521" i="9"/>
  <c r="AH521" i="9"/>
  <c r="AI521" i="9"/>
  <c r="IG88" i="29" s="1"/>
  <c r="AK521" i="9"/>
  <c r="AL521" i="9"/>
  <c r="AM521" i="9"/>
  <c r="AN521" i="9"/>
  <c r="AO521" i="9"/>
  <c r="AP521" i="9"/>
  <c r="IG13" i="29" s="1"/>
  <c r="IG13" i="31" s="1"/>
  <c r="W522" i="9"/>
  <c r="X522" i="9"/>
  <c r="Y522" i="9"/>
  <c r="Z522" i="9"/>
  <c r="AA522" i="9"/>
  <c r="AB522" i="9"/>
  <c r="AC522" i="9"/>
  <c r="AE522" i="9"/>
  <c r="AF522" i="9"/>
  <c r="AG522" i="9"/>
  <c r="AH522" i="9"/>
  <c r="AI522" i="9"/>
  <c r="FW88" i="29" s="1"/>
  <c r="FW92" i="31" s="1"/>
  <c r="AK522" i="9"/>
  <c r="AL522" i="9"/>
  <c r="AM522" i="9"/>
  <c r="AN522" i="9"/>
  <c r="AO522" i="9"/>
  <c r="AP522" i="9"/>
  <c r="FW13" i="29" s="1"/>
  <c r="FW13" i="31" s="1"/>
  <c r="W523" i="9"/>
  <c r="X523" i="9"/>
  <c r="Y523" i="9"/>
  <c r="Z523" i="9"/>
  <c r="AA523" i="9"/>
  <c r="AB523" i="9"/>
  <c r="AC523" i="9"/>
  <c r="AE523" i="9"/>
  <c r="AF523" i="9"/>
  <c r="AG523" i="9"/>
  <c r="AH523" i="9"/>
  <c r="AI523" i="9"/>
  <c r="BY88" i="29" s="1"/>
  <c r="BY92" i="31" s="1"/>
  <c r="AK523" i="9"/>
  <c r="AL523" i="9"/>
  <c r="AM523" i="9"/>
  <c r="AN523" i="9"/>
  <c r="AO523" i="9"/>
  <c r="AP523" i="9"/>
  <c r="BY13" i="29" s="1"/>
  <c r="BY13" i="31" s="1"/>
  <c r="W524" i="9"/>
  <c r="X524" i="9"/>
  <c r="Y524" i="9"/>
  <c r="Z524" i="9"/>
  <c r="AA524" i="9"/>
  <c r="AB524" i="9"/>
  <c r="AC524" i="9"/>
  <c r="AE524" i="9"/>
  <c r="AF524" i="9"/>
  <c r="AG524" i="9"/>
  <c r="AH524" i="9"/>
  <c r="AI524" i="9"/>
  <c r="AF88" i="29" s="1"/>
  <c r="AF92" i="31" s="1"/>
  <c r="AK524" i="9"/>
  <c r="AL524" i="9"/>
  <c r="AM524" i="9"/>
  <c r="AN524" i="9"/>
  <c r="AO524" i="9"/>
  <c r="AP524" i="9"/>
  <c r="AF13" i="29" s="1"/>
  <c r="AF13" i="31" s="1"/>
  <c r="W525" i="9"/>
  <c r="X525" i="9"/>
  <c r="Y525" i="9"/>
  <c r="Z525" i="9"/>
  <c r="AA525" i="9"/>
  <c r="AB525" i="9"/>
  <c r="AC525" i="9"/>
  <c r="AE525" i="9"/>
  <c r="AF525" i="9"/>
  <c r="AG525" i="9"/>
  <c r="AH525" i="9"/>
  <c r="AI525" i="9"/>
  <c r="DK88" i="29" s="1"/>
  <c r="DK92" i="31" s="1"/>
  <c r="AK525" i="9"/>
  <c r="AL525" i="9"/>
  <c r="AM525" i="9"/>
  <c r="AN525" i="9"/>
  <c r="AO525" i="9"/>
  <c r="AP525" i="9"/>
  <c r="DK13" i="29" s="1"/>
  <c r="DK13" i="31" s="1"/>
  <c r="DK173" i="31" s="1"/>
  <c r="DK114" i="31" s="1"/>
  <c r="W526" i="9"/>
  <c r="X526" i="9"/>
  <c r="Y526" i="9"/>
  <c r="Z526" i="9"/>
  <c r="AA526" i="9"/>
  <c r="AB526" i="9"/>
  <c r="AC526" i="9"/>
  <c r="AE526" i="9"/>
  <c r="AF526" i="9"/>
  <c r="AG526" i="9"/>
  <c r="AH526" i="9"/>
  <c r="AI526" i="9"/>
  <c r="CJ88" i="29" s="1"/>
  <c r="CJ92" i="31" s="1"/>
  <c r="AK526" i="9"/>
  <c r="AL526" i="9"/>
  <c r="AM526" i="9"/>
  <c r="AN526" i="9"/>
  <c r="AO526" i="9"/>
  <c r="AP526" i="9"/>
  <c r="CJ13" i="29" s="1"/>
  <c r="CJ13" i="31" s="1"/>
  <c r="W527" i="9"/>
  <c r="X527" i="9"/>
  <c r="Y527" i="9"/>
  <c r="Z527" i="9"/>
  <c r="AA527" i="9"/>
  <c r="AB527" i="9"/>
  <c r="AC527" i="9"/>
  <c r="AE527" i="9"/>
  <c r="AF527" i="9"/>
  <c r="AG527" i="9"/>
  <c r="AH527" i="9"/>
  <c r="AI527" i="9"/>
  <c r="DU88" i="29" s="1"/>
  <c r="DU92" i="31" s="1"/>
  <c r="AK527" i="9"/>
  <c r="AL527" i="9"/>
  <c r="AM527" i="9"/>
  <c r="AN527" i="9"/>
  <c r="AO527" i="9"/>
  <c r="AP527" i="9"/>
  <c r="DU13" i="29" s="1"/>
  <c r="DU13" i="31" s="1"/>
  <c r="DU173" i="31" s="1"/>
  <c r="DU114" i="31" s="1"/>
  <c r="W528" i="9"/>
  <c r="X528" i="9"/>
  <c r="Y528" i="9"/>
  <c r="Z528" i="9"/>
  <c r="AA528" i="9"/>
  <c r="AB528" i="9"/>
  <c r="AC528" i="9"/>
  <c r="AE528" i="9"/>
  <c r="AF528" i="9"/>
  <c r="AG528" i="9"/>
  <c r="AH528" i="9"/>
  <c r="AI528" i="9"/>
  <c r="AI88" i="29" s="1"/>
  <c r="AK528" i="9"/>
  <c r="AL528" i="9"/>
  <c r="AM528" i="9"/>
  <c r="AN528" i="9"/>
  <c r="AO528" i="9"/>
  <c r="AP528" i="9"/>
  <c r="AI13" i="29" s="1"/>
  <c r="AI13" i="31" s="1"/>
  <c r="W529" i="9"/>
  <c r="X529" i="9"/>
  <c r="Y529" i="9"/>
  <c r="Z529" i="9"/>
  <c r="AA529" i="9"/>
  <c r="AB529" i="9"/>
  <c r="AC529" i="9"/>
  <c r="AE529" i="9"/>
  <c r="AF529" i="9"/>
  <c r="AG529" i="9"/>
  <c r="AH529" i="9"/>
  <c r="AI529" i="9"/>
  <c r="EX88" i="29" s="1"/>
  <c r="AK529" i="9"/>
  <c r="AL529" i="9"/>
  <c r="AM529" i="9"/>
  <c r="AN529" i="9"/>
  <c r="AO529" i="9"/>
  <c r="AP529" i="9"/>
  <c r="EX13" i="29" s="1"/>
  <c r="EX13" i="31" s="1"/>
  <c r="W530" i="9"/>
  <c r="X530" i="9"/>
  <c r="Y530" i="9"/>
  <c r="Z530" i="9"/>
  <c r="AA530" i="9"/>
  <c r="AB530" i="9"/>
  <c r="AC530" i="9"/>
  <c r="AE530" i="9"/>
  <c r="AF530" i="9"/>
  <c r="AG530" i="9"/>
  <c r="AH530" i="9"/>
  <c r="AI530" i="9"/>
  <c r="DT88" i="29" s="1"/>
  <c r="DT92" i="31" s="1"/>
  <c r="AK530" i="9"/>
  <c r="AL530" i="9"/>
  <c r="AM530" i="9"/>
  <c r="AN530" i="9"/>
  <c r="AO530" i="9"/>
  <c r="AP530" i="9"/>
  <c r="DT13" i="29" s="1"/>
  <c r="DT13" i="31" s="1"/>
  <c r="W531" i="9"/>
  <c r="X531" i="9"/>
  <c r="Y531" i="9"/>
  <c r="Z531" i="9"/>
  <c r="AA531" i="9"/>
  <c r="AB531" i="9"/>
  <c r="AC531" i="9"/>
  <c r="AE531" i="9"/>
  <c r="AF531" i="9"/>
  <c r="AG531" i="9"/>
  <c r="AH531" i="9"/>
  <c r="AI531" i="9"/>
  <c r="AU88" i="29" s="1"/>
  <c r="AU92" i="31" s="1"/>
  <c r="AK531" i="9"/>
  <c r="AL531" i="9"/>
  <c r="AM531" i="9"/>
  <c r="AN531" i="9"/>
  <c r="AO531" i="9"/>
  <c r="AP531" i="9"/>
  <c r="AU13" i="29" s="1"/>
  <c r="AU13" i="31" s="1"/>
  <c r="W532" i="9"/>
  <c r="X532" i="9"/>
  <c r="Y532" i="9"/>
  <c r="Z532" i="9"/>
  <c r="AA532" i="9"/>
  <c r="AB532" i="9"/>
  <c r="AC532" i="9"/>
  <c r="AE532" i="9"/>
  <c r="AF532" i="9"/>
  <c r="AG532" i="9"/>
  <c r="AH532" i="9"/>
  <c r="AI532" i="9"/>
  <c r="DF88" i="29" s="1"/>
  <c r="DF92" i="31" s="1"/>
  <c r="AK532" i="9"/>
  <c r="AL532" i="9"/>
  <c r="AM532" i="9"/>
  <c r="AN532" i="9"/>
  <c r="AO532" i="9"/>
  <c r="AP532" i="9"/>
  <c r="DF13" i="29" s="1"/>
  <c r="DF13" i="31" s="1"/>
  <c r="W533" i="9"/>
  <c r="X533" i="9"/>
  <c r="Y533" i="9"/>
  <c r="Z533" i="9"/>
  <c r="AA533" i="9"/>
  <c r="AB533" i="9"/>
  <c r="AC533" i="9"/>
  <c r="AE533" i="9"/>
  <c r="AF533" i="9"/>
  <c r="AG533" i="9"/>
  <c r="AH533" i="9"/>
  <c r="AI533" i="9"/>
  <c r="AR88" i="29" s="1"/>
  <c r="AR92" i="31" s="1"/>
  <c r="AK533" i="9"/>
  <c r="AL533" i="9"/>
  <c r="AM533" i="9"/>
  <c r="AN533" i="9"/>
  <c r="AO533" i="9"/>
  <c r="AP533" i="9"/>
  <c r="AR13" i="29" s="1"/>
  <c r="AR13" i="31" s="1"/>
  <c r="W534" i="9"/>
  <c r="X534" i="9"/>
  <c r="Y534" i="9"/>
  <c r="Z534" i="9"/>
  <c r="AA534" i="9"/>
  <c r="AB534" i="9"/>
  <c r="AC534" i="9"/>
  <c r="AE534" i="9"/>
  <c r="AF534" i="9"/>
  <c r="AG534" i="9"/>
  <c r="AH534" i="9"/>
  <c r="AI534" i="9"/>
  <c r="BD88" i="29" s="1"/>
  <c r="BD92" i="31" s="1"/>
  <c r="AK534" i="9"/>
  <c r="AL534" i="9"/>
  <c r="AM534" i="9"/>
  <c r="AN534" i="9"/>
  <c r="AO534" i="9"/>
  <c r="AP534" i="9"/>
  <c r="BD13" i="29" s="1"/>
  <c r="BD13" i="31" s="1"/>
  <c r="W535" i="9"/>
  <c r="X535" i="9"/>
  <c r="Y535" i="9"/>
  <c r="Z535" i="9"/>
  <c r="AA535" i="9"/>
  <c r="AB535" i="9"/>
  <c r="AC535" i="9"/>
  <c r="AE535" i="9"/>
  <c r="AF535" i="9"/>
  <c r="AG535" i="9"/>
  <c r="AH535" i="9"/>
  <c r="AI535" i="9"/>
  <c r="JA88" i="29" s="1"/>
  <c r="JA92" i="31" s="1"/>
  <c r="AK535" i="9"/>
  <c r="AL535" i="9"/>
  <c r="AM535" i="9"/>
  <c r="AN535" i="9"/>
  <c r="AO535" i="9"/>
  <c r="AP535" i="9"/>
  <c r="JA13" i="29" s="1"/>
  <c r="JA13" i="31" s="1"/>
  <c r="W536" i="9"/>
  <c r="X536" i="9"/>
  <c r="Y536" i="9"/>
  <c r="Z536" i="9"/>
  <c r="AA536" i="9"/>
  <c r="AB536" i="9"/>
  <c r="AC536" i="9"/>
  <c r="AE536" i="9"/>
  <c r="AF536" i="9"/>
  <c r="AG536" i="9"/>
  <c r="AH536" i="9"/>
  <c r="AI536" i="9"/>
  <c r="IH88" i="29" s="1"/>
  <c r="AK536" i="9"/>
  <c r="AL536" i="9"/>
  <c r="AM536" i="9"/>
  <c r="AN536" i="9"/>
  <c r="AO536" i="9"/>
  <c r="AP536" i="9"/>
  <c r="IH13" i="29" s="1"/>
  <c r="IH13" i="31" s="1"/>
  <c r="W537" i="9"/>
  <c r="X537" i="9"/>
  <c r="Y537" i="9"/>
  <c r="Z537" i="9"/>
  <c r="AA537" i="9"/>
  <c r="AB537" i="9"/>
  <c r="AC537" i="9"/>
  <c r="AE537" i="9"/>
  <c r="AF537" i="9"/>
  <c r="AG537" i="9"/>
  <c r="AH537" i="9"/>
  <c r="AI537" i="9"/>
  <c r="DC88" i="29" s="1"/>
  <c r="DC92" i="31" s="1"/>
  <c r="AK537" i="9"/>
  <c r="AL537" i="9"/>
  <c r="AM537" i="9"/>
  <c r="AN537" i="9"/>
  <c r="AO537" i="9"/>
  <c r="AP537" i="9"/>
  <c r="DC13" i="29" s="1"/>
  <c r="DC13" i="31" s="1"/>
  <c r="W538" i="9"/>
  <c r="X538" i="9"/>
  <c r="Y538" i="9"/>
  <c r="Z538" i="9"/>
  <c r="AA538" i="9"/>
  <c r="AB538" i="9"/>
  <c r="AC538" i="9"/>
  <c r="AE538" i="9"/>
  <c r="AF538" i="9"/>
  <c r="AG538" i="9"/>
  <c r="AH538" i="9"/>
  <c r="AI538" i="9"/>
  <c r="BC88" i="29" s="1"/>
  <c r="BC92" i="31" s="1"/>
  <c r="AK538" i="9"/>
  <c r="AL538" i="9"/>
  <c r="AM538" i="9"/>
  <c r="AN538" i="9"/>
  <c r="AO538" i="9"/>
  <c r="AP538" i="9"/>
  <c r="BC13" i="29" s="1"/>
  <c r="BC13" i="31" s="1"/>
  <c r="W539" i="9"/>
  <c r="X539" i="9"/>
  <c r="Y539" i="9"/>
  <c r="Z539" i="9"/>
  <c r="AA539" i="9"/>
  <c r="AB539" i="9"/>
  <c r="AC539" i="9"/>
  <c r="AE539" i="9"/>
  <c r="AF539" i="9"/>
  <c r="AG539" i="9"/>
  <c r="AH539" i="9"/>
  <c r="AI539" i="9"/>
  <c r="AL88" i="29" s="1"/>
  <c r="AL92" i="31" s="1"/>
  <c r="AK539" i="9"/>
  <c r="AL539" i="9"/>
  <c r="AM539" i="9"/>
  <c r="AN539" i="9"/>
  <c r="AO539" i="9"/>
  <c r="AP539" i="9"/>
  <c r="AL13" i="29" s="1"/>
  <c r="AL13" i="31" s="1"/>
  <c r="W540" i="9"/>
  <c r="X540" i="9"/>
  <c r="Y540" i="9"/>
  <c r="Z540" i="9"/>
  <c r="AA540" i="9"/>
  <c r="AB540" i="9"/>
  <c r="AC540" i="9"/>
  <c r="AE540" i="9"/>
  <c r="AF540" i="9"/>
  <c r="AG540" i="9"/>
  <c r="AH540" i="9"/>
  <c r="AI540" i="9"/>
  <c r="DP88" i="29" s="1"/>
  <c r="DP92" i="31" s="1"/>
  <c r="AK540" i="9"/>
  <c r="AL540" i="9"/>
  <c r="AM540" i="9"/>
  <c r="AN540" i="9"/>
  <c r="AO540" i="9"/>
  <c r="AP540" i="9"/>
  <c r="DP13" i="29" s="1"/>
  <c r="DP13" i="31" s="1"/>
  <c r="W541" i="9"/>
  <c r="X541" i="9"/>
  <c r="Y541" i="9"/>
  <c r="Z541" i="9"/>
  <c r="AA541" i="9"/>
  <c r="AB541" i="9"/>
  <c r="AC541" i="9"/>
  <c r="AE541" i="9"/>
  <c r="AF541" i="9"/>
  <c r="AG541" i="9"/>
  <c r="AH541" i="9"/>
  <c r="AI541" i="9"/>
  <c r="JH88" i="29" s="1"/>
  <c r="JH92" i="31" s="1"/>
  <c r="AK541" i="9"/>
  <c r="AL541" i="9"/>
  <c r="AM541" i="9"/>
  <c r="AN541" i="9"/>
  <c r="AO541" i="9"/>
  <c r="AP541" i="9"/>
  <c r="JH13" i="29" s="1"/>
  <c r="JH13" i="31" s="1"/>
  <c r="W542" i="9"/>
  <c r="X542" i="9"/>
  <c r="Y542" i="9"/>
  <c r="Z542" i="9"/>
  <c r="AA542" i="9"/>
  <c r="AB542" i="9"/>
  <c r="AC542" i="9"/>
  <c r="AE542" i="9"/>
  <c r="AF542" i="9"/>
  <c r="AG542" i="9"/>
  <c r="AH542" i="9"/>
  <c r="AI542" i="9"/>
  <c r="HM88" i="29" s="1"/>
  <c r="HM92" i="31" s="1"/>
  <c r="AK542" i="9"/>
  <c r="AL542" i="9"/>
  <c r="AM542" i="9"/>
  <c r="AN542" i="9"/>
  <c r="AO542" i="9"/>
  <c r="AP542" i="9"/>
  <c r="HM13" i="29" s="1"/>
  <c r="HM13" i="31" s="1"/>
  <c r="W543" i="9"/>
  <c r="X543" i="9"/>
  <c r="Y543" i="9"/>
  <c r="Z543" i="9"/>
  <c r="AA543" i="9"/>
  <c r="AB543" i="9"/>
  <c r="AC543" i="9"/>
  <c r="AE543" i="9"/>
  <c r="AF543" i="9"/>
  <c r="AG543" i="9"/>
  <c r="AH543" i="9"/>
  <c r="AI543" i="9"/>
  <c r="IC88" i="29" s="1"/>
  <c r="AK543" i="9"/>
  <c r="AL543" i="9"/>
  <c r="AM543" i="9"/>
  <c r="AN543" i="9"/>
  <c r="AO543" i="9"/>
  <c r="AP543" i="9"/>
  <c r="IC13" i="29" s="1"/>
  <c r="IC13" i="31" s="1"/>
  <c r="W544" i="9"/>
  <c r="X544" i="9"/>
  <c r="Y544" i="9"/>
  <c r="Z544" i="9"/>
  <c r="AA544" i="9"/>
  <c r="AB544" i="9"/>
  <c r="AC544" i="9"/>
  <c r="AE544" i="9"/>
  <c r="AF544" i="9"/>
  <c r="AG544" i="9"/>
  <c r="AH544" i="9"/>
  <c r="AI544" i="9"/>
  <c r="GS88" i="29" s="1"/>
  <c r="GS92" i="31" s="1"/>
  <c r="AK544" i="9"/>
  <c r="AL544" i="9"/>
  <c r="AM544" i="9"/>
  <c r="AN544" i="9"/>
  <c r="AO544" i="9"/>
  <c r="AP544" i="9"/>
  <c r="GS13" i="29" s="1"/>
  <c r="GS13" i="31" s="1"/>
  <c r="W545" i="9"/>
  <c r="X545" i="9"/>
  <c r="Y545" i="9"/>
  <c r="Z545" i="9"/>
  <c r="AA545" i="9"/>
  <c r="AB545" i="9"/>
  <c r="AC545" i="9"/>
  <c r="AE545" i="9"/>
  <c r="AF545" i="9"/>
  <c r="AG545" i="9"/>
  <c r="AH545" i="9"/>
  <c r="AI545" i="9"/>
  <c r="Q88" i="29" s="1"/>
  <c r="Q92" i="31" s="1"/>
  <c r="AK545" i="9"/>
  <c r="AL545" i="9"/>
  <c r="AM545" i="9"/>
  <c r="AN545" i="9"/>
  <c r="AO545" i="9"/>
  <c r="AP545" i="9"/>
  <c r="Q13" i="29" s="1"/>
  <c r="Q13" i="31" s="1"/>
  <c r="W546" i="9"/>
  <c r="X546" i="9"/>
  <c r="Y546" i="9"/>
  <c r="Z546" i="9"/>
  <c r="AA546" i="9"/>
  <c r="AB546" i="9"/>
  <c r="AC546" i="9"/>
  <c r="AE546" i="9"/>
  <c r="AF546" i="9"/>
  <c r="AG546" i="9"/>
  <c r="AH546" i="9"/>
  <c r="AI546" i="9"/>
  <c r="FI88" i="29" s="1"/>
  <c r="AK546" i="9"/>
  <c r="AL546" i="9"/>
  <c r="AM546" i="9"/>
  <c r="AN546" i="9"/>
  <c r="AO546" i="9"/>
  <c r="AP546" i="9"/>
  <c r="FI13" i="29" s="1"/>
  <c r="FI13" i="31" s="1"/>
  <c r="W547" i="9"/>
  <c r="X547" i="9"/>
  <c r="Y547" i="9"/>
  <c r="Z547" i="9"/>
  <c r="AA547" i="9"/>
  <c r="AB547" i="9"/>
  <c r="AC547" i="9"/>
  <c r="AE547" i="9"/>
  <c r="AF547" i="9"/>
  <c r="AG547" i="9"/>
  <c r="AH547" i="9"/>
  <c r="AI547" i="9"/>
  <c r="BS88" i="29" s="1"/>
  <c r="BS92" i="31" s="1"/>
  <c r="AK547" i="9"/>
  <c r="AL547" i="9"/>
  <c r="AM547" i="9"/>
  <c r="AN547" i="9"/>
  <c r="AO547" i="9"/>
  <c r="AP547" i="9"/>
  <c r="BS13" i="29" s="1"/>
  <c r="BS13" i="31" s="1"/>
  <c r="W548" i="9"/>
  <c r="X548" i="9"/>
  <c r="Y548" i="9"/>
  <c r="Z548" i="9"/>
  <c r="AA548" i="9"/>
  <c r="AB548" i="9"/>
  <c r="AC548" i="9"/>
  <c r="AE548" i="9"/>
  <c r="AF548" i="9"/>
  <c r="AG548" i="9"/>
  <c r="AH548" i="9"/>
  <c r="AI548" i="9"/>
  <c r="HE88" i="29" s="1"/>
  <c r="AK548" i="9"/>
  <c r="AL548" i="9"/>
  <c r="AM548" i="9"/>
  <c r="AN548" i="9"/>
  <c r="AO548" i="9"/>
  <c r="AP548" i="9"/>
  <c r="HE13" i="29" s="1"/>
  <c r="HE13" i="31" s="1"/>
  <c r="W549" i="9"/>
  <c r="X549" i="9"/>
  <c r="Y549" i="9"/>
  <c r="Z549" i="9"/>
  <c r="AA549" i="9"/>
  <c r="AB549" i="9"/>
  <c r="AC549" i="9"/>
  <c r="AE549" i="9"/>
  <c r="AF549" i="9"/>
  <c r="AG549" i="9"/>
  <c r="AH549" i="9"/>
  <c r="AI549" i="9"/>
  <c r="CS88" i="29" s="1"/>
  <c r="CS92" i="31" s="1"/>
  <c r="AK549" i="9"/>
  <c r="AL549" i="9"/>
  <c r="AM549" i="9"/>
  <c r="AN549" i="9"/>
  <c r="AO549" i="9"/>
  <c r="AP549" i="9"/>
  <c r="CS13" i="29" s="1"/>
  <c r="CS13" i="31" s="1"/>
  <c r="W550" i="9"/>
  <c r="X550" i="9"/>
  <c r="Y550" i="9"/>
  <c r="Z550" i="9"/>
  <c r="AA550" i="9"/>
  <c r="AB550" i="9"/>
  <c r="AC550" i="9"/>
  <c r="AE550" i="9"/>
  <c r="AF550" i="9"/>
  <c r="AG550" i="9"/>
  <c r="AH550" i="9"/>
  <c r="AI550" i="9"/>
  <c r="AP88" i="29" s="1"/>
  <c r="AP92" i="31" s="1"/>
  <c r="AK550" i="9"/>
  <c r="AL550" i="9"/>
  <c r="AM550" i="9"/>
  <c r="AN550" i="9"/>
  <c r="AO550" i="9"/>
  <c r="AP550" i="9"/>
  <c r="AP13" i="29" s="1"/>
  <c r="AP13" i="31" s="1"/>
  <c r="W551" i="9"/>
  <c r="X551" i="9"/>
  <c r="Y551" i="9"/>
  <c r="Z551" i="9"/>
  <c r="AA551" i="9"/>
  <c r="AB551" i="9"/>
  <c r="AC551" i="9"/>
  <c r="AE551" i="9"/>
  <c r="AF551" i="9"/>
  <c r="AG551" i="9"/>
  <c r="AH551" i="9"/>
  <c r="AI551" i="9"/>
  <c r="AJ88" i="29" s="1"/>
  <c r="AK551" i="9"/>
  <c r="AL551" i="9"/>
  <c r="AM551" i="9"/>
  <c r="AN551" i="9"/>
  <c r="AO551" i="9"/>
  <c r="AP551" i="9"/>
  <c r="AJ13" i="29" s="1"/>
  <c r="AJ13" i="31" s="1"/>
  <c r="W552" i="9"/>
  <c r="X552" i="9"/>
  <c r="Y552" i="9"/>
  <c r="Z552" i="9"/>
  <c r="AA552" i="9"/>
  <c r="AB552" i="9"/>
  <c r="AC552" i="9"/>
  <c r="AE552" i="9"/>
  <c r="AF552" i="9"/>
  <c r="AG552" i="9"/>
  <c r="AH552" i="9"/>
  <c r="AI552" i="9"/>
  <c r="AA88" i="29" s="1"/>
  <c r="AA92" i="31" s="1"/>
  <c r="AK552" i="9"/>
  <c r="AL552" i="9"/>
  <c r="AM552" i="9"/>
  <c r="AN552" i="9"/>
  <c r="AO552" i="9"/>
  <c r="AP552" i="9"/>
  <c r="AA13" i="29" s="1"/>
  <c r="AA13" i="31" s="1"/>
  <c r="W553" i="9"/>
  <c r="X553" i="9"/>
  <c r="Y553" i="9"/>
  <c r="Z553" i="9"/>
  <c r="AA553" i="9"/>
  <c r="AB553" i="9"/>
  <c r="AC553" i="9"/>
  <c r="AE553" i="9"/>
  <c r="AF553" i="9"/>
  <c r="AG553" i="9"/>
  <c r="AH553" i="9"/>
  <c r="AI553" i="9"/>
  <c r="ED88" i="29" s="1"/>
  <c r="ED92" i="31" s="1"/>
  <c r="AK553" i="9"/>
  <c r="AL553" i="9"/>
  <c r="AM553" i="9"/>
  <c r="AN553" i="9"/>
  <c r="AO553" i="9"/>
  <c r="AP553" i="9"/>
  <c r="ED13" i="29" s="1"/>
  <c r="ED13" i="31" s="1"/>
  <c r="W554" i="9"/>
  <c r="X554" i="9"/>
  <c r="Y554" i="9"/>
  <c r="Z554" i="9"/>
  <c r="AA554" i="9"/>
  <c r="AB554" i="9"/>
  <c r="AC554" i="9"/>
  <c r="AE554" i="9"/>
  <c r="AF554" i="9"/>
  <c r="AG554" i="9"/>
  <c r="AH554" i="9"/>
  <c r="AI554" i="9"/>
  <c r="D88" i="29" s="1"/>
  <c r="AK554" i="9"/>
  <c r="AL554" i="9"/>
  <c r="AM554" i="9"/>
  <c r="AN554" i="9"/>
  <c r="AO554" i="9"/>
  <c r="AP554" i="9"/>
  <c r="D13" i="29" s="1"/>
  <c r="D13" i="31" s="1"/>
  <c r="W555" i="9"/>
  <c r="X555" i="9"/>
  <c r="Y555" i="9"/>
  <c r="Z555" i="9"/>
  <c r="AA555" i="9"/>
  <c r="AB555" i="9"/>
  <c r="AC555" i="9"/>
  <c r="AE555" i="9"/>
  <c r="AF555" i="9"/>
  <c r="AG555" i="9"/>
  <c r="AH555" i="9"/>
  <c r="AI555" i="9"/>
  <c r="BT88" i="29" s="1"/>
  <c r="BT92" i="31" s="1"/>
  <c r="AK555" i="9"/>
  <c r="AL555" i="9"/>
  <c r="AM555" i="9"/>
  <c r="AN555" i="9"/>
  <c r="AO555" i="9"/>
  <c r="AP555" i="9"/>
  <c r="BT13" i="29" s="1"/>
  <c r="BT13" i="31" s="1"/>
  <c r="W556" i="9"/>
  <c r="X556" i="9"/>
  <c r="Y556" i="9"/>
  <c r="Z556" i="9"/>
  <c r="AA556" i="9"/>
  <c r="AB556" i="9"/>
  <c r="AC556" i="9"/>
  <c r="AE556" i="9"/>
  <c r="AF556" i="9"/>
  <c r="AG556" i="9"/>
  <c r="AH556" i="9"/>
  <c r="AI556" i="9"/>
  <c r="CT88" i="29" s="1"/>
  <c r="CT92" i="31" s="1"/>
  <c r="AK556" i="9"/>
  <c r="AL556" i="9"/>
  <c r="AM556" i="9"/>
  <c r="AN556" i="9"/>
  <c r="AO556" i="9"/>
  <c r="AP556" i="9"/>
  <c r="CT13" i="29" s="1"/>
  <c r="CT13" i="31" s="1"/>
  <c r="CT173" i="31" s="1"/>
  <c r="CT114" i="31" s="1"/>
  <c r="W557" i="9"/>
  <c r="X557" i="9"/>
  <c r="Y557" i="9"/>
  <c r="Z557" i="9"/>
  <c r="AA557" i="9"/>
  <c r="AB557" i="9"/>
  <c r="AC557" i="9"/>
  <c r="AE557" i="9"/>
  <c r="AF557" i="9"/>
  <c r="AG557" i="9"/>
  <c r="AH557" i="9"/>
  <c r="AI557" i="9"/>
  <c r="BU88" i="29" s="1"/>
  <c r="BU92" i="31" s="1"/>
  <c r="AK557" i="9"/>
  <c r="AL557" i="9"/>
  <c r="AM557" i="9"/>
  <c r="AN557" i="9"/>
  <c r="AO557" i="9"/>
  <c r="AP557" i="9"/>
  <c r="BU13" i="29" s="1"/>
  <c r="BU13" i="31" s="1"/>
  <c r="W558" i="9"/>
  <c r="X558" i="9"/>
  <c r="Y558" i="9"/>
  <c r="Z558" i="9"/>
  <c r="AA558" i="9"/>
  <c r="AB558" i="9"/>
  <c r="AC558" i="9"/>
  <c r="AE558" i="9"/>
  <c r="AF558" i="9"/>
  <c r="AG558" i="9"/>
  <c r="AH558" i="9"/>
  <c r="AI558" i="9"/>
  <c r="DA88" i="29" s="1"/>
  <c r="AK558" i="9"/>
  <c r="AL558" i="9"/>
  <c r="AM558" i="9"/>
  <c r="AN558" i="9"/>
  <c r="AO558" i="9"/>
  <c r="AP558" i="9"/>
  <c r="DA13" i="29" s="1"/>
  <c r="DA13" i="31" s="1"/>
  <c r="W559" i="9"/>
  <c r="X559" i="9"/>
  <c r="Y559" i="9"/>
  <c r="Z559" i="9"/>
  <c r="AA559" i="9"/>
  <c r="AB559" i="9"/>
  <c r="AC559" i="9"/>
  <c r="AE559" i="9"/>
  <c r="AF559" i="9"/>
  <c r="AG559" i="9"/>
  <c r="AH559" i="9"/>
  <c r="AI559" i="9"/>
  <c r="FV88" i="29" s="1"/>
  <c r="FV92" i="31" s="1"/>
  <c r="AK559" i="9"/>
  <c r="AL559" i="9"/>
  <c r="AM559" i="9"/>
  <c r="AN559" i="9"/>
  <c r="AO559" i="9"/>
  <c r="AP559" i="9"/>
  <c r="FV13" i="29" s="1"/>
  <c r="FV13" i="31" s="1"/>
  <c r="W560" i="9"/>
  <c r="X560" i="9"/>
  <c r="Y560" i="9"/>
  <c r="Z560" i="9"/>
  <c r="AA560" i="9"/>
  <c r="AB560" i="9"/>
  <c r="AC560" i="9"/>
  <c r="AE560" i="9"/>
  <c r="AF560" i="9"/>
  <c r="AG560" i="9"/>
  <c r="AH560" i="9"/>
  <c r="AI560" i="9"/>
  <c r="GJ88" i="29" s="1"/>
  <c r="GJ92" i="31" s="1"/>
  <c r="AK560" i="9"/>
  <c r="AL560" i="9"/>
  <c r="AM560" i="9"/>
  <c r="AN560" i="9"/>
  <c r="AO560" i="9"/>
  <c r="AP560" i="9"/>
  <c r="GJ13" i="29" s="1"/>
  <c r="GJ13" i="31" s="1"/>
  <c r="W561" i="9"/>
  <c r="X561" i="9"/>
  <c r="Y561" i="9"/>
  <c r="Z561" i="9"/>
  <c r="AA561" i="9"/>
  <c r="AB561" i="9"/>
  <c r="AC561" i="9"/>
  <c r="AE561" i="9"/>
  <c r="AF561" i="9"/>
  <c r="AG561" i="9"/>
  <c r="AH561" i="9"/>
  <c r="AI561" i="9"/>
  <c r="EO88" i="29" s="1"/>
  <c r="EO92" i="31" s="1"/>
  <c r="AK561" i="9"/>
  <c r="AL561" i="9"/>
  <c r="AM561" i="9"/>
  <c r="AN561" i="9"/>
  <c r="AO561" i="9"/>
  <c r="AP561" i="9"/>
  <c r="EO13" i="29" s="1"/>
  <c r="EO13" i="31" s="1"/>
  <c r="W562" i="9"/>
  <c r="X562" i="9"/>
  <c r="Y562" i="9"/>
  <c r="Z562" i="9"/>
  <c r="AA562" i="9"/>
  <c r="AB562" i="9"/>
  <c r="AC562" i="9"/>
  <c r="AE562" i="9"/>
  <c r="AF562" i="9"/>
  <c r="AG562" i="9"/>
  <c r="AH562" i="9"/>
  <c r="AI562" i="9"/>
  <c r="Y88" i="29" s="1"/>
  <c r="Y92" i="31" s="1"/>
  <c r="AK562" i="9"/>
  <c r="AL562" i="9"/>
  <c r="AM562" i="9"/>
  <c r="AN562" i="9"/>
  <c r="AO562" i="9"/>
  <c r="AP562" i="9"/>
  <c r="Y13" i="29" s="1"/>
  <c r="Y13" i="31" s="1"/>
  <c r="W563" i="9"/>
  <c r="X563" i="9"/>
  <c r="Y563" i="9"/>
  <c r="Z563" i="9"/>
  <c r="AA563" i="9"/>
  <c r="AB563" i="9"/>
  <c r="AC563" i="9"/>
  <c r="AE563" i="9"/>
  <c r="AF563" i="9"/>
  <c r="AG563" i="9"/>
  <c r="AH563" i="9"/>
  <c r="AI563" i="9"/>
  <c r="Z88" i="29" s="1"/>
  <c r="AK563" i="9"/>
  <c r="AL563" i="9"/>
  <c r="AM563" i="9"/>
  <c r="AN563" i="9"/>
  <c r="AO563" i="9"/>
  <c r="AP563" i="9"/>
  <c r="Z13" i="29" s="1"/>
  <c r="Z13" i="31" s="1"/>
  <c r="W564" i="9"/>
  <c r="X564" i="9"/>
  <c r="Y564" i="9"/>
  <c r="Z564" i="9"/>
  <c r="AA564" i="9"/>
  <c r="AB564" i="9"/>
  <c r="AC564" i="9"/>
  <c r="AE564" i="9"/>
  <c r="AF564" i="9"/>
  <c r="AG564" i="9"/>
  <c r="AH564" i="9"/>
  <c r="AI564" i="9"/>
  <c r="EL88" i="29" s="1"/>
  <c r="EL92" i="31" s="1"/>
  <c r="AK564" i="9"/>
  <c r="AL564" i="9"/>
  <c r="AM564" i="9"/>
  <c r="AN564" i="9"/>
  <c r="AO564" i="9"/>
  <c r="AP564" i="9"/>
  <c r="EL13" i="29" s="1"/>
  <c r="EL13" i="31" s="1"/>
  <c r="W565" i="9"/>
  <c r="X565" i="9"/>
  <c r="Y565" i="9"/>
  <c r="Z565" i="9"/>
  <c r="AA565" i="9"/>
  <c r="AB565" i="9"/>
  <c r="AC565" i="9"/>
  <c r="AE565" i="9"/>
  <c r="AF565" i="9"/>
  <c r="AG565" i="9"/>
  <c r="AH565" i="9"/>
  <c r="AI565" i="9"/>
  <c r="BI88" i="29" s="1"/>
  <c r="AK565" i="9"/>
  <c r="AL565" i="9"/>
  <c r="AM565" i="9"/>
  <c r="AN565" i="9"/>
  <c r="AO565" i="9"/>
  <c r="AP565" i="9"/>
  <c r="BI13" i="29" s="1"/>
  <c r="BI13" i="31" s="1"/>
  <c r="W566" i="9"/>
  <c r="X566" i="9"/>
  <c r="Y566" i="9"/>
  <c r="Z566" i="9"/>
  <c r="AA566" i="9"/>
  <c r="AB566" i="9"/>
  <c r="AC566" i="9"/>
  <c r="AE566" i="9"/>
  <c r="AF566" i="9"/>
  <c r="AG566" i="9"/>
  <c r="AH566" i="9"/>
  <c r="AI566" i="9"/>
  <c r="JD88" i="29" s="1"/>
  <c r="JD92" i="31" s="1"/>
  <c r="AK566" i="9"/>
  <c r="AL566" i="9"/>
  <c r="AM566" i="9"/>
  <c r="AN566" i="9"/>
  <c r="AO566" i="9"/>
  <c r="AP566" i="9"/>
  <c r="JD13" i="29" s="1"/>
  <c r="JD13" i="31" s="1"/>
  <c r="W567" i="9"/>
  <c r="X567" i="9"/>
  <c r="Y567" i="9"/>
  <c r="Z567" i="9"/>
  <c r="AA567" i="9"/>
  <c r="AB567" i="9"/>
  <c r="AC567" i="9"/>
  <c r="AE567" i="9"/>
  <c r="AF567" i="9"/>
  <c r="AG567" i="9"/>
  <c r="AH567" i="9"/>
  <c r="AI567" i="9"/>
  <c r="IP88" i="29" s="1"/>
  <c r="AK567" i="9"/>
  <c r="AL567" i="9"/>
  <c r="AM567" i="9"/>
  <c r="AN567" i="9"/>
  <c r="AO567" i="9"/>
  <c r="AP567" i="9"/>
  <c r="IP13" i="29" s="1"/>
  <c r="IP13" i="31" s="1"/>
  <c r="W568" i="9"/>
  <c r="X568" i="9"/>
  <c r="Y568" i="9"/>
  <c r="Z568" i="9"/>
  <c r="AA568" i="9"/>
  <c r="AB568" i="9"/>
  <c r="AC568" i="9"/>
  <c r="AE568" i="9"/>
  <c r="AF568" i="9"/>
  <c r="AG568" i="9"/>
  <c r="AH568" i="9"/>
  <c r="AI568" i="9"/>
  <c r="FO88" i="29" s="1"/>
  <c r="FO92" i="31" s="1"/>
  <c r="AK568" i="9"/>
  <c r="AL568" i="9"/>
  <c r="AM568" i="9"/>
  <c r="AN568" i="9"/>
  <c r="AO568" i="9"/>
  <c r="AP568" i="9"/>
  <c r="FO13" i="29" s="1"/>
  <c r="FO13" i="31" s="1"/>
  <c r="W569" i="9"/>
  <c r="X569" i="9"/>
  <c r="Y569" i="9"/>
  <c r="Z569" i="9"/>
  <c r="AA569" i="9"/>
  <c r="AB569" i="9"/>
  <c r="AC569" i="9"/>
  <c r="AE569" i="9"/>
  <c r="AF569" i="9"/>
  <c r="AG569" i="9"/>
  <c r="AH569" i="9"/>
  <c r="AI569" i="9"/>
  <c r="FB88" i="29" s="1"/>
  <c r="FB92" i="31" s="1"/>
  <c r="AK569" i="9"/>
  <c r="AL569" i="9"/>
  <c r="AM569" i="9"/>
  <c r="AN569" i="9"/>
  <c r="AO569" i="9"/>
  <c r="AP569" i="9"/>
  <c r="FB13" i="29" s="1"/>
  <c r="FB13" i="31" s="1"/>
  <c r="W570" i="9"/>
  <c r="X570" i="9"/>
  <c r="Y570" i="9"/>
  <c r="Z570" i="9"/>
  <c r="AA570" i="9"/>
  <c r="AB570" i="9"/>
  <c r="AC570" i="9"/>
  <c r="AE570" i="9"/>
  <c r="AF570" i="9"/>
  <c r="AG570" i="9"/>
  <c r="AH570" i="9"/>
  <c r="AI570" i="9"/>
  <c r="AS88" i="29" s="1"/>
  <c r="AS92" i="31" s="1"/>
  <c r="AK570" i="9"/>
  <c r="AL570" i="9"/>
  <c r="AM570" i="9"/>
  <c r="AN570" i="9"/>
  <c r="AO570" i="9"/>
  <c r="AP570" i="9"/>
  <c r="AS13" i="29" s="1"/>
  <c r="AS13" i="31" s="1"/>
  <c r="W571" i="9"/>
  <c r="X571" i="9"/>
  <c r="Y571" i="9"/>
  <c r="Z571" i="9"/>
  <c r="AA571" i="9"/>
  <c r="AB571" i="9"/>
  <c r="AC571" i="9"/>
  <c r="AE571" i="9"/>
  <c r="AF571" i="9"/>
  <c r="AG571" i="9"/>
  <c r="AH571" i="9"/>
  <c r="AI571" i="9"/>
  <c r="CM88" i="29" s="1"/>
  <c r="CM92" i="31" s="1"/>
  <c r="AK571" i="9"/>
  <c r="AL571" i="9"/>
  <c r="AM571" i="9"/>
  <c r="AN571" i="9"/>
  <c r="AO571" i="9"/>
  <c r="AP571" i="9"/>
  <c r="CM13" i="29" s="1"/>
  <c r="CM13" i="31" s="1"/>
  <c r="W572" i="9"/>
  <c r="X572" i="9"/>
  <c r="Y572" i="9"/>
  <c r="Z572" i="9"/>
  <c r="AA572" i="9"/>
  <c r="AB572" i="9"/>
  <c r="AC572" i="9"/>
  <c r="AE572" i="9"/>
  <c r="AF572" i="9"/>
  <c r="AG572" i="9"/>
  <c r="AH572" i="9"/>
  <c r="AI572" i="9"/>
  <c r="ES88" i="29" s="1"/>
  <c r="ES92" i="31" s="1"/>
  <c r="AK572" i="9"/>
  <c r="AL572" i="9"/>
  <c r="AM572" i="9"/>
  <c r="AN572" i="9"/>
  <c r="AO572" i="9"/>
  <c r="AP572" i="9"/>
  <c r="ES13" i="29" s="1"/>
  <c r="ES13" i="31" s="1"/>
  <c r="W573" i="9"/>
  <c r="X573" i="9"/>
  <c r="Y573" i="9"/>
  <c r="Z573" i="9"/>
  <c r="AA573" i="9"/>
  <c r="AB573" i="9"/>
  <c r="AC573" i="9"/>
  <c r="AE573" i="9"/>
  <c r="AF573" i="9"/>
  <c r="AG573" i="9"/>
  <c r="AH573" i="9"/>
  <c r="AI573" i="9"/>
  <c r="HK88" i="29" s="1"/>
  <c r="HK92" i="31" s="1"/>
  <c r="AK573" i="9"/>
  <c r="AL573" i="9"/>
  <c r="AM573" i="9"/>
  <c r="AN573" i="9"/>
  <c r="AO573" i="9"/>
  <c r="AP573" i="9"/>
  <c r="HK13" i="29" s="1"/>
  <c r="HK13" i="31" s="1"/>
  <c r="W574" i="9"/>
  <c r="X574" i="9"/>
  <c r="Y574" i="9"/>
  <c r="Z574" i="9"/>
  <c r="AA574" i="9"/>
  <c r="AB574" i="9"/>
  <c r="AC574" i="9"/>
  <c r="AE574" i="9"/>
  <c r="AF574" i="9"/>
  <c r="AG574" i="9"/>
  <c r="AH574" i="9"/>
  <c r="AI574" i="9"/>
  <c r="IF88" i="29" s="1"/>
  <c r="AK574" i="9"/>
  <c r="AL574" i="9"/>
  <c r="AM574" i="9"/>
  <c r="AN574" i="9"/>
  <c r="AO574" i="9"/>
  <c r="AP574" i="9"/>
  <c r="IF13" i="29" s="1"/>
  <c r="IF13" i="31" s="1"/>
  <c r="W575" i="9"/>
  <c r="X575" i="9"/>
  <c r="Y575" i="9"/>
  <c r="Z575" i="9"/>
  <c r="AA575" i="9"/>
  <c r="AB575" i="9"/>
  <c r="AC575" i="9"/>
  <c r="AE575" i="9"/>
  <c r="AF575" i="9"/>
  <c r="AG575" i="9"/>
  <c r="AH575" i="9"/>
  <c r="AI575" i="9"/>
  <c r="BB88" i="29" s="1"/>
  <c r="BB92" i="31" s="1"/>
  <c r="AK575" i="9"/>
  <c r="AL575" i="9"/>
  <c r="AM575" i="9"/>
  <c r="AN575" i="9"/>
  <c r="AO575" i="9"/>
  <c r="AP575" i="9"/>
  <c r="BB13" i="29" s="1"/>
  <c r="BB13" i="31" s="1"/>
  <c r="W576" i="9"/>
  <c r="X576" i="9"/>
  <c r="Y576" i="9"/>
  <c r="Z576" i="9"/>
  <c r="AA576" i="9"/>
  <c r="AB576" i="9"/>
  <c r="AC576" i="9"/>
  <c r="AE576" i="9"/>
  <c r="AF576" i="9"/>
  <c r="AG576" i="9"/>
  <c r="AH576" i="9"/>
  <c r="AI576" i="9"/>
  <c r="DR88" i="29" s="1"/>
  <c r="DR92" i="31" s="1"/>
  <c r="AK576" i="9"/>
  <c r="AL576" i="9"/>
  <c r="AM576" i="9"/>
  <c r="AN576" i="9"/>
  <c r="AO576" i="9"/>
  <c r="AP576" i="9"/>
  <c r="DR13" i="29" s="1"/>
  <c r="DR13" i="31" s="1"/>
  <c r="W577" i="9"/>
  <c r="X577" i="9"/>
  <c r="Y577" i="9"/>
  <c r="Z577" i="9"/>
  <c r="AA577" i="9"/>
  <c r="AB577" i="9"/>
  <c r="AC577" i="9"/>
  <c r="AE577" i="9"/>
  <c r="AF577" i="9"/>
  <c r="AG577" i="9"/>
  <c r="AH577" i="9"/>
  <c r="AI577" i="9"/>
  <c r="HH88" i="29" s="1"/>
  <c r="HH92" i="31" s="1"/>
  <c r="AK577" i="9"/>
  <c r="AL577" i="9"/>
  <c r="AM577" i="9"/>
  <c r="AN577" i="9"/>
  <c r="AO577" i="9"/>
  <c r="AP577" i="9"/>
  <c r="HH13" i="29" s="1"/>
  <c r="HH13" i="31" s="1"/>
  <c r="W578" i="9"/>
  <c r="X578" i="9"/>
  <c r="Y578" i="9"/>
  <c r="Z578" i="9"/>
  <c r="AA578" i="9"/>
  <c r="AB578" i="9"/>
  <c r="AC578" i="9"/>
  <c r="AE578" i="9"/>
  <c r="AF578" i="9"/>
  <c r="AG578" i="9"/>
  <c r="AH578" i="9"/>
  <c r="AI578" i="9"/>
  <c r="U88" i="29" s="1"/>
  <c r="U92" i="31" s="1"/>
  <c r="AK578" i="9"/>
  <c r="AL578" i="9"/>
  <c r="AM578" i="9"/>
  <c r="AN578" i="9"/>
  <c r="AO578" i="9"/>
  <c r="AP578" i="9"/>
  <c r="U13" i="29" s="1"/>
  <c r="U13" i="31" s="1"/>
  <c r="W579" i="9"/>
  <c r="X579" i="9"/>
  <c r="Y579" i="9"/>
  <c r="Z579" i="9"/>
  <c r="AA579" i="9"/>
  <c r="AB579" i="9"/>
  <c r="AC579" i="9"/>
  <c r="AE579" i="9"/>
  <c r="AF579" i="9"/>
  <c r="AG579" i="9"/>
  <c r="AH579" i="9"/>
  <c r="AI579" i="9"/>
  <c r="GY88" i="29" s="1"/>
  <c r="AK579" i="9"/>
  <c r="AL579" i="9"/>
  <c r="AM579" i="9"/>
  <c r="AN579" i="9"/>
  <c r="AO579" i="9"/>
  <c r="AP579" i="9"/>
  <c r="GY13" i="29" s="1"/>
  <c r="GY13" i="31" s="1"/>
  <c r="W580" i="9"/>
  <c r="X580" i="9"/>
  <c r="Y580" i="9"/>
  <c r="Z580" i="9"/>
  <c r="AA580" i="9"/>
  <c r="AB580" i="9"/>
  <c r="AC580" i="9"/>
  <c r="AE580" i="9"/>
  <c r="AF580" i="9"/>
  <c r="AG580" i="9"/>
  <c r="AH580" i="9"/>
  <c r="AI580" i="9"/>
  <c r="V88" i="29" s="1"/>
  <c r="V92" i="31" s="1"/>
  <c r="AK580" i="9"/>
  <c r="AL580" i="9"/>
  <c r="AM580" i="9"/>
  <c r="AN580" i="9"/>
  <c r="AO580" i="9"/>
  <c r="AP580" i="9"/>
  <c r="V13" i="29" s="1"/>
  <c r="V13" i="31" s="1"/>
  <c r="W581" i="9"/>
  <c r="X581" i="9"/>
  <c r="Y581" i="9"/>
  <c r="Z581" i="9"/>
  <c r="AA581" i="9"/>
  <c r="AB581" i="9"/>
  <c r="AC581" i="9"/>
  <c r="AE581" i="9"/>
  <c r="AF581" i="9"/>
  <c r="AG581" i="9"/>
  <c r="AH581" i="9"/>
  <c r="AI581" i="9"/>
  <c r="I88" i="29" s="1"/>
  <c r="I92" i="31" s="1"/>
  <c r="AK581" i="9"/>
  <c r="AL581" i="9"/>
  <c r="AM581" i="9"/>
  <c r="AN581" i="9"/>
  <c r="AO581" i="9"/>
  <c r="AP581" i="9"/>
  <c r="I13" i="29" s="1"/>
  <c r="I13" i="31" s="1"/>
  <c r="I173" i="31" s="1"/>
  <c r="I114" i="31" s="1"/>
  <c r="W582" i="9"/>
  <c r="X582" i="9"/>
  <c r="Y582" i="9"/>
  <c r="Z582" i="9"/>
  <c r="AA582" i="9"/>
  <c r="AB582" i="9"/>
  <c r="AC582" i="9"/>
  <c r="AE582" i="9"/>
  <c r="AF582" i="9"/>
  <c r="AG582" i="9"/>
  <c r="AH582" i="9"/>
  <c r="AI582" i="9"/>
  <c r="DG88" i="29" s="1"/>
  <c r="DG92" i="31" s="1"/>
  <c r="AK582" i="9"/>
  <c r="AL582" i="9"/>
  <c r="AM582" i="9"/>
  <c r="AN582" i="9"/>
  <c r="AO582" i="9"/>
  <c r="AP582" i="9"/>
  <c r="DG13" i="29" s="1"/>
  <c r="DG13" i="31" s="1"/>
  <c r="W583" i="9"/>
  <c r="X583" i="9"/>
  <c r="Y583" i="9"/>
  <c r="Z583" i="9"/>
  <c r="AA583" i="9"/>
  <c r="AB583" i="9"/>
  <c r="AC583" i="9"/>
  <c r="AE583" i="9"/>
  <c r="AF583" i="9"/>
  <c r="AG583" i="9"/>
  <c r="AH583" i="9"/>
  <c r="AI583" i="9"/>
  <c r="JB88" i="29" s="1"/>
  <c r="JB92" i="31" s="1"/>
  <c r="AK583" i="9"/>
  <c r="AL583" i="9"/>
  <c r="AM583" i="9"/>
  <c r="AN583" i="9"/>
  <c r="AO583" i="9"/>
  <c r="AP583" i="9"/>
  <c r="JB13" i="29" s="1"/>
  <c r="JB13" i="31" s="1"/>
  <c r="W584" i="9"/>
  <c r="X584" i="9"/>
  <c r="Y584" i="9"/>
  <c r="Z584" i="9"/>
  <c r="AA584" i="9"/>
  <c r="AB584" i="9"/>
  <c r="AC584" i="9"/>
  <c r="AE584" i="9"/>
  <c r="AF584" i="9"/>
  <c r="AG584" i="9"/>
  <c r="AH584" i="9"/>
  <c r="AI584" i="9"/>
  <c r="IO88" i="29" s="1"/>
  <c r="AK584" i="9"/>
  <c r="AL584" i="9"/>
  <c r="AM584" i="9"/>
  <c r="AN584" i="9"/>
  <c r="AO584" i="9"/>
  <c r="AP584" i="9"/>
  <c r="IO13" i="29" s="1"/>
  <c r="IO13" i="31" s="1"/>
  <c r="W585" i="9"/>
  <c r="X585" i="9"/>
  <c r="Y585" i="9"/>
  <c r="Z585" i="9"/>
  <c r="AA585" i="9"/>
  <c r="AB585" i="9"/>
  <c r="AC585" i="9"/>
  <c r="AE585" i="9"/>
  <c r="AF585" i="9"/>
  <c r="AG585" i="9"/>
  <c r="AH585" i="9"/>
  <c r="AI585" i="9"/>
  <c r="FC88" i="29" s="1"/>
  <c r="FC92" i="31" s="1"/>
  <c r="AK585" i="9"/>
  <c r="AL585" i="9"/>
  <c r="AM585" i="9"/>
  <c r="AN585" i="9"/>
  <c r="AO585" i="9"/>
  <c r="AP585" i="9"/>
  <c r="FC13" i="29" s="1"/>
  <c r="FC13" i="31" s="1"/>
  <c r="W586" i="9"/>
  <c r="X586" i="9"/>
  <c r="Y586" i="9"/>
  <c r="Z586" i="9"/>
  <c r="AA586" i="9"/>
  <c r="AB586" i="9"/>
  <c r="AC586" i="9"/>
  <c r="AE586" i="9"/>
  <c r="AF586" i="9"/>
  <c r="AG586" i="9"/>
  <c r="AH586" i="9"/>
  <c r="AI586" i="9"/>
  <c r="GF88" i="29" s="1"/>
  <c r="GF92" i="31" s="1"/>
  <c r="AK586" i="9"/>
  <c r="AL586" i="9"/>
  <c r="AM586" i="9"/>
  <c r="AN586" i="9"/>
  <c r="AO586" i="9"/>
  <c r="AP586" i="9"/>
  <c r="GF13" i="29" s="1"/>
  <c r="GF13" i="31" s="1"/>
  <c r="W587" i="9"/>
  <c r="X587" i="9"/>
  <c r="Y587" i="9"/>
  <c r="Z587" i="9"/>
  <c r="AA587" i="9"/>
  <c r="AB587" i="9"/>
  <c r="AC587" i="9"/>
  <c r="AE587" i="9"/>
  <c r="AF587" i="9"/>
  <c r="AG587" i="9"/>
  <c r="AH587" i="9"/>
  <c r="AI587" i="9"/>
  <c r="GP88" i="29" s="1"/>
  <c r="GP92" i="31" s="1"/>
  <c r="AK587" i="9"/>
  <c r="AL587" i="9"/>
  <c r="AM587" i="9"/>
  <c r="AN587" i="9"/>
  <c r="AO587" i="9"/>
  <c r="AP587" i="9"/>
  <c r="GP13" i="29" s="1"/>
  <c r="GP13" i="31" s="1"/>
  <c r="W588" i="9"/>
  <c r="X588" i="9"/>
  <c r="Y588" i="9"/>
  <c r="Z588" i="9"/>
  <c r="AA588" i="9"/>
  <c r="AB588" i="9"/>
  <c r="AC588" i="9"/>
  <c r="AE588" i="9"/>
  <c r="AF588" i="9"/>
  <c r="AG588" i="9"/>
  <c r="AH588" i="9"/>
  <c r="AI588" i="9"/>
  <c r="AK588" i="9"/>
  <c r="AL588" i="9"/>
  <c r="AM588" i="9"/>
  <c r="AN588" i="9"/>
  <c r="AO588" i="9"/>
  <c r="AP588" i="9"/>
  <c r="N319" i="9"/>
  <c r="O319" i="9"/>
  <c r="P319" i="9"/>
  <c r="Q319" i="9"/>
  <c r="R319" i="9"/>
  <c r="S319" i="9"/>
  <c r="T319" i="9"/>
  <c r="U319" i="9"/>
  <c r="N324" i="9"/>
  <c r="O324" i="9"/>
  <c r="P324" i="9"/>
  <c r="Q324" i="9"/>
  <c r="R324" i="9"/>
  <c r="S324" i="9"/>
  <c r="T324" i="9"/>
  <c r="U324" i="9"/>
  <c r="N325" i="9"/>
  <c r="O325" i="9"/>
  <c r="P325" i="9"/>
  <c r="Q325" i="9"/>
  <c r="R325" i="9"/>
  <c r="S325" i="9"/>
  <c r="T325" i="9"/>
  <c r="U325" i="9"/>
  <c r="N326" i="9"/>
  <c r="O326" i="9"/>
  <c r="P326" i="9"/>
  <c r="Q326" i="9"/>
  <c r="R326" i="9"/>
  <c r="S326" i="9"/>
  <c r="T326" i="9"/>
  <c r="U326" i="9"/>
  <c r="N327" i="9"/>
  <c r="O327" i="9"/>
  <c r="P327" i="9"/>
  <c r="Q327" i="9"/>
  <c r="R327" i="9"/>
  <c r="S327" i="9"/>
  <c r="T327" i="9"/>
  <c r="U327" i="9"/>
  <c r="N328" i="9"/>
  <c r="O328" i="9"/>
  <c r="P328" i="9"/>
  <c r="Q328" i="9"/>
  <c r="R328" i="9"/>
  <c r="S328" i="9"/>
  <c r="T328" i="9"/>
  <c r="U328" i="9"/>
  <c r="N329" i="9"/>
  <c r="O329" i="9"/>
  <c r="P329" i="9"/>
  <c r="Q329" i="9"/>
  <c r="R329" i="9"/>
  <c r="S329" i="9"/>
  <c r="T329" i="9"/>
  <c r="U329" i="9"/>
  <c r="N330" i="9"/>
  <c r="O330" i="9"/>
  <c r="P330" i="9"/>
  <c r="Q330" i="9"/>
  <c r="R330" i="9"/>
  <c r="S330" i="9"/>
  <c r="T330" i="9"/>
  <c r="U330" i="9"/>
  <c r="N331" i="9"/>
  <c r="O331" i="9"/>
  <c r="P331" i="9"/>
  <c r="Q331" i="9"/>
  <c r="R331" i="9"/>
  <c r="S331" i="9"/>
  <c r="T331" i="9"/>
  <c r="U331" i="9"/>
  <c r="N332" i="9"/>
  <c r="O332" i="9"/>
  <c r="P332" i="9"/>
  <c r="Q332" i="9"/>
  <c r="R332" i="9"/>
  <c r="S332" i="9"/>
  <c r="T332" i="9"/>
  <c r="U332" i="9"/>
  <c r="N333" i="9"/>
  <c r="O333" i="9"/>
  <c r="P333" i="9"/>
  <c r="Q333" i="9"/>
  <c r="R333" i="9"/>
  <c r="S333" i="9"/>
  <c r="T333" i="9"/>
  <c r="U333" i="9"/>
  <c r="N334" i="9"/>
  <c r="O334" i="9"/>
  <c r="P334" i="9"/>
  <c r="Q334" i="9"/>
  <c r="R334" i="9"/>
  <c r="S334" i="9"/>
  <c r="T334" i="9"/>
  <c r="U334" i="9"/>
  <c r="N335" i="9"/>
  <c r="O335" i="9"/>
  <c r="P335" i="9"/>
  <c r="Q335" i="9"/>
  <c r="R335" i="9"/>
  <c r="S335" i="9"/>
  <c r="T335" i="9"/>
  <c r="U335" i="9"/>
  <c r="N336" i="9"/>
  <c r="O336" i="9"/>
  <c r="P336" i="9"/>
  <c r="Q336" i="9"/>
  <c r="R336" i="9"/>
  <c r="S336" i="9"/>
  <c r="T336" i="9"/>
  <c r="U336" i="9"/>
  <c r="N337" i="9"/>
  <c r="O337" i="9"/>
  <c r="P337" i="9"/>
  <c r="Q337" i="9"/>
  <c r="R337" i="9"/>
  <c r="S337" i="9"/>
  <c r="T337" i="9"/>
  <c r="U337" i="9"/>
  <c r="N338" i="9"/>
  <c r="O338" i="9"/>
  <c r="P338" i="9"/>
  <c r="Q338" i="9"/>
  <c r="R338" i="9"/>
  <c r="S338" i="9"/>
  <c r="T338" i="9"/>
  <c r="U338" i="9"/>
  <c r="N339" i="9"/>
  <c r="O339" i="9"/>
  <c r="P339" i="9"/>
  <c r="Q339" i="9"/>
  <c r="R339" i="9"/>
  <c r="S339" i="9"/>
  <c r="T339" i="9"/>
  <c r="U339" i="9"/>
  <c r="N340" i="9"/>
  <c r="O340" i="9"/>
  <c r="P340" i="9"/>
  <c r="Q340" i="9"/>
  <c r="R340" i="9"/>
  <c r="S340" i="9"/>
  <c r="T340" i="9"/>
  <c r="U340" i="9"/>
  <c r="N341" i="9"/>
  <c r="O341" i="9"/>
  <c r="P341" i="9"/>
  <c r="Q341" i="9"/>
  <c r="R341" i="9"/>
  <c r="S341" i="9"/>
  <c r="T341" i="9"/>
  <c r="U341" i="9"/>
  <c r="N342" i="9"/>
  <c r="O342" i="9"/>
  <c r="P342" i="9"/>
  <c r="Q342" i="9"/>
  <c r="R342" i="9"/>
  <c r="S342" i="9"/>
  <c r="T342" i="9"/>
  <c r="U342" i="9"/>
  <c r="N343" i="9"/>
  <c r="O343" i="9"/>
  <c r="P343" i="9"/>
  <c r="Q343" i="9"/>
  <c r="R343" i="9"/>
  <c r="S343" i="9"/>
  <c r="T343" i="9"/>
  <c r="U343" i="9"/>
  <c r="N344" i="9"/>
  <c r="O344" i="9"/>
  <c r="P344" i="9"/>
  <c r="Q344" i="9"/>
  <c r="R344" i="9"/>
  <c r="S344" i="9"/>
  <c r="T344" i="9"/>
  <c r="U344" i="9"/>
  <c r="N345" i="9"/>
  <c r="O345" i="9"/>
  <c r="P345" i="9"/>
  <c r="Q345" i="9"/>
  <c r="R345" i="9"/>
  <c r="S345" i="9"/>
  <c r="T345" i="9"/>
  <c r="U345" i="9"/>
  <c r="N346" i="9"/>
  <c r="O346" i="9"/>
  <c r="P346" i="9"/>
  <c r="Q346" i="9"/>
  <c r="R346" i="9"/>
  <c r="S346" i="9"/>
  <c r="T346" i="9"/>
  <c r="U346" i="9"/>
  <c r="N347" i="9"/>
  <c r="O347" i="9"/>
  <c r="P347" i="9"/>
  <c r="Q347" i="9"/>
  <c r="R347" i="9"/>
  <c r="S347" i="9"/>
  <c r="T347" i="9"/>
  <c r="U347" i="9"/>
  <c r="N348" i="9"/>
  <c r="O348" i="9"/>
  <c r="P348" i="9"/>
  <c r="Q348" i="9"/>
  <c r="R348" i="9"/>
  <c r="S348" i="9"/>
  <c r="T348" i="9"/>
  <c r="U348" i="9"/>
  <c r="N349" i="9"/>
  <c r="O349" i="9"/>
  <c r="P349" i="9"/>
  <c r="Q349" i="9"/>
  <c r="R349" i="9"/>
  <c r="S349" i="9"/>
  <c r="T349" i="9"/>
  <c r="U349" i="9"/>
  <c r="N350" i="9"/>
  <c r="O350" i="9"/>
  <c r="P350" i="9"/>
  <c r="Q350" i="9"/>
  <c r="R350" i="9"/>
  <c r="S350" i="9"/>
  <c r="T350" i="9"/>
  <c r="U350" i="9"/>
  <c r="N351" i="9"/>
  <c r="O351" i="9"/>
  <c r="P351" i="9"/>
  <c r="Q351" i="9"/>
  <c r="R351" i="9"/>
  <c r="S351" i="9"/>
  <c r="T351" i="9"/>
  <c r="U351" i="9"/>
  <c r="N352" i="9"/>
  <c r="O352" i="9"/>
  <c r="P352" i="9"/>
  <c r="Q352" i="9"/>
  <c r="R352" i="9"/>
  <c r="S352" i="9"/>
  <c r="T352" i="9"/>
  <c r="U352" i="9"/>
  <c r="N353" i="9"/>
  <c r="O353" i="9"/>
  <c r="P353" i="9"/>
  <c r="Q353" i="9"/>
  <c r="R353" i="9"/>
  <c r="S353" i="9"/>
  <c r="T353" i="9"/>
  <c r="U353" i="9"/>
  <c r="N354" i="9"/>
  <c r="O354" i="9"/>
  <c r="P354" i="9"/>
  <c r="Q354" i="9"/>
  <c r="R354" i="9"/>
  <c r="S354" i="9"/>
  <c r="T354" i="9"/>
  <c r="U354" i="9"/>
  <c r="N355" i="9"/>
  <c r="O355" i="9"/>
  <c r="P355" i="9"/>
  <c r="Q355" i="9"/>
  <c r="R355" i="9"/>
  <c r="S355" i="9"/>
  <c r="T355" i="9"/>
  <c r="U355" i="9"/>
  <c r="N356" i="9"/>
  <c r="O356" i="9"/>
  <c r="P356" i="9"/>
  <c r="Q356" i="9"/>
  <c r="R356" i="9"/>
  <c r="S356" i="9"/>
  <c r="T356" i="9"/>
  <c r="U356" i="9"/>
  <c r="N357" i="9"/>
  <c r="O357" i="9"/>
  <c r="P357" i="9"/>
  <c r="Q357" i="9"/>
  <c r="R357" i="9"/>
  <c r="S357" i="9"/>
  <c r="T357" i="9"/>
  <c r="U357" i="9"/>
  <c r="N358" i="9"/>
  <c r="O358" i="9"/>
  <c r="P358" i="9"/>
  <c r="Q358" i="9"/>
  <c r="R358" i="9"/>
  <c r="S358" i="9"/>
  <c r="T358" i="9"/>
  <c r="U358" i="9"/>
  <c r="N359" i="9"/>
  <c r="O359" i="9"/>
  <c r="P359" i="9"/>
  <c r="Q359" i="9"/>
  <c r="R359" i="9"/>
  <c r="S359" i="9"/>
  <c r="T359" i="9"/>
  <c r="U359" i="9"/>
  <c r="N360" i="9"/>
  <c r="O360" i="9"/>
  <c r="P360" i="9"/>
  <c r="Q360" i="9"/>
  <c r="R360" i="9"/>
  <c r="S360" i="9"/>
  <c r="T360" i="9"/>
  <c r="U360" i="9"/>
  <c r="N361" i="9"/>
  <c r="O361" i="9"/>
  <c r="P361" i="9"/>
  <c r="Q361" i="9"/>
  <c r="R361" i="9"/>
  <c r="S361" i="9"/>
  <c r="T361" i="9"/>
  <c r="U361" i="9"/>
  <c r="N362" i="9"/>
  <c r="O362" i="9"/>
  <c r="P362" i="9"/>
  <c r="Q362" i="9"/>
  <c r="R362" i="9"/>
  <c r="S362" i="9"/>
  <c r="T362" i="9"/>
  <c r="U362" i="9"/>
  <c r="N363" i="9"/>
  <c r="O363" i="9"/>
  <c r="P363" i="9"/>
  <c r="Q363" i="9"/>
  <c r="R363" i="9"/>
  <c r="S363" i="9"/>
  <c r="T363" i="9"/>
  <c r="U363" i="9"/>
  <c r="N364" i="9"/>
  <c r="O364" i="9"/>
  <c r="P364" i="9"/>
  <c r="Q364" i="9"/>
  <c r="R364" i="9"/>
  <c r="S364" i="9"/>
  <c r="T364" i="9"/>
  <c r="U364" i="9"/>
  <c r="N365" i="9"/>
  <c r="O365" i="9"/>
  <c r="P365" i="9"/>
  <c r="Q365" i="9"/>
  <c r="R365" i="9"/>
  <c r="S365" i="9"/>
  <c r="T365" i="9"/>
  <c r="U365" i="9"/>
  <c r="N366" i="9"/>
  <c r="O366" i="9"/>
  <c r="P366" i="9"/>
  <c r="Q366" i="9"/>
  <c r="R366" i="9"/>
  <c r="S366" i="9"/>
  <c r="T366" i="9"/>
  <c r="U366" i="9"/>
  <c r="N367" i="9"/>
  <c r="O367" i="9"/>
  <c r="P367" i="9"/>
  <c r="Q367" i="9"/>
  <c r="R367" i="9"/>
  <c r="S367" i="9"/>
  <c r="T367" i="9"/>
  <c r="U367" i="9"/>
  <c r="N368" i="9"/>
  <c r="O368" i="9"/>
  <c r="P368" i="9"/>
  <c r="Q368" i="9"/>
  <c r="R368" i="9"/>
  <c r="S368" i="9"/>
  <c r="T368" i="9"/>
  <c r="U368" i="9"/>
  <c r="N369" i="9"/>
  <c r="O369" i="9"/>
  <c r="P369" i="9"/>
  <c r="Q369" i="9"/>
  <c r="R369" i="9"/>
  <c r="S369" i="9"/>
  <c r="T369" i="9"/>
  <c r="U369" i="9"/>
  <c r="N370" i="9"/>
  <c r="O370" i="9"/>
  <c r="P370" i="9"/>
  <c r="Q370" i="9"/>
  <c r="R370" i="9"/>
  <c r="S370" i="9"/>
  <c r="T370" i="9"/>
  <c r="U370" i="9"/>
  <c r="N371" i="9"/>
  <c r="O371" i="9"/>
  <c r="P371" i="9"/>
  <c r="Q371" i="9"/>
  <c r="R371" i="9"/>
  <c r="S371" i="9"/>
  <c r="T371" i="9"/>
  <c r="U371" i="9"/>
  <c r="N372" i="9"/>
  <c r="O372" i="9"/>
  <c r="P372" i="9"/>
  <c r="Q372" i="9"/>
  <c r="R372" i="9"/>
  <c r="S372" i="9"/>
  <c r="T372" i="9"/>
  <c r="U372" i="9"/>
  <c r="N373" i="9"/>
  <c r="O373" i="9"/>
  <c r="P373" i="9"/>
  <c r="Q373" i="9"/>
  <c r="R373" i="9"/>
  <c r="S373" i="9"/>
  <c r="T373" i="9"/>
  <c r="U373" i="9"/>
  <c r="N374" i="9"/>
  <c r="O374" i="9"/>
  <c r="P374" i="9"/>
  <c r="Q374" i="9"/>
  <c r="R374" i="9"/>
  <c r="S374" i="9"/>
  <c r="T374" i="9"/>
  <c r="U374" i="9"/>
  <c r="N375" i="9"/>
  <c r="O375" i="9"/>
  <c r="P375" i="9"/>
  <c r="Q375" i="9"/>
  <c r="R375" i="9"/>
  <c r="S375" i="9"/>
  <c r="T375" i="9"/>
  <c r="U375" i="9"/>
  <c r="N376" i="9"/>
  <c r="O376" i="9"/>
  <c r="P376" i="9"/>
  <c r="Q376" i="9"/>
  <c r="R376" i="9"/>
  <c r="S376" i="9"/>
  <c r="T376" i="9"/>
  <c r="U376" i="9"/>
  <c r="N377" i="9"/>
  <c r="O377" i="9"/>
  <c r="P377" i="9"/>
  <c r="Q377" i="9"/>
  <c r="R377" i="9"/>
  <c r="S377" i="9"/>
  <c r="T377" i="9"/>
  <c r="U377" i="9"/>
  <c r="N378" i="9"/>
  <c r="O378" i="9"/>
  <c r="P378" i="9"/>
  <c r="Q378" i="9"/>
  <c r="R378" i="9"/>
  <c r="S378" i="9"/>
  <c r="T378" i="9"/>
  <c r="U378" i="9"/>
  <c r="N379" i="9"/>
  <c r="O379" i="9"/>
  <c r="P379" i="9"/>
  <c r="Q379" i="9"/>
  <c r="R379" i="9"/>
  <c r="S379" i="9"/>
  <c r="T379" i="9"/>
  <c r="U379" i="9"/>
  <c r="N380" i="9"/>
  <c r="O380" i="9"/>
  <c r="P380" i="9"/>
  <c r="Q380" i="9"/>
  <c r="R380" i="9"/>
  <c r="S380" i="9"/>
  <c r="T380" i="9"/>
  <c r="U380" i="9"/>
  <c r="N381" i="9"/>
  <c r="O381" i="9"/>
  <c r="P381" i="9"/>
  <c r="Q381" i="9"/>
  <c r="R381" i="9"/>
  <c r="S381" i="9"/>
  <c r="T381" i="9"/>
  <c r="U381" i="9"/>
  <c r="N382" i="9"/>
  <c r="O382" i="9"/>
  <c r="P382" i="9"/>
  <c r="Q382" i="9"/>
  <c r="R382" i="9"/>
  <c r="S382" i="9"/>
  <c r="T382" i="9"/>
  <c r="U382" i="9"/>
  <c r="N383" i="9"/>
  <c r="O383" i="9"/>
  <c r="P383" i="9"/>
  <c r="Q383" i="9"/>
  <c r="R383" i="9"/>
  <c r="S383" i="9"/>
  <c r="T383" i="9"/>
  <c r="U383" i="9"/>
  <c r="N384" i="9"/>
  <c r="O384" i="9"/>
  <c r="P384" i="9"/>
  <c r="Q384" i="9"/>
  <c r="R384" i="9"/>
  <c r="S384" i="9"/>
  <c r="T384" i="9"/>
  <c r="U384" i="9"/>
  <c r="N385" i="9"/>
  <c r="O385" i="9"/>
  <c r="P385" i="9"/>
  <c r="Q385" i="9"/>
  <c r="R385" i="9"/>
  <c r="S385" i="9"/>
  <c r="T385" i="9"/>
  <c r="U385" i="9"/>
  <c r="N386" i="9"/>
  <c r="O386" i="9"/>
  <c r="P386" i="9"/>
  <c r="Q386" i="9"/>
  <c r="R386" i="9"/>
  <c r="S386" i="9"/>
  <c r="T386" i="9"/>
  <c r="U386" i="9"/>
  <c r="N387" i="9"/>
  <c r="O387" i="9"/>
  <c r="P387" i="9"/>
  <c r="Q387" i="9"/>
  <c r="R387" i="9"/>
  <c r="S387" i="9"/>
  <c r="T387" i="9"/>
  <c r="U387" i="9"/>
  <c r="N388" i="9"/>
  <c r="O388" i="9"/>
  <c r="P388" i="9"/>
  <c r="Q388" i="9"/>
  <c r="R388" i="9"/>
  <c r="S388" i="9"/>
  <c r="T388" i="9"/>
  <c r="U388" i="9"/>
  <c r="N389" i="9"/>
  <c r="O389" i="9"/>
  <c r="P389" i="9"/>
  <c r="Q389" i="9"/>
  <c r="R389" i="9"/>
  <c r="S389" i="9"/>
  <c r="T389" i="9"/>
  <c r="U389" i="9"/>
  <c r="N390" i="9"/>
  <c r="O390" i="9"/>
  <c r="P390" i="9"/>
  <c r="Q390" i="9"/>
  <c r="R390" i="9"/>
  <c r="S390" i="9"/>
  <c r="T390" i="9"/>
  <c r="U390" i="9"/>
  <c r="N391" i="9"/>
  <c r="O391" i="9"/>
  <c r="P391" i="9"/>
  <c r="Q391" i="9"/>
  <c r="R391" i="9"/>
  <c r="S391" i="9"/>
  <c r="T391" i="9"/>
  <c r="U391" i="9"/>
  <c r="N392" i="9"/>
  <c r="O392" i="9"/>
  <c r="P392" i="9"/>
  <c r="Q392" i="9"/>
  <c r="R392" i="9"/>
  <c r="S392" i="9"/>
  <c r="T392" i="9"/>
  <c r="U392" i="9"/>
  <c r="N393" i="9"/>
  <c r="O393" i="9"/>
  <c r="P393" i="9"/>
  <c r="Q393" i="9"/>
  <c r="R393" i="9"/>
  <c r="S393" i="9"/>
  <c r="T393" i="9"/>
  <c r="U393" i="9"/>
  <c r="N394" i="9"/>
  <c r="O394" i="9"/>
  <c r="P394" i="9"/>
  <c r="Q394" i="9"/>
  <c r="R394" i="9"/>
  <c r="S394" i="9"/>
  <c r="T394" i="9"/>
  <c r="U394" i="9"/>
  <c r="N395" i="9"/>
  <c r="O395" i="9"/>
  <c r="P395" i="9"/>
  <c r="Q395" i="9"/>
  <c r="R395" i="9"/>
  <c r="S395" i="9"/>
  <c r="T395" i="9"/>
  <c r="U395" i="9"/>
  <c r="N396" i="9"/>
  <c r="O396" i="9"/>
  <c r="P396" i="9"/>
  <c r="Q396" i="9"/>
  <c r="R396" i="9"/>
  <c r="S396" i="9"/>
  <c r="T396" i="9"/>
  <c r="U396" i="9"/>
  <c r="N397" i="9"/>
  <c r="O397" i="9"/>
  <c r="P397" i="9"/>
  <c r="Q397" i="9"/>
  <c r="R397" i="9"/>
  <c r="S397" i="9"/>
  <c r="T397" i="9"/>
  <c r="U397" i="9"/>
  <c r="N398" i="9"/>
  <c r="O398" i="9"/>
  <c r="P398" i="9"/>
  <c r="Q398" i="9"/>
  <c r="R398" i="9"/>
  <c r="S398" i="9"/>
  <c r="T398" i="9"/>
  <c r="U398" i="9"/>
  <c r="N399" i="9"/>
  <c r="O399" i="9"/>
  <c r="P399" i="9"/>
  <c r="Q399" i="9"/>
  <c r="R399" i="9"/>
  <c r="S399" i="9"/>
  <c r="T399" i="9"/>
  <c r="U399" i="9"/>
  <c r="N400" i="9"/>
  <c r="O400" i="9"/>
  <c r="P400" i="9"/>
  <c r="Q400" i="9"/>
  <c r="R400" i="9"/>
  <c r="S400" i="9"/>
  <c r="T400" i="9"/>
  <c r="U400" i="9"/>
  <c r="N401" i="9"/>
  <c r="O401" i="9"/>
  <c r="P401" i="9"/>
  <c r="Q401" i="9"/>
  <c r="R401" i="9"/>
  <c r="S401" i="9"/>
  <c r="T401" i="9"/>
  <c r="U401" i="9"/>
  <c r="N402" i="9"/>
  <c r="O402" i="9"/>
  <c r="P402" i="9"/>
  <c r="Q402" i="9"/>
  <c r="R402" i="9"/>
  <c r="S402" i="9"/>
  <c r="T402" i="9"/>
  <c r="U402" i="9"/>
  <c r="N403" i="9"/>
  <c r="O403" i="9"/>
  <c r="P403" i="9"/>
  <c r="Q403" i="9"/>
  <c r="R403" i="9"/>
  <c r="S403" i="9"/>
  <c r="T403" i="9"/>
  <c r="U403" i="9"/>
  <c r="N404" i="9"/>
  <c r="O404" i="9"/>
  <c r="P404" i="9"/>
  <c r="Q404" i="9"/>
  <c r="R404" i="9"/>
  <c r="S404" i="9"/>
  <c r="T404" i="9"/>
  <c r="U404" i="9"/>
  <c r="N405" i="9"/>
  <c r="O405" i="9"/>
  <c r="P405" i="9"/>
  <c r="Q405" i="9"/>
  <c r="R405" i="9"/>
  <c r="S405" i="9"/>
  <c r="T405" i="9"/>
  <c r="U405" i="9"/>
  <c r="N406" i="9"/>
  <c r="O406" i="9"/>
  <c r="P406" i="9"/>
  <c r="Q406" i="9"/>
  <c r="R406" i="9"/>
  <c r="S406" i="9"/>
  <c r="T406" i="9"/>
  <c r="U406" i="9"/>
  <c r="N407" i="9"/>
  <c r="O407" i="9"/>
  <c r="P407" i="9"/>
  <c r="Q407" i="9"/>
  <c r="R407" i="9"/>
  <c r="S407" i="9"/>
  <c r="T407" i="9"/>
  <c r="U407" i="9"/>
  <c r="N408" i="9"/>
  <c r="O408" i="9"/>
  <c r="P408" i="9"/>
  <c r="Q408" i="9"/>
  <c r="R408" i="9"/>
  <c r="S408" i="9"/>
  <c r="T408" i="9"/>
  <c r="U408" i="9"/>
  <c r="N409" i="9"/>
  <c r="O409" i="9"/>
  <c r="P409" i="9"/>
  <c r="Q409" i="9"/>
  <c r="R409" i="9"/>
  <c r="S409" i="9"/>
  <c r="T409" i="9"/>
  <c r="U409" i="9"/>
  <c r="N410" i="9"/>
  <c r="O410" i="9"/>
  <c r="P410" i="9"/>
  <c r="Q410" i="9"/>
  <c r="R410" i="9"/>
  <c r="S410" i="9"/>
  <c r="T410" i="9"/>
  <c r="U410" i="9"/>
  <c r="N411" i="9"/>
  <c r="O411" i="9"/>
  <c r="P411" i="9"/>
  <c r="Q411" i="9"/>
  <c r="R411" i="9"/>
  <c r="S411" i="9"/>
  <c r="T411" i="9"/>
  <c r="U411" i="9"/>
  <c r="N412" i="9"/>
  <c r="O412" i="9"/>
  <c r="P412" i="9"/>
  <c r="Q412" i="9"/>
  <c r="R412" i="9"/>
  <c r="S412" i="9"/>
  <c r="T412" i="9"/>
  <c r="U412" i="9"/>
  <c r="N413" i="9"/>
  <c r="O413" i="9"/>
  <c r="P413" i="9"/>
  <c r="Q413" i="9"/>
  <c r="R413" i="9"/>
  <c r="S413" i="9"/>
  <c r="T413" i="9"/>
  <c r="U413" i="9"/>
  <c r="N414" i="9"/>
  <c r="O414" i="9"/>
  <c r="P414" i="9"/>
  <c r="Q414" i="9"/>
  <c r="R414" i="9"/>
  <c r="S414" i="9"/>
  <c r="T414" i="9"/>
  <c r="U414" i="9"/>
  <c r="N415" i="9"/>
  <c r="O415" i="9"/>
  <c r="P415" i="9"/>
  <c r="Q415" i="9"/>
  <c r="R415" i="9"/>
  <c r="S415" i="9"/>
  <c r="T415" i="9"/>
  <c r="U415" i="9"/>
  <c r="N416" i="9"/>
  <c r="O416" i="9"/>
  <c r="P416" i="9"/>
  <c r="Q416" i="9"/>
  <c r="R416" i="9"/>
  <c r="S416" i="9"/>
  <c r="T416" i="9"/>
  <c r="U416" i="9"/>
  <c r="N417" i="9"/>
  <c r="O417" i="9"/>
  <c r="P417" i="9"/>
  <c r="Q417" i="9"/>
  <c r="R417" i="9"/>
  <c r="S417" i="9"/>
  <c r="T417" i="9"/>
  <c r="U417" i="9"/>
  <c r="N418" i="9"/>
  <c r="O418" i="9"/>
  <c r="P418" i="9"/>
  <c r="Q418" i="9"/>
  <c r="R418" i="9"/>
  <c r="S418" i="9"/>
  <c r="T418" i="9"/>
  <c r="U418" i="9"/>
  <c r="N419" i="9"/>
  <c r="O419" i="9"/>
  <c r="P419" i="9"/>
  <c r="Q419" i="9"/>
  <c r="R419" i="9"/>
  <c r="S419" i="9"/>
  <c r="T419" i="9"/>
  <c r="U419" i="9"/>
  <c r="N420" i="9"/>
  <c r="O420" i="9"/>
  <c r="P420" i="9"/>
  <c r="Q420" i="9"/>
  <c r="R420" i="9"/>
  <c r="S420" i="9"/>
  <c r="T420" i="9"/>
  <c r="U420" i="9"/>
  <c r="N421" i="9"/>
  <c r="O421" i="9"/>
  <c r="P421" i="9"/>
  <c r="Q421" i="9"/>
  <c r="R421" i="9"/>
  <c r="S421" i="9"/>
  <c r="T421" i="9"/>
  <c r="U421" i="9"/>
  <c r="N422" i="9"/>
  <c r="O422" i="9"/>
  <c r="P422" i="9"/>
  <c r="Q422" i="9"/>
  <c r="R422" i="9"/>
  <c r="S422" i="9"/>
  <c r="T422" i="9"/>
  <c r="U422" i="9"/>
  <c r="N423" i="9"/>
  <c r="O423" i="9"/>
  <c r="P423" i="9"/>
  <c r="Q423" i="9"/>
  <c r="R423" i="9"/>
  <c r="S423" i="9"/>
  <c r="T423" i="9"/>
  <c r="U423" i="9"/>
  <c r="N424" i="9"/>
  <c r="O424" i="9"/>
  <c r="P424" i="9"/>
  <c r="Q424" i="9"/>
  <c r="R424" i="9"/>
  <c r="S424" i="9"/>
  <c r="T424" i="9"/>
  <c r="U424" i="9"/>
  <c r="N425" i="9"/>
  <c r="O425" i="9"/>
  <c r="P425" i="9"/>
  <c r="Q425" i="9"/>
  <c r="R425" i="9"/>
  <c r="S425" i="9"/>
  <c r="T425" i="9"/>
  <c r="U425" i="9"/>
  <c r="N426" i="9"/>
  <c r="O426" i="9"/>
  <c r="P426" i="9"/>
  <c r="Q426" i="9"/>
  <c r="R426" i="9"/>
  <c r="S426" i="9"/>
  <c r="T426" i="9"/>
  <c r="U426" i="9"/>
  <c r="N427" i="9"/>
  <c r="O427" i="9"/>
  <c r="P427" i="9"/>
  <c r="Q427" i="9"/>
  <c r="R427" i="9"/>
  <c r="S427" i="9"/>
  <c r="T427" i="9"/>
  <c r="U427" i="9"/>
  <c r="N428" i="9"/>
  <c r="O428" i="9"/>
  <c r="P428" i="9"/>
  <c r="Q428" i="9"/>
  <c r="R428" i="9"/>
  <c r="S428" i="9"/>
  <c r="T428" i="9"/>
  <c r="U428" i="9"/>
  <c r="N429" i="9"/>
  <c r="O429" i="9"/>
  <c r="P429" i="9"/>
  <c r="Q429" i="9"/>
  <c r="R429" i="9"/>
  <c r="S429" i="9"/>
  <c r="T429" i="9"/>
  <c r="U429" i="9"/>
  <c r="N430" i="9"/>
  <c r="O430" i="9"/>
  <c r="P430" i="9"/>
  <c r="Q430" i="9"/>
  <c r="R430" i="9"/>
  <c r="S430" i="9"/>
  <c r="T430" i="9"/>
  <c r="U430" i="9"/>
  <c r="N431" i="9"/>
  <c r="O431" i="9"/>
  <c r="P431" i="9"/>
  <c r="Q431" i="9"/>
  <c r="R431" i="9"/>
  <c r="S431" i="9"/>
  <c r="T431" i="9"/>
  <c r="U431" i="9"/>
  <c r="N432" i="9"/>
  <c r="O432" i="9"/>
  <c r="P432" i="9"/>
  <c r="Q432" i="9"/>
  <c r="R432" i="9"/>
  <c r="S432" i="9"/>
  <c r="T432" i="9"/>
  <c r="U432" i="9"/>
  <c r="N433" i="9"/>
  <c r="O433" i="9"/>
  <c r="P433" i="9"/>
  <c r="Q433" i="9"/>
  <c r="R433" i="9"/>
  <c r="S433" i="9"/>
  <c r="T433" i="9"/>
  <c r="U433" i="9"/>
  <c r="N434" i="9"/>
  <c r="O434" i="9"/>
  <c r="P434" i="9"/>
  <c r="Q434" i="9"/>
  <c r="R434" i="9"/>
  <c r="S434" i="9"/>
  <c r="T434" i="9"/>
  <c r="U434" i="9"/>
  <c r="N435" i="9"/>
  <c r="O435" i="9"/>
  <c r="P435" i="9"/>
  <c r="Q435" i="9"/>
  <c r="R435" i="9"/>
  <c r="S435" i="9"/>
  <c r="T435" i="9"/>
  <c r="U435" i="9"/>
  <c r="N436" i="9"/>
  <c r="O436" i="9"/>
  <c r="P436" i="9"/>
  <c r="Q436" i="9"/>
  <c r="R436" i="9"/>
  <c r="S436" i="9"/>
  <c r="T436" i="9"/>
  <c r="U436" i="9"/>
  <c r="N437" i="9"/>
  <c r="O437" i="9"/>
  <c r="P437" i="9"/>
  <c r="Q437" i="9"/>
  <c r="R437" i="9"/>
  <c r="S437" i="9"/>
  <c r="T437" i="9"/>
  <c r="U437" i="9"/>
  <c r="N438" i="9"/>
  <c r="O438" i="9"/>
  <c r="P438" i="9"/>
  <c r="Q438" i="9"/>
  <c r="R438" i="9"/>
  <c r="S438" i="9"/>
  <c r="T438" i="9"/>
  <c r="U438" i="9"/>
  <c r="N439" i="9"/>
  <c r="O439" i="9"/>
  <c r="P439" i="9"/>
  <c r="Q439" i="9"/>
  <c r="R439" i="9"/>
  <c r="S439" i="9"/>
  <c r="T439" i="9"/>
  <c r="U439" i="9"/>
  <c r="N440" i="9"/>
  <c r="O440" i="9"/>
  <c r="P440" i="9"/>
  <c r="Q440" i="9"/>
  <c r="R440" i="9"/>
  <c r="S440" i="9"/>
  <c r="T440" i="9"/>
  <c r="U440" i="9"/>
  <c r="N441" i="9"/>
  <c r="O441" i="9"/>
  <c r="P441" i="9"/>
  <c r="Q441" i="9"/>
  <c r="R441" i="9"/>
  <c r="S441" i="9"/>
  <c r="T441" i="9"/>
  <c r="U441" i="9"/>
  <c r="N442" i="9"/>
  <c r="O442" i="9"/>
  <c r="P442" i="9"/>
  <c r="Q442" i="9"/>
  <c r="R442" i="9"/>
  <c r="S442" i="9"/>
  <c r="T442" i="9"/>
  <c r="U442" i="9"/>
  <c r="N443" i="9"/>
  <c r="O443" i="9"/>
  <c r="P443" i="9"/>
  <c r="Q443" i="9"/>
  <c r="R443" i="9"/>
  <c r="S443" i="9"/>
  <c r="T443" i="9"/>
  <c r="U443" i="9"/>
  <c r="N444" i="9"/>
  <c r="O444" i="9"/>
  <c r="P444" i="9"/>
  <c r="Q444" i="9"/>
  <c r="R444" i="9"/>
  <c r="S444" i="9"/>
  <c r="T444" i="9"/>
  <c r="U444" i="9"/>
  <c r="N445" i="9"/>
  <c r="O445" i="9"/>
  <c r="P445" i="9"/>
  <c r="Q445" i="9"/>
  <c r="R445" i="9"/>
  <c r="S445" i="9"/>
  <c r="T445" i="9"/>
  <c r="U445" i="9"/>
  <c r="N446" i="9"/>
  <c r="O446" i="9"/>
  <c r="P446" i="9"/>
  <c r="Q446" i="9"/>
  <c r="R446" i="9"/>
  <c r="S446" i="9"/>
  <c r="T446" i="9"/>
  <c r="U446" i="9"/>
  <c r="N447" i="9"/>
  <c r="O447" i="9"/>
  <c r="P447" i="9"/>
  <c r="Q447" i="9"/>
  <c r="R447" i="9"/>
  <c r="S447" i="9"/>
  <c r="T447" i="9"/>
  <c r="U447" i="9"/>
  <c r="N448" i="9"/>
  <c r="O448" i="9"/>
  <c r="P448" i="9"/>
  <c r="Q448" i="9"/>
  <c r="R448" i="9"/>
  <c r="S448" i="9"/>
  <c r="T448" i="9"/>
  <c r="U448" i="9"/>
  <c r="N449" i="9"/>
  <c r="O449" i="9"/>
  <c r="P449" i="9"/>
  <c r="Q449" i="9"/>
  <c r="R449" i="9"/>
  <c r="S449" i="9"/>
  <c r="T449" i="9"/>
  <c r="U449" i="9"/>
  <c r="N450" i="9"/>
  <c r="O450" i="9"/>
  <c r="P450" i="9"/>
  <c r="Q450" i="9"/>
  <c r="R450" i="9"/>
  <c r="S450" i="9"/>
  <c r="T450" i="9"/>
  <c r="U450" i="9"/>
  <c r="N451" i="9"/>
  <c r="O451" i="9"/>
  <c r="P451" i="9"/>
  <c r="Q451" i="9"/>
  <c r="R451" i="9"/>
  <c r="S451" i="9"/>
  <c r="T451" i="9"/>
  <c r="U451" i="9"/>
  <c r="N452" i="9"/>
  <c r="O452" i="9"/>
  <c r="P452" i="9"/>
  <c r="Q452" i="9"/>
  <c r="R452" i="9"/>
  <c r="S452" i="9"/>
  <c r="T452" i="9"/>
  <c r="U452" i="9"/>
  <c r="N453" i="9"/>
  <c r="O453" i="9"/>
  <c r="P453" i="9"/>
  <c r="Q453" i="9"/>
  <c r="R453" i="9"/>
  <c r="S453" i="9"/>
  <c r="T453" i="9"/>
  <c r="U453" i="9"/>
  <c r="N454" i="9"/>
  <c r="O454" i="9"/>
  <c r="P454" i="9"/>
  <c r="Q454" i="9"/>
  <c r="R454" i="9"/>
  <c r="S454" i="9"/>
  <c r="T454" i="9"/>
  <c r="U454" i="9"/>
  <c r="N455" i="9"/>
  <c r="O455" i="9"/>
  <c r="P455" i="9"/>
  <c r="Q455" i="9"/>
  <c r="R455" i="9"/>
  <c r="S455" i="9"/>
  <c r="T455" i="9"/>
  <c r="U455" i="9"/>
  <c r="N456" i="9"/>
  <c r="O456" i="9"/>
  <c r="P456" i="9"/>
  <c r="Q456" i="9"/>
  <c r="R456" i="9"/>
  <c r="S456" i="9"/>
  <c r="T456" i="9"/>
  <c r="U456" i="9"/>
  <c r="N457" i="9"/>
  <c r="O457" i="9"/>
  <c r="P457" i="9"/>
  <c r="Q457" i="9"/>
  <c r="R457" i="9"/>
  <c r="S457" i="9"/>
  <c r="T457" i="9"/>
  <c r="U457" i="9"/>
  <c r="N458" i="9"/>
  <c r="O458" i="9"/>
  <c r="P458" i="9"/>
  <c r="Q458" i="9"/>
  <c r="R458" i="9"/>
  <c r="S458" i="9"/>
  <c r="T458" i="9"/>
  <c r="U458" i="9"/>
  <c r="N459" i="9"/>
  <c r="O459" i="9"/>
  <c r="P459" i="9"/>
  <c r="Q459" i="9"/>
  <c r="R459" i="9"/>
  <c r="S459" i="9"/>
  <c r="T459" i="9"/>
  <c r="U459" i="9"/>
  <c r="N460" i="9"/>
  <c r="O460" i="9"/>
  <c r="P460" i="9"/>
  <c r="Q460" i="9"/>
  <c r="R460" i="9"/>
  <c r="S460" i="9"/>
  <c r="T460" i="9"/>
  <c r="U460" i="9"/>
  <c r="N461" i="9"/>
  <c r="O461" i="9"/>
  <c r="P461" i="9"/>
  <c r="Q461" i="9"/>
  <c r="R461" i="9"/>
  <c r="S461" i="9"/>
  <c r="T461" i="9"/>
  <c r="U461" i="9"/>
  <c r="N462" i="9"/>
  <c r="O462" i="9"/>
  <c r="P462" i="9"/>
  <c r="Q462" i="9"/>
  <c r="R462" i="9"/>
  <c r="S462" i="9"/>
  <c r="T462" i="9"/>
  <c r="U462" i="9"/>
  <c r="N463" i="9"/>
  <c r="O463" i="9"/>
  <c r="P463" i="9"/>
  <c r="Q463" i="9"/>
  <c r="R463" i="9"/>
  <c r="S463" i="9"/>
  <c r="T463" i="9"/>
  <c r="U463" i="9"/>
  <c r="N464" i="9"/>
  <c r="O464" i="9"/>
  <c r="P464" i="9"/>
  <c r="Q464" i="9"/>
  <c r="R464" i="9"/>
  <c r="S464" i="9"/>
  <c r="T464" i="9"/>
  <c r="U464" i="9"/>
  <c r="N465" i="9"/>
  <c r="O465" i="9"/>
  <c r="P465" i="9"/>
  <c r="Q465" i="9"/>
  <c r="R465" i="9"/>
  <c r="S465" i="9"/>
  <c r="T465" i="9"/>
  <c r="U465" i="9"/>
  <c r="N466" i="9"/>
  <c r="O466" i="9"/>
  <c r="P466" i="9"/>
  <c r="Q466" i="9"/>
  <c r="R466" i="9"/>
  <c r="S466" i="9"/>
  <c r="T466" i="9"/>
  <c r="U466" i="9"/>
  <c r="N467" i="9"/>
  <c r="O467" i="9"/>
  <c r="P467" i="9"/>
  <c r="Q467" i="9"/>
  <c r="R467" i="9"/>
  <c r="S467" i="9"/>
  <c r="T467" i="9"/>
  <c r="U467" i="9"/>
  <c r="N468" i="9"/>
  <c r="O468" i="9"/>
  <c r="P468" i="9"/>
  <c r="Q468" i="9"/>
  <c r="R468" i="9"/>
  <c r="S468" i="9"/>
  <c r="T468" i="9"/>
  <c r="U468" i="9"/>
  <c r="N469" i="9"/>
  <c r="O469" i="9"/>
  <c r="P469" i="9"/>
  <c r="Q469" i="9"/>
  <c r="R469" i="9"/>
  <c r="S469" i="9"/>
  <c r="T469" i="9"/>
  <c r="U469" i="9"/>
  <c r="N470" i="9"/>
  <c r="O470" i="9"/>
  <c r="P470" i="9"/>
  <c r="Q470" i="9"/>
  <c r="R470" i="9"/>
  <c r="S470" i="9"/>
  <c r="T470" i="9"/>
  <c r="U470" i="9"/>
  <c r="N471" i="9"/>
  <c r="O471" i="9"/>
  <c r="P471" i="9"/>
  <c r="Q471" i="9"/>
  <c r="R471" i="9"/>
  <c r="S471" i="9"/>
  <c r="T471" i="9"/>
  <c r="U471" i="9"/>
  <c r="N472" i="9"/>
  <c r="O472" i="9"/>
  <c r="P472" i="9"/>
  <c r="Q472" i="9"/>
  <c r="R472" i="9"/>
  <c r="S472" i="9"/>
  <c r="T472" i="9"/>
  <c r="U472" i="9"/>
  <c r="N473" i="9"/>
  <c r="O473" i="9"/>
  <c r="P473" i="9"/>
  <c r="Q473" i="9"/>
  <c r="R473" i="9"/>
  <c r="S473" i="9"/>
  <c r="T473" i="9"/>
  <c r="U473" i="9"/>
  <c r="N474" i="9"/>
  <c r="O474" i="9"/>
  <c r="P474" i="9"/>
  <c r="Q474" i="9"/>
  <c r="R474" i="9"/>
  <c r="S474" i="9"/>
  <c r="T474" i="9"/>
  <c r="U474" i="9"/>
  <c r="N475" i="9"/>
  <c r="O475" i="9"/>
  <c r="P475" i="9"/>
  <c r="Q475" i="9"/>
  <c r="R475" i="9"/>
  <c r="S475" i="9"/>
  <c r="T475" i="9"/>
  <c r="U475" i="9"/>
  <c r="N476" i="9"/>
  <c r="O476" i="9"/>
  <c r="P476" i="9"/>
  <c r="Q476" i="9"/>
  <c r="R476" i="9"/>
  <c r="S476" i="9"/>
  <c r="T476" i="9"/>
  <c r="U476" i="9"/>
  <c r="N477" i="9"/>
  <c r="O477" i="9"/>
  <c r="P477" i="9"/>
  <c r="Q477" i="9"/>
  <c r="R477" i="9"/>
  <c r="S477" i="9"/>
  <c r="T477" i="9"/>
  <c r="U477" i="9"/>
  <c r="N478" i="9"/>
  <c r="O478" i="9"/>
  <c r="P478" i="9"/>
  <c r="Q478" i="9"/>
  <c r="R478" i="9"/>
  <c r="S478" i="9"/>
  <c r="T478" i="9"/>
  <c r="U478" i="9"/>
  <c r="N479" i="9"/>
  <c r="O479" i="9"/>
  <c r="P479" i="9"/>
  <c r="Q479" i="9"/>
  <c r="R479" i="9"/>
  <c r="S479" i="9"/>
  <c r="T479" i="9"/>
  <c r="U479" i="9"/>
  <c r="N480" i="9"/>
  <c r="O480" i="9"/>
  <c r="P480" i="9"/>
  <c r="Q480" i="9"/>
  <c r="R480" i="9"/>
  <c r="S480" i="9"/>
  <c r="T480" i="9"/>
  <c r="U480" i="9"/>
  <c r="N481" i="9"/>
  <c r="O481" i="9"/>
  <c r="P481" i="9"/>
  <c r="Q481" i="9"/>
  <c r="R481" i="9"/>
  <c r="S481" i="9"/>
  <c r="T481" i="9"/>
  <c r="U481" i="9"/>
  <c r="N482" i="9"/>
  <c r="O482" i="9"/>
  <c r="P482" i="9"/>
  <c r="Q482" i="9"/>
  <c r="R482" i="9"/>
  <c r="S482" i="9"/>
  <c r="T482" i="9"/>
  <c r="U482" i="9"/>
  <c r="N483" i="9"/>
  <c r="O483" i="9"/>
  <c r="P483" i="9"/>
  <c r="Q483" i="9"/>
  <c r="R483" i="9"/>
  <c r="S483" i="9"/>
  <c r="T483" i="9"/>
  <c r="U483" i="9"/>
  <c r="N484" i="9"/>
  <c r="O484" i="9"/>
  <c r="P484" i="9"/>
  <c r="Q484" i="9"/>
  <c r="R484" i="9"/>
  <c r="S484" i="9"/>
  <c r="T484" i="9"/>
  <c r="U484" i="9"/>
  <c r="N485" i="9"/>
  <c r="O485" i="9"/>
  <c r="P485" i="9"/>
  <c r="Q485" i="9"/>
  <c r="R485" i="9"/>
  <c r="S485" i="9"/>
  <c r="T485" i="9"/>
  <c r="U485" i="9"/>
  <c r="N486" i="9"/>
  <c r="O486" i="9"/>
  <c r="P486" i="9"/>
  <c r="Q486" i="9"/>
  <c r="R486" i="9"/>
  <c r="S486" i="9"/>
  <c r="T486" i="9"/>
  <c r="U486" i="9"/>
  <c r="N487" i="9"/>
  <c r="O487" i="9"/>
  <c r="P487" i="9"/>
  <c r="Q487" i="9"/>
  <c r="R487" i="9"/>
  <c r="S487" i="9"/>
  <c r="T487" i="9"/>
  <c r="U487" i="9"/>
  <c r="N488" i="9"/>
  <c r="O488" i="9"/>
  <c r="P488" i="9"/>
  <c r="Q488" i="9"/>
  <c r="R488" i="9"/>
  <c r="S488" i="9"/>
  <c r="T488" i="9"/>
  <c r="U488" i="9"/>
  <c r="N489" i="9"/>
  <c r="O489" i="9"/>
  <c r="P489" i="9"/>
  <c r="Q489" i="9"/>
  <c r="R489" i="9"/>
  <c r="S489" i="9"/>
  <c r="T489" i="9"/>
  <c r="U489" i="9"/>
  <c r="N490" i="9"/>
  <c r="O490" i="9"/>
  <c r="P490" i="9"/>
  <c r="Q490" i="9"/>
  <c r="R490" i="9"/>
  <c r="S490" i="9"/>
  <c r="T490" i="9"/>
  <c r="U490" i="9"/>
  <c r="N491" i="9"/>
  <c r="O491" i="9"/>
  <c r="P491" i="9"/>
  <c r="Q491" i="9"/>
  <c r="R491" i="9"/>
  <c r="S491" i="9"/>
  <c r="T491" i="9"/>
  <c r="U491" i="9"/>
  <c r="N492" i="9"/>
  <c r="O492" i="9"/>
  <c r="P492" i="9"/>
  <c r="Q492" i="9"/>
  <c r="R492" i="9"/>
  <c r="S492" i="9"/>
  <c r="T492" i="9"/>
  <c r="U492" i="9"/>
  <c r="N493" i="9"/>
  <c r="O493" i="9"/>
  <c r="P493" i="9"/>
  <c r="Q493" i="9"/>
  <c r="R493" i="9"/>
  <c r="S493" i="9"/>
  <c r="T493" i="9"/>
  <c r="U493" i="9"/>
  <c r="N494" i="9"/>
  <c r="O494" i="9"/>
  <c r="P494" i="9"/>
  <c r="Q494" i="9"/>
  <c r="R494" i="9"/>
  <c r="S494" i="9"/>
  <c r="T494" i="9"/>
  <c r="U494" i="9"/>
  <c r="N495" i="9"/>
  <c r="O495" i="9"/>
  <c r="P495" i="9"/>
  <c r="Q495" i="9"/>
  <c r="R495" i="9"/>
  <c r="S495" i="9"/>
  <c r="T495" i="9"/>
  <c r="U495" i="9"/>
  <c r="N496" i="9"/>
  <c r="O496" i="9"/>
  <c r="P496" i="9"/>
  <c r="Q496" i="9"/>
  <c r="R496" i="9"/>
  <c r="S496" i="9"/>
  <c r="T496" i="9"/>
  <c r="U496" i="9"/>
  <c r="N497" i="9"/>
  <c r="O497" i="9"/>
  <c r="P497" i="9"/>
  <c r="Q497" i="9"/>
  <c r="R497" i="9"/>
  <c r="S497" i="9"/>
  <c r="T497" i="9"/>
  <c r="U497" i="9"/>
  <c r="N498" i="9"/>
  <c r="O498" i="9"/>
  <c r="P498" i="9"/>
  <c r="Q498" i="9"/>
  <c r="R498" i="9"/>
  <c r="S498" i="9"/>
  <c r="T498" i="9"/>
  <c r="U498" i="9"/>
  <c r="N499" i="9"/>
  <c r="O499" i="9"/>
  <c r="P499" i="9"/>
  <c r="Q499" i="9"/>
  <c r="R499" i="9"/>
  <c r="S499" i="9"/>
  <c r="T499" i="9"/>
  <c r="U499" i="9"/>
  <c r="N500" i="9"/>
  <c r="O500" i="9"/>
  <c r="P500" i="9"/>
  <c r="Q500" i="9"/>
  <c r="R500" i="9"/>
  <c r="S500" i="9"/>
  <c r="T500" i="9"/>
  <c r="U500" i="9"/>
  <c r="N501" i="9"/>
  <c r="O501" i="9"/>
  <c r="P501" i="9"/>
  <c r="Q501" i="9"/>
  <c r="R501" i="9"/>
  <c r="S501" i="9"/>
  <c r="T501" i="9"/>
  <c r="U501" i="9"/>
  <c r="N502" i="9"/>
  <c r="O502" i="9"/>
  <c r="P502" i="9"/>
  <c r="Q502" i="9"/>
  <c r="R502" i="9"/>
  <c r="S502" i="9"/>
  <c r="T502" i="9"/>
  <c r="U502" i="9"/>
  <c r="N503" i="9"/>
  <c r="O503" i="9"/>
  <c r="P503" i="9"/>
  <c r="Q503" i="9"/>
  <c r="R503" i="9"/>
  <c r="S503" i="9"/>
  <c r="T503" i="9"/>
  <c r="U503" i="9"/>
  <c r="N504" i="9"/>
  <c r="O504" i="9"/>
  <c r="P504" i="9"/>
  <c r="Q504" i="9"/>
  <c r="R504" i="9"/>
  <c r="S504" i="9"/>
  <c r="T504" i="9"/>
  <c r="U504" i="9"/>
  <c r="N505" i="9"/>
  <c r="O505" i="9"/>
  <c r="P505" i="9"/>
  <c r="Q505" i="9"/>
  <c r="R505" i="9"/>
  <c r="S505" i="9"/>
  <c r="T505" i="9"/>
  <c r="U505" i="9"/>
  <c r="N506" i="9"/>
  <c r="O506" i="9"/>
  <c r="P506" i="9"/>
  <c r="Q506" i="9"/>
  <c r="R506" i="9"/>
  <c r="S506" i="9"/>
  <c r="T506" i="9"/>
  <c r="U506" i="9"/>
  <c r="N507" i="9"/>
  <c r="O507" i="9"/>
  <c r="P507" i="9"/>
  <c r="Q507" i="9"/>
  <c r="R507" i="9"/>
  <c r="S507" i="9"/>
  <c r="T507" i="9"/>
  <c r="U507" i="9"/>
  <c r="N508" i="9"/>
  <c r="O508" i="9"/>
  <c r="P508" i="9"/>
  <c r="Q508" i="9"/>
  <c r="R508" i="9"/>
  <c r="S508" i="9"/>
  <c r="T508" i="9"/>
  <c r="U508" i="9"/>
  <c r="N509" i="9"/>
  <c r="O509" i="9"/>
  <c r="P509" i="9"/>
  <c r="Q509" i="9"/>
  <c r="R509" i="9"/>
  <c r="S509" i="9"/>
  <c r="T509" i="9"/>
  <c r="U509" i="9"/>
  <c r="N510" i="9"/>
  <c r="O510" i="9"/>
  <c r="P510" i="9"/>
  <c r="Q510" i="9"/>
  <c r="R510" i="9"/>
  <c r="S510" i="9"/>
  <c r="T510" i="9"/>
  <c r="U510" i="9"/>
  <c r="N511" i="9"/>
  <c r="O511" i="9"/>
  <c r="P511" i="9"/>
  <c r="Q511" i="9"/>
  <c r="R511" i="9"/>
  <c r="S511" i="9"/>
  <c r="T511" i="9"/>
  <c r="U511" i="9"/>
  <c r="N512" i="9"/>
  <c r="O512" i="9"/>
  <c r="P512" i="9"/>
  <c r="Q512" i="9"/>
  <c r="R512" i="9"/>
  <c r="S512" i="9"/>
  <c r="T512" i="9"/>
  <c r="U512" i="9"/>
  <c r="N513" i="9"/>
  <c r="O513" i="9"/>
  <c r="P513" i="9"/>
  <c r="Q513" i="9"/>
  <c r="R513" i="9"/>
  <c r="S513" i="9"/>
  <c r="T513" i="9"/>
  <c r="U513" i="9"/>
  <c r="N514" i="9"/>
  <c r="O514" i="9"/>
  <c r="P514" i="9"/>
  <c r="Q514" i="9"/>
  <c r="R514" i="9"/>
  <c r="S514" i="9"/>
  <c r="T514" i="9"/>
  <c r="U514" i="9"/>
  <c r="N515" i="9"/>
  <c r="O515" i="9"/>
  <c r="P515" i="9"/>
  <c r="Q515" i="9"/>
  <c r="R515" i="9"/>
  <c r="S515" i="9"/>
  <c r="T515" i="9"/>
  <c r="U515" i="9"/>
  <c r="N516" i="9"/>
  <c r="O516" i="9"/>
  <c r="P516" i="9"/>
  <c r="Q516" i="9"/>
  <c r="R516" i="9"/>
  <c r="S516" i="9"/>
  <c r="T516" i="9"/>
  <c r="U516" i="9"/>
  <c r="N517" i="9"/>
  <c r="O517" i="9"/>
  <c r="P517" i="9"/>
  <c r="Q517" i="9"/>
  <c r="R517" i="9"/>
  <c r="S517" i="9"/>
  <c r="T517" i="9"/>
  <c r="U517" i="9"/>
  <c r="N518" i="9"/>
  <c r="O518" i="9"/>
  <c r="P518" i="9"/>
  <c r="Q518" i="9"/>
  <c r="R518" i="9"/>
  <c r="S518" i="9"/>
  <c r="T518" i="9"/>
  <c r="U518" i="9"/>
  <c r="N519" i="9"/>
  <c r="O519" i="9"/>
  <c r="P519" i="9"/>
  <c r="Q519" i="9"/>
  <c r="R519" i="9"/>
  <c r="S519" i="9"/>
  <c r="T519" i="9"/>
  <c r="U519" i="9"/>
  <c r="N520" i="9"/>
  <c r="O520" i="9"/>
  <c r="P520" i="9"/>
  <c r="Q520" i="9"/>
  <c r="R520" i="9"/>
  <c r="S520" i="9"/>
  <c r="T520" i="9"/>
  <c r="U520" i="9"/>
  <c r="N521" i="9"/>
  <c r="O521" i="9"/>
  <c r="P521" i="9"/>
  <c r="Q521" i="9"/>
  <c r="R521" i="9"/>
  <c r="S521" i="9"/>
  <c r="T521" i="9"/>
  <c r="U521" i="9"/>
  <c r="N522" i="9"/>
  <c r="O522" i="9"/>
  <c r="P522" i="9"/>
  <c r="Q522" i="9"/>
  <c r="R522" i="9"/>
  <c r="S522" i="9"/>
  <c r="T522" i="9"/>
  <c r="U522" i="9"/>
  <c r="N523" i="9"/>
  <c r="O523" i="9"/>
  <c r="P523" i="9"/>
  <c r="Q523" i="9"/>
  <c r="R523" i="9"/>
  <c r="S523" i="9"/>
  <c r="T523" i="9"/>
  <c r="U523" i="9"/>
  <c r="N524" i="9"/>
  <c r="O524" i="9"/>
  <c r="P524" i="9"/>
  <c r="Q524" i="9"/>
  <c r="R524" i="9"/>
  <c r="S524" i="9"/>
  <c r="T524" i="9"/>
  <c r="U524" i="9"/>
  <c r="N525" i="9"/>
  <c r="O525" i="9"/>
  <c r="P525" i="9"/>
  <c r="Q525" i="9"/>
  <c r="R525" i="9"/>
  <c r="S525" i="9"/>
  <c r="T525" i="9"/>
  <c r="U525" i="9"/>
  <c r="N526" i="9"/>
  <c r="O526" i="9"/>
  <c r="P526" i="9"/>
  <c r="Q526" i="9"/>
  <c r="R526" i="9"/>
  <c r="S526" i="9"/>
  <c r="T526" i="9"/>
  <c r="U526" i="9"/>
  <c r="N527" i="9"/>
  <c r="O527" i="9"/>
  <c r="P527" i="9"/>
  <c r="Q527" i="9"/>
  <c r="R527" i="9"/>
  <c r="S527" i="9"/>
  <c r="T527" i="9"/>
  <c r="U527" i="9"/>
  <c r="N528" i="9"/>
  <c r="O528" i="9"/>
  <c r="P528" i="9"/>
  <c r="Q528" i="9"/>
  <c r="R528" i="9"/>
  <c r="S528" i="9"/>
  <c r="T528" i="9"/>
  <c r="U528" i="9"/>
  <c r="N529" i="9"/>
  <c r="O529" i="9"/>
  <c r="P529" i="9"/>
  <c r="Q529" i="9"/>
  <c r="R529" i="9"/>
  <c r="S529" i="9"/>
  <c r="T529" i="9"/>
  <c r="U529" i="9"/>
  <c r="N530" i="9"/>
  <c r="O530" i="9"/>
  <c r="P530" i="9"/>
  <c r="Q530" i="9"/>
  <c r="R530" i="9"/>
  <c r="S530" i="9"/>
  <c r="T530" i="9"/>
  <c r="U530" i="9"/>
  <c r="N531" i="9"/>
  <c r="O531" i="9"/>
  <c r="P531" i="9"/>
  <c r="Q531" i="9"/>
  <c r="R531" i="9"/>
  <c r="S531" i="9"/>
  <c r="T531" i="9"/>
  <c r="U531" i="9"/>
  <c r="N532" i="9"/>
  <c r="O532" i="9"/>
  <c r="P532" i="9"/>
  <c r="Q532" i="9"/>
  <c r="R532" i="9"/>
  <c r="S532" i="9"/>
  <c r="T532" i="9"/>
  <c r="U532" i="9"/>
  <c r="N533" i="9"/>
  <c r="O533" i="9"/>
  <c r="P533" i="9"/>
  <c r="Q533" i="9"/>
  <c r="R533" i="9"/>
  <c r="S533" i="9"/>
  <c r="T533" i="9"/>
  <c r="U533" i="9"/>
  <c r="N534" i="9"/>
  <c r="O534" i="9"/>
  <c r="P534" i="9"/>
  <c r="Q534" i="9"/>
  <c r="R534" i="9"/>
  <c r="S534" i="9"/>
  <c r="T534" i="9"/>
  <c r="U534" i="9"/>
  <c r="N535" i="9"/>
  <c r="O535" i="9"/>
  <c r="P535" i="9"/>
  <c r="Q535" i="9"/>
  <c r="R535" i="9"/>
  <c r="S535" i="9"/>
  <c r="T535" i="9"/>
  <c r="U535" i="9"/>
  <c r="N536" i="9"/>
  <c r="O536" i="9"/>
  <c r="P536" i="9"/>
  <c r="Q536" i="9"/>
  <c r="R536" i="9"/>
  <c r="S536" i="9"/>
  <c r="T536" i="9"/>
  <c r="U536" i="9"/>
  <c r="N537" i="9"/>
  <c r="O537" i="9"/>
  <c r="P537" i="9"/>
  <c r="Q537" i="9"/>
  <c r="R537" i="9"/>
  <c r="S537" i="9"/>
  <c r="T537" i="9"/>
  <c r="U537" i="9"/>
  <c r="N538" i="9"/>
  <c r="O538" i="9"/>
  <c r="P538" i="9"/>
  <c r="Q538" i="9"/>
  <c r="R538" i="9"/>
  <c r="S538" i="9"/>
  <c r="T538" i="9"/>
  <c r="U538" i="9"/>
  <c r="N539" i="9"/>
  <c r="O539" i="9"/>
  <c r="P539" i="9"/>
  <c r="Q539" i="9"/>
  <c r="R539" i="9"/>
  <c r="S539" i="9"/>
  <c r="T539" i="9"/>
  <c r="U539" i="9"/>
  <c r="N540" i="9"/>
  <c r="O540" i="9"/>
  <c r="P540" i="9"/>
  <c r="Q540" i="9"/>
  <c r="R540" i="9"/>
  <c r="S540" i="9"/>
  <c r="T540" i="9"/>
  <c r="U540" i="9"/>
  <c r="N541" i="9"/>
  <c r="O541" i="9"/>
  <c r="P541" i="9"/>
  <c r="Q541" i="9"/>
  <c r="R541" i="9"/>
  <c r="S541" i="9"/>
  <c r="T541" i="9"/>
  <c r="U541" i="9"/>
  <c r="N542" i="9"/>
  <c r="O542" i="9"/>
  <c r="P542" i="9"/>
  <c r="Q542" i="9"/>
  <c r="R542" i="9"/>
  <c r="S542" i="9"/>
  <c r="T542" i="9"/>
  <c r="U542" i="9"/>
  <c r="N543" i="9"/>
  <c r="O543" i="9"/>
  <c r="P543" i="9"/>
  <c r="Q543" i="9"/>
  <c r="R543" i="9"/>
  <c r="S543" i="9"/>
  <c r="T543" i="9"/>
  <c r="U543" i="9"/>
  <c r="N544" i="9"/>
  <c r="O544" i="9"/>
  <c r="P544" i="9"/>
  <c r="Q544" i="9"/>
  <c r="R544" i="9"/>
  <c r="S544" i="9"/>
  <c r="T544" i="9"/>
  <c r="U544" i="9"/>
  <c r="N545" i="9"/>
  <c r="O545" i="9"/>
  <c r="P545" i="9"/>
  <c r="Q545" i="9"/>
  <c r="R545" i="9"/>
  <c r="S545" i="9"/>
  <c r="T545" i="9"/>
  <c r="U545" i="9"/>
  <c r="N546" i="9"/>
  <c r="O546" i="9"/>
  <c r="P546" i="9"/>
  <c r="Q546" i="9"/>
  <c r="R546" i="9"/>
  <c r="S546" i="9"/>
  <c r="T546" i="9"/>
  <c r="U546" i="9"/>
  <c r="N547" i="9"/>
  <c r="O547" i="9"/>
  <c r="P547" i="9"/>
  <c r="Q547" i="9"/>
  <c r="R547" i="9"/>
  <c r="S547" i="9"/>
  <c r="T547" i="9"/>
  <c r="U547" i="9"/>
  <c r="N548" i="9"/>
  <c r="O548" i="9"/>
  <c r="P548" i="9"/>
  <c r="Q548" i="9"/>
  <c r="R548" i="9"/>
  <c r="S548" i="9"/>
  <c r="T548" i="9"/>
  <c r="U548" i="9"/>
  <c r="N549" i="9"/>
  <c r="O549" i="9"/>
  <c r="P549" i="9"/>
  <c r="Q549" i="9"/>
  <c r="R549" i="9"/>
  <c r="S549" i="9"/>
  <c r="T549" i="9"/>
  <c r="U549" i="9"/>
  <c r="N550" i="9"/>
  <c r="O550" i="9"/>
  <c r="P550" i="9"/>
  <c r="Q550" i="9"/>
  <c r="R550" i="9"/>
  <c r="S550" i="9"/>
  <c r="T550" i="9"/>
  <c r="U550" i="9"/>
  <c r="N551" i="9"/>
  <c r="O551" i="9"/>
  <c r="P551" i="9"/>
  <c r="Q551" i="9"/>
  <c r="R551" i="9"/>
  <c r="S551" i="9"/>
  <c r="T551" i="9"/>
  <c r="U551" i="9"/>
  <c r="N552" i="9"/>
  <c r="O552" i="9"/>
  <c r="P552" i="9"/>
  <c r="Q552" i="9"/>
  <c r="R552" i="9"/>
  <c r="S552" i="9"/>
  <c r="T552" i="9"/>
  <c r="U552" i="9"/>
  <c r="N553" i="9"/>
  <c r="O553" i="9"/>
  <c r="P553" i="9"/>
  <c r="Q553" i="9"/>
  <c r="R553" i="9"/>
  <c r="S553" i="9"/>
  <c r="T553" i="9"/>
  <c r="U553" i="9"/>
  <c r="N554" i="9"/>
  <c r="O554" i="9"/>
  <c r="P554" i="9"/>
  <c r="Q554" i="9"/>
  <c r="R554" i="9"/>
  <c r="S554" i="9"/>
  <c r="T554" i="9"/>
  <c r="U554" i="9"/>
  <c r="N555" i="9"/>
  <c r="O555" i="9"/>
  <c r="P555" i="9"/>
  <c r="Q555" i="9"/>
  <c r="R555" i="9"/>
  <c r="S555" i="9"/>
  <c r="T555" i="9"/>
  <c r="U555" i="9"/>
  <c r="N556" i="9"/>
  <c r="O556" i="9"/>
  <c r="P556" i="9"/>
  <c r="Q556" i="9"/>
  <c r="R556" i="9"/>
  <c r="S556" i="9"/>
  <c r="T556" i="9"/>
  <c r="U556" i="9"/>
  <c r="N557" i="9"/>
  <c r="O557" i="9"/>
  <c r="P557" i="9"/>
  <c r="Q557" i="9"/>
  <c r="R557" i="9"/>
  <c r="S557" i="9"/>
  <c r="T557" i="9"/>
  <c r="U557" i="9"/>
  <c r="N558" i="9"/>
  <c r="O558" i="9"/>
  <c r="P558" i="9"/>
  <c r="Q558" i="9"/>
  <c r="R558" i="9"/>
  <c r="S558" i="9"/>
  <c r="T558" i="9"/>
  <c r="U558" i="9"/>
  <c r="N559" i="9"/>
  <c r="O559" i="9"/>
  <c r="P559" i="9"/>
  <c r="Q559" i="9"/>
  <c r="R559" i="9"/>
  <c r="S559" i="9"/>
  <c r="T559" i="9"/>
  <c r="U559" i="9"/>
  <c r="N560" i="9"/>
  <c r="O560" i="9"/>
  <c r="P560" i="9"/>
  <c r="Q560" i="9"/>
  <c r="R560" i="9"/>
  <c r="S560" i="9"/>
  <c r="T560" i="9"/>
  <c r="U560" i="9"/>
  <c r="N561" i="9"/>
  <c r="O561" i="9"/>
  <c r="P561" i="9"/>
  <c r="Q561" i="9"/>
  <c r="R561" i="9"/>
  <c r="S561" i="9"/>
  <c r="T561" i="9"/>
  <c r="U561" i="9"/>
  <c r="N562" i="9"/>
  <c r="O562" i="9"/>
  <c r="P562" i="9"/>
  <c r="Q562" i="9"/>
  <c r="R562" i="9"/>
  <c r="S562" i="9"/>
  <c r="T562" i="9"/>
  <c r="U562" i="9"/>
  <c r="N563" i="9"/>
  <c r="O563" i="9"/>
  <c r="P563" i="9"/>
  <c r="Q563" i="9"/>
  <c r="R563" i="9"/>
  <c r="S563" i="9"/>
  <c r="T563" i="9"/>
  <c r="U563" i="9"/>
  <c r="N564" i="9"/>
  <c r="O564" i="9"/>
  <c r="P564" i="9"/>
  <c r="Q564" i="9"/>
  <c r="R564" i="9"/>
  <c r="S564" i="9"/>
  <c r="T564" i="9"/>
  <c r="U564" i="9"/>
  <c r="N565" i="9"/>
  <c r="O565" i="9"/>
  <c r="P565" i="9"/>
  <c r="Q565" i="9"/>
  <c r="R565" i="9"/>
  <c r="S565" i="9"/>
  <c r="T565" i="9"/>
  <c r="U565" i="9"/>
  <c r="N566" i="9"/>
  <c r="O566" i="9"/>
  <c r="P566" i="9"/>
  <c r="Q566" i="9"/>
  <c r="R566" i="9"/>
  <c r="S566" i="9"/>
  <c r="T566" i="9"/>
  <c r="U566" i="9"/>
  <c r="N567" i="9"/>
  <c r="O567" i="9"/>
  <c r="P567" i="9"/>
  <c r="Q567" i="9"/>
  <c r="R567" i="9"/>
  <c r="S567" i="9"/>
  <c r="T567" i="9"/>
  <c r="U567" i="9"/>
  <c r="N568" i="9"/>
  <c r="O568" i="9"/>
  <c r="P568" i="9"/>
  <c r="Q568" i="9"/>
  <c r="R568" i="9"/>
  <c r="S568" i="9"/>
  <c r="T568" i="9"/>
  <c r="U568" i="9"/>
  <c r="N569" i="9"/>
  <c r="O569" i="9"/>
  <c r="P569" i="9"/>
  <c r="Q569" i="9"/>
  <c r="R569" i="9"/>
  <c r="S569" i="9"/>
  <c r="T569" i="9"/>
  <c r="U569" i="9"/>
  <c r="N570" i="9"/>
  <c r="O570" i="9"/>
  <c r="P570" i="9"/>
  <c r="Q570" i="9"/>
  <c r="R570" i="9"/>
  <c r="S570" i="9"/>
  <c r="T570" i="9"/>
  <c r="U570" i="9"/>
  <c r="N571" i="9"/>
  <c r="O571" i="9"/>
  <c r="P571" i="9"/>
  <c r="Q571" i="9"/>
  <c r="R571" i="9"/>
  <c r="S571" i="9"/>
  <c r="T571" i="9"/>
  <c r="U571" i="9"/>
  <c r="N572" i="9"/>
  <c r="O572" i="9"/>
  <c r="P572" i="9"/>
  <c r="Q572" i="9"/>
  <c r="R572" i="9"/>
  <c r="S572" i="9"/>
  <c r="T572" i="9"/>
  <c r="U572" i="9"/>
  <c r="N573" i="9"/>
  <c r="O573" i="9"/>
  <c r="P573" i="9"/>
  <c r="Q573" i="9"/>
  <c r="R573" i="9"/>
  <c r="S573" i="9"/>
  <c r="T573" i="9"/>
  <c r="U573" i="9"/>
  <c r="N574" i="9"/>
  <c r="O574" i="9"/>
  <c r="P574" i="9"/>
  <c r="Q574" i="9"/>
  <c r="R574" i="9"/>
  <c r="S574" i="9"/>
  <c r="T574" i="9"/>
  <c r="U574" i="9"/>
  <c r="N575" i="9"/>
  <c r="O575" i="9"/>
  <c r="P575" i="9"/>
  <c r="Q575" i="9"/>
  <c r="R575" i="9"/>
  <c r="S575" i="9"/>
  <c r="T575" i="9"/>
  <c r="U575" i="9"/>
  <c r="N576" i="9"/>
  <c r="O576" i="9"/>
  <c r="P576" i="9"/>
  <c r="Q576" i="9"/>
  <c r="R576" i="9"/>
  <c r="S576" i="9"/>
  <c r="T576" i="9"/>
  <c r="U576" i="9"/>
  <c r="N577" i="9"/>
  <c r="O577" i="9"/>
  <c r="P577" i="9"/>
  <c r="Q577" i="9"/>
  <c r="R577" i="9"/>
  <c r="S577" i="9"/>
  <c r="T577" i="9"/>
  <c r="U577" i="9"/>
  <c r="N578" i="9"/>
  <c r="O578" i="9"/>
  <c r="P578" i="9"/>
  <c r="Q578" i="9"/>
  <c r="R578" i="9"/>
  <c r="S578" i="9"/>
  <c r="T578" i="9"/>
  <c r="U578" i="9"/>
  <c r="N579" i="9"/>
  <c r="O579" i="9"/>
  <c r="P579" i="9"/>
  <c r="Q579" i="9"/>
  <c r="R579" i="9"/>
  <c r="S579" i="9"/>
  <c r="T579" i="9"/>
  <c r="U579" i="9"/>
  <c r="N580" i="9"/>
  <c r="O580" i="9"/>
  <c r="P580" i="9"/>
  <c r="Q580" i="9"/>
  <c r="R580" i="9"/>
  <c r="S580" i="9"/>
  <c r="T580" i="9"/>
  <c r="U580" i="9"/>
  <c r="N581" i="9"/>
  <c r="O581" i="9"/>
  <c r="P581" i="9"/>
  <c r="Q581" i="9"/>
  <c r="R581" i="9"/>
  <c r="S581" i="9"/>
  <c r="T581" i="9"/>
  <c r="U581" i="9"/>
  <c r="N582" i="9"/>
  <c r="O582" i="9"/>
  <c r="P582" i="9"/>
  <c r="Q582" i="9"/>
  <c r="R582" i="9"/>
  <c r="S582" i="9"/>
  <c r="T582" i="9"/>
  <c r="U582" i="9"/>
  <c r="N583" i="9"/>
  <c r="O583" i="9"/>
  <c r="P583" i="9"/>
  <c r="Q583" i="9"/>
  <c r="R583" i="9"/>
  <c r="S583" i="9"/>
  <c r="T583" i="9"/>
  <c r="U583" i="9"/>
  <c r="N584" i="9"/>
  <c r="O584" i="9"/>
  <c r="P584" i="9"/>
  <c r="Q584" i="9"/>
  <c r="R584" i="9"/>
  <c r="S584" i="9"/>
  <c r="T584" i="9"/>
  <c r="U584" i="9"/>
  <c r="N585" i="9"/>
  <c r="O585" i="9"/>
  <c r="P585" i="9"/>
  <c r="Q585" i="9"/>
  <c r="R585" i="9"/>
  <c r="S585" i="9"/>
  <c r="T585" i="9"/>
  <c r="U585" i="9"/>
  <c r="N586" i="9"/>
  <c r="O586" i="9"/>
  <c r="P586" i="9"/>
  <c r="Q586" i="9"/>
  <c r="R586" i="9"/>
  <c r="S586" i="9"/>
  <c r="T586" i="9"/>
  <c r="U586" i="9"/>
  <c r="N587" i="9"/>
  <c r="O587" i="9"/>
  <c r="P587" i="9"/>
  <c r="Q587" i="9"/>
  <c r="R587" i="9"/>
  <c r="S587" i="9"/>
  <c r="T587" i="9"/>
  <c r="U587" i="9"/>
  <c r="N588" i="9"/>
  <c r="O588" i="9"/>
  <c r="P588" i="9"/>
  <c r="Q588" i="9"/>
  <c r="R588" i="9"/>
  <c r="S588" i="9"/>
  <c r="T588" i="9"/>
  <c r="U588" i="9"/>
  <c r="E325" i="9"/>
  <c r="F325" i="9"/>
  <c r="G325" i="9"/>
  <c r="M325" i="9"/>
  <c r="GD30" i="29" s="1"/>
  <c r="E326" i="9"/>
  <c r="F326" i="9"/>
  <c r="G326" i="9"/>
  <c r="M326" i="9"/>
  <c r="FT30" i="29" s="1"/>
  <c r="E327" i="9"/>
  <c r="F327" i="9"/>
  <c r="G327" i="9"/>
  <c r="M327" i="9"/>
  <c r="BF30" i="29" s="1"/>
  <c r="BF30" i="31" s="1"/>
  <c r="BF172" i="31" s="1"/>
  <c r="E328" i="9"/>
  <c r="F328" i="9"/>
  <c r="G328" i="9"/>
  <c r="M328" i="9"/>
  <c r="FN30" i="29" s="1"/>
  <c r="E329" i="9"/>
  <c r="F329" i="9"/>
  <c r="G329" i="9"/>
  <c r="M329" i="9"/>
  <c r="CG30" i="29" s="1"/>
  <c r="CG172" i="31" s="1"/>
  <c r="E330" i="9"/>
  <c r="F330" i="9"/>
  <c r="G330" i="9"/>
  <c r="M330" i="9"/>
  <c r="GN30" i="29" s="1"/>
  <c r="E331" i="9"/>
  <c r="F331" i="9"/>
  <c r="G331" i="9"/>
  <c r="M331" i="9"/>
  <c r="CU30" i="29" s="1"/>
  <c r="CU30" i="31" s="1"/>
  <c r="CU172" i="31" s="1"/>
  <c r="E332" i="9"/>
  <c r="F332" i="9"/>
  <c r="G332" i="9"/>
  <c r="M332" i="9"/>
  <c r="DH30" i="29" s="1"/>
  <c r="DH30" i="31" s="1"/>
  <c r="DH172" i="31" s="1"/>
  <c r="E333" i="9"/>
  <c r="F333" i="9"/>
  <c r="G333" i="9"/>
  <c r="M333" i="9"/>
  <c r="AX30" i="29" s="1"/>
  <c r="AX30" i="31" s="1"/>
  <c r="AX172" i="31" s="1"/>
  <c r="E334" i="9"/>
  <c r="F334" i="9"/>
  <c r="G334" i="9"/>
  <c r="M334" i="9"/>
  <c r="HU30" i="29" s="1"/>
  <c r="HU30" i="31" s="1"/>
  <c r="HU172" i="31" s="1"/>
  <c r="E335" i="9"/>
  <c r="F335" i="9"/>
  <c r="G335" i="9"/>
  <c r="M335" i="9"/>
  <c r="AN30" i="29" s="1"/>
  <c r="E336" i="9"/>
  <c r="F336" i="9"/>
  <c r="G336" i="9"/>
  <c r="M336" i="9"/>
  <c r="GQ30" i="29" s="1"/>
  <c r="E337" i="9"/>
  <c r="F337" i="9"/>
  <c r="G337" i="9"/>
  <c r="M337" i="9"/>
  <c r="BH30" i="29" s="1"/>
  <c r="BH30" i="31" s="1"/>
  <c r="BH172" i="31" s="1"/>
  <c r="E338" i="9"/>
  <c r="F338" i="9"/>
  <c r="G338" i="9"/>
  <c r="M338" i="9"/>
  <c r="JF30" i="29" s="1"/>
  <c r="JF30" i="31" s="1"/>
  <c r="JF172" i="31" s="1"/>
  <c r="E339" i="9"/>
  <c r="F339" i="9"/>
  <c r="G339" i="9"/>
  <c r="M339" i="9"/>
  <c r="DI30" i="29" s="1"/>
  <c r="DI30" i="31" s="1"/>
  <c r="DI172" i="31" s="1"/>
  <c r="E340" i="9"/>
  <c r="F340" i="9"/>
  <c r="G340" i="9"/>
  <c r="M340" i="9"/>
  <c r="AH30" i="29" s="1"/>
  <c r="AH30" i="31" s="1"/>
  <c r="AH172" i="31" s="1"/>
  <c r="E341" i="9"/>
  <c r="F341" i="9"/>
  <c r="G341" i="9"/>
  <c r="M341" i="9"/>
  <c r="IX30" i="29" s="1"/>
  <c r="IX30" i="31" s="1"/>
  <c r="IX172" i="31" s="1"/>
  <c r="E342" i="9"/>
  <c r="F342" i="9"/>
  <c r="G342" i="9"/>
  <c r="M342" i="9"/>
  <c r="EC30" i="29" s="1"/>
  <c r="EC30" i="31" s="1"/>
  <c r="EC172" i="31" s="1"/>
  <c r="E343" i="9"/>
  <c r="F343" i="9"/>
  <c r="G343" i="9"/>
  <c r="M343" i="9"/>
  <c r="FH30" i="29" s="1"/>
  <c r="E344" i="9"/>
  <c r="F344" i="9"/>
  <c r="G344" i="9"/>
  <c r="M344" i="9"/>
  <c r="FA30" i="29" s="1"/>
  <c r="E345" i="9"/>
  <c r="F345" i="9"/>
  <c r="G345" i="9"/>
  <c r="M345" i="9"/>
  <c r="C30" i="29" s="1"/>
  <c r="C30" i="31" s="1"/>
  <c r="E346" i="9"/>
  <c r="F346" i="9"/>
  <c r="G346" i="9"/>
  <c r="M346" i="9"/>
  <c r="FX30" i="29" s="1"/>
  <c r="E347" i="9"/>
  <c r="F347" i="9"/>
  <c r="G347" i="9"/>
  <c r="M347" i="9"/>
  <c r="ER30" i="29" s="1"/>
  <c r="ER30" i="31" s="1"/>
  <c r="ER172" i="31" s="1"/>
  <c r="E348" i="9"/>
  <c r="F348" i="9"/>
  <c r="G348" i="9"/>
  <c r="M348" i="9"/>
  <c r="FE30" i="29" s="1"/>
  <c r="E349" i="9"/>
  <c r="F349" i="9"/>
  <c r="G349" i="9"/>
  <c r="M349" i="9"/>
  <c r="DY30" i="29" s="1"/>
  <c r="DY30" i="31" s="1"/>
  <c r="DY172" i="31" s="1"/>
  <c r="E350" i="9"/>
  <c r="F350" i="9"/>
  <c r="G350" i="9"/>
  <c r="M350" i="9"/>
  <c r="CN30" i="29" s="1"/>
  <c r="CN30" i="31" s="1"/>
  <c r="CN172" i="31" s="1"/>
  <c r="E351" i="9"/>
  <c r="F351" i="9"/>
  <c r="G351" i="9"/>
  <c r="M351" i="9"/>
  <c r="K30" i="29" s="1"/>
  <c r="K30" i="31" s="1"/>
  <c r="K172" i="31" s="1"/>
  <c r="E352" i="9"/>
  <c r="F352" i="9"/>
  <c r="G352" i="9"/>
  <c r="M352" i="9"/>
  <c r="EI30" i="29" s="1"/>
  <c r="EI30" i="31" s="1"/>
  <c r="EI172" i="31" s="1"/>
  <c r="E353" i="9"/>
  <c r="F353" i="9"/>
  <c r="G353" i="9"/>
  <c r="M353" i="9"/>
  <c r="AB30" i="29" s="1"/>
  <c r="AB30" i="31" s="1"/>
  <c r="AB172" i="31" s="1"/>
  <c r="E354" i="9"/>
  <c r="F354" i="9"/>
  <c r="G354" i="9"/>
  <c r="M354" i="9"/>
  <c r="GB30" i="29" s="1"/>
  <c r="E355" i="9"/>
  <c r="F355" i="9"/>
  <c r="G355" i="9"/>
  <c r="M355" i="9"/>
  <c r="DL30" i="29" s="1"/>
  <c r="DL30" i="31" s="1"/>
  <c r="DL172" i="31" s="1"/>
  <c r="E356" i="9"/>
  <c r="F356" i="9"/>
  <c r="G356" i="9"/>
  <c r="M356" i="9"/>
  <c r="CF30" i="29" s="1"/>
  <c r="CF30" i="31" s="1"/>
  <c r="CF172" i="31" s="1"/>
  <c r="E357" i="9"/>
  <c r="F357" i="9"/>
  <c r="G357" i="9"/>
  <c r="M357" i="9"/>
  <c r="IL30" i="29" s="1"/>
  <c r="IL30" i="31" s="1"/>
  <c r="IL172" i="31" s="1"/>
  <c r="E358" i="9"/>
  <c r="F358" i="9"/>
  <c r="G358" i="9"/>
  <c r="M358" i="9"/>
  <c r="IM30" i="29" s="1"/>
  <c r="IM30" i="31" s="1"/>
  <c r="IM172" i="31" s="1"/>
  <c r="E359" i="9"/>
  <c r="F359" i="9"/>
  <c r="G359" i="9"/>
  <c r="M359" i="9"/>
  <c r="AO30" i="29" s="1"/>
  <c r="AO30" i="31" s="1"/>
  <c r="AO172" i="31" s="1"/>
  <c r="E360" i="9"/>
  <c r="F360" i="9"/>
  <c r="G360" i="9"/>
  <c r="M360" i="9"/>
  <c r="CQ30" i="29" s="1"/>
  <c r="CQ30" i="31" s="1"/>
  <c r="CQ172" i="31" s="1"/>
  <c r="E361" i="9"/>
  <c r="F361" i="9"/>
  <c r="G361" i="9"/>
  <c r="M361" i="9"/>
  <c r="AY30" i="29" s="1"/>
  <c r="AY30" i="31" s="1"/>
  <c r="AY172" i="31" s="1"/>
  <c r="E362" i="9"/>
  <c r="F362" i="9"/>
  <c r="G362" i="9"/>
  <c r="M362" i="9"/>
  <c r="CK30" i="29" s="1"/>
  <c r="CK30" i="31" s="1"/>
  <c r="CK172" i="31" s="1"/>
  <c r="E363" i="9"/>
  <c r="F363" i="9"/>
  <c r="G363" i="9"/>
  <c r="M363" i="9"/>
  <c r="ID30" i="29" s="1"/>
  <c r="ID30" i="31" s="1"/>
  <c r="ID172" i="31" s="1"/>
  <c r="E364" i="9"/>
  <c r="F364" i="9"/>
  <c r="G364" i="9"/>
  <c r="M364" i="9"/>
  <c r="FL30" i="29" s="1"/>
  <c r="E365" i="9"/>
  <c r="F365" i="9"/>
  <c r="G365" i="9"/>
  <c r="M365" i="9"/>
  <c r="BX30" i="29" s="1"/>
  <c r="BX30" i="31" s="1"/>
  <c r="BX172" i="31" s="1"/>
  <c r="E366" i="9"/>
  <c r="F366" i="9"/>
  <c r="G366" i="9"/>
  <c r="M366" i="9"/>
  <c r="M30" i="29" s="1"/>
  <c r="M30" i="31" s="1"/>
  <c r="M172" i="31" s="1"/>
  <c r="E367" i="9"/>
  <c r="F367" i="9"/>
  <c r="G367" i="9"/>
  <c r="M367" i="9"/>
  <c r="JG30" i="29" s="1"/>
  <c r="JG30" i="31" s="1"/>
  <c r="JG172" i="31" s="1"/>
  <c r="E368" i="9"/>
  <c r="F368" i="9"/>
  <c r="G368" i="9"/>
  <c r="M368" i="9"/>
  <c r="EE30" i="29" s="1"/>
  <c r="EE30" i="31" s="1"/>
  <c r="EE172" i="31" s="1"/>
  <c r="E369" i="9"/>
  <c r="F369" i="9"/>
  <c r="G369" i="9"/>
  <c r="M369" i="9"/>
  <c r="HC30" i="29" s="1"/>
  <c r="E370" i="9"/>
  <c r="F370" i="9"/>
  <c r="G370" i="9"/>
  <c r="M370" i="9"/>
  <c r="DN30" i="29" s="1"/>
  <c r="DN30" i="31" s="1"/>
  <c r="DN172" i="31" s="1"/>
  <c r="E371" i="9"/>
  <c r="F371" i="9"/>
  <c r="G371" i="9"/>
  <c r="M371" i="9"/>
  <c r="BV30" i="29" s="1"/>
  <c r="BV30" i="31" s="1"/>
  <c r="BV172" i="31" s="1"/>
  <c r="E372" i="9"/>
  <c r="F372" i="9"/>
  <c r="G372" i="9"/>
  <c r="M372" i="9"/>
  <c r="CO30" i="29" s="1"/>
  <c r="CO30" i="31" s="1"/>
  <c r="CO172" i="31" s="1"/>
  <c r="E373" i="9"/>
  <c r="F373" i="9"/>
  <c r="G373" i="9"/>
  <c r="M373" i="9"/>
  <c r="X30" i="29" s="1"/>
  <c r="X30" i="31" s="1"/>
  <c r="X172" i="31" s="1"/>
  <c r="E374" i="9"/>
  <c r="F374" i="9"/>
  <c r="G374" i="9"/>
  <c r="M374" i="9"/>
  <c r="BK30" i="29" s="1"/>
  <c r="BK30" i="31" s="1"/>
  <c r="BK172" i="31" s="1"/>
  <c r="E375" i="9"/>
  <c r="F375" i="9"/>
  <c r="G375" i="9"/>
  <c r="M375" i="9"/>
  <c r="AT30" i="29" s="1"/>
  <c r="AT30" i="31" s="1"/>
  <c r="AT172" i="31" s="1"/>
  <c r="E376" i="9"/>
  <c r="F376" i="9"/>
  <c r="G376" i="9"/>
  <c r="M376" i="9"/>
  <c r="EK30" i="29" s="1"/>
  <c r="EK30" i="31" s="1"/>
  <c r="EK172" i="31" s="1"/>
  <c r="E377" i="9"/>
  <c r="F377" i="9"/>
  <c r="G377" i="9"/>
  <c r="M377" i="9"/>
  <c r="AZ30" i="29" s="1"/>
  <c r="AZ30" i="31" s="1"/>
  <c r="AZ172" i="31" s="1"/>
  <c r="E378" i="9"/>
  <c r="F378" i="9"/>
  <c r="G378" i="9"/>
  <c r="M378" i="9"/>
  <c r="GH30" i="29" s="1"/>
  <c r="E379" i="9"/>
  <c r="F379" i="9"/>
  <c r="G379" i="9"/>
  <c r="M379" i="9"/>
  <c r="FD30" i="29" s="1"/>
  <c r="FD30" i="31" s="1"/>
  <c r="FD172" i="31" s="1"/>
  <c r="E380" i="9"/>
  <c r="F380" i="9"/>
  <c r="G380" i="9"/>
  <c r="M380" i="9"/>
  <c r="BJ30" i="29" s="1"/>
  <c r="BJ30" i="31" s="1"/>
  <c r="BJ172" i="31" s="1"/>
  <c r="E381" i="9"/>
  <c r="F381" i="9"/>
  <c r="G381" i="9"/>
  <c r="M381" i="9"/>
  <c r="AM30" i="29" s="1"/>
  <c r="AM30" i="31" s="1"/>
  <c r="AM172" i="31" s="1"/>
  <c r="E382" i="9"/>
  <c r="F382" i="9"/>
  <c r="G382" i="9"/>
  <c r="M382" i="9"/>
  <c r="IB30" i="29" s="1"/>
  <c r="IB30" i="31" s="1"/>
  <c r="E383" i="9"/>
  <c r="F383" i="9"/>
  <c r="G383" i="9"/>
  <c r="M383" i="9"/>
  <c r="BO30" i="29" s="1"/>
  <c r="BO30" i="31" s="1"/>
  <c r="BO172" i="31" s="1"/>
  <c r="E384" i="9"/>
  <c r="F384" i="9"/>
  <c r="G384" i="9"/>
  <c r="M384" i="9"/>
  <c r="CZ30" i="29" s="1"/>
  <c r="CZ30" i="31" s="1"/>
  <c r="CZ172" i="31" s="1"/>
  <c r="E385" i="9"/>
  <c r="F385" i="9"/>
  <c r="G385" i="9"/>
  <c r="M385" i="9"/>
  <c r="IE30" i="29" s="1"/>
  <c r="IE30" i="31" s="1"/>
  <c r="IE172" i="31" s="1"/>
  <c r="E386" i="9"/>
  <c r="F386" i="9"/>
  <c r="G386" i="9"/>
  <c r="M386" i="9"/>
  <c r="CL30" i="29" s="1"/>
  <c r="E387" i="9"/>
  <c r="F387" i="9"/>
  <c r="G387" i="9"/>
  <c r="M387" i="9"/>
  <c r="HG30" i="29" s="1"/>
  <c r="E388" i="9"/>
  <c r="F388" i="9"/>
  <c r="G388" i="9"/>
  <c r="M388" i="9"/>
  <c r="HW30" i="29" s="1"/>
  <c r="HW30" i="31" s="1"/>
  <c r="HW172" i="31" s="1"/>
  <c r="E389" i="9"/>
  <c r="F389" i="9"/>
  <c r="G389" i="9"/>
  <c r="M389" i="9"/>
  <c r="CC30" i="29" s="1"/>
  <c r="CC30" i="31" s="1"/>
  <c r="CC172" i="31" s="1"/>
  <c r="E390" i="9"/>
  <c r="F390" i="9"/>
  <c r="G390" i="9"/>
  <c r="M390" i="9"/>
  <c r="GW30" i="29" s="1"/>
  <c r="E391" i="9"/>
  <c r="F391" i="9"/>
  <c r="G391" i="9"/>
  <c r="M391" i="9"/>
  <c r="BR30" i="29" s="1"/>
  <c r="BR30" i="31" s="1"/>
  <c r="BR172" i="31" s="1"/>
  <c r="E392" i="9"/>
  <c r="F392" i="9"/>
  <c r="G392" i="9"/>
  <c r="M392" i="9"/>
  <c r="BM30" i="29" s="1"/>
  <c r="BM30" i="31" s="1"/>
  <c r="BM172" i="31" s="1"/>
  <c r="E393" i="9"/>
  <c r="F393" i="9"/>
  <c r="G393" i="9"/>
  <c r="M393" i="9"/>
  <c r="GC30" i="29" s="1"/>
  <c r="E394" i="9"/>
  <c r="F394" i="9"/>
  <c r="G394" i="9"/>
  <c r="M394" i="9"/>
  <c r="CY30" i="29" s="1"/>
  <c r="E395" i="9"/>
  <c r="F395" i="9"/>
  <c r="G395" i="9"/>
  <c r="M395" i="9"/>
  <c r="E30" i="29" s="1"/>
  <c r="E30" i="31" s="1"/>
  <c r="E396" i="9"/>
  <c r="F396" i="9"/>
  <c r="G396" i="9"/>
  <c r="M396" i="9"/>
  <c r="EA30" i="29" s="1"/>
  <c r="EA30" i="31" s="1"/>
  <c r="E397" i="9"/>
  <c r="F397" i="9"/>
  <c r="G397" i="9"/>
  <c r="M397" i="9"/>
  <c r="L30" i="29" s="1"/>
  <c r="L30" i="31" s="1"/>
  <c r="E398" i="9"/>
  <c r="F398" i="9"/>
  <c r="G398" i="9"/>
  <c r="M398" i="9"/>
  <c r="GA30" i="29" s="1"/>
  <c r="E399" i="9"/>
  <c r="F399" i="9"/>
  <c r="G399" i="9"/>
  <c r="M399" i="9"/>
  <c r="HQ30" i="29" s="1"/>
  <c r="HQ30" i="31" s="1"/>
  <c r="E400" i="9"/>
  <c r="F400" i="9"/>
  <c r="G400" i="9"/>
  <c r="M400" i="9"/>
  <c r="HR30" i="29" s="1"/>
  <c r="HR30" i="31" s="1"/>
  <c r="E401" i="9"/>
  <c r="F401" i="9"/>
  <c r="G401" i="9"/>
  <c r="M401" i="9"/>
  <c r="IV30" i="29" s="1"/>
  <c r="IV30" i="31" s="1"/>
  <c r="E402" i="9"/>
  <c r="F402" i="9"/>
  <c r="G402" i="9"/>
  <c r="M402" i="9"/>
  <c r="DX30" i="29" s="1"/>
  <c r="DX30" i="31" s="1"/>
  <c r="E403" i="9"/>
  <c r="F403" i="9"/>
  <c r="G403" i="9"/>
  <c r="M403" i="9"/>
  <c r="EW30" i="29" s="1"/>
  <c r="E404" i="9"/>
  <c r="F404" i="9"/>
  <c r="G404" i="9"/>
  <c r="M404" i="9"/>
  <c r="GO30" i="29" s="1"/>
  <c r="E405" i="9"/>
  <c r="F405" i="9"/>
  <c r="G405" i="9"/>
  <c r="M405" i="9"/>
  <c r="HO30" i="29" s="1"/>
  <c r="HO30" i="31" s="1"/>
  <c r="E406" i="9"/>
  <c r="F406" i="9"/>
  <c r="G406" i="9"/>
  <c r="M406" i="9"/>
  <c r="G30" i="29" s="1"/>
  <c r="G30" i="31" s="1"/>
  <c r="E407" i="9"/>
  <c r="F407" i="9"/>
  <c r="G407" i="9"/>
  <c r="M407" i="9"/>
  <c r="IQ30" i="29" s="1"/>
  <c r="IQ30" i="31" s="1"/>
  <c r="E408" i="9"/>
  <c r="F408" i="9"/>
  <c r="G408" i="9"/>
  <c r="M408" i="9"/>
  <c r="EH30" i="29" s="1"/>
  <c r="EH30" i="31" s="1"/>
  <c r="E409" i="9"/>
  <c r="F409" i="9"/>
  <c r="G409" i="9"/>
  <c r="M409" i="9"/>
  <c r="DD30" i="29" s="1"/>
  <c r="DD30" i="31" s="1"/>
  <c r="E410" i="9"/>
  <c r="F410" i="9"/>
  <c r="G410" i="9"/>
  <c r="M410" i="9"/>
  <c r="HX30" i="29" s="1"/>
  <c r="HX30" i="31" s="1"/>
  <c r="E411" i="9"/>
  <c r="F411" i="9"/>
  <c r="G411" i="9"/>
  <c r="M411" i="9"/>
  <c r="HI30" i="29" s="1"/>
  <c r="E412" i="9"/>
  <c r="F412" i="9"/>
  <c r="G412" i="9"/>
  <c r="M412" i="9"/>
  <c r="DZ30" i="29" s="1"/>
  <c r="DZ30" i="31" s="1"/>
  <c r="E413" i="9"/>
  <c r="F413" i="9"/>
  <c r="G413" i="9"/>
  <c r="M413" i="9"/>
  <c r="IA30" i="29" s="1"/>
  <c r="IA30" i="31" s="1"/>
  <c r="E414" i="9"/>
  <c r="F414" i="9"/>
  <c r="G414" i="9"/>
  <c r="M414" i="9"/>
  <c r="GE30" i="29" s="1"/>
  <c r="E415" i="9"/>
  <c r="F415" i="9"/>
  <c r="G415" i="9"/>
  <c r="M415" i="9"/>
  <c r="IR30" i="29" s="1"/>
  <c r="IR30" i="31" s="1"/>
  <c r="E416" i="9"/>
  <c r="F416" i="9"/>
  <c r="G416" i="9"/>
  <c r="M416" i="9"/>
  <c r="GG30" i="29" s="1"/>
  <c r="E417" i="9"/>
  <c r="F417" i="9"/>
  <c r="G417" i="9"/>
  <c r="M417" i="9"/>
  <c r="EB30" i="29" s="1"/>
  <c r="EB30" i="31" s="1"/>
  <c r="E418" i="9"/>
  <c r="F418" i="9"/>
  <c r="G418" i="9"/>
  <c r="M418" i="9"/>
  <c r="R30" i="29" s="1"/>
  <c r="R30" i="31" s="1"/>
  <c r="E419" i="9"/>
  <c r="F419" i="9"/>
  <c r="G419" i="9"/>
  <c r="M419" i="9"/>
  <c r="BL30" i="29" s="1"/>
  <c r="BL30" i="31" s="1"/>
  <c r="BL172" i="31" s="1"/>
  <c r="E420" i="9"/>
  <c r="F420" i="9"/>
  <c r="G420" i="9"/>
  <c r="M420" i="9"/>
  <c r="EJ30" i="29" s="1"/>
  <c r="E421" i="9"/>
  <c r="F421" i="9"/>
  <c r="G421" i="9"/>
  <c r="M421" i="9"/>
  <c r="FP30" i="29" s="1"/>
  <c r="E422" i="9"/>
  <c r="F422" i="9"/>
  <c r="G422" i="9"/>
  <c r="M422" i="9"/>
  <c r="EV30" i="29" s="1"/>
  <c r="E423" i="9"/>
  <c r="F423" i="9"/>
  <c r="G423" i="9"/>
  <c r="M423" i="9"/>
  <c r="IJ30" i="29" s="1"/>
  <c r="E424" i="9"/>
  <c r="F424" i="9"/>
  <c r="G424" i="9"/>
  <c r="M424" i="9"/>
  <c r="HA30" i="29" s="1"/>
  <c r="E425" i="9"/>
  <c r="F425" i="9"/>
  <c r="G425" i="9"/>
  <c r="M425" i="9"/>
  <c r="GV30" i="29" s="1"/>
  <c r="E426" i="9"/>
  <c r="F426" i="9"/>
  <c r="G426" i="9"/>
  <c r="M426" i="9"/>
  <c r="EM30" i="29" s="1"/>
  <c r="EM30" i="31" s="1"/>
  <c r="E427" i="9"/>
  <c r="F427" i="9"/>
  <c r="G427" i="9"/>
  <c r="M427" i="9"/>
  <c r="AV30" i="29" s="1"/>
  <c r="AV30" i="31" s="1"/>
  <c r="E428" i="9"/>
  <c r="F428" i="9"/>
  <c r="G428" i="9"/>
  <c r="M428" i="9"/>
  <c r="FU30" i="29" s="1"/>
  <c r="E429" i="9"/>
  <c r="F429" i="9"/>
  <c r="G429" i="9"/>
  <c r="M429" i="9"/>
  <c r="DQ30" i="29" s="1"/>
  <c r="DQ30" i="31" s="1"/>
  <c r="E430" i="9"/>
  <c r="F430" i="9"/>
  <c r="G430" i="9"/>
  <c r="M430" i="9"/>
  <c r="GL30" i="29" s="1"/>
  <c r="E431" i="9"/>
  <c r="F431" i="9"/>
  <c r="G431" i="9"/>
  <c r="M431" i="9"/>
  <c r="DO30" i="29" s="1"/>
  <c r="DO30" i="31" s="1"/>
  <c r="E432" i="9"/>
  <c r="F432" i="9"/>
  <c r="G432" i="9"/>
  <c r="M432" i="9"/>
  <c r="CH30" i="29" s="1"/>
  <c r="E433" i="9"/>
  <c r="F433" i="9"/>
  <c r="G433" i="9"/>
  <c r="M433" i="9"/>
  <c r="FS30" i="29" s="1"/>
  <c r="E434" i="9"/>
  <c r="F434" i="9"/>
  <c r="G434" i="9"/>
  <c r="M434" i="9"/>
  <c r="HP30" i="29" s="1"/>
  <c r="HP30" i="31" s="1"/>
  <c r="E435" i="9"/>
  <c r="F435" i="9"/>
  <c r="G435" i="9"/>
  <c r="M435" i="9"/>
  <c r="HY30" i="29" s="1"/>
  <c r="HY30" i="31" s="1"/>
  <c r="E436" i="9"/>
  <c r="F436" i="9"/>
  <c r="G436" i="9"/>
  <c r="M436" i="9"/>
  <c r="GI30" i="29" s="1"/>
  <c r="E437" i="9"/>
  <c r="F437" i="9"/>
  <c r="G437" i="9"/>
  <c r="M437" i="9"/>
  <c r="FF30" i="29" s="1"/>
  <c r="E438" i="9"/>
  <c r="F438" i="9"/>
  <c r="G438" i="9"/>
  <c r="M438" i="9"/>
  <c r="J30" i="29" s="1"/>
  <c r="E439" i="9"/>
  <c r="F439" i="9"/>
  <c r="G439" i="9"/>
  <c r="M439" i="9"/>
  <c r="GR30" i="29" s="1"/>
  <c r="E440" i="9"/>
  <c r="F440" i="9"/>
  <c r="G440" i="9"/>
  <c r="M440" i="9"/>
  <c r="EY30" i="29" s="1"/>
  <c r="E441" i="9"/>
  <c r="F441" i="9"/>
  <c r="G441" i="9"/>
  <c r="M441" i="9"/>
  <c r="HL30" i="29" s="1"/>
  <c r="HL30" i="31" s="1"/>
  <c r="E442" i="9"/>
  <c r="F442" i="9"/>
  <c r="G442" i="9"/>
  <c r="M442" i="9"/>
  <c r="N30" i="29" s="1"/>
  <c r="N30" i="31" s="1"/>
  <c r="E443" i="9"/>
  <c r="F443" i="9"/>
  <c r="G443" i="9"/>
  <c r="M443" i="9"/>
  <c r="HZ30" i="29" s="1"/>
  <c r="HZ30" i="31" s="1"/>
  <c r="E444" i="9"/>
  <c r="F444" i="9"/>
  <c r="G444" i="9"/>
  <c r="M444" i="9"/>
  <c r="BN30" i="29" s="1"/>
  <c r="BN30" i="31" s="1"/>
  <c r="E445" i="9"/>
  <c r="F445" i="9"/>
  <c r="G445" i="9"/>
  <c r="M445" i="9"/>
  <c r="FY30" i="29" s="1"/>
  <c r="E446" i="9"/>
  <c r="F446" i="9"/>
  <c r="G446" i="9"/>
  <c r="M446" i="9"/>
  <c r="HB30" i="29" s="1"/>
  <c r="E447" i="9"/>
  <c r="F447" i="9"/>
  <c r="G447" i="9"/>
  <c r="M447" i="9"/>
  <c r="FK30" i="29" s="1"/>
  <c r="E448" i="9"/>
  <c r="F448" i="9"/>
  <c r="G448" i="9"/>
  <c r="M448" i="9"/>
  <c r="HF30" i="29" s="1"/>
  <c r="E449" i="9"/>
  <c r="F449" i="9"/>
  <c r="G449" i="9"/>
  <c r="M449" i="9"/>
  <c r="II30" i="29" s="1"/>
  <c r="II30" i="31" s="1"/>
  <c r="E450" i="9"/>
  <c r="F450" i="9"/>
  <c r="G450" i="9"/>
  <c r="M450" i="9"/>
  <c r="EU30" i="29" s="1"/>
  <c r="E451" i="9"/>
  <c r="F451" i="9"/>
  <c r="G451" i="9"/>
  <c r="M451" i="9"/>
  <c r="FG30" i="29" s="1"/>
  <c r="E452" i="9"/>
  <c r="F452" i="9"/>
  <c r="G452" i="9"/>
  <c r="M452" i="9"/>
  <c r="EN30" i="29" s="1"/>
  <c r="EN30" i="31" s="1"/>
  <c r="E453" i="9"/>
  <c r="F453" i="9"/>
  <c r="G453" i="9"/>
  <c r="M453" i="9"/>
  <c r="CE30" i="29" s="1"/>
  <c r="CE30" i="31" s="1"/>
  <c r="E454" i="9"/>
  <c r="F454" i="9"/>
  <c r="G454" i="9"/>
  <c r="M454" i="9"/>
  <c r="EP30" i="29" s="1"/>
  <c r="EP30" i="31" s="1"/>
  <c r="E455" i="9"/>
  <c r="F455" i="9"/>
  <c r="G455" i="9"/>
  <c r="M455" i="9"/>
  <c r="GU30" i="29" s="1"/>
  <c r="E456" i="9"/>
  <c r="F456" i="9"/>
  <c r="G456" i="9"/>
  <c r="M456" i="9"/>
  <c r="IW30" i="29" s="1"/>
  <c r="IW30" i="31" s="1"/>
  <c r="E457" i="9"/>
  <c r="F457" i="9"/>
  <c r="G457" i="9"/>
  <c r="M457" i="9"/>
  <c r="AK30" i="29" s="1"/>
  <c r="AK30" i="31" s="1"/>
  <c r="E458" i="9"/>
  <c r="F458" i="9"/>
  <c r="G458" i="9"/>
  <c r="M458" i="9"/>
  <c r="HT30" i="29" s="1"/>
  <c r="HT30" i="31" s="1"/>
  <c r="E459" i="9"/>
  <c r="F459" i="9"/>
  <c r="G459" i="9"/>
  <c r="M459" i="9"/>
  <c r="EF30" i="29" s="1"/>
  <c r="EF30" i="31" s="1"/>
  <c r="E460" i="9"/>
  <c r="F460" i="9"/>
  <c r="G460" i="9"/>
  <c r="M460" i="9"/>
  <c r="FQ30" i="29" s="1"/>
  <c r="E461" i="9"/>
  <c r="F461" i="9"/>
  <c r="G461" i="9"/>
  <c r="M461" i="9"/>
  <c r="GZ30" i="29" s="1"/>
  <c r="GZ30" i="31" s="1"/>
  <c r="E462" i="9"/>
  <c r="F462" i="9"/>
  <c r="G462" i="9"/>
  <c r="M462" i="9"/>
  <c r="S30" i="29" s="1"/>
  <c r="S30" i="31" s="1"/>
  <c r="E463" i="9"/>
  <c r="F463" i="9"/>
  <c r="G463" i="9"/>
  <c r="M463" i="9"/>
  <c r="IT30" i="29" s="1"/>
  <c r="IT30" i="31" s="1"/>
  <c r="E464" i="9"/>
  <c r="F464" i="9"/>
  <c r="G464" i="9"/>
  <c r="M464" i="9"/>
  <c r="BG30" i="29" s="1"/>
  <c r="BG30" i="31" s="1"/>
  <c r="E465" i="9"/>
  <c r="F465" i="9"/>
  <c r="G465" i="9"/>
  <c r="M465" i="9"/>
  <c r="IZ30" i="29" s="1"/>
  <c r="IZ30" i="31" s="1"/>
  <c r="E466" i="9"/>
  <c r="F466" i="9"/>
  <c r="G466" i="9"/>
  <c r="M466" i="9"/>
  <c r="DV30" i="29" s="1"/>
  <c r="DV30" i="31" s="1"/>
  <c r="E467" i="9"/>
  <c r="F467" i="9"/>
  <c r="G467" i="9"/>
  <c r="M467" i="9"/>
  <c r="CV30" i="29" s="1"/>
  <c r="CV30" i="31" s="1"/>
  <c r="E468" i="9"/>
  <c r="F468" i="9"/>
  <c r="G468" i="9"/>
  <c r="M468" i="9"/>
  <c r="CD30" i="29" s="1"/>
  <c r="CD30" i="31" s="1"/>
  <c r="E469" i="9"/>
  <c r="F469" i="9"/>
  <c r="G469" i="9"/>
  <c r="M469" i="9"/>
  <c r="JC30" i="29" s="1"/>
  <c r="JC30" i="31" s="1"/>
  <c r="E470" i="9"/>
  <c r="F470" i="9"/>
  <c r="G470" i="9"/>
  <c r="M470" i="9"/>
  <c r="BE30" i="29" s="1"/>
  <c r="BE30" i="31" s="1"/>
  <c r="E471" i="9"/>
  <c r="F471" i="9"/>
  <c r="G471" i="9"/>
  <c r="M471" i="9"/>
  <c r="HJ30" i="29" s="1"/>
  <c r="E472" i="9"/>
  <c r="F472" i="9"/>
  <c r="G472" i="9"/>
  <c r="M472" i="9"/>
  <c r="BZ30" i="29" s="1"/>
  <c r="BZ30" i="31" s="1"/>
  <c r="E473" i="9"/>
  <c r="F473" i="9"/>
  <c r="G473" i="9"/>
  <c r="M473" i="9"/>
  <c r="DM30" i="29" s="1"/>
  <c r="DM30" i="31" s="1"/>
  <c r="E474" i="9"/>
  <c r="F474" i="9"/>
  <c r="G474" i="9"/>
  <c r="M474" i="9"/>
  <c r="DS30" i="29" s="1"/>
  <c r="DS30" i="31" s="1"/>
  <c r="E475" i="9"/>
  <c r="F475" i="9"/>
  <c r="G475" i="9"/>
  <c r="M475" i="9"/>
  <c r="F30" i="29" s="1"/>
  <c r="F30" i="31" s="1"/>
  <c r="E476" i="9"/>
  <c r="F476" i="9"/>
  <c r="G476" i="9"/>
  <c r="M476" i="9"/>
  <c r="CR30" i="29" s="1"/>
  <c r="CR30" i="31" s="1"/>
  <c r="E477" i="9"/>
  <c r="F477" i="9"/>
  <c r="G477" i="9"/>
  <c r="M477" i="9"/>
  <c r="HN30" i="29" s="1"/>
  <c r="HN30" i="31" s="1"/>
  <c r="E478" i="9"/>
  <c r="F478" i="9"/>
  <c r="G478" i="9"/>
  <c r="M478" i="9"/>
  <c r="EZ30" i="29" s="1"/>
  <c r="E479" i="9"/>
  <c r="F479" i="9"/>
  <c r="G479" i="9"/>
  <c r="M479" i="9"/>
  <c r="T30" i="29" s="1"/>
  <c r="T30" i="31" s="1"/>
  <c r="E480" i="9"/>
  <c r="F480" i="9"/>
  <c r="G480" i="9"/>
  <c r="M480" i="9"/>
  <c r="FJ30" i="29" s="1"/>
  <c r="E481" i="9"/>
  <c r="F481" i="9"/>
  <c r="G481" i="9"/>
  <c r="M481" i="9"/>
  <c r="AE30" i="29" s="1"/>
  <c r="AE30" i="31" s="1"/>
  <c r="E482" i="9"/>
  <c r="F482" i="9"/>
  <c r="G482" i="9"/>
  <c r="M482" i="9"/>
  <c r="JE30" i="29" s="1"/>
  <c r="JE30" i="31" s="1"/>
  <c r="E483" i="9"/>
  <c r="F483" i="9"/>
  <c r="G483" i="9"/>
  <c r="M483" i="9"/>
  <c r="FM30" i="29" s="1"/>
  <c r="E484" i="9"/>
  <c r="F484" i="9"/>
  <c r="G484" i="9"/>
  <c r="M484" i="9"/>
  <c r="AD30" i="29" s="1"/>
  <c r="AD30" i="31" s="1"/>
  <c r="E485" i="9"/>
  <c r="F485" i="9"/>
  <c r="G485" i="9"/>
  <c r="M485" i="9"/>
  <c r="BW30" i="29" s="1"/>
  <c r="BW30" i="31" s="1"/>
  <c r="E486" i="9"/>
  <c r="F486" i="9"/>
  <c r="G486" i="9"/>
  <c r="M486" i="9"/>
  <c r="DJ30" i="29" s="1"/>
  <c r="E487" i="9"/>
  <c r="F487" i="9"/>
  <c r="G487" i="9"/>
  <c r="M487" i="9"/>
  <c r="HS30" i="29" s="1"/>
  <c r="HS30" i="31" s="1"/>
  <c r="E488" i="9"/>
  <c r="F488" i="9"/>
  <c r="G488" i="9"/>
  <c r="M488" i="9"/>
  <c r="O30" i="29" s="1"/>
  <c r="O30" i="31" s="1"/>
  <c r="E489" i="9"/>
  <c r="F489" i="9"/>
  <c r="G489" i="9"/>
  <c r="M489" i="9"/>
  <c r="IN30" i="29" s="1"/>
  <c r="IN30" i="31" s="1"/>
  <c r="E490" i="9"/>
  <c r="F490" i="9"/>
  <c r="G490" i="9"/>
  <c r="M490" i="9"/>
  <c r="HV30" i="29" s="1"/>
  <c r="HV30" i="31" s="1"/>
  <c r="E491" i="9"/>
  <c r="F491" i="9"/>
  <c r="G491" i="9"/>
  <c r="M491" i="9"/>
  <c r="CI30" i="29" s="1"/>
  <c r="E492" i="9"/>
  <c r="F492" i="9"/>
  <c r="G492" i="9"/>
  <c r="M492" i="9"/>
  <c r="CP30" i="29" s="1"/>
  <c r="CP30" i="31" s="1"/>
  <c r="E493" i="9"/>
  <c r="F493" i="9"/>
  <c r="G493" i="9"/>
  <c r="M493" i="9"/>
  <c r="CB30" i="29" s="1"/>
  <c r="CB30" i="31" s="1"/>
  <c r="E494" i="9"/>
  <c r="F494" i="9"/>
  <c r="G494" i="9"/>
  <c r="M494" i="9"/>
  <c r="P30" i="29" s="1"/>
  <c r="P30" i="31" s="1"/>
  <c r="E495" i="9"/>
  <c r="F495" i="9"/>
  <c r="G495" i="9"/>
  <c r="M495" i="9"/>
  <c r="BP30" i="29" s="1"/>
  <c r="BP30" i="31" s="1"/>
  <c r="E496" i="9"/>
  <c r="F496" i="9"/>
  <c r="G496" i="9"/>
  <c r="M496" i="9"/>
  <c r="GX30" i="29" s="1"/>
  <c r="E497" i="9"/>
  <c r="F497" i="9"/>
  <c r="G497" i="9"/>
  <c r="M497" i="9"/>
  <c r="DB30" i="29" s="1"/>
  <c r="DB30" i="31" s="1"/>
  <c r="E498" i="9"/>
  <c r="F498" i="9"/>
  <c r="G498" i="9"/>
  <c r="M498" i="9"/>
  <c r="GK30" i="29" s="1"/>
  <c r="E499" i="9"/>
  <c r="F499" i="9"/>
  <c r="G499" i="9"/>
  <c r="M499" i="9"/>
  <c r="EG30" i="29" s="1"/>
  <c r="EG30" i="31" s="1"/>
  <c r="E500" i="9"/>
  <c r="F500" i="9"/>
  <c r="G500" i="9"/>
  <c r="M500" i="9"/>
  <c r="ET30" i="29" s="1"/>
  <c r="ET30" i="31" s="1"/>
  <c r="E501" i="9"/>
  <c r="F501" i="9"/>
  <c r="G501" i="9"/>
  <c r="M501" i="9"/>
  <c r="IY30" i="29" s="1"/>
  <c r="IY30" i="31" s="1"/>
  <c r="E502" i="9"/>
  <c r="F502" i="9"/>
  <c r="G502" i="9"/>
  <c r="M502" i="9"/>
  <c r="DE30" i="29" s="1"/>
  <c r="DE30" i="31" s="1"/>
  <c r="E503" i="9"/>
  <c r="F503" i="9"/>
  <c r="G503" i="9"/>
  <c r="M503" i="9"/>
  <c r="GM30" i="29" s="1"/>
  <c r="E504" i="9"/>
  <c r="F504" i="9"/>
  <c r="G504" i="9"/>
  <c r="M504" i="9"/>
  <c r="IU30" i="29" s="1"/>
  <c r="IU30" i="31" s="1"/>
  <c r="E505" i="9"/>
  <c r="F505" i="9"/>
  <c r="G505" i="9"/>
  <c r="M505" i="9"/>
  <c r="FR30" i="29" s="1"/>
  <c r="FR30" i="31" s="1"/>
  <c r="E506" i="9"/>
  <c r="F506" i="9"/>
  <c r="G506" i="9"/>
  <c r="M506" i="9"/>
  <c r="GT30" i="29" s="1"/>
  <c r="E507" i="9"/>
  <c r="F507" i="9"/>
  <c r="G507" i="9"/>
  <c r="M507" i="9"/>
  <c r="EQ30" i="29" s="1"/>
  <c r="EQ30" i="31" s="1"/>
  <c r="E508" i="9"/>
  <c r="F508" i="9"/>
  <c r="G508" i="9"/>
  <c r="M508" i="9"/>
  <c r="CW30" i="29" s="1"/>
  <c r="CW30" i="31" s="1"/>
  <c r="E509" i="9"/>
  <c r="F509" i="9"/>
  <c r="G509" i="9"/>
  <c r="M509" i="9"/>
  <c r="FZ30" i="29" s="1"/>
  <c r="E510" i="9"/>
  <c r="F510" i="9"/>
  <c r="G510" i="9"/>
  <c r="M510" i="9"/>
  <c r="DW30" i="29" s="1"/>
  <c r="E511" i="9"/>
  <c r="F511" i="9"/>
  <c r="G511" i="9"/>
  <c r="M511" i="9"/>
  <c r="W30" i="29" s="1"/>
  <c r="W30" i="31" s="1"/>
  <c r="E512" i="9"/>
  <c r="F512" i="9"/>
  <c r="G512" i="9"/>
  <c r="M512" i="9"/>
  <c r="H30" i="29" s="1"/>
  <c r="H30" i="31" s="1"/>
  <c r="E513" i="9"/>
  <c r="F513" i="9"/>
  <c r="G513" i="9"/>
  <c r="M513" i="9"/>
  <c r="BQ30" i="29" s="1"/>
  <c r="BQ30" i="31" s="1"/>
  <c r="E514" i="9"/>
  <c r="F514" i="9"/>
  <c r="G514" i="9"/>
  <c r="M514" i="9"/>
  <c r="IK30" i="29" s="1"/>
  <c r="E515" i="9"/>
  <c r="F515" i="9"/>
  <c r="G515" i="9"/>
  <c r="M515" i="9"/>
  <c r="HD30" i="29" s="1"/>
  <c r="E516" i="9"/>
  <c r="F516" i="9"/>
  <c r="G516" i="9"/>
  <c r="M516" i="9"/>
  <c r="CX30" i="29" s="1"/>
  <c r="CX30" i="31" s="1"/>
  <c r="E517" i="9"/>
  <c r="F517" i="9"/>
  <c r="G517" i="9"/>
  <c r="M517" i="9"/>
  <c r="BA30" i="29" s="1"/>
  <c r="BA30" i="31" s="1"/>
  <c r="E518" i="9"/>
  <c r="F518" i="9"/>
  <c r="G518" i="9"/>
  <c r="M518" i="9"/>
  <c r="IS30" i="29" s="1"/>
  <c r="IS30" i="31" s="1"/>
  <c r="E519" i="9"/>
  <c r="F519" i="9"/>
  <c r="G519" i="9"/>
  <c r="M519" i="9"/>
  <c r="AQ30" i="29" s="1"/>
  <c r="AQ30" i="31" s="1"/>
  <c r="E520" i="9"/>
  <c r="F520" i="9"/>
  <c r="G520" i="9"/>
  <c r="M520" i="9"/>
  <c r="AW30" i="29" s="1"/>
  <c r="AW30" i="31" s="1"/>
  <c r="E521" i="9"/>
  <c r="F521" i="9"/>
  <c r="G521" i="9"/>
  <c r="M521" i="9"/>
  <c r="IG30" i="29" s="1"/>
  <c r="E522" i="9"/>
  <c r="F522" i="9"/>
  <c r="G522" i="9"/>
  <c r="M522" i="9"/>
  <c r="FW30" i="29" s="1"/>
  <c r="E523" i="9"/>
  <c r="F523" i="9"/>
  <c r="G523" i="9"/>
  <c r="M523" i="9"/>
  <c r="BY30" i="29" s="1"/>
  <c r="E524" i="9"/>
  <c r="F524" i="9"/>
  <c r="G524" i="9"/>
  <c r="M524" i="9"/>
  <c r="AF30" i="29" s="1"/>
  <c r="AF30" i="31" s="1"/>
  <c r="E525" i="9"/>
  <c r="F525" i="9"/>
  <c r="G525" i="9"/>
  <c r="M525" i="9"/>
  <c r="DK30" i="29" s="1"/>
  <c r="DK30" i="31" s="1"/>
  <c r="E526" i="9"/>
  <c r="F526" i="9"/>
  <c r="G526" i="9"/>
  <c r="M526" i="9"/>
  <c r="CJ30" i="29" s="1"/>
  <c r="CJ30" i="31" s="1"/>
  <c r="E527" i="9"/>
  <c r="F527" i="9"/>
  <c r="G527" i="9"/>
  <c r="M527" i="9"/>
  <c r="DU30" i="29" s="1"/>
  <c r="DU30" i="31" s="1"/>
  <c r="E528" i="9"/>
  <c r="F528" i="9"/>
  <c r="G528" i="9"/>
  <c r="M528" i="9"/>
  <c r="AI30" i="29" s="1"/>
  <c r="AI30" i="31" s="1"/>
  <c r="E529" i="9"/>
  <c r="F529" i="9"/>
  <c r="G529" i="9"/>
  <c r="M529" i="9"/>
  <c r="EX30" i="29" s="1"/>
  <c r="E530" i="9"/>
  <c r="F530" i="9"/>
  <c r="G530" i="9"/>
  <c r="M530" i="9"/>
  <c r="DT30" i="29" s="1"/>
  <c r="DT30" i="31" s="1"/>
  <c r="E531" i="9"/>
  <c r="F531" i="9"/>
  <c r="G531" i="9"/>
  <c r="M531" i="9"/>
  <c r="AU30" i="29" s="1"/>
  <c r="AU30" i="31" s="1"/>
  <c r="E532" i="9"/>
  <c r="F532" i="9"/>
  <c r="G532" i="9"/>
  <c r="M532" i="9"/>
  <c r="DF30" i="29" s="1"/>
  <c r="DF30" i="31" s="1"/>
  <c r="E533" i="9"/>
  <c r="F533" i="9"/>
  <c r="G533" i="9"/>
  <c r="M533" i="9"/>
  <c r="AR30" i="29" s="1"/>
  <c r="AR30" i="31" s="1"/>
  <c r="E534" i="9"/>
  <c r="F534" i="9"/>
  <c r="G534" i="9"/>
  <c r="M534" i="9"/>
  <c r="BD30" i="29" s="1"/>
  <c r="BD30" i="31" s="1"/>
  <c r="E535" i="9"/>
  <c r="F535" i="9"/>
  <c r="G535" i="9"/>
  <c r="M535" i="9"/>
  <c r="JA30" i="29" s="1"/>
  <c r="JA30" i="31" s="1"/>
  <c r="E536" i="9"/>
  <c r="F536" i="9"/>
  <c r="G536" i="9"/>
  <c r="M536" i="9"/>
  <c r="IH30" i="29" s="1"/>
  <c r="IH30" i="31" s="1"/>
  <c r="E537" i="9"/>
  <c r="F537" i="9"/>
  <c r="G537" i="9"/>
  <c r="M537" i="9"/>
  <c r="DC30" i="29" s="1"/>
  <c r="DC30" i="31" s="1"/>
  <c r="DC172" i="31" s="1"/>
  <c r="E538" i="9"/>
  <c r="F538" i="9"/>
  <c r="G538" i="9"/>
  <c r="M538" i="9"/>
  <c r="BC30" i="29" s="1"/>
  <c r="BC30" i="31" s="1"/>
  <c r="E539" i="9"/>
  <c r="F539" i="9"/>
  <c r="G539" i="9"/>
  <c r="M539" i="9"/>
  <c r="AL30" i="29" s="1"/>
  <c r="AL30" i="31" s="1"/>
  <c r="E540" i="9"/>
  <c r="F540" i="9"/>
  <c r="G540" i="9"/>
  <c r="M540" i="9"/>
  <c r="DP30" i="29" s="1"/>
  <c r="DP30" i="31" s="1"/>
  <c r="E541" i="9"/>
  <c r="F541" i="9"/>
  <c r="G541" i="9"/>
  <c r="M541" i="9"/>
  <c r="JH30" i="29" s="1"/>
  <c r="JH30" i="31" s="1"/>
  <c r="E542" i="9"/>
  <c r="F542" i="9"/>
  <c r="G542" i="9"/>
  <c r="M542" i="9"/>
  <c r="HM30" i="29" s="1"/>
  <c r="HM30" i="31" s="1"/>
  <c r="E543" i="9"/>
  <c r="F543" i="9"/>
  <c r="G543" i="9"/>
  <c r="M543" i="9"/>
  <c r="IC30" i="29" s="1"/>
  <c r="IC30" i="31" s="1"/>
  <c r="E544" i="9"/>
  <c r="F544" i="9"/>
  <c r="G544" i="9"/>
  <c r="M544" i="9"/>
  <c r="GS30" i="29" s="1"/>
  <c r="E545" i="9"/>
  <c r="F545" i="9"/>
  <c r="G545" i="9"/>
  <c r="M545" i="9"/>
  <c r="Q30" i="29" s="1"/>
  <c r="Q30" i="31" s="1"/>
  <c r="E546" i="9"/>
  <c r="F546" i="9"/>
  <c r="G546" i="9"/>
  <c r="M546" i="9"/>
  <c r="FI30" i="29" s="1"/>
  <c r="E547" i="9"/>
  <c r="F547" i="9"/>
  <c r="G547" i="9"/>
  <c r="M547" i="9"/>
  <c r="BS30" i="29" s="1"/>
  <c r="BS30" i="31" s="1"/>
  <c r="E548" i="9"/>
  <c r="F548" i="9"/>
  <c r="G548" i="9"/>
  <c r="M548" i="9"/>
  <c r="HE30" i="29" s="1"/>
  <c r="E549" i="9"/>
  <c r="F549" i="9"/>
  <c r="G549" i="9"/>
  <c r="M549" i="9"/>
  <c r="CS30" i="29" s="1"/>
  <c r="CS30" i="31" s="1"/>
  <c r="E550" i="9"/>
  <c r="F550" i="9"/>
  <c r="G550" i="9"/>
  <c r="M550" i="9"/>
  <c r="AP30" i="29" s="1"/>
  <c r="AP30" i="31" s="1"/>
  <c r="E551" i="9"/>
  <c r="F551" i="9"/>
  <c r="G551" i="9"/>
  <c r="M551" i="9"/>
  <c r="AJ30" i="29" s="1"/>
  <c r="AJ30" i="31" s="1"/>
  <c r="E552" i="9"/>
  <c r="F552" i="9"/>
  <c r="G552" i="9"/>
  <c r="M552" i="9"/>
  <c r="AA30" i="29" s="1"/>
  <c r="AA30" i="31" s="1"/>
  <c r="E553" i="9"/>
  <c r="F553" i="9"/>
  <c r="G553" i="9"/>
  <c r="M553" i="9"/>
  <c r="ED30" i="29" s="1"/>
  <c r="ED30" i="31" s="1"/>
  <c r="E554" i="9"/>
  <c r="F554" i="9"/>
  <c r="G554" i="9"/>
  <c r="M554" i="9"/>
  <c r="D30" i="29" s="1"/>
  <c r="D30" i="31" s="1"/>
  <c r="E555" i="9"/>
  <c r="F555" i="9"/>
  <c r="G555" i="9"/>
  <c r="M555" i="9"/>
  <c r="BT30" i="29" s="1"/>
  <c r="BT30" i="31" s="1"/>
  <c r="E556" i="9"/>
  <c r="F556" i="9"/>
  <c r="G556" i="9"/>
  <c r="M556" i="9"/>
  <c r="CT30" i="29" s="1"/>
  <c r="E557" i="9"/>
  <c r="F557" i="9"/>
  <c r="G557" i="9"/>
  <c r="M557" i="9"/>
  <c r="BU30" i="29" s="1"/>
  <c r="BU30" i="31" s="1"/>
  <c r="E558" i="9"/>
  <c r="F558" i="9"/>
  <c r="G558" i="9"/>
  <c r="M558" i="9"/>
  <c r="DA30" i="29" s="1"/>
  <c r="DA30" i="31" s="1"/>
  <c r="E559" i="9"/>
  <c r="F559" i="9"/>
  <c r="G559" i="9"/>
  <c r="M559" i="9"/>
  <c r="FV30" i="29" s="1"/>
  <c r="E560" i="9"/>
  <c r="F560" i="9"/>
  <c r="G560" i="9"/>
  <c r="M560" i="9"/>
  <c r="GJ30" i="29" s="1"/>
  <c r="E561" i="9"/>
  <c r="F561" i="9"/>
  <c r="G561" i="9"/>
  <c r="M561" i="9"/>
  <c r="EO30" i="29" s="1"/>
  <c r="EO30" i="31" s="1"/>
  <c r="E562" i="9"/>
  <c r="F562" i="9"/>
  <c r="G562" i="9"/>
  <c r="M562" i="9"/>
  <c r="Y30" i="29" s="1"/>
  <c r="Y30" i="31" s="1"/>
  <c r="E563" i="9"/>
  <c r="F563" i="9"/>
  <c r="G563" i="9"/>
  <c r="M563" i="9"/>
  <c r="Z30" i="29" s="1"/>
  <c r="Z30" i="31" s="1"/>
  <c r="E564" i="9"/>
  <c r="F564" i="9"/>
  <c r="G564" i="9"/>
  <c r="M564" i="9"/>
  <c r="EL30" i="29" s="1"/>
  <c r="EL30" i="31" s="1"/>
  <c r="E565" i="9"/>
  <c r="F565" i="9"/>
  <c r="G565" i="9"/>
  <c r="M565" i="9"/>
  <c r="BI30" i="29" s="1"/>
  <c r="BI30" i="31" s="1"/>
  <c r="E566" i="9"/>
  <c r="F566" i="9"/>
  <c r="G566" i="9"/>
  <c r="M566" i="9"/>
  <c r="JD30" i="29" s="1"/>
  <c r="JD30" i="31" s="1"/>
  <c r="E567" i="9"/>
  <c r="F567" i="9"/>
  <c r="G567" i="9"/>
  <c r="M567" i="9"/>
  <c r="IP30" i="29" s="1"/>
  <c r="IP30" i="31" s="1"/>
  <c r="E568" i="9"/>
  <c r="F568" i="9"/>
  <c r="G568" i="9"/>
  <c r="M568" i="9"/>
  <c r="FO30" i="29" s="1"/>
  <c r="E569" i="9"/>
  <c r="F569" i="9"/>
  <c r="G569" i="9"/>
  <c r="M569" i="9"/>
  <c r="FB30" i="29" s="1"/>
  <c r="E570" i="9"/>
  <c r="F570" i="9"/>
  <c r="G570" i="9"/>
  <c r="M570" i="9"/>
  <c r="AS30" i="29" s="1"/>
  <c r="AS30" i="31" s="1"/>
  <c r="E571" i="9"/>
  <c r="F571" i="9"/>
  <c r="G571" i="9"/>
  <c r="M571" i="9"/>
  <c r="CM30" i="29" s="1"/>
  <c r="CM30" i="31" s="1"/>
  <c r="E572" i="9"/>
  <c r="F572" i="9"/>
  <c r="G572" i="9"/>
  <c r="M572" i="9"/>
  <c r="ES30" i="29" s="1"/>
  <c r="ES30" i="31" s="1"/>
  <c r="E573" i="9"/>
  <c r="F573" i="9"/>
  <c r="G573" i="9"/>
  <c r="M573" i="9"/>
  <c r="HK30" i="29" s="1"/>
  <c r="E574" i="9"/>
  <c r="F574" i="9"/>
  <c r="G574" i="9"/>
  <c r="M574" i="9"/>
  <c r="IF30" i="29" s="1"/>
  <c r="IF30" i="31" s="1"/>
  <c r="E575" i="9"/>
  <c r="F575" i="9"/>
  <c r="G575" i="9"/>
  <c r="M575" i="9"/>
  <c r="BB30" i="29" s="1"/>
  <c r="BB30" i="31" s="1"/>
  <c r="E576" i="9"/>
  <c r="F576" i="9"/>
  <c r="G576" i="9"/>
  <c r="M576" i="9"/>
  <c r="DR30" i="29" s="1"/>
  <c r="DR30" i="31" s="1"/>
  <c r="E577" i="9"/>
  <c r="F577" i="9"/>
  <c r="G577" i="9"/>
  <c r="M577" i="9"/>
  <c r="HH30" i="29" s="1"/>
  <c r="E578" i="9"/>
  <c r="F578" i="9"/>
  <c r="G578" i="9"/>
  <c r="M578" i="9"/>
  <c r="U30" i="29" s="1"/>
  <c r="U30" i="31" s="1"/>
  <c r="E579" i="9"/>
  <c r="F579" i="9"/>
  <c r="G579" i="9"/>
  <c r="M579" i="9"/>
  <c r="GY30" i="29" s="1"/>
  <c r="E580" i="9"/>
  <c r="F580" i="9"/>
  <c r="G580" i="9"/>
  <c r="M580" i="9"/>
  <c r="V30" i="29" s="1"/>
  <c r="V30" i="31" s="1"/>
  <c r="E581" i="9"/>
  <c r="F581" i="9"/>
  <c r="G581" i="9"/>
  <c r="M581" i="9"/>
  <c r="I30" i="29" s="1"/>
  <c r="I30" i="31" s="1"/>
  <c r="E582" i="9"/>
  <c r="F582" i="9"/>
  <c r="G582" i="9"/>
  <c r="M582" i="9"/>
  <c r="DG30" i="29" s="1"/>
  <c r="DG30" i="31" s="1"/>
  <c r="E583" i="9"/>
  <c r="F583" i="9"/>
  <c r="G583" i="9"/>
  <c r="M583" i="9"/>
  <c r="JB30" i="29" s="1"/>
  <c r="JB30" i="31" s="1"/>
  <c r="E584" i="9"/>
  <c r="F584" i="9"/>
  <c r="G584" i="9"/>
  <c r="M584" i="9"/>
  <c r="IO30" i="29" s="1"/>
  <c r="IO30" i="31" s="1"/>
  <c r="E585" i="9"/>
  <c r="F585" i="9"/>
  <c r="G585" i="9"/>
  <c r="M585" i="9"/>
  <c r="FC30" i="29" s="1"/>
  <c r="E586" i="9"/>
  <c r="F586" i="9"/>
  <c r="G586" i="9"/>
  <c r="M586" i="9"/>
  <c r="GF30" i="29" s="1"/>
  <c r="E587" i="9"/>
  <c r="F587" i="9"/>
  <c r="G587" i="9"/>
  <c r="M587" i="9"/>
  <c r="GP30" i="29" s="1"/>
  <c r="E588" i="9"/>
  <c r="F588" i="9"/>
  <c r="G588" i="9"/>
  <c r="M588" i="9"/>
  <c r="M319" i="9"/>
  <c r="M324" i="9"/>
  <c r="AG30" i="29" s="1"/>
  <c r="AG30" i="31" s="1"/>
  <c r="G324" i="9"/>
  <c r="F324" i="9"/>
  <c r="E324" i="9"/>
  <c r="N589" i="9" l="1"/>
  <c r="N590" i="9" s="1"/>
  <c r="FL119" i="31"/>
  <c r="GO119" i="31"/>
  <c r="AM589" i="9"/>
  <c r="AM590" i="9" s="1"/>
  <c r="GY119" i="31"/>
  <c r="FP119" i="31"/>
  <c r="AG172" i="31"/>
  <c r="AC29" i="31"/>
  <c r="AC172" i="31" s="1"/>
  <c r="AC168" i="29"/>
  <c r="AC59" i="29"/>
  <c r="AC63" i="31" s="1"/>
  <c r="S589" i="9"/>
  <c r="S590" i="9" s="1"/>
  <c r="O589" i="9"/>
  <c r="O590" i="9" s="1"/>
  <c r="W589" i="9"/>
  <c r="W590" i="9" s="1"/>
  <c r="AC150" i="29"/>
  <c r="AC119" i="31"/>
  <c r="AC12" i="31"/>
  <c r="JM12" i="31" s="1"/>
  <c r="AC107" i="29"/>
  <c r="AC111" i="31" s="1"/>
  <c r="AC66" i="29"/>
  <c r="AC70" i="31" s="1"/>
  <c r="AC61" i="31"/>
  <c r="Q589" i="9"/>
  <c r="Q590" i="9" s="1"/>
  <c r="JP58" i="31"/>
  <c r="JL105" i="31"/>
  <c r="JM105" i="31"/>
  <c r="JO105" i="31"/>
  <c r="JN105" i="31"/>
  <c r="SN271" i="1"/>
  <c r="TQ265" i="1"/>
  <c r="UT265" i="1"/>
  <c r="SN270" i="1"/>
  <c r="SH270" i="1" s="1"/>
  <c r="UT267" i="1"/>
  <c r="TK265" i="1"/>
  <c r="SN267" i="1"/>
  <c r="SH267" i="1" s="1"/>
  <c r="UT264" i="1"/>
  <c r="TQ268" i="1"/>
  <c r="SH271" i="1"/>
  <c r="UT271" i="1"/>
  <c r="UN271" i="1" s="1"/>
  <c r="SN268" i="1"/>
  <c r="TQ264" i="1"/>
  <c r="GY89" i="29"/>
  <c r="GY93" i="31" s="1"/>
  <c r="GY92" i="31"/>
  <c r="Z89" i="29"/>
  <c r="Z93" i="31" s="1"/>
  <c r="Z92" i="31"/>
  <c r="IC89" i="29"/>
  <c r="IC93" i="31" s="1"/>
  <c r="IC92" i="31"/>
  <c r="IT89" i="29"/>
  <c r="IT93" i="31" s="1"/>
  <c r="IT92" i="31"/>
  <c r="FG89" i="29"/>
  <c r="FG93" i="31" s="1"/>
  <c r="FG92" i="31"/>
  <c r="E89" i="29"/>
  <c r="E93" i="31" s="1"/>
  <c r="E92" i="31"/>
  <c r="IB172" i="31"/>
  <c r="JO12" i="31"/>
  <c r="BB150" i="29"/>
  <c r="BB119" i="31"/>
  <c r="HT150" i="29"/>
  <c r="HT119" i="31"/>
  <c r="GY157" i="29"/>
  <c r="GY161" i="31" s="1"/>
  <c r="GY154" i="31"/>
  <c r="FZ157" i="29"/>
  <c r="FZ161" i="31" s="1"/>
  <c r="FZ154" i="31"/>
  <c r="IU150" i="29"/>
  <c r="IU119" i="31"/>
  <c r="AX150" i="29"/>
  <c r="AX119" i="31"/>
  <c r="DH150" i="29"/>
  <c r="DH119" i="31"/>
  <c r="HI150" i="29"/>
  <c r="HI119" i="31"/>
  <c r="ES150" i="29"/>
  <c r="ES119" i="31"/>
  <c r="AO150" i="29"/>
  <c r="AO119" i="31"/>
  <c r="JB150" i="29"/>
  <c r="JB119" i="31"/>
  <c r="IS150" i="29"/>
  <c r="IS119" i="31"/>
  <c r="CN150" i="29"/>
  <c r="CN119" i="31"/>
  <c r="GN150" i="29"/>
  <c r="GN119" i="31"/>
  <c r="ED150" i="29"/>
  <c r="ED119" i="31"/>
  <c r="CQ150" i="29"/>
  <c r="CQ119" i="31"/>
  <c r="DC150" i="29"/>
  <c r="DC119" i="31"/>
  <c r="IJ150" i="29"/>
  <c r="IJ119" i="31"/>
  <c r="AU150" i="29"/>
  <c r="AU119" i="31"/>
  <c r="DK150" i="29"/>
  <c r="DK119" i="31"/>
  <c r="AK150" i="29"/>
  <c r="AK119" i="31"/>
  <c r="CC150" i="29"/>
  <c r="CC119" i="31"/>
  <c r="DP150" i="29"/>
  <c r="DP119" i="31"/>
  <c r="BW150" i="29"/>
  <c r="BW119" i="31"/>
  <c r="AS150" i="29"/>
  <c r="AS119" i="31"/>
  <c r="W150" i="29"/>
  <c r="W119" i="31"/>
  <c r="IB150" i="29"/>
  <c r="IB119" i="31"/>
  <c r="CF150" i="29"/>
  <c r="CF119" i="31"/>
  <c r="IF150" i="29"/>
  <c r="IF119" i="31"/>
  <c r="EY157" i="29"/>
  <c r="EY161" i="31" s="1"/>
  <c r="EY154" i="31"/>
  <c r="FV157" i="29"/>
  <c r="FV161" i="31" s="1"/>
  <c r="FV154" i="31"/>
  <c r="GT157" i="29"/>
  <c r="GT161" i="31" s="1"/>
  <c r="GT154" i="31"/>
  <c r="HC157" i="29"/>
  <c r="HC161" i="31" s="1"/>
  <c r="HC154" i="31"/>
  <c r="BF150" i="29"/>
  <c r="BF119" i="31"/>
  <c r="HQ150" i="29"/>
  <c r="HQ119" i="31"/>
  <c r="DF150" i="29"/>
  <c r="DF119" i="31"/>
  <c r="ER150" i="29"/>
  <c r="ER119" i="31"/>
  <c r="DU150" i="29"/>
  <c r="DU119" i="31"/>
  <c r="AB150" i="29"/>
  <c r="AB119" i="31"/>
  <c r="BR150" i="29"/>
  <c r="BR119" i="31"/>
  <c r="DA150" i="29"/>
  <c r="DA119" i="31"/>
  <c r="BI150" i="29"/>
  <c r="BI119" i="31"/>
  <c r="D150" i="29"/>
  <c r="D119" i="31"/>
  <c r="HH150" i="29"/>
  <c r="HH119" i="31"/>
  <c r="CM150" i="29"/>
  <c r="CM119" i="31"/>
  <c r="HS150" i="29"/>
  <c r="HS119" i="31"/>
  <c r="CH150" i="29"/>
  <c r="CH119" i="31"/>
  <c r="BO150" i="29"/>
  <c r="BO119" i="31"/>
  <c r="HV150" i="29"/>
  <c r="HV119" i="31"/>
  <c r="JC150" i="29"/>
  <c r="JC119" i="31"/>
  <c r="HX150" i="29"/>
  <c r="HX119" i="31"/>
  <c r="T150" i="29"/>
  <c r="T119" i="31"/>
  <c r="N150" i="29"/>
  <c r="N119" i="31"/>
  <c r="JF150" i="29"/>
  <c r="JF119" i="31"/>
  <c r="CG150" i="29"/>
  <c r="CG119" i="31"/>
  <c r="AY150" i="29"/>
  <c r="AY119" i="31"/>
  <c r="HJ150" i="29"/>
  <c r="HJ119" i="31"/>
  <c r="EN150" i="29"/>
  <c r="EN119" i="31"/>
  <c r="DW150" i="29"/>
  <c r="DW119" i="31"/>
  <c r="EV150" i="29"/>
  <c r="EV119" i="31"/>
  <c r="CJ150" i="29"/>
  <c r="CJ119" i="31"/>
  <c r="CU150" i="29"/>
  <c r="CU119" i="31"/>
  <c r="IA150" i="29"/>
  <c r="IA119" i="31"/>
  <c r="BM150" i="29"/>
  <c r="BM119" i="31"/>
  <c r="BE150" i="29"/>
  <c r="BE119" i="31"/>
  <c r="DO150" i="29"/>
  <c r="DO119" i="31"/>
  <c r="EW157" i="29"/>
  <c r="EW161" i="31" s="1"/>
  <c r="EW154" i="31"/>
  <c r="FQ157" i="29"/>
  <c r="FQ161" i="31" s="1"/>
  <c r="FQ154" i="31"/>
  <c r="GG157" i="29"/>
  <c r="GG161" i="31" s="1"/>
  <c r="GG154" i="31"/>
  <c r="GO157" i="29"/>
  <c r="GO161" i="31" s="1"/>
  <c r="GO154" i="31"/>
  <c r="BI89" i="29"/>
  <c r="BI93" i="31" s="1"/>
  <c r="BI92" i="31"/>
  <c r="EX89" i="29"/>
  <c r="EX93" i="31" s="1"/>
  <c r="EX92" i="31"/>
  <c r="IY89" i="29"/>
  <c r="IY93" i="31" s="1"/>
  <c r="IY92" i="31"/>
  <c r="IN89" i="29"/>
  <c r="IN93" i="31" s="1"/>
  <c r="IN92" i="31"/>
  <c r="BE174" i="31"/>
  <c r="BE114" i="31"/>
  <c r="CV89" i="29"/>
  <c r="CV93" i="31" s="1"/>
  <c r="CV92" i="31"/>
  <c r="IQ89" i="29"/>
  <c r="IQ93" i="31" s="1"/>
  <c r="IQ92" i="31"/>
  <c r="IV89" i="29"/>
  <c r="IV93" i="31" s="1"/>
  <c r="IV92" i="31"/>
  <c r="IE89" i="29"/>
  <c r="IE93" i="31" s="1"/>
  <c r="IE92" i="31"/>
  <c r="AZ89" i="29"/>
  <c r="AZ93" i="31" s="1"/>
  <c r="AZ92" i="31"/>
  <c r="HC89" i="29"/>
  <c r="HC93" i="31" s="1"/>
  <c r="HC92" i="31"/>
  <c r="JG89" i="29"/>
  <c r="JG93" i="31" s="1"/>
  <c r="JG92" i="31"/>
  <c r="C89" i="29"/>
  <c r="C93" i="31" s="1"/>
  <c r="C92" i="31"/>
  <c r="FH89" i="29"/>
  <c r="FH93" i="31" s="1"/>
  <c r="FH92" i="31"/>
  <c r="FC168" i="29"/>
  <c r="FC30" i="31"/>
  <c r="FC172" i="31" s="1"/>
  <c r="DG172" i="31"/>
  <c r="GY168" i="29"/>
  <c r="GY30" i="31"/>
  <c r="GY172" i="31" s="1"/>
  <c r="HH168" i="29"/>
  <c r="HH30" i="31"/>
  <c r="HH172" i="31" s="1"/>
  <c r="BB172" i="31"/>
  <c r="ES172" i="31"/>
  <c r="CM172" i="31"/>
  <c r="AS172" i="31"/>
  <c r="FB168" i="29"/>
  <c r="FB30" i="31"/>
  <c r="FB172" i="31" s="1"/>
  <c r="FO168" i="29"/>
  <c r="FO30" i="31"/>
  <c r="FO172" i="31" s="1"/>
  <c r="IP172" i="31"/>
  <c r="JD172" i="31"/>
  <c r="BI172" i="31"/>
  <c r="EL172" i="31"/>
  <c r="Z172" i="31"/>
  <c r="Y172" i="31"/>
  <c r="EO172" i="31"/>
  <c r="GJ168" i="29"/>
  <c r="GJ30" i="31"/>
  <c r="GJ172" i="31" s="1"/>
  <c r="FV168" i="29"/>
  <c r="FV30" i="31"/>
  <c r="FV172" i="31" s="1"/>
  <c r="DA172" i="31"/>
  <c r="BU172" i="31"/>
  <c r="CT30" i="31"/>
  <c r="CT172" i="31" s="1"/>
  <c r="BT172" i="31"/>
  <c r="D172" i="31"/>
  <c r="ED172" i="31"/>
  <c r="AA172" i="31"/>
  <c r="AJ172" i="31"/>
  <c r="AP172" i="31"/>
  <c r="CS172" i="31"/>
  <c r="CS171" i="31"/>
  <c r="HE168" i="29"/>
  <c r="HE30" i="31"/>
  <c r="HE172" i="31" s="1"/>
  <c r="BS172" i="31"/>
  <c r="FI168" i="29"/>
  <c r="FI30" i="31"/>
  <c r="FI172" i="31" s="1"/>
  <c r="Q172" i="31"/>
  <c r="GS168" i="29"/>
  <c r="GS30" i="31"/>
  <c r="GS172" i="31" s="1"/>
  <c r="IC172" i="31"/>
  <c r="HM172" i="31"/>
  <c r="JH172" i="31"/>
  <c r="DP172" i="31"/>
  <c r="AL172" i="31"/>
  <c r="BC172" i="31"/>
  <c r="IH172" i="31"/>
  <c r="JA172" i="31"/>
  <c r="BD172" i="31"/>
  <c r="AR172" i="31"/>
  <c r="DF172" i="31"/>
  <c r="AU172" i="31"/>
  <c r="DT172" i="31"/>
  <c r="EX168" i="29"/>
  <c r="EX30" i="31"/>
  <c r="EX172" i="31" s="1"/>
  <c r="AI172" i="31"/>
  <c r="DU172" i="31"/>
  <c r="CJ172" i="31"/>
  <c r="DK172" i="31"/>
  <c r="AF172" i="31"/>
  <c r="BY172" i="31"/>
  <c r="FW168" i="29"/>
  <c r="FW30" i="31"/>
  <c r="FW172" i="31" s="1"/>
  <c r="IG168" i="29"/>
  <c r="IG30" i="31"/>
  <c r="IG172" i="31" s="1"/>
  <c r="AW172" i="31"/>
  <c r="AQ172" i="31"/>
  <c r="IS172" i="31"/>
  <c r="BA172" i="31"/>
  <c r="CX172" i="31"/>
  <c r="HD168" i="29"/>
  <c r="HD30" i="31"/>
  <c r="HD172" i="31" s="1"/>
  <c r="IK168" i="29"/>
  <c r="IK30" i="31"/>
  <c r="IK172" i="31" s="1"/>
  <c r="BQ172" i="31"/>
  <c r="H172" i="31"/>
  <c r="W172" i="31"/>
  <c r="DW30" i="31"/>
  <c r="DW172" i="31" s="1"/>
  <c r="FZ168" i="29"/>
  <c r="FZ30" i="31"/>
  <c r="FZ172" i="31" s="1"/>
  <c r="CW172" i="31"/>
  <c r="EQ172" i="31"/>
  <c r="GT168" i="29"/>
  <c r="GT30" i="31"/>
  <c r="GT172" i="31" s="1"/>
  <c r="FR171" i="31"/>
  <c r="FR172" i="31"/>
  <c r="IU172" i="31"/>
  <c r="GM168" i="29"/>
  <c r="GM30" i="31"/>
  <c r="GM172" i="31" s="1"/>
  <c r="DE172" i="31"/>
  <c r="IY172" i="31"/>
  <c r="ET172" i="31"/>
  <c r="EG172" i="31"/>
  <c r="GK168" i="29"/>
  <c r="GK30" i="31"/>
  <c r="GK172" i="31" s="1"/>
  <c r="DB172" i="31"/>
  <c r="GX168" i="29"/>
  <c r="GX30" i="31"/>
  <c r="GX172" i="31" s="1"/>
  <c r="BP172" i="31"/>
  <c r="P172" i="31"/>
  <c r="CB172" i="31"/>
  <c r="CP172" i="31"/>
  <c r="CI172" i="31"/>
  <c r="HV172" i="31"/>
  <c r="IN172" i="31"/>
  <c r="O172" i="31"/>
  <c r="HS172" i="31"/>
  <c r="DJ30" i="31"/>
  <c r="DJ172" i="31" s="1"/>
  <c r="BW172" i="31"/>
  <c r="AD172" i="31"/>
  <c r="FM168" i="29"/>
  <c r="FM30" i="31"/>
  <c r="FM172" i="31" s="1"/>
  <c r="JE172" i="31"/>
  <c r="AE172" i="31"/>
  <c r="FJ168" i="29"/>
  <c r="FJ30" i="31"/>
  <c r="FJ172" i="31" s="1"/>
  <c r="T172" i="31"/>
  <c r="EZ168" i="29"/>
  <c r="EZ30" i="31"/>
  <c r="EZ172" i="31" s="1"/>
  <c r="HN172" i="31"/>
  <c r="CR172" i="31"/>
  <c r="F172" i="31"/>
  <c r="DS172" i="31"/>
  <c r="DM172" i="31"/>
  <c r="BZ172" i="31"/>
  <c r="HJ168" i="29"/>
  <c r="HJ30" i="31"/>
  <c r="HJ172" i="31" s="1"/>
  <c r="BE172" i="31"/>
  <c r="JC172" i="31"/>
  <c r="CD172" i="31"/>
  <c r="CV172" i="31"/>
  <c r="DV172" i="31"/>
  <c r="IZ172" i="31"/>
  <c r="BG172" i="31"/>
  <c r="IT172" i="31"/>
  <c r="S172" i="31"/>
  <c r="GZ172" i="31"/>
  <c r="GZ171" i="31"/>
  <c r="FQ168" i="29"/>
  <c r="FQ30" i="31"/>
  <c r="FQ172" i="31" s="1"/>
  <c r="EF172" i="31"/>
  <c r="HT172" i="31"/>
  <c r="AK172" i="31"/>
  <c r="IW172" i="31"/>
  <c r="GU168" i="29"/>
  <c r="GU30" i="31"/>
  <c r="GU172" i="31" s="1"/>
  <c r="EP172" i="31"/>
  <c r="CE172" i="31"/>
  <c r="EN172" i="31"/>
  <c r="FG168" i="29"/>
  <c r="FG30" i="31"/>
  <c r="FG172" i="31" s="1"/>
  <c r="EU168" i="29"/>
  <c r="EU30" i="31"/>
  <c r="EU172" i="31" s="1"/>
  <c r="II172" i="31"/>
  <c r="HF168" i="29"/>
  <c r="HF30" i="31"/>
  <c r="HF172" i="31" s="1"/>
  <c r="FK168" i="29"/>
  <c r="FK30" i="31"/>
  <c r="FK172" i="31" s="1"/>
  <c r="HB168" i="29"/>
  <c r="HB30" i="31"/>
  <c r="HB172" i="31" s="1"/>
  <c r="FY168" i="29"/>
  <c r="FY30" i="31"/>
  <c r="FY172" i="31" s="1"/>
  <c r="BN172" i="31"/>
  <c r="HZ172" i="31"/>
  <c r="N172" i="31"/>
  <c r="HL172" i="31"/>
  <c r="EY168" i="29"/>
  <c r="EY30" i="31"/>
  <c r="EY172" i="31" s="1"/>
  <c r="GR168" i="29"/>
  <c r="GR30" i="31"/>
  <c r="GR172" i="31" s="1"/>
  <c r="J30" i="31"/>
  <c r="J172" i="31" s="1"/>
  <c r="FF168" i="29"/>
  <c r="FF30" i="31"/>
  <c r="FF172" i="31" s="1"/>
  <c r="GI168" i="29"/>
  <c r="GI30" i="31"/>
  <c r="GI172" i="31" s="1"/>
  <c r="HY172" i="31"/>
  <c r="HP172" i="31"/>
  <c r="FS168" i="29"/>
  <c r="FS30" i="31"/>
  <c r="FS172" i="31" s="1"/>
  <c r="CH172" i="31"/>
  <c r="DO172" i="31"/>
  <c r="GL168" i="29"/>
  <c r="GL30" i="31"/>
  <c r="GL172" i="31" s="1"/>
  <c r="DQ172" i="31"/>
  <c r="FU168" i="29"/>
  <c r="FU172" i="31"/>
  <c r="AV172" i="31"/>
  <c r="EM172" i="31"/>
  <c r="GV168" i="29"/>
  <c r="GV30" i="31"/>
  <c r="GV172" i="31" s="1"/>
  <c r="HA168" i="29"/>
  <c r="HA30" i="31"/>
  <c r="HA172" i="31" s="1"/>
  <c r="IJ168" i="29"/>
  <c r="IJ30" i="31"/>
  <c r="IJ172" i="31" s="1"/>
  <c r="EV168" i="29"/>
  <c r="EV30" i="31"/>
  <c r="EV172" i="31" s="1"/>
  <c r="FP168" i="29"/>
  <c r="FP30" i="31"/>
  <c r="FP172" i="31" s="1"/>
  <c r="EJ30" i="31"/>
  <c r="EJ172" i="31" s="1"/>
  <c r="R172" i="31"/>
  <c r="EB172" i="31"/>
  <c r="GG168" i="29"/>
  <c r="GG30" i="31"/>
  <c r="GG172" i="31" s="1"/>
  <c r="IR172" i="31"/>
  <c r="GE168" i="29"/>
  <c r="GE30" i="31"/>
  <c r="GE172" i="31" s="1"/>
  <c r="IA172" i="31"/>
  <c r="DZ172" i="31"/>
  <c r="HI168" i="29"/>
  <c r="HI30" i="31"/>
  <c r="HI172" i="31" s="1"/>
  <c r="HX172" i="31"/>
  <c r="DD172" i="31"/>
  <c r="EH172" i="31"/>
  <c r="IQ172" i="31"/>
  <c r="G172" i="31"/>
  <c r="HO172" i="31"/>
  <c r="HO171" i="31"/>
  <c r="GO168" i="29"/>
  <c r="GO30" i="31"/>
  <c r="GO172" i="31" s="1"/>
  <c r="EW168" i="29"/>
  <c r="EW30" i="31"/>
  <c r="EW172" i="31" s="1"/>
  <c r="DX172" i="31"/>
  <c r="IV172" i="31"/>
  <c r="HR172" i="31"/>
  <c r="HQ172" i="31"/>
  <c r="GA168" i="29"/>
  <c r="GA30" i="31"/>
  <c r="GA172" i="31" s="1"/>
  <c r="L172" i="31"/>
  <c r="EA172" i="31"/>
  <c r="E172" i="31"/>
  <c r="CY172" i="31"/>
  <c r="GC168" i="29"/>
  <c r="GC30" i="31"/>
  <c r="GC172" i="31" s="1"/>
  <c r="GW168" i="29"/>
  <c r="GW30" i="31"/>
  <c r="GW172" i="31" s="1"/>
  <c r="HG168" i="29"/>
  <c r="HG30" i="31"/>
  <c r="HG172" i="31" s="1"/>
  <c r="CL30" i="31"/>
  <c r="CL172" i="31" s="1"/>
  <c r="GH168" i="29"/>
  <c r="GH30" i="31"/>
  <c r="GH172" i="31" s="1"/>
  <c r="HC168" i="29"/>
  <c r="HC30" i="31"/>
  <c r="HC172" i="31" s="1"/>
  <c r="FL168" i="29"/>
  <c r="FL30" i="31"/>
  <c r="FL172" i="31" s="1"/>
  <c r="GB168" i="29"/>
  <c r="GB30" i="31"/>
  <c r="GB172" i="31" s="1"/>
  <c r="FE168" i="29"/>
  <c r="FE30" i="31"/>
  <c r="FE172" i="31" s="1"/>
  <c r="FX168" i="29"/>
  <c r="FX30" i="31"/>
  <c r="FX172" i="31" s="1"/>
  <c r="JL30" i="31"/>
  <c r="C172" i="31"/>
  <c r="FA168" i="29"/>
  <c r="FA30" i="31"/>
  <c r="FA172" i="31" s="1"/>
  <c r="FH168" i="29"/>
  <c r="FH30" i="31"/>
  <c r="FH172" i="31" s="1"/>
  <c r="GQ168" i="29"/>
  <c r="GQ30" i="31"/>
  <c r="GQ172" i="31" s="1"/>
  <c r="AN30" i="31"/>
  <c r="AN172" i="31" s="1"/>
  <c r="GN168" i="29"/>
  <c r="GN30" i="31"/>
  <c r="GN172" i="31" s="1"/>
  <c r="FN168" i="29"/>
  <c r="FN30" i="31"/>
  <c r="FN172" i="31" s="1"/>
  <c r="FT168" i="29"/>
  <c r="FT30" i="31"/>
  <c r="FT172" i="31" s="1"/>
  <c r="GD168" i="29"/>
  <c r="GD30" i="31"/>
  <c r="GD172" i="31" s="1"/>
  <c r="GE159" i="29"/>
  <c r="GE163" i="31" s="1"/>
  <c r="GE161" i="31"/>
  <c r="CX150" i="29"/>
  <c r="CX119" i="31"/>
  <c r="AQ150" i="29"/>
  <c r="AQ119" i="31"/>
  <c r="ID150" i="29"/>
  <c r="ID119" i="31"/>
  <c r="BN150" i="29"/>
  <c r="BN119" i="31"/>
  <c r="DX150" i="29"/>
  <c r="DX119" i="31"/>
  <c r="BA150" i="29"/>
  <c r="BA119" i="31"/>
  <c r="BC150" i="29"/>
  <c r="BC119" i="31"/>
  <c r="E150" i="29"/>
  <c r="E119" i="31"/>
  <c r="JL119" i="31" s="1"/>
  <c r="EB150" i="29"/>
  <c r="EB119" i="31"/>
  <c r="HZ150" i="29"/>
  <c r="HZ119" i="31"/>
  <c r="M150" i="29"/>
  <c r="M119" i="31"/>
  <c r="EA150" i="29"/>
  <c r="EA119" i="31"/>
  <c r="JG150" i="29"/>
  <c r="JG119" i="31"/>
  <c r="FS150" i="29"/>
  <c r="FS119" i="31"/>
  <c r="AV150" i="29"/>
  <c r="AV119" i="31"/>
  <c r="DS150" i="29"/>
  <c r="DS119" i="31"/>
  <c r="AZ150" i="29"/>
  <c r="AZ119" i="31"/>
  <c r="IM150" i="29"/>
  <c r="IM119" i="31"/>
  <c r="FW150" i="29"/>
  <c r="FW119" i="31"/>
  <c r="FK150" i="29"/>
  <c r="FK119" i="31"/>
  <c r="AF150" i="29"/>
  <c r="AF119" i="31"/>
  <c r="GM157" i="29"/>
  <c r="GM161" i="31" s="1"/>
  <c r="GM154" i="31"/>
  <c r="GI157" i="29"/>
  <c r="GI161" i="31" s="1"/>
  <c r="GI154" i="31"/>
  <c r="GJ157" i="29"/>
  <c r="GJ161" i="31" s="1"/>
  <c r="GJ154" i="31"/>
  <c r="GW157" i="29"/>
  <c r="GW161" i="31" s="1"/>
  <c r="GW154" i="31"/>
  <c r="DT150" i="29"/>
  <c r="DT119" i="31"/>
  <c r="BY150" i="29"/>
  <c r="BY119" i="31"/>
  <c r="BP150" i="29"/>
  <c r="BP119" i="31"/>
  <c r="V150" i="29"/>
  <c r="V119" i="31"/>
  <c r="AL150" i="29"/>
  <c r="AL119" i="31"/>
  <c r="AA150" i="29"/>
  <c r="AA119" i="31"/>
  <c r="EJ150" i="29"/>
  <c r="EJ119" i="31"/>
  <c r="EM150" i="29"/>
  <c r="EM119" i="31"/>
  <c r="DB150" i="29"/>
  <c r="DB119" i="31"/>
  <c r="EE150" i="29"/>
  <c r="EE119" i="31"/>
  <c r="JD150" i="29"/>
  <c r="JD119" i="31"/>
  <c r="DE150" i="29"/>
  <c r="DE119" i="31"/>
  <c r="FA157" i="29"/>
  <c r="FA161" i="31" s="1"/>
  <c r="FA154" i="31"/>
  <c r="GD157" i="29"/>
  <c r="GD161" i="31" s="1"/>
  <c r="GD154" i="31"/>
  <c r="GC157" i="29"/>
  <c r="GC161" i="31" s="1"/>
  <c r="GC154" i="31"/>
  <c r="GR150" i="29"/>
  <c r="GR119" i="31"/>
  <c r="IE150" i="29"/>
  <c r="IE119" i="31"/>
  <c r="BQ150" i="29"/>
  <c r="BQ119" i="31"/>
  <c r="HR150" i="29"/>
  <c r="HR119" i="31"/>
  <c r="HU150" i="29"/>
  <c r="HU119" i="31"/>
  <c r="DQ150" i="29"/>
  <c r="DQ119" i="31"/>
  <c r="AP150" i="29"/>
  <c r="AP119" i="31"/>
  <c r="FG150" i="29"/>
  <c r="FG119" i="31"/>
  <c r="CZ150" i="29"/>
  <c r="CZ119" i="31"/>
  <c r="IT150" i="29"/>
  <c r="IT119" i="31"/>
  <c r="JH150" i="29"/>
  <c r="JH119" i="31"/>
  <c r="IC150" i="29"/>
  <c r="IC119" i="31"/>
  <c r="IP89" i="29"/>
  <c r="IP93" i="31" s="1"/>
  <c r="IP92" i="31"/>
  <c r="AJ89" i="29"/>
  <c r="AJ93" i="31" s="1"/>
  <c r="AJ92" i="31"/>
  <c r="II89" i="29"/>
  <c r="II93" i="31" s="1"/>
  <c r="II92" i="31"/>
  <c r="HZ89" i="29"/>
  <c r="HZ93" i="31" s="1"/>
  <c r="HZ92" i="31"/>
  <c r="GV89" i="29"/>
  <c r="GV93" i="31" s="1"/>
  <c r="GV92" i="31"/>
  <c r="FP89" i="29"/>
  <c r="FP93" i="31" s="1"/>
  <c r="FP92" i="31"/>
  <c r="GP168" i="29"/>
  <c r="GP30" i="31"/>
  <c r="GP172" i="31" s="1"/>
  <c r="IO172" i="31"/>
  <c r="I172" i="31"/>
  <c r="U172" i="31"/>
  <c r="IF172" i="31"/>
  <c r="DA89" i="29"/>
  <c r="DA93" i="31" s="1"/>
  <c r="DA92" i="31"/>
  <c r="HE89" i="29"/>
  <c r="HE93" i="31" s="1"/>
  <c r="HE92" i="31"/>
  <c r="IH89" i="29"/>
  <c r="IH93" i="31" s="1"/>
  <c r="IH92" i="31"/>
  <c r="AI89" i="29"/>
  <c r="AI93" i="31" s="1"/>
  <c r="AI92" i="31"/>
  <c r="EU89" i="29"/>
  <c r="EU93" i="31" s="1"/>
  <c r="EU92" i="31"/>
  <c r="JO13" i="31"/>
  <c r="HP89" i="29"/>
  <c r="HP93" i="31" s="1"/>
  <c r="HP92" i="31"/>
  <c r="GO89" i="29"/>
  <c r="GO93" i="31" s="1"/>
  <c r="GO92" i="31"/>
  <c r="HR89" i="29"/>
  <c r="HR93" i="31" s="1"/>
  <c r="HR92" i="31"/>
  <c r="HW89" i="29"/>
  <c r="HW93" i="31" s="1"/>
  <c r="HW92" i="31"/>
  <c r="IB89" i="29"/>
  <c r="IB93" i="31" s="1"/>
  <c r="IB92" i="31"/>
  <c r="GB89" i="29"/>
  <c r="GB93" i="31" s="1"/>
  <c r="GB92" i="31"/>
  <c r="JL13" i="31"/>
  <c r="JF89" i="29"/>
  <c r="JF93" i="31" s="1"/>
  <c r="JF92" i="31"/>
  <c r="HU89" i="29"/>
  <c r="HU93" i="31" s="1"/>
  <c r="HU92" i="31"/>
  <c r="U150" i="29"/>
  <c r="U119" i="31"/>
  <c r="HN150" i="29"/>
  <c r="HN119" i="31"/>
  <c r="IX150" i="29"/>
  <c r="IX119" i="31"/>
  <c r="EQ150" i="29"/>
  <c r="EQ119" i="31"/>
  <c r="FF150" i="29"/>
  <c r="FF119" i="31"/>
  <c r="GL157" i="29"/>
  <c r="GL161" i="31" s="1"/>
  <c r="GL154" i="31"/>
  <c r="GU157" i="29"/>
  <c r="GU161" i="31" s="1"/>
  <c r="GU154" i="31"/>
  <c r="HF157" i="29"/>
  <c r="HF161" i="31" s="1"/>
  <c r="HF154" i="31"/>
  <c r="CB150" i="29"/>
  <c r="CB119" i="31"/>
  <c r="P150" i="29"/>
  <c r="P119" i="31"/>
  <c r="HD150" i="29"/>
  <c r="HD119" i="31"/>
  <c r="FT150" i="29"/>
  <c r="FT119" i="31"/>
  <c r="S150" i="29"/>
  <c r="S119" i="31"/>
  <c r="G150" i="29"/>
  <c r="G119" i="31"/>
  <c r="GP150" i="29"/>
  <c r="GP119" i="31"/>
  <c r="HB150" i="29"/>
  <c r="HB119" i="31"/>
  <c r="FE150" i="29"/>
  <c r="FE119" i="31"/>
  <c r="EX150" i="29"/>
  <c r="EX119" i="31"/>
  <c r="AD150" i="29"/>
  <c r="AD119" i="31"/>
  <c r="IW150" i="29"/>
  <c r="IW119" i="31"/>
  <c r="CR150" i="29"/>
  <c r="CR119" i="31"/>
  <c r="DY150" i="29"/>
  <c r="DY119" i="31"/>
  <c r="IY150" i="29"/>
  <c r="IY119" i="31"/>
  <c r="AT150" i="29"/>
  <c r="AT119" i="31"/>
  <c r="EF150" i="29"/>
  <c r="EF119" i="31"/>
  <c r="AJ150" i="29"/>
  <c r="AJ119" i="31"/>
  <c r="CL150" i="29"/>
  <c r="CL119" i="31"/>
  <c r="BG150" i="29"/>
  <c r="BG119" i="31"/>
  <c r="AM150" i="29"/>
  <c r="AM119" i="31"/>
  <c r="BU150" i="29"/>
  <c r="BU119" i="31"/>
  <c r="DR150" i="29"/>
  <c r="DR119" i="31"/>
  <c r="EC150" i="29"/>
  <c r="EC119" i="31"/>
  <c r="I150" i="29"/>
  <c r="I119" i="31"/>
  <c r="GK150" i="29"/>
  <c r="GK119" i="31"/>
  <c r="GX150" i="29"/>
  <c r="GX119" i="31"/>
  <c r="AR150" i="29"/>
  <c r="AR119" i="31"/>
  <c r="X150" i="29"/>
  <c r="X119" i="31"/>
  <c r="FY157" i="29"/>
  <c r="FY161" i="31" s="1"/>
  <c r="FY154" i="31"/>
  <c r="HA157" i="29"/>
  <c r="HA161" i="31" s="1"/>
  <c r="HA154" i="31"/>
  <c r="HG157" i="29"/>
  <c r="HG161" i="31" s="1"/>
  <c r="HG154" i="31"/>
  <c r="FP157" i="29"/>
  <c r="FP161" i="31" s="1"/>
  <c r="FP154" i="31"/>
  <c r="CP150" i="29"/>
  <c r="CP119" i="31"/>
  <c r="FI150" i="29"/>
  <c r="FI119" i="31"/>
  <c r="BT150" i="29"/>
  <c r="BT119" i="31"/>
  <c r="BJ150" i="29"/>
  <c r="BJ119" i="31"/>
  <c r="AI150" i="29"/>
  <c r="AI119" i="31"/>
  <c r="O150" i="29"/>
  <c r="O119" i="31"/>
  <c r="DD150" i="29"/>
  <c r="DD119" i="31"/>
  <c r="AH150" i="29"/>
  <c r="AH119" i="31"/>
  <c r="Z150" i="29"/>
  <c r="Z119" i="31"/>
  <c r="IQ150" i="29"/>
  <c r="IQ119" i="31"/>
  <c r="DL150" i="29"/>
  <c r="DL119" i="31"/>
  <c r="IO150" i="29"/>
  <c r="IO119" i="31"/>
  <c r="IL150" i="29"/>
  <c r="IL119" i="31"/>
  <c r="HK150" i="29"/>
  <c r="HK119" i="31"/>
  <c r="DM150" i="29"/>
  <c r="DM119" i="31"/>
  <c r="HP150" i="29"/>
  <c r="HP119" i="31"/>
  <c r="FO150" i="29"/>
  <c r="FO119" i="31"/>
  <c r="AE150" i="29"/>
  <c r="AE119" i="31"/>
  <c r="L150" i="29"/>
  <c r="L119" i="31"/>
  <c r="CY150" i="29"/>
  <c r="CY119" i="31"/>
  <c r="EP150" i="29"/>
  <c r="EP119" i="31"/>
  <c r="EK150" i="29"/>
  <c r="EK119" i="31"/>
  <c r="BZ150" i="29"/>
  <c r="BZ119" i="31"/>
  <c r="EL150" i="29"/>
  <c r="EL119" i="31"/>
  <c r="R150" i="29"/>
  <c r="R119" i="31"/>
  <c r="CD150" i="29"/>
  <c r="CD119" i="31"/>
  <c r="EI150" i="29"/>
  <c r="EI119" i="31"/>
  <c r="CV150" i="29"/>
  <c r="CV119" i="31"/>
  <c r="H150" i="29"/>
  <c r="H119" i="31"/>
  <c r="GS157" i="29"/>
  <c r="GS161" i="31" s="1"/>
  <c r="GS154" i="31"/>
  <c r="FL157" i="29"/>
  <c r="FL161" i="31" s="1"/>
  <c r="FL154" i="31"/>
  <c r="FJ157" i="29"/>
  <c r="FJ161" i="31" s="1"/>
  <c r="FJ154" i="31"/>
  <c r="FB157" i="29"/>
  <c r="FB161" i="31" s="1"/>
  <c r="FB154" i="31"/>
  <c r="IG89" i="29"/>
  <c r="IG93" i="31" s="1"/>
  <c r="IG92" i="31"/>
  <c r="JN13" i="31"/>
  <c r="IZ89" i="29"/>
  <c r="IZ93" i="31" s="1"/>
  <c r="IZ92" i="31"/>
  <c r="HL89" i="29"/>
  <c r="HL93" i="31" s="1"/>
  <c r="HL92" i="31"/>
  <c r="HY89" i="29"/>
  <c r="HY93" i="31" s="1"/>
  <c r="HY92" i="31"/>
  <c r="IA89" i="29"/>
  <c r="IA93" i="31" s="1"/>
  <c r="IA92" i="31"/>
  <c r="ID89" i="29"/>
  <c r="ID93" i="31" s="1"/>
  <c r="ID92" i="31"/>
  <c r="IL89" i="29"/>
  <c r="IL93" i="31" s="1"/>
  <c r="IL92" i="31"/>
  <c r="GD89" i="29"/>
  <c r="GD93" i="31" s="1"/>
  <c r="GD92" i="31"/>
  <c r="GF168" i="29"/>
  <c r="GF30" i="31"/>
  <c r="GF172" i="31" s="1"/>
  <c r="JB172" i="31"/>
  <c r="V172" i="31"/>
  <c r="DR172" i="31"/>
  <c r="HK168" i="29"/>
  <c r="HK30" i="31"/>
  <c r="HK172" i="31" s="1"/>
  <c r="IO89" i="29"/>
  <c r="IO93" i="31" s="1"/>
  <c r="IO92" i="31"/>
  <c r="IF89" i="29"/>
  <c r="IF93" i="31" s="1"/>
  <c r="IF92" i="31"/>
  <c r="D89" i="29"/>
  <c r="D93" i="31" s="1"/>
  <c r="D92" i="31"/>
  <c r="FI89" i="29"/>
  <c r="FI93" i="31" s="1"/>
  <c r="FI92" i="31"/>
  <c r="IS89" i="29"/>
  <c r="IS93" i="31" s="1"/>
  <c r="IS92" i="31"/>
  <c r="HV89" i="29"/>
  <c r="HV93" i="31" s="1"/>
  <c r="HV92" i="31"/>
  <c r="JM13" i="31"/>
  <c r="HT89" i="29"/>
  <c r="HT93" i="31" s="1"/>
  <c r="HT92" i="31"/>
  <c r="IW89" i="29"/>
  <c r="IW93" i="31" s="1"/>
  <c r="IW92" i="31"/>
  <c r="GI89" i="29"/>
  <c r="GI93" i="31" s="1"/>
  <c r="GI92" i="31"/>
  <c r="HX89" i="29"/>
  <c r="HX93" i="31" s="1"/>
  <c r="HX92" i="31"/>
  <c r="JN12" i="31"/>
  <c r="EO150" i="29"/>
  <c r="EO119" i="31"/>
  <c r="EG150" i="29"/>
  <c r="EG119" i="31"/>
  <c r="BH150" i="29"/>
  <c r="BH119" i="31"/>
  <c r="DN150" i="29"/>
  <c r="DN119" i="31"/>
  <c r="J150" i="29"/>
  <c r="J119" i="31"/>
  <c r="CI150" i="29"/>
  <c r="CI119" i="31"/>
  <c r="BV150" i="29"/>
  <c r="BV119" i="31"/>
  <c r="IN150" i="29"/>
  <c r="IN119" i="31"/>
  <c r="IG150" i="29"/>
  <c r="IG119" i="31"/>
  <c r="GA150" i="29"/>
  <c r="GA119" i="31"/>
  <c r="FM150" i="29"/>
  <c r="FM119" i="31"/>
  <c r="AW150" i="29"/>
  <c r="AW119" i="31"/>
  <c r="BD150" i="29"/>
  <c r="BD119" i="31"/>
  <c r="GV150" i="29"/>
  <c r="GV119" i="31"/>
  <c r="FH150" i="29"/>
  <c r="FH119" i="31"/>
  <c r="IV150" i="29"/>
  <c r="IV119" i="31"/>
  <c r="CK150" i="29"/>
  <c r="CK119" i="31"/>
  <c r="IH150" i="29"/>
  <c r="IH119" i="31"/>
  <c r="II150" i="29"/>
  <c r="II119" i="31"/>
  <c r="EH150" i="29"/>
  <c r="EH119" i="31"/>
  <c r="EZ150" i="29"/>
  <c r="EZ119" i="31"/>
  <c r="JA150" i="29"/>
  <c r="JA119" i="31"/>
  <c r="AN150" i="29"/>
  <c r="AN119" i="31"/>
  <c r="IP150" i="29"/>
  <c r="IP119" i="31"/>
  <c r="IR150" i="29"/>
  <c r="IR119" i="31"/>
  <c r="FU157" i="29"/>
  <c r="FU161" i="31" s="1"/>
  <c r="FU154" i="31"/>
  <c r="FN157" i="29"/>
  <c r="FN161" i="31" s="1"/>
  <c r="FN154" i="31"/>
  <c r="GF157" i="29"/>
  <c r="GF161" i="31" s="1"/>
  <c r="GF154" i="31"/>
  <c r="FC157" i="29"/>
  <c r="FC161" i="31" s="1"/>
  <c r="FC154" i="31"/>
  <c r="Q150" i="29"/>
  <c r="Q119" i="31"/>
  <c r="BX150" i="29"/>
  <c r="BX119" i="31"/>
  <c r="DI150" i="29"/>
  <c r="DI119" i="31"/>
  <c r="DZ150" i="29"/>
  <c r="DZ119" i="31"/>
  <c r="JE150" i="29"/>
  <c r="JE119" i="31"/>
  <c r="DV150" i="29"/>
  <c r="DV119" i="31"/>
  <c r="Y150" i="29"/>
  <c r="Y119" i="31"/>
  <c r="DJ150" i="29"/>
  <c r="DJ119" i="31"/>
  <c r="AG150" i="29"/>
  <c r="AG119" i="31"/>
  <c r="CT150" i="29"/>
  <c r="CT119" i="31"/>
  <c r="HW150" i="29"/>
  <c r="HW119" i="31"/>
  <c r="CE150" i="29"/>
  <c r="CE119" i="31"/>
  <c r="FD150" i="29"/>
  <c r="FD119" i="31"/>
  <c r="GQ157" i="29"/>
  <c r="GQ161" i="31" s="1"/>
  <c r="GQ154" i="31"/>
  <c r="GH157" i="29"/>
  <c r="GH161" i="31" s="1"/>
  <c r="GH154" i="31"/>
  <c r="HM150" i="29"/>
  <c r="HM119" i="31"/>
  <c r="FX150" i="29"/>
  <c r="FX119" i="31"/>
  <c r="CW150" i="29"/>
  <c r="CW119" i="31"/>
  <c r="IZ150" i="29"/>
  <c r="IZ119" i="31"/>
  <c r="CO150" i="29"/>
  <c r="CO119" i="31"/>
  <c r="HE150" i="29"/>
  <c r="HE119" i="31"/>
  <c r="BS150" i="29"/>
  <c r="BS119" i="31"/>
  <c r="K150" i="29"/>
  <c r="K119" i="31"/>
  <c r="GB150" i="29"/>
  <c r="GB119" i="31"/>
  <c r="HY150" i="29"/>
  <c r="HY119" i="31"/>
  <c r="DG150" i="29"/>
  <c r="DG119" i="31"/>
  <c r="IO109" i="29"/>
  <c r="IO113" i="31" s="1"/>
  <c r="IO168" i="29"/>
  <c r="I168" i="29"/>
  <c r="I63" i="29"/>
  <c r="I67" i="31" s="1"/>
  <c r="U59" i="29"/>
  <c r="U63" i="31" s="1"/>
  <c r="U168" i="29"/>
  <c r="U63" i="29"/>
  <c r="U67" i="31" s="1"/>
  <c r="BB59" i="29"/>
  <c r="BB63" i="31" s="1"/>
  <c r="BB168" i="29"/>
  <c r="BB63" i="29"/>
  <c r="BB67" i="31" s="1"/>
  <c r="ES168" i="29"/>
  <c r="ES63" i="29"/>
  <c r="ES67" i="31" s="1"/>
  <c r="JD168" i="29"/>
  <c r="JD109" i="29"/>
  <c r="JD113" i="31" s="1"/>
  <c r="Z59" i="29"/>
  <c r="Z63" i="31" s="1"/>
  <c r="Z168" i="29"/>
  <c r="Z63" i="29"/>
  <c r="Z67" i="31" s="1"/>
  <c r="BU59" i="29"/>
  <c r="BU63" i="31" s="1"/>
  <c r="BU168" i="29"/>
  <c r="BU63" i="29"/>
  <c r="BU67" i="31" s="1"/>
  <c r="D59" i="29"/>
  <c r="D63" i="31" s="1"/>
  <c r="D168" i="29"/>
  <c r="D63" i="29"/>
  <c r="D67" i="31" s="1"/>
  <c r="AJ168" i="29"/>
  <c r="AJ63" i="29"/>
  <c r="AJ67" i="31" s="1"/>
  <c r="Q59" i="29"/>
  <c r="Q63" i="31" s="1"/>
  <c r="Q168" i="29"/>
  <c r="Q63" i="29"/>
  <c r="Q67" i="31" s="1"/>
  <c r="HM109" i="29"/>
  <c r="HM113" i="31" s="1"/>
  <c r="HM168" i="29"/>
  <c r="AL59" i="29"/>
  <c r="AL63" i="31" s="1"/>
  <c r="AL168" i="29"/>
  <c r="AL63" i="29"/>
  <c r="AL67" i="31" s="1"/>
  <c r="IH168" i="29"/>
  <c r="IH109" i="29"/>
  <c r="IH113" i="31" s="1"/>
  <c r="AR168" i="29"/>
  <c r="AR63" i="29"/>
  <c r="AR67" i="31" s="1"/>
  <c r="DT59" i="29"/>
  <c r="DT63" i="31" s="1"/>
  <c r="DT168" i="29"/>
  <c r="DT63" i="29"/>
  <c r="DT67" i="31" s="1"/>
  <c r="DU59" i="29"/>
  <c r="DU63" i="31" s="1"/>
  <c r="DU168" i="29"/>
  <c r="DU63" i="29"/>
  <c r="DU67" i="31" s="1"/>
  <c r="AF168" i="29"/>
  <c r="AF63" i="29"/>
  <c r="AF67" i="31" s="1"/>
  <c r="IS109" i="29"/>
  <c r="IS113" i="31" s="1"/>
  <c r="IS168" i="29"/>
  <c r="W59" i="29"/>
  <c r="W63" i="31" s="1"/>
  <c r="W168" i="29"/>
  <c r="W63" i="29"/>
  <c r="W67" i="31" s="1"/>
  <c r="CW59" i="29"/>
  <c r="CW63" i="31" s="1"/>
  <c r="CW168" i="29"/>
  <c r="CW63" i="29"/>
  <c r="CW67" i="31" s="1"/>
  <c r="FR168" i="29"/>
  <c r="FR167" i="29"/>
  <c r="DE59" i="29"/>
  <c r="DE63" i="31" s="1"/>
  <c r="DE168" i="29"/>
  <c r="DE63" i="29"/>
  <c r="DE67" i="31" s="1"/>
  <c r="EG59" i="29"/>
  <c r="EG63" i="31" s="1"/>
  <c r="EG168" i="29"/>
  <c r="EG63" i="29"/>
  <c r="EG67" i="31" s="1"/>
  <c r="CB168" i="29"/>
  <c r="CB63" i="29"/>
  <c r="CB67" i="31" s="1"/>
  <c r="HV168" i="29"/>
  <c r="HV109" i="29"/>
  <c r="HV113" i="31" s="1"/>
  <c r="HS168" i="29"/>
  <c r="HS109" i="29"/>
  <c r="HS113" i="31" s="1"/>
  <c r="AD168" i="29"/>
  <c r="AD63" i="29"/>
  <c r="AD67" i="31" s="1"/>
  <c r="AE59" i="29"/>
  <c r="AE63" i="31" s="1"/>
  <c r="AE168" i="29"/>
  <c r="AE63" i="29"/>
  <c r="AE67" i="31" s="1"/>
  <c r="F59" i="29"/>
  <c r="F63" i="31" s="1"/>
  <c r="F168" i="29"/>
  <c r="JM30" i="29"/>
  <c r="F63" i="29"/>
  <c r="F67" i="31" s="1"/>
  <c r="BZ168" i="29"/>
  <c r="BZ63" i="29"/>
  <c r="BZ67" i="31" s="1"/>
  <c r="JC168" i="29"/>
  <c r="JC109" i="29"/>
  <c r="JC113" i="31" s="1"/>
  <c r="DV168" i="29"/>
  <c r="DV63" i="29"/>
  <c r="DV67" i="31" s="1"/>
  <c r="IT168" i="29"/>
  <c r="IT109" i="29"/>
  <c r="IT113" i="31" s="1"/>
  <c r="AK168" i="29"/>
  <c r="AK63" i="29"/>
  <c r="AK67" i="31" s="1"/>
  <c r="EP168" i="29"/>
  <c r="EP63" i="29"/>
  <c r="EP67" i="31" s="1"/>
  <c r="N59" i="29"/>
  <c r="N63" i="31" s="1"/>
  <c r="N168" i="29"/>
  <c r="N63" i="29"/>
  <c r="N67" i="31" s="1"/>
  <c r="AV59" i="29"/>
  <c r="AV63" i="31" s="1"/>
  <c r="AV168" i="29"/>
  <c r="AV63" i="29"/>
  <c r="AV67" i="31" s="1"/>
  <c r="R168" i="29"/>
  <c r="R63" i="29"/>
  <c r="R67" i="31" s="1"/>
  <c r="IR168" i="29"/>
  <c r="IR109" i="29"/>
  <c r="IR113" i="31" s="1"/>
  <c r="DZ59" i="29"/>
  <c r="DZ63" i="31" s="1"/>
  <c r="DZ168" i="29"/>
  <c r="DZ63" i="29"/>
  <c r="DZ67" i="31" s="1"/>
  <c r="DD168" i="29"/>
  <c r="DD63" i="29"/>
  <c r="DD67" i="31" s="1"/>
  <c r="G168" i="29"/>
  <c r="G63" i="29"/>
  <c r="G67" i="31" s="1"/>
  <c r="HR168" i="29"/>
  <c r="HR109" i="29"/>
  <c r="HR113" i="31" s="1"/>
  <c r="L59" i="29"/>
  <c r="L63" i="31" s="1"/>
  <c r="L168" i="29"/>
  <c r="L63" i="29"/>
  <c r="L67" i="31" s="1"/>
  <c r="CY59" i="29"/>
  <c r="CY63" i="31" s="1"/>
  <c r="CY168" i="29"/>
  <c r="CY63" i="29"/>
  <c r="CY67" i="31" s="1"/>
  <c r="BR168" i="29"/>
  <c r="BR63" i="29"/>
  <c r="BR67" i="31" s="1"/>
  <c r="HW168" i="29"/>
  <c r="HW109" i="29"/>
  <c r="HW113" i="31" s="1"/>
  <c r="IE168" i="29"/>
  <c r="IE109" i="29"/>
  <c r="IE113" i="31" s="1"/>
  <c r="IB168" i="29"/>
  <c r="IB109" i="29"/>
  <c r="IB113" i="31" s="1"/>
  <c r="FD168" i="29"/>
  <c r="EK59" i="29"/>
  <c r="EK63" i="31" s="1"/>
  <c r="EK168" i="29"/>
  <c r="EK63" i="29"/>
  <c r="EK67" i="31" s="1"/>
  <c r="X168" i="29"/>
  <c r="X63" i="29"/>
  <c r="X67" i="31" s="1"/>
  <c r="DN168" i="29"/>
  <c r="DN63" i="29"/>
  <c r="DN67" i="31" s="1"/>
  <c r="JG168" i="29"/>
  <c r="JG109" i="29"/>
  <c r="JG113" i="31" s="1"/>
  <c r="AY168" i="29"/>
  <c r="AY63" i="29"/>
  <c r="AY67" i="31" s="1"/>
  <c r="IM168" i="29"/>
  <c r="IM109" i="29"/>
  <c r="IM113" i="31" s="1"/>
  <c r="DL59" i="29"/>
  <c r="DL63" i="31" s="1"/>
  <c r="DL168" i="29"/>
  <c r="DL63" i="29"/>
  <c r="DL67" i="31" s="1"/>
  <c r="EI59" i="29"/>
  <c r="EI63" i="31" s="1"/>
  <c r="EI168" i="29"/>
  <c r="EI63" i="29"/>
  <c r="EI67" i="31" s="1"/>
  <c r="DY59" i="29"/>
  <c r="DY63" i="31" s="1"/>
  <c r="DY168" i="29"/>
  <c r="DY63" i="29"/>
  <c r="DY67" i="31" s="1"/>
  <c r="AH59" i="29"/>
  <c r="AH63" i="31" s="1"/>
  <c r="AH168" i="29"/>
  <c r="AH63" i="29"/>
  <c r="AH67" i="31" s="1"/>
  <c r="BH59" i="29"/>
  <c r="BH63" i="31" s="1"/>
  <c r="BH168" i="29"/>
  <c r="BH63" i="29"/>
  <c r="BH67" i="31" s="1"/>
  <c r="HU109" i="29"/>
  <c r="HU113" i="31" s="1"/>
  <c r="HU168" i="29"/>
  <c r="CU59" i="29"/>
  <c r="CU63" i="31" s="1"/>
  <c r="CU168" i="29"/>
  <c r="CU63" i="29"/>
  <c r="CU67" i="31" s="1"/>
  <c r="R589" i="9"/>
  <c r="R590" i="9" s="1"/>
  <c r="AG59" i="29"/>
  <c r="AG63" i="31" s="1"/>
  <c r="AG168" i="29"/>
  <c r="AG63" i="29"/>
  <c r="AG67" i="31" s="1"/>
  <c r="T589" i="9"/>
  <c r="T590" i="9" s="1"/>
  <c r="AI589" i="9"/>
  <c r="AI590" i="9" s="1"/>
  <c r="GP132" i="29"/>
  <c r="GP107" i="29"/>
  <c r="GP111" i="31" s="1"/>
  <c r="GP99" i="29"/>
  <c r="GP103" i="31" s="1"/>
  <c r="FC132" i="29"/>
  <c r="FC107" i="29"/>
  <c r="FC111" i="31" s="1"/>
  <c r="FC99" i="29"/>
  <c r="FC103" i="31" s="1"/>
  <c r="JB132" i="29"/>
  <c r="JB107" i="29"/>
  <c r="JB111" i="31" s="1"/>
  <c r="JB99" i="29"/>
  <c r="JB103" i="31" s="1"/>
  <c r="I59" i="29"/>
  <c r="I63" i="31" s="1"/>
  <c r="I132" i="29"/>
  <c r="I107" i="29"/>
  <c r="I111" i="31" s="1"/>
  <c r="I169" i="29"/>
  <c r="I110" i="29" s="1"/>
  <c r="I181" i="29"/>
  <c r="I99" i="29"/>
  <c r="I103" i="31" s="1"/>
  <c r="GY132" i="29"/>
  <c r="GY107" i="29"/>
  <c r="GY111" i="31" s="1"/>
  <c r="GY99" i="29"/>
  <c r="GY103" i="31" s="1"/>
  <c r="HH132" i="29"/>
  <c r="HH107" i="29"/>
  <c r="HH111" i="31" s="1"/>
  <c r="HH99" i="29"/>
  <c r="HH103" i="31" s="1"/>
  <c r="BB132" i="29"/>
  <c r="BB107" i="29"/>
  <c r="BB111" i="31" s="1"/>
  <c r="BB99" i="29"/>
  <c r="BB103" i="31" s="1"/>
  <c r="HK132" i="29"/>
  <c r="HK107" i="29"/>
  <c r="HK111" i="31" s="1"/>
  <c r="HK99" i="29"/>
  <c r="HK103" i="31" s="1"/>
  <c r="CM107" i="29"/>
  <c r="CM111" i="31" s="1"/>
  <c r="CM132" i="29"/>
  <c r="CM99" i="29"/>
  <c r="CM103" i="31" s="1"/>
  <c r="FB132" i="29"/>
  <c r="FB107" i="29"/>
  <c r="FB111" i="31" s="1"/>
  <c r="FB99" i="29"/>
  <c r="FB103" i="31" s="1"/>
  <c r="IP132" i="29"/>
  <c r="IP107" i="29"/>
  <c r="IP111" i="31" s="1"/>
  <c r="IP99" i="29"/>
  <c r="IP103" i="31" s="1"/>
  <c r="BI132" i="29"/>
  <c r="BI107" i="29"/>
  <c r="BI111" i="31" s="1"/>
  <c r="BI99" i="29"/>
  <c r="BI103" i="31" s="1"/>
  <c r="Z132" i="29"/>
  <c r="Z107" i="29"/>
  <c r="Z111" i="31" s="1"/>
  <c r="Z99" i="29"/>
  <c r="Z103" i="31" s="1"/>
  <c r="EO107" i="29"/>
  <c r="EO111" i="31" s="1"/>
  <c r="EO132" i="29"/>
  <c r="EO99" i="29"/>
  <c r="EO103" i="31" s="1"/>
  <c r="FV107" i="29"/>
  <c r="FV111" i="31" s="1"/>
  <c r="FV132" i="29"/>
  <c r="FV99" i="29"/>
  <c r="FV103" i="31" s="1"/>
  <c r="BU107" i="29"/>
  <c r="BU111" i="31" s="1"/>
  <c r="BU132" i="29"/>
  <c r="BU99" i="29"/>
  <c r="BU103" i="31" s="1"/>
  <c r="BT132" i="29"/>
  <c r="BT107" i="29"/>
  <c r="BT111" i="31" s="1"/>
  <c r="BT99" i="29"/>
  <c r="BT103" i="31" s="1"/>
  <c r="ED132" i="29"/>
  <c r="ED107" i="29"/>
  <c r="ED111" i="31" s="1"/>
  <c r="ED99" i="29"/>
  <c r="ED103" i="31" s="1"/>
  <c r="AJ59" i="29"/>
  <c r="AJ63" i="31" s="1"/>
  <c r="AJ132" i="29"/>
  <c r="AJ107" i="29"/>
  <c r="AJ111" i="31" s="1"/>
  <c r="CS107" i="29"/>
  <c r="CS111" i="31" s="1"/>
  <c r="CS132" i="29"/>
  <c r="BS132" i="29"/>
  <c r="BS107" i="29"/>
  <c r="BS111" i="31" s="1"/>
  <c r="BS99" i="29"/>
  <c r="BS103" i="31" s="1"/>
  <c r="Q132" i="29"/>
  <c r="Q107" i="29"/>
  <c r="Q111" i="31" s="1"/>
  <c r="Q99" i="29"/>
  <c r="Q103" i="31" s="1"/>
  <c r="IC132" i="29"/>
  <c r="IC107" i="29"/>
  <c r="IC111" i="31" s="1"/>
  <c r="IC99" i="29"/>
  <c r="IC103" i="31" s="1"/>
  <c r="JH132" i="29"/>
  <c r="JH107" i="29"/>
  <c r="JH111" i="31" s="1"/>
  <c r="JH99" i="29"/>
  <c r="JH103" i="31" s="1"/>
  <c r="AL132" i="29"/>
  <c r="AL107" i="29"/>
  <c r="AL111" i="31" s="1"/>
  <c r="AL99" i="29"/>
  <c r="AL103" i="31" s="1"/>
  <c r="DC59" i="29"/>
  <c r="DC63" i="31" s="1"/>
  <c r="DC107" i="29"/>
  <c r="DC111" i="31" s="1"/>
  <c r="DC132" i="29"/>
  <c r="DC99" i="29"/>
  <c r="DC103" i="31" s="1"/>
  <c r="JA132" i="29"/>
  <c r="JA107" i="29"/>
  <c r="JA111" i="31" s="1"/>
  <c r="JA99" i="29"/>
  <c r="JA103" i="31" s="1"/>
  <c r="AR59" i="29"/>
  <c r="AR63" i="31" s="1"/>
  <c r="AR132" i="29"/>
  <c r="AR107" i="29"/>
  <c r="AR111" i="31" s="1"/>
  <c r="AR99" i="29"/>
  <c r="AR103" i="31" s="1"/>
  <c r="AU107" i="29"/>
  <c r="AU111" i="31" s="1"/>
  <c r="AU132" i="29"/>
  <c r="AU99" i="29"/>
  <c r="AU103" i="31" s="1"/>
  <c r="EX132" i="29"/>
  <c r="EX107" i="29"/>
  <c r="EX111" i="31" s="1"/>
  <c r="EX99" i="29"/>
  <c r="EX103" i="31" s="1"/>
  <c r="DU132" i="29"/>
  <c r="DU107" i="29"/>
  <c r="DU111" i="31" s="1"/>
  <c r="DU169" i="29"/>
  <c r="DU110" i="29" s="1"/>
  <c r="DU99" i="29"/>
  <c r="DU103" i="31" s="1"/>
  <c r="DU181" i="29"/>
  <c r="DK59" i="29"/>
  <c r="DK63" i="31" s="1"/>
  <c r="DK132" i="29"/>
  <c r="DK107" i="29"/>
  <c r="DK111" i="31" s="1"/>
  <c r="DK169" i="29"/>
  <c r="DK110" i="29" s="1"/>
  <c r="DK99" i="29"/>
  <c r="DK103" i="31" s="1"/>
  <c r="DK181" i="29"/>
  <c r="BY132" i="29"/>
  <c r="BY107" i="29"/>
  <c r="BY111" i="31" s="1"/>
  <c r="BY99" i="29"/>
  <c r="BY103" i="31" s="1"/>
  <c r="IG107" i="29"/>
  <c r="IG111" i="31" s="1"/>
  <c r="IG132" i="29"/>
  <c r="IG99" i="29"/>
  <c r="IG103" i="31" s="1"/>
  <c r="AQ59" i="29"/>
  <c r="AQ63" i="31" s="1"/>
  <c r="AQ107" i="29"/>
  <c r="AQ111" i="31" s="1"/>
  <c r="AQ132" i="29"/>
  <c r="AQ99" i="29"/>
  <c r="AQ103" i="31" s="1"/>
  <c r="BA132" i="29"/>
  <c r="BA107" i="29"/>
  <c r="BA111" i="31" s="1"/>
  <c r="BA99" i="29"/>
  <c r="BA103" i="31" s="1"/>
  <c r="HD132" i="29"/>
  <c r="HD107" i="29"/>
  <c r="HD111" i="31" s="1"/>
  <c r="HD99" i="29"/>
  <c r="HD103" i="31" s="1"/>
  <c r="BQ59" i="29"/>
  <c r="BQ63" i="31" s="1"/>
  <c r="BQ132" i="29"/>
  <c r="BQ107" i="29"/>
  <c r="BQ111" i="31" s="1"/>
  <c r="W132" i="29"/>
  <c r="W107" i="29"/>
  <c r="W111" i="31" s="1"/>
  <c r="W99" i="29"/>
  <c r="W103" i="31" s="1"/>
  <c r="FZ107" i="29"/>
  <c r="FZ111" i="31" s="1"/>
  <c r="FZ132" i="29"/>
  <c r="FZ99" i="29"/>
  <c r="FZ103" i="31" s="1"/>
  <c r="EQ132" i="29"/>
  <c r="EQ107" i="29"/>
  <c r="EQ111" i="31" s="1"/>
  <c r="FR49" i="29"/>
  <c r="FR132" i="29"/>
  <c r="FR107" i="29"/>
  <c r="FR111" i="31" s="1"/>
  <c r="GM107" i="29"/>
  <c r="GM111" i="31" s="1"/>
  <c r="GM132" i="29"/>
  <c r="GM99" i="29"/>
  <c r="GM103" i="31" s="1"/>
  <c r="IY132" i="29"/>
  <c r="IY107" i="29"/>
  <c r="IY111" i="31" s="1"/>
  <c r="IY99" i="29"/>
  <c r="IY103" i="31" s="1"/>
  <c r="EG107" i="29"/>
  <c r="EG111" i="31" s="1"/>
  <c r="EG132" i="29"/>
  <c r="DB59" i="29"/>
  <c r="DB63" i="31" s="1"/>
  <c r="DB132" i="29"/>
  <c r="DB107" i="29"/>
  <c r="DB111" i="31" s="1"/>
  <c r="DB99" i="29"/>
  <c r="DB103" i="31" s="1"/>
  <c r="BP59" i="29"/>
  <c r="BP63" i="31" s="1"/>
  <c r="BP132" i="29"/>
  <c r="BP107" i="29"/>
  <c r="BP111" i="31" s="1"/>
  <c r="BP99" i="29"/>
  <c r="BP103" i="31" s="1"/>
  <c r="CB59" i="29"/>
  <c r="CB63" i="31" s="1"/>
  <c r="CB132" i="29"/>
  <c r="CB107" i="29"/>
  <c r="CB111" i="31" s="1"/>
  <c r="CI107" i="29"/>
  <c r="CI111" i="31" s="1"/>
  <c r="CI132" i="29"/>
  <c r="CI169" i="29"/>
  <c r="CI110" i="29" s="1"/>
  <c r="CI99" i="29"/>
  <c r="CI103" i="31" s="1"/>
  <c r="CI181" i="29"/>
  <c r="IN132" i="29"/>
  <c r="IN107" i="29"/>
  <c r="IN111" i="31" s="1"/>
  <c r="IN99" i="29"/>
  <c r="IN103" i="31" s="1"/>
  <c r="HS132" i="29"/>
  <c r="HS107" i="29"/>
  <c r="HS111" i="31" s="1"/>
  <c r="HS99" i="29"/>
  <c r="HS103" i="31" s="1"/>
  <c r="BW59" i="29"/>
  <c r="BW63" i="31" s="1"/>
  <c r="BW132" i="29"/>
  <c r="BW107" i="29"/>
  <c r="BW111" i="31" s="1"/>
  <c r="FM107" i="29"/>
  <c r="FM111" i="31" s="1"/>
  <c r="FM132" i="29"/>
  <c r="FM99" i="29"/>
  <c r="FM103" i="31" s="1"/>
  <c r="AE132" i="29"/>
  <c r="AE107" i="29"/>
  <c r="AE111" i="31" s="1"/>
  <c r="AE99" i="29"/>
  <c r="AE103" i="31" s="1"/>
  <c r="T132" i="29"/>
  <c r="T107" i="29"/>
  <c r="T111" i="31" s="1"/>
  <c r="T99" i="29"/>
  <c r="T103" i="31" s="1"/>
  <c r="HN132" i="29"/>
  <c r="HN107" i="29"/>
  <c r="HN111" i="31" s="1"/>
  <c r="HN99" i="29"/>
  <c r="HN103" i="31" s="1"/>
  <c r="JM13" i="29"/>
  <c r="F132" i="29"/>
  <c r="F107" i="29"/>
  <c r="F111" i="31" s="1"/>
  <c r="F99" i="29"/>
  <c r="F103" i="31" s="1"/>
  <c r="DM132" i="29"/>
  <c r="DM107" i="29"/>
  <c r="DM111" i="31" s="1"/>
  <c r="DM99" i="29"/>
  <c r="DM103" i="31" s="1"/>
  <c r="HJ132" i="29"/>
  <c r="HJ107" i="29"/>
  <c r="HJ111" i="31" s="1"/>
  <c r="HJ169" i="29"/>
  <c r="HJ99" i="29"/>
  <c r="HJ103" i="31" s="1"/>
  <c r="JC132" i="29"/>
  <c r="JC107" i="29"/>
  <c r="JC111" i="31" s="1"/>
  <c r="JC99" i="29"/>
  <c r="JC103" i="31" s="1"/>
  <c r="CV132" i="29"/>
  <c r="CV107" i="29"/>
  <c r="CV111" i="31" s="1"/>
  <c r="IZ132" i="29"/>
  <c r="IZ107" i="29"/>
  <c r="IZ111" i="31" s="1"/>
  <c r="IZ99" i="29"/>
  <c r="IZ103" i="31" s="1"/>
  <c r="IT132" i="29"/>
  <c r="IT107" i="29"/>
  <c r="IT111" i="31" s="1"/>
  <c r="IT99" i="29"/>
  <c r="IT103" i="31" s="1"/>
  <c r="GZ132" i="29"/>
  <c r="GZ107" i="29"/>
  <c r="GZ111" i="31" s="1"/>
  <c r="EF59" i="29"/>
  <c r="EF63" i="31" s="1"/>
  <c r="EF132" i="29"/>
  <c r="EF107" i="29"/>
  <c r="EF111" i="31" s="1"/>
  <c r="EF99" i="29"/>
  <c r="EF103" i="31" s="1"/>
  <c r="AK59" i="29"/>
  <c r="AK63" i="31" s="1"/>
  <c r="AK132" i="29"/>
  <c r="AK107" i="29"/>
  <c r="AK111" i="31" s="1"/>
  <c r="GU107" i="29"/>
  <c r="GU111" i="31" s="1"/>
  <c r="GU132" i="29"/>
  <c r="GU99" i="29"/>
  <c r="GU103" i="31" s="1"/>
  <c r="CE59" i="29"/>
  <c r="CE63" i="31" s="1"/>
  <c r="CE132" i="29"/>
  <c r="CE107" i="29"/>
  <c r="CE111" i="31" s="1"/>
  <c r="CE99" i="29"/>
  <c r="CE103" i="31" s="1"/>
  <c r="FG107" i="29"/>
  <c r="FG111" i="31" s="1"/>
  <c r="FG132" i="29"/>
  <c r="FG99" i="29"/>
  <c r="FG103" i="31" s="1"/>
  <c r="II107" i="29"/>
  <c r="II111" i="31" s="1"/>
  <c r="II132" i="29"/>
  <c r="II99" i="29"/>
  <c r="II103" i="31" s="1"/>
  <c r="FK132" i="29"/>
  <c r="FK107" i="29"/>
  <c r="FK111" i="31" s="1"/>
  <c r="FK99" i="29"/>
  <c r="FK103" i="31" s="1"/>
  <c r="FY132" i="29"/>
  <c r="FY107" i="29"/>
  <c r="FY111" i="31" s="1"/>
  <c r="FY99" i="29"/>
  <c r="FY103" i="31" s="1"/>
  <c r="HZ107" i="29"/>
  <c r="HZ111" i="31" s="1"/>
  <c r="HZ132" i="29"/>
  <c r="HZ99" i="29"/>
  <c r="HZ103" i="31" s="1"/>
  <c r="JO13" i="29"/>
  <c r="HL132" i="29"/>
  <c r="HL107" i="29"/>
  <c r="HL111" i="31" s="1"/>
  <c r="HL99" i="29"/>
  <c r="HL103" i="31" s="1"/>
  <c r="GR132" i="29"/>
  <c r="GR107" i="29"/>
  <c r="GR111" i="31" s="1"/>
  <c r="GR99" i="29"/>
  <c r="GR103" i="31" s="1"/>
  <c r="FF107" i="29"/>
  <c r="FF111" i="31" s="1"/>
  <c r="FF132" i="29"/>
  <c r="FF99" i="29"/>
  <c r="FF103" i="31" s="1"/>
  <c r="HY107" i="29"/>
  <c r="HY111" i="31" s="1"/>
  <c r="HY132" i="29"/>
  <c r="HY99" i="29"/>
  <c r="HY103" i="31" s="1"/>
  <c r="FS107" i="29"/>
  <c r="FS111" i="31" s="1"/>
  <c r="FS132" i="29"/>
  <c r="FS99" i="29"/>
  <c r="FS103" i="31" s="1"/>
  <c r="DO107" i="29"/>
  <c r="DO111" i="31" s="1"/>
  <c r="DO132" i="29"/>
  <c r="DQ107" i="29"/>
  <c r="DQ111" i="31" s="1"/>
  <c r="DQ132" i="29"/>
  <c r="DQ99" i="29"/>
  <c r="DQ103" i="31" s="1"/>
  <c r="AV132" i="29"/>
  <c r="AV107" i="29"/>
  <c r="AV111" i="31" s="1"/>
  <c r="AV99" i="29"/>
  <c r="AV103" i="31" s="1"/>
  <c r="GV132" i="29"/>
  <c r="GV107" i="29"/>
  <c r="GV111" i="31" s="1"/>
  <c r="GV99" i="29"/>
  <c r="GV103" i="31" s="1"/>
  <c r="IJ132" i="29"/>
  <c r="IJ107" i="29"/>
  <c r="IJ111" i="31" s="1"/>
  <c r="IJ99" i="29"/>
  <c r="IJ103" i="31" s="1"/>
  <c r="FP132" i="29"/>
  <c r="FP107" i="29"/>
  <c r="FP111" i="31" s="1"/>
  <c r="FP99" i="29"/>
  <c r="FP103" i="31" s="1"/>
  <c r="BL132" i="29"/>
  <c r="BL107" i="29"/>
  <c r="BL111" i="31" s="1"/>
  <c r="EB132" i="29"/>
  <c r="EB107" i="29"/>
  <c r="EB111" i="31" s="1"/>
  <c r="EB99" i="29"/>
  <c r="EB103" i="31" s="1"/>
  <c r="IR132" i="29"/>
  <c r="IR107" i="29"/>
  <c r="IR111" i="31" s="1"/>
  <c r="IR99" i="29"/>
  <c r="IR103" i="31" s="1"/>
  <c r="IA132" i="29"/>
  <c r="IA107" i="29"/>
  <c r="IA111" i="31" s="1"/>
  <c r="IA99" i="29"/>
  <c r="IA103" i="31" s="1"/>
  <c r="HI107" i="29"/>
  <c r="HI111" i="31" s="1"/>
  <c r="HI132" i="29"/>
  <c r="HI99" i="29"/>
  <c r="HI103" i="31" s="1"/>
  <c r="DD59" i="29"/>
  <c r="DD63" i="31" s="1"/>
  <c r="DD132" i="29"/>
  <c r="DD107" i="29"/>
  <c r="DD111" i="31" s="1"/>
  <c r="DD169" i="29"/>
  <c r="DD110" i="29" s="1"/>
  <c r="DD99" i="29"/>
  <c r="DD103" i="31" s="1"/>
  <c r="DD181" i="29"/>
  <c r="IQ107" i="29"/>
  <c r="IQ111" i="31" s="1"/>
  <c r="IQ132" i="29"/>
  <c r="IQ99" i="29"/>
  <c r="IQ103" i="31" s="1"/>
  <c r="HO107" i="29"/>
  <c r="HO111" i="31" s="1"/>
  <c r="HO132" i="29"/>
  <c r="HO169" i="29"/>
  <c r="HO99" i="29"/>
  <c r="HO103" i="31" s="1"/>
  <c r="EW107" i="29"/>
  <c r="EW111" i="31" s="1"/>
  <c r="EW132" i="29"/>
  <c r="EW99" i="29"/>
  <c r="EW103" i="31" s="1"/>
  <c r="IV132" i="29"/>
  <c r="IV107" i="29"/>
  <c r="IV111" i="31" s="1"/>
  <c r="IV99" i="29"/>
  <c r="IV103" i="31" s="1"/>
  <c r="HQ107" i="29"/>
  <c r="HQ111" i="31" s="1"/>
  <c r="HQ132" i="29"/>
  <c r="HQ99" i="29"/>
  <c r="HQ103" i="31" s="1"/>
  <c r="L132" i="29"/>
  <c r="L107" i="29"/>
  <c r="L111" i="31" s="1"/>
  <c r="L99" i="29"/>
  <c r="L103" i="31" s="1"/>
  <c r="E107" i="29"/>
  <c r="E111" i="31" s="1"/>
  <c r="E132" i="29"/>
  <c r="E99" i="29"/>
  <c r="E103" i="31" s="1"/>
  <c r="GC107" i="29"/>
  <c r="GC111" i="31" s="1"/>
  <c r="GC132" i="29"/>
  <c r="GC99" i="29"/>
  <c r="GC103" i="31" s="1"/>
  <c r="BR59" i="29"/>
  <c r="BR63" i="31" s="1"/>
  <c r="BR107" i="29"/>
  <c r="BR111" i="31" s="1"/>
  <c r="BR132" i="29"/>
  <c r="BR99" i="29"/>
  <c r="BR103" i="31" s="1"/>
  <c r="CC59" i="29"/>
  <c r="CC63" i="31" s="1"/>
  <c r="CC107" i="29"/>
  <c r="CC111" i="31" s="1"/>
  <c r="CC132" i="29"/>
  <c r="CC99" i="29"/>
  <c r="CC103" i="31" s="1"/>
  <c r="HG107" i="29"/>
  <c r="HG111" i="31" s="1"/>
  <c r="HG132" i="29"/>
  <c r="HG99" i="29"/>
  <c r="HG103" i="31" s="1"/>
  <c r="IE107" i="29"/>
  <c r="IE111" i="31" s="1"/>
  <c r="IE132" i="29"/>
  <c r="IE99" i="29"/>
  <c r="IE103" i="31" s="1"/>
  <c r="BO59" i="29"/>
  <c r="BO63" i="31" s="1"/>
  <c r="BO107" i="29"/>
  <c r="BO111" i="31" s="1"/>
  <c r="BO132" i="29"/>
  <c r="BO99" i="29"/>
  <c r="BO103" i="31" s="1"/>
  <c r="AM59" i="29"/>
  <c r="AM63" i="31" s="1"/>
  <c r="AM132" i="29"/>
  <c r="AM107" i="29"/>
  <c r="AM111" i="31" s="1"/>
  <c r="AM99" i="29"/>
  <c r="AM103" i="31" s="1"/>
  <c r="FD132" i="29"/>
  <c r="FD107" i="29"/>
  <c r="FD111" i="31" s="1"/>
  <c r="FD169" i="29"/>
  <c r="FD99" i="29"/>
  <c r="FD103" i="31" s="1"/>
  <c r="AZ132" i="29"/>
  <c r="AZ107" i="29"/>
  <c r="AZ111" i="31" s="1"/>
  <c r="AZ99" i="29"/>
  <c r="AZ103" i="31" s="1"/>
  <c r="AT107" i="29"/>
  <c r="AT111" i="31" s="1"/>
  <c r="AT132" i="29"/>
  <c r="AT99" i="29"/>
  <c r="AT103" i="31" s="1"/>
  <c r="X59" i="29"/>
  <c r="X63" i="31" s="1"/>
  <c r="X107" i="29"/>
  <c r="X111" i="31" s="1"/>
  <c r="X132" i="29"/>
  <c r="X99" i="29"/>
  <c r="X103" i="31" s="1"/>
  <c r="BV59" i="29"/>
  <c r="BV63" i="31" s="1"/>
  <c r="BV107" i="29"/>
  <c r="BV111" i="31" s="1"/>
  <c r="BV132" i="29"/>
  <c r="HC132" i="29"/>
  <c r="HC107" i="29"/>
  <c r="HC111" i="31" s="1"/>
  <c r="HC99" i="29"/>
  <c r="HC103" i="31" s="1"/>
  <c r="JG107" i="29"/>
  <c r="JG111" i="31" s="1"/>
  <c r="JG132" i="29"/>
  <c r="JG99" i="29"/>
  <c r="JG103" i="31" s="1"/>
  <c r="BX59" i="29"/>
  <c r="BX63" i="31" s="1"/>
  <c r="BX132" i="29"/>
  <c r="BX107" i="29"/>
  <c r="BX111" i="31" s="1"/>
  <c r="BX99" i="29"/>
  <c r="BX103" i="31" s="1"/>
  <c r="ID132" i="29"/>
  <c r="ID107" i="29"/>
  <c r="ID111" i="31" s="1"/>
  <c r="ID99" i="29"/>
  <c r="ID103" i="31" s="1"/>
  <c r="AY59" i="29"/>
  <c r="AY63" i="31" s="1"/>
  <c r="AY132" i="29"/>
  <c r="AY107" i="29"/>
  <c r="AY111" i="31" s="1"/>
  <c r="AY99" i="29"/>
  <c r="AY103" i="31" s="1"/>
  <c r="AO59" i="29"/>
  <c r="AO63" i="31" s="1"/>
  <c r="AO107" i="29"/>
  <c r="AO111" i="31" s="1"/>
  <c r="AO132" i="29"/>
  <c r="AO99" i="29"/>
  <c r="AO103" i="31" s="1"/>
  <c r="IL107" i="29"/>
  <c r="IL111" i="31" s="1"/>
  <c r="IL132" i="29"/>
  <c r="IL99" i="29"/>
  <c r="IL103" i="31" s="1"/>
  <c r="DL132" i="29"/>
  <c r="DL107" i="29"/>
  <c r="DL111" i="31" s="1"/>
  <c r="DL99" i="29"/>
  <c r="DL103" i="31" s="1"/>
  <c r="AB59" i="29"/>
  <c r="AB63" i="31" s="1"/>
  <c r="AB132" i="29"/>
  <c r="AB107" i="29"/>
  <c r="AB111" i="31" s="1"/>
  <c r="AB99" i="29"/>
  <c r="AB103" i="31" s="1"/>
  <c r="K132" i="29"/>
  <c r="K107" i="29"/>
  <c r="K111" i="31" s="1"/>
  <c r="DY107" i="29"/>
  <c r="DY111" i="31" s="1"/>
  <c r="DY132" i="29"/>
  <c r="DY99" i="29"/>
  <c r="DY103" i="31" s="1"/>
  <c r="ER132" i="29"/>
  <c r="ER107" i="29"/>
  <c r="ER111" i="31" s="1"/>
  <c r="ER99" i="29"/>
  <c r="ER103" i="31" s="1"/>
  <c r="C59" i="29"/>
  <c r="C63" i="31" s="1"/>
  <c r="JI13" i="29"/>
  <c r="JI13" i="31" s="1"/>
  <c r="JL13" i="29"/>
  <c r="C132" i="29"/>
  <c r="C136" i="31" s="1"/>
  <c r="C107" i="29"/>
  <c r="C111" i="31" s="1"/>
  <c r="C99" i="29"/>
  <c r="C103" i="31" s="1"/>
  <c r="FH132" i="29"/>
  <c r="FH107" i="29"/>
  <c r="FH111" i="31" s="1"/>
  <c r="FH99" i="29"/>
  <c r="FH103" i="31" s="1"/>
  <c r="IX132" i="29"/>
  <c r="IX107" i="29"/>
  <c r="IX111" i="31" s="1"/>
  <c r="IX99" i="29"/>
  <c r="IX103" i="31" s="1"/>
  <c r="DI107" i="29"/>
  <c r="DI111" i="31" s="1"/>
  <c r="DI132" i="29"/>
  <c r="DI169" i="29"/>
  <c r="DI110" i="29" s="1"/>
  <c r="DI181" i="29"/>
  <c r="DI99" i="29"/>
  <c r="DI103" i="31" s="1"/>
  <c r="BH132" i="29"/>
  <c r="BH107" i="29"/>
  <c r="BH111" i="31" s="1"/>
  <c r="BH99" i="29"/>
  <c r="BH103" i="31" s="1"/>
  <c r="AN59" i="29"/>
  <c r="AN63" i="31" s="1"/>
  <c r="AN132" i="29"/>
  <c r="AN107" i="29"/>
  <c r="AN111" i="31" s="1"/>
  <c r="AN99" i="29"/>
  <c r="AN103" i="31" s="1"/>
  <c r="AX59" i="29"/>
  <c r="AX63" i="31" s="1"/>
  <c r="AX107" i="29"/>
  <c r="AX111" i="31" s="1"/>
  <c r="AX132" i="29"/>
  <c r="AX99" i="29"/>
  <c r="AX103" i="31" s="1"/>
  <c r="CU132" i="29"/>
  <c r="CU107" i="29"/>
  <c r="CU111" i="31" s="1"/>
  <c r="CU99" i="29"/>
  <c r="CU103" i="31" s="1"/>
  <c r="CG132" i="29"/>
  <c r="CG107" i="29"/>
  <c r="CG111" i="31" s="1"/>
  <c r="CG99" i="29"/>
  <c r="CG103" i="31" s="1"/>
  <c r="BF59" i="29"/>
  <c r="BF63" i="31" s="1"/>
  <c r="BF132" i="29"/>
  <c r="BF107" i="29"/>
  <c r="BF111" i="31" s="1"/>
  <c r="BF99" i="29"/>
  <c r="BF103" i="31" s="1"/>
  <c r="GD132" i="29"/>
  <c r="GD107" i="29"/>
  <c r="GD111" i="31" s="1"/>
  <c r="GD99" i="29"/>
  <c r="GD103" i="31" s="1"/>
  <c r="JM12" i="29"/>
  <c r="DX98" i="29"/>
  <c r="DX102" i="31" s="1"/>
  <c r="DX9" i="29"/>
  <c r="DX44" i="29"/>
  <c r="EN98" i="29"/>
  <c r="EN102" i="31" s="1"/>
  <c r="EN9" i="29"/>
  <c r="EN44" i="29"/>
  <c r="JH98" i="29"/>
  <c r="JH102" i="31" s="1"/>
  <c r="JH9" i="29"/>
  <c r="JH44" i="29"/>
  <c r="ES98" i="29"/>
  <c r="ES102" i="31" s="1"/>
  <c r="ES44" i="29"/>
  <c r="ES9" i="29"/>
  <c r="HJ98" i="29"/>
  <c r="HJ102" i="31" s="1"/>
  <c r="HJ9" i="29"/>
  <c r="HJ44" i="29"/>
  <c r="CA44" i="29"/>
  <c r="CA9" i="29"/>
  <c r="CA98" i="29"/>
  <c r="CA102" i="31" s="1"/>
  <c r="CA94" i="29"/>
  <c r="CA98" i="31" s="1"/>
  <c r="DW44" i="29"/>
  <c r="DW9" i="29"/>
  <c r="DW98" i="29"/>
  <c r="DW102" i="31" s="1"/>
  <c r="JN12" i="29"/>
  <c r="SN265" i="1"/>
  <c r="SH265" i="1" s="1"/>
  <c r="SH268" i="1"/>
  <c r="TQ269" i="1"/>
  <c r="TK269" i="1" s="1"/>
  <c r="SN269" i="1"/>
  <c r="SH269" i="1" s="1"/>
  <c r="UT269" i="1"/>
  <c r="UN269" i="1" s="1"/>
  <c r="HL150" i="29"/>
  <c r="JO115" i="29"/>
  <c r="ER98" i="29"/>
  <c r="ER102" i="31" s="1"/>
  <c r="ER9" i="29"/>
  <c r="ER44" i="29"/>
  <c r="EL9" i="29"/>
  <c r="EL44" i="29"/>
  <c r="EL98" i="29"/>
  <c r="EL102" i="31" s="1"/>
  <c r="HO44" i="29"/>
  <c r="HO9" i="29"/>
  <c r="HO98" i="29"/>
  <c r="HO102" i="31" s="1"/>
  <c r="EQ44" i="29"/>
  <c r="EQ9" i="29"/>
  <c r="EQ98" i="29"/>
  <c r="EQ102" i="31" s="1"/>
  <c r="DG168" i="29"/>
  <c r="DG63" i="29"/>
  <c r="DG67" i="31" s="1"/>
  <c r="DR168" i="29"/>
  <c r="DR63" i="29"/>
  <c r="DR67" i="31" s="1"/>
  <c r="AS59" i="29"/>
  <c r="AS63" i="31" s="1"/>
  <c r="AS168" i="29"/>
  <c r="AS63" i="29"/>
  <c r="AS67" i="31" s="1"/>
  <c r="IP168" i="29"/>
  <c r="IP109" i="29"/>
  <c r="IP113" i="31" s="1"/>
  <c r="EL168" i="29"/>
  <c r="EL63" i="29"/>
  <c r="EL67" i="31" s="1"/>
  <c r="EO168" i="29"/>
  <c r="EO63" i="29"/>
  <c r="EO67" i="31" s="1"/>
  <c r="DA59" i="29"/>
  <c r="DA63" i="31" s="1"/>
  <c r="DA168" i="29"/>
  <c r="DA63" i="29"/>
  <c r="DA67" i="31" s="1"/>
  <c r="BT59" i="29"/>
  <c r="BT63" i="31" s="1"/>
  <c r="BT168" i="29"/>
  <c r="BT63" i="29"/>
  <c r="BT67" i="31" s="1"/>
  <c r="AA59" i="29"/>
  <c r="AA63" i="31" s="1"/>
  <c r="AA168" i="29"/>
  <c r="AA63" i="29"/>
  <c r="AA67" i="31" s="1"/>
  <c r="CS59" i="29"/>
  <c r="CS63" i="31" s="1"/>
  <c r="CS168" i="29"/>
  <c r="CS167" i="29"/>
  <c r="CS63" i="29"/>
  <c r="CS67" i="31" s="1"/>
  <c r="IC109" i="29"/>
  <c r="IC113" i="31" s="1"/>
  <c r="IC168" i="29"/>
  <c r="DP59" i="29"/>
  <c r="DP63" i="31" s="1"/>
  <c r="DP168" i="29"/>
  <c r="DP63" i="29"/>
  <c r="DP67" i="31" s="1"/>
  <c r="BC59" i="29"/>
  <c r="BC63" i="31" s="1"/>
  <c r="BC168" i="29"/>
  <c r="BC63" i="29"/>
  <c r="BC67" i="31" s="1"/>
  <c r="JA109" i="29"/>
  <c r="JA113" i="31" s="1"/>
  <c r="JA168" i="29"/>
  <c r="DF59" i="29"/>
  <c r="DF63" i="31" s="1"/>
  <c r="DF168" i="29"/>
  <c r="DF63" i="29"/>
  <c r="DF67" i="31" s="1"/>
  <c r="CJ59" i="29"/>
  <c r="CJ63" i="31" s="1"/>
  <c r="CJ168" i="29"/>
  <c r="CJ63" i="29"/>
  <c r="CJ67" i="31" s="1"/>
  <c r="BY59" i="29"/>
  <c r="BY63" i="31" s="1"/>
  <c r="BY168" i="29"/>
  <c r="BY63" i="29"/>
  <c r="BY67" i="31" s="1"/>
  <c r="AW59" i="29"/>
  <c r="AW63" i="31" s="1"/>
  <c r="AW168" i="29"/>
  <c r="AW63" i="29"/>
  <c r="AW67" i="31" s="1"/>
  <c r="BA59" i="29"/>
  <c r="BA63" i="31" s="1"/>
  <c r="BA168" i="29"/>
  <c r="BA63" i="29"/>
  <c r="BA67" i="31" s="1"/>
  <c r="H59" i="29"/>
  <c r="H63" i="31" s="1"/>
  <c r="H168" i="29"/>
  <c r="H63" i="29"/>
  <c r="H67" i="31" s="1"/>
  <c r="ET168" i="29"/>
  <c r="JN30" i="29"/>
  <c r="DB168" i="29"/>
  <c r="DB63" i="29"/>
  <c r="DB67" i="31" s="1"/>
  <c r="P59" i="29"/>
  <c r="P63" i="31" s="1"/>
  <c r="P168" i="29"/>
  <c r="P63" i="29"/>
  <c r="P67" i="31" s="1"/>
  <c r="CI59" i="29"/>
  <c r="CI63" i="31" s="1"/>
  <c r="CI168" i="29"/>
  <c r="CI63" i="29"/>
  <c r="CI67" i="31" s="1"/>
  <c r="O168" i="29"/>
  <c r="O63" i="29"/>
  <c r="O67" i="31" s="1"/>
  <c r="BW168" i="29"/>
  <c r="BW63" i="29"/>
  <c r="BW67" i="31" s="1"/>
  <c r="HN168" i="29"/>
  <c r="HN109" i="29"/>
  <c r="HN113" i="31" s="1"/>
  <c r="DS59" i="29"/>
  <c r="DS63" i="31" s="1"/>
  <c r="DS168" i="29"/>
  <c r="DS63" i="29"/>
  <c r="DS67" i="31" s="1"/>
  <c r="CD59" i="29"/>
  <c r="CD63" i="31" s="1"/>
  <c r="CD168" i="29"/>
  <c r="CD63" i="29"/>
  <c r="CD67" i="31" s="1"/>
  <c r="IZ168" i="29"/>
  <c r="IZ109" i="29"/>
  <c r="IZ113" i="31" s="1"/>
  <c r="S168" i="29"/>
  <c r="S63" i="29"/>
  <c r="S67" i="31" s="1"/>
  <c r="EF168" i="29"/>
  <c r="EF63" i="29"/>
  <c r="EF67" i="31" s="1"/>
  <c r="IW109" i="29"/>
  <c r="IW113" i="31" s="1"/>
  <c r="IW168" i="29"/>
  <c r="CE168" i="29"/>
  <c r="CE63" i="29"/>
  <c r="CE67" i="31" s="1"/>
  <c r="BN59" i="29"/>
  <c r="BN63" i="31" s="1"/>
  <c r="BN168" i="29"/>
  <c r="BN63" i="29"/>
  <c r="BN67" i="31" s="1"/>
  <c r="HL168" i="29"/>
  <c r="HL109" i="29"/>
  <c r="HL113" i="31" s="1"/>
  <c r="JO30" i="29"/>
  <c r="J59" i="29"/>
  <c r="J63" i="31" s="1"/>
  <c r="J168" i="29"/>
  <c r="J63" i="29"/>
  <c r="J67" i="31" s="1"/>
  <c r="HY109" i="29"/>
  <c r="HY113" i="31" s="1"/>
  <c r="HY168" i="29"/>
  <c r="CH59" i="29"/>
  <c r="CH63" i="31" s="1"/>
  <c r="CH168" i="29"/>
  <c r="CH63" i="29"/>
  <c r="CH67" i="31" s="1"/>
  <c r="DQ59" i="29"/>
  <c r="DQ63" i="31" s="1"/>
  <c r="DQ168" i="29"/>
  <c r="DQ63" i="29"/>
  <c r="DQ67" i="31" s="1"/>
  <c r="EM59" i="29"/>
  <c r="EM63" i="31" s="1"/>
  <c r="EM168" i="29"/>
  <c r="EM63" i="29"/>
  <c r="EM67" i="31" s="1"/>
  <c r="EJ59" i="29"/>
  <c r="EJ63" i="31" s="1"/>
  <c r="EJ168" i="29"/>
  <c r="EJ63" i="29"/>
  <c r="EJ67" i="31" s="1"/>
  <c r="EB59" i="29"/>
  <c r="EB63" i="31" s="1"/>
  <c r="EB168" i="29"/>
  <c r="EB63" i="29"/>
  <c r="EB67" i="31" s="1"/>
  <c r="EH168" i="29"/>
  <c r="EH63" i="29"/>
  <c r="EH67" i="31" s="1"/>
  <c r="HO168" i="29"/>
  <c r="HO109" i="29"/>
  <c r="HO113" i="31" s="1"/>
  <c r="HO167" i="29"/>
  <c r="DX59" i="29"/>
  <c r="DX63" i="31" s="1"/>
  <c r="DX168" i="29"/>
  <c r="DX63" i="29"/>
  <c r="DX67" i="31" s="1"/>
  <c r="HQ109" i="29"/>
  <c r="HQ113" i="31" s="1"/>
  <c r="HQ168" i="29"/>
  <c r="EA59" i="29"/>
  <c r="EA63" i="31" s="1"/>
  <c r="EA168" i="29"/>
  <c r="EA63" i="29"/>
  <c r="EA67" i="31" s="1"/>
  <c r="CZ168" i="29"/>
  <c r="CZ63" i="29"/>
  <c r="CZ67" i="31" s="1"/>
  <c r="AM168" i="29"/>
  <c r="AM63" i="29"/>
  <c r="AM67" i="31" s="1"/>
  <c r="AT59" i="29"/>
  <c r="AT63" i="31" s="1"/>
  <c r="AT168" i="29"/>
  <c r="AT63" i="29"/>
  <c r="AT67" i="31" s="1"/>
  <c r="CO59" i="29"/>
  <c r="CO63" i="31" s="1"/>
  <c r="CO168" i="29"/>
  <c r="CO63" i="29"/>
  <c r="CO67" i="31" s="1"/>
  <c r="M59" i="29"/>
  <c r="M63" i="31" s="1"/>
  <c r="M168" i="29"/>
  <c r="M63" i="29"/>
  <c r="M67" i="31" s="1"/>
  <c r="ID168" i="29"/>
  <c r="ID109" i="29"/>
  <c r="ID113" i="31" s="1"/>
  <c r="CQ59" i="29"/>
  <c r="CQ63" i="31" s="1"/>
  <c r="CQ168" i="29"/>
  <c r="CQ63" i="29"/>
  <c r="CQ67" i="31" s="1"/>
  <c r="IL168" i="29"/>
  <c r="IL109" i="29"/>
  <c r="IL113" i="31" s="1"/>
  <c r="K59" i="29"/>
  <c r="K63" i="31" s="1"/>
  <c r="K168" i="29"/>
  <c r="K63" i="29"/>
  <c r="K67" i="31" s="1"/>
  <c r="C168" i="29"/>
  <c r="JL30" i="29"/>
  <c r="C63" i="29"/>
  <c r="C67" i="31" s="1"/>
  <c r="EC59" i="29"/>
  <c r="EC63" i="31" s="1"/>
  <c r="EC168" i="29"/>
  <c r="EC63" i="29"/>
  <c r="EC67" i="31" s="1"/>
  <c r="DI59" i="29"/>
  <c r="DI63" i="31" s="1"/>
  <c r="DI168" i="29"/>
  <c r="DI63" i="29"/>
  <c r="DI67" i="31" s="1"/>
  <c r="AX168" i="29"/>
  <c r="AX63" i="29"/>
  <c r="AX67" i="31" s="1"/>
  <c r="BF168" i="29"/>
  <c r="BF63" i="29"/>
  <c r="BF67" i="31" s="1"/>
  <c r="GF132" i="29"/>
  <c r="GF107" i="29"/>
  <c r="GF111" i="31" s="1"/>
  <c r="GF99" i="29"/>
  <c r="GF103" i="31" s="1"/>
  <c r="IO107" i="29"/>
  <c r="IO111" i="31" s="1"/>
  <c r="IO132" i="29"/>
  <c r="IO99" i="29"/>
  <c r="IO103" i="31" s="1"/>
  <c r="DG59" i="29"/>
  <c r="DG63" i="31" s="1"/>
  <c r="DG132" i="29"/>
  <c r="DG107" i="29"/>
  <c r="DG111" i="31" s="1"/>
  <c r="V59" i="29"/>
  <c r="V63" i="31" s="1"/>
  <c r="V107" i="29"/>
  <c r="V111" i="31" s="1"/>
  <c r="V132" i="29"/>
  <c r="V99" i="29"/>
  <c r="V103" i="31" s="1"/>
  <c r="U132" i="29"/>
  <c r="U107" i="29"/>
  <c r="U111" i="31" s="1"/>
  <c r="U99" i="29"/>
  <c r="U103" i="31" s="1"/>
  <c r="DR59" i="29"/>
  <c r="DR63" i="31" s="1"/>
  <c r="DR107" i="29"/>
  <c r="DR111" i="31" s="1"/>
  <c r="DR132" i="29"/>
  <c r="IF132" i="29"/>
  <c r="IF107" i="29"/>
  <c r="IF111" i="31" s="1"/>
  <c r="IF99" i="29"/>
  <c r="IF103" i="31" s="1"/>
  <c r="ES59" i="29"/>
  <c r="ES63" i="31" s="1"/>
  <c r="ES132" i="29"/>
  <c r="ES107" i="29"/>
  <c r="ES111" i="31" s="1"/>
  <c r="ES99" i="29"/>
  <c r="ES103" i="31" s="1"/>
  <c r="AS132" i="29"/>
  <c r="AS107" i="29"/>
  <c r="AS111" i="31" s="1"/>
  <c r="AS99" i="29"/>
  <c r="AS103" i="31" s="1"/>
  <c r="FO132" i="29"/>
  <c r="FO107" i="29"/>
  <c r="FO111" i="31" s="1"/>
  <c r="FO99" i="29"/>
  <c r="FO103" i="31" s="1"/>
  <c r="JD132" i="29"/>
  <c r="JD107" i="29"/>
  <c r="JD111" i="31" s="1"/>
  <c r="JD99" i="29"/>
  <c r="JD103" i="31" s="1"/>
  <c r="EL59" i="29"/>
  <c r="EL63" i="31" s="1"/>
  <c r="EL132" i="29"/>
  <c r="EL107" i="29"/>
  <c r="EL111" i="31" s="1"/>
  <c r="EL99" i="29"/>
  <c r="EL103" i="31" s="1"/>
  <c r="JM89" i="29"/>
  <c r="Y59" i="29"/>
  <c r="Y63" i="31" s="1"/>
  <c r="Y107" i="29"/>
  <c r="Y111" i="31" s="1"/>
  <c r="Y132" i="29"/>
  <c r="Y99" i="29"/>
  <c r="Y103" i="31" s="1"/>
  <c r="GJ132" i="29"/>
  <c r="GJ107" i="29"/>
  <c r="GJ111" i="31" s="1"/>
  <c r="GJ99" i="29"/>
  <c r="GJ103" i="31" s="1"/>
  <c r="DA107" i="29"/>
  <c r="DA111" i="31" s="1"/>
  <c r="DA132" i="29"/>
  <c r="DA99" i="29"/>
  <c r="DA103" i="31" s="1"/>
  <c r="CT107" i="29"/>
  <c r="CT111" i="31" s="1"/>
  <c r="CT132" i="29"/>
  <c r="CT169" i="29"/>
  <c r="CT110" i="29" s="1"/>
  <c r="CT99" i="29"/>
  <c r="CT103" i="31" s="1"/>
  <c r="CT181" i="29"/>
  <c r="D132" i="29"/>
  <c r="D107" i="29"/>
  <c r="D111" i="31" s="1"/>
  <c r="D99" i="29"/>
  <c r="D103" i="31" s="1"/>
  <c r="AA132" i="29"/>
  <c r="AA107" i="29"/>
  <c r="AA111" i="31" s="1"/>
  <c r="AA99" i="29"/>
  <c r="AA103" i="31" s="1"/>
  <c r="AP59" i="29"/>
  <c r="AP63" i="31" s="1"/>
  <c r="AP132" i="29"/>
  <c r="AP107" i="29"/>
  <c r="AP111" i="31" s="1"/>
  <c r="HE132" i="29"/>
  <c r="HE107" i="29"/>
  <c r="HE111" i="31" s="1"/>
  <c r="HE99" i="29"/>
  <c r="HE103" i="31" s="1"/>
  <c r="FI132" i="29"/>
  <c r="FI107" i="29"/>
  <c r="FI111" i="31" s="1"/>
  <c r="FI99" i="29"/>
  <c r="FI103" i="31" s="1"/>
  <c r="GS107" i="29"/>
  <c r="GS111" i="31" s="1"/>
  <c r="GS132" i="29"/>
  <c r="GS99" i="29"/>
  <c r="GS103" i="31" s="1"/>
  <c r="HM132" i="29"/>
  <c r="HM107" i="29"/>
  <c r="HM111" i="31" s="1"/>
  <c r="HM99" i="29"/>
  <c r="HM103" i="31" s="1"/>
  <c r="DP132" i="29"/>
  <c r="DP107" i="29"/>
  <c r="DP111" i="31" s="1"/>
  <c r="DP99" i="29"/>
  <c r="DP103" i="31" s="1"/>
  <c r="BC132" i="29"/>
  <c r="BC107" i="29"/>
  <c r="BC111" i="31" s="1"/>
  <c r="BC99" i="29"/>
  <c r="BC103" i="31" s="1"/>
  <c r="IH132" i="29"/>
  <c r="IH107" i="29"/>
  <c r="IH111" i="31" s="1"/>
  <c r="IH99" i="29"/>
  <c r="IH103" i="31" s="1"/>
  <c r="BD59" i="29"/>
  <c r="BD63" i="31" s="1"/>
  <c r="BD132" i="29"/>
  <c r="BD107" i="29"/>
  <c r="BD111" i="31" s="1"/>
  <c r="BD99" i="29"/>
  <c r="BD103" i="31" s="1"/>
  <c r="DF132" i="29"/>
  <c r="DF107" i="29"/>
  <c r="DF111" i="31" s="1"/>
  <c r="DF99" i="29"/>
  <c r="DF103" i="31" s="1"/>
  <c r="DT132" i="29"/>
  <c r="DT107" i="29"/>
  <c r="DT111" i="31" s="1"/>
  <c r="AI132" i="29"/>
  <c r="AI107" i="29"/>
  <c r="AI111" i="31" s="1"/>
  <c r="CJ132" i="29"/>
  <c r="CJ107" i="29"/>
  <c r="CJ111" i="31" s="1"/>
  <c r="CJ99" i="29"/>
  <c r="CJ103" i="31" s="1"/>
  <c r="AF59" i="29"/>
  <c r="AF63" i="31" s="1"/>
  <c r="AF132" i="29"/>
  <c r="AF107" i="29"/>
  <c r="AF111" i="31" s="1"/>
  <c r="FW132" i="29"/>
  <c r="FW107" i="29"/>
  <c r="FW111" i="31" s="1"/>
  <c r="FW99" i="29"/>
  <c r="FW103" i="31" s="1"/>
  <c r="AW107" i="29"/>
  <c r="AW111" i="31" s="1"/>
  <c r="AW132" i="29"/>
  <c r="AW169" i="29"/>
  <c r="AW110" i="29" s="1"/>
  <c r="AW99" i="29"/>
  <c r="AW103" i="31" s="1"/>
  <c r="AW181" i="29"/>
  <c r="IS132" i="29"/>
  <c r="IS107" i="29"/>
  <c r="IS111" i="31" s="1"/>
  <c r="IS99" i="29"/>
  <c r="IS103" i="31" s="1"/>
  <c r="CX59" i="29"/>
  <c r="CX63" i="31" s="1"/>
  <c r="CX132" i="29"/>
  <c r="CX107" i="29"/>
  <c r="CX111" i="31" s="1"/>
  <c r="CX99" i="29"/>
  <c r="CX103" i="31" s="1"/>
  <c r="IK132" i="29"/>
  <c r="IK107" i="29"/>
  <c r="IK111" i="31" s="1"/>
  <c r="IK99" i="29"/>
  <c r="IK103" i="31" s="1"/>
  <c r="H107" i="29"/>
  <c r="H111" i="31" s="1"/>
  <c r="H132" i="29"/>
  <c r="H169" i="29"/>
  <c r="H110" i="29" s="1"/>
  <c r="H181" i="29"/>
  <c r="H99" i="29"/>
  <c r="H103" i="31" s="1"/>
  <c r="DW132" i="29"/>
  <c r="DW107" i="29"/>
  <c r="DW111" i="31" s="1"/>
  <c r="CW132" i="29"/>
  <c r="CW107" i="29"/>
  <c r="CW111" i="31" s="1"/>
  <c r="CW99" i="29"/>
  <c r="CW103" i="31" s="1"/>
  <c r="GT132" i="29"/>
  <c r="GT107" i="29"/>
  <c r="GT111" i="31" s="1"/>
  <c r="GT99" i="29"/>
  <c r="GT103" i="31" s="1"/>
  <c r="IU132" i="29"/>
  <c r="IU107" i="29"/>
  <c r="IU111" i="31" s="1"/>
  <c r="IU99" i="29"/>
  <c r="IU103" i="31" s="1"/>
  <c r="DE132" i="29"/>
  <c r="DE107" i="29"/>
  <c r="DE111" i="31" s="1"/>
  <c r="DE99" i="29"/>
  <c r="DE103" i="31" s="1"/>
  <c r="ET132" i="29"/>
  <c r="ET107" i="29"/>
  <c r="ET111" i="31" s="1"/>
  <c r="JN13" i="29"/>
  <c r="ET99" i="29"/>
  <c r="GK107" i="29"/>
  <c r="GK111" i="31" s="1"/>
  <c r="GK132" i="29"/>
  <c r="GK99" i="29"/>
  <c r="GK103" i="31" s="1"/>
  <c r="GX107" i="29"/>
  <c r="GX111" i="31" s="1"/>
  <c r="GX132" i="29"/>
  <c r="GX99" i="29"/>
  <c r="GX103" i="31" s="1"/>
  <c r="P107" i="29"/>
  <c r="P111" i="31" s="1"/>
  <c r="P132" i="29"/>
  <c r="P99" i="29"/>
  <c r="P103" i="31" s="1"/>
  <c r="CP107" i="29"/>
  <c r="CP111" i="31" s="1"/>
  <c r="CP132" i="29"/>
  <c r="CP99" i="29"/>
  <c r="CP103" i="31" s="1"/>
  <c r="HV132" i="29"/>
  <c r="HV107" i="29"/>
  <c r="HV111" i="31" s="1"/>
  <c r="HV99" i="29"/>
  <c r="HV103" i="31" s="1"/>
  <c r="O59" i="29"/>
  <c r="O63" i="31" s="1"/>
  <c r="O132" i="29"/>
  <c r="O107" i="29"/>
  <c r="O111" i="31" s="1"/>
  <c r="O99" i="29"/>
  <c r="O103" i="31" s="1"/>
  <c r="DJ132" i="29"/>
  <c r="DJ107" i="29"/>
  <c r="DJ111" i="31" s="1"/>
  <c r="DJ169" i="29"/>
  <c r="DJ110" i="29" s="1"/>
  <c r="DJ99" i="29"/>
  <c r="DJ103" i="31" s="1"/>
  <c r="DJ181" i="29"/>
  <c r="AD59" i="29"/>
  <c r="AD63" i="31" s="1"/>
  <c r="AD107" i="29"/>
  <c r="AD111" i="31" s="1"/>
  <c r="AD132" i="29"/>
  <c r="AD99" i="29"/>
  <c r="AD103" i="31" s="1"/>
  <c r="JE107" i="29"/>
  <c r="JE111" i="31" s="1"/>
  <c r="JE132" i="29"/>
  <c r="JE99" i="29"/>
  <c r="JE103" i="31" s="1"/>
  <c r="FJ132" i="29"/>
  <c r="FJ107" i="29"/>
  <c r="FJ111" i="31" s="1"/>
  <c r="FJ99" i="29"/>
  <c r="FJ103" i="31" s="1"/>
  <c r="EZ132" i="29"/>
  <c r="EZ107" i="29"/>
  <c r="EZ111" i="31" s="1"/>
  <c r="EZ99" i="29"/>
  <c r="EZ103" i="31" s="1"/>
  <c r="CR132" i="29"/>
  <c r="CR107" i="29"/>
  <c r="CR111" i="31" s="1"/>
  <c r="CR99" i="29"/>
  <c r="CR103" i="31" s="1"/>
  <c r="DS132" i="29"/>
  <c r="DS107" i="29"/>
  <c r="DS111" i="31" s="1"/>
  <c r="BZ132" i="29"/>
  <c r="BZ107" i="29"/>
  <c r="BZ111" i="31" s="1"/>
  <c r="BZ99" i="29"/>
  <c r="BZ103" i="31" s="1"/>
  <c r="BE59" i="29"/>
  <c r="BE63" i="31" s="1"/>
  <c r="BE107" i="29"/>
  <c r="BE111" i="31" s="1"/>
  <c r="BE132" i="29"/>
  <c r="BE169" i="29"/>
  <c r="BE181" i="29"/>
  <c r="BE99" i="29"/>
  <c r="BE103" i="31" s="1"/>
  <c r="CD132" i="29"/>
  <c r="CD107" i="29"/>
  <c r="CD111" i="31" s="1"/>
  <c r="CD99" i="29"/>
  <c r="CD103" i="31" s="1"/>
  <c r="DV59" i="29"/>
  <c r="DV63" i="31" s="1"/>
  <c r="DV132" i="29"/>
  <c r="DV107" i="29"/>
  <c r="DV111" i="31" s="1"/>
  <c r="DV99" i="29"/>
  <c r="DV103" i="31" s="1"/>
  <c r="BG132" i="29"/>
  <c r="BG107" i="29"/>
  <c r="BG111" i="31" s="1"/>
  <c r="BG99" i="29"/>
  <c r="BG103" i="31" s="1"/>
  <c r="S59" i="29"/>
  <c r="S63" i="31" s="1"/>
  <c r="S132" i="29"/>
  <c r="S107" i="29"/>
  <c r="S111" i="31" s="1"/>
  <c r="S99" i="29"/>
  <c r="S103" i="31" s="1"/>
  <c r="FQ132" i="29"/>
  <c r="FQ107" i="29"/>
  <c r="FQ111" i="31" s="1"/>
  <c r="FQ99" i="29"/>
  <c r="FQ103" i="31" s="1"/>
  <c r="HT132" i="29"/>
  <c r="HT107" i="29"/>
  <c r="HT111" i="31" s="1"/>
  <c r="HT99" i="29"/>
  <c r="HT103" i="31" s="1"/>
  <c r="IW107" i="29"/>
  <c r="IW111" i="31" s="1"/>
  <c r="IW132" i="29"/>
  <c r="IW99" i="29"/>
  <c r="IW103" i="31" s="1"/>
  <c r="EP59" i="29"/>
  <c r="EP63" i="31" s="1"/>
  <c r="EP107" i="29"/>
  <c r="EP111" i="31" s="1"/>
  <c r="EP132" i="29"/>
  <c r="EP99" i="29"/>
  <c r="EP103" i="31" s="1"/>
  <c r="EN132" i="29"/>
  <c r="EN107" i="29"/>
  <c r="EN111" i="31" s="1"/>
  <c r="EU132" i="29"/>
  <c r="EU107" i="29"/>
  <c r="EU111" i="31" s="1"/>
  <c r="EU99" i="29"/>
  <c r="HF132" i="29"/>
  <c r="HF107" i="29"/>
  <c r="HF111" i="31" s="1"/>
  <c r="HF99" i="29"/>
  <c r="HF103" i="31" s="1"/>
  <c r="HB107" i="29"/>
  <c r="HB111" i="31" s="1"/>
  <c r="HB132" i="29"/>
  <c r="HB99" i="29"/>
  <c r="HB103" i="31" s="1"/>
  <c r="BN132" i="29"/>
  <c r="BN107" i="29"/>
  <c r="BN111" i="31" s="1"/>
  <c r="BN99" i="29"/>
  <c r="BN103" i="31" s="1"/>
  <c r="N132" i="29"/>
  <c r="N107" i="29"/>
  <c r="N111" i="31" s="1"/>
  <c r="N99" i="29"/>
  <c r="N103" i="31" s="1"/>
  <c r="JO89" i="29"/>
  <c r="EY107" i="29"/>
  <c r="EY111" i="31" s="1"/>
  <c r="EY132" i="29"/>
  <c r="EY99" i="29"/>
  <c r="EY103" i="31" s="1"/>
  <c r="J132" i="29"/>
  <c r="J107" i="29"/>
  <c r="J111" i="31" s="1"/>
  <c r="GI132" i="29"/>
  <c r="GI107" i="29"/>
  <c r="GI111" i="31" s="1"/>
  <c r="GI99" i="29"/>
  <c r="GI103" i="31" s="1"/>
  <c r="HP132" i="29"/>
  <c r="HP107" i="29"/>
  <c r="HP111" i="31" s="1"/>
  <c r="HP99" i="29"/>
  <c r="HP103" i="31" s="1"/>
  <c r="CH132" i="29"/>
  <c r="CH107" i="29"/>
  <c r="CH111" i="31" s="1"/>
  <c r="CH169" i="29"/>
  <c r="CH110" i="29" s="1"/>
  <c r="CH99" i="29"/>
  <c r="CH103" i="31" s="1"/>
  <c r="CH181" i="29"/>
  <c r="GL132" i="29"/>
  <c r="GL107" i="29"/>
  <c r="GL111" i="31" s="1"/>
  <c r="GL99" i="29"/>
  <c r="GL103" i="31" s="1"/>
  <c r="FU107" i="29"/>
  <c r="FU111" i="31" s="1"/>
  <c r="FU132" i="29"/>
  <c r="FU99" i="29"/>
  <c r="FU103" i="31" s="1"/>
  <c r="EM107" i="29"/>
  <c r="EM111" i="31" s="1"/>
  <c r="EM132" i="29"/>
  <c r="EM99" i="29"/>
  <c r="EM103" i="31" s="1"/>
  <c r="HA107" i="29"/>
  <c r="HA111" i="31" s="1"/>
  <c r="HA132" i="29"/>
  <c r="HA99" i="29"/>
  <c r="HA103" i="31" s="1"/>
  <c r="EV132" i="29"/>
  <c r="EV107" i="29"/>
  <c r="EV111" i="31" s="1"/>
  <c r="EV99" i="29"/>
  <c r="EV103" i="31" s="1"/>
  <c r="EJ132" i="29"/>
  <c r="EJ107" i="29"/>
  <c r="EJ111" i="31" s="1"/>
  <c r="R59" i="29"/>
  <c r="R63" i="31" s="1"/>
  <c r="R107" i="29"/>
  <c r="R111" i="31" s="1"/>
  <c r="R132" i="29"/>
  <c r="R99" i="29"/>
  <c r="R103" i="31" s="1"/>
  <c r="GG132" i="29"/>
  <c r="GG107" i="29"/>
  <c r="GG111" i="31" s="1"/>
  <c r="GG99" i="29"/>
  <c r="GG103" i="31" s="1"/>
  <c r="GE107" i="29"/>
  <c r="GE111" i="31" s="1"/>
  <c r="GE132" i="29"/>
  <c r="GE169" i="29"/>
  <c r="GE99" i="29"/>
  <c r="GE103" i="31" s="1"/>
  <c r="DZ132" i="29"/>
  <c r="DZ107" i="29"/>
  <c r="DZ111" i="31" s="1"/>
  <c r="HX132" i="29"/>
  <c r="HX107" i="29"/>
  <c r="HX111" i="31" s="1"/>
  <c r="HX99" i="29"/>
  <c r="HX103" i="31" s="1"/>
  <c r="EH59" i="29"/>
  <c r="EH63" i="31" s="1"/>
  <c r="EH107" i="29"/>
  <c r="EH111" i="31" s="1"/>
  <c r="EH132" i="29"/>
  <c r="EH99" i="29"/>
  <c r="EH103" i="31" s="1"/>
  <c r="G59" i="29"/>
  <c r="G63" i="31" s="1"/>
  <c r="G132" i="29"/>
  <c r="G107" i="29"/>
  <c r="G111" i="31" s="1"/>
  <c r="G99" i="29"/>
  <c r="G103" i="31" s="1"/>
  <c r="GO132" i="29"/>
  <c r="GO107" i="29"/>
  <c r="GO111" i="31" s="1"/>
  <c r="GO99" i="29"/>
  <c r="GO103" i="31" s="1"/>
  <c r="DX132" i="29"/>
  <c r="DX107" i="29"/>
  <c r="DX111" i="31" s="1"/>
  <c r="DX169" i="29"/>
  <c r="DX110" i="29" s="1"/>
  <c r="DX99" i="29"/>
  <c r="DX103" i="31" s="1"/>
  <c r="DX181" i="29"/>
  <c r="HR107" i="29"/>
  <c r="HR111" i="31" s="1"/>
  <c r="HR132" i="29"/>
  <c r="HR99" i="29"/>
  <c r="HR103" i="31" s="1"/>
  <c r="GA132" i="29"/>
  <c r="GA107" i="29"/>
  <c r="GA111" i="31" s="1"/>
  <c r="GA99" i="29"/>
  <c r="GA103" i="31" s="1"/>
  <c r="EA132" i="29"/>
  <c r="EA107" i="29"/>
  <c r="EA111" i="31" s="1"/>
  <c r="EA99" i="29"/>
  <c r="EA103" i="31" s="1"/>
  <c r="CY132" i="29"/>
  <c r="CY107" i="29"/>
  <c r="CY111" i="31" s="1"/>
  <c r="CY99" i="29"/>
  <c r="CY103" i="31" s="1"/>
  <c r="BM59" i="29"/>
  <c r="BM63" i="31" s="1"/>
  <c r="BM107" i="29"/>
  <c r="BM111" i="31" s="1"/>
  <c r="BM132" i="29"/>
  <c r="GW132" i="29"/>
  <c r="GW107" i="29"/>
  <c r="GW111" i="31" s="1"/>
  <c r="GW99" i="29"/>
  <c r="GW103" i="31" s="1"/>
  <c r="HW132" i="29"/>
  <c r="HW107" i="29"/>
  <c r="HW111" i="31" s="1"/>
  <c r="HW99" i="29"/>
  <c r="HW103" i="31" s="1"/>
  <c r="CL59" i="29"/>
  <c r="CL63" i="31" s="1"/>
  <c r="CL132" i="29"/>
  <c r="CL107" i="29"/>
  <c r="CL111" i="31" s="1"/>
  <c r="CL169" i="29"/>
  <c r="CL110" i="29" s="1"/>
  <c r="CL99" i="29"/>
  <c r="CL103" i="31" s="1"/>
  <c r="CL181" i="29"/>
  <c r="CZ59" i="29"/>
  <c r="CZ63" i="31" s="1"/>
  <c r="CZ132" i="29"/>
  <c r="CZ107" i="29"/>
  <c r="CZ111" i="31" s="1"/>
  <c r="CZ99" i="29"/>
  <c r="CZ103" i="31" s="1"/>
  <c r="IB132" i="29"/>
  <c r="IB107" i="29"/>
  <c r="IB111" i="31" s="1"/>
  <c r="IB99" i="29"/>
  <c r="IB103" i="31" s="1"/>
  <c r="BJ132" i="29"/>
  <c r="BJ107" i="29"/>
  <c r="BJ111" i="31" s="1"/>
  <c r="BJ99" i="29"/>
  <c r="BJ103" i="31" s="1"/>
  <c r="GH132" i="29"/>
  <c r="GH107" i="29"/>
  <c r="GH111" i="31" s="1"/>
  <c r="GH99" i="29"/>
  <c r="GH103" i="31" s="1"/>
  <c r="EK132" i="29"/>
  <c r="EK107" i="29"/>
  <c r="EK111" i="31" s="1"/>
  <c r="EK99" i="29"/>
  <c r="EK103" i="31" s="1"/>
  <c r="BK107" i="29"/>
  <c r="BK111" i="31" s="1"/>
  <c r="BK132" i="29"/>
  <c r="BK99" i="29"/>
  <c r="BK103" i="31" s="1"/>
  <c r="CO132" i="29"/>
  <c r="CO107" i="29"/>
  <c r="CO111" i="31" s="1"/>
  <c r="CO99" i="29"/>
  <c r="CO103" i="31" s="1"/>
  <c r="DN59" i="29"/>
  <c r="DN63" i="31" s="1"/>
  <c r="DN107" i="29"/>
  <c r="DN111" i="31" s="1"/>
  <c r="DN132" i="29"/>
  <c r="DN99" i="29"/>
  <c r="DN103" i="31" s="1"/>
  <c r="EE59" i="29"/>
  <c r="EE63" i="31" s="1"/>
  <c r="EE132" i="29"/>
  <c r="EE107" i="29"/>
  <c r="EE111" i="31" s="1"/>
  <c r="EE99" i="29"/>
  <c r="EE103" i="31" s="1"/>
  <c r="M132" i="29"/>
  <c r="M107" i="29"/>
  <c r="M111" i="31" s="1"/>
  <c r="M99" i="29"/>
  <c r="M103" i="31" s="1"/>
  <c r="FL132" i="29"/>
  <c r="FL107" i="29"/>
  <c r="FL111" i="31" s="1"/>
  <c r="FL99" i="29"/>
  <c r="FL103" i="31" s="1"/>
  <c r="CK59" i="29"/>
  <c r="CK63" i="31" s="1"/>
  <c r="CK107" i="29"/>
  <c r="CK111" i="31" s="1"/>
  <c r="CK132" i="29"/>
  <c r="CK99" i="29"/>
  <c r="CK103" i="31" s="1"/>
  <c r="CQ132" i="29"/>
  <c r="CQ107" i="29"/>
  <c r="CQ111" i="31" s="1"/>
  <c r="CQ99" i="29"/>
  <c r="CQ103" i="31" s="1"/>
  <c r="IM132" i="29"/>
  <c r="IM107" i="29"/>
  <c r="IM111" i="31" s="1"/>
  <c r="IM99" i="29"/>
  <c r="IM103" i="31" s="1"/>
  <c r="CF132" i="29"/>
  <c r="CF107" i="29"/>
  <c r="CF111" i="31" s="1"/>
  <c r="CF99" i="29"/>
  <c r="CF103" i="31" s="1"/>
  <c r="GB132" i="29"/>
  <c r="GB107" i="29"/>
  <c r="GB111" i="31" s="1"/>
  <c r="GB99" i="29"/>
  <c r="GB103" i="31" s="1"/>
  <c r="EI107" i="29"/>
  <c r="EI111" i="31" s="1"/>
  <c r="EI132" i="29"/>
  <c r="EI99" i="29"/>
  <c r="EI103" i="31" s="1"/>
  <c r="CN132" i="29"/>
  <c r="CN107" i="29"/>
  <c r="CN111" i="31" s="1"/>
  <c r="CN99" i="29"/>
  <c r="CN103" i="31" s="1"/>
  <c r="FE107" i="29"/>
  <c r="FE111" i="31" s="1"/>
  <c r="FE132" i="29"/>
  <c r="FE99" i="29"/>
  <c r="FE103" i="31" s="1"/>
  <c r="FX132" i="29"/>
  <c r="FX107" i="29"/>
  <c r="FX111" i="31" s="1"/>
  <c r="FX99" i="29"/>
  <c r="FX103" i="31" s="1"/>
  <c r="JL89" i="29"/>
  <c r="FA132" i="29"/>
  <c r="FA107" i="29"/>
  <c r="FA111" i="31" s="1"/>
  <c r="FA99" i="29"/>
  <c r="FA103" i="31" s="1"/>
  <c r="EC132" i="29"/>
  <c r="EC107" i="29"/>
  <c r="EC111" i="31" s="1"/>
  <c r="EC99" i="29"/>
  <c r="EC103" i="31" s="1"/>
  <c r="AH132" i="29"/>
  <c r="AH107" i="29"/>
  <c r="AH111" i="31" s="1"/>
  <c r="AH99" i="29"/>
  <c r="AH103" i="31" s="1"/>
  <c r="JF132" i="29"/>
  <c r="JF107" i="29"/>
  <c r="JF111" i="31" s="1"/>
  <c r="JF99" i="29"/>
  <c r="JF103" i="31" s="1"/>
  <c r="GQ132" i="29"/>
  <c r="GQ107" i="29"/>
  <c r="GQ111" i="31" s="1"/>
  <c r="GQ99" i="29"/>
  <c r="GQ103" i="31" s="1"/>
  <c r="HU132" i="29"/>
  <c r="HU107" i="29"/>
  <c r="HU111" i="31" s="1"/>
  <c r="HU99" i="29"/>
  <c r="HU103" i="31" s="1"/>
  <c r="DH59" i="29"/>
  <c r="DH63" i="31" s="1"/>
  <c r="DH132" i="29"/>
  <c r="DH107" i="29"/>
  <c r="DH111" i="31" s="1"/>
  <c r="DH99" i="29"/>
  <c r="DH103" i="31" s="1"/>
  <c r="GN132" i="29"/>
  <c r="GN107" i="29"/>
  <c r="GN111" i="31" s="1"/>
  <c r="GN99" i="29"/>
  <c r="GN103" i="31" s="1"/>
  <c r="FN132" i="29"/>
  <c r="FN107" i="29"/>
  <c r="FN111" i="31" s="1"/>
  <c r="FN99" i="29"/>
  <c r="FN103" i="31" s="1"/>
  <c r="FT132" i="29"/>
  <c r="FT107" i="29"/>
  <c r="FT111" i="31" s="1"/>
  <c r="FT99" i="29"/>
  <c r="FT103" i="31" s="1"/>
  <c r="AG107" i="29"/>
  <c r="AG111" i="31" s="1"/>
  <c r="AG132" i="29"/>
  <c r="AG99" i="29"/>
  <c r="AG103" i="31" s="1"/>
  <c r="JO12" i="29"/>
  <c r="UN265" i="1"/>
  <c r="DU98" i="29"/>
  <c r="DU102" i="31" s="1"/>
  <c r="DU44" i="29"/>
  <c r="DU9" i="29"/>
  <c r="EP98" i="29"/>
  <c r="EP102" i="31" s="1"/>
  <c r="EP9" i="29"/>
  <c r="EP44" i="29"/>
  <c r="F150" i="29"/>
  <c r="JM115" i="29"/>
  <c r="JP101" i="29"/>
  <c r="JB168" i="29"/>
  <c r="JB109" i="29"/>
  <c r="JB113" i="31" s="1"/>
  <c r="V168" i="29"/>
  <c r="V63" i="29"/>
  <c r="V67" i="31" s="1"/>
  <c r="IF168" i="29"/>
  <c r="IF109" i="29"/>
  <c r="IF113" i="31" s="1"/>
  <c r="CM59" i="29"/>
  <c r="CM63" i="31" s="1"/>
  <c r="CM168" i="29"/>
  <c r="CM63" i="29"/>
  <c r="CM67" i="31" s="1"/>
  <c r="BI59" i="29"/>
  <c r="BI63" i="31" s="1"/>
  <c r="BI168" i="29"/>
  <c r="BI63" i="29"/>
  <c r="BI67" i="31" s="1"/>
  <c r="Y168" i="29"/>
  <c r="Y63" i="29"/>
  <c r="Y67" i="31" s="1"/>
  <c r="CT59" i="29"/>
  <c r="CT63" i="31" s="1"/>
  <c r="CT168" i="29"/>
  <c r="CT63" i="29"/>
  <c r="CT67" i="31" s="1"/>
  <c r="ED59" i="29"/>
  <c r="ED63" i="31" s="1"/>
  <c r="ED168" i="29"/>
  <c r="ED63" i="29"/>
  <c r="ED67" i="31" s="1"/>
  <c r="AP168" i="29"/>
  <c r="AP63" i="29"/>
  <c r="AP67" i="31" s="1"/>
  <c r="BS59" i="29"/>
  <c r="BS63" i="31" s="1"/>
  <c r="BS168" i="29"/>
  <c r="BS63" i="29"/>
  <c r="BS67" i="31" s="1"/>
  <c r="JH168" i="29"/>
  <c r="JH109" i="29"/>
  <c r="JH113" i="31" s="1"/>
  <c r="DC168" i="29"/>
  <c r="DC63" i="29"/>
  <c r="DC67" i="31" s="1"/>
  <c r="BD168" i="29"/>
  <c r="BD63" i="29"/>
  <c r="BD67" i="31" s="1"/>
  <c r="AU59" i="29"/>
  <c r="AU63" i="31" s="1"/>
  <c r="AU168" i="29"/>
  <c r="AU63" i="29"/>
  <c r="AU67" i="31" s="1"/>
  <c r="AI59" i="29"/>
  <c r="AI63" i="31" s="1"/>
  <c r="AI168" i="29"/>
  <c r="AI63" i="29"/>
  <c r="AI67" i="31" s="1"/>
  <c r="DK168" i="29"/>
  <c r="DK63" i="29"/>
  <c r="DK67" i="31" s="1"/>
  <c r="AQ168" i="29"/>
  <c r="AQ63" i="29"/>
  <c r="AQ67" i="31" s="1"/>
  <c r="CX168" i="29"/>
  <c r="CX63" i="29"/>
  <c r="CX67" i="31" s="1"/>
  <c r="BQ168" i="29"/>
  <c r="BQ63" i="29"/>
  <c r="BQ67" i="31" s="1"/>
  <c r="DW59" i="29"/>
  <c r="DW63" i="31" s="1"/>
  <c r="DW168" i="29"/>
  <c r="DW63" i="29"/>
  <c r="DW67" i="31" s="1"/>
  <c r="EQ59" i="29"/>
  <c r="EQ63" i="31" s="1"/>
  <c r="EQ168" i="29"/>
  <c r="EQ63" i="29"/>
  <c r="EQ67" i="31" s="1"/>
  <c r="IU168" i="29"/>
  <c r="IU109" i="29"/>
  <c r="IU113" i="31" s="1"/>
  <c r="IY168" i="29"/>
  <c r="IY109" i="29"/>
  <c r="IY113" i="31" s="1"/>
  <c r="BP168" i="29"/>
  <c r="BP63" i="29"/>
  <c r="BP67" i="31" s="1"/>
  <c r="CP59" i="29"/>
  <c r="CP63" i="31" s="1"/>
  <c r="CP168" i="29"/>
  <c r="CP63" i="29"/>
  <c r="CP67" i="31" s="1"/>
  <c r="IN168" i="29"/>
  <c r="IN109" i="29"/>
  <c r="IN113" i="31" s="1"/>
  <c r="DJ59" i="29"/>
  <c r="DJ63" i="31" s="1"/>
  <c r="DJ168" i="29"/>
  <c r="DJ63" i="29"/>
  <c r="DJ67" i="31" s="1"/>
  <c r="JE109" i="29"/>
  <c r="JE113" i="31" s="1"/>
  <c r="JE168" i="29"/>
  <c r="T59" i="29"/>
  <c r="T63" i="31" s="1"/>
  <c r="T168" i="29"/>
  <c r="T63" i="29"/>
  <c r="T67" i="31" s="1"/>
  <c r="CR59" i="29"/>
  <c r="CR63" i="31" s="1"/>
  <c r="CR168" i="29"/>
  <c r="CR63" i="29"/>
  <c r="CR67" i="31" s="1"/>
  <c r="DM59" i="29"/>
  <c r="DM63" i="31" s="1"/>
  <c r="DM168" i="29"/>
  <c r="DM63" i="29"/>
  <c r="DM67" i="31" s="1"/>
  <c r="BE168" i="29"/>
  <c r="BE63" i="29"/>
  <c r="BE67" i="31" s="1"/>
  <c r="CV59" i="29"/>
  <c r="CV63" i="31" s="1"/>
  <c r="CV168" i="29"/>
  <c r="CV63" i="29"/>
  <c r="CV67" i="31" s="1"/>
  <c r="BG59" i="29"/>
  <c r="BG63" i="31" s="1"/>
  <c r="BG168" i="29"/>
  <c r="BG63" i="29"/>
  <c r="BG67" i="31" s="1"/>
  <c r="GZ168" i="29"/>
  <c r="GZ167" i="29"/>
  <c r="HT168" i="29"/>
  <c r="HT109" i="29"/>
  <c r="HT113" i="31" s="1"/>
  <c r="EN59" i="29"/>
  <c r="EN63" i="31" s="1"/>
  <c r="EN168" i="29"/>
  <c r="EN63" i="29"/>
  <c r="EN67" i="31" s="1"/>
  <c r="II168" i="29"/>
  <c r="II109" i="29"/>
  <c r="II113" i="31" s="1"/>
  <c r="HZ168" i="29"/>
  <c r="HZ109" i="29"/>
  <c r="HZ113" i="31" s="1"/>
  <c r="HP168" i="29"/>
  <c r="HP109" i="29"/>
  <c r="HP113" i="31" s="1"/>
  <c r="DO59" i="29"/>
  <c r="DO63" i="31" s="1"/>
  <c r="DO168" i="29"/>
  <c r="DO63" i="29"/>
  <c r="DO67" i="31" s="1"/>
  <c r="BL59" i="29"/>
  <c r="BL63" i="31" s="1"/>
  <c r="BL168" i="29"/>
  <c r="BL63" i="29"/>
  <c r="BL67" i="31" s="1"/>
  <c r="IA168" i="29"/>
  <c r="IA109" i="29"/>
  <c r="IA113" i="31" s="1"/>
  <c r="HX168" i="29"/>
  <c r="HX109" i="29"/>
  <c r="HX113" i="31" s="1"/>
  <c r="IQ168" i="29"/>
  <c r="IQ109" i="29"/>
  <c r="IQ113" i="31" s="1"/>
  <c r="IV168" i="29"/>
  <c r="IV109" i="29"/>
  <c r="IV113" i="31" s="1"/>
  <c r="E59" i="29"/>
  <c r="E63" i="31" s="1"/>
  <c r="E168" i="29"/>
  <c r="E63" i="29"/>
  <c r="E67" i="31" s="1"/>
  <c r="BM168" i="29"/>
  <c r="BM63" i="29"/>
  <c r="BM67" i="31" s="1"/>
  <c r="CC168" i="29"/>
  <c r="CC63" i="29"/>
  <c r="CC67" i="31" s="1"/>
  <c r="CL168" i="29"/>
  <c r="CL63" i="29"/>
  <c r="CL67" i="31" s="1"/>
  <c r="BO168" i="29"/>
  <c r="BO63" i="29"/>
  <c r="BO67" i="31" s="1"/>
  <c r="BJ59" i="29"/>
  <c r="BJ63" i="31" s="1"/>
  <c r="BJ168" i="29"/>
  <c r="BJ63" i="29"/>
  <c r="BJ67" i="31" s="1"/>
  <c r="AZ59" i="29"/>
  <c r="AZ63" i="31" s="1"/>
  <c r="AZ168" i="29"/>
  <c r="AZ63" i="29"/>
  <c r="AZ67" i="31" s="1"/>
  <c r="BK59" i="29"/>
  <c r="BK63" i="31" s="1"/>
  <c r="BK168" i="29"/>
  <c r="BK63" i="29"/>
  <c r="BK67" i="31" s="1"/>
  <c r="BV168" i="29"/>
  <c r="BV63" i="29"/>
  <c r="BV67" i="31" s="1"/>
  <c r="EE168" i="29"/>
  <c r="EE63" i="29"/>
  <c r="EE67" i="31" s="1"/>
  <c r="BX168" i="29"/>
  <c r="BX63" i="29"/>
  <c r="BX67" i="31" s="1"/>
  <c r="CK168" i="29"/>
  <c r="CK63" i="29"/>
  <c r="CK67" i="31" s="1"/>
  <c r="AO168" i="29"/>
  <c r="AO63" i="29"/>
  <c r="AO67" i="31" s="1"/>
  <c r="CF59" i="29"/>
  <c r="CF63" i="31" s="1"/>
  <c r="CF168" i="29"/>
  <c r="CF63" i="29"/>
  <c r="CF67" i="31" s="1"/>
  <c r="AB168" i="29"/>
  <c r="AB63" i="29"/>
  <c r="AB67" i="31" s="1"/>
  <c r="CN59" i="29"/>
  <c r="CN63" i="31" s="1"/>
  <c r="CN168" i="29"/>
  <c r="CN63" i="29"/>
  <c r="CN67" i="31" s="1"/>
  <c r="ER59" i="29"/>
  <c r="ER63" i="31" s="1"/>
  <c r="ER168" i="29"/>
  <c r="ER63" i="29"/>
  <c r="ER67" i="31" s="1"/>
  <c r="IX168" i="29"/>
  <c r="IX109" i="29"/>
  <c r="IX113" i="31" s="1"/>
  <c r="JF168" i="29"/>
  <c r="JF109" i="29"/>
  <c r="JF113" i="31" s="1"/>
  <c r="AN168" i="29"/>
  <c r="AN63" i="29"/>
  <c r="AN67" i="31" s="1"/>
  <c r="DH168" i="29"/>
  <c r="DH63" i="29"/>
  <c r="DH67" i="31" s="1"/>
  <c r="CG59" i="29"/>
  <c r="CG63" i="31" s="1"/>
  <c r="CG168" i="29"/>
  <c r="CG63" i="29"/>
  <c r="CG67" i="31" s="1"/>
  <c r="JI12" i="29"/>
  <c r="JL12" i="29"/>
  <c r="SN266" i="1"/>
  <c r="SH266" i="1" s="1"/>
  <c r="EU150" i="29"/>
  <c r="JN115" i="29"/>
  <c r="EO98" i="29"/>
  <c r="EO102" i="31" s="1"/>
  <c r="EO9" i="29"/>
  <c r="EO44" i="29"/>
  <c r="JL115" i="29"/>
  <c r="JI115" i="29"/>
  <c r="JI119" i="31" s="1"/>
  <c r="C150" i="29"/>
  <c r="C154" i="31" s="1"/>
  <c r="TQ271" i="1"/>
  <c r="TK271" i="1" s="1"/>
  <c r="AE589" i="9"/>
  <c r="AE590" i="9" s="1"/>
  <c r="P589" i="9"/>
  <c r="P590" i="9" s="1"/>
  <c r="AA589" i="9"/>
  <c r="AA590" i="9" s="1"/>
  <c r="TQ267" i="1"/>
  <c r="TK267" i="1" s="1"/>
  <c r="UT270" i="1"/>
  <c r="UN270" i="1" s="1"/>
  <c r="TK268" i="1"/>
  <c r="TQ270" i="1"/>
  <c r="TK270" i="1" s="1"/>
  <c r="UN267" i="1"/>
  <c r="TQ266" i="1"/>
  <c r="TK266" i="1" s="1"/>
  <c r="M589" i="9"/>
  <c r="M590" i="9" s="1"/>
  <c r="AF589" i="9"/>
  <c r="AF590" i="9" s="1"/>
  <c r="AC589" i="9"/>
  <c r="AC590" i="9" s="1"/>
  <c r="Y589" i="9"/>
  <c r="Y590" i="9" s="1"/>
  <c r="AN589" i="9"/>
  <c r="AN590" i="9" s="1"/>
  <c r="AG589" i="9"/>
  <c r="AG590" i="9" s="1"/>
  <c r="Z589" i="9"/>
  <c r="Z590" i="9" s="1"/>
  <c r="U589" i="9"/>
  <c r="U590" i="9" s="1"/>
  <c r="AO589" i="9"/>
  <c r="AO590" i="9" s="1"/>
  <c r="AK589" i="9"/>
  <c r="AK590" i="9" s="1"/>
  <c r="AH589" i="9"/>
  <c r="AH590" i="9" s="1"/>
  <c r="AB589" i="9"/>
  <c r="AB590" i="9" s="1"/>
  <c r="X589" i="9"/>
  <c r="X590" i="9" s="1"/>
  <c r="AP589" i="9"/>
  <c r="AP590" i="9" s="1"/>
  <c r="AL589" i="9"/>
  <c r="AL590" i="9" s="1"/>
  <c r="UT268" i="1"/>
  <c r="UN268" i="1" s="1"/>
  <c r="UN264" i="1"/>
  <c r="UT266" i="1"/>
  <c r="UN266" i="1" s="1"/>
  <c r="SN264" i="1"/>
  <c r="SH264" i="1" s="1"/>
  <c r="TK264" i="1"/>
  <c r="JN89" i="29" l="1"/>
  <c r="JP105" i="31"/>
  <c r="AC157" i="29"/>
  <c r="AC161" i="31" s="1"/>
  <c r="AC154" i="31"/>
  <c r="JP12" i="29"/>
  <c r="JO119" i="31"/>
  <c r="JN119" i="31"/>
  <c r="JM119" i="31"/>
  <c r="JP12" i="31"/>
  <c r="GE171" i="31"/>
  <c r="JP115" i="29"/>
  <c r="WA269" i="1"/>
  <c r="BE170" i="29"/>
  <c r="BE110" i="29"/>
  <c r="WA264" i="1"/>
  <c r="WA267" i="1"/>
  <c r="WA268" i="1"/>
  <c r="WA266" i="1"/>
  <c r="WA270" i="1"/>
  <c r="WA271" i="1"/>
  <c r="WA265" i="1"/>
  <c r="GE160" i="29"/>
  <c r="GE164" i="31" s="1"/>
  <c r="GE161" i="29"/>
  <c r="GE165" i="31" s="1"/>
  <c r="GE167" i="29"/>
  <c r="EO9" i="31"/>
  <c r="FE133" i="29"/>
  <c r="FE136" i="31"/>
  <c r="CN133" i="29"/>
  <c r="CN136" i="31"/>
  <c r="IM133" i="29"/>
  <c r="IM136" i="31"/>
  <c r="IB133" i="29"/>
  <c r="IB136" i="31"/>
  <c r="DX133" i="29"/>
  <c r="DX136" i="31"/>
  <c r="DZ133" i="29"/>
  <c r="DZ136" i="31"/>
  <c r="GL133" i="29"/>
  <c r="GL136" i="31"/>
  <c r="HP133" i="29"/>
  <c r="HP136" i="31"/>
  <c r="EU6" i="29"/>
  <c r="EU103" i="31"/>
  <c r="EU6" i="31" s="1"/>
  <c r="S133" i="29"/>
  <c r="S136" i="31"/>
  <c r="P133" i="29"/>
  <c r="P136" i="31"/>
  <c r="GT133" i="29"/>
  <c r="GT136" i="31"/>
  <c r="CX133" i="29"/>
  <c r="CX136" i="31"/>
  <c r="IS133" i="29"/>
  <c r="IS136" i="31"/>
  <c r="FW133" i="29"/>
  <c r="FW136" i="31"/>
  <c r="BD133" i="29"/>
  <c r="BD136" i="31"/>
  <c r="IH133" i="29"/>
  <c r="IH136" i="31"/>
  <c r="AP133" i="29"/>
  <c r="AP136" i="31"/>
  <c r="Y133" i="29"/>
  <c r="Y136" i="31"/>
  <c r="DR133" i="29"/>
  <c r="DR136" i="31"/>
  <c r="EQ9" i="31"/>
  <c r="HO95" i="29"/>
  <c r="HO99" i="31" s="1"/>
  <c r="HO48" i="31"/>
  <c r="ER95" i="29"/>
  <c r="ER99" i="31" s="1"/>
  <c r="ER48" i="31"/>
  <c r="HJ95" i="29"/>
  <c r="HJ99" i="31" s="1"/>
  <c r="HJ48" i="31"/>
  <c r="ES95" i="29"/>
  <c r="ES99" i="31" s="1"/>
  <c r="ES48" i="31"/>
  <c r="DX95" i="29"/>
  <c r="DX99" i="31" s="1"/>
  <c r="DX48" i="31"/>
  <c r="CU133" i="29"/>
  <c r="CU136" i="31"/>
  <c r="FH133" i="29"/>
  <c r="FH136" i="31"/>
  <c r="EP95" i="29"/>
  <c r="EP99" i="31" s="1"/>
  <c r="EP48" i="31"/>
  <c r="DU95" i="29"/>
  <c r="DU99" i="31" s="1"/>
  <c r="DU48" i="31"/>
  <c r="AG133" i="29"/>
  <c r="AG136" i="31"/>
  <c r="FT133" i="29"/>
  <c r="FT136" i="31"/>
  <c r="GQ133" i="29"/>
  <c r="GQ136" i="31"/>
  <c r="FA133" i="29"/>
  <c r="FA136" i="31"/>
  <c r="CF133" i="29"/>
  <c r="CF136" i="31"/>
  <c r="CK133" i="29"/>
  <c r="CK136" i="31"/>
  <c r="M133" i="29"/>
  <c r="M136" i="31"/>
  <c r="BJ133" i="29"/>
  <c r="BJ136" i="31"/>
  <c r="CL133" i="29"/>
  <c r="CL136" i="31"/>
  <c r="HW133" i="29"/>
  <c r="HW136" i="31"/>
  <c r="BM133" i="29"/>
  <c r="BM136" i="31"/>
  <c r="EA133" i="29"/>
  <c r="EA136" i="31"/>
  <c r="EH133" i="29"/>
  <c r="EH136" i="31"/>
  <c r="R133" i="29"/>
  <c r="R136" i="31"/>
  <c r="IU133" i="29"/>
  <c r="IU136" i="31"/>
  <c r="DW133" i="29"/>
  <c r="DW136" i="31"/>
  <c r="H133" i="29"/>
  <c r="H136" i="31"/>
  <c r="DF133" i="29"/>
  <c r="DF136" i="31"/>
  <c r="HM133" i="29"/>
  <c r="HM136" i="31"/>
  <c r="FO133" i="29"/>
  <c r="FO136" i="31"/>
  <c r="U133" i="29"/>
  <c r="U136" i="31"/>
  <c r="EQ95" i="29"/>
  <c r="EQ99" i="31" s="1"/>
  <c r="EQ48" i="31"/>
  <c r="ER9" i="31"/>
  <c r="EO95" i="29"/>
  <c r="EO99" i="31" s="1"/>
  <c r="EO48" i="31"/>
  <c r="EU157" i="29"/>
  <c r="EU154" i="31"/>
  <c r="GN133" i="29"/>
  <c r="GN136" i="31"/>
  <c r="AH133" i="29"/>
  <c r="AH136" i="31"/>
  <c r="CQ133" i="29"/>
  <c r="CQ136" i="31"/>
  <c r="DN133" i="29"/>
  <c r="DN136" i="31"/>
  <c r="EK133" i="29"/>
  <c r="EK136" i="31"/>
  <c r="CZ133" i="29"/>
  <c r="CZ136" i="31"/>
  <c r="GO133" i="29"/>
  <c r="GO136" i="31"/>
  <c r="GE133" i="29"/>
  <c r="GE136" i="31"/>
  <c r="GG133" i="29"/>
  <c r="GG136" i="31"/>
  <c r="GI133" i="29"/>
  <c r="GI136" i="31"/>
  <c r="EY133" i="29"/>
  <c r="EY136" i="31"/>
  <c r="HB133" i="29"/>
  <c r="HB136" i="31"/>
  <c r="HF133" i="29"/>
  <c r="HF136" i="31"/>
  <c r="DV133" i="29"/>
  <c r="DV136" i="31"/>
  <c r="CD133" i="29"/>
  <c r="CD136" i="31"/>
  <c r="BE133" i="29"/>
  <c r="BE136" i="31"/>
  <c r="FJ133" i="29"/>
  <c r="FJ136" i="31"/>
  <c r="DJ133" i="29"/>
  <c r="DJ136" i="31"/>
  <c r="GX133" i="29"/>
  <c r="GX136" i="31"/>
  <c r="ET133" i="29"/>
  <c r="ET136" i="31"/>
  <c r="CW133" i="29"/>
  <c r="CW136" i="31"/>
  <c r="BC133" i="29"/>
  <c r="BC136" i="31"/>
  <c r="GS133" i="29"/>
  <c r="GS136" i="31"/>
  <c r="FI133" i="29"/>
  <c r="FI136" i="31"/>
  <c r="D133" i="29"/>
  <c r="D136" i="31"/>
  <c r="CT133" i="29"/>
  <c r="CT136" i="31"/>
  <c r="ES133" i="29"/>
  <c r="ES136" i="31"/>
  <c r="IF133" i="29"/>
  <c r="IF136" i="31"/>
  <c r="V133" i="29"/>
  <c r="V136" i="31"/>
  <c r="DG133" i="29"/>
  <c r="DG136" i="31"/>
  <c r="HO187" i="29"/>
  <c r="HO9" i="31"/>
  <c r="HO156" i="29"/>
  <c r="EL9" i="31"/>
  <c r="DW95" i="29"/>
  <c r="DW99" i="31" s="1"/>
  <c r="DW48" i="31"/>
  <c r="CA95" i="29"/>
  <c r="CA99" i="31" s="1"/>
  <c r="CA48" i="31"/>
  <c r="ES9" i="31"/>
  <c r="JH9" i="31"/>
  <c r="AX133" i="29"/>
  <c r="AX136" i="31"/>
  <c r="DY133" i="29"/>
  <c r="DY136" i="31"/>
  <c r="IL133" i="29"/>
  <c r="IL136" i="31"/>
  <c r="AY133" i="29"/>
  <c r="AY136" i="31"/>
  <c r="ID133" i="29"/>
  <c r="ID136" i="31"/>
  <c r="AT133" i="29"/>
  <c r="AT136" i="31"/>
  <c r="AZ133" i="29"/>
  <c r="AZ136" i="31"/>
  <c r="FD133" i="29"/>
  <c r="FD136" i="31"/>
  <c r="CC133" i="29"/>
  <c r="CC136" i="31"/>
  <c r="BR133" i="29"/>
  <c r="BR136" i="31"/>
  <c r="GC133" i="29"/>
  <c r="GC136" i="31"/>
  <c r="DD133" i="29"/>
  <c r="DD136" i="31"/>
  <c r="GV133" i="29"/>
  <c r="GV136" i="31"/>
  <c r="FF133" i="29"/>
  <c r="FF136" i="31"/>
  <c r="GR133" i="29"/>
  <c r="GR136" i="31"/>
  <c r="GZ133" i="29"/>
  <c r="GZ136" i="31"/>
  <c r="CV133" i="29"/>
  <c r="CV136" i="31"/>
  <c r="JM111" i="31"/>
  <c r="T133" i="29"/>
  <c r="T136" i="31"/>
  <c r="BW133" i="29"/>
  <c r="BW136" i="31"/>
  <c r="HS133" i="29"/>
  <c r="HS136" i="31"/>
  <c r="EG133" i="29"/>
  <c r="EG136" i="31"/>
  <c r="IY133" i="29"/>
  <c r="IY136" i="31"/>
  <c r="EQ133" i="29"/>
  <c r="EQ136" i="31"/>
  <c r="BQ133" i="29"/>
  <c r="BQ136" i="31"/>
  <c r="HD133" i="29"/>
  <c r="HD136" i="31"/>
  <c r="DU133" i="29"/>
  <c r="DU136" i="31"/>
  <c r="AL133" i="29"/>
  <c r="AL136" i="31"/>
  <c r="BS133" i="29"/>
  <c r="BS136" i="31"/>
  <c r="AJ133" i="29"/>
  <c r="AJ136" i="31"/>
  <c r="ED133" i="29"/>
  <c r="ED136" i="31"/>
  <c r="FV133" i="29"/>
  <c r="FV136" i="31"/>
  <c r="FB133" i="29"/>
  <c r="FB136" i="31"/>
  <c r="HH133" i="29"/>
  <c r="HH136" i="31"/>
  <c r="I133" i="29"/>
  <c r="I136" i="31"/>
  <c r="JB133" i="29"/>
  <c r="JB136" i="31"/>
  <c r="DG157" i="29"/>
  <c r="DG161" i="31" s="1"/>
  <c r="DG154" i="31"/>
  <c r="GB157" i="29"/>
  <c r="GB161" i="31" s="1"/>
  <c r="GB154" i="31"/>
  <c r="BS157" i="29"/>
  <c r="BS154" i="31"/>
  <c r="CO157" i="29"/>
  <c r="CO154" i="31"/>
  <c r="CW157" i="29"/>
  <c r="CW161" i="31" s="1"/>
  <c r="CW154" i="31"/>
  <c r="HM157" i="29"/>
  <c r="HM161" i="31" s="1"/>
  <c r="HM154" i="31"/>
  <c r="CE157" i="29"/>
  <c r="CE161" i="31" s="1"/>
  <c r="CE154" i="31"/>
  <c r="CT154" i="31"/>
  <c r="CT157" i="29"/>
  <c r="CT152" i="29"/>
  <c r="CT156" i="31" s="1"/>
  <c r="DJ154" i="31"/>
  <c r="DJ152" i="29"/>
  <c r="DJ156" i="31" s="1"/>
  <c r="DJ157" i="29"/>
  <c r="DV157" i="29"/>
  <c r="DV161" i="31" s="1"/>
  <c r="DV154" i="31"/>
  <c r="DZ157" i="29"/>
  <c r="DZ161" i="31" s="1"/>
  <c r="DZ154" i="31"/>
  <c r="BX157" i="29"/>
  <c r="BX161" i="31" s="1"/>
  <c r="BX154" i="31"/>
  <c r="JH157" i="29"/>
  <c r="JH161" i="31" s="1"/>
  <c r="JH154" i="31"/>
  <c r="CZ157" i="29"/>
  <c r="CZ161" i="31" s="1"/>
  <c r="CZ154" i="31"/>
  <c r="AP157" i="29"/>
  <c r="AP154" i="31"/>
  <c r="HU157" i="29"/>
  <c r="HU161" i="31" s="1"/>
  <c r="HU154" i="31"/>
  <c r="BQ154" i="31"/>
  <c r="BQ152" i="29"/>
  <c r="BQ156" i="31" s="1"/>
  <c r="BQ157" i="29"/>
  <c r="GR157" i="29"/>
  <c r="GR161" i="31" s="1"/>
  <c r="GR154" i="31"/>
  <c r="DE157" i="29"/>
  <c r="DE161" i="31" s="1"/>
  <c r="DE154" i="31"/>
  <c r="EE157" i="29"/>
  <c r="EE161" i="31" s="1"/>
  <c r="EE154" i="31"/>
  <c r="EM157" i="29"/>
  <c r="EM161" i="31" s="1"/>
  <c r="EM154" i="31"/>
  <c r="AA157" i="29"/>
  <c r="AA161" i="31" s="1"/>
  <c r="AA154" i="31"/>
  <c r="V157" i="29"/>
  <c r="V161" i="31" s="1"/>
  <c r="V154" i="31"/>
  <c r="BY157" i="29"/>
  <c r="BY161" i="31" s="1"/>
  <c r="BY154" i="31"/>
  <c r="AF157" i="29"/>
  <c r="AF161" i="31" s="1"/>
  <c r="AF154" i="31"/>
  <c r="FW157" i="29"/>
  <c r="FW161" i="31" s="1"/>
  <c r="FW154" i="31"/>
  <c r="AZ157" i="29"/>
  <c r="AZ161" i="31" s="1"/>
  <c r="AZ154" i="31"/>
  <c r="AV157" i="29"/>
  <c r="AV161" i="31" s="1"/>
  <c r="AV154" i="31"/>
  <c r="JG157" i="29"/>
  <c r="JG161" i="31" s="1"/>
  <c r="JG154" i="31"/>
  <c r="M157" i="29"/>
  <c r="M161" i="31" s="1"/>
  <c r="M154" i="31"/>
  <c r="EB157" i="29"/>
  <c r="EB161" i="31" s="1"/>
  <c r="EB154" i="31"/>
  <c r="BC157" i="29"/>
  <c r="BC161" i="31" s="1"/>
  <c r="BC154" i="31"/>
  <c r="DX154" i="31"/>
  <c r="DX157" i="29"/>
  <c r="DX152" i="29"/>
  <c r="DX156" i="31" s="1"/>
  <c r="ID157" i="29"/>
  <c r="ID161" i="31" s="1"/>
  <c r="ID154" i="31"/>
  <c r="CX157" i="29"/>
  <c r="CX161" i="31" s="1"/>
  <c r="CX154" i="31"/>
  <c r="JN30" i="31"/>
  <c r="CO133" i="29"/>
  <c r="CO136" i="31"/>
  <c r="GW133" i="29"/>
  <c r="GW136" i="31"/>
  <c r="GA133" i="29"/>
  <c r="GA136" i="31"/>
  <c r="EV133" i="29"/>
  <c r="EV136" i="31"/>
  <c r="EN133" i="29"/>
  <c r="EN136" i="31"/>
  <c r="BG133" i="29"/>
  <c r="BG136" i="31"/>
  <c r="EZ133" i="29"/>
  <c r="EZ136" i="31"/>
  <c r="ET6" i="29"/>
  <c r="ET103" i="31"/>
  <c r="ET6" i="31" s="1"/>
  <c r="AW133" i="29"/>
  <c r="AW136" i="31"/>
  <c r="AI133" i="29"/>
  <c r="AI136" i="31"/>
  <c r="AA133" i="29"/>
  <c r="AA136" i="31"/>
  <c r="AS133" i="29"/>
  <c r="AS136" i="31"/>
  <c r="HG133" i="29"/>
  <c r="HG136" i="31"/>
  <c r="HQ133" i="29"/>
  <c r="HQ136" i="31"/>
  <c r="IV133" i="29"/>
  <c r="IV136" i="31"/>
  <c r="EB133" i="29"/>
  <c r="EB136" i="31"/>
  <c r="IJ133" i="29"/>
  <c r="IJ136" i="31"/>
  <c r="DQ133" i="29"/>
  <c r="DQ136" i="31"/>
  <c r="HY133" i="29"/>
  <c r="HY136" i="31"/>
  <c r="FK133" i="29"/>
  <c r="FK136" i="31"/>
  <c r="AK133" i="29"/>
  <c r="AK136" i="31"/>
  <c r="EF133" i="29"/>
  <c r="EF136" i="31"/>
  <c r="F133" i="29"/>
  <c r="F136" i="31"/>
  <c r="HN133" i="29"/>
  <c r="HN136" i="31"/>
  <c r="FM133" i="29"/>
  <c r="FM136" i="31"/>
  <c r="FR133" i="29"/>
  <c r="FR136" i="31"/>
  <c r="AQ133" i="29"/>
  <c r="AQ136" i="31"/>
  <c r="IG133" i="29"/>
  <c r="IG136" i="31"/>
  <c r="BY133" i="29"/>
  <c r="BY136" i="31"/>
  <c r="AU133" i="29"/>
  <c r="AU136" i="31"/>
  <c r="AR133" i="29"/>
  <c r="AR136" i="31"/>
  <c r="JA133" i="29"/>
  <c r="JA136" i="31"/>
  <c r="Q133" i="29"/>
  <c r="Q136" i="31"/>
  <c r="CS133" i="29"/>
  <c r="CS136" i="31"/>
  <c r="BU133" i="29"/>
  <c r="BU136" i="31"/>
  <c r="IP133" i="29"/>
  <c r="IP136" i="31"/>
  <c r="BB133" i="29"/>
  <c r="BB136" i="31"/>
  <c r="IR157" i="29"/>
  <c r="IR161" i="31" s="1"/>
  <c r="IR154" i="31"/>
  <c r="AN157" i="29"/>
  <c r="AN154" i="31"/>
  <c r="EZ157" i="29"/>
  <c r="EZ161" i="31" s="1"/>
  <c r="EZ154" i="31"/>
  <c r="II157" i="29"/>
  <c r="II161" i="31" s="1"/>
  <c r="II154" i="31"/>
  <c r="CK157" i="29"/>
  <c r="CK161" i="31" s="1"/>
  <c r="CK154" i="31"/>
  <c r="FH157" i="29"/>
  <c r="FH161" i="31" s="1"/>
  <c r="FH154" i="31"/>
  <c r="BD157" i="29"/>
  <c r="BD161" i="31" s="1"/>
  <c r="BD154" i="31"/>
  <c r="FM157" i="29"/>
  <c r="FM161" i="31" s="1"/>
  <c r="FM154" i="31"/>
  <c r="IG157" i="29"/>
  <c r="IG161" i="31" s="1"/>
  <c r="IG154" i="31"/>
  <c r="BV157" i="29"/>
  <c r="BV161" i="31" s="1"/>
  <c r="BV154" i="31"/>
  <c r="J154" i="31"/>
  <c r="J157" i="29"/>
  <c r="J152" i="29"/>
  <c r="J156" i="31" s="1"/>
  <c r="BH157" i="29"/>
  <c r="BH161" i="31" s="1"/>
  <c r="BH154" i="31"/>
  <c r="EO157" i="29"/>
  <c r="EO161" i="31" s="1"/>
  <c r="EO154" i="31"/>
  <c r="JO93" i="31"/>
  <c r="H154" i="31"/>
  <c r="H157" i="29"/>
  <c r="H152" i="29"/>
  <c r="H156" i="31" s="1"/>
  <c r="EI157" i="29"/>
  <c r="EI161" i="31" s="1"/>
  <c r="EI154" i="31"/>
  <c r="R157" i="29"/>
  <c r="R161" i="31" s="1"/>
  <c r="R154" i="31"/>
  <c r="BZ157" i="29"/>
  <c r="BZ161" i="31" s="1"/>
  <c r="BZ154" i="31"/>
  <c r="EP157" i="29"/>
  <c r="EP161" i="31" s="1"/>
  <c r="EP154" i="31"/>
  <c r="L157" i="29"/>
  <c r="L161" i="31" s="1"/>
  <c r="L154" i="31"/>
  <c r="FO157" i="29"/>
  <c r="FO161" i="31" s="1"/>
  <c r="FO154" i="31"/>
  <c r="DM157" i="29"/>
  <c r="DM161" i="31" s="1"/>
  <c r="DM154" i="31"/>
  <c r="IL157" i="29"/>
  <c r="IL161" i="31" s="1"/>
  <c r="IL154" i="31"/>
  <c r="DL157" i="29"/>
  <c r="DL154" i="31"/>
  <c r="Z157" i="29"/>
  <c r="Z161" i="31" s="1"/>
  <c r="Z154" i="31"/>
  <c r="DD154" i="31"/>
  <c r="DD157" i="29"/>
  <c r="DD152" i="29"/>
  <c r="DD156" i="31" s="1"/>
  <c r="AI157" i="29"/>
  <c r="AI161" i="31" s="1"/>
  <c r="AI154" i="31"/>
  <c r="BT157" i="29"/>
  <c r="BT161" i="31" s="1"/>
  <c r="BT154" i="31"/>
  <c r="CP157" i="29"/>
  <c r="CP155" i="29" s="1"/>
  <c r="CP154" i="31"/>
  <c r="AR157" i="29"/>
  <c r="AR161" i="31" s="1"/>
  <c r="AR154" i="31"/>
  <c r="GK157" i="29"/>
  <c r="GK161" i="31" s="1"/>
  <c r="GK154" i="31"/>
  <c r="EC157" i="29"/>
  <c r="EC161" i="31" s="1"/>
  <c r="EC154" i="31"/>
  <c r="BU157" i="29"/>
  <c r="BU154" i="31"/>
  <c r="BG157" i="29"/>
  <c r="BG161" i="31" s="1"/>
  <c r="BG154" i="31"/>
  <c r="AJ157" i="29"/>
  <c r="AJ161" i="31" s="1"/>
  <c r="AJ154" i="31"/>
  <c r="AT157" i="29"/>
  <c r="AT154" i="31"/>
  <c r="DY157" i="29"/>
  <c r="DY161" i="31" s="1"/>
  <c r="DY154" i="31"/>
  <c r="IW157" i="29"/>
  <c r="IW161" i="31" s="1"/>
  <c r="IW154" i="31"/>
  <c r="EX157" i="29"/>
  <c r="EX161" i="31" s="1"/>
  <c r="EX154" i="31"/>
  <c r="HB157" i="29"/>
  <c r="HB161" i="31" s="1"/>
  <c r="HB154" i="31"/>
  <c r="G157" i="29"/>
  <c r="G161" i="31" s="1"/>
  <c r="G154" i="31"/>
  <c r="FT157" i="29"/>
  <c r="FT161" i="31" s="1"/>
  <c r="FT154" i="31"/>
  <c r="P157" i="29"/>
  <c r="P161" i="31" s="1"/>
  <c r="P154" i="31"/>
  <c r="EQ157" i="29"/>
  <c r="EQ161" i="31" s="1"/>
  <c r="EQ154" i="31"/>
  <c r="HN157" i="29"/>
  <c r="HN161" i="31" s="1"/>
  <c r="HN154" i="31"/>
  <c r="BE154" i="31"/>
  <c r="BE157" i="29"/>
  <c r="BE152" i="29"/>
  <c r="BE156" i="31" s="1"/>
  <c r="IA157" i="29"/>
  <c r="IA161" i="31" s="1"/>
  <c r="IA154" i="31"/>
  <c r="CJ157" i="29"/>
  <c r="CJ161" i="31" s="1"/>
  <c r="CJ154" i="31"/>
  <c r="DW154" i="31"/>
  <c r="DW157" i="29"/>
  <c r="DW152" i="29"/>
  <c r="DW156" i="31" s="1"/>
  <c r="HJ154" i="31"/>
  <c r="HJ157" i="29"/>
  <c r="HJ152" i="29"/>
  <c r="HJ156" i="31" s="1"/>
  <c r="CG157" i="29"/>
  <c r="CG161" i="31" s="1"/>
  <c r="CG154" i="31"/>
  <c r="N157" i="29"/>
  <c r="N154" i="31"/>
  <c r="HX157" i="29"/>
  <c r="HX161" i="31" s="1"/>
  <c r="HX154" i="31"/>
  <c r="HV157" i="29"/>
  <c r="HV161" i="31" s="1"/>
  <c r="HV154" i="31"/>
  <c r="CH154" i="31"/>
  <c r="CH157" i="29"/>
  <c r="CH152" i="29"/>
  <c r="CH156" i="31" s="1"/>
  <c r="CM157" i="29"/>
  <c r="CM161" i="31" s="1"/>
  <c r="CM154" i="31"/>
  <c r="D157" i="29"/>
  <c r="D161" i="31" s="1"/>
  <c r="D154" i="31"/>
  <c r="DA157" i="29"/>
  <c r="DA161" i="31" s="1"/>
  <c r="DA154" i="31"/>
  <c r="AB157" i="29"/>
  <c r="AB161" i="31" s="1"/>
  <c r="AB154" i="31"/>
  <c r="ER157" i="29"/>
  <c r="ER161" i="31" s="1"/>
  <c r="ER154" i="31"/>
  <c r="HQ157" i="29"/>
  <c r="HQ161" i="31" s="1"/>
  <c r="HQ154" i="31"/>
  <c r="IF157" i="29"/>
  <c r="IF161" i="31" s="1"/>
  <c r="IF154" i="31"/>
  <c r="IB157" i="29"/>
  <c r="IB161" i="31" s="1"/>
  <c r="IB154" i="31"/>
  <c r="AS157" i="29"/>
  <c r="AS161" i="31" s="1"/>
  <c r="AS154" i="31"/>
  <c r="DP157" i="29"/>
  <c r="DP161" i="31" s="1"/>
  <c r="DP154" i="31"/>
  <c r="AK157" i="29"/>
  <c r="AK161" i="31" s="1"/>
  <c r="AK154" i="31"/>
  <c r="AU157" i="29"/>
  <c r="AU161" i="31" s="1"/>
  <c r="AU154" i="31"/>
  <c r="DC157" i="29"/>
  <c r="DC161" i="31" s="1"/>
  <c r="DC154" i="31"/>
  <c r="ED157" i="29"/>
  <c r="ED161" i="31" s="1"/>
  <c r="ED154" i="31"/>
  <c r="CN157" i="29"/>
  <c r="CN155" i="29" s="1"/>
  <c r="CN154" i="31"/>
  <c r="JB157" i="29"/>
  <c r="JB161" i="31" s="1"/>
  <c r="JB154" i="31"/>
  <c r="ES157" i="29"/>
  <c r="ES161" i="31" s="1"/>
  <c r="ES154" i="31"/>
  <c r="DH157" i="29"/>
  <c r="DH161" i="31" s="1"/>
  <c r="DH154" i="31"/>
  <c r="IU157" i="29"/>
  <c r="IU161" i="31" s="1"/>
  <c r="IU154" i="31"/>
  <c r="BB157" i="29"/>
  <c r="BB161" i="31" s="1"/>
  <c r="BB154" i="31"/>
  <c r="JM93" i="31"/>
  <c r="DU187" i="29"/>
  <c r="DU9" i="31"/>
  <c r="DU156" i="29"/>
  <c r="FN133" i="29"/>
  <c r="FN136" i="31"/>
  <c r="JF133" i="29"/>
  <c r="JF136" i="31"/>
  <c r="EE133" i="29"/>
  <c r="EE136" i="31"/>
  <c r="FU133" i="29"/>
  <c r="FU136" i="31"/>
  <c r="BZ133" i="29"/>
  <c r="BZ136" i="31"/>
  <c r="AD133" i="29"/>
  <c r="AD136" i="31"/>
  <c r="JJ12" i="29"/>
  <c r="JI12" i="31"/>
  <c r="EJ133" i="29"/>
  <c r="EJ136" i="31"/>
  <c r="CR133" i="29"/>
  <c r="CR136" i="31"/>
  <c r="HJ187" i="29"/>
  <c r="HJ9" i="31"/>
  <c r="HJ156" i="29"/>
  <c r="ER133" i="29"/>
  <c r="ER136" i="31"/>
  <c r="AB133" i="29"/>
  <c r="AB136" i="31"/>
  <c r="JG133" i="29"/>
  <c r="JG136" i="31"/>
  <c r="HC133" i="29"/>
  <c r="HC136" i="31"/>
  <c r="BO133" i="29"/>
  <c r="BO136" i="31"/>
  <c r="IE133" i="29"/>
  <c r="IE136" i="31"/>
  <c r="IQ133" i="29"/>
  <c r="IQ136" i="31"/>
  <c r="IR133" i="29"/>
  <c r="IR136" i="31"/>
  <c r="FP133" i="29"/>
  <c r="FP136" i="31"/>
  <c r="FS133" i="29"/>
  <c r="FS136" i="31"/>
  <c r="JO111" i="31"/>
  <c r="HZ133" i="29"/>
  <c r="HZ136" i="31"/>
  <c r="FY133" i="29"/>
  <c r="FY136" i="31"/>
  <c r="GU133" i="29"/>
  <c r="GU136" i="31"/>
  <c r="IZ133" i="29"/>
  <c r="IZ136" i="31"/>
  <c r="DM133" i="29"/>
  <c r="DM136" i="31"/>
  <c r="CB133" i="29"/>
  <c r="CB136" i="31"/>
  <c r="BP133" i="29"/>
  <c r="BP136" i="31"/>
  <c r="DB133" i="29"/>
  <c r="DB136" i="31"/>
  <c r="GM133" i="29"/>
  <c r="GM136" i="31"/>
  <c r="FR99" i="29"/>
  <c r="FR103" i="31" s="1"/>
  <c r="FR53" i="31"/>
  <c r="FZ133" i="29"/>
  <c r="FZ136" i="31"/>
  <c r="W133" i="29"/>
  <c r="W136" i="31"/>
  <c r="DK133" i="29"/>
  <c r="DK136" i="31"/>
  <c r="IC133" i="29"/>
  <c r="IC136" i="31"/>
  <c r="BI133" i="29"/>
  <c r="BI136" i="31"/>
  <c r="CM133" i="29"/>
  <c r="CM136" i="31"/>
  <c r="HK133" i="29"/>
  <c r="HK136" i="31"/>
  <c r="GP133" i="29"/>
  <c r="GP136" i="31"/>
  <c r="HY157" i="29"/>
  <c r="HY161" i="31" s="1"/>
  <c r="HY154" i="31"/>
  <c r="K157" i="29"/>
  <c r="K161" i="31" s="1"/>
  <c r="K154" i="31"/>
  <c r="HE157" i="29"/>
  <c r="HE161" i="31" s="1"/>
  <c r="HE154" i="31"/>
  <c r="IZ157" i="29"/>
  <c r="IZ161" i="31" s="1"/>
  <c r="IZ154" i="31"/>
  <c r="FX157" i="29"/>
  <c r="FX161" i="31" s="1"/>
  <c r="FX154" i="31"/>
  <c r="FD154" i="31"/>
  <c r="FD152" i="29"/>
  <c r="FD156" i="31" s="1"/>
  <c r="FD157" i="29"/>
  <c r="HW157" i="29"/>
  <c r="HW161" i="31" s="1"/>
  <c r="HW154" i="31"/>
  <c r="AG157" i="29"/>
  <c r="AG161" i="31" s="1"/>
  <c r="AG154" i="31"/>
  <c r="Y157" i="29"/>
  <c r="Y161" i="31" s="1"/>
  <c r="Y154" i="31"/>
  <c r="JE157" i="29"/>
  <c r="JE161" i="31" s="1"/>
  <c r="JE154" i="31"/>
  <c r="DI154" i="31"/>
  <c r="DI152" i="29"/>
  <c r="DI156" i="31" s="1"/>
  <c r="DI157" i="29"/>
  <c r="Q157" i="29"/>
  <c r="Q161" i="31" s="1"/>
  <c r="Q154" i="31"/>
  <c r="JP13" i="31"/>
  <c r="JL103" i="31"/>
  <c r="JO103" i="31"/>
  <c r="IC157" i="29"/>
  <c r="IC161" i="31" s="1"/>
  <c r="IC154" i="31"/>
  <c r="IT157" i="29"/>
  <c r="IT161" i="31" s="1"/>
  <c r="IT154" i="31"/>
  <c r="FG157" i="29"/>
  <c r="FG161" i="31" s="1"/>
  <c r="FG154" i="31"/>
  <c r="DQ157" i="29"/>
  <c r="DQ161" i="31" s="1"/>
  <c r="DQ154" i="31"/>
  <c r="HR157" i="29"/>
  <c r="HR161" i="31" s="1"/>
  <c r="HR154" i="31"/>
  <c r="IE157" i="29"/>
  <c r="IE161" i="31" s="1"/>
  <c r="IE154" i="31"/>
  <c r="JD157" i="29"/>
  <c r="JD161" i="31" s="1"/>
  <c r="JD154" i="31"/>
  <c r="DB157" i="29"/>
  <c r="DB161" i="31" s="1"/>
  <c r="DB154" i="31"/>
  <c r="EJ154" i="31"/>
  <c r="EJ152" i="29"/>
  <c r="EJ156" i="31" s="1"/>
  <c r="EJ157" i="29"/>
  <c r="AL157" i="29"/>
  <c r="AL161" i="31" s="1"/>
  <c r="AL154" i="31"/>
  <c r="BP157" i="29"/>
  <c r="BP161" i="31" s="1"/>
  <c r="BP154" i="31"/>
  <c r="DT157" i="29"/>
  <c r="DT161" i="31" s="1"/>
  <c r="DT154" i="31"/>
  <c r="FK157" i="29"/>
  <c r="FK161" i="31" s="1"/>
  <c r="FK154" i="31"/>
  <c r="IM157" i="29"/>
  <c r="IM161" i="31" s="1"/>
  <c r="IM154" i="31"/>
  <c r="DS157" i="29"/>
  <c r="DS161" i="31" s="1"/>
  <c r="DS154" i="31"/>
  <c r="FS157" i="29"/>
  <c r="FS161" i="31" s="1"/>
  <c r="FS154" i="31"/>
  <c r="EA157" i="29"/>
  <c r="EA155" i="29" s="1"/>
  <c r="EA154" i="31"/>
  <c r="HZ157" i="29"/>
  <c r="HZ161" i="31" s="1"/>
  <c r="HZ154" i="31"/>
  <c r="E157" i="29"/>
  <c r="E161" i="31" s="1"/>
  <c r="E154" i="31"/>
  <c r="BA157" i="29"/>
  <c r="BA161" i="31" s="1"/>
  <c r="BA154" i="31"/>
  <c r="BN157" i="29"/>
  <c r="BN161" i="31" s="1"/>
  <c r="BN154" i="31"/>
  <c r="AQ157" i="29"/>
  <c r="AQ154" i="31"/>
  <c r="JO30" i="31"/>
  <c r="JL93" i="31"/>
  <c r="EM133" i="29"/>
  <c r="EM136" i="31"/>
  <c r="CH133" i="29"/>
  <c r="CH136" i="31"/>
  <c r="J133" i="29"/>
  <c r="J136" i="31"/>
  <c r="BN133" i="29"/>
  <c r="BN136" i="31"/>
  <c r="FQ133" i="29"/>
  <c r="FQ136" i="31"/>
  <c r="JE133" i="29"/>
  <c r="JE136" i="31"/>
  <c r="CP133" i="29"/>
  <c r="CP136" i="31"/>
  <c r="IK133" i="29"/>
  <c r="IK136" i="31"/>
  <c r="EN95" i="29"/>
  <c r="EN99" i="31" s="1"/>
  <c r="EN48" i="31"/>
  <c r="DX187" i="29"/>
  <c r="DX9" i="31"/>
  <c r="DX156" i="29"/>
  <c r="BF133" i="29"/>
  <c r="BF136" i="31"/>
  <c r="CG133" i="29"/>
  <c r="CG136" i="31"/>
  <c r="AN133" i="29"/>
  <c r="AN136" i="31"/>
  <c r="BH133" i="29"/>
  <c r="BH136" i="31"/>
  <c r="DI133" i="29"/>
  <c r="DI136" i="31"/>
  <c r="IX133" i="29"/>
  <c r="IX136" i="31"/>
  <c r="DL133" i="29"/>
  <c r="DL136" i="31"/>
  <c r="F157" i="29"/>
  <c r="F154" i="31"/>
  <c r="EP9" i="31"/>
  <c r="DH133" i="29"/>
  <c r="DH136" i="31"/>
  <c r="HU133" i="29"/>
  <c r="HU136" i="31"/>
  <c r="EC133" i="29"/>
  <c r="EC136" i="31"/>
  <c r="JI89" i="29"/>
  <c r="JI93" i="31" s="1"/>
  <c r="FX133" i="29"/>
  <c r="FX136" i="31"/>
  <c r="EI133" i="29"/>
  <c r="EI136" i="31"/>
  <c r="GB133" i="29"/>
  <c r="GB136" i="31"/>
  <c r="FL133" i="29"/>
  <c r="FL136" i="31"/>
  <c r="BK133" i="29"/>
  <c r="BK136" i="31"/>
  <c r="GH133" i="29"/>
  <c r="GH136" i="31"/>
  <c r="CY133" i="29"/>
  <c r="CY136" i="31"/>
  <c r="HR133" i="29"/>
  <c r="HR136" i="31"/>
  <c r="G133" i="29"/>
  <c r="G136" i="31"/>
  <c r="HX133" i="29"/>
  <c r="HX136" i="31"/>
  <c r="HA133" i="29"/>
  <c r="HA136" i="31"/>
  <c r="N133" i="29"/>
  <c r="N136" i="31"/>
  <c r="EU133" i="29"/>
  <c r="EU136" i="31"/>
  <c r="EP133" i="29"/>
  <c r="EP136" i="31"/>
  <c r="IW133" i="29"/>
  <c r="IW136" i="31"/>
  <c r="HT133" i="29"/>
  <c r="HT136" i="31"/>
  <c r="DS133" i="29"/>
  <c r="DS136" i="31"/>
  <c r="O133" i="29"/>
  <c r="O136" i="31"/>
  <c r="HV133" i="29"/>
  <c r="HV136" i="31"/>
  <c r="GK133" i="29"/>
  <c r="GK136" i="31"/>
  <c r="JN111" i="31"/>
  <c r="DE133" i="29"/>
  <c r="DE136" i="31"/>
  <c r="AF133" i="29"/>
  <c r="AF136" i="31"/>
  <c r="CJ133" i="29"/>
  <c r="CJ136" i="31"/>
  <c r="DT133" i="29"/>
  <c r="DT136" i="31"/>
  <c r="DP133" i="29"/>
  <c r="DP136" i="31"/>
  <c r="HE133" i="29"/>
  <c r="HE136" i="31"/>
  <c r="DA133" i="29"/>
  <c r="DA136" i="31"/>
  <c r="GJ133" i="29"/>
  <c r="GJ136" i="31"/>
  <c r="EL133" i="29"/>
  <c r="EL136" i="31"/>
  <c r="JD133" i="29"/>
  <c r="JD136" i="31"/>
  <c r="IO133" i="29"/>
  <c r="IO136" i="31"/>
  <c r="GF133" i="29"/>
  <c r="GF136" i="31"/>
  <c r="EL95" i="29"/>
  <c r="EL99" i="31" s="1"/>
  <c r="EL48" i="31"/>
  <c r="HL157" i="29"/>
  <c r="HL154" i="31"/>
  <c r="DW187" i="29"/>
  <c r="DW9" i="31"/>
  <c r="DW156" i="29"/>
  <c r="CA9" i="31"/>
  <c r="JH95" i="29"/>
  <c r="JH99" i="31" s="1"/>
  <c r="JH48" i="31"/>
  <c r="EN9" i="31"/>
  <c r="GD133" i="29"/>
  <c r="GD136" i="31"/>
  <c r="JL111" i="31"/>
  <c r="K133" i="29"/>
  <c r="K136" i="31"/>
  <c r="AO133" i="29"/>
  <c r="AO136" i="31"/>
  <c r="BX133" i="29"/>
  <c r="BX136" i="31"/>
  <c r="BV133" i="29"/>
  <c r="BV136" i="31"/>
  <c r="X133" i="29"/>
  <c r="X136" i="31"/>
  <c r="AM133" i="29"/>
  <c r="AM136" i="31"/>
  <c r="E133" i="29"/>
  <c r="E136" i="31"/>
  <c r="L133" i="29"/>
  <c r="L136" i="31"/>
  <c r="EW133" i="29"/>
  <c r="EW136" i="31"/>
  <c r="HO133" i="29"/>
  <c r="HO136" i="31"/>
  <c r="HI133" i="29"/>
  <c r="HI136" i="31"/>
  <c r="IA133" i="29"/>
  <c r="IA136" i="31"/>
  <c r="BL133" i="29"/>
  <c r="BL136" i="31"/>
  <c r="AV133" i="29"/>
  <c r="AV136" i="31"/>
  <c r="DO133" i="29"/>
  <c r="DO136" i="31"/>
  <c r="HL133" i="29"/>
  <c r="HL136" i="31"/>
  <c r="II133" i="29"/>
  <c r="II136" i="31"/>
  <c r="FG133" i="29"/>
  <c r="FG136" i="31"/>
  <c r="CE133" i="29"/>
  <c r="CE136" i="31"/>
  <c r="IT133" i="29"/>
  <c r="IT136" i="31"/>
  <c r="JC133" i="29"/>
  <c r="JC136" i="31"/>
  <c r="HJ133" i="29"/>
  <c r="HJ136" i="31"/>
  <c r="AE133" i="29"/>
  <c r="AE136" i="31"/>
  <c r="IN133" i="29"/>
  <c r="IN136" i="31"/>
  <c r="CI133" i="29"/>
  <c r="CI136" i="31"/>
  <c r="BA133" i="29"/>
  <c r="BA136" i="31"/>
  <c r="EX133" i="29"/>
  <c r="EX136" i="31"/>
  <c r="DC133" i="29"/>
  <c r="DC136" i="31"/>
  <c r="JH133" i="29"/>
  <c r="JH136" i="31"/>
  <c r="BT133" i="29"/>
  <c r="BT136" i="31"/>
  <c r="EO133" i="29"/>
  <c r="EO136" i="31"/>
  <c r="Z133" i="29"/>
  <c r="Z136" i="31"/>
  <c r="GY133" i="29"/>
  <c r="GY136" i="31"/>
  <c r="FC133" i="29"/>
  <c r="FC136" i="31"/>
  <c r="IP157" i="29"/>
  <c r="IP161" i="31" s="1"/>
  <c r="IP154" i="31"/>
  <c r="JA157" i="29"/>
  <c r="JA161" i="31" s="1"/>
  <c r="JA154" i="31"/>
  <c r="EH157" i="29"/>
  <c r="EH161" i="31" s="1"/>
  <c r="EH154" i="31"/>
  <c r="IH157" i="29"/>
  <c r="IH161" i="31" s="1"/>
  <c r="IH154" i="31"/>
  <c r="IV157" i="29"/>
  <c r="IV161" i="31" s="1"/>
  <c r="IV154" i="31"/>
  <c r="GV157" i="29"/>
  <c r="GV161" i="31" s="1"/>
  <c r="GV154" i="31"/>
  <c r="AW154" i="31"/>
  <c r="AW157" i="29"/>
  <c r="AW152" i="29"/>
  <c r="AW156" i="31" s="1"/>
  <c r="GA157" i="29"/>
  <c r="GA161" i="31" s="1"/>
  <c r="GA154" i="31"/>
  <c r="IN157" i="29"/>
  <c r="IN161" i="31" s="1"/>
  <c r="IN154" i="31"/>
  <c r="CI154" i="31"/>
  <c r="CI152" i="29"/>
  <c r="CI156" i="31" s="1"/>
  <c r="CI157" i="29"/>
  <c r="DN157" i="29"/>
  <c r="DN161" i="31" s="1"/>
  <c r="DN154" i="31"/>
  <c r="EG157" i="29"/>
  <c r="EG161" i="31" s="1"/>
  <c r="EG154" i="31"/>
  <c r="CV157" i="29"/>
  <c r="CV161" i="31" s="1"/>
  <c r="CV154" i="31"/>
  <c r="CD157" i="29"/>
  <c r="CD154" i="31"/>
  <c r="EL157" i="29"/>
  <c r="EL161" i="31" s="1"/>
  <c r="EL154" i="31"/>
  <c r="EK157" i="29"/>
  <c r="EK155" i="29" s="1"/>
  <c r="EK154" i="31"/>
  <c r="CY157" i="29"/>
  <c r="CY161" i="31" s="1"/>
  <c r="CY154" i="31"/>
  <c r="AE157" i="29"/>
  <c r="AE161" i="31" s="1"/>
  <c r="AE154" i="31"/>
  <c r="HP157" i="29"/>
  <c r="HP161" i="31" s="1"/>
  <c r="HP154" i="31"/>
  <c r="HK157" i="29"/>
  <c r="HK161" i="31" s="1"/>
  <c r="HK154" i="31"/>
  <c r="IO157" i="29"/>
  <c r="IO161" i="31" s="1"/>
  <c r="IO154" i="31"/>
  <c r="IQ157" i="29"/>
  <c r="IQ161" i="31" s="1"/>
  <c r="IQ154" i="31"/>
  <c r="AH157" i="29"/>
  <c r="AH161" i="31" s="1"/>
  <c r="AH154" i="31"/>
  <c r="O157" i="29"/>
  <c r="O161" i="31" s="1"/>
  <c r="O154" i="31"/>
  <c r="BJ157" i="29"/>
  <c r="BJ161" i="31" s="1"/>
  <c r="BJ154" i="31"/>
  <c r="FI157" i="29"/>
  <c r="FI161" i="31" s="1"/>
  <c r="FI154" i="31"/>
  <c r="X157" i="29"/>
  <c r="X161" i="31" s="1"/>
  <c r="X154" i="31"/>
  <c r="GX157" i="29"/>
  <c r="GX161" i="31" s="1"/>
  <c r="GX154" i="31"/>
  <c r="I154" i="31"/>
  <c r="I152" i="29"/>
  <c r="I156" i="31" s="1"/>
  <c r="I157" i="29"/>
  <c r="DR157" i="29"/>
  <c r="DR161" i="31" s="1"/>
  <c r="DR154" i="31"/>
  <c r="AM157" i="29"/>
  <c r="AM161" i="31" s="1"/>
  <c r="AM154" i="31"/>
  <c r="CL154" i="31"/>
  <c r="CL157" i="29"/>
  <c r="CL152" i="29"/>
  <c r="CL156" i="31" s="1"/>
  <c r="EF157" i="29"/>
  <c r="EF161" i="31" s="1"/>
  <c r="EF154" i="31"/>
  <c r="IY157" i="29"/>
  <c r="IY161" i="31" s="1"/>
  <c r="IY154" i="31"/>
  <c r="CR157" i="29"/>
  <c r="CR161" i="31" s="1"/>
  <c r="CR154" i="31"/>
  <c r="AD157" i="29"/>
  <c r="AD161" i="31" s="1"/>
  <c r="AD154" i="31"/>
  <c r="FE157" i="29"/>
  <c r="FE161" i="31" s="1"/>
  <c r="FE154" i="31"/>
  <c r="GP157" i="29"/>
  <c r="GP161" i="31" s="1"/>
  <c r="GP154" i="31"/>
  <c r="S157" i="29"/>
  <c r="S161" i="31" s="1"/>
  <c r="S154" i="31"/>
  <c r="HD157" i="29"/>
  <c r="HD161" i="31" s="1"/>
  <c r="HD154" i="31"/>
  <c r="CB157" i="29"/>
  <c r="CB154" i="31"/>
  <c r="FF157" i="29"/>
  <c r="FF161" i="31" s="1"/>
  <c r="FF154" i="31"/>
  <c r="IX157" i="29"/>
  <c r="IX161" i="31" s="1"/>
  <c r="IX154" i="31"/>
  <c r="U157" i="29"/>
  <c r="U161" i="31" s="1"/>
  <c r="U154" i="31"/>
  <c r="JN93" i="31"/>
  <c r="JM30" i="31"/>
  <c r="DO157" i="29"/>
  <c r="DO161" i="31" s="1"/>
  <c r="DO154" i="31"/>
  <c r="BM157" i="29"/>
  <c r="BM161" i="31" s="1"/>
  <c r="BM154" i="31"/>
  <c r="CU157" i="29"/>
  <c r="CU161" i="31" s="1"/>
  <c r="CU154" i="31"/>
  <c r="EV157" i="29"/>
  <c r="EV161" i="31" s="1"/>
  <c r="EV154" i="31"/>
  <c r="EN157" i="29"/>
  <c r="EN161" i="31" s="1"/>
  <c r="EN154" i="31"/>
  <c r="AY157" i="29"/>
  <c r="AY161" i="31" s="1"/>
  <c r="AY154" i="31"/>
  <c r="JF157" i="29"/>
  <c r="JF161" i="31" s="1"/>
  <c r="JF154" i="31"/>
  <c r="T157" i="29"/>
  <c r="T161" i="31" s="1"/>
  <c r="T154" i="31"/>
  <c r="JC157" i="29"/>
  <c r="JC161" i="31" s="1"/>
  <c r="JC154" i="31"/>
  <c r="BO157" i="29"/>
  <c r="BO161" i="31" s="1"/>
  <c r="BO154" i="31"/>
  <c r="HS157" i="29"/>
  <c r="HS161" i="31" s="1"/>
  <c r="HS154" i="31"/>
  <c r="HH157" i="29"/>
  <c r="HH161" i="31" s="1"/>
  <c r="HH154" i="31"/>
  <c r="BI157" i="29"/>
  <c r="BI161" i="31" s="1"/>
  <c r="BI154" i="31"/>
  <c r="BR157" i="29"/>
  <c r="BR161" i="31" s="1"/>
  <c r="BR154" i="31"/>
  <c r="DU154" i="31"/>
  <c r="DU152" i="29"/>
  <c r="DU156" i="31" s="1"/>
  <c r="DU157" i="29"/>
  <c r="DF157" i="29"/>
  <c r="DF161" i="31" s="1"/>
  <c r="DF154" i="31"/>
  <c r="BF157" i="29"/>
  <c r="BF161" i="31" s="1"/>
  <c r="BF154" i="31"/>
  <c r="CF157" i="29"/>
  <c r="CF161" i="31" s="1"/>
  <c r="CF154" i="31"/>
  <c r="W157" i="29"/>
  <c r="W161" i="31" s="1"/>
  <c r="W154" i="31"/>
  <c r="BW157" i="29"/>
  <c r="BW154" i="31"/>
  <c r="CC157" i="29"/>
  <c r="CC161" i="31" s="1"/>
  <c r="CC154" i="31"/>
  <c r="DK154" i="31"/>
  <c r="DK157" i="29"/>
  <c r="DK152" i="29"/>
  <c r="DK156" i="31" s="1"/>
  <c r="IJ157" i="29"/>
  <c r="IJ161" i="31" s="1"/>
  <c r="IJ154" i="31"/>
  <c r="CQ157" i="29"/>
  <c r="CQ161" i="31" s="1"/>
  <c r="CQ154" i="31"/>
  <c r="GN157" i="29"/>
  <c r="GN161" i="31" s="1"/>
  <c r="GN154" i="31"/>
  <c r="IS157" i="29"/>
  <c r="IS161" i="31" s="1"/>
  <c r="IS154" i="31"/>
  <c r="AO157" i="29"/>
  <c r="AO161" i="31" s="1"/>
  <c r="AO154" i="31"/>
  <c r="HI157" i="29"/>
  <c r="HI161" i="31" s="1"/>
  <c r="HI154" i="31"/>
  <c r="AX157" i="29"/>
  <c r="AX154" i="31"/>
  <c r="HT157" i="29"/>
  <c r="HT161" i="31" s="1"/>
  <c r="HT154" i="31"/>
  <c r="JN107" i="29"/>
  <c r="JI132" i="29"/>
  <c r="JI136" i="31" s="1"/>
  <c r="C133" i="29"/>
  <c r="JO14" i="29"/>
  <c r="JO99" i="29"/>
  <c r="JM14" i="29"/>
  <c r="CA146" i="29"/>
  <c r="CA150" i="31" s="1"/>
  <c r="JL14" i="29"/>
  <c r="JP13" i="29"/>
  <c r="JL99" i="29"/>
  <c r="FR169" i="29"/>
  <c r="JP30" i="29"/>
  <c r="JJ13" i="29"/>
  <c r="JO107" i="29"/>
  <c r="JM107" i="29"/>
  <c r="C157" i="29"/>
  <c r="C161" i="31" s="1"/>
  <c r="JI150" i="29"/>
  <c r="JI154" i="31" s="1"/>
  <c r="JP89" i="29"/>
  <c r="JN14" i="29"/>
  <c r="CA102" i="29"/>
  <c r="CA106" i="31" s="1"/>
  <c r="CA100" i="29"/>
  <c r="CA104" i="31" s="1"/>
  <c r="CA113" i="29"/>
  <c r="CA117" i="31" s="1"/>
  <c r="JL107" i="29"/>
  <c r="JI107" i="29"/>
  <c r="JI111" i="31" s="1"/>
  <c r="B8" i="21"/>
  <c r="G8" i="21" s="1"/>
  <c r="JL161" i="31" l="1"/>
  <c r="CA96" i="29"/>
  <c r="CA100" i="31" s="1"/>
  <c r="JP30" i="31"/>
  <c r="JP119" i="31"/>
  <c r="WC243" i="1"/>
  <c r="F237" i="32"/>
  <c r="EA159" i="31"/>
  <c r="EA153" i="29"/>
  <c r="WC180" i="1"/>
  <c r="F174" i="32"/>
  <c r="CN159" i="31"/>
  <c r="CN153" i="29"/>
  <c r="WC262" i="1"/>
  <c r="F256" i="32"/>
  <c r="EK159" i="31"/>
  <c r="EK153" i="29"/>
  <c r="CP153" i="29"/>
  <c r="WC183" i="1"/>
  <c r="F177" i="32"/>
  <c r="CP159" i="31"/>
  <c r="JP111" i="31"/>
  <c r="WB271" i="1"/>
  <c r="VY271" i="1"/>
  <c r="WB266" i="1"/>
  <c r="VY266" i="1"/>
  <c r="WB267" i="1"/>
  <c r="VY267" i="1"/>
  <c r="WB265" i="1"/>
  <c r="VY265" i="1"/>
  <c r="WB270" i="1"/>
  <c r="VY270" i="1"/>
  <c r="WB268" i="1"/>
  <c r="VY268" i="1"/>
  <c r="WB264" i="1"/>
  <c r="VY264" i="1"/>
  <c r="WB269" i="1"/>
  <c r="VY269" i="1"/>
  <c r="C46" i="29"/>
  <c r="C137" i="31"/>
  <c r="HV46" i="29"/>
  <c r="HV137" i="31"/>
  <c r="DS46" i="29"/>
  <c r="DS137" i="31"/>
  <c r="IW46" i="29"/>
  <c r="IW137" i="31"/>
  <c r="EU46" i="29"/>
  <c r="EU137" i="31"/>
  <c r="HA46" i="29"/>
  <c r="HA137" i="31"/>
  <c r="G46" i="29"/>
  <c r="G137" i="31"/>
  <c r="CY46" i="29"/>
  <c r="CY137" i="31"/>
  <c r="BK46" i="29"/>
  <c r="BK137" i="31"/>
  <c r="GB46" i="29"/>
  <c r="GB137" i="31"/>
  <c r="FX46" i="29"/>
  <c r="FX137" i="31"/>
  <c r="IK46" i="29"/>
  <c r="IK137" i="31"/>
  <c r="JE46" i="29"/>
  <c r="JE137" i="31"/>
  <c r="BN46" i="29"/>
  <c r="BN137" i="31"/>
  <c r="CH46" i="29"/>
  <c r="CH137" i="31"/>
  <c r="EJ159" i="29"/>
  <c r="EJ161" i="31"/>
  <c r="GP46" i="29"/>
  <c r="GP137" i="31"/>
  <c r="CM46" i="29"/>
  <c r="CM137" i="31"/>
  <c r="IC46" i="29"/>
  <c r="IC137" i="31"/>
  <c r="W46" i="29"/>
  <c r="W137" i="31"/>
  <c r="DB46" i="29"/>
  <c r="DB137" i="31"/>
  <c r="CB46" i="29"/>
  <c r="CB137" i="31"/>
  <c r="IZ46" i="29"/>
  <c r="IZ137" i="31"/>
  <c r="FY46" i="29"/>
  <c r="FY137" i="31"/>
  <c r="BE159" i="29"/>
  <c r="BE161" i="31"/>
  <c r="H159" i="29"/>
  <c r="H161" i="31"/>
  <c r="J159" i="29"/>
  <c r="J161" i="31"/>
  <c r="AP155" i="29"/>
  <c r="AP161" i="31"/>
  <c r="CO170" i="29"/>
  <c r="CO161" i="31"/>
  <c r="CO174" i="31" s="1"/>
  <c r="JB46" i="29"/>
  <c r="JB137" i="31"/>
  <c r="HH46" i="29"/>
  <c r="HH137" i="31"/>
  <c r="FV46" i="29"/>
  <c r="FV137" i="31"/>
  <c r="AJ46" i="29"/>
  <c r="AJ137" i="31"/>
  <c r="AL46" i="29"/>
  <c r="AL137" i="31"/>
  <c r="HD46" i="29"/>
  <c r="HD137" i="31"/>
  <c r="EQ46" i="29"/>
  <c r="EQ137" i="31"/>
  <c r="EG46" i="29"/>
  <c r="EG137" i="31"/>
  <c r="BW46" i="29"/>
  <c r="BW137" i="31"/>
  <c r="DG46" i="29"/>
  <c r="DG137" i="31"/>
  <c r="IF46" i="29"/>
  <c r="IF137" i="31"/>
  <c r="CT46" i="29"/>
  <c r="CT137" i="31"/>
  <c r="FI46" i="29"/>
  <c r="FI137" i="31"/>
  <c r="BC46" i="29"/>
  <c r="BC137" i="31"/>
  <c r="ET46" i="29"/>
  <c r="ET137" i="31"/>
  <c r="DJ46" i="29"/>
  <c r="DJ137" i="31"/>
  <c r="BE46" i="29"/>
  <c r="BE137" i="31"/>
  <c r="DV46" i="29"/>
  <c r="DV137" i="31"/>
  <c r="HB46" i="29"/>
  <c r="HB137" i="31"/>
  <c r="GI46" i="29"/>
  <c r="GI137" i="31"/>
  <c r="GE46" i="29"/>
  <c r="GE137" i="31"/>
  <c r="CZ46" i="29"/>
  <c r="CZ137" i="31"/>
  <c r="DN46" i="29"/>
  <c r="DN137" i="31"/>
  <c r="AH46" i="29"/>
  <c r="AH137" i="31"/>
  <c r="JN157" i="29"/>
  <c r="EU161" i="31"/>
  <c r="U46" i="29"/>
  <c r="U137" i="31"/>
  <c r="HM46" i="29"/>
  <c r="HM137" i="31"/>
  <c r="H46" i="29"/>
  <c r="H137" i="31"/>
  <c r="IU46" i="29"/>
  <c r="IU137" i="31"/>
  <c r="EH46" i="29"/>
  <c r="EH137" i="31"/>
  <c r="BM46" i="29"/>
  <c r="BM137" i="31"/>
  <c r="CL46" i="29"/>
  <c r="CL137" i="31"/>
  <c r="M46" i="29"/>
  <c r="M137" i="31"/>
  <c r="CF46" i="29"/>
  <c r="CF137" i="31"/>
  <c r="GQ46" i="29"/>
  <c r="GQ137" i="31"/>
  <c r="AG46" i="29"/>
  <c r="AG137" i="31"/>
  <c r="CU46" i="29"/>
  <c r="CU137" i="31"/>
  <c r="Y46" i="29"/>
  <c r="Y137" i="31"/>
  <c r="IH46" i="29"/>
  <c r="IH137" i="31"/>
  <c r="FW46" i="29"/>
  <c r="FW137" i="31"/>
  <c r="CX46" i="29"/>
  <c r="CX137" i="31"/>
  <c r="P46" i="29"/>
  <c r="P137" i="31"/>
  <c r="GL46" i="29"/>
  <c r="GL137" i="31"/>
  <c r="DX46" i="29"/>
  <c r="DX137" i="31"/>
  <c r="IM46" i="29"/>
  <c r="IM137" i="31"/>
  <c r="FE46" i="29"/>
  <c r="FE137" i="31"/>
  <c r="JP107" i="29"/>
  <c r="DK159" i="29"/>
  <c r="DK161" i="31"/>
  <c r="CL159" i="29"/>
  <c r="CL161" i="31"/>
  <c r="FC46" i="29"/>
  <c r="FC137" i="31"/>
  <c r="Z46" i="29"/>
  <c r="Z137" i="31"/>
  <c r="BT46" i="29"/>
  <c r="BT137" i="31"/>
  <c r="DC46" i="29"/>
  <c r="DC137" i="31"/>
  <c r="BA46" i="29"/>
  <c r="BA137" i="31"/>
  <c r="IN46" i="29"/>
  <c r="IN137" i="31"/>
  <c r="HJ46" i="29"/>
  <c r="HJ137" i="31"/>
  <c r="IT46" i="29"/>
  <c r="IT137" i="31"/>
  <c r="FG46" i="29"/>
  <c r="FG137" i="31"/>
  <c r="HL46" i="29"/>
  <c r="HL137" i="31"/>
  <c r="AV46" i="29"/>
  <c r="AV137" i="31"/>
  <c r="IA46" i="29"/>
  <c r="IA137" i="31"/>
  <c r="HO46" i="29"/>
  <c r="HO137" i="31"/>
  <c r="L46" i="29"/>
  <c r="L137" i="31"/>
  <c r="AM46" i="29"/>
  <c r="AM137" i="31"/>
  <c r="BV46" i="29"/>
  <c r="BV137" i="31"/>
  <c r="AO46" i="29"/>
  <c r="AO137" i="31"/>
  <c r="JO157" i="29"/>
  <c r="HL161" i="31"/>
  <c r="JO161" i="31" s="1"/>
  <c r="GF46" i="29"/>
  <c r="GF137" i="31"/>
  <c r="JD46" i="29"/>
  <c r="JD137" i="31"/>
  <c r="GJ46" i="29"/>
  <c r="GJ137" i="31"/>
  <c r="HE46" i="29"/>
  <c r="HE137" i="31"/>
  <c r="DT46" i="29"/>
  <c r="DT137" i="31"/>
  <c r="AF46" i="29"/>
  <c r="AF137" i="31"/>
  <c r="HU46" i="29"/>
  <c r="HU137" i="31"/>
  <c r="DL46" i="29"/>
  <c r="DL137" i="31"/>
  <c r="DI46" i="29"/>
  <c r="DI137" i="31"/>
  <c r="AN46" i="29"/>
  <c r="AN137" i="31"/>
  <c r="BF46" i="29"/>
  <c r="BF137" i="31"/>
  <c r="EA158" i="29"/>
  <c r="EA162" i="31" s="1"/>
  <c r="EA161" i="31"/>
  <c r="EA178" i="31" s="1"/>
  <c r="FS46" i="29"/>
  <c r="FS137" i="31"/>
  <c r="IR46" i="29"/>
  <c r="IR137" i="31"/>
  <c r="IE46" i="29"/>
  <c r="IE137" i="31"/>
  <c r="HC46" i="29"/>
  <c r="HC137" i="31"/>
  <c r="AB46" i="29"/>
  <c r="AB137" i="31"/>
  <c r="CR46" i="29"/>
  <c r="CR137" i="31"/>
  <c r="BZ46" i="29"/>
  <c r="BZ137" i="31"/>
  <c r="EE46" i="29"/>
  <c r="EE137" i="31"/>
  <c r="FN46" i="29"/>
  <c r="FN137" i="31"/>
  <c r="CN158" i="29"/>
  <c r="CN162" i="31" s="1"/>
  <c r="CN161" i="31"/>
  <c r="CN178" i="31" s="1"/>
  <c r="DW159" i="29"/>
  <c r="DW161" i="31"/>
  <c r="AT170" i="29"/>
  <c r="AT155" i="29" s="1"/>
  <c r="AT161" i="31"/>
  <c r="AT174" i="31" s="1"/>
  <c r="DD159" i="29"/>
  <c r="DD161" i="31"/>
  <c r="IP46" i="29"/>
  <c r="IP137" i="31"/>
  <c r="CS46" i="29"/>
  <c r="CS137" i="31"/>
  <c r="JA46" i="29"/>
  <c r="JA137" i="31"/>
  <c r="AU46" i="29"/>
  <c r="AU137" i="31"/>
  <c r="IG46" i="29"/>
  <c r="IG137" i="31"/>
  <c r="FR46" i="29"/>
  <c r="FR137" i="31"/>
  <c r="HN46" i="29"/>
  <c r="HN137" i="31"/>
  <c r="EF46" i="29"/>
  <c r="EF137" i="31"/>
  <c r="FK46" i="29"/>
  <c r="FK137" i="31"/>
  <c r="DQ46" i="29"/>
  <c r="DQ137" i="31"/>
  <c r="EB46" i="29"/>
  <c r="EB137" i="31"/>
  <c r="HQ46" i="29"/>
  <c r="HQ137" i="31"/>
  <c r="AS46" i="29"/>
  <c r="AS137" i="31"/>
  <c r="AI46" i="29"/>
  <c r="AI137" i="31"/>
  <c r="BG46" i="29"/>
  <c r="BG137" i="31"/>
  <c r="EV46" i="29"/>
  <c r="EV137" i="31"/>
  <c r="GW46" i="29"/>
  <c r="GW137" i="31"/>
  <c r="CV46" i="29"/>
  <c r="CV137" i="31"/>
  <c r="GR46" i="29"/>
  <c r="GR137" i="31"/>
  <c r="GV46" i="29"/>
  <c r="GV137" i="31"/>
  <c r="GC46" i="29"/>
  <c r="GC137" i="31"/>
  <c r="CC46" i="29"/>
  <c r="CC137" i="31"/>
  <c r="AZ46" i="29"/>
  <c r="AZ137" i="31"/>
  <c r="ID46" i="29"/>
  <c r="ID137" i="31"/>
  <c r="IL46" i="29"/>
  <c r="IL137" i="31"/>
  <c r="AX46" i="29"/>
  <c r="AX137" i="31"/>
  <c r="BW170" i="29"/>
  <c r="BW161" i="31"/>
  <c r="BW174" i="31" s="1"/>
  <c r="CI159" i="29"/>
  <c r="CI161" i="31"/>
  <c r="AW159" i="29"/>
  <c r="AW161" i="31"/>
  <c r="GD46" i="29"/>
  <c r="GD137" i="31"/>
  <c r="GK46" i="29"/>
  <c r="GK137" i="31"/>
  <c r="O46" i="29"/>
  <c r="O137" i="31"/>
  <c r="HT46" i="29"/>
  <c r="HT137" i="31"/>
  <c r="EP46" i="29"/>
  <c r="EP137" i="31"/>
  <c r="N46" i="29"/>
  <c r="N137" i="31"/>
  <c r="HX46" i="29"/>
  <c r="HX137" i="31"/>
  <c r="HR46" i="29"/>
  <c r="HR137" i="31"/>
  <c r="GH46" i="29"/>
  <c r="GH137" i="31"/>
  <c r="FL46" i="29"/>
  <c r="FL137" i="31"/>
  <c r="EI46" i="29"/>
  <c r="EI137" i="31"/>
  <c r="CP46" i="29"/>
  <c r="CP137" i="31"/>
  <c r="FQ46" i="29"/>
  <c r="FQ137" i="31"/>
  <c r="J46" i="29"/>
  <c r="J137" i="31"/>
  <c r="EM46" i="29"/>
  <c r="EM137" i="31"/>
  <c r="FD159" i="29"/>
  <c r="FD161" i="31"/>
  <c r="HK46" i="29"/>
  <c r="HK137" i="31"/>
  <c r="BI46" i="29"/>
  <c r="BI137" i="31"/>
  <c r="DK46" i="29"/>
  <c r="DK137" i="31"/>
  <c r="FZ46" i="29"/>
  <c r="FZ137" i="31"/>
  <c r="GM46" i="29"/>
  <c r="GM137" i="31"/>
  <c r="BP46" i="29"/>
  <c r="BP137" i="31"/>
  <c r="DM46" i="29"/>
  <c r="DM137" i="31"/>
  <c r="GU46" i="29"/>
  <c r="GU137" i="31"/>
  <c r="HZ46" i="29"/>
  <c r="HZ137" i="31"/>
  <c r="N170" i="29"/>
  <c r="N161" i="31"/>
  <c r="N174" i="31" s="1"/>
  <c r="HJ159" i="29"/>
  <c r="HJ161" i="31"/>
  <c r="DL170" i="29"/>
  <c r="DL155" i="29" s="1"/>
  <c r="DL161" i="31"/>
  <c r="DL174" i="31" s="1"/>
  <c r="DX159" i="29"/>
  <c r="DX161" i="31"/>
  <c r="BQ159" i="29"/>
  <c r="BQ161" i="31"/>
  <c r="BS155" i="29"/>
  <c r="BS161" i="31"/>
  <c r="I46" i="29"/>
  <c r="I137" i="31"/>
  <c r="FB46" i="29"/>
  <c r="FB137" i="31"/>
  <c r="ED46" i="29"/>
  <c r="ED137" i="31"/>
  <c r="BS46" i="29"/>
  <c r="BS137" i="31"/>
  <c r="DU46" i="29"/>
  <c r="DU137" i="31"/>
  <c r="BQ46" i="29"/>
  <c r="BQ137" i="31"/>
  <c r="IY46" i="29"/>
  <c r="IY137" i="31"/>
  <c r="HS46" i="29"/>
  <c r="HS137" i="31"/>
  <c r="T46" i="29"/>
  <c r="T137" i="31"/>
  <c r="V46" i="29"/>
  <c r="V137" i="31"/>
  <c r="ES46" i="29"/>
  <c r="ES137" i="31"/>
  <c r="D46" i="29"/>
  <c r="D137" i="31"/>
  <c r="GS46" i="29"/>
  <c r="GS137" i="31"/>
  <c r="CW46" i="29"/>
  <c r="CW137" i="31"/>
  <c r="GX46" i="29"/>
  <c r="GX137" i="31"/>
  <c r="FJ46" i="29"/>
  <c r="FJ137" i="31"/>
  <c r="CD46" i="29"/>
  <c r="CD137" i="31"/>
  <c r="HF46" i="29"/>
  <c r="HF137" i="31"/>
  <c r="EY46" i="29"/>
  <c r="EY137" i="31"/>
  <c r="GG46" i="29"/>
  <c r="GG137" i="31"/>
  <c r="GO46" i="29"/>
  <c r="GO137" i="31"/>
  <c r="EK46" i="29"/>
  <c r="EK137" i="31"/>
  <c r="CQ46" i="29"/>
  <c r="CQ137" i="31"/>
  <c r="GN46" i="29"/>
  <c r="GN137" i="31"/>
  <c r="FO46" i="29"/>
  <c r="FO137" i="31"/>
  <c r="DF46" i="29"/>
  <c r="DF137" i="31"/>
  <c r="DW46" i="29"/>
  <c r="DW137" i="31"/>
  <c r="R46" i="29"/>
  <c r="R137" i="31"/>
  <c r="EA46" i="29"/>
  <c r="EA137" i="31"/>
  <c r="HW46" i="29"/>
  <c r="HW137" i="31"/>
  <c r="BJ46" i="29"/>
  <c r="BJ137" i="31"/>
  <c r="CK46" i="29"/>
  <c r="CK137" i="31"/>
  <c r="FA46" i="29"/>
  <c r="FA137" i="31"/>
  <c r="FT46" i="29"/>
  <c r="FT137" i="31"/>
  <c r="FH46" i="29"/>
  <c r="FH137" i="31"/>
  <c r="DR46" i="29"/>
  <c r="DR137" i="31"/>
  <c r="AP46" i="29"/>
  <c r="AP137" i="31"/>
  <c r="BD46" i="29"/>
  <c r="BD137" i="31"/>
  <c r="IS46" i="29"/>
  <c r="IS137" i="31"/>
  <c r="GT46" i="29"/>
  <c r="GT137" i="31"/>
  <c r="S46" i="29"/>
  <c r="S137" i="31"/>
  <c r="HP46" i="29"/>
  <c r="HP137" i="31"/>
  <c r="DZ46" i="29"/>
  <c r="DZ137" i="31"/>
  <c r="IB46" i="29"/>
  <c r="IB137" i="31"/>
  <c r="CN46" i="29"/>
  <c r="CN137" i="31"/>
  <c r="AX155" i="29"/>
  <c r="AX161" i="31"/>
  <c r="DU159" i="29"/>
  <c r="DU161" i="31"/>
  <c r="CB170" i="29"/>
  <c r="CB155" i="29" s="1"/>
  <c r="CB161" i="31"/>
  <c r="CB174" i="31" s="1"/>
  <c r="I159" i="29"/>
  <c r="I161" i="31"/>
  <c r="EK161" i="31"/>
  <c r="EK170" i="29"/>
  <c r="CD170" i="29"/>
  <c r="CD161" i="31"/>
  <c r="CD174" i="31" s="1"/>
  <c r="GY46" i="29"/>
  <c r="GY137" i="31"/>
  <c r="EO46" i="29"/>
  <c r="EO137" i="31"/>
  <c r="JH46" i="29"/>
  <c r="JH137" i="31"/>
  <c r="EX46" i="29"/>
  <c r="EX137" i="31"/>
  <c r="CI46" i="29"/>
  <c r="CI137" i="31"/>
  <c r="AE46" i="29"/>
  <c r="AE137" i="31"/>
  <c r="JC46" i="29"/>
  <c r="JC137" i="31"/>
  <c r="CE46" i="29"/>
  <c r="CE137" i="31"/>
  <c r="II46" i="29"/>
  <c r="II137" i="31"/>
  <c r="DO46" i="29"/>
  <c r="DO137" i="31"/>
  <c r="BL46" i="29"/>
  <c r="BL137" i="31"/>
  <c r="HI46" i="29"/>
  <c r="HI137" i="31"/>
  <c r="EW46" i="29"/>
  <c r="EW137" i="31"/>
  <c r="E46" i="29"/>
  <c r="E137" i="31"/>
  <c r="X46" i="29"/>
  <c r="X137" i="31"/>
  <c r="BX46" i="29"/>
  <c r="BX137" i="31"/>
  <c r="K46" i="29"/>
  <c r="K137" i="31"/>
  <c r="IO46" i="29"/>
  <c r="IO137" i="31"/>
  <c r="EL46" i="29"/>
  <c r="EL137" i="31"/>
  <c r="DA46" i="29"/>
  <c r="DA137" i="31"/>
  <c r="DP46" i="29"/>
  <c r="DP137" i="31"/>
  <c r="CJ46" i="29"/>
  <c r="CJ137" i="31"/>
  <c r="DE46" i="29"/>
  <c r="DE137" i="31"/>
  <c r="EC46" i="29"/>
  <c r="EC137" i="31"/>
  <c r="DH46" i="29"/>
  <c r="DH137" i="31"/>
  <c r="JM157" i="29"/>
  <c r="F161" i="31"/>
  <c r="IX46" i="29"/>
  <c r="IX137" i="31"/>
  <c r="BH46" i="29"/>
  <c r="BH137" i="31"/>
  <c r="CG46" i="29"/>
  <c r="CG137" i="31"/>
  <c r="JP93" i="31"/>
  <c r="AQ170" i="29"/>
  <c r="AQ155" i="29" s="1"/>
  <c r="AQ161" i="31"/>
  <c r="AQ174" i="31" s="1"/>
  <c r="DI159" i="29"/>
  <c r="DI161" i="31"/>
  <c r="FR173" i="31"/>
  <c r="FP46" i="29"/>
  <c r="FP137" i="31"/>
  <c r="IQ46" i="29"/>
  <c r="IQ137" i="31"/>
  <c r="BO46" i="29"/>
  <c r="BO137" i="31"/>
  <c r="JG46" i="29"/>
  <c r="JG137" i="31"/>
  <c r="ER46" i="29"/>
  <c r="ER137" i="31"/>
  <c r="EJ46" i="29"/>
  <c r="EJ137" i="31"/>
  <c r="AD46" i="29"/>
  <c r="AD137" i="31"/>
  <c r="FU46" i="29"/>
  <c r="FU137" i="31"/>
  <c r="JF46" i="29"/>
  <c r="JF137" i="31"/>
  <c r="CH159" i="29"/>
  <c r="CH161" i="31"/>
  <c r="BU170" i="29"/>
  <c r="BU155" i="29" s="1"/>
  <c r="BU161" i="31"/>
  <c r="BU174" i="31" s="1"/>
  <c r="CP170" i="29"/>
  <c r="CP161" i="31"/>
  <c r="CP174" i="31" s="1"/>
  <c r="CP178" i="31" s="1"/>
  <c r="AN170" i="29"/>
  <c r="AN155" i="29" s="1"/>
  <c r="AN161" i="31"/>
  <c r="AN174" i="31" s="1"/>
  <c r="BB46" i="29"/>
  <c r="BB137" i="31"/>
  <c r="BU46" i="29"/>
  <c r="BU137" i="31"/>
  <c r="Q46" i="29"/>
  <c r="Q137" i="31"/>
  <c r="AR46" i="29"/>
  <c r="AR137" i="31"/>
  <c r="BY46" i="29"/>
  <c r="BY137" i="31"/>
  <c r="AQ46" i="29"/>
  <c r="AQ137" i="31"/>
  <c r="FM46" i="29"/>
  <c r="FM137" i="31"/>
  <c r="F46" i="29"/>
  <c r="F137" i="31"/>
  <c r="AK46" i="29"/>
  <c r="AK137" i="31"/>
  <c r="HY46" i="29"/>
  <c r="HY137" i="31"/>
  <c r="IJ46" i="29"/>
  <c r="IJ137" i="31"/>
  <c r="IV46" i="29"/>
  <c r="IV137" i="31"/>
  <c r="HG46" i="29"/>
  <c r="HG137" i="31"/>
  <c r="AA46" i="29"/>
  <c r="AA137" i="31"/>
  <c r="AW46" i="29"/>
  <c r="AW137" i="31"/>
  <c r="EZ46" i="29"/>
  <c r="EZ137" i="31"/>
  <c r="EN46" i="29"/>
  <c r="EN137" i="31"/>
  <c r="GA46" i="29"/>
  <c r="GA137" i="31"/>
  <c r="CO46" i="29"/>
  <c r="CO137" i="31"/>
  <c r="DJ159" i="29"/>
  <c r="DJ161" i="31"/>
  <c r="CT159" i="29"/>
  <c r="CT161" i="31"/>
  <c r="GZ46" i="29"/>
  <c r="GZ137" i="31"/>
  <c r="FF46" i="29"/>
  <c r="FF137" i="31"/>
  <c r="DD46" i="29"/>
  <c r="DD137" i="31"/>
  <c r="BR46" i="29"/>
  <c r="BR137" i="31"/>
  <c r="FD46" i="29"/>
  <c r="FD137" i="31"/>
  <c r="AT46" i="29"/>
  <c r="AT137" i="31"/>
  <c r="AY46" i="29"/>
  <c r="AY137" i="31"/>
  <c r="DY46" i="29"/>
  <c r="DY137" i="31"/>
  <c r="JP14" i="29"/>
  <c r="CA148" i="29"/>
  <c r="CA152" i="31" s="1"/>
  <c r="CA116" i="29"/>
  <c r="CA120" i="31" s="1"/>
  <c r="JI157" i="29"/>
  <c r="JI161" i="31" s="1"/>
  <c r="JL157" i="29"/>
  <c r="C51" i="29"/>
  <c r="C55" i="31" s="1"/>
  <c r="CA106" i="29"/>
  <c r="CA110" i="31" s="1"/>
  <c r="CA103" i="29"/>
  <c r="CA107" i="31" s="1"/>
  <c r="C8" i="21"/>
  <c r="P31" i="7"/>
  <c r="R29" i="7"/>
  <c r="N29" i="7"/>
  <c r="R28" i="7"/>
  <c r="N28" i="7"/>
  <c r="R27" i="7"/>
  <c r="N27" i="7"/>
  <c r="R26" i="7"/>
  <c r="N26" i="7"/>
  <c r="R25" i="7"/>
  <c r="N25" i="7"/>
  <c r="R24" i="7"/>
  <c r="N24" i="7"/>
  <c r="N23" i="7"/>
  <c r="N22" i="7"/>
  <c r="R21" i="7"/>
  <c r="N21" i="7"/>
  <c r="R20" i="7"/>
  <c r="N20" i="7"/>
  <c r="R19" i="7"/>
  <c r="N19" i="7"/>
  <c r="R18" i="7"/>
  <c r="N18" i="7"/>
  <c r="R17" i="7"/>
  <c r="N17" i="7"/>
  <c r="R16" i="7"/>
  <c r="N16" i="7"/>
  <c r="R15" i="7"/>
  <c r="N15" i="7"/>
  <c r="R14" i="7"/>
  <c r="N14" i="7"/>
  <c r="R13" i="7"/>
  <c r="N13" i="7"/>
  <c r="R12" i="7"/>
  <c r="N12" i="7"/>
  <c r="R11" i="7"/>
  <c r="N11" i="7"/>
  <c r="R10" i="7"/>
  <c r="N10" i="7"/>
  <c r="R9" i="7"/>
  <c r="N9" i="7"/>
  <c r="R8" i="7"/>
  <c r="N8" i="7"/>
  <c r="R7" i="7"/>
  <c r="N7" i="7"/>
  <c r="R6" i="7"/>
  <c r="N6" i="7"/>
  <c r="R5" i="7"/>
  <c r="N5" i="7"/>
  <c r="R4" i="7"/>
  <c r="N4" i="7"/>
  <c r="R3" i="7"/>
  <c r="N3" i="7"/>
  <c r="JL46" i="29" l="1"/>
  <c r="WC103" i="1"/>
  <c r="F97" i="32"/>
  <c r="AQ153" i="29"/>
  <c r="AQ159" i="31"/>
  <c r="AQ176" i="31" s="1"/>
  <c r="JM161" i="31"/>
  <c r="WC100" i="1"/>
  <c r="F94" i="32"/>
  <c r="AP159" i="31"/>
  <c r="AP153" i="29"/>
  <c r="WC210" i="1"/>
  <c r="F204" i="32"/>
  <c r="DL153" i="29"/>
  <c r="DL159" i="31"/>
  <c r="DL178" i="31" s="1"/>
  <c r="WC101" i="1"/>
  <c r="F95" i="32"/>
  <c r="AT153" i="29"/>
  <c r="AT159" i="31"/>
  <c r="JP157" i="29"/>
  <c r="WC52" i="1"/>
  <c r="F46" i="32"/>
  <c r="AN159" i="31"/>
  <c r="AN178" i="31" s="1"/>
  <c r="AN153" i="29"/>
  <c r="WC164" i="1"/>
  <c r="F158" i="32"/>
  <c r="BU153" i="29"/>
  <c r="BU159" i="31"/>
  <c r="BU178" i="31" s="1"/>
  <c r="WC168" i="1"/>
  <c r="F162" i="32"/>
  <c r="CB153" i="29"/>
  <c r="CB159" i="31"/>
  <c r="CB178" i="31" s="1"/>
  <c r="WC108" i="1"/>
  <c r="F102" i="32"/>
  <c r="AX159" i="31"/>
  <c r="AX178" i="31" s="1"/>
  <c r="AX153" i="29"/>
  <c r="BS158" i="29"/>
  <c r="BS162" i="31" s="1"/>
  <c r="WC159" i="1"/>
  <c r="F153" i="32"/>
  <c r="BS153" i="29"/>
  <c r="BS159" i="31"/>
  <c r="BS178" i="31" s="1"/>
  <c r="AP178" i="31"/>
  <c r="JI46" i="29"/>
  <c r="JI50" i="31" s="1"/>
  <c r="EC52" i="29"/>
  <c r="EC50" i="31"/>
  <c r="EC51" i="29"/>
  <c r="CJ52" i="29"/>
  <c r="CJ50" i="31"/>
  <c r="CJ51" i="29"/>
  <c r="DA52" i="29"/>
  <c r="DA50" i="31"/>
  <c r="DA51" i="29"/>
  <c r="IO52" i="29"/>
  <c r="IO50" i="31"/>
  <c r="IO51" i="29"/>
  <c r="IO92" i="29"/>
  <c r="IO96" i="31" s="1"/>
  <c r="BX52" i="29"/>
  <c r="BX50" i="31"/>
  <c r="BX51" i="29"/>
  <c r="E52" i="29"/>
  <c r="E50" i="31"/>
  <c r="E51" i="29"/>
  <c r="HI52" i="29"/>
  <c r="HI50" i="31"/>
  <c r="HI92" i="29"/>
  <c r="HI96" i="31" s="1"/>
  <c r="HI51" i="29"/>
  <c r="DO52" i="29"/>
  <c r="DO50" i="31"/>
  <c r="DO49" i="29"/>
  <c r="DO51" i="29" s="1"/>
  <c r="DO55" i="31" s="1"/>
  <c r="CE52" i="29"/>
  <c r="CE50" i="31"/>
  <c r="CE51" i="29"/>
  <c r="AE52" i="29"/>
  <c r="AE50" i="31"/>
  <c r="AE51" i="29"/>
  <c r="EX52" i="29"/>
  <c r="EX50" i="31"/>
  <c r="EX51" i="29"/>
  <c r="EX92" i="29"/>
  <c r="EX96" i="31" s="1"/>
  <c r="EO52" i="29"/>
  <c r="EO50" i="31"/>
  <c r="EO51" i="29"/>
  <c r="AT178" i="31"/>
  <c r="IM52" i="29"/>
  <c r="IM50" i="31"/>
  <c r="IM51" i="29"/>
  <c r="IM92" i="29"/>
  <c r="IM96" i="31" s="1"/>
  <c r="GL52" i="29"/>
  <c r="GL50" i="31"/>
  <c r="GL92" i="29"/>
  <c r="GL96" i="31" s="1"/>
  <c r="GL51" i="29"/>
  <c r="CX52" i="29"/>
  <c r="CX50" i="31"/>
  <c r="CX51" i="29"/>
  <c r="IH52" i="29"/>
  <c r="IH50" i="31"/>
  <c r="IH51" i="29"/>
  <c r="IH92" i="29"/>
  <c r="IH96" i="31" s="1"/>
  <c r="CU52" i="29"/>
  <c r="CU50" i="31"/>
  <c r="CU51" i="29"/>
  <c r="GQ52" i="29"/>
  <c r="GQ50" i="31"/>
  <c r="GQ51" i="29"/>
  <c r="GQ92" i="29"/>
  <c r="GQ96" i="31" s="1"/>
  <c r="M52" i="29"/>
  <c r="M50" i="31"/>
  <c r="M51" i="29"/>
  <c r="BM52" i="29"/>
  <c r="BM50" i="31"/>
  <c r="BM49" i="29"/>
  <c r="IU52" i="29"/>
  <c r="IU50" i="31"/>
  <c r="IU92" i="29"/>
  <c r="IU96" i="31" s="1"/>
  <c r="IU51" i="29"/>
  <c r="HM52" i="29"/>
  <c r="HM50" i="31"/>
  <c r="HM51" i="29"/>
  <c r="HM92" i="29"/>
  <c r="HM96" i="31" s="1"/>
  <c r="DN52" i="29"/>
  <c r="DN50" i="31"/>
  <c r="DN51" i="29"/>
  <c r="GE52" i="29"/>
  <c r="GE50" i="31"/>
  <c r="GE92" i="29"/>
  <c r="GE163" i="29"/>
  <c r="GE51" i="29"/>
  <c r="HB52" i="29"/>
  <c r="HB50" i="31"/>
  <c r="HB92" i="29"/>
  <c r="HB96" i="31" s="1"/>
  <c r="HB51" i="29"/>
  <c r="BE52" i="29"/>
  <c r="BE50" i="31"/>
  <c r="BE163" i="29"/>
  <c r="BE51" i="29"/>
  <c r="ET52" i="29"/>
  <c r="ET50" i="31"/>
  <c r="ET92" i="29"/>
  <c r="ET51" i="29"/>
  <c r="JN46" i="29"/>
  <c r="FI52" i="29"/>
  <c r="FI50" i="31"/>
  <c r="FI51" i="29"/>
  <c r="FI92" i="29"/>
  <c r="FI96" i="31" s="1"/>
  <c r="IF52" i="29"/>
  <c r="IF50" i="31"/>
  <c r="IF51" i="29"/>
  <c r="IF92" i="29"/>
  <c r="IF96" i="31" s="1"/>
  <c r="BW52" i="29"/>
  <c r="BW50" i="31"/>
  <c r="BW49" i="29"/>
  <c r="EQ52" i="29"/>
  <c r="EQ50" i="31"/>
  <c r="EQ49" i="29"/>
  <c r="AL52" i="29"/>
  <c r="AL50" i="31"/>
  <c r="AL51" i="29"/>
  <c r="FV52" i="29"/>
  <c r="FV50" i="31"/>
  <c r="FV92" i="29"/>
  <c r="FV96" i="31" s="1"/>
  <c r="FV51" i="29"/>
  <c r="JB52" i="29"/>
  <c r="JB50" i="31"/>
  <c r="JB92" i="29"/>
  <c r="JB96" i="31" s="1"/>
  <c r="JB51" i="29"/>
  <c r="AP174" i="29"/>
  <c r="AP180" i="29"/>
  <c r="AP158" i="29"/>
  <c r="AP183" i="29"/>
  <c r="H163" i="31"/>
  <c r="H171" i="31" s="1"/>
  <c r="H160" i="29"/>
  <c r="H164" i="31" s="1"/>
  <c r="H161" i="29"/>
  <c r="H165" i="31" s="1"/>
  <c r="H167" i="29"/>
  <c r="FY52" i="29"/>
  <c r="FY50" i="31"/>
  <c r="FY92" i="29"/>
  <c r="FY96" i="31" s="1"/>
  <c r="FY51" i="29"/>
  <c r="CB52" i="29"/>
  <c r="CB50" i="31"/>
  <c r="CB49" i="29"/>
  <c r="W52" i="29"/>
  <c r="W50" i="31"/>
  <c r="W51" i="29"/>
  <c r="CM52" i="29"/>
  <c r="CM50" i="31"/>
  <c r="CM51" i="29"/>
  <c r="EJ163" i="31"/>
  <c r="EJ171" i="31" s="1"/>
  <c r="EJ160" i="29"/>
  <c r="EJ164" i="31" s="1"/>
  <c r="EJ161" i="29"/>
  <c r="EJ165" i="31" s="1"/>
  <c r="EJ167" i="29"/>
  <c r="BN52" i="29"/>
  <c r="BN50" i="31"/>
  <c r="BN51" i="29"/>
  <c r="IK52" i="29"/>
  <c r="IK50" i="31"/>
  <c r="IK51" i="29"/>
  <c r="IK92" i="29"/>
  <c r="IK96" i="31" s="1"/>
  <c r="GB52" i="29"/>
  <c r="GB50" i="31"/>
  <c r="GB92" i="29"/>
  <c r="GB96" i="31" s="1"/>
  <c r="GB51" i="29"/>
  <c r="CY52" i="29"/>
  <c r="CY50" i="31"/>
  <c r="CY51" i="29"/>
  <c r="HA52" i="29"/>
  <c r="HA50" i="31"/>
  <c r="HA92" i="29"/>
  <c r="HA96" i="31" s="1"/>
  <c r="HA51" i="29"/>
  <c r="IW52" i="29"/>
  <c r="IW50" i="31"/>
  <c r="IW51" i="29"/>
  <c r="IW92" i="29"/>
  <c r="IW96" i="31" s="1"/>
  <c r="HV52" i="29"/>
  <c r="HV50" i="31"/>
  <c r="HV51" i="29"/>
  <c r="HV92" i="29"/>
  <c r="HV96" i="31" s="1"/>
  <c r="DY52" i="29"/>
  <c r="DY50" i="31"/>
  <c r="DY51" i="29"/>
  <c r="BR52" i="29"/>
  <c r="BR50" i="31"/>
  <c r="BR51" i="29"/>
  <c r="FF52" i="29"/>
  <c r="FF50" i="31"/>
  <c r="FF51" i="29"/>
  <c r="FF92" i="29"/>
  <c r="FF96" i="31" s="1"/>
  <c r="CT163" i="31"/>
  <c r="CT171" i="31" s="1"/>
  <c r="CT161" i="29"/>
  <c r="CT165" i="31" s="1"/>
  <c r="CT160" i="29"/>
  <c r="CT164" i="31" s="1"/>
  <c r="CT167" i="29"/>
  <c r="CO52" i="29"/>
  <c r="CO50" i="31"/>
  <c r="CO51" i="29"/>
  <c r="EN52" i="29"/>
  <c r="EN50" i="31"/>
  <c r="EN49" i="29"/>
  <c r="EN51" i="29" s="1"/>
  <c r="AW52" i="29"/>
  <c r="AW50" i="31"/>
  <c r="AW51" i="29"/>
  <c r="AW163" i="29"/>
  <c r="HG52" i="29"/>
  <c r="HG50" i="31"/>
  <c r="HG92" i="29"/>
  <c r="HG96" i="31" s="1"/>
  <c r="HG51" i="29"/>
  <c r="IJ52" i="29"/>
  <c r="IJ50" i="31"/>
  <c r="IJ51" i="29"/>
  <c r="IJ92" i="29"/>
  <c r="IJ96" i="31" s="1"/>
  <c r="AK52" i="29"/>
  <c r="AK50" i="31"/>
  <c r="AK49" i="29"/>
  <c r="AK51" i="29" s="1"/>
  <c r="FM52" i="29"/>
  <c r="FM50" i="31"/>
  <c r="FM92" i="29"/>
  <c r="FM96" i="31" s="1"/>
  <c r="FM51" i="29"/>
  <c r="BY52" i="29"/>
  <c r="BY50" i="31"/>
  <c r="BY51" i="29"/>
  <c r="Q52" i="29"/>
  <c r="Q50" i="31"/>
  <c r="Q51" i="29"/>
  <c r="BB52" i="29"/>
  <c r="BB50" i="31"/>
  <c r="BB51" i="29"/>
  <c r="CP180" i="29"/>
  <c r="CP174" i="29"/>
  <c r="CP158" i="29"/>
  <c r="CP183" i="29"/>
  <c r="CP181" i="29"/>
  <c r="CH163" i="31"/>
  <c r="CH171" i="31" s="1"/>
  <c r="CH160" i="29"/>
  <c r="CH164" i="31" s="1"/>
  <c r="CH161" i="29"/>
  <c r="CH165" i="31" s="1"/>
  <c r="CH167" i="29"/>
  <c r="FU52" i="29"/>
  <c r="FU50" i="31"/>
  <c r="FU51" i="29"/>
  <c r="FU92" i="29"/>
  <c r="FU96" i="31" s="1"/>
  <c r="EJ52" i="29"/>
  <c r="EJ50" i="31"/>
  <c r="EJ49" i="29"/>
  <c r="EJ51" i="29" s="1"/>
  <c r="JG52" i="29"/>
  <c r="JG50" i="31"/>
  <c r="JG92" i="29"/>
  <c r="JG96" i="31" s="1"/>
  <c r="JG51" i="29"/>
  <c r="IQ52" i="29"/>
  <c r="IQ50" i="31"/>
  <c r="IQ51" i="29"/>
  <c r="IQ92" i="29"/>
  <c r="IQ96" i="31" s="1"/>
  <c r="AQ172" i="29"/>
  <c r="AQ180" i="29"/>
  <c r="AQ174" i="29"/>
  <c r="AQ158" i="29"/>
  <c r="AQ183" i="29"/>
  <c r="AQ181" i="29"/>
  <c r="AY52" i="29"/>
  <c r="AY50" i="31"/>
  <c r="AY51" i="29"/>
  <c r="GZ52" i="29"/>
  <c r="GZ50" i="31"/>
  <c r="GZ92" i="29"/>
  <c r="GZ49" i="29"/>
  <c r="GZ51" i="29" s="1"/>
  <c r="DJ163" i="31"/>
  <c r="DJ171" i="31" s="1"/>
  <c r="DJ161" i="29"/>
  <c r="DJ165" i="31" s="1"/>
  <c r="DJ160" i="29"/>
  <c r="DJ164" i="31" s="1"/>
  <c r="DJ167" i="29"/>
  <c r="AA52" i="29"/>
  <c r="AA50" i="31"/>
  <c r="AA51" i="29"/>
  <c r="HY52" i="29"/>
  <c r="HY50" i="31"/>
  <c r="HY92" i="29"/>
  <c r="HY96" i="31" s="1"/>
  <c r="HY51" i="29"/>
  <c r="F52" i="29"/>
  <c r="F50" i="31"/>
  <c r="F51" i="29"/>
  <c r="JM46" i="29"/>
  <c r="BU52" i="29"/>
  <c r="BU50" i="31"/>
  <c r="BU51" i="29"/>
  <c r="AD52" i="29"/>
  <c r="AD50" i="31"/>
  <c r="AD51" i="29"/>
  <c r="BO52" i="29"/>
  <c r="BO50" i="31"/>
  <c r="BO51" i="29"/>
  <c r="I163" i="31"/>
  <c r="I171" i="31" s="1"/>
  <c r="I161" i="29"/>
  <c r="I165" i="31" s="1"/>
  <c r="I160" i="29"/>
  <c r="I164" i="31" s="1"/>
  <c r="I167" i="29"/>
  <c r="DZ52" i="29"/>
  <c r="DZ50" i="31"/>
  <c r="DZ49" i="29"/>
  <c r="IS52" i="29"/>
  <c r="IS50" i="31"/>
  <c r="IS51" i="29"/>
  <c r="IS92" i="29"/>
  <c r="IS96" i="31" s="1"/>
  <c r="AP52" i="29"/>
  <c r="AP50" i="31"/>
  <c r="AP49" i="29"/>
  <c r="FH52" i="29"/>
  <c r="FH50" i="31"/>
  <c r="FH51" i="29"/>
  <c r="FH92" i="29"/>
  <c r="FH96" i="31" s="1"/>
  <c r="FA52" i="29"/>
  <c r="FA50" i="31"/>
  <c r="FA51" i="29"/>
  <c r="FA92" i="29"/>
  <c r="FA96" i="31" s="1"/>
  <c r="BJ52" i="29"/>
  <c r="BJ50" i="31"/>
  <c r="BJ51" i="29"/>
  <c r="EA52" i="29"/>
  <c r="EA50" i="31"/>
  <c r="EA51" i="29"/>
  <c r="DW52" i="29"/>
  <c r="DW50" i="31"/>
  <c r="DW49" i="29"/>
  <c r="CQ52" i="29"/>
  <c r="CQ50" i="31"/>
  <c r="CQ51" i="29"/>
  <c r="GO52" i="29"/>
  <c r="GO50" i="31"/>
  <c r="GO92" i="29"/>
  <c r="GO96" i="31" s="1"/>
  <c r="GO51" i="29"/>
  <c r="EY52" i="29"/>
  <c r="EY50" i="31"/>
  <c r="EY51" i="29"/>
  <c r="EY92" i="29"/>
  <c r="EY96" i="31" s="1"/>
  <c r="CD52" i="29"/>
  <c r="CD50" i="31"/>
  <c r="CD51" i="29"/>
  <c r="GX52" i="29"/>
  <c r="GX50" i="31"/>
  <c r="GX51" i="29"/>
  <c r="GX92" i="29"/>
  <c r="GX96" i="31" s="1"/>
  <c r="GS52" i="29"/>
  <c r="GS50" i="31"/>
  <c r="GS92" i="29"/>
  <c r="GS96" i="31" s="1"/>
  <c r="GS51" i="29"/>
  <c r="ES52" i="29"/>
  <c r="ES50" i="31"/>
  <c r="ES51" i="29"/>
  <c r="T52" i="29"/>
  <c r="T50" i="31"/>
  <c r="T51" i="29"/>
  <c r="IY52" i="29"/>
  <c r="IY50" i="31"/>
  <c r="IY92" i="29"/>
  <c r="IY96" i="31" s="1"/>
  <c r="IY51" i="29"/>
  <c r="DU52" i="29"/>
  <c r="DU50" i="31"/>
  <c r="DU163" i="29"/>
  <c r="DU51" i="29"/>
  <c r="ED52" i="29"/>
  <c r="ED50" i="31"/>
  <c r="ED51" i="29"/>
  <c r="I52" i="29"/>
  <c r="I50" i="31"/>
  <c r="I51" i="29"/>
  <c r="I163" i="29"/>
  <c r="BQ163" i="31"/>
  <c r="BQ171" i="31" s="1"/>
  <c r="BQ160" i="29"/>
  <c r="BQ164" i="31" s="1"/>
  <c r="BQ161" i="29"/>
  <c r="BQ165" i="31" s="1"/>
  <c r="BQ167" i="29"/>
  <c r="DL172" i="29"/>
  <c r="N155" i="29"/>
  <c r="N172" i="29"/>
  <c r="GU52" i="29"/>
  <c r="GU50" i="31"/>
  <c r="GU92" i="29"/>
  <c r="GU96" i="31" s="1"/>
  <c r="GU51" i="29"/>
  <c r="BP52" i="29"/>
  <c r="BP50" i="31"/>
  <c r="BP51" i="29"/>
  <c r="FZ52" i="29"/>
  <c r="FZ50" i="31"/>
  <c r="FZ92" i="29"/>
  <c r="FZ96" i="31" s="1"/>
  <c r="FZ51" i="29"/>
  <c r="BI52" i="29"/>
  <c r="BI50" i="31"/>
  <c r="BI51" i="29"/>
  <c r="FD163" i="31"/>
  <c r="FD171" i="31" s="1"/>
  <c r="FD161" i="29"/>
  <c r="FD165" i="31" s="1"/>
  <c r="FD160" i="29"/>
  <c r="FD164" i="31" s="1"/>
  <c r="FD167" i="29"/>
  <c r="J52" i="29"/>
  <c r="J50" i="31"/>
  <c r="J49" i="29"/>
  <c r="CP52" i="29"/>
  <c r="CP50" i="31"/>
  <c r="CP51" i="29"/>
  <c r="FL52" i="29"/>
  <c r="FL50" i="31"/>
  <c r="FL92" i="29"/>
  <c r="FL96" i="31" s="1"/>
  <c r="FL51" i="29"/>
  <c r="HR52" i="29"/>
  <c r="HR50" i="31"/>
  <c r="HR51" i="29"/>
  <c r="HR92" i="29"/>
  <c r="HR96" i="31" s="1"/>
  <c r="N52" i="29"/>
  <c r="N50" i="31"/>
  <c r="N51" i="29"/>
  <c r="HT52" i="29"/>
  <c r="HT50" i="31"/>
  <c r="HT51" i="29"/>
  <c r="HT92" i="29"/>
  <c r="HT96" i="31" s="1"/>
  <c r="GK52" i="29"/>
  <c r="GK50" i="31"/>
  <c r="GK92" i="29"/>
  <c r="GK96" i="31" s="1"/>
  <c r="GK51" i="29"/>
  <c r="AW163" i="31"/>
  <c r="AW171" i="31" s="1"/>
  <c r="AW161" i="29"/>
  <c r="AW165" i="31" s="1"/>
  <c r="AW160" i="29"/>
  <c r="AW164" i="31" s="1"/>
  <c r="AW167" i="29"/>
  <c r="IL52" i="29"/>
  <c r="IL50" i="31"/>
  <c r="IL92" i="29"/>
  <c r="IL96" i="31" s="1"/>
  <c r="IL51" i="29"/>
  <c r="AZ52" i="29"/>
  <c r="AZ50" i="31"/>
  <c r="AZ51" i="29"/>
  <c r="GC52" i="29"/>
  <c r="GC50" i="31"/>
  <c r="GC51" i="29"/>
  <c r="GC92" i="29"/>
  <c r="GC96" i="31" s="1"/>
  <c r="GR52" i="29"/>
  <c r="GR50" i="31"/>
  <c r="GR51" i="29"/>
  <c r="GR92" i="29"/>
  <c r="GR96" i="31" s="1"/>
  <c r="GW52" i="29"/>
  <c r="GW50" i="31"/>
  <c r="GW51" i="29"/>
  <c r="GW92" i="29"/>
  <c r="GW96" i="31" s="1"/>
  <c r="BG52" i="29"/>
  <c r="BG50" i="31"/>
  <c r="BG51" i="29"/>
  <c r="AS52" i="29"/>
  <c r="AS50" i="31"/>
  <c r="AS51" i="29"/>
  <c r="EB52" i="29"/>
  <c r="EB50" i="31"/>
  <c r="EB51" i="29"/>
  <c r="FK52" i="29"/>
  <c r="FK50" i="31"/>
  <c r="FK92" i="29"/>
  <c r="FK96" i="31" s="1"/>
  <c r="FK51" i="29"/>
  <c r="HN52" i="29"/>
  <c r="HN50" i="31"/>
  <c r="HN92" i="29"/>
  <c r="HN96" i="31" s="1"/>
  <c r="HN51" i="29"/>
  <c r="IG52" i="29"/>
  <c r="IG50" i="31"/>
  <c r="IG51" i="29"/>
  <c r="IG92" i="29"/>
  <c r="IG96" i="31" s="1"/>
  <c r="JA52" i="29"/>
  <c r="JA50" i="31"/>
  <c r="JA92" i="29"/>
  <c r="JA96" i="31" s="1"/>
  <c r="JA51" i="29"/>
  <c r="IP52" i="29"/>
  <c r="IP50" i="31"/>
  <c r="IP92" i="29"/>
  <c r="IP96" i="31" s="1"/>
  <c r="IP51" i="29"/>
  <c r="AT172" i="29"/>
  <c r="EE52" i="29"/>
  <c r="EE50" i="31"/>
  <c r="EE51" i="29"/>
  <c r="CR52" i="29"/>
  <c r="CR50" i="31"/>
  <c r="CR51" i="29"/>
  <c r="HC52" i="29"/>
  <c r="HC50" i="31"/>
  <c r="HC51" i="29"/>
  <c r="HC92" i="29"/>
  <c r="HC96" i="31" s="1"/>
  <c r="IR52" i="29"/>
  <c r="IR50" i="31"/>
  <c r="IR92" i="29"/>
  <c r="IR96" i="31" s="1"/>
  <c r="IR51" i="29"/>
  <c r="AN52" i="29"/>
  <c r="AN50" i="31"/>
  <c r="AN51" i="29"/>
  <c r="DL52" i="29"/>
  <c r="DL50" i="31"/>
  <c r="DL51" i="29"/>
  <c r="AF52" i="29"/>
  <c r="AF50" i="31"/>
  <c r="AF49" i="29"/>
  <c r="AF51" i="29" s="1"/>
  <c r="HE52" i="29"/>
  <c r="HE50" i="31"/>
  <c r="HE92" i="29"/>
  <c r="HE96" i="31" s="1"/>
  <c r="HE51" i="29"/>
  <c r="JD52" i="29"/>
  <c r="JD50" i="31"/>
  <c r="JD51" i="29"/>
  <c r="JD92" i="29"/>
  <c r="JD96" i="31" s="1"/>
  <c r="BV52" i="29"/>
  <c r="BV50" i="31"/>
  <c r="BV49" i="29"/>
  <c r="L52" i="29"/>
  <c r="L50" i="31"/>
  <c r="L51" i="29"/>
  <c r="IA52" i="29"/>
  <c r="IA50" i="31"/>
  <c r="IA51" i="29"/>
  <c r="IA92" i="29"/>
  <c r="IA96" i="31" s="1"/>
  <c r="HL52" i="29"/>
  <c r="HL50" i="31"/>
  <c r="JO46" i="29"/>
  <c r="HL92" i="29"/>
  <c r="HL96" i="31" s="1"/>
  <c r="HL51" i="29"/>
  <c r="IT52" i="29"/>
  <c r="IT50" i="31"/>
  <c r="IT92" i="29"/>
  <c r="IT96" i="31" s="1"/>
  <c r="IT51" i="29"/>
  <c r="IN52" i="29"/>
  <c r="IN50" i="31"/>
  <c r="IN92" i="29"/>
  <c r="IN96" i="31" s="1"/>
  <c r="IN51" i="29"/>
  <c r="DC52" i="29"/>
  <c r="DC50" i="31"/>
  <c r="DC51" i="29"/>
  <c r="Z52" i="29"/>
  <c r="Z50" i="31"/>
  <c r="Z51" i="29"/>
  <c r="CL163" i="31"/>
  <c r="CL171" i="31" s="1"/>
  <c r="CL160" i="29"/>
  <c r="CL164" i="31" s="1"/>
  <c r="CL161" i="29"/>
  <c r="CL165" i="31" s="1"/>
  <c r="CL167" i="29"/>
  <c r="AT52" i="29"/>
  <c r="AT50" i="31"/>
  <c r="AT51" i="29"/>
  <c r="BH52" i="29"/>
  <c r="BH50" i="31"/>
  <c r="BH51" i="29"/>
  <c r="FD52" i="29"/>
  <c r="FD50" i="31"/>
  <c r="FD51" i="29"/>
  <c r="FD92" i="29"/>
  <c r="FD163" i="29"/>
  <c r="DD52" i="29"/>
  <c r="DD50" i="31"/>
  <c r="DD51" i="29"/>
  <c r="DD163" i="29"/>
  <c r="GA52" i="29"/>
  <c r="GA50" i="31"/>
  <c r="GA51" i="29"/>
  <c r="GA92" i="29"/>
  <c r="GA96" i="31" s="1"/>
  <c r="EZ52" i="29"/>
  <c r="EZ50" i="31"/>
  <c r="EZ92" i="29"/>
  <c r="EZ96" i="31" s="1"/>
  <c r="EZ51" i="29"/>
  <c r="IV52" i="29"/>
  <c r="IV50" i="31"/>
  <c r="IV51" i="29"/>
  <c r="IV92" i="29"/>
  <c r="IV96" i="31" s="1"/>
  <c r="AQ52" i="29"/>
  <c r="AQ50" i="31"/>
  <c r="AQ51" i="29"/>
  <c r="AR52" i="29"/>
  <c r="AR50" i="31"/>
  <c r="AR51" i="29"/>
  <c r="AN172" i="29"/>
  <c r="AN158" i="29"/>
  <c r="AN183" i="29"/>
  <c r="AN180" i="29"/>
  <c r="AN174" i="29"/>
  <c r="AN181" i="29"/>
  <c r="BU172" i="29"/>
  <c r="JF52" i="29"/>
  <c r="JF50" i="31"/>
  <c r="JF51" i="29"/>
  <c r="JF92" i="29"/>
  <c r="JF96" i="31" s="1"/>
  <c r="ER52" i="29"/>
  <c r="ER50" i="31"/>
  <c r="ER51" i="29"/>
  <c r="FP52" i="29"/>
  <c r="FP50" i="31"/>
  <c r="FP51" i="29"/>
  <c r="FP92" i="29"/>
  <c r="FP96" i="31" s="1"/>
  <c r="DI163" i="31"/>
  <c r="DI171" i="31" s="1"/>
  <c r="DI160" i="29"/>
  <c r="DI164" i="31" s="1"/>
  <c r="DI161" i="29"/>
  <c r="DI165" i="31" s="1"/>
  <c r="DI167" i="29"/>
  <c r="DU163" i="31"/>
  <c r="DU171" i="31" s="1"/>
  <c r="DU160" i="29"/>
  <c r="DU164" i="31" s="1"/>
  <c r="DU161" i="29"/>
  <c r="DU165" i="31" s="1"/>
  <c r="DU167" i="29"/>
  <c r="CN52" i="29"/>
  <c r="CN50" i="31"/>
  <c r="CN51" i="29"/>
  <c r="S52" i="29"/>
  <c r="S50" i="31"/>
  <c r="S51" i="29"/>
  <c r="FO52" i="29"/>
  <c r="FO50" i="31"/>
  <c r="FO92" i="29"/>
  <c r="FO96" i="31" s="1"/>
  <c r="FO51" i="29"/>
  <c r="CG52" i="29"/>
  <c r="CG50" i="31"/>
  <c r="CG51" i="29"/>
  <c r="IX52" i="29"/>
  <c r="IX50" i="31"/>
  <c r="IX51" i="29"/>
  <c r="IX92" i="29"/>
  <c r="IX96" i="31" s="1"/>
  <c r="DH52" i="29"/>
  <c r="DH50" i="31"/>
  <c r="DH51" i="29"/>
  <c r="DE52" i="29"/>
  <c r="DE50" i="31"/>
  <c r="DE51" i="29"/>
  <c r="DP52" i="29"/>
  <c r="DP50" i="31"/>
  <c r="DP51" i="29"/>
  <c r="EL52" i="29"/>
  <c r="EL50" i="31"/>
  <c r="EL51" i="29"/>
  <c r="K52" i="29"/>
  <c r="K50" i="31"/>
  <c r="K49" i="29"/>
  <c r="X52" i="29"/>
  <c r="X50" i="31"/>
  <c r="X51" i="29"/>
  <c r="EW52" i="29"/>
  <c r="EW50" i="31"/>
  <c r="EW92" i="29"/>
  <c r="EW96" i="31" s="1"/>
  <c r="EW51" i="29"/>
  <c r="BL52" i="29"/>
  <c r="BL50" i="31"/>
  <c r="BL49" i="29"/>
  <c r="II52" i="29"/>
  <c r="II50" i="31"/>
  <c r="II92" i="29"/>
  <c r="II96" i="31" s="1"/>
  <c r="II51" i="29"/>
  <c r="JC52" i="29"/>
  <c r="JC50" i="31"/>
  <c r="JC92" i="29"/>
  <c r="JC96" i="31" s="1"/>
  <c r="JC51" i="29"/>
  <c r="CI52" i="29"/>
  <c r="CI50" i="31"/>
  <c r="CI163" i="29"/>
  <c r="CI51" i="29"/>
  <c r="JH52" i="29"/>
  <c r="JH50" i="31"/>
  <c r="JH92" i="29"/>
  <c r="JH96" i="31" s="1"/>
  <c r="JH51" i="29"/>
  <c r="GY52" i="29"/>
  <c r="GY50" i="31"/>
  <c r="GY51" i="29"/>
  <c r="GY92" i="29"/>
  <c r="GY96" i="31" s="1"/>
  <c r="EK158" i="29"/>
  <c r="EK183" i="29"/>
  <c r="EK174" i="29"/>
  <c r="EK181" i="29"/>
  <c r="FE52" i="29"/>
  <c r="FE50" i="31"/>
  <c r="FE51" i="29"/>
  <c r="FE92" i="29"/>
  <c r="FE96" i="31" s="1"/>
  <c r="DX52" i="29"/>
  <c r="DX50" i="31"/>
  <c r="DX163" i="29"/>
  <c r="DX51" i="29"/>
  <c r="P52" i="29"/>
  <c r="P50" i="31"/>
  <c r="P51" i="29"/>
  <c r="FW52" i="29"/>
  <c r="FW50" i="31"/>
  <c r="FW51" i="29"/>
  <c r="FW92" i="29"/>
  <c r="FW96" i="31" s="1"/>
  <c r="Y52" i="29"/>
  <c r="Y50" i="31"/>
  <c r="Y51" i="29"/>
  <c r="AG52" i="29"/>
  <c r="AG50" i="31"/>
  <c r="AG51" i="29"/>
  <c r="CF52" i="29"/>
  <c r="CF50" i="31"/>
  <c r="CF51" i="29"/>
  <c r="CL52" i="29"/>
  <c r="CL50" i="31"/>
  <c r="CL51" i="29"/>
  <c r="CL163" i="29"/>
  <c r="EH52" i="29"/>
  <c r="EH50" i="31"/>
  <c r="EH51" i="29"/>
  <c r="H52" i="29"/>
  <c r="H50" i="31"/>
  <c r="H51" i="29"/>
  <c r="H163" i="29"/>
  <c r="U52" i="29"/>
  <c r="U50" i="31"/>
  <c r="U51" i="29"/>
  <c r="AH52" i="29"/>
  <c r="AH50" i="31"/>
  <c r="AH51" i="29"/>
  <c r="CZ52" i="29"/>
  <c r="CZ50" i="31"/>
  <c r="CZ51" i="29"/>
  <c r="GI52" i="29"/>
  <c r="GI50" i="31"/>
  <c r="GI92" i="29"/>
  <c r="GI96" i="31" s="1"/>
  <c r="GI51" i="29"/>
  <c r="DV52" i="29"/>
  <c r="DV50" i="31"/>
  <c r="DV51" i="29"/>
  <c r="DJ52" i="29"/>
  <c r="DJ50" i="31"/>
  <c r="DJ51" i="29"/>
  <c r="DJ163" i="29"/>
  <c r="BC52" i="29"/>
  <c r="BC50" i="31"/>
  <c r="BC51" i="29"/>
  <c r="CT52" i="29"/>
  <c r="CT50" i="31"/>
  <c r="CT51" i="29"/>
  <c r="CT163" i="29"/>
  <c r="DG52" i="29"/>
  <c r="DG50" i="31"/>
  <c r="DG49" i="29"/>
  <c r="EG52" i="29"/>
  <c r="EG50" i="31"/>
  <c r="EG49" i="29"/>
  <c r="HD52" i="29"/>
  <c r="HD50" i="31"/>
  <c r="HD92" i="29"/>
  <c r="HD96" i="31" s="1"/>
  <c r="HD51" i="29"/>
  <c r="AJ52" i="29"/>
  <c r="AJ50" i="31"/>
  <c r="AJ49" i="29"/>
  <c r="HH52" i="29"/>
  <c r="HH50" i="31"/>
  <c r="HH92" i="29"/>
  <c r="HH96" i="31" s="1"/>
  <c r="HH51" i="29"/>
  <c r="J163" i="31"/>
  <c r="J171" i="31" s="1"/>
  <c r="J160" i="29"/>
  <c r="J164" i="31" s="1"/>
  <c r="J161" i="29"/>
  <c r="J165" i="31" s="1"/>
  <c r="J167" i="29"/>
  <c r="BE163" i="31"/>
  <c r="BE171" i="31" s="1"/>
  <c r="BE161" i="29"/>
  <c r="BE165" i="31" s="1"/>
  <c r="BE160" i="29"/>
  <c r="BE164" i="31" s="1"/>
  <c r="BE167" i="29"/>
  <c r="IZ52" i="29"/>
  <c r="IZ50" i="31"/>
  <c r="IZ51" i="29"/>
  <c r="IZ92" i="29"/>
  <c r="IZ96" i="31" s="1"/>
  <c r="DB52" i="29"/>
  <c r="DB50" i="31"/>
  <c r="DB51" i="29"/>
  <c r="IC52" i="29"/>
  <c r="IC50" i="31"/>
  <c r="IC51" i="29"/>
  <c r="IC92" i="29"/>
  <c r="IC96" i="31" s="1"/>
  <c r="GP52" i="29"/>
  <c r="GP50" i="31"/>
  <c r="GP51" i="29"/>
  <c r="GP92" i="29"/>
  <c r="GP96" i="31" s="1"/>
  <c r="CH52" i="29"/>
  <c r="CH50" i="31"/>
  <c r="CH51" i="29"/>
  <c r="CH163" i="29"/>
  <c r="JE52" i="29"/>
  <c r="JE50" i="31"/>
  <c r="JE92" i="29"/>
  <c r="JE96" i="31" s="1"/>
  <c r="JE51" i="29"/>
  <c r="FX52" i="29"/>
  <c r="FX50" i="31"/>
  <c r="FX92" i="29"/>
  <c r="FX96" i="31" s="1"/>
  <c r="FX51" i="29"/>
  <c r="BK52" i="29"/>
  <c r="BK50" i="31"/>
  <c r="BK51" i="29"/>
  <c r="G52" i="29"/>
  <c r="G50" i="31"/>
  <c r="G51" i="29"/>
  <c r="EU52" i="29"/>
  <c r="EU50" i="31"/>
  <c r="EU51" i="29"/>
  <c r="EU92" i="29"/>
  <c r="EU96" i="31" s="1"/>
  <c r="DS52" i="29"/>
  <c r="DS50" i="31"/>
  <c r="DS49" i="29"/>
  <c r="C52" i="29"/>
  <c r="C50" i="31"/>
  <c r="EK174" i="31"/>
  <c r="EK178" i="31"/>
  <c r="CB172" i="29"/>
  <c r="AX180" i="29"/>
  <c r="AX183" i="29"/>
  <c r="AX158" i="29"/>
  <c r="AX174" i="29"/>
  <c r="AX181" i="29"/>
  <c r="IB52" i="29"/>
  <c r="IB50" i="31"/>
  <c r="IB51" i="29"/>
  <c r="IB92" i="29"/>
  <c r="IB96" i="31" s="1"/>
  <c r="HP52" i="29"/>
  <c r="HP50" i="31"/>
  <c r="HP51" i="29"/>
  <c r="HP92" i="29"/>
  <c r="HP96" i="31" s="1"/>
  <c r="GT52" i="29"/>
  <c r="GT50" i="31"/>
  <c r="GT51" i="29"/>
  <c r="GT92" i="29"/>
  <c r="GT96" i="31" s="1"/>
  <c r="BD52" i="29"/>
  <c r="BD50" i="31"/>
  <c r="BD51" i="29"/>
  <c r="DR52" i="29"/>
  <c r="DR50" i="31"/>
  <c r="DR49" i="29"/>
  <c r="FT52" i="29"/>
  <c r="FT50" i="31"/>
  <c r="FT92" i="29"/>
  <c r="FT96" i="31" s="1"/>
  <c r="FT51" i="29"/>
  <c r="CK52" i="29"/>
  <c r="CK50" i="31"/>
  <c r="CK51" i="29"/>
  <c r="HW52" i="29"/>
  <c r="HW50" i="31"/>
  <c r="HW92" i="29"/>
  <c r="HW96" i="31" s="1"/>
  <c r="HW51" i="29"/>
  <c r="R52" i="29"/>
  <c r="R50" i="31"/>
  <c r="R51" i="29"/>
  <c r="DF52" i="29"/>
  <c r="DF50" i="31"/>
  <c r="DF51" i="29"/>
  <c r="GN52" i="29"/>
  <c r="GN50" i="31"/>
  <c r="GN51" i="29"/>
  <c r="GN92" i="29"/>
  <c r="GN96" i="31" s="1"/>
  <c r="EK52" i="29"/>
  <c r="EK50" i="31"/>
  <c r="EK51" i="29"/>
  <c r="GG52" i="29"/>
  <c r="GG50" i="31"/>
  <c r="GG51" i="29"/>
  <c r="GG92" i="29"/>
  <c r="GG96" i="31" s="1"/>
  <c r="HF52" i="29"/>
  <c r="HF50" i="31"/>
  <c r="HF51" i="29"/>
  <c r="HF92" i="29"/>
  <c r="HF96" i="31" s="1"/>
  <c r="FJ52" i="29"/>
  <c r="FJ50" i="31"/>
  <c r="FJ92" i="29"/>
  <c r="FJ96" i="31" s="1"/>
  <c r="FJ51" i="29"/>
  <c r="CW52" i="29"/>
  <c r="CW50" i="31"/>
  <c r="CW51" i="29"/>
  <c r="D52" i="29"/>
  <c r="D50" i="31"/>
  <c r="D51" i="29"/>
  <c r="D55" i="29" s="1"/>
  <c r="V52" i="29"/>
  <c r="V50" i="31"/>
  <c r="V51" i="29"/>
  <c r="HS52" i="29"/>
  <c r="HS50" i="31"/>
  <c r="HS92" i="29"/>
  <c r="HS96" i="31" s="1"/>
  <c r="HS51" i="29"/>
  <c r="BQ52" i="29"/>
  <c r="BQ50" i="31"/>
  <c r="BQ49" i="29"/>
  <c r="BQ163" i="29" s="1"/>
  <c r="BS52" i="29"/>
  <c r="BS50" i="31"/>
  <c r="BS51" i="29"/>
  <c r="FB52" i="29"/>
  <c r="FB50" i="31"/>
  <c r="FB92" i="29"/>
  <c r="FB96" i="31" s="1"/>
  <c r="FB51" i="29"/>
  <c r="DX163" i="31"/>
  <c r="DX171" i="31" s="1"/>
  <c r="DX160" i="29"/>
  <c r="DX164" i="31" s="1"/>
  <c r="DX161" i="29"/>
  <c r="DX165" i="31" s="1"/>
  <c r="DX167" i="29"/>
  <c r="HJ163" i="31"/>
  <c r="HJ171" i="31" s="1"/>
  <c r="HJ160" i="29"/>
  <c r="HJ164" i="31" s="1"/>
  <c r="HJ161" i="29"/>
  <c r="HJ165" i="31" s="1"/>
  <c r="HJ167" i="29"/>
  <c r="HZ52" i="29"/>
  <c r="HZ50" i="31"/>
  <c r="HZ51" i="29"/>
  <c r="HZ92" i="29"/>
  <c r="HZ96" i="31" s="1"/>
  <c r="DM52" i="29"/>
  <c r="DM50" i="31"/>
  <c r="DM51" i="29"/>
  <c r="GM52" i="29"/>
  <c r="GM50" i="31"/>
  <c r="GM51" i="29"/>
  <c r="GM92" i="29"/>
  <c r="GM96" i="31" s="1"/>
  <c r="DK52" i="29"/>
  <c r="DK50" i="31"/>
  <c r="DK163" i="29"/>
  <c r="DK51" i="29"/>
  <c r="HK52" i="29"/>
  <c r="HK50" i="31"/>
  <c r="HK92" i="29"/>
  <c r="HK96" i="31" s="1"/>
  <c r="HK51" i="29"/>
  <c r="EM52" i="29"/>
  <c r="EM50" i="31"/>
  <c r="EM51" i="29"/>
  <c r="FQ52" i="29"/>
  <c r="FQ50" i="31"/>
  <c r="FQ51" i="29"/>
  <c r="FQ92" i="29"/>
  <c r="FQ96" i="31" s="1"/>
  <c r="EI52" i="29"/>
  <c r="EI50" i="31"/>
  <c r="EI51" i="29"/>
  <c r="GH52" i="29"/>
  <c r="GH50" i="31"/>
  <c r="GH51" i="29"/>
  <c r="GH92" i="29"/>
  <c r="GH96" i="31" s="1"/>
  <c r="HX52" i="29"/>
  <c r="HX50" i="31"/>
  <c r="HX51" i="29"/>
  <c r="HX92" i="29"/>
  <c r="HX96" i="31" s="1"/>
  <c r="EP52" i="29"/>
  <c r="EP50" i="31"/>
  <c r="EP51" i="29"/>
  <c r="O52" i="29"/>
  <c r="O50" i="31"/>
  <c r="O51" i="29"/>
  <c r="GD52" i="29"/>
  <c r="GD50" i="31"/>
  <c r="GD92" i="29"/>
  <c r="GD96" i="31" s="1"/>
  <c r="GD51" i="29"/>
  <c r="CI163" i="31"/>
  <c r="CI171" i="31" s="1"/>
  <c r="CI161" i="29"/>
  <c r="CI165" i="31" s="1"/>
  <c r="CI160" i="29"/>
  <c r="CI164" i="31" s="1"/>
  <c r="CI167" i="29"/>
  <c r="AX52" i="29"/>
  <c r="AX50" i="31"/>
  <c r="AX51" i="29"/>
  <c r="ID52" i="29"/>
  <c r="ID50" i="31"/>
  <c r="ID92" i="29"/>
  <c r="ID96" i="31" s="1"/>
  <c r="ID51" i="29"/>
  <c r="CC52" i="29"/>
  <c r="CC50" i="31"/>
  <c r="CC51" i="29"/>
  <c r="GV52" i="29"/>
  <c r="GV50" i="31"/>
  <c r="GV51" i="29"/>
  <c r="GV92" i="29"/>
  <c r="GV96" i="31" s="1"/>
  <c r="CV52" i="29"/>
  <c r="CV50" i="31"/>
  <c r="CV49" i="29"/>
  <c r="EV52" i="29"/>
  <c r="EV50" i="31"/>
  <c r="EV92" i="29"/>
  <c r="EV96" i="31" s="1"/>
  <c r="EV51" i="29"/>
  <c r="AI52" i="29"/>
  <c r="AI50" i="31"/>
  <c r="AI49" i="29"/>
  <c r="HQ52" i="29"/>
  <c r="HQ50" i="31"/>
  <c r="HQ51" i="29"/>
  <c r="HQ92" i="29"/>
  <c r="HQ96" i="31" s="1"/>
  <c r="DQ52" i="29"/>
  <c r="DQ50" i="31"/>
  <c r="DQ51" i="29"/>
  <c r="EF52" i="29"/>
  <c r="EF50" i="31"/>
  <c r="EF51" i="29"/>
  <c r="FR52" i="29"/>
  <c r="FR50" i="31"/>
  <c r="FR92" i="29"/>
  <c r="FR163" i="29"/>
  <c r="FR51" i="29"/>
  <c r="AU52" i="29"/>
  <c r="AU50" i="31"/>
  <c r="AU51" i="29"/>
  <c r="CS52" i="29"/>
  <c r="CS50" i="31"/>
  <c r="CS49" i="29"/>
  <c r="CS163" i="29" s="1"/>
  <c r="DD163" i="31"/>
  <c r="DD171" i="31" s="1"/>
  <c r="DD161" i="29"/>
  <c r="DD165" i="31" s="1"/>
  <c r="DD160" i="29"/>
  <c r="DD164" i="31" s="1"/>
  <c r="DD167" i="29"/>
  <c r="DW163" i="31"/>
  <c r="DW171" i="31" s="1"/>
  <c r="DW160" i="29"/>
  <c r="DW164" i="31" s="1"/>
  <c r="DW161" i="29"/>
  <c r="DW165" i="31" s="1"/>
  <c r="DW167" i="29"/>
  <c r="FN52" i="29"/>
  <c r="FN50" i="31"/>
  <c r="FN51" i="29"/>
  <c r="FN92" i="29"/>
  <c r="FN96" i="31" s="1"/>
  <c r="BZ52" i="29"/>
  <c r="BZ50" i="31"/>
  <c r="BZ51" i="29"/>
  <c r="AB52" i="29"/>
  <c r="AB50" i="31"/>
  <c r="AB51" i="29"/>
  <c r="IE52" i="29"/>
  <c r="IE50" i="31"/>
  <c r="IE51" i="29"/>
  <c r="IE92" i="29"/>
  <c r="IE96" i="31" s="1"/>
  <c r="FS52" i="29"/>
  <c r="FS50" i="31"/>
  <c r="FS51" i="29"/>
  <c r="FS92" i="29"/>
  <c r="FS96" i="31" s="1"/>
  <c r="BF52" i="29"/>
  <c r="BF50" i="31"/>
  <c r="BF51" i="29"/>
  <c r="DI52" i="29"/>
  <c r="DI50" i="31"/>
  <c r="DI51" i="29"/>
  <c r="DI163" i="29"/>
  <c r="HU52" i="29"/>
  <c r="HU50" i="31"/>
  <c r="HU92" i="29"/>
  <c r="HU96" i="31" s="1"/>
  <c r="HU51" i="29"/>
  <c r="DT52" i="29"/>
  <c r="DT50" i="31"/>
  <c r="DT49" i="29"/>
  <c r="GJ52" i="29"/>
  <c r="GJ50" i="31"/>
  <c r="GJ92" i="29"/>
  <c r="GJ96" i="31" s="1"/>
  <c r="GJ51" i="29"/>
  <c r="GF52" i="29"/>
  <c r="GF50" i="31"/>
  <c r="GF51" i="29"/>
  <c r="GF92" i="29"/>
  <c r="GF96" i="31" s="1"/>
  <c r="AO52" i="29"/>
  <c r="AO50" i="31"/>
  <c r="AO51" i="29"/>
  <c r="AM52" i="29"/>
  <c r="AM50" i="31"/>
  <c r="AM51" i="29"/>
  <c r="HO52" i="29"/>
  <c r="HO50" i="31"/>
  <c r="HO51" i="29"/>
  <c r="HO163" i="29"/>
  <c r="HO92" i="29"/>
  <c r="AV52" i="29"/>
  <c r="AV50" i="31"/>
  <c r="AV51" i="29"/>
  <c r="FG52" i="29"/>
  <c r="FG50" i="31"/>
  <c r="FG92" i="29"/>
  <c r="FG96" i="31" s="1"/>
  <c r="FG51" i="29"/>
  <c r="HJ52" i="29"/>
  <c r="HJ50" i="31"/>
  <c r="HJ163" i="29"/>
  <c r="HJ92" i="29"/>
  <c r="HJ51" i="29"/>
  <c r="BA52" i="29"/>
  <c r="BA50" i="31"/>
  <c r="BA51" i="29"/>
  <c r="BT52" i="29"/>
  <c r="BT50" i="31"/>
  <c r="BT51" i="29"/>
  <c r="FC52" i="29"/>
  <c r="FC50" i="31"/>
  <c r="FC92" i="29"/>
  <c r="FC96" i="31" s="1"/>
  <c r="FC51" i="29"/>
  <c r="DK163" i="31"/>
  <c r="DK171" i="31" s="1"/>
  <c r="DK161" i="29"/>
  <c r="DK165" i="31" s="1"/>
  <c r="DK160" i="29"/>
  <c r="DK164" i="31" s="1"/>
  <c r="DK167" i="29"/>
  <c r="JN161" i="31"/>
  <c r="JP161" i="31" s="1"/>
  <c r="C55" i="29"/>
  <c r="C59" i="31" s="1"/>
  <c r="CA151" i="29"/>
  <c r="CA154" i="29"/>
  <c r="CA164" i="29" s="1"/>
  <c r="CA168" i="31" s="1"/>
  <c r="CA163" i="29"/>
  <c r="CA105" i="29"/>
  <c r="CA109" i="31" s="1"/>
  <c r="CA104" i="29"/>
  <c r="CA108" i="31" s="1"/>
  <c r="CA128" i="29"/>
  <c r="CA117" i="29"/>
  <c r="CA121" i="31" s="1"/>
  <c r="D8" i="21"/>
  <c r="D9" i="21" s="1"/>
  <c r="H8" i="21"/>
  <c r="I9" i="21" s="1"/>
  <c r="R31" i="7"/>
  <c r="VN263" i="1"/>
  <c r="VM263" i="1"/>
  <c r="VL263" i="1"/>
  <c r="VK263" i="1"/>
  <c r="VJ263" i="1"/>
  <c r="VI263" i="1"/>
  <c r="VH263" i="1"/>
  <c r="VG263" i="1"/>
  <c r="VF263" i="1"/>
  <c r="VE263" i="1"/>
  <c r="VD263" i="1"/>
  <c r="VC263" i="1"/>
  <c r="VA263" i="1"/>
  <c r="UZ263" i="1"/>
  <c r="UY263" i="1"/>
  <c r="UX263" i="1"/>
  <c r="UW263" i="1"/>
  <c r="UV263" i="1"/>
  <c r="US263" i="1"/>
  <c r="UR263" i="1"/>
  <c r="UQ263" i="1"/>
  <c r="UP263" i="1"/>
  <c r="UM263" i="1"/>
  <c r="UK263" i="1"/>
  <c r="UJ263" i="1"/>
  <c r="UI263" i="1"/>
  <c r="UH263" i="1"/>
  <c r="UG263" i="1"/>
  <c r="UF263" i="1"/>
  <c r="UE263" i="1"/>
  <c r="UD263" i="1"/>
  <c r="UC263" i="1"/>
  <c r="UB263" i="1"/>
  <c r="UA263" i="1"/>
  <c r="TZ263" i="1"/>
  <c r="TX263" i="1"/>
  <c r="TW263" i="1"/>
  <c r="TV263" i="1"/>
  <c r="TU263" i="1"/>
  <c r="TT263" i="1"/>
  <c r="TS263" i="1"/>
  <c r="TP263" i="1"/>
  <c r="TO263" i="1"/>
  <c r="TN263" i="1"/>
  <c r="TM263" i="1"/>
  <c r="TJ263" i="1"/>
  <c r="TH263" i="1"/>
  <c r="TG263" i="1"/>
  <c r="TF263" i="1"/>
  <c r="TE263" i="1"/>
  <c r="TD263" i="1"/>
  <c r="TC263" i="1"/>
  <c r="TB263" i="1"/>
  <c r="TA263" i="1"/>
  <c r="SZ263" i="1"/>
  <c r="SY263" i="1"/>
  <c r="SX263" i="1"/>
  <c r="SW263" i="1"/>
  <c r="SU263" i="1"/>
  <c r="ST263" i="1"/>
  <c r="SS263" i="1"/>
  <c r="SR263" i="1"/>
  <c r="SQ263" i="1"/>
  <c r="SP263" i="1"/>
  <c r="SM263" i="1"/>
  <c r="SL263" i="1"/>
  <c r="SK263" i="1"/>
  <c r="SJ263" i="1"/>
  <c r="SG263" i="1"/>
  <c r="VN262" i="1"/>
  <c r="VM262" i="1"/>
  <c r="VL262" i="1"/>
  <c r="VK262" i="1"/>
  <c r="VJ262" i="1"/>
  <c r="VI262" i="1"/>
  <c r="VH262" i="1"/>
  <c r="VG262" i="1"/>
  <c r="VF262" i="1"/>
  <c r="VE262" i="1"/>
  <c r="VD262" i="1"/>
  <c r="VC262" i="1"/>
  <c r="VA262" i="1"/>
  <c r="UZ262" i="1"/>
  <c r="UY262" i="1"/>
  <c r="UX262" i="1"/>
  <c r="UW262" i="1"/>
  <c r="UV262" i="1"/>
  <c r="US262" i="1"/>
  <c r="UR262" i="1"/>
  <c r="UQ262" i="1"/>
  <c r="UP262" i="1"/>
  <c r="UM262" i="1"/>
  <c r="UK262" i="1"/>
  <c r="UJ262" i="1"/>
  <c r="UI262" i="1"/>
  <c r="UH262" i="1"/>
  <c r="UG262" i="1"/>
  <c r="UF262" i="1"/>
  <c r="UE262" i="1"/>
  <c r="UD262" i="1"/>
  <c r="UC262" i="1"/>
  <c r="UB262" i="1"/>
  <c r="UA262" i="1"/>
  <c r="TZ262" i="1"/>
  <c r="TX262" i="1"/>
  <c r="TW262" i="1"/>
  <c r="TV262" i="1"/>
  <c r="TU262" i="1"/>
  <c r="TT262" i="1"/>
  <c r="TS262" i="1"/>
  <c r="TP262" i="1"/>
  <c r="TO262" i="1"/>
  <c r="TN262" i="1"/>
  <c r="TM262" i="1"/>
  <c r="TJ262" i="1"/>
  <c r="TH262" i="1"/>
  <c r="TG262" i="1"/>
  <c r="TF262" i="1"/>
  <c r="TE262" i="1"/>
  <c r="TD262" i="1"/>
  <c r="TC262" i="1"/>
  <c r="TB262" i="1"/>
  <c r="TA262" i="1"/>
  <c r="SZ262" i="1"/>
  <c r="SY262" i="1"/>
  <c r="SX262" i="1"/>
  <c r="SW262" i="1"/>
  <c r="SU262" i="1"/>
  <c r="ST262" i="1"/>
  <c r="SS262" i="1"/>
  <c r="SR262" i="1"/>
  <c r="SQ262" i="1"/>
  <c r="SP262" i="1"/>
  <c r="SM262" i="1"/>
  <c r="SL262" i="1"/>
  <c r="SK262" i="1"/>
  <c r="SJ262" i="1"/>
  <c r="SG262" i="1"/>
  <c r="VN261" i="1"/>
  <c r="VM261" i="1"/>
  <c r="VL261" i="1"/>
  <c r="VK261" i="1"/>
  <c r="VJ261" i="1"/>
  <c r="VI261" i="1"/>
  <c r="VH261" i="1"/>
  <c r="VG261" i="1"/>
  <c r="VF261" i="1"/>
  <c r="VE261" i="1"/>
  <c r="VD261" i="1"/>
  <c r="VC261" i="1"/>
  <c r="VA261" i="1"/>
  <c r="UZ261" i="1"/>
  <c r="UY261" i="1"/>
  <c r="UX261" i="1"/>
  <c r="UW261" i="1"/>
  <c r="UV261" i="1"/>
  <c r="US261" i="1"/>
  <c r="UR261" i="1"/>
  <c r="UQ261" i="1"/>
  <c r="UP261" i="1"/>
  <c r="UM261" i="1"/>
  <c r="UK261" i="1"/>
  <c r="UJ261" i="1"/>
  <c r="UI261" i="1"/>
  <c r="UH261" i="1"/>
  <c r="UG261" i="1"/>
  <c r="UF261" i="1"/>
  <c r="UE261" i="1"/>
  <c r="UD261" i="1"/>
  <c r="UC261" i="1"/>
  <c r="UB261" i="1"/>
  <c r="UA261" i="1"/>
  <c r="TZ261" i="1"/>
  <c r="TX261" i="1"/>
  <c r="TW261" i="1"/>
  <c r="TV261" i="1"/>
  <c r="TU261" i="1"/>
  <c r="TT261" i="1"/>
  <c r="TS261" i="1"/>
  <c r="TP261" i="1"/>
  <c r="TO261" i="1"/>
  <c r="TN261" i="1"/>
  <c r="TM261" i="1"/>
  <c r="TJ261" i="1"/>
  <c r="TH261" i="1"/>
  <c r="TG261" i="1"/>
  <c r="TF261" i="1"/>
  <c r="TE261" i="1"/>
  <c r="TD261" i="1"/>
  <c r="TC261" i="1"/>
  <c r="TB261" i="1"/>
  <c r="TA261" i="1"/>
  <c r="SZ261" i="1"/>
  <c r="SY261" i="1"/>
  <c r="SX261" i="1"/>
  <c r="SW261" i="1"/>
  <c r="SU261" i="1"/>
  <c r="ST261" i="1"/>
  <c r="SS261" i="1"/>
  <c r="SR261" i="1"/>
  <c r="SQ261" i="1"/>
  <c r="SP261" i="1"/>
  <c r="SM261" i="1"/>
  <c r="SL261" i="1"/>
  <c r="SK261" i="1"/>
  <c r="SJ261" i="1"/>
  <c r="SG261" i="1"/>
  <c r="VN260" i="1"/>
  <c r="VM260" i="1"/>
  <c r="VL260" i="1"/>
  <c r="VK260" i="1"/>
  <c r="VJ260" i="1"/>
  <c r="VI260" i="1"/>
  <c r="VH260" i="1"/>
  <c r="VG260" i="1"/>
  <c r="VF260" i="1"/>
  <c r="VE260" i="1"/>
  <c r="VD260" i="1"/>
  <c r="VC260" i="1"/>
  <c r="VA260" i="1"/>
  <c r="UZ260" i="1"/>
  <c r="UY260" i="1"/>
  <c r="UX260" i="1"/>
  <c r="UW260" i="1"/>
  <c r="UV260" i="1"/>
  <c r="US260" i="1"/>
  <c r="UR260" i="1"/>
  <c r="UQ260" i="1"/>
  <c r="UP260" i="1"/>
  <c r="UM260" i="1"/>
  <c r="UK260" i="1"/>
  <c r="UJ260" i="1"/>
  <c r="UI260" i="1"/>
  <c r="UH260" i="1"/>
  <c r="UG260" i="1"/>
  <c r="UF260" i="1"/>
  <c r="UE260" i="1"/>
  <c r="UD260" i="1"/>
  <c r="UC260" i="1"/>
  <c r="UB260" i="1"/>
  <c r="UA260" i="1"/>
  <c r="TZ260" i="1"/>
  <c r="TX260" i="1"/>
  <c r="TW260" i="1"/>
  <c r="TV260" i="1"/>
  <c r="TU260" i="1"/>
  <c r="TT260" i="1"/>
  <c r="TS260" i="1"/>
  <c r="TP260" i="1"/>
  <c r="TO260" i="1"/>
  <c r="TN260" i="1"/>
  <c r="TM260" i="1"/>
  <c r="TJ260" i="1"/>
  <c r="TH260" i="1"/>
  <c r="TG260" i="1"/>
  <c r="TF260" i="1"/>
  <c r="TE260" i="1"/>
  <c r="TD260" i="1"/>
  <c r="TC260" i="1"/>
  <c r="TB260" i="1"/>
  <c r="TA260" i="1"/>
  <c r="SZ260" i="1"/>
  <c r="SY260" i="1"/>
  <c r="SX260" i="1"/>
  <c r="SW260" i="1"/>
  <c r="SU260" i="1"/>
  <c r="ST260" i="1"/>
  <c r="SS260" i="1"/>
  <c r="SR260" i="1"/>
  <c r="SQ260" i="1"/>
  <c r="SP260" i="1"/>
  <c r="SM260" i="1"/>
  <c r="SL260" i="1"/>
  <c r="SK260" i="1"/>
  <c r="SJ260" i="1"/>
  <c r="SG260" i="1"/>
  <c r="VN259" i="1"/>
  <c r="VM259" i="1"/>
  <c r="VL259" i="1"/>
  <c r="VK259" i="1"/>
  <c r="VJ259" i="1"/>
  <c r="VI259" i="1"/>
  <c r="VH259" i="1"/>
  <c r="VG259" i="1"/>
  <c r="VF259" i="1"/>
  <c r="VE259" i="1"/>
  <c r="VD259" i="1"/>
  <c r="VC259" i="1"/>
  <c r="VA259" i="1"/>
  <c r="UZ259" i="1"/>
  <c r="UY259" i="1"/>
  <c r="UX259" i="1"/>
  <c r="UW259" i="1"/>
  <c r="UV259" i="1"/>
  <c r="US259" i="1"/>
  <c r="UR259" i="1"/>
  <c r="UQ259" i="1"/>
  <c r="UP259" i="1"/>
  <c r="UM259" i="1"/>
  <c r="UK259" i="1"/>
  <c r="UJ259" i="1"/>
  <c r="UI259" i="1"/>
  <c r="UH259" i="1"/>
  <c r="UG259" i="1"/>
  <c r="UF259" i="1"/>
  <c r="UE259" i="1"/>
  <c r="UD259" i="1"/>
  <c r="UC259" i="1"/>
  <c r="UB259" i="1"/>
  <c r="UA259" i="1"/>
  <c r="TZ259" i="1"/>
  <c r="TX259" i="1"/>
  <c r="TW259" i="1"/>
  <c r="TV259" i="1"/>
  <c r="TU259" i="1"/>
  <c r="TT259" i="1"/>
  <c r="TS259" i="1"/>
  <c r="TP259" i="1"/>
  <c r="TO259" i="1"/>
  <c r="TN259" i="1"/>
  <c r="TM259" i="1"/>
  <c r="TJ259" i="1"/>
  <c r="TH259" i="1"/>
  <c r="TG259" i="1"/>
  <c r="TF259" i="1"/>
  <c r="TE259" i="1"/>
  <c r="TD259" i="1"/>
  <c r="TC259" i="1"/>
  <c r="TB259" i="1"/>
  <c r="TA259" i="1"/>
  <c r="SZ259" i="1"/>
  <c r="SY259" i="1"/>
  <c r="SX259" i="1"/>
  <c r="SW259" i="1"/>
  <c r="SU259" i="1"/>
  <c r="ST259" i="1"/>
  <c r="SS259" i="1"/>
  <c r="SR259" i="1"/>
  <c r="SQ259" i="1"/>
  <c r="SP259" i="1"/>
  <c r="SM259" i="1"/>
  <c r="SL259" i="1"/>
  <c r="SK259" i="1"/>
  <c r="SJ259" i="1"/>
  <c r="SG259" i="1"/>
  <c r="VN258" i="1"/>
  <c r="VM258" i="1"/>
  <c r="VL258" i="1"/>
  <c r="VK258" i="1"/>
  <c r="VJ258" i="1"/>
  <c r="VI258" i="1"/>
  <c r="VH258" i="1"/>
  <c r="VG258" i="1"/>
  <c r="VF258" i="1"/>
  <c r="VE258" i="1"/>
  <c r="VD258" i="1"/>
  <c r="VC258" i="1"/>
  <c r="VA258" i="1"/>
  <c r="UZ258" i="1"/>
  <c r="UY258" i="1"/>
  <c r="UX258" i="1"/>
  <c r="UW258" i="1"/>
  <c r="UV258" i="1"/>
  <c r="US258" i="1"/>
  <c r="UR258" i="1"/>
  <c r="UQ258" i="1"/>
  <c r="UP258" i="1"/>
  <c r="UM258" i="1"/>
  <c r="UK258" i="1"/>
  <c r="UJ258" i="1"/>
  <c r="UI258" i="1"/>
  <c r="UH258" i="1"/>
  <c r="UG258" i="1"/>
  <c r="UF258" i="1"/>
  <c r="UE258" i="1"/>
  <c r="UD258" i="1"/>
  <c r="UC258" i="1"/>
  <c r="UB258" i="1"/>
  <c r="UA258" i="1"/>
  <c r="TZ258" i="1"/>
  <c r="TX258" i="1"/>
  <c r="TW258" i="1"/>
  <c r="TV258" i="1"/>
  <c r="TU258" i="1"/>
  <c r="TT258" i="1"/>
  <c r="TS258" i="1"/>
  <c r="TP258" i="1"/>
  <c r="TO258" i="1"/>
  <c r="TN258" i="1"/>
  <c r="TM258" i="1"/>
  <c r="TJ258" i="1"/>
  <c r="TH258" i="1"/>
  <c r="TG258" i="1"/>
  <c r="TF258" i="1"/>
  <c r="TE258" i="1"/>
  <c r="TD258" i="1"/>
  <c r="TC258" i="1"/>
  <c r="TB258" i="1"/>
  <c r="TA258" i="1"/>
  <c r="SZ258" i="1"/>
  <c r="SY258" i="1"/>
  <c r="SX258" i="1"/>
  <c r="SW258" i="1"/>
  <c r="SU258" i="1"/>
  <c r="ST258" i="1"/>
  <c r="SS258" i="1"/>
  <c r="SR258" i="1"/>
  <c r="SQ258" i="1"/>
  <c r="SP258" i="1"/>
  <c r="SM258" i="1"/>
  <c r="SL258" i="1"/>
  <c r="SK258" i="1"/>
  <c r="SJ258" i="1"/>
  <c r="SG258" i="1"/>
  <c r="VN257" i="1"/>
  <c r="VM257" i="1"/>
  <c r="VL257" i="1"/>
  <c r="VK257" i="1"/>
  <c r="VJ257" i="1"/>
  <c r="VI257" i="1"/>
  <c r="VH257" i="1"/>
  <c r="VG257" i="1"/>
  <c r="VF257" i="1"/>
  <c r="VE257" i="1"/>
  <c r="VD257" i="1"/>
  <c r="VC257" i="1"/>
  <c r="VA257" i="1"/>
  <c r="UZ257" i="1"/>
  <c r="UY257" i="1"/>
  <c r="UX257" i="1"/>
  <c r="UW257" i="1"/>
  <c r="UV257" i="1"/>
  <c r="US257" i="1"/>
  <c r="UR257" i="1"/>
  <c r="UQ257" i="1"/>
  <c r="UP257" i="1"/>
  <c r="UM257" i="1"/>
  <c r="UK257" i="1"/>
  <c r="UJ257" i="1"/>
  <c r="UI257" i="1"/>
  <c r="UH257" i="1"/>
  <c r="UG257" i="1"/>
  <c r="UF257" i="1"/>
  <c r="UE257" i="1"/>
  <c r="UD257" i="1"/>
  <c r="UC257" i="1"/>
  <c r="UB257" i="1"/>
  <c r="UA257" i="1"/>
  <c r="TZ257" i="1"/>
  <c r="TX257" i="1"/>
  <c r="TW257" i="1"/>
  <c r="TV257" i="1"/>
  <c r="TU257" i="1"/>
  <c r="TT257" i="1"/>
  <c r="TS257" i="1"/>
  <c r="TP257" i="1"/>
  <c r="TO257" i="1"/>
  <c r="TN257" i="1"/>
  <c r="TM257" i="1"/>
  <c r="TJ257" i="1"/>
  <c r="TH257" i="1"/>
  <c r="TG257" i="1"/>
  <c r="TF257" i="1"/>
  <c r="TE257" i="1"/>
  <c r="TD257" i="1"/>
  <c r="TC257" i="1"/>
  <c r="TB257" i="1"/>
  <c r="TA257" i="1"/>
  <c r="SZ257" i="1"/>
  <c r="SY257" i="1"/>
  <c r="SX257" i="1"/>
  <c r="SW257" i="1"/>
  <c r="SU257" i="1"/>
  <c r="ST257" i="1"/>
  <c r="SS257" i="1"/>
  <c r="SR257" i="1"/>
  <c r="SQ257" i="1"/>
  <c r="SP257" i="1"/>
  <c r="SM257" i="1"/>
  <c r="SL257" i="1"/>
  <c r="SK257" i="1"/>
  <c r="SJ257" i="1"/>
  <c r="SG257" i="1"/>
  <c r="VN256" i="1"/>
  <c r="VM256" i="1"/>
  <c r="VL256" i="1"/>
  <c r="VK256" i="1"/>
  <c r="VJ256" i="1"/>
  <c r="VI256" i="1"/>
  <c r="VH256" i="1"/>
  <c r="VG256" i="1"/>
  <c r="VF256" i="1"/>
  <c r="VE256" i="1"/>
  <c r="VD256" i="1"/>
  <c r="VC256" i="1"/>
  <c r="VA256" i="1"/>
  <c r="UZ256" i="1"/>
  <c r="UY256" i="1"/>
  <c r="UX256" i="1"/>
  <c r="UW256" i="1"/>
  <c r="UV256" i="1"/>
  <c r="US256" i="1"/>
  <c r="UR256" i="1"/>
  <c r="UQ256" i="1"/>
  <c r="UP256" i="1"/>
  <c r="UM256" i="1"/>
  <c r="UK256" i="1"/>
  <c r="UJ256" i="1"/>
  <c r="UI256" i="1"/>
  <c r="UH256" i="1"/>
  <c r="UG256" i="1"/>
  <c r="UF256" i="1"/>
  <c r="UE256" i="1"/>
  <c r="UD256" i="1"/>
  <c r="UC256" i="1"/>
  <c r="UB256" i="1"/>
  <c r="UA256" i="1"/>
  <c r="TZ256" i="1"/>
  <c r="TX256" i="1"/>
  <c r="TW256" i="1"/>
  <c r="TV256" i="1"/>
  <c r="TU256" i="1"/>
  <c r="TT256" i="1"/>
  <c r="TS256" i="1"/>
  <c r="TP256" i="1"/>
  <c r="TO256" i="1"/>
  <c r="TN256" i="1"/>
  <c r="TM256" i="1"/>
  <c r="TJ256" i="1"/>
  <c r="TH256" i="1"/>
  <c r="TG256" i="1"/>
  <c r="TF256" i="1"/>
  <c r="TE256" i="1"/>
  <c r="TD256" i="1"/>
  <c r="TC256" i="1"/>
  <c r="TB256" i="1"/>
  <c r="TA256" i="1"/>
  <c r="SZ256" i="1"/>
  <c r="SY256" i="1"/>
  <c r="SX256" i="1"/>
  <c r="SW256" i="1"/>
  <c r="SU256" i="1"/>
  <c r="ST256" i="1"/>
  <c r="SS256" i="1"/>
  <c r="SR256" i="1"/>
  <c r="SQ256" i="1"/>
  <c r="SP256" i="1"/>
  <c r="SM256" i="1"/>
  <c r="SL256" i="1"/>
  <c r="SK256" i="1"/>
  <c r="SJ256" i="1"/>
  <c r="SG256" i="1"/>
  <c r="VN255" i="1"/>
  <c r="VM255" i="1"/>
  <c r="VL255" i="1"/>
  <c r="VK255" i="1"/>
  <c r="VJ255" i="1"/>
  <c r="VI255" i="1"/>
  <c r="VH255" i="1"/>
  <c r="VG255" i="1"/>
  <c r="VF255" i="1"/>
  <c r="VE255" i="1"/>
  <c r="VD255" i="1"/>
  <c r="VC255" i="1"/>
  <c r="VA255" i="1"/>
  <c r="UZ255" i="1"/>
  <c r="UY255" i="1"/>
  <c r="UX255" i="1"/>
  <c r="UW255" i="1"/>
  <c r="UV255" i="1"/>
  <c r="US255" i="1"/>
  <c r="UR255" i="1"/>
  <c r="UQ255" i="1"/>
  <c r="UP255" i="1"/>
  <c r="UM255" i="1"/>
  <c r="UK255" i="1"/>
  <c r="UJ255" i="1"/>
  <c r="UI255" i="1"/>
  <c r="UH255" i="1"/>
  <c r="UG255" i="1"/>
  <c r="UF255" i="1"/>
  <c r="UE255" i="1"/>
  <c r="UD255" i="1"/>
  <c r="UC255" i="1"/>
  <c r="UB255" i="1"/>
  <c r="UA255" i="1"/>
  <c r="TZ255" i="1"/>
  <c r="TX255" i="1"/>
  <c r="TW255" i="1"/>
  <c r="TV255" i="1"/>
  <c r="TU255" i="1"/>
  <c r="TT255" i="1"/>
  <c r="TS255" i="1"/>
  <c r="TP255" i="1"/>
  <c r="TO255" i="1"/>
  <c r="TN255" i="1"/>
  <c r="TM255" i="1"/>
  <c r="TJ255" i="1"/>
  <c r="TH255" i="1"/>
  <c r="TG255" i="1"/>
  <c r="TF255" i="1"/>
  <c r="TE255" i="1"/>
  <c r="TD255" i="1"/>
  <c r="TC255" i="1"/>
  <c r="TB255" i="1"/>
  <c r="TA255" i="1"/>
  <c r="SZ255" i="1"/>
  <c r="SY255" i="1"/>
  <c r="SX255" i="1"/>
  <c r="SW255" i="1"/>
  <c r="SU255" i="1"/>
  <c r="ST255" i="1"/>
  <c r="SS255" i="1"/>
  <c r="SR255" i="1"/>
  <c r="SQ255" i="1"/>
  <c r="SP255" i="1"/>
  <c r="SM255" i="1"/>
  <c r="SL255" i="1"/>
  <c r="SK255" i="1"/>
  <c r="SJ255" i="1"/>
  <c r="SG255" i="1"/>
  <c r="VN254" i="1"/>
  <c r="VM254" i="1"/>
  <c r="VL254" i="1"/>
  <c r="VK254" i="1"/>
  <c r="VJ254" i="1"/>
  <c r="VI254" i="1"/>
  <c r="VH254" i="1"/>
  <c r="VG254" i="1"/>
  <c r="VF254" i="1"/>
  <c r="VE254" i="1"/>
  <c r="VD254" i="1"/>
  <c r="VC254" i="1"/>
  <c r="VA254" i="1"/>
  <c r="UZ254" i="1"/>
  <c r="UY254" i="1"/>
  <c r="UX254" i="1"/>
  <c r="UW254" i="1"/>
  <c r="UV254" i="1"/>
  <c r="US254" i="1"/>
  <c r="UR254" i="1"/>
  <c r="UQ254" i="1"/>
  <c r="UP254" i="1"/>
  <c r="UM254" i="1"/>
  <c r="UK254" i="1"/>
  <c r="UJ254" i="1"/>
  <c r="UI254" i="1"/>
  <c r="UH254" i="1"/>
  <c r="UG254" i="1"/>
  <c r="UF254" i="1"/>
  <c r="UE254" i="1"/>
  <c r="UD254" i="1"/>
  <c r="UC254" i="1"/>
  <c r="UB254" i="1"/>
  <c r="UA254" i="1"/>
  <c r="TZ254" i="1"/>
  <c r="TX254" i="1"/>
  <c r="TW254" i="1"/>
  <c r="TV254" i="1"/>
  <c r="TU254" i="1"/>
  <c r="TT254" i="1"/>
  <c r="TS254" i="1"/>
  <c r="TP254" i="1"/>
  <c r="TO254" i="1"/>
  <c r="TN254" i="1"/>
  <c r="TM254" i="1"/>
  <c r="TJ254" i="1"/>
  <c r="TH254" i="1"/>
  <c r="TG254" i="1"/>
  <c r="TF254" i="1"/>
  <c r="TE254" i="1"/>
  <c r="TD254" i="1"/>
  <c r="TC254" i="1"/>
  <c r="TB254" i="1"/>
  <c r="TA254" i="1"/>
  <c r="SZ254" i="1"/>
  <c r="SY254" i="1"/>
  <c r="SX254" i="1"/>
  <c r="SW254" i="1"/>
  <c r="SU254" i="1"/>
  <c r="ST254" i="1"/>
  <c r="SS254" i="1"/>
  <c r="SR254" i="1"/>
  <c r="SQ254" i="1"/>
  <c r="SP254" i="1"/>
  <c r="SM254" i="1"/>
  <c r="SL254" i="1"/>
  <c r="SK254" i="1"/>
  <c r="SJ254" i="1"/>
  <c r="SG254" i="1"/>
  <c r="VN253" i="1"/>
  <c r="VM253" i="1"/>
  <c r="VL253" i="1"/>
  <c r="VK253" i="1"/>
  <c r="VJ253" i="1"/>
  <c r="VI253" i="1"/>
  <c r="VH253" i="1"/>
  <c r="VG253" i="1"/>
  <c r="VF253" i="1"/>
  <c r="VE253" i="1"/>
  <c r="VD253" i="1"/>
  <c r="VC253" i="1"/>
  <c r="VA253" i="1"/>
  <c r="UZ253" i="1"/>
  <c r="UY253" i="1"/>
  <c r="UX253" i="1"/>
  <c r="UW253" i="1"/>
  <c r="UV253" i="1"/>
  <c r="US253" i="1"/>
  <c r="UR253" i="1"/>
  <c r="UQ253" i="1"/>
  <c r="UP253" i="1"/>
  <c r="UM253" i="1"/>
  <c r="UK253" i="1"/>
  <c r="UJ253" i="1"/>
  <c r="UI253" i="1"/>
  <c r="UH253" i="1"/>
  <c r="UG253" i="1"/>
  <c r="UF253" i="1"/>
  <c r="UE253" i="1"/>
  <c r="UD253" i="1"/>
  <c r="UC253" i="1"/>
  <c r="UB253" i="1"/>
  <c r="UA253" i="1"/>
  <c r="TZ253" i="1"/>
  <c r="TX253" i="1"/>
  <c r="TW253" i="1"/>
  <c r="TV253" i="1"/>
  <c r="TU253" i="1"/>
  <c r="TT253" i="1"/>
  <c r="TS253" i="1"/>
  <c r="TP253" i="1"/>
  <c r="TO253" i="1"/>
  <c r="TN253" i="1"/>
  <c r="TM253" i="1"/>
  <c r="TJ253" i="1"/>
  <c r="TH253" i="1"/>
  <c r="TG253" i="1"/>
  <c r="TF253" i="1"/>
  <c r="TE253" i="1"/>
  <c r="TD253" i="1"/>
  <c r="TC253" i="1"/>
  <c r="TB253" i="1"/>
  <c r="TA253" i="1"/>
  <c r="SZ253" i="1"/>
  <c r="SY253" i="1"/>
  <c r="SX253" i="1"/>
  <c r="SW253" i="1"/>
  <c r="SU253" i="1"/>
  <c r="ST253" i="1"/>
  <c r="SS253" i="1"/>
  <c r="SR253" i="1"/>
  <c r="SQ253" i="1"/>
  <c r="SP253" i="1"/>
  <c r="SM253" i="1"/>
  <c r="SL253" i="1"/>
  <c r="SK253" i="1"/>
  <c r="SJ253" i="1"/>
  <c r="SG253" i="1"/>
  <c r="VN252" i="1"/>
  <c r="VM252" i="1"/>
  <c r="VL252" i="1"/>
  <c r="VK252" i="1"/>
  <c r="VJ252" i="1"/>
  <c r="VI252" i="1"/>
  <c r="VH252" i="1"/>
  <c r="VG252" i="1"/>
  <c r="VF252" i="1"/>
  <c r="VE252" i="1"/>
  <c r="VD252" i="1"/>
  <c r="VC252" i="1"/>
  <c r="VA252" i="1"/>
  <c r="UZ252" i="1"/>
  <c r="UY252" i="1"/>
  <c r="UX252" i="1"/>
  <c r="UW252" i="1"/>
  <c r="UV252" i="1"/>
  <c r="US252" i="1"/>
  <c r="UR252" i="1"/>
  <c r="UQ252" i="1"/>
  <c r="UP252" i="1"/>
  <c r="UM252" i="1"/>
  <c r="UK252" i="1"/>
  <c r="UJ252" i="1"/>
  <c r="UI252" i="1"/>
  <c r="UH252" i="1"/>
  <c r="UG252" i="1"/>
  <c r="UF252" i="1"/>
  <c r="UE252" i="1"/>
  <c r="UD252" i="1"/>
  <c r="UC252" i="1"/>
  <c r="UB252" i="1"/>
  <c r="UA252" i="1"/>
  <c r="TZ252" i="1"/>
  <c r="TX252" i="1"/>
  <c r="TW252" i="1"/>
  <c r="TV252" i="1"/>
  <c r="TU252" i="1"/>
  <c r="TT252" i="1"/>
  <c r="TS252" i="1"/>
  <c r="TP252" i="1"/>
  <c r="TO252" i="1"/>
  <c r="TN252" i="1"/>
  <c r="TM252" i="1"/>
  <c r="TJ252" i="1"/>
  <c r="TH252" i="1"/>
  <c r="TG252" i="1"/>
  <c r="TF252" i="1"/>
  <c r="TE252" i="1"/>
  <c r="TD252" i="1"/>
  <c r="TC252" i="1"/>
  <c r="TB252" i="1"/>
  <c r="TA252" i="1"/>
  <c r="SZ252" i="1"/>
  <c r="SY252" i="1"/>
  <c r="SX252" i="1"/>
  <c r="SW252" i="1"/>
  <c r="SU252" i="1"/>
  <c r="ST252" i="1"/>
  <c r="SS252" i="1"/>
  <c r="SR252" i="1"/>
  <c r="SQ252" i="1"/>
  <c r="SP252" i="1"/>
  <c r="SM252" i="1"/>
  <c r="SL252" i="1"/>
  <c r="SK252" i="1"/>
  <c r="SJ252" i="1"/>
  <c r="SG252" i="1"/>
  <c r="VN251" i="1"/>
  <c r="VM251" i="1"/>
  <c r="VL251" i="1"/>
  <c r="VK251" i="1"/>
  <c r="VJ251" i="1"/>
  <c r="VI251" i="1"/>
  <c r="VH251" i="1"/>
  <c r="VG251" i="1"/>
  <c r="VF251" i="1"/>
  <c r="VE251" i="1"/>
  <c r="VD251" i="1"/>
  <c r="VC251" i="1"/>
  <c r="VA251" i="1"/>
  <c r="UZ251" i="1"/>
  <c r="UY251" i="1"/>
  <c r="UX251" i="1"/>
  <c r="UW251" i="1"/>
  <c r="UV251" i="1"/>
  <c r="US251" i="1"/>
  <c r="UR251" i="1"/>
  <c r="UQ251" i="1"/>
  <c r="UP251" i="1"/>
  <c r="UM251" i="1"/>
  <c r="UK251" i="1"/>
  <c r="UJ251" i="1"/>
  <c r="UI251" i="1"/>
  <c r="UH251" i="1"/>
  <c r="UG251" i="1"/>
  <c r="UF251" i="1"/>
  <c r="UE251" i="1"/>
  <c r="UD251" i="1"/>
  <c r="UC251" i="1"/>
  <c r="UB251" i="1"/>
  <c r="UA251" i="1"/>
  <c r="TZ251" i="1"/>
  <c r="TX251" i="1"/>
  <c r="TW251" i="1"/>
  <c r="TV251" i="1"/>
  <c r="TU251" i="1"/>
  <c r="TT251" i="1"/>
  <c r="TS251" i="1"/>
  <c r="TP251" i="1"/>
  <c r="TO251" i="1"/>
  <c r="TN251" i="1"/>
  <c r="TM251" i="1"/>
  <c r="TJ251" i="1"/>
  <c r="TH251" i="1"/>
  <c r="TG251" i="1"/>
  <c r="TF251" i="1"/>
  <c r="TE251" i="1"/>
  <c r="TD251" i="1"/>
  <c r="TC251" i="1"/>
  <c r="TB251" i="1"/>
  <c r="TA251" i="1"/>
  <c r="SZ251" i="1"/>
  <c r="SY251" i="1"/>
  <c r="SX251" i="1"/>
  <c r="SW251" i="1"/>
  <c r="SU251" i="1"/>
  <c r="ST251" i="1"/>
  <c r="SS251" i="1"/>
  <c r="SR251" i="1"/>
  <c r="SQ251" i="1"/>
  <c r="SP251" i="1"/>
  <c r="SM251" i="1"/>
  <c r="SL251" i="1"/>
  <c r="SK251" i="1"/>
  <c r="SJ251" i="1"/>
  <c r="SG251" i="1"/>
  <c r="VN250" i="1"/>
  <c r="VM250" i="1"/>
  <c r="VL250" i="1"/>
  <c r="VK250" i="1"/>
  <c r="VJ250" i="1"/>
  <c r="VI250" i="1"/>
  <c r="VH250" i="1"/>
  <c r="VG250" i="1"/>
  <c r="VF250" i="1"/>
  <c r="VE250" i="1"/>
  <c r="VD250" i="1"/>
  <c r="VC250" i="1"/>
  <c r="VA250" i="1"/>
  <c r="UZ250" i="1"/>
  <c r="UY250" i="1"/>
  <c r="UX250" i="1"/>
  <c r="UW250" i="1"/>
  <c r="UV250" i="1"/>
  <c r="US250" i="1"/>
  <c r="UR250" i="1"/>
  <c r="UQ250" i="1"/>
  <c r="UP250" i="1"/>
  <c r="UM250" i="1"/>
  <c r="UK250" i="1"/>
  <c r="UJ250" i="1"/>
  <c r="UI250" i="1"/>
  <c r="UH250" i="1"/>
  <c r="UG250" i="1"/>
  <c r="UF250" i="1"/>
  <c r="UE250" i="1"/>
  <c r="UD250" i="1"/>
  <c r="UC250" i="1"/>
  <c r="UB250" i="1"/>
  <c r="UA250" i="1"/>
  <c r="TZ250" i="1"/>
  <c r="TX250" i="1"/>
  <c r="TW250" i="1"/>
  <c r="TV250" i="1"/>
  <c r="TU250" i="1"/>
  <c r="TT250" i="1"/>
  <c r="TS250" i="1"/>
  <c r="TP250" i="1"/>
  <c r="TO250" i="1"/>
  <c r="TN250" i="1"/>
  <c r="TM250" i="1"/>
  <c r="TJ250" i="1"/>
  <c r="TH250" i="1"/>
  <c r="TG250" i="1"/>
  <c r="TF250" i="1"/>
  <c r="TE250" i="1"/>
  <c r="TD250" i="1"/>
  <c r="TC250" i="1"/>
  <c r="TB250" i="1"/>
  <c r="TA250" i="1"/>
  <c r="SZ250" i="1"/>
  <c r="SY250" i="1"/>
  <c r="SX250" i="1"/>
  <c r="SW250" i="1"/>
  <c r="SU250" i="1"/>
  <c r="ST250" i="1"/>
  <c r="SS250" i="1"/>
  <c r="SR250" i="1"/>
  <c r="SQ250" i="1"/>
  <c r="SP250" i="1"/>
  <c r="SM250" i="1"/>
  <c r="SL250" i="1"/>
  <c r="SK250" i="1"/>
  <c r="SJ250" i="1"/>
  <c r="SG250" i="1"/>
  <c r="VN249" i="1"/>
  <c r="VM249" i="1"/>
  <c r="VL249" i="1"/>
  <c r="VK249" i="1"/>
  <c r="VJ249" i="1"/>
  <c r="VI249" i="1"/>
  <c r="VH249" i="1"/>
  <c r="VG249" i="1"/>
  <c r="VF249" i="1"/>
  <c r="VE249" i="1"/>
  <c r="VD249" i="1"/>
  <c r="VC249" i="1"/>
  <c r="VA249" i="1"/>
  <c r="UZ249" i="1"/>
  <c r="UY249" i="1"/>
  <c r="UX249" i="1"/>
  <c r="UW249" i="1"/>
  <c r="UV249" i="1"/>
  <c r="US249" i="1"/>
  <c r="UR249" i="1"/>
  <c r="UQ249" i="1"/>
  <c r="UP249" i="1"/>
  <c r="UM249" i="1"/>
  <c r="UK249" i="1"/>
  <c r="UJ249" i="1"/>
  <c r="UI249" i="1"/>
  <c r="UH249" i="1"/>
  <c r="UG249" i="1"/>
  <c r="UF249" i="1"/>
  <c r="UE249" i="1"/>
  <c r="UD249" i="1"/>
  <c r="UC249" i="1"/>
  <c r="UB249" i="1"/>
  <c r="UA249" i="1"/>
  <c r="TZ249" i="1"/>
  <c r="TX249" i="1"/>
  <c r="TW249" i="1"/>
  <c r="TV249" i="1"/>
  <c r="TU249" i="1"/>
  <c r="TT249" i="1"/>
  <c r="TS249" i="1"/>
  <c r="TP249" i="1"/>
  <c r="TO249" i="1"/>
  <c r="TN249" i="1"/>
  <c r="TM249" i="1"/>
  <c r="TJ249" i="1"/>
  <c r="TH249" i="1"/>
  <c r="TG249" i="1"/>
  <c r="TF249" i="1"/>
  <c r="TE249" i="1"/>
  <c r="TD249" i="1"/>
  <c r="TC249" i="1"/>
  <c r="TB249" i="1"/>
  <c r="TA249" i="1"/>
  <c r="SZ249" i="1"/>
  <c r="SY249" i="1"/>
  <c r="SX249" i="1"/>
  <c r="SW249" i="1"/>
  <c r="SU249" i="1"/>
  <c r="ST249" i="1"/>
  <c r="SS249" i="1"/>
  <c r="SR249" i="1"/>
  <c r="SQ249" i="1"/>
  <c r="SP249" i="1"/>
  <c r="SM249" i="1"/>
  <c r="SL249" i="1"/>
  <c r="SK249" i="1"/>
  <c r="SJ249" i="1"/>
  <c r="SG249" i="1"/>
  <c r="VN248" i="1"/>
  <c r="VM248" i="1"/>
  <c r="VL248" i="1"/>
  <c r="VK248" i="1"/>
  <c r="VJ248" i="1"/>
  <c r="VI248" i="1"/>
  <c r="VH248" i="1"/>
  <c r="VG248" i="1"/>
  <c r="VF248" i="1"/>
  <c r="VE248" i="1"/>
  <c r="VD248" i="1"/>
  <c r="VC248" i="1"/>
  <c r="VA248" i="1"/>
  <c r="UZ248" i="1"/>
  <c r="UY248" i="1"/>
  <c r="UX248" i="1"/>
  <c r="UW248" i="1"/>
  <c r="UV248" i="1"/>
  <c r="US248" i="1"/>
  <c r="UR248" i="1"/>
  <c r="UQ248" i="1"/>
  <c r="UP248" i="1"/>
  <c r="UM248" i="1"/>
  <c r="UK248" i="1"/>
  <c r="UJ248" i="1"/>
  <c r="UI248" i="1"/>
  <c r="UH248" i="1"/>
  <c r="UG248" i="1"/>
  <c r="UF248" i="1"/>
  <c r="UE248" i="1"/>
  <c r="UD248" i="1"/>
  <c r="UC248" i="1"/>
  <c r="UB248" i="1"/>
  <c r="UA248" i="1"/>
  <c r="TZ248" i="1"/>
  <c r="TX248" i="1"/>
  <c r="TW248" i="1"/>
  <c r="TV248" i="1"/>
  <c r="TU248" i="1"/>
  <c r="TT248" i="1"/>
  <c r="TS248" i="1"/>
  <c r="TP248" i="1"/>
  <c r="TO248" i="1"/>
  <c r="TN248" i="1"/>
  <c r="TM248" i="1"/>
  <c r="TJ248" i="1"/>
  <c r="TH248" i="1"/>
  <c r="TG248" i="1"/>
  <c r="TF248" i="1"/>
  <c r="TE248" i="1"/>
  <c r="TD248" i="1"/>
  <c r="TC248" i="1"/>
  <c r="TB248" i="1"/>
  <c r="TA248" i="1"/>
  <c r="SZ248" i="1"/>
  <c r="SY248" i="1"/>
  <c r="SX248" i="1"/>
  <c r="SW248" i="1"/>
  <c r="SU248" i="1"/>
  <c r="ST248" i="1"/>
  <c r="SS248" i="1"/>
  <c r="SR248" i="1"/>
  <c r="SQ248" i="1"/>
  <c r="SP248" i="1"/>
  <c r="SM248" i="1"/>
  <c r="SL248" i="1"/>
  <c r="SK248" i="1"/>
  <c r="SJ248" i="1"/>
  <c r="SG248" i="1"/>
  <c r="VN247" i="1"/>
  <c r="VM247" i="1"/>
  <c r="VL247" i="1"/>
  <c r="VK247" i="1"/>
  <c r="VJ247" i="1"/>
  <c r="VI247" i="1"/>
  <c r="VH247" i="1"/>
  <c r="VG247" i="1"/>
  <c r="VF247" i="1"/>
  <c r="VE247" i="1"/>
  <c r="VD247" i="1"/>
  <c r="VC247" i="1"/>
  <c r="VA247" i="1"/>
  <c r="UZ247" i="1"/>
  <c r="UY247" i="1"/>
  <c r="UX247" i="1"/>
  <c r="UW247" i="1"/>
  <c r="UV247" i="1"/>
  <c r="US247" i="1"/>
  <c r="UR247" i="1"/>
  <c r="UQ247" i="1"/>
  <c r="UP247" i="1"/>
  <c r="UM247" i="1"/>
  <c r="UK247" i="1"/>
  <c r="UJ247" i="1"/>
  <c r="UI247" i="1"/>
  <c r="UH247" i="1"/>
  <c r="UG247" i="1"/>
  <c r="UF247" i="1"/>
  <c r="UE247" i="1"/>
  <c r="UD247" i="1"/>
  <c r="UC247" i="1"/>
  <c r="UB247" i="1"/>
  <c r="UA247" i="1"/>
  <c r="TZ247" i="1"/>
  <c r="TX247" i="1"/>
  <c r="TW247" i="1"/>
  <c r="TV247" i="1"/>
  <c r="TU247" i="1"/>
  <c r="TT247" i="1"/>
  <c r="TS247" i="1"/>
  <c r="TP247" i="1"/>
  <c r="TO247" i="1"/>
  <c r="TN247" i="1"/>
  <c r="TM247" i="1"/>
  <c r="TJ247" i="1"/>
  <c r="TH247" i="1"/>
  <c r="TG247" i="1"/>
  <c r="TF247" i="1"/>
  <c r="TE247" i="1"/>
  <c r="TD247" i="1"/>
  <c r="TC247" i="1"/>
  <c r="TB247" i="1"/>
  <c r="TA247" i="1"/>
  <c r="SZ247" i="1"/>
  <c r="SY247" i="1"/>
  <c r="SX247" i="1"/>
  <c r="SW247" i="1"/>
  <c r="SU247" i="1"/>
  <c r="ST247" i="1"/>
  <c r="SS247" i="1"/>
  <c r="SR247" i="1"/>
  <c r="SQ247" i="1"/>
  <c r="SP247" i="1"/>
  <c r="SM247" i="1"/>
  <c r="SL247" i="1"/>
  <c r="SK247" i="1"/>
  <c r="SJ247" i="1"/>
  <c r="SG247" i="1"/>
  <c r="VN246" i="1"/>
  <c r="VM246" i="1"/>
  <c r="VL246" i="1"/>
  <c r="VK246" i="1"/>
  <c r="VJ246" i="1"/>
  <c r="VI246" i="1"/>
  <c r="VH246" i="1"/>
  <c r="VG246" i="1"/>
  <c r="VF246" i="1"/>
  <c r="VE246" i="1"/>
  <c r="VD246" i="1"/>
  <c r="VC246" i="1"/>
  <c r="VA246" i="1"/>
  <c r="UZ246" i="1"/>
  <c r="UY246" i="1"/>
  <c r="UX246" i="1"/>
  <c r="UW246" i="1"/>
  <c r="UV246" i="1"/>
  <c r="US246" i="1"/>
  <c r="UR246" i="1"/>
  <c r="UQ246" i="1"/>
  <c r="UP246" i="1"/>
  <c r="UM246" i="1"/>
  <c r="UK246" i="1"/>
  <c r="UJ246" i="1"/>
  <c r="UI246" i="1"/>
  <c r="UH246" i="1"/>
  <c r="UG246" i="1"/>
  <c r="UF246" i="1"/>
  <c r="UE246" i="1"/>
  <c r="UD246" i="1"/>
  <c r="UC246" i="1"/>
  <c r="UB246" i="1"/>
  <c r="UA246" i="1"/>
  <c r="TZ246" i="1"/>
  <c r="TX246" i="1"/>
  <c r="TW246" i="1"/>
  <c r="TV246" i="1"/>
  <c r="TU246" i="1"/>
  <c r="TT246" i="1"/>
  <c r="TS246" i="1"/>
  <c r="TP246" i="1"/>
  <c r="TO246" i="1"/>
  <c r="TN246" i="1"/>
  <c r="TM246" i="1"/>
  <c r="TJ246" i="1"/>
  <c r="TH246" i="1"/>
  <c r="TG246" i="1"/>
  <c r="TF246" i="1"/>
  <c r="TE246" i="1"/>
  <c r="TD246" i="1"/>
  <c r="TC246" i="1"/>
  <c r="TB246" i="1"/>
  <c r="TA246" i="1"/>
  <c r="SZ246" i="1"/>
  <c r="SY246" i="1"/>
  <c r="SX246" i="1"/>
  <c r="SW246" i="1"/>
  <c r="SU246" i="1"/>
  <c r="ST246" i="1"/>
  <c r="SS246" i="1"/>
  <c r="SR246" i="1"/>
  <c r="SQ246" i="1"/>
  <c r="SP246" i="1"/>
  <c r="SM246" i="1"/>
  <c r="SL246" i="1"/>
  <c r="SK246" i="1"/>
  <c r="SJ246" i="1"/>
  <c r="SG246" i="1"/>
  <c r="VN245" i="1"/>
  <c r="VM245" i="1"/>
  <c r="VL245" i="1"/>
  <c r="VK245" i="1"/>
  <c r="VJ245" i="1"/>
  <c r="VI245" i="1"/>
  <c r="VH245" i="1"/>
  <c r="VG245" i="1"/>
  <c r="VF245" i="1"/>
  <c r="VE245" i="1"/>
  <c r="VD245" i="1"/>
  <c r="VC245" i="1"/>
  <c r="VA245" i="1"/>
  <c r="UZ245" i="1"/>
  <c r="UY245" i="1"/>
  <c r="UX245" i="1"/>
  <c r="UW245" i="1"/>
  <c r="UV245" i="1"/>
  <c r="US245" i="1"/>
  <c r="UR245" i="1"/>
  <c r="UQ245" i="1"/>
  <c r="UP245" i="1"/>
  <c r="UM245" i="1"/>
  <c r="UK245" i="1"/>
  <c r="UJ245" i="1"/>
  <c r="UI245" i="1"/>
  <c r="UH245" i="1"/>
  <c r="UG245" i="1"/>
  <c r="UF245" i="1"/>
  <c r="UE245" i="1"/>
  <c r="UD245" i="1"/>
  <c r="UC245" i="1"/>
  <c r="UB245" i="1"/>
  <c r="UA245" i="1"/>
  <c r="TZ245" i="1"/>
  <c r="TX245" i="1"/>
  <c r="TW245" i="1"/>
  <c r="TV245" i="1"/>
  <c r="TU245" i="1"/>
  <c r="TT245" i="1"/>
  <c r="TS245" i="1"/>
  <c r="TP245" i="1"/>
  <c r="TO245" i="1"/>
  <c r="TN245" i="1"/>
  <c r="TM245" i="1"/>
  <c r="TJ245" i="1"/>
  <c r="TH245" i="1"/>
  <c r="TG245" i="1"/>
  <c r="TF245" i="1"/>
  <c r="TE245" i="1"/>
  <c r="TD245" i="1"/>
  <c r="TC245" i="1"/>
  <c r="TB245" i="1"/>
  <c r="TA245" i="1"/>
  <c r="SZ245" i="1"/>
  <c r="SY245" i="1"/>
  <c r="SX245" i="1"/>
  <c r="SW245" i="1"/>
  <c r="SU245" i="1"/>
  <c r="ST245" i="1"/>
  <c r="SS245" i="1"/>
  <c r="SR245" i="1"/>
  <c r="SQ245" i="1"/>
  <c r="SP245" i="1"/>
  <c r="SM245" i="1"/>
  <c r="SL245" i="1"/>
  <c r="SK245" i="1"/>
  <c r="SJ245" i="1"/>
  <c r="SG245" i="1"/>
  <c r="VN244" i="1"/>
  <c r="VM244" i="1"/>
  <c r="VL244" i="1"/>
  <c r="VK244" i="1"/>
  <c r="VJ244" i="1"/>
  <c r="VI244" i="1"/>
  <c r="VH244" i="1"/>
  <c r="VG244" i="1"/>
  <c r="VF244" i="1"/>
  <c r="VE244" i="1"/>
  <c r="VD244" i="1"/>
  <c r="VC244" i="1"/>
  <c r="VA244" i="1"/>
  <c r="UZ244" i="1"/>
  <c r="UY244" i="1"/>
  <c r="UX244" i="1"/>
  <c r="UW244" i="1"/>
  <c r="UV244" i="1"/>
  <c r="US244" i="1"/>
  <c r="UR244" i="1"/>
  <c r="UQ244" i="1"/>
  <c r="UP244" i="1"/>
  <c r="UM244" i="1"/>
  <c r="UK244" i="1"/>
  <c r="UJ244" i="1"/>
  <c r="UI244" i="1"/>
  <c r="UH244" i="1"/>
  <c r="UG244" i="1"/>
  <c r="UF244" i="1"/>
  <c r="UE244" i="1"/>
  <c r="UD244" i="1"/>
  <c r="UC244" i="1"/>
  <c r="UB244" i="1"/>
  <c r="UA244" i="1"/>
  <c r="TZ244" i="1"/>
  <c r="TX244" i="1"/>
  <c r="TW244" i="1"/>
  <c r="TV244" i="1"/>
  <c r="TU244" i="1"/>
  <c r="TT244" i="1"/>
  <c r="TS244" i="1"/>
  <c r="TP244" i="1"/>
  <c r="TO244" i="1"/>
  <c r="TN244" i="1"/>
  <c r="TM244" i="1"/>
  <c r="TJ244" i="1"/>
  <c r="TH244" i="1"/>
  <c r="TG244" i="1"/>
  <c r="TF244" i="1"/>
  <c r="TE244" i="1"/>
  <c r="TD244" i="1"/>
  <c r="TC244" i="1"/>
  <c r="TB244" i="1"/>
  <c r="TA244" i="1"/>
  <c r="SZ244" i="1"/>
  <c r="SY244" i="1"/>
  <c r="SX244" i="1"/>
  <c r="SW244" i="1"/>
  <c r="SU244" i="1"/>
  <c r="ST244" i="1"/>
  <c r="SS244" i="1"/>
  <c r="SR244" i="1"/>
  <c r="SQ244" i="1"/>
  <c r="SP244" i="1"/>
  <c r="SM244" i="1"/>
  <c r="SL244" i="1"/>
  <c r="SK244" i="1"/>
  <c r="SJ244" i="1"/>
  <c r="SG244" i="1"/>
  <c r="VN243" i="1"/>
  <c r="VM243" i="1"/>
  <c r="VL243" i="1"/>
  <c r="VK243" i="1"/>
  <c r="VJ243" i="1"/>
  <c r="VI243" i="1"/>
  <c r="VH243" i="1"/>
  <c r="VG243" i="1"/>
  <c r="VF243" i="1"/>
  <c r="VE243" i="1"/>
  <c r="VD243" i="1"/>
  <c r="VC243" i="1"/>
  <c r="VA243" i="1"/>
  <c r="UZ243" i="1"/>
  <c r="UY243" i="1"/>
  <c r="UX243" i="1"/>
  <c r="UW243" i="1"/>
  <c r="UV243" i="1"/>
  <c r="US243" i="1"/>
  <c r="UR243" i="1"/>
  <c r="UQ243" i="1"/>
  <c r="UP243" i="1"/>
  <c r="UM243" i="1"/>
  <c r="UK243" i="1"/>
  <c r="UJ243" i="1"/>
  <c r="UI243" i="1"/>
  <c r="UH243" i="1"/>
  <c r="UG243" i="1"/>
  <c r="UF243" i="1"/>
  <c r="UE243" i="1"/>
  <c r="UD243" i="1"/>
  <c r="UC243" i="1"/>
  <c r="UB243" i="1"/>
  <c r="UA243" i="1"/>
  <c r="TZ243" i="1"/>
  <c r="TX243" i="1"/>
  <c r="TW243" i="1"/>
  <c r="TV243" i="1"/>
  <c r="TU243" i="1"/>
  <c r="TT243" i="1"/>
  <c r="TS243" i="1"/>
  <c r="TP243" i="1"/>
  <c r="TO243" i="1"/>
  <c r="TN243" i="1"/>
  <c r="TM243" i="1"/>
  <c r="TJ243" i="1"/>
  <c r="TH243" i="1"/>
  <c r="TG243" i="1"/>
  <c r="TF243" i="1"/>
  <c r="TE243" i="1"/>
  <c r="TD243" i="1"/>
  <c r="TC243" i="1"/>
  <c r="TB243" i="1"/>
  <c r="TA243" i="1"/>
  <c r="SZ243" i="1"/>
  <c r="SY243" i="1"/>
  <c r="SX243" i="1"/>
  <c r="SW243" i="1"/>
  <c r="SU243" i="1"/>
  <c r="ST243" i="1"/>
  <c r="SS243" i="1"/>
  <c r="SR243" i="1"/>
  <c r="SQ243" i="1"/>
  <c r="SP243" i="1"/>
  <c r="SM243" i="1"/>
  <c r="SL243" i="1"/>
  <c r="SK243" i="1"/>
  <c r="SJ243" i="1"/>
  <c r="SG243" i="1"/>
  <c r="VN242" i="1"/>
  <c r="VM242" i="1"/>
  <c r="VL242" i="1"/>
  <c r="VK242" i="1"/>
  <c r="VJ242" i="1"/>
  <c r="VI242" i="1"/>
  <c r="VH242" i="1"/>
  <c r="VG242" i="1"/>
  <c r="VF242" i="1"/>
  <c r="VE242" i="1"/>
  <c r="VD242" i="1"/>
  <c r="VC242" i="1"/>
  <c r="VA242" i="1"/>
  <c r="UZ242" i="1"/>
  <c r="UY242" i="1"/>
  <c r="UX242" i="1"/>
  <c r="UW242" i="1"/>
  <c r="UV242" i="1"/>
  <c r="US242" i="1"/>
  <c r="UR242" i="1"/>
  <c r="UQ242" i="1"/>
  <c r="UP242" i="1"/>
  <c r="UM242" i="1"/>
  <c r="UK242" i="1"/>
  <c r="UJ242" i="1"/>
  <c r="UI242" i="1"/>
  <c r="UH242" i="1"/>
  <c r="UG242" i="1"/>
  <c r="UF242" i="1"/>
  <c r="UE242" i="1"/>
  <c r="UD242" i="1"/>
  <c r="UC242" i="1"/>
  <c r="UB242" i="1"/>
  <c r="UA242" i="1"/>
  <c r="TZ242" i="1"/>
  <c r="TX242" i="1"/>
  <c r="TW242" i="1"/>
  <c r="TV242" i="1"/>
  <c r="TU242" i="1"/>
  <c r="TT242" i="1"/>
  <c r="TS242" i="1"/>
  <c r="TP242" i="1"/>
  <c r="TO242" i="1"/>
  <c r="TN242" i="1"/>
  <c r="TM242" i="1"/>
  <c r="TJ242" i="1"/>
  <c r="TH242" i="1"/>
  <c r="TG242" i="1"/>
  <c r="TF242" i="1"/>
  <c r="TE242" i="1"/>
  <c r="TD242" i="1"/>
  <c r="TC242" i="1"/>
  <c r="TB242" i="1"/>
  <c r="TA242" i="1"/>
  <c r="SZ242" i="1"/>
  <c r="SY242" i="1"/>
  <c r="SX242" i="1"/>
  <c r="SW242" i="1"/>
  <c r="SU242" i="1"/>
  <c r="ST242" i="1"/>
  <c r="SS242" i="1"/>
  <c r="SR242" i="1"/>
  <c r="SQ242" i="1"/>
  <c r="SP242" i="1"/>
  <c r="SM242" i="1"/>
  <c r="SL242" i="1"/>
  <c r="SK242" i="1"/>
  <c r="SJ242" i="1"/>
  <c r="SG242" i="1"/>
  <c r="VN241" i="1"/>
  <c r="VM241" i="1"/>
  <c r="VL241" i="1"/>
  <c r="VK241" i="1"/>
  <c r="VJ241" i="1"/>
  <c r="VI241" i="1"/>
  <c r="VH241" i="1"/>
  <c r="VG241" i="1"/>
  <c r="VF241" i="1"/>
  <c r="VE241" i="1"/>
  <c r="VD241" i="1"/>
  <c r="VC241" i="1"/>
  <c r="VA241" i="1"/>
  <c r="UZ241" i="1"/>
  <c r="UY241" i="1"/>
  <c r="UX241" i="1"/>
  <c r="UW241" i="1"/>
  <c r="UV241" i="1"/>
  <c r="US241" i="1"/>
  <c r="UR241" i="1"/>
  <c r="UQ241" i="1"/>
  <c r="UP241" i="1"/>
  <c r="UM241" i="1"/>
  <c r="UK241" i="1"/>
  <c r="UJ241" i="1"/>
  <c r="UI241" i="1"/>
  <c r="UH241" i="1"/>
  <c r="UG241" i="1"/>
  <c r="UF241" i="1"/>
  <c r="UE241" i="1"/>
  <c r="UD241" i="1"/>
  <c r="UC241" i="1"/>
  <c r="UB241" i="1"/>
  <c r="UA241" i="1"/>
  <c r="TZ241" i="1"/>
  <c r="TX241" i="1"/>
  <c r="TW241" i="1"/>
  <c r="TV241" i="1"/>
  <c r="TU241" i="1"/>
  <c r="TT241" i="1"/>
  <c r="TS241" i="1"/>
  <c r="TP241" i="1"/>
  <c r="TO241" i="1"/>
  <c r="TN241" i="1"/>
  <c r="TM241" i="1"/>
  <c r="TJ241" i="1"/>
  <c r="TH241" i="1"/>
  <c r="TG241" i="1"/>
  <c r="TF241" i="1"/>
  <c r="TE241" i="1"/>
  <c r="TD241" i="1"/>
  <c r="TC241" i="1"/>
  <c r="TB241" i="1"/>
  <c r="TA241" i="1"/>
  <c r="SZ241" i="1"/>
  <c r="SY241" i="1"/>
  <c r="SX241" i="1"/>
  <c r="SW241" i="1"/>
  <c r="SU241" i="1"/>
  <c r="ST241" i="1"/>
  <c r="SS241" i="1"/>
  <c r="SR241" i="1"/>
  <c r="SQ241" i="1"/>
  <c r="SP241" i="1"/>
  <c r="SM241" i="1"/>
  <c r="SL241" i="1"/>
  <c r="SK241" i="1"/>
  <c r="SJ241" i="1"/>
  <c r="SG241" i="1"/>
  <c r="VN240" i="1"/>
  <c r="VM240" i="1"/>
  <c r="VL240" i="1"/>
  <c r="VK240" i="1"/>
  <c r="VJ240" i="1"/>
  <c r="VI240" i="1"/>
  <c r="VH240" i="1"/>
  <c r="VG240" i="1"/>
  <c r="VF240" i="1"/>
  <c r="VE240" i="1"/>
  <c r="VD240" i="1"/>
  <c r="VC240" i="1"/>
  <c r="VA240" i="1"/>
  <c r="UZ240" i="1"/>
  <c r="UY240" i="1"/>
  <c r="UX240" i="1"/>
  <c r="UW240" i="1"/>
  <c r="UV240" i="1"/>
  <c r="US240" i="1"/>
  <c r="UR240" i="1"/>
  <c r="UQ240" i="1"/>
  <c r="UP240" i="1"/>
  <c r="UM240" i="1"/>
  <c r="UK240" i="1"/>
  <c r="UJ240" i="1"/>
  <c r="UI240" i="1"/>
  <c r="UH240" i="1"/>
  <c r="UG240" i="1"/>
  <c r="UF240" i="1"/>
  <c r="UE240" i="1"/>
  <c r="UD240" i="1"/>
  <c r="UC240" i="1"/>
  <c r="UB240" i="1"/>
  <c r="UA240" i="1"/>
  <c r="TZ240" i="1"/>
  <c r="TX240" i="1"/>
  <c r="TW240" i="1"/>
  <c r="TV240" i="1"/>
  <c r="TU240" i="1"/>
  <c r="TT240" i="1"/>
  <c r="TS240" i="1"/>
  <c r="TP240" i="1"/>
  <c r="TO240" i="1"/>
  <c r="TN240" i="1"/>
  <c r="TM240" i="1"/>
  <c r="TJ240" i="1"/>
  <c r="TH240" i="1"/>
  <c r="TG240" i="1"/>
  <c r="TF240" i="1"/>
  <c r="TE240" i="1"/>
  <c r="TD240" i="1"/>
  <c r="TC240" i="1"/>
  <c r="TB240" i="1"/>
  <c r="TA240" i="1"/>
  <c r="SZ240" i="1"/>
  <c r="SY240" i="1"/>
  <c r="SX240" i="1"/>
  <c r="SW240" i="1"/>
  <c r="SU240" i="1"/>
  <c r="ST240" i="1"/>
  <c r="SS240" i="1"/>
  <c r="SR240" i="1"/>
  <c r="SQ240" i="1"/>
  <c r="SP240" i="1"/>
  <c r="SM240" i="1"/>
  <c r="SL240" i="1"/>
  <c r="SK240" i="1"/>
  <c r="SJ240" i="1"/>
  <c r="SG240" i="1"/>
  <c r="VN239" i="1"/>
  <c r="VM239" i="1"/>
  <c r="VL239" i="1"/>
  <c r="VK239" i="1"/>
  <c r="VJ239" i="1"/>
  <c r="VI239" i="1"/>
  <c r="VH239" i="1"/>
  <c r="VG239" i="1"/>
  <c r="VF239" i="1"/>
  <c r="VE239" i="1"/>
  <c r="VD239" i="1"/>
  <c r="VC239" i="1"/>
  <c r="VA239" i="1"/>
  <c r="UZ239" i="1"/>
  <c r="UY239" i="1"/>
  <c r="UX239" i="1"/>
  <c r="UW239" i="1"/>
  <c r="UV239" i="1"/>
  <c r="US239" i="1"/>
  <c r="UR239" i="1"/>
  <c r="UQ239" i="1"/>
  <c r="UP239" i="1"/>
  <c r="UM239" i="1"/>
  <c r="UK239" i="1"/>
  <c r="UJ239" i="1"/>
  <c r="UI239" i="1"/>
  <c r="UH239" i="1"/>
  <c r="UG239" i="1"/>
  <c r="UF239" i="1"/>
  <c r="UE239" i="1"/>
  <c r="UD239" i="1"/>
  <c r="UC239" i="1"/>
  <c r="UB239" i="1"/>
  <c r="UA239" i="1"/>
  <c r="TZ239" i="1"/>
  <c r="TX239" i="1"/>
  <c r="TW239" i="1"/>
  <c r="TV239" i="1"/>
  <c r="TU239" i="1"/>
  <c r="TT239" i="1"/>
  <c r="TS239" i="1"/>
  <c r="TP239" i="1"/>
  <c r="TO239" i="1"/>
  <c r="TN239" i="1"/>
  <c r="TM239" i="1"/>
  <c r="TJ239" i="1"/>
  <c r="TH239" i="1"/>
  <c r="TG239" i="1"/>
  <c r="TF239" i="1"/>
  <c r="TE239" i="1"/>
  <c r="TD239" i="1"/>
  <c r="TC239" i="1"/>
  <c r="TB239" i="1"/>
  <c r="TA239" i="1"/>
  <c r="SZ239" i="1"/>
  <c r="SY239" i="1"/>
  <c r="SX239" i="1"/>
  <c r="SW239" i="1"/>
  <c r="SU239" i="1"/>
  <c r="ST239" i="1"/>
  <c r="SS239" i="1"/>
  <c r="SR239" i="1"/>
  <c r="SQ239" i="1"/>
  <c r="SP239" i="1"/>
  <c r="SM239" i="1"/>
  <c r="SL239" i="1"/>
  <c r="SK239" i="1"/>
  <c r="SJ239" i="1"/>
  <c r="SG239" i="1"/>
  <c r="VN238" i="1"/>
  <c r="VM238" i="1"/>
  <c r="VL238" i="1"/>
  <c r="VK238" i="1"/>
  <c r="VJ238" i="1"/>
  <c r="VI238" i="1"/>
  <c r="VH238" i="1"/>
  <c r="VG238" i="1"/>
  <c r="VF238" i="1"/>
  <c r="VE238" i="1"/>
  <c r="VD238" i="1"/>
  <c r="VC238" i="1"/>
  <c r="VA238" i="1"/>
  <c r="UZ238" i="1"/>
  <c r="UY238" i="1"/>
  <c r="UX238" i="1"/>
  <c r="UW238" i="1"/>
  <c r="UV238" i="1"/>
  <c r="US238" i="1"/>
  <c r="UR238" i="1"/>
  <c r="UQ238" i="1"/>
  <c r="UP238" i="1"/>
  <c r="UM238" i="1"/>
  <c r="UK238" i="1"/>
  <c r="UJ238" i="1"/>
  <c r="UI238" i="1"/>
  <c r="UH238" i="1"/>
  <c r="UG238" i="1"/>
  <c r="UF238" i="1"/>
  <c r="UE238" i="1"/>
  <c r="UD238" i="1"/>
  <c r="UC238" i="1"/>
  <c r="UB238" i="1"/>
  <c r="UA238" i="1"/>
  <c r="TZ238" i="1"/>
  <c r="TX238" i="1"/>
  <c r="TW238" i="1"/>
  <c r="TV238" i="1"/>
  <c r="TU238" i="1"/>
  <c r="TT238" i="1"/>
  <c r="TS238" i="1"/>
  <c r="TP238" i="1"/>
  <c r="TO238" i="1"/>
  <c r="TN238" i="1"/>
  <c r="TM238" i="1"/>
  <c r="TJ238" i="1"/>
  <c r="TH238" i="1"/>
  <c r="TG238" i="1"/>
  <c r="TF238" i="1"/>
  <c r="TE238" i="1"/>
  <c r="TD238" i="1"/>
  <c r="TC238" i="1"/>
  <c r="TB238" i="1"/>
  <c r="TA238" i="1"/>
  <c r="SZ238" i="1"/>
  <c r="SY238" i="1"/>
  <c r="SX238" i="1"/>
  <c r="SW238" i="1"/>
  <c r="SU238" i="1"/>
  <c r="ST238" i="1"/>
  <c r="SS238" i="1"/>
  <c r="SR238" i="1"/>
  <c r="SQ238" i="1"/>
  <c r="SP238" i="1"/>
  <c r="SM238" i="1"/>
  <c r="SL238" i="1"/>
  <c r="SK238" i="1"/>
  <c r="SJ238" i="1"/>
  <c r="SG238" i="1"/>
  <c r="VN237" i="1"/>
  <c r="VM237" i="1"/>
  <c r="VL237" i="1"/>
  <c r="VK237" i="1"/>
  <c r="VJ237" i="1"/>
  <c r="VI237" i="1"/>
  <c r="VH237" i="1"/>
  <c r="VG237" i="1"/>
  <c r="VF237" i="1"/>
  <c r="VE237" i="1"/>
  <c r="VD237" i="1"/>
  <c r="VC237" i="1"/>
  <c r="VA237" i="1"/>
  <c r="UZ237" i="1"/>
  <c r="UY237" i="1"/>
  <c r="UX237" i="1"/>
  <c r="UW237" i="1"/>
  <c r="UV237" i="1"/>
  <c r="US237" i="1"/>
  <c r="UR237" i="1"/>
  <c r="UQ237" i="1"/>
  <c r="UP237" i="1"/>
  <c r="UM237" i="1"/>
  <c r="UK237" i="1"/>
  <c r="UJ237" i="1"/>
  <c r="UI237" i="1"/>
  <c r="UH237" i="1"/>
  <c r="UG237" i="1"/>
  <c r="UF237" i="1"/>
  <c r="UE237" i="1"/>
  <c r="UD237" i="1"/>
  <c r="UC237" i="1"/>
  <c r="UB237" i="1"/>
  <c r="UA237" i="1"/>
  <c r="TZ237" i="1"/>
  <c r="TX237" i="1"/>
  <c r="TW237" i="1"/>
  <c r="TV237" i="1"/>
  <c r="TU237" i="1"/>
  <c r="TT237" i="1"/>
  <c r="TS237" i="1"/>
  <c r="TP237" i="1"/>
  <c r="TO237" i="1"/>
  <c r="TN237" i="1"/>
  <c r="TM237" i="1"/>
  <c r="TJ237" i="1"/>
  <c r="TH237" i="1"/>
  <c r="TG237" i="1"/>
  <c r="TF237" i="1"/>
  <c r="TE237" i="1"/>
  <c r="TD237" i="1"/>
  <c r="TC237" i="1"/>
  <c r="TB237" i="1"/>
  <c r="TA237" i="1"/>
  <c r="SZ237" i="1"/>
  <c r="SY237" i="1"/>
  <c r="SX237" i="1"/>
  <c r="SW237" i="1"/>
  <c r="SU237" i="1"/>
  <c r="ST237" i="1"/>
  <c r="SS237" i="1"/>
  <c r="SR237" i="1"/>
  <c r="SQ237" i="1"/>
  <c r="SP237" i="1"/>
  <c r="SM237" i="1"/>
  <c r="SL237" i="1"/>
  <c r="SK237" i="1"/>
  <c r="SJ237" i="1"/>
  <c r="SG237" i="1"/>
  <c r="VN236" i="1"/>
  <c r="VM236" i="1"/>
  <c r="VL236" i="1"/>
  <c r="VK236" i="1"/>
  <c r="VJ236" i="1"/>
  <c r="VI236" i="1"/>
  <c r="VH236" i="1"/>
  <c r="VG236" i="1"/>
  <c r="VF236" i="1"/>
  <c r="VE236" i="1"/>
  <c r="VD236" i="1"/>
  <c r="VC236" i="1"/>
  <c r="VA236" i="1"/>
  <c r="UZ236" i="1"/>
  <c r="UY236" i="1"/>
  <c r="UX236" i="1"/>
  <c r="UW236" i="1"/>
  <c r="UV236" i="1"/>
  <c r="US236" i="1"/>
  <c r="UR236" i="1"/>
  <c r="UQ236" i="1"/>
  <c r="UP236" i="1"/>
  <c r="UM236" i="1"/>
  <c r="UK236" i="1"/>
  <c r="UJ236" i="1"/>
  <c r="UI236" i="1"/>
  <c r="UH236" i="1"/>
  <c r="UG236" i="1"/>
  <c r="UF236" i="1"/>
  <c r="UE236" i="1"/>
  <c r="UD236" i="1"/>
  <c r="UC236" i="1"/>
  <c r="UB236" i="1"/>
  <c r="UA236" i="1"/>
  <c r="TZ236" i="1"/>
  <c r="TX236" i="1"/>
  <c r="TW236" i="1"/>
  <c r="TV236" i="1"/>
  <c r="TU236" i="1"/>
  <c r="TT236" i="1"/>
  <c r="TS236" i="1"/>
  <c r="TP236" i="1"/>
  <c r="TO236" i="1"/>
  <c r="TN236" i="1"/>
  <c r="TM236" i="1"/>
  <c r="TJ236" i="1"/>
  <c r="TH236" i="1"/>
  <c r="TG236" i="1"/>
  <c r="TF236" i="1"/>
  <c r="TE236" i="1"/>
  <c r="TD236" i="1"/>
  <c r="TC236" i="1"/>
  <c r="TB236" i="1"/>
  <c r="TA236" i="1"/>
  <c r="SZ236" i="1"/>
  <c r="SY236" i="1"/>
  <c r="SX236" i="1"/>
  <c r="SW236" i="1"/>
  <c r="SU236" i="1"/>
  <c r="ST236" i="1"/>
  <c r="SS236" i="1"/>
  <c r="SR236" i="1"/>
  <c r="SQ236" i="1"/>
  <c r="SP236" i="1"/>
  <c r="SM236" i="1"/>
  <c r="SL236" i="1"/>
  <c r="SK236" i="1"/>
  <c r="SJ236" i="1"/>
  <c r="SG236" i="1"/>
  <c r="VN235" i="1"/>
  <c r="VM235" i="1"/>
  <c r="VL235" i="1"/>
  <c r="VK235" i="1"/>
  <c r="VJ235" i="1"/>
  <c r="VI235" i="1"/>
  <c r="VH235" i="1"/>
  <c r="VG235" i="1"/>
  <c r="VF235" i="1"/>
  <c r="VE235" i="1"/>
  <c r="VD235" i="1"/>
  <c r="VC235" i="1"/>
  <c r="VA235" i="1"/>
  <c r="UZ235" i="1"/>
  <c r="UY235" i="1"/>
  <c r="UX235" i="1"/>
  <c r="UW235" i="1"/>
  <c r="UV235" i="1"/>
  <c r="US235" i="1"/>
  <c r="UR235" i="1"/>
  <c r="UQ235" i="1"/>
  <c r="UP235" i="1"/>
  <c r="UM235" i="1"/>
  <c r="UK235" i="1"/>
  <c r="UJ235" i="1"/>
  <c r="UI235" i="1"/>
  <c r="UH235" i="1"/>
  <c r="UG235" i="1"/>
  <c r="UF235" i="1"/>
  <c r="UE235" i="1"/>
  <c r="UD235" i="1"/>
  <c r="UC235" i="1"/>
  <c r="UB235" i="1"/>
  <c r="UA235" i="1"/>
  <c r="TZ235" i="1"/>
  <c r="TX235" i="1"/>
  <c r="TW235" i="1"/>
  <c r="TV235" i="1"/>
  <c r="TU235" i="1"/>
  <c r="TT235" i="1"/>
  <c r="TS235" i="1"/>
  <c r="TP235" i="1"/>
  <c r="TO235" i="1"/>
  <c r="TN235" i="1"/>
  <c r="TM235" i="1"/>
  <c r="TJ235" i="1"/>
  <c r="TH235" i="1"/>
  <c r="TG235" i="1"/>
  <c r="TF235" i="1"/>
  <c r="TE235" i="1"/>
  <c r="TD235" i="1"/>
  <c r="TC235" i="1"/>
  <c r="TB235" i="1"/>
  <c r="TA235" i="1"/>
  <c r="SZ235" i="1"/>
  <c r="SY235" i="1"/>
  <c r="SX235" i="1"/>
  <c r="SW235" i="1"/>
  <c r="SU235" i="1"/>
  <c r="ST235" i="1"/>
  <c r="SS235" i="1"/>
  <c r="SR235" i="1"/>
  <c r="SQ235" i="1"/>
  <c r="SP235" i="1"/>
  <c r="SM235" i="1"/>
  <c r="SL235" i="1"/>
  <c r="SK235" i="1"/>
  <c r="SJ235" i="1"/>
  <c r="SG235" i="1"/>
  <c r="VN234" i="1"/>
  <c r="VM234" i="1"/>
  <c r="VL234" i="1"/>
  <c r="VK234" i="1"/>
  <c r="VJ234" i="1"/>
  <c r="VI234" i="1"/>
  <c r="VH234" i="1"/>
  <c r="VG234" i="1"/>
  <c r="VF234" i="1"/>
  <c r="VE234" i="1"/>
  <c r="VD234" i="1"/>
  <c r="VC234" i="1"/>
  <c r="VA234" i="1"/>
  <c r="UZ234" i="1"/>
  <c r="UY234" i="1"/>
  <c r="UX234" i="1"/>
  <c r="UW234" i="1"/>
  <c r="UV234" i="1"/>
  <c r="US234" i="1"/>
  <c r="UR234" i="1"/>
  <c r="UQ234" i="1"/>
  <c r="UP234" i="1"/>
  <c r="UM234" i="1"/>
  <c r="UK234" i="1"/>
  <c r="UJ234" i="1"/>
  <c r="UI234" i="1"/>
  <c r="UH234" i="1"/>
  <c r="UG234" i="1"/>
  <c r="UF234" i="1"/>
  <c r="UE234" i="1"/>
  <c r="UD234" i="1"/>
  <c r="UC234" i="1"/>
  <c r="UB234" i="1"/>
  <c r="UA234" i="1"/>
  <c r="TZ234" i="1"/>
  <c r="TX234" i="1"/>
  <c r="TW234" i="1"/>
  <c r="TV234" i="1"/>
  <c r="TU234" i="1"/>
  <c r="TT234" i="1"/>
  <c r="TS234" i="1"/>
  <c r="TP234" i="1"/>
  <c r="TO234" i="1"/>
  <c r="TN234" i="1"/>
  <c r="TM234" i="1"/>
  <c r="TJ234" i="1"/>
  <c r="TH234" i="1"/>
  <c r="TG234" i="1"/>
  <c r="TF234" i="1"/>
  <c r="TE234" i="1"/>
  <c r="TD234" i="1"/>
  <c r="TC234" i="1"/>
  <c r="TB234" i="1"/>
  <c r="TA234" i="1"/>
  <c r="SZ234" i="1"/>
  <c r="SY234" i="1"/>
  <c r="SX234" i="1"/>
  <c r="SW234" i="1"/>
  <c r="SU234" i="1"/>
  <c r="ST234" i="1"/>
  <c r="SS234" i="1"/>
  <c r="SR234" i="1"/>
  <c r="SQ234" i="1"/>
  <c r="SP234" i="1"/>
  <c r="SM234" i="1"/>
  <c r="SL234" i="1"/>
  <c r="SK234" i="1"/>
  <c r="SJ234" i="1"/>
  <c r="SG234" i="1"/>
  <c r="VN233" i="1"/>
  <c r="VM233" i="1"/>
  <c r="VL233" i="1"/>
  <c r="VK233" i="1"/>
  <c r="VJ233" i="1"/>
  <c r="VI233" i="1"/>
  <c r="VH233" i="1"/>
  <c r="VG233" i="1"/>
  <c r="VF233" i="1"/>
  <c r="VE233" i="1"/>
  <c r="VD233" i="1"/>
  <c r="VC233" i="1"/>
  <c r="VA233" i="1"/>
  <c r="UZ233" i="1"/>
  <c r="UY233" i="1"/>
  <c r="UX233" i="1"/>
  <c r="UW233" i="1"/>
  <c r="UV233" i="1"/>
  <c r="US233" i="1"/>
  <c r="UR233" i="1"/>
  <c r="UQ233" i="1"/>
  <c r="UP233" i="1"/>
  <c r="UM233" i="1"/>
  <c r="UK233" i="1"/>
  <c r="UJ233" i="1"/>
  <c r="UI233" i="1"/>
  <c r="UH233" i="1"/>
  <c r="UG233" i="1"/>
  <c r="UF233" i="1"/>
  <c r="UE233" i="1"/>
  <c r="UD233" i="1"/>
  <c r="UC233" i="1"/>
  <c r="UB233" i="1"/>
  <c r="UA233" i="1"/>
  <c r="TZ233" i="1"/>
  <c r="TX233" i="1"/>
  <c r="TW233" i="1"/>
  <c r="TV233" i="1"/>
  <c r="TU233" i="1"/>
  <c r="TT233" i="1"/>
  <c r="TS233" i="1"/>
  <c r="TP233" i="1"/>
  <c r="TO233" i="1"/>
  <c r="TN233" i="1"/>
  <c r="TM233" i="1"/>
  <c r="TJ233" i="1"/>
  <c r="TH233" i="1"/>
  <c r="TG233" i="1"/>
  <c r="TF233" i="1"/>
  <c r="TE233" i="1"/>
  <c r="TD233" i="1"/>
  <c r="TC233" i="1"/>
  <c r="TB233" i="1"/>
  <c r="TA233" i="1"/>
  <c r="SZ233" i="1"/>
  <c r="SY233" i="1"/>
  <c r="SX233" i="1"/>
  <c r="SW233" i="1"/>
  <c r="SU233" i="1"/>
  <c r="ST233" i="1"/>
  <c r="SS233" i="1"/>
  <c r="SR233" i="1"/>
  <c r="SQ233" i="1"/>
  <c r="SP233" i="1"/>
  <c r="SM233" i="1"/>
  <c r="SL233" i="1"/>
  <c r="SK233" i="1"/>
  <c r="SJ233" i="1"/>
  <c r="SG233" i="1"/>
  <c r="VN232" i="1"/>
  <c r="VM232" i="1"/>
  <c r="VL232" i="1"/>
  <c r="VK232" i="1"/>
  <c r="VJ232" i="1"/>
  <c r="VI232" i="1"/>
  <c r="VH232" i="1"/>
  <c r="VG232" i="1"/>
  <c r="VF232" i="1"/>
  <c r="VE232" i="1"/>
  <c r="VD232" i="1"/>
  <c r="VC232" i="1"/>
  <c r="VA232" i="1"/>
  <c r="UZ232" i="1"/>
  <c r="UY232" i="1"/>
  <c r="UX232" i="1"/>
  <c r="UW232" i="1"/>
  <c r="UV232" i="1"/>
  <c r="US232" i="1"/>
  <c r="UR232" i="1"/>
  <c r="UQ232" i="1"/>
  <c r="UP232" i="1"/>
  <c r="UM232" i="1"/>
  <c r="UK232" i="1"/>
  <c r="UJ232" i="1"/>
  <c r="UI232" i="1"/>
  <c r="UH232" i="1"/>
  <c r="UG232" i="1"/>
  <c r="UF232" i="1"/>
  <c r="UE232" i="1"/>
  <c r="UD232" i="1"/>
  <c r="UC232" i="1"/>
  <c r="UB232" i="1"/>
  <c r="UA232" i="1"/>
  <c r="TZ232" i="1"/>
  <c r="TX232" i="1"/>
  <c r="TW232" i="1"/>
  <c r="TV232" i="1"/>
  <c r="TU232" i="1"/>
  <c r="TT232" i="1"/>
  <c r="TS232" i="1"/>
  <c r="TP232" i="1"/>
  <c r="TO232" i="1"/>
  <c r="TN232" i="1"/>
  <c r="TM232" i="1"/>
  <c r="TJ232" i="1"/>
  <c r="TH232" i="1"/>
  <c r="TG232" i="1"/>
  <c r="TF232" i="1"/>
  <c r="TE232" i="1"/>
  <c r="TD232" i="1"/>
  <c r="TC232" i="1"/>
  <c r="TB232" i="1"/>
  <c r="TA232" i="1"/>
  <c r="SZ232" i="1"/>
  <c r="SY232" i="1"/>
  <c r="SX232" i="1"/>
  <c r="SW232" i="1"/>
  <c r="SU232" i="1"/>
  <c r="ST232" i="1"/>
  <c r="SS232" i="1"/>
  <c r="SR232" i="1"/>
  <c r="SQ232" i="1"/>
  <c r="SP232" i="1"/>
  <c r="SM232" i="1"/>
  <c r="SL232" i="1"/>
  <c r="SK232" i="1"/>
  <c r="SJ232" i="1"/>
  <c r="SG232" i="1"/>
  <c r="VN231" i="1"/>
  <c r="VM231" i="1"/>
  <c r="VL231" i="1"/>
  <c r="VK231" i="1"/>
  <c r="VJ231" i="1"/>
  <c r="VI231" i="1"/>
  <c r="VH231" i="1"/>
  <c r="VG231" i="1"/>
  <c r="VF231" i="1"/>
  <c r="VE231" i="1"/>
  <c r="VD231" i="1"/>
  <c r="VC231" i="1"/>
  <c r="VA231" i="1"/>
  <c r="UZ231" i="1"/>
  <c r="UY231" i="1"/>
  <c r="UX231" i="1"/>
  <c r="UW231" i="1"/>
  <c r="UV231" i="1"/>
  <c r="US231" i="1"/>
  <c r="UR231" i="1"/>
  <c r="UQ231" i="1"/>
  <c r="UP231" i="1"/>
  <c r="UM231" i="1"/>
  <c r="UK231" i="1"/>
  <c r="UJ231" i="1"/>
  <c r="UI231" i="1"/>
  <c r="UH231" i="1"/>
  <c r="UG231" i="1"/>
  <c r="UF231" i="1"/>
  <c r="UE231" i="1"/>
  <c r="UD231" i="1"/>
  <c r="UC231" i="1"/>
  <c r="UB231" i="1"/>
  <c r="UA231" i="1"/>
  <c r="TZ231" i="1"/>
  <c r="TX231" i="1"/>
  <c r="TW231" i="1"/>
  <c r="TV231" i="1"/>
  <c r="TU231" i="1"/>
  <c r="TT231" i="1"/>
  <c r="TS231" i="1"/>
  <c r="TP231" i="1"/>
  <c r="TO231" i="1"/>
  <c r="TN231" i="1"/>
  <c r="TM231" i="1"/>
  <c r="TJ231" i="1"/>
  <c r="TH231" i="1"/>
  <c r="TG231" i="1"/>
  <c r="TF231" i="1"/>
  <c r="TE231" i="1"/>
  <c r="TD231" i="1"/>
  <c r="TC231" i="1"/>
  <c r="TB231" i="1"/>
  <c r="TA231" i="1"/>
  <c r="SZ231" i="1"/>
  <c r="SY231" i="1"/>
  <c r="SX231" i="1"/>
  <c r="SW231" i="1"/>
  <c r="SU231" i="1"/>
  <c r="ST231" i="1"/>
  <c r="SS231" i="1"/>
  <c r="SR231" i="1"/>
  <c r="SQ231" i="1"/>
  <c r="SP231" i="1"/>
  <c r="SM231" i="1"/>
  <c r="SL231" i="1"/>
  <c r="SK231" i="1"/>
  <c r="SJ231" i="1"/>
  <c r="SG231" i="1"/>
  <c r="VN230" i="1"/>
  <c r="VM230" i="1"/>
  <c r="VL230" i="1"/>
  <c r="VK230" i="1"/>
  <c r="VJ230" i="1"/>
  <c r="VI230" i="1"/>
  <c r="VH230" i="1"/>
  <c r="VG230" i="1"/>
  <c r="VF230" i="1"/>
  <c r="VE230" i="1"/>
  <c r="VD230" i="1"/>
  <c r="VC230" i="1"/>
  <c r="VA230" i="1"/>
  <c r="UZ230" i="1"/>
  <c r="UY230" i="1"/>
  <c r="UX230" i="1"/>
  <c r="UW230" i="1"/>
  <c r="UV230" i="1"/>
  <c r="US230" i="1"/>
  <c r="UR230" i="1"/>
  <c r="UQ230" i="1"/>
  <c r="UP230" i="1"/>
  <c r="UM230" i="1"/>
  <c r="UK230" i="1"/>
  <c r="UJ230" i="1"/>
  <c r="UI230" i="1"/>
  <c r="UH230" i="1"/>
  <c r="UG230" i="1"/>
  <c r="UF230" i="1"/>
  <c r="UE230" i="1"/>
  <c r="UD230" i="1"/>
  <c r="UC230" i="1"/>
  <c r="UB230" i="1"/>
  <c r="UA230" i="1"/>
  <c r="TZ230" i="1"/>
  <c r="TX230" i="1"/>
  <c r="TW230" i="1"/>
  <c r="TV230" i="1"/>
  <c r="TU230" i="1"/>
  <c r="TT230" i="1"/>
  <c r="TS230" i="1"/>
  <c r="TP230" i="1"/>
  <c r="TO230" i="1"/>
  <c r="TN230" i="1"/>
  <c r="TM230" i="1"/>
  <c r="TJ230" i="1"/>
  <c r="TH230" i="1"/>
  <c r="TG230" i="1"/>
  <c r="TF230" i="1"/>
  <c r="TE230" i="1"/>
  <c r="TD230" i="1"/>
  <c r="TC230" i="1"/>
  <c r="TB230" i="1"/>
  <c r="TA230" i="1"/>
  <c r="SZ230" i="1"/>
  <c r="SY230" i="1"/>
  <c r="SX230" i="1"/>
  <c r="SW230" i="1"/>
  <c r="SU230" i="1"/>
  <c r="ST230" i="1"/>
  <c r="SS230" i="1"/>
  <c r="SR230" i="1"/>
  <c r="SQ230" i="1"/>
  <c r="SP230" i="1"/>
  <c r="SM230" i="1"/>
  <c r="SL230" i="1"/>
  <c r="SK230" i="1"/>
  <c r="SJ230" i="1"/>
  <c r="SG230" i="1"/>
  <c r="VN229" i="1"/>
  <c r="VM229" i="1"/>
  <c r="VL229" i="1"/>
  <c r="VK229" i="1"/>
  <c r="VJ229" i="1"/>
  <c r="VI229" i="1"/>
  <c r="VH229" i="1"/>
  <c r="VG229" i="1"/>
  <c r="VF229" i="1"/>
  <c r="VE229" i="1"/>
  <c r="VD229" i="1"/>
  <c r="VC229" i="1"/>
  <c r="VA229" i="1"/>
  <c r="UZ229" i="1"/>
  <c r="UY229" i="1"/>
  <c r="UX229" i="1"/>
  <c r="UW229" i="1"/>
  <c r="UV229" i="1"/>
  <c r="US229" i="1"/>
  <c r="UR229" i="1"/>
  <c r="UQ229" i="1"/>
  <c r="UP229" i="1"/>
  <c r="UM229" i="1"/>
  <c r="UK229" i="1"/>
  <c r="UJ229" i="1"/>
  <c r="UI229" i="1"/>
  <c r="UH229" i="1"/>
  <c r="UG229" i="1"/>
  <c r="UF229" i="1"/>
  <c r="UE229" i="1"/>
  <c r="UD229" i="1"/>
  <c r="UC229" i="1"/>
  <c r="UB229" i="1"/>
  <c r="UA229" i="1"/>
  <c r="TZ229" i="1"/>
  <c r="TX229" i="1"/>
  <c r="TW229" i="1"/>
  <c r="TV229" i="1"/>
  <c r="TU229" i="1"/>
  <c r="TT229" i="1"/>
  <c r="TS229" i="1"/>
  <c r="TP229" i="1"/>
  <c r="TO229" i="1"/>
  <c r="TN229" i="1"/>
  <c r="TM229" i="1"/>
  <c r="TJ229" i="1"/>
  <c r="TH229" i="1"/>
  <c r="TG229" i="1"/>
  <c r="TF229" i="1"/>
  <c r="TE229" i="1"/>
  <c r="TD229" i="1"/>
  <c r="TC229" i="1"/>
  <c r="TB229" i="1"/>
  <c r="TA229" i="1"/>
  <c r="SZ229" i="1"/>
  <c r="SY229" i="1"/>
  <c r="SX229" i="1"/>
  <c r="SW229" i="1"/>
  <c r="SU229" i="1"/>
  <c r="ST229" i="1"/>
  <c r="SS229" i="1"/>
  <c r="SR229" i="1"/>
  <c r="SQ229" i="1"/>
  <c r="SP229" i="1"/>
  <c r="SM229" i="1"/>
  <c r="SL229" i="1"/>
  <c r="SK229" i="1"/>
  <c r="SJ229" i="1"/>
  <c r="SG229" i="1"/>
  <c r="VN228" i="1"/>
  <c r="VM228" i="1"/>
  <c r="VL228" i="1"/>
  <c r="VK228" i="1"/>
  <c r="VJ228" i="1"/>
  <c r="VI228" i="1"/>
  <c r="VH228" i="1"/>
  <c r="VG228" i="1"/>
  <c r="VF228" i="1"/>
  <c r="VE228" i="1"/>
  <c r="VD228" i="1"/>
  <c r="VC228" i="1"/>
  <c r="VA228" i="1"/>
  <c r="UZ228" i="1"/>
  <c r="UY228" i="1"/>
  <c r="UX228" i="1"/>
  <c r="UW228" i="1"/>
  <c r="UV228" i="1"/>
  <c r="US228" i="1"/>
  <c r="UR228" i="1"/>
  <c r="UQ228" i="1"/>
  <c r="UP228" i="1"/>
  <c r="UM228" i="1"/>
  <c r="UK228" i="1"/>
  <c r="UJ228" i="1"/>
  <c r="UI228" i="1"/>
  <c r="UH228" i="1"/>
  <c r="UG228" i="1"/>
  <c r="UF228" i="1"/>
  <c r="UE228" i="1"/>
  <c r="UD228" i="1"/>
  <c r="UC228" i="1"/>
  <c r="UB228" i="1"/>
  <c r="UA228" i="1"/>
  <c r="TZ228" i="1"/>
  <c r="TX228" i="1"/>
  <c r="TW228" i="1"/>
  <c r="TV228" i="1"/>
  <c r="TU228" i="1"/>
  <c r="TT228" i="1"/>
  <c r="TS228" i="1"/>
  <c r="TP228" i="1"/>
  <c r="TO228" i="1"/>
  <c r="TN228" i="1"/>
  <c r="TM228" i="1"/>
  <c r="TJ228" i="1"/>
  <c r="TH228" i="1"/>
  <c r="TG228" i="1"/>
  <c r="TF228" i="1"/>
  <c r="TE228" i="1"/>
  <c r="TD228" i="1"/>
  <c r="TC228" i="1"/>
  <c r="TB228" i="1"/>
  <c r="TA228" i="1"/>
  <c r="SZ228" i="1"/>
  <c r="SY228" i="1"/>
  <c r="SX228" i="1"/>
  <c r="SW228" i="1"/>
  <c r="SU228" i="1"/>
  <c r="ST228" i="1"/>
  <c r="SS228" i="1"/>
  <c r="SR228" i="1"/>
  <c r="SQ228" i="1"/>
  <c r="SP228" i="1"/>
  <c r="SM228" i="1"/>
  <c r="SL228" i="1"/>
  <c r="SK228" i="1"/>
  <c r="SJ228" i="1"/>
  <c r="SG228" i="1"/>
  <c r="VN227" i="1"/>
  <c r="VM227" i="1"/>
  <c r="VL227" i="1"/>
  <c r="VK227" i="1"/>
  <c r="VJ227" i="1"/>
  <c r="VI227" i="1"/>
  <c r="VH227" i="1"/>
  <c r="VG227" i="1"/>
  <c r="VF227" i="1"/>
  <c r="VE227" i="1"/>
  <c r="VD227" i="1"/>
  <c r="VC227" i="1"/>
  <c r="VA227" i="1"/>
  <c r="UZ227" i="1"/>
  <c r="UY227" i="1"/>
  <c r="UX227" i="1"/>
  <c r="UW227" i="1"/>
  <c r="UV227" i="1"/>
  <c r="US227" i="1"/>
  <c r="UR227" i="1"/>
  <c r="UQ227" i="1"/>
  <c r="UP227" i="1"/>
  <c r="UM227" i="1"/>
  <c r="UK227" i="1"/>
  <c r="UJ227" i="1"/>
  <c r="UI227" i="1"/>
  <c r="UH227" i="1"/>
  <c r="UG227" i="1"/>
  <c r="UF227" i="1"/>
  <c r="UE227" i="1"/>
  <c r="UD227" i="1"/>
  <c r="UC227" i="1"/>
  <c r="UB227" i="1"/>
  <c r="UA227" i="1"/>
  <c r="TZ227" i="1"/>
  <c r="TX227" i="1"/>
  <c r="TW227" i="1"/>
  <c r="TV227" i="1"/>
  <c r="TU227" i="1"/>
  <c r="TT227" i="1"/>
  <c r="TS227" i="1"/>
  <c r="TP227" i="1"/>
  <c r="TO227" i="1"/>
  <c r="TN227" i="1"/>
  <c r="TM227" i="1"/>
  <c r="TJ227" i="1"/>
  <c r="TH227" i="1"/>
  <c r="TG227" i="1"/>
  <c r="TF227" i="1"/>
  <c r="TE227" i="1"/>
  <c r="TD227" i="1"/>
  <c r="TC227" i="1"/>
  <c r="TB227" i="1"/>
  <c r="TA227" i="1"/>
  <c r="SZ227" i="1"/>
  <c r="SY227" i="1"/>
  <c r="SX227" i="1"/>
  <c r="SW227" i="1"/>
  <c r="SU227" i="1"/>
  <c r="ST227" i="1"/>
  <c r="SS227" i="1"/>
  <c r="SR227" i="1"/>
  <c r="SQ227" i="1"/>
  <c r="SP227" i="1"/>
  <c r="SM227" i="1"/>
  <c r="SL227" i="1"/>
  <c r="SK227" i="1"/>
  <c r="SJ227" i="1"/>
  <c r="SG227" i="1"/>
  <c r="VN226" i="1"/>
  <c r="VM226" i="1"/>
  <c r="VL226" i="1"/>
  <c r="VK226" i="1"/>
  <c r="VJ226" i="1"/>
  <c r="VI226" i="1"/>
  <c r="VH226" i="1"/>
  <c r="VG226" i="1"/>
  <c r="VF226" i="1"/>
  <c r="VE226" i="1"/>
  <c r="VD226" i="1"/>
  <c r="VC226" i="1"/>
  <c r="VA226" i="1"/>
  <c r="UZ226" i="1"/>
  <c r="UY226" i="1"/>
  <c r="UX226" i="1"/>
  <c r="UW226" i="1"/>
  <c r="UV226" i="1"/>
  <c r="US226" i="1"/>
  <c r="UR226" i="1"/>
  <c r="UQ226" i="1"/>
  <c r="UP226" i="1"/>
  <c r="UM226" i="1"/>
  <c r="VZ226" i="1" s="1"/>
  <c r="VY226" i="1" s="1"/>
  <c r="UK226" i="1"/>
  <c r="UJ226" i="1"/>
  <c r="UI226" i="1"/>
  <c r="UH226" i="1"/>
  <c r="UG226" i="1"/>
  <c r="UF226" i="1"/>
  <c r="UE226" i="1"/>
  <c r="UD226" i="1"/>
  <c r="UC226" i="1"/>
  <c r="UB226" i="1"/>
  <c r="UA226" i="1"/>
  <c r="TZ226" i="1"/>
  <c r="TX226" i="1"/>
  <c r="TW226" i="1"/>
  <c r="TV226" i="1"/>
  <c r="TU226" i="1"/>
  <c r="TT226" i="1"/>
  <c r="TS226" i="1"/>
  <c r="TP226" i="1"/>
  <c r="TO226" i="1"/>
  <c r="TN226" i="1"/>
  <c r="TM226" i="1"/>
  <c r="TJ226" i="1"/>
  <c r="TH226" i="1"/>
  <c r="TG226" i="1"/>
  <c r="TF226" i="1"/>
  <c r="TE226" i="1"/>
  <c r="TD226" i="1"/>
  <c r="TC226" i="1"/>
  <c r="TB226" i="1"/>
  <c r="TA226" i="1"/>
  <c r="SZ226" i="1"/>
  <c r="SY226" i="1"/>
  <c r="SX226" i="1"/>
  <c r="SW226" i="1"/>
  <c r="SU226" i="1"/>
  <c r="ST226" i="1"/>
  <c r="SS226" i="1"/>
  <c r="SR226" i="1"/>
  <c r="SQ226" i="1"/>
  <c r="SP226" i="1"/>
  <c r="SM226" i="1"/>
  <c r="SL226" i="1"/>
  <c r="SK226" i="1"/>
  <c r="SJ226" i="1"/>
  <c r="SG226" i="1"/>
  <c r="VN225" i="1"/>
  <c r="VM225" i="1"/>
  <c r="VL225" i="1"/>
  <c r="VK225" i="1"/>
  <c r="VJ225" i="1"/>
  <c r="VI225" i="1"/>
  <c r="VH225" i="1"/>
  <c r="VG225" i="1"/>
  <c r="VF225" i="1"/>
  <c r="VE225" i="1"/>
  <c r="VD225" i="1"/>
  <c r="VC225" i="1"/>
  <c r="VA225" i="1"/>
  <c r="UZ225" i="1"/>
  <c r="UY225" i="1"/>
  <c r="UX225" i="1"/>
  <c r="UW225" i="1"/>
  <c r="UV225" i="1"/>
  <c r="US225" i="1"/>
  <c r="UR225" i="1"/>
  <c r="UQ225" i="1"/>
  <c r="UP225" i="1"/>
  <c r="UM225" i="1"/>
  <c r="UK225" i="1"/>
  <c r="UJ225" i="1"/>
  <c r="UI225" i="1"/>
  <c r="UH225" i="1"/>
  <c r="UG225" i="1"/>
  <c r="UF225" i="1"/>
  <c r="UE225" i="1"/>
  <c r="UD225" i="1"/>
  <c r="UC225" i="1"/>
  <c r="UB225" i="1"/>
  <c r="UA225" i="1"/>
  <c r="TZ225" i="1"/>
  <c r="TX225" i="1"/>
  <c r="TW225" i="1"/>
  <c r="TV225" i="1"/>
  <c r="TU225" i="1"/>
  <c r="TT225" i="1"/>
  <c r="TS225" i="1"/>
  <c r="TP225" i="1"/>
  <c r="TO225" i="1"/>
  <c r="TN225" i="1"/>
  <c r="TM225" i="1"/>
  <c r="TJ225" i="1"/>
  <c r="TH225" i="1"/>
  <c r="TG225" i="1"/>
  <c r="TF225" i="1"/>
  <c r="TE225" i="1"/>
  <c r="TD225" i="1"/>
  <c r="TC225" i="1"/>
  <c r="TB225" i="1"/>
  <c r="TA225" i="1"/>
  <c r="SZ225" i="1"/>
  <c r="SY225" i="1"/>
  <c r="SX225" i="1"/>
  <c r="SW225" i="1"/>
  <c r="SU225" i="1"/>
  <c r="ST225" i="1"/>
  <c r="SS225" i="1"/>
  <c r="SR225" i="1"/>
  <c r="SQ225" i="1"/>
  <c r="SP225" i="1"/>
  <c r="SM225" i="1"/>
  <c r="SL225" i="1"/>
  <c r="SK225" i="1"/>
  <c r="SJ225" i="1"/>
  <c r="SG225" i="1"/>
  <c r="VN224" i="1"/>
  <c r="VM224" i="1"/>
  <c r="VL224" i="1"/>
  <c r="VK224" i="1"/>
  <c r="VJ224" i="1"/>
  <c r="VI224" i="1"/>
  <c r="VH224" i="1"/>
  <c r="VG224" i="1"/>
  <c r="VF224" i="1"/>
  <c r="VE224" i="1"/>
  <c r="VD224" i="1"/>
  <c r="VC224" i="1"/>
  <c r="VA224" i="1"/>
  <c r="UZ224" i="1"/>
  <c r="UY224" i="1"/>
  <c r="UX224" i="1"/>
  <c r="UW224" i="1"/>
  <c r="UV224" i="1"/>
  <c r="US224" i="1"/>
  <c r="UR224" i="1"/>
  <c r="UQ224" i="1"/>
  <c r="UP224" i="1"/>
  <c r="UM224" i="1"/>
  <c r="UK224" i="1"/>
  <c r="UJ224" i="1"/>
  <c r="UI224" i="1"/>
  <c r="UH224" i="1"/>
  <c r="UG224" i="1"/>
  <c r="UF224" i="1"/>
  <c r="UE224" i="1"/>
  <c r="UD224" i="1"/>
  <c r="UC224" i="1"/>
  <c r="UB224" i="1"/>
  <c r="UA224" i="1"/>
  <c r="TZ224" i="1"/>
  <c r="TX224" i="1"/>
  <c r="TW224" i="1"/>
  <c r="TV224" i="1"/>
  <c r="TU224" i="1"/>
  <c r="TT224" i="1"/>
  <c r="TS224" i="1"/>
  <c r="TP224" i="1"/>
  <c r="TO224" i="1"/>
  <c r="TN224" i="1"/>
  <c r="TM224" i="1"/>
  <c r="TJ224" i="1"/>
  <c r="TH224" i="1"/>
  <c r="TG224" i="1"/>
  <c r="TF224" i="1"/>
  <c r="TE224" i="1"/>
  <c r="TD224" i="1"/>
  <c r="TC224" i="1"/>
  <c r="TB224" i="1"/>
  <c r="TA224" i="1"/>
  <c r="SZ224" i="1"/>
  <c r="SY224" i="1"/>
  <c r="SX224" i="1"/>
  <c r="SW224" i="1"/>
  <c r="SU224" i="1"/>
  <c r="ST224" i="1"/>
  <c r="SS224" i="1"/>
  <c r="SR224" i="1"/>
  <c r="SQ224" i="1"/>
  <c r="SP224" i="1"/>
  <c r="SM224" i="1"/>
  <c r="SL224" i="1"/>
  <c r="SK224" i="1"/>
  <c r="SJ224" i="1"/>
  <c r="SG224" i="1"/>
  <c r="VN223" i="1"/>
  <c r="VM223" i="1"/>
  <c r="VL223" i="1"/>
  <c r="VK223" i="1"/>
  <c r="VJ223" i="1"/>
  <c r="VI223" i="1"/>
  <c r="VH223" i="1"/>
  <c r="VG223" i="1"/>
  <c r="VF223" i="1"/>
  <c r="VE223" i="1"/>
  <c r="VD223" i="1"/>
  <c r="VC223" i="1"/>
  <c r="VA223" i="1"/>
  <c r="UZ223" i="1"/>
  <c r="UY223" i="1"/>
  <c r="UX223" i="1"/>
  <c r="UW223" i="1"/>
  <c r="UV223" i="1"/>
  <c r="US223" i="1"/>
  <c r="UR223" i="1"/>
  <c r="UQ223" i="1"/>
  <c r="UP223" i="1"/>
  <c r="UM223" i="1"/>
  <c r="UK223" i="1"/>
  <c r="UJ223" i="1"/>
  <c r="UI223" i="1"/>
  <c r="UH223" i="1"/>
  <c r="UG223" i="1"/>
  <c r="UF223" i="1"/>
  <c r="UE223" i="1"/>
  <c r="UD223" i="1"/>
  <c r="UC223" i="1"/>
  <c r="UB223" i="1"/>
  <c r="UA223" i="1"/>
  <c r="TZ223" i="1"/>
  <c r="TX223" i="1"/>
  <c r="TW223" i="1"/>
  <c r="TV223" i="1"/>
  <c r="TU223" i="1"/>
  <c r="TT223" i="1"/>
  <c r="TS223" i="1"/>
  <c r="TP223" i="1"/>
  <c r="TO223" i="1"/>
  <c r="TN223" i="1"/>
  <c r="TM223" i="1"/>
  <c r="TJ223" i="1"/>
  <c r="TH223" i="1"/>
  <c r="TG223" i="1"/>
  <c r="TF223" i="1"/>
  <c r="TE223" i="1"/>
  <c r="TD223" i="1"/>
  <c r="TC223" i="1"/>
  <c r="TB223" i="1"/>
  <c r="TA223" i="1"/>
  <c r="SZ223" i="1"/>
  <c r="SY223" i="1"/>
  <c r="SX223" i="1"/>
  <c r="SW223" i="1"/>
  <c r="SU223" i="1"/>
  <c r="ST223" i="1"/>
  <c r="SS223" i="1"/>
  <c r="SR223" i="1"/>
  <c r="SQ223" i="1"/>
  <c r="SP223" i="1"/>
  <c r="SM223" i="1"/>
  <c r="SL223" i="1"/>
  <c r="SK223" i="1"/>
  <c r="SJ223" i="1"/>
  <c r="SG223" i="1"/>
  <c r="VN222" i="1"/>
  <c r="VM222" i="1"/>
  <c r="VL222" i="1"/>
  <c r="VK222" i="1"/>
  <c r="VJ222" i="1"/>
  <c r="VI222" i="1"/>
  <c r="VH222" i="1"/>
  <c r="VG222" i="1"/>
  <c r="VF222" i="1"/>
  <c r="VE222" i="1"/>
  <c r="VD222" i="1"/>
  <c r="VC222" i="1"/>
  <c r="VA222" i="1"/>
  <c r="UZ222" i="1"/>
  <c r="UY222" i="1"/>
  <c r="UX222" i="1"/>
  <c r="UW222" i="1"/>
  <c r="UV222" i="1"/>
  <c r="US222" i="1"/>
  <c r="UR222" i="1"/>
  <c r="UQ222" i="1"/>
  <c r="UP222" i="1"/>
  <c r="UM222" i="1"/>
  <c r="UK222" i="1"/>
  <c r="UJ222" i="1"/>
  <c r="UI222" i="1"/>
  <c r="UH222" i="1"/>
  <c r="UG222" i="1"/>
  <c r="UF222" i="1"/>
  <c r="UE222" i="1"/>
  <c r="UD222" i="1"/>
  <c r="UC222" i="1"/>
  <c r="UB222" i="1"/>
  <c r="UA222" i="1"/>
  <c r="TZ222" i="1"/>
  <c r="TX222" i="1"/>
  <c r="TW222" i="1"/>
  <c r="TV222" i="1"/>
  <c r="TU222" i="1"/>
  <c r="TT222" i="1"/>
  <c r="TS222" i="1"/>
  <c r="TP222" i="1"/>
  <c r="TO222" i="1"/>
  <c r="TN222" i="1"/>
  <c r="TM222" i="1"/>
  <c r="TJ222" i="1"/>
  <c r="TH222" i="1"/>
  <c r="TG222" i="1"/>
  <c r="TF222" i="1"/>
  <c r="TE222" i="1"/>
  <c r="TD222" i="1"/>
  <c r="TC222" i="1"/>
  <c r="TB222" i="1"/>
  <c r="TA222" i="1"/>
  <c r="SZ222" i="1"/>
  <c r="SY222" i="1"/>
  <c r="SX222" i="1"/>
  <c r="SW222" i="1"/>
  <c r="SU222" i="1"/>
  <c r="ST222" i="1"/>
  <c r="SS222" i="1"/>
  <c r="SR222" i="1"/>
  <c r="SQ222" i="1"/>
  <c r="SP222" i="1"/>
  <c r="SM222" i="1"/>
  <c r="SL222" i="1"/>
  <c r="SK222" i="1"/>
  <c r="SJ222" i="1"/>
  <c r="SG222" i="1"/>
  <c r="VN221" i="1"/>
  <c r="VM221" i="1"/>
  <c r="VL221" i="1"/>
  <c r="VK221" i="1"/>
  <c r="VJ221" i="1"/>
  <c r="VI221" i="1"/>
  <c r="VH221" i="1"/>
  <c r="VG221" i="1"/>
  <c r="VF221" i="1"/>
  <c r="VE221" i="1"/>
  <c r="VD221" i="1"/>
  <c r="VC221" i="1"/>
  <c r="VA221" i="1"/>
  <c r="UZ221" i="1"/>
  <c r="UY221" i="1"/>
  <c r="UX221" i="1"/>
  <c r="UW221" i="1"/>
  <c r="UV221" i="1"/>
  <c r="US221" i="1"/>
  <c r="UR221" i="1"/>
  <c r="UQ221" i="1"/>
  <c r="UP221" i="1"/>
  <c r="UM221" i="1"/>
  <c r="UK221" i="1"/>
  <c r="UJ221" i="1"/>
  <c r="UI221" i="1"/>
  <c r="UH221" i="1"/>
  <c r="UG221" i="1"/>
  <c r="UF221" i="1"/>
  <c r="UE221" i="1"/>
  <c r="UD221" i="1"/>
  <c r="UC221" i="1"/>
  <c r="UB221" i="1"/>
  <c r="UA221" i="1"/>
  <c r="TZ221" i="1"/>
  <c r="TX221" i="1"/>
  <c r="TW221" i="1"/>
  <c r="TV221" i="1"/>
  <c r="TU221" i="1"/>
  <c r="TT221" i="1"/>
  <c r="TS221" i="1"/>
  <c r="TP221" i="1"/>
  <c r="TO221" i="1"/>
  <c r="TN221" i="1"/>
  <c r="TM221" i="1"/>
  <c r="TJ221" i="1"/>
  <c r="TH221" i="1"/>
  <c r="TG221" i="1"/>
  <c r="TF221" i="1"/>
  <c r="TE221" i="1"/>
  <c r="TD221" i="1"/>
  <c r="TC221" i="1"/>
  <c r="TB221" i="1"/>
  <c r="TA221" i="1"/>
  <c r="SZ221" i="1"/>
  <c r="SY221" i="1"/>
  <c r="SX221" i="1"/>
  <c r="SW221" i="1"/>
  <c r="SU221" i="1"/>
  <c r="ST221" i="1"/>
  <c r="SS221" i="1"/>
  <c r="SR221" i="1"/>
  <c r="SQ221" i="1"/>
  <c r="SP221" i="1"/>
  <c r="SM221" i="1"/>
  <c r="SL221" i="1"/>
  <c r="SK221" i="1"/>
  <c r="SJ221" i="1"/>
  <c r="SG221" i="1"/>
  <c r="VN220" i="1"/>
  <c r="VM220" i="1"/>
  <c r="VL220" i="1"/>
  <c r="VK220" i="1"/>
  <c r="VJ220" i="1"/>
  <c r="VI220" i="1"/>
  <c r="VH220" i="1"/>
  <c r="VG220" i="1"/>
  <c r="VF220" i="1"/>
  <c r="VE220" i="1"/>
  <c r="VD220" i="1"/>
  <c r="VC220" i="1"/>
  <c r="VA220" i="1"/>
  <c r="UZ220" i="1"/>
  <c r="UY220" i="1"/>
  <c r="UX220" i="1"/>
  <c r="UW220" i="1"/>
  <c r="UV220" i="1"/>
  <c r="US220" i="1"/>
  <c r="UR220" i="1"/>
  <c r="UQ220" i="1"/>
  <c r="UP220" i="1"/>
  <c r="UM220" i="1"/>
  <c r="UK220" i="1"/>
  <c r="UJ220" i="1"/>
  <c r="UI220" i="1"/>
  <c r="UH220" i="1"/>
  <c r="UG220" i="1"/>
  <c r="UF220" i="1"/>
  <c r="UE220" i="1"/>
  <c r="UD220" i="1"/>
  <c r="UC220" i="1"/>
  <c r="UB220" i="1"/>
  <c r="UA220" i="1"/>
  <c r="TZ220" i="1"/>
  <c r="TX220" i="1"/>
  <c r="TW220" i="1"/>
  <c r="TV220" i="1"/>
  <c r="TU220" i="1"/>
  <c r="TT220" i="1"/>
  <c r="TS220" i="1"/>
  <c r="TP220" i="1"/>
  <c r="TO220" i="1"/>
  <c r="TN220" i="1"/>
  <c r="TM220" i="1"/>
  <c r="TJ220" i="1"/>
  <c r="TH220" i="1"/>
  <c r="TG220" i="1"/>
  <c r="TF220" i="1"/>
  <c r="TE220" i="1"/>
  <c r="TD220" i="1"/>
  <c r="TC220" i="1"/>
  <c r="TB220" i="1"/>
  <c r="TA220" i="1"/>
  <c r="SZ220" i="1"/>
  <c r="SY220" i="1"/>
  <c r="SX220" i="1"/>
  <c r="SW220" i="1"/>
  <c r="SU220" i="1"/>
  <c r="ST220" i="1"/>
  <c r="SS220" i="1"/>
  <c r="SR220" i="1"/>
  <c r="SQ220" i="1"/>
  <c r="SP220" i="1"/>
  <c r="SM220" i="1"/>
  <c r="SL220" i="1"/>
  <c r="SK220" i="1"/>
  <c r="SJ220" i="1"/>
  <c r="SG220" i="1"/>
  <c r="VN219" i="1"/>
  <c r="VM219" i="1"/>
  <c r="VL219" i="1"/>
  <c r="VK219" i="1"/>
  <c r="VJ219" i="1"/>
  <c r="VI219" i="1"/>
  <c r="VH219" i="1"/>
  <c r="VG219" i="1"/>
  <c r="VF219" i="1"/>
  <c r="VE219" i="1"/>
  <c r="VD219" i="1"/>
  <c r="VC219" i="1"/>
  <c r="VA219" i="1"/>
  <c r="UZ219" i="1"/>
  <c r="UY219" i="1"/>
  <c r="UX219" i="1"/>
  <c r="UW219" i="1"/>
  <c r="UV219" i="1"/>
  <c r="US219" i="1"/>
  <c r="UR219" i="1"/>
  <c r="UQ219" i="1"/>
  <c r="UP219" i="1"/>
  <c r="UM219" i="1"/>
  <c r="UK219" i="1"/>
  <c r="UJ219" i="1"/>
  <c r="UI219" i="1"/>
  <c r="UH219" i="1"/>
  <c r="UG219" i="1"/>
  <c r="UF219" i="1"/>
  <c r="UE219" i="1"/>
  <c r="UD219" i="1"/>
  <c r="UC219" i="1"/>
  <c r="UB219" i="1"/>
  <c r="UA219" i="1"/>
  <c r="TZ219" i="1"/>
  <c r="TX219" i="1"/>
  <c r="TW219" i="1"/>
  <c r="TV219" i="1"/>
  <c r="TU219" i="1"/>
  <c r="TT219" i="1"/>
  <c r="TS219" i="1"/>
  <c r="TP219" i="1"/>
  <c r="TO219" i="1"/>
  <c r="TN219" i="1"/>
  <c r="TM219" i="1"/>
  <c r="TJ219" i="1"/>
  <c r="TH219" i="1"/>
  <c r="TG219" i="1"/>
  <c r="TF219" i="1"/>
  <c r="TE219" i="1"/>
  <c r="TD219" i="1"/>
  <c r="TC219" i="1"/>
  <c r="TB219" i="1"/>
  <c r="TA219" i="1"/>
  <c r="SZ219" i="1"/>
  <c r="SY219" i="1"/>
  <c r="SX219" i="1"/>
  <c r="SW219" i="1"/>
  <c r="SU219" i="1"/>
  <c r="ST219" i="1"/>
  <c r="SS219" i="1"/>
  <c r="SR219" i="1"/>
  <c r="SQ219" i="1"/>
  <c r="SP219" i="1"/>
  <c r="SM219" i="1"/>
  <c r="SL219" i="1"/>
  <c r="SK219" i="1"/>
  <c r="SJ219" i="1"/>
  <c r="SG219" i="1"/>
  <c r="VN218" i="1"/>
  <c r="VM218" i="1"/>
  <c r="VL218" i="1"/>
  <c r="VK218" i="1"/>
  <c r="VJ218" i="1"/>
  <c r="VI218" i="1"/>
  <c r="VH218" i="1"/>
  <c r="VG218" i="1"/>
  <c r="VF218" i="1"/>
  <c r="VE218" i="1"/>
  <c r="VD218" i="1"/>
  <c r="VC218" i="1"/>
  <c r="VA218" i="1"/>
  <c r="UZ218" i="1"/>
  <c r="UY218" i="1"/>
  <c r="UX218" i="1"/>
  <c r="UW218" i="1"/>
  <c r="UV218" i="1"/>
  <c r="US218" i="1"/>
  <c r="UR218" i="1"/>
  <c r="UQ218" i="1"/>
  <c r="UP218" i="1"/>
  <c r="UM218" i="1"/>
  <c r="UK218" i="1"/>
  <c r="UJ218" i="1"/>
  <c r="UI218" i="1"/>
  <c r="UH218" i="1"/>
  <c r="UG218" i="1"/>
  <c r="UF218" i="1"/>
  <c r="UE218" i="1"/>
  <c r="UD218" i="1"/>
  <c r="UC218" i="1"/>
  <c r="UB218" i="1"/>
  <c r="UA218" i="1"/>
  <c r="TZ218" i="1"/>
  <c r="TX218" i="1"/>
  <c r="TW218" i="1"/>
  <c r="TV218" i="1"/>
  <c r="TU218" i="1"/>
  <c r="TT218" i="1"/>
  <c r="TS218" i="1"/>
  <c r="TP218" i="1"/>
  <c r="TO218" i="1"/>
  <c r="TN218" i="1"/>
  <c r="TM218" i="1"/>
  <c r="TJ218" i="1"/>
  <c r="TH218" i="1"/>
  <c r="TG218" i="1"/>
  <c r="TF218" i="1"/>
  <c r="TE218" i="1"/>
  <c r="TD218" i="1"/>
  <c r="TC218" i="1"/>
  <c r="TB218" i="1"/>
  <c r="TA218" i="1"/>
  <c r="SZ218" i="1"/>
  <c r="SY218" i="1"/>
  <c r="SX218" i="1"/>
  <c r="SW218" i="1"/>
  <c r="SU218" i="1"/>
  <c r="ST218" i="1"/>
  <c r="SS218" i="1"/>
  <c r="SR218" i="1"/>
  <c r="SQ218" i="1"/>
  <c r="SP218" i="1"/>
  <c r="SM218" i="1"/>
  <c r="SL218" i="1"/>
  <c r="SK218" i="1"/>
  <c r="SJ218" i="1"/>
  <c r="SG218" i="1"/>
  <c r="VN217" i="1"/>
  <c r="VM217" i="1"/>
  <c r="VL217" i="1"/>
  <c r="VK217" i="1"/>
  <c r="VJ217" i="1"/>
  <c r="VI217" i="1"/>
  <c r="VH217" i="1"/>
  <c r="VG217" i="1"/>
  <c r="VF217" i="1"/>
  <c r="VE217" i="1"/>
  <c r="VD217" i="1"/>
  <c r="VC217" i="1"/>
  <c r="VA217" i="1"/>
  <c r="UZ217" i="1"/>
  <c r="UY217" i="1"/>
  <c r="UX217" i="1"/>
  <c r="UW217" i="1"/>
  <c r="UV217" i="1"/>
  <c r="US217" i="1"/>
  <c r="UR217" i="1"/>
  <c r="UQ217" i="1"/>
  <c r="UP217" i="1"/>
  <c r="UM217" i="1"/>
  <c r="UK217" i="1"/>
  <c r="UJ217" i="1"/>
  <c r="UI217" i="1"/>
  <c r="UH217" i="1"/>
  <c r="UG217" i="1"/>
  <c r="UF217" i="1"/>
  <c r="UE217" i="1"/>
  <c r="UD217" i="1"/>
  <c r="UC217" i="1"/>
  <c r="UB217" i="1"/>
  <c r="UA217" i="1"/>
  <c r="TZ217" i="1"/>
  <c r="TX217" i="1"/>
  <c r="TW217" i="1"/>
  <c r="TV217" i="1"/>
  <c r="TU217" i="1"/>
  <c r="TT217" i="1"/>
  <c r="TS217" i="1"/>
  <c r="TP217" i="1"/>
  <c r="TO217" i="1"/>
  <c r="TN217" i="1"/>
  <c r="TM217" i="1"/>
  <c r="TJ217" i="1"/>
  <c r="TH217" i="1"/>
  <c r="TG217" i="1"/>
  <c r="TF217" i="1"/>
  <c r="TE217" i="1"/>
  <c r="TD217" i="1"/>
  <c r="TC217" i="1"/>
  <c r="TB217" i="1"/>
  <c r="TA217" i="1"/>
  <c r="SZ217" i="1"/>
  <c r="SY217" i="1"/>
  <c r="SX217" i="1"/>
  <c r="SW217" i="1"/>
  <c r="SU217" i="1"/>
  <c r="ST217" i="1"/>
  <c r="SS217" i="1"/>
  <c r="SR217" i="1"/>
  <c r="SQ217" i="1"/>
  <c r="SP217" i="1"/>
  <c r="SM217" i="1"/>
  <c r="SL217" i="1"/>
  <c r="SK217" i="1"/>
  <c r="SJ217" i="1"/>
  <c r="SG217" i="1"/>
  <c r="VN216" i="1"/>
  <c r="VM216" i="1"/>
  <c r="VL216" i="1"/>
  <c r="VK216" i="1"/>
  <c r="VJ216" i="1"/>
  <c r="VI216" i="1"/>
  <c r="VH216" i="1"/>
  <c r="VG216" i="1"/>
  <c r="VF216" i="1"/>
  <c r="VE216" i="1"/>
  <c r="VD216" i="1"/>
  <c r="VC216" i="1"/>
  <c r="VA216" i="1"/>
  <c r="UZ216" i="1"/>
  <c r="UY216" i="1"/>
  <c r="UX216" i="1"/>
  <c r="UW216" i="1"/>
  <c r="UV216" i="1"/>
  <c r="US216" i="1"/>
  <c r="UR216" i="1"/>
  <c r="UQ216" i="1"/>
  <c r="UP216" i="1"/>
  <c r="UM216" i="1"/>
  <c r="UK216" i="1"/>
  <c r="UJ216" i="1"/>
  <c r="UI216" i="1"/>
  <c r="UH216" i="1"/>
  <c r="UG216" i="1"/>
  <c r="UF216" i="1"/>
  <c r="UE216" i="1"/>
  <c r="UD216" i="1"/>
  <c r="UC216" i="1"/>
  <c r="UB216" i="1"/>
  <c r="UA216" i="1"/>
  <c r="TZ216" i="1"/>
  <c r="TX216" i="1"/>
  <c r="TW216" i="1"/>
  <c r="TV216" i="1"/>
  <c r="TU216" i="1"/>
  <c r="TT216" i="1"/>
  <c r="TS216" i="1"/>
  <c r="TP216" i="1"/>
  <c r="TO216" i="1"/>
  <c r="TN216" i="1"/>
  <c r="TM216" i="1"/>
  <c r="TJ216" i="1"/>
  <c r="TH216" i="1"/>
  <c r="TG216" i="1"/>
  <c r="TF216" i="1"/>
  <c r="TE216" i="1"/>
  <c r="TD216" i="1"/>
  <c r="TC216" i="1"/>
  <c r="TB216" i="1"/>
  <c r="TA216" i="1"/>
  <c r="SZ216" i="1"/>
  <c r="SY216" i="1"/>
  <c r="SX216" i="1"/>
  <c r="SW216" i="1"/>
  <c r="SU216" i="1"/>
  <c r="ST216" i="1"/>
  <c r="SS216" i="1"/>
  <c r="SR216" i="1"/>
  <c r="SQ216" i="1"/>
  <c r="SP216" i="1"/>
  <c r="SM216" i="1"/>
  <c r="SL216" i="1"/>
  <c r="SK216" i="1"/>
  <c r="SJ216" i="1"/>
  <c r="SG216" i="1"/>
  <c r="VN215" i="1"/>
  <c r="VM215" i="1"/>
  <c r="VL215" i="1"/>
  <c r="VK215" i="1"/>
  <c r="VJ215" i="1"/>
  <c r="VI215" i="1"/>
  <c r="VH215" i="1"/>
  <c r="VG215" i="1"/>
  <c r="VF215" i="1"/>
  <c r="VE215" i="1"/>
  <c r="VD215" i="1"/>
  <c r="VC215" i="1"/>
  <c r="VA215" i="1"/>
  <c r="UZ215" i="1"/>
  <c r="UY215" i="1"/>
  <c r="UX215" i="1"/>
  <c r="UW215" i="1"/>
  <c r="UV215" i="1"/>
  <c r="US215" i="1"/>
  <c r="UR215" i="1"/>
  <c r="UQ215" i="1"/>
  <c r="UP215" i="1"/>
  <c r="UM215" i="1"/>
  <c r="UK215" i="1"/>
  <c r="UJ215" i="1"/>
  <c r="UI215" i="1"/>
  <c r="UH215" i="1"/>
  <c r="UG215" i="1"/>
  <c r="UF215" i="1"/>
  <c r="UE215" i="1"/>
  <c r="UD215" i="1"/>
  <c r="UC215" i="1"/>
  <c r="UB215" i="1"/>
  <c r="UA215" i="1"/>
  <c r="TZ215" i="1"/>
  <c r="TX215" i="1"/>
  <c r="TW215" i="1"/>
  <c r="TV215" i="1"/>
  <c r="TU215" i="1"/>
  <c r="TT215" i="1"/>
  <c r="TS215" i="1"/>
  <c r="TP215" i="1"/>
  <c r="TO215" i="1"/>
  <c r="TN215" i="1"/>
  <c r="TM215" i="1"/>
  <c r="TJ215" i="1"/>
  <c r="TH215" i="1"/>
  <c r="TG215" i="1"/>
  <c r="TF215" i="1"/>
  <c r="TE215" i="1"/>
  <c r="TD215" i="1"/>
  <c r="TC215" i="1"/>
  <c r="TB215" i="1"/>
  <c r="TA215" i="1"/>
  <c r="SZ215" i="1"/>
  <c r="SY215" i="1"/>
  <c r="SX215" i="1"/>
  <c r="SW215" i="1"/>
  <c r="SU215" i="1"/>
  <c r="ST215" i="1"/>
  <c r="SS215" i="1"/>
  <c r="SR215" i="1"/>
  <c r="SQ215" i="1"/>
  <c r="SP215" i="1"/>
  <c r="SM215" i="1"/>
  <c r="SL215" i="1"/>
  <c r="SK215" i="1"/>
  <c r="SJ215" i="1"/>
  <c r="SG215" i="1"/>
  <c r="VN214" i="1"/>
  <c r="VM214" i="1"/>
  <c r="VL214" i="1"/>
  <c r="VK214" i="1"/>
  <c r="VJ214" i="1"/>
  <c r="VI214" i="1"/>
  <c r="VH214" i="1"/>
  <c r="VG214" i="1"/>
  <c r="VF214" i="1"/>
  <c r="VE214" i="1"/>
  <c r="VD214" i="1"/>
  <c r="VC214" i="1"/>
  <c r="VA214" i="1"/>
  <c r="UZ214" i="1"/>
  <c r="UY214" i="1"/>
  <c r="UX214" i="1"/>
  <c r="UW214" i="1"/>
  <c r="UV214" i="1"/>
  <c r="US214" i="1"/>
  <c r="UR214" i="1"/>
  <c r="UQ214" i="1"/>
  <c r="UP214" i="1"/>
  <c r="UM214" i="1"/>
  <c r="UK214" i="1"/>
  <c r="UJ214" i="1"/>
  <c r="UI214" i="1"/>
  <c r="UH214" i="1"/>
  <c r="UG214" i="1"/>
  <c r="UF214" i="1"/>
  <c r="UE214" i="1"/>
  <c r="UD214" i="1"/>
  <c r="UC214" i="1"/>
  <c r="UB214" i="1"/>
  <c r="UA214" i="1"/>
  <c r="TZ214" i="1"/>
  <c r="TX214" i="1"/>
  <c r="TW214" i="1"/>
  <c r="TV214" i="1"/>
  <c r="TU214" i="1"/>
  <c r="TT214" i="1"/>
  <c r="TS214" i="1"/>
  <c r="TP214" i="1"/>
  <c r="TO214" i="1"/>
  <c r="TN214" i="1"/>
  <c r="TM214" i="1"/>
  <c r="TJ214" i="1"/>
  <c r="TH214" i="1"/>
  <c r="TG214" i="1"/>
  <c r="TF214" i="1"/>
  <c r="TE214" i="1"/>
  <c r="TD214" i="1"/>
  <c r="TC214" i="1"/>
  <c r="TB214" i="1"/>
  <c r="TA214" i="1"/>
  <c r="SZ214" i="1"/>
  <c r="SY214" i="1"/>
  <c r="SX214" i="1"/>
  <c r="SW214" i="1"/>
  <c r="SU214" i="1"/>
  <c r="ST214" i="1"/>
  <c r="SS214" i="1"/>
  <c r="SR214" i="1"/>
  <c r="SQ214" i="1"/>
  <c r="SP214" i="1"/>
  <c r="SM214" i="1"/>
  <c r="SL214" i="1"/>
  <c r="SK214" i="1"/>
  <c r="SJ214" i="1"/>
  <c r="SG214" i="1"/>
  <c r="VN213" i="1"/>
  <c r="VM213" i="1"/>
  <c r="VL213" i="1"/>
  <c r="VK213" i="1"/>
  <c r="VJ213" i="1"/>
  <c r="VI213" i="1"/>
  <c r="VH213" i="1"/>
  <c r="VG213" i="1"/>
  <c r="VF213" i="1"/>
  <c r="VE213" i="1"/>
  <c r="VD213" i="1"/>
  <c r="VC213" i="1"/>
  <c r="VA213" i="1"/>
  <c r="UZ213" i="1"/>
  <c r="UY213" i="1"/>
  <c r="UX213" i="1"/>
  <c r="UW213" i="1"/>
  <c r="UV213" i="1"/>
  <c r="US213" i="1"/>
  <c r="UR213" i="1"/>
  <c r="UQ213" i="1"/>
  <c r="UP213" i="1"/>
  <c r="UM213" i="1"/>
  <c r="UK213" i="1"/>
  <c r="UJ213" i="1"/>
  <c r="UI213" i="1"/>
  <c r="UH213" i="1"/>
  <c r="UG213" i="1"/>
  <c r="UF213" i="1"/>
  <c r="UE213" i="1"/>
  <c r="UD213" i="1"/>
  <c r="UC213" i="1"/>
  <c r="UB213" i="1"/>
  <c r="UA213" i="1"/>
  <c r="TZ213" i="1"/>
  <c r="TX213" i="1"/>
  <c r="TW213" i="1"/>
  <c r="TV213" i="1"/>
  <c r="TU213" i="1"/>
  <c r="TT213" i="1"/>
  <c r="TS213" i="1"/>
  <c r="TP213" i="1"/>
  <c r="TO213" i="1"/>
  <c r="TN213" i="1"/>
  <c r="TM213" i="1"/>
  <c r="TJ213" i="1"/>
  <c r="TH213" i="1"/>
  <c r="TG213" i="1"/>
  <c r="TF213" i="1"/>
  <c r="TE213" i="1"/>
  <c r="TD213" i="1"/>
  <c r="TC213" i="1"/>
  <c r="TB213" i="1"/>
  <c r="TA213" i="1"/>
  <c r="SZ213" i="1"/>
  <c r="SY213" i="1"/>
  <c r="SX213" i="1"/>
  <c r="SW213" i="1"/>
  <c r="SU213" i="1"/>
  <c r="ST213" i="1"/>
  <c r="SS213" i="1"/>
  <c r="SR213" i="1"/>
  <c r="SQ213" i="1"/>
  <c r="SP213" i="1"/>
  <c r="SM213" i="1"/>
  <c r="SL213" i="1"/>
  <c r="SK213" i="1"/>
  <c r="SJ213" i="1"/>
  <c r="SG213" i="1"/>
  <c r="VN212" i="1"/>
  <c r="VM212" i="1"/>
  <c r="VL212" i="1"/>
  <c r="VK212" i="1"/>
  <c r="VJ212" i="1"/>
  <c r="VI212" i="1"/>
  <c r="VH212" i="1"/>
  <c r="VG212" i="1"/>
  <c r="VF212" i="1"/>
  <c r="VE212" i="1"/>
  <c r="VD212" i="1"/>
  <c r="VC212" i="1"/>
  <c r="VA212" i="1"/>
  <c r="UZ212" i="1"/>
  <c r="UY212" i="1"/>
  <c r="UX212" i="1"/>
  <c r="UW212" i="1"/>
  <c r="UV212" i="1"/>
  <c r="US212" i="1"/>
  <c r="UR212" i="1"/>
  <c r="UQ212" i="1"/>
  <c r="UP212" i="1"/>
  <c r="UM212" i="1"/>
  <c r="UK212" i="1"/>
  <c r="UJ212" i="1"/>
  <c r="UI212" i="1"/>
  <c r="UH212" i="1"/>
  <c r="UG212" i="1"/>
  <c r="UF212" i="1"/>
  <c r="UE212" i="1"/>
  <c r="UD212" i="1"/>
  <c r="UC212" i="1"/>
  <c r="UB212" i="1"/>
  <c r="UA212" i="1"/>
  <c r="TZ212" i="1"/>
  <c r="TX212" i="1"/>
  <c r="TW212" i="1"/>
  <c r="TV212" i="1"/>
  <c r="TU212" i="1"/>
  <c r="TT212" i="1"/>
  <c r="TS212" i="1"/>
  <c r="TP212" i="1"/>
  <c r="TO212" i="1"/>
  <c r="TN212" i="1"/>
  <c r="TM212" i="1"/>
  <c r="TJ212" i="1"/>
  <c r="TH212" i="1"/>
  <c r="TG212" i="1"/>
  <c r="TF212" i="1"/>
  <c r="TE212" i="1"/>
  <c r="TD212" i="1"/>
  <c r="TC212" i="1"/>
  <c r="TB212" i="1"/>
  <c r="TA212" i="1"/>
  <c r="SZ212" i="1"/>
  <c r="SY212" i="1"/>
  <c r="SX212" i="1"/>
  <c r="SW212" i="1"/>
  <c r="SU212" i="1"/>
  <c r="ST212" i="1"/>
  <c r="SS212" i="1"/>
  <c r="SR212" i="1"/>
  <c r="SQ212" i="1"/>
  <c r="SP212" i="1"/>
  <c r="SM212" i="1"/>
  <c r="SL212" i="1"/>
  <c r="SK212" i="1"/>
  <c r="SJ212" i="1"/>
  <c r="SG212" i="1"/>
  <c r="VN211" i="1"/>
  <c r="VM211" i="1"/>
  <c r="VL211" i="1"/>
  <c r="VK211" i="1"/>
  <c r="VJ211" i="1"/>
  <c r="VI211" i="1"/>
  <c r="VH211" i="1"/>
  <c r="VG211" i="1"/>
  <c r="VF211" i="1"/>
  <c r="VE211" i="1"/>
  <c r="VD211" i="1"/>
  <c r="VC211" i="1"/>
  <c r="VA211" i="1"/>
  <c r="UZ211" i="1"/>
  <c r="UY211" i="1"/>
  <c r="UX211" i="1"/>
  <c r="UW211" i="1"/>
  <c r="UV211" i="1"/>
  <c r="US211" i="1"/>
  <c r="UR211" i="1"/>
  <c r="UQ211" i="1"/>
  <c r="UP211" i="1"/>
  <c r="UM211" i="1"/>
  <c r="UK211" i="1"/>
  <c r="UJ211" i="1"/>
  <c r="UI211" i="1"/>
  <c r="UH211" i="1"/>
  <c r="UG211" i="1"/>
  <c r="UF211" i="1"/>
  <c r="UE211" i="1"/>
  <c r="UD211" i="1"/>
  <c r="UC211" i="1"/>
  <c r="UB211" i="1"/>
  <c r="UA211" i="1"/>
  <c r="TZ211" i="1"/>
  <c r="TX211" i="1"/>
  <c r="TW211" i="1"/>
  <c r="TV211" i="1"/>
  <c r="TU211" i="1"/>
  <c r="TT211" i="1"/>
  <c r="TS211" i="1"/>
  <c r="TP211" i="1"/>
  <c r="TO211" i="1"/>
  <c r="TN211" i="1"/>
  <c r="TM211" i="1"/>
  <c r="TJ211" i="1"/>
  <c r="TH211" i="1"/>
  <c r="TG211" i="1"/>
  <c r="TF211" i="1"/>
  <c r="TE211" i="1"/>
  <c r="TD211" i="1"/>
  <c r="TC211" i="1"/>
  <c r="TB211" i="1"/>
  <c r="TA211" i="1"/>
  <c r="SZ211" i="1"/>
  <c r="SY211" i="1"/>
  <c r="SX211" i="1"/>
  <c r="SW211" i="1"/>
  <c r="SU211" i="1"/>
  <c r="ST211" i="1"/>
  <c r="SS211" i="1"/>
  <c r="SR211" i="1"/>
  <c r="SQ211" i="1"/>
  <c r="SP211" i="1"/>
  <c r="SM211" i="1"/>
  <c r="SL211" i="1"/>
  <c r="SK211" i="1"/>
  <c r="SJ211" i="1"/>
  <c r="SG211" i="1"/>
  <c r="VN210" i="1"/>
  <c r="VM210" i="1"/>
  <c r="VL210" i="1"/>
  <c r="VK210" i="1"/>
  <c r="VJ210" i="1"/>
  <c r="VI210" i="1"/>
  <c r="VH210" i="1"/>
  <c r="VG210" i="1"/>
  <c r="VF210" i="1"/>
  <c r="VE210" i="1"/>
  <c r="VD210" i="1"/>
  <c r="VC210" i="1"/>
  <c r="VA210" i="1"/>
  <c r="UZ210" i="1"/>
  <c r="UY210" i="1"/>
  <c r="UX210" i="1"/>
  <c r="UW210" i="1"/>
  <c r="UV210" i="1"/>
  <c r="US210" i="1"/>
  <c r="UR210" i="1"/>
  <c r="UQ210" i="1"/>
  <c r="UP210" i="1"/>
  <c r="UM210" i="1"/>
  <c r="UK210" i="1"/>
  <c r="UJ210" i="1"/>
  <c r="UI210" i="1"/>
  <c r="UH210" i="1"/>
  <c r="UG210" i="1"/>
  <c r="UF210" i="1"/>
  <c r="UE210" i="1"/>
  <c r="UD210" i="1"/>
  <c r="UC210" i="1"/>
  <c r="UB210" i="1"/>
  <c r="UA210" i="1"/>
  <c r="TZ210" i="1"/>
  <c r="TX210" i="1"/>
  <c r="TW210" i="1"/>
  <c r="TV210" i="1"/>
  <c r="TU210" i="1"/>
  <c r="TT210" i="1"/>
  <c r="TS210" i="1"/>
  <c r="TP210" i="1"/>
  <c r="TO210" i="1"/>
  <c r="TN210" i="1"/>
  <c r="TM210" i="1"/>
  <c r="TJ210" i="1"/>
  <c r="TH210" i="1"/>
  <c r="TG210" i="1"/>
  <c r="TF210" i="1"/>
  <c r="TE210" i="1"/>
  <c r="TD210" i="1"/>
  <c r="TC210" i="1"/>
  <c r="TB210" i="1"/>
  <c r="TA210" i="1"/>
  <c r="SZ210" i="1"/>
  <c r="SY210" i="1"/>
  <c r="SX210" i="1"/>
  <c r="SW210" i="1"/>
  <c r="SU210" i="1"/>
  <c r="ST210" i="1"/>
  <c r="SS210" i="1"/>
  <c r="SR210" i="1"/>
  <c r="SQ210" i="1"/>
  <c r="SP210" i="1"/>
  <c r="SM210" i="1"/>
  <c r="SL210" i="1"/>
  <c r="SK210" i="1"/>
  <c r="SJ210" i="1"/>
  <c r="SG210" i="1"/>
  <c r="VN209" i="1"/>
  <c r="VM209" i="1"/>
  <c r="VL209" i="1"/>
  <c r="VK209" i="1"/>
  <c r="VJ209" i="1"/>
  <c r="VI209" i="1"/>
  <c r="VH209" i="1"/>
  <c r="VG209" i="1"/>
  <c r="VF209" i="1"/>
  <c r="VE209" i="1"/>
  <c r="VD209" i="1"/>
  <c r="VC209" i="1"/>
  <c r="VA209" i="1"/>
  <c r="UZ209" i="1"/>
  <c r="UY209" i="1"/>
  <c r="UX209" i="1"/>
  <c r="UW209" i="1"/>
  <c r="UV209" i="1"/>
  <c r="US209" i="1"/>
  <c r="UR209" i="1"/>
  <c r="UQ209" i="1"/>
  <c r="UP209" i="1"/>
  <c r="UM209" i="1"/>
  <c r="UK209" i="1"/>
  <c r="UJ209" i="1"/>
  <c r="UI209" i="1"/>
  <c r="UH209" i="1"/>
  <c r="UG209" i="1"/>
  <c r="UF209" i="1"/>
  <c r="UE209" i="1"/>
  <c r="UD209" i="1"/>
  <c r="UC209" i="1"/>
  <c r="UB209" i="1"/>
  <c r="UA209" i="1"/>
  <c r="TZ209" i="1"/>
  <c r="TX209" i="1"/>
  <c r="TW209" i="1"/>
  <c r="TV209" i="1"/>
  <c r="TU209" i="1"/>
  <c r="TT209" i="1"/>
  <c r="TS209" i="1"/>
  <c r="TP209" i="1"/>
  <c r="TO209" i="1"/>
  <c r="TN209" i="1"/>
  <c r="TM209" i="1"/>
  <c r="TJ209" i="1"/>
  <c r="TH209" i="1"/>
  <c r="TG209" i="1"/>
  <c r="TF209" i="1"/>
  <c r="TE209" i="1"/>
  <c r="TD209" i="1"/>
  <c r="TC209" i="1"/>
  <c r="TB209" i="1"/>
  <c r="TA209" i="1"/>
  <c r="SZ209" i="1"/>
  <c r="SY209" i="1"/>
  <c r="SX209" i="1"/>
  <c r="SW209" i="1"/>
  <c r="SU209" i="1"/>
  <c r="ST209" i="1"/>
  <c r="SS209" i="1"/>
  <c r="SR209" i="1"/>
  <c r="SQ209" i="1"/>
  <c r="SP209" i="1"/>
  <c r="SM209" i="1"/>
  <c r="SL209" i="1"/>
  <c r="SK209" i="1"/>
  <c r="SJ209" i="1"/>
  <c r="SG209" i="1"/>
  <c r="VN208" i="1"/>
  <c r="VM208" i="1"/>
  <c r="VL208" i="1"/>
  <c r="VK208" i="1"/>
  <c r="VJ208" i="1"/>
  <c r="VI208" i="1"/>
  <c r="VH208" i="1"/>
  <c r="VG208" i="1"/>
  <c r="VF208" i="1"/>
  <c r="VE208" i="1"/>
  <c r="VD208" i="1"/>
  <c r="VC208" i="1"/>
  <c r="VA208" i="1"/>
  <c r="UZ208" i="1"/>
  <c r="UY208" i="1"/>
  <c r="UX208" i="1"/>
  <c r="UW208" i="1"/>
  <c r="UV208" i="1"/>
  <c r="US208" i="1"/>
  <c r="UR208" i="1"/>
  <c r="UQ208" i="1"/>
  <c r="UP208" i="1"/>
  <c r="UM208" i="1"/>
  <c r="UK208" i="1"/>
  <c r="UJ208" i="1"/>
  <c r="UI208" i="1"/>
  <c r="UH208" i="1"/>
  <c r="UG208" i="1"/>
  <c r="UF208" i="1"/>
  <c r="UE208" i="1"/>
  <c r="UD208" i="1"/>
  <c r="UC208" i="1"/>
  <c r="UB208" i="1"/>
  <c r="UA208" i="1"/>
  <c r="TZ208" i="1"/>
  <c r="TX208" i="1"/>
  <c r="TW208" i="1"/>
  <c r="TV208" i="1"/>
  <c r="TU208" i="1"/>
  <c r="TT208" i="1"/>
  <c r="TS208" i="1"/>
  <c r="TP208" i="1"/>
  <c r="TO208" i="1"/>
  <c r="TN208" i="1"/>
  <c r="TM208" i="1"/>
  <c r="TJ208" i="1"/>
  <c r="TH208" i="1"/>
  <c r="TG208" i="1"/>
  <c r="TF208" i="1"/>
  <c r="TE208" i="1"/>
  <c r="TD208" i="1"/>
  <c r="TC208" i="1"/>
  <c r="TB208" i="1"/>
  <c r="TA208" i="1"/>
  <c r="SZ208" i="1"/>
  <c r="SY208" i="1"/>
  <c r="SX208" i="1"/>
  <c r="SW208" i="1"/>
  <c r="SU208" i="1"/>
  <c r="ST208" i="1"/>
  <c r="SS208" i="1"/>
  <c r="SR208" i="1"/>
  <c r="SQ208" i="1"/>
  <c r="SP208" i="1"/>
  <c r="SM208" i="1"/>
  <c r="SL208" i="1"/>
  <c r="SK208" i="1"/>
  <c r="SJ208" i="1"/>
  <c r="SG208" i="1"/>
  <c r="VN207" i="1"/>
  <c r="VM207" i="1"/>
  <c r="VL207" i="1"/>
  <c r="VK207" i="1"/>
  <c r="VJ207" i="1"/>
  <c r="VI207" i="1"/>
  <c r="VH207" i="1"/>
  <c r="VG207" i="1"/>
  <c r="VF207" i="1"/>
  <c r="VE207" i="1"/>
  <c r="VD207" i="1"/>
  <c r="VC207" i="1"/>
  <c r="VA207" i="1"/>
  <c r="UZ207" i="1"/>
  <c r="UY207" i="1"/>
  <c r="UX207" i="1"/>
  <c r="UW207" i="1"/>
  <c r="UV207" i="1"/>
  <c r="US207" i="1"/>
  <c r="UR207" i="1"/>
  <c r="UQ207" i="1"/>
  <c r="UP207" i="1"/>
  <c r="UM207" i="1"/>
  <c r="UK207" i="1"/>
  <c r="UJ207" i="1"/>
  <c r="UI207" i="1"/>
  <c r="UH207" i="1"/>
  <c r="UG207" i="1"/>
  <c r="UF207" i="1"/>
  <c r="UE207" i="1"/>
  <c r="UD207" i="1"/>
  <c r="UC207" i="1"/>
  <c r="UB207" i="1"/>
  <c r="UA207" i="1"/>
  <c r="TZ207" i="1"/>
  <c r="TX207" i="1"/>
  <c r="TW207" i="1"/>
  <c r="TV207" i="1"/>
  <c r="TU207" i="1"/>
  <c r="TT207" i="1"/>
  <c r="TS207" i="1"/>
  <c r="TP207" i="1"/>
  <c r="TO207" i="1"/>
  <c r="TN207" i="1"/>
  <c r="TM207" i="1"/>
  <c r="TJ207" i="1"/>
  <c r="TH207" i="1"/>
  <c r="TG207" i="1"/>
  <c r="TF207" i="1"/>
  <c r="TE207" i="1"/>
  <c r="TD207" i="1"/>
  <c r="TC207" i="1"/>
  <c r="TB207" i="1"/>
  <c r="TA207" i="1"/>
  <c r="SZ207" i="1"/>
  <c r="SY207" i="1"/>
  <c r="SX207" i="1"/>
  <c r="SW207" i="1"/>
  <c r="SU207" i="1"/>
  <c r="ST207" i="1"/>
  <c r="SS207" i="1"/>
  <c r="SR207" i="1"/>
  <c r="SQ207" i="1"/>
  <c r="SP207" i="1"/>
  <c r="SM207" i="1"/>
  <c r="SL207" i="1"/>
  <c r="SK207" i="1"/>
  <c r="SJ207" i="1"/>
  <c r="SG207" i="1"/>
  <c r="VN206" i="1"/>
  <c r="VM206" i="1"/>
  <c r="VL206" i="1"/>
  <c r="VK206" i="1"/>
  <c r="VJ206" i="1"/>
  <c r="VI206" i="1"/>
  <c r="VH206" i="1"/>
  <c r="VG206" i="1"/>
  <c r="VF206" i="1"/>
  <c r="VE206" i="1"/>
  <c r="VD206" i="1"/>
  <c r="VC206" i="1"/>
  <c r="VA206" i="1"/>
  <c r="UZ206" i="1"/>
  <c r="UY206" i="1"/>
  <c r="UX206" i="1"/>
  <c r="UW206" i="1"/>
  <c r="UV206" i="1"/>
  <c r="US206" i="1"/>
  <c r="UR206" i="1"/>
  <c r="UQ206" i="1"/>
  <c r="UP206" i="1"/>
  <c r="UM206" i="1"/>
  <c r="UK206" i="1"/>
  <c r="UJ206" i="1"/>
  <c r="UI206" i="1"/>
  <c r="UH206" i="1"/>
  <c r="UG206" i="1"/>
  <c r="UF206" i="1"/>
  <c r="UE206" i="1"/>
  <c r="UD206" i="1"/>
  <c r="UC206" i="1"/>
  <c r="UB206" i="1"/>
  <c r="UA206" i="1"/>
  <c r="TZ206" i="1"/>
  <c r="TX206" i="1"/>
  <c r="TW206" i="1"/>
  <c r="TV206" i="1"/>
  <c r="TU206" i="1"/>
  <c r="TT206" i="1"/>
  <c r="TS206" i="1"/>
  <c r="TP206" i="1"/>
  <c r="TO206" i="1"/>
  <c r="TN206" i="1"/>
  <c r="TM206" i="1"/>
  <c r="TJ206" i="1"/>
  <c r="TH206" i="1"/>
  <c r="TG206" i="1"/>
  <c r="TF206" i="1"/>
  <c r="TE206" i="1"/>
  <c r="TD206" i="1"/>
  <c r="TC206" i="1"/>
  <c r="TB206" i="1"/>
  <c r="TA206" i="1"/>
  <c r="SZ206" i="1"/>
  <c r="SY206" i="1"/>
  <c r="SX206" i="1"/>
  <c r="SW206" i="1"/>
  <c r="SU206" i="1"/>
  <c r="ST206" i="1"/>
  <c r="SS206" i="1"/>
  <c r="SR206" i="1"/>
  <c r="SQ206" i="1"/>
  <c r="SP206" i="1"/>
  <c r="SM206" i="1"/>
  <c r="SL206" i="1"/>
  <c r="SK206" i="1"/>
  <c r="SJ206" i="1"/>
  <c r="SG206" i="1"/>
  <c r="VN205" i="1"/>
  <c r="VM205" i="1"/>
  <c r="VL205" i="1"/>
  <c r="VK205" i="1"/>
  <c r="VJ205" i="1"/>
  <c r="VI205" i="1"/>
  <c r="VH205" i="1"/>
  <c r="VG205" i="1"/>
  <c r="VF205" i="1"/>
  <c r="VE205" i="1"/>
  <c r="VD205" i="1"/>
  <c r="VC205" i="1"/>
  <c r="VA205" i="1"/>
  <c r="UZ205" i="1"/>
  <c r="UY205" i="1"/>
  <c r="UX205" i="1"/>
  <c r="UW205" i="1"/>
  <c r="UV205" i="1"/>
  <c r="US205" i="1"/>
  <c r="UR205" i="1"/>
  <c r="UQ205" i="1"/>
  <c r="UP205" i="1"/>
  <c r="UM205" i="1"/>
  <c r="UK205" i="1"/>
  <c r="UJ205" i="1"/>
  <c r="UI205" i="1"/>
  <c r="UH205" i="1"/>
  <c r="UG205" i="1"/>
  <c r="UF205" i="1"/>
  <c r="UE205" i="1"/>
  <c r="UD205" i="1"/>
  <c r="UC205" i="1"/>
  <c r="UB205" i="1"/>
  <c r="UA205" i="1"/>
  <c r="TZ205" i="1"/>
  <c r="TX205" i="1"/>
  <c r="TW205" i="1"/>
  <c r="TV205" i="1"/>
  <c r="TU205" i="1"/>
  <c r="TT205" i="1"/>
  <c r="TS205" i="1"/>
  <c r="TP205" i="1"/>
  <c r="TO205" i="1"/>
  <c r="TN205" i="1"/>
  <c r="TM205" i="1"/>
  <c r="TJ205" i="1"/>
  <c r="TH205" i="1"/>
  <c r="TG205" i="1"/>
  <c r="TF205" i="1"/>
  <c r="TE205" i="1"/>
  <c r="TD205" i="1"/>
  <c r="TC205" i="1"/>
  <c r="TB205" i="1"/>
  <c r="TA205" i="1"/>
  <c r="SZ205" i="1"/>
  <c r="SY205" i="1"/>
  <c r="SX205" i="1"/>
  <c r="SW205" i="1"/>
  <c r="SU205" i="1"/>
  <c r="ST205" i="1"/>
  <c r="SS205" i="1"/>
  <c r="SR205" i="1"/>
  <c r="SQ205" i="1"/>
  <c r="SP205" i="1"/>
  <c r="SM205" i="1"/>
  <c r="SL205" i="1"/>
  <c r="SK205" i="1"/>
  <c r="SJ205" i="1"/>
  <c r="SG205" i="1"/>
  <c r="VN204" i="1"/>
  <c r="VM204" i="1"/>
  <c r="VL204" i="1"/>
  <c r="VK204" i="1"/>
  <c r="VJ204" i="1"/>
  <c r="VI204" i="1"/>
  <c r="VH204" i="1"/>
  <c r="VG204" i="1"/>
  <c r="VF204" i="1"/>
  <c r="VE204" i="1"/>
  <c r="VD204" i="1"/>
  <c r="VC204" i="1"/>
  <c r="VA204" i="1"/>
  <c r="UZ204" i="1"/>
  <c r="UY204" i="1"/>
  <c r="UX204" i="1"/>
  <c r="UW204" i="1"/>
  <c r="UV204" i="1"/>
  <c r="US204" i="1"/>
  <c r="UR204" i="1"/>
  <c r="UQ204" i="1"/>
  <c r="UP204" i="1"/>
  <c r="UM204" i="1"/>
  <c r="UK204" i="1"/>
  <c r="UJ204" i="1"/>
  <c r="UI204" i="1"/>
  <c r="UH204" i="1"/>
  <c r="UG204" i="1"/>
  <c r="UF204" i="1"/>
  <c r="UE204" i="1"/>
  <c r="UD204" i="1"/>
  <c r="UC204" i="1"/>
  <c r="UB204" i="1"/>
  <c r="UA204" i="1"/>
  <c r="TZ204" i="1"/>
  <c r="TX204" i="1"/>
  <c r="TW204" i="1"/>
  <c r="TV204" i="1"/>
  <c r="TU204" i="1"/>
  <c r="TT204" i="1"/>
  <c r="TS204" i="1"/>
  <c r="TP204" i="1"/>
  <c r="TO204" i="1"/>
  <c r="TN204" i="1"/>
  <c r="TM204" i="1"/>
  <c r="TJ204" i="1"/>
  <c r="TH204" i="1"/>
  <c r="TG204" i="1"/>
  <c r="TF204" i="1"/>
  <c r="TE204" i="1"/>
  <c r="TD204" i="1"/>
  <c r="TC204" i="1"/>
  <c r="TB204" i="1"/>
  <c r="TA204" i="1"/>
  <c r="SZ204" i="1"/>
  <c r="SY204" i="1"/>
  <c r="SX204" i="1"/>
  <c r="SW204" i="1"/>
  <c r="SU204" i="1"/>
  <c r="ST204" i="1"/>
  <c r="SS204" i="1"/>
  <c r="SR204" i="1"/>
  <c r="SQ204" i="1"/>
  <c r="SP204" i="1"/>
  <c r="SM204" i="1"/>
  <c r="SL204" i="1"/>
  <c r="SK204" i="1"/>
  <c r="SJ204" i="1"/>
  <c r="SG204" i="1"/>
  <c r="VN203" i="1"/>
  <c r="VM203" i="1"/>
  <c r="VL203" i="1"/>
  <c r="VK203" i="1"/>
  <c r="VJ203" i="1"/>
  <c r="VI203" i="1"/>
  <c r="VH203" i="1"/>
  <c r="VG203" i="1"/>
  <c r="VF203" i="1"/>
  <c r="VE203" i="1"/>
  <c r="VD203" i="1"/>
  <c r="VC203" i="1"/>
  <c r="VA203" i="1"/>
  <c r="UZ203" i="1"/>
  <c r="UY203" i="1"/>
  <c r="UX203" i="1"/>
  <c r="UW203" i="1"/>
  <c r="UV203" i="1"/>
  <c r="US203" i="1"/>
  <c r="UR203" i="1"/>
  <c r="UQ203" i="1"/>
  <c r="UP203" i="1"/>
  <c r="UM203" i="1"/>
  <c r="UK203" i="1"/>
  <c r="UJ203" i="1"/>
  <c r="UI203" i="1"/>
  <c r="UH203" i="1"/>
  <c r="UG203" i="1"/>
  <c r="UF203" i="1"/>
  <c r="UE203" i="1"/>
  <c r="UD203" i="1"/>
  <c r="UC203" i="1"/>
  <c r="UB203" i="1"/>
  <c r="UA203" i="1"/>
  <c r="TZ203" i="1"/>
  <c r="TX203" i="1"/>
  <c r="TW203" i="1"/>
  <c r="TV203" i="1"/>
  <c r="TU203" i="1"/>
  <c r="TT203" i="1"/>
  <c r="TS203" i="1"/>
  <c r="TP203" i="1"/>
  <c r="TO203" i="1"/>
  <c r="TN203" i="1"/>
  <c r="TM203" i="1"/>
  <c r="TJ203" i="1"/>
  <c r="TH203" i="1"/>
  <c r="TG203" i="1"/>
  <c r="TF203" i="1"/>
  <c r="TE203" i="1"/>
  <c r="TD203" i="1"/>
  <c r="TC203" i="1"/>
  <c r="TB203" i="1"/>
  <c r="TA203" i="1"/>
  <c r="SZ203" i="1"/>
  <c r="SY203" i="1"/>
  <c r="SX203" i="1"/>
  <c r="SW203" i="1"/>
  <c r="SU203" i="1"/>
  <c r="ST203" i="1"/>
  <c r="SS203" i="1"/>
  <c r="SR203" i="1"/>
  <c r="SQ203" i="1"/>
  <c r="SP203" i="1"/>
  <c r="SM203" i="1"/>
  <c r="SL203" i="1"/>
  <c r="SK203" i="1"/>
  <c r="SJ203" i="1"/>
  <c r="SG203" i="1"/>
  <c r="VN202" i="1"/>
  <c r="VM202" i="1"/>
  <c r="VL202" i="1"/>
  <c r="VK202" i="1"/>
  <c r="VJ202" i="1"/>
  <c r="VI202" i="1"/>
  <c r="VH202" i="1"/>
  <c r="VG202" i="1"/>
  <c r="VF202" i="1"/>
  <c r="VE202" i="1"/>
  <c r="VD202" i="1"/>
  <c r="VC202" i="1"/>
  <c r="VA202" i="1"/>
  <c r="UZ202" i="1"/>
  <c r="UY202" i="1"/>
  <c r="UX202" i="1"/>
  <c r="UW202" i="1"/>
  <c r="UV202" i="1"/>
  <c r="US202" i="1"/>
  <c r="UR202" i="1"/>
  <c r="UQ202" i="1"/>
  <c r="UP202" i="1"/>
  <c r="UM202" i="1"/>
  <c r="UK202" i="1"/>
  <c r="UJ202" i="1"/>
  <c r="UI202" i="1"/>
  <c r="UH202" i="1"/>
  <c r="UG202" i="1"/>
  <c r="UF202" i="1"/>
  <c r="UE202" i="1"/>
  <c r="UD202" i="1"/>
  <c r="UC202" i="1"/>
  <c r="UB202" i="1"/>
  <c r="UA202" i="1"/>
  <c r="TZ202" i="1"/>
  <c r="TX202" i="1"/>
  <c r="TW202" i="1"/>
  <c r="TV202" i="1"/>
  <c r="TU202" i="1"/>
  <c r="TT202" i="1"/>
  <c r="TS202" i="1"/>
  <c r="TP202" i="1"/>
  <c r="TO202" i="1"/>
  <c r="TN202" i="1"/>
  <c r="TM202" i="1"/>
  <c r="TJ202" i="1"/>
  <c r="TH202" i="1"/>
  <c r="TG202" i="1"/>
  <c r="TF202" i="1"/>
  <c r="TE202" i="1"/>
  <c r="TD202" i="1"/>
  <c r="TC202" i="1"/>
  <c r="TB202" i="1"/>
  <c r="TA202" i="1"/>
  <c r="SZ202" i="1"/>
  <c r="SY202" i="1"/>
  <c r="SX202" i="1"/>
  <c r="SW202" i="1"/>
  <c r="SU202" i="1"/>
  <c r="ST202" i="1"/>
  <c r="SS202" i="1"/>
  <c r="SR202" i="1"/>
  <c r="SQ202" i="1"/>
  <c r="SP202" i="1"/>
  <c r="SM202" i="1"/>
  <c r="SL202" i="1"/>
  <c r="SK202" i="1"/>
  <c r="SJ202" i="1"/>
  <c r="SG202" i="1"/>
  <c r="VN201" i="1"/>
  <c r="VM201" i="1"/>
  <c r="VL201" i="1"/>
  <c r="VK201" i="1"/>
  <c r="VJ201" i="1"/>
  <c r="VI201" i="1"/>
  <c r="VH201" i="1"/>
  <c r="VG201" i="1"/>
  <c r="VF201" i="1"/>
  <c r="VE201" i="1"/>
  <c r="VD201" i="1"/>
  <c r="VC201" i="1"/>
  <c r="VA201" i="1"/>
  <c r="UZ201" i="1"/>
  <c r="UY201" i="1"/>
  <c r="UX201" i="1"/>
  <c r="UW201" i="1"/>
  <c r="UV201" i="1"/>
  <c r="US201" i="1"/>
  <c r="UR201" i="1"/>
  <c r="UQ201" i="1"/>
  <c r="UP201" i="1"/>
  <c r="UM201" i="1"/>
  <c r="UK201" i="1"/>
  <c r="UJ201" i="1"/>
  <c r="UI201" i="1"/>
  <c r="UH201" i="1"/>
  <c r="UG201" i="1"/>
  <c r="UF201" i="1"/>
  <c r="UE201" i="1"/>
  <c r="UD201" i="1"/>
  <c r="UC201" i="1"/>
  <c r="UB201" i="1"/>
  <c r="UA201" i="1"/>
  <c r="TZ201" i="1"/>
  <c r="TX201" i="1"/>
  <c r="TW201" i="1"/>
  <c r="TV201" i="1"/>
  <c r="TU201" i="1"/>
  <c r="TT201" i="1"/>
  <c r="TS201" i="1"/>
  <c r="TP201" i="1"/>
  <c r="TO201" i="1"/>
  <c r="TN201" i="1"/>
  <c r="TM201" i="1"/>
  <c r="TJ201" i="1"/>
  <c r="TH201" i="1"/>
  <c r="TG201" i="1"/>
  <c r="TF201" i="1"/>
  <c r="TE201" i="1"/>
  <c r="TD201" i="1"/>
  <c r="TC201" i="1"/>
  <c r="TB201" i="1"/>
  <c r="TA201" i="1"/>
  <c r="SZ201" i="1"/>
  <c r="SY201" i="1"/>
  <c r="SX201" i="1"/>
  <c r="SW201" i="1"/>
  <c r="SU201" i="1"/>
  <c r="ST201" i="1"/>
  <c r="SS201" i="1"/>
  <c r="SR201" i="1"/>
  <c r="SQ201" i="1"/>
  <c r="SP201" i="1"/>
  <c r="SM201" i="1"/>
  <c r="SL201" i="1"/>
  <c r="SK201" i="1"/>
  <c r="SJ201" i="1"/>
  <c r="SG201" i="1"/>
  <c r="VN200" i="1"/>
  <c r="VM200" i="1"/>
  <c r="VL200" i="1"/>
  <c r="VK200" i="1"/>
  <c r="VJ200" i="1"/>
  <c r="VI200" i="1"/>
  <c r="VH200" i="1"/>
  <c r="VG200" i="1"/>
  <c r="VF200" i="1"/>
  <c r="VE200" i="1"/>
  <c r="VD200" i="1"/>
  <c r="VC200" i="1"/>
  <c r="VA200" i="1"/>
  <c r="UZ200" i="1"/>
  <c r="UY200" i="1"/>
  <c r="UX200" i="1"/>
  <c r="UW200" i="1"/>
  <c r="UV200" i="1"/>
  <c r="US200" i="1"/>
  <c r="UR200" i="1"/>
  <c r="UQ200" i="1"/>
  <c r="UP200" i="1"/>
  <c r="UM200" i="1"/>
  <c r="UK200" i="1"/>
  <c r="UJ200" i="1"/>
  <c r="UI200" i="1"/>
  <c r="UH200" i="1"/>
  <c r="UG200" i="1"/>
  <c r="UF200" i="1"/>
  <c r="UE200" i="1"/>
  <c r="UD200" i="1"/>
  <c r="UC200" i="1"/>
  <c r="UB200" i="1"/>
  <c r="UA200" i="1"/>
  <c r="TZ200" i="1"/>
  <c r="TX200" i="1"/>
  <c r="TW200" i="1"/>
  <c r="TV200" i="1"/>
  <c r="TU200" i="1"/>
  <c r="TT200" i="1"/>
  <c r="TS200" i="1"/>
  <c r="TP200" i="1"/>
  <c r="TO200" i="1"/>
  <c r="TN200" i="1"/>
  <c r="TM200" i="1"/>
  <c r="TJ200" i="1"/>
  <c r="TH200" i="1"/>
  <c r="TG200" i="1"/>
  <c r="TF200" i="1"/>
  <c r="TE200" i="1"/>
  <c r="TD200" i="1"/>
  <c r="TC200" i="1"/>
  <c r="TB200" i="1"/>
  <c r="TA200" i="1"/>
  <c r="SZ200" i="1"/>
  <c r="SY200" i="1"/>
  <c r="SX200" i="1"/>
  <c r="SW200" i="1"/>
  <c r="SU200" i="1"/>
  <c r="ST200" i="1"/>
  <c r="SS200" i="1"/>
  <c r="SR200" i="1"/>
  <c r="SQ200" i="1"/>
  <c r="SP200" i="1"/>
  <c r="SM200" i="1"/>
  <c r="SL200" i="1"/>
  <c r="SK200" i="1"/>
  <c r="SJ200" i="1"/>
  <c r="SG200" i="1"/>
  <c r="VN199" i="1"/>
  <c r="VM199" i="1"/>
  <c r="VL199" i="1"/>
  <c r="VK199" i="1"/>
  <c r="VJ199" i="1"/>
  <c r="VI199" i="1"/>
  <c r="VH199" i="1"/>
  <c r="VG199" i="1"/>
  <c r="VF199" i="1"/>
  <c r="VE199" i="1"/>
  <c r="VD199" i="1"/>
  <c r="VC199" i="1"/>
  <c r="VA199" i="1"/>
  <c r="UZ199" i="1"/>
  <c r="UY199" i="1"/>
  <c r="UX199" i="1"/>
  <c r="UW199" i="1"/>
  <c r="UV199" i="1"/>
  <c r="US199" i="1"/>
  <c r="UR199" i="1"/>
  <c r="UQ199" i="1"/>
  <c r="UP199" i="1"/>
  <c r="UM199" i="1"/>
  <c r="UK199" i="1"/>
  <c r="UJ199" i="1"/>
  <c r="UI199" i="1"/>
  <c r="UH199" i="1"/>
  <c r="UG199" i="1"/>
  <c r="UF199" i="1"/>
  <c r="UE199" i="1"/>
  <c r="UD199" i="1"/>
  <c r="UC199" i="1"/>
  <c r="UB199" i="1"/>
  <c r="UA199" i="1"/>
  <c r="TZ199" i="1"/>
  <c r="TX199" i="1"/>
  <c r="TW199" i="1"/>
  <c r="TV199" i="1"/>
  <c r="TU199" i="1"/>
  <c r="TT199" i="1"/>
  <c r="TS199" i="1"/>
  <c r="TP199" i="1"/>
  <c r="TO199" i="1"/>
  <c r="TN199" i="1"/>
  <c r="TM199" i="1"/>
  <c r="TJ199" i="1"/>
  <c r="TH199" i="1"/>
  <c r="TG199" i="1"/>
  <c r="TF199" i="1"/>
  <c r="TE199" i="1"/>
  <c r="TD199" i="1"/>
  <c r="TC199" i="1"/>
  <c r="TB199" i="1"/>
  <c r="TA199" i="1"/>
  <c r="SZ199" i="1"/>
  <c r="SY199" i="1"/>
  <c r="SX199" i="1"/>
  <c r="SW199" i="1"/>
  <c r="SU199" i="1"/>
  <c r="ST199" i="1"/>
  <c r="SS199" i="1"/>
  <c r="SR199" i="1"/>
  <c r="SQ199" i="1"/>
  <c r="SP199" i="1"/>
  <c r="SM199" i="1"/>
  <c r="SL199" i="1"/>
  <c r="SK199" i="1"/>
  <c r="SJ199" i="1"/>
  <c r="SG199" i="1"/>
  <c r="VN198" i="1"/>
  <c r="VM198" i="1"/>
  <c r="VL198" i="1"/>
  <c r="VK198" i="1"/>
  <c r="VJ198" i="1"/>
  <c r="VI198" i="1"/>
  <c r="VH198" i="1"/>
  <c r="VG198" i="1"/>
  <c r="VF198" i="1"/>
  <c r="VE198" i="1"/>
  <c r="VD198" i="1"/>
  <c r="VC198" i="1"/>
  <c r="VA198" i="1"/>
  <c r="UZ198" i="1"/>
  <c r="UY198" i="1"/>
  <c r="UX198" i="1"/>
  <c r="UW198" i="1"/>
  <c r="UV198" i="1"/>
  <c r="US198" i="1"/>
  <c r="UR198" i="1"/>
  <c r="UQ198" i="1"/>
  <c r="UP198" i="1"/>
  <c r="UM198" i="1"/>
  <c r="UK198" i="1"/>
  <c r="UJ198" i="1"/>
  <c r="UI198" i="1"/>
  <c r="UH198" i="1"/>
  <c r="UG198" i="1"/>
  <c r="UF198" i="1"/>
  <c r="UE198" i="1"/>
  <c r="UD198" i="1"/>
  <c r="UC198" i="1"/>
  <c r="UB198" i="1"/>
  <c r="UA198" i="1"/>
  <c r="TZ198" i="1"/>
  <c r="TX198" i="1"/>
  <c r="TW198" i="1"/>
  <c r="TV198" i="1"/>
  <c r="TU198" i="1"/>
  <c r="TT198" i="1"/>
  <c r="TS198" i="1"/>
  <c r="TP198" i="1"/>
  <c r="TO198" i="1"/>
  <c r="TN198" i="1"/>
  <c r="TM198" i="1"/>
  <c r="TJ198" i="1"/>
  <c r="TH198" i="1"/>
  <c r="TG198" i="1"/>
  <c r="TF198" i="1"/>
  <c r="TE198" i="1"/>
  <c r="TD198" i="1"/>
  <c r="TC198" i="1"/>
  <c r="TB198" i="1"/>
  <c r="TA198" i="1"/>
  <c r="SZ198" i="1"/>
  <c r="SY198" i="1"/>
  <c r="SX198" i="1"/>
  <c r="SW198" i="1"/>
  <c r="SU198" i="1"/>
  <c r="ST198" i="1"/>
  <c r="SS198" i="1"/>
  <c r="SR198" i="1"/>
  <c r="SQ198" i="1"/>
  <c r="SP198" i="1"/>
  <c r="SM198" i="1"/>
  <c r="SL198" i="1"/>
  <c r="SK198" i="1"/>
  <c r="SJ198" i="1"/>
  <c r="SG198" i="1"/>
  <c r="VN197" i="1"/>
  <c r="VM197" i="1"/>
  <c r="VL197" i="1"/>
  <c r="VK197" i="1"/>
  <c r="VJ197" i="1"/>
  <c r="VI197" i="1"/>
  <c r="VH197" i="1"/>
  <c r="VG197" i="1"/>
  <c r="VF197" i="1"/>
  <c r="VE197" i="1"/>
  <c r="VD197" i="1"/>
  <c r="VC197" i="1"/>
  <c r="VA197" i="1"/>
  <c r="UZ197" i="1"/>
  <c r="UY197" i="1"/>
  <c r="UX197" i="1"/>
  <c r="UW197" i="1"/>
  <c r="UV197" i="1"/>
  <c r="US197" i="1"/>
  <c r="UR197" i="1"/>
  <c r="UQ197" i="1"/>
  <c r="UP197" i="1"/>
  <c r="UM197" i="1"/>
  <c r="UK197" i="1"/>
  <c r="UJ197" i="1"/>
  <c r="UI197" i="1"/>
  <c r="UH197" i="1"/>
  <c r="UG197" i="1"/>
  <c r="UF197" i="1"/>
  <c r="UE197" i="1"/>
  <c r="UD197" i="1"/>
  <c r="UC197" i="1"/>
  <c r="UB197" i="1"/>
  <c r="UA197" i="1"/>
  <c r="TZ197" i="1"/>
  <c r="TX197" i="1"/>
  <c r="TW197" i="1"/>
  <c r="TV197" i="1"/>
  <c r="TU197" i="1"/>
  <c r="TT197" i="1"/>
  <c r="TS197" i="1"/>
  <c r="TP197" i="1"/>
  <c r="TO197" i="1"/>
  <c r="TN197" i="1"/>
  <c r="TM197" i="1"/>
  <c r="TJ197" i="1"/>
  <c r="TH197" i="1"/>
  <c r="TG197" i="1"/>
  <c r="TF197" i="1"/>
  <c r="TE197" i="1"/>
  <c r="TD197" i="1"/>
  <c r="TC197" i="1"/>
  <c r="TB197" i="1"/>
  <c r="TA197" i="1"/>
  <c r="SZ197" i="1"/>
  <c r="SY197" i="1"/>
  <c r="SX197" i="1"/>
  <c r="SW197" i="1"/>
  <c r="SU197" i="1"/>
  <c r="ST197" i="1"/>
  <c r="SS197" i="1"/>
  <c r="SR197" i="1"/>
  <c r="SQ197" i="1"/>
  <c r="SP197" i="1"/>
  <c r="SM197" i="1"/>
  <c r="SL197" i="1"/>
  <c r="SK197" i="1"/>
  <c r="SJ197" i="1"/>
  <c r="SG197" i="1"/>
  <c r="VN196" i="1"/>
  <c r="VM196" i="1"/>
  <c r="VL196" i="1"/>
  <c r="VK196" i="1"/>
  <c r="VJ196" i="1"/>
  <c r="VI196" i="1"/>
  <c r="VH196" i="1"/>
  <c r="VG196" i="1"/>
  <c r="VF196" i="1"/>
  <c r="VE196" i="1"/>
  <c r="VD196" i="1"/>
  <c r="VC196" i="1"/>
  <c r="VA196" i="1"/>
  <c r="UZ196" i="1"/>
  <c r="UY196" i="1"/>
  <c r="UX196" i="1"/>
  <c r="UW196" i="1"/>
  <c r="UV196" i="1"/>
  <c r="US196" i="1"/>
  <c r="UR196" i="1"/>
  <c r="UQ196" i="1"/>
  <c r="UP196" i="1"/>
  <c r="UM196" i="1"/>
  <c r="UK196" i="1"/>
  <c r="UJ196" i="1"/>
  <c r="UI196" i="1"/>
  <c r="UH196" i="1"/>
  <c r="UG196" i="1"/>
  <c r="UF196" i="1"/>
  <c r="UE196" i="1"/>
  <c r="UD196" i="1"/>
  <c r="UC196" i="1"/>
  <c r="UB196" i="1"/>
  <c r="UA196" i="1"/>
  <c r="TZ196" i="1"/>
  <c r="TX196" i="1"/>
  <c r="TW196" i="1"/>
  <c r="TV196" i="1"/>
  <c r="TU196" i="1"/>
  <c r="TT196" i="1"/>
  <c r="TS196" i="1"/>
  <c r="TP196" i="1"/>
  <c r="TO196" i="1"/>
  <c r="TN196" i="1"/>
  <c r="TM196" i="1"/>
  <c r="TJ196" i="1"/>
  <c r="TH196" i="1"/>
  <c r="TG196" i="1"/>
  <c r="TF196" i="1"/>
  <c r="TE196" i="1"/>
  <c r="TD196" i="1"/>
  <c r="TC196" i="1"/>
  <c r="TB196" i="1"/>
  <c r="TA196" i="1"/>
  <c r="SZ196" i="1"/>
  <c r="SY196" i="1"/>
  <c r="SX196" i="1"/>
  <c r="SW196" i="1"/>
  <c r="SU196" i="1"/>
  <c r="ST196" i="1"/>
  <c r="SS196" i="1"/>
  <c r="SR196" i="1"/>
  <c r="SQ196" i="1"/>
  <c r="SP196" i="1"/>
  <c r="SM196" i="1"/>
  <c r="SL196" i="1"/>
  <c r="SK196" i="1"/>
  <c r="SJ196" i="1"/>
  <c r="SG196" i="1"/>
  <c r="VN195" i="1"/>
  <c r="VM195" i="1"/>
  <c r="VL195" i="1"/>
  <c r="VK195" i="1"/>
  <c r="VJ195" i="1"/>
  <c r="VI195" i="1"/>
  <c r="VH195" i="1"/>
  <c r="VG195" i="1"/>
  <c r="VF195" i="1"/>
  <c r="VE195" i="1"/>
  <c r="VD195" i="1"/>
  <c r="VC195" i="1"/>
  <c r="VA195" i="1"/>
  <c r="UZ195" i="1"/>
  <c r="UY195" i="1"/>
  <c r="UX195" i="1"/>
  <c r="UW195" i="1"/>
  <c r="UV195" i="1"/>
  <c r="US195" i="1"/>
  <c r="UR195" i="1"/>
  <c r="UQ195" i="1"/>
  <c r="UP195" i="1"/>
  <c r="UM195" i="1"/>
  <c r="UK195" i="1"/>
  <c r="UJ195" i="1"/>
  <c r="UI195" i="1"/>
  <c r="UH195" i="1"/>
  <c r="UG195" i="1"/>
  <c r="UF195" i="1"/>
  <c r="UE195" i="1"/>
  <c r="UD195" i="1"/>
  <c r="UC195" i="1"/>
  <c r="UB195" i="1"/>
  <c r="UA195" i="1"/>
  <c r="TZ195" i="1"/>
  <c r="TX195" i="1"/>
  <c r="TW195" i="1"/>
  <c r="TV195" i="1"/>
  <c r="TU195" i="1"/>
  <c r="TT195" i="1"/>
  <c r="TS195" i="1"/>
  <c r="TP195" i="1"/>
  <c r="TO195" i="1"/>
  <c r="TN195" i="1"/>
  <c r="TM195" i="1"/>
  <c r="TJ195" i="1"/>
  <c r="TH195" i="1"/>
  <c r="TG195" i="1"/>
  <c r="TF195" i="1"/>
  <c r="TE195" i="1"/>
  <c r="TD195" i="1"/>
  <c r="TC195" i="1"/>
  <c r="TB195" i="1"/>
  <c r="TA195" i="1"/>
  <c r="SZ195" i="1"/>
  <c r="SY195" i="1"/>
  <c r="SX195" i="1"/>
  <c r="SW195" i="1"/>
  <c r="SU195" i="1"/>
  <c r="ST195" i="1"/>
  <c r="SS195" i="1"/>
  <c r="SR195" i="1"/>
  <c r="SQ195" i="1"/>
  <c r="SP195" i="1"/>
  <c r="SM195" i="1"/>
  <c r="SL195" i="1"/>
  <c r="SK195" i="1"/>
  <c r="SJ195" i="1"/>
  <c r="SG195" i="1"/>
  <c r="VN194" i="1"/>
  <c r="VM194" i="1"/>
  <c r="VL194" i="1"/>
  <c r="VK194" i="1"/>
  <c r="VJ194" i="1"/>
  <c r="VI194" i="1"/>
  <c r="VH194" i="1"/>
  <c r="VG194" i="1"/>
  <c r="VF194" i="1"/>
  <c r="VE194" i="1"/>
  <c r="VD194" i="1"/>
  <c r="VC194" i="1"/>
  <c r="VA194" i="1"/>
  <c r="UZ194" i="1"/>
  <c r="UY194" i="1"/>
  <c r="UX194" i="1"/>
  <c r="UW194" i="1"/>
  <c r="UV194" i="1"/>
  <c r="US194" i="1"/>
  <c r="UR194" i="1"/>
  <c r="UQ194" i="1"/>
  <c r="UP194" i="1"/>
  <c r="UM194" i="1"/>
  <c r="UK194" i="1"/>
  <c r="UJ194" i="1"/>
  <c r="UI194" i="1"/>
  <c r="UH194" i="1"/>
  <c r="UG194" i="1"/>
  <c r="UF194" i="1"/>
  <c r="UE194" i="1"/>
  <c r="UD194" i="1"/>
  <c r="UC194" i="1"/>
  <c r="UB194" i="1"/>
  <c r="UA194" i="1"/>
  <c r="TZ194" i="1"/>
  <c r="TX194" i="1"/>
  <c r="TW194" i="1"/>
  <c r="TV194" i="1"/>
  <c r="TU194" i="1"/>
  <c r="TT194" i="1"/>
  <c r="TS194" i="1"/>
  <c r="TP194" i="1"/>
  <c r="TO194" i="1"/>
  <c r="TN194" i="1"/>
  <c r="TM194" i="1"/>
  <c r="TJ194" i="1"/>
  <c r="TH194" i="1"/>
  <c r="TG194" i="1"/>
  <c r="TF194" i="1"/>
  <c r="TE194" i="1"/>
  <c r="TD194" i="1"/>
  <c r="TC194" i="1"/>
  <c r="TB194" i="1"/>
  <c r="TA194" i="1"/>
  <c r="SZ194" i="1"/>
  <c r="SY194" i="1"/>
  <c r="SX194" i="1"/>
  <c r="SW194" i="1"/>
  <c r="SU194" i="1"/>
  <c r="ST194" i="1"/>
  <c r="SS194" i="1"/>
  <c r="SR194" i="1"/>
  <c r="SQ194" i="1"/>
  <c r="SP194" i="1"/>
  <c r="SM194" i="1"/>
  <c r="SL194" i="1"/>
  <c r="SK194" i="1"/>
  <c r="SJ194" i="1"/>
  <c r="SG194" i="1"/>
  <c r="VN193" i="1"/>
  <c r="VM193" i="1"/>
  <c r="VL193" i="1"/>
  <c r="VK193" i="1"/>
  <c r="VJ193" i="1"/>
  <c r="VI193" i="1"/>
  <c r="VH193" i="1"/>
  <c r="VG193" i="1"/>
  <c r="VF193" i="1"/>
  <c r="VE193" i="1"/>
  <c r="VD193" i="1"/>
  <c r="VC193" i="1"/>
  <c r="VA193" i="1"/>
  <c r="UZ193" i="1"/>
  <c r="UY193" i="1"/>
  <c r="UX193" i="1"/>
  <c r="UW193" i="1"/>
  <c r="UV193" i="1"/>
  <c r="US193" i="1"/>
  <c r="UR193" i="1"/>
  <c r="UQ193" i="1"/>
  <c r="UP193" i="1"/>
  <c r="UM193" i="1"/>
  <c r="UK193" i="1"/>
  <c r="UJ193" i="1"/>
  <c r="UI193" i="1"/>
  <c r="UH193" i="1"/>
  <c r="UG193" i="1"/>
  <c r="UF193" i="1"/>
  <c r="UE193" i="1"/>
  <c r="UD193" i="1"/>
  <c r="UC193" i="1"/>
  <c r="UB193" i="1"/>
  <c r="UA193" i="1"/>
  <c r="TZ193" i="1"/>
  <c r="TX193" i="1"/>
  <c r="TW193" i="1"/>
  <c r="TV193" i="1"/>
  <c r="TU193" i="1"/>
  <c r="TT193" i="1"/>
  <c r="TS193" i="1"/>
  <c r="TP193" i="1"/>
  <c r="TO193" i="1"/>
  <c r="TN193" i="1"/>
  <c r="TM193" i="1"/>
  <c r="TJ193" i="1"/>
  <c r="TH193" i="1"/>
  <c r="TG193" i="1"/>
  <c r="TF193" i="1"/>
  <c r="TE193" i="1"/>
  <c r="TD193" i="1"/>
  <c r="TC193" i="1"/>
  <c r="TB193" i="1"/>
  <c r="TA193" i="1"/>
  <c r="SZ193" i="1"/>
  <c r="SY193" i="1"/>
  <c r="SX193" i="1"/>
  <c r="SW193" i="1"/>
  <c r="SU193" i="1"/>
  <c r="ST193" i="1"/>
  <c r="SS193" i="1"/>
  <c r="SR193" i="1"/>
  <c r="SQ193" i="1"/>
  <c r="SP193" i="1"/>
  <c r="SM193" i="1"/>
  <c r="SL193" i="1"/>
  <c r="SK193" i="1"/>
  <c r="SJ193" i="1"/>
  <c r="SG193" i="1"/>
  <c r="VN192" i="1"/>
  <c r="VM192" i="1"/>
  <c r="VL192" i="1"/>
  <c r="VK192" i="1"/>
  <c r="VJ192" i="1"/>
  <c r="VI192" i="1"/>
  <c r="VH192" i="1"/>
  <c r="VG192" i="1"/>
  <c r="VF192" i="1"/>
  <c r="VE192" i="1"/>
  <c r="VD192" i="1"/>
  <c r="VC192" i="1"/>
  <c r="VA192" i="1"/>
  <c r="UZ192" i="1"/>
  <c r="UY192" i="1"/>
  <c r="UX192" i="1"/>
  <c r="UW192" i="1"/>
  <c r="UV192" i="1"/>
  <c r="US192" i="1"/>
  <c r="UR192" i="1"/>
  <c r="UQ192" i="1"/>
  <c r="UP192" i="1"/>
  <c r="UM192" i="1"/>
  <c r="UK192" i="1"/>
  <c r="UJ192" i="1"/>
  <c r="UI192" i="1"/>
  <c r="UH192" i="1"/>
  <c r="UG192" i="1"/>
  <c r="UF192" i="1"/>
  <c r="UE192" i="1"/>
  <c r="UD192" i="1"/>
  <c r="UC192" i="1"/>
  <c r="UB192" i="1"/>
  <c r="UA192" i="1"/>
  <c r="TZ192" i="1"/>
  <c r="TX192" i="1"/>
  <c r="TW192" i="1"/>
  <c r="TV192" i="1"/>
  <c r="TU192" i="1"/>
  <c r="TT192" i="1"/>
  <c r="TS192" i="1"/>
  <c r="TP192" i="1"/>
  <c r="TO192" i="1"/>
  <c r="TN192" i="1"/>
  <c r="TM192" i="1"/>
  <c r="TJ192" i="1"/>
  <c r="TH192" i="1"/>
  <c r="TG192" i="1"/>
  <c r="TF192" i="1"/>
  <c r="TE192" i="1"/>
  <c r="TD192" i="1"/>
  <c r="TC192" i="1"/>
  <c r="TB192" i="1"/>
  <c r="TA192" i="1"/>
  <c r="SZ192" i="1"/>
  <c r="SY192" i="1"/>
  <c r="SX192" i="1"/>
  <c r="SW192" i="1"/>
  <c r="SU192" i="1"/>
  <c r="ST192" i="1"/>
  <c r="SS192" i="1"/>
  <c r="SR192" i="1"/>
  <c r="SQ192" i="1"/>
  <c r="SP192" i="1"/>
  <c r="SM192" i="1"/>
  <c r="SL192" i="1"/>
  <c r="SK192" i="1"/>
  <c r="SJ192" i="1"/>
  <c r="SG192" i="1"/>
  <c r="VN191" i="1"/>
  <c r="VM191" i="1"/>
  <c r="VL191" i="1"/>
  <c r="VK191" i="1"/>
  <c r="VJ191" i="1"/>
  <c r="VI191" i="1"/>
  <c r="VH191" i="1"/>
  <c r="VG191" i="1"/>
  <c r="VF191" i="1"/>
  <c r="VE191" i="1"/>
  <c r="VD191" i="1"/>
  <c r="VC191" i="1"/>
  <c r="VA191" i="1"/>
  <c r="UZ191" i="1"/>
  <c r="UY191" i="1"/>
  <c r="UX191" i="1"/>
  <c r="UW191" i="1"/>
  <c r="UV191" i="1"/>
  <c r="US191" i="1"/>
  <c r="UR191" i="1"/>
  <c r="UQ191" i="1"/>
  <c r="UP191" i="1"/>
  <c r="UM191" i="1"/>
  <c r="UK191" i="1"/>
  <c r="UJ191" i="1"/>
  <c r="UI191" i="1"/>
  <c r="UH191" i="1"/>
  <c r="UG191" i="1"/>
  <c r="UF191" i="1"/>
  <c r="UE191" i="1"/>
  <c r="UD191" i="1"/>
  <c r="UC191" i="1"/>
  <c r="UB191" i="1"/>
  <c r="UA191" i="1"/>
  <c r="TZ191" i="1"/>
  <c r="TX191" i="1"/>
  <c r="TW191" i="1"/>
  <c r="TV191" i="1"/>
  <c r="TU191" i="1"/>
  <c r="TT191" i="1"/>
  <c r="TS191" i="1"/>
  <c r="TP191" i="1"/>
  <c r="TO191" i="1"/>
  <c r="TN191" i="1"/>
  <c r="TM191" i="1"/>
  <c r="TJ191" i="1"/>
  <c r="TH191" i="1"/>
  <c r="TG191" i="1"/>
  <c r="TF191" i="1"/>
  <c r="TE191" i="1"/>
  <c r="TD191" i="1"/>
  <c r="TC191" i="1"/>
  <c r="TB191" i="1"/>
  <c r="TA191" i="1"/>
  <c r="SZ191" i="1"/>
  <c r="SY191" i="1"/>
  <c r="SX191" i="1"/>
  <c r="SW191" i="1"/>
  <c r="SU191" i="1"/>
  <c r="ST191" i="1"/>
  <c r="SS191" i="1"/>
  <c r="SR191" i="1"/>
  <c r="SQ191" i="1"/>
  <c r="SP191" i="1"/>
  <c r="SM191" i="1"/>
  <c r="SL191" i="1"/>
  <c r="SK191" i="1"/>
  <c r="SJ191" i="1"/>
  <c r="SG191" i="1"/>
  <c r="VN190" i="1"/>
  <c r="VM190" i="1"/>
  <c r="VL190" i="1"/>
  <c r="VK190" i="1"/>
  <c r="VJ190" i="1"/>
  <c r="VI190" i="1"/>
  <c r="VH190" i="1"/>
  <c r="VG190" i="1"/>
  <c r="VF190" i="1"/>
  <c r="VE190" i="1"/>
  <c r="VD190" i="1"/>
  <c r="VC190" i="1"/>
  <c r="VA190" i="1"/>
  <c r="UZ190" i="1"/>
  <c r="UY190" i="1"/>
  <c r="UX190" i="1"/>
  <c r="UW190" i="1"/>
  <c r="UV190" i="1"/>
  <c r="US190" i="1"/>
  <c r="UR190" i="1"/>
  <c r="UQ190" i="1"/>
  <c r="UP190" i="1"/>
  <c r="UM190" i="1"/>
  <c r="UK190" i="1"/>
  <c r="UJ190" i="1"/>
  <c r="UI190" i="1"/>
  <c r="UH190" i="1"/>
  <c r="UG190" i="1"/>
  <c r="UF190" i="1"/>
  <c r="UE190" i="1"/>
  <c r="UD190" i="1"/>
  <c r="UC190" i="1"/>
  <c r="UB190" i="1"/>
  <c r="UA190" i="1"/>
  <c r="TZ190" i="1"/>
  <c r="TX190" i="1"/>
  <c r="TW190" i="1"/>
  <c r="TV190" i="1"/>
  <c r="TU190" i="1"/>
  <c r="TT190" i="1"/>
  <c r="TS190" i="1"/>
  <c r="TP190" i="1"/>
  <c r="TO190" i="1"/>
  <c r="TN190" i="1"/>
  <c r="TM190" i="1"/>
  <c r="TJ190" i="1"/>
  <c r="TH190" i="1"/>
  <c r="TG190" i="1"/>
  <c r="TF190" i="1"/>
  <c r="TE190" i="1"/>
  <c r="TD190" i="1"/>
  <c r="TC190" i="1"/>
  <c r="TB190" i="1"/>
  <c r="TA190" i="1"/>
  <c r="SZ190" i="1"/>
  <c r="SY190" i="1"/>
  <c r="SX190" i="1"/>
  <c r="SW190" i="1"/>
  <c r="SU190" i="1"/>
  <c r="ST190" i="1"/>
  <c r="SS190" i="1"/>
  <c r="SR190" i="1"/>
  <c r="SQ190" i="1"/>
  <c r="SP190" i="1"/>
  <c r="SM190" i="1"/>
  <c r="SL190" i="1"/>
  <c r="SK190" i="1"/>
  <c r="SJ190" i="1"/>
  <c r="SG190" i="1"/>
  <c r="VN189" i="1"/>
  <c r="VM189" i="1"/>
  <c r="VL189" i="1"/>
  <c r="VK189" i="1"/>
  <c r="VJ189" i="1"/>
  <c r="VI189" i="1"/>
  <c r="VH189" i="1"/>
  <c r="VG189" i="1"/>
  <c r="VF189" i="1"/>
  <c r="VE189" i="1"/>
  <c r="VD189" i="1"/>
  <c r="VC189" i="1"/>
  <c r="VA189" i="1"/>
  <c r="UZ189" i="1"/>
  <c r="UY189" i="1"/>
  <c r="UX189" i="1"/>
  <c r="UW189" i="1"/>
  <c r="UV189" i="1"/>
  <c r="US189" i="1"/>
  <c r="UR189" i="1"/>
  <c r="UQ189" i="1"/>
  <c r="UP189" i="1"/>
  <c r="UM189" i="1"/>
  <c r="UK189" i="1"/>
  <c r="UJ189" i="1"/>
  <c r="UI189" i="1"/>
  <c r="UH189" i="1"/>
  <c r="UG189" i="1"/>
  <c r="UF189" i="1"/>
  <c r="UE189" i="1"/>
  <c r="UD189" i="1"/>
  <c r="UC189" i="1"/>
  <c r="UB189" i="1"/>
  <c r="UA189" i="1"/>
  <c r="TZ189" i="1"/>
  <c r="TX189" i="1"/>
  <c r="TW189" i="1"/>
  <c r="TV189" i="1"/>
  <c r="TU189" i="1"/>
  <c r="TT189" i="1"/>
  <c r="TS189" i="1"/>
  <c r="TP189" i="1"/>
  <c r="TO189" i="1"/>
  <c r="TN189" i="1"/>
  <c r="TM189" i="1"/>
  <c r="TJ189" i="1"/>
  <c r="TH189" i="1"/>
  <c r="TG189" i="1"/>
  <c r="TF189" i="1"/>
  <c r="TE189" i="1"/>
  <c r="TD189" i="1"/>
  <c r="TC189" i="1"/>
  <c r="TB189" i="1"/>
  <c r="TA189" i="1"/>
  <c r="SZ189" i="1"/>
  <c r="SY189" i="1"/>
  <c r="SX189" i="1"/>
  <c r="SW189" i="1"/>
  <c r="SU189" i="1"/>
  <c r="ST189" i="1"/>
  <c r="SS189" i="1"/>
  <c r="SR189" i="1"/>
  <c r="SQ189" i="1"/>
  <c r="SP189" i="1"/>
  <c r="SM189" i="1"/>
  <c r="SL189" i="1"/>
  <c r="SK189" i="1"/>
  <c r="SJ189" i="1"/>
  <c r="SG189" i="1"/>
  <c r="VN188" i="1"/>
  <c r="VM188" i="1"/>
  <c r="VL188" i="1"/>
  <c r="VK188" i="1"/>
  <c r="VJ188" i="1"/>
  <c r="VI188" i="1"/>
  <c r="VH188" i="1"/>
  <c r="VG188" i="1"/>
  <c r="VF188" i="1"/>
  <c r="VE188" i="1"/>
  <c r="VD188" i="1"/>
  <c r="VC188" i="1"/>
  <c r="VA188" i="1"/>
  <c r="UZ188" i="1"/>
  <c r="UY188" i="1"/>
  <c r="UX188" i="1"/>
  <c r="UW188" i="1"/>
  <c r="UV188" i="1"/>
  <c r="US188" i="1"/>
  <c r="UR188" i="1"/>
  <c r="UQ188" i="1"/>
  <c r="UP188" i="1"/>
  <c r="UM188" i="1"/>
  <c r="UK188" i="1"/>
  <c r="UJ188" i="1"/>
  <c r="UI188" i="1"/>
  <c r="UH188" i="1"/>
  <c r="UG188" i="1"/>
  <c r="UF188" i="1"/>
  <c r="UE188" i="1"/>
  <c r="UD188" i="1"/>
  <c r="UC188" i="1"/>
  <c r="UB188" i="1"/>
  <c r="UA188" i="1"/>
  <c r="TZ188" i="1"/>
  <c r="TX188" i="1"/>
  <c r="TW188" i="1"/>
  <c r="TV188" i="1"/>
  <c r="TU188" i="1"/>
  <c r="TT188" i="1"/>
  <c r="TS188" i="1"/>
  <c r="TP188" i="1"/>
  <c r="TO188" i="1"/>
  <c r="TN188" i="1"/>
  <c r="TM188" i="1"/>
  <c r="TJ188" i="1"/>
  <c r="TH188" i="1"/>
  <c r="TG188" i="1"/>
  <c r="TF188" i="1"/>
  <c r="TE188" i="1"/>
  <c r="TD188" i="1"/>
  <c r="TC188" i="1"/>
  <c r="TB188" i="1"/>
  <c r="TA188" i="1"/>
  <c r="SZ188" i="1"/>
  <c r="SY188" i="1"/>
  <c r="SX188" i="1"/>
  <c r="SW188" i="1"/>
  <c r="SU188" i="1"/>
  <c r="ST188" i="1"/>
  <c r="SS188" i="1"/>
  <c r="SR188" i="1"/>
  <c r="SQ188" i="1"/>
  <c r="SP188" i="1"/>
  <c r="SM188" i="1"/>
  <c r="SL188" i="1"/>
  <c r="SK188" i="1"/>
  <c r="SJ188" i="1"/>
  <c r="SG188" i="1"/>
  <c r="VN187" i="1"/>
  <c r="VM187" i="1"/>
  <c r="VL187" i="1"/>
  <c r="VK187" i="1"/>
  <c r="VJ187" i="1"/>
  <c r="VI187" i="1"/>
  <c r="VH187" i="1"/>
  <c r="VG187" i="1"/>
  <c r="VF187" i="1"/>
  <c r="VE187" i="1"/>
  <c r="VD187" i="1"/>
  <c r="VC187" i="1"/>
  <c r="VA187" i="1"/>
  <c r="UZ187" i="1"/>
  <c r="UY187" i="1"/>
  <c r="UX187" i="1"/>
  <c r="UW187" i="1"/>
  <c r="UV187" i="1"/>
  <c r="US187" i="1"/>
  <c r="UR187" i="1"/>
  <c r="UQ187" i="1"/>
  <c r="UP187" i="1"/>
  <c r="UM187" i="1"/>
  <c r="UK187" i="1"/>
  <c r="UJ187" i="1"/>
  <c r="UI187" i="1"/>
  <c r="UH187" i="1"/>
  <c r="UG187" i="1"/>
  <c r="UF187" i="1"/>
  <c r="UE187" i="1"/>
  <c r="UD187" i="1"/>
  <c r="UC187" i="1"/>
  <c r="UB187" i="1"/>
  <c r="UA187" i="1"/>
  <c r="TZ187" i="1"/>
  <c r="TX187" i="1"/>
  <c r="TW187" i="1"/>
  <c r="TV187" i="1"/>
  <c r="TU187" i="1"/>
  <c r="TT187" i="1"/>
  <c r="TS187" i="1"/>
  <c r="TP187" i="1"/>
  <c r="TO187" i="1"/>
  <c r="TN187" i="1"/>
  <c r="TM187" i="1"/>
  <c r="TJ187" i="1"/>
  <c r="TH187" i="1"/>
  <c r="TG187" i="1"/>
  <c r="TF187" i="1"/>
  <c r="TE187" i="1"/>
  <c r="TD187" i="1"/>
  <c r="TC187" i="1"/>
  <c r="TB187" i="1"/>
  <c r="TA187" i="1"/>
  <c r="SZ187" i="1"/>
  <c r="SY187" i="1"/>
  <c r="SX187" i="1"/>
  <c r="SW187" i="1"/>
  <c r="SU187" i="1"/>
  <c r="ST187" i="1"/>
  <c r="SS187" i="1"/>
  <c r="SR187" i="1"/>
  <c r="SQ187" i="1"/>
  <c r="SP187" i="1"/>
  <c r="SM187" i="1"/>
  <c r="SL187" i="1"/>
  <c r="SK187" i="1"/>
  <c r="SJ187" i="1"/>
  <c r="SG187" i="1"/>
  <c r="VN186" i="1"/>
  <c r="VM186" i="1"/>
  <c r="VL186" i="1"/>
  <c r="VK186" i="1"/>
  <c r="VJ186" i="1"/>
  <c r="VI186" i="1"/>
  <c r="VH186" i="1"/>
  <c r="VG186" i="1"/>
  <c r="VF186" i="1"/>
  <c r="VE186" i="1"/>
  <c r="VD186" i="1"/>
  <c r="VC186" i="1"/>
  <c r="VA186" i="1"/>
  <c r="UZ186" i="1"/>
  <c r="UY186" i="1"/>
  <c r="UX186" i="1"/>
  <c r="UW186" i="1"/>
  <c r="UV186" i="1"/>
  <c r="US186" i="1"/>
  <c r="UR186" i="1"/>
  <c r="UQ186" i="1"/>
  <c r="UP186" i="1"/>
  <c r="UM186" i="1"/>
  <c r="UK186" i="1"/>
  <c r="UJ186" i="1"/>
  <c r="UI186" i="1"/>
  <c r="UH186" i="1"/>
  <c r="UG186" i="1"/>
  <c r="UF186" i="1"/>
  <c r="UE186" i="1"/>
  <c r="UD186" i="1"/>
  <c r="UC186" i="1"/>
  <c r="UB186" i="1"/>
  <c r="UA186" i="1"/>
  <c r="TZ186" i="1"/>
  <c r="TX186" i="1"/>
  <c r="TW186" i="1"/>
  <c r="TV186" i="1"/>
  <c r="TU186" i="1"/>
  <c r="TT186" i="1"/>
  <c r="TS186" i="1"/>
  <c r="TP186" i="1"/>
  <c r="TO186" i="1"/>
  <c r="TN186" i="1"/>
  <c r="TM186" i="1"/>
  <c r="TJ186" i="1"/>
  <c r="TH186" i="1"/>
  <c r="TG186" i="1"/>
  <c r="TF186" i="1"/>
  <c r="TE186" i="1"/>
  <c r="TD186" i="1"/>
  <c r="TC186" i="1"/>
  <c r="TB186" i="1"/>
  <c r="TA186" i="1"/>
  <c r="SZ186" i="1"/>
  <c r="SY186" i="1"/>
  <c r="SX186" i="1"/>
  <c r="SW186" i="1"/>
  <c r="SU186" i="1"/>
  <c r="ST186" i="1"/>
  <c r="SS186" i="1"/>
  <c r="SR186" i="1"/>
  <c r="SQ186" i="1"/>
  <c r="SP186" i="1"/>
  <c r="SM186" i="1"/>
  <c r="SL186" i="1"/>
  <c r="SK186" i="1"/>
  <c r="SJ186" i="1"/>
  <c r="SG186" i="1"/>
  <c r="VN185" i="1"/>
  <c r="VM185" i="1"/>
  <c r="VL185" i="1"/>
  <c r="VK185" i="1"/>
  <c r="VJ185" i="1"/>
  <c r="VI185" i="1"/>
  <c r="VH185" i="1"/>
  <c r="VG185" i="1"/>
  <c r="VF185" i="1"/>
  <c r="VE185" i="1"/>
  <c r="VD185" i="1"/>
  <c r="VC185" i="1"/>
  <c r="VA185" i="1"/>
  <c r="UZ185" i="1"/>
  <c r="UY185" i="1"/>
  <c r="UX185" i="1"/>
  <c r="UW185" i="1"/>
  <c r="UV185" i="1"/>
  <c r="US185" i="1"/>
  <c r="UR185" i="1"/>
  <c r="UQ185" i="1"/>
  <c r="UP185" i="1"/>
  <c r="UM185" i="1"/>
  <c r="UK185" i="1"/>
  <c r="UJ185" i="1"/>
  <c r="UI185" i="1"/>
  <c r="UH185" i="1"/>
  <c r="UG185" i="1"/>
  <c r="UF185" i="1"/>
  <c r="UE185" i="1"/>
  <c r="UD185" i="1"/>
  <c r="UC185" i="1"/>
  <c r="UB185" i="1"/>
  <c r="UA185" i="1"/>
  <c r="TZ185" i="1"/>
  <c r="TX185" i="1"/>
  <c r="TW185" i="1"/>
  <c r="TV185" i="1"/>
  <c r="TU185" i="1"/>
  <c r="TT185" i="1"/>
  <c r="TS185" i="1"/>
  <c r="TP185" i="1"/>
  <c r="TO185" i="1"/>
  <c r="TN185" i="1"/>
  <c r="TM185" i="1"/>
  <c r="TJ185" i="1"/>
  <c r="TH185" i="1"/>
  <c r="TG185" i="1"/>
  <c r="TF185" i="1"/>
  <c r="TE185" i="1"/>
  <c r="TD185" i="1"/>
  <c r="TC185" i="1"/>
  <c r="TB185" i="1"/>
  <c r="TA185" i="1"/>
  <c r="SZ185" i="1"/>
  <c r="SY185" i="1"/>
  <c r="SX185" i="1"/>
  <c r="SW185" i="1"/>
  <c r="SU185" i="1"/>
  <c r="ST185" i="1"/>
  <c r="SS185" i="1"/>
  <c r="SR185" i="1"/>
  <c r="SQ185" i="1"/>
  <c r="SP185" i="1"/>
  <c r="SM185" i="1"/>
  <c r="SL185" i="1"/>
  <c r="SK185" i="1"/>
  <c r="SJ185" i="1"/>
  <c r="SG185" i="1"/>
  <c r="VN184" i="1"/>
  <c r="VM184" i="1"/>
  <c r="VL184" i="1"/>
  <c r="VK184" i="1"/>
  <c r="VJ184" i="1"/>
  <c r="VI184" i="1"/>
  <c r="VH184" i="1"/>
  <c r="VG184" i="1"/>
  <c r="VF184" i="1"/>
  <c r="VE184" i="1"/>
  <c r="VD184" i="1"/>
  <c r="VC184" i="1"/>
  <c r="VA184" i="1"/>
  <c r="UZ184" i="1"/>
  <c r="UY184" i="1"/>
  <c r="UX184" i="1"/>
  <c r="UW184" i="1"/>
  <c r="UV184" i="1"/>
  <c r="US184" i="1"/>
  <c r="UR184" i="1"/>
  <c r="UQ184" i="1"/>
  <c r="UP184" i="1"/>
  <c r="UM184" i="1"/>
  <c r="UK184" i="1"/>
  <c r="UJ184" i="1"/>
  <c r="UI184" i="1"/>
  <c r="UH184" i="1"/>
  <c r="UG184" i="1"/>
  <c r="UF184" i="1"/>
  <c r="UE184" i="1"/>
  <c r="UD184" i="1"/>
  <c r="UC184" i="1"/>
  <c r="UB184" i="1"/>
  <c r="UA184" i="1"/>
  <c r="TZ184" i="1"/>
  <c r="TX184" i="1"/>
  <c r="TW184" i="1"/>
  <c r="TV184" i="1"/>
  <c r="TU184" i="1"/>
  <c r="TT184" i="1"/>
  <c r="TS184" i="1"/>
  <c r="TP184" i="1"/>
  <c r="TO184" i="1"/>
  <c r="TN184" i="1"/>
  <c r="TM184" i="1"/>
  <c r="TJ184" i="1"/>
  <c r="TH184" i="1"/>
  <c r="TG184" i="1"/>
  <c r="TF184" i="1"/>
  <c r="TE184" i="1"/>
  <c r="TD184" i="1"/>
  <c r="TC184" i="1"/>
  <c r="TB184" i="1"/>
  <c r="TA184" i="1"/>
  <c r="SZ184" i="1"/>
  <c r="SY184" i="1"/>
  <c r="SX184" i="1"/>
  <c r="SW184" i="1"/>
  <c r="SU184" i="1"/>
  <c r="ST184" i="1"/>
  <c r="SS184" i="1"/>
  <c r="SR184" i="1"/>
  <c r="SQ184" i="1"/>
  <c r="SP184" i="1"/>
  <c r="SM184" i="1"/>
  <c r="SL184" i="1"/>
  <c r="SK184" i="1"/>
  <c r="SJ184" i="1"/>
  <c r="SG184" i="1"/>
  <c r="VN183" i="1"/>
  <c r="VM183" i="1"/>
  <c r="VL183" i="1"/>
  <c r="VK183" i="1"/>
  <c r="VJ183" i="1"/>
  <c r="VI183" i="1"/>
  <c r="VH183" i="1"/>
  <c r="VG183" i="1"/>
  <c r="VF183" i="1"/>
  <c r="VE183" i="1"/>
  <c r="VD183" i="1"/>
  <c r="VC183" i="1"/>
  <c r="VA183" i="1"/>
  <c r="UZ183" i="1"/>
  <c r="UY183" i="1"/>
  <c r="UX183" i="1"/>
  <c r="UW183" i="1"/>
  <c r="UV183" i="1"/>
  <c r="US183" i="1"/>
  <c r="UR183" i="1"/>
  <c r="UQ183" i="1"/>
  <c r="UP183" i="1"/>
  <c r="UM183" i="1"/>
  <c r="UK183" i="1"/>
  <c r="UJ183" i="1"/>
  <c r="UI183" i="1"/>
  <c r="UH183" i="1"/>
  <c r="UG183" i="1"/>
  <c r="UF183" i="1"/>
  <c r="UE183" i="1"/>
  <c r="UD183" i="1"/>
  <c r="UC183" i="1"/>
  <c r="UB183" i="1"/>
  <c r="UA183" i="1"/>
  <c r="TZ183" i="1"/>
  <c r="TX183" i="1"/>
  <c r="TW183" i="1"/>
  <c r="TV183" i="1"/>
  <c r="TU183" i="1"/>
  <c r="TT183" i="1"/>
  <c r="TS183" i="1"/>
  <c r="TP183" i="1"/>
  <c r="TO183" i="1"/>
  <c r="TN183" i="1"/>
  <c r="TM183" i="1"/>
  <c r="TJ183" i="1"/>
  <c r="TH183" i="1"/>
  <c r="TG183" i="1"/>
  <c r="TF183" i="1"/>
  <c r="TE183" i="1"/>
  <c r="TD183" i="1"/>
  <c r="TC183" i="1"/>
  <c r="TB183" i="1"/>
  <c r="TA183" i="1"/>
  <c r="SZ183" i="1"/>
  <c r="SY183" i="1"/>
  <c r="SX183" i="1"/>
  <c r="SW183" i="1"/>
  <c r="SU183" i="1"/>
  <c r="ST183" i="1"/>
  <c r="SS183" i="1"/>
  <c r="SR183" i="1"/>
  <c r="SQ183" i="1"/>
  <c r="SP183" i="1"/>
  <c r="SM183" i="1"/>
  <c r="SL183" i="1"/>
  <c r="SK183" i="1"/>
  <c r="SJ183" i="1"/>
  <c r="SG183" i="1"/>
  <c r="VN182" i="1"/>
  <c r="VM182" i="1"/>
  <c r="VL182" i="1"/>
  <c r="VK182" i="1"/>
  <c r="VJ182" i="1"/>
  <c r="VI182" i="1"/>
  <c r="VH182" i="1"/>
  <c r="VG182" i="1"/>
  <c r="VF182" i="1"/>
  <c r="VE182" i="1"/>
  <c r="VD182" i="1"/>
  <c r="VC182" i="1"/>
  <c r="VA182" i="1"/>
  <c r="UZ182" i="1"/>
  <c r="UY182" i="1"/>
  <c r="UX182" i="1"/>
  <c r="UW182" i="1"/>
  <c r="UV182" i="1"/>
  <c r="US182" i="1"/>
  <c r="UR182" i="1"/>
  <c r="UQ182" i="1"/>
  <c r="UP182" i="1"/>
  <c r="UM182" i="1"/>
  <c r="UK182" i="1"/>
  <c r="UJ182" i="1"/>
  <c r="UI182" i="1"/>
  <c r="UH182" i="1"/>
  <c r="UG182" i="1"/>
  <c r="UF182" i="1"/>
  <c r="UE182" i="1"/>
  <c r="UD182" i="1"/>
  <c r="UC182" i="1"/>
  <c r="UB182" i="1"/>
  <c r="UA182" i="1"/>
  <c r="TZ182" i="1"/>
  <c r="TX182" i="1"/>
  <c r="TW182" i="1"/>
  <c r="TV182" i="1"/>
  <c r="TU182" i="1"/>
  <c r="TT182" i="1"/>
  <c r="TS182" i="1"/>
  <c r="TP182" i="1"/>
  <c r="TO182" i="1"/>
  <c r="TN182" i="1"/>
  <c r="TM182" i="1"/>
  <c r="TJ182" i="1"/>
  <c r="TH182" i="1"/>
  <c r="TG182" i="1"/>
  <c r="TF182" i="1"/>
  <c r="TE182" i="1"/>
  <c r="TD182" i="1"/>
  <c r="TC182" i="1"/>
  <c r="TB182" i="1"/>
  <c r="TA182" i="1"/>
  <c r="SZ182" i="1"/>
  <c r="SY182" i="1"/>
  <c r="SX182" i="1"/>
  <c r="SW182" i="1"/>
  <c r="SU182" i="1"/>
  <c r="ST182" i="1"/>
  <c r="SS182" i="1"/>
  <c r="SR182" i="1"/>
  <c r="SQ182" i="1"/>
  <c r="SP182" i="1"/>
  <c r="SM182" i="1"/>
  <c r="SL182" i="1"/>
  <c r="SK182" i="1"/>
  <c r="SJ182" i="1"/>
  <c r="SG182" i="1"/>
  <c r="VN181" i="1"/>
  <c r="VM181" i="1"/>
  <c r="VL181" i="1"/>
  <c r="VK181" i="1"/>
  <c r="VJ181" i="1"/>
  <c r="VI181" i="1"/>
  <c r="VH181" i="1"/>
  <c r="VG181" i="1"/>
  <c r="VF181" i="1"/>
  <c r="VE181" i="1"/>
  <c r="VD181" i="1"/>
  <c r="VC181" i="1"/>
  <c r="VA181" i="1"/>
  <c r="UZ181" i="1"/>
  <c r="UY181" i="1"/>
  <c r="UX181" i="1"/>
  <c r="UW181" i="1"/>
  <c r="UV181" i="1"/>
  <c r="US181" i="1"/>
  <c r="UR181" i="1"/>
  <c r="UQ181" i="1"/>
  <c r="UP181" i="1"/>
  <c r="UM181" i="1"/>
  <c r="UK181" i="1"/>
  <c r="UJ181" i="1"/>
  <c r="UI181" i="1"/>
  <c r="UH181" i="1"/>
  <c r="UG181" i="1"/>
  <c r="UF181" i="1"/>
  <c r="UE181" i="1"/>
  <c r="UD181" i="1"/>
  <c r="UC181" i="1"/>
  <c r="UB181" i="1"/>
  <c r="UA181" i="1"/>
  <c r="TZ181" i="1"/>
  <c r="TX181" i="1"/>
  <c r="TW181" i="1"/>
  <c r="TV181" i="1"/>
  <c r="TU181" i="1"/>
  <c r="TT181" i="1"/>
  <c r="TS181" i="1"/>
  <c r="TP181" i="1"/>
  <c r="TO181" i="1"/>
  <c r="TN181" i="1"/>
  <c r="TM181" i="1"/>
  <c r="TJ181" i="1"/>
  <c r="TH181" i="1"/>
  <c r="TG181" i="1"/>
  <c r="TF181" i="1"/>
  <c r="TE181" i="1"/>
  <c r="TD181" i="1"/>
  <c r="TC181" i="1"/>
  <c r="TB181" i="1"/>
  <c r="TA181" i="1"/>
  <c r="SZ181" i="1"/>
  <c r="SY181" i="1"/>
  <c r="SX181" i="1"/>
  <c r="SW181" i="1"/>
  <c r="SU181" i="1"/>
  <c r="ST181" i="1"/>
  <c r="SS181" i="1"/>
  <c r="SR181" i="1"/>
  <c r="SQ181" i="1"/>
  <c r="SP181" i="1"/>
  <c r="SM181" i="1"/>
  <c r="SL181" i="1"/>
  <c r="SK181" i="1"/>
  <c r="SJ181" i="1"/>
  <c r="SG181" i="1"/>
  <c r="VN180" i="1"/>
  <c r="VM180" i="1"/>
  <c r="VL180" i="1"/>
  <c r="VK180" i="1"/>
  <c r="VJ180" i="1"/>
  <c r="VI180" i="1"/>
  <c r="VH180" i="1"/>
  <c r="VG180" i="1"/>
  <c r="VF180" i="1"/>
  <c r="VE180" i="1"/>
  <c r="VD180" i="1"/>
  <c r="VC180" i="1"/>
  <c r="VA180" i="1"/>
  <c r="UZ180" i="1"/>
  <c r="UY180" i="1"/>
  <c r="UX180" i="1"/>
  <c r="UW180" i="1"/>
  <c r="UV180" i="1"/>
  <c r="US180" i="1"/>
  <c r="UR180" i="1"/>
  <c r="UQ180" i="1"/>
  <c r="UP180" i="1"/>
  <c r="UM180" i="1"/>
  <c r="UK180" i="1"/>
  <c r="UJ180" i="1"/>
  <c r="UI180" i="1"/>
  <c r="UH180" i="1"/>
  <c r="UG180" i="1"/>
  <c r="UF180" i="1"/>
  <c r="UE180" i="1"/>
  <c r="UD180" i="1"/>
  <c r="UC180" i="1"/>
  <c r="UB180" i="1"/>
  <c r="UA180" i="1"/>
  <c r="TZ180" i="1"/>
  <c r="TX180" i="1"/>
  <c r="TW180" i="1"/>
  <c r="TV180" i="1"/>
  <c r="TU180" i="1"/>
  <c r="TT180" i="1"/>
  <c r="TS180" i="1"/>
  <c r="TP180" i="1"/>
  <c r="TO180" i="1"/>
  <c r="TN180" i="1"/>
  <c r="TM180" i="1"/>
  <c r="TJ180" i="1"/>
  <c r="TH180" i="1"/>
  <c r="TG180" i="1"/>
  <c r="TF180" i="1"/>
  <c r="TE180" i="1"/>
  <c r="TD180" i="1"/>
  <c r="TC180" i="1"/>
  <c r="TB180" i="1"/>
  <c r="TA180" i="1"/>
  <c r="SZ180" i="1"/>
  <c r="SY180" i="1"/>
  <c r="SX180" i="1"/>
  <c r="SW180" i="1"/>
  <c r="SU180" i="1"/>
  <c r="ST180" i="1"/>
  <c r="SS180" i="1"/>
  <c r="SR180" i="1"/>
  <c r="SQ180" i="1"/>
  <c r="SP180" i="1"/>
  <c r="SM180" i="1"/>
  <c r="SL180" i="1"/>
  <c r="SK180" i="1"/>
  <c r="SJ180" i="1"/>
  <c r="SG180" i="1"/>
  <c r="VN179" i="1"/>
  <c r="VM179" i="1"/>
  <c r="VL179" i="1"/>
  <c r="VK179" i="1"/>
  <c r="VJ179" i="1"/>
  <c r="VI179" i="1"/>
  <c r="VH179" i="1"/>
  <c r="VG179" i="1"/>
  <c r="VF179" i="1"/>
  <c r="VE179" i="1"/>
  <c r="VD179" i="1"/>
  <c r="VC179" i="1"/>
  <c r="VA179" i="1"/>
  <c r="UZ179" i="1"/>
  <c r="UY179" i="1"/>
  <c r="UX179" i="1"/>
  <c r="UW179" i="1"/>
  <c r="UV179" i="1"/>
  <c r="US179" i="1"/>
  <c r="UR179" i="1"/>
  <c r="UQ179" i="1"/>
  <c r="UP179" i="1"/>
  <c r="UM179" i="1"/>
  <c r="UK179" i="1"/>
  <c r="UJ179" i="1"/>
  <c r="UI179" i="1"/>
  <c r="UH179" i="1"/>
  <c r="UG179" i="1"/>
  <c r="UF179" i="1"/>
  <c r="UE179" i="1"/>
  <c r="UD179" i="1"/>
  <c r="UC179" i="1"/>
  <c r="UB179" i="1"/>
  <c r="UA179" i="1"/>
  <c r="TZ179" i="1"/>
  <c r="TX179" i="1"/>
  <c r="TW179" i="1"/>
  <c r="TV179" i="1"/>
  <c r="TU179" i="1"/>
  <c r="TT179" i="1"/>
  <c r="TS179" i="1"/>
  <c r="TP179" i="1"/>
  <c r="TO179" i="1"/>
  <c r="TN179" i="1"/>
  <c r="TM179" i="1"/>
  <c r="TJ179" i="1"/>
  <c r="TH179" i="1"/>
  <c r="TG179" i="1"/>
  <c r="TF179" i="1"/>
  <c r="TE179" i="1"/>
  <c r="TD179" i="1"/>
  <c r="TC179" i="1"/>
  <c r="TB179" i="1"/>
  <c r="TA179" i="1"/>
  <c r="SZ179" i="1"/>
  <c r="SY179" i="1"/>
  <c r="SX179" i="1"/>
  <c r="SW179" i="1"/>
  <c r="SU179" i="1"/>
  <c r="ST179" i="1"/>
  <c r="SS179" i="1"/>
  <c r="SR179" i="1"/>
  <c r="SQ179" i="1"/>
  <c r="SP179" i="1"/>
  <c r="SM179" i="1"/>
  <c r="SL179" i="1"/>
  <c r="SK179" i="1"/>
  <c r="SJ179" i="1"/>
  <c r="SG179" i="1"/>
  <c r="VN178" i="1"/>
  <c r="VM178" i="1"/>
  <c r="VL178" i="1"/>
  <c r="VK178" i="1"/>
  <c r="VJ178" i="1"/>
  <c r="VI178" i="1"/>
  <c r="VH178" i="1"/>
  <c r="VG178" i="1"/>
  <c r="VF178" i="1"/>
  <c r="VE178" i="1"/>
  <c r="VD178" i="1"/>
  <c r="VC178" i="1"/>
  <c r="VA178" i="1"/>
  <c r="UZ178" i="1"/>
  <c r="UY178" i="1"/>
  <c r="UX178" i="1"/>
  <c r="UW178" i="1"/>
  <c r="UV178" i="1"/>
  <c r="US178" i="1"/>
  <c r="UR178" i="1"/>
  <c r="UQ178" i="1"/>
  <c r="UP178" i="1"/>
  <c r="UM178" i="1"/>
  <c r="UK178" i="1"/>
  <c r="UJ178" i="1"/>
  <c r="UI178" i="1"/>
  <c r="UH178" i="1"/>
  <c r="UG178" i="1"/>
  <c r="UF178" i="1"/>
  <c r="UE178" i="1"/>
  <c r="UD178" i="1"/>
  <c r="UC178" i="1"/>
  <c r="UB178" i="1"/>
  <c r="UA178" i="1"/>
  <c r="TZ178" i="1"/>
  <c r="TX178" i="1"/>
  <c r="TW178" i="1"/>
  <c r="TV178" i="1"/>
  <c r="TU178" i="1"/>
  <c r="TT178" i="1"/>
  <c r="TS178" i="1"/>
  <c r="TP178" i="1"/>
  <c r="TO178" i="1"/>
  <c r="TN178" i="1"/>
  <c r="TM178" i="1"/>
  <c r="TJ178" i="1"/>
  <c r="TH178" i="1"/>
  <c r="TG178" i="1"/>
  <c r="TF178" i="1"/>
  <c r="TE178" i="1"/>
  <c r="TD178" i="1"/>
  <c r="TC178" i="1"/>
  <c r="TB178" i="1"/>
  <c r="TA178" i="1"/>
  <c r="SZ178" i="1"/>
  <c r="SY178" i="1"/>
  <c r="SX178" i="1"/>
  <c r="SW178" i="1"/>
  <c r="SU178" i="1"/>
  <c r="ST178" i="1"/>
  <c r="SS178" i="1"/>
  <c r="SR178" i="1"/>
  <c r="SQ178" i="1"/>
  <c r="SP178" i="1"/>
  <c r="SM178" i="1"/>
  <c r="SL178" i="1"/>
  <c r="SK178" i="1"/>
  <c r="SJ178" i="1"/>
  <c r="SG178" i="1"/>
  <c r="VN177" i="1"/>
  <c r="VM177" i="1"/>
  <c r="VL177" i="1"/>
  <c r="VK177" i="1"/>
  <c r="VJ177" i="1"/>
  <c r="VI177" i="1"/>
  <c r="VH177" i="1"/>
  <c r="VG177" i="1"/>
  <c r="VF177" i="1"/>
  <c r="VE177" i="1"/>
  <c r="VD177" i="1"/>
  <c r="VC177" i="1"/>
  <c r="VA177" i="1"/>
  <c r="UZ177" i="1"/>
  <c r="UY177" i="1"/>
  <c r="UX177" i="1"/>
  <c r="UW177" i="1"/>
  <c r="UV177" i="1"/>
  <c r="US177" i="1"/>
  <c r="UR177" i="1"/>
  <c r="UQ177" i="1"/>
  <c r="UP177" i="1"/>
  <c r="UM177" i="1"/>
  <c r="UK177" i="1"/>
  <c r="UJ177" i="1"/>
  <c r="UI177" i="1"/>
  <c r="UH177" i="1"/>
  <c r="UG177" i="1"/>
  <c r="UF177" i="1"/>
  <c r="UE177" i="1"/>
  <c r="UD177" i="1"/>
  <c r="UC177" i="1"/>
  <c r="UB177" i="1"/>
  <c r="UA177" i="1"/>
  <c r="TZ177" i="1"/>
  <c r="TX177" i="1"/>
  <c r="TW177" i="1"/>
  <c r="TV177" i="1"/>
  <c r="TU177" i="1"/>
  <c r="TT177" i="1"/>
  <c r="TS177" i="1"/>
  <c r="TP177" i="1"/>
  <c r="TO177" i="1"/>
  <c r="TN177" i="1"/>
  <c r="TM177" i="1"/>
  <c r="TJ177" i="1"/>
  <c r="TH177" i="1"/>
  <c r="TG177" i="1"/>
  <c r="TF177" i="1"/>
  <c r="TE177" i="1"/>
  <c r="TD177" i="1"/>
  <c r="TC177" i="1"/>
  <c r="TB177" i="1"/>
  <c r="TA177" i="1"/>
  <c r="SZ177" i="1"/>
  <c r="SY177" i="1"/>
  <c r="SX177" i="1"/>
  <c r="SW177" i="1"/>
  <c r="SU177" i="1"/>
  <c r="ST177" i="1"/>
  <c r="SS177" i="1"/>
  <c r="SR177" i="1"/>
  <c r="SQ177" i="1"/>
  <c r="SP177" i="1"/>
  <c r="SM177" i="1"/>
  <c r="SL177" i="1"/>
  <c r="SK177" i="1"/>
  <c r="SJ177" i="1"/>
  <c r="SG177" i="1"/>
  <c r="VN176" i="1"/>
  <c r="VM176" i="1"/>
  <c r="VL176" i="1"/>
  <c r="VK176" i="1"/>
  <c r="VJ176" i="1"/>
  <c r="VI176" i="1"/>
  <c r="VH176" i="1"/>
  <c r="VG176" i="1"/>
  <c r="VF176" i="1"/>
  <c r="VE176" i="1"/>
  <c r="VD176" i="1"/>
  <c r="VC176" i="1"/>
  <c r="VA176" i="1"/>
  <c r="UZ176" i="1"/>
  <c r="UY176" i="1"/>
  <c r="UX176" i="1"/>
  <c r="UW176" i="1"/>
  <c r="UV176" i="1"/>
  <c r="US176" i="1"/>
  <c r="UR176" i="1"/>
  <c r="UQ176" i="1"/>
  <c r="UP176" i="1"/>
  <c r="UM176" i="1"/>
  <c r="UK176" i="1"/>
  <c r="UJ176" i="1"/>
  <c r="UI176" i="1"/>
  <c r="UH176" i="1"/>
  <c r="UG176" i="1"/>
  <c r="UF176" i="1"/>
  <c r="UE176" i="1"/>
  <c r="UD176" i="1"/>
  <c r="UC176" i="1"/>
  <c r="UB176" i="1"/>
  <c r="UA176" i="1"/>
  <c r="TZ176" i="1"/>
  <c r="TX176" i="1"/>
  <c r="TW176" i="1"/>
  <c r="TV176" i="1"/>
  <c r="TU176" i="1"/>
  <c r="TT176" i="1"/>
  <c r="TS176" i="1"/>
  <c r="TP176" i="1"/>
  <c r="TO176" i="1"/>
  <c r="TN176" i="1"/>
  <c r="TM176" i="1"/>
  <c r="TJ176" i="1"/>
  <c r="TH176" i="1"/>
  <c r="TG176" i="1"/>
  <c r="TF176" i="1"/>
  <c r="TE176" i="1"/>
  <c r="TD176" i="1"/>
  <c r="TC176" i="1"/>
  <c r="TB176" i="1"/>
  <c r="TA176" i="1"/>
  <c r="SZ176" i="1"/>
  <c r="SY176" i="1"/>
  <c r="SX176" i="1"/>
  <c r="SW176" i="1"/>
  <c r="SU176" i="1"/>
  <c r="ST176" i="1"/>
  <c r="SS176" i="1"/>
  <c r="SR176" i="1"/>
  <c r="SQ176" i="1"/>
  <c r="SP176" i="1"/>
  <c r="SM176" i="1"/>
  <c r="SL176" i="1"/>
  <c r="SK176" i="1"/>
  <c r="SJ176" i="1"/>
  <c r="SG176" i="1"/>
  <c r="VN175" i="1"/>
  <c r="VM175" i="1"/>
  <c r="VL175" i="1"/>
  <c r="VK175" i="1"/>
  <c r="VJ175" i="1"/>
  <c r="VI175" i="1"/>
  <c r="VH175" i="1"/>
  <c r="VG175" i="1"/>
  <c r="VF175" i="1"/>
  <c r="VE175" i="1"/>
  <c r="VD175" i="1"/>
  <c r="VC175" i="1"/>
  <c r="VA175" i="1"/>
  <c r="UZ175" i="1"/>
  <c r="UY175" i="1"/>
  <c r="UX175" i="1"/>
  <c r="UW175" i="1"/>
  <c r="UV175" i="1"/>
  <c r="US175" i="1"/>
  <c r="UR175" i="1"/>
  <c r="UQ175" i="1"/>
  <c r="UP175" i="1"/>
  <c r="UM175" i="1"/>
  <c r="UK175" i="1"/>
  <c r="UJ175" i="1"/>
  <c r="UI175" i="1"/>
  <c r="UH175" i="1"/>
  <c r="UG175" i="1"/>
  <c r="UF175" i="1"/>
  <c r="UE175" i="1"/>
  <c r="UD175" i="1"/>
  <c r="UC175" i="1"/>
  <c r="UB175" i="1"/>
  <c r="UA175" i="1"/>
  <c r="TZ175" i="1"/>
  <c r="TX175" i="1"/>
  <c r="TW175" i="1"/>
  <c r="TV175" i="1"/>
  <c r="TU175" i="1"/>
  <c r="TT175" i="1"/>
  <c r="TS175" i="1"/>
  <c r="TP175" i="1"/>
  <c r="TO175" i="1"/>
  <c r="TN175" i="1"/>
  <c r="TM175" i="1"/>
  <c r="TJ175" i="1"/>
  <c r="TH175" i="1"/>
  <c r="TG175" i="1"/>
  <c r="TF175" i="1"/>
  <c r="TE175" i="1"/>
  <c r="TD175" i="1"/>
  <c r="TC175" i="1"/>
  <c r="TB175" i="1"/>
  <c r="TA175" i="1"/>
  <c r="SZ175" i="1"/>
  <c r="SY175" i="1"/>
  <c r="SX175" i="1"/>
  <c r="SW175" i="1"/>
  <c r="SU175" i="1"/>
  <c r="ST175" i="1"/>
  <c r="SS175" i="1"/>
  <c r="SR175" i="1"/>
  <c r="SQ175" i="1"/>
  <c r="SP175" i="1"/>
  <c r="SM175" i="1"/>
  <c r="SL175" i="1"/>
  <c r="SK175" i="1"/>
  <c r="SJ175" i="1"/>
  <c r="SG175" i="1"/>
  <c r="VN174" i="1"/>
  <c r="VM174" i="1"/>
  <c r="VL174" i="1"/>
  <c r="VK174" i="1"/>
  <c r="VJ174" i="1"/>
  <c r="VI174" i="1"/>
  <c r="VH174" i="1"/>
  <c r="VG174" i="1"/>
  <c r="VF174" i="1"/>
  <c r="VE174" i="1"/>
  <c r="VD174" i="1"/>
  <c r="VC174" i="1"/>
  <c r="VA174" i="1"/>
  <c r="UZ174" i="1"/>
  <c r="UY174" i="1"/>
  <c r="UX174" i="1"/>
  <c r="UW174" i="1"/>
  <c r="UV174" i="1"/>
  <c r="US174" i="1"/>
  <c r="UR174" i="1"/>
  <c r="UQ174" i="1"/>
  <c r="UP174" i="1"/>
  <c r="UM174" i="1"/>
  <c r="UK174" i="1"/>
  <c r="UJ174" i="1"/>
  <c r="UI174" i="1"/>
  <c r="UH174" i="1"/>
  <c r="UG174" i="1"/>
  <c r="UF174" i="1"/>
  <c r="UE174" i="1"/>
  <c r="UD174" i="1"/>
  <c r="UC174" i="1"/>
  <c r="UB174" i="1"/>
  <c r="UA174" i="1"/>
  <c r="TZ174" i="1"/>
  <c r="TX174" i="1"/>
  <c r="TW174" i="1"/>
  <c r="TV174" i="1"/>
  <c r="TU174" i="1"/>
  <c r="TT174" i="1"/>
  <c r="TS174" i="1"/>
  <c r="TP174" i="1"/>
  <c r="TO174" i="1"/>
  <c r="TN174" i="1"/>
  <c r="TM174" i="1"/>
  <c r="TJ174" i="1"/>
  <c r="TH174" i="1"/>
  <c r="TG174" i="1"/>
  <c r="TF174" i="1"/>
  <c r="TE174" i="1"/>
  <c r="TD174" i="1"/>
  <c r="TC174" i="1"/>
  <c r="TB174" i="1"/>
  <c r="TA174" i="1"/>
  <c r="SZ174" i="1"/>
  <c r="SY174" i="1"/>
  <c r="SX174" i="1"/>
  <c r="SW174" i="1"/>
  <c r="SU174" i="1"/>
  <c r="ST174" i="1"/>
  <c r="SS174" i="1"/>
  <c r="SR174" i="1"/>
  <c r="SQ174" i="1"/>
  <c r="SP174" i="1"/>
  <c r="SM174" i="1"/>
  <c r="SL174" i="1"/>
  <c r="SK174" i="1"/>
  <c r="SJ174" i="1"/>
  <c r="SG174" i="1"/>
  <c r="VN173" i="1"/>
  <c r="VM173" i="1"/>
  <c r="VL173" i="1"/>
  <c r="VK173" i="1"/>
  <c r="VJ173" i="1"/>
  <c r="VI173" i="1"/>
  <c r="VH173" i="1"/>
  <c r="VG173" i="1"/>
  <c r="VF173" i="1"/>
  <c r="VE173" i="1"/>
  <c r="VD173" i="1"/>
  <c r="VC173" i="1"/>
  <c r="VA173" i="1"/>
  <c r="UZ173" i="1"/>
  <c r="UY173" i="1"/>
  <c r="UX173" i="1"/>
  <c r="UW173" i="1"/>
  <c r="UV173" i="1"/>
  <c r="US173" i="1"/>
  <c r="UR173" i="1"/>
  <c r="UQ173" i="1"/>
  <c r="UP173" i="1"/>
  <c r="UM173" i="1"/>
  <c r="UK173" i="1"/>
  <c r="UJ173" i="1"/>
  <c r="UI173" i="1"/>
  <c r="UH173" i="1"/>
  <c r="UG173" i="1"/>
  <c r="UF173" i="1"/>
  <c r="UE173" i="1"/>
  <c r="UD173" i="1"/>
  <c r="UC173" i="1"/>
  <c r="UB173" i="1"/>
  <c r="UA173" i="1"/>
  <c r="TZ173" i="1"/>
  <c r="TX173" i="1"/>
  <c r="TW173" i="1"/>
  <c r="TV173" i="1"/>
  <c r="TU173" i="1"/>
  <c r="TT173" i="1"/>
  <c r="TS173" i="1"/>
  <c r="TP173" i="1"/>
  <c r="TO173" i="1"/>
  <c r="TN173" i="1"/>
  <c r="TM173" i="1"/>
  <c r="TJ173" i="1"/>
  <c r="TH173" i="1"/>
  <c r="TG173" i="1"/>
  <c r="TF173" i="1"/>
  <c r="TE173" i="1"/>
  <c r="TD173" i="1"/>
  <c r="TC173" i="1"/>
  <c r="TB173" i="1"/>
  <c r="TA173" i="1"/>
  <c r="SZ173" i="1"/>
  <c r="SY173" i="1"/>
  <c r="SX173" i="1"/>
  <c r="SW173" i="1"/>
  <c r="SU173" i="1"/>
  <c r="ST173" i="1"/>
  <c r="SS173" i="1"/>
  <c r="SR173" i="1"/>
  <c r="SQ173" i="1"/>
  <c r="SP173" i="1"/>
  <c r="SM173" i="1"/>
  <c r="SL173" i="1"/>
  <c r="SK173" i="1"/>
  <c r="SJ173" i="1"/>
  <c r="SG173" i="1"/>
  <c r="VN172" i="1"/>
  <c r="VM172" i="1"/>
  <c r="VL172" i="1"/>
  <c r="VK172" i="1"/>
  <c r="VJ172" i="1"/>
  <c r="VI172" i="1"/>
  <c r="VH172" i="1"/>
  <c r="VG172" i="1"/>
  <c r="VF172" i="1"/>
  <c r="VE172" i="1"/>
  <c r="VD172" i="1"/>
  <c r="VC172" i="1"/>
  <c r="VA172" i="1"/>
  <c r="UZ172" i="1"/>
  <c r="UY172" i="1"/>
  <c r="UX172" i="1"/>
  <c r="UW172" i="1"/>
  <c r="UV172" i="1"/>
  <c r="US172" i="1"/>
  <c r="UR172" i="1"/>
  <c r="UQ172" i="1"/>
  <c r="UP172" i="1"/>
  <c r="UM172" i="1"/>
  <c r="UK172" i="1"/>
  <c r="UJ172" i="1"/>
  <c r="UI172" i="1"/>
  <c r="UH172" i="1"/>
  <c r="UG172" i="1"/>
  <c r="UF172" i="1"/>
  <c r="UE172" i="1"/>
  <c r="UD172" i="1"/>
  <c r="UC172" i="1"/>
  <c r="UB172" i="1"/>
  <c r="UA172" i="1"/>
  <c r="TZ172" i="1"/>
  <c r="TX172" i="1"/>
  <c r="TW172" i="1"/>
  <c r="TV172" i="1"/>
  <c r="TU172" i="1"/>
  <c r="TT172" i="1"/>
  <c r="TS172" i="1"/>
  <c r="TP172" i="1"/>
  <c r="TO172" i="1"/>
  <c r="TN172" i="1"/>
  <c r="TM172" i="1"/>
  <c r="TJ172" i="1"/>
  <c r="TH172" i="1"/>
  <c r="TG172" i="1"/>
  <c r="TF172" i="1"/>
  <c r="TE172" i="1"/>
  <c r="TD172" i="1"/>
  <c r="TC172" i="1"/>
  <c r="TB172" i="1"/>
  <c r="TA172" i="1"/>
  <c r="SZ172" i="1"/>
  <c r="SY172" i="1"/>
  <c r="SX172" i="1"/>
  <c r="SW172" i="1"/>
  <c r="SU172" i="1"/>
  <c r="ST172" i="1"/>
  <c r="SS172" i="1"/>
  <c r="SR172" i="1"/>
  <c r="SQ172" i="1"/>
  <c r="SP172" i="1"/>
  <c r="SM172" i="1"/>
  <c r="SL172" i="1"/>
  <c r="SK172" i="1"/>
  <c r="SJ172" i="1"/>
  <c r="SG172" i="1"/>
  <c r="VN171" i="1"/>
  <c r="VM171" i="1"/>
  <c r="VL171" i="1"/>
  <c r="VK171" i="1"/>
  <c r="VJ171" i="1"/>
  <c r="VI171" i="1"/>
  <c r="VH171" i="1"/>
  <c r="VG171" i="1"/>
  <c r="VF171" i="1"/>
  <c r="VE171" i="1"/>
  <c r="VD171" i="1"/>
  <c r="VC171" i="1"/>
  <c r="VA171" i="1"/>
  <c r="UZ171" i="1"/>
  <c r="UY171" i="1"/>
  <c r="UX171" i="1"/>
  <c r="UW171" i="1"/>
  <c r="UV171" i="1"/>
  <c r="US171" i="1"/>
  <c r="UR171" i="1"/>
  <c r="UQ171" i="1"/>
  <c r="UP171" i="1"/>
  <c r="UM171" i="1"/>
  <c r="UK171" i="1"/>
  <c r="UJ171" i="1"/>
  <c r="UI171" i="1"/>
  <c r="UH171" i="1"/>
  <c r="UG171" i="1"/>
  <c r="UF171" i="1"/>
  <c r="UE171" i="1"/>
  <c r="UD171" i="1"/>
  <c r="UC171" i="1"/>
  <c r="UB171" i="1"/>
  <c r="UA171" i="1"/>
  <c r="TZ171" i="1"/>
  <c r="TX171" i="1"/>
  <c r="TW171" i="1"/>
  <c r="TV171" i="1"/>
  <c r="TU171" i="1"/>
  <c r="TT171" i="1"/>
  <c r="TS171" i="1"/>
  <c r="TP171" i="1"/>
  <c r="TO171" i="1"/>
  <c r="TN171" i="1"/>
  <c r="TM171" i="1"/>
  <c r="TJ171" i="1"/>
  <c r="TH171" i="1"/>
  <c r="TG171" i="1"/>
  <c r="TF171" i="1"/>
  <c r="TE171" i="1"/>
  <c r="TD171" i="1"/>
  <c r="TC171" i="1"/>
  <c r="TB171" i="1"/>
  <c r="TA171" i="1"/>
  <c r="SZ171" i="1"/>
  <c r="SY171" i="1"/>
  <c r="SX171" i="1"/>
  <c r="SW171" i="1"/>
  <c r="SU171" i="1"/>
  <c r="ST171" i="1"/>
  <c r="SS171" i="1"/>
  <c r="SR171" i="1"/>
  <c r="SQ171" i="1"/>
  <c r="SP171" i="1"/>
  <c r="SM171" i="1"/>
  <c r="SL171" i="1"/>
  <c r="SK171" i="1"/>
  <c r="SJ171" i="1"/>
  <c r="SG171" i="1"/>
  <c r="VN170" i="1"/>
  <c r="VM170" i="1"/>
  <c r="VL170" i="1"/>
  <c r="VK170" i="1"/>
  <c r="VJ170" i="1"/>
  <c r="VI170" i="1"/>
  <c r="VH170" i="1"/>
  <c r="VG170" i="1"/>
  <c r="VF170" i="1"/>
  <c r="VE170" i="1"/>
  <c r="VD170" i="1"/>
  <c r="VC170" i="1"/>
  <c r="VA170" i="1"/>
  <c r="UZ170" i="1"/>
  <c r="UY170" i="1"/>
  <c r="UX170" i="1"/>
  <c r="UW170" i="1"/>
  <c r="UV170" i="1"/>
  <c r="US170" i="1"/>
  <c r="UR170" i="1"/>
  <c r="UQ170" i="1"/>
  <c r="UP170" i="1"/>
  <c r="UM170" i="1"/>
  <c r="UK170" i="1"/>
  <c r="UJ170" i="1"/>
  <c r="UI170" i="1"/>
  <c r="UH170" i="1"/>
  <c r="UG170" i="1"/>
  <c r="UF170" i="1"/>
  <c r="UE170" i="1"/>
  <c r="UD170" i="1"/>
  <c r="UC170" i="1"/>
  <c r="UB170" i="1"/>
  <c r="UA170" i="1"/>
  <c r="TZ170" i="1"/>
  <c r="TX170" i="1"/>
  <c r="TW170" i="1"/>
  <c r="TV170" i="1"/>
  <c r="TU170" i="1"/>
  <c r="TT170" i="1"/>
  <c r="TS170" i="1"/>
  <c r="TP170" i="1"/>
  <c r="TO170" i="1"/>
  <c r="TN170" i="1"/>
  <c r="TM170" i="1"/>
  <c r="TJ170" i="1"/>
  <c r="TH170" i="1"/>
  <c r="TG170" i="1"/>
  <c r="TF170" i="1"/>
  <c r="TE170" i="1"/>
  <c r="TD170" i="1"/>
  <c r="TC170" i="1"/>
  <c r="TB170" i="1"/>
  <c r="TA170" i="1"/>
  <c r="SZ170" i="1"/>
  <c r="SY170" i="1"/>
  <c r="SX170" i="1"/>
  <c r="SW170" i="1"/>
  <c r="SU170" i="1"/>
  <c r="ST170" i="1"/>
  <c r="SS170" i="1"/>
  <c r="SR170" i="1"/>
  <c r="SQ170" i="1"/>
  <c r="SP170" i="1"/>
  <c r="SM170" i="1"/>
  <c r="SL170" i="1"/>
  <c r="SK170" i="1"/>
  <c r="SJ170" i="1"/>
  <c r="SG170" i="1"/>
  <c r="VN169" i="1"/>
  <c r="VM169" i="1"/>
  <c r="VL169" i="1"/>
  <c r="VK169" i="1"/>
  <c r="VJ169" i="1"/>
  <c r="VI169" i="1"/>
  <c r="VH169" i="1"/>
  <c r="VG169" i="1"/>
  <c r="VF169" i="1"/>
  <c r="VE169" i="1"/>
  <c r="VD169" i="1"/>
  <c r="VC169" i="1"/>
  <c r="VA169" i="1"/>
  <c r="UZ169" i="1"/>
  <c r="UY169" i="1"/>
  <c r="UX169" i="1"/>
  <c r="UW169" i="1"/>
  <c r="UV169" i="1"/>
  <c r="US169" i="1"/>
  <c r="UR169" i="1"/>
  <c r="UQ169" i="1"/>
  <c r="UP169" i="1"/>
  <c r="UM169" i="1"/>
  <c r="UK169" i="1"/>
  <c r="UJ169" i="1"/>
  <c r="UI169" i="1"/>
  <c r="UH169" i="1"/>
  <c r="UG169" i="1"/>
  <c r="UF169" i="1"/>
  <c r="UE169" i="1"/>
  <c r="UD169" i="1"/>
  <c r="UC169" i="1"/>
  <c r="UB169" i="1"/>
  <c r="UA169" i="1"/>
  <c r="TZ169" i="1"/>
  <c r="TX169" i="1"/>
  <c r="TW169" i="1"/>
  <c r="TV169" i="1"/>
  <c r="TU169" i="1"/>
  <c r="TT169" i="1"/>
  <c r="TS169" i="1"/>
  <c r="TP169" i="1"/>
  <c r="TO169" i="1"/>
  <c r="TN169" i="1"/>
  <c r="TM169" i="1"/>
  <c r="TJ169" i="1"/>
  <c r="TH169" i="1"/>
  <c r="TG169" i="1"/>
  <c r="TF169" i="1"/>
  <c r="TE169" i="1"/>
  <c r="TD169" i="1"/>
  <c r="TC169" i="1"/>
  <c r="TB169" i="1"/>
  <c r="TA169" i="1"/>
  <c r="SZ169" i="1"/>
  <c r="SY169" i="1"/>
  <c r="SX169" i="1"/>
  <c r="SW169" i="1"/>
  <c r="SU169" i="1"/>
  <c r="ST169" i="1"/>
  <c r="SS169" i="1"/>
  <c r="SR169" i="1"/>
  <c r="SQ169" i="1"/>
  <c r="SP169" i="1"/>
  <c r="SM169" i="1"/>
  <c r="SL169" i="1"/>
  <c r="SK169" i="1"/>
  <c r="SJ169" i="1"/>
  <c r="SG169" i="1"/>
  <c r="VN168" i="1"/>
  <c r="VM168" i="1"/>
  <c r="VL168" i="1"/>
  <c r="VK168" i="1"/>
  <c r="VJ168" i="1"/>
  <c r="VI168" i="1"/>
  <c r="VH168" i="1"/>
  <c r="VG168" i="1"/>
  <c r="VF168" i="1"/>
  <c r="VE168" i="1"/>
  <c r="VD168" i="1"/>
  <c r="VC168" i="1"/>
  <c r="VA168" i="1"/>
  <c r="UZ168" i="1"/>
  <c r="UY168" i="1"/>
  <c r="UX168" i="1"/>
  <c r="UW168" i="1"/>
  <c r="UV168" i="1"/>
  <c r="US168" i="1"/>
  <c r="UR168" i="1"/>
  <c r="UQ168" i="1"/>
  <c r="UP168" i="1"/>
  <c r="UM168" i="1"/>
  <c r="UK168" i="1"/>
  <c r="UJ168" i="1"/>
  <c r="UI168" i="1"/>
  <c r="UH168" i="1"/>
  <c r="UG168" i="1"/>
  <c r="UF168" i="1"/>
  <c r="UE168" i="1"/>
  <c r="UD168" i="1"/>
  <c r="UC168" i="1"/>
  <c r="UB168" i="1"/>
  <c r="UA168" i="1"/>
  <c r="TZ168" i="1"/>
  <c r="TX168" i="1"/>
  <c r="TW168" i="1"/>
  <c r="TV168" i="1"/>
  <c r="TU168" i="1"/>
  <c r="TT168" i="1"/>
  <c r="TS168" i="1"/>
  <c r="TP168" i="1"/>
  <c r="TO168" i="1"/>
  <c r="TN168" i="1"/>
  <c r="TM168" i="1"/>
  <c r="TJ168" i="1"/>
  <c r="TH168" i="1"/>
  <c r="TG168" i="1"/>
  <c r="TF168" i="1"/>
  <c r="TE168" i="1"/>
  <c r="TD168" i="1"/>
  <c r="TC168" i="1"/>
  <c r="TB168" i="1"/>
  <c r="TA168" i="1"/>
  <c r="SZ168" i="1"/>
  <c r="SY168" i="1"/>
  <c r="SX168" i="1"/>
  <c r="SW168" i="1"/>
  <c r="SU168" i="1"/>
  <c r="ST168" i="1"/>
  <c r="SS168" i="1"/>
  <c r="SR168" i="1"/>
  <c r="SQ168" i="1"/>
  <c r="SP168" i="1"/>
  <c r="SM168" i="1"/>
  <c r="SL168" i="1"/>
  <c r="SK168" i="1"/>
  <c r="SJ168" i="1"/>
  <c r="SG168" i="1"/>
  <c r="VN167" i="1"/>
  <c r="VM167" i="1"/>
  <c r="VL167" i="1"/>
  <c r="VK167" i="1"/>
  <c r="VJ167" i="1"/>
  <c r="VI167" i="1"/>
  <c r="VH167" i="1"/>
  <c r="VG167" i="1"/>
  <c r="VF167" i="1"/>
  <c r="VE167" i="1"/>
  <c r="VD167" i="1"/>
  <c r="VC167" i="1"/>
  <c r="VA167" i="1"/>
  <c r="UZ167" i="1"/>
  <c r="UY167" i="1"/>
  <c r="UX167" i="1"/>
  <c r="UW167" i="1"/>
  <c r="UV167" i="1"/>
  <c r="US167" i="1"/>
  <c r="UR167" i="1"/>
  <c r="UQ167" i="1"/>
  <c r="UP167" i="1"/>
  <c r="UM167" i="1"/>
  <c r="UK167" i="1"/>
  <c r="UJ167" i="1"/>
  <c r="UI167" i="1"/>
  <c r="UH167" i="1"/>
  <c r="UG167" i="1"/>
  <c r="UF167" i="1"/>
  <c r="UE167" i="1"/>
  <c r="UD167" i="1"/>
  <c r="UC167" i="1"/>
  <c r="UB167" i="1"/>
  <c r="UA167" i="1"/>
  <c r="TZ167" i="1"/>
  <c r="TX167" i="1"/>
  <c r="TW167" i="1"/>
  <c r="TV167" i="1"/>
  <c r="TU167" i="1"/>
  <c r="TT167" i="1"/>
  <c r="TS167" i="1"/>
  <c r="TP167" i="1"/>
  <c r="TO167" i="1"/>
  <c r="TN167" i="1"/>
  <c r="TM167" i="1"/>
  <c r="TJ167" i="1"/>
  <c r="TH167" i="1"/>
  <c r="TG167" i="1"/>
  <c r="TF167" i="1"/>
  <c r="TE167" i="1"/>
  <c r="TD167" i="1"/>
  <c r="TC167" i="1"/>
  <c r="TB167" i="1"/>
  <c r="TA167" i="1"/>
  <c r="SZ167" i="1"/>
  <c r="SY167" i="1"/>
  <c r="SX167" i="1"/>
  <c r="SW167" i="1"/>
  <c r="SU167" i="1"/>
  <c r="ST167" i="1"/>
  <c r="SS167" i="1"/>
  <c r="SR167" i="1"/>
  <c r="SQ167" i="1"/>
  <c r="SP167" i="1"/>
  <c r="SM167" i="1"/>
  <c r="SL167" i="1"/>
  <c r="SK167" i="1"/>
  <c r="SJ167" i="1"/>
  <c r="SG167" i="1"/>
  <c r="VN166" i="1"/>
  <c r="VM166" i="1"/>
  <c r="VL166" i="1"/>
  <c r="VK166" i="1"/>
  <c r="VJ166" i="1"/>
  <c r="VI166" i="1"/>
  <c r="VH166" i="1"/>
  <c r="VG166" i="1"/>
  <c r="VF166" i="1"/>
  <c r="VE166" i="1"/>
  <c r="VD166" i="1"/>
  <c r="VC166" i="1"/>
  <c r="VA166" i="1"/>
  <c r="UZ166" i="1"/>
  <c r="UY166" i="1"/>
  <c r="UX166" i="1"/>
  <c r="UW166" i="1"/>
  <c r="UV166" i="1"/>
  <c r="US166" i="1"/>
  <c r="UR166" i="1"/>
  <c r="UQ166" i="1"/>
  <c r="UP166" i="1"/>
  <c r="UM166" i="1"/>
  <c r="UK166" i="1"/>
  <c r="UJ166" i="1"/>
  <c r="UI166" i="1"/>
  <c r="UH166" i="1"/>
  <c r="UG166" i="1"/>
  <c r="UF166" i="1"/>
  <c r="UE166" i="1"/>
  <c r="UD166" i="1"/>
  <c r="UC166" i="1"/>
  <c r="UB166" i="1"/>
  <c r="UA166" i="1"/>
  <c r="TZ166" i="1"/>
  <c r="TX166" i="1"/>
  <c r="TW166" i="1"/>
  <c r="TV166" i="1"/>
  <c r="TU166" i="1"/>
  <c r="TT166" i="1"/>
  <c r="TS166" i="1"/>
  <c r="TP166" i="1"/>
  <c r="TO166" i="1"/>
  <c r="TN166" i="1"/>
  <c r="TM166" i="1"/>
  <c r="TJ166" i="1"/>
  <c r="TH166" i="1"/>
  <c r="TG166" i="1"/>
  <c r="TF166" i="1"/>
  <c r="TE166" i="1"/>
  <c r="TD166" i="1"/>
  <c r="TC166" i="1"/>
  <c r="TB166" i="1"/>
  <c r="TA166" i="1"/>
  <c r="SZ166" i="1"/>
  <c r="SY166" i="1"/>
  <c r="SX166" i="1"/>
  <c r="SW166" i="1"/>
  <c r="SU166" i="1"/>
  <c r="ST166" i="1"/>
  <c r="SS166" i="1"/>
  <c r="SR166" i="1"/>
  <c r="SQ166" i="1"/>
  <c r="SP166" i="1"/>
  <c r="SM166" i="1"/>
  <c r="SL166" i="1"/>
  <c r="SK166" i="1"/>
  <c r="SJ166" i="1"/>
  <c r="SG166" i="1"/>
  <c r="VN165" i="1"/>
  <c r="VM165" i="1"/>
  <c r="VL165" i="1"/>
  <c r="VK165" i="1"/>
  <c r="VJ165" i="1"/>
  <c r="VI165" i="1"/>
  <c r="VH165" i="1"/>
  <c r="VG165" i="1"/>
  <c r="VF165" i="1"/>
  <c r="VE165" i="1"/>
  <c r="VD165" i="1"/>
  <c r="VC165" i="1"/>
  <c r="VA165" i="1"/>
  <c r="UZ165" i="1"/>
  <c r="UY165" i="1"/>
  <c r="UX165" i="1"/>
  <c r="UW165" i="1"/>
  <c r="UV165" i="1"/>
  <c r="US165" i="1"/>
  <c r="UR165" i="1"/>
  <c r="UQ165" i="1"/>
  <c r="UP165" i="1"/>
  <c r="UM165" i="1"/>
  <c r="UK165" i="1"/>
  <c r="UJ165" i="1"/>
  <c r="UI165" i="1"/>
  <c r="UH165" i="1"/>
  <c r="UG165" i="1"/>
  <c r="UF165" i="1"/>
  <c r="UE165" i="1"/>
  <c r="UD165" i="1"/>
  <c r="UC165" i="1"/>
  <c r="UB165" i="1"/>
  <c r="UA165" i="1"/>
  <c r="TZ165" i="1"/>
  <c r="TX165" i="1"/>
  <c r="TW165" i="1"/>
  <c r="TV165" i="1"/>
  <c r="TU165" i="1"/>
  <c r="TT165" i="1"/>
  <c r="TS165" i="1"/>
  <c r="TP165" i="1"/>
  <c r="TO165" i="1"/>
  <c r="TN165" i="1"/>
  <c r="TM165" i="1"/>
  <c r="TJ165" i="1"/>
  <c r="TH165" i="1"/>
  <c r="TG165" i="1"/>
  <c r="TF165" i="1"/>
  <c r="TE165" i="1"/>
  <c r="TD165" i="1"/>
  <c r="TC165" i="1"/>
  <c r="TB165" i="1"/>
  <c r="TA165" i="1"/>
  <c r="SZ165" i="1"/>
  <c r="SY165" i="1"/>
  <c r="SX165" i="1"/>
  <c r="SW165" i="1"/>
  <c r="SU165" i="1"/>
  <c r="ST165" i="1"/>
  <c r="SS165" i="1"/>
  <c r="SR165" i="1"/>
  <c r="SQ165" i="1"/>
  <c r="SP165" i="1"/>
  <c r="SM165" i="1"/>
  <c r="SL165" i="1"/>
  <c r="SK165" i="1"/>
  <c r="SJ165" i="1"/>
  <c r="SG165" i="1"/>
  <c r="VN164" i="1"/>
  <c r="VM164" i="1"/>
  <c r="VL164" i="1"/>
  <c r="VK164" i="1"/>
  <c r="VJ164" i="1"/>
  <c r="VI164" i="1"/>
  <c r="VH164" i="1"/>
  <c r="VG164" i="1"/>
  <c r="VF164" i="1"/>
  <c r="VE164" i="1"/>
  <c r="VD164" i="1"/>
  <c r="VC164" i="1"/>
  <c r="VA164" i="1"/>
  <c r="UZ164" i="1"/>
  <c r="UY164" i="1"/>
  <c r="UX164" i="1"/>
  <c r="UW164" i="1"/>
  <c r="UV164" i="1"/>
  <c r="US164" i="1"/>
  <c r="UR164" i="1"/>
  <c r="UQ164" i="1"/>
  <c r="UP164" i="1"/>
  <c r="UM164" i="1"/>
  <c r="UK164" i="1"/>
  <c r="UJ164" i="1"/>
  <c r="UI164" i="1"/>
  <c r="UH164" i="1"/>
  <c r="UG164" i="1"/>
  <c r="UF164" i="1"/>
  <c r="UE164" i="1"/>
  <c r="UD164" i="1"/>
  <c r="UC164" i="1"/>
  <c r="UB164" i="1"/>
  <c r="UA164" i="1"/>
  <c r="TZ164" i="1"/>
  <c r="TX164" i="1"/>
  <c r="TW164" i="1"/>
  <c r="TV164" i="1"/>
  <c r="TU164" i="1"/>
  <c r="TT164" i="1"/>
  <c r="TS164" i="1"/>
  <c r="TP164" i="1"/>
  <c r="TO164" i="1"/>
  <c r="TN164" i="1"/>
  <c r="TM164" i="1"/>
  <c r="TJ164" i="1"/>
  <c r="TH164" i="1"/>
  <c r="TG164" i="1"/>
  <c r="TF164" i="1"/>
  <c r="TE164" i="1"/>
  <c r="TD164" i="1"/>
  <c r="TC164" i="1"/>
  <c r="TB164" i="1"/>
  <c r="TA164" i="1"/>
  <c r="SZ164" i="1"/>
  <c r="SY164" i="1"/>
  <c r="SX164" i="1"/>
  <c r="SW164" i="1"/>
  <c r="SU164" i="1"/>
  <c r="ST164" i="1"/>
  <c r="SS164" i="1"/>
  <c r="SR164" i="1"/>
  <c r="SQ164" i="1"/>
  <c r="SP164" i="1"/>
  <c r="SM164" i="1"/>
  <c r="SL164" i="1"/>
  <c r="SK164" i="1"/>
  <c r="SJ164" i="1"/>
  <c r="SG164" i="1"/>
  <c r="VN163" i="1"/>
  <c r="VM163" i="1"/>
  <c r="VL163" i="1"/>
  <c r="VK163" i="1"/>
  <c r="VJ163" i="1"/>
  <c r="VI163" i="1"/>
  <c r="VH163" i="1"/>
  <c r="VG163" i="1"/>
  <c r="VF163" i="1"/>
  <c r="VE163" i="1"/>
  <c r="VD163" i="1"/>
  <c r="VC163" i="1"/>
  <c r="VA163" i="1"/>
  <c r="UZ163" i="1"/>
  <c r="UY163" i="1"/>
  <c r="UX163" i="1"/>
  <c r="UW163" i="1"/>
  <c r="UV163" i="1"/>
  <c r="US163" i="1"/>
  <c r="UR163" i="1"/>
  <c r="UQ163" i="1"/>
  <c r="UP163" i="1"/>
  <c r="UM163" i="1"/>
  <c r="UK163" i="1"/>
  <c r="UJ163" i="1"/>
  <c r="UI163" i="1"/>
  <c r="UH163" i="1"/>
  <c r="UG163" i="1"/>
  <c r="UF163" i="1"/>
  <c r="UE163" i="1"/>
  <c r="UD163" i="1"/>
  <c r="UC163" i="1"/>
  <c r="UB163" i="1"/>
  <c r="UA163" i="1"/>
  <c r="TZ163" i="1"/>
  <c r="TX163" i="1"/>
  <c r="TW163" i="1"/>
  <c r="TV163" i="1"/>
  <c r="TU163" i="1"/>
  <c r="TT163" i="1"/>
  <c r="TS163" i="1"/>
  <c r="TP163" i="1"/>
  <c r="TO163" i="1"/>
  <c r="TN163" i="1"/>
  <c r="TM163" i="1"/>
  <c r="TJ163" i="1"/>
  <c r="TH163" i="1"/>
  <c r="TG163" i="1"/>
  <c r="TF163" i="1"/>
  <c r="TE163" i="1"/>
  <c r="TD163" i="1"/>
  <c r="TC163" i="1"/>
  <c r="TB163" i="1"/>
  <c r="TA163" i="1"/>
  <c r="SZ163" i="1"/>
  <c r="SY163" i="1"/>
  <c r="SX163" i="1"/>
  <c r="SW163" i="1"/>
  <c r="SU163" i="1"/>
  <c r="ST163" i="1"/>
  <c r="SS163" i="1"/>
  <c r="SR163" i="1"/>
  <c r="SQ163" i="1"/>
  <c r="SP163" i="1"/>
  <c r="SM163" i="1"/>
  <c r="SL163" i="1"/>
  <c r="SK163" i="1"/>
  <c r="SJ163" i="1"/>
  <c r="SG163" i="1"/>
  <c r="VN162" i="1"/>
  <c r="VM162" i="1"/>
  <c r="VL162" i="1"/>
  <c r="VK162" i="1"/>
  <c r="VJ162" i="1"/>
  <c r="VI162" i="1"/>
  <c r="VH162" i="1"/>
  <c r="VG162" i="1"/>
  <c r="VF162" i="1"/>
  <c r="VE162" i="1"/>
  <c r="VD162" i="1"/>
  <c r="VC162" i="1"/>
  <c r="VA162" i="1"/>
  <c r="UZ162" i="1"/>
  <c r="UY162" i="1"/>
  <c r="UX162" i="1"/>
  <c r="UW162" i="1"/>
  <c r="UV162" i="1"/>
  <c r="US162" i="1"/>
  <c r="UR162" i="1"/>
  <c r="UQ162" i="1"/>
  <c r="UP162" i="1"/>
  <c r="UM162" i="1"/>
  <c r="UK162" i="1"/>
  <c r="UJ162" i="1"/>
  <c r="UI162" i="1"/>
  <c r="UH162" i="1"/>
  <c r="UG162" i="1"/>
  <c r="UF162" i="1"/>
  <c r="UE162" i="1"/>
  <c r="UD162" i="1"/>
  <c r="UC162" i="1"/>
  <c r="UB162" i="1"/>
  <c r="UA162" i="1"/>
  <c r="TZ162" i="1"/>
  <c r="TX162" i="1"/>
  <c r="TW162" i="1"/>
  <c r="TV162" i="1"/>
  <c r="TU162" i="1"/>
  <c r="TT162" i="1"/>
  <c r="TS162" i="1"/>
  <c r="TP162" i="1"/>
  <c r="TO162" i="1"/>
  <c r="TN162" i="1"/>
  <c r="TM162" i="1"/>
  <c r="TJ162" i="1"/>
  <c r="TH162" i="1"/>
  <c r="TG162" i="1"/>
  <c r="TF162" i="1"/>
  <c r="TE162" i="1"/>
  <c r="TD162" i="1"/>
  <c r="TC162" i="1"/>
  <c r="TB162" i="1"/>
  <c r="TA162" i="1"/>
  <c r="SZ162" i="1"/>
  <c r="SY162" i="1"/>
  <c r="SX162" i="1"/>
  <c r="SW162" i="1"/>
  <c r="SU162" i="1"/>
  <c r="ST162" i="1"/>
  <c r="SS162" i="1"/>
  <c r="SR162" i="1"/>
  <c r="SQ162" i="1"/>
  <c r="SP162" i="1"/>
  <c r="SM162" i="1"/>
  <c r="SL162" i="1"/>
  <c r="SK162" i="1"/>
  <c r="SJ162" i="1"/>
  <c r="SG162" i="1"/>
  <c r="VN161" i="1"/>
  <c r="VM161" i="1"/>
  <c r="VL161" i="1"/>
  <c r="VK161" i="1"/>
  <c r="VJ161" i="1"/>
  <c r="VI161" i="1"/>
  <c r="VH161" i="1"/>
  <c r="VG161" i="1"/>
  <c r="VF161" i="1"/>
  <c r="VE161" i="1"/>
  <c r="VD161" i="1"/>
  <c r="VC161" i="1"/>
  <c r="VA161" i="1"/>
  <c r="UZ161" i="1"/>
  <c r="UY161" i="1"/>
  <c r="UX161" i="1"/>
  <c r="UW161" i="1"/>
  <c r="UV161" i="1"/>
  <c r="US161" i="1"/>
  <c r="UR161" i="1"/>
  <c r="UQ161" i="1"/>
  <c r="UP161" i="1"/>
  <c r="UM161" i="1"/>
  <c r="UK161" i="1"/>
  <c r="UJ161" i="1"/>
  <c r="UI161" i="1"/>
  <c r="UH161" i="1"/>
  <c r="UG161" i="1"/>
  <c r="UF161" i="1"/>
  <c r="UE161" i="1"/>
  <c r="UD161" i="1"/>
  <c r="UC161" i="1"/>
  <c r="UB161" i="1"/>
  <c r="UA161" i="1"/>
  <c r="TZ161" i="1"/>
  <c r="TX161" i="1"/>
  <c r="TW161" i="1"/>
  <c r="TV161" i="1"/>
  <c r="TU161" i="1"/>
  <c r="TT161" i="1"/>
  <c r="TS161" i="1"/>
  <c r="TP161" i="1"/>
  <c r="TO161" i="1"/>
  <c r="TN161" i="1"/>
  <c r="TM161" i="1"/>
  <c r="TJ161" i="1"/>
  <c r="TH161" i="1"/>
  <c r="TG161" i="1"/>
  <c r="TF161" i="1"/>
  <c r="TE161" i="1"/>
  <c r="TD161" i="1"/>
  <c r="TC161" i="1"/>
  <c r="TB161" i="1"/>
  <c r="TA161" i="1"/>
  <c r="SZ161" i="1"/>
  <c r="SY161" i="1"/>
  <c r="SX161" i="1"/>
  <c r="SW161" i="1"/>
  <c r="SU161" i="1"/>
  <c r="ST161" i="1"/>
  <c r="SS161" i="1"/>
  <c r="SR161" i="1"/>
  <c r="SQ161" i="1"/>
  <c r="SP161" i="1"/>
  <c r="SM161" i="1"/>
  <c r="SL161" i="1"/>
  <c r="SK161" i="1"/>
  <c r="SJ161" i="1"/>
  <c r="SG161" i="1"/>
  <c r="VN160" i="1"/>
  <c r="VM160" i="1"/>
  <c r="VL160" i="1"/>
  <c r="VK160" i="1"/>
  <c r="VJ160" i="1"/>
  <c r="VI160" i="1"/>
  <c r="VH160" i="1"/>
  <c r="VG160" i="1"/>
  <c r="VF160" i="1"/>
  <c r="VE160" i="1"/>
  <c r="VD160" i="1"/>
  <c r="VC160" i="1"/>
  <c r="VA160" i="1"/>
  <c r="UZ160" i="1"/>
  <c r="UY160" i="1"/>
  <c r="UX160" i="1"/>
  <c r="UW160" i="1"/>
  <c r="UV160" i="1"/>
  <c r="US160" i="1"/>
  <c r="UR160" i="1"/>
  <c r="UQ160" i="1"/>
  <c r="UP160" i="1"/>
  <c r="UM160" i="1"/>
  <c r="UK160" i="1"/>
  <c r="UJ160" i="1"/>
  <c r="UI160" i="1"/>
  <c r="UH160" i="1"/>
  <c r="UG160" i="1"/>
  <c r="UF160" i="1"/>
  <c r="UE160" i="1"/>
  <c r="UD160" i="1"/>
  <c r="UC160" i="1"/>
  <c r="UB160" i="1"/>
  <c r="UA160" i="1"/>
  <c r="TZ160" i="1"/>
  <c r="TX160" i="1"/>
  <c r="TW160" i="1"/>
  <c r="TV160" i="1"/>
  <c r="TU160" i="1"/>
  <c r="TT160" i="1"/>
  <c r="TS160" i="1"/>
  <c r="TP160" i="1"/>
  <c r="TO160" i="1"/>
  <c r="TN160" i="1"/>
  <c r="TM160" i="1"/>
  <c r="TJ160" i="1"/>
  <c r="TH160" i="1"/>
  <c r="TG160" i="1"/>
  <c r="TF160" i="1"/>
  <c r="TE160" i="1"/>
  <c r="TD160" i="1"/>
  <c r="TC160" i="1"/>
  <c r="TB160" i="1"/>
  <c r="TA160" i="1"/>
  <c r="SZ160" i="1"/>
  <c r="SY160" i="1"/>
  <c r="SX160" i="1"/>
  <c r="SW160" i="1"/>
  <c r="SU160" i="1"/>
  <c r="ST160" i="1"/>
  <c r="SS160" i="1"/>
  <c r="SR160" i="1"/>
  <c r="SQ160" i="1"/>
  <c r="SP160" i="1"/>
  <c r="SM160" i="1"/>
  <c r="SL160" i="1"/>
  <c r="SK160" i="1"/>
  <c r="SJ160" i="1"/>
  <c r="SG160" i="1"/>
  <c r="VN159" i="1"/>
  <c r="VM159" i="1"/>
  <c r="VL159" i="1"/>
  <c r="VK159" i="1"/>
  <c r="VJ159" i="1"/>
  <c r="VI159" i="1"/>
  <c r="VH159" i="1"/>
  <c r="VG159" i="1"/>
  <c r="VF159" i="1"/>
  <c r="VE159" i="1"/>
  <c r="VD159" i="1"/>
  <c r="VC159" i="1"/>
  <c r="VA159" i="1"/>
  <c r="UZ159" i="1"/>
  <c r="UY159" i="1"/>
  <c r="UX159" i="1"/>
  <c r="UW159" i="1"/>
  <c r="UV159" i="1"/>
  <c r="US159" i="1"/>
  <c r="UR159" i="1"/>
  <c r="UQ159" i="1"/>
  <c r="UP159" i="1"/>
  <c r="UM159" i="1"/>
  <c r="UK159" i="1"/>
  <c r="UJ159" i="1"/>
  <c r="UI159" i="1"/>
  <c r="UH159" i="1"/>
  <c r="UG159" i="1"/>
  <c r="UF159" i="1"/>
  <c r="UE159" i="1"/>
  <c r="UD159" i="1"/>
  <c r="UC159" i="1"/>
  <c r="UB159" i="1"/>
  <c r="UA159" i="1"/>
  <c r="TZ159" i="1"/>
  <c r="TX159" i="1"/>
  <c r="TW159" i="1"/>
  <c r="TV159" i="1"/>
  <c r="TU159" i="1"/>
  <c r="TT159" i="1"/>
  <c r="TS159" i="1"/>
  <c r="TP159" i="1"/>
  <c r="TO159" i="1"/>
  <c r="TN159" i="1"/>
  <c r="TM159" i="1"/>
  <c r="TJ159" i="1"/>
  <c r="TH159" i="1"/>
  <c r="TG159" i="1"/>
  <c r="TF159" i="1"/>
  <c r="TE159" i="1"/>
  <c r="TD159" i="1"/>
  <c r="TC159" i="1"/>
  <c r="TB159" i="1"/>
  <c r="TA159" i="1"/>
  <c r="SZ159" i="1"/>
  <c r="SY159" i="1"/>
  <c r="SX159" i="1"/>
  <c r="SW159" i="1"/>
  <c r="SU159" i="1"/>
  <c r="ST159" i="1"/>
  <c r="SS159" i="1"/>
  <c r="SR159" i="1"/>
  <c r="SQ159" i="1"/>
  <c r="SP159" i="1"/>
  <c r="SM159" i="1"/>
  <c r="SL159" i="1"/>
  <c r="SK159" i="1"/>
  <c r="SJ159" i="1"/>
  <c r="SG159" i="1"/>
  <c r="VN158" i="1"/>
  <c r="VM158" i="1"/>
  <c r="VL158" i="1"/>
  <c r="VK158" i="1"/>
  <c r="VJ158" i="1"/>
  <c r="VI158" i="1"/>
  <c r="VH158" i="1"/>
  <c r="VG158" i="1"/>
  <c r="VF158" i="1"/>
  <c r="VE158" i="1"/>
  <c r="VD158" i="1"/>
  <c r="VC158" i="1"/>
  <c r="VA158" i="1"/>
  <c r="UZ158" i="1"/>
  <c r="UY158" i="1"/>
  <c r="UX158" i="1"/>
  <c r="UW158" i="1"/>
  <c r="UV158" i="1"/>
  <c r="US158" i="1"/>
  <c r="UR158" i="1"/>
  <c r="UQ158" i="1"/>
  <c r="UP158" i="1"/>
  <c r="UM158" i="1"/>
  <c r="UK158" i="1"/>
  <c r="UJ158" i="1"/>
  <c r="UI158" i="1"/>
  <c r="UH158" i="1"/>
  <c r="UG158" i="1"/>
  <c r="UF158" i="1"/>
  <c r="UE158" i="1"/>
  <c r="UD158" i="1"/>
  <c r="UC158" i="1"/>
  <c r="UB158" i="1"/>
  <c r="UA158" i="1"/>
  <c r="TZ158" i="1"/>
  <c r="TX158" i="1"/>
  <c r="TW158" i="1"/>
  <c r="TV158" i="1"/>
  <c r="TU158" i="1"/>
  <c r="TT158" i="1"/>
  <c r="TS158" i="1"/>
  <c r="TP158" i="1"/>
  <c r="TO158" i="1"/>
  <c r="TN158" i="1"/>
  <c r="TM158" i="1"/>
  <c r="TJ158" i="1"/>
  <c r="TH158" i="1"/>
  <c r="TG158" i="1"/>
  <c r="TF158" i="1"/>
  <c r="TE158" i="1"/>
  <c r="TD158" i="1"/>
  <c r="TC158" i="1"/>
  <c r="TB158" i="1"/>
  <c r="TA158" i="1"/>
  <c r="SZ158" i="1"/>
  <c r="SY158" i="1"/>
  <c r="SX158" i="1"/>
  <c r="SW158" i="1"/>
  <c r="SU158" i="1"/>
  <c r="ST158" i="1"/>
  <c r="SS158" i="1"/>
  <c r="SR158" i="1"/>
  <c r="SQ158" i="1"/>
  <c r="SP158" i="1"/>
  <c r="SM158" i="1"/>
  <c r="SL158" i="1"/>
  <c r="SK158" i="1"/>
  <c r="SJ158" i="1"/>
  <c r="SG158" i="1"/>
  <c r="VN157" i="1"/>
  <c r="VM157" i="1"/>
  <c r="VL157" i="1"/>
  <c r="VK157" i="1"/>
  <c r="VJ157" i="1"/>
  <c r="VI157" i="1"/>
  <c r="VH157" i="1"/>
  <c r="VG157" i="1"/>
  <c r="VF157" i="1"/>
  <c r="VE157" i="1"/>
  <c r="VD157" i="1"/>
  <c r="VC157" i="1"/>
  <c r="VA157" i="1"/>
  <c r="UZ157" i="1"/>
  <c r="UY157" i="1"/>
  <c r="UX157" i="1"/>
  <c r="UW157" i="1"/>
  <c r="UV157" i="1"/>
  <c r="US157" i="1"/>
  <c r="UR157" i="1"/>
  <c r="UQ157" i="1"/>
  <c r="UP157" i="1"/>
  <c r="UM157" i="1"/>
  <c r="UK157" i="1"/>
  <c r="UJ157" i="1"/>
  <c r="UI157" i="1"/>
  <c r="UH157" i="1"/>
  <c r="UG157" i="1"/>
  <c r="UF157" i="1"/>
  <c r="UE157" i="1"/>
  <c r="UD157" i="1"/>
  <c r="UC157" i="1"/>
  <c r="UB157" i="1"/>
  <c r="UA157" i="1"/>
  <c r="TZ157" i="1"/>
  <c r="TX157" i="1"/>
  <c r="TW157" i="1"/>
  <c r="TV157" i="1"/>
  <c r="TU157" i="1"/>
  <c r="TT157" i="1"/>
  <c r="TS157" i="1"/>
  <c r="TP157" i="1"/>
  <c r="TO157" i="1"/>
  <c r="TN157" i="1"/>
  <c r="TM157" i="1"/>
  <c r="TJ157" i="1"/>
  <c r="TH157" i="1"/>
  <c r="TG157" i="1"/>
  <c r="TF157" i="1"/>
  <c r="TE157" i="1"/>
  <c r="TD157" i="1"/>
  <c r="TC157" i="1"/>
  <c r="TB157" i="1"/>
  <c r="TA157" i="1"/>
  <c r="SZ157" i="1"/>
  <c r="SY157" i="1"/>
  <c r="SX157" i="1"/>
  <c r="SW157" i="1"/>
  <c r="SU157" i="1"/>
  <c r="ST157" i="1"/>
  <c r="SS157" i="1"/>
  <c r="SR157" i="1"/>
  <c r="SQ157" i="1"/>
  <c r="SP157" i="1"/>
  <c r="SM157" i="1"/>
  <c r="SL157" i="1"/>
  <c r="SK157" i="1"/>
  <c r="SJ157" i="1"/>
  <c r="SG157" i="1"/>
  <c r="VN156" i="1"/>
  <c r="VM156" i="1"/>
  <c r="VL156" i="1"/>
  <c r="VK156" i="1"/>
  <c r="VJ156" i="1"/>
  <c r="VI156" i="1"/>
  <c r="VH156" i="1"/>
  <c r="VG156" i="1"/>
  <c r="VF156" i="1"/>
  <c r="VE156" i="1"/>
  <c r="VD156" i="1"/>
  <c r="VC156" i="1"/>
  <c r="VA156" i="1"/>
  <c r="UZ156" i="1"/>
  <c r="UY156" i="1"/>
  <c r="UX156" i="1"/>
  <c r="UW156" i="1"/>
  <c r="UV156" i="1"/>
  <c r="US156" i="1"/>
  <c r="UR156" i="1"/>
  <c r="UQ156" i="1"/>
  <c r="UP156" i="1"/>
  <c r="UM156" i="1"/>
  <c r="UK156" i="1"/>
  <c r="UJ156" i="1"/>
  <c r="UI156" i="1"/>
  <c r="UH156" i="1"/>
  <c r="UG156" i="1"/>
  <c r="UF156" i="1"/>
  <c r="UE156" i="1"/>
  <c r="UD156" i="1"/>
  <c r="UC156" i="1"/>
  <c r="UB156" i="1"/>
  <c r="UA156" i="1"/>
  <c r="TZ156" i="1"/>
  <c r="TX156" i="1"/>
  <c r="TW156" i="1"/>
  <c r="TV156" i="1"/>
  <c r="TU156" i="1"/>
  <c r="TT156" i="1"/>
  <c r="TS156" i="1"/>
  <c r="TP156" i="1"/>
  <c r="TO156" i="1"/>
  <c r="TN156" i="1"/>
  <c r="TM156" i="1"/>
  <c r="TJ156" i="1"/>
  <c r="TH156" i="1"/>
  <c r="TG156" i="1"/>
  <c r="TF156" i="1"/>
  <c r="TE156" i="1"/>
  <c r="TD156" i="1"/>
  <c r="TC156" i="1"/>
  <c r="TB156" i="1"/>
  <c r="TA156" i="1"/>
  <c r="SZ156" i="1"/>
  <c r="SY156" i="1"/>
  <c r="SX156" i="1"/>
  <c r="SW156" i="1"/>
  <c r="SU156" i="1"/>
  <c r="ST156" i="1"/>
  <c r="SS156" i="1"/>
  <c r="SR156" i="1"/>
  <c r="SQ156" i="1"/>
  <c r="SP156" i="1"/>
  <c r="SM156" i="1"/>
  <c r="SL156" i="1"/>
  <c r="SK156" i="1"/>
  <c r="SJ156" i="1"/>
  <c r="SG156" i="1"/>
  <c r="VN155" i="1"/>
  <c r="VM155" i="1"/>
  <c r="VL155" i="1"/>
  <c r="VK155" i="1"/>
  <c r="VJ155" i="1"/>
  <c r="VI155" i="1"/>
  <c r="VH155" i="1"/>
  <c r="VG155" i="1"/>
  <c r="VF155" i="1"/>
  <c r="VE155" i="1"/>
  <c r="VD155" i="1"/>
  <c r="VC155" i="1"/>
  <c r="VA155" i="1"/>
  <c r="UZ155" i="1"/>
  <c r="UY155" i="1"/>
  <c r="UX155" i="1"/>
  <c r="UW155" i="1"/>
  <c r="UV155" i="1"/>
  <c r="US155" i="1"/>
  <c r="UR155" i="1"/>
  <c r="UQ155" i="1"/>
  <c r="UP155" i="1"/>
  <c r="UM155" i="1"/>
  <c r="UK155" i="1"/>
  <c r="UJ155" i="1"/>
  <c r="UI155" i="1"/>
  <c r="UH155" i="1"/>
  <c r="UG155" i="1"/>
  <c r="UF155" i="1"/>
  <c r="UE155" i="1"/>
  <c r="UD155" i="1"/>
  <c r="UC155" i="1"/>
  <c r="UB155" i="1"/>
  <c r="UA155" i="1"/>
  <c r="TZ155" i="1"/>
  <c r="TX155" i="1"/>
  <c r="TW155" i="1"/>
  <c r="TV155" i="1"/>
  <c r="TU155" i="1"/>
  <c r="TT155" i="1"/>
  <c r="TS155" i="1"/>
  <c r="TP155" i="1"/>
  <c r="TO155" i="1"/>
  <c r="TN155" i="1"/>
  <c r="TM155" i="1"/>
  <c r="TJ155" i="1"/>
  <c r="TH155" i="1"/>
  <c r="TG155" i="1"/>
  <c r="TF155" i="1"/>
  <c r="TE155" i="1"/>
  <c r="TD155" i="1"/>
  <c r="TC155" i="1"/>
  <c r="TB155" i="1"/>
  <c r="TA155" i="1"/>
  <c r="SZ155" i="1"/>
  <c r="SY155" i="1"/>
  <c r="SX155" i="1"/>
  <c r="SW155" i="1"/>
  <c r="SU155" i="1"/>
  <c r="ST155" i="1"/>
  <c r="SS155" i="1"/>
  <c r="SR155" i="1"/>
  <c r="SQ155" i="1"/>
  <c r="SP155" i="1"/>
  <c r="SM155" i="1"/>
  <c r="SL155" i="1"/>
  <c r="SK155" i="1"/>
  <c r="SJ155" i="1"/>
  <c r="SG155" i="1"/>
  <c r="VN154" i="1"/>
  <c r="VM154" i="1"/>
  <c r="VL154" i="1"/>
  <c r="VK154" i="1"/>
  <c r="VJ154" i="1"/>
  <c r="VI154" i="1"/>
  <c r="VH154" i="1"/>
  <c r="VG154" i="1"/>
  <c r="VF154" i="1"/>
  <c r="VE154" i="1"/>
  <c r="VD154" i="1"/>
  <c r="VC154" i="1"/>
  <c r="VA154" i="1"/>
  <c r="UZ154" i="1"/>
  <c r="UY154" i="1"/>
  <c r="UX154" i="1"/>
  <c r="UW154" i="1"/>
  <c r="UV154" i="1"/>
  <c r="US154" i="1"/>
  <c r="UR154" i="1"/>
  <c r="UQ154" i="1"/>
  <c r="UP154" i="1"/>
  <c r="UM154" i="1"/>
  <c r="UK154" i="1"/>
  <c r="UJ154" i="1"/>
  <c r="UI154" i="1"/>
  <c r="UH154" i="1"/>
  <c r="UG154" i="1"/>
  <c r="UF154" i="1"/>
  <c r="UE154" i="1"/>
  <c r="UD154" i="1"/>
  <c r="UC154" i="1"/>
  <c r="UB154" i="1"/>
  <c r="UA154" i="1"/>
  <c r="TZ154" i="1"/>
  <c r="TX154" i="1"/>
  <c r="TW154" i="1"/>
  <c r="TV154" i="1"/>
  <c r="TU154" i="1"/>
  <c r="TT154" i="1"/>
  <c r="TS154" i="1"/>
  <c r="TP154" i="1"/>
  <c r="TO154" i="1"/>
  <c r="TN154" i="1"/>
  <c r="TM154" i="1"/>
  <c r="TJ154" i="1"/>
  <c r="TH154" i="1"/>
  <c r="TG154" i="1"/>
  <c r="TF154" i="1"/>
  <c r="TE154" i="1"/>
  <c r="TD154" i="1"/>
  <c r="TC154" i="1"/>
  <c r="TB154" i="1"/>
  <c r="TA154" i="1"/>
  <c r="SZ154" i="1"/>
  <c r="SY154" i="1"/>
  <c r="SX154" i="1"/>
  <c r="SW154" i="1"/>
  <c r="SU154" i="1"/>
  <c r="ST154" i="1"/>
  <c r="SS154" i="1"/>
  <c r="SR154" i="1"/>
  <c r="SQ154" i="1"/>
  <c r="SP154" i="1"/>
  <c r="SM154" i="1"/>
  <c r="SL154" i="1"/>
  <c r="SK154" i="1"/>
  <c r="SJ154" i="1"/>
  <c r="SG154" i="1"/>
  <c r="VN153" i="1"/>
  <c r="VM153" i="1"/>
  <c r="VL153" i="1"/>
  <c r="VK153" i="1"/>
  <c r="VJ153" i="1"/>
  <c r="VI153" i="1"/>
  <c r="VH153" i="1"/>
  <c r="VG153" i="1"/>
  <c r="VF153" i="1"/>
  <c r="VE153" i="1"/>
  <c r="VD153" i="1"/>
  <c r="VC153" i="1"/>
  <c r="VA153" i="1"/>
  <c r="UZ153" i="1"/>
  <c r="UY153" i="1"/>
  <c r="UX153" i="1"/>
  <c r="UW153" i="1"/>
  <c r="UV153" i="1"/>
  <c r="US153" i="1"/>
  <c r="UR153" i="1"/>
  <c r="UQ153" i="1"/>
  <c r="UP153" i="1"/>
  <c r="UM153" i="1"/>
  <c r="UK153" i="1"/>
  <c r="UJ153" i="1"/>
  <c r="UI153" i="1"/>
  <c r="UH153" i="1"/>
  <c r="UG153" i="1"/>
  <c r="UF153" i="1"/>
  <c r="UE153" i="1"/>
  <c r="UD153" i="1"/>
  <c r="UC153" i="1"/>
  <c r="UB153" i="1"/>
  <c r="UA153" i="1"/>
  <c r="TZ153" i="1"/>
  <c r="TX153" i="1"/>
  <c r="TW153" i="1"/>
  <c r="TV153" i="1"/>
  <c r="TU153" i="1"/>
  <c r="TT153" i="1"/>
  <c r="TS153" i="1"/>
  <c r="TP153" i="1"/>
  <c r="TO153" i="1"/>
  <c r="TN153" i="1"/>
  <c r="TM153" i="1"/>
  <c r="TJ153" i="1"/>
  <c r="TH153" i="1"/>
  <c r="TG153" i="1"/>
  <c r="TF153" i="1"/>
  <c r="TE153" i="1"/>
  <c r="TD153" i="1"/>
  <c r="TC153" i="1"/>
  <c r="TB153" i="1"/>
  <c r="TA153" i="1"/>
  <c r="SZ153" i="1"/>
  <c r="SY153" i="1"/>
  <c r="SX153" i="1"/>
  <c r="SW153" i="1"/>
  <c r="SU153" i="1"/>
  <c r="ST153" i="1"/>
  <c r="SS153" i="1"/>
  <c r="SR153" i="1"/>
  <c r="SQ153" i="1"/>
  <c r="SP153" i="1"/>
  <c r="SM153" i="1"/>
  <c r="SL153" i="1"/>
  <c r="SK153" i="1"/>
  <c r="SJ153" i="1"/>
  <c r="SG153" i="1"/>
  <c r="VN152" i="1"/>
  <c r="VM152" i="1"/>
  <c r="VL152" i="1"/>
  <c r="VK152" i="1"/>
  <c r="VJ152" i="1"/>
  <c r="VI152" i="1"/>
  <c r="VH152" i="1"/>
  <c r="VG152" i="1"/>
  <c r="VF152" i="1"/>
  <c r="VE152" i="1"/>
  <c r="VD152" i="1"/>
  <c r="VC152" i="1"/>
  <c r="VA152" i="1"/>
  <c r="UZ152" i="1"/>
  <c r="UY152" i="1"/>
  <c r="UX152" i="1"/>
  <c r="UW152" i="1"/>
  <c r="UV152" i="1"/>
  <c r="US152" i="1"/>
  <c r="UR152" i="1"/>
  <c r="UQ152" i="1"/>
  <c r="UP152" i="1"/>
  <c r="UM152" i="1"/>
  <c r="UK152" i="1"/>
  <c r="UJ152" i="1"/>
  <c r="UI152" i="1"/>
  <c r="UH152" i="1"/>
  <c r="UG152" i="1"/>
  <c r="UF152" i="1"/>
  <c r="UE152" i="1"/>
  <c r="UD152" i="1"/>
  <c r="UC152" i="1"/>
  <c r="UB152" i="1"/>
  <c r="UA152" i="1"/>
  <c r="TZ152" i="1"/>
  <c r="TX152" i="1"/>
  <c r="TW152" i="1"/>
  <c r="TV152" i="1"/>
  <c r="TU152" i="1"/>
  <c r="TT152" i="1"/>
  <c r="TS152" i="1"/>
  <c r="TP152" i="1"/>
  <c r="TO152" i="1"/>
  <c r="TN152" i="1"/>
  <c r="TM152" i="1"/>
  <c r="TJ152" i="1"/>
  <c r="TH152" i="1"/>
  <c r="TG152" i="1"/>
  <c r="TF152" i="1"/>
  <c r="TE152" i="1"/>
  <c r="TD152" i="1"/>
  <c r="TC152" i="1"/>
  <c r="TB152" i="1"/>
  <c r="TA152" i="1"/>
  <c r="SZ152" i="1"/>
  <c r="SY152" i="1"/>
  <c r="SX152" i="1"/>
  <c r="SW152" i="1"/>
  <c r="SU152" i="1"/>
  <c r="ST152" i="1"/>
  <c r="SS152" i="1"/>
  <c r="SR152" i="1"/>
  <c r="SQ152" i="1"/>
  <c r="SP152" i="1"/>
  <c r="SM152" i="1"/>
  <c r="SL152" i="1"/>
  <c r="SK152" i="1"/>
  <c r="SJ152" i="1"/>
  <c r="SG152" i="1"/>
  <c r="VN151" i="1"/>
  <c r="VM151" i="1"/>
  <c r="VL151" i="1"/>
  <c r="VK151" i="1"/>
  <c r="VJ151" i="1"/>
  <c r="VI151" i="1"/>
  <c r="VH151" i="1"/>
  <c r="VG151" i="1"/>
  <c r="VF151" i="1"/>
  <c r="VE151" i="1"/>
  <c r="VD151" i="1"/>
  <c r="VC151" i="1"/>
  <c r="VA151" i="1"/>
  <c r="UZ151" i="1"/>
  <c r="UY151" i="1"/>
  <c r="UX151" i="1"/>
  <c r="UW151" i="1"/>
  <c r="UV151" i="1"/>
  <c r="US151" i="1"/>
  <c r="UR151" i="1"/>
  <c r="UQ151" i="1"/>
  <c r="UP151" i="1"/>
  <c r="UM151" i="1"/>
  <c r="UK151" i="1"/>
  <c r="UJ151" i="1"/>
  <c r="UI151" i="1"/>
  <c r="UH151" i="1"/>
  <c r="UG151" i="1"/>
  <c r="UF151" i="1"/>
  <c r="UE151" i="1"/>
  <c r="UD151" i="1"/>
  <c r="UC151" i="1"/>
  <c r="UB151" i="1"/>
  <c r="UA151" i="1"/>
  <c r="TZ151" i="1"/>
  <c r="TX151" i="1"/>
  <c r="TW151" i="1"/>
  <c r="TV151" i="1"/>
  <c r="TU151" i="1"/>
  <c r="TT151" i="1"/>
  <c r="TS151" i="1"/>
  <c r="TP151" i="1"/>
  <c r="TO151" i="1"/>
  <c r="TN151" i="1"/>
  <c r="TM151" i="1"/>
  <c r="TJ151" i="1"/>
  <c r="TH151" i="1"/>
  <c r="TG151" i="1"/>
  <c r="TF151" i="1"/>
  <c r="TE151" i="1"/>
  <c r="TD151" i="1"/>
  <c r="TC151" i="1"/>
  <c r="TB151" i="1"/>
  <c r="TA151" i="1"/>
  <c r="SZ151" i="1"/>
  <c r="SY151" i="1"/>
  <c r="SX151" i="1"/>
  <c r="SW151" i="1"/>
  <c r="SU151" i="1"/>
  <c r="ST151" i="1"/>
  <c r="SS151" i="1"/>
  <c r="SR151" i="1"/>
  <c r="SQ151" i="1"/>
  <c r="SP151" i="1"/>
  <c r="SM151" i="1"/>
  <c r="SL151" i="1"/>
  <c r="SK151" i="1"/>
  <c r="SJ151" i="1"/>
  <c r="SG151" i="1"/>
  <c r="VN150" i="1"/>
  <c r="VM150" i="1"/>
  <c r="VL150" i="1"/>
  <c r="VK150" i="1"/>
  <c r="VJ150" i="1"/>
  <c r="VI150" i="1"/>
  <c r="VH150" i="1"/>
  <c r="VG150" i="1"/>
  <c r="VF150" i="1"/>
  <c r="VE150" i="1"/>
  <c r="VD150" i="1"/>
  <c r="VC150" i="1"/>
  <c r="VA150" i="1"/>
  <c r="UZ150" i="1"/>
  <c r="UY150" i="1"/>
  <c r="UX150" i="1"/>
  <c r="UW150" i="1"/>
  <c r="UV150" i="1"/>
  <c r="US150" i="1"/>
  <c r="UR150" i="1"/>
  <c r="UQ150" i="1"/>
  <c r="UP150" i="1"/>
  <c r="UM150" i="1"/>
  <c r="UK150" i="1"/>
  <c r="UJ150" i="1"/>
  <c r="UI150" i="1"/>
  <c r="UH150" i="1"/>
  <c r="UG150" i="1"/>
  <c r="UF150" i="1"/>
  <c r="UE150" i="1"/>
  <c r="UD150" i="1"/>
  <c r="UC150" i="1"/>
  <c r="UB150" i="1"/>
  <c r="UA150" i="1"/>
  <c r="TZ150" i="1"/>
  <c r="TX150" i="1"/>
  <c r="TW150" i="1"/>
  <c r="TV150" i="1"/>
  <c r="TU150" i="1"/>
  <c r="TT150" i="1"/>
  <c r="TS150" i="1"/>
  <c r="TP150" i="1"/>
  <c r="TO150" i="1"/>
  <c r="TN150" i="1"/>
  <c r="TM150" i="1"/>
  <c r="TJ150" i="1"/>
  <c r="TH150" i="1"/>
  <c r="TG150" i="1"/>
  <c r="TF150" i="1"/>
  <c r="TE150" i="1"/>
  <c r="TD150" i="1"/>
  <c r="TC150" i="1"/>
  <c r="TB150" i="1"/>
  <c r="TA150" i="1"/>
  <c r="SZ150" i="1"/>
  <c r="SY150" i="1"/>
  <c r="SX150" i="1"/>
  <c r="SW150" i="1"/>
  <c r="SU150" i="1"/>
  <c r="ST150" i="1"/>
  <c r="SS150" i="1"/>
  <c r="SR150" i="1"/>
  <c r="SQ150" i="1"/>
  <c r="SP150" i="1"/>
  <c r="SM150" i="1"/>
  <c r="SL150" i="1"/>
  <c r="SK150" i="1"/>
  <c r="SJ150" i="1"/>
  <c r="SG150" i="1"/>
  <c r="VN149" i="1"/>
  <c r="VM149" i="1"/>
  <c r="VL149" i="1"/>
  <c r="VK149" i="1"/>
  <c r="VJ149" i="1"/>
  <c r="VI149" i="1"/>
  <c r="VH149" i="1"/>
  <c r="VG149" i="1"/>
  <c r="VF149" i="1"/>
  <c r="VE149" i="1"/>
  <c r="VD149" i="1"/>
  <c r="VC149" i="1"/>
  <c r="VA149" i="1"/>
  <c r="UZ149" i="1"/>
  <c r="UY149" i="1"/>
  <c r="UX149" i="1"/>
  <c r="UW149" i="1"/>
  <c r="UV149" i="1"/>
  <c r="US149" i="1"/>
  <c r="UR149" i="1"/>
  <c r="UQ149" i="1"/>
  <c r="UP149" i="1"/>
  <c r="UM149" i="1"/>
  <c r="UK149" i="1"/>
  <c r="UJ149" i="1"/>
  <c r="UI149" i="1"/>
  <c r="UH149" i="1"/>
  <c r="UG149" i="1"/>
  <c r="UF149" i="1"/>
  <c r="UE149" i="1"/>
  <c r="UD149" i="1"/>
  <c r="UC149" i="1"/>
  <c r="UB149" i="1"/>
  <c r="UA149" i="1"/>
  <c r="TZ149" i="1"/>
  <c r="TX149" i="1"/>
  <c r="TW149" i="1"/>
  <c r="TV149" i="1"/>
  <c r="TU149" i="1"/>
  <c r="TT149" i="1"/>
  <c r="TS149" i="1"/>
  <c r="TP149" i="1"/>
  <c r="TO149" i="1"/>
  <c r="TN149" i="1"/>
  <c r="TM149" i="1"/>
  <c r="TJ149" i="1"/>
  <c r="TH149" i="1"/>
  <c r="TG149" i="1"/>
  <c r="TF149" i="1"/>
  <c r="TE149" i="1"/>
  <c r="TD149" i="1"/>
  <c r="TC149" i="1"/>
  <c r="TB149" i="1"/>
  <c r="TA149" i="1"/>
  <c r="SZ149" i="1"/>
  <c r="SY149" i="1"/>
  <c r="SX149" i="1"/>
  <c r="SW149" i="1"/>
  <c r="SU149" i="1"/>
  <c r="ST149" i="1"/>
  <c r="SS149" i="1"/>
  <c r="SR149" i="1"/>
  <c r="SQ149" i="1"/>
  <c r="SP149" i="1"/>
  <c r="SM149" i="1"/>
  <c r="SL149" i="1"/>
  <c r="SK149" i="1"/>
  <c r="SJ149" i="1"/>
  <c r="SG149" i="1"/>
  <c r="VN148" i="1"/>
  <c r="VM148" i="1"/>
  <c r="VL148" i="1"/>
  <c r="VK148" i="1"/>
  <c r="VJ148" i="1"/>
  <c r="VI148" i="1"/>
  <c r="VH148" i="1"/>
  <c r="VG148" i="1"/>
  <c r="VF148" i="1"/>
  <c r="VE148" i="1"/>
  <c r="VD148" i="1"/>
  <c r="VC148" i="1"/>
  <c r="VA148" i="1"/>
  <c r="UZ148" i="1"/>
  <c r="UY148" i="1"/>
  <c r="UX148" i="1"/>
  <c r="UW148" i="1"/>
  <c r="UV148" i="1"/>
  <c r="US148" i="1"/>
  <c r="UR148" i="1"/>
  <c r="UQ148" i="1"/>
  <c r="UP148" i="1"/>
  <c r="UM148" i="1"/>
  <c r="UK148" i="1"/>
  <c r="UJ148" i="1"/>
  <c r="UI148" i="1"/>
  <c r="UH148" i="1"/>
  <c r="UG148" i="1"/>
  <c r="UF148" i="1"/>
  <c r="UE148" i="1"/>
  <c r="UD148" i="1"/>
  <c r="UC148" i="1"/>
  <c r="UB148" i="1"/>
  <c r="UA148" i="1"/>
  <c r="TZ148" i="1"/>
  <c r="TX148" i="1"/>
  <c r="TW148" i="1"/>
  <c r="TV148" i="1"/>
  <c r="TU148" i="1"/>
  <c r="TT148" i="1"/>
  <c r="TS148" i="1"/>
  <c r="TP148" i="1"/>
  <c r="TO148" i="1"/>
  <c r="TN148" i="1"/>
  <c r="TM148" i="1"/>
  <c r="TJ148" i="1"/>
  <c r="TH148" i="1"/>
  <c r="TG148" i="1"/>
  <c r="TF148" i="1"/>
  <c r="TE148" i="1"/>
  <c r="TD148" i="1"/>
  <c r="TC148" i="1"/>
  <c r="TB148" i="1"/>
  <c r="TA148" i="1"/>
  <c r="SZ148" i="1"/>
  <c r="SY148" i="1"/>
  <c r="SX148" i="1"/>
  <c r="SW148" i="1"/>
  <c r="SU148" i="1"/>
  <c r="ST148" i="1"/>
  <c r="SS148" i="1"/>
  <c r="SR148" i="1"/>
  <c r="SQ148" i="1"/>
  <c r="SP148" i="1"/>
  <c r="SM148" i="1"/>
  <c r="SL148" i="1"/>
  <c r="SK148" i="1"/>
  <c r="SJ148" i="1"/>
  <c r="SG148" i="1"/>
  <c r="VN147" i="1"/>
  <c r="VM147" i="1"/>
  <c r="VL147" i="1"/>
  <c r="VK147" i="1"/>
  <c r="VJ147" i="1"/>
  <c r="VI147" i="1"/>
  <c r="VH147" i="1"/>
  <c r="VG147" i="1"/>
  <c r="VF147" i="1"/>
  <c r="VE147" i="1"/>
  <c r="VD147" i="1"/>
  <c r="VC147" i="1"/>
  <c r="VA147" i="1"/>
  <c r="UZ147" i="1"/>
  <c r="UY147" i="1"/>
  <c r="UX147" i="1"/>
  <c r="UW147" i="1"/>
  <c r="UV147" i="1"/>
  <c r="US147" i="1"/>
  <c r="UR147" i="1"/>
  <c r="UQ147" i="1"/>
  <c r="UP147" i="1"/>
  <c r="UM147" i="1"/>
  <c r="UK147" i="1"/>
  <c r="UJ147" i="1"/>
  <c r="UI147" i="1"/>
  <c r="UH147" i="1"/>
  <c r="UG147" i="1"/>
  <c r="UF147" i="1"/>
  <c r="UE147" i="1"/>
  <c r="UD147" i="1"/>
  <c r="UC147" i="1"/>
  <c r="UB147" i="1"/>
  <c r="UA147" i="1"/>
  <c r="TZ147" i="1"/>
  <c r="TX147" i="1"/>
  <c r="TW147" i="1"/>
  <c r="TV147" i="1"/>
  <c r="TU147" i="1"/>
  <c r="TT147" i="1"/>
  <c r="TS147" i="1"/>
  <c r="TP147" i="1"/>
  <c r="TO147" i="1"/>
  <c r="TN147" i="1"/>
  <c r="TM147" i="1"/>
  <c r="TJ147" i="1"/>
  <c r="TH147" i="1"/>
  <c r="TG147" i="1"/>
  <c r="TF147" i="1"/>
  <c r="TE147" i="1"/>
  <c r="TD147" i="1"/>
  <c r="TC147" i="1"/>
  <c r="TB147" i="1"/>
  <c r="TA147" i="1"/>
  <c r="SZ147" i="1"/>
  <c r="SY147" i="1"/>
  <c r="SX147" i="1"/>
  <c r="SW147" i="1"/>
  <c r="SU147" i="1"/>
  <c r="ST147" i="1"/>
  <c r="SS147" i="1"/>
  <c r="SR147" i="1"/>
  <c r="SQ147" i="1"/>
  <c r="SP147" i="1"/>
  <c r="SM147" i="1"/>
  <c r="SL147" i="1"/>
  <c r="SK147" i="1"/>
  <c r="SJ147" i="1"/>
  <c r="SG147" i="1"/>
  <c r="VN146" i="1"/>
  <c r="VM146" i="1"/>
  <c r="VL146" i="1"/>
  <c r="VK146" i="1"/>
  <c r="VJ146" i="1"/>
  <c r="VI146" i="1"/>
  <c r="VH146" i="1"/>
  <c r="VG146" i="1"/>
  <c r="VF146" i="1"/>
  <c r="VE146" i="1"/>
  <c r="VD146" i="1"/>
  <c r="VC146" i="1"/>
  <c r="VA146" i="1"/>
  <c r="UZ146" i="1"/>
  <c r="UY146" i="1"/>
  <c r="UX146" i="1"/>
  <c r="UW146" i="1"/>
  <c r="UV146" i="1"/>
  <c r="US146" i="1"/>
  <c r="UR146" i="1"/>
  <c r="UQ146" i="1"/>
  <c r="UP146" i="1"/>
  <c r="UM146" i="1"/>
  <c r="UK146" i="1"/>
  <c r="UJ146" i="1"/>
  <c r="UI146" i="1"/>
  <c r="UH146" i="1"/>
  <c r="UG146" i="1"/>
  <c r="UF146" i="1"/>
  <c r="UE146" i="1"/>
  <c r="UD146" i="1"/>
  <c r="UC146" i="1"/>
  <c r="UB146" i="1"/>
  <c r="UA146" i="1"/>
  <c r="TZ146" i="1"/>
  <c r="TX146" i="1"/>
  <c r="TW146" i="1"/>
  <c r="TV146" i="1"/>
  <c r="TU146" i="1"/>
  <c r="TT146" i="1"/>
  <c r="TS146" i="1"/>
  <c r="TP146" i="1"/>
  <c r="TO146" i="1"/>
  <c r="TN146" i="1"/>
  <c r="TM146" i="1"/>
  <c r="TJ146" i="1"/>
  <c r="TH146" i="1"/>
  <c r="TG146" i="1"/>
  <c r="TF146" i="1"/>
  <c r="TE146" i="1"/>
  <c r="TD146" i="1"/>
  <c r="TC146" i="1"/>
  <c r="TB146" i="1"/>
  <c r="TA146" i="1"/>
  <c r="SZ146" i="1"/>
  <c r="SY146" i="1"/>
  <c r="SX146" i="1"/>
  <c r="SW146" i="1"/>
  <c r="SU146" i="1"/>
  <c r="ST146" i="1"/>
  <c r="SS146" i="1"/>
  <c r="SR146" i="1"/>
  <c r="SQ146" i="1"/>
  <c r="SP146" i="1"/>
  <c r="SM146" i="1"/>
  <c r="SL146" i="1"/>
  <c r="SK146" i="1"/>
  <c r="SJ146" i="1"/>
  <c r="SG146" i="1"/>
  <c r="VN145" i="1"/>
  <c r="VM145" i="1"/>
  <c r="VL145" i="1"/>
  <c r="VK145" i="1"/>
  <c r="VJ145" i="1"/>
  <c r="VI145" i="1"/>
  <c r="VH145" i="1"/>
  <c r="VG145" i="1"/>
  <c r="VF145" i="1"/>
  <c r="VE145" i="1"/>
  <c r="VD145" i="1"/>
  <c r="VC145" i="1"/>
  <c r="VA145" i="1"/>
  <c r="UZ145" i="1"/>
  <c r="UY145" i="1"/>
  <c r="UX145" i="1"/>
  <c r="UW145" i="1"/>
  <c r="UV145" i="1"/>
  <c r="US145" i="1"/>
  <c r="UR145" i="1"/>
  <c r="UQ145" i="1"/>
  <c r="UP145" i="1"/>
  <c r="UM145" i="1"/>
  <c r="UK145" i="1"/>
  <c r="UJ145" i="1"/>
  <c r="UI145" i="1"/>
  <c r="UH145" i="1"/>
  <c r="UG145" i="1"/>
  <c r="UF145" i="1"/>
  <c r="UE145" i="1"/>
  <c r="UD145" i="1"/>
  <c r="UC145" i="1"/>
  <c r="UB145" i="1"/>
  <c r="UA145" i="1"/>
  <c r="TZ145" i="1"/>
  <c r="TX145" i="1"/>
  <c r="TW145" i="1"/>
  <c r="TV145" i="1"/>
  <c r="TU145" i="1"/>
  <c r="TT145" i="1"/>
  <c r="TS145" i="1"/>
  <c r="TP145" i="1"/>
  <c r="TO145" i="1"/>
  <c r="TN145" i="1"/>
  <c r="TM145" i="1"/>
  <c r="TJ145" i="1"/>
  <c r="TH145" i="1"/>
  <c r="TG145" i="1"/>
  <c r="TF145" i="1"/>
  <c r="TE145" i="1"/>
  <c r="TD145" i="1"/>
  <c r="TC145" i="1"/>
  <c r="TB145" i="1"/>
  <c r="TA145" i="1"/>
  <c r="SZ145" i="1"/>
  <c r="SY145" i="1"/>
  <c r="SX145" i="1"/>
  <c r="SW145" i="1"/>
  <c r="SU145" i="1"/>
  <c r="ST145" i="1"/>
  <c r="SS145" i="1"/>
  <c r="SR145" i="1"/>
  <c r="SQ145" i="1"/>
  <c r="SP145" i="1"/>
  <c r="SM145" i="1"/>
  <c r="SL145" i="1"/>
  <c r="SK145" i="1"/>
  <c r="SJ145" i="1"/>
  <c r="SG145" i="1"/>
  <c r="VN144" i="1"/>
  <c r="VM144" i="1"/>
  <c r="VL144" i="1"/>
  <c r="VK144" i="1"/>
  <c r="VJ144" i="1"/>
  <c r="VI144" i="1"/>
  <c r="VH144" i="1"/>
  <c r="VG144" i="1"/>
  <c r="VF144" i="1"/>
  <c r="VE144" i="1"/>
  <c r="VD144" i="1"/>
  <c r="VC144" i="1"/>
  <c r="VA144" i="1"/>
  <c r="UZ144" i="1"/>
  <c r="UY144" i="1"/>
  <c r="UX144" i="1"/>
  <c r="UW144" i="1"/>
  <c r="UV144" i="1"/>
  <c r="US144" i="1"/>
  <c r="UR144" i="1"/>
  <c r="UQ144" i="1"/>
  <c r="UP144" i="1"/>
  <c r="UM144" i="1"/>
  <c r="UK144" i="1"/>
  <c r="UJ144" i="1"/>
  <c r="UI144" i="1"/>
  <c r="UH144" i="1"/>
  <c r="UG144" i="1"/>
  <c r="UF144" i="1"/>
  <c r="UE144" i="1"/>
  <c r="UD144" i="1"/>
  <c r="UC144" i="1"/>
  <c r="UB144" i="1"/>
  <c r="UA144" i="1"/>
  <c r="TZ144" i="1"/>
  <c r="TX144" i="1"/>
  <c r="TW144" i="1"/>
  <c r="TV144" i="1"/>
  <c r="TU144" i="1"/>
  <c r="TT144" i="1"/>
  <c r="TS144" i="1"/>
  <c r="TP144" i="1"/>
  <c r="TO144" i="1"/>
  <c r="TN144" i="1"/>
  <c r="TM144" i="1"/>
  <c r="TJ144" i="1"/>
  <c r="TH144" i="1"/>
  <c r="TG144" i="1"/>
  <c r="TF144" i="1"/>
  <c r="TE144" i="1"/>
  <c r="TD144" i="1"/>
  <c r="TC144" i="1"/>
  <c r="TB144" i="1"/>
  <c r="TA144" i="1"/>
  <c r="SZ144" i="1"/>
  <c r="SY144" i="1"/>
  <c r="SX144" i="1"/>
  <c r="SW144" i="1"/>
  <c r="SU144" i="1"/>
  <c r="ST144" i="1"/>
  <c r="SS144" i="1"/>
  <c r="SR144" i="1"/>
  <c r="SQ144" i="1"/>
  <c r="SP144" i="1"/>
  <c r="SM144" i="1"/>
  <c r="SL144" i="1"/>
  <c r="SK144" i="1"/>
  <c r="SJ144" i="1"/>
  <c r="SG144" i="1"/>
  <c r="VN143" i="1"/>
  <c r="VM143" i="1"/>
  <c r="VL143" i="1"/>
  <c r="VK143" i="1"/>
  <c r="VJ143" i="1"/>
  <c r="VI143" i="1"/>
  <c r="VH143" i="1"/>
  <c r="VG143" i="1"/>
  <c r="VF143" i="1"/>
  <c r="VE143" i="1"/>
  <c r="VD143" i="1"/>
  <c r="VC143" i="1"/>
  <c r="VA143" i="1"/>
  <c r="UZ143" i="1"/>
  <c r="UY143" i="1"/>
  <c r="UX143" i="1"/>
  <c r="UW143" i="1"/>
  <c r="UV143" i="1"/>
  <c r="US143" i="1"/>
  <c r="UR143" i="1"/>
  <c r="UQ143" i="1"/>
  <c r="UP143" i="1"/>
  <c r="UM143" i="1"/>
  <c r="UK143" i="1"/>
  <c r="UJ143" i="1"/>
  <c r="UI143" i="1"/>
  <c r="UH143" i="1"/>
  <c r="UG143" i="1"/>
  <c r="UF143" i="1"/>
  <c r="UE143" i="1"/>
  <c r="UD143" i="1"/>
  <c r="UC143" i="1"/>
  <c r="UB143" i="1"/>
  <c r="UA143" i="1"/>
  <c r="TZ143" i="1"/>
  <c r="TX143" i="1"/>
  <c r="TW143" i="1"/>
  <c r="TV143" i="1"/>
  <c r="TU143" i="1"/>
  <c r="TT143" i="1"/>
  <c r="TS143" i="1"/>
  <c r="TP143" i="1"/>
  <c r="TO143" i="1"/>
  <c r="TN143" i="1"/>
  <c r="TM143" i="1"/>
  <c r="TJ143" i="1"/>
  <c r="TH143" i="1"/>
  <c r="TG143" i="1"/>
  <c r="TF143" i="1"/>
  <c r="TE143" i="1"/>
  <c r="TD143" i="1"/>
  <c r="TC143" i="1"/>
  <c r="TB143" i="1"/>
  <c r="TA143" i="1"/>
  <c r="SZ143" i="1"/>
  <c r="SY143" i="1"/>
  <c r="SX143" i="1"/>
  <c r="SW143" i="1"/>
  <c r="SU143" i="1"/>
  <c r="ST143" i="1"/>
  <c r="SS143" i="1"/>
  <c r="SR143" i="1"/>
  <c r="SQ143" i="1"/>
  <c r="SP143" i="1"/>
  <c r="SM143" i="1"/>
  <c r="SL143" i="1"/>
  <c r="SK143" i="1"/>
  <c r="SJ143" i="1"/>
  <c r="SG143" i="1"/>
  <c r="VN142" i="1"/>
  <c r="VM142" i="1"/>
  <c r="VL142" i="1"/>
  <c r="VK142" i="1"/>
  <c r="VJ142" i="1"/>
  <c r="VI142" i="1"/>
  <c r="VH142" i="1"/>
  <c r="VG142" i="1"/>
  <c r="VF142" i="1"/>
  <c r="VE142" i="1"/>
  <c r="VD142" i="1"/>
  <c r="VC142" i="1"/>
  <c r="VA142" i="1"/>
  <c r="UZ142" i="1"/>
  <c r="UY142" i="1"/>
  <c r="UX142" i="1"/>
  <c r="UW142" i="1"/>
  <c r="UV142" i="1"/>
  <c r="US142" i="1"/>
  <c r="UR142" i="1"/>
  <c r="UQ142" i="1"/>
  <c r="UP142" i="1"/>
  <c r="UM142" i="1"/>
  <c r="UK142" i="1"/>
  <c r="UJ142" i="1"/>
  <c r="UI142" i="1"/>
  <c r="UH142" i="1"/>
  <c r="UG142" i="1"/>
  <c r="UF142" i="1"/>
  <c r="UE142" i="1"/>
  <c r="UD142" i="1"/>
  <c r="UC142" i="1"/>
  <c r="UB142" i="1"/>
  <c r="UA142" i="1"/>
  <c r="TZ142" i="1"/>
  <c r="TX142" i="1"/>
  <c r="TW142" i="1"/>
  <c r="TV142" i="1"/>
  <c r="TU142" i="1"/>
  <c r="TT142" i="1"/>
  <c r="TS142" i="1"/>
  <c r="TP142" i="1"/>
  <c r="TO142" i="1"/>
  <c r="TN142" i="1"/>
  <c r="TM142" i="1"/>
  <c r="TJ142" i="1"/>
  <c r="TH142" i="1"/>
  <c r="TG142" i="1"/>
  <c r="TF142" i="1"/>
  <c r="TE142" i="1"/>
  <c r="TD142" i="1"/>
  <c r="TC142" i="1"/>
  <c r="TB142" i="1"/>
  <c r="TA142" i="1"/>
  <c r="SZ142" i="1"/>
  <c r="SY142" i="1"/>
  <c r="SX142" i="1"/>
  <c r="SW142" i="1"/>
  <c r="SU142" i="1"/>
  <c r="ST142" i="1"/>
  <c r="SS142" i="1"/>
  <c r="SR142" i="1"/>
  <c r="SQ142" i="1"/>
  <c r="SP142" i="1"/>
  <c r="SM142" i="1"/>
  <c r="SL142" i="1"/>
  <c r="SK142" i="1"/>
  <c r="SJ142" i="1"/>
  <c r="SG142" i="1"/>
  <c r="VN141" i="1"/>
  <c r="VM141" i="1"/>
  <c r="VL141" i="1"/>
  <c r="VK141" i="1"/>
  <c r="VJ141" i="1"/>
  <c r="VI141" i="1"/>
  <c r="VH141" i="1"/>
  <c r="VG141" i="1"/>
  <c r="VF141" i="1"/>
  <c r="VE141" i="1"/>
  <c r="VD141" i="1"/>
  <c r="VC141" i="1"/>
  <c r="VA141" i="1"/>
  <c r="UZ141" i="1"/>
  <c r="UY141" i="1"/>
  <c r="UX141" i="1"/>
  <c r="UW141" i="1"/>
  <c r="UV141" i="1"/>
  <c r="US141" i="1"/>
  <c r="UR141" i="1"/>
  <c r="UQ141" i="1"/>
  <c r="UP141" i="1"/>
  <c r="UM141" i="1"/>
  <c r="UK141" i="1"/>
  <c r="UJ141" i="1"/>
  <c r="UI141" i="1"/>
  <c r="UH141" i="1"/>
  <c r="UG141" i="1"/>
  <c r="UF141" i="1"/>
  <c r="UE141" i="1"/>
  <c r="UD141" i="1"/>
  <c r="UC141" i="1"/>
  <c r="UB141" i="1"/>
  <c r="UA141" i="1"/>
  <c r="TZ141" i="1"/>
  <c r="TX141" i="1"/>
  <c r="TW141" i="1"/>
  <c r="TV141" i="1"/>
  <c r="TU141" i="1"/>
  <c r="TT141" i="1"/>
  <c r="TS141" i="1"/>
  <c r="TP141" i="1"/>
  <c r="TO141" i="1"/>
  <c r="TN141" i="1"/>
  <c r="TM141" i="1"/>
  <c r="TJ141" i="1"/>
  <c r="TH141" i="1"/>
  <c r="TG141" i="1"/>
  <c r="TF141" i="1"/>
  <c r="TE141" i="1"/>
  <c r="TD141" i="1"/>
  <c r="TC141" i="1"/>
  <c r="TB141" i="1"/>
  <c r="TA141" i="1"/>
  <c r="SZ141" i="1"/>
  <c r="SY141" i="1"/>
  <c r="SX141" i="1"/>
  <c r="SW141" i="1"/>
  <c r="SU141" i="1"/>
  <c r="ST141" i="1"/>
  <c r="SS141" i="1"/>
  <c r="SR141" i="1"/>
  <c r="SQ141" i="1"/>
  <c r="SP141" i="1"/>
  <c r="SM141" i="1"/>
  <c r="SL141" i="1"/>
  <c r="SK141" i="1"/>
  <c r="SJ141" i="1"/>
  <c r="SG141" i="1"/>
  <c r="VN140" i="1"/>
  <c r="VM140" i="1"/>
  <c r="VL140" i="1"/>
  <c r="VK140" i="1"/>
  <c r="VJ140" i="1"/>
  <c r="VI140" i="1"/>
  <c r="VH140" i="1"/>
  <c r="VG140" i="1"/>
  <c r="VF140" i="1"/>
  <c r="VE140" i="1"/>
  <c r="VD140" i="1"/>
  <c r="VC140" i="1"/>
  <c r="VA140" i="1"/>
  <c r="UZ140" i="1"/>
  <c r="UY140" i="1"/>
  <c r="UX140" i="1"/>
  <c r="UW140" i="1"/>
  <c r="UV140" i="1"/>
  <c r="US140" i="1"/>
  <c r="UR140" i="1"/>
  <c r="UQ140" i="1"/>
  <c r="UP140" i="1"/>
  <c r="UM140" i="1"/>
  <c r="UK140" i="1"/>
  <c r="UJ140" i="1"/>
  <c r="UI140" i="1"/>
  <c r="UH140" i="1"/>
  <c r="UG140" i="1"/>
  <c r="UF140" i="1"/>
  <c r="UE140" i="1"/>
  <c r="UD140" i="1"/>
  <c r="UC140" i="1"/>
  <c r="UB140" i="1"/>
  <c r="UA140" i="1"/>
  <c r="TZ140" i="1"/>
  <c r="TX140" i="1"/>
  <c r="TW140" i="1"/>
  <c r="TV140" i="1"/>
  <c r="TU140" i="1"/>
  <c r="TT140" i="1"/>
  <c r="TS140" i="1"/>
  <c r="TP140" i="1"/>
  <c r="TO140" i="1"/>
  <c r="TN140" i="1"/>
  <c r="TM140" i="1"/>
  <c r="TJ140" i="1"/>
  <c r="TH140" i="1"/>
  <c r="TG140" i="1"/>
  <c r="TF140" i="1"/>
  <c r="TE140" i="1"/>
  <c r="TD140" i="1"/>
  <c r="TC140" i="1"/>
  <c r="TB140" i="1"/>
  <c r="TA140" i="1"/>
  <c r="SZ140" i="1"/>
  <c r="SY140" i="1"/>
  <c r="SX140" i="1"/>
  <c r="SW140" i="1"/>
  <c r="SU140" i="1"/>
  <c r="ST140" i="1"/>
  <c r="SS140" i="1"/>
  <c r="SR140" i="1"/>
  <c r="SQ140" i="1"/>
  <c r="SP140" i="1"/>
  <c r="SM140" i="1"/>
  <c r="SL140" i="1"/>
  <c r="SK140" i="1"/>
  <c r="SJ140" i="1"/>
  <c r="SG140" i="1"/>
  <c r="VN139" i="1"/>
  <c r="VM139" i="1"/>
  <c r="VL139" i="1"/>
  <c r="VK139" i="1"/>
  <c r="VJ139" i="1"/>
  <c r="VI139" i="1"/>
  <c r="VH139" i="1"/>
  <c r="VG139" i="1"/>
  <c r="VF139" i="1"/>
  <c r="VE139" i="1"/>
  <c r="VD139" i="1"/>
  <c r="VC139" i="1"/>
  <c r="VA139" i="1"/>
  <c r="UZ139" i="1"/>
  <c r="UY139" i="1"/>
  <c r="UX139" i="1"/>
  <c r="UW139" i="1"/>
  <c r="UV139" i="1"/>
  <c r="US139" i="1"/>
  <c r="UR139" i="1"/>
  <c r="UQ139" i="1"/>
  <c r="UP139" i="1"/>
  <c r="UM139" i="1"/>
  <c r="UK139" i="1"/>
  <c r="UJ139" i="1"/>
  <c r="UI139" i="1"/>
  <c r="UH139" i="1"/>
  <c r="UG139" i="1"/>
  <c r="UF139" i="1"/>
  <c r="UE139" i="1"/>
  <c r="UD139" i="1"/>
  <c r="UC139" i="1"/>
  <c r="UB139" i="1"/>
  <c r="UA139" i="1"/>
  <c r="TZ139" i="1"/>
  <c r="TX139" i="1"/>
  <c r="TW139" i="1"/>
  <c r="TV139" i="1"/>
  <c r="TU139" i="1"/>
  <c r="TT139" i="1"/>
  <c r="TS139" i="1"/>
  <c r="TP139" i="1"/>
  <c r="TO139" i="1"/>
  <c r="TN139" i="1"/>
  <c r="TM139" i="1"/>
  <c r="TJ139" i="1"/>
  <c r="TH139" i="1"/>
  <c r="TG139" i="1"/>
  <c r="TF139" i="1"/>
  <c r="TE139" i="1"/>
  <c r="TD139" i="1"/>
  <c r="TC139" i="1"/>
  <c r="TB139" i="1"/>
  <c r="TA139" i="1"/>
  <c r="SZ139" i="1"/>
  <c r="SY139" i="1"/>
  <c r="SX139" i="1"/>
  <c r="SW139" i="1"/>
  <c r="SU139" i="1"/>
  <c r="ST139" i="1"/>
  <c r="SS139" i="1"/>
  <c r="SR139" i="1"/>
  <c r="SQ139" i="1"/>
  <c r="SP139" i="1"/>
  <c r="SM139" i="1"/>
  <c r="SL139" i="1"/>
  <c r="SK139" i="1"/>
  <c r="SJ139" i="1"/>
  <c r="SG139" i="1"/>
  <c r="VN138" i="1"/>
  <c r="VM138" i="1"/>
  <c r="VL138" i="1"/>
  <c r="VK138" i="1"/>
  <c r="VJ138" i="1"/>
  <c r="VI138" i="1"/>
  <c r="VH138" i="1"/>
  <c r="VG138" i="1"/>
  <c r="VF138" i="1"/>
  <c r="VE138" i="1"/>
  <c r="VD138" i="1"/>
  <c r="VC138" i="1"/>
  <c r="VA138" i="1"/>
  <c r="UZ138" i="1"/>
  <c r="UY138" i="1"/>
  <c r="UX138" i="1"/>
  <c r="UW138" i="1"/>
  <c r="UV138" i="1"/>
  <c r="US138" i="1"/>
  <c r="UR138" i="1"/>
  <c r="UQ138" i="1"/>
  <c r="UP138" i="1"/>
  <c r="UM138" i="1"/>
  <c r="UK138" i="1"/>
  <c r="UJ138" i="1"/>
  <c r="UI138" i="1"/>
  <c r="UH138" i="1"/>
  <c r="UG138" i="1"/>
  <c r="UF138" i="1"/>
  <c r="UE138" i="1"/>
  <c r="UD138" i="1"/>
  <c r="UC138" i="1"/>
  <c r="UB138" i="1"/>
  <c r="UA138" i="1"/>
  <c r="TZ138" i="1"/>
  <c r="TX138" i="1"/>
  <c r="TW138" i="1"/>
  <c r="TV138" i="1"/>
  <c r="TU138" i="1"/>
  <c r="TT138" i="1"/>
  <c r="TS138" i="1"/>
  <c r="TP138" i="1"/>
  <c r="TO138" i="1"/>
  <c r="TN138" i="1"/>
  <c r="TM138" i="1"/>
  <c r="TJ138" i="1"/>
  <c r="TH138" i="1"/>
  <c r="TG138" i="1"/>
  <c r="TF138" i="1"/>
  <c r="TE138" i="1"/>
  <c r="TD138" i="1"/>
  <c r="TC138" i="1"/>
  <c r="TB138" i="1"/>
  <c r="TA138" i="1"/>
  <c r="SZ138" i="1"/>
  <c r="SY138" i="1"/>
  <c r="SX138" i="1"/>
  <c r="SW138" i="1"/>
  <c r="SU138" i="1"/>
  <c r="ST138" i="1"/>
  <c r="SS138" i="1"/>
  <c r="SR138" i="1"/>
  <c r="SQ138" i="1"/>
  <c r="SP138" i="1"/>
  <c r="SM138" i="1"/>
  <c r="SL138" i="1"/>
  <c r="SK138" i="1"/>
  <c r="SJ138" i="1"/>
  <c r="SG138" i="1"/>
  <c r="VN137" i="1"/>
  <c r="VM137" i="1"/>
  <c r="VL137" i="1"/>
  <c r="VK137" i="1"/>
  <c r="VJ137" i="1"/>
  <c r="VI137" i="1"/>
  <c r="VH137" i="1"/>
  <c r="VG137" i="1"/>
  <c r="VF137" i="1"/>
  <c r="VE137" i="1"/>
  <c r="VD137" i="1"/>
  <c r="VC137" i="1"/>
  <c r="VA137" i="1"/>
  <c r="UZ137" i="1"/>
  <c r="UY137" i="1"/>
  <c r="UX137" i="1"/>
  <c r="UW137" i="1"/>
  <c r="UV137" i="1"/>
  <c r="US137" i="1"/>
  <c r="UR137" i="1"/>
  <c r="UQ137" i="1"/>
  <c r="UP137" i="1"/>
  <c r="UM137" i="1"/>
  <c r="UK137" i="1"/>
  <c r="UJ137" i="1"/>
  <c r="UI137" i="1"/>
  <c r="UH137" i="1"/>
  <c r="UG137" i="1"/>
  <c r="UF137" i="1"/>
  <c r="UE137" i="1"/>
  <c r="UD137" i="1"/>
  <c r="UC137" i="1"/>
  <c r="UB137" i="1"/>
  <c r="UA137" i="1"/>
  <c r="TZ137" i="1"/>
  <c r="TX137" i="1"/>
  <c r="TW137" i="1"/>
  <c r="TV137" i="1"/>
  <c r="TU137" i="1"/>
  <c r="TT137" i="1"/>
  <c r="TS137" i="1"/>
  <c r="TP137" i="1"/>
  <c r="TO137" i="1"/>
  <c r="TN137" i="1"/>
  <c r="TM137" i="1"/>
  <c r="TJ137" i="1"/>
  <c r="TH137" i="1"/>
  <c r="TG137" i="1"/>
  <c r="TF137" i="1"/>
  <c r="TE137" i="1"/>
  <c r="TD137" i="1"/>
  <c r="TC137" i="1"/>
  <c r="TB137" i="1"/>
  <c r="TA137" i="1"/>
  <c r="SZ137" i="1"/>
  <c r="SY137" i="1"/>
  <c r="SX137" i="1"/>
  <c r="SW137" i="1"/>
  <c r="SU137" i="1"/>
  <c r="ST137" i="1"/>
  <c r="SS137" i="1"/>
  <c r="SR137" i="1"/>
  <c r="SQ137" i="1"/>
  <c r="SP137" i="1"/>
  <c r="SM137" i="1"/>
  <c r="SL137" i="1"/>
  <c r="SK137" i="1"/>
  <c r="SJ137" i="1"/>
  <c r="SG137" i="1"/>
  <c r="VN136" i="1"/>
  <c r="VM136" i="1"/>
  <c r="VL136" i="1"/>
  <c r="VK136" i="1"/>
  <c r="VJ136" i="1"/>
  <c r="VI136" i="1"/>
  <c r="VH136" i="1"/>
  <c r="VG136" i="1"/>
  <c r="VF136" i="1"/>
  <c r="VE136" i="1"/>
  <c r="VD136" i="1"/>
  <c r="VC136" i="1"/>
  <c r="VA136" i="1"/>
  <c r="UZ136" i="1"/>
  <c r="UY136" i="1"/>
  <c r="UX136" i="1"/>
  <c r="UW136" i="1"/>
  <c r="UV136" i="1"/>
  <c r="US136" i="1"/>
  <c r="UR136" i="1"/>
  <c r="UQ136" i="1"/>
  <c r="UP136" i="1"/>
  <c r="UM136" i="1"/>
  <c r="UK136" i="1"/>
  <c r="UJ136" i="1"/>
  <c r="UI136" i="1"/>
  <c r="UH136" i="1"/>
  <c r="UG136" i="1"/>
  <c r="UF136" i="1"/>
  <c r="UE136" i="1"/>
  <c r="UD136" i="1"/>
  <c r="UC136" i="1"/>
  <c r="UB136" i="1"/>
  <c r="UA136" i="1"/>
  <c r="TZ136" i="1"/>
  <c r="TX136" i="1"/>
  <c r="TW136" i="1"/>
  <c r="TV136" i="1"/>
  <c r="TU136" i="1"/>
  <c r="TT136" i="1"/>
  <c r="TS136" i="1"/>
  <c r="TP136" i="1"/>
  <c r="TO136" i="1"/>
  <c r="TN136" i="1"/>
  <c r="TM136" i="1"/>
  <c r="TJ136" i="1"/>
  <c r="TH136" i="1"/>
  <c r="TG136" i="1"/>
  <c r="TF136" i="1"/>
  <c r="TE136" i="1"/>
  <c r="TD136" i="1"/>
  <c r="TC136" i="1"/>
  <c r="TB136" i="1"/>
  <c r="TA136" i="1"/>
  <c r="SZ136" i="1"/>
  <c r="SY136" i="1"/>
  <c r="SX136" i="1"/>
  <c r="SW136" i="1"/>
  <c r="SU136" i="1"/>
  <c r="ST136" i="1"/>
  <c r="SS136" i="1"/>
  <c r="SR136" i="1"/>
  <c r="SQ136" i="1"/>
  <c r="SP136" i="1"/>
  <c r="SM136" i="1"/>
  <c r="SL136" i="1"/>
  <c r="SK136" i="1"/>
  <c r="SJ136" i="1"/>
  <c r="SG136" i="1"/>
  <c r="VN135" i="1"/>
  <c r="VM135" i="1"/>
  <c r="VL135" i="1"/>
  <c r="VK135" i="1"/>
  <c r="VJ135" i="1"/>
  <c r="VI135" i="1"/>
  <c r="VH135" i="1"/>
  <c r="VG135" i="1"/>
  <c r="VF135" i="1"/>
  <c r="VE135" i="1"/>
  <c r="VD135" i="1"/>
  <c r="VC135" i="1"/>
  <c r="VA135" i="1"/>
  <c r="UZ135" i="1"/>
  <c r="UY135" i="1"/>
  <c r="UX135" i="1"/>
  <c r="UW135" i="1"/>
  <c r="UV135" i="1"/>
  <c r="US135" i="1"/>
  <c r="UR135" i="1"/>
  <c r="UQ135" i="1"/>
  <c r="UP135" i="1"/>
  <c r="UM135" i="1"/>
  <c r="UK135" i="1"/>
  <c r="UJ135" i="1"/>
  <c r="UI135" i="1"/>
  <c r="UH135" i="1"/>
  <c r="UG135" i="1"/>
  <c r="UF135" i="1"/>
  <c r="UE135" i="1"/>
  <c r="UD135" i="1"/>
  <c r="UC135" i="1"/>
  <c r="UB135" i="1"/>
  <c r="UA135" i="1"/>
  <c r="TZ135" i="1"/>
  <c r="TX135" i="1"/>
  <c r="TW135" i="1"/>
  <c r="TV135" i="1"/>
  <c r="TU135" i="1"/>
  <c r="TT135" i="1"/>
  <c r="TS135" i="1"/>
  <c r="TP135" i="1"/>
  <c r="TO135" i="1"/>
  <c r="TN135" i="1"/>
  <c r="TM135" i="1"/>
  <c r="TJ135" i="1"/>
  <c r="TH135" i="1"/>
  <c r="TG135" i="1"/>
  <c r="TF135" i="1"/>
  <c r="TE135" i="1"/>
  <c r="TD135" i="1"/>
  <c r="TC135" i="1"/>
  <c r="TB135" i="1"/>
  <c r="TA135" i="1"/>
  <c r="SZ135" i="1"/>
  <c r="SY135" i="1"/>
  <c r="SX135" i="1"/>
  <c r="SW135" i="1"/>
  <c r="SU135" i="1"/>
  <c r="ST135" i="1"/>
  <c r="SS135" i="1"/>
  <c r="SR135" i="1"/>
  <c r="SQ135" i="1"/>
  <c r="SP135" i="1"/>
  <c r="SM135" i="1"/>
  <c r="SL135" i="1"/>
  <c r="SK135" i="1"/>
  <c r="SJ135" i="1"/>
  <c r="SG135" i="1"/>
  <c r="VN134" i="1"/>
  <c r="VM134" i="1"/>
  <c r="VL134" i="1"/>
  <c r="VK134" i="1"/>
  <c r="VJ134" i="1"/>
  <c r="VI134" i="1"/>
  <c r="VH134" i="1"/>
  <c r="VG134" i="1"/>
  <c r="VF134" i="1"/>
  <c r="VE134" i="1"/>
  <c r="VD134" i="1"/>
  <c r="VC134" i="1"/>
  <c r="VA134" i="1"/>
  <c r="UZ134" i="1"/>
  <c r="UY134" i="1"/>
  <c r="UX134" i="1"/>
  <c r="UW134" i="1"/>
  <c r="UV134" i="1"/>
  <c r="US134" i="1"/>
  <c r="UR134" i="1"/>
  <c r="UQ134" i="1"/>
  <c r="UP134" i="1"/>
  <c r="UM134" i="1"/>
  <c r="UK134" i="1"/>
  <c r="UJ134" i="1"/>
  <c r="UI134" i="1"/>
  <c r="UH134" i="1"/>
  <c r="UG134" i="1"/>
  <c r="UF134" i="1"/>
  <c r="UE134" i="1"/>
  <c r="UD134" i="1"/>
  <c r="UC134" i="1"/>
  <c r="UB134" i="1"/>
  <c r="UA134" i="1"/>
  <c r="TZ134" i="1"/>
  <c r="TX134" i="1"/>
  <c r="TW134" i="1"/>
  <c r="TV134" i="1"/>
  <c r="TU134" i="1"/>
  <c r="TT134" i="1"/>
  <c r="TS134" i="1"/>
  <c r="TP134" i="1"/>
  <c r="TO134" i="1"/>
  <c r="TN134" i="1"/>
  <c r="TM134" i="1"/>
  <c r="TJ134" i="1"/>
  <c r="TH134" i="1"/>
  <c r="TG134" i="1"/>
  <c r="TF134" i="1"/>
  <c r="TE134" i="1"/>
  <c r="TD134" i="1"/>
  <c r="TC134" i="1"/>
  <c r="TB134" i="1"/>
  <c r="TA134" i="1"/>
  <c r="SZ134" i="1"/>
  <c r="SY134" i="1"/>
  <c r="SX134" i="1"/>
  <c r="SW134" i="1"/>
  <c r="SU134" i="1"/>
  <c r="ST134" i="1"/>
  <c r="SS134" i="1"/>
  <c r="SR134" i="1"/>
  <c r="SQ134" i="1"/>
  <c r="SP134" i="1"/>
  <c r="SM134" i="1"/>
  <c r="SL134" i="1"/>
  <c r="SK134" i="1"/>
  <c r="SJ134" i="1"/>
  <c r="SG134" i="1"/>
  <c r="VN133" i="1"/>
  <c r="VM133" i="1"/>
  <c r="VL133" i="1"/>
  <c r="VK133" i="1"/>
  <c r="VJ133" i="1"/>
  <c r="VI133" i="1"/>
  <c r="VH133" i="1"/>
  <c r="VG133" i="1"/>
  <c r="VF133" i="1"/>
  <c r="VE133" i="1"/>
  <c r="VD133" i="1"/>
  <c r="VC133" i="1"/>
  <c r="VA133" i="1"/>
  <c r="UZ133" i="1"/>
  <c r="UY133" i="1"/>
  <c r="UX133" i="1"/>
  <c r="UW133" i="1"/>
  <c r="UV133" i="1"/>
  <c r="US133" i="1"/>
  <c r="UR133" i="1"/>
  <c r="UQ133" i="1"/>
  <c r="UP133" i="1"/>
  <c r="UM133" i="1"/>
  <c r="UK133" i="1"/>
  <c r="UJ133" i="1"/>
  <c r="UI133" i="1"/>
  <c r="UH133" i="1"/>
  <c r="UG133" i="1"/>
  <c r="UF133" i="1"/>
  <c r="UE133" i="1"/>
  <c r="UD133" i="1"/>
  <c r="UC133" i="1"/>
  <c r="UB133" i="1"/>
  <c r="UA133" i="1"/>
  <c r="TZ133" i="1"/>
  <c r="TX133" i="1"/>
  <c r="TW133" i="1"/>
  <c r="TV133" i="1"/>
  <c r="TU133" i="1"/>
  <c r="TT133" i="1"/>
  <c r="TS133" i="1"/>
  <c r="TP133" i="1"/>
  <c r="TO133" i="1"/>
  <c r="TN133" i="1"/>
  <c r="TM133" i="1"/>
  <c r="TJ133" i="1"/>
  <c r="TH133" i="1"/>
  <c r="TG133" i="1"/>
  <c r="TF133" i="1"/>
  <c r="TE133" i="1"/>
  <c r="TD133" i="1"/>
  <c r="TC133" i="1"/>
  <c r="TB133" i="1"/>
  <c r="TA133" i="1"/>
  <c r="SZ133" i="1"/>
  <c r="SY133" i="1"/>
  <c r="SX133" i="1"/>
  <c r="SW133" i="1"/>
  <c r="SU133" i="1"/>
  <c r="ST133" i="1"/>
  <c r="SS133" i="1"/>
  <c r="SR133" i="1"/>
  <c r="SQ133" i="1"/>
  <c r="SP133" i="1"/>
  <c r="SM133" i="1"/>
  <c r="SL133" i="1"/>
  <c r="SK133" i="1"/>
  <c r="SJ133" i="1"/>
  <c r="SG133" i="1"/>
  <c r="VN132" i="1"/>
  <c r="VM132" i="1"/>
  <c r="VL132" i="1"/>
  <c r="VK132" i="1"/>
  <c r="VJ132" i="1"/>
  <c r="VI132" i="1"/>
  <c r="VH132" i="1"/>
  <c r="VG132" i="1"/>
  <c r="VF132" i="1"/>
  <c r="VE132" i="1"/>
  <c r="VD132" i="1"/>
  <c r="VC132" i="1"/>
  <c r="VA132" i="1"/>
  <c r="UZ132" i="1"/>
  <c r="UY132" i="1"/>
  <c r="UX132" i="1"/>
  <c r="UW132" i="1"/>
  <c r="UV132" i="1"/>
  <c r="US132" i="1"/>
  <c r="UR132" i="1"/>
  <c r="UQ132" i="1"/>
  <c r="UP132" i="1"/>
  <c r="UM132" i="1"/>
  <c r="UK132" i="1"/>
  <c r="UJ132" i="1"/>
  <c r="UI132" i="1"/>
  <c r="UH132" i="1"/>
  <c r="UG132" i="1"/>
  <c r="UF132" i="1"/>
  <c r="UE132" i="1"/>
  <c r="UD132" i="1"/>
  <c r="UC132" i="1"/>
  <c r="UB132" i="1"/>
  <c r="UA132" i="1"/>
  <c r="TZ132" i="1"/>
  <c r="TX132" i="1"/>
  <c r="TW132" i="1"/>
  <c r="TV132" i="1"/>
  <c r="TU132" i="1"/>
  <c r="TT132" i="1"/>
  <c r="TS132" i="1"/>
  <c r="TP132" i="1"/>
  <c r="TO132" i="1"/>
  <c r="TN132" i="1"/>
  <c r="TM132" i="1"/>
  <c r="TJ132" i="1"/>
  <c r="TH132" i="1"/>
  <c r="TG132" i="1"/>
  <c r="TF132" i="1"/>
  <c r="TE132" i="1"/>
  <c r="TD132" i="1"/>
  <c r="TC132" i="1"/>
  <c r="TB132" i="1"/>
  <c r="TA132" i="1"/>
  <c r="SZ132" i="1"/>
  <c r="SY132" i="1"/>
  <c r="SX132" i="1"/>
  <c r="SW132" i="1"/>
  <c r="SU132" i="1"/>
  <c r="ST132" i="1"/>
  <c r="SS132" i="1"/>
  <c r="SR132" i="1"/>
  <c r="SQ132" i="1"/>
  <c r="SP132" i="1"/>
  <c r="SM132" i="1"/>
  <c r="SL132" i="1"/>
  <c r="SK132" i="1"/>
  <c r="SJ132" i="1"/>
  <c r="SG132" i="1"/>
  <c r="VN131" i="1"/>
  <c r="VM131" i="1"/>
  <c r="VL131" i="1"/>
  <c r="VK131" i="1"/>
  <c r="VJ131" i="1"/>
  <c r="VI131" i="1"/>
  <c r="VH131" i="1"/>
  <c r="VG131" i="1"/>
  <c r="VF131" i="1"/>
  <c r="VE131" i="1"/>
  <c r="VD131" i="1"/>
  <c r="VC131" i="1"/>
  <c r="VA131" i="1"/>
  <c r="UZ131" i="1"/>
  <c r="UY131" i="1"/>
  <c r="UX131" i="1"/>
  <c r="UW131" i="1"/>
  <c r="UV131" i="1"/>
  <c r="US131" i="1"/>
  <c r="UR131" i="1"/>
  <c r="UQ131" i="1"/>
  <c r="UP131" i="1"/>
  <c r="UM131" i="1"/>
  <c r="UK131" i="1"/>
  <c r="UJ131" i="1"/>
  <c r="UI131" i="1"/>
  <c r="UH131" i="1"/>
  <c r="UG131" i="1"/>
  <c r="UF131" i="1"/>
  <c r="UE131" i="1"/>
  <c r="UD131" i="1"/>
  <c r="UC131" i="1"/>
  <c r="UB131" i="1"/>
  <c r="UA131" i="1"/>
  <c r="TZ131" i="1"/>
  <c r="TX131" i="1"/>
  <c r="TW131" i="1"/>
  <c r="TV131" i="1"/>
  <c r="TU131" i="1"/>
  <c r="TT131" i="1"/>
  <c r="TS131" i="1"/>
  <c r="TP131" i="1"/>
  <c r="TO131" i="1"/>
  <c r="TN131" i="1"/>
  <c r="TM131" i="1"/>
  <c r="TJ131" i="1"/>
  <c r="TH131" i="1"/>
  <c r="TG131" i="1"/>
  <c r="TF131" i="1"/>
  <c r="TE131" i="1"/>
  <c r="TD131" i="1"/>
  <c r="TC131" i="1"/>
  <c r="TB131" i="1"/>
  <c r="TA131" i="1"/>
  <c r="SZ131" i="1"/>
  <c r="SY131" i="1"/>
  <c r="SX131" i="1"/>
  <c r="SW131" i="1"/>
  <c r="SU131" i="1"/>
  <c r="ST131" i="1"/>
  <c r="SS131" i="1"/>
  <c r="SR131" i="1"/>
  <c r="SQ131" i="1"/>
  <c r="SP131" i="1"/>
  <c r="SM131" i="1"/>
  <c r="SL131" i="1"/>
  <c r="SK131" i="1"/>
  <c r="SJ131" i="1"/>
  <c r="SG131" i="1"/>
  <c r="VN130" i="1"/>
  <c r="VM130" i="1"/>
  <c r="VL130" i="1"/>
  <c r="VK130" i="1"/>
  <c r="VJ130" i="1"/>
  <c r="VI130" i="1"/>
  <c r="VH130" i="1"/>
  <c r="VG130" i="1"/>
  <c r="VF130" i="1"/>
  <c r="VE130" i="1"/>
  <c r="VD130" i="1"/>
  <c r="VC130" i="1"/>
  <c r="VA130" i="1"/>
  <c r="UZ130" i="1"/>
  <c r="UY130" i="1"/>
  <c r="UX130" i="1"/>
  <c r="UW130" i="1"/>
  <c r="UV130" i="1"/>
  <c r="US130" i="1"/>
  <c r="UR130" i="1"/>
  <c r="UQ130" i="1"/>
  <c r="UP130" i="1"/>
  <c r="UM130" i="1"/>
  <c r="UK130" i="1"/>
  <c r="UJ130" i="1"/>
  <c r="UI130" i="1"/>
  <c r="UH130" i="1"/>
  <c r="UG130" i="1"/>
  <c r="UF130" i="1"/>
  <c r="UE130" i="1"/>
  <c r="UD130" i="1"/>
  <c r="UC130" i="1"/>
  <c r="UB130" i="1"/>
  <c r="UA130" i="1"/>
  <c r="TZ130" i="1"/>
  <c r="TX130" i="1"/>
  <c r="TW130" i="1"/>
  <c r="TV130" i="1"/>
  <c r="TU130" i="1"/>
  <c r="TT130" i="1"/>
  <c r="TS130" i="1"/>
  <c r="TP130" i="1"/>
  <c r="TO130" i="1"/>
  <c r="TN130" i="1"/>
  <c r="TM130" i="1"/>
  <c r="TJ130" i="1"/>
  <c r="TH130" i="1"/>
  <c r="TG130" i="1"/>
  <c r="TF130" i="1"/>
  <c r="TE130" i="1"/>
  <c r="TD130" i="1"/>
  <c r="TC130" i="1"/>
  <c r="TB130" i="1"/>
  <c r="TA130" i="1"/>
  <c r="SZ130" i="1"/>
  <c r="SY130" i="1"/>
  <c r="SX130" i="1"/>
  <c r="SW130" i="1"/>
  <c r="SU130" i="1"/>
  <c r="ST130" i="1"/>
  <c r="SS130" i="1"/>
  <c r="SR130" i="1"/>
  <c r="SQ130" i="1"/>
  <c r="SP130" i="1"/>
  <c r="SM130" i="1"/>
  <c r="SL130" i="1"/>
  <c r="SK130" i="1"/>
  <c r="SJ130" i="1"/>
  <c r="SG130" i="1"/>
  <c r="VN129" i="1"/>
  <c r="VM129" i="1"/>
  <c r="VL129" i="1"/>
  <c r="VK129" i="1"/>
  <c r="VJ129" i="1"/>
  <c r="VI129" i="1"/>
  <c r="VH129" i="1"/>
  <c r="VG129" i="1"/>
  <c r="VF129" i="1"/>
  <c r="VE129" i="1"/>
  <c r="VD129" i="1"/>
  <c r="VC129" i="1"/>
  <c r="VA129" i="1"/>
  <c r="UZ129" i="1"/>
  <c r="UY129" i="1"/>
  <c r="UX129" i="1"/>
  <c r="UW129" i="1"/>
  <c r="UV129" i="1"/>
  <c r="US129" i="1"/>
  <c r="UR129" i="1"/>
  <c r="UQ129" i="1"/>
  <c r="UP129" i="1"/>
  <c r="UM129" i="1"/>
  <c r="UK129" i="1"/>
  <c r="UJ129" i="1"/>
  <c r="UI129" i="1"/>
  <c r="UH129" i="1"/>
  <c r="UG129" i="1"/>
  <c r="UF129" i="1"/>
  <c r="UE129" i="1"/>
  <c r="UD129" i="1"/>
  <c r="UC129" i="1"/>
  <c r="UB129" i="1"/>
  <c r="UA129" i="1"/>
  <c r="TZ129" i="1"/>
  <c r="TX129" i="1"/>
  <c r="TW129" i="1"/>
  <c r="TV129" i="1"/>
  <c r="TU129" i="1"/>
  <c r="TT129" i="1"/>
  <c r="TS129" i="1"/>
  <c r="TP129" i="1"/>
  <c r="TO129" i="1"/>
  <c r="TN129" i="1"/>
  <c r="TM129" i="1"/>
  <c r="TJ129" i="1"/>
  <c r="TH129" i="1"/>
  <c r="TG129" i="1"/>
  <c r="TF129" i="1"/>
  <c r="TE129" i="1"/>
  <c r="TD129" i="1"/>
  <c r="TC129" i="1"/>
  <c r="TB129" i="1"/>
  <c r="TA129" i="1"/>
  <c r="SZ129" i="1"/>
  <c r="SY129" i="1"/>
  <c r="SX129" i="1"/>
  <c r="SW129" i="1"/>
  <c r="SU129" i="1"/>
  <c r="ST129" i="1"/>
  <c r="SS129" i="1"/>
  <c r="SR129" i="1"/>
  <c r="SQ129" i="1"/>
  <c r="SP129" i="1"/>
  <c r="SM129" i="1"/>
  <c r="SL129" i="1"/>
  <c r="SK129" i="1"/>
  <c r="SJ129" i="1"/>
  <c r="SG129" i="1"/>
  <c r="VN128" i="1"/>
  <c r="VM128" i="1"/>
  <c r="VL128" i="1"/>
  <c r="VK128" i="1"/>
  <c r="VJ128" i="1"/>
  <c r="VI128" i="1"/>
  <c r="VH128" i="1"/>
  <c r="VG128" i="1"/>
  <c r="VF128" i="1"/>
  <c r="VE128" i="1"/>
  <c r="VD128" i="1"/>
  <c r="VC128" i="1"/>
  <c r="VA128" i="1"/>
  <c r="UZ128" i="1"/>
  <c r="UY128" i="1"/>
  <c r="UX128" i="1"/>
  <c r="UW128" i="1"/>
  <c r="UV128" i="1"/>
  <c r="US128" i="1"/>
  <c r="UR128" i="1"/>
  <c r="UQ128" i="1"/>
  <c r="UP128" i="1"/>
  <c r="UM128" i="1"/>
  <c r="UK128" i="1"/>
  <c r="UJ128" i="1"/>
  <c r="UI128" i="1"/>
  <c r="UH128" i="1"/>
  <c r="UG128" i="1"/>
  <c r="UF128" i="1"/>
  <c r="UE128" i="1"/>
  <c r="UD128" i="1"/>
  <c r="UC128" i="1"/>
  <c r="UB128" i="1"/>
  <c r="UA128" i="1"/>
  <c r="TZ128" i="1"/>
  <c r="TX128" i="1"/>
  <c r="TW128" i="1"/>
  <c r="TV128" i="1"/>
  <c r="TU128" i="1"/>
  <c r="TT128" i="1"/>
  <c r="TS128" i="1"/>
  <c r="TP128" i="1"/>
  <c r="TO128" i="1"/>
  <c r="TN128" i="1"/>
  <c r="TM128" i="1"/>
  <c r="TJ128" i="1"/>
  <c r="TH128" i="1"/>
  <c r="TG128" i="1"/>
  <c r="TF128" i="1"/>
  <c r="TE128" i="1"/>
  <c r="TD128" i="1"/>
  <c r="TC128" i="1"/>
  <c r="TB128" i="1"/>
  <c r="TA128" i="1"/>
  <c r="SZ128" i="1"/>
  <c r="SY128" i="1"/>
  <c r="SX128" i="1"/>
  <c r="SW128" i="1"/>
  <c r="SU128" i="1"/>
  <c r="ST128" i="1"/>
  <c r="SS128" i="1"/>
  <c r="SR128" i="1"/>
  <c r="SQ128" i="1"/>
  <c r="SP128" i="1"/>
  <c r="SM128" i="1"/>
  <c r="SL128" i="1"/>
  <c r="SK128" i="1"/>
  <c r="SJ128" i="1"/>
  <c r="SG128" i="1"/>
  <c r="VN127" i="1"/>
  <c r="VM127" i="1"/>
  <c r="VL127" i="1"/>
  <c r="VK127" i="1"/>
  <c r="VJ127" i="1"/>
  <c r="VI127" i="1"/>
  <c r="VH127" i="1"/>
  <c r="VG127" i="1"/>
  <c r="VF127" i="1"/>
  <c r="VE127" i="1"/>
  <c r="VD127" i="1"/>
  <c r="VC127" i="1"/>
  <c r="VA127" i="1"/>
  <c r="UZ127" i="1"/>
  <c r="UY127" i="1"/>
  <c r="UX127" i="1"/>
  <c r="UW127" i="1"/>
  <c r="UV127" i="1"/>
  <c r="US127" i="1"/>
  <c r="UR127" i="1"/>
  <c r="UQ127" i="1"/>
  <c r="UP127" i="1"/>
  <c r="UM127" i="1"/>
  <c r="UK127" i="1"/>
  <c r="UJ127" i="1"/>
  <c r="UI127" i="1"/>
  <c r="UH127" i="1"/>
  <c r="UG127" i="1"/>
  <c r="UF127" i="1"/>
  <c r="UE127" i="1"/>
  <c r="UD127" i="1"/>
  <c r="UC127" i="1"/>
  <c r="UB127" i="1"/>
  <c r="UA127" i="1"/>
  <c r="TZ127" i="1"/>
  <c r="TX127" i="1"/>
  <c r="TW127" i="1"/>
  <c r="TV127" i="1"/>
  <c r="TU127" i="1"/>
  <c r="TT127" i="1"/>
  <c r="TS127" i="1"/>
  <c r="TP127" i="1"/>
  <c r="TO127" i="1"/>
  <c r="TN127" i="1"/>
  <c r="TM127" i="1"/>
  <c r="TJ127" i="1"/>
  <c r="TH127" i="1"/>
  <c r="TG127" i="1"/>
  <c r="TF127" i="1"/>
  <c r="TE127" i="1"/>
  <c r="TD127" i="1"/>
  <c r="TC127" i="1"/>
  <c r="TB127" i="1"/>
  <c r="TA127" i="1"/>
  <c r="SZ127" i="1"/>
  <c r="SY127" i="1"/>
  <c r="SX127" i="1"/>
  <c r="SW127" i="1"/>
  <c r="SU127" i="1"/>
  <c r="ST127" i="1"/>
  <c r="SS127" i="1"/>
  <c r="SR127" i="1"/>
  <c r="SQ127" i="1"/>
  <c r="SP127" i="1"/>
  <c r="SM127" i="1"/>
  <c r="SL127" i="1"/>
  <c r="SK127" i="1"/>
  <c r="SJ127" i="1"/>
  <c r="SG127" i="1"/>
  <c r="VN126" i="1"/>
  <c r="VM126" i="1"/>
  <c r="VL126" i="1"/>
  <c r="VK126" i="1"/>
  <c r="VJ126" i="1"/>
  <c r="VI126" i="1"/>
  <c r="VH126" i="1"/>
  <c r="VG126" i="1"/>
  <c r="VF126" i="1"/>
  <c r="VE126" i="1"/>
  <c r="VD126" i="1"/>
  <c r="VC126" i="1"/>
  <c r="VA126" i="1"/>
  <c r="UZ126" i="1"/>
  <c r="UY126" i="1"/>
  <c r="UX126" i="1"/>
  <c r="UW126" i="1"/>
  <c r="UV126" i="1"/>
  <c r="US126" i="1"/>
  <c r="UR126" i="1"/>
  <c r="UQ126" i="1"/>
  <c r="UP126" i="1"/>
  <c r="UM126" i="1"/>
  <c r="UK126" i="1"/>
  <c r="UJ126" i="1"/>
  <c r="UI126" i="1"/>
  <c r="UH126" i="1"/>
  <c r="UG126" i="1"/>
  <c r="UF126" i="1"/>
  <c r="UE126" i="1"/>
  <c r="UD126" i="1"/>
  <c r="UC126" i="1"/>
  <c r="UB126" i="1"/>
  <c r="UA126" i="1"/>
  <c r="TZ126" i="1"/>
  <c r="TX126" i="1"/>
  <c r="TW126" i="1"/>
  <c r="TV126" i="1"/>
  <c r="TU126" i="1"/>
  <c r="TT126" i="1"/>
  <c r="TS126" i="1"/>
  <c r="TP126" i="1"/>
  <c r="TO126" i="1"/>
  <c r="TN126" i="1"/>
  <c r="TM126" i="1"/>
  <c r="TJ126" i="1"/>
  <c r="TH126" i="1"/>
  <c r="TG126" i="1"/>
  <c r="TF126" i="1"/>
  <c r="TE126" i="1"/>
  <c r="TD126" i="1"/>
  <c r="TC126" i="1"/>
  <c r="TB126" i="1"/>
  <c r="TA126" i="1"/>
  <c r="SZ126" i="1"/>
  <c r="SY126" i="1"/>
  <c r="SX126" i="1"/>
  <c r="SW126" i="1"/>
  <c r="SU126" i="1"/>
  <c r="ST126" i="1"/>
  <c r="SS126" i="1"/>
  <c r="SR126" i="1"/>
  <c r="SQ126" i="1"/>
  <c r="SP126" i="1"/>
  <c r="SM126" i="1"/>
  <c r="SL126" i="1"/>
  <c r="SK126" i="1"/>
  <c r="SJ126" i="1"/>
  <c r="SG126" i="1"/>
  <c r="VN125" i="1"/>
  <c r="VM125" i="1"/>
  <c r="VL125" i="1"/>
  <c r="VK125" i="1"/>
  <c r="VJ125" i="1"/>
  <c r="VI125" i="1"/>
  <c r="VH125" i="1"/>
  <c r="VG125" i="1"/>
  <c r="VF125" i="1"/>
  <c r="VE125" i="1"/>
  <c r="VD125" i="1"/>
  <c r="VC125" i="1"/>
  <c r="VA125" i="1"/>
  <c r="UZ125" i="1"/>
  <c r="UY125" i="1"/>
  <c r="UX125" i="1"/>
  <c r="UW125" i="1"/>
  <c r="UV125" i="1"/>
  <c r="US125" i="1"/>
  <c r="UR125" i="1"/>
  <c r="UQ125" i="1"/>
  <c r="UP125" i="1"/>
  <c r="UM125" i="1"/>
  <c r="UK125" i="1"/>
  <c r="UJ125" i="1"/>
  <c r="UI125" i="1"/>
  <c r="UH125" i="1"/>
  <c r="UG125" i="1"/>
  <c r="UF125" i="1"/>
  <c r="UE125" i="1"/>
  <c r="UD125" i="1"/>
  <c r="UC125" i="1"/>
  <c r="UB125" i="1"/>
  <c r="UA125" i="1"/>
  <c r="TZ125" i="1"/>
  <c r="TX125" i="1"/>
  <c r="TW125" i="1"/>
  <c r="TV125" i="1"/>
  <c r="TU125" i="1"/>
  <c r="TT125" i="1"/>
  <c r="TS125" i="1"/>
  <c r="TP125" i="1"/>
  <c r="TO125" i="1"/>
  <c r="TN125" i="1"/>
  <c r="TM125" i="1"/>
  <c r="TJ125" i="1"/>
  <c r="TH125" i="1"/>
  <c r="TG125" i="1"/>
  <c r="TF125" i="1"/>
  <c r="TE125" i="1"/>
  <c r="TD125" i="1"/>
  <c r="TC125" i="1"/>
  <c r="TB125" i="1"/>
  <c r="TA125" i="1"/>
  <c r="SZ125" i="1"/>
  <c r="SY125" i="1"/>
  <c r="SX125" i="1"/>
  <c r="SW125" i="1"/>
  <c r="SU125" i="1"/>
  <c r="ST125" i="1"/>
  <c r="SS125" i="1"/>
  <c r="SR125" i="1"/>
  <c r="SQ125" i="1"/>
  <c r="SP125" i="1"/>
  <c r="SM125" i="1"/>
  <c r="SL125" i="1"/>
  <c r="SK125" i="1"/>
  <c r="SJ125" i="1"/>
  <c r="SG125" i="1"/>
  <c r="VN124" i="1"/>
  <c r="VM124" i="1"/>
  <c r="VL124" i="1"/>
  <c r="VK124" i="1"/>
  <c r="VJ124" i="1"/>
  <c r="VI124" i="1"/>
  <c r="VH124" i="1"/>
  <c r="VG124" i="1"/>
  <c r="VF124" i="1"/>
  <c r="VE124" i="1"/>
  <c r="VD124" i="1"/>
  <c r="VC124" i="1"/>
  <c r="VA124" i="1"/>
  <c r="UZ124" i="1"/>
  <c r="UY124" i="1"/>
  <c r="UX124" i="1"/>
  <c r="UW124" i="1"/>
  <c r="UV124" i="1"/>
  <c r="US124" i="1"/>
  <c r="UR124" i="1"/>
  <c r="UQ124" i="1"/>
  <c r="UP124" i="1"/>
  <c r="UM124" i="1"/>
  <c r="UK124" i="1"/>
  <c r="UJ124" i="1"/>
  <c r="UI124" i="1"/>
  <c r="UH124" i="1"/>
  <c r="UG124" i="1"/>
  <c r="UF124" i="1"/>
  <c r="UE124" i="1"/>
  <c r="UD124" i="1"/>
  <c r="UC124" i="1"/>
  <c r="UB124" i="1"/>
  <c r="UA124" i="1"/>
  <c r="TZ124" i="1"/>
  <c r="TX124" i="1"/>
  <c r="TW124" i="1"/>
  <c r="TV124" i="1"/>
  <c r="TU124" i="1"/>
  <c r="TT124" i="1"/>
  <c r="TS124" i="1"/>
  <c r="TP124" i="1"/>
  <c r="TO124" i="1"/>
  <c r="TN124" i="1"/>
  <c r="TM124" i="1"/>
  <c r="TJ124" i="1"/>
  <c r="TH124" i="1"/>
  <c r="TG124" i="1"/>
  <c r="TF124" i="1"/>
  <c r="TE124" i="1"/>
  <c r="TD124" i="1"/>
  <c r="TC124" i="1"/>
  <c r="TB124" i="1"/>
  <c r="TA124" i="1"/>
  <c r="SZ124" i="1"/>
  <c r="SY124" i="1"/>
  <c r="SX124" i="1"/>
  <c r="SW124" i="1"/>
  <c r="SU124" i="1"/>
  <c r="ST124" i="1"/>
  <c r="SS124" i="1"/>
  <c r="SR124" i="1"/>
  <c r="SQ124" i="1"/>
  <c r="SP124" i="1"/>
  <c r="SM124" i="1"/>
  <c r="SL124" i="1"/>
  <c r="SK124" i="1"/>
  <c r="SJ124" i="1"/>
  <c r="SG124" i="1"/>
  <c r="VN123" i="1"/>
  <c r="VM123" i="1"/>
  <c r="VL123" i="1"/>
  <c r="VK123" i="1"/>
  <c r="VJ123" i="1"/>
  <c r="VI123" i="1"/>
  <c r="VH123" i="1"/>
  <c r="VG123" i="1"/>
  <c r="VF123" i="1"/>
  <c r="VE123" i="1"/>
  <c r="VD123" i="1"/>
  <c r="VC123" i="1"/>
  <c r="VA123" i="1"/>
  <c r="UZ123" i="1"/>
  <c r="UY123" i="1"/>
  <c r="UX123" i="1"/>
  <c r="UW123" i="1"/>
  <c r="UV123" i="1"/>
  <c r="US123" i="1"/>
  <c r="UR123" i="1"/>
  <c r="UQ123" i="1"/>
  <c r="UP123" i="1"/>
  <c r="UM123" i="1"/>
  <c r="UK123" i="1"/>
  <c r="UJ123" i="1"/>
  <c r="UI123" i="1"/>
  <c r="UH123" i="1"/>
  <c r="UG123" i="1"/>
  <c r="UF123" i="1"/>
  <c r="UE123" i="1"/>
  <c r="UD123" i="1"/>
  <c r="UC123" i="1"/>
  <c r="UB123" i="1"/>
  <c r="UA123" i="1"/>
  <c r="TZ123" i="1"/>
  <c r="TX123" i="1"/>
  <c r="TW123" i="1"/>
  <c r="TV123" i="1"/>
  <c r="TU123" i="1"/>
  <c r="TT123" i="1"/>
  <c r="TS123" i="1"/>
  <c r="TP123" i="1"/>
  <c r="TO123" i="1"/>
  <c r="TN123" i="1"/>
  <c r="TM123" i="1"/>
  <c r="TJ123" i="1"/>
  <c r="TH123" i="1"/>
  <c r="TG123" i="1"/>
  <c r="TF123" i="1"/>
  <c r="TE123" i="1"/>
  <c r="TD123" i="1"/>
  <c r="TC123" i="1"/>
  <c r="TB123" i="1"/>
  <c r="TA123" i="1"/>
  <c r="SZ123" i="1"/>
  <c r="SY123" i="1"/>
  <c r="SX123" i="1"/>
  <c r="SW123" i="1"/>
  <c r="SU123" i="1"/>
  <c r="ST123" i="1"/>
  <c r="SS123" i="1"/>
  <c r="SR123" i="1"/>
  <c r="SQ123" i="1"/>
  <c r="SP123" i="1"/>
  <c r="SM123" i="1"/>
  <c r="SL123" i="1"/>
  <c r="SK123" i="1"/>
  <c r="SJ123" i="1"/>
  <c r="SG123" i="1"/>
  <c r="VN122" i="1"/>
  <c r="VM122" i="1"/>
  <c r="VL122" i="1"/>
  <c r="VK122" i="1"/>
  <c r="VJ122" i="1"/>
  <c r="VI122" i="1"/>
  <c r="VH122" i="1"/>
  <c r="VG122" i="1"/>
  <c r="VF122" i="1"/>
  <c r="VE122" i="1"/>
  <c r="VD122" i="1"/>
  <c r="VC122" i="1"/>
  <c r="VA122" i="1"/>
  <c r="UZ122" i="1"/>
  <c r="UY122" i="1"/>
  <c r="UX122" i="1"/>
  <c r="UW122" i="1"/>
  <c r="UV122" i="1"/>
  <c r="US122" i="1"/>
  <c r="UR122" i="1"/>
  <c r="UQ122" i="1"/>
  <c r="UP122" i="1"/>
  <c r="UM122" i="1"/>
  <c r="UK122" i="1"/>
  <c r="UJ122" i="1"/>
  <c r="UI122" i="1"/>
  <c r="UH122" i="1"/>
  <c r="UG122" i="1"/>
  <c r="UF122" i="1"/>
  <c r="UE122" i="1"/>
  <c r="UD122" i="1"/>
  <c r="UC122" i="1"/>
  <c r="UB122" i="1"/>
  <c r="UA122" i="1"/>
  <c r="TZ122" i="1"/>
  <c r="TX122" i="1"/>
  <c r="TW122" i="1"/>
  <c r="TV122" i="1"/>
  <c r="TU122" i="1"/>
  <c r="TT122" i="1"/>
  <c r="TS122" i="1"/>
  <c r="TP122" i="1"/>
  <c r="TO122" i="1"/>
  <c r="TN122" i="1"/>
  <c r="TM122" i="1"/>
  <c r="TJ122" i="1"/>
  <c r="TH122" i="1"/>
  <c r="TG122" i="1"/>
  <c r="TF122" i="1"/>
  <c r="TE122" i="1"/>
  <c r="TD122" i="1"/>
  <c r="TC122" i="1"/>
  <c r="TB122" i="1"/>
  <c r="TA122" i="1"/>
  <c r="SZ122" i="1"/>
  <c r="SY122" i="1"/>
  <c r="SX122" i="1"/>
  <c r="SW122" i="1"/>
  <c r="SU122" i="1"/>
  <c r="ST122" i="1"/>
  <c r="SS122" i="1"/>
  <c r="SR122" i="1"/>
  <c r="SQ122" i="1"/>
  <c r="SP122" i="1"/>
  <c r="SM122" i="1"/>
  <c r="SL122" i="1"/>
  <c r="SK122" i="1"/>
  <c r="SJ122" i="1"/>
  <c r="SG122" i="1"/>
  <c r="VN121" i="1"/>
  <c r="VM121" i="1"/>
  <c r="VL121" i="1"/>
  <c r="VK121" i="1"/>
  <c r="VJ121" i="1"/>
  <c r="VI121" i="1"/>
  <c r="VH121" i="1"/>
  <c r="VG121" i="1"/>
  <c r="VF121" i="1"/>
  <c r="VE121" i="1"/>
  <c r="VD121" i="1"/>
  <c r="VC121" i="1"/>
  <c r="VA121" i="1"/>
  <c r="UZ121" i="1"/>
  <c r="UY121" i="1"/>
  <c r="UX121" i="1"/>
  <c r="UW121" i="1"/>
  <c r="UV121" i="1"/>
  <c r="US121" i="1"/>
  <c r="UR121" i="1"/>
  <c r="UQ121" i="1"/>
  <c r="UP121" i="1"/>
  <c r="UM121" i="1"/>
  <c r="UK121" i="1"/>
  <c r="UJ121" i="1"/>
  <c r="UI121" i="1"/>
  <c r="UH121" i="1"/>
  <c r="UG121" i="1"/>
  <c r="UF121" i="1"/>
  <c r="UE121" i="1"/>
  <c r="UD121" i="1"/>
  <c r="UC121" i="1"/>
  <c r="UB121" i="1"/>
  <c r="UA121" i="1"/>
  <c r="TZ121" i="1"/>
  <c r="TX121" i="1"/>
  <c r="TW121" i="1"/>
  <c r="TV121" i="1"/>
  <c r="TU121" i="1"/>
  <c r="TT121" i="1"/>
  <c r="TS121" i="1"/>
  <c r="TP121" i="1"/>
  <c r="TO121" i="1"/>
  <c r="TN121" i="1"/>
  <c r="TM121" i="1"/>
  <c r="TJ121" i="1"/>
  <c r="TH121" i="1"/>
  <c r="TG121" i="1"/>
  <c r="TF121" i="1"/>
  <c r="TE121" i="1"/>
  <c r="TD121" i="1"/>
  <c r="TC121" i="1"/>
  <c r="TB121" i="1"/>
  <c r="TA121" i="1"/>
  <c r="SZ121" i="1"/>
  <c r="SY121" i="1"/>
  <c r="SX121" i="1"/>
  <c r="SW121" i="1"/>
  <c r="SU121" i="1"/>
  <c r="ST121" i="1"/>
  <c r="SS121" i="1"/>
  <c r="SR121" i="1"/>
  <c r="SQ121" i="1"/>
  <c r="SP121" i="1"/>
  <c r="SM121" i="1"/>
  <c r="SL121" i="1"/>
  <c r="SK121" i="1"/>
  <c r="SJ121" i="1"/>
  <c r="SG121" i="1"/>
  <c r="VN120" i="1"/>
  <c r="VM120" i="1"/>
  <c r="VL120" i="1"/>
  <c r="VK120" i="1"/>
  <c r="VJ120" i="1"/>
  <c r="VI120" i="1"/>
  <c r="VH120" i="1"/>
  <c r="VG120" i="1"/>
  <c r="VF120" i="1"/>
  <c r="VE120" i="1"/>
  <c r="VD120" i="1"/>
  <c r="VC120" i="1"/>
  <c r="VA120" i="1"/>
  <c r="UZ120" i="1"/>
  <c r="UY120" i="1"/>
  <c r="UX120" i="1"/>
  <c r="UW120" i="1"/>
  <c r="UV120" i="1"/>
  <c r="US120" i="1"/>
  <c r="UR120" i="1"/>
  <c r="UQ120" i="1"/>
  <c r="UP120" i="1"/>
  <c r="UM120" i="1"/>
  <c r="UK120" i="1"/>
  <c r="UJ120" i="1"/>
  <c r="UI120" i="1"/>
  <c r="UH120" i="1"/>
  <c r="UG120" i="1"/>
  <c r="UF120" i="1"/>
  <c r="UE120" i="1"/>
  <c r="UD120" i="1"/>
  <c r="UC120" i="1"/>
  <c r="UB120" i="1"/>
  <c r="UA120" i="1"/>
  <c r="TZ120" i="1"/>
  <c r="TX120" i="1"/>
  <c r="TW120" i="1"/>
  <c r="TV120" i="1"/>
  <c r="TU120" i="1"/>
  <c r="TT120" i="1"/>
  <c r="TS120" i="1"/>
  <c r="TP120" i="1"/>
  <c r="TO120" i="1"/>
  <c r="TN120" i="1"/>
  <c r="TM120" i="1"/>
  <c r="TJ120" i="1"/>
  <c r="TH120" i="1"/>
  <c r="TG120" i="1"/>
  <c r="TF120" i="1"/>
  <c r="TE120" i="1"/>
  <c r="TD120" i="1"/>
  <c r="TC120" i="1"/>
  <c r="TB120" i="1"/>
  <c r="TA120" i="1"/>
  <c r="SZ120" i="1"/>
  <c r="SY120" i="1"/>
  <c r="SX120" i="1"/>
  <c r="SW120" i="1"/>
  <c r="SU120" i="1"/>
  <c r="ST120" i="1"/>
  <c r="SS120" i="1"/>
  <c r="SR120" i="1"/>
  <c r="SQ120" i="1"/>
  <c r="SP120" i="1"/>
  <c r="SM120" i="1"/>
  <c r="SL120" i="1"/>
  <c r="SK120" i="1"/>
  <c r="SJ120" i="1"/>
  <c r="SG120" i="1"/>
  <c r="VN119" i="1"/>
  <c r="VM119" i="1"/>
  <c r="VL119" i="1"/>
  <c r="VK119" i="1"/>
  <c r="VJ119" i="1"/>
  <c r="VI119" i="1"/>
  <c r="VH119" i="1"/>
  <c r="VG119" i="1"/>
  <c r="VF119" i="1"/>
  <c r="VE119" i="1"/>
  <c r="VD119" i="1"/>
  <c r="VC119" i="1"/>
  <c r="VA119" i="1"/>
  <c r="UZ119" i="1"/>
  <c r="UY119" i="1"/>
  <c r="UX119" i="1"/>
  <c r="UW119" i="1"/>
  <c r="UV119" i="1"/>
  <c r="US119" i="1"/>
  <c r="UR119" i="1"/>
  <c r="UQ119" i="1"/>
  <c r="UP119" i="1"/>
  <c r="UM119" i="1"/>
  <c r="UK119" i="1"/>
  <c r="UJ119" i="1"/>
  <c r="UI119" i="1"/>
  <c r="UH119" i="1"/>
  <c r="UG119" i="1"/>
  <c r="UF119" i="1"/>
  <c r="UE119" i="1"/>
  <c r="UD119" i="1"/>
  <c r="UC119" i="1"/>
  <c r="UB119" i="1"/>
  <c r="UA119" i="1"/>
  <c r="TZ119" i="1"/>
  <c r="TX119" i="1"/>
  <c r="TW119" i="1"/>
  <c r="TV119" i="1"/>
  <c r="TU119" i="1"/>
  <c r="TT119" i="1"/>
  <c r="TS119" i="1"/>
  <c r="TP119" i="1"/>
  <c r="TO119" i="1"/>
  <c r="TN119" i="1"/>
  <c r="TM119" i="1"/>
  <c r="TJ119" i="1"/>
  <c r="TH119" i="1"/>
  <c r="TG119" i="1"/>
  <c r="TF119" i="1"/>
  <c r="TE119" i="1"/>
  <c r="TD119" i="1"/>
  <c r="TC119" i="1"/>
  <c r="TB119" i="1"/>
  <c r="TA119" i="1"/>
  <c r="SZ119" i="1"/>
  <c r="SY119" i="1"/>
  <c r="SX119" i="1"/>
  <c r="SW119" i="1"/>
  <c r="SU119" i="1"/>
  <c r="ST119" i="1"/>
  <c r="SS119" i="1"/>
  <c r="SR119" i="1"/>
  <c r="SQ119" i="1"/>
  <c r="SP119" i="1"/>
  <c r="SM119" i="1"/>
  <c r="SL119" i="1"/>
  <c r="SK119" i="1"/>
  <c r="SJ119" i="1"/>
  <c r="SG119" i="1"/>
  <c r="VN118" i="1"/>
  <c r="VM118" i="1"/>
  <c r="VL118" i="1"/>
  <c r="VK118" i="1"/>
  <c r="VJ118" i="1"/>
  <c r="VI118" i="1"/>
  <c r="VH118" i="1"/>
  <c r="VG118" i="1"/>
  <c r="VF118" i="1"/>
  <c r="VE118" i="1"/>
  <c r="VD118" i="1"/>
  <c r="VC118" i="1"/>
  <c r="VA118" i="1"/>
  <c r="UZ118" i="1"/>
  <c r="UY118" i="1"/>
  <c r="UX118" i="1"/>
  <c r="UW118" i="1"/>
  <c r="UV118" i="1"/>
  <c r="US118" i="1"/>
  <c r="UR118" i="1"/>
  <c r="UQ118" i="1"/>
  <c r="UP118" i="1"/>
  <c r="UM118" i="1"/>
  <c r="UK118" i="1"/>
  <c r="UJ118" i="1"/>
  <c r="UI118" i="1"/>
  <c r="UH118" i="1"/>
  <c r="UG118" i="1"/>
  <c r="UF118" i="1"/>
  <c r="UE118" i="1"/>
  <c r="UD118" i="1"/>
  <c r="UC118" i="1"/>
  <c r="UB118" i="1"/>
  <c r="UA118" i="1"/>
  <c r="TZ118" i="1"/>
  <c r="TX118" i="1"/>
  <c r="TW118" i="1"/>
  <c r="TV118" i="1"/>
  <c r="TU118" i="1"/>
  <c r="TT118" i="1"/>
  <c r="TS118" i="1"/>
  <c r="TP118" i="1"/>
  <c r="TO118" i="1"/>
  <c r="TN118" i="1"/>
  <c r="TM118" i="1"/>
  <c r="TJ118" i="1"/>
  <c r="TH118" i="1"/>
  <c r="TG118" i="1"/>
  <c r="TF118" i="1"/>
  <c r="TE118" i="1"/>
  <c r="TD118" i="1"/>
  <c r="TC118" i="1"/>
  <c r="TB118" i="1"/>
  <c r="TA118" i="1"/>
  <c r="SZ118" i="1"/>
  <c r="SY118" i="1"/>
  <c r="SX118" i="1"/>
  <c r="SW118" i="1"/>
  <c r="SU118" i="1"/>
  <c r="ST118" i="1"/>
  <c r="SS118" i="1"/>
  <c r="SR118" i="1"/>
  <c r="SQ118" i="1"/>
  <c r="SP118" i="1"/>
  <c r="SM118" i="1"/>
  <c r="SL118" i="1"/>
  <c r="SK118" i="1"/>
  <c r="SJ118" i="1"/>
  <c r="SG118" i="1"/>
  <c r="VN117" i="1"/>
  <c r="VM117" i="1"/>
  <c r="VL117" i="1"/>
  <c r="VK117" i="1"/>
  <c r="VJ117" i="1"/>
  <c r="VI117" i="1"/>
  <c r="VH117" i="1"/>
  <c r="VG117" i="1"/>
  <c r="VF117" i="1"/>
  <c r="VE117" i="1"/>
  <c r="VD117" i="1"/>
  <c r="VC117" i="1"/>
  <c r="VA117" i="1"/>
  <c r="UZ117" i="1"/>
  <c r="UY117" i="1"/>
  <c r="UX117" i="1"/>
  <c r="UW117" i="1"/>
  <c r="UV117" i="1"/>
  <c r="US117" i="1"/>
  <c r="UR117" i="1"/>
  <c r="UQ117" i="1"/>
  <c r="UP117" i="1"/>
  <c r="UM117" i="1"/>
  <c r="UK117" i="1"/>
  <c r="UJ117" i="1"/>
  <c r="UI117" i="1"/>
  <c r="UH117" i="1"/>
  <c r="UG117" i="1"/>
  <c r="UF117" i="1"/>
  <c r="UE117" i="1"/>
  <c r="UD117" i="1"/>
  <c r="UC117" i="1"/>
  <c r="UB117" i="1"/>
  <c r="UA117" i="1"/>
  <c r="TZ117" i="1"/>
  <c r="TX117" i="1"/>
  <c r="TW117" i="1"/>
  <c r="TV117" i="1"/>
  <c r="TU117" i="1"/>
  <c r="TT117" i="1"/>
  <c r="TS117" i="1"/>
  <c r="TP117" i="1"/>
  <c r="TO117" i="1"/>
  <c r="TN117" i="1"/>
  <c r="TM117" i="1"/>
  <c r="TJ117" i="1"/>
  <c r="TH117" i="1"/>
  <c r="TG117" i="1"/>
  <c r="TF117" i="1"/>
  <c r="TE117" i="1"/>
  <c r="TD117" i="1"/>
  <c r="TC117" i="1"/>
  <c r="TB117" i="1"/>
  <c r="TA117" i="1"/>
  <c r="SZ117" i="1"/>
  <c r="SY117" i="1"/>
  <c r="SX117" i="1"/>
  <c r="SW117" i="1"/>
  <c r="SU117" i="1"/>
  <c r="ST117" i="1"/>
  <c r="SS117" i="1"/>
  <c r="SR117" i="1"/>
  <c r="SQ117" i="1"/>
  <c r="SP117" i="1"/>
  <c r="SM117" i="1"/>
  <c r="SL117" i="1"/>
  <c r="SK117" i="1"/>
  <c r="SJ117" i="1"/>
  <c r="SG117" i="1"/>
  <c r="VN116" i="1"/>
  <c r="VM116" i="1"/>
  <c r="VL116" i="1"/>
  <c r="VK116" i="1"/>
  <c r="VJ116" i="1"/>
  <c r="VI116" i="1"/>
  <c r="VH116" i="1"/>
  <c r="VG116" i="1"/>
  <c r="VF116" i="1"/>
  <c r="VE116" i="1"/>
  <c r="VD116" i="1"/>
  <c r="VC116" i="1"/>
  <c r="VA116" i="1"/>
  <c r="UZ116" i="1"/>
  <c r="UY116" i="1"/>
  <c r="UX116" i="1"/>
  <c r="UW116" i="1"/>
  <c r="UV116" i="1"/>
  <c r="US116" i="1"/>
  <c r="UR116" i="1"/>
  <c r="UQ116" i="1"/>
  <c r="UP116" i="1"/>
  <c r="UM116" i="1"/>
  <c r="UK116" i="1"/>
  <c r="UJ116" i="1"/>
  <c r="UI116" i="1"/>
  <c r="UH116" i="1"/>
  <c r="UG116" i="1"/>
  <c r="UF116" i="1"/>
  <c r="UE116" i="1"/>
  <c r="UD116" i="1"/>
  <c r="UC116" i="1"/>
  <c r="UB116" i="1"/>
  <c r="UA116" i="1"/>
  <c r="TZ116" i="1"/>
  <c r="TX116" i="1"/>
  <c r="TW116" i="1"/>
  <c r="TV116" i="1"/>
  <c r="TU116" i="1"/>
  <c r="TT116" i="1"/>
  <c r="TS116" i="1"/>
  <c r="TP116" i="1"/>
  <c r="TO116" i="1"/>
  <c r="TN116" i="1"/>
  <c r="TM116" i="1"/>
  <c r="TJ116" i="1"/>
  <c r="TH116" i="1"/>
  <c r="TG116" i="1"/>
  <c r="TF116" i="1"/>
  <c r="TE116" i="1"/>
  <c r="TD116" i="1"/>
  <c r="TC116" i="1"/>
  <c r="TB116" i="1"/>
  <c r="TA116" i="1"/>
  <c r="SZ116" i="1"/>
  <c r="SY116" i="1"/>
  <c r="SX116" i="1"/>
  <c r="SW116" i="1"/>
  <c r="SU116" i="1"/>
  <c r="ST116" i="1"/>
  <c r="SS116" i="1"/>
  <c r="SR116" i="1"/>
  <c r="SQ116" i="1"/>
  <c r="SP116" i="1"/>
  <c r="SM116" i="1"/>
  <c r="SL116" i="1"/>
  <c r="SK116" i="1"/>
  <c r="SJ116" i="1"/>
  <c r="SG116" i="1"/>
  <c r="VN115" i="1"/>
  <c r="VM115" i="1"/>
  <c r="VL115" i="1"/>
  <c r="VK115" i="1"/>
  <c r="VJ115" i="1"/>
  <c r="VI115" i="1"/>
  <c r="VH115" i="1"/>
  <c r="VG115" i="1"/>
  <c r="VF115" i="1"/>
  <c r="VE115" i="1"/>
  <c r="VD115" i="1"/>
  <c r="VC115" i="1"/>
  <c r="VA115" i="1"/>
  <c r="UZ115" i="1"/>
  <c r="UY115" i="1"/>
  <c r="UX115" i="1"/>
  <c r="UW115" i="1"/>
  <c r="UV115" i="1"/>
  <c r="US115" i="1"/>
  <c r="UR115" i="1"/>
  <c r="UQ115" i="1"/>
  <c r="UP115" i="1"/>
  <c r="UM115" i="1"/>
  <c r="UK115" i="1"/>
  <c r="UJ115" i="1"/>
  <c r="UI115" i="1"/>
  <c r="UH115" i="1"/>
  <c r="UG115" i="1"/>
  <c r="UF115" i="1"/>
  <c r="UE115" i="1"/>
  <c r="UD115" i="1"/>
  <c r="UC115" i="1"/>
  <c r="UB115" i="1"/>
  <c r="UA115" i="1"/>
  <c r="TZ115" i="1"/>
  <c r="TX115" i="1"/>
  <c r="TW115" i="1"/>
  <c r="TV115" i="1"/>
  <c r="TU115" i="1"/>
  <c r="TT115" i="1"/>
  <c r="TS115" i="1"/>
  <c r="TP115" i="1"/>
  <c r="TO115" i="1"/>
  <c r="TN115" i="1"/>
  <c r="TM115" i="1"/>
  <c r="TJ115" i="1"/>
  <c r="TH115" i="1"/>
  <c r="TG115" i="1"/>
  <c r="TF115" i="1"/>
  <c r="TE115" i="1"/>
  <c r="TD115" i="1"/>
  <c r="TC115" i="1"/>
  <c r="TB115" i="1"/>
  <c r="TA115" i="1"/>
  <c r="SZ115" i="1"/>
  <c r="SY115" i="1"/>
  <c r="SX115" i="1"/>
  <c r="SW115" i="1"/>
  <c r="SU115" i="1"/>
  <c r="ST115" i="1"/>
  <c r="SS115" i="1"/>
  <c r="SR115" i="1"/>
  <c r="SQ115" i="1"/>
  <c r="SP115" i="1"/>
  <c r="SM115" i="1"/>
  <c r="SL115" i="1"/>
  <c r="SK115" i="1"/>
  <c r="SJ115" i="1"/>
  <c r="SG115" i="1"/>
  <c r="VN114" i="1"/>
  <c r="VM114" i="1"/>
  <c r="VL114" i="1"/>
  <c r="VK114" i="1"/>
  <c r="VJ114" i="1"/>
  <c r="VI114" i="1"/>
  <c r="VH114" i="1"/>
  <c r="VG114" i="1"/>
  <c r="VF114" i="1"/>
  <c r="VE114" i="1"/>
  <c r="VD114" i="1"/>
  <c r="VC114" i="1"/>
  <c r="VA114" i="1"/>
  <c r="UZ114" i="1"/>
  <c r="UY114" i="1"/>
  <c r="UX114" i="1"/>
  <c r="UW114" i="1"/>
  <c r="UV114" i="1"/>
  <c r="US114" i="1"/>
  <c r="UR114" i="1"/>
  <c r="UQ114" i="1"/>
  <c r="UP114" i="1"/>
  <c r="UM114" i="1"/>
  <c r="UK114" i="1"/>
  <c r="UJ114" i="1"/>
  <c r="UI114" i="1"/>
  <c r="UH114" i="1"/>
  <c r="UG114" i="1"/>
  <c r="UF114" i="1"/>
  <c r="UE114" i="1"/>
  <c r="UD114" i="1"/>
  <c r="UC114" i="1"/>
  <c r="UB114" i="1"/>
  <c r="UA114" i="1"/>
  <c r="TZ114" i="1"/>
  <c r="TX114" i="1"/>
  <c r="TW114" i="1"/>
  <c r="TV114" i="1"/>
  <c r="TU114" i="1"/>
  <c r="TT114" i="1"/>
  <c r="TS114" i="1"/>
  <c r="TP114" i="1"/>
  <c r="TO114" i="1"/>
  <c r="TN114" i="1"/>
  <c r="TM114" i="1"/>
  <c r="TJ114" i="1"/>
  <c r="TH114" i="1"/>
  <c r="TG114" i="1"/>
  <c r="TF114" i="1"/>
  <c r="TE114" i="1"/>
  <c r="TD114" i="1"/>
  <c r="TC114" i="1"/>
  <c r="TB114" i="1"/>
  <c r="TA114" i="1"/>
  <c r="SZ114" i="1"/>
  <c r="SY114" i="1"/>
  <c r="SX114" i="1"/>
  <c r="SW114" i="1"/>
  <c r="SU114" i="1"/>
  <c r="ST114" i="1"/>
  <c r="SS114" i="1"/>
  <c r="SR114" i="1"/>
  <c r="SQ114" i="1"/>
  <c r="SP114" i="1"/>
  <c r="SM114" i="1"/>
  <c r="SL114" i="1"/>
  <c r="SK114" i="1"/>
  <c r="SJ114" i="1"/>
  <c r="SG114" i="1"/>
  <c r="VN113" i="1"/>
  <c r="VM113" i="1"/>
  <c r="VL113" i="1"/>
  <c r="VK113" i="1"/>
  <c r="VJ113" i="1"/>
  <c r="VI113" i="1"/>
  <c r="VH113" i="1"/>
  <c r="VG113" i="1"/>
  <c r="VF113" i="1"/>
  <c r="VE113" i="1"/>
  <c r="VD113" i="1"/>
  <c r="VC113" i="1"/>
  <c r="VA113" i="1"/>
  <c r="UZ113" i="1"/>
  <c r="UY113" i="1"/>
  <c r="UX113" i="1"/>
  <c r="UW113" i="1"/>
  <c r="UV113" i="1"/>
  <c r="US113" i="1"/>
  <c r="UR113" i="1"/>
  <c r="UQ113" i="1"/>
  <c r="UP113" i="1"/>
  <c r="UM113" i="1"/>
  <c r="UK113" i="1"/>
  <c r="UJ113" i="1"/>
  <c r="UI113" i="1"/>
  <c r="UH113" i="1"/>
  <c r="UG113" i="1"/>
  <c r="UF113" i="1"/>
  <c r="UE113" i="1"/>
  <c r="UD113" i="1"/>
  <c r="UC113" i="1"/>
  <c r="UB113" i="1"/>
  <c r="UA113" i="1"/>
  <c r="TZ113" i="1"/>
  <c r="TX113" i="1"/>
  <c r="TW113" i="1"/>
  <c r="TV113" i="1"/>
  <c r="TU113" i="1"/>
  <c r="TT113" i="1"/>
  <c r="TS113" i="1"/>
  <c r="TP113" i="1"/>
  <c r="TO113" i="1"/>
  <c r="TN113" i="1"/>
  <c r="TM113" i="1"/>
  <c r="TJ113" i="1"/>
  <c r="TH113" i="1"/>
  <c r="TG113" i="1"/>
  <c r="TF113" i="1"/>
  <c r="TE113" i="1"/>
  <c r="TD113" i="1"/>
  <c r="TC113" i="1"/>
  <c r="TB113" i="1"/>
  <c r="TA113" i="1"/>
  <c r="SZ113" i="1"/>
  <c r="SY113" i="1"/>
  <c r="SX113" i="1"/>
  <c r="SW113" i="1"/>
  <c r="SU113" i="1"/>
  <c r="ST113" i="1"/>
  <c r="SS113" i="1"/>
  <c r="SR113" i="1"/>
  <c r="SQ113" i="1"/>
  <c r="SP113" i="1"/>
  <c r="SM113" i="1"/>
  <c r="SL113" i="1"/>
  <c r="SK113" i="1"/>
  <c r="SJ113" i="1"/>
  <c r="SG113" i="1"/>
  <c r="VN112" i="1"/>
  <c r="VM112" i="1"/>
  <c r="VL112" i="1"/>
  <c r="VK112" i="1"/>
  <c r="VJ112" i="1"/>
  <c r="VI112" i="1"/>
  <c r="VH112" i="1"/>
  <c r="VG112" i="1"/>
  <c r="VF112" i="1"/>
  <c r="VE112" i="1"/>
  <c r="VD112" i="1"/>
  <c r="VC112" i="1"/>
  <c r="VA112" i="1"/>
  <c r="UZ112" i="1"/>
  <c r="UY112" i="1"/>
  <c r="UX112" i="1"/>
  <c r="UW112" i="1"/>
  <c r="UV112" i="1"/>
  <c r="US112" i="1"/>
  <c r="UR112" i="1"/>
  <c r="UQ112" i="1"/>
  <c r="UP112" i="1"/>
  <c r="UM112" i="1"/>
  <c r="UK112" i="1"/>
  <c r="UJ112" i="1"/>
  <c r="UI112" i="1"/>
  <c r="UH112" i="1"/>
  <c r="UG112" i="1"/>
  <c r="UF112" i="1"/>
  <c r="UE112" i="1"/>
  <c r="UD112" i="1"/>
  <c r="UC112" i="1"/>
  <c r="UB112" i="1"/>
  <c r="UA112" i="1"/>
  <c r="TZ112" i="1"/>
  <c r="TX112" i="1"/>
  <c r="TW112" i="1"/>
  <c r="TV112" i="1"/>
  <c r="TU112" i="1"/>
  <c r="TT112" i="1"/>
  <c r="TS112" i="1"/>
  <c r="TP112" i="1"/>
  <c r="TO112" i="1"/>
  <c r="TN112" i="1"/>
  <c r="TM112" i="1"/>
  <c r="TJ112" i="1"/>
  <c r="TH112" i="1"/>
  <c r="TG112" i="1"/>
  <c r="TF112" i="1"/>
  <c r="TE112" i="1"/>
  <c r="TD112" i="1"/>
  <c r="TC112" i="1"/>
  <c r="TB112" i="1"/>
  <c r="TA112" i="1"/>
  <c r="SZ112" i="1"/>
  <c r="SY112" i="1"/>
  <c r="SX112" i="1"/>
  <c r="SW112" i="1"/>
  <c r="SU112" i="1"/>
  <c r="ST112" i="1"/>
  <c r="SS112" i="1"/>
  <c r="SR112" i="1"/>
  <c r="SQ112" i="1"/>
  <c r="SP112" i="1"/>
  <c r="SM112" i="1"/>
  <c r="SL112" i="1"/>
  <c r="SK112" i="1"/>
  <c r="SJ112" i="1"/>
  <c r="SG112" i="1"/>
  <c r="VN111" i="1"/>
  <c r="VM111" i="1"/>
  <c r="VL111" i="1"/>
  <c r="VK111" i="1"/>
  <c r="VJ111" i="1"/>
  <c r="VI111" i="1"/>
  <c r="VH111" i="1"/>
  <c r="VG111" i="1"/>
  <c r="VF111" i="1"/>
  <c r="VE111" i="1"/>
  <c r="VD111" i="1"/>
  <c r="VC111" i="1"/>
  <c r="VA111" i="1"/>
  <c r="UZ111" i="1"/>
  <c r="UY111" i="1"/>
  <c r="UX111" i="1"/>
  <c r="UW111" i="1"/>
  <c r="UV111" i="1"/>
  <c r="US111" i="1"/>
  <c r="UR111" i="1"/>
  <c r="UQ111" i="1"/>
  <c r="UP111" i="1"/>
  <c r="UM111" i="1"/>
  <c r="UK111" i="1"/>
  <c r="UJ111" i="1"/>
  <c r="UI111" i="1"/>
  <c r="UH111" i="1"/>
  <c r="UG111" i="1"/>
  <c r="UF111" i="1"/>
  <c r="UE111" i="1"/>
  <c r="UD111" i="1"/>
  <c r="UC111" i="1"/>
  <c r="UB111" i="1"/>
  <c r="UA111" i="1"/>
  <c r="TZ111" i="1"/>
  <c r="TX111" i="1"/>
  <c r="TW111" i="1"/>
  <c r="TV111" i="1"/>
  <c r="TU111" i="1"/>
  <c r="TT111" i="1"/>
  <c r="TS111" i="1"/>
  <c r="TP111" i="1"/>
  <c r="TO111" i="1"/>
  <c r="TN111" i="1"/>
  <c r="TM111" i="1"/>
  <c r="TJ111" i="1"/>
  <c r="TH111" i="1"/>
  <c r="TG111" i="1"/>
  <c r="TF111" i="1"/>
  <c r="TE111" i="1"/>
  <c r="TD111" i="1"/>
  <c r="TC111" i="1"/>
  <c r="TB111" i="1"/>
  <c r="TA111" i="1"/>
  <c r="SZ111" i="1"/>
  <c r="SY111" i="1"/>
  <c r="SX111" i="1"/>
  <c r="SW111" i="1"/>
  <c r="SU111" i="1"/>
  <c r="ST111" i="1"/>
  <c r="SS111" i="1"/>
  <c r="SR111" i="1"/>
  <c r="SQ111" i="1"/>
  <c r="SP111" i="1"/>
  <c r="SM111" i="1"/>
  <c r="SL111" i="1"/>
  <c r="SK111" i="1"/>
  <c r="SJ111" i="1"/>
  <c r="SG111" i="1"/>
  <c r="VN110" i="1"/>
  <c r="VM110" i="1"/>
  <c r="VL110" i="1"/>
  <c r="VK110" i="1"/>
  <c r="VJ110" i="1"/>
  <c r="VI110" i="1"/>
  <c r="VH110" i="1"/>
  <c r="VG110" i="1"/>
  <c r="VF110" i="1"/>
  <c r="VE110" i="1"/>
  <c r="VD110" i="1"/>
  <c r="VC110" i="1"/>
  <c r="VA110" i="1"/>
  <c r="UZ110" i="1"/>
  <c r="UY110" i="1"/>
  <c r="UX110" i="1"/>
  <c r="UW110" i="1"/>
  <c r="UV110" i="1"/>
  <c r="US110" i="1"/>
  <c r="UR110" i="1"/>
  <c r="UQ110" i="1"/>
  <c r="UP110" i="1"/>
  <c r="UM110" i="1"/>
  <c r="UK110" i="1"/>
  <c r="UJ110" i="1"/>
  <c r="UI110" i="1"/>
  <c r="UH110" i="1"/>
  <c r="UG110" i="1"/>
  <c r="UF110" i="1"/>
  <c r="UE110" i="1"/>
  <c r="UD110" i="1"/>
  <c r="UC110" i="1"/>
  <c r="UB110" i="1"/>
  <c r="UA110" i="1"/>
  <c r="TZ110" i="1"/>
  <c r="TX110" i="1"/>
  <c r="TW110" i="1"/>
  <c r="TV110" i="1"/>
  <c r="TU110" i="1"/>
  <c r="TT110" i="1"/>
  <c r="TS110" i="1"/>
  <c r="TP110" i="1"/>
  <c r="TO110" i="1"/>
  <c r="TN110" i="1"/>
  <c r="TM110" i="1"/>
  <c r="TJ110" i="1"/>
  <c r="TH110" i="1"/>
  <c r="TG110" i="1"/>
  <c r="TF110" i="1"/>
  <c r="TE110" i="1"/>
  <c r="TD110" i="1"/>
  <c r="TC110" i="1"/>
  <c r="TB110" i="1"/>
  <c r="TA110" i="1"/>
  <c r="SZ110" i="1"/>
  <c r="SY110" i="1"/>
  <c r="SX110" i="1"/>
  <c r="SW110" i="1"/>
  <c r="SU110" i="1"/>
  <c r="ST110" i="1"/>
  <c r="SS110" i="1"/>
  <c r="SR110" i="1"/>
  <c r="SQ110" i="1"/>
  <c r="SP110" i="1"/>
  <c r="SM110" i="1"/>
  <c r="SL110" i="1"/>
  <c r="SK110" i="1"/>
  <c r="SJ110" i="1"/>
  <c r="SG110" i="1"/>
  <c r="VN109" i="1"/>
  <c r="VM109" i="1"/>
  <c r="VL109" i="1"/>
  <c r="VK109" i="1"/>
  <c r="VJ109" i="1"/>
  <c r="VI109" i="1"/>
  <c r="VH109" i="1"/>
  <c r="VG109" i="1"/>
  <c r="VF109" i="1"/>
  <c r="VE109" i="1"/>
  <c r="VD109" i="1"/>
  <c r="VC109" i="1"/>
  <c r="VA109" i="1"/>
  <c r="UZ109" i="1"/>
  <c r="UY109" i="1"/>
  <c r="UX109" i="1"/>
  <c r="UW109" i="1"/>
  <c r="UV109" i="1"/>
  <c r="US109" i="1"/>
  <c r="UR109" i="1"/>
  <c r="UQ109" i="1"/>
  <c r="UP109" i="1"/>
  <c r="UM109" i="1"/>
  <c r="UK109" i="1"/>
  <c r="UJ109" i="1"/>
  <c r="UI109" i="1"/>
  <c r="UH109" i="1"/>
  <c r="UG109" i="1"/>
  <c r="UF109" i="1"/>
  <c r="UE109" i="1"/>
  <c r="UD109" i="1"/>
  <c r="UC109" i="1"/>
  <c r="UB109" i="1"/>
  <c r="UA109" i="1"/>
  <c r="TZ109" i="1"/>
  <c r="TX109" i="1"/>
  <c r="TW109" i="1"/>
  <c r="TV109" i="1"/>
  <c r="TU109" i="1"/>
  <c r="TT109" i="1"/>
  <c r="TS109" i="1"/>
  <c r="TP109" i="1"/>
  <c r="TO109" i="1"/>
  <c r="TN109" i="1"/>
  <c r="TM109" i="1"/>
  <c r="TJ109" i="1"/>
  <c r="TH109" i="1"/>
  <c r="TG109" i="1"/>
  <c r="TF109" i="1"/>
  <c r="TE109" i="1"/>
  <c r="TD109" i="1"/>
  <c r="TC109" i="1"/>
  <c r="TB109" i="1"/>
  <c r="TA109" i="1"/>
  <c r="SZ109" i="1"/>
  <c r="SY109" i="1"/>
  <c r="SX109" i="1"/>
  <c r="SW109" i="1"/>
  <c r="SU109" i="1"/>
  <c r="ST109" i="1"/>
  <c r="SS109" i="1"/>
  <c r="SR109" i="1"/>
  <c r="SQ109" i="1"/>
  <c r="SP109" i="1"/>
  <c r="SM109" i="1"/>
  <c r="SL109" i="1"/>
  <c r="SK109" i="1"/>
  <c r="SJ109" i="1"/>
  <c r="SG109" i="1"/>
  <c r="VN108" i="1"/>
  <c r="VM108" i="1"/>
  <c r="VL108" i="1"/>
  <c r="VK108" i="1"/>
  <c r="VJ108" i="1"/>
  <c r="VI108" i="1"/>
  <c r="VH108" i="1"/>
  <c r="VG108" i="1"/>
  <c r="VF108" i="1"/>
  <c r="VE108" i="1"/>
  <c r="VD108" i="1"/>
  <c r="VC108" i="1"/>
  <c r="VA108" i="1"/>
  <c r="UZ108" i="1"/>
  <c r="UY108" i="1"/>
  <c r="UX108" i="1"/>
  <c r="UW108" i="1"/>
  <c r="UV108" i="1"/>
  <c r="US108" i="1"/>
  <c r="UR108" i="1"/>
  <c r="UQ108" i="1"/>
  <c r="UP108" i="1"/>
  <c r="UM108" i="1"/>
  <c r="UK108" i="1"/>
  <c r="UJ108" i="1"/>
  <c r="UI108" i="1"/>
  <c r="UH108" i="1"/>
  <c r="UG108" i="1"/>
  <c r="UF108" i="1"/>
  <c r="UE108" i="1"/>
  <c r="UD108" i="1"/>
  <c r="UC108" i="1"/>
  <c r="UB108" i="1"/>
  <c r="UA108" i="1"/>
  <c r="TZ108" i="1"/>
  <c r="TX108" i="1"/>
  <c r="TW108" i="1"/>
  <c r="TV108" i="1"/>
  <c r="TU108" i="1"/>
  <c r="TT108" i="1"/>
  <c r="TS108" i="1"/>
  <c r="TP108" i="1"/>
  <c r="TO108" i="1"/>
  <c r="TN108" i="1"/>
  <c r="TM108" i="1"/>
  <c r="TJ108" i="1"/>
  <c r="TH108" i="1"/>
  <c r="TG108" i="1"/>
  <c r="TF108" i="1"/>
  <c r="TE108" i="1"/>
  <c r="TD108" i="1"/>
  <c r="TC108" i="1"/>
  <c r="TB108" i="1"/>
  <c r="TA108" i="1"/>
  <c r="SZ108" i="1"/>
  <c r="SY108" i="1"/>
  <c r="SX108" i="1"/>
  <c r="SW108" i="1"/>
  <c r="SU108" i="1"/>
  <c r="ST108" i="1"/>
  <c r="SS108" i="1"/>
  <c r="SR108" i="1"/>
  <c r="SQ108" i="1"/>
  <c r="SP108" i="1"/>
  <c r="SM108" i="1"/>
  <c r="SL108" i="1"/>
  <c r="SK108" i="1"/>
  <c r="SJ108" i="1"/>
  <c r="SG108" i="1"/>
  <c r="VN107" i="1"/>
  <c r="VM107" i="1"/>
  <c r="VL107" i="1"/>
  <c r="VK107" i="1"/>
  <c r="VJ107" i="1"/>
  <c r="VI107" i="1"/>
  <c r="VH107" i="1"/>
  <c r="VG107" i="1"/>
  <c r="VF107" i="1"/>
  <c r="VE107" i="1"/>
  <c r="VD107" i="1"/>
  <c r="VC107" i="1"/>
  <c r="VA107" i="1"/>
  <c r="UZ107" i="1"/>
  <c r="UY107" i="1"/>
  <c r="UX107" i="1"/>
  <c r="UW107" i="1"/>
  <c r="UV107" i="1"/>
  <c r="US107" i="1"/>
  <c r="UR107" i="1"/>
  <c r="UQ107" i="1"/>
  <c r="UP107" i="1"/>
  <c r="UM107" i="1"/>
  <c r="UK107" i="1"/>
  <c r="UJ107" i="1"/>
  <c r="UI107" i="1"/>
  <c r="UH107" i="1"/>
  <c r="UG107" i="1"/>
  <c r="UF107" i="1"/>
  <c r="UE107" i="1"/>
  <c r="UD107" i="1"/>
  <c r="UC107" i="1"/>
  <c r="UB107" i="1"/>
  <c r="UA107" i="1"/>
  <c r="TZ107" i="1"/>
  <c r="TX107" i="1"/>
  <c r="TW107" i="1"/>
  <c r="TV107" i="1"/>
  <c r="TU107" i="1"/>
  <c r="TT107" i="1"/>
  <c r="TS107" i="1"/>
  <c r="TP107" i="1"/>
  <c r="TO107" i="1"/>
  <c r="TN107" i="1"/>
  <c r="TM107" i="1"/>
  <c r="TJ107" i="1"/>
  <c r="TH107" i="1"/>
  <c r="TG107" i="1"/>
  <c r="TF107" i="1"/>
  <c r="TE107" i="1"/>
  <c r="TD107" i="1"/>
  <c r="TC107" i="1"/>
  <c r="TB107" i="1"/>
  <c r="TA107" i="1"/>
  <c r="SZ107" i="1"/>
  <c r="SY107" i="1"/>
  <c r="SX107" i="1"/>
  <c r="SW107" i="1"/>
  <c r="SU107" i="1"/>
  <c r="ST107" i="1"/>
  <c r="SS107" i="1"/>
  <c r="SR107" i="1"/>
  <c r="SQ107" i="1"/>
  <c r="SP107" i="1"/>
  <c r="SM107" i="1"/>
  <c r="SL107" i="1"/>
  <c r="SK107" i="1"/>
  <c r="SJ107" i="1"/>
  <c r="SG107" i="1"/>
  <c r="VN106" i="1"/>
  <c r="VM106" i="1"/>
  <c r="VL106" i="1"/>
  <c r="VK106" i="1"/>
  <c r="VJ106" i="1"/>
  <c r="VI106" i="1"/>
  <c r="VH106" i="1"/>
  <c r="VG106" i="1"/>
  <c r="VF106" i="1"/>
  <c r="VE106" i="1"/>
  <c r="VD106" i="1"/>
  <c r="VC106" i="1"/>
  <c r="VA106" i="1"/>
  <c r="UZ106" i="1"/>
  <c r="UY106" i="1"/>
  <c r="UX106" i="1"/>
  <c r="UW106" i="1"/>
  <c r="UV106" i="1"/>
  <c r="US106" i="1"/>
  <c r="UR106" i="1"/>
  <c r="UQ106" i="1"/>
  <c r="UP106" i="1"/>
  <c r="UM106" i="1"/>
  <c r="UK106" i="1"/>
  <c r="UJ106" i="1"/>
  <c r="UI106" i="1"/>
  <c r="UH106" i="1"/>
  <c r="UG106" i="1"/>
  <c r="UF106" i="1"/>
  <c r="UE106" i="1"/>
  <c r="UD106" i="1"/>
  <c r="UC106" i="1"/>
  <c r="UB106" i="1"/>
  <c r="UA106" i="1"/>
  <c r="TZ106" i="1"/>
  <c r="TX106" i="1"/>
  <c r="TW106" i="1"/>
  <c r="TV106" i="1"/>
  <c r="TU106" i="1"/>
  <c r="TT106" i="1"/>
  <c r="TS106" i="1"/>
  <c r="TP106" i="1"/>
  <c r="TO106" i="1"/>
  <c r="TN106" i="1"/>
  <c r="TM106" i="1"/>
  <c r="TJ106" i="1"/>
  <c r="TH106" i="1"/>
  <c r="TG106" i="1"/>
  <c r="TF106" i="1"/>
  <c r="TE106" i="1"/>
  <c r="TD106" i="1"/>
  <c r="TC106" i="1"/>
  <c r="TB106" i="1"/>
  <c r="TA106" i="1"/>
  <c r="SZ106" i="1"/>
  <c r="SY106" i="1"/>
  <c r="SX106" i="1"/>
  <c r="SW106" i="1"/>
  <c r="SU106" i="1"/>
  <c r="ST106" i="1"/>
  <c r="SS106" i="1"/>
  <c r="SR106" i="1"/>
  <c r="SQ106" i="1"/>
  <c r="SP106" i="1"/>
  <c r="SM106" i="1"/>
  <c r="SL106" i="1"/>
  <c r="SK106" i="1"/>
  <c r="SJ106" i="1"/>
  <c r="SG106" i="1"/>
  <c r="VN105" i="1"/>
  <c r="VM105" i="1"/>
  <c r="VL105" i="1"/>
  <c r="VK105" i="1"/>
  <c r="VJ105" i="1"/>
  <c r="VI105" i="1"/>
  <c r="VH105" i="1"/>
  <c r="VG105" i="1"/>
  <c r="VF105" i="1"/>
  <c r="VE105" i="1"/>
  <c r="VD105" i="1"/>
  <c r="VC105" i="1"/>
  <c r="VA105" i="1"/>
  <c r="UZ105" i="1"/>
  <c r="UY105" i="1"/>
  <c r="UX105" i="1"/>
  <c r="UW105" i="1"/>
  <c r="UV105" i="1"/>
  <c r="US105" i="1"/>
  <c r="UR105" i="1"/>
  <c r="UQ105" i="1"/>
  <c r="UP105" i="1"/>
  <c r="UM105" i="1"/>
  <c r="UK105" i="1"/>
  <c r="UJ105" i="1"/>
  <c r="UI105" i="1"/>
  <c r="UH105" i="1"/>
  <c r="UG105" i="1"/>
  <c r="UF105" i="1"/>
  <c r="UE105" i="1"/>
  <c r="UD105" i="1"/>
  <c r="UC105" i="1"/>
  <c r="UB105" i="1"/>
  <c r="UA105" i="1"/>
  <c r="TZ105" i="1"/>
  <c r="TX105" i="1"/>
  <c r="TW105" i="1"/>
  <c r="TV105" i="1"/>
  <c r="TU105" i="1"/>
  <c r="TT105" i="1"/>
  <c r="TS105" i="1"/>
  <c r="TP105" i="1"/>
  <c r="TO105" i="1"/>
  <c r="TN105" i="1"/>
  <c r="TM105" i="1"/>
  <c r="TJ105" i="1"/>
  <c r="TH105" i="1"/>
  <c r="TG105" i="1"/>
  <c r="TF105" i="1"/>
  <c r="TE105" i="1"/>
  <c r="TD105" i="1"/>
  <c r="TC105" i="1"/>
  <c r="TB105" i="1"/>
  <c r="TA105" i="1"/>
  <c r="SZ105" i="1"/>
  <c r="SY105" i="1"/>
  <c r="SX105" i="1"/>
  <c r="SW105" i="1"/>
  <c r="SU105" i="1"/>
  <c r="ST105" i="1"/>
  <c r="SS105" i="1"/>
  <c r="SR105" i="1"/>
  <c r="SQ105" i="1"/>
  <c r="SP105" i="1"/>
  <c r="SM105" i="1"/>
  <c r="SL105" i="1"/>
  <c r="SK105" i="1"/>
  <c r="SJ105" i="1"/>
  <c r="SG105" i="1"/>
  <c r="VN104" i="1"/>
  <c r="VM104" i="1"/>
  <c r="VL104" i="1"/>
  <c r="VK104" i="1"/>
  <c r="VJ104" i="1"/>
  <c r="VI104" i="1"/>
  <c r="VH104" i="1"/>
  <c r="VG104" i="1"/>
  <c r="VF104" i="1"/>
  <c r="VE104" i="1"/>
  <c r="VD104" i="1"/>
  <c r="VC104" i="1"/>
  <c r="VA104" i="1"/>
  <c r="UZ104" i="1"/>
  <c r="UY104" i="1"/>
  <c r="UX104" i="1"/>
  <c r="UW104" i="1"/>
  <c r="UV104" i="1"/>
  <c r="US104" i="1"/>
  <c r="UR104" i="1"/>
  <c r="UQ104" i="1"/>
  <c r="UP104" i="1"/>
  <c r="UM104" i="1"/>
  <c r="UK104" i="1"/>
  <c r="UJ104" i="1"/>
  <c r="UI104" i="1"/>
  <c r="UH104" i="1"/>
  <c r="UG104" i="1"/>
  <c r="UF104" i="1"/>
  <c r="UE104" i="1"/>
  <c r="UD104" i="1"/>
  <c r="UC104" i="1"/>
  <c r="UB104" i="1"/>
  <c r="UA104" i="1"/>
  <c r="TZ104" i="1"/>
  <c r="TX104" i="1"/>
  <c r="TW104" i="1"/>
  <c r="TV104" i="1"/>
  <c r="TU104" i="1"/>
  <c r="TT104" i="1"/>
  <c r="TS104" i="1"/>
  <c r="TP104" i="1"/>
  <c r="TO104" i="1"/>
  <c r="TN104" i="1"/>
  <c r="TM104" i="1"/>
  <c r="TJ104" i="1"/>
  <c r="TH104" i="1"/>
  <c r="TG104" i="1"/>
  <c r="TF104" i="1"/>
  <c r="TE104" i="1"/>
  <c r="TD104" i="1"/>
  <c r="TC104" i="1"/>
  <c r="TB104" i="1"/>
  <c r="TA104" i="1"/>
  <c r="SZ104" i="1"/>
  <c r="SY104" i="1"/>
  <c r="SX104" i="1"/>
  <c r="SW104" i="1"/>
  <c r="SU104" i="1"/>
  <c r="ST104" i="1"/>
  <c r="SS104" i="1"/>
  <c r="SR104" i="1"/>
  <c r="SQ104" i="1"/>
  <c r="SP104" i="1"/>
  <c r="SM104" i="1"/>
  <c r="SL104" i="1"/>
  <c r="SK104" i="1"/>
  <c r="SJ104" i="1"/>
  <c r="SG104" i="1"/>
  <c r="VN103" i="1"/>
  <c r="VM103" i="1"/>
  <c r="VL103" i="1"/>
  <c r="VK103" i="1"/>
  <c r="VJ103" i="1"/>
  <c r="VI103" i="1"/>
  <c r="VH103" i="1"/>
  <c r="VG103" i="1"/>
  <c r="VF103" i="1"/>
  <c r="VE103" i="1"/>
  <c r="VD103" i="1"/>
  <c r="VC103" i="1"/>
  <c r="VA103" i="1"/>
  <c r="UZ103" i="1"/>
  <c r="UY103" i="1"/>
  <c r="UX103" i="1"/>
  <c r="UW103" i="1"/>
  <c r="UV103" i="1"/>
  <c r="US103" i="1"/>
  <c r="UR103" i="1"/>
  <c r="UQ103" i="1"/>
  <c r="UP103" i="1"/>
  <c r="UM103" i="1"/>
  <c r="UK103" i="1"/>
  <c r="UJ103" i="1"/>
  <c r="UI103" i="1"/>
  <c r="UH103" i="1"/>
  <c r="UG103" i="1"/>
  <c r="UF103" i="1"/>
  <c r="UE103" i="1"/>
  <c r="UD103" i="1"/>
  <c r="UC103" i="1"/>
  <c r="UB103" i="1"/>
  <c r="UA103" i="1"/>
  <c r="TZ103" i="1"/>
  <c r="TX103" i="1"/>
  <c r="TW103" i="1"/>
  <c r="TV103" i="1"/>
  <c r="TU103" i="1"/>
  <c r="TT103" i="1"/>
  <c r="TS103" i="1"/>
  <c r="TP103" i="1"/>
  <c r="TO103" i="1"/>
  <c r="TN103" i="1"/>
  <c r="TM103" i="1"/>
  <c r="TJ103" i="1"/>
  <c r="TH103" i="1"/>
  <c r="TG103" i="1"/>
  <c r="TF103" i="1"/>
  <c r="TE103" i="1"/>
  <c r="TD103" i="1"/>
  <c r="TC103" i="1"/>
  <c r="TB103" i="1"/>
  <c r="TA103" i="1"/>
  <c r="SZ103" i="1"/>
  <c r="SY103" i="1"/>
  <c r="SX103" i="1"/>
  <c r="SW103" i="1"/>
  <c r="SU103" i="1"/>
  <c r="ST103" i="1"/>
  <c r="SS103" i="1"/>
  <c r="SR103" i="1"/>
  <c r="SQ103" i="1"/>
  <c r="SP103" i="1"/>
  <c r="SM103" i="1"/>
  <c r="SL103" i="1"/>
  <c r="SK103" i="1"/>
  <c r="SJ103" i="1"/>
  <c r="SG103" i="1"/>
  <c r="VN102" i="1"/>
  <c r="VM102" i="1"/>
  <c r="VL102" i="1"/>
  <c r="VK102" i="1"/>
  <c r="VJ102" i="1"/>
  <c r="VI102" i="1"/>
  <c r="VH102" i="1"/>
  <c r="VG102" i="1"/>
  <c r="VF102" i="1"/>
  <c r="VE102" i="1"/>
  <c r="VD102" i="1"/>
  <c r="VC102" i="1"/>
  <c r="VA102" i="1"/>
  <c r="UZ102" i="1"/>
  <c r="UY102" i="1"/>
  <c r="UX102" i="1"/>
  <c r="UW102" i="1"/>
  <c r="UV102" i="1"/>
  <c r="US102" i="1"/>
  <c r="UR102" i="1"/>
  <c r="UQ102" i="1"/>
  <c r="UP102" i="1"/>
  <c r="UM102" i="1"/>
  <c r="UK102" i="1"/>
  <c r="UJ102" i="1"/>
  <c r="UI102" i="1"/>
  <c r="UH102" i="1"/>
  <c r="UG102" i="1"/>
  <c r="UF102" i="1"/>
  <c r="UE102" i="1"/>
  <c r="UD102" i="1"/>
  <c r="UC102" i="1"/>
  <c r="UB102" i="1"/>
  <c r="UA102" i="1"/>
  <c r="TZ102" i="1"/>
  <c r="TX102" i="1"/>
  <c r="TW102" i="1"/>
  <c r="TV102" i="1"/>
  <c r="TU102" i="1"/>
  <c r="TT102" i="1"/>
  <c r="TS102" i="1"/>
  <c r="TP102" i="1"/>
  <c r="TO102" i="1"/>
  <c r="TN102" i="1"/>
  <c r="TM102" i="1"/>
  <c r="TJ102" i="1"/>
  <c r="TH102" i="1"/>
  <c r="TG102" i="1"/>
  <c r="TF102" i="1"/>
  <c r="TE102" i="1"/>
  <c r="TD102" i="1"/>
  <c r="TC102" i="1"/>
  <c r="TB102" i="1"/>
  <c r="TA102" i="1"/>
  <c r="SZ102" i="1"/>
  <c r="SY102" i="1"/>
  <c r="SX102" i="1"/>
  <c r="SW102" i="1"/>
  <c r="SU102" i="1"/>
  <c r="ST102" i="1"/>
  <c r="SS102" i="1"/>
  <c r="SR102" i="1"/>
  <c r="SQ102" i="1"/>
  <c r="SP102" i="1"/>
  <c r="SM102" i="1"/>
  <c r="SL102" i="1"/>
  <c r="SK102" i="1"/>
  <c r="SJ102" i="1"/>
  <c r="SG102" i="1"/>
  <c r="VN101" i="1"/>
  <c r="VM101" i="1"/>
  <c r="VL101" i="1"/>
  <c r="VK101" i="1"/>
  <c r="VJ101" i="1"/>
  <c r="VI101" i="1"/>
  <c r="VH101" i="1"/>
  <c r="VG101" i="1"/>
  <c r="VF101" i="1"/>
  <c r="VE101" i="1"/>
  <c r="VD101" i="1"/>
  <c r="VC101" i="1"/>
  <c r="VA101" i="1"/>
  <c r="UZ101" i="1"/>
  <c r="UY101" i="1"/>
  <c r="UX101" i="1"/>
  <c r="UW101" i="1"/>
  <c r="UV101" i="1"/>
  <c r="US101" i="1"/>
  <c r="UR101" i="1"/>
  <c r="UQ101" i="1"/>
  <c r="UP101" i="1"/>
  <c r="UM101" i="1"/>
  <c r="UK101" i="1"/>
  <c r="UJ101" i="1"/>
  <c r="UI101" i="1"/>
  <c r="UH101" i="1"/>
  <c r="UG101" i="1"/>
  <c r="UF101" i="1"/>
  <c r="UE101" i="1"/>
  <c r="UD101" i="1"/>
  <c r="UC101" i="1"/>
  <c r="UB101" i="1"/>
  <c r="UA101" i="1"/>
  <c r="TZ101" i="1"/>
  <c r="TX101" i="1"/>
  <c r="TW101" i="1"/>
  <c r="TV101" i="1"/>
  <c r="TU101" i="1"/>
  <c r="TT101" i="1"/>
  <c r="TS101" i="1"/>
  <c r="TP101" i="1"/>
  <c r="TO101" i="1"/>
  <c r="TN101" i="1"/>
  <c r="TM101" i="1"/>
  <c r="TJ101" i="1"/>
  <c r="TH101" i="1"/>
  <c r="TG101" i="1"/>
  <c r="TF101" i="1"/>
  <c r="TE101" i="1"/>
  <c r="TD101" i="1"/>
  <c r="TC101" i="1"/>
  <c r="TB101" i="1"/>
  <c r="TA101" i="1"/>
  <c r="SZ101" i="1"/>
  <c r="SY101" i="1"/>
  <c r="SX101" i="1"/>
  <c r="SW101" i="1"/>
  <c r="SU101" i="1"/>
  <c r="ST101" i="1"/>
  <c r="SS101" i="1"/>
  <c r="SR101" i="1"/>
  <c r="SQ101" i="1"/>
  <c r="SP101" i="1"/>
  <c r="SM101" i="1"/>
  <c r="SL101" i="1"/>
  <c r="SK101" i="1"/>
  <c r="SJ101" i="1"/>
  <c r="SG101" i="1"/>
  <c r="VN100" i="1"/>
  <c r="VM100" i="1"/>
  <c r="VL100" i="1"/>
  <c r="VK100" i="1"/>
  <c r="VJ100" i="1"/>
  <c r="VI100" i="1"/>
  <c r="VH100" i="1"/>
  <c r="VG100" i="1"/>
  <c r="VF100" i="1"/>
  <c r="VE100" i="1"/>
  <c r="VD100" i="1"/>
  <c r="VC100" i="1"/>
  <c r="VA100" i="1"/>
  <c r="UZ100" i="1"/>
  <c r="UY100" i="1"/>
  <c r="UX100" i="1"/>
  <c r="UW100" i="1"/>
  <c r="UV100" i="1"/>
  <c r="US100" i="1"/>
  <c r="UR100" i="1"/>
  <c r="UQ100" i="1"/>
  <c r="UP100" i="1"/>
  <c r="UM100" i="1"/>
  <c r="UK100" i="1"/>
  <c r="UJ100" i="1"/>
  <c r="UI100" i="1"/>
  <c r="UH100" i="1"/>
  <c r="UG100" i="1"/>
  <c r="UF100" i="1"/>
  <c r="UE100" i="1"/>
  <c r="UD100" i="1"/>
  <c r="UC100" i="1"/>
  <c r="UB100" i="1"/>
  <c r="UA100" i="1"/>
  <c r="TZ100" i="1"/>
  <c r="TX100" i="1"/>
  <c r="TW100" i="1"/>
  <c r="TV100" i="1"/>
  <c r="TU100" i="1"/>
  <c r="TT100" i="1"/>
  <c r="TS100" i="1"/>
  <c r="TP100" i="1"/>
  <c r="TO100" i="1"/>
  <c r="TN100" i="1"/>
  <c r="TM100" i="1"/>
  <c r="TJ100" i="1"/>
  <c r="TH100" i="1"/>
  <c r="TG100" i="1"/>
  <c r="TF100" i="1"/>
  <c r="TE100" i="1"/>
  <c r="TD100" i="1"/>
  <c r="TC100" i="1"/>
  <c r="TB100" i="1"/>
  <c r="TA100" i="1"/>
  <c r="SZ100" i="1"/>
  <c r="SY100" i="1"/>
  <c r="SX100" i="1"/>
  <c r="SW100" i="1"/>
  <c r="SU100" i="1"/>
  <c r="ST100" i="1"/>
  <c r="SS100" i="1"/>
  <c r="SR100" i="1"/>
  <c r="SQ100" i="1"/>
  <c r="SP100" i="1"/>
  <c r="SM100" i="1"/>
  <c r="SL100" i="1"/>
  <c r="SK100" i="1"/>
  <c r="SJ100" i="1"/>
  <c r="SG100" i="1"/>
  <c r="VN99" i="1"/>
  <c r="VM99" i="1"/>
  <c r="VL99" i="1"/>
  <c r="VK99" i="1"/>
  <c r="VJ99" i="1"/>
  <c r="VI99" i="1"/>
  <c r="VH99" i="1"/>
  <c r="VG99" i="1"/>
  <c r="VF99" i="1"/>
  <c r="VE99" i="1"/>
  <c r="VD99" i="1"/>
  <c r="VC99" i="1"/>
  <c r="VA99" i="1"/>
  <c r="UZ99" i="1"/>
  <c r="UY99" i="1"/>
  <c r="UX99" i="1"/>
  <c r="UW99" i="1"/>
  <c r="UV99" i="1"/>
  <c r="US99" i="1"/>
  <c r="UR99" i="1"/>
  <c r="UQ99" i="1"/>
  <c r="UP99" i="1"/>
  <c r="UM99" i="1"/>
  <c r="UK99" i="1"/>
  <c r="UJ99" i="1"/>
  <c r="UI99" i="1"/>
  <c r="UH99" i="1"/>
  <c r="UG99" i="1"/>
  <c r="UF99" i="1"/>
  <c r="UE99" i="1"/>
  <c r="UD99" i="1"/>
  <c r="UC99" i="1"/>
  <c r="UB99" i="1"/>
  <c r="UA99" i="1"/>
  <c r="TZ99" i="1"/>
  <c r="TX99" i="1"/>
  <c r="TW99" i="1"/>
  <c r="TV99" i="1"/>
  <c r="TU99" i="1"/>
  <c r="TT99" i="1"/>
  <c r="TS99" i="1"/>
  <c r="TP99" i="1"/>
  <c r="TO99" i="1"/>
  <c r="TN99" i="1"/>
  <c r="TM99" i="1"/>
  <c r="TJ99" i="1"/>
  <c r="TH99" i="1"/>
  <c r="TG99" i="1"/>
  <c r="TF99" i="1"/>
  <c r="TE99" i="1"/>
  <c r="TD99" i="1"/>
  <c r="TC99" i="1"/>
  <c r="TB99" i="1"/>
  <c r="TA99" i="1"/>
  <c r="SZ99" i="1"/>
  <c r="SY99" i="1"/>
  <c r="SX99" i="1"/>
  <c r="SW99" i="1"/>
  <c r="SU99" i="1"/>
  <c r="ST99" i="1"/>
  <c r="SS99" i="1"/>
  <c r="SR99" i="1"/>
  <c r="SQ99" i="1"/>
  <c r="SP99" i="1"/>
  <c r="SM99" i="1"/>
  <c r="SL99" i="1"/>
  <c r="SK99" i="1"/>
  <c r="SJ99" i="1"/>
  <c r="SG99" i="1"/>
  <c r="VN98" i="1"/>
  <c r="VM98" i="1"/>
  <c r="VL98" i="1"/>
  <c r="VK98" i="1"/>
  <c r="VJ98" i="1"/>
  <c r="VI98" i="1"/>
  <c r="VH98" i="1"/>
  <c r="VG98" i="1"/>
  <c r="VF98" i="1"/>
  <c r="VE98" i="1"/>
  <c r="VD98" i="1"/>
  <c r="VC98" i="1"/>
  <c r="VA98" i="1"/>
  <c r="UZ98" i="1"/>
  <c r="UY98" i="1"/>
  <c r="UX98" i="1"/>
  <c r="UW98" i="1"/>
  <c r="UV98" i="1"/>
  <c r="US98" i="1"/>
  <c r="UR98" i="1"/>
  <c r="UQ98" i="1"/>
  <c r="UP98" i="1"/>
  <c r="UM98" i="1"/>
  <c r="UK98" i="1"/>
  <c r="UJ98" i="1"/>
  <c r="UI98" i="1"/>
  <c r="UH98" i="1"/>
  <c r="UG98" i="1"/>
  <c r="UF98" i="1"/>
  <c r="UE98" i="1"/>
  <c r="UD98" i="1"/>
  <c r="UC98" i="1"/>
  <c r="UB98" i="1"/>
  <c r="UA98" i="1"/>
  <c r="TZ98" i="1"/>
  <c r="TX98" i="1"/>
  <c r="TW98" i="1"/>
  <c r="TV98" i="1"/>
  <c r="TU98" i="1"/>
  <c r="TT98" i="1"/>
  <c r="TS98" i="1"/>
  <c r="TP98" i="1"/>
  <c r="TO98" i="1"/>
  <c r="TN98" i="1"/>
  <c r="TM98" i="1"/>
  <c r="TJ98" i="1"/>
  <c r="TH98" i="1"/>
  <c r="TG98" i="1"/>
  <c r="TF98" i="1"/>
  <c r="TE98" i="1"/>
  <c r="TD98" i="1"/>
  <c r="TC98" i="1"/>
  <c r="TB98" i="1"/>
  <c r="TA98" i="1"/>
  <c r="SZ98" i="1"/>
  <c r="SY98" i="1"/>
  <c r="SX98" i="1"/>
  <c r="SW98" i="1"/>
  <c r="SU98" i="1"/>
  <c r="ST98" i="1"/>
  <c r="SS98" i="1"/>
  <c r="SR98" i="1"/>
  <c r="SQ98" i="1"/>
  <c r="SP98" i="1"/>
  <c r="SM98" i="1"/>
  <c r="SL98" i="1"/>
  <c r="SK98" i="1"/>
  <c r="SJ98" i="1"/>
  <c r="SG98" i="1"/>
  <c r="VN97" i="1"/>
  <c r="VM97" i="1"/>
  <c r="VL97" i="1"/>
  <c r="VK97" i="1"/>
  <c r="VJ97" i="1"/>
  <c r="VI97" i="1"/>
  <c r="VH97" i="1"/>
  <c r="VG97" i="1"/>
  <c r="VF97" i="1"/>
  <c r="VE97" i="1"/>
  <c r="VD97" i="1"/>
  <c r="VC97" i="1"/>
  <c r="VA97" i="1"/>
  <c r="UZ97" i="1"/>
  <c r="UY97" i="1"/>
  <c r="UX97" i="1"/>
  <c r="UW97" i="1"/>
  <c r="UV97" i="1"/>
  <c r="US97" i="1"/>
  <c r="UR97" i="1"/>
  <c r="UQ97" i="1"/>
  <c r="UP97" i="1"/>
  <c r="UM97" i="1"/>
  <c r="UK97" i="1"/>
  <c r="UJ97" i="1"/>
  <c r="UI97" i="1"/>
  <c r="UH97" i="1"/>
  <c r="UG97" i="1"/>
  <c r="UF97" i="1"/>
  <c r="UE97" i="1"/>
  <c r="UD97" i="1"/>
  <c r="UC97" i="1"/>
  <c r="UB97" i="1"/>
  <c r="UA97" i="1"/>
  <c r="TZ97" i="1"/>
  <c r="TX97" i="1"/>
  <c r="TW97" i="1"/>
  <c r="TV97" i="1"/>
  <c r="TU97" i="1"/>
  <c r="TT97" i="1"/>
  <c r="TS97" i="1"/>
  <c r="TP97" i="1"/>
  <c r="TO97" i="1"/>
  <c r="TN97" i="1"/>
  <c r="TM97" i="1"/>
  <c r="TJ97" i="1"/>
  <c r="TH97" i="1"/>
  <c r="TG97" i="1"/>
  <c r="TF97" i="1"/>
  <c r="TE97" i="1"/>
  <c r="TD97" i="1"/>
  <c r="TC97" i="1"/>
  <c r="TB97" i="1"/>
  <c r="TA97" i="1"/>
  <c r="SZ97" i="1"/>
  <c r="SY97" i="1"/>
  <c r="SX97" i="1"/>
  <c r="SW97" i="1"/>
  <c r="SU97" i="1"/>
  <c r="ST97" i="1"/>
  <c r="SS97" i="1"/>
  <c r="SR97" i="1"/>
  <c r="SQ97" i="1"/>
  <c r="SP97" i="1"/>
  <c r="SM97" i="1"/>
  <c r="SL97" i="1"/>
  <c r="SK97" i="1"/>
  <c r="SJ97" i="1"/>
  <c r="SG97" i="1"/>
  <c r="VN96" i="1"/>
  <c r="VM96" i="1"/>
  <c r="VL96" i="1"/>
  <c r="VK96" i="1"/>
  <c r="VJ96" i="1"/>
  <c r="VI96" i="1"/>
  <c r="VH96" i="1"/>
  <c r="VG96" i="1"/>
  <c r="VF96" i="1"/>
  <c r="VE96" i="1"/>
  <c r="VD96" i="1"/>
  <c r="VC96" i="1"/>
  <c r="VA96" i="1"/>
  <c r="UZ96" i="1"/>
  <c r="UY96" i="1"/>
  <c r="UX96" i="1"/>
  <c r="UW96" i="1"/>
  <c r="UV96" i="1"/>
  <c r="US96" i="1"/>
  <c r="UR96" i="1"/>
  <c r="UQ96" i="1"/>
  <c r="UP96" i="1"/>
  <c r="UM96" i="1"/>
  <c r="UK96" i="1"/>
  <c r="UJ96" i="1"/>
  <c r="UI96" i="1"/>
  <c r="UH96" i="1"/>
  <c r="UG96" i="1"/>
  <c r="UF96" i="1"/>
  <c r="UE96" i="1"/>
  <c r="UD96" i="1"/>
  <c r="UC96" i="1"/>
  <c r="UB96" i="1"/>
  <c r="UA96" i="1"/>
  <c r="TZ96" i="1"/>
  <c r="TX96" i="1"/>
  <c r="TW96" i="1"/>
  <c r="TV96" i="1"/>
  <c r="TU96" i="1"/>
  <c r="TT96" i="1"/>
  <c r="TS96" i="1"/>
  <c r="TP96" i="1"/>
  <c r="TO96" i="1"/>
  <c r="TN96" i="1"/>
  <c r="TM96" i="1"/>
  <c r="TJ96" i="1"/>
  <c r="TH96" i="1"/>
  <c r="TG96" i="1"/>
  <c r="TF96" i="1"/>
  <c r="TE96" i="1"/>
  <c r="TD96" i="1"/>
  <c r="TC96" i="1"/>
  <c r="TB96" i="1"/>
  <c r="TA96" i="1"/>
  <c r="SZ96" i="1"/>
  <c r="SY96" i="1"/>
  <c r="SX96" i="1"/>
  <c r="SW96" i="1"/>
  <c r="SU96" i="1"/>
  <c r="ST96" i="1"/>
  <c r="SS96" i="1"/>
  <c r="SR96" i="1"/>
  <c r="SQ96" i="1"/>
  <c r="SP96" i="1"/>
  <c r="SM96" i="1"/>
  <c r="SL96" i="1"/>
  <c r="SK96" i="1"/>
  <c r="SJ96" i="1"/>
  <c r="SG96" i="1"/>
  <c r="VN95" i="1"/>
  <c r="VM95" i="1"/>
  <c r="VL95" i="1"/>
  <c r="VK95" i="1"/>
  <c r="VJ95" i="1"/>
  <c r="VI95" i="1"/>
  <c r="VH95" i="1"/>
  <c r="VG95" i="1"/>
  <c r="VF95" i="1"/>
  <c r="VE95" i="1"/>
  <c r="VD95" i="1"/>
  <c r="VC95" i="1"/>
  <c r="VA95" i="1"/>
  <c r="UZ95" i="1"/>
  <c r="UY95" i="1"/>
  <c r="UX95" i="1"/>
  <c r="UW95" i="1"/>
  <c r="UV95" i="1"/>
  <c r="US95" i="1"/>
  <c r="UR95" i="1"/>
  <c r="UQ95" i="1"/>
  <c r="UP95" i="1"/>
  <c r="UM95" i="1"/>
  <c r="UK95" i="1"/>
  <c r="UJ95" i="1"/>
  <c r="UI95" i="1"/>
  <c r="UH95" i="1"/>
  <c r="UG95" i="1"/>
  <c r="UF95" i="1"/>
  <c r="UE95" i="1"/>
  <c r="UD95" i="1"/>
  <c r="UC95" i="1"/>
  <c r="UB95" i="1"/>
  <c r="UA95" i="1"/>
  <c r="TZ95" i="1"/>
  <c r="TX95" i="1"/>
  <c r="TW95" i="1"/>
  <c r="TV95" i="1"/>
  <c r="TU95" i="1"/>
  <c r="TT95" i="1"/>
  <c r="TS95" i="1"/>
  <c r="TP95" i="1"/>
  <c r="TO95" i="1"/>
  <c r="TN95" i="1"/>
  <c r="TM95" i="1"/>
  <c r="TJ95" i="1"/>
  <c r="TH95" i="1"/>
  <c r="TG95" i="1"/>
  <c r="TF95" i="1"/>
  <c r="TE95" i="1"/>
  <c r="TD95" i="1"/>
  <c r="TC95" i="1"/>
  <c r="TB95" i="1"/>
  <c r="TA95" i="1"/>
  <c r="SZ95" i="1"/>
  <c r="SY95" i="1"/>
  <c r="SX95" i="1"/>
  <c r="SW95" i="1"/>
  <c r="SU95" i="1"/>
  <c r="ST95" i="1"/>
  <c r="SS95" i="1"/>
  <c r="SR95" i="1"/>
  <c r="SQ95" i="1"/>
  <c r="SP95" i="1"/>
  <c r="SM95" i="1"/>
  <c r="SL95" i="1"/>
  <c r="SK95" i="1"/>
  <c r="SJ95" i="1"/>
  <c r="SG95" i="1"/>
  <c r="VN94" i="1"/>
  <c r="VM94" i="1"/>
  <c r="VL94" i="1"/>
  <c r="VK94" i="1"/>
  <c r="VJ94" i="1"/>
  <c r="VI94" i="1"/>
  <c r="VH94" i="1"/>
  <c r="VG94" i="1"/>
  <c r="VF94" i="1"/>
  <c r="VE94" i="1"/>
  <c r="VD94" i="1"/>
  <c r="VC94" i="1"/>
  <c r="VA94" i="1"/>
  <c r="UZ94" i="1"/>
  <c r="UY94" i="1"/>
  <c r="UX94" i="1"/>
  <c r="UW94" i="1"/>
  <c r="UV94" i="1"/>
  <c r="US94" i="1"/>
  <c r="UR94" i="1"/>
  <c r="UQ94" i="1"/>
  <c r="UP94" i="1"/>
  <c r="UM94" i="1"/>
  <c r="UK94" i="1"/>
  <c r="UJ94" i="1"/>
  <c r="UI94" i="1"/>
  <c r="UH94" i="1"/>
  <c r="UG94" i="1"/>
  <c r="UF94" i="1"/>
  <c r="UE94" i="1"/>
  <c r="UD94" i="1"/>
  <c r="UC94" i="1"/>
  <c r="UB94" i="1"/>
  <c r="UA94" i="1"/>
  <c r="TZ94" i="1"/>
  <c r="TX94" i="1"/>
  <c r="TW94" i="1"/>
  <c r="TV94" i="1"/>
  <c r="TU94" i="1"/>
  <c r="TT94" i="1"/>
  <c r="TS94" i="1"/>
  <c r="TP94" i="1"/>
  <c r="TO94" i="1"/>
  <c r="TN94" i="1"/>
  <c r="TM94" i="1"/>
  <c r="TJ94" i="1"/>
  <c r="TH94" i="1"/>
  <c r="TG94" i="1"/>
  <c r="TF94" i="1"/>
  <c r="TE94" i="1"/>
  <c r="TD94" i="1"/>
  <c r="TC94" i="1"/>
  <c r="TB94" i="1"/>
  <c r="TA94" i="1"/>
  <c r="SZ94" i="1"/>
  <c r="SY94" i="1"/>
  <c r="SX94" i="1"/>
  <c r="SW94" i="1"/>
  <c r="SU94" i="1"/>
  <c r="ST94" i="1"/>
  <c r="SS94" i="1"/>
  <c r="SR94" i="1"/>
  <c r="SQ94" i="1"/>
  <c r="SP94" i="1"/>
  <c r="SM94" i="1"/>
  <c r="SL94" i="1"/>
  <c r="SK94" i="1"/>
  <c r="SJ94" i="1"/>
  <c r="SG94" i="1"/>
  <c r="VN93" i="1"/>
  <c r="VM93" i="1"/>
  <c r="VL93" i="1"/>
  <c r="VK93" i="1"/>
  <c r="VJ93" i="1"/>
  <c r="VI93" i="1"/>
  <c r="VH93" i="1"/>
  <c r="VG93" i="1"/>
  <c r="VF93" i="1"/>
  <c r="VE93" i="1"/>
  <c r="VD93" i="1"/>
  <c r="VC93" i="1"/>
  <c r="VA93" i="1"/>
  <c r="UZ93" i="1"/>
  <c r="UY93" i="1"/>
  <c r="UX93" i="1"/>
  <c r="UW93" i="1"/>
  <c r="UV93" i="1"/>
  <c r="US93" i="1"/>
  <c r="UR93" i="1"/>
  <c r="UQ93" i="1"/>
  <c r="UP93" i="1"/>
  <c r="UM93" i="1"/>
  <c r="UK93" i="1"/>
  <c r="UJ93" i="1"/>
  <c r="UI93" i="1"/>
  <c r="UH93" i="1"/>
  <c r="UG93" i="1"/>
  <c r="UF93" i="1"/>
  <c r="UE93" i="1"/>
  <c r="UD93" i="1"/>
  <c r="UC93" i="1"/>
  <c r="UB93" i="1"/>
  <c r="UA93" i="1"/>
  <c r="TZ93" i="1"/>
  <c r="TX93" i="1"/>
  <c r="TW93" i="1"/>
  <c r="TV93" i="1"/>
  <c r="TU93" i="1"/>
  <c r="TT93" i="1"/>
  <c r="TS93" i="1"/>
  <c r="TP93" i="1"/>
  <c r="TO93" i="1"/>
  <c r="TN93" i="1"/>
  <c r="TM93" i="1"/>
  <c r="TJ93" i="1"/>
  <c r="TH93" i="1"/>
  <c r="TG93" i="1"/>
  <c r="TF93" i="1"/>
  <c r="TE93" i="1"/>
  <c r="TD93" i="1"/>
  <c r="TC93" i="1"/>
  <c r="TB93" i="1"/>
  <c r="TA93" i="1"/>
  <c r="SZ93" i="1"/>
  <c r="SY93" i="1"/>
  <c r="SX93" i="1"/>
  <c r="SW93" i="1"/>
  <c r="SU93" i="1"/>
  <c r="ST93" i="1"/>
  <c r="SS93" i="1"/>
  <c r="SR93" i="1"/>
  <c r="SQ93" i="1"/>
  <c r="SP93" i="1"/>
  <c r="SM93" i="1"/>
  <c r="SL93" i="1"/>
  <c r="SK93" i="1"/>
  <c r="SJ93" i="1"/>
  <c r="SG93" i="1"/>
  <c r="VN92" i="1"/>
  <c r="VM92" i="1"/>
  <c r="VL92" i="1"/>
  <c r="VK92" i="1"/>
  <c r="VJ92" i="1"/>
  <c r="VI92" i="1"/>
  <c r="VH92" i="1"/>
  <c r="VG92" i="1"/>
  <c r="VF92" i="1"/>
  <c r="VE92" i="1"/>
  <c r="VD92" i="1"/>
  <c r="VC92" i="1"/>
  <c r="VA92" i="1"/>
  <c r="UZ92" i="1"/>
  <c r="UY92" i="1"/>
  <c r="UX92" i="1"/>
  <c r="UW92" i="1"/>
  <c r="UV92" i="1"/>
  <c r="US92" i="1"/>
  <c r="UR92" i="1"/>
  <c r="UQ92" i="1"/>
  <c r="UP92" i="1"/>
  <c r="UM92" i="1"/>
  <c r="UK92" i="1"/>
  <c r="UJ92" i="1"/>
  <c r="UI92" i="1"/>
  <c r="UH92" i="1"/>
  <c r="UG92" i="1"/>
  <c r="UF92" i="1"/>
  <c r="UE92" i="1"/>
  <c r="UD92" i="1"/>
  <c r="UC92" i="1"/>
  <c r="UB92" i="1"/>
  <c r="UA92" i="1"/>
  <c r="TZ92" i="1"/>
  <c r="TX92" i="1"/>
  <c r="TW92" i="1"/>
  <c r="TV92" i="1"/>
  <c r="TU92" i="1"/>
  <c r="TT92" i="1"/>
  <c r="TS92" i="1"/>
  <c r="TP92" i="1"/>
  <c r="TO92" i="1"/>
  <c r="TN92" i="1"/>
  <c r="TM92" i="1"/>
  <c r="TJ92" i="1"/>
  <c r="TH92" i="1"/>
  <c r="TG92" i="1"/>
  <c r="TF92" i="1"/>
  <c r="TE92" i="1"/>
  <c r="TD92" i="1"/>
  <c r="TC92" i="1"/>
  <c r="TB92" i="1"/>
  <c r="TA92" i="1"/>
  <c r="SZ92" i="1"/>
  <c r="SY92" i="1"/>
  <c r="SX92" i="1"/>
  <c r="SW92" i="1"/>
  <c r="SU92" i="1"/>
  <c r="ST92" i="1"/>
  <c r="SS92" i="1"/>
  <c r="SR92" i="1"/>
  <c r="SQ92" i="1"/>
  <c r="SP92" i="1"/>
  <c r="SM92" i="1"/>
  <c r="SL92" i="1"/>
  <c r="SK92" i="1"/>
  <c r="SJ92" i="1"/>
  <c r="SG92" i="1"/>
  <c r="VN91" i="1"/>
  <c r="VM91" i="1"/>
  <c r="VL91" i="1"/>
  <c r="VK91" i="1"/>
  <c r="VJ91" i="1"/>
  <c r="VI91" i="1"/>
  <c r="VH91" i="1"/>
  <c r="VG91" i="1"/>
  <c r="VF91" i="1"/>
  <c r="VE91" i="1"/>
  <c r="VD91" i="1"/>
  <c r="VC91" i="1"/>
  <c r="VA91" i="1"/>
  <c r="UZ91" i="1"/>
  <c r="UY91" i="1"/>
  <c r="UX91" i="1"/>
  <c r="UW91" i="1"/>
  <c r="UV91" i="1"/>
  <c r="US91" i="1"/>
  <c r="UR91" i="1"/>
  <c r="UQ91" i="1"/>
  <c r="UP91" i="1"/>
  <c r="UM91" i="1"/>
  <c r="UK91" i="1"/>
  <c r="UJ91" i="1"/>
  <c r="UI91" i="1"/>
  <c r="UH91" i="1"/>
  <c r="UG91" i="1"/>
  <c r="UF91" i="1"/>
  <c r="UE91" i="1"/>
  <c r="UD91" i="1"/>
  <c r="UC91" i="1"/>
  <c r="UB91" i="1"/>
  <c r="UA91" i="1"/>
  <c r="TZ91" i="1"/>
  <c r="TX91" i="1"/>
  <c r="TW91" i="1"/>
  <c r="TV91" i="1"/>
  <c r="TU91" i="1"/>
  <c r="TT91" i="1"/>
  <c r="TS91" i="1"/>
  <c r="TP91" i="1"/>
  <c r="TO91" i="1"/>
  <c r="TN91" i="1"/>
  <c r="TM91" i="1"/>
  <c r="TJ91" i="1"/>
  <c r="TH91" i="1"/>
  <c r="TG91" i="1"/>
  <c r="TF91" i="1"/>
  <c r="TE91" i="1"/>
  <c r="TD91" i="1"/>
  <c r="TC91" i="1"/>
  <c r="TB91" i="1"/>
  <c r="TA91" i="1"/>
  <c r="SZ91" i="1"/>
  <c r="SY91" i="1"/>
  <c r="SX91" i="1"/>
  <c r="SW91" i="1"/>
  <c r="SU91" i="1"/>
  <c r="ST91" i="1"/>
  <c r="SS91" i="1"/>
  <c r="SR91" i="1"/>
  <c r="SQ91" i="1"/>
  <c r="SP91" i="1"/>
  <c r="SM91" i="1"/>
  <c r="SL91" i="1"/>
  <c r="SK91" i="1"/>
  <c r="SJ91" i="1"/>
  <c r="SG91" i="1"/>
  <c r="VN90" i="1"/>
  <c r="VM90" i="1"/>
  <c r="VL90" i="1"/>
  <c r="VK90" i="1"/>
  <c r="VJ90" i="1"/>
  <c r="VI90" i="1"/>
  <c r="VH90" i="1"/>
  <c r="VG90" i="1"/>
  <c r="VF90" i="1"/>
  <c r="VE90" i="1"/>
  <c r="VD90" i="1"/>
  <c r="VC90" i="1"/>
  <c r="VA90" i="1"/>
  <c r="UZ90" i="1"/>
  <c r="UY90" i="1"/>
  <c r="UX90" i="1"/>
  <c r="UW90" i="1"/>
  <c r="UV90" i="1"/>
  <c r="US90" i="1"/>
  <c r="UR90" i="1"/>
  <c r="UQ90" i="1"/>
  <c r="UP90" i="1"/>
  <c r="UM90" i="1"/>
  <c r="UK90" i="1"/>
  <c r="UJ90" i="1"/>
  <c r="UI90" i="1"/>
  <c r="UH90" i="1"/>
  <c r="UG90" i="1"/>
  <c r="UF90" i="1"/>
  <c r="UE90" i="1"/>
  <c r="UD90" i="1"/>
  <c r="UC90" i="1"/>
  <c r="UB90" i="1"/>
  <c r="UA90" i="1"/>
  <c r="TZ90" i="1"/>
  <c r="TX90" i="1"/>
  <c r="TW90" i="1"/>
  <c r="TV90" i="1"/>
  <c r="TU90" i="1"/>
  <c r="TT90" i="1"/>
  <c r="TS90" i="1"/>
  <c r="TP90" i="1"/>
  <c r="TO90" i="1"/>
  <c r="TN90" i="1"/>
  <c r="TM90" i="1"/>
  <c r="TJ90" i="1"/>
  <c r="TH90" i="1"/>
  <c r="TG90" i="1"/>
  <c r="TF90" i="1"/>
  <c r="TE90" i="1"/>
  <c r="TD90" i="1"/>
  <c r="TC90" i="1"/>
  <c r="TB90" i="1"/>
  <c r="TA90" i="1"/>
  <c r="SZ90" i="1"/>
  <c r="SY90" i="1"/>
  <c r="SX90" i="1"/>
  <c r="SW90" i="1"/>
  <c r="SU90" i="1"/>
  <c r="ST90" i="1"/>
  <c r="SS90" i="1"/>
  <c r="SR90" i="1"/>
  <c r="SQ90" i="1"/>
  <c r="SP90" i="1"/>
  <c r="SM90" i="1"/>
  <c r="SL90" i="1"/>
  <c r="SK90" i="1"/>
  <c r="SJ90" i="1"/>
  <c r="SG90" i="1"/>
  <c r="VN89" i="1"/>
  <c r="VM89" i="1"/>
  <c r="VL89" i="1"/>
  <c r="VK89" i="1"/>
  <c r="VJ89" i="1"/>
  <c r="VI89" i="1"/>
  <c r="VH89" i="1"/>
  <c r="VG89" i="1"/>
  <c r="VF89" i="1"/>
  <c r="VE89" i="1"/>
  <c r="VD89" i="1"/>
  <c r="VC89" i="1"/>
  <c r="VA89" i="1"/>
  <c r="UZ89" i="1"/>
  <c r="UY89" i="1"/>
  <c r="UX89" i="1"/>
  <c r="UW89" i="1"/>
  <c r="UV89" i="1"/>
  <c r="US89" i="1"/>
  <c r="UR89" i="1"/>
  <c r="UQ89" i="1"/>
  <c r="UP89" i="1"/>
  <c r="UM89" i="1"/>
  <c r="UK89" i="1"/>
  <c r="UJ89" i="1"/>
  <c r="UI89" i="1"/>
  <c r="UH89" i="1"/>
  <c r="UG89" i="1"/>
  <c r="UF89" i="1"/>
  <c r="UE89" i="1"/>
  <c r="UD89" i="1"/>
  <c r="UC89" i="1"/>
  <c r="UB89" i="1"/>
  <c r="UA89" i="1"/>
  <c r="TZ89" i="1"/>
  <c r="TX89" i="1"/>
  <c r="TW89" i="1"/>
  <c r="TV89" i="1"/>
  <c r="TU89" i="1"/>
  <c r="TT89" i="1"/>
  <c r="TS89" i="1"/>
  <c r="TP89" i="1"/>
  <c r="TO89" i="1"/>
  <c r="TN89" i="1"/>
  <c r="TM89" i="1"/>
  <c r="TJ89" i="1"/>
  <c r="TH89" i="1"/>
  <c r="TG89" i="1"/>
  <c r="TF89" i="1"/>
  <c r="TE89" i="1"/>
  <c r="TD89" i="1"/>
  <c r="TC89" i="1"/>
  <c r="TB89" i="1"/>
  <c r="TA89" i="1"/>
  <c r="SZ89" i="1"/>
  <c r="SY89" i="1"/>
  <c r="SX89" i="1"/>
  <c r="SW89" i="1"/>
  <c r="SU89" i="1"/>
  <c r="ST89" i="1"/>
  <c r="SS89" i="1"/>
  <c r="SR89" i="1"/>
  <c r="SQ89" i="1"/>
  <c r="SP89" i="1"/>
  <c r="SM89" i="1"/>
  <c r="SL89" i="1"/>
  <c r="SK89" i="1"/>
  <c r="SJ89" i="1"/>
  <c r="SG89" i="1"/>
  <c r="VN88" i="1"/>
  <c r="VM88" i="1"/>
  <c r="VL88" i="1"/>
  <c r="VK88" i="1"/>
  <c r="VJ88" i="1"/>
  <c r="VI88" i="1"/>
  <c r="VH88" i="1"/>
  <c r="VG88" i="1"/>
  <c r="VF88" i="1"/>
  <c r="VE88" i="1"/>
  <c r="VD88" i="1"/>
  <c r="VC88" i="1"/>
  <c r="VA88" i="1"/>
  <c r="UZ88" i="1"/>
  <c r="UY88" i="1"/>
  <c r="UX88" i="1"/>
  <c r="UW88" i="1"/>
  <c r="UV88" i="1"/>
  <c r="US88" i="1"/>
  <c r="UR88" i="1"/>
  <c r="UQ88" i="1"/>
  <c r="UP88" i="1"/>
  <c r="UM88" i="1"/>
  <c r="UK88" i="1"/>
  <c r="UJ88" i="1"/>
  <c r="UI88" i="1"/>
  <c r="UH88" i="1"/>
  <c r="UG88" i="1"/>
  <c r="UF88" i="1"/>
  <c r="UE88" i="1"/>
  <c r="UD88" i="1"/>
  <c r="UC88" i="1"/>
  <c r="UB88" i="1"/>
  <c r="UA88" i="1"/>
  <c r="TZ88" i="1"/>
  <c r="TX88" i="1"/>
  <c r="TW88" i="1"/>
  <c r="TV88" i="1"/>
  <c r="TU88" i="1"/>
  <c r="TT88" i="1"/>
  <c r="TS88" i="1"/>
  <c r="TP88" i="1"/>
  <c r="TO88" i="1"/>
  <c r="TN88" i="1"/>
  <c r="TM88" i="1"/>
  <c r="TJ88" i="1"/>
  <c r="TH88" i="1"/>
  <c r="TG88" i="1"/>
  <c r="TF88" i="1"/>
  <c r="TE88" i="1"/>
  <c r="TD88" i="1"/>
  <c r="TC88" i="1"/>
  <c r="TB88" i="1"/>
  <c r="TA88" i="1"/>
  <c r="SZ88" i="1"/>
  <c r="SY88" i="1"/>
  <c r="SX88" i="1"/>
  <c r="SW88" i="1"/>
  <c r="SU88" i="1"/>
  <c r="ST88" i="1"/>
  <c r="SS88" i="1"/>
  <c r="SR88" i="1"/>
  <c r="SQ88" i="1"/>
  <c r="SP88" i="1"/>
  <c r="SM88" i="1"/>
  <c r="SL88" i="1"/>
  <c r="SK88" i="1"/>
  <c r="SJ88" i="1"/>
  <c r="SG88" i="1"/>
  <c r="VN87" i="1"/>
  <c r="VM87" i="1"/>
  <c r="VL87" i="1"/>
  <c r="VK87" i="1"/>
  <c r="VJ87" i="1"/>
  <c r="VI87" i="1"/>
  <c r="VH87" i="1"/>
  <c r="VG87" i="1"/>
  <c r="VF87" i="1"/>
  <c r="VE87" i="1"/>
  <c r="VD87" i="1"/>
  <c r="VC87" i="1"/>
  <c r="VA87" i="1"/>
  <c r="UZ87" i="1"/>
  <c r="UY87" i="1"/>
  <c r="UX87" i="1"/>
  <c r="UW87" i="1"/>
  <c r="UV87" i="1"/>
  <c r="US87" i="1"/>
  <c r="UR87" i="1"/>
  <c r="UQ87" i="1"/>
  <c r="UP87" i="1"/>
  <c r="UM87" i="1"/>
  <c r="UK87" i="1"/>
  <c r="UJ87" i="1"/>
  <c r="UI87" i="1"/>
  <c r="UH87" i="1"/>
  <c r="UG87" i="1"/>
  <c r="UF87" i="1"/>
  <c r="UE87" i="1"/>
  <c r="UD87" i="1"/>
  <c r="UC87" i="1"/>
  <c r="UB87" i="1"/>
  <c r="UA87" i="1"/>
  <c r="TZ87" i="1"/>
  <c r="TX87" i="1"/>
  <c r="TW87" i="1"/>
  <c r="TV87" i="1"/>
  <c r="TU87" i="1"/>
  <c r="TT87" i="1"/>
  <c r="TS87" i="1"/>
  <c r="TP87" i="1"/>
  <c r="TO87" i="1"/>
  <c r="TN87" i="1"/>
  <c r="TM87" i="1"/>
  <c r="TJ87" i="1"/>
  <c r="TH87" i="1"/>
  <c r="TG87" i="1"/>
  <c r="TF87" i="1"/>
  <c r="TE87" i="1"/>
  <c r="TD87" i="1"/>
  <c r="TC87" i="1"/>
  <c r="TB87" i="1"/>
  <c r="TA87" i="1"/>
  <c r="SZ87" i="1"/>
  <c r="SY87" i="1"/>
  <c r="SX87" i="1"/>
  <c r="SW87" i="1"/>
  <c r="SU87" i="1"/>
  <c r="ST87" i="1"/>
  <c r="SS87" i="1"/>
  <c r="SR87" i="1"/>
  <c r="SQ87" i="1"/>
  <c r="SP87" i="1"/>
  <c r="SM87" i="1"/>
  <c r="SL87" i="1"/>
  <c r="SK87" i="1"/>
  <c r="SJ87" i="1"/>
  <c r="SG87" i="1"/>
  <c r="VN86" i="1"/>
  <c r="VM86" i="1"/>
  <c r="VL86" i="1"/>
  <c r="VK86" i="1"/>
  <c r="VJ86" i="1"/>
  <c r="VI86" i="1"/>
  <c r="VH86" i="1"/>
  <c r="VG86" i="1"/>
  <c r="VF86" i="1"/>
  <c r="VE86" i="1"/>
  <c r="VD86" i="1"/>
  <c r="VC86" i="1"/>
  <c r="VA86" i="1"/>
  <c r="UZ86" i="1"/>
  <c r="UY86" i="1"/>
  <c r="UX86" i="1"/>
  <c r="UW86" i="1"/>
  <c r="UV86" i="1"/>
  <c r="US86" i="1"/>
  <c r="UR86" i="1"/>
  <c r="UQ86" i="1"/>
  <c r="UP86" i="1"/>
  <c r="UM86" i="1"/>
  <c r="UK86" i="1"/>
  <c r="UJ86" i="1"/>
  <c r="UI86" i="1"/>
  <c r="UH86" i="1"/>
  <c r="UG86" i="1"/>
  <c r="UF86" i="1"/>
  <c r="UE86" i="1"/>
  <c r="UD86" i="1"/>
  <c r="UC86" i="1"/>
  <c r="UB86" i="1"/>
  <c r="UA86" i="1"/>
  <c r="TZ86" i="1"/>
  <c r="TX86" i="1"/>
  <c r="TW86" i="1"/>
  <c r="TV86" i="1"/>
  <c r="TU86" i="1"/>
  <c r="TT86" i="1"/>
  <c r="TS86" i="1"/>
  <c r="TP86" i="1"/>
  <c r="TO86" i="1"/>
  <c r="TN86" i="1"/>
  <c r="TM86" i="1"/>
  <c r="TJ86" i="1"/>
  <c r="TH86" i="1"/>
  <c r="TG86" i="1"/>
  <c r="TF86" i="1"/>
  <c r="TE86" i="1"/>
  <c r="TD86" i="1"/>
  <c r="TC86" i="1"/>
  <c r="TB86" i="1"/>
  <c r="TA86" i="1"/>
  <c r="SZ86" i="1"/>
  <c r="SY86" i="1"/>
  <c r="SX86" i="1"/>
  <c r="SW86" i="1"/>
  <c r="SU86" i="1"/>
  <c r="ST86" i="1"/>
  <c r="SS86" i="1"/>
  <c r="SR86" i="1"/>
  <c r="SQ86" i="1"/>
  <c r="SP86" i="1"/>
  <c r="SM86" i="1"/>
  <c r="SL86" i="1"/>
  <c r="SK86" i="1"/>
  <c r="SJ86" i="1"/>
  <c r="SG86" i="1"/>
  <c r="VN85" i="1"/>
  <c r="VM85" i="1"/>
  <c r="VL85" i="1"/>
  <c r="VK85" i="1"/>
  <c r="VJ85" i="1"/>
  <c r="VI85" i="1"/>
  <c r="VH85" i="1"/>
  <c r="VG85" i="1"/>
  <c r="VF85" i="1"/>
  <c r="VE85" i="1"/>
  <c r="VD85" i="1"/>
  <c r="VC85" i="1"/>
  <c r="VA85" i="1"/>
  <c r="UZ85" i="1"/>
  <c r="UY85" i="1"/>
  <c r="UX85" i="1"/>
  <c r="UW85" i="1"/>
  <c r="UV85" i="1"/>
  <c r="US85" i="1"/>
  <c r="UR85" i="1"/>
  <c r="UQ85" i="1"/>
  <c r="UP85" i="1"/>
  <c r="UM85" i="1"/>
  <c r="UK85" i="1"/>
  <c r="UJ85" i="1"/>
  <c r="UI85" i="1"/>
  <c r="UH85" i="1"/>
  <c r="UG85" i="1"/>
  <c r="UF85" i="1"/>
  <c r="UE85" i="1"/>
  <c r="UD85" i="1"/>
  <c r="UC85" i="1"/>
  <c r="UB85" i="1"/>
  <c r="UA85" i="1"/>
  <c r="TZ85" i="1"/>
  <c r="TX85" i="1"/>
  <c r="TW85" i="1"/>
  <c r="TV85" i="1"/>
  <c r="TU85" i="1"/>
  <c r="TT85" i="1"/>
  <c r="TS85" i="1"/>
  <c r="TP85" i="1"/>
  <c r="TO85" i="1"/>
  <c r="TN85" i="1"/>
  <c r="TM85" i="1"/>
  <c r="TJ85" i="1"/>
  <c r="TH85" i="1"/>
  <c r="TG85" i="1"/>
  <c r="TF85" i="1"/>
  <c r="TE85" i="1"/>
  <c r="TD85" i="1"/>
  <c r="TC85" i="1"/>
  <c r="TB85" i="1"/>
  <c r="TA85" i="1"/>
  <c r="SZ85" i="1"/>
  <c r="SY85" i="1"/>
  <c r="SX85" i="1"/>
  <c r="SW85" i="1"/>
  <c r="SU85" i="1"/>
  <c r="ST85" i="1"/>
  <c r="SS85" i="1"/>
  <c r="SR85" i="1"/>
  <c r="SQ85" i="1"/>
  <c r="SP85" i="1"/>
  <c r="SM85" i="1"/>
  <c r="SL85" i="1"/>
  <c r="SK85" i="1"/>
  <c r="SJ85" i="1"/>
  <c r="SG85" i="1"/>
  <c r="VN84" i="1"/>
  <c r="VM84" i="1"/>
  <c r="VL84" i="1"/>
  <c r="VK84" i="1"/>
  <c r="VJ84" i="1"/>
  <c r="VI84" i="1"/>
  <c r="VH84" i="1"/>
  <c r="VG84" i="1"/>
  <c r="VF84" i="1"/>
  <c r="VE84" i="1"/>
  <c r="VD84" i="1"/>
  <c r="VC84" i="1"/>
  <c r="VA84" i="1"/>
  <c r="UZ84" i="1"/>
  <c r="UY84" i="1"/>
  <c r="UX84" i="1"/>
  <c r="UW84" i="1"/>
  <c r="UV84" i="1"/>
  <c r="US84" i="1"/>
  <c r="UR84" i="1"/>
  <c r="UQ84" i="1"/>
  <c r="UP84" i="1"/>
  <c r="UM84" i="1"/>
  <c r="UK84" i="1"/>
  <c r="UJ84" i="1"/>
  <c r="UI84" i="1"/>
  <c r="UH84" i="1"/>
  <c r="UG84" i="1"/>
  <c r="UF84" i="1"/>
  <c r="UE84" i="1"/>
  <c r="UD84" i="1"/>
  <c r="UC84" i="1"/>
  <c r="UB84" i="1"/>
  <c r="UA84" i="1"/>
  <c r="TZ84" i="1"/>
  <c r="TX84" i="1"/>
  <c r="TW84" i="1"/>
  <c r="TV84" i="1"/>
  <c r="TU84" i="1"/>
  <c r="TT84" i="1"/>
  <c r="TS84" i="1"/>
  <c r="TP84" i="1"/>
  <c r="TO84" i="1"/>
  <c r="TN84" i="1"/>
  <c r="TM84" i="1"/>
  <c r="TJ84" i="1"/>
  <c r="TH84" i="1"/>
  <c r="TG84" i="1"/>
  <c r="TF84" i="1"/>
  <c r="TE84" i="1"/>
  <c r="TD84" i="1"/>
  <c r="TC84" i="1"/>
  <c r="TB84" i="1"/>
  <c r="TA84" i="1"/>
  <c r="SZ84" i="1"/>
  <c r="SY84" i="1"/>
  <c r="SX84" i="1"/>
  <c r="SW84" i="1"/>
  <c r="SU84" i="1"/>
  <c r="ST84" i="1"/>
  <c r="SS84" i="1"/>
  <c r="SR84" i="1"/>
  <c r="SQ84" i="1"/>
  <c r="SP84" i="1"/>
  <c r="SM84" i="1"/>
  <c r="SL84" i="1"/>
  <c r="SK84" i="1"/>
  <c r="SJ84" i="1"/>
  <c r="SG84" i="1"/>
  <c r="VN83" i="1"/>
  <c r="VM83" i="1"/>
  <c r="VL83" i="1"/>
  <c r="VK83" i="1"/>
  <c r="VJ83" i="1"/>
  <c r="VI83" i="1"/>
  <c r="VH83" i="1"/>
  <c r="VG83" i="1"/>
  <c r="VF83" i="1"/>
  <c r="VE83" i="1"/>
  <c r="VD83" i="1"/>
  <c r="VC83" i="1"/>
  <c r="VA83" i="1"/>
  <c r="UZ83" i="1"/>
  <c r="UY83" i="1"/>
  <c r="UX83" i="1"/>
  <c r="UW83" i="1"/>
  <c r="UV83" i="1"/>
  <c r="US83" i="1"/>
  <c r="UR83" i="1"/>
  <c r="UQ83" i="1"/>
  <c r="UP83" i="1"/>
  <c r="UM83" i="1"/>
  <c r="UK83" i="1"/>
  <c r="UJ83" i="1"/>
  <c r="UI83" i="1"/>
  <c r="UH83" i="1"/>
  <c r="UG83" i="1"/>
  <c r="UF83" i="1"/>
  <c r="UE83" i="1"/>
  <c r="UD83" i="1"/>
  <c r="UC83" i="1"/>
  <c r="UB83" i="1"/>
  <c r="UA83" i="1"/>
  <c r="TZ83" i="1"/>
  <c r="TX83" i="1"/>
  <c r="TW83" i="1"/>
  <c r="TV83" i="1"/>
  <c r="TU83" i="1"/>
  <c r="TT83" i="1"/>
  <c r="TS83" i="1"/>
  <c r="TP83" i="1"/>
  <c r="TO83" i="1"/>
  <c r="TN83" i="1"/>
  <c r="TM83" i="1"/>
  <c r="TJ83" i="1"/>
  <c r="TH83" i="1"/>
  <c r="TG83" i="1"/>
  <c r="TF83" i="1"/>
  <c r="TE83" i="1"/>
  <c r="TD83" i="1"/>
  <c r="TC83" i="1"/>
  <c r="TB83" i="1"/>
  <c r="TA83" i="1"/>
  <c r="SZ83" i="1"/>
  <c r="SY83" i="1"/>
  <c r="SX83" i="1"/>
  <c r="SW83" i="1"/>
  <c r="SU83" i="1"/>
  <c r="ST83" i="1"/>
  <c r="SS83" i="1"/>
  <c r="SR83" i="1"/>
  <c r="SQ83" i="1"/>
  <c r="SP83" i="1"/>
  <c r="SM83" i="1"/>
  <c r="SL83" i="1"/>
  <c r="SK83" i="1"/>
  <c r="SJ83" i="1"/>
  <c r="SG83" i="1"/>
  <c r="VN82" i="1"/>
  <c r="VM82" i="1"/>
  <c r="VL82" i="1"/>
  <c r="VK82" i="1"/>
  <c r="VJ82" i="1"/>
  <c r="VI82" i="1"/>
  <c r="VH82" i="1"/>
  <c r="VG82" i="1"/>
  <c r="VF82" i="1"/>
  <c r="VE82" i="1"/>
  <c r="VD82" i="1"/>
  <c r="VC82" i="1"/>
  <c r="VA82" i="1"/>
  <c r="UZ82" i="1"/>
  <c r="UY82" i="1"/>
  <c r="UX82" i="1"/>
  <c r="UW82" i="1"/>
  <c r="UV82" i="1"/>
  <c r="US82" i="1"/>
  <c r="UR82" i="1"/>
  <c r="UQ82" i="1"/>
  <c r="UP82" i="1"/>
  <c r="UM82" i="1"/>
  <c r="UK82" i="1"/>
  <c r="UJ82" i="1"/>
  <c r="UI82" i="1"/>
  <c r="UH82" i="1"/>
  <c r="UG82" i="1"/>
  <c r="UF82" i="1"/>
  <c r="UE82" i="1"/>
  <c r="UD82" i="1"/>
  <c r="UC82" i="1"/>
  <c r="UB82" i="1"/>
  <c r="UA82" i="1"/>
  <c r="TZ82" i="1"/>
  <c r="TX82" i="1"/>
  <c r="TW82" i="1"/>
  <c r="TV82" i="1"/>
  <c r="TU82" i="1"/>
  <c r="TT82" i="1"/>
  <c r="TS82" i="1"/>
  <c r="TP82" i="1"/>
  <c r="TO82" i="1"/>
  <c r="TN82" i="1"/>
  <c r="TM82" i="1"/>
  <c r="TJ82" i="1"/>
  <c r="TH82" i="1"/>
  <c r="TG82" i="1"/>
  <c r="TF82" i="1"/>
  <c r="TE82" i="1"/>
  <c r="TD82" i="1"/>
  <c r="TC82" i="1"/>
  <c r="TB82" i="1"/>
  <c r="TA82" i="1"/>
  <c r="SZ82" i="1"/>
  <c r="SY82" i="1"/>
  <c r="SX82" i="1"/>
  <c r="SW82" i="1"/>
  <c r="SU82" i="1"/>
  <c r="ST82" i="1"/>
  <c r="SS82" i="1"/>
  <c r="SR82" i="1"/>
  <c r="SQ82" i="1"/>
  <c r="SP82" i="1"/>
  <c r="SM82" i="1"/>
  <c r="SL82" i="1"/>
  <c r="SK82" i="1"/>
  <c r="SJ82" i="1"/>
  <c r="SG82" i="1"/>
  <c r="VN81" i="1"/>
  <c r="VM81" i="1"/>
  <c r="VL81" i="1"/>
  <c r="VK81" i="1"/>
  <c r="VJ81" i="1"/>
  <c r="VI81" i="1"/>
  <c r="VH81" i="1"/>
  <c r="VG81" i="1"/>
  <c r="VF81" i="1"/>
  <c r="VE81" i="1"/>
  <c r="VD81" i="1"/>
  <c r="VC81" i="1"/>
  <c r="VA81" i="1"/>
  <c r="UZ81" i="1"/>
  <c r="UY81" i="1"/>
  <c r="UX81" i="1"/>
  <c r="UW81" i="1"/>
  <c r="UV81" i="1"/>
  <c r="US81" i="1"/>
  <c r="UR81" i="1"/>
  <c r="UQ81" i="1"/>
  <c r="UP81" i="1"/>
  <c r="UM81" i="1"/>
  <c r="UK81" i="1"/>
  <c r="UJ81" i="1"/>
  <c r="UI81" i="1"/>
  <c r="UH81" i="1"/>
  <c r="UG81" i="1"/>
  <c r="UF81" i="1"/>
  <c r="UE81" i="1"/>
  <c r="UD81" i="1"/>
  <c r="UC81" i="1"/>
  <c r="UB81" i="1"/>
  <c r="UA81" i="1"/>
  <c r="TZ81" i="1"/>
  <c r="TX81" i="1"/>
  <c r="TW81" i="1"/>
  <c r="TV81" i="1"/>
  <c r="TU81" i="1"/>
  <c r="TT81" i="1"/>
  <c r="TS81" i="1"/>
  <c r="TP81" i="1"/>
  <c r="TO81" i="1"/>
  <c r="TN81" i="1"/>
  <c r="TM81" i="1"/>
  <c r="TJ81" i="1"/>
  <c r="TH81" i="1"/>
  <c r="TG81" i="1"/>
  <c r="TF81" i="1"/>
  <c r="TE81" i="1"/>
  <c r="TD81" i="1"/>
  <c r="TC81" i="1"/>
  <c r="TB81" i="1"/>
  <c r="TA81" i="1"/>
  <c r="SZ81" i="1"/>
  <c r="SY81" i="1"/>
  <c r="SX81" i="1"/>
  <c r="SW81" i="1"/>
  <c r="SU81" i="1"/>
  <c r="ST81" i="1"/>
  <c r="SS81" i="1"/>
  <c r="SR81" i="1"/>
  <c r="SQ81" i="1"/>
  <c r="SP81" i="1"/>
  <c r="SM81" i="1"/>
  <c r="SL81" i="1"/>
  <c r="SK81" i="1"/>
  <c r="SJ81" i="1"/>
  <c r="SG81" i="1"/>
  <c r="VN80" i="1"/>
  <c r="VM80" i="1"/>
  <c r="VL80" i="1"/>
  <c r="VK80" i="1"/>
  <c r="VJ80" i="1"/>
  <c r="VI80" i="1"/>
  <c r="VH80" i="1"/>
  <c r="VG80" i="1"/>
  <c r="VF80" i="1"/>
  <c r="VE80" i="1"/>
  <c r="VD80" i="1"/>
  <c r="VC80" i="1"/>
  <c r="VA80" i="1"/>
  <c r="UZ80" i="1"/>
  <c r="UY80" i="1"/>
  <c r="UX80" i="1"/>
  <c r="UW80" i="1"/>
  <c r="UV80" i="1"/>
  <c r="US80" i="1"/>
  <c r="UR80" i="1"/>
  <c r="UQ80" i="1"/>
  <c r="UP80" i="1"/>
  <c r="UM80" i="1"/>
  <c r="UK80" i="1"/>
  <c r="UJ80" i="1"/>
  <c r="UI80" i="1"/>
  <c r="UH80" i="1"/>
  <c r="UG80" i="1"/>
  <c r="UF80" i="1"/>
  <c r="UE80" i="1"/>
  <c r="UD80" i="1"/>
  <c r="UC80" i="1"/>
  <c r="UB80" i="1"/>
  <c r="UA80" i="1"/>
  <c r="TZ80" i="1"/>
  <c r="TX80" i="1"/>
  <c r="TW80" i="1"/>
  <c r="TV80" i="1"/>
  <c r="TU80" i="1"/>
  <c r="TT80" i="1"/>
  <c r="TS80" i="1"/>
  <c r="TP80" i="1"/>
  <c r="TO80" i="1"/>
  <c r="TN80" i="1"/>
  <c r="TM80" i="1"/>
  <c r="TJ80" i="1"/>
  <c r="TH80" i="1"/>
  <c r="TG80" i="1"/>
  <c r="TF80" i="1"/>
  <c r="TE80" i="1"/>
  <c r="TD80" i="1"/>
  <c r="TC80" i="1"/>
  <c r="TB80" i="1"/>
  <c r="TA80" i="1"/>
  <c r="SZ80" i="1"/>
  <c r="SY80" i="1"/>
  <c r="SX80" i="1"/>
  <c r="SW80" i="1"/>
  <c r="SU80" i="1"/>
  <c r="ST80" i="1"/>
  <c r="SS80" i="1"/>
  <c r="SR80" i="1"/>
  <c r="SQ80" i="1"/>
  <c r="SP80" i="1"/>
  <c r="SM80" i="1"/>
  <c r="SL80" i="1"/>
  <c r="SK80" i="1"/>
  <c r="SJ80" i="1"/>
  <c r="SG80" i="1"/>
  <c r="VN79" i="1"/>
  <c r="VM79" i="1"/>
  <c r="VL79" i="1"/>
  <c r="VK79" i="1"/>
  <c r="VJ79" i="1"/>
  <c r="VI79" i="1"/>
  <c r="VH79" i="1"/>
  <c r="VG79" i="1"/>
  <c r="VF79" i="1"/>
  <c r="VE79" i="1"/>
  <c r="VD79" i="1"/>
  <c r="VC79" i="1"/>
  <c r="VA79" i="1"/>
  <c r="UZ79" i="1"/>
  <c r="UY79" i="1"/>
  <c r="UX79" i="1"/>
  <c r="UW79" i="1"/>
  <c r="UV79" i="1"/>
  <c r="US79" i="1"/>
  <c r="UR79" i="1"/>
  <c r="UQ79" i="1"/>
  <c r="UP79" i="1"/>
  <c r="UM79" i="1"/>
  <c r="UK79" i="1"/>
  <c r="UJ79" i="1"/>
  <c r="UI79" i="1"/>
  <c r="UH79" i="1"/>
  <c r="UG79" i="1"/>
  <c r="UF79" i="1"/>
  <c r="UE79" i="1"/>
  <c r="UD79" i="1"/>
  <c r="UC79" i="1"/>
  <c r="UB79" i="1"/>
  <c r="UA79" i="1"/>
  <c r="TZ79" i="1"/>
  <c r="TX79" i="1"/>
  <c r="TW79" i="1"/>
  <c r="TV79" i="1"/>
  <c r="TU79" i="1"/>
  <c r="TT79" i="1"/>
  <c r="TS79" i="1"/>
  <c r="TP79" i="1"/>
  <c r="TO79" i="1"/>
  <c r="TN79" i="1"/>
  <c r="TM79" i="1"/>
  <c r="TJ79" i="1"/>
  <c r="TH79" i="1"/>
  <c r="TG79" i="1"/>
  <c r="TF79" i="1"/>
  <c r="TE79" i="1"/>
  <c r="TD79" i="1"/>
  <c r="TC79" i="1"/>
  <c r="TB79" i="1"/>
  <c r="TA79" i="1"/>
  <c r="SZ79" i="1"/>
  <c r="SY79" i="1"/>
  <c r="SX79" i="1"/>
  <c r="SW79" i="1"/>
  <c r="SU79" i="1"/>
  <c r="ST79" i="1"/>
  <c r="SS79" i="1"/>
  <c r="SR79" i="1"/>
  <c r="SQ79" i="1"/>
  <c r="SP79" i="1"/>
  <c r="SM79" i="1"/>
  <c r="SL79" i="1"/>
  <c r="SK79" i="1"/>
  <c r="SJ79" i="1"/>
  <c r="SG79" i="1"/>
  <c r="VN78" i="1"/>
  <c r="VM78" i="1"/>
  <c r="VL78" i="1"/>
  <c r="VK78" i="1"/>
  <c r="VJ78" i="1"/>
  <c r="VI78" i="1"/>
  <c r="VH78" i="1"/>
  <c r="VG78" i="1"/>
  <c r="VF78" i="1"/>
  <c r="VE78" i="1"/>
  <c r="VD78" i="1"/>
  <c r="VC78" i="1"/>
  <c r="VA78" i="1"/>
  <c r="UZ78" i="1"/>
  <c r="UY78" i="1"/>
  <c r="UX78" i="1"/>
  <c r="UW78" i="1"/>
  <c r="UV78" i="1"/>
  <c r="US78" i="1"/>
  <c r="UR78" i="1"/>
  <c r="UQ78" i="1"/>
  <c r="UP78" i="1"/>
  <c r="UM78" i="1"/>
  <c r="UK78" i="1"/>
  <c r="UJ78" i="1"/>
  <c r="UI78" i="1"/>
  <c r="UH78" i="1"/>
  <c r="UG78" i="1"/>
  <c r="UF78" i="1"/>
  <c r="UE78" i="1"/>
  <c r="UD78" i="1"/>
  <c r="UC78" i="1"/>
  <c r="UB78" i="1"/>
  <c r="UA78" i="1"/>
  <c r="TZ78" i="1"/>
  <c r="TX78" i="1"/>
  <c r="TW78" i="1"/>
  <c r="TV78" i="1"/>
  <c r="TU78" i="1"/>
  <c r="TT78" i="1"/>
  <c r="TS78" i="1"/>
  <c r="TP78" i="1"/>
  <c r="TO78" i="1"/>
  <c r="TN78" i="1"/>
  <c r="TM78" i="1"/>
  <c r="TJ78" i="1"/>
  <c r="TH78" i="1"/>
  <c r="TG78" i="1"/>
  <c r="TF78" i="1"/>
  <c r="TE78" i="1"/>
  <c r="TD78" i="1"/>
  <c r="TC78" i="1"/>
  <c r="TB78" i="1"/>
  <c r="TA78" i="1"/>
  <c r="SZ78" i="1"/>
  <c r="SY78" i="1"/>
  <c r="SX78" i="1"/>
  <c r="SW78" i="1"/>
  <c r="SU78" i="1"/>
  <c r="ST78" i="1"/>
  <c r="SS78" i="1"/>
  <c r="SR78" i="1"/>
  <c r="SQ78" i="1"/>
  <c r="SP78" i="1"/>
  <c r="SM78" i="1"/>
  <c r="SL78" i="1"/>
  <c r="SK78" i="1"/>
  <c r="SJ78" i="1"/>
  <c r="SG78" i="1"/>
  <c r="VN77" i="1"/>
  <c r="VM77" i="1"/>
  <c r="VL77" i="1"/>
  <c r="VK77" i="1"/>
  <c r="VJ77" i="1"/>
  <c r="VI77" i="1"/>
  <c r="VH77" i="1"/>
  <c r="VG77" i="1"/>
  <c r="VF77" i="1"/>
  <c r="VE77" i="1"/>
  <c r="VD77" i="1"/>
  <c r="VC77" i="1"/>
  <c r="VA77" i="1"/>
  <c r="UZ77" i="1"/>
  <c r="UY77" i="1"/>
  <c r="UX77" i="1"/>
  <c r="UW77" i="1"/>
  <c r="UV77" i="1"/>
  <c r="US77" i="1"/>
  <c r="UR77" i="1"/>
  <c r="UQ77" i="1"/>
  <c r="UP77" i="1"/>
  <c r="UM77" i="1"/>
  <c r="UK77" i="1"/>
  <c r="UJ77" i="1"/>
  <c r="UI77" i="1"/>
  <c r="UH77" i="1"/>
  <c r="UG77" i="1"/>
  <c r="UF77" i="1"/>
  <c r="UE77" i="1"/>
  <c r="UD77" i="1"/>
  <c r="UC77" i="1"/>
  <c r="UB77" i="1"/>
  <c r="UA77" i="1"/>
  <c r="TZ77" i="1"/>
  <c r="TX77" i="1"/>
  <c r="TW77" i="1"/>
  <c r="TV77" i="1"/>
  <c r="TU77" i="1"/>
  <c r="TT77" i="1"/>
  <c r="TS77" i="1"/>
  <c r="TP77" i="1"/>
  <c r="TO77" i="1"/>
  <c r="TN77" i="1"/>
  <c r="TM77" i="1"/>
  <c r="TJ77" i="1"/>
  <c r="TH77" i="1"/>
  <c r="TG77" i="1"/>
  <c r="TF77" i="1"/>
  <c r="TE77" i="1"/>
  <c r="TD77" i="1"/>
  <c r="TC77" i="1"/>
  <c r="TB77" i="1"/>
  <c r="TA77" i="1"/>
  <c r="SZ77" i="1"/>
  <c r="SY77" i="1"/>
  <c r="SX77" i="1"/>
  <c r="SW77" i="1"/>
  <c r="SU77" i="1"/>
  <c r="ST77" i="1"/>
  <c r="SS77" i="1"/>
  <c r="SR77" i="1"/>
  <c r="SQ77" i="1"/>
  <c r="SP77" i="1"/>
  <c r="SM77" i="1"/>
  <c r="SL77" i="1"/>
  <c r="SK77" i="1"/>
  <c r="SJ77" i="1"/>
  <c r="SG77" i="1"/>
  <c r="VN76" i="1"/>
  <c r="VM76" i="1"/>
  <c r="VL76" i="1"/>
  <c r="VK76" i="1"/>
  <c r="VJ76" i="1"/>
  <c r="VI76" i="1"/>
  <c r="VH76" i="1"/>
  <c r="VG76" i="1"/>
  <c r="VF76" i="1"/>
  <c r="VE76" i="1"/>
  <c r="VD76" i="1"/>
  <c r="VC76" i="1"/>
  <c r="VA76" i="1"/>
  <c r="UZ76" i="1"/>
  <c r="UY76" i="1"/>
  <c r="UX76" i="1"/>
  <c r="UW76" i="1"/>
  <c r="UV76" i="1"/>
  <c r="US76" i="1"/>
  <c r="UR76" i="1"/>
  <c r="UQ76" i="1"/>
  <c r="UP76" i="1"/>
  <c r="UM76" i="1"/>
  <c r="UK76" i="1"/>
  <c r="UJ76" i="1"/>
  <c r="UI76" i="1"/>
  <c r="UH76" i="1"/>
  <c r="UG76" i="1"/>
  <c r="UF76" i="1"/>
  <c r="UE76" i="1"/>
  <c r="UD76" i="1"/>
  <c r="UC76" i="1"/>
  <c r="UB76" i="1"/>
  <c r="UA76" i="1"/>
  <c r="TZ76" i="1"/>
  <c r="TX76" i="1"/>
  <c r="TW76" i="1"/>
  <c r="TV76" i="1"/>
  <c r="TU76" i="1"/>
  <c r="TT76" i="1"/>
  <c r="TS76" i="1"/>
  <c r="TP76" i="1"/>
  <c r="TO76" i="1"/>
  <c r="TN76" i="1"/>
  <c r="TM76" i="1"/>
  <c r="TJ76" i="1"/>
  <c r="TH76" i="1"/>
  <c r="TG76" i="1"/>
  <c r="TF76" i="1"/>
  <c r="TE76" i="1"/>
  <c r="TD76" i="1"/>
  <c r="TC76" i="1"/>
  <c r="TB76" i="1"/>
  <c r="TA76" i="1"/>
  <c r="SZ76" i="1"/>
  <c r="SY76" i="1"/>
  <c r="SX76" i="1"/>
  <c r="SW76" i="1"/>
  <c r="SU76" i="1"/>
  <c r="ST76" i="1"/>
  <c r="SS76" i="1"/>
  <c r="SR76" i="1"/>
  <c r="SQ76" i="1"/>
  <c r="SP76" i="1"/>
  <c r="SM76" i="1"/>
  <c r="SL76" i="1"/>
  <c r="SK76" i="1"/>
  <c r="SJ76" i="1"/>
  <c r="SG76" i="1"/>
  <c r="VN75" i="1"/>
  <c r="VM75" i="1"/>
  <c r="VL75" i="1"/>
  <c r="VK75" i="1"/>
  <c r="VJ75" i="1"/>
  <c r="VI75" i="1"/>
  <c r="VH75" i="1"/>
  <c r="VG75" i="1"/>
  <c r="VF75" i="1"/>
  <c r="VE75" i="1"/>
  <c r="VD75" i="1"/>
  <c r="VC75" i="1"/>
  <c r="VA75" i="1"/>
  <c r="UZ75" i="1"/>
  <c r="UY75" i="1"/>
  <c r="UX75" i="1"/>
  <c r="UW75" i="1"/>
  <c r="UV75" i="1"/>
  <c r="US75" i="1"/>
  <c r="UR75" i="1"/>
  <c r="UQ75" i="1"/>
  <c r="UP75" i="1"/>
  <c r="UM75" i="1"/>
  <c r="UK75" i="1"/>
  <c r="UJ75" i="1"/>
  <c r="UI75" i="1"/>
  <c r="UH75" i="1"/>
  <c r="UG75" i="1"/>
  <c r="UF75" i="1"/>
  <c r="UE75" i="1"/>
  <c r="UD75" i="1"/>
  <c r="UC75" i="1"/>
  <c r="UB75" i="1"/>
  <c r="UA75" i="1"/>
  <c r="TZ75" i="1"/>
  <c r="TX75" i="1"/>
  <c r="TW75" i="1"/>
  <c r="TV75" i="1"/>
  <c r="TU75" i="1"/>
  <c r="TT75" i="1"/>
  <c r="TS75" i="1"/>
  <c r="TP75" i="1"/>
  <c r="TO75" i="1"/>
  <c r="TN75" i="1"/>
  <c r="TM75" i="1"/>
  <c r="TJ75" i="1"/>
  <c r="TH75" i="1"/>
  <c r="TG75" i="1"/>
  <c r="TF75" i="1"/>
  <c r="TE75" i="1"/>
  <c r="TD75" i="1"/>
  <c r="TC75" i="1"/>
  <c r="TB75" i="1"/>
  <c r="TA75" i="1"/>
  <c r="SZ75" i="1"/>
  <c r="SY75" i="1"/>
  <c r="SX75" i="1"/>
  <c r="SW75" i="1"/>
  <c r="SU75" i="1"/>
  <c r="ST75" i="1"/>
  <c r="SS75" i="1"/>
  <c r="SR75" i="1"/>
  <c r="SQ75" i="1"/>
  <c r="SP75" i="1"/>
  <c r="SM75" i="1"/>
  <c r="SL75" i="1"/>
  <c r="SK75" i="1"/>
  <c r="SJ75" i="1"/>
  <c r="SG75" i="1"/>
  <c r="VN74" i="1"/>
  <c r="VM74" i="1"/>
  <c r="VL74" i="1"/>
  <c r="VK74" i="1"/>
  <c r="VJ74" i="1"/>
  <c r="VI74" i="1"/>
  <c r="VH74" i="1"/>
  <c r="VG74" i="1"/>
  <c r="VF74" i="1"/>
  <c r="VE74" i="1"/>
  <c r="VD74" i="1"/>
  <c r="VC74" i="1"/>
  <c r="VA74" i="1"/>
  <c r="UZ74" i="1"/>
  <c r="UY74" i="1"/>
  <c r="UX74" i="1"/>
  <c r="UW74" i="1"/>
  <c r="UV74" i="1"/>
  <c r="US74" i="1"/>
  <c r="UR74" i="1"/>
  <c r="UQ74" i="1"/>
  <c r="UP74" i="1"/>
  <c r="UM74" i="1"/>
  <c r="UK74" i="1"/>
  <c r="UJ74" i="1"/>
  <c r="UI74" i="1"/>
  <c r="UH74" i="1"/>
  <c r="UG74" i="1"/>
  <c r="UF74" i="1"/>
  <c r="UE74" i="1"/>
  <c r="UD74" i="1"/>
  <c r="UC74" i="1"/>
  <c r="UB74" i="1"/>
  <c r="UA74" i="1"/>
  <c r="TZ74" i="1"/>
  <c r="TX74" i="1"/>
  <c r="TW74" i="1"/>
  <c r="TV74" i="1"/>
  <c r="TU74" i="1"/>
  <c r="TT74" i="1"/>
  <c r="TS74" i="1"/>
  <c r="TP74" i="1"/>
  <c r="TO74" i="1"/>
  <c r="TN74" i="1"/>
  <c r="TM74" i="1"/>
  <c r="TJ74" i="1"/>
  <c r="TH74" i="1"/>
  <c r="TG74" i="1"/>
  <c r="TF74" i="1"/>
  <c r="TE74" i="1"/>
  <c r="TD74" i="1"/>
  <c r="TC74" i="1"/>
  <c r="TB74" i="1"/>
  <c r="TA74" i="1"/>
  <c r="SZ74" i="1"/>
  <c r="SY74" i="1"/>
  <c r="SX74" i="1"/>
  <c r="SW74" i="1"/>
  <c r="SU74" i="1"/>
  <c r="ST74" i="1"/>
  <c r="SS74" i="1"/>
  <c r="SR74" i="1"/>
  <c r="SQ74" i="1"/>
  <c r="SP74" i="1"/>
  <c r="SM74" i="1"/>
  <c r="SL74" i="1"/>
  <c r="SK74" i="1"/>
  <c r="SJ74" i="1"/>
  <c r="SG74" i="1"/>
  <c r="VN73" i="1"/>
  <c r="VM73" i="1"/>
  <c r="VL73" i="1"/>
  <c r="VK73" i="1"/>
  <c r="VJ73" i="1"/>
  <c r="VI73" i="1"/>
  <c r="VH73" i="1"/>
  <c r="VG73" i="1"/>
  <c r="VF73" i="1"/>
  <c r="VE73" i="1"/>
  <c r="VD73" i="1"/>
  <c r="VC73" i="1"/>
  <c r="VA73" i="1"/>
  <c r="UZ73" i="1"/>
  <c r="UY73" i="1"/>
  <c r="UX73" i="1"/>
  <c r="UW73" i="1"/>
  <c r="UV73" i="1"/>
  <c r="US73" i="1"/>
  <c r="UR73" i="1"/>
  <c r="UQ73" i="1"/>
  <c r="UP73" i="1"/>
  <c r="UM73" i="1"/>
  <c r="UK73" i="1"/>
  <c r="UJ73" i="1"/>
  <c r="UI73" i="1"/>
  <c r="UH73" i="1"/>
  <c r="UG73" i="1"/>
  <c r="UF73" i="1"/>
  <c r="UE73" i="1"/>
  <c r="UD73" i="1"/>
  <c r="UC73" i="1"/>
  <c r="UB73" i="1"/>
  <c r="UA73" i="1"/>
  <c r="TZ73" i="1"/>
  <c r="TX73" i="1"/>
  <c r="TW73" i="1"/>
  <c r="TV73" i="1"/>
  <c r="TU73" i="1"/>
  <c r="TT73" i="1"/>
  <c r="TS73" i="1"/>
  <c r="TP73" i="1"/>
  <c r="TO73" i="1"/>
  <c r="TN73" i="1"/>
  <c r="TM73" i="1"/>
  <c r="TJ73" i="1"/>
  <c r="TH73" i="1"/>
  <c r="TG73" i="1"/>
  <c r="TF73" i="1"/>
  <c r="TE73" i="1"/>
  <c r="TD73" i="1"/>
  <c r="TC73" i="1"/>
  <c r="TB73" i="1"/>
  <c r="TA73" i="1"/>
  <c r="SZ73" i="1"/>
  <c r="SY73" i="1"/>
  <c r="SX73" i="1"/>
  <c r="SW73" i="1"/>
  <c r="SU73" i="1"/>
  <c r="ST73" i="1"/>
  <c r="SS73" i="1"/>
  <c r="SR73" i="1"/>
  <c r="SQ73" i="1"/>
  <c r="SP73" i="1"/>
  <c r="SM73" i="1"/>
  <c r="SL73" i="1"/>
  <c r="SK73" i="1"/>
  <c r="SJ73" i="1"/>
  <c r="SG73" i="1"/>
  <c r="VN72" i="1"/>
  <c r="VM72" i="1"/>
  <c r="VL72" i="1"/>
  <c r="VK72" i="1"/>
  <c r="VJ72" i="1"/>
  <c r="VI72" i="1"/>
  <c r="VH72" i="1"/>
  <c r="VG72" i="1"/>
  <c r="VF72" i="1"/>
  <c r="VE72" i="1"/>
  <c r="VD72" i="1"/>
  <c r="VC72" i="1"/>
  <c r="VA72" i="1"/>
  <c r="UZ72" i="1"/>
  <c r="UY72" i="1"/>
  <c r="UX72" i="1"/>
  <c r="UW72" i="1"/>
  <c r="UV72" i="1"/>
  <c r="US72" i="1"/>
  <c r="UR72" i="1"/>
  <c r="UQ72" i="1"/>
  <c r="UP72" i="1"/>
  <c r="UM72" i="1"/>
  <c r="UK72" i="1"/>
  <c r="UJ72" i="1"/>
  <c r="UI72" i="1"/>
  <c r="UH72" i="1"/>
  <c r="UG72" i="1"/>
  <c r="UF72" i="1"/>
  <c r="UE72" i="1"/>
  <c r="UD72" i="1"/>
  <c r="UC72" i="1"/>
  <c r="UB72" i="1"/>
  <c r="UA72" i="1"/>
  <c r="TZ72" i="1"/>
  <c r="TX72" i="1"/>
  <c r="TW72" i="1"/>
  <c r="TV72" i="1"/>
  <c r="TU72" i="1"/>
  <c r="TT72" i="1"/>
  <c r="TS72" i="1"/>
  <c r="TP72" i="1"/>
  <c r="TO72" i="1"/>
  <c r="TN72" i="1"/>
  <c r="TM72" i="1"/>
  <c r="TJ72" i="1"/>
  <c r="TH72" i="1"/>
  <c r="TG72" i="1"/>
  <c r="TF72" i="1"/>
  <c r="TE72" i="1"/>
  <c r="TD72" i="1"/>
  <c r="TC72" i="1"/>
  <c r="TB72" i="1"/>
  <c r="TA72" i="1"/>
  <c r="SZ72" i="1"/>
  <c r="SY72" i="1"/>
  <c r="SX72" i="1"/>
  <c r="SW72" i="1"/>
  <c r="SU72" i="1"/>
  <c r="ST72" i="1"/>
  <c r="SS72" i="1"/>
  <c r="SR72" i="1"/>
  <c r="SQ72" i="1"/>
  <c r="SP72" i="1"/>
  <c r="SM72" i="1"/>
  <c r="SL72" i="1"/>
  <c r="SK72" i="1"/>
  <c r="SJ72" i="1"/>
  <c r="SG72" i="1"/>
  <c r="VN71" i="1"/>
  <c r="VM71" i="1"/>
  <c r="VL71" i="1"/>
  <c r="VK71" i="1"/>
  <c r="VJ71" i="1"/>
  <c r="VI71" i="1"/>
  <c r="VH71" i="1"/>
  <c r="VG71" i="1"/>
  <c r="VF71" i="1"/>
  <c r="VE71" i="1"/>
  <c r="VD71" i="1"/>
  <c r="VC71" i="1"/>
  <c r="VA71" i="1"/>
  <c r="UZ71" i="1"/>
  <c r="UY71" i="1"/>
  <c r="UX71" i="1"/>
  <c r="UW71" i="1"/>
  <c r="UV71" i="1"/>
  <c r="US71" i="1"/>
  <c r="UR71" i="1"/>
  <c r="UQ71" i="1"/>
  <c r="UP71" i="1"/>
  <c r="UM71" i="1"/>
  <c r="UK71" i="1"/>
  <c r="UJ71" i="1"/>
  <c r="UI71" i="1"/>
  <c r="UH71" i="1"/>
  <c r="UG71" i="1"/>
  <c r="UF71" i="1"/>
  <c r="UE71" i="1"/>
  <c r="UD71" i="1"/>
  <c r="UC71" i="1"/>
  <c r="UB71" i="1"/>
  <c r="UA71" i="1"/>
  <c r="TZ71" i="1"/>
  <c r="TX71" i="1"/>
  <c r="TW71" i="1"/>
  <c r="TV71" i="1"/>
  <c r="TU71" i="1"/>
  <c r="TT71" i="1"/>
  <c r="TS71" i="1"/>
  <c r="TP71" i="1"/>
  <c r="TO71" i="1"/>
  <c r="TN71" i="1"/>
  <c r="TM71" i="1"/>
  <c r="TJ71" i="1"/>
  <c r="TH71" i="1"/>
  <c r="TG71" i="1"/>
  <c r="TF71" i="1"/>
  <c r="TE71" i="1"/>
  <c r="TD71" i="1"/>
  <c r="TC71" i="1"/>
  <c r="TB71" i="1"/>
  <c r="TA71" i="1"/>
  <c r="SZ71" i="1"/>
  <c r="SY71" i="1"/>
  <c r="SX71" i="1"/>
  <c r="SW71" i="1"/>
  <c r="SU71" i="1"/>
  <c r="ST71" i="1"/>
  <c r="SS71" i="1"/>
  <c r="SR71" i="1"/>
  <c r="SQ71" i="1"/>
  <c r="SP71" i="1"/>
  <c r="SM71" i="1"/>
  <c r="SL71" i="1"/>
  <c r="SK71" i="1"/>
  <c r="SJ71" i="1"/>
  <c r="SG71" i="1"/>
  <c r="VN70" i="1"/>
  <c r="VM70" i="1"/>
  <c r="VL70" i="1"/>
  <c r="VK70" i="1"/>
  <c r="VJ70" i="1"/>
  <c r="VI70" i="1"/>
  <c r="VH70" i="1"/>
  <c r="VG70" i="1"/>
  <c r="VF70" i="1"/>
  <c r="VE70" i="1"/>
  <c r="VD70" i="1"/>
  <c r="VC70" i="1"/>
  <c r="VA70" i="1"/>
  <c r="UZ70" i="1"/>
  <c r="UY70" i="1"/>
  <c r="UX70" i="1"/>
  <c r="UW70" i="1"/>
  <c r="UV70" i="1"/>
  <c r="US70" i="1"/>
  <c r="UR70" i="1"/>
  <c r="UQ70" i="1"/>
  <c r="UP70" i="1"/>
  <c r="UM70" i="1"/>
  <c r="UK70" i="1"/>
  <c r="UJ70" i="1"/>
  <c r="UI70" i="1"/>
  <c r="UH70" i="1"/>
  <c r="UG70" i="1"/>
  <c r="UF70" i="1"/>
  <c r="UE70" i="1"/>
  <c r="UD70" i="1"/>
  <c r="UC70" i="1"/>
  <c r="UB70" i="1"/>
  <c r="UA70" i="1"/>
  <c r="TZ70" i="1"/>
  <c r="TX70" i="1"/>
  <c r="TW70" i="1"/>
  <c r="TV70" i="1"/>
  <c r="TU70" i="1"/>
  <c r="TT70" i="1"/>
  <c r="TS70" i="1"/>
  <c r="TP70" i="1"/>
  <c r="TO70" i="1"/>
  <c r="TN70" i="1"/>
  <c r="TM70" i="1"/>
  <c r="TJ70" i="1"/>
  <c r="TH70" i="1"/>
  <c r="TG70" i="1"/>
  <c r="TF70" i="1"/>
  <c r="TE70" i="1"/>
  <c r="TD70" i="1"/>
  <c r="TC70" i="1"/>
  <c r="TB70" i="1"/>
  <c r="TA70" i="1"/>
  <c r="SZ70" i="1"/>
  <c r="SY70" i="1"/>
  <c r="SX70" i="1"/>
  <c r="SW70" i="1"/>
  <c r="SU70" i="1"/>
  <c r="ST70" i="1"/>
  <c r="SS70" i="1"/>
  <c r="SR70" i="1"/>
  <c r="SQ70" i="1"/>
  <c r="SP70" i="1"/>
  <c r="SM70" i="1"/>
  <c r="SL70" i="1"/>
  <c r="SK70" i="1"/>
  <c r="SJ70" i="1"/>
  <c r="SG70" i="1"/>
  <c r="VN69" i="1"/>
  <c r="VM69" i="1"/>
  <c r="VL69" i="1"/>
  <c r="VK69" i="1"/>
  <c r="VJ69" i="1"/>
  <c r="VI69" i="1"/>
  <c r="VH69" i="1"/>
  <c r="VG69" i="1"/>
  <c r="VF69" i="1"/>
  <c r="VE69" i="1"/>
  <c r="VD69" i="1"/>
  <c r="VC69" i="1"/>
  <c r="VA69" i="1"/>
  <c r="UZ69" i="1"/>
  <c r="UY69" i="1"/>
  <c r="UX69" i="1"/>
  <c r="UW69" i="1"/>
  <c r="UV69" i="1"/>
  <c r="US69" i="1"/>
  <c r="UR69" i="1"/>
  <c r="UQ69" i="1"/>
  <c r="UP69" i="1"/>
  <c r="UM69" i="1"/>
  <c r="UK69" i="1"/>
  <c r="UJ69" i="1"/>
  <c r="UI69" i="1"/>
  <c r="UH69" i="1"/>
  <c r="UG69" i="1"/>
  <c r="UF69" i="1"/>
  <c r="UE69" i="1"/>
  <c r="UD69" i="1"/>
  <c r="UC69" i="1"/>
  <c r="UB69" i="1"/>
  <c r="UA69" i="1"/>
  <c r="TZ69" i="1"/>
  <c r="TX69" i="1"/>
  <c r="TW69" i="1"/>
  <c r="TV69" i="1"/>
  <c r="TU69" i="1"/>
  <c r="TT69" i="1"/>
  <c r="TS69" i="1"/>
  <c r="TP69" i="1"/>
  <c r="TO69" i="1"/>
  <c r="TN69" i="1"/>
  <c r="TM69" i="1"/>
  <c r="TJ69" i="1"/>
  <c r="TH69" i="1"/>
  <c r="TG69" i="1"/>
  <c r="TF69" i="1"/>
  <c r="TE69" i="1"/>
  <c r="TD69" i="1"/>
  <c r="TC69" i="1"/>
  <c r="TB69" i="1"/>
  <c r="TA69" i="1"/>
  <c r="SZ69" i="1"/>
  <c r="SY69" i="1"/>
  <c r="SX69" i="1"/>
  <c r="SW69" i="1"/>
  <c r="SU69" i="1"/>
  <c r="ST69" i="1"/>
  <c r="SS69" i="1"/>
  <c r="SR69" i="1"/>
  <c r="SQ69" i="1"/>
  <c r="SP69" i="1"/>
  <c r="SM69" i="1"/>
  <c r="SL69" i="1"/>
  <c r="SK69" i="1"/>
  <c r="SJ69" i="1"/>
  <c r="SG69" i="1"/>
  <c r="VN68" i="1"/>
  <c r="VM68" i="1"/>
  <c r="VL68" i="1"/>
  <c r="VK68" i="1"/>
  <c r="VJ68" i="1"/>
  <c r="VI68" i="1"/>
  <c r="VH68" i="1"/>
  <c r="VG68" i="1"/>
  <c r="VF68" i="1"/>
  <c r="VE68" i="1"/>
  <c r="VD68" i="1"/>
  <c r="VC68" i="1"/>
  <c r="VA68" i="1"/>
  <c r="UZ68" i="1"/>
  <c r="UY68" i="1"/>
  <c r="UX68" i="1"/>
  <c r="UW68" i="1"/>
  <c r="UV68" i="1"/>
  <c r="US68" i="1"/>
  <c r="UR68" i="1"/>
  <c r="UQ68" i="1"/>
  <c r="UP68" i="1"/>
  <c r="UM68" i="1"/>
  <c r="UK68" i="1"/>
  <c r="UJ68" i="1"/>
  <c r="UI68" i="1"/>
  <c r="UH68" i="1"/>
  <c r="UG68" i="1"/>
  <c r="UF68" i="1"/>
  <c r="UE68" i="1"/>
  <c r="UD68" i="1"/>
  <c r="UC68" i="1"/>
  <c r="UB68" i="1"/>
  <c r="UA68" i="1"/>
  <c r="TZ68" i="1"/>
  <c r="TX68" i="1"/>
  <c r="TW68" i="1"/>
  <c r="TV68" i="1"/>
  <c r="TU68" i="1"/>
  <c r="TT68" i="1"/>
  <c r="TS68" i="1"/>
  <c r="TP68" i="1"/>
  <c r="TO68" i="1"/>
  <c r="TN68" i="1"/>
  <c r="TM68" i="1"/>
  <c r="TJ68" i="1"/>
  <c r="TH68" i="1"/>
  <c r="TG68" i="1"/>
  <c r="TF68" i="1"/>
  <c r="TE68" i="1"/>
  <c r="TD68" i="1"/>
  <c r="TC68" i="1"/>
  <c r="TB68" i="1"/>
  <c r="TA68" i="1"/>
  <c r="SZ68" i="1"/>
  <c r="SY68" i="1"/>
  <c r="SX68" i="1"/>
  <c r="SW68" i="1"/>
  <c r="SU68" i="1"/>
  <c r="ST68" i="1"/>
  <c r="SS68" i="1"/>
  <c r="SR68" i="1"/>
  <c r="SQ68" i="1"/>
  <c r="SP68" i="1"/>
  <c r="SM68" i="1"/>
  <c r="SL68" i="1"/>
  <c r="SK68" i="1"/>
  <c r="SJ68" i="1"/>
  <c r="SG68" i="1"/>
  <c r="VN67" i="1"/>
  <c r="VM67" i="1"/>
  <c r="VL67" i="1"/>
  <c r="VK67" i="1"/>
  <c r="VJ67" i="1"/>
  <c r="VI67" i="1"/>
  <c r="VH67" i="1"/>
  <c r="VG67" i="1"/>
  <c r="VF67" i="1"/>
  <c r="VE67" i="1"/>
  <c r="VD67" i="1"/>
  <c r="VC67" i="1"/>
  <c r="VA67" i="1"/>
  <c r="UZ67" i="1"/>
  <c r="UY67" i="1"/>
  <c r="UX67" i="1"/>
  <c r="UW67" i="1"/>
  <c r="UV67" i="1"/>
  <c r="US67" i="1"/>
  <c r="UR67" i="1"/>
  <c r="UQ67" i="1"/>
  <c r="UP67" i="1"/>
  <c r="UM67" i="1"/>
  <c r="UK67" i="1"/>
  <c r="UJ67" i="1"/>
  <c r="UI67" i="1"/>
  <c r="UH67" i="1"/>
  <c r="UG67" i="1"/>
  <c r="UF67" i="1"/>
  <c r="UE67" i="1"/>
  <c r="UD67" i="1"/>
  <c r="UC67" i="1"/>
  <c r="UB67" i="1"/>
  <c r="UA67" i="1"/>
  <c r="TZ67" i="1"/>
  <c r="TX67" i="1"/>
  <c r="TW67" i="1"/>
  <c r="TV67" i="1"/>
  <c r="TU67" i="1"/>
  <c r="TT67" i="1"/>
  <c r="TS67" i="1"/>
  <c r="TP67" i="1"/>
  <c r="TO67" i="1"/>
  <c r="TN67" i="1"/>
  <c r="TM67" i="1"/>
  <c r="TJ67" i="1"/>
  <c r="TH67" i="1"/>
  <c r="TG67" i="1"/>
  <c r="TF67" i="1"/>
  <c r="TE67" i="1"/>
  <c r="TD67" i="1"/>
  <c r="TC67" i="1"/>
  <c r="TB67" i="1"/>
  <c r="TA67" i="1"/>
  <c r="SZ67" i="1"/>
  <c r="SY67" i="1"/>
  <c r="SX67" i="1"/>
  <c r="SW67" i="1"/>
  <c r="SU67" i="1"/>
  <c r="ST67" i="1"/>
  <c r="SS67" i="1"/>
  <c r="SR67" i="1"/>
  <c r="SQ67" i="1"/>
  <c r="SP67" i="1"/>
  <c r="SM67" i="1"/>
  <c r="SL67" i="1"/>
  <c r="SK67" i="1"/>
  <c r="SJ67" i="1"/>
  <c r="SG67" i="1"/>
  <c r="VN66" i="1"/>
  <c r="VM66" i="1"/>
  <c r="VL66" i="1"/>
  <c r="VK66" i="1"/>
  <c r="VJ66" i="1"/>
  <c r="VI66" i="1"/>
  <c r="VH66" i="1"/>
  <c r="VG66" i="1"/>
  <c r="VF66" i="1"/>
  <c r="VE66" i="1"/>
  <c r="VD66" i="1"/>
  <c r="VC66" i="1"/>
  <c r="VA66" i="1"/>
  <c r="UZ66" i="1"/>
  <c r="UY66" i="1"/>
  <c r="UX66" i="1"/>
  <c r="UW66" i="1"/>
  <c r="UV66" i="1"/>
  <c r="US66" i="1"/>
  <c r="UR66" i="1"/>
  <c r="UQ66" i="1"/>
  <c r="UP66" i="1"/>
  <c r="UM66" i="1"/>
  <c r="UK66" i="1"/>
  <c r="UJ66" i="1"/>
  <c r="UI66" i="1"/>
  <c r="UH66" i="1"/>
  <c r="UG66" i="1"/>
  <c r="UF66" i="1"/>
  <c r="UE66" i="1"/>
  <c r="UD66" i="1"/>
  <c r="UC66" i="1"/>
  <c r="UB66" i="1"/>
  <c r="UA66" i="1"/>
  <c r="TZ66" i="1"/>
  <c r="TX66" i="1"/>
  <c r="TW66" i="1"/>
  <c r="TV66" i="1"/>
  <c r="TU66" i="1"/>
  <c r="TT66" i="1"/>
  <c r="TS66" i="1"/>
  <c r="TP66" i="1"/>
  <c r="TO66" i="1"/>
  <c r="TN66" i="1"/>
  <c r="TM66" i="1"/>
  <c r="TJ66" i="1"/>
  <c r="TH66" i="1"/>
  <c r="TG66" i="1"/>
  <c r="TF66" i="1"/>
  <c r="TE66" i="1"/>
  <c r="TD66" i="1"/>
  <c r="TC66" i="1"/>
  <c r="TB66" i="1"/>
  <c r="TA66" i="1"/>
  <c r="SZ66" i="1"/>
  <c r="SY66" i="1"/>
  <c r="SX66" i="1"/>
  <c r="SW66" i="1"/>
  <c r="SU66" i="1"/>
  <c r="ST66" i="1"/>
  <c r="SS66" i="1"/>
  <c r="SR66" i="1"/>
  <c r="SQ66" i="1"/>
  <c r="SP66" i="1"/>
  <c r="SM66" i="1"/>
  <c r="SL66" i="1"/>
  <c r="SK66" i="1"/>
  <c r="SJ66" i="1"/>
  <c r="SG66" i="1"/>
  <c r="VN65" i="1"/>
  <c r="VM65" i="1"/>
  <c r="VL65" i="1"/>
  <c r="VK65" i="1"/>
  <c r="VJ65" i="1"/>
  <c r="VI65" i="1"/>
  <c r="VH65" i="1"/>
  <c r="VG65" i="1"/>
  <c r="VF65" i="1"/>
  <c r="VE65" i="1"/>
  <c r="VD65" i="1"/>
  <c r="VC65" i="1"/>
  <c r="VA65" i="1"/>
  <c r="UZ65" i="1"/>
  <c r="UY65" i="1"/>
  <c r="UX65" i="1"/>
  <c r="UW65" i="1"/>
  <c r="UV65" i="1"/>
  <c r="US65" i="1"/>
  <c r="UR65" i="1"/>
  <c r="UQ65" i="1"/>
  <c r="UP65" i="1"/>
  <c r="UM65" i="1"/>
  <c r="UK65" i="1"/>
  <c r="UJ65" i="1"/>
  <c r="UI65" i="1"/>
  <c r="UH65" i="1"/>
  <c r="UG65" i="1"/>
  <c r="UF65" i="1"/>
  <c r="UE65" i="1"/>
  <c r="UD65" i="1"/>
  <c r="UC65" i="1"/>
  <c r="UB65" i="1"/>
  <c r="UA65" i="1"/>
  <c r="TZ65" i="1"/>
  <c r="TX65" i="1"/>
  <c r="TW65" i="1"/>
  <c r="TV65" i="1"/>
  <c r="TU65" i="1"/>
  <c r="TT65" i="1"/>
  <c r="TS65" i="1"/>
  <c r="TP65" i="1"/>
  <c r="TO65" i="1"/>
  <c r="TN65" i="1"/>
  <c r="TM65" i="1"/>
  <c r="TJ65" i="1"/>
  <c r="TH65" i="1"/>
  <c r="TG65" i="1"/>
  <c r="TF65" i="1"/>
  <c r="TE65" i="1"/>
  <c r="TD65" i="1"/>
  <c r="TC65" i="1"/>
  <c r="TB65" i="1"/>
  <c r="TA65" i="1"/>
  <c r="SZ65" i="1"/>
  <c r="SY65" i="1"/>
  <c r="SX65" i="1"/>
  <c r="SW65" i="1"/>
  <c r="SU65" i="1"/>
  <c r="ST65" i="1"/>
  <c r="SS65" i="1"/>
  <c r="SR65" i="1"/>
  <c r="SQ65" i="1"/>
  <c r="SP65" i="1"/>
  <c r="SM65" i="1"/>
  <c r="SL65" i="1"/>
  <c r="SK65" i="1"/>
  <c r="SJ65" i="1"/>
  <c r="SG65" i="1"/>
  <c r="VN64" i="1"/>
  <c r="VM64" i="1"/>
  <c r="VL64" i="1"/>
  <c r="VK64" i="1"/>
  <c r="VJ64" i="1"/>
  <c r="VI64" i="1"/>
  <c r="VH64" i="1"/>
  <c r="VG64" i="1"/>
  <c r="VF64" i="1"/>
  <c r="VE64" i="1"/>
  <c r="VD64" i="1"/>
  <c r="VC64" i="1"/>
  <c r="VA64" i="1"/>
  <c r="UZ64" i="1"/>
  <c r="UY64" i="1"/>
  <c r="UX64" i="1"/>
  <c r="UW64" i="1"/>
  <c r="UV64" i="1"/>
  <c r="US64" i="1"/>
  <c r="UR64" i="1"/>
  <c r="UQ64" i="1"/>
  <c r="UP64" i="1"/>
  <c r="UM64" i="1"/>
  <c r="UK64" i="1"/>
  <c r="UJ64" i="1"/>
  <c r="UI64" i="1"/>
  <c r="UH64" i="1"/>
  <c r="UG64" i="1"/>
  <c r="UF64" i="1"/>
  <c r="UE64" i="1"/>
  <c r="UD64" i="1"/>
  <c r="UC64" i="1"/>
  <c r="UB64" i="1"/>
  <c r="UA64" i="1"/>
  <c r="TZ64" i="1"/>
  <c r="TX64" i="1"/>
  <c r="TW64" i="1"/>
  <c r="TV64" i="1"/>
  <c r="TU64" i="1"/>
  <c r="TT64" i="1"/>
  <c r="TS64" i="1"/>
  <c r="TP64" i="1"/>
  <c r="TO64" i="1"/>
  <c r="TN64" i="1"/>
  <c r="TM64" i="1"/>
  <c r="TJ64" i="1"/>
  <c r="TH64" i="1"/>
  <c r="TG64" i="1"/>
  <c r="TF64" i="1"/>
  <c r="TE64" i="1"/>
  <c r="TD64" i="1"/>
  <c r="TC64" i="1"/>
  <c r="TB64" i="1"/>
  <c r="TA64" i="1"/>
  <c r="SZ64" i="1"/>
  <c r="SY64" i="1"/>
  <c r="SX64" i="1"/>
  <c r="SW64" i="1"/>
  <c r="SU64" i="1"/>
  <c r="ST64" i="1"/>
  <c r="SS64" i="1"/>
  <c r="SR64" i="1"/>
  <c r="SQ64" i="1"/>
  <c r="SP64" i="1"/>
  <c r="SM64" i="1"/>
  <c r="SL64" i="1"/>
  <c r="SK64" i="1"/>
  <c r="SJ64" i="1"/>
  <c r="SG64" i="1"/>
  <c r="VN63" i="1"/>
  <c r="VM63" i="1"/>
  <c r="VL63" i="1"/>
  <c r="VK63" i="1"/>
  <c r="VJ63" i="1"/>
  <c r="VI63" i="1"/>
  <c r="VH63" i="1"/>
  <c r="VG63" i="1"/>
  <c r="VF63" i="1"/>
  <c r="VE63" i="1"/>
  <c r="VD63" i="1"/>
  <c r="VC63" i="1"/>
  <c r="VA63" i="1"/>
  <c r="UZ63" i="1"/>
  <c r="UY63" i="1"/>
  <c r="UX63" i="1"/>
  <c r="UW63" i="1"/>
  <c r="UV63" i="1"/>
  <c r="US63" i="1"/>
  <c r="UR63" i="1"/>
  <c r="UQ63" i="1"/>
  <c r="UP63" i="1"/>
  <c r="UM63" i="1"/>
  <c r="UK63" i="1"/>
  <c r="UJ63" i="1"/>
  <c r="UI63" i="1"/>
  <c r="UH63" i="1"/>
  <c r="UG63" i="1"/>
  <c r="UF63" i="1"/>
  <c r="UE63" i="1"/>
  <c r="UD63" i="1"/>
  <c r="UC63" i="1"/>
  <c r="UB63" i="1"/>
  <c r="UA63" i="1"/>
  <c r="TZ63" i="1"/>
  <c r="TX63" i="1"/>
  <c r="TW63" i="1"/>
  <c r="TV63" i="1"/>
  <c r="TU63" i="1"/>
  <c r="TT63" i="1"/>
  <c r="TS63" i="1"/>
  <c r="TP63" i="1"/>
  <c r="TO63" i="1"/>
  <c r="TN63" i="1"/>
  <c r="TM63" i="1"/>
  <c r="TJ63" i="1"/>
  <c r="TH63" i="1"/>
  <c r="TG63" i="1"/>
  <c r="TF63" i="1"/>
  <c r="TE63" i="1"/>
  <c r="TD63" i="1"/>
  <c r="TC63" i="1"/>
  <c r="TB63" i="1"/>
  <c r="TA63" i="1"/>
  <c r="SZ63" i="1"/>
  <c r="SY63" i="1"/>
  <c r="SX63" i="1"/>
  <c r="SW63" i="1"/>
  <c r="SU63" i="1"/>
  <c r="ST63" i="1"/>
  <c r="SS63" i="1"/>
  <c r="SR63" i="1"/>
  <c r="SQ63" i="1"/>
  <c r="SP63" i="1"/>
  <c r="SM63" i="1"/>
  <c r="SL63" i="1"/>
  <c r="SK63" i="1"/>
  <c r="SJ63" i="1"/>
  <c r="SG63" i="1"/>
  <c r="VN62" i="1"/>
  <c r="VM62" i="1"/>
  <c r="VL62" i="1"/>
  <c r="VK62" i="1"/>
  <c r="VJ62" i="1"/>
  <c r="VI62" i="1"/>
  <c r="VH62" i="1"/>
  <c r="VG62" i="1"/>
  <c r="VF62" i="1"/>
  <c r="VE62" i="1"/>
  <c r="VD62" i="1"/>
  <c r="VC62" i="1"/>
  <c r="VA62" i="1"/>
  <c r="UZ62" i="1"/>
  <c r="UY62" i="1"/>
  <c r="UX62" i="1"/>
  <c r="UW62" i="1"/>
  <c r="UV62" i="1"/>
  <c r="US62" i="1"/>
  <c r="UR62" i="1"/>
  <c r="UQ62" i="1"/>
  <c r="UP62" i="1"/>
  <c r="UM62" i="1"/>
  <c r="UK62" i="1"/>
  <c r="UJ62" i="1"/>
  <c r="UI62" i="1"/>
  <c r="UH62" i="1"/>
  <c r="UG62" i="1"/>
  <c r="UF62" i="1"/>
  <c r="UE62" i="1"/>
  <c r="UD62" i="1"/>
  <c r="UC62" i="1"/>
  <c r="UB62" i="1"/>
  <c r="UA62" i="1"/>
  <c r="TZ62" i="1"/>
  <c r="TX62" i="1"/>
  <c r="TW62" i="1"/>
  <c r="TV62" i="1"/>
  <c r="TU62" i="1"/>
  <c r="TT62" i="1"/>
  <c r="TS62" i="1"/>
  <c r="TP62" i="1"/>
  <c r="TO62" i="1"/>
  <c r="TN62" i="1"/>
  <c r="TM62" i="1"/>
  <c r="TJ62" i="1"/>
  <c r="TH62" i="1"/>
  <c r="TG62" i="1"/>
  <c r="TF62" i="1"/>
  <c r="TE62" i="1"/>
  <c r="TD62" i="1"/>
  <c r="TC62" i="1"/>
  <c r="TB62" i="1"/>
  <c r="TA62" i="1"/>
  <c r="SZ62" i="1"/>
  <c r="SY62" i="1"/>
  <c r="SX62" i="1"/>
  <c r="SW62" i="1"/>
  <c r="SU62" i="1"/>
  <c r="ST62" i="1"/>
  <c r="SS62" i="1"/>
  <c r="SR62" i="1"/>
  <c r="SQ62" i="1"/>
  <c r="SP62" i="1"/>
  <c r="SM62" i="1"/>
  <c r="SL62" i="1"/>
  <c r="SK62" i="1"/>
  <c r="SJ62" i="1"/>
  <c r="SG62" i="1"/>
  <c r="VN61" i="1"/>
  <c r="VM61" i="1"/>
  <c r="VL61" i="1"/>
  <c r="VK61" i="1"/>
  <c r="VJ61" i="1"/>
  <c r="VI61" i="1"/>
  <c r="VH61" i="1"/>
  <c r="VG61" i="1"/>
  <c r="VF61" i="1"/>
  <c r="VE61" i="1"/>
  <c r="VD61" i="1"/>
  <c r="VC61" i="1"/>
  <c r="VA61" i="1"/>
  <c r="UZ61" i="1"/>
  <c r="UY61" i="1"/>
  <c r="UX61" i="1"/>
  <c r="UW61" i="1"/>
  <c r="UV61" i="1"/>
  <c r="US61" i="1"/>
  <c r="UR61" i="1"/>
  <c r="UQ61" i="1"/>
  <c r="UP61" i="1"/>
  <c r="UM61" i="1"/>
  <c r="UK61" i="1"/>
  <c r="UJ61" i="1"/>
  <c r="UI61" i="1"/>
  <c r="UH61" i="1"/>
  <c r="UG61" i="1"/>
  <c r="UF61" i="1"/>
  <c r="UE61" i="1"/>
  <c r="UD61" i="1"/>
  <c r="UC61" i="1"/>
  <c r="UB61" i="1"/>
  <c r="UA61" i="1"/>
  <c r="TZ61" i="1"/>
  <c r="TX61" i="1"/>
  <c r="TW61" i="1"/>
  <c r="TV61" i="1"/>
  <c r="TU61" i="1"/>
  <c r="TT61" i="1"/>
  <c r="TS61" i="1"/>
  <c r="TP61" i="1"/>
  <c r="TO61" i="1"/>
  <c r="TN61" i="1"/>
  <c r="TM61" i="1"/>
  <c r="TJ61" i="1"/>
  <c r="TH61" i="1"/>
  <c r="TG61" i="1"/>
  <c r="TF61" i="1"/>
  <c r="TE61" i="1"/>
  <c r="TD61" i="1"/>
  <c r="TC61" i="1"/>
  <c r="TB61" i="1"/>
  <c r="TA61" i="1"/>
  <c r="SZ61" i="1"/>
  <c r="SY61" i="1"/>
  <c r="SX61" i="1"/>
  <c r="SW61" i="1"/>
  <c r="SU61" i="1"/>
  <c r="ST61" i="1"/>
  <c r="SS61" i="1"/>
  <c r="SR61" i="1"/>
  <c r="SQ61" i="1"/>
  <c r="SP61" i="1"/>
  <c r="SM61" i="1"/>
  <c r="SL61" i="1"/>
  <c r="SK61" i="1"/>
  <c r="SJ61" i="1"/>
  <c r="SG61" i="1"/>
  <c r="VN60" i="1"/>
  <c r="VM60" i="1"/>
  <c r="VL60" i="1"/>
  <c r="VK60" i="1"/>
  <c r="VJ60" i="1"/>
  <c r="VI60" i="1"/>
  <c r="VH60" i="1"/>
  <c r="VG60" i="1"/>
  <c r="VF60" i="1"/>
  <c r="VE60" i="1"/>
  <c r="VD60" i="1"/>
  <c r="VC60" i="1"/>
  <c r="VA60" i="1"/>
  <c r="UZ60" i="1"/>
  <c r="UY60" i="1"/>
  <c r="UX60" i="1"/>
  <c r="UW60" i="1"/>
  <c r="UV60" i="1"/>
  <c r="US60" i="1"/>
  <c r="UR60" i="1"/>
  <c r="UQ60" i="1"/>
  <c r="UP60" i="1"/>
  <c r="UM60" i="1"/>
  <c r="UK60" i="1"/>
  <c r="UJ60" i="1"/>
  <c r="UI60" i="1"/>
  <c r="UH60" i="1"/>
  <c r="UG60" i="1"/>
  <c r="UF60" i="1"/>
  <c r="UE60" i="1"/>
  <c r="UD60" i="1"/>
  <c r="UC60" i="1"/>
  <c r="UB60" i="1"/>
  <c r="UA60" i="1"/>
  <c r="TZ60" i="1"/>
  <c r="TX60" i="1"/>
  <c r="TW60" i="1"/>
  <c r="TV60" i="1"/>
  <c r="TU60" i="1"/>
  <c r="TT60" i="1"/>
  <c r="TS60" i="1"/>
  <c r="TP60" i="1"/>
  <c r="TO60" i="1"/>
  <c r="TN60" i="1"/>
  <c r="TM60" i="1"/>
  <c r="TJ60" i="1"/>
  <c r="TH60" i="1"/>
  <c r="TG60" i="1"/>
  <c r="TF60" i="1"/>
  <c r="TE60" i="1"/>
  <c r="TD60" i="1"/>
  <c r="TC60" i="1"/>
  <c r="TB60" i="1"/>
  <c r="TA60" i="1"/>
  <c r="SZ60" i="1"/>
  <c r="SY60" i="1"/>
  <c r="SX60" i="1"/>
  <c r="SW60" i="1"/>
  <c r="SU60" i="1"/>
  <c r="ST60" i="1"/>
  <c r="SS60" i="1"/>
  <c r="SR60" i="1"/>
  <c r="SQ60" i="1"/>
  <c r="SP60" i="1"/>
  <c r="SM60" i="1"/>
  <c r="SL60" i="1"/>
  <c r="SK60" i="1"/>
  <c r="SJ60" i="1"/>
  <c r="SG60" i="1"/>
  <c r="VN59" i="1"/>
  <c r="VM59" i="1"/>
  <c r="VL59" i="1"/>
  <c r="VK59" i="1"/>
  <c r="VJ59" i="1"/>
  <c r="VI59" i="1"/>
  <c r="VH59" i="1"/>
  <c r="VG59" i="1"/>
  <c r="VF59" i="1"/>
  <c r="VE59" i="1"/>
  <c r="VD59" i="1"/>
  <c r="VC59" i="1"/>
  <c r="VA59" i="1"/>
  <c r="UZ59" i="1"/>
  <c r="UY59" i="1"/>
  <c r="UX59" i="1"/>
  <c r="UW59" i="1"/>
  <c r="UV59" i="1"/>
  <c r="US59" i="1"/>
  <c r="UR59" i="1"/>
  <c r="UQ59" i="1"/>
  <c r="UP59" i="1"/>
  <c r="UM59" i="1"/>
  <c r="UK59" i="1"/>
  <c r="UJ59" i="1"/>
  <c r="UI59" i="1"/>
  <c r="UH59" i="1"/>
  <c r="UG59" i="1"/>
  <c r="UF59" i="1"/>
  <c r="UE59" i="1"/>
  <c r="UD59" i="1"/>
  <c r="UC59" i="1"/>
  <c r="UB59" i="1"/>
  <c r="UA59" i="1"/>
  <c r="TZ59" i="1"/>
  <c r="TX59" i="1"/>
  <c r="TW59" i="1"/>
  <c r="TV59" i="1"/>
  <c r="TU59" i="1"/>
  <c r="TT59" i="1"/>
  <c r="TS59" i="1"/>
  <c r="TP59" i="1"/>
  <c r="TO59" i="1"/>
  <c r="TN59" i="1"/>
  <c r="TM59" i="1"/>
  <c r="TJ59" i="1"/>
  <c r="TH59" i="1"/>
  <c r="TG59" i="1"/>
  <c r="TF59" i="1"/>
  <c r="TE59" i="1"/>
  <c r="TD59" i="1"/>
  <c r="TC59" i="1"/>
  <c r="TB59" i="1"/>
  <c r="TA59" i="1"/>
  <c r="SZ59" i="1"/>
  <c r="SY59" i="1"/>
  <c r="SX59" i="1"/>
  <c r="SW59" i="1"/>
  <c r="SU59" i="1"/>
  <c r="ST59" i="1"/>
  <c r="SS59" i="1"/>
  <c r="SR59" i="1"/>
  <c r="SQ59" i="1"/>
  <c r="SP59" i="1"/>
  <c r="SM59" i="1"/>
  <c r="SL59" i="1"/>
  <c r="SK59" i="1"/>
  <c r="SJ59" i="1"/>
  <c r="SG59" i="1"/>
  <c r="VN58" i="1"/>
  <c r="VM58" i="1"/>
  <c r="VL58" i="1"/>
  <c r="VK58" i="1"/>
  <c r="VJ58" i="1"/>
  <c r="VI58" i="1"/>
  <c r="VH58" i="1"/>
  <c r="VG58" i="1"/>
  <c r="VF58" i="1"/>
  <c r="VE58" i="1"/>
  <c r="VD58" i="1"/>
  <c r="VC58" i="1"/>
  <c r="VA58" i="1"/>
  <c r="UZ58" i="1"/>
  <c r="UY58" i="1"/>
  <c r="UX58" i="1"/>
  <c r="UW58" i="1"/>
  <c r="UV58" i="1"/>
  <c r="US58" i="1"/>
  <c r="UR58" i="1"/>
  <c r="UQ58" i="1"/>
  <c r="UP58" i="1"/>
  <c r="UM58" i="1"/>
  <c r="UK58" i="1"/>
  <c r="UJ58" i="1"/>
  <c r="UI58" i="1"/>
  <c r="UH58" i="1"/>
  <c r="UG58" i="1"/>
  <c r="UF58" i="1"/>
  <c r="UE58" i="1"/>
  <c r="UD58" i="1"/>
  <c r="UC58" i="1"/>
  <c r="UB58" i="1"/>
  <c r="UA58" i="1"/>
  <c r="TZ58" i="1"/>
  <c r="TX58" i="1"/>
  <c r="TW58" i="1"/>
  <c r="TV58" i="1"/>
  <c r="TU58" i="1"/>
  <c r="TT58" i="1"/>
  <c r="TS58" i="1"/>
  <c r="TP58" i="1"/>
  <c r="TO58" i="1"/>
  <c r="TN58" i="1"/>
  <c r="TM58" i="1"/>
  <c r="TJ58" i="1"/>
  <c r="TH58" i="1"/>
  <c r="TG58" i="1"/>
  <c r="TF58" i="1"/>
  <c r="TE58" i="1"/>
  <c r="TD58" i="1"/>
  <c r="TC58" i="1"/>
  <c r="TB58" i="1"/>
  <c r="TA58" i="1"/>
  <c r="SZ58" i="1"/>
  <c r="SY58" i="1"/>
  <c r="SX58" i="1"/>
  <c r="SW58" i="1"/>
  <c r="SU58" i="1"/>
  <c r="ST58" i="1"/>
  <c r="SS58" i="1"/>
  <c r="SR58" i="1"/>
  <c r="SQ58" i="1"/>
  <c r="SP58" i="1"/>
  <c r="SM58" i="1"/>
  <c r="SL58" i="1"/>
  <c r="SK58" i="1"/>
  <c r="SJ58" i="1"/>
  <c r="SG58" i="1"/>
  <c r="VN57" i="1"/>
  <c r="VM57" i="1"/>
  <c r="VL57" i="1"/>
  <c r="VK57" i="1"/>
  <c r="VJ57" i="1"/>
  <c r="VI57" i="1"/>
  <c r="VH57" i="1"/>
  <c r="VG57" i="1"/>
  <c r="VF57" i="1"/>
  <c r="VE57" i="1"/>
  <c r="VD57" i="1"/>
  <c r="VC57" i="1"/>
  <c r="VA57" i="1"/>
  <c r="UZ57" i="1"/>
  <c r="UY57" i="1"/>
  <c r="UX57" i="1"/>
  <c r="UW57" i="1"/>
  <c r="UV57" i="1"/>
  <c r="US57" i="1"/>
  <c r="UR57" i="1"/>
  <c r="UQ57" i="1"/>
  <c r="UP57" i="1"/>
  <c r="UM57" i="1"/>
  <c r="UK57" i="1"/>
  <c r="UJ57" i="1"/>
  <c r="UI57" i="1"/>
  <c r="UH57" i="1"/>
  <c r="UG57" i="1"/>
  <c r="UF57" i="1"/>
  <c r="UE57" i="1"/>
  <c r="UD57" i="1"/>
  <c r="UC57" i="1"/>
  <c r="UB57" i="1"/>
  <c r="UA57" i="1"/>
  <c r="TZ57" i="1"/>
  <c r="TX57" i="1"/>
  <c r="TW57" i="1"/>
  <c r="TV57" i="1"/>
  <c r="TU57" i="1"/>
  <c r="TT57" i="1"/>
  <c r="TS57" i="1"/>
  <c r="TP57" i="1"/>
  <c r="TO57" i="1"/>
  <c r="TN57" i="1"/>
  <c r="TM57" i="1"/>
  <c r="TJ57" i="1"/>
  <c r="TH57" i="1"/>
  <c r="TG57" i="1"/>
  <c r="TF57" i="1"/>
  <c r="TE57" i="1"/>
  <c r="TD57" i="1"/>
  <c r="TC57" i="1"/>
  <c r="TB57" i="1"/>
  <c r="TA57" i="1"/>
  <c r="SZ57" i="1"/>
  <c r="SY57" i="1"/>
  <c r="SX57" i="1"/>
  <c r="SW57" i="1"/>
  <c r="SU57" i="1"/>
  <c r="ST57" i="1"/>
  <c r="SS57" i="1"/>
  <c r="SR57" i="1"/>
  <c r="SQ57" i="1"/>
  <c r="SP57" i="1"/>
  <c r="SM57" i="1"/>
  <c r="SL57" i="1"/>
  <c r="SK57" i="1"/>
  <c r="SJ57" i="1"/>
  <c r="SG57" i="1"/>
  <c r="VN56" i="1"/>
  <c r="VM56" i="1"/>
  <c r="VL56" i="1"/>
  <c r="VK56" i="1"/>
  <c r="VJ56" i="1"/>
  <c r="VI56" i="1"/>
  <c r="VH56" i="1"/>
  <c r="VG56" i="1"/>
  <c r="VF56" i="1"/>
  <c r="VE56" i="1"/>
  <c r="VD56" i="1"/>
  <c r="VC56" i="1"/>
  <c r="VA56" i="1"/>
  <c r="UZ56" i="1"/>
  <c r="UY56" i="1"/>
  <c r="UX56" i="1"/>
  <c r="UW56" i="1"/>
  <c r="UV56" i="1"/>
  <c r="US56" i="1"/>
  <c r="UR56" i="1"/>
  <c r="UQ56" i="1"/>
  <c r="UP56" i="1"/>
  <c r="UM56" i="1"/>
  <c r="UK56" i="1"/>
  <c r="UJ56" i="1"/>
  <c r="UI56" i="1"/>
  <c r="UH56" i="1"/>
  <c r="UG56" i="1"/>
  <c r="UF56" i="1"/>
  <c r="UE56" i="1"/>
  <c r="UD56" i="1"/>
  <c r="UC56" i="1"/>
  <c r="UB56" i="1"/>
  <c r="UA56" i="1"/>
  <c r="TZ56" i="1"/>
  <c r="TX56" i="1"/>
  <c r="TW56" i="1"/>
  <c r="TV56" i="1"/>
  <c r="TU56" i="1"/>
  <c r="TT56" i="1"/>
  <c r="TS56" i="1"/>
  <c r="TP56" i="1"/>
  <c r="TO56" i="1"/>
  <c r="TN56" i="1"/>
  <c r="TM56" i="1"/>
  <c r="TJ56" i="1"/>
  <c r="TH56" i="1"/>
  <c r="TG56" i="1"/>
  <c r="TF56" i="1"/>
  <c r="TE56" i="1"/>
  <c r="TD56" i="1"/>
  <c r="TC56" i="1"/>
  <c r="TB56" i="1"/>
  <c r="TA56" i="1"/>
  <c r="SZ56" i="1"/>
  <c r="SY56" i="1"/>
  <c r="SX56" i="1"/>
  <c r="SW56" i="1"/>
  <c r="SU56" i="1"/>
  <c r="ST56" i="1"/>
  <c r="SS56" i="1"/>
  <c r="SR56" i="1"/>
  <c r="SQ56" i="1"/>
  <c r="SP56" i="1"/>
  <c r="SM56" i="1"/>
  <c r="SL56" i="1"/>
  <c r="SK56" i="1"/>
  <c r="SJ56" i="1"/>
  <c r="SG56" i="1"/>
  <c r="VN55" i="1"/>
  <c r="VM55" i="1"/>
  <c r="VL55" i="1"/>
  <c r="VK55" i="1"/>
  <c r="VJ55" i="1"/>
  <c r="VI55" i="1"/>
  <c r="VH55" i="1"/>
  <c r="VG55" i="1"/>
  <c r="VF55" i="1"/>
  <c r="VE55" i="1"/>
  <c r="VD55" i="1"/>
  <c r="VC55" i="1"/>
  <c r="VA55" i="1"/>
  <c r="UZ55" i="1"/>
  <c r="UY55" i="1"/>
  <c r="UX55" i="1"/>
  <c r="UW55" i="1"/>
  <c r="UV55" i="1"/>
  <c r="US55" i="1"/>
  <c r="UR55" i="1"/>
  <c r="UQ55" i="1"/>
  <c r="UP55" i="1"/>
  <c r="UM55" i="1"/>
  <c r="UK55" i="1"/>
  <c r="UJ55" i="1"/>
  <c r="UI55" i="1"/>
  <c r="UH55" i="1"/>
  <c r="UG55" i="1"/>
  <c r="UF55" i="1"/>
  <c r="UE55" i="1"/>
  <c r="UD55" i="1"/>
  <c r="UC55" i="1"/>
  <c r="UB55" i="1"/>
  <c r="UA55" i="1"/>
  <c r="TZ55" i="1"/>
  <c r="TX55" i="1"/>
  <c r="TW55" i="1"/>
  <c r="TV55" i="1"/>
  <c r="TU55" i="1"/>
  <c r="TT55" i="1"/>
  <c r="TS55" i="1"/>
  <c r="TP55" i="1"/>
  <c r="TO55" i="1"/>
  <c r="TN55" i="1"/>
  <c r="TM55" i="1"/>
  <c r="TJ55" i="1"/>
  <c r="TH55" i="1"/>
  <c r="TG55" i="1"/>
  <c r="TF55" i="1"/>
  <c r="TE55" i="1"/>
  <c r="TD55" i="1"/>
  <c r="TC55" i="1"/>
  <c r="TB55" i="1"/>
  <c r="TA55" i="1"/>
  <c r="SZ55" i="1"/>
  <c r="SY55" i="1"/>
  <c r="SX55" i="1"/>
  <c r="SW55" i="1"/>
  <c r="SU55" i="1"/>
  <c r="ST55" i="1"/>
  <c r="SS55" i="1"/>
  <c r="SR55" i="1"/>
  <c r="SQ55" i="1"/>
  <c r="SP55" i="1"/>
  <c r="SM55" i="1"/>
  <c r="SL55" i="1"/>
  <c r="SK55" i="1"/>
  <c r="SJ55" i="1"/>
  <c r="SG55" i="1"/>
  <c r="VN54" i="1"/>
  <c r="VM54" i="1"/>
  <c r="VL54" i="1"/>
  <c r="VK54" i="1"/>
  <c r="VJ54" i="1"/>
  <c r="VI54" i="1"/>
  <c r="VH54" i="1"/>
  <c r="VG54" i="1"/>
  <c r="VF54" i="1"/>
  <c r="VE54" i="1"/>
  <c r="VD54" i="1"/>
  <c r="VC54" i="1"/>
  <c r="VA54" i="1"/>
  <c r="UZ54" i="1"/>
  <c r="UY54" i="1"/>
  <c r="UX54" i="1"/>
  <c r="UW54" i="1"/>
  <c r="UV54" i="1"/>
  <c r="US54" i="1"/>
  <c r="UR54" i="1"/>
  <c r="UQ54" i="1"/>
  <c r="UP54" i="1"/>
  <c r="UM54" i="1"/>
  <c r="UK54" i="1"/>
  <c r="UJ54" i="1"/>
  <c r="UI54" i="1"/>
  <c r="UH54" i="1"/>
  <c r="UG54" i="1"/>
  <c r="UF54" i="1"/>
  <c r="UE54" i="1"/>
  <c r="UD54" i="1"/>
  <c r="UC54" i="1"/>
  <c r="UB54" i="1"/>
  <c r="UA54" i="1"/>
  <c r="TZ54" i="1"/>
  <c r="TX54" i="1"/>
  <c r="TW54" i="1"/>
  <c r="TV54" i="1"/>
  <c r="TU54" i="1"/>
  <c r="TT54" i="1"/>
  <c r="TS54" i="1"/>
  <c r="TP54" i="1"/>
  <c r="TO54" i="1"/>
  <c r="TN54" i="1"/>
  <c r="TM54" i="1"/>
  <c r="TJ54" i="1"/>
  <c r="TH54" i="1"/>
  <c r="TG54" i="1"/>
  <c r="TF54" i="1"/>
  <c r="TE54" i="1"/>
  <c r="TD54" i="1"/>
  <c r="TC54" i="1"/>
  <c r="TB54" i="1"/>
  <c r="TA54" i="1"/>
  <c r="SZ54" i="1"/>
  <c r="SY54" i="1"/>
  <c r="SX54" i="1"/>
  <c r="SW54" i="1"/>
  <c r="SU54" i="1"/>
  <c r="ST54" i="1"/>
  <c r="SS54" i="1"/>
  <c r="SR54" i="1"/>
  <c r="SQ54" i="1"/>
  <c r="SP54" i="1"/>
  <c r="SM54" i="1"/>
  <c r="SL54" i="1"/>
  <c r="SK54" i="1"/>
  <c r="SJ54" i="1"/>
  <c r="SG54" i="1"/>
  <c r="VN53" i="1"/>
  <c r="VM53" i="1"/>
  <c r="VL53" i="1"/>
  <c r="VK53" i="1"/>
  <c r="VJ53" i="1"/>
  <c r="VI53" i="1"/>
  <c r="VH53" i="1"/>
  <c r="VG53" i="1"/>
  <c r="VF53" i="1"/>
  <c r="VE53" i="1"/>
  <c r="VD53" i="1"/>
  <c r="VC53" i="1"/>
  <c r="VA53" i="1"/>
  <c r="UZ53" i="1"/>
  <c r="UY53" i="1"/>
  <c r="UX53" i="1"/>
  <c r="UW53" i="1"/>
  <c r="UV53" i="1"/>
  <c r="US53" i="1"/>
  <c r="UR53" i="1"/>
  <c r="UQ53" i="1"/>
  <c r="UP53" i="1"/>
  <c r="UM53" i="1"/>
  <c r="UK53" i="1"/>
  <c r="UJ53" i="1"/>
  <c r="UI53" i="1"/>
  <c r="UH53" i="1"/>
  <c r="UG53" i="1"/>
  <c r="UF53" i="1"/>
  <c r="UE53" i="1"/>
  <c r="UD53" i="1"/>
  <c r="UC53" i="1"/>
  <c r="UB53" i="1"/>
  <c r="UA53" i="1"/>
  <c r="TZ53" i="1"/>
  <c r="TX53" i="1"/>
  <c r="TW53" i="1"/>
  <c r="TV53" i="1"/>
  <c r="TU53" i="1"/>
  <c r="TT53" i="1"/>
  <c r="TS53" i="1"/>
  <c r="TP53" i="1"/>
  <c r="TO53" i="1"/>
  <c r="TN53" i="1"/>
  <c r="TM53" i="1"/>
  <c r="TJ53" i="1"/>
  <c r="TH53" i="1"/>
  <c r="TG53" i="1"/>
  <c r="TF53" i="1"/>
  <c r="TE53" i="1"/>
  <c r="TD53" i="1"/>
  <c r="TC53" i="1"/>
  <c r="TB53" i="1"/>
  <c r="TA53" i="1"/>
  <c r="SZ53" i="1"/>
  <c r="SY53" i="1"/>
  <c r="SX53" i="1"/>
  <c r="SW53" i="1"/>
  <c r="SU53" i="1"/>
  <c r="ST53" i="1"/>
  <c r="SS53" i="1"/>
  <c r="SR53" i="1"/>
  <c r="SQ53" i="1"/>
  <c r="SP53" i="1"/>
  <c r="SM53" i="1"/>
  <c r="SL53" i="1"/>
  <c r="SK53" i="1"/>
  <c r="SJ53" i="1"/>
  <c r="SG53" i="1"/>
  <c r="VN52" i="1"/>
  <c r="VM52" i="1"/>
  <c r="VL52" i="1"/>
  <c r="VK52" i="1"/>
  <c r="VJ52" i="1"/>
  <c r="VI52" i="1"/>
  <c r="VH52" i="1"/>
  <c r="VG52" i="1"/>
  <c r="VF52" i="1"/>
  <c r="VE52" i="1"/>
  <c r="VD52" i="1"/>
  <c r="VC52" i="1"/>
  <c r="VA52" i="1"/>
  <c r="UZ52" i="1"/>
  <c r="UY52" i="1"/>
  <c r="UX52" i="1"/>
  <c r="UW52" i="1"/>
  <c r="UV52" i="1"/>
  <c r="US52" i="1"/>
  <c r="UR52" i="1"/>
  <c r="UQ52" i="1"/>
  <c r="UP52" i="1"/>
  <c r="UM52" i="1"/>
  <c r="UK52" i="1"/>
  <c r="UJ52" i="1"/>
  <c r="UI52" i="1"/>
  <c r="UH52" i="1"/>
  <c r="UG52" i="1"/>
  <c r="UF52" i="1"/>
  <c r="UE52" i="1"/>
  <c r="UD52" i="1"/>
  <c r="UC52" i="1"/>
  <c r="UB52" i="1"/>
  <c r="UA52" i="1"/>
  <c r="TZ52" i="1"/>
  <c r="TX52" i="1"/>
  <c r="TW52" i="1"/>
  <c r="TV52" i="1"/>
  <c r="TU52" i="1"/>
  <c r="TT52" i="1"/>
  <c r="TS52" i="1"/>
  <c r="TP52" i="1"/>
  <c r="TO52" i="1"/>
  <c r="TN52" i="1"/>
  <c r="TM52" i="1"/>
  <c r="TJ52" i="1"/>
  <c r="TH52" i="1"/>
  <c r="TG52" i="1"/>
  <c r="TF52" i="1"/>
  <c r="TE52" i="1"/>
  <c r="TD52" i="1"/>
  <c r="TC52" i="1"/>
  <c r="TB52" i="1"/>
  <c r="TA52" i="1"/>
  <c r="SZ52" i="1"/>
  <c r="SY52" i="1"/>
  <c r="SX52" i="1"/>
  <c r="SW52" i="1"/>
  <c r="SU52" i="1"/>
  <c r="ST52" i="1"/>
  <c r="SS52" i="1"/>
  <c r="SR52" i="1"/>
  <c r="SQ52" i="1"/>
  <c r="SP52" i="1"/>
  <c r="SM52" i="1"/>
  <c r="SL52" i="1"/>
  <c r="SK52" i="1"/>
  <c r="SJ52" i="1"/>
  <c r="SG52" i="1"/>
  <c r="VN51" i="1"/>
  <c r="VM51" i="1"/>
  <c r="VL51" i="1"/>
  <c r="VK51" i="1"/>
  <c r="VJ51" i="1"/>
  <c r="VI51" i="1"/>
  <c r="VH51" i="1"/>
  <c r="VG51" i="1"/>
  <c r="VF51" i="1"/>
  <c r="VE51" i="1"/>
  <c r="VD51" i="1"/>
  <c r="VC51" i="1"/>
  <c r="VA51" i="1"/>
  <c r="UZ51" i="1"/>
  <c r="UY51" i="1"/>
  <c r="UX51" i="1"/>
  <c r="UW51" i="1"/>
  <c r="UV51" i="1"/>
  <c r="US51" i="1"/>
  <c r="UR51" i="1"/>
  <c r="UQ51" i="1"/>
  <c r="UP51" i="1"/>
  <c r="UM51" i="1"/>
  <c r="UK51" i="1"/>
  <c r="UJ51" i="1"/>
  <c r="UI51" i="1"/>
  <c r="UH51" i="1"/>
  <c r="UG51" i="1"/>
  <c r="UF51" i="1"/>
  <c r="UE51" i="1"/>
  <c r="UD51" i="1"/>
  <c r="UC51" i="1"/>
  <c r="UB51" i="1"/>
  <c r="UA51" i="1"/>
  <c r="TZ51" i="1"/>
  <c r="TX51" i="1"/>
  <c r="TW51" i="1"/>
  <c r="TV51" i="1"/>
  <c r="TU51" i="1"/>
  <c r="TT51" i="1"/>
  <c r="TS51" i="1"/>
  <c r="TP51" i="1"/>
  <c r="TO51" i="1"/>
  <c r="TN51" i="1"/>
  <c r="TM51" i="1"/>
  <c r="TJ51" i="1"/>
  <c r="TH51" i="1"/>
  <c r="TG51" i="1"/>
  <c r="TF51" i="1"/>
  <c r="TE51" i="1"/>
  <c r="TD51" i="1"/>
  <c r="TC51" i="1"/>
  <c r="TB51" i="1"/>
  <c r="TA51" i="1"/>
  <c r="SZ51" i="1"/>
  <c r="SY51" i="1"/>
  <c r="SX51" i="1"/>
  <c r="SW51" i="1"/>
  <c r="SU51" i="1"/>
  <c r="ST51" i="1"/>
  <c r="SS51" i="1"/>
  <c r="SR51" i="1"/>
  <c r="SQ51" i="1"/>
  <c r="SP51" i="1"/>
  <c r="SM51" i="1"/>
  <c r="SL51" i="1"/>
  <c r="SK51" i="1"/>
  <c r="SJ51" i="1"/>
  <c r="SG51" i="1"/>
  <c r="VN50" i="1"/>
  <c r="VM50" i="1"/>
  <c r="VL50" i="1"/>
  <c r="VK50" i="1"/>
  <c r="VJ50" i="1"/>
  <c r="VI50" i="1"/>
  <c r="VH50" i="1"/>
  <c r="VG50" i="1"/>
  <c r="VF50" i="1"/>
  <c r="VE50" i="1"/>
  <c r="VD50" i="1"/>
  <c r="VC50" i="1"/>
  <c r="VA50" i="1"/>
  <c r="UZ50" i="1"/>
  <c r="UY50" i="1"/>
  <c r="UX50" i="1"/>
  <c r="UW50" i="1"/>
  <c r="UV50" i="1"/>
  <c r="US50" i="1"/>
  <c r="UR50" i="1"/>
  <c r="UQ50" i="1"/>
  <c r="UP50" i="1"/>
  <c r="UM50" i="1"/>
  <c r="UK50" i="1"/>
  <c r="UJ50" i="1"/>
  <c r="UI50" i="1"/>
  <c r="UH50" i="1"/>
  <c r="UG50" i="1"/>
  <c r="UF50" i="1"/>
  <c r="UE50" i="1"/>
  <c r="UD50" i="1"/>
  <c r="UC50" i="1"/>
  <c r="UB50" i="1"/>
  <c r="UA50" i="1"/>
  <c r="TZ50" i="1"/>
  <c r="TX50" i="1"/>
  <c r="TW50" i="1"/>
  <c r="TV50" i="1"/>
  <c r="TU50" i="1"/>
  <c r="TT50" i="1"/>
  <c r="TS50" i="1"/>
  <c r="TP50" i="1"/>
  <c r="TO50" i="1"/>
  <c r="TN50" i="1"/>
  <c r="TM50" i="1"/>
  <c r="TJ50" i="1"/>
  <c r="TH50" i="1"/>
  <c r="TG50" i="1"/>
  <c r="TF50" i="1"/>
  <c r="TE50" i="1"/>
  <c r="TD50" i="1"/>
  <c r="TC50" i="1"/>
  <c r="TB50" i="1"/>
  <c r="TA50" i="1"/>
  <c r="SZ50" i="1"/>
  <c r="SY50" i="1"/>
  <c r="SX50" i="1"/>
  <c r="SW50" i="1"/>
  <c r="SU50" i="1"/>
  <c r="ST50" i="1"/>
  <c r="SS50" i="1"/>
  <c r="SR50" i="1"/>
  <c r="SQ50" i="1"/>
  <c r="SP50" i="1"/>
  <c r="SM50" i="1"/>
  <c r="SL50" i="1"/>
  <c r="SK50" i="1"/>
  <c r="SJ50" i="1"/>
  <c r="SG50" i="1"/>
  <c r="VN49" i="1"/>
  <c r="VM49" i="1"/>
  <c r="VL49" i="1"/>
  <c r="VK49" i="1"/>
  <c r="VJ49" i="1"/>
  <c r="VI49" i="1"/>
  <c r="VH49" i="1"/>
  <c r="VG49" i="1"/>
  <c r="VF49" i="1"/>
  <c r="VE49" i="1"/>
  <c r="VD49" i="1"/>
  <c r="VC49" i="1"/>
  <c r="VA49" i="1"/>
  <c r="UZ49" i="1"/>
  <c r="UY49" i="1"/>
  <c r="UX49" i="1"/>
  <c r="UW49" i="1"/>
  <c r="UV49" i="1"/>
  <c r="US49" i="1"/>
  <c r="UR49" i="1"/>
  <c r="UQ49" i="1"/>
  <c r="UP49" i="1"/>
  <c r="UM49" i="1"/>
  <c r="UK49" i="1"/>
  <c r="UJ49" i="1"/>
  <c r="UI49" i="1"/>
  <c r="UH49" i="1"/>
  <c r="UG49" i="1"/>
  <c r="UF49" i="1"/>
  <c r="UE49" i="1"/>
  <c r="UD49" i="1"/>
  <c r="UC49" i="1"/>
  <c r="UB49" i="1"/>
  <c r="UA49" i="1"/>
  <c r="TZ49" i="1"/>
  <c r="TX49" i="1"/>
  <c r="TW49" i="1"/>
  <c r="TV49" i="1"/>
  <c r="TU49" i="1"/>
  <c r="TT49" i="1"/>
  <c r="TS49" i="1"/>
  <c r="TP49" i="1"/>
  <c r="TO49" i="1"/>
  <c r="TN49" i="1"/>
  <c r="TM49" i="1"/>
  <c r="TJ49" i="1"/>
  <c r="TH49" i="1"/>
  <c r="TG49" i="1"/>
  <c r="TF49" i="1"/>
  <c r="TE49" i="1"/>
  <c r="TD49" i="1"/>
  <c r="TC49" i="1"/>
  <c r="TB49" i="1"/>
  <c r="TA49" i="1"/>
  <c r="SZ49" i="1"/>
  <c r="SY49" i="1"/>
  <c r="SX49" i="1"/>
  <c r="SW49" i="1"/>
  <c r="SU49" i="1"/>
  <c r="ST49" i="1"/>
  <c r="SS49" i="1"/>
  <c r="SR49" i="1"/>
  <c r="SQ49" i="1"/>
  <c r="SP49" i="1"/>
  <c r="SM49" i="1"/>
  <c r="SL49" i="1"/>
  <c r="SK49" i="1"/>
  <c r="SJ49" i="1"/>
  <c r="SG49" i="1"/>
  <c r="VN48" i="1"/>
  <c r="VM48" i="1"/>
  <c r="VL48" i="1"/>
  <c r="VK48" i="1"/>
  <c r="VJ48" i="1"/>
  <c r="VI48" i="1"/>
  <c r="VH48" i="1"/>
  <c r="VG48" i="1"/>
  <c r="VF48" i="1"/>
  <c r="VE48" i="1"/>
  <c r="VD48" i="1"/>
  <c r="VC48" i="1"/>
  <c r="VA48" i="1"/>
  <c r="UZ48" i="1"/>
  <c r="UY48" i="1"/>
  <c r="UX48" i="1"/>
  <c r="UW48" i="1"/>
  <c r="UV48" i="1"/>
  <c r="US48" i="1"/>
  <c r="UR48" i="1"/>
  <c r="UQ48" i="1"/>
  <c r="UP48" i="1"/>
  <c r="UM48" i="1"/>
  <c r="UK48" i="1"/>
  <c r="UJ48" i="1"/>
  <c r="UI48" i="1"/>
  <c r="UH48" i="1"/>
  <c r="UG48" i="1"/>
  <c r="UF48" i="1"/>
  <c r="UE48" i="1"/>
  <c r="UD48" i="1"/>
  <c r="UC48" i="1"/>
  <c r="UB48" i="1"/>
  <c r="UA48" i="1"/>
  <c r="TZ48" i="1"/>
  <c r="TX48" i="1"/>
  <c r="TW48" i="1"/>
  <c r="TV48" i="1"/>
  <c r="TU48" i="1"/>
  <c r="TT48" i="1"/>
  <c r="TS48" i="1"/>
  <c r="TP48" i="1"/>
  <c r="TO48" i="1"/>
  <c r="TN48" i="1"/>
  <c r="TM48" i="1"/>
  <c r="TJ48" i="1"/>
  <c r="TH48" i="1"/>
  <c r="TG48" i="1"/>
  <c r="TF48" i="1"/>
  <c r="TE48" i="1"/>
  <c r="TD48" i="1"/>
  <c r="TC48" i="1"/>
  <c r="TB48" i="1"/>
  <c r="TA48" i="1"/>
  <c r="SZ48" i="1"/>
  <c r="SY48" i="1"/>
  <c r="SX48" i="1"/>
  <c r="SW48" i="1"/>
  <c r="SU48" i="1"/>
  <c r="ST48" i="1"/>
  <c r="SS48" i="1"/>
  <c r="SR48" i="1"/>
  <c r="SQ48" i="1"/>
  <c r="SP48" i="1"/>
  <c r="SM48" i="1"/>
  <c r="SL48" i="1"/>
  <c r="SK48" i="1"/>
  <c r="SJ48" i="1"/>
  <c r="SG48" i="1"/>
  <c r="VN47" i="1"/>
  <c r="VM47" i="1"/>
  <c r="VL47" i="1"/>
  <c r="VK47" i="1"/>
  <c r="VJ47" i="1"/>
  <c r="VI47" i="1"/>
  <c r="VH47" i="1"/>
  <c r="VG47" i="1"/>
  <c r="VF47" i="1"/>
  <c r="VE47" i="1"/>
  <c r="VD47" i="1"/>
  <c r="VC47" i="1"/>
  <c r="VA47" i="1"/>
  <c r="UZ47" i="1"/>
  <c r="UY47" i="1"/>
  <c r="UX47" i="1"/>
  <c r="UW47" i="1"/>
  <c r="UV47" i="1"/>
  <c r="US47" i="1"/>
  <c r="UR47" i="1"/>
  <c r="UQ47" i="1"/>
  <c r="UP47" i="1"/>
  <c r="UM47" i="1"/>
  <c r="UK47" i="1"/>
  <c r="UJ47" i="1"/>
  <c r="UI47" i="1"/>
  <c r="UH47" i="1"/>
  <c r="UG47" i="1"/>
  <c r="UF47" i="1"/>
  <c r="UE47" i="1"/>
  <c r="UD47" i="1"/>
  <c r="UC47" i="1"/>
  <c r="UB47" i="1"/>
  <c r="UA47" i="1"/>
  <c r="TZ47" i="1"/>
  <c r="TX47" i="1"/>
  <c r="TW47" i="1"/>
  <c r="TV47" i="1"/>
  <c r="TU47" i="1"/>
  <c r="TT47" i="1"/>
  <c r="TS47" i="1"/>
  <c r="TP47" i="1"/>
  <c r="TO47" i="1"/>
  <c r="TN47" i="1"/>
  <c r="TM47" i="1"/>
  <c r="TJ47" i="1"/>
  <c r="TH47" i="1"/>
  <c r="TG47" i="1"/>
  <c r="TF47" i="1"/>
  <c r="TE47" i="1"/>
  <c r="TD47" i="1"/>
  <c r="TC47" i="1"/>
  <c r="TB47" i="1"/>
  <c r="TA47" i="1"/>
  <c r="SZ47" i="1"/>
  <c r="SY47" i="1"/>
  <c r="SX47" i="1"/>
  <c r="SW47" i="1"/>
  <c r="SU47" i="1"/>
  <c r="ST47" i="1"/>
  <c r="SS47" i="1"/>
  <c r="SR47" i="1"/>
  <c r="SQ47" i="1"/>
  <c r="SP47" i="1"/>
  <c r="SM47" i="1"/>
  <c r="SL47" i="1"/>
  <c r="SK47" i="1"/>
  <c r="SJ47" i="1"/>
  <c r="SG47" i="1"/>
  <c r="VN46" i="1"/>
  <c r="VM46" i="1"/>
  <c r="VL46" i="1"/>
  <c r="VK46" i="1"/>
  <c r="VJ46" i="1"/>
  <c r="VI46" i="1"/>
  <c r="VH46" i="1"/>
  <c r="VG46" i="1"/>
  <c r="VF46" i="1"/>
  <c r="VE46" i="1"/>
  <c r="VD46" i="1"/>
  <c r="VC46" i="1"/>
  <c r="VA46" i="1"/>
  <c r="UZ46" i="1"/>
  <c r="UY46" i="1"/>
  <c r="UX46" i="1"/>
  <c r="UW46" i="1"/>
  <c r="UV46" i="1"/>
  <c r="US46" i="1"/>
  <c r="UR46" i="1"/>
  <c r="UQ46" i="1"/>
  <c r="UP46" i="1"/>
  <c r="UM46" i="1"/>
  <c r="UK46" i="1"/>
  <c r="UJ46" i="1"/>
  <c r="UI46" i="1"/>
  <c r="UH46" i="1"/>
  <c r="UG46" i="1"/>
  <c r="UF46" i="1"/>
  <c r="UE46" i="1"/>
  <c r="UD46" i="1"/>
  <c r="UC46" i="1"/>
  <c r="UB46" i="1"/>
  <c r="UA46" i="1"/>
  <c r="TZ46" i="1"/>
  <c r="TX46" i="1"/>
  <c r="TW46" i="1"/>
  <c r="TV46" i="1"/>
  <c r="TU46" i="1"/>
  <c r="TT46" i="1"/>
  <c r="TS46" i="1"/>
  <c r="TP46" i="1"/>
  <c r="TO46" i="1"/>
  <c r="TN46" i="1"/>
  <c r="TM46" i="1"/>
  <c r="TJ46" i="1"/>
  <c r="TH46" i="1"/>
  <c r="TG46" i="1"/>
  <c r="TF46" i="1"/>
  <c r="TE46" i="1"/>
  <c r="TD46" i="1"/>
  <c r="TC46" i="1"/>
  <c r="TB46" i="1"/>
  <c r="TA46" i="1"/>
  <c r="SZ46" i="1"/>
  <c r="SY46" i="1"/>
  <c r="SX46" i="1"/>
  <c r="SW46" i="1"/>
  <c r="SU46" i="1"/>
  <c r="ST46" i="1"/>
  <c r="SS46" i="1"/>
  <c r="SR46" i="1"/>
  <c r="SQ46" i="1"/>
  <c r="SP46" i="1"/>
  <c r="SM46" i="1"/>
  <c r="SL46" i="1"/>
  <c r="SK46" i="1"/>
  <c r="SJ46" i="1"/>
  <c r="SG46" i="1"/>
  <c r="VN45" i="1"/>
  <c r="VM45" i="1"/>
  <c r="VL45" i="1"/>
  <c r="VK45" i="1"/>
  <c r="VJ45" i="1"/>
  <c r="VI45" i="1"/>
  <c r="VH45" i="1"/>
  <c r="VG45" i="1"/>
  <c r="VF45" i="1"/>
  <c r="VE45" i="1"/>
  <c r="VD45" i="1"/>
  <c r="VC45" i="1"/>
  <c r="VA45" i="1"/>
  <c r="UZ45" i="1"/>
  <c r="UY45" i="1"/>
  <c r="UX45" i="1"/>
  <c r="UW45" i="1"/>
  <c r="UV45" i="1"/>
  <c r="US45" i="1"/>
  <c r="UR45" i="1"/>
  <c r="UQ45" i="1"/>
  <c r="UP45" i="1"/>
  <c r="UM45" i="1"/>
  <c r="UK45" i="1"/>
  <c r="UJ45" i="1"/>
  <c r="UI45" i="1"/>
  <c r="UH45" i="1"/>
  <c r="UG45" i="1"/>
  <c r="UF45" i="1"/>
  <c r="UE45" i="1"/>
  <c r="UD45" i="1"/>
  <c r="UC45" i="1"/>
  <c r="UB45" i="1"/>
  <c r="UA45" i="1"/>
  <c r="TZ45" i="1"/>
  <c r="TX45" i="1"/>
  <c r="TW45" i="1"/>
  <c r="TV45" i="1"/>
  <c r="TU45" i="1"/>
  <c r="TT45" i="1"/>
  <c r="TS45" i="1"/>
  <c r="TP45" i="1"/>
  <c r="TO45" i="1"/>
  <c r="TN45" i="1"/>
  <c r="TM45" i="1"/>
  <c r="TJ45" i="1"/>
  <c r="TH45" i="1"/>
  <c r="TG45" i="1"/>
  <c r="TF45" i="1"/>
  <c r="TE45" i="1"/>
  <c r="TD45" i="1"/>
  <c r="TC45" i="1"/>
  <c r="TB45" i="1"/>
  <c r="TA45" i="1"/>
  <c r="SZ45" i="1"/>
  <c r="SY45" i="1"/>
  <c r="SX45" i="1"/>
  <c r="SW45" i="1"/>
  <c r="SU45" i="1"/>
  <c r="ST45" i="1"/>
  <c r="SS45" i="1"/>
  <c r="SR45" i="1"/>
  <c r="SQ45" i="1"/>
  <c r="SP45" i="1"/>
  <c r="SM45" i="1"/>
  <c r="SL45" i="1"/>
  <c r="SK45" i="1"/>
  <c r="SJ45" i="1"/>
  <c r="SG45" i="1"/>
  <c r="VN44" i="1"/>
  <c r="VM44" i="1"/>
  <c r="AC8" i="29" s="1"/>
  <c r="VL44" i="1"/>
  <c r="VK44" i="1"/>
  <c r="VJ44" i="1"/>
  <c r="VI44" i="1"/>
  <c r="VH44" i="1"/>
  <c r="VG44" i="1"/>
  <c r="VF44" i="1"/>
  <c r="VE44" i="1"/>
  <c r="VD44" i="1"/>
  <c r="VC44" i="1"/>
  <c r="VA44" i="1"/>
  <c r="UZ44" i="1"/>
  <c r="UY44" i="1"/>
  <c r="UX44" i="1"/>
  <c r="UW44" i="1"/>
  <c r="UV44" i="1"/>
  <c r="US44" i="1"/>
  <c r="UR44" i="1"/>
  <c r="UQ44" i="1"/>
  <c r="UP44" i="1"/>
  <c r="UM44" i="1"/>
  <c r="UK44" i="1"/>
  <c r="UJ44" i="1"/>
  <c r="UI44" i="1"/>
  <c r="UH44" i="1"/>
  <c r="UG44" i="1"/>
  <c r="UF44" i="1"/>
  <c r="UE44" i="1"/>
  <c r="UD44" i="1"/>
  <c r="UC44" i="1"/>
  <c r="UB44" i="1"/>
  <c r="UA44" i="1"/>
  <c r="TZ44" i="1"/>
  <c r="TX44" i="1"/>
  <c r="TW44" i="1"/>
  <c r="TV44" i="1"/>
  <c r="TU44" i="1"/>
  <c r="TT44" i="1"/>
  <c r="TS44" i="1"/>
  <c r="TP44" i="1"/>
  <c r="TO44" i="1"/>
  <c r="TN44" i="1"/>
  <c r="TM44" i="1"/>
  <c r="TJ44" i="1"/>
  <c r="TH44" i="1"/>
  <c r="TG44" i="1"/>
  <c r="TF44" i="1"/>
  <c r="TE44" i="1"/>
  <c r="TD44" i="1"/>
  <c r="TC44" i="1"/>
  <c r="TB44" i="1"/>
  <c r="TA44" i="1"/>
  <c r="SZ44" i="1"/>
  <c r="SY44" i="1"/>
  <c r="SX44" i="1"/>
  <c r="SW44" i="1"/>
  <c r="SU44" i="1"/>
  <c r="ST44" i="1"/>
  <c r="SS44" i="1"/>
  <c r="SR44" i="1"/>
  <c r="SQ44" i="1"/>
  <c r="SP44" i="1"/>
  <c r="SM44" i="1"/>
  <c r="SL44" i="1"/>
  <c r="SK44" i="1"/>
  <c r="SJ44" i="1"/>
  <c r="SG44" i="1"/>
  <c r="VN43" i="1"/>
  <c r="VM43" i="1"/>
  <c r="VL43" i="1"/>
  <c r="VK43" i="1"/>
  <c r="VJ43" i="1"/>
  <c r="VI43" i="1"/>
  <c r="VH43" i="1"/>
  <c r="VG43" i="1"/>
  <c r="VF43" i="1"/>
  <c r="VE43" i="1"/>
  <c r="VD43" i="1"/>
  <c r="VC43" i="1"/>
  <c r="VA43" i="1"/>
  <c r="UZ43" i="1"/>
  <c r="UY43" i="1"/>
  <c r="UX43" i="1"/>
  <c r="UW43" i="1"/>
  <c r="UV43" i="1"/>
  <c r="US43" i="1"/>
  <c r="UR43" i="1"/>
  <c r="UQ43" i="1"/>
  <c r="UP43" i="1"/>
  <c r="UM43" i="1"/>
  <c r="UK43" i="1"/>
  <c r="UJ43" i="1"/>
  <c r="UI43" i="1"/>
  <c r="UH43" i="1"/>
  <c r="UG43" i="1"/>
  <c r="UF43" i="1"/>
  <c r="UE43" i="1"/>
  <c r="UD43" i="1"/>
  <c r="UC43" i="1"/>
  <c r="UB43" i="1"/>
  <c r="UA43" i="1"/>
  <c r="TZ43" i="1"/>
  <c r="TX43" i="1"/>
  <c r="TW43" i="1"/>
  <c r="TV43" i="1"/>
  <c r="TU43" i="1"/>
  <c r="TT43" i="1"/>
  <c r="TS43" i="1"/>
  <c r="TP43" i="1"/>
  <c r="TO43" i="1"/>
  <c r="TN43" i="1"/>
  <c r="TM43" i="1"/>
  <c r="TJ43" i="1"/>
  <c r="TH43" i="1"/>
  <c r="TG43" i="1"/>
  <c r="TF43" i="1"/>
  <c r="TE43" i="1"/>
  <c r="TD43" i="1"/>
  <c r="TC43" i="1"/>
  <c r="TB43" i="1"/>
  <c r="TA43" i="1"/>
  <c r="SZ43" i="1"/>
  <c r="SY43" i="1"/>
  <c r="SX43" i="1"/>
  <c r="SW43" i="1"/>
  <c r="SU43" i="1"/>
  <c r="ST43" i="1"/>
  <c r="SS43" i="1"/>
  <c r="SR43" i="1"/>
  <c r="SQ43" i="1"/>
  <c r="SP43" i="1"/>
  <c r="SM43" i="1"/>
  <c r="SL43" i="1"/>
  <c r="SK43" i="1"/>
  <c r="SJ43" i="1"/>
  <c r="SG43" i="1"/>
  <c r="VN42" i="1"/>
  <c r="VM42" i="1"/>
  <c r="VL42" i="1"/>
  <c r="VK42" i="1"/>
  <c r="VJ42" i="1"/>
  <c r="VI42" i="1"/>
  <c r="VH42" i="1"/>
  <c r="VG42" i="1"/>
  <c r="VF42" i="1"/>
  <c r="VE42" i="1"/>
  <c r="VD42" i="1"/>
  <c r="VC42" i="1"/>
  <c r="VA42" i="1"/>
  <c r="UZ42" i="1"/>
  <c r="UY42" i="1"/>
  <c r="UX42" i="1"/>
  <c r="UW42" i="1"/>
  <c r="UV42" i="1"/>
  <c r="US42" i="1"/>
  <c r="UR42" i="1"/>
  <c r="UQ42" i="1"/>
  <c r="UP42" i="1"/>
  <c r="UM42" i="1"/>
  <c r="UK42" i="1"/>
  <c r="UJ42" i="1"/>
  <c r="UI42" i="1"/>
  <c r="UH42" i="1"/>
  <c r="UG42" i="1"/>
  <c r="UF42" i="1"/>
  <c r="UE42" i="1"/>
  <c r="UD42" i="1"/>
  <c r="UC42" i="1"/>
  <c r="UB42" i="1"/>
  <c r="UA42" i="1"/>
  <c r="TZ42" i="1"/>
  <c r="TX42" i="1"/>
  <c r="TW42" i="1"/>
  <c r="TV42" i="1"/>
  <c r="TU42" i="1"/>
  <c r="TT42" i="1"/>
  <c r="TS42" i="1"/>
  <c r="TP42" i="1"/>
  <c r="TO42" i="1"/>
  <c r="TN42" i="1"/>
  <c r="TM42" i="1"/>
  <c r="TJ42" i="1"/>
  <c r="TH42" i="1"/>
  <c r="TG42" i="1"/>
  <c r="TF42" i="1"/>
  <c r="TE42" i="1"/>
  <c r="TD42" i="1"/>
  <c r="TC42" i="1"/>
  <c r="TB42" i="1"/>
  <c r="TA42" i="1"/>
  <c r="SZ42" i="1"/>
  <c r="SY42" i="1"/>
  <c r="SX42" i="1"/>
  <c r="SW42" i="1"/>
  <c r="SU42" i="1"/>
  <c r="ST42" i="1"/>
  <c r="SS42" i="1"/>
  <c r="SR42" i="1"/>
  <c r="SQ42" i="1"/>
  <c r="SP42" i="1"/>
  <c r="SM42" i="1"/>
  <c r="SL42" i="1"/>
  <c r="SK42" i="1"/>
  <c r="SJ42" i="1"/>
  <c r="SG42" i="1"/>
  <c r="VN41" i="1"/>
  <c r="VM41" i="1"/>
  <c r="VL41" i="1"/>
  <c r="VK41" i="1"/>
  <c r="VJ41" i="1"/>
  <c r="VI41" i="1"/>
  <c r="VH41" i="1"/>
  <c r="VG41" i="1"/>
  <c r="VF41" i="1"/>
  <c r="VE41" i="1"/>
  <c r="VD41" i="1"/>
  <c r="VC41" i="1"/>
  <c r="VA41" i="1"/>
  <c r="UZ41" i="1"/>
  <c r="UY41" i="1"/>
  <c r="UX41" i="1"/>
  <c r="UW41" i="1"/>
  <c r="UV41" i="1"/>
  <c r="US41" i="1"/>
  <c r="UR41" i="1"/>
  <c r="UQ41" i="1"/>
  <c r="UP41" i="1"/>
  <c r="UM41" i="1"/>
  <c r="UK41" i="1"/>
  <c r="UJ41" i="1"/>
  <c r="UI41" i="1"/>
  <c r="UH41" i="1"/>
  <c r="UG41" i="1"/>
  <c r="UF41" i="1"/>
  <c r="UE41" i="1"/>
  <c r="UD41" i="1"/>
  <c r="UC41" i="1"/>
  <c r="UB41" i="1"/>
  <c r="UA41" i="1"/>
  <c r="TZ41" i="1"/>
  <c r="TX41" i="1"/>
  <c r="TW41" i="1"/>
  <c r="TV41" i="1"/>
  <c r="TU41" i="1"/>
  <c r="TT41" i="1"/>
  <c r="TS41" i="1"/>
  <c r="TP41" i="1"/>
  <c r="TO41" i="1"/>
  <c r="TN41" i="1"/>
  <c r="TM41" i="1"/>
  <c r="TJ41" i="1"/>
  <c r="TH41" i="1"/>
  <c r="TG41" i="1"/>
  <c r="TF41" i="1"/>
  <c r="TE41" i="1"/>
  <c r="TD41" i="1"/>
  <c r="TC41" i="1"/>
  <c r="TB41" i="1"/>
  <c r="TA41" i="1"/>
  <c r="SZ41" i="1"/>
  <c r="SY41" i="1"/>
  <c r="SX41" i="1"/>
  <c r="SW41" i="1"/>
  <c r="SU41" i="1"/>
  <c r="ST41" i="1"/>
  <c r="SS41" i="1"/>
  <c r="SR41" i="1"/>
  <c r="SQ41" i="1"/>
  <c r="SP41" i="1"/>
  <c r="SM41" i="1"/>
  <c r="SL41" i="1"/>
  <c r="SK41" i="1"/>
  <c r="SJ41" i="1"/>
  <c r="SG41" i="1"/>
  <c r="VN40" i="1"/>
  <c r="VM40" i="1"/>
  <c r="VL40" i="1"/>
  <c r="VK40" i="1"/>
  <c r="VJ40" i="1"/>
  <c r="VI40" i="1"/>
  <c r="VH40" i="1"/>
  <c r="VG40" i="1"/>
  <c r="VF40" i="1"/>
  <c r="VE40" i="1"/>
  <c r="VD40" i="1"/>
  <c r="VC40" i="1"/>
  <c r="VA40" i="1"/>
  <c r="UZ40" i="1"/>
  <c r="UY40" i="1"/>
  <c r="UX40" i="1"/>
  <c r="UW40" i="1"/>
  <c r="UV40" i="1"/>
  <c r="US40" i="1"/>
  <c r="UR40" i="1"/>
  <c r="UQ40" i="1"/>
  <c r="UP40" i="1"/>
  <c r="UM40" i="1"/>
  <c r="UK40" i="1"/>
  <c r="UJ40" i="1"/>
  <c r="UI40" i="1"/>
  <c r="UH40" i="1"/>
  <c r="UG40" i="1"/>
  <c r="UF40" i="1"/>
  <c r="UE40" i="1"/>
  <c r="UD40" i="1"/>
  <c r="UC40" i="1"/>
  <c r="UB40" i="1"/>
  <c r="UA40" i="1"/>
  <c r="TZ40" i="1"/>
  <c r="TX40" i="1"/>
  <c r="TW40" i="1"/>
  <c r="TV40" i="1"/>
  <c r="TU40" i="1"/>
  <c r="TT40" i="1"/>
  <c r="TS40" i="1"/>
  <c r="TP40" i="1"/>
  <c r="TO40" i="1"/>
  <c r="TN40" i="1"/>
  <c r="TM40" i="1"/>
  <c r="TJ40" i="1"/>
  <c r="TH40" i="1"/>
  <c r="TG40" i="1"/>
  <c r="TF40" i="1"/>
  <c r="TE40" i="1"/>
  <c r="TD40" i="1"/>
  <c r="TC40" i="1"/>
  <c r="TB40" i="1"/>
  <c r="TA40" i="1"/>
  <c r="SZ40" i="1"/>
  <c r="SY40" i="1"/>
  <c r="SX40" i="1"/>
  <c r="SW40" i="1"/>
  <c r="SU40" i="1"/>
  <c r="ST40" i="1"/>
  <c r="SS40" i="1"/>
  <c r="SR40" i="1"/>
  <c r="SQ40" i="1"/>
  <c r="SP40" i="1"/>
  <c r="SM40" i="1"/>
  <c r="SL40" i="1"/>
  <c r="SK40" i="1"/>
  <c r="SJ40" i="1"/>
  <c r="SG40" i="1"/>
  <c r="VN39" i="1"/>
  <c r="VM39" i="1"/>
  <c r="VL39" i="1"/>
  <c r="VK39" i="1"/>
  <c r="VJ39" i="1"/>
  <c r="VI39" i="1"/>
  <c r="VH39" i="1"/>
  <c r="VG39" i="1"/>
  <c r="VF39" i="1"/>
  <c r="VE39" i="1"/>
  <c r="VD39" i="1"/>
  <c r="VC39" i="1"/>
  <c r="VA39" i="1"/>
  <c r="UZ39" i="1"/>
  <c r="UY39" i="1"/>
  <c r="UX39" i="1"/>
  <c r="UW39" i="1"/>
  <c r="UV39" i="1"/>
  <c r="US39" i="1"/>
  <c r="UR39" i="1"/>
  <c r="UQ39" i="1"/>
  <c r="UP39" i="1"/>
  <c r="UM39" i="1"/>
  <c r="UK39" i="1"/>
  <c r="UJ39" i="1"/>
  <c r="UI39" i="1"/>
  <c r="UH39" i="1"/>
  <c r="UG39" i="1"/>
  <c r="UF39" i="1"/>
  <c r="UE39" i="1"/>
  <c r="UD39" i="1"/>
  <c r="UC39" i="1"/>
  <c r="UB39" i="1"/>
  <c r="UA39" i="1"/>
  <c r="TZ39" i="1"/>
  <c r="TX39" i="1"/>
  <c r="TW39" i="1"/>
  <c r="TV39" i="1"/>
  <c r="TU39" i="1"/>
  <c r="TT39" i="1"/>
  <c r="TS39" i="1"/>
  <c r="TP39" i="1"/>
  <c r="TO39" i="1"/>
  <c r="TN39" i="1"/>
  <c r="TM39" i="1"/>
  <c r="TJ39" i="1"/>
  <c r="TH39" i="1"/>
  <c r="TG39" i="1"/>
  <c r="TF39" i="1"/>
  <c r="TE39" i="1"/>
  <c r="TD39" i="1"/>
  <c r="TC39" i="1"/>
  <c r="TB39" i="1"/>
  <c r="TA39" i="1"/>
  <c r="SZ39" i="1"/>
  <c r="SY39" i="1"/>
  <c r="SX39" i="1"/>
  <c r="SW39" i="1"/>
  <c r="SU39" i="1"/>
  <c r="ST39" i="1"/>
  <c r="SS39" i="1"/>
  <c r="SR39" i="1"/>
  <c r="SQ39" i="1"/>
  <c r="SP39" i="1"/>
  <c r="SM39" i="1"/>
  <c r="SL39" i="1"/>
  <c r="SK39" i="1"/>
  <c r="SJ39" i="1"/>
  <c r="SG39" i="1"/>
  <c r="VN38" i="1"/>
  <c r="VM38" i="1"/>
  <c r="VL38" i="1"/>
  <c r="VK38" i="1"/>
  <c r="VJ38" i="1"/>
  <c r="VI38" i="1"/>
  <c r="VH38" i="1"/>
  <c r="VG38" i="1"/>
  <c r="VF38" i="1"/>
  <c r="VE38" i="1"/>
  <c r="VD38" i="1"/>
  <c r="VC38" i="1"/>
  <c r="VA38" i="1"/>
  <c r="UZ38" i="1"/>
  <c r="UY38" i="1"/>
  <c r="UX38" i="1"/>
  <c r="UW38" i="1"/>
  <c r="UV38" i="1"/>
  <c r="US38" i="1"/>
  <c r="UR38" i="1"/>
  <c r="UQ38" i="1"/>
  <c r="UP38" i="1"/>
  <c r="UM38" i="1"/>
  <c r="UK38" i="1"/>
  <c r="UJ38" i="1"/>
  <c r="UI38" i="1"/>
  <c r="UH38" i="1"/>
  <c r="UG38" i="1"/>
  <c r="UF38" i="1"/>
  <c r="UE38" i="1"/>
  <c r="UD38" i="1"/>
  <c r="UC38" i="1"/>
  <c r="UB38" i="1"/>
  <c r="UA38" i="1"/>
  <c r="TZ38" i="1"/>
  <c r="TX38" i="1"/>
  <c r="TW38" i="1"/>
  <c r="TV38" i="1"/>
  <c r="TU38" i="1"/>
  <c r="TT38" i="1"/>
  <c r="TS38" i="1"/>
  <c r="TP38" i="1"/>
  <c r="TO38" i="1"/>
  <c r="TN38" i="1"/>
  <c r="TM38" i="1"/>
  <c r="TJ38" i="1"/>
  <c r="TH38" i="1"/>
  <c r="TG38" i="1"/>
  <c r="TF38" i="1"/>
  <c r="TE38" i="1"/>
  <c r="TD38" i="1"/>
  <c r="TC38" i="1"/>
  <c r="TB38" i="1"/>
  <c r="TA38" i="1"/>
  <c r="SZ38" i="1"/>
  <c r="SY38" i="1"/>
  <c r="SX38" i="1"/>
  <c r="SW38" i="1"/>
  <c r="SU38" i="1"/>
  <c r="ST38" i="1"/>
  <c r="SS38" i="1"/>
  <c r="SR38" i="1"/>
  <c r="SQ38" i="1"/>
  <c r="SP38" i="1"/>
  <c r="SM38" i="1"/>
  <c r="SL38" i="1"/>
  <c r="SK38" i="1"/>
  <c r="SJ38" i="1"/>
  <c r="SG38" i="1"/>
  <c r="VN37" i="1"/>
  <c r="VM37" i="1"/>
  <c r="VL37" i="1"/>
  <c r="VK37" i="1"/>
  <c r="VJ37" i="1"/>
  <c r="VI37" i="1"/>
  <c r="VH37" i="1"/>
  <c r="VG37" i="1"/>
  <c r="VF37" i="1"/>
  <c r="VE37" i="1"/>
  <c r="VD37" i="1"/>
  <c r="VC37" i="1"/>
  <c r="VA37" i="1"/>
  <c r="UZ37" i="1"/>
  <c r="UY37" i="1"/>
  <c r="UX37" i="1"/>
  <c r="UW37" i="1"/>
  <c r="UV37" i="1"/>
  <c r="US37" i="1"/>
  <c r="UR37" i="1"/>
  <c r="UQ37" i="1"/>
  <c r="UP37" i="1"/>
  <c r="UM37" i="1"/>
  <c r="UK37" i="1"/>
  <c r="UJ37" i="1"/>
  <c r="UI37" i="1"/>
  <c r="UH37" i="1"/>
  <c r="UG37" i="1"/>
  <c r="UF37" i="1"/>
  <c r="UE37" i="1"/>
  <c r="UD37" i="1"/>
  <c r="UC37" i="1"/>
  <c r="UB37" i="1"/>
  <c r="UA37" i="1"/>
  <c r="TZ37" i="1"/>
  <c r="TX37" i="1"/>
  <c r="TW37" i="1"/>
  <c r="TV37" i="1"/>
  <c r="TU37" i="1"/>
  <c r="TT37" i="1"/>
  <c r="TS37" i="1"/>
  <c r="TP37" i="1"/>
  <c r="TO37" i="1"/>
  <c r="TN37" i="1"/>
  <c r="TM37" i="1"/>
  <c r="TJ37" i="1"/>
  <c r="TH37" i="1"/>
  <c r="TG37" i="1"/>
  <c r="TF37" i="1"/>
  <c r="TE37" i="1"/>
  <c r="TD37" i="1"/>
  <c r="TC37" i="1"/>
  <c r="TB37" i="1"/>
  <c r="TA37" i="1"/>
  <c r="SZ37" i="1"/>
  <c r="SY37" i="1"/>
  <c r="SX37" i="1"/>
  <c r="SW37" i="1"/>
  <c r="SU37" i="1"/>
  <c r="ST37" i="1"/>
  <c r="SS37" i="1"/>
  <c r="SR37" i="1"/>
  <c r="SQ37" i="1"/>
  <c r="SP37" i="1"/>
  <c r="SM37" i="1"/>
  <c r="SL37" i="1"/>
  <c r="SK37" i="1"/>
  <c r="SJ37" i="1"/>
  <c r="SG37" i="1"/>
  <c r="VN36" i="1"/>
  <c r="VM36" i="1"/>
  <c r="VL36" i="1"/>
  <c r="VK36" i="1"/>
  <c r="VJ36" i="1"/>
  <c r="VI36" i="1"/>
  <c r="VH36" i="1"/>
  <c r="VG36" i="1"/>
  <c r="VF36" i="1"/>
  <c r="VE36" i="1"/>
  <c r="VD36" i="1"/>
  <c r="VC36" i="1"/>
  <c r="VA36" i="1"/>
  <c r="UZ36" i="1"/>
  <c r="UY36" i="1"/>
  <c r="UX36" i="1"/>
  <c r="UW36" i="1"/>
  <c r="UV36" i="1"/>
  <c r="US36" i="1"/>
  <c r="UR36" i="1"/>
  <c r="UQ36" i="1"/>
  <c r="UP36" i="1"/>
  <c r="UM36" i="1"/>
  <c r="UK36" i="1"/>
  <c r="UJ36" i="1"/>
  <c r="UI36" i="1"/>
  <c r="UH36" i="1"/>
  <c r="UG36" i="1"/>
  <c r="UF36" i="1"/>
  <c r="UE36" i="1"/>
  <c r="UD36" i="1"/>
  <c r="UC36" i="1"/>
  <c r="UB36" i="1"/>
  <c r="UA36" i="1"/>
  <c r="TZ36" i="1"/>
  <c r="TX36" i="1"/>
  <c r="TW36" i="1"/>
  <c r="TV36" i="1"/>
  <c r="TU36" i="1"/>
  <c r="TT36" i="1"/>
  <c r="TS36" i="1"/>
  <c r="TP36" i="1"/>
  <c r="TO36" i="1"/>
  <c r="TN36" i="1"/>
  <c r="TM36" i="1"/>
  <c r="TJ36" i="1"/>
  <c r="TH36" i="1"/>
  <c r="TG36" i="1"/>
  <c r="TF36" i="1"/>
  <c r="TE36" i="1"/>
  <c r="TD36" i="1"/>
  <c r="TC36" i="1"/>
  <c r="TB36" i="1"/>
  <c r="TA36" i="1"/>
  <c r="SZ36" i="1"/>
  <c r="SY36" i="1"/>
  <c r="SX36" i="1"/>
  <c r="SW36" i="1"/>
  <c r="SU36" i="1"/>
  <c r="ST36" i="1"/>
  <c r="SS36" i="1"/>
  <c r="SR36" i="1"/>
  <c r="SQ36" i="1"/>
  <c r="SP36" i="1"/>
  <c r="SM36" i="1"/>
  <c r="SL36" i="1"/>
  <c r="SK36" i="1"/>
  <c r="SJ36" i="1"/>
  <c r="SG36" i="1"/>
  <c r="VN35" i="1"/>
  <c r="VM35" i="1"/>
  <c r="VL35" i="1"/>
  <c r="VK35" i="1"/>
  <c r="VJ35" i="1"/>
  <c r="VI35" i="1"/>
  <c r="VH35" i="1"/>
  <c r="VG35" i="1"/>
  <c r="VF35" i="1"/>
  <c r="VE35" i="1"/>
  <c r="VD35" i="1"/>
  <c r="VC35" i="1"/>
  <c r="VA35" i="1"/>
  <c r="UZ35" i="1"/>
  <c r="UY35" i="1"/>
  <c r="UX35" i="1"/>
  <c r="UW35" i="1"/>
  <c r="UV35" i="1"/>
  <c r="US35" i="1"/>
  <c r="UR35" i="1"/>
  <c r="UQ35" i="1"/>
  <c r="UP35" i="1"/>
  <c r="UM35" i="1"/>
  <c r="UK35" i="1"/>
  <c r="UJ35" i="1"/>
  <c r="UI35" i="1"/>
  <c r="UH35" i="1"/>
  <c r="UG35" i="1"/>
  <c r="UF35" i="1"/>
  <c r="UE35" i="1"/>
  <c r="UD35" i="1"/>
  <c r="UC35" i="1"/>
  <c r="UB35" i="1"/>
  <c r="UA35" i="1"/>
  <c r="TZ35" i="1"/>
  <c r="TX35" i="1"/>
  <c r="TW35" i="1"/>
  <c r="TV35" i="1"/>
  <c r="TU35" i="1"/>
  <c r="TT35" i="1"/>
  <c r="TS35" i="1"/>
  <c r="TP35" i="1"/>
  <c r="TO35" i="1"/>
  <c r="TN35" i="1"/>
  <c r="TM35" i="1"/>
  <c r="TJ35" i="1"/>
  <c r="TH35" i="1"/>
  <c r="TG35" i="1"/>
  <c r="TF35" i="1"/>
  <c r="TE35" i="1"/>
  <c r="TD35" i="1"/>
  <c r="TC35" i="1"/>
  <c r="TB35" i="1"/>
  <c r="TA35" i="1"/>
  <c r="SZ35" i="1"/>
  <c r="SY35" i="1"/>
  <c r="SX35" i="1"/>
  <c r="SW35" i="1"/>
  <c r="SU35" i="1"/>
  <c r="ST35" i="1"/>
  <c r="SS35" i="1"/>
  <c r="SR35" i="1"/>
  <c r="SQ35" i="1"/>
  <c r="SP35" i="1"/>
  <c r="SM35" i="1"/>
  <c r="SL35" i="1"/>
  <c r="SK35" i="1"/>
  <c r="SJ35" i="1"/>
  <c r="SG35" i="1"/>
  <c r="VN34" i="1"/>
  <c r="VM34" i="1"/>
  <c r="VL34" i="1"/>
  <c r="VK34" i="1"/>
  <c r="VJ34" i="1"/>
  <c r="VI34" i="1"/>
  <c r="VH34" i="1"/>
  <c r="VG34" i="1"/>
  <c r="VF34" i="1"/>
  <c r="VE34" i="1"/>
  <c r="VD34" i="1"/>
  <c r="VC34" i="1"/>
  <c r="VA34" i="1"/>
  <c r="UZ34" i="1"/>
  <c r="UY34" i="1"/>
  <c r="UX34" i="1"/>
  <c r="UW34" i="1"/>
  <c r="UV34" i="1"/>
  <c r="US34" i="1"/>
  <c r="UR34" i="1"/>
  <c r="UQ34" i="1"/>
  <c r="UP34" i="1"/>
  <c r="UM34" i="1"/>
  <c r="UK34" i="1"/>
  <c r="UJ34" i="1"/>
  <c r="UI34" i="1"/>
  <c r="UH34" i="1"/>
  <c r="UG34" i="1"/>
  <c r="UF34" i="1"/>
  <c r="UE34" i="1"/>
  <c r="UD34" i="1"/>
  <c r="UC34" i="1"/>
  <c r="UB34" i="1"/>
  <c r="UA34" i="1"/>
  <c r="TZ34" i="1"/>
  <c r="TX34" i="1"/>
  <c r="TW34" i="1"/>
  <c r="TV34" i="1"/>
  <c r="TU34" i="1"/>
  <c r="TT34" i="1"/>
  <c r="TS34" i="1"/>
  <c r="TP34" i="1"/>
  <c r="TO34" i="1"/>
  <c r="TN34" i="1"/>
  <c r="TM34" i="1"/>
  <c r="TJ34" i="1"/>
  <c r="TH34" i="1"/>
  <c r="TG34" i="1"/>
  <c r="TF34" i="1"/>
  <c r="TE34" i="1"/>
  <c r="TD34" i="1"/>
  <c r="TC34" i="1"/>
  <c r="TB34" i="1"/>
  <c r="TA34" i="1"/>
  <c r="SZ34" i="1"/>
  <c r="SY34" i="1"/>
  <c r="SX34" i="1"/>
  <c r="SW34" i="1"/>
  <c r="SU34" i="1"/>
  <c r="ST34" i="1"/>
  <c r="SS34" i="1"/>
  <c r="SR34" i="1"/>
  <c r="SQ34" i="1"/>
  <c r="SP34" i="1"/>
  <c r="SM34" i="1"/>
  <c r="SL34" i="1"/>
  <c r="SK34" i="1"/>
  <c r="SJ34" i="1"/>
  <c r="SG34" i="1"/>
  <c r="VN33" i="1"/>
  <c r="VM33" i="1"/>
  <c r="VL33" i="1"/>
  <c r="VK33" i="1"/>
  <c r="VJ33" i="1"/>
  <c r="VI33" i="1"/>
  <c r="VH33" i="1"/>
  <c r="VG33" i="1"/>
  <c r="VF33" i="1"/>
  <c r="VE33" i="1"/>
  <c r="VD33" i="1"/>
  <c r="VC33" i="1"/>
  <c r="VA33" i="1"/>
  <c r="UZ33" i="1"/>
  <c r="UY33" i="1"/>
  <c r="UX33" i="1"/>
  <c r="UW33" i="1"/>
  <c r="UV33" i="1"/>
  <c r="US33" i="1"/>
  <c r="UR33" i="1"/>
  <c r="UQ33" i="1"/>
  <c r="UP33" i="1"/>
  <c r="UM33" i="1"/>
  <c r="UK33" i="1"/>
  <c r="UJ33" i="1"/>
  <c r="UI33" i="1"/>
  <c r="UH33" i="1"/>
  <c r="UG33" i="1"/>
  <c r="UF33" i="1"/>
  <c r="UE33" i="1"/>
  <c r="UD33" i="1"/>
  <c r="UC33" i="1"/>
  <c r="UB33" i="1"/>
  <c r="UA33" i="1"/>
  <c r="TZ33" i="1"/>
  <c r="TX33" i="1"/>
  <c r="TW33" i="1"/>
  <c r="TV33" i="1"/>
  <c r="TU33" i="1"/>
  <c r="TT33" i="1"/>
  <c r="TS33" i="1"/>
  <c r="TP33" i="1"/>
  <c r="TO33" i="1"/>
  <c r="TN33" i="1"/>
  <c r="TM33" i="1"/>
  <c r="TJ33" i="1"/>
  <c r="TH33" i="1"/>
  <c r="TG33" i="1"/>
  <c r="TF33" i="1"/>
  <c r="TE33" i="1"/>
  <c r="TD33" i="1"/>
  <c r="TC33" i="1"/>
  <c r="TB33" i="1"/>
  <c r="TA33" i="1"/>
  <c r="SZ33" i="1"/>
  <c r="SY33" i="1"/>
  <c r="SX33" i="1"/>
  <c r="SW33" i="1"/>
  <c r="SU33" i="1"/>
  <c r="ST33" i="1"/>
  <c r="SS33" i="1"/>
  <c r="SR33" i="1"/>
  <c r="SQ33" i="1"/>
  <c r="SP33" i="1"/>
  <c r="SM33" i="1"/>
  <c r="SL33" i="1"/>
  <c r="SK33" i="1"/>
  <c r="SJ33" i="1"/>
  <c r="SG33" i="1"/>
  <c r="VN32" i="1"/>
  <c r="VM32" i="1"/>
  <c r="VL32" i="1"/>
  <c r="VK32" i="1"/>
  <c r="VJ32" i="1"/>
  <c r="VI32" i="1"/>
  <c r="VH32" i="1"/>
  <c r="VG32" i="1"/>
  <c r="VF32" i="1"/>
  <c r="VE32" i="1"/>
  <c r="VD32" i="1"/>
  <c r="VC32" i="1"/>
  <c r="VA32" i="1"/>
  <c r="UZ32" i="1"/>
  <c r="UY32" i="1"/>
  <c r="UX32" i="1"/>
  <c r="UW32" i="1"/>
  <c r="UV32" i="1"/>
  <c r="US32" i="1"/>
  <c r="UR32" i="1"/>
  <c r="UQ32" i="1"/>
  <c r="UP32" i="1"/>
  <c r="UM32" i="1"/>
  <c r="UK32" i="1"/>
  <c r="UJ32" i="1"/>
  <c r="UI32" i="1"/>
  <c r="UH32" i="1"/>
  <c r="UG32" i="1"/>
  <c r="UF32" i="1"/>
  <c r="UE32" i="1"/>
  <c r="UD32" i="1"/>
  <c r="UC32" i="1"/>
  <c r="UB32" i="1"/>
  <c r="UA32" i="1"/>
  <c r="TZ32" i="1"/>
  <c r="TX32" i="1"/>
  <c r="TW32" i="1"/>
  <c r="TV32" i="1"/>
  <c r="TU32" i="1"/>
  <c r="TT32" i="1"/>
  <c r="TS32" i="1"/>
  <c r="TP32" i="1"/>
  <c r="TO32" i="1"/>
  <c r="TN32" i="1"/>
  <c r="TM32" i="1"/>
  <c r="TJ32" i="1"/>
  <c r="TH32" i="1"/>
  <c r="TG32" i="1"/>
  <c r="TF32" i="1"/>
  <c r="TE32" i="1"/>
  <c r="TD32" i="1"/>
  <c r="TC32" i="1"/>
  <c r="TB32" i="1"/>
  <c r="TA32" i="1"/>
  <c r="SZ32" i="1"/>
  <c r="SY32" i="1"/>
  <c r="SX32" i="1"/>
  <c r="SW32" i="1"/>
  <c r="SU32" i="1"/>
  <c r="ST32" i="1"/>
  <c r="SS32" i="1"/>
  <c r="SR32" i="1"/>
  <c r="SQ32" i="1"/>
  <c r="SP32" i="1"/>
  <c r="SM32" i="1"/>
  <c r="SL32" i="1"/>
  <c r="SK32" i="1"/>
  <c r="SJ32" i="1"/>
  <c r="SG32" i="1"/>
  <c r="VN31" i="1"/>
  <c r="VM31" i="1"/>
  <c r="VL31" i="1"/>
  <c r="VK31" i="1"/>
  <c r="VJ31" i="1"/>
  <c r="VI31" i="1"/>
  <c r="VH31" i="1"/>
  <c r="VG31" i="1"/>
  <c r="VF31" i="1"/>
  <c r="VE31" i="1"/>
  <c r="VD31" i="1"/>
  <c r="VC31" i="1"/>
  <c r="VA31" i="1"/>
  <c r="UZ31" i="1"/>
  <c r="UY31" i="1"/>
  <c r="UX31" i="1"/>
  <c r="UW31" i="1"/>
  <c r="UV31" i="1"/>
  <c r="US31" i="1"/>
  <c r="UR31" i="1"/>
  <c r="UQ31" i="1"/>
  <c r="UP31" i="1"/>
  <c r="UM31" i="1"/>
  <c r="UK31" i="1"/>
  <c r="UJ31" i="1"/>
  <c r="UI31" i="1"/>
  <c r="UH31" i="1"/>
  <c r="UG31" i="1"/>
  <c r="UF31" i="1"/>
  <c r="UE31" i="1"/>
  <c r="UD31" i="1"/>
  <c r="UC31" i="1"/>
  <c r="UB31" i="1"/>
  <c r="UA31" i="1"/>
  <c r="TZ31" i="1"/>
  <c r="TX31" i="1"/>
  <c r="TW31" i="1"/>
  <c r="TV31" i="1"/>
  <c r="TU31" i="1"/>
  <c r="TT31" i="1"/>
  <c r="TS31" i="1"/>
  <c r="TP31" i="1"/>
  <c r="TO31" i="1"/>
  <c r="TN31" i="1"/>
  <c r="TM31" i="1"/>
  <c r="TJ31" i="1"/>
  <c r="TH31" i="1"/>
  <c r="TG31" i="1"/>
  <c r="TF31" i="1"/>
  <c r="TE31" i="1"/>
  <c r="TD31" i="1"/>
  <c r="TC31" i="1"/>
  <c r="TB31" i="1"/>
  <c r="TA31" i="1"/>
  <c r="SZ31" i="1"/>
  <c r="SY31" i="1"/>
  <c r="SX31" i="1"/>
  <c r="SW31" i="1"/>
  <c r="SU31" i="1"/>
  <c r="ST31" i="1"/>
  <c r="SS31" i="1"/>
  <c r="SR31" i="1"/>
  <c r="SQ31" i="1"/>
  <c r="SP31" i="1"/>
  <c r="SM31" i="1"/>
  <c r="SL31" i="1"/>
  <c r="SK31" i="1"/>
  <c r="SJ31" i="1"/>
  <c r="SG31" i="1"/>
  <c r="VN30" i="1"/>
  <c r="VM30" i="1"/>
  <c r="VL30" i="1"/>
  <c r="VK30" i="1"/>
  <c r="VJ30" i="1"/>
  <c r="VI30" i="1"/>
  <c r="VH30" i="1"/>
  <c r="VG30" i="1"/>
  <c r="VF30" i="1"/>
  <c r="VE30" i="1"/>
  <c r="VD30" i="1"/>
  <c r="VC30" i="1"/>
  <c r="VA30" i="1"/>
  <c r="UZ30" i="1"/>
  <c r="UY30" i="1"/>
  <c r="UX30" i="1"/>
  <c r="UW30" i="1"/>
  <c r="UV30" i="1"/>
  <c r="US30" i="1"/>
  <c r="UR30" i="1"/>
  <c r="UQ30" i="1"/>
  <c r="UP30" i="1"/>
  <c r="UM30" i="1"/>
  <c r="UK30" i="1"/>
  <c r="UJ30" i="1"/>
  <c r="UI30" i="1"/>
  <c r="UH30" i="1"/>
  <c r="UG30" i="1"/>
  <c r="UF30" i="1"/>
  <c r="UE30" i="1"/>
  <c r="UD30" i="1"/>
  <c r="UC30" i="1"/>
  <c r="UB30" i="1"/>
  <c r="UA30" i="1"/>
  <c r="TZ30" i="1"/>
  <c r="TX30" i="1"/>
  <c r="TW30" i="1"/>
  <c r="TV30" i="1"/>
  <c r="TU30" i="1"/>
  <c r="TT30" i="1"/>
  <c r="TS30" i="1"/>
  <c r="TP30" i="1"/>
  <c r="TO30" i="1"/>
  <c r="TN30" i="1"/>
  <c r="TM30" i="1"/>
  <c r="TJ30" i="1"/>
  <c r="TH30" i="1"/>
  <c r="TG30" i="1"/>
  <c r="TF30" i="1"/>
  <c r="TE30" i="1"/>
  <c r="TD30" i="1"/>
  <c r="TC30" i="1"/>
  <c r="TB30" i="1"/>
  <c r="TA30" i="1"/>
  <c r="SZ30" i="1"/>
  <c r="SY30" i="1"/>
  <c r="SX30" i="1"/>
  <c r="SW30" i="1"/>
  <c r="SU30" i="1"/>
  <c r="ST30" i="1"/>
  <c r="SS30" i="1"/>
  <c r="SR30" i="1"/>
  <c r="SQ30" i="1"/>
  <c r="SP30" i="1"/>
  <c r="SM30" i="1"/>
  <c r="SL30" i="1"/>
  <c r="SK30" i="1"/>
  <c r="SJ30" i="1"/>
  <c r="SG30" i="1"/>
  <c r="VN29" i="1"/>
  <c r="VM29" i="1"/>
  <c r="VL29" i="1"/>
  <c r="VK29" i="1"/>
  <c r="VJ29" i="1"/>
  <c r="VI29" i="1"/>
  <c r="VH29" i="1"/>
  <c r="VG29" i="1"/>
  <c r="VF29" i="1"/>
  <c r="VE29" i="1"/>
  <c r="VD29" i="1"/>
  <c r="VC29" i="1"/>
  <c r="VA29" i="1"/>
  <c r="UZ29" i="1"/>
  <c r="UY29" i="1"/>
  <c r="UX29" i="1"/>
  <c r="UW29" i="1"/>
  <c r="UV29" i="1"/>
  <c r="US29" i="1"/>
  <c r="UR29" i="1"/>
  <c r="UQ29" i="1"/>
  <c r="UP29" i="1"/>
  <c r="UM29" i="1"/>
  <c r="UK29" i="1"/>
  <c r="UJ29" i="1"/>
  <c r="UI29" i="1"/>
  <c r="UH29" i="1"/>
  <c r="UG29" i="1"/>
  <c r="UF29" i="1"/>
  <c r="UE29" i="1"/>
  <c r="UD29" i="1"/>
  <c r="UC29" i="1"/>
  <c r="UB29" i="1"/>
  <c r="UA29" i="1"/>
  <c r="TZ29" i="1"/>
  <c r="TX29" i="1"/>
  <c r="TW29" i="1"/>
  <c r="TV29" i="1"/>
  <c r="TU29" i="1"/>
  <c r="TT29" i="1"/>
  <c r="TS29" i="1"/>
  <c r="TP29" i="1"/>
  <c r="TO29" i="1"/>
  <c r="TN29" i="1"/>
  <c r="TM29" i="1"/>
  <c r="TJ29" i="1"/>
  <c r="TH29" i="1"/>
  <c r="TG29" i="1"/>
  <c r="TF29" i="1"/>
  <c r="TE29" i="1"/>
  <c r="TD29" i="1"/>
  <c r="TC29" i="1"/>
  <c r="TB29" i="1"/>
  <c r="TA29" i="1"/>
  <c r="SZ29" i="1"/>
  <c r="SY29" i="1"/>
  <c r="SX29" i="1"/>
  <c r="SW29" i="1"/>
  <c r="SU29" i="1"/>
  <c r="ST29" i="1"/>
  <c r="SS29" i="1"/>
  <c r="SR29" i="1"/>
  <c r="SQ29" i="1"/>
  <c r="SP29" i="1"/>
  <c r="SM29" i="1"/>
  <c r="SL29" i="1"/>
  <c r="SK29" i="1"/>
  <c r="SJ29" i="1"/>
  <c r="SG29" i="1"/>
  <c r="VN28" i="1"/>
  <c r="VM28" i="1"/>
  <c r="VL28" i="1"/>
  <c r="VK28" i="1"/>
  <c r="VJ28" i="1"/>
  <c r="VI28" i="1"/>
  <c r="VH28" i="1"/>
  <c r="VG28" i="1"/>
  <c r="VF28" i="1"/>
  <c r="VE28" i="1"/>
  <c r="VD28" i="1"/>
  <c r="VC28" i="1"/>
  <c r="VA28" i="1"/>
  <c r="UZ28" i="1"/>
  <c r="UY28" i="1"/>
  <c r="UX28" i="1"/>
  <c r="UW28" i="1"/>
  <c r="UV28" i="1"/>
  <c r="US28" i="1"/>
  <c r="UR28" i="1"/>
  <c r="UQ28" i="1"/>
  <c r="UP28" i="1"/>
  <c r="UM28" i="1"/>
  <c r="UK28" i="1"/>
  <c r="UJ28" i="1"/>
  <c r="UI28" i="1"/>
  <c r="UH28" i="1"/>
  <c r="UG28" i="1"/>
  <c r="UF28" i="1"/>
  <c r="UE28" i="1"/>
  <c r="UD28" i="1"/>
  <c r="UC28" i="1"/>
  <c r="UB28" i="1"/>
  <c r="UA28" i="1"/>
  <c r="TZ28" i="1"/>
  <c r="TX28" i="1"/>
  <c r="TW28" i="1"/>
  <c r="TV28" i="1"/>
  <c r="TU28" i="1"/>
  <c r="TT28" i="1"/>
  <c r="TS28" i="1"/>
  <c r="TP28" i="1"/>
  <c r="TO28" i="1"/>
  <c r="TN28" i="1"/>
  <c r="TM28" i="1"/>
  <c r="TJ28" i="1"/>
  <c r="TH28" i="1"/>
  <c r="TG28" i="1"/>
  <c r="TF28" i="1"/>
  <c r="TE28" i="1"/>
  <c r="TD28" i="1"/>
  <c r="TC28" i="1"/>
  <c r="TB28" i="1"/>
  <c r="TA28" i="1"/>
  <c r="SZ28" i="1"/>
  <c r="SY28" i="1"/>
  <c r="SX28" i="1"/>
  <c r="SW28" i="1"/>
  <c r="SU28" i="1"/>
  <c r="ST28" i="1"/>
  <c r="SS28" i="1"/>
  <c r="SR28" i="1"/>
  <c r="SQ28" i="1"/>
  <c r="SP28" i="1"/>
  <c r="SM28" i="1"/>
  <c r="SL28" i="1"/>
  <c r="SK28" i="1"/>
  <c r="SJ28" i="1"/>
  <c r="SG28" i="1"/>
  <c r="VN27" i="1"/>
  <c r="VM27" i="1"/>
  <c r="VL27" i="1"/>
  <c r="VK27" i="1"/>
  <c r="VJ27" i="1"/>
  <c r="VI27" i="1"/>
  <c r="VH27" i="1"/>
  <c r="VG27" i="1"/>
  <c r="VF27" i="1"/>
  <c r="VE27" i="1"/>
  <c r="VD27" i="1"/>
  <c r="VC27" i="1"/>
  <c r="VA27" i="1"/>
  <c r="UZ27" i="1"/>
  <c r="UY27" i="1"/>
  <c r="UX27" i="1"/>
  <c r="UW27" i="1"/>
  <c r="UV27" i="1"/>
  <c r="US27" i="1"/>
  <c r="UR27" i="1"/>
  <c r="UQ27" i="1"/>
  <c r="UP27" i="1"/>
  <c r="UM27" i="1"/>
  <c r="UK27" i="1"/>
  <c r="UJ27" i="1"/>
  <c r="UI27" i="1"/>
  <c r="UH27" i="1"/>
  <c r="UG27" i="1"/>
  <c r="UF27" i="1"/>
  <c r="UE27" i="1"/>
  <c r="UD27" i="1"/>
  <c r="UC27" i="1"/>
  <c r="UB27" i="1"/>
  <c r="UA27" i="1"/>
  <c r="TZ27" i="1"/>
  <c r="TX27" i="1"/>
  <c r="TW27" i="1"/>
  <c r="TV27" i="1"/>
  <c r="TU27" i="1"/>
  <c r="TT27" i="1"/>
  <c r="TS27" i="1"/>
  <c r="TP27" i="1"/>
  <c r="TO27" i="1"/>
  <c r="TN27" i="1"/>
  <c r="TM27" i="1"/>
  <c r="TJ27" i="1"/>
  <c r="TH27" i="1"/>
  <c r="TG27" i="1"/>
  <c r="TF27" i="1"/>
  <c r="TE27" i="1"/>
  <c r="TD27" i="1"/>
  <c r="TC27" i="1"/>
  <c r="TB27" i="1"/>
  <c r="TA27" i="1"/>
  <c r="SZ27" i="1"/>
  <c r="SY27" i="1"/>
  <c r="SX27" i="1"/>
  <c r="SW27" i="1"/>
  <c r="SU27" i="1"/>
  <c r="ST27" i="1"/>
  <c r="SS27" i="1"/>
  <c r="SR27" i="1"/>
  <c r="SQ27" i="1"/>
  <c r="SP27" i="1"/>
  <c r="SM27" i="1"/>
  <c r="SL27" i="1"/>
  <c r="SK27" i="1"/>
  <c r="SJ27" i="1"/>
  <c r="SG27" i="1"/>
  <c r="VN26" i="1"/>
  <c r="VM26" i="1"/>
  <c r="VL26" i="1"/>
  <c r="VK26" i="1"/>
  <c r="VJ26" i="1"/>
  <c r="VI26" i="1"/>
  <c r="VH26" i="1"/>
  <c r="VG26" i="1"/>
  <c r="VF26" i="1"/>
  <c r="VE26" i="1"/>
  <c r="VD26" i="1"/>
  <c r="VC26" i="1"/>
  <c r="VA26" i="1"/>
  <c r="UZ26" i="1"/>
  <c r="UY26" i="1"/>
  <c r="UX26" i="1"/>
  <c r="UW26" i="1"/>
  <c r="UV26" i="1"/>
  <c r="US26" i="1"/>
  <c r="UR26" i="1"/>
  <c r="UQ26" i="1"/>
  <c r="UP26" i="1"/>
  <c r="UM26" i="1"/>
  <c r="UK26" i="1"/>
  <c r="UJ26" i="1"/>
  <c r="UI26" i="1"/>
  <c r="UH26" i="1"/>
  <c r="UG26" i="1"/>
  <c r="UF26" i="1"/>
  <c r="UE26" i="1"/>
  <c r="UD26" i="1"/>
  <c r="UC26" i="1"/>
  <c r="UB26" i="1"/>
  <c r="UA26" i="1"/>
  <c r="TZ26" i="1"/>
  <c r="TX26" i="1"/>
  <c r="TW26" i="1"/>
  <c r="TV26" i="1"/>
  <c r="TU26" i="1"/>
  <c r="TT26" i="1"/>
  <c r="TS26" i="1"/>
  <c r="TP26" i="1"/>
  <c r="TO26" i="1"/>
  <c r="TN26" i="1"/>
  <c r="TM26" i="1"/>
  <c r="TJ26" i="1"/>
  <c r="TH26" i="1"/>
  <c r="TG26" i="1"/>
  <c r="TF26" i="1"/>
  <c r="TE26" i="1"/>
  <c r="TD26" i="1"/>
  <c r="TC26" i="1"/>
  <c r="TB26" i="1"/>
  <c r="TA26" i="1"/>
  <c r="SZ26" i="1"/>
  <c r="SY26" i="1"/>
  <c r="SX26" i="1"/>
  <c r="SW26" i="1"/>
  <c r="SU26" i="1"/>
  <c r="ST26" i="1"/>
  <c r="SS26" i="1"/>
  <c r="SR26" i="1"/>
  <c r="SQ26" i="1"/>
  <c r="SP26" i="1"/>
  <c r="SM26" i="1"/>
  <c r="SL26" i="1"/>
  <c r="SK26" i="1"/>
  <c r="SJ26" i="1"/>
  <c r="SG26" i="1"/>
  <c r="VN25" i="1"/>
  <c r="VM25" i="1"/>
  <c r="VL25" i="1"/>
  <c r="VK25" i="1"/>
  <c r="VJ25" i="1"/>
  <c r="VI25" i="1"/>
  <c r="VH25" i="1"/>
  <c r="VG25" i="1"/>
  <c r="VF25" i="1"/>
  <c r="VE25" i="1"/>
  <c r="VD25" i="1"/>
  <c r="VC25" i="1"/>
  <c r="VA25" i="1"/>
  <c r="UZ25" i="1"/>
  <c r="UY25" i="1"/>
  <c r="UX25" i="1"/>
  <c r="UW25" i="1"/>
  <c r="UV25" i="1"/>
  <c r="US25" i="1"/>
  <c r="UR25" i="1"/>
  <c r="UQ25" i="1"/>
  <c r="UP25" i="1"/>
  <c r="UM25" i="1"/>
  <c r="UK25" i="1"/>
  <c r="UJ25" i="1"/>
  <c r="UI25" i="1"/>
  <c r="UH25" i="1"/>
  <c r="UG25" i="1"/>
  <c r="UF25" i="1"/>
  <c r="UE25" i="1"/>
  <c r="UD25" i="1"/>
  <c r="UC25" i="1"/>
  <c r="UB25" i="1"/>
  <c r="UA25" i="1"/>
  <c r="TZ25" i="1"/>
  <c r="TX25" i="1"/>
  <c r="TW25" i="1"/>
  <c r="TV25" i="1"/>
  <c r="TU25" i="1"/>
  <c r="TT25" i="1"/>
  <c r="TS25" i="1"/>
  <c r="TP25" i="1"/>
  <c r="TO25" i="1"/>
  <c r="TN25" i="1"/>
  <c r="TM25" i="1"/>
  <c r="TJ25" i="1"/>
  <c r="TH25" i="1"/>
  <c r="TG25" i="1"/>
  <c r="TF25" i="1"/>
  <c r="TE25" i="1"/>
  <c r="TD25" i="1"/>
  <c r="TC25" i="1"/>
  <c r="TB25" i="1"/>
  <c r="TA25" i="1"/>
  <c r="SZ25" i="1"/>
  <c r="SY25" i="1"/>
  <c r="SX25" i="1"/>
  <c r="SW25" i="1"/>
  <c r="SU25" i="1"/>
  <c r="ST25" i="1"/>
  <c r="SS25" i="1"/>
  <c r="SR25" i="1"/>
  <c r="SQ25" i="1"/>
  <c r="SP25" i="1"/>
  <c r="SM25" i="1"/>
  <c r="SL25" i="1"/>
  <c r="SK25" i="1"/>
  <c r="SJ25" i="1"/>
  <c r="SG25" i="1"/>
  <c r="VN24" i="1"/>
  <c r="VM24" i="1"/>
  <c r="VL24" i="1"/>
  <c r="VK24" i="1"/>
  <c r="VJ24" i="1"/>
  <c r="VI24" i="1"/>
  <c r="VH24" i="1"/>
  <c r="VG24" i="1"/>
  <c r="VF24" i="1"/>
  <c r="VE24" i="1"/>
  <c r="VD24" i="1"/>
  <c r="VC24" i="1"/>
  <c r="VA24" i="1"/>
  <c r="UZ24" i="1"/>
  <c r="UY24" i="1"/>
  <c r="UX24" i="1"/>
  <c r="UW24" i="1"/>
  <c r="UV24" i="1"/>
  <c r="US24" i="1"/>
  <c r="UR24" i="1"/>
  <c r="UQ24" i="1"/>
  <c r="UP24" i="1"/>
  <c r="UM24" i="1"/>
  <c r="UK24" i="1"/>
  <c r="UJ24" i="1"/>
  <c r="UI24" i="1"/>
  <c r="UH24" i="1"/>
  <c r="UG24" i="1"/>
  <c r="UF24" i="1"/>
  <c r="UE24" i="1"/>
  <c r="UD24" i="1"/>
  <c r="UC24" i="1"/>
  <c r="UB24" i="1"/>
  <c r="UA24" i="1"/>
  <c r="TZ24" i="1"/>
  <c r="TX24" i="1"/>
  <c r="TW24" i="1"/>
  <c r="TV24" i="1"/>
  <c r="TU24" i="1"/>
  <c r="TT24" i="1"/>
  <c r="TS24" i="1"/>
  <c r="TP24" i="1"/>
  <c r="TO24" i="1"/>
  <c r="TN24" i="1"/>
  <c r="TM24" i="1"/>
  <c r="TJ24" i="1"/>
  <c r="TH24" i="1"/>
  <c r="TG24" i="1"/>
  <c r="TF24" i="1"/>
  <c r="TE24" i="1"/>
  <c r="TD24" i="1"/>
  <c r="TC24" i="1"/>
  <c r="TB24" i="1"/>
  <c r="TA24" i="1"/>
  <c r="SZ24" i="1"/>
  <c r="SY24" i="1"/>
  <c r="SX24" i="1"/>
  <c r="SW24" i="1"/>
  <c r="SU24" i="1"/>
  <c r="ST24" i="1"/>
  <c r="SS24" i="1"/>
  <c r="SR24" i="1"/>
  <c r="SQ24" i="1"/>
  <c r="SP24" i="1"/>
  <c r="SM24" i="1"/>
  <c r="SL24" i="1"/>
  <c r="SK24" i="1"/>
  <c r="SJ24" i="1"/>
  <c r="SG24" i="1"/>
  <c r="VN23" i="1"/>
  <c r="VM23" i="1"/>
  <c r="VL23" i="1"/>
  <c r="VK23" i="1"/>
  <c r="VJ23" i="1"/>
  <c r="VI23" i="1"/>
  <c r="VH23" i="1"/>
  <c r="VG23" i="1"/>
  <c r="VF23" i="1"/>
  <c r="VE23" i="1"/>
  <c r="VD23" i="1"/>
  <c r="VC23" i="1"/>
  <c r="VA23" i="1"/>
  <c r="UZ23" i="1"/>
  <c r="UY23" i="1"/>
  <c r="UX23" i="1"/>
  <c r="UW23" i="1"/>
  <c r="UV23" i="1"/>
  <c r="US23" i="1"/>
  <c r="UR23" i="1"/>
  <c r="UQ23" i="1"/>
  <c r="UP23" i="1"/>
  <c r="UM23" i="1"/>
  <c r="UK23" i="1"/>
  <c r="UJ23" i="1"/>
  <c r="UI23" i="1"/>
  <c r="UH23" i="1"/>
  <c r="UG23" i="1"/>
  <c r="UF23" i="1"/>
  <c r="UE23" i="1"/>
  <c r="UD23" i="1"/>
  <c r="UC23" i="1"/>
  <c r="UB23" i="1"/>
  <c r="UA23" i="1"/>
  <c r="TZ23" i="1"/>
  <c r="TX23" i="1"/>
  <c r="TW23" i="1"/>
  <c r="TV23" i="1"/>
  <c r="TU23" i="1"/>
  <c r="TT23" i="1"/>
  <c r="TS23" i="1"/>
  <c r="TP23" i="1"/>
  <c r="TO23" i="1"/>
  <c r="TN23" i="1"/>
  <c r="TM23" i="1"/>
  <c r="TJ23" i="1"/>
  <c r="TH23" i="1"/>
  <c r="TG23" i="1"/>
  <c r="TF23" i="1"/>
  <c r="TE23" i="1"/>
  <c r="TD23" i="1"/>
  <c r="TC23" i="1"/>
  <c r="TB23" i="1"/>
  <c r="TA23" i="1"/>
  <c r="SZ23" i="1"/>
  <c r="SY23" i="1"/>
  <c r="SX23" i="1"/>
  <c r="SW23" i="1"/>
  <c r="SU23" i="1"/>
  <c r="ST23" i="1"/>
  <c r="SS23" i="1"/>
  <c r="SR23" i="1"/>
  <c r="SQ23" i="1"/>
  <c r="SP23" i="1"/>
  <c r="SM23" i="1"/>
  <c r="SL23" i="1"/>
  <c r="SK23" i="1"/>
  <c r="SJ23" i="1"/>
  <c r="SG23" i="1"/>
  <c r="VN22" i="1"/>
  <c r="VM22" i="1"/>
  <c r="VL22" i="1"/>
  <c r="VK22" i="1"/>
  <c r="VJ22" i="1"/>
  <c r="VI22" i="1"/>
  <c r="VH22" i="1"/>
  <c r="VG22" i="1"/>
  <c r="VF22" i="1"/>
  <c r="VE22" i="1"/>
  <c r="VD22" i="1"/>
  <c r="VC22" i="1"/>
  <c r="VA22" i="1"/>
  <c r="UZ22" i="1"/>
  <c r="UY22" i="1"/>
  <c r="UX22" i="1"/>
  <c r="UW22" i="1"/>
  <c r="UV22" i="1"/>
  <c r="US22" i="1"/>
  <c r="UR22" i="1"/>
  <c r="UQ22" i="1"/>
  <c r="UP22" i="1"/>
  <c r="UM22" i="1"/>
  <c r="UK22" i="1"/>
  <c r="UJ22" i="1"/>
  <c r="UI22" i="1"/>
  <c r="UH22" i="1"/>
  <c r="UG22" i="1"/>
  <c r="UF22" i="1"/>
  <c r="UE22" i="1"/>
  <c r="UD22" i="1"/>
  <c r="UC22" i="1"/>
  <c r="UB22" i="1"/>
  <c r="UA22" i="1"/>
  <c r="TZ22" i="1"/>
  <c r="TX22" i="1"/>
  <c r="TW22" i="1"/>
  <c r="TV22" i="1"/>
  <c r="TU22" i="1"/>
  <c r="TT22" i="1"/>
  <c r="TS22" i="1"/>
  <c r="TP22" i="1"/>
  <c r="TO22" i="1"/>
  <c r="TN22" i="1"/>
  <c r="TM22" i="1"/>
  <c r="TJ22" i="1"/>
  <c r="TH22" i="1"/>
  <c r="TG22" i="1"/>
  <c r="TF22" i="1"/>
  <c r="TE22" i="1"/>
  <c r="TD22" i="1"/>
  <c r="TC22" i="1"/>
  <c r="TB22" i="1"/>
  <c r="TA22" i="1"/>
  <c r="SZ22" i="1"/>
  <c r="SY22" i="1"/>
  <c r="SX22" i="1"/>
  <c r="SW22" i="1"/>
  <c r="SU22" i="1"/>
  <c r="ST22" i="1"/>
  <c r="SS22" i="1"/>
  <c r="SR22" i="1"/>
  <c r="SQ22" i="1"/>
  <c r="SP22" i="1"/>
  <c r="SM22" i="1"/>
  <c r="SL22" i="1"/>
  <c r="SK22" i="1"/>
  <c r="SJ22" i="1"/>
  <c r="SG22" i="1"/>
  <c r="VN21" i="1"/>
  <c r="VM21" i="1"/>
  <c r="VL21" i="1"/>
  <c r="VK21" i="1"/>
  <c r="VJ21" i="1"/>
  <c r="VI21" i="1"/>
  <c r="VH21" i="1"/>
  <c r="VG21" i="1"/>
  <c r="VF21" i="1"/>
  <c r="VE21" i="1"/>
  <c r="VD21" i="1"/>
  <c r="VC21" i="1"/>
  <c r="VA21" i="1"/>
  <c r="UZ21" i="1"/>
  <c r="UY21" i="1"/>
  <c r="UX21" i="1"/>
  <c r="UW21" i="1"/>
  <c r="UV21" i="1"/>
  <c r="US21" i="1"/>
  <c r="UR21" i="1"/>
  <c r="UQ21" i="1"/>
  <c r="UP21" i="1"/>
  <c r="UM21" i="1"/>
  <c r="UK21" i="1"/>
  <c r="UJ21" i="1"/>
  <c r="UI21" i="1"/>
  <c r="UH21" i="1"/>
  <c r="UG21" i="1"/>
  <c r="UF21" i="1"/>
  <c r="UE21" i="1"/>
  <c r="UD21" i="1"/>
  <c r="UC21" i="1"/>
  <c r="UB21" i="1"/>
  <c r="UA21" i="1"/>
  <c r="TZ21" i="1"/>
  <c r="TX21" i="1"/>
  <c r="TW21" i="1"/>
  <c r="TV21" i="1"/>
  <c r="TU21" i="1"/>
  <c r="TT21" i="1"/>
  <c r="TS21" i="1"/>
  <c r="TP21" i="1"/>
  <c r="TO21" i="1"/>
  <c r="TN21" i="1"/>
  <c r="TM21" i="1"/>
  <c r="TJ21" i="1"/>
  <c r="TH21" i="1"/>
  <c r="TG21" i="1"/>
  <c r="TF21" i="1"/>
  <c r="TE21" i="1"/>
  <c r="TD21" i="1"/>
  <c r="TC21" i="1"/>
  <c r="TB21" i="1"/>
  <c r="TA21" i="1"/>
  <c r="SZ21" i="1"/>
  <c r="SY21" i="1"/>
  <c r="SX21" i="1"/>
  <c r="SW21" i="1"/>
  <c r="SU21" i="1"/>
  <c r="ST21" i="1"/>
  <c r="SS21" i="1"/>
  <c r="SR21" i="1"/>
  <c r="SQ21" i="1"/>
  <c r="SP21" i="1"/>
  <c r="SM21" i="1"/>
  <c r="SL21" i="1"/>
  <c r="SK21" i="1"/>
  <c r="SJ21" i="1"/>
  <c r="SG21" i="1"/>
  <c r="VN20" i="1"/>
  <c r="VM20" i="1"/>
  <c r="VL20" i="1"/>
  <c r="VK20" i="1"/>
  <c r="VJ20" i="1"/>
  <c r="VI20" i="1"/>
  <c r="VH20" i="1"/>
  <c r="VG20" i="1"/>
  <c r="VF20" i="1"/>
  <c r="VE20" i="1"/>
  <c r="VD20" i="1"/>
  <c r="VC20" i="1"/>
  <c r="VA20" i="1"/>
  <c r="UZ20" i="1"/>
  <c r="UY20" i="1"/>
  <c r="UX20" i="1"/>
  <c r="UW20" i="1"/>
  <c r="UV20" i="1"/>
  <c r="US20" i="1"/>
  <c r="UR20" i="1"/>
  <c r="UQ20" i="1"/>
  <c r="UP20" i="1"/>
  <c r="UM20" i="1"/>
  <c r="UK20" i="1"/>
  <c r="UJ20" i="1"/>
  <c r="UI20" i="1"/>
  <c r="UH20" i="1"/>
  <c r="UG20" i="1"/>
  <c r="UF20" i="1"/>
  <c r="UE20" i="1"/>
  <c r="UD20" i="1"/>
  <c r="UC20" i="1"/>
  <c r="UB20" i="1"/>
  <c r="UA20" i="1"/>
  <c r="TZ20" i="1"/>
  <c r="TX20" i="1"/>
  <c r="TW20" i="1"/>
  <c r="TV20" i="1"/>
  <c r="TU20" i="1"/>
  <c r="TT20" i="1"/>
  <c r="TS20" i="1"/>
  <c r="TP20" i="1"/>
  <c r="TO20" i="1"/>
  <c r="TN20" i="1"/>
  <c r="TM20" i="1"/>
  <c r="TJ20" i="1"/>
  <c r="TH20" i="1"/>
  <c r="TG20" i="1"/>
  <c r="TF20" i="1"/>
  <c r="TE20" i="1"/>
  <c r="TD20" i="1"/>
  <c r="TC20" i="1"/>
  <c r="TB20" i="1"/>
  <c r="TA20" i="1"/>
  <c r="SZ20" i="1"/>
  <c r="SY20" i="1"/>
  <c r="SX20" i="1"/>
  <c r="SW20" i="1"/>
  <c r="SU20" i="1"/>
  <c r="ST20" i="1"/>
  <c r="SS20" i="1"/>
  <c r="SR20" i="1"/>
  <c r="SQ20" i="1"/>
  <c r="SP20" i="1"/>
  <c r="SM20" i="1"/>
  <c r="SL20" i="1"/>
  <c r="SK20" i="1"/>
  <c r="SJ20" i="1"/>
  <c r="SG20" i="1"/>
  <c r="VN19" i="1"/>
  <c r="VM19" i="1"/>
  <c r="VL19" i="1"/>
  <c r="VK19" i="1"/>
  <c r="VJ19" i="1"/>
  <c r="VI19" i="1"/>
  <c r="VH19" i="1"/>
  <c r="VG19" i="1"/>
  <c r="VF19" i="1"/>
  <c r="VE19" i="1"/>
  <c r="VD19" i="1"/>
  <c r="VC19" i="1"/>
  <c r="VA19" i="1"/>
  <c r="UZ19" i="1"/>
  <c r="UY19" i="1"/>
  <c r="UX19" i="1"/>
  <c r="UW19" i="1"/>
  <c r="UV19" i="1"/>
  <c r="US19" i="1"/>
  <c r="UR19" i="1"/>
  <c r="UQ19" i="1"/>
  <c r="UP19" i="1"/>
  <c r="UM19" i="1"/>
  <c r="UK19" i="1"/>
  <c r="UJ19" i="1"/>
  <c r="UI19" i="1"/>
  <c r="UH19" i="1"/>
  <c r="UG19" i="1"/>
  <c r="UF19" i="1"/>
  <c r="UE19" i="1"/>
  <c r="UD19" i="1"/>
  <c r="UC19" i="1"/>
  <c r="UB19" i="1"/>
  <c r="UA19" i="1"/>
  <c r="TZ19" i="1"/>
  <c r="TX19" i="1"/>
  <c r="TW19" i="1"/>
  <c r="TV19" i="1"/>
  <c r="TU19" i="1"/>
  <c r="TT19" i="1"/>
  <c r="TS19" i="1"/>
  <c r="TP19" i="1"/>
  <c r="TO19" i="1"/>
  <c r="TN19" i="1"/>
  <c r="TM19" i="1"/>
  <c r="TJ19" i="1"/>
  <c r="TH19" i="1"/>
  <c r="TG19" i="1"/>
  <c r="TF19" i="1"/>
  <c r="TE19" i="1"/>
  <c r="TD19" i="1"/>
  <c r="TC19" i="1"/>
  <c r="TB19" i="1"/>
  <c r="TA19" i="1"/>
  <c r="SZ19" i="1"/>
  <c r="SY19" i="1"/>
  <c r="SX19" i="1"/>
  <c r="SW19" i="1"/>
  <c r="SU19" i="1"/>
  <c r="ST19" i="1"/>
  <c r="SS19" i="1"/>
  <c r="SR19" i="1"/>
  <c r="SQ19" i="1"/>
  <c r="SP19" i="1"/>
  <c r="SM19" i="1"/>
  <c r="SL19" i="1"/>
  <c r="SK19" i="1"/>
  <c r="SJ19" i="1"/>
  <c r="SG19" i="1"/>
  <c r="VN18" i="1"/>
  <c r="VM18" i="1"/>
  <c r="VL18" i="1"/>
  <c r="VK18" i="1"/>
  <c r="VJ18" i="1"/>
  <c r="VI18" i="1"/>
  <c r="VH18" i="1"/>
  <c r="VG18" i="1"/>
  <c r="VF18" i="1"/>
  <c r="VE18" i="1"/>
  <c r="VD18" i="1"/>
  <c r="VC18" i="1"/>
  <c r="VA18" i="1"/>
  <c r="UZ18" i="1"/>
  <c r="UY18" i="1"/>
  <c r="UX18" i="1"/>
  <c r="UW18" i="1"/>
  <c r="UV18" i="1"/>
  <c r="US18" i="1"/>
  <c r="UR18" i="1"/>
  <c r="UQ18" i="1"/>
  <c r="UP18" i="1"/>
  <c r="UM18" i="1"/>
  <c r="UK18" i="1"/>
  <c r="UJ18" i="1"/>
  <c r="UI18" i="1"/>
  <c r="UH18" i="1"/>
  <c r="UG18" i="1"/>
  <c r="UF18" i="1"/>
  <c r="UE18" i="1"/>
  <c r="UD18" i="1"/>
  <c r="UC18" i="1"/>
  <c r="UB18" i="1"/>
  <c r="UA18" i="1"/>
  <c r="TZ18" i="1"/>
  <c r="TX18" i="1"/>
  <c r="TW18" i="1"/>
  <c r="TV18" i="1"/>
  <c r="TU18" i="1"/>
  <c r="TT18" i="1"/>
  <c r="TS18" i="1"/>
  <c r="TP18" i="1"/>
  <c r="TO18" i="1"/>
  <c r="TN18" i="1"/>
  <c r="TM18" i="1"/>
  <c r="TJ18" i="1"/>
  <c r="TH18" i="1"/>
  <c r="TG18" i="1"/>
  <c r="TF18" i="1"/>
  <c r="TE18" i="1"/>
  <c r="TD18" i="1"/>
  <c r="TC18" i="1"/>
  <c r="TB18" i="1"/>
  <c r="TA18" i="1"/>
  <c r="SZ18" i="1"/>
  <c r="SY18" i="1"/>
  <c r="SX18" i="1"/>
  <c r="SW18" i="1"/>
  <c r="SU18" i="1"/>
  <c r="ST18" i="1"/>
  <c r="SS18" i="1"/>
  <c r="SR18" i="1"/>
  <c r="SQ18" i="1"/>
  <c r="SP18" i="1"/>
  <c r="SM18" i="1"/>
  <c r="SL18" i="1"/>
  <c r="SK18" i="1"/>
  <c r="SJ18" i="1"/>
  <c r="SG18" i="1"/>
  <c r="VN17" i="1"/>
  <c r="VM17" i="1"/>
  <c r="VL17" i="1"/>
  <c r="VK17" i="1"/>
  <c r="VJ17" i="1"/>
  <c r="VI17" i="1"/>
  <c r="VH17" i="1"/>
  <c r="VG17" i="1"/>
  <c r="VF17" i="1"/>
  <c r="VE17" i="1"/>
  <c r="VD17" i="1"/>
  <c r="VC17" i="1"/>
  <c r="VA17" i="1"/>
  <c r="UZ17" i="1"/>
  <c r="UY17" i="1"/>
  <c r="UX17" i="1"/>
  <c r="UW17" i="1"/>
  <c r="UV17" i="1"/>
  <c r="US17" i="1"/>
  <c r="UR17" i="1"/>
  <c r="UQ17" i="1"/>
  <c r="UP17" i="1"/>
  <c r="UM17" i="1"/>
  <c r="UK17" i="1"/>
  <c r="UJ17" i="1"/>
  <c r="UI17" i="1"/>
  <c r="UH17" i="1"/>
  <c r="UG17" i="1"/>
  <c r="UF17" i="1"/>
  <c r="UE17" i="1"/>
  <c r="UD17" i="1"/>
  <c r="UC17" i="1"/>
  <c r="UB17" i="1"/>
  <c r="UA17" i="1"/>
  <c r="TZ17" i="1"/>
  <c r="TX17" i="1"/>
  <c r="TW17" i="1"/>
  <c r="TV17" i="1"/>
  <c r="TU17" i="1"/>
  <c r="TT17" i="1"/>
  <c r="TS17" i="1"/>
  <c r="TP17" i="1"/>
  <c r="TO17" i="1"/>
  <c r="TN17" i="1"/>
  <c r="TM17" i="1"/>
  <c r="TJ17" i="1"/>
  <c r="TH17" i="1"/>
  <c r="TG17" i="1"/>
  <c r="TF17" i="1"/>
  <c r="TE17" i="1"/>
  <c r="TD17" i="1"/>
  <c r="TC17" i="1"/>
  <c r="TB17" i="1"/>
  <c r="TA17" i="1"/>
  <c r="SZ17" i="1"/>
  <c r="SY17" i="1"/>
  <c r="SX17" i="1"/>
  <c r="SW17" i="1"/>
  <c r="SU17" i="1"/>
  <c r="ST17" i="1"/>
  <c r="SS17" i="1"/>
  <c r="SR17" i="1"/>
  <c r="SQ17" i="1"/>
  <c r="SP17" i="1"/>
  <c r="SM17" i="1"/>
  <c r="SL17" i="1"/>
  <c r="SK17" i="1"/>
  <c r="SJ17" i="1"/>
  <c r="SG17" i="1"/>
  <c r="VN16" i="1"/>
  <c r="VM16" i="1"/>
  <c r="VL16" i="1"/>
  <c r="VK16" i="1"/>
  <c r="VJ16" i="1"/>
  <c r="VI16" i="1"/>
  <c r="VH16" i="1"/>
  <c r="VG16" i="1"/>
  <c r="VF16" i="1"/>
  <c r="VE16" i="1"/>
  <c r="VD16" i="1"/>
  <c r="VC16" i="1"/>
  <c r="VA16" i="1"/>
  <c r="UZ16" i="1"/>
  <c r="UY16" i="1"/>
  <c r="UX16" i="1"/>
  <c r="UW16" i="1"/>
  <c r="UV16" i="1"/>
  <c r="US16" i="1"/>
  <c r="UR16" i="1"/>
  <c r="UQ16" i="1"/>
  <c r="UP16" i="1"/>
  <c r="UM16" i="1"/>
  <c r="UK16" i="1"/>
  <c r="UJ16" i="1"/>
  <c r="UI16" i="1"/>
  <c r="UH16" i="1"/>
  <c r="UG16" i="1"/>
  <c r="UF16" i="1"/>
  <c r="UE16" i="1"/>
  <c r="UD16" i="1"/>
  <c r="UC16" i="1"/>
  <c r="UB16" i="1"/>
  <c r="UA16" i="1"/>
  <c r="TZ16" i="1"/>
  <c r="TX16" i="1"/>
  <c r="TW16" i="1"/>
  <c r="TV16" i="1"/>
  <c r="TU16" i="1"/>
  <c r="TT16" i="1"/>
  <c r="TS16" i="1"/>
  <c r="TP16" i="1"/>
  <c r="TO16" i="1"/>
  <c r="TN16" i="1"/>
  <c r="TM16" i="1"/>
  <c r="TJ16" i="1"/>
  <c r="TH16" i="1"/>
  <c r="TG16" i="1"/>
  <c r="TF16" i="1"/>
  <c r="TE16" i="1"/>
  <c r="TD16" i="1"/>
  <c r="TC16" i="1"/>
  <c r="TB16" i="1"/>
  <c r="TA16" i="1"/>
  <c r="SZ16" i="1"/>
  <c r="SY16" i="1"/>
  <c r="SX16" i="1"/>
  <c r="SW16" i="1"/>
  <c r="SU16" i="1"/>
  <c r="ST16" i="1"/>
  <c r="SS16" i="1"/>
  <c r="SR16" i="1"/>
  <c r="SQ16" i="1"/>
  <c r="SP16" i="1"/>
  <c r="SM16" i="1"/>
  <c r="SL16" i="1"/>
  <c r="SK16" i="1"/>
  <c r="SJ16" i="1"/>
  <c r="SG16" i="1"/>
  <c r="VN15" i="1"/>
  <c r="VM15" i="1"/>
  <c r="VL15" i="1"/>
  <c r="VK15" i="1"/>
  <c r="VJ15" i="1"/>
  <c r="VI15" i="1"/>
  <c r="VH15" i="1"/>
  <c r="VG15" i="1"/>
  <c r="VF15" i="1"/>
  <c r="VE15" i="1"/>
  <c r="VD15" i="1"/>
  <c r="VC15" i="1"/>
  <c r="VA15" i="1"/>
  <c r="UZ15" i="1"/>
  <c r="UY15" i="1"/>
  <c r="UX15" i="1"/>
  <c r="UW15" i="1"/>
  <c r="UV15" i="1"/>
  <c r="US15" i="1"/>
  <c r="UR15" i="1"/>
  <c r="UQ15" i="1"/>
  <c r="UP15" i="1"/>
  <c r="UM15" i="1"/>
  <c r="UK15" i="1"/>
  <c r="UJ15" i="1"/>
  <c r="UI15" i="1"/>
  <c r="UH15" i="1"/>
  <c r="UG15" i="1"/>
  <c r="UF15" i="1"/>
  <c r="UE15" i="1"/>
  <c r="UD15" i="1"/>
  <c r="UC15" i="1"/>
  <c r="UB15" i="1"/>
  <c r="UA15" i="1"/>
  <c r="TZ15" i="1"/>
  <c r="TX15" i="1"/>
  <c r="TW15" i="1"/>
  <c r="TV15" i="1"/>
  <c r="TU15" i="1"/>
  <c r="TT15" i="1"/>
  <c r="TS15" i="1"/>
  <c r="TP15" i="1"/>
  <c r="TO15" i="1"/>
  <c r="TN15" i="1"/>
  <c r="TM15" i="1"/>
  <c r="TJ15" i="1"/>
  <c r="TH15" i="1"/>
  <c r="TG15" i="1"/>
  <c r="TF15" i="1"/>
  <c r="TE15" i="1"/>
  <c r="TD15" i="1"/>
  <c r="TC15" i="1"/>
  <c r="TB15" i="1"/>
  <c r="TA15" i="1"/>
  <c r="SZ15" i="1"/>
  <c r="SY15" i="1"/>
  <c r="SX15" i="1"/>
  <c r="SW15" i="1"/>
  <c r="SU15" i="1"/>
  <c r="ST15" i="1"/>
  <c r="SS15" i="1"/>
  <c r="SR15" i="1"/>
  <c r="SQ15" i="1"/>
  <c r="SP15" i="1"/>
  <c r="SM15" i="1"/>
  <c r="SL15" i="1"/>
  <c r="SK15" i="1"/>
  <c r="SJ15" i="1"/>
  <c r="SG15" i="1"/>
  <c r="VN14" i="1"/>
  <c r="VM14" i="1"/>
  <c r="VL14" i="1"/>
  <c r="VK14" i="1"/>
  <c r="VJ14" i="1"/>
  <c r="VI14" i="1"/>
  <c r="VH14" i="1"/>
  <c r="VG14" i="1"/>
  <c r="VF14" i="1"/>
  <c r="VE14" i="1"/>
  <c r="VD14" i="1"/>
  <c r="VC14" i="1"/>
  <c r="VA14" i="1"/>
  <c r="UZ14" i="1"/>
  <c r="UY14" i="1"/>
  <c r="UX14" i="1"/>
  <c r="UW14" i="1"/>
  <c r="UV14" i="1"/>
  <c r="US14" i="1"/>
  <c r="UR14" i="1"/>
  <c r="UQ14" i="1"/>
  <c r="UP14" i="1"/>
  <c r="UM14" i="1"/>
  <c r="UK14" i="1"/>
  <c r="UJ14" i="1"/>
  <c r="UI14" i="1"/>
  <c r="UH14" i="1"/>
  <c r="UG14" i="1"/>
  <c r="UF14" i="1"/>
  <c r="UE14" i="1"/>
  <c r="UD14" i="1"/>
  <c r="UC14" i="1"/>
  <c r="UB14" i="1"/>
  <c r="UA14" i="1"/>
  <c r="TZ14" i="1"/>
  <c r="TX14" i="1"/>
  <c r="TW14" i="1"/>
  <c r="TV14" i="1"/>
  <c r="TU14" i="1"/>
  <c r="TT14" i="1"/>
  <c r="TS14" i="1"/>
  <c r="TP14" i="1"/>
  <c r="TO14" i="1"/>
  <c r="TN14" i="1"/>
  <c r="TM14" i="1"/>
  <c r="TJ14" i="1"/>
  <c r="TH14" i="1"/>
  <c r="TG14" i="1"/>
  <c r="TF14" i="1"/>
  <c r="TE14" i="1"/>
  <c r="TD14" i="1"/>
  <c r="TC14" i="1"/>
  <c r="TB14" i="1"/>
  <c r="TA14" i="1"/>
  <c r="SZ14" i="1"/>
  <c r="SY14" i="1"/>
  <c r="SX14" i="1"/>
  <c r="SW14" i="1"/>
  <c r="SU14" i="1"/>
  <c r="ST14" i="1"/>
  <c r="SS14" i="1"/>
  <c r="SR14" i="1"/>
  <c r="SQ14" i="1"/>
  <c r="SP14" i="1"/>
  <c r="SM14" i="1"/>
  <c r="SL14" i="1"/>
  <c r="SK14" i="1"/>
  <c r="SJ14" i="1"/>
  <c r="SG14" i="1"/>
  <c r="VN13" i="1"/>
  <c r="VM13" i="1"/>
  <c r="VL13" i="1"/>
  <c r="VK13" i="1"/>
  <c r="VJ13" i="1"/>
  <c r="VI13" i="1"/>
  <c r="VH13" i="1"/>
  <c r="VG13" i="1"/>
  <c r="VF13" i="1"/>
  <c r="VE13" i="1"/>
  <c r="VD13" i="1"/>
  <c r="VC13" i="1"/>
  <c r="VA13" i="1"/>
  <c r="UZ13" i="1"/>
  <c r="UY13" i="1"/>
  <c r="UX13" i="1"/>
  <c r="UW13" i="1"/>
  <c r="UV13" i="1"/>
  <c r="US13" i="1"/>
  <c r="UR13" i="1"/>
  <c r="UQ13" i="1"/>
  <c r="UP13" i="1"/>
  <c r="UM13" i="1"/>
  <c r="UK13" i="1"/>
  <c r="UJ13" i="1"/>
  <c r="UI13" i="1"/>
  <c r="UH13" i="1"/>
  <c r="UG13" i="1"/>
  <c r="UF13" i="1"/>
  <c r="UE13" i="1"/>
  <c r="UD13" i="1"/>
  <c r="UC13" i="1"/>
  <c r="UB13" i="1"/>
  <c r="UA13" i="1"/>
  <c r="TZ13" i="1"/>
  <c r="TX13" i="1"/>
  <c r="TW13" i="1"/>
  <c r="TV13" i="1"/>
  <c r="TU13" i="1"/>
  <c r="TT13" i="1"/>
  <c r="TS13" i="1"/>
  <c r="TP13" i="1"/>
  <c r="TO13" i="1"/>
  <c r="TN13" i="1"/>
  <c r="TM13" i="1"/>
  <c r="TJ13" i="1"/>
  <c r="TH13" i="1"/>
  <c r="TG13" i="1"/>
  <c r="TF13" i="1"/>
  <c r="TE13" i="1"/>
  <c r="TD13" i="1"/>
  <c r="TC13" i="1"/>
  <c r="TB13" i="1"/>
  <c r="TA13" i="1"/>
  <c r="SZ13" i="1"/>
  <c r="SY13" i="1"/>
  <c r="SX13" i="1"/>
  <c r="SW13" i="1"/>
  <c r="SU13" i="1"/>
  <c r="ST13" i="1"/>
  <c r="SS13" i="1"/>
  <c r="SR13" i="1"/>
  <c r="SQ13" i="1"/>
  <c r="SP13" i="1"/>
  <c r="SM13" i="1"/>
  <c r="SL13" i="1"/>
  <c r="SK13" i="1"/>
  <c r="SJ13" i="1"/>
  <c r="SG13" i="1"/>
  <c r="VN12" i="1"/>
  <c r="VM12" i="1"/>
  <c r="VL12" i="1"/>
  <c r="VK12" i="1"/>
  <c r="VJ12" i="1"/>
  <c r="VI12" i="1"/>
  <c r="VH12" i="1"/>
  <c r="VG12" i="1"/>
  <c r="VF12" i="1"/>
  <c r="VE12" i="1"/>
  <c r="VD12" i="1"/>
  <c r="VC12" i="1"/>
  <c r="VA12" i="1"/>
  <c r="UZ12" i="1"/>
  <c r="UY12" i="1"/>
  <c r="UX12" i="1"/>
  <c r="UW12" i="1"/>
  <c r="UV12" i="1"/>
  <c r="US12" i="1"/>
  <c r="UR12" i="1"/>
  <c r="UQ12" i="1"/>
  <c r="UP12" i="1"/>
  <c r="UM12" i="1"/>
  <c r="UK12" i="1"/>
  <c r="UJ12" i="1"/>
  <c r="UI12" i="1"/>
  <c r="UH12" i="1"/>
  <c r="UG12" i="1"/>
  <c r="UF12" i="1"/>
  <c r="UE12" i="1"/>
  <c r="UD12" i="1"/>
  <c r="UC12" i="1"/>
  <c r="UB12" i="1"/>
  <c r="UA12" i="1"/>
  <c r="TZ12" i="1"/>
  <c r="TX12" i="1"/>
  <c r="TW12" i="1"/>
  <c r="TV12" i="1"/>
  <c r="TU12" i="1"/>
  <c r="TT12" i="1"/>
  <c r="TS12" i="1"/>
  <c r="TP12" i="1"/>
  <c r="TO12" i="1"/>
  <c r="TN12" i="1"/>
  <c r="TM12" i="1"/>
  <c r="TJ12" i="1"/>
  <c r="TH12" i="1"/>
  <c r="TG12" i="1"/>
  <c r="TF12" i="1"/>
  <c r="TE12" i="1"/>
  <c r="TD12" i="1"/>
  <c r="TC12" i="1"/>
  <c r="TB12" i="1"/>
  <c r="TA12" i="1"/>
  <c r="SZ12" i="1"/>
  <c r="SY12" i="1"/>
  <c r="SX12" i="1"/>
  <c r="SW12" i="1"/>
  <c r="SU12" i="1"/>
  <c r="ST12" i="1"/>
  <c r="SS12" i="1"/>
  <c r="SR12" i="1"/>
  <c r="SQ12" i="1"/>
  <c r="SP12" i="1"/>
  <c r="SM12" i="1"/>
  <c r="SL12" i="1"/>
  <c r="SK12" i="1"/>
  <c r="SJ12" i="1"/>
  <c r="SG12" i="1"/>
  <c r="VN11" i="1"/>
  <c r="VM11" i="1"/>
  <c r="VL11" i="1"/>
  <c r="VK11" i="1"/>
  <c r="VJ11" i="1"/>
  <c r="VI11" i="1"/>
  <c r="VH11" i="1"/>
  <c r="VG11" i="1"/>
  <c r="VF11" i="1"/>
  <c r="VE11" i="1"/>
  <c r="VD11" i="1"/>
  <c r="VC11" i="1"/>
  <c r="VA11" i="1"/>
  <c r="UZ11" i="1"/>
  <c r="UY11" i="1"/>
  <c r="UX11" i="1"/>
  <c r="UW11" i="1"/>
  <c r="UV11" i="1"/>
  <c r="US11" i="1"/>
  <c r="UR11" i="1"/>
  <c r="UQ11" i="1"/>
  <c r="UP11" i="1"/>
  <c r="UM11" i="1"/>
  <c r="UK11" i="1"/>
  <c r="UJ11" i="1"/>
  <c r="UI11" i="1"/>
  <c r="UH11" i="1"/>
  <c r="UG11" i="1"/>
  <c r="UF11" i="1"/>
  <c r="UE11" i="1"/>
  <c r="UD11" i="1"/>
  <c r="UC11" i="1"/>
  <c r="UB11" i="1"/>
  <c r="UA11" i="1"/>
  <c r="TZ11" i="1"/>
  <c r="TX11" i="1"/>
  <c r="TW11" i="1"/>
  <c r="TV11" i="1"/>
  <c r="TU11" i="1"/>
  <c r="TT11" i="1"/>
  <c r="TS11" i="1"/>
  <c r="TP11" i="1"/>
  <c r="TO11" i="1"/>
  <c r="TN11" i="1"/>
  <c r="TM11" i="1"/>
  <c r="TJ11" i="1"/>
  <c r="TH11" i="1"/>
  <c r="TG11" i="1"/>
  <c r="TF11" i="1"/>
  <c r="TE11" i="1"/>
  <c r="TD11" i="1"/>
  <c r="TC11" i="1"/>
  <c r="TB11" i="1"/>
  <c r="TA11" i="1"/>
  <c r="SZ11" i="1"/>
  <c r="SY11" i="1"/>
  <c r="SX11" i="1"/>
  <c r="SW11" i="1"/>
  <c r="SU11" i="1"/>
  <c r="ST11" i="1"/>
  <c r="SS11" i="1"/>
  <c r="SR11" i="1"/>
  <c r="SQ11" i="1"/>
  <c r="SP11" i="1"/>
  <c r="SM11" i="1"/>
  <c r="SL11" i="1"/>
  <c r="SK11" i="1"/>
  <c r="SJ11" i="1"/>
  <c r="SG11" i="1"/>
  <c r="VN10" i="1"/>
  <c r="VM10" i="1"/>
  <c r="VL10" i="1"/>
  <c r="VK10" i="1"/>
  <c r="VJ10" i="1"/>
  <c r="VI10" i="1"/>
  <c r="VH10" i="1"/>
  <c r="VG10" i="1"/>
  <c r="VF10" i="1"/>
  <c r="VE10" i="1"/>
  <c r="VD10" i="1"/>
  <c r="VC10" i="1"/>
  <c r="VA10" i="1"/>
  <c r="UZ10" i="1"/>
  <c r="UY10" i="1"/>
  <c r="UX10" i="1"/>
  <c r="UW10" i="1"/>
  <c r="UV10" i="1"/>
  <c r="US10" i="1"/>
  <c r="UR10" i="1"/>
  <c r="UQ10" i="1"/>
  <c r="UP10" i="1"/>
  <c r="UM10" i="1"/>
  <c r="UK10" i="1"/>
  <c r="UJ10" i="1"/>
  <c r="UI10" i="1"/>
  <c r="UH10" i="1"/>
  <c r="UG10" i="1"/>
  <c r="UF10" i="1"/>
  <c r="UE10" i="1"/>
  <c r="UD10" i="1"/>
  <c r="UC10" i="1"/>
  <c r="UB10" i="1"/>
  <c r="UA10" i="1"/>
  <c r="TZ10" i="1"/>
  <c r="TX10" i="1"/>
  <c r="TW10" i="1"/>
  <c r="TV10" i="1"/>
  <c r="TU10" i="1"/>
  <c r="TT10" i="1"/>
  <c r="TS10" i="1"/>
  <c r="TP10" i="1"/>
  <c r="TO10" i="1"/>
  <c r="TN10" i="1"/>
  <c r="TM10" i="1"/>
  <c r="TJ10" i="1"/>
  <c r="TH10" i="1"/>
  <c r="TG10" i="1"/>
  <c r="TF10" i="1"/>
  <c r="TE10" i="1"/>
  <c r="TD10" i="1"/>
  <c r="TC10" i="1"/>
  <c r="TB10" i="1"/>
  <c r="TA10" i="1"/>
  <c r="SZ10" i="1"/>
  <c r="SY10" i="1"/>
  <c r="SX10" i="1"/>
  <c r="SW10" i="1"/>
  <c r="SU10" i="1"/>
  <c r="ST10" i="1"/>
  <c r="SS10" i="1"/>
  <c r="SR10" i="1"/>
  <c r="SQ10" i="1"/>
  <c r="SP10" i="1"/>
  <c r="SM10" i="1"/>
  <c r="SL10" i="1"/>
  <c r="SK10" i="1"/>
  <c r="SJ10" i="1"/>
  <c r="SG10" i="1"/>
  <c r="VN9" i="1"/>
  <c r="VM9" i="1"/>
  <c r="VL9" i="1"/>
  <c r="VK9" i="1"/>
  <c r="VJ9" i="1"/>
  <c r="VI9" i="1"/>
  <c r="VH9" i="1"/>
  <c r="VG9" i="1"/>
  <c r="VF9" i="1"/>
  <c r="VE9" i="1"/>
  <c r="VD9" i="1"/>
  <c r="VC9" i="1"/>
  <c r="VA9" i="1"/>
  <c r="UZ9" i="1"/>
  <c r="UY9" i="1"/>
  <c r="UX9" i="1"/>
  <c r="UW9" i="1"/>
  <c r="UV9" i="1"/>
  <c r="US9" i="1"/>
  <c r="UR9" i="1"/>
  <c r="UQ9" i="1"/>
  <c r="UP9" i="1"/>
  <c r="UM9" i="1"/>
  <c r="UK9" i="1"/>
  <c r="UJ9" i="1"/>
  <c r="UI9" i="1"/>
  <c r="UH9" i="1"/>
  <c r="UG9" i="1"/>
  <c r="UF9" i="1"/>
  <c r="UE9" i="1"/>
  <c r="UD9" i="1"/>
  <c r="UC9" i="1"/>
  <c r="UB9" i="1"/>
  <c r="UA9" i="1"/>
  <c r="TZ9" i="1"/>
  <c r="TX9" i="1"/>
  <c r="TW9" i="1"/>
  <c r="TV9" i="1"/>
  <c r="TU9" i="1"/>
  <c r="TT9" i="1"/>
  <c r="TS9" i="1"/>
  <c r="TP9" i="1"/>
  <c r="TO9" i="1"/>
  <c r="TN9" i="1"/>
  <c r="TM9" i="1"/>
  <c r="TJ9" i="1"/>
  <c r="TH9" i="1"/>
  <c r="TG9" i="1"/>
  <c r="TF9" i="1"/>
  <c r="TE9" i="1"/>
  <c r="TD9" i="1"/>
  <c r="TC9" i="1"/>
  <c r="TB9" i="1"/>
  <c r="TA9" i="1"/>
  <c r="SZ9" i="1"/>
  <c r="SY9" i="1"/>
  <c r="SX9" i="1"/>
  <c r="SW9" i="1"/>
  <c r="SU9" i="1"/>
  <c r="ST9" i="1"/>
  <c r="SS9" i="1"/>
  <c r="SR9" i="1"/>
  <c r="SQ9" i="1"/>
  <c r="SP9" i="1"/>
  <c r="SM9" i="1"/>
  <c r="SL9" i="1"/>
  <c r="SK9" i="1"/>
  <c r="SJ9" i="1"/>
  <c r="SG9" i="1"/>
  <c r="VN8" i="1"/>
  <c r="VM8" i="1"/>
  <c r="VL8" i="1"/>
  <c r="VK8" i="1"/>
  <c r="VJ8" i="1"/>
  <c r="VI8" i="1"/>
  <c r="VH8" i="1"/>
  <c r="VG8" i="1"/>
  <c r="VF8" i="1"/>
  <c r="VE8" i="1"/>
  <c r="VD8" i="1"/>
  <c r="VC8" i="1"/>
  <c r="VA8" i="1"/>
  <c r="UZ8" i="1"/>
  <c r="UY8" i="1"/>
  <c r="UX8" i="1"/>
  <c r="UW8" i="1"/>
  <c r="UV8" i="1"/>
  <c r="US8" i="1"/>
  <c r="UR8" i="1"/>
  <c r="UQ8" i="1"/>
  <c r="UP8" i="1"/>
  <c r="UM8" i="1"/>
  <c r="UK8" i="1"/>
  <c r="UJ8" i="1"/>
  <c r="UI8" i="1"/>
  <c r="UH8" i="1"/>
  <c r="UG8" i="1"/>
  <c r="UF8" i="1"/>
  <c r="UE8" i="1"/>
  <c r="UD8" i="1"/>
  <c r="UC8" i="1"/>
  <c r="UB8" i="1"/>
  <c r="UA8" i="1"/>
  <c r="TZ8" i="1"/>
  <c r="TX8" i="1"/>
  <c r="TW8" i="1"/>
  <c r="TV8" i="1"/>
  <c r="TU8" i="1"/>
  <c r="TT8" i="1"/>
  <c r="TS8" i="1"/>
  <c r="TP8" i="1"/>
  <c r="TO8" i="1"/>
  <c r="TN8" i="1"/>
  <c r="TM8" i="1"/>
  <c r="TJ8" i="1"/>
  <c r="TH8" i="1"/>
  <c r="TG8" i="1"/>
  <c r="TF8" i="1"/>
  <c r="TE8" i="1"/>
  <c r="TD8" i="1"/>
  <c r="TC8" i="1"/>
  <c r="TB8" i="1"/>
  <c r="TA8" i="1"/>
  <c r="SZ8" i="1"/>
  <c r="SY8" i="1"/>
  <c r="SX8" i="1"/>
  <c r="SW8" i="1"/>
  <c r="SU8" i="1"/>
  <c r="ST8" i="1"/>
  <c r="SS8" i="1"/>
  <c r="SR8" i="1"/>
  <c r="SQ8" i="1"/>
  <c r="SP8" i="1"/>
  <c r="SM8" i="1"/>
  <c r="SL8" i="1"/>
  <c r="SK8" i="1"/>
  <c r="SJ8" i="1"/>
  <c r="SG8" i="1"/>
  <c r="VN6" i="1"/>
  <c r="VM6" i="1"/>
  <c r="VL6" i="1"/>
  <c r="VK6" i="1"/>
  <c r="VJ6" i="1"/>
  <c r="VI6" i="1"/>
  <c r="VH6" i="1"/>
  <c r="VG6" i="1"/>
  <c r="VF6" i="1"/>
  <c r="VE6" i="1"/>
  <c r="VD6" i="1"/>
  <c r="VC6" i="1"/>
  <c r="VA6" i="1"/>
  <c r="VB6" i="1" s="1"/>
  <c r="UZ6" i="1"/>
  <c r="UY6" i="1"/>
  <c r="UX6" i="1"/>
  <c r="UW6" i="1"/>
  <c r="UV6" i="1"/>
  <c r="US6" i="1"/>
  <c r="UT6" i="1" s="1"/>
  <c r="UU6" i="1" s="1"/>
  <c r="UR6" i="1"/>
  <c r="UQ6" i="1"/>
  <c r="UP6" i="1"/>
  <c r="UM6" i="1"/>
  <c r="UN6" i="1" s="1"/>
  <c r="UO6" i="1" s="1"/>
  <c r="UK6" i="1"/>
  <c r="UJ6" i="1"/>
  <c r="UI6" i="1"/>
  <c r="UH6" i="1"/>
  <c r="UG6" i="1"/>
  <c r="UF6" i="1"/>
  <c r="UE6" i="1"/>
  <c r="UD6" i="1"/>
  <c r="UC6" i="1"/>
  <c r="UB6" i="1"/>
  <c r="UA6" i="1"/>
  <c r="TZ6" i="1"/>
  <c r="TX6" i="1"/>
  <c r="TY6" i="1" s="1"/>
  <c r="TW6" i="1"/>
  <c r="TV6" i="1"/>
  <c r="TU6" i="1"/>
  <c r="TT6" i="1"/>
  <c r="TS6" i="1"/>
  <c r="TP6" i="1"/>
  <c r="TQ6" i="1" s="1"/>
  <c r="TR6" i="1" s="1"/>
  <c r="TO6" i="1"/>
  <c r="TN6" i="1"/>
  <c r="TM6" i="1"/>
  <c r="TJ6" i="1"/>
  <c r="TK6" i="1" s="1"/>
  <c r="TL6" i="1" s="1"/>
  <c r="TH6" i="1"/>
  <c r="TG6" i="1"/>
  <c r="TF6" i="1"/>
  <c r="TE6" i="1"/>
  <c r="TD6" i="1"/>
  <c r="TC6" i="1"/>
  <c r="TB6" i="1"/>
  <c r="TA6" i="1"/>
  <c r="SZ6" i="1"/>
  <c r="SY6" i="1"/>
  <c r="SX6" i="1"/>
  <c r="SW6" i="1"/>
  <c r="SU6" i="1"/>
  <c r="ST6" i="1"/>
  <c r="SS6" i="1"/>
  <c r="SR6" i="1"/>
  <c r="SQ6" i="1"/>
  <c r="SP6" i="1"/>
  <c r="SM6" i="1"/>
  <c r="SN6" i="1" s="1"/>
  <c r="SO6" i="1" s="1"/>
  <c r="SL6" i="1"/>
  <c r="SK6" i="1"/>
  <c r="SJ6" i="1"/>
  <c r="SG6" i="1"/>
  <c r="SH6" i="1" s="1"/>
  <c r="SI6" i="1" s="1"/>
  <c r="AQ178" i="31" l="1"/>
  <c r="AN176" i="31"/>
  <c r="VZ44" i="1"/>
  <c r="AC7" i="29"/>
  <c r="CB176" i="31"/>
  <c r="WC19" i="1"/>
  <c r="F13" i="32"/>
  <c r="N159" i="31"/>
  <c r="N178" i="31" s="1"/>
  <c r="N153" i="29"/>
  <c r="N7" i="29"/>
  <c r="VZ19" i="1"/>
  <c r="N7" i="31"/>
  <c r="Q8" i="29"/>
  <c r="Q8" i="31"/>
  <c r="R7" i="29"/>
  <c r="VZ23" i="1"/>
  <c r="R7" i="31"/>
  <c r="W8" i="29"/>
  <c r="W8" i="31"/>
  <c r="U7" i="29"/>
  <c r="VZ27" i="1"/>
  <c r="U7" i="31"/>
  <c r="EV8" i="29"/>
  <c r="EV8" i="31"/>
  <c r="EY7" i="29"/>
  <c r="VZ31" i="1"/>
  <c r="EY7" i="31"/>
  <c r="EU8" i="29"/>
  <c r="EU8" i="31"/>
  <c r="ET7" i="29"/>
  <c r="VZ35" i="1"/>
  <c r="ET7" i="31"/>
  <c r="AA7" i="29"/>
  <c r="VZ39" i="1"/>
  <c r="AA7" i="31"/>
  <c r="AD8" i="29"/>
  <c r="AD8" i="31"/>
  <c r="AF7" i="29"/>
  <c r="VZ43" i="1"/>
  <c r="AF7" i="31"/>
  <c r="AH8" i="29"/>
  <c r="AH8" i="31"/>
  <c r="AI7" i="29"/>
  <c r="VZ47" i="1"/>
  <c r="AI7" i="31"/>
  <c r="AL8" i="29"/>
  <c r="AL8" i="31"/>
  <c r="AM7" i="29"/>
  <c r="VZ51" i="1"/>
  <c r="AM7" i="31"/>
  <c r="HP8" i="29"/>
  <c r="HP8" i="31"/>
  <c r="HQ7" i="29"/>
  <c r="VZ55" i="1"/>
  <c r="HQ7" i="31"/>
  <c r="HT8" i="29"/>
  <c r="HT8" i="31"/>
  <c r="HU7" i="29"/>
  <c r="VZ59" i="1"/>
  <c r="HU7" i="31"/>
  <c r="HX8" i="29"/>
  <c r="HX8" i="31"/>
  <c r="HY7" i="29"/>
  <c r="VZ63" i="1"/>
  <c r="HY7" i="31"/>
  <c r="IA8" i="29"/>
  <c r="IA8" i="31"/>
  <c r="IB7" i="29"/>
  <c r="VZ67" i="1"/>
  <c r="IB7" i="31"/>
  <c r="IC8" i="29"/>
  <c r="IC8" i="31"/>
  <c r="IE7" i="29"/>
  <c r="VZ71" i="1"/>
  <c r="IE7" i="31"/>
  <c r="IJ8" i="29"/>
  <c r="IJ8" i="31"/>
  <c r="II7" i="29"/>
  <c r="VZ75" i="1"/>
  <c r="II7" i="31"/>
  <c r="FI8" i="29"/>
  <c r="FI8" i="31"/>
  <c r="IL7" i="29"/>
  <c r="VZ79" i="1"/>
  <c r="IL7" i="31"/>
  <c r="IN8" i="29"/>
  <c r="IN8" i="31"/>
  <c r="IO7" i="29"/>
  <c r="VZ83" i="1"/>
  <c r="IO7" i="31"/>
  <c r="IR8" i="29"/>
  <c r="IR8" i="31"/>
  <c r="IT7" i="29"/>
  <c r="VZ87" i="1"/>
  <c r="IT7" i="31"/>
  <c r="IV8" i="29"/>
  <c r="IV8" i="31"/>
  <c r="IW7" i="29"/>
  <c r="VZ91" i="1"/>
  <c r="IW7" i="31"/>
  <c r="IY8" i="29"/>
  <c r="IY8" i="31"/>
  <c r="GL7" i="29"/>
  <c r="VZ95" i="1"/>
  <c r="GL7" i="31"/>
  <c r="GJ8" i="29"/>
  <c r="GJ8" i="31"/>
  <c r="GW7" i="29"/>
  <c r="VZ99" i="1"/>
  <c r="GW7" i="31"/>
  <c r="AV8" i="29"/>
  <c r="AV8" i="31"/>
  <c r="AQ7" i="29"/>
  <c r="VZ103" i="1"/>
  <c r="AQ7" i="31"/>
  <c r="AR8" i="29"/>
  <c r="AR8" i="31"/>
  <c r="AS7" i="29"/>
  <c r="VZ107" i="1"/>
  <c r="AS7" i="31"/>
  <c r="AZ8" i="29"/>
  <c r="AZ8" i="31"/>
  <c r="HD7" i="29"/>
  <c r="VZ111" i="1"/>
  <c r="HD7" i="31"/>
  <c r="BC8" i="29"/>
  <c r="BC8" i="31"/>
  <c r="BB7" i="29"/>
  <c r="VZ115" i="1"/>
  <c r="BB7" i="31"/>
  <c r="BF8" i="29"/>
  <c r="BF8" i="31"/>
  <c r="BH7" i="29"/>
  <c r="VZ119" i="1"/>
  <c r="BH7" i="31"/>
  <c r="FA8" i="29"/>
  <c r="FA8" i="31"/>
  <c r="FJ7" i="29"/>
  <c r="VZ123" i="1"/>
  <c r="FJ7" i="31"/>
  <c r="FU8" i="29"/>
  <c r="FU8" i="31"/>
  <c r="FW7" i="29"/>
  <c r="VZ127" i="1"/>
  <c r="FW7" i="31"/>
  <c r="GE8" i="29"/>
  <c r="GE8" i="31"/>
  <c r="GN7" i="29"/>
  <c r="VZ131" i="1"/>
  <c r="GN7" i="31"/>
  <c r="GS8" i="29"/>
  <c r="GS8" i="31"/>
  <c r="GX7" i="29"/>
  <c r="VZ135" i="1"/>
  <c r="GX7" i="31"/>
  <c r="HH8" i="29"/>
  <c r="HH8" i="31"/>
  <c r="HI7" i="29"/>
  <c r="VZ139" i="1"/>
  <c r="HI7" i="31"/>
  <c r="GA8" i="29"/>
  <c r="GA8" i="31"/>
  <c r="FZ7" i="29"/>
  <c r="VZ143" i="1"/>
  <c r="FZ7" i="31"/>
  <c r="GI8" i="29"/>
  <c r="GI8" i="31"/>
  <c r="GF7" i="29"/>
  <c r="VZ147" i="1"/>
  <c r="GF7" i="31"/>
  <c r="BK8" i="29"/>
  <c r="BK8" i="31"/>
  <c r="GZ7" i="29"/>
  <c r="VZ151" i="1"/>
  <c r="GZ7" i="31"/>
  <c r="BO8" i="29"/>
  <c r="BO8" i="31"/>
  <c r="BN7" i="29"/>
  <c r="VZ155" i="1"/>
  <c r="BN7" i="31"/>
  <c r="BR8" i="29"/>
  <c r="BR8" i="31"/>
  <c r="BS7" i="29"/>
  <c r="VZ159" i="1"/>
  <c r="BS7" i="31"/>
  <c r="FV8" i="29"/>
  <c r="FV8" i="31"/>
  <c r="BV7" i="29"/>
  <c r="VZ163" i="1"/>
  <c r="BV7" i="31"/>
  <c r="BZ8" i="29"/>
  <c r="BZ8" i="31"/>
  <c r="BW7" i="29"/>
  <c r="VZ167" i="1"/>
  <c r="BW7" i="31"/>
  <c r="CG8" i="29"/>
  <c r="CG8" i="31"/>
  <c r="CF7" i="29"/>
  <c r="VZ171" i="1"/>
  <c r="CF7" i="31"/>
  <c r="CC8" i="29"/>
  <c r="CC8" i="31"/>
  <c r="CH7" i="29"/>
  <c r="VZ175" i="1"/>
  <c r="CH7" i="31"/>
  <c r="CI8" i="29"/>
  <c r="CI8" i="31"/>
  <c r="CJ7" i="29"/>
  <c r="VZ179" i="1"/>
  <c r="CJ7" i="31"/>
  <c r="CO8" i="29"/>
  <c r="CO8" i="31"/>
  <c r="CP7" i="29"/>
  <c r="VZ183" i="1"/>
  <c r="CP7" i="31"/>
  <c r="CS8" i="29"/>
  <c r="CS8" i="31"/>
  <c r="CT7" i="29"/>
  <c r="VZ187" i="1"/>
  <c r="CT7" i="31"/>
  <c r="CZ8" i="29"/>
  <c r="CZ8" i="31"/>
  <c r="CY7" i="29"/>
  <c r="VZ191" i="1"/>
  <c r="CY7" i="31"/>
  <c r="DA8" i="29"/>
  <c r="DA8" i="31"/>
  <c r="DB7" i="29"/>
  <c r="VZ195" i="1"/>
  <c r="DB7" i="31"/>
  <c r="DE8" i="29"/>
  <c r="DE8" i="31"/>
  <c r="DF7" i="29"/>
  <c r="VZ199" i="1"/>
  <c r="DF7" i="31"/>
  <c r="FC8" i="29"/>
  <c r="FC8" i="31"/>
  <c r="HA7" i="29"/>
  <c r="VZ203" i="1"/>
  <c r="HA7" i="31"/>
  <c r="DH8" i="29"/>
  <c r="DH8" i="31"/>
  <c r="DI7" i="29"/>
  <c r="VZ207" i="1"/>
  <c r="DI7" i="31"/>
  <c r="DL8" i="29"/>
  <c r="DL8" i="31"/>
  <c r="DM7" i="29"/>
  <c r="VZ211" i="1"/>
  <c r="DM7" i="31"/>
  <c r="GT8" i="29"/>
  <c r="GT8" i="31"/>
  <c r="DN7" i="29"/>
  <c r="VZ215" i="1"/>
  <c r="DN7" i="31"/>
  <c r="DP8" i="29"/>
  <c r="DP8" i="31"/>
  <c r="DR7" i="29"/>
  <c r="VZ219" i="1"/>
  <c r="DR7" i="31"/>
  <c r="JC8" i="29"/>
  <c r="JC8" i="31"/>
  <c r="JA7" i="29"/>
  <c r="VZ223" i="1"/>
  <c r="JA7" i="31"/>
  <c r="VZ227" i="1"/>
  <c r="VY227" i="1" s="1"/>
  <c r="FH8" i="29"/>
  <c r="FH8" i="31"/>
  <c r="FF7" i="29"/>
  <c r="VZ231" i="1"/>
  <c r="FF7" i="31"/>
  <c r="FP8" i="29"/>
  <c r="FP8" i="31"/>
  <c r="FS7" i="29"/>
  <c r="VZ235" i="1"/>
  <c r="FS7" i="31"/>
  <c r="FO8" i="29"/>
  <c r="FO8" i="31"/>
  <c r="GO7" i="29"/>
  <c r="VZ239" i="1"/>
  <c r="GO7" i="31"/>
  <c r="DZ8" i="29"/>
  <c r="DZ8" i="31"/>
  <c r="EA7" i="29"/>
  <c r="VZ243" i="1"/>
  <c r="EA7" i="31"/>
  <c r="ED8" i="29"/>
  <c r="ED8" i="31"/>
  <c r="HB7" i="29"/>
  <c r="VZ247" i="1"/>
  <c r="HB7" i="31"/>
  <c r="EI8" i="29"/>
  <c r="EI8" i="31"/>
  <c r="EE7" i="29"/>
  <c r="VZ251" i="1"/>
  <c r="EE7" i="31"/>
  <c r="EF8" i="29"/>
  <c r="EF8" i="31"/>
  <c r="EG7" i="29"/>
  <c r="VZ255" i="1"/>
  <c r="EG7" i="31"/>
  <c r="JG8" i="29"/>
  <c r="JG8" i="31"/>
  <c r="GD7" i="29"/>
  <c r="VZ259" i="1"/>
  <c r="GD7" i="31"/>
  <c r="EK8" i="29"/>
  <c r="EK8" i="31"/>
  <c r="EM7" i="29"/>
  <c r="VZ263" i="1"/>
  <c r="EM7" i="31"/>
  <c r="G7" i="29"/>
  <c r="VZ8" i="1"/>
  <c r="UM272" i="1"/>
  <c r="G7" i="31"/>
  <c r="I8" i="29"/>
  <c r="I8" i="31"/>
  <c r="J7" i="29"/>
  <c r="VZ12" i="1"/>
  <c r="J7" i="31"/>
  <c r="HN8" i="29"/>
  <c r="HN8" i="31"/>
  <c r="HM7" i="29"/>
  <c r="VZ16" i="1"/>
  <c r="HM7" i="31"/>
  <c r="N8" i="29"/>
  <c r="N8" i="31"/>
  <c r="O7" i="29"/>
  <c r="VZ20" i="1"/>
  <c r="O7" i="31"/>
  <c r="R8" i="29"/>
  <c r="R8" i="31"/>
  <c r="S7" i="29"/>
  <c r="VZ24" i="1"/>
  <c r="S7" i="31"/>
  <c r="U8" i="29"/>
  <c r="U8" i="31"/>
  <c r="V7" i="29"/>
  <c r="VZ28" i="1"/>
  <c r="V7" i="31"/>
  <c r="EY8" i="29"/>
  <c r="EY8" i="31"/>
  <c r="EX7" i="29"/>
  <c r="VZ32" i="1"/>
  <c r="EX7" i="31"/>
  <c r="ET8" i="29"/>
  <c r="ET8" i="31"/>
  <c r="Y7" i="29"/>
  <c r="VZ36" i="1"/>
  <c r="Y7" i="31"/>
  <c r="AA8" i="29"/>
  <c r="AA8" i="31"/>
  <c r="AB7" i="29"/>
  <c r="VZ40" i="1"/>
  <c r="AB7" i="31"/>
  <c r="AF8" i="29"/>
  <c r="AF8" i="31"/>
  <c r="AI8" i="29"/>
  <c r="AI8" i="31"/>
  <c r="AJ7" i="29"/>
  <c r="VZ48" i="1"/>
  <c r="AJ7" i="31"/>
  <c r="AM8" i="29"/>
  <c r="AM8" i="31"/>
  <c r="AN7" i="29"/>
  <c r="VZ52" i="1"/>
  <c r="AN7" i="31"/>
  <c r="HQ8" i="29"/>
  <c r="HQ8" i="31"/>
  <c r="HR7" i="29"/>
  <c r="VZ56" i="1"/>
  <c r="HR7" i="31"/>
  <c r="HU8" i="29"/>
  <c r="HU8" i="31"/>
  <c r="HV7" i="29"/>
  <c r="VZ60" i="1"/>
  <c r="HV7" i="31"/>
  <c r="HY8" i="29"/>
  <c r="HY8" i="31"/>
  <c r="HZ7" i="29"/>
  <c r="VZ64" i="1"/>
  <c r="HZ7" i="31"/>
  <c r="IB8" i="29"/>
  <c r="IB8" i="31"/>
  <c r="C7" i="29"/>
  <c r="VZ68" i="1"/>
  <c r="C7" i="31"/>
  <c r="IE8" i="29"/>
  <c r="IE8" i="31"/>
  <c r="IG7" i="29"/>
  <c r="VZ72" i="1"/>
  <c r="IG7" i="31"/>
  <c r="II8" i="29"/>
  <c r="II8" i="31"/>
  <c r="IK7" i="29"/>
  <c r="VZ76" i="1"/>
  <c r="IK7" i="31"/>
  <c r="IL8" i="29"/>
  <c r="IL8" i="31"/>
  <c r="GY7" i="29"/>
  <c r="VZ80" i="1"/>
  <c r="GY7" i="31"/>
  <c r="IO8" i="29"/>
  <c r="IO8" i="31"/>
  <c r="IP7" i="29"/>
  <c r="VZ84" i="1"/>
  <c r="IP7" i="31"/>
  <c r="IT8" i="29"/>
  <c r="IT8" i="31"/>
  <c r="IS7" i="29"/>
  <c r="VZ88" i="1"/>
  <c r="IS7" i="31"/>
  <c r="IW8" i="29"/>
  <c r="IW8" i="31"/>
  <c r="IU7" i="29"/>
  <c r="VZ92" i="1"/>
  <c r="IU7" i="31"/>
  <c r="GL8" i="29"/>
  <c r="GL8" i="31"/>
  <c r="GK7" i="29"/>
  <c r="VZ96" i="1"/>
  <c r="GK7" i="31"/>
  <c r="GW8" i="29"/>
  <c r="GW8" i="31"/>
  <c r="AP7" i="29"/>
  <c r="VZ100" i="1"/>
  <c r="AP7" i="31"/>
  <c r="AQ8" i="29"/>
  <c r="AQ8" i="31"/>
  <c r="AW7" i="29"/>
  <c r="VZ104" i="1"/>
  <c r="AW7" i="31"/>
  <c r="AS8" i="29"/>
  <c r="AS8" i="31"/>
  <c r="AX7" i="29"/>
  <c r="VZ108" i="1"/>
  <c r="AX7" i="31"/>
  <c r="HD8" i="29"/>
  <c r="HD8" i="31"/>
  <c r="HE7" i="29"/>
  <c r="VZ112" i="1"/>
  <c r="HE7" i="31"/>
  <c r="BB8" i="29"/>
  <c r="BB8" i="31"/>
  <c r="BE7" i="29"/>
  <c r="VZ116" i="1"/>
  <c r="BE7" i="31"/>
  <c r="BH8" i="29"/>
  <c r="BH8" i="31"/>
  <c r="BG7" i="29"/>
  <c r="VZ120" i="1"/>
  <c r="BG7" i="31"/>
  <c r="FJ8" i="29"/>
  <c r="FJ8" i="31"/>
  <c r="FM7" i="29"/>
  <c r="VZ124" i="1"/>
  <c r="FM7" i="31"/>
  <c r="FW8" i="29"/>
  <c r="FW8" i="31"/>
  <c r="FX7" i="29"/>
  <c r="VZ128" i="1"/>
  <c r="FX7" i="31"/>
  <c r="GN8" i="29"/>
  <c r="GN8" i="31"/>
  <c r="GQ7" i="29"/>
  <c r="VZ132" i="1"/>
  <c r="GQ7" i="31"/>
  <c r="GX8" i="29"/>
  <c r="GX8" i="31"/>
  <c r="HG7" i="29"/>
  <c r="VZ136" i="1"/>
  <c r="HG7" i="31"/>
  <c r="HI8" i="29"/>
  <c r="HI8" i="31"/>
  <c r="BI7" i="29"/>
  <c r="VZ140" i="1"/>
  <c r="BI7" i="31"/>
  <c r="FZ8" i="29"/>
  <c r="FZ8" i="31"/>
  <c r="GH7" i="29"/>
  <c r="VZ144" i="1"/>
  <c r="GH7" i="31"/>
  <c r="GF8" i="29"/>
  <c r="GF8" i="31"/>
  <c r="GP7" i="29"/>
  <c r="VZ148" i="1"/>
  <c r="GP7" i="31"/>
  <c r="GZ8" i="29"/>
  <c r="GZ8" i="31"/>
  <c r="BL7" i="29"/>
  <c r="VZ152" i="1"/>
  <c r="BL7" i="31"/>
  <c r="BN8" i="29"/>
  <c r="BN8" i="31"/>
  <c r="BP7" i="29"/>
  <c r="VZ156" i="1"/>
  <c r="BP7" i="31"/>
  <c r="BS8" i="29"/>
  <c r="BS8" i="31"/>
  <c r="BT7" i="29"/>
  <c r="VZ160" i="1"/>
  <c r="BT7" i="31"/>
  <c r="BV8" i="29"/>
  <c r="BV8" i="31"/>
  <c r="BU7" i="29"/>
  <c r="VZ164" i="1"/>
  <c r="BU7" i="31"/>
  <c r="BW8" i="29"/>
  <c r="BW8" i="31"/>
  <c r="CB7" i="29"/>
  <c r="VZ168" i="1"/>
  <c r="CB7" i="31"/>
  <c r="CF8" i="29"/>
  <c r="CF8" i="31"/>
  <c r="CK7" i="29"/>
  <c r="VZ172" i="1"/>
  <c r="CK7" i="31"/>
  <c r="CH8" i="29"/>
  <c r="CH8" i="31"/>
  <c r="CE7" i="29"/>
  <c r="VZ176" i="1"/>
  <c r="CE7" i="31"/>
  <c r="CJ8" i="29"/>
  <c r="CJ8" i="31"/>
  <c r="CN7" i="29"/>
  <c r="VZ180" i="1"/>
  <c r="CN7" i="31"/>
  <c r="CP8" i="29"/>
  <c r="CP8" i="31"/>
  <c r="CM7" i="29"/>
  <c r="VZ184" i="1"/>
  <c r="CM7" i="31"/>
  <c r="CT8" i="29"/>
  <c r="CT8" i="31"/>
  <c r="CU7" i="29"/>
  <c r="VZ188" i="1"/>
  <c r="CU7" i="31"/>
  <c r="CY8" i="29"/>
  <c r="CY8" i="31"/>
  <c r="CW7" i="29"/>
  <c r="VZ192" i="1"/>
  <c r="CW7" i="31"/>
  <c r="DB8" i="29"/>
  <c r="DB8" i="31"/>
  <c r="DC7" i="29"/>
  <c r="VZ196" i="1"/>
  <c r="DC7" i="31"/>
  <c r="DF8" i="29"/>
  <c r="DF8" i="31"/>
  <c r="FE7" i="29"/>
  <c r="VZ200" i="1"/>
  <c r="FE7" i="31"/>
  <c r="HA8" i="29"/>
  <c r="HA8" i="31"/>
  <c r="HK7" i="29"/>
  <c r="VZ204" i="1"/>
  <c r="HK7" i="31"/>
  <c r="DI8" i="29"/>
  <c r="DI8" i="31"/>
  <c r="DJ7" i="29"/>
  <c r="VZ208" i="1"/>
  <c r="DJ7" i="31"/>
  <c r="DM8" i="29"/>
  <c r="DM8" i="31"/>
  <c r="GV7" i="29"/>
  <c r="VZ212" i="1"/>
  <c r="GV7" i="31"/>
  <c r="DN8" i="29"/>
  <c r="DN8" i="31"/>
  <c r="DO7" i="29"/>
  <c r="VZ216" i="1"/>
  <c r="DO7" i="31"/>
  <c r="DR8" i="29"/>
  <c r="DR8" i="31"/>
  <c r="DS7" i="29"/>
  <c r="VZ220" i="1"/>
  <c r="DS7" i="31"/>
  <c r="JA8" i="29"/>
  <c r="JA8" i="31"/>
  <c r="JD7" i="29"/>
  <c r="VZ224" i="1"/>
  <c r="JD7" i="31"/>
  <c r="DV7" i="29"/>
  <c r="VZ228" i="1"/>
  <c r="DV7" i="31"/>
  <c r="FF8" i="29"/>
  <c r="FF8" i="31"/>
  <c r="FG7" i="29"/>
  <c r="VZ232" i="1"/>
  <c r="FG7" i="31"/>
  <c r="FS8" i="29"/>
  <c r="FS8" i="31"/>
  <c r="FQ7" i="29"/>
  <c r="VZ236" i="1"/>
  <c r="FQ7" i="31"/>
  <c r="GO8" i="29"/>
  <c r="GO8" i="31"/>
  <c r="D7" i="29"/>
  <c r="VZ240" i="1"/>
  <c r="D7" i="31"/>
  <c r="EA8" i="29"/>
  <c r="EA8" i="31"/>
  <c r="EB7" i="29"/>
  <c r="VZ244" i="1"/>
  <c r="EB7" i="31"/>
  <c r="HB8" i="29"/>
  <c r="HB8" i="31"/>
  <c r="FL7" i="29"/>
  <c r="VZ248" i="1"/>
  <c r="FL7" i="31"/>
  <c r="EE8" i="29"/>
  <c r="EE8" i="31"/>
  <c r="EH7" i="29"/>
  <c r="VZ252" i="1"/>
  <c r="EH7" i="31"/>
  <c r="EG8" i="29"/>
  <c r="EG8" i="31"/>
  <c r="JF7" i="29"/>
  <c r="VZ256" i="1"/>
  <c r="JF7" i="31"/>
  <c r="GD8" i="29"/>
  <c r="GD8" i="31"/>
  <c r="GC7" i="29"/>
  <c r="VZ260" i="1"/>
  <c r="GC7" i="31"/>
  <c r="EM8" i="29"/>
  <c r="EM8" i="31"/>
  <c r="I7" i="29"/>
  <c r="VZ11" i="1"/>
  <c r="I7" i="31"/>
  <c r="M8" i="29"/>
  <c r="M8" i="31"/>
  <c r="G8" i="29"/>
  <c r="G8" i="31"/>
  <c r="F7" i="29"/>
  <c r="VZ9" i="1"/>
  <c r="F7" i="31"/>
  <c r="J8" i="29"/>
  <c r="J8" i="31"/>
  <c r="K7" i="29"/>
  <c r="VZ13" i="1"/>
  <c r="K7" i="31"/>
  <c r="HM8" i="29"/>
  <c r="HM8" i="31"/>
  <c r="L7" i="29"/>
  <c r="VZ17" i="1"/>
  <c r="L7" i="31"/>
  <c r="O8" i="29"/>
  <c r="O8" i="31"/>
  <c r="P7" i="29"/>
  <c r="VZ21" i="1"/>
  <c r="P7" i="31"/>
  <c r="S8" i="29"/>
  <c r="S8" i="31"/>
  <c r="T7" i="29"/>
  <c r="VZ25" i="1"/>
  <c r="T7" i="31"/>
  <c r="V8" i="29"/>
  <c r="V8" i="31"/>
  <c r="EW7" i="29"/>
  <c r="VZ29" i="1"/>
  <c r="EW7" i="31"/>
  <c r="EX8" i="29"/>
  <c r="EX8" i="31"/>
  <c r="X7" i="29"/>
  <c r="VZ33" i="1"/>
  <c r="X7" i="31"/>
  <c r="Y8" i="29"/>
  <c r="Y8" i="31"/>
  <c r="Z7" i="29"/>
  <c r="VZ37" i="1"/>
  <c r="Z7" i="31"/>
  <c r="AB8" i="29"/>
  <c r="AB8" i="31"/>
  <c r="AE7" i="29"/>
  <c r="VZ41" i="1"/>
  <c r="AE7" i="31"/>
  <c r="AG7" i="29"/>
  <c r="VZ45" i="1"/>
  <c r="AG7" i="31"/>
  <c r="AJ8" i="29"/>
  <c r="AJ8" i="31"/>
  <c r="AK7" i="29"/>
  <c r="VZ49" i="1"/>
  <c r="AK7" i="31"/>
  <c r="AN8" i="29"/>
  <c r="AN8" i="31"/>
  <c r="AO7" i="29"/>
  <c r="VZ53" i="1"/>
  <c r="AO7" i="31"/>
  <c r="HR8" i="29"/>
  <c r="HR8" i="31"/>
  <c r="HS7" i="29"/>
  <c r="VZ57" i="1"/>
  <c r="HS7" i="31"/>
  <c r="HV8" i="29"/>
  <c r="HV8" i="31"/>
  <c r="HW7" i="29"/>
  <c r="VZ61" i="1"/>
  <c r="HW7" i="31"/>
  <c r="HZ8" i="29"/>
  <c r="HZ8" i="31"/>
  <c r="HC7" i="29"/>
  <c r="VZ65" i="1"/>
  <c r="HC7" i="31"/>
  <c r="C8" i="29"/>
  <c r="C8" i="31"/>
  <c r="ID7" i="29"/>
  <c r="VZ69" i="1"/>
  <c r="ID7" i="31"/>
  <c r="IG8" i="29"/>
  <c r="IG8" i="31"/>
  <c r="IF7" i="29"/>
  <c r="VZ73" i="1"/>
  <c r="IF7" i="31"/>
  <c r="IK8" i="29"/>
  <c r="IK8" i="31"/>
  <c r="IH7" i="29"/>
  <c r="VZ77" i="1"/>
  <c r="IH7" i="31"/>
  <c r="GY8" i="29"/>
  <c r="GY8" i="31"/>
  <c r="IM7" i="29"/>
  <c r="VZ81" i="1"/>
  <c r="IM7" i="31"/>
  <c r="IP8" i="29"/>
  <c r="IP8" i="31"/>
  <c r="IQ7" i="29"/>
  <c r="VZ85" i="1"/>
  <c r="IQ7" i="31"/>
  <c r="IS8" i="29"/>
  <c r="IS8" i="31"/>
  <c r="IX7" i="29"/>
  <c r="VZ89" i="1"/>
  <c r="IX7" i="31"/>
  <c r="IU8" i="29"/>
  <c r="IU8" i="31"/>
  <c r="IZ7" i="29"/>
  <c r="VZ93" i="1"/>
  <c r="IZ7" i="31"/>
  <c r="GK8" i="29"/>
  <c r="GK8" i="31"/>
  <c r="GM7" i="29"/>
  <c r="VZ97" i="1"/>
  <c r="GM7" i="31"/>
  <c r="AP8" i="29"/>
  <c r="AP8" i="31"/>
  <c r="AT7" i="29"/>
  <c r="VZ101" i="1"/>
  <c r="AT7" i="31"/>
  <c r="AW8" i="29"/>
  <c r="AW8" i="31"/>
  <c r="AU7" i="29"/>
  <c r="VZ105" i="1"/>
  <c r="AU7" i="31"/>
  <c r="AX8" i="29"/>
  <c r="AX8" i="31"/>
  <c r="AY7" i="29"/>
  <c r="VZ109" i="1"/>
  <c r="AY7" i="31"/>
  <c r="HE8" i="29"/>
  <c r="HE8" i="31"/>
  <c r="BA7" i="29"/>
  <c r="VZ113" i="1"/>
  <c r="BA7" i="31"/>
  <c r="BE8" i="29"/>
  <c r="BE8" i="31"/>
  <c r="BD7" i="29"/>
  <c r="VZ117" i="1"/>
  <c r="BD7" i="31"/>
  <c r="BG8" i="29"/>
  <c r="BG8" i="31"/>
  <c r="EZ7" i="29"/>
  <c r="VZ121" i="1"/>
  <c r="EZ7" i="31"/>
  <c r="FM8" i="29"/>
  <c r="FM8" i="31"/>
  <c r="FT7" i="29"/>
  <c r="VZ125" i="1"/>
  <c r="FT7" i="31"/>
  <c r="FX8" i="29"/>
  <c r="FX8" i="31"/>
  <c r="FY7" i="29"/>
  <c r="VZ129" i="1"/>
  <c r="FY7" i="31"/>
  <c r="GQ8" i="29"/>
  <c r="GQ8" i="31"/>
  <c r="GR7" i="29"/>
  <c r="VZ133" i="1"/>
  <c r="GR7" i="31"/>
  <c r="HG8" i="29"/>
  <c r="HG8" i="31"/>
  <c r="HF7" i="29"/>
  <c r="VZ137" i="1"/>
  <c r="HF7" i="31"/>
  <c r="BI8" i="29"/>
  <c r="BI8" i="31"/>
  <c r="GB7" i="29"/>
  <c r="VZ141" i="1"/>
  <c r="GB7" i="31"/>
  <c r="GH8" i="29"/>
  <c r="GH8" i="31"/>
  <c r="GG7" i="29"/>
  <c r="VZ145" i="1"/>
  <c r="GG7" i="31"/>
  <c r="GP8" i="29"/>
  <c r="GP8" i="31"/>
  <c r="BJ7" i="29"/>
  <c r="VZ149" i="1"/>
  <c r="BJ7" i="31"/>
  <c r="BL8" i="29"/>
  <c r="BL8" i="31"/>
  <c r="BM7" i="29"/>
  <c r="VZ153" i="1"/>
  <c r="BM7" i="31"/>
  <c r="BP8" i="29"/>
  <c r="BP8" i="31"/>
  <c r="BQ7" i="29"/>
  <c r="VZ157" i="1"/>
  <c r="BQ7" i="31"/>
  <c r="BT8" i="29"/>
  <c r="BT8" i="31"/>
  <c r="VZ161" i="1"/>
  <c r="VY161" i="1" s="1"/>
  <c r="BU8" i="29"/>
  <c r="BU8" i="31"/>
  <c r="BX7" i="29"/>
  <c r="VZ165" i="1"/>
  <c r="BX7" i="31"/>
  <c r="CB8" i="29"/>
  <c r="CB8" i="31"/>
  <c r="BY7" i="29"/>
  <c r="VZ169" i="1"/>
  <c r="BY7" i="31"/>
  <c r="CK8" i="29"/>
  <c r="CK8" i="31"/>
  <c r="CL7" i="29"/>
  <c r="VZ173" i="1"/>
  <c r="CL7" i="31"/>
  <c r="CE8" i="29"/>
  <c r="CE8" i="31"/>
  <c r="CD7" i="29"/>
  <c r="VZ177" i="1"/>
  <c r="CD7" i="31"/>
  <c r="CN8" i="29"/>
  <c r="CN8" i="31"/>
  <c r="CQ7" i="29"/>
  <c r="VZ181" i="1"/>
  <c r="CQ7" i="31"/>
  <c r="CM8" i="29"/>
  <c r="CM8" i="31"/>
  <c r="CR7" i="29"/>
  <c r="VZ185" i="1"/>
  <c r="CR7" i="31"/>
  <c r="CU8" i="29"/>
  <c r="CU8" i="31"/>
  <c r="CV7" i="29"/>
  <c r="VZ189" i="1"/>
  <c r="CV7" i="31"/>
  <c r="CW8" i="29"/>
  <c r="CW8" i="31"/>
  <c r="CX7" i="29"/>
  <c r="VZ193" i="1"/>
  <c r="CX7" i="31"/>
  <c r="DC8" i="29"/>
  <c r="DC8" i="31"/>
  <c r="DD7" i="29"/>
  <c r="VZ197" i="1"/>
  <c r="DD7" i="31"/>
  <c r="FE8" i="29"/>
  <c r="FE8" i="31"/>
  <c r="FD7" i="29"/>
  <c r="VZ201" i="1"/>
  <c r="FD7" i="31"/>
  <c r="HK8" i="29"/>
  <c r="HK8" i="31"/>
  <c r="DG7" i="29"/>
  <c r="VZ205" i="1"/>
  <c r="DG7" i="31"/>
  <c r="DJ8" i="29"/>
  <c r="DJ8" i="31"/>
  <c r="DK7" i="29"/>
  <c r="VZ209" i="1"/>
  <c r="DK7" i="31"/>
  <c r="GV8" i="29"/>
  <c r="GV8" i="31"/>
  <c r="GU7" i="29"/>
  <c r="VZ213" i="1"/>
  <c r="GU7" i="31"/>
  <c r="DO8" i="29"/>
  <c r="DO8" i="31"/>
  <c r="DQ7" i="29"/>
  <c r="VZ217" i="1"/>
  <c r="DQ7" i="31"/>
  <c r="DS8" i="29"/>
  <c r="DS8" i="31"/>
  <c r="DT7" i="29"/>
  <c r="VZ221" i="1"/>
  <c r="DT7" i="31"/>
  <c r="JD8" i="29"/>
  <c r="JD8" i="31"/>
  <c r="JB7" i="29"/>
  <c r="VZ225" i="1"/>
  <c r="JB7" i="31"/>
  <c r="DV8" i="29"/>
  <c r="DV8" i="31"/>
  <c r="FB7" i="29"/>
  <c r="VZ229" i="1"/>
  <c r="FB7" i="31"/>
  <c r="FG8" i="29"/>
  <c r="FG8" i="31"/>
  <c r="FN7" i="29"/>
  <c r="VZ233" i="1"/>
  <c r="FN7" i="31"/>
  <c r="FQ8" i="29"/>
  <c r="FQ8" i="31"/>
  <c r="FR7" i="29"/>
  <c r="VZ237" i="1"/>
  <c r="FR7" i="31"/>
  <c r="D8" i="29"/>
  <c r="D8" i="31"/>
  <c r="DY7" i="29"/>
  <c r="VZ241" i="1"/>
  <c r="DY7" i="31"/>
  <c r="EB8" i="29"/>
  <c r="EB8" i="31"/>
  <c r="EC7" i="29"/>
  <c r="VZ245" i="1"/>
  <c r="EC7" i="31"/>
  <c r="FL8" i="29"/>
  <c r="FL8" i="31"/>
  <c r="FK7" i="29"/>
  <c r="VZ249" i="1"/>
  <c r="FK7" i="31"/>
  <c r="EH8" i="29"/>
  <c r="EH8" i="31"/>
  <c r="EJ7" i="29"/>
  <c r="VZ253" i="1"/>
  <c r="EJ7" i="31"/>
  <c r="JF8" i="29"/>
  <c r="JF8" i="31"/>
  <c r="JE7" i="29"/>
  <c r="VZ257" i="1"/>
  <c r="JE7" i="31"/>
  <c r="GC8" i="29"/>
  <c r="GC8" i="31"/>
  <c r="E7" i="29"/>
  <c r="VZ261" i="1"/>
  <c r="E7" i="31"/>
  <c r="H8" i="29"/>
  <c r="H8" i="31"/>
  <c r="HL8" i="29"/>
  <c r="HL8" i="31"/>
  <c r="HN7" i="29"/>
  <c r="VZ15" i="1"/>
  <c r="HN7" i="31"/>
  <c r="F8" i="29"/>
  <c r="F8" i="31"/>
  <c r="H7" i="29"/>
  <c r="VZ10" i="1"/>
  <c r="H7" i="31"/>
  <c r="K8" i="29"/>
  <c r="K8" i="31"/>
  <c r="HL7" i="29"/>
  <c r="VZ14" i="1"/>
  <c r="HL7" i="31"/>
  <c r="L8" i="29"/>
  <c r="L8" i="31"/>
  <c r="M7" i="29"/>
  <c r="VZ18" i="1"/>
  <c r="M7" i="31"/>
  <c r="P8" i="29"/>
  <c r="P8" i="31"/>
  <c r="Q7" i="29"/>
  <c r="Q9" i="29" s="1"/>
  <c r="VZ22" i="1"/>
  <c r="Q7" i="31"/>
  <c r="T8" i="29"/>
  <c r="T8" i="31"/>
  <c r="W7" i="29"/>
  <c r="VZ26" i="1"/>
  <c r="W7" i="31"/>
  <c r="EW8" i="29"/>
  <c r="EW8" i="31"/>
  <c r="EV7" i="29"/>
  <c r="VZ30" i="1"/>
  <c r="EV7" i="31"/>
  <c r="X8" i="29"/>
  <c r="X8" i="31"/>
  <c r="EU7" i="29"/>
  <c r="VZ34" i="1"/>
  <c r="EU7" i="31"/>
  <c r="Z8" i="29"/>
  <c r="Z8" i="31"/>
  <c r="VZ38" i="1"/>
  <c r="VY38" i="1" s="1"/>
  <c r="AE8" i="29"/>
  <c r="AE8" i="31"/>
  <c r="AD7" i="29"/>
  <c r="VZ42" i="1"/>
  <c r="AD7" i="31"/>
  <c r="AG8" i="29"/>
  <c r="AG8" i="31"/>
  <c r="AH7" i="29"/>
  <c r="AH44" i="29" s="1"/>
  <c r="VZ46" i="1"/>
  <c r="AH7" i="31"/>
  <c r="AK8" i="29"/>
  <c r="AK8" i="31"/>
  <c r="AL7" i="29"/>
  <c r="VZ50" i="1"/>
  <c r="AL7" i="31"/>
  <c r="AO8" i="29"/>
  <c r="AO9" i="29" s="1"/>
  <c r="AO8" i="31"/>
  <c r="HP7" i="29"/>
  <c r="VZ54" i="1"/>
  <c r="HP7" i="31"/>
  <c r="HS8" i="29"/>
  <c r="HS8" i="31"/>
  <c r="HT7" i="29"/>
  <c r="VZ58" i="1"/>
  <c r="HT7" i="31"/>
  <c r="HW8" i="29"/>
  <c r="HW8" i="31"/>
  <c r="HX7" i="29"/>
  <c r="HX44" i="29" s="1"/>
  <c r="VZ62" i="1"/>
  <c r="HX7" i="31"/>
  <c r="HC8" i="29"/>
  <c r="HC8" i="31"/>
  <c r="IA7" i="29"/>
  <c r="VZ66" i="1"/>
  <c r="IA7" i="31"/>
  <c r="ID8" i="29"/>
  <c r="ID8" i="31"/>
  <c r="IC7" i="29"/>
  <c r="VZ70" i="1"/>
  <c r="IC7" i="31"/>
  <c r="IF8" i="29"/>
  <c r="IF8" i="31"/>
  <c r="IJ7" i="29"/>
  <c r="VZ74" i="1"/>
  <c r="IJ7" i="31"/>
  <c r="IH8" i="29"/>
  <c r="IH8" i="31"/>
  <c r="FI7" i="29"/>
  <c r="VZ78" i="1"/>
  <c r="FI7" i="31"/>
  <c r="IM8" i="29"/>
  <c r="IM8" i="31"/>
  <c r="IN7" i="29"/>
  <c r="VZ82" i="1"/>
  <c r="IN7" i="31"/>
  <c r="IQ8" i="29"/>
  <c r="IQ44" i="29" s="1"/>
  <c r="IQ8" i="31"/>
  <c r="IR7" i="29"/>
  <c r="VZ86" i="1"/>
  <c r="IR7" i="31"/>
  <c r="IX8" i="29"/>
  <c r="IX8" i="31"/>
  <c r="IV7" i="29"/>
  <c r="VZ90" i="1"/>
  <c r="IV7" i="31"/>
  <c r="IZ8" i="29"/>
  <c r="IZ8" i="31"/>
  <c r="IY7" i="29"/>
  <c r="IY98" i="29" s="1"/>
  <c r="IY102" i="31" s="1"/>
  <c r="VZ94" i="1"/>
  <c r="IY7" i="31"/>
  <c r="GM8" i="29"/>
  <c r="GM8" i="31"/>
  <c r="GJ7" i="29"/>
  <c r="VZ98" i="1"/>
  <c r="GJ7" i="31"/>
  <c r="AT8" i="29"/>
  <c r="AT9" i="29" s="1"/>
  <c r="AT8" i="31"/>
  <c r="AV7" i="29"/>
  <c r="VZ102" i="1"/>
  <c r="AV7" i="31"/>
  <c r="AU8" i="29"/>
  <c r="AU8" i="31"/>
  <c r="AR7" i="29"/>
  <c r="VZ106" i="1"/>
  <c r="AR7" i="31"/>
  <c r="AY8" i="29"/>
  <c r="AY8" i="31"/>
  <c r="AZ7" i="29"/>
  <c r="AZ44" i="29" s="1"/>
  <c r="VZ110" i="1"/>
  <c r="AZ7" i="31"/>
  <c r="BA8" i="29"/>
  <c r="BA8" i="31"/>
  <c r="BC7" i="29"/>
  <c r="VZ114" i="1"/>
  <c r="BC7" i="31"/>
  <c r="BD8" i="29"/>
  <c r="BD8" i="31"/>
  <c r="BF7" i="29"/>
  <c r="VZ118" i="1"/>
  <c r="BF7" i="31"/>
  <c r="EZ8" i="29"/>
  <c r="EZ8" i="31"/>
  <c r="FA7" i="29"/>
  <c r="VZ122" i="1"/>
  <c r="FA7" i="31"/>
  <c r="FT8" i="29"/>
  <c r="FT8" i="31"/>
  <c r="FU7" i="29"/>
  <c r="FU44" i="29" s="1"/>
  <c r="VZ126" i="1"/>
  <c r="FU7" i="31"/>
  <c r="FY8" i="29"/>
  <c r="FY8" i="31"/>
  <c r="GE7" i="29"/>
  <c r="VZ130" i="1"/>
  <c r="GE7" i="31"/>
  <c r="GR8" i="29"/>
  <c r="GR8" i="31"/>
  <c r="GS7" i="29"/>
  <c r="VZ134" i="1"/>
  <c r="GS7" i="31"/>
  <c r="HF8" i="29"/>
  <c r="HF8" i="31"/>
  <c r="HH7" i="29"/>
  <c r="VZ138" i="1"/>
  <c r="HH7" i="31"/>
  <c r="GB8" i="29"/>
  <c r="GB8" i="31"/>
  <c r="GA7" i="29"/>
  <c r="GA98" i="29" s="1"/>
  <c r="GA102" i="31" s="1"/>
  <c r="VZ142" i="1"/>
  <c r="GA7" i="31"/>
  <c r="GG8" i="29"/>
  <c r="GG8" i="31"/>
  <c r="GI7" i="29"/>
  <c r="VZ146" i="1"/>
  <c r="GI7" i="31"/>
  <c r="BJ8" i="29"/>
  <c r="BJ8" i="31"/>
  <c r="BK7" i="29"/>
  <c r="VZ150" i="1"/>
  <c r="BK7" i="31"/>
  <c r="BM8" i="29"/>
  <c r="BM8" i="31"/>
  <c r="BO7" i="29"/>
  <c r="VZ154" i="1"/>
  <c r="BO7" i="31"/>
  <c r="BQ8" i="29"/>
  <c r="BQ8" i="31"/>
  <c r="BR7" i="29"/>
  <c r="BR44" i="29" s="1"/>
  <c r="VZ158" i="1"/>
  <c r="BR7" i="31"/>
  <c r="FV7" i="29"/>
  <c r="VZ162" i="1"/>
  <c r="FV7" i="31"/>
  <c r="BX8" i="29"/>
  <c r="BX8" i="31"/>
  <c r="BZ7" i="29"/>
  <c r="BZ98" i="29" s="1"/>
  <c r="BZ102" i="31" s="1"/>
  <c r="VZ166" i="1"/>
  <c r="BZ7" i="31"/>
  <c r="BY8" i="29"/>
  <c r="BY8" i="31"/>
  <c r="CG7" i="29"/>
  <c r="VZ170" i="1"/>
  <c r="CG7" i="31"/>
  <c r="CL8" i="29"/>
  <c r="CL44" i="29" s="1"/>
  <c r="CL8" i="31"/>
  <c r="CC7" i="29"/>
  <c r="VZ174" i="1"/>
  <c r="CC7" i="31"/>
  <c r="CD8" i="29"/>
  <c r="CD8" i="31"/>
  <c r="CI7" i="29"/>
  <c r="VZ178" i="1"/>
  <c r="CI7" i="31"/>
  <c r="CQ8" i="29"/>
  <c r="CQ8" i="31"/>
  <c r="CO7" i="29"/>
  <c r="CO98" i="29" s="1"/>
  <c r="CO102" i="31" s="1"/>
  <c r="VZ182" i="1"/>
  <c r="CO7" i="31"/>
  <c r="CR8" i="29"/>
  <c r="CR8" i="31"/>
  <c r="CS7" i="29"/>
  <c r="VZ186" i="1"/>
  <c r="CS7" i="31"/>
  <c r="CV8" i="29"/>
  <c r="CV8" i="31"/>
  <c r="CZ7" i="29"/>
  <c r="VZ190" i="1"/>
  <c r="CZ7" i="31"/>
  <c r="CX8" i="29"/>
  <c r="CX8" i="31"/>
  <c r="DA7" i="29"/>
  <c r="VZ194" i="1"/>
  <c r="DA7" i="31"/>
  <c r="DD8" i="29"/>
  <c r="DD8" i="31"/>
  <c r="DE7" i="29"/>
  <c r="DE98" i="29" s="1"/>
  <c r="DE102" i="31" s="1"/>
  <c r="VZ198" i="1"/>
  <c r="DE7" i="31"/>
  <c r="FD8" i="29"/>
  <c r="FD8" i="31"/>
  <c r="FC7" i="29"/>
  <c r="VZ202" i="1"/>
  <c r="FC7" i="31"/>
  <c r="DG8" i="29"/>
  <c r="DG9" i="29" s="1"/>
  <c r="DG8" i="31"/>
  <c r="DH7" i="29"/>
  <c r="VZ206" i="1"/>
  <c r="DH7" i="31"/>
  <c r="DK8" i="29"/>
  <c r="DK8" i="31"/>
  <c r="DL7" i="29"/>
  <c r="VZ210" i="1"/>
  <c r="DL7" i="31"/>
  <c r="GU8" i="29"/>
  <c r="GU8" i="31"/>
  <c r="GT7" i="29"/>
  <c r="GT9" i="29" s="1"/>
  <c r="VZ214" i="1"/>
  <c r="GT7" i="31"/>
  <c r="DQ8" i="29"/>
  <c r="DQ8" i="31"/>
  <c r="DP7" i="29"/>
  <c r="VZ218" i="1"/>
  <c r="DP7" i="31"/>
  <c r="DT8" i="29"/>
  <c r="DT9" i="29" s="1"/>
  <c r="DT8" i="31"/>
  <c r="JC7" i="29"/>
  <c r="VZ222" i="1"/>
  <c r="JC7" i="31"/>
  <c r="JB8" i="29"/>
  <c r="JB8" i="31"/>
  <c r="FB8" i="29"/>
  <c r="FB8" i="31"/>
  <c r="FH7" i="29"/>
  <c r="VZ230" i="1"/>
  <c r="FH7" i="31"/>
  <c r="FN8" i="29"/>
  <c r="FN44" i="29" s="1"/>
  <c r="FN8" i="31"/>
  <c r="FP7" i="29"/>
  <c r="VZ234" i="1"/>
  <c r="FP7" i="31"/>
  <c r="FR8" i="29"/>
  <c r="FR8" i="31"/>
  <c r="FO7" i="29"/>
  <c r="VZ238" i="1"/>
  <c r="FO7" i="31"/>
  <c r="DY8" i="29"/>
  <c r="DY44" i="29" s="1"/>
  <c r="DY8" i="31"/>
  <c r="DZ7" i="29"/>
  <c r="DZ98" i="29" s="1"/>
  <c r="DZ102" i="31" s="1"/>
  <c r="VZ242" i="1"/>
  <c r="DZ7" i="31"/>
  <c r="EC8" i="29"/>
  <c r="EC8" i="31"/>
  <c r="ED7" i="29"/>
  <c r="VZ246" i="1"/>
  <c r="ED7" i="31"/>
  <c r="FK8" i="29"/>
  <c r="FK44" i="29" s="1"/>
  <c r="FK8" i="31"/>
  <c r="EI7" i="29"/>
  <c r="VZ250" i="1"/>
  <c r="EI7" i="31"/>
  <c r="EJ8" i="29"/>
  <c r="EJ8" i="31"/>
  <c r="EF7" i="29"/>
  <c r="VZ254" i="1"/>
  <c r="EF7" i="31"/>
  <c r="JE8" i="29"/>
  <c r="JE9" i="29" s="1"/>
  <c r="JE8" i="31"/>
  <c r="JG7" i="29"/>
  <c r="JO7" i="29" s="1"/>
  <c r="JO98" i="29" s="1"/>
  <c r="VZ258" i="1"/>
  <c r="JG7" i="31"/>
  <c r="E8" i="29"/>
  <c r="E8" i="31"/>
  <c r="EK7" i="29"/>
  <c r="VZ262" i="1"/>
  <c r="EK7" i="31"/>
  <c r="CS51" i="29"/>
  <c r="CS55" i="31" s="1"/>
  <c r="JP46" i="29"/>
  <c r="DO55" i="29"/>
  <c r="DO56" i="29" s="1"/>
  <c r="AK55" i="31"/>
  <c r="AK55" i="29"/>
  <c r="CS165" i="29"/>
  <c r="CS169" i="31" s="1"/>
  <c r="CS167" i="31"/>
  <c r="CA155" i="29"/>
  <c r="FC55" i="31"/>
  <c r="FC65" i="29"/>
  <c r="FC69" i="31" s="1"/>
  <c r="FC55" i="29"/>
  <c r="BT55" i="31"/>
  <c r="BT55" i="29"/>
  <c r="HJ167" i="31"/>
  <c r="HO55" i="31"/>
  <c r="HO55" i="29"/>
  <c r="HO65" i="29"/>
  <c r="HU55" i="31"/>
  <c r="HU55" i="29"/>
  <c r="HU65" i="29"/>
  <c r="DI165" i="29"/>
  <c r="DI169" i="31" s="1"/>
  <c r="DI167" i="31"/>
  <c r="BF55" i="31"/>
  <c r="BF55" i="29"/>
  <c r="FS55" i="31"/>
  <c r="FS65" i="29"/>
  <c r="FS69" i="31" s="1"/>
  <c r="FS55" i="29"/>
  <c r="IE55" i="31"/>
  <c r="IE55" i="29"/>
  <c r="IE65" i="29"/>
  <c r="AI53" i="31"/>
  <c r="AI51" i="29"/>
  <c r="AI99" i="29"/>
  <c r="GD55" i="31"/>
  <c r="GD55" i="29"/>
  <c r="GD65" i="29"/>
  <c r="GD69" i="31" s="1"/>
  <c r="O55" i="31"/>
  <c r="O55" i="29"/>
  <c r="HK55" i="31"/>
  <c r="HK65" i="29"/>
  <c r="HK69" i="31" s="1"/>
  <c r="HK55" i="29"/>
  <c r="DK55" i="31"/>
  <c r="DK55" i="29"/>
  <c r="DM55" i="31"/>
  <c r="DM55" i="29"/>
  <c r="HZ55" i="31"/>
  <c r="HZ65" i="29"/>
  <c r="HZ55" i="29"/>
  <c r="CW55" i="31"/>
  <c r="CW55" i="29"/>
  <c r="HF55" i="31"/>
  <c r="HF65" i="29"/>
  <c r="HF69" i="31" s="1"/>
  <c r="HF55" i="29"/>
  <c r="GG55" i="31"/>
  <c r="GG65" i="29"/>
  <c r="GG69" i="31" s="1"/>
  <c r="GG55" i="29"/>
  <c r="HW55" i="31"/>
  <c r="HW55" i="29"/>
  <c r="HW65" i="29"/>
  <c r="CK55" i="31"/>
  <c r="CK55" i="29"/>
  <c r="JI52" i="29"/>
  <c r="G55" i="31"/>
  <c r="G55" i="29"/>
  <c r="HD55" i="31"/>
  <c r="HD55" i="29"/>
  <c r="HD65" i="29"/>
  <c r="HD69" i="31" s="1"/>
  <c r="EG53" i="31"/>
  <c r="EG99" i="29"/>
  <c r="EG51" i="29"/>
  <c r="GI55" i="31"/>
  <c r="GI55" i="29"/>
  <c r="GI65" i="29"/>
  <c r="GI69" i="31" s="1"/>
  <c r="CZ55" i="31"/>
  <c r="CZ55" i="29"/>
  <c r="CL165" i="29"/>
  <c r="CL169" i="31" s="1"/>
  <c r="CL167" i="31"/>
  <c r="CF55" i="31"/>
  <c r="CF55" i="29"/>
  <c r="DX55" i="31"/>
  <c r="DX146" i="29"/>
  <c r="DX150" i="31" s="1"/>
  <c r="DX55" i="29"/>
  <c r="K53" i="31"/>
  <c r="K99" i="29"/>
  <c r="K51" i="29"/>
  <c r="DH55" i="31"/>
  <c r="DH55" i="29"/>
  <c r="IX55" i="31"/>
  <c r="IX55" i="29"/>
  <c r="IX65" i="29"/>
  <c r="CN55" i="31"/>
  <c r="CN55" i="29"/>
  <c r="FP55" i="31"/>
  <c r="FP55" i="29"/>
  <c r="FP65" i="29"/>
  <c r="FP69" i="31" s="1"/>
  <c r="AN159" i="29"/>
  <c r="AN162" i="31"/>
  <c r="EZ55" i="31"/>
  <c r="EZ55" i="29"/>
  <c r="EZ65" i="29"/>
  <c r="EZ69" i="31" s="1"/>
  <c r="DD165" i="29"/>
  <c r="DD169" i="31" s="1"/>
  <c r="DD167" i="31"/>
  <c r="FD167" i="31"/>
  <c r="IN55" i="31"/>
  <c r="IN65" i="29"/>
  <c r="IN55" i="29"/>
  <c r="IT55" i="31"/>
  <c r="IT55" i="29"/>
  <c r="IT65" i="29"/>
  <c r="HL55" i="31"/>
  <c r="HL55" i="29"/>
  <c r="HL65" i="29"/>
  <c r="BV53" i="31"/>
  <c r="BV99" i="29"/>
  <c r="BV51" i="29"/>
  <c r="JD55" i="31"/>
  <c r="JD65" i="29"/>
  <c r="JD55" i="29"/>
  <c r="AF53" i="31"/>
  <c r="AF99" i="29"/>
  <c r="EE55" i="31"/>
  <c r="EE55" i="29"/>
  <c r="AT180" i="29"/>
  <c r="AT174" i="29"/>
  <c r="AT158" i="29"/>
  <c r="AT183" i="29"/>
  <c r="AT181" i="29"/>
  <c r="AS55" i="31"/>
  <c r="AS55" i="29"/>
  <c r="FL55" i="31"/>
  <c r="FL65" i="29"/>
  <c r="FL69" i="31" s="1"/>
  <c r="FL55" i="29"/>
  <c r="CP55" i="31"/>
  <c r="CP55" i="29"/>
  <c r="GU55" i="31"/>
  <c r="GU65" i="29"/>
  <c r="GU69" i="31" s="1"/>
  <c r="GU55" i="29"/>
  <c r="I165" i="29"/>
  <c r="I169" i="31" s="1"/>
  <c r="I167" i="31"/>
  <c r="ED55" i="31"/>
  <c r="ED55" i="29"/>
  <c r="DU165" i="29"/>
  <c r="DU169" i="31" s="1"/>
  <c r="DU167" i="31"/>
  <c r="GO55" i="31"/>
  <c r="GO65" i="29"/>
  <c r="GO69" i="31" s="1"/>
  <c r="GO55" i="29"/>
  <c r="CQ55" i="31"/>
  <c r="CQ55" i="29"/>
  <c r="AP53" i="31"/>
  <c r="AP51" i="29"/>
  <c r="AP99" i="29"/>
  <c r="AP181" i="29"/>
  <c r="IS55" i="31"/>
  <c r="IS55" i="29"/>
  <c r="IS65" i="29"/>
  <c r="BU55" i="31"/>
  <c r="BU55" i="29"/>
  <c r="F55" i="31"/>
  <c r="F55" i="29"/>
  <c r="GZ164" i="29"/>
  <c r="GZ168" i="31" s="1"/>
  <c r="GZ96" i="31"/>
  <c r="AQ159" i="29"/>
  <c r="AQ162" i="31"/>
  <c r="JG55" i="31"/>
  <c r="JG65" i="29"/>
  <c r="JG55" i="29"/>
  <c r="EJ53" i="31"/>
  <c r="EJ173" i="31" s="1"/>
  <c r="EJ114" i="31" s="1"/>
  <c r="EJ99" i="29"/>
  <c r="EJ181" i="29"/>
  <c r="EJ169" i="29"/>
  <c r="EJ110" i="29" s="1"/>
  <c r="BY55" i="31"/>
  <c r="BY55" i="29"/>
  <c r="DY55" i="31"/>
  <c r="DY55" i="29"/>
  <c r="HA55" i="31"/>
  <c r="HA65" i="29"/>
  <c r="HA69" i="31" s="1"/>
  <c r="HA55" i="29"/>
  <c r="CY55" i="31"/>
  <c r="CY55" i="29"/>
  <c r="IK55" i="31"/>
  <c r="IK65" i="29"/>
  <c r="IK55" i="29"/>
  <c r="CB53" i="31"/>
  <c r="CB99" i="29"/>
  <c r="CB51" i="29"/>
  <c r="AP159" i="29"/>
  <c r="AP162" i="31"/>
  <c r="M55" i="31"/>
  <c r="M55" i="29"/>
  <c r="GQ55" i="31"/>
  <c r="GQ55" i="29"/>
  <c r="GQ65" i="29"/>
  <c r="GQ69" i="31" s="1"/>
  <c r="EO55" i="31"/>
  <c r="EO146" i="29"/>
  <c r="EO150" i="31" s="1"/>
  <c r="EO55" i="29"/>
  <c r="EX55" i="31"/>
  <c r="EX65" i="29"/>
  <c r="EX69" i="31" s="1"/>
  <c r="EX55" i="29"/>
  <c r="HI55" i="31"/>
  <c r="HI65" i="29"/>
  <c r="HI69" i="31" s="1"/>
  <c r="HI55" i="29"/>
  <c r="E55" i="31"/>
  <c r="E55" i="29"/>
  <c r="EC55" i="31"/>
  <c r="EC55" i="29"/>
  <c r="CA165" i="29"/>
  <c r="CA169" i="31" s="1"/>
  <c r="CA167" i="31"/>
  <c r="GJ55" i="31"/>
  <c r="GJ65" i="29"/>
  <c r="GJ69" i="31" s="1"/>
  <c r="GJ55" i="29"/>
  <c r="DT53" i="31"/>
  <c r="DT99" i="29"/>
  <c r="DT51" i="29"/>
  <c r="DI55" i="31"/>
  <c r="DI55" i="29"/>
  <c r="FR55" i="31"/>
  <c r="FR55" i="29"/>
  <c r="FR65" i="29"/>
  <c r="FR69" i="31" s="1"/>
  <c r="DQ55" i="31"/>
  <c r="DQ55" i="29"/>
  <c r="HQ55" i="31"/>
  <c r="HQ65" i="29"/>
  <c r="HQ55" i="29"/>
  <c r="ID55" i="31"/>
  <c r="ID55" i="29"/>
  <c r="ID65" i="29"/>
  <c r="AX55" i="31"/>
  <c r="AX55" i="29"/>
  <c r="EM55" i="31"/>
  <c r="EM55" i="29"/>
  <c r="DK165" i="29"/>
  <c r="DK169" i="31" s="1"/>
  <c r="DK167" i="31"/>
  <c r="GM55" i="31"/>
  <c r="GM65" i="29"/>
  <c r="GM69" i="31" s="1"/>
  <c r="GM55" i="29"/>
  <c r="D55" i="31"/>
  <c r="R55" i="31"/>
  <c r="R55" i="29"/>
  <c r="DS53" i="31"/>
  <c r="DS51" i="29"/>
  <c r="DS99" i="29"/>
  <c r="EU55" i="31"/>
  <c r="EU55" i="29"/>
  <c r="EU65" i="29"/>
  <c r="HH55" i="31"/>
  <c r="HH65" i="29"/>
  <c r="HH69" i="31" s="1"/>
  <c r="HH55" i="29"/>
  <c r="AJ53" i="31"/>
  <c r="AJ51" i="29"/>
  <c r="AJ99" i="29"/>
  <c r="DJ165" i="29"/>
  <c r="DJ169" i="31" s="1"/>
  <c r="DJ167" i="31"/>
  <c r="DV55" i="31"/>
  <c r="DV55" i="29"/>
  <c r="H165" i="29"/>
  <c r="H169" i="31" s="1"/>
  <c r="H167" i="31"/>
  <c r="EH55" i="31"/>
  <c r="EH55" i="29"/>
  <c r="CL55" i="31"/>
  <c r="CL55" i="29"/>
  <c r="P55" i="31"/>
  <c r="P55" i="29"/>
  <c r="DX165" i="29"/>
  <c r="DX169" i="31" s="1"/>
  <c r="DX167" i="31"/>
  <c r="FE55" i="31"/>
  <c r="FE65" i="29"/>
  <c r="FE69" i="31" s="1"/>
  <c r="FE55" i="29"/>
  <c r="EK159" i="29"/>
  <c r="EK162" i="31"/>
  <c r="EK173" i="31" s="1"/>
  <c r="EK114" i="31" s="1"/>
  <c r="EK169" i="29"/>
  <c r="EK110" i="29" s="1"/>
  <c r="EW55" i="31"/>
  <c r="EW55" i="29"/>
  <c r="EW65" i="29"/>
  <c r="EW69" i="31" s="1"/>
  <c r="X55" i="31"/>
  <c r="X55" i="29"/>
  <c r="DE55" i="31"/>
  <c r="DE55" i="29"/>
  <c r="FO55" i="31"/>
  <c r="FO65" i="29"/>
  <c r="FO69" i="31" s="1"/>
  <c r="FO55" i="29"/>
  <c r="S55" i="31"/>
  <c r="S55" i="29"/>
  <c r="AQ55" i="31"/>
  <c r="AQ55" i="29"/>
  <c r="IV55" i="31"/>
  <c r="IV65" i="29"/>
  <c r="IV55" i="29"/>
  <c r="GA55" i="31"/>
  <c r="GA65" i="29"/>
  <c r="GA69" i="31" s="1"/>
  <c r="GA55" i="29"/>
  <c r="DD55" i="31"/>
  <c r="DD55" i="29"/>
  <c r="FD164" i="29"/>
  <c r="FD168" i="31" s="1"/>
  <c r="FD96" i="31"/>
  <c r="BH55" i="31"/>
  <c r="BH55" i="29"/>
  <c r="DC55" i="31"/>
  <c r="DC55" i="29"/>
  <c r="L55" i="31"/>
  <c r="L55" i="29"/>
  <c r="IR55" i="31"/>
  <c r="IR55" i="29"/>
  <c r="IR65" i="29"/>
  <c r="CR55" i="31"/>
  <c r="CR55" i="29"/>
  <c r="IP55" i="31"/>
  <c r="IP65" i="29"/>
  <c r="IP55" i="29"/>
  <c r="JA55" i="31"/>
  <c r="JA65" i="29"/>
  <c r="JA55" i="29"/>
  <c r="HN55" i="31"/>
  <c r="HN65" i="29"/>
  <c r="HN55" i="29"/>
  <c r="FK55" i="31"/>
  <c r="FK55" i="29"/>
  <c r="FK65" i="29"/>
  <c r="FK69" i="31" s="1"/>
  <c r="EB55" i="31"/>
  <c r="EB55" i="29"/>
  <c r="IL55" i="31"/>
  <c r="IL65" i="29"/>
  <c r="IL55" i="29"/>
  <c r="GK55" i="31"/>
  <c r="GK65" i="29"/>
  <c r="GK69" i="31" s="1"/>
  <c r="GK55" i="29"/>
  <c r="N55" i="31"/>
  <c r="N55" i="29"/>
  <c r="HR55" i="31"/>
  <c r="HR65" i="29"/>
  <c r="HR55" i="29"/>
  <c r="FZ55" i="31"/>
  <c r="FZ55" i="29"/>
  <c r="FZ65" i="29"/>
  <c r="FZ69" i="31" s="1"/>
  <c r="BP55" i="31"/>
  <c r="BP55" i="29"/>
  <c r="N158" i="29"/>
  <c r="N180" i="29"/>
  <c r="N183" i="29"/>
  <c r="N174" i="29"/>
  <c r="N181" i="29"/>
  <c r="I55" i="31"/>
  <c r="I55" i="29"/>
  <c r="GS55" i="31"/>
  <c r="GS55" i="29"/>
  <c r="GS65" i="29"/>
  <c r="GS69" i="31" s="1"/>
  <c r="CD55" i="31"/>
  <c r="CD55" i="29"/>
  <c r="EY55" i="31"/>
  <c r="EY65" i="29"/>
  <c r="EY69" i="31" s="1"/>
  <c r="EY55" i="29"/>
  <c r="BJ55" i="31"/>
  <c r="BJ55" i="29"/>
  <c r="FA55" i="31"/>
  <c r="FA65" i="29"/>
  <c r="FA69" i="31" s="1"/>
  <c r="FA55" i="29"/>
  <c r="FH55" i="31"/>
  <c r="FH65" i="29"/>
  <c r="FH69" i="31" s="1"/>
  <c r="FH55" i="29"/>
  <c r="AD55" i="31"/>
  <c r="AD55" i="29"/>
  <c r="JM50" i="31"/>
  <c r="IQ55" i="31"/>
  <c r="IQ65" i="29"/>
  <c r="IQ55" i="29"/>
  <c r="EJ163" i="29"/>
  <c r="Q55" i="31"/>
  <c r="Q55" i="29"/>
  <c r="BR55" i="31"/>
  <c r="BR55" i="29"/>
  <c r="HV55" i="31"/>
  <c r="HV65" i="29"/>
  <c r="HV55" i="29"/>
  <c r="IW55" i="31"/>
  <c r="IW65" i="29"/>
  <c r="IW55" i="29"/>
  <c r="W55" i="31"/>
  <c r="W55" i="29"/>
  <c r="BW53" i="31"/>
  <c r="BW51" i="29"/>
  <c r="BW99" i="29"/>
  <c r="IF55" i="31"/>
  <c r="IF55" i="29"/>
  <c r="IF65" i="29"/>
  <c r="FI55" i="31"/>
  <c r="FI65" i="29"/>
  <c r="FI69" i="31" s="1"/>
  <c r="FI55" i="29"/>
  <c r="ET55" i="31"/>
  <c r="ET65" i="29"/>
  <c r="ET55" i="29"/>
  <c r="BE55" i="31"/>
  <c r="BE55" i="29"/>
  <c r="HB55" i="31"/>
  <c r="HB65" i="29"/>
  <c r="HB69" i="31" s="1"/>
  <c r="HB55" i="29"/>
  <c r="GE55" i="31"/>
  <c r="GE65" i="29"/>
  <c r="GE69" i="31" s="1"/>
  <c r="GE55" i="29"/>
  <c r="IU55" i="31"/>
  <c r="IU65" i="29"/>
  <c r="IU55" i="29"/>
  <c r="BM53" i="31"/>
  <c r="BM99" i="29"/>
  <c r="BM51" i="29"/>
  <c r="GL55" i="31"/>
  <c r="GL65" i="29"/>
  <c r="GL69" i="31" s="1"/>
  <c r="GL55" i="29"/>
  <c r="AT176" i="31"/>
  <c r="DO53" i="31"/>
  <c r="DO99" i="29"/>
  <c r="CJ55" i="31"/>
  <c r="CJ55" i="29"/>
  <c r="CA129" i="29"/>
  <c r="CA133" i="31" s="1"/>
  <c r="CA132" i="31"/>
  <c r="HJ55" i="31"/>
  <c r="HJ65" i="29"/>
  <c r="HJ69" i="31" s="1"/>
  <c r="HJ55" i="29"/>
  <c r="HO164" i="29"/>
  <c r="HO168" i="31" s="1"/>
  <c r="HO96" i="31"/>
  <c r="AO55" i="31"/>
  <c r="AO55" i="29"/>
  <c r="GF55" i="31"/>
  <c r="GF65" i="29"/>
  <c r="GF69" i="31" s="1"/>
  <c r="GF55" i="29"/>
  <c r="BZ55" i="31"/>
  <c r="BZ55" i="29"/>
  <c r="FN55" i="31"/>
  <c r="FN65" i="29"/>
  <c r="FN69" i="31" s="1"/>
  <c r="FN55" i="29"/>
  <c r="AU55" i="31"/>
  <c r="AU55" i="29"/>
  <c r="FR167" i="31"/>
  <c r="EF55" i="31"/>
  <c r="EF55" i="29"/>
  <c r="CC55" i="31"/>
  <c r="CC55" i="29"/>
  <c r="EI55" i="31"/>
  <c r="EI55" i="29"/>
  <c r="FQ55" i="31"/>
  <c r="FQ65" i="29"/>
  <c r="FQ69" i="31" s="1"/>
  <c r="FQ55" i="29"/>
  <c r="BQ165" i="29"/>
  <c r="BQ169" i="31" s="1"/>
  <c r="BQ167" i="31"/>
  <c r="HS55" i="31"/>
  <c r="HS65" i="29"/>
  <c r="HS55" i="29"/>
  <c r="V55" i="31"/>
  <c r="V55" i="29"/>
  <c r="DF55" i="31"/>
  <c r="DF55" i="29"/>
  <c r="BD55" i="31"/>
  <c r="BD55" i="29"/>
  <c r="GT55" i="31"/>
  <c r="GT55" i="29"/>
  <c r="GT65" i="29"/>
  <c r="GT69" i="31" s="1"/>
  <c r="HP55" i="31"/>
  <c r="HP65" i="29"/>
  <c r="HP55" i="29"/>
  <c r="IB55" i="31"/>
  <c r="IB55" i="29"/>
  <c r="IB65" i="29"/>
  <c r="FX55" i="31"/>
  <c r="FX65" i="29"/>
  <c r="FX69" i="31" s="1"/>
  <c r="FX55" i="29"/>
  <c r="JE55" i="31"/>
  <c r="JE55" i="29"/>
  <c r="JE65" i="29"/>
  <c r="CH165" i="29"/>
  <c r="CH169" i="31" s="1"/>
  <c r="CH167" i="31"/>
  <c r="DB55" i="31"/>
  <c r="DB55" i="29"/>
  <c r="IZ55" i="31"/>
  <c r="IZ55" i="29"/>
  <c r="IZ65" i="29"/>
  <c r="CT165" i="29"/>
  <c r="CT169" i="31" s="1"/>
  <c r="CT167" i="31"/>
  <c r="BC55" i="31"/>
  <c r="BC55" i="29"/>
  <c r="DJ55" i="31"/>
  <c r="DJ55" i="29"/>
  <c r="U55" i="31"/>
  <c r="U55" i="29"/>
  <c r="H55" i="31"/>
  <c r="H55" i="29"/>
  <c r="Y55" i="31"/>
  <c r="Y55" i="29"/>
  <c r="FW55" i="31"/>
  <c r="FW65" i="29"/>
  <c r="FW69" i="31" s="1"/>
  <c r="FW55" i="29"/>
  <c r="JH55" i="31"/>
  <c r="JH55" i="29"/>
  <c r="JH65" i="29"/>
  <c r="CI55" i="31"/>
  <c r="CI55" i="29"/>
  <c r="JC55" i="31"/>
  <c r="JC65" i="29"/>
  <c r="JC55" i="29"/>
  <c r="II55" i="31"/>
  <c r="II65" i="29"/>
  <c r="II55" i="29"/>
  <c r="BL53" i="31"/>
  <c r="BL51" i="29"/>
  <c r="BL99" i="29"/>
  <c r="DP55" i="31"/>
  <c r="DP55" i="29"/>
  <c r="AR55" i="31"/>
  <c r="AR55" i="29"/>
  <c r="FD55" i="31"/>
  <c r="FD65" i="29"/>
  <c r="FD69" i="31" s="1"/>
  <c r="FD55" i="29"/>
  <c r="AT55" i="31"/>
  <c r="AT55" i="29"/>
  <c r="Z55" i="31"/>
  <c r="Z55" i="29"/>
  <c r="IA55" i="31"/>
  <c r="IA55" i="29"/>
  <c r="IA65" i="29"/>
  <c r="AN55" i="31"/>
  <c r="AN55" i="29"/>
  <c r="HC55" i="31"/>
  <c r="HC65" i="29"/>
  <c r="HC69" i="31" s="1"/>
  <c r="HC55" i="29"/>
  <c r="IG55" i="31"/>
  <c r="IG55" i="29"/>
  <c r="IG65" i="29"/>
  <c r="AZ55" i="31"/>
  <c r="AZ55" i="29"/>
  <c r="HT55" i="31"/>
  <c r="HT65" i="29"/>
  <c r="HT55" i="29"/>
  <c r="BI55" i="31"/>
  <c r="BI55" i="29"/>
  <c r="ES55" i="31"/>
  <c r="ES146" i="29"/>
  <c r="ES150" i="31" s="1"/>
  <c r="ES55" i="29"/>
  <c r="GX55" i="31"/>
  <c r="GX55" i="29"/>
  <c r="GX65" i="29"/>
  <c r="GX69" i="31" s="1"/>
  <c r="EA55" i="31"/>
  <c r="EA55" i="29"/>
  <c r="BO55" i="31"/>
  <c r="BO55" i="29"/>
  <c r="GZ55" i="31"/>
  <c r="GZ55" i="29"/>
  <c r="GZ65" i="29"/>
  <c r="GZ69" i="31" s="1"/>
  <c r="EJ55" i="31"/>
  <c r="EJ55" i="29"/>
  <c r="FU55" i="31"/>
  <c r="FU55" i="29"/>
  <c r="FU65" i="29"/>
  <c r="FU69" i="31" s="1"/>
  <c r="BB55" i="31"/>
  <c r="BB55" i="29"/>
  <c r="HG55" i="31"/>
  <c r="HG55" i="29"/>
  <c r="HG65" i="29"/>
  <c r="HG69" i="31" s="1"/>
  <c r="AW165" i="29"/>
  <c r="AW169" i="31" s="1"/>
  <c r="AW167" i="31"/>
  <c r="EN55" i="31"/>
  <c r="EN55" i="29"/>
  <c r="EN146" i="29"/>
  <c r="EN150" i="31" s="1"/>
  <c r="CO55" i="31"/>
  <c r="CO55" i="29"/>
  <c r="FF55" i="31"/>
  <c r="FF65" i="29"/>
  <c r="FF69" i="31" s="1"/>
  <c r="FF55" i="29"/>
  <c r="CM55" i="31"/>
  <c r="CM55" i="29"/>
  <c r="EQ53" i="31"/>
  <c r="EQ51" i="29"/>
  <c r="EQ99" i="29"/>
  <c r="ET96" i="31"/>
  <c r="JI92" i="29"/>
  <c r="JI96" i="31" s="1"/>
  <c r="BE165" i="29"/>
  <c r="BE169" i="31" s="1"/>
  <c r="BE167" i="31"/>
  <c r="GE167" i="31"/>
  <c r="DN55" i="31"/>
  <c r="DN55" i="29"/>
  <c r="HM55" i="31"/>
  <c r="HM65" i="29"/>
  <c r="HM55" i="29"/>
  <c r="CX55" i="31"/>
  <c r="CX55" i="29"/>
  <c r="IM55" i="31"/>
  <c r="IM65" i="29"/>
  <c r="IM55" i="29"/>
  <c r="CE55" i="31"/>
  <c r="CE55" i="29"/>
  <c r="DA55" i="31"/>
  <c r="DA55" i="29"/>
  <c r="JO8" i="29"/>
  <c r="CA152" i="29"/>
  <c r="CA156" i="31" s="1"/>
  <c r="CA155" i="31"/>
  <c r="BA55" i="31"/>
  <c r="BA55" i="29"/>
  <c r="HJ164" i="29"/>
  <c r="HJ168" i="31" s="1"/>
  <c r="HJ96" i="31"/>
  <c r="FG55" i="31"/>
  <c r="FG55" i="29"/>
  <c r="FG65" i="29"/>
  <c r="FG69" i="31" s="1"/>
  <c r="AV55" i="31"/>
  <c r="AV55" i="29"/>
  <c r="HO167" i="31"/>
  <c r="AM55" i="31"/>
  <c r="AM55" i="29"/>
  <c r="AB55" i="31"/>
  <c r="AB55" i="29"/>
  <c r="CS53" i="31"/>
  <c r="CS173" i="31" s="1"/>
  <c r="CS114" i="31" s="1"/>
  <c r="CS169" i="29"/>
  <c r="CS110" i="29" s="1"/>
  <c r="CS99" i="29"/>
  <c r="CS181" i="29"/>
  <c r="FR164" i="29"/>
  <c r="FR168" i="31" s="1"/>
  <c r="FR96" i="31"/>
  <c r="EV55" i="31"/>
  <c r="EV55" i="29"/>
  <c r="EV65" i="29"/>
  <c r="EV69" i="31" s="1"/>
  <c r="CV53" i="31"/>
  <c r="CV51" i="29"/>
  <c r="CV99" i="29"/>
  <c r="GV55" i="31"/>
  <c r="GV55" i="29"/>
  <c r="GV65" i="29"/>
  <c r="GV69" i="31" s="1"/>
  <c r="EP55" i="31"/>
  <c r="EP146" i="29"/>
  <c r="EP150" i="31" s="1"/>
  <c r="EP55" i="29"/>
  <c r="HX55" i="31"/>
  <c r="HX65" i="29"/>
  <c r="HX55" i="29"/>
  <c r="GH55" i="31"/>
  <c r="GH65" i="29"/>
  <c r="GH69" i="31" s="1"/>
  <c r="GH55" i="29"/>
  <c r="FB55" i="31"/>
  <c r="FB65" i="29"/>
  <c r="FB69" i="31" s="1"/>
  <c r="FB55" i="29"/>
  <c r="BS55" i="31"/>
  <c r="BS55" i="29"/>
  <c r="BQ53" i="31"/>
  <c r="BQ173" i="31" s="1"/>
  <c r="BQ114" i="31" s="1"/>
  <c r="BQ51" i="29"/>
  <c r="BQ181" i="29"/>
  <c r="BQ169" i="29"/>
  <c r="BQ110" i="29" s="1"/>
  <c r="BQ99" i="29"/>
  <c r="FJ55" i="31"/>
  <c r="FJ65" i="29"/>
  <c r="FJ69" i="31" s="1"/>
  <c r="FJ55" i="29"/>
  <c r="EK55" i="31"/>
  <c r="EK55" i="29"/>
  <c r="GN55" i="31"/>
  <c r="GN55" i="29"/>
  <c r="GN65" i="29"/>
  <c r="GN69" i="31" s="1"/>
  <c r="FT55" i="31"/>
  <c r="FT65" i="29"/>
  <c r="FT69" i="31" s="1"/>
  <c r="FT55" i="29"/>
  <c r="DR51" i="29"/>
  <c r="DR53" i="31"/>
  <c r="DR99" i="29"/>
  <c r="AX159" i="29"/>
  <c r="AX162" i="31"/>
  <c r="CB158" i="29"/>
  <c r="CB183" i="29"/>
  <c r="CB180" i="29"/>
  <c r="CB174" i="29"/>
  <c r="CB181" i="29"/>
  <c r="JL50" i="31"/>
  <c r="BK55" i="31"/>
  <c r="BK55" i="29"/>
  <c r="CH55" i="31"/>
  <c r="CH55" i="29"/>
  <c r="GP55" i="31"/>
  <c r="GP55" i="29"/>
  <c r="GP65" i="29"/>
  <c r="GP69" i="31" s="1"/>
  <c r="IC55" i="31"/>
  <c r="IC65" i="29"/>
  <c r="IC55" i="29"/>
  <c r="DG53" i="31"/>
  <c r="DG99" i="29"/>
  <c r="DG51" i="29"/>
  <c r="CT55" i="31"/>
  <c r="CT55" i="29"/>
  <c r="AH55" i="31"/>
  <c r="AH55" i="29"/>
  <c r="AG55" i="31"/>
  <c r="AG55" i="29"/>
  <c r="GY55" i="31"/>
  <c r="GY55" i="29"/>
  <c r="GY65" i="29"/>
  <c r="GY69" i="31" s="1"/>
  <c r="CI165" i="29"/>
  <c r="CI169" i="31" s="1"/>
  <c r="CI167" i="31"/>
  <c r="EL55" i="31"/>
  <c r="EL55" i="29"/>
  <c r="EL146" i="29"/>
  <c r="EL150" i="31" s="1"/>
  <c r="CG55" i="31"/>
  <c r="CG55" i="29"/>
  <c r="ER55" i="31"/>
  <c r="ER55" i="29"/>
  <c r="ER146" i="29"/>
  <c r="ER150" i="31" s="1"/>
  <c r="JF55" i="31"/>
  <c r="JF55" i="29"/>
  <c r="JF65" i="29"/>
  <c r="BU158" i="29"/>
  <c r="BU183" i="29"/>
  <c r="BU180" i="29"/>
  <c r="BU174" i="29"/>
  <c r="BU181" i="29"/>
  <c r="JO50" i="31"/>
  <c r="HE55" i="31"/>
  <c r="HE65" i="29"/>
  <c r="HE69" i="31" s="1"/>
  <c r="HE55" i="29"/>
  <c r="AF55" i="31"/>
  <c r="AF55" i="29"/>
  <c r="DL55" i="31"/>
  <c r="DL55" i="29"/>
  <c r="BG55" i="31"/>
  <c r="BG55" i="29"/>
  <c r="GW55" i="31"/>
  <c r="GW65" i="29"/>
  <c r="GW69" i="31" s="1"/>
  <c r="GW55" i="29"/>
  <c r="GR55" i="31"/>
  <c r="GR55" i="29"/>
  <c r="GR65" i="29"/>
  <c r="GR69" i="31" s="1"/>
  <c r="GC55" i="31"/>
  <c r="GC55" i="29"/>
  <c r="GC65" i="29"/>
  <c r="GC69" i="31" s="1"/>
  <c r="J53" i="31"/>
  <c r="JM49" i="29"/>
  <c r="JI49" i="29"/>
  <c r="JI53" i="31" s="1"/>
  <c r="J163" i="29"/>
  <c r="J51" i="29"/>
  <c r="J99" i="29"/>
  <c r="J169" i="29"/>
  <c r="J110" i="29" s="1"/>
  <c r="J181" i="29"/>
  <c r="DL158" i="29"/>
  <c r="DL183" i="29"/>
  <c r="DL180" i="29"/>
  <c r="DL174" i="29"/>
  <c r="DL181" i="29"/>
  <c r="DU55" i="31"/>
  <c r="DU55" i="29"/>
  <c r="DU146" i="29"/>
  <c r="DU150" i="31" s="1"/>
  <c r="IY55" i="31"/>
  <c r="IY65" i="29"/>
  <c r="IY55" i="29"/>
  <c r="T55" i="31"/>
  <c r="T55" i="29"/>
  <c r="DW163" i="29"/>
  <c r="DW53" i="31"/>
  <c r="DW173" i="31" s="1"/>
  <c r="DW114" i="31" s="1"/>
  <c r="DW169" i="29"/>
  <c r="DW110" i="29" s="1"/>
  <c r="DW51" i="29"/>
  <c r="DW181" i="29"/>
  <c r="DW99" i="29"/>
  <c r="DZ53" i="31"/>
  <c r="DZ51" i="29"/>
  <c r="DZ99" i="29"/>
  <c r="HY55" i="31"/>
  <c r="HY55" i="29"/>
  <c r="HY65" i="29"/>
  <c r="AA55" i="31"/>
  <c r="AA55" i="29"/>
  <c r="GZ53" i="31"/>
  <c r="GZ169" i="29"/>
  <c r="JN49" i="29"/>
  <c r="JN99" i="29" s="1"/>
  <c r="GZ163" i="29"/>
  <c r="GZ99" i="29"/>
  <c r="GZ103" i="31" s="1"/>
  <c r="AY55" i="31"/>
  <c r="AY55" i="29"/>
  <c r="BU176" i="31"/>
  <c r="CP159" i="29"/>
  <c r="CP162" i="31"/>
  <c r="FM55" i="31"/>
  <c r="FM55" i="29"/>
  <c r="FM65" i="29"/>
  <c r="FM69" i="31" s="1"/>
  <c r="AK53" i="31"/>
  <c r="AK99" i="29"/>
  <c r="IJ55" i="31"/>
  <c r="IJ65" i="29"/>
  <c r="IJ55" i="29"/>
  <c r="AW55" i="31"/>
  <c r="AW55" i="29"/>
  <c r="EN53" i="31"/>
  <c r="EN99" i="29"/>
  <c r="GB55" i="31"/>
  <c r="GB65" i="29"/>
  <c r="GB69" i="31" s="1"/>
  <c r="GB55" i="29"/>
  <c r="BN55" i="31"/>
  <c r="BN55" i="29"/>
  <c r="FY55" i="31"/>
  <c r="FY65" i="29"/>
  <c r="FY69" i="31" s="1"/>
  <c r="FY55" i="29"/>
  <c r="JB55" i="31"/>
  <c r="JB65" i="29"/>
  <c r="JB55" i="29"/>
  <c r="FV55" i="31"/>
  <c r="FV55" i="29"/>
  <c r="FV65" i="29"/>
  <c r="FV69" i="31" s="1"/>
  <c r="AL55" i="31"/>
  <c r="AL55" i="29"/>
  <c r="JN50" i="31"/>
  <c r="GE164" i="29"/>
  <c r="GE168" i="31" s="1"/>
  <c r="GE96" i="31"/>
  <c r="CU55" i="31"/>
  <c r="CU55" i="29"/>
  <c r="IH55" i="31"/>
  <c r="IH55" i="29"/>
  <c r="IH65" i="29"/>
  <c r="DL176" i="31"/>
  <c r="AE55" i="31"/>
  <c r="AE55" i="29"/>
  <c r="BX55" i="31"/>
  <c r="BX55" i="29"/>
  <c r="IO55" i="31"/>
  <c r="IO55" i="29"/>
  <c r="IO65" i="29"/>
  <c r="HN98" i="29"/>
  <c r="HN102" i="31" s="1"/>
  <c r="HN9" i="29"/>
  <c r="HN44" i="29"/>
  <c r="N44" i="29"/>
  <c r="N9" i="29"/>
  <c r="N98" i="29"/>
  <c r="N102" i="31" s="1"/>
  <c r="R44" i="29"/>
  <c r="R9" i="29"/>
  <c r="R98" i="29"/>
  <c r="R102" i="31" s="1"/>
  <c r="U98" i="29"/>
  <c r="U102" i="31" s="1"/>
  <c r="U9" i="29"/>
  <c r="U44" i="29"/>
  <c r="EY44" i="29"/>
  <c r="EY9" i="29"/>
  <c r="EY98" i="29"/>
  <c r="EY102" i="31" s="1"/>
  <c r="ET9" i="29"/>
  <c r="ET44" i="29"/>
  <c r="ET98" i="29"/>
  <c r="ET102" i="31" s="1"/>
  <c r="AA98" i="29"/>
  <c r="AA102" i="31" s="1"/>
  <c r="AA9" i="29"/>
  <c r="AA44" i="29"/>
  <c r="AF98" i="29"/>
  <c r="AF102" i="31" s="1"/>
  <c r="AF9" i="29"/>
  <c r="AF44" i="29"/>
  <c r="AI44" i="29"/>
  <c r="AI9" i="29"/>
  <c r="AI98" i="29"/>
  <c r="AI102" i="31" s="1"/>
  <c r="AM44" i="29"/>
  <c r="AM9" i="29"/>
  <c r="AM98" i="29"/>
  <c r="AM102" i="31" s="1"/>
  <c r="HQ98" i="29"/>
  <c r="HQ102" i="31" s="1"/>
  <c r="HQ9" i="29"/>
  <c r="HQ44" i="29"/>
  <c r="HU98" i="29"/>
  <c r="HU102" i="31" s="1"/>
  <c r="HU44" i="29"/>
  <c r="HU9" i="29"/>
  <c r="HY98" i="29"/>
  <c r="HY102" i="31" s="1"/>
  <c r="HY44" i="29"/>
  <c r="HY9" i="29"/>
  <c r="IB98" i="29"/>
  <c r="IB102" i="31" s="1"/>
  <c r="IB9" i="29"/>
  <c r="IB44" i="29"/>
  <c r="IE44" i="29"/>
  <c r="IE9" i="29"/>
  <c r="IE98" i="29"/>
  <c r="IE102" i="31" s="1"/>
  <c r="II44" i="29"/>
  <c r="II9" i="29"/>
  <c r="II98" i="29"/>
  <c r="II102" i="31" s="1"/>
  <c r="IL9" i="29"/>
  <c r="IL44" i="29"/>
  <c r="IL98" i="29"/>
  <c r="IL102" i="31" s="1"/>
  <c r="IO98" i="29"/>
  <c r="IO102" i="31" s="1"/>
  <c r="IO44" i="29"/>
  <c r="IO9" i="29"/>
  <c r="IT9" i="29"/>
  <c r="IT44" i="29"/>
  <c r="IT98" i="29"/>
  <c r="IT102" i="31" s="1"/>
  <c r="IW98" i="29"/>
  <c r="IW102" i="31" s="1"/>
  <c r="IW9" i="29"/>
  <c r="IW44" i="29"/>
  <c r="GL98" i="29"/>
  <c r="GL102" i="31" s="1"/>
  <c r="GL9" i="29"/>
  <c r="GL44" i="29"/>
  <c r="GW98" i="29"/>
  <c r="GW102" i="31" s="1"/>
  <c r="GW44" i="29"/>
  <c r="GW9" i="29"/>
  <c r="AQ44" i="29"/>
  <c r="AQ9" i="29"/>
  <c r="AQ98" i="29"/>
  <c r="AQ102" i="31" s="1"/>
  <c r="AS98" i="29"/>
  <c r="AS102" i="31" s="1"/>
  <c r="AS44" i="29"/>
  <c r="AS9" i="29"/>
  <c r="HD98" i="29"/>
  <c r="HD102" i="31" s="1"/>
  <c r="HD9" i="29"/>
  <c r="HD44" i="29"/>
  <c r="BB9" i="29"/>
  <c r="BB44" i="29"/>
  <c r="BB98" i="29"/>
  <c r="BB102" i="31" s="1"/>
  <c r="BH98" i="29"/>
  <c r="BH102" i="31" s="1"/>
  <c r="BH9" i="29"/>
  <c r="BH44" i="29"/>
  <c r="FJ98" i="29"/>
  <c r="FJ102" i="31" s="1"/>
  <c r="FJ9" i="29"/>
  <c r="FJ44" i="29"/>
  <c r="FW44" i="29"/>
  <c r="FW9" i="29"/>
  <c r="FW98" i="29"/>
  <c r="FW102" i="31" s="1"/>
  <c r="GN98" i="29"/>
  <c r="GN102" i="31" s="1"/>
  <c r="GN9" i="29"/>
  <c r="GN44" i="29"/>
  <c r="GX9" i="29"/>
  <c r="GX44" i="29"/>
  <c r="GX98" i="29"/>
  <c r="GX102" i="31" s="1"/>
  <c r="HI98" i="29"/>
  <c r="HI102" i="31" s="1"/>
  <c r="HI44" i="29"/>
  <c r="HI9" i="29"/>
  <c r="FZ9" i="29"/>
  <c r="FZ44" i="29"/>
  <c r="FZ98" i="29"/>
  <c r="FZ102" i="31" s="1"/>
  <c r="GF98" i="29"/>
  <c r="GF102" i="31" s="1"/>
  <c r="GF9" i="29"/>
  <c r="GF44" i="29"/>
  <c r="GZ98" i="29"/>
  <c r="GZ102" i="31" s="1"/>
  <c r="GZ9" i="29"/>
  <c r="GZ44" i="29"/>
  <c r="BN98" i="29"/>
  <c r="BN102" i="31" s="1"/>
  <c r="BN9" i="29"/>
  <c r="BN44" i="29"/>
  <c r="BS44" i="29"/>
  <c r="BS9" i="29"/>
  <c r="BS98" i="29"/>
  <c r="BS102" i="31" s="1"/>
  <c r="BV9" i="29"/>
  <c r="BV44" i="29"/>
  <c r="BV98" i="29"/>
  <c r="BV102" i="31" s="1"/>
  <c r="BW44" i="29"/>
  <c r="BW9" i="29"/>
  <c r="BW98" i="29"/>
  <c r="BW102" i="31" s="1"/>
  <c r="CF98" i="29"/>
  <c r="CF102" i="31" s="1"/>
  <c r="CF9" i="29"/>
  <c r="CF44" i="29"/>
  <c r="CH9" i="29"/>
  <c r="CH44" i="29"/>
  <c r="CH98" i="29"/>
  <c r="CH102" i="31" s="1"/>
  <c r="CJ98" i="29"/>
  <c r="CJ102" i="31" s="1"/>
  <c r="CJ9" i="29"/>
  <c r="CJ44" i="29"/>
  <c r="CP9" i="29"/>
  <c r="CP44" i="29"/>
  <c r="CP98" i="29"/>
  <c r="CP102" i="31" s="1"/>
  <c r="CT98" i="29"/>
  <c r="CT102" i="31" s="1"/>
  <c r="CT9" i="29"/>
  <c r="CT44" i="29"/>
  <c r="CY44" i="29"/>
  <c r="CY9" i="29"/>
  <c r="CY98" i="29"/>
  <c r="CY102" i="31" s="1"/>
  <c r="DB9" i="29"/>
  <c r="DB44" i="29"/>
  <c r="DB98" i="29"/>
  <c r="DB102" i="31" s="1"/>
  <c r="DF98" i="29"/>
  <c r="DF102" i="31" s="1"/>
  <c r="DF9" i="29"/>
  <c r="DF44" i="29"/>
  <c r="HA98" i="29"/>
  <c r="HA102" i="31" s="1"/>
  <c r="HA9" i="29"/>
  <c r="HA44" i="29"/>
  <c r="DI98" i="29"/>
  <c r="DI102" i="31" s="1"/>
  <c r="DI9" i="29"/>
  <c r="DI44" i="29"/>
  <c r="DM98" i="29"/>
  <c r="DM102" i="31" s="1"/>
  <c r="DM44" i="29"/>
  <c r="DM9" i="29"/>
  <c r="DN98" i="29"/>
  <c r="DN102" i="31" s="1"/>
  <c r="DN9" i="29"/>
  <c r="DN44" i="29"/>
  <c r="DR9" i="29"/>
  <c r="DR44" i="29"/>
  <c r="DR98" i="29"/>
  <c r="DR102" i="31" s="1"/>
  <c r="JA98" i="29"/>
  <c r="JA102" i="31" s="1"/>
  <c r="JA44" i="29"/>
  <c r="JA9" i="29"/>
  <c r="FF9" i="29"/>
  <c r="FF98" i="29"/>
  <c r="FF102" i="31" s="1"/>
  <c r="FF44" i="29"/>
  <c r="FS44" i="29"/>
  <c r="FS9" i="29"/>
  <c r="FS98" i="29"/>
  <c r="FS102" i="31" s="1"/>
  <c r="GO98" i="29"/>
  <c r="GO102" i="31" s="1"/>
  <c r="GO44" i="29"/>
  <c r="GO9" i="29"/>
  <c r="EA44" i="29"/>
  <c r="EA9" i="29"/>
  <c r="EA98" i="29"/>
  <c r="EA102" i="31" s="1"/>
  <c r="HB9" i="29"/>
  <c r="HB98" i="29"/>
  <c r="HB102" i="31" s="1"/>
  <c r="HB44" i="29"/>
  <c r="EE44" i="29"/>
  <c r="EE9" i="29"/>
  <c r="EE98" i="29"/>
  <c r="EE102" i="31" s="1"/>
  <c r="EG98" i="29"/>
  <c r="EG102" i="31" s="1"/>
  <c r="EG44" i="29"/>
  <c r="EG9" i="29"/>
  <c r="GD98" i="29"/>
  <c r="GD102" i="31" s="1"/>
  <c r="GD9" i="29"/>
  <c r="GD44" i="29"/>
  <c r="EM44" i="29"/>
  <c r="EM9" i="29"/>
  <c r="EM98" i="29"/>
  <c r="EM102" i="31" s="1"/>
  <c r="CA174" i="29"/>
  <c r="CA158" i="29"/>
  <c r="CA162" i="31" s="1"/>
  <c r="CA173" i="31" s="1"/>
  <c r="CA114" i="31" s="1"/>
  <c r="CA183" i="29"/>
  <c r="CA181" i="29"/>
  <c r="CA180" i="29"/>
  <c r="CA187" i="29"/>
  <c r="I9" i="29"/>
  <c r="I44" i="29"/>
  <c r="I98" i="29"/>
  <c r="I102" i="31" s="1"/>
  <c r="G98" i="29"/>
  <c r="G102" i="31" s="1"/>
  <c r="G9" i="29"/>
  <c r="G44" i="29"/>
  <c r="J44" i="29"/>
  <c r="J9" i="29"/>
  <c r="J98" i="29"/>
  <c r="J102" i="31" s="1"/>
  <c r="HM98" i="29"/>
  <c r="HM102" i="31" s="1"/>
  <c r="HM44" i="29"/>
  <c r="HM9" i="29"/>
  <c r="O98" i="29"/>
  <c r="O102" i="31" s="1"/>
  <c r="O9" i="29"/>
  <c r="O44" i="29"/>
  <c r="S98" i="29"/>
  <c r="S102" i="31" s="1"/>
  <c r="S9" i="29"/>
  <c r="S44" i="29"/>
  <c r="V44" i="29"/>
  <c r="V9" i="29"/>
  <c r="V98" i="29"/>
  <c r="V102" i="31" s="1"/>
  <c r="EX9" i="29"/>
  <c r="EX44" i="29"/>
  <c r="EX98" i="29"/>
  <c r="EX102" i="31" s="1"/>
  <c r="JN8" i="29"/>
  <c r="Y98" i="29"/>
  <c r="Y102" i="31" s="1"/>
  <c r="Y9" i="29"/>
  <c r="Y44" i="29"/>
  <c r="AB98" i="29"/>
  <c r="AB102" i="31" s="1"/>
  <c r="AB44" i="29"/>
  <c r="AB9" i="29"/>
  <c r="AJ98" i="29"/>
  <c r="AJ102" i="31" s="1"/>
  <c r="AJ9" i="29"/>
  <c r="AJ44" i="29"/>
  <c r="AN98" i="29"/>
  <c r="AN102" i="31" s="1"/>
  <c r="AN9" i="29"/>
  <c r="AN44" i="29"/>
  <c r="HR98" i="29"/>
  <c r="HR102" i="31" s="1"/>
  <c r="HR9" i="29"/>
  <c r="HR44" i="29"/>
  <c r="HV9" i="29"/>
  <c r="HV44" i="29"/>
  <c r="HV98" i="29"/>
  <c r="HV102" i="31" s="1"/>
  <c r="HZ98" i="29"/>
  <c r="HZ102" i="31" s="1"/>
  <c r="HZ9" i="29"/>
  <c r="HZ44" i="29"/>
  <c r="C98" i="29"/>
  <c r="C102" i="31" s="1"/>
  <c r="C9" i="29"/>
  <c r="JL7" i="29"/>
  <c r="C44" i="29"/>
  <c r="C48" i="31" s="1"/>
  <c r="IG98" i="29"/>
  <c r="IG102" i="31" s="1"/>
  <c r="IG9" i="29"/>
  <c r="IG44" i="29"/>
  <c r="IK98" i="29"/>
  <c r="IK102" i="31" s="1"/>
  <c r="IK44" i="29"/>
  <c r="IK9" i="29"/>
  <c r="GY44" i="29"/>
  <c r="GY9" i="29"/>
  <c r="GY98" i="29"/>
  <c r="GY102" i="31" s="1"/>
  <c r="IP9" i="29"/>
  <c r="IP44" i="29"/>
  <c r="IP98" i="29"/>
  <c r="IP102" i="31" s="1"/>
  <c r="IS98" i="29"/>
  <c r="IS102" i="31" s="1"/>
  <c r="IS44" i="29"/>
  <c r="IS9" i="29"/>
  <c r="IU44" i="29"/>
  <c r="IU9" i="29"/>
  <c r="IU98" i="29"/>
  <c r="IU102" i="31" s="1"/>
  <c r="GK98" i="29"/>
  <c r="GK102" i="31" s="1"/>
  <c r="GK9" i="29"/>
  <c r="GK44" i="29"/>
  <c r="AP9" i="29"/>
  <c r="AP44" i="29"/>
  <c r="AP98" i="29"/>
  <c r="AP102" i="31" s="1"/>
  <c r="AW98" i="29"/>
  <c r="AW102" i="31" s="1"/>
  <c r="AW9" i="29"/>
  <c r="AW44" i="29"/>
  <c r="AX98" i="29"/>
  <c r="AX102" i="31" s="1"/>
  <c r="AX9" i="29"/>
  <c r="AX44" i="29"/>
  <c r="HE98" i="29"/>
  <c r="HE102" i="31" s="1"/>
  <c r="HE44" i="29"/>
  <c r="HE9" i="29"/>
  <c r="BE98" i="29"/>
  <c r="BE102" i="31" s="1"/>
  <c r="BE44" i="29"/>
  <c r="BE9" i="29"/>
  <c r="BG44" i="29"/>
  <c r="BG9" i="29"/>
  <c r="BG98" i="29"/>
  <c r="BG102" i="31" s="1"/>
  <c r="FM98" i="29"/>
  <c r="FM102" i="31" s="1"/>
  <c r="FM44" i="29"/>
  <c r="FM9" i="29"/>
  <c r="FX98" i="29"/>
  <c r="FX102" i="31" s="1"/>
  <c r="FX9" i="29"/>
  <c r="FX44" i="29"/>
  <c r="GQ44" i="29"/>
  <c r="GQ9" i="29"/>
  <c r="GQ98" i="29"/>
  <c r="GQ102" i="31" s="1"/>
  <c r="HG44" i="29"/>
  <c r="HG9" i="29"/>
  <c r="HG98" i="29"/>
  <c r="HG102" i="31" s="1"/>
  <c r="BI98" i="29"/>
  <c r="BI102" i="31" s="1"/>
  <c r="BI44" i="29"/>
  <c r="BI9" i="29"/>
  <c r="GH9" i="29"/>
  <c r="GH44" i="29"/>
  <c r="GH98" i="29"/>
  <c r="GH102" i="31" s="1"/>
  <c r="TR146" i="1"/>
  <c r="UU147" i="1"/>
  <c r="GP9" i="29"/>
  <c r="GP44" i="29"/>
  <c r="GP98" i="29"/>
  <c r="GP102" i="31" s="1"/>
  <c r="TR150" i="1"/>
  <c r="UU151" i="1"/>
  <c r="BL98" i="29"/>
  <c r="BL102" i="31" s="1"/>
  <c r="BL9" i="29"/>
  <c r="BL44" i="29"/>
  <c r="TR154" i="1"/>
  <c r="UU155" i="1"/>
  <c r="BP98" i="29"/>
  <c r="BP102" i="31" s="1"/>
  <c r="BP9" i="29"/>
  <c r="BP44" i="29"/>
  <c r="SO157" i="1"/>
  <c r="UU159" i="1"/>
  <c r="BT98" i="29"/>
  <c r="BT102" i="31" s="1"/>
  <c r="BT9" i="29"/>
  <c r="BT44" i="29"/>
  <c r="BU98" i="29"/>
  <c r="BU102" i="31" s="1"/>
  <c r="BU44" i="29"/>
  <c r="BU9" i="29"/>
  <c r="CB98" i="29"/>
  <c r="CB102" i="31" s="1"/>
  <c r="CB9" i="29"/>
  <c r="CB44" i="29"/>
  <c r="CK98" i="29"/>
  <c r="CK102" i="31" s="1"/>
  <c r="CK44" i="29"/>
  <c r="CK9" i="29"/>
  <c r="CE44" i="29"/>
  <c r="CE9" i="29"/>
  <c r="CE98" i="29"/>
  <c r="CE102" i="31" s="1"/>
  <c r="CN98" i="29"/>
  <c r="CN102" i="31" s="1"/>
  <c r="CN9" i="29"/>
  <c r="CN44" i="29"/>
  <c r="CM44" i="29"/>
  <c r="CM9" i="29"/>
  <c r="CM98" i="29"/>
  <c r="CM102" i="31" s="1"/>
  <c r="CU44" i="29"/>
  <c r="CU9" i="29"/>
  <c r="CU98" i="29"/>
  <c r="CU102" i="31" s="1"/>
  <c r="CW98" i="29"/>
  <c r="CW102" i="31" s="1"/>
  <c r="CW44" i="29"/>
  <c r="CW9" i="29"/>
  <c r="UU195" i="1"/>
  <c r="DC44" i="29"/>
  <c r="DC9" i="29"/>
  <c r="DC98" i="29"/>
  <c r="DC102" i="31" s="1"/>
  <c r="TR198" i="1"/>
  <c r="UU199" i="1"/>
  <c r="FE98" i="29"/>
  <c r="FE102" i="31" s="1"/>
  <c r="FE9" i="29"/>
  <c r="FE44" i="29"/>
  <c r="TR202" i="1"/>
  <c r="UU203" i="1"/>
  <c r="HK44" i="29"/>
  <c r="HK9" i="29"/>
  <c r="HK98" i="29"/>
  <c r="HK102" i="31" s="1"/>
  <c r="SO205" i="1"/>
  <c r="TR206" i="1"/>
  <c r="UU207" i="1"/>
  <c r="DJ98" i="29"/>
  <c r="DJ102" i="31" s="1"/>
  <c r="DJ9" i="29"/>
  <c r="DJ44" i="29"/>
  <c r="TR210" i="1"/>
  <c r="GV98" i="29"/>
  <c r="GV102" i="31" s="1"/>
  <c r="GV9" i="29"/>
  <c r="GV44" i="29"/>
  <c r="DO44" i="29"/>
  <c r="DO9" i="29"/>
  <c r="DO98" i="29"/>
  <c r="DO102" i="31" s="1"/>
  <c r="DS44" i="29"/>
  <c r="DS9" i="29"/>
  <c r="DS98" i="29"/>
  <c r="DS102" i="31" s="1"/>
  <c r="JD98" i="29"/>
  <c r="JD102" i="31" s="1"/>
  <c r="JD9" i="29"/>
  <c r="JD44" i="29"/>
  <c r="DV98" i="29"/>
  <c r="DV102" i="31" s="1"/>
  <c r="DV9" i="29"/>
  <c r="DV44" i="29"/>
  <c r="FG44" i="29"/>
  <c r="FG9" i="29"/>
  <c r="FG98" i="29"/>
  <c r="FG102" i="31" s="1"/>
  <c r="FQ98" i="29"/>
  <c r="FQ102" i="31" s="1"/>
  <c r="FQ44" i="29"/>
  <c r="FQ9" i="29"/>
  <c r="TR238" i="1"/>
  <c r="D98" i="29"/>
  <c r="D102" i="31" s="1"/>
  <c r="D44" i="29"/>
  <c r="D9" i="29"/>
  <c r="EB98" i="29"/>
  <c r="EB102" i="31" s="1"/>
  <c r="EB9" i="29"/>
  <c r="EB44" i="29"/>
  <c r="FL98" i="29"/>
  <c r="FL102" i="31" s="1"/>
  <c r="FL9" i="29"/>
  <c r="FL44" i="29"/>
  <c r="EH9" i="29"/>
  <c r="EH44" i="29"/>
  <c r="EH98" i="29"/>
  <c r="EH102" i="31" s="1"/>
  <c r="JF9" i="29"/>
  <c r="JF44" i="29"/>
  <c r="JF98" i="29"/>
  <c r="JF102" i="31" s="1"/>
  <c r="GC98" i="29"/>
  <c r="GC102" i="31" s="1"/>
  <c r="GC44" i="29"/>
  <c r="GC9" i="29"/>
  <c r="F44" i="29"/>
  <c r="F9" i="29"/>
  <c r="F98" i="29"/>
  <c r="F102" i="31" s="1"/>
  <c r="JM7" i="29"/>
  <c r="JM98" i="29" s="1"/>
  <c r="K98" i="29"/>
  <c r="K102" i="31" s="1"/>
  <c r="K9" i="29"/>
  <c r="K44" i="29"/>
  <c r="L98" i="29"/>
  <c r="L102" i="31" s="1"/>
  <c r="L44" i="29"/>
  <c r="L9" i="29"/>
  <c r="P98" i="29"/>
  <c r="P102" i="31" s="1"/>
  <c r="P9" i="29"/>
  <c r="P44" i="29"/>
  <c r="T98" i="29"/>
  <c r="T102" i="31" s="1"/>
  <c r="T44" i="29"/>
  <c r="T9" i="29"/>
  <c r="EW98" i="29"/>
  <c r="EW102" i="31" s="1"/>
  <c r="EW44" i="29"/>
  <c r="EW9" i="29"/>
  <c r="X98" i="29"/>
  <c r="X102" i="31" s="1"/>
  <c r="X44" i="29"/>
  <c r="X9" i="29"/>
  <c r="Z44" i="29"/>
  <c r="Z9" i="29"/>
  <c r="Z98" i="29"/>
  <c r="Z102" i="31" s="1"/>
  <c r="AE44" i="29"/>
  <c r="AE9" i="29"/>
  <c r="AE98" i="29"/>
  <c r="AE102" i="31" s="1"/>
  <c r="AG98" i="29"/>
  <c r="AG102" i="31" s="1"/>
  <c r="AG9" i="29"/>
  <c r="AG44" i="29"/>
  <c r="AK98" i="29"/>
  <c r="AK102" i="31" s="1"/>
  <c r="AK44" i="29"/>
  <c r="AK9" i="29"/>
  <c r="AO98" i="29"/>
  <c r="AO102" i="31" s="1"/>
  <c r="AO44" i="29"/>
  <c r="HS44" i="29"/>
  <c r="HS9" i="29"/>
  <c r="HS98" i="29"/>
  <c r="HS102" i="31" s="1"/>
  <c r="HW44" i="29"/>
  <c r="HW9" i="29"/>
  <c r="HW98" i="29"/>
  <c r="HW102" i="31" s="1"/>
  <c r="HC44" i="29"/>
  <c r="HC9" i="29"/>
  <c r="HC98" i="29"/>
  <c r="HC102" i="31" s="1"/>
  <c r="JL8" i="29"/>
  <c r="ID98" i="29"/>
  <c r="ID102" i="31" s="1"/>
  <c r="ID9" i="29"/>
  <c r="ID44" i="29"/>
  <c r="IF98" i="29"/>
  <c r="IF102" i="31" s="1"/>
  <c r="IF9" i="29"/>
  <c r="IF44" i="29"/>
  <c r="IH98" i="29"/>
  <c r="IH102" i="31" s="1"/>
  <c r="IH9" i="29"/>
  <c r="IH44" i="29"/>
  <c r="IM44" i="29"/>
  <c r="IM9" i="29"/>
  <c r="IM98" i="29"/>
  <c r="IM102" i="31" s="1"/>
  <c r="IQ9" i="29"/>
  <c r="IQ98" i="29"/>
  <c r="IQ102" i="31" s="1"/>
  <c r="IX98" i="29"/>
  <c r="IX102" i="31" s="1"/>
  <c r="IX9" i="29"/>
  <c r="IX44" i="29"/>
  <c r="IZ98" i="29"/>
  <c r="IZ102" i="31" s="1"/>
  <c r="IZ9" i="29"/>
  <c r="IZ44" i="29"/>
  <c r="GM44" i="29"/>
  <c r="GM9" i="29"/>
  <c r="GM98" i="29"/>
  <c r="GM102" i="31" s="1"/>
  <c r="AT44" i="29"/>
  <c r="AT98" i="29"/>
  <c r="AT102" i="31" s="1"/>
  <c r="AU44" i="29"/>
  <c r="AU9" i="29"/>
  <c r="AU98" i="29"/>
  <c r="AU102" i="31" s="1"/>
  <c r="AY44" i="29"/>
  <c r="AY9" i="29"/>
  <c r="AY98" i="29"/>
  <c r="AY102" i="31" s="1"/>
  <c r="BA98" i="29"/>
  <c r="BA102" i="31" s="1"/>
  <c r="BA44" i="29"/>
  <c r="BA9" i="29"/>
  <c r="BD98" i="29"/>
  <c r="BD102" i="31" s="1"/>
  <c r="BD9" i="29"/>
  <c r="BD44" i="29"/>
  <c r="EZ98" i="29"/>
  <c r="EZ102" i="31" s="1"/>
  <c r="EZ9" i="29"/>
  <c r="EZ44" i="29"/>
  <c r="FT98" i="29"/>
  <c r="FT102" i="31" s="1"/>
  <c r="FT9" i="29"/>
  <c r="FT44" i="29"/>
  <c r="FY98" i="29"/>
  <c r="FY102" i="31" s="1"/>
  <c r="FY44" i="29"/>
  <c r="FY9" i="29"/>
  <c r="GR98" i="29"/>
  <c r="GR102" i="31" s="1"/>
  <c r="GR9" i="29"/>
  <c r="GR44" i="29"/>
  <c r="HF9" i="29"/>
  <c r="HF44" i="29"/>
  <c r="HF98" i="29"/>
  <c r="HF102" i="31" s="1"/>
  <c r="GB98" i="29"/>
  <c r="GB102" i="31" s="1"/>
  <c r="GB9" i="29"/>
  <c r="GB44" i="29"/>
  <c r="GG98" i="29"/>
  <c r="GG102" i="31" s="1"/>
  <c r="GG44" i="29"/>
  <c r="GG9" i="29"/>
  <c r="BJ98" i="29"/>
  <c r="BJ102" i="31" s="1"/>
  <c r="BJ9" i="29"/>
  <c r="BJ44" i="29"/>
  <c r="BM98" i="29"/>
  <c r="BM102" i="31" s="1"/>
  <c r="BM9" i="29"/>
  <c r="BM44" i="29"/>
  <c r="BQ98" i="29"/>
  <c r="BQ102" i="31" s="1"/>
  <c r="BQ44" i="29"/>
  <c r="BQ9" i="29"/>
  <c r="BX98" i="29"/>
  <c r="BX102" i="31" s="1"/>
  <c r="BX9" i="29"/>
  <c r="BX44" i="29"/>
  <c r="BY98" i="29"/>
  <c r="BY102" i="31" s="1"/>
  <c r="BY44" i="29"/>
  <c r="BY9" i="29"/>
  <c r="CL9" i="29"/>
  <c r="CL98" i="29"/>
  <c r="CL102" i="31" s="1"/>
  <c r="CD98" i="29"/>
  <c r="CD102" i="31" s="1"/>
  <c r="CD9" i="29"/>
  <c r="CD44" i="29"/>
  <c r="CQ44" i="29"/>
  <c r="CQ9" i="29"/>
  <c r="CQ98" i="29"/>
  <c r="CQ102" i="31" s="1"/>
  <c r="CR98" i="29"/>
  <c r="CR102" i="31" s="1"/>
  <c r="CR9" i="29"/>
  <c r="CR44" i="29"/>
  <c r="CV98" i="29"/>
  <c r="CV102" i="31" s="1"/>
  <c r="CV44" i="29"/>
  <c r="CX9" i="29"/>
  <c r="CX44" i="29"/>
  <c r="CX98" i="29"/>
  <c r="CX102" i="31" s="1"/>
  <c r="DD98" i="29"/>
  <c r="DD102" i="31" s="1"/>
  <c r="DD9" i="29"/>
  <c r="DD44" i="29"/>
  <c r="FD98" i="29"/>
  <c r="FD102" i="31" s="1"/>
  <c r="FD9" i="29"/>
  <c r="FD44" i="29"/>
  <c r="DG44" i="29"/>
  <c r="DG98" i="29"/>
  <c r="DG102" i="31" s="1"/>
  <c r="DK44" i="29"/>
  <c r="DK9" i="29"/>
  <c r="DK98" i="29"/>
  <c r="DK102" i="31" s="1"/>
  <c r="GU44" i="29"/>
  <c r="GU9" i="29"/>
  <c r="GU98" i="29"/>
  <c r="GU102" i="31" s="1"/>
  <c r="DQ98" i="29"/>
  <c r="DQ102" i="31" s="1"/>
  <c r="DQ44" i="29"/>
  <c r="DQ9" i="29"/>
  <c r="DT98" i="29"/>
  <c r="DT102" i="31" s="1"/>
  <c r="DT44" i="29"/>
  <c r="JB9" i="29"/>
  <c r="JB44" i="29"/>
  <c r="JB98" i="29"/>
  <c r="JB102" i="31" s="1"/>
  <c r="FB9" i="29"/>
  <c r="FB44" i="29"/>
  <c r="FB98" i="29"/>
  <c r="FB102" i="31" s="1"/>
  <c r="FN98" i="29"/>
  <c r="FN102" i="31" s="1"/>
  <c r="FN9" i="29"/>
  <c r="FR9" i="29"/>
  <c r="FR44" i="29"/>
  <c r="FR98" i="29"/>
  <c r="FR102" i="31" s="1"/>
  <c r="DY98" i="29"/>
  <c r="DY102" i="31" s="1"/>
  <c r="DY9" i="29"/>
  <c r="EC98" i="29"/>
  <c r="EC102" i="31" s="1"/>
  <c r="EC44" i="29"/>
  <c r="EC9" i="29"/>
  <c r="FK9" i="29"/>
  <c r="FK98" i="29"/>
  <c r="FK102" i="31" s="1"/>
  <c r="EJ98" i="29"/>
  <c r="EJ102" i="31" s="1"/>
  <c r="EJ9" i="29"/>
  <c r="EJ44" i="29"/>
  <c r="JE98" i="29"/>
  <c r="JE102" i="31" s="1"/>
  <c r="JE44" i="29"/>
  <c r="E98" i="29"/>
  <c r="E102" i="31" s="1"/>
  <c r="E9" i="29"/>
  <c r="E44" i="29"/>
  <c r="H98" i="29"/>
  <c r="H102" i="31" s="1"/>
  <c r="H44" i="29"/>
  <c r="H9" i="29"/>
  <c r="HL98" i="29"/>
  <c r="HL102" i="31" s="1"/>
  <c r="HL9" i="29"/>
  <c r="HL44" i="29"/>
  <c r="M98" i="29"/>
  <c r="M102" i="31" s="1"/>
  <c r="M9" i="29"/>
  <c r="M44" i="29"/>
  <c r="Q98" i="29"/>
  <c r="Q102" i="31" s="1"/>
  <c r="Q44" i="29"/>
  <c r="W98" i="29"/>
  <c r="W102" i="31" s="1"/>
  <c r="W9" i="29"/>
  <c r="W44" i="29"/>
  <c r="EV98" i="29"/>
  <c r="EV102" i="31" s="1"/>
  <c r="EV9" i="29"/>
  <c r="EV44" i="29"/>
  <c r="EU44" i="29"/>
  <c r="EU9" i="29"/>
  <c r="EU98" i="29"/>
  <c r="EU102" i="31" s="1"/>
  <c r="AD9" i="29"/>
  <c r="AD44" i="29"/>
  <c r="AD98" i="29"/>
  <c r="AD102" i="31" s="1"/>
  <c r="AH98" i="29"/>
  <c r="AH102" i="31" s="1"/>
  <c r="AH9" i="29"/>
  <c r="AL9" i="29"/>
  <c r="AL44" i="29"/>
  <c r="AL98" i="29"/>
  <c r="AL102" i="31" s="1"/>
  <c r="HP98" i="29"/>
  <c r="HP102" i="31" s="1"/>
  <c r="HP9" i="29"/>
  <c r="HP44" i="29"/>
  <c r="HT98" i="29"/>
  <c r="HT102" i="31" s="1"/>
  <c r="HT9" i="29"/>
  <c r="HT44" i="29"/>
  <c r="HX98" i="29"/>
  <c r="HX102" i="31" s="1"/>
  <c r="HX9" i="29"/>
  <c r="IA44" i="29"/>
  <c r="IA9" i="29"/>
  <c r="IA98" i="29"/>
  <c r="IA102" i="31" s="1"/>
  <c r="IC98" i="29"/>
  <c r="IC102" i="31" s="1"/>
  <c r="IC44" i="29"/>
  <c r="IC9" i="29"/>
  <c r="IJ98" i="29"/>
  <c r="IJ102" i="31" s="1"/>
  <c r="IJ9" i="29"/>
  <c r="IJ44" i="29"/>
  <c r="FI98" i="29"/>
  <c r="FI102" i="31" s="1"/>
  <c r="FI44" i="29"/>
  <c r="IN98" i="29"/>
  <c r="IN102" i="31" s="1"/>
  <c r="IN9" i="29"/>
  <c r="IN44" i="29"/>
  <c r="IR98" i="29"/>
  <c r="IR102" i="31" s="1"/>
  <c r="IR9" i="29"/>
  <c r="IR44" i="29"/>
  <c r="IV98" i="29"/>
  <c r="IV102" i="31" s="1"/>
  <c r="IV9" i="29"/>
  <c r="IV44" i="29"/>
  <c r="IY44" i="29"/>
  <c r="IY9" i="29"/>
  <c r="GJ98" i="29"/>
  <c r="GJ102" i="31" s="1"/>
  <c r="GJ9" i="29"/>
  <c r="GJ44" i="29"/>
  <c r="AV98" i="29"/>
  <c r="AV102" i="31" s="1"/>
  <c r="AV9" i="29"/>
  <c r="AV44" i="29"/>
  <c r="AR98" i="29"/>
  <c r="AR102" i="31" s="1"/>
  <c r="AR9" i="29"/>
  <c r="AR44" i="29"/>
  <c r="AZ98" i="29"/>
  <c r="AZ102" i="31" s="1"/>
  <c r="AZ9" i="29"/>
  <c r="BC44" i="29"/>
  <c r="BC9" i="29"/>
  <c r="BC98" i="29"/>
  <c r="BC102" i="31" s="1"/>
  <c r="BF9" i="29"/>
  <c r="BF44" i="29"/>
  <c r="BF98" i="29"/>
  <c r="BF102" i="31" s="1"/>
  <c r="FA98" i="29"/>
  <c r="FA102" i="31" s="1"/>
  <c r="FA44" i="29"/>
  <c r="FA9" i="29"/>
  <c r="FU98" i="29"/>
  <c r="FU102" i="31" s="1"/>
  <c r="FU9" i="29"/>
  <c r="GE44" i="29"/>
  <c r="GE9" i="29"/>
  <c r="GE98" i="29"/>
  <c r="GE102" i="31" s="1"/>
  <c r="GS98" i="29"/>
  <c r="GS102" i="31" s="1"/>
  <c r="GS44" i="29"/>
  <c r="GS9" i="29"/>
  <c r="HH98" i="29"/>
  <c r="HH102" i="31" s="1"/>
  <c r="HH9" i="29"/>
  <c r="HH44" i="29"/>
  <c r="GA44" i="29"/>
  <c r="GA9" i="29"/>
  <c r="GI44" i="29"/>
  <c r="GI9" i="29"/>
  <c r="GI98" i="29"/>
  <c r="GI102" i="31" s="1"/>
  <c r="BK44" i="29"/>
  <c r="BK9" i="29"/>
  <c r="BK98" i="29"/>
  <c r="BK102" i="31" s="1"/>
  <c r="BO44" i="29"/>
  <c r="BO9" i="29"/>
  <c r="BO98" i="29"/>
  <c r="BO102" i="31" s="1"/>
  <c r="BR98" i="29"/>
  <c r="BR102" i="31" s="1"/>
  <c r="BR9" i="29"/>
  <c r="FV98" i="29"/>
  <c r="FV102" i="31" s="1"/>
  <c r="FV9" i="29"/>
  <c r="FV44" i="29"/>
  <c r="BZ9" i="29"/>
  <c r="BZ44" i="29"/>
  <c r="CG98" i="29"/>
  <c r="CG102" i="31" s="1"/>
  <c r="CG44" i="29"/>
  <c r="CG9" i="29"/>
  <c r="CC98" i="29"/>
  <c r="CC102" i="31" s="1"/>
  <c r="CC9" i="29"/>
  <c r="CC44" i="29"/>
  <c r="CI44" i="29"/>
  <c r="CI9" i="29"/>
  <c r="CI98" i="29"/>
  <c r="CI102" i="31" s="1"/>
  <c r="CO44" i="29"/>
  <c r="CO9" i="29"/>
  <c r="CS98" i="29"/>
  <c r="CS102" i="31" s="1"/>
  <c r="CS9" i="29"/>
  <c r="CS44" i="29"/>
  <c r="CZ98" i="29"/>
  <c r="CZ102" i="31" s="1"/>
  <c r="CZ9" i="29"/>
  <c r="CZ44" i="29"/>
  <c r="DA98" i="29"/>
  <c r="DA102" i="31" s="1"/>
  <c r="DA44" i="29"/>
  <c r="DA9" i="29"/>
  <c r="DE44" i="29"/>
  <c r="DE9" i="29"/>
  <c r="FC44" i="29"/>
  <c r="FC9" i="29"/>
  <c r="FC98" i="29"/>
  <c r="FC102" i="31" s="1"/>
  <c r="DH98" i="29"/>
  <c r="DH102" i="31" s="1"/>
  <c r="DH9" i="29"/>
  <c r="DH44" i="29"/>
  <c r="DL98" i="29"/>
  <c r="DL102" i="31" s="1"/>
  <c r="DL9" i="29"/>
  <c r="DL44" i="29"/>
  <c r="GT44" i="29"/>
  <c r="GT98" i="29"/>
  <c r="GT102" i="31" s="1"/>
  <c r="DP98" i="29"/>
  <c r="DP102" i="31" s="1"/>
  <c r="DP9" i="29"/>
  <c r="DP44" i="29"/>
  <c r="JC44" i="29"/>
  <c r="JC9" i="29"/>
  <c r="JC98" i="29"/>
  <c r="JC102" i="31" s="1"/>
  <c r="FH98" i="29"/>
  <c r="FH102" i="31" s="1"/>
  <c r="FH9" i="29"/>
  <c r="FH44" i="29"/>
  <c r="FP98" i="29"/>
  <c r="FP102" i="31" s="1"/>
  <c r="FP9" i="29"/>
  <c r="FP44" i="29"/>
  <c r="FO44" i="29"/>
  <c r="FO9" i="29"/>
  <c r="FO98" i="29"/>
  <c r="FO102" i="31" s="1"/>
  <c r="DZ9" i="29"/>
  <c r="ED9" i="29"/>
  <c r="ED44" i="29"/>
  <c r="ED98" i="29"/>
  <c r="ED102" i="31" s="1"/>
  <c r="EI44" i="29"/>
  <c r="EI9" i="29"/>
  <c r="EI98" i="29"/>
  <c r="EI102" i="31" s="1"/>
  <c r="EF98" i="29"/>
  <c r="EF102" i="31" s="1"/>
  <c r="EF9" i="29"/>
  <c r="EF44" i="29"/>
  <c r="EK98" i="29"/>
  <c r="EK102" i="31" s="1"/>
  <c r="EK44" i="29"/>
  <c r="EK9" i="29"/>
  <c r="JL55" i="29"/>
  <c r="C56" i="29"/>
  <c r="C60" i="31" s="1"/>
  <c r="VB212" i="1"/>
  <c r="TR217" i="1"/>
  <c r="TR231" i="1"/>
  <c r="UU212" i="1"/>
  <c r="UT212" i="1" s="1"/>
  <c r="SO238" i="1"/>
  <c r="UO137" i="1"/>
  <c r="SI141" i="1"/>
  <c r="SO221" i="1"/>
  <c r="SV241" i="1"/>
  <c r="SO175" i="1"/>
  <c r="SI184" i="1"/>
  <c r="SO188" i="1"/>
  <c r="TR189" i="1"/>
  <c r="UU190" i="1"/>
  <c r="VB199" i="1"/>
  <c r="SO200" i="1"/>
  <c r="SV205" i="1"/>
  <c r="UU206" i="1"/>
  <c r="TY207" i="1"/>
  <c r="VB208" i="1"/>
  <c r="TR209" i="1"/>
  <c r="UU213" i="1"/>
  <c r="VB219" i="1"/>
  <c r="TR220" i="1"/>
  <c r="UU221" i="1"/>
  <c r="UU225" i="1"/>
  <c r="UU237" i="1"/>
  <c r="TR239" i="1"/>
  <c r="UU240" i="1"/>
  <c r="SO246" i="1"/>
  <c r="TR247" i="1"/>
  <c r="SO250" i="1"/>
  <c r="TR251" i="1"/>
  <c r="UU252" i="1"/>
  <c r="TR259" i="1"/>
  <c r="UU260" i="1"/>
  <c r="SO262" i="1"/>
  <c r="TR263" i="1"/>
  <c r="TL50" i="1"/>
  <c r="SO63" i="1"/>
  <c r="TR64" i="1"/>
  <c r="UU68" i="1"/>
  <c r="TR99" i="1"/>
  <c r="TY110" i="1"/>
  <c r="TY112" i="1"/>
  <c r="SV117" i="1"/>
  <c r="TR148" i="1"/>
  <c r="SO151" i="1"/>
  <c r="UU153" i="1"/>
  <c r="UU161" i="1"/>
  <c r="TR164" i="1"/>
  <c r="TR172" i="1"/>
  <c r="UU173" i="1"/>
  <c r="TL189" i="1"/>
  <c r="SO198" i="1"/>
  <c r="SN198" i="1" s="1"/>
  <c r="UU200" i="1"/>
  <c r="SO202" i="1"/>
  <c r="TR203" i="1"/>
  <c r="TR214" i="1"/>
  <c r="UU215" i="1"/>
  <c r="SO217" i="1"/>
  <c r="UU219" i="1"/>
  <c r="TR221" i="1"/>
  <c r="TR222" i="1"/>
  <c r="SO229" i="1"/>
  <c r="TR233" i="1"/>
  <c r="UU234" i="1"/>
  <c r="TR240" i="1"/>
  <c r="TR13" i="1"/>
  <c r="SO16" i="1"/>
  <c r="UU18" i="1"/>
  <c r="SO20" i="1"/>
  <c r="TR21" i="1"/>
  <c r="TL28" i="1"/>
  <c r="UO28" i="1"/>
  <c r="SI29" i="1"/>
  <c r="SV29" i="1"/>
  <c r="TR29" i="1"/>
  <c r="UU30" i="1"/>
  <c r="SO32" i="1"/>
  <c r="TR33" i="1"/>
  <c r="UU50" i="1"/>
  <c r="TR53" i="1"/>
  <c r="UU70" i="1"/>
  <c r="SO72" i="1"/>
  <c r="SO76" i="1"/>
  <c r="SO80" i="1"/>
  <c r="TR85" i="1"/>
  <c r="TR89" i="1"/>
  <c r="SO92" i="1"/>
  <c r="TR93" i="1"/>
  <c r="SO96" i="1"/>
  <c r="TL183" i="1"/>
  <c r="SV184" i="1"/>
  <c r="TR184" i="1"/>
  <c r="SI185" i="1"/>
  <c r="UU185" i="1"/>
  <c r="UU189" i="1"/>
  <c r="SO191" i="1"/>
  <c r="TR192" i="1"/>
  <c r="UU193" i="1"/>
  <c r="TR196" i="1"/>
  <c r="TR223" i="1"/>
  <c r="TR227" i="1"/>
  <c r="SO233" i="1"/>
  <c r="TR234" i="1"/>
  <c r="SO240" i="1"/>
  <c r="TR242" i="1"/>
  <c r="TR250" i="1"/>
  <c r="UU251" i="1"/>
  <c r="UU255" i="1"/>
  <c r="SO257" i="1"/>
  <c r="UU259" i="1"/>
  <c r="TR262" i="1"/>
  <c r="TR74" i="1"/>
  <c r="TR86" i="1"/>
  <c r="TR94" i="1"/>
  <c r="TY124" i="1"/>
  <c r="SO125" i="1"/>
  <c r="SN125" i="1" s="1"/>
  <c r="SH125" i="1" s="1"/>
  <c r="TR126" i="1"/>
  <c r="TR193" i="1"/>
  <c r="UU194" i="1"/>
  <c r="SV198" i="1"/>
  <c r="UU232" i="1"/>
  <c r="SO14" i="1"/>
  <c r="SO18" i="1"/>
  <c r="SN18" i="1" s="1"/>
  <c r="TR19" i="1"/>
  <c r="UU20" i="1"/>
  <c r="TR23" i="1"/>
  <c r="UU24" i="1"/>
  <c r="SO26" i="1"/>
  <c r="VB65" i="1"/>
  <c r="TL66" i="1"/>
  <c r="UO67" i="1"/>
  <c r="VB67" i="1"/>
  <c r="UU110" i="1"/>
  <c r="SV111" i="1"/>
  <c r="SO112" i="1"/>
  <c r="SV9" i="1"/>
  <c r="TY10" i="1"/>
  <c r="TL106" i="1"/>
  <c r="VB109" i="1"/>
  <c r="UO39" i="1"/>
  <c r="SI45" i="1"/>
  <c r="UO47" i="1"/>
  <c r="SI49" i="1"/>
  <c r="TY50" i="1"/>
  <c r="TL61" i="1"/>
  <c r="SO83" i="1"/>
  <c r="TR88" i="1"/>
  <c r="UU89" i="1"/>
  <c r="UT89" i="1" s="1"/>
  <c r="TR96" i="1"/>
  <c r="UO97" i="1"/>
  <c r="SO99" i="1"/>
  <c r="UU109" i="1"/>
  <c r="VB127" i="1"/>
  <c r="TL128" i="1"/>
  <c r="SV129" i="1"/>
  <c r="UO129" i="1"/>
  <c r="VB135" i="1"/>
  <c r="TL136" i="1"/>
  <c r="SV137" i="1"/>
  <c r="TY235" i="1"/>
  <c r="UU178" i="1"/>
  <c r="SO180" i="1"/>
  <c r="UO188" i="1"/>
  <c r="TY189" i="1"/>
  <c r="TQ189" i="1" s="1"/>
  <c r="TL190" i="1"/>
  <c r="TY193" i="1"/>
  <c r="SV202" i="1"/>
  <c r="TY203" i="1"/>
  <c r="VB204" i="1"/>
  <c r="SI205" i="1"/>
  <c r="VB220" i="1"/>
  <c r="SI222" i="1"/>
  <c r="SO225" i="1"/>
  <c r="TR230" i="1"/>
  <c r="TR110" i="1"/>
  <c r="TQ110" i="1" s="1"/>
  <c r="TY116" i="1"/>
  <c r="UU118" i="1"/>
  <c r="VB121" i="1"/>
  <c r="UU122" i="1"/>
  <c r="SO124" i="1"/>
  <c r="TL124" i="1"/>
  <c r="SO146" i="1"/>
  <c r="TR147" i="1"/>
  <c r="UU148" i="1"/>
  <c r="SO150" i="1"/>
  <c r="TR151" i="1"/>
  <c r="UU152" i="1"/>
  <c r="SO154" i="1"/>
  <c r="UU156" i="1"/>
  <c r="SO158" i="1"/>
  <c r="TR159" i="1"/>
  <c r="UU160" i="1"/>
  <c r="SO162" i="1"/>
  <c r="TR163" i="1"/>
  <c r="UU164" i="1"/>
  <c r="SO166" i="1"/>
  <c r="TR167" i="1"/>
  <c r="UU168" i="1"/>
  <c r="SO170" i="1"/>
  <c r="TR171" i="1"/>
  <c r="UO175" i="1"/>
  <c r="UO176" i="1"/>
  <c r="SO206" i="1"/>
  <c r="TR207" i="1"/>
  <c r="VB216" i="1"/>
  <c r="VB223" i="1"/>
  <c r="SV225" i="1"/>
  <c r="SO226" i="1"/>
  <c r="SO231" i="1"/>
  <c r="SO237" i="1"/>
  <c r="TR254" i="1"/>
  <c r="TQ254" i="1" s="1"/>
  <c r="TR258" i="1"/>
  <c r="SO113" i="1"/>
  <c r="TR114" i="1"/>
  <c r="UU115" i="1"/>
  <c r="SV119" i="1"/>
  <c r="UU119" i="1"/>
  <c r="TY120" i="1"/>
  <c r="SO121" i="1"/>
  <c r="SV127" i="1"/>
  <c r="UU177" i="1"/>
  <c r="SO179" i="1"/>
  <c r="SO195" i="1"/>
  <c r="TR197" i="1"/>
  <c r="TR212" i="1"/>
  <c r="TR215" i="1"/>
  <c r="UU216" i="1"/>
  <c r="UT216" i="1" s="1"/>
  <c r="SO218" i="1"/>
  <c r="TR218" i="1"/>
  <c r="UU220" i="1"/>
  <c r="SV222" i="1"/>
  <c r="SO224" i="1"/>
  <c r="UU226" i="1"/>
  <c r="SV237" i="1"/>
  <c r="UU239" i="1"/>
  <c r="SO242" i="1"/>
  <c r="SV10" i="1"/>
  <c r="TY11" i="1"/>
  <c r="SV12" i="1"/>
  <c r="VB13" i="1"/>
  <c r="SI14" i="1"/>
  <c r="VB14" i="1"/>
  <c r="VB15" i="1"/>
  <c r="TY17" i="1"/>
  <c r="SI18" i="1"/>
  <c r="SV19" i="1"/>
  <c r="TL19" i="1"/>
  <c r="TY20" i="1"/>
  <c r="UO20" i="1"/>
  <c r="UO31" i="1"/>
  <c r="UO35" i="1"/>
  <c r="SI36" i="1"/>
  <c r="SI61" i="1"/>
  <c r="SV99" i="1"/>
  <c r="VB9" i="1"/>
  <c r="SV11" i="1"/>
  <c r="SI43" i="1"/>
  <c r="TL44" i="1"/>
  <c r="TY9" i="1"/>
  <c r="VB10" i="1"/>
  <c r="SO161" i="1"/>
  <c r="TR162" i="1"/>
  <c r="UU163" i="1"/>
  <c r="SO165" i="1"/>
  <c r="UU167" i="1"/>
  <c r="TR170" i="1"/>
  <c r="UU171" i="1"/>
  <c r="SO172" i="1"/>
  <c r="TR173" i="1"/>
  <c r="UU174" i="1"/>
  <c r="TR180" i="1"/>
  <c r="UO182" i="1"/>
  <c r="UU182" i="1"/>
  <c r="UO199" i="1"/>
  <c r="TR201" i="1"/>
  <c r="UU202" i="1"/>
  <c r="UU205" i="1"/>
  <c r="UU208" i="1"/>
  <c r="UT208" i="1" s="1"/>
  <c r="UU211" i="1"/>
  <c r="UO212" i="1"/>
  <c r="UU217" i="1"/>
  <c r="UU227" i="1"/>
  <c r="TR235" i="1"/>
  <c r="UU236" i="1"/>
  <c r="SV238" i="1"/>
  <c r="UU238" i="1"/>
  <c r="TR244" i="1"/>
  <c r="SI247" i="1"/>
  <c r="UO249" i="1"/>
  <c r="UU249" i="1"/>
  <c r="TR252" i="1"/>
  <c r="UU253" i="1"/>
  <c r="TY254" i="1"/>
  <c r="SO255" i="1"/>
  <c r="TR256" i="1"/>
  <c r="SV257" i="1"/>
  <c r="UU257" i="1"/>
  <c r="SI258" i="1"/>
  <c r="SO259" i="1"/>
  <c r="TR260" i="1"/>
  <c r="UU13" i="1"/>
  <c r="SO19" i="1"/>
  <c r="TR20" i="1"/>
  <c r="TQ20" i="1" s="1"/>
  <c r="UU21" i="1"/>
  <c r="SO23" i="1"/>
  <c r="TL32" i="1"/>
  <c r="UO33" i="1"/>
  <c r="TL42" i="1"/>
  <c r="UO46" i="1"/>
  <c r="UO55" i="1"/>
  <c r="TL58" i="1"/>
  <c r="UO59" i="1"/>
  <c r="UU61" i="1"/>
  <c r="SI62" i="1"/>
  <c r="TL63" i="1"/>
  <c r="UU63" i="1"/>
  <c r="SV64" i="1"/>
  <c r="UO64" i="1"/>
  <c r="VB64" i="1"/>
  <c r="TR73" i="1"/>
  <c r="VB77" i="1"/>
  <c r="TL78" i="1"/>
  <c r="UU78" i="1"/>
  <c r="VB79" i="1"/>
  <c r="UU82" i="1"/>
  <c r="SV83" i="1"/>
  <c r="SV85" i="1"/>
  <c r="SO88" i="1"/>
  <c r="TY88" i="1"/>
  <c r="UU90" i="1"/>
  <c r="UO91" i="1"/>
  <c r="UU94" i="1"/>
  <c r="UO95" i="1"/>
  <c r="TR97" i="1"/>
  <c r="UU98" i="1"/>
  <c r="TR100" i="1"/>
  <c r="TL101" i="1"/>
  <c r="TY101" i="1"/>
  <c r="TR107" i="1"/>
  <c r="UU108" i="1"/>
  <c r="SO110" i="1"/>
  <c r="TR113" i="1"/>
  <c r="VB113" i="1"/>
  <c r="UU114" i="1"/>
  <c r="SO116" i="1"/>
  <c r="TL116" i="1"/>
  <c r="SV121" i="1"/>
  <c r="TR122" i="1"/>
  <c r="SV123" i="1"/>
  <c r="UU123" i="1"/>
  <c r="TR125" i="1"/>
  <c r="UU126" i="1"/>
  <c r="SI127" i="1"/>
  <c r="SI135" i="1"/>
  <c r="SO145" i="1"/>
  <c r="TL147" i="1"/>
  <c r="TL155" i="1"/>
  <c r="UO178" i="1"/>
  <c r="UU179" i="1"/>
  <c r="SO194" i="1"/>
  <c r="SI198" i="1"/>
  <c r="SO201" i="1"/>
  <c r="SO208" i="1"/>
  <c r="TY210" i="1"/>
  <c r="SO213" i="1"/>
  <c r="UU228" i="1"/>
  <c r="VB239" i="1"/>
  <c r="SV242" i="1"/>
  <c r="TY242" i="1"/>
  <c r="SO244" i="1"/>
  <c r="SI246" i="1"/>
  <c r="TR249" i="1"/>
  <c r="SI53" i="1"/>
  <c r="TL57" i="1"/>
  <c r="TY73" i="1"/>
  <c r="SI74" i="1"/>
  <c r="SV74" i="1"/>
  <c r="TL75" i="1"/>
  <c r="TY75" i="1"/>
  <c r="VB82" i="1"/>
  <c r="SV88" i="1"/>
  <c r="TL90" i="1"/>
  <c r="VB90" i="1"/>
  <c r="VB94" i="1"/>
  <c r="SI97" i="1"/>
  <c r="UO103" i="1"/>
  <c r="SI105" i="1"/>
  <c r="VB105" i="1"/>
  <c r="SV115" i="1"/>
  <c r="TY118" i="1"/>
  <c r="SI119" i="1"/>
  <c r="TY122" i="1"/>
  <c r="VB123" i="1"/>
  <c r="VB125" i="1"/>
  <c r="SI133" i="1"/>
  <c r="VB133" i="1"/>
  <c r="TL134" i="1"/>
  <c r="UO135" i="1"/>
  <c r="SI150" i="1"/>
  <c r="UO152" i="1"/>
  <c r="TR195" i="1"/>
  <c r="SI202" i="1"/>
  <c r="TY214" i="1"/>
  <c r="VB232" i="1"/>
  <c r="SV234" i="1"/>
  <c r="SI25" i="1"/>
  <c r="TL26" i="1"/>
  <c r="SI37" i="1"/>
  <c r="VB39" i="1"/>
  <c r="SO40" i="1"/>
  <c r="TR41" i="1"/>
  <c r="UU42" i="1"/>
  <c r="UO53" i="1"/>
  <c r="SI55" i="1"/>
  <c r="TR65" i="1"/>
  <c r="SO68" i="1"/>
  <c r="VB68" i="1"/>
  <c r="TR69" i="1"/>
  <c r="SO71" i="1"/>
  <c r="TR71" i="1"/>
  <c r="TR72" i="1"/>
  <c r="SO75" i="1"/>
  <c r="TR80" i="1"/>
  <c r="UU81" i="1"/>
  <c r="UU85" i="1"/>
  <c r="SO86" i="1"/>
  <c r="SO87" i="1"/>
  <c r="TY90" i="1"/>
  <c r="TL92" i="1"/>
  <c r="UO93" i="1"/>
  <c r="SO94" i="1"/>
  <c r="TL102" i="1"/>
  <c r="UO104" i="1"/>
  <c r="TR112" i="1"/>
  <c r="UU112" i="1"/>
  <c r="SV113" i="1"/>
  <c r="TY114" i="1"/>
  <c r="VB115" i="1"/>
  <c r="SO117" i="1"/>
  <c r="VB117" i="1"/>
  <c r="TR118" i="1"/>
  <c r="SO120" i="1"/>
  <c r="TR121" i="1"/>
  <c r="SV125" i="1"/>
  <c r="UU127" i="1"/>
  <c r="TL130" i="1"/>
  <c r="TL138" i="1"/>
  <c r="SV139" i="1"/>
  <c r="UO139" i="1"/>
  <c r="TY140" i="1"/>
  <c r="VB143" i="1"/>
  <c r="SI144" i="1"/>
  <c r="TL144" i="1"/>
  <c r="SO212" i="1"/>
  <c r="UU214" i="1"/>
  <c r="TY215" i="1"/>
  <c r="SI218" i="1"/>
  <c r="TY227" i="1"/>
  <c r="VB228" i="1"/>
  <c r="SV229" i="1"/>
  <c r="UU235" i="1"/>
  <c r="TY241" i="1"/>
  <c r="SI244" i="1"/>
  <c r="SI249" i="1"/>
  <c r="UO13" i="1"/>
  <c r="SV17" i="1"/>
  <c r="VB18" i="1"/>
  <c r="SI19" i="1"/>
  <c r="SV20" i="1"/>
  <c r="TL20" i="1"/>
  <c r="TY21" i="1"/>
  <c r="TQ21" i="1" s="1"/>
  <c r="UO21" i="1"/>
  <c r="TY22" i="1"/>
  <c r="SI27" i="1"/>
  <c r="UO8" i="1"/>
  <c r="TY13" i="1"/>
  <c r="TL24" i="1"/>
  <c r="UO25" i="1"/>
  <c r="SI26" i="1"/>
  <c r="SV23" i="1"/>
  <c r="UO23" i="1"/>
  <c r="TL34" i="1"/>
  <c r="TL8" i="1"/>
  <c r="TL13" i="1"/>
  <c r="TY15" i="1"/>
  <c r="VB16" i="1"/>
  <c r="TY18" i="1"/>
  <c r="UO18" i="1"/>
  <c r="VB19" i="1"/>
  <c r="SV21" i="1"/>
  <c r="SN21" i="1" s="1"/>
  <c r="SV22" i="1"/>
  <c r="TY24" i="1"/>
  <c r="UO27" i="1"/>
  <c r="SI8" i="1"/>
  <c r="SO9" i="1"/>
  <c r="TR9" i="1"/>
  <c r="UU9" i="1"/>
  <c r="SO10" i="1"/>
  <c r="TR10" i="1"/>
  <c r="TQ10" i="1" s="1"/>
  <c r="UU10" i="1"/>
  <c r="SO11" i="1"/>
  <c r="TR11" i="1"/>
  <c r="UU11" i="1"/>
  <c r="TY12" i="1"/>
  <c r="SV14" i="1"/>
  <c r="SN14" i="1" s="1"/>
  <c r="SH14" i="1" s="1"/>
  <c r="TL14" i="1"/>
  <c r="TR14" i="1"/>
  <c r="SV15" i="1"/>
  <c r="TY16" i="1"/>
  <c r="SV18" i="1"/>
  <c r="TL18" i="1"/>
  <c r="TR18" i="1"/>
  <c r="TY19" i="1"/>
  <c r="UO19" i="1"/>
  <c r="UU19" i="1"/>
  <c r="VB20" i="1"/>
  <c r="SI21" i="1"/>
  <c r="SO21" i="1"/>
  <c r="SV27" i="1"/>
  <c r="TR27" i="1"/>
  <c r="UU28" i="1"/>
  <c r="TL30" i="1"/>
  <c r="UO30" i="1"/>
  <c r="TY34" i="1"/>
  <c r="UU34" i="1"/>
  <c r="SO36" i="1"/>
  <c r="UO37" i="1"/>
  <c r="SI39" i="1"/>
  <c r="SI41" i="1"/>
  <c r="TL41" i="1"/>
  <c r="UO43" i="1"/>
  <c r="SV45" i="1"/>
  <c r="TR45" i="1"/>
  <c r="TL48" i="1"/>
  <c r="UO49" i="1"/>
  <c r="SI52" i="1"/>
  <c r="TL54" i="1"/>
  <c r="VB55" i="1"/>
  <c r="SO56" i="1"/>
  <c r="SI59" i="1"/>
  <c r="TL60" i="1"/>
  <c r="TR61" i="1"/>
  <c r="VB61" i="1"/>
  <c r="TL62" i="1"/>
  <c r="TY62" i="1"/>
  <c r="SO64" i="1"/>
  <c r="TL64" i="1"/>
  <c r="UU65" i="1"/>
  <c r="SO66" i="1"/>
  <c r="SO67" i="1"/>
  <c r="SV68" i="1"/>
  <c r="UO68" i="1"/>
  <c r="SO69" i="1"/>
  <c r="TY69" i="1"/>
  <c r="SI70" i="1"/>
  <c r="SV70" i="1"/>
  <c r="SV71" i="1"/>
  <c r="UO71" i="1"/>
  <c r="VB71" i="1"/>
  <c r="SI73" i="1"/>
  <c r="SV73" i="1"/>
  <c r="UU74" i="1"/>
  <c r="SI75" i="1"/>
  <c r="TR76" i="1"/>
  <c r="UU76" i="1"/>
  <c r="UU77" i="1"/>
  <c r="TR79" i="1"/>
  <c r="SV80" i="1"/>
  <c r="TY80" i="1"/>
  <c r="TR81" i="1"/>
  <c r="TY82" i="1"/>
  <c r="TR83" i="1"/>
  <c r="TR84" i="1"/>
  <c r="TY85" i="1"/>
  <c r="VB85" i="1"/>
  <c r="VB87" i="1"/>
  <c r="UU88" i="1"/>
  <c r="TY89" i="1"/>
  <c r="SO91" i="1"/>
  <c r="SI93" i="1"/>
  <c r="SV93" i="1"/>
  <c r="SO95" i="1"/>
  <c r="VB95" i="1"/>
  <c r="SV96" i="1"/>
  <c r="UU99" i="1"/>
  <c r="VB100" i="1"/>
  <c r="SI102" i="1"/>
  <c r="SV103" i="1"/>
  <c r="SI104" i="1"/>
  <c r="SV104" i="1"/>
  <c r="UU107" i="1"/>
  <c r="SO109" i="1"/>
  <c r="VB111" i="1"/>
  <c r="UO113" i="1"/>
  <c r="SO115" i="1"/>
  <c r="TR115" i="1"/>
  <c r="TR117" i="1"/>
  <c r="UO29" i="1"/>
  <c r="SI31" i="1"/>
  <c r="SI33" i="1"/>
  <c r="TL33" i="1"/>
  <c r="TY33" i="1"/>
  <c r="TQ33" i="1" s="1"/>
  <c r="SV37" i="1"/>
  <c r="TR37" i="1"/>
  <c r="UU38" i="1"/>
  <c r="TL40" i="1"/>
  <c r="UO41" i="1"/>
  <c r="SI44" i="1"/>
  <c r="TL46" i="1"/>
  <c r="VB47" i="1"/>
  <c r="SO48" i="1"/>
  <c r="SI51" i="1"/>
  <c r="TL52" i="1"/>
  <c r="UO54" i="1"/>
  <c r="SI57" i="1"/>
  <c r="TY58" i="1"/>
  <c r="UU58" i="1"/>
  <c r="TY61" i="1"/>
  <c r="SO62" i="1"/>
  <c r="SV63" i="1"/>
  <c r="UO63" i="1"/>
  <c r="SI65" i="1"/>
  <c r="SV65" i="1"/>
  <c r="UU66" i="1"/>
  <c r="SI67" i="1"/>
  <c r="TR68" i="1"/>
  <c r="UU69" i="1"/>
  <c r="VB70" i="1"/>
  <c r="UO72" i="1"/>
  <c r="VB72" i="1"/>
  <c r="VB73" i="1"/>
  <c r="UO75" i="1"/>
  <c r="VB75" i="1"/>
  <c r="TR77" i="1"/>
  <c r="SI79" i="1"/>
  <c r="SI82" i="1"/>
  <c r="SV82" i="1"/>
  <c r="TL83" i="1"/>
  <c r="SO84" i="1"/>
  <c r="SV84" i="1"/>
  <c r="TL87" i="1"/>
  <c r="TY87" i="1"/>
  <c r="UO88" i="1"/>
  <c r="SI91" i="1"/>
  <c r="SV91" i="1"/>
  <c r="UO92" i="1"/>
  <c r="VB92" i="1"/>
  <c r="SI95" i="1"/>
  <c r="SV95" i="1"/>
  <c r="TY100" i="1"/>
  <c r="SV101" i="1"/>
  <c r="TL103" i="1"/>
  <c r="TL105" i="1"/>
  <c r="TY105" i="1"/>
  <c r="TY106" i="1"/>
  <c r="SI107" i="1"/>
  <c r="UO107" i="1"/>
  <c r="TL108" i="1"/>
  <c r="SV109" i="1"/>
  <c r="VB119" i="1"/>
  <c r="VB12" i="1"/>
  <c r="SI20" i="1"/>
  <c r="TL21" i="1"/>
  <c r="SI35" i="1"/>
  <c r="TL36" i="1"/>
  <c r="TL38" i="1"/>
  <c r="UO38" i="1"/>
  <c r="TY42" i="1"/>
  <c r="UO45" i="1"/>
  <c r="SI47" i="1"/>
  <c r="TL49" i="1"/>
  <c r="UO51" i="1"/>
  <c r="SV53" i="1"/>
  <c r="TL56" i="1"/>
  <c r="UO57" i="1"/>
  <c r="SI60" i="1"/>
  <c r="UO62" i="1"/>
  <c r="TR63" i="1"/>
  <c r="TY65" i="1"/>
  <c r="SI66" i="1"/>
  <c r="TR66" i="1"/>
  <c r="VB66" i="1"/>
  <c r="TL67" i="1"/>
  <c r="TY67" i="1"/>
  <c r="TY68" i="1"/>
  <c r="SI69" i="1"/>
  <c r="TL70" i="1"/>
  <c r="TY70" i="1"/>
  <c r="TL72" i="1"/>
  <c r="SV76" i="1"/>
  <c r="SO77" i="1"/>
  <c r="TY77" i="1"/>
  <c r="SI78" i="1"/>
  <c r="VB78" i="1"/>
  <c r="UO80" i="1"/>
  <c r="TY81" i="1"/>
  <c r="UU83" i="1"/>
  <c r="UO84" i="1"/>
  <c r="VB84" i="1"/>
  <c r="SI86" i="1"/>
  <c r="VB86" i="1"/>
  <c r="SO89" i="1"/>
  <c r="UO89" i="1"/>
  <c r="VB89" i="1"/>
  <c r="TL96" i="1"/>
  <c r="TY96" i="1"/>
  <c r="TQ96" i="1" s="1"/>
  <c r="SI98" i="1"/>
  <c r="SV98" i="1"/>
  <c r="TR98" i="1"/>
  <c r="VB99" i="1"/>
  <c r="SO100" i="1"/>
  <c r="SI101" i="1"/>
  <c r="UO102" i="1"/>
  <c r="VB102" i="1"/>
  <c r="SI106" i="1"/>
  <c r="SV107" i="1"/>
  <c r="TY108" i="1"/>
  <c r="TR109" i="1"/>
  <c r="UU111" i="1"/>
  <c r="UU117" i="1"/>
  <c r="SO118" i="1"/>
  <c r="TY126" i="1"/>
  <c r="SI109" i="1"/>
  <c r="SO111" i="1"/>
  <c r="TR111" i="1"/>
  <c r="UO111" i="1"/>
  <c r="UU113" i="1"/>
  <c r="SO114" i="1"/>
  <c r="TL114" i="1"/>
  <c r="TR116" i="1"/>
  <c r="UU116" i="1"/>
  <c r="SI117" i="1"/>
  <c r="SO119" i="1"/>
  <c r="TR119" i="1"/>
  <c r="UO119" i="1"/>
  <c r="UU121" i="1"/>
  <c r="SO122" i="1"/>
  <c r="TL122" i="1"/>
  <c r="TR124" i="1"/>
  <c r="UU124" i="1"/>
  <c r="SI125" i="1"/>
  <c r="SO127" i="1"/>
  <c r="TR127" i="1"/>
  <c r="UO127" i="1"/>
  <c r="SV131" i="1"/>
  <c r="UO131" i="1"/>
  <c r="TY132" i="1"/>
  <c r="VB137" i="1"/>
  <c r="SV141" i="1"/>
  <c r="UO141" i="1"/>
  <c r="TY142" i="1"/>
  <c r="SI143" i="1"/>
  <c r="UO144" i="1"/>
  <c r="UU144" i="1"/>
  <c r="UU145" i="1"/>
  <c r="SO149" i="1"/>
  <c r="SO153" i="1"/>
  <c r="TR156" i="1"/>
  <c r="SI158" i="1"/>
  <c r="SO159" i="1"/>
  <c r="UO160" i="1"/>
  <c r="TL163" i="1"/>
  <c r="SI166" i="1"/>
  <c r="SO167" i="1"/>
  <c r="UO168" i="1"/>
  <c r="UU169" i="1"/>
  <c r="TL171" i="1"/>
  <c r="SI173" i="1"/>
  <c r="SI176" i="1"/>
  <c r="SO176" i="1"/>
  <c r="SO177" i="1"/>
  <c r="TR177" i="1"/>
  <c r="TY179" i="1"/>
  <c r="UU181" i="1"/>
  <c r="TL185" i="1"/>
  <c r="VB185" i="1"/>
  <c r="UT185" i="1" s="1"/>
  <c r="TL192" i="1"/>
  <c r="VB192" i="1"/>
  <c r="TY198" i="1"/>
  <c r="TY153" i="1"/>
  <c r="VB154" i="1"/>
  <c r="TL156" i="1"/>
  <c r="TL157" i="1"/>
  <c r="UO157" i="1"/>
  <c r="SI160" i="1"/>
  <c r="TL160" i="1"/>
  <c r="TL161" i="1"/>
  <c r="UO162" i="1"/>
  <c r="SI163" i="1"/>
  <c r="SI164" i="1"/>
  <c r="TL165" i="1"/>
  <c r="UO165" i="1"/>
  <c r="SI168" i="1"/>
  <c r="TL168" i="1"/>
  <c r="UO170" i="1"/>
  <c r="SI171" i="1"/>
  <c r="TR120" i="1"/>
  <c r="UU120" i="1"/>
  <c r="SO123" i="1"/>
  <c r="TR123" i="1"/>
  <c r="UU125" i="1"/>
  <c r="SO126" i="1"/>
  <c r="TY130" i="1"/>
  <c r="SI131" i="1"/>
  <c r="VB131" i="1"/>
  <c r="TL132" i="1"/>
  <c r="SV135" i="1"/>
  <c r="VB141" i="1"/>
  <c r="TL142" i="1"/>
  <c r="SV143" i="1"/>
  <c r="UO143" i="1"/>
  <c r="SV174" i="1"/>
  <c r="TR176" i="1"/>
  <c r="TL178" i="1"/>
  <c r="TL179" i="1"/>
  <c r="TL181" i="1"/>
  <c r="UO181" i="1"/>
  <c r="SV182" i="1"/>
  <c r="UO186" i="1"/>
  <c r="SI188" i="1"/>
  <c r="TY128" i="1"/>
  <c r="SI129" i="1"/>
  <c r="VB129" i="1"/>
  <c r="SV133" i="1"/>
  <c r="UO133" i="1"/>
  <c r="TY134" i="1"/>
  <c r="TY136" i="1"/>
  <c r="SI137" i="1"/>
  <c r="TY138" i="1"/>
  <c r="SI139" i="1"/>
  <c r="VB139" i="1"/>
  <c r="TL140" i="1"/>
  <c r="TL145" i="1"/>
  <c r="TY145" i="1"/>
  <c r="VB146" i="1"/>
  <c r="TL148" i="1"/>
  <c r="TL149" i="1"/>
  <c r="UO149" i="1"/>
  <c r="UO150" i="1"/>
  <c r="SI151" i="1"/>
  <c r="SI152" i="1"/>
  <c r="TL152" i="1"/>
  <c r="TR155" i="1"/>
  <c r="TR158" i="1"/>
  <c r="UO158" i="1"/>
  <c r="VB158" i="1"/>
  <c r="TY161" i="1"/>
  <c r="SV164" i="1"/>
  <c r="TR166" i="1"/>
  <c r="UO166" i="1"/>
  <c r="VB166" i="1"/>
  <c r="SO169" i="1"/>
  <c r="TL169" i="1"/>
  <c r="TY169" i="1"/>
  <c r="TL173" i="1"/>
  <c r="TR174" i="1"/>
  <c r="VB176" i="1"/>
  <c r="SI187" i="1"/>
  <c r="TY187" i="1"/>
  <c r="SI192" i="1"/>
  <c r="VB193" i="1"/>
  <c r="VB194" i="1"/>
  <c r="SV195" i="1"/>
  <c r="VB200" i="1"/>
  <c r="TY202" i="1"/>
  <c r="TL203" i="1"/>
  <c r="SV206" i="1"/>
  <c r="TL207" i="1"/>
  <c r="UO208" i="1"/>
  <c r="SO209" i="1"/>
  <c r="SV210" i="1"/>
  <c r="TL210" i="1"/>
  <c r="TR211" i="1"/>
  <c r="TR213" i="1"/>
  <c r="SV214" i="1"/>
  <c r="TL214" i="1"/>
  <c r="VB214" i="1"/>
  <c r="SV215" i="1"/>
  <c r="TL215" i="1"/>
  <c r="UO219" i="1"/>
  <c r="SV220" i="1"/>
  <c r="TY220" i="1"/>
  <c r="UO220" i="1"/>
  <c r="SV224" i="1"/>
  <c r="TY224" i="1"/>
  <c r="UU224" i="1"/>
  <c r="TL227" i="1"/>
  <c r="VB227" i="1"/>
  <c r="SO230" i="1"/>
  <c r="TY231" i="1"/>
  <c r="SO232" i="1"/>
  <c r="SV233" i="1"/>
  <c r="SO235" i="1"/>
  <c r="VB235" i="1"/>
  <c r="SO236" i="1"/>
  <c r="VB236" i="1"/>
  <c r="VB241" i="1"/>
  <c r="SI242" i="1"/>
  <c r="TL246" i="1"/>
  <c r="SI250" i="1"/>
  <c r="TY250" i="1"/>
  <c r="SO251" i="1"/>
  <c r="VB251" i="1"/>
  <c r="UO252" i="1"/>
  <c r="TL255" i="1"/>
  <c r="SO261" i="1"/>
  <c r="TY262" i="1"/>
  <c r="SO263" i="1"/>
  <c r="TL263" i="1"/>
  <c r="VB195" i="1"/>
  <c r="SO196" i="1"/>
  <c r="SV196" i="1"/>
  <c r="UU197" i="1"/>
  <c r="UU198" i="1"/>
  <c r="TY199" i="1"/>
  <c r="UU201" i="1"/>
  <c r="SO203" i="1"/>
  <c r="VB203" i="1"/>
  <c r="SO204" i="1"/>
  <c r="TR205" i="1"/>
  <c r="SO207" i="1"/>
  <c r="VB207" i="1"/>
  <c r="TR208" i="1"/>
  <c r="SO210" i="1"/>
  <c r="SO211" i="1"/>
  <c r="SO214" i="1"/>
  <c r="SO215" i="1"/>
  <c r="VB215" i="1"/>
  <c r="UT215" i="1" s="1"/>
  <c r="SO216" i="1"/>
  <c r="SI237" i="1"/>
  <c r="VB237" i="1"/>
  <c r="SI238" i="1"/>
  <c r="SO239" i="1"/>
  <c r="UO243" i="1"/>
  <c r="TY261" i="1"/>
  <c r="UU262" i="1"/>
  <c r="TY218" i="1"/>
  <c r="TR219" i="1"/>
  <c r="SO222" i="1"/>
  <c r="UO223" i="1"/>
  <c r="VB224" i="1"/>
  <c r="SV226" i="1"/>
  <c r="SN226" i="1" s="1"/>
  <c r="SV230" i="1"/>
  <c r="TY230" i="1"/>
  <c r="TQ230" i="1" s="1"/>
  <c r="VB240" i="1"/>
  <c r="SI241" i="1"/>
  <c r="SO241" i="1"/>
  <c r="SN241" i="1" s="1"/>
  <c r="TR241" i="1"/>
  <c r="SI243" i="1"/>
  <c r="TL244" i="1"/>
  <c r="SI248" i="1"/>
  <c r="SV248" i="1"/>
  <c r="SO253" i="1"/>
  <c r="VB259" i="1"/>
  <c r="UT259" i="1" s="1"/>
  <c r="UO260" i="1"/>
  <c r="UU261" i="1"/>
  <c r="UU263" i="1"/>
  <c r="UO190" i="1"/>
  <c r="SV191" i="1"/>
  <c r="UU196" i="1"/>
  <c r="TR199" i="1"/>
  <c r="UU204" i="1"/>
  <c r="SV209" i="1"/>
  <c r="UU210" i="1"/>
  <c r="TY211" i="1"/>
  <c r="SV218" i="1"/>
  <c r="SN218" i="1" s="1"/>
  <c r="TY222" i="1"/>
  <c r="TQ222" i="1" s="1"/>
  <c r="UU223" i="1"/>
  <c r="TR226" i="1"/>
  <c r="VB231" i="1"/>
  <c r="VB233" i="1"/>
  <c r="SO234" i="1"/>
  <c r="TL235" i="1"/>
  <c r="TY239" i="1"/>
  <c r="UO239" i="1"/>
  <c r="UO245" i="1"/>
  <c r="TL248" i="1"/>
  <c r="SO254" i="1"/>
  <c r="TR255" i="1"/>
  <c r="UU256" i="1"/>
  <c r="SO258" i="1"/>
  <c r="SO260" i="1"/>
  <c r="SI12" i="1"/>
  <c r="SO12" i="1"/>
  <c r="TL12" i="1"/>
  <c r="TR12" i="1"/>
  <c r="UO12" i="1"/>
  <c r="UU12" i="1"/>
  <c r="SI13" i="1"/>
  <c r="SO13" i="1"/>
  <c r="TY14" i="1"/>
  <c r="TL16" i="1"/>
  <c r="TR16" i="1"/>
  <c r="UO16" i="1"/>
  <c r="UU16" i="1"/>
  <c r="SI17" i="1"/>
  <c r="SO17" i="1"/>
  <c r="TL17" i="1"/>
  <c r="TR17" i="1"/>
  <c r="UO17" i="1"/>
  <c r="UU17" i="1"/>
  <c r="VB21" i="1"/>
  <c r="VB23" i="1"/>
  <c r="SO24" i="1"/>
  <c r="TL25" i="1"/>
  <c r="TY26" i="1"/>
  <c r="UU26" i="1"/>
  <c r="SI28" i="1"/>
  <c r="SI30" i="1"/>
  <c r="SV31" i="1"/>
  <c r="TR31" i="1"/>
  <c r="UO32" i="1"/>
  <c r="SO34" i="1"/>
  <c r="TL35" i="1"/>
  <c r="TY36" i="1"/>
  <c r="UU36" i="1"/>
  <c r="SI38" i="1"/>
  <c r="SV39" i="1"/>
  <c r="TR39" i="1"/>
  <c r="UO40" i="1"/>
  <c r="VB41" i="1"/>
  <c r="SO42" i="1"/>
  <c r="TL43" i="1"/>
  <c r="TY44" i="1"/>
  <c r="UU44" i="1"/>
  <c r="SI46" i="1"/>
  <c r="SV47" i="1"/>
  <c r="TR47" i="1"/>
  <c r="UO48" i="1"/>
  <c r="VB49" i="1"/>
  <c r="SO50" i="1"/>
  <c r="TL51" i="1"/>
  <c r="TY52" i="1"/>
  <c r="UU52" i="1"/>
  <c r="SI54" i="1"/>
  <c r="SV55" i="1"/>
  <c r="TR55" i="1"/>
  <c r="UO56" i="1"/>
  <c r="VB57" i="1"/>
  <c r="SO58" i="1"/>
  <c r="TL59" i="1"/>
  <c r="TY60" i="1"/>
  <c r="UU60" i="1"/>
  <c r="SV61" i="1"/>
  <c r="UO61" i="1"/>
  <c r="TR62" i="1"/>
  <c r="UU62" i="1"/>
  <c r="VB62" i="1"/>
  <c r="SI64" i="1"/>
  <c r="UU64" i="1"/>
  <c r="SO65" i="1"/>
  <c r="UO66" i="1"/>
  <c r="TR67" i="1"/>
  <c r="UU67" i="1"/>
  <c r="TL69" i="1"/>
  <c r="SO70" i="1"/>
  <c r="TR70" i="1"/>
  <c r="TL71" i="1"/>
  <c r="TY71" i="1"/>
  <c r="UU71" i="1"/>
  <c r="UU73" i="1"/>
  <c r="SO74" i="1"/>
  <c r="VB74" i="1"/>
  <c r="SV75" i="1"/>
  <c r="TL76" i="1"/>
  <c r="UO78" i="1"/>
  <c r="SV79" i="1"/>
  <c r="VB22" i="1"/>
  <c r="TL9" i="1"/>
  <c r="UO9" i="1"/>
  <c r="SI10" i="1"/>
  <c r="TL10" i="1"/>
  <c r="UO10" i="1"/>
  <c r="SI11" i="1"/>
  <c r="TL11" i="1"/>
  <c r="UO11" i="1"/>
  <c r="SV13" i="1"/>
  <c r="SI16" i="1"/>
  <c r="VB17" i="1"/>
  <c r="SI23" i="1"/>
  <c r="TL23" i="1"/>
  <c r="UO24" i="1"/>
  <c r="VB25" i="1"/>
  <c r="TL27" i="1"/>
  <c r="TY28" i="1"/>
  <c r="TL29" i="1"/>
  <c r="TY30" i="1"/>
  <c r="SI32" i="1"/>
  <c r="UO34" i="1"/>
  <c r="VB35" i="1"/>
  <c r="TL37" i="1"/>
  <c r="TY38" i="1"/>
  <c r="SI40" i="1"/>
  <c r="SV41" i="1"/>
  <c r="UO42" i="1"/>
  <c r="VB43" i="1"/>
  <c r="SO44" i="1"/>
  <c r="TL45" i="1"/>
  <c r="TY46" i="1"/>
  <c r="UU46" i="1"/>
  <c r="SI48" i="1"/>
  <c r="SV49" i="1"/>
  <c r="TR49" i="1"/>
  <c r="UO50" i="1"/>
  <c r="VB51" i="1"/>
  <c r="SO52" i="1"/>
  <c r="TL53" i="1"/>
  <c r="TY54" i="1"/>
  <c r="UU54" i="1"/>
  <c r="SI56" i="1"/>
  <c r="SV57" i="1"/>
  <c r="TR57" i="1"/>
  <c r="UO58" i="1"/>
  <c r="VB59" i="1"/>
  <c r="SO60" i="1"/>
  <c r="SV62" i="1"/>
  <c r="TY63" i="1"/>
  <c r="VB63" i="1"/>
  <c r="TY64" i="1"/>
  <c r="TQ64" i="1" s="1"/>
  <c r="UO65" i="1"/>
  <c r="SV66" i="1"/>
  <c r="TY66" i="1"/>
  <c r="SV67" i="1"/>
  <c r="TL68" i="1"/>
  <c r="SV69" i="1"/>
  <c r="VB69" i="1"/>
  <c r="SI71" i="1"/>
  <c r="SV72" i="1"/>
  <c r="TY72" i="1"/>
  <c r="UO73" i="1"/>
  <c r="SI76" i="1"/>
  <c r="TY76" i="1"/>
  <c r="SI77" i="1"/>
  <c r="SV77" i="1"/>
  <c r="UO77" i="1"/>
  <c r="SV78" i="1"/>
  <c r="TY78" i="1"/>
  <c r="TL79" i="1"/>
  <c r="TY79" i="1"/>
  <c r="UU86" i="1"/>
  <c r="UO99" i="1"/>
  <c r="VB101" i="1"/>
  <c r="TY104" i="1"/>
  <c r="SI9" i="1"/>
  <c r="SO8" i="1"/>
  <c r="SV8" i="1"/>
  <c r="TR8" i="1"/>
  <c r="TY8" i="1"/>
  <c r="UU8" i="1"/>
  <c r="VB8" i="1"/>
  <c r="VB11" i="1"/>
  <c r="UO14" i="1"/>
  <c r="UU14" i="1"/>
  <c r="SI15" i="1"/>
  <c r="SO15" i="1"/>
  <c r="TL15" i="1"/>
  <c r="TR15" i="1"/>
  <c r="UO15" i="1"/>
  <c r="UU15" i="1"/>
  <c r="SV16" i="1"/>
  <c r="SI22" i="1"/>
  <c r="SO22" i="1"/>
  <c r="TL22" i="1"/>
  <c r="TR22" i="1"/>
  <c r="UO22" i="1"/>
  <c r="UU22" i="1"/>
  <c r="SI24" i="1"/>
  <c r="SV25" i="1"/>
  <c r="TR25" i="1"/>
  <c r="UO26" i="1"/>
  <c r="VB27" i="1"/>
  <c r="SO28" i="1"/>
  <c r="VB29" i="1"/>
  <c r="SO30" i="1"/>
  <c r="TL31" i="1"/>
  <c r="TY32" i="1"/>
  <c r="UU32" i="1"/>
  <c r="SI34" i="1"/>
  <c r="SV35" i="1"/>
  <c r="TR35" i="1"/>
  <c r="UO36" i="1"/>
  <c r="VB37" i="1"/>
  <c r="SO38" i="1"/>
  <c r="TL39" i="1"/>
  <c r="TY40" i="1"/>
  <c r="UU40" i="1"/>
  <c r="SI42" i="1"/>
  <c r="SV43" i="1"/>
  <c r="TR43" i="1"/>
  <c r="UO44" i="1"/>
  <c r="VB45" i="1"/>
  <c r="SO46" i="1"/>
  <c r="TL47" i="1"/>
  <c r="TY48" i="1"/>
  <c r="UU48" i="1"/>
  <c r="SI50" i="1"/>
  <c r="SV51" i="1"/>
  <c r="TR51" i="1"/>
  <c r="UO52" i="1"/>
  <c r="VB53" i="1"/>
  <c r="SO54" i="1"/>
  <c r="TL55" i="1"/>
  <c r="TY56" i="1"/>
  <c r="UU56" i="1"/>
  <c r="SI58" i="1"/>
  <c r="SV59" i="1"/>
  <c r="TR59" i="1"/>
  <c r="UO60" i="1"/>
  <c r="SI63" i="1"/>
  <c r="TL65" i="1"/>
  <c r="SI68" i="1"/>
  <c r="UO69" i="1"/>
  <c r="UO70" i="1"/>
  <c r="TL73" i="1"/>
  <c r="TL74" i="1"/>
  <c r="TY74" i="1"/>
  <c r="UO76" i="1"/>
  <c r="VB76" i="1"/>
  <c r="SO79" i="1"/>
  <c r="SV81" i="1"/>
  <c r="VB81" i="1"/>
  <c r="SI83" i="1"/>
  <c r="TY83" i="1"/>
  <c r="VB83" i="1"/>
  <c r="TY84" i="1"/>
  <c r="SV86" i="1"/>
  <c r="TY86" i="1"/>
  <c r="TQ86" i="1" s="1"/>
  <c r="SV87" i="1"/>
  <c r="SV89" i="1"/>
  <c r="SO90" i="1"/>
  <c r="TR90" i="1"/>
  <c r="TR91" i="1"/>
  <c r="UU91" i="1"/>
  <c r="TR92" i="1"/>
  <c r="TY93" i="1"/>
  <c r="VB93" i="1"/>
  <c r="TL94" i="1"/>
  <c r="TY94" i="1"/>
  <c r="TQ94" i="1" s="1"/>
  <c r="TR95" i="1"/>
  <c r="UU95" i="1"/>
  <c r="UU96" i="1"/>
  <c r="SO97" i="1"/>
  <c r="UU97" i="1"/>
  <c r="UO98" i="1"/>
  <c r="VB98" i="1"/>
  <c r="TL99" i="1"/>
  <c r="TL100" i="1"/>
  <c r="SO102" i="1"/>
  <c r="TR102" i="1"/>
  <c r="TR103" i="1"/>
  <c r="UU103" i="1"/>
  <c r="UU104" i="1"/>
  <c r="SO105" i="1"/>
  <c r="SO106" i="1"/>
  <c r="TR106" i="1"/>
  <c r="UU106" i="1"/>
  <c r="SO107" i="1"/>
  <c r="TY107" i="1"/>
  <c r="VB107" i="1"/>
  <c r="SO108" i="1"/>
  <c r="TR108" i="1"/>
  <c r="VB108" i="1"/>
  <c r="TL109" i="1"/>
  <c r="TY109" i="1"/>
  <c r="SI110" i="1"/>
  <c r="SV110" i="1"/>
  <c r="UO110" i="1"/>
  <c r="VB110" i="1"/>
  <c r="TL111" i="1"/>
  <c r="TY111" i="1"/>
  <c r="SI112" i="1"/>
  <c r="SV112" i="1"/>
  <c r="UO112" i="1"/>
  <c r="VB112" i="1"/>
  <c r="TL113" i="1"/>
  <c r="TY113" i="1"/>
  <c r="SI114" i="1"/>
  <c r="SV114" i="1"/>
  <c r="UO114" i="1"/>
  <c r="VB114" i="1"/>
  <c r="TL115" i="1"/>
  <c r="TY115" i="1"/>
  <c r="SI116" i="1"/>
  <c r="SV116" i="1"/>
  <c r="UO116" i="1"/>
  <c r="VB116" i="1"/>
  <c r="TL117" i="1"/>
  <c r="TY117" i="1"/>
  <c r="SI118" i="1"/>
  <c r="SV118" i="1"/>
  <c r="UO118" i="1"/>
  <c r="VB118" i="1"/>
  <c r="TL119" i="1"/>
  <c r="TY119" i="1"/>
  <c r="SI120" i="1"/>
  <c r="SV120" i="1"/>
  <c r="UO120" i="1"/>
  <c r="VB120" i="1"/>
  <c r="TL121" i="1"/>
  <c r="TY121" i="1"/>
  <c r="SI122" i="1"/>
  <c r="SV122" i="1"/>
  <c r="UO122" i="1"/>
  <c r="VB122" i="1"/>
  <c r="TL123" i="1"/>
  <c r="TY123" i="1"/>
  <c r="SI124" i="1"/>
  <c r="SV124" i="1"/>
  <c r="UO124" i="1"/>
  <c r="VB124" i="1"/>
  <c r="TL125" i="1"/>
  <c r="TY125" i="1"/>
  <c r="SI126" i="1"/>
  <c r="SV126" i="1"/>
  <c r="UO126" i="1"/>
  <c r="VB126" i="1"/>
  <c r="TL127" i="1"/>
  <c r="TY127" i="1"/>
  <c r="SI128" i="1"/>
  <c r="SV128" i="1"/>
  <c r="UO128" i="1"/>
  <c r="VB128" i="1"/>
  <c r="TL129" i="1"/>
  <c r="TY129" i="1"/>
  <c r="SI130" i="1"/>
  <c r="SV130" i="1"/>
  <c r="UO130" i="1"/>
  <c r="VB130" i="1"/>
  <c r="TL131" i="1"/>
  <c r="TY131" i="1"/>
  <c r="SI132" i="1"/>
  <c r="SV132" i="1"/>
  <c r="UO132" i="1"/>
  <c r="VB132" i="1"/>
  <c r="TL133" i="1"/>
  <c r="TY133" i="1"/>
  <c r="SI134" i="1"/>
  <c r="SV134" i="1"/>
  <c r="UO134" i="1"/>
  <c r="VB134" i="1"/>
  <c r="TL135" i="1"/>
  <c r="TY135" i="1"/>
  <c r="SI136" i="1"/>
  <c r="SV136" i="1"/>
  <c r="UO136" i="1"/>
  <c r="VB136" i="1"/>
  <c r="TL137" i="1"/>
  <c r="TY137" i="1"/>
  <c r="SI138" i="1"/>
  <c r="SV138" i="1"/>
  <c r="UO138" i="1"/>
  <c r="VB138" i="1"/>
  <c r="TL139" i="1"/>
  <c r="TY139" i="1"/>
  <c r="SI140" i="1"/>
  <c r="SV140" i="1"/>
  <c r="UO140" i="1"/>
  <c r="VB140" i="1"/>
  <c r="TL141" i="1"/>
  <c r="TY141" i="1"/>
  <c r="SI142" i="1"/>
  <c r="SV142" i="1"/>
  <c r="UO142" i="1"/>
  <c r="VB142" i="1"/>
  <c r="TL143" i="1"/>
  <c r="TY143" i="1"/>
  <c r="SI72" i="1"/>
  <c r="UU72" i="1"/>
  <c r="SO73" i="1"/>
  <c r="UO74" i="1"/>
  <c r="TR75" i="1"/>
  <c r="UU75" i="1"/>
  <c r="TL77" i="1"/>
  <c r="SO78" i="1"/>
  <c r="TR78" i="1"/>
  <c r="UO79" i="1"/>
  <c r="SI80" i="1"/>
  <c r="UU80" i="1"/>
  <c r="SO81" i="1"/>
  <c r="TL82" i="1"/>
  <c r="UO82" i="1"/>
  <c r="SI85" i="1"/>
  <c r="TL85" i="1"/>
  <c r="UO87" i="1"/>
  <c r="SI88" i="1"/>
  <c r="SV92" i="1"/>
  <c r="TY92" i="1"/>
  <c r="SI94" i="1"/>
  <c r="SV94" i="1"/>
  <c r="TY97" i="1"/>
  <c r="TQ97" i="1" s="1"/>
  <c r="VB97" i="1"/>
  <c r="TL98" i="1"/>
  <c r="TY98" i="1"/>
  <c r="TY99" i="1"/>
  <c r="SI100" i="1"/>
  <c r="SV100" i="1"/>
  <c r="UO100" i="1"/>
  <c r="UO101" i="1"/>
  <c r="SI103" i="1"/>
  <c r="TL104" i="1"/>
  <c r="UO105" i="1"/>
  <c r="SO128" i="1"/>
  <c r="TR128" i="1"/>
  <c r="UU128" i="1"/>
  <c r="SO129" i="1"/>
  <c r="TR129" i="1"/>
  <c r="UU129" i="1"/>
  <c r="SO130" i="1"/>
  <c r="TR130" i="1"/>
  <c r="UU130" i="1"/>
  <c r="SO131" i="1"/>
  <c r="TR131" i="1"/>
  <c r="UU131" i="1"/>
  <c r="UT131" i="1" s="1"/>
  <c r="SO132" i="1"/>
  <c r="TR132" i="1"/>
  <c r="UU132" i="1"/>
  <c r="SO133" i="1"/>
  <c r="TR133" i="1"/>
  <c r="UU133" i="1"/>
  <c r="SO134" i="1"/>
  <c r="TR134" i="1"/>
  <c r="UU134" i="1"/>
  <c r="SO135" i="1"/>
  <c r="TR135" i="1"/>
  <c r="UU135" i="1"/>
  <c r="UT135" i="1" s="1"/>
  <c r="SO136" i="1"/>
  <c r="TR136" i="1"/>
  <c r="UU136" i="1"/>
  <c r="SO137" i="1"/>
  <c r="TR137" i="1"/>
  <c r="UU137" i="1"/>
  <c r="SO138" i="1"/>
  <c r="TR138" i="1"/>
  <c r="UU138" i="1"/>
  <c r="SO139" i="1"/>
  <c r="TR139" i="1"/>
  <c r="UU139" i="1"/>
  <c r="SO140" i="1"/>
  <c r="TR140" i="1"/>
  <c r="UU140" i="1"/>
  <c r="SO141" i="1"/>
  <c r="TR141" i="1"/>
  <c r="UU141" i="1"/>
  <c r="SO142" i="1"/>
  <c r="TR142" i="1"/>
  <c r="SV144" i="1"/>
  <c r="UO145" i="1"/>
  <c r="UO146" i="1"/>
  <c r="SI147" i="1"/>
  <c r="SI148" i="1"/>
  <c r="SV148" i="1"/>
  <c r="TY149" i="1"/>
  <c r="TL153" i="1"/>
  <c r="UO153" i="1"/>
  <c r="UO154" i="1"/>
  <c r="SI155" i="1"/>
  <c r="SI156" i="1"/>
  <c r="SV156" i="1"/>
  <c r="VB150" i="1"/>
  <c r="SV152" i="1"/>
  <c r="SI174" i="1"/>
  <c r="UU79" i="1"/>
  <c r="SI81" i="1"/>
  <c r="TL81" i="1"/>
  <c r="SO82" i="1"/>
  <c r="SN82" i="1" s="1"/>
  <c r="TR82" i="1"/>
  <c r="UO83" i="1"/>
  <c r="SI84" i="1"/>
  <c r="UU84" i="1"/>
  <c r="SO85" i="1"/>
  <c r="TL86" i="1"/>
  <c r="UO86" i="1"/>
  <c r="TR87" i="1"/>
  <c r="UU87" i="1"/>
  <c r="SI89" i="1"/>
  <c r="SI90" i="1"/>
  <c r="SV90" i="1"/>
  <c r="TL91" i="1"/>
  <c r="TY91" i="1"/>
  <c r="VB91" i="1"/>
  <c r="UU92" i="1"/>
  <c r="SO93" i="1"/>
  <c r="UU93" i="1"/>
  <c r="TL95" i="1"/>
  <c r="TY95" i="1"/>
  <c r="UO96" i="1"/>
  <c r="VB96" i="1"/>
  <c r="SV97" i="1"/>
  <c r="SO98" i="1"/>
  <c r="SI99" i="1"/>
  <c r="UU100" i="1"/>
  <c r="SO101" i="1"/>
  <c r="TR101" i="1"/>
  <c r="UU101" i="1"/>
  <c r="SV102" i="1"/>
  <c r="TY102" i="1"/>
  <c r="UU102" i="1"/>
  <c r="SO103" i="1"/>
  <c r="TY103" i="1"/>
  <c r="VB103" i="1"/>
  <c r="SO104" i="1"/>
  <c r="TR104" i="1"/>
  <c r="VB104" i="1"/>
  <c r="SV105" i="1"/>
  <c r="TR105" i="1"/>
  <c r="UU105" i="1"/>
  <c r="SV106" i="1"/>
  <c r="UO106" i="1"/>
  <c r="VB106" i="1"/>
  <c r="TL107" i="1"/>
  <c r="SI108" i="1"/>
  <c r="SV108" i="1"/>
  <c r="UO108" i="1"/>
  <c r="UO109" i="1"/>
  <c r="TL110" i="1"/>
  <c r="SI111" i="1"/>
  <c r="TL112" i="1"/>
  <c r="SI113" i="1"/>
  <c r="SI115" i="1"/>
  <c r="UO115" i="1"/>
  <c r="UO117" i="1"/>
  <c r="TL118" i="1"/>
  <c r="TL120" i="1"/>
  <c r="SI121" i="1"/>
  <c r="UO121" i="1"/>
  <c r="SI123" i="1"/>
  <c r="UO123" i="1"/>
  <c r="UO125" i="1"/>
  <c r="TL126" i="1"/>
  <c r="UU142" i="1"/>
  <c r="SO143" i="1"/>
  <c r="TR143" i="1"/>
  <c r="UU143" i="1"/>
  <c r="SO144" i="1"/>
  <c r="VB144" i="1"/>
  <c r="TL146" i="1"/>
  <c r="UU146" i="1"/>
  <c r="TY147" i="1"/>
  <c r="SI149" i="1"/>
  <c r="TR149" i="1"/>
  <c r="SV150" i="1"/>
  <c r="UO151" i="1"/>
  <c r="SO152" i="1"/>
  <c r="VB152" i="1"/>
  <c r="TL154" i="1"/>
  <c r="UU154" i="1"/>
  <c r="UT154" i="1" s="1"/>
  <c r="TY155" i="1"/>
  <c r="SI157" i="1"/>
  <c r="TR157" i="1"/>
  <c r="SV158" i="1"/>
  <c r="SN158" i="1" s="1"/>
  <c r="UO159" i="1"/>
  <c r="SO160" i="1"/>
  <c r="VB160" i="1"/>
  <c r="TL162" i="1"/>
  <c r="UU162" i="1"/>
  <c r="TY163" i="1"/>
  <c r="TQ163" i="1" s="1"/>
  <c r="SI165" i="1"/>
  <c r="TR165" i="1"/>
  <c r="SV166" i="1"/>
  <c r="UO167" i="1"/>
  <c r="SO168" i="1"/>
  <c r="VB168" i="1"/>
  <c r="UT168" i="1" s="1"/>
  <c r="TL170" i="1"/>
  <c r="UU170" i="1"/>
  <c r="TY171" i="1"/>
  <c r="TL172" i="1"/>
  <c r="UU172" i="1"/>
  <c r="TY173" i="1"/>
  <c r="SI175" i="1"/>
  <c r="TR175" i="1"/>
  <c r="SV176" i="1"/>
  <c r="UO177" i="1"/>
  <c r="SO178" i="1"/>
  <c r="VB178" i="1"/>
  <c r="UT178" i="1" s="1"/>
  <c r="UN178" i="1" s="1"/>
  <c r="TL180" i="1"/>
  <c r="UU180" i="1"/>
  <c r="SI181" i="1"/>
  <c r="VB181" i="1"/>
  <c r="UT181" i="1" s="1"/>
  <c r="UN181" i="1" s="1"/>
  <c r="SI183" i="1"/>
  <c r="TY183" i="1"/>
  <c r="SO184" i="1"/>
  <c r="UO184" i="1"/>
  <c r="TY185" i="1"/>
  <c r="TL186" i="1"/>
  <c r="SV187" i="1"/>
  <c r="TL188" i="1"/>
  <c r="VB188" i="1"/>
  <c r="SI190" i="1"/>
  <c r="VB190" i="1"/>
  <c r="UO191" i="1"/>
  <c r="TY192" i="1"/>
  <c r="UO193" i="1"/>
  <c r="SI196" i="1"/>
  <c r="TY200" i="1"/>
  <c r="VB205" i="1"/>
  <c r="SV211" i="1"/>
  <c r="SV213" i="1"/>
  <c r="TY213" i="1"/>
  <c r="VB213" i="1"/>
  <c r="TL218" i="1"/>
  <c r="VB218" i="1"/>
  <c r="SV219" i="1"/>
  <c r="TY219" i="1"/>
  <c r="UU222" i="1"/>
  <c r="SI225" i="1"/>
  <c r="TY225" i="1"/>
  <c r="VB225" i="1"/>
  <c r="SI226" i="1"/>
  <c r="SV228" i="1"/>
  <c r="TY228" i="1"/>
  <c r="SI229" i="1"/>
  <c r="TY229" i="1"/>
  <c r="VB229" i="1"/>
  <c r="TL230" i="1"/>
  <c r="UU231" i="1"/>
  <c r="TY157" i="1"/>
  <c r="SI159" i="1"/>
  <c r="SV160" i="1"/>
  <c r="UO161" i="1"/>
  <c r="VB162" i="1"/>
  <c r="TL164" i="1"/>
  <c r="TY165" i="1"/>
  <c r="SI167" i="1"/>
  <c r="SV168" i="1"/>
  <c r="UO169" i="1"/>
  <c r="VB170" i="1"/>
  <c r="UO172" i="1"/>
  <c r="VB172" i="1"/>
  <c r="TL174" i="1"/>
  <c r="TL175" i="1"/>
  <c r="TY175" i="1"/>
  <c r="SI177" i="1"/>
  <c r="SI178" i="1"/>
  <c r="SV178" i="1"/>
  <c r="UO179" i="1"/>
  <c r="UO180" i="1"/>
  <c r="VB180" i="1"/>
  <c r="TY181" i="1"/>
  <c r="TL182" i="1"/>
  <c r="SV183" i="1"/>
  <c r="TL184" i="1"/>
  <c r="VB184" i="1"/>
  <c r="TR185" i="1"/>
  <c r="SI186" i="1"/>
  <c r="VB186" i="1"/>
  <c r="SO187" i="1"/>
  <c r="UO187" i="1"/>
  <c r="TY188" i="1"/>
  <c r="UO189" i="1"/>
  <c r="SV190" i="1"/>
  <c r="TL191" i="1"/>
  <c r="SV192" i="1"/>
  <c r="SI193" i="1"/>
  <c r="TY194" i="1"/>
  <c r="TY196" i="1"/>
  <c r="VB196" i="1"/>
  <c r="SV197" i="1"/>
  <c r="TL198" i="1"/>
  <c r="VB198" i="1"/>
  <c r="SV199" i="1"/>
  <c r="TL199" i="1"/>
  <c r="TR200" i="1"/>
  <c r="UO200" i="1"/>
  <c r="TL202" i="1"/>
  <c r="UO203" i="1"/>
  <c r="SV204" i="1"/>
  <c r="TY204" i="1"/>
  <c r="UO204" i="1"/>
  <c r="SI206" i="1"/>
  <c r="UO207" i="1"/>
  <c r="SI209" i="1"/>
  <c r="TY209" i="1"/>
  <c r="TQ209" i="1" s="1"/>
  <c r="VB209" i="1"/>
  <c r="SI210" i="1"/>
  <c r="TL211" i="1"/>
  <c r="SI214" i="1"/>
  <c r="UO215" i="1"/>
  <c r="TY216" i="1"/>
  <c r="UO216" i="1"/>
  <c r="TY226" i="1"/>
  <c r="TR144" i="1"/>
  <c r="SI145" i="1"/>
  <c r="TR145" i="1"/>
  <c r="SI146" i="1"/>
  <c r="SV146" i="1"/>
  <c r="SN146" i="1" s="1"/>
  <c r="SO147" i="1"/>
  <c r="UO147" i="1"/>
  <c r="SO148" i="1"/>
  <c r="UO148" i="1"/>
  <c r="VB148" i="1"/>
  <c r="UU149" i="1"/>
  <c r="TL150" i="1"/>
  <c r="UU150" i="1"/>
  <c r="TL151" i="1"/>
  <c r="TY151" i="1"/>
  <c r="TQ151" i="1" s="1"/>
  <c r="TR152" i="1"/>
  <c r="SI153" i="1"/>
  <c r="TR153" i="1"/>
  <c r="SI154" i="1"/>
  <c r="SV154" i="1"/>
  <c r="SO155" i="1"/>
  <c r="UO155" i="1"/>
  <c r="SO156" i="1"/>
  <c r="UO156" i="1"/>
  <c r="VB156" i="1"/>
  <c r="UU157" i="1"/>
  <c r="TL158" i="1"/>
  <c r="UU158" i="1"/>
  <c r="TL159" i="1"/>
  <c r="TY159" i="1"/>
  <c r="TR160" i="1"/>
  <c r="SI161" i="1"/>
  <c r="TR161" i="1"/>
  <c r="SI162" i="1"/>
  <c r="SV162" i="1"/>
  <c r="SO163" i="1"/>
  <c r="UO163" i="1"/>
  <c r="SO164" i="1"/>
  <c r="UO164" i="1"/>
  <c r="VB164" i="1"/>
  <c r="UU165" i="1"/>
  <c r="TL166" i="1"/>
  <c r="UU166" i="1"/>
  <c r="UT166" i="1" s="1"/>
  <c r="TL167" i="1"/>
  <c r="TY167" i="1"/>
  <c r="TR168" i="1"/>
  <c r="SI169" i="1"/>
  <c r="TR169" i="1"/>
  <c r="SI170" i="1"/>
  <c r="SV170" i="1"/>
  <c r="SO171" i="1"/>
  <c r="UO171" i="1"/>
  <c r="SI172" i="1"/>
  <c r="SV172" i="1"/>
  <c r="SO173" i="1"/>
  <c r="UO173" i="1"/>
  <c r="SO174" i="1"/>
  <c r="UO174" i="1"/>
  <c r="VB174" i="1"/>
  <c r="UU175" i="1"/>
  <c r="TL176" i="1"/>
  <c r="UU176" i="1"/>
  <c r="UT176" i="1" s="1"/>
  <c r="UN176" i="1" s="1"/>
  <c r="TL177" i="1"/>
  <c r="TY177" i="1"/>
  <c r="TR178" i="1"/>
  <c r="SI179" i="1"/>
  <c r="TR179" i="1"/>
  <c r="SI180" i="1"/>
  <c r="SV180" i="1"/>
  <c r="SN180" i="1" s="1"/>
  <c r="TR181" i="1"/>
  <c r="SI182" i="1"/>
  <c r="VB182" i="1"/>
  <c r="SO183" i="1"/>
  <c r="UO183" i="1"/>
  <c r="TY184" i="1"/>
  <c r="UO185" i="1"/>
  <c r="SV186" i="1"/>
  <c r="UU186" i="1"/>
  <c r="TL187" i="1"/>
  <c r="SV188" i="1"/>
  <c r="SN188" i="1" s="1"/>
  <c r="TR188" i="1"/>
  <c r="SI189" i="1"/>
  <c r="VB189" i="1"/>
  <c r="SI191" i="1"/>
  <c r="TY191" i="1"/>
  <c r="SO192" i="1"/>
  <c r="UO192" i="1"/>
  <c r="TL193" i="1"/>
  <c r="TR194" i="1"/>
  <c r="UO194" i="1"/>
  <c r="SO197" i="1"/>
  <c r="TL197" i="1"/>
  <c r="TY197" i="1"/>
  <c r="VB197" i="1"/>
  <c r="UT197" i="1" s="1"/>
  <c r="SO199" i="1"/>
  <c r="SV201" i="1"/>
  <c r="TY201" i="1"/>
  <c r="VB201" i="1"/>
  <c r="UT201" i="1" s="1"/>
  <c r="VB202" i="1"/>
  <c r="SV203" i="1"/>
  <c r="TR204" i="1"/>
  <c r="TY206" i="1"/>
  <c r="TQ206" i="1" s="1"/>
  <c r="VB206" i="1"/>
  <c r="SV207" i="1"/>
  <c r="SV208" i="1"/>
  <c r="TY208" i="1"/>
  <c r="UU209" i="1"/>
  <c r="VB211" i="1"/>
  <c r="TY212" i="1"/>
  <c r="TR216" i="1"/>
  <c r="SV217" i="1"/>
  <c r="SN217" i="1" s="1"/>
  <c r="TY217" i="1"/>
  <c r="VB217" i="1"/>
  <c r="UU218" i="1"/>
  <c r="SV221" i="1"/>
  <c r="VB221" i="1"/>
  <c r="UT221" i="1" s="1"/>
  <c r="VB222" i="1"/>
  <c r="SV223" i="1"/>
  <c r="TY223" i="1"/>
  <c r="SO227" i="1"/>
  <c r="SO228" i="1"/>
  <c r="TR229" i="1"/>
  <c r="SO219" i="1"/>
  <c r="TL219" i="1"/>
  <c r="SO220" i="1"/>
  <c r="SI221" i="1"/>
  <c r="SO223" i="1"/>
  <c r="TL223" i="1"/>
  <c r="TR224" i="1"/>
  <c r="UO224" i="1"/>
  <c r="TR225" i="1"/>
  <c r="TL226" i="1"/>
  <c r="TR228" i="1"/>
  <c r="UO228" i="1"/>
  <c r="UU229" i="1"/>
  <c r="SI230" i="1"/>
  <c r="UU230" i="1"/>
  <c r="UO231" i="1"/>
  <c r="UU233" i="1"/>
  <c r="SI234" i="1"/>
  <c r="UO235" i="1"/>
  <c r="SV236" i="1"/>
  <c r="TY236" i="1"/>
  <c r="UO236" i="1"/>
  <c r="TR237" i="1"/>
  <c r="TL239" i="1"/>
  <c r="UO240" i="1"/>
  <c r="TL242" i="1"/>
  <c r="SI245" i="1"/>
  <c r="SV245" i="1"/>
  <c r="TL247" i="1"/>
  <c r="TY247" i="1"/>
  <c r="TL249" i="1"/>
  <c r="TL251" i="1"/>
  <c r="SV253" i="1"/>
  <c r="SI254" i="1"/>
  <c r="VB255" i="1"/>
  <c r="UO256" i="1"/>
  <c r="TY258" i="1"/>
  <c r="TL259" i="1"/>
  <c r="SV261" i="1"/>
  <c r="SI262" i="1"/>
  <c r="VB263" i="1"/>
  <c r="SV227" i="1"/>
  <c r="TY232" i="1"/>
  <c r="TY234" i="1"/>
  <c r="VB234" i="1"/>
  <c r="SV235" i="1"/>
  <c r="TR236" i="1"/>
  <c r="SV243" i="1"/>
  <c r="TR243" i="1"/>
  <c r="UO244" i="1"/>
  <c r="VB244" i="1"/>
  <c r="UO246" i="1"/>
  <c r="UO248" i="1"/>
  <c r="UU250" i="1"/>
  <c r="SI251" i="1"/>
  <c r="SV252" i="1"/>
  <c r="TR253" i="1"/>
  <c r="UO253" i="1"/>
  <c r="VB254" i="1"/>
  <c r="SO256" i="1"/>
  <c r="TL256" i="1"/>
  <c r="TY257" i="1"/>
  <c r="UU258" i="1"/>
  <c r="SI259" i="1"/>
  <c r="SV260" i="1"/>
  <c r="TR261" i="1"/>
  <c r="UO261" i="1"/>
  <c r="VB262" i="1"/>
  <c r="VB230" i="1"/>
  <c r="SV231" i="1"/>
  <c r="SN231" i="1" s="1"/>
  <c r="TL231" i="1"/>
  <c r="TR232" i="1"/>
  <c r="UO232" i="1"/>
  <c r="TY238" i="1"/>
  <c r="TQ238" i="1" s="1"/>
  <c r="VB238" i="1"/>
  <c r="SV239" i="1"/>
  <c r="SV240" i="1"/>
  <c r="TY240" i="1"/>
  <c r="TQ240" i="1" s="1"/>
  <c r="UU241" i="1"/>
  <c r="TL243" i="1"/>
  <c r="UU244" i="1"/>
  <c r="TL245" i="1"/>
  <c r="TY245" i="1"/>
  <c r="UU246" i="1"/>
  <c r="SO247" i="1"/>
  <c r="UO247" i="1"/>
  <c r="VB247" i="1"/>
  <c r="UU248" i="1"/>
  <c r="VB250" i="1"/>
  <c r="SO252" i="1"/>
  <c r="TL252" i="1"/>
  <c r="TY253" i="1"/>
  <c r="UU254" i="1"/>
  <c r="SI255" i="1"/>
  <c r="SV256" i="1"/>
  <c r="TR257" i="1"/>
  <c r="UO257" i="1"/>
  <c r="VB258" i="1"/>
  <c r="TL260" i="1"/>
  <c r="SI263" i="1"/>
  <c r="SV33" i="1"/>
  <c r="UU23" i="1"/>
  <c r="SV24" i="1"/>
  <c r="SO25" i="1"/>
  <c r="TY25" i="1"/>
  <c r="TR26" i="1"/>
  <c r="VB26" i="1"/>
  <c r="UU27" i="1"/>
  <c r="SV28" i="1"/>
  <c r="SO29" i="1"/>
  <c r="TY29" i="1"/>
  <c r="TR30" i="1"/>
  <c r="VB30" i="1"/>
  <c r="UU31" i="1"/>
  <c r="SV32" i="1"/>
  <c r="SO33" i="1"/>
  <c r="VB33" i="1"/>
  <c r="TR34" i="1"/>
  <c r="VB34" i="1"/>
  <c r="UU35" i="1"/>
  <c r="SV36" i="1"/>
  <c r="SO37" i="1"/>
  <c r="TY37" i="1"/>
  <c r="TR38" i="1"/>
  <c r="VB38" i="1"/>
  <c r="UU39" i="1"/>
  <c r="SV40" i="1"/>
  <c r="SO41" i="1"/>
  <c r="TY41" i="1"/>
  <c r="TR42" i="1"/>
  <c r="VB42" i="1"/>
  <c r="UU43" i="1"/>
  <c r="SV44" i="1"/>
  <c r="SO45" i="1"/>
  <c r="TY45" i="1"/>
  <c r="TR46" i="1"/>
  <c r="VB46" i="1"/>
  <c r="UU47" i="1"/>
  <c r="SV48" i="1"/>
  <c r="SO49" i="1"/>
  <c r="TY49" i="1"/>
  <c r="TR50" i="1"/>
  <c r="VB50" i="1"/>
  <c r="UU51" i="1"/>
  <c r="SV52" i="1"/>
  <c r="SO53" i="1"/>
  <c r="TY53" i="1"/>
  <c r="TR54" i="1"/>
  <c r="VB54" i="1"/>
  <c r="UU55" i="1"/>
  <c r="SV56" i="1"/>
  <c r="SO57" i="1"/>
  <c r="TY57" i="1"/>
  <c r="TR58" i="1"/>
  <c r="VB58" i="1"/>
  <c r="UU59" i="1"/>
  <c r="SV60" i="1"/>
  <c r="SO61" i="1"/>
  <c r="TY35" i="1"/>
  <c r="TY23" i="1"/>
  <c r="TR24" i="1"/>
  <c r="VB24" i="1"/>
  <c r="UU25" i="1"/>
  <c r="SV26" i="1"/>
  <c r="SO27" i="1"/>
  <c r="SN27" i="1" s="1"/>
  <c r="TY27" i="1"/>
  <c r="TR28" i="1"/>
  <c r="VB28" i="1"/>
  <c r="UU29" i="1"/>
  <c r="SV30" i="1"/>
  <c r="SO31" i="1"/>
  <c r="TY31" i="1"/>
  <c r="VB31" i="1"/>
  <c r="TR32" i="1"/>
  <c r="VB32" i="1"/>
  <c r="UU33" i="1"/>
  <c r="SV34" i="1"/>
  <c r="SO35" i="1"/>
  <c r="TR36" i="1"/>
  <c r="VB36" i="1"/>
  <c r="UU37" i="1"/>
  <c r="SV38" i="1"/>
  <c r="SO39" i="1"/>
  <c r="TY39" i="1"/>
  <c r="TR40" i="1"/>
  <c r="VB40" i="1"/>
  <c r="UU41" i="1"/>
  <c r="SV42" i="1"/>
  <c r="SO43" i="1"/>
  <c r="SN43" i="1" s="1"/>
  <c r="SH43" i="1" s="1"/>
  <c r="TY43" i="1"/>
  <c r="TR44" i="1"/>
  <c r="VB44" i="1"/>
  <c r="UU45" i="1"/>
  <c r="SV46" i="1"/>
  <c r="SO47" i="1"/>
  <c r="TY47" i="1"/>
  <c r="TR48" i="1"/>
  <c r="VB48" i="1"/>
  <c r="UU49" i="1"/>
  <c r="SV50" i="1"/>
  <c r="SN50" i="1" s="1"/>
  <c r="SO51" i="1"/>
  <c r="TY51" i="1"/>
  <c r="TR52" i="1"/>
  <c r="VB52" i="1"/>
  <c r="UU53" i="1"/>
  <c r="UT53" i="1" s="1"/>
  <c r="SV54" i="1"/>
  <c r="SO55" i="1"/>
  <c r="TY55" i="1"/>
  <c r="TR56" i="1"/>
  <c r="VB56" i="1"/>
  <c r="UU57" i="1"/>
  <c r="SV58" i="1"/>
  <c r="SO59" i="1"/>
  <c r="TY59" i="1"/>
  <c r="TR60" i="1"/>
  <c r="VB60" i="1"/>
  <c r="VB80" i="1"/>
  <c r="VB88" i="1"/>
  <c r="TL80" i="1"/>
  <c r="UO81" i="1"/>
  <c r="SN83" i="1"/>
  <c r="TL84" i="1"/>
  <c r="UO85" i="1"/>
  <c r="SI87" i="1"/>
  <c r="TL88" i="1"/>
  <c r="TL89" i="1"/>
  <c r="UO90" i="1"/>
  <c r="SI92" i="1"/>
  <c r="TL93" i="1"/>
  <c r="UO94" i="1"/>
  <c r="SI96" i="1"/>
  <c r="TL97" i="1"/>
  <c r="SO181" i="1"/>
  <c r="TR182" i="1"/>
  <c r="UU183" i="1"/>
  <c r="SO185" i="1"/>
  <c r="TR186" i="1"/>
  <c r="UU187" i="1"/>
  <c r="SO189" i="1"/>
  <c r="TR190" i="1"/>
  <c r="UU191" i="1"/>
  <c r="SO193" i="1"/>
  <c r="TY195" i="1"/>
  <c r="TL196" i="1"/>
  <c r="SV212" i="1"/>
  <c r="SN212" i="1" s="1"/>
  <c r="SI213" i="1"/>
  <c r="TY233" i="1"/>
  <c r="TL234" i="1"/>
  <c r="TY144" i="1"/>
  <c r="SV145" i="1"/>
  <c r="VB145" i="1"/>
  <c r="TY146" i="1"/>
  <c r="SV147" i="1"/>
  <c r="VB147" i="1"/>
  <c r="UT147" i="1" s="1"/>
  <c r="TY148" i="1"/>
  <c r="SV149" i="1"/>
  <c r="VB149" i="1"/>
  <c r="TY150" i="1"/>
  <c r="SV151" i="1"/>
  <c r="SN151" i="1" s="1"/>
  <c r="VB151" i="1"/>
  <c r="UT151" i="1" s="1"/>
  <c r="TY152" i="1"/>
  <c r="SV153" i="1"/>
  <c r="VB153" i="1"/>
  <c r="UT153" i="1" s="1"/>
  <c r="TY154" i="1"/>
  <c r="TQ154" i="1" s="1"/>
  <c r="SV155" i="1"/>
  <c r="VB155" i="1"/>
  <c r="UT155" i="1" s="1"/>
  <c r="TY156" i="1"/>
  <c r="SV157" i="1"/>
  <c r="SN157" i="1" s="1"/>
  <c r="VB157" i="1"/>
  <c r="TY158" i="1"/>
  <c r="SV159" i="1"/>
  <c r="VB159" i="1"/>
  <c r="TY160" i="1"/>
  <c r="SV161" i="1"/>
  <c r="VB161" i="1"/>
  <c r="TY162" i="1"/>
  <c r="SV163" i="1"/>
  <c r="VB163" i="1"/>
  <c r="TY164" i="1"/>
  <c r="SV165" i="1"/>
  <c r="SN165" i="1" s="1"/>
  <c r="VB165" i="1"/>
  <c r="TY166" i="1"/>
  <c r="SV167" i="1"/>
  <c r="VB167" i="1"/>
  <c r="TY168" i="1"/>
  <c r="SV169" i="1"/>
  <c r="VB169" i="1"/>
  <c r="TY170" i="1"/>
  <c r="SV171" i="1"/>
  <c r="VB171" i="1"/>
  <c r="TY172" i="1"/>
  <c r="TQ172" i="1" s="1"/>
  <c r="SV173" i="1"/>
  <c r="VB173" i="1"/>
  <c r="UT173" i="1" s="1"/>
  <c r="TY174" i="1"/>
  <c r="SV175" i="1"/>
  <c r="VB175" i="1"/>
  <c r="TY176" i="1"/>
  <c r="TQ176" i="1" s="1"/>
  <c r="SV177" i="1"/>
  <c r="VB177" i="1"/>
  <c r="TY178" i="1"/>
  <c r="SV179" i="1"/>
  <c r="VB179" i="1"/>
  <c r="TY180" i="1"/>
  <c r="SV181" i="1"/>
  <c r="SO182" i="1"/>
  <c r="TY182" i="1"/>
  <c r="TR183" i="1"/>
  <c r="VB183" i="1"/>
  <c r="UU184" i="1"/>
  <c r="SV185" i="1"/>
  <c r="SO186" i="1"/>
  <c r="TY186" i="1"/>
  <c r="TR187" i="1"/>
  <c r="TQ187" i="1" s="1"/>
  <c r="VB187" i="1"/>
  <c r="UU188" i="1"/>
  <c r="SV189" i="1"/>
  <c r="SO190" i="1"/>
  <c r="TY190" i="1"/>
  <c r="TR191" i="1"/>
  <c r="VB191" i="1"/>
  <c r="UU192" i="1"/>
  <c r="UT192" i="1" s="1"/>
  <c r="SV193" i="1"/>
  <c r="SV194" i="1"/>
  <c r="SN194" i="1" s="1"/>
  <c r="SI195" i="1"/>
  <c r="TL194" i="1"/>
  <c r="UO195" i="1"/>
  <c r="SI197" i="1"/>
  <c r="TQ212" i="1"/>
  <c r="SI194" i="1"/>
  <c r="TL195" i="1"/>
  <c r="UO196" i="1"/>
  <c r="SV200" i="1"/>
  <c r="SN200" i="1" s="1"/>
  <c r="SI201" i="1"/>
  <c r="TY205" i="1"/>
  <c r="TQ205" i="1" s="1"/>
  <c r="TL206" i="1"/>
  <c r="VB210" i="1"/>
  <c r="UO211" i="1"/>
  <c r="SV216" i="1"/>
  <c r="SI217" i="1"/>
  <c r="TY221" i="1"/>
  <c r="TL222" i="1"/>
  <c r="VB226" i="1"/>
  <c r="UO227" i="1"/>
  <c r="SV232" i="1"/>
  <c r="SI233" i="1"/>
  <c r="TY237" i="1"/>
  <c r="TL238" i="1"/>
  <c r="UO197" i="1"/>
  <c r="SI199" i="1"/>
  <c r="TL200" i="1"/>
  <c r="UO201" i="1"/>
  <c r="SI203" i="1"/>
  <c r="TL204" i="1"/>
  <c r="UO205" i="1"/>
  <c r="SI207" i="1"/>
  <c r="TL208" i="1"/>
  <c r="UO209" i="1"/>
  <c r="SI211" i="1"/>
  <c r="TL212" i="1"/>
  <c r="UO213" i="1"/>
  <c r="SI215" i="1"/>
  <c r="TL216" i="1"/>
  <c r="UO217" i="1"/>
  <c r="SI219" i="1"/>
  <c r="TL220" i="1"/>
  <c r="UO221" i="1"/>
  <c r="SI223" i="1"/>
  <c r="TL224" i="1"/>
  <c r="UO225" i="1"/>
  <c r="SI227" i="1"/>
  <c r="TL228" i="1"/>
  <c r="UO229" i="1"/>
  <c r="SI231" i="1"/>
  <c r="TL232" i="1"/>
  <c r="UO233" i="1"/>
  <c r="SI235" i="1"/>
  <c r="TL236" i="1"/>
  <c r="UO237" i="1"/>
  <c r="SI239" i="1"/>
  <c r="TL240" i="1"/>
  <c r="UO241" i="1"/>
  <c r="SV246" i="1"/>
  <c r="VB248" i="1"/>
  <c r="UO198" i="1"/>
  <c r="SI200" i="1"/>
  <c r="TL201" i="1"/>
  <c r="UO202" i="1"/>
  <c r="SI204" i="1"/>
  <c r="TL205" i="1"/>
  <c r="UO206" i="1"/>
  <c r="SI208" i="1"/>
  <c r="TL209" i="1"/>
  <c r="UO210" i="1"/>
  <c r="SI212" i="1"/>
  <c r="TL213" i="1"/>
  <c r="UO214" i="1"/>
  <c r="SI216" i="1"/>
  <c r="TL217" i="1"/>
  <c r="UO218" i="1"/>
  <c r="SI220" i="1"/>
  <c r="TL221" i="1"/>
  <c r="UO222" i="1"/>
  <c r="SI224" i="1"/>
  <c r="TL225" i="1"/>
  <c r="UO226" i="1"/>
  <c r="SI228" i="1"/>
  <c r="TL229" i="1"/>
  <c r="UO230" i="1"/>
  <c r="SI232" i="1"/>
  <c r="TL233" i="1"/>
  <c r="UO234" i="1"/>
  <c r="SI236" i="1"/>
  <c r="TL237" i="1"/>
  <c r="UO238" i="1"/>
  <c r="SI240" i="1"/>
  <c r="TL241" i="1"/>
  <c r="UO242" i="1"/>
  <c r="UU242" i="1"/>
  <c r="SO243" i="1"/>
  <c r="TY243" i="1"/>
  <c r="VB243" i="1"/>
  <c r="SV244" i="1"/>
  <c r="TR245" i="1"/>
  <c r="UU245" i="1"/>
  <c r="TY246" i="1"/>
  <c r="VB246" i="1"/>
  <c r="SO248" i="1"/>
  <c r="TR248" i="1"/>
  <c r="SV249" i="1"/>
  <c r="TY249" i="1"/>
  <c r="TQ249" i="1" s="1"/>
  <c r="VB242" i="1"/>
  <c r="UU243" i="1"/>
  <c r="TY244" i="1"/>
  <c r="TQ244" i="1" s="1"/>
  <c r="SO245" i="1"/>
  <c r="VB245" i="1"/>
  <c r="TR246" i="1"/>
  <c r="SV247" i="1"/>
  <c r="UU247" i="1"/>
  <c r="TY248" i="1"/>
  <c r="SO249" i="1"/>
  <c r="VB249" i="1"/>
  <c r="UT249" i="1" s="1"/>
  <c r="UN249" i="1" s="1"/>
  <c r="TL250" i="1"/>
  <c r="SV251" i="1"/>
  <c r="UO251" i="1"/>
  <c r="TY252" i="1"/>
  <c r="SI253" i="1"/>
  <c r="VB253" i="1"/>
  <c r="TL254" i="1"/>
  <c r="SV255" i="1"/>
  <c r="SN255" i="1" s="1"/>
  <c r="UO255" i="1"/>
  <c r="TY256" i="1"/>
  <c r="SI257" i="1"/>
  <c r="VB257" i="1"/>
  <c r="UT257" i="1" s="1"/>
  <c r="TL258" i="1"/>
  <c r="SV259" i="1"/>
  <c r="UO259" i="1"/>
  <c r="TY260" i="1"/>
  <c r="SI261" i="1"/>
  <c r="VB261" i="1"/>
  <c r="TL262" i="1"/>
  <c r="SV263" i="1"/>
  <c r="SN263" i="1" s="1"/>
  <c r="UO263" i="1"/>
  <c r="SV250" i="1"/>
  <c r="SN250" i="1" s="1"/>
  <c r="SH250" i="1" s="1"/>
  <c r="UO250" i="1"/>
  <c r="TY251" i="1"/>
  <c r="TQ251" i="1" s="1"/>
  <c r="TK251" i="1" s="1"/>
  <c r="SI252" i="1"/>
  <c r="VB252" i="1"/>
  <c r="TL253" i="1"/>
  <c r="SV254" i="1"/>
  <c r="UO254" i="1"/>
  <c r="TY255" i="1"/>
  <c r="SI256" i="1"/>
  <c r="VB256" i="1"/>
  <c r="UT256" i="1" s="1"/>
  <c r="UN256" i="1" s="1"/>
  <c r="TL257" i="1"/>
  <c r="SV258" i="1"/>
  <c r="UO258" i="1"/>
  <c r="TY259" i="1"/>
  <c r="TQ259" i="1" s="1"/>
  <c r="SI260" i="1"/>
  <c r="VB260" i="1"/>
  <c r="UT260" i="1" s="1"/>
  <c r="TL261" i="1"/>
  <c r="SV262" i="1"/>
  <c r="SN262" i="1" s="1"/>
  <c r="SH262" i="1" s="1"/>
  <c r="UO262" i="1"/>
  <c r="TY263" i="1"/>
  <c r="TQ31" i="1" l="1"/>
  <c r="UT116" i="1"/>
  <c r="TQ256" i="1"/>
  <c r="UT150" i="1"/>
  <c r="SN184" i="1"/>
  <c r="SH184" i="1" s="1"/>
  <c r="TQ171" i="1"/>
  <c r="UT84" i="1"/>
  <c r="TQ142" i="1"/>
  <c r="UT139" i="1"/>
  <c r="SN137" i="1"/>
  <c r="SN129" i="1"/>
  <c r="SH129" i="1" s="1"/>
  <c r="SN20" i="1"/>
  <c r="TQ252" i="1"/>
  <c r="SN145" i="1"/>
  <c r="SN101" i="1"/>
  <c r="SH101" i="1" s="1"/>
  <c r="UT71" i="1"/>
  <c r="TQ107" i="1"/>
  <c r="SN259" i="1"/>
  <c r="UT160" i="1"/>
  <c r="UN135" i="1"/>
  <c r="SN95" i="1"/>
  <c r="SH95" i="1" s="1"/>
  <c r="UT99" i="1"/>
  <c r="UT9" i="1"/>
  <c r="TQ242" i="1"/>
  <c r="UT60" i="1"/>
  <c r="TQ39" i="1"/>
  <c r="UT179" i="1"/>
  <c r="SN75" i="1"/>
  <c r="SH75" i="1" s="1"/>
  <c r="SN12" i="1"/>
  <c r="TK64" i="1"/>
  <c r="UT237" i="1"/>
  <c r="SN77" i="1"/>
  <c r="TQ61" i="1"/>
  <c r="TK61" i="1" s="1"/>
  <c r="SH27" i="1"/>
  <c r="TQ156" i="1"/>
  <c r="TQ195" i="1"/>
  <c r="SN26" i="1"/>
  <c r="SN240" i="1"/>
  <c r="TQ247" i="1"/>
  <c r="UT16" i="1"/>
  <c r="TQ241" i="1"/>
  <c r="TQ115" i="1"/>
  <c r="UT236" i="1"/>
  <c r="SN10" i="1"/>
  <c r="SH83" i="1"/>
  <c r="UN160" i="1"/>
  <c r="UT171" i="1"/>
  <c r="TQ150" i="1"/>
  <c r="SN239" i="1"/>
  <c r="UT234" i="1"/>
  <c r="TQ258" i="1"/>
  <c r="TQ223" i="1"/>
  <c r="UT144" i="1"/>
  <c r="TQ140" i="1"/>
  <c r="UT15" i="1"/>
  <c r="SN206" i="1"/>
  <c r="TQ19" i="1"/>
  <c r="TQ134" i="1"/>
  <c r="TQ180" i="1"/>
  <c r="UT169" i="1"/>
  <c r="SN36" i="1"/>
  <c r="UT30" i="1"/>
  <c r="UT158" i="1"/>
  <c r="SN154" i="1"/>
  <c r="SN211" i="1"/>
  <c r="TK163" i="1"/>
  <c r="UT74" i="1"/>
  <c r="TQ123" i="1"/>
  <c r="TQ100" i="1"/>
  <c r="SN257" i="1"/>
  <c r="UT47" i="1"/>
  <c r="UN131" i="1"/>
  <c r="SN122" i="1"/>
  <c r="UT163" i="1"/>
  <c r="SN57" i="1"/>
  <c r="TQ46" i="1"/>
  <c r="TQ30" i="1"/>
  <c r="TK30" i="1" s="1"/>
  <c r="TQ184" i="1"/>
  <c r="UT100" i="1"/>
  <c r="SN67" i="1"/>
  <c r="SH67" i="1" s="1"/>
  <c r="SN191" i="1"/>
  <c r="SN86" i="1"/>
  <c r="TQ207" i="1"/>
  <c r="TQ231" i="1"/>
  <c r="UT199" i="1"/>
  <c r="UN199" i="1" s="1"/>
  <c r="SN40" i="1"/>
  <c r="UT55" i="1"/>
  <c r="UN55" i="1" s="1"/>
  <c r="UN71" i="1"/>
  <c r="UT235" i="1"/>
  <c r="SN64" i="1"/>
  <c r="TQ11" i="1"/>
  <c r="N176" i="31"/>
  <c r="SN110" i="1"/>
  <c r="SN195" i="1"/>
  <c r="SN123" i="1"/>
  <c r="SN80" i="1"/>
  <c r="SH80" i="1" s="1"/>
  <c r="UT94" i="1"/>
  <c r="TQ114" i="1"/>
  <c r="UT220" i="1"/>
  <c r="TQ88" i="1"/>
  <c r="UT109" i="1"/>
  <c r="TQ262" i="1"/>
  <c r="UT251" i="1"/>
  <c r="UT219" i="1"/>
  <c r="TQ203" i="1"/>
  <c r="UT190" i="1"/>
  <c r="UN190" i="1" s="1"/>
  <c r="TQ210" i="1"/>
  <c r="UT195" i="1"/>
  <c r="UT174" i="1"/>
  <c r="TK134" i="1"/>
  <c r="TQ99" i="1"/>
  <c r="TQ111" i="1"/>
  <c r="SN232" i="1"/>
  <c r="TQ221" i="1"/>
  <c r="TQ170" i="1"/>
  <c r="TQ162" i="1"/>
  <c r="SN149" i="1"/>
  <c r="TQ53" i="1"/>
  <c r="UT42" i="1"/>
  <c r="TQ37" i="1"/>
  <c r="UT26" i="1"/>
  <c r="UN26" i="1" s="1"/>
  <c r="TQ208" i="1"/>
  <c r="UT186" i="1"/>
  <c r="UN186" i="1" s="1"/>
  <c r="SN170" i="1"/>
  <c r="TQ159" i="1"/>
  <c r="TQ153" i="1"/>
  <c r="UT148" i="1"/>
  <c r="SN187" i="1"/>
  <c r="UT205" i="1"/>
  <c r="SN166" i="1"/>
  <c r="SN73" i="1"/>
  <c r="SH73" i="1" s="1"/>
  <c r="SN107" i="1"/>
  <c r="TQ84" i="1"/>
  <c r="UT81" i="1"/>
  <c r="TQ15" i="1"/>
  <c r="UT14" i="1"/>
  <c r="UT67" i="1"/>
  <c r="TQ62" i="1"/>
  <c r="UN16" i="1"/>
  <c r="TQ202" i="1"/>
  <c r="SN126" i="1"/>
  <c r="UT120" i="1"/>
  <c r="SN115" i="1"/>
  <c r="SN91" i="1"/>
  <c r="UT85" i="1"/>
  <c r="UT61" i="1"/>
  <c r="UT19" i="1"/>
  <c r="UN19" i="1" s="1"/>
  <c r="SN9" i="1"/>
  <c r="TK21" i="1"/>
  <c r="UT214" i="1"/>
  <c r="TQ80" i="1"/>
  <c r="TQ214" i="1"/>
  <c r="UT90" i="1"/>
  <c r="TQ235" i="1"/>
  <c r="SN113" i="1"/>
  <c r="TQ193" i="1"/>
  <c r="SN229" i="1"/>
  <c r="UT240" i="1"/>
  <c r="TK259" i="1"/>
  <c r="TK46" i="1"/>
  <c r="UN139" i="1"/>
  <c r="SN118" i="1"/>
  <c r="SN251" i="1"/>
  <c r="TQ164" i="1"/>
  <c r="TQ148" i="1"/>
  <c r="UT145" i="1"/>
  <c r="TQ50" i="1"/>
  <c r="TK50" i="1" s="1"/>
  <c r="TQ42" i="1"/>
  <c r="UT23" i="1"/>
  <c r="UN23" i="1" s="1"/>
  <c r="UT255" i="1"/>
  <c r="UT217" i="1"/>
  <c r="TQ188" i="1"/>
  <c r="SN183" i="1"/>
  <c r="TQ161" i="1"/>
  <c r="UN150" i="1"/>
  <c r="SH158" i="1"/>
  <c r="UT105" i="1"/>
  <c r="SN93" i="1"/>
  <c r="TQ136" i="1"/>
  <c r="TK136" i="1" s="1"/>
  <c r="UT133" i="1"/>
  <c r="TQ132" i="1"/>
  <c r="UT129" i="1"/>
  <c r="UN129" i="1" s="1"/>
  <c r="SN124" i="1"/>
  <c r="SN116" i="1"/>
  <c r="TQ74" i="1"/>
  <c r="TQ116" i="1"/>
  <c r="TQ227" i="1"/>
  <c r="SN205" i="1"/>
  <c r="SH205" i="1" s="1"/>
  <c r="AC9" i="29"/>
  <c r="AC98" i="29"/>
  <c r="AC102" i="31" s="1"/>
  <c r="AC94" i="29"/>
  <c r="JI7" i="29"/>
  <c r="JI8" i="29"/>
  <c r="JN7" i="29"/>
  <c r="JN98" i="29" s="1"/>
  <c r="JG9" i="29"/>
  <c r="TK19" i="1"/>
  <c r="SH257" i="1"/>
  <c r="SN179" i="1"/>
  <c r="SH57" i="1"/>
  <c r="TQ82" i="1"/>
  <c r="TQ198" i="1"/>
  <c r="JO7" i="31"/>
  <c r="JO102" i="31" s="1"/>
  <c r="JM8" i="31"/>
  <c r="JM7" i="31"/>
  <c r="SH18" i="1"/>
  <c r="TQ233" i="1"/>
  <c r="TQ147" i="1"/>
  <c r="TK147" i="1" s="1"/>
  <c r="UT141" i="1"/>
  <c r="SN89" i="1"/>
  <c r="TQ263" i="1"/>
  <c r="TK263" i="1" s="1"/>
  <c r="UT252" i="1"/>
  <c r="UN252" i="1" s="1"/>
  <c r="UT261" i="1"/>
  <c r="UT253" i="1"/>
  <c r="UT167" i="1"/>
  <c r="UT159" i="1"/>
  <c r="TQ146" i="1"/>
  <c r="TK189" i="1"/>
  <c r="UT88" i="1"/>
  <c r="UN88" i="1" s="1"/>
  <c r="SH86" i="1"/>
  <c r="SN54" i="1"/>
  <c r="SH54" i="1" s="1"/>
  <c r="TQ43" i="1"/>
  <c r="TK43" i="1" s="1"/>
  <c r="UT24" i="1"/>
  <c r="TK33" i="1"/>
  <c r="UT58" i="1"/>
  <c r="SN56" i="1"/>
  <c r="UT50" i="1"/>
  <c r="SN48" i="1"/>
  <c r="TQ45" i="1"/>
  <c r="UT34" i="1"/>
  <c r="SN32" i="1"/>
  <c r="TQ29" i="1"/>
  <c r="UT238" i="1"/>
  <c r="UT262" i="1"/>
  <c r="TQ234" i="1"/>
  <c r="UT233" i="1"/>
  <c r="TQ225" i="1"/>
  <c r="TK225" i="1" s="1"/>
  <c r="SN219" i="1"/>
  <c r="SN221" i="1"/>
  <c r="UT206" i="1"/>
  <c r="UT189" i="1"/>
  <c r="UN166" i="1"/>
  <c r="SN162" i="1"/>
  <c r="TQ145" i="1"/>
  <c r="UN216" i="1"/>
  <c r="TK171" i="1"/>
  <c r="SN150" i="1"/>
  <c r="UT146" i="1"/>
  <c r="TQ105" i="1"/>
  <c r="TK105" i="1" s="1"/>
  <c r="SN104" i="1"/>
  <c r="SH104" i="1" s="1"/>
  <c r="UT102" i="1"/>
  <c r="UN102" i="1" s="1"/>
  <c r="SN98" i="1"/>
  <c r="SH98" i="1" s="1"/>
  <c r="UT92" i="1"/>
  <c r="UN92" i="1" s="1"/>
  <c r="TQ87" i="1"/>
  <c r="TK87" i="1" s="1"/>
  <c r="UN84" i="1"/>
  <c r="UT75" i="1"/>
  <c r="UT72" i="1"/>
  <c r="UN72" i="1" s="1"/>
  <c r="UT126" i="1"/>
  <c r="TQ125" i="1"/>
  <c r="UT122" i="1"/>
  <c r="TQ121" i="1"/>
  <c r="SN120" i="1"/>
  <c r="UT118" i="1"/>
  <c r="TQ117" i="1"/>
  <c r="UT114" i="1"/>
  <c r="TQ113" i="1"/>
  <c r="SN112" i="1"/>
  <c r="UT110" i="1"/>
  <c r="TQ109" i="1"/>
  <c r="UT95" i="1"/>
  <c r="UN95" i="1" s="1"/>
  <c r="SN87" i="1"/>
  <c r="UT83" i="1"/>
  <c r="TQ22" i="1"/>
  <c r="SN16" i="1"/>
  <c r="TQ70" i="1"/>
  <c r="TK70" i="1" s="1"/>
  <c r="TQ67" i="1"/>
  <c r="TK67" i="1" s="1"/>
  <c r="SN17" i="1"/>
  <c r="TQ16" i="1"/>
  <c r="TQ218" i="1"/>
  <c r="UT207" i="1"/>
  <c r="UT203" i="1"/>
  <c r="TQ220" i="1"/>
  <c r="UT200" i="1"/>
  <c r="SN127" i="1"/>
  <c r="SH127" i="1" s="1"/>
  <c r="UT70" i="1"/>
  <c r="SN63" i="1"/>
  <c r="SN96" i="1"/>
  <c r="TQ18" i="1"/>
  <c r="TK18" i="1" s="1"/>
  <c r="TQ9" i="1"/>
  <c r="TQ13" i="1"/>
  <c r="TQ71" i="1"/>
  <c r="UT232" i="1"/>
  <c r="SN19" i="1"/>
  <c r="SH19" i="1" s="1"/>
  <c r="UT18" i="1"/>
  <c r="JG98" i="29"/>
  <c r="JG102" i="31" s="1"/>
  <c r="DZ44" i="29"/>
  <c r="FI9" i="29"/>
  <c r="JM8" i="29"/>
  <c r="CV9" i="29"/>
  <c r="WA189" i="1" s="1"/>
  <c r="CS55" i="29"/>
  <c r="JO8" i="31"/>
  <c r="JN7" i="31"/>
  <c r="JN102" i="31" s="1"/>
  <c r="JL8" i="31"/>
  <c r="JI8" i="31"/>
  <c r="JL7" i="31"/>
  <c r="JL102" i="31" s="1"/>
  <c r="JI7" i="31"/>
  <c r="JN8" i="31"/>
  <c r="SH137" i="1"/>
  <c r="TQ260" i="1"/>
  <c r="SH255" i="1"/>
  <c r="SN177" i="1"/>
  <c r="TQ174" i="1"/>
  <c r="SN169" i="1"/>
  <c r="SN161" i="1"/>
  <c r="TQ158" i="1"/>
  <c r="UT28" i="1"/>
  <c r="UN28" i="1" s="1"/>
  <c r="TQ41" i="1"/>
  <c r="TK41" i="1" s="1"/>
  <c r="UT38" i="1"/>
  <c r="UN30" i="1"/>
  <c r="SN235" i="1"/>
  <c r="TQ224" i="1"/>
  <c r="SN220" i="1"/>
  <c r="SN208" i="1"/>
  <c r="TQ197" i="1"/>
  <c r="SN174" i="1"/>
  <c r="UT156" i="1"/>
  <c r="UN215" i="1"/>
  <c r="SN204" i="1"/>
  <c r="TK198" i="1"/>
  <c r="SH187" i="1"/>
  <c r="UT225" i="1"/>
  <c r="TQ219" i="1"/>
  <c r="UT213" i="1"/>
  <c r="TQ192" i="1"/>
  <c r="SH166" i="1"/>
  <c r="UN144" i="1"/>
  <c r="SN143" i="1"/>
  <c r="SN94" i="1"/>
  <c r="TQ127" i="1"/>
  <c r="UT124" i="1"/>
  <c r="SN114" i="1"/>
  <c r="UT112" i="1"/>
  <c r="UT76" i="1"/>
  <c r="UT69" i="1"/>
  <c r="TQ239" i="1"/>
  <c r="SH218" i="1"/>
  <c r="SN222" i="1"/>
  <c r="UT227" i="1"/>
  <c r="TQ85" i="1"/>
  <c r="UT228" i="1"/>
  <c r="TK20" i="1"/>
  <c r="TQ250" i="1"/>
  <c r="TQ89" i="1"/>
  <c r="SN202" i="1"/>
  <c r="JG44" i="29"/>
  <c r="JG95" i="29" s="1"/>
  <c r="WA258" i="1"/>
  <c r="WA242" i="1"/>
  <c r="WA206" i="1"/>
  <c r="WA190" i="1"/>
  <c r="WA174" i="1"/>
  <c r="WA158" i="1"/>
  <c r="WA126" i="1"/>
  <c r="WA94" i="1"/>
  <c r="WA230" i="1"/>
  <c r="WA210" i="1"/>
  <c r="WA198" i="1"/>
  <c r="WA182" i="1"/>
  <c r="WA178" i="1"/>
  <c r="WA162" i="1"/>
  <c r="WA146" i="1"/>
  <c r="WA134" i="1"/>
  <c r="WA130" i="1"/>
  <c r="WA114" i="1"/>
  <c r="WA98" i="1"/>
  <c r="WA82" i="1"/>
  <c r="WA70" i="1"/>
  <c r="WA66" i="1"/>
  <c r="WA30" i="1"/>
  <c r="WA250" i="1"/>
  <c r="WA246" i="1"/>
  <c r="WA234" i="1"/>
  <c r="WA170" i="1"/>
  <c r="WA166" i="1"/>
  <c r="WA150" i="1"/>
  <c r="WA122" i="1"/>
  <c r="WA102" i="1"/>
  <c r="WA86" i="1"/>
  <c r="WA54" i="1"/>
  <c r="WA50" i="1"/>
  <c r="WA34" i="1"/>
  <c r="WA18" i="1"/>
  <c r="WA14" i="1"/>
  <c r="WA249" i="1"/>
  <c r="WA233" i="1"/>
  <c r="WA229" i="1"/>
  <c r="WA201" i="1"/>
  <c r="WA185" i="1"/>
  <c r="WA149" i="1"/>
  <c r="WA133" i="1"/>
  <c r="WA117" i="1"/>
  <c r="WA85" i="1"/>
  <c r="WA69" i="1"/>
  <c r="WA61" i="1"/>
  <c r="WA49" i="1"/>
  <c r="WA45" i="1"/>
  <c r="WA33" i="1"/>
  <c r="WA17" i="1"/>
  <c r="WA13" i="1"/>
  <c r="WA9" i="1"/>
  <c r="WA248" i="1"/>
  <c r="WA228" i="1"/>
  <c r="WA212" i="1"/>
  <c r="WA208" i="1"/>
  <c r="WA196" i="1"/>
  <c r="WA176" i="1"/>
  <c r="WA164" i="1"/>
  <c r="WA160" i="1"/>
  <c r="WA148" i="1"/>
  <c r="WA128" i="1"/>
  <c r="WA116" i="1"/>
  <c r="WA96" i="1"/>
  <c r="WA80" i="1"/>
  <c r="WA56" i="1"/>
  <c r="WA40" i="1"/>
  <c r="WA36" i="1"/>
  <c r="WA223" i="1"/>
  <c r="WA203" i="1"/>
  <c r="WA187" i="1"/>
  <c r="WA183" i="1"/>
  <c r="WA171" i="1"/>
  <c r="WA155" i="1"/>
  <c r="WA135" i="1"/>
  <c r="WA123" i="1"/>
  <c r="WA91" i="1"/>
  <c r="WA87" i="1"/>
  <c r="WA75" i="1"/>
  <c r="WA63" i="1"/>
  <c r="WA43" i="1"/>
  <c r="WA35" i="1"/>
  <c r="WA23" i="1"/>
  <c r="WA254" i="1"/>
  <c r="WA238" i="1"/>
  <c r="WA218" i="1"/>
  <c r="WA214" i="1"/>
  <c r="WA202" i="1"/>
  <c r="WA186" i="1"/>
  <c r="WA154" i="1"/>
  <c r="WA138" i="1"/>
  <c r="WA118" i="1"/>
  <c r="WA106" i="1"/>
  <c r="WA90" i="1"/>
  <c r="WA78" i="1"/>
  <c r="WA74" i="1"/>
  <c r="WA58" i="1"/>
  <c r="WA22" i="1"/>
  <c r="WA257" i="1"/>
  <c r="WA253" i="1"/>
  <c r="WA221" i="1"/>
  <c r="WA205" i="1"/>
  <c r="WA157" i="1"/>
  <c r="WA153" i="1"/>
  <c r="WA121" i="1"/>
  <c r="WA105" i="1"/>
  <c r="WA101" i="1"/>
  <c r="WA89" i="1"/>
  <c r="WA73" i="1"/>
  <c r="WA65" i="1"/>
  <c r="WA53" i="1"/>
  <c r="WA240" i="1"/>
  <c r="WA236" i="1"/>
  <c r="WA232" i="1"/>
  <c r="WA216" i="1"/>
  <c r="WA180" i="1"/>
  <c r="WA156" i="1"/>
  <c r="WA144" i="1"/>
  <c r="WA132" i="1"/>
  <c r="WA88" i="1"/>
  <c r="WA32" i="1"/>
  <c r="WA20" i="1"/>
  <c r="WA259" i="1"/>
  <c r="WA243" i="1"/>
  <c r="WA219" i="1"/>
  <c r="WA211" i="1"/>
  <c r="WA207" i="1"/>
  <c r="WA191" i="1"/>
  <c r="WA159" i="1"/>
  <c r="WA127" i="1"/>
  <c r="WA111" i="1"/>
  <c r="WA99" i="1"/>
  <c r="WA95" i="1"/>
  <c r="WA83" i="1"/>
  <c r="WA47" i="1"/>
  <c r="WA27" i="1"/>
  <c r="WA262" i="1"/>
  <c r="WA222" i="1"/>
  <c r="WA194" i="1"/>
  <c r="WA142" i="1"/>
  <c r="WA110" i="1"/>
  <c r="WA62" i="1"/>
  <c r="WA46" i="1"/>
  <c r="WA42" i="1"/>
  <c r="WA26" i="1"/>
  <c r="WA10" i="1"/>
  <c r="WA245" i="1"/>
  <c r="WA241" i="1"/>
  <c r="WA237" i="1"/>
  <c r="WA209" i="1"/>
  <c r="WA177" i="1"/>
  <c r="WA173" i="1"/>
  <c r="WA145" i="1"/>
  <c r="WA141" i="1"/>
  <c r="WA137" i="1"/>
  <c r="WA129" i="1"/>
  <c r="WA125" i="1"/>
  <c r="WA113" i="1"/>
  <c r="WA109" i="1"/>
  <c r="WA93" i="1"/>
  <c r="WA77" i="1"/>
  <c r="WA37" i="1"/>
  <c r="WA25" i="1"/>
  <c r="WA21" i="1"/>
  <c r="WA260" i="1"/>
  <c r="WA252" i="1"/>
  <c r="WA220" i="1"/>
  <c r="WA204" i="1"/>
  <c r="WA184" i="1"/>
  <c r="WA172" i="1"/>
  <c r="WA168" i="1"/>
  <c r="WA152" i="1"/>
  <c r="WA140" i="1"/>
  <c r="WA136" i="1"/>
  <c r="WA124" i="1"/>
  <c r="WA120" i="1"/>
  <c r="WA104" i="1"/>
  <c r="WA100" i="1"/>
  <c r="WA84" i="1"/>
  <c r="WA76" i="1"/>
  <c r="WA72" i="1"/>
  <c r="WA64" i="1"/>
  <c r="WA60" i="1"/>
  <c r="WA48" i="1"/>
  <c r="WA24" i="1"/>
  <c r="WA8" i="1"/>
  <c r="WA11" i="1"/>
  <c r="WA263" i="1"/>
  <c r="WA179" i="1"/>
  <c r="WA175" i="1"/>
  <c r="WA147" i="1"/>
  <c r="WA143" i="1"/>
  <c r="WA131" i="1"/>
  <c r="WA79" i="1"/>
  <c r="WA67" i="1"/>
  <c r="WA51" i="1"/>
  <c r="WA31" i="1"/>
  <c r="WA15" i="1"/>
  <c r="WA261" i="1"/>
  <c r="WA225" i="1"/>
  <c r="WA217" i="1"/>
  <c r="WA213" i="1"/>
  <c r="WA197" i="1"/>
  <c r="WA193" i="1"/>
  <c r="WA181" i="1"/>
  <c r="WA169" i="1"/>
  <c r="WA165" i="1"/>
  <c r="WA97" i="1"/>
  <c r="WA81" i="1"/>
  <c r="WA57" i="1"/>
  <c r="WA41" i="1"/>
  <c r="WA29" i="1"/>
  <c r="WA256" i="1"/>
  <c r="WA244" i="1"/>
  <c r="WA224" i="1"/>
  <c r="WA200" i="1"/>
  <c r="WA192" i="1"/>
  <c r="WA188" i="1"/>
  <c r="WA112" i="1"/>
  <c r="WA108" i="1"/>
  <c r="WA92" i="1"/>
  <c r="WA68" i="1"/>
  <c r="WA52" i="1"/>
  <c r="WA28" i="1"/>
  <c r="WA16" i="1"/>
  <c r="WA12" i="1"/>
  <c r="WA255" i="1"/>
  <c r="WA251" i="1"/>
  <c r="WA247" i="1"/>
  <c r="WA239" i="1"/>
  <c r="WA235" i="1"/>
  <c r="WA231" i="1"/>
  <c r="WA215" i="1"/>
  <c r="WA199" i="1"/>
  <c r="WA195" i="1"/>
  <c r="WA167" i="1"/>
  <c r="WA163" i="1"/>
  <c r="WA151" i="1"/>
  <c r="WA139" i="1"/>
  <c r="WA119" i="1"/>
  <c r="WA115" i="1"/>
  <c r="WA107" i="1"/>
  <c r="WA103" i="1"/>
  <c r="WA71" i="1"/>
  <c r="WA59" i="1"/>
  <c r="WA55" i="1"/>
  <c r="WA39" i="1"/>
  <c r="WA19" i="1"/>
  <c r="CA156" i="29"/>
  <c r="CA159" i="31"/>
  <c r="CA178" i="31" s="1"/>
  <c r="CA153" i="29"/>
  <c r="DO60" i="31"/>
  <c r="DO57" i="29"/>
  <c r="DO61" i="31" s="1"/>
  <c r="DO59" i="31"/>
  <c r="FR165" i="29"/>
  <c r="FR169" i="31" s="1"/>
  <c r="JI51" i="29"/>
  <c r="JI55" i="31" s="1"/>
  <c r="JP50" i="31"/>
  <c r="DO58" i="29"/>
  <c r="DO64" i="29" s="1"/>
  <c r="E95" i="29"/>
  <c r="E48" i="31"/>
  <c r="EC9" i="31"/>
  <c r="DY9" i="31"/>
  <c r="FR187" i="29"/>
  <c r="FR9" i="31"/>
  <c r="FR156" i="29"/>
  <c r="JB95" i="29"/>
  <c r="JB99" i="31" s="1"/>
  <c r="JB48" i="31"/>
  <c r="DK9" i="31"/>
  <c r="DK156" i="29"/>
  <c r="DG95" i="29"/>
  <c r="DG48" i="31"/>
  <c r="DD95" i="29"/>
  <c r="DD48" i="31"/>
  <c r="CX95" i="29"/>
  <c r="CX48" i="31"/>
  <c r="CD9" i="31"/>
  <c r="CL9" i="31"/>
  <c r="CL156" i="29"/>
  <c r="BX95" i="29"/>
  <c r="BX48" i="31"/>
  <c r="BQ95" i="29"/>
  <c r="BQ99" i="31" s="1"/>
  <c r="BQ48" i="31"/>
  <c r="GG9" i="31"/>
  <c r="GB9" i="31"/>
  <c r="HF9" i="31"/>
  <c r="FY9" i="31"/>
  <c r="FT9" i="31"/>
  <c r="BA9" i="31"/>
  <c r="AY9" i="31"/>
  <c r="AU95" i="29"/>
  <c r="AU99" i="31" s="1"/>
  <c r="AU48" i="31"/>
  <c r="IZ9" i="31"/>
  <c r="IH9" i="31"/>
  <c r="HC95" i="29"/>
  <c r="HC99" i="31" s="1"/>
  <c r="HC48" i="31"/>
  <c r="AO95" i="29"/>
  <c r="AO99" i="31" s="1"/>
  <c r="AO48" i="31"/>
  <c r="EH95" i="29"/>
  <c r="EH99" i="31" s="1"/>
  <c r="EH48" i="31"/>
  <c r="FQ9" i="31"/>
  <c r="FG9" i="31"/>
  <c r="DC95" i="29"/>
  <c r="DC99" i="31" s="1"/>
  <c r="DC48" i="31"/>
  <c r="CB95" i="29"/>
  <c r="CB99" i="31" s="1"/>
  <c r="CB48" i="31"/>
  <c r="BL95" i="29"/>
  <c r="BL99" i="31" s="1"/>
  <c r="BL48" i="31"/>
  <c r="AP95" i="29"/>
  <c r="AP99" i="31" s="1"/>
  <c r="AP48" i="31"/>
  <c r="IS9" i="31"/>
  <c r="GY95" i="29"/>
  <c r="GY99" i="31" s="1"/>
  <c r="GY48" i="31"/>
  <c r="IG95" i="29"/>
  <c r="IG99" i="31" s="1"/>
  <c r="IG48" i="31"/>
  <c r="HZ95" i="29"/>
  <c r="HZ99" i="31" s="1"/>
  <c r="HZ48" i="31"/>
  <c r="AB95" i="29"/>
  <c r="AB99" i="31" s="1"/>
  <c r="AB48" i="31"/>
  <c r="GD9" i="31"/>
  <c r="DR9" i="31"/>
  <c r="BS9" i="31"/>
  <c r="BS156" i="29"/>
  <c r="HD9" i="31"/>
  <c r="GW9" i="31"/>
  <c r="IO9" i="31"/>
  <c r="IB95" i="29"/>
  <c r="IB99" i="31" s="1"/>
  <c r="IB48" i="31"/>
  <c r="AI9" i="31"/>
  <c r="JG9" i="31"/>
  <c r="DZ9" i="31"/>
  <c r="FH95" i="29"/>
  <c r="FH99" i="31" s="1"/>
  <c r="FH48" i="31"/>
  <c r="JC9" i="31"/>
  <c r="DL95" i="29"/>
  <c r="DL99" i="31" s="1"/>
  <c r="DL48" i="31"/>
  <c r="DH9" i="31"/>
  <c r="DA9" i="31"/>
  <c r="CZ9" i="31"/>
  <c r="CC9" i="31"/>
  <c r="FV95" i="29"/>
  <c r="FV99" i="31" s="1"/>
  <c r="FV48" i="31"/>
  <c r="FU9" i="31"/>
  <c r="IY9" i="31"/>
  <c r="FI95" i="29"/>
  <c r="FI99" i="31" s="1"/>
  <c r="FI48" i="31"/>
  <c r="HX9" i="31"/>
  <c r="AH9" i="31"/>
  <c r="AD9" i="31"/>
  <c r="EV95" i="29"/>
  <c r="EV99" i="31" s="1"/>
  <c r="EV48" i="31"/>
  <c r="HL95" i="29"/>
  <c r="HL99" i="31" s="1"/>
  <c r="HL48" i="31"/>
  <c r="H9" i="31"/>
  <c r="H156" i="29"/>
  <c r="E146" i="29"/>
  <c r="E150" i="31" s="1"/>
  <c r="E9" i="31"/>
  <c r="EC95" i="29"/>
  <c r="EC99" i="31" s="1"/>
  <c r="EC48" i="31"/>
  <c r="FN95" i="29"/>
  <c r="FN99" i="31" s="1"/>
  <c r="FN48" i="31"/>
  <c r="FB95" i="29"/>
  <c r="FB99" i="31" s="1"/>
  <c r="FB48" i="31"/>
  <c r="JB9" i="31"/>
  <c r="DQ9" i="31"/>
  <c r="GU9" i="31"/>
  <c r="DK95" i="29"/>
  <c r="DK48" i="31"/>
  <c r="FD95" i="29"/>
  <c r="FD99" i="31" s="1"/>
  <c r="FD48" i="31"/>
  <c r="DD9" i="31"/>
  <c r="DD156" i="29"/>
  <c r="CX9" i="31"/>
  <c r="CR95" i="29"/>
  <c r="CR99" i="31" s="1"/>
  <c r="CR48" i="31"/>
  <c r="BY9" i="31"/>
  <c r="BX9" i="31"/>
  <c r="BJ95" i="29"/>
  <c r="BJ48" i="31"/>
  <c r="GG95" i="29"/>
  <c r="GG99" i="31" s="1"/>
  <c r="GG48" i="31"/>
  <c r="GR95" i="29"/>
  <c r="GR99" i="31" s="1"/>
  <c r="GR48" i="31"/>
  <c r="FY95" i="29"/>
  <c r="FY99" i="31" s="1"/>
  <c r="FY48" i="31"/>
  <c r="BD95" i="29"/>
  <c r="BD99" i="31" s="1"/>
  <c r="BD48" i="31"/>
  <c r="BA95" i="29"/>
  <c r="BA99" i="31" s="1"/>
  <c r="BA48" i="31"/>
  <c r="AY95" i="29"/>
  <c r="AY99" i="31" s="1"/>
  <c r="AY48" i="31"/>
  <c r="GM9" i="31"/>
  <c r="IM9" i="31"/>
  <c r="ID95" i="29"/>
  <c r="ID99" i="31" s="1"/>
  <c r="ID48" i="31"/>
  <c r="HS9" i="31"/>
  <c r="AG95" i="29"/>
  <c r="AG99" i="31" s="1"/>
  <c r="AG48" i="31"/>
  <c r="AE9" i="31"/>
  <c r="Z95" i="29"/>
  <c r="Z99" i="31" s="1"/>
  <c r="Z48" i="31"/>
  <c r="EW9" i="31"/>
  <c r="T95" i="29"/>
  <c r="T99" i="31" s="1"/>
  <c r="T48" i="31"/>
  <c r="K95" i="29"/>
  <c r="K99" i="31" s="1"/>
  <c r="K48" i="31"/>
  <c r="GC9" i="31"/>
  <c r="JF95" i="29"/>
  <c r="JF99" i="31" s="1"/>
  <c r="JF48" i="31"/>
  <c r="EH9" i="31"/>
  <c r="EB95" i="29"/>
  <c r="EB48" i="31"/>
  <c r="D95" i="29"/>
  <c r="D48" i="31"/>
  <c r="FQ95" i="29"/>
  <c r="FQ99" i="31" s="1"/>
  <c r="FQ48" i="31"/>
  <c r="FG95" i="29"/>
  <c r="FG99" i="31" s="1"/>
  <c r="FG48" i="31"/>
  <c r="JD95" i="29"/>
  <c r="JD48" i="31"/>
  <c r="DS9" i="31"/>
  <c r="DO95" i="29"/>
  <c r="DO48" i="31"/>
  <c r="HK9" i="31"/>
  <c r="FE95" i="29"/>
  <c r="FE99" i="31" s="1"/>
  <c r="FE48" i="31"/>
  <c r="CM9" i="31"/>
  <c r="CK9" i="31"/>
  <c r="CB9" i="31"/>
  <c r="CB156" i="29"/>
  <c r="BL9" i="31"/>
  <c r="BI9" i="31"/>
  <c r="HG9" i="31"/>
  <c r="GQ95" i="29"/>
  <c r="GQ99" i="31" s="1"/>
  <c r="GQ48" i="31"/>
  <c r="FM9" i="31"/>
  <c r="BG9" i="31"/>
  <c r="AX95" i="29"/>
  <c r="AX48" i="31"/>
  <c r="AW9" i="31"/>
  <c r="AW156" i="29"/>
  <c r="AP9" i="31"/>
  <c r="AP156" i="29"/>
  <c r="IS95" i="29"/>
  <c r="IS99" i="31" s="1"/>
  <c r="IS48" i="31"/>
  <c r="IP9" i="31"/>
  <c r="IK9" i="31"/>
  <c r="IG9" i="31"/>
  <c r="EA95" i="29"/>
  <c r="EA99" i="31" s="1"/>
  <c r="EA48" i="31"/>
  <c r="EK95" i="29"/>
  <c r="EK48" i="31"/>
  <c r="ED95" i="29"/>
  <c r="ED48" i="31"/>
  <c r="FP95" i="29"/>
  <c r="FP99" i="31" s="1"/>
  <c r="FP48" i="31"/>
  <c r="FH9" i="31"/>
  <c r="JC95" i="29"/>
  <c r="JC99" i="31" s="1"/>
  <c r="JC48" i="31"/>
  <c r="DL9" i="31"/>
  <c r="DL156" i="29"/>
  <c r="DE9" i="31"/>
  <c r="DA95" i="29"/>
  <c r="DA48" i="31"/>
  <c r="CO9" i="31"/>
  <c r="CI9" i="31"/>
  <c r="CI156" i="29"/>
  <c r="BZ95" i="29"/>
  <c r="BZ48" i="31"/>
  <c r="FV9" i="31"/>
  <c r="GI9" i="31"/>
  <c r="GA95" i="29"/>
  <c r="GA99" i="31" s="1"/>
  <c r="GA48" i="31"/>
  <c r="GS9" i="31"/>
  <c r="GE187" i="29"/>
  <c r="GE9" i="31"/>
  <c r="GE156" i="29"/>
  <c r="BC9" i="31"/>
  <c r="AV95" i="29"/>
  <c r="AV48" i="31"/>
  <c r="GJ9" i="31"/>
  <c r="IY95" i="29"/>
  <c r="IY48" i="31"/>
  <c r="IR95" i="29"/>
  <c r="IR99" i="31" s="1"/>
  <c r="IR48" i="31"/>
  <c r="IN9" i="31"/>
  <c r="IC9" i="31"/>
  <c r="IA9" i="31"/>
  <c r="HP95" i="29"/>
  <c r="HP48" i="31"/>
  <c r="AL95" i="29"/>
  <c r="AL48" i="31"/>
  <c r="EV9" i="31"/>
  <c r="M95" i="29"/>
  <c r="M99" i="31" s="1"/>
  <c r="M48" i="31"/>
  <c r="H95" i="29"/>
  <c r="H48" i="31"/>
  <c r="EJ95" i="29"/>
  <c r="EJ99" i="31" s="1"/>
  <c r="EJ48" i="31"/>
  <c r="FK9" i="31"/>
  <c r="FN9" i="31"/>
  <c r="FB9" i="31"/>
  <c r="DT95" i="29"/>
  <c r="DT99" i="31" s="1"/>
  <c r="DT48" i="31"/>
  <c r="DQ95" i="29"/>
  <c r="DQ99" i="31" s="1"/>
  <c r="DQ48" i="31"/>
  <c r="GU95" i="29"/>
  <c r="GU99" i="31" s="1"/>
  <c r="GU48" i="31"/>
  <c r="FD187" i="29"/>
  <c r="FD9" i="31"/>
  <c r="FD156" i="29"/>
  <c r="CV95" i="29"/>
  <c r="CV99" i="31" s="1"/>
  <c r="CV48" i="31"/>
  <c r="CR9" i="31"/>
  <c r="CQ95" i="29"/>
  <c r="CQ99" i="31" s="1"/>
  <c r="CQ48" i="31"/>
  <c r="BY95" i="29"/>
  <c r="BY48" i="31"/>
  <c r="BM95" i="29"/>
  <c r="BM48" i="31"/>
  <c r="BJ9" i="31"/>
  <c r="GR9" i="31"/>
  <c r="EZ95" i="29"/>
  <c r="EZ99" i="31" s="1"/>
  <c r="EZ48" i="31"/>
  <c r="BD9" i="31"/>
  <c r="AT95" i="29"/>
  <c r="AT99" i="31" s="1"/>
  <c r="AT48" i="31"/>
  <c r="GM95" i="29"/>
  <c r="GM99" i="31" s="1"/>
  <c r="GM48" i="31"/>
  <c r="IX95" i="29"/>
  <c r="IX48" i="31"/>
  <c r="IQ9" i="31"/>
  <c r="IM95" i="29"/>
  <c r="IM48" i="31"/>
  <c r="IF95" i="29"/>
  <c r="IF48" i="31"/>
  <c r="ID9" i="31"/>
  <c r="HW9" i="31"/>
  <c r="HS95" i="29"/>
  <c r="HS99" i="31" s="1"/>
  <c r="HS48" i="31"/>
  <c r="AK9" i="31"/>
  <c r="AG9" i="31"/>
  <c r="AE95" i="29"/>
  <c r="AE48" i="31"/>
  <c r="X9" i="31"/>
  <c r="EW95" i="29"/>
  <c r="EW99" i="31" s="1"/>
  <c r="EW48" i="31"/>
  <c r="L9" i="31"/>
  <c r="K9" i="31"/>
  <c r="F9" i="31"/>
  <c r="GC95" i="29"/>
  <c r="GC99" i="31" s="1"/>
  <c r="GC48" i="31"/>
  <c r="JF9" i="31"/>
  <c r="FL95" i="29"/>
  <c r="FL99" i="31" s="1"/>
  <c r="FL48" i="31"/>
  <c r="EB9" i="31"/>
  <c r="DV95" i="29"/>
  <c r="DV99" i="31" s="1"/>
  <c r="DV48" i="31"/>
  <c r="JD9" i="31"/>
  <c r="DS95" i="29"/>
  <c r="DS48" i="31"/>
  <c r="GV95" i="29"/>
  <c r="GV99" i="31" s="1"/>
  <c r="GV48" i="31"/>
  <c r="DJ95" i="29"/>
  <c r="DJ48" i="31"/>
  <c r="HK95" i="29"/>
  <c r="HK99" i="31" s="1"/>
  <c r="HK48" i="31"/>
  <c r="FE9" i="31"/>
  <c r="CW9" i="31"/>
  <c r="CU9" i="31"/>
  <c r="CM95" i="29"/>
  <c r="CM99" i="31" s="1"/>
  <c r="CM48" i="31"/>
  <c r="CK95" i="29"/>
  <c r="CK99" i="31" s="1"/>
  <c r="CK48" i="31"/>
  <c r="BT95" i="29"/>
  <c r="BT48" i="31"/>
  <c r="GP95" i="29"/>
  <c r="GP99" i="31" s="1"/>
  <c r="GP48" i="31"/>
  <c r="BI95" i="29"/>
  <c r="BI99" i="31" s="1"/>
  <c r="BI48" i="31"/>
  <c r="HG95" i="29"/>
  <c r="HG99" i="31" s="1"/>
  <c r="HG48" i="31"/>
  <c r="FX95" i="29"/>
  <c r="FX99" i="31" s="1"/>
  <c r="FX48" i="31"/>
  <c r="FM95" i="29"/>
  <c r="FM99" i="31" s="1"/>
  <c r="FM48" i="31"/>
  <c r="BG95" i="29"/>
  <c r="BG99" i="31" s="1"/>
  <c r="BG48" i="31"/>
  <c r="HE9" i="31"/>
  <c r="AX9" i="31"/>
  <c r="AX156" i="29"/>
  <c r="GK95" i="29"/>
  <c r="GK99" i="31" s="1"/>
  <c r="GK48" i="31"/>
  <c r="IU9" i="31"/>
  <c r="IK95" i="29"/>
  <c r="IK99" i="31" s="1"/>
  <c r="IK48" i="31"/>
  <c r="C9" i="31"/>
  <c r="HR95" i="29"/>
  <c r="HR99" i="31" s="1"/>
  <c r="HR48" i="31"/>
  <c r="AN9" i="31"/>
  <c r="AN156" i="29"/>
  <c r="Y95" i="29"/>
  <c r="Y99" i="31" s="1"/>
  <c r="Y48" i="31"/>
  <c r="V9" i="31"/>
  <c r="HM9" i="31"/>
  <c r="J9" i="31"/>
  <c r="J156" i="29"/>
  <c r="EM95" i="29"/>
  <c r="EM99" i="31" s="1"/>
  <c r="EM48" i="31"/>
  <c r="EG9" i="31"/>
  <c r="EE9" i="31"/>
  <c r="HB9" i="31"/>
  <c r="GO9" i="31"/>
  <c r="FS9" i="31"/>
  <c r="FF9" i="31"/>
  <c r="DN9" i="31"/>
  <c r="HA95" i="29"/>
  <c r="HA99" i="31" s="1"/>
  <c r="HA48" i="31"/>
  <c r="DF9" i="31"/>
  <c r="DB9" i="31"/>
  <c r="CT95" i="29"/>
  <c r="CT99" i="31" s="1"/>
  <c r="CT48" i="31"/>
  <c r="CP95" i="29"/>
  <c r="CP99" i="31" s="1"/>
  <c r="CP48" i="31"/>
  <c r="CF95" i="29"/>
  <c r="CF99" i="31" s="1"/>
  <c r="CF48" i="31"/>
  <c r="BW9" i="31"/>
  <c r="BV9" i="31"/>
  <c r="BN95" i="29"/>
  <c r="BN99" i="31" s="1"/>
  <c r="BN48" i="31"/>
  <c r="GZ187" i="29"/>
  <c r="GZ9" i="31"/>
  <c r="GZ156" i="29"/>
  <c r="HI9" i="31"/>
  <c r="GX95" i="29"/>
  <c r="GX99" i="31" s="1"/>
  <c r="GX48" i="31"/>
  <c r="FJ95" i="29"/>
  <c r="FJ99" i="31" s="1"/>
  <c r="FJ48" i="31"/>
  <c r="BH9" i="31"/>
  <c r="BB9" i="31"/>
  <c r="AS9" i="31"/>
  <c r="AQ9" i="31"/>
  <c r="AQ156" i="29"/>
  <c r="IW95" i="29"/>
  <c r="IW99" i="31" s="1"/>
  <c r="IW48" i="31"/>
  <c r="IT95" i="29"/>
  <c r="IT99" i="31" s="1"/>
  <c r="IT48" i="31"/>
  <c r="IE9" i="31"/>
  <c r="HU9" i="31"/>
  <c r="HQ9" i="31"/>
  <c r="AM95" i="29"/>
  <c r="AM99" i="31" s="1"/>
  <c r="AM48" i="31"/>
  <c r="AF95" i="29"/>
  <c r="AF99" i="31" s="1"/>
  <c r="AF48" i="31"/>
  <c r="AA9" i="31"/>
  <c r="ET95" i="29"/>
  <c r="ET99" i="31" s="1"/>
  <c r="ET48" i="31"/>
  <c r="EY95" i="29"/>
  <c r="EY99" i="31" s="1"/>
  <c r="EY48" i="31"/>
  <c r="N9" i="31"/>
  <c r="N156" i="29"/>
  <c r="IO56" i="29"/>
  <c r="IO59" i="31"/>
  <c r="AE56" i="29"/>
  <c r="AE59" i="31"/>
  <c r="IH56" i="29"/>
  <c r="IH59" i="31"/>
  <c r="JB56" i="29"/>
  <c r="JB59" i="31"/>
  <c r="GB56" i="29"/>
  <c r="GB59" i="31"/>
  <c r="IJ85" i="29"/>
  <c r="IJ69" i="31"/>
  <c r="CP163" i="31"/>
  <c r="CP171" i="31" s="1"/>
  <c r="CP161" i="29"/>
  <c r="CP165" i="31" s="1"/>
  <c r="CP160" i="29"/>
  <c r="CP164" i="31" s="1"/>
  <c r="CP167" i="29"/>
  <c r="GZ173" i="31"/>
  <c r="JN53" i="31"/>
  <c r="HY56" i="29"/>
  <c r="HY59" i="31"/>
  <c r="J165" i="29"/>
  <c r="J169" i="31" s="1"/>
  <c r="J167" i="31"/>
  <c r="GR56" i="29"/>
  <c r="GR59" i="31"/>
  <c r="JF85" i="29"/>
  <c r="JF69" i="31"/>
  <c r="ER56" i="29"/>
  <c r="ER59" i="31"/>
  <c r="AG56" i="29"/>
  <c r="AG59" i="31"/>
  <c r="CT56" i="29"/>
  <c r="CT59" i="31"/>
  <c r="CB159" i="29"/>
  <c r="CB162" i="31"/>
  <c r="EK56" i="29"/>
  <c r="EK59" i="31"/>
  <c r="BQ55" i="31"/>
  <c r="BQ55" i="29"/>
  <c r="FB56" i="29"/>
  <c r="FB59" i="31"/>
  <c r="CV55" i="31"/>
  <c r="CV55" i="29"/>
  <c r="CS6" i="29"/>
  <c r="CS103" i="31"/>
  <c r="CS6" i="31" s="1"/>
  <c r="HO165" i="29"/>
  <c r="HO169" i="31" s="1"/>
  <c r="FG56" i="29"/>
  <c r="FG59" i="31"/>
  <c r="BA56" i="29"/>
  <c r="BA59" i="31"/>
  <c r="DA56" i="29"/>
  <c r="DA59" i="31"/>
  <c r="IM56" i="29"/>
  <c r="IM59" i="31"/>
  <c r="DN56" i="29"/>
  <c r="DN59" i="31"/>
  <c r="EQ6" i="29"/>
  <c r="EQ103" i="31"/>
  <c r="EQ6" i="31" s="1"/>
  <c r="CO56" i="29"/>
  <c r="CO59" i="31"/>
  <c r="HG56" i="29"/>
  <c r="HG59" i="31"/>
  <c r="BO56" i="29"/>
  <c r="BO59" i="31"/>
  <c r="HT56" i="29"/>
  <c r="HT59" i="31"/>
  <c r="HC56" i="29"/>
  <c r="HC59" i="31"/>
  <c r="Z56" i="29"/>
  <c r="Z59" i="31"/>
  <c r="FD56" i="29"/>
  <c r="FD59" i="31"/>
  <c r="BL55" i="31"/>
  <c r="BL55" i="29"/>
  <c r="CI56" i="29"/>
  <c r="CI59" i="31"/>
  <c r="Y56" i="29"/>
  <c r="Y59" i="31"/>
  <c r="U56" i="29"/>
  <c r="U59" i="31"/>
  <c r="BC56" i="29"/>
  <c r="BC59" i="31"/>
  <c r="IZ85" i="29"/>
  <c r="IZ69" i="31"/>
  <c r="JE56" i="29"/>
  <c r="JE59" i="31"/>
  <c r="HP56" i="29"/>
  <c r="HP59" i="31"/>
  <c r="GT56" i="29"/>
  <c r="GT59" i="31"/>
  <c r="DF56" i="29"/>
  <c r="DF59" i="31"/>
  <c r="HS56" i="29"/>
  <c r="HS59" i="31"/>
  <c r="EI56" i="29"/>
  <c r="EI59" i="31"/>
  <c r="EF56" i="29"/>
  <c r="EF59" i="31"/>
  <c r="AU56" i="29"/>
  <c r="AU59" i="31"/>
  <c r="FN56" i="29"/>
  <c r="FN59" i="31"/>
  <c r="AO56" i="29"/>
  <c r="AO59" i="31"/>
  <c r="HJ56" i="29"/>
  <c r="HJ59" i="31"/>
  <c r="IU56" i="29"/>
  <c r="IU59" i="31"/>
  <c r="ET85" i="29"/>
  <c r="ET69" i="31"/>
  <c r="JN65" i="29"/>
  <c r="BW6" i="29"/>
  <c r="BW103" i="31"/>
  <c r="BW6" i="31" s="1"/>
  <c r="HV56" i="29"/>
  <c r="HV59" i="31"/>
  <c r="IQ56" i="29"/>
  <c r="IQ59" i="31"/>
  <c r="AD56" i="29"/>
  <c r="AD59" i="31"/>
  <c r="BJ56" i="29"/>
  <c r="BJ59" i="31"/>
  <c r="GS56" i="29"/>
  <c r="GS59" i="31"/>
  <c r="N159" i="29"/>
  <c r="N162" i="31"/>
  <c r="N173" i="31" s="1"/>
  <c r="N114" i="31" s="1"/>
  <c r="N169" i="29"/>
  <c r="N110" i="29" s="1"/>
  <c r="FZ56" i="29"/>
  <c r="FZ59" i="31"/>
  <c r="FK56" i="29"/>
  <c r="FK59" i="31"/>
  <c r="IP56" i="29"/>
  <c r="IP59" i="31"/>
  <c r="L56" i="29"/>
  <c r="L59" i="31"/>
  <c r="BH56" i="29"/>
  <c r="BH59" i="31"/>
  <c r="DD56" i="29"/>
  <c r="DD59" i="31"/>
  <c r="AQ56" i="29"/>
  <c r="AQ59" i="31"/>
  <c r="FO56" i="29"/>
  <c r="FO59" i="31"/>
  <c r="EW56" i="29"/>
  <c r="EW59" i="31"/>
  <c r="EK163" i="31"/>
  <c r="EK171" i="31" s="1"/>
  <c r="EK161" i="29"/>
  <c r="EK165" i="31" s="1"/>
  <c r="EK160" i="29"/>
  <c r="EK164" i="31" s="1"/>
  <c r="EK167" i="29"/>
  <c r="CL56" i="29"/>
  <c r="CL59" i="31"/>
  <c r="EU85" i="29"/>
  <c r="EU69" i="31"/>
  <c r="DS55" i="31"/>
  <c r="DS55" i="29"/>
  <c r="D56" i="29"/>
  <c r="JL56" i="29" s="1"/>
  <c r="D59" i="31"/>
  <c r="ID56" i="29"/>
  <c r="ID59" i="31"/>
  <c r="FR56" i="29"/>
  <c r="FR59" i="31"/>
  <c r="DT55" i="31"/>
  <c r="DT55" i="29"/>
  <c r="E56" i="29"/>
  <c r="E59" i="31"/>
  <c r="EO56" i="29"/>
  <c r="EO59" i="31"/>
  <c r="CB6" i="29"/>
  <c r="CB103" i="31"/>
  <c r="CB6" i="31" s="1"/>
  <c r="BY56" i="29"/>
  <c r="BY59" i="31"/>
  <c r="EJ6" i="29"/>
  <c r="EJ103" i="31"/>
  <c r="EJ6" i="31" s="1"/>
  <c r="CQ56" i="29"/>
  <c r="CQ59" i="31"/>
  <c r="FL56" i="29"/>
  <c r="FL59" i="31"/>
  <c r="AF6" i="29"/>
  <c r="AF103" i="31"/>
  <c r="AF6" i="31" s="1"/>
  <c r="HL69" i="31"/>
  <c r="HL85" i="29"/>
  <c r="JO65" i="29"/>
  <c r="IT56" i="29"/>
  <c r="IT59" i="31"/>
  <c r="IX85" i="29"/>
  <c r="IX69" i="31"/>
  <c r="DX56" i="29"/>
  <c r="DX59" i="31"/>
  <c r="EG55" i="31"/>
  <c r="EG55" i="29"/>
  <c r="HD56" i="29"/>
  <c r="HD59" i="31"/>
  <c r="HW56" i="29"/>
  <c r="HW59" i="31"/>
  <c r="CW56" i="29"/>
  <c r="CW59" i="31"/>
  <c r="O56" i="29"/>
  <c r="O59" i="31"/>
  <c r="IE85" i="29"/>
  <c r="IE69" i="31"/>
  <c r="FC56" i="29"/>
  <c r="FC59" i="31"/>
  <c r="EF9" i="31"/>
  <c r="DZ95" i="29"/>
  <c r="DZ48" i="31"/>
  <c r="DP9" i="31"/>
  <c r="DH95" i="29"/>
  <c r="DH48" i="31"/>
  <c r="CG95" i="29"/>
  <c r="CG48" i="31"/>
  <c r="BR95" i="29"/>
  <c r="BR48" i="31"/>
  <c r="BO9" i="31"/>
  <c r="BF9" i="31"/>
  <c r="AR9" i="31"/>
  <c r="IJ9" i="31"/>
  <c r="HX95" i="29"/>
  <c r="HX48" i="31"/>
  <c r="AD95" i="29"/>
  <c r="AD48" i="31"/>
  <c r="EU95" i="29"/>
  <c r="EU99" i="31" s="1"/>
  <c r="EU48" i="31"/>
  <c r="W95" i="29"/>
  <c r="W48" i="31"/>
  <c r="Q9" i="31"/>
  <c r="JE95" i="29"/>
  <c r="JE48" i="31"/>
  <c r="Z9" i="31"/>
  <c r="T9" i="31"/>
  <c r="P9" i="31"/>
  <c r="D9" i="31"/>
  <c r="DO9" i="31"/>
  <c r="CN9" i="31"/>
  <c r="CN156" i="29"/>
  <c r="BU95" i="29"/>
  <c r="BU99" i="31" s="1"/>
  <c r="BU48" i="31"/>
  <c r="BP9" i="31"/>
  <c r="GH9" i="31"/>
  <c r="GQ9" i="31"/>
  <c r="BE95" i="29"/>
  <c r="BE99" i="31" s="1"/>
  <c r="BE48" i="31"/>
  <c r="AW95" i="29"/>
  <c r="AW99" i="31" s="1"/>
  <c r="AW48" i="31"/>
  <c r="IP95" i="29"/>
  <c r="IP99" i="31" s="1"/>
  <c r="IP48" i="31"/>
  <c r="HV95" i="29"/>
  <c r="HV99" i="31" s="1"/>
  <c r="HV48" i="31"/>
  <c r="AJ95" i="29"/>
  <c r="AJ99" i="31" s="1"/>
  <c r="AJ48" i="31"/>
  <c r="EX9" i="31"/>
  <c r="S95" i="29"/>
  <c r="S99" i="31" s="1"/>
  <c r="S48" i="31"/>
  <c r="O9" i="31"/>
  <c r="G95" i="29"/>
  <c r="G99" i="31" s="1"/>
  <c r="G48" i="31"/>
  <c r="I95" i="29"/>
  <c r="I99" i="31" s="1"/>
  <c r="I48" i="31"/>
  <c r="EA9" i="31"/>
  <c r="EA156" i="29"/>
  <c r="FF95" i="29"/>
  <c r="FF99" i="31" s="1"/>
  <c r="FF48" i="31"/>
  <c r="DM9" i="31"/>
  <c r="DI9" i="31"/>
  <c r="DI156" i="29"/>
  <c r="CY9" i="31"/>
  <c r="CJ95" i="29"/>
  <c r="CJ48" i="31"/>
  <c r="GF95" i="29"/>
  <c r="GF99" i="31" s="1"/>
  <c r="GF48" i="31"/>
  <c r="GN95" i="29"/>
  <c r="GN99" i="31" s="1"/>
  <c r="GN48" i="31"/>
  <c r="FW9" i="31"/>
  <c r="GL9" i="31"/>
  <c r="II95" i="29"/>
  <c r="II99" i="31" s="1"/>
  <c r="II48" i="31"/>
  <c r="BR9" i="31"/>
  <c r="HZ9" i="31"/>
  <c r="HV9" i="31"/>
  <c r="AN95" i="29"/>
  <c r="AN99" i="31" s="1"/>
  <c r="AN48" i="31"/>
  <c r="AJ9" i="31"/>
  <c r="CY95" i="29"/>
  <c r="CY99" i="31" s="1"/>
  <c r="CY48" i="31"/>
  <c r="EF95" i="29"/>
  <c r="EF99" i="31" s="1"/>
  <c r="EF48" i="31"/>
  <c r="EI9" i="31"/>
  <c r="ED9" i="31"/>
  <c r="FP9" i="31"/>
  <c r="DP95" i="29"/>
  <c r="DP99" i="31" s="1"/>
  <c r="DP48" i="31"/>
  <c r="GT95" i="29"/>
  <c r="GT99" i="31" s="1"/>
  <c r="GT48" i="31"/>
  <c r="DE95" i="29"/>
  <c r="DE99" i="31" s="1"/>
  <c r="DE48" i="31"/>
  <c r="CS95" i="29"/>
  <c r="CS99" i="31" s="1"/>
  <c r="CS48" i="31"/>
  <c r="CO95" i="29"/>
  <c r="CO48" i="31"/>
  <c r="CI95" i="29"/>
  <c r="CI48" i="31"/>
  <c r="CG9" i="31"/>
  <c r="BZ9" i="31"/>
  <c r="BK9" i="31"/>
  <c r="GI95" i="29"/>
  <c r="GI99" i="31" s="1"/>
  <c r="GI48" i="31"/>
  <c r="HH95" i="29"/>
  <c r="HH99" i="31" s="1"/>
  <c r="HH48" i="31"/>
  <c r="GS95" i="29"/>
  <c r="GS99" i="31" s="1"/>
  <c r="GS48" i="31"/>
  <c r="GE95" i="29"/>
  <c r="GE99" i="31" s="1"/>
  <c r="GE48" i="31"/>
  <c r="FA9" i="31"/>
  <c r="BF95" i="29"/>
  <c r="BF99" i="31" s="1"/>
  <c r="BF48" i="31"/>
  <c r="BC95" i="29"/>
  <c r="BC48" i="31"/>
  <c r="AR95" i="29"/>
  <c r="AR99" i="31" s="1"/>
  <c r="AR48" i="31"/>
  <c r="AV9" i="31"/>
  <c r="IV95" i="29"/>
  <c r="IV48" i="31"/>
  <c r="IR9" i="31"/>
  <c r="IJ95" i="29"/>
  <c r="IJ48" i="31"/>
  <c r="IC95" i="29"/>
  <c r="IC48" i="31"/>
  <c r="IA95" i="29"/>
  <c r="IA99" i="31" s="1"/>
  <c r="IA48" i="31"/>
  <c r="HT95" i="29"/>
  <c r="HT48" i="31"/>
  <c r="HP9" i="31"/>
  <c r="AL9" i="31"/>
  <c r="EU9" i="31"/>
  <c r="Q95" i="29"/>
  <c r="Q99" i="31" s="1"/>
  <c r="Q48" i="31"/>
  <c r="M9" i="31"/>
  <c r="HL9" i="31"/>
  <c r="JE9" i="31"/>
  <c r="EJ9" i="31"/>
  <c r="EJ156" i="29"/>
  <c r="FK95" i="29"/>
  <c r="FK99" i="31" s="1"/>
  <c r="FK48" i="31"/>
  <c r="DY95" i="29"/>
  <c r="DY99" i="31" s="1"/>
  <c r="DY48" i="31"/>
  <c r="FR95" i="29"/>
  <c r="FR99" i="31" s="1"/>
  <c r="FR48" i="31"/>
  <c r="DT9" i="31"/>
  <c r="DG9" i="31"/>
  <c r="CV9" i="31"/>
  <c r="CD95" i="29"/>
  <c r="CD48" i="31"/>
  <c r="CL95" i="29"/>
  <c r="CL99" i="31" s="1"/>
  <c r="CL48" i="31"/>
  <c r="BQ9" i="31"/>
  <c r="BQ156" i="29"/>
  <c r="BM9" i="31"/>
  <c r="GB95" i="29"/>
  <c r="GB99" i="31" s="1"/>
  <c r="GB48" i="31"/>
  <c r="HF95" i="29"/>
  <c r="HF99" i="31" s="1"/>
  <c r="HF48" i="31"/>
  <c r="FT95" i="29"/>
  <c r="FT99" i="31" s="1"/>
  <c r="FT48" i="31"/>
  <c r="EZ9" i="31"/>
  <c r="AU9" i="31"/>
  <c r="AT9" i="31"/>
  <c r="AT156" i="29"/>
  <c r="IZ95" i="29"/>
  <c r="IZ99" i="31" s="1"/>
  <c r="IZ48" i="31"/>
  <c r="IX9" i="31"/>
  <c r="IQ95" i="29"/>
  <c r="IQ48" i="31"/>
  <c r="IH95" i="29"/>
  <c r="IH48" i="31"/>
  <c r="IF9" i="31"/>
  <c r="HC9" i="31"/>
  <c r="HW95" i="29"/>
  <c r="HW48" i="31"/>
  <c r="AO9" i="31"/>
  <c r="AK95" i="29"/>
  <c r="AK48" i="31"/>
  <c r="X95" i="29"/>
  <c r="X48" i="31"/>
  <c r="P95" i="29"/>
  <c r="P48" i="31"/>
  <c r="L95" i="29"/>
  <c r="L48" i="31"/>
  <c r="F95" i="29"/>
  <c r="F99" i="31" s="1"/>
  <c r="F48" i="31"/>
  <c r="FL9" i="31"/>
  <c r="DV9" i="31"/>
  <c r="GV9" i="31"/>
  <c r="DJ9" i="31"/>
  <c r="DJ156" i="29"/>
  <c r="DC146" i="29"/>
  <c r="DC150" i="31" s="1"/>
  <c r="DC9" i="31"/>
  <c r="CW95" i="29"/>
  <c r="CW99" i="31" s="1"/>
  <c r="CW48" i="31"/>
  <c r="CU95" i="29"/>
  <c r="CU99" i="31" s="1"/>
  <c r="CU48" i="31"/>
  <c r="CN95" i="29"/>
  <c r="CN99" i="31" s="1"/>
  <c r="CN48" i="31"/>
  <c r="CE9" i="31"/>
  <c r="BU9" i="31"/>
  <c r="BU156" i="29"/>
  <c r="BT9" i="31"/>
  <c r="BP95" i="29"/>
  <c r="BP99" i="31" s="1"/>
  <c r="BP48" i="31"/>
  <c r="GP9" i="31"/>
  <c r="GH95" i="29"/>
  <c r="GH99" i="31" s="1"/>
  <c r="GH48" i="31"/>
  <c r="FX9" i="31"/>
  <c r="BE9" i="31"/>
  <c r="BE156" i="29"/>
  <c r="HE95" i="29"/>
  <c r="HE99" i="31" s="1"/>
  <c r="HE48" i="31"/>
  <c r="GK9" i="31"/>
  <c r="IU95" i="29"/>
  <c r="IU48" i="31"/>
  <c r="GY9" i="31"/>
  <c r="HR9" i="31"/>
  <c r="AB9" i="31"/>
  <c r="Y9" i="31"/>
  <c r="EX95" i="29"/>
  <c r="EX99" i="31" s="1"/>
  <c r="EX48" i="31"/>
  <c r="V95" i="29"/>
  <c r="V99" i="31" s="1"/>
  <c r="V48" i="31"/>
  <c r="O95" i="29"/>
  <c r="O99" i="31" s="1"/>
  <c r="O48" i="31"/>
  <c r="HM95" i="29"/>
  <c r="HM99" i="31" s="1"/>
  <c r="HM48" i="31"/>
  <c r="J95" i="29"/>
  <c r="J99" i="31" s="1"/>
  <c r="J48" i="31"/>
  <c r="GD95" i="29"/>
  <c r="GD99" i="31" s="1"/>
  <c r="GD48" i="31"/>
  <c r="EG95" i="29"/>
  <c r="EG99" i="31" s="1"/>
  <c r="EG48" i="31"/>
  <c r="EE95" i="29"/>
  <c r="EE99" i="31" s="1"/>
  <c r="EE48" i="31"/>
  <c r="GO95" i="29"/>
  <c r="GO99" i="31" s="1"/>
  <c r="GO48" i="31"/>
  <c r="FS95" i="29"/>
  <c r="FS99" i="31" s="1"/>
  <c r="FS48" i="31"/>
  <c r="JA9" i="31"/>
  <c r="DR95" i="29"/>
  <c r="DR99" i="31" s="1"/>
  <c r="DR48" i="31"/>
  <c r="DI95" i="29"/>
  <c r="DI99" i="31" s="1"/>
  <c r="DI48" i="31"/>
  <c r="HA9" i="31"/>
  <c r="CT9" i="31"/>
  <c r="CT156" i="29"/>
  <c r="CP9" i="31"/>
  <c r="CP156" i="29"/>
  <c r="CF9" i="31"/>
  <c r="BW95" i="29"/>
  <c r="BW99" i="31" s="1"/>
  <c r="BW48" i="31"/>
  <c r="BN9" i="31"/>
  <c r="HI95" i="29"/>
  <c r="HI99" i="31" s="1"/>
  <c r="HI48" i="31"/>
  <c r="GX9" i="31"/>
  <c r="FJ9" i="31"/>
  <c r="HD95" i="29"/>
  <c r="HD99" i="31" s="1"/>
  <c r="HD48" i="31"/>
  <c r="AS95" i="29"/>
  <c r="AS99" i="31" s="1"/>
  <c r="AS48" i="31"/>
  <c r="AQ95" i="29"/>
  <c r="AQ99" i="31" s="1"/>
  <c r="AQ48" i="31"/>
  <c r="GL95" i="29"/>
  <c r="GL99" i="31" s="1"/>
  <c r="GL48" i="31"/>
  <c r="IW9" i="31"/>
  <c r="IT9" i="31"/>
  <c r="II9" i="31"/>
  <c r="IE95" i="29"/>
  <c r="IE99" i="31" s="1"/>
  <c r="IE48" i="31"/>
  <c r="HY9" i="31"/>
  <c r="HU95" i="29"/>
  <c r="HU99" i="31" s="1"/>
  <c r="HU48" i="31"/>
  <c r="AF9" i="31"/>
  <c r="ET9" i="31"/>
  <c r="U95" i="29"/>
  <c r="U99" i="31" s="1"/>
  <c r="U48" i="31"/>
  <c r="R9" i="31"/>
  <c r="N95" i="29"/>
  <c r="N99" i="31" s="1"/>
  <c r="N48" i="31"/>
  <c r="JB85" i="29"/>
  <c r="JB69" i="31"/>
  <c r="AW56" i="29"/>
  <c r="AW59" i="31"/>
  <c r="FM56" i="29"/>
  <c r="FM59" i="31"/>
  <c r="GZ165" i="29"/>
  <c r="GZ169" i="31" s="1"/>
  <c r="GZ167" i="31"/>
  <c r="AA56" i="29"/>
  <c r="AA59" i="31"/>
  <c r="DW6" i="29"/>
  <c r="DW103" i="31"/>
  <c r="DW6" i="31" s="1"/>
  <c r="IY56" i="29"/>
  <c r="IY59" i="31"/>
  <c r="DU56" i="29"/>
  <c r="DU59" i="31"/>
  <c r="GC56" i="29"/>
  <c r="GC59" i="31"/>
  <c r="BG56" i="29"/>
  <c r="BG59" i="31"/>
  <c r="AF56" i="29"/>
  <c r="AF59" i="31"/>
  <c r="JF56" i="29"/>
  <c r="JF59" i="31"/>
  <c r="EL56" i="29"/>
  <c r="EL59" i="31"/>
  <c r="IC56" i="29"/>
  <c r="IC59" i="31"/>
  <c r="GP56" i="29"/>
  <c r="GP59" i="31"/>
  <c r="BK56" i="29"/>
  <c r="BK59" i="31"/>
  <c r="DR55" i="31"/>
  <c r="DR55" i="29"/>
  <c r="BQ6" i="29"/>
  <c r="BQ103" i="31"/>
  <c r="BQ6" i="31" s="1"/>
  <c r="EP56" i="29"/>
  <c r="EP59" i="31"/>
  <c r="GV56" i="29"/>
  <c r="GV59" i="31"/>
  <c r="AM56" i="29"/>
  <c r="AM59" i="31"/>
  <c r="AV56" i="29"/>
  <c r="AV59" i="31"/>
  <c r="IM85" i="29"/>
  <c r="IM69" i="31"/>
  <c r="HM56" i="29"/>
  <c r="HM59" i="31"/>
  <c r="EQ55" i="31"/>
  <c r="EQ55" i="29"/>
  <c r="EQ146" i="29"/>
  <c r="EQ150" i="31" s="1"/>
  <c r="FF56" i="29"/>
  <c r="FF59" i="31"/>
  <c r="FU56" i="29"/>
  <c r="FU59" i="31"/>
  <c r="GX56" i="29"/>
  <c r="GX59" i="31"/>
  <c r="HT85" i="29"/>
  <c r="HT69" i="31"/>
  <c r="IG85" i="29"/>
  <c r="IG69" i="31"/>
  <c r="IA85" i="29"/>
  <c r="IA69" i="31"/>
  <c r="DP56" i="29"/>
  <c r="DP59" i="31"/>
  <c r="JC56" i="29"/>
  <c r="JC59" i="31"/>
  <c r="FW56" i="29"/>
  <c r="FW59" i="31"/>
  <c r="IZ56" i="29"/>
  <c r="IZ59" i="31"/>
  <c r="IB85" i="29"/>
  <c r="IB69" i="31"/>
  <c r="HP85" i="29"/>
  <c r="HP69" i="31"/>
  <c r="HS85" i="29"/>
  <c r="HS69" i="31"/>
  <c r="FQ56" i="29"/>
  <c r="FQ59" i="31"/>
  <c r="GF56" i="29"/>
  <c r="GF59" i="31"/>
  <c r="CJ56" i="29"/>
  <c r="CJ59" i="31"/>
  <c r="BM55" i="31"/>
  <c r="BM55" i="29"/>
  <c r="IU85" i="29"/>
  <c r="IU69" i="31"/>
  <c r="BE56" i="29"/>
  <c r="BE59" i="31"/>
  <c r="IF85" i="29"/>
  <c r="IF69" i="31"/>
  <c r="BW55" i="31"/>
  <c r="BW55" i="29"/>
  <c r="IW56" i="29"/>
  <c r="IW59" i="31"/>
  <c r="HV85" i="29"/>
  <c r="HV69" i="31"/>
  <c r="Q56" i="29"/>
  <c r="Q59" i="31"/>
  <c r="IQ85" i="29"/>
  <c r="IQ69" i="31"/>
  <c r="FA56" i="29"/>
  <c r="FA59" i="31"/>
  <c r="CD56" i="29"/>
  <c r="CD59" i="31"/>
  <c r="BP56" i="29"/>
  <c r="BP59" i="31"/>
  <c r="N56" i="29"/>
  <c r="N59" i="31"/>
  <c r="EB56" i="29"/>
  <c r="EB59" i="31"/>
  <c r="JA56" i="29"/>
  <c r="JA59" i="31"/>
  <c r="IP85" i="29"/>
  <c r="IP69" i="31"/>
  <c r="IR85" i="29"/>
  <c r="IR69" i="31"/>
  <c r="IV56" i="29"/>
  <c r="IV59" i="31"/>
  <c r="X56" i="29"/>
  <c r="X59" i="31"/>
  <c r="FE56" i="29"/>
  <c r="FE59" i="31"/>
  <c r="HH56" i="29"/>
  <c r="HH59" i="31"/>
  <c r="EU56" i="29"/>
  <c r="EU59" i="31"/>
  <c r="AX56" i="29"/>
  <c r="AX59" i="31"/>
  <c r="DQ56" i="29"/>
  <c r="DQ59" i="31"/>
  <c r="DT6" i="29"/>
  <c r="DT103" i="31"/>
  <c r="DT6" i="31" s="1"/>
  <c r="EX56" i="29"/>
  <c r="EX59" i="31"/>
  <c r="GQ56" i="29"/>
  <c r="GQ59" i="31"/>
  <c r="CY56" i="29"/>
  <c r="CY59" i="31"/>
  <c r="F59" i="31"/>
  <c r="F56" i="29"/>
  <c r="IS85" i="29"/>
  <c r="IS69" i="31"/>
  <c r="AP6" i="29"/>
  <c r="AP103" i="31"/>
  <c r="AP6" i="31" s="1"/>
  <c r="BV55" i="31"/>
  <c r="BV55" i="29"/>
  <c r="HL59" i="31"/>
  <c r="JO55" i="29"/>
  <c r="HL56" i="29"/>
  <c r="AN163" i="31"/>
  <c r="AN171" i="31" s="1"/>
  <c r="AN160" i="29"/>
  <c r="AN164" i="31" s="1"/>
  <c r="AN161" i="29"/>
  <c r="AN165" i="31" s="1"/>
  <c r="AN167" i="29"/>
  <c r="CN56" i="29"/>
  <c r="CN59" i="31"/>
  <c r="IX56" i="29"/>
  <c r="IX59" i="31"/>
  <c r="K55" i="31"/>
  <c r="K55" i="29"/>
  <c r="EG6" i="29"/>
  <c r="EG103" i="31"/>
  <c r="EG6" i="31" s="1"/>
  <c r="CK56" i="29"/>
  <c r="CK59" i="31"/>
  <c r="HF56" i="29"/>
  <c r="HF59" i="31"/>
  <c r="DM56" i="29"/>
  <c r="DM59" i="31"/>
  <c r="HK56" i="29"/>
  <c r="HK59" i="31"/>
  <c r="AI6" i="29"/>
  <c r="AI103" i="31"/>
  <c r="AI6" i="31" s="1"/>
  <c r="IE56" i="29"/>
  <c r="IE59" i="31"/>
  <c r="HO85" i="29"/>
  <c r="HO69" i="31"/>
  <c r="HJ165" i="29"/>
  <c r="HJ169" i="31" s="1"/>
  <c r="FO9" i="31"/>
  <c r="GT9" i="31"/>
  <c r="FC9" i="31"/>
  <c r="CZ95" i="29"/>
  <c r="CZ48" i="31"/>
  <c r="CC95" i="29"/>
  <c r="CC48" i="31"/>
  <c r="BK95" i="29"/>
  <c r="BK48" i="31"/>
  <c r="HH9" i="31"/>
  <c r="FU95" i="29"/>
  <c r="FU99" i="31" s="1"/>
  <c r="FU48" i="31"/>
  <c r="FA95" i="29"/>
  <c r="FA99" i="31" s="1"/>
  <c r="FA48" i="31"/>
  <c r="AZ95" i="29"/>
  <c r="AZ48" i="31"/>
  <c r="IV9" i="31"/>
  <c r="FI9" i="31"/>
  <c r="HT9" i="31"/>
  <c r="AH95" i="29"/>
  <c r="AH48" i="31"/>
  <c r="CE95" i="29"/>
  <c r="CE99" i="31" s="1"/>
  <c r="CE48" i="31"/>
  <c r="HB95" i="29"/>
  <c r="HB99" i="31" s="1"/>
  <c r="HB48" i="31"/>
  <c r="JA95" i="29"/>
  <c r="JA48" i="31"/>
  <c r="CH95" i="29"/>
  <c r="CH99" i="31" s="1"/>
  <c r="CH48" i="31"/>
  <c r="FZ95" i="29"/>
  <c r="FZ99" i="31" s="1"/>
  <c r="FZ48" i="31"/>
  <c r="IL95" i="29"/>
  <c r="IL99" i="31" s="1"/>
  <c r="IL48" i="31"/>
  <c r="HY95" i="29"/>
  <c r="HY99" i="31" s="1"/>
  <c r="HY48" i="31"/>
  <c r="U9" i="31"/>
  <c r="R95" i="29"/>
  <c r="R99" i="31" s="1"/>
  <c r="R48" i="31"/>
  <c r="HN95" i="29"/>
  <c r="HN99" i="31" s="1"/>
  <c r="HN48" i="31"/>
  <c r="BX56" i="29"/>
  <c r="BX59" i="31"/>
  <c r="CU56" i="29"/>
  <c r="CU59" i="31"/>
  <c r="FV56" i="29"/>
  <c r="FV59" i="31"/>
  <c r="BN56" i="29"/>
  <c r="BN59" i="31"/>
  <c r="AK6" i="29"/>
  <c r="AK103" i="31"/>
  <c r="AK6" i="31" s="1"/>
  <c r="AY56" i="29"/>
  <c r="AY59" i="31"/>
  <c r="DZ6" i="29"/>
  <c r="DZ103" i="31"/>
  <c r="DZ6" i="31" s="1"/>
  <c r="DW165" i="29"/>
  <c r="DW169" i="31" s="1"/>
  <c r="DW167" i="31"/>
  <c r="IY85" i="29"/>
  <c r="IY69" i="31"/>
  <c r="J103" i="31"/>
  <c r="J6" i="29"/>
  <c r="JK99" i="29"/>
  <c r="JM99" i="29"/>
  <c r="JP49" i="29"/>
  <c r="JP99" i="29" s="1"/>
  <c r="GW56" i="29"/>
  <c r="GW59" i="31"/>
  <c r="CG56" i="29"/>
  <c r="CG59" i="31"/>
  <c r="GY56" i="29"/>
  <c r="GY59" i="31"/>
  <c r="AH56" i="29"/>
  <c r="AH59" i="31"/>
  <c r="DG55" i="31"/>
  <c r="DG55" i="29"/>
  <c r="IC85" i="29"/>
  <c r="IC69" i="31"/>
  <c r="AX163" i="31"/>
  <c r="AX171" i="31" s="1"/>
  <c r="AX160" i="29"/>
  <c r="AX164" i="31" s="1"/>
  <c r="AX161" i="29"/>
  <c r="AX165" i="31" s="1"/>
  <c r="AX167" i="29"/>
  <c r="FT56" i="29"/>
  <c r="FT59" i="31"/>
  <c r="GN56" i="29"/>
  <c r="GN59" i="31"/>
  <c r="FJ56" i="29"/>
  <c r="FJ59" i="31"/>
  <c r="BS56" i="29"/>
  <c r="BS59" i="31"/>
  <c r="HX56" i="29"/>
  <c r="HX59" i="31"/>
  <c r="CE56" i="29"/>
  <c r="CE59" i="31"/>
  <c r="HM85" i="29"/>
  <c r="HM69" i="31"/>
  <c r="GE165" i="29"/>
  <c r="GE169" i="31" s="1"/>
  <c r="BB56" i="29"/>
  <c r="BB59" i="31"/>
  <c r="GZ56" i="29"/>
  <c r="GZ59" i="31"/>
  <c r="EA56" i="29"/>
  <c r="EA59" i="31"/>
  <c r="BI56" i="29"/>
  <c r="BI59" i="31"/>
  <c r="IG56" i="29"/>
  <c r="IG59" i="31"/>
  <c r="IA56" i="29"/>
  <c r="IA59" i="31"/>
  <c r="AT56" i="29"/>
  <c r="AT59" i="31"/>
  <c r="II56" i="29"/>
  <c r="II59" i="31"/>
  <c r="JC85" i="29"/>
  <c r="JC69" i="31"/>
  <c r="JH85" i="29"/>
  <c r="JH69" i="31"/>
  <c r="H56" i="29"/>
  <c r="H59" i="31"/>
  <c r="DJ56" i="29"/>
  <c r="DJ59" i="31"/>
  <c r="FX56" i="29"/>
  <c r="FX59" i="31"/>
  <c r="IB56" i="29"/>
  <c r="IB59" i="31"/>
  <c r="BD56" i="29"/>
  <c r="BD59" i="31"/>
  <c r="V56" i="29"/>
  <c r="V59" i="31"/>
  <c r="CC56" i="29"/>
  <c r="CC59" i="31"/>
  <c r="CS56" i="29"/>
  <c r="CS59" i="31"/>
  <c r="GL56" i="29"/>
  <c r="GL59" i="31"/>
  <c r="BM6" i="29"/>
  <c r="BM103" i="31"/>
  <c r="BM6" i="31" s="1"/>
  <c r="HB56" i="29"/>
  <c r="HB59" i="31"/>
  <c r="FI56" i="29"/>
  <c r="FI59" i="31"/>
  <c r="IF56" i="29"/>
  <c r="IF59" i="31"/>
  <c r="IW85" i="29"/>
  <c r="IW69" i="31"/>
  <c r="FH56" i="29"/>
  <c r="FH59" i="31"/>
  <c r="EY56" i="29"/>
  <c r="EY59" i="31"/>
  <c r="I56" i="29"/>
  <c r="I59" i="31"/>
  <c r="HR56" i="29"/>
  <c r="HR59" i="31"/>
  <c r="IL56" i="29"/>
  <c r="IL59" i="31"/>
  <c r="HN56" i="29"/>
  <c r="HN59" i="31"/>
  <c r="JA85" i="29"/>
  <c r="JA69" i="31"/>
  <c r="IR56" i="29"/>
  <c r="IR59" i="31"/>
  <c r="DC56" i="29"/>
  <c r="DC59" i="31"/>
  <c r="GA56" i="29"/>
  <c r="GA59" i="31"/>
  <c r="IV85" i="29"/>
  <c r="IV69" i="31"/>
  <c r="S56" i="29"/>
  <c r="S59" i="31"/>
  <c r="P56" i="29"/>
  <c r="P59" i="31"/>
  <c r="EH56" i="29"/>
  <c r="EH59" i="31"/>
  <c r="DV56" i="29"/>
  <c r="DV59" i="31"/>
  <c r="AJ6" i="29"/>
  <c r="AJ103" i="31"/>
  <c r="AJ6" i="31" s="1"/>
  <c r="R56" i="29"/>
  <c r="R59" i="31"/>
  <c r="GM56" i="29"/>
  <c r="GM59" i="31"/>
  <c r="HQ56" i="29"/>
  <c r="HQ59" i="31"/>
  <c r="DI56" i="29"/>
  <c r="DI59" i="31"/>
  <c r="EC56" i="29"/>
  <c r="EC59" i="31"/>
  <c r="HI56" i="29"/>
  <c r="HI59" i="31"/>
  <c r="AP163" i="31"/>
  <c r="AP171" i="31" s="1"/>
  <c r="AP160" i="29"/>
  <c r="AP164" i="31" s="1"/>
  <c r="AP161" i="29"/>
  <c r="AP165" i="31" s="1"/>
  <c r="AP167" i="29"/>
  <c r="IK56" i="29"/>
  <c r="IK59" i="31"/>
  <c r="DY56" i="29"/>
  <c r="DY59" i="31"/>
  <c r="JG56" i="29"/>
  <c r="JG59" i="31"/>
  <c r="AQ163" i="31"/>
  <c r="AQ171" i="31" s="1"/>
  <c r="AQ167" i="29"/>
  <c r="AQ160" i="29"/>
  <c r="AQ164" i="31" s="1"/>
  <c r="AQ161" i="29"/>
  <c r="AQ165" i="31" s="1"/>
  <c r="IS56" i="29"/>
  <c r="IS59" i="31"/>
  <c r="AP55" i="31"/>
  <c r="AP55" i="29"/>
  <c r="GO56" i="29"/>
  <c r="GO59" i="31"/>
  <c r="CP56" i="29"/>
  <c r="CP59" i="31"/>
  <c r="EE56" i="29"/>
  <c r="EE59" i="31"/>
  <c r="JD56" i="29"/>
  <c r="JD59" i="31"/>
  <c r="BV6" i="29"/>
  <c r="BV103" i="31"/>
  <c r="BV6" i="31" s="1"/>
  <c r="IN56" i="29"/>
  <c r="IN59" i="31"/>
  <c r="FD165" i="29"/>
  <c r="FD169" i="31" s="1"/>
  <c r="EZ56" i="29"/>
  <c r="EZ59" i="31"/>
  <c r="K6" i="29"/>
  <c r="K103" i="31"/>
  <c r="K6" i="31" s="1"/>
  <c r="GI56" i="29"/>
  <c r="GI59" i="31"/>
  <c r="G56" i="29"/>
  <c r="G59" i="31"/>
  <c r="GG56" i="29"/>
  <c r="GG59" i="31"/>
  <c r="HZ56" i="29"/>
  <c r="HZ59" i="31"/>
  <c r="AI55" i="31"/>
  <c r="AI55" i="29"/>
  <c r="BF56" i="29"/>
  <c r="BF59" i="31"/>
  <c r="HU85" i="29"/>
  <c r="HU69" i="31"/>
  <c r="HO56" i="29"/>
  <c r="HO59" i="31"/>
  <c r="BT56" i="29"/>
  <c r="BT59" i="31"/>
  <c r="AK56" i="29"/>
  <c r="AK59" i="31"/>
  <c r="EI95" i="29"/>
  <c r="EI48" i="31"/>
  <c r="CS9" i="31"/>
  <c r="CS156" i="29"/>
  <c r="EK9" i="31"/>
  <c r="EK156" i="29"/>
  <c r="FO95" i="29"/>
  <c r="FO99" i="31" s="1"/>
  <c r="FO48" i="31"/>
  <c r="FC95" i="29"/>
  <c r="FC99" i="31" s="1"/>
  <c r="FC48" i="31"/>
  <c r="BO95" i="29"/>
  <c r="BO99" i="31" s="1"/>
  <c r="BO48" i="31"/>
  <c r="GA9" i="31"/>
  <c r="AZ9" i="31"/>
  <c r="GJ95" i="29"/>
  <c r="GJ99" i="31" s="1"/>
  <c r="GJ48" i="31"/>
  <c r="IN95" i="29"/>
  <c r="IN48" i="31"/>
  <c r="W9" i="31"/>
  <c r="CQ9" i="31"/>
  <c r="S9" i="31"/>
  <c r="G9" i="31"/>
  <c r="I9" i="31"/>
  <c r="I156" i="29"/>
  <c r="EM9" i="31"/>
  <c r="DN95" i="29"/>
  <c r="DN99" i="31" s="1"/>
  <c r="DN48" i="31"/>
  <c r="DM95" i="29"/>
  <c r="DM99" i="31" s="1"/>
  <c r="DM48" i="31"/>
  <c r="DF95" i="29"/>
  <c r="DF99" i="31" s="1"/>
  <c r="DF48" i="31"/>
  <c r="DB95" i="29"/>
  <c r="DB99" i="31" s="1"/>
  <c r="DB48" i="31"/>
  <c r="CJ9" i="31"/>
  <c r="CH9" i="31"/>
  <c r="CH156" i="29"/>
  <c r="BV95" i="29"/>
  <c r="BV99" i="31" s="1"/>
  <c r="BV48" i="31"/>
  <c r="BS95" i="29"/>
  <c r="BS99" i="31" s="1"/>
  <c r="BS48" i="31"/>
  <c r="GZ95" i="29"/>
  <c r="GZ99" i="31" s="1"/>
  <c r="GZ48" i="31"/>
  <c r="GF9" i="31"/>
  <c r="FZ9" i="31"/>
  <c r="GN9" i="31"/>
  <c r="FW95" i="29"/>
  <c r="FW99" i="31" s="1"/>
  <c r="FW48" i="31"/>
  <c r="BH95" i="29"/>
  <c r="BH99" i="31" s="1"/>
  <c r="BH48" i="31"/>
  <c r="BB95" i="29"/>
  <c r="BB99" i="31" s="1"/>
  <c r="BB48" i="31"/>
  <c r="GW95" i="29"/>
  <c r="GW99" i="31" s="1"/>
  <c r="GW48" i="31"/>
  <c r="IO95" i="29"/>
  <c r="IO99" i="31" s="1"/>
  <c r="IO48" i="31"/>
  <c r="IL9" i="31"/>
  <c r="IB9" i="31"/>
  <c r="HQ95" i="29"/>
  <c r="HQ99" i="31" s="1"/>
  <c r="HQ48" i="31"/>
  <c r="AM9" i="31"/>
  <c r="AI95" i="29"/>
  <c r="AI99" i="31" s="1"/>
  <c r="AI48" i="31"/>
  <c r="AA95" i="29"/>
  <c r="AA99" i="31" s="1"/>
  <c r="AA48" i="31"/>
  <c r="EY9" i="31"/>
  <c r="HN9" i="31"/>
  <c r="IO85" i="29"/>
  <c r="IO69" i="31"/>
  <c r="IH85" i="29"/>
  <c r="IH69" i="31"/>
  <c r="AL56" i="29"/>
  <c r="AL59" i="31"/>
  <c r="FY56" i="29"/>
  <c r="FY59" i="31"/>
  <c r="EN6" i="29"/>
  <c r="EN103" i="31"/>
  <c r="EN6" i="31" s="1"/>
  <c r="IJ56" i="29"/>
  <c r="IJ59" i="31"/>
  <c r="HY85" i="29"/>
  <c r="HY69" i="31"/>
  <c r="DZ55" i="31"/>
  <c r="DZ55" i="29"/>
  <c r="DW55" i="31"/>
  <c r="DW55" i="29"/>
  <c r="DW146" i="29"/>
  <c r="DW150" i="31" s="1"/>
  <c r="T56" i="29"/>
  <c r="T59" i="31"/>
  <c r="DL159" i="29"/>
  <c r="DL162" i="31"/>
  <c r="J55" i="31"/>
  <c r="J55" i="29"/>
  <c r="JM53" i="31"/>
  <c r="J173" i="31"/>
  <c r="J114" i="31" s="1"/>
  <c r="DL56" i="29"/>
  <c r="DL59" i="31"/>
  <c r="HE56" i="29"/>
  <c r="HE59" i="31"/>
  <c r="BU159" i="29"/>
  <c r="BU162" i="31"/>
  <c r="DG6" i="29"/>
  <c r="DG103" i="31"/>
  <c r="DG6" i="31" s="1"/>
  <c r="CH56" i="29"/>
  <c r="CH59" i="31"/>
  <c r="DR6" i="29"/>
  <c r="DR103" i="31"/>
  <c r="DR6" i="31" s="1"/>
  <c r="GH56" i="29"/>
  <c r="GH59" i="31"/>
  <c r="HX85" i="29"/>
  <c r="HX69" i="31"/>
  <c r="CV6" i="29"/>
  <c r="CV103" i="31"/>
  <c r="CV6" i="31" s="1"/>
  <c r="EV56" i="29"/>
  <c r="EV59" i="31"/>
  <c r="AB56" i="29"/>
  <c r="AB59" i="31"/>
  <c r="CX56" i="29"/>
  <c r="CX59" i="31"/>
  <c r="CM56" i="29"/>
  <c r="CM59" i="31"/>
  <c r="EN56" i="29"/>
  <c r="EN59" i="31"/>
  <c r="EJ56" i="29"/>
  <c r="EJ59" i="31"/>
  <c r="ES56" i="29"/>
  <c r="ES59" i="31"/>
  <c r="AZ56" i="29"/>
  <c r="AZ59" i="31"/>
  <c r="AN56" i="29"/>
  <c r="AN59" i="31"/>
  <c r="AR56" i="29"/>
  <c r="AR59" i="31"/>
  <c r="BL6" i="29"/>
  <c r="BL103" i="31"/>
  <c r="BL6" i="31" s="1"/>
  <c r="II85" i="29"/>
  <c r="II69" i="31"/>
  <c r="JH56" i="29"/>
  <c r="JH59" i="31"/>
  <c r="DB56" i="29"/>
  <c r="DB59" i="31"/>
  <c r="JE85" i="29"/>
  <c r="JE69" i="31"/>
  <c r="BZ56" i="29"/>
  <c r="BZ59" i="31"/>
  <c r="DO6" i="29"/>
  <c r="DO103" i="31"/>
  <c r="DO6" i="31" s="1"/>
  <c r="GE56" i="29"/>
  <c r="GE59" i="31"/>
  <c r="ET59" i="31"/>
  <c r="ET56" i="29"/>
  <c r="JN55" i="29"/>
  <c r="W56" i="29"/>
  <c r="W59" i="31"/>
  <c r="BR56" i="29"/>
  <c r="BR59" i="31"/>
  <c r="EJ165" i="29"/>
  <c r="EJ169" i="31" s="1"/>
  <c r="EJ167" i="31"/>
  <c r="HR85" i="29"/>
  <c r="HR69" i="31"/>
  <c r="GK56" i="29"/>
  <c r="GK59" i="31"/>
  <c r="IL85" i="29"/>
  <c r="IL69" i="31"/>
  <c r="HN85" i="29"/>
  <c r="HN69" i="31"/>
  <c r="CR56" i="29"/>
  <c r="CR59" i="31"/>
  <c r="DE56" i="29"/>
  <c r="DE59" i="31"/>
  <c r="AJ55" i="31"/>
  <c r="AJ55" i="29"/>
  <c r="DS6" i="29"/>
  <c r="DS103" i="31"/>
  <c r="DS6" i="31" s="1"/>
  <c r="EM56" i="29"/>
  <c r="EM59" i="31"/>
  <c r="ID85" i="29"/>
  <c r="ID69" i="31"/>
  <c r="HQ85" i="29"/>
  <c r="HQ69" i="31"/>
  <c r="GJ56" i="29"/>
  <c r="GJ59" i="31"/>
  <c r="M56" i="29"/>
  <c r="M59" i="31"/>
  <c r="CB55" i="31"/>
  <c r="CB55" i="29"/>
  <c r="IK85" i="29"/>
  <c r="IK69" i="31"/>
  <c r="HA56" i="29"/>
  <c r="HA59" i="31"/>
  <c r="JG85" i="29"/>
  <c r="JG69" i="31"/>
  <c r="BU56" i="29"/>
  <c r="BU59" i="31"/>
  <c r="ED56" i="29"/>
  <c r="ED59" i="31"/>
  <c r="GU56" i="29"/>
  <c r="GU59" i="31"/>
  <c r="AS56" i="29"/>
  <c r="AS59" i="31"/>
  <c r="AT159" i="29"/>
  <c r="AT162" i="31"/>
  <c r="JD85" i="29"/>
  <c r="JD69" i="31"/>
  <c r="IT85" i="29"/>
  <c r="IT69" i="31"/>
  <c r="IN85" i="29"/>
  <c r="IN69" i="31"/>
  <c r="FP56" i="29"/>
  <c r="FP59" i="31"/>
  <c r="DH56" i="29"/>
  <c r="DH59" i="31"/>
  <c r="CF56" i="29"/>
  <c r="CF59" i="31"/>
  <c r="CZ56" i="29"/>
  <c r="CZ59" i="31"/>
  <c r="HW85" i="29"/>
  <c r="HW69" i="31"/>
  <c r="HZ85" i="29"/>
  <c r="HZ69" i="31"/>
  <c r="DK56" i="29"/>
  <c r="DK59" i="31"/>
  <c r="GD56" i="29"/>
  <c r="GD59" i="31"/>
  <c r="FS56" i="29"/>
  <c r="FS59" i="31"/>
  <c r="HU56" i="29"/>
  <c r="HU59" i="31"/>
  <c r="SH229" i="1"/>
  <c r="TQ166" i="1"/>
  <c r="TK166" i="1" s="1"/>
  <c r="SN153" i="1"/>
  <c r="UN38" i="1"/>
  <c r="TQ25" i="1"/>
  <c r="TQ228" i="1"/>
  <c r="UT202" i="1"/>
  <c r="UN202" i="1" s="1"/>
  <c r="TQ179" i="1"/>
  <c r="TK179" i="1" s="1"/>
  <c r="TK145" i="1"/>
  <c r="UT231" i="1"/>
  <c r="UN231" i="1" s="1"/>
  <c r="TQ173" i="1"/>
  <c r="UT152" i="1"/>
  <c r="UN152" i="1" s="1"/>
  <c r="UT79" i="1"/>
  <c r="UN79" i="1" s="1"/>
  <c r="SN139" i="1"/>
  <c r="SH139" i="1" s="1"/>
  <c r="UN133" i="1"/>
  <c r="TK132" i="1"/>
  <c r="TQ128" i="1"/>
  <c r="TK128" i="1" s="1"/>
  <c r="SN100" i="1"/>
  <c r="SH100" i="1" s="1"/>
  <c r="TQ119" i="1"/>
  <c r="UT108" i="1"/>
  <c r="SN22" i="1"/>
  <c r="TQ79" i="1"/>
  <c r="TK79" i="1" s="1"/>
  <c r="SN62" i="1"/>
  <c r="SH62" i="1" s="1"/>
  <c r="SN74" i="1"/>
  <c r="SH74" i="1" s="1"/>
  <c r="UN67" i="1"/>
  <c r="UT64" i="1"/>
  <c r="UN64" i="1" s="1"/>
  <c r="TK62" i="1"/>
  <c r="UT21" i="1"/>
  <c r="UN21" i="1" s="1"/>
  <c r="TQ12" i="1"/>
  <c r="TK12" i="1" s="1"/>
  <c r="TK227" i="1"/>
  <c r="TQ124" i="1"/>
  <c r="TK124" i="1" s="1"/>
  <c r="SN111" i="1"/>
  <c r="UT119" i="1"/>
  <c r="UN119" i="1" s="1"/>
  <c r="UT68" i="1"/>
  <c r="UN68" i="1" s="1"/>
  <c r="SN238" i="1"/>
  <c r="C58" i="29"/>
  <c r="C62" i="31" s="1"/>
  <c r="C57" i="29"/>
  <c r="C61" i="31" s="1"/>
  <c r="EF146" i="29"/>
  <c r="EF150" i="31" s="1"/>
  <c r="DP146" i="29"/>
  <c r="DP150" i="31" s="1"/>
  <c r="CS187" i="29"/>
  <c r="CS146" i="29"/>
  <c r="CS150" i="31" s="1"/>
  <c r="BO146" i="29"/>
  <c r="BO150" i="31" s="1"/>
  <c r="BF146" i="29"/>
  <c r="AR146" i="29"/>
  <c r="AR150" i="31" s="1"/>
  <c r="Q146" i="29"/>
  <c r="Q150" i="31" s="1"/>
  <c r="CR146" i="29"/>
  <c r="CR150" i="31" s="1"/>
  <c r="BJ146" i="29"/>
  <c r="BJ150" i="31" s="1"/>
  <c r="BD146" i="29"/>
  <c r="BD150" i="31" s="1"/>
  <c r="AK146" i="29"/>
  <c r="AK150" i="31" s="1"/>
  <c r="AG146" i="29"/>
  <c r="AG150" i="31" s="1"/>
  <c r="X146" i="29"/>
  <c r="X150" i="31" s="1"/>
  <c r="L146" i="29"/>
  <c r="L150" i="31" s="1"/>
  <c r="K146" i="29"/>
  <c r="K150" i="31" s="1"/>
  <c r="F146" i="29"/>
  <c r="F150" i="31" s="1"/>
  <c r="JI9" i="29"/>
  <c r="D146" i="29"/>
  <c r="D150" i="31" s="1"/>
  <c r="DO146" i="29"/>
  <c r="DO150" i="31" s="1"/>
  <c r="CN187" i="29"/>
  <c r="CN146" i="29"/>
  <c r="CN150" i="31" s="1"/>
  <c r="BP146" i="29"/>
  <c r="BP150" i="31" s="1"/>
  <c r="JI44" i="29"/>
  <c r="JI48" i="31" s="1"/>
  <c r="C95" i="29"/>
  <c r="C99" i="31" s="1"/>
  <c r="JN9" i="29"/>
  <c r="O146" i="29"/>
  <c r="O150" i="31" s="1"/>
  <c r="CA159" i="29"/>
  <c r="CA163" i="31" s="1"/>
  <c r="CA171" i="31" s="1"/>
  <c r="CA169" i="29"/>
  <c r="CA110" i="29" s="1"/>
  <c r="CT187" i="29"/>
  <c r="CT146" i="29"/>
  <c r="CT150" i="31" s="1"/>
  <c r="CP187" i="29"/>
  <c r="CP146" i="29"/>
  <c r="CP150" i="31" s="1"/>
  <c r="CF146" i="29"/>
  <c r="CF150" i="31" s="1"/>
  <c r="BN146" i="29"/>
  <c r="BN150" i="31" s="1"/>
  <c r="AF146" i="29"/>
  <c r="AF150" i="31" s="1"/>
  <c r="R146" i="29"/>
  <c r="R150" i="31" s="1"/>
  <c r="TK203" i="1"/>
  <c r="EK187" i="29"/>
  <c r="EK146" i="29"/>
  <c r="EK150" i="31" s="1"/>
  <c r="DZ146" i="29"/>
  <c r="DZ150" i="31" s="1"/>
  <c r="DH146" i="29"/>
  <c r="DH150" i="31" s="1"/>
  <c r="DA146" i="29"/>
  <c r="CZ146" i="29"/>
  <c r="CZ150" i="31" s="1"/>
  <c r="CC146" i="29"/>
  <c r="CC150" i="31" s="1"/>
  <c r="BR146" i="29"/>
  <c r="BR150" i="31" s="1"/>
  <c r="AZ146" i="29"/>
  <c r="AZ150" i="31" s="1"/>
  <c r="AH146" i="29"/>
  <c r="AH150" i="31" s="1"/>
  <c r="AD146" i="29"/>
  <c r="AD150" i="31" s="1"/>
  <c r="W146" i="29"/>
  <c r="W150" i="31" s="1"/>
  <c r="H187" i="29"/>
  <c r="H146" i="29"/>
  <c r="H150" i="31" s="1"/>
  <c r="EJ187" i="29"/>
  <c r="EJ146" i="29"/>
  <c r="EJ150" i="31" s="1"/>
  <c r="DT146" i="29"/>
  <c r="DT150" i="31" s="1"/>
  <c r="DG146" i="29"/>
  <c r="DG150" i="31" s="1"/>
  <c r="CV146" i="29"/>
  <c r="CV150" i="31" s="1"/>
  <c r="BQ187" i="29"/>
  <c r="BQ146" i="29"/>
  <c r="BQ150" i="31" s="1"/>
  <c r="BM146" i="29"/>
  <c r="BM150" i="31" s="1"/>
  <c r="AU146" i="29"/>
  <c r="AU150" i="31" s="1"/>
  <c r="AT187" i="29"/>
  <c r="AT146" i="29"/>
  <c r="AT150" i="31" s="1"/>
  <c r="AO146" i="29"/>
  <c r="AO150" i="31" s="1"/>
  <c r="EH146" i="29"/>
  <c r="EH150" i="31" s="1"/>
  <c r="DS146" i="29"/>
  <c r="DS150" i="31" s="1"/>
  <c r="CM146" i="29"/>
  <c r="CM150" i="31" s="1"/>
  <c r="CK146" i="29"/>
  <c r="CK150" i="31" s="1"/>
  <c r="CB187" i="29"/>
  <c r="CB146" i="29"/>
  <c r="CB150" i="31" s="1"/>
  <c r="BL146" i="29"/>
  <c r="BL150" i="31" s="1"/>
  <c r="BI146" i="29"/>
  <c r="BI150" i="31" s="1"/>
  <c r="BG146" i="29"/>
  <c r="AW187" i="29"/>
  <c r="AW146" i="29"/>
  <c r="AW150" i="31" s="1"/>
  <c r="AP187" i="29"/>
  <c r="AP146" i="29"/>
  <c r="AP150" i="31" s="1"/>
  <c r="JL98" i="29"/>
  <c r="JP7" i="29"/>
  <c r="JP98" i="29" s="1"/>
  <c r="JO9" i="29"/>
  <c r="AJ146" i="29"/>
  <c r="AJ150" i="31" s="1"/>
  <c r="S146" i="29"/>
  <c r="S150" i="31" s="1"/>
  <c r="G146" i="29"/>
  <c r="G150" i="31" s="1"/>
  <c r="JM9" i="29"/>
  <c r="I187" i="29"/>
  <c r="I146" i="29"/>
  <c r="I150" i="31" s="1"/>
  <c r="EA187" i="29"/>
  <c r="EA146" i="29"/>
  <c r="EA150" i="31" s="1"/>
  <c r="DR146" i="29"/>
  <c r="DR150" i="31" s="1"/>
  <c r="DM146" i="29"/>
  <c r="DM150" i="31" s="1"/>
  <c r="DI187" i="29"/>
  <c r="DI146" i="29"/>
  <c r="DI150" i="31" s="1"/>
  <c r="CY146" i="29"/>
  <c r="CY150" i="31" s="1"/>
  <c r="BS187" i="29"/>
  <c r="BS146" i="29"/>
  <c r="BS150" i="31" s="1"/>
  <c r="AI146" i="29"/>
  <c r="AI150" i="31" s="1"/>
  <c r="U146" i="29"/>
  <c r="U150" i="31" s="1"/>
  <c r="UN168" i="1"/>
  <c r="SN76" i="1"/>
  <c r="SN68" i="1"/>
  <c r="SH68" i="1" s="1"/>
  <c r="SN117" i="1"/>
  <c r="DL187" i="29"/>
  <c r="DL146" i="29"/>
  <c r="DL150" i="31" s="1"/>
  <c r="DE146" i="29"/>
  <c r="DE150" i="31" s="1"/>
  <c r="CO146" i="29"/>
  <c r="CO150" i="31" s="1"/>
  <c r="CI187" i="29"/>
  <c r="CI146" i="29"/>
  <c r="CI150" i="31" s="1"/>
  <c r="BC146" i="29"/>
  <c r="BC150" i="31" s="1"/>
  <c r="EC146" i="29"/>
  <c r="EC150" i="31" s="1"/>
  <c r="DY146" i="29"/>
  <c r="DY150" i="31" s="1"/>
  <c r="DK187" i="29"/>
  <c r="DK146" i="29"/>
  <c r="DK150" i="31" s="1"/>
  <c r="CD146" i="29"/>
  <c r="CD150" i="31" s="1"/>
  <c r="CL187" i="29"/>
  <c r="CL146" i="29"/>
  <c r="CL150" i="31" s="1"/>
  <c r="BA146" i="29"/>
  <c r="BA150" i="31" s="1"/>
  <c r="AY146" i="29"/>
  <c r="AY150" i="31" s="1"/>
  <c r="JP8" i="29"/>
  <c r="Z146" i="29"/>
  <c r="Z150" i="31" s="1"/>
  <c r="T146" i="29"/>
  <c r="T150" i="31" s="1"/>
  <c r="P146" i="29"/>
  <c r="P150" i="31" s="1"/>
  <c r="EB146" i="29"/>
  <c r="EB150" i="31" s="1"/>
  <c r="JD146" i="29"/>
  <c r="CW146" i="29"/>
  <c r="CW150" i="31" s="1"/>
  <c r="CU146" i="29"/>
  <c r="CU150" i="31" s="1"/>
  <c r="AX187" i="29"/>
  <c r="AX146" i="29"/>
  <c r="AX150" i="31" s="1"/>
  <c r="JL9" i="29"/>
  <c r="C146" i="29"/>
  <c r="C150" i="31" s="1"/>
  <c r="AN187" i="29"/>
  <c r="AN146" i="29"/>
  <c r="AN150" i="31" s="1"/>
  <c r="V146" i="29"/>
  <c r="V150" i="31" s="1"/>
  <c r="J187" i="29"/>
  <c r="J146" i="29"/>
  <c r="J150" i="31" s="1"/>
  <c r="EM146" i="29"/>
  <c r="EM150" i="31" s="1"/>
  <c r="CJ146" i="29"/>
  <c r="CJ150" i="31" s="1"/>
  <c r="CH187" i="29"/>
  <c r="CH146" i="29"/>
  <c r="CH150" i="31" s="1"/>
  <c r="AM146" i="29"/>
  <c r="AM150" i="31" s="1"/>
  <c r="UN232" i="1"/>
  <c r="SH183" i="1"/>
  <c r="TQ213" i="1"/>
  <c r="TK213" i="1" s="1"/>
  <c r="SN141" i="1"/>
  <c r="SH141" i="1" s="1"/>
  <c r="TQ138" i="1"/>
  <c r="TK138" i="1" s="1"/>
  <c r="UT63" i="1"/>
  <c r="UN63" i="1" s="1"/>
  <c r="SN244" i="1"/>
  <c r="SH244" i="1" s="1"/>
  <c r="SN246" i="1"/>
  <c r="SH246" i="1" s="1"/>
  <c r="UT226" i="1"/>
  <c r="UN226" i="1" s="1"/>
  <c r="UN195" i="1"/>
  <c r="UT177" i="1"/>
  <c r="UN177" i="1" s="1"/>
  <c r="SN175" i="1"/>
  <c r="SH175" i="1" s="1"/>
  <c r="SN167" i="1"/>
  <c r="SH167" i="1" s="1"/>
  <c r="UT161" i="1"/>
  <c r="SN159" i="1"/>
  <c r="TK156" i="1"/>
  <c r="SH151" i="1"/>
  <c r="TK148" i="1"/>
  <c r="UN158" i="1"/>
  <c r="UN89" i="1"/>
  <c r="SH26" i="1"/>
  <c r="TQ23" i="1"/>
  <c r="TK23" i="1" s="1"/>
  <c r="UN47" i="1"/>
  <c r="TK42" i="1"/>
  <c r="SN37" i="1"/>
  <c r="SH37" i="1" s="1"/>
  <c r="SN29" i="1"/>
  <c r="SH29" i="1" s="1"/>
  <c r="SN252" i="1"/>
  <c r="SH252" i="1" s="1"/>
  <c r="SN261" i="1"/>
  <c r="SH261" i="1" s="1"/>
  <c r="SN236" i="1"/>
  <c r="SH236" i="1" s="1"/>
  <c r="TQ217" i="1"/>
  <c r="UT211" i="1"/>
  <c r="SN207" i="1"/>
  <c r="SN203" i="1"/>
  <c r="SH203" i="1" s="1"/>
  <c r="SN201" i="1"/>
  <c r="TK193" i="1"/>
  <c r="SH188" i="1"/>
  <c r="UT182" i="1"/>
  <c r="UN182" i="1" s="1"/>
  <c r="TQ177" i="1"/>
  <c r="TQ169" i="1"/>
  <c r="TK169" i="1" s="1"/>
  <c r="UT164" i="1"/>
  <c r="UT198" i="1"/>
  <c r="UN198" i="1" s="1"/>
  <c r="TQ196" i="1"/>
  <c r="SN213" i="1"/>
  <c r="SH213" i="1" s="1"/>
  <c r="SH150" i="1"/>
  <c r="UT143" i="1"/>
  <c r="UN143" i="1" s="1"/>
  <c r="TK110" i="1"/>
  <c r="SN92" i="1"/>
  <c r="SH92" i="1" s="1"/>
  <c r="TQ78" i="1"/>
  <c r="TK78" i="1" s="1"/>
  <c r="UT107" i="1"/>
  <c r="UN107" i="1" s="1"/>
  <c r="TQ106" i="1"/>
  <c r="TK106" i="1" s="1"/>
  <c r="TQ93" i="1"/>
  <c r="TK93" i="1" s="1"/>
  <c r="TQ90" i="1"/>
  <c r="TK90" i="1" s="1"/>
  <c r="SN15" i="1"/>
  <c r="SH15" i="1" s="1"/>
  <c r="UT11" i="1"/>
  <c r="SN72" i="1"/>
  <c r="SN69" i="1"/>
  <c r="SH69" i="1" s="1"/>
  <c r="SN66" i="1"/>
  <c r="SH66" i="1" s="1"/>
  <c r="SH21" i="1"/>
  <c r="TQ211" i="1"/>
  <c r="TK211" i="1" s="1"/>
  <c r="SH222" i="1"/>
  <c r="SN233" i="1"/>
  <c r="SH233" i="1" s="1"/>
  <c r="TK207" i="1"/>
  <c r="UT194" i="1"/>
  <c r="TQ120" i="1"/>
  <c r="TK120" i="1" s="1"/>
  <c r="UT121" i="1"/>
  <c r="UN121" i="1" s="1"/>
  <c r="UT115" i="1"/>
  <c r="TQ112" i="1"/>
  <c r="TK112" i="1" s="1"/>
  <c r="EI146" i="29"/>
  <c r="EI150" i="31" s="1"/>
  <c r="ED146" i="29"/>
  <c r="ED150" i="31" s="1"/>
  <c r="CG146" i="29"/>
  <c r="CG150" i="31" s="1"/>
  <c r="BZ146" i="29"/>
  <c r="BZ150" i="31" s="1"/>
  <c r="BK146" i="29"/>
  <c r="BK150" i="31" s="1"/>
  <c r="AV146" i="29"/>
  <c r="AV150" i="31" s="1"/>
  <c r="AL146" i="29"/>
  <c r="AL150" i="31" s="1"/>
  <c r="M146" i="29"/>
  <c r="M150" i="31" s="1"/>
  <c r="JB146" i="29"/>
  <c r="DQ146" i="29"/>
  <c r="DQ150" i="31" s="1"/>
  <c r="DD187" i="29"/>
  <c r="DD146" i="29"/>
  <c r="DD150" i="31" s="1"/>
  <c r="CX146" i="29"/>
  <c r="CX150" i="31" s="1"/>
  <c r="CQ146" i="29"/>
  <c r="CQ150" i="31" s="1"/>
  <c r="BY146" i="29"/>
  <c r="BY150" i="31" s="1"/>
  <c r="BX146" i="29"/>
  <c r="BX150" i="31" s="1"/>
  <c r="AE146" i="29"/>
  <c r="AE150" i="31" s="1"/>
  <c r="DV146" i="29"/>
  <c r="DV150" i="31" s="1"/>
  <c r="DJ187" i="29"/>
  <c r="DJ146" i="29"/>
  <c r="DJ150" i="31" s="1"/>
  <c r="CE146" i="29"/>
  <c r="CE150" i="31" s="1"/>
  <c r="BU187" i="29"/>
  <c r="BU146" i="29"/>
  <c r="BU150" i="31" s="1"/>
  <c r="BT146" i="29"/>
  <c r="BT150" i="31" s="1"/>
  <c r="BE187" i="29"/>
  <c r="BE146" i="29"/>
  <c r="BE150" i="31" s="1"/>
  <c r="AB146" i="29"/>
  <c r="AB150" i="31" s="1"/>
  <c r="Y146" i="29"/>
  <c r="Y150" i="31" s="1"/>
  <c r="EG146" i="29"/>
  <c r="EG150" i="31" s="1"/>
  <c r="EE146" i="29"/>
  <c r="EE150" i="31" s="1"/>
  <c r="DN146" i="29"/>
  <c r="DN150" i="31" s="1"/>
  <c r="DF146" i="29"/>
  <c r="DB146" i="29"/>
  <c r="DB150" i="31" s="1"/>
  <c r="BW146" i="29"/>
  <c r="BW150" i="31" s="1"/>
  <c r="BV146" i="29"/>
  <c r="BV150" i="31" s="1"/>
  <c r="BH146" i="29"/>
  <c r="BB146" i="29"/>
  <c r="BB150" i="31" s="1"/>
  <c r="AS146" i="29"/>
  <c r="AS150" i="31" s="1"/>
  <c r="AQ187" i="29"/>
  <c r="AQ146" i="29"/>
  <c r="AQ150" i="31" s="1"/>
  <c r="AA146" i="29"/>
  <c r="AA150" i="31" s="1"/>
  <c r="N187" i="29"/>
  <c r="N146" i="29"/>
  <c r="N150" i="31" s="1"/>
  <c r="TQ237" i="1"/>
  <c r="SN142" i="1"/>
  <c r="UT140" i="1"/>
  <c r="UN140" i="1" s="1"/>
  <c r="TQ139" i="1"/>
  <c r="SN138" i="1"/>
  <c r="SH138" i="1" s="1"/>
  <c r="UT136" i="1"/>
  <c r="UN136" i="1" s="1"/>
  <c r="TQ135" i="1"/>
  <c r="TK135" i="1" s="1"/>
  <c r="SN134" i="1"/>
  <c r="SH134" i="1" s="1"/>
  <c r="UT132" i="1"/>
  <c r="TQ131" i="1"/>
  <c r="TK131" i="1" s="1"/>
  <c r="SN130" i="1"/>
  <c r="SH130" i="1" s="1"/>
  <c r="UT128" i="1"/>
  <c r="SH220" i="1"/>
  <c r="SN90" i="1"/>
  <c r="SH90" i="1" s="1"/>
  <c r="SH118" i="1"/>
  <c r="SH114" i="1"/>
  <c r="TK94" i="1"/>
  <c r="TQ261" i="1"/>
  <c r="TK261" i="1" s="1"/>
  <c r="TQ126" i="1"/>
  <c r="UN253" i="1"/>
  <c r="SH169" i="1"/>
  <c r="TK158" i="1"/>
  <c r="UN147" i="1"/>
  <c r="SN55" i="1"/>
  <c r="SH55" i="1" s="1"/>
  <c r="TQ44" i="1"/>
  <c r="TK44" i="1" s="1"/>
  <c r="UT25" i="1"/>
  <c r="UN25" i="1" s="1"/>
  <c r="SN61" i="1"/>
  <c r="SH61" i="1" s="1"/>
  <c r="UT103" i="1"/>
  <c r="UN103" i="1" s="1"/>
  <c r="UT22" i="1"/>
  <c r="UN22" i="1" s="1"/>
  <c r="TQ199" i="1"/>
  <c r="TK199" i="1" s="1"/>
  <c r="UT127" i="1"/>
  <c r="UN127" i="1" s="1"/>
  <c r="SH206" i="1"/>
  <c r="SH263" i="1"/>
  <c r="UT56" i="1"/>
  <c r="UN56" i="1" s="1"/>
  <c r="SN46" i="1"/>
  <c r="SH46" i="1" s="1"/>
  <c r="TQ32" i="1"/>
  <c r="TK32" i="1" s="1"/>
  <c r="TQ35" i="1"/>
  <c r="TK35" i="1" s="1"/>
  <c r="SN60" i="1"/>
  <c r="SH60" i="1" s="1"/>
  <c r="TQ49" i="1"/>
  <c r="TK49" i="1" s="1"/>
  <c r="SN28" i="1"/>
  <c r="SH28" i="1" s="1"/>
  <c r="TK242" i="1"/>
  <c r="TK218" i="1"/>
  <c r="UN126" i="1"/>
  <c r="TK125" i="1"/>
  <c r="UT73" i="1"/>
  <c r="UN73" i="1" s="1"/>
  <c r="SH20" i="1"/>
  <c r="SN260" i="1"/>
  <c r="SH260" i="1" s="1"/>
  <c r="SN214" i="1"/>
  <c r="SH214" i="1" s="1"/>
  <c r="UT193" i="1"/>
  <c r="UN193" i="1" s="1"/>
  <c r="UT65" i="1"/>
  <c r="UN65" i="1" s="1"/>
  <c r="SN23" i="1"/>
  <c r="TQ215" i="1"/>
  <c r="TK215" i="1" s="1"/>
  <c r="UN260" i="1"/>
  <c r="SN258" i="1"/>
  <c r="SH258" i="1" s="1"/>
  <c r="TQ255" i="1"/>
  <c r="TK255" i="1" s="1"/>
  <c r="SN248" i="1"/>
  <c r="SH248" i="1" s="1"/>
  <c r="UN99" i="1"/>
  <c r="UN60" i="1"/>
  <c r="SN58" i="1"/>
  <c r="SH58" i="1" s="1"/>
  <c r="SH50" i="1"/>
  <c r="TQ47" i="1"/>
  <c r="TK47" i="1" s="1"/>
  <c r="TK39" i="1"/>
  <c r="UT36" i="1"/>
  <c r="UN36" i="1" s="1"/>
  <c r="TK53" i="1"/>
  <c r="UN42" i="1"/>
  <c r="TK37" i="1"/>
  <c r="SN24" i="1"/>
  <c r="SN227" i="1"/>
  <c r="SH227" i="1" s="1"/>
  <c r="TK126" i="1"/>
  <c r="SN135" i="1"/>
  <c r="SH135" i="1" s="1"/>
  <c r="SH122" i="1"/>
  <c r="TQ63" i="1"/>
  <c r="TK63" i="1" s="1"/>
  <c r="SN65" i="1"/>
  <c r="SH65" i="1" s="1"/>
  <c r="TQ14" i="1"/>
  <c r="TK14" i="1" s="1"/>
  <c r="SN209" i="1"/>
  <c r="SH209" i="1" s="1"/>
  <c r="SN224" i="1"/>
  <c r="SH224" i="1" s="1"/>
  <c r="SH198" i="1"/>
  <c r="TK176" i="1"/>
  <c r="UT165" i="1"/>
  <c r="UN165" i="1" s="1"/>
  <c r="SN155" i="1"/>
  <c r="SH155" i="1" s="1"/>
  <c r="TQ144" i="1"/>
  <c r="TK144" i="1" s="1"/>
  <c r="SH32" i="1"/>
  <c r="SN256" i="1"/>
  <c r="SH256" i="1" s="1"/>
  <c r="SN192" i="1"/>
  <c r="SH192" i="1" s="1"/>
  <c r="SH170" i="1"/>
  <c r="SH117" i="1"/>
  <c r="SN71" i="1"/>
  <c r="SH71" i="1" s="1"/>
  <c r="UT123" i="1"/>
  <c r="UN123" i="1" s="1"/>
  <c r="SN11" i="1"/>
  <c r="SH11" i="1" s="1"/>
  <c r="UT13" i="1"/>
  <c r="UN13" i="1" s="1"/>
  <c r="SN242" i="1"/>
  <c r="SH242" i="1" s="1"/>
  <c r="UN212" i="1"/>
  <c r="SN237" i="1"/>
  <c r="SH237" i="1" s="1"/>
  <c r="SH177" i="1"/>
  <c r="UN163" i="1"/>
  <c r="SH153" i="1"/>
  <c r="UN207" i="1"/>
  <c r="SN79" i="1"/>
  <c r="SH79" i="1" s="1"/>
  <c r="SH124" i="1"/>
  <c r="UN122" i="1"/>
  <c r="TK121" i="1"/>
  <c r="SH120" i="1"/>
  <c r="UN118" i="1"/>
  <c r="TK117" i="1"/>
  <c r="SH116" i="1"/>
  <c r="UN114" i="1"/>
  <c r="TK113" i="1"/>
  <c r="SH112" i="1"/>
  <c r="UN110" i="1"/>
  <c r="TK109" i="1"/>
  <c r="TK142" i="1"/>
  <c r="TK114" i="1"/>
  <c r="SN109" i="1"/>
  <c r="SH109" i="1" s="1"/>
  <c r="TQ83" i="1"/>
  <c r="TK83" i="1" s="1"/>
  <c r="UT10" i="1"/>
  <c r="UN10" i="1" s="1"/>
  <c r="TK13" i="1"/>
  <c r="UN141" i="1"/>
  <c r="TK96" i="1"/>
  <c r="TQ66" i="1"/>
  <c r="TK66" i="1" s="1"/>
  <c r="SN121" i="1"/>
  <c r="SH121" i="1" s="1"/>
  <c r="SN225" i="1"/>
  <c r="SH225" i="1" s="1"/>
  <c r="SN99" i="1"/>
  <c r="SH99" i="1" s="1"/>
  <c r="UT20" i="1"/>
  <c r="UN20" i="1" s="1"/>
  <c r="TK250" i="1"/>
  <c r="SN245" i="1"/>
  <c r="SH245" i="1" s="1"/>
  <c r="TQ178" i="1"/>
  <c r="TK178" i="1" s="1"/>
  <c r="UN167" i="1"/>
  <c r="SH157" i="1"/>
  <c r="TK146" i="1"/>
  <c r="UT80" i="1"/>
  <c r="UN80" i="1" s="1"/>
  <c r="UT57" i="1"/>
  <c r="UN57" i="1" s="1"/>
  <c r="SN47" i="1"/>
  <c r="SH47" i="1" s="1"/>
  <c r="TQ36" i="1"/>
  <c r="TK36" i="1" s="1"/>
  <c r="SN25" i="1"/>
  <c r="SH25" i="1" s="1"/>
  <c r="SN148" i="1"/>
  <c r="SH148" i="1" s="1"/>
  <c r="UN11" i="1"/>
  <c r="UT196" i="1"/>
  <c r="UN196" i="1" s="1"/>
  <c r="SN133" i="1"/>
  <c r="SH133" i="1" s="1"/>
  <c r="UT117" i="1"/>
  <c r="UN117" i="1" s="1"/>
  <c r="TQ101" i="1"/>
  <c r="TK101" i="1" s="1"/>
  <c r="TK247" i="1"/>
  <c r="SN223" i="1"/>
  <c r="SH223" i="1" s="1"/>
  <c r="SN199" i="1"/>
  <c r="SH199" i="1" s="1"/>
  <c r="TQ200" i="1"/>
  <c r="TK200" i="1" s="1"/>
  <c r="SH226" i="1"/>
  <c r="SN230" i="1"/>
  <c r="SH230" i="1" s="1"/>
  <c r="SN215" i="1"/>
  <c r="SH215" i="1" s="1"/>
  <c r="TK214" i="1"/>
  <c r="TK116" i="1"/>
  <c r="UT113" i="1"/>
  <c r="UN113" i="1" s="1"/>
  <c r="TQ65" i="1"/>
  <c r="TK65" i="1" s="1"/>
  <c r="TQ118" i="1"/>
  <c r="TK118" i="1" s="1"/>
  <c r="TQ73" i="1"/>
  <c r="TK73" i="1" s="1"/>
  <c r="UT239" i="1"/>
  <c r="UN239" i="1" s="1"/>
  <c r="SH40" i="1"/>
  <c r="UT250" i="1"/>
  <c r="UN250" i="1" s="1"/>
  <c r="SN156" i="1"/>
  <c r="SH156" i="1" s="1"/>
  <c r="SN132" i="1"/>
  <c r="SH132" i="1" s="1"/>
  <c r="UN257" i="1"/>
  <c r="SN247" i="1"/>
  <c r="SH247" i="1" s="1"/>
  <c r="UN208" i="1"/>
  <c r="TK71" i="1"/>
  <c r="TQ130" i="1"/>
  <c r="TK130" i="1" s="1"/>
  <c r="TQ98" i="1"/>
  <c r="TK98" i="1" s="1"/>
  <c r="UN75" i="1"/>
  <c r="UN61" i="1"/>
  <c r="TK235" i="1"/>
  <c r="UT204" i="1"/>
  <c r="UN204" i="1" s="1"/>
  <c r="SH241" i="1"/>
  <c r="UN220" i="1"/>
  <c r="TK249" i="1"/>
  <c r="UT246" i="1"/>
  <c r="UN246" i="1" s="1"/>
  <c r="TK220" i="1"/>
  <c r="UT210" i="1"/>
  <c r="UN192" i="1"/>
  <c r="SN190" i="1"/>
  <c r="SH190" i="1" s="1"/>
  <c r="TK187" i="1"/>
  <c r="UT184" i="1"/>
  <c r="UN184" i="1" s="1"/>
  <c r="SN182" i="1"/>
  <c r="SH182" i="1" s="1"/>
  <c r="SN171" i="1"/>
  <c r="SH171" i="1" s="1"/>
  <c r="SN163" i="1"/>
  <c r="SH163" i="1" s="1"/>
  <c r="TQ160" i="1"/>
  <c r="TK160" i="1" s="1"/>
  <c r="TQ152" i="1"/>
  <c r="TK152" i="1" s="1"/>
  <c r="UT149" i="1"/>
  <c r="UN149" i="1" s="1"/>
  <c r="SH174" i="1"/>
  <c r="TQ27" i="1"/>
  <c r="TK27" i="1" s="1"/>
  <c r="TQ58" i="1"/>
  <c r="TK58" i="1" s="1"/>
  <c r="SN53" i="1"/>
  <c r="SH53" i="1" s="1"/>
  <c r="SN45" i="1"/>
  <c r="SH45" i="1" s="1"/>
  <c r="UT39" i="1"/>
  <c r="UN39" i="1" s="1"/>
  <c r="TQ34" i="1"/>
  <c r="TK34" i="1" s="1"/>
  <c r="UT241" i="1"/>
  <c r="UN241" i="1" s="1"/>
  <c r="TQ253" i="1"/>
  <c r="TK253" i="1" s="1"/>
  <c r="UT263" i="1"/>
  <c r="UN263" i="1" s="1"/>
  <c r="SN253" i="1"/>
  <c r="SH253" i="1" s="1"/>
  <c r="SN228" i="1"/>
  <c r="SH228" i="1" s="1"/>
  <c r="UT218" i="1"/>
  <c r="TQ181" i="1"/>
  <c r="TK181" i="1" s="1"/>
  <c r="SN172" i="1"/>
  <c r="SH172" i="1" s="1"/>
  <c r="SN164" i="1"/>
  <c r="SH164" i="1" s="1"/>
  <c r="TK159" i="1"/>
  <c r="TK153" i="1"/>
  <c r="UN148" i="1"/>
  <c r="SN197" i="1"/>
  <c r="SH197" i="1" s="1"/>
  <c r="TK173" i="1"/>
  <c r="SH123" i="1"/>
  <c r="SH113" i="1"/>
  <c r="UN109" i="1"/>
  <c r="SN103" i="1"/>
  <c r="SH103" i="1" s="1"/>
  <c r="SH93" i="1"/>
  <c r="UT87" i="1"/>
  <c r="UN87" i="1" s="1"/>
  <c r="SN85" i="1"/>
  <c r="SH85" i="1" s="1"/>
  <c r="TQ75" i="1"/>
  <c r="TK75" i="1" s="1"/>
  <c r="TQ72" i="1"/>
  <c r="TK72" i="1" s="1"/>
  <c r="SN70" i="1"/>
  <c r="SH70" i="1" s="1"/>
  <c r="UT12" i="1"/>
  <c r="UN12" i="1" s="1"/>
  <c r="SN234" i="1"/>
  <c r="SH234" i="1" s="1"/>
  <c r="TK244" i="1"/>
  <c r="UT248" i="1"/>
  <c r="UN248" i="1" s="1"/>
  <c r="SH235" i="1"/>
  <c r="SN216" i="1"/>
  <c r="SH216" i="1" s="1"/>
  <c r="SH195" i="1"/>
  <c r="SN173" i="1"/>
  <c r="SH173" i="1" s="1"/>
  <c r="SH165" i="1"/>
  <c r="TK154" i="1"/>
  <c r="TK161" i="1"/>
  <c r="SH82" i="1"/>
  <c r="SN59" i="1"/>
  <c r="SH59" i="1" s="1"/>
  <c r="TQ56" i="1"/>
  <c r="TK56" i="1" s="1"/>
  <c r="UN53" i="1"/>
  <c r="TQ48" i="1"/>
  <c r="TK48" i="1" s="1"/>
  <c r="UT45" i="1"/>
  <c r="UN45" i="1" s="1"/>
  <c r="UT37" i="1"/>
  <c r="UN37" i="1" s="1"/>
  <c r="TQ24" i="1"/>
  <c r="TK24" i="1" s="1"/>
  <c r="UT54" i="1"/>
  <c r="UN54" i="1" s="1"/>
  <c r="UT46" i="1"/>
  <c r="UN46" i="1" s="1"/>
  <c r="SN44" i="1"/>
  <c r="SH44" i="1" s="1"/>
  <c r="SH36" i="1"/>
  <c r="UT258" i="1"/>
  <c r="UN258" i="1" s="1"/>
  <c r="TQ201" i="1"/>
  <c r="TK201" i="1" s="1"/>
  <c r="TQ167" i="1"/>
  <c r="TK167" i="1" s="1"/>
  <c r="TK192" i="1"/>
  <c r="TQ185" i="1"/>
  <c r="TK185" i="1" s="1"/>
  <c r="SN176" i="1"/>
  <c r="SH176" i="1" s="1"/>
  <c r="TQ155" i="1"/>
  <c r="TK155" i="1" s="1"/>
  <c r="SN152" i="1"/>
  <c r="SH152" i="1" s="1"/>
  <c r="SH143" i="1"/>
  <c r="TQ95" i="1"/>
  <c r="TK95" i="1" s="1"/>
  <c r="TK140" i="1"/>
  <c r="UT137" i="1"/>
  <c r="UN137" i="1" s="1"/>
  <c r="SN131" i="1"/>
  <c r="SH131" i="1" s="1"/>
  <c r="SH91" i="1"/>
  <c r="TK127" i="1"/>
  <c r="UN116" i="1"/>
  <c r="TK111" i="1"/>
  <c r="TQ108" i="1"/>
  <c r="TK108" i="1" s="1"/>
  <c r="SH107" i="1"/>
  <c r="UT98" i="1"/>
  <c r="UN98" i="1" s="1"/>
  <c r="UT86" i="1"/>
  <c r="UN86" i="1" s="1"/>
  <c r="TQ76" i="1"/>
  <c r="TK76" i="1" s="1"/>
  <c r="UN18" i="1"/>
  <c r="TQ17" i="1"/>
  <c r="TK17" i="1" s="1"/>
  <c r="UT223" i="1"/>
  <c r="UN223" i="1" s="1"/>
  <c r="UT125" i="1"/>
  <c r="UN125" i="1" s="1"/>
  <c r="SN119" i="1"/>
  <c r="SH119" i="1" s="1"/>
  <c r="UT78" i="1"/>
  <c r="UN78" i="1" s="1"/>
  <c r="TQ122" i="1"/>
  <c r="TK122" i="1" s="1"/>
  <c r="SN88" i="1"/>
  <c r="SH88" i="1" s="1"/>
  <c r="SN254" i="1"/>
  <c r="SH254" i="1" s="1"/>
  <c r="UN251" i="1"/>
  <c r="TQ248" i="1"/>
  <c r="TK248" i="1" s="1"/>
  <c r="UT245" i="1"/>
  <c r="UN245" i="1" s="1"/>
  <c r="UN214" i="1"/>
  <c r="TK174" i="1"/>
  <c r="TK115" i="1"/>
  <c r="UT52" i="1"/>
  <c r="UN52" i="1" s="1"/>
  <c r="SN42" i="1"/>
  <c r="SH42" i="1" s="1"/>
  <c r="UN34" i="1"/>
  <c r="UN58" i="1"/>
  <c r="SH48" i="1"/>
  <c r="TK231" i="1"/>
  <c r="UN161" i="1"/>
  <c r="UT229" i="1"/>
  <c r="UN229" i="1" s="1"/>
  <c r="SN144" i="1"/>
  <c r="SH144" i="1" s="1"/>
  <c r="UN115" i="1"/>
  <c r="SH142" i="1"/>
  <c r="UN132" i="1"/>
  <c r="UN128" i="1"/>
  <c r="TK22" i="1"/>
  <c r="UN15" i="1"/>
  <c r="TQ8" i="1"/>
  <c r="TK8" i="1" s="1"/>
  <c r="SN196" i="1"/>
  <c r="SH196" i="1" s="1"/>
  <c r="UN213" i="1"/>
  <c r="SH179" i="1"/>
  <c r="TQ168" i="1"/>
  <c r="TK168" i="1" s="1"/>
  <c r="UT157" i="1"/>
  <c r="UN157" i="1" s="1"/>
  <c r="SN147" i="1"/>
  <c r="SH147" i="1" s="1"/>
  <c r="UN189" i="1"/>
  <c r="TQ60" i="1"/>
  <c r="TK60" i="1" s="1"/>
  <c r="UT49" i="1"/>
  <c r="UN49" i="1" s="1"/>
  <c r="SN39" i="1"/>
  <c r="SH39" i="1" s="1"/>
  <c r="UT32" i="1"/>
  <c r="UN32" i="1" s="1"/>
  <c r="SN31" i="1"/>
  <c r="SH31" i="1" s="1"/>
  <c r="TQ28" i="1"/>
  <c r="TK28" i="1" s="1"/>
  <c r="TQ26" i="1"/>
  <c r="TK26" i="1" s="1"/>
  <c r="TQ257" i="1"/>
  <c r="TK257" i="1" s="1"/>
  <c r="UT209" i="1"/>
  <c r="UN209" i="1" s="1"/>
  <c r="TQ194" i="1"/>
  <c r="TK194" i="1" s="1"/>
  <c r="SH94" i="1"/>
  <c r="UN74" i="1"/>
  <c r="SN52" i="1"/>
  <c r="SH52" i="1" s="1"/>
  <c r="SH238" i="1"/>
  <c r="UT82" i="1"/>
  <c r="UN82" i="1" s="1"/>
  <c r="TK210" i="1"/>
  <c r="TQ81" i="1"/>
  <c r="TK81" i="1" s="1"/>
  <c r="UT77" i="1"/>
  <c r="UN77" i="1" s="1"/>
  <c r="TQ69" i="1"/>
  <c r="TK69" i="1" s="1"/>
  <c r="TQ183" i="1"/>
  <c r="TK183" i="1" s="1"/>
  <c r="UN169" i="1"/>
  <c r="UN153" i="1"/>
  <c r="TK184" i="1"/>
  <c r="UN120" i="1"/>
  <c r="SN51" i="1"/>
  <c r="SH51" i="1" s="1"/>
  <c r="TQ40" i="1"/>
  <c r="TK40" i="1" s="1"/>
  <c r="UT29" i="1"/>
  <c r="UN29" i="1" s="1"/>
  <c r="UT51" i="1"/>
  <c r="UN51" i="1" s="1"/>
  <c r="SH16" i="1"/>
  <c r="SH180" i="1"/>
  <c r="SN140" i="1"/>
  <c r="SH140" i="1" s="1"/>
  <c r="TQ137" i="1"/>
  <c r="TK137" i="1" s="1"/>
  <c r="UT134" i="1"/>
  <c r="UN134" i="1" s="1"/>
  <c r="TQ129" i="1"/>
  <c r="TK129" i="1" s="1"/>
  <c r="UT106" i="1"/>
  <c r="UN106" i="1" s="1"/>
  <c r="TQ91" i="1"/>
  <c r="TK91" i="1" s="1"/>
  <c r="UN70" i="1"/>
  <c r="SH64" i="1"/>
  <c r="UT17" i="1"/>
  <c r="UN17" i="1" s="1"/>
  <c r="UT224" i="1"/>
  <c r="UN224" i="1" s="1"/>
  <c r="UT111" i="1"/>
  <c r="UN111" i="1" s="1"/>
  <c r="SH202" i="1"/>
  <c r="UN194" i="1"/>
  <c r="UN259" i="1"/>
  <c r="TK241" i="1"/>
  <c r="TK170" i="1"/>
  <c r="UN159" i="1"/>
  <c r="SH149" i="1"/>
  <c r="SH162" i="1"/>
  <c r="SH87" i="1"/>
  <c r="UT33" i="1"/>
  <c r="UN33" i="1" s="1"/>
  <c r="TK31" i="1"/>
  <c r="UT59" i="1"/>
  <c r="UN59" i="1" s="1"/>
  <c r="SN49" i="1"/>
  <c r="SH49" i="1" s="1"/>
  <c r="SN41" i="1"/>
  <c r="SH41" i="1" s="1"/>
  <c r="UT35" i="1"/>
  <c r="UN35" i="1" s="1"/>
  <c r="SN33" i="1"/>
  <c r="SH33" i="1" s="1"/>
  <c r="SH259" i="1"/>
  <c r="TK256" i="1"/>
  <c r="SN243" i="1"/>
  <c r="SH243" i="1" s="1"/>
  <c r="UN234" i="1"/>
  <c r="UN237" i="1"/>
  <c r="UN221" i="1"/>
  <c r="SH211" i="1"/>
  <c r="UN205" i="1"/>
  <c r="TK238" i="1"/>
  <c r="SH217" i="1"/>
  <c r="TQ191" i="1"/>
  <c r="TK191" i="1" s="1"/>
  <c r="UT188" i="1"/>
  <c r="UN188" i="1" s="1"/>
  <c r="SN186" i="1"/>
  <c r="SH186" i="1" s="1"/>
  <c r="TK180" i="1"/>
  <c r="UN90" i="1"/>
  <c r="TK151" i="1"/>
  <c r="TQ52" i="1"/>
  <c r="TK52" i="1" s="1"/>
  <c r="SH56" i="1"/>
  <c r="TK45" i="1"/>
  <c r="TK29" i="1"/>
  <c r="SH24" i="1"/>
  <c r="UT254" i="1"/>
  <c r="UN254" i="1" s="1"/>
  <c r="UT244" i="1"/>
  <c r="UN244" i="1" s="1"/>
  <c r="TQ236" i="1"/>
  <c r="TK236" i="1" s="1"/>
  <c r="TQ232" i="1"/>
  <c r="TK232" i="1" s="1"/>
  <c r="TK239" i="1"/>
  <c r="UN228" i="1"/>
  <c r="TK177" i="1"/>
  <c r="UN164" i="1"/>
  <c r="SH154" i="1"/>
  <c r="TK202" i="1"/>
  <c r="UT93" i="1"/>
  <c r="UN93" i="1" s="1"/>
  <c r="TK86" i="1"/>
  <c r="SN78" i="1"/>
  <c r="SH78" i="1" s="1"/>
  <c r="TQ92" i="1"/>
  <c r="TK92" i="1" s="1"/>
  <c r="SH63" i="1"/>
  <c r="TQ57" i="1"/>
  <c r="TK57" i="1" s="1"/>
  <c r="SN13" i="1"/>
  <c r="SH13" i="1" s="1"/>
  <c r="UN219" i="1"/>
  <c r="TQ77" i="1"/>
  <c r="TK77" i="1" s="1"/>
  <c r="TQ68" i="1"/>
  <c r="TK68" i="1" s="1"/>
  <c r="UN262" i="1"/>
  <c r="TK258" i="1"/>
  <c r="UN155" i="1"/>
  <c r="SH145" i="1"/>
  <c r="UN174" i="1"/>
  <c r="TQ59" i="1"/>
  <c r="TK59" i="1" s="1"/>
  <c r="UT48" i="1"/>
  <c r="UN48" i="1" s="1"/>
  <c r="SN38" i="1"/>
  <c r="SH38" i="1" s="1"/>
  <c r="SN35" i="1"/>
  <c r="SH35" i="1" s="1"/>
  <c r="UN24" i="1"/>
  <c r="UN235" i="1"/>
  <c r="UT230" i="1"/>
  <c r="UN230" i="1" s="1"/>
  <c r="UN200" i="1"/>
  <c r="TK230" i="1"/>
  <c r="UT101" i="1"/>
  <c r="UN101" i="1" s="1"/>
  <c r="TK139" i="1"/>
  <c r="UN124" i="1"/>
  <c r="TK123" i="1"/>
  <c r="TK119" i="1"/>
  <c r="SN105" i="1"/>
  <c r="SH105" i="1" s="1"/>
  <c r="TQ102" i="1"/>
  <c r="TK102" i="1" s="1"/>
  <c r="UT91" i="1"/>
  <c r="UN91" i="1" s="1"/>
  <c r="UN76" i="1"/>
  <c r="SN210" i="1"/>
  <c r="SH210" i="1" s="1"/>
  <c r="UT66" i="1"/>
  <c r="UN66" i="1" s="1"/>
  <c r="SN34" i="1"/>
  <c r="SH34" i="1" s="1"/>
  <c r="TK262" i="1"/>
  <c r="TK254" i="1"/>
  <c r="TQ243" i="1"/>
  <c r="TK243" i="1" s="1"/>
  <c r="UT27" i="1"/>
  <c r="UN27" i="1" s="1"/>
  <c r="TQ226" i="1"/>
  <c r="TK226" i="1" s="1"/>
  <c r="UN203" i="1"/>
  <c r="TQ229" i="1"/>
  <c r="TK229" i="1" s="1"/>
  <c r="UT222" i="1"/>
  <c r="UN222" i="1" s="1"/>
  <c r="TK188" i="1"/>
  <c r="TK172" i="1"/>
  <c r="TQ165" i="1"/>
  <c r="TK165" i="1" s="1"/>
  <c r="UT142" i="1"/>
  <c r="UN142" i="1" s="1"/>
  <c r="SH115" i="1"/>
  <c r="SH111" i="1"/>
  <c r="UN154" i="1"/>
  <c r="TK85" i="1"/>
  <c r="SN81" i="1"/>
  <c r="SH81" i="1" s="1"/>
  <c r="SH76" i="1"/>
  <c r="TK11" i="1"/>
  <c r="SH10" i="1"/>
  <c r="TK9" i="1"/>
  <c r="SN84" i="1"/>
  <c r="SH84" i="1" s="1"/>
  <c r="UN173" i="1"/>
  <c r="UN156" i="1"/>
  <c r="SH146" i="1"/>
  <c r="UN50" i="1"/>
  <c r="TK209" i="1"/>
  <c r="UN211" i="1"/>
  <c r="UT247" i="1"/>
  <c r="UN247" i="1" s="1"/>
  <c r="TK240" i="1"/>
  <c r="SH219" i="1"/>
  <c r="UN197" i="1"/>
  <c r="TK222" i="1"/>
  <c r="TK164" i="1"/>
  <c r="SH159" i="1"/>
  <c r="UN145" i="1"/>
  <c r="TK234" i="1"/>
  <c r="TK196" i="1"/>
  <c r="UN112" i="1"/>
  <c r="UT41" i="1"/>
  <c r="UN41" i="1" s="1"/>
  <c r="TK25" i="1"/>
  <c r="UN236" i="1"/>
  <c r="TK223" i="1"/>
  <c r="TK219" i="1"/>
  <c r="TQ216" i="1"/>
  <c r="TK216" i="1" s="1"/>
  <c r="UT180" i="1"/>
  <c r="UN180" i="1" s="1"/>
  <c r="UT170" i="1"/>
  <c r="UN170" i="1" s="1"/>
  <c r="SN160" i="1"/>
  <c r="SH160" i="1" s="1"/>
  <c r="TQ149" i="1"/>
  <c r="TK149" i="1" s="1"/>
  <c r="TQ143" i="1"/>
  <c r="TK143" i="1" s="1"/>
  <c r="UN108" i="1"/>
  <c r="TQ141" i="1"/>
  <c r="TK141" i="1" s="1"/>
  <c r="UT138" i="1"/>
  <c r="UN138" i="1" s="1"/>
  <c r="SN136" i="1"/>
  <c r="SH136" i="1" s="1"/>
  <c r="TQ133" i="1"/>
  <c r="TK133" i="1" s="1"/>
  <c r="UT130" i="1"/>
  <c r="UN130" i="1" s="1"/>
  <c r="SN128" i="1"/>
  <c r="SH128" i="1" s="1"/>
  <c r="UN105" i="1"/>
  <c r="UN100" i="1"/>
  <c r="TK100" i="1"/>
  <c r="UT97" i="1"/>
  <c r="UN97" i="1" s="1"/>
  <c r="TK15" i="1"/>
  <c r="UN14" i="1"/>
  <c r="SH9" i="1"/>
  <c r="UT62" i="1"/>
  <c r="UN62" i="1" s="1"/>
  <c r="SH12" i="1"/>
  <c r="UN238" i="1"/>
  <c r="SH201" i="1"/>
  <c r="TK260" i="1"/>
  <c r="TK252" i="1"/>
  <c r="TK237" i="1"/>
  <c r="SH200" i="1"/>
  <c r="UN233" i="1"/>
  <c r="TK212" i="1"/>
  <c r="UN201" i="1"/>
  <c r="UN227" i="1"/>
  <c r="UN179" i="1"/>
  <c r="UN171" i="1"/>
  <c r="SH161" i="1"/>
  <c r="TK150" i="1"/>
  <c r="TK97" i="1"/>
  <c r="SH110" i="1"/>
  <c r="TQ51" i="1"/>
  <c r="TK51" i="1" s="1"/>
  <c r="UT40" i="1"/>
  <c r="UN40" i="1" s="1"/>
  <c r="SN30" i="1"/>
  <c r="SH30" i="1" s="1"/>
  <c r="TQ54" i="1"/>
  <c r="TK54" i="1" s="1"/>
  <c r="UT43" i="1"/>
  <c r="UN43" i="1" s="1"/>
  <c r="TQ38" i="1"/>
  <c r="TK38" i="1" s="1"/>
  <c r="UN240" i="1"/>
  <c r="TQ204" i="1"/>
  <c r="TK204" i="1" s="1"/>
  <c r="UT172" i="1"/>
  <c r="UN172" i="1" s="1"/>
  <c r="UT162" i="1"/>
  <c r="UN162" i="1" s="1"/>
  <c r="UN146" i="1"/>
  <c r="TK82" i="1"/>
  <c r="SN106" i="1"/>
  <c r="SH106" i="1" s="1"/>
  <c r="TQ103" i="1"/>
  <c r="TK103" i="1" s="1"/>
  <c r="TK99" i="1"/>
  <c r="SN97" i="1"/>
  <c r="SH97" i="1" s="1"/>
  <c r="SH221" i="1"/>
  <c r="TK197" i="1"/>
  <c r="TQ175" i="1"/>
  <c r="TK175" i="1" s="1"/>
  <c r="SH89" i="1"/>
  <c r="UN83" i="1"/>
  <c r="SH72" i="1"/>
  <c r="UT96" i="1"/>
  <c r="UN96" i="1" s="1"/>
  <c r="UN69" i="1"/>
  <c r="SH204" i="1"/>
  <c r="UN261" i="1"/>
  <c r="SH251" i="1"/>
  <c r="TQ245" i="1"/>
  <c r="TK245" i="1" s="1"/>
  <c r="SH231" i="1"/>
  <c r="UN225" i="1"/>
  <c r="UT175" i="1"/>
  <c r="UN175" i="1" s="1"/>
  <c r="TK162" i="1"/>
  <c r="UN151" i="1"/>
  <c r="SH191" i="1"/>
  <c r="UN185" i="1"/>
  <c r="TK89" i="1"/>
  <c r="SH126" i="1"/>
  <c r="TQ55" i="1"/>
  <c r="TK55" i="1" s="1"/>
  <c r="UT44" i="1"/>
  <c r="UN44" i="1" s="1"/>
  <c r="UT31" i="1"/>
  <c r="UN31" i="1" s="1"/>
  <c r="SN178" i="1"/>
  <c r="SH178" i="1" s="1"/>
  <c r="SN168" i="1"/>
  <c r="SH168" i="1" s="1"/>
  <c r="TQ157" i="1"/>
  <c r="TK157" i="1" s="1"/>
  <c r="TK107" i="1"/>
  <c r="TQ104" i="1"/>
  <c r="TK104" i="1" s="1"/>
  <c r="SN108" i="1"/>
  <c r="SH108" i="1" s="1"/>
  <c r="UT104" i="1"/>
  <c r="UN104" i="1" s="1"/>
  <c r="SN102" i="1"/>
  <c r="SH102" i="1" s="1"/>
  <c r="TK74" i="1"/>
  <c r="SH22" i="1"/>
  <c r="UT8" i="1"/>
  <c r="UN8" i="1" s="1"/>
  <c r="SN8" i="1"/>
  <c r="SH8" i="1" s="1"/>
  <c r="SH77" i="1"/>
  <c r="SH23" i="1"/>
  <c r="TK10" i="1"/>
  <c r="UN9" i="1"/>
  <c r="SH17" i="1"/>
  <c r="TK16" i="1"/>
  <c r="UN255" i="1"/>
  <c r="UT242" i="1"/>
  <c r="UN242" i="1" s="1"/>
  <c r="TK233" i="1"/>
  <c r="TK217" i="1"/>
  <c r="SH212" i="1"/>
  <c r="UN206" i="1"/>
  <c r="SH239" i="1"/>
  <c r="TK228" i="1"/>
  <c r="UN217" i="1"/>
  <c r="SH207" i="1"/>
  <c r="SN193" i="1"/>
  <c r="SH193" i="1" s="1"/>
  <c r="TQ190" i="1"/>
  <c r="TK190" i="1" s="1"/>
  <c r="UT187" i="1"/>
  <c r="UN187" i="1" s="1"/>
  <c r="SN185" i="1"/>
  <c r="SH185" i="1" s="1"/>
  <c r="TQ182" i="1"/>
  <c r="TK182" i="1" s="1"/>
  <c r="SH232" i="1"/>
  <c r="TK221" i="1"/>
  <c r="UN210" i="1"/>
  <c r="TK205" i="1"/>
  <c r="SN249" i="1"/>
  <c r="SH249" i="1" s="1"/>
  <c r="TQ246" i="1"/>
  <c r="TK246" i="1" s="1"/>
  <c r="UT243" i="1"/>
  <c r="UN243" i="1" s="1"/>
  <c r="TK195" i="1"/>
  <c r="UT191" i="1"/>
  <c r="UN191" i="1" s="1"/>
  <c r="SN189" i="1"/>
  <c r="SH189" i="1" s="1"/>
  <c r="TQ186" i="1"/>
  <c r="TK186" i="1" s="1"/>
  <c r="UT183" i="1"/>
  <c r="UN183" i="1" s="1"/>
  <c r="SN181" i="1"/>
  <c r="SH181" i="1" s="1"/>
  <c r="SH240" i="1"/>
  <c r="UN218" i="1"/>
  <c r="SH208" i="1"/>
  <c r="TK224" i="1"/>
  <c r="TK208" i="1"/>
  <c r="TK206" i="1"/>
  <c r="SH194" i="1"/>
  <c r="SH96" i="1"/>
  <c r="TK84" i="1"/>
  <c r="TK80" i="1"/>
  <c r="UN94" i="1"/>
  <c r="UN85" i="1"/>
  <c r="UN81" i="1"/>
  <c r="TK88" i="1"/>
  <c r="CN159" i="29"/>
  <c r="CN163" i="31" s="1"/>
  <c r="CN171" i="31" s="1"/>
  <c r="BS183" i="29"/>
  <c r="BS159" i="29"/>
  <c r="EA159" i="29"/>
  <c r="CN183" i="29"/>
  <c r="JG48" i="31" l="1"/>
  <c r="AC98" i="31"/>
  <c r="AC102" i="29"/>
  <c r="AC113" i="29"/>
  <c r="AC100" i="29"/>
  <c r="AC104" i="31" s="1"/>
  <c r="AC96" i="29"/>
  <c r="AC100" i="31" s="1"/>
  <c r="AC9" i="31"/>
  <c r="WA44" i="1"/>
  <c r="AC146" i="29"/>
  <c r="AC150" i="31" s="1"/>
  <c r="JP7" i="31"/>
  <c r="JP102" i="31" s="1"/>
  <c r="JM102" i="31"/>
  <c r="JP8" i="31"/>
  <c r="WB39" i="1"/>
  <c r="VY39" i="1"/>
  <c r="WB59" i="1"/>
  <c r="VY59" i="1"/>
  <c r="WB103" i="1"/>
  <c r="VY103" i="1"/>
  <c r="WB115" i="1"/>
  <c r="VY115" i="1"/>
  <c r="WB139" i="1"/>
  <c r="VY139" i="1"/>
  <c r="WB163" i="1"/>
  <c r="VY163" i="1"/>
  <c r="WB195" i="1"/>
  <c r="VY195" i="1"/>
  <c r="WB215" i="1"/>
  <c r="VY215" i="1"/>
  <c r="WB235" i="1"/>
  <c r="VY235" i="1"/>
  <c r="WB247" i="1"/>
  <c r="VY247" i="1"/>
  <c r="WB255" i="1"/>
  <c r="VY255" i="1"/>
  <c r="WB52" i="1"/>
  <c r="VY52" i="1"/>
  <c r="WB92" i="1"/>
  <c r="VY92" i="1"/>
  <c r="WB112" i="1"/>
  <c r="VY112" i="1"/>
  <c r="WB192" i="1"/>
  <c r="VY192" i="1"/>
  <c r="WB224" i="1"/>
  <c r="VY224" i="1"/>
  <c r="WB256" i="1"/>
  <c r="VY256" i="1"/>
  <c r="WB41" i="1"/>
  <c r="VY41" i="1"/>
  <c r="WB81" i="1"/>
  <c r="VY81" i="1"/>
  <c r="WB165" i="1"/>
  <c r="VY165" i="1"/>
  <c r="WB181" i="1"/>
  <c r="VY181" i="1"/>
  <c r="WB197" i="1"/>
  <c r="VY197" i="1"/>
  <c r="WB217" i="1"/>
  <c r="VY217" i="1"/>
  <c r="WB261" i="1"/>
  <c r="VY261" i="1"/>
  <c r="WB31" i="1"/>
  <c r="VY31" i="1"/>
  <c r="WB67" i="1"/>
  <c r="VY67" i="1"/>
  <c r="WB131" i="1"/>
  <c r="VY131" i="1"/>
  <c r="WB147" i="1"/>
  <c r="VY147" i="1"/>
  <c r="WB179" i="1"/>
  <c r="VY179" i="1"/>
  <c r="WB24" i="1"/>
  <c r="VY24" i="1"/>
  <c r="WB60" i="1"/>
  <c r="VY60" i="1"/>
  <c r="WB72" i="1"/>
  <c r="VY72" i="1"/>
  <c r="WB84" i="1"/>
  <c r="VY84" i="1"/>
  <c r="WB104" i="1"/>
  <c r="VY104" i="1"/>
  <c r="WB124" i="1"/>
  <c r="VY124" i="1"/>
  <c r="WB140" i="1"/>
  <c r="VY140" i="1"/>
  <c r="WB168" i="1"/>
  <c r="VY168" i="1"/>
  <c r="WB184" i="1"/>
  <c r="VY184" i="1"/>
  <c r="WB220" i="1"/>
  <c r="VY220" i="1"/>
  <c r="WB260" i="1"/>
  <c r="VY260" i="1"/>
  <c r="WB25" i="1"/>
  <c r="VY25" i="1"/>
  <c r="WB77" i="1"/>
  <c r="VY77" i="1"/>
  <c r="WB109" i="1"/>
  <c r="VY109" i="1"/>
  <c r="WB125" i="1"/>
  <c r="VY125" i="1"/>
  <c r="WB137" i="1"/>
  <c r="VY137" i="1"/>
  <c r="WB145" i="1"/>
  <c r="VY145" i="1"/>
  <c r="WB177" i="1"/>
  <c r="VY177" i="1"/>
  <c r="WB237" i="1"/>
  <c r="VY237" i="1"/>
  <c r="WB245" i="1"/>
  <c r="VY245" i="1"/>
  <c r="WB26" i="1"/>
  <c r="VY26" i="1"/>
  <c r="WB46" i="1"/>
  <c r="VY46" i="1"/>
  <c r="WB110" i="1"/>
  <c r="VY110" i="1"/>
  <c r="WB194" i="1"/>
  <c r="VY194" i="1"/>
  <c r="WB262" i="1"/>
  <c r="VY262" i="1"/>
  <c r="WB47" i="1"/>
  <c r="VY47" i="1"/>
  <c r="WB95" i="1"/>
  <c r="VY95" i="1"/>
  <c r="WB111" i="1"/>
  <c r="VY111" i="1"/>
  <c r="WB159" i="1"/>
  <c r="VY159" i="1"/>
  <c r="WB207" i="1"/>
  <c r="VY207" i="1"/>
  <c r="WB219" i="1"/>
  <c r="VY219" i="1"/>
  <c r="WB259" i="1"/>
  <c r="VY259" i="1"/>
  <c r="WB32" i="1"/>
  <c r="VY32" i="1"/>
  <c r="WB132" i="1"/>
  <c r="VY132" i="1"/>
  <c r="WB156" i="1"/>
  <c r="VY156" i="1"/>
  <c r="WB216" i="1"/>
  <c r="VY216" i="1"/>
  <c r="WB236" i="1"/>
  <c r="VY236" i="1"/>
  <c r="WB53" i="1"/>
  <c r="VY53" i="1"/>
  <c r="WB73" i="1"/>
  <c r="VY73" i="1"/>
  <c r="WB101" i="1"/>
  <c r="VY101" i="1"/>
  <c r="WB121" i="1"/>
  <c r="VY121" i="1"/>
  <c r="WB157" i="1"/>
  <c r="VY157" i="1"/>
  <c r="WB205" i="1"/>
  <c r="VY205" i="1"/>
  <c r="WB253" i="1"/>
  <c r="VY253" i="1"/>
  <c r="WB22" i="1"/>
  <c r="VY22" i="1"/>
  <c r="WB74" i="1"/>
  <c r="VY74" i="1"/>
  <c r="WB90" i="1"/>
  <c r="VY90" i="1"/>
  <c r="WB118" i="1"/>
  <c r="VY118" i="1"/>
  <c r="WB154" i="1"/>
  <c r="VY154" i="1"/>
  <c r="WB202" i="1"/>
  <c r="VY202" i="1"/>
  <c r="WB218" i="1"/>
  <c r="VY218" i="1"/>
  <c r="WB254" i="1"/>
  <c r="VY254" i="1"/>
  <c r="WB35" i="1"/>
  <c r="VY35" i="1"/>
  <c r="WB63" i="1"/>
  <c r="VY63" i="1"/>
  <c r="WB87" i="1"/>
  <c r="VY87" i="1"/>
  <c r="WB123" i="1"/>
  <c r="VY123" i="1"/>
  <c r="WB155" i="1"/>
  <c r="VY155" i="1"/>
  <c r="WB183" i="1"/>
  <c r="VY183" i="1"/>
  <c r="WB203" i="1"/>
  <c r="VY203" i="1"/>
  <c r="WB36" i="1"/>
  <c r="VY36" i="1"/>
  <c r="WB56" i="1"/>
  <c r="VY56" i="1"/>
  <c r="WB96" i="1"/>
  <c r="VY96" i="1"/>
  <c r="WB128" i="1"/>
  <c r="VY128" i="1"/>
  <c r="WB160" i="1"/>
  <c r="VY160" i="1"/>
  <c r="WB176" i="1"/>
  <c r="VY176" i="1"/>
  <c r="WB208" i="1"/>
  <c r="VY208" i="1"/>
  <c r="WB228" i="1"/>
  <c r="VY228" i="1"/>
  <c r="WB45" i="1"/>
  <c r="VY45" i="1"/>
  <c r="WB61" i="1"/>
  <c r="VY61" i="1"/>
  <c r="WB85" i="1"/>
  <c r="VY85" i="1"/>
  <c r="WB133" i="1"/>
  <c r="VY133" i="1"/>
  <c r="WB185" i="1"/>
  <c r="VY185" i="1"/>
  <c r="WB229" i="1"/>
  <c r="VY229" i="1"/>
  <c r="WB249" i="1"/>
  <c r="VY249" i="1"/>
  <c r="WB50" i="1"/>
  <c r="VY50" i="1"/>
  <c r="WB86" i="1"/>
  <c r="VY86" i="1"/>
  <c r="WB122" i="1"/>
  <c r="VY122" i="1"/>
  <c r="WB166" i="1"/>
  <c r="VY166" i="1"/>
  <c r="WB234" i="1"/>
  <c r="VY234" i="1"/>
  <c r="WB250" i="1"/>
  <c r="VY250" i="1"/>
  <c r="WB66" i="1"/>
  <c r="VY66" i="1"/>
  <c r="WB82" i="1"/>
  <c r="VY82" i="1"/>
  <c r="WB114" i="1"/>
  <c r="VY114" i="1"/>
  <c r="WB134" i="1"/>
  <c r="VY134" i="1"/>
  <c r="WB162" i="1"/>
  <c r="VY162" i="1"/>
  <c r="WB182" i="1"/>
  <c r="VY182" i="1"/>
  <c r="WB210" i="1"/>
  <c r="VY210" i="1"/>
  <c r="WB94" i="1"/>
  <c r="VY94" i="1"/>
  <c r="WB158" i="1"/>
  <c r="VY158" i="1"/>
  <c r="WB190" i="1"/>
  <c r="VY190" i="1"/>
  <c r="WB242" i="1"/>
  <c r="VY242" i="1"/>
  <c r="WB55" i="1"/>
  <c r="VY55" i="1"/>
  <c r="WB71" i="1"/>
  <c r="VY71" i="1"/>
  <c r="WB107" i="1"/>
  <c r="VY107" i="1"/>
  <c r="WB119" i="1"/>
  <c r="VY119" i="1"/>
  <c r="WB151" i="1"/>
  <c r="VY151" i="1"/>
  <c r="WB167" i="1"/>
  <c r="VY167" i="1"/>
  <c r="WB199" i="1"/>
  <c r="VY199" i="1"/>
  <c r="WB231" i="1"/>
  <c r="VY231" i="1"/>
  <c r="WB239" i="1"/>
  <c r="VY239" i="1"/>
  <c r="WB251" i="1"/>
  <c r="VY251" i="1"/>
  <c r="WB28" i="1"/>
  <c r="VY28" i="1"/>
  <c r="WB68" i="1"/>
  <c r="VY68" i="1"/>
  <c r="WB108" i="1"/>
  <c r="VY108" i="1"/>
  <c r="WB188" i="1"/>
  <c r="VY188" i="1"/>
  <c r="WB200" i="1"/>
  <c r="VY200" i="1"/>
  <c r="WB244" i="1"/>
  <c r="VY244" i="1"/>
  <c r="WB29" i="1"/>
  <c r="VY29" i="1"/>
  <c r="WB57" i="1"/>
  <c r="VY57" i="1"/>
  <c r="WB97" i="1"/>
  <c r="VY97" i="1"/>
  <c r="WB169" i="1"/>
  <c r="VY169" i="1"/>
  <c r="WB193" i="1"/>
  <c r="VY193" i="1"/>
  <c r="WB213" i="1"/>
  <c r="VY213" i="1"/>
  <c r="WB225" i="1"/>
  <c r="VY225" i="1"/>
  <c r="WB51" i="1"/>
  <c r="VY51" i="1"/>
  <c r="WB79" i="1"/>
  <c r="VY79" i="1"/>
  <c r="WB143" i="1"/>
  <c r="VY143" i="1"/>
  <c r="WB175" i="1"/>
  <c r="VY175" i="1"/>
  <c r="WB263" i="1"/>
  <c r="VY263" i="1"/>
  <c r="WB48" i="1"/>
  <c r="VY48" i="1"/>
  <c r="WB64" i="1"/>
  <c r="VY64" i="1"/>
  <c r="WB76" i="1"/>
  <c r="VY76" i="1"/>
  <c r="WB100" i="1"/>
  <c r="VY100" i="1"/>
  <c r="WB120" i="1"/>
  <c r="VY120" i="1"/>
  <c r="WB136" i="1"/>
  <c r="VY136" i="1"/>
  <c r="WB152" i="1"/>
  <c r="VY152" i="1"/>
  <c r="WB172" i="1"/>
  <c r="VY172" i="1"/>
  <c r="WB204" i="1"/>
  <c r="VY204" i="1"/>
  <c r="WB252" i="1"/>
  <c r="VY252" i="1"/>
  <c r="WB21" i="1"/>
  <c r="VY21" i="1"/>
  <c r="WB37" i="1"/>
  <c r="VY37" i="1"/>
  <c r="WB93" i="1"/>
  <c r="VY93" i="1"/>
  <c r="WB113" i="1"/>
  <c r="VY113" i="1"/>
  <c r="WB129" i="1"/>
  <c r="VY129" i="1"/>
  <c r="WB141" i="1"/>
  <c r="VY141" i="1"/>
  <c r="WB173" i="1"/>
  <c r="VY173" i="1"/>
  <c r="WB209" i="1"/>
  <c r="VY209" i="1"/>
  <c r="WB241" i="1"/>
  <c r="VY241" i="1"/>
  <c r="WB42" i="1"/>
  <c r="VY42" i="1"/>
  <c r="WB62" i="1"/>
  <c r="VY62" i="1"/>
  <c r="WB142" i="1"/>
  <c r="VY142" i="1"/>
  <c r="WB222" i="1"/>
  <c r="VY222" i="1"/>
  <c r="WB27" i="1"/>
  <c r="VY27" i="1"/>
  <c r="WB83" i="1"/>
  <c r="VY83" i="1"/>
  <c r="WB99" i="1"/>
  <c r="VY99" i="1"/>
  <c r="WB127" i="1"/>
  <c r="VY127" i="1"/>
  <c r="WB191" i="1"/>
  <c r="VY191" i="1"/>
  <c r="WB211" i="1"/>
  <c r="VY211" i="1"/>
  <c r="WB243" i="1"/>
  <c r="VY243" i="1"/>
  <c r="WB88" i="1"/>
  <c r="VY88" i="1"/>
  <c r="WB144" i="1"/>
  <c r="VY144" i="1"/>
  <c r="WB180" i="1"/>
  <c r="VY180" i="1"/>
  <c r="WB232" i="1"/>
  <c r="VY232" i="1"/>
  <c r="WB240" i="1"/>
  <c r="VY240" i="1"/>
  <c r="WB65" i="1"/>
  <c r="VY65" i="1"/>
  <c r="WB89" i="1"/>
  <c r="VY89" i="1"/>
  <c r="WB105" i="1"/>
  <c r="VY105" i="1"/>
  <c r="WB153" i="1"/>
  <c r="VY153" i="1"/>
  <c r="WB189" i="1"/>
  <c r="VY189" i="1"/>
  <c r="WB221" i="1"/>
  <c r="VY221" i="1"/>
  <c r="WB257" i="1"/>
  <c r="VY257" i="1"/>
  <c r="WB58" i="1"/>
  <c r="VY58" i="1"/>
  <c r="WB78" i="1"/>
  <c r="VY78" i="1"/>
  <c r="WB106" i="1"/>
  <c r="VY106" i="1"/>
  <c r="WB138" i="1"/>
  <c r="VY138" i="1"/>
  <c r="WB186" i="1"/>
  <c r="VY186" i="1"/>
  <c r="WB214" i="1"/>
  <c r="VY214" i="1"/>
  <c r="WB238" i="1"/>
  <c r="VY238" i="1"/>
  <c r="WB23" i="1"/>
  <c r="VY23" i="1"/>
  <c r="WB43" i="1"/>
  <c r="VY43" i="1"/>
  <c r="WB75" i="1"/>
  <c r="VY75" i="1"/>
  <c r="WB91" i="1"/>
  <c r="VY91" i="1"/>
  <c r="WB135" i="1"/>
  <c r="VY135" i="1"/>
  <c r="WB171" i="1"/>
  <c r="VY171" i="1"/>
  <c r="WB187" i="1"/>
  <c r="VY187" i="1"/>
  <c r="WB223" i="1"/>
  <c r="VY223" i="1"/>
  <c r="WB40" i="1"/>
  <c r="VY40" i="1"/>
  <c r="WB80" i="1"/>
  <c r="VY80" i="1"/>
  <c r="WB116" i="1"/>
  <c r="VY116" i="1"/>
  <c r="WB148" i="1"/>
  <c r="VY148" i="1"/>
  <c r="WB164" i="1"/>
  <c r="VY164" i="1"/>
  <c r="WB196" i="1"/>
  <c r="VY196" i="1"/>
  <c r="WB212" i="1"/>
  <c r="VY212" i="1"/>
  <c r="WB248" i="1"/>
  <c r="VY248" i="1"/>
  <c r="WB33" i="1"/>
  <c r="VY33" i="1"/>
  <c r="WB49" i="1"/>
  <c r="VY49" i="1"/>
  <c r="WB69" i="1"/>
  <c r="VY69" i="1"/>
  <c r="WB117" i="1"/>
  <c r="VY117" i="1"/>
  <c r="WB149" i="1"/>
  <c r="VY149" i="1"/>
  <c r="WB201" i="1"/>
  <c r="VY201" i="1"/>
  <c r="WB233" i="1"/>
  <c r="VY233" i="1"/>
  <c r="WB34" i="1"/>
  <c r="VY34" i="1"/>
  <c r="WB54" i="1"/>
  <c r="VY54" i="1"/>
  <c r="WB102" i="1"/>
  <c r="VY102" i="1"/>
  <c r="WB150" i="1"/>
  <c r="VY150" i="1"/>
  <c r="WB170" i="1"/>
  <c r="VY170" i="1"/>
  <c r="WB246" i="1"/>
  <c r="VY246" i="1"/>
  <c r="WB30" i="1"/>
  <c r="VY30" i="1"/>
  <c r="WB70" i="1"/>
  <c r="VY70" i="1"/>
  <c r="WB98" i="1"/>
  <c r="VY98" i="1"/>
  <c r="WB130" i="1"/>
  <c r="VY130" i="1"/>
  <c r="WB146" i="1"/>
  <c r="VY146" i="1"/>
  <c r="WB178" i="1"/>
  <c r="VY178" i="1"/>
  <c r="WB198" i="1"/>
  <c r="VY198" i="1"/>
  <c r="WB230" i="1"/>
  <c r="VY230" i="1"/>
  <c r="WB126" i="1"/>
  <c r="VY126" i="1"/>
  <c r="WB174" i="1"/>
  <c r="VY174" i="1"/>
  <c r="WB206" i="1"/>
  <c r="VY206" i="1"/>
  <c r="WB258" i="1"/>
  <c r="VY258" i="1"/>
  <c r="WB19" i="1"/>
  <c r="VY19" i="1"/>
  <c r="WB12" i="1"/>
  <c r="VY12" i="1"/>
  <c r="WB16" i="1"/>
  <c r="VY16" i="1"/>
  <c r="WB11" i="1"/>
  <c r="VY11" i="1"/>
  <c r="WB9" i="1"/>
  <c r="VY9" i="1"/>
  <c r="WB17" i="1"/>
  <c r="VY17" i="1"/>
  <c r="WB18" i="1"/>
  <c r="VY18" i="1"/>
  <c r="WB15" i="1"/>
  <c r="VY15" i="1"/>
  <c r="WB10" i="1"/>
  <c r="VY10" i="1"/>
  <c r="WB20" i="1"/>
  <c r="VY20" i="1"/>
  <c r="WB13" i="1"/>
  <c r="VY13" i="1"/>
  <c r="WB14" i="1"/>
  <c r="VY14" i="1"/>
  <c r="WB8" i="1"/>
  <c r="VY8" i="1"/>
  <c r="JN69" i="31"/>
  <c r="JN95" i="29"/>
  <c r="DO62" i="31"/>
  <c r="JN59" i="31"/>
  <c r="JD145" i="29"/>
  <c r="JD150" i="31"/>
  <c r="EA167" i="29"/>
  <c r="EA163" i="31"/>
  <c r="EA171" i="31" s="1"/>
  <c r="JM95" i="29"/>
  <c r="JI9" i="31"/>
  <c r="DK60" i="31"/>
  <c r="DK57" i="29"/>
  <c r="DK58" i="29"/>
  <c r="HW90" i="29"/>
  <c r="HW89" i="31"/>
  <c r="DH60" i="31"/>
  <c r="DH57" i="29"/>
  <c r="DH58" i="29"/>
  <c r="IN90" i="29"/>
  <c r="IN89" i="31"/>
  <c r="AT163" i="31"/>
  <c r="AT171" i="31" s="1"/>
  <c r="AT161" i="29"/>
  <c r="AT165" i="31" s="1"/>
  <c r="AT160" i="29"/>
  <c r="AT164" i="31" s="1"/>
  <c r="AT167" i="29"/>
  <c r="GU60" i="31"/>
  <c r="GU57" i="29"/>
  <c r="GU61" i="31" s="1"/>
  <c r="GU58" i="29"/>
  <c r="GU62" i="31" s="1"/>
  <c r="JG90" i="29"/>
  <c r="JG89" i="31"/>
  <c r="GJ60" i="31"/>
  <c r="GJ58" i="29"/>
  <c r="GJ62" i="31" s="1"/>
  <c r="GJ57" i="29"/>
  <c r="GJ61" i="31" s="1"/>
  <c r="HN90" i="29"/>
  <c r="HN89" i="31"/>
  <c r="GK60" i="31"/>
  <c r="GK58" i="29"/>
  <c r="GK62" i="31" s="1"/>
  <c r="GK57" i="29"/>
  <c r="GK61" i="31" s="1"/>
  <c r="GE60" i="31"/>
  <c r="GE57" i="29"/>
  <c r="GE61" i="31" s="1"/>
  <c r="GE58" i="29"/>
  <c r="GE62" i="31" s="1"/>
  <c r="II90" i="29"/>
  <c r="II89" i="31"/>
  <c r="AR60" i="31"/>
  <c r="AR57" i="29"/>
  <c r="AR58" i="29"/>
  <c r="EJ60" i="31"/>
  <c r="EJ57" i="29"/>
  <c r="EJ61" i="31" s="1"/>
  <c r="EJ58" i="29"/>
  <c r="CM60" i="31"/>
  <c r="CM57" i="29"/>
  <c r="CM61" i="31" s="1"/>
  <c r="CM58" i="29"/>
  <c r="EV60" i="31"/>
  <c r="EV58" i="29"/>
  <c r="EV62" i="31" s="1"/>
  <c r="EV57" i="29"/>
  <c r="EV61" i="31" s="1"/>
  <c r="HX90" i="29"/>
  <c r="HX89" i="31"/>
  <c r="HE60" i="31"/>
  <c r="HE58" i="29"/>
  <c r="HE62" i="31" s="1"/>
  <c r="HE57" i="29"/>
  <c r="HE61" i="31" s="1"/>
  <c r="JP53" i="31"/>
  <c r="JM103" i="31"/>
  <c r="DL163" i="31"/>
  <c r="DL171" i="31" s="1"/>
  <c r="DL167" i="29"/>
  <c r="DL160" i="29"/>
  <c r="DL164" i="31" s="1"/>
  <c r="DL161" i="29"/>
  <c r="DL165" i="31" s="1"/>
  <c r="AL60" i="31"/>
  <c r="AL58" i="29"/>
  <c r="AL57" i="29"/>
  <c r="AL61" i="31" s="1"/>
  <c r="EI99" i="31"/>
  <c r="BT60" i="31"/>
  <c r="BT58" i="29"/>
  <c r="BT57" i="29"/>
  <c r="BT61" i="31" s="1"/>
  <c r="HU90" i="29"/>
  <c r="HU89" i="31"/>
  <c r="AI56" i="29"/>
  <c r="AI59" i="31"/>
  <c r="HZ60" i="31"/>
  <c r="HZ58" i="29"/>
  <c r="HZ62" i="31" s="1"/>
  <c r="HZ57" i="29"/>
  <c r="HZ61" i="31" s="1"/>
  <c r="GI60" i="31"/>
  <c r="GI57" i="29"/>
  <c r="GI61" i="31" s="1"/>
  <c r="GI58" i="29"/>
  <c r="GI62" i="31" s="1"/>
  <c r="JG60" i="31"/>
  <c r="JG57" i="29"/>
  <c r="JG61" i="31" s="1"/>
  <c r="JG58" i="29"/>
  <c r="JG62" i="31" s="1"/>
  <c r="HI60" i="31"/>
  <c r="HI58" i="29"/>
  <c r="HI62" i="31" s="1"/>
  <c r="HI57" i="29"/>
  <c r="HI61" i="31" s="1"/>
  <c r="HQ60" i="31"/>
  <c r="HQ57" i="29"/>
  <c r="HQ61" i="31" s="1"/>
  <c r="HQ58" i="29"/>
  <c r="HQ62" i="31" s="1"/>
  <c r="S60" i="31"/>
  <c r="S58" i="29"/>
  <c r="S57" i="29"/>
  <c r="GA60" i="31"/>
  <c r="GA58" i="29"/>
  <c r="GA62" i="31" s="1"/>
  <c r="GA57" i="29"/>
  <c r="GA61" i="31" s="1"/>
  <c r="IR60" i="31"/>
  <c r="IR58" i="29"/>
  <c r="IR62" i="31" s="1"/>
  <c r="IR57" i="29"/>
  <c r="IR61" i="31" s="1"/>
  <c r="IL60" i="31"/>
  <c r="IL57" i="29"/>
  <c r="IL61" i="31" s="1"/>
  <c r="IL58" i="29"/>
  <c r="IL62" i="31" s="1"/>
  <c r="EY60" i="31"/>
  <c r="EY58" i="29"/>
  <c r="EY62" i="31" s="1"/>
  <c r="EY57" i="29"/>
  <c r="EY61" i="31" s="1"/>
  <c r="FI60" i="31"/>
  <c r="FI58" i="29"/>
  <c r="FI62" i="31" s="1"/>
  <c r="FI57" i="29"/>
  <c r="FI61" i="31" s="1"/>
  <c r="GL60" i="31"/>
  <c r="GL57" i="29"/>
  <c r="GL61" i="31" s="1"/>
  <c r="GL58" i="29"/>
  <c r="GL62" i="31" s="1"/>
  <c r="V60" i="31"/>
  <c r="V58" i="29"/>
  <c r="V57" i="29"/>
  <c r="H60" i="31"/>
  <c r="H58" i="29"/>
  <c r="H57" i="29"/>
  <c r="H61" i="31" s="1"/>
  <c r="JC90" i="29"/>
  <c r="JC89" i="31"/>
  <c r="AT60" i="31"/>
  <c r="AT57" i="29"/>
  <c r="AT61" i="31" s="1"/>
  <c r="AT58" i="29"/>
  <c r="IG60" i="31"/>
  <c r="IG57" i="29"/>
  <c r="IG61" i="31" s="1"/>
  <c r="IG58" i="29"/>
  <c r="IG62" i="31" s="1"/>
  <c r="CE60" i="31"/>
  <c r="CE58" i="29"/>
  <c r="CE57" i="29"/>
  <c r="CE61" i="31" s="1"/>
  <c r="GY60" i="31"/>
  <c r="GY58" i="29"/>
  <c r="GY62" i="31" s="1"/>
  <c r="GY57" i="29"/>
  <c r="GY61" i="31" s="1"/>
  <c r="J6" i="31"/>
  <c r="JK103" i="31"/>
  <c r="HO90" i="29"/>
  <c r="HO89" i="31"/>
  <c r="HF60" i="31"/>
  <c r="HF57" i="29"/>
  <c r="HF61" i="31" s="1"/>
  <c r="HF58" i="29"/>
  <c r="HF62" i="31" s="1"/>
  <c r="BV56" i="29"/>
  <c r="BV59" i="31"/>
  <c r="F60" i="31"/>
  <c r="F57" i="29"/>
  <c r="F58" i="29"/>
  <c r="CY60" i="31"/>
  <c r="CY58" i="29"/>
  <c r="CY57" i="29"/>
  <c r="CY61" i="31" s="1"/>
  <c r="X60" i="31"/>
  <c r="X57" i="29"/>
  <c r="X58" i="29"/>
  <c r="Q60" i="31"/>
  <c r="Q57" i="29"/>
  <c r="Q58" i="29"/>
  <c r="IW60" i="31"/>
  <c r="IW58" i="29"/>
  <c r="IW62" i="31" s="1"/>
  <c r="IW57" i="29"/>
  <c r="IW61" i="31" s="1"/>
  <c r="IF90" i="29"/>
  <c r="IF89" i="31"/>
  <c r="GF60" i="31"/>
  <c r="GF58" i="29"/>
  <c r="GF62" i="31" s="1"/>
  <c r="GF57" i="29"/>
  <c r="GF61" i="31" s="1"/>
  <c r="IB90" i="29"/>
  <c r="IB89" i="31"/>
  <c r="IA90" i="29"/>
  <c r="IA89" i="31"/>
  <c r="HT90" i="29"/>
  <c r="HT89" i="31"/>
  <c r="FF60" i="31"/>
  <c r="FF57" i="29"/>
  <c r="FF61" i="31" s="1"/>
  <c r="FF58" i="29"/>
  <c r="FF62" i="31" s="1"/>
  <c r="GV60" i="31"/>
  <c r="GV58" i="29"/>
  <c r="GV62" i="31" s="1"/>
  <c r="GV57" i="29"/>
  <c r="GV61" i="31" s="1"/>
  <c r="JF60" i="31"/>
  <c r="JF58" i="29"/>
  <c r="JF62" i="31" s="1"/>
  <c r="JF57" i="29"/>
  <c r="JF61" i="31" s="1"/>
  <c r="BG60" i="31"/>
  <c r="BG57" i="29"/>
  <c r="BG61" i="31" s="1"/>
  <c r="BG58" i="29"/>
  <c r="DU60" i="31"/>
  <c r="DU57" i="29"/>
  <c r="DU58" i="29"/>
  <c r="JB90" i="29"/>
  <c r="JB89" i="31"/>
  <c r="L99" i="31"/>
  <c r="X99" i="31"/>
  <c r="IH99" i="31"/>
  <c r="JO9" i="31"/>
  <c r="HT99" i="31"/>
  <c r="IC99" i="31"/>
  <c r="BC99" i="31"/>
  <c r="CI99" i="31"/>
  <c r="O60" i="31"/>
  <c r="O58" i="29"/>
  <c r="O57" i="29"/>
  <c r="CW60" i="31"/>
  <c r="CW58" i="29"/>
  <c r="CW57" i="29"/>
  <c r="CW61" i="31" s="1"/>
  <c r="HD60" i="31"/>
  <c r="HD57" i="29"/>
  <c r="HD61" i="31" s="1"/>
  <c r="HD58" i="29"/>
  <c r="HD62" i="31" s="1"/>
  <c r="IX90" i="29"/>
  <c r="IX89" i="31"/>
  <c r="FL60" i="31"/>
  <c r="FL57" i="29"/>
  <c r="FL61" i="31" s="1"/>
  <c r="FL58" i="29"/>
  <c r="FL62" i="31" s="1"/>
  <c r="BY60" i="31"/>
  <c r="BY57" i="29"/>
  <c r="BY61" i="31" s="1"/>
  <c r="BY58" i="29"/>
  <c r="E60" i="31"/>
  <c r="E57" i="29"/>
  <c r="E58" i="29"/>
  <c r="FR60" i="31"/>
  <c r="FR58" i="29"/>
  <c r="FR62" i="31" s="1"/>
  <c r="FR57" i="29"/>
  <c r="FR61" i="31" s="1"/>
  <c r="AQ60" i="31"/>
  <c r="AQ57" i="29"/>
  <c r="AQ58" i="29"/>
  <c r="BH60" i="31"/>
  <c r="BH57" i="29"/>
  <c r="BH61" i="31" s="1"/>
  <c r="BH58" i="29"/>
  <c r="FK60" i="31"/>
  <c r="FK57" i="29"/>
  <c r="FK61" i="31" s="1"/>
  <c r="FK58" i="29"/>
  <c r="FK62" i="31" s="1"/>
  <c r="FZ60" i="31"/>
  <c r="FZ57" i="29"/>
  <c r="FZ61" i="31" s="1"/>
  <c r="FZ58" i="29"/>
  <c r="FZ62" i="31" s="1"/>
  <c r="ET90" i="29"/>
  <c r="ET89" i="31"/>
  <c r="IZ90" i="29"/>
  <c r="IZ89" i="31"/>
  <c r="U60" i="31"/>
  <c r="U58" i="29"/>
  <c r="U57" i="29"/>
  <c r="Z60" i="31"/>
  <c r="Z57" i="29"/>
  <c r="Z61" i="31" s="1"/>
  <c r="Z58" i="29"/>
  <c r="HT60" i="31"/>
  <c r="HT58" i="29"/>
  <c r="HT62" i="31" s="1"/>
  <c r="HT57" i="29"/>
  <c r="HT61" i="31" s="1"/>
  <c r="CO60" i="31"/>
  <c r="CO57" i="29"/>
  <c r="CO61" i="31" s="1"/>
  <c r="CO58" i="29"/>
  <c r="IM60" i="31"/>
  <c r="IM57" i="29"/>
  <c r="IM61" i="31" s="1"/>
  <c r="IM58" i="29"/>
  <c r="IM62" i="31" s="1"/>
  <c r="BA60" i="31"/>
  <c r="BA57" i="29"/>
  <c r="BA61" i="31" s="1"/>
  <c r="BA58" i="29"/>
  <c r="BQ56" i="29"/>
  <c r="BQ59" i="31"/>
  <c r="AG60" i="31"/>
  <c r="AG58" i="29"/>
  <c r="AG57" i="29"/>
  <c r="JF90" i="29"/>
  <c r="JF89" i="31"/>
  <c r="JN103" i="31"/>
  <c r="JB60" i="31"/>
  <c r="JB58" i="29"/>
  <c r="JB62" i="31" s="1"/>
  <c r="JB57" i="29"/>
  <c r="JB61" i="31" s="1"/>
  <c r="DJ99" i="31"/>
  <c r="DS99" i="31"/>
  <c r="AE99" i="31"/>
  <c r="IF99" i="31"/>
  <c r="BM99" i="31"/>
  <c r="DA99" i="31"/>
  <c r="ED99" i="31"/>
  <c r="EK99" i="31"/>
  <c r="BX99" i="31"/>
  <c r="DD99" i="31"/>
  <c r="BS161" i="29"/>
  <c r="BS165" i="31" s="1"/>
  <c r="BS163" i="31"/>
  <c r="BS171" i="31" s="1"/>
  <c r="DF145" i="29"/>
  <c r="DF150" i="31"/>
  <c r="JB145" i="29"/>
  <c r="JB150" i="31"/>
  <c r="JO95" i="29"/>
  <c r="HU60" i="31"/>
  <c r="HU57" i="29"/>
  <c r="HU61" i="31" s="1"/>
  <c r="HU58" i="29"/>
  <c r="HU62" i="31" s="1"/>
  <c r="CF60" i="31"/>
  <c r="CF57" i="29"/>
  <c r="CF61" i="31" s="1"/>
  <c r="CF58" i="29"/>
  <c r="JD90" i="29"/>
  <c r="JD89" i="31"/>
  <c r="IK90" i="29"/>
  <c r="IK89" i="31"/>
  <c r="M60" i="31"/>
  <c r="M58" i="29"/>
  <c r="M57" i="29"/>
  <c r="M61" i="31" s="1"/>
  <c r="ID90" i="29"/>
  <c r="ID89" i="31"/>
  <c r="CR60" i="31"/>
  <c r="CR58" i="29"/>
  <c r="CR57" i="29"/>
  <c r="ET60" i="31"/>
  <c r="JN56" i="29"/>
  <c r="ET57" i="29"/>
  <c r="ET58" i="29"/>
  <c r="BZ60" i="31"/>
  <c r="BZ57" i="29"/>
  <c r="BZ61" i="31" s="1"/>
  <c r="BZ58" i="29"/>
  <c r="DB60" i="31"/>
  <c r="DB58" i="29"/>
  <c r="DB57" i="29"/>
  <c r="JH60" i="31"/>
  <c r="JH58" i="29"/>
  <c r="JH62" i="31" s="1"/>
  <c r="JH57" i="29"/>
  <c r="JH61" i="31" s="1"/>
  <c r="ES60" i="31"/>
  <c r="ES57" i="29"/>
  <c r="ES61" i="31" s="1"/>
  <c r="ES58" i="29"/>
  <c r="J56" i="29"/>
  <c r="J59" i="31"/>
  <c r="JM55" i="29"/>
  <c r="JP55" i="29" s="1"/>
  <c r="DW56" i="29"/>
  <c r="DW59" i="31"/>
  <c r="G60" i="31"/>
  <c r="G57" i="29"/>
  <c r="G58" i="29"/>
  <c r="EE60" i="31"/>
  <c r="EE58" i="29"/>
  <c r="EE57" i="29"/>
  <c r="GO60" i="31"/>
  <c r="GO58" i="29"/>
  <c r="GO62" i="31" s="1"/>
  <c r="GO57" i="29"/>
  <c r="GO61" i="31" s="1"/>
  <c r="IS60" i="31"/>
  <c r="IS58" i="29"/>
  <c r="IS62" i="31" s="1"/>
  <c r="IS57" i="29"/>
  <c r="IS61" i="31" s="1"/>
  <c r="IK60" i="31"/>
  <c r="IK57" i="29"/>
  <c r="IK61" i="31" s="1"/>
  <c r="IK58" i="29"/>
  <c r="IK62" i="31" s="1"/>
  <c r="DI60" i="31"/>
  <c r="DI58" i="29"/>
  <c r="DI57" i="29"/>
  <c r="DI61" i="31" s="1"/>
  <c r="R60" i="31"/>
  <c r="R58" i="29"/>
  <c r="R57" i="29"/>
  <c r="DV60" i="31"/>
  <c r="DV57" i="29"/>
  <c r="DV58" i="29"/>
  <c r="P60" i="31"/>
  <c r="P57" i="29"/>
  <c r="P58" i="29"/>
  <c r="HN60" i="31"/>
  <c r="HN57" i="29"/>
  <c r="HN61" i="31" s="1"/>
  <c r="HN58" i="29"/>
  <c r="HN62" i="31" s="1"/>
  <c r="CC60" i="31"/>
  <c r="CC58" i="29"/>
  <c r="CC57" i="29"/>
  <c r="CC61" i="31" s="1"/>
  <c r="IB60" i="31"/>
  <c r="IB58" i="29"/>
  <c r="IB62" i="31" s="1"/>
  <c r="IB57" i="29"/>
  <c r="IB61" i="31" s="1"/>
  <c r="EA60" i="31"/>
  <c r="EA57" i="29"/>
  <c r="EA61" i="31" s="1"/>
  <c r="EA58" i="29"/>
  <c r="BB60" i="31"/>
  <c r="BB57" i="29"/>
  <c r="BB58" i="29"/>
  <c r="HM90" i="29"/>
  <c r="HM89" i="31"/>
  <c r="BS60" i="31"/>
  <c r="BS58" i="29"/>
  <c r="BS57" i="29"/>
  <c r="BS61" i="31" s="1"/>
  <c r="GN60" i="31"/>
  <c r="GN57" i="29"/>
  <c r="GN61" i="31" s="1"/>
  <c r="GN58" i="29"/>
  <c r="GN62" i="31" s="1"/>
  <c r="AY60" i="31"/>
  <c r="AY57" i="29"/>
  <c r="AY58" i="29"/>
  <c r="FV60" i="31"/>
  <c r="FV57" i="29"/>
  <c r="FV61" i="31" s="1"/>
  <c r="FV58" i="29"/>
  <c r="FV62" i="31" s="1"/>
  <c r="BX60" i="31"/>
  <c r="BX58" i="29"/>
  <c r="BX57" i="29"/>
  <c r="BX61" i="31" s="1"/>
  <c r="JA99" i="31"/>
  <c r="CC99" i="31"/>
  <c r="DM60" i="31"/>
  <c r="DM57" i="29"/>
  <c r="DM58" i="29"/>
  <c r="IX60" i="31"/>
  <c r="IX58" i="29"/>
  <c r="IX62" i="31" s="1"/>
  <c r="IX57" i="29"/>
  <c r="IX61" i="31" s="1"/>
  <c r="HL60" i="31"/>
  <c r="HL57" i="29"/>
  <c r="JO56" i="29"/>
  <c r="HL58" i="29"/>
  <c r="EX60" i="31"/>
  <c r="EX57" i="29"/>
  <c r="EX61" i="31" s="1"/>
  <c r="EX58" i="29"/>
  <c r="EX62" i="31" s="1"/>
  <c r="EU60" i="31"/>
  <c r="EU58" i="29"/>
  <c r="EU62" i="31" s="1"/>
  <c r="EU57" i="29"/>
  <c r="EU61" i="31" s="1"/>
  <c r="IR90" i="29"/>
  <c r="IR89" i="31"/>
  <c r="JA60" i="31"/>
  <c r="JA58" i="29"/>
  <c r="JA62" i="31" s="1"/>
  <c r="JA57" i="29"/>
  <c r="JA61" i="31" s="1"/>
  <c r="N60" i="31"/>
  <c r="N58" i="29"/>
  <c r="N57" i="29"/>
  <c r="N61" i="31" s="1"/>
  <c r="CD60" i="31"/>
  <c r="CD57" i="29"/>
  <c r="CD61" i="31" s="1"/>
  <c r="CD58" i="29"/>
  <c r="BW56" i="29"/>
  <c r="BW59" i="31"/>
  <c r="FQ60" i="31"/>
  <c r="FQ57" i="29"/>
  <c r="FQ61" i="31" s="1"/>
  <c r="FQ58" i="29"/>
  <c r="FQ62" i="31" s="1"/>
  <c r="DP60" i="31"/>
  <c r="DP57" i="29"/>
  <c r="DP58" i="29"/>
  <c r="HM60" i="31"/>
  <c r="HM58" i="29"/>
  <c r="HM62" i="31" s="1"/>
  <c r="HM57" i="29"/>
  <c r="HM61" i="31" s="1"/>
  <c r="AM60" i="31"/>
  <c r="AM58" i="29"/>
  <c r="AM57" i="29"/>
  <c r="BK60" i="31"/>
  <c r="BK58" i="29"/>
  <c r="BK57" i="29"/>
  <c r="IC60" i="31"/>
  <c r="IC58" i="29"/>
  <c r="IC62" i="31" s="1"/>
  <c r="IC57" i="29"/>
  <c r="IC61" i="31" s="1"/>
  <c r="EL60" i="31"/>
  <c r="EL58" i="29"/>
  <c r="EL57" i="29"/>
  <c r="HX99" i="31"/>
  <c r="CG99" i="31"/>
  <c r="EG56" i="29"/>
  <c r="EG59" i="31"/>
  <c r="DX60" i="31"/>
  <c r="DX58" i="29"/>
  <c r="DX57" i="29"/>
  <c r="DX61" i="31" s="1"/>
  <c r="HL90" i="29"/>
  <c r="HL89" i="31"/>
  <c r="DT56" i="29"/>
  <c r="DT59" i="31"/>
  <c r="JL59" i="31"/>
  <c r="CL60" i="31"/>
  <c r="CL57" i="29"/>
  <c r="CL58" i="29"/>
  <c r="IP60" i="31"/>
  <c r="IP58" i="29"/>
  <c r="IP62" i="31" s="1"/>
  <c r="IP57" i="29"/>
  <c r="IP61" i="31" s="1"/>
  <c r="GS60" i="31"/>
  <c r="GS58" i="29"/>
  <c r="GS62" i="31" s="1"/>
  <c r="GS57" i="29"/>
  <c r="GS61" i="31" s="1"/>
  <c r="AD60" i="31"/>
  <c r="AD58" i="29"/>
  <c r="AD57" i="29"/>
  <c r="HJ60" i="31"/>
  <c r="HJ58" i="29"/>
  <c r="HJ62" i="31" s="1"/>
  <c r="HJ57" i="29"/>
  <c r="HJ61" i="31" s="1"/>
  <c r="FN60" i="31"/>
  <c r="FN57" i="29"/>
  <c r="FN61" i="31" s="1"/>
  <c r="FN58" i="29"/>
  <c r="FN62" i="31" s="1"/>
  <c r="EF60" i="31"/>
  <c r="EF58" i="29"/>
  <c r="EF57" i="29"/>
  <c r="HS60" i="31"/>
  <c r="HS58" i="29"/>
  <c r="HS62" i="31" s="1"/>
  <c r="HS57" i="29"/>
  <c r="HS61" i="31" s="1"/>
  <c r="GT60" i="31"/>
  <c r="GT57" i="29"/>
  <c r="GT61" i="31" s="1"/>
  <c r="GT58" i="29"/>
  <c r="GT62" i="31" s="1"/>
  <c r="JE60" i="31"/>
  <c r="JE58" i="29"/>
  <c r="JE62" i="31" s="1"/>
  <c r="JE57" i="29"/>
  <c r="JE61" i="31" s="1"/>
  <c r="CI60" i="31"/>
  <c r="CI57" i="29"/>
  <c r="CI61" i="31" s="1"/>
  <c r="CI58" i="29"/>
  <c r="HG60" i="31"/>
  <c r="HG57" i="29"/>
  <c r="HG61" i="31" s="1"/>
  <c r="HG58" i="29"/>
  <c r="HG62" i="31" s="1"/>
  <c r="DN60" i="31"/>
  <c r="DN57" i="29"/>
  <c r="DN58" i="29"/>
  <c r="AE60" i="31"/>
  <c r="AE57" i="29"/>
  <c r="AE61" i="31" s="1"/>
  <c r="AE58" i="29"/>
  <c r="JN99" i="31"/>
  <c r="H99" i="31"/>
  <c r="HP99" i="31"/>
  <c r="AX99" i="31"/>
  <c r="DO99" i="31"/>
  <c r="JD99" i="31"/>
  <c r="EB99" i="31"/>
  <c r="BJ99" i="31"/>
  <c r="BF145" i="29"/>
  <c r="BF149" i="31" s="1"/>
  <c r="BF150" i="31"/>
  <c r="GD60" i="31"/>
  <c r="GD58" i="29"/>
  <c r="GD62" i="31" s="1"/>
  <c r="GD57" i="29"/>
  <c r="GD61" i="31" s="1"/>
  <c r="HZ90" i="29"/>
  <c r="HZ89" i="31"/>
  <c r="FP60" i="31"/>
  <c r="FP58" i="29"/>
  <c r="FP62" i="31" s="1"/>
  <c r="FP57" i="29"/>
  <c r="FP61" i="31" s="1"/>
  <c r="IT90" i="29"/>
  <c r="IT89" i="31"/>
  <c r="AS60" i="31"/>
  <c r="AS58" i="29"/>
  <c r="AS57" i="29"/>
  <c r="AS61" i="31" s="1"/>
  <c r="ED60" i="31"/>
  <c r="ED58" i="29"/>
  <c r="ED57" i="29"/>
  <c r="BU60" i="31"/>
  <c r="BU57" i="29"/>
  <c r="BU61" i="31" s="1"/>
  <c r="BU58" i="29"/>
  <c r="CB56" i="29"/>
  <c r="CB59" i="31"/>
  <c r="IL90" i="29"/>
  <c r="IL89" i="31"/>
  <c r="HR90" i="29"/>
  <c r="HR89" i="31"/>
  <c r="W60" i="31"/>
  <c r="W57" i="29"/>
  <c r="W61" i="31" s="1"/>
  <c r="W58" i="29"/>
  <c r="GH60" i="31"/>
  <c r="GH57" i="29"/>
  <c r="GH61" i="31" s="1"/>
  <c r="GH58" i="29"/>
  <c r="GH62" i="31" s="1"/>
  <c r="DL60" i="31"/>
  <c r="DL57" i="29"/>
  <c r="DL61" i="31" s="1"/>
  <c r="DL58" i="29"/>
  <c r="IJ60" i="31"/>
  <c r="IJ58" i="29"/>
  <c r="IJ62" i="31" s="1"/>
  <c r="IJ57" i="29"/>
  <c r="IJ61" i="31" s="1"/>
  <c r="AK60" i="31"/>
  <c r="AK58" i="29"/>
  <c r="AK57" i="29"/>
  <c r="IN60" i="31"/>
  <c r="IN58" i="29"/>
  <c r="IN62" i="31" s="1"/>
  <c r="IN57" i="29"/>
  <c r="IN61" i="31" s="1"/>
  <c r="DY60" i="31"/>
  <c r="DY58" i="29"/>
  <c r="DY57" i="29"/>
  <c r="DY61" i="31" s="1"/>
  <c r="EC60" i="31"/>
  <c r="EC57" i="29"/>
  <c r="EC61" i="31" s="1"/>
  <c r="EC58" i="29"/>
  <c r="DC60" i="31"/>
  <c r="DC58" i="29"/>
  <c r="DC57" i="29"/>
  <c r="JH90" i="29"/>
  <c r="JH89" i="31"/>
  <c r="BN60" i="31"/>
  <c r="BN58" i="29"/>
  <c r="BN57" i="29"/>
  <c r="IE60" i="31"/>
  <c r="IE58" i="29"/>
  <c r="IE62" i="31" s="1"/>
  <c r="IE57" i="29"/>
  <c r="IE61" i="31" s="1"/>
  <c r="K56" i="29"/>
  <c r="K59" i="31"/>
  <c r="AX60" i="31"/>
  <c r="AX58" i="29"/>
  <c r="AX57" i="29"/>
  <c r="AX61" i="31" s="1"/>
  <c r="FE60" i="31"/>
  <c r="FE58" i="29"/>
  <c r="FE62" i="31" s="1"/>
  <c r="FE57" i="29"/>
  <c r="FE61" i="31" s="1"/>
  <c r="IV60" i="31"/>
  <c r="IV58" i="29"/>
  <c r="IV62" i="31" s="1"/>
  <c r="IV57" i="29"/>
  <c r="IV61" i="31" s="1"/>
  <c r="IQ90" i="29"/>
  <c r="IQ89" i="31"/>
  <c r="HV90" i="29"/>
  <c r="HV89" i="31"/>
  <c r="IU90" i="29"/>
  <c r="IU89" i="31"/>
  <c r="CJ60" i="31"/>
  <c r="CJ57" i="29"/>
  <c r="CJ61" i="31" s="1"/>
  <c r="CJ58" i="29"/>
  <c r="HP90" i="29"/>
  <c r="HP89" i="31"/>
  <c r="JC60" i="31"/>
  <c r="JC58" i="29"/>
  <c r="JC62" i="31" s="1"/>
  <c r="JC57" i="29"/>
  <c r="JC61" i="31" s="1"/>
  <c r="IG90" i="29"/>
  <c r="IG89" i="31"/>
  <c r="FU60" i="31"/>
  <c r="FU57" i="29"/>
  <c r="FU61" i="31" s="1"/>
  <c r="FU58" i="29"/>
  <c r="FU62" i="31" s="1"/>
  <c r="EQ56" i="29"/>
  <c r="EQ59" i="31"/>
  <c r="EP60" i="31"/>
  <c r="EP57" i="29"/>
  <c r="EP58" i="29"/>
  <c r="DR56" i="29"/>
  <c r="DR59" i="31"/>
  <c r="AF60" i="31"/>
  <c r="AF58" i="29"/>
  <c r="AF57" i="29"/>
  <c r="GC60" i="31"/>
  <c r="GC57" i="29"/>
  <c r="GC61" i="31" s="1"/>
  <c r="GC58" i="29"/>
  <c r="GC62" i="31" s="1"/>
  <c r="IY60" i="31"/>
  <c r="IY57" i="29"/>
  <c r="IY61" i="31" s="1"/>
  <c r="IY58" i="29"/>
  <c r="IY62" i="31" s="1"/>
  <c r="AW60" i="31"/>
  <c r="AW58" i="29"/>
  <c r="AW57" i="29"/>
  <c r="P99" i="31"/>
  <c r="AK99" i="31"/>
  <c r="HW99" i="31"/>
  <c r="IQ99" i="31"/>
  <c r="CD99" i="31"/>
  <c r="IJ99" i="31"/>
  <c r="IV99" i="31"/>
  <c r="CO99" i="31"/>
  <c r="IE90" i="29"/>
  <c r="IE89" i="31"/>
  <c r="HW60" i="31"/>
  <c r="HW58" i="29"/>
  <c r="HW62" i="31" s="1"/>
  <c r="HW57" i="29"/>
  <c r="HW61" i="31" s="1"/>
  <c r="JO69" i="31"/>
  <c r="EO60" i="31"/>
  <c r="EO57" i="29"/>
  <c r="EO58" i="29"/>
  <c r="D60" i="31"/>
  <c r="JL60" i="31" s="1"/>
  <c r="D57" i="29"/>
  <c r="D61" i="31" s="1"/>
  <c r="D58" i="29"/>
  <c r="EU90" i="29"/>
  <c r="EU89" i="31"/>
  <c r="FO60" i="31"/>
  <c r="FO58" i="29"/>
  <c r="FO62" i="31" s="1"/>
  <c r="FO57" i="29"/>
  <c r="FO61" i="31" s="1"/>
  <c r="DD60" i="31"/>
  <c r="DD57" i="29"/>
  <c r="DD58" i="29"/>
  <c r="L60" i="31"/>
  <c r="L58" i="29"/>
  <c r="L57" i="29"/>
  <c r="L61" i="31" s="1"/>
  <c r="HV60" i="31"/>
  <c r="HV58" i="29"/>
  <c r="HV62" i="31" s="1"/>
  <c r="HV57" i="29"/>
  <c r="HV61" i="31" s="1"/>
  <c r="IU60" i="31"/>
  <c r="IU57" i="29"/>
  <c r="IU61" i="31" s="1"/>
  <c r="IU58" i="29"/>
  <c r="IU62" i="31" s="1"/>
  <c r="BC60" i="31"/>
  <c r="BC58" i="29"/>
  <c r="BC57" i="29"/>
  <c r="BC61" i="31" s="1"/>
  <c r="Y60" i="31"/>
  <c r="Y57" i="29"/>
  <c r="Y58" i="29"/>
  <c r="FD60" i="31"/>
  <c r="FD57" i="29"/>
  <c r="FD61" i="31" s="1"/>
  <c r="FD58" i="29"/>
  <c r="FD62" i="31" s="1"/>
  <c r="HC60" i="31"/>
  <c r="HC57" i="29"/>
  <c r="HC61" i="31" s="1"/>
  <c r="HC58" i="29"/>
  <c r="HC62" i="31" s="1"/>
  <c r="BO60" i="31"/>
  <c r="BO57" i="29"/>
  <c r="BO58" i="29"/>
  <c r="DA60" i="31"/>
  <c r="DA58" i="29"/>
  <c r="DA57" i="29"/>
  <c r="DA61" i="31" s="1"/>
  <c r="FG60" i="31"/>
  <c r="FG57" i="29"/>
  <c r="FG61" i="31" s="1"/>
  <c r="FG58" i="29"/>
  <c r="FG62" i="31" s="1"/>
  <c r="CB163" i="31"/>
  <c r="CB171" i="31" s="1"/>
  <c r="CB161" i="29"/>
  <c r="CB165" i="31" s="1"/>
  <c r="CB160" i="29"/>
  <c r="CB164" i="31" s="1"/>
  <c r="CB167" i="29"/>
  <c r="CT60" i="31"/>
  <c r="CT57" i="29"/>
  <c r="CT61" i="31" s="1"/>
  <c r="CT58" i="29"/>
  <c r="ER60" i="31"/>
  <c r="ER58" i="29"/>
  <c r="ER57" i="29"/>
  <c r="ER61" i="31" s="1"/>
  <c r="GR60" i="31"/>
  <c r="GR58" i="29"/>
  <c r="GR62" i="31" s="1"/>
  <c r="GR57" i="29"/>
  <c r="GR61" i="31" s="1"/>
  <c r="GB60" i="31"/>
  <c r="GB57" i="29"/>
  <c r="GB61" i="31" s="1"/>
  <c r="GB58" i="29"/>
  <c r="GB62" i="31" s="1"/>
  <c r="JL9" i="31"/>
  <c r="BT99" i="31"/>
  <c r="JM9" i="31"/>
  <c r="IM99" i="31"/>
  <c r="IX99" i="31"/>
  <c r="BY99" i="31"/>
  <c r="BZ99" i="31"/>
  <c r="JG99" i="31"/>
  <c r="CX99" i="31"/>
  <c r="DG99" i="31"/>
  <c r="BG145" i="29"/>
  <c r="BG150" i="31"/>
  <c r="AZ60" i="31"/>
  <c r="AZ57" i="29"/>
  <c r="AZ61" i="31" s="1"/>
  <c r="AZ58" i="29"/>
  <c r="EN60" i="31"/>
  <c r="EN58" i="29"/>
  <c r="EN57" i="29"/>
  <c r="EN61" i="31" s="1"/>
  <c r="AB60" i="31"/>
  <c r="AB57" i="29"/>
  <c r="AB58" i="29"/>
  <c r="BU163" i="31"/>
  <c r="BU171" i="31" s="1"/>
  <c r="BU167" i="29"/>
  <c r="BU160" i="29"/>
  <c r="BU164" i="31" s="1"/>
  <c r="BU161" i="29"/>
  <c r="BU165" i="31" s="1"/>
  <c r="HY90" i="29"/>
  <c r="HY89" i="31"/>
  <c r="FY60" i="31"/>
  <c r="FY57" i="29"/>
  <c r="FY61" i="31" s="1"/>
  <c r="FY58" i="29"/>
  <c r="FY62" i="31" s="1"/>
  <c r="IO90" i="29"/>
  <c r="IO89" i="31"/>
  <c r="IN99" i="31"/>
  <c r="HO60" i="31"/>
  <c r="HO57" i="29"/>
  <c r="HO61" i="31" s="1"/>
  <c r="HO58" i="29"/>
  <c r="HO62" i="31" s="1"/>
  <c r="BF60" i="31"/>
  <c r="BF57" i="29"/>
  <c r="BF58" i="29"/>
  <c r="GG60" i="31"/>
  <c r="GG58" i="29"/>
  <c r="GG62" i="31" s="1"/>
  <c r="GG57" i="29"/>
  <c r="GG61" i="31" s="1"/>
  <c r="AP56" i="29"/>
  <c r="AP59" i="31"/>
  <c r="IV90" i="29"/>
  <c r="IV89" i="31"/>
  <c r="I60" i="31"/>
  <c r="I58" i="29"/>
  <c r="I57" i="29"/>
  <c r="FH60" i="31"/>
  <c r="FH57" i="29"/>
  <c r="FH61" i="31" s="1"/>
  <c r="FH58" i="29"/>
  <c r="FH62" i="31" s="1"/>
  <c r="IF60" i="31"/>
  <c r="IF57" i="29"/>
  <c r="IF61" i="31" s="1"/>
  <c r="IF58" i="29"/>
  <c r="IF62" i="31" s="1"/>
  <c r="BD60" i="31"/>
  <c r="BD57" i="29"/>
  <c r="BD58" i="29"/>
  <c r="DJ60" i="31"/>
  <c r="DJ57" i="29"/>
  <c r="DJ61" i="31" s="1"/>
  <c r="DJ58" i="29"/>
  <c r="II60" i="31"/>
  <c r="II57" i="29"/>
  <c r="II61" i="31" s="1"/>
  <c r="II58" i="29"/>
  <c r="II62" i="31" s="1"/>
  <c r="IA60" i="31"/>
  <c r="IA58" i="29"/>
  <c r="IA62" i="31" s="1"/>
  <c r="IA57" i="29"/>
  <c r="IA61" i="31" s="1"/>
  <c r="IC90" i="29"/>
  <c r="IC89" i="31"/>
  <c r="AH60" i="31"/>
  <c r="AH58" i="29"/>
  <c r="AH57" i="29"/>
  <c r="AH61" i="31" s="1"/>
  <c r="BS167" i="29"/>
  <c r="BH145" i="29"/>
  <c r="BH150" i="31"/>
  <c r="DA145" i="29"/>
  <c r="DA150" i="31"/>
  <c r="FS60" i="31"/>
  <c r="FS57" i="29"/>
  <c r="FS61" i="31" s="1"/>
  <c r="FS58" i="29"/>
  <c r="FS62" i="31" s="1"/>
  <c r="CZ60" i="31"/>
  <c r="CZ58" i="29"/>
  <c r="CZ57" i="29"/>
  <c r="HA60" i="31"/>
  <c r="HA57" i="29"/>
  <c r="HA61" i="31" s="1"/>
  <c r="HA58" i="29"/>
  <c r="HA62" i="31" s="1"/>
  <c r="HQ90" i="29"/>
  <c r="HQ89" i="31"/>
  <c r="EM60" i="31"/>
  <c r="EM57" i="29"/>
  <c r="EM61" i="31" s="1"/>
  <c r="EM58" i="29"/>
  <c r="AJ56" i="29"/>
  <c r="AJ59" i="31"/>
  <c r="DE60" i="31"/>
  <c r="DE58" i="29"/>
  <c r="DE57" i="29"/>
  <c r="DE61" i="31" s="1"/>
  <c r="BR60" i="31"/>
  <c r="BR57" i="29"/>
  <c r="BR58" i="29"/>
  <c r="JE90" i="29"/>
  <c r="JE89" i="31"/>
  <c r="AN60" i="31"/>
  <c r="AN58" i="29"/>
  <c r="AN57" i="29"/>
  <c r="AN61" i="31" s="1"/>
  <c r="CX60" i="31"/>
  <c r="CX58" i="29"/>
  <c r="CX57" i="29"/>
  <c r="CH60" i="31"/>
  <c r="CH58" i="29"/>
  <c r="CH57" i="29"/>
  <c r="CH61" i="31" s="1"/>
  <c r="T60" i="31"/>
  <c r="T57" i="29"/>
  <c r="T61" i="31" s="1"/>
  <c r="T58" i="29"/>
  <c r="DZ56" i="29"/>
  <c r="DZ59" i="31"/>
  <c r="IH90" i="29"/>
  <c r="IH89" i="31"/>
  <c r="EZ60" i="31"/>
  <c r="EZ58" i="29"/>
  <c r="EZ62" i="31" s="1"/>
  <c r="EZ57" i="29"/>
  <c r="EZ61" i="31" s="1"/>
  <c r="JD60" i="31"/>
  <c r="JD57" i="29"/>
  <c r="JD61" i="31" s="1"/>
  <c r="JD58" i="29"/>
  <c r="JD62" i="31" s="1"/>
  <c r="CP60" i="31"/>
  <c r="CP57" i="29"/>
  <c r="CP61" i="31" s="1"/>
  <c r="CP58" i="29"/>
  <c r="GM60" i="31"/>
  <c r="GM57" i="29"/>
  <c r="GM61" i="31" s="1"/>
  <c r="GM58" i="29"/>
  <c r="GM62" i="31" s="1"/>
  <c r="EH60" i="31"/>
  <c r="EH58" i="29"/>
  <c r="EH57" i="29"/>
  <c r="JA90" i="29"/>
  <c r="JA89" i="31"/>
  <c r="HR60" i="31"/>
  <c r="HR58" i="29"/>
  <c r="HR62" i="31" s="1"/>
  <c r="HR57" i="29"/>
  <c r="HR61" i="31" s="1"/>
  <c r="IW90" i="29"/>
  <c r="IW89" i="31"/>
  <c r="HB60" i="31"/>
  <c r="HB57" i="29"/>
  <c r="HB61" i="31" s="1"/>
  <c r="HB58" i="29"/>
  <c r="HB62" i="31" s="1"/>
  <c r="CS60" i="31"/>
  <c r="CS58" i="29"/>
  <c r="CS57" i="29"/>
  <c r="CS61" i="31" s="1"/>
  <c r="FX60" i="31"/>
  <c r="FX58" i="29"/>
  <c r="FX62" i="31" s="1"/>
  <c r="FX57" i="29"/>
  <c r="FX61" i="31" s="1"/>
  <c r="BI60" i="31"/>
  <c r="BI58" i="29"/>
  <c r="BI57" i="29"/>
  <c r="BI61" i="31" s="1"/>
  <c r="GZ60" i="31"/>
  <c r="GZ58" i="29"/>
  <c r="GZ62" i="31" s="1"/>
  <c r="GZ57" i="29"/>
  <c r="GZ61" i="31" s="1"/>
  <c r="HX60" i="31"/>
  <c r="HX57" i="29"/>
  <c r="HX61" i="31" s="1"/>
  <c r="HX58" i="29"/>
  <c r="HX62" i="31" s="1"/>
  <c r="FJ60" i="31"/>
  <c r="FJ57" i="29"/>
  <c r="FJ61" i="31" s="1"/>
  <c r="FJ58" i="29"/>
  <c r="FJ62" i="31" s="1"/>
  <c r="FT60" i="31"/>
  <c r="FT58" i="29"/>
  <c r="FT62" i="31" s="1"/>
  <c r="FT57" i="29"/>
  <c r="FT61" i="31" s="1"/>
  <c r="DG56" i="29"/>
  <c r="DG59" i="31"/>
  <c r="CG60" i="31"/>
  <c r="CG58" i="29"/>
  <c r="CG57" i="29"/>
  <c r="CG61" i="31" s="1"/>
  <c r="GW60" i="31"/>
  <c r="GW57" i="29"/>
  <c r="GW61" i="31" s="1"/>
  <c r="GW58" i="29"/>
  <c r="GW62" i="31" s="1"/>
  <c r="GL82" i="29"/>
  <c r="FR82" i="29"/>
  <c r="GM82" i="29"/>
  <c r="FN82" i="29"/>
  <c r="GF82" i="29"/>
  <c r="GZ82" i="29"/>
  <c r="GX82" i="29"/>
  <c r="FE82" i="29"/>
  <c r="FF82" i="29"/>
  <c r="GH82" i="29"/>
  <c r="GI82" i="29"/>
  <c r="FC82" i="29"/>
  <c r="GB82" i="29"/>
  <c r="FQ82" i="29"/>
  <c r="GC82" i="29"/>
  <c r="GP82" i="29"/>
  <c r="GR82" i="29"/>
  <c r="GV82" i="29"/>
  <c r="HC82" i="29"/>
  <c r="FI82" i="29"/>
  <c r="FU82" i="29"/>
  <c r="HE82" i="29"/>
  <c r="GO82" i="29"/>
  <c r="GW82" i="29"/>
  <c r="GK82" i="29"/>
  <c r="FP82" i="29"/>
  <c r="EX82" i="29"/>
  <c r="FZ82" i="29"/>
  <c r="FB82" i="29"/>
  <c r="HI82" i="29"/>
  <c r="HB82" i="29"/>
  <c r="EY82" i="29"/>
  <c r="FG82" i="29"/>
  <c r="FW82" i="29"/>
  <c r="FT82" i="29"/>
  <c r="HK82" i="29"/>
  <c r="EV82" i="29"/>
  <c r="GT82" i="29"/>
  <c r="GG82" i="29"/>
  <c r="FX82" i="29"/>
  <c r="GN82" i="29"/>
  <c r="GD82" i="29"/>
  <c r="HF82" i="29"/>
  <c r="FV82" i="29"/>
  <c r="HA82" i="29"/>
  <c r="EZ82" i="29"/>
  <c r="GA82" i="29"/>
  <c r="FJ82" i="29"/>
  <c r="FH82" i="29"/>
  <c r="FL82" i="29"/>
  <c r="FD82" i="29"/>
  <c r="HH82" i="29"/>
  <c r="GS82" i="29"/>
  <c r="FM82" i="29"/>
  <c r="GJ82" i="29"/>
  <c r="EW82" i="29"/>
  <c r="FS82" i="29"/>
  <c r="FO82" i="29"/>
  <c r="GU82" i="29"/>
  <c r="HD82" i="29"/>
  <c r="GQ82" i="29"/>
  <c r="GY82" i="29"/>
  <c r="HJ82" i="29"/>
  <c r="GE82" i="29"/>
  <c r="HG82" i="29"/>
  <c r="FK82" i="29"/>
  <c r="FA82" i="29"/>
  <c r="FY82" i="29"/>
  <c r="IY90" i="29"/>
  <c r="IY89" i="31"/>
  <c r="CU60" i="31"/>
  <c r="CU58" i="29"/>
  <c r="CU57" i="29"/>
  <c r="AH99" i="31"/>
  <c r="AZ99" i="31"/>
  <c r="BK99" i="31"/>
  <c r="CZ99" i="31"/>
  <c r="HK60" i="31"/>
  <c r="HK57" i="29"/>
  <c r="HK61" i="31" s="1"/>
  <c r="HK58" i="29"/>
  <c r="HK62" i="31" s="1"/>
  <c r="CK60" i="31"/>
  <c r="CK57" i="29"/>
  <c r="CK58" i="29"/>
  <c r="CN60" i="31"/>
  <c r="CN57" i="29"/>
  <c r="CN61" i="31" s="1"/>
  <c r="CN58" i="29"/>
  <c r="JO59" i="31"/>
  <c r="IS90" i="29"/>
  <c r="IS89" i="31"/>
  <c r="GQ60" i="31"/>
  <c r="GQ57" i="29"/>
  <c r="GQ61" i="31" s="1"/>
  <c r="GQ58" i="29"/>
  <c r="GQ62" i="31" s="1"/>
  <c r="DQ60" i="31"/>
  <c r="DQ58" i="29"/>
  <c r="DQ57" i="29"/>
  <c r="DQ61" i="31" s="1"/>
  <c r="HH60" i="31"/>
  <c r="HH58" i="29"/>
  <c r="HH62" i="31" s="1"/>
  <c r="HH57" i="29"/>
  <c r="HH61" i="31" s="1"/>
  <c r="IP90" i="29"/>
  <c r="IP89" i="31"/>
  <c r="EB60" i="31"/>
  <c r="EB58" i="29"/>
  <c r="EB57" i="29"/>
  <c r="BP60" i="31"/>
  <c r="BP57" i="29"/>
  <c r="BP58" i="29"/>
  <c r="FA60" i="31"/>
  <c r="FA57" i="29"/>
  <c r="FA61" i="31" s="1"/>
  <c r="FA58" i="29"/>
  <c r="FA62" i="31" s="1"/>
  <c r="BE60" i="31"/>
  <c r="BE58" i="29"/>
  <c r="BE57" i="29"/>
  <c r="BM56" i="29"/>
  <c r="BM59" i="31"/>
  <c r="HS90" i="29"/>
  <c r="HS89" i="31"/>
  <c r="IZ60" i="31"/>
  <c r="IZ57" i="29"/>
  <c r="IZ61" i="31" s="1"/>
  <c r="IZ58" i="29"/>
  <c r="IZ62" i="31" s="1"/>
  <c r="FW60" i="31"/>
  <c r="FW58" i="29"/>
  <c r="FW62" i="31" s="1"/>
  <c r="FW57" i="29"/>
  <c r="FW61" i="31" s="1"/>
  <c r="GX60" i="31"/>
  <c r="GX58" i="29"/>
  <c r="GX62" i="31" s="1"/>
  <c r="GX57" i="29"/>
  <c r="GX61" i="31" s="1"/>
  <c r="IM90" i="29"/>
  <c r="IM89" i="31"/>
  <c r="AV60" i="31"/>
  <c r="AV58" i="29"/>
  <c r="AV57" i="29"/>
  <c r="AV61" i="31" s="1"/>
  <c r="GP60" i="31"/>
  <c r="GP58" i="29"/>
  <c r="GP62" i="31" s="1"/>
  <c r="GP57" i="29"/>
  <c r="GP61" i="31" s="1"/>
  <c r="AA60" i="31"/>
  <c r="AA58" i="29"/>
  <c r="AA57" i="29"/>
  <c r="FM60" i="31"/>
  <c r="FM58" i="29"/>
  <c r="FM62" i="31" s="1"/>
  <c r="FM57" i="29"/>
  <c r="FM61" i="31" s="1"/>
  <c r="JN9" i="31"/>
  <c r="IU99" i="31"/>
  <c r="CJ99" i="31"/>
  <c r="JE99" i="31"/>
  <c r="W99" i="31"/>
  <c r="AD99" i="31"/>
  <c r="BR99" i="31"/>
  <c r="DH99" i="31"/>
  <c r="DZ99" i="31"/>
  <c r="FC60" i="31"/>
  <c r="FC58" i="29"/>
  <c r="FC62" i="31" s="1"/>
  <c r="FC57" i="29"/>
  <c r="FC61" i="31" s="1"/>
  <c r="IT60" i="31"/>
  <c r="IT57" i="29"/>
  <c r="IT61" i="31" s="1"/>
  <c r="IT58" i="29"/>
  <c r="IT62" i="31" s="1"/>
  <c r="CQ60" i="31"/>
  <c r="CQ58" i="29"/>
  <c r="CQ57" i="29"/>
  <c r="ID60" i="31"/>
  <c r="ID57" i="29"/>
  <c r="ID61" i="31" s="1"/>
  <c r="ID58" i="29"/>
  <c r="ID62" i="31" s="1"/>
  <c r="DS56" i="29"/>
  <c r="DS59" i="31"/>
  <c r="EW60" i="31"/>
  <c r="EW57" i="29"/>
  <c r="EW61" i="31" s="1"/>
  <c r="EW58" i="29"/>
  <c r="EW62" i="31" s="1"/>
  <c r="N163" i="31"/>
  <c r="N171" i="31" s="1"/>
  <c r="N160" i="29"/>
  <c r="N164" i="31" s="1"/>
  <c r="N161" i="29"/>
  <c r="N165" i="31" s="1"/>
  <c r="N167" i="29"/>
  <c r="BJ60" i="31"/>
  <c r="BJ58" i="29"/>
  <c r="BJ57" i="29"/>
  <c r="BJ61" i="31" s="1"/>
  <c r="IQ60" i="31"/>
  <c r="IQ58" i="29"/>
  <c r="IQ62" i="31" s="1"/>
  <c r="IQ57" i="29"/>
  <c r="IQ61" i="31" s="1"/>
  <c r="AO60" i="31"/>
  <c r="AO58" i="29"/>
  <c r="AO57" i="29"/>
  <c r="AU60" i="31"/>
  <c r="AU57" i="29"/>
  <c r="AU58" i="29"/>
  <c r="EI60" i="31"/>
  <c r="EI57" i="29"/>
  <c r="EI58" i="29"/>
  <c r="DF60" i="31"/>
  <c r="DF57" i="29"/>
  <c r="DF61" i="31" s="1"/>
  <c r="DF58" i="29"/>
  <c r="HP60" i="31"/>
  <c r="HP57" i="29"/>
  <c r="HP61" i="31" s="1"/>
  <c r="HP58" i="29"/>
  <c r="HP62" i="31" s="1"/>
  <c r="BL56" i="29"/>
  <c r="BL59" i="31"/>
  <c r="CV56" i="29"/>
  <c r="CV59" i="31"/>
  <c r="FB60" i="31"/>
  <c r="FB58" i="29"/>
  <c r="FB62" i="31" s="1"/>
  <c r="FB57" i="29"/>
  <c r="FB61" i="31" s="1"/>
  <c r="EK60" i="31"/>
  <c r="EK58" i="29"/>
  <c r="EK57" i="29"/>
  <c r="HY60" i="31"/>
  <c r="HY57" i="29"/>
  <c r="HY61" i="31" s="1"/>
  <c r="HY58" i="29"/>
  <c r="HY62" i="31" s="1"/>
  <c r="IJ90" i="29"/>
  <c r="IJ89" i="31"/>
  <c r="IH60" i="31"/>
  <c r="IH57" i="29"/>
  <c r="IH61" i="31" s="1"/>
  <c r="IH58" i="29"/>
  <c r="IH62" i="31" s="1"/>
  <c r="IO60" i="31"/>
  <c r="IO57" i="29"/>
  <c r="IO61" i="31" s="1"/>
  <c r="IO58" i="29"/>
  <c r="IO62" i="31" s="1"/>
  <c r="DO65" i="29"/>
  <c r="DO68" i="31"/>
  <c r="AL99" i="31"/>
  <c r="IY99" i="31"/>
  <c r="AV99" i="31"/>
  <c r="D99" i="31"/>
  <c r="DK99" i="31"/>
  <c r="E99" i="31"/>
  <c r="JL95" i="29"/>
  <c r="JP95" i="29" s="1"/>
  <c r="JP9" i="29"/>
  <c r="CA167" i="29"/>
  <c r="CA160" i="29"/>
  <c r="CA164" i="31" s="1"/>
  <c r="CA161" i="29"/>
  <c r="CA165" i="31" s="1"/>
  <c r="JL57" i="29"/>
  <c r="JL58" i="29"/>
  <c r="C64" i="29"/>
  <c r="C68" i="31" s="1"/>
  <c r="BS160" i="29"/>
  <c r="BS164" i="31" s="1"/>
  <c r="CN180" i="29"/>
  <c r="CN174" i="29"/>
  <c r="EA183" i="29"/>
  <c r="BS180" i="29"/>
  <c r="BS174" i="29"/>
  <c r="BS181" i="29"/>
  <c r="CN181" i="29"/>
  <c r="CN161" i="29"/>
  <c r="CN165" i="31" s="1"/>
  <c r="CN160" i="29"/>
  <c r="CN164" i="31" s="1"/>
  <c r="CN167" i="29"/>
  <c r="EA161" i="29"/>
  <c r="EA165" i="31" s="1"/>
  <c r="EA160" i="29"/>
  <c r="EA164" i="31" s="1"/>
  <c r="WB44" i="1" l="1"/>
  <c r="VY44" i="1"/>
  <c r="AC117" i="31"/>
  <c r="AC148" i="29"/>
  <c r="AC116" i="29"/>
  <c r="WA272" i="1"/>
  <c r="AC106" i="31"/>
  <c r="AC106" i="29"/>
  <c r="AC110" i="31" s="1"/>
  <c r="AC103" i="29"/>
  <c r="JI145" i="29"/>
  <c r="JI149" i="31" s="1"/>
  <c r="WB272" i="1"/>
  <c r="JO99" i="31"/>
  <c r="BF147" i="29"/>
  <c r="BF151" i="31" s="1"/>
  <c r="JL99" i="31"/>
  <c r="JM99" i="31"/>
  <c r="JM59" i="31"/>
  <c r="JP59" i="31" s="1"/>
  <c r="DO85" i="29"/>
  <c r="DO69" i="31"/>
  <c r="IJ93" i="29"/>
  <c r="IJ94" i="31"/>
  <c r="EK66" i="29"/>
  <c r="EK70" i="31" s="1"/>
  <c r="EK61" i="31"/>
  <c r="EI64" i="29"/>
  <c r="EI62" i="31"/>
  <c r="AU66" i="29"/>
  <c r="AU70" i="31" s="1"/>
  <c r="AU61" i="31"/>
  <c r="CQ64" i="29"/>
  <c r="CQ62" i="31"/>
  <c r="AA66" i="29"/>
  <c r="AA70" i="31" s="1"/>
  <c r="AA61" i="31"/>
  <c r="BM60" i="31"/>
  <c r="BM57" i="29"/>
  <c r="BM58" i="29"/>
  <c r="BP66" i="29"/>
  <c r="BP70" i="31" s="1"/>
  <c r="BP61" i="31"/>
  <c r="CK66" i="29"/>
  <c r="CK70" i="31" s="1"/>
  <c r="CK61" i="31"/>
  <c r="FK83" i="29"/>
  <c r="FK86" i="31"/>
  <c r="GY83" i="29"/>
  <c r="GY86" i="31"/>
  <c r="FO83" i="29"/>
  <c r="FO86" i="31"/>
  <c r="FM83" i="29"/>
  <c r="FM86" i="31"/>
  <c r="FL83" i="29"/>
  <c r="FL86" i="31"/>
  <c r="EZ83" i="29"/>
  <c r="EZ86" i="31"/>
  <c r="GD83" i="29"/>
  <c r="GD86" i="31"/>
  <c r="GT83" i="29"/>
  <c r="GT86" i="31"/>
  <c r="FW83" i="29"/>
  <c r="FW86" i="31"/>
  <c r="HI83" i="29"/>
  <c r="HI86" i="31"/>
  <c r="FP83" i="29"/>
  <c r="FP86" i="31"/>
  <c r="HE83" i="29"/>
  <c r="HE86" i="31"/>
  <c r="GV83" i="29"/>
  <c r="GV86" i="31"/>
  <c r="FQ83" i="29"/>
  <c r="FQ86" i="31"/>
  <c r="GH83" i="29"/>
  <c r="GH86" i="31"/>
  <c r="GZ83" i="29"/>
  <c r="GZ86" i="31"/>
  <c r="FR83" i="29"/>
  <c r="FR86" i="31"/>
  <c r="JA93" i="29"/>
  <c r="JA94" i="31"/>
  <c r="T64" i="29"/>
  <c r="T62" i="31"/>
  <c r="CH64" i="29"/>
  <c r="CH62" i="31"/>
  <c r="BH147" i="29"/>
  <c r="BH151" i="31" s="1"/>
  <c r="BH149" i="31"/>
  <c r="BD64" i="29"/>
  <c r="BD62" i="31"/>
  <c r="BF66" i="29"/>
  <c r="BF70" i="31" s="1"/>
  <c r="BF61" i="31"/>
  <c r="IO93" i="29"/>
  <c r="IO94" i="31"/>
  <c r="AB66" i="29"/>
  <c r="AB70" i="31" s="1"/>
  <c r="AB61" i="31"/>
  <c r="ER64" i="29"/>
  <c r="ER62" i="31"/>
  <c r="BO66" i="29"/>
  <c r="BO70" i="31" s="1"/>
  <c r="BO61" i="31"/>
  <c r="Y64" i="29"/>
  <c r="Y62" i="31"/>
  <c r="BC64" i="29"/>
  <c r="BC62" i="31"/>
  <c r="DD66" i="29"/>
  <c r="DD70" i="31" s="1"/>
  <c r="DD61" i="31"/>
  <c r="EP66" i="29"/>
  <c r="EP70" i="31" s="1"/>
  <c r="EP61" i="31"/>
  <c r="IG93" i="29"/>
  <c r="IG94" i="31"/>
  <c r="DC64" i="29"/>
  <c r="DC62" i="31"/>
  <c r="AK64" i="29"/>
  <c r="AK62" i="31"/>
  <c r="W64" i="29"/>
  <c r="W62" i="31"/>
  <c r="HR93" i="29"/>
  <c r="HR94" i="31"/>
  <c r="CB60" i="31"/>
  <c r="CB57" i="29"/>
  <c r="CB61" i="31" s="1"/>
  <c r="CB58" i="29"/>
  <c r="ED66" i="29"/>
  <c r="ED70" i="31" s="1"/>
  <c r="ED61" i="31"/>
  <c r="AS64" i="29"/>
  <c r="AS62" i="31"/>
  <c r="HZ93" i="29"/>
  <c r="HZ94" i="31"/>
  <c r="EF64" i="29"/>
  <c r="EF62" i="31"/>
  <c r="AD66" i="29"/>
  <c r="AD70" i="31" s="1"/>
  <c r="AD61" i="31"/>
  <c r="HL94" i="31"/>
  <c r="HL93" i="29"/>
  <c r="JO90" i="29"/>
  <c r="BK66" i="29"/>
  <c r="BK70" i="31" s="1"/>
  <c r="BK61" i="31"/>
  <c r="AM64" i="29"/>
  <c r="AM62" i="31"/>
  <c r="BW60" i="31"/>
  <c r="BW57" i="29"/>
  <c r="BW61" i="31" s="1"/>
  <c r="BW58" i="29"/>
  <c r="JO58" i="29"/>
  <c r="HL62" i="31"/>
  <c r="JO62" i="31" s="1"/>
  <c r="DM66" i="29"/>
  <c r="DM70" i="31" s="1"/>
  <c r="DM61" i="31"/>
  <c r="AY64" i="29"/>
  <c r="AY62" i="31"/>
  <c r="BB66" i="29"/>
  <c r="BB70" i="31" s="1"/>
  <c r="BB61" i="31"/>
  <c r="R66" i="29"/>
  <c r="R70" i="31" s="1"/>
  <c r="R61" i="31"/>
  <c r="DI64" i="29"/>
  <c r="DI62" i="31"/>
  <c r="EE64" i="29"/>
  <c r="EE62" i="31"/>
  <c r="BZ64" i="29"/>
  <c r="BZ62" i="31"/>
  <c r="JN57" i="29"/>
  <c r="ET61" i="31"/>
  <c r="JN61" i="31" s="1"/>
  <c r="CR64" i="29"/>
  <c r="CR62" i="31"/>
  <c r="IK93" i="29"/>
  <c r="IK94" i="31"/>
  <c r="DF147" i="29"/>
  <c r="DF151" i="31" s="1"/>
  <c r="DF149" i="31"/>
  <c r="BA64" i="29"/>
  <c r="BA62" i="31"/>
  <c r="Z64" i="29"/>
  <c r="Z62" i="31"/>
  <c r="U64" i="29"/>
  <c r="U62" i="31"/>
  <c r="BH64" i="29"/>
  <c r="BH62" i="31"/>
  <c r="AQ66" i="29"/>
  <c r="AQ70" i="31" s="1"/>
  <c r="AQ61" i="31"/>
  <c r="IX93" i="29"/>
  <c r="IX94" i="31"/>
  <c r="O64" i="29"/>
  <c r="O62" i="31"/>
  <c r="DU66" i="29"/>
  <c r="DU70" i="31" s="1"/>
  <c r="DU61" i="31"/>
  <c r="X64" i="29"/>
  <c r="X62" i="31"/>
  <c r="CY64" i="29"/>
  <c r="CY62" i="31"/>
  <c r="F61" i="31"/>
  <c r="HO93" i="29"/>
  <c r="HO94" i="31"/>
  <c r="CE64" i="29"/>
  <c r="CE62" i="31"/>
  <c r="DH64" i="29"/>
  <c r="DH62" i="31"/>
  <c r="HW93" i="29"/>
  <c r="HW94" i="31"/>
  <c r="EK64" i="29"/>
  <c r="EK62" i="31"/>
  <c r="BL60" i="31"/>
  <c r="BL57" i="29"/>
  <c r="BL61" i="31" s="1"/>
  <c r="BL58" i="29"/>
  <c r="DF64" i="29"/>
  <c r="DF62" i="31"/>
  <c r="EI66" i="29"/>
  <c r="EI70" i="31" s="1"/>
  <c r="EI61" i="31"/>
  <c r="BJ64" i="29"/>
  <c r="BJ62" i="31"/>
  <c r="AA64" i="29"/>
  <c r="AA62" i="31"/>
  <c r="BE66" i="29"/>
  <c r="BE70" i="31" s="1"/>
  <c r="BE61" i="31"/>
  <c r="IS93" i="29"/>
  <c r="IS94" i="31"/>
  <c r="CU66" i="29"/>
  <c r="CU70" i="31" s="1"/>
  <c r="CU61" i="31"/>
  <c r="IY93" i="29"/>
  <c r="IY94" i="31"/>
  <c r="HG83" i="29"/>
  <c r="HG86" i="31"/>
  <c r="GQ83" i="29"/>
  <c r="GQ86" i="31"/>
  <c r="FS83" i="29"/>
  <c r="FS86" i="31"/>
  <c r="GS83" i="29"/>
  <c r="GS86" i="31"/>
  <c r="FH83" i="29"/>
  <c r="FH86" i="31"/>
  <c r="HA83" i="29"/>
  <c r="HA86" i="31"/>
  <c r="GN83" i="29"/>
  <c r="GN86" i="31"/>
  <c r="EV83" i="29"/>
  <c r="EV86" i="31"/>
  <c r="FG83" i="29"/>
  <c r="FG86" i="31"/>
  <c r="FB83" i="29"/>
  <c r="FB86" i="31"/>
  <c r="GK83" i="29"/>
  <c r="GK86" i="31"/>
  <c r="FU83" i="29"/>
  <c r="FU86" i="31"/>
  <c r="GR83" i="29"/>
  <c r="GR86" i="31"/>
  <c r="GB83" i="29"/>
  <c r="GB86" i="31"/>
  <c r="FF83" i="29"/>
  <c r="FF86" i="31"/>
  <c r="GF83" i="29"/>
  <c r="GF86" i="31"/>
  <c r="GL83" i="29"/>
  <c r="GL86" i="31"/>
  <c r="DG60" i="31"/>
  <c r="DG58" i="29"/>
  <c r="DG57" i="29"/>
  <c r="CS64" i="29"/>
  <c r="CS62" i="31"/>
  <c r="EH66" i="29"/>
  <c r="EH70" i="31" s="1"/>
  <c r="EH61" i="31"/>
  <c r="IH93" i="29"/>
  <c r="IH94" i="31"/>
  <c r="JE93" i="29"/>
  <c r="JE94" i="31"/>
  <c r="AJ60" i="31"/>
  <c r="AJ57" i="29"/>
  <c r="AJ58" i="29"/>
  <c r="DJ64" i="29"/>
  <c r="DJ62" i="31"/>
  <c r="BD66" i="29"/>
  <c r="BD70" i="31" s="1"/>
  <c r="BD61" i="31"/>
  <c r="I66" i="29"/>
  <c r="I70" i="31" s="1"/>
  <c r="I61" i="31"/>
  <c r="IV93" i="29"/>
  <c r="IV94" i="31"/>
  <c r="HY93" i="29"/>
  <c r="HY94" i="31"/>
  <c r="AZ64" i="29"/>
  <c r="AZ62" i="31"/>
  <c r="BG147" i="29"/>
  <c r="BG151" i="31" s="1"/>
  <c r="BG149" i="31"/>
  <c r="JP9" i="31"/>
  <c r="DA64" i="29"/>
  <c r="DA62" i="31"/>
  <c r="Y66" i="29"/>
  <c r="Y70" i="31" s="1"/>
  <c r="Y61" i="31"/>
  <c r="L64" i="29"/>
  <c r="L62" i="31"/>
  <c r="AW66" i="29"/>
  <c r="AW70" i="31" s="1"/>
  <c r="AW61" i="31"/>
  <c r="HP93" i="29"/>
  <c r="HP94" i="31"/>
  <c r="HV93" i="29"/>
  <c r="HV94" i="31"/>
  <c r="BU64" i="29"/>
  <c r="BU62" i="31"/>
  <c r="ED64" i="29"/>
  <c r="ED62" i="31"/>
  <c r="AE64" i="29"/>
  <c r="AE62" i="31"/>
  <c r="DN64" i="29"/>
  <c r="DN62" i="31"/>
  <c r="AD64" i="29"/>
  <c r="AD62" i="31"/>
  <c r="CL64" i="29"/>
  <c r="CL62" i="31"/>
  <c r="EG60" i="31"/>
  <c r="EG57" i="29"/>
  <c r="EG61" i="31" s="1"/>
  <c r="EG58" i="29"/>
  <c r="BK64" i="29"/>
  <c r="BK62" i="31"/>
  <c r="DP64" i="29"/>
  <c r="DP62" i="31"/>
  <c r="CD64" i="29"/>
  <c r="CD62" i="31"/>
  <c r="N64" i="29"/>
  <c r="N62" i="31"/>
  <c r="AY66" i="29"/>
  <c r="AY70" i="31" s="1"/>
  <c r="AY61" i="31"/>
  <c r="CC64" i="29"/>
  <c r="CC62" i="31"/>
  <c r="DV64" i="29"/>
  <c r="DV62" i="31"/>
  <c r="R64" i="29"/>
  <c r="R62" i="31"/>
  <c r="DB66" i="29"/>
  <c r="DB70" i="31" s="1"/>
  <c r="DB61" i="31"/>
  <c r="M64" i="29"/>
  <c r="M62" i="31"/>
  <c r="JF93" i="29"/>
  <c r="JF94" i="31"/>
  <c r="ET94" i="31"/>
  <c r="ET93" i="29"/>
  <c r="BY64" i="29"/>
  <c r="BY62" i="31"/>
  <c r="CW64" i="29"/>
  <c r="CW62" i="31"/>
  <c r="IA93" i="29"/>
  <c r="IA94" i="31"/>
  <c r="IF93" i="29"/>
  <c r="IF94" i="31"/>
  <c r="Q64" i="29"/>
  <c r="Q62" i="31"/>
  <c r="X66" i="29"/>
  <c r="X70" i="31" s="1"/>
  <c r="X61" i="31"/>
  <c r="AT64" i="29"/>
  <c r="AT62" i="31"/>
  <c r="JC93" i="29"/>
  <c r="JC94" i="31"/>
  <c r="V66" i="29"/>
  <c r="V70" i="31" s="1"/>
  <c r="V61" i="31"/>
  <c r="AI60" i="31"/>
  <c r="AI57" i="29"/>
  <c r="AI58" i="29"/>
  <c r="BT64" i="29"/>
  <c r="BT62" i="31"/>
  <c r="AR64" i="29"/>
  <c r="AR62" i="31"/>
  <c r="II93" i="29"/>
  <c r="II94" i="31"/>
  <c r="HN93" i="29"/>
  <c r="HN94" i="31"/>
  <c r="DH66" i="29"/>
  <c r="DH70" i="31" s="1"/>
  <c r="DH61" i="31"/>
  <c r="DK64" i="29"/>
  <c r="DK62" i="31"/>
  <c r="CU64" i="29"/>
  <c r="CU62" i="31"/>
  <c r="FY83" i="29"/>
  <c r="FY86" i="31"/>
  <c r="GE83" i="29"/>
  <c r="GE86" i="31"/>
  <c r="HD83" i="29"/>
  <c r="HD86" i="31"/>
  <c r="EW83" i="29"/>
  <c r="EW86" i="31"/>
  <c r="HH83" i="29"/>
  <c r="HH86" i="31"/>
  <c r="FJ83" i="29"/>
  <c r="FJ86" i="31"/>
  <c r="FV83" i="29"/>
  <c r="FV86" i="31"/>
  <c r="FX83" i="29"/>
  <c r="FX86" i="31"/>
  <c r="HK83" i="29"/>
  <c r="HK86" i="31"/>
  <c r="EY83" i="29"/>
  <c r="EY86" i="31"/>
  <c r="FZ83" i="29"/>
  <c r="FZ86" i="31"/>
  <c r="GW83" i="29"/>
  <c r="GW86" i="31"/>
  <c r="FI83" i="29"/>
  <c r="FI86" i="31"/>
  <c r="GP83" i="29"/>
  <c r="GP86" i="31"/>
  <c r="FC83" i="29"/>
  <c r="FC86" i="31"/>
  <c r="FE83" i="29"/>
  <c r="FE86" i="31"/>
  <c r="FN83" i="29"/>
  <c r="FN86" i="31"/>
  <c r="CG64" i="29"/>
  <c r="CG62" i="31"/>
  <c r="EH64" i="29"/>
  <c r="EH62" i="31"/>
  <c r="CX66" i="29"/>
  <c r="CX70" i="31" s="1"/>
  <c r="CX61" i="31"/>
  <c r="AN62" i="31"/>
  <c r="AN64" i="29"/>
  <c r="BR64" i="29"/>
  <c r="BR62" i="31"/>
  <c r="DE64" i="29"/>
  <c r="DE62" i="31"/>
  <c r="EM64" i="29"/>
  <c r="EM62" i="31"/>
  <c r="HQ93" i="29"/>
  <c r="HQ94" i="31"/>
  <c r="CZ66" i="29"/>
  <c r="CZ70" i="31" s="1"/>
  <c r="CZ61" i="31"/>
  <c r="IC93" i="29"/>
  <c r="IC94" i="31"/>
  <c r="I64" i="29"/>
  <c r="I62" i="31"/>
  <c r="CT64" i="29"/>
  <c r="CT62" i="31"/>
  <c r="EU93" i="29"/>
  <c r="EU94" i="31"/>
  <c r="EO64" i="29"/>
  <c r="EO62" i="31"/>
  <c r="AW64" i="29"/>
  <c r="AW62" i="31"/>
  <c r="AF66" i="29"/>
  <c r="AF70" i="31" s="1"/>
  <c r="AF61" i="31"/>
  <c r="DR60" i="31"/>
  <c r="DR58" i="29"/>
  <c r="DR57" i="29"/>
  <c r="CJ64" i="29"/>
  <c r="CJ62" i="31"/>
  <c r="IU93" i="29"/>
  <c r="IU94" i="31"/>
  <c r="K60" i="31"/>
  <c r="K58" i="29"/>
  <c r="K57" i="29"/>
  <c r="BN66" i="29"/>
  <c r="BN70" i="31" s="1"/>
  <c r="BN61" i="31"/>
  <c r="JH93" i="29"/>
  <c r="JH94" i="31"/>
  <c r="EC64" i="29"/>
  <c r="EC62" i="31"/>
  <c r="DY64" i="29"/>
  <c r="DY62" i="31"/>
  <c r="DL62" i="31"/>
  <c r="DL64" i="29"/>
  <c r="IL93" i="29"/>
  <c r="IL94" i="31"/>
  <c r="DN66" i="29"/>
  <c r="DN70" i="31" s="1"/>
  <c r="DN61" i="31"/>
  <c r="CL66" i="29"/>
  <c r="CL70" i="31" s="1"/>
  <c r="CL61" i="31"/>
  <c r="DT60" i="31"/>
  <c r="DT57" i="29"/>
  <c r="DT58" i="29"/>
  <c r="DX64" i="29"/>
  <c r="DX62" i="31"/>
  <c r="EL66" i="29"/>
  <c r="EL70" i="31" s="1"/>
  <c r="EL61" i="31"/>
  <c r="DP66" i="29"/>
  <c r="DP70" i="31" s="1"/>
  <c r="DP61" i="31"/>
  <c r="JO57" i="29"/>
  <c r="HL61" i="31"/>
  <c r="JO61" i="31" s="1"/>
  <c r="HM93" i="29"/>
  <c r="HM94" i="31"/>
  <c r="EA64" i="29"/>
  <c r="EA62" i="31"/>
  <c r="P64" i="29"/>
  <c r="P62" i="31"/>
  <c r="DV66" i="29"/>
  <c r="DV70" i="31" s="1"/>
  <c r="DV61" i="31"/>
  <c r="G64" i="29"/>
  <c r="G62" i="31"/>
  <c r="J60" i="31"/>
  <c r="J58" i="29"/>
  <c r="J57" i="29"/>
  <c r="DB64" i="29"/>
  <c r="DB62" i="31"/>
  <c r="JN60" i="31"/>
  <c r="JD93" i="29"/>
  <c r="JD94" i="31"/>
  <c r="JB147" i="29"/>
  <c r="JB151" i="31" s="1"/>
  <c r="JB149" i="31"/>
  <c r="AG66" i="29"/>
  <c r="AG70" i="31" s="1"/>
  <c r="AG61" i="31"/>
  <c r="BQ60" i="31"/>
  <c r="BQ58" i="29"/>
  <c r="BQ57" i="29"/>
  <c r="CO64" i="29"/>
  <c r="CO62" i="31"/>
  <c r="E64" i="29"/>
  <c r="E62" i="31"/>
  <c r="JB93" i="29"/>
  <c r="JB94" i="31"/>
  <c r="BG64" i="29"/>
  <c r="BG62" i="31"/>
  <c r="Q66" i="29"/>
  <c r="Q70" i="31" s="1"/>
  <c r="Q61" i="31"/>
  <c r="F62" i="31"/>
  <c r="F64" i="29"/>
  <c r="V64" i="29"/>
  <c r="V62" i="31"/>
  <c r="S66" i="29"/>
  <c r="S70" i="31" s="1"/>
  <c r="S61" i="31"/>
  <c r="AL64" i="29"/>
  <c r="AL62" i="31"/>
  <c r="JP103" i="31"/>
  <c r="EJ64" i="29"/>
  <c r="EJ62" i="31"/>
  <c r="AR66" i="29"/>
  <c r="AR70" i="31" s="1"/>
  <c r="AR61" i="31"/>
  <c r="JG93" i="29"/>
  <c r="JG94" i="31"/>
  <c r="DK66" i="29"/>
  <c r="DK70" i="31" s="1"/>
  <c r="DK61" i="31"/>
  <c r="AO66" i="29"/>
  <c r="AO70" i="31" s="1"/>
  <c r="AO61" i="31"/>
  <c r="IM93" i="29"/>
  <c r="IM94" i="31"/>
  <c r="HS93" i="29"/>
  <c r="HS94" i="31"/>
  <c r="BE64" i="29"/>
  <c r="BE62" i="31"/>
  <c r="EB66" i="29"/>
  <c r="EB70" i="31" s="1"/>
  <c r="EB61" i="31"/>
  <c r="IP93" i="29"/>
  <c r="IP94" i="31"/>
  <c r="CV60" i="31"/>
  <c r="CV58" i="29"/>
  <c r="CV57" i="29"/>
  <c r="AU64" i="29"/>
  <c r="AU62" i="31"/>
  <c r="AO64" i="29"/>
  <c r="AO62" i="31"/>
  <c r="DS60" i="31"/>
  <c r="DS58" i="29"/>
  <c r="DS57" i="29"/>
  <c r="DS61" i="31" s="1"/>
  <c r="CQ66" i="29"/>
  <c r="CQ70" i="31" s="1"/>
  <c r="CQ61" i="31"/>
  <c r="AV64" i="29"/>
  <c r="AV62" i="31"/>
  <c r="BP64" i="29"/>
  <c r="BP62" i="31"/>
  <c r="EB64" i="29"/>
  <c r="EB62" i="31"/>
  <c r="DQ64" i="29"/>
  <c r="DQ62" i="31"/>
  <c r="CN64" i="29"/>
  <c r="CN62" i="31"/>
  <c r="CK64" i="29"/>
  <c r="CK62" i="31"/>
  <c r="FA83" i="29"/>
  <c r="FA86" i="31"/>
  <c r="HJ83" i="29"/>
  <c r="HJ86" i="31"/>
  <c r="GU83" i="29"/>
  <c r="GU86" i="31"/>
  <c r="GJ83" i="29"/>
  <c r="GJ86" i="31"/>
  <c r="FD83" i="29"/>
  <c r="FD86" i="31"/>
  <c r="GA83" i="29"/>
  <c r="GA86" i="31"/>
  <c r="HF83" i="29"/>
  <c r="HF86" i="31"/>
  <c r="GG83" i="29"/>
  <c r="GG86" i="31"/>
  <c r="FT83" i="29"/>
  <c r="FT86" i="31"/>
  <c r="HB83" i="29"/>
  <c r="HB86" i="31"/>
  <c r="EX83" i="29"/>
  <c r="EX86" i="31"/>
  <c r="GO83" i="29"/>
  <c r="GO86" i="31"/>
  <c r="HC83" i="29"/>
  <c r="HC86" i="31"/>
  <c r="GC83" i="29"/>
  <c r="GC86" i="31"/>
  <c r="GI83" i="29"/>
  <c r="GI86" i="31"/>
  <c r="GX83" i="29"/>
  <c r="GX86" i="31"/>
  <c r="GM83" i="29"/>
  <c r="GM86" i="31"/>
  <c r="BI64" i="29"/>
  <c r="BI62" i="31"/>
  <c r="IW93" i="29"/>
  <c r="IW94" i="31"/>
  <c r="CP64" i="29"/>
  <c r="CP62" i="31"/>
  <c r="DZ60" i="31"/>
  <c r="DZ57" i="29"/>
  <c r="DZ61" i="31" s="1"/>
  <c r="DZ58" i="29"/>
  <c r="CX64" i="29"/>
  <c r="CX62" i="31"/>
  <c r="BR66" i="29"/>
  <c r="BR70" i="31" s="1"/>
  <c r="BR61" i="31"/>
  <c r="CZ64" i="29"/>
  <c r="CZ62" i="31"/>
  <c r="DA147" i="29"/>
  <c r="DA151" i="31" s="1"/>
  <c r="DA149" i="31"/>
  <c r="AH64" i="29"/>
  <c r="AH62" i="31"/>
  <c r="AP60" i="31"/>
  <c r="AP58" i="29"/>
  <c r="AP57" i="29"/>
  <c r="BF64" i="29"/>
  <c r="BF62" i="31"/>
  <c r="AB64" i="29"/>
  <c r="AB62" i="31"/>
  <c r="EN62" i="31"/>
  <c r="EN64" i="29"/>
  <c r="BO64" i="29"/>
  <c r="BO62" i="31"/>
  <c r="DD64" i="29"/>
  <c r="DD62" i="31"/>
  <c r="D64" i="29"/>
  <c r="D62" i="31"/>
  <c r="EO66" i="29"/>
  <c r="EO70" i="31" s="1"/>
  <c r="EO61" i="31"/>
  <c r="IE93" i="29"/>
  <c r="IE94" i="31"/>
  <c r="AF64" i="29"/>
  <c r="AF62" i="31"/>
  <c r="EP64" i="29"/>
  <c r="EP62" i="31"/>
  <c r="EQ60" i="31"/>
  <c r="EQ57" i="29"/>
  <c r="EQ61" i="31" s="1"/>
  <c r="EQ58" i="29"/>
  <c r="IQ93" i="29"/>
  <c r="IQ94" i="31"/>
  <c r="AX64" i="29"/>
  <c r="AX62" i="31"/>
  <c r="BN64" i="29"/>
  <c r="BN62" i="31"/>
  <c r="DC66" i="29"/>
  <c r="DC70" i="31" s="1"/>
  <c r="DC61" i="31"/>
  <c r="AK66" i="29"/>
  <c r="AK70" i="31" s="1"/>
  <c r="AK61" i="31"/>
  <c r="IT93" i="29"/>
  <c r="IT94" i="31"/>
  <c r="CI64" i="29"/>
  <c r="CI62" i="31"/>
  <c r="EF66" i="29"/>
  <c r="EF70" i="31" s="1"/>
  <c r="EF61" i="31"/>
  <c r="EL64" i="29"/>
  <c r="EL62" i="31"/>
  <c r="AM66" i="29"/>
  <c r="AM70" i="31" s="1"/>
  <c r="AM61" i="31"/>
  <c r="IR93" i="29"/>
  <c r="IR94" i="31"/>
  <c r="JO60" i="31"/>
  <c r="DM64" i="29"/>
  <c r="DM62" i="31"/>
  <c r="BX64" i="29"/>
  <c r="BX62" i="31"/>
  <c r="BS64" i="29"/>
  <c r="BS62" i="31"/>
  <c r="BB64" i="29"/>
  <c r="BB62" i="31"/>
  <c r="P66" i="29"/>
  <c r="P70" i="31" s="1"/>
  <c r="P61" i="31"/>
  <c r="EE66" i="29"/>
  <c r="EE70" i="31" s="1"/>
  <c r="EE61" i="31"/>
  <c r="G66" i="29"/>
  <c r="G70" i="31" s="1"/>
  <c r="G61" i="31"/>
  <c r="DW60" i="31"/>
  <c r="DW57" i="29"/>
  <c r="DW58" i="29"/>
  <c r="ES64" i="29"/>
  <c r="ES62" i="31"/>
  <c r="JN58" i="29"/>
  <c r="ET62" i="31"/>
  <c r="JN62" i="31" s="1"/>
  <c r="CR66" i="29"/>
  <c r="CR70" i="31" s="1"/>
  <c r="CR61" i="31"/>
  <c r="ID93" i="29"/>
  <c r="ID94" i="31"/>
  <c r="CF64" i="29"/>
  <c r="CF62" i="31"/>
  <c r="AG64" i="29"/>
  <c r="AG62" i="31"/>
  <c r="U66" i="29"/>
  <c r="U70" i="31" s="1"/>
  <c r="U61" i="31"/>
  <c r="IZ93" i="29"/>
  <c r="IZ94" i="31"/>
  <c r="AQ64" i="29"/>
  <c r="AQ62" i="31"/>
  <c r="E66" i="29"/>
  <c r="E70" i="31" s="1"/>
  <c r="E61" i="31"/>
  <c r="JL61" i="31" s="1"/>
  <c r="O66" i="29"/>
  <c r="O70" i="31" s="1"/>
  <c r="O61" i="31"/>
  <c r="DU64" i="29"/>
  <c r="DU62" i="31"/>
  <c r="HT93" i="29"/>
  <c r="HT94" i="31"/>
  <c r="IB93" i="29"/>
  <c r="IB94" i="31"/>
  <c r="JM56" i="29"/>
  <c r="JP56" i="29" s="1"/>
  <c r="BV60" i="31"/>
  <c r="BV58" i="29"/>
  <c r="BV57" i="29"/>
  <c r="H64" i="29"/>
  <c r="H62" i="31"/>
  <c r="S64" i="29"/>
  <c r="S62" i="31"/>
  <c r="HU93" i="29"/>
  <c r="HU94" i="31"/>
  <c r="HX93" i="29"/>
  <c r="HX94" i="31"/>
  <c r="CM64" i="29"/>
  <c r="CM62" i="31"/>
  <c r="IN93" i="29"/>
  <c r="IN94" i="31"/>
  <c r="JD147" i="29"/>
  <c r="JD151" i="31" s="1"/>
  <c r="JD149" i="31"/>
  <c r="C65" i="29"/>
  <c r="C69" i="31" s="1"/>
  <c r="EA180" i="29"/>
  <c r="EA174" i="29"/>
  <c r="EA181" i="29"/>
  <c r="AC152" i="31" l="1"/>
  <c r="AC163" i="29"/>
  <c r="AC154" i="29"/>
  <c r="AC164" i="29" s="1"/>
  <c r="AC168" i="31" s="1"/>
  <c r="AC169" i="29"/>
  <c r="AC110" i="29" s="1"/>
  <c r="AC151" i="29"/>
  <c r="AC155" i="29"/>
  <c r="JL64" i="29"/>
  <c r="AC107" i="31"/>
  <c r="AC105" i="29"/>
  <c r="AC109" i="31" s="1"/>
  <c r="AC104" i="29"/>
  <c r="AC108" i="31" s="1"/>
  <c r="AC120" i="31"/>
  <c r="AC117" i="29"/>
  <c r="AC121" i="31" s="1"/>
  <c r="AC128" i="29"/>
  <c r="JP99" i="31"/>
  <c r="JM60" i="31"/>
  <c r="JP60" i="31" s="1"/>
  <c r="JM57" i="29"/>
  <c r="JP57" i="29" s="1"/>
  <c r="IN97" i="31"/>
  <c r="IN94" i="29"/>
  <c r="HX97" i="31"/>
  <c r="HX94" i="29"/>
  <c r="S65" i="29"/>
  <c r="S68" i="31"/>
  <c r="BV64" i="29"/>
  <c r="BV62" i="31"/>
  <c r="IB97" i="31"/>
  <c r="IB94" i="29"/>
  <c r="DU65" i="29"/>
  <c r="DU68" i="31"/>
  <c r="IZ97" i="31"/>
  <c r="IZ94" i="29"/>
  <c r="AG65" i="29"/>
  <c r="AG68" i="31"/>
  <c r="ID97" i="31"/>
  <c r="ID94" i="29"/>
  <c r="DW66" i="29"/>
  <c r="DW70" i="31" s="1"/>
  <c r="DW61" i="31"/>
  <c r="IT97" i="31"/>
  <c r="IT94" i="29"/>
  <c r="AX65" i="29"/>
  <c r="AX68" i="31"/>
  <c r="CV64" i="29"/>
  <c r="CV62" i="31"/>
  <c r="EE65" i="29"/>
  <c r="EE68" i="31"/>
  <c r="AY65" i="29"/>
  <c r="AY68" i="31"/>
  <c r="BB68" i="31"/>
  <c r="BB65" i="29"/>
  <c r="BX65" i="29"/>
  <c r="BX68" i="31"/>
  <c r="AF65" i="29"/>
  <c r="AF68" i="31"/>
  <c r="DD68" i="31"/>
  <c r="DD65" i="29"/>
  <c r="BF65" i="29"/>
  <c r="BF68" i="31"/>
  <c r="IW97" i="31"/>
  <c r="IW94" i="29"/>
  <c r="GM87" i="31"/>
  <c r="GM175" i="31" s="1"/>
  <c r="GM171" i="29"/>
  <c r="GM85" i="29"/>
  <c r="GI87" i="31"/>
  <c r="GI175" i="31" s="1"/>
  <c r="GI85" i="29"/>
  <c r="GI171" i="29"/>
  <c r="HC87" i="31"/>
  <c r="HC175" i="31" s="1"/>
  <c r="HC85" i="29"/>
  <c r="HC171" i="29"/>
  <c r="EX87" i="31"/>
  <c r="EX175" i="31" s="1"/>
  <c r="EX85" i="29"/>
  <c r="EX171" i="29"/>
  <c r="FT87" i="31"/>
  <c r="FT175" i="31" s="1"/>
  <c r="FT171" i="29"/>
  <c r="FT85" i="29"/>
  <c r="HF87" i="31"/>
  <c r="HF175" i="31" s="1"/>
  <c r="HF85" i="29"/>
  <c r="HF171" i="29"/>
  <c r="FD87" i="31"/>
  <c r="FD175" i="31" s="1"/>
  <c r="FD171" i="29"/>
  <c r="FD85" i="29"/>
  <c r="GU87" i="31"/>
  <c r="GU175" i="31" s="1"/>
  <c r="GU171" i="29"/>
  <c r="GU85" i="29"/>
  <c r="FA87" i="31"/>
  <c r="FA175" i="31" s="1"/>
  <c r="FA171" i="29"/>
  <c r="FA85" i="29"/>
  <c r="CN65" i="29"/>
  <c r="CN68" i="31"/>
  <c r="EB65" i="29"/>
  <c r="EB68" i="31"/>
  <c r="AV65" i="29"/>
  <c r="AV68" i="31"/>
  <c r="DS64" i="29"/>
  <c r="DS62" i="31"/>
  <c r="BG65" i="29"/>
  <c r="BG68" i="31"/>
  <c r="E65" i="29"/>
  <c r="E68" i="31"/>
  <c r="BQ64" i="29"/>
  <c r="BQ62" i="31"/>
  <c r="J64" i="29"/>
  <c r="J62" i="31"/>
  <c r="JI58" i="29"/>
  <c r="JI62" i="31" s="1"/>
  <c r="DT64" i="29"/>
  <c r="DT62" i="31"/>
  <c r="IL97" i="31"/>
  <c r="IL94" i="29"/>
  <c r="DY65" i="29"/>
  <c r="DY68" i="31"/>
  <c r="JH97" i="31"/>
  <c r="JH94" i="29"/>
  <c r="K64" i="29"/>
  <c r="K62" i="31"/>
  <c r="AW65" i="29"/>
  <c r="AW68" i="31"/>
  <c r="EU97" i="31"/>
  <c r="EU94" i="29"/>
  <c r="I65" i="29"/>
  <c r="I68" i="31"/>
  <c r="EM65" i="29"/>
  <c r="EM68" i="31"/>
  <c r="BR68" i="31"/>
  <c r="BR65" i="29"/>
  <c r="CG65" i="29"/>
  <c r="CG68" i="31"/>
  <c r="FE87" i="31"/>
  <c r="FE175" i="31" s="1"/>
  <c r="FE85" i="29"/>
  <c r="FE171" i="29"/>
  <c r="GP87" i="31"/>
  <c r="GP175" i="31" s="1"/>
  <c r="GP85" i="29"/>
  <c r="GP171" i="29"/>
  <c r="GW87" i="31"/>
  <c r="GW175" i="31" s="1"/>
  <c r="GW85" i="29"/>
  <c r="GW171" i="29"/>
  <c r="EY87" i="31"/>
  <c r="EY175" i="31" s="1"/>
  <c r="EY171" i="29"/>
  <c r="EY85" i="29"/>
  <c r="FX87" i="31"/>
  <c r="FX175" i="31" s="1"/>
  <c r="FX85" i="29"/>
  <c r="FX171" i="29"/>
  <c r="FJ87" i="31"/>
  <c r="FJ175" i="31" s="1"/>
  <c r="FJ171" i="29"/>
  <c r="FJ85" i="29"/>
  <c r="EW87" i="31"/>
  <c r="EW175" i="31" s="1"/>
  <c r="EW171" i="29"/>
  <c r="EW85" i="29"/>
  <c r="GE87" i="31"/>
  <c r="GE175" i="31" s="1"/>
  <c r="GE171" i="29"/>
  <c r="GE85" i="29"/>
  <c r="CU65" i="29"/>
  <c r="CU68" i="31"/>
  <c r="II97" i="31"/>
  <c r="II94" i="29"/>
  <c r="BT65" i="29"/>
  <c r="BT68" i="31"/>
  <c r="IF97" i="31"/>
  <c r="IF94" i="29"/>
  <c r="CW65" i="29"/>
  <c r="CW68" i="31"/>
  <c r="M65" i="29"/>
  <c r="M68" i="31"/>
  <c r="R65" i="29"/>
  <c r="R68" i="31"/>
  <c r="CC65" i="29"/>
  <c r="CC68" i="31"/>
  <c r="N65" i="29"/>
  <c r="N68" i="31"/>
  <c r="DP65" i="29"/>
  <c r="DP68" i="31"/>
  <c r="IH97" i="31"/>
  <c r="IH94" i="29"/>
  <c r="CS65" i="29"/>
  <c r="CS68" i="31"/>
  <c r="JI147" i="29"/>
  <c r="JI151" i="31" s="1"/>
  <c r="BW64" i="29"/>
  <c r="BW62" i="31"/>
  <c r="AM65" i="29"/>
  <c r="AM68" i="31"/>
  <c r="HL97" i="31"/>
  <c r="HL94" i="29"/>
  <c r="JO93" i="29"/>
  <c r="HZ97" i="31"/>
  <c r="HZ94" i="29"/>
  <c r="BM64" i="29"/>
  <c r="BM62" i="31"/>
  <c r="DO90" i="29"/>
  <c r="DO89" i="31"/>
  <c r="CM65" i="29"/>
  <c r="CM68" i="31"/>
  <c r="HU97" i="31"/>
  <c r="HU94" i="29"/>
  <c r="H65" i="29"/>
  <c r="H68" i="31"/>
  <c r="HT97" i="31"/>
  <c r="HT94" i="29"/>
  <c r="AQ65" i="29"/>
  <c r="AQ68" i="31"/>
  <c r="CF65" i="29"/>
  <c r="CF68" i="31"/>
  <c r="ES65" i="29"/>
  <c r="ES68" i="31"/>
  <c r="IR97" i="31"/>
  <c r="IR94" i="29"/>
  <c r="EL68" i="31"/>
  <c r="EL65" i="29"/>
  <c r="CI65" i="29"/>
  <c r="CI68" i="31"/>
  <c r="BN65" i="29"/>
  <c r="BN68" i="31"/>
  <c r="IQ97" i="31"/>
  <c r="IQ94" i="29"/>
  <c r="JL62" i="31"/>
  <c r="AP66" i="29"/>
  <c r="AP70" i="31" s="1"/>
  <c r="AP61" i="31"/>
  <c r="AH65" i="29"/>
  <c r="AH68" i="31"/>
  <c r="CZ65" i="29"/>
  <c r="CZ68" i="31"/>
  <c r="CX65" i="29"/>
  <c r="CX68" i="31"/>
  <c r="AU65" i="29"/>
  <c r="AU68" i="31"/>
  <c r="HS97" i="31"/>
  <c r="HS94" i="29"/>
  <c r="JG97" i="31"/>
  <c r="JG94" i="29"/>
  <c r="EJ65" i="29"/>
  <c r="EJ68" i="31"/>
  <c r="AL65" i="29"/>
  <c r="AL68" i="31"/>
  <c r="V65" i="29"/>
  <c r="V68" i="31"/>
  <c r="EA65" i="29"/>
  <c r="EA68" i="31"/>
  <c r="DT66" i="29"/>
  <c r="DT70" i="31" s="1"/>
  <c r="DT61" i="31"/>
  <c r="DL65" i="29"/>
  <c r="DL68" i="31"/>
  <c r="CJ65" i="29"/>
  <c r="CJ68" i="31"/>
  <c r="AN65" i="29"/>
  <c r="AN68" i="31"/>
  <c r="AI64" i="29"/>
  <c r="AI62" i="31"/>
  <c r="AT65" i="29"/>
  <c r="AT68" i="31"/>
  <c r="AD68" i="31"/>
  <c r="AD65" i="29"/>
  <c r="AE65" i="29"/>
  <c r="AE68" i="31"/>
  <c r="BU65" i="29"/>
  <c r="BU68" i="31"/>
  <c r="HP97" i="31"/>
  <c r="HP94" i="29"/>
  <c r="HY97" i="31"/>
  <c r="HY94" i="29"/>
  <c r="DJ65" i="29"/>
  <c r="DJ68" i="31"/>
  <c r="DG66" i="29"/>
  <c r="DG70" i="31" s="1"/>
  <c r="DG61" i="31"/>
  <c r="GL87" i="31"/>
  <c r="GL175" i="31" s="1"/>
  <c r="GL171" i="29"/>
  <c r="GL85" i="29"/>
  <c r="FF87" i="31"/>
  <c r="FF175" i="31" s="1"/>
  <c r="FF85" i="29"/>
  <c r="FF171" i="29"/>
  <c r="GR87" i="31"/>
  <c r="GR175" i="31" s="1"/>
  <c r="GR85" i="29"/>
  <c r="GR171" i="29"/>
  <c r="GK87" i="31"/>
  <c r="GK175" i="31" s="1"/>
  <c r="GK85" i="29"/>
  <c r="GK171" i="29"/>
  <c r="FG87" i="31"/>
  <c r="FG175" i="31" s="1"/>
  <c r="FG171" i="29"/>
  <c r="FG85" i="29"/>
  <c r="GN87" i="31"/>
  <c r="GN175" i="31" s="1"/>
  <c r="GN85" i="29"/>
  <c r="GN171" i="29"/>
  <c r="FH87" i="31"/>
  <c r="FH175" i="31" s="1"/>
  <c r="FH171" i="29"/>
  <c r="FH85" i="29"/>
  <c r="FS87" i="31"/>
  <c r="FS175" i="31" s="1"/>
  <c r="FS171" i="29"/>
  <c r="FS85" i="29"/>
  <c r="HG87" i="31"/>
  <c r="HG175" i="31" s="1"/>
  <c r="HG171" i="29"/>
  <c r="HG85" i="29"/>
  <c r="BJ65" i="29"/>
  <c r="BJ68" i="31"/>
  <c r="DF65" i="29"/>
  <c r="DF68" i="31"/>
  <c r="DH65" i="29"/>
  <c r="DH68" i="31"/>
  <c r="HO97" i="31"/>
  <c r="HO94" i="29"/>
  <c r="HO111" i="29"/>
  <c r="HO115" i="31" s="1"/>
  <c r="CY65" i="29"/>
  <c r="CY68" i="31"/>
  <c r="IX97" i="31"/>
  <c r="IX94" i="29"/>
  <c r="BH65" i="29"/>
  <c r="BH68" i="31"/>
  <c r="Z65" i="29"/>
  <c r="Z68" i="31"/>
  <c r="CR65" i="29"/>
  <c r="CR68" i="31"/>
  <c r="BZ65" i="29"/>
  <c r="BZ68" i="31"/>
  <c r="DI65" i="29"/>
  <c r="DI68" i="31"/>
  <c r="JO94" i="31"/>
  <c r="CB64" i="29"/>
  <c r="CB62" i="31"/>
  <c r="HR97" i="31"/>
  <c r="HR94" i="29"/>
  <c r="AK65" i="29"/>
  <c r="AK68" i="31"/>
  <c r="IG97" i="31"/>
  <c r="IG94" i="29"/>
  <c r="Y65" i="29"/>
  <c r="Y68" i="31"/>
  <c r="ER65" i="29"/>
  <c r="ER68" i="31"/>
  <c r="IO97" i="31"/>
  <c r="IO94" i="29"/>
  <c r="BD65" i="29"/>
  <c r="BD68" i="31"/>
  <c r="CH65" i="29"/>
  <c r="CH68" i="31"/>
  <c r="JA97" i="31"/>
  <c r="JA94" i="29"/>
  <c r="GZ87" i="31"/>
  <c r="GZ175" i="31" s="1"/>
  <c r="GZ171" i="29"/>
  <c r="GZ85" i="29"/>
  <c r="FQ87" i="31"/>
  <c r="FQ175" i="31" s="1"/>
  <c r="FQ85" i="29"/>
  <c r="FQ171" i="29"/>
  <c r="HE87" i="31"/>
  <c r="HE175" i="31" s="1"/>
  <c r="HE85" i="29"/>
  <c r="HE171" i="29"/>
  <c r="HI87" i="31"/>
  <c r="HI175" i="31" s="1"/>
  <c r="HI85" i="29"/>
  <c r="HI171" i="29"/>
  <c r="GT87" i="31"/>
  <c r="GT175" i="31" s="1"/>
  <c r="GT85" i="29"/>
  <c r="GT171" i="29"/>
  <c r="EZ87" i="31"/>
  <c r="EZ175" i="31" s="1"/>
  <c r="EZ171" i="29"/>
  <c r="EZ85" i="29"/>
  <c r="FM87" i="31"/>
  <c r="FM175" i="31" s="1"/>
  <c r="FM171" i="29"/>
  <c r="FM85" i="29"/>
  <c r="GY87" i="31"/>
  <c r="GY175" i="31" s="1"/>
  <c r="GY171" i="29"/>
  <c r="GY85" i="29"/>
  <c r="BM66" i="29"/>
  <c r="BM70" i="31" s="1"/>
  <c r="BM61" i="31"/>
  <c r="BV66" i="29"/>
  <c r="BV70" i="31" s="1"/>
  <c r="BV61" i="31"/>
  <c r="DW64" i="29"/>
  <c r="DW62" i="31"/>
  <c r="BS65" i="29"/>
  <c r="BS68" i="31"/>
  <c r="DM65" i="29"/>
  <c r="DM68" i="31"/>
  <c r="EQ64" i="29"/>
  <c r="EQ62" i="31"/>
  <c r="EP68" i="31"/>
  <c r="EP65" i="29"/>
  <c r="IE97" i="31"/>
  <c r="IE94" i="29"/>
  <c r="D65" i="29"/>
  <c r="D68" i="31"/>
  <c r="JL68" i="31" s="1"/>
  <c r="BO68" i="31"/>
  <c r="BO65" i="29"/>
  <c r="AB65" i="29"/>
  <c r="AB68" i="31"/>
  <c r="AP64" i="29"/>
  <c r="AP62" i="31"/>
  <c r="DZ64" i="29"/>
  <c r="DZ62" i="31"/>
  <c r="CP65" i="29"/>
  <c r="CP68" i="31"/>
  <c r="BI65" i="29"/>
  <c r="BI68" i="31"/>
  <c r="GX87" i="31"/>
  <c r="GX175" i="31" s="1"/>
  <c r="GX171" i="29"/>
  <c r="GX85" i="29"/>
  <c r="GC87" i="31"/>
  <c r="GC175" i="31" s="1"/>
  <c r="GC85" i="29"/>
  <c r="GC171" i="29"/>
  <c r="GO87" i="31"/>
  <c r="GO175" i="31" s="1"/>
  <c r="GO85" i="29"/>
  <c r="GO171" i="29"/>
  <c r="HB87" i="31"/>
  <c r="HB175" i="31" s="1"/>
  <c r="HB85" i="29"/>
  <c r="HB171" i="29"/>
  <c r="GG87" i="31"/>
  <c r="GG175" i="31" s="1"/>
  <c r="GG85" i="29"/>
  <c r="GG171" i="29"/>
  <c r="GA87" i="31"/>
  <c r="GA175" i="31" s="1"/>
  <c r="GA171" i="29"/>
  <c r="GA85" i="29"/>
  <c r="GJ87" i="31"/>
  <c r="GJ175" i="31" s="1"/>
  <c r="GJ171" i="29"/>
  <c r="GJ85" i="29"/>
  <c r="HJ87" i="31"/>
  <c r="HJ175" i="31" s="1"/>
  <c r="HJ171" i="29"/>
  <c r="HJ85" i="29"/>
  <c r="CK65" i="29"/>
  <c r="CK68" i="31"/>
  <c r="DQ65" i="29"/>
  <c r="DQ68" i="31"/>
  <c r="BP65" i="29"/>
  <c r="BP68" i="31"/>
  <c r="CV66" i="29"/>
  <c r="CV70" i="31" s="1"/>
  <c r="CV61" i="31"/>
  <c r="F68" i="31"/>
  <c r="F65" i="29"/>
  <c r="JB97" i="31"/>
  <c r="JB94" i="29"/>
  <c r="CO65" i="29"/>
  <c r="CO68" i="31"/>
  <c r="DB65" i="29"/>
  <c r="DB68" i="31"/>
  <c r="EC65" i="29"/>
  <c r="EC68" i="31"/>
  <c r="DR66" i="29"/>
  <c r="DR70" i="31" s="1"/>
  <c r="DR61" i="31"/>
  <c r="EO68" i="31"/>
  <c r="EO65" i="29"/>
  <c r="CT65" i="29"/>
  <c r="CT68" i="31"/>
  <c r="IC97" i="31"/>
  <c r="IC94" i="29"/>
  <c r="HQ97" i="31"/>
  <c r="HQ94" i="29"/>
  <c r="DE65" i="29"/>
  <c r="DE68" i="31"/>
  <c r="EH68" i="31"/>
  <c r="EH65" i="29"/>
  <c r="FN87" i="31"/>
  <c r="FN175" i="31" s="1"/>
  <c r="FN171" i="29"/>
  <c r="FN85" i="29"/>
  <c r="FC87" i="31"/>
  <c r="FC175" i="31" s="1"/>
  <c r="FC85" i="29"/>
  <c r="FC171" i="29"/>
  <c r="FI87" i="31"/>
  <c r="FI175" i="31" s="1"/>
  <c r="FI85" i="29"/>
  <c r="FI171" i="29"/>
  <c r="FZ87" i="31"/>
  <c r="FZ175" i="31" s="1"/>
  <c r="FZ85" i="29"/>
  <c r="FZ171" i="29"/>
  <c r="HK87" i="31"/>
  <c r="HK175" i="31" s="1"/>
  <c r="HK171" i="29"/>
  <c r="HK85" i="29"/>
  <c r="FV87" i="31"/>
  <c r="FV175" i="31" s="1"/>
  <c r="FV85" i="29"/>
  <c r="FV171" i="29"/>
  <c r="HH87" i="31"/>
  <c r="HH175" i="31" s="1"/>
  <c r="HH171" i="29"/>
  <c r="HH85" i="29"/>
  <c r="HD87" i="31"/>
  <c r="HD175" i="31" s="1"/>
  <c r="HD171" i="29"/>
  <c r="HD85" i="29"/>
  <c r="FY87" i="31"/>
  <c r="FY175" i="31" s="1"/>
  <c r="FY171" i="29"/>
  <c r="FY85" i="29"/>
  <c r="DK68" i="31"/>
  <c r="DK65" i="29"/>
  <c r="HN97" i="31"/>
  <c r="HN111" i="29"/>
  <c r="HN115" i="31" s="1"/>
  <c r="HN94" i="29"/>
  <c r="AR65" i="29"/>
  <c r="AR68" i="31"/>
  <c r="AI66" i="29"/>
  <c r="AI70" i="31" s="1"/>
  <c r="AI61" i="31"/>
  <c r="Q65" i="29"/>
  <c r="Q68" i="31"/>
  <c r="IA97" i="31"/>
  <c r="IA94" i="29"/>
  <c r="BY65" i="29"/>
  <c r="BY68" i="31"/>
  <c r="JF97" i="31"/>
  <c r="JF94" i="29"/>
  <c r="DV65" i="29"/>
  <c r="DV68" i="31"/>
  <c r="CD65" i="29"/>
  <c r="CD68" i="31"/>
  <c r="BK65" i="29"/>
  <c r="BK68" i="31"/>
  <c r="L65" i="29"/>
  <c r="L68" i="31"/>
  <c r="DA65" i="29"/>
  <c r="DA68" i="31"/>
  <c r="AJ64" i="29"/>
  <c r="AJ62" i="31"/>
  <c r="JE97" i="31"/>
  <c r="JE94" i="29"/>
  <c r="DG64" i="29"/>
  <c r="DG62" i="31"/>
  <c r="BL64" i="29"/>
  <c r="BL62" i="31"/>
  <c r="EK65" i="29"/>
  <c r="EK68" i="31"/>
  <c r="EF65" i="29"/>
  <c r="EF68" i="31"/>
  <c r="AS65" i="29"/>
  <c r="AS68" i="31"/>
  <c r="CQ65" i="29"/>
  <c r="CQ68" i="31"/>
  <c r="EI65" i="29"/>
  <c r="EI68" i="31"/>
  <c r="IJ97" i="31"/>
  <c r="IJ94" i="29"/>
  <c r="EN68" i="31"/>
  <c r="EN65" i="29"/>
  <c r="AO65" i="29"/>
  <c r="AO68" i="31"/>
  <c r="IP97" i="31"/>
  <c r="IP94" i="29"/>
  <c r="BE65" i="29"/>
  <c r="BE68" i="31"/>
  <c r="IM97" i="31"/>
  <c r="IM94" i="29"/>
  <c r="JM58" i="29"/>
  <c r="JP58" i="29" s="1"/>
  <c r="BQ66" i="29"/>
  <c r="BQ70" i="31" s="1"/>
  <c r="BQ61" i="31"/>
  <c r="JD97" i="31"/>
  <c r="JD94" i="29"/>
  <c r="J61" i="31"/>
  <c r="JI57" i="29"/>
  <c r="JI61" i="31" s="1"/>
  <c r="G65" i="29"/>
  <c r="G68" i="31"/>
  <c r="P65" i="29"/>
  <c r="P68" i="31"/>
  <c r="HM97" i="31"/>
  <c r="HM94" i="29"/>
  <c r="DX65" i="29"/>
  <c r="DX68" i="31"/>
  <c r="K66" i="29"/>
  <c r="K70" i="31" s="1"/>
  <c r="K61" i="31"/>
  <c r="IU97" i="31"/>
  <c r="IU94" i="29"/>
  <c r="DR64" i="29"/>
  <c r="DR62" i="31"/>
  <c r="JC97" i="31"/>
  <c r="JC94" i="29"/>
  <c r="ET97" i="31"/>
  <c r="ET94" i="29"/>
  <c r="EG64" i="29"/>
  <c r="EG62" i="31"/>
  <c r="CL65" i="29"/>
  <c r="CL68" i="31"/>
  <c r="DN68" i="31"/>
  <c r="DN65" i="29"/>
  <c r="ED68" i="31"/>
  <c r="ED65" i="29"/>
  <c r="HV97" i="31"/>
  <c r="HV94" i="29"/>
  <c r="AZ65" i="29"/>
  <c r="AZ68" i="31"/>
  <c r="IV97" i="31"/>
  <c r="IV94" i="29"/>
  <c r="AJ66" i="29"/>
  <c r="AJ70" i="31" s="1"/>
  <c r="AJ61" i="31"/>
  <c r="GF87" i="31"/>
  <c r="GF175" i="31" s="1"/>
  <c r="GF171" i="29"/>
  <c r="GF85" i="29"/>
  <c r="GB87" i="31"/>
  <c r="GB175" i="31" s="1"/>
  <c r="GB85" i="29"/>
  <c r="GB171" i="29"/>
  <c r="FU87" i="31"/>
  <c r="FU175" i="31" s="1"/>
  <c r="FU85" i="29"/>
  <c r="FU171" i="29"/>
  <c r="FB87" i="31"/>
  <c r="FB175" i="31" s="1"/>
  <c r="FB85" i="29"/>
  <c r="FB171" i="29"/>
  <c r="EV87" i="31"/>
  <c r="JN83" i="29"/>
  <c r="EV85" i="29"/>
  <c r="EV171" i="29"/>
  <c r="HA87" i="31"/>
  <c r="HA175" i="31" s="1"/>
  <c r="HA85" i="29"/>
  <c r="HA171" i="29"/>
  <c r="GS87" i="31"/>
  <c r="GS175" i="31" s="1"/>
  <c r="GS171" i="29"/>
  <c r="GS85" i="29"/>
  <c r="GQ87" i="31"/>
  <c r="GQ175" i="31" s="1"/>
  <c r="GQ171" i="29"/>
  <c r="GQ85" i="29"/>
  <c r="IY97" i="31"/>
  <c r="IY94" i="29"/>
  <c r="IS97" i="31"/>
  <c r="IS94" i="29"/>
  <c r="AA68" i="31"/>
  <c r="AA65" i="29"/>
  <c r="HW97" i="31"/>
  <c r="HW94" i="29"/>
  <c r="CE65" i="29"/>
  <c r="CE68" i="31"/>
  <c r="X65" i="29"/>
  <c r="X68" i="31"/>
  <c r="O65" i="29"/>
  <c r="O68" i="31"/>
  <c r="U65" i="29"/>
  <c r="U68" i="31"/>
  <c r="BA65" i="29"/>
  <c r="BA68" i="31"/>
  <c r="IK97" i="31"/>
  <c r="IK111" i="29"/>
  <c r="IK115" i="31" s="1"/>
  <c r="IK94" i="29"/>
  <c r="W65" i="29"/>
  <c r="W68" i="31"/>
  <c r="DC68" i="31"/>
  <c r="DC65" i="29"/>
  <c r="BC65" i="29"/>
  <c r="BC68" i="31"/>
  <c r="T65" i="29"/>
  <c r="T68" i="31"/>
  <c r="FR87" i="31"/>
  <c r="FR175" i="31" s="1"/>
  <c r="FR171" i="29"/>
  <c r="FR85" i="29"/>
  <c r="GH87" i="31"/>
  <c r="GH175" i="31" s="1"/>
  <c r="GH85" i="29"/>
  <c r="GH171" i="29"/>
  <c r="GV87" i="31"/>
  <c r="GV175" i="31" s="1"/>
  <c r="GV85" i="29"/>
  <c r="GV171" i="29"/>
  <c r="FP87" i="31"/>
  <c r="FP175" i="31" s="1"/>
  <c r="FP85" i="29"/>
  <c r="FP171" i="29"/>
  <c r="FW87" i="31"/>
  <c r="FW175" i="31" s="1"/>
  <c r="FW171" i="29"/>
  <c r="FW85" i="29"/>
  <c r="GD87" i="31"/>
  <c r="GD175" i="31" s="1"/>
  <c r="GD85" i="29"/>
  <c r="GD171" i="29"/>
  <c r="FL87" i="31"/>
  <c r="FL175" i="31" s="1"/>
  <c r="FL171" i="29"/>
  <c r="FL85" i="29"/>
  <c r="FO87" i="31"/>
  <c r="FO175" i="31" s="1"/>
  <c r="FO171" i="29"/>
  <c r="FO85" i="29"/>
  <c r="FK87" i="31"/>
  <c r="FK175" i="31" s="1"/>
  <c r="FK171" i="29"/>
  <c r="FK85" i="29"/>
  <c r="C82" i="29"/>
  <c r="AC159" i="31" l="1"/>
  <c r="AC178" i="31" s="1"/>
  <c r="AC158" i="29"/>
  <c r="AC181" i="29"/>
  <c r="WC44" i="1"/>
  <c r="AC183" i="29"/>
  <c r="AC153" i="29"/>
  <c r="AC174" i="29"/>
  <c r="AC180" i="29"/>
  <c r="AC156" i="29"/>
  <c r="AC187" i="29"/>
  <c r="AC129" i="29"/>
  <c r="AC133" i="31" s="1"/>
  <c r="AC132" i="31"/>
  <c r="AC155" i="31"/>
  <c r="AC152" i="29"/>
  <c r="AC156" i="31" s="1"/>
  <c r="AC167" i="31"/>
  <c r="AC165" i="29"/>
  <c r="AC169" i="31" s="1"/>
  <c r="AC170" i="29"/>
  <c r="AC172" i="29" s="1"/>
  <c r="AC173" i="31"/>
  <c r="AC114" i="31" s="1"/>
  <c r="JL65" i="29"/>
  <c r="JM64" i="29"/>
  <c r="JP64" i="29" s="1"/>
  <c r="JM61" i="31"/>
  <c r="JP61" i="31" s="1"/>
  <c r="JM62" i="31"/>
  <c r="JP62" i="31" s="1"/>
  <c r="C83" i="29"/>
  <c r="C87" i="31" s="1"/>
  <c r="C86" i="31"/>
  <c r="FK90" i="29"/>
  <c r="FK89" i="31"/>
  <c r="FW90" i="29"/>
  <c r="FW89" i="31"/>
  <c r="FP90" i="29"/>
  <c r="FP89" i="31"/>
  <c r="FR90" i="29"/>
  <c r="FR89" i="31"/>
  <c r="T85" i="29"/>
  <c r="T69" i="31"/>
  <c r="CE85" i="29"/>
  <c r="CE69" i="31"/>
  <c r="IY98" i="31"/>
  <c r="IY100" i="29"/>
  <c r="IY104" i="31" s="1"/>
  <c r="IY102" i="29"/>
  <c r="IY96" i="29"/>
  <c r="IY100" i="31" s="1"/>
  <c r="EV90" i="29"/>
  <c r="EV89" i="31"/>
  <c r="FB90" i="29"/>
  <c r="FB89" i="31"/>
  <c r="GF90" i="29"/>
  <c r="GF89" i="31"/>
  <c r="ED85" i="29"/>
  <c r="ED69" i="31"/>
  <c r="ET98" i="31"/>
  <c r="ET100" i="29"/>
  <c r="ET104" i="31" s="1"/>
  <c r="ET102" i="29"/>
  <c r="ET113" i="29"/>
  <c r="ET96" i="29"/>
  <c r="ET100" i="31" s="1"/>
  <c r="DX85" i="29"/>
  <c r="DX69" i="31"/>
  <c r="P85" i="29"/>
  <c r="P69" i="31"/>
  <c r="JF98" i="31"/>
  <c r="JF100" i="29"/>
  <c r="JF104" i="31" s="1"/>
  <c r="JF96" i="29"/>
  <c r="JF100" i="31" s="1"/>
  <c r="JF102" i="29"/>
  <c r="IA98" i="31"/>
  <c r="IA100" i="29"/>
  <c r="IA104" i="31" s="1"/>
  <c r="IA102" i="29"/>
  <c r="IA96" i="29"/>
  <c r="IA100" i="31" s="1"/>
  <c r="HN98" i="31"/>
  <c r="HN100" i="29"/>
  <c r="HN104" i="31" s="1"/>
  <c r="HN113" i="29"/>
  <c r="HN96" i="29"/>
  <c r="HN100" i="31" s="1"/>
  <c r="HN102" i="29"/>
  <c r="HD90" i="29"/>
  <c r="HD89" i="31"/>
  <c r="FI90" i="29"/>
  <c r="FI89" i="31"/>
  <c r="EH85" i="29"/>
  <c r="EH69" i="31"/>
  <c r="HQ98" i="31"/>
  <c r="HQ100" i="29"/>
  <c r="HQ104" i="31" s="1"/>
  <c r="HQ102" i="29"/>
  <c r="HQ96" i="29"/>
  <c r="HQ100" i="31" s="1"/>
  <c r="EC85" i="29"/>
  <c r="EC69" i="31"/>
  <c r="CO85" i="29"/>
  <c r="CO69" i="31"/>
  <c r="GA90" i="29"/>
  <c r="GA89" i="31"/>
  <c r="GG90" i="29"/>
  <c r="GG89" i="31"/>
  <c r="BO85" i="29"/>
  <c r="BO69" i="31"/>
  <c r="IE98" i="31"/>
  <c r="IE102" i="29"/>
  <c r="IE100" i="29"/>
  <c r="IE104" i="31" s="1"/>
  <c r="IE96" i="29"/>
  <c r="IE100" i="31" s="1"/>
  <c r="EZ90" i="29"/>
  <c r="EZ89" i="31"/>
  <c r="GT90" i="29"/>
  <c r="GT89" i="31"/>
  <c r="IO98" i="31"/>
  <c r="IO96" i="29"/>
  <c r="IO100" i="31" s="1"/>
  <c r="IO100" i="29"/>
  <c r="IO104" i="31" s="1"/>
  <c r="IO102" i="29"/>
  <c r="DI85" i="29"/>
  <c r="DI69" i="31"/>
  <c r="CR85" i="29"/>
  <c r="CR69" i="31"/>
  <c r="BH85" i="29"/>
  <c r="BH69" i="31"/>
  <c r="CY85" i="29"/>
  <c r="CY69" i="31"/>
  <c r="FH90" i="29"/>
  <c r="FH89" i="31"/>
  <c r="GN90" i="29"/>
  <c r="GN89" i="31"/>
  <c r="FF90" i="29"/>
  <c r="FF89" i="31"/>
  <c r="DJ85" i="29"/>
  <c r="DJ69" i="31"/>
  <c r="HP98" i="31"/>
  <c r="HP102" i="29"/>
  <c r="HP100" i="29"/>
  <c r="HP104" i="31" s="1"/>
  <c r="HP96" i="29"/>
  <c r="HP100" i="31" s="1"/>
  <c r="CX85" i="29"/>
  <c r="CX69" i="31"/>
  <c r="AH85" i="29"/>
  <c r="AH69" i="31"/>
  <c r="BN85" i="29"/>
  <c r="BN69" i="31"/>
  <c r="ES85" i="29"/>
  <c r="ES69" i="31"/>
  <c r="AQ85" i="29"/>
  <c r="AQ69" i="31"/>
  <c r="HZ98" i="31"/>
  <c r="HZ96" i="29"/>
  <c r="HZ100" i="31" s="1"/>
  <c r="HZ100" i="29"/>
  <c r="HZ104" i="31" s="1"/>
  <c r="HZ102" i="29"/>
  <c r="JO97" i="31"/>
  <c r="BW65" i="29"/>
  <c r="BW68" i="31"/>
  <c r="DP85" i="29"/>
  <c r="DP69" i="31"/>
  <c r="CC85" i="29"/>
  <c r="CC69" i="31"/>
  <c r="M85" i="29"/>
  <c r="M69" i="31"/>
  <c r="BT85" i="29"/>
  <c r="BT69" i="31"/>
  <c r="CU85" i="29"/>
  <c r="CU69" i="31"/>
  <c r="EW90" i="29"/>
  <c r="EW89" i="31"/>
  <c r="GP90" i="29"/>
  <c r="GP89" i="31"/>
  <c r="I85" i="29"/>
  <c r="I69" i="31"/>
  <c r="AW85" i="29"/>
  <c r="AW69" i="31"/>
  <c r="JH98" i="31"/>
  <c r="JH102" i="29"/>
  <c r="JH100" i="29"/>
  <c r="JH104" i="31" s="1"/>
  <c r="JH96" i="29"/>
  <c r="JH100" i="31" s="1"/>
  <c r="IL98" i="31"/>
  <c r="IL100" i="29"/>
  <c r="IL104" i="31" s="1"/>
  <c r="IL96" i="29"/>
  <c r="IL100" i="31" s="1"/>
  <c r="IL102" i="29"/>
  <c r="BQ68" i="31"/>
  <c r="BQ65" i="29"/>
  <c r="BG85" i="29"/>
  <c r="BG69" i="31"/>
  <c r="FD90" i="29"/>
  <c r="FD89" i="31"/>
  <c r="HF90" i="29"/>
  <c r="HF89" i="31"/>
  <c r="GI90" i="29"/>
  <c r="GI89" i="31"/>
  <c r="BF85" i="29"/>
  <c r="BF69" i="31"/>
  <c r="AF85" i="29"/>
  <c r="AF69" i="31"/>
  <c r="HX98" i="31"/>
  <c r="HX102" i="29"/>
  <c r="HX100" i="29"/>
  <c r="HX104" i="31" s="1"/>
  <c r="HX96" i="29"/>
  <c r="HX100" i="31" s="1"/>
  <c r="DR65" i="29"/>
  <c r="DR68" i="31"/>
  <c r="HM98" i="31"/>
  <c r="HM102" i="29"/>
  <c r="HM96" i="29"/>
  <c r="HM100" i="31" s="1"/>
  <c r="HM100" i="29"/>
  <c r="HM104" i="31" s="1"/>
  <c r="JD98" i="31"/>
  <c r="JD100" i="29"/>
  <c r="JD104" i="31" s="1"/>
  <c r="JD102" i="29"/>
  <c r="JD96" i="29"/>
  <c r="JD100" i="31" s="1"/>
  <c r="EI85" i="29"/>
  <c r="EI69" i="31"/>
  <c r="AS85" i="29"/>
  <c r="AS69" i="31"/>
  <c r="EK85" i="29"/>
  <c r="EK69" i="31"/>
  <c r="DG65" i="29"/>
  <c r="DG68" i="31"/>
  <c r="AJ65" i="29"/>
  <c r="AJ68" i="31"/>
  <c r="L85" i="29"/>
  <c r="L69" i="31"/>
  <c r="CD85" i="29"/>
  <c r="CD69" i="31"/>
  <c r="FY90" i="29"/>
  <c r="FY89" i="31"/>
  <c r="HK90" i="29"/>
  <c r="HK89" i="31"/>
  <c r="FZ90" i="29"/>
  <c r="FZ89" i="31"/>
  <c r="FN90" i="29"/>
  <c r="FN89" i="31"/>
  <c r="JB98" i="31"/>
  <c r="JB96" i="29"/>
  <c r="JB100" i="31" s="1"/>
  <c r="JB100" i="29"/>
  <c r="JB104" i="31" s="1"/>
  <c r="JB102" i="29"/>
  <c r="BP85" i="29"/>
  <c r="BP69" i="31"/>
  <c r="CK85" i="29"/>
  <c r="CK69" i="31"/>
  <c r="GJ90" i="29"/>
  <c r="GJ89" i="31"/>
  <c r="GC90" i="29"/>
  <c r="GC89" i="31"/>
  <c r="CP85" i="29"/>
  <c r="CP69" i="31"/>
  <c r="AP68" i="31"/>
  <c r="AP65" i="29"/>
  <c r="EQ65" i="29"/>
  <c r="EQ68" i="31"/>
  <c r="BS85" i="29"/>
  <c r="BS69" i="31"/>
  <c r="FM90" i="29"/>
  <c r="FM89" i="31"/>
  <c r="FQ90" i="29"/>
  <c r="FQ89" i="31"/>
  <c r="CH85" i="29"/>
  <c r="CH69" i="31"/>
  <c r="Y85" i="29"/>
  <c r="Y69" i="31"/>
  <c r="AK85" i="29"/>
  <c r="AK69" i="31"/>
  <c r="CB65" i="29"/>
  <c r="CB68" i="31"/>
  <c r="IX98" i="31"/>
  <c r="IX100" i="29"/>
  <c r="IX104" i="31" s="1"/>
  <c r="IX102" i="29"/>
  <c r="IX96" i="29"/>
  <c r="IX100" i="31" s="1"/>
  <c r="DH85" i="29"/>
  <c r="DH69" i="31"/>
  <c r="BJ85" i="29"/>
  <c r="BJ69" i="31"/>
  <c r="FS90" i="29"/>
  <c r="FS89" i="31"/>
  <c r="GR90" i="29"/>
  <c r="GR89" i="31"/>
  <c r="HY98" i="31"/>
  <c r="HY100" i="29"/>
  <c r="HY104" i="31" s="1"/>
  <c r="HY96" i="29"/>
  <c r="HY100" i="31" s="1"/>
  <c r="HY102" i="29"/>
  <c r="AE85" i="29"/>
  <c r="AE69" i="31"/>
  <c r="AT85" i="29"/>
  <c r="AT69" i="31"/>
  <c r="AN85" i="29"/>
  <c r="AN69" i="31"/>
  <c r="DL85" i="29"/>
  <c r="DL69" i="31"/>
  <c r="EA85" i="29"/>
  <c r="EA69" i="31"/>
  <c r="AL85" i="29"/>
  <c r="AL69" i="31"/>
  <c r="JG98" i="31"/>
  <c r="JG100" i="29"/>
  <c r="JG104" i="31" s="1"/>
  <c r="JG102" i="29"/>
  <c r="JG96" i="29"/>
  <c r="JG100" i="31" s="1"/>
  <c r="IQ98" i="31"/>
  <c r="IQ100" i="29"/>
  <c r="IQ104" i="31" s="1"/>
  <c r="IQ102" i="29"/>
  <c r="IQ96" i="29"/>
  <c r="IQ100" i="31" s="1"/>
  <c r="IR98" i="31"/>
  <c r="IR100" i="29"/>
  <c r="IR104" i="31" s="1"/>
  <c r="IR102" i="29"/>
  <c r="IR96" i="29"/>
  <c r="IR100" i="31" s="1"/>
  <c r="H85" i="29"/>
  <c r="H69" i="31"/>
  <c r="CM85" i="29"/>
  <c r="CM69" i="31"/>
  <c r="DO93" i="29"/>
  <c r="DO94" i="31"/>
  <c r="IH98" i="31"/>
  <c r="IH102" i="29"/>
  <c r="IH100" i="29"/>
  <c r="IH104" i="31" s="1"/>
  <c r="IH96" i="29"/>
  <c r="IH100" i="31" s="1"/>
  <c r="IF98" i="31"/>
  <c r="IF100" i="29"/>
  <c r="IF104" i="31" s="1"/>
  <c r="IF102" i="29"/>
  <c r="IF96" i="29"/>
  <c r="IF100" i="31" s="1"/>
  <c r="II98" i="31"/>
  <c r="II100" i="29"/>
  <c r="II104" i="31" s="1"/>
  <c r="II102" i="29"/>
  <c r="II96" i="29"/>
  <c r="II100" i="31" s="1"/>
  <c r="GE90" i="29"/>
  <c r="GE89" i="31"/>
  <c r="EY90" i="29"/>
  <c r="EY89" i="31"/>
  <c r="GW90" i="29"/>
  <c r="GW89" i="31"/>
  <c r="EU98" i="31"/>
  <c r="EU113" i="29"/>
  <c r="EU102" i="29"/>
  <c r="EU96" i="29"/>
  <c r="EU100" i="31" s="1"/>
  <c r="EU100" i="29"/>
  <c r="EU104" i="31" s="1"/>
  <c r="AV85" i="29"/>
  <c r="AV69" i="31"/>
  <c r="CN85" i="29"/>
  <c r="CN69" i="31"/>
  <c r="GU90" i="29"/>
  <c r="GU89" i="31"/>
  <c r="HC90" i="29"/>
  <c r="HC89" i="31"/>
  <c r="IW98" i="31"/>
  <c r="IW100" i="29"/>
  <c r="IW104" i="31" s="1"/>
  <c r="IW96" i="29"/>
  <c r="IW100" i="31" s="1"/>
  <c r="IW102" i="29"/>
  <c r="DD85" i="29"/>
  <c r="DD69" i="31"/>
  <c r="EE85" i="29"/>
  <c r="EE69" i="31"/>
  <c r="AX85" i="29"/>
  <c r="AX69" i="31"/>
  <c r="AG85" i="29"/>
  <c r="AG69" i="31"/>
  <c r="DU85" i="29"/>
  <c r="DU69" i="31"/>
  <c r="BV68" i="31"/>
  <c r="BV65" i="29"/>
  <c r="U85" i="29"/>
  <c r="U69" i="31"/>
  <c r="X85" i="29"/>
  <c r="X69" i="31"/>
  <c r="HW98" i="31"/>
  <c r="HW100" i="29"/>
  <c r="HW104" i="31" s="1"/>
  <c r="HW102" i="29"/>
  <c r="HW96" i="29"/>
  <c r="HW100" i="31" s="1"/>
  <c r="IS98" i="31"/>
  <c r="IS102" i="29"/>
  <c r="IS96" i="29"/>
  <c r="IS100" i="31" s="1"/>
  <c r="IS100" i="29"/>
  <c r="IS104" i="31" s="1"/>
  <c r="GS90" i="29"/>
  <c r="GS89" i="31"/>
  <c r="HA90" i="29"/>
  <c r="HA89" i="31"/>
  <c r="AZ85" i="29"/>
  <c r="AZ69" i="31"/>
  <c r="GQ90" i="29"/>
  <c r="GQ89" i="31"/>
  <c r="EV175" i="31"/>
  <c r="JN87" i="31"/>
  <c r="GB90" i="29"/>
  <c r="GB89" i="31"/>
  <c r="IV98" i="31"/>
  <c r="IV102" i="29"/>
  <c r="IV100" i="29"/>
  <c r="IV104" i="31" s="1"/>
  <c r="IV96" i="29"/>
  <c r="IV100" i="31" s="1"/>
  <c r="HV98" i="31"/>
  <c r="HV96" i="29"/>
  <c r="HV100" i="31" s="1"/>
  <c r="HV102" i="29"/>
  <c r="HV100" i="29"/>
  <c r="HV104" i="31" s="1"/>
  <c r="DN85" i="29"/>
  <c r="DN69" i="31"/>
  <c r="JC98" i="31"/>
  <c r="JC102" i="29"/>
  <c r="JC96" i="29"/>
  <c r="JC100" i="31" s="1"/>
  <c r="JC100" i="29"/>
  <c r="JC104" i="31" s="1"/>
  <c r="G85" i="29"/>
  <c r="G69" i="31"/>
  <c r="BE85" i="29"/>
  <c r="BE69" i="31"/>
  <c r="AO85" i="29"/>
  <c r="AO69" i="31"/>
  <c r="IJ98" i="31"/>
  <c r="IJ100" i="29"/>
  <c r="IJ104" i="31" s="1"/>
  <c r="IJ102" i="29"/>
  <c r="IJ96" i="29"/>
  <c r="IJ100" i="31" s="1"/>
  <c r="JE98" i="31"/>
  <c r="JE100" i="29"/>
  <c r="JE104" i="31" s="1"/>
  <c r="JE102" i="29"/>
  <c r="JE96" i="29"/>
  <c r="JE100" i="31" s="1"/>
  <c r="CT85" i="29"/>
  <c r="CT69" i="31"/>
  <c r="DB85" i="29"/>
  <c r="DB69" i="31"/>
  <c r="HJ90" i="29"/>
  <c r="HJ89" i="31"/>
  <c r="GO90" i="29"/>
  <c r="GO89" i="31"/>
  <c r="EP85" i="29"/>
  <c r="EP69" i="31"/>
  <c r="GY90" i="29"/>
  <c r="GY89" i="31"/>
  <c r="HE90" i="29"/>
  <c r="HE89" i="31"/>
  <c r="JA98" i="31"/>
  <c r="JA102" i="29"/>
  <c r="JA100" i="29"/>
  <c r="JA104" i="31" s="1"/>
  <c r="JA96" i="29"/>
  <c r="JA100" i="31" s="1"/>
  <c r="IG98" i="31"/>
  <c r="IG100" i="29"/>
  <c r="IG104" i="31" s="1"/>
  <c r="IG102" i="29"/>
  <c r="IG96" i="29"/>
  <c r="IG100" i="31" s="1"/>
  <c r="HR98" i="31"/>
  <c r="HR102" i="29"/>
  <c r="HR96" i="29"/>
  <c r="HR100" i="31" s="1"/>
  <c r="HR100" i="29"/>
  <c r="HR104" i="31" s="1"/>
  <c r="BZ85" i="29"/>
  <c r="BZ69" i="31"/>
  <c r="Z85" i="29"/>
  <c r="Z69" i="31"/>
  <c r="HO98" i="31"/>
  <c r="HO113" i="29"/>
  <c r="HO102" i="29"/>
  <c r="HO96" i="29"/>
  <c r="HO100" i="31" s="1"/>
  <c r="HO100" i="29"/>
  <c r="HO104" i="31" s="1"/>
  <c r="HG90" i="29"/>
  <c r="HG89" i="31"/>
  <c r="FG90" i="29"/>
  <c r="FG89" i="31"/>
  <c r="GK90" i="29"/>
  <c r="GK89" i="31"/>
  <c r="GL90" i="29"/>
  <c r="GL89" i="31"/>
  <c r="AD85" i="29"/>
  <c r="AD69" i="31"/>
  <c r="AU85" i="29"/>
  <c r="AU69" i="31"/>
  <c r="CZ85" i="29"/>
  <c r="CZ69" i="31"/>
  <c r="CI85" i="29"/>
  <c r="CI69" i="31"/>
  <c r="CF85" i="29"/>
  <c r="CF69" i="31"/>
  <c r="HT98" i="31"/>
  <c r="HT102" i="29"/>
  <c r="HT100" i="29"/>
  <c r="HT104" i="31" s="1"/>
  <c r="HT96" i="29"/>
  <c r="HT100" i="31" s="1"/>
  <c r="HU98" i="31"/>
  <c r="HU100" i="29"/>
  <c r="HU104" i="31" s="1"/>
  <c r="HU96" i="29"/>
  <c r="HU100" i="31" s="1"/>
  <c r="HU102" i="29"/>
  <c r="AM85" i="29"/>
  <c r="AM69" i="31"/>
  <c r="N85" i="29"/>
  <c r="N69" i="31"/>
  <c r="R85" i="29"/>
  <c r="R69" i="31"/>
  <c r="CG85" i="29"/>
  <c r="CG69" i="31"/>
  <c r="EM85" i="29"/>
  <c r="EM69" i="31"/>
  <c r="K68" i="31"/>
  <c r="K65" i="29"/>
  <c r="J65" i="29"/>
  <c r="J68" i="31"/>
  <c r="E82" i="29"/>
  <c r="E69" i="31"/>
  <c r="FA90" i="29"/>
  <c r="FA89" i="31"/>
  <c r="FT90" i="29"/>
  <c r="FT89" i="31"/>
  <c r="EX90" i="29"/>
  <c r="EX89" i="31"/>
  <c r="GM90" i="29"/>
  <c r="GM89" i="31"/>
  <c r="BX85" i="29"/>
  <c r="BX69" i="31"/>
  <c r="IT98" i="31"/>
  <c r="IT100" i="29"/>
  <c r="IT104" i="31" s="1"/>
  <c r="IT96" i="29"/>
  <c r="IT100" i="31" s="1"/>
  <c r="IT102" i="29"/>
  <c r="ID98" i="31"/>
  <c r="ID96" i="29"/>
  <c r="ID100" i="31" s="1"/>
  <c r="ID100" i="29"/>
  <c r="ID104" i="31" s="1"/>
  <c r="ID102" i="29"/>
  <c r="IZ98" i="31"/>
  <c r="IZ100" i="29"/>
  <c r="IZ104" i="31" s="1"/>
  <c r="IZ102" i="29"/>
  <c r="IZ96" i="29"/>
  <c r="IZ100" i="31" s="1"/>
  <c r="IB98" i="31"/>
  <c r="IB102" i="29"/>
  <c r="IB96" i="29"/>
  <c r="IB100" i="31" s="1"/>
  <c r="IB100" i="29"/>
  <c r="IB104" i="31" s="1"/>
  <c r="CL85" i="29"/>
  <c r="CL69" i="31"/>
  <c r="FL90" i="29"/>
  <c r="FL89" i="31"/>
  <c r="GD90" i="29"/>
  <c r="GD89" i="31"/>
  <c r="GH90" i="29"/>
  <c r="GH89" i="31"/>
  <c r="BC85" i="29"/>
  <c r="BC69" i="31"/>
  <c r="W85" i="29"/>
  <c r="W69" i="31"/>
  <c r="FO90" i="29"/>
  <c r="FO89" i="31"/>
  <c r="GV90" i="29"/>
  <c r="GV89" i="31"/>
  <c r="DC85" i="29"/>
  <c r="DC69" i="31"/>
  <c r="IK98" i="31"/>
  <c r="IK102" i="29"/>
  <c r="IK100" i="29"/>
  <c r="IK104" i="31" s="1"/>
  <c r="IK113" i="29"/>
  <c r="IK96" i="29"/>
  <c r="IK100" i="31" s="1"/>
  <c r="BA85" i="29"/>
  <c r="BA69" i="31"/>
  <c r="O85" i="29"/>
  <c r="O69" i="31"/>
  <c r="AA85" i="29"/>
  <c r="AA69" i="31"/>
  <c r="FU90" i="29"/>
  <c r="FU89" i="31"/>
  <c r="EG65" i="29"/>
  <c r="EG68" i="31"/>
  <c r="IU98" i="31"/>
  <c r="IU100" i="29"/>
  <c r="IU104" i="31" s="1"/>
  <c r="IU102" i="29"/>
  <c r="IU96" i="29"/>
  <c r="IU100" i="31" s="1"/>
  <c r="IM98" i="31"/>
  <c r="IM102" i="29"/>
  <c r="IM100" i="29"/>
  <c r="IM104" i="31" s="1"/>
  <c r="IM96" i="29"/>
  <c r="IM100" i="31" s="1"/>
  <c r="IP98" i="31"/>
  <c r="IP96" i="29"/>
  <c r="IP100" i="31" s="1"/>
  <c r="IP102" i="29"/>
  <c r="IP100" i="29"/>
  <c r="IP104" i="31" s="1"/>
  <c r="EN85" i="29"/>
  <c r="EN69" i="31"/>
  <c r="CQ85" i="29"/>
  <c r="CQ69" i="31"/>
  <c r="EF85" i="29"/>
  <c r="EF69" i="31"/>
  <c r="BL65" i="29"/>
  <c r="BL68" i="31"/>
  <c r="DA85" i="29"/>
  <c r="DA69" i="31"/>
  <c r="BK85" i="29"/>
  <c r="BK69" i="31"/>
  <c r="DV85" i="29"/>
  <c r="DV69" i="31"/>
  <c r="BY85" i="29"/>
  <c r="BY69" i="31"/>
  <c r="Q85" i="29"/>
  <c r="Q69" i="31"/>
  <c r="AR85" i="29"/>
  <c r="AR69" i="31"/>
  <c r="DK85" i="29"/>
  <c r="DK69" i="31"/>
  <c r="HH90" i="29"/>
  <c r="HH89" i="31"/>
  <c r="FV90" i="29"/>
  <c r="FV89" i="31"/>
  <c r="FC90" i="29"/>
  <c r="FC89" i="31"/>
  <c r="DE85" i="29"/>
  <c r="DE69" i="31"/>
  <c r="IC98" i="31"/>
  <c r="IC102" i="29"/>
  <c r="IC100" i="29"/>
  <c r="IC104" i="31" s="1"/>
  <c r="IC96" i="29"/>
  <c r="IC100" i="31" s="1"/>
  <c r="EO85" i="29"/>
  <c r="EO69" i="31"/>
  <c r="F69" i="31"/>
  <c r="F85" i="29"/>
  <c r="DQ85" i="29"/>
  <c r="DQ69" i="31"/>
  <c r="HB90" i="29"/>
  <c r="HB89" i="31"/>
  <c r="GX90" i="29"/>
  <c r="GX89" i="31"/>
  <c r="BI85" i="29"/>
  <c r="BI69" i="31"/>
  <c r="DZ65" i="29"/>
  <c r="DZ68" i="31"/>
  <c r="AB85" i="29"/>
  <c r="AB69" i="31"/>
  <c r="D82" i="29"/>
  <c r="D69" i="31"/>
  <c r="DM85" i="29"/>
  <c r="DM69" i="31"/>
  <c r="DW68" i="31"/>
  <c r="DW65" i="29"/>
  <c r="HI90" i="29"/>
  <c r="HI89" i="31"/>
  <c r="GZ90" i="29"/>
  <c r="GZ89" i="31"/>
  <c r="BD85" i="29"/>
  <c r="BD69" i="31"/>
  <c r="ER85" i="29"/>
  <c r="ER69" i="31"/>
  <c r="DF85" i="29"/>
  <c r="DF69" i="31"/>
  <c r="BU85" i="29"/>
  <c r="BU69" i="31"/>
  <c r="AI65" i="29"/>
  <c r="AI68" i="31"/>
  <c r="CJ85" i="29"/>
  <c r="CJ69" i="31"/>
  <c r="V85" i="29"/>
  <c r="V69" i="31"/>
  <c r="EJ85" i="29"/>
  <c r="EJ69" i="31"/>
  <c r="HS98" i="31"/>
  <c r="HS102" i="29"/>
  <c r="HS96" i="29"/>
  <c r="HS100" i="31" s="1"/>
  <c r="HS100" i="29"/>
  <c r="HS104" i="31" s="1"/>
  <c r="EL85" i="29"/>
  <c r="EL69" i="31"/>
  <c r="BM65" i="29"/>
  <c r="BM68" i="31"/>
  <c r="HL98" i="31"/>
  <c r="HL100" i="29"/>
  <c r="HL104" i="31" s="1"/>
  <c r="JO94" i="29"/>
  <c r="JO100" i="29" s="1"/>
  <c r="HL96" i="29"/>
  <c r="HL102" i="29"/>
  <c r="CS85" i="29"/>
  <c r="CS69" i="31"/>
  <c r="CW85" i="29"/>
  <c r="CW69" i="31"/>
  <c r="FJ90" i="29"/>
  <c r="FJ89" i="31"/>
  <c r="FX90" i="29"/>
  <c r="FX89" i="31"/>
  <c r="FE90" i="29"/>
  <c r="FE89" i="31"/>
  <c r="BR85" i="29"/>
  <c r="BR69" i="31"/>
  <c r="DY85" i="29"/>
  <c r="DY69" i="31"/>
  <c r="DT68" i="31"/>
  <c r="DT65" i="29"/>
  <c r="DS65" i="29"/>
  <c r="DS68" i="31"/>
  <c r="EB85" i="29"/>
  <c r="EB69" i="31"/>
  <c r="BB85" i="29"/>
  <c r="BB69" i="31"/>
  <c r="AY85" i="29"/>
  <c r="AY69" i="31"/>
  <c r="CV68" i="31"/>
  <c r="CV65" i="29"/>
  <c r="S85" i="29"/>
  <c r="S69" i="31"/>
  <c r="IN98" i="31"/>
  <c r="IN102" i="29"/>
  <c r="IN100" i="29"/>
  <c r="IN104" i="31" s="1"/>
  <c r="IN96" i="29"/>
  <c r="IN100" i="31" s="1"/>
  <c r="AC174" i="31" l="1"/>
  <c r="AC176" i="31" s="1"/>
  <c r="AC159" i="29"/>
  <c r="AC162" i="31"/>
  <c r="JL69" i="31"/>
  <c r="C85" i="29"/>
  <c r="C89" i="31" s="1"/>
  <c r="JM68" i="31"/>
  <c r="JP68" i="31" s="1"/>
  <c r="JM65" i="29"/>
  <c r="JP65" i="29" s="1"/>
  <c r="EB90" i="29"/>
  <c r="EB89" i="31"/>
  <c r="FX93" i="29"/>
  <c r="FX94" i="31"/>
  <c r="DM90" i="29"/>
  <c r="DM89" i="31"/>
  <c r="FZ93" i="29"/>
  <c r="FZ94" i="31"/>
  <c r="FY93" i="29"/>
  <c r="FY94" i="31"/>
  <c r="L90" i="29"/>
  <c r="L89" i="31"/>
  <c r="DG85" i="29"/>
  <c r="DG69" i="31"/>
  <c r="AS90" i="29"/>
  <c r="AS89" i="31"/>
  <c r="JD106" i="31"/>
  <c r="JD106" i="29"/>
  <c r="JD110" i="31" s="1"/>
  <c r="JD103" i="29"/>
  <c r="DR85" i="29"/>
  <c r="DR69" i="31"/>
  <c r="HX106" i="31"/>
  <c r="HX106" i="29"/>
  <c r="HX110" i="31" s="1"/>
  <c r="HX103" i="29"/>
  <c r="IL106" i="31"/>
  <c r="IL106" i="29"/>
  <c r="IL110" i="31" s="1"/>
  <c r="IL103" i="29"/>
  <c r="IL111" i="29" s="1"/>
  <c r="ES90" i="29"/>
  <c r="ES89" i="31"/>
  <c r="AH90" i="29"/>
  <c r="AH89" i="31"/>
  <c r="DJ90" i="29"/>
  <c r="DJ89" i="31"/>
  <c r="GN93" i="29"/>
  <c r="GN94" i="31"/>
  <c r="CY90" i="29"/>
  <c r="CY89" i="31"/>
  <c r="CR90" i="29"/>
  <c r="CR89" i="31"/>
  <c r="GT93" i="29"/>
  <c r="GT94" i="31"/>
  <c r="BO90" i="29"/>
  <c r="BO89" i="31"/>
  <c r="GA93" i="29"/>
  <c r="GA94" i="31"/>
  <c r="EC90" i="29"/>
  <c r="EC89" i="31"/>
  <c r="FI93" i="29"/>
  <c r="FI94" i="31"/>
  <c r="JF106" i="31"/>
  <c r="JF103" i="29"/>
  <c r="JF111" i="29" s="1"/>
  <c r="JF106" i="29"/>
  <c r="JF110" i="31" s="1"/>
  <c r="GF93" i="29"/>
  <c r="GF94" i="31"/>
  <c r="EV94" i="31"/>
  <c r="EV93" i="29"/>
  <c r="JN90" i="29"/>
  <c r="T90" i="29"/>
  <c r="T89" i="31"/>
  <c r="FP93" i="29"/>
  <c r="FP94" i="31"/>
  <c r="FK93" i="29"/>
  <c r="FK94" i="31"/>
  <c r="W90" i="29"/>
  <c r="W89" i="31"/>
  <c r="BX90" i="29"/>
  <c r="BX89" i="31"/>
  <c r="FA93" i="29"/>
  <c r="FA94" i="31"/>
  <c r="EM90" i="29"/>
  <c r="EM89" i="31"/>
  <c r="AM90" i="29"/>
  <c r="AM89" i="31"/>
  <c r="AU90" i="29"/>
  <c r="AU89" i="31"/>
  <c r="GO93" i="29"/>
  <c r="GO94" i="31"/>
  <c r="JE106" i="31"/>
  <c r="JE106" i="29"/>
  <c r="JE110" i="31" s="1"/>
  <c r="JE103" i="29"/>
  <c r="AO90" i="29"/>
  <c r="AO89" i="31"/>
  <c r="HV106" i="31"/>
  <c r="HV106" i="29"/>
  <c r="HV110" i="31" s="1"/>
  <c r="HV103" i="29"/>
  <c r="GB93" i="29"/>
  <c r="GB94" i="31"/>
  <c r="HA93" i="29"/>
  <c r="HA94" i="31"/>
  <c r="HW106" i="31"/>
  <c r="HW103" i="29"/>
  <c r="HW106" i="29"/>
  <c r="HW110" i="31" s="1"/>
  <c r="AG90" i="29"/>
  <c r="AG89" i="31"/>
  <c r="HY106" i="31"/>
  <c r="HY106" i="29"/>
  <c r="HY110" i="31" s="1"/>
  <c r="HY103" i="29"/>
  <c r="AP69" i="31"/>
  <c r="AP85" i="29"/>
  <c r="BM85" i="29"/>
  <c r="BM69" i="31"/>
  <c r="DW85" i="29"/>
  <c r="DW69" i="31"/>
  <c r="DE90" i="29"/>
  <c r="DE89" i="31"/>
  <c r="FV93" i="29"/>
  <c r="FV94" i="31"/>
  <c r="DK90" i="29"/>
  <c r="DK89" i="31"/>
  <c r="Q90" i="29"/>
  <c r="Q89" i="31"/>
  <c r="DV90" i="29"/>
  <c r="DV89" i="31"/>
  <c r="DA90" i="29"/>
  <c r="DA89" i="31"/>
  <c r="EF90" i="29"/>
  <c r="EF89" i="31"/>
  <c r="EN90" i="29"/>
  <c r="EN89" i="31"/>
  <c r="FU93" i="29"/>
  <c r="FU94" i="31"/>
  <c r="O90" i="29"/>
  <c r="O89" i="31"/>
  <c r="IK117" i="31"/>
  <c r="IK148" i="29"/>
  <c r="IK116" i="29"/>
  <c r="IB106" i="31"/>
  <c r="IB106" i="29"/>
  <c r="IB110" i="31" s="1"/>
  <c r="IB103" i="29"/>
  <c r="IB111" i="29" s="1"/>
  <c r="K85" i="29"/>
  <c r="K69" i="31"/>
  <c r="HU106" i="31"/>
  <c r="HU103" i="29"/>
  <c r="HU106" i="29"/>
  <c r="HU110" i="31" s="1"/>
  <c r="HO106" i="31"/>
  <c r="HO106" i="29"/>
  <c r="HO110" i="31" s="1"/>
  <c r="HO103" i="29"/>
  <c r="Z90" i="29"/>
  <c r="Z89" i="31"/>
  <c r="IG106" i="31"/>
  <c r="IG103" i="29"/>
  <c r="IG106" i="29"/>
  <c r="IG110" i="31" s="1"/>
  <c r="HE93" i="29"/>
  <c r="HE94" i="31"/>
  <c r="EP90" i="29"/>
  <c r="EP89" i="31"/>
  <c r="IV106" i="31"/>
  <c r="IV103" i="29"/>
  <c r="IV106" i="29"/>
  <c r="IV110" i="31" s="1"/>
  <c r="IS106" i="31"/>
  <c r="IS106" i="29"/>
  <c r="IS110" i="31" s="1"/>
  <c r="IS103" i="29"/>
  <c r="IS111" i="29" s="1"/>
  <c r="EU106" i="31"/>
  <c r="EU103" i="29"/>
  <c r="EU106" i="29"/>
  <c r="EU110" i="31" s="1"/>
  <c r="GW93" i="29"/>
  <c r="GW94" i="31"/>
  <c r="GE93" i="29"/>
  <c r="GE94" i="31"/>
  <c r="CM90" i="29"/>
  <c r="CM89" i="31"/>
  <c r="IR106" i="31"/>
  <c r="IR103" i="29"/>
  <c r="IR106" i="29"/>
  <c r="IR110" i="31" s="1"/>
  <c r="IQ106" i="31"/>
  <c r="IQ106" i="29"/>
  <c r="IQ110" i="31" s="1"/>
  <c r="IQ103" i="29"/>
  <c r="JG106" i="31"/>
  <c r="JG103" i="29"/>
  <c r="JG111" i="29" s="1"/>
  <c r="JG106" i="29"/>
  <c r="JG110" i="31" s="1"/>
  <c r="AL90" i="29"/>
  <c r="AL89" i="31"/>
  <c r="DL90" i="29"/>
  <c r="DL89" i="31"/>
  <c r="AT90" i="29"/>
  <c r="AT89" i="31"/>
  <c r="GR93" i="29"/>
  <c r="GR94" i="31"/>
  <c r="BJ90" i="29"/>
  <c r="BJ89" i="31"/>
  <c r="IX106" i="31"/>
  <c r="IX103" i="29"/>
  <c r="IX106" i="29"/>
  <c r="IX110" i="31" s="1"/>
  <c r="CB85" i="29"/>
  <c r="CB69" i="31"/>
  <c r="Y90" i="29"/>
  <c r="Y89" i="31"/>
  <c r="FQ93" i="29"/>
  <c r="FQ94" i="31"/>
  <c r="BS90" i="29"/>
  <c r="BS89" i="31"/>
  <c r="GC93" i="29"/>
  <c r="GC94" i="31"/>
  <c r="CK90" i="29"/>
  <c r="CK89" i="31"/>
  <c r="JB106" i="31"/>
  <c r="JB103" i="29"/>
  <c r="JB106" i="29"/>
  <c r="JB110" i="31" s="1"/>
  <c r="HM106" i="31"/>
  <c r="HM103" i="29"/>
  <c r="HM106" i="29"/>
  <c r="HM110" i="31" s="1"/>
  <c r="BF90" i="29"/>
  <c r="BF89" i="31"/>
  <c r="HF93" i="29"/>
  <c r="HF94" i="31"/>
  <c r="BG90" i="29"/>
  <c r="BG89" i="31"/>
  <c r="AW90" i="29"/>
  <c r="AW89" i="31"/>
  <c r="GP93" i="29"/>
  <c r="GP94" i="31"/>
  <c r="CU90" i="29"/>
  <c r="CU89" i="31"/>
  <c r="M90" i="29"/>
  <c r="M89" i="31"/>
  <c r="DP90" i="29"/>
  <c r="DP89" i="31"/>
  <c r="HZ106" i="31"/>
  <c r="HZ103" i="29"/>
  <c r="HZ106" i="29"/>
  <c r="HZ110" i="31" s="1"/>
  <c r="HP106" i="31"/>
  <c r="HP106" i="29"/>
  <c r="HP110" i="31" s="1"/>
  <c r="HP103" i="29"/>
  <c r="IE106" i="31"/>
  <c r="IE106" i="29"/>
  <c r="IE110" i="31" s="1"/>
  <c r="IE103" i="29"/>
  <c r="HN117" i="31"/>
  <c r="HN116" i="29"/>
  <c r="HN148" i="29"/>
  <c r="IA106" i="31"/>
  <c r="IA103" i="29"/>
  <c r="IA106" i="29"/>
  <c r="IA110" i="31" s="1"/>
  <c r="P90" i="29"/>
  <c r="P89" i="31"/>
  <c r="ET117" i="31"/>
  <c r="ET116" i="29"/>
  <c r="ET148" i="29"/>
  <c r="S90" i="29"/>
  <c r="S89" i="31"/>
  <c r="CW90" i="29"/>
  <c r="CW89" i="31"/>
  <c r="V90" i="29"/>
  <c r="V89" i="31"/>
  <c r="DF90" i="29"/>
  <c r="DF89" i="31"/>
  <c r="BD90" i="29"/>
  <c r="BD89" i="31"/>
  <c r="HI93" i="29"/>
  <c r="HI94" i="31"/>
  <c r="AB90" i="29"/>
  <c r="AB89" i="31"/>
  <c r="HB93" i="29"/>
  <c r="HB94" i="31"/>
  <c r="IM106" i="31"/>
  <c r="IM106" i="29"/>
  <c r="IM110" i="31" s="1"/>
  <c r="IM103" i="29"/>
  <c r="GV93" i="29"/>
  <c r="GV94" i="31"/>
  <c r="GH93" i="29"/>
  <c r="GH94" i="31"/>
  <c r="FL93" i="29"/>
  <c r="FL94" i="31"/>
  <c r="IZ106" i="31"/>
  <c r="IZ106" i="29"/>
  <c r="IZ110" i="31" s="1"/>
  <c r="IZ103" i="29"/>
  <c r="IZ111" i="29" s="1"/>
  <c r="EX93" i="29"/>
  <c r="EX94" i="31"/>
  <c r="J85" i="29"/>
  <c r="J69" i="31"/>
  <c r="JI65" i="29"/>
  <c r="JI69" i="31" s="1"/>
  <c r="R90" i="29"/>
  <c r="R89" i="31"/>
  <c r="CI90" i="29"/>
  <c r="CI89" i="31"/>
  <c r="GL93" i="29"/>
  <c r="GL94" i="31"/>
  <c r="FG93" i="29"/>
  <c r="FG94" i="31"/>
  <c r="DB90" i="29"/>
  <c r="DB89" i="31"/>
  <c r="IJ106" i="31"/>
  <c r="IJ103" i="29"/>
  <c r="IJ106" i="29"/>
  <c r="IJ110" i="31" s="1"/>
  <c r="G90" i="29"/>
  <c r="G89" i="31"/>
  <c r="GQ93" i="29"/>
  <c r="GQ94" i="31"/>
  <c r="X90" i="29"/>
  <c r="X89" i="31"/>
  <c r="EE90" i="29"/>
  <c r="EE89" i="31"/>
  <c r="CN90" i="29"/>
  <c r="CN89" i="31"/>
  <c r="IH106" i="31"/>
  <c r="IH103" i="29"/>
  <c r="IH106" i="29"/>
  <c r="IH110" i="31" s="1"/>
  <c r="IN106" i="31"/>
  <c r="IN103" i="29"/>
  <c r="IN106" i="29"/>
  <c r="IN110" i="31" s="1"/>
  <c r="CV85" i="29"/>
  <c r="CV69" i="31"/>
  <c r="BB90" i="29"/>
  <c r="BB89" i="31"/>
  <c r="DS85" i="29"/>
  <c r="DS69" i="31"/>
  <c r="DY90" i="29"/>
  <c r="DY89" i="31"/>
  <c r="FE93" i="29"/>
  <c r="FE94" i="31"/>
  <c r="FJ93" i="29"/>
  <c r="FJ94" i="31"/>
  <c r="CS90" i="29"/>
  <c r="CS89" i="31"/>
  <c r="EJ90" i="29"/>
  <c r="EJ89" i="31"/>
  <c r="CJ90" i="29"/>
  <c r="CJ89" i="31"/>
  <c r="BU90" i="29"/>
  <c r="BU89" i="31"/>
  <c r="ER90" i="29"/>
  <c r="ER89" i="31"/>
  <c r="GZ93" i="29"/>
  <c r="GZ94" i="31"/>
  <c r="D83" i="29"/>
  <c r="D86" i="31"/>
  <c r="DZ85" i="29"/>
  <c r="DZ69" i="31"/>
  <c r="GX93" i="29"/>
  <c r="GX94" i="31"/>
  <c r="DQ90" i="29"/>
  <c r="DQ89" i="31"/>
  <c r="IC106" i="31"/>
  <c r="IC106" i="29"/>
  <c r="IC110" i="31" s="1"/>
  <c r="IC103" i="29"/>
  <c r="DC90" i="29"/>
  <c r="DC89" i="31"/>
  <c r="FO93" i="29"/>
  <c r="FO94" i="31"/>
  <c r="BC90" i="29"/>
  <c r="BC89" i="31"/>
  <c r="GD93" i="29"/>
  <c r="GD94" i="31"/>
  <c r="CL90" i="29"/>
  <c r="CL89" i="31"/>
  <c r="GM93" i="29"/>
  <c r="GM94" i="31"/>
  <c r="FT93" i="29"/>
  <c r="FT94" i="31"/>
  <c r="E83" i="29"/>
  <c r="E86" i="31"/>
  <c r="CG90" i="29"/>
  <c r="CG89" i="31"/>
  <c r="N90" i="29"/>
  <c r="N89" i="31"/>
  <c r="CF90" i="29"/>
  <c r="CF89" i="31"/>
  <c r="CZ90" i="29"/>
  <c r="CZ89" i="31"/>
  <c r="AD90" i="29"/>
  <c r="AD89" i="31"/>
  <c r="GK93" i="29"/>
  <c r="GK94" i="31"/>
  <c r="HG93" i="29"/>
  <c r="HG94" i="31"/>
  <c r="HO116" i="29"/>
  <c r="HO117" i="31"/>
  <c r="HR106" i="31"/>
  <c r="HR103" i="29"/>
  <c r="HR106" i="29"/>
  <c r="HR110" i="31" s="1"/>
  <c r="JA106" i="31"/>
  <c r="JA103" i="29"/>
  <c r="JA106" i="29"/>
  <c r="JA110" i="31" s="1"/>
  <c r="HJ93" i="29"/>
  <c r="HJ94" i="31"/>
  <c r="CT90" i="29"/>
  <c r="CT89" i="31"/>
  <c r="BE90" i="29"/>
  <c r="BE89" i="31"/>
  <c r="DN90" i="29"/>
  <c r="DN89" i="31"/>
  <c r="AZ90" i="29"/>
  <c r="AZ89" i="31"/>
  <c r="GS93" i="29"/>
  <c r="GS94" i="31"/>
  <c r="U90" i="29"/>
  <c r="U89" i="31"/>
  <c r="DU90" i="29"/>
  <c r="DU89" i="31"/>
  <c r="AX90" i="29"/>
  <c r="AX89" i="31"/>
  <c r="DD90" i="29"/>
  <c r="DD89" i="31"/>
  <c r="GU93" i="29"/>
  <c r="GU94" i="31"/>
  <c r="AV90" i="29"/>
  <c r="AV89" i="31"/>
  <c r="EU117" i="31"/>
  <c r="EU148" i="29"/>
  <c r="EU116" i="29"/>
  <c r="FN93" i="29"/>
  <c r="FN94" i="31"/>
  <c r="HK93" i="29"/>
  <c r="HK94" i="31"/>
  <c r="CD90" i="29"/>
  <c r="CD89" i="31"/>
  <c r="AJ85" i="29"/>
  <c r="AJ69" i="31"/>
  <c r="EK90" i="29"/>
  <c r="EK89" i="31"/>
  <c r="EI90" i="29"/>
  <c r="EI89" i="31"/>
  <c r="BQ85" i="29"/>
  <c r="BQ69" i="31"/>
  <c r="JH106" i="31"/>
  <c r="JH106" i="29"/>
  <c r="JH110" i="31" s="1"/>
  <c r="JH103" i="29"/>
  <c r="AQ90" i="29"/>
  <c r="AQ89" i="31"/>
  <c r="BN90" i="29"/>
  <c r="BN89" i="31"/>
  <c r="CX90" i="29"/>
  <c r="CX89" i="31"/>
  <c r="FF93" i="29"/>
  <c r="FF94" i="31"/>
  <c r="FH93" i="29"/>
  <c r="FH94" i="31"/>
  <c r="BH90" i="29"/>
  <c r="BH89" i="31"/>
  <c r="DI90" i="29"/>
  <c r="DI89" i="31"/>
  <c r="EZ93" i="29"/>
  <c r="EZ94" i="31"/>
  <c r="GG93" i="29"/>
  <c r="GG94" i="31"/>
  <c r="CO90" i="29"/>
  <c r="CO89" i="31"/>
  <c r="HQ106" i="31"/>
  <c r="HQ103" i="29"/>
  <c r="HQ106" i="29"/>
  <c r="HQ110" i="31" s="1"/>
  <c r="EH90" i="29"/>
  <c r="EH89" i="31"/>
  <c r="HD93" i="29"/>
  <c r="HD94" i="31"/>
  <c r="ET106" i="31"/>
  <c r="ET103" i="29"/>
  <c r="ET106" i="29"/>
  <c r="ET110" i="31" s="1"/>
  <c r="ED90" i="29"/>
  <c r="ED89" i="31"/>
  <c r="FB93" i="29"/>
  <c r="FB94" i="31"/>
  <c r="IY106" i="31"/>
  <c r="IY103" i="29"/>
  <c r="IY106" i="29"/>
  <c r="IY110" i="31" s="1"/>
  <c r="CE90" i="29"/>
  <c r="CE89" i="31"/>
  <c r="FR93" i="29"/>
  <c r="FR94" i="31"/>
  <c r="FW93" i="29"/>
  <c r="FW94" i="31"/>
  <c r="AY90" i="29"/>
  <c r="AY89" i="31"/>
  <c r="BR90" i="29"/>
  <c r="BR89" i="31"/>
  <c r="JO96" i="29"/>
  <c r="HL100" i="31"/>
  <c r="JO100" i="31" s="1"/>
  <c r="AI85" i="29"/>
  <c r="AI69" i="31"/>
  <c r="BI90" i="29"/>
  <c r="BI89" i="31"/>
  <c r="HC93" i="29"/>
  <c r="HC94" i="31"/>
  <c r="DT85" i="29"/>
  <c r="DT69" i="31"/>
  <c r="HL106" i="31"/>
  <c r="JO102" i="29"/>
  <c r="HL106" i="29"/>
  <c r="HL110" i="31" s="1"/>
  <c r="HL103" i="29"/>
  <c r="JO98" i="31"/>
  <c r="JO104" i="31" s="1"/>
  <c r="EL90" i="29"/>
  <c r="EL89" i="31"/>
  <c r="HS106" i="31"/>
  <c r="HS106" i="29"/>
  <c r="HS110" i="31" s="1"/>
  <c r="HS103" i="29"/>
  <c r="F90" i="29"/>
  <c r="F89" i="31"/>
  <c r="EO90" i="29"/>
  <c r="EO89" i="31"/>
  <c r="FC93" i="29"/>
  <c r="FC94" i="31"/>
  <c r="HH93" i="29"/>
  <c r="HH94" i="31"/>
  <c r="AR90" i="29"/>
  <c r="AR89" i="31"/>
  <c r="BY90" i="29"/>
  <c r="BY89" i="31"/>
  <c r="BK90" i="29"/>
  <c r="BK89" i="31"/>
  <c r="BL85" i="29"/>
  <c r="BL69" i="31"/>
  <c r="CQ90" i="29"/>
  <c r="CQ89" i="31"/>
  <c r="IP106" i="31"/>
  <c r="IP103" i="29"/>
  <c r="IP106" i="29"/>
  <c r="IP110" i="31" s="1"/>
  <c r="IU106" i="31"/>
  <c r="IU106" i="29"/>
  <c r="IU110" i="31" s="1"/>
  <c r="IU103" i="29"/>
  <c r="EG85" i="29"/>
  <c r="EG69" i="31"/>
  <c r="AA90" i="29"/>
  <c r="AA89" i="31"/>
  <c r="BA90" i="29"/>
  <c r="BA89" i="31"/>
  <c r="IK106" i="31"/>
  <c r="IK103" i="29"/>
  <c r="IK106" i="29"/>
  <c r="IK110" i="31" s="1"/>
  <c r="ID106" i="31"/>
  <c r="ID103" i="29"/>
  <c r="ID106" i="29"/>
  <c r="ID110" i="31" s="1"/>
  <c r="IT106" i="31"/>
  <c r="IT103" i="29"/>
  <c r="IT106" i="29"/>
  <c r="IT110" i="31" s="1"/>
  <c r="HT106" i="31"/>
  <c r="HT106" i="29"/>
  <c r="HT110" i="31" s="1"/>
  <c r="HT103" i="29"/>
  <c r="BZ90" i="29"/>
  <c r="BZ89" i="31"/>
  <c r="GY93" i="29"/>
  <c r="GY94" i="31"/>
  <c r="JC106" i="31"/>
  <c r="JC103" i="29"/>
  <c r="JC106" i="29"/>
  <c r="JC110" i="31" s="1"/>
  <c r="BV85" i="29"/>
  <c r="BV69" i="31"/>
  <c r="IW106" i="31"/>
  <c r="IW106" i="29"/>
  <c r="IW110" i="31" s="1"/>
  <c r="IW103" i="29"/>
  <c r="EY93" i="29"/>
  <c r="EY94" i="31"/>
  <c r="II106" i="31"/>
  <c r="II106" i="29"/>
  <c r="II110" i="31" s="1"/>
  <c r="II103" i="29"/>
  <c r="IF106" i="31"/>
  <c r="IF103" i="29"/>
  <c r="IF106" i="29"/>
  <c r="IF110" i="31" s="1"/>
  <c r="DO94" i="29"/>
  <c r="DO97" i="31"/>
  <c r="H90" i="29"/>
  <c r="H89" i="31"/>
  <c r="EA90" i="29"/>
  <c r="EA89" i="31"/>
  <c r="AN90" i="29"/>
  <c r="AN89" i="31"/>
  <c r="AE90" i="29"/>
  <c r="AE89" i="31"/>
  <c r="FS93" i="29"/>
  <c r="FS94" i="31"/>
  <c r="DH90" i="29"/>
  <c r="DH89" i="31"/>
  <c r="AK90" i="29"/>
  <c r="AK89" i="31"/>
  <c r="CH90" i="29"/>
  <c r="CH89" i="31"/>
  <c r="FM93" i="29"/>
  <c r="FM94" i="31"/>
  <c r="EQ85" i="29"/>
  <c r="EQ69" i="31"/>
  <c r="CP90" i="29"/>
  <c r="CP89" i="31"/>
  <c r="GJ93" i="29"/>
  <c r="GJ94" i="31"/>
  <c r="BP90" i="29"/>
  <c r="BP89" i="31"/>
  <c r="AF90" i="29"/>
  <c r="AF89" i="31"/>
  <c r="GI93" i="29"/>
  <c r="GI94" i="31"/>
  <c r="FD93" i="29"/>
  <c r="FD94" i="31"/>
  <c r="I90" i="29"/>
  <c r="I89" i="31"/>
  <c r="EW93" i="29"/>
  <c r="EW94" i="31"/>
  <c r="BT90" i="29"/>
  <c r="BT89" i="31"/>
  <c r="CC90" i="29"/>
  <c r="CC89" i="31"/>
  <c r="BW85" i="29"/>
  <c r="BW69" i="31"/>
  <c r="IO106" i="31"/>
  <c r="IO103" i="29"/>
  <c r="IO106" i="29"/>
  <c r="IO110" i="31" s="1"/>
  <c r="HN106" i="31"/>
  <c r="HN103" i="29"/>
  <c r="HN106" i="29"/>
  <c r="HN110" i="31" s="1"/>
  <c r="DX90" i="29"/>
  <c r="DX89" i="31"/>
  <c r="C90" i="29"/>
  <c r="C94" i="31" s="1"/>
  <c r="AC163" i="31" l="1"/>
  <c r="AC171" i="31" s="1"/>
  <c r="AC161" i="29"/>
  <c r="AC165" i="31" s="1"/>
  <c r="AC160" i="29"/>
  <c r="AC164" i="31" s="1"/>
  <c r="AC167" i="29"/>
  <c r="JM69" i="31"/>
  <c r="JP69" i="31" s="1"/>
  <c r="IO107" i="31"/>
  <c r="IO105" i="29"/>
  <c r="IO109" i="31" s="1"/>
  <c r="IO111" i="29"/>
  <c r="IO104" i="29"/>
  <c r="IO108" i="31" s="1"/>
  <c r="JC107" i="31"/>
  <c r="JC105" i="29"/>
  <c r="JC109" i="31" s="1"/>
  <c r="JC104" i="29"/>
  <c r="JC108" i="31" s="1"/>
  <c r="JC111" i="29"/>
  <c r="IK107" i="31"/>
  <c r="IK104" i="29"/>
  <c r="IK108" i="31" s="1"/>
  <c r="IK105" i="29"/>
  <c r="IK109" i="31" s="1"/>
  <c r="IU107" i="31"/>
  <c r="IU104" i="29"/>
  <c r="IU108" i="31" s="1"/>
  <c r="IU105" i="29"/>
  <c r="IU109" i="31" s="1"/>
  <c r="IU111" i="29"/>
  <c r="IP107" i="31"/>
  <c r="IP105" i="29"/>
  <c r="IP109" i="31" s="1"/>
  <c r="IP104" i="29"/>
  <c r="IP108" i="31" s="1"/>
  <c r="IP111" i="29"/>
  <c r="HS107" i="31"/>
  <c r="HS104" i="29"/>
  <c r="HS108" i="31" s="1"/>
  <c r="HS105" i="29"/>
  <c r="HS109" i="31" s="1"/>
  <c r="HS111" i="29"/>
  <c r="EL93" i="29"/>
  <c r="EL94" i="31"/>
  <c r="FR94" i="29"/>
  <c r="FR97" i="31"/>
  <c r="IY107" i="31"/>
  <c r="IY105" i="29"/>
  <c r="IY109" i="31" s="1"/>
  <c r="IY104" i="29"/>
  <c r="IY108" i="31" s="1"/>
  <c r="IY111" i="29"/>
  <c r="EH93" i="29"/>
  <c r="EH94" i="31"/>
  <c r="JH107" i="31"/>
  <c r="JH105" i="29"/>
  <c r="JH109" i="31" s="1"/>
  <c r="JH104" i="29"/>
  <c r="JH108" i="31" s="1"/>
  <c r="JH111" i="29"/>
  <c r="BQ90" i="29"/>
  <c r="BQ89" i="31"/>
  <c r="EK93" i="29"/>
  <c r="EK94" i="31"/>
  <c r="CD93" i="29"/>
  <c r="CD94" i="31"/>
  <c r="FN94" i="29"/>
  <c r="FN97" i="31"/>
  <c r="HR107" i="31"/>
  <c r="HR104" i="29"/>
  <c r="HR108" i="31" s="1"/>
  <c r="HR105" i="29"/>
  <c r="HR109" i="31" s="1"/>
  <c r="HR111" i="29"/>
  <c r="GX94" i="29"/>
  <c r="GX97" i="31"/>
  <c r="D85" i="29"/>
  <c r="D87" i="31"/>
  <c r="JI83" i="29"/>
  <c r="JI87" i="31" s="1"/>
  <c r="JL83" i="29"/>
  <c r="JP83" i="29" s="1"/>
  <c r="ER93" i="29"/>
  <c r="ER94" i="31"/>
  <c r="CJ93" i="29"/>
  <c r="CJ94" i="31"/>
  <c r="CS93" i="29"/>
  <c r="CS94" i="31"/>
  <c r="FE94" i="29"/>
  <c r="FE97" i="31"/>
  <c r="DS90" i="29"/>
  <c r="DS89" i="31"/>
  <c r="CV90" i="29"/>
  <c r="CV89" i="31"/>
  <c r="CN93" i="29"/>
  <c r="CN94" i="31"/>
  <c r="X93" i="29"/>
  <c r="X94" i="31"/>
  <c r="G93" i="29"/>
  <c r="G94" i="31"/>
  <c r="J90" i="29"/>
  <c r="J89" i="31"/>
  <c r="IM107" i="31"/>
  <c r="IM104" i="29"/>
  <c r="IM108" i="31" s="1"/>
  <c r="IM105" i="29"/>
  <c r="IM109" i="31" s="1"/>
  <c r="IM111" i="29"/>
  <c r="HB94" i="29"/>
  <c r="HB97" i="31"/>
  <c r="HI94" i="29"/>
  <c r="HI97" i="31"/>
  <c r="DF93" i="29"/>
  <c r="DF94" i="31"/>
  <c r="CW93" i="29"/>
  <c r="CW94" i="31"/>
  <c r="ET120" i="31"/>
  <c r="ET117" i="29"/>
  <c r="ET121" i="31" s="1"/>
  <c r="ET128" i="29"/>
  <c r="HN120" i="31"/>
  <c r="HN117" i="29"/>
  <c r="HN121" i="31" s="1"/>
  <c r="HN128" i="29"/>
  <c r="DP93" i="29"/>
  <c r="DP94" i="31"/>
  <c r="CU93" i="29"/>
  <c r="CU94" i="31"/>
  <c r="AW93" i="29"/>
  <c r="AW94" i="31"/>
  <c r="HF94" i="29"/>
  <c r="HF97" i="31"/>
  <c r="HM107" i="31"/>
  <c r="HM104" i="29"/>
  <c r="HM108" i="31" s="1"/>
  <c r="HM105" i="29"/>
  <c r="HM109" i="31" s="1"/>
  <c r="HM111" i="29"/>
  <c r="GC94" i="29"/>
  <c r="GC97" i="31"/>
  <c r="FQ94" i="29"/>
  <c r="FQ97" i="31"/>
  <c r="CB90" i="29"/>
  <c r="CB89" i="31"/>
  <c r="CM93" i="29"/>
  <c r="CM94" i="31"/>
  <c r="GW94" i="29"/>
  <c r="GW97" i="31"/>
  <c r="IS107" i="31"/>
  <c r="IS105" i="29"/>
  <c r="IS109" i="31" s="1"/>
  <c r="IS104" i="29"/>
  <c r="IS108" i="31" s="1"/>
  <c r="IV107" i="31"/>
  <c r="IV104" i="29"/>
  <c r="IV108" i="31" s="1"/>
  <c r="IV105" i="29"/>
  <c r="IV109" i="31" s="1"/>
  <c r="IV111" i="29"/>
  <c r="FU94" i="29"/>
  <c r="FU97" i="31"/>
  <c r="EF93" i="29"/>
  <c r="EF94" i="31"/>
  <c r="DV93" i="29"/>
  <c r="DV94" i="31"/>
  <c r="DK93" i="29"/>
  <c r="DK94" i="31"/>
  <c r="DE93" i="29"/>
  <c r="DE94" i="31"/>
  <c r="DW90" i="29"/>
  <c r="DW89" i="31"/>
  <c r="GB94" i="29"/>
  <c r="GB97" i="31"/>
  <c r="AU93" i="29"/>
  <c r="AU94" i="31"/>
  <c r="EM93" i="29"/>
  <c r="EM94" i="31"/>
  <c r="BX93" i="29"/>
  <c r="BX94" i="31"/>
  <c r="FK94" i="29"/>
  <c r="FK97" i="31"/>
  <c r="T93" i="29"/>
  <c r="T94" i="31"/>
  <c r="FI94" i="29"/>
  <c r="FI97" i="31"/>
  <c r="GA94" i="29"/>
  <c r="GA97" i="31"/>
  <c r="GT94" i="29"/>
  <c r="GT97" i="31"/>
  <c r="CY93" i="29"/>
  <c r="CY94" i="31"/>
  <c r="DJ93" i="29"/>
  <c r="DJ94" i="31"/>
  <c r="ES93" i="29"/>
  <c r="ES94" i="31"/>
  <c r="HX107" i="31"/>
  <c r="HX104" i="29"/>
  <c r="HX108" i="31" s="1"/>
  <c r="HX105" i="29"/>
  <c r="HX109" i="31" s="1"/>
  <c r="HX111" i="29"/>
  <c r="DR90" i="29"/>
  <c r="DR89" i="31"/>
  <c r="HN107" i="31"/>
  <c r="HN105" i="29"/>
  <c r="HN109" i="31" s="1"/>
  <c r="HN104" i="29"/>
  <c r="HN108" i="31" s="1"/>
  <c r="CC93" i="29"/>
  <c r="CC94" i="31"/>
  <c r="EW94" i="29"/>
  <c r="EW97" i="31"/>
  <c r="FD94" i="29"/>
  <c r="FD97" i="31"/>
  <c r="AF93" i="29"/>
  <c r="AF94" i="31"/>
  <c r="GJ94" i="29"/>
  <c r="GJ97" i="31"/>
  <c r="EQ90" i="29"/>
  <c r="EQ89" i="31"/>
  <c r="CH93" i="29"/>
  <c r="CH94" i="31"/>
  <c r="DH93" i="29"/>
  <c r="DH94" i="31"/>
  <c r="AE93" i="29"/>
  <c r="AE94" i="31"/>
  <c r="EA93" i="29"/>
  <c r="EA94" i="31"/>
  <c r="DO98" i="31"/>
  <c r="DO100" i="29"/>
  <c r="DO104" i="31" s="1"/>
  <c r="DO102" i="29"/>
  <c r="DO113" i="29"/>
  <c r="DO96" i="29"/>
  <c r="DO100" i="31" s="1"/>
  <c r="II107" i="31"/>
  <c r="II104" i="29"/>
  <c r="II108" i="31" s="1"/>
  <c r="II105" i="29"/>
  <c r="II109" i="31" s="1"/>
  <c r="II111" i="29"/>
  <c r="EY94" i="29"/>
  <c r="EY97" i="31"/>
  <c r="BZ93" i="29"/>
  <c r="BZ94" i="31"/>
  <c r="ID107" i="31"/>
  <c r="ID105" i="29"/>
  <c r="ID109" i="31" s="1"/>
  <c r="ID104" i="29"/>
  <c r="ID108" i="31" s="1"/>
  <c r="ID111" i="29"/>
  <c r="AA93" i="29"/>
  <c r="AA94" i="31"/>
  <c r="BL90" i="29"/>
  <c r="BL89" i="31"/>
  <c r="BY93" i="29"/>
  <c r="BY94" i="31"/>
  <c r="HH94" i="29"/>
  <c r="HH97" i="31"/>
  <c r="EO93" i="29"/>
  <c r="EO94" i="31"/>
  <c r="JO106" i="31"/>
  <c r="HC94" i="29"/>
  <c r="HC97" i="31"/>
  <c r="AI90" i="29"/>
  <c r="AI89" i="31"/>
  <c r="BR93" i="29"/>
  <c r="BR94" i="31"/>
  <c r="ED93" i="29"/>
  <c r="ED94" i="31"/>
  <c r="CO93" i="29"/>
  <c r="CO94" i="31"/>
  <c r="EZ94" i="29"/>
  <c r="EZ97" i="31"/>
  <c r="BH93" i="29"/>
  <c r="BH94" i="31"/>
  <c r="FF94" i="29"/>
  <c r="FF97" i="31"/>
  <c r="BN93" i="29"/>
  <c r="BN94" i="31"/>
  <c r="EU120" i="31"/>
  <c r="EU117" i="29"/>
  <c r="EU121" i="31" s="1"/>
  <c r="EU128" i="29"/>
  <c r="AV93" i="29"/>
  <c r="AV94" i="31"/>
  <c r="DD93" i="29"/>
  <c r="DD94" i="31"/>
  <c r="DU93" i="29"/>
  <c r="DU94" i="31"/>
  <c r="GS94" i="29"/>
  <c r="GS97" i="31"/>
  <c r="DN93" i="29"/>
  <c r="DN94" i="31"/>
  <c r="CT93" i="29"/>
  <c r="CT94" i="31"/>
  <c r="JA107" i="31"/>
  <c r="JA111" i="29"/>
  <c r="JA104" i="29"/>
  <c r="JA108" i="31" s="1"/>
  <c r="JA105" i="29"/>
  <c r="JA109" i="31" s="1"/>
  <c r="HG94" i="29"/>
  <c r="HG97" i="31"/>
  <c r="AD93" i="29"/>
  <c r="AD94" i="31"/>
  <c r="CF93" i="29"/>
  <c r="CF94" i="31"/>
  <c r="CG93" i="29"/>
  <c r="CG94" i="31"/>
  <c r="FT94" i="29"/>
  <c r="FT97" i="31"/>
  <c r="CL93" i="29"/>
  <c r="CL94" i="31"/>
  <c r="BC93" i="29"/>
  <c r="BC94" i="31"/>
  <c r="DC93" i="29"/>
  <c r="DC94" i="31"/>
  <c r="IH107" i="31"/>
  <c r="IH105" i="29"/>
  <c r="IH109" i="31" s="1"/>
  <c r="IH104" i="29"/>
  <c r="IH108" i="31" s="1"/>
  <c r="IH111" i="29"/>
  <c r="DB93" i="29"/>
  <c r="DB94" i="31"/>
  <c r="GL94" i="29"/>
  <c r="GL97" i="31"/>
  <c r="R93" i="29"/>
  <c r="R94" i="31"/>
  <c r="GH94" i="29"/>
  <c r="GH97" i="31"/>
  <c r="IA107" i="31"/>
  <c r="IA105" i="29"/>
  <c r="IA109" i="31" s="1"/>
  <c r="IA111" i="29"/>
  <c r="IA104" i="29"/>
  <c r="IA108" i="31" s="1"/>
  <c r="HP107" i="31"/>
  <c r="HP105" i="29"/>
  <c r="HP109" i="31" s="1"/>
  <c r="HP104" i="29"/>
  <c r="HP108" i="31" s="1"/>
  <c r="HP111" i="29"/>
  <c r="HZ107" i="31"/>
  <c r="HZ105" i="29"/>
  <c r="HZ109" i="31" s="1"/>
  <c r="HZ104" i="29"/>
  <c r="HZ108" i="31" s="1"/>
  <c r="HZ111" i="29"/>
  <c r="BJ93" i="29"/>
  <c r="BJ94" i="31"/>
  <c r="AT93" i="29"/>
  <c r="AT94" i="31"/>
  <c r="AL93" i="29"/>
  <c r="AL94" i="31"/>
  <c r="IQ107" i="31"/>
  <c r="IQ104" i="29"/>
  <c r="IQ108" i="31" s="1"/>
  <c r="IQ105" i="29"/>
  <c r="IQ109" i="31" s="1"/>
  <c r="IQ111" i="29"/>
  <c r="IR107" i="31"/>
  <c r="IR111" i="29"/>
  <c r="IR104" i="29"/>
  <c r="IR108" i="31" s="1"/>
  <c r="IR105" i="29"/>
  <c r="IR109" i="31" s="1"/>
  <c r="HE94" i="29"/>
  <c r="HE97" i="31"/>
  <c r="HY107" i="31"/>
  <c r="HY111" i="29"/>
  <c r="HY104" i="29"/>
  <c r="HY108" i="31" s="1"/>
  <c r="HY105" i="29"/>
  <c r="HY109" i="31" s="1"/>
  <c r="AG93" i="29"/>
  <c r="AG94" i="31"/>
  <c r="HV107" i="31"/>
  <c r="HV104" i="29"/>
  <c r="HV108" i="31" s="1"/>
  <c r="HV105" i="29"/>
  <c r="HV109" i="31" s="1"/>
  <c r="HV111" i="29"/>
  <c r="AO93" i="29"/>
  <c r="AO94" i="31"/>
  <c r="GF94" i="29"/>
  <c r="GF97" i="31"/>
  <c r="JF107" i="31"/>
  <c r="JF104" i="29"/>
  <c r="JF108" i="31" s="1"/>
  <c r="JF105" i="29"/>
  <c r="JF109" i="31" s="1"/>
  <c r="IL107" i="31"/>
  <c r="IL104" i="29"/>
  <c r="IL108" i="31" s="1"/>
  <c r="IL105" i="29"/>
  <c r="IL109" i="31" s="1"/>
  <c r="JD107" i="31"/>
  <c r="JD105" i="29"/>
  <c r="JD109" i="31" s="1"/>
  <c r="JD104" i="29"/>
  <c r="JD108" i="31" s="1"/>
  <c r="JD111" i="29"/>
  <c r="AS93" i="29"/>
  <c r="AS94" i="31"/>
  <c r="L93" i="29"/>
  <c r="L94" i="31"/>
  <c r="FZ94" i="29"/>
  <c r="FZ97" i="31"/>
  <c r="FX94" i="29"/>
  <c r="FX97" i="31"/>
  <c r="IW107" i="31"/>
  <c r="IW104" i="29"/>
  <c r="IW108" i="31" s="1"/>
  <c r="IW105" i="29"/>
  <c r="IW109" i="31" s="1"/>
  <c r="IW111" i="29"/>
  <c r="BV90" i="29"/>
  <c r="BV89" i="31"/>
  <c r="HT107" i="31"/>
  <c r="HT104" i="29"/>
  <c r="HT108" i="31" s="1"/>
  <c r="HT105" i="29"/>
  <c r="HT109" i="31" s="1"/>
  <c r="HT111" i="29"/>
  <c r="IT107" i="31"/>
  <c r="IT105" i="29"/>
  <c r="IT109" i="31" s="1"/>
  <c r="IT104" i="29"/>
  <c r="IT108" i="31" s="1"/>
  <c r="IT111" i="29"/>
  <c r="HL107" i="31"/>
  <c r="HL104" i="29"/>
  <c r="HL105" i="29"/>
  <c r="JO103" i="29"/>
  <c r="HL111" i="29"/>
  <c r="FW94" i="29"/>
  <c r="FW97" i="31"/>
  <c r="CE93" i="29"/>
  <c r="CE94" i="31"/>
  <c r="HD94" i="29"/>
  <c r="HD97" i="31"/>
  <c r="HQ107" i="31"/>
  <c r="HQ105" i="29"/>
  <c r="HQ109" i="31" s="1"/>
  <c r="HQ104" i="29"/>
  <c r="HQ108" i="31" s="1"/>
  <c r="HQ111" i="29"/>
  <c r="EI93" i="29"/>
  <c r="EI94" i="31"/>
  <c r="AJ90" i="29"/>
  <c r="AJ89" i="31"/>
  <c r="HK94" i="29"/>
  <c r="HK97" i="31"/>
  <c r="EU152" i="31"/>
  <c r="EU154" i="29"/>
  <c r="EU164" i="29" s="1"/>
  <c r="EU168" i="31" s="1"/>
  <c r="EU151" i="29"/>
  <c r="EU163" i="29"/>
  <c r="IC107" i="31"/>
  <c r="IC104" i="29"/>
  <c r="IC108" i="31" s="1"/>
  <c r="IC105" i="29"/>
  <c r="IC109" i="31" s="1"/>
  <c r="IC111" i="29"/>
  <c r="DQ93" i="29"/>
  <c r="DQ94" i="31"/>
  <c r="DZ90" i="29"/>
  <c r="DZ89" i="31"/>
  <c r="GZ94" i="29"/>
  <c r="GZ97" i="31"/>
  <c r="BU93" i="29"/>
  <c r="BU94" i="31"/>
  <c r="EJ93" i="29"/>
  <c r="EJ94" i="31"/>
  <c r="FJ94" i="29"/>
  <c r="FJ97" i="31"/>
  <c r="DY93" i="29"/>
  <c r="DY94" i="31"/>
  <c r="BB93" i="29"/>
  <c r="BB94" i="31"/>
  <c r="IN107" i="31"/>
  <c r="IN104" i="29"/>
  <c r="IN108" i="31" s="1"/>
  <c r="IN105" i="29"/>
  <c r="IN109" i="31" s="1"/>
  <c r="IN111" i="29"/>
  <c r="EE93" i="29"/>
  <c r="EE94" i="31"/>
  <c r="GQ94" i="29"/>
  <c r="GQ97" i="31"/>
  <c r="IJ107" i="31"/>
  <c r="IJ104" i="29"/>
  <c r="IJ108" i="31" s="1"/>
  <c r="IJ105" i="29"/>
  <c r="IJ109" i="31" s="1"/>
  <c r="IJ111" i="29"/>
  <c r="EX94" i="29"/>
  <c r="EX97" i="31"/>
  <c r="AB93" i="29"/>
  <c r="AB94" i="31"/>
  <c r="BD93" i="29"/>
  <c r="BD94" i="31"/>
  <c r="V93" i="29"/>
  <c r="V94" i="31"/>
  <c r="S93" i="29"/>
  <c r="S94" i="31"/>
  <c r="IE107" i="31"/>
  <c r="IE105" i="29"/>
  <c r="IE109" i="31" s="1"/>
  <c r="IE111" i="29"/>
  <c r="IE104" i="29"/>
  <c r="IE108" i="31" s="1"/>
  <c r="M93" i="29"/>
  <c r="M94" i="31"/>
  <c r="GP94" i="29"/>
  <c r="GP97" i="31"/>
  <c r="BG93" i="29"/>
  <c r="BG94" i="31"/>
  <c r="BF93" i="29"/>
  <c r="BF94" i="31"/>
  <c r="CK93" i="29"/>
  <c r="CK94" i="31"/>
  <c r="BS93" i="29"/>
  <c r="BS94" i="31"/>
  <c r="Y93" i="29"/>
  <c r="Y94" i="31"/>
  <c r="IX107" i="31"/>
  <c r="IX105" i="29"/>
  <c r="IX109" i="31" s="1"/>
  <c r="IX104" i="29"/>
  <c r="IX108" i="31" s="1"/>
  <c r="IX111" i="29"/>
  <c r="GE94" i="29"/>
  <c r="GE97" i="31"/>
  <c r="EU107" i="31"/>
  <c r="EU104" i="29"/>
  <c r="EU108" i="31" s="1"/>
  <c r="EU105" i="29"/>
  <c r="EU109" i="31" s="1"/>
  <c r="Z93" i="29"/>
  <c r="Z94" i="31"/>
  <c r="K90" i="29"/>
  <c r="K89" i="31"/>
  <c r="IK120" i="31"/>
  <c r="IK128" i="29"/>
  <c r="IK117" i="29"/>
  <c r="IK121" i="31" s="1"/>
  <c r="O93" i="29"/>
  <c r="O94" i="31"/>
  <c r="EN93" i="29"/>
  <c r="EN94" i="31"/>
  <c r="DA93" i="29"/>
  <c r="DA94" i="31"/>
  <c r="Q93" i="29"/>
  <c r="Q94" i="31"/>
  <c r="FV94" i="29"/>
  <c r="FV97" i="31"/>
  <c r="BM90" i="29"/>
  <c r="BM89" i="31"/>
  <c r="HA94" i="29"/>
  <c r="HA97" i="31"/>
  <c r="JE107" i="31"/>
  <c r="JE111" i="29"/>
  <c r="JE105" i="29"/>
  <c r="JE109" i="31" s="1"/>
  <c r="JE104" i="29"/>
  <c r="JE108" i="31" s="1"/>
  <c r="GO94" i="29"/>
  <c r="GO97" i="31"/>
  <c r="AM93" i="29"/>
  <c r="AM94" i="31"/>
  <c r="FA94" i="29"/>
  <c r="FA97" i="31"/>
  <c r="W93" i="29"/>
  <c r="W94" i="31"/>
  <c r="FP94" i="29"/>
  <c r="FP97" i="31"/>
  <c r="EV97" i="31"/>
  <c r="EV94" i="29"/>
  <c r="JN93" i="29"/>
  <c r="EC93" i="29"/>
  <c r="EC94" i="31"/>
  <c r="BO93" i="29"/>
  <c r="BO94" i="31"/>
  <c r="CR93" i="29"/>
  <c r="CR94" i="31"/>
  <c r="GN94" i="29"/>
  <c r="GN97" i="31"/>
  <c r="AH93" i="29"/>
  <c r="AH94" i="31"/>
  <c r="DX93" i="29"/>
  <c r="DX94" i="31"/>
  <c r="BW90" i="29"/>
  <c r="BW89" i="31"/>
  <c r="BT93" i="29"/>
  <c r="BT94" i="31"/>
  <c r="I93" i="29"/>
  <c r="I94" i="31"/>
  <c r="GI94" i="29"/>
  <c r="GI97" i="31"/>
  <c r="BP93" i="29"/>
  <c r="BP94" i="31"/>
  <c r="CP93" i="29"/>
  <c r="CP94" i="31"/>
  <c r="FM94" i="29"/>
  <c r="FM97" i="31"/>
  <c r="AK93" i="29"/>
  <c r="AK94" i="31"/>
  <c r="FS94" i="29"/>
  <c r="FS97" i="31"/>
  <c r="AN93" i="29"/>
  <c r="AN94" i="31"/>
  <c r="H93" i="29"/>
  <c r="H94" i="31"/>
  <c r="IF107" i="31"/>
  <c r="IF105" i="29"/>
  <c r="IF109" i="31" s="1"/>
  <c r="IF104" i="29"/>
  <c r="IF108" i="31" s="1"/>
  <c r="IF111" i="29"/>
  <c r="GY94" i="29"/>
  <c r="GY97" i="31"/>
  <c r="BA93" i="29"/>
  <c r="BA94" i="31"/>
  <c r="EG90" i="29"/>
  <c r="EG89" i="31"/>
  <c r="CQ93" i="29"/>
  <c r="CQ94" i="31"/>
  <c r="BK93" i="29"/>
  <c r="BK94" i="31"/>
  <c r="AR93" i="29"/>
  <c r="AR94" i="31"/>
  <c r="FC94" i="29"/>
  <c r="FC97" i="31"/>
  <c r="F94" i="31"/>
  <c r="F93" i="29"/>
  <c r="DT90" i="29"/>
  <c r="DT89" i="31"/>
  <c r="BI93" i="29"/>
  <c r="BI94" i="31"/>
  <c r="AY93" i="29"/>
  <c r="AY94" i="31"/>
  <c r="FB94" i="29"/>
  <c r="FB97" i="31"/>
  <c r="ET107" i="31"/>
  <c r="ET105" i="29"/>
  <c r="ET109" i="31" s="1"/>
  <c r="ET104" i="29"/>
  <c r="ET108" i="31" s="1"/>
  <c r="GG94" i="29"/>
  <c r="GG97" i="31"/>
  <c r="DI93" i="29"/>
  <c r="DI94" i="31"/>
  <c r="FH94" i="29"/>
  <c r="FH97" i="31"/>
  <c r="CX93" i="29"/>
  <c r="CX94" i="31"/>
  <c r="AQ93" i="29"/>
  <c r="AQ94" i="31"/>
  <c r="GU94" i="29"/>
  <c r="GU97" i="31"/>
  <c r="AX93" i="29"/>
  <c r="AX94" i="31"/>
  <c r="U93" i="29"/>
  <c r="U94" i="31"/>
  <c r="AZ93" i="29"/>
  <c r="AZ94" i="31"/>
  <c r="BE93" i="29"/>
  <c r="BE94" i="31"/>
  <c r="HJ94" i="29"/>
  <c r="HJ97" i="31"/>
  <c r="HO120" i="31"/>
  <c r="HO117" i="29"/>
  <c r="HO121" i="31" s="1"/>
  <c r="HO128" i="29"/>
  <c r="GK94" i="29"/>
  <c r="GK97" i="31"/>
  <c r="CZ93" i="29"/>
  <c r="CZ94" i="31"/>
  <c r="N93" i="29"/>
  <c r="N94" i="31"/>
  <c r="E85" i="29"/>
  <c r="E87" i="31"/>
  <c r="GM94" i="29"/>
  <c r="GM97" i="31"/>
  <c r="GD94" i="29"/>
  <c r="GD97" i="31"/>
  <c r="FO94" i="29"/>
  <c r="FO97" i="31"/>
  <c r="FG94" i="29"/>
  <c r="FG97" i="31"/>
  <c r="CI93" i="29"/>
  <c r="CI94" i="31"/>
  <c r="IZ107" i="31"/>
  <c r="IZ104" i="29"/>
  <c r="IZ108" i="31" s="1"/>
  <c r="IZ105" i="29"/>
  <c r="IZ109" i="31" s="1"/>
  <c r="FL94" i="29"/>
  <c r="FL97" i="31"/>
  <c r="GV94" i="29"/>
  <c r="GV97" i="31"/>
  <c r="ET152" i="31"/>
  <c r="ET154" i="29"/>
  <c r="ET164" i="29" s="1"/>
  <c r="ET168" i="31" s="1"/>
  <c r="ET163" i="29"/>
  <c r="ET151" i="29"/>
  <c r="P93" i="29"/>
  <c r="P94" i="31"/>
  <c r="HN152" i="31"/>
  <c r="HN151" i="29"/>
  <c r="HN154" i="29"/>
  <c r="HN164" i="29" s="1"/>
  <c r="HN168" i="31" s="1"/>
  <c r="HN163" i="29"/>
  <c r="JB107" i="31"/>
  <c r="JB104" i="29"/>
  <c r="JB108" i="31" s="1"/>
  <c r="JB105" i="29"/>
  <c r="JB109" i="31" s="1"/>
  <c r="JB111" i="29"/>
  <c r="GR94" i="29"/>
  <c r="GR97" i="31"/>
  <c r="DL93" i="29"/>
  <c r="DL94" i="31"/>
  <c r="JG107" i="31"/>
  <c r="JG105" i="29"/>
  <c r="JG109" i="31" s="1"/>
  <c r="JG104" i="29"/>
  <c r="JG108" i="31" s="1"/>
  <c r="EP93" i="29"/>
  <c r="EP94" i="31"/>
  <c r="IG107" i="31"/>
  <c r="IG105" i="29"/>
  <c r="IG109" i="31" s="1"/>
  <c r="IG104" i="29"/>
  <c r="IG108" i="31" s="1"/>
  <c r="IG111" i="29"/>
  <c r="HO107" i="31"/>
  <c r="HO104" i="29"/>
  <c r="HO108" i="31" s="1"/>
  <c r="HO105" i="29"/>
  <c r="HO109" i="31" s="1"/>
  <c r="HU107" i="31"/>
  <c r="HU105" i="29"/>
  <c r="HU109" i="31" s="1"/>
  <c r="HU104" i="29"/>
  <c r="HU108" i="31" s="1"/>
  <c r="HU111" i="29"/>
  <c r="IB107" i="31"/>
  <c r="IB105" i="29"/>
  <c r="IB109" i="31" s="1"/>
  <c r="IB104" i="29"/>
  <c r="IB108" i="31" s="1"/>
  <c r="IK152" i="31"/>
  <c r="IK154" i="29"/>
  <c r="IK164" i="29" s="1"/>
  <c r="IK168" i="31" s="1"/>
  <c r="IK151" i="29"/>
  <c r="IK163" i="29"/>
  <c r="AP90" i="29"/>
  <c r="AP89" i="31"/>
  <c r="HW107" i="31"/>
  <c r="HW104" i="29"/>
  <c r="HW108" i="31" s="1"/>
  <c r="HW105" i="29"/>
  <c r="HW109" i="31" s="1"/>
  <c r="HW111" i="29"/>
  <c r="JN94" i="31"/>
  <c r="DG90" i="29"/>
  <c r="DG89" i="31"/>
  <c r="FY94" i="29"/>
  <c r="FY97" i="31"/>
  <c r="DM93" i="29"/>
  <c r="DM94" i="31"/>
  <c r="EB93" i="29"/>
  <c r="EB94" i="31"/>
  <c r="C93" i="29"/>
  <c r="C97" i="31" s="1"/>
  <c r="JM90" i="29" l="1"/>
  <c r="IK155" i="29"/>
  <c r="IK156" i="29" s="1"/>
  <c r="EU155" i="29"/>
  <c r="WC34" i="1" s="1"/>
  <c r="DM97" i="31"/>
  <c r="DM94" i="29"/>
  <c r="IK167" i="31"/>
  <c r="IK165" i="29"/>
  <c r="IK169" i="31" s="1"/>
  <c r="IG113" i="29"/>
  <c r="IG115" i="31"/>
  <c r="P97" i="31"/>
  <c r="P94" i="29"/>
  <c r="HJ98" i="31"/>
  <c r="HJ113" i="29"/>
  <c r="HJ102" i="29"/>
  <c r="HJ100" i="29"/>
  <c r="HJ104" i="31" s="1"/>
  <c r="HJ96" i="29"/>
  <c r="HJ100" i="31" s="1"/>
  <c r="AX97" i="31"/>
  <c r="AX94" i="29"/>
  <c r="GG98" i="31"/>
  <c r="GG102" i="29"/>
  <c r="GG100" i="29"/>
  <c r="GG104" i="31" s="1"/>
  <c r="GG96" i="29"/>
  <c r="GG100" i="31" s="1"/>
  <c r="GG113" i="29"/>
  <c r="BK97" i="31"/>
  <c r="BK94" i="29"/>
  <c r="AN94" i="29"/>
  <c r="AN97" i="31"/>
  <c r="GI98" i="31"/>
  <c r="GI96" i="29"/>
  <c r="GI100" i="31" s="1"/>
  <c r="GI102" i="29"/>
  <c r="GI100" i="29"/>
  <c r="GI104" i="31" s="1"/>
  <c r="GI113" i="29"/>
  <c r="DX94" i="29"/>
  <c r="DX97" i="31"/>
  <c r="FP98" i="31"/>
  <c r="FP96" i="29"/>
  <c r="FP100" i="31" s="1"/>
  <c r="FP102" i="29"/>
  <c r="FP113" i="29"/>
  <c r="FP100" i="29"/>
  <c r="FP104" i="31" s="1"/>
  <c r="FA98" i="31"/>
  <c r="FA96" i="29"/>
  <c r="FA100" i="31" s="1"/>
  <c r="FA100" i="29"/>
  <c r="FA104" i="31" s="1"/>
  <c r="FA113" i="29"/>
  <c r="FA102" i="29"/>
  <c r="GO98" i="31"/>
  <c r="GO96" i="29"/>
  <c r="GO100" i="31" s="1"/>
  <c r="GO102" i="29"/>
  <c r="GO113" i="29"/>
  <c r="GO100" i="29"/>
  <c r="GO104" i="31" s="1"/>
  <c r="BM93" i="29"/>
  <c r="BM94" i="31"/>
  <c r="Q97" i="31"/>
  <c r="Q94" i="29"/>
  <c r="EN94" i="29"/>
  <c r="EN97" i="31"/>
  <c r="IK129" i="29"/>
  <c r="IK133" i="31" s="1"/>
  <c r="IK132" i="31"/>
  <c r="Y97" i="31"/>
  <c r="Y94" i="29"/>
  <c r="CK97" i="31"/>
  <c r="CK94" i="29"/>
  <c r="BG97" i="31"/>
  <c r="BG94" i="29"/>
  <c r="M97" i="31"/>
  <c r="M94" i="29"/>
  <c r="V97" i="31"/>
  <c r="V94" i="29"/>
  <c r="AB97" i="31"/>
  <c r="AB94" i="29"/>
  <c r="GQ98" i="31"/>
  <c r="GQ96" i="29"/>
  <c r="GQ100" i="31" s="1"/>
  <c r="GQ113" i="29"/>
  <c r="GQ100" i="29"/>
  <c r="GQ104" i="31" s="1"/>
  <c r="GQ102" i="29"/>
  <c r="BB94" i="29"/>
  <c r="BB97" i="31"/>
  <c r="FJ98" i="31"/>
  <c r="FJ96" i="29"/>
  <c r="FJ100" i="31" s="1"/>
  <c r="FJ113" i="29"/>
  <c r="FJ102" i="29"/>
  <c r="FJ100" i="29"/>
  <c r="FJ104" i="31" s="1"/>
  <c r="BU97" i="31"/>
  <c r="BU94" i="29"/>
  <c r="DZ93" i="29"/>
  <c r="DZ94" i="31"/>
  <c r="EU167" i="31"/>
  <c r="EU165" i="29"/>
  <c r="EU169" i="31" s="1"/>
  <c r="HL115" i="31"/>
  <c r="JI111" i="29"/>
  <c r="JI115" i="31" s="1"/>
  <c r="HL113" i="29"/>
  <c r="JO107" i="31"/>
  <c r="FX98" i="31"/>
  <c r="FX100" i="29"/>
  <c r="FX104" i="31" s="1"/>
  <c r="FX113" i="29"/>
  <c r="FX96" i="29"/>
  <c r="FX100" i="31" s="1"/>
  <c r="FX102" i="29"/>
  <c r="L97" i="31"/>
  <c r="L94" i="29"/>
  <c r="IL113" i="29"/>
  <c r="IL115" i="31"/>
  <c r="GF98" i="31"/>
  <c r="GF96" i="29"/>
  <c r="GF100" i="31" s="1"/>
  <c r="GF113" i="29"/>
  <c r="GF100" i="29"/>
  <c r="GF104" i="31" s="1"/>
  <c r="GF102" i="29"/>
  <c r="AG97" i="31"/>
  <c r="AG94" i="29"/>
  <c r="AL97" i="31"/>
  <c r="AL94" i="29"/>
  <c r="BJ97" i="31"/>
  <c r="BJ94" i="29"/>
  <c r="JA113" i="29"/>
  <c r="JA115" i="31"/>
  <c r="FF98" i="31"/>
  <c r="FF100" i="29"/>
  <c r="FF104" i="31" s="1"/>
  <c r="FF113" i="29"/>
  <c r="FF102" i="29"/>
  <c r="FF96" i="29"/>
  <c r="FF100" i="31" s="1"/>
  <c r="EZ98" i="31"/>
  <c r="EZ96" i="29"/>
  <c r="EZ100" i="31" s="1"/>
  <c r="EZ113" i="29"/>
  <c r="EZ100" i="29"/>
  <c r="EZ104" i="31" s="1"/>
  <c r="EZ102" i="29"/>
  <c r="ED94" i="29"/>
  <c r="ED97" i="31"/>
  <c r="AI93" i="29"/>
  <c r="AI94" i="31"/>
  <c r="DO106" i="31"/>
  <c r="DO106" i="29"/>
  <c r="DO110" i="31" s="1"/>
  <c r="DO103" i="29"/>
  <c r="EA97" i="31"/>
  <c r="EA94" i="29"/>
  <c r="DH97" i="31"/>
  <c r="DH94" i="29"/>
  <c r="EQ93" i="29"/>
  <c r="EQ94" i="31"/>
  <c r="AF97" i="31"/>
  <c r="AF94" i="29"/>
  <c r="EW98" i="31"/>
  <c r="EW100" i="29"/>
  <c r="EW104" i="31" s="1"/>
  <c r="EW96" i="29"/>
  <c r="EW100" i="31" s="1"/>
  <c r="EW113" i="29"/>
  <c r="EW102" i="29"/>
  <c r="HX113" i="29"/>
  <c r="HX115" i="31"/>
  <c r="IV113" i="29"/>
  <c r="IV115" i="31"/>
  <c r="IS113" i="29"/>
  <c r="IS115" i="31"/>
  <c r="IM113" i="29"/>
  <c r="IM115" i="31"/>
  <c r="EL94" i="29"/>
  <c r="EL97" i="31"/>
  <c r="JC113" i="29"/>
  <c r="JC115" i="31"/>
  <c r="IB113" i="29"/>
  <c r="IB115" i="31"/>
  <c r="HU113" i="29"/>
  <c r="HU115" i="31"/>
  <c r="EP94" i="29"/>
  <c r="EP97" i="31"/>
  <c r="GR98" i="31"/>
  <c r="GR96" i="29"/>
  <c r="GR100" i="31" s="1"/>
  <c r="GR113" i="29"/>
  <c r="GR100" i="29"/>
  <c r="GR104" i="31" s="1"/>
  <c r="GR102" i="29"/>
  <c r="HN152" i="29"/>
  <c r="HN156" i="31" s="1"/>
  <c r="HN155" i="31"/>
  <c r="ET155" i="29"/>
  <c r="WC35" i="1" s="1"/>
  <c r="FL98" i="31"/>
  <c r="FL100" i="29"/>
  <c r="FL104" i="31" s="1"/>
  <c r="FL113" i="29"/>
  <c r="FL96" i="29"/>
  <c r="FL100" i="31" s="1"/>
  <c r="FL102" i="29"/>
  <c r="FG96" i="29"/>
  <c r="FG100" i="31" s="1"/>
  <c r="FG98" i="31"/>
  <c r="FG102" i="29"/>
  <c r="FG100" i="29"/>
  <c r="FG104" i="31" s="1"/>
  <c r="FG113" i="29"/>
  <c r="GD98" i="31"/>
  <c r="GD100" i="29"/>
  <c r="GD104" i="31" s="1"/>
  <c r="GD96" i="29"/>
  <c r="GD100" i="31" s="1"/>
  <c r="GD113" i="29"/>
  <c r="GD102" i="29"/>
  <c r="E90" i="29"/>
  <c r="E89" i="31"/>
  <c r="CZ97" i="31"/>
  <c r="CZ94" i="29"/>
  <c r="FB98" i="31"/>
  <c r="FB96" i="29"/>
  <c r="FB100" i="31" s="1"/>
  <c r="FB100" i="29"/>
  <c r="FB104" i="31" s="1"/>
  <c r="FB102" i="29"/>
  <c r="FB113" i="29"/>
  <c r="BI97" i="31"/>
  <c r="BI94" i="29"/>
  <c r="F97" i="31"/>
  <c r="F94" i="29"/>
  <c r="IF113" i="29"/>
  <c r="IF115" i="31"/>
  <c r="GN98" i="31"/>
  <c r="GN100" i="29"/>
  <c r="GN104" i="31" s="1"/>
  <c r="GN102" i="29"/>
  <c r="GN96" i="29"/>
  <c r="GN100" i="31" s="1"/>
  <c r="GN113" i="29"/>
  <c r="BO94" i="29"/>
  <c r="BO97" i="31"/>
  <c r="EV98" i="31"/>
  <c r="EV113" i="29"/>
  <c r="EV96" i="29"/>
  <c r="EV102" i="29"/>
  <c r="JN94" i="29"/>
  <c r="JN100" i="29" s="1"/>
  <c r="EV100" i="29"/>
  <c r="EV104" i="31" s="1"/>
  <c r="Z97" i="31"/>
  <c r="Z94" i="29"/>
  <c r="EU152" i="29"/>
  <c r="EU156" i="31" s="1"/>
  <c r="EU155" i="31"/>
  <c r="HK98" i="31"/>
  <c r="HK100" i="29"/>
  <c r="HK104" i="31" s="1"/>
  <c r="HK102" i="29"/>
  <c r="HK113" i="29"/>
  <c r="HK96" i="29"/>
  <c r="HK100" i="31" s="1"/>
  <c r="EI94" i="29"/>
  <c r="EI97" i="31"/>
  <c r="CE97" i="31"/>
  <c r="CE94" i="29"/>
  <c r="IT113" i="29"/>
  <c r="IT115" i="31"/>
  <c r="HT113" i="29"/>
  <c r="HT115" i="31"/>
  <c r="JF113" i="29"/>
  <c r="JF115" i="31"/>
  <c r="IR113" i="29"/>
  <c r="IR115" i="31"/>
  <c r="HZ113" i="29"/>
  <c r="HZ115" i="31"/>
  <c r="HP113" i="29"/>
  <c r="HP115" i="31"/>
  <c r="R97" i="31"/>
  <c r="R94" i="29"/>
  <c r="DB97" i="31"/>
  <c r="DB94" i="29"/>
  <c r="BC97" i="31"/>
  <c r="BC94" i="29"/>
  <c r="FT98" i="31"/>
  <c r="FT102" i="29"/>
  <c r="FT113" i="29"/>
  <c r="FT96" i="29"/>
  <c r="FT100" i="31" s="1"/>
  <c r="FT100" i="29"/>
  <c r="FT104" i="31" s="1"/>
  <c r="CF97" i="31"/>
  <c r="CF94" i="29"/>
  <c r="HG98" i="31"/>
  <c r="HG113" i="29"/>
  <c r="HG102" i="29"/>
  <c r="HG96" i="29"/>
  <c r="HG100" i="31" s="1"/>
  <c r="HG100" i="29"/>
  <c r="HG104" i="31" s="1"/>
  <c r="DN94" i="29"/>
  <c r="DN97" i="31"/>
  <c r="DU94" i="29"/>
  <c r="DU97" i="31"/>
  <c r="AV97" i="31"/>
  <c r="AV94" i="29"/>
  <c r="EO94" i="29"/>
  <c r="EO97" i="31"/>
  <c r="BY97" i="31"/>
  <c r="BY94" i="29"/>
  <c r="AA94" i="29"/>
  <c r="AA97" i="31"/>
  <c r="EY98" i="31"/>
  <c r="EY96" i="29"/>
  <c r="EY100" i="31" s="1"/>
  <c r="EY100" i="29"/>
  <c r="EY104" i="31" s="1"/>
  <c r="EY102" i="29"/>
  <c r="EY113" i="29"/>
  <c r="ES94" i="29"/>
  <c r="ES97" i="31"/>
  <c r="CY97" i="31"/>
  <c r="CY94" i="29"/>
  <c r="GA98" i="31"/>
  <c r="GA96" i="29"/>
  <c r="GA100" i="31" s="1"/>
  <c r="GA113" i="29"/>
  <c r="GA100" i="29"/>
  <c r="GA104" i="31" s="1"/>
  <c r="GA102" i="29"/>
  <c r="T97" i="31"/>
  <c r="T94" i="29"/>
  <c r="BX97" i="31"/>
  <c r="BX94" i="29"/>
  <c r="AU97" i="31"/>
  <c r="AU94" i="29"/>
  <c r="DW93" i="29"/>
  <c r="DW94" i="31"/>
  <c r="DK94" i="29"/>
  <c r="DK97" i="31"/>
  <c r="EF97" i="31"/>
  <c r="EF94" i="29"/>
  <c r="GW98" i="31"/>
  <c r="GW96" i="29"/>
  <c r="GW100" i="31" s="1"/>
  <c r="GW102" i="29"/>
  <c r="GW100" i="29"/>
  <c r="GW104" i="31" s="1"/>
  <c r="GW113" i="29"/>
  <c r="CB93" i="29"/>
  <c r="CB94" i="31"/>
  <c r="GC98" i="31"/>
  <c r="GC96" i="29"/>
  <c r="GC100" i="31" s="1"/>
  <c r="GC113" i="29"/>
  <c r="GC100" i="29"/>
  <c r="GC104" i="31" s="1"/>
  <c r="GC102" i="29"/>
  <c r="AW97" i="31"/>
  <c r="AW94" i="29"/>
  <c r="DP97" i="31"/>
  <c r="DP94" i="29"/>
  <c r="ET132" i="31"/>
  <c r="ET129" i="29"/>
  <c r="ET133" i="31" s="1"/>
  <c r="CW97" i="31"/>
  <c r="CW94" i="29"/>
  <c r="HI98" i="31"/>
  <c r="HI96" i="29"/>
  <c r="HI100" i="31" s="1"/>
  <c r="HI100" i="29"/>
  <c r="HI104" i="31" s="1"/>
  <c r="HI113" i="29"/>
  <c r="HI102" i="29"/>
  <c r="J93" i="29"/>
  <c r="J94" i="31"/>
  <c r="X97" i="31"/>
  <c r="X94" i="29"/>
  <c r="CV93" i="29"/>
  <c r="CV94" i="31"/>
  <c r="FE98" i="31"/>
  <c r="FE102" i="29"/>
  <c r="FE100" i="29"/>
  <c r="FE104" i="31" s="1"/>
  <c r="FE113" i="29"/>
  <c r="FE96" i="29"/>
  <c r="FE100" i="31" s="1"/>
  <c r="CJ97" i="31"/>
  <c r="CJ94" i="29"/>
  <c r="GX98" i="31"/>
  <c r="GX96" i="29"/>
  <c r="GX100" i="31" s="1"/>
  <c r="GX100" i="29"/>
  <c r="GX104" i="31" s="1"/>
  <c r="GX102" i="29"/>
  <c r="GX113" i="29"/>
  <c r="CD97" i="31"/>
  <c r="CD94" i="29"/>
  <c r="BQ93" i="29"/>
  <c r="BQ94" i="31"/>
  <c r="IY113" i="29"/>
  <c r="IY115" i="31"/>
  <c r="HS113" i="29"/>
  <c r="HS115" i="31"/>
  <c r="IP113" i="29"/>
  <c r="IP115" i="31"/>
  <c r="IU113" i="29"/>
  <c r="IU115" i="31"/>
  <c r="IO113" i="29"/>
  <c r="IO115" i="31"/>
  <c r="GY98" i="31"/>
  <c r="GY96" i="29"/>
  <c r="GY100" i="31" s="1"/>
  <c r="GY102" i="29"/>
  <c r="GY100" i="29"/>
  <c r="GY104" i="31" s="1"/>
  <c r="GY113" i="29"/>
  <c r="CP97" i="31"/>
  <c r="CP94" i="29"/>
  <c r="EB97" i="31"/>
  <c r="EB94" i="29"/>
  <c r="FY98" i="31"/>
  <c r="FY113" i="29"/>
  <c r="FY96" i="29"/>
  <c r="FY100" i="31" s="1"/>
  <c r="FY102" i="29"/>
  <c r="FY100" i="29"/>
  <c r="FY104" i="31" s="1"/>
  <c r="HW113" i="29"/>
  <c r="HW115" i="31"/>
  <c r="IK152" i="29"/>
  <c r="IK156" i="31" s="1"/>
  <c r="IK155" i="31"/>
  <c r="JG113" i="29"/>
  <c r="JG115" i="31"/>
  <c r="JB113" i="29"/>
  <c r="JB115" i="31"/>
  <c r="HN155" i="29"/>
  <c r="WC15" i="1" s="1"/>
  <c r="ET152" i="29"/>
  <c r="ET156" i="31" s="1"/>
  <c r="ET155" i="31"/>
  <c r="IZ113" i="29"/>
  <c r="IZ115" i="31"/>
  <c r="BE97" i="31"/>
  <c r="BE94" i="29"/>
  <c r="U97" i="31"/>
  <c r="U94" i="29"/>
  <c r="GU98" i="31"/>
  <c r="GU96" i="29"/>
  <c r="GU100" i="31" s="1"/>
  <c r="GU102" i="29"/>
  <c r="GU100" i="29"/>
  <c r="GU104" i="31" s="1"/>
  <c r="GU113" i="29"/>
  <c r="CX97" i="31"/>
  <c r="CX94" i="29"/>
  <c r="DI97" i="31"/>
  <c r="DI94" i="29"/>
  <c r="AR97" i="31"/>
  <c r="AR94" i="29"/>
  <c r="CQ97" i="31"/>
  <c r="CQ94" i="29"/>
  <c r="BA97" i="31"/>
  <c r="BA94" i="29"/>
  <c r="H97" i="31"/>
  <c r="H94" i="29"/>
  <c r="FS98" i="31"/>
  <c r="FS113" i="29"/>
  <c r="FS102" i="29"/>
  <c r="FS100" i="29"/>
  <c r="FS104" i="31" s="1"/>
  <c r="FS96" i="29"/>
  <c r="FS100" i="31" s="1"/>
  <c r="FM98" i="31"/>
  <c r="FM96" i="29"/>
  <c r="FM100" i="31" s="1"/>
  <c r="FM102" i="29"/>
  <c r="FM113" i="29"/>
  <c r="FM100" i="29"/>
  <c r="FM104" i="31" s="1"/>
  <c r="BP97" i="31"/>
  <c r="BP94" i="29"/>
  <c r="I97" i="31"/>
  <c r="I94" i="29"/>
  <c r="BW93" i="29"/>
  <c r="BW94" i="31"/>
  <c r="JN97" i="31"/>
  <c r="W97" i="31"/>
  <c r="W94" i="29"/>
  <c r="AM97" i="31"/>
  <c r="AM94" i="29"/>
  <c r="HA98" i="31"/>
  <c r="HA96" i="29"/>
  <c r="HA100" i="31" s="1"/>
  <c r="HA100" i="29"/>
  <c r="HA104" i="31" s="1"/>
  <c r="HA102" i="29"/>
  <c r="HA113" i="29"/>
  <c r="FV98" i="31"/>
  <c r="FV113" i="29"/>
  <c r="FV96" i="29"/>
  <c r="FV100" i="31" s="1"/>
  <c r="FV100" i="29"/>
  <c r="FV104" i="31" s="1"/>
  <c r="FV102" i="29"/>
  <c r="DA97" i="31"/>
  <c r="DA94" i="29"/>
  <c r="O97" i="31"/>
  <c r="O94" i="29"/>
  <c r="GE98" i="31"/>
  <c r="GE113" i="29"/>
  <c r="GE96" i="29"/>
  <c r="GE100" i="31" s="1"/>
  <c r="GE102" i="29"/>
  <c r="GE100" i="29"/>
  <c r="GE104" i="31" s="1"/>
  <c r="BS97" i="31"/>
  <c r="BS94" i="29"/>
  <c r="BF97" i="31"/>
  <c r="BF94" i="29"/>
  <c r="GP98" i="31"/>
  <c r="GP96" i="29"/>
  <c r="GP100" i="31" s="1"/>
  <c r="GP102" i="29"/>
  <c r="GP113" i="29"/>
  <c r="GP100" i="29"/>
  <c r="GP104" i="31" s="1"/>
  <c r="IE113" i="29"/>
  <c r="IE115" i="31"/>
  <c r="S97" i="31"/>
  <c r="S94" i="29"/>
  <c r="BD97" i="31"/>
  <c r="BD94" i="29"/>
  <c r="EX98" i="31"/>
  <c r="EX96" i="29"/>
  <c r="EX100" i="31" s="1"/>
  <c r="EX100" i="29"/>
  <c r="EX104" i="31" s="1"/>
  <c r="EX102" i="29"/>
  <c r="EX113" i="29"/>
  <c r="EE97" i="31"/>
  <c r="EE94" i="29"/>
  <c r="DY97" i="31"/>
  <c r="DY94" i="29"/>
  <c r="EJ97" i="31"/>
  <c r="EJ94" i="29"/>
  <c r="GZ98" i="31"/>
  <c r="GZ96" i="29"/>
  <c r="GZ100" i="31" s="1"/>
  <c r="GZ113" i="29"/>
  <c r="GZ100" i="29"/>
  <c r="GZ104" i="31" s="1"/>
  <c r="GZ102" i="29"/>
  <c r="DQ97" i="31"/>
  <c r="DQ94" i="29"/>
  <c r="HQ113" i="29"/>
  <c r="HQ115" i="31"/>
  <c r="JO105" i="29"/>
  <c r="HL109" i="31"/>
  <c r="JO109" i="31" s="1"/>
  <c r="BV93" i="29"/>
  <c r="BV94" i="31"/>
  <c r="FZ98" i="31"/>
  <c r="FZ96" i="29"/>
  <c r="FZ100" i="31" s="1"/>
  <c r="FZ102" i="29"/>
  <c r="FZ100" i="29"/>
  <c r="FZ104" i="31" s="1"/>
  <c r="FZ113" i="29"/>
  <c r="AS97" i="31"/>
  <c r="AS94" i="29"/>
  <c r="AO97" i="31"/>
  <c r="AO94" i="29"/>
  <c r="HE98" i="31"/>
  <c r="HE96" i="29"/>
  <c r="HE100" i="31" s="1"/>
  <c r="HE100" i="29"/>
  <c r="HE104" i="31" s="1"/>
  <c r="HE102" i="29"/>
  <c r="HE113" i="29"/>
  <c r="AT97" i="31"/>
  <c r="AT94" i="29"/>
  <c r="IA113" i="29"/>
  <c r="IA115" i="31"/>
  <c r="IH113" i="29"/>
  <c r="IH115" i="31"/>
  <c r="EU129" i="29"/>
  <c r="EU133" i="31" s="1"/>
  <c r="EU132" i="31"/>
  <c r="BN97" i="31"/>
  <c r="BN94" i="29"/>
  <c r="BH97" i="31"/>
  <c r="BH94" i="29"/>
  <c r="CO97" i="31"/>
  <c r="CO94" i="29"/>
  <c r="BR94" i="29"/>
  <c r="BR97" i="31"/>
  <c r="HC98" i="31"/>
  <c r="HC96" i="29"/>
  <c r="HC100" i="31" s="1"/>
  <c r="HC102" i="29"/>
  <c r="HC100" i="29"/>
  <c r="HC104" i="31" s="1"/>
  <c r="HC113" i="29"/>
  <c r="ID113" i="29"/>
  <c r="ID115" i="31"/>
  <c r="II113" i="29"/>
  <c r="II115" i="31"/>
  <c r="AE97" i="31"/>
  <c r="AE94" i="29"/>
  <c r="CH97" i="31"/>
  <c r="CH94" i="29"/>
  <c r="GJ98" i="31"/>
  <c r="GJ100" i="29"/>
  <c r="GJ104" i="31" s="1"/>
  <c r="GJ102" i="29"/>
  <c r="GJ96" i="29"/>
  <c r="GJ100" i="31" s="1"/>
  <c r="GJ113" i="29"/>
  <c r="FD98" i="31"/>
  <c r="FD96" i="29"/>
  <c r="FD100" i="31" s="1"/>
  <c r="FD102" i="29"/>
  <c r="FD100" i="29"/>
  <c r="FD104" i="31" s="1"/>
  <c r="FD113" i="29"/>
  <c r="CC97" i="31"/>
  <c r="CC94" i="29"/>
  <c r="HM113" i="29"/>
  <c r="HM115" i="31"/>
  <c r="HN129" i="29"/>
  <c r="HN133" i="31" s="1"/>
  <c r="HN132" i="31"/>
  <c r="JL87" i="31"/>
  <c r="JP87" i="31" s="1"/>
  <c r="HR113" i="29"/>
  <c r="HR115" i="31"/>
  <c r="JH113" i="29"/>
  <c r="JH115" i="31"/>
  <c r="FR98" i="31"/>
  <c r="FR100" i="29"/>
  <c r="FR104" i="31" s="1"/>
  <c r="FR96" i="29"/>
  <c r="FR100" i="31" s="1"/>
  <c r="FR113" i="29"/>
  <c r="FR102" i="29"/>
  <c r="DG93" i="29"/>
  <c r="DG94" i="31"/>
  <c r="HO129" i="29"/>
  <c r="HO133" i="31" s="1"/>
  <c r="HO132" i="31"/>
  <c r="AZ97" i="31"/>
  <c r="AZ94" i="29"/>
  <c r="AQ97" i="31"/>
  <c r="AQ94" i="29"/>
  <c r="FH98" i="31"/>
  <c r="FH96" i="29"/>
  <c r="FH100" i="31" s="1"/>
  <c r="FH113" i="29"/>
  <c r="FH100" i="29"/>
  <c r="FH104" i="31" s="1"/>
  <c r="FH102" i="29"/>
  <c r="FC98" i="31"/>
  <c r="FC102" i="29"/>
  <c r="FC100" i="29"/>
  <c r="FC104" i="31" s="1"/>
  <c r="FC113" i="29"/>
  <c r="FC96" i="29"/>
  <c r="FC100" i="31" s="1"/>
  <c r="EG93" i="29"/>
  <c r="EG94" i="31"/>
  <c r="AK94" i="29"/>
  <c r="AK97" i="31"/>
  <c r="BT97" i="31"/>
  <c r="BT94" i="29"/>
  <c r="AP93" i="29"/>
  <c r="AP94" i="31"/>
  <c r="DL94" i="29"/>
  <c r="DL97" i="31"/>
  <c r="HN167" i="31"/>
  <c r="HN165" i="29"/>
  <c r="HN169" i="31" s="1"/>
  <c r="ET167" i="31"/>
  <c r="ET165" i="29"/>
  <c r="ET169" i="31" s="1"/>
  <c r="GV98" i="31"/>
  <c r="GV96" i="29"/>
  <c r="GV100" i="31" s="1"/>
  <c r="GV113" i="29"/>
  <c r="GV100" i="29"/>
  <c r="GV104" i="31" s="1"/>
  <c r="GV102" i="29"/>
  <c r="CI97" i="31"/>
  <c r="CI94" i="29"/>
  <c r="FO98" i="31"/>
  <c r="FO96" i="29"/>
  <c r="FO100" i="31" s="1"/>
  <c r="FO113" i="29"/>
  <c r="FO102" i="29"/>
  <c r="FO100" i="29"/>
  <c r="FO104" i="31" s="1"/>
  <c r="GM98" i="31"/>
  <c r="GM100" i="29"/>
  <c r="GM104" i="31" s="1"/>
  <c r="GM96" i="29"/>
  <c r="GM100" i="31" s="1"/>
  <c r="GM113" i="29"/>
  <c r="GM102" i="29"/>
  <c r="N97" i="31"/>
  <c r="N94" i="29"/>
  <c r="GK98" i="31"/>
  <c r="GK96" i="29"/>
  <c r="GK100" i="31" s="1"/>
  <c r="GK100" i="29"/>
  <c r="GK104" i="31" s="1"/>
  <c r="GK113" i="29"/>
  <c r="GK102" i="29"/>
  <c r="AY97" i="31"/>
  <c r="AY94" i="29"/>
  <c r="DT93" i="29"/>
  <c r="DT94" i="31"/>
  <c r="AH97" i="31"/>
  <c r="AH94" i="29"/>
  <c r="CR97" i="31"/>
  <c r="CR94" i="29"/>
  <c r="EC97" i="31"/>
  <c r="EC94" i="29"/>
  <c r="JE113" i="29"/>
  <c r="JE115" i="31"/>
  <c r="K93" i="29"/>
  <c r="K94" i="31"/>
  <c r="IX113" i="29"/>
  <c r="IX115" i="31"/>
  <c r="IJ113" i="29"/>
  <c r="IJ115" i="31"/>
  <c r="IN113" i="29"/>
  <c r="IN115" i="31"/>
  <c r="IC113" i="29"/>
  <c r="IC115" i="31"/>
  <c r="EU156" i="29"/>
  <c r="EU187" i="29"/>
  <c r="EU158" i="29"/>
  <c r="EU183" i="29"/>
  <c r="AJ93" i="29"/>
  <c r="AJ94" i="31"/>
  <c r="HD98" i="31"/>
  <c r="HD102" i="29"/>
  <c r="HD100" i="29"/>
  <c r="HD104" i="31" s="1"/>
  <c r="HD113" i="29"/>
  <c r="HD96" i="29"/>
  <c r="HD100" i="31" s="1"/>
  <c r="FW98" i="31"/>
  <c r="FW102" i="29"/>
  <c r="FW113" i="29"/>
  <c r="FW100" i="29"/>
  <c r="FW104" i="31" s="1"/>
  <c r="FW96" i="29"/>
  <c r="FW100" i="31" s="1"/>
  <c r="JO104" i="29"/>
  <c r="HL108" i="31"/>
  <c r="JO108" i="31" s="1"/>
  <c r="IW113" i="29"/>
  <c r="IW115" i="31"/>
  <c r="JD113" i="29"/>
  <c r="JD115" i="31"/>
  <c r="HV113" i="29"/>
  <c r="HV115" i="31"/>
  <c r="HY113" i="29"/>
  <c r="HY115" i="31"/>
  <c r="IQ113" i="29"/>
  <c r="IQ115" i="31"/>
  <c r="GH98" i="31"/>
  <c r="GH113" i="29"/>
  <c r="GH100" i="29"/>
  <c r="GH104" i="31" s="1"/>
  <c r="GH102" i="29"/>
  <c r="GH96" i="29"/>
  <c r="GH100" i="31" s="1"/>
  <c r="GL98" i="31"/>
  <c r="GL102" i="29"/>
  <c r="GL113" i="29"/>
  <c r="GL96" i="29"/>
  <c r="GL100" i="31" s="1"/>
  <c r="GL100" i="29"/>
  <c r="GL104" i="31" s="1"/>
  <c r="DC94" i="29"/>
  <c r="DC97" i="31"/>
  <c r="CL97" i="31"/>
  <c r="CL94" i="29"/>
  <c r="CG97" i="31"/>
  <c r="CG94" i="29"/>
  <c r="AD94" i="29"/>
  <c r="AD97" i="31"/>
  <c r="CT97" i="31"/>
  <c r="CT94" i="29"/>
  <c r="GS98" i="31"/>
  <c r="GS100" i="29"/>
  <c r="GS104" i="31" s="1"/>
  <c r="GS113" i="29"/>
  <c r="GS102" i="29"/>
  <c r="GS96" i="29"/>
  <c r="GS100" i="31" s="1"/>
  <c r="DD94" i="29"/>
  <c r="DD97" i="31"/>
  <c r="HH98" i="31"/>
  <c r="HH100" i="29"/>
  <c r="HH104" i="31" s="1"/>
  <c r="HH113" i="29"/>
  <c r="HH96" i="29"/>
  <c r="HH100" i="31" s="1"/>
  <c r="HH102" i="29"/>
  <c r="BL93" i="29"/>
  <c r="BL94" i="31"/>
  <c r="BZ97" i="31"/>
  <c r="BZ94" i="29"/>
  <c r="DO117" i="31"/>
  <c r="DO116" i="29"/>
  <c r="DO148" i="29"/>
  <c r="DR93" i="29"/>
  <c r="DR94" i="31"/>
  <c r="DJ97" i="31"/>
  <c r="DJ94" i="29"/>
  <c r="GT98" i="31"/>
  <c r="GT102" i="29"/>
  <c r="GT100" i="29"/>
  <c r="GT104" i="31" s="1"/>
  <c r="GT96" i="29"/>
  <c r="GT100" i="31" s="1"/>
  <c r="GT113" i="29"/>
  <c r="FI98" i="31"/>
  <c r="FI96" i="29"/>
  <c r="FI100" i="31" s="1"/>
  <c r="FI102" i="29"/>
  <c r="FI100" i="29"/>
  <c r="FI104" i="31" s="1"/>
  <c r="FI113" i="29"/>
  <c r="FK96" i="29"/>
  <c r="FK100" i="31" s="1"/>
  <c r="FK98" i="31"/>
  <c r="FK113" i="29"/>
  <c r="FK102" i="29"/>
  <c r="FK100" i="29"/>
  <c r="FK104" i="31" s="1"/>
  <c r="EM97" i="31"/>
  <c r="EM94" i="29"/>
  <c r="GB98" i="31"/>
  <c r="GB102" i="29"/>
  <c r="GB96" i="29"/>
  <c r="GB100" i="31" s="1"/>
  <c r="GB113" i="29"/>
  <c r="GB100" i="29"/>
  <c r="GB104" i="31" s="1"/>
  <c r="DE97" i="31"/>
  <c r="DE94" i="29"/>
  <c r="DV97" i="31"/>
  <c r="DV94" i="29"/>
  <c r="FU98" i="31"/>
  <c r="FU100" i="29"/>
  <c r="FU104" i="31" s="1"/>
  <c r="FU102" i="29"/>
  <c r="FU96" i="29"/>
  <c r="FU100" i="31" s="1"/>
  <c r="FU113" i="29"/>
  <c r="CM97" i="31"/>
  <c r="CM94" i="29"/>
  <c r="FQ98" i="31"/>
  <c r="FQ100" i="29"/>
  <c r="FQ104" i="31" s="1"/>
  <c r="FQ96" i="29"/>
  <c r="FQ100" i="31" s="1"/>
  <c r="FQ113" i="29"/>
  <c r="FQ102" i="29"/>
  <c r="HF98" i="31"/>
  <c r="HF113" i="29"/>
  <c r="HF96" i="29"/>
  <c r="HF100" i="31" s="1"/>
  <c r="HF102" i="29"/>
  <c r="HF100" i="29"/>
  <c r="HF104" i="31" s="1"/>
  <c r="CU97" i="31"/>
  <c r="CU94" i="29"/>
  <c r="DF97" i="31"/>
  <c r="DF94" i="29"/>
  <c r="HB98" i="31"/>
  <c r="HB96" i="29"/>
  <c r="HB100" i="31" s="1"/>
  <c r="HB102" i="29"/>
  <c r="HB100" i="29"/>
  <c r="HB104" i="31" s="1"/>
  <c r="HB113" i="29"/>
  <c r="G97" i="31"/>
  <c r="G94" i="29"/>
  <c r="CN97" i="31"/>
  <c r="CN94" i="29"/>
  <c r="DS93" i="29"/>
  <c r="DS94" i="31"/>
  <c r="CS97" i="31"/>
  <c r="CS94" i="29"/>
  <c r="ER94" i="29"/>
  <c r="ER97" i="31"/>
  <c r="D90" i="29"/>
  <c r="D89" i="31"/>
  <c r="JI85" i="29"/>
  <c r="JI89" i="31" s="1"/>
  <c r="FN98" i="31"/>
  <c r="FN100" i="29"/>
  <c r="FN104" i="31" s="1"/>
  <c r="FN113" i="29"/>
  <c r="FN96" i="29"/>
  <c r="FN100" i="31" s="1"/>
  <c r="FN102" i="29"/>
  <c r="EK97" i="31"/>
  <c r="EK94" i="29"/>
  <c r="EH94" i="29"/>
  <c r="EH97" i="31"/>
  <c r="C94" i="29"/>
  <c r="C98" i="31" s="1"/>
  <c r="IK183" i="29" l="1"/>
  <c r="IK158" i="29"/>
  <c r="IK169" i="29" s="1"/>
  <c r="IK186" i="29"/>
  <c r="IK159" i="31"/>
  <c r="IK162" i="31" s="1"/>
  <c r="IK163" i="31" s="1"/>
  <c r="WC76" i="1"/>
  <c r="F70" i="32"/>
  <c r="IK187" i="29"/>
  <c r="IK153" i="29"/>
  <c r="F28" i="32"/>
  <c r="EU159" i="31"/>
  <c r="EU153" i="29"/>
  <c r="F9" i="32"/>
  <c r="HN153" i="29"/>
  <c r="HN159" i="31"/>
  <c r="HN162" i="31" s="1"/>
  <c r="HN163" i="31" s="1"/>
  <c r="F29" i="32"/>
  <c r="ET153" i="29"/>
  <c r="ET159" i="31"/>
  <c r="JM94" i="31"/>
  <c r="JM93" i="29"/>
  <c r="GM106" i="31"/>
  <c r="GM106" i="29"/>
  <c r="GM110" i="31" s="1"/>
  <c r="GM103" i="29"/>
  <c r="GV106" i="31"/>
  <c r="GV106" i="29"/>
  <c r="GV110" i="31" s="1"/>
  <c r="GV103" i="29"/>
  <c r="AP94" i="29"/>
  <c r="AP97" i="31"/>
  <c r="AZ98" i="31"/>
  <c r="AZ100" i="29"/>
  <c r="AZ104" i="31" s="1"/>
  <c r="AZ102" i="29"/>
  <c r="AZ113" i="29"/>
  <c r="AZ96" i="29"/>
  <c r="AZ100" i="31" s="1"/>
  <c r="JH117" i="31"/>
  <c r="JH148" i="29"/>
  <c r="JH116" i="29"/>
  <c r="HM117" i="31"/>
  <c r="HM148" i="29"/>
  <c r="HM116" i="29"/>
  <c r="GJ117" i="31"/>
  <c r="GJ148" i="29"/>
  <c r="GJ116" i="29"/>
  <c r="BN98" i="31"/>
  <c r="BN113" i="29"/>
  <c r="BN100" i="29"/>
  <c r="BN104" i="31" s="1"/>
  <c r="BN96" i="29"/>
  <c r="BN100" i="31" s="1"/>
  <c r="BN102" i="29"/>
  <c r="AT98" i="31"/>
  <c r="AT96" i="29"/>
  <c r="AT100" i="31" s="1"/>
  <c r="AT100" i="29"/>
  <c r="AT104" i="31" s="1"/>
  <c r="AT113" i="29"/>
  <c r="AT102" i="29"/>
  <c r="GZ106" i="31"/>
  <c r="GZ106" i="29"/>
  <c r="GZ110" i="31" s="1"/>
  <c r="GZ103" i="29"/>
  <c r="GE106" i="31"/>
  <c r="GE106" i="29"/>
  <c r="GE110" i="31" s="1"/>
  <c r="GE103" i="29"/>
  <c r="BW94" i="29"/>
  <c r="BW97" i="31"/>
  <c r="GY117" i="31"/>
  <c r="GY116" i="29"/>
  <c r="GY148" i="29"/>
  <c r="JN98" i="31"/>
  <c r="JN104" i="31" s="1"/>
  <c r="FB106" i="31"/>
  <c r="FB106" i="29"/>
  <c r="FB110" i="31" s="1"/>
  <c r="FB103" i="29"/>
  <c r="E93" i="29"/>
  <c r="E94" i="31"/>
  <c r="FG106" i="31"/>
  <c r="FG106" i="29"/>
  <c r="FG110" i="31" s="1"/>
  <c r="FG103" i="29"/>
  <c r="GR106" i="31"/>
  <c r="GR103" i="29"/>
  <c r="GR106" i="29"/>
  <c r="GR110" i="31" s="1"/>
  <c r="HU117" i="31"/>
  <c r="HU148" i="29"/>
  <c r="HU116" i="29"/>
  <c r="EW106" i="31"/>
  <c r="EW103" i="29"/>
  <c r="EW106" i="29"/>
  <c r="EW110" i="31" s="1"/>
  <c r="EQ94" i="29"/>
  <c r="EQ97" i="31"/>
  <c r="EZ106" i="31"/>
  <c r="EZ106" i="29"/>
  <c r="EZ110" i="31" s="1"/>
  <c r="EZ103" i="29"/>
  <c r="BJ98" i="31"/>
  <c r="BJ100" i="29"/>
  <c r="BJ104" i="31" s="1"/>
  <c r="BJ113" i="29"/>
  <c r="BJ102" i="29"/>
  <c r="BJ96" i="29"/>
  <c r="BJ100" i="31" s="1"/>
  <c r="AG98" i="31"/>
  <c r="AG100" i="29"/>
  <c r="AG104" i="31" s="1"/>
  <c r="AG113" i="29"/>
  <c r="AG102" i="29"/>
  <c r="AG96" i="29"/>
  <c r="AG100" i="31" s="1"/>
  <c r="GF117" i="31"/>
  <c r="GF116" i="29"/>
  <c r="GF148" i="29"/>
  <c r="IL117" i="31"/>
  <c r="IL116" i="29"/>
  <c r="IL148" i="29"/>
  <c r="BU98" i="31"/>
  <c r="BU102" i="29"/>
  <c r="BU96" i="29"/>
  <c r="BU100" i="31" s="1"/>
  <c r="BU113" i="29"/>
  <c r="BU100" i="29"/>
  <c r="BU104" i="31" s="1"/>
  <c r="FJ117" i="31"/>
  <c r="FJ148" i="29"/>
  <c r="FJ116" i="29"/>
  <c r="BB98" i="31"/>
  <c r="BB113" i="29"/>
  <c r="BB100" i="29"/>
  <c r="BB104" i="31" s="1"/>
  <c r="BB102" i="29"/>
  <c r="BB96" i="29"/>
  <c r="BB100" i="31" s="1"/>
  <c r="V98" i="31"/>
  <c r="V102" i="29"/>
  <c r="V100" i="29"/>
  <c r="V104" i="31" s="1"/>
  <c r="V113" i="29"/>
  <c r="V96" i="29"/>
  <c r="V100" i="31" s="1"/>
  <c r="BG98" i="31"/>
  <c r="BG113" i="29"/>
  <c r="BG96" i="29"/>
  <c r="BG100" i="31" s="1"/>
  <c r="BG102" i="29"/>
  <c r="BG100" i="29"/>
  <c r="BG104" i="31" s="1"/>
  <c r="Y98" i="31"/>
  <c r="Y102" i="29"/>
  <c r="Y113" i="29"/>
  <c r="Y100" i="29"/>
  <c r="Y104" i="31" s="1"/>
  <c r="Y96" i="29"/>
  <c r="Y100" i="31" s="1"/>
  <c r="GO106" i="31"/>
  <c r="GO106" i="29"/>
  <c r="GO110" i="31" s="1"/>
  <c r="GO103" i="29"/>
  <c r="FA117" i="31"/>
  <c r="FA148" i="29"/>
  <c r="FA116" i="29"/>
  <c r="GG117" i="31"/>
  <c r="GG148" i="29"/>
  <c r="GG116" i="29"/>
  <c r="P98" i="31"/>
  <c r="P102" i="29"/>
  <c r="P113" i="29"/>
  <c r="P100" i="29"/>
  <c r="P104" i="31" s="1"/>
  <c r="P96" i="29"/>
  <c r="P100" i="31" s="1"/>
  <c r="FN106" i="31"/>
  <c r="FN106" i="29"/>
  <c r="FN110" i="31" s="1"/>
  <c r="FN103" i="29"/>
  <c r="G98" i="31"/>
  <c r="G96" i="29"/>
  <c r="G100" i="31" s="1"/>
  <c r="G102" i="29"/>
  <c r="G113" i="29"/>
  <c r="G100" i="29"/>
  <c r="G104" i="31" s="1"/>
  <c r="FU117" i="31"/>
  <c r="FU148" i="29"/>
  <c r="FU116" i="29"/>
  <c r="GB106" i="31"/>
  <c r="GB106" i="29"/>
  <c r="GB110" i="31" s="1"/>
  <c r="GB103" i="29"/>
  <c r="EH98" i="31"/>
  <c r="EH102" i="29"/>
  <c r="EH113" i="29"/>
  <c r="EH96" i="29"/>
  <c r="EH100" i="31" s="1"/>
  <c r="EH100" i="29"/>
  <c r="EH104" i="31" s="1"/>
  <c r="ER98" i="31"/>
  <c r="ER113" i="29"/>
  <c r="ER102" i="29"/>
  <c r="ER100" i="29"/>
  <c r="ER104" i="31" s="1"/>
  <c r="ER96" i="29"/>
  <c r="ER100" i="31" s="1"/>
  <c r="DS94" i="29"/>
  <c r="DS97" i="31"/>
  <c r="HF106" i="31"/>
  <c r="HF106" i="29"/>
  <c r="HF110" i="31" s="1"/>
  <c r="HF103" i="29"/>
  <c r="FQ106" i="31"/>
  <c r="FQ106" i="29"/>
  <c r="FQ110" i="31" s="1"/>
  <c r="FQ103" i="29"/>
  <c r="DV98" i="31"/>
  <c r="DV102" i="29"/>
  <c r="DV96" i="29"/>
  <c r="DV100" i="31" s="1"/>
  <c r="DV100" i="29"/>
  <c r="DV104" i="31" s="1"/>
  <c r="DV113" i="29"/>
  <c r="FK106" i="31"/>
  <c r="FK103" i="29"/>
  <c r="FK106" i="29"/>
  <c r="FK110" i="31" s="1"/>
  <c r="FI117" i="31"/>
  <c r="FI116" i="29"/>
  <c r="FI148" i="29"/>
  <c r="GT106" i="31"/>
  <c r="GT106" i="29"/>
  <c r="GT110" i="31" s="1"/>
  <c r="GT103" i="29"/>
  <c r="BL94" i="29"/>
  <c r="BL97" i="31"/>
  <c r="AD98" i="31"/>
  <c r="AD113" i="29"/>
  <c r="AD102" i="29"/>
  <c r="AD100" i="29"/>
  <c r="AD104" i="31" s="1"/>
  <c r="AD96" i="29"/>
  <c r="AD100" i="31" s="1"/>
  <c r="HY117" i="31"/>
  <c r="HY148" i="29"/>
  <c r="HY116" i="29"/>
  <c r="JD117" i="31"/>
  <c r="JD116" i="29"/>
  <c r="JD148" i="29"/>
  <c r="FW106" i="31"/>
  <c r="FW106" i="29"/>
  <c r="FW110" i="31" s="1"/>
  <c r="FW103" i="29"/>
  <c r="AJ94" i="29"/>
  <c r="AJ97" i="31"/>
  <c r="IN117" i="31"/>
  <c r="IN116" i="29"/>
  <c r="IN148" i="29"/>
  <c r="IX117" i="31"/>
  <c r="IX116" i="29"/>
  <c r="IX148" i="29"/>
  <c r="JE117" i="31"/>
  <c r="JE148" i="29"/>
  <c r="JE116" i="29"/>
  <c r="DT94" i="29"/>
  <c r="DT97" i="31"/>
  <c r="GK106" i="31"/>
  <c r="GK103" i="29"/>
  <c r="GK106" i="29"/>
  <c r="GK110" i="31" s="1"/>
  <c r="GM117" i="31"/>
  <c r="GM148" i="29"/>
  <c r="GM116" i="29"/>
  <c r="AK98" i="31"/>
  <c r="AK113" i="29"/>
  <c r="AK102" i="29"/>
  <c r="AK100" i="29"/>
  <c r="AK104" i="31" s="1"/>
  <c r="AK96" i="29"/>
  <c r="AK100" i="31" s="1"/>
  <c r="FC117" i="31"/>
  <c r="FC116" i="29"/>
  <c r="FC148" i="29"/>
  <c r="FH106" i="31"/>
  <c r="FH106" i="29"/>
  <c r="FH110" i="31" s="1"/>
  <c r="FH103" i="29"/>
  <c r="DG94" i="29"/>
  <c r="DG97" i="31"/>
  <c r="CC98" i="31"/>
  <c r="CC113" i="29"/>
  <c r="CC100" i="29"/>
  <c r="CC104" i="31" s="1"/>
  <c r="CC102" i="29"/>
  <c r="CC96" i="29"/>
  <c r="CC100" i="31" s="1"/>
  <c r="FD106" i="31"/>
  <c r="FD103" i="29"/>
  <c r="FD106" i="29"/>
  <c r="FD110" i="31" s="1"/>
  <c r="CH98" i="31"/>
  <c r="CH96" i="29"/>
  <c r="CH100" i="31" s="1"/>
  <c r="CH102" i="29"/>
  <c r="CH113" i="29"/>
  <c r="CH100" i="29"/>
  <c r="CH104" i="31" s="1"/>
  <c r="HC117" i="31"/>
  <c r="HC148" i="29"/>
  <c r="HC116" i="29"/>
  <c r="IH117" i="31"/>
  <c r="IH148" i="29"/>
  <c r="IH116" i="29"/>
  <c r="AS98" i="31"/>
  <c r="AS113" i="29"/>
  <c r="AS96" i="29"/>
  <c r="AS100" i="31" s="1"/>
  <c r="AS100" i="29"/>
  <c r="AS104" i="31" s="1"/>
  <c r="AS102" i="29"/>
  <c r="FZ106" i="31"/>
  <c r="FZ106" i="29"/>
  <c r="FZ110" i="31" s="1"/>
  <c r="FZ103" i="29"/>
  <c r="BV94" i="29"/>
  <c r="BV97" i="31"/>
  <c r="HQ117" i="31"/>
  <c r="HQ148" i="29"/>
  <c r="HQ116" i="29"/>
  <c r="EJ98" i="31"/>
  <c r="EJ96" i="29"/>
  <c r="EJ100" i="31" s="1"/>
  <c r="EJ113" i="29"/>
  <c r="EJ100" i="29"/>
  <c r="EJ104" i="31" s="1"/>
  <c r="EJ102" i="29"/>
  <c r="EE98" i="31"/>
  <c r="EE96" i="29"/>
  <c r="EE100" i="31" s="1"/>
  <c r="EE100" i="29"/>
  <c r="EE104" i="31" s="1"/>
  <c r="EE113" i="29"/>
  <c r="EE102" i="29"/>
  <c r="IE117" i="31"/>
  <c r="IE116" i="29"/>
  <c r="IE148" i="29"/>
  <c r="BS98" i="31"/>
  <c r="BS113" i="29"/>
  <c r="BS100" i="29"/>
  <c r="BS104" i="31" s="1"/>
  <c r="BS102" i="29"/>
  <c r="BS96" i="29"/>
  <c r="BS100" i="31" s="1"/>
  <c r="HA117" i="31"/>
  <c r="HA116" i="29"/>
  <c r="HA148" i="29"/>
  <c r="I98" i="31"/>
  <c r="I102" i="29"/>
  <c r="I113" i="29"/>
  <c r="I96" i="29"/>
  <c r="I100" i="31" s="1"/>
  <c r="I100" i="29"/>
  <c r="I104" i="31" s="1"/>
  <c r="FS117" i="31"/>
  <c r="FS148" i="29"/>
  <c r="FS116" i="29"/>
  <c r="BA98" i="31"/>
  <c r="BA113" i="29"/>
  <c r="BA100" i="29"/>
  <c r="BA104" i="31" s="1"/>
  <c r="BA102" i="29"/>
  <c r="BA96" i="29"/>
  <c r="BA100" i="31" s="1"/>
  <c r="AR98" i="31"/>
  <c r="AR113" i="29"/>
  <c r="AR100" i="29"/>
  <c r="AR104" i="31" s="1"/>
  <c r="AR102" i="29"/>
  <c r="AR96" i="29"/>
  <c r="AR100" i="31" s="1"/>
  <c r="DI98" i="31"/>
  <c r="DI113" i="29"/>
  <c r="DI96" i="29"/>
  <c r="DI100" i="31" s="1"/>
  <c r="DI102" i="29"/>
  <c r="DI100" i="29"/>
  <c r="DI104" i="31" s="1"/>
  <c r="GU117" i="31"/>
  <c r="GU148" i="29"/>
  <c r="GU116" i="29"/>
  <c r="CD98" i="31"/>
  <c r="CD100" i="29"/>
  <c r="CD104" i="31" s="1"/>
  <c r="CD113" i="29"/>
  <c r="CD102" i="29"/>
  <c r="CD96" i="29"/>
  <c r="CD100" i="31" s="1"/>
  <c r="FE106" i="31"/>
  <c r="FE106" i="29"/>
  <c r="FE110" i="31" s="1"/>
  <c r="FE103" i="29"/>
  <c r="X98" i="31"/>
  <c r="X102" i="29"/>
  <c r="X113" i="29"/>
  <c r="X100" i="29"/>
  <c r="X104" i="31" s="1"/>
  <c r="X96" i="29"/>
  <c r="X100" i="31" s="1"/>
  <c r="HI106" i="31"/>
  <c r="HI106" i="29"/>
  <c r="HI110" i="31" s="1"/>
  <c r="HI103" i="29"/>
  <c r="GW117" i="31"/>
  <c r="GW116" i="29"/>
  <c r="GW148" i="29"/>
  <c r="DK98" i="31"/>
  <c r="DK100" i="29"/>
  <c r="DK104" i="31" s="1"/>
  <c r="DK113" i="29"/>
  <c r="DK102" i="29"/>
  <c r="DK96" i="29"/>
  <c r="DK100" i="31" s="1"/>
  <c r="AA98" i="31"/>
  <c r="AA96" i="29"/>
  <c r="AA100" i="31" s="1"/>
  <c r="AA102" i="29"/>
  <c r="AA113" i="29"/>
  <c r="AA100" i="29"/>
  <c r="AA104" i="31" s="1"/>
  <c r="EO98" i="31"/>
  <c r="EO102" i="29"/>
  <c r="EO113" i="29"/>
  <c r="EO100" i="29"/>
  <c r="EO104" i="31" s="1"/>
  <c r="EO96" i="29"/>
  <c r="EO100" i="31" s="1"/>
  <c r="DU98" i="31"/>
  <c r="DU113" i="29"/>
  <c r="DU102" i="29"/>
  <c r="DU100" i="29"/>
  <c r="DU104" i="31" s="1"/>
  <c r="DU96" i="29"/>
  <c r="DU100" i="31" s="1"/>
  <c r="CF98" i="31"/>
  <c r="CF113" i="29"/>
  <c r="CF102" i="29"/>
  <c r="CF96" i="29"/>
  <c r="CF100" i="31" s="1"/>
  <c r="CF100" i="29"/>
  <c r="CF104" i="31" s="1"/>
  <c r="FT117" i="31"/>
  <c r="FT148" i="29"/>
  <c r="FT116" i="29"/>
  <c r="HZ117" i="31"/>
  <c r="HZ116" i="29"/>
  <c r="HZ148" i="29"/>
  <c r="JF117" i="31"/>
  <c r="JF116" i="29"/>
  <c r="JF148" i="29"/>
  <c r="IT117" i="31"/>
  <c r="IT116" i="29"/>
  <c r="IT148" i="29"/>
  <c r="EI98" i="31"/>
  <c r="EI113" i="29"/>
  <c r="EI102" i="29"/>
  <c r="EI100" i="29"/>
  <c r="EI104" i="31" s="1"/>
  <c r="EI96" i="29"/>
  <c r="EI100" i="31" s="1"/>
  <c r="Z98" i="31"/>
  <c r="Z100" i="29"/>
  <c r="Z104" i="31" s="1"/>
  <c r="Z102" i="29"/>
  <c r="Z113" i="29"/>
  <c r="Z96" i="29"/>
  <c r="Z100" i="31" s="1"/>
  <c r="EV106" i="31"/>
  <c r="EV103" i="29"/>
  <c r="JN102" i="29"/>
  <c r="EV106" i="29"/>
  <c r="EV110" i="31" s="1"/>
  <c r="GN106" i="31"/>
  <c r="GN106" i="29"/>
  <c r="GN110" i="31" s="1"/>
  <c r="GN103" i="29"/>
  <c r="IF117" i="31"/>
  <c r="IF116" i="29"/>
  <c r="IF148" i="29"/>
  <c r="BI98" i="31"/>
  <c r="BI96" i="29"/>
  <c r="BI100" i="31" s="1"/>
  <c r="BI100" i="29"/>
  <c r="BI104" i="31" s="1"/>
  <c r="BI113" i="29"/>
  <c r="BI102" i="29"/>
  <c r="CZ98" i="31"/>
  <c r="CZ100" i="29"/>
  <c r="CZ104" i="31" s="1"/>
  <c r="CZ113" i="29"/>
  <c r="CZ102" i="29"/>
  <c r="CZ96" i="29"/>
  <c r="CZ100" i="31" s="1"/>
  <c r="GD106" i="31"/>
  <c r="GD103" i="29"/>
  <c r="GD106" i="29"/>
  <c r="GD110" i="31" s="1"/>
  <c r="FL117" i="31"/>
  <c r="FL116" i="29"/>
  <c r="FL148" i="29"/>
  <c r="ET156" i="29"/>
  <c r="ET187" i="29"/>
  <c r="ET158" i="29"/>
  <c r="ET183" i="29"/>
  <c r="JC117" i="31"/>
  <c r="JC148" i="29"/>
  <c r="JC116" i="29"/>
  <c r="IM117" i="31"/>
  <c r="IM148" i="29"/>
  <c r="IM116" i="29"/>
  <c r="IV117" i="31"/>
  <c r="IV148" i="29"/>
  <c r="IV116" i="29"/>
  <c r="EW117" i="31"/>
  <c r="EW148" i="29"/>
  <c r="EW116" i="29"/>
  <c r="AF98" i="31"/>
  <c r="AF102" i="29"/>
  <c r="AF96" i="29"/>
  <c r="AF100" i="31" s="1"/>
  <c r="AF100" i="29"/>
  <c r="AF104" i="31" s="1"/>
  <c r="AF113" i="29"/>
  <c r="DH98" i="31"/>
  <c r="DH113" i="29"/>
  <c r="DH102" i="29"/>
  <c r="DH100" i="29"/>
  <c r="DH104" i="31" s="1"/>
  <c r="DH96" i="29"/>
  <c r="DH100" i="31" s="1"/>
  <c r="DO107" i="31"/>
  <c r="DO105" i="29"/>
  <c r="DO109" i="31" s="1"/>
  <c r="DO104" i="29"/>
  <c r="DO108" i="31" s="1"/>
  <c r="AI94" i="29"/>
  <c r="AI97" i="31"/>
  <c r="L98" i="31"/>
  <c r="L100" i="29"/>
  <c r="L104" i="31" s="1"/>
  <c r="L102" i="29"/>
  <c r="L113" i="29"/>
  <c r="L96" i="29"/>
  <c r="L100" i="31" s="1"/>
  <c r="FX117" i="31"/>
  <c r="FX148" i="29"/>
  <c r="FX116" i="29"/>
  <c r="HL117" i="31"/>
  <c r="JO113" i="29"/>
  <c r="HL148" i="29"/>
  <c r="HL116" i="29"/>
  <c r="GQ106" i="31"/>
  <c r="GQ103" i="29"/>
  <c r="GQ106" i="29"/>
  <c r="GQ110" i="31" s="1"/>
  <c r="EN98" i="31"/>
  <c r="EN96" i="29"/>
  <c r="EN100" i="31" s="1"/>
  <c r="EN100" i="29"/>
  <c r="EN104" i="31" s="1"/>
  <c r="EN113" i="29"/>
  <c r="EN102" i="29"/>
  <c r="BM94" i="29"/>
  <c r="BM97" i="31"/>
  <c r="FP117" i="31"/>
  <c r="FP148" i="29"/>
  <c r="FP116" i="29"/>
  <c r="GI106" i="31"/>
  <c r="GI103" i="29"/>
  <c r="GI106" i="29"/>
  <c r="GI110" i="31" s="1"/>
  <c r="AN98" i="31"/>
  <c r="AN102" i="29"/>
  <c r="AN113" i="29"/>
  <c r="AN96" i="29"/>
  <c r="AN100" i="31" s="1"/>
  <c r="AN100" i="29"/>
  <c r="AN104" i="31" s="1"/>
  <c r="AX98" i="31"/>
  <c r="AX113" i="29"/>
  <c r="AX100" i="29"/>
  <c r="AX104" i="31" s="1"/>
  <c r="AX102" i="29"/>
  <c r="AX96" i="29"/>
  <c r="AX100" i="31" s="1"/>
  <c r="HJ106" i="31"/>
  <c r="HJ103" i="29"/>
  <c r="HJ106" i="29"/>
  <c r="HJ110" i="31" s="1"/>
  <c r="HB106" i="31"/>
  <c r="HB103" i="29"/>
  <c r="HB106" i="29"/>
  <c r="HB110" i="31" s="1"/>
  <c r="DO120" i="31"/>
  <c r="DO128" i="29"/>
  <c r="DO117" i="29"/>
  <c r="DO121" i="31" s="1"/>
  <c r="HH117" i="31"/>
  <c r="HH148" i="29"/>
  <c r="HH116" i="29"/>
  <c r="DD98" i="31"/>
  <c r="DD113" i="29"/>
  <c r="DD100" i="29"/>
  <c r="DD104" i="31" s="1"/>
  <c r="DD102" i="29"/>
  <c r="DD96" i="29"/>
  <c r="DD100" i="31" s="1"/>
  <c r="CL98" i="31"/>
  <c r="CL100" i="29"/>
  <c r="CL104" i="31" s="1"/>
  <c r="CL96" i="29"/>
  <c r="CL100" i="31" s="1"/>
  <c r="CL113" i="29"/>
  <c r="CL102" i="29"/>
  <c r="GH117" i="31"/>
  <c r="GH148" i="29"/>
  <c r="GH116" i="29"/>
  <c r="ID117" i="31"/>
  <c r="ID116" i="29"/>
  <c r="ID148" i="29"/>
  <c r="CO98" i="31"/>
  <c r="CO100" i="29"/>
  <c r="CO104" i="31" s="1"/>
  <c r="CO102" i="29"/>
  <c r="CO113" i="29"/>
  <c r="CO96" i="29"/>
  <c r="CO100" i="31" s="1"/>
  <c r="EX106" i="31"/>
  <c r="EX103" i="29"/>
  <c r="EX106" i="29"/>
  <c r="EX110" i="31" s="1"/>
  <c r="BD98" i="31"/>
  <c r="BD102" i="29"/>
  <c r="BD100" i="29"/>
  <c r="BD104" i="31" s="1"/>
  <c r="BD113" i="29"/>
  <c r="BD96" i="29"/>
  <c r="BD100" i="31" s="1"/>
  <c r="GP106" i="31"/>
  <c r="GP103" i="29"/>
  <c r="GP106" i="29"/>
  <c r="GP110" i="31" s="1"/>
  <c r="O98" i="31"/>
  <c r="O113" i="29"/>
  <c r="O96" i="29"/>
  <c r="O100" i="31" s="1"/>
  <c r="O100" i="29"/>
  <c r="O104" i="31" s="1"/>
  <c r="O102" i="29"/>
  <c r="FV106" i="31"/>
  <c r="FV103" i="29"/>
  <c r="FV106" i="29"/>
  <c r="FV110" i="31" s="1"/>
  <c r="W98" i="31"/>
  <c r="W100" i="29"/>
  <c r="W104" i="31" s="1"/>
  <c r="W102" i="29"/>
  <c r="W113" i="29"/>
  <c r="W96" i="29"/>
  <c r="W100" i="31" s="1"/>
  <c r="FS106" i="31"/>
  <c r="FS106" i="29"/>
  <c r="FS110" i="31" s="1"/>
  <c r="FS103" i="29"/>
  <c r="EB98" i="31"/>
  <c r="EB102" i="29"/>
  <c r="EB113" i="29"/>
  <c r="EB100" i="29"/>
  <c r="EB104" i="31" s="1"/>
  <c r="EB96" i="29"/>
  <c r="EB100" i="31" s="1"/>
  <c r="HS117" i="31"/>
  <c r="HS148" i="29"/>
  <c r="HS116" i="29"/>
  <c r="GX106" i="31"/>
  <c r="GX106" i="29"/>
  <c r="GX110" i="31" s="1"/>
  <c r="GX103" i="29"/>
  <c r="CV94" i="29"/>
  <c r="CV97" i="31"/>
  <c r="GC117" i="31"/>
  <c r="GC148" i="29"/>
  <c r="GC116" i="29"/>
  <c r="AU98" i="31"/>
  <c r="AU113" i="29"/>
  <c r="AU96" i="29"/>
  <c r="AU100" i="31" s="1"/>
  <c r="AU100" i="29"/>
  <c r="AU104" i="31" s="1"/>
  <c r="AU102" i="29"/>
  <c r="GA117" i="31"/>
  <c r="GA148" i="29"/>
  <c r="GA116" i="29"/>
  <c r="EY106" i="31"/>
  <c r="EY103" i="29"/>
  <c r="EY106" i="29"/>
  <c r="EY110" i="31" s="1"/>
  <c r="BC98" i="31"/>
  <c r="BC113" i="29"/>
  <c r="BC100" i="29"/>
  <c r="BC104" i="31" s="1"/>
  <c r="BC102" i="29"/>
  <c r="BC96" i="29"/>
  <c r="BC100" i="31" s="1"/>
  <c r="HK106" i="31"/>
  <c r="HK106" i="29"/>
  <c r="HK110" i="31" s="1"/>
  <c r="HK103" i="29"/>
  <c r="FN117" i="31"/>
  <c r="FN148" i="29"/>
  <c r="FN116" i="29"/>
  <c r="CS98" i="31"/>
  <c r="CS113" i="29"/>
  <c r="CS96" i="29"/>
  <c r="CS100" i="31" s="1"/>
  <c r="CS102" i="29"/>
  <c r="CS100" i="29"/>
  <c r="CS104" i="31" s="1"/>
  <c r="HB117" i="31"/>
  <c r="HB148" i="29"/>
  <c r="HB116" i="29"/>
  <c r="CU98" i="31"/>
  <c r="CU100" i="29"/>
  <c r="CU104" i="31" s="1"/>
  <c r="CU96" i="29"/>
  <c r="CU100" i="31" s="1"/>
  <c r="CU102" i="29"/>
  <c r="CU113" i="29"/>
  <c r="FQ117" i="31"/>
  <c r="FQ148" i="29"/>
  <c r="FQ116" i="29"/>
  <c r="FU106" i="31"/>
  <c r="FU106" i="29"/>
  <c r="FU110" i="31" s="1"/>
  <c r="FU103" i="29"/>
  <c r="GB117" i="31"/>
  <c r="GB148" i="29"/>
  <c r="GB116" i="29"/>
  <c r="BZ98" i="31"/>
  <c r="BZ102" i="29"/>
  <c r="BZ113" i="29"/>
  <c r="BZ100" i="29"/>
  <c r="BZ104" i="31" s="1"/>
  <c r="BZ96" i="29"/>
  <c r="BZ100" i="31" s="1"/>
  <c r="CT98" i="31"/>
  <c r="CT96" i="29"/>
  <c r="CT100" i="31" s="1"/>
  <c r="CT113" i="29"/>
  <c r="CT100" i="29"/>
  <c r="CT104" i="31" s="1"/>
  <c r="CT102" i="29"/>
  <c r="GH106" i="31"/>
  <c r="GH103" i="29"/>
  <c r="GH106" i="29"/>
  <c r="GH110" i="31" s="1"/>
  <c r="HD106" i="31"/>
  <c r="HD106" i="29"/>
  <c r="HD110" i="31" s="1"/>
  <c r="HD103" i="29"/>
  <c r="AH98" i="31"/>
  <c r="AH100" i="29"/>
  <c r="AH104" i="31" s="1"/>
  <c r="AH102" i="29"/>
  <c r="AH113" i="29"/>
  <c r="AH96" i="29"/>
  <c r="AH100" i="31" s="1"/>
  <c r="AY98" i="31"/>
  <c r="AY113" i="29"/>
  <c r="AY102" i="29"/>
  <c r="AY96" i="29"/>
  <c r="AY100" i="31" s="1"/>
  <c r="AY100" i="29"/>
  <c r="AY104" i="31" s="1"/>
  <c r="GK117" i="31"/>
  <c r="GK148" i="29"/>
  <c r="GK116" i="29"/>
  <c r="N98" i="31"/>
  <c r="N102" i="29"/>
  <c r="N96" i="29"/>
  <c r="N100" i="31" s="1"/>
  <c r="N100" i="29"/>
  <c r="N104" i="31" s="1"/>
  <c r="N113" i="29"/>
  <c r="FO106" i="31"/>
  <c r="FO103" i="29"/>
  <c r="FO106" i="29"/>
  <c r="FO110" i="31" s="1"/>
  <c r="CI98" i="31"/>
  <c r="CI113" i="29"/>
  <c r="CI100" i="29"/>
  <c r="CI104" i="31" s="1"/>
  <c r="CI102" i="29"/>
  <c r="CI96" i="29"/>
  <c r="CI100" i="31" s="1"/>
  <c r="GV117" i="31"/>
  <c r="GV148" i="29"/>
  <c r="GV116" i="29"/>
  <c r="DL98" i="31"/>
  <c r="DL113" i="29"/>
  <c r="DL100" i="29"/>
  <c r="DL104" i="31" s="1"/>
  <c r="DL102" i="29"/>
  <c r="DL96" i="29"/>
  <c r="DL100" i="31" s="1"/>
  <c r="BT98" i="31"/>
  <c r="BT100" i="29"/>
  <c r="BT104" i="31" s="1"/>
  <c r="BT113" i="29"/>
  <c r="BT102" i="29"/>
  <c r="BT96" i="29"/>
  <c r="BT100" i="31" s="1"/>
  <c r="AQ98" i="31"/>
  <c r="AQ96" i="29"/>
  <c r="AQ100" i="31" s="1"/>
  <c r="AQ102" i="29"/>
  <c r="AQ113" i="29"/>
  <c r="AQ100" i="29"/>
  <c r="AQ104" i="31" s="1"/>
  <c r="FR103" i="29"/>
  <c r="FR106" i="31"/>
  <c r="HR117" i="31"/>
  <c r="HR148" i="29"/>
  <c r="HR116" i="29"/>
  <c r="GJ106" i="31"/>
  <c r="GJ103" i="29"/>
  <c r="GJ106" i="29"/>
  <c r="GJ110" i="31" s="1"/>
  <c r="II117" i="31"/>
  <c r="II116" i="29"/>
  <c r="II148" i="29"/>
  <c r="BH98" i="31"/>
  <c r="BH102" i="29"/>
  <c r="BH113" i="29"/>
  <c r="BH100" i="29"/>
  <c r="BH104" i="31" s="1"/>
  <c r="BH96" i="29"/>
  <c r="BH100" i="31" s="1"/>
  <c r="HE117" i="31"/>
  <c r="HE148" i="29"/>
  <c r="HE116" i="29"/>
  <c r="DQ98" i="31"/>
  <c r="DQ96" i="29"/>
  <c r="DQ100" i="31" s="1"/>
  <c r="DQ100" i="29"/>
  <c r="DQ104" i="31" s="1"/>
  <c r="DQ102" i="29"/>
  <c r="DQ113" i="29"/>
  <c r="GZ116" i="29"/>
  <c r="GZ117" i="31"/>
  <c r="S98" i="31"/>
  <c r="S102" i="29"/>
  <c r="S113" i="29"/>
  <c r="S96" i="29"/>
  <c r="S100" i="31" s="1"/>
  <c r="S100" i="29"/>
  <c r="S104" i="31" s="1"/>
  <c r="GE116" i="29"/>
  <c r="GE117" i="31"/>
  <c r="DA98" i="31"/>
  <c r="DA102" i="29"/>
  <c r="DA100" i="29"/>
  <c r="DA104" i="31" s="1"/>
  <c r="DA113" i="29"/>
  <c r="DA96" i="29"/>
  <c r="DA100" i="31" s="1"/>
  <c r="HA106" i="31"/>
  <c r="HA103" i="29"/>
  <c r="HA106" i="29"/>
  <c r="HA110" i="31" s="1"/>
  <c r="AM98" i="31"/>
  <c r="AM102" i="29"/>
  <c r="AM113" i="29"/>
  <c r="AM100" i="29"/>
  <c r="AM104" i="31" s="1"/>
  <c r="AM96" i="29"/>
  <c r="AM100" i="31" s="1"/>
  <c r="FM117" i="31"/>
  <c r="FM148" i="29"/>
  <c r="FM116" i="29"/>
  <c r="U98" i="31"/>
  <c r="U96" i="29"/>
  <c r="U100" i="31" s="1"/>
  <c r="U113" i="29"/>
  <c r="U102" i="29"/>
  <c r="U100" i="29"/>
  <c r="U104" i="31" s="1"/>
  <c r="HN156" i="29"/>
  <c r="HN186" i="29"/>
  <c r="HN158" i="29"/>
  <c r="HN187" i="29"/>
  <c r="HN183" i="29"/>
  <c r="JG117" i="31"/>
  <c r="JG148" i="29"/>
  <c r="JG116" i="29"/>
  <c r="HW117" i="31"/>
  <c r="HW116" i="29"/>
  <c r="HW148" i="29"/>
  <c r="FY117" i="31"/>
  <c r="FY148" i="29"/>
  <c r="FY116" i="29"/>
  <c r="CP98" i="31"/>
  <c r="CP100" i="29"/>
  <c r="CP104" i="31" s="1"/>
  <c r="CP102" i="29"/>
  <c r="CP113" i="29"/>
  <c r="CP96" i="29"/>
  <c r="CP100" i="31" s="1"/>
  <c r="GY106" i="31"/>
  <c r="GY103" i="29"/>
  <c r="GY106" i="29"/>
  <c r="GY110" i="31" s="1"/>
  <c r="IO117" i="31"/>
  <c r="IO116" i="29"/>
  <c r="IO148" i="29"/>
  <c r="IP117" i="31"/>
  <c r="IP148" i="29"/>
  <c r="IP116" i="29"/>
  <c r="IY117" i="31"/>
  <c r="IY116" i="29"/>
  <c r="IY148" i="29"/>
  <c r="HI117" i="31"/>
  <c r="HI148" i="29"/>
  <c r="HI116" i="29"/>
  <c r="CW98" i="31"/>
  <c r="CW113" i="29"/>
  <c r="CW100" i="29"/>
  <c r="CW104" i="31" s="1"/>
  <c r="CW102" i="29"/>
  <c r="CW96" i="29"/>
  <c r="CW100" i="31" s="1"/>
  <c r="DP98" i="31"/>
  <c r="DP102" i="29"/>
  <c r="DP100" i="29"/>
  <c r="DP104" i="31" s="1"/>
  <c r="DP113" i="29"/>
  <c r="DP96" i="29"/>
  <c r="DP100" i="31" s="1"/>
  <c r="GC106" i="31"/>
  <c r="GC106" i="29"/>
  <c r="GC110" i="31" s="1"/>
  <c r="GC103" i="29"/>
  <c r="EF98" i="31"/>
  <c r="EF113" i="29"/>
  <c r="EF96" i="29"/>
  <c r="EF100" i="31" s="1"/>
  <c r="EF100" i="29"/>
  <c r="EF104" i="31" s="1"/>
  <c r="EF102" i="29"/>
  <c r="BX98" i="31"/>
  <c r="BX100" i="29"/>
  <c r="BX104" i="31" s="1"/>
  <c r="BX113" i="29"/>
  <c r="BX102" i="29"/>
  <c r="BX96" i="29"/>
  <c r="BX100" i="31" s="1"/>
  <c r="GA106" i="31"/>
  <c r="GA106" i="29"/>
  <c r="GA110" i="31" s="1"/>
  <c r="GA103" i="29"/>
  <c r="ES98" i="31"/>
  <c r="ES96" i="29"/>
  <c r="ES100" i="31" s="1"/>
  <c r="ES113" i="29"/>
  <c r="ES100" i="29"/>
  <c r="ES104" i="31" s="1"/>
  <c r="ES102" i="29"/>
  <c r="BY98" i="31"/>
  <c r="BY100" i="29"/>
  <c r="BY104" i="31" s="1"/>
  <c r="BY113" i="29"/>
  <c r="BY102" i="29"/>
  <c r="BY96" i="29"/>
  <c r="BY100" i="31" s="1"/>
  <c r="AV98" i="31"/>
  <c r="AV102" i="29"/>
  <c r="AV113" i="29"/>
  <c r="AV100" i="29"/>
  <c r="AV104" i="31" s="1"/>
  <c r="AV96" i="29"/>
  <c r="AV100" i="31" s="1"/>
  <c r="HG106" i="31"/>
  <c r="HG106" i="29"/>
  <c r="HG110" i="31" s="1"/>
  <c r="HG103" i="29"/>
  <c r="FT106" i="31"/>
  <c r="FT106" i="29"/>
  <c r="FT110" i="31" s="1"/>
  <c r="FT103" i="29"/>
  <c r="DB98" i="31"/>
  <c r="DB102" i="29"/>
  <c r="DB113" i="29"/>
  <c r="DB100" i="29"/>
  <c r="DB104" i="31" s="1"/>
  <c r="DB96" i="29"/>
  <c r="DB100" i="31" s="1"/>
  <c r="CE98" i="31"/>
  <c r="CE96" i="29"/>
  <c r="CE100" i="31" s="1"/>
  <c r="CE100" i="29"/>
  <c r="CE104" i="31" s="1"/>
  <c r="CE113" i="29"/>
  <c r="CE102" i="29"/>
  <c r="JN96" i="29"/>
  <c r="EV100" i="31"/>
  <c r="JN100" i="31" s="1"/>
  <c r="BO98" i="31"/>
  <c r="BO113" i="29"/>
  <c r="BO100" i="29"/>
  <c r="BO104" i="31" s="1"/>
  <c r="BO102" i="29"/>
  <c r="BO96" i="29"/>
  <c r="BO100" i="31" s="1"/>
  <c r="GD117" i="31"/>
  <c r="GD148" i="29"/>
  <c r="GD116" i="29"/>
  <c r="FG117" i="31"/>
  <c r="FG116" i="29"/>
  <c r="FG148" i="29"/>
  <c r="GR117" i="31"/>
  <c r="GR148" i="29"/>
  <c r="GR116" i="29"/>
  <c r="EP98" i="31"/>
  <c r="EP102" i="29"/>
  <c r="EP113" i="29"/>
  <c r="EP100" i="29"/>
  <c r="EP104" i="31" s="1"/>
  <c r="EP96" i="29"/>
  <c r="EP100" i="31" s="1"/>
  <c r="IB117" i="31"/>
  <c r="IB116" i="29"/>
  <c r="IB148" i="29"/>
  <c r="EZ117" i="31"/>
  <c r="EZ116" i="29"/>
  <c r="EZ148" i="29"/>
  <c r="FF106" i="31"/>
  <c r="FF103" i="29"/>
  <c r="FF106" i="29"/>
  <c r="FF110" i="31" s="1"/>
  <c r="AL98" i="31"/>
  <c r="AL102" i="29"/>
  <c r="AL113" i="29"/>
  <c r="AL100" i="29"/>
  <c r="AL104" i="31" s="1"/>
  <c r="AL96" i="29"/>
  <c r="AL100" i="31" s="1"/>
  <c r="GF106" i="31"/>
  <c r="GF106" i="29"/>
  <c r="GF110" i="31" s="1"/>
  <c r="GF103" i="29"/>
  <c r="AB98" i="31"/>
  <c r="AB96" i="29"/>
  <c r="AB100" i="31" s="1"/>
  <c r="AB113" i="29"/>
  <c r="AB102" i="29"/>
  <c r="AB100" i="29"/>
  <c r="AB104" i="31" s="1"/>
  <c r="M98" i="31"/>
  <c r="M96" i="29"/>
  <c r="M100" i="31" s="1"/>
  <c r="M102" i="29"/>
  <c r="M113" i="29"/>
  <c r="M100" i="29"/>
  <c r="M104" i="31" s="1"/>
  <c r="CK98" i="31"/>
  <c r="CK100" i="29"/>
  <c r="CK104" i="31" s="1"/>
  <c r="CK96" i="29"/>
  <c r="CK100" i="31" s="1"/>
  <c r="CK113" i="29"/>
  <c r="CK102" i="29"/>
  <c r="Q98" i="31"/>
  <c r="Q113" i="29"/>
  <c r="Q102" i="29"/>
  <c r="Q100" i="29"/>
  <c r="Q104" i="31" s="1"/>
  <c r="Q96" i="29"/>
  <c r="Q100" i="31" s="1"/>
  <c r="FP106" i="31"/>
  <c r="FP103" i="29"/>
  <c r="FP106" i="29"/>
  <c r="FP110" i="31" s="1"/>
  <c r="DX98" i="31"/>
  <c r="DX96" i="29"/>
  <c r="DX100" i="31" s="1"/>
  <c r="DX113" i="29"/>
  <c r="DX102" i="29"/>
  <c r="DX100" i="29"/>
  <c r="DX104" i="31" s="1"/>
  <c r="BK98" i="31"/>
  <c r="BK100" i="29"/>
  <c r="BK104" i="31" s="1"/>
  <c r="BK102" i="29"/>
  <c r="BK113" i="29"/>
  <c r="BK96" i="29"/>
  <c r="BK100" i="31" s="1"/>
  <c r="HJ116" i="29"/>
  <c r="HJ117" i="31"/>
  <c r="DM98" i="31"/>
  <c r="DM100" i="29"/>
  <c r="DM104" i="31" s="1"/>
  <c r="DM102" i="29"/>
  <c r="DM113" i="29"/>
  <c r="DM96" i="29"/>
  <c r="DM100" i="31" s="1"/>
  <c r="FW117" i="31"/>
  <c r="FW148" i="29"/>
  <c r="FW116" i="29"/>
  <c r="HD117" i="31"/>
  <c r="HD148" i="29"/>
  <c r="HD116" i="29"/>
  <c r="CR98" i="31"/>
  <c r="CR113" i="29"/>
  <c r="CR96" i="29"/>
  <c r="CR100" i="31" s="1"/>
  <c r="CR100" i="29"/>
  <c r="CR104" i="31" s="1"/>
  <c r="CR102" i="29"/>
  <c r="BE98" i="31"/>
  <c r="BE113" i="29"/>
  <c r="BE96" i="29"/>
  <c r="BE100" i="31" s="1"/>
  <c r="BE102" i="29"/>
  <c r="BE100" i="29"/>
  <c r="BE104" i="31" s="1"/>
  <c r="JB117" i="31"/>
  <c r="JB148" i="29"/>
  <c r="JB116" i="29"/>
  <c r="FY106" i="31"/>
  <c r="FY103" i="29"/>
  <c r="FY106" i="29"/>
  <c r="FY110" i="31" s="1"/>
  <c r="IU117" i="31"/>
  <c r="IU116" i="29"/>
  <c r="IU148" i="29"/>
  <c r="BQ94" i="29"/>
  <c r="BQ97" i="31"/>
  <c r="CJ98" i="31"/>
  <c r="CJ113" i="29"/>
  <c r="CJ102" i="29"/>
  <c r="CJ100" i="29"/>
  <c r="CJ104" i="31" s="1"/>
  <c r="CJ96" i="29"/>
  <c r="CJ100" i="31" s="1"/>
  <c r="J94" i="29"/>
  <c r="J97" i="31"/>
  <c r="AW98" i="31"/>
  <c r="AW100" i="29"/>
  <c r="AW104" i="31" s="1"/>
  <c r="AW96" i="29"/>
  <c r="AW100" i="31" s="1"/>
  <c r="AW102" i="29"/>
  <c r="AW113" i="29"/>
  <c r="CB94" i="29"/>
  <c r="CB97" i="31"/>
  <c r="T98" i="31"/>
  <c r="T102" i="29"/>
  <c r="T96" i="29"/>
  <c r="T100" i="31" s="1"/>
  <c r="T100" i="29"/>
  <c r="T104" i="31" s="1"/>
  <c r="T113" i="29"/>
  <c r="R98" i="31"/>
  <c r="R100" i="29"/>
  <c r="R104" i="31" s="1"/>
  <c r="R102" i="29"/>
  <c r="R96" i="29"/>
  <c r="R100" i="31" s="1"/>
  <c r="R113" i="29"/>
  <c r="EK98" i="31"/>
  <c r="EK113" i="29"/>
  <c r="EK100" i="29"/>
  <c r="EK104" i="31" s="1"/>
  <c r="EK102" i="29"/>
  <c r="EK96" i="29"/>
  <c r="EK100" i="31" s="1"/>
  <c r="CN98" i="31"/>
  <c r="CN100" i="29"/>
  <c r="CN104" i="31" s="1"/>
  <c r="CN102" i="29"/>
  <c r="CN113" i="29"/>
  <c r="CN96" i="29"/>
  <c r="CN100" i="31" s="1"/>
  <c r="CM98" i="31"/>
  <c r="CM113" i="29"/>
  <c r="CM102" i="29"/>
  <c r="CM100" i="29"/>
  <c r="CM104" i="31" s="1"/>
  <c r="CM96" i="29"/>
  <c r="CM100" i="31" s="1"/>
  <c r="EM98" i="31"/>
  <c r="EM113" i="29"/>
  <c r="EM100" i="29"/>
  <c r="EM104" i="31" s="1"/>
  <c r="EM102" i="29"/>
  <c r="EM96" i="29"/>
  <c r="EM100" i="31" s="1"/>
  <c r="FK117" i="31"/>
  <c r="FK148" i="29"/>
  <c r="FK116" i="29"/>
  <c r="GT117" i="31"/>
  <c r="GT148" i="29"/>
  <c r="GT116" i="29"/>
  <c r="DR97" i="31"/>
  <c r="DR94" i="29"/>
  <c r="HH106" i="31"/>
  <c r="HH103" i="29"/>
  <c r="HH106" i="29"/>
  <c r="HH110" i="31" s="1"/>
  <c r="GS106" i="31"/>
  <c r="GS103" i="29"/>
  <c r="GS106" i="29"/>
  <c r="GS110" i="31" s="1"/>
  <c r="CG98" i="31"/>
  <c r="CG102" i="29"/>
  <c r="CG100" i="29"/>
  <c r="CG104" i="31" s="1"/>
  <c r="CG113" i="29"/>
  <c r="CG96" i="29"/>
  <c r="CG100" i="31" s="1"/>
  <c r="GL117" i="31"/>
  <c r="GL148" i="29"/>
  <c r="GL116" i="29"/>
  <c r="EC98" i="31"/>
  <c r="EC113" i="29"/>
  <c r="EC96" i="29"/>
  <c r="EC100" i="31" s="1"/>
  <c r="EC100" i="29"/>
  <c r="EC104" i="31" s="1"/>
  <c r="EC102" i="29"/>
  <c r="D93" i="29"/>
  <c r="D94" i="31"/>
  <c r="JL94" i="31" s="1"/>
  <c r="JL90" i="29"/>
  <c r="JP90" i="29" s="1"/>
  <c r="JI90" i="29"/>
  <c r="JI94" i="31" s="1"/>
  <c r="DF98" i="31"/>
  <c r="DF102" i="29"/>
  <c r="DF96" i="29"/>
  <c r="DF100" i="31" s="1"/>
  <c r="DF100" i="29"/>
  <c r="DF104" i="31" s="1"/>
  <c r="DF113" i="29"/>
  <c r="HF117" i="31"/>
  <c r="HF148" i="29"/>
  <c r="HF116" i="29"/>
  <c r="DE98" i="31"/>
  <c r="DE100" i="29"/>
  <c r="DE104" i="31" s="1"/>
  <c r="DE96" i="29"/>
  <c r="DE100" i="31" s="1"/>
  <c r="DE113" i="29"/>
  <c r="DE102" i="29"/>
  <c r="FI106" i="31"/>
  <c r="FI103" i="29"/>
  <c r="FI106" i="29"/>
  <c r="FI110" i="31" s="1"/>
  <c r="DJ98" i="31"/>
  <c r="DJ100" i="29"/>
  <c r="DJ104" i="31" s="1"/>
  <c r="DJ102" i="29"/>
  <c r="DJ113" i="29"/>
  <c r="DJ96" i="29"/>
  <c r="DJ100" i="31" s="1"/>
  <c r="DO152" i="31"/>
  <c r="DO151" i="29"/>
  <c r="DO154" i="29"/>
  <c r="DO164" i="29" s="1"/>
  <c r="DO168" i="31" s="1"/>
  <c r="DO163" i="29"/>
  <c r="GS117" i="31"/>
  <c r="GS148" i="29"/>
  <c r="GS116" i="29"/>
  <c r="DC98" i="31"/>
  <c r="DC100" i="29"/>
  <c r="DC104" i="31" s="1"/>
  <c r="DC113" i="29"/>
  <c r="DC96" i="29"/>
  <c r="DC100" i="31" s="1"/>
  <c r="DC102" i="29"/>
  <c r="GL106" i="31"/>
  <c r="GL106" i="29"/>
  <c r="GL110" i="31" s="1"/>
  <c r="GL103" i="29"/>
  <c r="IQ117" i="31"/>
  <c r="IQ148" i="29"/>
  <c r="IQ116" i="29"/>
  <c r="HV117" i="31"/>
  <c r="HV116" i="29"/>
  <c r="HV148" i="29"/>
  <c r="IW117" i="31"/>
  <c r="IW148" i="29"/>
  <c r="IW116" i="29"/>
  <c r="EU162" i="31"/>
  <c r="EU173" i="31" s="1"/>
  <c r="EU169" i="29"/>
  <c r="EU159" i="29"/>
  <c r="IC117" i="31"/>
  <c r="IC116" i="29"/>
  <c r="IC148" i="29"/>
  <c r="IJ117" i="31"/>
  <c r="IJ148" i="29"/>
  <c r="IJ116" i="29"/>
  <c r="K94" i="29"/>
  <c r="K97" i="31"/>
  <c r="FO117" i="31"/>
  <c r="FO148" i="29"/>
  <c r="FO116" i="29"/>
  <c r="EG94" i="29"/>
  <c r="EG97" i="31"/>
  <c r="FC106" i="31"/>
  <c r="FC103" i="29"/>
  <c r="FC106" i="29"/>
  <c r="FC110" i="31" s="1"/>
  <c r="FH117" i="31"/>
  <c r="FH148" i="29"/>
  <c r="FH116" i="29"/>
  <c r="FR116" i="29"/>
  <c r="FR117" i="31"/>
  <c r="FD116" i="29"/>
  <c r="FD117" i="31"/>
  <c r="AE98" i="31"/>
  <c r="AE113" i="29"/>
  <c r="AE100" i="29"/>
  <c r="AE104" i="31" s="1"/>
  <c r="AE102" i="29"/>
  <c r="AE96" i="29"/>
  <c r="AE100" i="31" s="1"/>
  <c r="HC106" i="31"/>
  <c r="HC106" i="29"/>
  <c r="HC110" i="31" s="1"/>
  <c r="HC103" i="29"/>
  <c r="BR98" i="31"/>
  <c r="BR102" i="29"/>
  <c r="BR100" i="29"/>
  <c r="BR104" i="31" s="1"/>
  <c r="BR113" i="29"/>
  <c r="BR96" i="29"/>
  <c r="BR100" i="31" s="1"/>
  <c r="IA117" i="31"/>
  <c r="IA148" i="29"/>
  <c r="IA116" i="29"/>
  <c r="HE106" i="31"/>
  <c r="HE103" i="29"/>
  <c r="HE106" i="29"/>
  <c r="HE110" i="31" s="1"/>
  <c r="AO98" i="31"/>
  <c r="AO100" i="29"/>
  <c r="AO104" i="31" s="1"/>
  <c r="AO113" i="29"/>
  <c r="AO96" i="29"/>
  <c r="AO100" i="31" s="1"/>
  <c r="AO102" i="29"/>
  <c r="FZ117" i="31"/>
  <c r="FZ148" i="29"/>
  <c r="FZ116" i="29"/>
  <c r="DY98" i="31"/>
  <c r="DY113" i="29"/>
  <c r="DY96" i="29"/>
  <c r="DY100" i="31" s="1"/>
  <c r="DY100" i="29"/>
  <c r="DY104" i="31" s="1"/>
  <c r="DY102" i="29"/>
  <c r="EX117" i="31"/>
  <c r="EX148" i="29"/>
  <c r="EX116" i="29"/>
  <c r="GP117" i="31"/>
  <c r="GP116" i="29"/>
  <c r="GP148" i="29"/>
  <c r="BF98" i="31"/>
  <c r="BF100" i="29"/>
  <c r="BF104" i="31" s="1"/>
  <c r="BF96" i="29"/>
  <c r="BF100" i="31" s="1"/>
  <c r="BF113" i="29"/>
  <c r="BF102" i="29"/>
  <c r="FV117" i="31"/>
  <c r="FV116" i="29"/>
  <c r="FV148" i="29"/>
  <c r="BP98" i="31"/>
  <c r="BP113" i="29"/>
  <c r="BP102" i="29"/>
  <c r="BP96" i="29"/>
  <c r="BP100" i="31" s="1"/>
  <c r="BP100" i="29"/>
  <c r="BP104" i="31" s="1"/>
  <c r="FM106" i="31"/>
  <c r="FM103" i="29"/>
  <c r="FM106" i="29"/>
  <c r="FM110" i="31" s="1"/>
  <c r="H98" i="31"/>
  <c r="H102" i="29"/>
  <c r="H100" i="29"/>
  <c r="H104" i="31" s="1"/>
  <c r="H113" i="29"/>
  <c r="H96" i="29"/>
  <c r="H100" i="31" s="1"/>
  <c r="CQ98" i="31"/>
  <c r="CQ113" i="29"/>
  <c r="CQ96" i="29"/>
  <c r="CQ100" i="31" s="1"/>
  <c r="CQ100" i="29"/>
  <c r="CQ104" i="31" s="1"/>
  <c r="CQ102" i="29"/>
  <c r="CX98" i="31"/>
  <c r="CX100" i="29"/>
  <c r="CX104" i="31" s="1"/>
  <c r="CX113" i="29"/>
  <c r="CX102" i="29"/>
  <c r="CX96" i="29"/>
  <c r="CX100" i="31" s="1"/>
  <c r="GU106" i="31"/>
  <c r="GU103" i="29"/>
  <c r="GU106" i="29"/>
  <c r="GU110" i="31" s="1"/>
  <c r="IZ117" i="31"/>
  <c r="IZ148" i="29"/>
  <c r="IZ116" i="29"/>
  <c r="GX117" i="31"/>
  <c r="GX148" i="29"/>
  <c r="GX116" i="29"/>
  <c r="FE117" i="31"/>
  <c r="FE148" i="29"/>
  <c r="FE116" i="29"/>
  <c r="GW106" i="31"/>
  <c r="GW103" i="29"/>
  <c r="GW106" i="29"/>
  <c r="GW110" i="31" s="1"/>
  <c r="DW94" i="29"/>
  <c r="DW97" i="31"/>
  <c r="CY98" i="31"/>
  <c r="CY113" i="29"/>
  <c r="CY102" i="29"/>
  <c r="CY100" i="29"/>
  <c r="CY104" i="31" s="1"/>
  <c r="CY96" i="29"/>
  <c r="CY100" i="31" s="1"/>
  <c r="EY117" i="31"/>
  <c r="EY148" i="29"/>
  <c r="EY116" i="29"/>
  <c r="DN98" i="31"/>
  <c r="DN102" i="29"/>
  <c r="DN100" i="29"/>
  <c r="DN104" i="31" s="1"/>
  <c r="DN113" i="29"/>
  <c r="DN96" i="29"/>
  <c r="DN100" i="31" s="1"/>
  <c r="HG117" i="31"/>
  <c r="HG148" i="29"/>
  <c r="HG116" i="29"/>
  <c r="HP117" i="31"/>
  <c r="HP148" i="29"/>
  <c r="HP116" i="29"/>
  <c r="IR117" i="31"/>
  <c r="IR116" i="29"/>
  <c r="IR148" i="29"/>
  <c r="HT117" i="31"/>
  <c r="HT148" i="29"/>
  <c r="HT116" i="29"/>
  <c r="HK117" i="31"/>
  <c r="HK148" i="29"/>
  <c r="HK116" i="29"/>
  <c r="EV117" i="31"/>
  <c r="EV148" i="29"/>
  <c r="JN113" i="29"/>
  <c r="EV116" i="29"/>
  <c r="GN117" i="31"/>
  <c r="GN148" i="29"/>
  <c r="GN116" i="29"/>
  <c r="F98" i="31"/>
  <c r="F113" i="29"/>
  <c r="F102" i="29"/>
  <c r="F96" i="29"/>
  <c r="F100" i="29"/>
  <c r="F104" i="31" s="1"/>
  <c r="FB117" i="31"/>
  <c r="FB148" i="29"/>
  <c r="FB116" i="29"/>
  <c r="FL106" i="31"/>
  <c r="FL103" i="29"/>
  <c r="FL106" i="29"/>
  <c r="FL110" i="31" s="1"/>
  <c r="IK159" i="29"/>
  <c r="EL98" i="31"/>
  <c r="EL113" i="29"/>
  <c r="EL96" i="29"/>
  <c r="EL100" i="31" s="1"/>
  <c r="EL100" i="29"/>
  <c r="EL104" i="31" s="1"/>
  <c r="EL102" i="29"/>
  <c r="IS117" i="31"/>
  <c r="IS148" i="29"/>
  <c r="IS116" i="29"/>
  <c r="HX117" i="31"/>
  <c r="HX148" i="29"/>
  <c r="HX116" i="29"/>
  <c r="EA98" i="31"/>
  <c r="EA96" i="29"/>
  <c r="EA100" i="31" s="1"/>
  <c r="EA102" i="29"/>
  <c r="EA100" i="29"/>
  <c r="EA104" i="31" s="1"/>
  <c r="EA113" i="29"/>
  <c r="ED98" i="31"/>
  <c r="ED100" i="29"/>
  <c r="ED104" i="31" s="1"/>
  <c r="ED102" i="29"/>
  <c r="ED113" i="29"/>
  <c r="ED96" i="29"/>
  <c r="ED100" i="31" s="1"/>
  <c r="FF117" i="31"/>
  <c r="FF148" i="29"/>
  <c r="FF116" i="29"/>
  <c r="JA117" i="31"/>
  <c r="JA116" i="29"/>
  <c r="JA148" i="29"/>
  <c r="FX106" i="31"/>
  <c r="FX103" i="29"/>
  <c r="FX106" i="29"/>
  <c r="FX110" i="31" s="1"/>
  <c r="JO115" i="31"/>
  <c r="JP115" i="31" s="1"/>
  <c r="DZ94" i="29"/>
  <c r="DZ97" i="31"/>
  <c r="FJ106" i="31"/>
  <c r="FJ106" i="29"/>
  <c r="FJ110" i="31" s="1"/>
  <c r="FJ103" i="29"/>
  <c r="GQ117" i="31"/>
  <c r="GQ148" i="29"/>
  <c r="GQ116" i="29"/>
  <c r="GO117" i="31"/>
  <c r="GO148" i="29"/>
  <c r="GO116" i="29"/>
  <c r="FA106" i="31"/>
  <c r="FA106" i="29"/>
  <c r="FA110" i="31" s="1"/>
  <c r="FA103" i="29"/>
  <c r="GI117" i="31"/>
  <c r="GI148" i="29"/>
  <c r="GI116" i="29"/>
  <c r="GG106" i="31"/>
  <c r="GG103" i="29"/>
  <c r="GG106" i="29"/>
  <c r="GG110" i="31" s="1"/>
  <c r="IG117" i="31"/>
  <c r="IG148" i="29"/>
  <c r="IG116" i="29"/>
  <c r="C100" i="29"/>
  <c r="C104" i="31" s="1"/>
  <c r="C102" i="29"/>
  <c r="C106" i="31" s="1"/>
  <c r="C113" i="29"/>
  <c r="C117" i="31" s="1"/>
  <c r="C96" i="29"/>
  <c r="IK173" i="31" l="1"/>
  <c r="JM94" i="29"/>
  <c r="JM100" i="29" s="1"/>
  <c r="DO155" i="29"/>
  <c r="DO183" i="29" s="1"/>
  <c r="JP94" i="31"/>
  <c r="JM97" i="31"/>
  <c r="FA107" i="31"/>
  <c r="FA105" i="29"/>
  <c r="FA109" i="31" s="1"/>
  <c r="FA104" i="29"/>
  <c r="FA108" i="31" s="1"/>
  <c r="JA120" i="31"/>
  <c r="JA128" i="29"/>
  <c r="JA117" i="29"/>
  <c r="JA121" i="31" s="1"/>
  <c r="EA106" i="31"/>
  <c r="EA103" i="29"/>
  <c r="EA106" i="29"/>
  <c r="EA110" i="31" s="1"/>
  <c r="HX152" i="31"/>
  <c r="HX151" i="29"/>
  <c r="HX154" i="29"/>
  <c r="HX164" i="29" s="1"/>
  <c r="HX168" i="31" s="1"/>
  <c r="HX163" i="29"/>
  <c r="EL117" i="31"/>
  <c r="EL148" i="29"/>
  <c r="EL116" i="29"/>
  <c r="FB120" i="31"/>
  <c r="FB117" i="29"/>
  <c r="FB121" i="31" s="1"/>
  <c r="FB128" i="29"/>
  <c r="EV120" i="31"/>
  <c r="EV117" i="29"/>
  <c r="EV128" i="29"/>
  <c r="JN116" i="29"/>
  <c r="HG120" i="31"/>
  <c r="HG117" i="29"/>
  <c r="HG121" i="31" s="1"/>
  <c r="HG128" i="29"/>
  <c r="EY120" i="31"/>
  <c r="EY117" i="29"/>
  <c r="EY121" i="31" s="1"/>
  <c r="EY128" i="29"/>
  <c r="BF117" i="31"/>
  <c r="BF116" i="29"/>
  <c r="BF148" i="29"/>
  <c r="FZ152" i="31"/>
  <c r="FZ163" i="29"/>
  <c r="FZ151" i="29"/>
  <c r="FZ154" i="29"/>
  <c r="FZ164" i="29" s="1"/>
  <c r="FZ168" i="31" s="1"/>
  <c r="GL120" i="31"/>
  <c r="GL117" i="29"/>
  <c r="GL121" i="31" s="1"/>
  <c r="GL128" i="29"/>
  <c r="CG117" i="31"/>
  <c r="CG148" i="29"/>
  <c r="CG116" i="29"/>
  <c r="HH107" i="31"/>
  <c r="HH105" i="29"/>
  <c r="HH109" i="31" s="1"/>
  <c r="HH104" i="29"/>
  <c r="HH108" i="31" s="1"/>
  <c r="GT120" i="31"/>
  <c r="GT128" i="29"/>
  <c r="GT117" i="29"/>
  <c r="GT121" i="31" s="1"/>
  <c r="FK152" i="31"/>
  <c r="FK151" i="29"/>
  <c r="FK154" i="29"/>
  <c r="FK164" i="29" s="1"/>
  <c r="FK168" i="31" s="1"/>
  <c r="FK163" i="29"/>
  <c r="EK117" i="31"/>
  <c r="EK148" i="29"/>
  <c r="EK116" i="29"/>
  <c r="R106" i="31"/>
  <c r="R103" i="29"/>
  <c r="R106" i="29"/>
  <c r="R110" i="31" s="1"/>
  <c r="J98" i="31"/>
  <c r="J113" i="29"/>
  <c r="J96" i="29"/>
  <c r="J100" i="31" s="1"/>
  <c r="J100" i="29"/>
  <c r="J104" i="31" s="1"/>
  <c r="J102" i="29"/>
  <c r="CJ117" i="31"/>
  <c r="CJ148" i="29"/>
  <c r="CJ116" i="29"/>
  <c r="IU152" i="31"/>
  <c r="IU163" i="29"/>
  <c r="IU151" i="29"/>
  <c r="IU154" i="29"/>
  <c r="IU164" i="29" s="1"/>
  <c r="IU168" i="31" s="1"/>
  <c r="FY107" i="31"/>
  <c r="FY105" i="29"/>
  <c r="FY109" i="31" s="1"/>
  <c r="FY104" i="29"/>
  <c r="FY108" i="31" s="1"/>
  <c r="BE116" i="29"/>
  <c r="BE117" i="31"/>
  <c r="HD152" i="31"/>
  <c r="HD154" i="29"/>
  <c r="HD164" i="29" s="1"/>
  <c r="HD168" i="31" s="1"/>
  <c r="HD163" i="29"/>
  <c r="HD151" i="29"/>
  <c r="Q117" i="31"/>
  <c r="Q148" i="29"/>
  <c r="Q116" i="29"/>
  <c r="M117" i="31"/>
  <c r="M148" i="29"/>
  <c r="M116" i="29"/>
  <c r="EZ152" i="31"/>
  <c r="EZ154" i="29"/>
  <c r="EZ164" i="29" s="1"/>
  <c r="EZ168" i="31" s="1"/>
  <c r="EZ151" i="29"/>
  <c r="EZ163" i="29"/>
  <c r="IB120" i="31"/>
  <c r="IB117" i="29"/>
  <c r="IB121" i="31" s="1"/>
  <c r="IB128" i="29"/>
  <c r="EP117" i="31"/>
  <c r="EP116" i="29"/>
  <c r="EP148" i="29"/>
  <c r="GR152" i="31"/>
  <c r="GR154" i="29"/>
  <c r="GR164" i="29" s="1"/>
  <c r="GR168" i="31" s="1"/>
  <c r="GR163" i="29"/>
  <c r="GR151" i="29"/>
  <c r="CE117" i="31"/>
  <c r="CE116" i="29"/>
  <c r="CE148" i="29"/>
  <c r="HG107" i="31"/>
  <c r="HG105" i="29"/>
  <c r="HG109" i="31" s="1"/>
  <c r="HG104" i="29"/>
  <c r="HG108" i="31" s="1"/>
  <c r="CW106" i="31"/>
  <c r="CW106" i="29"/>
  <c r="CW110" i="31" s="1"/>
  <c r="CW103" i="29"/>
  <c r="HI120" i="31"/>
  <c r="HI128" i="29"/>
  <c r="HI117" i="29"/>
  <c r="HI121" i="31" s="1"/>
  <c r="IY120" i="31"/>
  <c r="IY128" i="29"/>
  <c r="IY117" i="29"/>
  <c r="IY121" i="31" s="1"/>
  <c r="CP117" i="31"/>
  <c r="CP116" i="29"/>
  <c r="CP148" i="29"/>
  <c r="FY120" i="31"/>
  <c r="FY128" i="29"/>
  <c r="FY117" i="29"/>
  <c r="FY121" i="31" s="1"/>
  <c r="HW120" i="31"/>
  <c r="HW128" i="29"/>
  <c r="HW117" i="29"/>
  <c r="HW121" i="31" s="1"/>
  <c r="U117" i="31"/>
  <c r="U148" i="29"/>
  <c r="U116" i="29"/>
  <c r="FM152" i="31"/>
  <c r="FM163" i="29"/>
  <c r="FM151" i="29"/>
  <c r="FM154" i="29"/>
  <c r="FM164" i="29" s="1"/>
  <c r="FM168" i="31" s="1"/>
  <c r="AM117" i="31"/>
  <c r="AM116" i="29"/>
  <c r="AM148" i="29"/>
  <c r="HA107" i="31"/>
  <c r="HA105" i="29"/>
  <c r="HA109" i="31" s="1"/>
  <c r="HA104" i="29"/>
  <c r="HA108" i="31" s="1"/>
  <c r="GE120" i="31"/>
  <c r="GE117" i="29"/>
  <c r="GE121" i="31" s="1"/>
  <c r="GE128" i="29"/>
  <c r="S106" i="31"/>
  <c r="S103" i="29"/>
  <c r="S106" i="29"/>
  <c r="S110" i="31" s="1"/>
  <c r="DQ117" i="31"/>
  <c r="DQ116" i="29"/>
  <c r="DQ148" i="29"/>
  <c r="HR152" i="31"/>
  <c r="HR154" i="29"/>
  <c r="HR164" i="29" s="1"/>
  <c r="HR168" i="31" s="1"/>
  <c r="HR151" i="29"/>
  <c r="HR163" i="29"/>
  <c r="GV152" i="31"/>
  <c r="GV163" i="29"/>
  <c r="GV154" i="29"/>
  <c r="GV164" i="29" s="1"/>
  <c r="GV168" i="31" s="1"/>
  <c r="GV151" i="29"/>
  <c r="FO107" i="31"/>
  <c r="FO104" i="29"/>
  <c r="FO108" i="31" s="1"/>
  <c r="FO105" i="29"/>
  <c r="FO109" i="31" s="1"/>
  <c r="GK152" i="31"/>
  <c r="GK163" i="29"/>
  <c r="GK154" i="29"/>
  <c r="GK164" i="29" s="1"/>
  <c r="GK168" i="31" s="1"/>
  <c r="GK151" i="29"/>
  <c r="AY106" i="31"/>
  <c r="AY106" i="29"/>
  <c r="AY110" i="31" s="1"/>
  <c r="AY103" i="29"/>
  <c r="AH117" i="31"/>
  <c r="AH148" i="29"/>
  <c r="AH116" i="29"/>
  <c r="HD107" i="31"/>
  <c r="HD104" i="29"/>
  <c r="HD108" i="31" s="1"/>
  <c r="HD105" i="29"/>
  <c r="HD109" i="31" s="1"/>
  <c r="GH107" i="31"/>
  <c r="GH104" i="29"/>
  <c r="GH108" i="31" s="1"/>
  <c r="GH105" i="29"/>
  <c r="GH109" i="31" s="1"/>
  <c r="CT116" i="29"/>
  <c r="CT117" i="31"/>
  <c r="GB120" i="31"/>
  <c r="GB117" i="29"/>
  <c r="GB121" i="31" s="1"/>
  <c r="GB128" i="29"/>
  <c r="CS116" i="29"/>
  <c r="CS117" i="31"/>
  <c r="GA120" i="31"/>
  <c r="GA128" i="29"/>
  <c r="GA117" i="29"/>
  <c r="GA121" i="31" s="1"/>
  <c r="GC120" i="31"/>
  <c r="GC128" i="29"/>
  <c r="GC117" i="29"/>
  <c r="GC121" i="31" s="1"/>
  <c r="CV98" i="31"/>
  <c r="CV102" i="29"/>
  <c r="CV113" i="29"/>
  <c r="CV96" i="29"/>
  <c r="CV100" i="31" s="1"/>
  <c r="CV100" i="29"/>
  <c r="CV104" i="31" s="1"/>
  <c r="HS120" i="31"/>
  <c r="HS128" i="29"/>
  <c r="HS117" i="29"/>
  <c r="HS121" i="31" s="1"/>
  <c r="FS107" i="31"/>
  <c r="FS105" i="29"/>
  <c r="FS109" i="31" s="1"/>
  <c r="FS104" i="29"/>
  <c r="FS108" i="31" s="1"/>
  <c r="W117" i="31"/>
  <c r="W116" i="29"/>
  <c r="W148" i="29"/>
  <c r="BD117" i="31"/>
  <c r="BD116" i="29"/>
  <c r="BD148" i="29"/>
  <c r="CO117" i="31"/>
  <c r="CO116" i="29"/>
  <c r="CO148" i="29"/>
  <c r="ID152" i="31"/>
  <c r="ID163" i="29"/>
  <c r="ID151" i="29"/>
  <c r="ID154" i="29"/>
  <c r="ID164" i="29" s="1"/>
  <c r="ID168" i="31" s="1"/>
  <c r="GH152" i="31"/>
  <c r="GH151" i="29"/>
  <c r="GH163" i="29"/>
  <c r="GH154" i="29"/>
  <c r="GH164" i="29" s="1"/>
  <c r="GH168" i="31" s="1"/>
  <c r="DD106" i="31"/>
  <c r="DD106" i="29"/>
  <c r="DD110" i="31" s="1"/>
  <c r="DD103" i="29"/>
  <c r="HH120" i="31"/>
  <c r="HH128" i="29"/>
  <c r="HH117" i="29"/>
  <c r="HH121" i="31" s="1"/>
  <c r="DO129" i="29"/>
  <c r="DO133" i="31" s="1"/>
  <c r="DO132" i="31"/>
  <c r="AN106" i="31"/>
  <c r="AN103" i="29"/>
  <c r="AN106" i="29"/>
  <c r="AN110" i="31" s="1"/>
  <c r="GQ107" i="31"/>
  <c r="GQ104" i="29"/>
  <c r="GQ108" i="31" s="1"/>
  <c r="GQ105" i="29"/>
  <c r="GQ109" i="31" s="1"/>
  <c r="AF117" i="31"/>
  <c r="AF148" i="29"/>
  <c r="AF116" i="29"/>
  <c r="IV120" i="31"/>
  <c r="IV128" i="29"/>
  <c r="IV117" i="29"/>
  <c r="IV121" i="31" s="1"/>
  <c r="IM152" i="31"/>
  <c r="IM163" i="29"/>
  <c r="IM151" i="29"/>
  <c r="IM154" i="29"/>
  <c r="IM164" i="29" s="1"/>
  <c r="IM168" i="31" s="1"/>
  <c r="CZ106" i="31"/>
  <c r="CZ103" i="29"/>
  <c r="CZ106" i="29"/>
  <c r="CZ110" i="31" s="1"/>
  <c r="BI106" i="31"/>
  <c r="BI103" i="29"/>
  <c r="BI106" i="29"/>
  <c r="BI110" i="31" s="1"/>
  <c r="GN107" i="31"/>
  <c r="GN105" i="29"/>
  <c r="GN109" i="31" s="1"/>
  <c r="GN104" i="29"/>
  <c r="GN108" i="31" s="1"/>
  <c r="Z117" i="31"/>
  <c r="Z116" i="29"/>
  <c r="Z148" i="29"/>
  <c r="JF152" i="31"/>
  <c r="JF163" i="29"/>
  <c r="JF154" i="29"/>
  <c r="JF164" i="29" s="1"/>
  <c r="JF168" i="31" s="1"/>
  <c r="JF151" i="29"/>
  <c r="HZ120" i="31"/>
  <c r="HZ117" i="29"/>
  <c r="HZ121" i="31" s="1"/>
  <c r="HZ128" i="29"/>
  <c r="CF117" i="31"/>
  <c r="CF148" i="29"/>
  <c r="CF116" i="29"/>
  <c r="DU106" i="31"/>
  <c r="DU103" i="29"/>
  <c r="DU106" i="29"/>
  <c r="DU110" i="31" s="1"/>
  <c r="X106" i="31"/>
  <c r="X106" i="29"/>
  <c r="X110" i="31" s="1"/>
  <c r="X103" i="29"/>
  <c r="DI116" i="29"/>
  <c r="DI117" i="31"/>
  <c r="BA106" i="31"/>
  <c r="BA106" i="29"/>
  <c r="BA110" i="31" s="1"/>
  <c r="BA103" i="29"/>
  <c r="FS120" i="31"/>
  <c r="FS117" i="29"/>
  <c r="FS121" i="31" s="1"/>
  <c r="FS128" i="29"/>
  <c r="HA152" i="31"/>
  <c r="HA163" i="29"/>
  <c r="HA154" i="29"/>
  <c r="HA164" i="29" s="1"/>
  <c r="HA168" i="31" s="1"/>
  <c r="HA151" i="29"/>
  <c r="BS106" i="31"/>
  <c r="BS106" i="29"/>
  <c r="BS110" i="31" s="1"/>
  <c r="BS103" i="29"/>
  <c r="IE152" i="31"/>
  <c r="IE163" i="29"/>
  <c r="IE151" i="29"/>
  <c r="IE154" i="29"/>
  <c r="IE164" i="29" s="1"/>
  <c r="IE168" i="31" s="1"/>
  <c r="EE117" i="31"/>
  <c r="EE116" i="29"/>
  <c r="EE148" i="29"/>
  <c r="EJ106" i="31"/>
  <c r="EJ103" i="29"/>
  <c r="EJ106" i="29"/>
  <c r="EJ110" i="31" s="1"/>
  <c r="AS117" i="31"/>
  <c r="AS116" i="29"/>
  <c r="AS148" i="29"/>
  <c r="AK117" i="31"/>
  <c r="AK116" i="29"/>
  <c r="AK148" i="29"/>
  <c r="IN152" i="31"/>
  <c r="IN151" i="29"/>
  <c r="IN154" i="29"/>
  <c r="IN164" i="29" s="1"/>
  <c r="IN168" i="31" s="1"/>
  <c r="IN163" i="29"/>
  <c r="AJ98" i="31"/>
  <c r="AJ113" i="29"/>
  <c r="AJ96" i="29"/>
  <c r="AJ100" i="31" s="1"/>
  <c r="AJ102" i="29"/>
  <c r="AJ100" i="29"/>
  <c r="AJ104" i="31" s="1"/>
  <c r="JD152" i="31"/>
  <c r="JD163" i="29"/>
  <c r="JD151" i="29"/>
  <c r="JD154" i="29"/>
  <c r="JD164" i="29" s="1"/>
  <c r="JD168" i="31" s="1"/>
  <c r="HY152" i="31"/>
  <c r="HY163" i="29"/>
  <c r="HY154" i="29"/>
  <c r="HY164" i="29" s="1"/>
  <c r="HY168" i="31" s="1"/>
  <c r="HY151" i="29"/>
  <c r="AD106" i="31"/>
  <c r="AD103" i="29"/>
  <c r="AD106" i="29"/>
  <c r="AD110" i="31" s="1"/>
  <c r="BL98" i="31"/>
  <c r="BL113" i="29"/>
  <c r="BL96" i="29"/>
  <c r="BL100" i="31" s="1"/>
  <c r="BL100" i="29"/>
  <c r="BL104" i="31" s="1"/>
  <c r="BL102" i="29"/>
  <c r="FI152" i="31"/>
  <c r="FI163" i="29"/>
  <c r="FI151" i="29"/>
  <c r="FI154" i="29"/>
  <c r="FI164" i="29" s="1"/>
  <c r="FI168" i="31" s="1"/>
  <c r="FK107" i="31"/>
  <c r="FK105" i="29"/>
  <c r="FK109" i="31" s="1"/>
  <c r="FK104" i="29"/>
  <c r="FK108" i="31" s="1"/>
  <c r="FU120" i="31"/>
  <c r="FU128" i="29"/>
  <c r="FU117" i="29"/>
  <c r="FU121" i="31" s="1"/>
  <c r="G117" i="31"/>
  <c r="G116" i="29"/>
  <c r="G148" i="29"/>
  <c r="FN107" i="31"/>
  <c r="FN105" i="29"/>
  <c r="FN109" i="31" s="1"/>
  <c r="FN104" i="29"/>
  <c r="FN108" i="31" s="1"/>
  <c r="GG120" i="31"/>
  <c r="GG128" i="29"/>
  <c r="GG117" i="29"/>
  <c r="GG121" i="31" s="1"/>
  <c r="FA152" i="31"/>
  <c r="FA151" i="29"/>
  <c r="FA163" i="29"/>
  <c r="FA154" i="29"/>
  <c r="FA164" i="29" s="1"/>
  <c r="FA168" i="31" s="1"/>
  <c r="Y106" i="31"/>
  <c r="Y103" i="29"/>
  <c r="Y106" i="29"/>
  <c r="Y110" i="31" s="1"/>
  <c r="V117" i="31"/>
  <c r="V116" i="29"/>
  <c r="V148" i="29"/>
  <c r="GF152" i="31"/>
  <c r="GF154" i="29"/>
  <c r="GF164" i="29" s="1"/>
  <c r="GF168" i="31" s="1"/>
  <c r="GF151" i="29"/>
  <c r="GF163" i="29"/>
  <c r="AG106" i="31"/>
  <c r="AG106" i="29"/>
  <c r="AG110" i="31" s="1"/>
  <c r="AG103" i="29"/>
  <c r="FB107" i="31"/>
  <c r="FB105" i="29"/>
  <c r="FB109" i="31" s="1"/>
  <c r="FB104" i="29"/>
  <c r="FB108" i="31" s="1"/>
  <c r="AT106" i="31"/>
  <c r="AT103" i="29"/>
  <c r="AT106" i="29"/>
  <c r="AT110" i="31" s="1"/>
  <c r="BN117" i="31"/>
  <c r="BN148" i="29"/>
  <c r="BN116" i="29"/>
  <c r="JH120" i="31"/>
  <c r="JH128" i="29"/>
  <c r="JH117" i="29"/>
  <c r="JH121" i="31" s="1"/>
  <c r="AZ117" i="31"/>
  <c r="AZ148" i="29"/>
  <c r="AZ116" i="29"/>
  <c r="IG152" i="31"/>
  <c r="IG154" i="29"/>
  <c r="IG164" i="29" s="1"/>
  <c r="IG168" i="31" s="1"/>
  <c r="IG151" i="29"/>
  <c r="IG163" i="29"/>
  <c r="GO152" i="31"/>
  <c r="GO151" i="29"/>
  <c r="GO163" i="29"/>
  <c r="GO154" i="29"/>
  <c r="GO164" i="29" s="1"/>
  <c r="GO168" i="31" s="1"/>
  <c r="F100" i="31"/>
  <c r="HK120" i="31"/>
  <c r="HK117" i="29"/>
  <c r="HK121" i="31" s="1"/>
  <c r="HK128" i="29"/>
  <c r="IZ152" i="31"/>
  <c r="IZ163" i="29"/>
  <c r="IZ151" i="29"/>
  <c r="IZ154" i="29"/>
  <c r="IZ164" i="29" s="1"/>
  <c r="IZ168" i="31" s="1"/>
  <c r="FV152" i="31"/>
  <c r="FV163" i="29"/>
  <c r="FV154" i="29"/>
  <c r="FV164" i="29" s="1"/>
  <c r="FV168" i="31" s="1"/>
  <c r="FV151" i="29"/>
  <c r="EX152" i="31"/>
  <c r="EX154" i="29"/>
  <c r="EX164" i="29" s="1"/>
  <c r="EX168" i="31" s="1"/>
  <c r="EX163" i="29"/>
  <c r="EX151" i="29"/>
  <c r="AO117" i="31"/>
  <c r="AO148" i="29"/>
  <c r="AO116" i="29"/>
  <c r="BR106" i="31"/>
  <c r="BR106" i="29"/>
  <c r="BR110" i="31" s="1"/>
  <c r="BR103" i="29"/>
  <c r="AE117" i="31"/>
  <c r="AE116" i="29"/>
  <c r="AE148" i="29"/>
  <c r="IW120" i="31"/>
  <c r="IW117" i="29"/>
  <c r="IW121" i="31" s="1"/>
  <c r="IW128" i="29"/>
  <c r="DC106" i="31"/>
  <c r="DC103" i="29"/>
  <c r="DC106" i="29"/>
  <c r="DC110" i="31" s="1"/>
  <c r="HK152" i="31"/>
  <c r="HK163" i="29"/>
  <c r="HK154" i="29"/>
  <c r="HK164" i="29" s="1"/>
  <c r="HK168" i="31" s="1"/>
  <c r="HK151" i="29"/>
  <c r="HP120" i="31"/>
  <c r="HP117" i="29"/>
  <c r="HP121" i="31" s="1"/>
  <c r="HP128" i="29"/>
  <c r="HG152" i="31"/>
  <c r="HG154" i="29"/>
  <c r="HG164" i="29" s="1"/>
  <c r="HG168" i="31" s="1"/>
  <c r="HG151" i="29"/>
  <c r="HG163" i="29"/>
  <c r="EY152" i="31"/>
  <c r="EY163" i="29"/>
  <c r="EY154" i="29"/>
  <c r="EY164" i="29" s="1"/>
  <c r="EY168" i="31" s="1"/>
  <c r="EY151" i="29"/>
  <c r="CY106" i="31"/>
  <c r="CY106" i="29"/>
  <c r="CY110" i="31" s="1"/>
  <c r="CY103" i="29"/>
  <c r="DW98" i="31"/>
  <c r="DW113" i="29"/>
  <c r="DW96" i="29"/>
  <c r="DW100" i="31" s="1"/>
  <c r="DW100" i="29"/>
  <c r="DW104" i="31" s="1"/>
  <c r="DW102" i="29"/>
  <c r="FE120" i="31"/>
  <c r="FE117" i="29"/>
  <c r="FE121" i="31" s="1"/>
  <c r="FE128" i="29"/>
  <c r="GX152" i="31"/>
  <c r="GX154" i="29"/>
  <c r="GX164" i="29" s="1"/>
  <c r="GX168" i="31" s="1"/>
  <c r="GX151" i="29"/>
  <c r="GX163" i="29"/>
  <c r="CQ117" i="31"/>
  <c r="CQ116" i="29"/>
  <c r="CQ148" i="29"/>
  <c r="FM107" i="31"/>
  <c r="FM105" i="29"/>
  <c r="FM109" i="31" s="1"/>
  <c r="FM104" i="29"/>
  <c r="FM108" i="31" s="1"/>
  <c r="BP106" i="31"/>
  <c r="BP106" i="29"/>
  <c r="BP110" i="31" s="1"/>
  <c r="BP103" i="29"/>
  <c r="FV120" i="31"/>
  <c r="FV128" i="29"/>
  <c r="FV117" i="29"/>
  <c r="FV121" i="31" s="1"/>
  <c r="GP120" i="31"/>
  <c r="GP117" i="29"/>
  <c r="GP121" i="31" s="1"/>
  <c r="GP128" i="29"/>
  <c r="DY117" i="31"/>
  <c r="DY148" i="29"/>
  <c r="DY116" i="29"/>
  <c r="FR120" i="31"/>
  <c r="FR117" i="29"/>
  <c r="FR121" i="31" s="1"/>
  <c r="FR128" i="29"/>
  <c r="EG98" i="31"/>
  <c r="EG100" i="29"/>
  <c r="EG104" i="31" s="1"/>
  <c r="EG113" i="29"/>
  <c r="EG102" i="29"/>
  <c r="EG96" i="29"/>
  <c r="EG100" i="31" s="1"/>
  <c r="EU163" i="31"/>
  <c r="EU171" i="31" s="1"/>
  <c r="EU167" i="29"/>
  <c r="EU160" i="29"/>
  <c r="EU164" i="31" s="1"/>
  <c r="EU161" i="29"/>
  <c r="EU165" i="31" s="1"/>
  <c r="IW152" i="31"/>
  <c r="IW151" i="29"/>
  <c r="IW154" i="29"/>
  <c r="IW164" i="29" s="1"/>
  <c r="IW168" i="31" s="1"/>
  <c r="IW163" i="29"/>
  <c r="GL107" i="31"/>
  <c r="GL104" i="29"/>
  <c r="GL108" i="31" s="1"/>
  <c r="GL105" i="29"/>
  <c r="GL109" i="31" s="1"/>
  <c r="GS120" i="31"/>
  <c r="GS128" i="29"/>
  <c r="GS117" i="29"/>
  <c r="GS121" i="31" s="1"/>
  <c r="DO165" i="29"/>
  <c r="DO169" i="31" s="1"/>
  <c r="DO167" i="31"/>
  <c r="DE106" i="31"/>
  <c r="DE103" i="29"/>
  <c r="DE106" i="29"/>
  <c r="DE110" i="31" s="1"/>
  <c r="DF117" i="31"/>
  <c r="DF148" i="29"/>
  <c r="DF116" i="29"/>
  <c r="D97" i="31"/>
  <c r="D94" i="29"/>
  <c r="JL93" i="29"/>
  <c r="JP93" i="29" s="1"/>
  <c r="JI93" i="29"/>
  <c r="JI97" i="31" s="1"/>
  <c r="GL152" i="31"/>
  <c r="GL163" i="29"/>
  <c r="GL154" i="29"/>
  <c r="GL164" i="29" s="1"/>
  <c r="GL168" i="31" s="1"/>
  <c r="GL151" i="29"/>
  <c r="GS107" i="31"/>
  <c r="GS104" i="29"/>
  <c r="GS108" i="31" s="1"/>
  <c r="GS105" i="29"/>
  <c r="GS109" i="31" s="1"/>
  <c r="GT152" i="31"/>
  <c r="GT154" i="29"/>
  <c r="GT164" i="29" s="1"/>
  <c r="GT168" i="31" s="1"/>
  <c r="GT151" i="29"/>
  <c r="GT163" i="29"/>
  <c r="EM117" i="31"/>
  <c r="EM148" i="29"/>
  <c r="EM116" i="29"/>
  <c r="CM106" i="31"/>
  <c r="CM103" i="29"/>
  <c r="CM106" i="29"/>
  <c r="CM110" i="31" s="1"/>
  <c r="CN117" i="31"/>
  <c r="CN148" i="29"/>
  <c r="CN116" i="29"/>
  <c r="CB98" i="31"/>
  <c r="CB100" i="29"/>
  <c r="CB104" i="31" s="1"/>
  <c r="CB113" i="29"/>
  <c r="CB96" i="29"/>
  <c r="CB100" i="31" s="1"/>
  <c r="CB102" i="29"/>
  <c r="IU120" i="31"/>
  <c r="IU128" i="29"/>
  <c r="IU117" i="29"/>
  <c r="IU121" i="31" s="1"/>
  <c r="CR117" i="31"/>
  <c r="CR148" i="29"/>
  <c r="CR116" i="29"/>
  <c r="BK117" i="31"/>
  <c r="BK116" i="29"/>
  <c r="BK148" i="29"/>
  <c r="M106" i="31"/>
  <c r="M103" i="29"/>
  <c r="M106" i="29"/>
  <c r="M110" i="31" s="1"/>
  <c r="AB106" i="31"/>
  <c r="AB106" i="29"/>
  <c r="AB110" i="31" s="1"/>
  <c r="AB103" i="29"/>
  <c r="GF107" i="31"/>
  <c r="GF105" i="29"/>
  <c r="GF109" i="31" s="1"/>
  <c r="GF104" i="29"/>
  <c r="GF108" i="31" s="1"/>
  <c r="EZ120" i="31"/>
  <c r="EZ128" i="29"/>
  <c r="EZ117" i="29"/>
  <c r="EZ121" i="31" s="1"/>
  <c r="EP106" i="31"/>
  <c r="EP106" i="29"/>
  <c r="EP110" i="31" s="1"/>
  <c r="EP103" i="29"/>
  <c r="GD120" i="31"/>
  <c r="GD128" i="29"/>
  <c r="GD117" i="29"/>
  <c r="GD121" i="31" s="1"/>
  <c r="BO106" i="31"/>
  <c r="BO106" i="29"/>
  <c r="BO110" i="31" s="1"/>
  <c r="BO103" i="29"/>
  <c r="FT107" i="31"/>
  <c r="FT105" i="29"/>
  <c r="FT109" i="31" s="1"/>
  <c r="FT104" i="29"/>
  <c r="FT108" i="31" s="1"/>
  <c r="AV117" i="31"/>
  <c r="AV148" i="29"/>
  <c r="AV116" i="29"/>
  <c r="BY106" i="31"/>
  <c r="BY103" i="29"/>
  <c r="BY106" i="29"/>
  <c r="BY110" i="31" s="1"/>
  <c r="ES106" i="31"/>
  <c r="ES106" i="29"/>
  <c r="ES110" i="31" s="1"/>
  <c r="ES103" i="29"/>
  <c r="EF117" i="31"/>
  <c r="EF148" i="29"/>
  <c r="EF116" i="29"/>
  <c r="DP106" i="31"/>
  <c r="DP103" i="29"/>
  <c r="DP106" i="29"/>
  <c r="DP110" i="31" s="1"/>
  <c r="HI152" i="31"/>
  <c r="HI154" i="29"/>
  <c r="HI164" i="29" s="1"/>
  <c r="HI168" i="31" s="1"/>
  <c r="HI151" i="29"/>
  <c r="HI163" i="29"/>
  <c r="IO152" i="31"/>
  <c r="IO154" i="29"/>
  <c r="IO164" i="29" s="1"/>
  <c r="IO168" i="31" s="1"/>
  <c r="IO163" i="29"/>
  <c r="IO151" i="29"/>
  <c r="GY107" i="31"/>
  <c r="GY104" i="29"/>
  <c r="GY108" i="31" s="1"/>
  <c r="GY105" i="29"/>
  <c r="GY109" i="31" s="1"/>
  <c r="CP106" i="31"/>
  <c r="CP106" i="29"/>
  <c r="CP110" i="31" s="1"/>
  <c r="CP103" i="29"/>
  <c r="FY152" i="31"/>
  <c r="FY151" i="29"/>
  <c r="FY163" i="29"/>
  <c r="FY154" i="29"/>
  <c r="FY164" i="29" s="1"/>
  <c r="FY168" i="31" s="1"/>
  <c r="AM106" i="31"/>
  <c r="AM106" i="29"/>
  <c r="AM110" i="31" s="1"/>
  <c r="AM103" i="29"/>
  <c r="DA106" i="31"/>
  <c r="DA106" i="29"/>
  <c r="DA110" i="31" s="1"/>
  <c r="DA103" i="29"/>
  <c r="DQ106" i="31"/>
  <c r="DQ106" i="29"/>
  <c r="DQ110" i="31" s="1"/>
  <c r="DQ103" i="29"/>
  <c r="HE120" i="31"/>
  <c r="HE117" i="29"/>
  <c r="HE121" i="31" s="1"/>
  <c r="HE128" i="29"/>
  <c r="II152" i="31"/>
  <c r="II151" i="29"/>
  <c r="II154" i="29"/>
  <c r="II164" i="29" s="1"/>
  <c r="II168" i="31" s="1"/>
  <c r="II163" i="29"/>
  <c r="GJ107" i="31"/>
  <c r="GJ104" i="29"/>
  <c r="GJ108" i="31" s="1"/>
  <c r="GJ105" i="29"/>
  <c r="GJ109" i="31" s="1"/>
  <c r="AQ117" i="31"/>
  <c r="AQ116" i="29"/>
  <c r="AQ148" i="29"/>
  <c r="DL117" i="31"/>
  <c r="DL148" i="29"/>
  <c r="DL116" i="29"/>
  <c r="CI116" i="29"/>
  <c r="CI117" i="31"/>
  <c r="N106" i="31"/>
  <c r="N106" i="29"/>
  <c r="N110" i="31" s="1"/>
  <c r="N103" i="29"/>
  <c r="AY117" i="31"/>
  <c r="AY116" i="29"/>
  <c r="AY148" i="29"/>
  <c r="AH106" i="31"/>
  <c r="AH106" i="29"/>
  <c r="AH110" i="31" s="1"/>
  <c r="AH103" i="29"/>
  <c r="BZ117" i="31"/>
  <c r="BZ116" i="29"/>
  <c r="BZ148" i="29"/>
  <c r="GB152" i="31"/>
  <c r="GB163" i="29"/>
  <c r="GB154" i="29"/>
  <c r="GB164" i="29" s="1"/>
  <c r="GB168" i="31" s="1"/>
  <c r="GB151" i="29"/>
  <c r="CU117" i="31"/>
  <c r="CU148" i="29"/>
  <c r="CU116" i="29"/>
  <c r="HK107" i="31"/>
  <c r="HK104" i="29"/>
  <c r="HK108" i="31" s="1"/>
  <c r="HK105" i="29"/>
  <c r="HK109" i="31" s="1"/>
  <c r="BC106" i="31"/>
  <c r="BC103" i="29"/>
  <c r="BC106" i="29"/>
  <c r="BC110" i="31" s="1"/>
  <c r="GA152" i="31"/>
  <c r="GA154" i="29"/>
  <c r="GA164" i="29" s="1"/>
  <c r="GA168" i="31" s="1"/>
  <c r="GA151" i="29"/>
  <c r="GA163" i="29"/>
  <c r="GC152" i="31"/>
  <c r="GC151" i="29"/>
  <c r="GC154" i="29"/>
  <c r="GC164" i="29" s="1"/>
  <c r="GC168" i="31" s="1"/>
  <c r="GC163" i="29"/>
  <c r="GX107" i="31"/>
  <c r="GX104" i="29"/>
  <c r="GX108" i="31" s="1"/>
  <c r="GX105" i="29"/>
  <c r="GX109" i="31" s="1"/>
  <c r="HS152" i="31"/>
  <c r="HS154" i="29"/>
  <c r="HS164" i="29" s="1"/>
  <c r="HS168" i="31" s="1"/>
  <c r="HS163" i="29"/>
  <c r="HS151" i="29"/>
  <c r="EB117" i="31"/>
  <c r="EB116" i="29"/>
  <c r="EB148" i="29"/>
  <c r="W106" i="31"/>
  <c r="W103" i="29"/>
  <c r="W106" i="29"/>
  <c r="W110" i="31" s="1"/>
  <c r="FV107" i="31"/>
  <c r="FV104" i="29"/>
  <c r="FV108" i="31" s="1"/>
  <c r="FV105" i="29"/>
  <c r="FV109" i="31" s="1"/>
  <c r="GP107" i="31"/>
  <c r="GP105" i="29"/>
  <c r="GP109" i="31" s="1"/>
  <c r="GP104" i="29"/>
  <c r="GP108" i="31" s="1"/>
  <c r="EX107" i="31"/>
  <c r="EX104" i="29"/>
  <c r="EX108" i="31" s="1"/>
  <c r="EX105" i="29"/>
  <c r="EX109" i="31" s="1"/>
  <c r="CO106" i="31"/>
  <c r="CO106" i="29"/>
  <c r="CO110" i="31" s="1"/>
  <c r="CO103" i="29"/>
  <c r="ID120" i="31"/>
  <c r="ID128" i="29"/>
  <c r="ID117" i="29"/>
  <c r="ID121" i="31" s="1"/>
  <c r="HH152" i="31"/>
  <c r="HH163" i="29"/>
  <c r="HH154" i="29"/>
  <c r="HH164" i="29" s="1"/>
  <c r="HH168" i="31" s="1"/>
  <c r="HH151" i="29"/>
  <c r="AX106" i="31"/>
  <c r="AX106" i="29"/>
  <c r="AX110" i="31" s="1"/>
  <c r="AX103" i="29"/>
  <c r="FP120" i="31"/>
  <c r="FP117" i="29"/>
  <c r="FP121" i="31" s="1"/>
  <c r="FP128" i="29"/>
  <c r="BM98" i="31"/>
  <c r="BM113" i="29"/>
  <c r="BM102" i="29"/>
  <c r="BM100" i="29"/>
  <c r="BM104" i="31" s="1"/>
  <c r="BM96" i="29"/>
  <c r="BM100" i="31" s="1"/>
  <c r="JO117" i="31"/>
  <c r="DH106" i="31"/>
  <c r="DH106" i="29"/>
  <c r="DH110" i="31" s="1"/>
  <c r="DH103" i="29"/>
  <c r="EW120" i="31"/>
  <c r="EW128" i="29"/>
  <c r="EW117" i="29"/>
  <c r="EW121" i="31" s="1"/>
  <c r="IV152" i="31"/>
  <c r="IV154" i="29"/>
  <c r="IV164" i="29" s="1"/>
  <c r="IV168" i="31" s="1"/>
  <c r="IV163" i="29"/>
  <c r="IV151" i="29"/>
  <c r="FL152" i="31"/>
  <c r="FL154" i="29"/>
  <c r="FL164" i="29" s="1"/>
  <c r="FL168" i="31" s="1"/>
  <c r="FL151" i="29"/>
  <c r="FL163" i="29"/>
  <c r="GD107" i="31"/>
  <c r="GD105" i="29"/>
  <c r="GD109" i="31" s="1"/>
  <c r="GD104" i="29"/>
  <c r="GD108" i="31" s="1"/>
  <c r="CZ117" i="31"/>
  <c r="CZ148" i="29"/>
  <c r="CZ116" i="29"/>
  <c r="BI117" i="31"/>
  <c r="BI116" i="29"/>
  <c r="BI148" i="29"/>
  <c r="IF152" i="31"/>
  <c r="IF163" i="29"/>
  <c r="IF151" i="29"/>
  <c r="IF154" i="29"/>
  <c r="IF164" i="29" s="1"/>
  <c r="IF168" i="31" s="1"/>
  <c r="EV107" i="31"/>
  <c r="EV104" i="29"/>
  <c r="EV105" i="29"/>
  <c r="JN103" i="29"/>
  <c r="Z106" i="31"/>
  <c r="Z106" i="29"/>
  <c r="Z110" i="31" s="1"/>
  <c r="Z103" i="29"/>
  <c r="IT152" i="31"/>
  <c r="IT163" i="29"/>
  <c r="IT154" i="29"/>
  <c r="IT164" i="29" s="1"/>
  <c r="IT168" i="31" s="1"/>
  <c r="IT151" i="29"/>
  <c r="JF120" i="31"/>
  <c r="JF117" i="29"/>
  <c r="JF121" i="31" s="1"/>
  <c r="JF128" i="29"/>
  <c r="DU116" i="29"/>
  <c r="DU117" i="31"/>
  <c r="EO117" i="31"/>
  <c r="EO116" i="29"/>
  <c r="EO148" i="29"/>
  <c r="AA117" i="31"/>
  <c r="AA148" i="29"/>
  <c r="AA116" i="29"/>
  <c r="AR117" i="31"/>
  <c r="AR116" i="29"/>
  <c r="AR148" i="29"/>
  <c r="FS152" i="31"/>
  <c r="FS163" i="29"/>
  <c r="FS154" i="29"/>
  <c r="FS164" i="29" s="1"/>
  <c r="FS168" i="31" s="1"/>
  <c r="FS151" i="29"/>
  <c r="I116" i="29"/>
  <c r="I117" i="31"/>
  <c r="HA120" i="31"/>
  <c r="HA117" i="29"/>
  <c r="HA121" i="31" s="1"/>
  <c r="HA128" i="29"/>
  <c r="IE120" i="31"/>
  <c r="IE128" i="29"/>
  <c r="IE117" i="29"/>
  <c r="IE121" i="31" s="1"/>
  <c r="HQ120" i="31"/>
  <c r="HQ128" i="29"/>
  <c r="HQ117" i="29"/>
  <c r="HQ121" i="31" s="1"/>
  <c r="BV98" i="31"/>
  <c r="BV96" i="29"/>
  <c r="BV100" i="31" s="1"/>
  <c r="BV102" i="29"/>
  <c r="BV113" i="29"/>
  <c r="BV100" i="29"/>
  <c r="BV104" i="31" s="1"/>
  <c r="AS106" i="31"/>
  <c r="AS103" i="29"/>
  <c r="AS106" i="29"/>
  <c r="AS110" i="31" s="1"/>
  <c r="HC120" i="31"/>
  <c r="HC128" i="29"/>
  <c r="HC117" i="29"/>
  <c r="HC121" i="31" s="1"/>
  <c r="CH116" i="29"/>
  <c r="CH117" i="31"/>
  <c r="CC106" i="31"/>
  <c r="CC106" i="29"/>
  <c r="CC110" i="31" s="1"/>
  <c r="CC103" i="29"/>
  <c r="DT96" i="29"/>
  <c r="DT100" i="31" s="1"/>
  <c r="DT98" i="31"/>
  <c r="DT100" i="29"/>
  <c r="DT104" i="31" s="1"/>
  <c r="DT102" i="29"/>
  <c r="DT113" i="29"/>
  <c r="IX152" i="31"/>
  <c r="IX151" i="29"/>
  <c r="IX154" i="29"/>
  <c r="IX164" i="29" s="1"/>
  <c r="IX168" i="31" s="1"/>
  <c r="IX163" i="29"/>
  <c r="IN120" i="31"/>
  <c r="IN128" i="29"/>
  <c r="IN117" i="29"/>
  <c r="IN121" i="31" s="1"/>
  <c r="FW107" i="31"/>
  <c r="FW104" i="29"/>
  <c r="FW108" i="31" s="1"/>
  <c r="FW105" i="29"/>
  <c r="FW109" i="31" s="1"/>
  <c r="JD120" i="31"/>
  <c r="JD128" i="29"/>
  <c r="JD117" i="29"/>
  <c r="JD121" i="31" s="1"/>
  <c r="AD117" i="31"/>
  <c r="AD148" i="29"/>
  <c r="AD116" i="29"/>
  <c r="GT107" i="31"/>
  <c r="GT104" i="29"/>
  <c r="GT108" i="31" s="1"/>
  <c r="GT105" i="29"/>
  <c r="GT109" i="31" s="1"/>
  <c r="FI120" i="31"/>
  <c r="FI128" i="29"/>
  <c r="FI117" i="29"/>
  <c r="FI121" i="31" s="1"/>
  <c r="DV106" i="31"/>
  <c r="DV106" i="29"/>
  <c r="DV110" i="31" s="1"/>
  <c r="DV103" i="29"/>
  <c r="ER106" i="31"/>
  <c r="ER103" i="29"/>
  <c r="ER106" i="29"/>
  <c r="ER110" i="31" s="1"/>
  <c r="GB107" i="31"/>
  <c r="GB105" i="29"/>
  <c r="GB109" i="31" s="1"/>
  <c r="GB104" i="29"/>
  <c r="GB108" i="31" s="1"/>
  <c r="FU152" i="31"/>
  <c r="FU163" i="29"/>
  <c r="FU154" i="29"/>
  <c r="FU164" i="29" s="1"/>
  <c r="FU168" i="31" s="1"/>
  <c r="FU151" i="29"/>
  <c r="G106" i="31"/>
  <c r="G106" i="29"/>
  <c r="G110" i="31" s="1"/>
  <c r="G103" i="29"/>
  <c r="P117" i="31"/>
  <c r="P116" i="29"/>
  <c r="P148" i="29"/>
  <c r="GG152" i="31"/>
  <c r="GG163" i="29"/>
  <c r="GG154" i="29"/>
  <c r="GG164" i="29" s="1"/>
  <c r="GG168" i="31" s="1"/>
  <c r="GG151" i="29"/>
  <c r="BG117" i="31"/>
  <c r="BG116" i="29"/>
  <c r="BG148" i="29"/>
  <c r="BB106" i="31"/>
  <c r="BB106" i="29"/>
  <c r="BB110" i="31" s="1"/>
  <c r="BB103" i="29"/>
  <c r="FJ120" i="31"/>
  <c r="FJ128" i="29"/>
  <c r="FJ117" i="29"/>
  <c r="FJ121" i="31" s="1"/>
  <c r="BU117" i="31"/>
  <c r="BU116" i="29"/>
  <c r="BU148" i="29"/>
  <c r="IL152" i="31"/>
  <c r="IL154" i="29"/>
  <c r="IL164" i="29" s="1"/>
  <c r="IL168" i="31" s="1"/>
  <c r="IL151" i="29"/>
  <c r="IL163" i="29"/>
  <c r="GF120" i="31"/>
  <c r="GF128" i="29"/>
  <c r="GF117" i="29"/>
  <c r="GF121" i="31" s="1"/>
  <c r="AG117" i="31"/>
  <c r="AG148" i="29"/>
  <c r="AG116" i="29"/>
  <c r="BJ106" i="31"/>
  <c r="BJ106" i="29"/>
  <c r="BJ110" i="31" s="1"/>
  <c r="BJ103" i="29"/>
  <c r="EZ107" i="31"/>
  <c r="EZ104" i="29"/>
  <c r="EZ108" i="31" s="1"/>
  <c r="EZ105" i="29"/>
  <c r="EZ109" i="31" s="1"/>
  <c r="EQ98" i="31"/>
  <c r="EQ100" i="29"/>
  <c r="EQ104" i="31" s="1"/>
  <c r="EQ102" i="29"/>
  <c r="EQ96" i="29"/>
  <c r="EQ100" i="31" s="1"/>
  <c r="EQ113" i="29"/>
  <c r="HU120" i="31"/>
  <c r="HU117" i="29"/>
  <c r="HU121" i="31" s="1"/>
  <c r="HU128" i="29"/>
  <c r="GR107" i="31"/>
  <c r="GR104" i="29"/>
  <c r="GR108" i="31" s="1"/>
  <c r="GR105" i="29"/>
  <c r="GR109" i="31" s="1"/>
  <c r="GY152" i="31"/>
  <c r="GY163" i="29"/>
  <c r="GY151" i="29"/>
  <c r="GY154" i="29"/>
  <c r="GY164" i="29" s="1"/>
  <c r="GY168" i="31" s="1"/>
  <c r="BW98" i="31"/>
  <c r="BW96" i="29"/>
  <c r="BW100" i="31" s="1"/>
  <c r="BW113" i="29"/>
  <c r="BW100" i="29"/>
  <c r="BW104" i="31" s="1"/>
  <c r="BW102" i="29"/>
  <c r="GZ107" i="31"/>
  <c r="GZ104" i="29"/>
  <c r="GZ108" i="31" s="1"/>
  <c r="GZ105" i="29"/>
  <c r="GZ109" i="31" s="1"/>
  <c r="AT117" i="31"/>
  <c r="AT116" i="29"/>
  <c r="AT148" i="29"/>
  <c r="BN106" i="31"/>
  <c r="BN106" i="29"/>
  <c r="BN110" i="31" s="1"/>
  <c r="BN103" i="29"/>
  <c r="HM120" i="31"/>
  <c r="HM117" i="29"/>
  <c r="HM121" i="31" s="1"/>
  <c r="HM128" i="29"/>
  <c r="JH152" i="31"/>
  <c r="JH163" i="29"/>
  <c r="JH151" i="29"/>
  <c r="JH154" i="29"/>
  <c r="JH164" i="29" s="1"/>
  <c r="JH168" i="31" s="1"/>
  <c r="AZ106" i="31"/>
  <c r="AZ103" i="29"/>
  <c r="AZ106" i="29"/>
  <c r="AZ110" i="31" s="1"/>
  <c r="AP98" i="31"/>
  <c r="AP113" i="29"/>
  <c r="AP96" i="29"/>
  <c r="AP100" i="31" s="1"/>
  <c r="AP102" i="29"/>
  <c r="AP100" i="29"/>
  <c r="AP104" i="31" s="1"/>
  <c r="GM107" i="31"/>
  <c r="GM105" i="29"/>
  <c r="GM109" i="31" s="1"/>
  <c r="GM104" i="29"/>
  <c r="GM108" i="31" s="1"/>
  <c r="GN120" i="31"/>
  <c r="GN128" i="29"/>
  <c r="GN117" i="29"/>
  <c r="GN121" i="31" s="1"/>
  <c r="GI152" i="31"/>
  <c r="GI151" i="29"/>
  <c r="GI163" i="29"/>
  <c r="GI154" i="29"/>
  <c r="GI164" i="29" s="1"/>
  <c r="GI168" i="31" s="1"/>
  <c r="GQ120" i="31"/>
  <c r="GQ128" i="29"/>
  <c r="GQ117" i="29"/>
  <c r="GQ121" i="31" s="1"/>
  <c r="FF120" i="31"/>
  <c r="FF117" i="29"/>
  <c r="FF121" i="31" s="1"/>
  <c r="FF128" i="29"/>
  <c r="ED117" i="31"/>
  <c r="ED148" i="29"/>
  <c r="ED116" i="29"/>
  <c r="EA117" i="31"/>
  <c r="EA116" i="29"/>
  <c r="EA148" i="29"/>
  <c r="IS120" i="31"/>
  <c r="IS128" i="29"/>
  <c r="IS117" i="29"/>
  <c r="IS121" i="31" s="1"/>
  <c r="FL107" i="31"/>
  <c r="FL104" i="29"/>
  <c r="FL108" i="31" s="1"/>
  <c r="FL105" i="29"/>
  <c r="FL109" i="31" s="1"/>
  <c r="F106" i="31"/>
  <c r="F106" i="29"/>
  <c r="F110" i="31" s="1"/>
  <c r="F103" i="29"/>
  <c r="GN152" i="31"/>
  <c r="GN163" i="29"/>
  <c r="GN151" i="29"/>
  <c r="GN154" i="29"/>
  <c r="GN164" i="29" s="1"/>
  <c r="GN168" i="31" s="1"/>
  <c r="EV152" i="31"/>
  <c r="EV154" i="29"/>
  <c r="EV164" i="29" s="1"/>
  <c r="EV168" i="31" s="1"/>
  <c r="EV151" i="29"/>
  <c r="EV163" i="29"/>
  <c r="IR152" i="31"/>
  <c r="IR163" i="29"/>
  <c r="IR154" i="29"/>
  <c r="IR164" i="29" s="1"/>
  <c r="IR168" i="31" s="1"/>
  <c r="IR151" i="29"/>
  <c r="HP152" i="31"/>
  <c r="HP154" i="29"/>
  <c r="HP164" i="29" s="1"/>
  <c r="HP168" i="31" s="1"/>
  <c r="HP151" i="29"/>
  <c r="HP163" i="29"/>
  <c r="DN106" i="31"/>
  <c r="DN106" i="29"/>
  <c r="DN110" i="31" s="1"/>
  <c r="DN103" i="29"/>
  <c r="CY117" i="31"/>
  <c r="CY148" i="29"/>
  <c r="CY116" i="29"/>
  <c r="FE152" i="31"/>
  <c r="FE151" i="29"/>
  <c r="FE154" i="29"/>
  <c r="FE164" i="29" s="1"/>
  <c r="FE168" i="31" s="1"/>
  <c r="FE163" i="29"/>
  <c r="CX106" i="31"/>
  <c r="CX103" i="29"/>
  <c r="CX106" i="29"/>
  <c r="CX110" i="31" s="1"/>
  <c r="CQ106" i="31"/>
  <c r="CQ106" i="29"/>
  <c r="CQ110" i="31" s="1"/>
  <c r="CQ103" i="29"/>
  <c r="H106" i="31"/>
  <c r="H103" i="29"/>
  <c r="H106" i="29"/>
  <c r="H110" i="31" s="1"/>
  <c r="BP117" i="31"/>
  <c r="BP116" i="29"/>
  <c r="BP148" i="29"/>
  <c r="DY106" i="31"/>
  <c r="DY106" i="29"/>
  <c r="DY110" i="31" s="1"/>
  <c r="DY103" i="29"/>
  <c r="AO106" i="31"/>
  <c r="AO103" i="29"/>
  <c r="AO106" i="29"/>
  <c r="AO110" i="31" s="1"/>
  <c r="IA120" i="31"/>
  <c r="IA117" i="29"/>
  <c r="IA121" i="31" s="1"/>
  <c r="IA128" i="29"/>
  <c r="BR117" i="31"/>
  <c r="BR116" i="29"/>
  <c r="BR148" i="29"/>
  <c r="HC107" i="31"/>
  <c r="HC104" i="29"/>
  <c r="HC108" i="31" s="1"/>
  <c r="HC105" i="29"/>
  <c r="HC109" i="31" s="1"/>
  <c r="AE106" i="31"/>
  <c r="AE106" i="29"/>
  <c r="AE110" i="31" s="1"/>
  <c r="AE103" i="29"/>
  <c r="FH120" i="31"/>
  <c r="FH128" i="29"/>
  <c r="FH117" i="29"/>
  <c r="FH121" i="31" s="1"/>
  <c r="FC107" i="31"/>
  <c r="FC104" i="29"/>
  <c r="FC108" i="31" s="1"/>
  <c r="FC105" i="29"/>
  <c r="FC109" i="31" s="1"/>
  <c r="FO120" i="31"/>
  <c r="FO128" i="29"/>
  <c r="FO117" i="29"/>
  <c r="FO121" i="31" s="1"/>
  <c r="K98" i="31"/>
  <c r="K96" i="29"/>
  <c r="K100" i="31" s="1"/>
  <c r="K113" i="29"/>
  <c r="K100" i="29"/>
  <c r="K104" i="31" s="1"/>
  <c r="K102" i="29"/>
  <c r="IC152" i="31"/>
  <c r="IC154" i="29"/>
  <c r="IC164" i="29" s="1"/>
  <c r="IC168" i="31" s="1"/>
  <c r="IC151" i="29"/>
  <c r="IC163" i="29"/>
  <c r="IQ120" i="31"/>
  <c r="IQ128" i="29"/>
  <c r="IQ117" i="29"/>
  <c r="IQ121" i="31" s="1"/>
  <c r="DC117" i="31"/>
  <c r="DC148" i="29"/>
  <c r="DC116" i="29"/>
  <c r="GS152" i="31"/>
  <c r="GS151" i="29"/>
  <c r="GS163" i="29"/>
  <c r="GS154" i="29"/>
  <c r="GS164" i="29" s="1"/>
  <c r="GS168" i="31" s="1"/>
  <c r="DJ116" i="29"/>
  <c r="DJ117" i="31"/>
  <c r="DE117" i="31"/>
  <c r="DE148" i="29"/>
  <c r="DE116" i="29"/>
  <c r="HF120" i="31"/>
  <c r="HF128" i="29"/>
  <c r="HF117" i="29"/>
  <c r="HF121" i="31" s="1"/>
  <c r="EC117" i="31"/>
  <c r="EC116" i="29"/>
  <c r="EC148" i="29"/>
  <c r="CG106" i="31"/>
  <c r="CG106" i="29"/>
  <c r="CG110" i="31" s="1"/>
  <c r="CG103" i="29"/>
  <c r="DR98" i="31"/>
  <c r="DR102" i="29"/>
  <c r="DR113" i="29"/>
  <c r="DR100" i="29"/>
  <c r="DR104" i="31" s="1"/>
  <c r="DR96" i="29"/>
  <c r="DR100" i="31" s="1"/>
  <c r="CM117" i="31"/>
  <c r="CM116" i="29"/>
  <c r="CM148" i="29"/>
  <c r="CN106" i="31"/>
  <c r="CN106" i="29"/>
  <c r="CN110" i="31" s="1"/>
  <c r="CN103" i="29"/>
  <c r="EK106" i="31"/>
  <c r="EK103" i="29"/>
  <c r="EK106" i="29"/>
  <c r="EK110" i="31" s="1"/>
  <c r="R117" i="31"/>
  <c r="R116" i="29"/>
  <c r="R148" i="29"/>
  <c r="T106" i="31"/>
  <c r="T106" i="29"/>
  <c r="T110" i="31" s="1"/>
  <c r="T103" i="29"/>
  <c r="AW116" i="29"/>
  <c r="AW117" i="31"/>
  <c r="JB120" i="31"/>
  <c r="JB117" i="29"/>
  <c r="JB121" i="31" s="1"/>
  <c r="JB128" i="29"/>
  <c r="BE106" i="31"/>
  <c r="BE103" i="29"/>
  <c r="BE106" i="29"/>
  <c r="BE110" i="31" s="1"/>
  <c r="CR106" i="31"/>
  <c r="CR103" i="29"/>
  <c r="CR106" i="29"/>
  <c r="CR110" i="31" s="1"/>
  <c r="FW120" i="31"/>
  <c r="FW117" i="29"/>
  <c r="FW121" i="31" s="1"/>
  <c r="FW128" i="29"/>
  <c r="DM117" i="31"/>
  <c r="DM148" i="29"/>
  <c r="DM116" i="29"/>
  <c r="BK106" i="31"/>
  <c r="BK103" i="29"/>
  <c r="BK106" i="29"/>
  <c r="BK110" i="31" s="1"/>
  <c r="DX106" i="31"/>
  <c r="DX106" i="29"/>
  <c r="DX110" i="31" s="1"/>
  <c r="DX103" i="29"/>
  <c r="CK106" i="31"/>
  <c r="CK103" i="29"/>
  <c r="CK106" i="29"/>
  <c r="CK110" i="31" s="1"/>
  <c r="AB117" i="31"/>
  <c r="AB148" i="29"/>
  <c r="AB116" i="29"/>
  <c r="AL117" i="31"/>
  <c r="AL116" i="29"/>
  <c r="AL148" i="29"/>
  <c r="FF107" i="31"/>
  <c r="FF104" i="29"/>
  <c r="FF108" i="31" s="1"/>
  <c r="FF105" i="29"/>
  <c r="FF109" i="31" s="1"/>
  <c r="FG152" i="31"/>
  <c r="FG151" i="29"/>
  <c r="FG154" i="29"/>
  <c r="FG164" i="29" s="1"/>
  <c r="FG168" i="31" s="1"/>
  <c r="FG163" i="29"/>
  <c r="GD152" i="31"/>
  <c r="GD163" i="29"/>
  <c r="GD151" i="29"/>
  <c r="GD154" i="29"/>
  <c r="GD164" i="29" s="1"/>
  <c r="GD168" i="31" s="1"/>
  <c r="DB117" i="31"/>
  <c r="DB116" i="29"/>
  <c r="DB148" i="29"/>
  <c r="AV106" i="31"/>
  <c r="AV103" i="29"/>
  <c r="AV106" i="29"/>
  <c r="AV110" i="31" s="1"/>
  <c r="BY117" i="31"/>
  <c r="BY148" i="29"/>
  <c r="BY116" i="29"/>
  <c r="GA107" i="31"/>
  <c r="GA105" i="29"/>
  <c r="GA109" i="31" s="1"/>
  <c r="GA104" i="29"/>
  <c r="GA108" i="31" s="1"/>
  <c r="BX106" i="31"/>
  <c r="BX106" i="29"/>
  <c r="BX110" i="31" s="1"/>
  <c r="BX103" i="29"/>
  <c r="EF106" i="31"/>
  <c r="EF103" i="29"/>
  <c r="EF106" i="29"/>
  <c r="EF110" i="31" s="1"/>
  <c r="CW117" i="31"/>
  <c r="CW148" i="29"/>
  <c r="CW116" i="29"/>
  <c r="IP120" i="31"/>
  <c r="IP117" i="29"/>
  <c r="IP121" i="31" s="1"/>
  <c r="IP128" i="29"/>
  <c r="IO120" i="31"/>
  <c r="IO128" i="29"/>
  <c r="IO117" i="29"/>
  <c r="IO121" i="31" s="1"/>
  <c r="JG120" i="31"/>
  <c r="JG117" i="29"/>
  <c r="JG121" i="31" s="1"/>
  <c r="JG128" i="29"/>
  <c r="HE152" i="31"/>
  <c r="HE151" i="29"/>
  <c r="HE163" i="29"/>
  <c r="HE154" i="29"/>
  <c r="HE164" i="29" s="1"/>
  <c r="HE168" i="31" s="1"/>
  <c r="BH117" i="31"/>
  <c r="BH116" i="29"/>
  <c r="BH148" i="29"/>
  <c r="II120" i="31"/>
  <c r="II128" i="29"/>
  <c r="II117" i="29"/>
  <c r="II121" i="31" s="1"/>
  <c r="AQ106" i="31"/>
  <c r="AQ106" i="29"/>
  <c r="AQ110" i="31" s="1"/>
  <c r="AQ103" i="29"/>
  <c r="BT106" i="31"/>
  <c r="BT106" i="29"/>
  <c r="BT110" i="31" s="1"/>
  <c r="BT103" i="29"/>
  <c r="N117" i="31"/>
  <c r="N148" i="29"/>
  <c r="N116" i="29"/>
  <c r="CT106" i="31"/>
  <c r="CT106" i="29"/>
  <c r="CT110" i="31" s="1"/>
  <c r="CT103" i="29"/>
  <c r="BZ106" i="31"/>
  <c r="BZ103" i="29"/>
  <c r="BZ106" i="29"/>
  <c r="BZ110" i="31" s="1"/>
  <c r="FQ120" i="31"/>
  <c r="FQ128" i="29"/>
  <c r="FQ117" i="29"/>
  <c r="FQ121" i="31" s="1"/>
  <c r="CU106" i="31"/>
  <c r="CU106" i="29"/>
  <c r="CU110" i="31" s="1"/>
  <c r="CU103" i="29"/>
  <c r="HB120" i="31"/>
  <c r="HB117" i="29"/>
  <c r="HB121" i="31" s="1"/>
  <c r="HB128" i="29"/>
  <c r="CS106" i="31"/>
  <c r="CS103" i="29"/>
  <c r="CS106" i="29"/>
  <c r="CS110" i="31" s="1"/>
  <c r="FN120" i="31"/>
  <c r="FN117" i="29"/>
  <c r="FN121" i="31" s="1"/>
  <c r="FN128" i="29"/>
  <c r="EY107" i="31"/>
  <c r="EY105" i="29"/>
  <c r="EY109" i="31" s="1"/>
  <c r="EY104" i="29"/>
  <c r="EY108" i="31" s="1"/>
  <c r="AU117" i="31"/>
  <c r="AU116" i="29"/>
  <c r="AU148" i="29"/>
  <c r="EB106" i="31"/>
  <c r="EB106" i="29"/>
  <c r="EB110" i="31" s="1"/>
  <c r="EB103" i="29"/>
  <c r="O117" i="31"/>
  <c r="O148" i="29"/>
  <c r="O116" i="29"/>
  <c r="BD106" i="31"/>
  <c r="BD106" i="29"/>
  <c r="BD110" i="31" s="1"/>
  <c r="BD103" i="29"/>
  <c r="CL106" i="31"/>
  <c r="CL106" i="29"/>
  <c r="CL110" i="31" s="1"/>
  <c r="CL103" i="29"/>
  <c r="DD116" i="29"/>
  <c r="DD117" i="31"/>
  <c r="HJ107" i="31"/>
  <c r="HJ105" i="29"/>
  <c r="HJ109" i="31" s="1"/>
  <c r="HJ104" i="29"/>
  <c r="HJ108" i="31" s="1"/>
  <c r="FP152" i="31"/>
  <c r="FP151" i="29"/>
  <c r="FP163" i="29"/>
  <c r="FP154" i="29"/>
  <c r="FP164" i="29" s="1"/>
  <c r="FP168" i="31" s="1"/>
  <c r="EN106" i="31"/>
  <c r="EN106" i="29"/>
  <c r="EN110" i="31" s="1"/>
  <c r="EN103" i="29"/>
  <c r="HL120" i="31"/>
  <c r="HL128" i="29"/>
  <c r="JO116" i="29"/>
  <c r="HL117" i="29"/>
  <c r="FX120" i="31"/>
  <c r="FX128" i="29"/>
  <c r="FX117" i="29"/>
  <c r="FX121" i="31" s="1"/>
  <c r="L117" i="31"/>
  <c r="L148" i="29"/>
  <c r="L116" i="29"/>
  <c r="DH117" i="31"/>
  <c r="DH116" i="29"/>
  <c r="DH148" i="29"/>
  <c r="EW152" i="31"/>
  <c r="EW154" i="29"/>
  <c r="EW164" i="29" s="1"/>
  <c r="EW168" i="31" s="1"/>
  <c r="EW151" i="29"/>
  <c r="EW163" i="29"/>
  <c r="JC120" i="31"/>
  <c r="JC117" i="29"/>
  <c r="JC121" i="31" s="1"/>
  <c r="JC128" i="29"/>
  <c r="ET162" i="31"/>
  <c r="ET169" i="29"/>
  <c r="ET159" i="29"/>
  <c r="FL120" i="31"/>
  <c r="FL117" i="29"/>
  <c r="FL121" i="31" s="1"/>
  <c r="FL128" i="29"/>
  <c r="IF120" i="31"/>
  <c r="IF128" i="29"/>
  <c r="IF117" i="29"/>
  <c r="IF121" i="31" s="1"/>
  <c r="JN106" i="31"/>
  <c r="EI106" i="31"/>
  <c r="EI103" i="29"/>
  <c r="EI106" i="29"/>
  <c r="EI110" i="31" s="1"/>
  <c r="IT120" i="31"/>
  <c r="IT128" i="29"/>
  <c r="IT117" i="29"/>
  <c r="IT121" i="31" s="1"/>
  <c r="FT120" i="31"/>
  <c r="FT128" i="29"/>
  <c r="FT117" i="29"/>
  <c r="FT121" i="31" s="1"/>
  <c r="EO106" i="31"/>
  <c r="EO106" i="29"/>
  <c r="EO110" i="31" s="1"/>
  <c r="EO103" i="29"/>
  <c r="AA106" i="31"/>
  <c r="AA103" i="29"/>
  <c r="AA106" i="29"/>
  <c r="AA110" i="31" s="1"/>
  <c r="DK106" i="31"/>
  <c r="DK103" i="29"/>
  <c r="DK106" i="29"/>
  <c r="DK110" i="31" s="1"/>
  <c r="GW152" i="31"/>
  <c r="GW163" i="29"/>
  <c r="GW154" i="29"/>
  <c r="GW164" i="29" s="1"/>
  <c r="GW168" i="31" s="1"/>
  <c r="GW151" i="29"/>
  <c r="HI107" i="31"/>
  <c r="HI105" i="29"/>
  <c r="HI109" i="31" s="1"/>
  <c r="HI104" i="29"/>
  <c r="HI108" i="31" s="1"/>
  <c r="FE107" i="31"/>
  <c r="FE105" i="29"/>
  <c r="FE109" i="31" s="1"/>
  <c r="FE104" i="29"/>
  <c r="FE108" i="31" s="1"/>
  <c r="CD106" i="31"/>
  <c r="CD106" i="29"/>
  <c r="CD110" i="31" s="1"/>
  <c r="CD103" i="29"/>
  <c r="GU120" i="31"/>
  <c r="GU128" i="29"/>
  <c r="GU117" i="29"/>
  <c r="GU121" i="31" s="1"/>
  <c r="DI106" i="31"/>
  <c r="DI103" i="29"/>
  <c r="DI106" i="29"/>
  <c r="DI110" i="31" s="1"/>
  <c r="BA117" i="31"/>
  <c r="BA116" i="29"/>
  <c r="BA148" i="29"/>
  <c r="I106" i="31"/>
  <c r="I106" i="29"/>
  <c r="I110" i="31" s="1"/>
  <c r="I103" i="29"/>
  <c r="BS117" i="31"/>
  <c r="BS116" i="29"/>
  <c r="BS148" i="29"/>
  <c r="EJ116" i="29"/>
  <c r="EJ117" i="31"/>
  <c r="HQ152" i="31"/>
  <c r="HQ151" i="29"/>
  <c r="HQ154" i="29"/>
  <c r="HQ164" i="29" s="1"/>
  <c r="HQ168" i="31" s="1"/>
  <c r="HQ163" i="29"/>
  <c r="FZ107" i="31"/>
  <c r="FZ104" i="29"/>
  <c r="FZ108" i="31" s="1"/>
  <c r="FZ105" i="29"/>
  <c r="FZ109" i="31" s="1"/>
  <c r="IH120" i="31"/>
  <c r="IH128" i="29"/>
  <c r="IH117" i="29"/>
  <c r="IH121" i="31" s="1"/>
  <c r="HC152" i="31"/>
  <c r="HC163" i="29"/>
  <c r="HC151" i="29"/>
  <c r="HC154" i="29"/>
  <c r="HC164" i="29" s="1"/>
  <c r="HC168" i="31" s="1"/>
  <c r="CH106" i="31"/>
  <c r="CH106" i="29"/>
  <c r="CH110" i="31" s="1"/>
  <c r="CH103" i="29"/>
  <c r="FD107" i="31"/>
  <c r="FD104" i="29"/>
  <c r="FD108" i="31" s="1"/>
  <c r="FD105" i="29"/>
  <c r="FD109" i="31" s="1"/>
  <c r="DG98" i="31"/>
  <c r="DG113" i="29"/>
  <c r="DG102" i="29"/>
  <c r="DG100" i="29"/>
  <c r="DG104" i="31" s="1"/>
  <c r="DG96" i="29"/>
  <c r="DG100" i="31" s="1"/>
  <c r="FC152" i="31"/>
  <c r="FC163" i="29"/>
  <c r="FC154" i="29"/>
  <c r="FC164" i="29" s="1"/>
  <c r="FC168" i="31" s="1"/>
  <c r="FC151" i="29"/>
  <c r="GM120" i="31"/>
  <c r="GM117" i="29"/>
  <c r="GM121" i="31" s="1"/>
  <c r="GM128" i="29"/>
  <c r="GK107" i="31"/>
  <c r="GK105" i="29"/>
  <c r="GK109" i="31" s="1"/>
  <c r="GK104" i="29"/>
  <c r="GK108" i="31" s="1"/>
  <c r="JE120" i="31"/>
  <c r="JE128" i="29"/>
  <c r="JE117" i="29"/>
  <c r="JE121" i="31" s="1"/>
  <c r="IX120" i="31"/>
  <c r="IX117" i="29"/>
  <c r="IX121" i="31" s="1"/>
  <c r="IX128" i="29"/>
  <c r="DV117" i="31"/>
  <c r="DV116" i="29"/>
  <c r="DV148" i="29"/>
  <c r="HF107" i="31"/>
  <c r="HF105" i="29"/>
  <c r="HF109" i="31" s="1"/>
  <c r="HF104" i="29"/>
  <c r="HF108" i="31" s="1"/>
  <c r="DS98" i="31"/>
  <c r="DS113" i="29"/>
  <c r="DS100" i="29"/>
  <c r="DS104" i="31" s="1"/>
  <c r="DS102" i="29"/>
  <c r="DS96" i="29"/>
  <c r="DS100" i="31" s="1"/>
  <c r="ER117" i="31"/>
  <c r="ER148" i="29"/>
  <c r="ER116" i="29"/>
  <c r="EH117" i="31"/>
  <c r="EH116" i="29"/>
  <c r="EH148" i="29"/>
  <c r="P106" i="31"/>
  <c r="P103" i="29"/>
  <c r="P106" i="29"/>
  <c r="P110" i="31" s="1"/>
  <c r="GO107" i="31"/>
  <c r="GO104" i="29"/>
  <c r="GO108" i="31" s="1"/>
  <c r="GO105" i="29"/>
  <c r="GO109" i="31" s="1"/>
  <c r="V106" i="31"/>
  <c r="V103" i="29"/>
  <c r="V106" i="29"/>
  <c r="V110" i="31" s="1"/>
  <c r="FJ152" i="31"/>
  <c r="FJ163" i="29"/>
  <c r="FJ151" i="29"/>
  <c r="FJ154" i="29"/>
  <c r="FJ164" i="29" s="1"/>
  <c r="FJ168" i="31" s="1"/>
  <c r="IL120" i="31"/>
  <c r="IL117" i="29"/>
  <c r="IL121" i="31" s="1"/>
  <c r="IL128" i="29"/>
  <c r="BJ117" i="31"/>
  <c r="BJ148" i="29"/>
  <c r="BJ116" i="29"/>
  <c r="HU152" i="31"/>
  <c r="HU163" i="29"/>
  <c r="HU154" i="29"/>
  <c r="HU164" i="29" s="1"/>
  <c r="HU168" i="31" s="1"/>
  <c r="HU151" i="29"/>
  <c r="GY120" i="31"/>
  <c r="GY117" i="29"/>
  <c r="GY121" i="31" s="1"/>
  <c r="GY128" i="29"/>
  <c r="GE107" i="31"/>
  <c r="GE104" i="29"/>
  <c r="GE108" i="31" s="1"/>
  <c r="GE105" i="29"/>
  <c r="GE109" i="31" s="1"/>
  <c r="GJ120" i="31"/>
  <c r="GJ117" i="29"/>
  <c r="GJ121" i="31" s="1"/>
  <c r="GJ128" i="29"/>
  <c r="HM152" i="31"/>
  <c r="HM163" i="29"/>
  <c r="HM154" i="29"/>
  <c r="HM164" i="29" s="1"/>
  <c r="HM168" i="31" s="1"/>
  <c r="HM151" i="29"/>
  <c r="GV107" i="31"/>
  <c r="GV104" i="29"/>
  <c r="GV108" i="31" s="1"/>
  <c r="GV105" i="29"/>
  <c r="GV109" i="31" s="1"/>
  <c r="HT152" i="31"/>
  <c r="HT151" i="29"/>
  <c r="HT154" i="29"/>
  <c r="HT164" i="29" s="1"/>
  <c r="HT168" i="31" s="1"/>
  <c r="HT163" i="29"/>
  <c r="DN117" i="31"/>
  <c r="DN116" i="29"/>
  <c r="DN148" i="29"/>
  <c r="GX120" i="31"/>
  <c r="GX117" i="29"/>
  <c r="GX121" i="31" s="1"/>
  <c r="GX128" i="29"/>
  <c r="H116" i="29"/>
  <c r="H117" i="31"/>
  <c r="GP152" i="31"/>
  <c r="GP151" i="29"/>
  <c r="GP163" i="29"/>
  <c r="GP154" i="29"/>
  <c r="GP164" i="29" s="1"/>
  <c r="GP168" i="31" s="1"/>
  <c r="HE107" i="31"/>
  <c r="HE105" i="29"/>
  <c r="HE109" i="31" s="1"/>
  <c r="HE104" i="29"/>
  <c r="HE108" i="31" s="1"/>
  <c r="IJ152" i="31"/>
  <c r="IJ151" i="29"/>
  <c r="IJ154" i="29"/>
  <c r="IJ164" i="29" s="1"/>
  <c r="IJ168" i="31" s="1"/>
  <c r="IJ163" i="29"/>
  <c r="HV120" i="31"/>
  <c r="HV117" i="29"/>
  <c r="HV121" i="31" s="1"/>
  <c r="HV128" i="29"/>
  <c r="DO156" i="29"/>
  <c r="DO181" i="29"/>
  <c r="DO158" i="29"/>
  <c r="DF106" i="31"/>
  <c r="DF106" i="29"/>
  <c r="DF110" i="31" s="1"/>
  <c r="DF103" i="29"/>
  <c r="GI120" i="31"/>
  <c r="GI117" i="29"/>
  <c r="GI121" i="31" s="1"/>
  <c r="GI128" i="29"/>
  <c r="FJ107" i="31"/>
  <c r="FJ104" i="29"/>
  <c r="FJ108" i="31" s="1"/>
  <c r="FJ105" i="29"/>
  <c r="FJ109" i="31" s="1"/>
  <c r="DZ98" i="31"/>
  <c r="DZ113" i="29"/>
  <c r="DZ102" i="29"/>
  <c r="DZ100" i="29"/>
  <c r="DZ104" i="31" s="1"/>
  <c r="DZ96" i="29"/>
  <c r="DZ100" i="31" s="1"/>
  <c r="FX107" i="31"/>
  <c r="FX104" i="29"/>
  <c r="FX108" i="31" s="1"/>
  <c r="FX105" i="29"/>
  <c r="FX109" i="31" s="1"/>
  <c r="EL106" i="31"/>
  <c r="EL106" i="29"/>
  <c r="EL110" i="31" s="1"/>
  <c r="EL103" i="29"/>
  <c r="FB152" i="31"/>
  <c r="FB151" i="29"/>
  <c r="FB154" i="29"/>
  <c r="FB164" i="29" s="1"/>
  <c r="FB168" i="31" s="1"/>
  <c r="FB163" i="29"/>
  <c r="C100" i="31"/>
  <c r="IG120" i="31"/>
  <c r="IG117" i="29"/>
  <c r="IG121" i="31" s="1"/>
  <c r="IG128" i="29"/>
  <c r="GG107" i="31"/>
  <c r="GG105" i="29"/>
  <c r="GG109" i="31" s="1"/>
  <c r="GG104" i="29"/>
  <c r="GG108" i="31" s="1"/>
  <c r="GO120" i="31"/>
  <c r="GO128" i="29"/>
  <c r="GO117" i="29"/>
  <c r="GO121" i="31" s="1"/>
  <c r="GQ152" i="31"/>
  <c r="GQ163" i="29"/>
  <c r="GQ151" i="29"/>
  <c r="GQ154" i="29"/>
  <c r="GQ164" i="29" s="1"/>
  <c r="GQ168" i="31" s="1"/>
  <c r="JA152" i="31"/>
  <c r="JA154" i="29"/>
  <c r="JA164" i="29" s="1"/>
  <c r="JA168" i="31" s="1"/>
  <c r="JA151" i="29"/>
  <c r="JA163" i="29"/>
  <c r="FF152" i="31"/>
  <c r="FF163" i="29"/>
  <c r="FF154" i="29"/>
  <c r="FF164" i="29" s="1"/>
  <c r="FF168" i="31" s="1"/>
  <c r="FF151" i="29"/>
  <c r="ED106" i="31"/>
  <c r="ED106" i="29"/>
  <c r="ED110" i="31" s="1"/>
  <c r="ED103" i="29"/>
  <c r="HX120" i="31"/>
  <c r="HX117" i="29"/>
  <c r="HX121" i="31" s="1"/>
  <c r="HX128" i="29"/>
  <c r="IS152" i="31"/>
  <c r="IS163" i="29"/>
  <c r="IS154" i="29"/>
  <c r="IS164" i="29" s="1"/>
  <c r="IS168" i="31" s="1"/>
  <c r="IS151" i="29"/>
  <c r="IK171" i="31"/>
  <c r="IK160" i="29"/>
  <c r="IK164" i="31" s="1"/>
  <c r="IK167" i="29"/>
  <c r="IK161" i="29"/>
  <c r="IK165" i="31" s="1"/>
  <c r="F117" i="31"/>
  <c r="F116" i="29"/>
  <c r="F148" i="29"/>
  <c r="JN117" i="31"/>
  <c r="HT120" i="31"/>
  <c r="HT128" i="29"/>
  <c r="HT117" i="29"/>
  <c r="HT121" i="31" s="1"/>
  <c r="IR120" i="31"/>
  <c r="IR117" i="29"/>
  <c r="IR121" i="31" s="1"/>
  <c r="IR128" i="29"/>
  <c r="GW107" i="31"/>
  <c r="GW105" i="29"/>
  <c r="GW109" i="31" s="1"/>
  <c r="GW104" i="29"/>
  <c r="GW108" i="31" s="1"/>
  <c r="IZ120" i="31"/>
  <c r="IZ117" i="29"/>
  <c r="IZ121" i="31" s="1"/>
  <c r="IZ128" i="29"/>
  <c r="GU107" i="31"/>
  <c r="GU104" i="29"/>
  <c r="GU108" i="31" s="1"/>
  <c r="GU105" i="29"/>
  <c r="GU109" i="31" s="1"/>
  <c r="CX117" i="31"/>
  <c r="CX148" i="29"/>
  <c r="CX116" i="29"/>
  <c r="BF106" i="31"/>
  <c r="BF106" i="29"/>
  <c r="BF110" i="31" s="1"/>
  <c r="BF103" i="29"/>
  <c r="EX120" i="31"/>
  <c r="EX117" i="29"/>
  <c r="EX121" i="31" s="1"/>
  <c r="EX128" i="29"/>
  <c r="FZ120" i="31"/>
  <c r="FZ128" i="29"/>
  <c r="FZ117" i="29"/>
  <c r="FZ121" i="31" s="1"/>
  <c r="IA152" i="31"/>
  <c r="IA151" i="29"/>
  <c r="IA154" i="29"/>
  <c r="IA164" i="29" s="1"/>
  <c r="IA168" i="31" s="1"/>
  <c r="IA163" i="29"/>
  <c r="FD120" i="31"/>
  <c r="FD117" i="29"/>
  <c r="FD121" i="31" s="1"/>
  <c r="FD128" i="29"/>
  <c r="FH152" i="31"/>
  <c r="FH154" i="29"/>
  <c r="FH164" i="29" s="1"/>
  <c r="FH168" i="31" s="1"/>
  <c r="FH163" i="29"/>
  <c r="FH151" i="29"/>
  <c r="FO152" i="31"/>
  <c r="FO163" i="29"/>
  <c r="FO154" i="29"/>
  <c r="FO164" i="29" s="1"/>
  <c r="FO168" i="31" s="1"/>
  <c r="FO151" i="29"/>
  <c r="IJ120" i="31"/>
  <c r="IJ117" i="29"/>
  <c r="IJ121" i="31" s="1"/>
  <c r="IJ128" i="29"/>
  <c r="IC120" i="31"/>
  <c r="IC128" i="29"/>
  <c r="IC117" i="29"/>
  <c r="IC121" i="31" s="1"/>
  <c r="HV152" i="31"/>
  <c r="HV163" i="29"/>
  <c r="HV151" i="29"/>
  <c r="HV154" i="29"/>
  <c r="HV164" i="29" s="1"/>
  <c r="HV168" i="31" s="1"/>
  <c r="IQ152" i="31"/>
  <c r="IQ163" i="29"/>
  <c r="IQ151" i="29"/>
  <c r="IQ154" i="29"/>
  <c r="IQ164" i="29" s="1"/>
  <c r="IQ168" i="31" s="1"/>
  <c r="DO152" i="29"/>
  <c r="DO156" i="31" s="1"/>
  <c r="DO155" i="31"/>
  <c r="DJ106" i="31"/>
  <c r="DJ106" i="29"/>
  <c r="DJ110" i="31" s="1"/>
  <c r="DJ103" i="29"/>
  <c r="FI107" i="31"/>
  <c r="FI104" i="29"/>
  <c r="FI108" i="31" s="1"/>
  <c r="FI105" i="29"/>
  <c r="FI109" i="31" s="1"/>
  <c r="HF152" i="31"/>
  <c r="HF154" i="29"/>
  <c r="HF164" i="29" s="1"/>
  <c r="HF168" i="31" s="1"/>
  <c r="HF151" i="29"/>
  <c r="HF163" i="29"/>
  <c r="EC106" i="31"/>
  <c r="EC106" i="29"/>
  <c r="EC110" i="31" s="1"/>
  <c r="EC103" i="29"/>
  <c r="FK120" i="31"/>
  <c r="FK117" i="29"/>
  <c r="FK121" i="31" s="1"/>
  <c r="FK128" i="29"/>
  <c r="EM106" i="31"/>
  <c r="EM103" i="29"/>
  <c r="EM106" i="29"/>
  <c r="EM110" i="31" s="1"/>
  <c r="T117" i="31"/>
  <c r="T116" i="29"/>
  <c r="T148" i="29"/>
  <c r="AW106" i="31"/>
  <c r="AW103" i="29"/>
  <c r="AW106" i="29"/>
  <c r="AW110" i="31" s="1"/>
  <c r="CJ106" i="31"/>
  <c r="CJ106" i="29"/>
  <c r="CJ110" i="31" s="1"/>
  <c r="CJ103" i="29"/>
  <c r="BQ98" i="31"/>
  <c r="BQ100" i="29"/>
  <c r="BQ104" i="31" s="1"/>
  <c r="BQ96" i="29"/>
  <c r="BQ100" i="31" s="1"/>
  <c r="BQ102" i="29"/>
  <c r="BQ113" i="29"/>
  <c r="JB152" i="31"/>
  <c r="JB163" i="29"/>
  <c r="JB151" i="29"/>
  <c r="JB154" i="29"/>
  <c r="JB164" i="29" s="1"/>
  <c r="JB168" i="31" s="1"/>
  <c r="HD120" i="31"/>
  <c r="HD117" i="29"/>
  <c r="HD121" i="31" s="1"/>
  <c r="HD128" i="29"/>
  <c r="FW152" i="31"/>
  <c r="FW163" i="29"/>
  <c r="FW154" i="29"/>
  <c r="FW164" i="29" s="1"/>
  <c r="FW168" i="31" s="1"/>
  <c r="FW151" i="29"/>
  <c r="DM106" i="31"/>
  <c r="DM106" i="29"/>
  <c r="DM110" i="31" s="1"/>
  <c r="DM103" i="29"/>
  <c r="HJ120" i="31"/>
  <c r="HJ117" i="29"/>
  <c r="HJ121" i="31" s="1"/>
  <c r="HJ128" i="29"/>
  <c r="DX116" i="29"/>
  <c r="DX117" i="31"/>
  <c r="FP107" i="31"/>
  <c r="FP104" i="29"/>
  <c r="FP108" i="31" s="1"/>
  <c r="FP105" i="29"/>
  <c r="FP109" i="31" s="1"/>
  <c r="Q106" i="31"/>
  <c r="Q106" i="29"/>
  <c r="Q110" i="31" s="1"/>
  <c r="Q103" i="29"/>
  <c r="CK117" i="31"/>
  <c r="CK116" i="29"/>
  <c r="CK148" i="29"/>
  <c r="AL106" i="31"/>
  <c r="AL103" i="29"/>
  <c r="AL106" i="29"/>
  <c r="AL110" i="31" s="1"/>
  <c r="IB152" i="31"/>
  <c r="IB163" i="29"/>
  <c r="IB154" i="29"/>
  <c r="IB164" i="29" s="1"/>
  <c r="IB168" i="31" s="1"/>
  <c r="IB151" i="29"/>
  <c r="GR120" i="31"/>
  <c r="GR117" i="29"/>
  <c r="GR121" i="31" s="1"/>
  <c r="GR128" i="29"/>
  <c r="FG120" i="31"/>
  <c r="FG117" i="29"/>
  <c r="FG121" i="31" s="1"/>
  <c r="FG128" i="29"/>
  <c r="BO117" i="31"/>
  <c r="BO148" i="29"/>
  <c r="BO116" i="29"/>
  <c r="CE106" i="31"/>
  <c r="CE103" i="29"/>
  <c r="CE106" i="29"/>
  <c r="CE110" i="31" s="1"/>
  <c r="DB106" i="31"/>
  <c r="DB106" i="29"/>
  <c r="DB110" i="31" s="1"/>
  <c r="DB103" i="29"/>
  <c r="ES117" i="31"/>
  <c r="ES148" i="29"/>
  <c r="ES116" i="29"/>
  <c r="BX117" i="31"/>
  <c r="BX148" i="29"/>
  <c r="BX116" i="29"/>
  <c r="GC107" i="31"/>
  <c r="GC105" i="29"/>
  <c r="GC109" i="31" s="1"/>
  <c r="GC104" i="29"/>
  <c r="GC108" i="31" s="1"/>
  <c r="DP117" i="31"/>
  <c r="DP148" i="29"/>
  <c r="DP116" i="29"/>
  <c r="IY152" i="31"/>
  <c r="IY163" i="29"/>
  <c r="IY151" i="29"/>
  <c r="IY154" i="29"/>
  <c r="IY164" i="29" s="1"/>
  <c r="IY168" i="31" s="1"/>
  <c r="IP152" i="31"/>
  <c r="IP163" i="29"/>
  <c r="IP151" i="29"/>
  <c r="IP154" i="29"/>
  <c r="IP164" i="29" s="1"/>
  <c r="IP168" i="31" s="1"/>
  <c r="HW152" i="31"/>
  <c r="HW154" i="29"/>
  <c r="HW164" i="29" s="1"/>
  <c r="HW168" i="31" s="1"/>
  <c r="HW151" i="29"/>
  <c r="HW163" i="29"/>
  <c r="JG152" i="31"/>
  <c r="JG163" i="29"/>
  <c r="JG154" i="29"/>
  <c r="JG164" i="29" s="1"/>
  <c r="JG168" i="31" s="1"/>
  <c r="JG151" i="29"/>
  <c r="HN173" i="31"/>
  <c r="HN159" i="29"/>
  <c r="HN169" i="29"/>
  <c r="U106" i="31"/>
  <c r="U103" i="29"/>
  <c r="U106" i="29"/>
  <c r="U110" i="31" s="1"/>
  <c r="FM120" i="31"/>
  <c r="FM117" i="29"/>
  <c r="FM121" i="31" s="1"/>
  <c r="FM128" i="29"/>
  <c r="DA117" i="31"/>
  <c r="DA148" i="29"/>
  <c r="DA116" i="29"/>
  <c r="S117" i="31"/>
  <c r="S116" i="29"/>
  <c r="S148" i="29"/>
  <c r="GZ120" i="31"/>
  <c r="GZ128" i="29"/>
  <c r="GZ117" i="29"/>
  <c r="GZ121" i="31" s="1"/>
  <c r="BH106" i="31"/>
  <c r="BH103" i="29"/>
  <c r="BH106" i="29"/>
  <c r="BH110" i="31" s="1"/>
  <c r="HR120" i="31"/>
  <c r="HR128" i="29"/>
  <c r="HR117" i="29"/>
  <c r="HR121" i="31" s="1"/>
  <c r="FR107" i="31"/>
  <c r="FR105" i="29"/>
  <c r="FR109" i="31" s="1"/>
  <c r="FR104" i="29"/>
  <c r="FR108" i="31" s="1"/>
  <c r="BT117" i="31"/>
  <c r="BT116" i="29"/>
  <c r="BT148" i="29"/>
  <c r="DL106" i="31"/>
  <c r="DL103" i="29"/>
  <c r="DL106" i="29"/>
  <c r="DL110" i="31" s="1"/>
  <c r="GV120" i="31"/>
  <c r="GV128" i="29"/>
  <c r="GV117" i="29"/>
  <c r="GV121" i="31" s="1"/>
  <c r="CI106" i="31"/>
  <c r="CI103" i="29"/>
  <c r="CI106" i="29"/>
  <c r="CI110" i="31" s="1"/>
  <c r="GK120" i="31"/>
  <c r="GK128" i="29"/>
  <c r="GK117" i="29"/>
  <c r="GK121" i="31" s="1"/>
  <c r="FU107" i="31"/>
  <c r="FU104" i="29"/>
  <c r="FU108" i="31" s="1"/>
  <c r="FU105" i="29"/>
  <c r="FU109" i="31" s="1"/>
  <c r="FQ152" i="31"/>
  <c r="FQ151" i="29"/>
  <c r="FQ163" i="29"/>
  <c r="FQ154" i="29"/>
  <c r="FQ164" i="29" s="1"/>
  <c r="FQ168" i="31" s="1"/>
  <c r="HB152" i="31"/>
  <c r="HB163" i="29"/>
  <c r="HB151" i="29"/>
  <c r="HB154" i="29"/>
  <c r="HB164" i="29" s="1"/>
  <c r="HB168" i="31" s="1"/>
  <c r="FN152" i="31"/>
  <c r="FN163" i="29"/>
  <c r="FN151" i="29"/>
  <c r="FN154" i="29"/>
  <c r="FN164" i="29" s="1"/>
  <c r="FN168" i="31" s="1"/>
  <c r="BC117" i="31"/>
  <c r="BC148" i="29"/>
  <c r="BC116" i="29"/>
  <c r="AU106" i="31"/>
  <c r="AU106" i="29"/>
  <c r="AU110" i="31" s="1"/>
  <c r="AU103" i="29"/>
  <c r="O106" i="31"/>
  <c r="O103" i="29"/>
  <c r="O106" i="29"/>
  <c r="O110" i="31" s="1"/>
  <c r="GH120" i="31"/>
  <c r="GH128" i="29"/>
  <c r="GH117" i="29"/>
  <c r="GH121" i="31" s="1"/>
  <c r="CL116" i="29"/>
  <c r="CL117" i="31"/>
  <c r="HB107" i="31"/>
  <c r="HB105" i="29"/>
  <c r="HB109" i="31" s="1"/>
  <c r="HB104" i="29"/>
  <c r="HB108" i="31" s="1"/>
  <c r="AX117" i="31"/>
  <c r="AX116" i="29"/>
  <c r="AX148" i="29"/>
  <c r="AN117" i="31"/>
  <c r="AN148" i="29"/>
  <c r="AN116" i="29"/>
  <c r="GI107" i="31"/>
  <c r="GI104" i="29"/>
  <c r="GI108" i="31" s="1"/>
  <c r="GI105" i="29"/>
  <c r="GI109" i="31" s="1"/>
  <c r="EN117" i="31"/>
  <c r="EN116" i="29"/>
  <c r="EN148" i="29"/>
  <c r="HL152" i="31"/>
  <c r="HL163" i="29"/>
  <c r="HL154" i="29"/>
  <c r="HL164" i="29" s="1"/>
  <c r="HL168" i="31" s="1"/>
  <c r="HL151" i="29"/>
  <c r="FX152" i="31"/>
  <c r="FX163" i="29"/>
  <c r="FX151" i="29"/>
  <c r="FX154" i="29"/>
  <c r="FX164" i="29" s="1"/>
  <c r="FX168" i="31" s="1"/>
  <c r="L106" i="31"/>
  <c r="L106" i="29"/>
  <c r="L110" i="31" s="1"/>
  <c r="L103" i="29"/>
  <c r="AI98" i="31"/>
  <c r="AI100" i="29"/>
  <c r="AI104" i="31" s="1"/>
  <c r="AI113" i="29"/>
  <c r="AI102" i="29"/>
  <c r="AI96" i="29"/>
  <c r="AI100" i="31" s="1"/>
  <c r="AF106" i="31"/>
  <c r="AF103" i="29"/>
  <c r="AF106" i="29"/>
  <c r="AF110" i="31" s="1"/>
  <c r="IM120" i="31"/>
  <c r="IM117" i="29"/>
  <c r="IM121" i="31" s="1"/>
  <c r="IM128" i="29"/>
  <c r="JC152" i="31"/>
  <c r="JC154" i="29"/>
  <c r="JC164" i="29" s="1"/>
  <c r="JC168" i="31" s="1"/>
  <c r="JC151" i="29"/>
  <c r="JC163" i="29"/>
  <c r="EI117" i="31"/>
  <c r="EI148" i="29"/>
  <c r="EI116" i="29"/>
  <c r="HZ152" i="31"/>
  <c r="HZ163" i="29"/>
  <c r="HZ154" i="29"/>
  <c r="HZ164" i="29" s="1"/>
  <c r="HZ168" i="31" s="1"/>
  <c r="HZ151" i="29"/>
  <c r="FT152" i="31"/>
  <c r="FT154" i="29"/>
  <c r="FT164" i="29" s="1"/>
  <c r="FT168" i="31" s="1"/>
  <c r="FT151" i="29"/>
  <c r="FT163" i="29"/>
  <c r="CF106" i="31"/>
  <c r="CF106" i="29"/>
  <c r="CF110" i="31" s="1"/>
  <c r="CF103" i="29"/>
  <c r="DK116" i="29"/>
  <c r="DK117" i="31"/>
  <c r="GW120" i="31"/>
  <c r="GW117" i="29"/>
  <c r="GW121" i="31" s="1"/>
  <c r="GW128" i="29"/>
  <c r="X117" i="31"/>
  <c r="X148" i="29"/>
  <c r="X116" i="29"/>
  <c r="CD117" i="31"/>
  <c r="CD148" i="29"/>
  <c r="CD155" i="29" s="1"/>
  <c r="CD116" i="29"/>
  <c r="GU152" i="31"/>
  <c r="GU151" i="29"/>
  <c r="GU154" i="29"/>
  <c r="GU164" i="29" s="1"/>
  <c r="GU168" i="31" s="1"/>
  <c r="GU163" i="29"/>
  <c r="AR106" i="31"/>
  <c r="AR106" i="29"/>
  <c r="AR110" i="31" s="1"/>
  <c r="AR103" i="29"/>
  <c r="EE106" i="31"/>
  <c r="EE106" i="29"/>
  <c r="EE110" i="31" s="1"/>
  <c r="EE103" i="29"/>
  <c r="IH152" i="31"/>
  <c r="IH154" i="29"/>
  <c r="IH164" i="29" s="1"/>
  <c r="IH168" i="31" s="1"/>
  <c r="IH163" i="29"/>
  <c r="IH151" i="29"/>
  <c r="CC117" i="31"/>
  <c r="CC116" i="29"/>
  <c r="CC148" i="29"/>
  <c r="FH107" i="31"/>
  <c r="FH104" i="29"/>
  <c r="FH108" i="31" s="1"/>
  <c r="FH105" i="29"/>
  <c r="FH109" i="31" s="1"/>
  <c r="FC120" i="31"/>
  <c r="FC128" i="29"/>
  <c r="FC117" i="29"/>
  <c r="FC121" i="31" s="1"/>
  <c r="AK106" i="31"/>
  <c r="AK106" i="29"/>
  <c r="AK110" i="31" s="1"/>
  <c r="AK103" i="29"/>
  <c r="GM152" i="31"/>
  <c r="GM163" i="29"/>
  <c r="GM151" i="29"/>
  <c r="GM154" i="29"/>
  <c r="GM164" i="29" s="1"/>
  <c r="GM168" i="31" s="1"/>
  <c r="JE152" i="31"/>
  <c r="JE163" i="29"/>
  <c r="JE154" i="29"/>
  <c r="JE164" i="29" s="1"/>
  <c r="JE168" i="31" s="1"/>
  <c r="JE151" i="29"/>
  <c r="HY120" i="31"/>
  <c r="HY128" i="29"/>
  <c r="HY117" i="29"/>
  <c r="HY121" i="31" s="1"/>
  <c r="FQ107" i="31"/>
  <c r="FQ104" i="29"/>
  <c r="FQ108" i="31" s="1"/>
  <c r="FQ105" i="29"/>
  <c r="FQ109" i="31" s="1"/>
  <c r="EH106" i="31"/>
  <c r="EH106" i="29"/>
  <c r="EH110" i="31" s="1"/>
  <c r="EH103" i="29"/>
  <c r="FA120" i="31"/>
  <c r="FA117" i="29"/>
  <c r="FA121" i="31" s="1"/>
  <c r="FA128" i="29"/>
  <c r="Y117" i="31"/>
  <c r="Y148" i="29"/>
  <c r="Y116" i="29"/>
  <c r="BG106" i="31"/>
  <c r="BG106" i="29"/>
  <c r="BG110" i="31" s="1"/>
  <c r="BG103" i="29"/>
  <c r="BB117" i="31"/>
  <c r="BB148" i="29"/>
  <c r="BB116" i="29"/>
  <c r="BU106" i="31"/>
  <c r="BU103" i="29"/>
  <c r="BU106" i="29"/>
  <c r="BU110" i="31" s="1"/>
  <c r="EW107" i="31"/>
  <c r="EW104" i="29"/>
  <c r="EW108" i="31" s="1"/>
  <c r="EW105" i="29"/>
  <c r="EW109" i="31" s="1"/>
  <c r="FG107" i="31"/>
  <c r="FG104" i="29"/>
  <c r="FG108" i="31" s="1"/>
  <c r="FG105" i="29"/>
  <c r="FG109" i="31" s="1"/>
  <c r="E97" i="31"/>
  <c r="E94" i="29"/>
  <c r="GJ152" i="31"/>
  <c r="GJ154" i="29"/>
  <c r="GJ164" i="29" s="1"/>
  <c r="GJ168" i="31" s="1"/>
  <c r="GJ151" i="29"/>
  <c r="GJ163" i="29"/>
  <c r="C103" i="29"/>
  <c r="C107" i="31" s="1"/>
  <c r="C106" i="29"/>
  <c r="C110" i="31" s="1"/>
  <c r="C148" i="29"/>
  <c r="C152" i="31" s="1"/>
  <c r="C116" i="29"/>
  <c r="C120" i="31" s="1"/>
  <c r="DO180" i="29" l="1"/>
  <c r="DO174" i="29"/>
  <c r="DO187" i="29"/>
  <c r="WC177" i="1"/>
  <c r="F171" i="32"/>
  <c r="CD159" i="31"/>
  <c r="CD153" i="29"/>
  <c r="F210" i="32"/>
  <c r="WC216" i="1"/>
  <c r="HQ155" i="29"/>
  <c r="WC55" i="1" s="1"/>
  <c r="EV155" i="29"/>
  <c r="WC30" i="1" s="1"/>
  <c r="HY155" i="29"/>
  <c r="WC63" i="1" s="1"/>
  <c r="DO159" i="31"/>
  <c r="DO178" i="31" s="1"/>
  <c r="JD155" i="29"/>
  <c r="F218" i="32" s="1"/>
  <c r="DO153" i="29"/>
  <c r="HU155" i="29"/>
  <c r="WC59" i="1" s="1"/>
  <c r="FJ155" i="29"/>
  <c r="FC155" i="29"/>
  <c r="F196" i="32" s="1"/>
  <c r="FX155" i="29"/>
  <c r="FX153" i="29" s="1"/>
  <c r="EW155" i="29"/>
  <c r="WC29" i="1" s="1"/>
  <c r="JO120" i="31"/>
  <c r="FP155" i="29"/>
  <c r="WC234" i="1" s="1"/>
  <c r="HE155" i="29"/>
  <c r="HE156" i="29" s="1"/>
  <c r="HC155" i="29"/>
  <c r="WC65" i="1" s="1"/>
  <c r="GN155" i="29"/>
  <c r="GN158" i="29" s="1"/>
  <c r="IT155" i="29"/>
  <c r="WC87" i="1" s="1"/>
  <c r="HS155" i="29"/>
  <c r="HS183" i="29" s="1"/>
  <c r="IO155" i="29"/>
  <c r="IO158" i="29" s="1"/>
  <c r="GT155" i="29"/>
  <c r="GT187" i="29" s="1"/>
  <c r="GF155" i="29"/>
  <c r="WC147" i="1" s="1"/>
  <c r="JF155" i="29"/>
  <c r="HL155" i="29"/>
  <c r="HL187" i="29" s="1"/>
  <c r="GJ155" i="29"/>
  <c r="JB155" i="29"/>
  <c r="JB158" i="29" s="1"/>
  <c r="HF155" i="29"/>
  <c r="F131" i="32" s="1"/>
  <c r="IS155" i="29"/>
  <c r="IS186" i="29" s="1"/>
  <c r="FF155" i="29"/>
  <c r="FF158" i="29" s="1"/>
  <c r="GW155" i="29"/>
  <c r="WC99" i="1" s="1"/>
  <c r="FU155" i="29"/>
  <c r="IX155" i="29"/>
  <c r="IX186" i="29" s="1"/>
  <c r="GC155" i="29"/>
  <c r="FY155" i="29"/>
  <c r="WC129" i="1" s="1"/>
  <c r="HI155" i="29"/>
  <c r="GL155" i="29"/>
  <c r="GL156" i="29" s="1"/>
  <c r="IJ155" i="29"/>
  <c r="WC74" i="1" s="1"/>
  <c r="HT155" i="29"/>
  <c r="FL155" i="29"/>
  <c r="EX155" i="29"/>
  <c r="EX187" i="29" s="1"/>
  <c r="GK155" i="29"/>
  <c r="GK187" i="29" s="1"/>
  <c r="GV155" i="29"/>
  <c r="HD155" i="29"/>
  <c r="WC111" i="1" s="1"/>
  <c r="GU155" i="29"/>
  <c r="GU158" i="29" s="1"/>
  <c r="GM155" i="29"/>
  <c r="GM186" i="29" s="1"/>
  <c r="JM98" i="31"/>
  <c r="JM104" i="31" s="1"/>
  <c r="FQ155" i="29"/>
  <c r="FQ187" i="29" s="1"/>
  <c r="FH155" i="29"/>
  <c r="FH186" i="29" s="1"/>
  <c r="FV155" i="29"/>
  <c r="IU155" i="29"/>
  <c r="GH155" i="29"/>
  <c r="WC144" i="1" s="1"/>
  <c r="IZ155" i="29"/>
  <c r="IZ158" i="29" s="1"/>
  <c r="IZ159" i="29" s="1"/>
  <c r="HA155" i="29"/>
  <c r="HA186" i="29" s="1"/>
  <c r="IM155" i="29"/>
  <c r="JG155" i="29"/>
  <c r="WC258" i="1" s="1"/>
  <c r="HZ155" i="29"/>
  <c r="HB155" i="29"/>
  <c r="HB183" i="29" s="1"/>
  <c r="IP155" i="29"/>
  <c r="HV155" i="29"/>
  <c r="FO155" i="29"/>
  <c r="IA155" i="29"/>
  <c r="GQ155" i="29"/>
  <c r="WC132" i="1" s="1"/>
  <c r="IL155" i="29"/>
  <c r="GJ152" i="29"/>
  <c r="GJ156" i="31" s="1"/>
  <c r="GJ155" i="31"/>
  <c r="BU107" i="31"/>
  <c r="BU105" i="29"/>
  <c r="BU109" i="31" s="1"/>
  <c r="BU104" i="29"/>
  <c r="BU108" i="31" s="1"/>
  <c r="Y120" i="31"/>
  <c r="Y117" i="29"/>
  <c r="Y121" i="31" s="1"/>
  <c r="Y128" i="29"/>
  <c r="X120" i="31"/>
  <c r="X128" i="29"/>
  <c r="X117" i="29"/>
  <c r="X121" i="31" s="1"/>
  <c r="CF107" i="31"/>
  <c r="CF104" i="29"/>
  <c r="CF108" i="31" s="1"/>
  <c r="CF105" i="29"/>
  <c r="CF109" i="31" s="1"/>
  <c r="FT152" i="29"/>
  <c r="FT156" i="31" s="1"/>
  <c r="FT155" i="31"/>
  <c r="JC165" i="29"/>
  <c r="JC169" i="31" s="1"/>
  <c r="JC167" i="31"/>
  <c r="AI106" i="31"/>
  <c r="AI106" i="29"/>
  <c r="AI110" i="31" s="1"/>
  <c r="AI103" i="29"/>
  <c r="L107" i="31"/>
  <c r="L104" i="29"/>
  <c r="L108" i="31" s="1"/>
  <c r="L105" i="29"/>
  <c r="L109" i="31" s="1"/>
  <c r="EA120" i="31"/>
  <c r="EA117" i="29"/>
  <c r="EA121" i="31" s="1"/>
  <c r="EA128" i="29"/>
  <c r="AZ107" i="31"/>
  <c r="AZ104" i="29"/>
  <c r="AZ108" i="31" s="1"/>
  <c r="AZ105" i="29"/>
  <c r="AZ109" i="31" s="1"/>
  <c r="JH152" i="29"/>
  <c r="JH156" i="31" s="1"/>
  <c r="JH155" i="31"/>
  <c r="HU129" i="29"/>
  <c r="HU133" i="31" s="1"/>
  <c r="HU132" i="31"/>
  <c r="GG167" i="31"/>
  <c r="GG165" i="29"/>
  <c r="GG169" i="31" s="1"/>
  <c r="AD120" i="31"/>
  <c r="AD128" i="29"/>
  <c r="AD117" i="29"/>
  <c r="AD121" i="31" s="1"/>
  <c r="JD129" i="29"/>
  <c r="JD133" i="31" s="1"/>
  <c r="JD132" i="31"/>
  <c r="HC129" i="29"/>
  <c r="HC133" i="31" s="1"/>
  <c r="HC132" i="31"/>
  <c r="HA129" i="29"/>
  <c r="HA133" i="31" s="1"/>
  <c r="HA132" i="31"/>
  <c r="I120" i="31"/>
  <c r="I128" i="29"/>
  <c r="I117" i="29"/>
  <c r="I121" i="31" s="1"/>
  <c r="FS167" i="31"/>
  <c r="FS165" i="29"/>
  <c r="FS169" i="31" s="1"/>
  <c r="EO152" i="31"/>
  <c r="EO163" i="29"/>
  <c r="EO154" i="29"/>
  <c r="EO164" i="29" s="1"/>
  <c r="EO168" i="31" s="1"/>
  <c r="EO151" i="29"/>
  <c r="EO169" i="29"/>
  <c r="DU120" i="31"/>
  <c r="DU117" i="29"/>
  <c r="DU121" i="31" s="1"/>
  <c r="DU128" i="29"/>
  <c r="CZ120" i="31"/>
  <c r="CZ117" i="29"/>
  <c r="CZ121" i="31" s="1"/>
  <c r="CZ128" i="29"/>
  <c r="IV152" i="29"/>
  <c r="IV156" i="31" s="1"/>
  <c r="IV155" i="31"/>
  <c r="FP129" i="29"/>
  <c r="FP133" i="31" s="1"/>
  <c r="FP132" i="31"/>
  <c r="ID129" i="29"/>
  <c r="ID133" i="31" s="1"/>
  <c r="ID132" i="31"/>
  <c r="GC165" i="29"/>
  <c r="GC169" i="31" s="1"/>
  <c r="GC167" i="31"/>
  <c r="CU120" i="31"/>
  <c r="CU128" i="29"/>
  <c r="CU117" i="29"/>
  <c r="CU121" i="31" s="1"/>
  <c r="GB152" i="29"/>
  <c r="GB156" i="31" s="1"/>
  <c r="GB155" i="31"/>
  <c r="BZ152" i="31"/>
  <c r="BZ151" i="29"/>
  <c r="BZ154" i="29"/>
  <c r="BZ164" i="29" s="1"/>
  <c r="BZ168" i="31" s="1"/>
  <c r="BZ163" i="29"/>
  <c r="II165" i="29"/>
  <c r="II169" i="31" s="1"/>
  <c r="II167" i="31"/>
  <c r="HE129" i="29"/>
  <c r="HE133" i="31" s="1"/>
  <c r="HE132" i="31"/>
  <c r="IO152" i="29"/>
  <c r="IO156" i="31" s="1"/>
  <c r="IO155" i="31"/>
  <c r="EF120" i="31"/>
  <c r="EF117" i="29"/>
  <c r="EF121" i="31" s="1"/>
  <c r="EF128" i="29"/>
  <c r="BK152" i="31"/>
  <c r="BK163" i="29"/>
  <c r="BK151" i="29"/>
  <c r="BK154" i="29"/>
  <c r="BK164" i="29" s="1"/>
  <c r="BK168" i="31" s="1"/>
  <c r="CR152" i="31"/>
  <c r="CR163" i="29"/>
  <c r="CR154" i="29"/>
  <c r="CR164" i="29" s="1"/>
  <c r="CR168" i="31" s="1"/>
  <c r="CR151" i="29"/>
  <c r="EM120" i="31"/>
  <c r="EM128" i="29"/>
  <c r="EM117" i="29"/>
  <c r="EM121" i="31" s="1"/>
  <c r="GT167" i="31"/>
  <c r="GT165" i="29"/>
  <c r="GT169" i="31" s="1"/>
  <c r="DF120" i="31"/>
  <c r="DF128" i="29"/>
  <c r="DF117" i="29"/>
  <c r="DF121" i="31" s="1"/>
  <c r="DE107" i="31"/>
  <c r="DE105" i="29"/>
  <c r="DE109" i="31" s="1"/>
  <c r="DE104" i="29"/>
  <c r="DE108" i="31" s="1"/>
  <c r="EG106" i="31"/>
  <c r="EG106" i="29"/>
  <c r="EG110" i="31" s="1"/>
  <c r="EG103" i="29"/>
  <c r="FR129" i="29"/>
  <c r="FR133" i="31" s="1"/>
  <c r="FR132" i="31"/>
  <c r="DY152" i="31"/>
  <c r="DY154" i="29"/>
  <c r="DY164" i="29" s="1"/>
  <c r="DY168" i="31" s="1"/>
  <c r="DY151" i="29"/>
  <c r="DY163" i="29"/>
  <c r="BP107" i="31"/>
  <c r="BP105" i="29"/>
  <c r="BP109" i="31" s="1"/>
  <c r="BP104" i="29"/>
  <c r="BP108" i="31" s="1"/>
  <c r="DW116" i="29"/>
  <c r="DW117" i="31"/>
  <c r="EY167" i="31"/>
  <c r="EY165" i="29"/>
  <c r="EY169" i="31" s="1"/>
  <c r="HG152" i="29"/>
  <c r="HG156" i="31" s="1"/>
  <c r="HG155" i="31"/>
  <c r="AO120" i="31"/>
  <c r="AO117" i="29"/>
  <c r="AO121" i="31" s="1"/>
  <c r="AO128" i="29"/>
  <c r="EX152" i="29"/>
  <c r="EX156" i="31" s="1"/>
  <c r="EX155" i="31"/>
  <c r="IZ167" i="31"/>
  <c r="IZ165" i="29"/>
  <c r="IZ169" i="31" s="1"/>
  <c r="IG165" i="29"/>
  <c r="IG169" i="31" s="1"/>
  <c r="IG167" i="31"/>
  <c r="BN152" i="31"/>
  <c r="BN163" i="29"/>
  <c r="BN154" i="29"/>
  <c r="BN164" i="29" s="1"/>
  <c r="BN168" i="31" s="1"/>
  <c r="BN151" i="29"/>
  <c r="AG107" i="31"/>
  <c r="AG105" i="29"/>
  <c r="AG109" i="31" s="1"/>
  <c r="AG104" i="29"/>
  <c r="AG108" i="31" s="1"/>
  <c r="GF165" i="29"/>
  <c r="GF169" i="31" s="1"/>
  <c r="GF167" i="31"/>
  <c r="V152" i="31"/>
  <c r="V163" i="29"/>
  <c r="V154" i="29"/>
  <c r="V164" i="29" s="1"/>
  <c r="V168" i="31" s="1"/>
  <c r="V151" i="29"/>
  <c r="Y107" i="31"/>
  <c r="Y105" i="29"/>
  <c r="Y109" i="31" s="1"/>
  <c r="Y104" i="29"/>
  <c r="Y108" i="31" s="1"/>
  <c r="FA167" i="31"/>
  <c r="FA165" i="29"/>
  <c r="FA169" i="31" s="1"/>
  <c r="GG129" i="29"/>
  <c r="GG133" i="31" s="1"/>
  <c r="GG132" i="31"/>
  <c r="FI152" i="29"/>
  <c r="FI156" i="31" s="1"/>
  <c r="FI155" i="31"/>
  <c r="HY152" i="29"/>
  <c r="HY156" i="31" s="1"/>
  <c r="HY155" i="31"/>
  <c r="AJ117" i="31"/>
  <c r="AJ148" i="29"/>
  <c r="AJ116" i="29"/>
  <c r="AK120" i="31"/>
  <c r="AK117" i="29"/>
  <c r="AK121" i="31" s="1"/>
  <c r="AK128" i="29"/>
  <c r="EE152" i="31"/>
  <c r="EE151" i="29"/>
  <c r="EE154" i="29"/>
  <c r="EE164" i="29" s="1"/>
  <c r="EE168" i="31" s="1"/>
  <c r="EE163" i="29"/>
  <c r="IE152" i="29"/>
  <c r="IE156" i="31" s="1"/>
  <c r="IE155" i="31"/>
  <c r="BS107" i="31"/>
  <c r="BS105" i="29"/>
  <c r="BS109" i="31" s="1"/>
  <c r="BS104" i="29"/>
  <c r="BS108" i="31" s="1"/>
  <c r="FS129" i="29"/>
  <c r="FS133" i="31" s="1"/>
  <c r="FS132" i="31"/>
  <c r="X107" i="31"/>
  <c r="X104" i="29"/>
  <c r="X108" i="31" s="1"/>
  <c r="X105" i="29"/>
  <c r="X109" i="31" s="1"/>
  <c r="DU107" i="31"/>
  <c r="DU105" i="29"/>
  <c r="DU109" i="31" s="1"/>
  <c r="DU104" i="29"/>
  <c r="DU108" i="31" s="1"/>
  <c r="BI107" i="31"/>
  <c r="BI105" i="29"/>
  <c r="BI109" i="31" s="1"/>
  <c r="BI104" i="29"/>
  <c r="BI108" i="31" s="1"/>
  <c r="AN107" i="31"/>
  <c r="AN105" i="29"/>
  <c r="AN109" i="31" s="1"/>
  <c r="AN104" i="29"/>
  <c r="AN108" i="31" s="1"/>
  <c r="GH167" i="31"/>
  <c r="GH165" i="29"/>
  <c r="GH169" i="31" s="1"/>
  <c r="CO152" i="31"/>
  <c r="CO169" i="29"/>
  <c r="CO110" i="29" s="1"/>
  <c r="CO151" i="29"/>
  <c r="CO163" i="29"/>
  <c r="CO154" i="29"/>
  <c r="CO164" i="29" s="1"/>
  <c r="CO168" i="31" s="1"/>
  <c r="BD120" i="31"/>
  <c r="BD128" i="29"/>
  <c r="BD117" i="29"/>
  <c r="BD121" i="31" s="1"/>
  <c r="GA129" i="29"/>
  <c r="GA133" i="31" s="1"/>
  <c r="GA132" i="31"/>
  <c r="GB129" i="29"/>
  <c r="GB133" i="31" s="1"/>
  <c r="GB132" i="31"/>
  <c r="CT120" i="31"/>
  <c r="CT128" i="29"/>
  <c r="CT117" i="29"/>
  <c r="CT121" i="31" s="1"/>
  <c r="AH152" i="31"/>
  <c r="AH151" i="29"/>
  <c r="AH163" i="29"/>
  <c r="AH154" i="29"/>
  <c r="AH164" i="29" s="1"/>
  <c r="AH168" i="31" s="1"/>
  <c r="HR152" i="29"/>
  <c r="HR156" i="31" s="1"/>
  <c r="HR155" i="31"/>
  <c r="DQ120" i="31"/>
  <c r="DQ117" i="29"/>
  <c r="DQ121" i="31" s="1"/>
  <c r="DQ128" i="29"/>
  <c r="AM120" i="31"/>
  <c r="AM128" i="29"/>
  <c r="AM117" i="29"/>
  <c r="AM121" i="31" s="1"/>
  <c r="FM152" i="29"/>
  <c r="FM156" i="31" s="1"/>
  <c r="FM155" i="31"/>
  <c r="U152" i="31"/>
  <c r="U163" i="29"/>
  <c r="U154" i="29"/>
  <c r="U164" i="29" s="1"/>
  <c r="U168" i="31" s="1"/>
  <c r="U151" i="29"/>
  <c r="CP152" i="31"/>
  <c r="CP173" i="31" s="1"/>
  <c r="CP163" i="29"/>
  <c r="CP151" i="29"/>
  <c r="CP154" i="29"/>
  <c r="CP164" i="29" s="1"/>
  <c r="CP168" i="31" s="1"/>
  <c r="CP169" i="29"/>
  <c r="CP110" i="29" s="1"/>
  <c r="IY129" i="29"/>
  <c r="IY133" i="31" s="1"/>
  <c r="IY132" i="31"/>
  <c r="CE120" i="31"/>
  <c r="CE117" i="29"/>
  <c r="CE121" i="31" s="1"/>
  <c r="CE128" i="29"/>
  <c r="GR167" i="31"/>
  <c r="GR165" i="29"/>
  <c r="GR169" i="31" s="1"/>
  <c r="EP120" i="31"/>
  <c r="EP117" i="29"/>
  <c r="EP121" i="31" s="1"/>
  <c r="EP128" i="29"/>
  <c r="IU165" i="29"/>
  <c r="IU169" i="31" s="1"/>
  <c r="IU167" i="31"/>
  <c r="CJ152" i="31"/>
  <c r="CJ154" i="29"/>
  <c r="CJ164" i="29" s="1"/>
  <c r="CJ168" i="31" s="1"/>
  <c r="CJ163" i="29"/>
  <c r="CJ151" i="29"/>
  <c r="R107" i="31"/>
  <c r="R104" i="29"/>
  <c r="R108" i="31" s="1"/>
  <c r="R105" i="29"/>
  <c r="R109" i="31" s="1"/>
  <c r="FK152" i="29"/>
  <c r="FK156" i="31" s="1"/>
  <c r="FK155" i="31"/>
  <c r="CG120" i="31"/>
  <c r="CG117" i="29"/>
  <c r="CG121" i="31" s="1"/>
  <c r="CG128" i="29"/>
  <c r="FZ152" i="29"/>
  <c r="FZ156" i="31" s="1"/>
  <c r="FZ155" i="31"/>
  <c r="BF120" i="31"/>
  <c r="BF117" i="29"/>
  <c r="BF121" i="31" s="1"/>
  <c r="BF128" i="29"/>
  <c r="FB129" i="29"/>
  <c r="FB133" i="31" s="1"/>
  <c r="FB132" i="31"/>
  <c r="EL152" i="31"/>
  <c r="EL163" i="29"/>
  <c r="EL151" i="29"/>
  <c r="EL154" i="29"/>
  <c r="EL164" i="29" s="1"/>
  <c r="EL168" i="31" s="1"/>
  <c r="EA107" i="31"/>
  <c r="EA104" i="29"/>
  <c r="EA108" i="31" s="1"/>
  <c r="EA105" i="29"/>
  <c r="EA109" i="31" s="1"/>
  <c r="AN152" i="31"/>
  <c r="AN173" i="31" s="1"/>
  <c r="AN154" i="29"/>
  <c r="AN164" i="29" s="1"/>
  <c r="AN168" i="31" s="1"/>
  <c r="AN169" i="29"/>
  <c r="AN110" i="29" s="1"/>
  <c r="AN163" i="29"/>
  <c r="AN151" i="29"/>
  <c r="AU107" i="31"/>
  <c r="AU104" i="29"/>
  <c r="AU108" i="31" s="1"/>
  <c r="AU105" i="29"/>
  <c r="AU109" i="31" s="1"/>
  <c r="BC152" i="31"/>
  <c r="BC163" i="29"/>
  <c r="BC154" i="29"/>
  <c r="BC164" i="29" s="1"/>
  <c r="BC168" i="31" s="1"/>
  <c r="BC151" i="29"/>
  <c r="FN152" i="29"/>
  <c r="FN156" i="31" s="1"/>
  <c r="FN155" i="31"/>
  <c r="HB152" i="29"/>
  <c r="HB156" i="31" s="1"/>
  <c r="HB155" i="31"/>
  <c r="CI107" i="31"/>
  <c r="CI105" i="29"/>
  <c r="CI109" i="31" s="1"/>
  <c r="CI104" i="29"/>
  <c r="CI108" i="31" s="1"/>
  <c r="BT152" i="31"/>
  <c r="BT151" i="29"/>
  <c r="BT163" i="29"/>
  <c r="BT154" i="29"/>
  <c r="BT164" i="29" s="1"/>
  <c r="BT168" i="31" s="1"/>
  <c r="S120" i="31"/>
  <c r="S117" i="29"/>
  <c r="S121" i="31" s="1"/>
  <c r="S128" i="29"/>
  <c r="HN171" i="31"/>
  <c r="HN167" i="29"/>
  <c r="HN160" i="29"/>
  <c r="HN164" i="31" s="1"/>
  <c r="HN161" i="29"/>
  <c r="HN165" i="31" s="1"/>
  <c r="JG165" i="29"/>
  <c r="JG169" i="31" s="1"/>
  <c r="JG167" i="31"/>
  <c r="HW167" i="31"/>
  <c r="HW165" i="29"/>
  <c r="HW169" i="31" s="1"/>
  <c r="IY167" i="31"/>
  <c r="IY165" i="29"/>
  <c r="IY169" i="31" s="1"/>
  <c r="BX120" i="31"/>
  <c r="BX128" i="29"/>
  <c r="BX117" i="29"/>
  <c r="BX121" i="31" s="1"/>
  <c r="ES152" i="31"/>
  <c r="ES151" i="29"/>
  <c r="ES163" i="29"/>
  <c r="ES154" i="29"/>
  <c r="ES164" i="29" s="1"/>
  <c r="ES168" i="31" s="1"/>
  <c r="BO120" i="31"/>
  <c r="BO117" i="29"/>
  <c r="BO121" i="31" s="1"/>
  <c r="BO128" i="29"/>
  <c r="IB165" i="29"/>
  <c r="IB169" i="31" s="1"/>
  <c r="IB167" i="31"/>
  <c r="Q107" i="31"/>
  <c r="Q104" i="29"/>
  <c r="Q108" i="31" s="1"/>
  <c r="Q105" i="29"/>
  <c r="Q109" i="31" s="1"/>
  <c r="HJ129" i="29"/>
  <c r="HJ133" i="31" s="1"/>
  <c r="HJ132" i="31"/>
  <c r="JB152" i="29"/>
  <c r="JB156" i="31" s="1"/>
  <c r="JB155" i="31"/>
  <c r="BQ106" i="31"/>
  <c r="BQ106" i="29"/>
  <c r="BQ110" i="31" s="1"/>
  <c r="BQ103" i="29"/>
  <c r="CJ107" i="31"/>
  <c r="CJ105" i="29"/>
  <c r="CJ109" i="31" s="1"/>
  <c r="CJ104" i="29"/>
  <c r="CJ108" i="31" s="1"/>
  <c r="AW107" i="31"/>
  <c r="AW104" i="29"/>
  <c r="AW108" i="31" s="1"/>
  <c r="AW105" i="29"/>
  <c r="AW109" i="31" s="1"/>
  <c r="FK129" i="29"/>
  <c r="FK133" i="31" s="1"/>
  <c r="FK132" i="31"/>
  <c r="HF152" i="29"/>
  <c r="HF156" i="31" s="1"/>
  <c r="HF155" i="31"/>
  <c r="IJ129" i="29"/>
  <c r="IJ133" i="31" s="1"/>
  <c r="IJ132" i="31"/>
  <c r="FH152" i="29"/>
  <c r="FH156" i="31" s="1"/>
  <c r="FH155" i="31"/>
  <c r="EX129" i="29"/>
  <c r="EX133" i="31" s="1"/>
  <c r="EX132" i="31"/>
  <c r="IZ129" i="29"/>
  <c r="IZ133" i="31" s="1"/>
  <c r="IZ132" i="31"/>
  <c r="EL107" i="31"/>
  <c r="EL104" i="29"/>
  <c r="EL108" i="31" s="1"/>
  <c r="EL105" i="29"/>
  <c r="EL109" i="31" s="1"/>
  <c r="DZ106" i="31"/>
  <c r="DZ103" i="29"/>
  <c r="DZ106" i="29"/>
  <c r="DZ110" i="31" s="1"/>
  <c r="IJ167" i="31"/>
  <c r="IJ165" i="29"/>
  <c r="IJ169" i="31" s="1"/>
  <c r="GY129" i="29"/>
  <c r="GY133" i="31" s="1"/>
  <c r="GY132" i="31"/>
  <c r="BJ120" i="31"/>
  <c r="BJ128" i="29"/>
  <c r="BJ117" i="29"/>
  <c r="BJ121" i="31" s="1"/>
  <c r="V107" i="31"/>
  <c r="V105" i="29"/>
  <c r="V109" i="31" s="1"/>
  <c r="V104" i="29"/>
  <c r="V108" i="31" s="1"/>
  <c r="EH152" i="31"/>
  <c r="EH163" i="29"/>
  <c r="EH151" i="29"/>
  <c r="EH154" i="29"/>
  <c r="EH164" i="29" s="1"/>
  <c r="EH168" i="31" s="1"/>
  <c r="FC165" i="29"/>
  <c r="FC169" i="31" s="1"/>
  <c r="FC167" i="31"/>
  <c r="GU129" i="29"/>
  <c r="GU133" i="31" s="1"/>
  <c r="GU132" i="31"/>
  <c r="GW152" i="29"/>
  <c r="GW156" i="31" s="1"/>
  <c r="GW155" i="31"/>
  <c r="AA107" i="31"/>
  <c r="AA104" i="29"/>
  <c r="AA108" i="31" s="1"/>
  <c r="AA105" i="29"/>
  <c r="AA109" i="31" s="1"/>
  <c r="EI107" i="31"/>
  <c r="EI104" i="29"/>
  <c r="EI108" i="31" s="1"/>
  <c r="EI105" i="29"/>
  <c r="EI109" i="31" s="1"/>
  <c r="JC129" i="29"/>
  <c r="JC133" i="31" s="1"/>
  <c r="JC132" i="31"/>
  <c r="DH152" i="31"/>
  <c r="DH163" i="29"/>
  <c r="DH154" i="29"/>
  <c r="DH164" i="29" s="1"/>
  <c r="DH168" i="31" s="1"/>
  <c r="DH151" i="29"/>
  <c r="DB152" i="31"/>
  <c r="DB169" i="29"/>
  <c r="DB163" i="29"/>
  <c r="DB154" i="29"/>
  <c r="DB164" i="29" s="1"/>
  <c r="DB168" i="31" s="1"/>
  <c r="DB151" i="29"/>
  <c r="AB152" i="31"/>
  <c r="AB169" i="29"/>
  <c r="AB110" i="29" s="1"/>
  <c r="AB163" i="29"/>
  <c r="AB154" i="29"/>
  <c r="AB164" i="29" s="1"/>
  <c r="AB168" i="31" s="1"/>
  <c r="AB151" i="29"/>
  <c r="DM152" i="31"/>
  <c r="DM163" i="29"/>
  <c r="DM151" i="29"/>
  <c r="DM154" i="29"/>
  <c r="DM164" i="29" s="1"/>
  <c r="DM168" i="31" s="1"/>
  <c r="T107" i="31"/>
  <c r="T104" i="29"/>
  <c r="T108" i="31" s="1"/>
  <c r="T105" i="29"/>
  <c r="T109" i="31" s="1"/>
  <c r="R120" i="31"/>
  <c r="R128" i="29"/>
  <c r="R117" i="29"/>
  <c r="R121" i="31" s="1"/>
  <c r="CM152" i="31"/>
  <c r="CM163" i="29"/>
  <c r="CM151" i="29"/>
  <c r="CM154" i="29"/>
  <c r="CM164" i="29" s="1"/>
  <c r="CM168" i="31" s="1"/>
  <c r="CG107" i="31"/>
  <c r="CG105" i="29"/>
  <c r="CG109" i="31" s="1"/>
  <c r="CG104" i="29"/>
  <c r="CG108" i="31" s="1"/>
  <c r="EC120" i="31"/>
  <c r="EC128" i="29"/>
  <c r="EC117" i="29"/>
  <c r="EC121" i="31" s="1"/>
  <c r="GS167" i="31"/>
  <c r="GS165" i="29"/>
  <c r="GS169" i="31" s="1"/>
  <c r="DC152" i="31"/>
  <c r="DC151" i="29"/>
  <c r="DC154" i="29"/>
  <c r="DC164" i="29" s="1"/>
  <c r="DC168" i="31" s="1"/>
  <c r="DC169" i="29"/>
  <c r="DC110" i="29" s="1"/>
  <c r="DC163" i="29"/>
  <c r="K117" i="31"/>
  <c r="K148" i="29"/>
  <c r="K116" i="29"/>
  <c r="FO129" i="29"/>
  <c r="FO133" i="31" s="1"/>
  <c r="FO132" i="31"/>
  <c r="AE107" i="31"/>
  <c r="AE104" i="29"/>
  <c r="AE108" i="31" s="1"/>
  <c r="AE105" i="29"/>
  <c r="AE109" i="31" s="1"/>
  <c r="CQ107" i="31"/>
  <c r="CQ104" i="29"/>
  <c r="CQ108" i="31" s="1"/>
  <c r="CQ105" i="29"/>
  <c r="CQ109" i="31" s="1"/>
  <c r="CY152" i="31"/>
  <c r="CY163" i="29"/>
  <c r="CY154" i="29"/>
  <c r="CY164" i="29" s="1"/>
  <c r="CY168" i="31" s="1"/>
  <c r="CY151" i="29"/>
  <c r="IR167" i="31"/>
  <c r="IR165" i="29"/>
  <c r="IR169" i="31" s="1"/>
  <c r="EV165" i="29"/>
  <c r="EV169" i="31" s="1"/>
  <c r="EV167" i="31"/>
  <c r="BG107" i="31"/>
  <c r="BG105" i="29"/>
  <c r="BG109" i="31" s="1"/>
  <c r="BG104" i="29"/>
  <c r="BG108" i="31" s="1"/>
  <c r="Y152" i="31"/>
  <c r="Y163" i="29"/>
  <c r="Y151" i="29"/>
  <c r="Y154" i="29"/>
  <c r="Y164" i="29" s="1"/>
  <c r="Y168" i="31" s="1"/>
  <c r="HY129" i="29"/>
  <c r="HY133" i="31" s="1"/>
  <c r="HY132" i="31"/>
  <c r="JE155" i="29"/>
  <c r="WC257" i="1" s="1"/>
  <c r="AK107" i="31"/>
  <c r="AK105" i="29"/>
  <c r="AK109" i="31" s="1"/>
  <c r="AK104" i="29"/>
  <c r="AK108" i="31" s="1"/>
  <c r="FC129" i="29"/>
  <c r="FC133" i="31" s="1"/>
  <c r="FC132" i="31"/>
  <c r="IH155" i="29"/>
  <c r="WC77" i="1" s="1"/>
  <c r="AR107" i="31"/>
  <c r="AR105" i="29"/>
  <c r="AR109" i="31" s="1"/>
  <c r="AR104" i="29"/>
  <c r="AR108" i="31" s="1"/>
  <c r="GU165" i="29"/>
  <c r="GU169" i="31" s="1"/>
  <c r="GU167" i="31"/>
  <c r="CD120" i="31"/>
  <c r="CD128" i="29"/>
  <c r="CD117" i="29"/>
  <c r="CD121" i="31" s="1"/>
  <c r="X152" i="31"/>
  <c r="X163" i="29"/>
  <c r="X151" i="29"/>
  <c r="X154" i="29"/>
  <c r="X164" i="29" s="1"/>
  <c r="X168" i="31" s="1"/>
  <c r="X169" i="29"/>
  <c r="FT155" i="29"/>
  <c r="WC125" i="1" s="1"/>
  <c r="HZ152" i="29"/>
  <c r="HZ156" i="31" s="1"/>
  <c r="HZ155" i="31"/>
  <c r="EI120" i="31"/>
  <c r="EI128" i="29"/>
  <c r="EI117" i="29"/>
  <c r="EI121" i="31" s="1"/>
  <c r="JC155" i="29"/>
  <c r="WC222" i="1" s="1"/>
  <c r="IM129" i="29"/>
  <c r="IM133" i="31" s="1"/>
  <c r="IM132" i="31"/>
  <c r="AF107" i="31"/>
  <c r="AF104" i="29"/>
  <c r="AF108" i="31" s="1"/>
  <c r="AF105" i="29"/>
  <c r="AF109" i="31" s="1"/>
  <c r="AI117" i="31"/>
  <c r="AI148" i="29"/>
  <c r="AI116" i="29"/>
  <c r="FX152" i="29"/>
  <c r="FX156" i="31" s="1"/>
  <c r="FX155" i="31"/>
  <c r="HL152" i="29"/>
  <c r="HL156" i="31" s="1"/>
  <c r="HL155" i="31"/>
  <c r="EN152" i="31"/>
  <c r="EN163" i="29"/>
  <c r="EN151" i="29"/>
  <c r="EN154" i="29"/>
  <c r="EN164" i="29" s="1"/>
  <c r="EN168" i="31" s="1"/>
  <c r="CL120" i="31"/>
  <c r="CL117" i="29"/>
  <c r="CL121" i="31" s="1"/>
  <c r="CL128" i="29"/>
  <c r="FN165" i="29"/>
  <c r="FN169" i="31" s="1"/>
  <c r="FN167" i="31"/>
  <c r="HB165" i="29"/>
  <c r="HB169" i="31" s="1"/>
  <c r="HB167" i="31"/>
  <c r="GK129" i="29"/>
  <c r="GK133" i="31" s="1"/>
  <c r="GK132" i="31"/>
  <c r="BT120" i="31"/>
  <c r="BT117" i="29"/>
  <c r="BT121" i="31" s="1"/>
  <c r="BT128" i="29"/>
  <c r="GZ129" i="29"/>
  <c r="GZ133" i="31" s="1"/>
  <c r="GZ132" i="31"/>
  <c r="FM129" i="29"/>
  <c r="FM133" i="31" s="1"/>
  <c r="FM132" i="31"/>
  <c r="U107" i="31"/>
  <c r="U104" i="29"/>
  <c r="U108" i="31" s="1"/>
  <c r="U105" i="29"/>
  <c r="U109" i="31" s="1"/>
  <c r="HW152" i="29"/>
  <c r="HW156" i="31" s="1"/>
  <c r="HW155" i="31"/>
  <c r="IY155" i="29"/>
  <c r="WC94" i="1" s="1"/>
  <c r="BX152" i="31"/>
  <c r="BX154" i="29"/>
  <c r="BX164" i="29" s="1"/>
  <c r="BX168" i="31" s="1"/>
  <c r="BX151" i="29"/>
  <c r="BX169" i="29"/>
  <c r="BX163" i="29"/>
  <c r="BO152" i="31"/>
  <c r="BO163" i="29"/>
  <c r="BO151" i="29"/>
  <c r="BO154" i="29"/>
  <c r="BO164" i="29" s="1"/>
  <c r="BO168" i="31" s="1"/>
  <c r="BO169" i="29"/>
  <c r="IB155" i="29"/>
  <c r="WC67" i="1" s="1"/>
  <c r="CK152" i="31"/>
  <c r="CK163" i="29"/>
  <c r="CK154" i="29"/>
  <c r="CK164" i="29" s="1"/>
  <c r="CK168" i="31" s="1"/>
  <c r="CK151" i="29"/>
  <c r="FW167" i="31"/>
  <c r="FW165" i="29"/>
  <c r="FW169" i="31" s="1"/>
  <c r="JB167" i="31"/>
  <c r="JB165" i="29"/>
  <c r="JB169" i="31" s="1"/>
  <c r="IQ152" i="29"/>
  <c r="IQ156" i="31" s="1"/>
  <c r="IQ155" i="31"/>
  <c r="FH165" i="29"/>
  <c r="FH169" i="31" s="1"/>
  <c r="FH167" i="31"/>
  <c r="FD129" i="29"/>
  <c r="FD133" i="31" s="1"/>
  <c r="FD132" i="31"/>
  <c r="IA167" i="31"/>
  <c r="IA165" i="29"/>
  <c r="IA169" i="31" s="1"/>
  <c r="JM113" i="29"/>
  <c r="IS152" i="29"/>
  <c r="IS156" i="31" s="1"/>
  <c r="IS155" i="31"/>
  <c r="ED107" i="31"/>
  <c r="ED104" i="29"/>
  <c r="ED108" i="31" s="1"/>
  <c r="ED105" i="29"/>
  <c r="ED109" i="31" s="1"/>
  <c r="FF152" i="29"/>
  <c r="FF156" i="31" s="1"/>
  <c r="FF155" i="31"/>
  <c r="JA155" i="29"/>
  <c r="WC223" i="1" s="1"/>
  <c r="GQ165" i="29"/>
  <c r="GQ169" i="31" s="1"/>
  <c r="GQ167" i="31"/>
  <c r="IG129" i="29"/>
  <c r="IG133" i="31" s="1"/>
  <c r="IG132" i="31"/>
  <c r="FB155" i="29"/>
  <c r="WC229" i="1" s="1"/>
  <c r="DZ117" i="31"/>
  <c r="DZ148" i="29"/>
  <c r="DZ116" i="29"/>
  <c r="GP165" i="29"/>
  <c r="GP169" i="31" s="1"/>
  <c r="GP167" i="31"/>
  <c r="H120" i="31"/>
  <c r="H117" i="29"/>
  <c r="H121" i="31" s="1"/>
  <c r="H128" i="29"/>
  <c r="DN152" i="31"/>
  <c r="DN163" i="29"/>
  <c r="DN151" i="29"/>
  <c r="DN154" i="29"/>
  <c r="DN164" i="29" s="1"/>
  <c r="DN168" i="31" s="1"/>
  <c r="HT165" i="29"/>
  <c r="HT169" i="31" s="1"/>
  <c r="HT167" i="31"/>
  <c r="HM155" i="29"/>
  <c r="WC16" i="1" s="1"/>
  <c r="BJ152" i="31"/>
  <c r="BJ163" i="29"/>
  <c r="BJ151" i="29"/>
  <c r="BJ154" i="29"/>
  <c r="BJ164" i="29" s="1"/>
  <c r="BJ168" i="31" s="1"/>
  <c r="FJ165" i="29"/>
  <c r="FJ169" i="31" s="1"/>
  <c r="FJ167" i="31"/>
  <c r="EH120" i="31"/>
  <c r="EH117" i="29"/>
  <c r="EH121" i="31" s="1"/>
  <c r="EH128" i="29"/>
  <c r="DS117" i="31"/>
  <c r="DS148" i="29"/>
  <c r="DS116" i="29"/>
  <c r="IX129" i="29"/>
  <c r="IX133" i="31" s="1"/>
  <c r="IX132" i="31"/>
  <c r="JE129" i="29"/>
  <c r="JE133" i="31" s="1"/>
  <c r="JE132" i="31"/>
  <c r="FC152" i="29"/>
  <c r="FC156" i="31" s="1"/>
  <c r="FC155" i="31"/>
  <c r="DG117" i="31"/>
  <c r="DG148" i="29"/>
  <c r="DG116" i="29"/>
  <c r="HQ167" i="31"/>
  <c r="HQ165" i="29"/>
  <c r="HQ169" i="31" s="1"/>
  <c r="BA152" i="31"/>
  <c r="BA163" i="29"/>
  <c r="BA151" i="29"/>
  <c r="BA154" i="29"/>
  <c r="BA164" i="29" s="1"/>
  <c r="BA168" i="31" s="1"/>
  <c r="DI107" i="31"/>
  <c r="DI104" i="29"/>
  <c r="DI108" i="31" s="1"/>
  <c r="DI105" i="29"/>
  <c r="DI109" i="31" s="1"/>
  <c r="DK107" i="31"/>
  <c r="DK104" i="29"/>
  <c r="DK108" i="31" s="1"/>
  <c r="DK105" i="29"/>
  <c r="DK109" i="31" s="1"/>
  <c r="IT129" i="29"/>
  <c r="IT133" i="31" s="1"/>
  <c r="IT132" i="31"/>
  <c r="ET163" i="31"/>
  <c r="ET167" i="29"/>
  <c r="ET160" i="29"/>
  <c r="ET164" i="31" s="1"/>
  <c r="ET161" i="29"/>
  <c r="ET165" i="31" s="1"/>
  <c r="EW152" i="29"/>
  <c r="EW156" i="31" s="1"/>
  <c r="EW155" i="31"/>
  <c r="DH120" i="31"/>
  <c r="DH128" i="29"/>
  <c r="DH117" i="29"/>
  <c r="DH121" i="31" s="1"/>
  <c r="JO117" i="29"/>
  <c r="HL121" i="31"/>
  <c r="JO121" i="31" s="1"/>
  <c r="EN107" i="31"/>
  <c r="EN105" i="29"/>
  <c r="EN109" i="31" s="1"/>
  <c r="EN104" i="29"/>
  <c r="EN108" i="31" s="1"/>
  <c r="DD120" i="31"/>
  <c r="DD117" i="29"/>
  <c r="DD121" i="31" s="1"/>
  <c r="DD128" i="29"/>
  <c r="BD107" i="31"/>
  <c r="BD105" i="29"/>
  <c r="BD109" i="31" s="1"/>
  <c r="BD104" i="29"/>
  <c r="BD108" i="31" s="1"/>
  <c r="O152" i="31"/>
  <c r="O163" i="29"/>
  <c r="O154" i="29"/>
  <c r="O164" i="29" s="1"/>
  <c r="O168" i="31" s="1"/>
  <c r="O151" i="29"/>
  <c r="CU107" i="31"/>
  <c r="CU105" i="29"/>
  <c r="CU109" i="31" s="1"/>
  <c r="CU104" i="29"/>
  <c r="CU108" i="31" s="1"/>
  <c r="FQ129" i="29"/>
  <c r="FQ133" i="31" s="1"/>
  <c r="FQ132" i="31"/>
  <c r="N120" i="31"/>
  <c r="N117" i="29"/>
  <c r="N121" i="31" s="1"/>
  <c r="N128" i="29"/>
  <c r="BH152" i="31"/>
  <c r="BH163" i="29"/>
  <c r="BH151" i="29"/>
  <c r="BH154" i="29"/>
  <c r="BH164" i="29" s="1"/>
  <c r="BH168" i="31" s="1"/>
  <c r="JG129" i="29"/>
  <c r="JG133" i="31" s="1"/>
  <c r="JG132" i="31"/>
  <c r="IO129" i="29"/>
  <c r="IO133" i="31" s="1"/>
  <c r="IO132" i="31"/>
  <c r="DB120" i="31"/>
  <c r="DB117" i="29"/>
  <c r="DB121" i="31" s="1"/>
  <c r="DB128" i="29"/>
  <c r="GD152" i="29"/>
  <c r="GD156" i="31" s="1"/>
  <c r="GD155" i="31"/>
  <c r="AL120" i="31"/>
  <c r="AL128" i="29"/>
  <c r="AL117" i="29"/>
  <c r="AL121" i="31" s="1"/>
  <c r="DX107" i="31"/>
  <c r="DX104" i="29"/>
  <c r="DX108" i="31" s="1"/>
  <c r="DX105" i="29"/>
  <c r="DX109" i="31" s="1"/>
  <c r="BK107" i="31"/>
  <c r="BK104" i="29"/>
  <c r="BK108" i="31" s="1"/>
  <c r="BK105" i="29"/>
  <c r="BK109" i="31" s="1"/>
  <c r="BE107" i="31"/>
  <c r="BE105" i="29"/>
  <c r="BE109" i="31" s="1"/>
  <c r="BE104" i="29"/>
  <c r="BE108" i="31" s="1"/>
  <c r="CN107" i="31"/>
  <c r="CN104" i="29"/>
  <c r="CN108" i="31" s="1"/>
  <c r="CN105" i="29"/>
  <c r="CN109" i="31" s="1"/>
  <c r="CM120" i="31"/>
  <c r="CM117" i="29"/>
  <c r="CM121" i="31" s="1"/>
  <c r="CM128" i="29"/>
  <c r="DR117" i="31"/>
  <c r="DR116" i="29"/>
  <c r="DR148" i="29"/>
  <c r="DE120" i="31"/>
  <c r="DE128" i="29"/>
  <c r="DE117" i="29"/>
  <c r="DE121" i="31" s="1"/>
  <c r="DJ120" i="31"/>
  <c r="DJ117" i="29"/>
  <c r="DJ121" i="31" s="1"/>
  <c r="DJ128" i="29"/>
  <c r="GS152" i="29"/>
  <c r="GS156" i="31" s="1"/>
  <c r="GS155" i="31"/>
  <c r="IC155" i="29"/>
  <c r="WC70" i="1" s="1"/>
  <c r="IA129" i="29"/>
  <c r="IA133" i="31" s="1"/>
  <c r="IA132" i="31"/>
  <c r="AO107" i="31"/>
  <c r="AO104" i="29"/>
  <c r="AO108" i="31" s="1"/>
  <c r="AO105" i="29"/>
  <c r="AO109" i="31" s="1"/>
  <c r="FE152" i="29"/>
  <c r="FE156" i="31" s="1"/>
  <c r="FE155" i="31"/>
  <c r="HP167" i="31"/>
  <c r="HP165" i="29"/>
  <c r="HP169" i="31" s="1"/>
  <c r="IR155" i="29"/>
  <c r="WC86" i="1" s="1"/>
  <c r="EV152" i="29"/>
  <c r="EV156" i="31" s="1"/>
  <c r="EV155" i="31"/>
  <c r="F107" i="31"/>
  <c r="F104" i="29"/>
  <c r="F105" i="29"/>
  <c r="IS129" i="29"/>
  <c r="IS133" i="31" s="1"/>
  <c r="IS132" i="31"/>
  <c r="FF129" i="29"/>
  <c r="FF133" i="31" s="1"/>
  <c r="FF132" i="31"/>
  <c r="GQ129" i="29"/>
  <c r="GQ133" i="31" s="1"/>
  <c r="GQ132" i="31"/>
  <c r="GI167" i="31"/>
  <c r="GI165" i="29"/>
  <c r="GI169" i="31" s="1"/>
  <c r="GN129" i="29"/>
  <c r="GN133" i="31" s="1"/>
  <c r="GN132" i="31"/>
  <c r="AP117" i="31"/>
  <c r="AP148" i="29"/>
  <c r="AP116" i="29"/>
  <c r="JH167" i="31"/>
  <c r="JH165" i="29"/>
  <c r="JH169" i="31" s="1"/>
  <c r="AT152" i="31"/>
  <c r="AT173" i="31" s="1"/>
  <c r="AT154" i="29"/>
  <c r="AT164" i="29" s="1"/>
  <c r="AT168" i="31" s="1"/>
  <c r="AT169" i="29"/>
  <c r="AT110" i="29" s="1"/>
  <c r="AT163" i="29"/>
  <c r="AT151" i="29"/>
  <c r="BW117" i="31"/>
  <c r="BW116" i="29"/>
  <c r="BW148" i="29"/>
  <c r="GY152" i="29"/>
  <c r="GY156" i="31" s="1"/>
  <c r="GY155" i="31"/>
  <c r="EQ106" i="31"/>
  <c r="EQ106" i="29"/>
  <c r="EQ110" i="31" s="1"/>
  <c r="EQ103" i="29"/>
  <c r="IL165" i="29"/>
  <c r="IL169" i="31" s="1"/>
  <c r="IL167" i="31"/>
  <c r="BU152" i="31"/>
  <c r="BU173" i="31" s="1"/>
  <c r="BU163" i="29"/>
  <c r="BU151" i="29"/>
  <c r="BU154" i="29"/>
  <c r="BU164" i="29" s="1"/>
  <c r="BU168" i="31" s="1"/>
  <c r="BU169" i="29"/>
  <c r="BU110" i="29" s="1"/>
  <c r="FJ129" i="29"/>
  <c r="FJ133" i="31" s="1"/>
  <c r="FJ132" i="31"/>
  <c r="GG155" i="29"/>
  <c r="WC145" i="1" s="1"/>
  <c r="G107" i="31"/>
  <c r="G104" i="29"/>
  <c r="G108" i="31" s="1"/>
  <c r="G105" i="29"/>
  <c r="G109" i="31" s="1"/>
  <c r="FU152" i="29"/>
  <c r="FU156" i="31" s="1"/>
  <c r="FU155" i="31"/>
  <c r="ER107" i="31"/>
  <c r="ER105" i="29"/>
  <c r="ER109" i="31" s="1"/>
  <c r="ER104" i="29"/>
  <c r="ER108" i="31" s="1"/>
  <c r="AD152" i="31"/>
  <c r="AD151" i="29"/>
  <c r="AD154" i="29"/>
  <c r="AD164" i="29" s="1"/>
  <c r="AD168" i="31" s="1"/>
  <c r="AD163" i="29"/>
  <c r="IX167" i="31"/>
  <c r="IX165" i="29"/>
  <c r="IX169" i="31" s="1"/>
  <c r="DT117" i="31"/>
  <c r="DT148" i="29"/>
  <c r="DT116" i="29"/>
  <c r="FS152" i="29"/>
  <c r="FS156" i="31" s="1"/>
  <c r="FS155" i="31"/>
  <c r="AA120" i="31"/>
  <c r="AA117" i="29"/>
  <c r="AA121" i="31" s="1"/>
  <c r="AA128" i="29"/>
  <c r="EO120" i="31"/>
  <c r="EO128" i="29"/>
  <c r="EO117" i="29"/>
  <c r="EO121" i="31" s="1"/>
  <c r="JF129" i="29"/>
  <c r="JF133" i="31" s="1"/>
  <c r="JF132" i="31"/>
  <c r="IT152" i="29"/>
  <c r="IT156" i="31" s="1"/>
  <c r="IT155" i="31"/>
  <c r="Z107" i="31"/>
  <c r="Z105" i="29"/>
  <c r="Z109" i="31" s="1"/>
  <c r="Z104" i="29"/>
  <c r="Z108" i="31" s="1"/>
  <c r="JN105" i="29"/>
  <c r="EV109" i="31"/>
  <c r="JN109" i="31" s="1"/>
  <c r="IF155" i="29"/>
  <c r="WC73" i="1" s="1"/>
  <c r="BI152" i="31"/>
  <c r="BI163" i="29"/>
  <c r="BI151" i="29"/>
  <c r="BI154" i="29"/>
  <c r="BI164" i="29" s="1"/>
  <c r="BI168" i="31" s="1"/>
  <c r="CZ152" i="31"/>
  <c r="CZ151" i="29"/>
  <c r="CZ154" i="29"/>
  <c r="CZ164" i="29" s="1"/>
  <c r="CZ168" i="31" s="1"/>
  <c r="CZ163" i="29"/>
  <c r="IV167" i="31"/>
  <c r="IV165" i="29"/>
  <c r="IV169" i="31" s="1"/>
  <c r="EW129" i="29"/>
  <c r="EW133" i="31" s="1"/>
  <c r="EW132" i="31"/>
  <c r="BM106" i="31"/>
  <c r="BM103" i="29"/>
  <c r="BM106" i="29"/>
  <c r="BM110" i="31" s="1"/>
  <c r="HH167" i="31"/>
  <c r="HH165" i="29"/>
  <c r="HH169" i="31" s="1"/>
  <c r="EB152" i="31"/>
  <c r="EB154" i="29"/>
  <c r="EB164" i="29" s="1"/>
  <c r="EB168" i="31" s="1"/>
  <c r="EB163" i="29"/>
  <c r="EB151" i="29"/>
  <c r="HS152" i="29"/>
  <c r="HS156" i="31" s="1"/>
  <c r="HS155" i="31"/>
  <c r="GA155" i="29"/>
  <c r="WC142" i="1" s="1"/>
  <c r="CU152" i="31"/>
  <c r="CU154" i="29"/>
  <c r="CU164" i="29" s="1"/>
  <c r="CU168" i="31" s="1"/>
  <c r="CU163" i="29"/>
  <c r="CU151" i="29"/>
  <c r="BZ120" i="31"/>
  <c r="BZ117" i="29"/>
  <c r="BZ121" i="31" s="1"/>
  <c r="BZ128" i="29"/>
  <c r="N107" i="31"/>
  <c r="N105" i="29"/>
  <c r="N109" i="31" s="1"/>
  <c r="N104" i="29"/>
  <c r="N108" i="31" s="1"/>
  <c r="CI120" i="31"/>
  <c r="CI117" i="29"/>
  <c r="CI121" i="31" s="1"/>
  <c r="CI128" i="29"/>
  <c r="AQ152" i="31"/>
  <c r="AQ173" i="31" s="1"/>
  <c r="AQ163" i="29"/>
  <c r="AQ151" i="29"/>
  <c r="AQ154" i="29"/>
  <c r="AQ164" i="29" s="1"/>
  <c r="AQ168" i="31" s="1"/>
  <c r="AQ169" i="29"/>
  <c r="AQ110" i="29" s="1"/>
  <c r="AM107" i="31"/>
  <c r="AM104" i="29"/>
  <c r="AM108" i="31" s="1"/>
  <c r="AM105" i="29"/>
  <c r="AM109" i="31" s="1"/>
  <c r="CP107" i="31"/>
  <c r="CP105" i="29"/>
  <c r="CP109" i="31" s="1"/>
  <c r="CP104" i="29"/>
  <c r="CP108" i="31" s="1"/>
  <c r="IO165" i="29"/>
  <c r="IO169" i="31" s="1"/>
  <c r="IO167" i="31"/>
  <c r="HI167" i="31"/>
  <c r="HI165" i="29"/>
  <c r="HI169" i="31" s="1"/>
  <c r="EF152" i="31"/>
  <c r="EF151" i="29"/>
  <c r="EF154" i="29"/>
  <c r="EF164" i="29" s="1"/>
  <c r="EF168" i="31" s="1"/>
  <c r="EF163" i="29"/>
  <c r="AV120" i="31"/>
  <c r="AV128" i="29"/>
  <c r="AV117" i="29"/>
  <c r="AV121" i="31" s="1"/>
  <c r="EP107" i="31"/>
  <c r="EP104" i="29"/>
  <c r="EP108" i="31" s="1"/>
  <c r="EP105" i="29"/>
  <c r="EP109" i="31" s="1"/>
  <c r="EZ129" i="29"/>
  <c r="EZ133" i="31" s="1"/>
  <c r="EZ132" i="31"/>
  <c r="BK120" i="31"/>
  <c r="BK128" i="29"/>
  <c r="BK117" i="29"/>
  <c r="BK121" i="31" s="1"/>
  <c r="CB106" i="31"/>
  <c r="CB106" i="29"/>
  <c r="CB110" i="31" s="1"/>
  <c r="CB103" i="29"/>
  <c r="EM152" i="31"/>
  <c r="EM154" i="29"/>
  <c r="EM164" i="29" s="1"/>
  <c r="EM168" i="31" s="1"/>
  <c r="EM163" i="29"/>
  <c r="EM151" i="29"/>
  <c r="GT152" i="29"/>
  <c r="GT156" i="31" s="1"/>
  <c r="GT155" i="31"/>
  <c r="DF152" i="31"/>
  <c r="DF163" i="29"/>
  <c r="DF154" i="29"/>
  <c r="DF164" i="29" s="1"/>
  <c r="DF168" i="31" s="1"/>
  <c r="DF151" i="29"/>
  <c r="GS129" i="29"/>
  <c r="GS133" i="31" s="1"/>
  <c r="GS132" i="31"/>
  <c r="IW152" i="29"/>
  <c r="IW156" i="31" s="1"/>
  <c r="IW155" i="31"/>
  <c r="EG117" i="31"/>
  <c r="EG148" i="29"/>
  <c r="EG116" i="29"/>
  <c r="GX155" i="29"/>
  <c r="WC135" i="1" s="1"/>
  <c r="DW106" i="31"/>
  <c r="DW103" i="29"/>
  <c r="DW106" i="29"/>
  <c r="DW110" i="31" s="1"/>
  <c r="EY155" i="29"/>
  <c r="WC31" i="1" s="1"/>
  <c r="HK167" i="31"/>
  <c r="HK165" i="29"/>
  <c r="HK169" i="31" s="1"/>
  <c r="DC107" i="31"/>
  <c r="DC105" i="29"/>
  <c r="DC109" i="31" s="1"/>
  <c r="DC104" i="29"/>
  <c r="DC108" i="31" s="1"/>
  <c r="BR107" i="31"/>
  <c r="BR105" i="29"/>
  <c r="BR109" i="31" s="1"/>
  <c r="BR104" i="29"/>
  <c r="BR108" i="31" s="1"/>
  <c r="AO152" i="31"/>
  <c r="AO151" i="29"/>
  <c r="AO169" i="29"/>
  <c r="AO163" i="29"/>
  <c r="AO154" i="29"/>
  <c r="AO164" i="29" s="1"/>
  <c r="AO168" i="31" s="1"/>
  <c r="EX167" i="31"/>
  <c r="EX165" i="29"/>
  <c r="EX169" i="31" s="1"/>
  <c r="FV152" i="29"/>
  <c r="FV156" i="31" s="1"/>
  <c r="FV155" i="31"/>
  <c r="JM100" i="31"/>
  <c r="GO167" i="31"/>
  <c r="GO165" i="29"/>
  <c r="GO169" i="31" s="1"/>
  <c r="IG152" i="29"/>
  <c r="IG156" i="31" s="1"/>
  <c r="IG155" i="31"/>
  <c r="AZ120" i="31"/>
  <c r="AZ128" i="29"/>
  <c r="AZ117" i="29"/>
  <c r="AZ121" i="31" s="1"/>
  <c r="JH129" i="29"/>
  <c r="JH133" i="31" s="1"/>
  <c r="JH132" i="31"/>
  <c r="GF152" i="29"/>
  <c r="GF156" i="31" s="1"/>
  <c r="GF155" i="31"/>
  <c r="V120" i="31"/>
  <c r="V128" i="29"/>
  <c r="V117" i="29"/>
  <c r="V121" i="31" s="1"/>
  <c r="FA152" i="29"/>
  <c r="FA156" i="31" s="1"/>
  <c r="FA155" i="31"/>
  <c r="G152" i="31"/>
  <c r="G151" i="29"/>
  <c r="G154" i="29"/>
  <c r="G164" i="29" s="1"/>
  <c r="G168" i="31" s="1"/>
  <c r="G163" i="29"/>
  <c r="FU129" i="29"/>
  <c r="FU133" i="31" s="1"/>
  <c r="FU132" i="31"/>
  <c r="FI167" i="31"/>
  <c r="FI165" i="29"/>
  <c r="FI169" i="31" s="1"/>
  <c r="AD107" i="31"/>
  <c r="AD104" i="29"/>
  <c r="AD108" i="31" s="1"/>
  <c r="AD105" i="29"/>
  <c r="AD109" i="31" s="1"/>
  <c r="IN152" i="29"/>
  <c r="IN156" i="31" s="1"/>
  <c r="IN155" i="31"/>
  <c r="EE120" i="31"/>
  <c r="EE128" i="29"/>
  <c r="EE117" i="29"/>
  <c r="EE121" i="31" s="1"/>
  <c r="IE155" i="29"/>
  <c r="WC71" i="1" s="1"/>
  <c r="HZ129" i="29"/>
  <c r="HZ133" i="31" s="1"/>
  <c r="HZ132" i="31"/>
  <c r="JF152" i="29"/>
  <c r="JF156" i="31" s="1"/>
  <c r="JF155" i="31"/>
  <c r="Z152" i="31"/>
  <c r="Z151" i="29"/>
  <c r="Z154" i="29"/>
  <c r="Z164" i="29" s="1"/>
  <c r="Z168" i="31" s="1"/>
  <c r="Z163" i="29"/>
  <c r="AF120" i="31"/>
  <c r="AF117" i="29"/>
  <c r="AF121" i="31" s="1"/>
  <c r="AF128" i="29"/>
  <c r="HH129" i="29"/>
  <c r="HH133" i="31" s="1"/>
  <c r="HH132" i="31"/>
  <c r="GH152" i="29"/>
  <c r="GH156" i="31" s="1"/>
  <c r="GH155" i="31"/>
  <c r="ID152" i="29"/>
  <c r="ID156" i="31" s="1"/>
  <c r="ID155" i="31"/>
  <c r="CO120" i="31"/>
  <c r="CO128" i="29"/>
  <c r="CO117" i="29"/>
  <c r="CO121" i="31" s="1"/>
  <c r="HS129" i="29"/>
  <c r="HS133" i="31" s="1"/>
  <c r="HS132" i="31"/>
  <c r="CV117" i="31"/>
  <c r="CV148" i="29"/>
  <c r="CV116" i="29"/>
  <c r="GC129" i="29"/>
  <c r="GC133" i="31" s="1"/>
  <c r="GC132" i="31"/>
  <c r="GK152" i="29"/>
  <c r="GK156" i="31" s="1"/>
  <c r="GK155" i="31"/>
  <c r="GV152" i="29"/>
  <c r="GV156" i="31" s="1"/>
  <c r="GV155" i="31"/>
  <c r="GE129" i="29"/>
  <c r="GE133" i="31" s="1"/>
  <c r="GE132" i="31"/>
  <c r="FM165" i="29"/>
  <c r="FM169" i="31" s="1"/>
  <c r="FM167" i="31"/>
  <c r="CP120" i="31"/>
  <c r="CP117" i="29"/>
  <c r="CP121" i="31" s="1"/>
  <c r="CP128" i="29"/>
  <c r="CW107" i="31"/>
  <c r="CW105" i="29"/>
  <c r="CW109" i="31" s="1"/>
  <c r="CW104" i="29"/>
  <c r="CW108" i="31" s="1"/>
  <c r="EZ165" i="29"/>
  <c r="EZ169" i="31" s="1"/>
  <c r="EZ167" i="31"/>
  <c r="Q120" i="31"/>
  <c r="Q128" i="29"/>
  <c r="Q117" i="29"/>
  <c r="Q121" i="31" s="1"/>
  <c r="HD152" i="29"/>
  <c r="HD156" i="31" s="1"/>
  <c r="HD155" i="31"/>
  <c r="J116" i="29"/>
  <c r="J117" i="31"/>
  <c r="FK155" i="29"/>
  <c r="WC249" i="1" s="1"/>
  <c r="CG152" i="31"/>
  <c r="CG163" i="29"/>
  <c r="CG154" i="29"/>
  <c r="CG164" i="29" s="1"/>
  <c r="CG168" i="31" s="1"/>
  <c r="CG151" i="29"/>
  <c r="FZ167" i="31"/>
  <c r="FZ165" i="29"/>
  <c r="FZ169" i="31" s="1"/>
  <c r="HG129" i="29"/>
  <c r="HG133" i="31" s="1"/>
  <c r="HG132" i="31"/>
  <c r="EV132" i="31"/>
  <c r="EV129" i="29"/>
  <c r="EV133" i="31" s="1"/>
  <c r="JN128" i="29"/>
  <c r="HX152" i="29"/>
  <c r="HX156" i="31" s="1"/>
  <c r="HX155" i="31"/>
  <c r="GQ152" i="29"/>
  <c r="GQ156" i="31" s="1"/>
  <c r="GQ155" i="31"/>
  <c r="GO129" i="29"/>
  <c r="GO133" i="31" s="1"/>
  <c r="GO132" i="31"/>
  <c r="HV129" i="29"/>
  <c r="HV133" i="31" s="1"/>
  <c r="HV132" i="31"/>
  <c r="HM165" i="29"/>
  <c r="HM169" i="31" s="1"/>
  <c r="HM167" i="31"/>
  <c r="FJ152" i="29"/>
  <c r="FJ156" i="31" s="1"/>
  <c r="FJ155" i="31"/>
  <c r="ER152" i="31"/>
  <c r="ER154" i="29"/>
  <c r="ER164" i="29" s="1"/>
  <c r="ER168" i="31" s="1"/>
  <c r="ER163" i="29"/>
  <c r="ER151" i="29"/>
  <c r="DG106" i="31"/>
  <c r="DG103" i="29"/>
  <c r="DG106" i="29"/>
  <c r="DG110" i="31" s="1"/>
  <c r="HQ186" i="29"/>
  <c r="BS120" i="31"/>
  <c r="BS128" i="29"/>
  <c r="BS117" i="29"/>
  <c r="BS121" i="31" s="1"/>
  <c r="IF129" i="29"/>
  <c r="IF133" i="31" s="1"/>
  <c r="IF132" i="31"/>
  <c r="L152" i="31"/>
  <c r="L163" i="29"/>
  <c r="L154" i="29"/>
  <c r="L164" i="29" s="1"/>
  <c r="L168" i="31" s="1"/>
  <c r="L151" i="29"/>
  <c r="CS107" i="31"/>
  <c r="CS105" i="29"/>
  <c r="CS109" i="31" s="1"/>
  <c r="CS104" i="29"/>
  <c r="CS108" i="31" s="1"/>
  <c r="BZ107" i="31"/>
  <c r="BZ104" i="29"/>
  <c r="BZ108" i="31" s="1"/>
  <c r="BZ105" i="29"/>
  <c r="BZ109" i="31" s="1"/>
  <c r="BX107" i="31"/>
  <c r="BX104" i="29"/>
  <c r="BX108" i="31" s="1"/>
  <c r="BX105" i="29"/>
  <c r="BX109" i="31" s="1"/>
  <c r="FG165" i="29"/>
  <c r="FG169" i="31" s="1"/>
  <c r="FG167" i="31"/>
  <c r="CX107" i="31"/>
  <c r="CX105" i="29"/>
  <c r="CX109" i="31" s="1"/>
  <c r="CX104" i="29"/>
  <c r="CX108" i="31" s="1"/>
  <c r="BB120" i="31"/>
  <c r="BB128" i="29"/>
  <c r="BB117" i="29"/>
  <c r="BB121" i="31" s="1"/>
  <c r="GM152" i="29"/>
  <c r="GM156" i="31" s="1"/>
  <c r="GM155" i="31"/>
  <c r="CC152" i="31"/>
  <c r="CC151" i="29"/>
  <c r="CC163" i="29"/>
  <c r="CC154" i="29"/>
  <c r="CC164" i="29" s="1"/>
  <c r="CC168" i="31" s="1"/>
  <c r="EE107" i="31"/>
  <c r="EE105" i="29"/>
  <c r="EE109" i="31" s="1"/>
  <c r="EE104" i="29"/>
  <c r="EE108" i="31" s="1"/>
  <c r="JC152" i="29"/>
  <c r="JC156" i="31" s="1"/>
  <c r="JC155" i="31"/>
  <c r="FX165" i="29"/>
  <c r="FX169" i="31" s="1"/>
  <c r="FX167" i="31"/>
  <c r="EN120" i="31"/>
  <c r="EN128" i="29"/>
  <c r="EN117" i="29"/>
  <c r="EN121" i="31" s="1"/>
  <c r="FQ165" i="29"/>
  <c r="FQ169" i="31" s="1"/>
  <c r="FQ167" i="31"/>
  <c r="DA120" i="31"/>
  <c r="DA117" i="29"/>
  <c r="DA121" i="31" s="1"/>
  <c r="DA128" i="29"/>
  <c r="DB107" i="31"/>
  <c r="DB105" i="29"/>
  <c r="DB109" i="31" s="1"/>
  <c r="DB104" i="29"/>
  <c r="DB108" i="31" s="1"/>
  <c r="FO167" i="31"/>
  <c r="FO165" i="29"/>
  <c r="FO169" i="31" s="1"/>
  <c r="HT129" i="29"/>
  <c r="HT133" i="31" s="1"/>
  <c r="HT132" i="31"/>
  <c r="GI129" i="29"/>
  <c r="GI133" i="31" s="1"/>
  <c r="GI132" i="31"/>
  <c r="IJ152" i="29"/>
  <c r="IJ156" i="31" s="1"/>
  <c r="IJ155" i="31"/>
  <c r="GP152" i="29"/>
  <c r="GP156" i="31" s="1"/>
  <c r="GP155" i="31"/>
  <c r="GX129" i="29"/>
  <c r="GX133" i="31" s="1"/>
  <c r="GX132" i="31"/>
  <c r="DN120" i="31"/>
  <c r="DN128" i="29"/>
  <c r="DN117" i="29"/>
  <c r="DN121" i="31" s="1"/>
  <c r="HM152" i="29"/>
  <c r="HM156" i="31" s="1"/>
  <c r="HM155" i="31"/>
  <c r="GJ129" i="29"/>
  <c r="GJ133" i="31" s="1"/>
  <c r="GJ132" i="31"/>
  <c r="HU165" i="29"/>
  <c r="HU169" i="31" s="1"/>
  <c r="HU167" i="31"/>
  <c r="FJ183" i="29"/>
  <c r="P107" i="31"/>
  <c r="P104" i="29"/>
  <c r="P108" i="31" s="1"/>
  <c r="P105" i="29"/>
  <c r="P109" i="31" s="1"/>
  <c r="DV152" i="31"/>
  <c r="DV151" i="29"/>
  <c r="DV163" i="29"/>
  <c r="DV154" i="29"/>
  <c r="DV164" i="29" s="1"/>
  <c r="DV168" i="31" s="1"/>
  <c r="GM129" i="29"/>
  <c r="GM133" i="31" s="1"/>
  <c r="GM132" i="31"/>
  <c r="FC158" i="29"/>
  <c r="CH107" i="31"/>
  <c r="CH105" i="29"/>
  <c r="CH109" i="31" s="1"/>
  <c r="CH104" i="29"/>
  <c r="CH108" i="31" s="1"/>
  <c r="HC152" i="29"/>
  <c r="HC156" i="31" s="1"/>
  <c r="HC155" i="31"/>
  <c r="EJ120" i="31"/>
  <c r="EJ128" i="29"/>
  <c r="EJ117" i="29"/>
  <c r="EJ121" i="31" s="1"/>
  <c r="I107" i="31"/>
  <c r="I105" i="29"/>
  <c r="I109" i="31" s="1"/>
  <c r="I104" i="29"/>
  <c r="I108" i="31" s="1"/>
  <c r="BA120" i="31"/>
  <c r="BA117" i="29"/>
  <c r="BA121" i="31" s="1"/>
  <c r="BA128" i="29"/>
  <c r="CD107" i="31"/>
  <c r="CD104" i="29"/>
  <c r="CD108" i="31" s="1"/>
  <c r="CD105" i="29"/>
  <c r="CD109" i="31" s="1"/>
  <c r="GW167" i="31"/>
  <c r="GW165" i="29"/>
  <c r="GW169" i="31" s="1"/>
  <c r="EO107" i="31"/>
  <c r="EO104" i="29"/>
  <c r="EO108" i="31" s="1"/>
  <c r="EO105" i="29"/>
  <c r="EO109" i="31" s="1"/>
  <c r="FT129" i="29"/>
  <c r="FT133" i="31" s="1"/>
  <c r="FT132" i="31"/>
  <c r="FL129" i="29"/>
  <c r="FL133" i="31" s="1"/>
  <c r="FL132" i="31"/>
  <c r="FP167" i="31"/>
  <c r="FP165" i="29"/>
  <c r="FP169" i="31" s="1"/>
  <c r="CL107" i="31"/>
  <c r="CL104" i="29"/>
  <c r="CL108" i="31" s="1"/>
  <c r="CL105" i="29"/>
  <c r="CL109" i="31" s="1"/>
  <c r="AU152" i="31"/>
  <c r="AU154" i="29"/>
  <c r="AU164" i="29" s="1"/>
  <c r="AU168" i="31" s="1"/>
  <c r="AU151" i="29"/>
  <c r="AU163" i="29"/>
  <c r="HB129" i="29"/>
  <c r="HB133" i="31" s="1"/>
  <c r="HB132" i="31"/>
  <c r="CT107" i="31"/>
  <c r="CT105" i="29"/>
  <c r="CT109" i="31" s="1"/>
  <c r="CT104" i="29"/>
  <c r="CT108" i="31" s="1"/>
  <c r="N152" i="31"/>
  <c r="N151" i="29"/>
  <c r="N163" i="29"/>
  <c r="N154" i="29"/>
  <c r="N164" i="29" s="1"/>
  <c r="N168" i="31" s="1"/>
  <c r="BH120" i="31"/>
  <c r="BH128" i="29"/>
  <c r="BH117" i="29"/>
  <c r="BH121" i="31" s="1"/>
  <c r="HE167" i="31"/>
  <c r="HE165" i="29"/>
  <c r="HE169" i="31" s="1"/>
  <c r="CW120" i="31"/>
  <c r="CW128" i="29"/>
  <c r="CW117" i="29"/>
  <c r="CW121" i="31" s="1"/>
  <c r="EF107" i="31"/>
  <c r="EF105" i="29"/>
  <c r="EF109" i="31" s="1"/>
  <c r="EF104" i="29"/>
  <c r="EF108" i="31" s="1"/>
  <c r="BY120" i="31"/>
  <c r="BY128" i="29"/>
  <c r="BY117" i="29"/>
  <c r="BY121" i="31" s="1"/>
  <c r="AV107" i="31"/>
  <c r="AV105" i="29"/>
  <c r="AV109" i="31" s="1"/>
  <c r="AV104" i="29"/>
  <c r="AV108" i="31" s="1"/>
  <c r="GD167" i="31"/>
  <c r="GD165" i="29"/>
  <c r="GD169" i="31" s="1"/>
  <c r="FG155" i="29"/>
  <c r="WC232" i="1" s="1"/>
  <c r="FW129" i="29"/>
  <c r="FW133" i="31" s="1"/>
  <c r="FW132" i="31"/>
  <c r="CR107" i="31"/>
  <c r="CR105" i="29"/>
  <c r="CR109" i="31" s="1"/>
  <c r="CR104" i="29"/>
  <c r="CR108" i="31" s="1"/>
  <c r="DR106" i="31"/>
  <c r="DR103" i="29"/>
  <c r="DR106" i="29"/>
  <c r="DR110" i="31" s="1"/>
  <c r="DE152" i="31"/>
  <c r="DE151" i="29"/>
  <c r="DE154" i="29"/>
  <c r="DE164" i="29" s="1"/>
  <c r="DE168" i="31" s="1"/>
  <c r="DE163" i="29"/>
  <c r="GS155" i="29"/>
  <c r="WC134" i="1" s="1"/>
  <c r="IC167" i="31"/>
  <c r="IC165" i="29"/>
  <c r="IC169" i="31" s="1"/>
  <c r="K106" i="31"/>
  <c r="K106" i="29"/>
  <c r="K110" i="31" s="1"/>
  <c r="K103" i="29"/>
  <c r="FH129" i="29"/>
  <c r="FH133" i="31" s="1"/>
  <c r="FH132" i="31"/>
  <c r="BR152" i="31"/>
  <c r="BR154" i="29"/>
  <c r="BR164" i="29" s="1"/>
  <c r="BR168" i="31" s="1"/>
  <c r="BR151" i="29"/>
  <c r="BR163" i="29"/>
  <c r="BP152" i="31"/>
  <c r="BP163" i="29"/>
  <c r="BP154" i="29"/>
  <c r="BP164" i="29" s="1"/>
  <c r="BP168" i="31" s="1"/>
  <c r="BP151" i="29"/>
  <c r="H107" i="31"/>
  <c r="H104" i="29"/>
  <c r="H108" i="31" s="1"/>
  <c r="H105" i="29"/>
  <c r="H109" i="31" s="1"/>
  <c r="FE155" i="29"/>
  <c r="WC200" i="1" s="1"/>
  <c r="DN107" i="31"/>
  <c r="DN104" i="29"/>
  <c r="DN108" i="31" s="1"/>
  <c r="DN105" i="29"/>
  <c r="DN109" i="31" s="1"/>
  <c r="HP155" i="29"/>
  <c r="WC54" i="1" s="1"/>
  <c r="IR152" i="29"/>
  <c r="IR156" i="31" s="1"/>
  <c r="IR155" i="31"/>
  <c r="GN152" i="29"/>
  <c r="GN156" i="31" s="1"/>
  <c r="GN155" i="31"/>
  <c r="JM102" i="29"/>
  <c r="ED120" i="31"/>
  <c r="ED128" i="29"/>
  <c r="ED117" i="29"/>
  <c r="ED121" i="31" s="1"/>
  <c r="GI152" i="29"/>
  <c r="GI156" i="31" s="1"/>
  <c r="GI155" i="31"/>
  <c r="JH155" i="29"/>
  <c r="WC265" i="1" s="1"/>
  <c r="BN107" i="31"/>
  <c r="BN105" i="29"/>
  <c r="BN109" i="31" s="1"/>
  <c r="BN104" i="29"/>
  <c r="BN108" i="31" s="1"/>
  <c r="AT120" i="31"/>
  <c r="AT117" i="29"/>
  <c r="AT121" i="31" s="1"/>
  <c r="AT128" i="29"/>
  <c r="GY167" i="31"/>
  <c r="GY165" i="29"/>
  <c r="GY169" i="31" s="1"/>
  <c r="AG120" i="31"/>
  <c r="AG117" i="29"/>
  <c r="AG121" i="31" s="1"/>
  <c r="AG128" i="29"/>
  <c r="GF129" i="29"/>
  <c r="GF133" i="31" s="1"/>
  <c r="GF132" i="31"/>
  <c r="IL152" i="29"/>
  <c r="IL156" i="31" s="1"/>
  <c r="IL155" i="31"/>
  <c r="BU120" i="31"/>
  <c r="BU128" i="29"/>
  <c r="BU117" i="29"/>
  <c r="BU121" i="31" s="1"/>
  <c r="BG152" i="31"/>
  <c r="BG163" i="29"/>
  <c r="BG154" i="29"/>
  <c r="BG164" i="29" s="1"/>
  <c r="BG168" i="31" s="1"/>
  <c r="BG151" i="29"/>
  <c r="GG152" i="29"/>
  <c r="GG156" i="31" s="1"/>
  <c r="GG155" i="31"/>
  <c r="P152" i="31"/>
  <c r="P163" i="29"/>
  <c r="P154" i="29"/>
  <c r="P164" i="29" s="1"/>
  <c r="P168" i="31" s="1"/>
  <c r="P151" i="29"/>
  <c r="IN129" i="29"/>
  <c r="IN133" i="31" s="1"/>
  <c r="IN132" i="31"/>
  <c r="DT106" i="31"/>
  <c r="DT103" i="29"/>
  <c r="DT106" i="29"/>
  <c r="DT110" i="31" s="1"/>
  <c r="CC107" i="31"/>
  <c r="CC104" i="29"/>
  <c r="CC108" i="31" s="1"/>
  <c r="CC105" i="29"/>
  <c r="CC109" i="31" s="1"/>
  <c r="CH120" i="31"/>
  <c r="CH128" i="29"/>
  <c r="CH117" i="29"/>
  <c r="CH121" i="31" s="1"/>
  <c r="BV117" i="31"/>
  <c r="BV148" i="29"/>
  <c r="BV116" i="29"/>
  <c r="IE129" i="29"/>
  <c r="IE133" i="31" s="1"/>
  <c r="IE132" i="31"/>
  <c r="FS155" i="29"/>
  <c r="WC235" i="1" s="1"/>
  <c r="AR152" i="31"/>
  <c r="AR151" i="29"/>
  <c r="AR163" i="29"/>
  <c r="AR154" i="29"/>
  <c r="AR164" i="29" s="1"/>
  <c r="AR168" i="31" s="1"/>
  <c r="AR169" i="29"/>
  <c r="AR110" i="29" s="1"/>
  <c r="AA152" i="31"/>
  <c r="AA154" i="29"/>
  <c r="AA164" i="29" s="1"/>
  <c r="AA168" i="31" s="1"/>
  <c r="AA151" i="29"/>
  <c r="AA163" i="29"/>
  <c r="JN104" i="29"/>
  <c r="EV108" i="31"/>
  <c r="JN108" i="31" s="1"/>
  <c r="IF152" i="29"/>
  <c r="IF156" i="31" s="1"/>
  <c r="IF155" i="31"/>
  <c r="BI120" i="31"/>
  <c r="BI128" i="29"/>
  <c r="BI117" i="29"/>
  <c r="BI121" i="31" s="1"/>
  <c r="FL165" i="29"/>
  <c r="FL169" i="31" s="1"/>
  <c r="FL167" i="31"/>
  <c r="BM117" i="31"/>
  <c r="BM148" i="29"/>
  <c r="BM116" i="29"/>
  <c r="HH155" i="29"/>
  <c r="WC138" i="1" s="1"/>
  <c r="CO107" i="31"/>
  <c r="CO105" i="29"/>
  <c r="CO109" i="31" s="1"/>
  <c r="CO104" i="29"/>
  <c r="CO108" i="31" s="1"/>
  <c r="EB120" i="31"/>
  <c r="EB117" i="29"/>
  <c r="EB121" i="31" s="1"/>
  <c r="EB128" i="29"/>
  <c r="HS167" i="31"/>
  <c r="HS165" i="29"/>
  <c r="HS169" i="31" s="1"/>
  <c r="GA165" i="29"/>
  <c r="GA169" i="31" s="1"/>
  <c r="GA167" i="31"/>
  <c r="GB165" i="29"/>
  <c r="GB169" i="31" s="1"/>
  <c r="GB167" i="31"/>
  <c r="AY152" i="31"/>
  <c r="AY169" i="29"/>
  <c r="AY110" i="29" s="1"/>
  <c r="AY163" i="29"/>
  <c r="AY151" i="29"/>
  <c r="AY154" i="29"/>
  <c r="AY164" i="29" s="1"/>
  <c r="AY168" i="31" s="1"/>
  <c r="DL120" i="31"/>
  <c r="DL128" i="29"/>
  <c r="DL117" i="29"/>
  <c r="DL121" i="31" s="1"/>
  <c r="AQ120" i="31"/>
  <c r="AQ128" i="29"/>
  <c r="AQ117" i="29"/>
  <c r="AQ121" i="31" s="1"/>
  <c r="II152" i="29"/>
  <c r="II156" i="31" s="1"/>
  <c r="II155" i="31"/>
  <c r="DA107" i="31"/>
  <c r="DA105" i="29"/>
  <c r="DA109" i="31" s="1"/>
  <c r="DA104" i="29"/>
  <c r="DA108" i="31" s="1"/>
  <c r="FY165" i="29"/>
  <c r="FY169" i="31" s="1"/>
  <c r="FY167" i="31"/>
  <c r="HI152" i="29"/>
  <c r="HI156" i="31" s="1"/>
  <c r="HI155" i="31"/>
  <c r="DP107" i="31"/>
  <c r="DP105" i="29"/>
  <c r="DP109" i="31" s="1"/>
  <c r="DP104" i="29"/>
  <c r="DP108" i="31" s="1"/>
  <c r="AV152" i="31"/>
  <c r="AV151" i="29"/>
  <c r="AV163" i="29"/>
  <c r="AV154" i="29"/>
  <c r="AV164" i="29" s="1"/>
  <c r="AV168" i="31" s="1"/>
  <c r="AB107" i="31"/>
  <c r="AB105" i="29"/>
  <c r="AB109" i="31" s="1"/>
  <c r="AB104" i="29"/>
  <c r="AB108" i="31" s="1"/>
  <c r="M107" i="31"/>
  <c r="M104" i="29"/>
  <c r="M108" i="31" s="1"/>
  <c r="M105" i="29"/>
  <c r="M109" i="31" s="1"/>
  <c r="CN120" i="31"/>
  <c r="CN117" i="29"/>
  <c r="CN121" i="31" s="1"/>
  <c r="CN128" i="29"/>
  <c r="CM107" i="31"/>
  <c r="CM105" i="29"/>
  <c r="CM109" i="31" s="1"/>
  <c r="CM104" i="29"/>
  <c r="CM108" i="31" s="1"/>
  <c r="GL165" i="29"/>
  <c r="GL169" i="31" s="1"/>
  <c r="GL167" i="31"/>
  <c r="D98" i="31"/>
  <c r="D113" i="29"/>
  <c r="D102" i="29"/>
  <c r="D100" i="29"/>
  <c r="D104" i="31" s="1"/>
  <c r="D96" i="29"/>
  <c r="JI94" i="29"/>
  <c r="JI98" i="31" s="1"/>
  <c r="JL94" i="29"/>
  <c r="IW155" i="29"/>
  <c r="WC91" i="1" s="1"/>
  <c r="GP129" i="29"/>
  <c r="GP133" i="31" s="1"/>
  <c r="GP132" i="31"/>
  <c r="FV129" i="29"/>
  <c r="FV133" i="31" s="1"/>
  <c r="FV132" i="31"/>
  <c r="CQ152" i="31"/>
  <c r="CQ151" i="29"/>
  <c r="CQ163" i="29"/>
  <c r="CQ154" i="29"/>
  <c r="CQ164" i="29" s="1"/>
  <c r="CQ168" i="31" s="1"/>
  <c r="GX167" i="31"/>
  <c r="GX165" i="29"/>
  <c r="GX169" i="31" s="1"/>
  <c r="FE129" i="29"/>
  <c r="FE133" i="31" s="1"/>
  <c r="FE132" i="31"/>
  <c r="CY107" i="31"/>
  <c r="CY105" i="29"/>
  <c r="CY109" i="31" s="1"/>
  <c r="CY104" i="29"/>
  <c r="CY108" i="31" s="1"/>
  <c r="EY152" i="29"/>
  <c r="EY156" i="31" s="1"/>
  <c r="EY155" i="31"/>
  <c r="HG155" i="29"/>
  <c r="WC136" i="1" s="1"/>
  <c r="HK152" i="29"/>
  <c r="HK156" i="31" s="1"/>
  <c r="HK155" i="31"/>
  <c r="AE152" i="31"/>
  <c r="AE151" i="29"/>
  <c r="AE154" i="29"/>
  <c r="AE164" i="29" s="1"/>
  <c r="AE168" i="31" s="1"/>
  <c r="AE163" i="29"/>
  <c r="HK129" i="29"/>
  <c r="HK133" i="31" s="1"/>
  <c r="HK132" i="31"/>
  <c r="JM96" i="29"/>
  <c r="GO152" i="29"/>
  <c r="GO156" i="31" s="1"/>
  <c r="GO155" i="31"/>
  <c r="IG155" i="29"/>
  <c r="WC72" i="1" s="1"/>
  <c r="AZ152" i="31"/>
  <c r="AZ163" i="29"/>
  <c r="AZ154" i="29"/>
  <c r="AZ164" i="29" s="1"/>
  <c r="AZ168" i="31" s="1"/>
  <c r="AZ151" i="29"/>
  <c r="FA155" i="29"/>
  <c r="WC122" i="1" s="1"/>
  <c r="G120" i="31"/>
  <c r="G117" i="29"/>
  <c r="G121" i="31" s="1"/>
  <c r="G128" i="29"/>
  <c r="FI155" i="29"/>
  <c r="WC78" i="1" s="1"/>
  <c r="BL117" i="31"/>
  <c r="BL148" i="29"/>
  <c r="BL116" i="29"/>
  <c r="HY165" i="29"/>
  <c r="HY169" i="31" s="1"/>
  <c r="HY167" i="31"/>
  <c r="JD152" i="29"/>
  <c r="JD156" i="31" s="1"/>
  <c r="JD155" i="31"/>
  <c r="AJ106" i="31"/>
  <c r="AJ106" i="29"/>
  <c r="AJ110" i="31" s="1"/>
  <c r="AJ103" i="29"/>
  <c r="IN155" i="29"/>
  <c r="WC82" i="1" s="1"/>
  <c r="AS152" i="31"/>
  <c r="AS151" i="29"/>
  <c r="AS154" i="29"/>
  <c r="AS164" i="29" s="1"/>
  <c r="AS168" i="31" s="1"/>
  <c r="AS169" i="29"/>
  <c r="AS110" i="29" s="1"/>
  <c r="AS163" i="29"/>
  <c r="EJ107" i="31"/>
  <c r="EJ104" i="29"/>
  <c r="EJ108" i="31" s="1"/>
  <c r="EJ105" i="29"/>
  <c r="EJ109" i="31" s="1"/>
  <c r="IE165" i="29"/>
  <c r="IE169" i="31" s="1"/>
  <c r="IE167" i="31"/>
  <c r="HA165" i="29"/>
  <c r="HA169" i="31" s="1"/>
  <c r="HA167" i="31"/>
  <c r="CF120" i="31"/>
  <c r="CF128" i="29"/>
  <c r="CF117" i="29"/>
  <c r="CF121" i="31" s="1"/>
  <c r="Z120" i="31"/>
  <c r="Z117" i="29"/>
  <c r="Z121" i="31" s="1"/>
  <c r="Z128" i="29"/>
  <c r="IM152" i="29"/>
  <c r="IM156" i="31" s="1"/>
  <c r="IM155" i="31"/>
  <c r="AF152" i="31"/>
  <c r="AF163" i="29"/>
  <c r="AF151" i="29"/>
  <c r="AF154" i="29"/>
  <c r="AF164" i="29" s="1"/>
  <c r="AF168" i="31" s="1"/>
  <c r="ID167" i="31"/>
  <c r="ID165" i="29"/>
  <c r="ID169" i="31" s="1"/>
  <c r="W152" i="31"/>
  <c r="W154" i="29"/>
  <c r="W164" i="29" s="1"/>
  <c r="W168" i="31" s="1"/>
  <c r="W151" i="29"/>
  <c r="W163" i="29"/>
  <c r="CV106" i="31"/>
  <c r="CV106" i="29"/>
  <c r="CV110" i="31" s="1"/>
  <c r="CV103" i="29"/>
  <c r="AY107" i="31"/>
  <c r="AY105" i="29"/>
  <c r="AY109" i="31" s="1"/>
  <c r="AY104" i="29"/>
  <c r="AY108" i="31" s="1"/>
  <c r="HR155" i="29"/>
  <c r="WC56" i="1" s="1"/>
  <c r="FM155" i="29"/>
  <c r="WC124" i="1" s="1"/>
  <c r="FY129" i="29"/>
  <c r="FY133" i="31" s="1"/>
  <c r="FY132" i="31"/>
  <c r="GR155" i="29"/>
  <c r="WC133" i="1" s="1"/>
  <c r="IB129" i="29"/>
  <c r="IB133" i="31" s="1"/>
  <c r="IB132" i="31"/>
  <c r="EZ152" i="29"/>
  <c r="EZ156" i="31" s="1"/>
  <c r="EZ155" i="31"/>
  <c r="M120" i="31"/>
  <c r="M117" i="29"/>
  <c r="M121" i="31" s="1"/>
  <c r="M128" i="29"/>
  <c r="Q152" i="31"/>
  <c r="Q154" i="29"/>
  <c r="Q164" i="29" s="1"/>
  <c r="Q168" i="31" s="1"/>
  <c r="Q151" i="29"/>
  <c r="Q163" i="29"/>
  <c r="HD165" i="29"/>
  <c r="HD169" i="31" s="1"/>
  <c r="HD167" i="31"/>
  <c r="BE120" i="31"/>
  <c r="BE128" i="29"/>
  <c r="BE117" i="29"/>
  <c r="BE121" i="31" s="1"/>
  <c r="J106" i="31"/>
  <c r="J106" i="29"/>
  <c r="J110" i="31" s="1"/>
  <c r="J103" i="29"/>
  <c r="EK120" i="31"/>
  <c r="EK117" i="29"/>
  <c r="EK121" i="31" s="1"/>
  <c r="EK128" i="29"/>
  <c r="FK165" i="29"/>
  <c r="FK169" i="31" s="1"/>
  <c r="FK167" i="31"/>
  <c r="FZ155" i="29"/>
  <c r="WC143" i="1" s="1"/>
  <c r="EY129" i="29"/>
  <c r="EY133" i="31" s="1"/>
  <c r="EY132" i="31"/>
  <c r="JN117" i="29"/>
  <c r="EV121" i="31"/>
  <c r="JN121" i="31" s="1"/>
  <c r="HX165" i="29"/>
  <c r="HX169" i="31" s="1"/>
  <c r="HX167" i="31"/>
  <c r="O120" i="31"/>
  <c r="O128" i="29"/>
  <c r="O117" i="29"/>
  <c r="O121" i="31" s="1"/>
  <c r="FN129" i="29"/>
  <c r="FN133" i="31" s="1"/>
  <c r="FN132" i="31"/>
  <c r="BT107" i="31"/>
  <c r="BT104" i="29"/>
  <c r="BT108" i="31" s="1"/>
  <c r="BT105" i="29"/>
  <c r="BT109" i="31" s="1"/>
  <c r="AL152" i="31"/>
  <c r="AL154" i="29"/>
  <c r="AL164" i="29" s="1"/>
  <c r="AL168" i="31" s="1"/>
  <c r="AL163" i="29"/>
  <c r="AL151" i="29"/>
  <c r="EH107" i="31"/>
  <c r="EH105" i="29"/>
  <c r="EH109" i="31" s="1"/>
  <c r="EH104" i="29"/>
  <c r="EH108" i="31" s="1"/>
  <c r="JE165" i="29"/>
  <c r="JE169" i="31" s="1"/>
  <c r="JE167" i="31"/>
  <c r="IH152" i="29"/>
  <c r="IH156" i="31" s="1"/>
  <c r="IH155" i="31"/>
  <c r="CD152" i="31"/>
  <c r="CD151" i="29"/>
  <c r="CD154" i="29"/>
  <c r="CD164" i="29" s="1"/>
  <c r="CD168" i="31" s="1"/>
  <c r="CD169" i="29"/>
  <c r="CD110" i="29" s="1"/>
  <c r="CD163" i="29"/>
  <c r="EI152" i="31"/>
  <c r="EI163" i="29"/>
  <c r="EI151" i="29"/>
  <c r="EI154" i="29"/>
  <c r="EI164" i="29" s="1"/>
  <c r="EI168" i="31" s="1"/>
  <c r="AX152" i="31"/>
  <c r="AX163" i="29"/>
  <c r="AX154" i="29"/>
  <c r="AX164" i="29" s="1"/>
  <c r="AX168" i="31" s="1"/>
  <c r="AX151" i="29"/>
  <c r="AX169" i="29"/>
  <c r="O107" i="31"/>
  <c r="O104" i="29"/>
  <c r="O108" i="31" s="1"/>
  <c r="O105" i="29"/>
  <c r="O109" i="31" s="1"/>
  <c r="DL107" i="31"/>
  <c r="DL104" i="29"/>
  <c r="DL108" i="31" s="1"/>
  <c r="DL105" i="29"/>
  <c r="DL109" i="31" s="1"/>
  <c r="BH107" i="31"/>
  <c r="BH104" i="29"/>
  <c r="BH108" i="31" s="1"/>
  <c r="BH105" i="29"/>
  <c r="BH109" i="31" s="1"/>
  <c r="JG152" i="29"/>
  <c r="JG156" i="31" s="1"/>
  <c r="JG155" i="31"/>
  <c r="IP152" i="29"/>
  <c r="IP156" i="31" s="1"/>
  <c r="IP155" i="31"/>
  <c r="DP120" i="31"/>
  <c r="DP117" i="29"/>
  <c r="DP121" i="31" s="1"/>
  <c r="DP128" i="29"/>
  <c r="CE107" i="31"/>
  <c r="CE105" i="29"/>
  <c r="CE109" i="31" s="1"/>
  <c r="CE104" i="29"/>
  <c r="CE108" i="31" s="1"/>
  <c r="GR129" i="29"/>
  <c r="GR133" i="31" s="1"/>
  <c r="GR132" i="31"/>
  <c r="IB152" i="29"/>
  <c r="IB156" i="31" s="1"/>
  <c r="IB155" i="31"/>
  <c r="CK120" i="31"/>
  <c r="CK128" i="29"/>
  <c r="CK117" i="29"/>
  <c r="CK121" i="31" s="1"/>
  <c r="FW155" i="29"/>
  <c r="WC127" i="1" s="1"/>
  <c r="T152" i="31"/>
  <c r="T151" i="29"/>
  <c r="T154" i="29"/>
  <c r="T164" i="29" s="1"/>
  <c r="T168" i="31" s="1"/>
  <c r="T163" i="29"/>
  <c r="EM107" i="31"/>
  <c r="EM105" i="29"/>
  <c r="EM109" i="31" s="1"/>
  <c r="EM104" i="29"/>
  <c r="EM108" i="31" s="1"/>
  <c r="DJ107" i="31"/>
  <c r="DJ105" i="29"/>
  <c r="DJ109" i="31" s="1"/>
  <c r="DJ104" i="29"/>
  <c r="DJ108" i="31" s="1"/>
  <c r="IQ167" i="31"/>
  <c r="IQ165" i="29"/>
  <c r="IQ169" i="31" s="1"/>
  <c r="HV152" i="29"/>
  <c r="HV156" i="31" s="1"/>
  <c r="HV155" i="31"/>
  <c r="IC129" i="29"/>
  <c r="IC133" i="31" s="1"/>
  <c r="IC132" i="31"/>
  <c r="FZ129" i="29"/>
  <c r="FZ133" i="31" s="1"/>
  <c r="FZ132" i="31"/>
  <c r="CX120" i="31"/>
  <c r="CX117" i="29"/>
  <c r="CX121" i="31" s="1"/>
  <c r="CX128" i="29"/>
  <c r="IR129" i="29"/>
  <c r="IR133" i="31" s="1"/>
  <c r="IR132" i="31"/>
  <c r="F152" i="31"/>
  <c r="F151" i="29"/>
  <c r="F163" i="29"/>
  <c r="F154" i="29"/>
  <c r="F164" i="29" s="1"/>
  <c r="F168" i="31" s="1"/>
  <c r="HX129" i="29"/>
  <c r="HX133" i="31" s="1"/>
  <c r="HX132" i="31"/>
  <c r="JA167" i="31"/>
  <c r="JA165" i="29"/>
  <c r="JA169" i="31" s="1"/>
  <c r="GQ156" i="29"/>
  <c r="GQ187" i="29"/>
  <c r="FB152" i="29"/>
  <c r="FB156" i="31" s="1"/>
  <c r="FB155" i="31"/>
  <c r="DF107" i="31"/>
  <c r="DF105" i="29"/>
  <c r="DF109" i="31" s="1"/>
  <c r="DF104" i="29"/>
  <c r="DF108" i="31" s="1"/>
  <c r="DO162" i="31"/>
  <c r="DO173" i="31" s="1"/>
  <c r="DO114" i="31" s="1"/>
  <c r="DO159" i="29"/>
  <c r="DO169" i="29"/>
  <c r="DO110" i="29" s="1"/>
  <c r="GJ165" i="29"/>
  <c r="GJ169" i="31" s="1"/>
  <c r="GJ167" i="31"/>
  <c r="E98" i="31"/>
  <c r="E100" i="29"/>
  <c r="E104" i="31" s="1"/>
  <c r="E102" i="29"/>
  <c r="E113" i="29"/>
  <c r="E96" i="29"/>
  <c r="E100" i="31" s="1"/>
  <c r="BB152" i="31"/>
  <c r="BB154" i="29"/>
  <c r="BB164" i="29" s="1"/>
  <c r="BB168" i="31" s="1"/>
  <c r="BB163" i="29"/>
  <c r="BB151" i="29"/>
  <c r="FA129" i="29"/>
  <c r="FA133" i="31" s="1"/>
  <c r="FA132" i="31"/>
  <c r="JE152" i="29"/>
  <c r="JE156" i="31" s="1"/>
  <c r="JE155" i="31"/>
  <c r="GM167" i="31"/>
  <c r="GM165" i="29"/>
  <c r="GM169" i="31" s="1"/>
  <c r="CC120" i="31"/>
  <c r="CC128" i="29"/>
  <c r="CC117" i="29"/>
  <c r="CC121" i="31" s="1"/>
  <c r="IH167" i="31"/>
  <c r="IH165" i="29"/>
  <c r="IH169" i="31" s="1"/>
  <c r="GU152" i="29"/>
  <c r="GU156" i="31" s="1"/>
  <c r="GU155" i="31"/>
  <c r="GW129" i="29"/>
  <c r="GW133" i="31" s="1"/>
  <c r="GW132" i="31"/>
  <c r="DK120" i="31"/>
  <c r="DK128" i="29"/>
  <c r="DK117" i="29"/>
  <c r="DK121" i="31" s="1"/>
  <c r="FT167" i="31"/>
  <c r="FT165" i="29"/>
  <c r="FT169" i="31" s="1"/>
  <c r="HZ167" i="31"/>
  <c r="HZ165" i="29"/>
  <c r="HZ169" i="31" s="1"/>
  <c r="HL167" i="31"/>
  <c r="HL165" i="29"/>
  <c r="HL169" i="31" s="1"/>
  <c r="AN120" i="31"/>
  <c r="AN128" i="29"/>
  <c r="AN117" i="29"/>
  <c r="AN121" i="31" s="1"/>
  <c r="AX120" i="31"/>
  <c r="AX128" i="29"/>
  <c r="AX117" i="29"/>
  <c r="AX121" i="31" s="1"/>
  <c r="GH129" i="29"/>
  <c r="GH133" i="31" s="1"/>
  <c r="GH132" i="31"/>
  <c r="BC120" i="31"/>
  <c r="BC128" i="29"/>
  <c r="BC117" i="29"/>
  <c r="BC121" i="31" s="1"/>
  <c r="FN155" i="29"/>
  <c r="WC233" i="1" s="1"/>
  <c r="FQ152" i="29"/>
  <c r="FQ156" i="31" s="1"/>
  <c r="FQ155" i="31"/>
  <c r="GV129" i="29"/>
  <c r="GV133" i="31" s="1"/>
  <c r="GV132" i="31"/>
  <c r="HR129" i="29"/>
  <c r="HR133" i="31" s="1"/>
  <c r="HR132" i="31"/>
  <c r="S152" i="31"/>
  <c r="S154" i="29"/>
  <c r="S164" i="29" s="1"/>
  <c r="S168" i="31" s="1"/>
  <c r="S163" i="29"/>
  <c r="S151" i="29"/>
  <c r="DA152" i="31"/>
  <c r="DA163" i="29"/>
  <c r="DA154" i="29"/>
  <c r="DA164" i="29" s="1"/>
  <c r="DA168" i="31" s="1"/>
  <c r="DA151" i="29"/>
  <c r="HW155" i="29"/>
  <c r="WC61" i="1" s="1"/>
  <c r="IP167" i="31"/>
  <c r="IP165" i="29"/>
  <c r="IP169" i="31" s="1"/>
  <c r="IY152" i="29"/>
  <c r="IY156" i="31" s="1"/>
  <c r="IY155" i="31"/>
  <c r="DP152" i="31"/>
  <c r="DP154" i="29"/>
  <c r="DP164" i="29" s="1"/>
  <c r="DP168" i="31" s="1"/>
  <c r="DP163" i="29"/>
  <c r="DP151" i="29"/>
  <c r="ES120" i="31"/>
  <c r="ES128" i="29"/>
  <c r="ES117" i="29"/>
  <c r="ES121" i="31" s="1"/>
  <c r="FG129" i="29"/>
  <c r="FG133" i="31" s="1"/>
  <c r="FG132" i="31"/>
  <c r="AL107" i="31"/>
  <c r="AL104" i="29"/>
  <c r="AL108" i="31" s="1"/>
  <c r="AL105" i="29"/>
  <c r="AL109" i="31" s="1"/>
  <c r="DX120" i="31"/>
  <c r="DX128" i="29"/>
  <c r="DX117" i="29"/>
  <c r="DX121" i="31" s="1"/>
  <c r="DM107" i="31"/>
  <c r="DM104" i="29"/>
  <c r="DM108" i="31" s="1"/>
  <c r="DM105" i="29"/>
  <c r="DM109" i="31" s="1"/>
  <c r="FW152" i="29"/>
  <c r="FW156" i="31" s="1"/>
  <c r="FW155" i="31"/>
  <c r="HD129" i="29"/>
  <c r="HD133" i="31" s="1"/>
  <c r="HD132" i="31"/>
  <c r="BQ116" i="29"/>
  <c r="BQ117" i="31"/>
  <c r="T120" i="31"/>
  <c r="T117" i="29"/>
  <c r="T121" i="31" s="1"/>
  <c r="T128" i="29"/>
  <c r="EC107" i="31"/>
  <c r="EC105" i="29"/>
  <c r="EC109" i="31" s="1"/>
  <c r="EC104" i="29"/>
  <c r="EC108" i="31" s="1"/>
  <c r="HF167" i="31"/>
  <c r="HF165" i="29"/>
  <c r="HF169" i="31" s="1"/>
  <c r="IQ155" i="29"/>
  <c r="WC85" i="1" s="1"/>
  <c r="HV167" i="31"/>
  <c r="HV165" i="29"/>
  <c r="HV169" i="31" s="1"/>
  <c r="FO152" i="29"/>
  <c r="FO156" i="31" s="1"/>
  <c r="FO155" i="31"/>
  <c r="IA152" i="29"/>
  <c r="IA156" i="31" s="1"/>
  <c r="IA155" i="31"/>
  <c r="BF107" i="31"/>
  <c r="BF105" i="29"/>
  <c r="BF109" i="31" s="1"/>
  <c r="BF104" i="29"/>
  <c r="BF108" i="31" s="1"/>
  <c r="CX152" i="31"/>
  <c r="CX163" i="29"/>
  <c r="CX151" i="29"/>
  <c r="CX154" i="29"/>
  <c r="CX164" i="29" s="1"/>
  <c r="CX168" i="31" s="1"/>
  <c r="F120" i="31"/>
  <c r="F117" i="29"/>
  <c r="F128" i="29"/>
  <c r="IS167" i="31"/>
  <c r="IS165" i="29"/>
  <c r="IS169" i="31" s="1"/>
  <c r="FF167" i="31"/>
  <c r="FF165" i="29"/>
  <c r="FF169" i="31" s="1"/>
  <c r="JA152" i="29"/>
  <c r="JA156" i="31" s="1"/>
  <c r="JA155" i="31"/>
  <c r="FB165" i="29"/>
  <c r="FB169" i="31" s="1"/>
  <c r="FB167" i="31"/>
  <c r="GP155" i="29"/>
  <c r="WC148" i="1" s="1"/>
  <c r="HT152" i="29"/>
  <c r="HT156" i="31" s="1"/>
  <c r="HT155" i="31"/>
  <c r="HU152" i="29"/>
  <c r="HU156" i="31" s="1"/>
  <c r="HU155" i="31"/>
  <c r="IL129" i="29"/>
  <c r="IL133" i="31" s="1"/>
  <c r="IL132" i="31"/>
  <c r="ER120" i="31"/>
  <c r="ER117" i="29"/>
  <c r="ER121" i="31" s="1"/>
  <c r="ER128" i="29"/>
  <c r="DS106" i="31"/>
  <c r="DS106" i="29"/>
  <c r="DS110" i="31" s="1"/>
  <c r="DS103" i="29"/>
  <c r="DV120" i="31"/>
  <c r="DV128" i="29"/>
  <c r="DV117" i="29"/>
  <c r="DV121" i="31" s="1"/>
  <c r="HC165" i="29"/>
  <c r="HC169" i="31" s="1"/>
  <c r="HC167" i="31"/>
  <c r="IH129" i="29"/>
  <c r="IH133" i="31" s="1"/>
  <c r="IH132" i="31"/>
  <c r="HQ152" i="29"/>
  <c r="HQ156" i="31" s="1"/>
  <c r="HQ155" i="31"/>
  <c r="BS152" i="31"/>
  <c r="BS154" i="29"/>
  <c r="BS164" i="29" s="1"/>
  <c r="BS168" i="31" s="1"/>
  <c r="BS151" i="29"/>
  <c r="BS169" i="29"/>
  <c r="BS163" i="29"/>
  <c r="GW156" i="29"/>
  <c r="GW187" i="29"/>
  <c r="ET173" i="31"/>
  <c r="EW167" i="31"/>
  <c r="EW165" i="29"/>
  <c r="EW169" i="31" s="1"/>
  <c r="L120" i="31"/>
  <c r="L117" i="29"/>
  <c r="L121" i="31" s="1"/>
  <c r="L128" i="29"/>
  <c r="FX129" i="29"/>
  <c r="FX133" i="31" s="1"/>
  <c r="FX132" i="31"/>
  <c r="HL132" i="31"/>
  <c r="JO128" i="29"/>
  <c r="HL129" i="29"/>
  <c r="HL133" i="31" s="1"/>
  <c r="FP152" i="29"/>
  <c r="FP156" i="31" s="1"/>
  <c r="FP155" i="31"/>
  <c r="EB107" i="31"/>
  <c r="EB104" i="29"/>
  <c r="EB108" i="31" s="1"/>
  <c r="EB105" i="29"/>
  <c r="EB109" i="31" s="1"/>
  <c r="AU120" i="31"/>
  <c r="AU128" i="29"/>
  <c r="AU117" i="29"/>
  <c r="AU121" i="31" s="1"/>
  <c r="AQ107" i="31"/>
  <c r="AQ104" i="29"/>
  <c r="AQ108" i="31" s="1"/>
  <c r="AQ105" i="29"/>
  <c r="AQ109" i="31" s="1"/>
  <c r="II129" i="29"/>
  <c r="II133" i="31" s="1"/>
  <c r="II132" i="31"/>
  <c r="HE152" i="29"/>
  <c r="HE156" i="31" s="1"/>
  <c r="HE155" i="31"/>
  <c r="IP129" i="29"/>
  <c r="IP133" i="31" s="1"/>
  <c r="IP132" i="31"/>
  <c r="CW152" i="31"/>
  <c r="CW154" i="29"/>
  <c r="CW164" i="29" s="1"/>
  <c r="CW168" i="31" s="1"/>
  <c r="CW151" i="29"/>
  <c r="CW163" i="29"/>
  <c r="BY152" i="31"/>
  <c r="BY151" i="29"/>
  <c r="BY154" i="29"/>
  <c r="BY164" i="29" s="1"/>
  <c r="BY168" i="31" s="1"/>
  <c r="BY163" i="29"/>
  <c r="GD155" i="29"/>
  <c r="WC259" i="1" s="1"/>
  <c r="FG152" i="29"/>
  <c r="FG156" i="31" s="1"/>
  <c r="FG155" i="31"/>
  <c r="AB120" i="31"/>
  <c r="AB128" i="29"/>
  <c r="AB117" i="29"/>
  <c r="AB121" i="31" s="1"/>
  <c r="CK107" i="31"/>
  <c r="CK104" i="29"/>
  <c r="CK108" i="31" s="1"/>
  <c r="CK105" i="29"/>
  <c r="CK109" i="31" s="1"/>
  <c r="DM120" i="31"/>
  <c r="DM128" i="29"/>
  <c r="DM117" i="29"/>
  <c r="DM121" i="31" s="1"/>
  <c r="JB129" i="29"/>
  <c r="JB133" i="31" s="1"/>
  <c r="JB132" i="31"/>
  <c r="AW120" i="31"/>
  <c r="AW117" i="29"/>
  <c r="AW121" i="31" s="1"/>
  <c r="AW128" i="29"/>
  <c r="R152" i="31"/>
  <c r="R154" i="29"/>
  <c r="R164" i="29" s="1"/>
  <c r="R168" i="31" s="1"/>
  <c r="R151" i="29"/>
  <c r="R163" i="29"/>
  <c r="EK107" i="31"/>
  <c r="EK105" i="29"/>
  <c r="EK109" i="31" s="1"/>
  <c r="EK104" i="29"/>
  <c r="EK108" i="31" s="1"/>
  <c r="EC152" i="31"/>
  <c r="EC154" i="29"/>
  <c r="EC164" i="29" s="1"/>
  <c r="EC168" i="31" s="1"/>
  <c r="EC163" i="29"/>
  <c r="EC151" i="29"/>
  <c r="HF129" i="29"/>
  <c r="HF133" i="31" s="1"/>
  <c r="HF132" i="31"/>
  <c r="DC120" i="31"/>
  <c r="DC128" i="29"/>
  <c r="DC117" i="29"/>
  <c r="DC121" i="31" s="1"/>
  <c r="IQ129" i="29"/>
  <c r="IQ133" i="31" s="1"/>
  <c r="IQ132" i="31"/>
  <c r="IC152" i="29"/>
  <c r="IC156" i="31" s="1"/>
  <c r="IC155" i="31"/>
  <c r="BR120" i="31"/>
  <c r="BR117" i="29"/>
  <c r="BR121" i="31" s="1"/>
  <c r="BR128" i="29"/>
  <c r="DY107" i="31"/>
  <c r="DY104" i="29"/>
  <c r="DY108" i="31" s="1"/>
  <c r="DY105" i="29"/>
  <c r="DY109" i="31" s="1"/>
  <c r="BP120" i="31"/>
  <c r="BP117" i="29"/>
  <c r="BP121" i="31" s="1"/>
  <c r="BP128" i="29"/>
  <c r="FE167" i="31"/>
  <c r="FE165" i="29"/>
  <c r="FE169" i="31" s="1"/>
  <c r="CY120" i="31"/>
  <c r="CY128" i="29"/>
  <c r="CY117" i="29"/>
  <c r="CY121" i="31" s="1"/>
  <c r="HP152" i="29"/>
  <c r="HP156" i="31" s="1"/>
  <c r="HP155" i="31"/>
  <c r="EV156" i="29"/>
  <c r="EV187" i="29"/>
  <c r="EV158" i="29"/>
  <c r="GN167" i="31"/>
  <c r="GN165" i="29"/>
  <c r="GN169" i="31" s="1"/>
  <c r="EA152" i="31"/>
  <c r="EA169" i="29"/>
  <c r="EA163" i="29"/>
  <c r="EA154" i="29"/>
  <c r="EA164" i="29" s="1"/>
  <c r="EA168" i="31" s="1"/>
  <c r="EA151" i="29"/>
  <c r="ED152" i="31"/>
  <c r="ED151" i="29"/>
  <c r="ED154" i="29"/>
  <c r="ED164" i="29" s="1"/>
  <c r="ED168" i="31" s="1"/>
  <c r="ED163" i="29"/>
  <c r="GI155" i="29"/>
  <c r="WC146" i="1" s="1"/>
  <c r="AP106" i="31"/>
  <c r="AP106" i="29"/>
  <c r="AP110" i="31" s="1"/>
  <c r="AP103" i="29"/>
  <c r="HM129" i="29"/>
  <c r="HM133" i="31" s="1"/>
  <c r="HM132" i="31"/>
  <c r="BW106" i="31"/>
  <c r="BW103" i="29"/>
  <c r="BW106" i="29"/>
  <c r="BW110" i="31" s="1"/>
  <c r="GY155" i="29"/>
  <c r="WC80" i="1" s="1"/>
  <c r="EQ117" i="31"/>
  <c r="EQ148" i="29"/>
  <c r="EQ116" i="29"/>
  <c r="BJ107" i="31"/>
  <c r="BJ104" i="29"/>
  <c r="BJ108" i="31" s="1"/>
  <c r="BJ105" i="29"/>
  <c r="BJ109" i="31" s="1"/>
  <c r="AG152" i="31"/>
  <c r="AG163" i="29"/>
  <c r="AG154" i="29"/>
  <c r="AG164" i="29" s="1"/>
  <c r="AG168" i="31" s="1"/>
  <c r="AG151" i="29"/>
  <c r="BB107" i="31"/>
  <c r="BB105" i="29"/>
  <c r="BB109" i="31" s="1"/>
  <c r="BB104" i="29"/>
  <c r="BB108" i="31" s="1"/>
  <c r="BG120" i="31"/>
  <c r="BG117" i="29"/>
  <c r="BG121" i="31" s="1"/>
  <c r="BG128" i="29"/>
  <c r="P120" i="31"/>
  <c r="P117" i="29"/>
  <c r="P121" i="31" s="1"/>
  <c r="P128" i="29"/>
  <c r="FU167" i="31"/>
  <c r="FU165" i="29"/>
  <c r="FU169" i="31" s="1"/>
  <c r="DV107" i="31"/>
  <c r="DV105" i="29"/>
  <c r="DV109" i="31" s="1"/>
  <c r="DV104" i="29"/>
  <c r="DV108" i="31" s="1"/>
  <c r="FI129" i="29"/>
  <c r="FI133" i="31" s="1"/>
  <c r="FI132" i="31"/>
  <c r="IX152" i="29"/>
  <c r="IX156" i="31" s="1"/>
  <c r="IX155" i="31"/>
  <c r="AS107" i="31"/>
  <c r="AS104" i="29"/>
  <c r="AS108" i="31" s="1"/>
  <c r="AS105" i="29"/>
  <c r="AS109" i="31" s="1"/>
  <c r="BV106" i="31"/>
  <c r="BV103" i="29"/>
  <c r="BV106" i="29"/>
  <c r="BV110" i="31" s="1"/>
  <c r="HQ129" i="29"/>
  <c r="HQ133" i="31" s="1"/>
  <c r="HQ132" i="31"/>
  <c r="AR120" i="31"/>
  <c r="AR128" i="29"/>
  <c r="AR117" i="29"/>
  <c r="AR121" i="31" s="1"/>
  <c r="IT167" i="31"/>
  <c r="IT165" i="29"/>
  <c r="IT169" i="31" s="1"/>
  <c r="JN107" i="31"/>
  <c r="IF167" i="31"/>
  <c r="IF165" i="29"/>
  <c r="IF169" i="31" s="1"/>
  <c r="FL152" i="29"/>
  <c r="FL156" i="31" s="1"/>
  <c r="FL155" i="31"/>
  <c r="IV155" i="29"/>
  <c r="WC90" i="1" s="1"/>
  <c r="DH107" i="31"/>
  <c r="DH104" i="29"/>
  <c r="DH108" i="31" s="1"/>
  <c r="DH105" i="29"/>
  <c r="DH109" i="31" s="1"/>
  <c r="AX107" i="31"/>
  <c r="AX105" i="29"/>
  <c r="AX109" i="31" s="1"/>
  <c r="AX104" i="29"/>
  <c r="AX108" i="31" s="1"/>
  <c r="HH152" i="29"/>
  <c r="HH156" i="31" s="1"/>
  <c r="HH155" i="31"/>
  <c r="W107" i="31"/>
  <c r="W104" i="29"/>
  <c r="W108" i="31" s="1"/>
  <c r="W105" i="29"/>
  <c r="W109" i="31" s="1"/>
  <c r="GC152" i="29"/>
  <c r="GC156" i="31" s="1"/>
  <c r="GC155" i="31"/>
  <c r="GA152" i="29"/>
  <c r="GA156" i="31" s="1"/>
  <c r="GA155" i="31"/>
  <c r="BC107" i="31"/>
  <c r="BC104" i="29"/>
  <c r="BC108" i="31" s="1"/>
  <c r="BC105" i="29"/>
  <c r="BC109" i="31" s="1"/>
  <c r="GB155" i="29"/>
  <c r="WC141" i="1" s="1"/>
  <c r="AH107" i="31"/>
  <c r="AH104" i="29"/>
  <c r="AH108" i="31" s="1"/>
  <c r="AH105" i="29"/>
  <c r="AH109" i="31" s="1"/>
  <c r="AY120" i="31"/>
  <c r="AY128" i="29"/>
  <c r="AY117" i="29"/>
  <c r="AY121" i="31" s="1"/>
  <c r="DL152" i="31"/>
  <c r="DL173" i="31" s="1"/>
  <c r="DL169" i="29"/>
  <c r="DL110" i="29" s="1"/>
  <c r="DL163" i="29"/>
  <c r="DL151" i="29"/>
  <c r="DL154" i="29"/>
  <c r="DL164" i="29" s="1"/>
  <c r="DL168" i="31" s="1"/>
  <c r="II155" i="29"/>
  <c r="WC75" i="1" s="1"/>
  <c r="DQ107" i="31"/>
  <c r="DQ105" i="29"/>
  <c r="DQ109" i="31" s="1"/>
  <c r="DQ104" i="29"/>
  <c r="DQ108" i="31" s="1"/>
  <c r="FY152" i="29"/>
  <c r="FY156" i="31" s="1"/>
  <c r="FY155" i="31"/>
  <c r="ES107" i="31"/>
  <c r="ES105" i="29"/>
  <c r="ES109" i="31" s="1"/>
  <c r="ES104" i="29"/>
  <c r="ES108" i="31" s="1"/>
  <c r="BY107" i="31"/>
  <c r="BY104" i="29"/>
  <c r="BY108" i="31" s="1"/>
  <c r="BY105" i="29"/>
  <c r="BY109" i="31" s="1"/>
  <c r="BO107" i="31"/>
  <c r="BO104" i="29"/>
  <c r="BO108" i="31" s="1"/>
  <c r="BO105" i="29"/>
  <c r="BO109" i="31" s="1"/>
  <c r="GD129" i="29"/>
  <c r="GD133" i="31" s="1"/>
  <c r="GD132" i="31"/>
  <c r="CR120" i="31"/>
  <c r="CR128" i="29"/>
  <c r="CR117" i="29"/>
  <c r="CR121" i="31" s="1"/>
  <c r="IU129" i="29"/>
  <c r="IU133" i="31" s="1"/>
  <c r="IU132" i="31"/>
  <c r="CB117" i="31"/>
  <c r="CB148" i="29"/>
  <c r="CB116" i="29"/>
  <c r="CN152" i="31"/>
  <c r="CN154" i="29"/>
  <c r="CN164" i="29" s="1"/>
  <c r="CN168" i="31" s="1"/>
  <c r="CN151" i="29"/>
  <c r="CN169" i="29"/>
  <c r="CN163" i="29"/>
  <c r="GL152" i="29"/>
  <c r="GL156" i="31" s="1"/>
  <c r="GL155" i="31"/>
  <c r="JL97" i="31"/>
  <c r="JP97" i="31" s="1"/>
  <c r="IW165" i="29"/>
  <c r="IW169" i="31" s="1"/>
  <c r="IW167" i="31"/>
  <c r="DY120" i="31"/>
  <c r="DY128" i="29"/>
  <c r="DY117" i="29"/>
  <c r="DY121" i="31" s="1"/>
  <c r="CQ120" i="31"/>
  <c r="CQ128" i="29"/>
  <c r="CQ117" i="29"/>
  <c r="CQ121" i="31" s="1"/>
  <c r="GX152" i="29"/>
  <c r="GX156" i="31" s="1"/>
  <c r="GX155" i="31"/>
  <c r="HG167" i="31"/>
  <c r="HG165" i="29"/>
  <c r="HG169" i="31" s="1"/>
  <c r="HP129" i="29"/>
  <c r="HP133" i="31" s="1"/>
  <c r="HP132" i="31"/>
  <c r="HK155" i="29"/>
  <c r="WC204" i="1" s="1"/>
  <c r="IW129" i="29"/>
  <c r="IW133" i="31" s="1"/>
  <c r="IW132" i="31"/>
  <c r="AE120" i="31"/>
  <c r="AE117" i="29"/>
  <c r="AE121" i="31" s="1"/>
  <c r="AE128" i="29"/>
  <c r="FV167" i="31"/>
  <c r="FV165" i="29"/>
  <c r="FV169" i="31" s="1"/>
  <c r="IZ152" i="29"/>
  <c r="IZ156" i="31" s="1"/>
  <c r="IZ155" i="31"/>
  <c r="GO155" i="29"/>
  <c r="WC239" i="1" s="1"/>
  <c r="BN120" i="31"/>
  <c r="BN128" i="29"/>
  <c r="BN117" i="29"/>
  <c r="BN121" i="31" s="1"/>
  <c r="AT107" i="31"/>
  <c r="AT105" i="29"/>
  <c r="AT109" i="31" s="1"/>
  <c r="AT104" i="29"/>
  <c r="AT108" i="31" s="1"/>
  <c r="BL106" i="31"/>
  <c r="BL103" i="29"/>
  <c r="BL106" i="29"/>
  <c r="BL110" i="31" s="1"/>
  <c r="JD165" i="29"/>
  <c r="JD169" i="31" s="1"/>
  <c r="JD167" i="31"/>
  <c r="IN167" i="31"/>
  <c r="IN165" i="29"/>
  <c r="IN169" i="31" s="1"/>
  <c r="AK152" i="31"/>
  <c r="AK163" i="29"/>
  <c r="AK151" i="29"/>
  <c r="AK154" i="29"/>
  <c r="AK164" i="29" s="1"/>
  <c r="AK168" i="31" s="1"/>
  <c r="AS120" i="31"/>
  <c r="AS117" i="29"/>
  <c r="AS121" i="31" s="1"/>
  <c r="AS128" i="29"/>
  <c r="HA152" i="29"/>
  <c r="HA156" i="31" s="1"/>
  <c r="HA155" i="31"/>
  <c r="BA107" i="31"/>
  <c r="BA104" i="29"/>
  <c r="BA108" i="31" s="1"/>
  <c r="BA105" i="29"/>
  <c r="BA109" i="31" s="1"/>
  <c r="DI120" i="31"/>
  <c r="DI128" i="29"/>
  <c r="DI117" i="29"/>
  <c r="DI121" i="31" s="1"/>
  <c r="CF152" i="31"/>
  <c r="CF151" i="29"/>
  <c r="CF154" i="29"/>
  <c r="CF164" i="29" s="1"/>
  <c r="CF168" i="31" s="1"/>
  <c r="CF163" i="29"/>
  <c r="JF167" i="31"/>
  <c r="JF165" i="29"/>
  <c r="JF169" i="31" s="1"/>
  <c r="CZ107" i="31"/>
  <c r="CZ104" i="29"/>
  <c r="CZ108" i="31" s="1"/>
  <c r="CZ105" i="29"/>
  <c r="CZ109" i="31" s="1"/>
  <c r="IM165" i="29"/>
  <c r="IM169" i="31" s="1"/>
  <c r="IM167" i="31"/>
  <c r="IV129" i="29"/>
  <c r="IV133" i="31" s="1"/>
  <c r="IV132" i="31"/>
  <c r="DD107" i="31"/>
  <c r="DD104" i="29"/>
  <c r="DD108" i="31" s="1"/>
  <c r="DD105" i="29"/>
  <c r="DD109" i="31" s="1"/>
  <c r="ID155" i="29"/>
  <c r="WC69" i="1" s="1"/>
  <c r="BD152" i="31"/>
  <c r="BD154" i="29"/>
  <c r="BD164" i="29" s="1"/>
  <c r="BD168" i="31" s="1"/>
  <c r="BD151" i="29"/>
  <c r="BD163" i="29"/>
  <c r="W120" i="31"/>
  <c r="W128" i="29"/>
  <c r="W117" i="29"/>
  <c r="W121" i="31" s="1"/>
  <c r="CS120" i="31"/>
  <c r="CS117" i="29"/>
  <c r="CS121" i="31" s="1"/>
  <c r="CS128" i="29"/>
  <c r="AH120" i="31"/>
  <c r="AH128" i="29"/>
  <c r="AH117" i="29"/>
  <c r="AH121" i="31" s="1"/>
  <c r="GK167" i="31"/>
  <c r="GK165" i="29"/>
  <c r="GK169" i="31" s="1"/>
  <c r="GV165" i="29"/>
  <c r="GV169" i="31" s="1"/>
  <c r="GV167" i="31"/>
  <c r="HR165" i="29"/>
  <c r="HR169" i="31" s="1"/>
  <c r="HR167" i="31"/>
  <c r="DQ152" i="31"/>
  <c r="DQ163" i="29"/>
  <c r="DQ151" i="29"/>
  <c r="DQ154" i="29"/>
  <c r="DQ164" i="29" s="1"/>
  <c r="DQ168" i="31" s="1"/>
  <c r="S107" i="31"/>
  <c r="S104" i="29"/>
  <c r="S108" i="31" s="1"/>
  <c r="S105" i="29"/>
  <c r="S109" i="31" s="1"/>
  <c r="AM152" i="31"/>
  <c r="AM154" i="29"/>
  <c r="AM164" i="29" s="1"/>
  <c r="AM168" i="31" s="1"/>
  <c r="AM151" i="29"/>
  <c r="AM163" i="29"/>
  <c r="U120" i="31"/>
  <c r="U128" i="29"/>
  <c r="U117" i="29"/>
  <c r="U121" i="31" s="1"/>
  <c r="HW129" i="29"/>
  <c r="HW133" i="31" s="1"/>
  <c r="HW132" i="31"/>
  <c r="HI129" i="29"/>
  <c r="HI133" i="31" s="1"/>
  <c r="HI132" i="31"/>
  <c r="CE152" i="31"/>
  <c r="CE154" i="29"/>
  <c r="CE164" i="29" s="1"/>
  <c r="CE168" i="31" s="1"/>
  <c r="CE151" i="29"/>
  <c r="CE163" i="29"/>
  <c r="GR152" i="29"/>
  <c r="GR156" i="31" s="1"/>
  <c r="GR155" i="31"/>
  <c r="EP152" i="31"/>
  <c r="EP163" i="29"/>
  <c r="EP151" i="29"/>
  <c r="EP154" i="29"/>
  <c r="EP164" i="29" s="1"/>
  <c r="EP168" i="31" s="1"/>
  <c r="EZ155" i="29"/>
  <c r="WC121" i="1" s="1"/>
  <c r="M152" i="31"/>
  <c r="M163" i="29"/>
  <c r="M151" i="29"/>
  <c r="M154" i="29"/>
  <c r="M164" i="29" s="1"/>
  <c r="M168" i="31" s="1"/>
  <c r="IU152" i="29"/>
  <c r="IU156" i="31" s="1"/>
  <c r="IU155" i="31"/>
  <c r="CJ120" i="31"/>
  <c r="CJ128" i="29"/>
  <c r="CJ117" i="29"/>
  <c r="CJ121" i="31" s="1"/>
  <c r="EK152" i="31"/>
  <c r="EK163" i="29"/>
  <c r="EK151" i="29"/>
  <c r="EK154" i="29"/>
  <c r="EK164" i="29" s="1"/>
  <c r="EK168" i="31" s="1"/>
  <c r="GT129" i="29"/>
  <c r="GT133" i="31" s="1"/>
  <c r="GT132" i="31"/>
  <c r="GL129" i="29"/>
  <c r="GL133" i="31" s="1"/>
  <c r="GL132" i="31"/>
  <c r="BF152" i="31"/>
  <c r="BF163" i="29"/>
  <c r="BF154" i="29"/>
  <c r="BF164" i="29" s="1"/>
  <c r="BF168" i="31" s="1"/>
  <c r="BF151" i="29"/>
  <c r="JN120" i="31"/>
  <c r="EL120" i="31"/>
  <c r="EL128" i="29"/>
  <c r="EL117" i="29"/>
  <c r="EL121" i="31" s="1"/>
  <c r="HX155" i="29"/>
  <c r="WC62" i="1" s="1"/>
  <c r="JA129" i="29"/>
  <c r="JA133" i="31" s="1"/>
  <c r="JA132" i="31"/>
  <c r="C151" i="29"/>
  <c r="C155" i="31" s="1"/>
  <c r="C154" i="29"/>
  <c r="C163" i="29"/>
  <c r="C167" i="31" s="1"/>
  <c r="C117" i="29"/>
  <c r="C121" i="31" s="1"/>
  <c r="C128" i="29"/>
  <c r="C132" i="31" s="1"/>
  <c r="C105" i="29"/>
  <c r="C109" i="31" s="1"/>
  <c r="C104" i="29"/>
  <c r="C108" i="31" s="1"/>
  <c r="FC156" i="29" l="1"/>
  <c r="HQ156" i="29"/>
  <c r="IZ183" i="29"/>
  <c r="FC186" i="29"/>
  <c r="HQ183" i="29"/>
  <c r="FH156" i="29"/>
  <c r="GQ186" i="29"/>
  <c r="HD183" i="29"/>
  <c r="HY186" i="29"/>
  <c r="HU158" i="29"/>
  <c r="IO183" i="29"/>
  <c r="HC187" i="29"/>
  <c r="IO156" i="29"/>
  <c r="EW187" i="29"/>
  <c r="IS183" i="29"/>
  <c r="EW156" i="29"/>
  <c r="HU156" i="29"/>
  <c r="IS156" i="29"/>
  <c r="HY187" i="29"/>
  <c r="HY158" i="29"/>
  <c r="HY169" i="29" s="1"/>
  <c r="HY156" i="29"/>
  <c r="IO187" i="29"/>
  <c r="EW186" i="29"/>
  <c r="HC183" i="29"/>
  <c r="HU187" i="29"/>
  <c r="IS158" i="29"/>
  <c r="IS169" i="29" s="1"/>
  <c r="IO186" i="29"/>
  <c r="HY183" i="29"/>
  <c r="EW158" i="29"/>
  <c r="EW159" i="29" s="1"/>
  <c r="HC186" i="29"/>
  <c r="HU186" i="29"/>
  <c r="IS187" i="29"/>
  <c r="IJ183" i="29"/>
  <c r="IJ156" i="29"/>
  <c r="IJ158" i="29"/>
  <c r="IJ159" i="29" s="1"/>
  <c r="IJ187" i="29"/>
  <c r="FP183" i="29"/>
  <c r="FP153" i="29"/>
  <c r="F81" i="32"/>
  <c r="FP187" i="29"/>
  <c r="JD158" i="29"/>
  <c r="JD156" i="29"/>
  <c r="IT158" i="29"/>
  <c r="IT169" i="29" s="1"/>
  <c r="EW183" i="29"/>
  <c r="HC158" i="29"/>
  <c r="HC159" i="29" s="1"/>
  <c r="HC156" i="29"/>
  <c r="HU183" i="29"/>
  <c r="GL187" i="29"/>
  <c r="HC159" i="31"/>
  <c r="IX159" i="31"/>
  <c r="IX162" i="31" s="1"/>
  <c r="IX163" i="31" s="1"/>
  <c r="IX158" i="29"/>
  <c r="HY153" i="29"/>
  <c r="EW153" i="29"/>
  <c r="HU159" i="31"/>
  <c r="HU162" i="31" s="1"/>
  <c r="HU163" i="31" s="1"/>
  <c r="BD155" i="29"/>
  <c r="BD159" i="31" s="1"/>
  <c r="BD178" i="31" s="1"/>
  <c r="BH155" i="29"/>
  <c r="BH153" i="29" s="1"/>
  <c r="HY159" i="31"/>
  <c r="HY162" i="31" s="1"/>
  <c r="HY163" i="31" s="1"/>
  <c r="F23" i="32"/>
  <c r="F53" i="32"/>
  <c r="GL183" i="29"/>
  <c r="HL183" i="29"/>
  <c r="F59" i="32"/>
  <c r="BB155" i="29"/>
  <c r="WC115" i="1" s="1"/>
  <c r="P155" i="29"/>
  <c r="F15" i="32" s="1"/>
  <c r="F57" i="32"/>
  <c r="EW159" i="31"/>
  <c r="HU153" i="29"/>
  <c r="HC153" i="29"/>
  <c r="GF159" i="31"/>
  <c r="GF186" i="29"/>
  <c r="GQ183" i="29"/>
  <c r="FC183" i="29"/>
  <c r="HQ158" i="29"/>
  <c r="FP186" i="29"/>
  <c r="JD183" i="29"/>
  <c r="IT187" i="29"/>
  <c r="F123" i="32"/>
  <c r="F228" i="32"/>
  <c r="HQ153" i="29"/>
  <c r="GW159" i="31"/>
  <c r="GQ158" i="29"/>
  <c r="GQ169" i="29" s="1"/>
  <c r="JB186" i="29"/>
  <c r="FC187" i="29"/>
  <c r="HQ187" i="29"/>
  <c r="FP158" i="29"/>
  <c r="FP169" i="29" s="1"/>
  <c r="FP156" i="29"/>
  <c r="JD187" i="29"/>
  <c r="FY187" i="29"/>
  <c r="IT183" i="29"/>
  <c r="HQ159" i="31"/>
  <c r="HQ162" i="31" s="1"/>
  <c r="HQ163" i="31" s="1"/>
  <c r="IT159" i="31"/>
  <c r="IT162" i="31" s="1"/>
  <c r="IT163" i="31" s="1"/>
  <c r="JD159" i="31"/>
  <c r="JD162" i="31" s="1"/>
  <c r="JD163" i="31" s="1"/>
  <c r="FC159" i="31"/>
  <c r="IT186" i="29"/>
  <c r="IT156" i="29"/>
  <c r="FP159" i="31"/>
  <c r="F49" i="32"/>
  <c r="IT153" i="29"/>
  <c r="CQ155" i="29"/>
  <c r="CQ153" i="29" s="1"/>
  <c r="AB170" i="29"/>
  <c r="AB155" i="29" s="1"/>
  <c r="AB159" i="31" s="1"/>
  <c r="CE155" i="29"/>
  <c r="WC176" i="1" s="1"/>
  <c r="AM155" i="29"/>
  <c r="AM153" i="29" s="1"/>
  <c r="AY170" i="29"/>
  <c r="AY155" i="29" s="1"/>
  <c r="AY159" i="31" s="1"/>
  <c r="BP155" i="29"/>
  <c r="WC156" i="1" s="1"/>
  <c r="U155" i="29"/>
  <c r="F21" i="32" s="1"/>
  <c r="F109" i="32"/>
  <c r="P153" i="29"/>
  <c r="AO170" i="29"/>
  <c r="AO155" i="29" s="1"/>
  <c r="AO110" i="29"/>
  <c r="BA155" i="29"/>
  <c r="Y155" i="29"/>
  <c r="AH155" i="29"/>
  <c r="BK155" i="29"/>
  <c r="BF155" i="29"/>
  <c r="BS170" i="29"/>
  <c r="BS110" i="29"/>
  <c r="T155" i="29"/>
  <c r="AF155" i="29"/>
  <c r="AS170" i="29"/>
  <c r="AS155" i="29" s="1"/>
  <c r="BR155" i="29"/>
  <c r="Z155" i="29"/>
  <c r="WC119" i="1"/>
  <c r="F113" i="32"/>
  <c r="BH159" i="31"/>
  <c r="BH178" i="31" s="1"/>
  <c r="X170" i="29"/>
  <c r="X155" i="29" s="1"/>
  <c r="X110" i="29"/>
  <c r="WC40" i="1"/>
  <c r="AX170" i="29"/>
  <c r="AX172" i="29" s="1"/>
  <c r="AX110" i="29"/>
  <c r="BD153" i="29"/>
  <c r="AK155" i="29"/>
  <c r="BG155" i="29"/>
  <c r="CC155" i="29"/>
  <c r="CC159" i="31" s="1"/>
  <c r="CC178" i="31" s="1"/>
  <c r="O155" i="29"/>
  <c r="BJ155" i="29"/>
  <c r="BO170" i="29"/>
  <c r="BO155" i="29" s="1"/>
  <c r="BO174" i="29" s="1"/>
  <c r="BO110" i="29"/>
  <c r="BT155" i="29"/>
  <c r="BN155" i="29"/>
  <c r="WC181" i="1"/>
  <c r="EV159" i="31"/>
  <c r="F170" i="32"/>
  <c r="CE159" i="31"/>
  <c r="CE178" i="31" s="1"/>
  <c r="BX170" i="29"/>
  <c r="BX155" i="29" s="1"/>
  <c r="BX110" i="29"/>
  <c r="CY155" i="29"/>
  <c r="WC191" i="1" s="1"/>
  <c r="CN170" i="29"/>
  <c r="CN172" i="29" s="1"/>
  <c r="CN110" i="29"/>
  <c r="BY155" i="29"/>
  <c r="CM155" i="29"/>
  <c r="CR155" i="29"/>
  <c r="GF183" i="29"/>
  <c r="GF158" i="29"/>
  <c r="GF169" i="29" s="1"/>
  <c r="GW183" i="29"/>
  <c r="JB187" i="29"/>
  <c r="JB156" i="29"/>
  <c r="HD187" i="29"/>
  <c r="FY183" i="29"/>
  <c r="FY159" i="31"/>
  <c r="GW153" i="29"/>
  <c r="JB153" i="29"/>
  <c r="GF187" i="29"/>
  <c r="GF156" i="29"/>
  <c r="GW186" i="29"/>
  <c r="JB183" i="29"/>
  <c r="F185" i="32"/>
  <c r="HD156" i="29"/>
  <c r="FY158" i="29"/>
  <c r="FY169" i="29" s="1"/>
  <c r="GF153" i="29"/>
  <c r="F93" i="32"/>
  <c r="F219" i="32"/>
  <c r="GW158" i="29"/>
  <c r="GW159" i="29" s="1"/>
  <c r="HD158" i="29"/>
  <c r="HD162" i="31" s="1"/>
  <c r="HD173" i="31" s="1"/>
  <c r="FY186" i="29"/>
  <c r="FY156" i="29"/>
  <c r="FY153" i="29"/>
  <c r="F141" i="32"/>
  <c r="IA158" i="29"/>
  <c r="IA169" i="29" s="1"/>
  <c r="WC66" i="1"/>
  <c r="HB156" i="29"/>
  <c r="WC247" i="1"/>
  <c r="IM156" i="29"/>
  <c r="WC81" i="1"/>
  <c r="IU156" i="29"/>
  <c r="WC92" i="1"/>
  <c r="FV187" i="29"/>
  <c r="WC162" i="1"/>
  <c r="FQ158" i="29"/>
  <c r="FQ169" i="29" s="1"/>
  <c r="WC236" i="1"/>
  <c r="HI159" i="31"/>
  <c r="WC139" i="1"/>
  <c r="FU183" i="29"/>
  <c r="WC126" i="1"/>
  <c r="HF153" i="29"/>
  <c r="WC137" i="1"/>
  <c r="F250" i="32"/>
  <c r="WC256" i="1"/>
  <c r="HS159" i="31"/>
  <c r="HS162" i="31" s="1"/>
  <c r="HS163" i="31" s="1"/>
  <c r="WC57" i="1"/>
  <c r="HE159" i="31"/>
  <c r="WC112" i="1"/>
  <c r="FX159" i="31"/>
  <c r="WC128" i="1"/>
  <c r="EV183" i="29"/>
  <c r="DE155" i="29"/>
  <c r="WC198" i="1" s="1"/>
  <c r="FQ156" i="29"/>
  <c r="JF183" i="29"/>
  <c r="HI186" i="29"/>
  <c r="FO156" i="29"/>
  <c r="WC238" i="1"/>
  <c r="HZ183" i="29"/>
  <c r="WC64" i="1"/>
  <c r="EV153" i="29"/>
  <c r="HA156" i="29"/>
  <c r="WC203" i="1"/>
  <c r="JB159" i="31"/>
  <c r="JB162" i="31" s="1"/>
  <c r="JB163" i="31" s="1"/>
  <c r="WC225" i="1"/>
  <c r="FC153" i="29"/>
  <c r="WC202" i="1"/>
  <c r="JD153" i="29"/>
  <c r="WC224" i="1"/>
  <c r="HF158" i="29"/>
  <c r="HF162" i="31" s="1"/>
  <c r="HF173" i="31" s="1"/>
  <c r="IA187" i="29"/>
  <c r="FX183" i="29"/>
  <c r="F133" i="32"/>
  <c r="IL156" i="29"/>
  <c r="WC79" i="1"/>
  <c r="HV158" i="29"/>
  <c r="WC60" i="1"/>
  <c r="F24" i="32"/>
  <c r="IZ187" i="29"/>
  <c r="WC93" i="1"/>
  <c r="GM156" i="29"/>
  <c r="WC97" i="1"/>
  <c r="GV156" i="29"/>
  <c r="WC212" i="1"/>
  <c r="EX156" i="29"/>
  <c r="WC32" i="1"/>
  <c r="HT156" i="29"/>
  <c r="WC58" i="1"/>
  <c r="GC159" i="31"/>
  <c r="WC260" i="1"/>
  <c r="FF153" i="29"/>
  <c r="WC231" i="1"/>
  <c r="F92" i="32"/>
  <c r="WC98" i="1"/>
  <c r="F208" i="32"/>
  <c r="WC214" i="1"/>
  <c r="GN153" i="29"/>
  <c r="WC131" i="1"/>
  <c r="FJ159" i="31"/>
  <c r="WC123" i="1"/>
  <c r="HF156" i="29"/>
  <c r="IU183" i="29"/>
  <c r="FU186" i="29"/>
  <c r="IP186" i="29"/>
  <c r="WC84" i="1"/>
  <c r="FU153" i="29"/>
  <c r="F106" i="32"/>
  <c r="FH187" i="29"/>
  <c r="WC230" i="1"/>
  <c r="GU186" i="29"/>
  <c r="WC213" i="1"/>
  <c r="GK158" i="29"/>
  <c r="GK159" i="29" s="1"/>
  <c r="WC96" i="1"/>
  <c r="FL186" i="29"/>
  <c r="WC248" i="1"/>
  <c r="F89" i="32"/>
  <c r="WC95" i="1"/>
  <c r="IX156" i="29"/>
  <c r="WC89" i="1"/>
  <c r="F82" i="32"/>
  <c r="WC88" i="1"/>
  <c r="F8" i="32"/>
  <c r="WC14" i="1"/>
  <c r="F77" i="32"/>
  <c r="WC83" i="1"/>
  <c r="CZ155" i="29"/>
  <c r="WC190" i="1" s="1"/>
  <c r="HZ186" i="29"/>
  <c r="GJ187" i="29"/>
  <c r="IU158" i="29"/>
  <c r="GN156" i="29"/>
  <c r="FQ186" i="29"/>
  <c r="GN159" i="31"/>
  <c r="GJ156" i="29"/>
  <c r="IU187" i="29"/>
  <c r="GC186" i="29"/>
  <c r="HV187" i="29"/>
  <c r="FQ183" i="29"/>
  <c r="FL158" i="29"/>
  <c r="FL162" i="31" s="1"/>
  <c r="FL173" i="31" s="1"/>
  <c r="IX153" i="29"/>
  <c r="IU186" i="29"/>
  <c r="FL183" i="29"/>
  <c r="FO186" i="29"/>
  <c r="HV156" i="29"/>
  <c r="FV183" i="29"/>
  <c r="FL156" i="29"/>
  <c r="IL187" i="29"/>
  <c r="FV156" i="29"/>
  <c r="EC155" i="29"/>
  <c r="WC245" i="1" s="1"/>
  <c r="EH155" i="29"/>
  <c r="WC252" i="1" s="1"/>
  <c r="FV158" i="29"/>
  <c r="FV162" i="31" s="1"/>
  <c r="FV173" i="31" s="1"/>
  <c r="FL187" i="29"/>
  <c r="F225" i="32"/>
  <c r="EB155" i="29"/>
  <c r="WC244" i="1" s="1"/>
  <c r="IP183" i="29"/>
  <c r="FV186" i="29"/>
  <c r="FH158" i="29"/>
  <c r="FH169" i="29" s="1"/>
  <c r="GJ186" i="29"/>
  <c r="GU183" i="29"/>
  <c r="GU156" i="29"/>
  <c r="FJ158" i="29"/>
  <c r="FJ159" i="29" s="1"/>
  <c r="HT186" i="29"/>
  <c r="IZ186" i="29"/>
  <c r="GC183" i="29"/>
  <c r="GC156" i="29"/>
  <c r="GN187" i="29"/>
  <c r="FF183" i="29"/>
  <c r="FO183" i="29"/>
  <c r="GV183" i="29"/>
  <c r="IM187" i="29"/>
  <c r="HZ187" i="29"/>
  <c r="HZ156" i="29"/>
  <c r="GC153" i="29"/>
  <c r="F125" i="32"/>
  <c r="GT159" i="31"/>
  <c r="GJ159" i="31"/>
  <c r="GT186" i="29"/>
  <c r="FH183" i="29"/>
  <c r="FJ187" i="29"/>
  <c r="FJ156" i="29"/>
  <c r="IZ156" i="29"/>
  <c r="GC158" i="29"/>
  <c r="GC159" i="29" s="1"/>
  <c r="GN183" i="29"/>
  <c r="FF187" i="29"/>
  <c r="FO158" i="29"/>
  <c r="FO162" i="31" s="1"/>
  <c r="FO173" i="31" s="1"/>
  <c r="GV158" i="29"/>
  <c r="GV159" i="29" s="1"/>
  <c r="HZ158" i="29"/>
  <c r="F254" i="32"/>
  <c r="GT153" i="29"/>
  <c r="FJ153" i="29"/>
  <c r="GT158" i="29"/>
  <c r="GT162" i="31" s="1"/>
  <c r="GT173" i="31" s="1"/>
  <c r="GJ183" i="29"/>
  <c r="GU187" i="29"/>
  <c r="GT183" i="29"/>
  <c r="GT156" i="29"/>
  <c r="GJ158" i="29"/>
  <c r="GJ159" i="29" s="1"/>
  <c r="FJ186" i="29"/>
  <c r="GC187" i="29"/>
  <c r="GN186" i="29"/>
  <c r="FF156" i="29"/>
  <c r="FO187" i="29"/>
  <c r="FF159" i="31"/>
  <c r="F117" i="32"/>
  <c r="HF183" i="29"/>
  <c r="HE158" i="29"/>
  <c r="HE169" i="29" s="1"/>
  <c r="HT183" i="29"/>
  <c r="GM187" i="29"/>
  <c r="IA183" i="29"/>
  <c r="GK186" i="29"/>
  <c r="GK156" i="29"/>
  <c r="IM186" i="29"/>
  <c r="JF158" i="29"/>
  <c r="HA158" i="29"/>
  <c r="HA159" i="29" s="1"/>
  <c r="HI183" i="29"/>
  <c r="HS156" i="29"/>
  <c r="FU158" i="29"/>
  <c r="FU169" i="29" s="1"/>
  <c r="FU156" i="29"/>
  <c r="FX187" i="29"/>
  <c r="FX156" i="29"/>
  <c r="FU159" i="31"/>
  <c r="JF159" i="31"/>
  <c r="JF162" i="31" s="1"/>
  <c r="JF163" i="31" s="1"/>
  <c r="IO159" i="31"/>
  <c r="IO162" i="31" s="1"/>
  <c r="IO163" i="31" s="1"/>
  <c r="F122" i="32"/>
  <c r="F51" i="32"/>
  <c r="EX183" i="29"/>
  <c r="HB186" i="29"/>
  <c r="EX186" i="29"/>
  <c r="HB187" i="29"/>
  <c r="HF186" i="29"/>
  <c r="HE187" i="29"/>
  <c r="HT158" i="29"/>
  <c r="GM158" i="29"/>
  <c r="GM169" i="29" s="1"/>
  <c r="IA186" i="29"/>
  <c r="IA156" i="29"/>
  <c r="GK183" i="29"/>
  <c r="IM183" i="29"/>
  <c r="JF156" i="29"/>
  <c r="HA187" i="29"/>
  <c r="HI158" i="29"/>
  <c r="HI159" i="29" s="1"/>
  <c r="HS187" i="29"/>
  <c r="FU187" i="29"/>
  <c r="FX158" i="29"/>
  <c r="FX159" i="29" s="1"/>
  <c r="HI153" i="29"/>
  <c r="F120" i="32"/>
  <c r="HE153" i="29"/>
  <c r="JF153" i="29"/>
  <c r="HS153" i="29"/>
  <c r="HF159" i="31"/>
  <c r="EX158" i="29"/>
  <c r="EX162" i="31" s="1"/>
  <c r="EX173" i="31" s="1"/>
  <c r="HB158" i="29"/>
  <c r="HB159" i="29" s="1"/>
  <c r="HF187" i="29"/>
  <c r="HE183" i="29"/>
  <c r="HT187" i="29"/>
  <c r="GM183" i="29"/>
  <c r="IM158" i="29"/>
  <c r="JF187" i="29"/>
  <c r="HA183" i="29"/>
  <c r="HI187" i="29"/>
  <c r="HI156" i="29"/>
  <c r="HS158" i="29"/>
  <c r="HS173" i="31" s="1"/>
  <c r="FX186" i="29"/>
  <c r="GJ153" i="29"/>
  <c r="GL159" i="31"/>
  <c r="IO153" i="29"/>
  <c r="DN155" i="29"/>
  <c r="WC215" i="1" s="1"/>
  <c r="EN155" i="29"/>
  <c r="EN180" i="29" s="1"/>
  <c r="DC170" i="29"/>
  <c r="DC155" i="29" s="1"/>
  <c r="WC196" i="1" s="1"/>
  <c r="HV183" i="29"/>
  <c r="GV187" i="29"/>
  <c r="GL158" i="29"/>
  <c r="GL169" i="29" s="1"/>
  <c r="IX183" i="29"/>
  <c r="HL158" i="29"/>
  <c r="HL159" i="29" s="1"/>
  <c r="GL153" i="29"/>
  <c r="F83" i="32"/>
  <c r="IS153" i="29"/>
  <c r="HL159" i="31"/>
  <c r="HL162" i="31" s="1"/>
  <c r="HL163" i="31" s="1"/>
  <c r="DM155" i="29"/>
  <c r="WC211" i="1" s="1"/>
  <c r="IP158" i="29"/>
  <c r="IP169" i="29" s="1"/>
  <c r="EL155" i="29"/>
  <c r="GL186" i="29"/>
  <c r="IX187" i="29"/>
  <c r="HL186" i="29"/>
  <c r="HL156" i="29"/>
  <c r="IS159" i="31"/>
  <c r="IS162" i="31" s="1"/>
  <c r="IS163" i="31" s="1"/>
  <c r="HL153" i="29"/>
  <c r="F137" i="32"/>
  <c r="FZ153" i="29"/>
  <c r="FZ159" i="31"/>
  <c r="JM106" i="31"/>
  <c r="F118" i="32"/>
  <c r="FM159" i="31"/>
  <c r="FM153" i="29"/>
  <c r="F76" i="32"/>
  <c r="IN153" i="29"/>
  <c r="IN159" i="31"/>
  <c r="IN162" i="31" s="1"/>
  <c r="IN163" i="31" s="1"/>
  <c r="F66" i="32"/>
  <c r="IG159" i="31"/>
  <c r="IG162" i="31" s="1"/>
  <c r="IG163" i="31" s="1"/>
  <c r="IG153" i="29"/>
  <c r="F130" i="32"/>
  <c r="HG159" i="31"/>
  <c r="HG153" i="29"/>
  <c r="F226" i="32"/>
  <c r="FG159" i="31"/>
  <c r="FG153" i="29"/>
  <c r="F136" i="32"/>
  <c r="GA159" i="31"/>
  <c r="GA153" i="29"/>
  <c r="IP187" i="29"/>
  <c r="IP156" i="29"/>
  <c r="EE155" i="29"/>
  <c r="WC251" i="1" s="1"/>
  <c r="IL158" i="29"/>
  <c r="IL159" i="29" s="1"/>
  <c r="F232" i="32"/>
  <c r="FO159" i="31"/>
  <c r="FO153" i="29"/>
  <c r="F58" i="32"/>
  <c r="HZ153" i="29"/>
  <c r="HZ159" i="31"/>
  <c r="HZ162" i="31" s="1"/>
  <c r="HZ163" i="31" s="1"/>
  <c r="F252" i="32"/>
  <c r="JG153" i="29"/>
  <c r="JG159" i="31"/>
  <c r="JG162" i="31" s="1"/>
  <c r="JG163" i="31" s="1"/>
  <c r="F138" i="32"/>
  <c r="GH153" i="29"/>
  <c r="GH159" i="31"/>
  <c r="F224" i="32"/>
  <c r="FH153" i="29"/>
  <c r="FH159" i="31"/>
  <c r="F207" i="32"/>
  <c r="GU159" i="31"/>
  <c r="GU153" i="29"/>
  <c r="F206" i="32"/>
  <c r="GV153" i="29"/>
  <c r="GV159" i="31"/>
  <c r="F74" i="32"/>
  <c r="GY159" i="31"/>
  <c r="GY153" i="29"/>
  <c r="F253" i="32"/>
  <c r="GD153" i="29"/>
  <c r="GD159" i="31"/>
  <c r="DQ155" i="29"/>
  <c r="WC217" i="1" s="1"/>
  <c r="F198" i="32"/>
  <c r="HK159" i="31"/>
  <c r="HK153" i="29"/>
  <c r="F84" i="32"/>
  <c r="IV153" i="29"/>
  <c r="IV159" i="31"/>
  <c r="IV162" i="31" s="1"/>
  <c r="IV163" i="31" s="1"/>
  <c r="F140" i="32"/>
  <c r="GI159" i="31"/>
  <c r="GI153" i="29"/>
  <c r="F142" i="32"/>
  <c r="GP153" i="29"/>
  <c r="GP159" i="31"/>
  <c r="F127" i="32"/>
  <c r="GR153" i="29"/>
  <c r="GR159" i="31"/>
  <c r="F50" i="32"/>
  <c r="HR153" i="29"/>
  <c r="HR159" i="31"/>
  <c r="HR162" i="31" s="1"/>
  <c r="HR163" i="31" s="1"/>
  <c r="F132" i="32"/>
  <c r="HH153" i="29"/>
  <c r="HH159" i="31"/>
  <c r="JO155" i="29"/>
  <c r="F48" i="32"/>
  <c r="HP153" i="29"/>
  <c r="HP159" i="31"/>
  <c r="HP162" i="31" s="1"/>
  <c r="HP163" i="31" s="1"/>
  <c r="F194" i="32"/>
  <c r="FE159" i="31"/>
  <c r="FE153" i="29"/>
  <c r="F80" i="32"/>
  <c r="IR153" i="29"/>
  <c r="IR159" i="31"/>
  <c r="IR162" i="31" s="1"/>
  <c r="IR163" i="31" s="1"/>
  <c r="F10" i="32"/>
  <c r="HM159" i="31"/>
  <c r="HM162" i="31" s="1"/>
  <c r="HM163" i="31" s="1"/>
  <c r="HM153" i="29"/>
  <c r="F223" i="32"/>
  <c r="FB153" i="29"/>
  <c r="FB159" i="31"/>
  <c r="F216" i="32"/>
  <c r="JC153" i="29"/>
  <c r="JC159" i="31"/>
  <c r="JC162" i="31" s="1"/>
  <c r="JC163" i="31" s="1"/>
  <c r="F71" i="32"/>
  <c r="IH153" i="29"/>
  <c r="IH159" i="31"/>
  <c r="IH162" i="31" s="1"/>
  <c r="IH163" i="31" s="1"/>
  <c r="F54" i="32"/>
  <c r="HV153" i="29"/>
  <c r="HV159" i="31"/>
  <c r="HV162" i="31" s="1"/>
  <c r="HV163" i="31" s="1"/>
  <c r="F75" i="32"/>
  <c r="IM153" i="29"/>
  <c r="IM159" i="31"/>
  <c r="IM162" i="31" s="1"/>
  <c r="IM163" i="31" s="1"/>
  <c r="F197" i="32"/>
  <c r="HA159" i="31"/>
  <c r="HA153" i="29"/>
  <c r="F86" i="32"/>
  <c r="IU153" i="29"/>
  <c r="IU159" i="31"/>
  <c r="IU162" i="31" s="1"/>
  <c r="IU163" i="31" s="1"/>
  <c r="F156" i="32"/>
  <c r="FV153" i="29"/>
  <c r="FV159" i="31"/>
  <c r="F230" i="32"/>
  <c r="FQ159" i="31"/>
  <c r="FQ153" i="29"/>
  <c r="F90" i="32"/>
  <c r="GK159" i="31"/>
  <c r="GK153" i="29"/>
  <c r="F26" i="32"/>
  <c r="EX153" i="29"/>
  <c r="EX159" i="31"/>
  <c r="F52" i="32"/>
  <c r="HT153" i="29"/>
  <c r="HT159" i="31"/>
  <c r="HT162" i="31" s="1"/>
  <c r="HT163" i="31" s="1"/>
  <c r="F115" i="32"/>
  <c r="EZ153" i="29"/>
  <c r="EZ159" i="31"/>
  <c r="F63" i="32"/>
  <c r="ID153" i="29"/>
  <c r="ID159" i="31"/>
  <c r="ID162" i="31" s="1"/>
  <c r="ID163" i="31" s="1"/>
  <c r="F233" i="32"/>
  <c r="GO159" i="31"/>
  <c r="GO153" i="29"/>
  <c r="F69" i="32"/>
  <c r="II159" i="31"/>
  <c r="II162" i="31" s="1"/>
  <c r="II163" i="31" s="1"/>
  <c r="II153" i="29"/>
  <c r="F135" i="32"/>
  <c r="GB153" i="29"/>
  <c r="GB159" i="31"/>
  <c r="F227" i="32"/>
  <c r="FN153" i="29"/>
  <c r="FN159" i="31"/>
  <c r="F121" i="32"/>
  <c r="FW159" i="31"/>
  <c r="FW153" i="29"/>
  <c r="F128" i="32"/>
  <c r="GS159" i="31"/>
  <c r="GS153" i="29"/>
  <c r="F243" i="32"/>
  <c r="FK159" i="31"/>
  <c r="FK153" i="29"/>
  <c r="F184" i="32"/>
  <c r="CZ159" i="31"/>
  <c r="CZ178" i="31" s="1"/>
  <c r="F139" i="32"/>
  <c r="GG159" i="31"/>
  <c r="GG153" i="29"/>
  <c r="F217" i="32"/>
  <c r="JA159" i="31"/>
  <c r="JA162" i="31" s="1"/>
  <c r="JA163" i="31" s="1"/>
  <c r="JA153" i="29"/>
  <c r="F88" i="32"/>
  <c r="IY153" i="29"/>
  <c r="IY159" i="31"/>
  <c r="IY162" i="31" s="1"/>
  <c r="IY163" i="31" s="1"/>
  <c r="DB170" i="29"/>
  <c r="DB155" i="29" s="1"/>
  <c r="WC195" i="1" s="1"/>
  <c r="DB110" i="29"/>
  <c r="F73" i="32"/>
  <c r="IL153" i="29"/>
  <c r="IL159" i="31"/>
  <c r="IL162" i="31" s="1"/>
  <c r="IL163" i="31" s="1"/>
  <c r="F126" i="32"/>
  <c r="GQ159" i="31"/>
  <c r="GQ153" i="29"/>
  <c r="F78" i="32"/>
  <c r="IP153" i="29"/>
  <c r="IP159" i="31"/>
  <c r="IP162" i="31" s="1"/>
  <c r="IP163" i="31" s="1"/>
  <c r="F87" i="32"/>
  <c r="IZ153" i="29"/>
  <c r="IZ159" i="31"/>
  <c r="IZ162" i="31" s="1"/>
  <c r="IZ163" i="31" s="1"/>
  <c r="F105" i="32"/>
  <c r="HD153" i="29"/>
  <c r="HD159" i="31"/>
  <c r="F242" i="32"/>
  <c r="FL153" i="29"/>
  <c r="FL159" i="31"/>
  <c r="F68" i="32"/>
  <c r="IJ153" i="29"/>
  <c r="IJ159" i="31"/>
  <c r="IJ162" i="31" s="1"/>
  <c r="IJ163" i="31" s="1"/>
  <c r="ED155" i="29"/>
  <c r="WC246" i="1" s="1"/>
  <c r="EA170" i="29"/>
  <c r="EA172" i="29" s="1"/>
  <c r="EA110" i="29"/>
  <c r="F79" i="32"/>
  <c r="IQ153" i="29"/>
  <c r="IQ159" i="31"/>
  <c r="IQ162" i="31" s="1"/>
  <c r="IQ163" i="31" s="1"/>
  <c r="F259" i="32"/>
  <c r="JH153" i="29"/>
  <c r="JH159" i="31"/>
  <c r="JH162" i="31" s="1"/>
  <c r="JH163" i="31" s="1"/>
  <c r="F56" i="32"/>
  <c r="HX153" i="29"/>
  <c r="HX159" i="31"/>
  <c r="HX162" i="31" s="1"/>
  <c r="HX163" i="31" s="1"/>
  <c r="F55" i="32"/>
  <c r="HW159" i="31"/>
  <c r="HW162" i="31" s="1"/>
  <c r="HW163" i="31" s="1"/>
  <c r="HW153" i="29"/>
  <c r="EI155" i="29"/>
  <c r="F72" i="32"/>
  <c r="FI159" i="31"/>
  <c r="FI153" i="29"/>
  <c r="F116" i="32"/>
  <c r="FA159" i="31"/>
  <c r="FA153" i="29"/>
  <c r="F85" i="32"/>
  <c r="IW159" i="31"/>
  <c r="IW162" i="31" s="1"/>
  <c r="IW163" i="31" s="1"/>
  <c r="IW153" i="29"/>
  <c r="F229" i="32"/>
  <c r="FS159" i="31"/>
  <c r="FS153" i="29"/>
  <c r="DE159" i="31"/>
  <c r="DE178" i="31" s="1"/>
  <c r="DV155" i="29"/>
  <c r="JM117" i="31"/>
  <c r="F65" i="32"/>
  <c r="IE159" i="31"/>
  <c r="IE162" i="31" s="1"/>
  <c r="IE163" i="31" s="1"/>
  <c r="IE153" i="29"/>
  <c r="F25" i="32"/>
  <c r="EY159" i="31"/>
  <c r="EY153" i="29"/>
  <c r="F129" i="32"/>
  <c r="GX153" i="29"/>
  <c r="GX159" i="31"/>
  <c r="EF155" i="29"/>
  <c r="EF183" i="29" s="1"/>
  <c r="F67" i="32"/>
  <c r="IF153" i="29"/>
  <c r="IF159" i="31"/>
  <c r="IF162" i="31" s="1"/>
  <c r="IF163" i="31" s="1"/>
  <c r="F64" i="32"/>
  <c r="IC159" i="31"/>
  <c r="IC162" i="31" s="1"/>
  <c r="IC163" i="31" s="1"/>
  <c r="IC153" i="29"/>
  <c r="F61" i="32"/>
  <c r="IB153" i="29"/>
  <c r="IB159" i="31"/>
  <c r="IB162" i="31" s="1"/>
  <c r="IB163" i="31" s="1"/>
  <c r="F119" i="32"/>
  <c r="FT153" i="29"/>
  <c r="FT159" i="31"/>
  <c r="F251" i="32"/>
  <c r="JE159" i="31"/>
  <c r="JE162" i="31" s="1"/>
  <c r="JE163" i="31" s="1"/>
  <c r="JE153" i="29"/>
  <c r="DY155" i="29"/>
  <c r="DY181" i="29" s="1"/>
  <c r="EO170" i="29"/>
  <c r="EO155" i="29" s="1"/>
  <c r="WC269" i="1" s="1"/>
  <c r="EO110" i="29"/>
  <c r="IL183" i="29"/>
  <c r="F60" i="32"/>
  <c r="IA159" i="31"/>
  <c r="IA162" i="31" s="1"/>
  <c r="IA163" i="31" s="1"/>
  <c r="IA153" i="29"/>
  <c r="F241" i="32"/>
  <c r="HB153" i="29"/>
  <c r="HB159" i="31"/>
  <c r="F91" i="32"/>
  <c r="GM159" i="31"/>
  <c r="GM153" i="29"/>
  <c r="EP155" i="29"/>
  <c r="EP180" i="29" s="1"/>
  <c r="BO172" i="29"/>
  <c r="BO156" i="29"/>
  <c r="BO158" i="29"/>
  <c r="BO183" i="29"/>
  <c r="BO187" i="29"/>
  <c r="BO181" i="29"/>
  <c r="CN167" i="31"/>
  <c r="CN165" i="29"/>
  <c r="CN169" i="31" s="1"/>
  <c r="CN173" i="31"/>
  <c r="CN114" i="31" s="1"/>
  <c r="DL152" i="29"/>
  <c r="DL156" i="31" s="1"/>
  <c r="DL155" i="31"/>
  <c r="GH156" i="29"/>
  <c r="GH186" i="29"/>
  <c r="GH183" i="29"/>
  <c r="GH187" i="29"/>
  <c r="GH158" i="29"/>
  <c r="Z129" i="29"/>
  <c r="Z133" i="31" s="1"/>
  <c r="Z132" i="31"/>
  <c r="AS152" i="29"/>
  <c r="AS156" i="31" s="1"/>
  <c r="AS155" i="31"/>
  <c r="BL152" i="31"/>
  <c r="BL151" i="29"/>
  <c r="BL154" i="29"/>
  <c r="BL164" i="29" s="1"/>
  <c r="BL168" i="31" s="1"/>
  <c r="BL163" i="29"/>
  <c r="IG156" i="29"/>
  <c r="IG187" i="29"/>
  <c r="IG158" i="29"/>
  <c r="IG183" i="29"/>
  <c r="CQ165" i="29"/>
  <c r="CQ169" i="31" s="1"/>
  <c r="CQ167" i="31"/>
  <c r="IW156" i="29"/>
  <c r="IW183" i="29"/>
  <c r="IW158" i="29"/>
  <c r="IW186" i="29"/>
  <c r="IW187" i="29"/>
  <c r="AV165" i="29"/>
  <c r="AV169" i="31" s="1"/>
  <c r="AV167" i="31"/>
  <c r="AQ129" i="29"/>
  <c r="AQ133" i="31" s="1"/>
  <c r="AQ132" i="31"/>
  <c r="AY156" i="29"/>
  <c r="AY174" i="29"/>
  <c r="AY183" i="29"/>
  <c r="AY181" i="29"/>
  <c r="BM120" i="31"/>
  <c r="BM117" i="29"/>
  <c r="BM121" i="31" s="1"/>
  <c r="BM128" i="29"/>
  <c r="BV152" i="31"/>
  <c r="BV154" i="29"/>
  <c r="BV164" i="29" s="1"/>
  <c r="BV168" i="31" s="1"/>
  <c r="BV151" i="29"/>
  <c r="BV163" i="29"/>
  <c r="P167" i="31"/>
  <c r="P165" i="29"/>
  <c r="P169" i="31" s="1"/>
  <c r="BG156" i="29"/>
  <c r="BG174" i="29"/>
  <c r="BG180" i="29"/>
  <c r="BG158" i="29"/>
  <c r="BG187" i="29"/>
  <c r="BG183" i="29"/>
  <c r="BG181" i="29"/>
  <c r="AG129" i="29"/>
  <c r="AG133" i="31" s="1"/>
  <c r="AG132" i="31"/>
  <c r="BP167" i="31"/>
  <c r="BP165" i="29"/>
  <c r="BP169" i="31" s="1"/>
  <c r="BR167" i="31"/>
  <c r="BR165" i="29"/>
  <c r="BR169" i="31" s="1"/>
  <c r="DE187" i="29"/>
  <c r="BY129" i="29"/>
  <c r="BY133" i="31" s="1"/>
  <c r="BY132" i="31"/>
  <c r="AU152" i="29"/>
  <c r="AU156" i="31" s="1"/>
  <c r="AU155" i="31"/>
  <c r="BA129" i="29"/>
  <c r="BA133" i="31" s="1"/>
  <c r="BA132" i="31"/>
  <c r="DV152" i="29"/>
  <c r="DV156" i="31" s="1"/>
  <c r="DV155" i="31"/>
  <c r="CC156" i="29"/>
  <c r="CC181" i="29"/>
  <c r="CC174" i="29"/>
  <c r="CC180" i="29"/>
  <c r="CC183" i="29"/>
  <c r="CC158" i="29"/>
  <c r="CC187" i="29"/>
  <c r="DG107" i="31"/>
  <c r="DG104" i="29"/>
  <c r="DG108" i="31" s="1"/>
  <c r="DG105" i="29"/>
  <c r="DG109" i="31" s="1"/>
  <c r="ER167" i="31"/>
  <c r="ER165" i="29"/>
  <c r="ER169" i="31" s="1"/>
  <c r="HU173" i="31"/>
  <c r="HU169" i="29"/>
  <c r="HU159" i="29"/>
  <c r="JN129" i="29"/>
  <c r="JN130" i="29"/>
  <c r="CG152" i="29"/>
  <c r="CG156" i="31" s="1"/>
  <c r="CG155" i="31"/>
  <c r="FK156" i="29"/>
  <c r="FK186" i="29"/>
  <c r="FK187" i="29"/>
  <c r="FK183" i="29"/>
  <c r="FK158" i="29"/>
  <c r="CV152" i="31"/>
  <c r="CV163" i="29"/>
  <c r="CV154" i="29"/>
  <c r="CV164" i="29" s="1"/>
  <c r="CV168" i="31" s="1"/>
  <c r="CV151" i="29"/>
  <c r="Z156" i="29"/>
  <c r="Z174" i="29"/>
  <c r="Z180" i="29"/>
  <c r="Z158" i="29"/>
  <c r="Z187" i="29"/>
  <c r="Z183" i="29"/>
  <c r="Z181" i="29"/>
  <c r="EG120" i="31"/>
  <c r="EG117" i="29"/>
  <c r="EG121" i="31" s="1"/>
  <c r="EG128" i="29"/>
  <c r="EM167" i="31"/>
  <c r="EM165" i="29"/>
  <c r="EM169" i="31" s="1"/>
  <c r="EF152" i="29"/>
  <c r="EF156" i="31" s="1"/>
  <c r="EF155" i="31"/>
  <c r="AQ114" i="31"/>
  <c r="CU167" i="31"/>
  <c r="CU165" i="29"/>
  <c r="CU169" i="31" s="1"/>
  <c r="EB152" i="29"/>
  <c r="EB156" i="31" s="1"/>
  <c r="EB155" i="31"/>
  <c r="CZ152" i="29"/>
  <c r="CZ156" i="31" s="1"/>
  <c r="CZ155" i="31"/>
  <c r="BI152" i="29"/>
  <c r="BI156" i="31" s="1"/>
  <c r="BI155" i="31"/>
  <c r="AA129" i="29"/>
  <c r="AA133" i="31" s="1"/>
  <c r="AA132" i="31"/>
  <c r="BU152" i="29"/>
  <c r="BU156" i="31" s="1"/>
  <c r="BU155" i="31"/>
  <c r="AP120" i="31"/>
  <c r="AP128" i="29"/>
  <c r="AP117" i="29"/>
  <c r="AP121" i="31" s="1"/>
  <c r="DJ129" i="29"/>
  <c r="DJ133" i="31" s="1"/>
  <c r="DJ132" i="31"/>
  <c r="DE129" i="29"/>
  <c r="DE133" i="31" s="1"/>
  <c r="DE132" i="31"/>
  <c r="BH156" i="29"/>
  <c r="BH183" i="29"/>
  <c r="BH187" i="29"/>
  <c r="BH181" i="29"/>
  <c r="BH180" i="29"/>
  <c r="BH174" i="29"/>
  <c r="BH158" i="29"/>
  <c r="O165" i="29"/>
  <c r="O169" i="31" s="1"/>
  <c r="O167" i="31"/>
  <c r="BA152" i="29"/>
  <c r="BA156" i="31" s="1"/>
  <c r="BA155" i="31"/>
  <c r="BJ165" i="29"/>
  <c r="BJ169" i="31" s="1"/>
  <c r="BJ167" i="31"/>
  <c r="DN165" i="29"/>
  <c r="DN169" i="31" s="1"/>
  <c r="DN167" i="31"/>
  <c r="DZ120" i="31"/>
  <c r="DZ128" i="29"/>
  <c r="DZ117" i="29"/>
  <c r="DZ121" i="31" s="1"/>
  <c r="BX152" i="29"/>
  <c r="BX156" i="31" s="1"/>
  <c r="BX155" i="31"/>
  <c r="EN165" i="29"/>
  <c r="EN169" i="31" s="1"/>
  <c r="EN167" i="31"/>
  <c r="AI152" i="31"/>
  <c r="AI154" i="29"/>
  <c r="AI164" i="29" s="1"/>
  <c r="AI168" i="31" s="1"/>
  <c r="AI151" i="29"/>
  <c r="AI163" i="29"/>
  <c r="X152" i="29"/>
  <c r="X156" i="31" s="1"/>
  <c r="X155" i="31"/>
  <c r="IH156" i="29"/>
  <c r="IH183" i="29"/>
  <c r="IH187" i="29"/>
  <c r="IH158" i="29"/>
  <c r="IH186" i="29"/>
  <c r="Y165" i="29"/>
  <c r="Y169" i="31" s="1"/>
  <c r="Y167" i="31"/>
  <c r="CY156" i="29"/>
  <c r="CY174" i="29"/>
  <c r="CY180" i="29"/>
  <c r="CY158" i="29"/>
  <c r="CY187" i="29"/>
  <c r="CY181" i="29"/>
  <c r="CY183" i="29"/>
  <c r="DC152" i="29"/>
  <c r="DC156" i="31" s="1"/>
  <c r="DC155" i="31"/>
  <c r="CM152" i="29"/>
  <c r="CM156" i="31" s="1"/>
  <c r="CM155" i="31"/>
  <c r="R129" i="29"/>
  <c r="R133" i="31" s="1"/>
  <c r="R132" i="31"/>
  <c r="DM165" i="29"/>
  <c r="DM169" i="31" s="1"/>
  <c r="DM167" i="31"/>
  <c r="AB167" i="31"/>
  <c r="AB165" i="29"/>
  <c r="AB169" i="31" s="1"/>
  <c r="DB152" i="29"/>
  <c r="DB156" i="31" s="1"/>
  <c r="DB155" i="31"/>
  <c r="DH152" i="29"/>
  <c r="DH156" i="31" s="1"/>
  <c r="DH155" i="31"/>
  <c r="EH165" i="29"/>
  <c r="EH169" i="31" s="1"/>
  <c r="EH167" i="31"/>
  <c r="BQ107" i="31"/>
  <c r="BQ104" i="29"/>
  <c r="BQ108" i="31" s="1"/>
  <c r="BQ105" i="29"/>
  <c r="BQ109" i="31" s="1"/>
  <c r="BO129" i="29"/>
  <c r="BO133" i="31" s="1"/>
  <c r="BO132" i="31"/>
  <c r="BT152" i="29"/>
  <c r="BT156" i="31" s="1"/>
  <c r="BT155" i="31"/>
  <c r="EL165" i="29"/>
  <c r="EL169" i="31" s="1"/>
  <c r="EL167" i="31"/>
  <c r="CJ167" i="31"/>
  <c r="CJ165" i="29"/>
  <c r="CJ169" i="31" s="1"/>
  <c r="U156" i="29"/>
  <c r="U181" i="29"/>
  <c r="U174" i="29"/>
  <c r="U180" i="29"/>
  <c r="U183" i="29"/>
  <c r="U158" i="29"/>
  <c r="U187" i="29"/>
  <c r="AM129" i="29"/>
  <c r="AM133" i="31" s="1"/>
  <c r="AM132" i="31"/>
  <c r="GV169" i="29"/>
  <c r="AH156" i="29"/>
  <c r="AH158" i="29"/>
  <c r="AH180" i="29"/>
  <c r="AH183" i="29"/>
  <c r="AH181" i="29"/>
  <c r="AH174" i="29"/>
  <c r="AH187" i="29"/>
  <c r="CO173" i="31"/>
  <c r="AJ120" i="31"/>
  <c r="AJ117" i="29"/>
  <c r="AJ121" i="31" s="1"/>
  <c r="AJ128" i="29"/>
  <c r="BN156" i="29"/>
  <c r="BN183" i="29"/>
  <c r="BN158" i="29"/>
  <c r="BN181" i="29"/>
  <c r="BN174" i="29"/>
  <c r="BN180" i="29"/>
  <c r="BN187" i="29"/>
  <c r="AO129" i="29"/>
  <c r="AO133" i="31" s="1"/>
  <c r="AO132" i="31"/>
  <c r="DW120" i="31"/>
  <c r="DW128" i="29"/>
  <c r="DW117" i="29"/>
  <c r="DW121" i="31" s="1"/>
  <c r="EM129" i="29"/>
  <c r="EM133" i="31" s="1"/>
  <c r="EM132" i="31"/>
  <c r="CR165" i="29"/>
  <c r="CR169" i="31" s="1"/>
  <c r="CR167" i="31"/>
  <c r="BK152" i="29"/>
  <c r="BK156" i="31" s="1"/>
  <c r="BK155" i="31"/>
  <c r="EF129" i="29"/>
  <c r="EF133" i="31" s="1"/>
  <c r="EF132" i="31"/>
  <c r="BZ167" i="31"/>
  <c r="BZ165" i="29"/>
  <c r="BZ169" i="31" s="1"/>
  <c r="EO167" i="31"/>
  <c r="EO165" i="29"/>
  <c r="EO169" i="31" s="1"/>
  <c r="AD129" i="29"/>
  <c r="AD133" i="31" s="1"/>
  <c r="AD132" i="31"/>
  <c r="EA129" i="29"/>
  <c r="EA133" i="31" s="1"/>
  <c r="EA132" i="31"/>
  <c r="Y129" i="29"/>
  <c r="Y133" i="31" s="1"/>
  <c r="Y132" i="31"/>
  <c r="HX156" i="29"/>
  <c r="HX186" i="29"/>
  <c r="HX183" i="29"/>
  <c r="HX158" i="29"/>
  <c r="HX187" i="29"/>
  <c r="BF156" i="29"/>
  <c r="BF183" i="29"/>
  <c r="BF187" i="29"/>
  <c r="BF158" i="29"/>
  <c r="BF181" i="29"/>
  <c r="BF180" i="29"/>
  <c r="BF174" i="29"/>
  <c r="EP165" i="29"/>
  <c r="EP169" i="31" s="1"/>
  <c r="EP167" i="31"/>
  <c r="AM156" i="29"/>
  <c r="AM183" i="29"/>
  <c r="AM174" i="29"/>
  <c r="AM180" i="29"/>
  <c r="AM158" i="29"/>
  <c r="AM181" i="29"/>
  <c r="AM187" i="29"/>
  <c r="AH129" i="29"/>
  <c r="AH133" i="31" s="1"/>
  <c r="AH132" i="31"/>
  <c r="BD156" i="29"/>
  <c r="BD183" i="29"/>
  <c r="BD187" i="29"/>
  <c r="BD181" i="29"/>
  <c r="BD174" i="29"/>
  <c r="BD180" i="29"/>
  <c r="BD158" i="29"/>
  <c r="JO129" i="29"/>
  <c r="JO130" i="29"/>
  <c r="DP165" i="29"/>
  <c r="DP169" i="31" s="1"/>
  <c r="DP167" i="31"/>
  <c r="DA152" i="29"/>
  <c r="DA156" i="31" s="1"/>
  <c r="DA155" i="31"/>
  <c r="CC129" i="29"/>
  <c r="CC133" i="31" s="1"/>
  <c r="CC132" i="31"/>
  <c r="BB156" i="29"/>
  <c r="BB181" i="29"/>
  <c r="BB187" i="29"/>
  <c r="BB183" i="29"/>
  <c r="BB174" i="29"/>
  <c r="BB180" i="29"/>
  <c r="BB158" i="29"/>
  <c r="DO163" i="31"/>
  <c r="DO171" i="31" s="1"/>
  <c r="DO167" i="29"/>
  <c r="DO161" i="29"/>
  <c r="DO165" i="31" s="1"/>
  <c r="DO160" i="29"/>
  <c r="DO164" i="31" s="1"/>
  <c r="EI165" i="29"/>
  <c r="EI169" i="31" s="1"/>
  <c r="EI167" i="31"/>
  <c r="GU162" i="31"/>
  <c r="GU173" i="31" s="1"/>
  <c r="GU169" i="29"/>
  <c r="GU159" i="29"/>
  <c r="Q152" i="29"/>
  <c r="Q156" i="31" s="1"/>
  <c r="Q155" i="31"/>
  <c r="AF167" i="31"/>
  <c r="AF165" i="29"/>
  <c r="AF169" i="31" s="1"/>
  <c r="CF129" i="29"/>
  <c r="CF133" i="31" s="1"/>
  <c r="CF132" i="31"/>
  <c r="AJ107" i="31"/>
  <c r="AJ105" i="29"/>
  <c r="AJ109" i="31" s="1"/>
  <c r="AJ104" i="29"/>
  <c r="AJ108" i="31" s="1"/>
  <c r="FS156" i="29"/>
  <c r="FS187" i="29"/>
  <c r="FS158" i="29"/>
  <c r="FS183" i="29"/>
  <c r="FS186" i="29"/>
  <c r="M165" i="29"/>
  <c r="M169" i="31" s="1"/>
  <c r="M167" i="31"/>
  <c r="CE167" i="31"/>
  <c r="CE165" i="29"/>
  <c r="CE169" i="31" s="1"/>
  <c r="AM167" i="31"/>
  <c r="AM165" i="29"/>
  <c r="AM169" i="31" s="1"/>
  <c r="BD167" i="31"/>
  <c r="BD165" i="29"/>
  <c r="BD169" i="31" s="1"/>
  <c r="ID156" i="29"/>
  <c r="ID186" i="29"/>
  <c r="ID187" i="29"/>
  <c r="ID158" i="29"/>
  <c r="ID183" i="29"/>
  <c r="CF152" i="29"/>
  <c r="CF156" i="31" s="1"/>
  <c r="CF155" i="31"/>
  <c r="AK156" i="29"/>
  <c r="AK158" i="29"/>
  <c r="AK187" i="29"/>
  <c r="AK183" i="29"/>
  <c r="AK174" i="29"/>
  <c r="AK180" i="29"/>
  <c r="AK181" i="29"/>
  <c r="BL107" i="31"/>
  <c r="BL105" i="29"/>
  <c r="BL109" i="31" s="1"/>
  <c r="BL104" i="29"/>
  <c r="BL108" i="31" s="1"/>
  <c r="HK156" i="29"/>
  <c r="HK183" i="29"/>
  <c r="HK187" i="29"/>
  <c r="HK158" i="29"/>
  <c r="CQ129" i="29"/>
  <c r="CQ133" i="31" s="1"/>
  <c r="CQ132" i="31"/>
  <c r="CB120" i="31"/>
  <c r="CB117" i="29"/>
  <c r="CB121" i="31" s="1"/>
  <c r="CB128" i="29"/>
  <c r="DL165" i="29"/>
  <c r="DL169" i="31" s="1"/>
  <c r="DL167" i="31"/>
  <c r="AY129" i="29"/>
  <c r="AY133" i="31" s="1"/>
  <c r="AY132" i="31"/>
  <c r="IV156" i="29"/>
  <c r="IV158" i="29"/>
  <c r="IV187" i="29"/>
  <c r="IV186" i="29"/>
  <c r="IV183" i="29"/>
  <c r="P129" i="29"/>
  <c r="P133" i="31" s="1"/>
  <c r="P132" i="31"/>
  <c r="AG167" i="31"/>
  <c r="AG165" i="29"/>
  <c r="AG169" i="31" s="1"/>
  <c r="GY156" i="29"/>
  <c r="GY187" i="29"/>
  <c r="GY183" i="29"/>
  <c r="GY158" i="29"/>
  <c r="GY186" i="29"/>
  <c r="DM129" i="29"/>
  <c r="DM133" i="31" s="1"/>
  <c r="DM132" i="31"/>
  <c r="BY165" i="29"/>
  <c r="BY169" i="31" s="1"/>
  <c r="BY167" i="31"/>
  <c r="CW165" i="29"/>
  <c r="CW169" i="31" s="1"/>
  <c r="CW167" i="31"/>
  <c r="JM116" i="29"/>
  <c r="CX152" i="29"/>
  <c r="CX156" i="31" s="1"/>
  <c r="CX155" i="31"/>
  <c r="IQ156" i="29"/>
  <c r="IQ187" i="29"/>
  <c r="IQ183" i="29"/>
  <c r="IQ158" i="29"/>
  <c r="IQ186" i="29"/>
  <c r="S152" i="29"/>
  <c r="S156" i="31" s="1"/>
  <c r="S155" i="31"/>
  <c r="BB152" i="29"/>
  <c r="BB156" i="31" s="1"/>
  <c r="BB155" i="31"/>
  <c r="F167" i="31"/>
  <c r="F165" i="29"/>
  <c r="F169" i="31" s="1"/>
  <c r="T156" i="29"/>
  <c r="T174" i="29"/>
  <c r="T180" i="29"/>
  <c r="T158" i="29"/>
  <c r="T181" i="29"/>
  <c r="T183" i="29"/>
  <c r="T187" i="29"/>
  <c r="JB159" i="29"/>
  <c r="JB169" i="29"/>
  <c r="CK129" i="29"/>
  <c r="CK133" i="31" s="1"/>
  <c r="CK132" i="31"/>
  <c r="AL167" i="31"/>
  <c r="AL165" i="29"/>
  <c r="AL169" i="31" s="1"/>
  <c r="JL100" i="29"/>
  <c r="JP94" i="29"/>
  <c r="JP100" i="29" s="1"/>
  <c r="D106" i="31"/>
  <c r="D106" i="29"/>
  <c r="D110" i="31" s="1"/>
  <c r="D103" i="29"/>
  <c r="JL102" i="29"/>
  <c r="JP102" i="29" s="1"/>
  <c r="CN129" i="29"/>
  <c r="CN133" i="31" s="1"/>
  <c r="CN132" i="31"/>
  <c r="AV152" i="29"/>
  <c r="AV156" i="31" s="1"/>
  <c r="AV155" i="31"/>
  <c r="EB129" i="29"/>
  <c r="EB133" i="31" s="1"/>
  <c r="EB132" i="31"/>
  <c r="BM152" i="31"/>
  <c r="BM154" i="29"/>
  <c r="BM164" i="29" s="1"/>
  <c r="BM168" i="31" s="1"/>
  <c r="BM151" i="29"/>
  <c r="BM163" i="29"/>
  <c r="AA165" i="29"/>
  <c r="AA169" i="31" s="1"/>
  <c r="AA167" i="31"/>
  <c r="AR165" i="29"/>
  <c r="AR169" i="31" s="1"/>
  <c r="AR167" i="31"/>
  <c r="DT107" i="31"/>
  <c r="DT104" i="29"/>
  <c r="DT108" i="31" s="1"/>
  <c r="DT105" i="29"/>
  <c r="DT109" i="31" s="1"/>
  <c r="P156" i="29"/>
  <c r="P181" i="29"/>
  <c r="P174" i="29"/>
  <c r="P180" i="29"/>
  <c r="P183" i="29"/>
  <c r="P158" i="29"/>
  <c r="P187" i="29"/>
  <c r="BG152" i="29"/>
  <c r="BG156" i="31" s="1"/>
  <c r="BG155" i="31"/>
  <c r="AT129" i="29"/>
  <c r="AT133" i="31" s="1"/>
  <c r="AT132" i="31"/>
  <c r="BP156" i="29"/>
  <c r="BP181" i="29"/>
  <c r="BP174" i="29"/>
  <c r="BP180" i="29"/>
  <c r="BP183" i="29"/>
  <c r="BP158" i="29"/>
  <c r="BP187" i="29"/>
  <c r="BR152" i="29"/>
  <c r="BR156" i="31" s="1"/>
  <c r="BR155" i="31"/>
  <c r="DE167" i="31"/>
  <c r="DE165" i="29"/>
  <c r="DE169" i="31" s="1"/>
  <c r="FG156" i="29"/>
  <c r="FG187" i="29"/>
  <c r="FG183" i="29"/>
  <c r="FG158" i="29"/>
  <c r="DN129" i="29"/>
  <c r="DN133" i="31" s="1"/>
  <c r="DN132" i="31"/>
  <c r="EN129" i="29"/>
  <c r="EN133" i="31" s="1"/>
  <c r="EN132" i="31"/>
  <c r="CC152" i="29"/>
  <c r="CC156" i="31" s="1"/>
  <c r="CC155" i="31"/>
  <c r="L165" i="29"/>
  <c r="L169" i="31" s="1"/>
  <c r="L167" i="31"/>
  <c r="CO129" i="29"/>
  <c r="CO133" i="31" s="1"/>
  <c r="CO132" i="31"/>
  <c r="AF129" i="29"/>
  <c r="AF133" i="31" s="1"/>
  <c r="AF132" i="31"/>
  <c r="Z165" i="29"/>
  <c r="Z169" i="31" s="1"/>
  <c r="Z167" i="31"/>
  <c r="IE156" i="29"/>
  <c r="IE186" i="29"/>
  <c r="IE183" i="29"/>
  <c r="IE158" i="29"/>
  <c r="IE187" i="29"/>
  <c r="G152" i="29"/>
  <c r="G156" i="31" s="1"/>
  <c r="G155" i="31"/>
  <c r="AZ129" i="29"/>
  <c r="AZ133" i="31" s="1"/>
  <c r="AZ132" i="31"/>
  <c r="AO152" i="29"/>
  <c r="AO156" i="31" s="1"/>
  <c r="AO155" i="31"/>
  <c r="DW107" i="31"/>
  <c r="DW104" i="29"/>
  <c r="DW108" i="31" s="1"/>
  <c r="DW105" i="29"/>
  <c r="DW109" i="31" s="1"/>
  <c r="EG152" i="31"/>
  <c r="EG154" i="29"/>
  <c r="EG164" i="29" s="1"/>
  <c r="EG168" i="31" s="1"/>
  <c r="EG151" i="29"/>
  <c r="EG163" i="29"/>
  <c r="DF165" i="29"/>
  <c r="DF169" i="31" s="1"/>
  <c r="DF167" i="31"/>
  <c r="CI129" i="29"/>
  <c r="CI133" i="31" s="1"/>
  <c r="CI132" i="31"/>
  <c r="EB167" i="31"/>
  <c r="EB165" i="29"/>
  <c r="EB169" i="31" s="1"/>
  <c r="CZ174" i="29"/>
  <c r="CZ180" i="29"/>
  <c r="CZ158" i="29"/>
  <c r="BI167" i="31"/>
  <c r="BI165" i="29"/>
  <c r="BI169" i="31" s="1"/>
  <c r="DT120" i="31"/>
  <c r="DT117" i="29"/>
  <c r="DT121" i="31" s="1"/>
  <c r="DT128" i="29"/>
  <c r="AD152" i="29"/>
  <c r="AD156" i="31" s="1"/>
  <c r="AD155" i="31"/>
  <c r="BU165" i="29"/>
  <c r="BU169" i="31" s="1"/>
  <c r="BU167" i="31"/>
  <c r="EQ107" i="31"/>
  <c r="EQ104" i="29"/>
  <c r="EQ108" i="31" s="1"/>
  <c r="EQ105" i="29"/>
  <c r="EQ109" i="31" s="1"/>
  <c r="AT152" i="29"/>
  <c r="AT156" i="31" s="1"/>
  <c r="AT155" i="31"/>
  <c r="AT114" i="31"/>
  <c r="AP152" i="31"/>
  <c r="AP173" i="31" s="1"/>
  <c r="AP163" i="29"/>
  <c r="AP169" i="29"/>
  <c r="AP110" i="29" s="1"/>
  <c r="AP151" i="29"/>
  <c r="AP154" i="29"/>
  <c r="AP164" i="29" s="1"/>
  <c r="AP168" i="31" s="1"/>
  <c r="F109" i="31"/>
  <c r="IC156" i="29"/>
  <c r="IC187" i="29"/>
  <c r="IC183" i="29"/>
  <c r="IC186" i="29"/>
  <c r="IC158" i="29"/>
  <c r="CM129" i="29"/>
  <c r="CM133" i="31" s="1"/>
  <c r="CM132" i="31"/>
  <c r="AL129" i="29"/>
  <c r="AL133" i="31" s="1"/>
  <c r="AL132" i="31"/>
  <c r="DB129" i="29"/>
  <c r="DB133" i="31" s="1"/>
  <c r="DB132" i="31"/>
  <c r="N129" i="29"/>
  <c r="N133" i="31" s="1"/>
  <c r="N132" i="31"/>
  <c r="O156" i="29"/>
  <c r="O174" i="29"/>
  <c r="O180" i="29"/>
  <c r="O158" i="29"/>
  <c r="O187" i="29"/>
  <c r="O183" i="29"/>
  <c r="O181" i="29"/>
  <c r="DD129" i="29"/>
  <c r="DD133" i="31" s="1"/>
  <c r="DD132" i="31"/>
  <c r="ET171" i="31"/>
  <c r="BA167" i="31"/>
  <c r="BA165" i="29"/>
  <c r="BA169" i="31" s="1"/>
  <c r="DG120" i="31"/>
  <c r="DG117" i="29"/>
  <c r="DG121" i="31" s="1"/>
  <c r="DG128" i="29"/>
  <c r="EH129" i="29"/>
  <c r="EH133" i="31" s="1"/>
  <c r="EH132" i="31"/>
  <c r="BJ156" i="29"/>
  <c r="BJ174" i="29"/>
  <c r="BJ180" i="29"/>
  <c r="BJ158" i="29"/>
  <c r="BJ187" i="29"/>
  <c r="BJ181" i="29"/>
  <c r="BJ183" i="29"/>
  <c r="DZ152" i="31"/>
  <c r="DZ154" i="29"/>
  <c r="DZ164" i="29" s="1"/>
  <c r="DZ168" i="31" s="1"/>
  <c r="DZ151" i="29"/>
  <c r="DZ163" i="29"/>
  <c r="JA156" i="29"/>
  <c r="JA186" i="29"/>
  <c r="JA187" i="29"/>
  <c r="JA183" i="29"/>
  <c r="JA158" i="29"/>
  <c r="CK167" i="31"/>
  <c r="CK165" i="29"/>
  <c r="CK169" i="31" s="1"/>
  <c r="BO173" i="31"/>
  <c r="BO114" i="31" s="1"/>
  <c r="EI129" i="29"/>
  <c r="EI133" i="31" s="1"/>
  <c r="EI132" i="31"/>
  <c r="FT156" i="29"/>
  <c r="FT187" i="29"/>
  <c r="FT183" i="29"/>
  <c r="FT158" i="29"/>
  <c r="FT186" i="29"/>
  <c r="X165" i="29"/>
  <c r="X169" i="31" s="1"/>
  <c r="X167" i="31"/>
  <c r="CD129" i="29"/>
  <c r="CD133" i="31" s="1"/>
  <c r="CD132" i="31"/>
  <c r="Y156" i="29"/>
  <c r="Y181" i="29"/>
  <c r="Y174" i="29"/>
  <c r="Y158" i="29"/>
  <c r="Y180" i="29"/>
  <c r="Y187" i="29"/>
  <c r="Y183" i="29"/>
  <c r="CY152" i="29"/>
  <c r="CY156" i="31" s="1"/>
  <c r="CY155" i="31"/>
  <c r="K120" i="31"/>
  <c r="K117" i="29"/>
  <c r="K121" i="31" s="1"/>
  <c r="K128" i="29"/>
  <c r="DC165" i="29"/>
  <c r="DC169" i="31" s="1"/>
  <c r="DC167" i="31"/>
  <c r="DC173" i="31"/>
  <c r="DC114" i="31" s="1"/>
  <c r="EC129" i="29"/>
  <c r="EC133" i="31" s="1"/>
  <c r="EC132" i="31"/>
  <c r="CM167" i="31"/>
  <c r="CM165" i="29"/>
  <c r="CM169" i="31" s="1"/>
  <c r="AB172" i="29"/>
  <c r="DB173" i="31"/>
  <c r="DB114" i="31" s="1"/>
  <c r="ES167" i="31"/>
  <c r="ES165" i="29"/>
  <c r="ES169" i="31" s="1"/>
  <c r="BX129" i="29"/>
  <c r="BX133" i="31" s="1"/>
  <c r="BX132" i="31"/>
  <c r="BT156" i="29"/>
  <c r="BT181" i="29"/>
  <c r="BT158" i="29"/>
  <c r="BT174" i="29"/>
  <c r="BT180" i="29"/>
  <c r="BT187" i="29"/>
  <c r="BT183" i="29"/>
  <c r="BC167" i="31"/>
  <c r="BC165" i="29"/>
  <c r="BC169" i="31" s="1"/>
  <c r="BF129" i="29"/>
  <c r="BF133" i="31" s="1"/>
  <c r="BF132" i="31"/>
  <c r="EP129" i="29"/>
  <c r="EP133" i="31" s="1"/>
  <c r="EP132" i="31"/>
  <c r="CP152" i="29"/>
  <c r="CP156" i="31" s="1"/>
  <c r="CP155" i="31"/>
  <c r="U152" i="29"/>
  <c r="U156" i="31" s="1"/>
  <c r="U155" i="31"/>
  <c r="BD129" i="29"/>
  <c r="BD133" i="31" s="1"/>
  <c r="BD132" i="31"/>
  <c r="CO167" i="31"/>
  <c r="CO165" i="29"/>
  <c r="CO169" i="31" s="1"/>
  <c r="EE167" i="31"/>
  <c r="EE165" i="29"/>
  <c r="EE169" i="31" s="1"/>
  <c r="AK129" i="29"/>
  <c r="AK133" i="31" s="1"/>
  <c r="AK132" i="31"/>
  <c r="AJ152" i="31"/>
  <c r="AJ163" i="29"/>
  <c r="AJ151" i="29"/>
  <c r="AJ154" i="29"/>
  <c r="AJ164" i="29" s="1"/>
  <c r="AJ168" i="31" s="1"/>
  <c r="V167" i="31"/>
  <c r="V165" i="29"/>
  <c r="V169" i="31" s="1"/>
  <c r="BN152" i="29"/>
  <c r="BN156" i="31" s="1"/>
  <c r="BN155" i="31"/>
  <c r="DY165" i="29"/>
  <c r="DY169" i="31" s="1"/>
  <c r="DY167" i="31"/>
  <c r="CR156" i="29"/>
  <c r="CR183" i="29"/>
  <c r="CR187" i="29"/>
  <c r="CR181" i="29"/>
  <c r="CR174" i="29"/>
  <c r="CR180" i="29"/>
  <c r="CR158" i="29"/>
  <c r="BK165" i="29"/>
  <c r="BK169" i="31" s="1"/>
  <c r="BK167" i="31"/>
  <c r="FL159" i="29"/>
  <c r="BF152" i="29"/>
  <c r="BF156" i="31" s="1"/>
  <c r="BF155" i="31"/>
  <c r="GF162" i="31"/>
  <c r="GF173" i="31" s="1"/>
  <c r="GF159" i="29"/>
  <c r="JO132" i="31"/>
  <c r="ER129" i="29"/>
  <c r="ER133" i="31" s="1"/>
  <c r="ER132" i="31"/>
  <c r="FM156" i="29"/>
  <c r="FM158" i="29"/>
  <c r="FM187" i="29"/>
  <c r="FM183" i="29"/>
  <c r="FM186" i="29"/>
  <c r="W155" i="29"/>
  <c r="AF156" i="29"/>
  <c r="AF183" i="29"/>
  <c r="AF158" i="29"/>
  <c r="AF181" i="29"/>
  <c r="AF174" i="29"/>
  <c r="AF180" i="29"/>
  <c r="AF187" i="29"/>
  <c r="AS165" i="29"/>
  <c r="AS169" i="31" s="1"/>
  <c r="AS167" i="31"/>
  <c r="AZ165" i="29"/>
  <c r="AZ169" i="31" s="1"/>
  <c r="AZ167" i="31"/>
  <c r="AE152" i="29"/>
  <c r="AE156" i="31" s="1"/>
  <c r="AE155" i="31"/>
  <c r="HG156" i="29"/>
  <c r="HG186" i="29"/>
  <c r="HG187" i="29"/>
  <c r="HG183" i="29"/>
  <c r="HG158" i="29"/>
  <c r="CQ156" i="29"/>
  <c r="CQ158" i="29"/>
  <c r="CQ187" i="29"/>
  <c r="CQ183" i="29"/>
  <c r="CQ174" i="29"/>
  <c r="CQ180" i="29"/>
  <c r="CQ181" i="29"/>
  <c r="EL129" i="29"/>
  <c r="EL133" i="31" s="1"/>
  <c r="EL132" i="31"/>
  <c r="M155" i="29"/>
  <c r="EP152" i="29"/>
  <c r="EP156" i="31" s="1"/>
  <c r="EP155" i="31"/>
  <c r="CE152" i="29"/>
  <c r="CE156" i="31" s="1"/>
  <c r="CE155" i="31"/>
  <c r="U129" i="29"/>
  <c r="U133" i="31" s="1"/>
  <c r="U132" i="31"/>
  <c r="AM152" i="29"/>
  <c r="AM156" i="31" s="1"/>
  <c r="AM155" i="31"/>
  <c r="DQ152" i="29"/>
  <c r="DQ156" i="31" s="1"/>
  <c r="DQ155" i="31"/>
  <c r="CS129" i="29"/>
  <c r="CS133" i="31" s="1"/>
  <c r="CS132" i="31"/>
  <c r="W129" i="29"/>
  <c r="W133" i="31" s="1"/>
  <c r="W132" i="31"/>
  <c r="BD152" i="29"/>
  <c r="BD156" i="31" s="1"/>
  <c r="BD155" i="31"/>
  <c r="CF155" i="29"/>
  <c r="GO156" i="29"/>
  <c r="GO183" i="29"/>
  <c r="GO158" i="29"/>
  <c r="GO187" i="29"/>
  <c r="CN152" i="29"/>
  <c r="CN156" i="31" s="1"/>
  <c r="CN155" i="31"/>
  <c r="CB152" i="31"/>
  <c r="CB173" i="31" s="1"/>
  <c r="CB154" i="29"/>
  <c r="CB164" i="29" s="1"/>
  <c r="CB168" i="31" s="1"/>
  <c r="CB163" i="29"/>
  <c r="CB169" i="29"/>
  <c r="CB110" i="29" s="1"/>
  <c r="CB151" i="29"/>
  <c r="II156" i="29"/>
  <c r="II158" i="29"/>
  <c r="II187" i="29"/>
  <c r="II183" i="29"/>
  <c r="II186" i="29"/>
  <c r="GB156" i="29"/>
  <c r="GB183" i="29"/>
  <c r="GB158" i="29"/>
  <c r="GB187" i="29"/>
  <c r="AR129" i="29"/>
  <c r="AR133" i="31" s="1"/>
  <c r="AR132" i="31"/>
  <c r="AG155" i="29"/>
  <c r="EQ120" i="31"/>
  <c r="EQ128" i="29"/>
  <c r="EQ117" i="29"/>
  <c r="EQ121" i="31" s="1"/>
  <c r="GI156" i="29"/>
  <c r="GI187" i="29"/>
  <c r="GI183" i="29"/>
  <c r="GI186" i="29"/>
  <c r="GI158" i="29"/>
  <c r="ED152" i="29"/>
  <c r="ED156" i="31" s="1"/>
  <c r="ED155" i="31"/>
  <c r="EA167" i="31"/>
  <c r="EA165" i="29"/>
  <c r="EA169" i="31" s="1"/>
  <c r="BR129" i="29"/>
  <c r="BR133" i="31" s="1"/>
  <c r="BR132" i="31"/>
  <c r="DC129" i="29"/>
  <c r="DC133" i="31" s="1"/>
  <c r="DC132" i="31"/>
  <c r="EC152" i="29"/>
  <c r="EC156" i="31" s="1"/>
  <c r="EC155" i="31"/>
  <c r="R165" i="29"/>
  <c r="R169" i="31" s="1"/>
  <c r="R167" i="31"/>
  <c r="CW155" i="29"/>
  <c r="BS152" i="29"/>
  <c r="BS156" i="31" s="1"/>
  <c r="BS155" i="31"/>
  <c r="DS107" i="31"/>
  <c r="DS105" i="29"/>
  <c r="DS109" i="31" s="1"/>
  <c r="DS104" i="29"/>
  <c r="DS108" i="31" s="1"/>
  <c r="GP156" i="29"/>
  <c r="GP186" i="29"/>
  <c r="GP183" i="29"/>
  <c r="GP187" i="29"/>
  <c r="GP158" i="29"/>
  <c r="CX165" i="29"/>
  <c r="CX169" i="31" s="1"/>
  <c r="CX167" i="31"/>
  <c r="DP155" i="29"/>
  <c r="WC218" i="1" s="1"/>
  <c r="DA165" i="29"/>
  <c r="DA169" i="31" s="1"/>
  <c r="DA167" i="31"/>
  <c r="S167" i="31"/>
  <c r="S165" i="29"/>
  <c r="S169" i="31" s="1"/>
  <c r="BC129" i="29"/>
  <c r="BC133" i="31" s="1"/>
  <c r="BC132" i="31"/>
  <c r="AN129" i="29"/>
  <c r="AN133" i="31" s="1"/>
  <c r="AN132" i="31"/>
  <c r="BB167" i="31"/>
  <c r="BB165" i="29"/>
  <c r="BB169" i="31" s="1"/>
  <c r="E117" i="31"/>
  <c r="E148" i="29"/>
  <c r="E116" i="29"/>
  <c r="F155" i="29"/>
  <c r="T167" i="31"/>
  <c r="T165" i="29"/>
  <c r="T169" i="31" s="1"/>
  <c r="DP129" i="29"/>
  <c r="DP133" i="31" s="1"/>
  <c r="DP132" i="31"/>
  <c r="AX167" i="31"/>
  <c r="AX165" i="29"/>
  <c r="AX169" i="31" s="1"/>
  <c r="CD167" i="31"/>
  <c r="CD165" i="29"/>
  <c r="CD169" i="31" s="1"/>
  <c r="CD152" i="29"/>
  <c r="CD156" i="31" s="1"/>
  <c r="CD155" i="31"/>
  <c r="AL155" i="29"/>
  <c r="J107" i="31"/>
  <c r="J104" i="29"/>
  <c r="J108" i="31" s="1"/>
  <c r="J105" i="29"/>
  <c r="J109" i="31" s="1"/>
  <c r="BE129" i="29"/>
  <c r="BE133" i="31" s="1"/>
  <c r="BE132" i="31"/>
  <c r="Q155" i="29"/>
  <c r="GR156" i="29"/>
  <c r="GR183" i="29"/>
  <c r="GR187" i="29"/>
  <c r="GR186" i="29"/>
  <c r="GR158" i="29"/>
  <c r="HR156" i="29"/>
  <c r="HR187" i="29"/>
  <c r="HR186" i="29"/>
  <c r="HR183" i="29"/>
  <c r="HR158" i="29"/>
  <c r="CV107" i="31"/>
  <c r="CV105" i="29"/>
  <c r="CV109" i="31" s="1"/>
  <c r="CV104" i="29"/>
  <c r="CV108" i="31" s="1"/>
  <c r="W167" i="31"/>
  <c r="W165" i="29"/>
  <c r="W169" i="31" s="1"/>
  <c r="AS173" i="31"/>
  <c r="AS114" i="31" s="1"/>
  <c r="FI156" i="29"/>
  <c r="FI183" i="29"/>
  <c r="FI158" i="29"/>
  <c r="FI187" i="29"/>
  <c r="FA156" i="29"/>
  <c r="FA187" i="29"/>
  <c r="FA183" i="29"/>
  <c r="FA158" i="29"/>
  <c r="AZ155" i="29"/>
  <c r="AE155" i="29"/>
  <c r="CQ152" i="29"/>
  <c r="CQ156" i="31" s="1"/>
  <c r="CQ155" i="31"/>
  <c r="D117" i="31"/>
  <c r="D148" i="29"/>
  <c r="D116" i="29"/>
  <c r="JL113" i="29"/>
  <c r="JP113" i="29" s="1"/>
  <c r="JI113" i="29"/>
  <c r="JI117" i="31" s="1"/>
  <c r="AV155" i="29"/>
  <c r="AY152" i="29"/>
  <c r="AY156" i="31" s="1"/>
  <c r="AY155" i="31"/>
  <c r="AY173" i="31"/>
  <c r="AY114" i="31" s="1"/>
  <c r="AA155" i="29"/>
  <c r="AR152" i="29"/>
  <c r="AR156" i="31" s="1"/>
  <c r="AR155" i="31"/>
  <c r="P152" i="29"/>
  <c r="P156" i="31" s="1"/>
  <c r="P155" i="31"/>
  <c r="BU129" i="29"/>
  <c r="BU133" i="31" s="1"/>
  <c r="BU132" i="31"/>
  <c r="HP156" i="29"/>
  <c r="HP187" i="29"/>
  <c r="HP186" i="29"/>
  <c r="HP183" i="29"/>
  <c r="HP158" i="29"/>
  <c r="FE156" i="29"/>
  <c r="FE183" i="29"/>
  <c r="FE158" i="29"/>
  <c r="FE187" i="29"/>
  <c r="BP152" i="29"/>
  <c r="BP156" i="31" s="1"/>
  <c r="BP155" i="31"/>
  <c r="K107" i="31"/>
  <c r="K105" i="29"/>
  <c r="K109" i="31" s="1"/>
  <c r="K104" i="29"/>
  <c r="K108" i="31" s="1"/>
  <c r="DR107" i="31"/>
  <c r="DR105" i="29"/>
  <c r="DR109" i="31" s="1"/>
  <c r="DR104" i="29"/>
  <c r="DR108" i="31" s="1"/>
  <c r="CW129" i="29"/>
  <c r="CW133" i="31" s="1"/>
  <c r="CW132" i="31"/>
  <c r="N167" i="31"/>
  <c r="N165" i="29"/>
  <c r="N169" i="31" s="1"/>
  <c r="AU155" i="29"/>
  <c r="BB129" i="29"/>
  <c r="BB133" i="31" s="1"/>
  <c r="BB132" i="31"/>
  <c r="L155" i="29"/>
  <c r="ER155" i="29"/>
  <c r="WC270" i="1" s="1"/>
  <c r="JN132" i="31"/>
  <c r="CG165" i="29"/>
  <c r="CG169" i="31" s="1"/>
  <c r="CG167" i="31"/>
  <c r="J120" i="31"/>
  <c r="J128" i="29"/>
  <c r="J117" i="29"/>
  <c r="J121" i="31" s="1"/>
  <c r="CP129" i="29"/>
  <c r="CP133" i="31" s="1"/>
  <c r="CP132" i="31"/>
  <c r="G155" i="29"/>
  <c r="V129" i="29"/>
  <c r="V133" i="31" s="1"/>
  <c r="V132" i="31"/>
  <c r="AO167" i="31"/>
  <c r="AO165" i="29"/>
  <c r="AO169" i="31" s="1"/>
  <c r="AO173" i="31"/>
  <c r="DF155" i="29"/>
  <c r="WC199" i="1" s="1"/>
  <c r="EM155" i="29"/>
  <c r="WC263" i="1" s="1"/>
  <c r="EF165" i="29"/>
  <c r="EF169" i="31" s="1"/>
  <c r="EF167" i="31"/>
  <c r="AQ152" i="29"/>
  <c r="AQ156" i="31" s="1"/>
  <c r="AQ155" i="31"/>
  <c r="CU155" i="29"/>
  <c r="CZ167" i="31"/>
  <c r="CZ165" i="29"/>
  <c r="CZ169" i="31" s="1"/>
  <c r="BI155" i="29"/>
  <c r="EO129" i="29"/>
  <c r="EO133" i="31" s="1"/>
  <c r="EO132" i="31"/>
  <c r="DT152" i="31"/>
  <c r="DT163" i="29"/>
  <c r="DT154" i="29"/>
  <c r="DT164" i="29" s="1"/>
  <c r="DT168" i="31" s="1"/>
  <c r="DT151" i="29"/>
  <c r="AD155" i="29"/>
  <c r="BU114" i="31"/>
  <c r="BW152" i="31"/>
  <c r="BW154" i="29"/>
  <c r="BW164" i="29" s="1"/>
  <c r="BW168" i="31" s="1"/>
  <c r="BW151" i="29"/>
  <c r="BW163" i="29"/>
  <c r="AT165" i="29"/>
  <c r="AT169" i="31" s="1"/>
  <c r="AT167" i="31"/>
  <c r="JM103" i="29"/>
  <c r="DR152" i="31"/>
  <c r="DR151" i="29"/>
  <c r="DR154" i="29"/>
  <c r="DR164" i="29" s="1"/>
  <c r="DR168" i="31" s="1"/>
  <c r="DR163" i="29"/>
  <c r="BH152" i="29"/>
  <c r="BH156" i="31" s="1"/>
  <c r="BH155" i="31"/>
  <c r="O152" i="29"/>
  <c r="O156" i="31" s="1"/>
  <c r="O155" i="31"/>
  <c r="DH129" i="29"/>
  <c r="DH133" i="31" s="1"/>
  <c r="DH132" i="31"/>
  <c r="BA156" i="29"/>
  <c r="BA183" i="29"/>
  <c r="BA187" i="29"/>
  <c r="BA181" i="29"/>
  <c r="BA174" i="29"/>
  <c r="BA180" i="29"/>
  <c r="BA158" i="29"/>
  <c r="DG152" i="31"/>
  <c r="DG154" i="29"/>
  <c r="DG164" i="29" s="1"/>
  <c r="DG168" i="31" s="1"/>
  <c r="DG163" i="29"/>
  <c r="DG151" i="29"/>
  <c r="DS120" i="31"/>
  <c r="DS128" i="29"/>
  <c r="DS117" i="29"/>
  <c r="DS121" i="31" s="1"/>
  <c r="CK155" i="29"/>
  <c r="BO152" i="29"/>
  <c r="BO156" i="31" s="1"/>
  <c r="BO155" i="31"/>
  <c r="BX165" i="29"/>
  <c r="BX169" i="31" s="1"/>
  <c r="BX167" i="31"/>
  <c r="BX173" i="31"/>
  <c r="BX114" i="31" s="1"/>
  <c r="JG156" i="29"/>
  <c r="JG187" i="29"/>
  <c r="JG183" i="29"/>
  <c r="JG158" i="29"/>
  <c r="JG186" i="29"/>
  <c r="BT129" i="29"/>
  <c r="BT133" i="31" s="1"/>
  <c r="BT132" i="31"/>
  <c r="JE156" i="29"/>
  <c r="JE158" i="29"/>
  <c r="JE187" i="29"/>
  <c r="JE183" i="29"/>
  <c r="JE186" i="29"/>
  <c r="K152" i="31"/>
  <c r="K154" i="29"/>
  <c r="K164" i="29" s="1"/>
  <c r="K168" i="31" s="1"/>
  <c r="K151" i="29"/>
  <c r="K163" i="29"/>
  <c r="CM156" i="29"/>
  <c r="CM158" i="29"/>
  <c r="CM187" i="29"/>
  <c r="CM180" i="29"/>
  <c r="CM183" i="29"/>
  <c r="CM181" i="29"/>
  <c r="CM174" i="29"/>
  <c r="AB152" i="29"/>
  <c r="AB156" i="31" s="1"/>
  <c r="AB155" i="31"/>
  <c r="DB165" i="29"/>
  <c r="DB169" i="31" s="1"/>
  <c r="DB167" i="31"/>
  <c r="DH167" i="31"/>
  <c r="DH165" i="29"/>
  <c r="DH169" i="31" s="1"/>
  <c r="DZ107" i="31"/>
  <c r="DZ104" i="29"/>
  <c r="DZ108" i="31" s="1"/>
  <c r="DZ105" i="29"/>
  <c r="DZ109" i="31" s="1"/>
  <c r="FO159" i="29"/>
  <c r="ES152" i="29"/>
  <c r="ES156" i="31" s="1"/>
  <c r="ES155" i="31"/>
  <c r="S129" i="29"/>
  <c r="S133" i="31" s="1"/>
  <c r="S132" i="31"/>
  <c r="BC155" i="29"/>
  <c r="AN152" i="29"/>
  <c r="AN156" i="31" s="1"/>
  <c r="AN155" i="31"/>
  <c r="AN114" i="31"/>
  <c r="CG129" i="29"/>
  <c r="CG133" i="31" s="1"/>
  <c r="CG132" i="31"/>
  <c r="CJ155" i="29"/>
  <c r="CE129" i="29"/>
  <c r="CE133" i="31" s="1"/>
  <c r="CE132" i="31"/>
  <c r="CP165" i="29"/>
  <c r="CP169" i="31" s="1"/>
  <c r="CP167" i="31"/>
  <c r="DQ129" i="29"/>
  <c r="DQ133" i="31" s="1"/>
  <c r="DQ132" i="31"/>
  <c r="AH167" i="31"/>
  <c r="AH165" i="29"/>
  <c r="AH169" i="31" s="1"/>
  <c r="CT129" i="29"/>
  <c r="CT133" i="31" s="1"/>
  <c r="CT132" i="31"/>
  <c r="CO152" i="29"/>
  <c r="CO156" i="31" s="1"/>
  <c r="CO155" i="31"/>
  <c r="V155" i="29"/>
  <c r="DY152" i="29"/>
  <c r="DY156" i="31" s="1"/>
  <c r="DY155" i="31"/>
  <c r="DF129" i="29"/>
  <c r="DF133" i="31" s="1"/>
  <c r="DF132" i="31"/>
  <c r="CR152" i="29"/>
  <c r="CR156" i="31" s="1"/>
  <c r="CR155" i="31"/>
  <c r="BK156" i="29"/>
  <c r="BK158" i="29"/>
  <c r="BK187" i="29"/>
  <c r="BK183" i="29"/>
  <c r="BK174" i="29"/>
  <c r="BK180" i="29"/>
  <c r="BK181" i="29"/>
  <c r="BZ152" i="29"/>
  <c r="BZ156" i="31" s="1"/>
  <c r="BZ155" i="31"/>
  <c r="CZ129" i="29"/>
  <c r="CZ133" i="31" s="1"/>
  <c r="CZ132" i="31"/>
  <c r="DU129" i="29"/>
  <c r="DU133" i="31" s="1"/>
  <c r="DU132" i="31"/>
  <c r="EO152" i="29"/>
  <c r="EO156" i="31" s="1"/>
  <c r="EO155" i="31"/>
  <c r="EO173" i="31"/>
  <c r="EO114" i="31" s="1"/>
  <c r="I129" i="29"/>
  <c r="I133" i="31" s="1"/>
  <c r="I132" i="31"/>
  <c r="AI107" i="31"/>
  <c r="AI104" i="29"/>
  <c r="AI108" i="31" s="1"/>
  <c r="AI105" i="29"/>
  <c r="AI109" i="31" s="1"/>
  <c r="X129" i="29"/>
  <c r="X133" i="31" s="1"/>
  <c r="X132" i="31"/>
  <c r="EK167" i="31"/>
  <c r="EK165" i="29"/>
  <c r="EK169" i="31" s="1"/>
  <c r="M152" i="29"/>
  <c r="M156" i="31" s="1"/>
  <c r="M155" i="31"/>
  <c r="EZ156" i="29"/>
  <c r="EZ183" i="29"/>
  <c r="EZ158" i="29"/>
  <c r="EZ186" i="29"/>
  <c r="EZ187" i="29"/>
  <c r="CE156" i="29"/>
  <c r="CE181" i="29"/>
  <c r="CE158" i="29"/>
  <c r="CE187" i="29"/>
  <c r="CE174" i="29"/>
  <c r="CE180" i="29"/>
  <c r="CE183" i="29"/>
  <c r="DI129" i="29"/>
  <c r="DI133" i="31" s="1"/>
  <c r="DI132" i="31"/>
  <c r="AK167" i="31"/>
  <c r="AK165" i="29"/>
  <c r="AK169" i="31" s="1"/>
  <c r="BN129" i="29"/>
  <c r="BN133" i="31" s="1"/>
  <c r="BN132" i="31"/>
  <c r="AE129" i="29"/>
  <c r="AE133" i="31" s="1"/>
  <c r="AE132" i="31"/>
  <c r="DY129" i="29"/>
  <c r="DY133" i="31" s="1"/>
  <c r="DY132" i="31"/>
  <c r="BG129" i="29"/>
  <c r="BG133" i="31" s="1"/>
  <c r="BG132" i="31"/>
  <c r="ED167" i="31"/>
  <c r="ED165" i="29"/>
  <c r="ED169" i="31" s="1"/>
  <c r="EA152" i="29"/>
  <c r="EA156" i="31" s="1"/>
  <c r="EA155" i="31"/>
  <c r="EA173" i="31"/>
  <c r="EA114" i="31" s="1"/>
  <c r="EV162" i="31"/>
  <c r="EV159" i="29"/>
  <c r="EV169" i="29"/>
  <c r="CY129" i="29"/>
  <c r="CY133" i="31" s="1"/>
  <c r="CY132" i="31"/>
  <c r="BP129" i="29"/>
  <c r="BP133" i="31" s="1"/>
  <c r="BP132" i="31"/>
  <c r="R152" i="29"/>
  <c r="R156" i="31" s="1"/>
  <c r="R155" i="31"/>
  <c r="BY156" i="29"/>
  <c r="BY158" i="29"/>
  <c r="BY187" i="29"/>
  <c r="BY181" i="29"/>
  <c r="BY174" i="29"/>
  <c r="BY183" i="29"/>
  <c r="BY180" i="29"/>
  <c r="AU129" i="29"/>
  <c r="AU133" i="31" s="1"/>
  <c r="AU132" i="31"/>
  <c r="L129" i="29"/>
  <c r="L133" i="31" s="1"/>
  <c r="L132" i="31"/>
  <c r="BS167" i="31"/>
  <c r="BS165" i="29"/>
  <c r="BS169" i="31" s="1"/>
  <c r="BS173" i="31"/>
  <c r="BS114" i="31" s="1"/>
  <c r="DV129" i="29"/>
  <c r="DV133" i="31" s="1"/>
  <c r="DV132" i="31"/>
  <c r="F121" i="31"/>
  <c r="DX129" i="29"/>
  <c r="DX133" i="31" s="1"/>
  <c r="DX132" i="31"/>
  <c r="ES129" i="29"/>
  <c r="ES133" i="31" s="1"/>
  <c r="ES132" i="31"/>
  <c r="FN156" i="29"/>
  <c r="FN183" i="29"/>
  <c r="FN187" i="29"/>
  <c r="FN158" i="29"/>
  <c r="FN186" i="29"/>
  <c r="T152" i="29"/>
  <c r="T156" i="31" s="1"/>
  <c r="T155" i="31"/>
  <c r="AX152" i="29"/>
  <c r="AX156" i="31" s="1"/>
  <c r="AX155" i="31"/>
  <c r="AX173" i="31"/>
  <c r="AX114" i="31" s="1"/>
  <c r="AL152" i="29"/>
  <c r="AL156" i="31" s="1"/>
  <c r="AL155" i="31"/>
  <c r="FZ156" i="29"/>
  <c r="FZ187" i="29"/>
  <c r="FZ183" i="29"/>
  <c r="FZ158" i="29"/>
  <c r="FZ186" i="29"/>
  <c r="BF165" i="29"/>
  <c r="BF169" i="31" s="1"/>
  <c r="BF167" i="31"/>
  <c r="EK152" i="29"/>
  <c r="EK156" i="31" s="1"/>
  <c r="EK155" i="31"/>
  <c r="CJ129" i="29"/>
  <c r="CJ133" i="31" s="1"/>
  <c r="CJ132" i="31"/>
  <c r="DQ165" i="29"/>
  <c r="DQ169" i="31" s="1"/>
  <c r="DQ167" i="31"/>
  <c r="CF167" i="31"/>
  <c r="CF165" i="29"/>
  <c r="CF169" i="31" s="1"/>
  <c r="AS129" i="29"/>
  <c r="AS133" i="31" s="1"/>
  <c r="AS132" i="31"/>
  <c r="AK152" i="29"/>
  <c r="AK156" i="31" s="1"/>
  <c r="AK155" i="31"/>
  <c r="HY159" i="29"/>
  <c r="CR129" i="29"/>
  <c r="CR133" i="31" s="1"/>
  <c r="CR132" i="31"/>
  <c r="IO169" i="29"/>
  <c r="IO159" i="29"/>
  <c r="DL114" i="31"/>
  <c r="BV107" i="31"/>
  <c r="BV105" i="29"/>
  <c r="BV109" i="31" s="1"/>
  <c r="BV104" i="29"/>
  <c r="BV108" i="31" s="1"/>
  <c r="AG152" i="29"/>
  <c r="AG156" i="31" s="1"/>
  <c r="AG155" i="31"/>
  <c r="EQ152" i="31"/>
  <c r="EQ154" i="29"/>
  <c r="EQ164" i="29" s="1"/>
  <c r="EQ168" i="31" s="1"/>
  <c r="EQ151" i="29"/>
  <c r="EQ163" i="29"/>
  <c r="EQ169" i="29"/>
  <c r="BW107" i="31"/>
  <c r="BW104" i="29"/>
  <c r="BW108" i="31" s="1"/>
  <c r="BW105" i="29"/>
  <c r="BW109" i="31" s="1"/>
  <c r="AP107" i="31"/>
  <c r="AP105" i="29"/>
  <c r="AP109" i="31" s="1"/>
  <c r="AP104" i="29"/>
  <c r="AP108" i="31" s="1"/>
  <c r="JN155" i="29"/>
  <c r="EC167" i="31"/>
  <c r="EC165" i="29"/>
  <c r="EC169" i="31" s="1"/>
  <c r="R155" i="29"/>
  <c r="AW129" i="29"/>
  <c r="AW133" i="31" s="1"/>
  <c r="AW132" i="31"/>
  <c r="AB129" i="29"/>
  <c r="AB133" i="31" s="1"/>
  <c r="AB132" i="31"/>
  <c r="GD156" i="29"/>
  <c r="GD183" i="29"/>
  <c r="GD187" i="29"/>
  <c r="GD158" i="29"/>
  <c r="GD186" i="29"/>
  <c r="BY152" i="29"/>
  <c r="BY156" i="31" s="1"/>
  <c r="BY155" i="31"/>
  <c r="CW152" i="29"/>
  <c r="CW156" i="31" s="1"/>
  <c r="CW155" i="31"/>
  <c r="F132" i="31"/>
  <c r="F129" i="29"/>
  <c r="F133" i="31" s="1"/>
  <c r="CX155" i="29"/>
  <c r="T129" i="29"/>
  <c r="T133" i="31" s="1"/>
  <c r="T132" i="31"/>
  <c r="BQ120" i="31"/>
  <c r="BQ117" i="29"/>
  <c r="BQ121" i="31" s="1"/>
  <c r="BQ128" i="29"/>
  <c r="DP152" i="29"/>
  <c r="DP156" i="31" s="1"/>
  <c r="DP155" i="31"/>
  <c r="HW156" i="29"/>
  <c r="HW183" i="29"/>
  <c r="HW187" i="29"/>
  <c r="HW158" i="29"/>
  <c r="HW186" i="29"/>
  <c r="DA155" i="29"/>
  <c r="WC194" i="1" s="1"/>
  <c r="S155" i="29"/>
  <c r="AX129" i="29"/>
  <c r="AX133" i="31" s="1"/>
  <c r="AX132" i="31"/>
  <c r="DK129" i="29"/>
  <c r="DK133" i="31" s="1"/>
  <c r="DK132" i="31"/>
  <c r="E106" i="31"/>
  <c r="E103" i="29"/>
  <c r="E106" i="29"/>
  <c r="E110" i="31" s="1"/>
  <c r="F152" i="29"/>
  <c r="F156" i="31" s="1"/>
  <c r="F155" i="31"/>
  <c r="CX129" i="29"/>
  <c r="CX133" i="31" s="1"/>
  <c r="CX132" i="31"/>
  <c r="FW156" i="29"/>
  <c r="FW183" i="29"/>
  <c r="FW187" i="29"/>
  <c r="FW158" i="29"/>
  <c r="FW186" i="29"/>
  <c r="EI152" i="29"/>
  <c r="EI156" i="31" s="1"/>
  <c r="EI155" i="31"/>
  <c r="CD156" i="29"/>
  <c r="CD187" i="29"/>
  <c r="CD158" i="29"/>
  <c r="CD180" i="29"/>
  <c r="CD183" i="29"/>
  <c r="CD172" i="29"/>
  <c r="CD174" i="29"/>
  <c r="CD181" i="29"/>
  <c r="CD173" i="31"/>
  <c r="O129" i="29"/>
  <c r="O133" i="31" s="1"/>
  <c r="O132" i="31"/>
  <c r="EK129" i="29"/>
  <c r="EK133" i="31" s="1"/>
  <c r="EK132" i="31"/>
  <c r="Q167" i="31"/>
  <c r="Q165" i="29"/>
  <c r="Q169" i="31" s="1"/>
  <c r="M129" i="29"/>
  <c r="M133" i="31" s="1"/>
  <c r="M132" i="31"/>
  <c r="W152" i="29"/>
  <c r="W156" i="31" s="1"/>
  <c r="W155" i="31"/>
  <c r="AF152" i="29"/>
  <c r="AF156" i="31" s="1"/>
  <c r="AF155" i="31"/>
  <c r="IN156" i="29"/>
  <c r="IN158" i="29"/>
  <c r="IN187" i="29"/>
  <c r="IN186" i="29"/>
  <c r="IN183" i="29"/>
  <c r="BL120" i="31"/>
  <c r="BL117" i="29"/>
  <c r="BL121" i="31" s="1"/>
  <c r="BL128" i="29"/>
  <c r="G129" i="29"/>
  <c r="G133" i="31" s="1"/>
  <c r="G132" i="31"/>
  <c r="AZ152" i="29"/>
  <c r="AZ156" i="31" s="1"/>
  <c r="AZ155" i="31"/>
  <c r="AE167" i="31"/>
  <c r="AE165" i="29"/>
  <c r="AE169" i="31" s="1"/>
  <c r="D100" i="31"/>
  <c r="JL100" i="31" s="1"/>
  <c r="JP100" i="31" s="1"/>
  <c r="JL96" i="29"/>
  <c r="JP96" i="29" s="1"/>
  <c r="JL98" i="31"/>
  <c r="DL129" i="29"/>
  <c r="DL133" i="31" s="1"/>
  <c r="DL132" i="31"/>
  <c r="AY165" i="29"/>
  <c r="AY169" i="31" s="1"/>
  <c r="AY167" i="31"/>
  <c r="HH156" i="29"/>
  <c r="HH183" i="29"/>
  <c r="HH158" i="29"/>
  <c r="HH186" i="29"/>
  <c r="HH187" i="29"/>
  <c r="BI129" i="29"/>
  <c r="BI133" i="31" s="1"/>
  <c r="BI132" i="31"/>
  <c r="AA152" i="29"/>
  <c r="AA156" i="31" s="1"/>
  <c r="AA155" i="31"/>
  <c r="AR155" i="29"/>
  <c r="AR173" i="31"/>
  <c r="BV120" i="31"/>
  <c r="BV117" i="29"/>
  <c r="BV121" i="31" s="1"/>
  <c r="BV128" i="29"/>
  <c r="CH129" i="29"/>
  <c r="CH133" i="31" s="1"/>
  <c r="CH132" i="31"/>
  <c r="BG167" i="31"/>
  <c r="BG165" i="29"/>
  <c r="BG169" i="31" s="1"/>
  <c r="JH156" i="29"/>
  <c r="JH183" i="29"/>
  <c r="JH186" i="29"/>
  <c r="JH187" i="29"/>
  <c r="JH158" i="29"/>
  <c r="ED129" i="29"/>
  <c r="ED133" i="31" s="1"/>
  <c r="ED132" i="31"/>
  <c r="BR156" i="29"/>
  <c r="BR174" i="29"/>
  <c r="BR180" i="29"/>
  <c r="BR158" i="29"/>
  <c r="BR187" i="29"/>
  <c r="BR183" i="29"/>
  <c r="BR181" i="29"/>
  <c r="GS156" i="29"/>
  <c r="GS186" i="29"/>
  <c r="GS187" i="29"/>
  <c r="GS158" i="29"/>
  <c r="GS183" i="29"/>
  <c r="DE152" i="29"/>
  <c r="DE156" i="31" s="1"/>
  <c r="DE155" i="31"/>
  <c r="BH129" i="29"/>
  <c r="BH133" i="31" s="1"/>
  <c r="BH132" i="31"/>
  <c r="N152" i="29"/>
  <c r="N156" i="31" s="1"/>
  <c r="N155" i="31"/>
  <c r="AU167" i="31"/>
  <c r="AU165" i="29"/>
  <c r="AU169" i="31" s="1"/>
  <c r="EJ129" i="29"/>
  <c r="EJ133" i="31" s="1"/>
  <c r="EJ132" i="31"/>
  <c r="FC162" i="31"/>
  <c r="FC173" i="31" s="1"/>
  <c r="FC169" i="29"/>
  <c r="FC159" i="29"/>
  <c r="DV167" i="31"/>
  <c r="DV165" i="29"/>
  <c r="DV169" i="31" s="1"/>
  <c r="HF159" i="29"/>
  <c r="DA129" i="29"/>
  <c r="DA133" i="31" s="1"/>
  <c r="DA132" i="31"/>
  <c r="CC165" i="29"/>
  <c r="CC169" i="31" s="1"/>
  <c r="CC167" i="31"/>
  <c r="L152" i="29"/>
  <c r="L156" i="31" s="1"/>
  <c r="L155" i="31"/>
  <c r="BS129" i="29"/>
  <c r="BS133" i="31" s="1"/>
  <c r="BS132" i="31"/>
  <c r="ER152" i="29"/>
  <c r="ER156" i="31" s="1"/>
  <c r="ER155" i="31"/>
  <c r="IS173" i="31"/>
  <c r="CG155" i="29"/>
  <c r="Q129" i="29"/>
  <c r="Q133" i="31" s="1"/>
  <c r="Q132" i="31"/>
  <c r="CV120" i="31"/>
  <c r="CV128" i="29"/>
  <c r="CV117" i="29"/>
  <c r="CV121" i="31" s="1"/>
  <c r="Z152" i="29"/>
  <c r="Z156" i="31" s="1"/>
  <c r="Z155" i="31"/>
  <c r="EE129" i="29"/>
  <c r="EE133" i="31" s="1"/>
  <c r="EE132" i="31"/>
  <c r="G167" i="31"/>
  <c r="G165" i="29"/>
  <c r="G169" i="31" s="1"/>
  <c r="EY156" i="29"/>
  <c r="EY187" i="29"/>
  <c r="EY186" i="29"/>
  <c r="EY158" i="29"/>
  <c r="EY183" i="29"/>
  <c r="GX156" i="29"/>
  <c r="GX183" i="29"/>
  <c r="GX158" i="29"/>
  <c r="GX186" i="29"/>
  <c r="GX187" i="29"/>
  <c r="DF152" i="29"/>
  <c r="DF156" i="31" s="1"/>
  <c r="DF155" i="31"/>
  <c r="EM152" i="29"/>
  <c r="EM156" i="31" s="1"/>
  <c r="EM155" i="31"/>
  <c r="CB107" i="31"/>
  <c r="CB105" i="29"/>
  <c r="CB109" i="31" s="1"/>
  <c r="CB104" i="29"/>
  <c r="CB108" i="31" s="1"/>
  <c r="BK129" i="29"/>
  <c r="BK133" i="31" s="1"/>
  <c r="BK132" i="31"/>
  <c r="AV129" i="29"/>
  <c r="AV133" i="31" s="1"/>
  <c r="AV132" i="31"/>
  <c r="AQ165" i="29"/>
  <c r="AQ169" i="31" s="1"/>
  <c r="AQ167" i="31"/>
  <c r="BZ129" i="29"/>
  <c r="BZ133" i="31" s="1"/>
  <c r="BZ132" i="31"/>
  <c r="CU152" i="29"/>
  <c r="CU156" i="31" s="1"/>
  <c r="CU155" i="31"/>
  <c r="GA156" i="29"/>
  <c r="GA186" i="29"/>
  <c r="GA158" i="29"/>
  <c r="GA187" i="29"/>
  <c r="GA183" i="29"/>
  <c r="EB174" i="29"/>
  <c r="EB183" i="29"/>
  <c r="BM107" i="31"/>
  <c r="BM104" i="29"/>
  <c r="BM108" i="31" s="1"/>
  <c r="BM105" i="29"/>
  <c r="BM109" i="31" s="1"/>
  <c r="IF156" i="29"/>
  <c r="IF186" i="29"/>
  <c r="IF183" i="29"/>
  <c r="IF187" i="29"/>
  <c r="IF158" i="29"/>
  <c r="AD165" i="29"/>
  <c r="AD169" i="31" s="1"/>
  <c r="AD167" i="31"/>
  <c r="GG156" i="29"/>
  <c r="GG187" i="29"/>
  <c r="GG183" i="29"/>
  <c r="GG158" i="29"/>
  <c r="GG186" i="29"/>
  <c r="BW120" i="31"/>
  <c r="BW117" i="29"/>
  <c r="BW121" i="31" s="1"/>
  <c r="BW128" i="29"/>
  <c r="F108" i="31"/>
  <c r="IR156" i="29"/>
  <c r="IR187" i="29"/>
  <c r="IR158" i="29"/>
  <c r="IR183" i="29"/>
  <c r="IR186" i="29"/>
  <c r="DR120" i="31"/>
  <c r="DR117" i="29"/>
  <c r="DR121" i="31" s="1"/>
  <c r="DR128" i="29"/>
  <c r="BH165" i="29"/>
  <c r="BH169" i="31" s="1"/>
  <c r="BH167" i="31"/>
  <c r="DS152" i="31"/>
  <c r="DS163" i="29"/>
  <c r="DS154" i="29"/>
  <c r="DS164" i="29" s="1"/>
  <c r="DS168" i="31" s="1"/>
  <c r="DS151" i="29"/>
  <c r="BJ152" i="29"/>
  <c r="BJ156" i="31" s="1"/>
  <c r="BJ155" i="31"/>
  <c r="HM156" i="29"/>
  <c r="HM183" i="29"/>
  <c r="HM187" i="29"/>
  <c r="HM158" i="29"/>
  <c r="HM186" i="29"/>
  <c r="DN152" i="29"/>
  <c r="DN156" i="31" s="1"/>
  <c r="DN155" i="31"/>
  <c r="H129" i="29"/>
  <c r="H133" i="31" s="1"/>
  <c r="H132" i="31"/>
  <c r="FB156" i="29"/>
  <c r="FB187" i="29"/>
  <c r="FB158" i="29"/>
  <c r="FB183" i="29"/>
  <c r="FB186" i="29"/>
  <c r="CK152" i="29"/>
  <c r="CK156" i="31" s="1"/>
  <c r="CK155" i="31"/>
  <c r="IB156" i="29"/>
  <c r="IB158" i="29"/>
  <c r="IB183" i="29"/>
  <c r="IB187" i="29"/>
  <c r="BO167" i="31"/>
  <c r="BO165" i="29"/>
  <c r="BO169" i="31" s="1"/>
  <c r="BX172" i="29"/>
  <c r="IY156" i="29"/>
  <c r="IY183" i="29"/>
  <c r="IY186" i="29"/>
  <c r="IY187" i="29"/>
  <c r="IY158" i="29"/>
  <c r="CL129" i="29"/>
  <c r="CL133" i="31" s="1"/>
  <c r="CL132" i="31"/>
  <c r="EN152" i="29"/>
  <c r="EN156" i="31" s="1"/>
  <c r="EN155" i="31"/>
  <c r="AI120" i="31"/>
  <c r="AI117" i="29"/>
  <c r="AI121" i="31" s="1"/>
  <c r="AI128" i="29"/>
  <c r="JC156" i="29"/>
  <c r="JC186" i="29"/>
  <c r="JC158" i="29"/>
  <c r="JC187" i="29"/>
  <c r="JC183" i="29"/>
  <c r="X173" i="31"/>
  <c r="X114" i="31" s="1"/>
  <c r="Y152" i="29"/>
  <c r="Y156" i="31" s="1"/>
  <c r="Y155" i="31"/>
  <c r="GN162" i="31"/>
  <c r="GN173" i="31" s="1"/>
  <c r="GN169" i="29"/>
  <c r="GN159" i="29"/>
  <c r="CY167" i="31"/>
  <c r="CY165" i="29"/>
  <c r="CY169" i="31" s="1"/>
  <c r="DM152" i="29"/>
  <c r="DM156" i="31" s="1"/>
  <c r="DM155" i="31"/>
  <c r="AB173" i="31"/>
  <c r="AB114" i="31" s="1"/>
  <c r="DH155" i="29"/>
  <c r="WC206" i="1" s="1"/>
  <c r="EH152" i="29"/>
  <c r="EH156" i="31" s="1"/>
  <c r="EH155" i="31"/>
  <c r="BJ129" i="29"/>
  <c r="BJ133" i="31" s="1"/>
  <c r="BJ132" i="31"/>
  <c r="FF162" i="31"/>
  <c r="FF173" i="31" s="1"/>
  <c r="FF159" i="29"/>
  <c r="FF169" i="29"/>
  <c r="ES155" i="29"/>
  <c r="WC271" i="1" s="1"/>
  <c r="BT167" i="31"/>
  <c r="BT165" i="29"/>
  <c r="BT169" i="31" s="1"/>
  <c r="BC152" i="29"/>
  <c r="BC156" i="31" s="1"/>
  <c r="BC155" i="31"/>
  <c r="AN165" i="29"/>
  <c r="AN169" i="31" s="1"/>
  <c r="AN167" i="31"/>
  <c r="EL152" i="29"/>
  <c r="EL156" i="31" s="1"/>
  <c r="EL155" i="31"/>
  <c r="CJ152" i="29"/>
  <c r="CJ156" i="31" s="1"/>
  <c r="CJ155" i="31"/>
  <c r="CP114" i="31"/>
  <c r="U165" i="29"/>
  <c r="U169" i="31" s="1"/>
  <c r="U167" i="31"/>
  <c r="AH152" i="29"/>
  <c r="AH156" i="31" s="1"/>
  <c r="AH155" i="31"/>
  <c r="CO155" i="29"/>
  <c r="EE152" i="29"/>
  <c r="EE156" i="31" s="1"/>
  <c r="EE155" i="31"/>
  <c r="JD159" i="29"/>
  <c r="V152" i="29"/>
  <c r="V156" i="31" s="1"/>
  <c r="V155" i="31"/>
  <c r="BN165" i="29"/>
  <c r="BN169" i="31" s="1"/>
  <c r="BN167" i="31"/>
  <c r="FV159" i="29"/>
  <c r="EG107" i="31"/>
  <c r="EG104" i="29"/>
  <c r="EG108" i="31" s="1"/>
  <c r="EG105" i="29"/>
  <c r="EG109" i="31" s="1"/>
  <c r="BZ155" i="29"/>
  <c r="CU129" i="29"/>
  <c r="CU133" i="31" s="1"/>
  <c r="CU132" i="31"/>
  <c r="C155" i="29"/>
  <c r="WC68" i="1" s="1"/>
  <c r="C164" i="29"/>
  <c r="C129" i="29"/>
  <c r="C133" i="31" s="1"/>
  <c r="C152" i="29"/>
  <c r="JB173" i="31" l="1"/>
  <c r="IO173" i="31"/>
  <c r="HD159" i="29"/>
  <c r="HD161" i="29" s="1"/>
  <c r="HD165" i="31" s="1"/>
  <c r="EW169" i="29"/>
  <c r="HD169" i="29"/>
  <c r="EW162" i="31"/>
  <c r="EW173" i="31" s="1"/>
  <c r="IJ173" i="31"/>
  <c r="IM173" i="31"/>
  <c r="HT173" i="31"/>
  <c r="IP173" i="31"/>
  <c r="HV173" i="31"/>
  <c r="HY173" i="31"/>
  <c r="JF173" i="31"/>
  <c r="IX173" i="31"/>
  <c r="HZ173" i="31"/>
  <c r="IU173" i="31"/>
  <c r="HQ173" i="31"/>
  <c r="JD173" i="31"/>
  <c r="EH156" i="29"/>
  <c r="DN183" i="29"/>
  <c r="FQ159" i="29"/>
  <c r="HA169" i="29"/>
  <c r="HE159" i="29"/>
  <c r="HE160" i="29" s="1"/>
  <c r="HE164" i="31" s="1"/>
  <c r="IT173" i="31"/>
  <c r="DM183" i="29"/>
  <c r="IX169" i="29"/>
  <c r="IJ169" i="29"/>
  <c r="ED174" i="29"/>
  <c r="IT159" i="29"/>
  <c r="IX159" i="29"/>
  <c r="IS159" i="29"/>
  <c r="IS161" i="29" s="1"/>
  <c r="IS165" i="31" s="1"/>
  <c r="GL159" i="29"/>
  <c r="GL163" i="31" s="1"/>
  <c r="GL171" i="31" s="1"/>
  <c r="IA173" i="31"/>
  <c r="EN174" i="29"/>
  <c r="HF169" i="29"/>
  <c r="IA159" i="29"/>
  <c r="IA160" i="29" s="1"/>
  <c r="IA164" i="31" s="1"/>
  <c r="EN187" i="29"/>
  <c r="F260" i="32"/>
  <c r="EE180" i="29"/>
  <c r="EC187" i="29"/>
  <c r="EC158" i="29"/>
  <c r="EC159" i="29" s="1"/>
  <c r="EC181" i="29"/>
  <c r="GJ162" i="31"/>
  <c r="GJ173" i="31" s="1"/>
  <c r="EC180" i="29"/>
  <c r="FU162" i="31"/>
  <c r="FU173" i="31" s="1"/>
  <c r="GK169" i="29"/>
  <c r="JL117" i="31"/>
  <c r="JP117" i="31" s="1"/>
  <c r="EC174" i="29"/>
  <c r="EC156" i="29"/>
  <c r="FH162" i="31"/>
  <c r="FH173" i="31" s="1"/>
  <c r="JF159" i="29"/>
  <c r="JF167" i="29" s="1"/>
  <c r="EC183" i="29"/>
  <c r="FY159" i="29"/>
  <c r="FY167" i="29" s="1"/>
  <c r="FU159" i="29"/>
  <c r="GJ169" i="29"/>
  <c r="GW169" i="29"/>
  <c r="FY162" i="31"/>
  <c r="FY173" i="31" s="1"/>
  <c r="ED158" i="29"/>
  <c r="GW162" i="31"/>
  <c r="GW173" i="31" s="1"/>
  <c r="GK162" i="31"/>
  <c r="GK173" i="31" s="1"/>
  <c r="FQ162" i="31"/>
  <c r="FQ173" i="31" s="1"/>
  <c r="HV159" i="29"/>
  <c r="IZ173" i="31"/>
  <c r="FH159" i="29"/>
  <c r="FH167" i="29" s="1"/>
  <c r="HV169" i="29"/>
  <c r="GM162" i="31"/>
  <c r="GM173" i="31" s="1"/>
  <c r="FJ162" i="31"/>
  <c r="FJ173" i="31" s="1"/>
  <c r="F239" i="32"/>
  <c r="AY153" i="29"/>
  <c r="F168" i="32"/>
  <c r="HC169" i="29"/>
  <c r="GL162" i="31"/>
  <c r="GL173" i="31" s="1"/>
  <c r="CZ187" i="29"/>
  <c r="CZ181" i="29"/>
  <c r="GC162" i="31"/>
  <c r="GC173" i="31" s="1"/>
  <c r="EE181" i="29"/>
  <c r="GV162" i="31"/>
  <c r="GV173" i="31" s="1"/>
  <c r="DC159" i="31"/>
  <c r="DQ174" i="29"/>
  <c r="DC187" i="29"/>
  <c r="FX162" i="31"/>
  <c r="FX173" i="31" s="1"/>
  <c r="FV169" i="29"/>
  <c r="JD169" i="29"/>
  <c r="IP159" i="29"/>
  <c r="IP161" i="29" s="1"/>
  <c r="IP165" i="31" s="1"/>
  <c r="HQ159" i="29"/>
  <c r="HQ171" i="31" s="1"/>
  <c r="HB162" i="31"/>
  <c r="HB173" i="31" s="1"/>
  <c r="FP159" i="29"/>
  <c r="FP160" i="29" s="1"/>
  <c r="FP164" i="31" s="1"/>
  <c r="FL169" i="29"/>
  <c r="CZ183" i="29"/>
  <c r="CZ156" i="29"/>
  <c r="DQ156" i="29"/>
  <c r="FP162" i="31"/>
  <c r="FP173" i="31" s="1"/>
  <c r="HC162" i="31"/>
  <c r="HC173" i="31" s="1"/>
  <c r="DC158" i="29"/>
  <c r="DC181" i="29"/>
  <c r="DC153" i="29"/>
  <c r="HQ169" i="29"/>
  <c r="IL169" i="29"/>
  <c r="GQ159" i="29"/>
  <c r="GQ161" i="29" s="1"/>
  <c r="GQ165" i="31" s="1"/>
  <c r="EE156" i="29"/>
  <c r="DC180" i="29"/>
  <c r="DC156" i="29"/>
  <c r="GQ162" i="31"/>
  <c r="GQ173" i="31" s="1"/>
  <c r="EE158" i="29"/>
  <c r="EE162" i="31" s="1"/>
  <c r="EE173" i="31" s="1"/>
  <c r="EE114" i="31" s="1"/>
  <c r="DC183" i="29"/>
  <c r="DC174" i="29"/>
  <c r="CZ153" i="29"/>
  <c r="CQ159" i="31"/>
  <c r="CQ178" i="31" s="1"/>
  <c r="WC174" i="1"/>
  <c r="F111" i="32"/>
  <c r="F103" i="32"/>
  <c r="AM159" i="31"/>
  <c r="AM178" i="31" s="1"/>
  <c r="BB159" i="31"/>
  <c r="BB178" i="31" s="1"/>
  <c r="AY174" i="31"/>
  <c r="AY178" i="31" s="1"/>
  <c r="EH180" i="29"/>
  <c r="DM158" i="29"/>
  <c r="DM169" i="29" s="1"/>
  <c r="DM110" i="29" s="1"/>
  <c r="IU159" i="29"/>
  <c r="IU171" i="31" s="1"/>
  <c r="AY177" i="29"/>
  <c r="AY158" i="29"/>
  <c r="F175" i="32"/>
  <c r="WC117" i="1"/>
  <c r="WC109" i="1"/>
  <c r="BB153" i="29"/>
  <c r="ED181" i="29"/>
  <c r="DN180" i="29"/>
  <c r="DE174" i="29"/>
  <c r="AY180" i="29"/>
  <c r="AY187" i="29"/>
  <c r="U159" i="31"/>
  <c r="U178" i="31" s="1"/>
  <c r="EE174" i="29"/>
  <c r="ED187" i="29"/>
  <c r="ED183" i="29"/>
  <c r="EE183" i="29"/>
  <c r="EE187" i="29"/>
  <c r="HL173" i="31"/>
  <c r="HS169" i="29"/>
  <c r="IZ169" i="29"/>
  <c r="FJ169" i="29"/>
  <c r="EC159" i="31"/>
  <c r="EC178" i="31" s="1"/>
  <c r="CY159" i="31"/>
  <c r="CY178" i="31" s="1"/>
  <c r="CE153" i="29"/>
  <c r="U153" i="29"/>
  <c r="HL169" i="29"/>
  <c r="HS159" i="29"/>
  <c r="HS167" i="29" s="1"/>
  <c r="JF169" i="29"/>
  <c r="BO180" i="29"/>
  <c r="EC153" i="29"/>
  <c r="WC27" i="1"/>
  <c r="GM159" i="29"/>
  <c r="GM163" i="31" s="1"/>
  <c r="GM171" i="31" s="1"/>
  <c r="F209" i="32"/>
  <c r="AB153" i="29"/>
  <c r="WC21" i="1"/>
  <c r="F34" i="32"/>
  <c r="P159" i="31"/>
  <c r="P178" i="31" s="1"/>
  <c r="F150" i="32"/>
  <c r="EH153" i="29"/>
  <c r="BP153" i="29"/>
  <c r="BP159" i="31"/>
  <c r="BP178" i="31" s="1"/>
  <c r="BS174" i="31"/>
  <c r="ED180" i="29"/>
  <c r="ED156" i="29"/>
  <c r="EF158" i="29"/>
  <c r="DM153" i="29"/>
  <c r="F45" i="32"/>
  <c r="WC51" i="1"/>
  <c r="WC114" i="1"/>
  <c r="F108" i="32"/>
  <c r="BC153" i="29"/>
  <c r="BC159" i="31"/>
  <c r="BC178" i="31" s="1"/>
  <c r="WC22" i="1"/>
  <c r="F16" i="32"/>
  <c r="Q153" i="29"/>
  <c r="Q159" i="31"/>
  <c r="Q178" i="31" s="1"/>
  <c r="WC9" i="1"/>
  <c r="F3" i="32"/>
  <c r="F159" i="31"/>
  <c r="F178" i="31" s="1"/>
  <c r="F153" i="29"/>
  <c r="WC45" i="1"/>
  <c r="F39" i="32"/>
  <c r="AG153" i="29"/>
  <c r="AG159" i="31"/>
  <c r="AG178" i="31" s="1"/>
  <c r="WC18" i="1"/>
  <c r="F12" i="32"/>
  <c r="M153" i="29"/>
  <c r="M159" i="31"/>
  <c r="M178" i="31" s="1"/>
  <c r="WC26" i="1"/>
  <c r="F20" i="32"/>
  <c r="W153" i="29"/>
  <c r="W159" i="31"/>
  <c r="W178" i="31" s="1"/>
  <c r="CC153" i="29"/>
  <c r="WC160" i="1"/>
  <c r="F154" i="32"/>
  <c r="BT159" i="31"/>
  <c r="BT178" i="31" s="1"/>
  <c r="BT153" i="29"/>
  <c r="WC107" i="1"/>
  <c r="F101" i="32"/>
  <c r="AS153" i="29"/>
  <c r="AS159" i="31"/>
  <c r="WC25" i="1"/>
  <c r="F19" i="32"/>
  <c r="T153" i="29"/>
  <c r="T159" i="31"/>
  <c r="T178" i="31" s="1"/>
  <c r="WC36" i="1"/>
  <c r="F30" i="32"/>
  <c r="Y153" i="29"/>
  <c r="Y159" i="31"/>
  <c r="Y178" i="31" s="1"/>
  <c r="WC24" i="1"/>
  <c r="F18" i="32"/>
  <c r="S159" i="31"/>
  <c r="S178" i="31" s="1"/>
  <c r="S153" i="29"/>
  <c r="WC28" i="1"/>
  <c r="F22" i="32"/>
  <c r="V153" i="29"/>
  <c r="V159" i="31"/>
  <c r="V178" i="31" s="1"/>
  <c r="WC8" i="1"/>
  <c r="F2" i="32"/>
  <c r="G159" i="31"/>
  <c r="G178" i="31" s="1"/>
  <c r="G153" i="29"/>
  <c r="WC105" i="1"/>
  <c r="F99" i="32"/>
  <c r="AU153" i="29"/>
  <c r="AU159" i="31"/>
  <c r="AU178" i="31" s="1"/>
  <c r="WC39" i="1"/>
  <c r="F33" i="32"/>
  <c r="AA159" i="31"/>
  <c r="AA178" i="31" s="1"/>
  <c r="AA153" i="29"/>
  <c r="CY153" i="29"/>
  <c r="WC155" i="1"/>
  <c r="F149" i="32"/>
  <c r="BN153" i="29"/>
  <c r="BN159" i="31"/>
  <c r="BN178" i="31" s="1"/>
  <c r="WC20" i="1"/>
  <c r="F14" i="32"/>
  <c r="O153" i="29"/>
  <c r="O159" i="31"/>
  <c r="O178" i="31" s="1"/>
  <c r="WC33" i="1"/>
  <c r="F27" i="32"/>
  <c r="X153" i="29"/>
  <c r="X159" i="31"/>
  <c r="WC37" i="1"/>
  <c r="F31" i="32"/>
  <c r="Z159" i="31"/>
  <c r="Z178" i="31" s="1"/>
  <c r="Z153" i="29"/>
  <c r="WC46" i="1"/>
  <c r="F40" i="32"/>
  <c r="AH153" i="29"/>
  <c r="AH159" i="31"/>
  <c r="AH178" i="31" s="1"/>
  <c r="WC53" i="1"/>
  <c r="F47" i="32"/>
  <c r="AO153" i="29"/>
  <c r="AO159" i="31"/>
  <c r="AB174" i="31"/>
  <c r="AB176" i="31" s="1"/>
  <c r="WC106" i="1"/>
  <c r="F100" i="32"/>
  <c r="AR159" i="31"/>
  <c r="AR178" i="31" s="1"/>
  <c r="AR153" i="29"/>
  <c r="WC23" i="1"/>
  <c r="F17" i="32"/>
  <c r="R159" i="31"/>
  <c r="R178" i="31" s="1"/>
  <c r="R153" i="29"/>
  <c r="WC140" i="1"/>
  <c r="F134" i="32"/>
  <c r="BI153" i="29"/>
  <c r="BI159" i="31"/>
  <c r="BI178" i="31" s="1"/>
  <c r="WC17" i="1"/>
  <c r="F11" i="32"/>
  <c r="L159" i="31"/>
  <c r="L178" i="31" s="1"/>
  <c r="L153" i="29"/>
  <c r="WC102" i="1"/>
  <c r="F96" i="32"/>
  <c r="AV159" i="31"/>
  <c r="AV178" i="31" s="1"/>
  <c r="AV153" i="29"/>
  <c r="WC41" i="1"/>
  <c r="F35" i="32"/>
  <c r="AE153" i="29"/>
  <c r="AE159" i="31"/>
  <c r="AE178" i="31" s="1"/>
  <c r="WC50" i="1"/>
  <c r="F44" i="32"/>
  <c r="AL153" i="29"/>
  <c r="AL159" i="31"/>
  <c r="AL178" i="31" s="1"/>
  <c r="WC154" i="1"/>
  <c r="F148" i="32"/>
  <c r="BO153" i="29"/>
  <c r="BO159" i="31"/>
  <c r="BO178" i="31" s="1"/>
  <c r="WC120" i="1"/>
  <c r="F114" i="32"/>
  <c r="BG159" i="31"/>
  <c r="BG178" i="31" s="1"/>
  <c r="BG153" i="29"/>
  <c r="WC43" i="1"/>
  <c r="F37" i="32"/>
  <c r="AF159" i="31"/>
  <c r="AF178" i="31" s="1"/>
  <c r="AF153" i="29"/>
  <c r="WC42" i="1"/>
  <c r="F36" i="32"/>
  <c r="AD153" i="29"/>
  <c r="AD159" i="31"/>
  <c r="AD178" i="31" s="1"/>
  <c r="WC110" i="1"/>
  <c r="F104" i="32"/>
  <c r="AZ159" i="31"/>
  <c r="AZ178" i="31" s="1"/>
  <c r="AZ153" i="29"/>
  <c r="DB172" i="29"/>
  <c r="EB159" i="31"/>
  <c r="EB178" i="31" s="1"/>
  <c r="WC149" i="1"/>
  <c r="F143" i="32"/>
  <c r="BJ153" i="29"/>
  <c r="BJ159" i="31"/>
  <c r="BJ178" i="31" s="1"/>
  <c r="BM155" i="29"/>
  <c r="WC49" i="1"/>
  <c r="F43" i="32"/>
  <c r="AK153" i="29"/>
  <c r="AK159" i="31"/>
  <c r="AK178" i="31" s="1"/>
  <c r="WC158" i="1"/>
  <c r="F152" i="32"/>
  <c r="BR153" i="29"/>
  <c r="BR159" i="31"/>
  <c r="BR178" i="31" s="1"/>
  <c r="WC118" i="1"/>
  <c r="F112" i="32"/>
  <c r="BF153" i="29"/>
  <c r="BF159" i="31"/>
  <c r="BF178" i="31" s="1"/>
  <c r="WC150" i="1"/>
  <c r="F144" i="32"/>
  <c r="BK153" i="29"/>
  <c r="BK159" i="31"/>
  <c r="BK178" i="31" s="1"/>
  <c r="WC113" i="1"/>
  <c r="F107" i="32"/>
  <c r="BA153" i="29"/>
  <c r="BA159" i="31"/>
  <c r="BA178" i="31" s="1"/>
  <c r="WC170" i="1"/>
  <c r="F164" i="32"/>
  <c r="CG153" i="29"/>
  <c r="CG159" i="31"/>
  <c r="CG178" i="31" s="1"/>
  <c r="WC182" i="1"/>
  <c r="F176" i="32"/>
  <c r="CO153" i="29"/>
  <c r="CO159" i="31"/>
  <c r="CO178" i="31" s="1"/>
  <c r="WC185" i="1"/>
  <c r="F179" i="32"/>
  <c r="CR159" i="31"/>
  <c r="CR178" i="31" s="1"/>
  <c r="CR153" i="29"/>
  <c r="WC165" i="1"/>
  <c r="F159" i="32"/>
  <c r="BX159" i="31"/>
  <c r="BX153" i="29"/>
  <c r="WC188" i="1"/>
  <c r="F182" i="32"/>
  <c r="CU153" i="29"/>
  <c r="CU159" i="31"/>
  <c r="CU178" i="31" s="1"/>
  <c r="WC166" i="1"/>
  <c r="F160" i="32"/>
  <c r="BZ159" i="31"/>
  <c r="BZ153" i="29"/>
  <c r="WC179" i="1"/>
  <c r="F173" i="32"/>
  <c r="CJ159" i="31"/>
  <c r="CJ178" i="31" s="1"/>
  <c r="CJ153" i="29"/>
  <c r="WC172" i="1"/>
  <c r="F166" i="32"/>
  <c r="CK159" i="31"/>
  <c r="CK178" i="31" s="1"/>
  <c r="CK153" i="29"/>
  <c r="WC184" i="1"/>
  <c r="F178" i="32"/>
  <c r="CM159" i="31"/>
  <c r="CM178" i="31" s="1"/>
  <c r="CM153" i="29"/>
  <c r="WC171" i="1"/>
  <c r="F165" i="32"/>
  <c r="CF159" i="31"/>
  <c r="CF178" i="31" s="1"/>
  <c r="CF153" i="29"/>
  <c r="WC169" i="1"/>
  <c r="F163" i="32"/>
  <c r="BY159" i="31"/>
  <c r="BY178" i="31" s="1"/>
  <c r="BY153" i="29"/>
  <c r="WC193" i="1"/>
  <c r="F187" i="32"/>
  <c r="CX159" i="31"/>
  <c r="CX178" i="31" s="1"/>
  <c r="CX153" i="29"/>
  <c r="WC192" i="1"/>
  <c r="F186" i="32"/>
  <c r="CW159" i="31"/>
  <c r="CW178" i="31" s="1"/>
  <c r="CW153" i="29"/>
  <c r="IL173" i="31"/>
  <c r="EB180" i="29"/>
  <c r="EB156" i="29"/>
  <c r="EX159" i="29"/>
  <c r="EX161" i="29" s="1"/>
  <c r="EX165" i="31" s="1"/>
  <c r="DQ158" i="29"/>
  <c r="DQ162" i="31" s="1"/>
  <c r="DQ173" i="31" s="1"/>
  <c r="DQ114" i="31" s="1"/>
  <c r="FO169" i="29"/>
  <c r="EH158" i="29"/>
  <c r="EH162" i="31" s="1"/>
  <c r="EH173" i="31" s="1"/>
  <c r="EH114" i="31" s="1"/>
  <c r="DM180" i="29"/>
  <c r="DM156" i="29"/>
  <c r="DN174" i="29"/>
  <c r="DN156" i="29"/>
  <c r="IU169" i="29"/>
  <c r="HA162" i="31"/>
  <c r="HA173" i="31" s="1"/>
  <c r="HE162" i="31"/>
  <c r="HE173" i="31" s="1"/>
  <c r="DE181" i="29"/>
  <c r="DE158" i="29"/>
  <c r="DE159" i="29" s="1"/>
  <c r="F192" i="32"/>
  <c r="F246" i="32"/>
  <c r="DM159" i="31"/>
  <c r="DM178" i="31" s="1"/>
  <c r="F238" i="32"/>
  <c r="EB158" i="29"/>
  <c r="EB159" i="29" s="1"/>
  <c r="EX169" i="29"/>
  <c r="DQ181" i="29"/>
  <c r="EH187" i="29"/>
  <c r="EH174" i="29"/>
  <c r="DM181" i="29"/>
  <c r="DN158" i="29"/>
  <c r="DE183" i="29"/>
  <c r="DE156" i="29"/>
  <c r="DN153" i="29"/>
  <c r="DV158" i="29"/>
  <c r="DV169" i="29" s="1"/>
  <c r="DV110" i="29" s="1"/>
  <c r="WC228" i="1"/>
  <c r="EI180" i="29"/>
  <c r="WC250" i="1"/>
  <c r="F205" i="32"/>
  <c r="EL159" i="31"/>
  <c r="EL178" i="31" s="1"/>
  <c r="WC264" i="1"/>
  <c r="DY174" i="29"/>
  <c r="WC241" i="1"/>
  <c r="DQ187" i="29"/>
  <c r="EB187" i="29"/>
  <c r="EB181" i="29"/>
  <c r="DQ180" i="29"/>
  <c r="DQ183" i="29"/>
  <c r="EH183" i="29"/>
  <c r="EH181" i="29"/>
  <c r="DM187" i="29"/>
  <c r="DM174" i="29"/>
  <c r="DN181" i="29"/>
  <c r="DN187" i="29"/>
  <c r="DE180" i="29"/>
  <c r="EP183" i="29"/>
  <c r="WC267" i="1"/>
  <c r="F190" i="32"/>
  <c r="DN159" i="31"/>
  <c r="DN178" i="31" s="1"/>
  <c r="EF156" i="29"/>
  <c r="WC254" i="1"/>
  <c r="DE153" i="29"/>
  <c r="EH159" i="31"/>
  <c r="EH178" i="31" s="1"/>
  <c r="EB153" i="29"/>
  <c r="EN159" i="31"/>
  <c r="EN178" i="31" s="1"/>
  <c r="WC266" i="1"/>
  <c r="F258" i="32"/>
  <c r="EP174" i="29"/>
  <c r="FX169" i="29"/>
  <c r="EL180" i="29"/>
  <c r="EN158" i="29"/>
  <c r="EN159" i="29" s="1"/>
  <c r="EN181" i="29"/>
  <c r="GC169" i="29"/>
  <c r="EF180" i="29"/>
  <c r="EN153" i="29"/>
  <c r="HB169" i="29"/>
  <c r="EN183" i="29"/>
  <c r="EN156" i="29"/>
  <c r="EF187" i="29"/>
  <c r="EF174" i="29"/>
  <c r="IM169" i="29"/>
  <c r="GT159" i="29"/>
  <c r="GT167" i="29" s="1"/>
  <c r="HZ169" i="29"/>
  <c r="HI169" i="29"/>
  <c r="GT169" i="29"/>
  <c r="DV187" i="29"/>
  <c r="HZ159" i="29"/>
  <c r="HZ161" i="29" s="1"/>
  <c r="HZ165" i="31" s="1"/>
  <c r="EL158" i="29"/>
  <c r="EL159" i="29" s="1"/>
  <c r="DV183" i="29"/>
  <c r="EI156" i="29"/>
  <c r="EP158" i="29"/>
  <c r="EP162" i="31" s="1"/>
  <c r="EP173" i="31" s="1"/>
  <c r="EP114" i="31" s="1"/>
  <c r="EP181" i="29"/>
  <c r="HI162" i="31"/>
  <c r="HI173" i="31" s="1"/>
  <c r="IM159" i="29"/>
  <c r="IM160" i="29" s="1"/>
  <c r="IM164" i="31" s="1"/>
  <c r="EL187" i="29"/>
  <c r="EL181" i="29"/>
  <c r="DV180" i="29"/>
  <c r="DV181" i="29"/>
  <c r="HT159" i="29"/>
  <c r="HT160" i="29" s="1"/>
  <c r="HT164" i="31" s="1"/>
  <c r="HT169" i="29"/>
  <c r="EP187" i="29"/>
  <c r="EP156" i="29"/>
  <c r="EL174" i="29"/>
  <c r="EL156" i="29"/>
  <c r="DV174" i="29"/>
  <c r="DV156" i="29"/>
  <c r="EI181" i="29"/>
  <c r="EO172" i="29"/>
  <c r="EL153" i="29"/>
  <c r="JM117" i="29"/>
  <c r="EL183" i="29"/>
  <c r="EI174" i="29"/>
  <c r="EA174" i="31"/>
  <c r="EA176" i="31" s="1"/>
  <c r="DG155" i="29"/>
  <c r="DZ155" i="29"/>
  <c r="F236" i="32" s="1"/>
  <c r="DY187" i="29"/>
  <c r="EF181" i="29"/>
  <c r="EI187" i="29"/>
  <c r="JM120" i="31"/>
  <c r="F200" i="32"/>
  <c r="DH159" i="31"/>
  <c r="DH178" i="31" s="1"/>
  <c r="DH153" i="29"/>
  <c r="F264" i="32"/>
  <c r="ER153" i="29"/>
  <c r="ER159" i="31"/>
  <c r="ER178" i="31" s="1"/>
  <c r="F212" i="32"/>
  <c r="DP159" i="31"/>
  <c r="DP178" i="31" s="1"/>
  <c r="DP153" i="29"/>
  <c r="EI183" i="29"/>
  <c r="DY158" i="29"/>
  <c r="DY169" i="29" s="1"/>
  <c r="DY110" i="29" s="1"/>
  <c r="DY156" i="29"/>
  <c r="F189" i="32"/>
  <c r="DB159" i="31"/>
  <c r="DB153" i="29"/>
  <c r="F245" i="32"/>
  <c r="EE153" i="29"/>
  <c r="EE159" i="31"/>
  <c r="EE178" i="31" s="1"/>
  <c r="F265" i="32"/>
  <c r="ES159" i="31"/>
  <c r="ES178" i="31" s="1"/>
  <c r="ES153" i="29"/>
  <c r="F193" i="32"/>
  <c r="DF159" i="31"/>
  <c r="DF178" i="31" s="1"/>
  <c r="DF153" i="29"/>
  <c r="EG155" i="29"/>
  <c r="EI158" i="29"/>
  <c r="EI159" i="29" s="1"/>
  <c r="DY180" i="29"/>
  <c r="F261" i="32"/>
  <c r="EP153" i="29"/>
  <c r="EP159" i="31"/>
  <c r="EP178" i="31" s="1"/>
  <c r="F263" i="32"/>
  <c r="EO159" i="31"/>
  <c r="EO153" i="29"/>
  <c r="F248" i="32"/>
  <c r="EF159" i="31"/>
  <c r="EF178" i="31" s="1"/>
  <c r="EF153" i="29"/>
  <c r="F222" i="32"/>
  <c r="DV153" i="29"/>
  <c r="DV159" i="31"/>
  <c r="DV178" i="31" s="1"/>
  <c r="F240" i="32"/>
  <c r="ED153" i="29"/>
  <c r="ED159" i="31"/>
  <c r="ED178" i="31" s="1"/>
  <c r="JN159" i="31"/>
  <c r="F211" i="32"/>
  <c r="DQ159" i="31"/>
  <c r="DQ178" i="31" s="1"/>
  <c r="DQ153" i="29"/>
  <c r="F257" i="32"/>
  <c r="EM153" i="29"/>
  <c r="EM159" i="31"/>
  <c r="EM178" i="31" s="1"/>
  <c r="C156" i="29"/>
  <c r="F62" i="32"/>
  <c r="C153" i="29"/>
  <c r="C159" i="31"/>
  <c r="C178" i="31" s="1"/>
  <c r="JM104" i="29"/>
  <c r="F188" i="32"/>
  <c r="DA159" i="31"/>
  <c r="DA178" i="31" s="1"/>
  <c r="DA153" i="29"/>
  <c r="DY183" i="29"/>
  <c r="EQ170" i="29"/>
  <c r="EQ155" i="29" s="1"/>
  <c r="WC268" i="1" s="1"/>
  <c r="EQ110" i="29"/>
  <c r="JM107" i="31"/>
  <c r="F235" i="32"/>
  <c r="DY159" i="31"/>
  <c r="DY178" i="31" s="1"/>
  <c r="DY153" i="29"/>
  <c r="F244" i="32"/>
  <c r="EI153" i="29"/>
  <c r="EI159" i="31"/>
  <c r="EI178" i="31" s="1"/>
  <c r="JO159" i="31"/>
  <c r="DR155" i="29"/>
  <c r="WC219" i="1" s="1"/>
  <c r="BO174" i="31"/>
  <c r="IR173" i="31"/>
  <c r="IR159" i="29"/>
  <c r="IR169" i="29"/>
  <c r="IO171" i="31"/>
  <c r="IO160" i="29"/>
  <c r="IO164" i="31" s="1"/>
  <c r="IO167" i="29"/>
  <c r="IO161" i="29"/>
  <c r="IO165" i="31" s="1"/>
  <c r="BL129" i="29"/>
  <c r="BL133" i="31" s="1"/>
  <c r="BL132" i="31"/>
  <c r="DA156" i="29"/>
  <c r="DA174" i="29"/>
  <c r="DA180" i="29"/>
  <c r="DA158" i="29"/>
  <c r="DA187" i="29"/>
  <c r="DA181" i="29"/>
  <c r="DA183" i="29"/>
  <c r="BQ129" i="29"/>
  <c r="BQ133" i="31" s="1"/>
  <c r="BQ132" i="31"/>
  <c r="EQ152" i="29"/>
  <c r="EQ156" i="31" s="1"/>
  <c r="EQ155" i="31"/>
  <c r="FZ162" i="31"/>
  <c r="FZ173" i="31" s="1"/>
  <c r="FZ159" i="29"/>
  <c r="FZ169" i="29"/>
  <c r="EV173" i="31"/>
  <c r="FU163" i="31"/>
  <c r="FU171" i="31" s="1"/>
  <c r="FU167" i="29"/>
  <c r="FU160" i="29"/>
  <c r="FU164" i="31" s="1"/>
  <c r="FU161" i="29"/>
  <c r="FU165" i="31" s="1"/>
  <c r="BC156" i="29"/>
  <c r="BC183" i="29"/>
  <c r="BC180" i="29"/>
  <c r="BC187" i="29"/>
  <c r="BC181" i="29"/>
  <c r="BC174" i="29"/>
  <c r="BC158" i="29"/>
  <c r="K152" i="29"/>
  <c r="K156" i="31" s="1"/>
  <c r="K155" i="31"/>
  <c r="JG173" i="31"/>
  <c r="JG159" i="29"/>
  <c r="JG169" i="29"/>
  <c r="DS129" i="29"/>
  <c r="DS133" i="31" s="1"/>
  <c r="DS132" i="31"/>
  <c r="DG165" i="29"/>
  <c r="DG169" i="31" s="1"/>
  <c r="DG167" i="31"/>
  <c r="DR152" i="29"/>
  <c r="DR156" i="31" s="1"/>
  <c r="DR155" i="31"/>
  <c r="AD156" i="29"/>
  <c r="AD183" i="29"/>
  <c r="AD187" i="29"/>
  <c r="AD174" i="29"/>
  <c r="AD158" i="29"/>
  <c r="AD181" i="29"/>
  <c r="AD180" i="29"/>
  <c r="DT167" i="31"/>
  <c r="DT165" i="29"/>
  <c r="DT169" i="31" s="1"/>
  <c r="BI156" i="29"/>
  <c r="BI174" i="29"/>
  <c r="BI180" i="29"/>
  <c r="BI158" i="29"/>
  <c r="BI187" i="29"/>
  <c r="BI183" i="29"/>
  <c r="BI181" i="29"/>
  <c r="EM156" i="29"/>
  <c r="EM183" i="29"/>
  <c r="EM174" i="29"/>
  <c r="EM158" i="29"/>
  <c r="EM181" i="29"/>
  <c r="EM180" i="29"/>
  <c r="EM187" i="29"/>
  <c r="G156" i="29"/>
  <c r="G158" i="29"/>
  <c r="G187" i="29"/>
  <c r="G181" i="29"/>
  <c r="G180" i="29"/>
  <c r="G183" i="29"/>
  <c r="G174" i="29"/>
  <c r="J129" i="29"/>
  <c r="J133" i="31" s="1"/>
  <c r="J132" i="31"/>
  <c r="JN133" i="31"/>
  <c r="JN134" i="31"/>
  <c r="AU156" i="29"/>
  <c r="AU158" i="29"/>
  <c r="AU180" i="29"/>
  <c r="AU181" i="29"/>
  <c r="AU174" i="29"/>
  <c r="AU183" i="29"/>
  <c r="AU187" i="29"/>
  <c r="AA156" i="29"/>
  <c r="AA174" i="29"/>
  <c r="AA180" i="29"/>
  <c r="AA187" i="29"/>
  <c r="AA158" i="29"/>
  <c r="AA181" i="29"/>
  <c r="AA183" i="29"/>
  <c r="D120" i="31"/>
  <c r="D117" i="29"/>
  <c r="D128" i="29"/>
  <c r="JI116" i="29"/>
  <c r="JI120" i="31" s="1"/>
  <c r="JL116" i="29"/>
  <c r="JP116" i="29" s="1"/>
  <c r="FI162" i="31"/>
  <c r="FI173" i="31" s="1"/>
  <c r="FI169" i="29"/>
  <c r="FI159" i="29"/>
  <c r="AS174" i="31"/>
  <c r="Q156" i="29"/>
  <c r="Q158" i="29"/>
  <c r="Q187" i="29"/>
  <c r="Q180" i="29"/>
  <c r="Q183" i="29"/>
  <c r="Q181" i="29"/>
  <c r="Q174" i="29"/>
  <c r="GJ163" i="31"/>
  <c r="GJ171" i="31" s="1"/>
  <c r="GJ160" i="29"/>
  <c r="GJ164" i="31" s="1"/>
  <c r="GJ167" i="29"/>
  <c r="GJ161" i="29"/>
  <c r="GJ165" i="31" s="1"/>
  <c r="F156" i="29"/>
  <c r="F158" i="29"/>
  <c r="F187" i="29"/>
  <c r="F181" i="29"/>
  <c r="F174" i="29"/>
  <c r="F180" i="29"/>
  <c r="F183" i="29"/>
  <c r="CW156" i="29"/>
  <c r="CW158" i="29"/>
  <c r="CW187" i="29"/>
  <c r="CW183" i="29"/>
  <c r="CW181" i="29"/>
  <c r="CW174" i="29"/>
  <c r="CW180" i="29"/>
  <c r="GO162" i="31"/>
  <c r="GO173" i="31" s="1"/>
  <c r="GO159" i="29"/>
  <c r="GO169" i="29"/>
  <c r="M156" i="29"/>
  <c r="M181" i="29"/>
  <c r="M180" i="29"/>
  <c r="M174" i="29"/>
  <c r="M158" i="29"/>
  <c r="M187" i="29"/>
  <c r="M183" i="29"/>
  <c r="AS156" i="29"/>
  <c r="AS158" i="29"/>
  <c r="AS174" i="29"/>
  <c r="AS181" i="29"/>
  <c r="AS187" i="29"/>
  <c r="AS183" i="29"/>
  <c r="AS180" i="29"/>
  <c r="AF162" i="31"/>
  <c r="AF173" i="31" s="1"/>
  <c r="AF114" i="31" s="1"/>
  <c r="AF159" i="29"/>
  <c r="AF169" i="29"/>
  <c r="AF110" i="29" s="1"/>
  <c r="FL163" i="31"/>
  <c r="FL171" i="31" s="1"/>
  <c r="FL161" i="29"/>
  <c r="FL165" i="31" s="1"/>
  <c r="FL160" i="29"/>
  <c r="FL164" i="31" s="1"/>
  <c r="FL167" i="29"/>
  <c r="AJ155" i="29"/>
  <c r="GK163" i="31"/>
  <c r="GK171" i="31" s="1"/>
  <c r="GK161" i="29"/>
  <c r="GK165" i="31" s="1"/>
  <c r="GK167" i="29"/>
  <c r="GK160" i="29"/>
  <c r="GK164" i="31" s="1"/>
  <c r="DC174" i="31"/>
  <c r="FT162" i="31"/>
  <c r="FT173" i="31" s="1"/>
  <c r="FT169" i="29"/>
  <c r="FT159" i="29"/>
  <c r="DZ167" i="31"/>
  <c r="DZ165" i="29"/>
  <c r="DZ169" i="31" s="1"/>
  <c r="DG129" i="29"/>
  <c r="DG133" i="31" s="1"/>
  <c r="DG132" i="31"/>
  <c r="O162" i="31"/>
  <c r="O173" i="31" s="1"/>
  <c r="O114" i="31" s="1"/>
  <c r="O159" i="29"/>
  <c r="O169" i="29"/>
  <c r="O110" i="29" s="1"/>
  <c r="IC173" i="31"/>
  <c r="IC169" i="29"/>
  <c r="IC159" i="29"/>
  <c r="AP152" i="29"/>
  <c r="AP156" i="31" s="1"/>
  <c r="AP155" i="31"/>
  <c r="CZ162" i="31"/>
  <c r="CZ173" i="31" s="1"/>
  <c r="CZ114" i="31" s="1"/>
  <c r="CZ169" i="29"/>
  <c r="CZ110" i="29" s="1"/>
  <c r="CZ159" i="29"/>
  <c r="EW163" i="31"/>
  <c r="EW171" i="31" s="1"/>
  <c r="EW161" i="29"/>
  <c r="EW165" i="31" s="1"/>
  <c r="EW167" i="29"/>
  <c r="EW160" i="29"/>
  <c r="EW164" i="31" s="1"/>
  <c r="BM152" i="29"/>
  <c r="BM156" i="31" s="1"/>
  <c r="BM155" i="31"/>
  <c r="JL106" i="31"/>
  <c r="JP106" i="31" s="1"/>
  <c r="T162" i="31"/>
  <c r="T173" i="31" s="1"/>
  <c r="T114" i="31" s="1"/>
  <c r="T159" i="29"/>
  <c r="T169" i="29"/>
  <c r="T110" i="29" s="1"/>
  <c r="CB129" i="29"/>
  <c r="CB133" i="31" s="1"/>
  <c r="CB132" i="31"/>
  <c r="BB162" i="31"/>
  <c r="BB173" i="31" s="1"/>
  <c r="BB114" i="31" s="1"/>
  <c r="BB159" i="29"/>
  <c r="BB169" i="29"/>
  <c r="BB110" i="29" s="1"/>
  <c r="BF162" i="31"/>
  <c r="BF173" i="31" s="1"/>
  <c r="BF114" i="31" s="1"/>
  <c r="BF159" i="29"/>
  <c r="BF169" i="29"/>
  <c r="BF110" i="29" s="1"/>
  <c r="AJ129" i="29"/>
  <c r="AJ133" i="31" s="1"/>
  <c r="AJ132" i="31"/>
  <c r="CO114" i="31"/>
  <c r="CY162" i="31"/>
  <c r="CY173" i="31" s="1"/>
  <c r="CY114" i="31" s="1"/>
  <c r="CY159" i="29"/>
  <c r="CY169" i="29"/>
  <c r="CY110" i="29" s="1"/>
  <c r="FK162" i="31"/>
  <c r="FK173" i="31" s="1"/>
  <c r="FK159" i="29"/>
  <c r="FK169" i="29"/>
  <c r="HU171" i="31"/>
  <c r="HU167" i="29"/>
  <c r="HU160" i="29"/>
  <c r="HU164" i="31" s="1"/>
  <c r="HU161" i="29"/>
  <c r="HU165" i="31" s="1"/>
  <c r="CC162" i="31"/>
  <c r="CC173" i="31" s="1"/>
  <c r="CC114" i="31" s="1"/>
  <c r="CC159" i="29"/>
  <c r="CC169" i="29"/>
  <c r="CC110" i="29" s="1"/>
  <c r="BV167" i="31"/>
  <c r="BV165" i="29"/>
  <c r="BV169" i="31" s="1"/>
  <c r="BM129" i="29"/>
  <c r="BM133" i="31" s="1"/>
  <c r="BM132" i="31"/>
  <c r="X156" i="29"/>
  <c r="X174" i="29"/>
  <c r="X180" i="29"/>
  <c r="X187" i="29"/>
  <c r="X158" i="29"/>
  <c r="X181" i="29"/>
  <c r="X183" i="29"/>
  <c r="BO159" i="29"/>
  <c r="BO162" i="31"/>
  <c r="AO156" i="29"/>
  <c r="AO181" i="29"/>
  <c r="AO180" i="29"/>
  <c r="AO174" i="29"/>
  <c r="AO158" i="29"/>
  <c r="AO187" i="29"/>
  <c r="AO183" i="29"/>
  <c r="C168" i="31"/>
  <c r="FF163" i="31"/>
  <c r="FF171" i="31" s="1"/>
  <c r="FF160" i="29"/>
  <c r="FF164" i="31" s="1"/>
  <c r="FF167" i="29"/>
  <c r="FF161" i="29"/>
  <c r="FF165" i="31" s="1"/>
  <c r="AB178" i="31"/>
  <c r="IY173" i="31"/>
  <c r="IY169" i="29"/>
  <c r="IY159" i="29"/>
  <c r="DS152" i="29"/>
  <c r="DS156" i="31" s="1"/>
  <c r="DS155" i="31"/>
  <c r="IN173" i="31"/>
  <c r="IN159" i="29"/>
  <c r="IN169" i="29"/>
  <c r="EQ173" i="31"/>
  <c r="EQ114" i="31" s="1"/>
  <c r="BZ156" i="29"/>
  <c r="BZ183" i="29"/>
  <c r="BZ172" i="29"/>
  <c r="BZ180" i="29"/>
  <c r="BZ181" i="29"/>
  <c r="BZ187" i="29"/>
  <c r="BZ158" i="29"/>
  <c r="BZ174" i="29"/>
  <c r="FV163" i="31"/>
  <c r="FV171" i="31" s="1"/>
  <c r="FV167" i="29"/>
  <c r="FV161" i="29"/>
  <c r="FV165" i="31" s="1"/>
  <c r="FV160" i="29"/>
  <c r="FV164" i="31" s="1"/>
  <c r="JD171" i="31"/>
  <c r="JD160" i="29"/>
  <c r="JD164" i="31" s="1"/>
  <c r="JD167" i="29"/>
  <c r="JD161" i="29"/>
  <c r="JD165" i="31" s="1"/>
  <c r="CO156" i="29"/>
  <c r="CO183" i="29"/>
  <c r="CO174" i="29"/>
  <c r="CO158" i="29"/>
  <c r="CO172" i="29"/>
  <c r="CO180" i="29"/>
  <c r="CO181" i="29"/>
  <c r="CO187" i="29"/>
  <c r="ES156" i="29"/>
  <c r="ES181" i="29"/>
  <c r="ES174" i="29"/>
  <c r="ES180" i="29"/>
  <c r="ES183" i="29"/>
  <c r="ES158" i="29"/>
  <c r="ES187" i="29"/>
  <c r="DH156" i="29"/>
  <c r="DH158" i="29"/>
  <c r="DH187" i="29"/>
  <c r="DH183" i="29"/>
  <c r="DH174" i="29"/>
  <c r="DH180" i="29"/>
  <c r="DH181" i="29"/>
  <c r="JC173" i="31"/>
  <c r="JC169" i="29"/>
  <c r="JC159" i="29"/>
  <c r="BX156" i="29"/>
  <c r="BX183" i="29"/>
  <c r="BX167" i="29"/>
  <c r="BX158" i="29"/>
  <c r="BX181" i="29"/>
  <c r="BX187" i="29"/>
  <c r="BX180" i="29"/>
  <c r="BX174" i="29"/>
  <c r="DS165" i="29"/>
  <c r="DS169" i="31" s="1"/>
  <c r="DS167" i="31"/>
  <c r="GX162" i="31"/>
  <c r="GX173" i="31" s="1"/>
  <c r="GX169" i="29"/>
  <c r="GX159" i="29"/>
  <c r="EY162" i="31"/>
  <c r="EY173" i="31" s="1"/>
  <c r="EY169" i="29"/>
  <c r="EY159" i="29"/>
  <c r="IS171" i="31"/>
  <c r="IS160" i="29"/>
  <c r="IS164" i="31" s="1"/>
  <c r="HF163" i="31"/>
  <c r="HF171" i="31" s="1"/>
  <c r="HF167" i="29"/>
  <c r="HF160" i="29"/>
  <c r="HF164" i="31" s="1"/>
  <c r="HF161" i="29"/>
  <c r="HF165" i="31" s="1"/>
  <c r="FC163" i="31"/>
  <c r="FC171" i="31" s="1"/>
  <c r="FC161" i="29"/>
  <c r="FC165" i="31" s="1"/>
  <c r="FC160" i="29"/>
  <c r="FC164" i="31" s="1"/>
  <c r="FC167" i="29"/>
  <c r="BV129" i="29"/>
  <c r="BV133" i="31" s="1"/>
  <c r="BV132" i="31"/>
  <c r="HH162" i="31"/>
  <c r="HH173" i="31" s="1"/>
  <c r="HH159" i="29"/>
  <c r="HH169" i="29"/>
  <c r="CD114" i="31"/>
  <c r="FW162" i="31"/>
  <c r="FW173" i="31" s="1"/>
  <c r="FW169" i="29"/>
  <c r="FW159" i="29"/>
  <c r="C165" i="29"/>
  <c r="C156" i="31"/>
  <c r="IL171" i="31"/>
  <c r="IL167" i="29"/>
  <c r="IL160" i="29"/>
  <c r="IL164" i="31" s="1"/>
  <c r="IL161" i="29"/>
  <c r="IL165" i="31" s="1"/>
  <c r="X174" i="31"/>
  <c r="IB173" i="31"/>
  <c r="IB159" i="29"/>
  <c r="IB169" i="29"/>
  <c r="DS155" i="29"/>
  <c r="WC220" i="1" s="1"/>
  <c r="DR129" i="29"/>
  <c r="DR133" i="31" s="1"/>
  <c r="DR132" i="31"/>
  <c r="JM108" i="31"/>
  <c r="IF173" i="31"/>
  <c r="IF159" i="29"/>
  <c r="IF169" i="29"/>
  <c r="BR162" i="31"/>
  <c r="BR173" i="31" s="1"/>
  <c r="BR114" i="31" s="1"/>
  <c r="BR169" i="29"/>
  <c r="BR110" i="29" s="1"/>
  <c r="BR159" i="29"/>
  <c r="AR156" i="29"/>
  <c r="AR174" i="29"/>
  <c r="AR180" i="29"/>
  <c r="AR187" i="29"/>
  <c r="AR158" i="29"/>
  <c r="AR183" i="29"/>
  <c r="AR181" i="29"/>
  <c r="CD178" i="31"/>
  <c r="CD176" i="31"/>
  <c r="HB163" i="31"/>
  <c r="HB171" i="31" s="1"/>
  <c r="HB160" i="29"/>
  <c r="HB164" i="31" s="1"/>
  <c r="HB167" i="29"/>
  <c r="HB161" i="29"/>
  <c r="HB165" i="31" s="1"/>
  <c r="E107" i="31"/>
  <c r="E104" i="29"/>
  <c r="E108" i="31" s="1"/>
  <c r="E105" i="29"/>
  <c r="E109" i="31" s="1"/>
  <c r="CX156" i="29"/>
  <c r="CX183" i="29"/>
  <c r="CX181" i="29"/>
  <c r="CX180" i="29"/>
  <c r="CX158" i="29"/>
  <c r="CX187" i="29"/>
  <c r="CX174" i="29"/>
  <c r="GD162" i="31"/>
  <c r="GD173" i="31" s="1"/>
  <c r="GD159" i="29"/>
  <c r="GD169" i="29"/>
  <c r="R156" i="29"/>
  <c r="R174" i="29"/>
  <c r="R180" i="29"/>
  <c r="R187" i="29"/>
  <c r="R158" i="29"/>
  <c r="R181" i="29"/>
  <c r="R183" i="29"/>
  <c r="ED162" i="31"/>
  <c r="ED173" i="31" s="1"/>
  <c r="ED114" i="31" s="1"/>
  <c r="ED159" i="29"/>
  <c r="ED169" i="29"/>
  <c r="ED110" i="29" s="1"/>
  <c r="FN162" i="31"/>
  <c r="FN173" i="31" s="1"/>
  <c r="FN159" i="29"/>
  <c r="FN169" i="29"/>
  <c r="JM121" i="31"/>
  <c r="JN158" i="29"/>
  <c r="JN163" i="29" s="1"/>
  <c r="EO174" i="31"/>
  <c r="HI163" i="31"/>
  <c r="HI171" i="31" s="1"/>
  <c r="HI161" i="29"/>
  <c r="HI165" i="31" s="1"/>
  <c r="HI160" i="29"/>
  <c r="HI164" i="31" s="1"/>
  <c r="HI167" i="29"/>
  <c r="BK162" i="31"/>
  <c r="BK173" i="31" s="1"/>
  <c r="BK114" i="31" s="1"/>
  <c r="BK159" i="29"/>
  <c r="BK169" i="29"/>
  <c r="BK110" i="29" s="1"/>
  <c r="V156" i="29"/>
  <c r="V183" i="29"/>
  <c r="V187" i="29"/>
  <c r="V181" i="29"/>
  <c r="V158" i="29"/>
  <c r="V174" i="29"/>
  <c r="V180" i="29"/>
  <c r="CJ156" i="29"/>
  <c r="CJ181" i="29"/>
  <c r="CJ158" i="29"/>
  <c r="CJ187" i="29"/>
  <c r="CJ174" i="29"/>
  <c r="CJ180" i="29"/>
  <c r="CJ183" i="29"/>
  <c r="FO163" i="31"/>
  <c r="FO171" i="31" s="1"/>
  <c r="FO161" i="29"/>
  <c r="FO165" i="31" s="1"/>
  <c r="FO160" i="29"/>
  <c r="FO164" i="31" s="1"/>
  <c r="FO167" i="29"/>
  <c r="CM162" i="31"/>
  <c r="CM173" i="31" s="1"/>
  <c r="CM114" i="31" s="1"/>
  <c r="CM169" i="29"/>
  <c r="CM110" i="29" s="1"/>
  <c r="CM159" i="29"/>
  <c r="K155" i="29"/>
  <c r="BX174" i="31"/>
  <c r="BW155" i="29"/>
  <c r="DT155" i="29"/>
  <c r="WC221" i="1" s="1"/>
  <c r="DF156" i="29"/>
  <c r="DF174" i="29"/>
  <c r="DF180" i="29"/>
  <c r="DF158" i="29"/>
  <c r="DF187" i="29"/>
  <c r="DF181" i="29"/>
  <c r="DF183" i="29"/>
  <c r="ER156" i="29"/>
  <c r="ER183" i="29"/>
  <c r="ER181" i="29"/>
  <c r="ER158" i="29"/>
  <c r="ER187" i="29"/>
  <c r="ER174" i="29"/>
  <c r="ER180" i="29"/>
  <c r="L156" i="29"/>
  <c r="L158" i="29"/>
  <c r="L187" i="29"/>
  <c r="L183" i="29"/>
  <c r="L181" i="29"/>
  <c r="L174" i="29"/>
  <c r="L180" i="29"/>
  <c r="HP173" i="31"/>
  <c r="HP169" i="29"/>
  <c r="HP159" i="29"/>
  <c r="AV156" i="29"/>
  <c r="AV180" i="29"/>
  <c r="AV158" i="29"/>
  <c r="AV174" i="29"/>
  <c r="AV187" i="29"/>
  <c r="AV181" i="29"/>
  <c r="AV183" i="29"/>
  <c r="D152" i="31"/>
  <c r="D154" i="29"/>
  <c r="D155" i="29" s="1"/>
  <c r="WC240" i="1" s="1"/>
  <c r="D151" i="29"/>
  <c r="D163" i="29"/>
  <c r="JI148" i="29"/>
  <c r="JI152" i="31" s="1"/>
  <c r="AE156" i="29"/>
  <c r="AE158" i="29"/>
  <c r="AE187" i="29"/>
  <c r="AE183" i="29"/>
  <c r="AE174" i="29"/>
  <c r="AE180" i="29"/>
  <c r="AE181" i="29"/>
  <c r="E120" i="31"/>
  <c r="E128" i="29"/>
  <c r="E117" i="29"/>
  <c r="E121" i="31" s="1"/>
  <c r="GI162" i="31"/>
  <c r="GI173" i="31" s="1"/>
  <c r="GI159" i="29"/>
  <c r="GI169" i="29"/>
  <c r="AG156" i="29"/>
  <c r="AG181" i="29"/>
  <c r="AG187" i="29"/>
  <c r="AG174" i="29"/>
  <c r="AG158" i="29"/>
  <c r="AG180" i="29"/>
  <c r="AG183" i="29"/>
  <c r="GB162" i="31"/>
  <c r="GB173" i="31" s="1"/>
  <c r="GB159" i="29"/>
  <c r="GB169" i="29"/>
  <c r="CB152" i="29"/>
  <c r="CB156" i="31" s="1"/>
  <c r="CB155" i="31"/>
  <c r="CB114" i="31"/>
  <c r="CQ162" i="31"/>
  <c r="CQ173" i="31" s="1"/>
  <c r="CQ114" i="31" s="1"/>
  <c r="CQ169" i="29"/>
  <c r="CQ110" i="29" s="1"/>
  <c r="CQ159" i="29"/>
  <c r="AS172" i="29"/>
  <c r="IX171" i="31"/>
  <c r="IX160" i="29"/>
  <c r="IX164" i="31" s="1"/>
  <c r="IX167" i="29"/>
  <c r="IX161" i="29"/>
  <c r="IX165" i="31" s="1"/>
  <c r="AJ152" i="29"/>
  <c r="AJ156" i="31" s="1"/>
  <c r="AJ155" i="31"/>
  <c r="HD163" i="31"/>
  <c r="HD171" i="31" s="1"/>
  <c r="HD167" i="29"/>
  <c r="DB174" i="31"/>
  <c r="DZ152" i="29"/>
  <c r="DZ156" i="31" s="1"/>
  <c r="DZ155" i="31"/>
  <c r="JM109" i="31"/>
  <c r="EG152" i="29"/>
  <c r="EG156" i="31" s="1"/>
  <c r="EG155" i="31"/>
  <c r="DV162" i="31"/>
  <c r="DV173" i="31" s="1"/>
  <c r="DV114" i="31" s="1"/>
  <c r="DV159" i="29"/>
  <c r="FG162" i="31"/>
  <c r="FG173" i="31" s="1"/>
  <c r="FG159" i="29"/>
  <c r="FG169" i="29"/>
  <c r="P162" i="31"/>
  <c r="P173" i="31" s="1"/>
  <c r="P114" i="31" s="1"/>
  <c r="P169" i="29"/>
  <c r="P110" i="29" s="1"/>
  <c r="P159" i="29"/>
  <c r="IQ173" i="31"/>
  <c r="IQ169" i="29"/>
  <c r="IQ159" i="29"/>
  <c r="HK162" i="31"/>
  <c r="HK173" i="31" s="1"/>
  <c r="HK159" i="29"/>
  <c r="HK169" i="29"/>
  <c r="AK162" i="31"/>
  <c r="AK173" i="31" s="1"/>
  <c r="AK114" i="31" s="1"/>
  <c r="AK159" i="29"/>
  <c r="AK169" i="29"/>
  <c r="AK110" i="29" s="1"/>
  <c r="FS162" i="31"/>
  <c r="FS173" i="31" s="1"/>
  <c r="FS159" i="29"/>
  <c r="FS169" i="29"/>
  <c r="GU163" i="31"/>
  <c r="GU171" i="31" s="1"/>
  <c r="GU160" i="29"/>
  <c r="GU164" i="31" s="1"/>
  <c r="GU167" i="29"/>
  <c r="GU161" i="29"/>
  <c r="GU165" i="31" s="1"/>
  <c r="HX173" i="31"/>
  <c r="HX169" i="29"/>
  <c r="HX159" i="29"/>
  <c r="DW129" i="29"/>
  <c r="DW133" i="31" s="1"/>
  <c r="DW132" i="31"/>
  <c r="BN162" i="31"/>
  <c r="BN173" i="31" s="1"/>
  <c r="BN114" i="31" s="1"/>
  <c r="BN169" i="29"/>
  <c r="BN110" i="29" s="1"/>
  <c r="BN159" i="29"/>
  <c r="CO176" i="31"/>
  <c r="GV163" i="31"/>
  <c r="GV171" i="31" s="1"/>
  <c r="GV161" i="29"/>
  <c r="GV165" i="31" s="1"/>
  <c r="GV167" i="29"/>
  <c r="GV160" i="29"/>
  <c r="GV164" i="31" s="1"/>
  <c r="AI155" i="29"/>
  <c r="BH162" i="31"/>
  <c r="BH173" i="31" s="1"/>
  <c r="BH114" i="31" s="1"/>
  <c r="BH159" i="29"/>
  <c r="BH169" i="29"/>
  <c r="BH110" i="29" s="1"/>
  <c r="IZ171" i="31"/>
  <c r="IZ161" i="29"/>
  <c r="IZ165" i="31" s="1"/>
  <c r="IZ167" i="29"/>
  <c r="IZ160" i="29"/>
  <c r="IZ164" i="31" s="1"/>
  <c r="CV167" i="31"/>
  <c r="CV165" i="29"/>
  <c r="CV169" i="31" s="1"/>
  <c r="HE163" i="31"/>
  <c r="HE171" i="31" s="1"/>
  <c r="HE167" i="29"/>
  <c r="BG162" i="31"/>
  <c r="BG173" i="31" s="1"/>
  <c r="BG114" i="31" s="1"/>
  <c r="BG169" i="29"/>
  <c r="BG110" i="29" s="1"/>
  <c r="BG159" i="29"/>
  <c r="BV152" i="29"/>
  <c r="BV156" i="31" s="1"/>
  <c r="BV155" i="31"/>
  <c r="AY159" i="29"/>
  <c r="AY162" i="31"/>
  <c r="IW173" i="31"/>
  <c r="IW169" i="29"/>
  <c r="IW159" i="29"/>
  <c r="BL152" i="29"/>
  <c r="BL156" i="31" s="1"/>
  <c r="BL155" i="31"/>
  <c r="EO156" i="29"/>
  <c r="EO187" i="29"/>
  <c r="EO158" i="29"/>
  <c r="EO174" i="29"/>
  <c r="EO183" i="29"/>
  <c r="EO180" i="29"/>
  <c r="EO181" i="29"/>
  <c r="BY162" i="31"/>
  <c r="BY173" i="31" s="1"/>
  <c r="BY114" i="31" s="1"/>
  <c r="BY169" i="29"/>
  <c r="BY110" i="29" s="1"/>
  <c r="BY159" i="29"/>
  <c r="CE162" i="31"/>
  <c r="CE173" i="31" s="1"/>
  <c r="CE114" i="31" s="1"/>
  <c r="CE159" i="29"/>
  <c r="CE169" i="29"/>
  <c r="CE110" i="29" s="1"/>
  <c r="IT171" i="31"/>
  <c r="IT160" i="29"/>
  <c r="IT164" i="31" s="1"/>
  <c r="IT167" i="29"/>
  <c r="IT161" i="29"/>
  <c r="IT165" i="31" s="1"/>
  <c r="CK156" i="29"/>
  <c r="CK174" i="29"/>
  <c r="CK180" i="29"/>
  <c r="CK158" i="29"/>
  <c r="CK187" i="29"/>
  <c r="CK181" i="29"/>
  <c r="CK183" i="29"/>
  <c r="DG156" i="29"/>
  <c r="DG158" i="29"/>
  <c r="DG187" i="29"/>
  <c r="DG181" i="29"/>
  <c r="DG174" i="29"/>
  <c r="DG180" i="29"/>
  <c r="DG183" i="29"/>
  <c r="DR167" i="31"/>
  <c r="DR165" i="29"/>
  <c r="DR169" i="31" s="1"/>
  <c r="BW167" i="31"/>
  <c r="BW165" i="29"/>
  <c r="BW169" i="31" s="1"/>
  <c r="DT152" i="29"/>
  <c r="DT156" i="31" s="1"/>
  <c r="DT155" i="31"/>
  <c r="AO114" i="31"/>
  <c r="HC163" i="31"/>
  <c r="HC171" i="31" s="1"/>
  <c r="HC160" i="29"/>
  <c r="HC164" i="31" s="1"/>
  <c r="HC161" i="29"/>
  <c r="HC165" i="31" s="1"/>
  <c r="HC167" i="29"/>
  <c r="FE162" i="31"/>
  <c r="FE173" i="31" s="1"/>
  <c r="FE159" i="29"/>
  <c r="FE169" i="29"/>
  <c r="AZ156" i="29"/>
  <c r="AZ158" i="29"/>
  <c r="AZ174" i="29"/>
  <c r="AZ177" i="29"/>
  <c r="AZ183" i="29"/>
  <c r="AZ181" i="29"/>
  <c r="AZ187" i="29"/>
  <c r="AZ180" i="29"/>
  <c r="HR173" i="31"/>
  <c r="HR159" i="29"/>
  <c r="HR169" i="29"/>
  <c r="AL156" i="29"/>
  <c r="AL181" i="29"/>
  <c r="AL180" i="29"/>
  <c r="AL174" i="29"/>
  <c r="AL183" i="29"/>
  <c r="AL158" i="29"/>
  <c r="AL187" i="29"/>
  <c r="E152" i="31"/>
  <c r="E154" i="29"/>
  <c r="E164" i="29" s="1"/>
  <c r="E168" i="31" s="1"/>
  <c r="E151" i="29"/>
  <c r="E163" i="29"/>
  <c r="DP156" i="29"/>
  <c r="DP181" i="29"/>
  <c r="DP158" i="29"/>
  <c r="DP183" i="29"/>
  <c r="DP174" i="29"/>
  <c r="DP180" i="29"/>
  <c r="DP187" i="29"/>
  <c r="GP162" i="31"/>
  <c r="GP173" i="31" s="1"/>
  <c r="GP159" i="29"/>
  <c r="GP169" i="29"/>
  <c r="JO133" i="31"/>
  <c r="JO134" i="31"/>
  <c r="FY163" i="31"/>
  <c r="FY171" i="31" s="1"/>
  <c r="AJ165" i="29"/>
  <c r="AJ169" i="31" s="1"/>
  <c r="AJ167" i="31"/>
  <c r="JA173" i="31"/>
  <c r="JA169" i="29"/>
  <c r="JA159" i="29"/>
  <c r="BJ162" i="31"/>
  <c r="BJ173" i="31" s="1"/>
  <c r="BJ114" i="31" s="1"/>
  <c r="BJ169" i="29"/>
  <c r="BJ110" i="29" s="1"/>
  <c r="BJ159" i="29"/>
  <c r="JM105" i="29"/>
  <c r="AP167" i="31"/>
  <c r="AP165" i="29"/>
  <c r="AP169" i="31" s="1"/>
  <c r="GC163" i="31"/>
  <c r="GC171" i="31" s="1"/>
  <c r="GC160" i="29"/>
  <c r="GC164" i="31" s="1"/>
  <c r="GC161" i="29"/>
  <c r="GC165" i="31" s="1"/>
  <c r="GC167" i="29"/>
  <c r="IE173" i="31"/>
  <c r="IE169" i="29"/>
  <c r="IE159" i="29"/>
  <c r="BP162" i="31"/>
  <c r="BP173" i="31" s="1"/>
  <c r="BP114" i="31" s="1"/>
  <c r="BP169" i="29"/>
  <c r="BP110" i="29" s="1"/>
  <c r="BP159" i="29"/>
  <c r="BM156" i="29"/>
  <c r="BM183" i="29"/>
  <c r="BM187" i="29"/>
  <c r="BM181" i="29"/>
  <c r="BM158" i="29"/>
  <c r="BM174" i="29"/>
  <c r="BM180" i="29"/>
  <c r="D107" i="31"/>
  <c r="D105" i="29"/>
  <c r="D104" i="29"/>
  <c r="JI103" i="29"/>
  <c r="JI107" i="31" s="1"/>
  <c r="JL103" i="29"/>
  <c r="JP103" i="29" s="1"/>
  <c r="IV173" i="31"/>
  <c r="IV159" i="29"/>
  <c r="IV169" i="29"/>
  <c r="ID173" i="31"/>
  <c r="ID159" i="29"/>
  <c r="ID169" i="29"/>
  <c r="AM162" i="31"/>
  <c r="AM173" i="31" s="1"/>
  <c r="AM114" i="31" s="1"/>
  <c r="AM169" i="29"/>
  <c r="AM110" i="29" s="1"/>
  <c r="AM159" i="29"/>
  <c r="HL160" i="29"/>
  <c r="HL161" i="29"/>
  <c r="HL167" i="29"/>
  <c r="HA163" i="31"/>
  <c r="HA171" i="31" s="1"/>
  <c r="HA161" i="29"/>
  <c r="HA165" i="31" s="1"/>
  <c r="HA167" i="29"/>
  <c r="HA160" i="29"/>
  <c r="HA164" i="31" s="1"/>
  <c r="FQ163" i="31"/>
  <c r="FQ171" i="31" s="1"/>
  <c r="FQ161" i="29"/>
  <c r="FQ165" i="31" s="1"/>
  <c r="FQ160" i="29"/>
  <c r="FQ164" i="31" s="1"/>
  <c r="FQ167" i="29"/>
  <c r="DC162" i="31"/>
  <c r="DC159" i="29"/>
  <c r="AI167" i="31"/>
  <c r="AI165" i="29"/>
  <c r="AI169" i="31" s="1"/>
  <c r="AP129" i="29"/>
  <c r="AP133" i="31" s="1"/>
  <c r="AP132" i="31"/>
  <c r="EG129" i="29"/>
  <c r="EG133" i="31" s="1"/>
  <c r="EG132" i="31"/>
  <c r="CV155" i="29"/>
  <c r="GM160" i="29"/>
  <c r="GM164" i="31" s="1"/>
  <c r="FJ163" i="31"/>
  <c r="FJ171" i="31" s="1"/>
  <c r="FJ167" i="29"/>
  <c r="FJ160" i="29"/>
  <c r="FJ164" i="31" s="1"/>
  <c r="FJ161" i="29"/>
  <c r="FJ165" i="31" s="1"/>
  <c r="DE162" i="31"/>
  <c r="DE173" i="31" s="1"/>
  <c r="DE114" i="31" s="1"/>
  <c r="BL155" i="29"/>
  <c r="DB156" i="29"/>
  <c r="DB158" i="29"/>
  <c r="DB180" i="29"/>
  <c r="DB181" i="29"/>
  <c r="DB183" i="29"/>
  <c r="DB187" i="29"/>
  <c r="DB174" i="29"/>
  <c r="GA162" i="31"/>
  <c r="GA173" i="31" s="1"/>
  <c r="GA159" i="29"/>
  <c r="GA169" i="29"/>
  <c r="GS162" i="31"/>
  <c r="GS173" i="31" s="1"/>
  <c r="GS159" i="29"/>
  <c r="GS169" i="29"/>
  <c r="HW173" i="31"/>
  <c r="HW169" i="29"/>
  <c r="HW159" i="29"/>
  <c r="IJ171" i="31"/>
  <c r="IJ167" i="29"/>
  <c r="IJ160" i="29"/>
  <c r="IJ164" i="31" s="1"/>
  <c r="IJ161" i="29"/>
  <c r="IJ165" i="31" s="1"/>
  <c r="FX163" i="31"/>
  <c r="FX171" i="31" s="1"/>
  <c r="FX167" i="29"/>
  <c r="FX161" i="29"/>
  <c r="FX165" i="31" s="1"/>
  <c r="FX160" i="29"/>
  <c r="FX164" i="31" s="1"/>
  <c r="GN163" i="31"/>
  <c r="GN171" i="31" s="1"/>
  <c r="GN161" i="29"/>
  <c r="GN165" i="31" s="1"/>
  <c r="GN160" i="29"/>
  <c r="GN164" i="31" s="1"/>
  <c r="GN167" i="29"/>
  <c r="AI129" i="29"/>
  <c r="AI133" i="31" s="1"/>
  <c r="AI132" i="31"/>
  <c r="FB162" i="31"/>
  <c r="FB173" i="31" s="1"/>
  <c r="FB169" i="29"/>
  <c r="FB159" i="29"/>
  <c r="HM173" i="31"/>
  <c r="HM159" i="29"/>
  <c r="HM169" i="29"/>
  <c r="BW129" i="29"/>
  <c r="BW133" i="31" s="1"/>
  <c r="BW132" i="31"/>
  <c r="GG162" i="31"/>
  <c r="GG173" i="31" s="1"/>
  <c r="GG169" i="29"/>
  <c r="GG159" i="29"/>
  <c r="CV129" i="29"/>
  <c r="CV133" i="31" s="1"/>
  <c r="CV132" i="31"/>
  <c r="CG156" i="29"/>
  <c r="CG158" i="29"/>
  <c r="CG187" i="29"/>
  <c r="CG183" i="29"/>
  <c r="CG174" i="29"/>
  <c r="CG180" i="29"/>
  <c r="CG181" i="29"/>
  <c r="JH173" i="31"/>
  <c r="JH159" i="29"/>
  <c r="JH169" i="29"/>
  <c r="AR114" i="31"/>
  <c r="JL104" i="31"/>
  <c r="JP98" i="31"/>
  <c r="JP104" i="31" s="1"/>
  <c r="CD162" i="31"/>
  <c r="CD159" i="29"/>
  <c r="S156" i="29"/>
  <c r="S158" i="29"/>
  <c r="S187" i="29"/>
  <c r="S183" i="29"/>
  <c r="S174" i="29"/>
  <c r="S180" i="29"/>
  <c r="S181" i="29"/>
  <c r="JM128" i="29"/>
  <c r="EQ165" i="29"/>
  <c r="EQ169" i="31" s="1"/>
  <c r="EQ167" i="31"/>
  <c r="HY171" i="31"/>
  <c r="HY160" i="29"/>
  <c r="HY164" i="31" s="1"/>
  <c r="HY167" i="29"/>
  <c r="HY161" i="29"/>
  <c r="HY165" i="31" s="1"/>
  <c r="AX174" i="31"/>
  <c r="AX176" i="31" s="1"/>
  <c r="EC169" i="29"/>
  <c r="EC110" i="29" s="1"/>
  <c r="EV163" i="31"/>
  <c r="EV167" i="29"/>
  <c r="EV160" i="29"/>
  <c r="EV161" i="29"/>
  <c r="EZ162" i="31"/>
  <c r="EZ173" i="31" s="1"/>
  <c r="EZ169" i="29"/>
  <c r="EZ159" i="29"/>
  <c r="K165" i="29"/>
  <c r="K169" i="31" s="1"/>
  <c r="K167" i="31"/>
  <c r="JE173" i="31"/>
  <c r="JE169" i="29"/>
  <c r="JE159" i="29"/>
  <c r="DG152" i="29"/>
  <c r="DG156" i="31" s="1"/>
  <c r="DG155" i="31"/>
  <c r="BA162" i="31"/>
  <c r="BA173" i="31" s="1"/>
  <c r="BA114" i="31" s="1"/>
  <c r="BA169" i="29"/>
  <c r="BA110" i="29" s="1"/>
  <c r="BA159" i="29"/>
  <c r="BW152" i="29"/>
  <c r="BW156" i="31" s="1"/>
  <c r="BW155" i="31"/>
  <c r="CU156" i="29"/>
  <c r="CU158" i="29"/>
  <c r="CU187" i="29"/>
  <c r="CU180" i="29"/>
  <c r="CU183" i="29"/>
  <c r="CU181" i="29"/>
  <c r="CU174" i="29"/>
  <c r="AO174" i="31"/>
  <c r="FA162" i="31"/>
  <c r="FA173" i="31" s="1"/>
  <c r="FA159" i="29"/>
  <c r="FA169" i="29"/>
  <c r="GR162" i="31"/>
  <c r="GR173" i="31" s="1"/>
  <c r="GR159" i="29"/>
  <c r="GR169" i="29"/>
  <c r="EQ129" i="29"/>
  <c r="EQ133" i="31" s="1"/>
  <c r="EQ132" i="31"/>
  <c r="II173" i="31"/>
  <c r="II159" i="29"/>
  <c r="II169" i="29"/>
  <c r="CB165" i="29"/>
  <c r="CB169" i="31" s="1"/>
  <c r="CB167" i="31"/>
  <c r="CF156" i="29"/>
  <c r="CF158" i="29"/>
  <c r="CF174" i="29"/>
  <c r="CF180" i="29"/>
  <c r="CF183" i="29"/>
  <c r="CF181" i="29"/>
  <c r="CF187" i="29"/>
  <c r="HG162" i="31"/>
  <c r="HG173" i="31" s="1"/>
  <c r="HG159" i="29"/>
  <c r="HG169" i="29"/>
  <c r="W156" i="29"/>
  <c r="W158" i="29"/>
  <c r="W187" i="29"/>
  <c r="W181" i="29"/>
  <c r="W174" i="29"/>
  <c r="W183" i="29"/>
  <c r="W180" i="29"/>
  <c r="FM162" i="31"/>
  <c r="FM173" i="31" s="1"/>
  <c r="FM159" i="29"/>
  <c r="FM169" i="29"/>
  <c r="GW163" i="31"/>
  <c r="GW171" i="31" s="1"/>
  <c r="GW167" i="29"/>
  <c r="GW160" i="29"/>
  <c r="GW164" i="31" s="1"/>
  <c r="GW161" i="29"/>
  <c r="GW165" i="31" s="1"/>
  <c r="GF163" i="31"/>
  <c r="GF171" i="31" s="1"/>
  <c r="GF161" i="29"/>
  <c r="GF165" i="31" s="1"/>
  <c r="GF167" i="29"/>
  <c r="GF160" i="29"/>
  <c r="GF164" i="31" s="1"/>
  <c r="CR162" i="31"/>
  <c r="CR173" i="31" s="1"/>
  <c r="CR114" i="31" s="1"/>
  <c r="CR159" i="29"/>
  <c r="CR169" i="29"/>
  <c r="CR110" i="29" s="1"/>
  <c r="GL167" i="29"/>
  <c r="BT162" i="31"/>
  <c r="BT173" i="31" s="1"/>
  <c r="BT114" i="31" s="1"/>
  <c r="BT159" i="29"/>
  <c r="BT169" i="29"/>
  <c r="BT110" i="29" s="1"/>
  <c r="IA161" i="29"/>
  <c r="IA165" i="31" s="1"/>
  <c r="AB156" i="29"/>
  <c r="AB181" i="29"/>
  <c r="AB180" i="29"/>
  <c r="AB174" i="29"/>
  <c r="AB183" i="29"/>
  <c r="AB158" i="29"/>
  <c r="AB187" i="29"/>
  <c r="K129" i="29"/>
  <c r="K133" i="31" s="1"/>
  <c r="K132" i="31"/>
  <c r="Y162" i="31"/>
  <c r="Y173" i="31" s="1"/>
  <c r="Y114" i="31" s="1"/>
  <c r="Y159" i="29"/>
  <c r="Y169" i="29"/>
  <c r="Y110" i="29" s="1"/>
  <c r="EN169" i="29"/>
  <c r="EN110" i="29" s="1"/>
  <c r="DZ181" i="29"/>
  <c r="DN162" i="31"/>
  <c r="DN173" i="31" s="1"/>
  <c r="DN114" i="31" s="1"/>
  <c r="DN159" i="29"/>
  <c r="DN169" i="29"/>
  <c r="DN110" i="29" s="1"/>
  <c r="AP114" i="31"/>
  <c r="DT129" i="29"/>
  <c r="DT133" i="31" s="1"/>
  <c r="DT132" i="31"/>
  <c r="EF162" i="31"/>
  <c r="EF173" i="31" s="1"/>
  <c r="EF114" i="31" s="1"/>
  <c r="EF159" i="29"/>
  <c r="EF169" i="29"/>
  <c r="EF110" i="29" s="1"/>
  <c r="EG167" i="31"/>
  <c r="EG165" i="29"/>
  <c r="EG169" i="31" s="1"/>
  <c r="BM167" i="31"/>
  <c r="BM165" i="29"/>
  <c r="BM169" i="31" s="1"/>
  <c r="JB171" i="31"/>
  <c r="JB161" i="29"/>
  <c r="JB165" i="31" s="1"/>
  <c r="JB167" i="29"/>
  <c r="JB160" i="29"/>
  <c r="JB164" i="31" s="1"/>
  <c r="GY162" i="31"/>
  <c r="GY173" i="31" s="1"/>
  <c r="GY159" i="29"/>
  <c r="GY169" i="29"/>
  <c r="BD162" i="31"/>
  <c r="BD173" i="31" s="1"/>
  <c r="BD114" i="31" s="1"/>
  <c r="BD159" i="29"/>
  <c r="BD169" i="29"/>
  <c r="BD110" i="29" s="1"/>
  <c r="JO158" i="29"/>
  <c r="JO163" i="29" s="1"/>
  <c r="AH162" i="31"/>
  <c r="AH173" i="31" s="1"/>
  <c r="AH114" i="31" s="1"/>
  <c r="AH169" i="29"/>
  <c r="AH110" i="29" s="1"/>
  <c r="AH159" i="29"/>
  <c r="U162" i="31"/>
  <c r="U170" i="29"/>
  <c r="U172" i="29" s="1"/>
  <c r="U159" i="29"/>
  <c r="U169" i="29"/>
  <c r="U110" i="29" s="1"/>
  <c r="HV171" i="31"/>
  <c r="HV160" i="29"/>
  <c r="HV164" i="31" s="1"/>
  <c r="HV167" i="29"/>
  <c r="HV161" i="29"/>
  <c r="HV165" i="31" s="1"/>
  <c r="IH173" i="31"/>
  <c r="IH169" i="29"/>
  <c r="IH159" i="29"/>
  <c r="AI152" i="29"/>
  <c r="AI156" i="31" s="1"/>
  <c r="AI155" i="31"/>
  <c r="DZ129" i="29"/>
  <c r="DZ133" i="31" s="1"/>
  <c r="DZ132" i="31"/>
  <c r="Z162" i="31"/>
  <c r="Z173" i="31" s="1"/>
  <c r="Z114" i="31" s="1"/>
  <c r="Z169" i="29"/>
  <c r="Z110" i="29" s="1"/>
  <c r="Z159" i="29"/>
  <c r="CV152" i="29"/>
  <c r="CV156" i="31" s="1"/>
  <c r="CV155" i="31"/>
  <c r="BV155" i="29"/>
  <c r="IG173" i="31"/>
  <c r="IG169" i="29"/>
  <c r="IG159" i="29"/>
  <c r="BL167" i="31"/>
  <c r="BL165" i="29"/>
  <c r="BL169" i="31" s="1"/>
  <c r="GH162" i="31"/>
  <c r="GH173" i="31" s="1"/>
  <c r="GH159" i="29"/>
  <c r="GH169" i="29"/>
  <c r="CN174" i="31"/>
  <c r="CN176" i="31" s="1"/>
  <c r="X172" i="29"/>
  <c r="AO172" i="29"/>
  <c r="C187" i="29"/>
  <c r="C158" i="29"/>
  <c r="C162" i="31" s="1"/>
  <c r="C174" i="29"/>
  <c r="C181" i="29"/>
  <c r="C180" i="29"/>
  <c r="C183" i="29"/>
  <c r="GL161" i="29" l="1"/>
  <c r="GL165" i="31" s="1"/>
  <c r="HD160" i="29"/>
  <c r="HD164" i="31" s="1"/>
  <c r="IS167" i="29"/>
  <c r="FH161" i="29"/>
  <c r="FH165" i="31" s="1"/>
  <c r="HE161" i="29"/>
  <c r="HE165" i="31" s="1"/>
  <c r="IA167" i="29"/>
  <c r="GQ160" i="29"/>
  <c r="GQ164" i="31" s="1"/>
  <c r="EC162" i="31"/>
  <c r="EC173" i="31" s="1"/>
  <c r="EC114" i="31" s="1"/>
  <c r="GT161" i="29"/>
  <c r="GT165" i="31" s="1"/>
  <c r="DC178" i="31"/>
  <c r="EE159" i="29"/>
  <c r="EE160" i="29" s="1"/>
  <c r="EE164" i="31" s="1"/>
  <c r="HQ161" i="29"/>
  <c r="HQ165" i="31" s="1"/>
  <c r="DY159" i="29"/>
  <c r="DY163" i="31" s="1"/>
  <c r="DY171" i="31" s="1"/>
  <c r="IU161" i="29"/>
  <c r="IU165" i="31" s="1"/>
  <c r="IA171" i="31"/>
  <c r="GL160" i="29"/>
  <c r="GL164" i="31" s="1"/>
  <c r="DQ169" i="29"/>
  <c r="DQ110" i="29" s="1"/>
  <c r="FH160" i="29"/>
  <c r="FH164" i="31" s="1"/>
  <c r="DM162" i="31"/>
  <c r="DM173" i="31" s="1"/>
  <c r="DM114" i="31" s="1"/>
  <c r="HS171" i="31"/>
  <c r="FH163" i="31"/>
  <c r="FH171" i="31" s="1"/>
  <c r="EI169" i="29"/>
  <c r="EI110" i="29" s="1"/>
  <c r="IP167" i="29"/>
  <c r="FP161" i="29"/>
  <c r="FP165" i="31" s="1"/>
  <c r="GQ167" i="29"/>
  <c r="JF171" i="31"/>
  <c r="GM161" i="29"/>
  <c r="GM165" i="31" s="1"/>
  <c r="FY161" i="29"/>
  <c r="FY165" i="31" s="1"/>
  <c r="HQ167" i="29"/>
  <c r="IU160" i="29"/>
  <c r="IU164" i="31" s="1"/>
  <c r="IM167" i="29"/>
  <c r="GM167" i="29"/>
  <c r="FY160" i="29"/>
  <c r="FY164" i="31" s="1"/>
  <c r="IU167" i="29"/>
  <c r="HQ160" i="29"/>
  <c r="HQ164" i="31" s="1"/>
  <c r="EX163" i="31"/>
  <c r="EX171" i="31" s="1"/>
  <c r="GQ163" i="31"/>
  <c r="GQ171" i="31" s="1"/>
  <c r="EL162" i="31"/>
  <c r="EL173" i="31" s="1"/>
  <c r="EL114" i="31" s="1"/>
  <c r="FP167" i="29"/>
  <c r="JF160" i="29"/>
  <c r="JF164" i="31" s="1"/>
  <c r="FP163" i="31"/>
  <c r="FP171" i="31" s="1"/>
  <c r="JF161" i="29"/>
  <c r="JF165" i="31" s="1"/>
  <c r="IP171" i="31"/>
  <c r="EE169" i="29"/>
  <c r="EE110" i="29" s="1"/>
  <c r="HS161" i="29"/>
  <c r="HS165" i="31" s="1"/>
  <c r="DM159" i="29"/>
  <c r="DM167" i="29" s="1"/>
  <c r="IP160" i="29"/>
  <c r="IP164" i="31" s="1"/>
  <c r="HS160" i="29"/>
  <c r="HS164" i="31" s="1"/>
  <c r="EB169" i="29"/>
  <c r="EB110" i="29" s="1"/>
  <c r="EI162" i="31"/>
  <c r="EI173" i="31" s="1"/>
  <c r="EI114" i="31" s="1"/>
  <c r="DQ159" i="29"/>
  <c r="DQ160" i="29" s="1"/>
  <c r="DQ164" i="31" s="1"/>
  <c r="DZ180" i="29"/>
  <c r="HT161" i="29"/>
  <c r="HT165" i="31" s="1"/>
  <c r="EH169" i="29"/>
  <c r="EH110" i="29" s="1"/>
  <c r="EH159" i="29"/>
  <c r="EH160" i="29" s="1"/>
  <c r="EH164" i="31" s="1"/>
  <c r="EP159" i="29"/>
  <c r="EP163" i="31" s="1"/>
  <c r="EP171" i="31" s="1"/>
  <c r="HZ167" i="29"/>
  <c r="EB162" i="31"/>
  <c r="EB173" i="31" s="1"/>
  <c r="EB114" i="31" s="1"/>
  <c r="WC163" i="1"/>
  <c r="F157" i="32"/>
  <c r="BV153" i="29"/>
  <c r="BV159" i="31"/>
  <c r="BV178" i="31" s="1"/>
  <c r="WC47" i="1"/>
  <c r="F41" i="32"/>
  <c r="AI159" i="31"/>
  <c r="AI178" i="31" s="1"/>
  <c r="AI153" i="29"/>
  <c r="WC13" i="1"/>
  <c r="F7" i="32"/>
  <c r="K159" i="31"/>
  <c r="K178" i="31" s="1"/>
  <c r="K153" i="29"/>
  <c r="WC153" i="1"/>
  <c r="F147" i="32"/>
  <c r="BM153" i="29"/>
  <c r="BM159" i="31"/>
  <c r="BM178" i="31" s="1"/>
  <c r="WC48" i="1"/>
  <c r="F42" i="32"/>
  <c r="AJ153" i="29"/>
  <c r="AJ159" i="31"/>
  <c r="AJ178" i="31" s="1"/>
  <c r="WC152" i="1"/>
  <c r="F146" i="32"/>
  <c r="BL159" i="31"/>
  <c r="BL178" i="31" s="1"/>
  <c r="BL153" i="29"/>
  <c r="WC189" i="1"/>
  <c r="F183" i="32"/>
  <c r="CV159" i="31"/>
  <c r="CV178" i="31" s="1"/>
  <c r="CV153" i="29"/>
  <c r="WC167" i="1"/>
  <c r="F161" i="32"/>
  <c r="BW159" i="31"/>
  <c r="BW153" i="29"/>
  <c r="BZ176" i="31"/>
  <c r="BZ178" i="31"/>
  <c r="DZ183" i="29"/>
  <c r="DZ174" i="29"/>
  <c r="EN162" i="31"/>
  <c r="EN173" i="31" s="1"/>
  <c r="EN114" i="31" s="1"/>
  <c r="EX167" i="29"/>
  <c r="HT167" i="29"/>
  <c r="EP169" i="29"/>
  <c r="EP110" i="29" s="1"/>
  <c r="HZ171" i="31"/>
  <c r="F199" i="32"/>
  <c r="WC205" i="1"/>
  <c r="DZ159" i="31"/>
  <c r="DZ178" i="31" s="1"/>
  <c r="WC242" i="1"/>
  <c r="DZ187" i="29"/>
  <c r="DZ156" i="29"/>
  <c r="EX160" i="29"/>
  <c r="EX164" i="31" s="1"/>
  <c r="HT171" i="31"/>
  <c r="DE169" i="29"/>
  <c r="DE110" i="29" s="1"/>
  <c r="HZ160" i="29"/>
  <c r="HZ164" i="31" s="1"/>
  <c r="DZ158" i="29"/>
  <c r="DZ169" i="29" s="1"/>
  <c r="DZ110" i="29" s="1"/>
  <c r="DG159" i="31"/>
  <c r="DG178" i="31" s="1"/>
  <c r="EG156" i="29"/>
  <c r="WC255" i="1"/>
  <c r="DZ153" i="29"/>
  <c r="DG153" i="29"/>
  <c r="DY162" i="31"/>
  <c r="DY173" i="31" s="1"/>
  <c r="DY114" i="31" s="1"/>
  <c r="GT163" i="31"/>
  <c r="GT171" i="31" s="1"/>
  <c r="GT160" i="29"/>
  <c r="GT164" i="31" s="1"/>
  <c r="IM161" i="29"/>
  <c r="IM165" i="31" s="1"/>
  <c r="JL107" i="31"/>
  <c r="JP107" i="31" s="1"/>
  <c r="EL169" i="29"/>
  <c r="EL110" i="29" s="1"/>
  <c r="IM171" i="31"/>
  <c r="EQ172" i="29"/>
  <c r="EG183" i="29"/>
  <c r="EG180" i="29"/>
  <c r="EG174" i="29"/>
  <c r="EG158" i="29"/>
  <c r="EG169" i="29" s="1"/>
  <c r="EG110" i="29" s="1"/>
  <c r="EG181" i="29"/>
  <c r="JM132" i="31"/>
  <c r="JM133" i="31" s="1"/>
  <c r="EG187" i="29"/>
  <c r="F262" i="32"/>
  <c r="EQ159" i="31"/>
  <c r="EQ153" i="29"/>
  <c r="F249" i="32"/>
  <c r="EG159" i="31"/>
  <c r="EG178" i="31" s="1"/>
  <c r="EG153" i="29"/>
  <c r="F234" i="32"/>
  <c r="D159" i="31"/>
  <c r="D178" i="31" s="1"/>
  <c r="D153" i="29"/>
  <c r="F215" i="32"/>
  <c r="DT159" i="31"/>
  <c r="DT178" i="31" s="1"/>
  <c r="DT153" i="29"/>
  <c r="F214" i="32"/>
  <c r="DS153" i="29"/>
  <c r="DS159" i="31"/>
  <c r="DS178" i="31" s="1"/>
  <c r="F213" i="32"/>
  <c r="DR153" i="29"/>
  <c r="DR159" i="31"/>
  <c r="DR178" i="31" s="1"/>
  <c r="JN159" i="29"/>
  <c r="IH171" i="31"/>
  <c r="IH167" i="29"/>
  <c r="IH161" i="29"/>
  <c r="IH165" i="31" s="1"/>
  <c r="IH160" i="29"/>
  <c r="IH164" i="31" s="1"/>
  <c r="U163" i="31"/>
  <c r="U171" i="31" s="1"/>
  <c r="U161" i="29"/>
  <c r="U165" i="31" s="1"/>
  <c r="U160" i="29"/>
  <c r="U164" i="31" s="1"/>
  <c r="U167" i="29"/>
  <c r="GS163" i="31"/>
  <c r="GS171" i="31" s="1"/>
  <c r="GS161" i="29"/>
  <c r="GS165" i="31" s="1"/>
  <c r="GS167" i="29"/>
  <c r="GS160" i="29"/>
  <c r="GS164" i="31" s="1"/>
  <c r="JM129" i="29"/>
  <c r="JM130" i="29"/>
  <c r="BJ163" i="31"/>
  <c r="BJ171" i="31" s="1"/>
  <c r="BJ167" i="29"/>
  <c r="BJ160" i="29"/>
  <c r="BJ164" i="31" s="1"/>
  <c r="BJ161" i="29"/>
  <c r="BJ165" i="31" s="1"/>
  <c r="CE163" i="31"/>
  <c r="CE171" i="31" s="1"/>
  <c r="CE161" i="29"/>
  <c r="CE165" i="31" s="1"/>
  <c r="CE160" i="29"/>
  <c r="CE164" i="31" s="1"/>
  <c r="CE167" i="29"/>
  <c r="BG163" i="31"/>
  <c r="BG171" i="31" s="1"/>
  <c r="BG167" i="29"/>
  <c r="BG161" i="29"/>
  <c r="BG165" i="31" s="1"/>
  <c r="BG160" i="29"/>
  <c r="BG164" i="31" s="1"/>
  <c r="AI156" i="29"/>
  <c r="AI158" i="29"/>
  <c r="AI187" i="29"/>
  <c r="AI174" i="29"/>
  <c r="AI183" i="29"/>
  <c r="AI181" i="29"/>
  <c r="AI180" i="29"/>
  <c r="HK163" i="31"/>
  <c r="HK171" i="31" s="1"/>
  <c r="HK167" i="29"/>
  <c r="HK161" i="29"/>
  <c r="HK165" i="31" s="1"/>
  <c r="HK160" i="29"/>
  <c r="HK164" i="31" s="1"/>
  <c r="P163" i="31"/>
  <c r="P171" i="31" s="1"/>
  <c r="P161" i="29"/>
  <c r="P165" i="31" s="1"/>
  <c r="P167" i="29"/>
  <c r="P160" i="29"/>
  <c r="P164" i="31" s="1"/>
  <c r="DE163" i="31"/>
  <c r="DE171" i="31" s="1"/>
  <c r="DE167" i="29"/>
  <c r="DE161" i="29"/>
  <c r="DE165" i="31" s="1"/>
  <c r="DE160" i="29"/>
  <c r="DE164" i="31" s="1"/>
  <c r="AM163" i="31"/>
  <c r="AM171" i="31" s="1"/>
  <c r="AM160" i="29"/>
  <c r="AM164" i="31" s="1"/>
  <c r="AM161" i="29"/>
  <c r="AM165" i="31" s="1"/>
  <c r="AM167" i="29"/>
  <c r="D108" i="31"/>
  <c r="JL108" i="31" s="1"/>
  <c r="JP108" i="31" s="1"/>
  <c r="JI104" i="29"/>
  <c r="JI108" i="31" s="1"/>
  <c r="JL104" i="29"/>
  <c r="JP104" i="29" s="1"/>
  <c r="GH163" i="31"/>
  <c r="GH171" i="31" s="1"/>
  <c r="GH167" i="29"/>
  <c r="GH161" i="29"/>
  <c r="GH165" i="31" s="1"/>
  <c r="GH160" i="29"/>
  <c r="GH164" i="31" s="1"/>
  <c r="IG171" i="31"/>
  <c r="IG167" i="29"/>
  <c r="IG160" i="29"/>
  <c r="IG164" i="31" s="1"/>
  <c r="IG161" i="29"/>
  <c r="IG165" i="31" s="1"/>
  <c r="AH163" i="31"/>
  <c r="AH171" i="31" s="1"/>
  <c r="AH161" i="29"/>
  <c r="AH165" i="31" s="1"/>
  <c r="AH167" i="29"/>
  <c r="AH160" i="29"/>
  <c r="AH164" i="31" s="1"/>
  <c r="DY160" i="29"/>
  <c r="DY164" i="31" s="1"/>
  <c r="BD163" i="31"/>
  <c r="BD171" i="31" s="1"/>
  <c r="BD160" i="29"/>
  <c r="BD164" i="31" s="1"/>
  <c r="BD167" i="29"/>
  <c r="BD161" i="29"/>
  <c r="BD165" i="31" s="1"/>
  <c r="FM163" i="31"/>
  <c r="FM171" i="31" s="1"/>
  <c r="FM167" i="29"/>
  <c r="FM161" i="29"/>
  <c r="FM165" i="31" s="1"/>
  <c r="FM160" i="29"/>
  <c r="FM164" i="31" s="1"/>
  <c r="AO178" i="31"/>
  <c r="AO176" i="31"/>
  <c r="EZ163" i="31"/>
  <c r="EZ171" i="31" s="1"/>
  <c r="EZ161" i="29"/>
  <c r="EZ165" i="31" s="1"/>
  <c r="EZ160" i="29"/>
  <c r="EZ164" i="31" s="1"/>
  <c r="EZ167" i="29"/>
  <c r="EV165" i="31"/>
  <c r="EC163" i="31"/>
  <c r="EC171" i="31" s="1"/>
  <c r="EC160" i="29"/>
  <c r="EC164" i="31" s="1"/>
  <c r="EC161" i="29"/>
  <c r="EC165" i="31" s="1"/>
  <c r="EC167" i="29"/>
  <c r="S162" i="31"/>
  <c r="S173" i="31" s="1"/>
  <c r="S114" i="31" s="1"/>
  <c r="S159" i="29"/>
  <c r="S169" i="29"/>
  <c r="S110" i="29" s="1"/>
  <c r="CG162" i="31"/>
  <c r="CG173" i="31" s="1"/>
  <c r="CG114" i="31" s="1"/>
  <c r="CG169" i="29"/>
  <c r="CG110" i="29" s="1"/>
  <c r="CG159" i="29"/>
  <c r="GG163" i="31"/>
  <c r="GG171" i="31" s="1"/>
  <c r="GG161" i="29"/>
  <c r="GG165" i="31" s="1"/>
  <c r="GG160" i="29"/>
  <c r="GG164" i="31" s="1"/>
  <c r="GG167" i="29"/>
  <c r="FB163" i="31"/>
  <c r="FB171" i="31" s="1"/>
  <c r="FB167" i="29"/>
  <c r="FB161" i="29"/>
  <c r="FB165" i="31" s="1"/>
  <c r="FB160" i="29"/>
  <c r="FB164" i="31" s="1"/>
  <c r="GA163" i="31"/>
  <c r="GA171" i="31" s="1"/>
  <c r="GA167" i="29"/>
  <c r="GA160" i="29"/>
  <c r="GA164" i="31" s="1"/>
  <c r="GA161" i="29"/>
  <c r="GA165" i="31" s="1"/>
  <c r="DC163" i="31"/>
  <c r="DC171" i="31" s="1"/>
  <c r="DC161" i="29"/>
  <c r="DC165" i="31" s="1"/>
  <c r="DC160" i="29"/>
  <c r="DC164" i="31" s="1"/>
  <c r="DC167" i="29"/>
  <c r="HL165" i="31"/>
  <c r="ID171" i="31"/>
  <c r="ID160" i="29"/>
  <c r="ID164" i="31" s="1"/>
  <c r="ID167" i="29"/>
  <c r="ID161" i="29"/>
  <c r="ID165" i="31" s="1"/>
  <c r="D109" i="31"/>
  <c r="JL109" i="31" s="1"/>
  <c r="JP109" i="31" s="1"/>
  <c r="JL105" i="29"/>
  <c r="JP105" i="29" s="1"/>
  <c r="JI105" i="29"/>
  <c r="JI109" i="31" s="1"/>
  <c r="BM162" i="31"/>
  <c r="BM173" i="31" s="1"/>
  <c r="BM114" i="31" s="1"/>
  <c r="BM159" i="29"/>
  <c r="BM169" i="29"/>
  <c r="BM110" i="29" s="1"/>
  <c r="IE171" i="31"/>
  <c r="IE167" i="29"/>
  <c r="IE161" i="29"/>
  <c r="IE165" i="31" s="1"/>
  <c r="IE160" i="29"/>
  <c r="IE164" i="31" s="1"/>
  <c r="BO176" i="31"/>
  <c r="DP162" i="31"/>
  <c r="DP173" i="31" s="1"/>
  <c r="DP114" i="31" s="1"/>
  <c r="DP169" i="29"/>
  <c r="DP110" i="29" s="1"/>
  <c r="DP159" i="29"/>
  <c r="E155" i="29"/>
  <c r="WC261" i="1" s="1"/>
  <c r="HR171" i="31"/>
  <c r="HR161" i="29"/>
  <c r="HR165" i="31" s="1"/>
  <c r="HR167" i="29"/>
  <c r="HR160" i="29"/>
  <c r="HR164" i="31" s="1"/>
  <c r="AZ162" i="31"/>
  <c r="AZ173" i="31" s="1"/>
  <c r="AZ114" i="31" s="1"/>
  <c r="AZ169" i="29"/>
  <c r="AZ110" i="29" s="1"/>
  <c r="AZ159" i="29"/>
  <c r="DG162" i="31"/>
  <c r="DG173" i="31" s="1"/>
  <c r="DG114" i="31" s="1"/>
  <c r="DG159" i="29"/>
  <c r="DG169" i="29"/>
  <c r="DG110" i="29" s="1"/>
  <c r="BH163" i="31"/>
  <c r="BH171" i="31" s="1"/>
  <c r="BH167" i="29"/>
  <c r="BH160" i="29"/>
  <c r="BH164" i="31" s="1"/>
  <c r="BH161" i="29"/>
  <c r="BH165" i="31" s="1"/>
  <c r="HX171" i="31"/>
  <c r="HX167" i="29"/>
  <c r="HX161" i="29"/>
  <c r="HX165" i="31" s="1"/>
  <c r="HX160" i="29"/>
  <c r="HX164" i="31" s="1"/>
  <c r="FS163" i="31"/>
  <c r="FS171" i="31" s="1"/>
  <c r="FS167" i="29"/>
  <c r="FS161" i="29"/>
  <c r="FS165" i="31" s="1"/>
  <c r="FS160" i="29"/>
  <c r="FS164" i="31" s="1"/>
  <c r="IQ171" i="31"/>
  <c r="IQ160" i="29"/>
  <c r="IQ164" i="31" s="1"/>
  <c r="IQ161" i="29"/>
  <c r="IQ165" i="31" s="1"/>
  <c r="IQ167" i="29"/>
  <c r="E129" i="29"/>
  <c r="E133" i="31" s="1"/>
  <c r="E132" i="31"/>
  <c r="D152" i="29"/>
  <c r="D155" i="31"/>
  <c r="JI151" i="29"/>
  <c r="JI155" i="31" s="1"/>
  <c r="K156" i="29"/>
  <c r="K158" i="29"/>
  <c r="K180" i="29"/>
  <c r="K183" i="29"/>
  <c r="K187" i="29"/>
  <c r="K181" i="29"/>
  <c r="K174" i="29"/>
  <c r="CJ162" i="31"/>
  <c r="CJ173" i="31" s="1"/>
  <c r="CJ114" i="31" s="1"/>
  <c r="CJ169" i="29"/>
  <c r="CJ110" i="29" s="1"/>
  <c r="CJ159" i="29"/>
  <c r="ED163" i="31"/>
  <c r="ED171" i="31" s="1"/>
  <c r="ED161" i="29"/>
  <c r="ED165" i="31" s="1"/>
  <c r="ED167" i="29"/>
  <c r="ED160" i="29"/>
  <c r="ED164" i="31" s="1"/>
  <c r="R162" i="31"/>
  <c r="R173" i="31" s="1"/>
  <c r="R114" i="31" s="1"/>
  <c r="R159" i="29"/>
  <c r="R169" i="29"/>
  <c r="R110" i="29" s="1"/>
  <c r="DS156" i="29"/>
  <c r="DS158" i="29"/>
  <c r="DS187" i="29"/>
  <c r="DS183" i="29"/>
  <c r="DS181" i="29"/>
  <c r="DS174" i="29"/>
  <c r="DS180" i="29"/>
  <c r="X176" i="31"/>
  <c r="BZ162" i="31"/>
  <c r="BZ173" i="31" s="1"/>
  <c r="BZ114" i="31" s="1"/>
  <c r="BZ169" i="29"/>
  <c r="BZ110" i="29" s="1"/>
  <c r="BZ159" i="29"/>
  <c r="AO159" i="29"/>
  <c r="AO162" i="31"/>
  <c r="IC171" i="31"/>
  <c r="IC161" i="29"/>
  <c r="IC165" i="31" s="1"/>
  <c r="IC167" i="29"/>
  <c r="IC160" i="29"/>
  <c r="IC164" i="31" s="1"/>
  <c r="O163" i="31"/>
  <c r="O171" i="31" s="1"/>
  <c r="O167" i="29"/>
  <c r="O161" i="29"/>
  <c r="O165" i="31" s="1"/>
  <c r="O160" i="29"/>
  <c r="O164" i="31" s="1"/>
  <c r="GO163" i="31"/>
  <c r="GO171" i="31" s="1"/>
  <c r="GO167" i="29"/>
  <c r="GO161" i="29"/>
  <c r="GO165" i="31" s="1"/>
  <c r="GO160" i="29"/>
  <c r="GO164" i="31" s="1"/>
  <c r="AS178" i="31"/>
  <c r="JL120" i="31"/>
  <c r="JP120" i="31" s="1"/>
  <c r="G162" i="31"/>
  <c r="G173" i="31" s="1"/>
  <c r="G114" i="31" s="1"/>
  <c r="G169" i="29"/>
  <c r="G110" i="29" s="1"/>
  <c r="G159" i="29"/>
  <c r="BI162" i="31"/>
  <c r="BI173" i="31" s="1"/>
  <c r="BI114" i="31" s="1"/>
  <c r="BI159" i="29"/>
  <c r="BI169" i="29"/>
  <c r="BI110" i="29" s="1"/>
  <c r="AD162" i="31"/>
  <c r="AD173" i="31" s="1"/>
  <c r="AD114" i="31" s="1"/>
  <c r="AD159" i="29"/>
  <c r="AD169" i="29"/>
  <c r="AD110" i="29" s="1"/>
  <c r="JG171" i="31"/>
  <c r="JG161" i="29"/>
  <c r="JG165" i="31" s="1"/>
  <c r="JG167" i="29"/>
  <c r="JG160" i="29"/>
  <c r="JG164" i="31" s="1"/>
  <c r="BC162" i="31"/>
  <c r="BC173" i="31" s="1"/>
  <c r="BC114" i="31" s="1"/>
  <c r="BC159" i="29"/>
  <c r="BC169" i="29"/>
  <c r="BC110" i="29" s="1"/>
  <c r="CR163" i="31"/>
  <c r="CR171" i="31" s="1"/>
  <c r="CR161" i="29"/>
  <c r="CR165" i="31" s="1"/>
  <c r="CR167" i="29"/>
  <c r="CR160" i="29"/>
  <c r="CR164" i="31" s="1"/>
  <c r="CF162" i="31"/>
  <c r="CF173" i="31" s="1"/>
  <c r="CF114" i="31" s="1"/>
  <c r="CF169" i="29"/>
  <c r="CF110" i="29" s="1"/>
  <c r="CF159" i="29"/>
  <c r="JH171" i="31"/>
  <c r="JH160" i="29"/>
  <c r="JH164" i="31" s="1"/>
  <c r="JH161" i="29"/>
  <c r="JH165" i="31" s="1"/>
  <c r="JH167" i="29"/>
  <c r="HW171" i="31"/>
  <c r="HW167" i="29"/>
  <c r="HW161" i="29"/>
  <c r="HW165" i="31" s="1"/>
  <c r="HW160" i="29"/>
  <c r="HW164" i="31" s="1"/>
  <c r="BP163" i="31"/>
  <c r="BP171" i="31" s="1"/>
  <c r="BP161" i="29"/>
  <c r="BP165" i="31" s="1"/>
  <c r="BP167" i="29"/>
  <c r="BP160" i="29"/>
  <c r="BP164" i="31" s="1"/>
  <c r="JA171" i="31"/>
  <c r="JA161" i="29"/>
  <c r="JA165" i="31" s="1"/>
  <c r="JA167" i="29"/>
  <c r="JA160" i="29"/>
  <c r="JA164" i="31" s="1"/>
  <c r="E152" i="29"/>
  <c r="E156" i="31" s="1"/>
  <c r="E155" i="31"/>
  <c r="AL162" i="31"/>
  <c r="AL173" i="31" s="1"/>
  <c r="AL114" i="31" s="1"/>
  <c r="AL159" i="29"/>
  <c r="AL169" i="29"/>
  <c r="AL110" i="29" s="1"/>
  <c r="FE163" i="31"/>
  <c r="FE171" i="31" s="1"/>
  <c r="FE167" i="29"/>
  <c r="FE160" i="29"/>
  <c r="FE164" i="31" s="1"/>
  <c r="FE161" i="29"/>
  <c r="FE165" i="31" s="1"/>
  <c r="CK162" i="31"/>
  <c r="CK173" i="31" s="1"/>
  <c r="CK114" i="31" s="1"/>
  <c r="CK169" i="29"/>
  <c r="CK110" i="29" s="1"/>
  <c r="CK159" i="29"/>
  <c r="BN163" i="31"/>
  <c r="BN171" i="31" s="1"/>
  <c r="BN160" i="29"/>
  <c r="BN164" i="31" s="1"/>
  <c r="BN161" i="29"/>
  <c r="BN165" i="31" s="1"/>
  <c r="BN167" i="29"/>
  <c r="DV163" i="31"/>
  <c r="DV171" i="31" s="1"/>
  <c r="DV161" i="29"/>
  <c r="DV165" i="31" s="1"/>
  <c r="DV167" i="29"/>
  <c r="DV160" i="29"/>
  <c r="DV164" i="31" s="1"/>
  <c r="GI163" i="31"/>
  <c r="GI171" i="31" s="1"/>
  <c r="GI161" i="29"/>
  <c r="GI165" i="31" s="1"/>
  <c r="GI160" i="29"/>
  <c r="GI164" i="31" s="1"/>
  <c r="GI167" i="29"/>
  <c r="D164" i="29"/>
  <c r="D165" i="29" s="1"/>
  <c r="BW156" i="29"/>
  <c r="BW183" i="29"/>
  <c r="BW174" i="29"/>
  <c r="BW180" i="29"/>
  <c r="BW158" i="29"/>
  <c r="BW172" i="29"/>
  <c r="BW187" i="29"/>
  <c r="BW181" i="29"/>
  <c r="CM163" i="31"/>
  <c r="CM171" i="31" s="1"/>
  <c r="CM161" i="29"/>
  <c r="CM165" i="31" s="1"/>
  <c r="CM167" i="29"/>
  <c r="CM160" i="29"/>
  <c r="CM164" i="31" s="1"/>
  <c r="V162" i="31"/>
  <c r="V173" i="31" s="1"/>
  <c r="V114" i="31" s="1"/>
  <c r="V159" i="29"/>
  <c r="V169" i="29"/>
  <c r="V110" i="29" s="1"/>
  <c r="EO178" i="31"/>
  <c r="EO176" i="31"/>
  <c r="FN163" i="31"/>
  <c r="FN171" i="31" s="1"/>
  <c r="FN167" i="29"/>
  <c r="FN160" i="29"/>
  <c r="FN164" i="31" s="1"/>
  <c r="FN161" i="29"/>
  <c r="FN165" i="31" s="1"/>
  <c r="FW163" i="31"/>
  <c r="FW171" i="31" s="1"/>
  <c r="FW160" i="29"/>
  <c r="FW164" i="31" s="1"/>
  <c r="FW167" i="29"/>
  <c r="FW161" i="29"/>
  <c r="FW165" i="31" s="1"/>
  <c r="EB163" i="31"/>
  <c r="EB171" i="31" s="1"/>
  <c r="EB161" i="29"/>
  <c r="EB165" i="31" s="1"/>
  <c r="EB167" i="29"/>
  <c r="EB160" i="29"/>
  <c r="EB164" i="31" s="1"/>
  <c r="ES162" i="31"/>
  <c r="ES173" i="31" s="1"/>
  <c r="ES114" i="31" s="1"/>
  <c r="ES169" i="29"/>
  <c r="ES110" i="29" s="1"/>
  <c r="ES159" i="29"/>
  <c r="EQ156" i="29"/>
  <c r="EQ187" i="29"/>
  <c r="EQ183" i="29"/>
  <c r="EQ158" i="29"/>
  <c r="EQ181" i="29"/>
  <c r="EQ180" i="29"/>
  <c r="EQ174" i="29"/>
  <c r="X159" i="29"/>
  <c r="X162" i="31"/>
  <c r="CY163" i="31"/>
  <c r="CY171" i="31" s="1"/>
  <c r="CY161" i="29"/>
  <c r="CY165" i="31" s="1"/>
  <c r="CY167" i="29"/>
  <c r="CY160" i="29"/>
  <c r="CY164" i="31" s="1"/>
  <c r="EE163" i="31"/>
  <c r="EE171" i="31" s="1"/>
  <c r="EE167" i="29"/>
  <c r="EE161" i="29"/>
  <c r="EE165" i="31" s="1"/>
  <c r="AJ156" i="29"/>
  <c r="AJ174" i="29"/>
  <c r="AJ180" i="29"/>
  <c r="AJ158" i="29"/>
  <c r="AJ187" i="29"/>
  <c r="AJ181" i="29"/>
  <c r="AJ183" i="29"/>
  <c r="FI163" i="31"/>
  <c r="FI171" i="31" s="1"/>
  <c r="FI160" i="29"/>
  <c r="FI164" i="31" s="1"/>
  <c r="FI167" i="29"/>
  <c r="FI161" i="29"/>
  <c r="FI165" i="31" s="1"/>
  <c r="AU162" i="31"/>
  <c r="AU173" i="31" s="1"/>
  <c r="AU114" i="31" s="1"/>
  <c r="AU169" i="29"/>
  <c r="AU110" i="29" s="1"/>
  <c r="AU159" i="29"/>
  <c r="EM162" i="31"/>
  <c r="EM173" i="31" s="1"/>
  <c r="EM114" i="31" s="1"/>
  <c r="EM169" i="29"/>
  <c r="EM110" i="29" s="1"/>
  <c r="EM159" i="29"/>
  <c r="Z163" i="31"/>
  <c r="Z171" i="31" s="1"/>
  <c r="Z161" i="29"/>
  <c r="Z165" i="31" s="1"/>
  <c r="Z167" i="29"/>
  <c r="Z160" i="29"/>
  <c r="Z164" i="31" s="1"/>
  <c r="JO159" i="29"/>
  <c r="HL171" i="31"/>
  <c r="GD163" i="31"/>
  <c r="GD171" i="31" s="1"/>
  <c r="GD160" i="29"/>
  <c r="GD164" i="31" s="1"/>
  <c r="GD161" i="29"/>
  <c r="GD165" i="31" s="1"/>
  <c r="GD167" i="29"/>
  <c r="CX162" i="31"/>
  <c r="CX173" i="31" s="1"/>
  <c r="CX114" i="31" s="1"/>
  <c r="CX159" i="29"/>
  <c r="CX169" i="29"/>
  <c r="CX110" i="29" s="1"/>
  <c r="AR159" i="29"/>
  <c r="AR162" i="31"/>
  <c r="IB171" i="31"/>
  <c r="IB160" i="29"/>
  <c r="IB164" i="31" s="1"/>
  <c r="IB161" i="29"/>
  <c r="IB165" i="31" s="1"/>
  <c r="IB167" i="29"/>
  <c r="GX163" i="31"/>
  <c r="GX171" i="31" s="1"/>
  <c r="GX160" i="29"/>
  <c r="GX164" i="31" s="1"/>
  <c r="GX167" i="29"/>
  <c r="GX161" i="29"/>
  <c r="GX165" i="31" s="1"/>
  <c r="BX159" i="29"/>
  <c r="BX162" i="31"/>
  <c r="JC171" i="31"/>
  <c r="JC160" i="29"/>
  <c r="JC164" i="31" s="1"/>
  <c r="JC161" i="29"/>
  <c r="JC165" i="31" s="1"/>
  <c r="JC167" i="29"/>
  <c r="DH162" i="31"/>
  <c r="DH173" i="31" s="1"/>
  <c r="DH114" i="31" s="1"/>
  <c r="DH159" i="29"/>
  <c r="DH169" i="29"/>
  <c r="DH110" i="29" s="1"/>
  <c r="BO163" i="31"/>
  <c r="BO171" i="31" s="1"/>
  <c r="BO160" i="29"/>
  <c r="BO164" i="31" s="1"/>
  <c r="BO167" i="29"/>
  <c r="BO161" i="29"/>
  <c r="BO165" i="31" s="1"/>
  <c r="FK163" i="31"/>
  <c r="FK171" i="31" s="1"/>
  <c r="FK167" i="29"/>
  <c r="FK161" i="29"/>
  <c r="FK165" i="31" s="1"/>
  <c r="FK160" i="29"/>
  <c r="FK164" i="31" s="1"/>
  <c r="BB163" i="31"/>
  <c r="BB171" i="31" s="1"/>
  <c r="BB160" i="29"/>
  <c r="BB164" i="31" s="1"/>
  <c r="BB161" i="29"/>
  <c r="BB165" i="31" s="1"/>
  <c r="BB167" i="29"/>
  <c r="FT163" i="31"/>
  <c r="FT171" i="31" s="1"/>
  <c r="FT160" i="29"/>
  <c r="FT164" i="31" s="1"/>
  <c r="FT167" i="29"/>
  <c r="FT161" i="29"/>
  <c r="FT165" i="31" s="1"/>
  <c r="AS159" i="29"/>
  <c r="AS162" i="31"/>
  <c r="M162" i="31"/>
  <c r="M173" i="31" s="1"/>
  <c r="M114" i="31" s="1"/>
  <c r="M159" i="29"/>
  <c r="M169" i="29"/>
  <c r="M110" i="29" s="1"/>
  <c r="F162" i="31"/>
  <c r="F159" i="29"/>
  <c r="F169" i="29"/>
  <c r="F110" i="29" s="1"/>
  <c r="Q162" i="31"/>
  <c r="Q173" i="31" s="1"/>
  <c r="Q114" i="31" s="1"/>
  <c r="Q159" i="29"/>
  <c r="Q169" i="29"/>
  <c r="Q110" i="29" s="1"/>
  <c r="D129" i="29"/>
  <c r="D133" i="31" s="1"/>
  <c r="D132" i="31"/>
  <c r="JI128" i="29"/>
  <c r="JL128" i="29"/>
  <c r="FZ163" i="31"/>
  <c r="FZ171" i="31" s="1"/>
  <c r="FZ167" i="29"/>
  <c r="FZ160" i="29"/>
  <c r="FZ164" i="31" s="1"/>
  <c r="FZ161" i="29"/>
  <c r="FZ165" i="31" s="1"/>
  <c r="IR171" i="31"/>
  <c r="IR161" i="29"/>
  <c r="IR165" i="31" s="1"/>
  <c r="IR160" i="29"/>
  <c r="IR164" i="31" s="1"/>
  <c r="IR167" i="29"/>
  <c r="DN163" i="31"/>
  <c r="DN171" i="31" s="1"/>
  <c r="DN161" i="29"/>
  <c r="DN165" i="31" s="1"/>
  <c r="DN167" i="29"/>
  <c r="DN160" i="29"/>
  <c r="DN164" i="31" s="1"/>
  <c r="EV164" i="31"/>
  <c r="BL156" i="29"/>
  <c r="BL174" i="29"/>
  <c r="BL180" i="29"/>
  <c r="BL181" i="29"/>
  <c r="BL158" i="29"/>
  <c r="BL187" i="29"/>
  <c r="BL183" i="29"/>
  <c r="CV156" i="29"/>
  <c r="CV158" i="29"/>
  <c r="CV187" i="29"/>
  <c r="CV181" i="29"/>
  <c r="CV180" i="29"/>
  <c r="CV183" i="29"/>
  <c r="CV174" i="29"/>
  <c r="HL164" i="31"/>
  <c r="EF163" i="31"/>
  <c r="EF171" i="31" s="1"/>
  <c r="EF161" i="29"/>
  <c r="EF165" i="31" s="1"/>
  <c r="EF160" i="29"/>
  <c r="EF164" i="31" s="1"/>
  <c r="EF167" i="29"/>
  <c r="EN163" i="31"/>
  <c r="EN171" i="31" s="1"/>
  <c r="EN167" i="29"/>
  <c r="EN160" i="29"/>
  <c r="EN164" i="31" s="1"/>
  <c r="EN161" i="29"/>
  <c r="EN165" i="31" s="1"/>
  <c r="Y163" i="31"/>
  <c r="Y171" i="31" s="1"/>
  <c r="Y167" i="29"/>
  <c r="Y161" i="29"/>
  <c r="Y165" i="31" s="1"/>
  <c r="Y160" i="29"/>
  <c r="Y164" i="31" s="1"/>
  <c r="BT163" i="31"/>
  <c r="BT171" i="31" s="1"/>
  <c r="BT161" i="29"/>
  <c r="BT165" i="31" s="1"/>
  <c r="BT160" i="29"/>
  <c r="BT164" i="31" s="1"/>
  <c r="BT167" i="29"/>
  <c r="HG163" i="31"/>
  <c r="HG171" i="31" s="1"/>
  <c r="HG160" i="29"/>
  <c r="HG164" i="31" s="1"/>
  <c r="HG161" i="29"/>
  <c r="HG165" i="31" s="1"/>
  <c r="HG167" i="29"/>
  <c r="II171" i="31"/>
  <c r="II167" i="29"/>
  <c r="II160" i="29"/>
  <c r="II164" i="31" s="1"/>
  <c r="II161" i="29"/>
  <c r="II165" i="31" s="1"/>
  <c r="FA163" i="31"/>
  <c r="FA171" i="31" s="1"/>
  <c r="FA160" i="29"/>
  <c r="FA164" i="31" s="1"/>
  <c r="FA161" i="29"/>
  <c r="FA165" i="31" s="1"/>
  <c r="FA167" i="29"/>
  <c r="CU162" i="31"/>
  <c r="CU173" i="31" s="1"/>
  <c r="CU114" i="31" s="1"/>
  <c r="CU159" i="29"/>
  <c r="CU169" i="29"/>
  <c r="CU110" i="29" s="1"/>
  <c r="BA163" i="31"/>
  <c r="BA171" i="31" s="1"/>
  <c r="BA167" i="29"/>
  <c r="BA160" i="29"/>
  <c r="BA164" i="31" s="1"/>
  <c r="BA161" i="29"/>
  <c r="BA165" i="31" s="1"/>
  <c r="CD161" i="29"/>
  <c r="CD165" i="31" s="1"/>
  <c r="CD163" i="31"/>
  <c r="CD171" i="31" s="1"/>
  <c r="CD160" i="29"/>
  <c r="CD164" i="31" s="1"/>
  <c r="CD167" i="29"/>
  <c r="HM171" i="31"/>
  <c r="HM167" i="29"/>
  <c r="HM160" i="29"/>
  <c r="HM164" i="31" s="1"/>
  <c r="HM161" i="29"/>
  <c r="HM165" i="31" s="1"/>
  <c r="GP163" i="31"/>
  <c r="GP171" i="31" s="1"/>
  <c r="GP161" i="29"/>
  <c r="GP165" i="31" s="1"/>
  <c r="GP160" i="29"/>
  <c r="GP164" i="31" s="1"/>
  <c r="GP167" i="29"/>
  <c r="EO159" i="29"/>
  <c r="EO162" i="31"/>
  <c r="FG163" i="31"/>
  <c r="FG171" i="31" s="1"/>
  <c r="FG161" i="29"/>
  <c r="FG165" i="31" s="1"/>
  <c r="FG167" i="29"/>
  <c r="FG160" i="29"/>
  <c r="FG164" i="31" s="1"/>
  <c r="D156" i="29"/>
  <c r="D183" i="29"/>
  <c r="D187" i="29"/>
  <c r="D174" i="29"/>
  <c r="D181" i="29"/>
  <c r="D158" i="29"/>
  <c r="D180" i="29"/>
  <c r="HP171" i="31"/>
  <c r="HP161" i="29"/>
  <c r="HP165" i="31" s="1"/>
  <c r="HP167" i="29"/>
  <c r="HP160" i="29"/>
  <c r="HP164" i="31" s="1"/>
  <c r="L162" i="31"/>
  <c r="L173" i="31" s="1"/>
  <c r="L114" i="31" s="1"/>
  <c r="L169" i="29"/>
  <c r="L110" i="29" s="1"/>
  <c r="L159" i="29"/>
  <c r="DF162" i="31"/>
  <c r="DF173" i="31" s="1"/>
  <c r="DF114" i="31" s="1"/>
  <c r="DF159" i="29"/>
  <c r="DF169" i="29"/>
  <c r="DF110" i="29" s="1"/>
  <c r="DT156" i="29"/>
  <c r="DT181" i="29"/>
  <c r="DT174" i="29"/>
  <c r="DT180" i="29"/>
  <c r="DT158" i="29"/>
  <c r="DT187" i="29"/>
  <c r="DT183" i="29"/>
  <c r="DR156" i="29"/>
  <c r="DR181" i="29"/>
  <c r="DR180" i="29"/>
  <c r="DR158" i="29"/>
  <c r="DR174" i="29"/>
  <c r="DR183" i="29"/>
  <c r="DR187" i="29"/>
  <c r="C173" i="31"/>
  <c r="C114" i="31" s="1"/>
  <c r="BV156" i="29"/>
  <c r="BV158" i="29"/>
  <c r="BV187" i="29"/>
  <c r="BV183" i="29"/>
  <c r="BV181" i="29"/>
  <c r="BV174" i="29"/>
  <c r="BV180" i="29"/>
  <c r="U174" i="31"/>
  <c r="U176" i="31" s="1"/>
  <c r="U173" i="31"/>
  <c r="U114" i="31" s="1"/>
  <c r="GY163" i="31"/>
  <c r="GY171" i="31" s="1"/>
  <c r="GY161" i="29"/>
  <c r="GY165" i="31" s="1"/>
  <c r="GY167" i="29"/>
  <c r="GY160" i="29"/>
  <c r="GY164" i="31" s="1"/>
  <c r="AB159" i="29"/>
  <c r="AB162" i="31"/>
  <c r="W162" i="31"/>
  <c r="W173" i="31" s="1"/>
  <c r="W114" i="31" s="1"/>
  <c r="W169" i="29"/>
  <c r="W110" i="29" s="1"/>
  <c r="W159" i="29"/>
  <c r="GR163" i="31"/>
  <c r="GR171" i="31" s="1"/>
  <c r="GR161" i="29"/>
  <c r="GR165" i="31" s="1"/>
  <c r="GR160" i="29"/>
  <c r="GR164" i="31" s="1"/>
  <c r="GR167" i="29"/>
  <c r="JE171" i="31"/>
  <c r="JE167" i="29"/>
  <c r="JE161" i="29"/>
  <c r="JE165" i="31" s="1"/>
  <c r="JE160" i="29"/>
  <c r="JE164" i="31" s="1"/>
  <c r="EV171" i="31"/>
  <c r="DB159" i="29"/>
  <c r="DB162" i="31"/>
  <c r="IV171" i="31"/>
  <c r="IV161" i="29"/>
  <c r="IV165" i="31" s="1"/>
  <c r="IV167" i="29"/>
  <c r="IV160" i="29"/>
  <c r="IV164" i="31" s="1"/>
  <c r="EL163" i="31"/>
  <c r="EL171" i="31" s="1"/>
  <c r="EL160" i="29"/>
  <c r="EL164" i="31" s="1"/>
  <c r="EL167" i="29"/>
  <c r="EL161" i="29"/>
  <c r="EL165" i="31" s="1"/>
  <c r="E167" i="31"/>
  <c r="E165" i="29"/>
  <c r="E169" i="31" s="1"/>
  <c r="BY163" i="31"/>
  <c r="BY171" i="31" s="1"/>
  <c r="BY161" i="29"/>
  <c r="BY165" i="31" s="1"/>
  <c r="BY167" i="29"/>
  <c r="BY160" i="29"/>
  <c r="BY164" i="31" s="1"/>
  <c r="IW171" i="31"/>
  <c r="IW167" i="29"/>
  <c r="IW160" i="29"/>
  <c r="IW164" i="31" s="1"/>
  <c r="IW161" i="29"/>
  <c r="IW165" i="31" s="1"/>
  <c r="AY163" i="31"/>
  <c r="AY171" i="31" s="1"/>
  <c r="AY167" i="29"/>
  <c r="AY161" i="29"/>
  <c r="AY165" i="31" s="1"/>
  <c r="AY160" i="29"/>
  <c r="AY164" i="31" s="1"/>
  <c r="JO162" i="31"/>
  <c r="JO167" i="31" s="1"/>
  <c r="AK163" i="31"/>
  <c r="AK171" i="31" s="1"/>
  <c r="AK161" i="29"/>
  <c r="AK165" i="31" s="1"/>
  <c r="AK167" i="29"/>
  <c r="AK160" i="29"/>
  <c r="AK164" i="31" s="1"/>
  <c r="EI163" i="31"/>
  <c r="EI171" i="31" s="1"/>
  <c r="EI160" i="29"/>
  <c r="EI164" i="31" s="1"/>
  <c r="EI167" i="29"/>
  <c r="EI161" i="29"/>
  <c r="EI165" i="31" s="1"/>
  <c r="DB178" i="31"/>
  <c r="CQ163" i="31"/>
  <c r="CQ171" i="31" s="1"/>
  <c r="CQ160" i="29"/>
  <c r="CQ164" i="31" s="1"/>
  <c r="CQ167" i="29"/>
  <c r="CQ161" i="29"/>
  <c r="CQ165" i="31" s="1"/>
  <c r="GB163" i="31"/>
  <c r="GB171" i="31" s="1"/>
  <c r="GB161" i="29"/>
  <c r="GB165" i="31" s="1"/>
  <c r="GB167" i="29"/>
  <c r="GB160" i="29"/>
  <c r="GB164" i="31" s="1"/>
  <c r="AG162" i="31"/>
  <c r="AG173" i="31" s="1"/>
  <c r="AG114" i="31" s="1"/>
  <c r="AG169" i="29"/>
  <c r="AG110" i="29" s="1"/>
  <c r="AG159" i="29"/>
  <c r="AE162" i="31"/>
  <c r="AE173" i="31" s="1"/>
  <c r="AE114" i="31" s="1"/>
  <c r="AE159" i="29"/>
  <c r="AE169" i="29"/>
  <c r="AE110" i="29" s="1"/>
  <c r="D167" i="31"/>
  <c r="JI163" i="29"/>
  <c r="JI167" i="31" s="1"/>
  <c r="AV162" i="31"/>
  <c r="AV173" i="31" s="1"/>
  <c r="AV114" i="31" s="1"/>
  <c r="AV169" i="29"/>
  <c r="AV110" i="29" s="1"/>
  <c r="AV159" i="29"/>
  <c r="ER162" i="31"/>
  <c r="ER173" i="31" s="1"/>
  <c r="ER114" i="31" s="1"/>
  <c r="ER159" i="29"/>
  <c r="ER169" i="29"/>
  <c r="ER110" i="29" s="1"/>
  <c r="BX176" i="31"/>
  <c r="BX178" i="31"/>
  <c r="BX171" i="31"/>
  <c r="BK163" i="31"/>
  <c r="BK171" i="31" s="1"/>
  <c r="BK160" i="29"/>
  <c r="BK164" i="31" s="1"/>
  <c r="BK167" i="29"/>
  <c r="BK161" i="29"/>
  <c r="BK165" i="31" s="1"/>
  <c r="BR163" i="31"/>
  <c r="BR171" i="31" s="1"/>
  <c r="BR161" i="29"/>
  <c r="BR165" i="31" s="1"/>
  <c r="BR160" i="29"/>
  <c r="BR164" i="31" s="1"/>
  <c r="BR167" i="29"/>
  <c r="IF171" i="31"/>
  <c r="IF161" i="29"/>
  <c r="IF165" i="31" s="1"/>
  <c r="IF167" i="29"/>
  <c r="IF160" i="29"/>
  <c r="IF164" i="31" s="1"/>
  <c r="C169" i="31"/>
  <c r="HH163" i="31"/>
  <c r="HH171" i="31" s="1"/>
  <c r="HH160" i="29"/>
  <c r="HH164" i="31" s="1"/>
  <c r="HH167" i="29"/>
  <c r="HH161" i="29"/>
  <c r="HH165" i="31" s="1"/>
  <c r="EY163" i="31"/>
  <c r="EY171" i="31" s="1"/>
  <c r="EY161" i="29"/>
  <c r="EY165" i="31" s="1"/>
  <c r="EY160" i="29"/>
  <c r="EY164" i="31" s="1"/>
  <c r="EY167" i="29"/>
  <c r="CO159" i="29"/>
  <c r="CO162" i="31"/>
  <c r="EP160" i="29"/>
  <c r="EP164" i="31" s="1"/>
  <c r="EQ174" i="31"/>
  <c r="IN171" i="31"/>
  <c r="IN160" i="29"/>
  <c r="IN164" i="31" s="1"/>
  <c r="IN161" i="29"/>
  <c r="IN165" i="31" s="1"/>
  <c r="IN167" i="29"/>
  <c r="IY171" i="31"/>
  <c r="IY161" i="29"/>
  <c r="IY165" i="31" s="1"/>
  <c r="IY160" i="29"/>
  <c r="IY164" i="31" s="1"/>
  <c r="IY167" i="29"/>
  <c r="CC163" i="31"/>
  <c r="CC171" i="31" s="1"/>
  <c r="CC161" i="29"/>
  <c r="CC165" i="31" s="1"/>
  <c r="CC167" i="29"/>
  <c r="CC160" i="29"/>
  <c r="CC164" i="31" s="1"/>
  <c r="BF163" i="31"/>
  <c r="BF171" i="31" s="1"/>
  <c r="BF161" i="29"/>
  <c r="BF165" i="31" s="1"/>
  <c r="BF160" i="29"/>
  <c r="BF164" i="31" s="1"/>
  <c r="BF167" i="29"/>
  <c r="T163" i="31"/>
  <c r="T171" i="31" s="1"/>
  <c r="T160" i="29"/>
  <c r="T164" i="31" s="1"/>
  <c r="T161" i="29"/>
  <c r="T165" i="31" s="1"/>
  <c r="T167" i="29"/>
  <c r="CZ163" i="31"/>
  <c r="CZ171" i="31" s="1"/>
  <c r="CZ161" i="29"/>
  <c r="CZ165" i="31" s="1"/>
  <c r="CZ167" i="29"/>
  <c r="CZ160" i="29"/>
  <c r="CZ164" i="31" s="1"/>
  <c r="AF163" i="31"/>
  <c r="AF171" i="31" s="1"/>
  <c r="AF161" i="29"/>
  <c r="AF165" i="31" s="1"/>
  <c r="AF160" i="29"/>
  <c r="AF164" i="31" s="1"/>
  <c r="AF167" i="29"/>
  <c r="CW162" i="31"/>
  <c r="CW173" i="31" s="1"/>
  <c r="CW114" i="31" s="1"/>
  <c r="CW159" i="29"/>
  <c r="CW169" i="29"/>
  <c r="CW110" i="29" s="1"/>
  <c r="JM155" i="29"/>
  <c r="D121" i="31"/>
  <c r="JL121" i="31" s="1"/>
  <c r="JP121" i="31" s="1"/>
  <c r="JI117" i="29"/>
  <c r="JI121" i="31" s="1"/>
  <c r="JL117" i="29"/>
  <c r="JP117" i="29" s="1"/>
  <c r="AA162" i="31"/>
  <c r="AA173" i="31" s="1"/>
  <c r="AA114" i="31" s="1"/>
  <c r="AA159" i="29"/>
  <c r="AA169" i="29"/>
  <c r="AA110" i="29" s="1"/>
  <c r="JN162" i="31"/>
  <c r="JN167" i="31" s="1"/>
  <c r="DA162" i="31"/>
  <c r="DA173" i="31" s="1"/>
  <c r="DA114" i="31" s="1"/>
  <c r="DA159" i="29"/>
  <c r="DA169" i="29"/>
  <c r="DA110" i="29" s="1"/>
  <c r="C169" i="29"/>
  <c r="C110" i="29" s="1"/>
  <c r="C159" i="29"/>
  <c r="C163" i="31" s="1"/>
  <c r="EP161" i="29" l="1"/>
  <c r="EP165" i="31" s="1"/>
  <c r="EP167" i="29"/>
  <c r="EH163" i="31"/>
  <c r="EH171" i="31" s="1"/>
  <c r="DY167" i="29"/>
  <c r="DY161" i="29"/>
  <c r="DY165" i="31" s="1"/>
  <c r="DQ167" i="29"/>
  <c r="DM163" i="31"/>
  <c r="DM171" i="31" s="1"/>
  <c r="DQ163" i="31"/>
  <c r="DQ171" i="31" s="1"/>
  <c r="EH161" i="29"/>
  <c r="EH165" i="31" s="1"/>
  <c r="EH167" i="29"/>
  <c r="DQ161" i="29"/>
  <c r="DQ165" i="31" s="1"/>
  <c r="EG162" i="31"/>
  <c r="EG173" i="31" s="1"/>
  <c r="EG114" i="31" s="1"/>
  <c r="DM160" i="29"/>
  <c r="DM164" i="31" s="1"/>
  <c r="DM161" i="29"/>
  <c r="DM165" i="31" s="1"/>
  <c r="WC272" i="1"/>
  <c r="DZ159" i="29"/>
  <c r="DZ160" i="29" s="1"/>
  <c r="DZ164" i="31" s="1"/>
  <c r="DZ162" i="31"/>
  <c r="DZ173" i="31" s="1"/>
  <c r="DZ114" i="31" s="1"/>
  <c r="BW176" i="31"/>
  <c r="BW178" i="31"/>
  <c r="EG159" i="29"/>
  <c r="EG163" i="31" s="1"/>
  <c r="EG171" i="31" s="1"/>
  <c r="D169" i="31"/>
  <c r="JI165" i="29"/>
  <c r="JI169" i="31" s="1"/>
  <c r="JM134" i="31"/>
  <c r="F255" i="32"/>
  <c r="F266" i="32" s="1"/>
  <c r="E159" i="31"/>
  <c r="E153" i="29"/>
  <c r="JI153" i="29" s="1"/>
  <c r="JL132" i="31"/>
  <c r="JP132" i="31" s="1"/>
  <c r="DB163" i="31"/>
  <c r="DB171" i="31" s="1"/>
  <c r="DB160" i="29"/>
  <c r="DB164" i="31" s="1"/>
  <c r="DB161" i="29"/>
  <c r="DB165" i="31" s="1"/>
  <c r="DB167" i="29"/>
  <c r="CU163" i="31"/>
  <c r="CU171" i="31" s="1"/>
  <c r="CU167" i="29"/>
  <c r="CU160" i="29"/>
  <c r="CU164" i="31" s="1"/>
  <c r="CU161" i="29"/>
  <c r="CU165" i="31" s="1"/>
  <c r="CV162" i="31"/>
  <c r="CV173" i="31" s="1"/>
  <c r="CV114" i="31" s="1"/>
  <c r="CV169" i="29"/>
  <c r="CV110" i="29" s="1"/>
  <c r="CV159" i="29"/>
  <c r="BL162" i="31"/>
  <c r="BL173" i="31" s="1"/>
  <c r="BL114" i="31" s="1"/>
  <c r="BL159" i="29"/>
  <c r="BL169" i="29"/>
  <c r="BL110" i="29" s="1"/>
  <c r="JI129" i="29"/>
  <c r="JI133" i="31" s="1"/>
  <c r="JI132" i="31"/>
  <c r="Q163" i="31"/>
  <c r="Q171" i="31" s="1"/>
  <c r="Q160" i="29"/>
  <c r="Q164" i="31" s="1"/>
  <c r="Q167" i="29"/>
  <c r="Q161" i="29"/>
  <c r="Q165" i="31" s="1"/>
  <c r="JM158" i="29"/>
  <c r="JM163" i="29" s="1"/>
  <c r="DH163" i="31"/>
  <c r="DH171" i="31" s="1"/>
  <c r="DH160" i="29"/>
  <c r="DH164" i="31" s="1"/>
  <c r="DH167" i="29"/>
  <c r="DH161" i="29"/>
  <c r="DH165" i="31" s="1"/>
  <c r="EM163" i="31"/>
  <c r="EM171" i="31" s="1"/>
  <c r="EM167" i="29"/>
  <c r="EM161" i="29"/>
  <c r="EM165" i="31" s="1"/>
  <c r="EM160" i="29"/>
  <c r="EM164" i="31" s="1"/>
  <c r="BW162" i="31"/>
  <c r="BW173" i="31" s="1"/>
  <c r="BW114" i="31" s="1"/>
  <c r="BW169" i="29"/>
  <c r="BW110" i="29" s="1"/>
  <c r="BW159" i="29"/>
  <c r="R163" i="31"/>
  <c r="R171" i="31" s="1"/>
  <c r="R161" i="29"/>
  <c r="R165" i="31" s="1"/>
  <c r="R160" i="29"/>
  <c r="R164" i="31" s="1"/>
  <c r="R167" i="29"/>
  <c r="AZ163" i="31"/>
  <c r="AZ171" i="31" s="1"/>
  <c r="AZ160" i="29"/>
  <c r="AZ164" i="31" s="1"/>
  <c r="AZ161" i="29"/>
  <c r="AZ165" i="31" s="1"/>
  <c r="AZ167" i="29"/>
  <c r="DP163" i="31"/>
  <c r="DP171" i="31" s="1"/>
  <c r="DP167" i="29"/>
  <c r="DP161" i="29"/>
  <c r="DP165" i="31" s="1"/>
  <c r="DP160" i="29"/>
  <c r="DP164" i="31" s="1"/>
  <c r="CG163" i="31"/>
  <c r="CG171" i="31" s="1"/>
  <c r="CG161" i="29"/>
  <c r="CG165" i="31" s="1"/>
  <c r="CG167" i="29"/>
  <c r="CG160" i="29"/>
  <c r="CG164" i="31" s="1"/>
  <c r="S163" i="31"/>
  <c r="S171" i="31" s="1"/>
  <c r="S160" i="29"/>
  <c r="S164" i="31" s="1"/>
  <c r="S167" i="29"/>
  <c r="S161" i="29"/>
  <c r="S165" i="31" s="1"/>
  <c r="C171" i="31"/>
  <c r="CW163" i="31"/>
  <c r="CW171" i="31" s="1"/>
  <c r="CW167" i="29"/>
  <c r="CW161" i="29"/>
  <c r="CW165" i="31" s="1"/>
  <c r="CW160" i="29"/>
  <c r="CW164" i="31" s="1"/>
  <c r="CO163" i="31"/>
  <c r="CO171" i="31" s="1"/>
  <c r="CO160" i="29"/>
  <c r="CO164" i="31" s="1"/>
  <c r="CO161" i="29"/>
  <c r="CO165" i="31" s="1"/>
  <c r="CO167" i="29"/>
  <c r="AE163" i="31"/>
  <c r="AE171" i="31" s="1"/>
  <c r="AE160" i="29"/>
  <c r="AE164" i="31" s="1"/>
  <c r="AE161" i="29"/>
  <c r="AE165" i="31" s="1"/>
  <c r="AE167" i="29"/>
  <c r="DT162" i="31"/>
  <c r="DT173" i="31" s="1"/>
  <c r="DT114" i="31" s="1"/>
  <c r="DT169" i="29"/>
  <c r="DT110" i="29" s="1"/>
  <c r="DT159" i="29"/>
  <c r="L163" i="31"/>
  <c r="L171" i="31" s="1"/>
  <c r="L161" i="29"/>
  <c r="L165" i="31" s="1"/>
  <c r="L160" i="29"/>
  <c r="L164" i="31" s="1"/>
  <c r="L167" i="29"/>
  <c r="DA163" i="31"/>
  <c r="DA171" i="31" s="1"/>
  <c r="DA160" i="29"/>
  <c r="DA164" i="31" s="1"/>
  <c r="DA161" i="29"/>
  <c r="DA165" i="31" s="1"/>
  <c r="DA167" i="29"/>
  <c r="AA163" i="31"/>
  <c r="AA171" i="31" s="1"/>
  <c r="AA161" i="29"/>
  <c r="AA165" i="31" s="1"/>
  <c r="AA167" i="29"/>
  <c r="AA160" i="29"/>
  <c r="AA164" i="31" s="1"/>
  <c r="AV163" i="31"/>
  <c r="AV171" i="31" s="1"/>
  <c r="AV167" i="29"/>
  <c r="AV161" i="29"/>
  <c r="AV165" i="31" s="1"/>
  <c r="AV160" i="29"/>
  <c r="AV164" i="31" s="1"/>
  <c r="DB176" i="31"/>
  <c r="JN163" i="31"/>
  <c r="JO164" i="31"/>
  <c r="JN164" i="31"/>
  <c r="F173" i="31"/>
  <c r="F114" i="31" s="1"/>
  <c r="AR163" i="31"/>
  <c r="AR171" i="31" s="1"/>
  <c r="AR161" i="29"/>
  <c r="AR165" i="31" s="1"/>
  <c r="AR167" i="29"/>
  <c r="AR160" i="29"/>
  <c r="AR164" i="31" s="1"/>
  <c r="JO163" i="31"/>
  <c r="AJ162" i="31"/>
  <c r="AJ173" i="31" s="1"/>
  <c r="AJ114" i="31" s="1"/>
  <c r="AJ169" i="29"/>
  <c r="AJ110" i="29" s="1"/>
  <c r="AJ159" i="29"/>
  <c r="X163" i="31"/>
  <c r="X171" i="31" s="1"/>
  <c r="X160" i="29"/>
  <c r="X164" i="31" s="1"/>
  <c r="X161" i="29"/>
  <c r="X165" i="31" s="1"/>
  <c r="X167" i="29"/>
  <c r="EQ159" i="29"/>
  <c r="EQ162" i="31"/>
  <c r="ES163" i="31"/>
  <c r="ES171" i="31" s="1"/>
  <c r="ES167" i="29"/>
  <c r="ES161" i="29"/>
  <c r="ES165" i="31" s="1"/>
  <c r="ES160" i="29"/>
  <c r="ES164" i="31" s="1"/>
  <c r="BI163" i="31"/>
  <c r="BI171" i="31" s="1"/>
  <c r="BI160" i="29"/>
  <c r="BI164" i="31" s="1"/>
  <c r="BI167" i="29"/>
  <c r="BI161" i="29"/>
  <c r="BI165" i="31" s="1"/>
  <c r="DS162" i="31"/>
  <c r="DS173" i="31" s="1"/>
  <c r="DS114" i="31" s="1"/>
  <c r="DS159" i="29"/>
  <c r="DS169" i="29"/>
  <c r="DS110" i="29" s="1"/>
  <c r="BM163" i="31"/>
  <c r="BM171" i="31" s="1"/>
  <c r="BM161" i="29"/>
  <c r="BM165" i="31" s="1"/>
  <c r="BM160" i="29"/>
  <c r="BM164" i="31" s="1"/>
  <c r="BM167" i="29"/>
  <c r="EQ176" i="31"/>
  <c r="AG163" i="31"/>
  <c r="AG171" i="31" s="1"/>
  <c r="AG160" i="29"/>
  <c r="AG164" i="31" s="1"/>
  <c r="AG167" i="29"/>
  <c r="AG161" i="29"/>
  <c r="AG165" i="31" s="1"/>
  <c r="DR162" i="31"/>
  <c r="DR173" i="31" s="1"/>
  <c r="DR114" i="31" s="1"/>
  <c r="DR159" i="29"/>
  <c r="DR169" i="29"/>
  <c r="DR110" i="29" s="1"/>
  <c r="DF163" i="31"/>
  <c r="DF171" i="31" s="1"/>
  <c r="DF160" i="29"/>
  <c r="DF164" i="31" s="1"/>
  <c r="DF161" i="29"/>
  <c r="DF165" i="31" s="1"/>
  <c r="DF167" i="29"/>
  <c r="EO163" i="31"/>
  <c r="EO171" i="31" s="1"/>
  <c r="EO167" i="29"/>
  <c r="EO160" i="29"/>
  <c r="EO164" i="31" s="1"/>
  <c r="EO161" i="29"/>
  <c r="EO165" i="31" s="1"/>
  <c r="JO160" i="29"/>
  <c r="JN160" i="29"/>
  <c r="AS163" i="31"/>
  <c r="AS171" i="31" s="1"/>
  <c r="AS161" i="29"/>
  <c r="AS165" i="31" s="1"/>
  <c r="AS167" i="29"/>
  <c r="AS160" i="29"/>
  <c r="AS164" i="31" s="1"/>
  <c r="D168" i="31"/>
  <c r="JI164" i="29"/>
  <c r="JI168" i="31" s="1"/>
  <c r="AD163" i="31"/>
  <c r="AD171" i="31" s="1"/>
  <c r="AD161" i="29"/>
  <c r="AD165" i="31" s="1"/>
  <c r="AD167" i="29"/>
  <c r="AD160" i="29"/>
  <c r="AD164" i="31" s="1"/>
  <c r="AO163" i="31"/>
  <c r="AO171" i="31" s="1"/>
  <c r="AO167" i="29"/>
  <c r="AO160" i="29"/>
  <c r="AO164" i="31" s="1"/>
  <c r="AO161" i="29"/>
  <c r="AO165" i="31" s="1"/>
  <c r="CJ163" i="31"/>
  <c r="CJ171" i="31" s="1"/>
  <c r="CJ160" i="29"/>
  <c r="CJ164" i="31" s="1"/>
  <c r="CJ161" i="29"/>
  <c r="CJ165" i="31" s="1"/>
  <c r="CJ167" i="29"/>
  <c r="K162" i="31"/>
  <c r="K173" i="31" s="1"/>
  <c r="K114" i="31" s="1"/>
  <c r="K159" i="29"/>
  <c r="K169" i="29"/>
  <c r="K110" i="29" s="1"/>
  <c r="D156" i="31"/>
  <c r="JI152" i="29"/>
  <c r="JI156" i="31" s="1"/>
  <c r="DG163" i="31"/>
  <c r="DG171" i="31" s="1"/>
  <c r="DG160" i="29"/>
  <c r="DG164" i="31" s="1"/>
  <c r="DG167" i="29"/>
  <c r="DG161" i="29"/>
  <c r="DG165" i="31" s="1"/>
  <c r="JO165" i="31"/>
  <c r="JN165" i="31"/>
  <c r="AI162" i="31"/>
  <c r="AI173" i="31" s="1"/>
  <c r="AI114" i="31" s="1"/>
  <c r="AI169" i="29"/>
  <c r="AI110" i="29" s="1"/>
  <c r="AI159" i="29"/>
  <c r="ER163" i="31"/>
  <c r="ER171" i="31" s="1"/>
  <c r="ER160" i="29"/>
  <c r="ER164" i="31" s="1"/>
  <c r="ER161" i="29"/>
  <c r="ER165" i="31" s="1"/>
  <c r="ER167" i="29"/>
  <c r="W163" i="31"/>
  <c r="W171" i="31" s="1"/>
  <c r="W167" i="29"/>
  <c r="W161" i="29"/>
  <c r="W165" i="31" s="1"/>
  <c r="W160" i="29"/>
  <c r="W164" i="31" s="1"/>
  <c r="AB161" i="29"/>
  <c r="AB165" i="31" s="1"/>
  <c r="AB163" i="31"/>
  <c r="AB171" i="31" s="1"/>
  <c r="AB167" i="29"/>
  <c r="AB160" i="29"/>
  <c r="AB164" i="31" s="1"/>
  <c r="BV162" i="31"/>
  <c r="BV173" i="31" s="1"/>
  <c r="BV114" i="31" s="1"/>
  <c r="BV159" i="29"/>
  <c r="BV169" i="29"/>
  <c r="BV110" i="29" s="1"/>
  <c r="D162" i="31"/>
  <c r="D169" i="29"/>
  <c r="D110" i="29" s="1"/>
  <c r="D159" i="29"/>
  <c r="JP128" i="29"/>
  <c r="JL129" i="29"/>
  <c r="JL130" i="29"/>
  <c r="F163" i="31"/>
  <c r="F161" i="29"/>
  <c r="F160" i="29"/>
  <c r="F167" i="29"/>
  <c r="M163" i="31"/>
  <c r="M171" i="31" s="1"/>
  <c r="M167" i="29"/>
  <c r="M161" i="29"/>
  <c r="M165" i="31" s="1"/>
  <c r="M160" i="29"/>
  <c r="M164" i="31" s="1"/>
  <c r="BX163" i="31"/>
  <c r="BX161" i="29"/>
  <c r="BX165" i="31" s="1"/>
  <c r="BX160" i="29"/>
  <c r="BX164" i="31" s="1"/>
  <c r="CX163" i="31"/>
  <c r="CX171" i="31" s="1"/>
  <c r="CX160" i="29"/>
  <c r="CX164" i="31" s="1"/>
  <c r="CX167" i="29"/>
  <c r="CX161" i="29"/>
  <c r="CX165" i="31" s="1"/>
  <c r="AU163" i="31"/>
  <c r="AU171" i="31" s="1"/>
  <c r="AU167" i="29"/>
  <c r="AU161" i="29"/>
  <c r="AU165" i="31" s="1"/>
  <c r="AU160" i="29"/>
  <c r="AU164" i="31" s="1"/>
  <c r="V163" i="31"/>
  <c r="V171" i="31" s="1"/>
  <c r="V160" i="29"/>
  <c r="V164" i="31" s="1"/>
  <c r="V167" i="29"/>
  <c r="V161" i="29"/>
  <c r="V165" i="31" s="1"/>
  <c r="CK163" i="31"/>
  <c r="CK171" i="31" s="1"/>
  <c r="CK160" i="29"/>
  <c r="CK164" i="31" s="1"/>
  <c r="CK167" i="29"/>
  <c r="CK161" i="29"/>
  <c r="CK165" i="31" s="1"/>
  <c r="AL163" i="31"/>
  <c r="AL171" i="31" s="1"/>
  <c r="AL167" i="29"/>
  <c r="AL161" i="29"/>
  <c r="AL165" i="31" s="1"/>
  <c r="AL160" i="29"/>
  <c r="AL164" i="31" s="1"/>
  <c r="CF163" i="31"/>
  <c r="CF171" i="31" s="1"/>
  <c r="CF160" i="29"/>
  <c r="CF164" i="31" s="1"/>
  <c r="CF161" i="29"/>
  <c r="CF165" i="31" s="1"/>
  <c r="CF167" i="29"/>
  <c r="BC163" i="31"/>
  <c r="BC171" i="31" s="1"/>
  <c r="BC160" i="29"/>
  <c r="BC164" i="31" s="1"/>
  <c r="BC161" i="29"/>
  <c r="BC165" i="31" s="1"/>
  <c r="BC167" i="29"/>
  <c r="G163" i="31"/>
  <c r="G171" i="31" s="1"/>
  <c r="G160" i="29"/>
  <c r="G164" i="31" s="1"/>
  <c r="G161" i="29"/>
  <c r="G165" i="31" s="1"/>
  <c r="G167" i="29"/>
  <c r="AS176" i="31"/>
  <c r="BZ163" i="31"/>
  <c r="BZ171" i="31" s="1"/>
  <c r="BZ167" i="29"/>
  <c r="BZ161" i="29"/>
  <c r="BZ165" i="31" s="1"/>
  <c r="BZ160" i="29"/>
  <c r="BZ164" i="31" s="1"/>
  <c r="X178" i="31"/>
  <c r="JM159" i="31"/>
  <c r="E156" i="29"/>
  <c r="E187" i="29"/>
  <c r="E180" i="29"/>
  <c r="E183" i="29"/>
  <c r="E181" i="29"/>
  <c r="E174" i="29"/>
  <c r="E158" i="29"/>
  <c r="JI155" i="29"/>
  <c r="B1" i="29" s="1"/>
  <c r="B3" i="29" s="1"/>
  <c r="JL155" i="29"/>
  <c r="JP155" i="29" s="1"/>
  <c r="JO161" i="29"/>
  <c r="JN161" i="29"/>
  <c r="C167" i="29"/>
  <c r="C160" i="29"/>
  <c r="C164" i="31" s="1"/>
  <c r="C161" i="29"/>
  <c r="C165" i="31" s="1"/>
  <c r="DZ167" i="29" l="1"/>
  <c r="DZ163" i="31"/>
  <c r="DZ171" i="31" s="1"/>
  <c r="DZ161" i="29"/>
  <c r="DZ165" i="31" s="1"/>
  <c r="EG167" i="29"/>
  <c r="EG160" i="29"/>
  <c r="EG164" i="31" s="1"/>
  <c r="EG161" i="29"/>
  <c r="EG165" i="31" s="1"/>
  <c r="JL134" i="31"/>
  <c r="JL133" i="31"/>
  <c r="JM159" i="29"/>
  <c r="E178" i="31"/>
  <c r="JL159" i="31"/>
  <c r="JP159" i="31" s="1"/>
  <c r="E162" i="31"/>
  <c r="E173" i="31" s="1"/>
  <c r="E114" i="31" s="1"/>
  <c r="E169" i="29"/>
  <c r="E110" i="29" s="1"/>
  <c r="E159" i="29"/>
  <c r="JL158" i="29"/>
  <c r="JI158" i="29"/>
  <c r="JI162" i="31" s="1"/>
  <c r="JP129" i="29"/>
  <c r="JP130" i="29"/>
  <c r="F171" i="31"/>
  <c r="D163" i="31"/>
  <c r="D161" i="29"/>
  <c r="D165" i="31" s="1"/>
  <c r="D160" i="29"/>
  <c r="D164" i="31" s="1"/>
  <c r="D167" i="29"/>
  <c r="BV163" i="31"/>
  <c r="BV171" i="31" s="1"/>
  <c r="BV160" i="29"/>
  <c r="BV164" i="31" s="1"/>
  <c r="BV161" i="29"/>
  <c r="BV165" i="31" s="1"/>
  <c r="BV167" i="29"/>
  <c r="EQ178" i="31"/>
  <c r="JI159" i="31"/>
  <c r="B1" i="31" s="1"/>
  <c r="B3" i="31" s="1"/>
  <c r="BW163" i="31"/>
  <c r="BW171" i="31" s="1"/>
  <c r="BW161" i="29"/>
  <c r="BW165" i="31" s="1"/>
  <c r="BW160" i="29"/>
  <c r="BW164" i="31" s="1"/>
  <c r="BW167" i="29"/>
  <c r="JJ156" i="29"/>
  <c r="JI156" i="29"/>
  <c r="F164" i="31"/>
  <c r="DR163" i="31"/>
  <c r="DR171" i="31" s="1"/>
  <c r="DR160" i="29"/>
  <c r="DR164" i="31" s="1"/>
  <c r="DR161" i="29"/>
  <c r="DR165" i="31" s="1"/>
  <c r="DR167" i="29"/>
  <c r="EQ163" i="31"/>
  <c r="EQ171" i="31" s="1"/>
  <c r="EQ160" i="29"/>
  <c r="EQ164" i="31" s="1"/>
  <c r="EQ161" i="29"/>
  <c r="EQ165" i="31" s="1"/>
  <c r="EQ167" i="29"/>
  <c r="CV163" i="31"/>
  <c r="CV171" i="31" s="1"/>
  <c r="CV160" i="29"/>
  <c r="CV164" i="31" s="1"/>
  <c r="CV167" i="29"/>
  <c r="CV161" i="29"/>
  <c r="CV165" i="31" s="1"/>
  <c r="F165" i="31"/>
  <c r="D173" i="31"/>
  <c r="D114" i="31" s="1"/>
  <c r="AI163" i="31"/>
  <c r="AI171" i="31" s="1"/>
  <c r="AI160" i="29"/>
  <c r="AI164" i="31" s="1"/>
  <c r="AI167" i="29"/>
  <c r="AI161" i="29"/>
  <c r="AI165" i="31" s="1"/>
  <c r="K163" i="31"/>
  <c r="K171" i="31" s="1"/>
  <c r="K160" i="29"/>
  <c r="K164" i="31" s="1"/>
  <c r="K167" i="29"/>
  <c r="K161" i="29"/>
  <c r="K165" i="31" s="1"/>
  <c r="JN162" i="29"/>
  <c r="DS163" i="31"/>
  <c r="DS171" i="31" s="1"/>
  <c r="DS160" i="29"/>
  <c r="DS164" i="31" s="1"/>
  <c r="DS167" i="29"/>
  <c r="DS161" i="29"/>
  <c r="DS165" i="31" s="1"/>
  <c r="AJ163" i="31"/>
  <c r="AJ171" i="31" s="1"/>
  <c r="AJ160" i="29"/>
  <c r="AJ164" i="31" s="1"/>
  <c r="AJ167" i="29"/>
  <c r="AJ161" i="29"/>
  <c r="AJ165" i="31" s="1"/>
  <c r="JP133" i="31"/>
  <c r="JP134" i="31"/>
  <c r="JO162" i="29"/>
  <c r="JM162" i="31"/>
  <c r="JM167" i="31" s="1"/>
  <c r="DT163" i="31"/>
  <c r="DT171" i="31" s="1"/>
  <c r="DT160" i="29"/>
  <c r="DT164" i="31" s="1"/>
  <c r="DT167" i="29"/>
  <c r="DT161" i="29"/>
  <c r="DT165" i="31" s="1"/>
  <c r="BL163" i="31"/>
  <c r="BL171" i="31" s="1"/>
  <c r="BL160" i="29"/>
  <c r="BL164" i="31" s="1"/>
  <c r="BL167" i="29"/>
  <c r="BL161" i="29"/>
  <c r="BL165" i="31" s="1"/>
  <c r="JL162" i="31" l="1"/>
  <c r="JP162" i="31" s="1"/>
  <c r="JP167" i="31" s="1"/>
  <c r="JM160" i="29"/>
  <c r="JM165" i="31"/>
  <c r="E163" i="31"/>
  <c r="E171" i="31" s="1"/>
  <c r="E161" i="29"/>
  <c r="E167" i="29"/>
  <c r="E160" i="29"/>
  <c r="E164" i="31" s="1"/>
  <c r="JL164" i="31" s="1"/>
  <c r="JL159" i="29"/>
  <c r="JP159" i="29" s="1"/>
  <c r="JI159" i="29"/>
  <c r="JI163" i="31" s="1"/>
  <c r="JM164" i="31"/>
  <c r="D171" i="31"/>
  <c r="JL163" i="31"/>
  <c r="JP158" i="29"/>
  <c r="JP163" i="29" s="1"/>
  <c r="JL163" i="29"/>
  <c r="JM161" i="29"/>
  <c r="JM163" i="31"/>
  <c r="JL167" i="31" l="1"/>
  <c r="JM162" i="29"/>
  <c r="JL160" i="29"/>
  <c r="JP160" i="29" s="1"/>
  <c r="JI160" i="29"/>
  <c r="JI164" i="31" s="1"/>
  <c r="JP163" i="31"/>
  <c r="E165" i="31"/>
  <c r="JL165" i="31" s="1"/>
  <c r="JP165" i="31" s="1"/>
  <c r="JI161" i="29"/>
  <c r="JI165" i="31" s="1"/>
  <c r="JL161" i="29"/>
  <c r="JP164" i="31"/>
  <c r="JP161" i="29" l="1"/>
  <c r="JL162" i="29"/>
  <c r="JP162" i="29" s="1"/>
</calcChain>
</file>

<file path=xl/comments1.xml><?xml version="1.0" encoding="utf-8"?>
<comments xmlns="http://schemas.openxmlformats.org/spreadsheetml/2006/main">
  <authors>
    <author>Guman Ivan Ing.</author>
  </authors>
  <commentList>
    <comment ref="FA81" authorId="0" shapeId="0">
      <text>
        <r>
          <rPr>
            <b/>
            <sz val="9"/>
            <color indexed="81"/>
            <rFont val="Tahoma"/>
            <family val="2"/>
            <charset val="238"/>
          </rPr>
          <t>Guman Ivan Ing.:</t>
        </r>
        <r>
          <rPr>
            <sz val="9"/>
            <color indexed="81"/>
            <rFont val="Tahoma"/>
            <family val="2"/>
            <charset val="238"/>
          </rPr>
          <t xml:space="preserve">
VLOŽÍ 2 MIL. DO  NOVÉ POBYT.SLUŽBY</t>
        </r>
      </text>
    </comment>
    <comment ref="BX111" authorId="0" shapeId="0">
      <text>
        <r>
          <rPr>
            <b/>
            <sz val="9"/>
            <color indexed="81"/>
            <rFont val="Tahoma"/>
            <family val="2"/>
            <charset val="238"/>
          </rPr>
          <t>Guman Ivan Ing.:</t>
        </r>
        <r>
          <rPr>
            <sz val="9"/>
            <color indexed="81"/>
            <rFont val="Tahoma"/>
            <family val="2"/>
            <charset val="238"/>
          </rPr>
          <t xml:space="preserve">
Obec dá pak 500 tis. na stacionář.</t>
        </r>
      </text>
    </comment>
    <comment ref="CL111" authorId="0" shapeId="0">
      <text>
        <r>
          <rPr>
            <b/>
            <sz val="9"/>
            <color indexed="81"/>
            <rFont val="Tahoma"/>
            <family val="2"/>
            <charset val="238"/>
          </rPr>
          <t>Guman Ivan Ing.:</t>
        </r>
        <r>
          <rPr>
            <sz val="9"/>
            <color indexed="81"/>
            <rFont val="Tahoma"/>
            <family val="2"/>
            <charset val="238"/>
          </rPr>
          <t xml:space="preserve">
na 0,27 úvazku nad IP6</t>
        </r>
      </text>
    </comment>
  </commentList>
</comments>
</file>

<file path=xl/comments2.xml><?xml version="1.0" encoding="utf-8"?>
<comments xmlns="http://schemas.openxmlformats.org/spreadsheetml/2006/main">
  <authors>
    <author>Zeman Jiří Mgr.</author>
    <author>Guman Ivan Ing.</author>
  </authors>
  <commentList>
    <comment ref="B52" authorId="0" shapeId="0">
      <text>
        <r>
          <rPr>
            <b/>
            <sz val="9"/>
            <color indexed="81"/>
            <rFont val="Tahoma"/>
            <family val="2"/>
            <charset val="238"/>
          </rPr>
          <t>Zeman Jiří Mgr.:</t>
        </r>
        <r>
          <rPr>
            <sz val="9"/>
            <color indexed="81"/>
            <rFont val="Tahoma"/>
            <family val="2"/>
            <charset val="238"/>
          </rPr>
          <t xml:space="preserve">
Aktualizovat příspěvky na provoz dle 1. a 2. změny rozpočtu</t>
        </r>
      </text>
    </comment>
    <comment ref="FA85" authorId="1" shapeId="0">
      <text>
        <r>
          <rPr>
            <b/>
            <sz val="9"/>
            <color indexed="81"/>
            <rFont val="Tahoma"/>
            <family val="2"/>
            <charset val="238"/>
          </rPr>
          <t>Guman Ivan Ing.:</t>
        </r>
        <r>
          <rPr>
            <sz val="9"/>
            <color indexed="81"/>
            <rFont val="Tahoma"/>
            <family val="2"/>
            <charset val="238"/>
          </rPr>
          <t xml:space="preserve">
VLOŽÍ 2 MIL. DO  NOVÉ POBYT.SLUŽBY</t>
        </r>
      </text>
    </comment>
    <comment ref="BX115" authorId="1" shapeId="0">
      <text>
        <r>
          <rPr>
            <b/>
            <sz val="9"/>
            <color indexed="81"/>
            <rFont val="Tahoma"/>
            <family val="2"/>
            <charset val="238"/>
          </rPr>
          <t>Guman Ivan Ing.:</t>
        </r>
        <r>
          <rPr>
            <sz val="9"/>
            <color indexed="81"/>
            <rFont val="Tahoma"/>
            <family val="2"/>
            <charset val="238"/>
          </rPr>
          <t xml:space="preserve">
Obec dá pak 500 tis. na stacionář.</t>
        </r>
      </text>
    </comment>
    <comment ref="CL115" authorId="1" shapeId="0">
      <text>
        <r>
          <rPr>
            <b/>
            <sz val="9"/>
            <color indexed="81"/>
            <rFont val="Tahoma"/>
            <family val="2"/>
            <charset val="238"/>
          </rPr>
          <t>Guman Ivan Ing.:</t>
        </r>
        <r>
          <rPr>
            <sz val="9"/>
            <color indexed="81"/>
            <rFont val="Tahoma"/>
            <family val="2"/>
            <charset val="238"/>
          </rPr>
          <t xml:space="preserve">
na 0,27 úvazku nad IP6</t>
        </r>
      </text>
    </comment>
  </commentList>
</comments>
</file>

<file path=xl/comments3.xml><?xml version="1.0" encoding="utf-8"?>
<comments xmlns="http://schemas.openxmlformats.org/spreadsheetml/2006/main">
  <authors>
    <author>Plšková Lenka Ing.</author>
  </authors>
  <commentList>
    <comment ref="G10" authorId="0" shapeId="0">
      <text>
        <r>
          <rPr>
            <b/>
            <sz val="9"/>
            <color indexed="81"/>
            <rFont val="Tahoma"/>
            <family val="2"/>
            <charset val="238"/>
          </rPr>
          <t>Plšková Lenka Ing.:</t>
        </r>
        <r>
          <rPr>
            <sz val="9"/>
            <color indexed="81"/>
            <rFont val="Tahoma"/>
            <family val="2"/>
            <charset val="238"/>
          </rPr>
          <t xml:space="preserve">
do 15. 7. 2018 Farní charita Náchod</t>
        </r>
      </text>
    </comment>
  </commentList>
</comments>
</file>

<file path=xl/sharedStrings.xml><?xml version="1.0" encoding="utf-8"?>
<sst xmlns="http://schemas.openxmlformats.org/spreadsheetml/2006/main" count="26631" uniqueCount="2856">
  <si>
    <t>Informace o poskytovateli</t>
  </si>
  <si>
    <t>Identifikace služby</t>
  </si>
  <si>
    <t>Dluh</t>
  </si>
  <si>
    <t>Kapacita</t>
  </si>
  <si>
    <t>Cílové skupiny</t>
  </si>
  <si>
    <t>Převažující cílová skupina</t>
  </si>
  <si>
    <t xml:space="preserve">Věkové kategorie </t>
  </si>
  <si>
    <t>Struktura uživatelů služby ke dni podání žádosti (ambulantní a terénní formy poskytování)</t>
  </si>
  <si>
    <t>Odhad struktura uživatelů služby v roce, na který se žádá o dotaci (ambulantní a terénní formy poskytování)</t>
  </si>
  <si>
    <t>Struktura uživatelů služby k lůžkové kapacitě</t>
  </si>
  <si>
    <t>Odhad struktury uživatelů k lůžkové kapacitě</t>
  </si>
  <si>
    <t>Personální zajištění</t>
  </si>
  <si>
    <t>Rozpočet</t>
  </si>
  <si>
    <t>Podíl působnosti kraje (%)</t>
  </si>
  <si>
    <t>Počet ostatních krajů, na které se žádá</t>
  </si>
  <si>
    <t>Obvyklé náklady</t>
  </si>
  <si>
    <t>Minimální výše úhrad</t>
  </si>
  <si>
    <t>Zdroje financování</t>
  </si>
  <si>
    <t>PS (A,T,A+T)</t>
  </si>
  <si>
    <t>PS (P)</t>
  </si>
  <si>
    <t>Celková PS</t>
  </si>
  <si>
    <t>Upravená celková PS</t>
  </si>
  <si>
    <t>Soulad s SPRSS</t>
  </si>
  <si>
    <t>Podpora služby</t>
  </si>
  <si>
    <t>Chybný program</t>
  </si>
  <si>
    <t>Maximální návrh podpory</t>
  </si>
  <si>
    <t>Optimální návrh podpory</t>
  </si>
  <si>
    <t>Reálný návrh podpory</t>
  </si>
  <si>
    <t>Změna reálného návrhu podpory</t>
  </si>
  <si>
    <t>Návrh pro  dotační komisi</t>
  </si>
  <si>
    <t>Návrh dotační komise</t>
  </si>
  <si>
    <t>Přiznaná výše dotace</t>
  </si>
  <si>
    <t>Dotační kolo</t>
  </si>
  <si>
    <t>Název</t>
  </si>
  <si>
    <t>IČ</t>
  </si>
  <si>
    <t>Adresa</t>
  </si>
  <si>
    <t>Právní forma</t>
  </si>
  <si>
    <t>Identifikátor služby</t>
  </si>
  <si>
    <t>Druh služby</t>
  </si>
  <si>
    <t>Skupina</t>
  </si>
  <si>
    <t>Název služby</t>
  </si>
  <si>
    <t>Zahájení poskytování služby</t>
  </si>
  <si>
    <t>Ukončení poskytování služby</t>
  </si>
  <si>
    <t>pobytová</t>
  </si>
  <si>
    <t>ambulantní</t>
  </si>
  <si>
    <t>Terénní</t>
  </si>
  <si>
    <t>Do 18 let</t>
  </si>
  <si>
    <t>Nad 18 let</t>
  </si>
  <si>
    <t>Celkem</t>
  </si>
  <si>
    <t>Pracovní smlouvy</t>
  </si>
  <si>
    <t>Dohody o pracovní činnosti</t>
  </si>
  <si>
    <t>Dohody o provedení práce</t>
  </si>
  <si>
    <t>Nákup služeb</t>
  </si>
  <si>
    <t>Dobrovolníci</t>
  </si>
  <si>
    <t>Součty úvazků prac. v přímé péči</t>
  </si>
  <si>
    <t>1 Osobní náklady</t>
  </si>
  <si>
    <t>2 Provozní náklady</t>
  </si>
  <si>
    <t>2.6 Služby</t>
  </si>
  <si>
    <t>Dotace krajů ze zdrojů MPSV/ dotace MPSV</t>
  </si>
  <si>
    <t>Příspěvky od úřadů práce</t>
  </si>
  <si>
    <t>Příspěvek od zřiz. - obce</t>
  </si>
  <si>
    <t>Příspěvek do zřiz. - kraje</t>
  </si>
  <si>
    <t>Úhrady od uživatelů služby</t>
  </si>
  <si>
    <t>Fondy zdravotních pojišťoven</t>
  </si>
  <si>
    <t>Resorty státní správy celkem</t>
  </si>
  <si>
    <t>Jiné dotace od krajů celkem</t>
  </si>
  <si>
    <t>Jiné dotace od obcí celkem</t>
  </si>
  <si>
    <t>Strukturální fondy celkem</t>
  </si>
  <si>
    <t>Jiné zdroje</t>
  </si>
  <si>
    <t>Žádost</t>
  </si>
  <si>
    <t>Maximální kapacita dle registru</t>
  </si>
  <si>
    <t>Počet lůžek v dotovaném roce</t>
  </si>
  <si>
    <t>Maximální okamžitá kapacita počtu uživatelů služby</t>
  </si>
  <si>
    <t>Celkový počet uživatelů za předminulý rok k dotovanému roku</t>
  </si>
  <si>
    <t>Předpoklad počtu uživatelů za minulý rok k dotovanému roku</t>
  </si>
  <si>
    <t>Plánovaný počet uživatelů v dotovaném roce</t>
  </si>
  <si>
    <t>Kapacita počtu intervencí</t>
  </si>
  <si>
    <t>Celkový počet intervencí za předminulý rok k dotovanému roku</t>
  </si>
  <si>
    <t>Předpoklad počtu intervencí za minulý rok k dotovanému roku</t>
  </si>
  <si>
    <t>Plánovaný počet intervencí v dotovaném roce</t>
  </si>
  <si>
    <t>Poznámka</t>
  </si>
  <si>
    <t>Maximální denní kapacita počtu uživatelů služby</t>
  </si>
  <si>
    <t>Kapacita počtu kontaktů</t>
  </si>
  <si>
    <t>Celkový Počet kontaktů za předminulý rok k dotovanému roku</t>
  </si>
  <si>
    <t>Předpoklad počtu kontaktů za minulý rok k dotovanému roku</t>
  </si>
  <si>
    <t>Plánovaný počet kontaktů v dotovaném roce</t>
  </si>
  <si>
    <t>Maximální denní kapacita intervencí</t>
  </si>
  <si>
    <t>Plánovaný počet hodin k zajištění základních činností služby</t>
  </si>
  <si>
    <t>Maximální kapacita</t>
  </si>
  <si>
    <t>Celkový počet uživatelůza předminulý rok k dotovanému roku</t>
  </si>
  <si>
    <t>Kapacita počtu hovorů</t>
  </si>
  <si>
    <t>Maximální denní kapacita hovorů</t>
  </si>
  <si>
    <t>Celkový počet hovorů za předminulý rok k dotovanému roku</t>
  </si>
  <si>
    <t>Předpoklad počtu hovorů za minulý rok k dotovanému roku</t>
  </si>
  <si>
    <t>Plánovaný počet hovorů v dotovaném roce</t>
  </si>
  <si>
    <t>Celkový počet kontaktů za předminulý rok k dotovanému roku</t>
  </si>
  <si>
    <t>I. stupeň</t>
  </si>
  <si>
    <t>II. stupeň</t>
  </si>
  <si>
    <t>III. stupeň</t>
  </si>
  <si>
    <t>IV. stupeň</t>
  </si>
  <si>
    <t>Ostatní</t>
  </si>
  <si>
    <t>Celkem do 18 let</t>
  </si>
  <si>
    <t>Celkem nad 18 let</t>
  </si>
  <si>
    <t>Z toho bez úhrady</t>
  </si>
  <si>
    <t>1.1 sociální pracovníci</t>
  </si>
  <si>
    <t>1.2 pracovníci v sociálních službách</t>
  </si>
  <si>
    <t>1.3 Zdravotničtí pracovníci</t>
  </si>
  <si>
    <t>1.4 Pedagogičtí pracovníci</t>
  </si>
  <si>
    <t>1.5 Manželští a rodinní poradci</t>
  </si>
  <si>
    <t>1.6 Další odborní pracovníci, kteří přímo poskytují soc.služby</t>
  </si>
  <si>
    <t>2 ostatní pracovníci</t>
  </si>
  <si>
    <t>Přímá péče</t>
  </si>
  <si>
    <t>Počet dobrovilníků</t>
  </si>
  <si>
    <t>Opracované hodiny</t>
  </si>
  <si>
    <t>Součet za PS</t>
  </si>
  <si>
    <t>Součet za DPČ</t>
  </si>
  <si>
    <t>Součet za DPP</t>
  </si>
  <si>
    <t>Součet za nákup služeb</t>
  </si>
  <si>
    <t>1.1 Pracovní smlouvy</t>
  </si>
  <si>
    <t>1.2 Dohody o pracovní činnosti</t>
  </si>
  <si>
    <t>1.3 Dohody o provedení práce</t>
  </si>
  <si>
    <t>1.4 jiné osobní náklady</t>
  </si>
  <si>
    <t>2.1 Dlouhodobý majetek</t>
  </si>
  <si>
    <t>2.2 potraviny</t>
  </si>
  <si>
    <t>2.3 kancelářské potřeby</t>
  </si>
  <si>
    <t>2.4 pohonné hmoty</t>
  </si>
  <si>
    <t>2.5 jiné spotřebované nákupy</t>
  </si>
  <si>
    <t>2.6.1 energie</t>
  </si>
  <si>
    <t>2.6.2 telefony, internet, poštovné, ostatní spoje</t>
  </si>
  <si>
    <t>2.6.3 nájemné</t>
  </si>
  <si>
    <t>2.6.4 právní a ekonomické služby</t>
  </si>
  <si>
    <t>2.6.5 školení a kurzy</t>
  </si>
  <si>
    <t>2.6.6 opravy a udržování</t>
  </si>
  <si>
    <t>2.6.7 cestovní náhrady</t>
  </si>
  <si>
    <t>2.6.8 pracovníci v přímé péči (mimo prac.poměr, DPP, DPČ)</t>
  </si>
  <si>
    <t>2.6.9 ostatní pracovníci (mimo prac.poměr, DPP, DPČ)</t>
  </si>
  <si>
    <t>2.6.10 jiné</t>
  </si>
  <si>
    <t>2.7 odpisy</t>
  </si>
  <si>
    <t>2.8 ostatní náklady</t>
  </si>
  <si>
    <t xml:space="preserve">Skutečnost v předminulém roce </t>
  </si>
  <si>
    <t>Předpoklad na rok minulý</t>
  </si>
  <si>
    <t>Plán na rok dotace</t>
  </si>
  <si>
    <t>Min. výše úhrady od uživatelů</t>
  </si>
  <si>
    <t>Druh finančních prostředků</t>
  </si>
  <si>
    <t>CELKOVÝ OBJEM NEINVESTIČNÍCH FINANČNÍCH PROSTŘEDKŮ</t>
  </si>
  <si>
    <t>z toho 1) OSOBNÍ NÁKLADY CELKEM</t>
  </si>
  <si>
    <t>1.1. Pracovní smlouvy</t>
  </si>
  <si>
    <t>1.2. Dohody o pracovní činnosti</t>
  </si>
  <si>
    <t>1.3. Dohody o provedení práce</t>
  </si>
  <si>
    <t>1.4. Jiné osobní náklady</t>
  </si>
  <si>
    <t>z toho 2) PROVOZNÍ NÁKLADY CELKEM</t>
  </si>
  <si>
    <t>2.1. Dlouhodobý majetek</t>
  </si>
  <si>
    <t>2.1.1. Dlouhodobý nehmotný majetek do 60 tis. Kč</t>
  </si>
  <si>
    <t>2.1.2. Dlouhodobý hmotný majetek do 40 tis. Kč</t>
  </si>
  <si>
    <t>2.2. Potraviny</t>
  </si>
  <si>
    <t>2.3. Kancelářské potřeby</t>
  </si>
  <si>
    <t>2.4. Pohonné hmoty</t>
  </si>
  <si>
    <t>2.5. Jiné spotřebované nákupy</t>
  </si>
  <si>
    <t>2.6. Služby</t>
  </si>
  <si>
    <t>2.6.1. Energie</t>
  </si>
  <si>
    <t>2.6.2. Telefony, internet, poštovné, ostatní spoje</t>
  </si>
  <si>
    <t>2.6.3. Nájemné</t>
  </si>
  <si>
    <t>2.6.4. Právní a ekonomické služby</t>
  </si>
  <si>
    <t>2.6.5. Školení a kurzy</t>
  </si>
  <si>
    <t>2.6.6. Opravy a udržování</t>
  </si>
  <si>
    <t>2.6.7. Cestovní náhrady</t>
  </si>
  <si>
    <t>2.6.8. Pracovníci v přímé péči (mimo prac. poměr, DPP, DPČ)</t>
  </si>
  <si>
    <t>2.6.9. Ostatní pracovníci (mimo prac. poměr, DPP, DPČ)</t>
  </si>
  <si>
    <t>2.6.10. Jiné</t>
  </si>
  <si>
    <t>2.7. Odpisy</t>
  </si>
  <si>
    <t>2.8. Ostatní náklady</t>
  </si>
  <si>
    <t>Počet</t>
  </si>
  <si>
    <t>Úvazky</t>
  </si>
  <si>
    <t>Přepočtené úvazky za minulý rok</t>
  </si>
  <si>
    <t>Náklady</t>
  </si>
  <si>
    <t>Požadovaná dotace</t>
  </si>
  <si>
    <t>Sociální pracovník</t>
  </si>
  <si>
    <t>Pracovník v sociálních službách - přímá obslužná péče</t>
  </si>
  <si>
    <t>pracovník v sociálních službách - základní výchovná nepedagogická činnost</t>
  </si>
  <si>
    <t>pracovník v sociálních službách - pečovatelská činnost</t>
  </si>
  <si>
    <t>pracovník v sociálních službách - činnosti pod dohledem sociálního pracovníka</t>
  </si>
  <si>
    <t>zdravotnický pracovník - lékař</t>
  </si>
  <si>
    <t>zdravotnický pracovník - zdravotní sestra</t>
  </si>
  <si>
    <t>pedagogický pracovník</t>
  </si>
  <si>
    <t>manželský a rodinný poradce</t>
  </si>
  <si>
    <t>jiný odborný pracovník, který přímo poskytuje sociální službu</t>
  </si>
  <si>
    <t>jiné zařazení v přímé péči</t>
  </si>
  <si>
    <t>PC Počet</t>
  </si>
  <si>
    <t>PC Úvazky</t>
  </si>
  <si>
    <t>Počet měsíců</t>
  </si>
  <si>
    <t>Přepočet na celé úvazky</t>
  </si>
  <si>
    <t>PC Náklady</t>
  </si>
  <si>
    <t>PC Požadovaná dotace</t>
  </si>
  <si>
    <t>Rozsah (hod.)</t>
  </si>
  <si>
    <t>Odměna</t>
  </si>
  <si>
    <t>2.1.1 Dlouhodobý nehmotný majetek do 60 tis. Kč</t>
  </si>
  <si>
    <t>2.1.2 Dlouhodobý hmotný majetek do 40 tis. Kč</t>
  </si>
  <si>
    <t>Požadovaná dotace celkem</t>
  </si>
  <si>
    <t>Požadovaná dotace na kraj</t>
  </si>
  <si>
    <t>Nadhodnocená částka</t>
  </si>
  <si>
    <t>Neuznaná částka</t>
  </si>
  <si>
    <t>Částečně neuznaná částka</t>
  </si>
  <si>
    <t>Podíl dotace na kraj</t>
  </si>
  <si>
    <t>DR_KOLO</t>
  </si>
  <si>
    <t>IDENTIFIKATOR_SLUZBY</t>
  </si>
  <si>
    <t>uvazky_pp_za_ps</t>
  </si>
  <si>
    <t>uvazky_pp_za_dpc</t>
  </si>
  <si>
    <t>uvazky_pp_za_dpp</t>
  </si>
  <si>
    <t>uvazky_pp_za_ns</t>
  </si>
  <si>
    <t>uvazky_pp_celkem</t>
  </si>
  <si>
    <t>fps_at</t>
  </si>
  <si>
    <t>fps_p</t>
  </si>
  <si>
    <t>fps_celkova</t>
  </si>
  <si>
    <t>fps_upravena</t>
  </si>
  <si>
    <t>Apropo Jičín, o.p.s.</t>
  </si>
  <si>
    <t xml:space="preserve">Soudná 13
506 01 Jičín 1
</t>
  </si>
  <si>
    <t>Obecně prospěšná společnost</t>
  </si>
  <si>
    <t>denní stacionáře</t>
  </si>
  <si>
    <t>sociální péče</t>
  </si>
  <si>
    <t>Denní stacionář APROPO</t>
  </si>
  <si>
    <t>N</t>
  </si>
  <si>
    <t>• počet klientů: 32</t>
  </si>
  <si>
    <t>• 13. osoby s kombinovaným postižením
• 14. osoby s mentálním postižením
• 15. osoby s tělesným postižením</t>
  </si>
  <si>
    <t>osoby s kombinovaným postižením</t>
  </si>
  <si>
    <t>• děti předškolního věku (1 - 6 let)
• mladší děti (7 –10 let)
• starší děti (11 – 15 let)
• dorost (16 – 18 let)
• mladí dospělí (19 – 26 let)
• dospělí (27 – 64 let)</t>
  </si>
  <si>
    <t>osobní asistence</t>
  </si>
  <si>
    <t>Osobní asistence APROPO</t>
  </si>
  <si>
    <t>• počet klientů: 8</t>
  </si>
  <si>
    <t>osoby s mentálním postižením</t>
  </si>
  <si>
    <t>sociálně terapeutické dílny</t>
  </si>
  <si>
    <t>sociální prevence</t>
  </si>
  <si>
    <t>Sociálně terapeutické dílny AJdeTo!</t>
  </si>
  <si>
    <t>• počet klientů: 10</t>
  </si>
  <si>
    <t>• 10. osoby s chronickým duševním onemocněním
• 13. osoby s kombinovaným postižením
• 14. osoby s mentálním postižením
• 15. osoby s tělesným postižením</t>
  </si>
  <si>
    <t>• dorost (16 – 18 let)
• mladí dospělí (19 – 26 let)
• dospělí (27 – 64 let)</t>
  </si>
  <si>
    <t>sociální rehabilitace</t>
  </si>
  <si>
    <t>Sociální rehabilitace APROPO</t>
  </si>
  <si>
    <t>• počet klientů: 7</t>
  </si>
  <si>
    <t>• počet klientů: 4</t>
  </si>
  <si>
    <t>• 13. osoby s kombinovaným postižením
• 14. osoby s mentálním postižením
• 15. osoby s tělesným postižením
• 18. osoby se zrakovým postižením</t>
  </si>
  <si>
    <t>Aspekt z.s.</t>
  </si>
  <si>
    <t xml:space="preserve">Palackého 71
Náchod
547 01 Náchod 1
</t>
  </si>
  <si>
    <t>Spolek</t>
  </si>
  <si>
    <t>Sociální rehabilitace podporované zaměstnávání</t>
  </si>
  <si>
    <t>• počet klientů: 21</t>
  </si>
  <si>
    <t>okamžitá kapacita vychází z prostorových možností</t>
  </si>
  <si>
    <t>• 10. osoby s chronickým duševním onemocněním
• 11. osoby s chronickým onemocněním
• 12. osoby s jiným zdravotním postižením
• 17. osoby se zdravotním postižením</t>
  </si>
  <si>
    <t>osoby se zdravotním postižením</t>
  </si>
  <si>
    <t>• dorost (16 – 18 let)
• mladí dospělí (19 – 26 let)
• dospělí (27 – 64 let)
• mladší senioři (65 – 80 let)</t>
  </si>
  <si>
    <t>Aufori, o.p.s.</t>
  </si>
  <si>
    <t xml:space="preserve">Habrmanova 136/3
Pražské Předměstí
500 02 Hradec Králové 2
</t>
  </si>
  <si>
    <t>terénní programy</t>
  </si>
  <si>
    <t>Terénní programy pro osoby ohrožené sociálním vyloučením</t>
  </si>
  <si>
    <t>Při určení maximální okamžité kapacity počtu uživatelů služby a kontaktů vycházíme z celkového počtu pracovníků, kteří v jeden okamžik mohou poskytovat sociální službu. 
V určování kapacit vycházíme také z údajů uvedených v registru poskytovatelů sociálncíh služeb.
Kontaktem rozumíme jedno setkání s klientem (součet všech setkání do 15 min, 30 min, 45 min, 60 min, do 120 min a nad 120 min).</t>
  </si>
  <si>
    <t>• 19. osoby v krizi
• 20. osoby žijící v sociálně vyloučených komunitách
• 21. osoby, které vedou rizikový způsob života nebo jsou tímto způsobem života ohroženy</t>
  </si>
  <si>
    <t>osoby žijící v sociálně vyloučených komunitách</t>
  </si>
  <si>
    <t>• mladí dospělí (19 – 26 let)
• dospělí (27 – 64 let)</t>
  </si>
  <si>
    <t>Barevné domky Hajnice</t>
  </si>
  <si>
    <t xml:space="preserve">Hajnice 46
544 66 Hajnice
</t>
  </si>
  <si>
    <t>Příspěvková organizace zřízená územním samosprávným celkem</t>
  </si>
  <si>
    <t>domovy pro osoby se zdravotním postižením</t>
  </si>
  <si>
    <t>Domov pro osoby se zdravotním postižením</t>
  </si>
  <si>
    <t>• počet lůžek: 58</t>
  </si>
  <si>
    <t>• 13. osoby s kombinovaným postižením
• 14. osoby s mentálním postižením</t>
  </si>
  <si>
    <t>• mladší děti (7 –10 let)
• starší děti (11 – 15 let)
• dorost (16 – 18 let)
• mladí dospělí (19 – 26 let)
• dospělí (27 – 64 let)
• mladší senioři (65 – 80 let)
• starší senioři (nad 80 let)</t>
  </si>
  <si>
    <t>Stříbrná dílna</t>
  </si>
  <si>
    <t>• počet klientů: 1</t>
  </si>
  <si>
    <t>chráněné bydlení</t>
  </si>
  <si>
    <t>Chránění bydlení</t>
  </si>
  <si>
    <t>• počet lůžek: 45</t>
  </si>
  <si>
    <t>Centrum LIRA, z.ú.</t>
  </si>
  <si>
    <t xml:space="preserve">Matoušova 406/20
Liberec III-Jeřáb
460 07 Liberec 7
</t>
  </si>
  <si>
    <t>Ústav</t>
  </si>
  <si>
    <t>raná péče</t>
  </si>
  <si>
    <t>• počet klientů: 2</t>
  </si>
  <si>
    <t>Definovaná maximální okamžitá kapacita počtu uživatelů ambulantních služeb - individuálních programů, vychází z kapacity prostor ( 105 m2, 2 místnosti pro individuální programy- 2 uživatelé v jeden okamžik), u skupinových programů je kapacita též limitována prostorem -cca 20 rodin. Maximální denní kapacita uživatelů ambulantních služeb - individuálních programů a jednání s rodinami – max.kapacita 5 u skupinových je kapacita 20.</t>
  </si>
  <si>
    <t>• počet klientů: 6</t>
  </si>
  <si>
    <t>Maximální okamžitá kapacita počtu uživatelů terénních služeb vychází z kapacity odborných pracovníků rané péče a aut pro terénní služby, která jsou k poskytování terénních služeb raná péče nezbytná.
Maximální denní kapacita uživatelů služby opět vychází z dopravních možností zajištění služby a z průměrného počtu uživatelů na jednoho odborného pracovníka za konzultační den, u kterých odborný pracovník poskytne formou konzultace v rodině nebo jiném, rodinou zvoleném místě službu.</t>
  </si>
  <si>
    <t>• 23. rodiny s dítětem/dětmi</t>
  </si>
  <si>
    <t>rodiny s dítětem/dětmi</t>
  </si>
  <si>
    <t>• děti kojeneckého věku (do 1 roku)
• děti předškolního věku (1 - 6 let)
• mladší děti (7 –10 let)</t>
  </si>
  <si>
    <t>Centrum Orion, z. s.</t>
  </si>
  <si>
    <t xml:space="preserve">Dlouhá Ves 116
516 01 Rychnov nad Kněžnou
</t>
  </si>
  <si>
    <t>Osobní asistence k dětem a dospělým se zdravotním postižením</t>
  </si>
  <si>
    <t>• počet klientů: 50</t>
  </si>
  <si>
    <t>• 12. osoby s jiným zdravotním postižením
• 13. osoby s kombinovaným postižením
• 14. osoby s mentálním postižením
• 15. osoby s tělesným postižením</t>
  </si>
  <si>
    <t>centra denních služeb</t>
  </si>
  <si>
    <t>Centrum denních služeb</t>
  </si>
  <si>
    <t>• počet klientů: 40</t>
  </si>
  <si>
    <t>• mladší děti (7 –10 let)
• starší děti (11 – 15 let)
• dorost (16 – 18 let)
• mladí dospělí (19 – 26 let)
• dospělí (27 – 64 let)</t>
  </si>
  <si>
    <t>Centrum pro integraci osob se zdravotním postižením Královéhradeckého kraje, o. p. s.</t>
  </si>
  <si>
    <t xml:space="preserve">Jana Černého 8/28
Věkoše
503 41 Hradec Králové 7
</t>
  </si>
  <si>
    <t>odborné sociální poradenství</t>
  </si>
  <si>
    <t>poradenství</t>
  </si>
  <si>
    <t>Centrum pro zdravotně postižené Královéhradeckého kraje</t>
  </si>
  <si>
    <t>• počet intervencí (30 min. jednání): 25</t>
  </si>
  <si>
    <t>Okamžitá kapacita je 5 intervencí, tj. na každém z 5-ti pracovišť 1 klient.
Maximální kapacita je 25 intervencí denně, tj. 5 intervencí na každém z 5-ti pracovišť.</t>
  </si>
  <si>
    <t>• 10. osoby s chronickým duševním onemocněním
• 11. osoby s chronickým onemocněním
• 12. osoby s jiným zdravotním postižením
• 13. osoby s kombinovaným postižením
• 14. osoby s mentálním postižením
• 15. osoby s tělesným postižením
• 16. osoby se sluchovým postižením
• 17. osoby se zdravotním postižením
• 18. osoby se zrakovým postižením</t>
  </si>
  <si>
    <t>osoby s tělesným postižením</t>
  </si>
  <si>
    <t>• bez omezení věku</t>
  </si>
  <si>
    <t>sociálně aktivizační služby pro seniory a osoby se zdravotním postižením</t>
  </si>
  <si>
    <t>Centrum péče o duševní zdraví</t>
  </si>
  <si>
    <t>• počet klientů: 30</t>
  </si>
  <si>
    <t>Maximální denní kapacita klientů v Centru péče o duševní zdraví je 30.
Celková maximální účast na psychorehabilitačních pobytech je 750 klientů.</t>
  </si>
  <si>
    <t>osoby s chronickým duševním onemocněním</t>
  </si>
  <si>
    <t>• mladší děti (7 –10 let)
• starší děti (11 – 15 let)
• dorost (16 – 18 let)
• mladí dospělí (19 – 26 let)
• dospělí (27 – 64 let)
• mladší senioři (65 – 80 let)</t>
  </si>
  <si>
    <t>Centrum psychologické podpory, z. s.</t>
  </si>
  <si>
    <t xml:space="preserve">Horní Lánov 67
543 41 Lánov
</t>
  </si>
  <si>
    <t>• počet intervencí (30 min. jednání): 20</t>
  </si>
  <si>
    <t>Intervence, která dle zadání trvá 30 min. počítáme v rámci konzultací, které trvají průměrně cca 70 min. To znamená, že jedna konzultace s klientem se rovná zhruba 2,2 intervence.</t>
  </si>
  <si>
    <t>• 19. osoby v krizi
• 21. osoby, které vedou rizikový způsob života nebo jsou tímto způsobem života ohroženy
• 23. rodiny s dítětem/dětmi</t>
  </si>
  <si>
    <t>• děti předškolního věku (1 - 6 let)
• mladší děti (7 –10 let)
• starší děti (11 – 15 let)
• dorost (16 – 18 let)
• mladí dospělí (19 – 26 let)</t>
  </si>
  <si>
    <t>Centrum sociální pomoci a služeb o. p. s.</t>
  </si>
  <si>
    <t xml:space="preserve">Souběžná 1746/12
Nový Hradec Králové
500 12 Hradec Králové 12
</t>
  </si>
  <si>
    <t>Manželská a rodinná poradna Hradec Králové</t>
  </si>
  <si>
    <t>• počet klientů: 12</t>
  </si>
  <si>
    <t>Kapacita počtu intervencí za rok je proměnlivá dle délky jednotlivých intervencí.</t>
  </si>
  <si>
    <t>•  1. děti a mládež ve věku od 6 do 26 let ohrožené společensky nežádoucími jevy
•  3. oběti domácího násilí
• 19. osoby v krizi
• 23. rodiny s dítětem/dětmi</t>
  </si>
  <si>
    <t>Manželská a rodinná poradna Náchod</t>
  </si>
  <si>
    <t>Psychologická poradna Rychnov nad Kněžnou</t>
  </si>
  <si>
    <t>• počet klientů: 5</t>
  </si>
  <si>
    <t>Denní stacionář - Domovinka</t>
  </si>
  <si>
    <t>• počet klientů: 20</t>
  </si>
  <si>
    <t>Převaha klientů s Alzheimerovu nemocí představuje náročnější péči.</t>
  </si>
  <si>
    <t>• 10. osoby s chronickým duševním onemocněním
• 15. osoby s tělesným postižením
• 16. osoby se sluchovým postižením
• 17. osoby se zdravotním postižením
• 18. osoby se zrakovým postižením
• 24. senioři</t>
  </si>
  <si>
    <t>senioři</t>
  </si>
  <si>
    <t>• dospělí (27 – 64 let)
• mladší senioři (65 – 80 let)
• starší senioři (nad 80 let)</t>
  </si>
  <si>
    <t>Manželská a rodinná poradna Jičín</t>
  </si>
  <si>
    <t>pečovatelská služba</t>
  </si>
  <si>
    <t>Komplexní pečovatelská služba v terénu pro seniory, občany se zdravotním postižením</t>
  </si>
  <si>
    <t>• počet klientů: 226</t>
  </si>
  <si>
    <t>• 10. osoby s chronickým duševním onemocněním
• 12. osoby s jiným zdravotním postižením
• 24. senioři</t>
  </si>
  <si>
    <t>Centrum sociálních služeb Naděje Broumov</t>
  </si>
  <si>
    <t xml:space="preserve">Jiráskova 193
Nové Město
550 01 Broumov 1
</t>
  </si>
  <si>
    <t>Centrum sociálních služeb Naděje Bromov</t>
  </si>
  <si>
    <t>• počet klientů: 3</t>
  </si>
  <si>
    <t>• počet klientů: 70</t>
  </si>
  <si>
    <t>• 11. osoby s chronickým onemocněním
• 15. osoby s tělesným postižením
• 24. senioři</t>
  </si>
  <si>
    <t>• starší děti (11 – 15 let)
• dorost (16 – 18 let)
• mladí dospělí (19 – 26 let)
• dospělí (27 – 64 let)
• mladší senioři (65 – 80 let)</t>
  </si>
  <si>
    <t>• 19. osoby v krizi
• 20. osoby žijící v sociálně vyloučených komunitách
• 21. osoby, které vedou rizikový způsob života nebo jsou tímto způsobem života ohroženy
• 23. rodiny s dítětem/dětmi
• 25. etnické menšiny</t>
  </si>
  <si>
    <t>osoby v krizi</t>
  </si>
  <si>
    <t>• starší děti (11 – 15 let)
• dorost (16 – 18 let)
• mladí dospělí (19 – 26 let)
• dospělí (27 – 64 let)
• mladší senioři (65 – 80 let)
• starší senioři (nad 80 let)</t>
  </si>
  <si>
    <t>sociálně aktivizační služby pro rodiny s dětmi</t>
  </si>
  <si>
    <t>• počet klientů: 150</t>
  </si>
  <si>
    <t>maximální okamžitá kapacita - jeden klient nebo jedna zakázka (max. 5 osob) / 1 pracovník
maximální denní kapacita - 5 klient/1pracovník, skupinová práce max 12/2pracovníci</t>
  </si>
  <si>
    <t>• počet klientů: 60</t>
  </si>
  <si>
    <t>maximální okamžitá kapacita - jeden klient nebo jedna zakázka (max. 5 osob) / 1 pracovník
maximální denní kapacita - 5 klientů/1pracovník</t>
  </si>
  <si>
    <t>• děti kojeneckého věku (do 1 roku)
• děti předškolního věku (1 - 6 let)
• mladší děti (7 –10 let)
• starší děti (11 – 15 let)
• dorost (16 – 18 let)</t>
  </si>
  <si>
    <t>domovy pro seniory</t>
  </si>
  <si>
    <t>Centrum sociálních služeb Naděje Broumov - domov pro seniory</t>
  </si>
  <si>
    <t>• počet lůžek: 42</t>
  </si>
  <si>
    <t>• 24. senioři</t>
  </si>
  <si>
    <t>• mladší senioři (65 – 80 let)
• starší senioři (nad 80 let)</t>
  </si>
  <si>
    <t>Denní stacionář Klokan o. p. s.</t>
  </si>
  <si>
    <t xml:space="preserve">Janderova 436
Hořice
508 01 Hořice v Podkrkonoší
</t>
  </si>
  <si>
    <t>Denní stacionář Klokan o.p.s.</t>
  </si>
  <si>
    <t>• 14. osoby s mentálním postižením</t>
  </si>
  <si>
    <t>• starší děti (11 – 15 let)
• dorost (16 – 18 let)
• mladí dospělí (19 – 26 let)
• dospělí (27 – 64 let)</t>
  </si>
  <si>
    <t>Diakonie ČCE - středisko BETANIE - evangelický domov v Náchodě</t>
  </si>
  <si>
    <t xml:space="preserve">Špreňarova 1053
Náchod
547 01 Náchod 1
</t>
  </si>
  <si>
    <t>Církve a náboženské společnosti</t>
  </si>
  <si>
    <t>odlehčovací služby</t>
  </si>
  <si>
    <t>• počet lůžek: 4</t>
  </si>
  <si>
    <t>• 13. osoby s kombinovaným postižením
• 15. osoby s tělesným postižením
• 24. senioři</t>
  </si>
  <si>
    <t>• mladí dospělí (19 – 26 let)
• dospělí (27 – 64 let)
• mladší senioři (65 – 80 let)
• starší senioři (nad 80 let)</t>
  </si>
  <si>
    <t>• počet lůžek: 16</t>
  </si>
  <si>
    <t>• 13. osoby s kombinovaným postižením
• 15. osoby s tělesným postižením</t>
  </si>
  <si>
    <t>Diakonie ČCE - středisko Milíčův dům</t>
  </si>
  <si>
    <t xml:space="preserve">Havlíčkova 14
Jakubské Předměstí
551 01 Jaroměř 1
</t>
  </si>
  <si>
    <t>Pečovatelská služba Diakonie Jaroměř</t>
  </si>
  <si>
    <t>• 11. osoby s chronickým onemocněním
• 12. osoby s jiným zdravotním postižením
• 17. osoby se zdravotním postižením
• 23. rodiny s dítětem/dětmi
• 24. senioři</t>
  </si>
  <si>
    <t>• děti kojeneckého věku (do 1 roku)
• děti předškolního věku (1 - 6 let)
• dorost (16 – 18 let)
• mladí dospělí (19 – 26 let)
• dospělí (27 – 64 let)
• mladší senioři (65 – 80 let)
• starší senioři (nad 80 let)</t>
  </si>
  <si>
    <t>SAS Alternativa</t>
  </si>
  <si>
    <t>• počet klientů: 90</t>
  </si>
  <si>
    <t>• děti předškolního věku (1 - 6 let)
• mladší děti (7 –10 let)
• starší děti (11 – 15 let)
• dorost (16 – 18 let)</t>
  </si>
  <si>
    <t>Diakonie ČCE - středisko Světlo ve Vrchlabí</t>
  </si>
  <si>
    <t xml:space="preserve">Komenského 616
Vrchlabí
543 01 Vrchlabí 1
</t>
  </si>
  <si>
    <t>Osobní asistence</t>
  </si>
  <si>
    <t>• 12. osoby s jiným zdravotním postižením
• 13. osoby s kombinovaným postižením
• 14. osoby s mentálním postižením
• 15. osoby s tělesným postižením
• 17. osoby se zdravotním postižením
• 24. senioři</t>
  </si>
  <si>
    <t>Sociálně aktivizační služby pro rodiny s dětmi</t>
  </si>
  <si>
    <t>Pracoviště rané péče</t>
  </si>
  <si>
    <t>• děti kojeneckého věku (do 1 roku)
• děti předškolního věku (1 - 6 let)</t>
  </si>
  <si>
    <t>Sociální rehabilitace - Spirála</t>
  </si>
  <si>
    <t>• 11. osoby s chronickým onemocněním
• 12. osoby s jiným zdravotním postižením
• 13. osoby s kombinovaným postižením
• 14. osoby s mentálním postižením
• 15. osoby s tělesným postižením</t>
  </si>
  <si>
    <t>Diakonie ČCE - středisko ve Dvoře Králové nad Labem</t>
  </si>
  <si>
    <t xml:space="preserve">nábřeží Benešovo 1067
544 01 Dvůr Králové nad Labem
</t>
  </si>
  <si>
    <t>Pečovatelská služba</t>
  </si>
  <si>
    <t>• počet klientů: 188</t>
  </si>
  <si>
    <t>• 10. osoby s chronickým duševním onemocněním
• 11. osoby s chronickým onemocněním
• 12. osoby s jiným zdravotním postižením
• 15. osoby s tělesným postižením
• 17. osoby se zdravotním postižením
• 18. osoby se zrakovým postižením
• 24. senioři</t>
  </si>
  <si>
    <t>Denní stacionář</t>
  </si>
  <si>
    <t>Domov pro seniory</t>
  </si>
  <si>
    <t>• počet lůžek: 23</t>
  </si>
  <si>
    <t>domovy se zvláštním režimem</t>
  </si>
  <si>
    <t>Domov se zvláštním režimem</t>
  </si>
  <si>
    <t>• počet lůžek: 10</t>
  </si>
  <si>
    <t>• 10. osoby s chronickým duševním onemocněním
• 24. senioři</t>
  </si>
  <si>
    <t>Diecézní katolická charita Hradec Králové</t>
  </si>
  <si>
    <t xml:space="preserve">Velké náměstí 37/46
Hradec Králové
500 03 Hradec Králové 3
</t>
  </si>
  <si>
    <t>Poradna pro cizince a uprchlíky</t>
  </si>
  <si>
    <t>• počet intervencí (30 min. jednání): 12</t>
  </si>
  <si>
    <t>•  2. imigranti a azylanti</t>
  </si>
  <si>
    <t>imigranti a azylanti</t>
  </si>
  <si>
    <t>Dokořán z.s.</t>
  </si>
  <si>
    <t xml:space="preserve">Komenského 577
Náchod
547 01 Náchod 1
</t>
  </si>
  <si>
    <t>Archa</t>
  </si>
  <si>
    <t>Domácí hospic Duha, o.p.s.</t>
  </si>
  <si>
    <t xml:space="preserve">Čsl. armády 1815
Hořice
508 01 Hořice v Podkrkonoší
</t>
  </si>
  <si>
    <t>Sociální poradna Centra domácí hospicové péče</t>
  </si>
  <si>
    <t>• počet intervencí (30 min. jednání): 6</t>
  </si>
  <si>
    <t>• počet intervencí (30 min. jednání): 3</t>
  </si>
  <si>
    <t>• 11. osoby s chronickým onemocněním
• 19. osoby v krizi</t>
  </si>
  <si>
    <t>Domácí hospic Setkání, o.p.s.</t>
  </si>
  <si>
    <t xml:space="preserve">Hrdinů odboje 1017
516 01 Rychnov nad Kněžnou
</t>
  </si>
  <si>
    <t>Sociální poradna Domácího hospice Setkání</t>
  </si>
  <si>
    <t>osoby s chronickým onemocněním</t>
  </si>
  <si>
    <t>Domov Arreta o.p.s.</t>
  </si>
  <si>
    <t xml:space="preserve">Příčná 413/15
Třebeš
500 11 Hradec Králové 11
</t>
  </si>
  <si>
    <t>odlehčovací služba</t>
  </si>
  <si>
    <t>• počet lůžek: 22</t>
  </si>
  <si>
    <t>• 11. osoby s chronickým onemocněním
• 17. osoby se zdravotním postižením
• 24. senioři</t>
  </si>
  <si>
    <t>Domov bez bariér</t>
  </si>
  <si>
    <t xml:space="preserve">Strozziho 1333
Hořice
508 01 Hořice v Podkrkonoší
</t>
  </si>
  <si>
    <t>• počet lůžek: 79</t>
  </si>
  <si>
    <t>• 11. osoby s chronickým onemocněním
• 15. osoby s tělesným postižením</t>
  </si>
  <si>
    <t>• dorost (16 – 18 let)
• mladí dospělí (19 – 26 let)
• dospělí (27 – 64 let)
• mladší senioři (65 – 80 let)
• starší senioři (nad 80 let)</t>
  </si>
  <si>
    <t>Domov Dědina</t>
  </si>
  <si>
    <t xml:space="preserve">Nádražní 709
517 73 Opočno
</t>
  </si>
  <si>
    <t>Domov Dědina - denní stacionář</t>
  </si>
  <si>
    <t>U služby denní stacionář nezjišťujeme stupeň závislosti uživatele, proto je v tabulce struktura uživatelů vyplněn stupeň závislosti - ostatní.</t>
  </si>
  <si>
    <t>Domov Dědina - pobytová služba</t>
  </si>
  <si>
    <t>• počet lůžek: 113</t>
  </si>
  <si>
    <t>Domov Dědina - chráněné bydlení</t>
  </si>
  <si>
    <t>• počet lůžek: 17</t>
  </si>
  <si>
    <t>Od roku 2020 plánuje organizace navýšit počet lůžek pro službu chráněné bydlení o 6.</t>
  </si>
  <si>
    <t>• 10. osoby s chronickým duševním onemocněním
• 14. osoby s mentálním postižením</t>
  </si>
  <si>
    <t>Domov Dolní zámek</t>
  </si>
  <si>
    <t xml:space="preserve">náměstí Aloise Jiráska 44
549 57 Teplice nad Metují
</t>
  </si>
  <si>
    <t>• počet lůžek: 49</t>
  </si>
  <si>
    <t>•  9. osoby ohrožené závislostí nebo závislé na návykových látkách</t>
  </si>
  <si>
    <t>osoby ohrožené závislostí nebo závislé na návykových látkách</t>
  </si>
  <si>
    <t>Domov důchodců Albrechtice nad Orlicí</t>
  </si>
  <si>
    <t xml:space="preserve">1. máje 104
517 22 Albrechtice nad Orlicí
</t>
  </si>
  <si>
    <t>• počet lůžek: 81</t>
  </si>
  <si>
    <t>• 10. osoby s chronickým duševním onemocněním</t>
  </si>
  <si>
    <t>Domov důchodců Borohrádek</t>
  </si>
  <si>
    <t xml:space="preserve">Rudé armády 1
517 24 Borohrádek
</t>
  </si>
  <si>
    <t>• počet lůžek: 115</t>
  </si>
  <si>
    <t>Domov důchodců Černožice</t>
  </si>
  <si>
    <t xml:space="preserve">Revoluční 84
Černožice
503 04 Černožice nad Labem
</t>
  </si>
  <si>
    <t>• počet lůžek: 24</t>
  </si>
  <si>
    <t>Kapacita služby DS bude v roce 2020  snížena na 16  lůžek z důvodu vzniku specializovaného zařízení, které bude zaměřeno na klienty s vaskulárními demencemi ve věku 40+ na domově se zvláštním režimem. Celková kapacita na obou službách zůstane nezměněna v počtu 102 lůžek v zařízení. To znamená, že na domově pro seniory se kapacita z 24 lůžek sníží na 16 lůžek a na domově se zvláštním režimem se zvýší z 78 na 86 lůžek. Předběžně je toto projednáno se zřizovatelem, zadáno do sítě.</t>
  </si>
  <si>
    <t>• počet lůžek: 78</t>
  </si>
  <si>
    <t>Kapacita služby DZR bude v roce 2020  zvýšena o 8  lůžek z důvodu vzniku specializovaného zařízení, které bude zaměřeno na klienty s vaskulárními demencemi ve věku 40+ na domově se zvláštním režimem. Celková kapacita na obou službách zůstane nezměněna v počtu 102 lůžek v zařízení. To znamená, že na domově pro seniory se kapacita z 24 lůžek sníží na 16 lůžek a na domově se zvláštním režimem se zvýší z 78 na 86 lůžek. Předběžně je toto projednáno se zřizovatelem, zadáno do sítě.</t>
  </si>
  <si>
    <t>Domov důchodců Dvůr Králové nad Labem</t>
  </si>
  <si>
    <t xml:space="preserve">Roháčova 2968
544 01 Dvůr Králové nad Labem
</t>
  </si>
  <si>
    <t>• počet lůžek: 80</t>
  </si>
  <si>
    <t>Domov důchodců Humburky</t>
  </si>
  <si>
    <t xml:space="preserve">Humburky 100
504 01 Nový Bydžov
</t>
  </si>
  <si>
    <t>• počet lůžek: 47</t>
  </si>
  <si>
    <t>Domov důchodců ChD - Zdislava</t>
  </si>
  <si>
    <t xml:space="preserve">Týnišťská 337
503 46 Třebechovice pod Orebem
</t>
  </si>
  <si>
    <t>Domov důchodců ChD-Zdislava</t>
  </si>
  <si>
    <t>• počet lůžek: 54</t>
  </si>
  <si>
    <t>• 11. osoby s chronickým onemocněním
• 12. osoby s jiným zdravotním postižením
• 15. osoby s tělesným postižením
• 17. osoby se zdravotním postižením
• 24. senioři</t>
  </si>
  <si>
    <t>Domov důchodců Lampertice</t>
  </si>
  <si>
    <t xml:space="preserve">Lampertice 204
541 01 Trutnov 1
</t>
  </si>
  <si>
    <t>• počet lůžek: 52</t>
  </si>
  <si>
    <t>Domov důchodců Malá Čermná</t>
  </si>
  <si>
    <t xml:space="preserve">Malá Čermná 42
549 31 Hronov 1
</t>
  </si>
  <si>
    <t>• počet lůžek: 53</t>
  </si>
  <si>
    <t>Domov důchodců Mlázovice</t>
  </si>
  <si>
    <t xml:space="preserve">Náměstí 43
507 58 Mlázovice
</t>
  </si>
  <si>
    <t>Domov důchodců Náchod</t>
  </si>
  <si>
    <t xml:space="preserve">Bartoňova 903
Náchod
547 01 Náchod 1
</t>
  </si>
  <si>
    <t>• počet lůžek: 60</t>
  </si>
  <si>
    <t>• 11. osoby s chronickým onemocněním</t>
  </si>
  <si>
    <t>• počet lůžek: 86</t>
  </si>
  <si>
    <t>Domov důchodců Police nad Metují</t>
  </si>
  <si>
    <t xml:space="preserve">Na Sibiři 149
Velká Ledhuje
549 54 Police nad Metují
</t>
  </si>
  <si>
    <t>• počet lůžek: 64</t>
  </si>
  <si>
    <t>Domov důchodců Tmavý Důl</t>
  </si>
  <si>
    <t xml:space="preserve">Tmavý Důl 633
Rtyně v Podkrkonoší
542 34 Malé Svatoňovice
</t>
  </si>
  <si>
    <t>Domov se zvláštním režimem v kontextu § 50 zákona o sociálních službách provozujeme od 1.1.2019 v počtu 16 lůžek. Do budocna plánujeme tutu službu rozšířit, neboť je velmi žádaná.</t>
  </si>
  <si>
    <t>• počet lůžek: 84</t>
  </si>
  <si>
    <t>Do roku 2019 (do 31.12.2018) mělo zařízení kapacitu 100 lůžek v kontextu § 49 zákona o sociáních službách. Od 1.1.2019 došlo k vyhrazení 16 lůžek pro službu zláštního režimu podle § 50 zákona o sociáních službách. Nyní tedy poskytujeme 84 lůžek v režimu domova pro seniory podle § 49 zákona o sociáních službách.</t>
  </si>
  <si>
    <t>DOMOV NA STŘÍBRNÉM VRCHU</t>
  </si>
  <si>
    <t xml:space="preserve">Stříbrný vrch 199
Rokytnice v Orlických horách
517 61 Rokytnice v Orl.horách
</t>
  </si>
  <si>
    <t>• počet lůžek: 8</t>
  </si>
  <si>
    <t>• počet lůžek: 40</t>
  </si>
  <si>
    <t>• počet klientů: 15</t>
  </si>
  <si>
    <t>• mladí dospělí (19 – 26 let)
• dospělí (27 – 64 let)
• mladší senioři (65 – 80 let)</t>
  </si>
  <si>
    <t>• počet lůžek: 6</t>
  </si>
  <si>
    <t>Poskytovatel již zažádal v rámci sítě služeb KHK o sníženíkapacity DOZP na 5 lůžek, počítá s přirozeným úbytkem osob, nikoli s ukončením služby jiným způsobem.</t>
  </si>
  <si>
    <t>Domov odpočinku ve stáří Justynka</t>
  </si>
  <si>
    <t xml:space="preserve">Komenského náměstí 212
Hronov
549 31 Hronov 1
</t>
  </si>
  <si>
    <t>• počet lůžek: 67</t>
  </si>
  <si>
    <t>Domov pro seniory Pilníkov</t>
  </si>
  <si>
    <t xml:space="preserve">Trutnovská 176
542 42 Pilníkov
</t>
  </si>
  <si>
    <t>Po dokončení probíhající rekonstrukce bude v průběhu ledna roku 2020 kapacita zařízení navýšena na 45 lůžek.</t>
  </si>
  <si>
    <t>Domov pro seniory Trutnov</t>
  </si>
  <si>
    <t xml:space="preserve">Rudolfa Frimla 936
Střední Předměstí
541 01 Trutnov 1
</t>
  </si>
  <si>
    <t>• počet lůžek: 124</t>
  </si>
  <si>
    <t>Domov pro seniory Vrchlabí</t>
  </si>
  <si>
    <t xml:space="preserve">Žižkova 590
Vrchlabí
543 01 Vrchlabí 1
</t>
  </si>
  <si>
    <t>• počet lůžek: 3</t>
  </si>
  <si>
    <t>• počet lůžek: 55</t>
  </si>
  <si>
    <t>Domov sociálních služeb Chotělice</t>
  </si>
  <si>
    <t xml:space="preserve">Chotělice 89
503 53 Smidary
</t>
  </si>
  <si>
    <t>• počet lůžek: 70</t>
  </si>
  <si>
    <t>Domov sociálních služeb Skřivany</t>
  </si>
  <si>
    <t xml:space="preserve">Dr. Vojtěcha 93
Skřivany
503 52 Skřivany u Nového Bydžova
</t>
  </si>
  <si>
    <t>Domov sociálních služeb Skřivany - DOZP</t>
  </si>
  <si>
    <t>• počet lůžek: 74</t>
  </si>
  <si>
    <t>• 14. osoby s mentálním postižením
• 17. osoby se zdravotním postižením</t>
  </si>
  <si>
    <t>Domov sociálních služeb Skřivany - CHB</t>
  </si>
  <si>
    <t>Domov U Biřičky</t>
  </si>
  <si>
    <t xml:space="preserve">K Biřičce 1240
Nový Hradec Králové
500 08 Hradec Králové 8
</t>
  </si>
  <si>
    <t>• počet klientů: 58</t>
  </si>
  <si>
    <t>• počet lůžek: 282</t>
  </si>
  <si>
    <t>Domov V Podzámčí</t>
  </si>
  <si>
    <t xml:space="preserve">Palackého 165
Chlumec nad Cidlinou III
503 51 Chlumec nad Cidlinou
</t>
  </si>
  <si>
    <t>• počet lůžek: 48</t>
  </si>
  <si>
    <t>• počet lůžek: 76</t>
  </si>
  <si>
    <t>Domovy Na Třešňovce</t>
  </si>
  <si>
    <t xml:space="preserve">Riegrova 837
552 03 Česká Skalice
</t>
  </si>
  <si>
    <t>domov pro seniory</t>
  </si>
  <si>
    <t>• počet lůžek: 103</t>
  </si>
  <si>
    <t>Od 1.10.2019 změna kapacity na 103 lůžek.</t>
  </si>
  <si>
    <t>domov pro osoby se zdravotním postižením</t>
  </si>
  <si>
    <t>• počet lůžek: 43</t>
  </si>
  <si>
    <t>Od 1.10.2019 změna kapacity na 43 lůžek.</t>
  </si>
  <si>
    <t>DUHA o. p. s.</t>
  </si>
  <si>
    <t xml:space="preserve">Julia Fučíka 873
504 01 Nový Bydžov
</t>
  </si>
  <si>
    <t>Duha o.p.s. Nový Bydžov - centrum denních služeb</t>
  </si>
  <si>
    <t>• počet klientů: 14</t>
  </si>
  <si>
    <t>• 15. osoby s tělesným postižením
• 17. osoby se zdravotním postižením
• 24. senioři</t>
  </si>
  <si>
    <t>Duha o.p.s Nový Bydžov.-odlehčovací služba</t>
  </si>
  <si>
    <t>• počet lůžek: 9</t>
  </si>
  <si>
    <t>nízkoprahová zařízení pro děti a mládež</t>
  </si>
  <si>
    <t>Duha o.p.s. - NZDM DoPatra</t>
  </si>
  <si>
    <t>maximální denní kapacita není stanovena - dodržuje se 20 klientů v jednom okamžiku</t>
  </si>
  <si>
    <t>•  1. děti a mládež ve věku od 6 do 26 let ohrožené společensky nežádoucími jevy
• 25. etnické menšiny</t>
  </si>
  <si>
    <t>děti a mládež ve věku od 6 do 26 let ohrožené společensky nežádoucími jevy</t>
  </si>
  <si>
    <t>Duha o.p.s. Nový Bydžov - pečovatelská služba</t>
  </si>
  <si>
    <t>• počet klientů: 80</t>
  </si>
  <si>
    <t>• 14. osoby s mentálním postižením
• 15. osoby s tělesným postižením
• 17. osoby se zdravotním postižením
• 24. senioři</t>
  </si>
  <si>
    <t>Dům s pečovatelskou službou Svoboda nad Úpou</t>
  </si>
  <si>
    <t xml:space="preserve">Kostelní 526
542 24 Svoboda nad Úpou
</t>
  </si>
  <si>
    <t>• počet klientů: 75</t>
  </si>
  <si>
    <t>• 11. osoby s chronickým onemocněním
• 12. osoby s jiným zdravotním postižením
• 17. osoby se zdravotním postižením
• 24. senioři</t>
  </si>
  <si>
    <t>Farní charita Dobruška</t>
  </si>
  <si>
    <t xml:space="preserve">Kostelní 259
518 01 Dobruška
</t>
  </si>
  <si>
    <t>• 11. osoby s chronickým onemocněním
• 13. osoby s kombinovaným postižením
• 15. osoby s tělesným postižením
• 17. osoby se zdravotním postižením
• 24. senioři</t>
  </si>
  <si>
    <t>Farní charita Dvůr Králové nad Labem</t>
  </si>
  <si>
    <t xml:space="preserve">Palackého 99
544 01 Dvůr Králové nad Labem
</t>
  </si>
  <si>
    <t>osobní asistence-domácí péče</t>
  </si>
  <si>
    <t>• počet klientů: 13</t>
  </si>
  <si>
    <t>• 13. osoby s kombinovaným postižením
• 15. osoby s tělesným postižením
• 17. osoby se zdravotním postižením
• 24. senioři</t>
  </si>
  <si>
    <t>• děti předškolního věku (1 - 6 let)
• mladší děti (7 –10 let)
• starší děti (11 – 15 let)
• dorost (16 – 18 let)
• mladí dospělí (19 – 26 let)
• dospělí (27 – 64 let)
• mladší senioři (65 – 80 let)
• starší senioři (nad 80 let)</t>
  </si>
  <si>
    <t>Labyrint</t>
  </si>
  <si>
    <t>Občanská poradna</t>
  </si>
  <si>
    <t>• 19. osoby v krizi
• 21. osoby, které vedou rizikový způsob života nebo jsou tímto způsobem života ohroženy</t>
  </si>
  <si>
    <t>Slunečnice</t>
  </si>
  <si>
    <t>Střelka</t>
  </si>
  <si>
    <t>• počet klientů: 25</t>
  </si>
  <si>
    <t>terénní forma služby oskytována od 1.9.2019</t>
  </si>
  <si>
    <t>•  1. děti a mládež ve věku od 6 do 26 let ohrožené společensky nežádoucími jevy</t>
  </si>
  <si>
    <t>• mladší děti (7 –10 let)
• starší děti (11 – 15 let)
• dorost (16 – 18 let)
• mladí dospělí (19 – 26 let)</t>
  </si>
  <si>
    <t>Farní charita Rychnov nad Kněžnou</t>
  </si>
  <si>
    <t xml:space="preserve">Palackého 111
516 01 Rychnov nad Kněžnou
</t>
  </si>
  <si>
    <t>Stacionář sv.Františka</t>
  </si>
  <si>
    <t>• počet lůžek: 15</t>
  </si>
  <si>
    <t>Od 1.7.2019 navýšena kapacita na 15 lůžek.</t>
  </si>
  <si>
    <t>• počet klientů: 22</t>
  </si>
  <si>
    <t>• 13. osoby s kombinovaným postižením
• 14. osoby s mentálním postižením
• 24. senioři</t>
  </si>
  <si>
    <t>týdenní stacionáře</t>
  </si>
  <si>
    <t>Geriatrické centrum Týniště nad Orlicí</t>
  </si>
  <si>
    <t xml:space="preserve">Turkova 785
517 21 Týniště nad Orlicí
</t>
  </si>
  <si>
    <t>• počet klientů: 110</t>
  </si>
  <si>
    <t>• 17. osoby se zdravotním postižením
• 24. senioři</t>
  </si>
  <si>
    <t>HEWER, z.s.</t>
  </si>
  <si>
    <t xml:space="preserve">Černokostelecká 2020/20
Praha 10 - Strašnice
100 00 Praha 10
</t>
  </si>
  <si>
    <t>HEWER - osobní asistence pro Královéhradecký kraj</t>
  </si>
  <si>
    <t>Hodiny přímé péče navržené v žádosti korespondují s očekávanou poptávkou po našich službách v Královehradeckém kraji v roce 202. V kraji dochází ke zvýšenému zájmu o vícehodinové služby mezi stávajícími klienty. Práce našich osobních asistentů je více žádána i ve večerních a nočních hodinách, o víkendech a o svátcích, kdy ne všichni poskytovatelé sociálních služeb v KHK poskytují své služby v  žádaných časech a kapacitách. Počet hodin je oproti roku 2019 vyšší, jelikož došlo k navýšení úvazků krajem.</t>
  </si>
  <si>
    <t>• 13. osoby s kombinovaným postižením
• 14. osoby s mentálním postižením
• 15. osoby s tělesným postižením
• 16. osoby se sluchovým postižením
• 17. osoby se zdravotním postižením
• 18. osoby se zrakovým postižením
• 24. senioři</t>
  </si>
  <si>
    <t>KŘESADLO HK - Centrum pomoci lidem s PAS, z.ú.</t>
  </si>
  <si>
    <t xml:space="preserve">Mrštíkova 934/20
Nový Hradec Králové
500 09 Hradec Králové 9
</t>
  </si>
  <si>
    <t>Křesadlo HK - Centrum pomoci lidem s PAS, z.ú.</t>
  </si>
  <si>
    <t>Někteří uživatelé využívájí jak ambulantní, tak terénní formu služby. Vždy dle potřeby.</t>
  </si>
  <si>
    <t>Někteří klienti využívájí jak terénní, tak ambulantní formu služby.</t>
  </si>
  <si>
    <t>Někteří klienti využívají jak terénní, tak ambulantní formu služby.</t>
  </si>
  <si>
    <t>• 10. osoby s chronickým duševním onemocněním
• 19. osoby v krizi
• 23. rodiny s dítětem/dětmi</t>
  </si>
  <si>
    <t>Laxus z. ú.</t>
  </si>
  <si>
    <t xml:space="preserve">Sadová 2107
Nymburk
288 02 Nymburk 2
</t>
  </si>
  <si>
    <t>Ambulantní centrum Hradec Králové</t>
  </si>
  <si>
    <t>V roce 2019 a dále předpokládáme nárůst klientely i intervencí, a to z důvodu, že v polovině roku 2019 byla ukončena činnost Služby následné péče v Hradci Králové a řada klientů začala využívat služby odborného sociálního poradenství. Adekvátně této situaci bylo posíleno personální zabezpečení. Dále bude v roce 2020 rozšířena činnost centra do Náchoda, a to na dva dny v týdnu.</t>
  </si>
  <si>
    <t>•  9. osoby ohrožené závislostí nebo závislé na návykových látkách
• 21. osoby, které vedou rizikový způsob života nebo jsou tímto způsobem života ohroženy</t>
  </si>
  <si>
    <t>Centrum terénních programů Královehradeckého kraje</t>
  </si>
  <si>
    <t>Okamžitá kapacita uživatelů služby = počet pracovníků služby (6 osob) – 1 pracovník v 1 okamžik pracuje s 1 klientem 
Denní kapacita uživatelů služby= počet klientů, které je zařízení schopno obsloužit v rámci své provozní doby vzhledem k počtu pracovníků ve službě a k průměrnému objemu služeb, které čerpá jeden klient. 
Okamžitá kapacita kontaktů = počet pracovníků služby (6 osob) – na jednoho pracovníka připadá 1 kontakt s 1 klientem v 1 okamžik</t>
  </si>
  <si>
    <t>kontaktní centra</t>
  </si>
  <si>
    <t>K-centrum Hradec Králové</t>
  </si>
  <si>
    <t>Okamžitá kapacita = počet pracovníků služby vykonávající individuální práci v aktuální chvíli. 
Denní kapacita = počet klientů, které je zařízení schopno obsloužit v rámci své provozní doby vzhledem k počtu pracovníků ve službě a k průměrnému objemu služeb, které čerpá jeden klient.</t>
  </si>
  <si>
    <t>Město Česká Skalice</t>
  </si>
  <si>
    <t xml:space="preserve">třída T. G. Masaryka 80
552 03 Česká Skalice
</t>
  </si>
  <si>
    <t>Obec</t>
  </si>
  <si>
    <t>Pečovatelská služba Česká Skalice</t>
  </si>
  <si>
    <t>Město Dobruška</t>
  </si>
  <si>
    <t xml:space="preserve">nám. F. L. Věka 11
518 01 Dobruška
</t>
  </si>
  <si>
    <t>Město Dobruška Pečovatelská služba</t>
  </si>
  <si>
    <t>• 11. osoby s chronickým onemocněním
• 13. osoby s kombinovaným postižením
• 17. osoby se zdravotním postižením
• 24. senioři</t>
  </si>
  <si>
    <t>Město Hronov</t>
  </si>
  <si>
    <t xml:space="preserve">nám. Čs. armády 5
Hronov
549 31 Hronov 1
</t>
  </si>
  <si>
    <t>• 11. osoby s chronickým onemocněním
• 15. osoby s tělesným postižením
• 17. osoby se zdravotním postižením
• 24. senioři</t>
  </si>
  <si>
    <t>Město Jaroměř</t>
  </si>
  <si>
    <t xml:space="preserve">nám. Československé armády 16
Jaroměř
551 01 Jaroměř 1
</t>
  </si>
  <si>
    <t>Pečovatelská služba Jaroměř</t>
  </si>
  <si>
    <t>• počet klientů: 16</t>
  </si>
  <si>
    <t>• počet klientů: 160</t>
  </si>
  <si>
    <t>Město Kostelec nad Orlicí</t>
  </si>
  <si>
    <t xml:space="preserve">Palackého náměstí 38
517 41 Kostelec nad Orlicí
</t>
  </si>
  <si>
    <t>Pečovatelská služba Kostelec nad Orlicí</t>
  </si>
  <si>
    <t>• počet klientů: 120</t>
  </si>
  <si>
    <t>• 11. osoby s chronickým onemocněním
• 13. osoby s kombinovaným postižením
• 14. osoby s mentálním postižením
• 15. osoby s tělesným postižením
• 16. osoby se sluchovým postižením
• 17. osoby se zdravotním postižením
• 18. osoby se zrakovým postižením
• 24. senioři</t>
  </si>
  <si>
    <t>Centrum denních služeb Domovinka</t>
  </si>
  <si>
    <t>• počet klientů: 9</t>
  </si>
  <si>
    <t>• 11. osoby s chronickým onemocněním
• 14. osoby s mentálním postižením
• 15. osoby s tělesným postižením
• 24. senioři</t>
  </si>
  <si>
    <t>Město Lázně Bělohrad</t>
  </si>
  <si>
    <t xml:space="preserve">Náměstí K. V. Raise 35
507 81 Lázně Bělohrad
</t>
  </si>
  <si>
    <t>• počet klientů: 45</t>
  </si>
  <si>
    <t>V případě okamžité kapacicity o víkendu je jeden uživatel, v pracovní dny mohou být 2 uživatelé, neboť víkendy zajišťuje pouze jedna pečovatelka.</t>
  </si>
  <si>
    <t>Město Meziměstí</t>
  </si>
  <si>
    <t xml:space="preserve">5. května 1
Meziměstí
549 81 Meziměstí u Broumova 1
</t>
  </si>
  <si>
    <t>Pečovatelská služba Meziměstí</t>
  </si>
  <si>
    <t>• počet klientů: 65</t>
  </si>
  <si>
    <t>• 17. osoby se zdravotním postižením
• 23. rodiny s dítětem/dětmi
• 24. senioři</t>
  </si>
  <si>
    <t>• děti kojeneckého věku (do 1 roku)
• děti předškolního věku (1 - 6 let)
• mladí dospělí (19 – 26 let)
• dospělí (27 – 64 let)
• mladší senioři (65 – 80 let)
• starší senioři (nad 80 let)</t>
  </si>
  <si>
    <t>Město Miletín</t>
  </si>
  <si>
    <t xml:space="preserve">náměstí K. J. Erbena 99
507 71 Miletín
</t>
  </si>
  <si>
    <t>Město Miletín-pečovatelská služba</t>
  </si>
  <si>
    <t>• 10. osoby s chronickým duševním onemocněním
• 15. osoby s tělesným postižením
• 17. osoby se zdravotním postižením
• 18. osoby se zrakovým postižením
• 24. senioři</t>
  </si>
  <si>
    <t>Město Nové Město nad Metují</t>
  </si>
  <si>
    <t xml:space="preserve">náměstí Republiky 6
Nové Město nad Metují
549 01 Nové Město nad Metují 1
</t>
  </si>
  <si>
    <t>Centrum prevence Mandl</t>
  </si>
  <si>
    <t>počet klientů ve formě amulantní či terénní je stejný (stejným klientům poskytujeme služby jak v zařízení, tak v terénu)</t>
  </si>
  <si>
    <t>• 21. osoby, které vedou rizikový způsob života nebo jsou tímto způsobem života ohroženy</t>
  </si>
  <si>
    <t>osoby, které vedou rizikový způsob života nebo jsou tímto způsobem života ohroženy</t>
  </si>
  <si>
    <t>• dospělí (27 – 64 let)
• mladší senioři (65 – 80 let)</t>
  </si>
  <si>
    <t>Město Nový Bydžov</t>
  </si>
  <si>
    <t xml:space="preserve">Masarykovo náměstí 1
504 01 Nový Bydžov
</t>
  </si>
  <si>
    <t>• počet intervencí (30 min. jednání): 8</t>
  </si>
  <si>
    <t>• počet intervencí (30 min. jednání): 10</t>
  </si>
  <si>
    <t>• děti kojeneckého věku (do 1 roku)
• děti předškolního věku (1 - 6 let)
• mladší děti (7 –10 let)
• starší děti (11 – 15 let)
• dorost (16 – 18 let)
• mladí dospělí (19 – 26 let)</t>
  </si>
  <si>
    <t>Město Police nad Metují</t>
  </si>
  <si>
    <t xml:space="preserve">Masarykovo náměstí 98
549 54 Police nad Metují
</t>
  </si>
  <si>
    <t>Kapacitu rozšiřujeme především z důvodu nárůstu klientů v okolních obcích.</t>
  </si>
  <si>
    <t>Město Rokytnice v Orlických horách</t>
  </si>
  <si>
    <t xml:space="preserve">náměstí Jindřicha Šimka 3
Rokytnice v Orlických horách
517 61 Rokytnice v Orl.horách
</t>
  </si>
  <si>
    <t>Pečovatelská služba Rokytnice v Orlických horách</t>
  </si>
  <si>
    <t>podaná žádost o navýšení kapacity ve SOH z 1 osoba/den na 2 osoby/den</t>
  </si>
  <si>
    <t>• počet klientů: 35</t>
  </si>
  <si>
    <t>• 10. osoby s chronickým duševním onemocněním
• 11. osoby s chronickým onemocněním
• 17. osoby se zdravotním postižením
• 24. senioři</t>
  </si>
  <si>
    <t>Město Rtyně v Podkrkonoší</t>
  </si>
  <si>
    <t xml:space="preserve">Hronovská 431
542 33 Rtyně v Podkrkonoší
</t>
  </si>
  <si>
    <t>Město Teplice nad Metují</t>
  </si>
  <si>
    <t xml:space="preserve">Rooseveltova 15
549 57 Teplice nad Metují
</t>
  </si>
  <si>
    <t>Pečovatelská služba Teplice nad Metují</t>
  </si>
  <si>
    <t>Město Úpice</t>
  </si>
  <si>
    <t xml:space="preserve">Pod městem 624
542 32 Úpice
</t>
  </si>
  <si>
    <t>Centrum denních služeb města Úpice</t>
  </si>
  <si>
    <t>• 13. osoby s kombinovaným postižením
• 14. osoby s mentálním postižením
• 17. osoby se zdravotním postižením</t>
  </si>
  <si>
    <t>Pečovatelská služba města Úpice</t>
  </si>
  <si>
    <t>Město Vamberk</t>
  </si>
  <si>
    <t xml:space="preserve">Husovo náměstí 1
517 54 Vamberk
</t>
  </si>
  <si>
    <t>• počet klientů: 62</t>
  </si>
  <si>
    <t>Město Vrchlabí</t>
  </si>
  <si>
    <t xml:space="preserve">Zámek 1
Vrchlabí
543 01 Vrchlabí 1
</t>
  </si>
  <si>
    <t>Pečovatelská služba Vrchlabí</t>
  </si>
  <si>
    <t>• počet klientů: 132</t>
  </si>
  <si>
    <t>Městské středisko sociálních služeb MARIE</t>
  </si>
  <si>
    <t xml:space="preserve">Bartoňova 1998
Náchod
547 01 Náchod 1
</t>
  </si>
  <si>
    <t>MěSSS Marie Náchod</t>
  </si>
  <si>
    <t>• počet klientů: 260</t>
  </si>
  <si>
    <t>Městské středisko sociálních služeb Oáza</t>
  </si>
  <si>
    <t xml:space="preserve">T. G. Masaryka 1424
Nové Město nad Metují
549 01 Nové Město nad Metují 1
</t>
  </si>
  <si>
    <t>Odlehčovací služba</t>
  </si>
  <si>
    <t>• počet lůžek: 5</t>
  </si>
  <si>
    <t>Počet lůžek je stanoven podle počtu přijatých klientů v průběhu roku.</t>
  </si>
  <si>
    <t>Domovy pro seniory</t>
  </si>
  <si>
    <t>• počet lůžek: 44</t>
  </si>
  <si>
    <t>• 11. osoby s chronickým onemocněním
• 17. osoby se zdravotním postižením
• 23. rodiny s dítětem/dětmi
• 24. senioři</t>
  </si>
  <si>
    <t>Městys Pecka</t>
  </si>
  <si>
    <t xml:space="preserve">Pecka 2
507 82 Pecka
</t>
  </si>
  <si>
    <t>Pečovatelská služba Pecka</t>
  </si>
  <si>
    <t>• počet klientů: 27</t>
  </si>
  <si>
    <t>Mgr. Zuzana Luňáková, Agentura domácí péče</t>
  </si>
  <si>
    <t xml:space="preserve">Záhumenská 475
517 71 České Meziříčí
</t>
  </si>
  <si>
    <t>Fyzická osoba podnikající dle živnostenského zákona nezapsaná v obchodním rejstříku</t>
  </si>
  <si>
    <t>• 11. osoby s chronickým onemocněním
• 12. osoby s jiným zdravotním postižením
• 13. osoby s kombinovaným postižením
• 14. osoby s mentálním postižením
• 15. osoby s tělesným postižením
• 16. osoby se sluchovým postižením
• 17. osoby se zdravotním postižením
• 18. osoby se zrakovým postižením
• 24. senioři</t>
  </si>
  <si>
    <t>Misericordia, o.p.s.</t>
  </si>
  <si>
    <t xml:space="preserve">Štefánikova 1207
544 01 Dvůr Králové nad Labem
</t>
  </si>
  <si>
    <t>Sociální rehabilitace</t>
  </si>
  <si>
    <t>•  6. osoby bez přístřeší
• 19. osoby v krizi</t>
  </si>
  <si>
    <t>osoby bez přístřeší</t>
  </si>
  <si>
    <t>Most k životu Trutnov</t>
  </si>
  <si>
    <t xml:space="preserve">Šikmá 300
Poříčí
541 03 Trutnov 3
</t>
  </si>
  <si>
    <t>azylové domy</t>
  </si>
  <si>
    <t>• počet lůžek: 32</t>
  </si>
  <si>
    <t>•  3. oběti domácího násilí
•  6. osoby bez přístřeší
• 23. rodiny s dítětem/dětmi</t>
  </si>
  <si>
    <t>Národní ústav pro autismus, z.ú.</t>
  </si>
  <si>
    <t xml:space="preserve">Brunnerova 1011/3
Praha 17 - Řepy
163 00 Praha 618
</t>
  </si>
  <si>
    <t>Osobní asistence Nautis</t>
  </si>
  <si>
    <t>• 12. osoby s jiným zdravotním postižením
• 17. osoby se zdravotním postižením</t>
  </si>
  <si>
    <t>osoby s jiným zdravotním postižením</t>
  </si>
  <si>
    <t>NAŠE ULITA z.s.</t>
  </si>
  <si>
    <t xml:space="preserve">Klicperova 6
Hořice
508 01 Hořice v Podkrkonoší
</t>
  </si>
  <si>
    <t>Naše ulita z.s.</t>
  </si>
  <si>
    <t>Kapacita služby je 12 klientů v jeden okamžik /den.</t>
  </si>
  <si>
    <t>•  9. osoby ohrožené závislostí nebo závislé na návykových látkách
• 10. osoby s chronickým duševním onemocněním</t>
  </si>
  <si>
    <t>NOMIA, z.ú.</t>
  </si>
  <si>
    <t xml:space="preserve">třída Edvarda Beneše 575/90
Třebeš
500 12 Hradec Králové 12
</t>
  </si>
  <si>
    <t>krizová pomoc</t>
  </si>
  <si>
    <t>Dětské krizové centrum NOMIA</t>
  </si>
  <si>
    <t>• počet intervencí (30 min. jednání): 18</t>
  </si>
  <si>
    <t>Primárně poskytujeme cca v 93 % ambulantní formu. 
Ambulantní formu neposkytujeme ve stejné chvíli jako terénní. Jedna forma je na úkor druhé.</t>
  </si>
  <si>
    <t>• 19. osoby v krizi</t>
  </si>
  <si>
    <t>Poradna pro oběti násilí a trestné činnosti NOMIA</t>
  </si>
  <si>
    <t>• počet intervencí (30 min. jednání): 36</t>
  </si>
  <si>
    <t>•  3. oběti domácího násilí
•  5. oběti trestné činnosti
• 23. rodiny s dítětem/dětmi</t>
  </si>
  <si>
    <t>NONA 92, o.p.s.</t>
  </si>
  <si>
    <t xml:space="preserve">Rašínova 313
Nové Město nad Metují
549 01 Nové Město nad Metují 1
</t>
  </si>
  <si>
    <t>Stacionář NONA pro mládež a dospělé s mentálním postižením a kombinovanými vadami</t>
  </si>
  <si>
    <t>Sociální rehabilitace NONA</t>
  </si>
  <si>
    <t>• 10. osoby s chronickým duševním onemocněním
• 11. osoby s chronickým onemocněním
• 17. osoby se zdravotním postižením</t>
  </si>
  <si>
    <t>Občanské poradenské středisko, o.p.s.</t>
  </si>
  <si>
    <t xml:space="preserve">Československé armády 543/29
Hradec Králové
500 03 Hradec Králové 3
</t>
  </si>
  <si>
    <t>Občanská poradna Náchod</t>
  </si>
  <si>
    <t>V průběhu roku 2019 došlo opětovně ke změně insolvenčního zákona. V oblasti oddlužení se počet intervencí zvýšil na úkor ostatních oblastí poradentví. Dále mírně narůstá průměrná doba strávená na jedné intervenci.</t>
  </si>
  <si>
    <t>• počet intervencí (30 min. jednání): 1</t>
  </si>
  <si>
    <t>Terénní forma se využívá pro uživatele služeb, kteří obvykle ze zdravotních důvodů nemohou využít ambulatní formu. Tato forma se využívá naprosto vyjímečně.</t>
  </si>
  <si>
    <t>•  3. oběti domácího násilí
•  5. oběti trestné činnosti
• 19. osoby v krizi</t>
  </si>
  <si>
    <t>Občanská poradna Hradec Králové</t>
  </si>
  <si>
    <t>• počet intervencí (30 min. jednání): 16
• počet kontaktů (10 min jednání): 16</t>
  </si>
  <si>
    <t>• počet intervencí (30 min. jednání): 2
• počet kontaktů (10 min jednání): 2</t>
  </si>
  <si>
    <t>•  1. děti a mládež ve věku od 6 do 26 let ohrožené společensky nežádoucími jevy
•  2. imigranti a azylanti
•  3. oběti domácího násilí
•  4. oběti obchodu s lidmi
•  5. oběti trestné činnosti
•  6. osoby bez přístřeší
•  7. osoby do 26 let věku opouštějící školská zařízení pro výkon ústavní péče
•  8. osoby komerčně zneužívané
•  9. osoby ohrožené závislostí nebo závislé na návykových látkách
• 10. osoby s chronickým duševním onemocněním
• 11. osoby s chronickým onemocněním
• 12. osoby s jiným zdravotním postižením
• 13. osoby s kombinovaným postižením
• 14. osoby s mentálním postižením
• 15. osoby s tělesným postižením
• 16. osoby se sluchovým postižením
• 17. osoby se zdravotním postižením
• 18. osoby se zrakovým postižením
• 19. osoby v krizi
• 20. osoby žijící v sociálně vyloučených komunitách
• 21. osoby, které vedou rizikový způsob života nebo jsou tímto způsobem života ohroženy
• 22. pachatelé trestné činnosti
• 23. rodiny s dítětem/dětmi
• 24. senioři
• 25. etnické menšiny</t>
  </si>
  <si>
    <t>Občanská poradna Jičín</t>
  </si>
  <si>
    <t>Tréninková kavárna Club Café Pessoa</t>
  </si>
  <si>
    <t>• 10. osoby s chronickým duševním onemocněním
• 11. osoby s chronickým onemocněním
• 20. osoby žijící v sociálně vyloučených komunitách</t>
  </si>
  <si>
    <t>• dospělí (27 – 64 let)</t>
  </si>
  <si>
    <t>Obec Kvasiny</t>
  </si>
  <si>
    <t xml:space="preserve">Kvasiny 81
517 02 Kvasiny
</t>
  </si>
  <si>
    <t>Pečovatelská služba Kvasiny</t>
  </si>
  <si>
    <t>zřízeno od 1.8.2018, nešela mi dát za rok 2017  celkem 0----počet uživatelů</t>
  </si>
  <si>
    <t>• 12. osoby s jiným zdravotním postižením
• 17. osoby se zdravotním postižením
• 24. senioři</t>
  </si>
  <si>
    <t>Obecný zájem, z.ú.</t>
  </si>
  <si>
    <t xml:space="preserve">Gen. Govorova 575
503 03 Smiřice
</t>
  </si>
  <si>
    <t>Obecný zájem, z.ú. odlehčovací služby pro pečující rodiny ve městě Smiřice a okolí</t>
  </si>
  <si>
    <t>projekt, který byl započat v roce 2017 značně omezený pravidly ESFS, kde byl omezen možný počet klientů v daném roce, kteří využijí službu, dále také počet hodin který jim mohl být poskytnut. Po skončení dvouletého období jsme v září 2019 přešli pod vyrovnávací platby a max. se budme snažit nastavit funkčnost služby tak, aby byl využitelný a prospěšný pečujícím osobám.</t>
  </si>
  <si>
    <t>• 12. osoby s jiným zdravotním postižením
• 15. osoby s tělesným postižením
• 24. senioři</t>
  </si>
  <si>
    <t>Obecný zájem,z..ú.</t>
  </si>
  <si>
    <t>• počet klientů: 85</t>
  </si>
  <si>
    <t>Oblastní charita Červený Kostelec</t>
  </si>
  <si>
    <t xml:space="preserve">5. května 1170
549 41 Červený Kostelec
</t>
  </si>
  <si>
    <t>Charitní pečovatelská služba ČK</t>
  </si>
  <si>
    <t>• počet klientů: 200</t>
  </si>
  <si>
    <t>tísňová péče</t>
  </si>
  <si>
    <t>Tísňová péče při pečovatelské službě</t>
  </si>
  <si>
    <t>• počet klientů: 78</t>
  </si>
  <si>
    <t>Odborná poradna</t>
  </si>
  <si>
    <t>• počet intervencí (30 min. jednání): 2</t>
  </si>
  <si>
    <t>Chráněné bydlení</t>
  </si>
  <si>
    <t>• počet lůžek: 2</t>
  </si>
  <si>
    <t>• 17. osoby se zdravotním postižením</t>
  </si>
  <si>
    <t>Charitní pečovatelská služba Hostinné</t>
  </si>
  <si>
    <t>• počet klientů: 125</t>
  </si>
  <si>
    <t>• 13. osoby s kombinovaným postižením
• 14. osoby s mentálním postižením
• 15. osoby s tělesným postižením
• 24. senioři</t>
  </si>
  <si>
    <t>• starší děti (11 – 15 let)
• mladí dospělí (19 – 26 let)
• dospělí (27 – 64 let)
• mladší senioři (65 – 80 let)
• starší senioři (nad 80 let)</t>
  </si>
  <si>
    <t>Oblastní charita Hradec Králové</t>
  </si>
  <si>
    <t xml:space="preserve">Komenského 266/3
Hradec Králové
500 03 Hradec Králové 3
</t>
  </si>
  <si>
    <t>Domov pro matky s dětmi</t>
  </si>
  <si>
    <t>•  3. oběti domácího násilí
•  6. osoby bez přístřeší</t>
  </si>
  <si>
    <t>Středisko rané péče Sluníčko</t>
  </si>
  <si>
    <t>• počet klientů: 100</t>
  </si>
  <si>
    <t>• 13. osoby s kombinovaným postižením
• 14. osoby s mentálním postižením
• 15. osoby s tělesným postižením
• 18. osoby se zrakovým postižením
• 23. rodiny s dítětem/dětmi</t>
  </si>
  <si>
    <t>noclehárny</t>
  </si>
  <si>
    <t>Noclehárna- Dům Matky Terezy Hradec Králové</t>
  </si>
  <si>
    <t>Kapacita 40 (30 lůžek pro muže a 10 lůžek pro ženy). Zimní období od 1.12. do 31.3.: 70 lůžek (v DMT 30 lůžek pro muže a 20 lůžek pro ženy, ve veřejné části letiště 20 lůžek pro muže) a 20 míst k přenocování mimo lůžko (ve veřejné části letiště 10 míst pro muže a v DMT 10 míst pro ženy). Na adrese: Letiště č.ev. 29, Pouchov, Hradec Králové každoročně od 1.12. do 31.3., PO-NE 20:00-7:00.</t>
  </si>
  <si>
    <t>•  6. osoby bez přístřeší</t>
  </si>
  <si>
    <t>Sociální rehabilitace- Dům Matky Terezy Hradec Králové</t>
  </si>
  <si>
    <t>•  6. osoby bez přístřeší
• 21. osoby, které vedou rizikový způsob života nebo jsou tímto způsobem života ohroženy
• 22. pachatelé trestné činnosti</t>
  </si>
  <si>
    <t>Poradna pro lidi v tísni</t>
  </si>
  <si>
    <t>•  5. oběti trestné činnosti
• 19. osoby v krizi</t>
  </si>
  <si>
    <t>Azylový dům- Dům Matky Terezy Hradec Králové</t>
  </si>
  <si>
    <t>Charitní pečovatelská služba</t>
  </si>
  <si>
    <t>• 10. osoby s chronickým duševním onemocněním
• 17. osoby se zdravotním postižením
• 23. rodiny s dítětem/dětmi
• 24. senioři</t>
  </si>
  <si>
    <t>Poradna Domácí hospicové péče</t>
  </si>
  <si>
    <t>• 11. osoby s chronickým onemocněním
• 17. osoby se zdravotním postižením
• 19. osoby v krizi</t>
  </si>
  <si>
    <t>intervenční centra</t>
  </si>
  <si>
    <t>Intervenční centrum pro osoby ohrožené domácím násilím</t>
  </si>
  <si>
    <t>• počet intervencí (30 min. jednání): 16</t>
  </si>
  <si>
    <t>•  3. oběti domácího násilí</t>
  </si>
  <si>
    <t>oběti domácího násilí</t>
  </si>
  <si>
    <t>nízkoprahová denní centra</t>
  </si>
  <si>
    <t>Denní centrum- Dům Matky Terezy Hradec Králové</t>
  </si>
  <si>
    <t>fázování během dne- lze 30 klientů ráno, dalších 30 odpoledne</t>
  </si>
  <si>
    <t>•  6. osoby bez přístřeší
• 21. osoby, které vedou rizikový způsob života nebo jsou tímto způsobem života ohroženy</t>
  </si>
  <si>
    <t>Oblastní charita Jičín</t>
  </si>
  <si>
    <t xml:space="preserve">Na jihu 553
Nové Město
506 01 Jičín 1
</t>
  </si>
  <si>
    <t>Nízkoprahový klub Pohoda</t>
  </si>
  <si>
    <t>SASanka</t>
  </si>
  <si>
    <t>Nízkoprahový klub Exit</t>
  </si>
  <si>
    <t>Nízkoprahový klub Nová Paka</t>
  </si>
  <si>
    <t>• počet klientů: 105</t>
  </si>
  <si>
    <t>Oblastní charita Náchod</t>
  </si>
  <si>
    <t xml:space="preserve">Mlýnská 189
Náchod
547 01 Náchod 1
</t>
  </si>
  <si>
    <t>Dům na půli cesty</t>
  </si>
  <si>
    <t>• počet lůžek: 11</t>
  </si>
  <si>
    <t>•  6. osoby bez přístřeší
•  7. osoby do 26 let věku opouštějící školská zařízení pro výkon ústavní péče
• 19. osoby v krizi</t>
  </si>
  <si>
    <t>• mladí dospělí (19 – 26 let)</t>
  </si>
  <si>
    <t>SV. ANNA Domov pro matky s dětmi Náchod</t>
  </si>
  <si>
    <t>• počet lůžek: 72</t>
  </si>
  <si>
    <t>Vždy se jedná o součet počtu uživatelek matek a dětí.</t>
  </si>
  <si>
    <t>Oblastní charita Sobotka</t>
  </si>
  <si>
    <t xml:space="preserve">Malé náměstí 2
507 43 Sobotka
</t>
  </si>
  <si>
    <t>charitní pečovatelská služba</t>
  </si>
  <si>
    <t>Domov pokojného stáří Libošovice</t>
  </si>
  <si>
    <t>• počet lůžek: 25</t>
  </si>
  <si>
    <t>Oblastní charita Trutnov</t>
  </si>
  <si>
    <t xml:space="preserve">Dřevařská 332
Poříčí
541 03 Trutnov 3
</t>
  </si>
  <si>
    <t>ZVONEK pro rodinu</t>
  </si>
  <si>
    <t>Charitní ošetřovatelská a pečovatelská služba Trutnov</t>
  </si>
  <si>
    <t>• počet klientů: 39</t>
  </si>
  <si>
    <t>Poradna paliativní a hospicové péče</t>
  </si>
  <si>
    <t>Služba registrována k 1. 3. 2019.</t>
  </si>
  <si>
    <t>• 15. osoby s tělesným postižením
• 17. osoby se zdravotním postižením</t>
  </si>
  <si>
    <t>Oblastní nemocnice Náchod, a. s.</t>
  </si>
  <si>
    <t xml:space="preserve">Purkyňova 446
Náchod
547 01 Náchod 1
</t>
  </si>
  <si>
    <t>Akciová společnost</t>
  </si>
  <si>
    <t>sociální služby poskytované ve zdravotnických zařízeních lůžkové péče</t>
  </si>
  <si>
    <t>Oblastní nemocnice Náchod a.s. - sociální lůžka</t>
  </si>
  <si>
    <t>• počet lůžek: 30</t>
  </si>
  <si>
    <t>počet lůžek - Jaroměř 20, Broumov 10</t>
  </si>
  <si>
    <t>• 11. osoby s chronickým onemocněním
• 12. osoby s jiným zdravotním postižením
• 17. osoby se zdravotním postižením</t>
  </si>
  <si>
    <t>OD5K10, z. s.</t>
  </si>
  <si>
    <t xml:space="preserve">Tylova 373
516 01 Rychnov nad Kněžnou
</t>
  </si>
  <si>
    <t>Občanská poradna Rychnov nad Kněžnou</t>
  </si>
  <si>
    <t>• počet intervencí (30 min. jednání): 5</t>
  </si>
  <si>
    <t>Centrum 5KA</t>
  </si>
  <si>
    <t>•  1. děti a mládež ve věku od 6 do 26 let ohrožené společensky nežádoucími jevy
•  9. osoby ohrožené závislostí nebo závislé na návykových látkách
• 20. osoby žijící v sociálně vyloučených komunitách
• 21. osoby, které vedou rizikový způsob života nebo jsou tímto způsobem života ohroženy
• 25. etnické menšiny</t>
  </si>
  <si>
    <t>• starší děti (11 – 15 let)
• dorost (16 – 18 let)
• mladí dospělí (19 – 26 let)</t>
  </si>
  <si>
    <t>Péče o duševní zdraví, z.s.</t>
  </si>
  <si>
    <t xml:space="preserve">Bělehradská 389
Pardubice II - Polabiny
530 09 Pardubice 9
</t>
  </si>
  <si>
    <t>Sociální rehabilitace Jičín</t>
  </si>
  <si>
    <t>Do nastavení kapacit služby je v případě ambulantní formy započítána okamžitá kapacita služby pro individuální práci s klienty a připočtena je maximální okamžitá kapacita pro práci se skupinou klientů. Maximální denní kapacita vychází z možného počtu plánovaných setkání s klienty při naplnění kapacity individuální práce s klienty a se započtením kapacity pro práci se skupinou.</t>
  </si>
  <si>
    <t>Kapacity terénní služby vycházejí z okamžité kapacity služby a jsou zahrnuty do celkové okamžité kapacity práce týmu sociální služby. Vzhledem k tomu, že organizace nabízí ambulantní a terénní formu poskytování služby jako rovnocennou nabídku pro klienta.</t>
  </si>
  <si>
    <t>Sociální rehabilitace Rychnov nad Kněžnou</t>
  </si>
  <si>
    <t>Sociální rehabiltiace Hradec Králové</t>
  </si>
  <si>
    <t>Do nastavení kapacit služby je v případě ambulantní formy započítána okamžitá kapacita služby pro individuální práci s klienty a připočtena je maximální okamžitá kapacita pro práci se skupinou klientů. Maximální denní kapacita vychází z možného počtu plánovaných setkání s klienty při naplnění kapacity individuální práce s klienty a se započtením kapacity pro práci se skupinou.
Od 1.7.2019 je služba sociální rehabilitace také poskytována v rámci pilotního projektu Zavádění Center duševního zdraví podpořeného Ministerstvem zdravotnictví ČR. Kapacity služby zde uváděné jsou souhrnné a zahrnují tedy i kapacitu, která je určena pro klienty Centra duševního zdraví.</t>
  </si>
  <si>
    <t>Pečovatelská služba Města Dvůr Králové nad Labem</t>
  </si>
  <si>
    <t xml:space="preserve">Elišky Krásnohorské 2962
544 01 Dvůr Králové nad Labem
</t>
  </si>
  <si>
    <t>Noclehárna</t>
  </si>
  <si>
    <t>Dům Žofie</t>
  </si>
  <si>
    <t>Celkový počet uživatelů= počet uživatel využívajících ambulantní, ale k tomu také terénní služby.</t>
  </si>
  <si>
    <t>• počet klientů: 190</t>
  </si>
  <si>
    <t>Maximální okamžitá kapacita o víkendu a od 14,30 hod. v pracovních dnech jsou 2 klienti.
Celkový počet uživatelů je počet uživatel využívajících terénní službu a uživatel využívajících terénní  i ambulantní službu.</t>
  </si>
  <si>
    <t>Pečovatelská služba Trutnov</t>
  </si>
  <si>
    <t xml:space="preserve">Dělnická 161
Horní Předměstí
541 01 Trutnov 1
</t>
  </si>
  <si>
    <t>Ambulantní forma poskytování sociální služby byla registrována dne 20.03.2019.</t>
  </si>
  <si>
    <t>• počet klientů: 350</t>
  </si>
  <si>
    <t>Pečovatelská služba Žacléř</t>
  </si>
  <si>
    <t xml:space="preserve">J. E. Purkyně 229
542 01 Žacléř
</t>
  </si>
  <si>
    <t>V roce 2018 neproběhla u žádného uživatele osobní hygiena ve středisku ,pouze v domácnosti.</t>
  </si>
  <si>
    <t>Perinatální hospic Dítě v srdci, z. s.</t>
  </si>
  <si>
    <t xml:space="preserve">Jiráskovo náměstí 71
517 41 Kostelec nad Orlicí
</t>
  </si>
  <si>
    <t>Perinatální hospic</t>
  </si>
  <si>
    <t>PFERDA z.ú.</t>
  </si>
  <si>
    <t xml:space="preserve">Panská 79
516 01 Rychnov nad Kněžnou
</t>
  </si>
  <si>
    <t>podpora samostatného bydlení</t>
  </si>
  <si>
    <t>Takový normální život</t>
  </si>
  <si>
    <t>Tréninková pekárna Láry Fáry</t>
  </si>
  <si>
    <t>Tréninková kavárna Láry Fáry 2</t>
  </si>
  <si>
    <t>Služba se bude k 1.1. 2020 transformovat na Pferdí trénink Náchod, kdy dojde ke spojení služby tréninkové kavárny (nácvik práce) a tréninkového bytu (nácvik bydlení), služba bude obdobou služby Pferdí trénink Rychnov. Záměr již projednán v rámci Sítě sociálních služeb Královehradeckého kraje. Provozní doba poskytování ambulance/terén pondělí - pátek 8-18h.</t>
  </si>
  <si>
    <t>Pferdí trénink Rychnov</t>
  </si>
  <si>
    <t>Služba se bude k 1.1. 2020 transformovat na Pferdí trénink, kdy dojde ke spojení Tréninkového bytu a Tréninkové kavárny Láry Fáry. Záměr již projednán v rámci Sítě sociálních služeb Královehradeckého kraje. Identifikátor 9818505 bude k 31.12. zrušen. Provozní doba poskytování ambulance/terén pondělí - pátek 8-18h.</t>
  </si>
  <si>
    <t>Pracoviště pečovatelské péče, o.p.s.</t>
  </si>
  <si>
    <t xml:space="preserve">Pražská třída 231/184
Plačice
500 04 Hradec Králové 4
</t>
  </si>
  <si>
    <t>Pracoviště pečovatelské služby, o.p.s.</t>
  </si>
  <si>
    <t>• počet klientů: 11</t>
  </si>
  <si>
    <t>PROINTEPO - Střední škola, Základní škola a Mateřská škola s.r.o.</t>
  </si>
  <si>
    <t xml:space="preserve">Hrubínova 1458/1
Pražské Předměstí
500 02 Hradec Králové 2
</t>
  </si>
  <si>
    <t>Společnost s ručením omezeným</t>
  </si>
  <si>
    <t>• 11. osoby s chronickým onemocněním
• 13. osoby s kombinovaným postižením
• 14. osoby s mentálním postižením
• 15. osoby s tělesným postižením
• 17. osoby se zdravotním postižením</t>
  </si>
  <si>
    <t>PRO-SEN sociálně zdravotní služby, o. p. s.</t>
  </si>
  <si>
    <t xml:space="preserve">Na Drahách 1826
516 01 Rychnov nad Kněžnou
</t>
  </si>
  <si>
    <t>Domovinka</t>
  </si>
  <si>
    <t>• 10. osoby s chronickým duševním onemocněním
• 17. osoby se zdravotním postižením
• 24. senioři</t>
  </si>
  <si>
    <t>• počet klientů: 24</t>
  </si>
  <si>
    <t>• počet klientů: 370</t>
  </si>
  <si>
    <t>PROSTOR PRO, o.p.s.</t>
  </si>
  <si>
    <t xml:space="preserve">Čajkovského 1861/46a
Nový Hradec Králové
500 09 Hradec Králové 9
</t>
  </si>
  <si>
    <t>NZDM KLÍDEK</t>
  </si>
  <si>
    <t>Maximální denní kapacitu počtu uživatelů neevidujeme.</t>
  </si>
  <si>
    <t>•  1. děti a mládež ve věku od 6 do 26 let ohrožené společensky nežádoucími jevy
• 21. osoby, které vedou rizikový způsob života nebo jsou tímto způsobem života ohroženy</t>
  </si>
  <si>
    <t>Salesiánský klub mládeže, z. s. Centrum Don Bosco</t>
  </si>
  <si>
    <t xml:space="preserve">Zborovské náměstí 2018
Pardubice V - Zelené Předměstí
530 02 Pardubice 2
</t>
  </si>
  <si>
    <t>Pobočný spolek</t>
  </si>
  <si>
    <t>Sociální rehabilitace Doprovázení</t>
  </si>
  <si>
    <t>Údaje za rok 2018 jsou uvedeny za celou službu. Z uvedeného počtu 50 uživatelů jich bylo 35 z Pardubického kraje a 15 z Královéhradeckého kraje. Údaje za rok 2019 jsou opět uvedeny za celou službu. Kvalifikovaný odhad klientů v jednotlivých krajích pro rok 2019 je následující: Pardubický kraj – 35, Královéhradecký kraj – 15.
Plánované údaje pro dotovaný rok 2020 se vztahují k poskytování sociální služby v Pardubickém kraji a Královéhradeckém kraji v souladu s uvedenými podíly působnosti a
plánovanými úvazky v přímé práci (70 % Pardubický kraj= 45 klientů, 30 % Královéhradecký kraj= 20 klientů). Při plánování kapacity počítáme s optimálním poměrem 10 klientů na 1,0 úvazku v přímé práci. V žádosti uvádíme souhrnný plánovaný počet klientů, který činí 65 osob (součet pro oba kraje). Při rozdělení klientů mezi ambulantní a terénní formu poskytování služby vycházíme z naší praxe, kdy všem našim klientům poskytujeme službu jak terénní, tak ambulantní formou.</t>
  </si>
  <si>
    <t>•  1. děti a mládež ve věku od 6 do 26 let ohrožené společensky nežádoucími jevy
•  7. osoby do 26 let věku opouštějící školská zařízení pro výkon ústavní péče</t>
  </si>
  <si>
    <t>osoby do 26 let věku opouštějící školská zařízení pro výkon ústavní péče</t>
  </si>
  <si>
    <t>Salinger, z.s.</t>
  </si>
  <si>
    <t xml:space="preserve">Gočárova třída 760/22
Hradec Králové
500 02 Hradec Králové 2
</t>
  </si>
  <si>
    <t>Centrum Semafor</t>
  </si>
  <si>
    <t>• počet intervencí (30 min. jednání): 15</t>
  </si>
  <si>
    <t>• počet intervencí (30 min. jednání): 40</t>
  </si>
  <si>
    <t>NZDM Modrý pomeranč</t>
  </si>
  <si>
    <t>• počet klientů: 57
• počet kontaktů (10 min jednání): 90</t>
  </si>
  <si>
    <t>• počet klientů: 15
• počet kontaktů (10 min jednání): 24</t>
  </si>
  <si>
    <t>•  1. děti a mládež ve věku od 6 do 26 let ohrožené společensky nežádoucími jevy
• 21. osoby, které vedou rizikový způsob života nebo jsou tímto způsobem života ohroženy
• 25. etnické menšiny</t>
  </si>
  <si>
    <t>Triangl</t>
  </si>
  <si>
    <t>Maximální okamžitá kapacita vychází z prostorových možností organizace, v jednu chvíli můžou konzultace probíhat v konzultační místnosti (s 5 uživateli z jedné rodiny) v kancelářích sociálních pracovníků (2 x 2 uživatelé z jedné rodiny) a  v kanceláři vedoucí služby (3 uživatelé z jedné rodiny) - okamžitá kapacita je tedy 17 uživatelů v jeden čas. 
U maximální denní kapacity počítáme s hodnotou  5 uživatelů (uvažujeme o maximální možné kapacitě - tedy za podmínek, že všechny intervence budou probíhat pouze v konzultační místnosti) a vynásobíme je počtem možných intervencí tedy číslem 12. Konečné číslo je tedy 60.
Klient se může sám rozhodnout, zda využije ambulantní nebo terénní formu služby. Statistiky zde uvedené ukazují, kolik klientů se rozhodlo v daném roce využít danou formu služby. Je možné, že jeden klient využil v jednom roce jak ambulantní, tak i terénní formu služby a je tak započítán v obou statistikách. Naprostá většina klientů je ale primárně terénních, a tak konečné číslo klientů, s kterými celkově bez ohledu zda je to v ambulanci nebo v terénu spolupracujeme, je téměř shodné s počtem klientů v terénní formě. Počet klientů v ambulantní formě jsou většinou ti, kteří využívají terénní formu a výjimečně se jim poskytne i ambulantní forma sociální služby.</t>
  </si>
  <si>
    <t>• počet intervencí (30 min. jednání): 32</t>
  </si>
  <si>
    <t>Maximální okamžitá kapacita je spočítána ze situace, kdy můžeme odhadovat, že budeme mít všechny rodiny pětičlenné, v jednu chvíli se jim může věnovat 7 pracovníků, což je dohromady 35 uživatelů služby za předpokladu, že uživatelem služby je dle smlouvy 5 členů rodiny. 
U maximální denní kapacity je počítáno opět, že v jednu chvíli můžeme pracovat s 5 uživateli služby, počet intervencí je stanoven na 32, tím pádem je kapacita stanovena na 160 uživatelů.
Klient se může sám rozhodnout, zda využije ambulantní nebo terénní formu služby. Statistiky zde uvedené ukazují, kolik klientů se rozhodlo v daném roce využít danou formu služby. Je možné, že jeden klient využil v jednom roce jak ambulantní, tak i terénní formu služby a je tak započítán v obou statistikách. Naprostá většina klientů je ale primárně terénních, a tak konečné číslo klientů, s kterými celkově bez ohledu zda je to v ambulanci nebo v terénu spolupracujeme, je téměř shodné s počtem klientů v terénní formě. Počet klientů v ambulantní formě jsou většinou ti, kteří využívají terénní formu a výjimečně se jim poskytne i ambulantní forma sociální služby.</t>
  </si>
  <si>
    <t>Sdružení Neratov, z.s.</t>
  </si>
  <si>
    <t xml:space="preserve">Bartošovice v Orlických horách 84
517 61 Rokytnice v Orl.horách
</t>
  </si>
  <si>
    <t>Sdružení Neratov,z.s, Denní stacionář Lávka</t>
  </si>
  <si>
    <t>Od 1.11.2019 do 31.8.2020 bude snížená kapacita na 5 uživatelů.</t>
  </si>
  <si>
    <t>• 13. osoby s kombinovaným postižením
• 14. osoby s mentálním postižením
• 15. osoby s tělesným postižením
• 16. osoby se sluchovým postižením
• 17. osoby se zdravotním postižením
• 18. osoby se zrakovým postižením</t>
  </si>
  <si>
    <t>chráněné bydlení Domov</t>
  </si>
  <si>
    <t>Sdružení ozdravoven a léčeben okresu Trutnov</t>
  </si>
  <si>
    <t xml:space="preserve">Procházkova 818
Střední Předměstí
541 01 Trutnov 1
</t>
  </si>
  <si>
    <t>Nízkoprahové zařízení pro děti a mládež - RIAPS-Shelter</t>
  </si>
  <si>
    <t>Manželská a rodinná poradna</t>
  </si>
  <si>
    <t>Maximální denní kapacita nelze stanovit jedním číslem, neboť se různě střídají dlouhé a krátké pracovní dny kolegů. Tzn.že v pondělí je např. kapacita 11, v pátek 6.
Pokles počtu intervencí je dán dlouhobou absencí odborného poradce v týmu, výběrové řízení na tuto pozici bylo vypsáno od jara 2019, pozice se obsadí od ledna 2020. Po celý rok se nepřihlásil jediný zájemce o vypsanou pracovní pozici.</t>
  </si>
  <si>
    <t>Stacionář RIAPS</t>
  </si>
  <si>
    <t>Celkový počet uživatelů služby za předminulý rok k dotovanému roku - 139 klientů.
Z toho 21 uživatelů využívalo ambulantní formu služby.
Dalších 80 uživatelů využívalo ambulantní formu služby v kombinaci s formou terénní. 
Terénní formu služby využívalo 38 klientů.
Předpoklad počtu uživatelů za minulý rok k dotovanému roku - 140 klientů.
Z toho 23 uživatelů využívá služby ambulantní formy.
Dalších 50 formu terénní. 
A 67  uživatelů využívá kombinaci služby ambulantní a terénní.</t>
  </si>
  <si>
    <t>Kontaktní centrum</t>
  </si>
  <si>
    <t>SeneCura SeniorCentrum HŠH a.s.</t>
  </si>
  <si>
    <t xml:space="preserve">Ke Smíchovu 1144/144
Slivenec
154 00 Praha 514
</t>
  </si>
  <si>
    <t>• 12. osoby s jiným zdravotním postižením
• 24. senioři</t>
  </si>
  <si>
    <t>• počet lůžek: 73</t>
  </si>
  <si>
    <t>Služby Dolní Kalná, okres Trutnov</t>
  </si>
  <si>
    <t xml:space="preserve">Dolní Kalná 178
543 74 Dolní Kalná
</t>
  </si>
  <si>
    <t>Sociální služby města Hořice</t>
  </si>
  <si>
    <t xml:space="preserve">Riegrova 2111
Hořice
508 01 Hořice v Podkrkonoší
</t>
  </si>
  <si>
    <t>domov se zvláštním režimem</t>
  </si>
  <si>
    <t>• počet lůžek: 50</t>
  </si>
  <si>
    <t>max. denní kapacita je bez dovozu obědů</t>
  </si>
  <si>
    <t>Sociální služby města Jičína</t>
  </si>
  <si>
    <t xml:space="preserve">Hofmanova 574
Nové Město
506 01 Jičín 1
</t>
  </si>
  <si>
    <t>• počet klientů: 285</t>
  </si>
  <si>
    <t>• počet lůžek: 61</t>
  </si>
  <si>
    <t>• počet lůžek: 12</t>
  </si>
  <si>
    <t>Azylové domy</t>
  </si>
  <si>
    <t>• počet lůžek: 14</t>
  </si>
  <si>
    <t>Denní stacionář Domovinka</t>
  </si>
  <si>
    <t>Sociální služby Města Opočna</t>
  </si>
  <si>
    <t xml:space="preserve">Tyršova 683
517 73 Opočno
</t>
  </si>
  <si>
    <t>Domov pro seniory Jitřenka</t>
  </si>
  <si>
    <t>• počet lůžek: 35</t>
  </si>
  <si>
    <t>Sociální služby obce Chomutice - Domov pro seniory</t>
  </si>
  <si>
    <t xml:space="preserve">Obora 11
Chomutice
508 01 Hořice v Podkrkonoší
</t>
  </si>
  <si>
    <t>• počet lůžek: 37</t>
  </si>
  <si>
    <t>Spokojený domov, o.p.s.</t>
  </si>
  <si>
    <t xml:space="preserve">Na Návsi 44
Veselá
295 01 Mnichovo Hradiště
</t>
  </si>
  <si>
    <t>• 10. osoby s chronickým duševním onemocněním
• 13. osoby s kombinovaným postižením
• 14. osoby s mentálním postižením
• 15. osoby s tělesným postižením
• 17. osoby se zdravotním postižením</t>
  </si>
  <si>
    <t>Společné cesty - z.s.</t>
  </si>
  <si>
    <t xml:space="preserve">Hurdálkova 147
Náchod
547 01 Náchod 1
</t>
  </si>
  <si>
    <t>Občanské sdružení</t>
  </si>
  <si>
    <t>• 10. osoby s chronickým duševním onemocněním
• 11. osoby s chronickým onemocněním
• 12. osoby s jiným zdravotním postižením
• 13. osoby s kombinovaným postižením
• 14. osoby s mentálním postižením
• 15. osoby s tělesným postižením
• 16. osoby se sluchovým postižením
• 17. osoby se zdravotním postižením
• 18. osoby se zrakovým postižením
• 24. senioři</t>
  </si>
  <si>
    <t>Stacionář Cesta Náchod z.ú.</t>
  </si>
  <si>
    <t xml:space="preserve">Vítkova 3
Běloves
547 01 Náchod 1
</t>
  </si>
  <si>
    <t>• 13. osoby s kombinovaným postižením
• 14. osoby s mentálním postižením
• 15. osoby s tělesným postižením
• 17. osoby se zdravotním postižením</t>
  </si>
  <si>
    <t>denní stacionář</t>
  </si>
  <si>
    <t>• počet klientů: 17</t>
  </si>
  <si>
    <t>Stacionář mezi mosty Trutnov</t>
  </si>
  <si>
    <t xml:space="preserve">Náchodská 359
Dolní Předměstí
541 01 Trutnov 1
</t>
  </si>
  <si>
    <t>• 10. osoby s chronickým duševním onemocněním
• 13. osoby s kombinovaným postižením
• 14. osoby s mentálním postižením
• 24. senioři</t>
  </si>
  <si>
    <t>Středisko sociálních služeb Chlumec nad Cidlinou o.p.s.</t>
  </si>
  <si>
    <t xml:space="preserve">Palackého 310
Chlumec nad Cidlinou III
503 51 Chlumec nad Cidlinou
</t>
  </si>
  <si>
    <t>TyfloCentrum Hradec Králové, o.p.s.</t>
  </si>
  <si>
    <t xml:space="preserve">Okružní 1135/15
Hradec Králové
500 03 Hradec Králové 3
</t>
  </si>
  <si>
    <t>sociálně aktivizační služby pro zrakově postižené</t>
  </si>
  <si>
    <t>Řada uživatelů využívá jak ambulantní, tak terénní formu služby, dle potřeby. Počet uživatelů, fyzických osob, je ke dni podání žádosti: 53 osob.
Při ambulantních činnostech lze zajistit až 12 uživatelů denně - limitováno kaacitou prostor. Při terénních aktivitách lze zajistit až 30 uživatelů denně.</t>
  </si>
  <si>
    <t>• 18. osoby se zrakovým postižením</t>
  </si>
  <si>
    <t>osoby se zrakovým postižením</t>
  </si>
  <si>
    <t>základní a odborné poradenství pro zrakově postižené</t>
  </si>
  <si>
    <t>• počet intervencí (30 min. jednání): 4</t>
  </si>
  <si>
    <t>V roce 2018 proběhlo 973 intervencí s uživateli a 31 se zájemci.</t>
  </si>
  <si>
    <t>V roce 2018 proběhlo 144 intervencí s uživateli a 8 jednání se zájemci.</t>
  </si>
  <si>
    <t>průvodcovské a předčitatelské služby</t>
  </si>
  <si>
    <t>Řada uživatelů využívá jak ambulantní, tak terénní formu služby, dle potřeby. Celkový počet uživatelů služby, fyzických osob, je ke dni podání žádosti 31 osob.</t>
  </si>
  <si>
    <t>sociální rehabilitace pro zrakově postižené</t>
  </si>
  <si>
    <t>Řada uživatelů využívá jak ambulantní, tek terénní formu služby, dle potřeby. Celkový počet uživatelů služby, fyzických osob, je ke dni podání žádosti 36 osob.</t>
  </si>
  <si>
    <t>V roce 2018 proběhlo 48 intervencí s uživateli, 20 se zájemci a 116 v oblasti řešení architekt. a info. bariér.</t>
  </si>
  <si>
    <t>V roce 2018 proběhlo 6 intervencí s uživateli, 194 jednání se zájemci (na Oční klinice Fakultní nemocnice Hradec Králové) a 31 intervencí v oblasti řešení architekt. a info. bariér.</t>
  </si>
  <si>
    <t>V roce 2018 proběhlo 124 intervencí s uživateli.</t>
  </si>
  <si>
    <t>V roce 2018 proběhlo 6 jednání se zájemci o službu.</t>
  </si>
  <si>
    <t>Ústav sociální péče pro mládež DOMEČKY</t>
  </si>
  <si>
    <t xml:space="preserve">Jiráskova 1612
516 01 Rychnov nad Kněžnou
</t>
  </si>
  <si>
    <t>Ústav sociální péče pro mládež Domečky</t>
  </si>
  <si>
    <t>• počet lůžek: 99</t>
  </si>
  <si>
    <t>Ústav sociální péče pro mládež Kvasiny</t>
  </si>
  <si>
    <t xml:space="preserve">Kvasiny 340
517 02 Kvasiny
</t>
  </si>
  <si>
    <t>Ústav sociálních služeb města Nové Paky</t>
  </si>
  <si>
    <t xml:space="preserve">Svatojánská 494
509 01 Nová Paka
</t>
  </si>
  <si>
    <t>• počet lůžek: 65</t>
  </si>
  <si>
    <t>• počet klientů: 130</t>
  </si>
  <si>
    <t>Ústav sociálních služeb Milíčeves</t>
  </si>
  <si>
    <t xml:space="preserve">Milíčeves 1
Slatiny
506 01 Jičín 1
</t>
  </si>
  <si>
    <t>• počet lůžek: 68</t>
  </si>
  <si>
    <t>Věra Kosinová - Daneta, zařízení pro zdravotně postižené</t>
  </si>
  <si>
    <t xml:space="preserve">Prodloužená 226
Pardubice II - Polabiny
530 09 Pardubice 9
</t>
  </si>
  <si>
    <t>ASISTENČNÍ SLUŽBA DANETA</t>
  </si>
  <si>
    <t>• 13. osoby s kombinovaným postižením
• 14. osoby s mentálním postižením
• 17. osoby se zdravotním postižením
• 18. osoby se zrakovým postižením</t>
  </si>
  <si>
    <t>CHRÁNĚNÉ BYDLENÍ DANETA</t>
  </si>
  <si>
    <t>• 13. osoby s kombinovaným postižením
• 14. osoby s mentálním postižením
• 16. osoby se sluchovým postižením
• 17. osoby se zdravotním postižením
• 18. osoby se zrakovým postižením</t>
  </si>
  <si>
    <t>DENNÍ STACIONÁŘ DANETA</t>
  </si>
  <si>
    <t>• počet klientů: 41</t>
  </si>
  <si>
    <t>Začít spolu z.s.</t>
  </si>
  <si>
    <t xml:space="preserve">třída Soukenická 16
Olivětín
550 01 Broumov 1
</t>
  </si>
  <si>
    <t>KOMUNITNÍ CENTRUM</t>
  </si>
  <si>
    <t>Služba může být sjednána u ambulantní a terénní formy služby celkem max,110 klientů-členů rodin.</t>
  </si>
  <si>
    <t>Maximální denní kapacita uživatelů služby je 5 rodin.</t>
  </si>
  <si>
    <t>• 20. osoby žijící v sociálně vyloučených komunitách
• 23. rodiny s dítětem/dětmi
• 25. etnické menšiny</t>
  </si>
  <si>
    <t>Život bez bariér, z.ú.</t>
  </si>
  <si>
    <t xml:space="preserve">Lomená 533
509 01 Nová Paka
</t>
  </si>
  <si>
    <t>Kapacita služby byla byla navýšena v souladu se Střednědobým plánem rozvoje sociálních služeb města Nová Paka na období 2018-2020.</t>
  </si>
  <si>
    <t>Kapacita služby je v souladu se Střednědobým plánem rozvoje sociálních služeb města Nová Paka.</t>
  </si>
  <si>
    <t>Odborné sociální poradenství</t>
  </si>
  <si>
    <t>• 10. osoby s chronickým duševním onemocněním
• 13. osoby s kombinovaným postižením
• 14. osoby s mentálním postižením
• 15. osoby s tělesným postižením
• 19. osoby v krizi
• 24. senioři</t>
  </si>
  <si>
    <t>Život Hradec Králové, o. p. s.</t>
  </si>
  <si>
    <t xml:space="preserve">třída Edvarda Beneše 1747/1
Nový Hradec Králové
500 12 Hradec Králové 12
</t>
  </si>
  <si>
    <t>Servis domácí péče - pečovatelská služba</t>
  </si>
  <si>
    <t>• počet klientů: 175</t>
  </si>
  <si>
    <t>používáme informační systém Orion</t>
  </si>
  <si>
    <t>Tísňová péče pro seniory a zdravotně postižené občany</t>
  </si>
  <si>
    <t>Převažují uživatelé starší 85 let, více než 90 % uživatelů používá tísňovu péči do konce života, a proto nevyžaduje umístění do ústavních zařízení.</t>
  </si>
  <si>
    <t>• 11. osoby s chronickým onemocněním
• 12. osoby s jiným zdravotním postižením
• 13. osoby s kombinovaným postižením
• 15. osoby s tělesným postižením
• 16. osoby se sluchovým postižením
• 17. osoby se zdravotním postižením
• 18. osoby se zrakovým postižením
• 24. senioři</t>
  </si>
  <si>
    <t>Kód KP</t>
  </si>
  <si>
    <t>Identifikátor</t>
  </si>
  <si>
    <t>Poskytovatel</t>
  </si>
  <si>
    <t>Regionalita</t>
  </si>
  <si>
    <t>Působnost</t>
  </si>
  <si>
    <t>Cílová skupina</t>
  </si>
  <si>
    <t xml:space="preserve">Přímý personál </t>
  </si>
  <si>
    <t xml:space="preserve">Personál na pozici sociální pracovník </t>
  </si>
  <si>
    <t xml:space="preserve">Personál na pozici pracovník v soc. službách </t>
  </si>
  <si>
    <t xml:space="preserve">Zdravotnický pracovník </t>
  </si>
  <si>
    <t xml:space="preserve">Pedagogický pracovník nebo další odborný </t>
  </si>
  <si>
    <t>Kapacita počet lůžek</t>
  </si>
  <si>
    <t>Kapacita počet uživatelů/ intervencí</t>
  </si>
  <si>
    <t>Kapacita počet uživatelů v jeden okamžik</t>
  </si>
  <si>
    <t>Kapapcita - počet výjezdních jednotek</t>
  </si>
  <si>
    <t>Datum změny</t>
  </si>
  <si>
    <t>37_HrKr_OKR_NAVL_0_0_0_0</t>
  </si>
  <si>
    <t>§ 37 - Odborné sociální poradenství</t>
  </si>
  <si>
    <t>Laxus z.ú.</t>
  </si>
  <si>
    <t>OKR</t>
  </si>
  <si>
    <t>HrKr</t>
  </si>
  <si>
    <t>NAVL</t>
  </si>
  <si>
    <t>37_Nach_OKR_NAVL_0_0_0_0</t>
  </si>
  <si>
    <t>Nach</t>
  </si>
  <si>
    <t>37_Rych_OKR_CHRN_0_0_0_0</t>
  </si>
  <si>
    <t>Rych</t>
  </si>
  <si>
    <t>CHRN|KRIS</t>
  </si>
  <si>
    <t>37_Jici_OKR_ZRAK_0_0_0_0</t>
  </si>
  <si>
    <t>Základní a odborné poradenství pro zrakově postižené</t>
  </si>
  <si>
    <t>TyfloCentrum Hradec Králové, o. p. s.</t>
  </si>
  <si>
    <t>Jici</t>
  </si>
  <si>
    <t>ZRAK</t>
  </si>
  <si>
    <t>37_Jici_OKR_CHRN_0_0_0_0</t>
  </si>
  <si>
    <t>Domácí hospic Duha, o. p. s.</t>
  </si>
  <si>
    <t>37_Trut_OKR_CHRN_0_0_0_0</t>
  </si>
  <si>
    <t>Trut</t>
  </si>
  <si>
    <t>37_HrKr_OKR_KRIS_0_0_0_0</t>
  </si>
  <si>
    <t>Poradna pro lidi v tísni Hradec Králové</t>
  </si>
  <si>
    <t>OTCI|KRIS</t>
  </si>
  <si>
    <t>37_Nach_OKR_KRIS_0_0_0_0</t>
  </si>
  <si>
    <t>ZNZP|OTCI|KRIS</t>
  </si>
  <si>
    <t>37_Rych_OKR_KRIS_0_0_0_0</t>
  </si>
  <si>
    <t>37_HrKr_OKR_DMRO_0_0_0_0</t>
  </si>
  <si>
    <t>DMRO|OTCI</t>
  </si>
  <si>
    <t>Centrum pro rodinu - OSP</t>
  </si>
  <si>
    <t>ZNZP|KRIS</t>
  </si>
  <si>
    <t>37_HrKr_OKR_OTCI_0_0_0_0</t>
  </si>
  <si>
    <t>37_KHKr_KHK_IMIG_0_0_0_0</t>
  </si>
  <si>
    <t>KHK</t>
  </si>
  <si>
    <t>KHKr</t>
  </si>
  <si>
    <t>IMIG</t>
  </si>
  <si>
    <t>37_HrKr_OKR_ZRAK_0_0_0_0</t>
  </si>
  <si>
    <t>37_Nach_OKR_DMRO_0_0_0_0</t>
  </si>
  <si>
    <t>37_HrKr_OKR_CHRN_0_0_0_0</t>
  </si>
  <si>
    <t>Poradna Domácí hospicové péče Hradec Králové</t>
  </si>
  <si>
    <t>CHRN</t>
  </si>
  <si>
    <t>37_Rych_OKR_DMRO_0_0_0_0</t>
  </si>
  <si>
    <t>Manželská a rodinná poradna Rychnov n.Kn.</t>
  </si>
  <si>
    <t>37_KHKr_KHK_CHRN_0_0_0_0</t>
  </si>
  <si>
    <t>37_HrKr_OKR_ZDRP_0_0_0_0</t>
  </si>
  <si>
    <t>SENI|CHRN|DUSO|ZDRP</t>
  </si>
  <si>
    <t>37_Jici_OKR_ZDRP_0_0_0_0</t>
  </si>
  <si>
    <t>37_Nach_OKR_ZDRP_0_0_0_0</t>
  </si>
  <si>
    <t>37_Rych_OKR_ZDRP_0_0_0_0</t>
  </si>
  <si>
    <t>37_Trut_OKR_ZDRP_0_0_0_0</t>
  </si>
  <si>
    <t>37_Nach_OKR_ZRAK_0_0_0_0</t>
  </si>
  <si>
    <t>Občanská poradna Jaroměř</t>
  </si>
  <si>
    <t>37_Trut_OKR_KRIS_0_0_0_0</t>
  </si>
  <si>
    <t>Občanská poradna Dvůr Králové nad Labem</t>
  </si>
  <si>
    <t>37_KHKr_KHK_ZDRP_0_0_0_0</t>
  </si>
  <si>
    <t>Křesadlo HK - centrum pomoci lidem s PAS, z. ú.</t>
  </si>
  <si>
    <t>ZDRP</t>
  </si>
  <si>
    <t>37_Trut_OKR_DMRO_0_0_0_0</t>
  </si>
  <si>
    <t>37_Jici_OKR_KRIS_0_0_0_0</t>
  </si>
  <si>
    <t>Život bez bariér, z.ú</t>
  </si>
  <si>
    <t>Život bez bariér, z. ú.</t>
  </si>
  <si>
    <t>SENI|CHRN|DUSO|ZDRP|KRIS</t>
  </si>
  <si>
    <t>Občanská poradna Hořice</t>
  </si>
  <si>
    <t>37_HrKr_OKR_SLUH_0_0_0_0</t>
  </si>
  <si>
    <t>Poradenství</t>
  </si>
  <si>
    <t>Hradecké centrum pro osoby se sluchovým postižením o.p.s.</t>
  </si>
  <si>
    <t>SLUH</t>
  </si>
  <si>
    <t>37_Jici_OKR_DMRO_0_0_0_0</t>
  </si>
  <si>
    <t>37_KHKr_KHK_KRIS_0_0_0_0</t>
  </si>
  <si>
    <t>KRIS</t>
  </si>
  <si>
    <t>39_Jici_PO3_ZDRP_0_0_0_0</t>
  </si>
  <si>
    <t>§ 39 - Osobní asistence</t>
  </si>
  <si>
    <t>PO3</t>
  </si>
  <si>
    <t>SENI|ZDRP</t>
  </si>
  <si>
    <t>39_Vrch_PO3_ZDRP_0_0_0_0</t>
  </si>
  <si>
    <t>Vrch</t>
  </si>
  <si>
    <t>39_Dobr_PO3_ZDRP_0_0_0_0</t>
  </si>
  <si>
    <t>Centrum Orion</t>
  </si>
  <si>
    <t>Dobr</t>
  </si>
  <si>
    <t>39_Rych_PO3_ZDRP_0_0_0_0</t>
  </si>
  <si>
    <t>39_Dvur_PO3_ZDRP_0_0_0_0</t>
  </si>
  <si>
    <t>Dvur</t>
  </si>
  <si>
    <t>39_HrKr_PO3_ZDRP_0_0_0_0</t>
  </si>
  <si>
    <t>39_Nach_PO3_ZDRP_0_0_0_0</t>
  </si>
  <si>
    <t>39_NovM_PO3_ZDRP_0_0_0_0</t>
  </si>
  <si>
    <t>NovM</t>
  </si>
  <si>
    <t>39_Hori_PO3_ZDRP_0_0_0_0</t>
  </si>
  <si>
    <t>Sportem proti bariérám, z.s.</t>
  </si>
  <si>
    <t>Sportem proti bariérám, z. s.</t>
  </si>
  <si>
    <t>Hori</t>
  </si>
  <si>
    <t>39_NoPa_PO3_ZDRP_0_0_0_0</t>
  </si>
  <si>
    <t>NoPa</t>
  </si>
  <si>
    <t>Apropo Jičín, o. p. s.</t>
  </si>
  <si>
    <t>39_Trut_PO3_ZDRP_0_0_0_0</t>
  </si>
  <si>
    <t>Středisko osobní asistence Hradecko</t>
  </si>
  <si>
    <t>39_Jaro_PO3_ZDRP_0_0_0_0</t>
  </si>
  <si>
    <t>Jaro</t>
  </si>
  <si>
    <t>39_Kost_PO3_ZDRP_0_0_0_0</t>
  </si>
  <si>
    <t>Kost</t>
  </si>
  <si>
    <t>39_Nach_PO3_SENI_0_0_0_0</t>
  </si>
  <si>
    <t>Bude přidělen</t>
  </si>
  <si>
    <t>40_Dvur_PO2_SENI_0_0_0_0</t>
  </si>
  <si>
    <t>§ 40 - Pečovatelská služba</t>
  </si>
  <si>
    <t>PO2</t>
  </si>
  <si>
    <t>40_Kost_PO2_SENI_0_0_0_0</t>
  </si>
  <si>
    <t>SENI|MENT|SLUH|ZDRP|ZRAK</t>
  </si>
  <si>
    <t>40_Tyni_PO2_SENI_0_0_0_0</t>
  </si>
  <si>
    <t>Tyni</t>
  </si>
  <si>
    <t>ZDRP|SENI|MENT|SLUH|ZRAK</t>
  </si>
  <si>
    <t>40_Jici_PO2_SENI_0_0_0_0</t>
  </si>
  <si>
    <t>Sociální služby města Jičína, Pečovatelská služba</t>
  </si>
  <si>
    <t>DMRO|SENI|ZDRP</t>
  </si>
  <si>
    <t>40_Sobo_PO2_SENI_0_0_0_0</t>
  </si>
  <si>
    <t>Oblastní charita Sobotka - Charitní pečovatelská služba</t>
  </si>
  <si>
    <t>Sobo</t>
  </si>
  <si>
    <t>40_Poli_PO2_SENI_0_0_0_0</t>
  </si>
  <si>
    <t>Město Police nad Metují - pečovatelská služba</t>
  </si>
  <si>
    <t>Poli</t>
  </si>
  <si>
    <t>40_Dobr_PO2_SENI_0_0_0_0</t>
  </si>
  <si>
    <t>40_Tepl_PO2_SENI_0_0_0_0</t>
  </si>
  <si>
    <t>Tepl</t>
  </si>
  <si>
    <t>40_HrKr_PO2_SENI_0_0_0_0</t>
  </si>
  <si>
    <t>Život Hradec Králové, o.p.s.</t>
  </si>
  <si>
    <t>Pracoviště pečovatelské péče, o. p. s.</t>
  </si>
  <si>
    <t>SENI</t>
  </si>
  <si>
    <t>40_Cerv_PO2_SENI_0_0_0_0</t>
  </si>
  <si>
    <t>Charitní pečovatelská služba Červený Kostelec</t>
  </si>
  <si>
    <t>Cerv</t>
  </si>
  <si>
    <t>40_Jaro_PO2_SENI_0_0_0_0</t>
  </si>
  <si>
    <t>40_OpoC_PO2_SENI_0_0_0_0</t>
  </si>
  <si>
    <t>OpoC</t>
  </si>
  <si>
    <t>40_Svob_PO2_SENI_0_0_0_0</t>
  </si>
  <si>
    <t>Svob</t>
  </si>
  <si>
    <t>40_NoPa_PO2_SENI_0_0_0_0</t>
  </si>
  <si>
    <t>DMRO|SENI|CHRN|DUSO|ZDRP</t>
  </si>
  <si>
    <t>40_Trut_PO2_SENI_0_0_0_0</t>
  </si>
  <si>
    <t>40_Upic_PO2_SENI_0_0_0_0</t>
  </si>
  <si>
    <t>Upic</t>
  </si>
  <si>
    <t>40_Brou_PO2_SENI_0_0_0_0</t>
  </si>
  <si>
    <t>Brou</t>
  </si>
  <si>
    <t>40_Vrch_PO2_SENI_0_0_0_0</t>
  </si>
  <si>
    <t>40_Hori_PO2_SENI_0_0_0_0</t>
  </si>
  <si>
    <t>40_Roky_PO2_SENI_0_0_0_0</t>
  </si>
  <si>
    <t>Roky</t>
  </si>
  <si>
    <t>Dům s pečovatelskou službou</t>
  </si>
  <si>
    <t>40_Chlu_PO2_SENI_0_0_0_0</t>
  </si>
  <si>
    <t>Chlu</t>
  </si>
  <si>
    <t>Charitní pečovatelská služba Hradec Králové</t>
  </si>
  <si>
    <t>40_Treb_PO2_SENI_0_0_0_0</t>
  </si>
  <si>
    <t>Treb</t>
  </si>
  <si>
    <t>40_Nach_PO2_SENI_0_0_0_0</t>
  </si>
  <si>
    <t>Charitní pečovatelská služba Náchod</t>
  </si>
  <si>
    <t>40_CesS_PO2_SENI_0_0_0_0</t>
  </si>
  <si>
    <t>CesS</t>
  </si>
  <si>
    <t>40_Hron_PO2_SENI_0_0_0_0</t>
  </si>
  <si>
    <t>Pečovatelská služba Hronov</t>
  </si>
  <si>
    <t>Hron</t>
  </si>
  <si>
    <t>Město Jaroměř Pečovatelská služba</t>
  </si>
  <si>
    <t>40_Rych_PO2_SENI_0_0_0_0</t>
  </si>
  <si>
    <t>Sociální služby města Rychnov nad Kněžnou o. p. s.</t>
  </si>
  <si>
    <t>PRO-SEN sociálně zdravotní služby, o.p.s.</t>
  </si>
  <si>
    <t>40_Lazn_PO2_SENI_0_0_0_0</t>
  </si>
  <si>
    <t>Lazn</t>
  </si>
  <si>
    <t>40_Host_PO2_SENI_0_0_0_0</t>
  </si>
  <si>
    <t>Host</t>
  </si>
  <si>
    <t>40_Smir_PO2_SENI_0_0_0_0</t>
  </si>
  <si>
    <t>Obecný zájem, z. ú.</t>
  </si>
  <si>
    <t>Smir</t>
  </si>
  <si>
    <t>40_NoBy_PO2_SENI_0_0_0_0</t>
  </si>
  <si>
    <t>DUHA o. p. s. - pečovatelská služba</t>
  </si>
  <si>
    <t>NoBy</t>
  </si>
  <si>
    <t>40_Kopi_PO2_SENI_0_0_0_0</t>
  </si>
  <si>
    <t>Kopi</t>
  </si>
  <si>
    <t>40_Zacl_PO2_SENI_0_0_0_0</t>
  </si>
  <si>
    <t>Zacl</t>
  </si>
  <si>
    <t>40_Vamb_PO2_SENI_0_0_0_0</t>
  </si>
  <si>
    <t>Vamb</t>
  </si>
  <si>
    <t>40_NovM_PO2_SENI_0_0_0_0</t>
  </si>
  <si>
    <t>41_Nach_PO3_SENI_0_0_0_0</t>
  </si>
  <si>
    <t>§ 41 - Tísňová péče</t>
  </si>
  <si>
    <t>41_HrKr_PO3_SENI_0_0_0_0</t>
  </si>
  <si>
    <t>41_Jici_PO3_SENI_0_0_0_0</t>
  </si>
  <si>
    <t>41_NovM_PO3_SENI_0_0_0_0</t>
  </si>
  <si>
    <t>41_Trut_PO3_SENI_0_0_0_0</t>
  </si>
  <si>
    <t>42_HrKr_OKR_ZRAK_0_0_0_0</t>
  </si>
  <si>
    <t>§ 42 - Průvodcovské a předčítatelské služby</t>
  </si>
  <si>
    <t>Průvodcovské a předčitatelské služby</t>
  </si>
  <si>
    <t>43_Nach_PO3_MENT_0_0_0_0</t>
  </si>
  <si>
    <t>§ 43 - Podpora samostatného bydlení</t>
  </si>
  <si>
    <t>DUSO|MENT</t>
  </si>
  <si>
    <t>43_Rych_PO3_MENT_0_0_0_0</t>
  </si>
  <si>
    <t>43_Trut_PO3_MENT_0_0_0_0</t>
  </si>
  <si>
    <t>43_HrKr_PO3_MENT_0_0_0_0</t>
  </si>
  <si>
    <t>Podporované BYDLENÍ v síti</t>
  </si>
  <si>
    <t>SKOK do života o. p. s.</t>
  </si>
  <si>
    <t>DUSO|MENT|ZDRP</t>
  </si>
  <si>
    <t>44_Rych_OKR_SENI_0_0_0_0</t>
  </si>
  <si>
    <t>§ 44 - Odlehčovací služby</t>
  </si>
  <si>
    <t>Stacionář sv. Františka</t>
  </si>
  <si>
    <t>44_Nach_OKR_MENT_0_0_0_0</t>
  </si>
  <si>
    <t>MENT|TELP</t>
  </si>
  <si>
    <t>44_Vrch_PO3_SENI_0_0_0_0</t>
  </si>
  <si>
    <t>44_HrKr_PO3_SENI_0_0_0_0</t>
  </si>
  <si>
    <t>SENI|DUSO|TELP</t>
  </si>
  <si>
    <t>44_HrKr_PO3_SENI_0_0_0_1</t>
  </si>
  <si>
    <t>44_Nach_PO3_SENI_0_0_0_0</t>
  </si>
  <si>
    <t>Domov pro seniory Marie</t>
  </si>
  <si>
    <t>44_NovM_PO3_SENI_0_0_0_0</t>
  </si>
  <si>
    <t>44_Rych_OKR_MENT_0_0_0_0</t>
  </si>
  <si>
    <t>MENT</t>
  </si>
  <si>
    <t>44_NoBy_PO3_SENI_0_0_0_0</t>
  </si>
  <si>
    <t>DUHA o. p. s. - odlehčovací služba</t>
  </si>
  <si>
    <t>SENI|TELP</t>
  </si>
  <si>
    <t>44_Trut_OKR_MENT_0_0_0_0</t>
  </si>
  <si>
    <t>Odlehčovací služby</t>
  </si>
  <si>
    <t>Dětské centrum Jilemnice, příspěvková organizace</t>
  </si>
  <si>
    <t>SENI|DUSO</t>
  </si>
  <si>
    <t>44_KHKr_KHK_ZDRP_0_0_0_0</t>
  </si>
  <si>
    <t>MENT|ZDRP</t>
  </si>
  <si>
    <t>45_Chlu_PO2_SENI_0_0_0_0</t>
  </si>
  <si>
    <t>§ 45 - Centra denních služeb</t>
  </si>
  <si>
    <t>45_NovM_PO2_SENI_0_0_0_0</t>
  </si>
  <si>
    <t>45_Trut_PO3_MENT_0_0_0_0</t>
  </si>
  <si>
    <t>45_Kost_PO2_SENI_0_0_0_0</t>
  </si>
  <si>
    <t>SENI|CHRN|TELP</t>
  </si>
  <si>
    <t>45_NoBy_PO2_SENI_0_0_0_0</t>
  </si>
  <si>
    <t>DUHA o. p. s. - centrum denních služeb</t>
  </si>
  <si>
    <t>45_Rych_PO3_MENT_0_0_0_0</t>
  </si>
  <si>
    <t>46_Dvur_PO2_SENI_0_0_0_0</t>
  </si>
  <si>
    <t>§ 46 - Denní stacionáře</t>
  </si>
  <si>
    <t>Denní centrum pro seniory</t>
  </si>
  <si>
    <t>46_Rych_PO2_SENI_0_0_0_0</t>
  </si>
  <si>
    <t>46_Rych_PO3_MENT_0_0_0_0</t>
  </si>
  <si>
    <t>46_Hori_PO3_MENT_0_0_0_0</t>
  </si>
  <si>
    <t>Denní stacionář Klokan</t>
  </si>
  <si>
    <t>46_Dobr_PO3_MENT_0_0_0_0</t>
  </si>
  <si>
    <t>46_Jici_PO3_MENT_0_0_0_0</t>
  </si>
  <si>
    <t>46_Trut_PO3_MENT_0_0_0_0</t>
  </si>
  <si>
    <t>SENI|MENT|TELP</t>
  </si>
  <si>
    <t>46_NoPa_PO3_MENT_0_0_0_0</t>
  </si>
  <si>
    <t>Sociální služby města Rychnov nad Kněžnou, o. p. s.</t>
  </si>
  <si>
    <t>Denní stacionář Lávka</t>
  </si>
  <si>
    <t>46_NovM_PO3_MENT_0_0_0_0</t>
  </si>
  <si>
    <t>Stacionář NONA</t>
  </si>
  <si>
    <t>NONA 92, o. p. s.</t>
  </si>
  <si>
    <t>46_HrKr_PO2_SENI_0_0_0_0</t>
  </si>
  <si>
    <t>Denní stacionář pro seniory</t>
  </si>
  <si>
    <t>SENI|TELP|ZRAK</t>
  </si>
  <si>
    <t>46_Nach_PO3_MENT_0_0_0_0</t>
  </si>
  <si>
    <t>46_HrKr_PO3_MENT_0_0_0_0</t>
  </si>
  <si>
    <t>46_Jici_PO2_SENI_0_0_0_0</t>
  </si>
  <si>
    <t>Sociální služby města Jičína, Denní stacionář Domovinka</t>
  </si>
  <si>
    <t>ZDRP|SENI</t>
  </si>
  <si>
    <t>47_Rych_OKR_SENI_0_0_0_0</t>
  </si>
  <si>
    <t>§ 47 - Týdenní stacionáře</t>
  </si>
  <si>
    <t>47_Trut_OKR_MENT_0_0_0_0</t>
  </si>
  <si>
    <t>Týdenní stacionáře</t>
  </si>
  <si>
    <t>48_KHKr_KHK_MENT_0_0_0_0</t>
  </si>
  <si>
    <t>§ 48 - Domovy pro osoby se zdravotním postižením</t>
  </si>
  <si>
    <t>48_KHKr_KHK_TELP_0_0_0_0</t>
  </si>
  <si>
    <t>TELP</t>
  </si>
  <si>
    <t>48_KHKr_KHK_ZDRP_5_0_0_0</t>
  </si>
  <si>
    <t>49_NoPa_PO3_SENI_0_0_0_0</t>
  </si>
  <si>
    <t>§ 49 - Domovy pro seniory</t>
  </si>
  <si>
    <t>49_Jici_PO3_SENI_0_0_0_0</t>
  </si>
  <si>
    <t>49_Nach_PO3_SENI_0_0_12_0</t>
  </si>
  <si>
    <t>49_Trut_PO3_SENI_0_0_0_0</t>
  </si>
  <si>
    <t>49_HrKr_PO3_SENI_0_0_0_0</t>
  </si>
  <si>
    <t>49_Nach_PO3_SENI_0_0_0_0</t>
  </si>
  <si>
    <t>49_Dobr_PO3_SENI_0_0_0_0</t>
  </si>
  <si>
    <t>49_Jici_PO3_SENI_0_0_10_0</t>
  </si>
  <si>
    <t>49_Rych_PO3_SENI_0_0_0_0</t>
  </si>
  <si>
    <t>49_Dvur_PO3_SENI_0_0_0_0</t>
  </si>
  <si>
    <t>49_NoBy_PO3_SENI_0_0_0_0</t>
  </si>
  <si>
    <t>49_Hori_PO3_SENI_0_0_0_0</t>
  </si>
  <si>
    <t>Oblastní charita Sobotka - Domov pokojného stáří Libošovice</t>
  </si>
  <si>
    <t>49_Vrch_PO3_SENI_0_0_0_0</t>
  </si>
  <si>
    <t>49_Kost_PO3_SENI_0_0_0_0</t>
  </si>
  <si>
    <t>Domov U Biřičky, Hradec Králové</t>
  </si>
  <si>
    <t>Domov Diakonie</t>
  </si>
  <si>
    <t>49_Brou_PO3_SENI_0_0_0_0</t>
  </si>
  <si>
    <t>49_Nach_PO3_SENI_0_0_11_0</t>
  </si>
  <si>
    <t>50_Rych_OKR_DUSO_0_0_0_0</t>
  </si>
  <si>
    <t>§ 50 - Domovy se zvláštním režimem</t>
  </si>
  <si>
    <t>50_Jici_OKR_DUSO_0_0_0_0</t>
  </si>
  <si>
    <t>50_Nach_OKR_DUSO_0_0_0_0</t>
  </si>
  <si>
    <t>50_HrKr_OKR_DUSO_0_0_0_0</t>
  </si>
  <si>
    <t>50_KHKr_KHK_DUSO_0_0_0_0</t>
  </si>
  <si>
    <t>DUSO</t>
  </si>
  <si>
    <t>50_KHKr_KHK_NAVL_0_0_0_0</t>
  </si>
  <si>
    <t>Domov U Biřičky,Hradec Králové</t>
  </si>
  <si>
    <t>50_Trut_OKR_DUSO_0_0_0_0</t>
  </si>
  <si>
    <t>51_HrKr_OKR_MENT_0_0_0_6</t>
  </si>
  <si>
    <t>§ 51 - Chráněné bydlení</t>
  </si>
  <si>
    <t>51_HrKr_OKR_MENT_0_0_0_7</t>
  </si>
  <si>
    <t>51_Rych_OKR_DUSO_0_0_0_0</t>
  </si>
  <si>
    <t>51_HrKr_OKR_MENT_0_0_0_4</t>
  </si>
  <si>
    <t>51_Jici_OKR_DUSO_0_0_0_5</t>
  </si>
  <si>
    <t>Chráněné BYDLENÍ v síti</t>
  </si>
  <si>
    <t>51_Nach_OKR_MENT_0_0_0_4</t>
  </si>
  <si>
    <t>51_Nach_OKR_MENT_0_0_0_7</t>
  </si>
  <si>
    <t>51_KHKr_KHK_ZDRP_0_0_0_0</t>
  </si>
  <si>
    <t>Domov sv. Josefa v Žirči u Dvora Králové n. Labem, středisko OCHČK</t>
  </si>
  <si>
    <t>51_Rych_OKR_MENT_0_0_0_0</t>
  </si>
  <si>
    <t>Chráněné bydlení Domov</t>
  </si>
  <si>
    <t>51_Trut_OKR_MENT_0_0_0_0</t>
  </si>
  <si>
    <t>51_OKR_Rych_MENT_0_0_0_0</t>
  </si>
  <si>
    <t>52_KHKr_KHK_CHRN_0_0_0_0</t>
  </si>
  <si>
    <t>§ 52 - Sociální služby poskytované ve zdravotnických zařízeních ústavní péče</t>
  </si>
  <si>
    <t>Oblastní nemocnice Náchod a.s.</t>
  </si>
  <si>
    <t>SENI|CHRN|ZDRP</t>
  </si>
  <si>
    <t>Levitovo centrum následné péče</t>
  </si>
  <si>
    <t>54_HrKr_OKR_ZDRP_0_0_0_0</t>
  </si>
  <si>
    <t>§ 54 - Raná péče</t>
  </si>
  <si>
    <t>DMRO|MENT|TELP</t>
  </si>
  <si>
    <t>54_Jici_OKR_ZDRP_0_0_0_0</t>
  </si>
  <si>
    <t>54_Nach_OKR_ZDRP_0_0_0_0</t>
  </si>
  <si>
    <t>54_Rych_OKR_ZDRP_0_0_0_0</t>
  </si>
  <si>
    <t>54_Trut_OKR_ZDRP_0_0_0_0</t>
  </si>
  <si>
    <t>54_KHKr_KHK_ZRAK_0_0_0_0</t>
  </si>
  <si>
    <t>Centrum LIRA, z. ú.</t>
  </si>
  <si>
    <t>DMRO|ZRAK</t>
  </si>
  <si>
    <t>Pracoviště rané péče Diakonie ČCE - středisko Světlo ve Vrchlabí</t>
  </si>
  <si>
    <t>56_HrKr_OKR_SLUH_0_0_0_0</t>
  </si>
  <si>
    <t>§ 56 - Tlumočnické služby</t>
  </si>
  <si>
    <t>Tlumočnické služby</t>
  </si>
  <si>
    <t>Centrum tlumočnických služeb</t>
  </si>
  <si>
    <t>Vyšší odborná škola, Střední škola, Základní škola a Mateřská škola, Hradec Králové, Štefánikova 549</t>
  </si>
  <si>
    <t>57_HrKr_OKR_DMRO_0_0_0_0</t>
  </si>
  <si>
    <t>§ 57 - Azylové domy</t>
  </si>
  <si>
    <t>Domov pro matky s dětmi Hradec Králové</t>
  </si>
  <si>
    <t>DMRO|BEZD</t>
  </si>
  <si>
    <t>57_Trut_OKR_BEZD_0_0_0_0</t>
  </si>
  <si>
    <t>BEZD</t>
  </si>
  <si>
    <t>57_HrKr_OKR_BEZD_0_0_0_0</t>
  </si>
  <si>
    <t>Dům Matky Terezy Hradec Králové</t>
  </si>
  <si>
    <t>57_Trut_OKR_DMRO_0_0_0_0</t>
  </si>
  <si>
    <t>57_Jici_OKR_DMRO_0_0_0_0</t>
  </si>
  <si>
    <t>Azylový dům Jičín</t>
  </si>
  <si>
    <t>57_Nach_OKR_DMRO_0_0_0_0</t>
  </si>
  <si>
    <t>59_HrKr_OKR_NAVL_0_0_0_0</t>
  </si>
  <si>
    <t>§ 59 - Kontaktní centra</t>
  </si>
  <si>
    <t>K - centrum Hradec Králové</t>
  </si>
  <si>
    <t>59_Trut_OKR_NAVL_0_0_0_0</t>
  </si>
  <si>
    <t>60_HrKr_OKR_KRIS_0_0_0_0</t>
  </si>
  <si>
    <t xml:space="preserve">§ 60 - Krizová pomoc </t>
  </si>
  <si>
    <t>6a_KHKr_KHK_KRIS_0_0_0_0</t>
  </si>
  <si>
    <t>§ 60 a) - Intervenční centra</t>
  </si>
  <si>
    <t>Intervenční centrum Hradec Králové</t>
  </si>
  <si>
    <t>61_HrKr_PO3_BEZD_0_0_0_0</t>
  </si>
  <si>
    <t>§ 61 - Nízkoprahová denní centra</t>
  </si>
  <si>
    <t>62_Hori_PO2_DMRO_0_0_0_0</t>
  </si>
  <si>
    <t>§ 62 - Nízkoprahová zařízení pro děti a mládež</t>
  </si>
  <si>
    <t>Nízkoprahový klub PoHoDa</t>
  </si>
  <si>
    <t>DMRO</t>
  </si>
  <si>
    <t>62_HrKr_PO2_DMRO_0_0_4_0</t>
  </si>
  <si>
    <t>62_Kost_PO2_DMRO_0_0_0_0</t>
  </si>
  <si>
    <t>62_Jici_PO2_DMRO_0_0_0_0</t>
  </si>
  <si>
    <t>Nízkoprahový klub EXIT</t>
  </si>
  <si>
    <t>62_Trut_PO2_DMRO_0_0_0_0</t>
  </si>
  <si>
    <t>Nízkoprahové zařízení pro děti a mládež - RIAPS - Shelter</t>
  </si>
  <si>
    <t>62_NoPa_PO2_DMRO_0_0_0_0</t>
  </si>
  <si>
    <t>62_NoBy_PO2_DMRO_0_0_0_0</t>
  </si>
  <si>
    <t>NZDM DoPatra</t>
  </si>
  <si>
    <t>62_Dvur_PO2_DMRO_0_0_0_0</t>
  </si>
  <si>
    <t>Nízkoprahové zařízení pro děti a mládež Střelka</t>
  </si>
  <si>
    <t>62_Rych_PO2_DMRO_0_0_0_0</t>
  </si>
  <si>
    <t>62_HrKr_PO2_DMRO_0_0_1_0</t>
  </si>
  <si>
    <t>Nízkoprahové zařízení pro děti a mládež Modrý pomeranč</t>
  </si>
  <si>
    <t>63_Dvur_PO3_BEZD_0_0_0_0</t>
  </si>
  <si>
    <t>§ 63 - Noclehárny</t>
  </si>
  <si>
    <t>63_HrKr_PO3_BEZD_0_0_0_0</t>
  </si>
  <si>
    <t>63_Jici_PO3_BEZD_0_0_0_0</t>
  </si>
  <si>
    <t>65_NoBy_PO3_ZNZP_0_0_0_0</t>
  </si>
  <si>
    <t>§ 65 - Sociálně aktivizační služby pro rodiny s dětmi</t>
  </si>
  <si>
    <t>DMRO|ZNZP</t>
  </si>
  <si>
    <t>65_Jici_OKR_DMRO_0_0_0_0</t>
  </si>
  <si>
    <t>65_Jici_PO3_ZNZP_0_0_0_0</t>
  </si>
  <si>
    <t>65_Trut_OKR_DMRO_0_0_0_0</t>
  </si>
  <si>
    <t>65_Dvur_PO3_ZNZP_0_0_0_0</t>
  </si>
  <si>
    <t>Sociálně aktivizační služba pro rodiny s dětmi Klub Labyrint</t>
  </si>
  <si>
    <t>65_HrKr_PO3_ZNZP_0_0_2_0</t>
  </si>
  <si>
    <t>65_Brou_PO3_ZNZP_0_0_8_1</t>
  </si>
  <si>
    <t>Centrum pro rodinu - SAS</t>
  </si>
  <si>
    <t>65_Brou_PO3_ZNZP_0_0_7_0</t>
  </si>
  <si>
    <t>Sociálně aktivizační služby</t>
  </si>
  <si>
    <t>65_Nach_PO3_ZNZP_0_0_0_0</t>
  </si>
  <si>
    <t>ARCHA</t>
  </si>
  <si>
    <t>65_Jaro_PO3_ZNZP_0_0_5_0</t>
  </si>
  <si>
    <t>65_Jaro_PO3_ZNZP_0_0_6_0</t>
  </si>
  <si>
    <t>65_HrKr_OKR_DMRO_0_0_0_0</t>
  </si>
  <si>
    <t>65_Nach_OKR_DMRO_0_0_0_0</t>
  </si>
  <si>
    <t>65_Rych_OKR_DMRO_0_0_0_0</t>
  </si>
  <si>
    <t>66_HrKr_PO2_ZRAK_0_0_0_0</t>
  </si>
  <si>
    <t>§ 66 - Sociálně aktivizační služby pro seniory a osoby se zdravotním postižením</t>
  </si>
  <si>
    <t>Sociálně aktivizační služby pro zrakově postižené</t>
  </si>
  <si>
    <t>66_HrKr_PO2_DUSO_0_0_0_0</t>
  </si>
  <si>
    <t>67_Rych_PO3_MENT_0_0_0_0</t>
  </si>
  <si>
    <t>§ 67 - Sociálně terapeutické dílny</t>
  </si>
  <si>
    <t>67_Dvur_PO3_MENT_0_0_0_0</t>
  </si>
  <si>
    <t>Sociálně terapeutická dílna</t>
  </si>
  <si>
    <t>67_HrKr_PO3_MENT_0_0_0_0</t>
  </si>
  <si>
    <t>LAFARMA</t>
  </si>
  <si>
    <t>67_Jici_PO3_MENT_0_0_0_0</t>
  </si>
  <si>
    <t>Sociálně terapeutická dílna Slunečnice</t>
  </si>
  <si>
    <t>69_HrKr_OKR_NAVL_0_0_0_0</t>
  </si>
  <si>
    <t>§ 69 - Terénní programy</t>
  </si>
  <si>
    <t>Centrum terénních programů Královéhradeckého kraje</t>
  </si>
  <si>
    <t>69_Jici_OKR_NAVL_0_0_0_0</t>
  </si>
  <si>
    <t>69_Nach_OKR_NAVL_0_0_0_0</t>
  </si>
  <si>
    <t>69_Rych_OKR_NAVL_0_0_0_0</t>
  </si>
  <si>
    <t>69_HrKr_OKR_ZNZP_0_0_0_0</t>
  </si>
  <si>
    <t>Terénní program - Aufori, o.p.s.</t>
  </si>
  <si>
    <t>ZNZP</t>
  </si>
  <si>
    <t>69_Jici_OKR_ZNZP_0_0_0_0</t>
  </si>
  <si>
    <t>69_Nach_OKR_ZNZP_0_0_0_0</t>
  </si>
  <si>
    <t>69_Rych_OKR_ZNZP_0_0_0_0</t>
  </si>
  <si>
    <t>69_Trut_OKR_ZNZP_0_0_0_0</t>
  </si>
  <si>
    <t>70_Dvur_PO3_ZNZP_0_0_0_0</t>
  </si>
  <si>
    <t>§ 70 - Sociální rehabilitace</t>
  </si>
  <si>
    <t>Horizont</t>
  </si>
  <si>
    <t>70_HrKr_PO3_ZNZP_0_0_0_0</t>
  </si>
  <si>
    <t>70_Hori_PO3_DUSO_0_0_0_0</t>
  </si>
  <si>
    <t>Sociální rehabilitace Hořice</t>
  </si>
  <si>
    <t>DUSO|NAVL</t>
  </si>
  <si>
    <t>70_HrKr_PO3_MENT_0_0_0_0</t>
  </si>
  <si>
    <t>CVIČENÍ bydlení, práce, učení</t>
  </si>
  <si>
    <t>70_Trut_PO3_MENT_0_0_0_0</t>
  </si>
  <si>
    <t>70_Jici_OKR_DUSO_0_0_0_0</t>
  </si>
  <si>
    <t>Sociální rehabilitace - středisko Jičín</t>
  </si>
  <si>
    <t>70_NovM_PO3_ZNZP_0_0_0_0</t>
  </si>
  <si>
    <t>70_KHKr_KHK_ZRAK_0_0_0_13</t>
  </si>
  <si>
    <t>Sociální rehabilitace pro zrakově postižené</t>
  </si>
  <si>
    <t>70_KHKr_KHK _ZNZP_0_0_0_0</t>
  </si>
  <si>
    <t>70_Nach_OKR_ZDRP_0_0_0_0</t>
  </si>
  <si>
    <t>Podporované zaměstnávání</t>
  </si>
  <si>
    <t>70_Rych_OKR_ZDRP_0_0_0_0</t>
  </si>
  <si>
    <t>70_KHKr_KHK_ZDRP_0_0_0_0</t>
  </si>
  <si>
    <t>70_Vrch_PO3_ZNZP_0_0_0_0</t>
  </si>
  <si>
    <t>70_Nach_PO3_MENT_0_0_0_14</t>
  </si>
  <si>
    <t>Pferdí trénink Náchod</t>
  </si>
  <si>
    <t>70_Nach_OKR_DUSO_0_0_0_0</t>
  </si>
  <si>
    <t>Sociální rehabilitace - středisko Rychnov nad Kněžnou</t>
  </si>
  <si>
    <t>70_Rych_OKR_DUSO_0_0_0_0</t>
  </si>
  <si>
    <t>70_NoPa_PO3_ZDRP_0_0_0_0</t>
  </si>
  <si>
    <t>DUSO|MENT|TELP</t>
  </si>
  <si>
    <t>70_NovM_PO3_MENT_0_0_0_0</t>
  </si>
  <si>
    <t>DUSO|MENT|ZRAK</t>
  </si>
  <si>
    <t>70_Vrch_PO3_MENT_0_0_0_0</t>
  </si>
  <si>
    <t>70_Rych_PO3_MENT_0_0_0_15</t>
  </si>
  <si>
    <t>70_HrKr_OKR_DUSO_0_0_0_0</t>
  </si>
  <si>
    <t>Sociální rehabilitace - středisko Hradec Králové</t>
  </si>
  <si>
    <t>70_Trut_OKR_DUSO_0_0_0_0</t>
  </si>
  <si>
    <t>70_Jici_PO3_MENT_3_0_0_0</t>
  </si>
  <si>
    <t>sociální služba</t>
  </si>
  <si>
    <t>Žádost MPSV</t>
  </si>
  <si>
    <t>Dotace 1. kolo</t>
  </si>
  <si>
    <t>Dotace 2.kolo</t>
  </si>
  <si>
    <t>Návrh navýšení</t>
  </si>
  <si>
    <t>MPSV 2019 celkem</t>
  </si>
  <si>
    <t>změna 9.12.2019</t>
  </si>
  <si>
    <t>§ 37 - Odborné sociální poradenství s prvky terapie</t>
  </si>
  <si>
    <t>KAMARÁD Jičín z.s.</t>
  </si>
  <si>
    <t>Sociální rehabilitace Kamarád</t>
  </si>
  <si>
    <t>Most k životu o.p.s.</t>
  </si>
  <si>
    <t>§ 60 - Krizová pomoc</t>
  </si>
  <si>
    <t>Dům na půli cesty - Náchod</t>
  </si>
  <si>
    <t>§ 58 - Domy na půl cesty</t>
  </si>
  <si>
    <t>Oblastní spolek Českého červeného kříže Jičín</t>
  </si>
  <si>
    <t>Tréninková kavárna Láry Fáry - tréninkové pracoviště pro osoby s mentálním postižením</t>
  </si>
  <si>
    <t>Tréninkový byt</t>
  </si>
  <si>
    <t>Komunitní centrum ZIP</t>
  </si>
  <si>
    <t>Společné cesty - o.s.</t>
  </si>
  <si>
    <t>Městská nemocnice Hořice</t>
  </si>
  <si>
    <t>Požadavek KHK</t>
  </si>
  <si>
    <t>Celkem návrh KHK</t>
  </si>
  <si>
    <t>Centrum pro dětský sluch Tamtam, o.p.s.</t>
  </si>
  <si>
    <t>Raná péče Čechy</t>
  </si>
  <si>
    <t>Domov se zvláštním režimem pro lidi s autismem</t>
  </si>
  <si>
    <t>Domov svatého Josefa</t>
  </si>
  <si>
    <t>Tichý svět, o. p. s</t>
  </si>
  <si>
    <t>Komunikace bez bariér</t>
  </si>
  <si>
    <t>"Sociální rehabilitace "</t>
  </si>
  <si>
    <t>Tyfloservis, o.p.s.</t>
  </si>
  <si>
    <t>Tyfloservis, o.p.s. - Krajské ambulantní středisko H.Králové</t>
  </si>
  <si>
    <t>Rok</t>
  </si>
  <si>
    <t>KHK z rozpočtu MPSV</t>
  </si>
  <si>
    <t>MPSV_dotace celostátní</t>
  </si>
  <si>
    <t>Evropské fondy</t>
  </si>
  <si>
    <t>INDIVIDUÁLNÍ PROJEKT</t>
  </si>
  <si>
    <t>PŘÍSPĚVEK NA PROVOZ PO KHK</t>
  </si>
  <si>
    <t>Dotace KHK</t>
  </si>
  <si>
    <t>KHK-čerpání z uplynulého roku</t>
  </si>
  <si>
    <t>Setkání - Hospicová péče</t>
  </si>
  <si>
    <t>OCHHK - Hospicová péče</t>
  </si>
  <si>
    <t>OCHČK - Hospicová péče</t>
  </si>
  <si>
    <t>Stopa čápa</t>
  </si>
  <si>
    <t>OCHČK - Hospicová péče lůžková</t>
  </si>
  <si>
    <t>Nejste na to samy - Čechy</t>
  </si>
  <si>
    <t>ROZKOŠ bez RIZIKA</t>
  </si>
  <si>
    <t>Centrum Síťovka</t>
  </si>
  <si>
    <t>Domácí hospic Duha - hospicová péče</t>
  </si>
  <si>
    <t>č. VZ</t>
  </si>
  <si>
    <t>Specifikace služby</t>
  </si>
  <si>
    <t>Forma služby</t>
  </si>
  <si>
    <t xml:space="preserve">Územní působnost (místo poskytování sociální služby) </t>
  </si>
  <si>
    <t>Rozsah služby - úvazky pracovníků přímé práce § 115 ZSS</t>
  </si>
  <si>
    <t>Kapacita služby - lůžka</t>
  </si>
  <si>
    <t>Kalkulační jednotka pro projekt</t>
  </si>
  <si>
    <t>Jednotková cena pro projekt za 12 měsíců</t>
  </si>
  <si>
    <t>Počet měsíců poskytování služby</t>
  </si>
  <si>
    <t>Podíl vyrovnávací platby hrazené z projektu</t>
  </si>
  <si>
    <t>Předpokládaná vyrovnávací platba po období realizace projektu</t>
  </si>
  <si>
    <r>
      <rPr>
        <b/>
        <sz val="20"/>
        <color theme="1"/>
        <rFont val="Calibri"/>
        <family val="2"/>
        <charset val="238"/>
      </rPr>
      <t xml:space="preserve"> </t>
    </r>
    <r>
      <rPr>
        <b/>
        <sz val="12"/>
        <color theme="1"/>
        <rFont val="Calibri"/>
        <family val="2"/>
        <charset val="238"/>
      </rPr>
      <t>Plán</t>
    </r>
    <r>
      <rPr>
        <b/>
        <sz val="20"/>
        <color theme="1"/>
        <rFont val="Calibri"/>
        <family val="2"/>
        <charset val="238"/>
      </rPr>
      <t xml:space="preserve">       2020   </t>
    </r>
    <r>
      <rPr>
        <b/>
        <sz val="11"/>
        <color theme="1"/>
        <rFont val="Calibri"/>
        <family val="2"/>
        <charset val="238"/>
      </rPr>
      <t xml:space="preserve">       </t>
    </r>
  </si>
  <si>
    <t xml:space="preserve"> VZ 01</t>
  </si>
  <si>
    <t>43 Podpora samostatného bydlení</t>
  </si>
  <si>
    <t>Podpora samostatného bydlení - osoby s mentálním postižením a duševním onemocněním - Rychnovsko</t>
  </si>
  <si>
    <t>Rychnovsko</t>
  </si>
  <si>
    <t>Osoby se zdravotním postižením, osoby s kombinovanými diagnózami</t>
  </si>
  <si>
    <t>Pracovník</t>
  </si>
  <si>
    <t xml:space="preserve"> VZ 02</t>
  </si>
  <si>
    <t>Podpora samostatného bydlení - osoby s mentálním postižením - Královéhradecko</t>
  </si>
  <si>
    <t>Královéhradecko</t>
  </si>
  <si>
    <t xml:space="preserve"> VZ 03</t>
  </si>
  <si>
    <t>57 Azylové domy</t>
  </si>
  <si>
    <t>Azylové domy - matky s dětmi - Jičínsko</t>
  </si>
  <si>
    <t>Pobytová</t>
  </si>
  <si>
    <t>Jičínsko</t>
  </si>
  <si>
    <t>Rodiče samoživitelé, osoby ohrožené vícenásobnými riziky</t>
  </si>
  <si>
    <t>Lůžko</t>
  </si>
  <si>
    <t xml:space="preserve"> VZ 04</t>
  </si>
  <si>
    <t>Azylové domy - osoby bez přístřeší - Královédvorsko</t>
  </si>
  <si>
    <t>Královédvorsko</t>
  </si>
  <si>
    <t>Bezdomovci a osoby žijící v nevyhovujícím nebo nejistém ubytování</t>
  </si>
  <si>
    <t xml:space="preserve"> VZ 05</t>
  </si>
  <si>
    <t>Azylové domy - osoby bez přístřeší, rodiče s dětmi - Trutnovsko</t>
  </si>
  <si>
    <t>Trutnovsko</t>
  </si>
  <si>
    <t>Rodiče samoživitelé, osoby ohrožené vícenásobnými riziky, osoby ohrožené domácím násilím</t>
  </si>
  <si>
    <t xml:space="preserve"> VZ 06</t>
  </si>
  <si>
    <t>Azylové domy - osoby bez přístřeší - Královéhradecko</t>
  </si>
  <si>
    <t xml:space="preserve"> VZ 07</t>
  </si>
  <si>
    <t>Azylové domy - matky s dětmi - Náchodsko</t>
  </si>
  <si>
    <t>Náchodsko</t>
  </si>
  <si>
    <t xml:space="preserve"> VZ 08</t>
  </si>
  <si>
    <t>Azylové domy - osoby bez přístřeší - Náchodsko</t>
  </si>
  <si>
    <t xml:space="preserve"> VZ 09</t>
  </si>
  <si>
    <t>60a  Intervenční centra</t>
  </si>
  <si>
    <t>Intervenční centra -  oběti domácího násilí - Královéhradecký kraj</t>
  </si>
  <si>
    <t>Ambulantní, terénní</t>
  </si>
  <si>
    <t>Královéhradecký kraj</t>
  </si>
  <si>
    <t>Osoby ohrožené domácím násilím, osoby ohrožené vícenásobnými riziky</t>
  </si>
  <si>
    <t xml:space="preserve"> VZ 10</t>
  </si>
  <si>
    <t>67 Sociálně terapeutické dílny</t>
  </si>
  <si>
    <t>Sociálně terapeutické dílny - osoby s mentálním postižením a duševním onemocněním - Rychnovsko</t>
  </si>
  <si>
    <t>Ambulantní</t>
  </si>
  <si>
    <t xml:space="preserve"> VZ 11</t>
  </si>
  <si>
    <t>Sociálně terapeutické dílny - osoby s mentálním postižením - Královédvorsko</t>
  </si>
  <si>
    <t xml:space="preserve"> VZ 12</t>
  </si>
  <si>
    <t>Sociálně terapeutické dílny - osoby s mentálním a kombinovaným postižením - Královédvorsko</t>
  </si>
  <si>
    <t xml:space="preserve"> VZ 13</t>
  </si>
  <si>
    <t>Sociálně terapeutické dílny - osoby s mentálním postižením - Královéhradecko</t>
  </si>
  <si>
    <t xml:space="preserve">LAFARMA, Sociálně terapeutická dílna  
</t>
  </si>
  <si>
    <t xml:space="preserve"> VZ 14</t>
  </si>
  <si>
    <r>
      <t xml:space="preserve">Sociálně terapeutické dílny - </t>
    </r>
    <r>
      <rPr>
        <i/>
        <sz val="9"/>
        <color rgb="FFFF0000"/>
        <rFont val="Arial"/>
        <family val="2"/>
        <charset val="238"/>
      </rPr>
      <t xml:space="preserve">osoby s mentálním postižením, osoby s kombinovaným postižením </t>
    </r>
    <r>
      <rPr>
        <i/>
        <sz val="9"/>
        <rFont val="Arial"/>
        <family val="2"/>
        <charset val="238"/>
      </rPr>
      <t>- Jičínsko</t>
    </r>
  </si>
  <si>
    <t>Sociálně terapeutické dílny AJdeTo</t>
  </si>
  <si>
    <t xml:space="preserve"> VZ 15</t>
  </si>
  <si>
    <t>70 Sociální rehabilitace</t>
  </si>
  <si>
    <t>Sociální rehabilitace - osoby, které vedou rizikový způsob života nebo jsou tímto způsobem života ohroženy - Královéhradecko</t>
  </si>
  <si>
    <t>Osoby dlouhodobě či opakovaně nezaměstnané</t>
  </si>
  <si>
    <t xml:space="preserve"> VZ 16</t>
  </si>
  <si>
    <t>Sociální rehabilitace - osoby s mentálním postižením - Královéhradecko</t>
  </si>
  <si>
    <t xml:space="preserve"> VZ 17</t>
  </si>
  <si>
    <r>
      <t xml:space="preserve">Sociální rehabilitace - osoby s  duševním onemocněním - </t>
    </r>
    <r>
      <rPr>
        <i/>
        <sz val="9"/>
        <color rgb="FFFF0000"/>
        <rFont val="Arial"/>
        <family val="2"/>
        <charset val="238"/>
      </rPr>
      <t>Jičínsko</t>
    </r>
  </si>
  <si>
    <t xml:space="preserve"> VZ 18</t>
  </si>
  <si>
    <t>Sociální rehabilitace - osoby, které vedou rizikový způsob života nebo jsou tímto způsobem života ohroženy - Novoměstsko</t>
  </si>
  <si>
    <t>Novoměstsko</t>
  </si>
  <si>
    <t xml:space="preserve"> VZ 19</t>
  </si>
  <si>
    <t>Sociální rehabilitace - osoby se zrakovým postižením - Královéhradecký kraj</t>
  </si>
  <si>
    <t>Královéhradekcý kraj</t>
  </si>
  <si>
    <t xml:space="preserve"> VZ 20</t>
  </si>
  <si>
    <r>
      <t xml:space="preserve">Sociální rehabilitace - </t>
    </r>
    <r>
      <rPr>
        <i/>
        <sz val="9"/>
        <color rgb="FFFF0000"/>
        <rFont val="Arial"/>
        <family val="2"/>
        <charset val="238"/>
      </rPr>
      <t xml:space="preserve">osoby se zdravotním postižením </t>
    </r>
    <r>
      <rPr>
        <i/>
        <sz val="9"/>
        <rFont val="Arial"/>
        <family val="2"/>
        <charset val="238"/>
      </rPr>
      <t>- Náchodsko</t>
    </r>
  </si>
  <si>
    <t xml:space="preserve"> VZ 21</t>
  </si>
  <si>
    <r>
      <t xml:space="preserve">Sociální rehabilitace - </t>
    </r>
    <r>
      <rPr>
        <i/>
        <sz val="9"/>
        <color rgb="FFFF0000"/>
        <rFont val="Arial"/>
        <family val="2"/>
        <charset val="238"/>
      </rPr>
      <t xml:space="preserve">osoby se zdravotním postižením - </t>
    </r>
    <r>
      <rPr>
        <i/>
        <sz val="9"/>
        <rFont val="Arial"/>
        <family val="2"/>
        <charset val="238"/>
      </rPr>
      <t>Rychnovsko</t>
    </r>
  </si>
  <si>
    <t xml:space="preserve"> VZ 22</t>
  </si>
  <si>
    <r>
      <t>Sociální rehabilitace - osoby s poruchou</t>
    </r>
    <r>
      <rPr>
        <i/>
        <sz val="9"/>
        <color rgb="FFFF0000"/>
        <rFont val="Arial"/>
        <family val="2"/>
        <charset val="238"/>
      </rPr>
      <t xml:space="preserve"> autistického spektra - </t>
    </r>
    <r>
      <rPr>
        <i/>
        <sz val="9"/>
        <rFont val="Arial"/>
        <family val="2"/>
        <charset val="238"/>
      </rPr>
      <t>Královéhradecko</t>
    </r>
  </si>
  <si>
    <t xml:space="preserve"> VZ 23</t>
  </si>
  <si>
    <t>Sociální rehabilitace - osoby bez přístřeší, osoby, které vedou rizikový způsob života nebo jsou tímto způsobem života ohroženy - Vrchlabsko</t>
  </si>
  <si>
    <t>Vrchlabsko</t>
  </si>
  <si>
    <t>Osoby dlouhodobě či opakovaně nezaměstnané, bezdomovci a osoby žijící v nevyhovujícím nebo nejistém ubytování</t>
  </si>
  <si>
    <t xml:space="preserve"> VZ 24</t>
  </si>
  <si>
    <t>Sociální rehabilitace - osoby s mentálním postižením a duševním onemocněním - Náchodsko</t>
  </si>
  <si>
    <t>Ambulantní,</t>
  </si>
  <si>
    <t xml:space="preserve"> VZ 25</t>
  </si>
  <si>
    <t>Sociální rehabilitace - osoby s duševním onemocněním, osoby se zdravotním postižením - Novoměstsko</t>
  </si>
  <si>
    <t xml:space="preserve"> VZ 26</t>
  </si>
  <si>
    <t>Sociální rehabilitace - osoby s mentálním postižením a duševním onemocněním - Rychnovsko</t>
  </si>
  <si>
    <t xml:space="preserve"> VZ 27</t>
  </si>
  <si>
    <r>
      <t xml:space="preserve">Sociální rehabilitace - </t>
    </r>
    <r>
      <rPr>
        <i/>
        <sz val="9"/>
        <color rgb="FFFF0000"/>
        <rFont val="Arial"/>
        <family val="2"/>
        <charset val="238"/>
      </rPr>
      <t xml:space="preserve">osoby s mentálním postižením, osoby s kombinovaným postižením - </t>
    </r>
    <r>
      <rPr>
        <i/>
        <sz val="9"/>
        <rFont val="Arial"/>
        <family val="2"/>
        <charset val="238"/>
      </rPr>
      <t>Jičínsko</t>
    </r>
  </si>
  <si>
    <t>číslo VZ</t>
  </si>
  <si>
    <t>Název zakázky</t>
  </si>
  <si>
    <t>Rok 2020</t>
  </si>
  <si>
    <t>ID</t>
  </si>
  <si>
    <t>VZ01</t>
  </si>
  <si>
    <t xml:space="preserve">Podpora samostatného bydlení - osoby s mentálním postižením a duševním onemocněním – Náchodsko </t>
  </si>
  <si>
    <t>VZ02</t>
  </si>
  <si>
    <t>Sociální rehabilitace - osoby ohrožené sociálním vyloučením pro životní návyky a způsob života vedoucí ke konfliktu se společností a sociálně znevýhodňující prostředí - Královédvorsko</t>
  </si>
  <si>
    <t>VZ03</t>
  </si>
  <si>
    <t xml:space="preserve">Sociálně aktivizační služby - Vrchlabsko </t>
  </si>
  <si>
    <t>VZ04</t>
  </si>
  <si>
    <t xml:space="preserve">Sociálně aktivizační služby pro rodiny s dětmi - Trutnovsko </t>
  </si>
  <si>
    <t>VZ05</t>
  </si>
  <si>
    <t xml:space="preserve">Sociální rehabilitace – osoby s mentálním postižením - Trutnovsko </t>
  </si>
  <si>
    <t>VZ06</t>
  </si>
  <si>
    <t xml:space="preserve">Sociální rehabilitace – osoby s mentálním postižením - Vrchlabsko </t>
  </si>
  <si>
    <t>VZ07</t>
  </si>
  <si>
    <t xml:space="preserve">Sociální rehabilitace – osoby s duševním onemocněním - Rychnovsko </t>
  </si>
  <si>
    <t>VZ08</t>
  </si>
  <si>
    <t>Sociální rehabilitace - terénní - Náchodsko</t>
  </si>
  <si>
    <t>VZ09</t>
  </si>
  <si>
    <t>Sociální rehabilitace - Rychnovsko</t>
  </si>
  <si>
    <t>VZ10</t>
  </si>
  <si>
    <t>Azylové domy pro matky s dětmi - KHK</t>
  </si>
  <si>
    <t>SLUZBA_NAZEV</t>
  </si>
  <si>
    <t>POSKYTOVATEL</t>
  </si>
  <si>
    <t>KOD_KARTY</t>
  </si>
  <si>
    <t>IDENTIFIKATOR</t>
  </si>
  <si>
    <t>ROK</t>
  </si>
  <si>
    <t>PLATNOST_OD</t>
  </si>
  <si>
    <t>PLATNOST_DO</t>
  </si>
  <si>
    <t>ORP|6</t>
  </si>
  <si>
    <t>OBEC|6</t>
  </si>
  <si>
    <t>KRAJ|6</t>
  </si>
  <si>
    <t>POU|6</t>
  </si>
  <si>
    <t>OKRES|6</t>
  </si>
  <si>
    <t>CILOVA_SKUPINA|6</t>
  </si>
  <si>
    <t>VEKOVA_SKUPINA|6</t>
  </si>
  <si>
    <t>DAT|1|0</t>
  </si>
  <si>
    <t>PLA_POV|1|0</t>
  </si>
  <si>
    <t>P001|1|0</t>
  </si>
  <si>
    <t>P002|1|0</t>
  </si>
  <si>
    <t>P003|1|0</t>
  </si>
  <si>
    <t>P004|1|0</t>
  </si>
  <si>
    <t>P005|1|0</t>
  </si>
  <si>
    <t>K0011|1|0</t>
  </si>
  <si>
    <t>K0012|1|0</t>
  </si>
  <si>
    <t>K0013|1|0</t>
  </si>
  <si>
    <t>K0014|1|0</t>
  </si>
  <si>
    <t>KS</t>
  </si>
  <si>
    <t>Výnosy</t>
  </si>
  <si>
    <t>Přímý personál (KS)</t>
  </si>
  <si>
    <t>Personál na pozici sociální pracovník (KS)</t>
  </si>
  <si>
    <t>Personál na pozici pracovník v sociálních službách (KS)</t>
  </si>
  <si>
    <t>Zdravotnický pracovník (KS)</t>
  </si>
  <si>
    <t>Pedagogický pracovník nebo další odborný (KS)</t>
  </si>
  <si>
    <t>SOCIÁLNÍ</t>
  </si>
  <si>
    <t>ZDRAVOTNÍ</t>
  </si>
  <si>
    <t>HOTEL</t>
  </si>
  <si>
    <t>STRAVA</t>
  </si>
  <si>
    <t>CELKEM</t>
  </si>
  <si>
    <t>VP</t>
  </si>
  <si>
    <t>70_Rych_PO3_MENT_0_0_0_14</t>
  </si>
  <si>
    <t>Kód zadavatele</t>
  </si>
  <si>
    <t>Platnost od</t>
  </si>
  <si>
    <t>Platnost do</t>
  </si>
  <si>
    <t>ORP</t>
  </si>
  <si>
    <t>Kraj</t>
  </si>
  <si>
    <t>Pou</t>
  </si>
  <si>
    <t>Okres</t>
  </si>
  <si>
    <t>Věková skupina</t>
  </si>
  <si>
    <t>Datum změny - Pracovní prostor KÚ - hodnota</t>
  </si>
  <si>
    <t>Platnost pověření do - Pracovní prostor KÚ - hodnota</t>
  </si>
  <si>
    <t>Přímý personál (KS) - Pracovní prostor KÚ - hodnota</t>
  </si>
  <si>
    <t>Personál na pozici sociální pracovník (KS) - Pracovní prostor KÚ - hodnota</t>
  </si>
  <si>
    <t>Personál na pozici pracovník v sociálních službách (KS) - Pracovní prostor KÚ - hodnota</t>
  </si>
  <si>
    <t>Zdravotnický pracovník (KS) - Pracovní prostor KÚ - hodnota</t>
  </si>
  <si>
    <t>Pedagogický pracovník nebo další odborný (KS) - Pracovní prostor KÚ - hodnota</t>
  </si>
  <si>
    <t>Kapacita počet lůžek - Pracovní prostor KÚ - hodnota</t>
  </si>
  <si>
    <t>Kapacita počet uživatelů/ intervencí - Pracovní prostor KÚ - hodnota</t>
  </si>
  <si>
    <t>Kapacita počet uživatelů v jeden okamžik - Pracovní prostor KÚ - hodnota</t>
  </si>
  <si>
    <t>Kapapcita - počet výjezdních jednotek - Pracovní prostor KÚ - hodnota</t>
  </si>
  <si>
    <t>31.12.2020</t>
  </si>
  <si>
    <t>SENI|SENI|SENI|SENI|CHRN|CHRN|CHRN|CHRN|DUSO|DUSO|DUSO|DUSO|ZDRP|ZDRP|ZDRP|ZDRP</t>
  </si>
  <si>
    <t>44_KHKr_CZE_ZDRP_0_0_0_0</t>
  </si>
  <si>
    <t>44_KHKr_KHK_CHRN_0_0_0_0</t>
  </si>
  <si>
    <t>31.03.2021</t>
  </si>
  <si>
    <t>45_Vrch_PO3_MENT_0_0_0_0</t>
  </si>
  <si>
    <t>48_KHKr_CZE_ZDRP_4_0_0_0</t>
  </si>
  <si>
    <t>50_KHKr_CZE_MENT_0_0_0_0</t>
  </si>
  <si>
    <t>54_KHKr_CZE_SLUH_0_0_0_0</t>
  </si>
  <si>
    <t>DMRO|SLUH</t>
  </si>
  <si>
    <t>56_KHKr_CZE_SLUH_0_0_0_0</t>
  </si>
  <si>
    <t>58_Nach_OKR_DMRO_0_0_0_0</t>
  </si>
  <si>
    <t>64_KHKr_KHK _NAVL_0_0_0_0</t>
  </si>
  <si>
    <t>65_HrKr_OKR_DMRO_1_0_0_0</t>
  </si>
  <si>
    <t>65_HrKr_PO3_ZNZP_0_0_3_0</t>
  </si>
  <si>
    <t>65_Jici_OKR_DMRO_1_0_0_0</t>
  </si>
  <si>
    <t>65_KHKr_CZE_SLUH_0_0_0_0</t>
  </si>
  <si>
    <t>65_Nach_OKR_DMRO_1_0_0_0</t>
  </si>
  <si>
    <t>65_Rych_OKR_DMRO_1_0_0_0</t>
  </si>
  <si>
    <t>65_Trut_OKR_DMRO_1_0_0_0</t>
  </si>
  <si>
    <t>69_KHKr_CZE_OTCI_0_0_0_0</t>
  </si>
  <si>
    <t>OTCI</t>
  </si>
  <si>
    <t>31.08.2020</t>
  </si>
  <si>
    <t>1.4.2019</t>
  </si>
  <si>
    <t xml:space="preserve"> 31. 12. 2020</t>
  </si>
  <si>
    <t>70_Jici_PO3_MENT_0_0_0_0</t>
  </si>
  <si>
    <t>70_Jici_PO3_MENT_2_0_0_0</t>
  </si>
  <si>
    <t>70_KHKr_CZE_SLUH_0_0_0_0</t>
  </si>
  <si>
    <t>70_KHKr_KHK_ZRAK_0_0_0_12</t>
  </si>
  <si>
    <t>1.3.2019</t>
  </si>
  <si>
    <t>celkem</t>
  </si>
  <si>
    <t>rok</t>
  </si>
  <si>
    <t>KOD_ZADAVATEL</t>
  </si>
  <si>
    <t>OBEC</t>
  </si>
  <si>
    <t>Mlázovice</t>
  </si>
  <si>
    <t>Chomutice</t>
  </si>
  <si>
    <t>Slatiny</t>
  </si>
  <si>
    <t>NZO</t>
  </si>
  <si>
    <t>Obce</t>
  </si>
  <si>
    <t>Broumov</t>
  </si>
  <si>
    <t>Česká Skalice</t>
  </si>
  <si>
    <t>Dobruška</t>
  </si>
  <si>
    <t>Dolní Kalná</t>
  </si>
  <si>
    <t>Dvůr Králové nad Labem</t>
  </si>
  <si>
    <t>Hořice</t>
  </si>
  <si>
    <t>Hronov</t>
  </si>
  <si>
    <t>Chlumec nad Cidlinou</t>
  </si>
  <si>
    <t>Jaroměř</t>
  </si>
  <si>
    <t>Jičín</t>
  </si>
  <si>
    <t>Kostelec nad Orlicí</t>
  </si>
  <si>
    <t>Kvasiny</t>
  </si>
  <si>
    <t>Lázně Bělohrad</t>
  </si>
  <si>
    <t>Meziměstí</t>
  </si>
  <si>
    <t>Miletín</t>
  </si>
  <si>
    <t>Náchod</t>
  </si>
  <si>
    <t>Nová Paka</t>
  </si>
  <si>
    <t>Nové Město nad Metují</t>
  </si>
  <si>
    <t>Nový Bydžov</t>
  </si>
  <si>
    <t>Opočno</t>
  </si>
  <si>
    <t>Pecka</t>
  </si>
  <si>
    <t>Police nad Metují</t>
  </si>
  <si>
    <t>Rokytnice v Orlických horách</t>
  </si>
  <si>
    <t>Rtyně v Podkrkonoší</t>
  </si>
  <si>
    <t>Rychnov nad Kněžnou</t>
  </si>
  <si>
    <t>Svoboda nad Úpou</t>
  </si>
  <si>
    <t>Teplice nad Metují</t>
  </si>
  <si>
    <t>Trutnov</t>
  </si>
  <si>
    <t>Třebechovice pod Orebem</t>
  </si>
  <si>
    <t>Týniště nad Orlicí</t>
  </si>
  <si>
    <t>Úpice</t>
  </si>
  <si>
    <t>Vamberk</t>
  </si>
  <si>
    <t>Vrchlabí</t>
  </si>
  <si>
    <t>Žacléř</t>
  </si>
  <si>
    <t>PO KHK</t>
  </si>
  <si>
    <t>Popisky řádků</t>
  </si>
  <si>
    <t>Celkový součet</t>
  </si>
  <si>
    <t>Příspěvek na provoz  na rok 2020</t>
  </si>
  <si>
    <t>VP 2020</t>
  </si>
  <si>
    <t>PnaPr</t>
  </si>
  <si>
    <t>Je v síti</t>
  </si>
  <si>
    <t>Žádost MPSV 2020</t>
  </si>
  <si>
    <t>z toho na odpisy</t>
  </si>
  <si>
    <t>Výpočet VP 2019</t>
  </si>
  <si>
    <t>Výpočet VP 2020</t>
  </si>
  <si>
    <t>ppp 2019</t>
  </si>
  <si>
    <t>ppp 2020</t>
  </si>
  <si>
    <t>Součet z předpoklad 2019 (konec realizace 30. 6. 2019)</t>
  </si>
  <si>
    <t>Posláno 21.12.2018</t>
  </si>
  <si>
    <t>???????</t>
  </si>
  <si>
    <t>Předpokládaná výše platby 2019 (dle kalkulace nákladů v Nabídce)</t>
  </si>
  <si>
    <t>karta potřebnosti 57_HrKr_OKR_DMRO_0_0_0_0</t>
  </si>
  <si>
    <t>karta potřebnosti 70_Nach_OKR_DUSO_0_0_0_0</t>
  </si>
  <si>
    <t>karta potřebnosti 70_Rych_OKR_DUSO_0_0_0_0</t>
  </si>
  <si>
    <t>;</t>
  </si>
  <si>
    <t>Nové IP</t>
  </si>
  <si>
    <t>rozdíl</t>
  </si>
  <si>
    <t>IP2020</t>
  </si>
  <si>
    <t>Součet z IP2020</t>
  </si>
  <si>
    <t>MPSV 2019</t>
  </si>
  <si>
    <t>Charitní pečovatelská služba Třebechovice pod Orebem</t>
  </si>
  <si>
    <t>Farní charita Třebechovice pod Orebem</t>
  </si>
  <si>
    <t>NZDM KLUBÍK</t>
  </si>
  <si>
    <t>Obce 2018</t>
  </si>
  <si>
    <t>Obce 2019</t>
  </si>
  <si>
    <t>KHK 2019</t>
  </si>
  <si>
    <t>§ 64 - Služby následné péče</t>
  </si>
  <si>
    <t>§ 90 - Hospicová péče terén</t>
  </si>
  <si>
    <t>§ 91 - Hospicová péče pobytová</t>
  </si>
  <si>
    <t>Období</t>
  </si>
  <si>
    <t>1. Materiál</t>
  </si>
  <si>
    <t>1.1 z toho Pohonné hmoty</t>
  </si>
  <si>
    <t>1.2 z toho Potraviny</t>
  </si>
  <si>
    <t>2. Energie</t>
  </si>
  <si>
    <t>3. Opravy a údržba</t>
  </si>
  <si>
    <t>4. Nájmy</t>
  </si>
  <si>
    <t>5. Přímá péče dodavatelsky</t>
  </si>
  <si>
    <t>6. Ostatní nakupované služby</t>
  </si>
  <si>
    <t>6.1 z toho Právní a ekonomické služby, poradenství</t>
  </si>
  <si>
    <t>6.2 z toho Strava dodavatelsky</t>
  </si>
  <si>
    <t>7. Odpisy</t>
  </si>
  <si>
    <t>8. Ostatní provozní náklady</t>
  </si>
  <si>
    <t>9. Osobní náklady-pracovníci přímé péče</t>
  </si>
  <si>
    <t>9.1 z toho osobní náklady DPP - přímá péče</t>
  </si>
  <si>
    <t>11. Osobní náklady-ostatní pracovníci</t>
  </si>
  <si>
    <t>Celkové náklady</t>
  </si>
  <si>
    <t>1. Příjmy od uživatelů služeb</t>
  </si>
  <si>
    <t>1.1 z toho příspěvek na péči (pouze pobytové služby)</t>
  </si>
  <si>
    <t>1.2 z toho donáška stravy</t>
  </si>
  <si>
    <t>1.3 z toho úhrada pobytu</t>
  </si>
  <si>
    <t>1.4 z toho úhrada stravy</t>
  </si>
  <si>
    <t>1.5 z toho ostatní základní činnosti (výše neuvedené)</t>
  </si>
  <si>
    <t>1.6 z toho příjmy za fakultativní činnosti</t>
  </si>
  <si>
    <t>2. Ostatní příjmy z vlastní činnosti (včetně zdrav.pojišťoven a nadací)</t>
  </si>
  <si>
    <t>2.1 z toho úhrady zdravotních pojišťoven</t>
  </si>
  <si>
    <t>Příjmy z vlastní činnosti celkem</t>
  </si>
  <si>
    <t>Vypočtená vyrovnávací platba</t>
  </si>
  <si>
    <t>Přímý personál</t>
  </si>
  <si>
    <t>1. Personál na pozici sociální pracovník</t>
  </si>
  <si>
    <t>2. Personál na pozici pracovník v sociálních službách</t>
  </si>
  <si>
    <t>3. Zdravotnický pracovník</t>
  </si>
  <si>
    <t>4. Pedagogický pracovník nebo další odborný</t>
  </si>
  <si>
    <t>5. Pracovníci-administrativa a THP</t>
  </si>
  <si>
    <t>6. Technický personál-manuální pracovníci</t>
  </si>
  <si>
    <t>6.1 z toho pracovníci stravování</t>
  </si>
  <si>
    <t>ppp 2018</t>
  </si>
  <si>
    <t>Zadavatel</t>
  </si>
  <si>
    <t>Hradec Králové</t>
  </si>
  <si>
    <t>Červený Kostelec</t>
  </si>
  <si>
    <t>Hostinné</t>
  </si>
  <si>
    <t>Kopidlno</t>
  </si>
  <si>
    <t>Smiřice</t>
  </si>
  <si>
    <t>Sobotka</t>
  </si>
  <si>
    <t>Výpočet VP 2018</t>
  </si>
  <si>
    <t>ppp skutečnost 2018</t>
  </si>
  <si>
    <t>VP ER 2018</t>
  </si>
  <si>
    <t xml:space="preserve">Riegrova 655
Hořice
508 01 Hořice v Podkrkonoší
</t>
  </si>
  <si>
    <t>Vzhledem k tomu,že naše zařízení má 9 lůžek a tato služba je oproti 110 lůžkům následné péče v měnšině,rozhoadla se naše organizace požádat o dotaci na pokrytí mzdových nákladů.</t>
  </si>
  <si>
    <t xml:space="preserve">Nádražní 111
507 91 Stará Paka
</t>
  </si>
  <si>
    <t>• děti předškolního věku (1 - 6 let)
• mladší děti (7 –10 let)
• starší děti (11 – 15 let)
• dorost (16 – 18 let)
• mladí dospělí (19 – 26 let)
• dospělí (27 – 64 let)
• starší senioři (nad 80 let)</t>
  </si>
  <si>
    <t xml:space="preserve">Štefánikova 549/27
Moravské Předměstí
500 11 Hradec Králové 11
</t>
  </si>
  <si>
    <t>tlumočnické služby</t>
  </si>
  <si>
    <t>Centrum tlumočnických sllužeb</t>
  </si>
  <si>
    <t>• 16. osoby se sluchovým postižením</t>
  </si>
  <si>
    <t>osoby se sluchovým postižením</t>
  </si>
  <si>
    <t>poskyt_nazev</t>
  </si>
  <si>
    <t>ic</t>
  </si>
  <si>
    <t>adresa</t>
  </si>
  <si>
    <t>pravni_forma</t>
  </si>
  <si>
    <t>identifikator_sluzby</t>
  </si>
  <si>
    <t>druh</t>
  </si>
  <si>
    <t>skupina</t>
  </si>
  <si>
    <t>nazev</t>
  </si>
  <si>
    <t>datum_od</t>
  </si>
  <si>
    <t>datum_do</t>
  </si>
  <si>
    <t>dluh</t>
  </si>
  <si>
    <t>p_max_kapacita</t>
  </si>
  <si>
    <t>p_POCET_LUZEK</t>
  </si>
  <si>
    <t>p_KAP_POC_UZIVATELU</t>
  </si>
  <si>
    <t>p_CELK_POC_UZIVATELU_PREDM</t>
  </si>
  <si>
    <t>p_PREDP_POC_UZIVATELU_MIN</t>
  </si>
  <si>
    <t>p_PLAN_POC_UZIVATELU</t>
  </si>
  <si>
    <t>p_KAP_POC_INTERVENCE</t>
  </si>
  <si>
    <t>p_CELK_POC_INTERVENCE_PREDM</t>
  </si>
  <si>
    <t>p_PREDP_POC_INTERVENCE_MIN</t>
  </si>
  <si>
    <t>p_PLAN_POC_INTERVENCE</t>
  </si>
  <si>
    <t>p_poznamka</t>
  </si>
  <si>
    <t>a_max_kapacita</t>
  </si>
  <si>
    <t>a_POCET_LUZEK</t>
  </si>
  <si>
    <t>a_KAP_POC_UZIVATELU</t>
  </si>
  <si>
    <t>a_MAX_DEN_KAP_UZIVATELU</t>
  </si>
  <si>
    <t>a_CELK_POC_UZIVATELU_PREDM</t>
  </si>
  <si>
    <t>a_PREDP_POC_UZIVATELU_MIN</t>
  </si>
  <si>
    <t>a_PLAN_POC_UZIVATELU</t>
  </si>
  <si>
    <t>a_KAP_POC_KONTAKTU</t>
  </si>
  <si>
    <t>a_CELK_POC_KONTAKTU_PREDM</t>
  </si>
  <si>
    <t>a_PREDP_POC_KONTAKTU_MIN</t>
  </si>
  <si>
    <t>a_PLAN_POC_KONTAKTU</t>
  </si>
  <si>
    <t>a_KAP_POC_INTERVENCE</t>
  </si>
  <si>
    <t>a_MAX_DEN_KAP_INTERVENCE</t>
  </si>
  <si>
    <t>a_CELK_POC_INTERVENCE_PREDM</t>
  </si>
  <si>
    <t>a_PREDP_POC_INTERVENCE_MIN</t>
  </si>
  <si>
    <t>a_PLAN_POC_INTERVENCE</t>
  </si>
  <si>
    <t>a_PLAN_POC_ZAJISTENI_CINNOSTI</t>
  </si>
  <si>
    <t>a_poznamka</t>
  </si>
  <si>
    <t>t_max_kapacita</t>
  </si>
  <si>
    <t>t_KAP_POC_UZIVATELU</t>
  </si>
  <si>
    <t>t_MAX_DEN_KAP_UZIVATELU</t>
  </si>
  <si>
    <t>t_CELK_POC_UZIVATELU_PREDM</t>
  </si>
  <si>
    <t>t_PREDP_POC_UZIVATELU_MIN</t>
  </si>
  <si>
    <t>t_PLAN_POC_UZIVATELU</t>
  </si>
  <si>
    <t>t_KAP_POC_HOVORU</t>
  </si>
  <si>
    <t>t_MAX_DEN_KAP_HOVORU</t>
  </si>
  <si>
    <t>t_CELK_POC_HOVORU_PREDM</t>
  </si>
  <si>
    <t>t_PREDP_POC_HOVORU_MIN</t>
  </si>
  <si>
    <t>t_PLAN_POC_HOVORU</t>
  </si>
  <si>
    <t>t_KAP_POC_KONTAKTU</t>
  </si>
  <si>
    <t>t_CELK_POC_KONTAKTU_PREDM</t>
  </si>
  <si>
    <t>t_PREDP_POC_KONTAKTU_MIN</t>
  </si>
  <si>
    <t>t_PLAN_POC_KONTAKTU</t>
  </si>
  <si>
    <t>t_KAP_POC_INTERVENCE</t>
  </si>
  <si>
    <t>t_MAX_DEN_KAP_INTERVENCE</t>
  </si>
  <si>
    <t>t_CELK_POC_INTERVENCE_PREDM</t>
  </si>
  <si>
    <t>t_PREDP_POC_INTERVENCE_MIN</t>
  </si>
  <si>
    <t>t_PLAN_POC_INTERVENCE</t>
  </si>
  <si>
    <t>t_PLAN_POC_ZAJISTENI_CINNOSTI</t>
  </si>
  <si>
    <t>t_poznamka</t>
  </si>
  <si>
    <t>cilove_skupiny</t>
  </si>
  <si>
    <t>prevazujici_skupina</t>
  </si>
  <si>
    <t>vekove_kategorie</t>
  </si>
  <si>
    <t>strukt_at_a_1_do_18</t>
  </si>
  <si>
    <t>strukt_at_a_2_do_18</t>
  </si>
  <si>
    <t>strukt_at_a_3_do_18</t>
  </si>
  <si>
    <t>strukt_at_a_4_do_18</t>
  </si>
  <si>
    <t>strukt_at_a_ost_do_18</t>
  </si>
  <si>
    <t>strukt_at_a_1_nad_18</t>
  </si>
  <si>
    <t>strukt_at_a_2_nad_18</t>
  </si>
  <si>
    <t>strukt_at_a_3_nad_18</t>
  </si>
  <si>
    <t>strukt_at_a_4_nad_18</t>
  </si>
  <si>
    <t>strukt_at_a_ost_nad_18</t>
  </si>
  <si>
    <t>strukt_at_a_1_celk</t>
  </si>
  <si>
    <t>strukt_at_a_2_celk</t>
  </si>
  <si>
    <t>strukt_at_a_3_celk</t>
  </si>
  <si>
    <t>strukt_at_a_4_celk</t>
  </si>
  <si>
    <t>strukt_at_a_ost_celk</t>
  </si>
  <si>
    <t>strukt_at_a_do_18_celk</t>
  </si>
  <si>
    <t>strukt_at_a_nad_18_celk</t>
  </si>
  <si>
    <t>strukt_at_a_celk</t>
  </si>
  <si>
    <t>strukt_at_a_bez_uhrady</t>
  </si>
  <si>
    <t>strukt_at_o_1_do_18</t>
  </si>
  <si>
    <t>strukt_at_o_2_do_18</t>
  </si>
  <si>
    <t>strukt_at_o_3_do_18</t>
  </si>
  <si>
    <t>strukt_at_o_4_do_18</t>
  </si>
  <si>
    <t>strukt_at_o_ost_do_18</t>
  </si>
  <si>
    <t>strukt_at_o_1_nad_18</t>
  </si>
  <si>
    <t>strukt_at_o_2_nad_18</t>
  </si>
  <si>
    <t>strukt_at_o_3_nad_18</t>
  </si>
  <si>
    <t>strukt_at_o_4_nad_18</t>
  </si>
  <si>
    <t>strukt_at_o_ost_nad_18</t>
  </si>
  <si>
    <t>strukt_at_o_1_celk</t>
  </si>
  <si>
    <t>strukt_at_o_2_celk</t>
  </si>
  <si>
    <t>strukt_at_o_3_celk</t>
  </si>
  <si>
    <t>strukt_at_o_4_celk</t>
  </si>
  <si>
    <t>strukt_at_o_ost_celk</t>
  </si>
  <si>
    <t>strukt_at_o_do_18_celk</t>
  </si>
  <si>
    <t>strukt_at_o_nad_18_celk</t>
  </si>
  <si>
    <t>strukt_at_o_celk</t>
  </si>
  <si>
    <t>strukt_at_o_bez_uhrady</t>
  </si>
  <si>
    <t>strukt_p_a_1_do_18</t>
  </si>
  <si>
    <t>strukt_p_a_2_do_18</t>
  </si>
  <si>
    <t>strukt_p_a_3_do_18</t>
  </si>
  <si>
    <t>strukt_p_a_4_do_18</t>
  </si>
  <si>
    <t>strukt_p_a_ost_do_18</t>
  </si>
  <si>
    <t>strukt_p_a_1_nad_18</t>
  </si>
  <si>
    <t>strukt_p_a_2_nad_18</t>
  </si>
  <si>
    <t>strukt_p_a_3_nad_18</t>
  </si>
  <si>
    <t>strukt_p_a_4_nad_18</t>
  </si>
  <si>
    <t>strukt_p_a_ost_nad_18</t>
  </si>
  <si>
    <t>strukt_p_a_1_celk</t>
  </si>
  <si>
    <t>strukt_p_a_2_celk</t>
  </si>
  <si>
    <t>strukt_p_a_3_celk</t>
  </si>
  <si>
    <t>strukt_p_a_4_celk</t>
  </si>
  <si>
    <t>strukt_p_a_ost_celk</t>
  </si>
  <si>
    <t>strukt_p_a_do_18_celk</t>
  </si>
  <si>
    <t>strukt_p_a_nad_18_celk</t>
  </si>
  <si>
    <t>strukt_p_a_celk</t>
  </si>
  <si>
    <t>strukt_p_o_1_do_18</t>
  </si>
  <si>
    <t>strukt_p_o_2_do_18</t>
  </si>
  <si>
    <t>strukt_p_o_3_do_18</t>
  </si>
  <si>
    <t>strukt_p_o_4_do_18</t>
  </si>
  <si>
    <t>strukt_p_o_ost_do_18</t>
  </si>
  <si>
    <t>strukt_p_o_1_nad_18</t>
  </si>
  <si>
    <t>strukt_p_o_2_nad_18</t>
  </si>
  <si>
    <t>strukt_p_o_3_nad_18</t>
  </si>
  <si>
    <t>strukt_p_o_4_nad_18</t>
  </si>
  <si>
    <t>strukt_p_o_ost_nad_18</t>
  </si>
  <si>
    <t>strukt_p_o_1_celk</t>
  </si>
  <si>
    <t>strukt_p_o_2_celk</t>
  </si>
  <si>
    <t>strukt_p_o_3_celk</t>
  </si>
  <si>
    <t>strukt_p_o_4_celk</t>
  </si>
  <si>
    <t>strukt_p_o_ost_celk</t>
  </si>
  <si>
    <t>strukt_p_o_do_18_celk</t>
  </si>
  <si>
    <t>strukt_p_o_nad_18_celk</t>
  </si>
  <si>
    <t>strukt_p_o_celk</t>
  </si>
  <si>
    <t>sml_pocet_1_1</t>
  </si>
  <si>
    <t>sml_uvazku_1_1</t>
  </si>
  <si>
    <t>sml_uvazku_prep_min_1_1</t>
  </si>
  <si>
    <t>sml_naklady_1_1</t>
  </si>
  <si>
    <t>sml_pozad_dotace_1_1</t>
  </si>
  <si>
    <t>sml_pocet_1_2</t>
  </si>
  <si>
    <t>sml_uvazku_1_2</t>
  </si>
  <si>
    <t>sml_uvazku_prep_min_1_2</t>
  </si>
  <si>
    <t>sml_naklady_1_2</t>
  </si>
  <si>
    <t>sml_pozad_dotace_1_2</t>
  </si>
  <si>
    <t>sml_pocet_1_3</t>
  </si>
  <si>
    <t>sml_uvazku_1_3</t>
  </si>
  <si>
    <t>sml_uvazku_prep_min_1_3</t>
  </si>
  <si>
    <t>sml_naklady_1_3</t>
  </si>
  <si>
    <t>sml_pozad_dotace_1_3</t>
  </si>
  <si>
    <t>sml_pocet_1_4</t>
  </si>
  <si>
    <t>sml_uvazku_1_4</t>
  </si>
  <si>
    <t>sml_uvazku_prep_min_1_4</t>
  </si>
  <si>
    <t>sml_naklady_1_4</t>
  </si>
  <si>
    <t>sml_pozad_dotace_1_4</t>
  </si>
  <si>
    <t>sml_pocet_1_5</t>
  </si>
  <si>
    <t>sml_uvazku_1_5</t>
  </si>
  <si>
    <t>sml_uvazku_prep_min_1_5</t>
  </si>
  <si>
    <t>sml_naklady_1_5</t>
  </si>
  <si>
    <t>sml_pozad_dotace_1_5</t>
  </si>
  <si>
    <t>sml_pocet_1_6</t>
  </si>
  <si>
    <t>sml_uvazku_1_6</t>
  </si>
  <si>
    <t>sml_uvazku_prep_min_1_6</t>
  </si>
  <si>
    <t>sml_naklady_1_6</t>
  </si>
  <si>
    <t>sml_pozad_dotace_1_6</t>
  </si>
  <si>
    <t>sml_pocet_2</t>
  </si>
  <si>
    <t>sml_uvazku_2</t>
  </si>
  <si>
    <t>sml_uvazku_prep_min_2</t>
  </si>
  <si>
    <t>sml_naklady_2</t>
  </si>
  <si>
    <t>sml_pozad_dotace_2</t>
  </si>
  <si>
    <t>dpc_pocet_1</t>
  </si>
  <si>
    <t>dpc_uvazky_1</t>
  </si>
  <si>
    <t>dpc_mesicu_1</t>
  </si>
  <si>
    <t>dpc_uvazky_prep_1</t>
  </si>
  <si>
    <t>dpc_naklady_1</t>
  </si>
  <si>
    <t>dpc_dotace_1</t>
  </si>
  <si>
    <t>dpc_pocet_2</t>
  </si>
  <si>
    <t>dpc_uvazky_2</t>
  </si>
  <si>
    <t>dpc_mesicu_2</t>
  </si>
  <si>
    <t>dpc_uvazky_prep_2</t>
  </si>
  <si>
    <t>dpc_naklady_2</t>
  </si>
  <si>
    <t>dpc_dotace_2</t>
  </si>
  <si>
    <t>dpc_pocet_3</t>
  </si>
  <si>
    <t>dpc_uvazky_3</t>
  </si>
  <si>
    <t>dpc_mesicu_3</t>
  </si>
  <si>
    <t>dpc_uvazky_prep_3</t>
  </si>
  <si>
    <t>dpc_naklady_3</t>
  </si>
  <si>
    <t>dpc_dotace_3</t>
  </si>
  <si>
    <t>dpc_pocet_4</t>
  </si>
  <si>
    <t>dpc_uvazky_4</t>
  </si>
  <si>
    <t>dpc_mesicu_4</t>
  </si>
  <si>
    <t>dpc_uvazky_prep_4</t>
  </si>
  <si>
    <t>dpc_naklady_4</t>
  </si>
  <si>
    <t>dpc_dotace_4</t>
  </si>
  <si>
    <t>dpc_pocet_5</t>
  </si>
  <si>
    <t>dpc_uvazky_5</t>
  </si>
  <si>
    <t>dpc_mesicu_5</t>
  </si>
  <si>
    <t>dpc_uvazky_prep_5</t>
  </si>
  <si>
    <t>dpc_naklady_5</t>
  </si>
  <si>
    <t>dpc_dotace_5</t>
  </si>
  <si>
    <t>dpc_pocet_6</t>
  </si>
  <si>
    <t>dpc_uvazky_6</t>
  </si>
  <si>
    <t>dpc_mesicu_6</t>
  </si>
  <si>
    <t>dpc_uvazky_prep_6</t>
  </si>
  <si>
    <t>dpc_naklady_6</t>
  </si>
  <si>
    <t>dpc_dotace_6</t>
  </si>
  <si>
    <t>dpc_pocet_7</t>
  </si>
  <si>
    <t>dpc_uvazky_7</t>
  </si>
  <si>
    <t>dpc_mesicu_7</t>
  </si>
  <si>
    <t>dpc_uvazky_prep_7</t>
  </si>
  <si>
    <t>dpc_naklady_7</t>
  </si>
  <si>
    <t>dpc_dotace_7</t>
  </si>
  <si>
    <t>dpc_pocet_8</t>
  </si>
  <si>
    <t>dpc_uvazky_8</t>
  </si>
  <si>
    <t>dpc_mesicu_8</t>
  </si>
  <si>
    <t>dpc_uvazky_prep_8</t>
  </si>
  <si>
    <t>dpc_naklady_8</t>
  </si>
  <si>
    <t>dpc_dotace_8</t>
  </si>
  <si>
    <t>dpc_pocet_9</t>
  </si>
  <si>
    <t>dpc_uvazky_9</t>
  </si>
  <si>
    <t>dpc_mesicu_9</t>
  </si>
  <si>
    <t>dpc_uvazky_prep_9</t>
  </si>
  <si>
    <t>dpc_naklady_9</t>
  </si>
  <si>
    <t>dpc_dotace_9</t>
  </si>
  <si>
    <t>dpc_pocet_10</t>
  </si>
  <si>
    <t>dpc_uvazky_10</t>
  </si>
  <si>
    <t>dpc_mesicu_10</t>
  </si>
  <si>
    <t>dpc_uvazky_prep_10</t>
  </si>
  <si>
    <t>dpc_naklady_10</t>
  </si>
  <si>
    <t>dpc_dotace_10</t>
  </si>
  <si>
    <t>dpc_pocet_98</t>
  </si>
  <si>
    <t>dpc_uvazky_98</t>
  </si>
  <si>
    <t>dpc_mesicu_98</t>
  </si>
  <si>
    <t>dpc_uvazky_prep_98</t>
  </si>
  <si>
    <t>dpc_naklady_98</t>
  </si>
  <si>
    <t>dpc_dotace_98</t>
  </si>
  <si>
    <t>dpc_pocet_ost</t>
  </si>
  <si>
    <t>dpc_uvazky_ost</t>
  </si>
  <si>
    <t>dpc_mesicu_ost</t>
  </si>
  <si>
    <t>dpc_uvazky_prep_ost</t>
  </si>
  <si>
    <t>dpc_naklady_ost</t>
  </si>
  <si>
    <t>dpc_dotace_ost</t>
  </si>
  <si>
    <t>dpp_pocet_pp</t>
  </si>
  <si>
    <t>dpp_rozsah_pp</t>
  </si>
  <si>
    <t>dpp_uvazky_prep_pp</t>
  </si>
  <si>
    <t>dpp_odmena_pp</t>
  </si>
  <si>
    <t>dpp_dotace_pp</t>
  </si>
  <si>
    <t>dpp_pocet_ost</t>
  </si>
  <si>
    <t>dpp_rozsah_ost</t>
  </si>
  <si>
    <t>dpp_uvazky_prep_ost</t>
  </si>
  <si>
    <t>dpp_odmena_ost</t>
  </si>
  <si>
    <t>dpp_dotace_ost</t>
  </si>
  <si>
    <t>nsl_pocet_1_1</t>
  </si>
  <si>
    <t>nsl_uvazku_1_1</t>
  </si>
  <si>
    <t>nsl_uvazku_prep_min_1_1</t>
  </si>
  <si>
    <t>nsl_naklady_1_1</t>
  </si>
  <si>
    <t>nsl_pozad_dotace_1_1</t>
  </si>
  <si>
    <t>nsl_pocet_1_2</t>
  </si>
  <si>
    <t>nsl_uvazku_1_2</t>
  </si>
  <si>
    <t>nsl_uvazku_prep_min_1_2</t>
  </si>
  <si>
    <t>nsl_naklady_1_2</t>
  </si>
  <si>
    <t>nsl_pozad_dotace_1_2</t>
  </si>
  <si>
    <t>nsl_pocet_1_3</t>
  </si>
  <si>
    <t>nsl_uvazku_1_3</t>
  </si>
  <si>
    <t>nsl_uvazku_prep_min_1_3</t>
  </si>
  <si>
    <t>nsl_naklady_1_3</t>
  </si>
  <si>
    <t>nsl_pozad_dotace_1_3</t>
  </si>
  <si>
    <t>nsl_pocet_1_4</t>
  </si>
  <si>
    <t>nsl_uvazku_1_4</t>
  </si>
  <si>
    <t>nsl_uvazku_prep_min_1_4</t>
  </si>
  <si>
    <t>nsl_naklady_1_4</t>
  </si>
  <si>
    <t>nsl_pozad_dotace_1_4</t>
  </si>
  <si>
    <t>nsl_pocet_1_5</t>
  </si>
  <si>
    <t>nsl_uvazku_1_5</t>
  </si>
  <si>
    <t>nsl_uvazku_prep_min_1_5</t>
  </si>
  <si>
    <t>nsl_naklady_1_5</t>
  </si>
  <si>
    <t>nsl_pozad_dotace_1_5</t>
  </si>
  <si>
    <t>nsl_pocet_1_6</t>
  </si>
  <si>
    <t>nsl_uvazku_1_6</t>
  </si>
  <si>
    <t>nsl_uvazku_prep_min_1_6</t>
  </si>
  <si>
    <t>nsl_naklady_1_6</t>
  </si>
  <si>
    <t>nsl_pozad_dotace_1_6</t>
  </si>
  <si>
    <t>nsl_pocet_2</t>
  </si>
  <si>
    <t>nsl_uvazku_2</t>
  </si>
  <si>
    <t>nsl_uvazku_prep_min_2</t>
  </si>
  <si>
    <t>nsl_naklady_2</t>
  </si>
  <si>
    <t>nsl_pozad_dotace_2</t>
  </si>
  <si>
    <t>dobrovolnici_pocet</t>
  </si>
  <si>
    <t>dobrovolnici_hodin</t>
  </si>
  <si>
    <t>naklady_1_1</t>
  </si>
  <si>
    <t>pozad_dotace_1_1</t>
  </si>
  <si>
    <t>pozad_dotace_kraj_1_1</t>
  </si>
  <si>
    <t>nadhodnoceno_1_1</t>
  </si>
  <si>
    <t>neuznano_1_1</t>
  </si>
  <si>
    <t>cast_neuznano_1_1</t>
  </si>
  <si>
    <t>naklady_1_2</t>
  </si>
  <si>
    <t>pozad_dotace_1_2</t>
  </si>
  <si>
    <t>pozad_dotace_kraj_1_2</t>
  </si>
  <si>
    <t>nadhodnoceno_1_2</t>
  </si>
  <si>
    <t>neuznano_1_2</t>
  </si>
  <si>
    <t>cast_neuznano_1_2</t>
  </si>
  <si>
    <t>naklady_1_3</t>
  </si>
  <si>
    <t>pozad_dotace_1_3</t>
  </si>
  <si>
    <t>pozad_dotace_kraj_1_3</t>
  </si>
  <si>
    <t>nadhodnoceno_1_3</t>
  </si>
  <si>
    <t>neuznano_1_3</t>
  </si>
  <si>
    <t>cast_neuznano_1_3</t>
  </si>
  <si>
    <t>naklady_1_4</t>
  </si>
  <si>
    <t>pozad_dotace_1_4</t>
  </si>
  <si>
    <t>pozad_dotace_kraj_1_4</t>
  </si>
  <si>
    <t>nadhodnoceno_1_4</t>
  </si>
  <si>
    <t>neuznano_1_4</t>
  </si>
  <si>
    <t>cast_neuznano_1_4</t>
  </si>
  <si>
    <t>naklady_2_1_1</t>
  </si>
  <si>
    <t>pozad_dotace_2_1_1</t>
  </si>
  <si>
    <t>pozad_dotace_kraj_2_1_1</t>
  </si>
  <si>
    <t>nadhodnoceno_2_1_1</t>
  </si>
  <si>
    <t>neuznano_2_1_1</t>
  </si>
  <si>
    <t>cast_neuznano_2_1_1</t>
  </si>
  <si>
    <t>naklady_2_1_2</t>
  </si>
  <si>
    <t>pozad_dotace_2_1_2</t>
  </si>
  <si>
    <t>pozad_dotace_kraj_2_1_2</t>
  </si>
  <si>
    <t>nadhodnoceno_2_1_2</t>
  </si>
  <si>
    <t>neuznano_2_1_2</t>
  </si>
  <si>
    <t>cast_neuznano_2_1_2</t>
  </si>
  <si>
    <t>naklady_2_2</t>
  </si>
  <si>
    <t>pozad_dotace_2_2</t>
  </si>
  <si>
    <t>pozad_dotace_kraj_2_2</t>
  </si>
  <si>
    <t>nadhodnoceno_2_2</t>
  </si>
  <si>
    <t>neuznano_2_2</t>
  </si>
  <si>
    <t>cast_neuznano_2_2</t>
  </si>
  <si>
    <t>naklady_2_3</t>
  </si>
  <si>
    <t>pozad_dotace_2_3</t>
  </si>
  <si>
    <t>pozad_dotace_kraj_2_3</t>
  </si>
  <si>
    <t>nadhodnoceno_2_3</t>
  </si>
  <si>
    <t>neuznano_2_3</t>
  </si>
  <si>
    <t>cast_neuznano_2_3</t>
  </si>
  <si>
    <t>naklady_2_4</t>
  </si>
  <si>
    <t>pozad_dotace_2_4</t>
  </si>
  <si>
    <t>pozad_dotace_kraj_2_4</t>
  </si>
  <si>
    <t>nadhodnoceno_2_4</t>
  </si>
  <si>
    <t>neuznano_2_4</t>
  </si>
  <si>
    <t>cast_neuznano_2_4</t>
  </si>
  <si>
    <t>naklady_2_5</t>
  </si>
  <si>
    <t>pozad_dotace_2_5</t>
  </si>
  <si>
    <t>pozad_dotace_kraj_2_5</t>
  </si>
  <si>
    <t>nadhodnoceno_2_5</t>
  </si>
  <si>
    <t>neuznano_2_5</t>
  </si>
  <si>
    <t>cast_neuznano_2_5</t>
  </si>
  <si>
    <t>naklady_2_6_1</t>
  </si>
  <si>
    <t>pozad_dotace_2_6_1</t>
  </si>
  <si>
    <t>pozad_dotace_kraj_2_6_1</t>
  </si>
  <si>
    <t>nadhodnoceno_2_6_1</t>
  </si>
  <si>
    <t>neuznano_2_6_1</t>
  </si>
  <si>
    <t>cast_neuznano_2_6_1</t>
  </si>
  <si>
    <t>naklady_2_6_2</t>
  </si>
  <si>
    <t>pozad_dotace_2_6_2</t>
  </si>
  <si>
    <t>pozad_dotace_kraj_2_6_2</t>
  </si>
  <si>
    <t>nadhodnoceno_2_6_2</t>
  </si>
  <si>
    <t>neuznano_2_6_2</t>
  </si>
  <si>
    <t>cast_neuznano_2_6_2</t>
  </si>
  <si>
    <t>naklady_2_6_3</t>
  </si>
  <si>
    <t>pozad_dotace_2_6_3</t>
  </si>
  <si>
    <t>pozad_dotace_kraj_2_6_3</t>
  </si>
  <si>
    <t>nadhodnoceno_2_6_3</t>
  </si>
  <si>
    <t>neuznano_2_6_3</t>
  </si>
  <si>
    <t>cast_neuznano_2_6_3</t>
  </si>
  <si>
    <t>naklady_2_6_4</t>
  </si>
  <si>
    <t>pozad_dotace_2_6_4</t>
  </si>
  <si>
    <t>pozad_dotace_kraj_2_6_4</t>
  </si>
  <si>
    <t>nadhodnoceno_2_6_4</t>
  </si>
  <si>
    <t>neuznano_2_6_4</t>
  </si>
  <si>
    <t>cast_neuznano_2_6_4</t>
  </si>
  <si>
    <t>naklady_2_6_5</t>
  </si>
  <si>
    <t>pozad_dotace_2_6_5</t>
  </si>
  <si>
    <t>pozad_dotace_kraj_2_6_5</t>
  </si>
  <si>
    <t>nadhodnoceno_2_6_5</t>
  </si>
  <si>
    <t>neuznano_2_6_5</t>
  </si>
  <si>
    <t>cast_neuznano_2_6_5</t>
  </si>
  <si>
    <t>naklady_2_6_6</t>
  </si>
  <si>
    <t>pozad_dotace_2_6_6</t>
  </si>
  <si>
    <t>pozad_dotace_kraj_2_6_6</t>
  </si>
  <si>
    <t>nadhodnoceno_2_6_6</t>
  </si>
  <si>
    <t>neuznano_2_6_6</t>
  </si>
  <si>
    <t>cast_neuznano_2_6_6</t>
  </si>
  <si>
    <t>naklady_2_6_7</t>
  </si>
  <si>
    <t>pozad_dotace_2_6_7</t>
  </si>
  <si>
    <t>pozad_dotace_kraj_2_6_7</t>
  </si>
  <si>
    <t>nadhodnoceno_2_6_7</t>
  </si>
  <si>
    <t>neuznano_2_6_7</t>
  </si>
  <si>
    <t>cast_neuznano_2_6_7</t>
  </si>
  <si>
    <t>naklady_2_6_8</t>
  </si>
  <si>
    <t>pozad_dotace_2_6_8</t>
  </si>
  <si>
    <t>pozad_dotace_kraj_2_6_8</t>
  </si>
  <si>
    <t>nadhodnoceno_2_6_8</t>
  </si>
  <si>
    <t>neuznano_2_6_8</t>
  </si>
  <si>
    <t>cast_neuznano_2_6_8</t>
  </si>
  <si>
    <t>naklady_2_6_9</t>
  </si>
  <si>
    <t>pozad_dotace_2_6_9</t>
  </si>
  <si>
    <t>pozad_dotace_kraj_2_6_9</t>
  </si>
  <si>
    <t>nadhodnoceno_2_6_9</t>
  </si>
  <si>
    <t>neuznano_2_6_9</t>
  </si>
  <si>
    <t>cast_neuznano_2_6_9</t>
  </si>
  <si>
    <t>naklady_2_6_10</t>
  </si>
  <si>
    <t>pozad_dotace_2_6_10</t>
  </si>
  <si>
    <t>pozad_dotace_kraj_2_6_10</t>
  </si>
  <si>
    <t>nadhodnoceno_2_6_10</t>
  </si>
  <si>
    <t>neuznano_2_6_10</t>
  </si>
  <si>
    <t>cast_neuznano_2_6_10</t>
  </si>
  <si>
    <t>naklady_2_7</t>
  </si>
  <si>
    <t>pozad_dotace_2_7</t>
  </si>
  <si>
    <t>pozad_dotace_kraj_2_7</t>
  </si>
  <si>
    <t>nadhodnoceno_2_7</t>
  </si>
  <si>
    <t>neuznano_2_7</t>
  </si>
  <si>
    <t>cast_neuznano_2_7</t>
  </si>
  <si>
    <t>naklady_2_8</t>
  </si>
  <si>
    <t>pozad_dotace_2_8</t>
  </si>
  <si>
    <t>pozad_dotace_kraj_2_8</t>
  </si>
  <si>
    <t>nadhodnoceno_2_8</t>
  </si>
  <si>
    <t>neuznano_2_8</t>
  </si>
  <si>
    <t>cast_neuznano_2_8</t>
  </si>
  <si>
    <t>celkem_naklady</t>
  </si>
  <si>
    <t>celkem_pozad_dotace</t>
  </si>
  <si>
    <t>celkem_pozad_dotace_kraj</t>
  </si>
  <si>
    <t>podil_dotace_kraj</t>
  </si>
  <si>
    <t>podil_pusobnosti_kraj</t>
  </si>
  <si>
    <t>pocet_ost_kraju</t>
  </si>
  <si>
    <t>obvykle_naklady</t>
  </si>
  <si>
    <t>minimalni_vyse_uhrad</t>
  </si>
  <si>
    <t>fin_1_1_n2</t>
  </si>
  <si>
    <t>fin_1_1_n1</t>
  </si>
  <si>
    <t>fin_1_1_n0</t>
  </si>
  <si>
    <t>fin_1_2_n2</t>
  </si>
  <si>
    <t>fin_1_2_n1</t>
  </si>
  <si>
    <t>fin_1_2_n0</t>
  </si>
  <si>
    <t>fin_1_4_n2</t>
  </si>
  <si>
    <t>fin_1_4_n1</t>
  </si>
  <si>
    <t>fin_1_4_n0</t>
  </si>
  <si>
    <t>fin_1_5_n2</t>
  </si>
  <si>
    <t>fin_1_5_n1</t>
  </si>
  <si>
    <t>fin_1_5_n0</t>
  </si>
  <si>
    <t>fin_1_6_n2</t>
  </si>
  <si>
    <t>fin_1_6_n1</t>
  </si>
  <si>
    <t>fin_1_6_n0</t>
  </si>
  <si>
    <t>uhrada_min</t>
  </si>
  <si>
    <t>fin_1_7_n2</t>
  </si>
  <si>
    <t>fin_1_7_n1</t>
  </si>
  <si>
    <t>fin_1_7_n0</t>
  </si>
  <si>
    <t>min_vyse_uhrad_vzp</t>
  </si>
  <si>
    <t>fin_2_n2</t>
  </si>
  <si>
    <t>fin_2_n1</t>
  </si>
  <si>
    <t>fin_2_n0</t>
  </si>
  <si>
    <t>fin_3_n2</t>
  </si>
  <si>
    <t>fin_3_n1</t>
  </si>
  <si>
    <t>fin_3_n0</t>
  </si>
  <si>
    <t>fin_6_n2</t>
  </si>
  <si>
    <t>fin_6_n1</t>
  </si>
  <si>
    <t>fin_6_n0</t>
  </si>
  <si>
    <t>fin_4_n2</t>
  </si>
  <si>
    <t>fin_4_n1</t>
  </si>
  <si>
    <t>fin_4_n0</t>
  </si>
  <si>
    <t>fin_5_n2</t>
  </si>
  <si>
    <t>fin_5_n1</t>
  </si>
  <si>
    <t>fin_5_n0</t>
  </si>
  <si>
    <t>soulad_s_sprss</t>
  </si>
  <si>
    <t>podpora</t>
  </si>
  <si>
    <t>chybny_program</t>
  </si>
  <si>
    <t>max_navrh_podpory</t>
  </si>
  <si>
    <t>podpora_optimalni</t>
  </si>
  <si>
    <t>podpora_realna</t>
  </si>
  <si>
    <t>zmena_podpory</t>
  </si>
  <si>
    <t>navrh_pro_dk</t>
  </si>
  <si>
    <t>navrh_z_dk</t>
  </si>
  <si>
    <t>priznana_dotace</t>
  </si>
  <si>
    <t xml:space="preserve">Milady Horákové 504/45
Třebeš
500 06 Hradec Králové 6
</t>
  </si>
  <si>
    <t>Klientela využívajícící tlumočnickou službu významně nekolísá. Jsou stálí uživatelé služby využívající službu pravidelně např. k návštěvě lékaře, ale službu využívají také osoby jednorázově nebo při momemtalní potřebě vyřešit svou tíživou situaci. V Hradeckém centru se potýkáme s problémem v personálním zajištění. Nedaří se zajistit pracovníky do služby a tím službu rozšířit.</t>
  </si>
  <si>
    <t>Počet klientů je stabilní. Jedná se o využívání služby pravidelné, kdy uživatel využívá službu k lékaři. Mohou to být tlumočení jednorázová, kdy uživatel potřebuje řešit momentální tíživou sociální situaci. Nebo služba může být poskytována po dobu, dokud se tížívá sociální situace nezmění. Nejčastěji se jedná o návštěvy u lékaře či při využití poradnských služeb jiné organizace, úřadech. Dotace je  zacílena na zvýšení finanční částky pro odměny pracovníků, kteří vykonávají velice náročnou práci po stránce odborné, psychické, fyzické. Naší snahou rozděli pracovní kompetence na jednotlivé pracovníky.</t>
  </si>
  <si>
    <t>Služba odborného sociálního poradneství je zajišťována osobám se sluchovým postižením . V současnosti je třeba vymezit kompetence u pracovníků Hradeckého centra a navýšením mezd uspokojit zaměstnance, aby odpovídala odměna za vykonanou práci. Uživatel a jeho naplněný požadavek je naším cílem. 
Předložený rozpočet vychází z potřeb na jednotlivé pracovní pozice.</t>
  </si>
  <si>
    <t>VZ</t>
  </si>
  <si>
    <t>Platby 2019</t>
  </si>
  <si>
    <t>Rok 2019</t>
  </si>
  <si>
    <t>VZ11</t>
  </si>
  <si>
    <t>VZ12</t>
  </si>
  <si>
    <t>VZ13</t>
  </si>
  <si>
    <t>VZ14</t>
  </si>
  <si>
    <t>VZ15</t>
  </si>
  <si>
    <t>VZ16</t>
  </si>
  <si>
    <t>VZ17</t>
  </si>
  <si>
    <t>VZ18</t>
  </si>
  <si>
    <t>VZ19</t>
  </si>
  <si>
    <t>VZ20</t>
  </si>
  <si>
    <t>VZ21</t>
  </si>
  <si>
    <t>VZ22</t>
  </si>
  <si>
    <t>VZ23</t>
  </si>
  <si>
    <t>VZ24</t>
  </si>
  <si>
    <t>VZ25</t>
  </si>
  <si>
    <t>VZ26</t>
  </si>
  <si>
    <t>VZ27</t>
  </si>
  <si>
    <t>VZ28</t>
  </si>
  <si>
    <t>VZ29</t>
  </si>
  <si>
    <t>VZ30</t>
  </si>
  <si>
    <t>VZ31</t>
  </si>
  <si>
    <t>VZ32</t>
  </si>
  <si>
    <t>VZ33</t>
  </si>
  <si>
    <t>VZ34</t>
  </si>
  <si>
    <t>VZ35</t>
  </si>
  <si>
    <t>VZ36</t>
  </si>
  <si>
    <t>VZ37</t>
  </si>
  <si>
    <t>VZ38</t>
  </si>
  <si>
    <t>VZ39</t>
  </si>
  <si>
    <t>VZ40</t>
  </si>
  <si>
    <t>VZ41</t>
  </si>
  <si>
    <t>VZ42</t>
  </si>
  <si>
    <t>VZ43</t>
  </si>
  <si>
    <t>VZ44</t>
  </si>
  <si>
    <t>VZ45</t>
  </si>
  <si>
    <t>VZ46</t>
  </si>
  <si>
    <t>VZ47</t>
  </si>
  <si>
    <t xml:space="preserve">Roztocká 994
514 01 Jilemnice
</t>
  </si>
  <si>
    <t>Dětské centrum Jilemnice</t>
  </si>
  <si>
    <t>• 10. osoby s chronickým duševním onemocněním
• 11. osoby s chronickým onemocněním
• 12. osoby s jiným zdravotním postižením
• 13. osoby s kombinovaným postižením
• 14. osoby s mentálním postižením
• 15. osoby s tělesným postižením
• 17. osoby se zdravotním postižením</t>
  </si>
  <si>
    <t>• děti předškolního věku (1 - 6 let)
• mladší děti (7 –10 let)
• starší děti (11 – 15 let)</t>
  </si>
  <si>
    <t>• počet klientů: 3
• počet lůžek: 3</t>
  </si>
  <si>
    <t>• 11. osoby s chronickým onemocněním
• 12. osoby s jiným zdravotním postižením
• 13. osoby s kombinovaným postižením
• 14. osoby s mentálním postižením
• 15. osoby s tělesným postižením
• 17. osoby se zdravotním postižením</t>
  </si>
  <si>
    <t>• děti kojeneckého věku (do 1 roku)
• děti předškolního věku (1 - 6 let)
• mladší děti (7 –10 let)
• starší děti (11 – 15 let)
• dorost (16 – 18 let)
• mladí dospělí (19 – 26 let)
• dospělí (27 – 64 let)</t>
  </si>
  <si>
    <t>Pozice</t>
  </si>
  <si>
    <t>Osobní náklady</t>
  </si>
  <si>
    <t>přepočt. Počet prac.</t>
  </si>
  <si>
    <t>Průměrná mzda</t>
  </si>
  <si>
    <t>ČR</t>
  </si>
  <si>
    <t>Krásný věk, zapsaný spolek</t>
  </si>
  <si>
    <t>Senior dům Beránek s. r. o.</t>
  </si>
  <si>
    <t>LDZ, s. r. o.</t>
  </si>
  <si>
    <t>SAMANIT s.r.o.</t>
  </si>
  <si>
    <t>Lázně Bělohrad a.s.</t>
  </si>
  <si>
    <t>Soukromé senior centrum Nechanice s.r.o.</t>
  </si>
  <si>
    <t>domy na půl cesty</t>
  </si>
  <si>
    <t>Czech Med Cross z.s.</t>
  </si>
  <si>
    <t>SKOK do života o.p.s.</t>
  </si>
  <si>
    <t>Obec Smidary</t>
  </si>
  <si>
    <t>Linnet eu s.r.o.</t>
  </si>
  <si>
    <t>ADM</t>
  </si>
  <si>
    <t>MAN</t>
  </si>
  <si>
    <t>PPPs</t>
  </si>
  <si>
    <t>PPPz</t>
  </si>
  <si>
    <t>VED</t>
  </si>
  <si>
    <t>Report</t>
  </si>
  <si>
    <t>Název:</t>
  </si>
  <si>
    <t>Náklady na pracovníka přímé péče</t>
  </si>
  <si>
    <t>Celkem počet pracovníků přímé péče PPPc</t>
  </si>
  <si>
    <t>Celkem ostatní pracovníci (THP + manuální) _OstP</t>
  </si>
  <si>
    <t>Osobní náklady na pracovníka přímé péče - PPPc</t>
  </si>
  <si>
    <t>Osobní náklady na OstP - ostatní pracovníci</t>
  </si>
  <si>
    <t>Provozní náklady na 1 PPPc (energie, opravy, nájmy, odpisy)</t>
  </si>
  <si>
    <t>Ostatní náklady na 1 PPPc</t>
  </si>
  <si>
    <t>Vyrovnávací platba na PPPc</t>
  </si>
  <si>
    <t>Rozdíl VP ER 2018-Výpočet VP 2018</t>
  </si>
  <si>
    <t>počet PPPs 2018</t>
  </si>
  <si>
    <t>Průměrná mzda PPPs 2018</t>
  </si>
  <si>
    <t>Průměrná mzda PPPs KHK 2018</t>
  </si>
  <si>
    <t>Průměrná mzda PPPs ČR 2018</t>
  </si>
  <si>
    <t>rozdí prům. mzd oproti skuteč. 2018</t>
  </si>
  <si>
    <t>IP 2019</t>
  </si>
  <si>
    <t>Součet z Platby 2019</t>
  </si>
  <si>
    <t>MPSV</t>
  </si>
  <si>
    <t>IP</t>
  </si>
  <si>
    <t xml:space="preserve">Návrh závazných ukazatelů příspěvkových organizací odvětví sociálních věcí na rok 2019 v tis. Kč </t>
  </si>
  <si>
    <t>§</t>
  </si>
  <si>
    <t>Č. o.</t>
  </si>
  <si>
    <t>Organizace</t>
  </si>
  <si>
    <t>Příspěvek na provoz  na rok 2019 schválený</t>
  </si>
  <si>
    <t>Příspěvky IV.Q. 2017</t>
  </si>
  <si>
    <t>Příspěvek na provoz  na rok 2019 navýšení</t>
  </si>
  <si>
    <t>Příspěvek na provoz  na rok 2019 celkem</t>
  </si>
  <si>
    <t>Změny k 30.10.2019</t>
  </si>
  <si>
    <t>kap. 28 - sociální věci</t>
  </si>
  <si>
    <t>v tom:</t>
  </si>
  <si>
    <t>00194972</t>
  </si>
  <si>
    <t>13583212</t>
  </si>
  <si>
    <t>Domov bez bariér Hořice v Podkrkonoší</t>
  </si>
  <si>
    <t>42886163</t>
  </si>
  <si>
    <t>Domov Dědina Opočno</t>
  </si>
  <si>
    <t>71194011</t>
  </si>
  <si>
    <t>Domov Dolní zámek Teplice nad Metují</t>
  </si>
  <si>
    <t>00579017</t>
  </si>
  <si>
    <t xml:space="preserve">Domov důchodců Černožice </t>
  </si>
  <si>
    <t>00194964</t>
  </si>
  <si>
    <t>61222836</t>
  </si>
  <si>
    <t>00195022</t>
  </si>
  <si>
    <t>71193961</t>
  </si>
  <si>
    <t>71193987</t>
  </si>
  <si>
    <t>71194002</t>
  </si>
  <si>
    <t>00194913</t>
  </si>
  <si>
    <t>70188653</t>
  </si>
  <si>
    <t>DOMOV NA STŘÍBRNÉM VRCHU  Rokytnice v O.h.</t>
  </si>
  <si>
    <t>00195031</t>
  </si>
  <si>
    <t>00194891</t>
  </si>
  <si>
    <t>00579025</t>
  </si>
  <si>
    <t>00578991</t>
  </si>
  <si>
    <t>00579033</t>
  </si>
  <si>
    <t>64809234</t>
  </si>
  <si>
    <t>Domov V Podzámčí, Chlumec nad Cidlinou</t>
  </si>
  <si>
    <t>71193952</t>
  </si>
  <si>
    <t>Domovy Na Třešňovce Česká Skalice</t>
  </si>
  <si>
    <t>42886210</t>
  </si>
  <si>
    <t>ÚSP pro mládež DOMEČKY, Rychnov n.K.</t>
  </si>
  <si>
    <t>42886201</t>
  </si>
  <si>
    <t>ÚSP pro mládež Kvasiny</t>
  </si>
  <si>
    <t>Vypracovali: Ing. Guman, Ing. Stránská</t>
  </si>
  <si>
    <t>Ing.Mgr.J.Vitvar/vedoucí OSV</t>
  </si>
  <si>
    <t>Ing. Vladimír Derner/náměstek hejtmana s gescí za SV</t>
  </si>
  <si>
    <t xml:space="preserve">Návrh závazných ukazatelů příspěvkových organizací odvětví sociálních věcí na rok 2020 v tis. Kč </t>
  </si>
  <si>
    <t>Příspěvky I. Q. 2017</t>
  </si>
  <si>
    <t>Příspěvky II. Q. 2017</t>
  </si>
  <si>
    <t>Odvod z investičního fondu na rok 2020</t>
  </si>
  <si>
    <t>Příspěvky III. Q. 2017</t>
  </si>
  <si>
    <t>služba</t>
  </si>
  <si>
    <t>Poskytoivatel</t>
  </si>
  <si>
    <t>druh služby</t>
  </si>
  <si>
    <t>Součet z VP 2020</t>
  </si>
  <si>
    <t>PnaPr 2020</t>
  </si>
  <si>
    <t>VP 2019</t>
  </si>
  <si>
    <t>Součet z VP 2019</t>
  </si>
  <si>
    <t>PnaPr 2019</t>
  </si>
  <si>
    <t>Max. MPSV 2020_žádost</t>
  </si>
  <si>
    <t>IP 2020</t>
  </si>
  <si>
    <t>Nepouižívat_KHK</t>
  </si>
  <si>
    <t>MASK</t>
  </si>
  <si>
    <t>Fond rozvoje a reprodukce</t>
  </si>
  <si>
    <t>PO1</t>
  </si>
  <si>
    <t>SR_ostatní</t>
  </si>
  <si>
    <t>Ostatní veřejné</t>
  </si>
  <si>
    <t>KU za jiné zadavatele</t>
  </si>
  <si>
    <t>Obce 2020_pp</t>
  </si>
  <si>
    <t>Součet z Rok 2020</t>
  </si>
  <si>
    <t>IP5</t>
  </si>
  <si>
    <t>IP6</t>
  </si>
  <si>
    <t>Součet z Součet z IP2020</t>
  </si>
  <si>
    <t>aa</t>
  </si>
  <si>
    <t>bb</t>
  </si>
  <si>
    <t>Součet z PnaPr 2019</t>
  </si>
  <si>
    <t>Výpočet MPSV 2020_1</t>
  </si>
  <si>
    <t>Součet z PnaPr 2020</t>
  </si>
  <si>
    <t>rok 2019</t>
  </si>
  <si>
    <t>SR-ostatní</t>
  </si>
  <si>
    <t>Celkem PZ_2019</t>
  </si>
  <si>
    <t>OBEC PO2</t>
  </si>
  <si>
    <t>Čisté výdaje 2018</t>
  </si>
  <si>
    <t>Daňové  příjmy 2018</t>
  </si>
  <si>
    <t>soc. výdaje k daň. Příjmům 2018</t>
  </si>
  <si>
    <t>Přeplatek - Dluh</t>
  </si>
  <si>
    <t>pouze dluh</t>
  </si>
  <si>
    <t>Nechanice</t>
  </si>
  <si>
    <t>Dluh obcí 2018</t>
  </si>
  <si>
    <t>varianta1</t>
  </si>
  <si>
    <t>varianta2</t>
  </si>
  <si>
    <t>chybí</t>
  </si>
  <si>
    <t>PpB 2019</t>
  </si>
  <si>
    <t>Částka</t>
  </si>
  <si>
    <t>Dotační komise (únor 2019)</t>
  </si>
  <si>
    <t>DK dofinancování (červenec 2019)</t>
  </si>
  <si>
    <t>DK mimořádné kolo (říjen 2019)</t>
  </si>
  <si>
    <t>MPSV B 2019</t>
  </si>
  <si>
    <t>Celkem 2019 (přes KHK)</t>
  </si>
  <si>
    <t>Celkem 2020 (přes KHK)</t>
  </si>
  <si>
    <t>18,06-0,7</t>
  </si>
  <si>
    <t>Korekce vypočtené dotace</t>
  </si>
  <si>
    <t>Pobyt o 5% nákladů bez osobních nákladů</t>
  </si>
  <si>
    <t>Vypočtené náklady</t>
  </si>
  <si>
    <t>POBYT</t>
  </si>
  <si>
    <t>MPSV 2020 po korekci 2</t>
  </si>
  <si>
    <t>Záporný rozdíl</t>
  </si>
  <si>
    <t>Kladný rozdí</t>
  </si>
  <si>
    <t xml:space="preserve">Brožíkova 451/5
Nový Hradec Králové
500 12 Hradec Králové 12
</t>
  </si>
  <si>
    <t>chráněné BYDLENÍ v síti</t>
  </si>
  <si>
    <t>u NZO: Tam, kde je průměr vyšší dorovnat, kde nižší, dorovnat a navýšit o rozdíl.</t>
  </si>
  <si>
    <t>MPSV 2020 po dorovnání NZO</t>
  </si>
  <si>
    <t>MPSV 2020 po korekci až o 10% VP</t>
  </si>
  <si>
    <t>rozdíl podíl KHK 2020-2019</t>
  </si>
  <si>
    <t>Kladný rozdíl</t>
  </si>
  <si>
    <t>NENÍ</t>
  </si>
  <si>
    <t>Součet z Kapacita počet lůžek</t>
  </si>
  <si>
    <t>Druh veřejného zdroje</t>
  </si>
  <si>
    <t>výše Kč</t>
  </si>
  <si>
    <t>podíl %</t>
  </si>
  <si>
    <t>Obce 2018 celkem</t>
  </si>
  <si>
    <t>KHK celkem</t>
  </si>
  <si>
    <t>Státní rozpočet</t>
  </si>
  <si>
    <t>Celkem EU</t>
  </si>
  <si>
    <t>Dluh obce 2018 přepočet na službu</t>
  </si>
  <si>
    <t>Dorovnání NZO</t>
  </si>
  <si>
    <t xml:space="preserve">MPSV 2020  po redukci dluhem obcí </t>
  </si>
  <si>
    <t>Celkem 2020 (přes KHK) po korekcích</t>
  </si>
  <si>
    <t>Žádost MPSV - návrh MPSV</t>
  </si>
  <si>
    <t>žádali méně</t>
  </si>
  <si>
    <t>PODÍL ŽÁDOST / VP</t>
  </si>
  <si>
    <t>PODÍL OBEC /VP</t>
  </si>
  <si>
    <t>PODÍL NÁVRH DOTACE / VP</t>
  </si>
  <si>
    <t>MZDY OST. THP V NEPROSPĚCH PPP</t>
  </si>
  <si>
    <t>Korekce OSV - návrh</t>
  </si>
  <si>
    <t>Návrh MPSV po korekci OSV</t>
  </si>
  <si>
    <t>zdůvodnění korekce</t>
  </si>
  <si>
    <t>Srovnání MPSV výpočtu na požadavek</t>
  </si>
  <si>
    <t>navýšeno obec 2020</t>
  </si>
  <si>
    <t>snížen podíl obce</t>
  </si>
  <si>
    <t>Srovnávání konečné výše až do výše žádosti až na konec.</t>
  </si>
  <si>
    <t>korekce (5% z 30% nákladů) (POBYT)</t>
  </si>
  <si>
    <t>Obce 2020 propočet</t>
  </si>
  <si>
    <t>velký dluh</t>
  </si>
  <si>
    <t>zvýšen podíl obce</t>
  </si>
  <si>
    <t>navýšen podíl obce</t>
  </si>
  <si>
    <t>navýšení podíélu obce proti úpravám ostatníéch sluižeb Trutnova</t>
  </si>
  <si>
    <t>rozdíl VP 2020 -2019</t>
  </si>
  <si>
    <t>probrat</t>
  </si>
  <si>
    <t>,</t>
  </si>
  <si>
    <t>celkem pp vykryté VP včetně obcí</t>
  </si>
  <si>
    <t>podíl obcí a PnaPr PO0 KHK</t>
  </si>
  <si>
    <t>Podíl MPSV-návrh 2020</t>
  </si>
  <si>
    <t>rozíl PPP 2020-2019</t>
  </si>
  <si>
    <t>Uvedeno v žádostech MPSV na rok 2020</t>
  </si>
  <si>
    <t>ER PZ 2019</t>
  </si>
  <si>
    <t>Uvedeno v žádostech MPSV na rok 2019</t>
  </si>
  <si>
    <t>VP pro rok 2020</t>
  </si>
  <si>
    <t>VP * až 10%    (OBCE a PO KHK)</t>
  </si>
  <si>
    <t>rozdíl 2020-2019</t>
  </si>
  <si>
    <t>kladný rozdíl 2020-2019</t>
  </si>
  <si>
    <t>Korekce o prostředky SR</t>
  </si>
  <si>
    <t>Plošné krácení až do výše pp MPSV</t>
  </si>
  <si>
    <t>Návrh MPSV po krácení</t>
  </si>
  <si>
    <t>Žádost MPSV bez odpisů</t>
  </si>
  <si>
    <t>Celkem 2020 (přes KHK) po krácení</t>
  </si>
  <si>
    <t>Nevykrytá VP</t>
  </si>
  <si>
    <t>Korekce celkem</t>
  </si>
  <si>
    <t>Výpočet1 - žádpst</t>
  </si>
  <si>
    <t>Návrh MPSV po korekci (ne vyšší než žádost)</t>
  </si>
  <si>
    <t>VP pro výpočet dotace</t>
  </si>
  <si>
    <t>potřeba k dofinancování</t>
  </si>
  <si>
    <t>celkem THP a manuální</t>
  </si>
  <si>
    <t>IP6 od JZ</t>
  </si>
  <si>
    <t>MMHK//2019</t>
  </si>
  <si>
    <t>č.</t>
  </si>
  <si>
    <t>par.</t>
  </si>
  <si>
    <t>poskytovatel</t>
  </si>
  <si>
    <t>Schváleno zastupitelstvem</t>
  </si>
  <si>
    <t>MMHK/139098/2019</t>
  </si>
  <si>
    <t>1.</t>
  </si>
  <si>
    <t>§ 37</t>
  </si>
  <si>
    <t>Centrum pro integraci osob se zdravotním postižením Královehradeckého kraje, o.p.s.</t>
  </si>
  <si>
    <t>Centrum pro integraci osob se zdravotním postižením, o.p.s.</t>
  </si>
  <si>
    <t>MMHK/147167/2019</t>
  </si>
  <si>
    <t>2.</t>
  </si>
  <si>
    <t>Centrum sociální pomoci a služeb o.p.s.</t>
  </si>
  <si>
    <t>MMHK/153253/2019</t>
  </si>
  <si>
    <t>3.</t>
  </si>
  <si>
    <t>MMHK/147961/2019</t>
  </si>
  <si>
    <t>4.</t>
  </si>
  <si>
    <t xml:space="preserve">KŘESADLO HK - Centrum pomoci lidem s PAS, z.ú. </t>
  </si>
  <si>
    <t>MMHK/150635/2019</t>
  </si>
  <si>
    <t>5.</t>
  </si>
  <si>
    <t>Laxus, z.ú.</t>
  </si>
  <si>
    <t>Ambulantní centrum Hradec KrálovéK</t>
  </si>
  <si>
    <t>MMHK/153722/2019</t>
  </si>
  <si>
    <t>6.</t>
  </si>
  <si>
    <t>MMHK/153115/2019</t>
  </si>
  <si>
    <t>7.</t>
  </si>
  <si>
    <t>MMHK/140526/2019</t>
  </si>
  <si>
    <t>8.</t>
  </si>
  <si>
    <t>9.</t>
  </si>
  <si>
    <t>Občanská poradna HK</t>
  </si>
  <si>
    <t>MMHK/149535/2019</t>
  </si>
  <si>
    <t>10.</t>
  </si>
  <si>
    <t>TyfloCentrum Hradec Králové o.p.s.</t>
  </si>
  <si>
    <t>TyfloCentrum HK, o.p.s.</t>
  </si>
  <si>
    <t>MMHK/152182/20019</t>
  </si>
  <si>
    <t>11.</t>
  </si>
  <si>
    <t>§ 39</t>
  </si>
  <si>
    <t>Hewer - občanské sdružení</t>
  </si>
  <si>
    <t>MMHK/151810/2019</t>
  </si>
  <si>
    <t>12.</t>
  </si>
  <si>
    <t>Věra Kosinová</t>
  </si>
  <si>
    <t>MMHK/152384/2019</t>
  </si>
  <si>
    <t>13.</t>
  </si>
  <si>
    <t>MMHK/147164/2019</t>
  </si>
  <si>
    <t>14.</t>
  </si>
  <si>
    <t>§ 40</t>
  </si>
  <si>
    <t>MMHK/153114/2019</t>
  </si>
  <si>
    <t>15.</t>
  </si>
  <si>
    <t>MMHK/152509/2019</t>
  </si>
  <si>
    <t>16.</t>
  </si>
  <si>
    <t>MMHK/134409/2019</t>
  </si>
  <si>
    <t>17.</t>
  </si>
  <si>
    <t>MMHK/134410/2019</t>
  </si>
  <si>
    <t>18.</t>
  </si>
  <si>
    <t>§ 41</t>
  </si>
  <si>
    <t>Tísňová péče pro seniory a zdravotně postižené</t>
  </si>
  <si>
    <t>MMHK/149536/2019</t>
  </si>
  <si>
    <t>19.</t>
  </si>
  <si>
    <t>§ 42</t>
  </si>
  <si>
    <t>MMHK/152448/2019</t>
  </si>
  <si>
    <t>20.</t>
  </si>
  <si>
    <t>§ 43</t>
  </si>
  <si>
    <t>SKOK do života, o.p.s.</t>
  </si>
  <si>
    <t>podpora BYDLENÍ v síti</t>
  </si>
  <si>
    <t>MMHK/138564/2019</t>
  </si>
  <si>
    <t>21.</t>
  </si>
  <si>
    <t>§ 44</t>
  </si>
  <si>
    <t>MMHK/147166/2019</t>
  </si>
  <si>
    <t>23.</t>
  </si>
  <si>
    <t>§ 46</t>
  </si>
  <si>
    <t>MMHK/151811/2019</t>
  </si>
  <si>
    <t>24.</t>
  </si>
  <si>
    <t>MMHK152444/2019</t>
  </si>
  <si>
    <t>26.</t>
  </si>
  <si>
    <t>§ 51</t>
  </si>
  <si>
    <t>MMHK/151812/2019</t>
  </si>
  <si>
    <t>27.</t>
  </si>
  <si>
    <t>MMHK/140524/2019</t>
  </si>
  <si>
    <t>28.</t>
  </si>
  <si>
    <t>§ 54</t>
  </si>
  <si>
    <t>MMHK/15325/2019</t>
  </si>
  <si>
    <t>29.</t>
  </si>
  <si>
    <t>§ 56</t>
  </si>
  <si>
    <t>MMHK/140528/2019</t>
  </si>
  <si>
    <t>30.</t>
  </si>
  <si>
    <t>§ 57</t>
  </si>
  <si>
    <t>MMHK/140518/2019</t>
  </si>
  <si>
    <t>31.</t>
  </si>
  <si>
    <t>MMHK/150639/2019</t>
  </si>
  <si>
    <t>32.</t>
  </si>
  <si>
    <t>§ 59</t>
  </si>
  <si>
    <t>MMHK/153834/2019</t>
  </si>
  <si>
    <t>33.</t>
  </si>
  <si>
    <t>§ 60</t>
  </si>
  <si>
    <t>MMHK/140525/2019</t>
  </si>
  <si>
    <t>34.</t>
  </si>
  <si>
    <t>§ 60a</t>
  </si>
  <si>
    <t>MMHK/140521/2019</t>
  </si>
  <si>
    <t>35.</t>
  </si>
  <si>
    <t>§ 61</t>
  </si>
  <si>
    <t xml:space="preserve">Dům Matky Terezy Hradec Králové, středisko sociálních služeb pro lidi bez domova, služba nízkoprahové denní centrum </t>
  </si>
  <si>
    <t>MMHK/152417/2019</t>
  </si>
  <si>
    <t>36.</t>
  </si>
  <si>
    <t>§ 62</t>
  </si>
  <si>
    <t>MMHK/151305/2019</t>
  </si>
  <si>
    <t>37.</t>
  </si>
  <si>
    <t>NZDM Klídek</t>
  </si>
  <si>
    <t>MMHK/140523/2019</t>
  </si>
  <si>
    <t>38.</t>
  </si>
  <si>
    <t>§ 63</t>
  </si>
  <si>
    <t>MMHK/152400/2019</t>
  </si>
  <si>
    <t>39.</t>
  </si>
  <si>
    <t>§ 65</t>
  </si>
  <si>
    <t>MMHK/152409/2019</t>
  </si>
  <si>
    <t>40.</t>
  </si>
  <si>
    <t>MMHK/139095/2019</t>
  </si>
  <si>
    <t>41.</t>
  </si>
  <si>
    <t>§ 66</t>
  </si>
  <si>
    <t>Centrum pro integraci osob se zdravotním postižením Královéhradeckého kraje, o.p.s.</t>
  </si>
  <si>
    <t>MMHK/149539/2019</t>
  </si>
  <si>
    <t>42.</t>
  </si>
  <si>
    <t>43.</t>
  </si>
  <si>
    <t>§ 69</t>
  </si>
  <si>
    <t>Laxus o.s.</t>
  </si>
  <si>
    <t>MMHK/152447/2019</t>
  </si>
  <si>
    <t>44.</t>
  </si>
  <si>
    <t>§ 67</t>
  </si>
  <si>
    <t>MMHK/147963/2019</t>
  </si>
  <si>
    <t>45.</t>
  </si>
  <si>
    <t>§ 70</t>
  </si>
  <si>
    <t>MMHK/140522/2019</t>
  </si>
  <si>
    <t>46.</t>
  </si>
  <si>
    <t>MMHK/153758/2019</t>
  </si>
  <si>
    <t>47.</t>
  </si>
  <si>
    <t>Péče o duševní zdraví - region Pardubice</t>
  </si>
  <si>
    <t>Sociální rehabilitace-středisko Hradec Králové</t>
  </si>
  <si>
    <t>MMHK/152449/2019</t>
  </si>
  <si>
    <t>48.</t>
  </si>
  <si>
    <t>CVIČENÍ, bydlení, práce, učení</t>
  </si>
  <si>
    <t>MMHK/149541/2019</t>
  </si>
  <si>
    <t>49.</t>
  </si>
  <si>
    <t>dotace HK prp rok 2020)</t>
  </si>
  <si>
    <t>Záporný rozdíl = nad 110% vyrovnávací platby</t>
  </si>
  <si>
    <t xml:space="preserve">Zohlednění nárůstu úvazků </t>
  </si>
  <si>
    <t xml:space="preserve">Zohlednění nízkých platů a nárůstu úvazků </t>
  </si>
  <si>
    <t>Upravená dotace po mých intervencích</t>
  </si>
  <si>
    <t>Krácení dotace kvůli 110% vyrovnávací platby</t>
  </si>
  <si>
    <t>Stejně jako loni</t>
  </si>
  <si>
    <t>Do žádosti</t>
  </si>
  <si>
    <t>stejně jako loni</t>
  </si>
  <si>
    <t>Aby to bylo o 500 tis. více</t>
  </si>
  <si>
    <t>Snížení dotace 110% vyrovnávací platby</t>
  </si>
  <si>
    <t>Snížila se dotace kvůli podílu obcí.</t>
  </si>
  <si>
    <t xml:space="preserve">Návrh IG 27. 11. </t>
  </si>
  <si>
    <t>Rozdíl JZ-IG</t>
  </si>
  <si>
    <t>Navýšení města</t>
  </si>
  <si>
    <t xml:space="preserve"> </t>
  </si>
  <si>
    <t>předpoklad navýšení MMHK</t>
  </si>
  <si>
    <t>Snížila se dotace kvůli nárůstu obcí</t>
  </si>
  <si>
    <t>Návrh MPSV po krácení Kontrola Návrh 16. 12.</t>
  </si>
  <si>
    <t>Město navýšení</t>
  </si>
  <si>
    <t>s</t>
  </si>
  <si>
    <t>.</t>
  </si>
  <si>
    <t>Korekce vypočtené dotace o dluh obce</t>
  </si>
  <si>
    <t>85% VP pro dotace</t>
  </si>
  <si>
    <t>Korekce "na 110%)</t>
  </si>
  <si>
    <t>Dorovnání na prům.mzdu a rok 2019 celk.</t>
  </si>
  <si>
    <t>Korekce "na max 110% výpočet VP 2020</t>
  </si>
  <si>
    <t>Návrh</t>
  </si>
  <si>
    <t>Služba není zařazeno do sítě sociálních služeb</t>
  </si>
  <si>
    <t>Služba není zařazena do sítě sociálních služeb v KHK</t>
  </si>
  <si>
    <t>Podpora služby je vyjádřena zařazením do sítě sociálních služeb v KHK a řešením financování služby</t>
  </si>
  <si>
    <t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t>
  </si>
  <si>
    <t>Návrh dotace je výsledkem projednání s ostatními zadavateli v rámci sítě služeb KHK</t>
  </si>
  <si>
    <t>Bez komentáře</t>
  </si>
  <si>
    <t>V rámci sítě KHK se dlouhodobě řeší otázka navyšování úhrad a průběžně se monitoruje s vazbou na vykrytí vyrovnávací platby</t>
  </si>
  <si>
    <t>Otázka výběru od zdravotních pojišťoven je předmětem procesu, který probíhá ve formě jednání se ZP a organizacemi</t>
  </si>
  <si>
    <t>bez komentáře</t>
  </si>
  <si>
    <t>Konečná výše dotace z rozpočtu KHK bude řešena v návaznosti na řešení podílů jednotlivých zadavatelů.</t>
  </si>
  <si>
    <t>Konečná výše podpory ze stran obcí bude řešena v součinnosti s jednotlivými zadavateli v průběhu roku.</t>
  </si>
  <si>
    <t>V síti 2018 ano ne</t>
  </si>
  <si>
    <t>efektivita služby</t>
  </si>
  <si>
    <t>Dotace MPSV</t>
  </si>
  <si>
    <t>Úřad práce</t>
  </si>
  <si>
    <t>příspěvek zřizovatele obec</t>
  </si>
  <si>
    <t>příspěvek zřizovatele kraj</t>
  </si>
  <si>
    <t>úhrady od uživatele</t>
  </si>
  <si>
    <t>fondy zdravotních pojišťoven</t>
  </si>
  <si>
    <t>pěstounská péče-dohoda o výkonu</t>
  </si>
  <si>
    <t>resorty státní správy</t>
  </si>
  <si>
    <t>dotace od krajů</t>
  </si>
  <si>
    <t>dotace od obcí</t>
  </si>
  <si>
    <t>strukturální fondy</t>
  </si>
  <si>
    <t>jiné zdroje</t>
  </si>
  <si>
    <t>Adekvátnost úhrad od uživatele</t>
  </si>
  <si>
    <t>Žádost bez odpisů</t>
  </si>
  <si>
    <t>Není v síti sociálních služeb</t>
  </si>
  <si>
    <t>Nízký podíl samosprávy</t>
  </si>
  <si>
    <t>na 4 měsíce</t>
  </si>
  <si>
    <t>Navýšení obec</t>
  </si>
  <si>
    <t>Korekce ukončení provozu</t>
  </si>
  <si>
    <t>Korekce - denní stacionář</t>
  </si>
  <si>
    <t>Snížení obec</t>
  </si>
  <si>
    <t>Navýšení úvazku nad IP</t>
  </si>
  <si>
    <t xml:space="preserve">Součet z Přímý personál </t>
  </si>
  <si>
    <t>Součet z Kapacita počet uživatelů v jeden okamžik</t>
  </si>
  <si>
    <t>Počet pracovníků přímé péče</t>
  </si>
  <si>
    <t>Kapacita lůžek</t>
  </si>
  <si>
    <t>Kapacita uživatelů v jeden okamžik</t>
  </si>
  <si>
    <t>Pracovníci přímé práce celkem 2020</t>
  </si>
  <si>
    <t>pracovníci přímé práce celkem 2019</t>
  </si>
  <si>
    <t>z toho sociální pracovníci 2020</t>
  </si>
  <si>
    <t>z toho pracovníci v soc. službách 2020</t>
  </si>
  <si>
    <t>zdravotnický personál</t>
  </si>
  <si>
    <t>Pedagogický odborný pracovník</t>
  </si>
  <si>
    <t xml:space="preserve">Údaj zahrnuje i nově vzniklé chráněné bydlení.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</si>
</sst>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0\ &quot;Kč&quot;;[Red]\-#,##0\ &quot;Kč&quot;"/>
    <numFmt numFmtId="44" formatCode="_-* #,##0.00\ &quot;Kč&quot;_-;\-* #,##0.00\ &quot;Kč&quot;_-;_-* &quot;-&quot;??\ &quot;Kč&quot;_-;_-@_-"/>
    <numFmt numFmtId="164" formatCode="#,##0.00\ &quot;Kč&quot;"/>
    <numFmt numFmtId="165" formatCode="#,##0\ &quot;Kč&quot;"/>
    <numFmt numFmtId="166" formatCode="d/m/yyyy;@"/>
    <numFmt numFmtId="167" formatCode="#\ ##0.00"/>
    <numFmt numFmtId="168" formatCode="0.0000"/>
    <numFmt numFmtId="169" formatCode="#,##0.0"/>
    <numFmt numFmtId="170" formatCode="0.0%"/>
    <numFmt numFmtId="171" formatCode="#,##0.000"/>
  </numFmts>
  <fonts count="6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b/>
      <sz val="16"/>
      <color rgb="FFFF0000"/>
      <name val="Calibri"/>
      <family val="2"/>
      <charset val="238"/>
      <scheme val="minor"/>
    </font>
    <font>
      <sz val="11"/>
      <color indexed="8"/>
      <name val="Arial"/>
      <family val="2"/>
      <charset val="238"/>
    </font>
    <font>
      <b/>
      <sz val="10"/>
      <name val="Arial"/>
      <family val="2"/>
      <charset val="238"/>
    </font>
    <font>
      <b/>
      <sz val="10"/>
      <color theme="1"/>
      <name val="Calibri"/>
      <family val="2"/>
      <charset val="238"/>
      <scheme val="minor"/>
    </font>
    <font>
      <sz val="10"/>
      <color theme="1"/>
      <name val="Calibri"/>
      <family val="2"/>
      <charset val="238"/>
      <scheme val="minor"/>
    </font>
    <font>
      <sz val="12"/>
      <name val="Calibri"/>
      <family val="2"/>
      <charset val="238"/>
    </font>
    <font>
      <sz val="12"/>
      <color rgb="FF000000"/>
      <name val="Calibri"/>
      <family val="2"/>
      <charset val="238"/>
    </font>
    <font>
      <sz val="12"/>
      <color rgb="FF000000"/>
      <name val="Calibri"/>
      <family val="2"/>
      <charset val="238"/>
      <scheme val="minor"/>
    </font>
    <font>
      <sz val="12"/>
      <color theme="1"/>
      <name val="Calibri"/>
      <family val="2"/>
      <charset val="238"/>
    </font>
    <font>
      <sz val="12"/>
      <name val="Calibri"/>
      <family val="2"/>
      <charset val="238"/>
      <scheme val="minor"/>
    </font>
    <font>
      <sz val="12"/>
      <color rgb="FF333333"/>
      <name val="Calibri"/>
      <family val="2"/>
      <charset val="238"/>
      <scheme val="minor"/>
    </font>
    <font>
      <b/>
      <sz val="11"/>
      <color theme="1"/>
      <name val="Calibri"/>
      <family val="2"/>
      <scheme val="minor"/>
    </font>
    <font>
      <b/>
      <i/>
      <sz val="18"/>
      <color rgb="FF000000"/>
      <name val="Calibri"/>
      <family val="2"/>
      <charset val="238"/>
    </font>
    <font>
      <b/>
      <sz val="11"/>
      <color rgb="FF000000"/>
      <name val="Calibri"/>
      <family val="2"/>
      <charset val="238"/>
    </font>
    <font>
      <sz val="11"/>
      <color theme="1"/>
      <name val="Calibri"/>
      <family val="2"/>
      <charset val="238"/>
    </font>
    <font>
      <b/>
      <i/>
      <sz val="11"/>
      <color theme="1"/>
      <name val="Calibri"/>
      <family val="2"/>
      <charset val="238"/>
    </font>
    <font>
      <b/>
      <sz val="11"/>
      <color theme="1"/>
      <name val="Calibri"/>
      <family val="2"/>
      <charset val="238"/>
    </font>
    <font>
      <b/>
      <sz val="11"/>
      <color indexed="8"/>
      <name val="Calibri"/>
      <family val="2"/>
      <charset val="238"/>
    </font>
    <font>
      <b/>
      <sz val="20"/>
      <color theme="1"/>
      <name val="Calibri"/>
      <family val="2"/>
      <charset val="238"/>
    </font>
    <font>
      <b/>
      <sz val="12"/>
      <color theme="1"/>
      <name val="Calibri"/>
      <family val="2"/>
      <charset val="238"/>
    </font>
    <font>
      <b/>
      <i/>
      <sz val="10"/>
      <color theme="1"/>
      <name val="Arial"/>
      <family val="2"/>
      <charset val="238"/>
    </font>
    <font>
      <i/>
      <sz val="9"/>
      <name val="Arial"/>
      <family val="2"/>
      <charset val="238"/>
    </font>
    <font>
      <i/>
      <sz val="9"/>
      <color theme="1"/>
      <name val="Arial"/>
      <family val="2"/>
      <charset val="238"/>
    </font>
    <font>
      <sz val="11"/>
      <color rgb="FF000000"/>
      <name val="Calibri"/>
      <family val="2"/>
      <charset val="238"/>
    </font>
    <font>
      <sz val="11"/>
      <color indexed="8"/>
      <name val="Calibri"/>
      <family val="2"/>
      <charset val="238"/>
    </font>
    <font>
      <i/>
      <sz val="9"/>
      <color rgb="FFFF0000"/>
      <name val="Arial"/>
      <family val="2"/>
      <charset val="238"/>
    </font>
    <font>
      <b/>
      <sz val="9"/>
      <color indexed="81"/>
      <name val="Tahoma"/>
      <family val="2"/>
      <charset val="238"/>
    </font>
    <font>
      <sz val="9"/>
      <color indexed="81"/>
      <name val="Tahoma"/>
      <family val="2"/>
      <charset val="238"/>
    </font>
    <font>
      <b/>
      <sz val="8"/>
      <color theme="1"/>
      <name val="Calibri"/>
      <family val="2"/>
      <charset val="238"/>
      <scheme val="minor"/>
    </font>
    <font>
      <b/>
      <sz val="8"/>
      <color theme="1"/>
      <name val="Calibri"/>
      <family val="2"/>
      <scheme val="minor"/>
    </font>
    <font>
      <sz val="10"/>
      <name val="Arial"/>
      <family val="2"/>
      <charset val="238"/>
    </font>
    <font>
      <sz val="10"/>
      <name val="Arial CE"/>
      <charset val="238"/>
    </font>
    <font>
      <b/>
      <sz val="11"/>
      <name val="Calibri"/>
      <family val="2"/>
      <charset val="238"/>
      <scheme val="minor"/>
    </font>
    <font>
      <sz val="11"/>
      <name val="Calibri"/>
      <family val="2"/>
      <charset val="238"/>
      <scheme val="minor"/>
    </font>
    <font>
      <i/>
      <sz val="11"/>
      <name val="Calibri"/>
      <family val="2"/>
      <charset val="238"/>
      <scheme val="minor"/>
    </font>
    <font>
      <sz val="8"/>
      <name val="Arial"/>
      <family val="2"/>
      <charset val="238"/>
    </font>
    <font>
      <b/>
      <sz val="8"/>
      <name val="Arial CE"/>
      <family val="2"/>
      <charset val="238"/>
    </font>
    <font>
      <b/>
      <sz val="12"/>
      <name val="Arial CE"/>
      <family val="2"/>
      <charset val="238"/>
    </font>
    <font>
      <b/>
      <sz val="10"/>
      <name val="Arial"/>
      <family val="2"/>
    </font>
    <font>
      <b/>
      <sz val="9"/>
      <name val="Arial"/>
      <family val="2"/>
    </font>
    <font>
      <sz val="8"/>
      <name val="Arial CE"/>
      <family val="2"/>
      <charset val="238"/>
    </font>
    <font>
      <b/>
      <sz val="10"/>
      <name val="Arial CE"/>
      <family val="2"/>
      <charset val="238"/>
    </font>
    <font>
      <b/>
      <sz val="12"/>
      <color theme="1"/>
      <name val="Calibri"/>
      <family val="2"/>
      <charset val="238"/>
      <scheme val="minor"/>
    </font>
    <font>
      <sz val="9"/>
      <name val="Times New Roman"/>
      <family val="1"/>
      <charset val="238"/>
    </font>
    <font>
      <sz val="10"/>
      <name val="Arial CE"/>
      <family val="2"/>
      <charset val="238"/>
    </font>
    <font>
      <sz val="9"/>
      <name val="Arial CE"/>
      <family val="2"/>
      <charset val="238"/>
    </font>
    <font>
      <sz val="9"/>
      <color theme="1"/>
      <name val="Calibri"/>
      <family val="2"/>
      <charset val="238"/>
      <scheme val="minor"/>
    </font>
    <font>
      <sz val="8"/>
      <color theme="1"/>
      <name val="Calibri"/>
      <family val="2"/>
      <charset val="238"/>
      <scheme val="minor"/>
    </font>
    <font>
      <b/>
      <sz val="8"/>
      <color rgb="FF000000"/>
      <name val="Calibri"/>
      <family val="2"/>
      <charset val="238"/>
    </font>
    <font>
      <sz val="8"/>
      <color rgb="FF000000"/>
      <name val="Calibri"/>
      <family val="2"/>
      <charset val="238"/>
    </font>
    <font>
      <sz val="11"/>
      <color rgb="FF0070C0"/>
      <name val="Calibri"/>
      <family val="2"/>
      <charset val="238"/>
      <scheme val="minor"/>
    </font>
    <font>
      <i/>
      <sz val="10"/>
      <color rgb="FF0070C0"/>
      <name val="Calibri"/>
      <family val="2"/>
      <charset val="238"/>
      <scheme val="minor"/>
    </font>
    <font>
      <sz val="8"/>
      <color rgb="FF0070C0"/>
      <name val="Calibri"/>
      <family val="2"/>
      <charset val="238"/>
      <scheme val="minor"/>
    </font>
    <font>
      <sz val="8"/>
      <color rgb="FFFF0000"/>
      <name val="Calibri"/>
      <family val="2"/>
      <charset val="238"/>
      <scheme val="minor"/>
    </font>
    <font>
      <sz val="9"/>
      <color rgb="FFFF0000"/>
      <name val="Calibri"/>
      <family val="2"/>
      <charset val="238"/>
      <scheme val="minor"/>
    </font>
    <font>
      <b/>
      <sz val="11"/>
      <color rgb="FFFF0000"/>
      <name val="Calibri"/>
      <family val="2"/>
      <charset val="238"/>
      <scheme val="minor"/>
    </font>
    <font>
      <sz val="9"/>
      <color rgb="FF0070C0"/>
      <name val="Calibri"/>
      <family val="2"/>
      <charset val="238"/>
      <scheme val="minor"/>
    </font>
    <font>
      <sz val="11"/>
      <color rgb="FFFF0000"/>
      <name val="Calibri"/>
      <family val="2"/>
      <charset val="238"/>
      <scheme val="minor"/>
    </font>
    <font>
      <sz val="6"/>
      <color theme="1"/>
      <name val="Calibri"/>
      <family val="2"/>
      <charset val="238"/>
      <scheme val="minor"/>
    </font>
    <font>
      <b/>
      <sz val="9"/>
      <color theme="1"/>
      <name val="Calibri"/>
      <family val="2"/>
      <charset val="238"/>
      <scheme val="minor"/>
    </font>
    <font>
      <sz val="11"/>
      <color rgb="FF333333"/>
      <name val="Calibri"/>
      <family val="2"/>
      <charset val="238"/>
      <scheme val="minor"/>
    </font>
    <font>
      <strike/>
      <sz val="11"/>
      <color theme="1"/>
      <name val="Calibri"/>
      <family val="2"/>
      <charset val="238"/>
    </font>
    <font>
      <strike/>
      <sz val="11"/>
      <name val="Calibri"/>
      <family val="2"/>
      <charset val="238"/>
      <scheme val="minor"/>
    </font>
    <font>
      <b/>
      <sz val="14"/>
      <color theme="1"/>
      <name val="Calibri"/>
      <family val="2"/>
      <charset val="238"/>
      <scheme val="minor"/>
    </font>
    <font>
      <sz val="11"/>
      <color rgb="FFFF0000"/>
      <name val="Calibri"/>
      <family val="2"/>
      <charset val="238"/>
    </font>
    <font>
      <b/>
      <sz val="11"/>
      <color theme="1"/>
      <name val="Arial Narrow"/>
      <family val="2"/>
      <charset val="238"/>
    </font>
  </fonts>
  <fills count="36">
    <fill>
      <patternFill patternType="none"/>
    </fill>
    <fill>
      <patternFill patternType="gray125"/>
    </fill>
    <fill>
      <patternFill patternType="solid">
        <fgColor theme="3" tint="0.79998168889431442"/>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indexed="22"/>
        <bgColor indexed="64"/>
      </patternFill>
    </fill>
    <fill>
      <patternFill patternType="solid">
        <fgColor theme="5" tint="0.79998168889431442"/>
        <bgColor indexed="64"/>
      </patternFill>
    </fill>
    <fill>
      <patternFill patternType="solid">
        <fgColor rgb="FFFFFF00"/>
        <bgColor indexed="64"/>
      </patternFill>
    </fill>
    <fill>
      <patternFill patternType="solid">
        <fgColor rgb="FFD4F4BE"/>
        <bgColor indexed="64"/>
      </patternFill>
    </fill>
    <fill>
      <patternFill patternType="solid">
        <fgColor theme="7"/>
        <bgColor indexed="64"/>
      </patternFill>
    </fill>
    <fill>
      <patternFill patternType="solid">
        <fgColor rgb="FFFFFFCC"/>
        <bgColor indexed="64"/>
      </patternFill>
    </fill>
    <fill>
      <patternFill patternType="solid">
        <fgColor rgb="FFFFFFFF"/>
        <bgColor indexed="64"/>
      </patternFill>
    </fill>
    <fill>
      <patternFill patternType="solid">
        <fgColor rgb="FFFFCC00"/>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rgb="FFD9D9D9"/>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rgb="FFFF0000"/>
        <bgColor indexed="64"/>
      </patternFill>
    </fill>
    <fill>
      <patternFill patternType="solid">
        <fgColor rgb="FF92D050"/>
        <bgColor indexed="64"/>
      </patternFill>
    </fill>
  </fills>
  <borders count="9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tted">
        <color auto="1"/>
      </left>
      <right style="dotted">
        <color auto="1"/>
      </right>
      <top style="dotted">
        <color auto="1"/>
      </top>
      <bottom style="dotted">
        <color auto="1"/>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hair">
        <color indexed="64"/>
      </left>
      <right style="hair">
        <color indexed="64"/>
      </right>
      <top style="hair">
        <color indexed="64"/>
      </top>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s>
  <cellStyleXfs count="7">
    <xf numFmtId="0" fontId="0" fillId="0" borderId="0"/>
    <xf numFmtId="0" fontId="1" fillId="0" borderId="0"/>
    <xf numFmtId="44" fontId="33" fillId="0" borderId="0" applyFont="0" applyFill="0" applyBorder="0" applyAlignment="0" applyProtection="0"/>
    <xf numFmtId="0" fontId="33" fillId="0" borderId="0"/>
    <xf numFmtId="0" fontId="34" fillId="0" borderId="0"/>
    <xf numFmtId="0" fontId="33" fillId="0" borderId="0"/>
    <xf numFmtId="9" fontId="1" fillId="0" borderId="0" applyFont="0" applyFill="0" applyBorder="0" applyAlignment="0" applyProtection="0"/>
  </cellStyleXfs>
  <cellXfs count="878">
    <xf numFmtId="0" fontId="0" fillId="0" borderId="0" xfId="0"/>
    <xf numFmtId="0" fontId="0" fillId="0" borderId="0" xfId="0" applyAlignment="1">
      <alignment vertical="top"/>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0" fillId="3" borderId="1" xfId="0" applyFill="1" applyBorder="1" applyAlignment="1">
      <alignment horizontal="center" vertical="top" wrapText="1"/>
    </xf>
    <xf numFmtId="0" fontId="0" fillId="3" borderId="2" xfId="0" applyFill="1" applyBorder="1" applyAlignment="1">
      <alignment horizontal="center" vertical="top" wrapText="1"/>
    </xf>
    <xf numFmtId="0" fontId="0" fillId="3" borderId="3" xfId="0" applyFill="1" applyBorder="1" applyAlignment="1">
      <alignment horizontal="center" vertical="top" wrapText="1"/>
    </xf>
    <xf numFmtId="0" fontId="0" fillId="0" borderId="4" xfId="0" applyBorder="1" applyAlignment="1">
      <alignment horizontal="center" vertical="top" wrapText="1"/>
    </xf>
    <xf numFmtId="0" fontId="0" fillId="4" borderId="1" xfId="0" applyFill="1" applyBorder="1" applyAlignment="1">
      <alignment horizontal="center" vertical="top" wrapText="1"/>
    </xf>
    <xf numFmtId="0" fontId="0" fillId="4" borderId="2" xfId="0" applyFill="1" applyBorder="1" applyAlignment="1">
      <alignment horizontal="center" vertical="top" wrapText="1"/>
    </xf>
    <xf numFmtId="0" fontId="0" fillId="4" borderId="3" xfId="0" applyFill="1" applyBorder="1" applyAlignment="1">
      <alignment horizontal="center" vertical="top" wrapText="1"/>
    </xf>
    <xf numFmtId="0" fontId="0" fillId="0" borderId="5" xfId="0" applyBorder="1" applyAlignment="1">
      <alignment horizontal="center" vertical="top" wrapText="1"/>
    </xf>
    <xf numFmtId="0" fontId="0" fillId="0" borderId="5" xfId="0" applyFill="1" applyBorder="1" applyAlignment="1">
      <alignment horizontal="center" vertical="top" wrapText="1"/>
    </xf>
    <xf numFmtId="0" fontId="0" fillId="5" borderId="1" xfId="0" applyFill="1" applyBorder="1" applyAlignment="1">
      <alignment horizontal="center" vertical="top" wrapText="1"/>
    </xf>
    <xf numFmtId="0" fontId="0" fillId="5" borderId="2" xfId="0" applyFill="1" applyBorder="1" applyAlignment="1">
      <alignment horizontal="center" vertical="top" wrapText="1"/>
    </xf>
    <xf numFmtId="0" fontId="0" fillId="5" borderId="3" xfId="0" applyFill="1" applyBorder="1" applyAlignment="1">
      <alignment horizontal="center" vertical="top" wrapText="1"/>
    </xf>
    <xf numFmtId="0" fontId="0" fillId="3" borderId="6" xfId="0" applyFill="1" applyBorder="1" applyAlignment="1">
      <alignment horizontal="center" vertical="top" wrapText="1"/>
    </xf>
    <xf numFmtId="0" fontId="0" fillId="5" borderId="6" xfId="0" applyFill="1" applyBorder="1" applyAlignment="1">
      <alignment horizontal="center" vertical="top" wrapText="1"/>
    </xf>
    <xf numFmtId="0" fontId="0" fillId="6" borderId="1" xfId="0" applyFill="1" applyBorder="1" applyAlignment="1">
      <alignment horizontal="center" vertical="top" wrapText="1"/>
    </xf>
    <xf numFmtId="0" fontId="0" fillId="6" borderId="2" xfId="0" applyFill="1" applyBorder="1" applyAlignment="1">
      <alignment horizontal="center" vertical="top" wrapText="1"/>
    </xf>
    <xf numFmtId="0" fontId="0" fillId="6" borderId="3" xfId="0" applyFill="1" applyBorder="1" applyAlignment="1">
      <alignment horizontal="center" vertical="top" wrapText="1"/>
    </xf>
    <xf numFmtId="0" fontId="0" fillId="7" borderId="7" xfId="0" applyFill="1" applyBorder="1" applyAlignment="1">
      <alignment horizontal="center" vertical="top" wrapText="1"/>
    </xf>
    <xf numFmtId="0" fontId="0" fillId="7" borderId="8" xfId="0" applyFill="1" applyBorder="1" applyAlignment="1">
      <alignment horizontal="center" vertical="top" wrapText="1"/>
    </xf>
    <xf numFmtId="0" fontId="0" fillId="7" borderId="4" xfId="0" applyFill="1" applyBorder="1" applyAlignment="1">
      <alignment horizontal="center" vertical="top" wrapText="1"/>
    </xf>
    <xf numFmtId="0" fontId="0" fillId="8" borderId="6" xfId="0" applyFill="1" applyBorder="1" applyAlignment="1">
      <alignment horizontal="center" vertical="top" wrapText="1"/>
    </xf>
    <xf numFmtId="0" fontId="0" fillId="9" borderId="6" xfId="0" applyFill="1" applyBorder="1" applyAlignment="1">
      <alignment horizontal="center" vertical="top" wrapText="1"/>
    </xf>
    <xf numFmtId="0" fontId="0" fillId="0" borderId="6" xfId="0" applyFill="1" applyBorder="1" applyAlignment="1">
      <alignment horizontal="center" vertical="top" wrapText="1"/>
    </xf>
    <xf numFmtId="0" fontId="0" fillId="0" borderId="6" xfId="0" applyBorder="1" applyAlignment="1">
      <alignment horizontal="center" vertical="top" wrapText="1"/>
    </xf>
    <xf numFmtId="0" fontId="0" fillId="0" borderId="0" xfId="0" applyBorder="1" applyAlignment="1">
      <alignment vertical="top"/>
    </xf>
    <xf numFmtId="0" fontId="0" fillId="0" borderId="0" xfId="0" applyFill="1" applyBorder="1" applyAlignment="1">
      <alignment vertical="top"/>
    </xf>
    <xf numFmtId="0" fontId="0" fillId="0" borderId="0" xfId="0" applyFill="1" applyAlignment="1">
      <alignment vertical="top"/>
    </xf>
    <xf numFmtId="0" fontId="0" fillId="0" borderId="5" xfId="0" applyBorder="1" applyAlignment="1">
      <alignment horizontal="left" vertical="top" wrapText="1"/>
    </xf>
    <xf numFmtId="0" fontId="0" fillId="0" borderId="5" xfId="0" applyBorder="1" applyAlignment="1">
      <alignment horizontal="left" vertical="top"/>
    </xf>
    <xf numFmtId="0" fontId="0" fillId="0" borderId="9" xfId="0" applyBorder="1" applyAlignment="1">
      <alignment horizontal="left" vertical="top" wrapText="1"/>
    </xf>
    <xf numFmtId="0" fontId="0" fillId="0" borderId="10" xfId="0" applyBorder="1" applyAlignment="1">
      <alignment horizontal="left" vertical="top" wrapText="1"/>
    </xf>
    <xf numFmtId="0" fontId="0" fillId="10" borderId="1" xfId="0" applyFill="1" applyBorder="1" applyAlignment="1">
      <alignment horizontal="left" vertical="top" wrapText="1"/>
    </xf>
    <xf numFmtId="0" fontId="0" fillId="10" borderId="2" xfId="0" applyFill="1" applyBorder="1" applyAlignment="1">
      <alignment horizontal="left" vertical="top" wrapText="1"/>
    </xf>
    <xf numFmtId="0" fontId="0" fillId="10" borderId="3" xfId="0" applyFill="1" applyBorder="1" applyAlignment="1">
      <alignment horizontal="left" vertical="top" wrapText="1"/>
    </xf>
    <xf numFmtId="0" fontId="0" fillId="11" borderId="1" xfId="0" applyFill="1" applyBorder="1" applyAlignment="1">
      <alignment horizontal="left" vertical="top" wrapText="1"/>
    </xf>
    <xf numFmtId="0" fontId="0" fillId="11" borderId="2" xfId="0" applyFill="1" applyBorder="1" applyAlignment="1">
      <alignment horizontal="left" vertical="top" wrapText="1"/>
    </xf>
    <xf numFmtId="0" fontId="0" fillId="11" borderId="3" xfId="0" applyFill="1" applyBorder="1" applyAlignment="1">
      <alignment horizontal="left" vertical="top" wrapText="1"/>
    </xf>
    <xf numFmtId="0" fontId="0" fillId="12" borderId="1" xfId="0" applyFill="1" applyBorder="1" applyAlignment="1">
      <alignment horizontal="left" vertical="top" wrapText="1"/>
    </xf>
    <xf numFmtId="0" fontId="0" fillId="12" borderId="2" xfId="0" applyFill="1" applyBorder="1" applyAlignment="1">
      <alignment horizontal="left" vertical="top" wrapText="1"/>
    </xf>
    <xf numFmtId="0" fontId="0" fillId="12" borderId="3" xfId="0" applyFill="1" applyBorder="1" applyAlignment="1">
      <alignment horizontal="left" vertical="top" wrapText="1"/>
    </xf>
    <xf numFmtId="0" fontId="0" fillId="0" borderId="9" xfId="0" applyFill="1" applyBorder="1" applyAlignment="1">
      <alignment horizontal="left" vertical="top" wrapText="1"/>
    </xf>
    <xf numFmtId="0" fontId="0" fillId="7" borderId="11" xfId="0" applyFill="1" applyBorder="1" applyAlignment="1">
      <alignment horizontal="left" vertical="top" wrapText="1"/>
    </xf>
    <xf numFmtId="0" fontId="0" fillId="13" borderId="11" xfId="0" applyFill="1" applyBorder="1" applyAlignment="1">
      <alignment horizontal="left" vertical="top" wrapText="1"/>
    </xf>
    <xf numFmtId="0" fontId="0" fillId="14" borderId="1" xfId="0" applyFill="1" applyBorder="1" applyAlignment="1">
      <alignment horizontal="left" vertical="top" wrapText="1"/>
    </xf>
    <xf numFmtId="0" fontId="0" fillId="14" borderId="2" xfId="0" applyFill="1" applyBorder="1" applyAlignment="1">
      <alignment horizontal="left" vertical="top" wrapText="1"/>
    </xf>
    <xf numFmtId="0" fontId="0" fillId="14" borderId="3" xfId="0" applyFill="1" applyBorder="1" applyAlignment="1">
      <alignment horizontal="left" vertical="top" wrapText="1"/>
    </xf>
    <xf numFmtId="0" fontId="0" fillId="15" borderId="11" xfId="0" applyFill="1" applyBorder="1" applyAlignment="1">
      <alignment horizontal="left" vertical="top" wrapText="1"/>
    </xf>
    <xf numFmtId="0" fontId="0" fillId="16" borderId="11" xfId="0" applyFill="1" applyBorder="1" applyAlignment="1">
      <alignment horizontal="left" vertical="top" wrapText="1"/>
    </xf>
    <xf numFmtId="0" fontId="0" fillId="17" borderId="1" xfId="0" applyFill="1" applyBorder="1" applyAlignment="1">
      <alignment horizontal="left" vertical="top" wrapText="1"/>
    </xf>
    <xf numFmtId="0" fontId="0" fillId="17" borderId="2" xfId="0" applyFill="1" applyBorder="1" applyAlignment="1">
      <alignment horizontal="left" vertical="top" wrapText="1"/>
    </xf>
    <xf numFmtId="0" fontId="0" fillId="17" borderId="3" xfId="0" applyFill="1" applyBorder="1" applyAlignment="1">
      <alignment horizontal="left" vertical="top" wrapText="1"/>
    </xf>
    <xf numFmtId="0" fontId="0" fillId="7" borderId="6" xfId="0" applyFill="1" applyBorder="1" applyAlignment="1">
      <alignment horizontal="left" vertical="top" wrapText="1"/>
    </xf>
    <xf numFmtId="0" fontId="0" fillId="13" borderId="6" xfId="0" applyFill="1" applyBorder="1" applyAlignment="1">
      <alignment horizontal="left" vertical="top" wrapText="1"/>
    </xf>
    <xf numFmtId="0" fontId="0" fillId="14" borderId="6" xfId="0" applyFill="1" applyBorder="1" applyAlignment="1">
      <alignment horizontal="left" vertical="top" wrapText="1"/>
    </xf>
    <xf numFmtId="0" fontId="0" fillId="15" borderId="6" xfId="0" applyFill="1" applyBorder="1" applyAlignment="1">
      <alignment horizontal="left" vertical="top" wrapText="1"/>
    </xf>
    <xf numFmtId="0" fontId="0" fillId="16" borderId="6" xfId="0" applyFill="1" applyBorder="1" applyAlignment="1">
      <alignment horizontal="left" vertical="top" wrapText="1"/>
    </xf>
    <xf numFmtId="0" fontId="0" fillId="17" borderId="6" xfId="0" applyFill="1" applyBorder="1" applyAlignment="1">
      <alignment horizontal="left" vertical="top" wrapText="1"/>
    </xf>
    <xf numFmtId="0" fontId="0" fillId="18" borderId="2" xfId="0" applyFill="1" applyBorder="1" applyAlignment="1">
      <alignment horizontal="left" vertical="top" wrapText="1"/>
    </xf>
    <xf numFmtId="0" fontId="0" fillId="18" borderId="3" xfId="0" applyFill="1" applyBorder="1" applyAlignment="1">
      <alignment horizontal="left" vertical="top" wrapText="1"/>
    </xf>
    <xf numFmtId="0" fontId="0" fillId="19" borderId="1" xfId="0" applyFill="1" applyBorder="1" applyAlignment="1">
      <alignment horizontal="left" vertical="top" wrapText="1"/>
    </xf>
    <xf numFmtId="0" fontId="0" fillId="19" borderId="2" xfId="0" applyFill="1" applyBorder="1" applyAlignment="1">
      <alignment horizontal="left" vertical="top" wrapText="1"/>
    </xf>
    <xf numFmtId="0" fontId="0" fillId="19" borderId="3" xfId="0" applyFill="1" applyBorder="1" applyAlignment="1">
      <alignment horizontal="left" vertical="top" wrapText="1"/>
    </xf>
    <xf numFmtId="0" fontId="0" fillId="6" borderId="1" xfId="0" applyFill="1" applyBorder="1" applyAlignment="1">
      <alignment horizontal="left" vertical="top" wrapText="1"/>
    </xf>
    <xf numFmtId="0" fontId="0" fillId="6" borderId="2" xfId="0" applyFill="1" applyBorder="1" applyAlignment="1">
      <alignment horizontal="left" vertical="top" wrapText="1"/>
    </xf>
    <xf numFmtId="0" fontId="0" fillId="6" borderId="3" xfId="0" applyFill="1" applyBorder="1" applyAlignment="1">
      <alignment horizontal="left" vertical="top" wrapText="1"/>
    </xf>
    <xf numFmtId="0" fontId="0" fillId="20" borderId="6" xfId="0" applyFill="1" applyBorder="1" applyAlignment="1">
      <alignment horizontal="left" vertical="top" wrapText="1"/>
    </xf>
    <xf numFmtId="0" fontId="0" fillId="0" borderId="6" xfId="0" applyFill="1" applyBorder="1" applyAlignment="1">
      <alignment horizontal="left" vertical="top" wrapText="1"/>
    </xf>
    <xf numFmtId="0" fontId="0" fillId="0" borderId="1" xfId="0" applyFill="1" applyBorder="1" applyAlignment="1">
      <alignment horizontal="left" vertical="top" wrapText="1"/>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0" fillId="0" borderId="1"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6" xfId="0" applyBorder="1" applyAlignment="1">
      <alignment horizontal="left" vertical="top" wrapText="1"/>
    </xf>
    <xf numFmtId="0" fontId="0" fillId="0" borderId="9" xfId="0" applyFill="1" applyBorder="1" applyAlignment="1">
      <alignment horizontal="left" vertical="top"/>
    </xf>
    <xf numFmtId="0" fontId="0" fillId="9" borderId="6" xfId="0" applyFill="1" applyBorder="1" applyAlignment="1">
      <alignment horizontal="left" vertical="top" wrapText="1"/>
    </xf>
    <xf numFmtId="0" fontId="0" fillId="0" borderId="0" xfId="0" applyBorder="1" applyAlignment="1">
      <alignment horizontal="left" vertical="top"/>
    </xf>
    <xf numFmtId="0" fontId="0" fillId="0" borderId="0" xfId="0" applyFill="1" applyBorder="1" applyAlignment="1">
      <alignment horizontal="left" vertical="top"/>
    </xf>
    <xf numFmtId="0" fontId="0" fillId="0" borderId="0" xfId="0" applyAlignment="1">
      <alignment horizontal="left" vertical="top"/>
    </xf>
    <xf numFmtId="0" fontId="0" fillId="0" borderId="0" xfId="0" applyFill="1" applyAlignment="1">
      <alignment horizontal="left" vertical="top"/>
    </xf>
    <xf numFmtId="0" fontId="3" fillId="0" borderId="0" xfId="0" applyFont="1" applyAlignment="1">
      <alignment horizontal="left" vertical="top"/>
    </xf>
    <xf numFmtId="0" fontId="0" fillId="0" borderId="9" xfId="0" applyBorder="1" applyAlignment="1">
      <alignment horizontal="left" vertical="top"/>
    </xf>
    <xf numFmtId="0" fontId="0" fillId="0" borderId="5" xfId="0" applyFill="1" applyBorder="1" applyAlignment="1">
      <alignment horizontal="left" vertical="top" wrapText="1"/>
    </xf>
    <xf numFmtId="0" fontId="0" fillId="0" borderId="11" xfId="0" applyFill="1" applyBorder="1" applyAlignment="1">
      <alignment horizontal="left" vertical="top" wrapText="1"/>
    </xf>
    <xf numFmtId="0" fontId="0" fillId="0" borderId="11" xfId="0" applyBorder="1" applyAlignment="1">
      <alignment horizontal="left" vertical="top" wrapText="1"/>
    </xf>
    <xf numFmtId="0" fontId="4" fillId="0" borderId="1" xfId="0" applyFont="1" applyBorder="1" applyAlignment="1">
      <alignment horizontal="left" vertical="top"/>
    </xf>
    <xf numFmtId="0" fontId="4" fillId="0" borderId="2" xfId="0" applyFont="1" applyBorder="1" applyAlignment="1">
      <alignment horizontal="left" vertical="top"/>
    </xf>
    <xf numFmtId="0" fontId="4" fillId="0" borderId="3" xfId="0" applyFont="1" applyBorder="1" applyAlignment="1">
      <alignment horizontal="left" vertical="top"/>
    </xf>
    <xf numFmtId="0" fontId="4" fillId="0" borderId="6" xfId="0" applyFont="1" applyBorder="1" applyAlignment="1">
      <alignment horizontal="left" vertical="top"/>
    </xf>
    <xf numFmtId="0" fontId="4" fillId="0" borderId="6" xfId="0" applyFont="1" applyFill="1" applyBorder="1" applyAlignment="1">
      <alignment horizontal="left" vertical="top"/>
    </xf>
    <xf numFmtId="0" fontId="0" fillId="0" borderId="7" xfId="0" applyFill="1" applyBorder="1" applyAlignment="1">
      <alignment horizontal="left" vertical="top" wrapText="1"/>
    </xf>
    <xf numFmtId="0" fontId="0" fillId="0" borderId="8" xfId="0" applyFill="1" applyBorder="1" applyAlignment="1">
      <alignment horizontal="left" vertical="top" wrapText="1"/>
    </xf>
    <xf numFmtId="0" fontId="0" fillId="0" borderId="4" xfId="0" applyFill="1"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0" fillId="0" borderId="4" xfId="0" applyBorder="1" applyAlignment="1">
      <alignment horizontal="left" vertical="top" wrapText="1"/>
    </xf>
    <xf numFmtId="0" fontId="0" fillId="0" borderId="12" xfId="0" applyBorder="1" applyAlignment="1">
      <alignment horizontal="left" vertical="top" wrapText="1"/>
    </xf>
    <xf numFmtId="0" fontId="0" fillId="0" borderId="0" xfId="0" applyBorder="1" applyAlignment="1">
      <alignment horizontal="left" vertical="top" wrapText="1"/>
    </xf>
    <xf numFmtId="0" fontId="0" fillId="0" borderId="12" xfId="0" applyFill="1" applyBorder="1" applyAlignment="1">
      <alignment horizontal="left" vertical="top" wrapText="1"/>
    </xf>
    <xf numFmtId="0" fontId="0" fillId="0" borderId="0" xfId="0" applyFill="1" applyBorder="1" applyAlignment="1">
      <alignment horizontal="left" vertical="top" wrapText="1"/>
    </xf>
    <xf numFmtId="0" fontId="0" fillId="0" borderId="10" xfId="0" applyFill="1" applyBorder="1" applyAlignment="1">
      <alignment horizontal="left" vertical="top" wrapText="1"/>
    </xf>
    <xf numFmtId="0" fontId="0" fillId="0" borderId="0" xfId="0" applyFill="1" applyBorder="1" applyAlignment="1">
      <alignment vertical="top" wrapText="1"/>
    </xf>
    <xf numFmtId="0" fontId="5" fillId="21" borderId="13" xfId="0" applyFont="1" applyFill="1" applyBorder="1" applyAlignment="1">
      <alignment horizontal="left" vertical="top" wrapText="1"/>
    </xf>
    <xf numFmtId="0" fontId="5" fillId="21" borderId="8" xfId="0" applyFont="1" applyFill="1" applyBorder="1" applyAlignment="1">
      <alignment horizontal="left" vertical="top" wrapText="1"/>
    </xf>
    <xf numFmtId="0" fontId="5" fillId="21" borderId="2" xfId="0" applyFont="1" applyFill="1" applyBorder="1" applyAlignment="1">
      <alignment horizontal="left" vertical="top" wrapText="1"/>
    </xf>
    <xf numFmtId="0" fontId="5" fillId="21" borderId="14" xfId="0" applyFont="1" applyFill="1" applyBorder="1" applyAlignment="1">
      <alignment horizontal="left" vertical="top" wrapText="1"/>
    </xf>
    <xf numFmtId="0" fontId="5" fillId="21" borderId="15" xfId="0" applyFont="1" applyFill="1" applyBorder="1" applyAlignment="1">
      <alignment horizontal="left" vertical="top" wrapText="1"/>
    </xf>
    <xf numFmtId="0" fontId="5" fillId="21" borderId="16" xfId="0" applyFont="1" applyFill="1" applyBorder="1" applyAlignment="1">
      <alignment horizontal="left" vertical="top" wrapText="1"/>
    </xf>
    <xf numFmtId="0" fontId="5" fillId="21" borderId="17" xfId="0" applyFont="1" applyFill="1" applyBorder="1" applyAlignment="1">
      <alignment horizontal="left" vertical="top" wrapText="1"/>
    </xf>
    <xf numFmtId="0" fontId="0" fillId="0" borderId="18" xfId="0" applyFill="1" applyBorder="1" applyAlignment="1">
      <alignment horizontal="left" vertical="top" wrapText="1"/>
    </xf>
    <xf numFmtId="0" fontId="0" fillId="0" borderId="19" xfId="0" applyFill="1" applyBorder="1" applyAlignment="1">
      <alignment horizontal="left" vertical="top" wrapText="1"/>
    </xf>
    <xf numFmtId="0" fontId="0" fillId="0" borderId="20" xfId="0" applyFill="1" applyBorder="1" applyAlignment="1">
      <alignment horizontal="left" vertical="top" wrapText="1"/>
    </xf>
    <xf numFmtId="0" fontId="0" fillId="0" borderId="18"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11" xfId="0" applyFill="1" applyBorder="1" applyAlignment="1">
      <alignment horizontal="left" vertical="top"/>
    </xf>
    <xf numFmtId="3" fontId="2" fillId="0" borderId="0" xfId="0" applyNumberFormat="1" applyFont="1" applyAlignment="1">
      <alignment horizontal="left" vertical="top" wrapText="1"/>
    </xf>
    <xf numFmtId="3" fontId="0" fillId="0" borderId="0" xfId="0" applyNumberFormat="1" applyAlignment="1">
      <alignment horizontal="left" vertical="top" wrapText="1"/>
    </xf>
    <xf numFmtId="0" fontId="0" fillId="0" borderId="0" xfId="0" applyAlignment="1">
      <alignment horizontal="left" vertical="top" wrapText="1"/>
    </xf>
    <xf numFmtId="3" fontId="6" fillId="0" borderId="0" xfId="0" applyNumberFormat="1" applyFont="1" applyAlignment="1">
      <alignment horizontal="left" vertical="top" wrapText="1"/>
    </xf>
    <xf numFmtId="3" fontId="7" fillId="0" borderId="0" xfId="0" applyNumberFormat="1" applyFont="1" applyAlignment="1">
      <alignment horizontal="left" vertical="top" wrapText="1"/>
    </xf>
    <xf numFmtId="0" fontId="0" fillId="0" borderId="21" xfId="0" applyBorder="1" applyAlignment="1">
      <alignment vertical="top"/>
    </xf>
    <xf numFmtId="0" fontId="0" fillId="0" borderId="21" xfId="0" applyBorder="1" applyAlignment="1">
      <alignment vertical="top" wrapText="1"/>
    </xf>
    <xf numFmtId="0" fontId="0" fillId="0" borderId="0" xfId="0" applyAlignment="1"/>
    <xf numFmtId="14" fontId="0" fillId="0" borderId="0" xfId="0" applyNumberFormat="1" applyAlignment="1"/>
    <xf numFmtId="0" fontId="0" fillId="0" borderId="0" xfId="0" applyBorder="1" applyAlignment="1"/>
    <xf numFmtId="3" fontId="2" fillId="0" borderId="0" xfId="0" applyNumberFormat="1" applyFont="1" applyAlignment="1">
      <alignment vertical="top"/>
    </xf>
    <xf numFmtId="3" fontId="0" fillId="0" borderId="0" xfId="0" applyNumberFormat="1" applyAlignment="1">
      <alignment vertical="top"/>
    </xf>
    <xf numFmtId="0" fontId="8" fillId="0" borderId="21" xfId="1" applyFont="1" applyFill="1" applyBorder="1" applyAlignment="1">
      <alignment vertical="top" wrapText="1"/>
    </xf>
    <xf numFmtId="0" fontId="8" fillId="16" borderId="21" xfId="1" applyFont="1" applyFill="1" applyBorder="1" applyAlignment="1">
      <alignment vertical="top" wrapText="1"/>
    </xf>
    <xf numFmtId="0" fontId="0" fillId="0" borderId="22" xfId="0" applyBorder="1" applyAlignment="1">
      <alignment vertical="top" wrapText="1"/>
    </xf>
    <xf numFmtId="0" fontId="0" fillId="0" borderId="23" xfId="0" applyBorder="1" applyAlignment="1">
      <alignment vertical="top" wrapText="1"/>
    </xf>
    <xf numFmtId="0" fontId="0" fillId="0" borderId="24" xfId="0" applyBorder="1" applyAlignment="1">
      <alignment vertical="top" wrapText="1"/>
    </xf>
    <xf numFmtId="0" fontId="0" fillId="0" borderId="25" xfId="0" applyBorder="1" applyAlignment="1">
      <alignment vertical="top" wrapText="1"/>
    </xf>
    <xf numFmtId="3" fontId="0" fillId="0" borderId="26" xfId="0" applyNumberFormat="1" applyBorder="1" applyAlignment="1">
      <alignment vertical="center" wrapText="1"/>
    </xf>
    <xf numFmtId="3" fontId="0" fillId="0" borderId="24" xfId="0" applyNumberFormat="1" applyBorder="1" applyAlignment="1">
      <alignment vertical="center" wrapText="1"/>
    </xf>
    <xf numFmtId="3" fontId="0" fillId="0" borderId="25" xfId="0" applyNumberFormat="1" applyBorder="1" applyAlignment="1">
      <alignment vertical="center" wrapText="1"/>
    </xf>
    <xf numFmtId="0" fontId="0" fillId="0" borderId="27" xfId="0" applyBorder="1" applyAlignment="1">
      <alignment vertical="top"/>
    </xf>
    <xf numFmtId="0" fontId="0" fillId="0" borderId="28" xfId="0" applyBorder="1" applyAlignment="1">
      <alignment vertical="top" wrapText="1"/>
    </xf>
    <xf numFmtId="0" fontId="0" fillId="0" borderId="29" xfId="0" applyBorder="1" applyAlignment="1">
      <alignment vertical="top" wrapText="1"/>
    </xf>
    <xf numFmtId="0" fontId="0" fillId="0" borderId="30" xfId="0" applyBorder="1" applyAlignment="1">
      <alignment vertical="top" wrapText="1"/>
    </xf>
    <xf numFmtId="3" fontId="0" fillId="0" borderId="31" xfId="0" applyNumberFormat="1" applyBorder="1" applyAlignment="1">
      <alignment vertical="center"/>
    </xf>
    <xf numFmtId="3" fontId="0" fillId="0" borderId="29" xfId="0" applyNumberFormat="1" applyBorder="1" applyAlignment="1">
      <alignment vertical="center"/>
    </xf>
    <xf numFmtId="3" fontId="0" fillId="0" borderId="30" xfId="0" applyNumberFormat="1" applyBorder="1" applyAlignment="1">
      <alignment vertical="center"/>
    </xf>
    <xf numFmtId="0" fontId="0" fillId="0" borderId="32" xfId="0" applyBorder="1" applyAlignment="1">
      <alignment vertical="top"/>
    </xf>
    <xf numFmtId="0" fontId="0" fillId="0" borderId="33" xfId="0" applyBorder="1" applyAlignment="1">
      <alignment vertical="top" wrapText="1"/>
    </xf>
    <xf numFmtId="0" fontId="0" fillId="0" borderId="6" xfId="0" applyBorder="1" applyAlignment="1">
      <alignment vertical="top" wrapText="1"/>
    </xf>
    <xf numFmtId="0" fontId="0" fillId="0" borderId="34" xfId="0" applyBorder="1" applyAlignment="1">
      <alignment vertical="top" wrapText="1"/>
    </xf>
    <xf numFmtId="3" fontId="0" fillId="0" borderId="3" xfId="0" applyNumberFormat="1" applyBorder="1" applyAlignment="1">
      <alignment vertical="center"/>
    </xf>
    <xf numFmtId="3" fontId="0" fillId="0" borderId="6" xfId="0" applyNumberFormat="1" applyBorder="1" applyAlignment="1">
      <alignment vertical="center"/>
    </xf>
    <xf numFmtId="3" fontId="0" fillId="0" borderId="34" xfId="0" applyNumberFormat="1" applyBorder="1" applyAlignment="1">
      <alignment vertical="center"/>
    </xf>
    <xf numFmtId="0" fontId="0" fillId="0" borderId="35" xfId="0" applyBorder="1" applyAlignment="1">
      <alignment vertical="top"/>
    </xf>
    <xf numFmtId="0" fontId="0" fillId="0" borderId="36" xfId="0" applyBorder="1" applyAlignment="1">
      <alignment vertical="top" wrapText="1"/>
    </xf>
    <xf numFmtId="0" fontId="0" fillId="0" borderId="37" xfId="0" applyBorder="1" applyAlignment="1">
      <alignment vertical="top" wrapText="1"/>
    </xf>
    <xf numFmtId="0" fontId="0" fillId="0" borderId="38" xfId="0" applyBorder="1" applyAlignment="1">
      <alignment vertical="top" wrapText="1"/>
    </xf>
    <xf numFmtId="3" fontId="0" fillId="0" borderId="39" xfId="0" applyNumberFormat="1" applyBorder="1" applyAlignment="1">
      <alignment vertical="center"/>
    </xf>
    <xf numFmtId="3" fontId="0" fillId="0" borderId="37" xfId="0" applyNumberFormat="1" applyBorder="1" applyAlignment="1">
      <alignment vertical="center"/>
    </xf>
    <xf numFmtId="3" fontId="0" fillId="0" borderId="38" xfId="0" applyNumberFormat="1" applyBorder="1" applyAlignment="1">
      <alignment vertical="center"/>
    </xf>
    <xf numFmtId="3" fontId="0" fillId="0" borderId="40" xfId="0" applyNumberFormat="1" applyBorder="1" applyAlignment="1">
      <alignment vertical="center"/>
    </xf>
    <xf numFmtId="0" fontId="0" fillId="0" borderId="41" xfId="0" applyBorder="1" applyAlignment="1">
      <alignment vertical="top"/>
    </xf>
    <xf numFmtId="0" fontId="0" fillId="0" borderId="42" xfId="0" applyBorder="1" applyAlignment="1">
      <alignment vertical="top" wrapText="1"/>
    </xf>
    <xf numFmtId="0" fontId="0" fillId="0" borderId="43" xfId="0" applyBorder="1" applyAlignment="1">
      <alignment vertical="top" wrapText="1"/>
    </xf>
    <xf numFmtId="0" fontId="0" fillId="0" borderId="40" xfId="0" applyBorder="1" applyAlignment="1">
      <alignment vertical="top" wrapText="1"/>
    </xf>
    <xf numFmtId="3" fontId="0" fillId="0" borderId="44" xfId="0" applyNumberFormat="1" applyBorder="1" applyAlignment="1">
      <alignment vertical="center"/>
    </xf>
    <xf numFmtId="3" fontId="0" fillId="0" borderId="43" xfId="0" applyNumberFormat="1" applyBorder="1" applyAlignment="1">
      <alignment vertical="center"/>
    </xf>
    <xf numFmtId="3" fontId="6" fillId="0" borderId="45" xfId="0" applyNumberFormat="1" applyFont="1" applyBorder="1" applyAlignment="1">
      <alignment vertical="center"/>
    </xf>
    <xf numFmtId="3" fontId="0" fillId="0" borderId="0" xfId="0" applyNumberFormat="1" applyAlignment="1">
      <alignment vertical="center"/>
    </xf>
    <xf numFmtId="0" fontId="0" fillId="0" borderId="0" xfId="0" applyAlignment="1">
      <alignment vertical="center"/>
    </xf>
    <xf numFmtId="0" fontId="0" fillId="0" borderId="46" xfId="0" applyBorder="1" applyAlignment="1">
      <alignment vertical="top" wrapText="1"/>
    </xf>
    <xf numFmtId="0" fontId="0" fillId="0" borderId="45" xfId="0" applyBorder="1" applyAlignment="1">
      <alignment vertical="top" wrapText="1"/>
    </xf>
    <xf numFmtId="0" fontId="0" fillId="0" borderId="47" xfId="0" applyBorder="1" applyAlignment="1">
      <alignment vertical="top" wrapText="1"/>
    </xf>
    <xf numFmtId="3" fontId="6" fillId="0" borderId="48" xfId="0" applyNumberFormat="1" applyFont="1" applyBorder="1" applyAlignment="1">
      <alignment vertical="center"/>
    </xf>
    <xf numFmtId="3" fontId="0" fillId="0" borderId="23" xfId="0" applyNumberFormat="1" applyBorder="1" applyAlignment="1">
      <alignment vertical="top" wrapText="1"/>
    </xf>
    <xf numFmtId="3" fontId="0" fillId="0" borderId="25" xfId="0" applyNumberFormat="1" applyBorder="1" applyAlignment="1">
      <alignment vertical="top" wrapText="1"/>
    </xf>
    <xf numFmtId="0" fontId="0" fillId="0" borderId="31" xfId="0" applyBorder="1" applyAlignment="1">
      <alignment vertical="top" wrapText="1"/>
    </xf>
    <xf numFmtId="3" fontId="0" fillId="0" borderId="31" xfId="0" applyNumberFormat="1" applyBorder="1" applyAlignment="1">
      <alignment vertical="top"/>
    </xf>
    <xf numFmtId="3" fontId="0" fillId="0" borderId="30" xfId="0" applyNumberFormat="1" applyBorder="1" applyAlignment="1">
      <alignment vertical="top"/>
    </xf>
    <xf numFmtId="0" fontId="0" fillId="0" borderId="3" xfId="0" applyBorder="1" applyAlignment="1">
      <alignment vertical="top" wrapText="1"/>
    </xf>
    <xf numFmtId="3" fontId="0" fillId="0" borderId="3" xfId="0" applyNumberFormat="1" applyBorder="1" applyAlignment="1">
      <alignment vertical="top"/>
    </xf>
    <xf numFmtId="3" fontId="0" fillId="0" borderId="34" xfId="0" applyNumberFormat="1" applyBorder="1" applyAlignment="1">
      <alignment vertical="top"/>
    </xf>
    <xf numFmtId="0" fontId="0" fillId="0" borderId="39" xfId="0" applyBorder="1" applyAlignment="1">
      <alignment vertical="top" wrapText="1"/>
    </xf>
    <xf numFmtId="3" fontId="0" fillId="0" borderId="39" xfId="0" applyNumberFormat="1" applyBorder="1" applyAlignment="1">
      <alignment vertical="top"/>
    </xf>
    <xf numFmtId="3" fontId="0" fillId="0" borderId="38" xfId="0" applyNumberFormat="1" applyBorder="1" applyAlignment="1">
      <alignment vertical="top"/>
    </xf>
    <xf numFmtId="0" fontId="0" fillId="0" borderId="44" xfId="0" applyBorder="1" applyAlignment="1">
      <alignment vertical="top" wrapText="1"/>
    </xf>
    <xf numFmtId="3" fontId="0" fillId="0" borderId="44" xfId="0" applyNumberFormat="1" applyBorder="1" applyAlignment="1">
      <alignment vertical="top"/>
    </xf>
    <xf numFmtId="3" fontId="0" fillId="0" borderId="40" xfId="0" applyNumberFormat="1" applyBorder="1" applyAlignment="1">
      <alignment vertical="top"/>
    </xf>
    <xf numFmtId="0" fontId="0" fillId="0" borderId="32" xfId="0" applyBorder="1"/>
    <xf numFmtId="0" fontId="0" fillId="0" borderId="3" xfId="0" applyBorder="1" applyAlignment="1">
      <alignment wrapText="1"/>
    </xf>
    <xf numFmtId="0" fontId="0" fillId="0" borderId="6" xfId="0" applyBorder="1" applyAlignment="1">
      <alignment wrapText="1"/>
    </xf>
    <xf numFmtId="0" fontId="0" fillId="0" borderId="34" xfId="0" applyBorder="1" applyAlignment="1">
      <alignment wrapText="1"/>
    </xf>
    <xf numFmtId="0" fontId="0" fillId="0" borderId="35" xfId="0" applyBorder="1"/>
    <xf numFmtId="0" fontId="0" fillId="0" borderId="39" xfId="0" applyBorder="1" applyAlignment="1">
      <alignment wrapText="1"/>
    </xf>
    <xf numFmtId="0" fontId="0" fillId="0" borderId="37" xfId="0" applyBorder="1" applyAlignment="1">
      <alignment wrapText="1"/>
    </xf>
    <xf numFmtId="0" fontId="0" fillId="0" borderId="38" xfId="0" applyBorder="1" applyAlignment="1">
      <alignment wrapText="1"/>
    </xf>
    <xf numFmtId="0" fontId="0" fillId="0" borderId="27" xfId="0" applyBorder="1"/>
    <xf numFmtId="0" fontId="0" fillId="0" borderId="31" xfId="0" applyBorder="1" applyAlignment="1">
      <alignment wrapText="1"/>
    </xf>
    <xf numFmtId="0" fontId="0" fillId="0" borderId="29" xfId="0" applyBorder="1" applyAlignment="1">
      <alignment wrapText="1"/>
    </xf>
    <xf numFmtId="0" fontId="0" fillId="0" borderId="30" xfId="0" applyBorder="1" applyAlignment="1">
      <alignment wrapText="1"/>
    </xf>
    <xf numFmtId="0" fontId="0" fillId="0" borderId="0" xfId="0" applyAlignment="1">
      <alignment horizontal="center"/>
    </xf>
    <xf numFmtId="0" fontId="14" fillId="0" borderId="0" xfId="0" applyFont="1" applyAlignment="1">
      <alignment horizontal="center" wrapText="1"/>
    </xf>
    <xf numFmtId="0" fontId="15" fillId="0" borderId="0" xfId="0" applyFont="1" applyFill="1" applyBorder="1"/>
    <xf numFmtId="0" fontId="16" fillId="0" borderId="0" xfId="0" applyFont="1" applyFill="1" applyBorder="1"/>
    <xf numFmtId="0" fontId="17" fillId="0" borderId="0" xfId="0" applyFont="1" applyFill="1" applyBorder="1"/>
    <xf numFmtId="164" fontId="17" fillId="0" borderId="0" xfId="0" applyNumberFormat="1" applyFont="1" applyFill="1" applyBorder="1"/>
    <xf numFmtId="0" fontId="17" fillId="22" borderId="0" xfId="0" applyFont="1" applyFill="1" applyBorder="1"/>
    <xf numFmtId="0" fontId="18" fillId="0" borderId="49" xfId="0" applyFont="1" applyFill="1" applyBorder="1" applyAlignment="1">
      <alignment vertical="center" wrapText="1"/>
    </xf>
    <xf numFmtId="0" fontId="19" fillId="0" borderId="49" xfId="0" applyFont="1" applyFill="1" applyBorder="1" applyAlignment="1">
      <alignment vertical="center" wrapText="1"/>
    </xf>
    <xf numFmtId="0" fontId="2" fillId="4" borderId="50" xfId="0" applyFont="1" applyFill="1" applyBorder="1" applyAlignment="1">
      <alignment vertical="center" wrapText="1"/>
    </xf>
    <xf numFmtId="0" fontId="20" fillId="4" borderId="51" xfId="0" applyFont="1" applyFill="1" applyBorder="1" applyAlignment="1">
      <alignment vertical="center" wrapText="1"/>
    </xf>
    <xf numFmtId="0" fontId="17" fillId="0" borderId="49" xfId="0" applyFont="1" applyFill="1" applyBorder="1" applyAlignment="1">
      <alignment wrapText="1"/>
    </xf>
    <xf numFmtId="0" fontId="19" fillId="0" borderId="49" xfId="0" applyFont="1" applyFill="1" applyBorder="1" applyAlignment="1">
      <alignment vertical="top" wrapText="1"/>
    </xf>
    <xf numFmtId="164" fontId="17" fillId="0" borderId="49" xfId="0" applyNumberFormat="1" applyFont="1" applyFill="1" applyBorder="1" applyAlignment="1">
      <alignment wrapText="1"/>
    </xf>
    <xf numFmtId="164" fontId="17" fillId="0" borderId="49" xfId="0" applyNumberFormat="1" applyFont="1" applyFill="1" applyBorder="1" applyAlignment="1">
      <alignment vertical="center" wrapText="1"/>
    </xf>
    <xf numFmtId="0" fontId="19" fillId="22" borderId="49" xfId="0" applyFont="1" applyFill="1" applyBorder="1" applyAlignment="1">
      <alignment wrapText="1"/>
    </xf>
    <xf numFmtId="0" fontId="23" fillId="0" borderId="21" xfId="0" applyFont="1" applyFill="1" applyBorder="1" applyAlignment="1">
      <alignment wrapText="1"/>
    </xf>
    <xf numFmtId="0" fontId="24" fillId="0" borderId="21" xfId="0" applyFont="1" applyFill="1" applyBorder="1" applyAlignment="1">
      <alignment wrapText="1"/>
    </xf>
    <xf numFmtId="0" fontId="0" fillId="0" borderId="11" xfId="0" applyFont="1" applyFill="1" applyBorder="1" applyAlignment="1">
      <alignment horizontal="left" vertical="center" wrapText="1"/>
    </xf>
    <xf numFmtId="0" fontId="20" fillId="0" borderId="18" xfId="0" applyFont="1" applyFill="1" applyBorder="1" applyAlignment="1">
      <alignment horizontal="left" vertical="center" wrapText="1"/>
    </xf>
    <xf numFmtId="0" fontId="24" fillId="0" borderId="21" xfId="0" applyFont="1" applyFill="1" applyBorder="1"/>
    <xf numFmtId="4" fontId="24" fillId="0" borderId="21" xfId="0" applyNumberFormat="1" applyFont="1" applyFill="1" applyBorder="1"/>
    <xf numFmtId="0" fontId="25" fillId="0" borderId="21" xfId="0" applyFont="1" applyFill="1" applyBorder="1"/>
    <xf numFmtId="165" fontId="25" fillId="0" borderId="21" xfId="0" applyNumberFormat="1" applyFont="1" applyFill="1" applyBorder="1"/>
    <xf numFmtId="165" fontId="25" fillId="22" borderId="21" xfId="0" applyNumberFormat="1" applyFont="1" applyFill="1" applyBorder="1"/>
    <xf numFmtId="0" fontId="0" fillId="0" borderId="6" xfId="0" applyFont="1" applyFill="1" applyBorder="1" applyAlignment="1">
      <alignment horizontal="left" vertical="center" wrapText="1"/>
    </xf>
    <xf numFmtId="0" fontId="20" fillId="0" borderId="1" xfId="0" applyFont="1" applyFill="1" applyBorder="1" applyAlignment="1">
      <alignment horizontal="left" vertical="center" wrapText="1"/>
    </xf>
    <xf numFmtId="2" fontId="24" fillId="0" borderId="21" xfId="0" applyNumberFormat="1" applyFont="1" applyFill="1" applyBorder="1" applyAlignment="1">
      <alignment horizontal="right"/>
    </xf>
    <xf numFmtId="0" fontId="25" fillId="0" borderId="21" xfId="0" applyFont="1" applyFill="1" applyBorder="1" applyAlignment="1">
      <alignment wrapText="1"/>
    </xf>
    <xf numFmtId="1" fontId="0" fillId="0" borderId="6" xfId="0" applyNumberFormat="1" applyFont="1" applyFill="1" applyBorder="1" applyAlignment="1">
      <alignment horizontal="left" vertical="center"/>
    </xf>
    <xf numFmtId="0" fontId="19" fillId="6" borderId="6" xfId="0" applyFont="1" applyFill="1" applyBorder="1" applyAlignment="1">
      <alignment vertical="center" wrapText="1"/>
    </xf>
    <xf numFmtId="0" fontId="24" fillId="0" borderId="6" xfId="0" applyFont="1" applyFill="1" applyBorder="1" applyAlignment="1">
      <alignment wrapText="1"/>
    </xf>
    <xf numFmtId="2" fontId="25" fillId="0" borderId="21" xfId="0" applyNumberFormat="1" applyFont="1" applyFill="1" applyBorder="1" applyAlignment="1">
      <alignment horizontal="right"/>
    </xf>
    <xf numFmtId="1" fontId="17" fillId="0" borderId="6" xfId="0" applyNumberFormat="1" applyFont="1" applyFill="1" applyBorder="1" applyAlignment="1">
      <alignment horizontal="left" vertical="center"/>
    </xf>
    <xf numFmtId="0" fontId="26" fillId="0" borderId="6"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20" fillId="0" borderId="1" xfId="0" applyFont="1" applyBorder="1" applyAlignment="1">
      <alignment horizontal="left" vertical="center"/>
    </xf>
    <xf numFmtId="0" fontId="27" fillId="0" borderId="6" xfId="0" applyFont="1" applyFill="1" applyBorder="1" applyAlignment="1">
      <alignment horizontal="left" vertical="center" wrapText="1"/>
    </xf>
    <xf numFmtId="0" fontId="0" fillId="0" borderId="6" xfId="0" applyFont="1" applyBorder="1" applyAlignment="1">
      <alignment horizontal="left" vertical="center" wrapText="1"/>
    </xf>
    <xf numFmtId="0" fontId="24" fillId="0" borderId="21" xfId="0" applyFont="1" applyFill="1" applyBorder="1" applyAlignment="1">
      <alignment vertical="top" wrapText="1"/>
    </xf>
    <xf numFmtId="0" fontId="0" fillId="0" borderId="6" xfId="0" applyFont="1" applyFill="1" applyBorder="1" applyAlignment="1">
      <alignment horizontal="left" vertical="center"/>
    </xf>
    <xf numFmtId="0" fontId="18" fillId="0" borderId="0" xfId="0" applyFont="1" applyFill="1" applyBorder="1"/>
    <xf numFmtId="0" fontId="17" fillId="0" borderId="0" xfId="0" applyFont="1" applyFill="1" applyBorder="1" applyAlignment="1">
      <alignment wrapText="1"/>
    </xf>
    <xf numFmtId="0" fontId="0" fillId="0" borderId="0" xfId="0" applyAlignment="1">
      <alignment wrapText="1"/>
    </xf>
    <xf numFmtId="0" fontId="9" fillId="0" borderId="21" xfId="1" applyFont="1" applyFill="1" applyBorder="1" applyAlignment="1"/>
    <xf numFmtId="0" fontId="10" fillId="0" borderId="21" xfId="1" applyFont="1" applyFill="1" applyBorder="1" applyAlignment="1"/>
    <xf numFmtId="0" fontId="8" fillId="5" borderId="21" xfId="1" applyFont="1" applyFill="1" applyBorder="1" applyAlignment="1"/>
    <xf numFmtId="14" fontId="11" fillId="0" borderId="21" xfId="1" applyNumberFormat="1" applyFont="1" applyFill="1" applyBorder="1" applyAlignment="1"/>
    <xf numFmtId="0" fontId="8" fillId="0" borderId="21" xfId="1" applyFont="1" applyFill="1" applyBorder="1" applyAlignment="1"/>
    <xf numFmtId="0" fontId="12" fillId="0" borderId="21" xfId="1" applyFont="1" applyFill="1" applyBorder="1" applyAlignment="1"/>
    <xf numFmtId="14" fontId="8" fillId="0" borderId="21" xfId="1" applyNumberFormat="1" applyFont="1" applyFill="1" applyBorder="1" applyAlignment="1"/>
    <xf numFmtId="0" fontId="11" fillId="0" borderId="21" xfId="0" applyFont="1" applyFill="1" applyBorder="1" applyAlignment="1"/>
    <xf numFmtId="0" fontId="11" fillId="5" borderId="21" xfId="0" applyFont="1" applyFill="1" applyBorder="1" applyAlignment="1"/>
    <xf numFmtId="0" fontId="11" fillId="0" borderId="21" xfId="1" applyFont="1" applyFill="1" applyBorder="1" applyAlignment="1"/>
    <xf numFmtId="0" fontId="11" fillId="5" borderId="21" xfId="1" applyFont="1" applyFill="1" applyBorder="1" applyAlignment="1"/>
    <xf numFmtId="0" fontId="8" fillId="0" borderId="21" xfId="0" applyFont="1" applyFill="1" applyBorder="1" applyAlignment="1"/>
    <xf numFmtId="0" fontId="8" fillId="5" borderId="21" xfId="0" applyFont="1" applyFill="1" applyBorder="1" applyAlignment="1"/>
    <xf numFmtId="0" fontId="10" fillId="0" borderId="0" xfId="1" applyFont="1" applyFill="1" applyBorder="1" applyAlignment="1"/>
    <xf numFmtId="0" fontId="13" fillId="0" borderId="21" xfId="0" applyFont="1" applyBorder="1" applyAlignment="1"/>
    <xf numFmtId="0" fontId="13" fillId="0" borderId="0" xfId="0" applyFont="1" applyBorder="1" applyAlignment="1"/>
    <xf numFmtId="0" fontId="0" fillId="0" borderId="0" xfId="0" applyFill="1"/>
    <xf numFmtId="0" fontId="0" fillId="5" borderId="0" xfId="0" applyFill="1"/>
    <xf numFmtId="166" fontId="0" fillId="5" borderId="0" xfId="0" applyNumberFormat="1" applyFill="1"/>
    <xf numFmtId="0" fontId="0" fillId="0" borderId="0" xfId="0" applyFill="1" applyBorder="1"/>
    <xf numFmtId="0" fontId="2" fillId="0" borderId="0" xfId="0" applyFont="1" applyFill="1"/>
    <xf numFmtId="0" fontId="31" fillId="5" borderId="0" xfId="0" applyFont="1" applyFill="1" applyAlignment="1">
      <alignment wrapText="1"/>
    </xf>
    <xf numFmtId="0" fontId="31" fillId="5" borderId="0" xfId="0" applyFont="1" applyFill="1" applyAlignment="1">
      <alignment horizontal="center" wrapText="1"/>
    </xf>
    <xf numFmtId="166" fontId="31" fillId="5" borderId="0" xfId="0" applyNumberFormat="1" applyFont="1" applyFill="1" applyAlignment="1">
      <alignment horizontal="center" wrapText="1"/>
    </xf>
    <xf numFmtId="0" fontId="32" fillId="5" borderId="0" xfId="0" applyFont="1" applyFill="1" applyAlignment="1">
      <alignment horizontal="center" wrapText="1"/>
    </xf>
    <xf numFmtId="0" fontId="0" fillId="0" borderId="2" xfId="0" applyFill="1" applyBorder="1" applyAlignment="1">
      <alignment horizontal="left" wrapText="1"/>
    </xf>
    <xf numFmtId="0" fontId="0" fillId="0" borderId="22" xfId="0" applyFill="1" applyBorder="1" applyAlignment="1">
      <alignment horizontal="left" wrapText="1"/>
    </xf>
    <xf numFmtId="0" fontId="0" fillId="0" borderId="52" xfId="0" applyFill="1" applyBorder="1" applyAlignment="1">
      <alignment horizontal="left" wrapText="1"/>
    </xf>
    <xf numFmtId="0" fontId="0" fillId="0" borderId="53" xfId="0" applyFill="1" applyBorder="1" applyAlignment="1">
      <alignment horizontal="left" wrapText="1"/>
    </xf>
    <xf numFmtId="0" fontId="0" fillId="0" borderId="0" xfId="0" applyFill="1" applyBorder="1" applyAlignment="1">
      <alignment horizontal="left" wrapText="1"/>
    </xf>
    <xf numFmtId="0" fontId="2" fillId="7" borderId="54" xfId="0" applyFont="1" applyFill="1" applyBorder="1" applyAlignment="1">
      <alignment horizontal="left" wrapText="1"/>
    </xf>
    <xf numFmtId="166" fontId="0" fillId="5" borderId="0" xfId="0" applyNumberFormat="1" applyFill="1" applyAlignment="1">
      <alignment horizontal="right"/>
    </xf>
    <xf numFmtId="1" fontId="0" fillId="5" borderId="0" xfId="0" applyNumberFormat="1" applyFill="1" applyAlignment="1">
      <alignment horizontal="right"/>
    </xf>
    <xf numFmtId="1" fontId="0" fillId="5" borderId="0" xfId="0" applyNumberFormat="1" applyFill="1"/>
    <xf numFmtId="167" fontId="0" fillId="5" borderId="0" xfId="0" applyNumberFormat="1" applyFill="1" applyAlignment="1">
      <alignment horizontal="right"/>
    </xf>
    <xf numFmtId="2" fontId="0" fillId="5" borderId="0" xfId="0" applyNumberFormat="1" applyFill="1"/>
    <xf numFmtId="2" fontId="0" fillId="0" borderId="0" xfId="0" applyNumberFormat="1" applyFill="1"/>
    <xf numFmtId="2" fontId="0" fillId="0" borderId="0" xfId="0" applyNumberFormat="1"/>
    <xf numFmtId="3" fontId="0" fillId="0" borderId="55" xfId="0" applyNumberFormat="1" applyFill="1" applyBorder="1"/>
    <xf numFmtId="3" fontId="0" fillId="0" borderId="8" xfId="0" applyNumberFormat="1" applyFill="1" applyBorder="1"/>
    <xf numFmtId="3" fontId="0" fillId="6" borderId="8" xfId="0" applyNumberFormat="1" applyFill="1" applyBorder="1"/>
    <xf numFmtId="3" fontId="0" fillId="6" borderId="56" xfId="0" applyNumberFormat="1" applyFill="1" applyBorder="1"/>
    <xf numFmtId="3" fontId="0" fillId="0" borderId="56" xfId="0" applyNumberFormat="1" applyFill="1" applyBorder="1"/>
    <xf numFmtId="3" fontId="0" fillId="9" borderId="56" xfId="0" applyNumberFormat="1" applyFill="1" applyBorder="1"/>
    <xf numFmtId="3" fontId="2" fillId="7" borderId="57" xfId="0" applyNumberFormat="1" applyFont="1" applyFill="1" applyBorder="1"/>
    <xf numFmtId="0" fontId="0" fillId="4" borderId="0" xfId="0" applyFill="1"/>
    <xf numFmtId="166" fontId="0" fillId="4" borderId="0" xfId="0" applyNumberFormat="1" applyFill="1"/>
    <xf numFmtId="166" fontId="0" fillId="4" borderId="0" xfId="0" applyNumberFormat="1" applyFill="1" applyAlignment="1">
      <alignment horizontal="right"/>
    </xf>
    <xf numFmtId="1" fontId="0" fillId="4" borderId="0" xfId="0" applyNumberFormat="1" applyFill="1" applyAlignment="1">
      <alignment horizontal="right"/>
    </xf>
    <xf numFmtId="1" fontId="0" fillId="4" borderId="0" xfId="0" applyNumberFormat="1" applyFill="1"/>
    <xf numFmtId="167" fontId="0" fillId="4" borderId="0" xfId="0" applyNumberFormat="1" applyFill="1" applyAlignment="1">
      <alignment horizontal="right"/>
    </xf>
    <xf numFmtId="2" fontId="0" fillId="4" borderId="0" xfId="0" applyNumberFormat="1" applyFill="1"/>
    <xf numFmtId="3" fontId="2" fillId="4" borderId="57" xfId="0" applyNumberFormat="1" applyFont="1" applyFill="1" applyBorder="1"/>
    <xf numFmtId="2" fontId="0" fillId="23" borderId="0" xfId="0" applyNumberFormat="1" applyFill="1"/>
    <xf numFmtId="168" fontId="0" fillId="0" borderId="0" xfId="0" applyNumberFormat="1"/>
    <xf numFmtId="3" fontId="0" fillId="4" borderId="8" xfId="0" applyNumberFormat="1" applyFill="1" applyBorder="1"/>
    <xf numFmtId="3" fontId="0" fillId="4" borderId="56" xfId="0" applyNumberFormat="1" applyFill="1" applyBorder="1"/>
    <xf numFmtId="0" fontId="0" fillId="4" borderId="0" xfId="0" applyFill="1" applyBorder="1"/>
    <xf numFmtId="167" fontId="0" fillId="0" borderId="0" xfId="0" applyNumberFormat="1" applyAlignment="1">
      <alignment horizontal="right"/>
    </xf>
    <xf numFmtId="166" fontId="0" fillId="0" borderId="0" xfId="0" applyNumberFormat="1" applyFill="1"/>
    <xf numFmtId="3" fontId="0" fillId="0" borderId="0" xfId="0" applyNumberFormat="1" applyFill="1"/>
    <xf numFmtId="2" fontId="9" fillId="0" borderId="21" xfId="1" applyNumberFormat="1" applyFont="1" applyFill="1" applyBorder="1" applyAlignment="1"/>
    <xf numFmtId="2" fontId="8" fillId="0" borderId="21" xfId="1" applyNumberFormat="1" applyFont="1" applyFill="1" applyBorder="1" applyAlignment="1"/>
    <xf numFmtId="0" fontId="0" fillId="0" borderId="0" xfId="0" pivotButton="1"/>
    <xf numFmtId="0" fontId="0" fillId="0" borderId="0" xfId="0" applyAlignment="1">
      <alignment horizontal="left"/>
    </xf>
    <xf numFmtId="4" fontId="0" fillId="0" borderId="0" xfId="0" applyNumberFormat="1"/>
    <xf numFmtId="0" fontId="0" fillId="0" borderId="0" xfId="0"/>
    <xf numFmtId="3" fontId="0" fillId="0" borderId="0" xfId="0" applyNumberFormat="1"/>
    <xf numFmtId="0" fontId="0" fillId="0" borderId="0" xfId="0" applyBorder="1"/>
    <xf numFmtId="0" fontId="0" fillId="6" borderId="0" xfId="0" applyFill="1" applyAlignment="1"/>
    <xf numFmtId="0" fontId="8" fillId="6" borderId="21" xfId="0" applyFont="1" applyFill="1" applyBorder="1" applyAlignment="1"/>
    <xf numFmtId="0" fontId="11" fillId="6" borderId="21" xfId="0" applyFont="1" applyFill="1" applyBorder="1" applyAlignment="1"/>
    <xf numFmtId="167" fontId="0" fillId="0" borderId="0" xfId="0" applyNumberFormat="1" applyFill="1" applyBorder="1" applyAlignment="1">
      <alignment horizontal="right"/>
    </xf>
    <xf numFmtId="2" fontId="0" fillId="0" borderId="0" xfId="0" applyNumberFormat="1" applyFill="1" applyBorder="1"/>
    <xf numFmtId="3" fontId="0" fillId="0" borderId="0" xfId="0" applyNumberFormat="1" applyFill="1" applyBorder="1"/>
    <xf numFmtId="0" fontId="0" fillId="0" borderId="0" xfId="0" pivotButton="1" applyBorder="1"/>
    <xf numFmtId="0" fontId="0" fillId="0" borderId="0" xfId="0" applyBorder="1" applyAlignment="1">
      <alignment horizontal="left"/>
    </xf>
    <xf numFmtId="169" fontId="0" fillId="0" borderId="0" xfId="0" applyNumberFormat="1"/>
    <xf numFmtId="0" fontId="9" fillId="0" borderId="0" xfId="1" applyFont="1" applyFill="1" applyBorder="1" applyAlignment="1">
      <alignment horizontal="center"/>
    </xf>
    <xf numFmtId="0" fontId="0" fillId="0" borderId="0" xfId="0" applyFill="1" applyBorder="1" applyAlignment="1">
      <alignment horizontal="center"/>
    </xf>
    <xf numFmtId="1" fontId="17" fillId="23" borderId="6" xfId="0" applyNumberFormat="1" applyFont="1" applyFill="1" applyBorder="1" applyAlignment="1">
      <alignment vertical="center"/>
    </xf>
    <xf numFmtId="0" fontId="2" fillId="0" borderId="0" xfId="0" applyFont="1"/>
    <xf numFmtId="49" fontId="35" fillId="24" borderId="33" xfId="3" applyNumberFormat="1" applyFont="1" applyFill="1" applyBorder="1" applyAlignment="1">
      <alignment horizontal="left" vertical="center" indent="2"/>
    </xf>
    <xf numFmtId="4" fontId="36" fillId="24" borderId="6" xfId="0" applyNumberFormat="1" applyFont="1" applyFill="1" applyBorder="1" applyAlignment="1">
      <alignment horizontal="center"/>
    </xf>
    <xf numFmtId="0" fontId="0" fillId="25" borderId="0" xfId="0" applyFill="1"/>
    <xf numFmtId="49" fontId="36" fillId="26" borderId="33" xfId="3" applyNumberFormat="1" applyFont="1" applyFill="1" applyBorder="1" applyAlignment="1">
      <alignment horizontal="left" vertical="center" indent="2"/>
    </xf>
    <xf numFmtId="4" fontId="36" fillId="26" borderId="6" xfId="0" applyNumberFormat="1" applyFont="1" applyFill="1" applyBorder="1" applyAlignment="1">
      <alignment horizontal="center"/>
    </xf>
    <xf numFmtId="49" fontId="36" fillId="0" borderId="33" xfId="3" applyNumberFormat="1" applyFont="1" applyFill="1" applyBorder="1" applyAlignment="1">
      <alignment horizontal="left" vertical="center" indent="2"/>
    </xf>
    <xf numFmtId="4" fontId="36" fillId="0" borderId="34" xfId="0" applyNumberFormat="1" applyFont="1" applyBorder="1" applyAlignment="1">
      <alignment horizontal="center"/>
    </xf>
    <xf numFmtId="49" fontId="37" fillId="0" borderId="33" xfId="3" applyNumberFormat="1" applyFont="1" applyFill="1" applyBorder="1" applyAlignment="1">
      <alignment horizontal="left" vertical="center" indent="2"/>
    </xf>
    <xf numFmtId="4" fontId="37" fillId="0" borderId="34" xfId="0" applyNumberFormat="1" applyFont="1" applyBorder="1" applyAlignment="1">
      <alignment horizontal="center"/>
    </xf>
    <xf numFmtId="0" fontId="0" fillId="6" borderId="0" xfId="0" applyFill="1"/>
    <xf numFmtId="0" fontId="0" fillId="0" borderId="15" xfId="0" applyBorder="1"/>
    <xf numFmtId="3" fontId="0" fillId="0" borderId="16" xfId="0" applyNumberFormat="1" applyBorder="1"/>
    <xf numFmtId="3" fontId="0" fillId="6" borderId="0" xfId="0" applyNumberFormat="1" applyFill="1"/>
    <xf numFmtId="165" fontId="17" fillId="22" borderId="0" xfId="0" applyNumberFormat="1" applyFont="1" applyFill="1" applyBorder="1"/>
    <xf numFmtId="165" fontId="0" fillId="0" borderId="11" xfId="0" applyNumberFormat="1" applyFont="1" applyFill="1" applyBorder="1" applyAlignment="1">
      <alignment horizontal="left" vertical="center" wrapText="1"/>
    </xf>
    <xf numFmtId="165" fontId="17" fillId="0" borderId="0" xfId="0" applyNumberFormat="1" applyFont="1" applyFill="1" applyBorder="1" applyAlignment="1">
      <alignment wrapText="1"/>
    </xf>
    <xf numFmtId="0" fontId="0" fillId="0" borderId="0" xfId="0" applyNumberFormat="1"/>
    <xf numFmtId="3" fontId="0" fillId="0" borderId="0" xfId="0" applyNumberFormat="1" applyAlignment="1">
      <alignment wrapText="1"/>
    </xf>
    <xf numFmtId="0" fontId="2" fillId="6" borderId="0" xfId="0" applyFont="1" applyFill="1"/>
    <xf numFmtId="0" fontId="6" fillId="27" borderId="6" xfId="0" applyFont="1" applyFill="1" applyBorder="1" applyAlignment="1">
      <alignment horizontal="center" vertical="center" wrapText="1"/>
    </xf>
    <xf numFmtId="0" fontId="7" fillId="27" borderId="6" xfId="0" applyFont="1" applyFill="1" applyBorder="1" applyAlignment="1">
      <alignment wrapText="1"/>
    </xf>
    <xf numFmtId="4" fontId="7" fillId="27" borderId="6" xfId="0" applyNumberFormat="1" applyFont="1" applyFill="1" applyBorder="1" applyAlignment="1">
      <alignment horizontal="right" wrapText="1"/>
    </xf>
    <xf numFmtId="4" fontId="0" fillId="27" borderId="6" xfId="0" applyNumberFormat="1" applyFill="1" applyBorder="1" applyAlignment="1">
      <alignment horizontal="right" wrapText="1"/>
    </xf>
    <xf numFmtId="0" fontId="32" fillId="0" borderId="0" xfId="0" applyFont="1" applyFill="1" applyAlignment="1">
      <alignment horizontal="center" wrapText="1"/>
    </xf>
    <xf numFmtId="0" fontId="0" fillId="23" borderId="0" xfId="0" applyFill="1"/>
    <xf numFmtId="0" fontId="0" fillId="23" borderId="0" xfId="0" applyFill="1" applyAlignment="1">
      <alignment horizontal="left"/>
    </xf>
    <xf numFmtId="0" fontId="0" fillId="23" borderId="0" xfId="0" applyFill="1" applyAlignment="1">
      <alignment wrapText="1"/>
    </xf>
    <xf numFmtId="3" fontId="0" fillId="23" borderId="0" xfId="0" applyNumberFormat="1" applyFill="1"/>
    <xf numFmtId="0" fontId="0" fillId="0" borderId="9" xfId="0" applyBorder="1"/>
    <xf numFmtId="0" fontId="0" fillId="0" borderId="23" xfId="0" applyBorder="1"/>
    <xf numFmtId="0" fontId="0" fillId="0" borderId="24" xfId="0" applyBorder="1"/>
    <xf numFmtId="0" fontId="0" fillId="0" borderId="58" xfId="0" applyBorder="1"/>
    <xf numFmtId="0" fontId="0" fillId="0" borderId="29" xfId="0" applyBorder="1"/>
    <xf numFmtId="0" fontId="0" fillId="0" borderId="5" xfId="0" applyBorder="1"/>
    <xf numFmtId="0" fontId="0" fillId="0" borderId="61" xfId="0" applyBorder="1"/>
    <xf numFmtId="0" fontId="0" fillId="0" borderId="62" xfId="0" applyBorder="1"/>
    <xf numFmtId="0" fontId="0" fillId="0" borderId="63" xfId="0" applyBorder="1"/>
    <xf numFmtId="3" fontId="0" fillId="0" borderId="63" xfId="0" applyNumberFormat="1" applyBorder="1"/>
    <xf numFmtId="2" fontId="0" fillId="0" borderId="63" xfId="0" applyNumberFormat="1" applyBorder="1"/>
    <xf numFmtId="3" fontId="0" fillId="0" borderId="64" xfId="0" applyNumberFormat="1" applyBorder="1"/>
    <xf numFmtId="0" fontId="0" fillId="0" borderId="65" xfId="0" applyBorder="1"/>
    <xf numFmtId="0" fontId="0" fillId="0" borderId="66" xfId="0" applyBorder="1"/>
    <xf numFmtId="3" fontId="0" fillId="0" borderId="66" xfId="0" applyNumberFormat="1" applyBorder="1"/>
    <xf numFmtId="2" fontId="0" fillId="0" borderId="66" xfId="0" applyNumberFormat="1" applyBorder="1"/>
    <xf numFmtId="3" fontId="0" fillId="0" borderId="67" xfId="0" applyNumberFormat="1" applyBorder="1"/>
    <xf numFmtId="0" fontId="0" fillId="0" borderId="68" xfId="0" applyBorder="1"/>
    <xf numFmtId="0" fontId="0" fillId="0" borderId="69" xfId="0" applyBorder="1"/>
    <xf numFmtId="3" fontId="0" fillId="0" borderId="69" xfId="0" applyNumberFormat="1" applyBorder="1"/>
    <xf numFmtId="2" fontId="0" fillId="0" borderId="69" xfId="0" applyNumberFormat="1" applyBorder="1"/>
    <xf numFmtId="3" fontId="0" fillId="0" borderId="70" xfId="0" applyNumberFormat="1" applyBorder="1"/>
    <xf numFmtId="0" fontId="0" fillId="6" borderId="22" xfId="0" applyFill="1" applyBorder="1"/>
    <xf numFmtId="3" fontId="0" fillId="6" borderId="52" xfId="0" applyNumberFormat="1" applyFill="1" applyBorder="1"/>
    <xf numFmtId="3" fontId="0" fillId="6" borderId="53" xfId="0" applyNumberFormat="1" applyFill="1" applyBorder="1"/>
    <xf numFmtId="0" fontId="0" fillId="6" borderId="71" xfId="0" applyFill="1" applyBorder="1"/>
    <xf numFmtId="3" fontId="0" fillId="6" borderId="72" xfId="0" applyNumberFormat="1" applyFill="1" applyBorder="1"/>
    <xf numFmtId="3" fontId="0" fillId="6" borderId="73" xfId="0" applyNumberFormat="1" applyFill="1" applyBorder="1"/>
    <xf numFmtId="0" fontId="0" fillId="6" borderId="66" xfId="0" applyFill="1" applyBorder="1"/>
    <xf numFmtId="0" fontId="0" fillId="0" borderId="63" xfId="0" applyFill="1" applyBorder="1"/>
    <xf numFmtId="0" fontId="7" fillId="27" borderId="0" xfId="0" applyFont="1" applyFill="1"/>
    <xf numFmtId="0" fontId="0" fillId="27" borderId="0" xfId="0" applyFill="1"/>
    <xf numFmtId="0" fontId="6" fillId="27" borderId="0" xfId="0" applyFont="1" applyFill="1" applyAlignment="1">
      <alignment horizontal="center" vertical="center" wrapText="1"/>
    </xf>
    <xf numFmtId="0" fontId="7" fillId="27" borderId="0" xfId="0" applyFont="1" applyFill="1" applyAlignment="1">
      <alignment wrapText="1"/>
    </xf>
    <xf numFmtId="0" fontId="0" fillId="27" borderId="0" xfId="0" applyFill="1" applyAlignment="1">
      <alignment horizontal="center"/>
    </xf>
    <xf numFmtId="0" fontId="0" fillId="0" borderId="74" xfId="0" applyBorder="1"/>
    <xf numFmtId="0" fontId="0" fillId="0" borderId="12" xfId="0" applyBorder="1"/>
    <xf numFmtId="0" fontId="0" fillId="0" borderId="18" xfId="0" applyBorder="1"/>
    <xf numFmtId="0" fontId="0" fillId="6" borderId="75" xfId="0" applyFill="1" applyBorder="1"/>
    <xf numFmtId="3" fontId="0" fillId="6" borderId="75" xfId="0" applyNumberFormat="1" applyFill="1" applyBorder="1"/>
    <xf numFmtId="0" fontId="6" fillId="0" borderId="0" xfId="0" applyFont="1"/>
    <xf numFmtId="0" fontId="7" fillId="0" borderId="0" xfId="0" applyFont="1"/>
    <xf numFmtId="0" fontId="2" fillId="0" borderId="54" xfId="0" applyFont="1" applyBorder="1" applyAlignment="1">
      <alignment horizontal="center"/>
    </xf>
    <xf numFmtId="0" fontId="38" fillId="3" borderId="54" xfId="3" applyFont="1" applyFill="1" applyBorder="1" applyAlignment="1">
      <alignment horizontal="center" vertical="center"/>
    </xf>
    <xf numFmtId="0" fontId="39" fillId="3" borderId="54" xfId="3" applyFont="1" applyFill="1" applyBorder="1" applyAlignment="1">
      <alignment horizontal="center" vertical="center" wrapText="1"/>
    </xf>
    <xf numFmtId="0" fontId="40" fillId="3" borderId="54" xfId="3" applyFont="1" applyFill="1" applyBorder="1" applyAlignment="1">
      <alignment horizontal="center" vertical="center"/>
    </xf>
    <xf numFmtId="3" fontId="41" fillId="23" borderId="23" xfId="3" applyNumberFormat="1" applyFont="1" applyFill="1" applyBorder="1" applyAlignment="1">
      <alignment horizontal="center" vertical="center" wrapText="1"/>
    </xf>
    <xf numFmtId="0" fontId="0" fillId="0" borderId="29" xfId="0" applyFill="1" applyBorder="1" applyAlignment="1">
      <alignment wrapText="1"/>
    </xf>
    <xf numFmtId="3" fontId="41" fillId="23" borderId="24" xfId="3" applyNumberFormat="1" applyFont="1" applyFill="1" applyBorder="1" applyAlignment="1">
      <alignment horizontal="center" vertical="center" wrapText="1"/>
    </xf>
    <xf numFmtId="3" fontId="41" fillId="23" borderId="25" xfId="3" applyNumberFormat="1" applyFont="1" applyFill="1" applyBorder="1" applyAlignment="1">
      <alignment horizontal="center" vertical="center" wrapText="1"/>
    </xf>
    <xf numFmtId="3" fontId="42" fillId="23" borderId="25" xfId="3" applyNumberFormat="1" applyFont="1" applyFill="1" applyBorder="1" applyAlignment="1">
      <alignment horizontal="center" vertical="center" wrapText="1"/>
    </xf>
    <xf numFmtId="0" fontId="0" fillId="0" borderId="76" xfId="0" applyBorder="1"/>
    <xf numFmtId="0" fontId="38" fillId="28" borderId="76" xfId="3" applyFont="1" applyFill="1" applyBorder="1" applyAlignment="1">
      <alignment horizontal="center"/>
    </xf>
    <xf numFmtId="0" fontId="43" fillId="28" borderId="76" xfId="3" applyFont="1" applyFill="1" applyBorder="1" applyAlignment="1">
      <alignment horizontal="center"/>
    </xf>
    <xf numFmtId="44" fontId="44" fillId="28" borderId="76" xfId="2" applyFont="1" applyFill="1" applyBorder="1" applyAlignment="1"/>
    <xf numFmtId="169" fontId="44" fillId="28" borderId="46" xfId="2" applyNumberFormat="1" applyFont="1" applyFill="1" applyBorder="1" applyAlignment="1"/>
    <xf numFmtId="169" fontId="44" fillId="28" borderId="45" xfId="2" applyNumberFormat="1" applyFont="1" applyFill="1" applyBorder="1" applyAlignment="1"/>
    <xf numFmtId="169" fontId="44" fillId="28" borderId="47" xfId="2" applyNumberFormat="1" applyFont="1" applyFill="1" applyBorder="1" applyAlignment="1"/>
    <xf numFmtId="0" fontId="45" fillId="0" borderId="77" xfId="4" applyFont="1" applyBorder="1" applyAlignment="1">
      <alignment horizontal="center"/>
    </xf>
    <xf numFmtId="0" fontId="38" fillId="0" borderId="78" xfId="3" applyFont="1" applyBorder="1" applyAlignment="1">
      <alignment horizontal="center"/>
    </xf>
    <xf numFmtId="0" fontId="43" fillId="0" borderId="79" xfId="3" applyFont="1" applyBorder="1" applyAlignment="1">
      <alignment horizontal="center"/>
    </xf>
    <xf numFmtId="44" fontId="43" fillId="0" borderId="79" xfId="2" applyFont="1" applyBorder="1" applyAlignment="1"/>
    <xf numFmtId="169" fontId="33" fillId="0" borderId="80" xfId="2" applyNumberFormat="1" applyBorder="1"/>
    <xf numFmtId="0" fontId="0" fillId="0" borderId="11" xfId="0" applyBorder="1"/>
    <xf numFmtId="169" fontId="33" fillId="0" borderId="11" xfId="2" applyNumberFormat="1" applyBorder="1"/>
    <xf numFmtId="169" fontId="33" fillId="0" borderId="81" xfId="2" applyNumberFormat="1" applyBorder="1"/>
    <xf numFmtId="49" fontId="46" fillId="0" borderId="32" xfId="3" applyNumberFormat="1" applyFont="1" applyBorder="1" applyAlignment="1">
      <alignment horizontal="center"/>
    </xf>
    <xf numFmtId="0" fontId="38" fillId="0" borderId="82" xfId="3" applyFont="1" applyBorder="1" applyAlignment="1">
      <alignment horizontal="center"/>
    </xf>
    <xf numFmtId="0" fontId="43" fillId="0" borderId="32" xfId="3" applyFont="1" applyBorder="1" applyAlignment="1">
      <alignment horizontal="center"/>
    </xf>
    <xf numFmtId="44" fontId="47" fillId="0" borderId="32" xfId="2" applyFont="1" applyBorder="1" applyAlignment="1"/>
    <xf numFmtId="3" fontId="33" fillId="0" borderId="58" xfId="2" applyNumberFormat="1" applyBorder="1"/>
    <xf numFmtId="0" fontId="0" fillId="0" borderId="6" xfId="0" applyBorder="1"/>
    <xf numFmtId="3" fontId="33" fillId="0" borderId="9" xfId="2" applyNumberFormat="1" applyBorder="1"/>
    <xf numFmtId="3" fontId="33" fillId="0" borderId="83" xfId="2" applyNumberFormat="1" applyBorder="1"/>
    <xf numFmtId="44" fontId="47" fillId="0" borderId="32" xfId="2" applyFont="1" applyBorder="1"/>
    <xf numFmtId="3" fontId="33" fillId="0" borderId="33" xfId="2" applyNumberFormat="1" applyBorder="1"/>
    <xf numFmtId="3" fontId="33" fillId="0" borderId="6" xfId="2" applyNumberFormat="1" applyBorder="1"/>
    <xf numFmtId="3" fontId="33" fillId="0" borderId="34" xfId="2" applyNumberFormat="1" applyBorder="1"/>
    <xf numFmtId="0" fontId="46" fillId="0" borderId="32" xfId="3" applyFont="1" applyBorder="1" applyAlignment="1">
      <alignment horizontal="center"/>
    </xf>
    <xf numFmtId="3" fontId="0" fillId="0" borderId="33" xfId="0" applyNumberFormat="1" applyFill="1" applyBorder="1"/>
    <xf numFmtId="3" fontId="0" fillId="0" borderId="6" xfId="0" applyNumberFormat="1" applyFill="1" applyBorder="1"/>
    <xf numFmtId="3" fontId="0" fillId="0" borderId="34" xfId="0" applyNumberFormat="1" applyFill="1" applyBorder="1"/>
    <xf numFmtId="44" fontId="48" fillId="0" borderId="32" xfId="2" applyFont="1" applyBorder="1"/>
    <xf numFmtId="3" fontId="33" fillId="0" borderId="33" xfId="2" applyNumberFormat="1" applyFont="1" applyBorder="1"/>
    <xf numFmtId="3" fontId="33" fillId="0" borderId="6" xfId="2" applyNumberFormat="1" applyFont="1" applyBorder="1"/>
    <xf numFmtId="3" fontId="33" fillId="0" borderId="34" xfId="2" applyNumberFormat="1" applyFont="1" applyBorder="1"/>
    <xf numFmtId="49" fontId="46" fillId="0" borderId="35" xfId="3" applyNumberFormat="1" applyFont="1" applyBorder="1" applyAlignment="1">
      <alignment horizontal="center"/>
    </xf>
    <xf numFmtId="0" fontId="38" fillId="0" borderId="84" xfId="3" applyFont="1" applyBorder="1" applyAlignment="1">
      <alignment horizontal="center"/>
    </xf>
    <xf numFmtId="0" fontId="43" fillId="0" borderId="35" xfId="3" applyFont="1" applyBorder="1" applyAlignment="1">
      <alignment horizontal="center"/>
    </xf>
    <xf numFmtId="44" fontId="47" fillId="0" borderId="35" xfId="2" applyFont="1" applyBorder="1"/>
    <xf numFmtId="3" fontId="33" fillId="0" borderId="36" xfId="2" applyNumberFormat="1" applyBorder="1"/>
    <xf numFmtId="0" fontId="0" fillId="0" borderId="37" xfId="0" applyBorder="1"/>
    <xf numFmtId="3" fontId="33" fillId="0" borderId="37" xfId="2" applyNumberFormat="1" applyBorder="1"/>
    <xf numFmtId="3" fontId="33" fillId="0" borderId="38" xfId="2" applyNumberFormat="1" applyBorder="1"/>
    <xf numFmtId="44" fontId="48" fillId="0" borderId="0" xfId="2" applyFont="1" applyFill="1" applyBorder="1"/>
    <xf numFmtId="0" fontId="0" fillId="6" borderId="21" xfId="0" applyFill="1" applyBorder="1" applyAlignment="1"/>
    <xf numFmtId="0" fontId="9" fillId="0" borderId="0" xfId="1" applyFont="1" applyFill="1" applyBorder="1" applyAlignment="1"/>
    <xf numFmtId="3" fontId="41" fillId="23" borderId="54" xfId="3" applyNumberFormat="1" applyFont="1" applyFill="1" applyBorder="1" applyAlignment="1">
      <alignment horizontal="center" vertical="center" wrapText="1"/>
    </xf>
    <xf numFmtId="169" fontId="44" fillId="28" borderId="76" xfId="2" applyNumberFormat="1" applyFont="1" applyFill="1" applyBorder="1" applyAlignment="1"/>
    <xf numFmtId="0" fontId="0" fillId="0" borderId="39" xfId="0" applyBorder="1"/>
    <xf numFmtId="169" fontId="33" fillId="0" borderId="79" xfId="2" applyNumberFormat="1" applyBorder="1"/>
    <xf numFmtId="0" fontId="0" fillId="0" borderId="20" xfId="0" applyBorder="1"/>
    <xf numFmtId="3" fontId="0" fillId="0" borderId="34" xfId="0" applyNumberFormat="1" applyBorder="1"/>
    <xf numFmtId="169" fontId="0" fillId="0" borderId="6" xfId="0" applyNumberFormat="1" applyBorder="1"/>
    <xf numFmtId="169" fontId="0" fillId="23" borderId="3" xfId="0" applyNumberFormat="1" applyFill="1" applyBorder="1"/>
    <xf numFmtId="169" fontId="36" fillId="0" borderId="34" xfId="0" applyNumberFormat="1" applyFont="1" applyFill="1" applyBorder="1"/>
    <xf numFmtId="169" fontId="0" fillId="29" borderId="6" xfId="0" applyNumberFormat="1" applyFill="1" applyBorder="1"/>
    <xf numFmtId="169" fontId="0" fillId="29" borderId="3" xfId="0" applyNumberFormat="1" applyFill="1" applyBorder="1"/>
    <xf numFmtId="3" fontId="0" fillId="0" borderId="6" xfId="0" applyNumberFormat="1" applyBorder="1"/>
    <xf numFmtId="3" fontId="0" fillId="29" borderId="6" xfId="0" applyNumberFormat="1" applyFill="1" applyBorder="1"/>
    <xf numFmtId="3" fontId="0" fillId="0" borderId="38" xfId="0" applyNumberFormat="1" applyBorder="1"/>
    <xf numFmtId="3" fontId="0" fillId="0" borderId="37" xfId="0" applyNumberFormat="1" applyBorder="1"/>
    <xf numFmtId="169" fontId="0" fillId="23" borderId="39" xfId="0" applyNumberFormat="1" applyFill="1" applyBorder="1"/>
    <xf numFmtId="3" fontId="0" fillId="0" borderId="0" xfId="0" applyNumberFormat="1" applyBorder="1"/>
    <xf numFmtId="169" fontId="36" fillId="0" borderId="0" xfId="0" applyNumberFormat="1" applyFont="1" applyFill="1" applyBorder="1"/>
    <xf numFmtId="0" fontId="49" fillId="0" borderId="0" xfId="0" applyFont="1"/>
    <xf numFmtId="0" fontId="49" fillId="0" borderId="0" xfId="0" applyFont="1" applyBorder="1"/>
    <xf numFmtId="0" fontId="0" fillId="30" borderId="0" xfId="0" applyFill="1"/>
    <xf numFmtId="3" fontId="0" fillId="30" borderId="0" xfId="0" applyNumberFormat="1" applyFill="1"/>
    <xf numFmtId="0" fontId="14" fillId="0" borderId="0" xfId="0" applyFont="1" applyAlignment="1">
      <alignment horizontal="center" vertical="top" wrapText="1"/>
    </xf>
    <xf numFmtId="0" fontId="0" fillId="0" borderId="85" xfId="0" applyBorder="1"/>
    <xf numFmtId="0" fontId="0" fillId="7" borderId="0" xfId="0" applyFill="1"/>
    <xf numFmtId="3" fontId="0" fillId="0" borderId="9" xfId="0" applyNumberFormat="1" applyBorder="1"/>
    <xf numFmtId="3" fontId="0" fillId="7" borderId="9" xfId="0" applyNumberFormat="1" applyFill="1" applyBorder="1"/>
    <xf numFmtId="0" fontId="0" fillId="0" borderId="6" xfId="0" applyNumberFormat="1" applyBorder="1" applyAlignment="1">
      <alignment wrapText="1"/>
    </xf>
    <xf numFmtId="0" fontId="0" fillId="30" borderId="5" xfId="0" applyFill="1" applyBorder="1"/>
    <xf numFmtId="3" fontId="0" fillId="30" borderId="5" xfId="0" applyNumberFormat="1" applyFill="1" applyBorder="1"/>
    <xf numFmtId="170" fontId="0" fillId="0" borderId="9" xfId="6" applyNumberFormat="1" applyFont="1" applyBorder="1"/>
    <xf numFmtId="0" fontId="0" fillId="30" borderId="9" xfId="0" applyFill="1" applyBorder="1"/>
    <xf numFmtId="3" fontId="0" fillId="30" borderId="9" xfId="0" applyNumberFormat="1" applyFill="1" applyBorder="1"/>
    <xf numFmtId="0" fontId="0" fillId="0" borderId="9" xfId="0" applyFill="1" applyBorder="1"/>
    <xf numFmtId="3" fontId="0" fillId="0" borderId="9" xfId="0" applyNumberFormat="1" applyFill="1" applyBorder="1"/>
    <xf numFmtId="170" fontId="0" fillId="0" borderId="9" xfId="6" applyNumberFormat="1" applyFont="1" applyFill="1" applyBorder="1"/>
    <xf numFmtId="3" fontId="2" fillId="0" borderId="0" xfId="0" applyNumberFormat="1" applyFont="1"/>
    <xf numFmtId="3" fontId="0" fillId="6" borderId="6" xfId="0" applyNumberFormat="1" applyFill="1" applyBorder="1"/>
    <xf numFmtId="0" fontId="0" fillId="0" borderId="28" xfId="0" applyBorder="1"/>
    <xf numFmtId="0" fontId="0" fillId="0" borderId="30" xfId="0" applyBorder="1"/>
    <xf numFmtId="0" fontId="0" fillId="0" borderId="33" xfId="0" applyBorder="1"/>
    <xf numFmtId="0" fontId="0" fillId="0" borderId="86" xfId="0" applyBorder="1"/>
    <xf numFmtId="0" fontId="0" fillId="0" borderId="36" xfId="0" applyBorder="1"/>
    <xf numFmtId="0" fontId="2" fillId="6" borderId="0" xfId="0" applyFont="1" applyFill="1" applyAlignment="1">
      <alignment horizontal="center"/>
    </xf>
    <xf numFmtId="0" fontId="16" fillId="31" borderId="16" xfId="0" applyFont="1" applyFill="1" applyBorder="1" applyAlignment="1">
      <alignment horizontal="center" vertical="center"/>
    </xf>
    <xf numFmtId="3" fontId="26" fillId="0" borderId="73" xfId="0" applyNumberFormat="1" applyFont="1" applyBorder="1" applyAlignment="1">
      <alignment horizontal="right" vertical="center"/>
    </xf>
    <xf numFmtId="0" fontId="16" fillId="31" borderId="76" xfId="0" applyFont="1" applyFill="1" applyBorder="1" applyAlignment="1">
      <alignment horizontal="right" vertical="center"/>
    </xf>
    <xf numFmtId="3" fontId="16" fillId="31" borderId="73" xfId="0" applyNumberFormat="1" applyFont="1" applyFill="1" applyBorder="1" applyAlignment="1">
      <alignment horizontal="right" vertical="center"/>
    </xf>
    <xf numFmtId="0" fontId="50" fillId="0" borderId="0" xfId="0" applyFont="1"/>
    <xf numFmtId="0" fontId="51" fillId="31" borderId="41" xfId="0" applyFont="1" applyFill="1" applyBorder="1" applyAlignment="1">
      <alignment horizontal="center" vertical="center"/>
    </xf>
    <xf numFmtId="0" fontId="52" fillId="0" borderId="76" xfId="0" applyFont="1" applyBorder="1" applyAlignment="1">
      <alignment vertical="center"/>
    </xf>
    <xf numFmtId="3" fontId="2" fillId="6" borderId="0" xfId="0" applyNumberFormat="1" applyFont="1" applyFill="1"/>
    <xf numFmtId="3" fontId="0" fillId="7" borderId="0" xfId="0" applyNumberFormat="1" applyFill="1"/>
    <xf numFmtId="170" fontId="0" fillId="0" borderId="0" xfId="6" applyNumberFormat="1" applyFont="1"/>
    <xf numFmtId="0" fontId="0" fillId="0" borderId="0" xfId="0" applyAlignment="1">
      <alignment horizontal="center" vertical="top" wrapText="1"/>
    </xf>
    <xf numFmtId="0" fontId="0" fillId="0" borderId="0" xfId="0" applyBorder="1" applyAlignment="1">
      <alignment horizontal="center" vertical="top" wrapText="1"/>
    </xf>
    <xf numFmtId="3" fontId="0" fillId="4" borderId="6" xfId="0" applyNumberFormat="1" applyFill="1" applyBorder="1"/>
    <xf numFmtId="170" fontId="0" fillId="4" borderId="34" xfId="6" applyNumberFormat="1" applyFont="1" applyFill="1" applyBorder="1"/>
    <xf numFmtId="3" fontId="0" fillId="7" borderId="6" xfId="0" applyNumberFormat="1" applyFill="1" applyBorder="1"/>
    <xf numFmtId="3" fontId="0" fillId="32" borderId="29" xfId="0" applyNumberFormat="1" applyFill="1" applyBorder="1"/>
    <xf numFmtId="170" fontId="0" fillId="32" borderId="30" xfId="6" applyNumberFormat="1" applyFont="1" applyFill="1" applyBorder="1"/>
    <xf numFmtId="3" fontId="0" fillId="32" borderId="6" xfId="0" applyNumberFormat="1" applyFill="1" applyBorder="1"/>
    <xf numFmtId="170" fontId="0" fillId="32" borderId="34" xfId="6" applyNumberFormat="1" applyFont="1" applyFill="1" applyBorder="1"/>
    <xf numFmtId="0" fontId="2" fillId="32" borderId="36" xfId="0" applyFont="1" applyFill="1" applyBorder="1" applyAlignment="1">
      <alignment horizontal="left" vertical="top" wrapText="1"/>
    </xf>
    <xf numFmtId="3" fontId="2" fillId="32" borderId="37" xfId="0" applyNumberFormat="1" applyFont="1" applyFill="1" applyBorder="1"/>
    <xf numFmtId="170" fontId="2" fillId="32" borderId="38" xfId="6" applyNumberFormat="1" applyFont="1" applyFill="1" applyBorder="1"/>
    <xf numFmtId="3" fontId="0" fillId="0" borderId="5" xfId="0" applyNumberFormat="1" applyBorder="1"/>
    <xf numFmtId="0" fontId="2" fillId="0" borderId="42" xfId="0" applyFont="1" applyBorder="1" applyAlignment="1">
      <alignment horizontal="left" vertical="top" wrapText="1"/>
    </xf>
    <xf numFmtId="3" fontId="2" fillId="0" borderId="43" xfId="0" applyNumberFormat="1" applyFont="1" applyBorder="1"/>
    <xf numFmtId="170" fontId="2" fillId="0" borderId="40" xfId="6" applyNumberFormat="1" applyFont="1" applyBorder="1"/>
    <xf numFmtId="0" fontId="0" fillId="4" borderId="33" xfId="0" applyFont="1" applyFill="1" applyBorder="1" applyAlignment="1">
      <alignment horizontal="left" vertical="top" wrapText="1"/>
    </xf>
    <xf numFmtId="0" fontId="2" fillId="4" borderId="36" xfId="0" applyFont="1" applyFill="1" applyBorder="1" applyAlignment="1">
      <alignment horizontal="left" vertical="top" wrapText="1"/>
    </xf>
    <xf numFmtId="3" fontId="2" fillId="4" borderId="37" xfId="0" applyNumberFormat="1" applyFont="1" applyFill="1" applyBorder="1"/>
    <xf numFmtId="170" fontId="2" fillId="4" borderId="38" xfId="6" applyNumberFormat="1" applyFont="1" applyFill="1" applyBorder="1"/>
    <xf numFmtId="3" fontId="0" fillId="7" borderId="29" xfId="0" applyNumberFormat="1" applyFill="1" applyBorder="1"/>
    <xf numFmtId="170" fontId="0" fillId="7" borderId="30" xfId="6" applyNumberFormat="1" applyFont="1" applyFill="1" applyBorder="1"/>
    <xf numFmtId="170" fontId="0" fillId="7" borderId="34" xfId="6" applyNumberFormat="1" applyFont="1" applyFill="1" applyBorder="1"/>
    <xf numFmtId="0" fontId="2" fillId="7" borderId="36" xfId="0" applyFont="1" applyFill="1" applyBorder="1" applyAlignment="1">
      <alignment horizontal="left" vertical="top" wrapText="1"/>
    </xf>
    <xf numFmtId="3" fontId="2" fillId="7" borderId="37" xfId="0" applyNumberFormat="1" applyFont="1" applyFill="1" applyBorder="1"/>
    <xf numFmtId="170" fontId="2" fillId="7" borderId="38" xfId="6" applyNumberFormat="1" applyFont="1" applyFill="1" applyBorder="1"/>
    <xf numFmtId="0" fontId="0" fillId="7" borderId="28" xfId="0" applyFont="1" applyFill="1" applyBorder="1" applyAlignment="1">
      <alignment horizontal="left" vertical="top" wrapText="1"/>
    </xf>
    <xf numFmtId="0" fontId="0" fillId="7" borderId="33" xfId="0" applyFont="1" applyFill="1" applyBorder="1" applyAlignment="1">
      <alignment horizontal="left" vertical="top" wrapText="1"/>
    </xf>
    <xf numFmtId="0" fontId="0" fillId="32" borderId="28" xfId="0" applyFont="1" applyFill="1" applyBorder="1" applyAlignment="1">
      <alignment horizontal="left" vertical="top" wrapText="1"/>
    </xf>
    <xf numFmtId="0" fontId="0" fillId="32" borderId="33" xfId="0" applyFont="1" applyFill="1" applyBorder="1" applyAlignment="1">
      <alignment horizontal="left" vertical="top" wrapText="1"/>
    </xf>
    <xf numFmtId="3" fontId="0" fillId="0" borderId="11" xfId="0" applyNumberFormat="1" applyBorder="1"/>
    <xf numFmtId="0" fontId="14" fillId="0" borderId="80" xfId="0" applyFont="1" applyBorder="1" applyAlignment="1">
      <alignment horizontal="left" vertical="top" wrapText="1"/>
    </xf>
    <xf numFmtId="170" fontId="0" fillId="0" borderId="81" xfId="6" applyNumberFormat="1" applyFont="1" applyBorder="1"/>
    <xf numFmtId="0" fontId="14" fillId="0" borderId="87" xfId="0" applyFont="1" applyBorder="1" applyAlignment="1">
      <alignment horizontal="left" vertical="top" wrapText="1"/>
    </xf>
    <xf numFmtId="170" fontId="0" fillId="0" borderId="61" xfId="6" applyNumberFormat="1" applyFont="1" applyBorder="1"/>
    <xf numFmtId="0" fontId="0" fillId="4" borderId="80" xfId="0" applyFont="1" applyFill="1" applyBorder="1" applyAlignment="1">
      <alignment horizontal="left" vertical="top" wrapText="1"/>
    </xf>
    <xf numFmtId="3" fontId="0" fillId="4" borderId="11" xfId="0" applyNumberFormat="1" applyFill="1" applyBorder="1"/>
    <xf numFmtId="170" fontId="0" fillId="4" borderId="81" xfId="6" applyNumberFormat="1" applyFont="1" applyFill="1" applyBorder="1"/>
    <xf numFmtId="0" fontId="0" fillId="6" borderId="28" xfId="0" applyFont="1" applyFill="1" applyBorder="1" applyAlignment="1">
      <alignment horizontal="left" vertical="top" wrapText="1"/>
    </xf>
    <xf numFmtId="3" fontId="0" fillId="6" borderId="29" xfId="0" applyNumberFormat="1" applyFill="1" applyBorder="1"/>
    <xf numFmtId="170" fontId="0" fillId="6" borderId="30" xfId="6" applyNumberFormat="1" applyFont="1" applyFill="1" applyBorder="1"/>
    <xf numFmtId="0" fontId="0" fillId="6" borderId="33" xfId="0" applyFont="1" applyFill="1" applyBorder="1" applyAlignment="1">
      <alignment horizontal="left" vertical="top" wrapText="1"/>
    </xf>
    <xf numFmtId="170" fontId="0" fillId="6" borderId="34" xfId="6" applyNumberFormat="1" applyFont="1" applyFill="1" applyBorder="1"/>
    <xf numFmtId="0" fontId="2" fillId="6" borderId="36" xfId="0" applyFont="1" applyFill="1" applyBorder="1"/>
    <xf numFmtId="3" fontId="2" fillId="6" borderId="37" xfId="0" applyNumberFormat="1" applyFont="1" applyFill="1" applyBorder="1"/>
    <xf numFmtId="170" fontId="2" fillId="6" borderId="38" xfId="6" applyNumberFormat="1" applyFont="1" applyFill="1" applyBorder="1"/>
    <xf numFmtId="0" fontId="0" fillId="18" borderId="0" xfId="0" applyFill="1"/>
    <xf numFmtId="3" fontId="0" fillId="18" borderId="0" xfId="0" applyNumberFormat="1" applyFill="1" applyBorder="1"/>
    <xf numFmtId="3" fontId="0" fillId="23" borderId="0" xfId="0" applyNumberFormat="1" applyFill="1" applyBorder="1"/>
    <xf numFmtId="0" fontId="0" fillId="33" borderId="0" xfId="0" applyFill="1"/>
    <xf numFmtId="3" fontId="0" fillId="33" borderId="0" xfId="0" applyNumberFormat="1" applyFill="1"/>
    <xf numFmtId="9" fontId="0" fillId="0" borderId="0" xfId="6" applyFont="1"/>
    <xf numFmtId="0" fontId="53" fillId="0" borderId="0" xfId="0" applyFont="1"/>
    <xf numFmtId="0" fontId="54" fillId="0" borderId="0" xfId="0" applyFont="1"/>
    <xf numFmtId="9" fontId="54" fillId="0" borderId="0" xfId="6" applyFont="1"/>
    <xf numFmtId="3" fontId="0" fillId="23" borderId="9" xfId="0" applyNumberFormat="1" applyFill="1" applyBorder="1"/>
    <xf numFmtId="170" fontId="0" fillId="23" borderId="9" xfId="6" applyNumberFormat="1" applyFont="1" applyFill="1" applyBorder="1"/>
    <xf numFmtId="0" fontId="0" fillId="3" borderId="0" xfId="0" applyFill="1"/>
    <xf numFmtId="3" fontId="0" fillId="3" borderId="0" xfId="0" applyNumberFormat="1" applyFill="1"/>
    <xf numFmtId="0" fontId="55" fillId="0" borderId="0" xfId="0" applyNumberFormat="1" applyFont="1" applyAlignment="1">
      <alignment wrapText="1"/>
    </xf>
    <xf numFmtId="3" fontId="2" fillId="3" borderId="0" xfId="0" applyNumberFormat="1" applyFont="1" applyFill="1"/>
    <xf numFmtId="3" fontId="53" fillId="18" borderId="0" xfId="0" applyNumberFormat="1" applyFont="1" applyFill="1"/>
    <xf numFmtId="0" fontId="0" fillId="33" borderId="42" xfId="0" applyFill="1" applyBorder="1"/>
    <xf numFmtId="3" fontId="0" fillId="33" borderId="43" xfId="0" applyNumberFormat="1" applyFill="1" applyBorder="1"/>
    <xf numFmtId="3" fontId="0" fillId="33" borderId="40" xfId="0" applyNumberFormat="1" applyFill="1" applyBorder="1"/>
    <xf numFmtId="0" fontId="0" fillId="18" borderId="42" xfId="0" applyFill="1" applyBorder="1"/>
    <xf numFmtId="3" fontId="0" fillId="18" borderId="43" xfId="0" applyNumberFormat="1" applyFill="1" applyBorder="1"/>
    <xf numFmtId="3" fontId="0" fillId="18" borderId="0" xfId="0" applyNumberFormat="1" applyFill="1"/>
    <xf numFmtId="0" fontId="56" fillId="23" borderId="0" xfId="0" applyFont="1" applyFill="1"/>
    <xf numFmtId="9" fontId="54" fillId="4" borderId="0" xfId="6" applyFont="1" applyFill="1"/>
    <xf numFmtId="9" fontId="54" fillId="6" borderId="0" xfId="6" applyFont="1" applyFill="1"/>
    <xf numFmtId="0" fontId="0" fillId="23" borderId="0" xfId="0" applyFill="1" applyBorder="1"/>
    <xf numFmtId="0" fontId="0" fillId="23" borderId="0" xfId="0" applyFill="1" applyBorder="1" applyAlignment="1">
      <alignment horizontal="center" vertical="top" wrapText="1"/>
    </xf>
    <xf numFmtId="0" fontId="0" fillId="0" borderId="0" xfId="0" applyFill="1" applyAlignment="1">
      <alignment horizontal="center" vertical="top" wrapText="1"/>
    </xf>
    <xf numFmtId="0" fontId="49" fillId="0" borderId="0" xfId="0" applyFont="1" applyFill="1"/>
    <xf numFmtId="0" fontId="54" fillId="0" borderId="0" xfId="0" applyFont="1" applyFill="1"/>
    <xf numFmtId="9" fontId="54" fillId="0" borderId="0" xfId="6" applyFont="1" applyFill="1"/>
    <xf numFmtId="9" fontId="54" fillId="0" borderId="0" xfId="0" applyNumberFormat="1" applyFont="1" applyFill="1"/>
    <xf numFmtId="3" fontId="53" fillId="0" borderId="0" xfId="0" applyNumberFormat="1" applyFont="1" applyFill="1"/>
    <xf numFmtId="0" fontId="55" fillId="0" borderId="0" xfId="0" applyNumberFormat="1" applyFont="1" applyFill="1" applyAlignment="1">
      <alignment wrapText="1"/>
    </xf>
    <xf numFmtId="0" fontId="49" fillId="30" borderId="0" xfId="0" applyFont="1" applyFill="1" applyBorder="1"/>
    <xf numFmtId="0" fontId="49" fillId="6" borderId="0" xfId="0" applyFont="1" applyFill="1" applyBorder="1"/>
    <xf numFmtId="0" fontId="49" fillId="4" borderId="0" xfId="0" applyFont="1" applyFill="1" applyBorder="1"/>
    <xf numFmtId="9" fontId="0" fillId="0" borderId="0" xfId="6" applyFont="1" applyFill="1"/>
    <xf numFmtId="10" fontId="53" fillId="0" borderId="0" xfId="6" applyNumberFormat="1" applyFont="1" applyFill="1"/>
    <xf numFmtId="3" fontId="54" fillId="0" borderId="0" xfId="0" applyNumberFormat="1" applyFont="1"/>
    <xf numFmtId="0" fontId="54" fillId="23" borderId="0" xfId="0" applyFont="1" applyFill="1"/>
    <xf numFmtId="0" fontId="54" fillId="6" borderId="0" xfId="0" applyFont="1" applyFill="1"/>
    <xf numFmtId="0" fontId="54" fillId="4" borderId="0" xfId="0" applyFont="1" applyFill="1"/>
    <xf numFmtId="3" fontId="54" fillId="23" borderId="0" xfId="0" applyNumberFormat="1" applyFont="1" applyFill="1"/>
    <xf numFmtId="3" fontId="53" fillId="20" borderId="0" xfId="0" applyNumberFormat="1" applyFont="1" applyFill="1"/>
    <xf numFmtId="3" fontId="54" fillId="22" borderId="0" xfId="0" applyNumberFormat="1" applyFont="1" applyFill="1"/>
    <xf numFmtId="169" fontId="54" fillId="23" borderId="0" xfId="0" applyNumberFormat="1" applyFont="1" applyFill="1"/>
    <xf numFmtId="4" fontId="54" fillId="23" borderId="0" xfId="0" applyNumberFormat="1" applyFont="1" applyFill="1"/>
    <xf numFmtId="169" fontId="54" fillId="0" borderId="0" xfId="0" applyNumberFormat="1" applyFont="1"/>
    <xf numFmtId="0" fontId="0" fillId="7" borderId="6" xfId="0" applyFill="1" applyBorder="1" applyAlignment="1">
      <alignment horizontal="center" vertical="top" wrapText="1"/>
    </xf>
    <xf numFmtId="0" fontId="0" fillId="30" borderId="0" xfId="0" applyFill="1" applyAlignment="1">
      <alignment horizontal="center"/>
    </xf>
    <xf numFmtId="0" fontId="0" fillId="30" borderId="6" xfId="0" applyFill="1" applyBorder="1" applyAlignment="1">
      <alignment horizontal="center" vertical="top" wrapText="1"/>
    </xf>
    <xf numFmtId="0" fontId="0" fillId="30" borderId="6" xfId="0" applyFill="1" applyBorder="1" applyAlignment="1">
      <alignment horizontal="left" vertical="top" wrapText="1"/>
    </xf>
    <xf numFmtId="0" fontId="0" fillId="0" borderId="41" xfId="0" applyBorder="1"/>
    <xf numFmtId="3" fontId="0" fillId="0" borderId="41" xfId="0" applyNumberFormat="1" applyBorder="1"/>
    <xf numFmtId="3" fontId="0" fillId="6" borderId="41" xfId="0" applyNumberFormat="1" applyFill="1" applyBorder="1"/>
    <xf numFmtId="3" fontId="0" fillId="4" borderId="41" xfId="0" applyNumberFormat="1" applyFill="1" applyBorder="1"/>
    <xf numFmtId="0" fontId="0" fillId="10" borderId="41" xfId="0" applyFill="1" applyBorder="1"/>
    <xf numFmtId="0" fontId="58" fillId="0" borderId="0" xfId="0" applyFont="1"/>
    <xf numFmtId="3" fontId="58" fillId="18" borderId="0" xfId="0" applyNumberFormat="1" applyFont="1" applyFill="1"/>
    <xf numFmtId="3" fontId="58" fillId="0" borderId="0" xfId="0" applyNumberFormat="1" applyFont="1"/>
    <xf numFmtId="3" fontId="0" fillId="0" borderId="28" xfId="0" applyNumberFormat="1" applyBorder="1"/>
    <xf numFmtId="3" fontId="0" fillId="0" borderId="29" xfId="0" applyNumberFormat="1" applyBorder="1"/>
    <xf numFmtId="3" fontId="0" fillId="0" borderId="30" xfId="0" applyNumberFormat="1" applyBorder="1"/>
    <xf numFmtId="3" fontId="0" fillId="0" borderId="33" xfId="0" applyNumberFormat="1" applyBorder="1"/>
    <xf numFmtId="3" fontId="0" fillId="0" borderId="36" xfId="0" applyNumberFormat="1" applyBorder="1"/>
    <xf numFmtId="3" fontId="0" fillId="18" borderId="37" xfId="0" applyNumberFormat="1" applyFill="1" applyBorder="1"/>
    <xf numFmtId="3" fontId="0" fillId="18" borderId="38" xfId="0" applyNumberFormat="1" applyFill="1" applyBorder="1"/>
    <xf numFmtId="3" fontId="59" fillId="0" borderId="0" xfId="0" applyNumberFormat="1" applyFont="1"/>
    <xf numFmtId="3" fontId="0" fillId="4" borderId="37" xfId="0" applyNumberFormat="1" applyFill="1" applyBorder="1"/>
    <xf numFmtId="10" fontId="2" fillId="18" borderId="0" xfId="6" applyNumberFormat="1" applyFont="1" applyFill="1"/>
    <xf numFmtId="3" fontId="50" fillId="0" borderId="0" xfId="0" applyNumberFormat="1" applyFont="1"/>
    <xf numFmtId="3" fontId="49" fillId="0" borderId="0" xfId="0" applyNumberFormat="1" applyFont="1" applyFill="1"/>
    <xf numFmtId="3" fontId="0" fillId="10" borderId="0" xfId="0" applyNumberFormat="1" applyFill="1"/>
    <xf numFmtId="171" fontId="0" fillId="0" borderId="0" xfId="0" applyNumberFormat="1"/>
    <xf numFmtId="0" fontId="0" fillId="6" borderId="6" xfId="0" applyFill="1" applyBorder="1"/>
    <xf numFmtId="0" fontId="6" fillId="6" borderId="6" xfId="0" applyFont="1" applyFill="1" applyBorder="1" applyAlignment="1">
      <alignment horizontal="center" vertical="center" wrapText="1"/>
    </xf>
    <xf numFmtId="4" fontId="7" fillId="6" borderId="6" xfId="0" applyNumberFormat="1" applyFont="1" applyFill="1" applyBorder="1" applyAlignment="1">
      <alignment horizontal="right" wrapText="1"/>
    </xf>
    <xf numFmtId="0" fontId="0" fillId="34" borderId="0" xfId="0" applyFill="1"/>
    <xf numFmtId="0" fontId="60" fillId="0" borderId="0" xfId="0" applyFont="1" applyFill="1"/>
    <xf numFmtId="0" fontId="61" fillId="0" borderId="0" xfId="0" applyFont="1" applyAlignment="1">
      <alignment wrapText="1"/>
    </xf>
    <xf numFmtId="0" fontId="62" fillId="0" borderId="0" xfId="0" applyFont="1" applyAlignment="1">
      <alignment horizontal="center" vertical="center"/>
    </xf>
    <xf numFmtId="0" fontId="2" fillId="0" borderId="6" xfId="0" applyFont="1" applyBorder="1" applyAlignment="1">
      <alignment horizontal="center" vertical="center"/>
    </xf>
    <xf numFmtId="0" fontId="2" fillId="0" borderId="6" xfId="0" applyFont="1" applyFill="1" applyBorder="1" applyAlignment="1">
      <alignment horizontal="center" vertical="center"/>
    </xf>
    <xf numFmtId="0" fontId="0" fillId="0" borderId="6" xfId="0" applyBorder="1" applyAlignment="1">
      <alignment horizontal="center" vertical="center"/>
    </xf>
    <xf numFmtId="0" fontId="6" fillId="0" borderId="6" xfId="0" applyFont="1" applyFill="1" applyBorder="1" applyAlignment="1">
      <alignment horizontal="center" vertical="center" wrapText="1"/>
    </xf>
    <xf numFmtId="0" fontId="49" fillId="0" borderId="0" xfId="0" applyFont="1" applyAlignment="1">
      <alignment horizontal="center" vertical="center"/>
    </xf>
    <xf numFmtId="0" fontId="0" fillId="0" borderId="6" xfId="0" applyFill="1" applyBorder="1"/>
    <xf numFmtId="0" fontId="0" fillId="0" borderId="6" xfId="0" applyBorder="1" applyAlignment="1">
      <alignment horizontal="center"/>
    </xf>
    <xf numFmtId="0" fontId="0" fillId="0" borderId="6" xfId="0" applyFill="1" applyBorder="1" applyAlignment="1">
      <alignment horizontal="center" vertical="center"/>
    </xf>
    <xf numFmtId="0" fontId="49" fillId="0" borderId="0" xfId="0" applyFont="1" applyAlignment="1">
      <alignment horizontal="center" vertical="center" wrapText="1"/>
    </xf>
    <xf numFmtId="3" fontId="17" fillId="0" borderId="6" xfId="0" applyNumberFormat="1" applyFont="1" applyBorder="1" applyAlignment="1">
      <alignment horizontal="center" vertical="center" wrapText="1"/>
    </xf>
    <xf numFmtId="3" fontId="17" fillId="0" borderId="6" xfId="0" applyNumberFormat="1" applyFont="1" applyFill="1" applyBorder="1" applyAlignment="1">
      <alignment horizontal="center" vertical="center" wrapText="1"/>
    </xf>
    <xf numFmtId="1" fontId="17" fillId="0" borderId="6" xfId="0" applyNumberFormat="1" applyFont="1" applyBorder="1" applyAlignment="1">
      <alignment horizontal="center" vertical="center" wrapText="1"/>
    </xf>
    <xf numFmtId="3" fontId="2" fillId="0" borderId="6" xfId="0" applyNumberFormat="1" applyFont="1" applyFill="1" applyBorder="1" applyAlignment="1">
      <alignment horizontal="right" vertical="center"/>
    </xf>
    <xf numFmtId="3" fontId="0" fillId="0" borderId="6" xfId="0" applyNumberFormat="1" applyFill="1" applyBorder="1" applyAlignment="1">
      <alignment horizontal="center" vertical="center" wrapText="1"/>
    </xf>
    <xf numFmtId="1" fontId="0" fillId="0" borderId="6" xfId="0" applyNumberFormat="1" applyBorder="1" applyAlignment="1">
      <alignment horizontal="center" vertical="center" wrapText="1"/>
    </xf>
    <xf numFmtId="0" fontId="0" fillId="0" borderId="6" xfId="0" applyBorder="1" applyAlignment="1">
      <alignment horizontal="center" vertical="center" wrapText="1"/>
    </xf>
    <xf numFmtId="0" fontId="0" fillId="0" borderId="6" xfId="0" applyFill="1" applyBorder="1" applyAlignment="1">
      <alignment horizontal="center" vertical="center" wrapText="1"/>
    </xf>
    <xf numFmtId="0" fontId="63" fillId="0" borderId="6" xfId="0" applyFont="1" applyBorder="1" applyAlignment="1">
      <alignment horizontal="center" vertical="center"/>
    </xf>
    <xf numFmtId="3" fontId="36" fillId="0" borderId="6" xfId="0" applyNumberFormat="1" applyFont="1" applyFill="1" applyBorder="1" applyAlignment="1">
      <alignment horizontal="center" vertical="center" wrapText="1"/>
    </xf>
    <xf numFmtId="1" fontId="36" fillId="0" borderId="6" xfId="0" applyNumberFormat="1" applyFont="1" applyBorder="1" applyAlignment="1">
      <alignment horizontal="center" vertical="center"/>
    </xf>
    <xf numFmtId="3" fontId="64" fillId="35" borderId="6" xfId="0" applyNumberFormat="1" applyFont="1" applyFill="1" applyBorder="1" applyAlignment="1">
      <alignment horizontal="center" vertical="center" wrapText="1"/>
    </xf>
    <xf numFmtId="3" fontId="65" fillId="0" borderId="6" xfId="0" applyNumberFormat="1" applyFont="1" applyFill="1" applyBorder="1" applyAlignment="1">
      <alignment horizontal="center" vertical="center" wrapText="1"/>
    </xf>
    <xf numFmtId="0" fontId="61" fillId="0" borderId="0" xfId="0" applyFont="1" applyAlignment="1">
      <alignment vertical="center" wrapText="1"/>
    </xf>
    <xf numFmtId="3" fontId="2" fillId="0" borderId="6" xfId="0" applyNumberFormat="1" applyFont="1" applyFill="1" applyBorder="1" applyAlignment="1">
      <alignment vertical="center"/>
    </xf>
    <xf numFmtId="169" fontId="0" fillId="0" borderId="0" xfId="0" applyNumberFormat="1" applyAlignment="1">
      <alignment vertical="center"/>
    </xf>
    <xf numFmtId="3" fontId="66" fillId="0" borderId="0" xfId="0" applyNumberFormat="1" applyFont="1" applyFill="1"/>
    <xf numFmtId="3" fontId="0" fillId="0" borderId="0" xfId="0" applyNumberFormat="1" applyFill="1" applyAlignment="1">
      <alignment horizontal="right" vertical="center"/>
    </xf>
    <xf numFmtId="3" fontId="17" fillId="0" borderId="0" xfId="0" applyNumberFormat="1" applyFont="1" applyAlignment="1">
      <alignment horizontal="center" vertical="center" wrapText="1"/>
    </xf>
    <xf numFmtId="0" fontId="0" fillId="0" borderId="0" xfId="0" applyFill="1" applyAlignment="1">
      <alignment horizontal="center" vertical="center" wrapText="1"/>
    </xf>
    <xf numFmtId="0" fontId="60" fillId="0" borderId="0" xfId="0" applyFont="1" applyAlignment="1">
      <alignment vertical="center" wrapText="1"/>
    </xf>
    <xf numFmtId="0" fontId="60" fillId="0" borderId="0" xfId="0" applyFont="1" applyFill="1" applyAlignment="1">
      <alignment vertical="center" wrapText="1"/>
    </xf>
    <xf numFmtId="3" fontId="67" fillId="0" borderId="0" xfId="0" applyNumberFormat="1" applyFont="1" applyAlignment="1">
      <alignment vertical="center" wrapText="1"/>
    </xf>
    <xf numFmtId="0" fontId="60" fillId="0" borderId="0" xfId="0" applyFont="1" applyAlignment="1">
      <alignment vertical="center"/>
    </xf>
    <xf numFmtId="3" fontId="60" fillId="0" borderId="0" xfId="0" applyNumberFormat="1" applyFont="1" applyFill="1" applyAlignment="1">
      <alignment vertical="center" wrapText="1"/>
    </xf>
    <xf numFmtId="0" fontId="2" fillId="0" borderId="0" xfId="0" applyFont="1" applyFill="1" applyAlignment="1">
      <alignment horizontal="right" vertical="center"/>
    </xf>
    <xf numFmtId="0" fontId="0" fillId="23" borderId="0" xfId="0" applyFill="1" applyAlignment="1"/>
    <xf numFmtId="4" fontId="0" fillId="0" borderId="0" xfId="0" applyNumberFormat="1" applyFill="1" applyBorder="1"/>
    <xf numFmtId="4" fontId="0" fillId="0" borderId="0" xfId="0" applyNumberFormat="1" applyFill="1"/>
    <xf numFmtId="4" fontId="0" fillId="23" borderId="0" xfId="0" applyNumberFormat="1" applyFill="1"/>
    <xf numFmtId="3" fontId="0" fillId="34" borderId="0" xfId="0" applyNumberFormat="1" applyFill="1"/>
    <xf numFmtId="3" fontId="0" fillId="35" borderId="0" xfId="0" applyNumberFormat="1" applyFill="1"/>
    <xf numFmtId="9" fontId="0" fillId="0" borderId="0" xfId="0" applyNumberFormat="1"/>
    <xf numFmtId="6" fontId="68" fillId="23" borderId="34" xfId="0" applyNumberFormat="1" applyFont="1" applyFill="1" applyBorder="1"/>
    <xf numFmtId="6" fontId="0" fillId="0" borderId="0" xfId="0" applyNumberFormat="1" applyFill="1"/>
    <xf numFmtId="0" fontId="0" fillId="23" borderId="9" xfId="0" applyFill="1" applyBorder="1"/>
    <xf numFmtId="0" fontId="49" fillId="6" borderId="9" xfId="0" applyFont="1" applyFill="1" applyBorder="1"/>
    <xf numFmtId="0" fontId="49" fillId="4" borderId="9" xfId="0" applyFont="1" applyFill="1" applyBorder="1"/>
    <xf numFmtId="0" fontId="49" fillId="0" borderId="9" xfId="0" applyFont="1" applyBorder="1"/>
    <xf numFmtId="0" fontId="49" fillId="30" borderId="9" xfId="0" applyFont="1" applyFill="1" applyBorder="1"/>
    <xf numFmtId="9" fontId="54" fillId="4" borderId="9" xfId="6" applyFont="1" applyFill="1" applyBorder="1"/>
    <xf numFmtId="0" fontId="57" fillId="23" borderId="9" xfId="0" applyFont="1" applyFill="1" applyBorder="1"/>
    <xf numFmtId="3" fontId="0" fillId="33" borderId="9" xfId="0" applyNumberFormat="1" applyFill="1" applyBorder="1"/>
    <xf numFmtId="3" fontId="0" fillId="6" borderId="24" xfId="0" applyNumberFormat="1" applyFill="1" applyBorder="1"/>
    <xf numFmtId="3" fontId="0" fillId="6" borderId="25" xfId="0" applyNumberFormat="1" applyFill="1" applyBorder="1"/>
    <xf numFmtId="3" fontId="0" fillId="6" borderId="45" xfId="0" applyNumberFormat="1" applyFill="1" applyBorder="1"/>
    <xf numFmtId="3" fontId="0" fillId="6" borderId="47" xfId="0" applyNumberFormat="1" applyFill="1" applyBorder="1"/>
    <xf numFmtId="4" fontId="0" fillId="0" borderId="9" xfId="0" applyNumberFormat="1" applyBorder="1"/>
    <xf numFmtId="169" fontId="0" fillId="0" borderId="9" xfId="0" applyNumberFormat="1" applyBorder="1"/>
    <xf numFmtId="171" fontId="0" fillId="0" borderId="9" xfId="0" applyNumberFormat="1" applyBorder="1"/>
    <xf numFmtId="3" fontId="0" fillId="6" borderId="9" xfId="0" applyNumberFormat="1" applyFill="1" applyBorder="1"/>
    <xf numFmtId="3" fontId="0" fillId="0" borderId="42" xfId="0" applyNumberFormat="1" applyBorder="1"/>
    <xf numFmtId="3" fontId="0" fillId="0" borderId="43" xfId="0" applyNumberFormat="1" applyBorder="1"/>
    <xf numFmtId="3" fontId="0" fillId="0" borderId="40" xfId="0" applyNumberFormat="1" applyBorder="1"/>
    <xf numFmtId="3" fontId="0" fillId="6" borderId="43" xfId="0" applyNumberFormat="1" applyFill="1" applyBorder="1"/>
    <xf numFmtId="3" fontId="0" fillId="4" borderId="43" xfId="0" applyNumberFormat="1" applyFill="1" applyBorder="1"/>
    <xf numFmtId="4" fontId="0" fillId="23" borderId="9" xfId="0" applyNumberFormat="1" applyFill="1" applyBorder="1"/>
    <xf numFmtId="0" fontId="0" fillId="0" borderId="12" xfId="0" applyFill="1" applyBorder="1"/>
    <xf numFmtId="3" fontId="0" fillId="18" borderId="9" xfId="0" applyNumberFormat="1" applyFill="1" applyBorder="1"/>
    <xf numFmtId="9" fontId="54" fillId="0" borderId="9" xfId="6" applyFont="1" applyBorder="1"/>
    <xf numFmtId="9" fontId="54" fillId="6" borderId="9" xfId="6" applyFont="1" applyFill="1" applyBorder="1"/>
    <xf numFmtId="9" fontId="0" fillId="0" borderId="9" xfId="6" applyFont="1" applyBorder="1"/>
    <xf numFmtId="0" fontId="54" fillId="0" borderId="9" xfId="0" applyFont="1" applyBorder="1"/>
    <xf numFmtId="0" fontId="54" fillId="23" borderId="9" xfId="0" applyFont="1" applyFill="1" applyBorder="1"/>
    <xf numFmtId="0" fontId="54" fillId="6" borderId="9" xfId="0" applyFont="1" applyFill="1" applyBorder="1"/>
    <xf numFmtId="0" fontId="54" fillId="4" borderId="9" xfId="0" applyFont="1" applyFill="1" applyBorder="1"/>
    <xf numFmtId="3" fontId="54" fillId="22" borderId="9" xfId="0" applyNumberFormat="1" applyFont="1" applyFill="1" applyBorder="1"/>
    <xf numFmtId="3" fontId="54" fillId="0" borderId="9" xfId="0" applyNumberFormat="1" applyFont="1" applyBorder="1"/>
    <xf numFmtId="4" fontId="54" fillId="23" borderId="9" xfId="0" applyNumberFormat="1" applyFont="1" applyFill="1" applyBorder="1"/>
    <xf numFmtId="169" fontId="54" fillId="23" borderId="9" xfId="0" applyNumberFormat="1" applyFont="1" applyFill="1" applyBorder="1"/>
    <xf numFmtId="3" fontId="54" fillId="23" borderId="9" xfId="0" applyNumberFormat="1" applyFont="1" applyFill="1" applyBorder="1"/>
    <xf numFmtId="169" fontId="54" fillId="0" borderId="9" xfId="0" applyNumberFormat="1" applyFont="1" applyBorder="1"/>
    <xf numFmtId="3" fontId="53" fillId="18" borderId="9" xfId="0" applyNumberFormat="1" applyFont="1" applyFill="1" applyBorder="1"/>
    <xf numFmtId="3" fontId="53" fillId="20" borderId="9" xfId="0" applyNumberFormat="1" applyFont="1" applyFill="1" applyBorder="1"/>
    <xf numFmtId="0" fontId="55" fillId="0" borderId="9" xfId="0" applyNumberFormat="1" applyFont="1" applyBorder="1" applyAlignment="1">
      <alignment wrapText="1"/>
    </xf>
    <xf numFmtId="3" fontId="0" fillId="3" borderId="9" xfId="0" applyNumberFormat="1" applyFill="1" applyBorder="1"/>
    <xf numFmtId="0" fontId="0" fillId="4" borderId="9" xfId="0" applyFill="1" applyBorder="1"/>
    <xf numFmtId="3" fontId="50" fillId="0" borderId="9" xfId="0" applyNumberFormat="1" applyFont="1" applyBorder="1"/>
    <xf numFmtId="3" fontId="59" fillId="0" borderId="9" xfId="0" applyNumberFormat="1" applyFont="1" applyBorder="1"/>
    <xf numFmtId="3" fontId="0" fillId="0" borderId="88" xfId="0" applyNumberFormat="1" applyBorder="1"/>
    <xf numFmtId="3" fontId="0" fillId="0" borderId="89" xfId="0" applyNumberFormat="1" applyBorder="1"/>
    <xf numFmtId="3" fontId="0" fillId="0" borderId="90" xfId="0" applyNumberFormat="1" applyBorder="1"/>
    <xf numFmtId="3" fontId="0" fillId="0" borderId="3" xfId="0" applyNumberFormat="1" applyBorder="1"/>
    <xf numFmtId="3" fontId="0" fillId="6" borderId="3" xfId="0" applyNumberFormat="1" applyFill="1" applyBorder="1"/>
    <xf numFmtId="3" fontId="2" fillId="0" borderId="54" xfId="0" applyNumberFormat="1" applyFont="1" applyBorder="1" applyAlignment="1">
      <alignment horizontal="center"/>
    </xf>
    <xf numFmtId="3" fontId="2" fillId="0" borderId="77" xfId="0" applyNumberFormat="1" applyFont="1" applyBorder="1" applyAlignment="1">
      <alignment horizontal="center"/>
    </xf>
    <xf numFmtId="3" fontId="49" fillId="0" borderId="77" xfId="0" applyNumberFormat="1" applyFont="1" applyBorder="1"/>
    <xf numFmtId="0" fontId="49" fillId="0" borderId="77" xfId="0" applyFont="1" applyBorder="1"/>
    <xf numFmtId="0" fontId="0" fillId="0" borderId="77" xfId="0" applyBorder="1"/>
    <xf numFmtId="0" fontId="0" fillId="33" borderId="77" xfId="0" applyFill="1" applyBorder="1"/>
    <xf numFmtId="0" fontId="0" fillId="6" borderId="54" xfId="0" applyFill="1" applyBorder="1"/>
    <xf numFmtId="0" fontId="0" fillId="6" borderId="76" xfId="0" applyFill="1" applyBorder="1"/>
    <xf numFmtId="0" fontId="0" fillId="0" borderId="77" xfId="0" applyFill="1" applyBorder="1"/>
    <xf numFmtId="0" fontId="7" fillId="0" borderId="77" xfId="0" applyFont="1" applyBorder="1"/>
    <xf numFmtId="0" fontId="0" fillId="6" borderId="77" xfId="0" applyFill="1" applyBorder="1"/>
    <xf numFmtId="0" fontId="0" fillId="18" borderId="41" xfId="0" applyFill="1" applyBorder="1"/>
    <xf numFmtId="3" fontId="0" fillId="0" borderId="77" xfId="0" applyNumberFormat="1" applyFill="1" applyBorder="1"/>
    <xf numFmtId="4" fontId="0" fillId="0" borderId="77" xfId="0" applyNumberFormat="1" applyFill="1" applyBorder="1"/>
    <xf numFmtId="3" fontId="0" fillId="0" borderId="77" xfId="0" applyNumberFormat="1" applyBorder="1"/>
    <xf numFmtId="0" fontId="0" fillId="7" borderId="77" xfId="0" applyFill="1" applyBorder="1"/>
    <xf numFmtId="0" fontId="0" fillId="30" borderId="77" xfId="0" applyFill="1" applyBorder="1"/>
    <xf numFmtId="0" fontId="58" fillId="0" borderId="77" xfId="0" applyFont="1" applyBorder="1"/>
    <xf numFmtId="0" fontId="0" fillId="33" borderId="41" xfId="0" applyFill="1" applyBorder="1"/>
    <xf numFmtId="0" fontId="54" fillId="0" borderId="77" xfId="0" applyFont="1" applyBorder="1"/>
    <xf numFmtId="3" fontId="54" fillId="0" borderId="77" xfId="0" applyNumberFormat="1" applyFont="1" applyBorder="1"/>
    <xf numFmtId="3" fontId="58" fillId="18" borderId="77" xfId="0" applyNumberFormat="1" applyFont="1" applyFill="1" applyBorder="1"/>
    <xf numFmtId="0" fontId="53" fillId="0" borderId="77" xfId="0" applyFont="1" applyBorder="1"/>
    <xf numFmtId="0" fontId="0" fillId="3" borderId="77" xfId="0" applyFill="1" applyBorder="1"/>
    <xf numFmtId="3" fontId="2" fillId="0" borderId="77" xfId="0" applyNumberFormat="1" applyFont="1" applyBorder="1"/>
    <xf numFmtId="3" fontId="0" fillId="0" borderId="27" xfId="0" applyNumberFormat="1" applyBorder="1"/>
    <xf numFmtId="3" fontId="0" fillId="0" borderId="32" xfId="0" applyNumberFormat="1" applyBorder="1"/>
    <xf numFmtId="3" fontId="0" fillId="18" borderId="35" xfId="0" applyNumberFormat="1" applyFill="1" applyBorder="1"/>
    <xf numFmtId="3" fontId="59" fillId="0" borderId="77" xfId="0" applyNumberFormat="1" applyFont="1" applyBorder="1"/>
    <xf numFmtId="3" fontId="58" fillId="0" borderId="77" xfId="0" applyNumberFormat="1" applyFont="1" applyBorder="1"/>
    <xf numFmtId="0" fontId="0" fillId="6" borderId="32" xfId="0" applyFill="1" applyBorder="1"/>
    <xf numFmtId="0" fontId="0" fillId="6" borderId="35" xfId="0" applyFill="1" applyBorder="1"/>
    <xf numFmtId="3" fontId="0" fillId="33" borderId="0" xfId="0" applyNumberFormat="1" applyFill="1" applyBorder="1"/>
    <xf numFmtId="3" fontId="0" fillId="6" borderId="0" xfId="0" applyNumberFormat="1" applyFill="1" applyBorder="1"/>
    <xf numFmtId="4" fontId="0" fillId="0" borderId="0" xfId="0" applyNumberFormat="1" applyBorder="1"/>
    <xf numFmtId="3" fontId="0" fillId="30" borderId="0" xfId="0" applyNumberFormat="1" applyFill="1" applyBorder="1"/>
    <xf numFmtId="0" fontId="54" fillId="0" borderId="0" xfId="0" applyFont="1" applyBorder="1"/>
    <xf numFmtId="0" fontId="55" fillId="0" borderId="0" xfId="0" applyNumberFormat="1" applyFont="1" applyBorder="1" applyAlignment="1">
      <alignment wrapText="1"/>
    </xf>
    <xf numFmtId="3" fontId="2" fillId="3" borderId="0" xfId="0" applyNumberFormat="1" applyFont="1" applyFill="1" applyBorder="1"/>
    <xf numFmtId="170" fontId="0" fillId="0" borderId="0" xfId="6" applyNumberFormat="1" applyFont="1" applyBorder="1"/>
    <xf numFmtId="3" fontId="49" fillId="0" borderId="0" xfId="0" applyNumberFormat="1" applyFont="1" applyFill="1" applyBorder="1"/>
    <xf numFmtId="0" fontId="0" fillId="0" borderId="23" xfId="0" applyBorder="1" applyAlignment="1">
      <alignment horizontal="left"/>
    </xf>
    <xf numFmtId="0" fontId="0" fillId="0" borderId="25" xfId="0" applyBorder="1" applyAlignment="1">
      <alignment horizontal="left"/>
    </xf>
    <xf numFmtId="0" fontId="0" fillId="0" borderId="83" xfId="0" applyBorder="1"/>
    <xf numFmtId="0" fontId="0" fillId="0" borderId="58" xfId="0" applyBorder="1" applyAlignment="1">
      <alignment horizontal="center" vertical="top" wrapText="1"/>
    </xf>
    <xf numFmtId="0" fontId="0" fillId="0" borderId="83" xfId="0" applyBorder="1" applyAlignment="1">
      <alignment horizontal="center" vertical="top" wrapText="1"/>
    </xf>
    <xf numFmtId="0" fontId="49" fillId="6" borderId="58" xfId="0" applyFont="1" applyFill="1" applyBorder="1"/>
    <xf numFmtId="0" fontId="49" fillId="30" borderId="83" xfId="0" applyFont="1" applyFill="1" applyBorder="1"/>
    <xf numFmtId="0" fontId="49" fillId="0" borderId="58" xfId="0" applyFont="1" applyBorder="1"/>
    <xf numFmtId="0" fontId="49" fillId="0" borderId="83" xfId="0" applyFont="1" applyBorder="1"/>
    <xf numFmtId="3" fontId="0" fillId="0" borderId="58" xfId="0" applyNumberFormat="1" applyBorder="1"/>
    <xf numFmtId="3" fontId="0" fillId="0" borderId="83" xfId="0" applyNumberFormat="1" applyBorder="1"/>
    <xf numFmtId="3" fontId="0" fillId="33" borderId="58" xfId="0" applyNumberFormat="1" applyFill="1" applyBorder="1"/>
    <xf numFmtId="3" fontId="0" fillId="33" borderId="83" xfId="0" applyNumberFormat="1" applyFill="1" applyBorder="1"/>
    <xf numFmtId="3" fontId="0" fillId="6" borderId="23" xfId="0" applyNumberFormat="1" applyFill="1" applyBorder="1"/>
    <xf numFmtId="3" fontId="0" fillId="6" borderId="46" xfId="0" applyNumberFormat="1" applyFill="1" applyBorder="1"/>
    <xf numFmtId="4" fontId="0" fillId="0" borderId="58" xfId="0" applyNumberFormat="1" applyBorder="1"/>
    <xf numFmtId="4" fontId="0" fillId="0" borderId="83" xfId="0" applyNumberFormat="1" applyBorder="1"/>
    <xf numFmtId="169" fontId="0" fillId="0" borderId="58" xfId="0" applyNumberFormat="1" applyBorder="1"/>
    <xf numFmtId="169" fontId="0" fillId="0" borderId="83" xfId="0" applyNumberFormat="1" applyBorder="1"/>
    <xf numFmtId="3" fontId="0" fillId="6" borderId="58" xfId="0" applyNumberFormat="1" applyFill="1" applyBorder="1"/>
    <xf numFmtId="3" fontId="0" fillId="6" borderId="83" xfId="0" applyNumberFormat="1" applyFill="1" applyBorder="1"/>
    <xf numFmtId="3" fontId="0" fillId="18" borderId="42" xfId="0" applyNumberFormat="1" applyFill="1" applyBorder="1"/>
    <xf numFmtId="3" fontId="0" fillId="18" borderId="40" xfId="0" applyNumberFormat="1" applyFill="1" applyBorder="1"/>
    <xf numFmtId="3" fontId="0" fillId="6" borderId="40" xfId="0" applyNumberFormat="1" applyFill="1" applyBorder="1"/>
    <xf numFmtId="3" fontId="0" fillId="0" borderId="58" xfId="0" applyNumberFormat="1" applyFill="1" applyBorder="1"/>
    <xf numFmtId="0" fontId="0" fillId="0" borderId="83" xfId="0" applyFill="1" applyBorder="1"/>
    <xf numFmtId="3" fontId="0" fillId="7" borderId="58" xfId="0" applyNumberFormat="1" applyFill="1" applyBorder="1"/>
    <xf numFmtId="3" fontId="0" fillId="7" borderId="83" xfId="0" applyNumberFormat="1" applyFill="1" applyBorder="1"/>
    <xf numFmtId="3" fontId="0" fillId="30" borderId="58" xfId="0" applyNumberFormat="1" applyFill="1" applyBorder="1"/>
    <xf numFmtId="3" fontId="0" fillId="30" borderId="83" xfId="0" applyNumberFormat="1" applyFill="1" applyBorder="1"/>
    <xf numFmtId="3" fontId="0" fillId="23" borderId="58" xfId="0" applyNumberFormat="1" applyFill="1" applyBorder="1"/>
    <xf numFmtId="3" fontId="0" fillId="18" borderId="58" xfId="0" applyNumberFormat="1" applyFill="1" applyBorder="1"/>
    <xf numFmtId="3" fontId="0" fillId="33" borderId="42" xfId="0" applyNumberFormat="1" applyFill="1" applyBorder="1"/>
    <xf numFmtId="9" fontId="54" fillId="0" borderId="58" xfId="6" applyFont="1" applyBorder="1"/>
    <xf numFmtId="9" fontId="54" fillId="0" borderId="83" xfId="6" applyFont="1" applyBorder="1"/>
    <xf numFmtId="9" fontId="0" fillId="0" borderId="58" xfId="6" applyFont="1" applyBorder="1"/>
    <xf numFmtId="9" fontId="0" fillId="0" borderId="83" xfId="6" applyFont="1" applyBorder="1"/>
    <xf numFmtId="0" fontId="54" fillId="0" borderId="58" xfId="0" applyFont="1" applyBorder="1"/>
    <xf numFmtId="3" fontId="54" fillId="0" borderId="83" xfId="0" applyNumberFormat="1" applyFont="1" applyBorder="1"/>
    <xf numFmtId="3" fontId="53" fillId="18" borderId="58" xfId="0" applyNumberFormat="1" applyFont="1" applyFill="1" applyBorder="1"/>
    <xf numFmtId="3" fontId="53" fillId="18" borderId="83" xfId="0" applyNumberFormat="1" applyFont="1" applyFill="1" applyBorder="1"/>
    <xf numFmtId="0" fontId="55" fillId="0" borderId="58" xfId="0" applyNumberFormat="1" applyFont="1" applyBorder="1" applyAlignment="1">
      <alignment wrapText="1"/>
    </xf>
    <xf numFmtId="0" fontId="55" fillId="0" borderId="83" xfId="0" applyNumberFormat="1" applyFont="1" applyBorder="1" applyAlignment="1">
      <alignment wrapText="1"/>
    </xf>
    <xf numFmtId="3" fontId="0" fillId="3" borderId="58" xfId="0" applyNumberFormat="1" applyFill="1" applyBorder="1"/>
    <xf numFmtId="3" fontId="0" fillId="3" borderId="83" xfId="0" applyNumberFormat="1" applyFill="1" applyBorder="1"/>
    <xf numFmtId="170" fontId="0" fillId="0" borderId="58" xfId="6" applyNumberFormat="1" applyFont="1" applyBorder="1"/>
    <xf numFmtId="170" fontId="0" fillId="0" borderId="83" xfId="6" applyNumberFormat="1" applyFont="1" applyBorder="1"/>
    <xf numFmtId="3" fontId="50" fillId="0" borderId="58" xfId="0" applyNumberFormat="1" applyFont="1" applyBorder="1"/>
    <xf numFmtId="3" fontId="50" fillId="0" borderId="83" xfId="0" applyNumberFormat="1" applyFont="1" applyBorder="1"/>
    <xf numFmtId="3" fontId="0" fillId="18" borderId="36" xfId="0" applyNumberFormat="1" applyFill="1" applyBorder="1"/>
    <xf numFmtId="3" fontId="59" fillId="0" borderId="58" xfId="0" applyNumberFormat="1" applyFont="1" applyBorder="1"/>
    <xf numFmtId="3" fontId="0" fillId="6" borderId="33" xfId="0" applyNumberFormat="1" applyFill="1" applyBorder="1"/>
    <xf numFmtId="3" fontId="0" fillId="6" borderId="34" xfId="0" applyNumberFormat="1" applyFill="1" applyBorder="1"/>
    <xf numFmtId="3" fontId="0" fillId="6" borderId="36" xfId="0" applyNumberFormat="1" applyFill="1" applyBorder="1"/>
    <xf numFmtId="3" fontId="0" fillId="6" borderId="37" xfId="0" applyNumberFormat="1" applyFill="1" applyBorder="1"/>
    <xf numFmtId="3" fontId="0" fillId="6" borderId="38" xfId="0" applyNumberFormat="1" applyFill="1" applyBorder="1"/>
    <xf numFmtId="0" fontId="2" fillId="0" borderId="77" xfId="0" applyFont="1" applyBorder="1" applyAlignment="1">
      <alignment wrapText="1"/>
    </xf>
    <xf numFmtId="3" fontId="2" fillId="0" borderId="58" xfId="0" applyNumberFormat="1" applyFont="1" applyBorder="1"/>
    <xf numFmtId="3" fontId="2" fillId="0" borderId="9" xfId="0" applyNumberFormat="1" applyFont="1" applyBorder="1"/>
    <xf numFmtId="3" fontId="2" fillId="0" borderId="83" xfId="0" applyNumberFormat="1" applyFont="1" applyBorder="1"/>
    <xf numFmtId="3" fontId="2" fillId="0" borderId="0" xfId="0" applyNumberFormat="1" applyFont="1" applyBorder="1"/>
    <xf numFmtId="3" fontId="2" fillId="0" borderId="0" xfId="0" applyNumberFormat="1" applyFont="1" applyFill="1"/>
    <xf numFmtId="0" fontId="0" fillId="18" borderId="0" xfId="0" applyFill="1" applyBorder="1"/>
    <xf numFmtId="3" fontId="54" fillId="0" borderId="58" xfId="0" applyNumberFormat="1" applyFont="1" applyBorder="1"/>
    <xf numFmtId="0" fontId="2" fillId="23" borderId="0" xfId="0" applyFont="1" applyFill="1"/>
    <xf numFmtId="170" fontId="0" fillId="23" borderId="0" xfId="6" applyNumberFormat="1" applyFont="1" applyFill="1"/>
    <xf numFmtId="3" fontId="53" fillId="23" borderId="0" xfId="0" applyNumberFormat="1" applyFont="1" applyFill="1"/>
    <xf numFmtId="0" fontId="0" fillId="0" borderId="0" xfId="0" applyFill="1" applyAlignment="1">
      <alignment wrapText="1"/>
    </xf>
    <xf numFmtId="3" fontId="0" fillId="0" borderId="0" xfId="0" applyNumberFormat="1" applyAlignment="1"/>
    <xf numFmtId="0" fontId="0" fillId="6" borderId="0" xfId="0" applyFill="1" applyAlignment="1">
      <alignment wrapText="1"/>
    </xf>
    <xf numFmtId="3" fontId="7" fillId="0" borderId="21" xfId="0" applyNumberFormat="1" applyFont="1" applyFill="1" applyBorder="1" applyAlignment="1">
      <alignment vertical="top" wrapText="1"/>
    </xf>
    <xf numFmtId="0" fontId="0" fillId="0" borderId="0" xfId="0" applyFill="1" applyAlignment="1">
      <alignment vertical="top" wrapText="1"/>
    </xf>
    <xf numFmtId="0" fontId="0" fillId="6" borderId="0" xfId="0" applyFill="1" applyAlignment="1">
      <alignment vertical="top" wrapText="1"/>
    </xf>
    <xf numFmtId="0" fontId="0" fillId="0" borderId="0" xfId="0" applyAlignment="1">
      <alignment vertical="top" wrapText="1"/>
    </xf>
    <xf numFmtId="0" fontId="0" fillId="6" borderId="0" xfId="0" applyFill="1" applyAlignment="1">
      <alignment vertical="top"/>
    </xf>
    <xf numFmtId="0" fontId="0" fillId="0" borderId="0" xfId="0" applyFill="1" applyAlignment="1"/>
    <xf numFmtId="3" fontId="0" fillId="6" borderId="0" xfId="0" applyNumberFormat="1" applyFill="1" applyAlignment="1"/>
    <xf numFmtId="0" fontId="0" fillId="7" borderId="0" xfId="0" applyFill="1" applyAlignment="1"/>
    <xf numFmtId="3" fontId="0" fillId="0" borderId="0" xfId="0" applyNumberFormat="1" applyAlignment="1">
      <alignment vertical="top" wrapText="1"/>
    </xf>
    <xf numFmtId="0" fontId="7" fillId="0" borderId="21" xfId="0" applyFont="1" applyFill="1" applyBorder="1" applyAlignment="1">
      <alignment vertical="top"/>
    </xf>
    <xf numFmtId="0" fontId="49" fillId="0" borderId="0" xfId="0" applyFont="1" applyFill="1" applyAlignment="1">
      <alignment vertical="top"/>
    </xf>
    <xf numFmtId="3" fontId="0" fillId="0" borderId="6" xfId="0" applyNumberFormat="1" applyBorder="1" applyAlignment="1">
      <alignment vertical="top" wrapText="1"/>
    </xf>
    <xf numFmtId="3" fontId="0" fillId="0" borderId="33" xfId="0" applyNumberFormat="1" applyBorder="1" applyAlignment="1">
      <alignment vertical="top" wrapText="1"/>
    </xf>
    <xf numFmtId="3" fontId="0" fillId="0" borderId="36" xfId="0" applyNumberFormat="1" applyBorder="1" applyAlignment="1">
      <alignment vertical="top" wrapText="1"/>
    </xf>
    <xf numFmtId="3" fontId="0" fillId="0" borderId="37" xfId="0" applyNumberFormat="1" applyBorder="1" applyAlignment="1">
      <alignment vertical="top" wrapText="1"/>
    </xf>
    <xf numFmtId="0" fontId="0" fillId="0" borderId="80" xfId="0" applyBorder="1" applyAlignment="1">
      <alignment vertical="top" wrapText="1"/>
    </xf>
    <xf numFmtId="0" fontId="0" fillId="0" borderId="11" xfId="0" applyBorder="1" applyAlignment="1">
      <alignment vertical="top" wrapText="1"/>
    </xf>
    <xf numFmtId="0" fontId="0" fillId="0" borderId="81" xfId="0" applyBorder="1" applyAlignment="1">
      <alignment vertical="top" wrapText="1"/>
    </xf>
    <xf numFmtId="3" fontId="0" fillId="0" borderId="80" xfId="0" applyNumberFormat="1" applyBorder="1" applyAlignment="1">
      <alignment vertical="top" wrapText="1"/>
    </xf>
    <xf numFmtId="3" fontId="0" fillId="0" borderId="11" xfId="0" applyNumberFormat="1" applyBorder="1" applyAlignment="1">
      <alignment vertical="top" wrapText="1"/>
    </xf>
    <xf numFmtId="0" fontId="49" fillId="23" borderId="0" xfId="0" applyFont="1" applyFill="1" applyBorder="1"/>
    <xf numFmtId="169" fontId="0" fillId="23" borderId="0" xfId="0" applyNumberFormat="1" applyFill="1"/>
    <xf numFmtId="3" fontId="0" fillId="23" borderId="41" xfId="0" applyNumberFormat="1" applyFill="1" applyBorder="1"/>
    <xf numFmtId="0" fontId="0" fillId="0" borderId="0" xfId="0" applyFill="1" applyAlignment="1">
      <alignment horizontal="left"/>
    </xf>
    <xf numFmtId="0" fontId="0" fillId="0" borderId="0" xfId="0" applyFill="1" applyBorder="1" applyAlignment="1">
      <alignment horizontal="center" vertical="top" wrapText="1"/>
    </xf>
    <xf numFmtId="0" fontId="49" fillId="0" borderId="0" xfId="0" applyFont="1" applyFill="1" applyBorder="1"/>
    <xf numFmtId="169" fontId="0" fillId="0" borderId="10" xfId="0" applyNumberFormat="1" applyBorder="1"/>
    <xf numFmtId="4" fontId="0" fillId="0" borderId="10" xfId="0" applyNumberFormat="1" applyBorder="1"/>
    <xf numFmtId="169" fontId="0" fillId="0" borderId="0" xfId="0" applyNumberFormat="1" applyBorder="1"/>
    <xf numFmtId="0" fontId="0" fillId="0" borderId="0" xfId="0" applyAlignment="1" applyProtection="1">
      <alignment wrapText="1"/>
      <protection locked="0"/>
    </xf>
    <xf numFmtId="0" fontId="0" fillId="23" borderId="58" xfId="0" applyFill="1" applyBorder="1" applyAlignment="1">
      <alignment horizontal="center" vertical="top" wrapText="1"/>
    </xf>
    <xf numFmtId="0" fontId="36" fillId="34" borderId="41" xfId="0" applyFont="1" applyFill="1" applyBorder="1"/>
    <xf numFmtId="3" fontId="0" fillId="9" borderId="43" xfId="0" applyNumberFormat="1" applyFill="1" applyBorder="1"/>
    <xf numFmtId="0" fontId="0" fillId="9" borderId="58" xfId="0" applyFill="1" applyBorder="1" applyAlignment="1">
      <alignment horizontal="center" vertical="top" wrapText="1"/>
    </xf>
    <xf numFmtId="169" fontId="0" fillId="0" borderId="0" xfId="0" applyNumberFormat="1" applyFill="1" applyBorder="1"/>
    <xf numFmtId="0" fontId="0" fillId="0" borderId="59" xfId="0" applyBorder="1" applyAlignment="1">
      <alignment wrapText="1"/>
    </xf>
    <xf numFmtId="0" fontId="0" fillId="0" borderId="13" xfId="0" applyBorder="1" applyAlignment="1">
      <alignment wrapText="1"/>
    </xf>
    <xf numFmtId="0" fontId="0" fillId="0" borderId="60" xfId="0" applyBorder="1" applyAlignment="1">
      <alignment wrapText="1"/>
    </xf>
  </cellXfs>
  <cellStyles count="7">
    <cellStyle name="měny 2" xfId="2"/>
    <cellStyle name="Normální" xfId="0" builtinId="0"/>
    <cellStyle name="normální 2" xfId="3"/>
    <cellStyle name="normální 3" xfId="4"/>
    <cellStyle name="Normální 4" xfId="1"/>
    <cellStyle name="Procenta" xfId="6" builtinId="5"/>
    <cellStyle name="Styl 1" xfId="5"/>
  </cellStyles>
  <dxfs count="366">
    <dxf>
      <font>
        <color rgb="FF9C6500"/>
      </font>
      <fill>
        <patternFill>
          <bgColor rgb="FFFFEB9C"/>
        </patternFill>
      </fill>
    </dxf>
    <dxf>
      <font>
        <color rgb="FF9C6500"/>
      </font>
      <fill>
        <patternFill>
          <bgColor rgb="FFFFEB9C"/>
        </patternFill>
      </fill>
    </dxf>
    <dxf>
      <font>
        <color rgb="FF9C0006"/>
      </font>
      <fill>
        <patternFill>
          <bgColor rgb="FFFFC7CE"/>
        </patternFill>
      </fill>
    </dxf>
    <dxf>
      <fill>
        <patternFill>
          <bgColor rgb="FFFFFF00"/>
        </patternFill>
      </fill>
    </dxf>
    <dxf>
      <fill>
        <patternFill>
          <bgColor rgb="FFFFFF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FF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99FF"/>
        </patternFill>
      </fill>
    </dxf>
    <dxf>
      <fill>
        <patternFill>
          <bgColor rgb="FFCC66FF"/>
        </patternFill>
      </fill>
    </dxf>
    <dxf>
      <fill>
        <patternFill>
          <bgColor rgb="FFFFC000"/>
        </patternFill>
      </fill>
    </dxf>
    <dxf>
      <fill>
        <patternFill>
          <bgColor rgb="FF92D05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4" tint="0.59996337778862885"/>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pivotCacheDefinition" Target="pivotCache/pivotCacheDefinition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pivotCacheDefinition" Target="pivotCache/pivotCacheDefinition6.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2.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pivotCacheDefinition" Target="pivotCache/pivotCacheDefinition4.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218</xdr:col>
      <xdr:colOff>63500</xdr:colOff>
      <xdr:row>29</xdr:row>
      <xdr:rowOff>179917</xdr:rowOff>
    </xdr:from>
    <xdr:to>
      <xdr:col>218</xdr:col>
      <xdr:colOff>682625</xdr:colOff>
      <xdr:row>116</xdr:row>
      <xdr:rowOff>122767</xdr:rowOff>
    </xdr:to>
    <xdr:pic>
      <xdr:nvPicPr>
        <xdr:cNvPr id="2" name="Obrázek 1">
          <a:extLst>
            <a:ext uri="{FF2B5EF4-FFF2-40B4-BE49-F238E27FC236}">
              <a16:creationId xmlns:a16="http://schemas.microsoft.com/office/drawing/2014/main" xmlns="" id="{B75CB745-3F54-4E31-BD42-DF7148D3A8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26750" y="3122084"/>
          <a:ext cx="619125" cy="3826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219</xdr:col>
      <xdr:colOff>0</xdr:colOff>
      <xdr:row>96</xdr:row>
      <xdr:rowOff>0</xdr:rowOff>
    </xdr:from>
    <xdr:to>
      <xdr:col>219</xdr:col>
      <xdr:colOff>619125</xdr:colOff>
      <xdr:row>182</xdr:row>
      <xdr:rowOff>47625</xdr:rowOff>
    </xdr:to>
    <xdr:pic>
      <xdr:nvPicPr>
        <xdr:cNvPr id="4" name="Obrázek 3">
          <a:extLst>
            <a:ext uri="{FF2B5EF4-FFF2-40B4-BE49-F238E27FC236}">
              <a16:creationId xmlns:a16="http://schemas.microsoft.com/office/drawing/2014/main" xmlns="" id="{9AF0DD8F-31DA-43AB-AF80-BB0CDF10CF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4344350" y="6038850"/>
          <a:ext cx="619125" cy="267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533400</xdr:colOff>
      <xdr:row>16</xdr:row>
      <xdr:rowOff>4146</xdr:rowOff>
    </xdr:from>
    <xdr:to>
      <xdr:col>7</xdr:col>
      <xdr:colOff>738554</xdr:colOff>
      <xdr:row>32</xdr:row>
      <xdr:rowOff>148944</xdr:rowOff>
    </xdr:to>
    <xdr:pic>
      <xdr:nvPicPr>
        <xdr:cNvPr id="2" name="Obrázek 1">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 y="2993531"/>
          <a:ext cx="5597769" cy="3052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463062</xdr:colOff>
      <xdr:row>19</xdr:row>
      <xdr:rowOff>99646</xdr:rowOff>
    </xdr:from>
    <xdr:to>
      <xdr:col>7</xdr:col>
      <xdr:colOff>715109</xdr:colOff>
      <xdr:row>21</xdr:row>
      <xdr:rowOff>117231</xdr:rowOff>
    </xdr:to>
    <xdr:sp macro="" textlink="">
      <xdr:nvSpPr>
        <xdr:cNvPr id="3" name="Ovál 2">
          <a:extLst>
            <a:ext uri="{FF2B5EF4-FFF2-40B4-BE49-F238E27FC236}">
              <a16:creationId xmlns:a16="http://schemas.microsoft.com/office/drawing/2014/main" xmlns="" id="{00000000-0008-0000-0600-000003000000}"/>
            </a:ext>
          </a:extLst>
        </xdr:cNvPr>
        <xdr:cNvSpPr/>
      </xdr:nvSpPr>
      <xdr:spPr>
        <a:xfrm>
          <a:off x="4917831" y="3634154"/>
          <a:ext cx="1189893" cy="3810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xdr:col>
      <xdr:colOff>46891</xdr:colOff>
      <xdr:row>1</xdr:row>
      <xdr:rowOff>140676</xdr:rowOff>
    </xdr:from>
    <xdr:to>
      <xdr:col>3</xdr:col>
      <xdr:colOff>93784</xdr:colOff>
      <xdr:row>3</xdr:row>
      <xdr:rowOff>76200</xdr:rowOff>
    </xdr:to>
    <xdr:sp macro="" textlink="">
      <xdr:nvSpPr>
        <xdr:cNvPr id="4" name="Ovál 3">
          <a:extLst>
            <a:ext uri="{FF2B5EF4-FFF2-40B4-BE49-F238E27FC236}">
              <a16:creationId xmlns:a16="http://schemas.microsoft.com/office/drawing/2014/main" xmlns="" id="{00000000-0008-0000-0600-000004000000}"/>
            </a:ext>
          </a:extLst>
        </xdr:cNvPr>
        <xdr:cNvSpPr/>
      </xdr:nvSpPr>
      <xdr:spPr>
        <a:xfrm>
          <a:off x="1494691" y="322384"/>
          <a:ext cx="914401" cy="298939"/>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0</xdr:col>
      <xdr:colOff>592014</xdr:colOff>
      <xdr:row>14</xdr:row>
      <xdr:rowOff>152401</xdr:rowOff>
    </xdr:from>
    <xdr:to>
      <xdr:col>3</xdr:col>
      <xdr:colOff>697521</xdr:colOff>
      <xdr:row>16</xdr:row>
      <xdr:rowOff>76200</xdr:rowOff>
    </xdr:to>
    <xdr:sp macro="" textlink="">
      <xdr:nvSpPr>
        <xdr:cNvPr id="5" name="Obdélník 4">
          <a:extLst>
            <a:ext uri="{FF2B5EF4-FFF2-40B4-BE49-F238E27FC236}">
              <a16:creationId xmlns:a16="http://schemas.microsoft.com/office/drawing/2014/main" xmlns="" id="{00000000-0008-0000-0600-000005000000}"/>
            </a:ext>
          </a:extLst>
        </xdr:cNvPr>
        <xdr:cNvSpPr/>
      </xdr:nvSpPr>
      <xdr:spPr>
        <a:xfrm>
          <a:off x="592014" y="2754924"/>
          <a:ext cx="2420815" cy="310661"/>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cs-CZ" sz="1100">
              <a:solidFill>
                <a:sysClr val="windowText" lastClr="000000"/>
              </a:solidFill>
            </a:rPr>
            <a:t>ze stránek MPSV 18.6.2019 </a:t>
          </a:r>
          <a:r>
            <a:rPr lang="cs-CZ" sz="1100"/>
            <a:t>18.6.2019</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269/Documents/004_MPSV%20a_KHK_HOSP_%202020/Hodnocen&#237;%20MPSV_1/Hodnocen&#237;%20MPSV%202020_23_11_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341/Desktop/Kopie%20-%20Hodnocen&#237;_komplet_s%20p&#345;&#237;lohou_I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877/AppData/Local/Microsoft/Windows/Temporary%20Internet%20Files/Content.Outlook/JDVNVAHK/Kopie%20-%20Hodnocen&#237;_komplet_s%20p&#345;&#237;lohou_I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žádosti MPSV 2020"/>
      <sheetName val="Hodnocení"/>
      <sheetName val="Výdaje obcí 2018"/>
      <sheetName val="Zdroje 2019 a 2020"/>
      <sheetName val="PnaPr2019"/>
      <sheetName val="PnaPr2020"/>
      <sheetName val="Náklady na ppp ER 2018"/>
      <sheetName val="ER VP 2018"/>
      <sheetName val="Průměrné mzdy 2018"/>
      <sheetName val="síť 2020"/>
      <sheetName val="Výpočet VP 2018"/>
      <sheetName val="Výpočet VP 2019"/>
      <sheetName val="Výpočet VP 2020"/>
      <sheetName val="MPSV 2019"/>
      <sheetName val="KHK 2019"/>
      <sheetName val="PZ 2019"/>
      <sheetName val="PZ 2018"/>
      <sheetName val="IP 2019"/>
      <sheetName val="IP5_2020"/>
      <sheetName val="IP6_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C3">
            <v>1008575</v>
          </cell>
          <cell r="D3">
            <v>2019</v>
          </cell>
          <cell r="E3">
            <v>65852</v>
          </cell>
          <cell r="F3">
            <v>158000</v>
          </cell>
          <cell r="G3">
            <v>0</v>
          </cell>
          <cell r="H3">
            <v>3101900</v>
          </cell>
          <cell r="I3">
            <v>0</v>
          </cell>
          <cell r="J3">
            <v>0</v>
          </cell>
          <cell r="K3">
            <v>0</v>
          </cell>
          <cell r="L3">
            <v>0</v>
          </cell>
          <cell r="M3">
            <v>0</v>
          </cell>
          <cell r="N3">
            <v>0</v>
          </cell>
          <cell r="O3">
            <v>29000</v>
          </cell>
          <cell r="P3">
            <v>156400</v>
          </cell>
          <cell r="Q3">
            <v>185400</v>
          </cell>
          <cell r="R3">
            <v>0</v>
          </cell>
          <cell r="S3">
            <v>64000</v>
          </cell>
          <cell r="T3">
            <v>3575152</v>
          </cell>
        </row>
        <row r="4">
          <cell r="C4">
            <v>5943218</v>
          </cell>
          <cell r="D4">
            <v>2019</v>
          </cell>
          <cell r="E4">
            <v>0</v>
          </cell>
          <cell r="F4">
            <v>113000</v>
          </cell>
          <cell r="G4">
            <v>0</v>
          </cell>
          <cell r="H4">
            <v>1091150</v>
          </cell>
          <cell r="I4">
            <v>0</v>
          </cell>
          <cell r="J4">
            <v>0</v>
          </cell>
          <cell r="K4">
            <v>0</v>
          </cell>
          <cell r="L4">
            <v>0</v>
          </cell>
          <cell r="M4">
            <v>0</v>
          </cell>
          <cell r="N4">
            <v>0</v>
          </cell>
          <cell r="O4">
            <v>0</v>
          </cell>
          <cell r="P4">
            <v>125000</v>
          </cell>
          <cell r="Q4">
            <v>125000</v>
          </cell>
          <cell r="R4">
            <v>0</v>
          </cell>
          <cell r="S4">
            <v>0</v>
          </cell>
          <cell r="T4">
            <v>1329150</v>
          </cell>
        </row>
        <row r="5">
          <cell r="C5">
            <v>7175172</v>
          </cell>
          <cell r="D5">
            <v>2019</v>
          </cell>
          <cell r="E5">
            <v>36846</v>
          </cell>
          <cell r="F5">
            <v>0</v>
          </cell>
          <cell r="G5">
            <v>0</v>
          </cell>
          <cell r="H5">
            <v>0</v>
          </cell>
          <cell r="I5">
            <v>661000</v>
          </cell>
          <cell r="J5">
            <v>0</v>
          </cell>
          <cell r="K5">
            <v>549826</v>
          </cell>
          <cell r="L5">
            <v>0</v>
          </cell>
          <cell r="M5">
            <v>0</v>
          </cell>
          <cell r="N5">
            <v>0</v>
          </cell>
          <cell r="O5">
            <v>0</v>
          </cell>
          <cell r="P5">
            <v>64000</v>
          </cell>
          <cell r="Q5">
            <v>64000</v>
          </cell>
          <cell r="R5">
            <v>0</v>
          </cell>
          <cell r="S5">
            <v>0</v>
          </cell>
          <cell r="T5">
            <v>1311672</v>
          </cell>
        </row>
        <row r="6">
          <cell r="C6">
            <v>1905494</v>
          </cell>
          <cell r="D6">
            <v>2019</v>
          </cell>
          <cell r="E6">
            <v>225228</v>
          </cell>
          <cell r="F6">
            <v>0</v>
          </cell>
          <cell r="G6">
            <v>0</v>
          </cell>
          <cell r="H6">
            <v>3503800</v>
          </cell>
          <cell r="I6">
            <v>0</v>
          </cell>
          <cell r="J6">
            <v>0</v>
          </cell>
          <cell r="K6">
            <v>0</v>
          </cell>
          <cell r="L6">
            <v>0</v>
          </cell>
          <cell r="M6">
            <v>0</v>
          </cell>
          <cell r="N6">
            <v>0</v>
          </cell>
          <cell r="O6">
            <v>0</v>
          </cell>
          <cell r="P6">
            <v>2320000</v>
          </cell>
          <cell r="Q6">
            <v>2320000</v>
          </cell>
          <cell r="R6">
            <v>0</v>
          </cell>
          <cell r="S6">
            <v>0</v>
          </cell>
          <cell r="T6">
            <v>6049028</v>
          </cell>
        </row>
        <row r="7">
          <cell r="C7">
            <v>9223411</v>
          </cell>
          <cell r="D7">
            <v>2019</v>
          </cell>
          <cell r="E7">
            <v>2810</v>
          </cell>
          <cell r="F7">
            <v>120000</v>
          </cell>
          <cell r="G7">
            <v>0</v>
          </cell>
          <cell r="H7">
            <v>1635000</v>
          </cell>
          <cell r="I7">
            <v>0</v>
          </cell>
          <cell r="J7">
            <v>0</v>
          </cell>
          <cell r="K7">
            <v>0</v>
          </cell>
          <cell r="L7">
            <v>0</v>
          </cell>
          <cell r="M7">
            <v>0</v>
          </cell>
          <cell r="N7">
            <v>0</v>
          </cell>
          <cell r="O7">
            <v>0</v>
          </cell>
          <cell r="P7">
            <v>100000</v>
          </cell>
          <cell r="Q7">
            <v>100000</v>
          </cell>
          <cell r="R7">
            <v>0</v>
          </cell>
          <cell r="S7">
            <v>0</v>
          </cell>
          <cell r="T7">
            <v>1857810</v>
          </cell>
        </row>
        <row r="8">
          <cell r="C8">
            <v>3346325</v>
          </cell>
          <cell r="D8">
            <v>2019</v>
          </cell>
          <cell r="E8">
            <v>0</v>
          </cell>
          <cell r="F8">
            <v>175000</v>
          </cell>
          <cell r="G8">
            <v>0</v>
          </cell>
          <cell r="H8">
            <v>3599970</v>
          </cell>
          <cell r="I8">
            <v>0</v>
          </cell>
          <cell r="J8">
            <v>0</v>
          </cell>
          <cell r="K8">
            <v>0</v>
          </cell>
          <cell r="L8">
            <v>0</v>
          </cell>
          <cell r="M8">
            <v>0</v>
          </cell>
          <cell r="N8">
            <v>0</v>
          </cell>
          <cell r="O8">
            <v>38500</v>
          </cell>
          <cell r="P8">
            <v>243250</v>
          </cell>
          <cell r="Q8">
            <v>281750</v>
          </cell>
          <cell r="R8">
            <v>0</v>
          </cell>
          <cell r="S8">
            <v>0</v>
          </cell>
          <cell r="T8">
            <v>4056720</v>
          </cell>
        </row>
        <row r="9">
          <cell r="C9">
            <v>6581899</v>
          </cell>
          <cell r="D9">
            <v>2019</v>
          </cell>
          <cell r="E9">
            <v>0</v>
          </cell>
          <cell r="F9">
            <v>0</v>
          </cell>
          <cell r="G9">
            <v>0</v>
          </cell>
          <cell r="H9">
            <v>11096127</v>
          </cell>
          <cell r="I9">
            <v>0</v>
          </cell>
          <cell r="J9">
            <v>0</v>
          </cell>
          <cell r="K9">
            <v>0</v>
          </cell>
          <cell r="L9">
            <v>0</v>
          </cell>
          <cell r="M9">
            <v>0</v>
          </cell>
          <cell r="N9">
            <v>0</v>
          </cell>
          <cell r="O9">
            <v>0</v>
          </cell>
          <cell r="P9">
            <v>0</v>
          </cell>
          <cell r="Q9">
            <v>0</v>
          </cell>
          <cell r="R9">
            <v>0</v>
          </cell>
          <cell r="S9">
            <v>0</v>
          </cell>
          <cell r="T9">
            <v>11096127</v>
          </cell>
        </row>
        <row r="10">
          <cell r="C10">
            <v>9000002</v>
          </cell>
          <cell r="D10">
            <v>2019</v>
          </cell>
          <cell r="E10">
            <v>653000</v>
          </cell>
          <cell r="F10">
            <v>0</v>
          </cell>
          <cell r="G10">
            <v>0</v>
          </cell>
          <cell r="H10">
            <v>0</v>
          </cell>
          <cell r="I10">
            <v>0</v>
          </cell>
          <cell r="J10">
            <v>0</v>
          </cell>
          <cell r="K10">
            <v>0</v>
          </cell>
          <cell r="L10">
            <v>0</v>
          </cell>
          <cell r="M10">
            <v>0</v>
          </cell>
          <cell r="N10">
            <v>0</v>
          </cell>
          <cell r="O10">
            <v>156000</v>
          </cell>
          <cell r="P10">
            <v>80000</v>
          </cell>
          <cell r="Q10">
            <v>236000</v>
          </cell>
          <cell r="R10">
            <v>0</v>
          </cell>
          <cell r="S10">
            <v>0</v>
          </cell>
          <cell r="T10">
            <v>889000</v>
          </cell>
        </row>
        <row r="11">
          <cell r="C11">
            <v>2333254</v>
          </cell>
          <cell r="D11">
            <v>2019</v>
          </cell>
          <cell r="E11">
            <v>0</v>
          </cell>
          <cell r="F11">
            <v>0</v>
          </cell>
          <cell r="G11">
            <v>0</v>
          </cell>
          <cell r="H11">
            <v>1309890</v>
          </cell>
          <cell r="I11">
            <v>0</v>
          </cell>
          <cell r="J11">
            <v>0</v>
          </cell>
          <cell r="K11">
            <v>0</v>
          </cell>
          <cell r="L11">
            <v>0</v>
          </cell>
          <cell r="M11">
            <v>0</v>
          </cell>
          <cell r="N11">
            <v>0</v>
          </cell>
          <cell r="O11">
            <v>14000</v>
          </cell>
          <cell r="P11">
            <v>108000</v>
          </cell>
          <cell r="Q11">
            <v>122000</v>
          </cell>
          <cell r="R11">
            <v>0</v>
          </cell>
          <cell r="S11">
            <v>0</v>
          </cell>
          <cell r="T11">
            <v>1431890</v>
          </cell>
        </row>
        <row r="12">
          <cell r="C12">
            <v>1546097</v>
          </cell>
          <cell r="D12">
            <v>2019</v>
          </cell>
          <cell r="E12">
            <v>0</v>
          </cell>
          <cell r="F12">
            <v>0</v>
          </cell>
          <cell r="G12">
            <v>0</v>
          </cell>
          <cell r="H12">
            <v>21453694</v>
          </cell>
          <cell r="I12">
            <v>0</v>
          </cell>
          <cell r="J12">
            <v>7701000</v>
          </cell>
          <cell r="K12">
            <v>0</v>
          </cell>
          <cell r="L12">
            <v>0</v>
          </cell>
          <cell r="M12">
            <v>0</v>
          </cell>
          <cell r="N12">
            <v>0</v>
          </cell>
          <cell r="O12">
            <v>0</v>
          </cell>
          <cell r="P12">
            <v>0</v>
          </cell>
          <cell r="Q12">
            <v>0</v>
          </cell>
          <cell r="R12">
            <v>0</v>
          </cell>
          <cell r="S12">
            <v>0</v>
          </cell>
          <cell r="T12">
            <v>29154694</v>
          </cell>
        </row>
        <row r="13">
          <cell r="C13">
            <v>5651221</v>
          </cell>
          <cell r="D13">
            <v>2019</v>
          </cell>
          <cell r="E13">
            <v>0</v>
          </cell>
          <cell r="F13">
            <v>0</v>
          </cell>
          <cell r="G13">
            <v>0</v>
          </cell>
          <cell r="H13">
            <v>15533685</v>
          </cell>
          <cell r="I13">
            <v>0</v>
          </cell>
          <cell r="J13">
            <v>0</v>
          </cell>
          <cell r="K13">
            <v>0</v>
          </cell>
          <cell r="L13">
            <v>0</v>
          </cell>
          <cell r="M13">
            <v>0</v>
          </cell>
          <cell r="N13">
            <v>0</v>
          </cell>
          <cell r="O13">
            <v>0</v>
          </cell>
          <cell r="P13">
            <v>0</v>
          </cell>
          <cell r="Q13">
            <v>0</v>
          </cell>
          <cell r="R13">
            <v>0</v>
          </cell>
          <cell r="S13">
            <v>0</v>
          </cell>
          <cell r="T13">
            <v>15533685</v>
          </cell>
        </row>
        <row r="14">
          <cell r="C14">
            <v>9445282</v>
          </cell>
          <cell r="D14">
            <v>2019</v>
          </cell>
          <cell r="E14">
            <v>0</v>
          </cell>
          <cell r="F14">
            <v>0</v>
          </cell>
          <cell r="G14">
            <v>0</v>
          </cell>
          <cell r="H14">
            <v>15516867</v>
          </cell>
          <cell r="I14">
            <v>0</v>
          </cell>
          <cell r="J14">
            <v>6999000</v>
          </cell>
          <cell r="K14">
            <v>0</v>
          </cell>
          <cell r="L14">
            <v>0</v>
          </cell>
          <cell r="M14">
            <v>0</v>
          </cell>
          <cell r="N14">
            <v>0</v>
          </cell>
          <cell r="O14">
            <v>0</v>
          </cell>
          <cell r="P14">
            <v>0</v>
          </cell>
          <cell r="Q14">
            <v>0</v>
          </cell>
          <cell r="R14">
            <v>0</v>
          </cell>
          <cell r="S14">
            <v>0</v>
          </cell>
          <cell r="T14">
            <v>22515867</v>
          </cell>
        </row>
        <row r="15">
          <cell r="C15">
            <v>1806042</v>
          </cell>
          <cell r="D15">
            <v>2019</v>
          </cell>
          <cell r="E15">
            <v>0</v>
          </cell>
          <cell r="F15">
            <v>130000</v>
          </cell>
          <cell r="G15">
            <v>0</v>
          </cell>
          <cell r="H15">
            <v>2917940</v>
          </cell>
          <cell r="I15">
            <v>0</v>
          </cell>
          <cell r="J15">
            <v>0</v>
          </cell>
          <cell r="K15">
            <v>0</v>
          </cell>
          <cell r="L15">
            <v>0</v>
          </cell>
          <cell r="M15">
            <v>0</v>
          </cell>
          <cell r="N15">
            <v>0</v>
          </cell>
          <cell r="O15">
            <v>8800</v>
          </cell>
          <cell r="P15">
            <v>80000</v>
          </cell>
          <cell r="Q15">
            <v>88800</v>
          </cell>
          <cell r="R15">
            <v>0</v>
          </cell>
          <cell r="S15">
            <v>0</v>
          </cell>
          <cell r="T15">
            <v>3136740</v>
          </cell>
        </row>
        <row r="16">
          <cell r="C16">
            <v>6361701</v>
          </cell>
          <cell r="D16">
            <v>2019</v>
          </cell>
          <cell r="E16">
            <v>26897</v>
          </cell>
          <cell r="F16">
            <v>0</v>
          </cell>
          <cell r="G16">
            <v>0</v>
          </cell>
          <cell r="H16">
            <v>0</v>
          </cell>
          <cell r="I16">
            <v>0</v>
          </cell>
          <cell r="J16">
            <v>0</v>
          </cell>
          <cell r="K16">
            <v>1104712</v>
          </cell>
          <cell r="L16">
            <v>0</v>
          </cell>
          <cell r="M16">
            <v>0</v>
          </cell>
          <cell r="N16">
            <v>0</v>
          </cell>
          <cell r="O16">
            <v>8800</v>
          </cell>
          <cell r="P16">
            <v>80000</v>
          </cell>
          <cell r="Q16">
            <v>88800</v>
          </cell>
          <cell r="R16">
            <v>0</v>
          </cell>
          <cell r="S16">
            <v>5000</v>
          </cell>
          <cell r="T16">
            <v>1225409</v>
          </cell>
        </row>
        <row r="17">
          <cell r="C17">
            <v>6447139</v>
          </cell>
          <cell r="D17">
            <v>2019</v>
          </cell>
          <cell r="E17">
            <v>0</v>
          </cell>
          <cell r="F17">
            <v>134000</v>
          </cell>
          <cell r="G17">
            <v>0</v>
          </cell>
          <cell r="H17">
            <v>1711240</v>
          </cell>
          <cell r="I17">
            <v>0</v>
          </cell>
          <cell r="J17">
            <v>0</v>
          </cell>
          <cell r="K17">
            <v>0</v>
          </cell>
          <cell r="L17">
            <v>0</v>
          </cell>
          <cell r="M17">
            <v>0</v>
          </cell>
          <cell r="N17">
            <v>0</v>
          </cell>
          <cell r="O17">
            <v>31800</v>
          </cell>
          <cell r="P17">
            <v>125000</v>
          </cell>
          <cell r="Q17">
            <v>156800</v>
          </cell>
          <cell r="R17">
            <v>0</v>
          </cell>
          <cell r="S17">
            <v>10000</v>
          </cell>
          <cell r="T17">
            <v>2012040</v>
          </cell>
        </row>
        <row r="18">
          <cell r="C18">
            <v>7790627</v>
          </cell>
          <cell r="D18">
            <v>2019</v>
          </cell>
          <cell r="E18">
            <v>0</v>
          </cell>
          <cell r="F18">
            <v>0</v>
          </cell>
          <cell r="G18">
            <v>0</v>
          </cell>
          <cell r="H18">
            <v>0</v>
          </cell>
          <cell r="I18">
            <v>0</v>
          </cell>
          <cell r="J18">
            <v>0</v>
          </cell>
          <cell r="K18">
            <v>2209208</v>
          </cell>
          <cell r="L18">
            <v>0</v>
          </cell>
          <cell r="M18">
            <v>0</v>
          </cell>
          <cell r="N18">
            <v>0</v>
          </cell>
          <cell r="O18">
            <v>8800</v>
          </cell>
          <cell r="P18">
            <v>80000</v>
          </cell>
          <cell r="Q18">
            <v>88800</v>
          </cell>
          <cell r="R18">
            <v>0</v>
          </cell>
          <cell r="S18">
            <v>0</v>
          </cell>
          <cell r="T18">
            <v>2298008</v>
          </cell>
        </row>
        <row r="19">
          <cell r="C19">
            <v>8090757</v>
          </cell>
          <cell r="D19">
            <v>2019</v>
          </cell>
          <cell r="E19">
            <v>0</v>
          </cell>
          <cell r="F19">
            <v>148000</v>
          </cell>
          <cell r="G19">
            <v>0</v>
          </cell>
          <cell r="H19">
            <v>1859500</v>
          </cell>
          <cell r="I19">
            <v>0</v>
          </cell>
          <cell r="J19">
            <v>0</v>
          </cell>
          <cell r="K19">
            <v>0</v>
          </cell>
          <cell r="L19">
            <v>0</v>
          </cell>
          <cell r="M19">
            <v>0</v>
          </cell>
          <cell r="N19">
            <v>0</v>
          </cell>
          <cell r="O19">
            <v>8800</v>
          </cell>
          <cell r="P19">
            <v>80000</v>
          </cell>
          <cell r="Q19">
            <v>88800</v>
          </cell>
          <cell r="R19">
            <v>0</v>
          </cell>
          <cell r="S19">
            <v>0</v>
          </cell>
          <cell r="T19">
            <v>2096300</v>
          </cell>
        </row>
        <row r="20">
          <cell r="C20">
            <v>1537615</v>
          </cell>
          <cell r="D20">
            <v>2019</v>
          </cell>
          <cell r="E20">
            <v>0</v>
          </cell>
          <cell r="F20">
            <v>235948</v>
          </cell>
          <cell r="G20">
            <v>0</v>
          </cell>
          <cell r="H20">
            <v>2712120</v>
          </cell>
          <cell r="I20">
            <v>0</v>
          </cell>
          <cell r="J20">
            <v>0</v>
          </cell>
          <cell r="K20">
            <v>0</v>
          </cell>
          <cell r="L20">
            <v>0</v>
          </cell>
          <cell r="M20">
            <v>0</v>
          </cell>
          <cell r="N20">
            <v>0</v>
          </cell>
          <cell r="O20">
            <v>2000</v>
          </cell>
          <cell r="P20">
            <v>395000</v>
          </cell>
          <cell r="Q20">
            <v>397000</v>
          </cell>
          <cell r="R20">
            <v>667000</v>
          </cell>
          <cell r="S20">
            <v>0</v>
          </cell>
          <cell r="T20">
            <v>4012068</v>
          </cell>
        </row>
        <row r="21">
          <cell r="C21">
            <v>5002625</v>
          </cell>
          <cell r="D21">
            <v>2019</v>
          </cell>
          <cell r="E21">
            <v>0</v>
          </cell>
          <cell r="F21">
            <v>0</v>
          </cell>
          <cell r="G21">
            <v>0</v>
          </cell>
          <cell r="H21">
            <v>0</v>
          </cell>
          <cell r="I21">
            <v>541190</v>
          </cell>
          <cell r="J21">
            <v>0</v>
          </cell>
          <cell r="K21">
            <v>0</v>
          </cell>
          <cell r="L21">
            <v>0</v>
          </cell>
          <cell r="M21">
            <v>0</v>
          </cell>
          <cell r="N21">
            <v>0</v>
          </cell>
          <cell r="O21">
            <v>0</v>
          </cell>
          <cell r="P21">
            <v>0</v>
          </cell>
          <cell r="Q21">
            <v>0</v>
          </cell>
          <cell r="R21">
            <v>0</v>
          </cell>
          <cell r="S21">
            <v>0</v>
          </cell>
          <cell r="T21">
            <v>541190</v>
          </cell>
        </row>
        <row r="22">
          <cell r="C22">
            <v>6191102</v>
          </cell>
          <cell r="D22">
            <v>2019</v>
          </cell>
          <cell r="E22">
            <v>19273</v>
          </cell>
          <cell r="F22">
            <v>45063</v>
          </cell>
          <cell r="G22">
            <v>0</v>
          </cell>
          <cell r="H22">
            <v>527000</v>
          </cell>
          <cell r="I22">
            <v>0</v>
          </cell>
          <cell r="J22">
            <v>0</v>
          </cell>
          <cell r="K22">
            <v>0</v>
          </cell>
          <cell r="L22">
            <v>0</v>
          </cell>
          <cell r="M22">
            <v>0</v>
          </cell>
          <cell r="N22">
            <v>0</v>
          </cell>
          <cell r="O22">
            <v>0</v>
          </cell>
          <cell r="P22">
            <v>0</v>
          </cell>
          <cell r="Q22">
            <v>0</v>
          </cell>
          <cell r="R22">
            <v>0</v>
          </cell>
          <cell r="S22">
            <v>0</v>
          </cell>
          <cell r="T22">
            <v>591336</v>
          </cell>
        </row>
        <row r="23">
          <cell r="C23">
            <v>7365832</v>
          </cell>
          <cell r="D23">
            <v>2019</v>
          </cell>
          <cell r="E23">
            <v>0</v>
          </cell>
          <cell r="F23">
            <v>0</v>
          </cell>
          <cell r="G23">
            <v>0</v>
          </cell>
          <cell r="H23">
            <v>851000</v>
          </cell>
          <cell r="I23">
            <v>0</v>
          </cell>
          <cell r="J23">
            <v>0</v>
          </cell>
          <cell r="K23">
            <v>0</v>
          </cell>
          <cell r="L23">
            <v>0</v>
          </cell>
          <cell r="M23">
            <v>0</v>
          </cell>
          <cell r="N23">
            <v>0</v>
          </cell>
          <cell r="O23">
            <v>0</v>
          </cell>
          <cell r="P23">
            <v>700000</v>
          </cell>
          <cell r="Q23">
            <v>700000</v>
          </cell>
          <cell r="R23">
            <v>0</v>
          </cell>
          <cell r="S23">
            <v>0</v>
          </cell>
          <cell r="T23">
            <v>1551000</v>
          </cell>
        </row>
        <row r="24">
          <cell r="C24">
            <v>7663376</v>
          </cell>
          <cell r="D24">
            <v>2019</v>
          </cell>
          <cell r="E24">
            <v>0</v>
          </cell>
          <cell r="F24">
            <v>0</v>
          </cell>
          <cell r="G24">
            <v>0</v>
          </cell>
          <cell r="H24">
            <v>2657677</v>
          </cell>
          <cell r="I24">
            <v>0</v>
          </cell>
          <cell r="J24">
            <v>0</v>
          </cell>
          <cell r="K24">
            <v>0</v>
          </cell>
          <cell r="L24">
            <v>0</v>
          </cell>
          <cell r="M24">
            <v>0</v>
          </cell>
          <cell r="N24">
            <v>0</v>
          </cell>
          <cell r="O24">
            <v>0</v>
          </cell>
          <cell r="P24">
            <v>0</v>
          </cell>
          <cell r="Q24">
            <v>0</v>
          </cell>
          <cell r="R24">
            <v>0</v>
          </cell>
          <cell r="S24">
            <v>0</v>
          </cell>
          <cell r="T24">
            <v>2657677</v>
          </cell>
        </row>
        <row r="25">
          <cell r="C25">
            <v>9097155</v>
          </cell>
          <cell r="D25">
            <v>2019</v>
          </cell>
          <cell r="E25">
            <v>489256</v>
          </cell>
          <cell r="F25">
            <v>0</v>
          </cell>
          <cell r="G25">
            <v>0</v>
          </cell>
          <cell r="H25">
            <v>3450082</v>
          </cell>
          <cell r="I25">
            <v>0</v>
          </cell>
          <cell r="J25">
            <v>0</v>
          </cell>
          <cell r="K25">
            <v>0</v>
          </cell>
          <cell r="L25">
            <v>0</v>
          </cell>
          <cell r="M25">
            <v>0</v>
          </cell>
          <cell r="N25">
            <v>0</v>
          </cell>
          <cell r="O25">
            <v>185000</v>
          </cell>
          <cell r="P25">
            <v>870000</v>
          </cell>
          <cell r="Q25">
            <v>1055000</v>
          </cell>
          <cell r="R25">
            <v>0</v>
          </cell>
          <cell r="S25">
            <v>0</v>
          </cell>
          <cell r="T25">
            <v>4994338</v>
          </cell>
        </row>
        <row r="26">
          <cell r="C26">
            <v>9000003</v>
          </cell>
          <cell r="D26">
            <v>2019</v>
          </cell>
          <cell r="E26">
            <v>2200000</v>
          </cell>
          <cell r="F26">
            <v>0</v>
          </cell>
          <cell r="G26">
            <v>0</v>
          </cell>
          <cell r="H26">
            <v>0</v>
          </cell>
          <cell r="I26">
            <v>0</v>
          </cell>
          <cell r="J26">
            <v>0</v>
          </cell>
          <cell r="K26">
            <v>0</v>
          </cell>
          <cell r="L26">
            <v>0</v>
          </cell>
          <cell r="M26">
            <v>0</v>
          </cell>
          <cell r="N26">
            <v>0</v>
          </cell>
          <cell r="O26">
            <v>0</v>
          </cell>
          <cell r="P26">
            <v>0</v>
          </cell>
          <cell r="Q26">
            <v>0</v>
          </cell>
          <cell r="R26">
            <v>65059</v>
          </cell>
          <cell r="S26">
            <v>50000</v>
          </cell>
          <cell r="T26">
            <v>2315059</v>
          </cell>
        </row>
        <row r="27">
          <cell r="C27">
            <v>9554713</v>
          </cell>
          <cell r="D27">
            <v>2019</v>
          </cell>
          <cell r="E27">
            <v>0</v>
          </cell>
          <cell r="F27">
            <v>0</v>
          </cell>
          <cell r="G27">
            <v>0</v>
          </cell>
          <cell r="H27">
            <v>5320660</v>
          </cell>
          <cell r="I27">
            <v>0</v>
          </cell>
          <cell r="J27">
            <v>0</v>
          </cell>
          <cell r="K27">
            <v>0</v>
          </cell>
          <cell r="L27">
            <v>0</v>
          </cell>
          <cell r="M27">
            <v>0</v>
          </cell>
          <cell r="N27">
            <v>0</v>
          </cell>
          <cell r="O27">
            <v>563000</v>
          </cell>
          <cell r="P27">
            <v>308500</v>
          </cell>
          <cell r="Q27">
            <v>871500</v>
          </cell>
          <cell r="R27">
            <v>0</v>
          </cell>
          <cell r="S27">
            <v>0</v>
          </cell>
          <cell r="T27">
            <v>6192160</v>
          </cell>
        </row>
        <row r="28">
          <cell r="C28">
            <v>2749776</v>
          </cell>
          <cell r="D28">
            <v>2019</v>
          </cell>
          <cell r="E28">
            <v>0</v>
          </cell>
          <cell r="F28">
            <v>0</v>
          </cell>
          <cell r="G28">
            <v>0</v>
          </cell>
          <cell r="H28">
            <v>5637181</v>
          </cell>
          <cell r="I28">
            <v>0</v>
          </cell>
          <cell r="J28">
            <v>2938000</v>
          </cell>
          <cell r="K28">
            <v>0</v>
          </cell>
          <cell r="L28">
            <v>0</v>
          </cell>
          <cell r="M28">
            <v>0</v>
          </cell>
          <cell r="N28">
            <v>0</v>
          </cell>
          <cell r="O28">
            <v>0</v>
          </cell>
          <cell r="P28">
            <v>0</v>
          </cell>
          <cell r="Q28">
            <v>0</v>
          </cell>
          <cell r="R28">
            <v>0</v>
          </cell>
          <cell r="S28">
            <v>0</v>
          </cell>
          <cell r="T28">
            <v>8575181</v>
          </cell>
        </row>
        <row r="29">
          <cell r="C29">
            <v>1236570</v>
          </cell>
          <cell r="D29">
            <v>2019</v>
          </cell>
          <cell r="E29">
            <v>0</v>
          </cell>
          <cell r="F29">
            <v>0</v>
          </cell>
          <cell r="G29">
            <v>0</v>
          </cell>
          <cell r="H29">
            <v>900000</v>
          </cell>
          <cell r="I29">
            <v>0</v>
          </cell>
          <cell r="J29">
            <v>0</v>
          </cell>
          <cell r="K29">
            <v>7324486</v>
          </cell>
          <cell r="L29">
            <v>123880</v>
          </cell>
          <cell r="M29">
            <v>0</v>
          </cell>
          <cell r="N29">
            <v>0</v>
          </cell>
          <cell r="O29">
            <v>0</v>
          </cell>
          <cell r="P29">
            <v>1830000</v>
          </cell>
          <cell r="Q29">
            <v>1830000</v>
          </cell>
          <cell r="R29">
            <v>126000</v>
          </cell>
          <cell r="S29">
            <v>0</v>
          </cell>
          <cell r="T29">
            <v>10304366</v>
          </cell>
        </row>
        <row r="30">
          <cell r="C30">
            <v>4381530</v>
          </cell>
          <cell r="D30">
            <v>2019</v>
          </cell>
          <cell r="E30">
            <v>0</v>
          </cell>
          <cell r="F30">
            <v>0</v>
          </cell>
          <cell r="G30">
            <v>0</v>
          </cell>
          <cell r="H30">
            <v>12144452</v>
          </cell>
          <cell r="I30">
            <v>0</v>
          </cell>
          <cell r="J30">
            <v>0</v>
          </cell>
          <cell r="K30">
            <v>0</v>
          </cell>
          <cell r="L30">
            <v>0</v>
          </cell>
          <cell r="M30">
            <v>0</v>
          </cell>
          <cell r="N30">
            <v>0</v>
          </cell>
          <cell r="O30">
            <v>0</v>
          </cell>
          <cell r="P30">
            <v>4524544</v>
          </cell>
          <cell r="Q30">
            <v>4524544</v>
          </cell>
          <cell r="R30">
            <v>0</v>
          </cell>
          <cell r="S30">
            <v>0</v>
          </cell>
          <cell r="T30">
            <v>16668996</v>
          </cell>
        </row>
        <row r="31">
          <cell r="C31">
            <v>5703553</v>
          </cell>
          <cell r="D31">
            <v>2019</v>
          </cell>
          <cell r="E31">
            <v>0</v>
          </cell>
          <cell r="F31">
            <v>0</v>
          </cell>
          <cell r="G31">
            <v>0</v>
          </cell>
          <cell r="H31">
            <v>1909423</v>
          </cell>
          <cell r="I31">
            <v>0</v>
          </cell>
          <cell r="J31">
            <v>0</v>
          </cell>
          <cell r="K31">
            <v>0</v>
          </cell>
          <cell r="L31">
            <v>0</v>
          </cell>
          <cell r="M31">
            <v>0</v>
          </cell>
          <cell r="N31">
            <v>0</v>
          </cell>
          <cell r="O31">
            <v>0</v>
          </cell>
          <cell r="P31">
            <v>113447</v>
          </cell>
          <cell r="Q31">
            <v>113447</v>
          </cell>
          <cell r="R31">
            <v>0</v>
          </cell>
          <cell r="S31">
            <v>0</v>
          </cell>
          <cell r="T31">
            <v>2022870</v>
          </cell>
        </row>
        <row r="32">
          <cell r="C32">
            <v>7566271</v>
          </cell>
          <cell r="D32">
            <v>2019</v>
          </cell>
          <cell r="E32">
            <v>0</v>
          </cell>
          <cell r="F32">
            <v>0</v>
          </cell>
          <cell r="G32">
            <v>0</v>
          </cell>
          <cell r="H32">
            <v>7415268</v>
          </cell>
          <cell r="I32">
            <v>0</v>
          </cell>
          <cell r="J32">
            <v>0</v>
          </cell>
          <cell r="K32">
            <v>0</v>
          </cell>
          <cell r="L32">
            <v>0</v>
          </cell>
          <cell r="M32">
            <v>0</v>
          </cell>
          <cell r="N32">
            <v>0</v>
          </cell>
          <cell r="O32">
            <v>0</v>
          </cell>
          <cell r="P32">
            <v>1120000</v>
          </cell>
          <cell r="Q32">
            <v>1120000</v>
          </cell>
          <cell r="R32">
            <v>0</v>
          </cell>
          <cell r="S32">
            <v>0</v>
          </cell>
          <cell r="T32">
            <v>8535268</v>
          </cell>
        </row>
        <row r="33">
          <cell r="C33">
            <v>9924639</v>
          </cell>
          <cell r="D33">
            <v>2019</v>
          </cell>
          <cell r="E33">
            <v>0</v>
          </cell>
          <cell r="F33">
            <v>0</v>
          </cell>
          <cell r="G33">
            <v>0</v>
          </cell>
          <cell r="H33">
            <v>3000000</v>
          </cell>
          <cell r="I33">
            <v>0</v>
          </cell>
          <cell r="J33">
            <v>0</v>
          </cell>
          <cell r="K33">
            <v>0</v>
          </cell>
          <cell r="L33">
            <v>0</v>
          </cell>
          <cell r="M33">
            <v>0</v>
          </cell>
          <cell r="N33">
            <v>0</v>
          </cell>
          <cell r="O33">
            <v>62000</v>
          </cell>
          <cell r="P33">
            <v>5900000</v>
          </cell>
          <cell r="Q33">
            <v>5962000</v>
          </cell>
          <cell r="R33">
            <v>0</v>
          </cell>
          <cell r="S33">
            <v>0</v>
          </cell>
          <cell r="T33">
            <v>8962000</v>
          </cell>
        </row>
        <row r="34">
          <cell r="C34">
            <v>7702105</v>
          </cell>
          <cell r="D34">
            <v>2019</v>
          </cell>
          <cell r="E34">
            <v>0</v>
          </cell>
          <cell r="F34">
            <v>0</v>
          </cell>
          <cell r="G34">
            <v>0</v>
          </cell>
          <cell r="H34">
            <v>1013735</v>
          </cell>
          <cell r="I34">
            <v>0</v>
          </cell>
          <cell r="J34">
            <v>0</v>
          </cell>
          <cell r="K34">
            <v>0</v>
          </cell>
          <cell r="L34">
            <v>0</v>
          </cell>
          <cell r="M34">
            <v>0</v>
          </cell>
          <cell r="N34">
            <v>0</v>
          </cell>
          <cell r="O34">
            <v>0</v>
          </cell>
          <cell r="P34">
            <v>0</v>
          </cell>
          <cell r="Q34">
            <v>0</v>
          </cell>
          <cell r="R34">
            <v>0</v>
          </cell>
          <cell r="S34">
            <v>0</v>
          </cell>
          <cell r="T34">
            <v>1013735</v>
          </cell>
        </row>
        <row r="35">
          <cell r="C35">
            <v>9583114</v>
          </cell>
          <cell r="D35">
            <v>2019</v>
          </cell>
          <cell r="E35">
            <v>0</v>
          </cell>
          <cell r="F35">
            <v>0</v>
          </cell>
          <cell r="G35">
            <v>0</v>
          </cell>
          <cell r="H35">
            <v>144000</v>
          </cell>
          <cell r="I35">
            <v>0</v>
          </cell>
          <cell r="J35">
            <v>0</v>
          </cell>
          <cell r="K35">
            <v>0</v>
          </cell>
          <cell r="L35">
            <v>0</v>
          </cell>
          <cell r="M35">
            <v>0</v>
          </cell>
          <cell r="N35">
            <v>0</v>
          </cell>
          <cell r="O35">
            <v>0</v>
          </cell>
          <cell r="P35">
            <v>992500</v>
          </cell>
          <cell r="Q35">
            <v>992500</v>
          </cell>
          <cell r="R35">
            <v>0</v>
          </cell>
          <cell r="S35">
            <v>0</v>
          </cell>
          <cell r="T35">
            <v>1136500</v>
          </cell>
        </row>
        <row r="36">
          <cell r="C36">
            <v>1272659</v>
          </cell>
          <cell r="D36">
            <v>2019</v>
          </cell>
          <cell r="E36">
            <v>0</v>
          </cell>
          <cell r="F36">
            <v>0</v>
          </cell>
          <cell r="G36">
            <v>0</v>
          </cell>
          <cell r="H36">
            <v>201040</v>
          </cell>
          <cell r="I36">
            <v>0</v>
          </cell>
          <cell r="J36">
            <v>0</v>
          </cell>
          <cell r="K36">
            <v>0</v>
          </cell>
          <cell r="L36">
            <v>0</v>
          </cell>
          <cell r="M36">
            <v>0</v>
          </cell>
          <cell r="N36">
            <v>0</v>
          </cell>
          <cell r="O36">
            <v>0</v>
          </cell>
          <cell r="P36">
            <v>0</v>
          </cell>
          <cell r="Q36">
            <v>0</v>
          </cell>
          <cell r="R36">
            <v>0</v>
          </cell>
          <cell r="S36">
            <v>0</v>
          </cell>
          <cell r="T36">
            <v>201040</v>
          </cell>
        </row>
        <row r="37">
          <cell r="C37">
            <v>1817339</v>
          </cell>
          <cell r="D37">
            <v>2019</v>
          </cell>
          <cell r="E37">
            <v>0</v>
          </cell>
          <cell r="F37">
            <v>0</v>
          </cell>
          <cell r="G37">
            <v>0</v>
          </cell>
          <cell r="H37">
            <v>1751320</v>
          </cell>
          <cell r="I37">
            <v>0</v>
          </cell>
          <cell r="J37">
            <v>0</v>
          </cell>
          <cell r="K37">
            <v>0</v>
          </cell>
          <cell r="L37">
            <v>0</v>
          </cell>
          <cell r="M37">
            <v>0</v>
          </cell>
          <cell r="N37">
            <v>0</v>
          </cell>
          <cell r="O37">
            <v>0</v>
          </cell>
          <cell r="P37">
            <v>4161580</v>
          </cell>
          <cell r="Q37">
            <v>4161580</v>
          </cell>
          <cell r="R37">
            <v>0</v>
          </cell>
          <cell r="S37">
            <v>0</v>
          </cell>
          <cell r="T37">
            <v>5912900</v>
          </cell>
        </row>
        <row r="38">
          <cell r="C38">
            <v>1686476</v>
          </cell>
          <cell r="D38">
            <v>2019</v>
          </cell>
          <cell r="E38">
            <v>0</v>
          </cell>
          <cell r="F38">
            <v>0</v>
          </cell>
          <cell r="G38">
            <v>0</v>
          </cell>
          <cell r="H38">
            <v>5251868</v>
          </cell>
          <cell r="I38">
            <v>0</v>
          </cell>
          <cell r="J38">
            <v>0</v>
          </cell>
          <cell r="K38">
            <v>0</v>
          </cell>
          <cell r="L38">
            <v>0</v>
          </cell>
          <cell r="M38">
            <v>0</v>
          </cell>
          <cell r="N38">
            <v>0</v>
          </cell>
          <cell r="O38">
            <v>0</v>
          </cell>
          <cell r="P38">
            <v>4235000</v>
          </cell>
          <cell r="Q38">
            <v>4235000</v>
          </cell>
          <cell r="R38">
            <v>0</v>
          </cell>
          <cell r="S38">
            <v>0</v>
          </cell>
          <cell r="T38">
            <v>9486868</v>
          </cell>
        </row>
        <row r="39">
          <cell r="C39">
            <v>5539112</v>
          </cell>
          <cell r="D39">
            <v>2019</v>
          </cell>
          <cell r="E39">
            <v>0</v>
          </cell>
          <cell r="F39">
            <v>0</v>
          </cell>
          <cell r="G39">
            <v>0</v>
          </cell>
          <cell r="H39">
            <v>2171123</v>
          </cell>
          <cell r="I39">
            <v>0</v>
          </cell>
          <cell r="J39">
            <v>0</v>
          </cell>
          <cell r="K39">
            <v>0</v>
          </cell>
          <cell r="L39">
            <v>0</v>
          </cell>
          <cell r="M39">
            <v>0</v>
          </cell>
          <cell r="N39">
            <v>0</v>
          </cell>
          <cell r="O39">
            <v>15000</v>
          </cell>
          <cell r="P39">
            <v>187000</v>
          </cell>
          <cell r="Q39">
            <v>202000</v>
          </cell>
          <cell r="R39">
            <v>0</v>
          </cell>
          <cell r="S39">
            <v>0</v>
          </cell>
          <cell r="T39">
            <v>2373123</v>
          </cell>
        </row>
        <row r="40">
          <cell r="C40">
            <v>1696009</v>
          </cell>
          <cell r="D40">
            <v>2019</v>
          </cell>
          <cell r="E40">
            <v>0</v>
          </cell>
          <cell r="F40">
            <v>0</v>
          </cell>
          <cell r="G40">
            <v>0</v>
          </cell>
          <cell r="H40">
            <v>262500</v>
          </cell>
          <cell r="I40">
            <v>0</v>
          </cell>
          <cell r="J40">
            <v>0</v>
          </cell>
          <cell r="K40">
            <v>0</v>
          </cell>
          <cell r="L40">
            <v>0</v>
          </cell>
          <cell r="M40">
            <v>0</v>
          </cell>
          <cell r="N40">
            <v>0</v>
          </cell>
          <cell r="O40">
            <v>0</v>
          </cell>
          <cell r="P40">
            <v>832200</v>
          </cell>
          <cell r="Q40">
            <v>832200</v>
          </cell>
          <cell r="R40">
            <v>0</v>
          </cell>
          <cell r="S40">
            <v>0</v>
          </cell>
          <cell r="T40">
            <v>1094700</v>
          </cell>
        </row>
        <row r="41">
          <cell r="C41">
            <v>2514714</v>
          </cell>
          <cell r="D41">
            <v>2019</v>
          </cell>
          <cell r="E41">
            <v>0</v>
          </cell>
          <cell r="F41">
            <v>0</v>
          </cell>
          <cell r="G41">
            <v>0</v>
          </cell>
          <cell r="H41">
            <v>370380</v>
          </cell>
          <cell r="I41">
            <v>0</v>
          </cell>
          <cell r="J41">
            <v>0</v>
          </cell>
          <cell r="K41">
            <v>402081</v>
          </cell>
          <cell r="L41">
            <v>0</v>
          </cell>
          <cell r="M41">
            <v>0</v>
          </cell>
          <cell r="N41">
            <v>0</v>
          </cell>
          <cell r="O41">
            <v>0</v>
          </cell>
          <cell r="P41">
            <v>1552100</v>
          </cell>
          <cell r="Q41">
            <v>1552100</v>
          </cell>
          <cell r="R41">
            <v>0</v>
          </cell>
          <cell r="S41">
            <v>0</v>
          </cell>
          <cell r="T41">
            <v>2324561</v>
          </cell>
        </row>
        <row r="42">
          <cell r="C42">
            <v>7259548</v>
          </cell>
          <cell r="D42">
            <v>2019</v>
          </cell>
          <cell r="E42">
            <v>0</v>
          </cell>
          <cell r="F42">
            <v>0</v>
          </cell>
          <cell r="G42">
            <v>0</v>
          </cell>
          <cell r="H42">
            <v>2576210</v>
          </cell>
          <cell r="I42">
            <v>0</v>
          </cell>
          <cell r="J42">
            <v>0</v>
          </cell>
          <cell r="K42">
            <v>0</v>
          </cell>
          <cell r="L42">
            <v>0</v>
          </cell>
          <cell r="M42">
            <v>0</v>
          </cell>
          <cell r="N42">
            <v>0</v>
          </cell>
          <cell r="O42">
            <v>0</v>
          </cell>
          <cell r="P42">
            <v>5408290</v>
          </cell>
          <cell r="Q42">
            <v>5408290</v>
          </cell>
          <cell r="R42">
            <v>0</v>
          </cell>
          <cell r="S42">
            <v>0</v>
          </cell>
          <cell r="T42">
            <v>7984500</v>
          </cell>
        </row>
        <row r="43">
          <cell r="C43">
            <v>8314639</v>
          </cell>
          <cell r="D43">
            <v>2019</v>
          </cell>
          <cell r="E43">
            <v>0</v>
          </cell>
          <cell r="F43">
            <v>0</v>
          </cell>
          <cell r="G43">
            <v>0</v>
          </cell>
          <cell r="H43">
            <v>2298510</v>
          </cell>
          <cell r="I43">
            <v>0</v>
          </cell>
          <cell r="J43">
            <v>738641.73</v>
          </cell>
          <cell r="K43">
            <v>0</v>
          </cell>
          <cell r="L43">
            <v>0</v>
          </cell>
          <cell r="M43">
            <v>0</v>
          </cell>
          <cell r="N43">
            <v>0</v>
          </cell>
          <cell r="O43">
            <v>0</v>
          </cell>
          <cell r="P43">
            <v>69500</v>
          </cell>
          <cell r="Q43">
            <v>69500</v>
          </cell>
          <cell r="R43">
            <v>0</v>
          </cell>
          <cell r="S43">
            <v>0</v>
          </cell>
          <cell r="T43">
            <v>3106651.73</v>
          </cell>
        </row>
        <row r="44">
          <cell r="C44">
            <v>2089762</v>
          </cell>
          <cell r="D44">
            <v>2019</v>
          </cell>
          <cell r="E44">
            <v>0</v>
          </cell>
          <cell r="F44">
            <v>0</v>
          </cell>
          <cell r="G44">
            <v>0</v>
          </cell>
          <cell r="H44">
            <v>20631537</v>
          </cell>
          <cell r="I44">
            <v>0</v>
          </cell>
          <cell r="J44">
            <v>9063000</v>
          </cell>
          <cell r="K44">
            <v>0</v>
          </cell>
          <cell r="L44">
            <v>0</v>
          </cell>
          <cell r="M44">
            <v>0</v>
          </cell>
          <cell r="N44">
            <v>0</v>
          </cell>
          <cell r="O44">
            <v>16000</v>
          </cell>
          <cell r="P44">
            <v>0</v>
          </cell>
          <cell r="Q44">
            <v>16000</v>
          </cell>
          <cell r="R44">
            <v>0</v>
          </cell>
          <cell r="S44">
            <v>0</v>
          </cell>
          <cell r="T44">
            <v>29710537</v>
          </cell>
        </row>
        <row r="45">
          <cell r="C45">
            <v>7857005</v>
          </cell>
          <cell r="D45">
            <v>2019</v>
          </cell>
          <cell r="E45">
            <v>241000</v>
          </cell>
          <cell r="F45">
            <v>106000</v>
          </cell>
          <cell r="G45">
            <v>0</v>
          </cell>
          <cell r="H45">
            <v>2546700</v>
          </cell>
          <cell r="I45">
            <v>0</v>
          </cell>
          <cell r="J45">
            <v>0</v>
          </cell>
          <cell r="K45">
            <v>0</v>
          </cell>
          <cell r="L45">
            <v>0</v>
          </cell>
          <cell r="M45">
            <v>0</v>
          </cell>
          <cell r="N45">
            <v>0</v>
          </cell>
          <cell r="O45">
            <v>0</v>
          </cell>
          <cell r="P45">
            <v>117300</v>
          </cell>
          <cell r="Q45">
            <v>117300</v>
          </cell>
          <cell r="R45">
            <v>0</v>
          </cell>
          <cell r="S45">
            <v>0</v>
          </cell>
          <cell r="T45">
            <v>3011000</v>
          </cell>
        </row>
        <row r="46">
          <cell r="C46">
            <v>9940787</v>
          </cell>
          <cell r="D46">
            <v>2019</v>
          </cell>
          <cell r="E46">
            <v>0</v>
          </cell>
          <cell r="F46">
            <v>0</v>
          </cell>
          <cell r="G46">
            <v>0</v>
          </cell>
          <cell r="H46">
            <v>3590557</v>
          </cell>
          <cell r="I46">
            <v>0</v>
          </cell>
          <cell r="J46">
            <v>0</v>
          </cell>
          <cell r="K46">
            <v>0</v>
          </cell>
          <cell r="L46">
            <v>0</v>
          </cell>
          <cell r="M46">
            <v>0</v>
          </cell>
          <cell r="N46">
            <v>0</v>
          </cell>
          <cell r="O46">
            <v>56000</v>
          </cell>
          <cell r="P46">
            <v>1505000</v>
          </cell>
          <cell r="Q46">
            <v>1561000</v>
          </cell>
          <cell r="R46">
            <v>0</v>
          </cell>
          <cell r="S46">
            <v>0</v>
          </cell>
          <cell r="T46">
            <v>5151557</v>
          </cell>
        </row>
        <row r="47">
          <cell r="C47">
            <v>2540162</v>
          </cell>
          <cell r="D47">
            <v>2019</v>
          </cell>
          <cell r="E47">
            <v>0</v>
          </cell>
          <cell r="F47">
            <v>0</v>
          </cell>
          <cell r="G47">
            <v>0</v>
          </cell>
          <cell r="H47">
            <v>2582621</v>
          </cell>
          <cell r="I47">
            <v>0</v>
          </cell>
          <cell r="J47">
            <v>0</v>
          </cell>
          <cell r="K47">
            <v>0</v>
          </cell>
          <cell r="L47">
            <v>0</v>
          </cell>
          <cell r="M47">
            <v>0</v>
          </cell>
          <cell r="N47">
            <v>0</v>
          </cell>
          <cell r="O47">
            <v>20000</v>
          </cell>
          <cell r="P47">
            <v>120000</v>
          </cell>
          <cell r="Q47">
            <v>140000</v>
          </cell>
          <cell r="R47">
            <v>0</v>
          </cell>
          <cell r="S47">
            <v>0</v>
          </cell>
          <cell r="T47">
            <v>2722621</v>
          </cell>
        </row>
        <row r="48">
          <cell r="C48">
            <v>6565086</v>
          </cell>
          <cell r="D48">
            <v>2019</v>
          </cell>
          <cell r="E48">
            <v>136223</v>
          </cell>
          <cell r="F48">
            <v>80000</v>
          </cell>
          <cell r="G48">
            <v>0</v>
          </cell>
          <cell r="H48">
            <v>3938706</v>
          </cell>
          <cell r="I48">
            <v>0</v>
          </cell>
          <cell r="J48">
            <v>0</v>
          </cell>
          <cell r="K48">
            <v>0</v>
          </cell>
          <cell r="L48">
            <v>0</v>
          </cell>
          <cell r="M48">
            <v>0</v>
          </cell>
          <cell r="N48">
            <v>0</v>
          </cell>
          <cell r="O48">
            <v>3000</v>
          </cell>
          <cell r="P48">
            <v>268000</v>
          </cell>
          <cell r="Q48">
            <v>271000</v>
          </cell>
          <cell r="R48">
            <v>0</v>
          </cell>
          <cell r="S48">
            <v>0</v>
          </cell>
          <cell r="T48">
            <v>4425929</v>
          </cell>
        </row>
        <row r="49">
          <cell r="C49">
            <v>8051895</v>
          </cell>
          <cell r="D49">
            <v>2019</v>
          </cell>
          <cell r="E49">
            <v>81291</v>
          </cell>
          <cell r="F49">
            <v>0</v>
          </cell>
          <cell r="G49">
            <v>0</v>
          </cell>
          <cell r="H49">
            <v>2825000</v>
          </cell>
          <cell r="I49">
            <v>0</v>
          </cell>
          <cell r="J49">
            <v>0</v>
          </cell>
          <cell r="K49">
            <v>0</v>
          </cell>
          <cell r="L49">
            <v>0</v>
          </cell>
          <cell r="M49">
            <v>0</v>
          </cell>
          <cell r="N49">
            <v>0</v>
          </cell>
          <cell r="O49">
            <v>0</v>
          </cell>
          <cell r="P49">
            <v>50000</v>
          </cell>
          <cell r="Q49">
            <v>50000</v>
          </cell>
          <cell r="R49">
            <v>0</v>
          </cell>
          <cell r="S49">
            <v>0</v>
          </cell>
          <cell r="T49">
            <v>2956291</v>
          </cell>
        </row>
        <row r="50">
          <cell r="C50">
            <v>1968420</v>
          </cell>
          <cell r="D50">
            <v>2019</v>
          </cell>
          <cell r="E50">
            <v>0</v>
          </cell>
          <cell r="F50">
            <v>0</v>
          </cell>
          <cell r="G50">
            <v>0</v>
          </cell>
          <cell r="H50">
            <v>4176623</v>
          </cell>
          <cell r="I50">
            <v>0</v>
          </cell>
          <cell r="J50">
            <v>0</v>
          </cell>
          <cell r="K50">
            <v>0</v>
          </cell>
          <cell r="L50">
            <v>29899</v>
          </cell>
          <cell r="M50">
            <v>0</v>
          </cell>
          <cell r="N50">
            <v>0</v>
          </cell>
          <cell r="O50">
            <v>0</v>
          </cell>
          <cell r="P50">
            <v>581000</v>
          </cell>
          <cell r="Q50">
            <v>581000</v>
          </cell>
          <cell r="R50">
            <v>0</v>
          </cell>
          <cell r="S50">
            <v>0</v>
          </cell>
          <cell r="T50">
            <v>4787522</v>
          </cell>
        </row>
        <row r="51">
          <cell r="C51">
            <v>5991938</v>
          </cell>
          <cell r="D51">
            <v>2019</v>
          </cell>
          <cell r="E51">
            <v>0</v>
          </cell>
          <cell r="F51">
            <v>0</v>
          </cell>
          <cell r="G51">
            <v>0</v>
          </cell>
          <cell r="H51">
            <v>1734348</v>
          </cell>
          <cell r="I51">
            <v>0</v>
          </cell>
          <cell r="J51">
            <v>0</v>
          </cell>
          <cell r="K51">
            <v>0</v>
          </cell>
          <cell r="L51">
            <v>0</v>
          </cell>
          <cell r="M51">
            <v>0</v>
          </cell>
          <cell r="N51">
            <v>0</v>
          </cell>
          <cell r="O51">
            <v>0</v>
          </cell>
          <cell r="P51">
            <v>367000</v>
          </cell>
          <cell r="Q51">
            <v>367000</v>
          </cell>
          <cell r="R51">
            <v>0</v>
          </cell>
          <cell r="S51">
            <v>0</v>
          </cell>
          <cell r="T51">
            <v>2101348</v>
          </cell>
        </row>
        <row r="52">
          <cell r="C52">
            <v>9735411</v>
          </cell>
          <cell r="D52">
            <v>2019</v>
          </cell>
          <cell r="E52">
            <v>68620</v>
          </cell>
          <cell r="F52">
            <v>0</v>
          </cell>
          <cell r="G52">
            <v>0</v>
          </cell>
          <cell r="H52">
            <v>9165000</v>
          </cell>
          <cell r="I52">
            <v>0</v>
          </cell>
          <cell r="J52">
            <v>0</v>
          </cell>
          <cell r="K52">
            <v>0</v>
          </cell>
          <cell r="L52">
            <v>0</v>
          </cell>
          <cell r="M52">
            <v>0</v>
          </cell>
          <cell r="N52">
            <v>0</v>
          </cell>
          <cell r="O52">
            <v>0</v>
          </cell>
          <cell r="P52">
            <v>4314000</v>
          </cell>
          <cell r="Q52">
            <v>4314000</v>
          </cell>
          <cell r="R52">
            <v>0</v>
          </cell>
          <cell r="S52">
            <v>0</v>
          </cell>
          <cell r="T52">
            <v>13547620</v>
          </cell>
        </row>
        <row r="53">
          <cell r="C53">
            <v>7399132</v>
          </cell>
          <cell r="D53">
            <v>2019</v>
          </cell>
          <cell r="E53">
            <v>430200</v>
          </cell>
          <cell r="F53">
            <v>200000</v>
          </cell>
          <cell r="G53">
            <v>0</v>
          </cell>
          <cell r="H53">
            <v>971100</v>
          </cell>
          <cell r="I53">
            <v>0</v>
          </cell>
          <cell r="J53">
            <v>0</v>
          </cell>
          <cell r="K53">
            <v>0</v>
          </cell>
          <cell r="L53">
            <v>0</v>
          </cell>
          <cell r="M53">
            <v>0</v>
          </cell>
          <cell r="N53">
            <v>0</v>
          </cell>
          <cell r="O53">
            <v>0</v>
          </cell>
          <cell r="P53">
            <v>0</v>
          </cell>
          <cell r="Q53">
            <v>0</v>
          </cell>
          <cell r="R53">
            <v>0</v>
          </cell>
          <cell r="S53">
            <v>0</v>
          </cell>
          <cell r="T53">
            <v>1601300</v>
          </cell>
        </row>
        <row r="54">
          <cell r="C54">
            <v>8635813</v>
          </cell>
          <cell r="D54">
            <v>2019</v>
          </cell>
          <cell r="E54">
            <v>0</v>
          </cell>
          <cell r="F54">
            <v>0</v>
          </cell>
          <cell r="G54">
            <v>0</v>
          </cell>
          <cell r="H54">
            <v>5568487</v>
          </cell>
          <cell r="I54">
            <v>0</v>
          </cell>
          <cell r="J54">
            <v>0</v>
          </cell>
          <cell r="K54">
            <v>0</v>
          </cell>
          <cell r="L54">
            <v>0</v>
          </cell>
          <cell r="M54">
            <v>0</v>
          </cell>
          <cell r="N54">
            <v>0</v>
          </cell>
          <cell r="O54">
            <v>0</v>
          </cell>
          <cell r="P54">
            <v>1800000</v>
          </cell>
          <cell r="Q54">
            <v>1800000</v>
          </cell>
          <cell r="R54">
            <v>0</v>
          </cell>
          <cell r="S54">
            <v>0</v>
          </cell>
          <cell r="T54">
            <v>7368487</v>
          </cell>
        </row>
        <row r="55">
          <cell r="C55">
            <v>4721932</v>
          </cell>
          <cell r="D55">
            <v>2019</v>
          </cell>
          <cell r="E55">
            <v>0</v>
          </cell>
          <cell r="F55">
            <v>0</v>
          </cell>
          <cell r="G55">
            <v>0</v>
          </cell>
          <cell r="H55">
            <v>18789218</v>
          </cell>
          <cell r="I55">
            <v>0</v>
          </cell>
          <cell r="J55">
            <v>8998000</v>
          </cell>
          <cell r="K55">
            <v>0</v>
          </cell>
          <cell r="L55">
            <v>0</v>
          </cell>
          <cell r="M55">
            <v>0</v>
          </cell>
          <cell r="N55">
            <v>989703</v>
          </cell>
          <cell r="O55">
            <v>0</v>
          </cell>
          <cell r="P55">
            <v>0</v>
          </cell>
          <cell r="Q55">
            <v>0</v>
          </cell>
          <cell r="R55">
            <v>0</v>
          </cell>
          <cell r="S55">
            <v>0</v>
          </cell>
          <cell r="T55">
            <v>28776921</v>
          </cell>
        </row>
        <row r="56">
          <cell r="C56">
            <v>3198258</v>
          </cell>
          <cell r="D56">
            <v>2019</v>
          </cell>
          <cell r="E56">
            <v>91188</v>
          </cell>
          <cell r="F56">
            <v>171000</v>
          </cell>
          <cell r="G56">
            <v>0</v>
          </cell>
          <cell r="H56">
            <v>3633000</v>
          </cell>
          <cell r="I56">
            <v>0</v>
          </cell>
          <cell r="J56">
            <v>0</v>
          </cell>
          <cell r="K56">
            <v>0</v>
          </cell>
          <cell r="L56">
            <v>0</v>
          </cell>
          <cell r="M56">
            <v>0</v>
          </cell>
          <cell r="N56">
            <v>0</v>
          </cell>
          <cell r="O56">
            <v>0</v>
          </cell>
          <cell r="P56">
            <v>130000</v>
          </cell>
          <cell r="Q56">
            <v>130000</v>
          </cell>
          <cell r="R56">
            <v>0</v>
          </cell>
          <cell r="S56">
            <v>0</v>
          </cell>
          <cell r="T56">
            <v>4025188</v>
          </cell>
        </row>
        <row r="57">
          <cell r="C57">
            <v>3810187</v>
          </cell>
          <cell r="D57">
            <v>2019</v>
          </cell>
          <cell r="E57">
            <v>445123</v>
          </cell>
          <cell r="F57">
            <v>0</v>
          </cell>
          <cell r="G57">
            <v>0</v>
          </cell>
          <cell r="H57">
            <v>1069500</v>
          </cell>
          <cell r="I57">
            <v>0</v>
          </cell>
          <cell r="J57">
            <v>0</v>
          </cell>
          <cell r="K57">
            <v>0</v>
          </cell>
          <cell r="L57">
            <v>0</v>
          </cell>
          <cell r="M57">
            <v>0</v>
          </cell>
          <cell r="N57">
            <v>0</v>
          </cell>
          <cell r="O57">
            <v>0</v>
          </cell>
          <cell r="P57">
            <v>2590000</v>
          </cell>
          <cell r="Q57">
            <v>2590000</v>
          </cell>
          <cell r="R57">
            <v>0</v>
          </cell>
          <cell r="S57">
            <v>0</v>
          </cell>
          <cell r="T57">
            <v>4104623</v>
          </cell>
        </row>
        <row r="58">
          <cell r="C58">
            <v>7218817</v>
          </cell>
          <cell r="D58">
            <v>2019</v>
          </cell>
          <cell r="E58">
            <v>0</v>
          </cell>
          <cell r="F58">
            <v>0</v>
          </cell>
          <cell r="G58">
            <v>0</v>
          </cell>
          <cell r="H58">
            <v>1190738</v>
          </cell>
          <cell r="I58">
            <v>0</v>
          </cell>
          <cell r="J58">
            <v>0</v>
          </cell>
          <cell r="K58">
            <v>653384</v>
          </cell>
          <cell r="L58">
            <v>0</v>
          </cell>
          <cell r="M58">
            <v>0</v>
          </cell>
          <cell r="N58">
            <v>0</v>
          </cell>
          <cell r="O58">
            <v>0</v>
          </cell>
          <cell r="P58">
            <v>40000</v>
          </cell>
          <cell r="Q58">
            <v>40000</v>
          </cell>
          <cell r="R58">
            <v>0</v>
          </cell>
          <cell r="S58">
            <v>13000</v>
          </cell>
          <cell r="T58">
            <v>1897122</v>
          </cell>
        </row>
        <row r="59">
          <cell r="C59">
            <v>9223303</v>
          </cell>
          <cell r="D59">
            <v>2019</v>
          </cell>
          <cell r="E59">
            <v>0</v>
          </cell>
          <cell r="F59">
            <v>0</v>
          </cell>
          <cell r="G59">
            <v>0</v>
          </cell>
          <cell r="H59">
            <v>236418</v>
          </cell>
          <cell r="I59">
            <v>0</v>
          </cell>
          <cell r="J59">
            <v>0</v>
          </cell>
          <cell r="K59">
            <v>0</v>
          </cell>
          <cell r="L59">
            <v>0</v>
          </cell>
          <cell r="M59">
            <v>0</v>
          </cell>
          <cell r="N59">
            <v>0</v>
          </cell>
          <cell r="O59">
            <v>0</v>
          </cell>
          <cell r="P59">
            <v>15000</v>
          </cell>
          <cell r="Q59">
            <v>15000</v>
          </cell>
          <cell r="R59">
            <v>0</v>
          </cell>
          <cell r="S59">
            <v>0</v>
          </cell>
          <cell r="T59">
            <v>251418</v>
          </cell>
        </row>
        <row r="60">
          <cell r="C60">
            <v>3135426</v>
          </cell>
          <cell r="D60">
            <v>2019</v>
          </cell>
          <cell r="E60">
            <v>296405</v>
          </cell>
          <cell r="F60">
            <v>0</v>
          </cell>
          <cell r="G60">
            <v>0</v>
          </cell>
          <cell r="H60">
            <v>7900000</v>
          </cell>
          <cell r="I60">
            <v>0</v>
          </cell>
          <cell r="J60">
            <v>0</v>
          </cell>
          <cell r="K60">
            <v>0</v>
          </cell>
          <cell r="L60">
            <v>0</v>
          </cell>
          <cell r="M60">
            <v>0</v>
          </cell>
          <cell r="N60">
            <v>0</v>
          </cell>
          <cell r="O60">
            <v>0</v>
          </cell>
          <cell r="P60">
            <v>180000</v>
          </cell>
          <cell r="Q60">
            <v>180000</v>
          </cell>
          <cell r="R60">
            <v>0</v>
          </cell>
          <cell r="S60">
            <v>0</v>
          </cell>
          <cell r="T60">
            <v>8376405</v>
          </cell>
        </row>
        <row r="61">
          <cell r="C61">
            <v>4382191</v>
          </cell>
          <cell r="D61">
            <v>2019</v>
          </cell>
          <cell r="E61">
            <v>0</v>
          </cell>
          <cell r="F61">
            <v>0</v>
          </cell>
          <cell r="G61">
            <v>0</v>
          </cell>
          <cell r="H61">
            <v>225535</v>
          </cell>
          <cell r="I61">
            <v>0</v>
          </cell>
          <cell r="J61">
            <v>0</v>
          </cell>
          <cell r="K61">
            <v>0</v>
          </cell>
          <cell r="L61">
            <v>0</v>
          </cell>
          <cell r="M61">
            <v>0</v>
          </cell>
          <cell r="N61">
            <v>0</v>
          </cell>
          <cell r="O61">
            <v>0</v>
          </cell>
          <cell r="P61">
            <v>100000</v>
          </cell>
          <cell r="Q61">
            <v>100000</v>
          </cell>
          <cell r="R61">
            <v>0</v>
          </cell>
          <cell r="S61">
            <v>0</v>
          </cell>
          <cell r="T61">
            <v>325535</v>
          </cell>
        </row>
        <row r="62">
          <cell r="C62">
            <v>2801353</v>
          </cell>
          <cell r="D62">
            <v>2019</v>
          </cell>
          <cell r="E62">
            <v>0</v>
          </cell>
          <cell r="F62">
            <v>0</v>
          </cell>
          <cell r="G62">
            <v>0</v>
          </cell>
          <cell r="H62">
            <v>11981892</v>
          </cell>
          <cell r="I62">
            <v>0</v>
          </cell>
          <cell r="J62">
            <v>3877000</v>
          </cell>
          <cell r="K62">
            <v>0</v>
          </cell>
          <cell r="L62">
            <v>0</v>
          </cell>
          <cell r="M62">
            <v>0</v>
          </cell>
          <cell r="N62">
            <v>0</v>
          </cell>
          <cell r="O62">
            <v>0</v>
          </cell>
          <cell r="P62">
            <v>0</v>
          </cell>
          <cell r="Q62">
            <v>0</v>
          </cell>
          <cell r="R62">
            <v>0</v>
          </cell>
          <cell r="S62">
            <v>0</v>
          </cell>
          <cell r="T62">
            <v>15858892</v>
          </cell>
        </row>
        <row r="63">
          <cell r="C63">
            <v>9000004</v>
          </cell>
          <cell r="D63">
            <v>2019</v>
          </cell>
          <cell r="E63">
            <v>2024343</v>
          </cell>
          <cell r="F63">
            <v>0</v>
          </cell>
          <cell r="G63">
            <v>0</v>
          </cell>
          <cell r="H63">
            <v>0</v>
          </cell>
          <cell r="I63">
            <v>0</v>
          </cell>
          <cell r="J63">
            <v>0</v>
          </cell>
          <cell r="K63">
            <v>0</v>
          </cell>
          <cell r="L63">
            <v>0</v>
          </cell>
          <cell r="M63">
            <v>0</v>
          </cell>
          <cell r="N63">
            <v>0</v>
          </cell>
          <cell r="O63">
            <v>75000</v>
          </cell>
          <cell r="P63">
            <v>3000</v>
          </cell>
          <cell r="Q63">
            <v>78000</v>
          </cell>
          <cell r="R63">
            <v>0</v>
          </cell>
          <cell r="S63">
            <v>13000</v>
          </cell>
          <cell r="T63">
            <v>2115343</v>
          </cell>
        </row>
        <row r="64">
          <cell r="C64">
            <v>3588592</v>
          </cell>
          <cell r="D64">
            <v>2019</v>
          </cell>
          <cell r="E64">
            <v>0</v>
          </cell>
          <cell r="F64">
            <v>0</v>
          </cell>
          <cell r="G64">
            <v>0</v>
          </cell>
          <cell r="H64">
            <v>0</v>
          </cell>
          <cell r="I64">
            <v>0</v>
          </cell>
          <cell r="J64">
            <v>0</v>
          </cell>
          <cell r="K64">
            <v>645510</v>
          </cell>
          <cell r="L64">
            <v>0</v>
          </cell>
          <cell r="M64">
            <v>0</v>
          </cell>
          <cell r="N64">
            <v>0</v>
          </cell>
          <cell r="O64">
            <v>0</v>
          </cell>
          <cell r="P64">
            <v>2500</v>
          </cell>
          <cell r="Q64">
            <v>2500</v>
          </cell>
          <cell r="R64">
            <v>0</v>
          </cell>
          <cell r="S64">
            <v>0</v>
          </cell>
          <cell r="T64">
            <v>648010</v>
          </cell>
        </row>
        <row r="65">
          <cell r="C65">
            <v>1441233</v>
          </cell>
          <cell r="D65">
            <v>2019</v>
          </cell>
          <cell r="E65">
            <v>54020</v>
          </cell>
          <cell r="F65">
            <v>172190</v>
          </cell>
          <cell r="G65">
            <v>0</v>
          </cell>
          <cell r="H65">
            <v>2743810</v>
          </cell>
          <cell r="I65">
            <v>0</v>
          </cell>
          <cell r="J65">
            <v>0</v>
          </cell>
          <cell r="K65">
            <v>0</v>
          </cell>
          <cell r="L65">
            <v>0</v>
          </cell>
          <cell r="M65">
            <v>0</v>
          </cell>
          <cell r="N65">
            <v>0</v>
          </cell>
          <cell r="O65">
            <v>45000</v>
          </cell>
          <cell r="P65">
            <v>213000</v>
          </cell>
          <cell r="Q65">
            <v>258000</v>
          </cell>
          <cell r="R65">
            <v>0</v>
          </cell>
          <cell r="S65">
            <v>0</v>
          </cell>
          <cell r="T65">
            <v>3228020</v>
          </cell>
        </row>
        <row r="66">
          <cell r="C66">
            <v>1552469</v>
          </cell>
          <cell r="D66">
            <v>2019</v>
          </cell>
          <cell r="E66">
            <v>20094</v>
          </cell>
          <cell r="F66">
            <v>0</v>
          </cell>
          <cell r="G66">
            <v>0</v>
          </cell>
          <cell r="H66">
            <v>626030</v>
          </cell>
          <cell r="I66">
            <v>0</v>
          </cell>
          <cell r="J66">
            <v>0</v>
          </cell>
          <cell r="K66">
            <v>447816</v>
          </cell>
          <cell r="L66">
            <v>0</v>
          </cell>
          <cell r="M66">
            <v>0</v>
          </cell>
          <cell r="N66">
            <v>0</v>
          </cell>
          <cell r="O66">
            <v>0</v>
          </cell>
          <cell r="P66">
            <v>31800</v>
          </cell>
          <cell r="Q66">
            <v>31800</v>
          </cell>
          <cell r="R66">
            <v>0</v>
          </cell>
          <cell r="S66">
            <v>54259.41</v>
          </cell>
          <cell r="T66">
            <v>1179999.4099999999</v>
          </cell>
        </row>
        <row r="67">
          <cell r="C67">
            <v>1378201</v>
          </cell>
          <cell r="D67">
            <v>2019</v>
          </cell>
          <cell r="E67">
            <v>376078</v>
          </cell>
          <cell r="F67">
            <v>0</v>
          </cell>
          <cell r="G67">
            <v>0</v>
          </cell>
          <cell r="H67">
            <v>541897</v>
          </cell>
          <cell r="I67">
            <v>0</v>
          </cell>
          <cell r="J67">
            <v>0</v>
          </cell>
          <cell r="K67">
            <v>780117.06</v>
          </cell>
          <cell r="L67">
            <v>0</v>
          </cell>
          <cell r="M67">
            <v>0</v>
          </cell>
          <cell r="N67">
            <v>0</v>
          </cell>
          <cell r="O67">
            <v>15000</v>
          </cell>
          <cell r="P67">
            <v>90200</v>
          </cell>
          <cell r="Q67">
            <v>105200</v>
          </cell>
          <cell r="R67">
            <v>0</v>
          </cell>
          <cell r="S67">
            <v>3370.46</v>
          </cell>
          <cell r="T67">
            <v>1806662.52</v>
          </cell>
        </row>
        <row r="68">
          <cell r="C68">
            <v>8902089</v>
          </cell>
          <cell r="D68">
            <v>2019</v>
          </cell>
          <cell r="E68">
            <v>0</v>
          </cell>
          <cell r="F68">
            <v>178955</v>
          </cell>
          <cell r="G68">
            <v>0</v>
          </cell>
          <cell r="H68">
            <v>2080820</v>
          </cell>
          <cell r="I68">
            <v>0</v>
          </cell>
          <cell r="J68">
            <v>0</v>
          </cell>
          <cell r="K68">
            <v>0</v>
          </cell>
          <cell r="L68">
            <v>0</v>
          </cell>
          <cell r="M68">
            <v>0</v>
          </cell>
          <cell r="N68">
            <v>0</v>
          </cell>
          <cell r="O68">
            <v>0</v>
          </cell>
          <cell r="P68">
            <v>0</v>
          </cell>
          <cell r="Q68">
            <v>0</v>
          </cell>
          <cell r="R68">
            <v>0</v>
          </cell>
          <cell r="S68">
            <v>0</v>
          </cell>
          <cell r="T68">
            <v>2259775</v>
          </cell>
        </row>
        <row r="69">
          <cell r="C69">
            <v>8098643</v>
          </cell>
          <cell r="D69">
            <v>2019</v>
          </cell>
          <cell r="E69">
            <v>0</v>
          </cell>
          <cell r="F69">
            <v>0</v>
          </cell>
          <cell r="G69">
            <v>0</v>
          </cell>
          <cell r="H69">
            <v>1716214</v>
          </cell>
          <cell r="I69">
            <v>0</v>
          </cell>
          <cell r="J69">
            <v>0</v>
          </cell>
          <cell r="K69">
            <v>0</v>
          </cell>
          <cell r="L69">
            <v>0</v>
          </cell>
          <cell r="M69">
            <v>0</v>
          </cell>
          <cell r="N69">
            <v>0</v>
          </cell>
          <cell r="O69">
            <v>0</v>
          </cell>
          <cell r="P69">
            <v>0</v>
          </cell>
          <cell r="Q69">
            <v>0</v>
          </cell>
          <cell r="R69">
            <v>0</v>
          </cell>
          <cell r="S69">
            <v>0</v>
          </cell>
          <cell r="T69">
            <v>1716214</v>
          </cell>
        </row>
        <row r="70">
          <cell r="C70">
            <v>5903063</v>
          </cell>
          <cell r="D70">
            <v>2019</v>
          </cell>
          <cell r="E70">
            <v>0</v>
          </cell>
          <cell r="F70">
            <v>0</v>
          </cell>
          <cell r="G70">
            <v>0</v>
          </cell>
          <cell r="H70">
            <v>647336</v>
          </cell>
          <cell r="I70">
            <v>0</v>
          </cell>
          <cell r="J70">
            <v>0</v>
          </cell>
          <cell r="K70">
            <v>0</v>
          </cell>
          <cell r="L70">
            <v>26000</v>
          </cell>
          <cell r="M70">
            <v>0</v>
          </cell>
          <cell r="N70">
            <v>0</v>
          </cell>
          <cell r="O70">
            <v>0</v>
          </cell>
          <cell r="P70">
            <v>130000</v>
          </cell>
          <cell r="Q70">
            <v>130000</v>
          </cell>
          <cell r="R70">
            <v>0</v>
          </cell>
          <cell r="S70">
            <v>0</v>
          </cell>
          <cell r="T70">
            <v>803336</v>
          </cell>
        </row>
        <row r="71">
          <cell r="C71">
            <v>4699567</v>
          </cell>
          <cell r="D71">
            <v>2019</v>
          </cell>
          <cell r="E71">
            <v>0</v>
          </cell>
          <cell r="F71">
            <v>0</v>
          </cell>
          <cell r="G71">
            <v>0</v>
          </cell>
          <cell r="H71">
            <v>2319450</v>
          </cell>
          <cell r="I71">
            <v>0</v>
          </cell>
          <cell r="J71">
            <v>0</v>
          </cell>
          <cell r="K71">
            <v>1334896</v>
          </cell>
          <cell r="L71">
            <v>71641</v>
          </cell>
          <cell r="M71">
            <v>0</v>
          </cell>
          <cell r="N71">
            <v>0</v>
          </cell>
          <cell r="O71">
            <v>0</v>
          </cell>
          <cell r="P71">
            <v>890000</v>
          </cell>
          <cell r="Q71">
            <v>890000</v>
          </cell>
          <cell r="R71">
            <v>0</v>
          </cell>
          <cell r="S71">
            <v>0</v>
          </cell>
          <cell r="T71">
            <v>4615987</v>
          </cell>
        </row>
        <row r="72">
          <cell r="C72">
            <v>7832444</v>
          </cell>
          <cell r="D72">
            <v>2019</v>
          </cell>
          <cell r="E72">
            <v>0</v>
          </cell>
          <cell r="F72">
            <v>0</v>
          </cell>
          <cell r="G72">
            <v>0</v>
          </cell>
          <cell r="H72">
            <v>2357340</v>
          </cell>
          <cell r="I72">
            <v>0</v>
          </cell>
          <cell r="J72">
            <v>0</v>
          </cell>
          <cell r="K72">
            <v>1102190</v>
          </cell>
          <cell r="L72">
            <v>31241</v>
          </cell>
          <cell r="M72">
            <v>0</v>
          </cell>
          <cell r="N72">
            <v>0</v>
          </cell>
          <cell r="O72">
            <v>0</v>
          </cell>
          <cell r="P72">
            <v>710000</v>
          </cell>
          <cell r="Q72">
            <v>710000</v>
          </cell>
          <cell r="R72">
            <v>0</v>
          </cell>
          <cell r="S72">
            <v>0</v>
          </cell>
          <cell r="T72">
            <v>4200771</v>
          </cell>
        </row>
        <row r="73">
          <cell r="C73">
            <v>1622964</v>
          </cell>
          <cell r="D73">
            <v>2019</v>
          </cell>
          <cell r="E73">
            <v>0</v>
          </cell>
          <cell r="F73">
            <v>0</v>
          </cell>
          <cell r="G73">
            <v>0</v>
          </cell>
          <cell r="H73">
            <v>3345254</v>
          </cell>
          <cell r="I73">
            <v>0</v>
          </cell>
          <cell r="J73">
            <v>0</v>
          </cell>
          <cell r="K73">
            <v>0</v>
          </cell>
          <cell r="L73">
            <v>0</v>
          </cell>
          <cell r="M73">
            <v>0</v>
          </cell>
          <cell r="N73">
            <v>0</v>
          </cell>
          <cell r="O73">
            <v>0</v>
          </cell>
          <cell r="P73">
            <v>120796</v>
          </cell>
          <cell r="Q73">
            <v>120796</v>
          </cell>
          <cell r="R73">
            <v>108000</v>
          </cell>
          <cell r="S73">
            <v>0</v>
          </cell>
          <cell r="T73">
            <v>3574050</v>
          </cell>
        </row>
        <row r="74">
          <cell r="C74">
            <v>4497017</v>
          </cell>
          <cell r="D74">
            <v>2019</v>
          </cell>
          <cell r="E74">
            <v>0</v>
          </cell>
          <cell r="F74">
            <v>210000</v>
          </cell>
          <cell r="G74">
            <v>0</v>
          </cell>
          <cell r="H74">
            <v>2488808</v>
          </cell>
          <cell r="I74">
            <v>0</v>
          </cell>
          <cell r="J74">
            <v>0</v>
          </cell>
          <cell r="K74">
            <v>0</v>
          </cell>
          <cell r="L74">
            <v>0</v>
          </cell>
          <cell r="M74">
            <v>0</v>
          </cell>
          <cell r="N74">
            <v>0</v>
          </cell>
          <cell r="O74">
            <v>0</v>
          </cell>
          <cell r="P74">
            <v>460000</v>
          </cell>
          <cell r="Q74">
            <v>460000</v>
          </cell>
          <cell r="R74">
            <v>0</v>
          </cell>
          <cell r="S74">
            <v>0</v>
          </cell>
          <cell r="T74">
            <v>3158808</v>
          </cell>
        </row>
        <row r="75">
          <cell r="C75">
            <v>5700178</v>
          </cell>
          <cell r="D75">
            <v>2019</v>
          </cell>
          <cell r="E75">
            <v>0</v>
          </cell>
          <cell r="F75">
            <v>28601.59</v>
          </cell>
          <cell r="G75">
            <v>0</v>
          </cell>
          <cell r="H75">
            <v>640486</v>
          </cell>
          <cell r="I75">
            <v>0</v>
          </cell>
          <cell r="J75">
            <v>0</v>
          </cell>
          <cell r="K75">
            <v>0</v>
          </cell>
          <cell r="L75">
            <v>0</v>
          </cell>
          <cell r="M75">
            <v>0</v>
          </cell>
          <cell r="N75">
            <v>0</v>
          </cell>
          <cell r="O75">
            <v>0</v>
          </cell>
          <cell r="P75">
            <v>100000</v>
          </cell>
          <cell r="Q75">
            <v>100000</v>
          </cell>
          <cell r="R75">
            <v>0</v>
          </cell>
          <cell r="S75">
            <v>0</v>
          </cell>
          <cell r="T75">
            <v>769087.59</v>
          </cell>
        </row>
        <row r="76">
          <cell r="C76">
            <v>3994122</v>
          </cell>
          <cell r="D76">
            <v>2019</v>
          </cell>
          <cell r="E76">
            <v>0</v>
          </cell>
          <cell r="F76">
            <v>0</v>
          </cell>
          <cell r="G76">
            <v>0</v>
          </cell>
          <cell r="H76">
            <v>774410</v>
          </cell>
          <cell r="I76">
            <v>0</v>
          </cell>
          <cell r="J76">
            <v>0</v>
          </cell>
          <cell r="K76">
            <v>643331</v>
          </cell>
          <cell r="L76">
            <v>0</v>
          </cell>
          <cell r="M76">
            <v>0</v>
          </cell>
          <cell r="N76">
            <v>0</v>
          </cell>
          <cell r="O76">
            <v>0</v>
          </cell>
          <cell r="P76">
            <v>867259</v>
          </cell>
          <cell r="Q76">
            <v>867259</v>
          </cell>
          <cell r="R76">
            <v>0</v>
          </cell>
          <cell r="S76">
            <v>0</v>
          </cell>
          <cell r="T76">
            <v>2285000</v>
          </cell>
        </row>
        <row r="77">
          <cell r="C77">
            <v>8382823</v>
          </cell>
          <cell r="D77">
            <v>2019</v>
          </cell>
          <cell r="E77">
            <v>22008</v>
          </cell>
          <cell r="F77">
            <v>0</v>
          </cell>
          <cell r="G77">
            <v>0</v>
          </cell>
          <cell r="H77">
            <v>1024200</v>
          </cell>
          <cell r="I77">
            <v>0</v>
          </cell>
          <cell r="J77">
            <v>0</v>
          </cell>
          <cell r="K77">
            <v>814208</v>
          </cell>
          <cell r="L77">
            <v>0</v>
          </cell>
          <cell r="M77">
            <v>0</v>
          </cell>
          <cell r="N77">
            <v>0</v>
          </cell>
          <cell r="O77">
            <v>0</v>
          </cell>
          <cell r="P77">
            <v>204000</v>
          </cell>
          <cell r="Q77">
            <v>204000</v>
          </cell>
          <cell r="R77">
            <v>0</v>
          </cell>
          <cell r="S77">
            <v>0</v>
          </cell>
          <cell r="T77">
            <v>2064416</v>
          </cell>
        </row>
        <row r="78">
          <cell r="C78">
            <v>9949795</v>
          </cell>
          <cell r="D78">
            <v>2019</v>
          </cell>
          <cell r="E78">
            <v>50000</v>
          </cell>
          <cell r="F78">
            <v>0</v>
          </cell>
          <cell r="G78">
            <v>0</v>
          </cell>
          <cell r="H78">
            <v>470270</v>
          </cell>
          <cell r="I78">
            <v>0</v>
          </cell>
          <cell r="J78">
            <v>0</v>
          </cell>
          <cell r="K78">
            <v>0</v>
          </cell>
          <cell r="L78">
            <v>0</v>
          </cell>
          <cell r="M78">
            <v>0</v>
          </cell>
          <cell r="N78">
            <v>0</v>
          </cell>
          <cell r="O78">
            <v>0</v>
          </cell>
          <cell r="P78">
            <v>0</v>
          </cell>
          <cell r="Q78">
            <v>0</v>
          </cell>
          <cell r="R78">
            <v>0</v>
          </cell>
          <cell r="S78">
            <v>0</v>
          </cell>
          <cell r="T78">
            <v>520270</v>
          </cell>
        </row>
        <row r="79">
          <cell r="C79">
            <v>6152074</v>
          </cell>
          <cell r="D79">
            <v>2019</v>
          </cell>
          <cell r="E79">
            <v>0</v>
          </cell>
          <cell r="F79">
            <v>0</v>
          </cell>
          <cell r="G79">
            <v>0</v>
          </cell>
          <cell r="H79">
            <v>3484600</v>
          </cell>
          <cell r="I79">
            <v>0</v>
          </cell>
          <cell r="J79">
            <v>0</v>
          </cell>
          <cell r="K79">
            <v>0</v>
          </cell>
          <cell r="L79">
            <v>0</v>
          </cell>
          <cell r="M79">
            <v>0</v>
          </cell>
          <cell r="N79">
            <v>0</v>
          </cell>
          <cell r="O79">
            <v>34000</v>
          </cell>
          <cell r="P79">
            <v>328000</v>
          </cell>
          <cell r="Q79">
            <v>362000</v>
          </cell>
          <cell r="R79">
            <v>0</v>
          </cell>
          <cell r="S79">
            <v>8000</v>
          </cell>
          <cell r="T79">
            <v>3854600</v>
          </cell>
        </row>
        <row r="80">
          <cell r="C80">
            <v>4309907</v>
          </cell>
          <cell r="D80">
            <v>2019</v>
          </cell>
          <cell r="E80">
            <v>183425</v>
          </cell>
          <cell r="F80">
            <v>38293.1</v>
          </cell>
          <cell r="G80">
            <v>0</v>
          </cell>
          <cell r="H80">
            <v>1903000</v>
          </cell>
          <cell r="I80">
            <v>0</v>
          </cell>
          <cell r="J80">
            <v>0</v>
          </cell>
          <cell r="K80">
            <v>0</v>
          </cell>
          <cell r="L80">
            <v>0</v>
          </cell>
          <cell r="M80">
            <v>0</v>
          </cell>
          <cell r="N80">
            <v>0</v>
          </cell>
          <cell r="O80">
            <v>0</v>
          </cell>
          <cell r="P80">
            <v>300000</v>
          </cell>
          <cell r="Q80">
            <v>300000</v>
          </cell>
          <cell r="R80">
            <v>0</v>
          </cell>
          <cell r="S80">
            <v>0</v>
          </cell>
          <cell r="T80">
            <v>2424718.1</v>
          </cell>
        </row>
        <row r="81">
          <cell r="C81">
            <v>3028344</v>
          </cell>
          <cell r="D81">
            <v>2019</v>
          </cell>
          <cell r="E81">
            <v>239048</v>
          </cell>
          <cell r="F81">
            <v>160860</v>
          </cell>
          <cell r="G81">
            <v>0</v>
          </cell>
          <cell r="H81">
            <v>1489740</v>
          </cell>
          <cell r="I81">
            <v>0</v>
          </cell>
          <cell r="J81">
            <v>0</v>
          </cell>
          <cell r="K81">
            <v>1013232</v>
          </cell>
          <cell r="L81">
            <v>0</v>
          </cell>
          <cell r="M81">
            <v>0</v>
          </cell>
          <cell r="N81">
            <v>0</v>
          </cell>
          <cell r="O81">
            <v>0</v>
          </cell>
          <cell r="P81">
            <v>1860000</v>
          </cell>
          <cell r="Q81">
            <v>1860000</v>
          </cell>
          <cell r="R81">
            <v>0</v>
          </cell>
          <cell r="S81">
            <v>0</v>
          </cell>
          <cell r="T81">
            <v>4762880</v>
          </cell>
        </row>
        <row r="82">
          <cell r="C82">
            <v>1450637</v>
          </cell>
          <cell r="D82">
            <v>2019</v>
          </cell>
          <cell r="E82">
            <v>0</v>
          </cell>
          <cell r="F82">
            <v>0</v>
          </cell>
          <cell r="G82">
            <v>0</v>
          </cell>
          <cell r="H82">
            <v>15108994</v>
          </cell>
          <cell r="I82">
            <v>0</v>
          </cell>
          <cell r="J82">
            <v>6399000</v>
          </cell>
          <cell r="K82">
            <v>0</v>
          </cell>
          <cell r="L82">
            <v>0</v>
          </cell>
          <cell r="M82">
            <v>0</v>
          </cell>
          <cell r="N82">
            <v>0</v>
          </cell>
          <cell r="O82">
            <v>45000</v>
          </cell>
          <cell r="P82">
            <v>0</v>
          </cell>
          <cell r="Q82">
            <v>45000</v>
          </cell>
          <cell r="R82">
            <v>0</v>
          </cell>
          <cell r="S82">
            <v>0</v>
          </cell>
          <cell r="T82">
            <v>21552994</v>
          </cell>
        </row>
        <row r="83">
          <cell r="C83">
            <v>9818505</v>
          </cell>
          <cell r="D83">
            <v>2019</v>
          </cell>
          <cell r="E83">
            <v>173738</v>
          </cell>
          <cell r="F83">
            <v>0</v>
          </cell>
          <cell r="G83">
            <v>0</v>
          </cell>
          <cell r="H83">
            <v>846920</v>
          </cell>
          <cell r="I83">
            <v>0</v>
          </cell>
          <cell r="J83">
            <v>0</v>
          </cell>
          <cell r="K83">
            <v>1191640.1000000001</v>
          </cell>
          <cell r="L83">
            <v>0</v>
          </cell>
          <cell r="M83">
            <v>0</v>
          </cell>
          <cell r="N83">
            <v>0</v>
          </cell>
          <cell r="O83">
            <v>0</v>
          </cell>
          <cell r="P83">
            <v>56600</v>
          </cell>
          <cell r="Q83">
            <v>56600</v>
          </cell>
          <cell r="R83">
            <v>0</v>
          </cell>
          <cell r="S83">
            <v>66573.75</v>
          </cell>
          <cell r="T83">
            <v>2335471.85</v>
          </cell>
        </row>
        <row r="84">
          <cell r="C84">
            <v>3597628</v>
          </cell>
          <cell r="D84">
            <v>2019</v>
          </cell>
          <cell r="E84">
            <v>0</v>
          </cell>
          <cell r="F84">
            <v>0</v>
          </cell>
          <cell r="G84">
            <v>0</v>
          </cell>
          <cell r="H84">
            <v>2356313</v>
          </cell>
          <cell r="I84">
            <v>0</v>
          </cell>
          <cell r="J84">
            <v>0</v>
          </cell>
          <cell r="K84">
            <v>0</v>
          </cell>
          <cell r="L84">
            <v>0</v>
          </cell>
          <cell r="M84">
            <v>0</v>
          </cell>
          <cell r="N84">
            <v>0</v>
          </cell>
          <cell r="O84">
            <v>0</v>
          </cell>
          <cell r="P84">
            <v>2200000</v>
          </cell>
          <cell r="Q84">
            <v>2200000</v>
          </cell>
          <cell r="R84">
            <v>0</v>
          </cell>
          <cell r="S84">
            <v>0</v>
          </cell>
          <cell r="T84">
            <v>4556313</v>
          </cell>
        </row>
        <row r="85">
          <cell r="C85">
            <v>3040542</v>
          </cell>
          <cell r="D85">
            <v>2019</v>
          </cell>
          <cell r="E85">
            <v>0</v>
          </cell>
          <cell r="F85">
            <v>65000</v>
          </cell>
          <cell r="G85">
            <v>0</v>
          </cell>
          <cell r="H85">
            <v>809340</v>
          </cell>
          <cell r="I85">
            <v>0</v>
          </cell>
          <cell r="J85">
            <v>0</v>
          </cell>
          <cell r="K85">
            <v>0</v>
          </cell>
          <cell r="L85">
            <v>0</v>
          </cell>
          <cell r="M85">
            <v>0</v>
          </cell>
          <cell r="N85">
            <v>0</v>
          </cell>
          <cell r="O85">
            <v>0</v>
          </cell>
          <cell r="P85">
            <v>40000</v>
          </cell>
          <cell r="Q85">
            <v>40000</v>
          </cell>
          <cell r="R85">
            <v>0</v>
          </cell>
          <cell r="S85">
            <v>0</v>
          </cell>
          <cell r="T85">
            <v>914340</v>
          </cell>
        </row>
        <row r="86">
          <cell r="C86">
            <v>7268793</v>
          </cell>
          <cell r="D86">
            <v>2019</v>
          </cell>
          <cell r="E86">
            <v>31000</v>
          </cell>
          <cell r="F86">
            <v>0</v>
          </cell>
          <cell r="G86">
            <v>0</v>
          </cell>
          <cell r="H86">
            <v>1794000</v>
          </cell>
          <cell r="I86">
            <v>0</v>
          </cell>
          <cell r="J86">
            <v>0</v>
          </cell>
          <cell r="K86">
            <v>0</v>
          </cell>
          <cell r="L86">
            <v>0</v>
          </cell>
          <cell r="M86">
            <v>0</v>
          </cell>
          <cell r="N86">
            <v>0</v>
          </cell>
          <cell r="O86">
            <v>0</v>
          </cell>
          <cell r="P86">
            <v>910000</v>
          </cell>
          <cell r="Q86">
            <v>910000</v>
          </cell>
          <cell r="R86">
            <v>0</v>
          </cell>
          <cell r="S86">
            <v>0</v>
          </cell>
          <cell r="T86">
            <v>2735000</v>
          </cell>
        </row>
        <row r="87">
          <cell r="C87">
            <v>7846871</v>
          </cell>
          <cell r="D87">
            <v>2019</v>
          </cell>
          <cell r="E87">
            <v>40924</v>
          </cell>
          <cell r="F87">
            <v>0</v>
          </cell>
          <cell r="G87">
            <v>0</v>
          </cell>
          <cell r="H87">
            <v>1546867</v>
          </cell>
          <cell r="I87">
            <v>0</v>
          </cell>
          <cell r="J87">
            <v>0</v>
          </cell>
          <cell r="K87">
            <v>0</v>
          </cell>
          <cell r="L87">
            <v>0</v>
          </cell>
          <cell r="M87">
            <v>0</v>
          </cell>
          <cell r="N87">
            <v>0</v>
          </cell>
          <cell r="O87">
            <v>0</v>
          </cell>
          <cell r="P87">
            <v>0</v>
          </cell>
          <cell r="Q87">
            <v>0</v>
          </cell>
          <cell r="R87">
            <v>0</v>
          </cell>
          <cell r="S87">
            <v>0</v>
          </cell>
          <cell r="T87">
            <v>1587791</v>
          </cell>
        </row>
        <row r="88">
          <cell r="C88">
            <v>6428468</v>
          </cell>
          <cell r="D88">
            <v>2019</v>
          </cell>
          <cell r="E88">
            <v>0</v>
          </cell>
          <cell r="F88">
            <v>0</v>
          </cell>
          <cell r="G88">
            <v>0</v>
          </cell>
          <cell r="H88">
            <v>2626403</v>
          </cell>
          <cell r="I88">
            <v>0</v>
          </cell>
          <cell r="J88">
            <v>0</v>
          </cell>
          <cell r="K88">
            <v>0</v>
          </cell>
          <cell r="L88">
            <v>0</v>
          </cell>
          <cell r="M88">
            <v>0</v>
          </cell>
          <cell r="N88">
            <v>0</v>
          </cell>
          <cell r="O88">
            <v>0</v>
          </cell>
          <cell r="P88">
            <v>1539455</v>
          </cell>
          <cell r="Q88">
            <v>1539455</v>
          </cell>
          <cell r="R88">
            <v>0</v>
          </cell>
          <cell r="S88">
            <v>0</v>
          </cell>
          <cell r="T88">
            <v>4165858</v>
          </cell>
        </row>
        <row r="89">
          <cell r="C89">
            <v>4987165</v>
          </cell>
          <cell r="D89">
            <v>2019</v>
          </cell>
          <cell r="E89">
            <v>0</v>
          </cell>
          <cell r="F89">
            <v>0</v>
          </cell>
          <cell r="G89">
            <v>0</v>
          </cell>
          <cell r="H89">
            <v>1024820</v>
          </cell>
          <cell r="I89">
            <v>0</v>
          </cell>
          <cell r="J89">
            <v>0</v>
          </cell>
          <cell r="K89">
            <v>1020025</v>
          </cell>
          <cell r="L89">
            <v>0</v>
          </cell>
          <cell r="M89">
            <v>0</v>
          </cell>
          <cell r="N89">
            <v>0</v>
          </cell>
          <cell r="O89">
            <v>0</v>
          </cell>
          <cell r="P89">
            <v>1460000</v>
          </cell>
          <cell r="Q89">
            <v>1460000</v>
          </cell>
          <cell r="R89">
            <v>0</v>
          </cell>
          <cell r="S89">
            <v>0</v>
          </cell>
          <cell r="T89">
            <v>3504845</v>
          </cell>
        </row>
        <row r="90">
          <cell r="C90">
            <v>6684022</v>
          </cell>
          <cell r="D90">
            <v>2019</v>
          </cell>
          <cell r="E90">
            <v>0</v>
          </cell>
          <cell r="F90">
            <v>458716</v>
          </cell>
          <cell r="G90">
            <v>0</v>
          </cell>
          <cell r="H90">
            <v>3360591</v>
          </cell>
          <cell r="I90">
            <v>0</v>
          </cell>
          <cell r="J90">
            <v>0</v>
          </cell>
          <cell r="K90">
            <v>0</v>
          </cell>
          <cell r="L90">
            <v>0</v>
          </cell>
          <cell r="M90">
            <v>0</v>
          </cell>
          <cell r="N90">
            <v>0</v>
          </cell>
          <cell r="O90">
            <v>10000</v>
          </cell>
          <cell r="P90">
            <v>591272</v>
          </cell>
          <cell r="Q90">
            <v>601272</v>
          </cell>
          <cell r="R90">
            <v>0</v>
          </cell>
          <cell r="S90">
            <v>0</v>
          </cell>
          <cell r="T90">
            <v>4420579</v>
          </cell>
        </row>
        <row r="91">
          <cell r="C91">
            <v>5312119</v>
          </cell>
          <cell r="D91">
            <v>2019</v>
          </cell>
          <cell r="E91">
            <v>804000</v>
          </cell>
          <cell r="F91">
            <v>0</v>
          </cell>
          <cell r="G91">
            <v>0</v>
          </cell>
          <cell r="H91">
            <v>0</v>
          </cell>
          <cell r="I91">
            <v>0</v>
          </cell>
          <cell r="J91">
            <v>0</v>
          </cell>
          <cell r="K91">
            <v>0</v>
          </cell>
          <cell r="L91">
            <v>0</v>
          </cell>
          <cell r="M91">
            <v>0</v>
          </cell>
          <cell r="N91">
            <v>0</v>
          </cell>
          <cell r="O91">
            <v>0</v>
          </cell>
          <cell r="P91">
            <v>12000</v>
          </cell>
          <cell r="Q91">
            <v>12000</v>
          </cell>
          <cell r="R91">
            <v>0</v>
          </cell>
          <cell r="S91">
            <v>3550000</v>
          </cell>
          <cell r="T91">
            <v>4366000</v>
          </cell>
        </row>
        <row r="92">
          <cell r="C92">
            <v>4782003</v>
          </cell>
          <cell r="D92">
            <v>2019</v>
          </cell>
          <cell r="E92">
            <v>0</v>
          </cell>
          <cell r="F92">
            <v>0</v>
          </cell>
          <cell r="G92">
            <v>0</v>
          </cell>
          <cell r="H92">
            <v>6898917</v>
          </cell>
          <cell r="I92">
            <v>0</v>
          </cell>
          <cell r="J92">
            <v>0</v>
          </cell>
          <cell r="K92">
            <v>0</v>
          </cell>
          <cell r="L92">
            <v>0</v>
          </cell>
          <cell r="M92">
            <v>0</v>
          </cell>
          <cell r="N92">
            <v>0</v>
          </cell>
          <cell r="O92">
            <v>0</v>
          </cell>
          <cell r="P92">
            <v>6920000</v>
          </cell>
          <cell r="Q92">
            <v>6920000</v>
          </cell>
          <cell r="R92">
            <v>0</v>
          </cell>
          <cell r="S92">
            <v>0</v>
          </cell>
          <cell r="T92">
            <v>13818917</v>
          </cell>
        </row>
        <row r="93">
          <cell r="C93">
            <v>3446957</v>
          </cell>
          <cell r="D93">
            <v>2019</v>
          </cell>
          <cell r="E93">
            <v>0</v>
          </cell>
          <cell r="F93">
            <v>0</v>
          </cell>
          <cell r="G93">
            <v>0</v>
          </cell>
          <cell r="H93">
            <v>650000</v>
          </cell>
          <cell r="I93">
            <v>0</v>
          </cell>
          <cell r="J93">
            <v>572881</v>
          </cell>
          <cell r="K93">
            <v>0</v>
          </cell>
          <cell r="L93">
            <v>0</v>
          </cell>
          <cell r="M93">
            <v>0</v>
          </cell>
          <cell r="N93">
            <v>0</v>
          </cell>
          <cell r="O93">
            <v>0</v>
          </cell>
          <cell r="P93">
            <v>0</v>
          </cell>
          <cell r="Q93">
            <v>0</v>
          </cell>
          <cell r="R93">
            <v>0</v>
          </cell>
          <cell r="S93">
            <v>0</v>
          </cell>
          <cell r="T93">
            <v>1222881</v>
          </cell>
        </row>
        <row r="94">
          <cell r="C94">
            <v>4396482</v>
          </cell>
          <cell r="D94">
            <v>2019</v>
          </cell>
          <cell r="E94">
            <v>0</v>
          </cell>
          <cell r="F94">
            <v>0</v>
          </cell>
          <cell r="G94">
            <v>0</v>
          </cell>
          <cell r="H94">
            <v>4959810</v>
          </cell>
          <cell r="I94">
            <v>0</v>
          </cell>
          <cell r="J94">
            <v>0</v>
          </cell>
          <cell r="K94">
            <v>0</v>
          </cell>
          <cell r="L94">
            <v>0</v>
          </cell>
          <cell r="M94">
            <v>0</v>
          </cell>
          <cell r="N94">
            <v>0</v>
          </cell>
          <cell r="O94">
            <v>121744.54</v>
          </cell>
          <cell r="P94">
            <v>2515000</v>
          </cell>
          <cell r="Q94">
            <v>2636744.54</v>
          </cell>
          <cell r="R94">
            <v>0</v>
          </cell>
          <cell r="S94">
            <v>0</v>
          </cell>
          <cell r="T94">
            <v>7596554.54</v>
          </cell>
        </row>
        <row r="95">
          <cell r="C95">
            <v>9142033</v>
          </cell>
          <cell r="D95">
            <v>2019</v>
          </cell>
          <cell r="E95">
            <v>0</v>
          </cell>
          <cell r="F95">
            <v>0</v>
          </cell>
          <cell r="G95">
            <v>0</v>
          </cell>
          <cell r="H95">
            <v>5580860</v>
          </cell>
          <cell r="I95">
            <v>0</v>
          </cell>
          <cell r="J95">
            <v>0</v>
          </cell>
          <cell r="K95">
            <v>0</v>
          </cell>
          <cell r="L95">
            <v>0</v>
          </cell>
          <cell r="M95">
            <v>0</v>
          </cell>
          <cell r="N95">
            <v>0</v>
          </cell>
          <cell r="O95">
            <v>0</v>
          </cell>
          <cell r="P95">
            <v>0</v>
          </cell>
          <cell r="Q95">
            <v>0</v>
          </cell>
          <cell r="R95">
            <v>0</v>
          </cell>
          <cell r="S95">
            <v>0</v>
          </cell>
          <cell r="T95">
            <v>5580860</v>
          </cell>
        </row>
        <row r="96">
          <cell r="C96">
            <v>6375207</v>
          </cell>
          <cell r="D96">
            <v>2019</v>
          </cell>
          <cell r="E96">
            <v>0</v>
          </cell>
          <cell r="F96">
            <v>0</v>
          </cell>
          <cell r="G96">
            <v>0</v>
          </cell>
          <cell r="H96">
            <v>330011</v>
          </cell>
          <cell r="I96">
            <v>0</v>
          </cell>
          <cell r="J96">
            <v>650000</v>
          </cell>
          <cell r="K96">
            <v>0</v>
          </cell>
          <cell r="L96">
            <v>0</v>
          </cell>
          <cell r="M96">
            <v>0</v>
          </cell>
          <cell r="N96">
            <v>0</v>
          </cell>
          <cell r="O96">
            <v>0</v>
          </cell>
          <cell r="P96">
            <v>0</v>
          </cell>
          <cell r="Q96">
            <v>0</v>
          </cell>
          <cell r="R96">
            <v>0</v>
          </cell>
          <cell r="S96">
            <v>0</v>
          </cell>
          <cell r="T96">
            <v>980011</v>
          </cell>
        </row>
        <row r="97">
          <cell r="C97">
            <v>4526227</v>
          </cell>
          <cell r="D97">
            <v>2019</v>
          </cell>
          <cell r="E97">
            <v>0</v>
          </cell>
          <cell r="F97">
            <v>0</v>
          </cell>
          <cell r="G97">
            <v>0</v>
          </cell>
          <cell r="H97">
            <v>1051150</v>
          </cell>
          <cell r="I97">
            <v>0</v>
          </cell>
          <cell r="J97">
            <v>0</v>
          </cell>
          <cell r="K97">
            <v>815468</v>
          </cell>
          <cell r="L97">
            <v>195000</v>
          </cell>
          <cell r="M97">
            <v>0</v>
          </cell>
          <cell r="N97">
            <v>0</v>
          </cell>
          <cell r="O97">
            <v>0</v>
          </cell>
          <cell r="P97">
            <v>117300</v>
          </cell>
          <cell r="Q97">
            <v>117300</v>
          </cell>
          <cell r="R97">
            <v>0</v>
          </cell>
          <cell r="S97">
            <v>0</v>
          </cell>
          <cell r="T97">
            <v>2178918</v>
          </cell>
        </row>
        <row r="98">
          <cell r="C98">
            <v>6565956</v>
          </cell>
          <cell r="D98">
            <v>2019</v>
          </cell>
          <cell r="E98">
            <v>0</v>
          </cell>
          <cell r="F98">
            <v>0</v>
          </cell>
          <cell r="G98">
            <v>0</v>
          </cell>
          <cell r="H98">
            <v>7047423</v>
          </cell>
          <cell r="I98">
            <v>0</v>
          </cell>
          <cell r="J98">
            <v>2130590</v>
          </cell>
          <cell r="K98">
            <v>0</v>
          </cell>
          <cell r="L98">
            <v>0</v>
          </cell>
          <cell r="M98">
            <v>0</v>
          </cell>
          <cell r="N98">
            <v>0</v>
          </cell>
          <cell r="O98">
            <v>0</v>
          </cell>
          <cell r="P98">
            <v>0</v>
          </cell>
          <cell r="Q98">
            <v>0</v>
          </cell>
          <cell r="R98">
            <v>0</v>
          </cell>
          <cell r="S98">
            <v>0</v>
          </cell>
          <cell r="T98">
            <v>9178013</v>
          </cell>
        </row>
        <row r="99">
          <cell r="C99">
            <v>2886510</v>
          </cell>
          <cell r="D99">
            <v>2019</v>
          </cell>
          <cell r="E99">
            <v>0</v>
          </cell>
          <cell r="F99">
            <v>0</v>
          </cell>
          <cell r="G99">
            <v>0</v>
          </cell>
          <cell r="H99">
            <v>2120418</v>
          </cell>
          <cell r="I99">
            <v>0</v>
          </cell>
          <cell r="J99">
            <v>0</v>
          </cell>
          <cell r="K99">
            <v>0</v>
          </cell>
          <cell r="L99">
            <v>104236</v>
          </cell>
          <cell r="M99">
            <v>0</v>
          </cell>
          <cell r="N99">
            <v>0</v>
          </cell>
          <cell r="O99">
            <v>0</v>
          </cell>
          <cell r="P99">
            <v>290000</v>
          </cell>
          <cell r="Q99">
            <v>290000</v>
          </cell>
          <cell r="R99">
            <v>0</v>
          </cell>
          <cell r="S99">
            <v>0</v>
          </cell>
          <cell r="T99">
            <v>2514654</v>
          </cell>
        </row>
        <row r="100">
          <cell r="C100">
            <v>6466112</v>
          </cell>
          <cell r="D100">
            <v>2019</v>
          </cell>
          <cell r="E100">
            <v>10683</v>
          </cell>
          <cell r="F100">
            <v>0</v>
          </cell>
          <cell r="G100">
            <v>0</v>
          </cell>
          <cell r="H100">
            <v>522000</v>
          </cell>
          <cell r="I100">
            <v>0</v>
          </cell>
          <cell r="J100">
            <v>0</v>
          </cell>
          <cell r="K100">
            <v>0</v>
          </cell>
          <cell r="L100">
            <v>0</v>
          </cell>
          <cell r="M100">
            <v>0</v>
          </cell>
          <cell r="N100">
            <v>0</v>
          </cell>
          <cell r="O100">
            <v>0</v>
          </cell>
          <cell r="P100">
            <v>0</v>
          </cell>
          <cell r="Q100">
            <v>0</v>
          </cell>
          <cell r="R100">
            <v>0</v>
          </cell>
          <cell r="S100">
            <v>0</v>
          </cell>
          <cell r="T100">
            <v>532683</v>
          </cell>
        </row>
        <row r="101">
          <cell r="C101">
            <v>4373225</v>
          </cell>
          <cell r="D101">
            <v>2019</v>
          </cell>
          <cell r="E101">
            <v>45000</v>
          </cell>
          <cell r="F101">
            <v>0</v>
          </cell>
          <cell r="G101">
            <v>0</v>
          </cell>
          <cell r="H101">
            <v>531000</v>
          </cell>
          <cell r="I101">
            <v>0</v>
          </cell>
          <cell r="J101">
            <v>0</v>
          </cell>
          <cell r="K101">
            <v>458374</v>
          </cell>
          <cell r="L101">
            <v>0</v>
          </cell>
          <cell r="M101">
            <v>0</v>
          </cell>
          <cell r="N101">
            <v>0</v>
          </cell>
          <cell r="O101">
            <v>0</v>
          </cell>
          <cell r="P101">
            <v>18500</v>
          </cell>
          <cell r="Q101">
            <v>18500</v>
          </cell>
          <cell r="R101">
            <v>72000.5</v>
          </cell>
          <cell r="S101">
            <v>4136.66</v>
          </cell>
          <cell r="T101">
            <v>1129011.1599999999</v>
          </cell>
        </row>
        <row r="102">
          <cell r="C102">
            <v>6630553</v>
          </cell>
          <cell r="D102">
            <v>2019</v>
          </cell>
          <cell r="E102">
            <v>136636</v>
          </cell>
          <cell r="F102">
            <v>0</v>
          </cell>
          <cell r="G102">
            <v>0</v>
          </cell>
          <cell r="H102">
            <v>2208380</v>
          </cell>
          <cell r="I102">
            <v>0</v>
          </cell>
          <cell r="J102">
            <v>0</v>
          </cell>
          <cell r="K102">
            <v>0</v>
          </cell>
          <cell r="L102">
            <v>0</v>
          </cell>
          <cell r="M102">
            <v>0</v>
          </cell>
          <cell r="N102">
            <v>0</v>
          </cell>
          <cell r="O102">
            <v>0</v>
          </cell>
          <cell r="P102">
            <v>300000</v>
          </cell>
          <cell r="Q102">
            <v>300000</v>
          </cell>
          <cell r="R102">
            <v>0</v>
          </cell>
          <cell r="S102">
            <v>0</v>
          </cell>
          <cell r="T102">
            <v>2645016</v>
          </cell>
        </row>
        <row r="103">
          <cell r="C103">
            <v>9379121</v>
          </cell>
          <cell r="D103">
            <v>2019</v>
          </cell>
          <cell r="E103">
            <v>0</v>
          </cell>
          <cell r="F103">
            <v>0</v>
          </cell>
          <cell r="G103">
            <v>0</v>
          </cell>
          <cell r="H103">
            <v>2766100</v>
          </cell>
          <cell r="I103">
            <v>0</v>
          </cell>
          <cell r="J103">
            <v>876588.7</v>
          </cell>
          <cell r="K103">
            <v>1410292</v>
          </cell>
          <cell r="L103">
            <v>0</v>
          </cell>
          <cell r="M103">
            <v>0</v>
          </cell>
          <cell r="N103">
            <v>0</v>
          </cell>
          <cell r="O103">
            <v>0</v>
          </cell>
          <cell r="P103">
            <v>101900</v>
          </cell>
          <cell r="Q103">
            <v>101900</v>
          </cell>
          <cell r="R103">
            <v>1500000</v>
          </cell>
          <cell r="S103">
            <v>0</v>
          </cell>
          <cell r="T103">
            <v>6654880.7000000002</v>
          </cell>
        </row>
        <row r="104">
          <cell r="C104">
            <v>7653065</v>
          </cell>
          <cell r="D104">
            <v>2019</v>
          </cell>
          <cell r="E104">
            <v>0</v>
          </cell>
          <cell r="F104">
            <v>0</v>
          </cell>
          <cell r="G104">
            <v>0</v>
          </cell>
          <cell r="H104">
            <v>1688690</v>
          </cell>
          <cell r="I104">
            <v>0</v>
          </cell>
          <cell r="J104">
            <v>0</v>
          </cell>
          <cell r="K104">
            <v>1382185</v>
          </cell>
          <cell r="L104">
            <v>135000</v>
          </cell>
          <cell r="M104">
            <v>0</v>
          </cell>
          <cell r="N104">
            <v>0</v>
          </cell>
          <cell r="O104">
            <v>0</v>
          </cell>
          <cell r="P104">
            <v>156400</v>
          </cell>
          <cell r="Q104">
            <v>156400</v>
          </cell>
          <cell r="R104">
            <v>0</v>
          </cell>
          <cell r="S104">
            <v>0</v>
          </cell>
          <cell r="T104">
            <v>3362275</v>
          </cell>
        </row>
        <row r="105">
          <cell r="C105">
            <v>6811251</v>
          </cell>
          <cell r="D105">
            <v>2019</v>
          </cell>
          <cell r="E105">
            <v>14518</v>
          </cell>
          <cell r="F105">
            <v>21070.99</v>
          </cell>
          <cell r="G105">
            <v>0</v>
          </cell>
          <cell r="H105">
            <v>392240</v>
          </cell>
          <cell r="I105">
            <v>0</v>
          </cell>
          <cell r="J105">
            <v>0</v>
          </cell>
          <cell r="K105">
            <v>0</v>
          </cell>
          <cell r="L105">
            <v>0</v>
          </cell>
          <cell r="M105">
            <v>0</v>
          </cell>
          <cell r="N105">
            <v>0</v>
          </cell>
          <cell r="O105">
            <v>0</v>
          </cell>
          <cell r="P105">
            <v>10000</v>
          </cell>
          <cell r="Q105">
            <v>10000</v>
          </cell>
          <cell r="R105">
            <v>0</v>
          </cell>
          <cell r="S105">
            <v>0</v>
          </cell>
          <cell r="T105">
            <v>437828.99</v>
          </cell>
        </row>
        <row r="106">
          <cell r="C106">
            <v>3650770</v>
          </cell>
          <cell r="D106">
            <v>2019</v>
          </cell>
          <cell r="E106">
            <v>0</v>
          </cell>
          <cell r="F106">
            <v>0</v>
          </cell>
          <cell r="G106">
            <v>0</v>
          </cell>
          <cell r="H106">
            <v>0</v>
          </cell>
          <cell r="I106">
            <v>0</v>
          </cell>
          <cell r="J106">
            <v>600000</v>
          </cell>
          <cell r="K106">
            <v>2080800</v>
          </cell>
          <cell r="L106">
            <v>0</v>
          </cell>
          <cell r="M106">
            <v>0</v>
          </cell>
          <cell r="N106">
            <v>0</v>
          </cell>
          <cell r="O106">
            <v>0</v>
          </cell>
          <cell r="P106">
            <v>0</v>
          </cell>
          <cell r="Q106">
            <v>0</v>
          </cell>
          <cell r="R106">
            <v>0</v>
          </cell>
          <cell r="S106">
            <v>0</v>
          </cell>
          <cell r="T106">
            <v>2680800</v>
          </cell>
        </row>
        <row r="107">
          <cell r="C107">
            <v>5173305</v>
          </cell>
          <cell r="D107">
            <v>2019</v>
          </cell>
          <cell r="E107">
            <v>0</v>
          </cell>
          <cell r="F107">
            <v>0</v>
          </cell>
          <cell r="G107">
            <v>0</v>
          </cell>
          <cell r="H107">
            <v>1991460</v>
          </cell>
          <cell r="I107">
            <v>0</v>
          </cell>
          <cell r="J107">
            <v>0</v>
          </cell>
          <cell r="K107">
            <v>0</v>
          </cell>
          <cell r="L107">
            <v>0</v>
          </cell>
          <cell r="M107">
            <v>0</v>
          </cell>
          <cell r="N107">
            <v>0</v>
          </cell>
          <cell r="O107">
            <v>0</v>
          </cell>
          <cell r="P107">
            <v>0</v>
          </cell>
          <cell r="Q107">
            <v>0</v>
          </cell>
          <cell r="R107">
            <v>0</v>
          </cell>
          <cell r="S107">
            <v>0</v>
          </cell>
          <cell r="T107">
            <v>1991460</v>
          </cell>
        </row>
        <row r="108">
          <cell r="C108">
            <v>2028356</v>
          </cell>
          <cell r="D108">
            <v>2019</v>
          </cell>
          <cell r="E108">
            <v>0</v>
          </cell>
          <cell r="F108">
            <v>156971</v>
          </cell>
          <cell r="G108">
            <v>0</v>
          </cell>
          <cell r="H108">
            <v>3898282</v>
          </cell>
          <cell r="I108">
            <v>0</v>
          </cell>
          <cell r="J108">
            <v>0</v>
          </cell>
          <cell r="K108">
            <v>0</v>
          </cell>
          <cell r="L108">
            <v>0</v>
          </cell>
          <cell r="M108">
            <v>0</v>
          </cell>
          <cell r="N108">
            <v>0</v>
          </cell>
          <cell r="O108">
            <v>59761</v>
          </cell>
          <cell r="P108">
            <v>1250000</v>
          </cell>
          <cell r="Q108">
            <v>1309761</v>
          </cell>
          <cell r="R108">
            <v>0</v>
          </cell>
          <cell r="S108">
            <v>0</v>
          </cell>
          <cell r="T108">
            <v>5365014</v>
          </cell>
        </row>
        <row r="109">
          <cell r="C109">
            <v>1109434</v>
          </cell>
          <cell r="D109">
            <v>2019</v>
          </cell>
          <cell r="E109">
            <v>2241991</v>
          </cell>
          <cell r="F109">
            <v>0</v>
          </cell>
          <cell r="G109">
            <v>0</v>
          </cell>
          <cell r="H109">
            <v>4880300</v>
          </cell>
          <cell r="I109">
            <v>0</v>
          </cell>
          <cell r="J109">
            <v>0</v>
          </cell>
          <cell r="K109">
            <v>0</v>
          </cell>
          <cell r="L109">
            <v>0</v>
          </cell>
          <cell r="M109">
            <v>0</v>
          </cell>
          <cell r="N109">
            <v>0</v>
          </cell>
          <cell r="O109">
            <v>0</v>
          </cell>
          <cell r="P109">
            <v>3850000</v>
          </cell>
          <cell r="Q109">
            <v>3850000</v>
          </cell>
          <cell r="R109">
            <v>0</v>
          </cell>
          <cell r="S109">
            <v>0</v>
          </cell>
          <cell r="T109">
            <v>10972291</v>
          </cell>
        </row>
        <row r="110">
          <cell r="C110">
            <v>1826777</v>
          </cell>
          <cell r="D110">
            <v>2019</v>
          </cell>
          <cell r="E110">
            <v>0</v>
          </cell>
          <cell r="F110">
            <v>0</v>
          </cell>
          <cell r="G110">
            <v>0</v>
          </cell>
          <cell r="H110">
            <v>3337224</v>
          </cell>
          <cell r="I110">
            <v>0</v>
          </cell>
          <cell r="J110">
            <v>0</v>
          </cell>
          <cell r="K110">
            <v>0</v>
          </cell>
          <cell r="L110">
            <v>0</v>
          </cell>
          <cell r="M110">
            <v>0</v>
          </cell>
          <cell r="N110">
            <v>0</v>
          </cell>
          <cell r="O110">
            <v>0</v>
          </cell>
          <cell r="P110">
            <v>1452000</v>
          </cell>
          <cell r="Q110">
            <v>1452000</v>
          </cell>
          <cell r="R110">
            <v>0</v>
          </cell>
          <cell r="S110">
            <v>0</v>
          </cell>
          <cell r="T110">
            <v>4789224</v>
          </cell>
        </row>
        <row r="111">
          <cell r="C111">
            <v>5599785</v>
          </cell>
          <cell r="D111">
            <v>2019</v>
          </cell>
          <cell r="E111">
            <v>0</v>
          </cell>
          <cell r="F111">
            <v>0</v>
          </cell>
          <cell r="G111">
            <v>0</v>
          </cell>
          <cell r="H111">
            <v>761571</v>
          </cell>
          <cell r="I111">
            <v>0</v>
          </cell>
          <cell r="J111">
            <v>0</v>
          </cell>
          <cell r="K111">
            <v>0</v>
          </cell>
          <cell r="L111">
            <v>0</v>
          </cell>
          <cell r="M111">
            <v>0</v>
          </cell>
          <cell r="N111">
            <v>0</v>
          </cell>
          <cell r="O111">
            <v>0</v>
          </cell>
          <cell r="P111">
            <v>480000</v>
          </cell>
          <cell r="Q111">
            <v>480000</v>
          </cell>
          <cell r="R111">
            <v>0</v>
          </cell>
          <cell r="S111">
            <v>0</v>
          </cell>
          <cell r="T111">
            <v>1241571</v>
          </cell>
        </row>
        <row r="112">
          <cell r="C112">
            <v>8350990</v>
          </cell>
          <cell r="D112">
            <v>2019</v>
          </cell>
          <cell r="E112">
            <v>0</v>
          </cell>
          <cell r="F112">
            <v>0</v>
          </cell>
          <cell r="G112">
            <v>0</v>
          </cell>
          <cell r="H112">
            <v>1623500</v>
          </cell>
          <cell r="I112">
            <v>0</v>
          </cell>
          <cell r="J112">
            <v>0</v>
          </cell>
          <cell r="K112">
            <v>0</v>
          </cell>
          <cell r="L112">
            <v>0</v>
          </cell>
          <cell r="M112">
            <v>0</v>
          </cell>
          <cell r="N112">
            <v>0</v>
          </cell>
          <cell r="O112">
            <v>0</v>
          </cell>
          <cell r="P112">
            <v>250000</v>
          </cell>
          <cell r="Q112">
            <v>250000</v>
          </cell>
          <cell r="R112">
            <v>0</v>
          </cell>
          <cell r="S112">
            <v>0</v>
          </cell>
          <cell r="T112">
            <v>1873500</v>
          </cell>
        </row>
        <row r="113">
          <cell r="C113">
            <v>3054253</v>
          </cell>
          <cell r="D113">
            <v>2019</v>
          </cell>
          <cell r="E113">
            <v>150000</v>
          </cell>
          <cell r="F113">
            <v>0</v>
          </cell>
          <cell r="G113">
            <v>0</v>
          </cell>
          <cell r="H113">
            <v>465100</v>
          </cell>
          <cell r="I113">
            <v>0</v>
          </cell>
          <cell r="J113">
            <v>0</v>
          </cell>
          <cell r="K113">
            <v>0</v>
          </cell>
          <cell r="L113">
            <v>856252</v>
          </cell>
          <cell r="M113">
            <v>0</v>
          </cell>
          <cell r="N113">
            <v>0</v>
          </cell>
          <cell r="O113">
            <v>0</v>
          </cell>
          <cell r="P113">
            <v>50000</v>
          </cell>
          <cell r="Q113">
            <v>50000</v>
          </cell>
          <cell r="R113">
            <v>0</v>
          </cell>
          <cell r="S113">
            <v>0</v>
          </cell>
          <cell r="T113">
            <v>1521352</v>
          </cell>
        </row>
        <row r="114">
          <cell r="C114">
            <v>1738957</v>
          </cell>
          <cell r="D114">
            <v>2019</v>
          </cell>
          <cell r="E114">
            <v>0</v>
          </cell>
          <cell r="F114">
            <v>52605.14</v>
          </cell>
          <cell r="G114">
            <v>0</v>
          </cell>
          <cell r="H114">
            <v>1229970</v>
          </cell>
          <cell r="I114">
            <v>0</v>
          </cell>
          <cell r="J114">
            <v>0</v>
          </cell>
          <cell r="K114">
            <v>0</v>
          </cell>
          <cell r="L114">
            <v>0</v>
          </cell>
          <cell r="M114">
            <v>0</v>
          </cell>
          <cell r="N114">
            <v>0</v>
          </cell>
          <cell r="O114">
            <v>0</v>
          </cell>
          <cell r="P114">
            <v>164850</v>
          </cell>
          <cell r="Q114">
            <v>164850</v>
          </cell>
          <cell r="R114">
            <v>0</v>
          </cell>
          <cell r="S114">
            <v>0</v>
          </cell>
          <cell r="T114">
            <v>1447425.14</v>
          </cell>
        </row>
        <row r="115">
          <cell r="C115">
            <v>5040302</v>
          </cell>
          <cell r="D115">
            <v>2019</v>
          </cell>
          <cell r="E115">
            <v>0</v>
          </cell>
          <cell r="F115">
            <v>0</v>
          </cell>
          <cell r="G115">
            <v>0</v>
          </cell>
          <cell r="H115">
            <v>6629941</v>
          </cell>
          <cell r="I115">
            <v>0</v>
          </cell>
          <cell r="J115">
            <v>2936000</v>
          </cell>
          <cell r="K115">
            <v>0</v>
          </cell>
          <cell r="L115">
            <v>0</v>
          </cell>
          <cell r="M115">
            <v>0</v>
          </cell>
          <cell r="N115">
            <v>0</v>
          </cell>
          <cell r="O115">
            <v>0</v>
          </cell>
          <cell r="P115">
            <v>0</v>
          </cell>
          <cell r="Q115">
            <v>0</v>
          </cell>
          <cell r="R115">
            <v>0</v>
          </cell>
          <cell r="S115">
            <v>0</v>
          </cell>
          <cell r="T115">
            <v>9565941</v>
          </cell>
        </row>
        <row r="116">
          <cell r="C116">
            <v>4075651</v>
          </cell>
          <cell r="D116">
            <v>2019</v>
          </cell>
          <cell r="E116">
            <v>55327</v>
          </cell>
          <cell r="F116">
            <v>0</v>
          </cell>
          <cell r="G116">
            <v>0</v>
          </cell>
          <cell r="H116">
            <v>1234654</v>
          </cell>
          <cell r="I116">
            <v>0</v>
          </cell>
          <cell r="J116">
            <v>0</v>
          </cell>
          <cell r="K116">
            <v>0</v>
          </cell>
          <cell r="L116">
            <v>0</v>
          </cell>
          <cell r="M116">
            <v>0</v>
          </cell>
          <cell r="N116">
            <v>0</v>
          </cell>
          <cell r="O116">
            <v>0</v>
          </cell>
          <cell r="P116">
            <v>900000</v>
          </cell>
          <cell r="Q116">
            <v>900000</v>
          </cell>
          <cell r="R116">
            <v>0</v>
          </cell>
          <cell r="S116">
            <v>0</v>
          </cell>
          <cell r="T116">
            <v>2189981</v>
          </cell>
        </row>
        <row r="117">
          <cell r="C117">
            <v>4167967</v>
          </cell>
          <cell r="D117">
            <v>2019</v>
          </cell>
          <cell r="E117">
            <v>1500000</v>
          </cell>
          <cell r="F117">
            <v>0</v>
          </cell>
          <cell r="G117">
            <v>0</v>
          </cell>
          <cell r="H117">
            <v>0</v>
          </cell>
          <cell r="I117">
            <v>14500000</v>
          </cell>
          <cell r="J117">
            <v>0</v>
          </cell>
          <cell r="K117">
            <v>0</v>
          </cell>
          <cell r="L117">
            <v>0</v>
          </cell>
          <cell r="M117">
            <v>0</v>
          </cell>
          <cell r="N117">
            <v>0</v>
          </cell>
          <cell r="O117">
            <v>0</v>
          </cell>
          <cell r="P117">
            <v>52800</v>
          </cell>
          <cell r="Q117">
            <v>52800</v>
          </cell>
          <cell r="R117">
            <v>0</v>
          </cell>
          <cell r="S117">
            <v>520000</v>
          </cell>
          <cell r="T117">
            <v>16572800</v>
          </cell>
        </row>
        <row r="118">
          <cell r="C118">
            <v>4007320</v>
          </cell>
          <cell r="D118">
            <v>2019</v>
          </cell>
          <cell r="E118">
            <v>0</v>
          </cell>
          <cell r="F118">
            <v>0</v>
          </cell>
          <cell r="G118">
            <v>0</v>
          </cell>
          <cell r="H118">
            <v>634880</v>
          </cell>
          <cell r="I118">
            <v>0</v>
          </cell>
          <cell r="J118">
            <v>370000</v>
          </cell>
          <cell r="K118">
            <v>0</v>
          </cell>
          <cell r="L118">
            <v>0</v>
          </cell>
          <cell r="M118">
            <v>0</v>
          </cell>
          <cell r="N118">
            <v>0</v>
          </cell>
          <cell r="O118">
            <v>0</v>
          </cell>
          <cell r="P118">
            <v>0</v>
          </cell>
          <cell r="Q118">
            <v>0</v>
          </cell>
          <cell r="R118">
            <v>0</v>
          </cell>
          <cell r="S118">
            <v>0</v>
          </cell>
          <cell r="T118">
            <v>1004880</v>
          </cell>
        </row>
        <row r="119">
          <cell r="C119">
            <v>1172890</v>
          </cell>
          <cell r="D119">
            <v>2019</v>
          </cell>
          <cell r="E119">
            <v>0</v>
          </cell>
          <cell r="F119">
            <v>0</v>
          </cell>
          <cell r="G119">
            <v>0</v>
          </cell>
          <cell r="H119">
            <v>2948610</v>
          </cell>
          <cell r="I119">
            <v>0</v>
          </cell>
          <cell r="J119">
            <v>0</v>
          </cell>
          <cell r="K119">
            <v>0</v>
          </cell>
          <cell r="L119">
            <v>0</v>
          </cell>
          <cell r="M119">
            <v>0</v>
          </cell>
          <cell r="N119">
            <v>0</v>
          </cell>
          <cell r="O119">
            <v>83229</v>
          </cell>
          <cell r="P119">
            <v>0</v>
          </cell>
          <cell r="Q119">
            <v>83229</v>
          </cell>
          <cell r="R119">
            <v>0</v>
          </cell>
          <cell r="S119">
            <v>0</v>
          </cell>
          <cell r="T119">
            <v>3031839</v>
          </cell>
        </row>
        <row r="120">
          <cell r="C120">
            <v>2390992</v>
          </cell>
          <cell r="D120">
            <v>2019</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C121">
            <v>5871375</v>
          </cell>
          <cell r="D121">
            <v>2019</v>
          </cell>
          <cell r="E121">
            <v>128757</v>
          </cell>
          <cell r="F121">
            <v>0</v>
          </cell>
          <cell r="G121">
            <v>0</v>
          </cell>
          <cell r="H121">
            <v>3016720</v>
          </cell>
          <cell r="I121">
            <v>0</v>
          </cell>
          <cell r="J121">
            <v>0</v>
          </cell>
          <cell r="K121">
            <v>0</v>
          </cell>
          <cell r="L121">
            <v>0</v>
          </cell>
          <cell r="M121">
            <v>0</v>
          </cell>
          <cell r="N121">
            <v>0</v>
          </cell>
          <cell r="O121">
            <v>0</v>
          </cell>
          <cell r="P121">
            <v>0</v>
          </cell>
          <cell r="Q121">
            <v>0</v>
          </cell>
          <cell r="R121">
            <v>0</v>
          </cell>
          <cell r="S121">
            <v>2200000</v>
          </cell>
          <cell r="T121">
            <v>5345477</v>
          </cell>
        </row>
        <row r="122">
          <cell r="C122">
            <v>9478716</v>
          </cell>
          <cell r="D122">
            <v>2019</v>
          </cell>
          <cell r="E122">
            <v>46011</v>
          </cell>
          <cell r="F122">
            <v>0</v>
          </cell>
          <cell r="G122">
            <v>0</v>
          </cell>
          <cell r="H122">
            <v>93750</v>
          </cell>
          <cell r="I122">
            <v>0</v>
          </cell>
          <cell r="J122">
            <v>0</v>
          </cell>
          <cell r="K122">
            <v>0</v>
          </cell>
          <cell r="L122">
            <v>0</v>
          </cell>
          <cell r="M122">
            <v>0</v>
          </cell>
          <cell r="N122">
            <v>0</v>
          </cell>
          <cell r="O122">
            <v>0</v>
          </cell>
          <cell r="P122">
            <v>0</v>
          </cell>
          <cell r="Q122">
            <v>0</v>
          </cell>
          <cell r="R122">
            <v>0</v>
          </cell>
          <cell r="S122">
            <v>0</v>
          </cell>
          <cell r="T122">
            <v>139761</v>
          </cell>
        </row>
        <row r="123">
          <cell r="C123">
            <v>3595008</v>
          </cell>
          <cell r="D123">
            <v>2019</v>
          </cell>
          <cell r="E123">
            <v>0</v>
          </cell>
          <cell r="F123">
            <v>0</v>
          </cell>
          <cell r="G123">
            <v>0</v>
          </cell>
          <cell r="H123">
            <v>2510561</v>
          </cell>
          <cell r="I123">
            <v>0</v>
          </cell>
          <cell r="J123">
            <v>0</v>
          </cell>
          <cell r="K123">
            <v>0</v>
          </cell>
          <cell r="L123">
            <v>0</v>
          </cell>
          <cell r="M123">
            <v>0</v>
          </cell>
          <cell r="N123">
            <v>0</v>
          </cell>
          <cell r="O123">
            <v>0</v>
          </cell>
          <cell r="P123">
            <v>0</v>
          </cell>
          <cell r="Q123">
            <v>0</v>
          </cell>
          <cell r="R123">
            <v>0</v>
          </cell>
          <cell r="S123">
            <v>0</v>
          </cell>
          <cell r="T123">
            <v>2510561</v>
          </cell>
        </row>
        <row r="124">
          <cell r="C124">
            <v>5945407</v>
          </cell>
          <cell r="D124">
            <v>2019</v>
          </cell>
          <cell r="E124">
            <v>115703</v>
          </cell>
          <cell r="F124">
            <v>0</v>
          </cell>
          <cell r="G124">
            <v>0</v>
          </cell>
          <cell r="H124">
            <v>128450</v>
          </cell>
          <cell r="I124">
            <v>0</v>
          </cell>
          <cell r="J124">
            <v>0</v>
          </cell>
          <cell r="K124">
            <v>251298</v>
          </cell>
          <cell r="L124">
            <v>0</v>
          </cell>
          <cell r="M124">
            <v>0</v>
          </cell>
          <cell r="N124">
            <v>0</v>
          </cell>
          <cell r="O124">
            <v>0</v>
          </cell>
          <cell r="P124">
            <v>391200</v>
          </cell>
          <cell r="Q124">
            <v>391200</v>
          </cell>
          <cell r="R124">
            <v>0</v>
          </cell>
          <cell r="S124">
            <v>0</v>
          </cell>
          <cell r="T124">
            <v>886651</v>
          </cell>
        </row>
        <row r="125">
          <cell r="C125">
            <v>3736692</v>
          </cell>
          <cell r="D125">
            <v>2019</v>
          </cell>
          <cell r="E125">
            <v>0</v>
          </cell>
          <cell r="F125">
            <v>22000</v>
          </cell>
          <cell r="G125">
            <v>0</v>
          </cell>
          <cell r="H125">
            <v>537670</v>
          </cell>
          <cell r="I125">
            <v>0</v>
          </cell>
          <cell r="J125">
            <v>0</v>
          </cell>
          <cell r="K125">
            <v>0</v>
          </cell>
          <cell r="L125">
            <v>0</v>
          </cell>
          <cell r="M125">
            <v>0</v>
          </cell>
          <cell r="N125">
            <v>0</v>
          </cell>
          <cell r="O125">
            <v>0</v>
          </cell>
          <cell r="P125">
            <v>80000</v>
          </cell>
          <cell r="Q125">
            <v>80000</v>
          </cell>
          <cell r="R125">
            <v>0</v>
          </cell>
          <cell r="S125">
            <v>0</v>
          </cell>
          <cell r="T125">
            <v>639670</v>
          </cell>
        </row>
        <row r="126">
          <cell r="C126">
            <v>9666094</v>
          </cell>
          <cell r="D126">
            <v>2019</v>
          </cell>
          <cell r="E126">
            <v>0</v>
          </cell>
          <cell r="F126">
            <v>0</v>
          </cell>
          <cell r="G126">
            <v>0</v>
          </cell>
          <cell r="H126">
            <v>1985778</v>
          </cell>
          <cell r="I126">
            <v>0</v>
          </cell>
          <cell r="J126">
            <v>0</v>
          </cell>
          <cell r="K126">
            <v>0</v>
          </cell>
          <cell r="L126">
            <v>0</v>
          </cell>
          <cell r="M126">
            <v>0</v>
          </cell>
          <cell r="N126">
            <v>0</v>
          </cell>
          <cell r="O126">
            <v>0</v>
          </cell>
          <cell r="P126">
            <v>0</v>
          </cell>
          <cell r="Q126">
            <v>0</v>
          </cell>
          <cell r="R126">
            <v>0</v>
          </cell>
          <cell r="S126">
            <v>0</v>
          </cell>
          <cell r="T126">
            <v>1985778</v>
          </cell>
        </row>
        <row r="127">
          <cell r="C127">
            <v>1665958</v>
          </cell>
          <cell r="D127">
            <v>2019</v>
          </cell>
          <cell r="E127">
            <v>301000</v>
          </cell>
          <cell r="F127">
            <v>0</v>
          </cell>
          <cell r="G127">
            <v>0</v>
          </cell>
          <cell r="H127">
            <v>7348000</v>
          </cell>
          <cell r="I127">
            <v>0</v>
          </cell>
          <cell r="J127">
            <v>0</v>
          </cell>
          <cell r="K127">
            <v>0</v>
          </cell>
          <cell r="L127">
            <v>0</v>
          </cell>
          <cell r="M127">
            <v>0</v>
          </cell>
          <cell r="N127">
            <v>0</v>
          </cell>
          <cell r="O127">
            <v>50000</v>
          </cell>
          <cell r="P127">
            <v>0</v>
          </cell>
          <cell r="Q127">
            <v>50000</v>
          </cell>
          <cell r="R127">
            <v>0</v>
          </cell>
          <cell r="S127">
            <v>0</v>
          </cell>
          <cell r="T127">
            <v>7699000</v>
          </cell>
        </row>
        <row r="128">
          <cell r="C128">
            <v>7071797</v>
          </cell>
          <cell r="D128">
            <v>2019</v>
          </cell>
          <cell r="E128">
            <v>0</v>
          </cell>
          <cell r="F128">
            <v>0</v>
          </cell>
          <cell r="G128">
            <v>0</v>
          </cell>
          <cell r="H128">
            <v>1867270</v>
          </cell>
          <cell r="I128">
            <v>0</v>
          </cell>
          <cell r="J128">
            <v>2549108</v>
          </cell>
          <cell r="K128">
            <v>0</v>
          </cell>
          <cell r="L128">
            <v>0</v>
          </cell>
          <cell r="M128">
            <v>0</v>
          </cell>
          <cell r="N128">
            <v>0</v>
          </cell>
          <cell r="O128">
            <v>0</v>
          </cell>
          <cell r="P128">
            <v>0</v>
          </cell>
          <cell r="Q128">
            <v>0</v>
          </cell>
          <cell r="R128">
            <v>0</v>
          </cell>
          <cell r="S128">
            <v>0</v>
          </cell>
          <cell r="T128">
            <v>4416378</v>
          </cell>
        </row>
        <row r="129">
          <cell r="C129">
            <v>1671513</v>
          </cell>
          <cell r="D129">
            <v>2019</v>
          </cell>
          <cell r="E129">
            <v>0</v>
          </cell>
          <cell r="F129">
            <v>0</v>
          </cell>
          <cell r="G129">
            <v>0</v>
          </cell>
          <cell r="H129">
            <v>364926</v>
          </cell>
          <cell r="I129">
            <v>0</v>
          </cell>
          <cell r="J129">
            <v>0</v>
          </cell>
          <cell r="K129">
            <v>0</v>
          </cell>
          <cell r="L129">
            <v>0</v>
          </cell>
          <cell r="M129">
            <v>0</v>
          </cell>
          <cell r="N129">
            <v>0</v>
          </cell>
          <cell r="O129">
            <v>0</v>
          </cell>
          <cell r="P129">
            <v>0</v>
          </cell>
          <cell r="Q129">
            <v>0</v>
          </cell>
          <cell r="R129">
            <v>0</v>
          </cell>
          <cell r="S129">
            <v>0</v>
          </cell>
          <cell r="T129">
            <v>364926</v>
          </cell>
        </row>
        <row r="130">
          <cell r="C130">
            <v>2946425</v>
          </cell>
          <cell r="D130">
            <v>2019</v>
          </cell>
          <cell r="E130">
            <v>0</v>
          </cell>
          <cell r="F130">
            <v>0</v>
          </cell>
          <cell r="G130">
            <v>0</v>
          </cell>
          <cell r="H130">
            <v>1133866</v>
          </cell>
          <cell r="I130">
            <v>0</v>
          </cell>
          <cell r="J130">
            <v>0</v>
          </cell>
          <cell r="K130">
            <v>0</v>
          </cell>
          <cell r="L130">
            <v>0</v>
          </cell>
          <cell r="M130">
            <v>0</v>
          </cell>
          <cell r="N130">
            <v>0</v>
          </cell>
          <cell r="O130">
            <v>0</v>
          </cell>
          <cell r="P130">
            <v>0</v>
          </cell>
          <cell r="Q130">
            <v>0</v>
          </cell>
          <cell r="R130">
            <v>0</v>
          </cell>
          <cell r="S130">
            <v>0</v>
          </cell>
          <cell r="T130">
            <v>1133866</v>
          </cell>
        </row>
        <row r="131">
          <cell r="C131">
            <v>9328941</v>
          </cell>
          <cell r="D131">
            <v>2019</v>
          </cell>
          <cell r="E131">
            <v>219023</v>
          </cell>
          <cell r="F131">
            <v>0</v>
          </cell>
          <cell r="G131">
            <v>0</v>
          </cell>
          <cell r="H131">
            <v>1249077</v>
          </cell>
          <cell r="I131">
            <v>0</v>
          </cell>
          <cell r="J131">
            <v>0</v>
          </cell>
          <cell r="K131">
            <v>0</v>
          </cell>
          <cell r="L131">
            <v>0</v>
          </cell>
          <cell r="M131">
            <v>0</v>
          </cell>
          <cell r="N131">
            <v>0</v>
          </cell>
          <cell r="O131">
            <v>0</v>
          </cell>
          <cell r="P131">
            <v>100000</v>
          </cell>
          <cell r="Q131">
            <v>100000</v>
          </cell>
          <cell r="R131">
            <v>0</v>
          </cell>
          <cell r="S131">
            <v>0</v>
          </cell>
          <cell r="T131">
            <v>1568100</v>
          </cell>
        </row>
        <row r="132">
          <cell r="C132">
            <v>3943362</v>
          </cell>
          <cell r="D132">
            <v>2019</v>
          </cell>
          <cell r="E132">
            <v>0</v>
          </cell>
          <cell r="F132">
            <v>0</v>
          </cell>
          <cell r="G132">
            <v>0</v>
          </cell>
          <cell r="H132">
            <v>6267487</v>
          </cell>
          <cell r="I132">
            <v>0</v>
          </cell>
          <cell r="J132">
            <v>0</v>
          </cell>
          <cell r="K132">
            <v>0</v>
          </cell>
          <cell r="L132">
            <v>0</v>
          </cell>
          <cell r="M132">
            <v>0</v>
          </cell>
          <cell r="N132">
            <v>0</v>
          </cell>
          <cell r="O132">
            <v>0</v>
          </cell>
          <cell r="P132">
            <v>0</v>
          </cell>
          <cell r="Q132">
            <v>0</v>
          </cell>
          <cell r="R132">
            <v>0</v>
          </cell>
          <cell r="S132">
            <v>0</v>
          </cell>
          <cell r="T132">
            <v>6267487</v>
          </cell>
        </row>
        <row r="133">
          <cell r="C133">
            <v>5894253</v>
          </cell>
          <cell r="D133">
            <v>2019</v>
          </cell>
          <cell r="E133">
            <v>1431500</v>
          </cell>
          <cell r="F133">
            <v>0</v>
          </cell>
          <cell r="G133">
            <v>0</v>
          </cell>
          <cell r="H133">
            <v>3600000</v>
          </cell>
          <cell r="I133">
            <v>0</v>
          </cell>
          <cell r="J133">
            <v>0</v>
          </cell>
          <cell r="K133">
            <v>0</v>
          </cell>
          <cell r="L133">
            <v>0</v>
          </cell>
          <cell r="M133">
            <v>0</v>
          </cell>
          <cell r="N133">
            <v>0</v>
          </cell>
          <cell r="O133">
            <v>63500</v>
          </cell>
          <cell r="P133">
            <v>65000</v>
          </cell>
          <cell r="Q133">
            <v>128500</v>
          </cell>
          <cell r="R133">
            <v>0</v>
          </cell>
          <cell r="S133">
            <v>0</v>
          </cell>
          <cell r="T133">
            <v>5160000</v>
          </cell>
        </row>
        <row r="134">
          <cell r="C134">
            <v>5947102</v>
          </cell>
          <cell r="D134">
            <v>2019</v>
          </cell>
          <cell r="E134">
            <v>0</v>
          </cell>
          <cell r="F134">
            <v>36000</v>
          </cell>
          <cell r="G134">
            <v>0</v>
          </cell>
          <cell r="H134">
            <v>288150</v>
          </cell>
          <cell r="I134">
            <v>0</v>
          </cell>
          <cell r="J134">
            <v>0</v>
          </cell>
          <cell r="K134">
            <v>0</v>
          </cell>
          <cell r="L134">
            <v>0</v>
          </cell>
          <cell r="M134">
            <v>0</v>
          </cell>
          <cell r="N134">
            <v>0</v>
          </cell>
          <cell r="O134">
            <v>0</v>
          </cell>
          <cell r="P134">
            <v>150000</v>
          </cell>
          <cell r="Q134">
            <v>150000</v>
          </cell>
          <cell r="R134">
            <v>0</v>
          </cell>
          <cell r="S134">
            <v>0</v>
          </cell>
          <cell r="T134">
            <v>474150</v>
          </cell>
        </row>
        <row r="135">
          <cell r="C135">
            <v>8172268</v>
          </cell>
          <cell r="D135">
            <v>2019</v>
          </cell>
          <cell r="E135">
            <v>0</v>
          </cell>
          <cell r="F135">
            <v>0</v>
          </cell>
          <cell r="G135">
            <v>0</v>
          </cell>
          <cell r="H135">
            <v>2713420</v>
          </cell>
          <cell r="I135">
            <v>0</v>
          </cell>
          <cell r="J135">
            <v>0</v>
          </cell>
          <cell r="K135">
            <v>2503432</v>
          </cell>
          <cell r="L135">
            <v>193000</v>
          </cell>
          <cell r="M135">
            <v>0</v>
          </cell>
          <cell r="N135">
            <v>0</v>
          </cell>
          <cell r="O135">
            <v>0</v>
          </cell>
          <cell r="P135">
            <v>360000</v>
          </cell>
          <cell r="Q135">
            <v>360000</v>
          </cell>
          <cell r="R135">
            <v>4788066</v>
          </cell>
          <cell r="S135">
            <v>0</v>
          </cell>
          <cell r="T135">
            <v>10557918</v>
          </cell>
        </row>
        <row r="136">
          <cell r="C136">
            <v>2813433</v>
          </cell>
          <cell r="D136">
            <v>2019</v>
          </cell>
          <cell r="E136">
            <v>143077</v>
          </cell>
          <cell r="F136">
            <v>0</v>
          </cell>
          <cell r="G136">
            <v>0</v>
          </cell>
          <cell r="H136">
            <v>375000</v>
          </cell>
          <cell r="I136">
            <v>0</v>
          </cell>
          <cell r="J136">
            <v>0</v>
          </cell>
          <cell r="K136">
            <v>0</v>
          </cell>
          <cell r="L136">
            <v>0</v>
          </cell>
          <cell r="M136">
            <v>0</v>
          </cell>
          <cell r="N136">
            <v>0</v>
          </cell>
          <cell r="O136">
            <v>0</v>
          </cell>
          <cell r="P136">
            <v>0</v>
          </cell>
          <cell r="Q136">
            <v>0</v>
          </cell>
          <cell r="R136">
            <v>0</v>
          </cell>
          <cell r="S136">
            <v>0</v>
          </cell>
          <cell r="T136">
            <v>518077</v>
          </cell>
        </row>
        <row r="137">
          <cell r="C137">
            <v>1792038</v>
          </cell>
          <cell r="D137">
            <v>2019</v>
          </cell>
          <cell r="E137">
            <v>30753</v>
          </cell>
          <cell r="F137">
            <v>0</v>
          </cell>
          <cell r="G137">
            <v>0</v>
          </cell>
          <cell r="H137">
            <v>880000</v>
          </cell>
          <cell r="I137">
            <v>0</v>
          </cell>
          <cell r="J137">
            <v>0</v>
          </cell>
          <cell r="K137">
            <v>0</v>
          </cell>
          <cell r="L137">
            <v>0</v>
          </cell>
          <cell r="M137">
            <v>0</v>
          </cell>
          <cell r="N137">
            <v>0</v>
          </cell>
          <cell r="O137">
            <v>0</v>
          </cell>
          <cell r="P137">
            <v>110000</v>
          </cell>
          <cell r="Q137">
            <v>110000</v>
          </cell>
          <cell r="R137">
            <v>0</v>
          </cell>
          <cell r="S137">
            <v>51000</v>
          </cell>
          <cell r="T137">
            <v>1071753</v>
          </cell>
        </row>
        <row r="138">
          <cell r="C138">
            <v>5175408</v>
          </cell>
          <cell r="D138">
            <v>2019</v>
          </cell>
          <cell r="E138">
            <v>0</v>
          </cell>
          <cell r="F138">
            <v>0</v>
          </cell>
          <cell r="G138">
            <v>0</v>
          </cell>
          <cell r="H138">
            <v>281852</v>
          </cell>
          <cell r="I138">
            <v>0</v>
          </cell>
          <cell r="J138">
            <v>0</v>
          </cell>
          <cell r="K138">
            <v>0</v>
          </cell>
          <cell r="L138">
            <v>0</v>
          </cell>
          <cell r="M138">
            <v>0</v>
          </cell>
          <cell r="N138">
            <v>0</v>
          </cell>
          <cell r="O138">
            <v>0</v>
          </cell>
          <cell r="P138">
            <v>600000</v>
          </cell>
          <cell r="Q138">
            <v>600000</v>
          </cell>
          <cell r="R138">
            <v>0</v>
          </cell>
          <cell r="S138">
            <v>0</v>
          </cell>
          <cell r="T138">
            <v>881852</v>
          </cell>
        </row>
        <row r="139">
          <cell r="C139">
            <v>5814347</v>
          </cell>
          <cell r="D139">
            <v>2019</v>
          </cell>
          <cell r="E139">
            <v>29346</v>
          </cell>
          <cell r="F139">
            <v>70000</v>
          </cell>
          <cell r="G139">
            <v>0</v>
          </cell>
          <cell r="H139">
            <v>2244870</v>
          </cell>
          <cell r="I139">
            <v>0</v>
          </cell>
          <cell r="J139">
            <v>0</v>
          </cell>
          <cell r="K139">
            <v>0</v>
          </cell>
          <cell r="L139">
            <v>0</v>
          </cell>
          <cell r="M139">
            <v>0</v>
          </cell>
          <cell r="N139">
            <v>0</v>
          </cell>
          <cell r="O139">
            <v>0</v>
          </cell>
          <cell r="P139">
            <v>420000</v>
          </cell>
          <cell r="Q139">
            <v>420000</v>
          </cell>
          <cell r="R139">
            <v>645000</v>
          </cell>
          <cell r="S139">
            <v>0</v>
          </cell>
          <cell r="T139">
            <v>3409216</v>
          </cell>
        </row>
        <row r="140">
          <cell r="C140">
            <v>6989404</v>
          </cell>
          <cell r="D140">
            <v>2019</v>
          </cell>
          <cell r="E140">
            <v>168830</v>
          </cell>
          <cell r="F140">
            <v>0</v>
          </cell>
          <cell r="G140">
            <v>0</v>
          </cell>
          <cell r="H140">
            <v>584410</v>
          </cell>
          <cell r="I140">
            <v>0</v>
          </cell>
          <cell r="J140">
            <v>0</v>
          </cell>
          <cell r="K140">
            <v>0</v>
          </cell>
          <cell r="L140">
            <v>0</v>
          </cell>
          <cell r="M140">
            <v>0</v>
          </cell>
          <cell r="N140">
            <v>0</v>
          </cell>
          <cell r="O140">
            <v>0</v>
          </cell>
          <cell r="P140">
            <v>595000</v>
          </cell>
          <cell r="Q140">
            <v>595000</v>
          </cell>
          <cell r="R140">
            <v>0</v>
          </cell>
          <cell r="S140">
            <v>0</v>
          </cell>
          <cell r="T140">
            <v>1348240</v>
          </cell>
        </row>
        <row r="141">
          <cell r="C141">
            <v>6181040</v>
          </cell>
          <cell r="D141">
            <v>2019</v>
          </cell>
          <cell r="E141">
            <v>0</v>
          </cell>
          <cell r="F141">
            <v>0</v>
          </cell>
          <cell r="G141">
            <v>0</v>
          </cell>
          <cell r="H141">
            <v>111326</v>
          </cell>
          <cell r="I141">
            <v>0</v>
          </cell>
          <cell r="J141">
            <v>0</v>
          </cell>
          <cell r="K141">
            <v>0</v>
          </cell>
          <cell r="L141">
            <v>0</v>
          </cell>
          <cell r="M141">
            <v>0</v>
          </cell>
          <cell r="N141">
            <v>0</v>
          </cell>
          <cell r="O141">
            <v>0</v>
          </cell>
          <cell r="P141">
            <v>1761805</v>
          </cell>
          <cell r="Q141">
            <v>1761805</v>
          </cell>
          <cell r="R141">
            <v>0</v>
          </cell>
          <cell r="S141">
            <v>0</v>
          </cell>
          <cell r="T141">
            <v>1873131</v>
          </cell>
        </row>
        <row r="142">
          <cell r="C142">
            <v>9688838</v>
          </cell>
          <cell r="D142">
            <v>2019</v>
          </cell>
          <cell r="E142">
            <v>200000</v>
          </cell>
          <cell r="F142">
            <v>0</v>
          </cell>
          <cell r="G142">
            <v>0</v>
          </cell>
          <cell r="H142">
            <v>10521860</v>
          </cell>
          <cell r="I142">
            <v>0</v>
          </cell>
          <cell r="J142">
            <v>0</v>
          </cell>
          <cell r="K142">
            <v>0</v>
          </cell>
          <cell r="L142">
            <v>0</v>
          </cell>
          <cell r="M142">
            <v>0</v>
          </cell>
          <cell r="N142">
            <v>0</v>
          </cell>
          <cell r="O142">
            <v>0</v>
          </cell>
          <cell r="P142">
            <v>12567000</v>
          </cell>
          <cell r="Q142">
            <v>12567000</v>
          </cell>
          <cell r="R142">
            <v>0</v>
          </cell>
          <cell r="S142">
            <v>0</v>
          </cell>
          <cell r="T142">
            <v>23288860</v>
          </cell>
        </row>
        <row r="143">
          <cell r="C143">
            <v>8615860</v>
          </cell>
          <cell r="D143">
            <v>2019</v>
          </cell>
          <cell r="E143">
            <v>0</v>
          </cell>
          <cell r="F143">
            <v>93000</v>
          </cell>
          <cell r="G143">
            <v>0</v>
          </cell>
          <cell r="H143">
            <v>1372267</v>
          </cell>
          <cell r="I143">
            <v>0</v>
          </cell>
          <cell r="J143">
            <v>0</v>
          </cell>
          <cell r="K143">
            <v>0</v>
          </cell>
          <cell r="L143">
            <v>0</v>
          </cell>
          <cell r="M143">
            <v>0</v>
          </cell>
          <cell r="N143">
            <v>0</v>
          </cell>
          <cell r="O143">
            <v>6000</v>
          </cell>
          <cell r="P143">
            <v>155000</v>
          </cell>
          <cell r="Q143">
            <v>161000</v>
          </cell>
          <cell r="R143">
            <v>0</v>
          </cell>
          <cell r="S143">
            <v>11970</v>
          </cell>
          <cell r="T143">
            <v>1638237</v>
          </cell>
        </row>
        <row r="144">
          <cell r="C144">
            <v>3523407</v>
          </cell>
          <cell r="D144">
            <v>2019</v>
          </cell>
          <cell r="E144">
            <v>200000</v>
          </cell>
          <cell r="F144">
            <v>0</v>
          </cell>
          <cell r="G144">
            <v>0</v>
          </cell>
          <cell r="H144">
            <v>0</v>
          </cell>
          <cell r="I144">
            <v>1183105</v>
          </cell>
          <cell r="J144">
            <v>0</v>
          </cell>
          <cell r="K144">
            <v>0</v>
          </cell>
          <cell r="L144">
            <v>0</v>
          </cell>
          <cell r="M144">
            <v>0</v>
          </cell>
          <cell r="N144">
            <v>0</v>
          </cell>
          <cell r="O144">
            <v>0</v>
          </cell>
          <cell r="P144">
            <v>0</v>
          </cell>
          <cell r="Q144">
            <v>0</v>
          </cell>
          <cell r="R144">
            <v>0</v>
          </cell>
          <cell r="S144">
            <v>0</v>
          </cell>
          <cell r="T144">
            <v>1383105</v>
          </cell>
        </row>
        <row r="145">
          <cell r="C145">
            <v>7201840</v>
          </cell>
          <cell r="D145">
            <v>2019</v>
          </cell>
          <cell r="E145">
            <v>2621502</v>
          </cell>
          <cell r="F145">
            <v>0</v>
          </cell>
          <cell r="G145">
            <v>0</v>
          </cell>
          <cell r="H145">
            <v>5724000</v>
          </cell>
          <cell r="I145">
            <v>0</v>
          </cell>
          <cell r="J145">
            <v>0</v>
          </cell>
          <cell r="K145">
            <v>0</v>
          </cell>
          <cell r="L145">
            <v>0</v>
          </cell>
          <cell r="M145">
            <v>0</v>
          </cell>
          <cell r="N145">
            <v>0</v>
          </cell>
          <cell r="O145">
            <v>376362</v>
          </cell>
          <cell r="P145">
            <v>5428000</v>
          </cell>
          <cell r="Q145">
            <v>5804362</v>
          </cell>
          <cell r="R145">
            <v>0</v>
          </cell>
          <cell r="S145">
            <v>0</v>
          </cell>
          <cell r="T145">
            <v>14149864</v>
          </cell>
        </row>
        <row r="146">
          <cell r="C146">
            <v>8430922</v>
          </cell>
          <cell r="D146">
            <v>2019</v>
          </cell>
          <cell r="E146">
            <v>0</v>
          </cell>
          <cell r="F146">
            <v>0</v>
          </cell>
          <cell r="G146">
            <v>0</v>
          </cell>
          <cell r="H146">
            <v>868740</v>
          </cell>
          <cell r="I146">
            <v>0</v>
          </cell>
          <cell r="J146">
            <v>0</v>
          </cell>
          <cell r="K146">
            <v>0</v>
          </cell>
          <cell r="L146">
            <v>0</v>
          </cell>
          <cell r="M146">
            <v>0</v>
          </cell>
          <cell r="N146">
            <v>0</v>
          </cell>
          <cell r="O146">
            <v>0</v>
          </cell>
          <cell r="P146">
            <v>0</v>
          </cell>
          <cell r="Q146">
            <v>0</v>
          </cell>
          <cell r="R146">
            <v>0</v>
          </cell>
          <cell r="S146">
            <v>0</v>
          </cell>
          <cell r="T146">
            <v>868740</v>
          </cell>
        </row>
        <row r="147">
          <cell r="C147">
            <v>8508078</v>
          </cell>
          <cell r="D147">
            <v>2019</v>
          </cell>
          <cell r="E147">
            <v>0</v>
          </cell>
          <cell r="F147">
            <v>0</v>
          </cell>
          <cell r="G147">
            <v>0</v>
          </cell>
          <cell r="H147">
            <v>7185742</v>
          </cell>
          <cell r="I147">
            <v>0</v>
          </cell>
          <cell r="J147">
            <v>4520000</v>
          </cell>
          <cell r="K147">
            <v>0</v>
          </cell>
          <cell r="L147">
            <v>0</v>
          </cell>
          <cell r="M147">
            <v>0</v>
          </cell>
          <cell r="N147">
            <v>0</v>
          </cell>
          <cell r="O147">
            <v>0</v>
          </cell>
          <cell r="P147">
            <v>0</v>
          </cell>
          <cell r="Q147">
            <v>0</v>
          </cell>
          <cell r="R147">
            <v>0</v>
          </cell>
          <cell r="S147">
            <v>0</v>
          </cell>
          <cell r="T147">
            <v>11705742</v>
          </cell>
        </row>
        <row r="148">
          <cell r="C148">
            <v>9775815</v>
          </cell>
          <cell r="D148">
            <v>2019</v>
          </cell>
          <cell r="E148">
            <v>0</v>
          </cell>
          <cell r="F148">
            <v>0</v>
          </cell>
          <cell r="G148">
            <v>0</v>
          </cell>
          <cell r="H148">
            <v>605740</v>
          </cell>
          <cell r="I148">
            <v>0</v>
          </cell>
          <cell r="J148">
            <v>0</v>
          </cell>
          <cell r="K148">
            <v>0</v>
          </cell>
          <cell r="L148">
            <v>0</v>
          </cell>
          <cell r="M148">
            <v>0</v>
          </cell>
          <cell r="N148">
            <v>0</v>
          </cell>
          <cell r="O148">
            <v>0</v>
          </cell>
          <cell r="P148">
            <v>0</v>
          </cell>
          <cell r="Q148">
            <v>0</v>
          </cell>
          <cell r="R148">
            <v>0</v>
          </cell>
          <cell r="S148">
            <v>0</v>
          </cell>
          <cell r="T148">
            <v>605740</v>
          </cell>
        </row>
        <row r="149">
          <cell r="C149">
            <v>5922905</v>
          </cell>
          <cell r="D149">
            <v>2019</v>
          </cell>
          <cell r="E149">
            <v>0</v>
          </cell>
          <cell r="F149">
            <v>0</v>
          </cell>
          <cell r="G149">
            <v>0</v>
          </cell>
          <cell r="H149">
            <v>1625000</v>
          </cell>
          <cell r="I149">
            <v>0</v>
          </cell>
          <cell r="J149">
            <v>643778.09</v>
          </cell>
          <cell r="K149">
            <v>0</v>
          </cell>
          <cell r="L149">
            <v>0</v>
          </cell>
          <cell r="M149">
            <v>0</v>
          </cell>
          <cell r="N149">
            <v>0</v>
          </cell>
          <cell r="O149">
            <v>0</v>
          </cell>
          <cell r="P149">
            <v>80000</v>
          </cell>
          <cell r="Q149">
            <v>80000</v>
          </cell>
          <cell r="R149">
            <v>0</v>
          </cell>
          <cell r="S149">
            <v>0</v>
          </cell>
          <cell r="T149">
            <v>2348778.09</v>
          </cell>
        </row>
        <row r="150">
          <cell r="C150">
            <v>1647194</v>
          </cell>
          <cell r="D150">
            <v>2019</v>
          </cell>
          <cell r="E150">
            <v>107952</v>
          </cell>
          <cell r="F150">
            <v>0</v>
          </cell>
          <cell r="G150">
            <v>0</v>
          </cell>
          <cell r="H150">
            <v>685740</v>
          </cell>
          <cell r="I150">
            <v>0</v>
          </cell>
          <cell r="J150">
            <v>0</v>
          </cell>
          <cell r="K150">
            <v>0</v>
          </cell>
          <cell r="L150">
            <v>0</v>
          </cell>
          <cell r="M150">
            <v>0</v>
          </cell>
          <cell r="N150">
            <v>0</v>
          </cell>
          <cell r="O150">
            <v>0</v>
          </cell>
          <cell r="P150">
            <v>0</v>
          </cell>
          <cell r="Q150">
            <v>0</v>
          </cell>
          <cell r="R150">
            <v>0</v>
          </cell>
          <cell r="S150">
            <v>0</v>
          </cell>
          <cell r="T150">
            <v>793692</v>
          </cell>
        </row>
        <row r="151">
          <cell r="C151">
            <v>1872907</v>
          </cell>
          <cell r="D151">
            <v>2019</v>
          </cell>
          <cell r="E151">
            <v>0</v>
          </cell>
          <cell r="F151">
            <v>0</v>
          </cell>
          <cell r="G151">
            <v>0</v>
          </cell>
          <cell r="H151">
            <v>6220656</v>
          </cell>
          <cell r="I151">
            <v>0</v>
          </cell>
          <cell r="J151">
            <v>2984000</v>
          </cell>
          <cell r="K151">
            <v>0</v>
          </cell>
          <cell r="L151">
            <v>0</v>
          </cell>
          <cell r="M151">
            <v>0</v>
          </cell>
          <cell r="N151">
            <v>0</v>
          </cell>
          <cell r="O151">
            <v>0</v>
          </cell>
          <cell r="P151">
            <v>0</v>
          </cell>
          <cell r="Q151">
            <v>0</v>
          </cell>
          <cell r="R151">
            <v>0</v>
          </cell>
          <cell r="S151">
            <v>0</v>
          </cell>
          <cell r="T151">
            <v>9204656</v>
          </cell>
        </row>
        <row r="152">
          <cell r="C152">
            <v>3713907</v>
          </cell>
          <cell r="D152">
            <v>2019</v>
          </cell>
          <cell r="E152">
            <v>0</v>
          </cell>
          <cell r="F152">
            <v>0</v>
          </cell>
          <cell r="G152">
            <v>0</v>
          </cell>
          <cell r="H152">
            <v>14923149</v>
          </cell>
          <cell r="I152">
            <v>0</v>
          </cell>
          <cell r="J152">
            <v>6879000</v>
          </cell>
          <cell r="K152">
            <v>0</v>
          </cell>
          <cell r="L152">
            <v>0</v>
          </cell>
          <cell r="M152">
            <v>0</v>
          </cell>
          <cell r="N152">
            <v>0</v>
          </cell>
          <cell r="O152">
            <v>0</v>
          </cell>
          <cell r="P152">
            <v>0</v>
          </cell>
          <cell r="Q152">
            <v>0</v>
          </cell>
          <cell r="R152">
            <v>0</v>
          </cell>
          <cell r="S152">
            <v>0</v>
          </cell>
          <cell r="T152">
            <v>21802149</v>
          </cell>
        </row>
        <row r="153">
          <cell r="C153">
            <v>3529182</v>
          </cell>
          <cell r="D153">
            <v>2019</v>
          </cell>
          <cell r="E153">
            <v>0</v>
          </cell>
          <cell r="F153">
            <v>0</v>
          </cell>
          <cell r="G153">
            <v>0</v>
          </cell>
          <cell r="H153">
            <v>5364812</v>
          </cell>
          <cell r="I153">
            <v>0</v>
          </cell>
          <cell r="J153">
            <v>1696865</v>
          </cell>
          <cell r="K153">
            <v>0</v>
          </cell>
          <cell r="L153">
            <v>0</v>
          </cell>
          <cell r="M153">
            <v>0</v>
          </cell>
          <cell r="N153">
            <v>0</v>
          </cell>
          <cell r="O153">
            <v>0</v>
          </cell>
          <cell r="P153">
            <v>0</v>
          </cell>
          <cell r="Q153">
            <v>0</v>
          </cell>
          <cell r="R153">
            <v>0</v>
          </cell>
          <cell r="S153">
            <v>0</v>
          </cell>
          <cell r="T153">
            <v>7061677</v>
          </cell>
        </row>
        <row r="154">
          <cell r="C154">
            <v>1991772</v>
          </cell>
          <cell r="D154">
            <v>2019</v>
          </cell>
          <cell r="E154">
            <v>0</v>
          </cell>
          <cell r="F154">
            <v>0</v>
          </cell>
          <cell r="G154">
            <v>0</v>
          </cell>
          <cell r="H154">
            <v>6530764</v>
          </cell>
          <cell r="I154">
            <v>0</v>
          </cell>
          <cell r="J154">
            <v>1935000</v>
          </cell>
          <cell r="K154">
            <v>0</v>
          </cell>
          <cell r="L154">
            <v>0</v>
          </cell>
          <cell r="M154">
            <v>0</v>
          </cell>
          <cell r="N154">
            <v>0</v>
          </cell>
          <cell r="O154">
            <v>0</v>
          </cell>
          <cell r="P154">
            <v>0</v>
          </cell>
          <cell r="Q154">
            <v>0</v>
          </cell>
          <cell r="R154">
            <v>0</v>
          </cell>
          <cell r="S154">
            <v>0</v>
          </cell>
          <cell r="T154">
            <v>8465764</v>
          </cell>
        </row>
        <row r="155">
          <cell r="C155">
            <v>1878615</v>
          </cell>
          <cell r="D155">
            <v>2019</v>
          </cell>
          <cell r="E155">
            <v>0</v>
          </cell>
          <cell r="F155">
            <v>0</v>
          </cell>
          <cell r="G155">
            <v>0</v>
          </cell>
          <cell r="H155">
            <v>535450</v>
          </cell>
          <cell r="I155">
            <v>0</v>
          </cell>
          <cell r="J155">
            <v>272100</v>
          </cell>
          <cell r="K155">
            <v>0</v>
          </cell>
          <cell r="L155">
            <v>0</v>
          </cell>
          <cell r="M155">
            <v>0</v>
          </cell>
          <cell r="N155">
            <v>0</v>
          </cell>
          <cell r="O155">
            <v>0</v>
          </cell>
          <cell r="P155">
            <v>0</v>
          </cell>
          <cell r="Q155">
            <v>0</v>
          </cell>
          <cell r="R155">
            <v>0</v>
          </cell>
          <cell r="S155">
            <v>0</v>
          </cell>
          <cell r="T155">
            <v>807550</v>
          </cell>
        </row>
        <row r="156">
          <cell r="C156">
            <v>9268423</v>
          </cell>
          <cell r="D156">
            <v>2019</v>
          </cell>
          <cell r="E156">
            <v>0</v>
          </cell>
          <cell r="F156">
            <v>651000</v>
          </cell>
          <cell r="G156">
            <v>0</v>
          </cell>
          <cell r="H156">
            <v>7973026</v>
          </cell>
          <cell r="I156">
            <v>0</v>
          </cell>
          <cell r="J156">
            <v>0</v>
          </cell>
          <cell r="K156">
            <v>0</v>
          </cell>
          <cell r="L156">
            <v>0</v>
          </cell>
          <cell r="M156">
            <v>0</v>
          </cell>
          <cell r="N156">
            <v>0</v>
          </cell>
          <cell r="O156">
            <v>10000</v>
          </cell>
          <cell r="P156">
            <v>3005000</v>
          </cell>
          <cell r="Q156">
            <v>3015000</v>
          </cell>
          <cell r="R156">
            <v>0</v>
          </cell>
          <cell r="S156">
            <v>0</v>
          </cell>
          <cell r="T156">
            <v>11639026</v>
          </cell>
        </row>
        <row r="157">
          <cell r="C157">
            <v>2583952</v>
          </cell>
          <cell r="D157">
            <v>2019</v>
          </cell>
          <cell r="E157">
            <v>150000</v>
          </cell>
          <cell r="F157">
            <v>0</v>
          </cell>
          <cell r="G157">
            <v>0</v>
          </cell>
          <cell r="H157">
            <v>1224492</v>
          </cell>
          <cell r="I157">
            <v>0</v>
          </cell>
          <cell r="J157">
            <v>0</v>
          </cell>
          <cell r="K157">
            <v>0</v>
          </cell>
          <cell r="L157">
            <v>0</v>
          </cell>
          <cell r="M157">
            <v>0</v>
          </cell>
          <cell r="N157">
            <v>0</v>
          </cell>
          <cell r="O157">
            <v>0</v>
          </cell>
          <cell r="P157">
            <v>60000</v>
          </cell>
          <cell r="Q157">
            <v>60000</v>
          </cell>
          <cell r="R157">
            <v>0</v>
          </cell>
          <cell r="S157">
            <v>32951</v>
          </cell>
          <cell r="T157">
            <v>1467443</v>
          </cell>
        </row>
        <row r="158">
          <cell r="C158">
            <v>1715626</v>
          </cell>
          <cell r="D158">
            <v>2019</v>
          </cell>
          <cell r="E158">
            <v>0</v>
          </cell>
          <cell r="F158">
            <v>158000</v>
          </cell>
          <cell r="G158">
            <v>0</v>
          </cell>
          <cell r="H158">
            <v>3597150</v>
          </cell>
          <cell r="I158">
            <v>0</v>
          </cell>
          <cell r="J158">
            <v>0</v>
          </cell>
          <cell r="K158">
            <v>0</v>
          </cell>
          <cell r="L158">
            <v>0</v>
          </cell>
          <cell r="M158">
            <v>0</v>
          </cell>
          <cell r="N158">
            <v>0</v>
          </cell>
          <cell r="O158">
            <v>0</v>
          </cell>
          <cell r="P158">
            <v>150000</v>
          </cell>
          <cell r="Q158">
            <v>150000</v>
          </cell>
          <cell r="R158">
            <v>0</v>
          </cell>
          <cell r="S158">
            <v>0</v>
          </cell>
          <cell r="T158">
            <v>3905150</v>
          </cell>
        </row>
        <row r="159">
          <cell r="C159">
            <v>9924037</v>
          </cell>
          <cell r="D159">
            <v>2019</v>
          </cell>
          <cell r="E159">
            <v>0</v>
          </cell>
          <cell r="F159">
            <v>0</v>
          </cell>
          <cell r="G159">
            <v>0</v>
          </cell>
          <cell r="H159">
            <v>2196410</v>
          </cell>
          <cell r="I159">
            <v>0</v>
          </cell>
          <cell r="J159">
            <v>1723310</v>
          </cell>
          <cell r="K159">
            <v>0</v>
          </cell>
          <cell r="L159">
            <v>0</v>
          </cell>
          <cell r="M159">
            <v>0</v>
          </cell>
          <cell r="N159">
            <v>0</v>
          </cell>
          <cell r="O159">
            <v>0</v>
          </cell>
          <cell r="P159">
            <v>0</v>
          </cell>
          <cell r="Q159">
            <v>0</v>
          </cell>
          <cell r="R159">
            <v>0</v>
          </cell>
          <cell r="S159">
            <v>0</v>
          </cell>
          <cell r="T159">
            <v>3919720</v>
          </cell>
        </row>
        <row r="160">
          <cell r="C160">
            <v>6907978</v>
          </cell>
          <cell r="D160">
            <v>2019</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row>
        <row r="161">
          <cell r="C161">
            <v>6232669</v>
          </cell>
          <cell r="D161">
            <v>2019</v>
          </cell>
          <cell r="E161">
            <v>0</v>
          </cell>
          <cell r="F161">
            <v>0</v>
          </cell>
          <cell r="G161">
            <v>0</v>
          </cell>
          <cell r="H161">
            <v>1579046</v>
          </cell>
          <cell r="I161">
            <v>0</v>
          </cell>
          <cell r="J161">
            <v>0</v>
          </cell>
          <cell r="K161">
            <v>0</v>
          </cell>
          <cell r="L161">
            <v>0</v>
          </cell>
          <cell r="M161">
            <v>0</v>
          </cell>
          <cell r="N161">
            <v>0</v>
          </cell>
          <cell r="O161">
            <v>46542</v>
          </cell>
          <cell r="P161">
            <v>0</v>
          </cell>
          <cell r="Q161">
            <v>46542</v>
          </cell>
          <cell r="R161">
            <v>0</v>
          </cell>
          <cell r="S161">
            <v>0</v>
          </cell>
          <cell r="T161">
            <v>1625588</v>
          </cell>
        </row>
        <row r="162">
          <cell r="C162">
            <v>9199716</v>
          </cell>
          <cell r="D162">
            <v>2019</v>
          </cell>
          <cell r="E162">
            <v>349751</v>
          </cell>
          <cell r="F162">
            <v>0</v>
          </cell>
          <cell r="G162">
            <v>0</v>
          </cell>
          <cell r="H162">
            <v>1317750</v>
          </cell>
          <cell r="I162">
            <v>0</v>
          </cell>
          <cell r="J162">
            <v>0</v>
          </cell>
          <cell r="K162">
            <v>0</v>
          </cell>
          <cell r="L162">
            <v>0</v>
          </cell>
          <cell r="M162">
            <v>0</v>
          </cell>
          <cell r="N162">
            <v>0</v>
          </cell>
          <cell r="O162">
            <v>340270</v>
          </cell>
          <cell r="P162">
            <v>651000</v>
          </cell>
          <cell r="Q162">
            <v>991270</v>
          </cell>
          <cell r="R162">
            <v>0</v>
          </cell>
          <cell r="S162">
            <v>0</v>
          </cell>
          <cell r="T162">
            <v>2658771</v>
          </cell>
        </row>
        <row r="163">
          <cell r="C163">
            <v>6698987</v>
          </cell>
          <cell r="D163">
            <v>2019</v>
          </cell>
          <cell r="E163">
            <v>0</v>
          </cell>
          <cell r="F163">
            <v>0</v>
          </cell>
          <cell r="G163">
            <v>0</v>
          </cell>
          <cell r="H163">
            <v>665328</v>
          </cell>
          <cell r="I163">
            <v>0</v>
          </cell>
          <cell r="J163">
            <v>0</v>
          </cell>
          <cell r="K163">
            <v>0</v>
          </cell>
          <cell r="L163">
            <v>0</v>
          </cell>
          <cell r="M163">
            <v>0</v>
          </cell>
          <cell r="N163">
            <v>0</v>
          </cell>
          <cell r="O163">
            <v>0</v>
          </cell>
          <cell r="P163">
            <v>200000</v>
          </cell>
          <cell r="Q163">
            <v>200000</v>
          </cell>
          <cell r="R163">
            <v>0</v>
          </cell>
          <cell r="S163">
            <v>0</v>
          </cell>
          <cell r="T163">
            <v>865328</v>
          </cell>
        </row>
        <row r="164">
          <cell r="C164">
            <v>9593192</v>
          </cell>
          <cell r="D164">
            <v>2019</v>
          </cell>
          <cell r="E164">
            <v>0</v>
          </cell>
          <cell r="F164">
            <v>0</v>
          </cell>
          <cell r="G164">
            <v>0</v>
          </cell>
          <cell r="H164">
            <v>11622390</v>
          </cell>
          <cell r="I164">
            <v>0</v>
          </cell>
          <cell r="J164">
            <v>0</v>
          </cell>
          <cell r="K164">
            <v>0</v>
          </cell>
          <cell r="L164">
            <v>0</v>
          </cell>
          <cell r="M164">
            <v>0</v>
          </cell>
          <cell r="N164">
            <v>0</v>
          </cell>
          <cell r="O164">
            <v>0</v>
          </cell>
          <cell r="P164">
            <v>0</v>
          </cell>
          <cell r="Q164">
            <v>0</v>
          </cell>
          <cell r="R164">
            <v>0</v>
          </cell>
          <cell r="S164">
            <v>0</v>
          </cell>
          <cell r="T164">
            <v>11622390</v>
          </cell>
        </row>
        <row r="165">
          <cell r="C165">
            <v>5220717</v>
          </cell>
          <cell r="D165">
            <v>2019</v>
          </cell>
          <cell r="E165">
            <v>0</v>
          </cell>
          <cell r="F165">
            <v>0</v>
          </cell>
          <cell r="G165">
            <v>0</v>
          </cell>
          <cell r="H165">
            <v>13910117</v>
          </cell>
          <cell r="I165">
            <v>0</v>
          </cell>
          <cell r="J165">
            <v>5814209</v>
          </cell>
          <cell r="K165">
            <v>0</v>
          </cell>
          <cell r="L165">
            <v>1213478</v>
          </cell>
          <cell r="M165">
            <v>0</v>
          </cell>
          <cell r="N165">
            <v>0</v>
          </cell>
          <cell r="O165">
            <v>0</v>
          </cell>
          <cell r="P165">
            <v>0</v>
          </cell>
          <cell r="Q165">
            <v>0</v>
          </cell>
          <cell r="R165">
            <v>0</v>
          </cell>
          <cell r="S165">
            <v>0</v>
          </cell>
          <cell r="T165">
            <v>20937804</v>
          </cell>
        </row>
        <row r="166">
          <cell r="C166">
            <v>3673053</v>
          </cell>
          <cell r="D166">
            <v>2019</v>
          </cell>
          <cell r="E166">
            <v>0</v>
          </cell>
          <cell r="F166">
            <v>0</v>
          </cell>
          <cell r="G166">
            <v>0</v>
          </cell>
          <cell r="H166">
            <v>8898350</v>
          </cell>
          <cell r="I166">
            <v>0</v>
          </cell>
          <cell r="J166">
            <v>0</v>
          </cell>
          <cell r="K166">
            <v>0</v>
          </cell>
          <cell r="L166">
            <v>0</v>
          </cell>
          <cell r="M166">
            <v>0</v>
          </cell>
          <cell r="N166">
            <v>0</v>
          </cell>
          <cell r="O166">
            <v>76000</v>
          </cell>
          <cell r="P166">
            <v>1350500</v>
          </cell>
          <cell r="Q166">
            <v>1426500</v>
          </cell>
          <cell r="R166">
            <v>0</v>
          </cell>
          <cell r="S166">
            <v>19000</v>
          </cell>
          <cell r="T166">
            <v>10343850</v>
          </cell>
        </row>
        <row r="167">
          <cell r="C167">
            <v>5869239</v>
          </cell>
          <cell r="D167">
            <v>2019</v>
          </cell>
          <cell r="E167">
            <v>0</v>
          </cell>
          <cell r="F167">
            <v>0</v>
          </cell>
          <cell r="G167">
            <v>0</v>
          </cell>
          <cell r="H167">
            <v>13451430</v>
          </cell>
          <cell r="I167">
            <v>0</v>
          </cell>
          <cell r="J167">
            <v>5107000</v>
          </cell>
          <cell r="K167">
            <v>0</v>
          </cell>
          <cell r="L167">
            <v>0</v>
          </cell>
          <cell r="M167">
            <v>0</v>
          </cell>
          <cell r="N167">
            <v>0</v>
          </cell>
          <cell r="O167">
            <v>0</v>
          </cell>
          <cell r="P167">
            <v>0</v>
          </cell>
          <cell r="Q167">
            <v>0</v>
          </cell>
          <cell r="R167">
            <v>0</v>
          </cell>
          <cell r="S167">
            <v>0</v>
          </cell>
          <cell r="T167">
            <v>18558430</v>
          </cell>
        </row>
        <row r="168">
          <cell r="C168">
            <v>7741294</v>
          </cell>
          <cell r="D168">
            <v>2019</v>
          </cell>
          <cell r="E168">
            <v>0</v>
          </cell>
          <cell r="F168">
            <v>101000</v>
          </cell>
          <cell r="G168">
            <v>0</v>
          </cell>
          <cell r="H168">
            <v>1419144</v>
          </cell>
          <cell r="I168">
            <v>0</v>
          </cell>
          <cell r="J168">
            <v>0</v>
          </cell>
          <cell r="K168">
            <v>0</v>
          </cell>
          <cell r="L168">
            <v>0</v>
          </cell>
          <cell r="M168">
            <v>0</v>
          </cell>
          <cell r="N168">
            <v>0</v>
          </cell>
          <cell r="O168">
            <v>10000</v>
          </cell>
          <cell r="P168">
            <v>720000</v>
          </cell>
          <cell r="Q168">
            <v>730000</v>
          </cell>
          <cell r="R168">
            <v>0</v>
          </cell>
          <cell r="S168">
            <v>0</v>
          </cell>
          <cell r="T168">
            <v>2250144</v>
          </cell>
        </row>
        <row r="169">
          <cell r="C169">
            <v>1201932</v>
          </cell>
          <cell r="D169">
            <v>2019</v>
          </cell>
          <cell r="E169">
            <v>46960</v>
          </cell>
          <cell r="F169">
            <v>60000</v>
          </cell>
          <cell r="G169">
            <v>0</v>
          </cell>
          <cell r="H169">
            <v>1782000</v>
          </cell>
          <cell r="I169">
            <v>0</v>
          </cell>
          <cell r="J169">
            <v>0</v>
          </cell>
          <cell r="K169">
            <v>0</v>
          </cell>
          <cell r="L169">
            <v>0</v>
          </cell>
          <cell r="M169">
            <v>0</v>
          </cell>
          <cell r="N169">
            <v>0</v>
          </cell>
          <cell r="O169">
            <v>0</v>
          </cell>
          <cell r="P169">
            <v>340000</v>
          </cell>
          <cell r="Q169">
            <v>340000</v>
          </cell>
          <cell r="R169">
            <v>847190</v>
          </cell>
          <cell r="S169">
            <v>0</v>
          </cell>
          <cell r="T169">
            <v>3076150</v>
          </cell>
        </row>
        <row r="170">
          <cell r="C170">
            <v>3921078</v>
          </cell>
          <cell r="D170">
            <v>2019</v>
          </cell>
          <cell r="E170">
            <v>0</v>
          </cell>
          <cell r="F170">
            <v>0</v>
          </cell>
          <cell r="G170">
            <v>0</v>
          </cell>
          <cell r="H170">
            <v>716300</v>
          </cell>
          <cell r="I170">
            <v>0</v>
          </cell>
          <cell r="J170">
            <v>0</v>
          </cell>
          <cell r="K170">
            <v>0</v>
          </cell>
          <cell r="L170">
            <v>0</v>
          </cell>
          <cell r="M170">
            <v>0</v>
          </cell>
          <cell r="N170">
            <v>0</v>
          </cell>
          <cell r="O170">
            <v>0</v>
          </cell>
          <cell r="P170">
            <v>0</v>
          </cell>
          <cell r="Q170">
            <v>0</v>
          </cell>
          <cell r="R170">
            <v>0</v>
          </cell>
          <cell r="S170">
            <v>0</v>
          </cell>
          <cell r="T170">
            <v>716300</v>
          </cell>
        </row>
        <row r="171">
          <cell r="C171">
            <v>5376966</v>
          </cell>
          <cell r="D171">
            <v>2019</v>
          </cell>
          <cell r="E171">
            <v>0</v>
          </cell>
          <cell r="F171">
            <v>0</v>
          </cell>
          <cell r="G171">
            <v>0</v>
          </cell>
          <cell r="H171">
            <v>8268855</v>
          </cell>
          <cell r="I171">
            <v>0</v>
          </cell>
          <cell r="J171">
            <v>0</v>
          </cell>
          <cell r="K171">
            <v>0</v>
          </cell>
          <cell r="L171">
            <v>243056</v>
          </cell>
          <cell r="M171">
            <v>0</v>
          </cell>
          <cell r="N171">
            <v>0</v>
          </cell>
          <cell r="O171">
            <v>101300</v>
          </cell>
          <cell r="P171">
            <v>4280000</v>
          </cell>
          <cell r="Q171">
            <v>4381300</v>
          </cell>
          <cell r="R171">
            <v>0</v>
          </cell>
          <cell r="S171">
            <v>0</v>
          </cell>
          <cell r="T171">
            <v>12893211</v>
          </cell>
        </row>
        <row r="172">
          <cell r="C172">
            <v>5204562</v>
          </cell>
          <cell r="D172">
            <v>2019</v>
          </cell>
          <cell r="E172">
            <v>227286</v>
          </cell>
          <cell r="F172">
            <v>0</v>
          </cell>
          <cell r="G172">
            <v>0</v>
          </cell>
          <cell r="H172">
            <v>480000</v>
          </cell>
          <cell r="I172">
            <v>0</v>
          </cell>
          <cell r="J172">
            <v>0</v>
          </cell>
          <cell r="K172">
            <v>0</v>
          </cell>
          <cell r="L172">
            <v>0</v>
          </cell>
          <cell r="M172">
            <v>0</v>
          </cell>
          <cell r="N172">
            <v>0</v>
          </cell>
          <cell r="O172">
            <v>22496</v>
          </cell>
          <cell r="P172">
            <v>0</v>
          </cell>
          <cell r="Q172">
            <v>22496</v>
          </cell>
          <cell r="R172">
            <v>0</v>
          </cell>
          <cell r="S172">
            <v>0</v>
          </cell>
          <cell r="T172">
            <v>729782</v>
          </cell>
        </row>
        <row r="173">
          <cell r="C173">
            <v>4878719</v>
          </cell>
          <cell r="D173">
            <v>2019</v>
          </cell>
          <cell r="E173">
            <v>0</v>
          </cell>
          <cell r="F173">
            <v>0</v>
          </cell>
          <cell r="G173">
            <v>0</v>
          </cell>
          <cell r="H173">
            <v>1117120</v>
          </cell>
          <cell r="I173">
            <v>0</v>
          </cell>
          <cell r="J173">
            <v>0</v>
          </cell>
          <cell r="K173">
            <v>0</v>
          </cell>
          <cell r="L173">
            <v>0</v>
          </cell>
          <cell r="M173">
            <v>0</v>
          </cell>
          <cell r="N173">
            <v>0</v>
          </cell>
          <cell r="O173">
            <v>0</v>
          </cell>
          <cell r="P173">
            <v>1000000</v>
          </cell>
          <cell r="Q173">
            <v>1000000</v>
          </cell>
          <cell r="R173">
            <v>0</v>
          </cell>
          <cell r="S173">
            <v>0</v>
          </cell>
          <cell r="T173">
            <v>2117120</v>
          </cell>
        </row>
        <row r="174">
          <cell r="C174">
            <v>4659873</v>
          </cell>
          <cell r="D174">
            <v>2019</v>
          </cell>
          <cell r="E174">
            <v>191965</v>
          </cell>
          <cell r="F174">
            <v>0</v>
          </cell>
          <cell r="G174">
            <v>0</v>
          </cell>
          <cell r="H174">
            <v>1205810</v>
          </cell>
          <cell r="I174">
            <v>0</v>
          </cell>
          <cell r="J174">
            <v>0</v>
          </cell>
          <cell r="K174">
            <v>0</v>
          </cell>
          <cell r="L174">
            <v>0</v>
          </cell>
          <cell r="M174">
            <v>0</v>
          </cell>
          <cell r="N174">
            <v>0</v>
          </cell>
          <cell r="O174">
            <v>0</v>
          </cell>
          <cell r="P174">
            <v>0</v>
          </cell>
          <cell r="Q174">
            <v>0</v>
          </cell>
          <cell r="R174">
            <v>0</v>
          </cell>
          <cell r="S174">
            <v>0</v>
          </cell>
          <cell r="T174">
            <v>1397775</v>
          </cell>
        </row>
        <row r="175">
          <cell r="C175">
            <v>8299792</v>
          </cell>
          <cell r="D175">
            <v>2019</v>
          </cell>
          <cell r="E175">
            <v>0</v>
          </cell>
          <cell r="F175">
            <v>112000</v>
          </cell>
          <cell r="G175">
            <v>0</v>
          </cell>
          <cell r="H175">
            <v>1165820</v>
          </cell>
          <cell r="I175">
            <v>0</v>
          </cell>
          <cell r="J175">
            <v>0</v>
          </cell>
          <cell r="K175">
            <v>0</v>
          </cell>
          <cell r="L175">
            <v>0</v>
          </cell>
          <cell r="M175">
            <v>0</v>
          </cell>
          <cell r="N175">
            <v>0</v>
          </cell>
          <cell r="O175">
            <v>0</v>
          </cell>
          <cell r="P175">
            <v>220000</v>
          </cell>
          <cell r="Q175">
            <v>220000</v>
          </cell>
          <cell r="R175">
            <v>0</v>
          </cell>
          <cell r="S175">
            <v>0</v>
          </cell>
          <cell r="T175">
            <v>1497820</v>
          </cell>
        </row>
        <row r="176">
          <cell r="C176">
            <v>5000179</v>
          </cell>
          <cell r="D176">
            <v>2019</v>
          </cell>
          <cell r="E176">
            <v>0</v>
          </cell>
          <cell r="F176">
            <v>0</v>
          </cell>
          <cell r="G176">
            <v>0</v>
          </cell>
          <cell r="H176">
            <v>24865973</v>
          </cell>
          <cell r="I176">
            <v>0</v>
          </cell>
          <cell r="J176">
            <v>11973000</v>
          </cell>
          <cell r="K176">
            <v>0</v>
          </cell>
          <cell r="L176">
            <v>0</v>
          </cell>
          <cell r="M176">
            <v>0</v>
          </cell>
          <cell r="N176">
            <v>0</v>
          </cell>
          <cell r="O176">
            <v>0</v>
          </cell>
          <cell r="P176">
            <v>0</v>
          </cell>
          <cell r="Q176">
            <v>0</v>
          </cell>
          <cell r="R176">
            <v>0</v>
          </cell>
          <cell r="S176">
            <v>0</v>
          </cell>
          <cell r="T176">
            <v>36838973</v>
          </cell>
        </row>
        <row r="177">
          <cell r="C177">
            <v>4720531</v>
          </cell>
          <cell r="D177">
            <v>2019</v>
          </cell>
          <cell r="E177">
            <v>0</v>
          </cell>
          <cell r="F177">
            <v>0</v>
          </cell>
          <cell r="G177">
            <v>0</v>
          </cell>
          <cell r="H177">
            <v>477570</v>
          </cell>
          <cell r="I177">
            <v>0</v>
          </cell>
          <cell r="J177">
            <v>0</v>
          </cell>
          <cell r="K177">
            <v>0</v>
          </cell>
          <cell r="L177">
            <v>0</v>
          </cell>
          <cell r="M177">
            <v>0</v>
          </cell>
          <cell r="N177">
            <v>0</v>
          </cell>
          <cell r="O177">
            <v>0</v>
          </cell>
          <cell r="P177">
            <v>207067</v>
          </cell>
          <cell r="Q177">
            <v>207067</v>
          </cell>
          <cell r="R177">
            <v>0</v>
          </cell>
          <cell r="S177">
            <v>0</v>
          </cell>
          <cell r="T177">
            <v>684637</v>
          </cell>
        </row>
        <row r="178">
          <cell r="C178">
            <v>1494293</v>
          </cell>
          <cell r="D178">
            <v>2019</v>
          </cell>
          <cell r="E178">
            <v>0</v>
          </cell>
          <cell r="F178">
            <v>0</v>
          </cell>
          <cell r="G178">
            <v>0</v>
          </cell>
          <cell r="H178">
            <v>1027900</v>
          </cell>
          <cell r="I178">
            <v>0</v>
          </cell>
          <cell r="J178">
            <v>0</v>
          </cell>
          <cell r="K178">
            <v>0</v>
          </cell>
          <cell r="L178">
            <v>0</v>
          </cell>
          <cell r="M178">
            <v>0</v>
          </cell>
          <cell r="N178">
            <v>0</v>
          </cell>
          <cell r="O178">
            <v>0</v>
          </cell>
          <cell r="P178">
            <v>95000</v>
          </cell>
          <cell r="Q178">
            <v>95000</v>
          </cell>
          <cell r="R178">
            <v>0</v>
          </cell>
          <cell r="S178">
            <v>0</v>
          </cell>
          <cell r="T178">
            <v>1122900</v>
          </cell>
        </row>
        <row r="179">
          <cell r="C179">
            <v>6163071</v>
          </cell>
          <cell r="D179">
            <v>2019</v>
          </cell>
          <cell r="E179">
            <v>0</v>
          </cell>
          <cell r="F179">
            <v>0</v>
          </cell>
          <cell r="G179">
            <v>0</v>
          </cell>
          <cell r="H179">
            <v>579155</v>
          </cell>
          <cell r="I179">
            <v>0</v>
          </cell>
          <cell r="J179">
            <v>240000</v>
          </cell>
          <cell r="K179">
            <v>0</v>
          </cell>
          <cell r="L179">
            <v>0</v>
          </cell>
          <cell r="M179">
            <v>0</v>
          </cell>
          <cell r="N179">
            <v>0</v>
          </cell>
          <cell r="O179">
            <v>0</v>
          </cell>
          <cell r="P179">
            <v>0</v>
          </cell>
          <cell r="Q179">
            <v>0</v>
          </cell>
          <cell r="R179">
            <v>0</v>
          </cell>
          <cell r="S179">
            <v>0</v>
          </cell>
          <cell r="T179">
            <v>819155</v>
          </cell>
        </row>
        <row r="180">
          <cell r="C180">
            <v>8504548</v>
          </cell>
          <cell r="D180">
            <v>2019</v>
          </cell>
          <cell r="E180">
            <v>0</v>
          </cell>
          <cell r="F180">
            <v>0</v>
          </cell>
          <cell r="G180">
            <v>0</v>
          </cell>
          <cell r="H180">
            <v>17791098</v>
          </cell>
          <cell r="I180">
            <v>0</v>
          </cell>
          <cell r="J180">
            <v>6960000</v>
          </cell>
          <cell r="K180">
            <v>0</v>
          </cell>
          <cell r="L180">
            <v>0</v>
          </cell>
          <cell r="M180">
            <v>0</v>
          </cell>
          <cell r="N180">
            <v>0</v>
          </cell>
          <cell r="O180">
            <v>0</v>
          </cell>
          <cell r="P180">
            <v>0</v>
          </cell>
          <cell r="Q180">
            <v>0</v>
          </cell>
          <cell r="R180">
            <v>0</v>
          </cell>
          <cell r="S180">
            <v>0</v>
          </cell>
          <cell r="T180">
            <v>24751098</v>
          </cell>
        </row>
        <row r="181">
          <cell r="C181">
            <v>4547815</v>
          </cell>
          <cell r="D181">
            <v>2019</v>
          </cell>
          <cell r="E181">
            <v>0</v>
          </cell>
          <cell r="F181">
            <v>0</v>
          </cell>
          <cell r="G181">
            <v>0</v>
          </cell>
          <cell r="H181">
            <v>529296</v>
          </cell>
          <cell r="I181">
            <v>0</v>
          </cell>
          <cell r="J181">
            <v>0</v>
          </cell>
          <cell r="K181">
            <v>0</v>
          </cell>
          <cell r="L181">
            <v>0</v>
          </cell>
          <cell r="M181">
            <v>0</v>
          </cell>
          <cell r="N181">
            <v>0</v>
          </cell>
          <cell r="O181">
            <v>0</v>
          </cell>
          <cell r="P181">
            <v>653000</v>
          </cell>
          <cell r="Q181">
            <v>653000</v>
          </cell>
          <cell r="R181">
            <v>0</v>
          </cell>
          <cell r="S181">
            <v>0</v>
          </cell>
          <cell r="T181">
            <v>1182296</v>
          </cell>
        </row>
        <row r="182">
          <cell r="C182">
            <v>8877013</v>
          </cell>
          <cell r="D182">
            <v>2019</v>
          </cell>
          <cell r="E182">
            <v>808350</v>
          </cell>
          <cell r="F182">
            <v>200000</v>
          </cell>
          <cell r="G182">
            <v>0</v>
          </cell>
          <cell r="H182">
            <v>3634850</v>
          </cell>
          <cell r="I182">
            <v>0</v>
          </cell>
          <cell r="J182">
            <v>0</v>
          </cell>
          <cell r="K182">
            <v>0</v>
          </cell>
          <cell r="L182">
            <v>0</v>
          </cell>
          <cell r="M182">
            <v>0</v>
          </cell>
          <cell r="N182">
            <v>0</v>
          </cell>
          <cell r="O182">
            <v>0</v>
          </cell>
          <cell r="P182">
            <v>0</v>
          </cell>
          <cell r="Q182">
            <v>0</v>
          </cell>
          <cell r="R182">
            <v>0</v>
          </cell>
          <cell r="S182">
            <v>0</v>
          </cell>
          <cell r="T182">
            <v>4643200</v>
          </cell>
        </row>
        <row r="183">
          <cell r="C183">
            <v>5060032</v>
          </cell>
          <cell r="D183">
            <v>2019</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row>
        <row r="184">
          <cell r="C184">
            <v>9459250</v>
          </cell>
          <cell r="D184">
            <v>2019</v>
          </cell>
          <cell r="E184">
            <v>0</v>
          </cell>
          <cell r="F184">
            <v>0</v>
          </cell>
          <cell r="G184">
            <v>0</v>
          </cell>
          <cell r="H184">
            <v>1659657</v>
          </cell>
          <cell r="I184">
            <v>0</v>
          </cell>
          <cell r="J184">
            <v>0</v>
          </cell>
          <cell r="K184">
            <v>0</v>
          </cell>
          <cell r="L184">
            <v>0</v>
          </cell>
          <cell r="M184">
            <v>0</v>
          </cell>
          <cell r="N184">
            <v>0</v>
          </cell>
          <cell r="O184">
            <v>0</v>
          </cell>
          <cell r="P184">
            <v>1078183</v>
          </cell>
          <cell r="Q184">
            <v>1078183</v>
          </cell>
          <cell r="R184">
            <v>0</v>
          </cell>
          <cell r="S184">
            <v>0</v>
          </cell>
          <cell r="T184">
            <v>2737840</v>
          </cell>
        </row>
        <row r="185">
          <cell r="C185">
            <v>2495303</v>
          </cell>
          <cell r="D185">
            <v>2019</v>
          </cell>
          <cell r="E185">
            <v>63012</v>
          </cell>
          <cell r="F185">
            <v>276000</v>
          </cell>
          <cell r="G185">
            <v>0</v>
          </cell>
          <cell r="H185">
            <v>3593030</v>
          </cell>
          <cell r="I185">
            <v>0</v>
          </cell>
          <cell r="J185">
            <v>0</v>
          </cell>
          <cell r="K185">
            <v>0</v>
          </cell>
          <cell r="L185">
            <v>0</v>
          </cell>
          <cell r="M185">
            <v>0</v>
          </cell>
          <cell r="N185">
            <v>0</v>
          </cell>
          <cell r="O185">
            <v>0</v>
          </cell>
          <cell r="P185">
            <v>500000</v>
          </cell>
          <cell r="Q185">
            <v>500000</v>
          </cell>
          <cell r="R185">
            <v>0</v>
          </cell>
          <cell r="S185">
            <v>0</v>
          </cell>
          <cell r="T185">
            <v>4432042</v>
          </cell>
        </row>
        <row r="186">
          <cell r="C186">
            <v>6161785</v>
          </cell>
          <cell r="D186">
            <v>2019</v>
          </cell>
          <cell r="E186">
            <v>124470</v>
          </cell>
          <cell r="F186">
            <v>0</v>
          </cell>
          <cell r="G186">
            <v>0</v>
          </cell>
          <cell r="H186">
            <v>1492330</v>
          </cell>
          <cell r="I186">
            <v>0</v>
          </cell>
          <cell r="J186">
            <v>0</v>
          </cell>
          <cell r="K186">
            <v>0</v>
          </cell>
          <cell r="L186">
            <v>0</v>
          </cell>
          <cell r="M186">
            <v>0</v>
          </cell>
          <cell r="N186">
            <v>0</v>
          </cell>
          <cell r="O186">
            <v>0</v>
          </cell>
          <cell r="P186">
            <v>50000</v>
          </cell>
          <cell r="Q186">
            <v>50000</v>
          </cell>
          <cell r="R186">
            <v>0</v>
          </cell>
          <cell r="S186">
            <v>0</v>
          </cell>
          <cell r="T186">
            <v>1666800</v>
          </cell>
        </row>
        <row r="187">
          <cell r="C187">
            <v>2392006</v>
          </cell>
          <cell r="D187">
            <v>2019</v>
          </cell>
          <cell r="E187">
            <v>0</v>
          </cell>
          <cell r="F187">
            <v>0</v>
          </cell>
          <cell r="G187">
            <v>0</v>
          </cell>
          <cell r="H187">
            <v>2175746</v>
          </cell>
          <cell r="I187">
            <v>0</v>
          </cell>
          <cell r="J187">
            <v>0</v>
          </cell>
          <cell r="K187">
            <v>0</v>
          </cell>
          <cell r="L187">
            <v>220000</v>
          </cell>
          <cell r="M187">
            <v>0</v>
          </cell>
          <cell r="N187">
            <v>0</v>
          </cell>
          <cell r="O187">
            <v>0</v>
          </cell>
          <cell r="P187">
            <v>156400</v>
          </cell>
          <cell r="Q187">
            <v>156400</v>
          </cell>
          <cell r="R187">
            <v>0</v>
          </cell>
          <cell r="S187">
            <v>0</v>
          </cell>
          <cell r="T187">
            <v>2552146</v>
          </cell>
        </row>
        <row r="188">
          <cell r="C188">
            <v>2438469</v>
          </cell>
          <cell r="D188">
            <v>2019</v>
          </cell>
          <cell r="E188">
            <v>0</v>
          </cell>
          <cell r="F188">
            <v>0</v>
          </cell>
          <cell r="G188">
            <v>0</v>
          </cell>
          <cell r="H188">
            <v>1230270</v>
          </cell>
          <cell r="I188">
            <v>0</v>
          </cell>
          <cell r="J188">
            <v>0</v>
          </cell>
          <cell r="K188">
            <v>0</v>
          </cell>
          <cell r="L188">
            <v>914731</v>
          </cell>
          <cell r="M188">
            <v>0</v>
          </cell>
          <cell r="N188">
            <v>0</v>
          </cell>
          <cell r="O188">
            <v>0</v>
          </cell>
          <cell r="P188">
            <v>538000</v>
          </cell>
          <cell r="Q188">
            <v>538000</v>
          </cell>
          <cell r="R188">
            <v>0</v>
          </cell>
          <cell r="S188">
            <v>0</v>
          </cell>
          <cell r="T188">
            <v>2683001</v>
          </cell>
        </row>
        <row r="189">
          <cell r="C189">
            <v>9064643</v>
          </cell>
          <cell r="D189">
            <v>2019</v>
          </cell>
          <cell r="E189">
            <v>196918</v>
          </cell>
          <cell r="F189">
            <v>0</v>
          </cell>
          <cell r="G189">
            <v>0</v>
          </cell>
          <cell r="H189">
            <v>2665670</v>
          </cell>
          <cell r="I189">
            <v>0</v>
          </cell>
          <cell r="J189">
            <v>0</v>
          </cell>
          <cell r="K189">
            <v>2207412</v>
          </cell>
          <cell r="L189">
            <v>0</v>
          </cell>
          <cell r="M189">
            <v>0</v>
          </cell>
          <cell r="N189">
            <v>0</v>
          </cell>
          <cell r="O189">
            <v>0</v>
          </cell>
          <cell r="P189">
            <v>600000</v>
          </cell>
          <cell r="Q189">
            <v>600000</v>
          </cell>
          <cell r="R189">
            <v>0</v>
          </cell>
          <cell r="S189">
            <v>0</v>
          </cell>
          <cell r="T189">
            <v>5670000</v>
          </cell>
        </row>
        <row r="190">
          <cell r="C190">
            <v>4531517</v>
          </cell>
          <cell r="D190">
            <v>2019</v>
          </cell>
          <cell r="E190">
            <v>0</v>
          </cell>
          <cell r="F190">
            <v>0</v>
          </cell>
          <cell r="G190">
            <v>0</v>
          </cell>
          <cell r="H190">
            <v>426547</v>
          </cell>
          <cell r="I190">
            <v>0</v>
          </cell>
          <cell r="J190">
            <v>0</v>
          </cell>
          <cell r="K190">
            <v>0</v>
          </cell>
          <cell r="L190">
            <v>0</v>
          </cell>
          <cell r="M190">
            <v>0</v>
          </cell>
          <cell r="N190">
            <v>0</v>
          </cell>
          <cell r="O190">
            <v>0</v>
          </cell>
          <cell r="P190">
            <v>0</v>
          </cell>
          <cell r="Q190">
            <v>0</v>
          </cell>
          <cell r="R190">
            <v>0</v>
          </cell>
          <cell r="S190">
            <v>0</v>
          </cell>
          <cell r="T190">
            <v>426547</v>
          </cell>
        </row>
        <row r="191">
          <cell r="C191">
            <v>3754207</v>
          </cell>
          <cell r="D191">
            <v>2019</v>
          </cell>
          <cell r="E191">
            <v>0</v>
          </cell>
          <cell r="F191">
            <v>0</v>
          </cell>
          <cell r="G191">
            <v>0</v>
          </cell>
          <cell r="H191">
            <v>10994091</v>
          </cell>
          <cell r="I191">
            <v>0</v>
          </cell>
          <cell r="J191">
            <v>6722200</v>
          </cell>
          <cell r="K191">
            <v>0</v>
          </cell>
          <cell r="L191">
            <v>0</v>
          </cell>
          <cell r="M191">
            <v>0</v>
          </cell>
          <cell r="N191">
            <v>0</v>
          </cell>
          <cell r="O191">
            <v>0</v>
          </cell>
          <cell r="P191">
            <v>0</v>
          </cell>
          <cell r="Q191">
            <v>0</v>
          </cell>
          <cell r="R191">
            <v>0</v>
          </cell>
          <cell r="S191">
            <v>0</v>
          </cell>
          <cell r="T191">
            <v>17716291</v>
          </cell>
        </row>
        <row r="192">
          <cell r="C192">
            <v>1576566</v>
          </cell>
          <cell r="D192">
            <v>2019</v>
          </cell>
          <cell r="E192">
            <v>0</v>
          </cell>
          <cell r="F192">
            <v>0</v>
          </cell>
          <cell r="G192">
            <v>0</v>
          </cell>
          <cell r="H192">
            <v>1039600</v>
          </cell>
          <cell r="I192">
            <v>0</v>
          </cell>
          <cell r="J192">
            <v>1067747</v>
          </cell>
          <cell r="K192">
            <v>0</v>
          </cell>
          <cell r="L192">
            <v>0</v>
          </cell>
          <cell r="M192">
            <v>0</v>
          </cell>
          <cell r="N192">
            <v>0</v>
          </cell>
          <cell r="O192">
            <v>0</v>
          </cell>
          <cell r="P192">
            <v>0</v>
          </cell>
          <cell r="Q192">
            <v>0</v>
          </cell>
          <cell r="R192">
            <v>0</v>
          </cell>
          <cell r="S192">
            <v>0</v>
          </cell>
          <cell r="T192">
            <v>2107347</v>
          </cell>
        </row>
        <row r="193">
          <cell r="C193">
            <v>9577077</v>
          </cell>
          <cell r="D193">
            <v>2019</v>
          </cell>
          <cell r="E193">
            <v>0</v>
          </cell>
          <cell r="F193">
            <v>0</v>
          </cell>
          <cell r="G193">
            <v>0</v>
          </cell>
          <cell r="H193">
            <v>2570560</v>
          </cell>
          <cell r="I193">
            <v>0</v>
          </cell>
          <cell r="J193">
            <v>0</v>
          </cell>
          <cell r="K193">
            <v>0</v>
          </cell>
          <cell r="L193">
            <v>0</v>
          </cell>
          <cell r="M193">
            <v>0</v>
          </cell>
          <cell r="N193">
            <v>0</v>
          </cell>
          <cell r="O193">
            <v>0</v>
          </cell>
          <cell r="P193">
            <v>1619100</v>
          </cell>
          <cell r="Q193">
            <v>1619100</v>
          </cell>
          <cell r="R193">
            <v>0</v>
          </cell>
          <cell r="S193">
            <v>0</v>
          </cell>
          <cell r="T193">
            <v>4189660</v>
          </cell>
        </row>
        <row r="194">
          <cell r="C194">
            <v>9000005</v>
          </cell>
          <cell r="D194">
            <v>2019</v>
          </cell>
          <cell r="E194">
            <v>13050000</v>
          </cell>
          <cell r="F194">
            <v>0</v>
          </cell>
          <cell r="G194">
            <v>0</v>
          </cell>
          <cell r="H194">
            <v>0</v>
          </cell>
          <cell r="I194">
            <v>0</v>
          </cell>
          <cell r="J194">
            <v>0</v>
          </cell>
          <cell r="K194">
            <v>0</v>
          </cell>
          <cell r="L194">
            <v>0</v>
          </cell>
          <cell r="M194">
            <v>0</v>
          </cell>
          <cell r="N194">
            <v>0</v>
          </cell>
          <cell r="O194">
            <v>572000</v>
          </cell>
          <cell r="P194">
            <v>632300</v>
          </cell>
          <cell r="Q194">
            <v>1204300</v>
          </cell>
          <cell r="R194">
            <v>0</v>
          </cell>
          <cell r="S194">
            <v>113500</v>
          </cell>
          <cell r="T194">
            <v>14367800</v>
          </cell>
        </row>
        <row r="195">
          <cell r="C195">
            <v>3741470</v>
          </cell>
          <cell r="D195">
            <v>2019</v>
          </cell>
          <cell r="E195">
            <v>0</v>
          </cell>
          <cell r="F195">
            <v>0</v>
          </cell>
          <cell r="G195">
            <v>0</v>
          </cell>
          <cell r="H195">
            <v>2508240</v>
          </cell>
          <cell r="I195">
            <v>0</v>
          </cell>
          <cell r="J195">
            <v>0</v>
          </cell>
          <cell r="K195">
            <v>2172273</v>
          </cell>
          <cell r="L195">
            <v>173277</v>
          </cell>
          <cell r="M195">
            <v>0</v>
          </cell>
          <cell r="N195">
            <v>0</v>
          </cell>
          <cell r="O195">
            <v>0</v>
          </cell>
          <cell r="P195">
            <v>215000</v>
          </cell>
          <cell r="Q195">
            <v>215000</v>
          </cell>
          <cell r="R195">
            <v>0</v>
          </cell>
          <cell r="S195">
            <v>0</v>
          </cell>
          <cell r="T195">
            <v>5068790</v>
          </cell>
        </row>
        <row r="196">
          <cell r="C196">
            <v>7805491</v>
          </cell>
          <cell r="D196">
            <v>2019</v>
          </cell>
          <cell r="E196">
            <v>10236</v>
          </cell>
          <cell r="F196">
            <v>0</v>
          </cell>
          <cell r="G196">
            <v>0</v>
          </cell>
          <cell r="H196">
            <v>506700</v>
          </cell>
          <cell r="I196">
            <v>0</v>
          </cell>
          <cell r="J196">
            <v>0</v>
          </cell>
          <cell r="K196">
            <v>399004.19</v>
          </cell>
          <cell r="L196">
            <v>0</v>
          </cell>
          <cell r="M196">
            <v>0</v>
          </cell>
          <cell r="N196">
            <v>0</v>
          </cell>
          <cell r="O196">
            <v>0</v>
          </cell>
          <cell r="P196">
            <v>40200</v>
          </cell>
          <cell r="Q196">
            <v>40200</v>
          </cell>
          <cell r="R196">
            <v>0</v>
          </cell>
          <cell r="S196">
            <v>27499.39</v>
          </cell>
          <cell r="T196">
            <v>983639.58</v>
          </cell>
        </row>
        <row r="197">
          <cell r="C197">
            <v>6473703</v>
          </cell>
          <cell r="D197">
            <v>2019</v>
          </cell>
          <cell r="E197">
            <v>0</v>
          </cell>
          <cell r="F197">
            <v>0</v>
          </cell>
          <cell r="G197">
            <v>0</v>
          </cell>
          <cell r="H197">
            <v>844040</v>
          </cell>
          <cell r="I197">
            <v>0</v>
          </cell>
          <cell r="J197">
            <v>0</v>
          </cell>
          <cell r="K197">
            <v>996540</v>
          </cell>
          <cell r="L197">
            <v>0</v>
          </cell>
          <cell r="M197">
            <v>0</v>
          </cell>
          <cell r="N197">
            <v>0</v>
          </cell>
          <cell r="O197">
            <v>0</v>
          </cell>
          <cell r="P197">
            <v>90000</v>
          </cell>
          <cell r="Q197">
            <v>90000</v>
          </cell>
          <cell r="R197">
            <v>0</v>
          </cell>
          <cell r="S197">
            <v>113528.74</v>
          </cell>
          <cell r="T197">
            <v>2044108.74</v>
          </cell>
        </row>
        <row r="198">
          <cell r="C198">
            <v>8365172</v>
          </cell>
          <cell r="D198">
            <v>2019</v>
          </cell>
          <cell r="E198">
            <v>36785</v>
          </cell>
          <cell r="F198">
            <v>0</v>
          </cell>
          <cell r="G198">
            <v>0</v>
          </cell>
          <cell r="H198">
            <v>971960</v>
          </cell>
          <cell r="I198">
            <v>0</v>
          </cell>
          <cell r="J198">
            <v>0</v>
          </cell>
          <cell r="K198">
            <v>0</v>
          </cell>
          <cell r="L198">
            <v>0</v>
          </cell>
          <cell r="M198">
            <v>0</v>
          </cell>
          <cell r="N198">
            <v>0</v>
          </cell>
          <cell r="O198">
            <v>0</v>
          </cell>
          <cell r="P198">
            <v>90000</v>
          </cell>
          <cell r="Q198">
            <v>90000</v>
          </cell>
          <cell r="R198">
            <v>0</v>
          </cell>
          <cell r="S198">
            <v>0</v>
          </cell>
          <cell r="T198">
            <v>1098745</v>
          </cell>
        </row>
        <row r="199">
          <cell r="C199">
            <v>4885366</v>
          </cell>
          <cell r="D199">
            <v>2019</v>
          </cell>
          <cell r="E199">
            <v>49239</v>
          </cell>
          <cell r="F199">
            <v>0</v>
          </cell>
          <cell r="G199">
            <v>0</v>
          </cell>
          <cell r="H199">
            <v>1417490</v>
          </cell>
          <cell r="I199">
            <v>0</v>
          </cell>
          <cell r="J199">
            <v>0</v>
          </cell>
          <cell r="K199">
            <v>1125716</v>
          </cell>
          <cell r="L199">
            <v>0</v>
          </cell>
          <cell r="M199">
            <v>0</v>
          </cell>
          <cell r="N199">
            <v>0</v>
          </cell>
          <cell r="O199">
            <v>0</v>
          </cell>
          <cell r="P199">
            <v>80000</v>
          </cell>
          <cell r="Q199">
            <v>80000</v>
          </cell>
          <cell r="R199">
            <v>0</v>
          </cell>
          <cell r="S199">
            <v>0</v>
          </cell>
          <cell r="T199">
            <v>2672445</v>
          </cell>
        </row>
        <row r="200">
          <cell r="C200">
            <v>4533728</v>
          </cell>
          <cell r="D200">
            <v>2019</v>
          </cell>
          <cell r="E200">
            <v>137043</v>
          </cell>
          <cell r="F200">
            <v>0</v>
          </cell>
          <cell r="G200">
            <v>0</v>
          </cell>
          <cell r="H200">
            <v>2167520</v>
          </cell>
          <cell r="I200">
            <v>0</v>
          </cell>
          <cell r="J200">
            <v>0</v>
          </cell>
          <cell r="K200">
            <v>1721401</v>
          </cell>
          <cell r="L200">
            <v>0</v>
          </cell>
          <cell r="M200">
            <v>0</v>
          </cell>
          <cell r="N200">
            <v>0</v>
          </cell>
          <cell r="O200">
            <v>0</v>
          </cell>
          <cell r="P200">
            <v>200000</v>
          </cell>
          <cell r="Q200">
            <v>200000</v>
          </cell>
          <cell r="R200">
            <v>0</v>
          </cell>
          <cell r="S200">
            <v>0</v>
          </cell>
          <cell r="T200">
            <v>4225964</v>
          </cell>
        </row>
        <row r="201">
          <cell r="C201">
            <v>2506443</v>
          </cell>
          <cell r="D201">
            <v>2019</v>
          </cell>
          <cell r="E201">
            <v>63470</v>
          </cell>
          <cell r="F201">
            <v>0</v>
          </cell>
          <cell r="G201">
            <v>0</v>
          </cell>
          <cell r="H201">
            <v>1026112</v>
          </cell>
          <cell r="I201">
            <v>0</v>
          </cell>
          <cell r="J201">
            <v>0</v>
          </cell>
          <cell r="K201">
            <v>0</v>
          </cell>
          <cell r="L201">
            <v>0</v>
          </cell>
          <cell r="M201">
            <v>0</v>
          </cell>
          <cell r="N201">
            <v>0</v>
          </cell>
          <cell r="O201">
            <v>0</v>
          </cell>
          <cell r="P201">
            <v>475000</v>
          </cell>
          <cell r="Q201">
            <v>475000</v>
          </cell>
          <cell r="R201">
            <v>0</v>
          </cell>
          <cell r="S201">
            <v>0</v>
          </cell>
          <cell r="T201">
            <v>1564582</v>
          </cell>
        </row>
        <row r="202">
          <cell r="C202">
            <v>1356155</v>
          </cell>
          <cell r="D202">
            <v>2019</v>
          </cell>
          <cell r="E202">
            <v>300500</v>
          </cell>
          <cell r="F202">
            <v>0</v>
          </cell>
          <cell r="G202">
            <v>0</v>
          </cell>
          <cell r="H202">
            <v>1100000</v>
          </cell>
          <cell r="I202">
            <v>0</v>
          </cell>
          <cell r="J202">
            <v>0</v>
          </cell>
          <cell r="K202">
            <v>0</v>
          </cell>
          <cell r="L202">
            <v>0</v>
          </cell>
          <cell r="M202">
            <v>0</v>
          </cell>
          <cell r="N202">
            <v>0</v>
          </cell>
          <cell r="O202">
            <v>16500</v>
          </cell>
          <cell r="P202">
            <v>75000</v>
          </cell>
          <cell r="Q202">
            <v>91500</v>
          </cell>
          <cell r="R202">
            <v>0</v>
          </cell>
          <cell r="S202">
            <v>0</v>
          </cell>
          <cell r="T202">
            <v>1492000</v>
          </cell>
        </row>
        <row r="203">
          <cell r="C203">
            <v>1567065</v>
          </cell>
          <cell r="D203">
            <v>2019</v>
          </cell>
          <cell r="E203">
            <v>12471</v>
          </cell>
          <cell r="F203">
            <v>55495</v>
          </cell>
          <cell r="G203">
            <v>0</v>
          </cell>
          <cell r="H203">
            <v>599300</v>
          </cell>
          <cell r="I203">
            <v>0</v>
          </cell>
          <cell r="J203">
            <v>0</v>
          </cell>
          <cell r="K203">
            <v>0</v>
          </cell>
          <cell r="L203">
            <v>0</v>
          </cell>
          <cell r="M203">
            <v>0</v>
          </cell>
          <cell r="N203">
            <v>0</v>
          </cell>
          <cell r="O203">
            <v>0</v>
          </cell>
          <cell r="P203">
            <v>101700</v>
          </cell>
          <cell r="Q203">
            <v>101700</v>
          </cell>
          <cell r="R203">
            <v>0</v>
          </cell>
          <cell r="S203">
            <v>0</v>
          </cell>
          <cell r="T203">
            <v>768966</v>
          </cell>
        </row>
        <row r="204">
          <cell r="C204">
            <v>8411392</v>
          </cell>
          <cell r="D204">
            <v>2019</v>
          </cell>
          <cell r="E204">
            <v>37728</v>
          </cell>
          <cell r="F204">
            <v>136446.78</v>
          </cell>
          <cell r="G204">
            <v>0</v>
          </cell>
          <cell r="H204">
            <v>3871189</v>
          </cell>
          <cell r="I204">
            <v>0</v>
          </cell>
          <cell r="J204">
            <v>0</v>
          </cell>
          <cell r="K204">
            <v>0</v>
          </cell>
          <cell r="L204">
            <v>0</v>
          </cell>
          <cell r="M204">
            <v>0</v>
          </cell>
          <cell r="N204">
            <v>0</v>
          </cell>
          <cell r="O204">
            <v>0</v>
          </cell>
          <cell r="P204">
            <v>383000</v>
          </cell>
          <cell r="Q204">
            <v>383000</v>
          </cell>
          <cell r="R204">
            <v>0</v>
          </cell>
          <cell r="S204">
            <v>0</v>
          </cell>
          <cell r="T204">
            <v>4428363.7799999993</v>
          </cell>
        </row>
        <row r="205">
          <cell r="C205">
            <v>5133257</v>
          </cell>
          <cell r="D205">
            <v>2019</v>
          </cell>
          <cell r="E205">
            <v>0</v>
          </cell>
          <cell r="F205">
            <v>0</v>
          </cell>
          <cell r="G205">
            <v>0</v>
          </cell>
          <cell r="H205">
            <v>1582000</v>
          </cell>
          <cell r="I205">
            <v>0</v>
          </cell>
          <cell r="J205">
            <v>0</v>
          </cell>
          <cell r="K205">
            <v>0</v>
          </cell>
          <cell r="L205">
            <v>0</v>
          </cell>
          <cell r="M205">
            <v>0</v>
          </cell>
          <cell r="N205">
            <v>0</v>
          </cell>
          <cell r="O205">
            <v>0</v>
          </cell>
          <cell r="P205">
            <v>150000</v>
          </cell>
          <cell r="Q205">
            <v>150000</v>
          </cell>
          <cell r="R205">
            <v>0</v>
          </cell>
          <cell r="S205">
            <v>0</v>
          </cell>
          <cell r="T205">
            <v>1732000</v>
          </cell>
        </row>
        <row r="206">
          <cell r="C206">
            <v>3357963</v>
          </cell>
          <cell r="D206">
            <v>2019</v>
          </cell>
          <cell r="E206">
            <v>0</v>
          </cell>
          <cell r="F206">
            <v>0</v>
          </cell>
          <cell r="G206">
            <v>0</v>
          </cell>
          <cell r="H206">
            <v>234850</v>
          </cell>
          <cell r="I206">
            <v>0</v>
          </cell>
          <cell r="J206">
            <v>0</v>
          </cell>
          <cell r="K206">
            <v>0</v>
          </cell>
          <cell r="L206">
            <v>0</v>
          </cell>
          <cell r="M206">
            <v>0</v>
          </cell>
          <cell r="N206">
            <v>0</v>
          </cell>
          <cell r="O206">
            <v>0</v>
          </cell>
          <cell r="P206">
            <v>1110750</v>
          </cell>
          <cell r="Q206">
            <v>1110750</v>
          </cell>
          <cell r="R206">
            <v>0</v>
          </cell>
          <cell r="S206">
            <v>0</v>
          </cell>
          <cell r="T206">
            <v>1345600</v>
          </cell>
        </row>
        <row r="207">
          <cell r="C207">
            <v>2315315</v>
          </cell>
          <cell r="D207">
            <v>2019</v>
          </cell>
          <cell r="E207">
            <v>0</v>
          </cell>
          <cell r="F207">
            <v>0</v>
          </cell>
          <cell r="G207">
            <v>0</v>
          </cell>
          <cell r="H207">
            <v>1214500</v>
          </cell>
          <cell r="I207">
            <v>0</v>
          </cell>
          <cell r="J207">
            <v>0</v>
          </cell>
          <cell r="K207">
            <v>0</v>
          </cell>
          <cell r="L207">
            <v>0</v>
          </cell>
          <cell r="M207">
            <v>0</v>
          </cell>
          <cell r="N207">
            <v>0</v>
          </cell>
          <cell r="O207">
            <v>0</v>
          </cell>
          <cell r="P207">
            <v>250000</v>
          </cell>
          <cell r="Q207">
            <v>250000</v>
          </cell>
          <cell r="R207">
            <v>0</v>
          </cell>
          <cell r="S207">
            <v>0</v>
          </cell>
          <cell r="T207">
            <v>1464500</v>
          </cell>
        </row>
        <row r="208">
          <cell r="C208">
            <v>5344327</v>
          </cell>
          <cell r="D208">
            <v>2019</v>
          </cell>
          <cell r="E208">
            <v>0</v>
          </cell>
          <cell r="F208">
            <v>0</v>
          </cell>
          <cell r="G208">
            <v>0</v>
          </cell>
          <cell r="H208">
            <v>4683650</v>
          </cell>
          <cell r="I208">
            <v>0</v>
          </cell>
          <cell r="J208">
            <v>0</v>
          </cell>
          <cell r="K208">
            <v>0</v>
          </cell>
          <cell r="L208">
            <v>0</v>
          </cell>
          <cell r="M208">
            <v>0</v>
          </cell>
          <cell r="N208">
            <v>0</v>
          </cell>
          <cell r="O208">
            <v>8000</v>
          </cell>
          <cell r="P208">
            <v>2400000</v>
          </cell>
          <cell r="Q208">
            <v>2408000</v>
          </cell>
          <cell r="R208">
            <v>0</v>
          </cell>
          <cell r="S208">
            <v>0</v>
          </cell>
          <cell r="T208">
            <v>7091650</v>
          </cell>
        </row>
        <row r="209">
          <cell r="C209">
            <v>4441304</v>
          </cell>
          <cell r="D209">
            <v>2019</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row>
        <row r="210">
          <cell r="C210">
            <v>7381195</v>
          </cell>
          <cell r="D210">
            <v>2019</v>
          </cell>
          <cell r="E210">
            <v>0</v>
          </cell>
          <cell r="F210">
            <v>0</v>
          </cell>
          <cell r="G210">
            <v>0</v>
          </cell>
          <cell r="H210">
            <v>491755</v>
          </cell>
          <cell r="I210">
            <v>0</v>
          </cell>
          <cell r="J210">
            <v>0</v>
          </cell>
          <cell r="K210">
            <v>323681</v>
          </cell>
          <cell r="L210">
            <v>0</v>
          </cell>
          <cell r="M210">
            <v>0</v>
          </cell>
          <cell r="N210">
            <v>0</v>
          </cell>
          <cell r="O210">
            <v>0</v>
          </cell>
          <cell r="P210">
            <v>0</v>
          </cell>
          <cell r="Q210">
            <v>0</v>
          </cell>
          <cell r="R210">
            <v>0</v>
          </cell>
          <cell r="S210">
            <v>0</v>
          </cell>
          <cell r="T210">
            <v>815436</v>
          </cell>
        </row>
        <row r="211">
          <cell r="C211">
            <v>1961902</v>
          </cell>
          <cell r="D211">
            <v>2019</v>
          </cell>
          <cell r="E211">
            <v>0</v>
          </cell>
          <cell r="F211">
            <v>184559</v>
          </cell>
          <cell r="G211">
            <v>0</v>
          </cell>
          <cell r="H211">
            <v>2906893</v>
          </cell>
          <cell r="I211">
            <v>0</v>
          </cell>
          <cell r="J211">
            <v>0</v>
          </cell>
          <cell r="K211">
            <v>0</v>
          </cell>
          <cell r="L211">
            <v>0</v>
          </cell>
          <cell r="M211">
            <v>0</v>
          </cell>
          <cell r="N211">
            <v>0</v>
          </cell>
          <cell r="O211">
            <v>25000</v>
          </cell>
          <cell r="P211">
            <v>130000</v>
          </cell>
          <cell r="Q211">
            <v>155000</v>
          </cell>
          <cell r="R211">
            <v>0</v>
          </cell>
          <cell r="S211">
            <v>1500</v>
          </cell>
          <cell r="T211">
            <v>3247952</v>
          </cell>
        </row>
        <row r="212">
          <cell r="C212">
            <v>8102124</v>
          </cell>
          <cell r="D212">
            <v>2019</v>
          </cell>
          <cell r="E212">
            <v>23832</v>
          </cell>
          <cell r="F212">
            <v>10000</v>
          </cell>
          <cell r="G212">
            <v>0</v>
          </cell>
          <cell r="H212">
            <v>860440</v>
          </cell>
          <cell r="I212">
            <v>0</v>
          </cell>
          <cell r="J212">
            <v>0</v>
          </cell>
          <cell r="K212">
            <v>0</v>
          </cell>
          <cell r="L212">
            <v>132000</v>
          </cell>
          <cell r="M212">
            <v>0</v>
          </cell>
          <cell r="N212">
            <v>0</v>
          </cell>
          <cell r="O212">
            <v>0</v>
          </cell>
          <cell r="P212">
            <v>156400</v>
          </cell>
          <cell r="Q212">
            <v>156400</v>
          </cell>
          <cell r="R212">
            <v>0</v>
          </cell>
          <cell r="S212">
            <v>0</v>
          </cell>
          <cell r="T212">
            <v>1182672</v>
          </cell>
        </row>
        <row r="213">
          <cell r="C213">
            <v>6514817</v>
          </cell>
          <cell r="D213">
            <v>2019</v>
          </cell>
          <cell r="E213">
            <v>0</v>
          </cell>
          <cell r="F213">
            <v>0</v>
          </cell>
          <cell r="G213">
            <v>0</v>
          </cell>
          <cell r="H213">
            <v>3748370</v>
          </cell>
          <cell r="I213">
            <v>0</v>
          </cell>
          <cell r="J213">
            <v>2589829</v>
          </cell>
          <cell r="K213">
            <v>0</v>
          </cell>
          <cell r="L213">
            <v>0</v>
          </cell>
          <cell r="M213">
            <v>0</v>
          </cell>
          <cell r="N213">
            <v>0</v>
          </cell>
          <cell r="O213">
            <v>0</v>
          </cell>
          <cell r="P213">
            <v>0</v>
          </cell>
          <cell r="Q213">
            <v>0</v>
          </cell>
          <cell r="R213">
            <v>0</v>
          </cell>
          <cell r="S213">
            <v>0</v>
          </cell>
          <cell r="T213">
            <v>6338199</v>
          </cell>
        </row>
        <row r="214">
          <cell r="C214">
            <v>9684449</v>
          </cell>
          <cell r="D214">
            <v>2019</v>
          </cell>
          <cell r="E214">
            <v>108004</v>
          </cell>
          <cell r="F214">
            <v>0</v>
          </cell>
          <cell r="G214">
            <v>0</v>
          </cell>
          <cell r="H214">
            <v>991200</v>
          </cell>
          <cell r="I214">
            <v>0</v>
          </cell>
          <cell r="J214">
            <v>0</v>
          </cell>
          <cell r="K214">
            <v>0</v>
          </cell>
          <cell r="L214">
            <v>0</v>
          </cell>
          <cell r="M214">
            <v>0</v>
          </cell>
          <cell r="N214">
            <v>0</v>
          </cell>
          <cell r="O214">
            <v>0</v>
          </cell>
          <cell r="P214">
            <v>0</v>
          </cell>
          <cell r="Q214">
            <v>0</v>
          </cell>
          <cell r="R214">
            <v>0</v>
          </cell>
          <cell r="S214">
            <v>0</v>
          </cell>
          <cell r="T214">
            <v>1099204</v>
          </cell>
        </row>
        <row r="215">
          <cell r="C215">
            <v>3473171</v>
          </cell>
          <cell r="D215">
            <v>2019</v>
          </cell>
          <cell r="E215">
            <v>0</v>
          </cell>
          <cell r="F215">
            <v>0</v>
          </cell>
          <cell r="G215">
            <v>0</v>
          </cell>
          <cell r="H215">
            <v>22423092</v>
          </cell>
          <cell r="I215">
            <v>0</v>
          </cell>
          <cell r="J215">
            <v>10226290</v>
          </cell>
          <cell r="K215">
            <v>0</v>
          </cell>
          <cell r="L215">
            <v>0</v>
          </cell>
          <cell r="M215">
            <v>0</v>
          </cell>
          <cell r="N215">
            <v>0</v>
          </cell>
          <cell r="O215">
            <v>0</v>
          </cell>
          <cell r="P215">
            <v>0</v>
          </cell>
          <cell r="Q215">
            <v>0</v>
          </cell>
          <cell r="R215">
            <v>0</v>
          </cell>
          <cell r="S215">
            <v>0</v>
          </cell>
          <cell r="T215">
            <v>32649382</v>
          </cell>
        </row>
        <row r="216">
          <cell r="C216">
            <v>3854293</v>
          </cell>
          <cell r="D216">
            <v>2019</v>
          </cell>
          <cell r="E216">
            <v>2400000</v>
          </cell>
          <cell r="F216">
            <v>0</v>
          </cell>
          <cell r="G216">
            <v>0</v>
          </cell>
          <cell r="H216">
            <v>0</v>
          </cell>
          <cell r="I216">
            <v>7644262</v>
          </cell>
          <cell r="J216">
            <v>0</v>
          </cell>
          <cell r="K216">
            <v>0</v>
          </cell>
          <cell r="L216">
            <v>0</v>
          </cell>
          <cell r="M216">
            <v>0</v>
          </cell>
          <cell r="N216">
            <v>0</v>
          </cell>
          <cell r="O216">
            <v>0</v>
          </cell>
          <cell r="P216">
            <v>283600</v>
          </cell>
          <cell r="Q216">
            <v>283600</v>
          </cell>
          <cell r="R216">
            <v>0</v>
          </cell>
          <cell r="S216">
            <v>244000</v>
          </cell>
          <cell r="T216">
            <v>10571862</v>
          </cell>
        </row>
        <row r="217">
          <cell r="C217">
            <v>1907533</v>
          </cell>
          <cell r="D217">
            <v>2019</v>
          </cell>
          <cell r="E217">
            <v>0</v>
          </cell>
          <cell r="F217">
            <v>0</v>
          </cell>
          <cell r="G217">
            <v>0</v>
          </cell>
          <cell r="H217">
            <v>2784980</v>
          </cell>
          <cell r="I217">
            <v>0</v>
          </cell>
          <cell r="J217">
            <v>0</v>
          </cell>
          <cell r="K217">
            <v>2032163.42</v>
          </cell>
          <cell r="L217">
            <v>0</v>
          </cell>
          <cell r="M217">
            <v>0</v>
          </cell>
          <cell r="N217">
            <v>0</v>
          </cell>
          <cell r="O217">
            <v>40000</v>
          </cell>
          <cell r="P217">
            <v>700000</v>
          </cell>
          <cell r="Q217">
            <v>740000</v>
          </cell>
          <cell r="R217">
            <v>0</v>
          </cell>
          <cell r="S217">
            <v>0</v>
          </cell>
          <cell r="T217">
            <v>5557143.4199999999</v>
          </cell>
        </row>
        <row r="218">
          <cell r="C218">
            <v>8936486</v>
          </cell>
          <cell r="D218">
            <v>2019</v>
          </cell>
          <cell r="E218">
            <v>9300</v>
          </cell>
          <cell r="F218">
            <v>109000</v>
          </cell>
          <cell r="G218">
            <v>0</v>
          </cell>
          <cell r="H218">
            <v>2332000</v>
          </cell>
          <cell r="I218">
            <v>0</v>
          </cell>
          <cell r="J218">
            <v>0</v>
          </cell>
          <cell r="K218">
            <v>0</v>
          </cell>
          <cell r="L218">
            <v>0</v>
          </cell>
          <cell r="M218">
            <v>0</v>
          </cell>
          <cell r="N218">
            <v>0</v>
          </cell>
          <cell r="O218">
            <v>12000</v>
          </cell>
          <cell r="P218">
            <v>111700</v>
          </cell>
          <cell r="Q218">
            <v>123700</v>
          </cell>
          <cell r="R218">
            <v>0</v>
          </cell>
          <cell r="S218">
            <v>0</v>
          </cell>
          <cell r="T218">
            <v>2574000</v>
          </cell>
        </row>
        <row r="219">
          <cell r="C219">
            <v>9264829</v>
          </cell>
          <cell r="D219">
            <v>2019</v>
          </cell>
          <cell r="E219">
            <v>78000</v>
          </cell>
          <cell r="F219">
            <v>118000</v>
          </cell>
          <cell r="G219">
            <v>0</v>
          </cell>
          <cell r="H219">
            <v>6656000</v>
          </cell>
          <cell r="I219">
            <v>0</v>
          </cell>
          <cell r="J219">
            <v>0</v>
          </cell>
          <cell r="K219">
            <v>0</v>
          </cell>
          <cell r="L219">
            <v>0</v>
          </cell>
          <cell r="M219">
            <v>0</v>
          </cell>
          <cell r="N219">
            <v>0</v>
          </cell>
          <cell r="O219">
            <v>0</v>
          </cell>
          <cell r="P219">
            <v>0</v>
          </cell>
          <cell r="Q219">
            <v>0</v>
          </cell>
          <cell r="R219">
            <v>0</v>
          </cell>
          <cell r="S219">
            <v>0</v>
          </cell>
          <cell r="T219">
            <v>6852000</v>
          </cell>
        </row>
        <row r="220">
          <cell r="C220">
            <v>5369609</v>
          </cell>
          <cell r="D220">
            <v>2019</v>
          </cell>
          <cell r="E220">
            <v>58055</v>
          </cell>
          <cell r="F220">
            <v>0</v>
          </cell>
          <cell r="G220">
            <v>0</v>
          </cell>
          <cell r="H220">
            <v>1368920</v>
          </cell>
          <cell r="I220">
            <v>0</v>
          </cell>
          <cell r="J220">
            <v>0</v>
          </cell>
          <cell r="K220">
            <v>967498</v>
          </cell>
          <cell r="L220">
            <v>0</v>
          </cell>
          <cell r="M220">
            <v>0</v>
          </cell>
          <cell r="N220">
            <v>0</v>
          </cell>
          <cell r="O220">
            <v>0</v>
          </cell>
          <cell r="P220">
            <v>0</v>
          </cell>
          <cell r="Q220">
            <v>0</v>
          </cell>
          <cell r="R220">
            <v>0</v>
          </cell>
          <cell r="S220">
            <v>0</v>
          </cell>
          <cell r="T220">
            <v>2394473</v>
          </cell>
        </row>
        <row r="221">
          <cell r="C221">
            <v>4271738</v>
          </cell>
          <cell r="D221">
            <v>2019</v>
          </cell>
          <cell r="E221">
            <v>0</v>
          </cell>
          <cell r="F221">
            <v>0</v>
          </cell>
          <cell r="G221">
            <v>0</v>
          </cell>
          <cell r="H221">
            <v>3882690</v>
          </cell>
          <cell r="I221">
            <v>0</v>
          </cell>
          <cell r="J221">
            <v>0</v>
          </cell>
          <cell r="K221">
            <v>0</v>
          </cell>
          <cell r="L221">
            <v>0</v>
          </cell>
          <cell r="M221">
            <v>0</v>
          </cell>
          <cell r="N221">
            <v>0</v>
          </cell>
          <cell r="O221">
            <v>0</v>
          </cell>
          <cell r="P221">
            <v>0</v>
          </cell>
          <cell r="Q221">
            <v>0</v>
          </cell>
          <cell r="R221">
            <v>0</v>
          </cell>
          <cell r="S221">
            <v>0</v>
          </cell>
          <cell r="T221">
            <v>3882690</v>
          </cell>
        </row>
        <row r="222">
          <cell r="C222">
            <v>4467429</v>
          </cell>
          <cell r="D222">
            <v>2019</v>
          </cell>
          <cell r="E222">
            <v>0</v>
          </cell>
          <cell r="F222">
            <v>0</v>
          </cell>
          <cell r="G222">
            <v>0</v>
          </cell>
          <cell r="H222">
            <v>0</v>
          </cell>
          <cell r="I222">
            <v>0</v>
          </cell>
          <cell r="J222">
            <v>0</v>
          </cell>
          <cell r="K222">
            <v>733610</v>
          </cell>
          <cell r="L222">
            <v>0</v>
          </cell>
          <cell r="M222">
            <v>0</v>
          </cell>
          <cell r="N222">
            <v>0</v>
          </cell>
          <cell r="O222">
            <v>0</v>
          </cell>
          <cell r="P222">
            <v>119455</v>
          </cell>
          <cell r="Q222">
            <v>119455</v>
          </cell>
          <cell r="R222">
            <v>0</v>
          </cell>
          <cell r="S222">
            <v>0</v>
          </cell>
          <cell r="T222">
            <v>853065</v>
          </cell>
        </row>
        <row r="223">
          <cell r="C223">
            <v>1514566</v>
          </cell>
          <cell r="D223">
            <v>2019</v>
          </cell>
          <cell r="E223">
            <v>313520</v>
          </cell>
          <cell r="F223">
            <v>0</v>
          </cell>
          <cell r="G223">
            <v>0</v>
          </cell>
          <cell r="H223">
            <v>426710</v>
          </cell>
          <cell r="I223">
            <v>0</v>
          </cell>
          <cell r="J223">
            <v>0</v>
          </cell>
          <cell r="K223">
            <v>0</v>
          </cell>
          <cell r="L223">
            <v>0</v>
          </cell>
          <cell r="M223">
            <v>0</v>
          </cell>
          <cell r="N223">
            <v>0</v>
          </cell>
          <cell r="O223">
            <v>0</v>
          </cell>
          <cell r="P223">
            <v>0</v>
          </cell>
          <cell r="Q223">
            <v>0</v>
          </cell>
          <cell r="R223">
            <v>0</v>
          </cell>
          <cell r="S223">
            <v>0</v>
          </cell>
          <cell r="T223">
            <v>740230</v>
          </cell>
        </row>
        <row r="224">
          <cell r="C224">
            <v>4461551</v>
          </cell>
          <cell r="D224">
            <v>2019</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row>
        <row r="225">
          <cell r="C225">
            <v>9503685</v>
          </cell>
          <cell r="D225">
            <v>2019</v>
          </cell>
          <cell r="E225">
            <v>14332</v>
          </cell>
          <cell r="F225">
            <v>18000</v>
          </cell>
          <cell r="G225">
            <v>0</v>
          </cell>
          <cell r="H225">
            <v>418240</v>
          </cell>
          <cell r="I225">
            <v>0</v>
          </cell>
          <cell r="J225">
            <v>0</v>
          </cell>
          <cell r="K225">
            <v>0</v>
          </cell>
          <cell r="L225">
            <v>30000</v>
          </cell>
          <cell r="M225">
            <v>0</v>
          </cell>
          <cell r="N225">
            <v>0</v>
          </cell>
          <cell r="O225">
            <v>0</v>
          </cell>
          <cell r="P225">
            <v>35000</v>
          </cell>
          <cell r="Q225">
            <v>35000</v>
          </cell>
          <cell r="R225">
            <v>0</v>
          </cell>
          <cell r="S225">
            <v>12000</v>
          </cell>
          <cell r="T225">
            <v>527572</v>
          </cell>
        </row>
        <row r="226">
          <cell r="C226">
            <v>8535980</v>
          </cell>
          <cell r="D226">
            <v>2019</v>
          </cell>
          <cell r="E226">
            <v>0</v>
          </cell>
          <cell r="F226">
            <v>0</v>
          </cell>
          <cell r="G226">
            <v>0</v>
          </cell>
          <cell r="H226">
            <v>0</v>
          </cell>
          <cell r="I226">
            <v>310677</v>
          </cell>
          <cell r="J226">
            <v>0</v>
          </cell>
          <cell r="K226">
            <v>0</v>
          </cell>
          <cell r="L226">
            <v>0</v>
          </cell>
          <cell r="M226">
            <v>0</v>
          </cell>
          <cell r="N226">
            <v>0</v>
          </cell>
          <cell r="O226">
            <v>0</v>
          </cell>
          <cell r="P226">
            <v>0</v>
          </cell>
          <cell r="Q226">
            <v>0</v>
          </cell>
          <cell r="R226">
            <v>0</v>
          </cell>
          <cell r="S226">
            <v>0</v>
          </cell>
          <cell r="T226">
            <v>310677</v>
          </cell>
        </row>
        <row r="227">
          <cell r="C227">
            <v>2015983</v>
          </cell>
          <cell r="D227">
            <v>2019</v>
          </cell>
          <cell r="E227">
            <v>0</v>
          </cell>
          <cell r="F227">
            <v>0</v>
          </cell>
          <cell r="G227">
            <v>0</v>
          </cell>
          <cell r="H227">
            <v>601762</v>
          </cell>
          <cell r="I227">
            <v>0</v>
          </cell>
          <cell r="J227">
            <v>0</v>
          </cell>
          <cell r="K227">
            <v>0</v>
          </cell>
          <cell r="L227">
            <v>0</v>
          </cell>
          <cell r="M227">
            <v>0</v>
          </cell>
          <cell r="N227">
            <v>0</v>
          </cell>
          <cell r="O227">
            <v>0</v>
          </cell>
          <cell r="P227">
            <v>500000</v>
          </cell>
          <cell r="Q227">
            <v>500000</v>
          </cell>
          <cell r="R227">
            <v>0</v>
          </cell>
          <cell r="S227">
            <v>0</v>
          </cell>
          <cell r="T227">
            <v>1101762</v>
          </cell>
        </row>
        <row r="228">
          <cell r="C228">
            <v>3095940</v>
          </cell>
          <cell r="D228">
            <v>2019</v>
          </cell>
          <cell r="E228">
            <v>0</v>
          </cell>
          <cell r="F228">
            <v>0</v>
          </cell>
          <cell r="G228">
            <v>0</v>
          </cell>
          <cell r="H228">
            <v>2155529</v>
          </cell>
          <cell r="I228">
            <v>0</v>
          </cell>
          <cell r="J228">
            <v>0</v>
          </cell>
          <cell r="K228">
            <v>0</v>
          </cell>
          <cell r="L228">
            <v>0</v>
          </cell>
          <cell r="M228">
            <v>0</v>
          </cell>
          <cell r="N228">
            <v>0</v>
          </cell>
          <cell r="O228">
            <v>0</v>
          </cell>
          <cell r="P228">
            <v>1427000</v>
          </cell>
          <cell r="Q228">
            <v>1427000</v>
          </cell>
          <cell r="R228">
            <v>0</v>
          </cell>
          <cell r="S228">
            <v>0</v>
          </cell>
          <cell r="T228">
            <v>3582529</v>
          </cell>
        </row>
        <row r="229">
          <cell r="C229">
            <v>8849001</v>
          </cell>
          <cell r="D229">
            <v>2019</v>
          </cell>
          <cell r="E229">
            <v>0</v>
          </cell>
          <cell r="F229">
            <v>100000</v>
          </cell>
          <cell r="G229">
            <v>0</v>
          </cell>
          <cell r="H229">
            <v>1197900</v>
          </cell>
          <cell r="I229">
            <v>0</v>
          </cell>
          <cell r="J229">
            <v>0</v>
          </cell>
          <cell r="K229">
            <v>0</v>
          </cell>
          <cell r="L229">
            <v>0</v>
          </cell>
          <cell r="M229">
            <v>0</v>
          </cell>
          <cell r="N229">
            <v>0</v>
          </cell>
          <cell r="O229">
            <v>0</v>
          </cell>
          <cell r="P229">
            <v>190000</v>
          </cell>
          <cell r="Q229">
            <v>190000</v>
          </cell>
          <cell r="R229">
            <v>0</v>
          </cell>
          <cell r="S229">
            <v>0</v>
          </cell>
          <cell r="T229">
            <v>1487900</v>
          </cell>
        </row>
        <row r="230">
          <cell r="C230">
            <v>8984742</v>
          </cell>
          <cell r="D230">
            <v>2019</v>
          </cell>
          <cell r="E230">
            <v>0</v>
          </cell>
          <cell r="F230">
            <v>79000</v>
          </cell>
          <cell r="G230">
            <v>0</v>
          </cell>
          <cell r="H230">
            <v>781100</v>
          </cell>
          <cell r="I230">
            <v>0</v>
          </cell>
          <cell r="J230">
            <v>0</v>
          </cell>
          <cell r="K230">
            <v>0</v>
          </cell>
          <cell r="L230">
            <v>0</v>
          </cell>
          <cell r="M230">
            <v>0</v>
          </cell>
          <cell r="N230">
            <v>0</v>
          </cell>
          <cell r="O230">
            <v>0</v>
          </cell>
          <cell r="P230">
            <v>200000</v>
          </cell>
          <cell r="Q230">
            <v>200000</v>
          </cell>
          <cell r="R230">
            <v>0</v>
          </cell>
          <cell r="S230">
            <v>0</v>
          </cell>
          <cell r="T230">
            <v>1060100</v>
          </cell>
        </row>
        <row r="231">
          <cell r="C231">
            <v>6945387</v>
          </cell>
          <cell r="D231">
            <v>2019</v>
          </cell>
          <cell r="E231">
            <v>0</v>
          </cell>
          <cell r="F231">
            <v>0</v>
          </cell>
          <cell r="G231">
            <v>0</v>
          </cell>
          <cell r="H231">
            <v>4689162</v>
          </cell>
          <cell r="I231">
            <v>0</v>
          </cell>
          <cell r="J231">
            <v>2885000</v>
          </cell>
          <cell r="K231">
            <v>0</v>
          </cell>
          <cell r="L231">
            <v>0</v>
          </cell>
          <cell r="M231">
            <v>0</v>
          </cell>
          <cell r="N231">
            <v>0</v>
          </cell>
          <cell r="O231">
            <v>0</v>
          </cell>
          <cell r="P231">
            <v>0</v>
          </cell>
          <cell r="Q231">
            <v>0</v>
          </cell>
          <cell r="R231">
            <v>0</v>
          </cell>
          <cell r="S231">
            <v>0</v>
          </cell>
          <cell r="T231">
            <v>7574162</v>
          </cell>
        </row>
        <row r="232">
          <cell r="C232">
            <v>2189349</v>
          </cell>
          <cell r="D232">
            <v>2019</v>
          </cell>
          <cell r="E232">
            <v>450000</v>
          </cell>
          <cell r="F232">
            <v>0</v>
          </cell>
          <cell r="G232">
            <v>0</v>
          </cell>
          <cell r="H232">
            <v>138910</v>
          </cell>
          <cell r="I232">
            <v>0</v>
          </cell>
          <cell r="J232">
            <v>0</v>
          </cell>
          <cell r="K232">
            <v>0</v>
          </cell>
          <cell r="L232">
            <v>0</v>
          </cell>
          <cell r="M232">
            <v>0</v>
          </cell>
          <cell r="N232">
            <v>0</v>
          </cell>
          <cell r="O232">
            <v>0</v>
          </cell>
          <cell r="P232">
            <v>0</v>
          </cell>
          <cell r="Q232">
            <v>0</v>
          </cell>
          <cell r="R232">
            <v>0</v>
          </cell>
          <cell r="S232">
            <v>0</v>
          </cell>
          <cell r="T232">
            <v>588910</v>
          </cell>
        </row>
        <row r="233">
          <cell r="C233">
            <v>9000001</v>
          </cell>
          <cell r="D233">
            <v>2019</v>
          </cell>
          <cell r="E233">
            <v>1072657</v>
          </cell>
          <cell r="F233">
            <v>0</v>
          </cell>
          <cell r="G233">
            <v>0</v>
          </cell>
          <cell r="H233">
            <v>0</v>
          </cell>
          <cell r="I233">
            <v>0</v>
          </cell>
          <cell r="J233">
            <v>0</v>
          </cell>
          <cell r="K233">
            <v>0</v>
          </cell>
          <cell r="L233">
            <v>0</v>
          </cell>
          <cell r="M233">
            <v>0</v>
          </cell>
          <cell r="N233">
            <v>0</v>
          </cell>
          <cell r="O233">
            <v>110000</v>
          </cell>
          <cell r="P233">
            <v>45000</v>
          </cell>
          <cell r="Q233">
            <v>155000</v>
          </cell>
          <cell r="R233">
            <v>0</v>
          </cell>
          <cell r="S233">
            <v>34000</v>
          </cell>
          <cell r="T233">
            <v>1261657</v>
          </cell>
        </row>
        <row r="234">
          <cell r="C234">
            <v>1225073</v>
          </cell>
          <cell r="D234">
            <v>2019</v>
          </cell>
          <cell r="E234">
            <v>0</v>
          </cell>
          <cell r="F234">
            <v>0</v>
          </cell>
          <cell r="G234">
            <v>0</v>
          </cell>
          <cell r="H234">
            <v>6459380</v>
          </cell>
          <cell r="I234">
            <v>0</v>
          </cell>
          <cell r="J234">
            <v>0</v>
          </cell>
          <cell r="K234">
            <v>0</v>
          </cell>
          <cell r="L234">
            <v>0</v>
          </cell>
          <cell r="M234">
            <v>0</v>
          </cell>
          <cell r="N234">
            <v>0</v>
          </cell>
          <cell r="O234">
            <v>3000</v>
          </cell>
          <cell r="P234">
            <v>1285895</v>
          </cell>
          <cell r="Q234">
            <v>1288895</v>
          </cell>
          <cell r="R234">
            <v>0</v>
          </cell>
          <cell r="S234">
            <v>0</v>
          </cell>
          <cell r="T234">
            <v>7748275</v>
          </cell>
        </row>
        <row r="235">
          <cell r="C235">
            <v>4936413</v>
          </cell>
          <cell r="D235">
            <v>2019</v>
          </cell>
          <cell r="E235">
            <v>176702</v>
          </cell>
          <cell r="F235">
            <v>0</v>
          </cell>
          <cell r="G235">
            <v>0</v>
          </cell>
          <cell r="H235">
            <v>516450</v>
          </cell>
          <cell r="I235">
            <v>0</v>
          </cell>
          <cell r="J235">
            <v>0</v>
          </cell>
          <cell r="K235">
            <v>0</v>
          </cell>
          <cell r="L235">
            <v>0</v>
          </cell>
          <cell r="M235">
            <v>0</v>
          </cell>
          <cell r="N235">
            <v>0</v>
          </cell>
          <cell r="O235">
            <v>0</v>
          </cell>
          <cell r="P235">
            <v>1293990</v>
          </cell>
          <cell r="Q235">
            <v>1293990</v>
          </cell>
          <cell r="R235">
            <v>0</v>
          </cell>
          <cell r="S235">
            <v>0</v>
          </cell>
          <cell r="T235">
            <v>1987142</v>
          </cell>
        </row>
        <row r="236">
          <cell r="C236">
            <v>2813024</v>
          </cell>
          <cell r="D236">
            <v>2019</v>
          </cell>
          <cell r="E236">
            <v>0</v>
          </cell>
          <cell r="F236">
            <v>0</v>
          </cell>
          <cell r="G236">
            <v>0</v>
          </cell>
          <cell r="H236">
            <v>1397371</v>
          </cell>
          <cell r="I236">
            <v>0</v>
          </cell>
          <cell r="J236">
            <v>0</v>
          </cell>
          <cell r="K236">
            <v>987598</v>
          </cell>
          <cell r="L236">
            <v>54461</v>
          </cell>
          <cell r="M236">
            <v>0</v>
          </cell>
          <cell r="N236">
            <v>0</v>
          </cell>
          <cell r="O236">
            <v>0</v>
          </cell>
          <cell r="P236">
            <v>409000</v>
          </cell>
          <cell r="Q236">
            <v>409000</v>
          </cell>
          <cell r="R236">
            <v>0</v>
          </cell>
          <cell r="S236">
            <v>0</v>
          </cell>
          <cell r="T236">
            <v>2848430</v>
          </cell>
        </row>
        <row r="237">
          <cell r="C237">
            <v>8946698</v>
          </cell>
          <cell r="D237">
            <v>2019</v>
          </cell>
          <cell r="E237">
            <v>0</v>
          </cell>
          <cell r="F237">
            <v>0</v>
          </cell>
          <cell r="G237">
            <v>0</v>
          </cell>
          <cell r="H237">
            <v>2744110</v>
          </cell>
          <cell r="I237">
            <v>0</v>
          </cell>
          <cell r="J237">
            <v>0</v>
          </cell>
          <cell r="K237">
            <v>1105710</v>
          </cell>
          <cell r="L237">
            <v>0</v>
          </cell>
          <cell r="M237">
            <v>0</v>
          </cell>
          <cell r="N237">
            <v>0</v>
          </cell>
          <cell r="O237">
            <v>0</v>
          </cell>
          <cell r="P237">
            <v>295000</v>
          </cell>
          <cell r="Q237">
            <v>295000</v>
          </cell>
          <cell r="R237">
            <v>0</v>
          </cell>
          <cell r="S237">
            <v>0</v>
          </cell>
          <cell r="T237">
            <v>4144820</v>
          </cell>
        </row>
        <row r="238">
          <cell r="C238">
            <v>2499134</v>
          </cell>
          <cell r="D238">
            <v>2019</v>
          </cell>
          <cell r="E238">
            <v>0</v>
          </cell>
          <cell r="F238">
            <v>141000</v>
          </cell>
          <cell r="G238">
            <v>0</v>
          </cell>
          <cell r="H238">
            <v>2790235</v>
          </cell>
          <cell r="I238">
            <v>0</v>
          </cell>
          <cell r="J238">
            <v>0</v>
          </cell>
          <cell r="K238">
            <v>0</v>
          </cell>
          <cell r="L238">
            <v>0</v>
          </cell>
          <cell r="M238">
            <v>0</v>
          </cell>
          <cell r="N238">
            <v>0</v>
          </cell>
          <cell r="O238">
            <v>3185</v>
          </cell>
          <cell r="P238">
            <v>153000</v>
          </cell>
          <cell r="Q238">
            <v>156185</v>
          </cell>
          <cell r="R238">
            <v>0</v>
          </cell>
          <cell r="S238">
            <v>4000</v>
          </cell>
          <cell r="T238">
            <v>3091420</v>
          </cell>
        </row>
        <row r="239">
          <cell r="C239">
            <v>5804478</v>
          </cell>
          <cell r="D239">
            <v>2019</v>
          </cell>
          <cell r="E239">
            <v>0</v>
          </cell>
          <cell r="F239">
            <v>0</v>
          </cell>
          <cell r="G239">
            <v>0</v>
          </cell>
          <cell r="H239">
            <v>7833300</v>
          </cell>
          <cell r="I239">
            <v>0</v>
          </cell>
          <cell r="J239">
            <v>0</v>
          </cell>
          <cell r="K239">
            <v>0</v>
          </cell>
          <cell r="L239">
            <v>0</v>
          </cell>
          <cell r="M239">
            <v>0</v>
          </cell>
          <cell r="N239">
            <v>0</v>
          </cell>
          <cell r="O239">
            <v>0</v>
          </cell>
          <cell r="P239">
            <v>0</v>
          </cell>
          <cell r="Q239">
            <v>0</v>
          </cell>
          <cell r="R239">
            <v>0</v>
          </cell>
          <cell r="S239">
            <v>0</v>
          </cell>
          <cell r="T239">
            <v>7833300</v>
          </cell>
        </row>
        <row r="240">
          <cell r="C240">
            <v>6627771</v>
          </cell>
          <cell r="D240">
            <v>2019</v>
          </cell>
          <cell r="E240">
            <v>0</v>
          </cell>
          <cell r="F240">
            <v>0</v>
          </cell>
          <cell r="G240">
            <v>0</v>
          </cell>
          <cell r="H240">
            <v>532263</v>
          </cell>
          <cell r="I240">
            <v>0</v>
          </cell>
          <cell r="J240">
            <v>0</v>
          </cell>
          <cell r="K240">
            <v>0</v>
          </cell>
          <cell r="L240">
            <v>0</v>
          </cell>
          <cell r="M240">
            <v>0</v>
          </cell>
          <cell r="N240">
            <v>0</v>
          </cell>
          <cell r="O240">
            <v>0</v>
          </cell>
          <cell r="P240">
            <v>0</v>
          </cell>
          <cell r="Q240">
            <v>0</v>
          </cell>
          <cell r="R240">
            <v>0</v>
          </cell>
          <cell r="S240">
            <v>0</v>
          </cell>
          <cell r="T240">
            <v>532263</v>
          </cell>
        </row>
        <row r="241">
          <cell r="C241">
            <v>8522302</v>
          </cell>
          <cell r="D241">
            <v>2019</v>
          </cell>
          <cell r="E241">
            <v>32386</v>
          </cell>
          <cell r="F241">
            <v>0</v>
          </cell>
          <cell r="G241">
            <v>0</v>
          </cell>
          <cell r="H241">
            <v>133500</v>
          </cell>
          <cell r="I241">
            <v>0</v>
          </cell>
          <cell r="J241">
            <v>0</v>
          </cell>
          <cell r="K241">
            <v>0</v>
          </cell>
          <cell r="L241">
            <v>0</v>
          </cell>
          <cell r="M241">
            <v>0</v>
          </cell>
          <cell r="N241">
            <v>0</v>
          </cell>
          <cell r="O241">
            <v>0</v>
          </cell>
          <cell r="P241">
            <v>0</v>
          </cell>
          <cell r="Q241">
            <v>0</v>
          </cell>
          <cell r="R241">
            <v>0</v>
          </cell>
          <cell r="S241">
            <v>0</v>
          </cell>
          <cell r="T241">
            <v>165886</v>
          </cell>
        </row>
        <row r="242">
          <cell r="C242">
            <v>5646573</v>
          </cell>
          <cell r="D242">
            <v>2019</v>
          </cell>
          <cell r="E242">
            <v>28567</v>
          </cell>
          <cell r="F242">
            <v>79838</v>
          </cell>
          <cell r="G242">
            <v>0</v>
          </cell>
          <cell r="H242">
            <v>1089000</v>
          </cell>
          <cell r="I242">
            <v>0</v>
          </cell>
          <cell r="J242">
            <v>0</v>
          </cell>
          <cell r="K242">
            <v>0</v>
          </cell>
          <cell r="L242">
            <v>0</v>
          </cell>
          <cell r="M242">
            <v>0</v>
          </cell>
          <cell r="N242">
            <v>0</v>
          </cell>
          <cell r="O242">
            <v>0</v>
          </cell>
          <cell r="P242">
            <v>0</v>
          </cell>
          <cell r="Q242">
            <v>0</v>
          </cell>
          <cell r="R242">
            <v>41147</v>
          </cell>
          <cell r="S242">
            <v>0</v>
          </cell>
          <cell r="T242">
            <v>1238552</v>
          </cell>
        </row>
        <row r="243">
          <cell r="C243">
            <v>2125600</v>
          </cell>
          <cell r="D243">
            <v>2019</v>
          </cell>
          <cell r="E243">
            <v>773200</v>
          </cell>
          <cell r="F243">
            <v>0</v>
          </cell>
          <cell r="G243">
            <v>0</v>
          </cell>
          <cell r="H243">
            <v>4360800</v>
          </cell>
          <cell r="I243">
            <v>0</v>
          </cell>
          <cell r="J243">
            <v>0</v>
          </cell>
          <cell r="K243">
            <v>0</v>
          </cell>
          <cell r="L243">
            <v>0</v>
          </cell>
          <cell r="M243">
            <v>0</v>
          </cell>
          <cell r="N243">
            <v>0</v>
          </cell>
          <cell r="O243">
            <v>0</v>
          </cell>
          <cell r="P243">
            <v>6686000</v>
          </cell>
          <cell r="Q243">
            <v>6686000</v>
          </cell>
          <cell r="R243">
            <v>0</v>
          </cell>
          <cell r="S243">
            <v>0</v>
          </cell>
          <cell r="T243">
            <v>11820000</v>
          </cell>
        </row>
        <row r="244">
          <cell r="C244">
            <v>7384495</v>
          </cell>
          <cell r="D244">
            <v>2019</v>
          </cell>
          <cell r="E244">
            <v>0</v>
          </cell>
          <cell r="F244">
            <v>0</v>
          </cell>
          <cell r="G244">
            <v>0</v>
          </cell>
          <cell r="H244">
            <v>0</v>
          </cell>
          <cell r="I244">
            <v>0</v>
          </cell>
          <cell r="J244">
            <v>644164</v>
          </cell>
          <cell r="K244">
            <v>2393172</v>
          </cell>
          <cell r="L244">
            <v>202466</v>
          </cell>
          <cell r="M244">
            <v>0</v>
          </cell>
          <cell r="N244">
            <v>0</v>
          </cell>
          <cell r="O244">
            <v>0</v>
          </cell>
          <cell r="P244">
            <v>0</v>
          </cell>
          <cell r="Q244">
            <v>0</v>
          </cell>
          <cell r="R244">
            <v>0</v>
          </cell>
          <cell r="S244">
            <v>0</v>
          </cell>
          <cell r="T244">
            <v>3239802</v>
          </cell>
        </row>
        <row r="245">
          <cell r="C245">
            <v>2837121</v>
          </cell>
          <cell r="D245">
            <v>2019</v>
          </cell>
          <cell r="E245">
            <v>0</v>
          </cell>
          <cell r="F245">
            <v>0</v>
          </cell>
          <cell r="G245">
            <v>0</v>
          </cell>
          <cell r="H245">
            <v>4525979</v>
          </cell>
          <cell r="I245">
            <v>0</v>
          </cell>
          <cell r="J245">
            <v>2334960</v>
          </cell>
          <cell r="K245">
            <v>0</v>
          </cell>
          <cell r="L245">
            <v>0</v>
          </cell>
          <cell r="M245">
            <v>0</v>
          </cell>
          <cell r="N245">
            <v>0</v>
          </cell>
          <cell r="O245">
            <v>0</v>
          </cell>
          <cell r="P245">
            <v>0</v>
          </cell>
          <cell r="Q245">
            <v>0</v>
          </cell>
          <cell r="R245">
            <v>0</v>
          </cell>
          <cell r="S245">
            <v>0</v>
          </cell>
          <cell r="T245">
            <v>6860939</v>
          </cell>
        </row>
        <row r="246">
          <cell r="C246">
            <v>3619533</v>
          </cell>
          <cell r="D246">
            <v>2019</v>
          </cell>
          <cell r="E246">
            <v>110078</v>
          </cell>
          <cell r="F246">
            <v>0</v>
          </cell>
          <cell r="G246">
            <v>0</v>
          </cell>
          <cell r="H246">
            <v>3471471</v>
          </cell>
          <cell r="I246">
            <v>0</v>
          </cell>
          <cell r="J246">
            <v>0</v>
          </cell>
          <cell r="K246">
            <v>0</v>
          </cell>
          <cell r="L246">
            <v>0</v>
          </cell>
          <cell r="M246">
            <v>0</v>
          </cell>
          <cell r="N246">
            <v>0</v>
          </cell>
          <cell r="O246">
            <v>0</v>
          </cell>
          <cell r="P246">
            <v>1504000</v>
          </cell>
          <cell r="Q246">
            <v>1504000</v>
          </cell>
          <cell r="R246">
            <v>0</v>
          </cell>
          <cell r="S246">
            <v>0</v>
          </cell>
          <cell r="T246">
            <v>5085549</v>
          </cell>
        </row>
        <row r="247">
          <cell r="C247">
            <v>2093343</v>
          </cell>
          <cell r="D247">
            <v>2019</v>
          </cell>
          <cell r="E247">
            <v>0</v>
          </cell>
          <cell r="F247">
            <v>0</v>
          </cell>
          <cell r="G247">
            <v>0</v>
          </cell>
          <cell r="H247">
            <v>563624</v>
          </cell>
          <cell r="I247">
            <v>0</v>
          </cell>
          <cell r="J247">
            <v>0</v>
          </cell>
          <cell r="K247">
            <v>0</v>
          </cell>
          <cell r="L247">
            <v>0</v>
          </cell>
          <cell r="M247">
            <v>0</v>
          </cell>
          <cell r="N247">
            <v>0</v>
          </cell>
          <cell r="O247">
            <v>0</v>
          </cell>
          <cell r="P247">
            <v>110000</v>
          </cell>
          <cell r="Q247">
            <v>110000</v>
          </cell>
          <cell r="R247">
            <v>0</v>
          </cell>
          <cell r="S247">
            <v>0</v>
          </cell>
          <cell r="T247">
            <v>673624</v>
          </cell>
        </row>
        <row r="248">
          <cell r="C248">
            <v>4383860</v>
          </cell>
          <cell r="D248">
            <v>2019</v>
          </cell>
          <cell r="E248">
            <v>1012000</v>
          </cell>
          <cell r="F248">
            <v>0</v>
          </cell>
          <cell r="G248">
            <v>0</v>
          </cell>
          <cell r="H248">
            <v>3864560</v>
          </cell>
          <cell r="I248">
            <v>0</v>
          </cell>
          <cell r="J248">
            <v>0</v>
          </cell>
          <cell r="K248">
            <v>0</v>
          </cell>
          <cell r="L248">
            <v>0</v>
          </cell>
          <cell r="M248">
            <v>0</v>
          </cell>
          <cell r="N248">
            <v>0</v>
          </cell>
          <cell r="O248">
            <v>0</v>
          </cell>
          <cell r="P248">
            <v>0</v>
          </cell>
          <cell r="Q248">
            <v>0</v>
          </cell>
          <cell r="R248">
            <v>0</v>
          </cell>
          <cell r="S248">
            <v>0</v>
          </cell>
          <cell r="T248">
            <v>4876560</v>
          </cell>
        </row>
        <row r="249">
          <cell r="C249">
            <v>2174839</v>
          </cell>
          <cell r="D249">
            <v>2019</v>
          </cell>
          <cell r="E249">
            <v>122325</v>
          </cell>
          <cell r="F249">
            <v>130000</v>
          </cell>
          <cell r="G249">
            <v>0</v>
          </cell>
          <cell r="H249">
            <v>2728440</v>
          </cell>
          <cell r="I249">
            <v>0</v>
          </cell>
          <cell r="J249">
            <v>0</v>
          </cell>
          <cell r="K249">
            <v>0</v>
          </cell>
          <cell r="L249">
            <v>0</v>
          </cell>
          <cell r="M249">
            <v>0</v>
          </cell>
          <cell r="N249">
            <v>0</v>
          </cell>
          <cell r="O249">
            <v>0</v>
          </cell>
          <cell r="P249">
            <v>370000</v>
          </cell>
          <cell r="Q249">
            <v>370000</v>
          </cell>
          <cell r="R249">
            <v>0</v>
          </cell>
          <cell r="S249">
            <v>0</v>
          </cell>
          <cell r="T249">
            <v>3350765</v>
          </cell>
        </row>
        <row r="250">
          <cell r="C250">
            <v>3961063</v>
          </cell>
          <cell r="D250">
            <v>2019</v>
          </cell>
          <cell r="E250">
            <v>197355</v>
          </cell>
          <cell r="F250">
            <v>0</v>
          </cell>
          <cell r="G250">
            <v>0</v>
          </cell>
          <cell r="H250">
            <v>1531310</v>
          </cell>
          <cell r="I250">
            <v>0</v>
          </cell>
          <cell r="J250">
            <v>0</v>
          </cell>
          <cell r="K250">
            <v>1321335</v>
          </cell>
          <cell r="L250">
            <v>0</v>
          </cell>
          <cell r="M250">
            <v>0</v>
          </cell>
          <cell r="N250">
            <v>0</v>
          </cell>
          <cell r="O250">
            <v>0</v>
          </cell>
          <cell r="P250">
            <v>150000</v>
          </cell>
          <cell r="Q250">
            <v>150000</v>
          </cell>
          <cell r="R250">
            <v>0</v>
          </cell>
          <cell r="S250">
            <v>0</v>
          </cell>
          <cell r="T250">
            <v>3200000</v>
          </cell>
        </row>
        <row r="251">
          <cell r="C251">
            <v>7630615</v>
          </cell>
          <cell r="D251">
            <v>2019</v>
          </cell>
          <cell r="E251">
            <v>0</v>
          </cell>
          <cell r="F251">
            <v>0</v>
          </cell>
          <cell r="G251">
            <v>0</v>
          </cell>
          <cell r="H251">
            <v>35748234</v>
          </cell>
          <cell r="I251">
            <v>0</v>
          </cell>
          <cell r="J251">
            <v>0</v>
          </cell>
          <cell r="K251">
            <v>0</v>
          </cell>
          <cell r="L251">
            <v>0</v>
          </cell>
          <cell r="M251">
            <v>0</v>
          </cell>
          <cell r="N251">
            <v>0</v>
          </cell>
          <cell r="O251">
            <v>0</v>
          </cell>
          <cell r="P251">
            <v>0</v>
          </cell>
          <cell r="Q251">
            <v>0</v>
          </cell>
          <cell r="R251">
            <v>0</v>
          </cell>
          <cell r="S251">
            <v>0</v>
          </cell>
          <cell r="T251">
            <v>35748234</v>
          </cell>
        </row>
        <row r="252">
          <cell r="C252">
            <v>3454870</v>
          </cell>
          <cell r="D252">
            <v>2019</v>
          </cell>
          <cell r="E252">
            <v>0</v>
          </cell>
          <cell r="F252">
            <v>0</v>
          </cell>
          <cell r="G252">
            <v>0</v>
          </cell>
          <cell r="H252">
            <v>0</v>
          </cell>
          <cell r="I252">
            <v>0</v>
          </cell>
          <cell r="J252">
            <v>0</v>
          </cell>
          <cell r="K252">
            <v>364887</v>
          </cell>
          <cell r="L252">
            <v>0</v>
          </cell>
          <cell r="M252">
            <v>0</v>
          </cell>
          <cell r="N252">
            <v>0</v>
          </cell>
          <cell r="O252">
            <v>0</v>
          </cell>
          <cell r="P252">
            <v>0</v>
          </cell>
          <cell r="Q252">
            <v>0</v>
          </cell>
          <cell r="R252">
            <v>0</v>
          </cell>
          <cell r="S252">
            <v>0</v>
          </cell>
          <cell r="T252">
            <v>364887</v>
          </cell>
        </row>
        <row r="253">
          <cell r="C253">
            <v>6749255</v>
          </cell>
          <cell r="D253">
            <v>2019</v>
          </cell>
          <cell r="E253">
            <v>1718</v>
          </cell>
          <cell r="F253">
            <v>0</v>
          </cell>
          <cell r="G253">
            <v>0</v>
          </cell>
          <cell r="H253">
            <v>666130</v>
          </cell>
          <cell r="I253">
            <v>0</v>
          </cell>
          <cell r="J253">
            <v>0</v>
          </cell>
          <cell r="K253">
            <v>0</v>
          </cell>
          <cell r="L253">
            <v>472000</v>
          </cell>
          <cell r="M253">
            <v>0</v>
          </cell>
          <cell r="N253">
            <v>0</v>
          </cell>
          <cell r="O253">
            <v>0</v>
          </cell>
          <cell r="P253">
            <v>742000</v>
          </cell>
          <cell r="Q253">
            <v>742000</v>
          </cell>
          <cell r="R253">
            <v>0</v>
          </cell>
          <cell r="S253">
            <v>0</v>
          </cell>
          <cell r="T253">
            <v>1881848</v>
          </cell>
        </row>
        <row r="254">
          <cell r="C254">
            <v>7916274</v>
          </cell>
          <cell r="D254">
            <v>2019</v>
          </cell>
          <cell r="E254">
            <v>0</v>
          </cell>
          <cell r="F254">
            <v>0</v>
          </cell>
          <cell r="G254">
            <v>0</v>
          </cell>
          <cell r="H254">
            <v>5404290</v>
          </cell>
          <cell r="I254">
            <v>0</v>
          </cell>
          <cell r="J254">
            <v>0</v>
          </cell>
          <cell r="K254">
            <v>0</v>
          </cell>
          <cell r="L254">
            <v>0</v>
          </cell>
          <cell r="M254">
            <v>0</v>
          </cell>
          <cell r="N254">
            <v>0</v>
          </cell>
          <cell r="O254">
            <v>0</v>
          </cell>
          <cell r="P254">
            <v>3600000</v>
          </cell>
          <cell r="Q254">
            <v>3600000</v>
          </cell>
          <cell r="R254">
            <v>0</v>
          </cell>
          <cell r="S254">
            <v>0</v>
          </cell>
          <cell r="T254">
            <v>9004290</v>
          </cell>
        </row>
        <row r="255">
          <cell r="C255">
            <v>6948137</v>
          </cell>
          <cell r="D255">
            <v>2019</v>
          </cell>
          <cell r="E255">
            <v>970550</v>
          </cell>
          <cell r="F255">
            <v>0</v>
          </cell>
          <cell r="G255">
            <v>0</v>
          </cell>
          <cell r="H255">
            <v>0</v>
          </cell>
          <cell r="I255">
            <v>0</v>
          </cell>
          <cell r="J255">
            <v>0</v>
          </cell>
          <cell r="K255">
            <v>6197056</v>
          </cell>
          <cell r="L255">
            <v>184627</v>
          </cell>
          <cell r="M255">
            <v>0</v>
          </cell>
          <cell r="N255">
            <v>0</v>
          </cell>
          <cell r="O255">
            <v>0</v>
          </cell>
          <cell r="P255">
            <v>235000</v>
          </cell>
          <cell r="Q255">
            <v>235000</v>
          </cell>
          <cell r="R255">
            <v>0</v>
          </cell>
          <cell r="S255">
            <v>98000</v>
          </cell>
          <cell r="T255">
            <v>7685233</v>
          </cell>
        </row>
        <row r="256">
          <cell r="C256">
            <v>8979890</v>
          </cell>
          <cell r="D256">
            <v>2019</v>
          </cell>
          <cell r="E256">
            <v>15808</v>
          </cell>
          <cell r="F256">
            <v>0</v>
          </cell>
          <cell r="G256">
            <v>0</v>
          </cell>
          <cell r="H256">
            <v>3457000</v>
          </cell>
          <cell r="I256">
            <v>0</v>
          </cell>
          <cell r="J256">
            <v>0</v>
          </cell>
          <cell r="K256">
            <v>0</v>
          </cell>
          <cell r="L256">
            <v>0</v>
          </cell>
          <cell r="M256">
            <v>0</v>
          </cell>
          <cell r="N256">
            <v>0</v>
          </cell>
          <cell r="O256">
            <v>17000</v>
          </cell>
          <cell r="P256">
            <v>353000</v>
          </cell>
          <cell r="Q256">
            <v>370000</v>
          </cell>
          <cell r="R256">
            <v>0</v>
          </cell>
          <cell r="S256">
            <v>0</v>
          </cell>
          <cell r="T256">
            <v>3842808</v>
          </cell>
        </row>
        <row r="257">
          <cell r="C257">
            <v>5638901</v>
          </cell>
          <cell r="D257">
            <v>2019</v>
          </cell>
          <cell r="E257">
            <v>0</v>
          </cell>
          <cell r="F257">
            <v>0</v>
          </cell>
          <cell r="G257">
            <v>0</v>
          </cell>
          <cell r="H257">
            <v>10608684</v>
          </cell>
          <cell r="I257">
            <v>0</v>
          </cell>
          <cell r="J257">
            <v>4163280</v>
          </cell>
          <cell r="K257">
            <v>0</v>
          </cell>
          <cell r="L257">
            <v>0</v>
          </cell>
          <cell r="M257">
            <v>0</v>
          </cell>
          <cell r="N257">
            <v>0</v>
          </cell>
          <cell r="O257">
            <v>0</v>
          </cell>
          <cell r="P257">
            <v>0</v>
          </cell>
          <cell r="Q257">
            <v>0</v>
          </cell>
          <cell r="R257">
            <v>0</v>
          </cell>
          <cell r="S257">
            <v>0</v>
          </cell>
          <cell r="T257">
            <v>14771964</v>
          </cell>
        </row>
        <row r="258">
          <cell r="C258">
            <v>7459230</v>
          </cell>
          <cell r="D258">
            <v>2019</v>
          </cell>
          <cell r="E258">
            <v>350000</v>
          </cell>
          <cell r="F258">
            <v>0</v>
          </cell>
          <cell r="G258">
            <v>0</v>
          </cell>
          <cell r="H258">
            <v>2778000</v>
          </cell>
          <cell r="I258">
            <v>0</v>
          </cell>
          <cell r="J258">
            <v>0</v>
          </cell>
          <cell r="K258">
            <v>0</v>
          </cell>
          <cell r="L258">
            <v>0</v>
          </cell>
          <cell r="M258">
            <v>0</v>
          </cell>
          <cell r="N258">
            <v>0</v>
          </cell>
          <cell r="O258">
            <v>71452</v>
          </cell>
          <cell r="P258">
            <v>292000</v>
          </cell>
          <cell r="Q258">
            <v>363452</v>
          </cell>
          <cell r="R258">
            <v>0</v>
          </cell>
          <cell r="S258">
            <v>0</v>
          </cell>
          <cell r="T258">
            <v>3491452</v>
          </cell>
        </row>
        <row r="259">
          <cell r="C259">
            <v>8338145</v>
          </cell>
          <cell r="D259">
            <v>2019</v>
          </cell>
          <cell r="E259">
            <v>0</v>
          </cell>
          <cell r="F259">
            <v>0</v>
          </cell>
          <cell r="G259">
            <v>0</v>
          </cell>
          <cell r="H259">
            <v>1601240</v>
          </cell>
          <cell r="I259">
            <v>0</v>
          </cell>
          <cell r="J259">
            <v>1445838</v>
          </cell>
          <cell r="K259">
            <v>0</v>
          </cell>
          <cell r="L259">
            <v>228390</v>
          </cell>
          <cell r="M259">
            <v>0</v>
          </cell>
          <cell r="N259">
            <v>0</v>
          </cell>
          <cell r="O259">
            <v>0</v>
          </cell>
          <cell r="P259">
            <v>0</v>
          </cell>
          <cell r="Q259">
            <v>0</v>
          </cell>
          <cell r="R259">
            <v>0</v>
          </cell>
          <cell r="S259">
            <v>0</v>
          </cell>
          <cell r="T259">
            <v>3275468</v>
          </cell>
        </row>
        <row r="260">
          <cell r="C260">
            <v>4385424</v>
          </cell>
          <cell r="D260">
            <v>2019</v>
          </cell>
          <cell r="E260">
            <v>0</v>
          </cell>
          <cell r="F260">
            <v>0</v>
          </cell>
          <cell r="G260">
            <v>0</v>
          </cell>
          <cell r="H260">
            <v>0</v>
          </cell>
          <cell r="I260">
            <v>22382591</v>
          </cell>
          <cell r="J260">
            <v>0</v>
          </cell>
          <cell r="K260">
            <v>0</v>
          </cell>
          <cell r="L260">
            <v>0</v>
          </cell>
          <cell r="M260">
            <v>0</v>
          </cell>
          <cell r="N260">
            <v>0</v>
          </cell>
          <cell r="O260">
            <v>0</v>
          </cell>
          <cell r="P260">
            <v>57000</v>
          </cell>
          <cell r="Q260">
            <v>57000</v>
          </cell>
          <cell r="R260">
            <v>0</v>
          </cell>
          <cell r="S260">
            <v>921600</v>
          </cell>
          <cell r="T260">
            <v>23361191</v>
          </cell>
        </row>
        <row r="261">
          <cell r="C261">
            <v>6697882</v>
          </cell>
          <cell r="D261">
            <v>2019</v>
          </cell>
          <cell r="E261">
            <v>56833</v>
          </cell>
          <cell r="F261">
            <v>0</v>
          </cell>
          <cell r="G261">
            <v>0</v>
          </cell>
          <cell r="H261">
            <v>97500</v>
          </cell>
          <cell r="I261">
            <v>0</v>
          </cell>
          <cell r="J261">
            <v>0</v>
          </cell>
          <cell r="K261">
            <v>0</v>
          </cell>
          <cell r="L261">
            <v>0</v>
          </cell>
          <cell r="M261">
            <v>0</v>
          </cell>
          <cell r="N261">
            <v>0</v>
          </cell>
          <cell r="O261">
            <v>0</v>
          </cell>
          <cell r="P261">
            <v>311642.76</v>
          </cell>
          <cell r="Q261">
            <v>311642.76</v>
          </cell>
          <cell r="R261">
            <v>0</v>
          </cell>
          <cell r="S261">
            <v>0</v>
          </cell>
          <cell r="T261">
            <v>465975.76</v>
          </cell>
        </row>
        <row r="262">
          <cell r="C262">
            <v>8982230</v>
          </cell>
          <cell r="D262">
            <v>2019</v>
          </cell>
          <cell r="E262">
            <v>123100</v>
          </cell>
          <cell r="F262">
            <v>0</v>
          </cell>
          <cell r="G262">
            <v>0</v>
          </cell>
          <cell r="H262">
            <v>6200000</v>
          </cell>
          <cell r="I262">
            <v>0</v>
          </cell>
          <cell r="J262">
            <v>0</v>
          </cell>
          <cell r="K262">
            <v>0</v>
          </cell>
          <cell r="L262">
            <v>0</v>
          </cell>
          <cell r="M262">
            <v>0</v>
          </cell>
          <cell r="N262">
            <v>0</v>
          </cell>
          <cell r="O262">
            <v>300000</v>
          </cell>
          <cell r="P262">
            <v>0</v>
          </cell>
          <cell r="Q262">
            <v>300000</v>
          </cell>
          <cell r="R262">
            <v>0</v>
          </cell>
          <cell r="S262">
            <v>0</v>
          </cell>
          <cell r="T262">
            <v>6623100</v>
          </cell>
        </row>
        <row r="263">
          <cell r="C263">
            <v>4753225</v>
          </cell>
          <cell r="D263">
            <v>2019</v>
          </cell>
          <cell r="E263">
            <v>0</v>
          </cell>
          <cell r="F263">
            <v>0</v>
          </cell>
          <cell r="G263">
            <v>0</v>
          </cell>
          <cell r="H263">
            <v>13999762</v>
          </cell>
          <cell r="I263">
            <v>0</v>
          </cell>
          <cell r="J263">
            <v>7106000</v>
          </cell>
          <cell r="K263">
            <v>0</v>
          </cell>
          <cell r="L263">
            <v>0</v>
          </cell>
          <cell r="M263">
            <v>0</v>
          </cell>
          <cell r="N263">
            <v>0</v>
          </cell>
          <cell r="O263">
            <v>0</v>
          </cell>
          <cell r="P263">
            <v>0</v>
          </cell>
          <cell r="Q263">
            <v>0</v>
          </cell>
          <cell r="R263">
            <v>0</v>
          </cell>
          <cell r="S263">
            <v>0</v>
          </cell>
          <cell r="T263">
            <v>21105762</v>
          </cell>
        </row>
        <row r="264">
          <cell r="C264">
            <v>8289298</v>
          </cell>
          <cell r="D264">
            <v>2019</v>
          </cell>
          <cell r="E264">
            <v>0</v>
          </cell>
          <cell r="F264">
            <v>40000</v>
          </cell>
          <cell r="G264">
            <v>0</v>
          </cell>
          <cell r="H264">
            <v>1090591</v>
          </cell>
          <cell r="I264">
            <v>0</v>
          </cell>
          <cell r="J264">
            <v>0</v>
          </cell>
          <cell r="K264">
            <v>0</v>
          </cell>
          <cell r="L264">
            <v>90000</v>
          </cell>
          <cell r="M264">
            <v>0</v>
          </cell>
          <cell r="N264">
            <v>0</v>
          </cell>
          <cell r="O264">
            <v>0</v>
          </cell>
          <cell r="P264">
            <v>100600</v>
          </cell>
          <cell r="Q264">
            <v>100600</v>
          </cell>
          <cell r="R264">
            <v>0</v>
          </cell>
          <cell r="S264">
            <v>60000</v>
          </cell>
          <cell r="T264">
            <v>1381191</v>
          </cell>
        </row>
        <row r="265">
          <cell r="C265">
            <v>2788586</v>
          </cell>
          <cell r="D265">
            <v>2019</v>
          </cell>
          <cell r="E265">
            <v>0</v>
          </cell>
          <cell r="F265">
            <v>0</v>
          </cell>
          <cell r="G265">
            <v>0</v>
          </cell>
          <cell r="H265">
            <v>0</v>
          </cell>
          <cell r="I265">
            <v>0</v>
          </cell>
          <cell r="J265">
            <v>0</v>
          </cell>
          <cell r="K265">
            <v>1006700</v>
          </cell>
          <cell r="L265">
            <v>0</v>
          </cell>
          <cell r="M265">
            <v>0</v>
          </cell>
          <cell r="N265">
            <v>0</v>
          </cell>
          <cell r="O265">
            <v>0</v>
          </cell>
          <cell r="P265">
            <v>45000</v>
          </cell>
          <cell r="Q265">
            <v>45000</v>
          </cell>
          <cell r="R265">
            <v>0</v>
          </cell>
          <cell r="S265">
            <v>0</v>
          </cell>
          <cell r="T265">
            <v>1051700</v>
          </cell>
        </row>
        <row r="266">
          <cell r="C266">
            <v>9870958</v>
          </cell>
          <cell r="D266">
            <v>2019</v>
          </cell>
          <cell r="E266">
            <v>0</v>
          </cell>
          <cell r="F266">
            <v>0</v>
          </cell>
          <cell r="G266">
            <v>0</v>
          </cell>
          <cell r="H266">
            <v>2067000</v>
          </cell>
          <cell r="I266">
            <v>0</v>
          </cell>
          <cell r="J266">
            <v>828174.04</v>
          </cell>
          <cell r="K266">
            <v>0</v>
          </cell>
          <cell r="L266">
            <v>0</v>
          </cell>
          <cell r="M266">
            <v>0</v>
          </cell>
          <cell r="N266">
            <v>0</v>
          </cell>
          <cell r="O266">
            <v>0</v>
          </cell>
          <cell r="P266">
            <v>129800</v>
          </cell>
          <cell r="Q266">
            <v>129800</v>
          </cell>
          <cell r="R266">
            <v>280000</v>
          </cell>
          <cell r="S266">
            <v>0</v>
          </cell>
          <cell r="T266">
            <v>3304974.04</v>
          </cell>
        </row>
        <row r="267">
          <cell r="C267">
            <v>5792625</v>
          </cell>
          <cell r="D267">
            <v>2019</v>
          </cell>
          <cell r="E267">
            <v>116140</v>
          </cell>
          <cell r="F267">
            <v>33512.800000000003</v>
          </cell>
          <cell r="G267">
            <v>0</v>
          </cell>
          <cell r="H267">
            <v>1487500</v>
          </cell>
          <cell r="I267">
            <v>0</v>
          </cell>
          <cell r="J267">
            <v>0</v>
          </cell>
          <cell r="K267">
            <v>0</v>
          </cell>
          <cell r="L267">
            <v>0</v>
          </cell>
          <cell r="M267">
            <v>0</v>
          </cell>
          <cell r="N267">
            <v>0</v>
          </cell>
          <cell r="O267">
            <v>0</v>
          </cell>
          <cell r="P267">
            <v>0</v>
          </cell>
          <cell r="Q267">
            <v>0</v>
          </cell>
          <cell r="R267">
            <v>0</v>
          </cell>
          <cell r="S267">
            <v>0</v>
          </cell>
          <cell r="T267">
            <v>1637152.8</v>
          </cell>
        </row>
        <row r="268">
          <cell r="C268">
            <v>6607461</v>
          </cell>
          <cell r="D268">
            <v>2019</v>
          </cell>
          <cell r="E268">
            <v>0</v>
          </cell>
          <cell r="F268">
            <v>55825.46</v>
          </cell>
          <cell r="G268">
            <v>0</v>
          </cell>
          <cell r="H268">
            <v>1182600</v>
          </cell>
          <cell r="I268">
            <v>0</v>
          </cell>
          <cell r="J268">
            <v>0</v>
          </cell>
          <cell r="K268">
            <v>0</v>
          </cell>
          <cell r="L268">
            <v>0</v>
          </cell>
          <cell r="M268">
            <v>0</v>
          </cell>
          <cell r="N268">
            <v>0</v>
          </cell>
          <cell r="O268">
            <v>15000</v>
          </cell>
          <cell r="P268">
            <v>200000</v>
          </cell>
          <cell r="Q268">
            <v>215000</v>
          </cell>
          <cell r="R268">
            <v>0</v>
          </cell>
          <cell r="S268">
            <v>0</v>
          </cell>
          <cell r="T268">
            <v>1453425.46</v>
          </cell>
        </row>
        <row r="269">
          <cell r="C269">
            <v>9767213</v>
          </cell>
          <cell r="D269">
            <v>2019</v>
          </cell>
          <cell r="E269">
            <v>0</v>
          </cell>
          <cell r="F269">
            <v>0</v>
          </cell>
          <cell r="G269">
            <v>0</v>
          </cell>
          <cell r="H269">
            <v>1621440</v>
          </cell>
          <cell r="I269">
            <v>0</v>
          </cell>
          <cell r="J269">
            <v>0</v>
          </cell>
          <cell r="K269">
            <v>599462</v>
          </cell>
          <cell r="L269">
            <v>0</v>
          </cell>
          <cell r="M269">
            <v>0</v>
          </cell>
          <cell r="N269">
            <v>0</v>
          </cell>
          <cell r="O269">
            <v>9000</v>
          </cell>
          <cell r="P269">
            <v>710500</v>
          </cell>
          <cell r="Q269">
            <v>719500</v>
          </cell>
          <cell r="R269">
            <v>0</v>
          </cell>
          <cell r="S269">
            <v>5000</v>
          </cell>
          <cell r="T269">
            <v>2945402</v>
          </cell>
        </row>
        <row r="270">
          <cell r="C270">
            <v>1840658</v>
          </cell>
          <cell r="D270">
            <v>2019</v>
          </cell>
          <cell r="E270">
            <v>0</v>
          </cell>
          <cell r="F270">
            <v>0</v>
          </cell>
          <cell r="G270">
            <v>0</v>
          </cell>
          <cell r="H270">
            <v>4326000</v>
          </cell>
          <cell r="I270">
            <v>0</v>
          </cell>
          <cell r="J270">
            <v>0</v>
          </cell>
          <cell r="K270">
            <v>0</v>
          </cell>
          <cell r="L270">
            <v>77951</v>
          </cell>
          <cell r="M270">
            <v>0</v>
          </cell>
          <cell r="N270">
            <v>0</v>
          </cell>
          <cell r="O270">
            <v>0</v>
          </cell>
          <cell r="P270">
            <v>366900</v>
          </cell>
          <cell r="Q270">
            <v>366900</v>
          </cell>
          <cell r="R270">
            <v>0</v>
          </cell>
          <cell r="S270">
            <v>0</v>
          </cell>
          <cell r="T270">
            <v>4770851</v>
          </cell>
        </row>
        <row r="271">
          <cell r="C271">
            <v>7634996</v>
          </cell>
          <cell r="D271">
            <v>2019</v>
          </cell>
          <cell r="E271">
            <v>26478</v>
          </cell>
          <cell r="F271">
            <v>26000</v>
          </cell>
          <cell r="G271">
            <v>0</v>
          </cell>
          <cell r="H271">
            <v>275460</v>
          </cell>
          <cell r="I271">
            <v>0</v>
          </cell>
          <cell r="J271">
            <v>0</v>
          </cell>
          <cell r="K271">
            <v>0</v>
          </cell>
          <cell r="L271">
            <v>30000</v>
          </cell>
          <cell r="M271">
            <v>0</v>
          </cell>
          <cell r="N271">
            <v>0</v>
          </cell>
          <cell r="O271">
            <v>0</v>
          </cell>
          <cell r="P271">
            <v>40000</v>
          </cell>
          <cell r="Q271">
            <v>40000</v>
          </cell>
          <cell r="R271">
            <v>0</v>
          </cell>
          <cell r="S271">
            <v>6000</v>
          </cell>
          <cell r="T271">
            <v>403938</v>
          </cell>
        </row>
        <row r="272">
          <cell r="C272">
            <v>9659243</v>
          </cell>
          <cell r="D272">
            <v>2019</v>
          </cell>
          <cell r="E272">
            <v>603228</v>
          </cell>
          <cell r="F272">
            <v>0</v>
          </cell>
          <cell r="G272">
            <v>0</v>
          </cell>
          <cell r="H272">
            <v>2348410</v>
          </cell>
          <cell r="I272">
            <v>0</v>
          </cell>
          <cell r="J272">
            <v>0</v>
          </cell>
          <cell r="K272">
            <v>1723418</v>
          </cell>
          <cell r="L272">
            <v>0</v>
          </cell>
          <cell r="M272">
            <v>0</v>
          </cell>
          <cell r="N272">
            <v>0</v>
          </cell>
          <cell r="O272">
            <v>0</v>
          </cell>
          <cell r="P272">
            <v>28000</v>
          </cell>
          <cell r="Q272">
            <v>28000</v>
          </cell>
          <cell r="R272">
            <v>0</v>
          </cell>
          <cell r="S272">
            <v>0</v>
          </cell>
          <cell r="T272">
            <v>4703056</v>
          </cell>
        </row>
        <row r="273">
          <cell r="C273">
            <v>5020855</v>
          </cell>
          <cell r="D273">
            <v>2019</v>
          </cell>
          <cell r="E273">
            <v>310000</v>
          </cell>
          <cell r="F273">
            <v>0</v>
          </cell>
          <cell r="G273">
            <v>0</v>
          </cell>
          <cell r="H273">
            <v>4935000</v>
          </cell>
          <cell r="I273">
            <v>0</v>
          </cell>
          <cell r="J273">
            <v>0</v>
          </cell>
          <cell r="K273">
            <v>0</v>
          </cell>
          <cell r="L273">
            <v>0</v>
          </cell>
          <cell r="M273">
            <v>0</v>
          </cell>
          <cell r="N273">
            <v>0</v>
          </cell>
          <cell r="O273">
            <v>70000</v>
          </cell>
          <cell r="P273">
            <v>405000</v>
          </cell>
          <cell r="Q273">
            <v>475000</v>
          </cell>
          <cell r="R273">
            <v>0</v>
          </cell>
          <cell r="S273">
            <v>10650</v>
          </cell>
          <cell r="T273">
            <v>5730650</v>
          </cell>
        </row>
        <row r="274">
          <cell r="C274">
            <v>4382500</v>
          </cell>
          <cell r="D274">
            <v>2019</v>
          </cell>
          <cell r="E274">
            <v>0</v>
          </cell>
          <cell r="F274">
            <v>0</v>
          </cell>
          <cell r="G274">
            <v>0</v>
          </cell>
          <cell r="H274">
            <v>907690</v>
          </cell>
          <cell r="I274">
            <v>0</v>
          </cell>
          <cell r="J274">
            <v>795789</v>
          </cell>
          <cell r="K274">
            <v>0</v>
          </cell>
          <cell r="L274">
            <v>112716</v>
          </cell>
          <cell r="M274">
            <v>0</v>
          </cell>
          <cell r="N274">
            <v>0</v>
          </cell>
          <cell r="O274">
            <v>0</v>
          </cell>
          <cell r="P274">
            <v>0</v>
          </cell>
          <cell r="Q274">
            <v>0</v>
          </cell>
          <cell r="R274">
            <v>0</v>
          </cell>
          <cell r="S274">
            <v>0</v>
          </cell>
          <cell r="T274">
            <v>1816195</v>
          </cell>
        </row>
        <row r="275">
          <cell r="C275">
            <v>2039109</v>
          </cell>
          <cell r="D275">
            <v>2019</v>
          </cell>
          <cell r="E275">
            <v>8189</v>
          </cell>
          <cell r="F275">
            <v>177000</v>
          </cell>
          <cell r="G275">
            <v>0</v>
          </cell>
          <cell r="H275">
            <v>3452100</v>
          </cell>
          <cell r="I275">
            <v>0</v>
          </cell>
          <cell r="J275">
            <v>0</v>
          </cell>
          <cell r="K275">
            <v>0</v>
          </cell>
          <cell r="L275">
            <v>0</v>
          </cell>
          <cell r="M275">
            <v>0</v>
          </cell>
          <cell r="N275">
            <v>0</v>
          </cell>
          <cell r="O275">
            <v>91500</v>
          </cell>
          <cell r="P275">
            <v>225000</v>
          </cell>
          <cell r="Q275">
            <v>316500</v>
          </cell>
          <cell r="R275">
            <v>0</v>
          </cell>
          <cell r="S275">
            <v>0</v>
          </cell>
          <cell r="T275">
            <v>3953789</v>
          </cell>
        </row>
        <row r="276">
          <cell r="C276">
            <v>9196018</v>
          </cell>
          <cell r="D276">
            <v>2019</v>
          </cell>
          <cell r="E276">
            <v>0</v>
          </cell>
          <cell r="F276">
            <v>0</v>
          </cell>
          <cell r="G276">
            <v>0</v>
          </cell>
          <cell r="H276">
            <v>559074</v>
          </cell>
          <cell r="I276">
            <v>0</v>
          </cell>
          <cell r="J276">
            <v>0</v>
          </cell>
          <cell r="K276">
            <v>0</v>
          </cell>
          <cell r="L276">
            <v>0</v>
          </cell>
          <cell r="M276">
            <v>0</v>
          </cell>
          <cell r="N276">
            <v>0</v>
          </cell>
          <cell r="O276">
            <v>1668344</v>
          </cell>
          <cell r="P276">
            <v>0</v>
          </cell>
          <cell r="Q276">
            <v>1668344</v>
          </cell>
          <cell r="R276">
            <v>0</v>
          </cell>
          <cell r="S276">
            <v>0</v>
          </cell>
          <cell r="T276">
            <v>2227418</v>
          </cell>
        </row>
        <row r="277">
          <cell r="C277">
            <v>5141443</v>
          </cell>
          <cell r="D277">
            <v>2019</v>
          </cell>
          <cell r="E277">
            <v>59591</v>
          </cell>
          <cell r="F277">
            <v>0</v>
          </cell>
          <cell r="G277">
            <v>0</v>
          </cell>
          <cell r="H277">
            <v>150000</v>
          </cell>
          <cell r="I277">
            <v>0</v>
          </cell>
          <cell r="J277">
            <v>0</v>
          </cell>
          <cell r="K277">
            <v>0</v>
          </cell>
          <cell r="L277">
            <v>0</v>
          </cell>
          <cell r="M277">
            <v>0</v>
          </cell>
          <cell r="N277">
            <v>0</v>
          </cell>
          <cell r="O277">
            <v>0</v>
          </cell>
          <cell r="P277">
            <v>0</v>
          </cell>
          <cell r="Q277">
            <v>0</v>
          </cell>
          <cell r="R277">
            <v>0</v>
          </cell>
          <cell r="S277">
            <v>0</v>
          </cell>
          <cell r="T277">
            <v>209591</v>
          </cell>
        </row>
        <row r="278">
          <cell r="C278">
            <v>1758706</v>
          </cell>
          <cell r="D278">
            <v>2019</v>
          </cell>
          <cell r="E278">
            <v>0</v>
          </cell>
          <cell r="F278">
            <v>0</v>
          </cell>
          <cell r="G278">
            <v>0</v>
          </cell>
          <cell r="H278">
            <v>3108430</v>
          </cell>
          <cell r="I278">
            <v>0</v>
          </cell>
          <cell r="J278">
            <v>0</v>
          </cell>
          <cell r="K278">
            <v>2261112</v>
          </cell>
          <cell r="L278">
            <v>0</v>
          </cell>
          <cell r="M278">
            <v>0</v>
          </cell>
          <cell r="N278">
            <v>0</v>
          </cell>
          <cell r="O278">
            <v>0</v>
          </cell>
          <cell r="P278">
            <v>20000</v>
          </cell>
          <cell r="Q278">
            <v>20000</v>
          </cell>
          <cell r="R278">
            <v>0</v>
          </cell>
          <cell r="S278">
            <v>0</v>
          </cell>
          <cell r="T278">
            <v>5389542</v>
          </cell>
        </row>
        <row r="279">
          <cell r="C279">
            <v>3110951</v>
          </cell>
          <cell r="D279">
            <v>2019</v>
          </cell>
          <cell r="E279">
            <v>0</v>
          </cell>
          <cell r="F279">
            <v>0</v>
          </cell>
          <cell r="G279">
            <v>0</v>
          </cell>
          <cell r="H279">
            <v>2748954</v>
          </cell>
          <cell r="I279">
            <v>0</v>
          </cell>
          <cell r="J279">
            <v>0</v>
          </cell>
          <cell r="K279">
            <v>0</v>
          </cell>
          <cell r="L279">
            <v>0</v>
          </cell>
          <cell r="M279">
            <v>0</v>
          </cell>
          <cell r="N279">
            <v>0</v>
          </cell>
          <cell r="O279">
            <v>127608</v>
          </cell>
          <cell r="P279">
            <v>150000</v>
          </cell>
          <cell r="Q279">
            <v>277608</v>
          </cell>
          <cell r="R279">
            <v>0</v>
          </cell>
          <cell r="S279">
            <v>0</v>
          </cell>
          <cell r="T279">
            <v>3026562</v>
          </cell>
        </row>
        <row r="280">
          <cell r="C280">
            <v>9608144</v>
          </cell>
          <cell r="D280">
            <v>2019</v>
          </cell>
          <cell r="E280">
            <v>0</v>
          </cell>
          <cell r="F280">
            <v>0</v>
          </cell>
          <cell r="G280">
            <v>0</v>
          </cell>
          <cell r="H280">
            <v>1020124</v>
          </cell>
          <cell r="I280">
            <v>0</v>
          </cell>
          <cell r="J280">
            <v>0</v>
          </cell>
          <cell r="K280">
            <v>0</v>
          </cell>
          <cell r="L280">
            <v>0</v>
          </cell>
          <cell r="M280">
            <v>0</v>
          </cell>
          <cell r="N280">
            <v>0</v>
          </cell>
          <cell r="O280">
            <v>0</v>
          </cell>
          <cell r="P280">
            <v>140000</v>
          </cell>
          <cell r="Q280">
            <v>140000</v>
          </cell>
          <cell r="R280">
            <v>0</v>
          </cell>
          <cell r="S280">
            <v>0</v>
          </cell>
          <cell r="T280">
            <v>1160124</v>
          </cell>
        </row>
        <row r="281">
          <cell r="C281">
            <v>6585534</v>
          </cell>
          <cell r="D281">
            <v>2019</v>
          </cell>
          <cell r="E281">
            <v>47850</v>
          </cell>
          <cell r="F281">
            <v>0</v>
          </cell>
          <cell r="G281">
            <v>0</v>
          </cell>
          <cell r="H281">
            <v>1690000</v>
          </cell>
          <cell r="I281">
            <v>0</v>
          </cell>
          <cell r="J281">
            <v>0</v>
          </cell>
          <cell r="K281">
            <v>1144916</v>
          </cell>
          <cell r="L281">
            <v>85084</v>
          </cell>
          <cell r="M281">
            <v>0</v>
          </cell>
          <cell r="N281">
            <v>0</v>
          </cell>
          <cell r="O281">
            <v>0</v>
          </cell>
          <cell r="P281">
            <v>150000</v>
          </cell>
          <cell r="Q281">
            <v>150000</v>
          </cell>
          <cell r="R281">
            <v>0</v>
          </cell>
          <cell r="S281">
            <v>0</v>
          </cell>
          <cell r="T281">
            <v>3117850</v>
          </cell>
        </row>
        <row r="282">
          <cell r="C282">
            <v>2757263</v>
          </cell>
          <cell r="D282">
            <v>2019</v>
          </cell>
          <cell r="E282">
            <v>0</v>
          </cell>
          <cell r="F282">
            <v>0</v>
          </cell>
          <cell r="G282">
            <v>0</v>
          </cell>
          <cell r="H282">
            <v>762010</v>
          </cell>
          <cell r="I282">
            <v>0</v>
          </cell>
          <cell r="J282">
            <v>0</v>
          </cell>
          <cell r="K282">
            <v>0</v>
          </cell>
          <cell r="L282">
            <v>0</v>
          </cell>
          <cell r="M282">
            <v>0</v>
          </cell>
          <cell r="N282">
            <v>0</v>
          </cell>
          <cell r="O282">
            <v>0</v>
          </cell>
          <cell r="P282">
            <v>140000</v>
          </cell>
          <cell r="Q282">
            <v>140000</v>
          </cell>
          <cell r="R282">
            <v>0</v>
          </cell>
          <cell r="S282">
            <v>0</v>
          </cell>
          <cell r="T282">
            <v>902010</v>
          </cell>
        </row>
        <row r="283">
          <cell r="C283">
            <v>1642854</v>
          </cell>
          <cell r="D283">
            <v>2019</v>
          </cell>
          <cell r="E283">
            <v>0</v>
          </cell>
          <cell r="F283">
            <v>0</v>
          </cell>
          <cell r="G283">
            <v>0</v>
          </cell>
          <cell r="H283">
            <v>5519580</v>
          </cell>
          <cell r="I283">
            <v>0</v>
          </cell>
          <cell r="J283">
            <v>0</v>
          </cell>
          <cell r="K283">
            <v>0</v>
          </cell>
          <cell r="L283">
            <v>0</v>
          </cell>
          <cell r="M283">
            <v>0</v>
          </cell>
          <cell r="N283">
            <v>0</v>
          </cell>
          <cell r="O283">
            <v>8000</v>
          </cell>
          <cell r="P283">
            <v>1600000</v>
          </cell>
          <cell r="Q283">
            <v>1608000</v>
          </cell>
          <cell r="R283">
            <v>0</v>
          </cell>
          <cell r="S283">
            <v>0</v>
          </cell>
          <cell r="T283">
            <v>7127580</v>
          </cell>
        </row>
        <row r="284">
          <cell r="C284">
            <v>7263765</v>
          </cell>
          <cell r="D284">
            <v>2019</v>
          </cell>
          <cell r="E284">
            <v>0</v>
          </cell>
          <cell r="F284">
            <v>0</v>
          </cell>
          <cell r="G284">
            <v>0</v>
          </cell>
          <cell r="H284">
            <v>1211410</v>
          </cell>
          <cell r="I284">
            <v>0</v>
          </cell>
          <cell r="J284">
            <v>0</v>
          </cell>
          <cell r="K284">
            <v>0</v>
          </cell>
          <cell r="L284">
            <v>0</v>
          </cell>
          <cell r="M284">
            <v>0</v>
          </cell>
          <cell r="N284">
            <v>0</v>
          </cell>
          <cell r="O284">
            <v>0</v>
          </cell>
          <cell r="P284">
            <v>0</v>
          </cell>
          <cell r="Q284">
            <v>0</v>
          </cell>
          <cell r="R284">
            <v>0</v>
          </cell>
          <cell r="S284">
            <v>0</v>
          </cell>
          <cell r="T284">
            <v>1211410</v>
          </cell>
        </row>
        <row r="285">
          <cell r="C285">
            <v>6041962</v>
          </cell>
          <cell r="D285">
            <v>2019</v>
          </cell>
          <cell r="E285">
            <v>331000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331000</v>
          </cell>
        </row>
        <row r="286">
          <cell r="C286">
            <v>8477576</v>
          </cell>
          <cell r="D286">
            <v>2019</v>
          </cell>
          <cell r="E286">
            <v>150000</v>
          </cell>
          <cell r="F286">
            <v>0</v>
          </cell>
          <cell r="G286">
            <v>0</v>
          </cell>
          <cell r="H286">
            <v>0</v>
          </cell>
          <cell r="I286">
            <v>9555770</v>
          </cell>
          <cell r="J286">
            <v>0</v>
          </cell>
          <cell r="K286">
            <v>0</v>
          </cell>
          <cell r="L286">
            <v>0</v>
          </cell>
          <cell r="M286">
            <v>0</v>
          </cell>
          <cell r="N286">
            <v>0</v>
          </cell>
          <cell r="O286">
            <v>0</v>
          </cell>
          <cell r="P286">
            <v>0</v>
          </cell>
          <cell r="Q286">
            <v>0</v>
          </cell>
          <cell r="R286">
            <v>1304586</v>
          </cell>
          <cell r="S286">
            <v>942200</v>
          </cell>
          <cell r="T286">
            <v>11952556</v>
          </cell>
        </row>
        <row r="287">
          <cell r="C287">
            <v>7235281</v>
          </cell>
          <cell r="D287">
            <v>2019</v>
          </cell>
          <cell r="E287">
            <v>271401</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271401</v>
          </cell>
        </row>
        <row r="288">
          <cell r="C288">
            <v>8891712</v>
          </cell>
          <cell r="D288">
            <v>2019</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row>
      </sheetData>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ávrh KÚ - hodnota"/>
      <sheetName val="Návrh KÚ - poznámka"/>
      <sheetName val="Návrh poskytovatele - hodnota"/>
      <sheetName val="Návrh poskytovatele - poznámka"/>
      <sheetName val="Návrh zadavatele - hodnota"/>
      <sheetName val="Návrh zadavatele - poznámka"/>
      <sheetName val="Finální návrh - hodnota"/>
      <sheetName val="Finální návrh - poznámka"/>
      <sheetName val="Hodnocení"/>
      <sheetName val="Příloha aktualizace 1.1.2020"/>
      <sheetName val="Příloha_promazáno"/>
      <sheetName val="List1"/>
      <sheetName val="Doplňky"/>
      <sheetName val="zdroj pro sdílené hodnoty v 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
          <cell r="P7">
            <v>1.5</v>
          </cell>
          <cell r="Q7">
            <v>1</v>
          </cell>
          <cell r="AC7">
            <v>2.25</v>
          </cell>
          <cell r="AH7">
            <v>1</v>
          </cell>
          <cell r="AI7">
            <v>0.4</v>
          </cell>
          <cell r="AL7">
            <v>1</v>
          </cell>
          <cell r="AY7">
            <v>1.3</v>
          </cell>
          <cell r="BF7">
            <v>0.9</v>
          </cell>
          <cell r="BO7">
            <v>0.1</v>
          </cell>
          <cell r="BW7">
            <v>0.5</v>
          </cell>
          <cell r="CE7">
            <v>2</v>
          </cell>
          <cell r="CM7">
            <v>0.5</v>
          </cell>
          <cell r="CN7">
            <v>0.35</v>
          </cell>
          <cell r="CS7">
            <v>1</v>
          </cell>
          <cell r="CT7">
            <v>1</v>
          </cell>
          <cell r="CU7">
            <v>0.9</v>
          </cell>
          <cell r="CV7">
            <v>1</v>
          </cell>
          <cell r="CX7">
            <v>1.1499999999999999</v>
          </cell>
          <cell r="DA7">
            <v>0.04</v>
          </cell>
          <cell r="DE7">
            <v>1</v>
          </cell>
          <cell r="DT7">
            <v>0.3</v>
          </cell>
          <cell r="DX7">
            <v>0.25</v>
          </cell>
          <cell r="EB7">
            <v>0.375</v>
          </cell>
          <cell r="EE7">
            <v>0.75</v>
          </cell>
          <cell r="EH7">
            <v>1</v>
          </cell>
          <cell r="EO7">
            <v>1</v>
          </cell>
          <cell r="EQ7">
            <v>2.65</v>
          </cell>
          <cell r="EV7">
            <v>1</v>
          </cell>
          <cell r="EW7">
            <v>0.5</v>
          </cell>
          <cell r="FE7">
            <v>2</v>
          </cell>
          <cell r="FL7">
            <v>0.75</v>
          </cell>
          <cell r="FN7">
            <v>2</v>
          </cell>
          <cell r="FO7">
            <v>1</v>
          </cell>
          <cell r="FV7">
            <v>1.25</v>
          </cell>
          <cell r="FZ7">
            <v>3</v>
          </cell>
          <cell r="GC7">
            <v>1.1499999999999999</v>
          </cell>
          <cell r="GG7">
            <v>1</v>
          </cell>
          <cell r="GK7">
            <v>0.375</v>
          </cell>
          <cell r="GN7">
            <v>1.75</v>
          </cell>
          <cell r="GO7">
            <v>1</v>
          </cell>
          <cell r="GP7">
            <v>1</v>
          </cell>
          <cell r="HB7">
            <v>0.15</v>
          </cell>
          <cell r="HI7">
            <v>4.0999999999999996</v>
          </cell>
          <cell r="HM7">
            <v>0.1</v>
          </cell>
          <cell r="HQ7">
            <v>1.5</v>
          </cell>
          <cell r="HX7">
            <v>4.54</v>
          </cell>
          <cell r="IA7">
            <v>9.9999999999999978E-2</v>
          </cell>
          <cell r="IB7">
            <v>4</v>
          </cell>
          <cell r="IF7">
            <v>1.85</v>
          </cell>
          <cell r="IL7">
            <v>4</v>
          </cell>
          <cell r="IT7">
            <v>0.35</v>
          </cell>
          <cell r="IX7">
            <v>0.30000000000000004</v>
          </cell>
          <cell r="IZ7">
            <v>0</v>
          </cell>
          <cell r="JA7">
            <v>1</v>
          </cell>
          <cell r="JE7">
            <v>1.5</v>
          </cell>
          <cell r="JG7">
            <v>2.5</v>
          </cell>
          <cell r="JQ7">
            <v>1</v>
          </cell>
          <cell r="JV7">
            <v>0.3</v>
          </cell>
          <cell r="KI7">
            <v>1</v>
          </cell>
          <cell r="KX7">
            <v>0.25</v>
          </cell>
          <cell r="LC7">
            <v>8.6999999999999993</v>
          </cell>
          <cell r="LD7">
            <v>1.6</v>
          </cell>
        </row>
        <row r="8">
          <cell r="P8">
            <v>0</v>
          </cell>
          <cell r="Q8">
            <v>0</v>
          </cell>
          <cell r="AC8">
            <v>0</v>
          </cell>
          <cell r="AH8">
            <v>0</v>
          </cell>
          <cell r="AI8">
            <v>0</v>
          </cell>
          <cell r="AL8">
            <v>0</v>
          </cell>
          <cell r="AY8">
            <v>7.6</v>
          </cell>
          <cell r="BF8">
            <v>4.4000000000000004</v>
          </cell>
          <cell r="BO8">
            <v>2</v>
          </cell>
          <cell r="BW8">
            <v>4</v>
          </cell>
          <cell r="CE8">
            <v>22</v>
          </cell>
          <cell r="CM8">
            <v>4.5</v>
          </cell>
          <cell r="CN8">
            <v>2</v>
          </cell>
          <cell r="CS8">
            <v>15</v>
          </cell>
          <cell r="CT8">
            <v>7</v>
          </cell>
          <cell r="CU8">
            <v>4</v>
          </cell>
          <cell r="CX8">
            <v>7.75</v>
          </cell>
          <cell r="DA8">
            <v>0.5</v>
          </cell>
          <cell r="DE8">
            <v>6</v>
          </cell>
          <cell r="DT8">
            <v>3.5</v>
          </cell>
          <cell r="DX8">
            <v>2.15</v>
          </cell>
          <cell r="EB8">
            <v>6.2</v>
          </cell>
          <cell r="EE8">
            <v>1.65</v>
          </cell>
          <cell r="EH8">
            <v>1.7</v>
          </cell>
          <cell r="EJ8">
            <v>1.7</v>
          </cell>
          <cell r="EO8">
            <v>2</v>
          </cell>
          <cell r="EQ8">
            <v>13.4</v>
          </cell>
          <cell r="EV8">
            <v>6.85</v>
          </cell>
          <cell r="EW8">
            <v>5.25</v>
          </cell>
          <cell r="FE8">
            <v>40</v>
          </cell>
          <cell r="FL8">
            <v>6.6</v>
          </cell>
          <cell r="FN8">
            <v>19</v>
          </cell>
          <cell r="FO8">
            <v>13</v>
          </cell>
          <cell r="FV8">
            <v>14</v>
          </cell>
          <cell r="FZ8">
            <v>23</v>
          </cell>
          <cell r="GC8">
            <v>18</v>
          </cell>
          <cell r="GG8">
            <v>7</v>
          </cell>
          <cell r="GK8">
            <v>7.9</v>
          </cell>
          <cell r="GN8">
            <v>17.350000000000001</v>
          </cell>
          <cell r="GO8">
            <v>13.31</v>
          </cell>
          <cell r="GP8">
            <v>13</v>
          </cell>
          <cell r="HB8">
            <v>4.25</v>
          </cell>
          <cell r="HI8">
            <v>8</v>
          </cell>
          <cell r="HM8">
            <v>0.2</v>
          </cell>
          <cell r="HQ8">
            <v>18</v>
          </cell>
          <cell r="HX8">
            <v>0</v>
          </cell>
          <cell r="IA8">
            <v>1.9</v>
          </cell>
          <cell r="IF8">
            <v>4</v>
          </cell>
          <cell r="IL8">
            <v>0</v>
          </cell>
          <cell r="IT8">
            <v>2</v>
          </cell>
          <cell r="IX8">
            <v>0.7</v>
          </cell>
          <cell r="IZ8">
            <v>1.25</v>
          </cell>
          <cell r="JA8">
            <v>1</v>
          </cell>
          <cell r="JE8">
            <v>1.45</v>
          </cell>
          <cell r="JG8">
            <v>2</v>
          </cell>
          <cell r="JQ8">
            <v>0.75</v>
          </cell>
          <cell r="JV8">
            <v>1.5</v>
          </cell>
          <cell r="KI8">
            <v>2</v>
          </cell>
          <cell r="KX8">
            <v>0.9</v>
          </cell>
          <cell r="LC8">
            <v>0</v>
          </cell>
          <cell r="LD8">
            <v>3.1</v>
          </cell>
        </row>
        <row r="9">
          <cell r="P9">
            <v>0</v>
          </cell>
          <cell r="Q9">
            <v>0</v>
          </cell>
          <cell r="AC9">
            <v>0</v>
          </cell>
          <cell r="AH9">
            <v>0</v>
          </cell>
          <cell r="AI9">
            <v>0</v>
          </cell>
          <cell r="AL9">
            <v>0</v>
          </cell>
          <cell r="AY9">
            <v>0</v>
          </cell>
          <cell r="BF9">
            <v>0</v>
          </cell>
          <cell r="BO9">
            <v>0</v>
          </cell>
          <cell r="BW9">
            <v>0</v>
          </cell>
          <cell r="CE9">
            <v>0</v>
          </cell>
          <cell r="CM9">
            <v>0</v>
          </cell>
          <cell r="CN9">
            <v>0</v>
          </cell>
          <cell r="CS9">
            <v>0</v>
          </cell>
          <cell r="CT9">
            <v>0</v>
          </cell>
          <cell r="CU9">
            <v>0</v>
          </cell>
          <cell r="CV9">
            <v>0</v>
          </cell>
          <cell r="CX9">
            <v>0</v>
          </cell>
          <cell r="DA9">
            <v>0</v>
          </cell>
          <cell r="DE9">
            <v>0</v>
          </cell>
          <cell r="DT9">
            <v>1.55</v>
          </cell>
          <cell r="DX9">
            <v>0</v>
          </cell>
          <cell r="EB9">
            <v>0</v>
          </cell>
          <cell r="EE9">
            <v>1.65</v>
          </cell>
          <cell r="EH9">
            <v>0</v>
          </cell>
          <cell r="EJ9">
            <v>0</v>
          </cell>
          <cell r="EO9">
            <v>0</v>
          </cell>
          <cell r="EQ9">
            <v>0</v>
          </cell>
          <cell r="EV9">
            <v>0</v>
          </cell>
          <cell r="EW9">
            <v>0</v>
          </cell>
          <cell r="FE9">
            <v>7</v>
          </cell>
          <cell r="FL9">
            <v>6.6</v>
          </cell>
          <cell r="FN9">
            <v>8</v>
          </cell>
          <cell r="FO9">
            <v>6</v>
          </cell>
          <cell r="FV9">
            <v>6</v>
          </cell>
          <cell r="FZ9">
            <v>9</v>
          </cell>
          <cell r="GC9">
            <v>7.59</v>
          </cell>
          <cell r="GG9">
            <v>3</v>
          </cell>
          <cell r="GK9">
            <v>2.5</v>
          </cell>
          <cell r="GN9">
            <v>6.5</v>
          </cell>
          <cell r="GO9">
            <v>7</v>
          </cell>
          <cell r="GP9">
            <v>4</v>
          </cell>
          <cell r="HB9">
            <v>2.8</v>
          </cell>
          <cell r="HI9">
            <v>0</v>
          </cell>
          <cell r="HM9">
            <v>0</v>
          </cell>
          <cell r="HQ9">
            <v>1.5</v>
          </cell>
          <cell r="HX9">
            <v>0.02</v>
          </cell>
          <cell r="IA9">
            <v>0</v>
          </cell>
          <cell r="IB9">
            <v>0</v>
          </cell>
          <cell r="IF9">
            <v>0</v>
          </cell>
          <cell r="IL9">
            <v>0</v>
          </cell>
          <cell r="IT9">
            <v>0</v>
          </cell>
          <cell r="IX9">
            <v>0</v>
          </cell>
          <cell r="IZ9">
            <v>0</v>
          </cell>
          <cell r="JA9">
            <v>0</v>
          </cell>
          <cell r="JE9">
            <v>0</v>
          </cell>
          <cell r="JG9">
            <v>0</v>
          </cell>
          <cell r="JQ9">
            <v>0</v>
          </cell>
          <cell r="JV9">
            <v>0</v>
          </cell>
          <cell r="KI9">
            <v>0</v>
          </cell>
          <cell r="KX9">
            <v>0</v>
          </cell>
          <cell r="LC9">
            <v>0.3</v>
          </cell>
          <cell r="LD9">
            <v>0</v>
          </cell>
        </row>
        <row r="10">
          <cell r="P10">
            <v>0.8</v>
          </cell>
          <cell r="Q10">
            <v>0</v>
          </cell>
          <cell r="AH10">
            <v>0.5</v>
          </cell>
          <cell r="AL10">
            <v>0.5</v>
          </cell>
          <cell r="AY10">
            <v>0</v>
          </cell>
          <cell r="CN10">
            <v>0</v>
          </cell>
          <cell r="CU10">
            <v>0</v>
          </cell>
          <cell r="CV10">
            <v>0</v>
          </cell>
          <cell r="CX10">
            <v>0</v>
          </cell>
          <cell r="EE10">
            <v>0</v>
          </cell>
          <cell r="EO10">
            <v>0.01</v>
          </cell>
          <cell r="EQ10">
            <v>1.2</v>
          </cell>
          <cell r="EW10">
            <v>0</v>
          </cell>
          <cell r="FE10">
            <v>0</v>
          </cell>
          <cell r="FO10">
            <v>0</v>
          </cell>
          <cell r="GO10">
            <v>0</v>
          </cell>
          <cell r="IF10">
            <v>0</v>
          </cell>
          <cell r="IL10">
            <v>0</v>
          </cell>
          <cell r="KI10">
            <v>0.2</v>
          </cell>
          <cell r="LC10">
            <v>0</v>
          </cell>
          <cell r="LD10">
            <v>0</v>
          </cell>
        </row>
        <row r="11">
          <cell r="AH11">
            <v>0</v>
          </cell>
          <cell r="HQ11">
            <v>25</v>
          </cell>
          <cell r="ID11">
            <v>32</v>
          </cell>
          <cell r="LC11">
            <v>0</v>
          </cell>
        </row>
        <row r="12">
          <cell r="AH12">
            <v>8</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ávrh KÚ - hodnota"/>
      <sheetName val="Návrh KÚ - poznámka"/>
      <sheetName val="Návrh poskytovatele - hodnota"/>
      <sheetName val="Návrh poskytovatele - poznámka"/>
      <sheetName val="Návrh zadavatele - hodnota"/>
      <sheetName val="Návrh zadavatele - poznámka"/>
      <sheetName val="Finální návrh - hodnota"/>
      <sheetName val="Finální návrh - poznámka"/>
      <sheetName val="Hodnocení"/>
      <sheetName val="Příloha aktualizace 1.1.2020"/>
      <sheetName val="Příloha_promazáno"/>
      <sheetName val="List1"/>
      <sheetName val="Doplňky"/>
      <sheetName val="zdroj pro sdílené hodnoty v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
          <cell r="EA7">
            <v>0.6</v>
          </cell>
          <cell r="ED7">
            <v>0.7</v>
          </cell>
          <cell r="FD7">
            <v>2.4</v>
          </cell>
          <cell r="FF7">
            <v>2.8</v>
          </cell>
          <cell r="FG7">
            <v>1.9</v>
          </cell>
          <cell r="FH7">
            <v>4</v>
          </cell>
          <cell r="FI7">
            <v>2</v>
          </cell>
          <cell r="FJ7">
            <v>1</v>
          </cell>
          <cell r="FK7">
            <v>0.2</v>
          </cell>
          <cell r="FM7">
            <v>3</v>
          </cell>
          <cell r="FQ7">
            <v>1</v>
          </cell>
          <cell r="FS7">
            <v>1</v>
          </cell>
          <cell r="FT7">
            <v>2</v>
          </cell>
          <cell r="FU7">
            <v>0.64</v>
          </cell>
          <cell r="FW7">
            <v>2</v>
          </cell>
          <cell r="FY7">
            <v>2</v>
          </cell>
          <cell r="GB7">
            <v>4</v>
          </cell>
          <cell r="GD7">
            <v>2</v>
          </cell>
          <cell r="GF7">
            <v>4</v>
          </cell>
          <cell r="GH7">
            <v>1.22</v>
          </cell>
          <cell r="GI7">
            <v>1</v>
          </cell>
          <cell r="GJ7">
            <v>6.5</v>
          </cell>
          <cell r="GM7">
            <v>2.6</v>
          </cell>
          <cell r="GQ7">
            <v>2.5</v>
          </cell>
          <cell r="GS7">
            <v>2</v>
          </cell>
          <cell r="GU7">
            <v>1.4</v>
          </cell>
          <cell r="GV7">
            <v>3.36</v>
          </cell>
          <cell r="GW7">
            <v>1.1000000000000001</v>
          </cell>
          <cell r="GX7">
            <v>1.9</v>
          </cell>
          <cell r="GY7">
            <v>2</v>
          </cell>
          <cell r="GZ7">
            <v>2.4</v>
          </cell>
          <cell r="HA7">
            <v>0.5</v>
          </cell>
          <cell r="HC7">
            <v>0.15</v>
          </cell>
          <cell r="HD7">
            <v>0.4</v>
          </cell>
          <cell r="HE7">
            <v>0.1</v>
          </cell>
          <cell r="HF7">
            <v>9.9999999999999978E-2</v>
          </cell>
          <cell r="JT7">
            <v>0.1</v>
          </cell>
          <cell r="KK7">
            <v>1.6</v>
          </cell>
          <cell r="KY7">
            <v>1.6</v>
          </cell>
        </row>
        <row r="8">
          <cell r="EA8">
            <v>7</v>
          </cell>
          <cell r="ED8">
            <v>5.3</v>
          </cell>
          <cell r="EP8">
            <v>1</v>
          </cell>
          <cell r="FD8">
            <v>58.69</v>
          </cell>
          <cell r="FF8">
            <v>51.5</v>
          </cell>
          <cell r="FG8">
            <v>27.4</v>
          </cell>
          <cell r="FH8">
            <v>39.700000000000003</v>
          </cell>
          <cell r="FI8">
            <v>54.5</v>
          </cell>
          <cell r="FJ8">
            <v>12.8</v>
          </cell>
          <cell r="FK8">
            <v>4.9499999999999993</v>
          </cell>
          <cell r="FM8">
            <v>26</v>
          </cell>
          <cell r="FQ8">
            <v>13</v>
          </cell>
          <cell r="FS8">
            <v>11</v>
          </cell>
          <cell r="FT8">
            <v>24</v>
          </cell>
          <cell r="FU8">
            <v>7.4700000000000006</v>
          </cell>
          <cell r="FW8">
            <v>10</v>
          </cell>
          <cell r="FY8">
            <v>13</v>
          </cell>
          <cell r="GB8">
            <v>24.55</v>
          </cell>
          <cell r="GD8">
            <v>12</v>
          </cell>
          <cell r="GF8">
            <v>31.2</v>
          </cell>
          <cell r="GH8">
            <v>11.2</v>
          </cell>
          <cell r="GI8">
            <v>30</v>
          </cell>
          <cell r="GJ8">
            <v>97.4</v>
          </cell>
          <cell r="GM8">
            <v>21</v>
          </cell>
          <cell r="GQ8">
            <v>21</v>
          </cell>
          <cell r="GS8">
            <v>36</v>
          </cell>
          <cell r="GU8">
            <v>18</v>
          </cell>
          <cell r="GV8">
            <v>35.130000000000003</v>
          </cell>
          <cell r="GW8">
            <v>26.139999999999997</v>
          </cell>
          <cell r="GX8">
            <v>23.7</v>
          </cell>
          <cell r="GY8">
            <v>23</v>
          </cell>
          <cell r="GZ8">
            <v>26.2</v>
          </cell>
          <cell r="HA8">
            <v>6</v>
          </cell>
          <cell r="HC8">
            <v>5.5</v>
          </cell>
          <cell r="HD8">
            <v>3</v>
          </cell>
          <cell r="HE8">
            <v>1.6</v>
          </cell>
          <cell r="HF8">
            <v>3.4000000000000004</v>
          </cell>
          <cell r="JT8">
            <v>1</v>
          </cell>
          <cell r="KK8">
            <v>2</v>
          </cell>
          <cell r="KY8">
            <v>3.01</v>
          </cell>
        </row>
        <row r="9">
          <cell r="EA9">
            <v>0</v>
          </cell>
          <cell r="ED9">
            <v>1.3</v>
          </cell>
          <cell r="EP9">
            <v>0</v>
          </cell>
          <cell r="FD9">
            <v>8.2799999999999994</v>
          </cell>
          <cell r="FF9">
            <v>6.5</v>
          </cell>
          <cell r="FG9">
            <v>8</v>
          </cell>
          <cell r="FH9">
            <v>9.6</v>
          </cell>
          <cell r="FI9">
            <v>9</v>
          </cell>
          <cell r="FJ9">
            <v>5.2</v>
          </cell>
          <cell r="FK9">
            <v>0.98</v>
          </cell>
          <cell r="FM9">
            <v>8</v>
          </cell>
          <cell r="FQ9">
            <v>6</v>
          </cell>
          <cell r="FS9">
            <v>8</v>
          </cell>
          <cell r="FT9">
            <v>10</v>
          </cell>
          <cell r="FU9">
            <v>1.92</v>
          </cell>
          <cell r="FW9">
            <v>6.3</v>
          </cell>
          <cell r="FY9">
            <v>8</v>
          </cell>
          <cell r="GB9">
            <v>10.25</v>
          </cell>
          <cell r="GD9">
            <v>7</v>
          </cell>
          <cell r="GF9">
            <v>13.3</v>
          </cell>
          <cell r="GH9">
            <v>9.26</v>
          </cell>
          <cell r="GI9">
            <v>16</v>
          </cell>
          <cell r="GJ9">
            <v>26.3</v>
          </cell>
          <cell r="GM9">
            <v>12.6</v>
          </cell>
          <cell r="GQ9">
            <v>11</v>
          </cell>
          <cell r="GS9">
            <v>12</v>
          </cell>
          <cell r="GU9">
            <v>6.4</v>
          </cell>
          <cell r="GV9">
            <v>10.08</v>
          </cell>
          <cell r="GW9">
            <v>6.62</v>
          </cell>
          <cell r="GX9">
            <v>5.4</v>
          </cell>
          <cell r="GY9">
            <v>8</v>
          </cell>
          <cell r="GZ9">
            <v>4</v>
          </cell>
          <cell r="HA9">
            <v>3</v>
          </cell>
          <cell r="HC9">
            <v>1.65</v>
          </cell>
          <cell r="HD9">
            <v>0</v>
          </cell>
          <cell r="HE9">
            <v>0</v>
          </cell>
          <cell r="HF9">
            <v>0</v>
          </cell>
          <cell r="JT9">
            <v>0</v>
          </cell>
          <cell r="KK9">
            <v>0</v>
          </cell>
          <cell r="KY9">
            <v>0</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Guman Ivan Ing." refreshedDate="43783.516945138887" createdVersion="6" refreshedVersion="6" minRefreshableVersion="3" recordCount="57">
  <cacheSource type="worksheet">
    <worksheetSource ref="K1:L58" sheet="IP 2019"/>
  </cacheSource>
  <cacheFields count="2">
    <cacheField name="ID" numFmtId="0">
      <sharedItems containsSemiMixedTypes="0" containsString="0" containsNumber="1" containsInteger="1" minValue="1236570" maxValue="9818505" count="50">
        <n v="7846871"/>
        <n v="1378201"/>
        <n v="4699567"/>
        <n v="1236570"/>
        <n v="2438469"/>
        <n v="9064643"/>
        <n v="2514714"/>
        <n v="3028344"/>
        <n v="3961063"/>
        <n v="7832444"/>
        <n v="3454870"/>
        <n v="5369609"/>
        <n v="4987165"/>
        <n v="4526227"/>
        <n v="4533728"/>
        <n v="4467429"/>
        <n v="8946698"/>
        <n v="1907533"/>
        <n v="8382823"/>
        <n v="1272659"/>
        <n v="3588592"/>
        <n v="9659243"/>
        <n v="7653065"/>
        <n v="1552469"/>
        <n v="1758706"/>
        <n v="6585534"/>
        <n v="8172268"/>
        <n v="3595008"/>
        <n v="2813024"/>
        <n v="3741470"/>
        <n v="8098643"/>
        <n v="9767213"/>
        <n v="7175172"/>
        <n v="4373225"/>
        <n v="6948137"/>
        <n v="6473703"/>
        <n v="7218817"/>
        <n v="7381195"/>
        <n v="3994122"/>
        <n v="4885366"/>
        <n v="9818505"/>
        <n v="7805491"/>
        <n v="9379121"/>
        <n v="5945407"/>
        <n v="2390992"/>
        <n v="6361701"/>
        <n v="2788586"/>
        <n v="3650770"/>
        <n v="7790627"/>
        <n v="7384495"/>
      </sharedItems>
    </cacheField>
    <cacheField name="Platby 2019" numFmtId="3">
      <sharedItems containsSemiMixedTypes="0" containsString="0" containsNumber="1" minValue="251307" maxValue="426871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Guman Ivan Ing." refreshedDate="43786.403934259259" createdVersion="6" refreshedVersion="6" minRefreshableVersion="3" recordCount="47">
  <cacheSource type="worksheet">
    <worksheetSource ref="S4:U51" sheet="PnaPr2020"/>
  </cacheSource>
  <cacheFields count="3">
    <cacheField name="Poskytoivatel" numFmtId="0">
      <sharedItems count="24">
        <s v="Barevné domky Hajnice"/>
        <s v="Domov bez bariér"/>
        <s v="Domov Dědina"/>
        <s v="Domov Dolní zámek"/>
        <s v="Domov důchodců Albrechtice nad Orlicí"/>
        <s v="Domov důchodců Borohrádek"/>
        <s v="Domov důchodců Černožice"/>
        <s v="Domov důchodců Dvůr Králové nad Labem"/>
        <s v="Domov důchodců Humburky"/>
        <s v="Domov důchodců Lampertice"/>
        <s v="Domov důchodců Malá Čermná"/>
        <s v="Domov důchodců Náchod"/>
        <s v="Domov důchodců Police nad Metují"/>
        <s v="Domov důchodců Tmavý Důl"/>
        <s v="DOMOV NA STŘÍBRNÉM VRCHU"/>
        <s v="Domov pro seniory Pilníkov"/>
        <s v="Domov pro seniory Vrchlabí"/>
        <s v="Domov sociálních služeb Chotělice"/>
        <s v="Domov sociálních služeb Skřivany"/>
        <s v="Domov U Biřičky"/>
        <s v="Domov V Podzámčí"/>
        <s v="Domovy Na Třešňovce"/>
        <s v="Ústav sociální péče pro mládež DOMEČKY"/>
        <s v="Ústav sociální péče pro mládež Kvasiny"/>
      </sharedItems>
    </cacheField>
    <cacheField name="druh služby" numFmtId="0">
      <sharedItems/>
    </cacheField>
    <cacheField name="VP 2020" numFmtId="3">
      <sharedItems containsSemiMixedTypes="0" containsString="0" containsNumber="1" minValue="576689.35844624322" maxValue="65767680.859087437"/>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Guman Ivan Ing." refreshedDate="43786.412427546296" createdVersion="6" refreshedVersion="6" minRefreshableVersion="3" recordCount="46">
  <cacheSource type="worksheet">
    <worksheetSource ref="R4:T50" sheet="PnaPr2019"/>
  </cacheSource>
  <cacheFields count="3">
    <cacheField name="Poskytoivatel" numFmtId="0">
      <sharedItems count="24">
        <s v="Barevné domky Hajnice"/>
        <s v="Domov bez bariér"/>
        <s v="Domov Dědina"/>
        <s v="Domov Dolní zámek"/>
        <s v="Domov důchodců Albrechtice nad Orlicí"/>
        <s v="Domov důchodců Borohrádek"/>
        <s v="Domov důchodců Černožice"/>
        <s v="Domov důchodců Dvůr Králové nad Labem"/>
        <s v="Domov důchodců Humburky"/>
        <s v="Domov důchodců Lampertice"/>
        <s v="Domov důchodců Malá Čermná"/>
        <s v="Domov důchodců Náchod"/>
        <s v="Domov důchodců Police nad Metují"/>
        <s v="Domov důchodců Tmavý Důl"/>
        <s v="DOMOV NA STŘÍBRNÉM VRCHU"/>
        <s v="Domov pro seniory Pilníkov"/>
        <s v="Domov pro seniory Vrchlabí"/>
        <s v="Domov sociálních služeb Chotělice"/>
        <s v="Domov sociálních služeb Skřivany"/>
        <s v="Domov U Biřičky"/>
        <s v="Domov V Podzámčí"/>
        <s v="Domovy Na Třešňovce"/>
        <s v="Ústav sociální péče pro mládež DOMEČKY"/>
        <s v="Ústav sociální péče pro mládež Kvasiny"/>
      </sharedItems>
    </cacheField>
    <cacheField name="druh služby" numFmtId="0">
      <sharedItems/>
    </cacheField>
    <cacheField name="VP 2019" numFmtId="3">
      <sharedItems containsSemiMixedTypes="0" containsString="0" containsNumber="1" minValue="541180.99175528076" maxValue="59904459.07140392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Guman Ivan Ing." refreshedDate="43786.478345254633" createdVersion="6" refreshedVersion="6" minRefreshableVersion="3" recordCount="10">
  <cacheSource type="worksheet">
    <worksheetSource ref="D2:E12" sheet="IP6_2020"/>
  </cacheSource>
  <cacheFields count="2">
    <cacheField name="ID" numFmtId="0">
      <sharedItems containsSemiMixedTypes="0" containsString="0" containsNumber="1" containsInteger="1" minValue="1236570" maxValue="7790627" count="9">
        <n v="1378201"/>
        <n v="2390992"/>
        <n v="6361701"/>
        <n v="2788586"/>
        <n v="3650770"/>
        <n v="7790627"/>
        <n v="7384495"/>
        <n v="6948137"/>
        <n v="1236570"/>
      </sharedItems>
    </cacheField>
    <cacheField name="Rok 2020" numFmtId="3">
      <sharedItems containsString="0" containsBlank="1" containsNumber="1" containsInteger="1" minValue="476784" maxValue="8537422"/>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Guman Ivan Ing." refreshedDate="43786.480755324075" createdVersion="6" refreshedVersion="6" minRefreshableVersion="3" recordCount="35">
  <cacheSource type="worksheet">
    <worksheetSource ref="D32:E67" sheet="IP5_2020"/>
  </cacheSource>
  <cacheFields count="2">
    <cacheField name="Popisky řádků" numFmtId="0">
      <sharedItems containsSemiMixedTypes="0" containsString="0" containsNumber="1" containsInteger="1" minValue="1236570" maxValue="9767213" count="34">
        <n v="1378201"/>
        <n v="1552469"/>
        <n v="7190506"/>
        <n v="2514714"/>
        <n v="2813024"/>
        <n v="5755112"/>
        <n v="3595008"/>
        <n v="3741470"/>
        <n v="8891712"/>
        <n v="3994122"/>
        <n v="4373225"/>
        <n v="4699567"/>
        <n v="4885366"/>
        <n v="5943218"/>
        <n v="5945407"/>
        <n v="6163071"/>
        <n v="6473703"/>
        <n v="6585534"/>
        <n v="7263765"/>
        <n v="7365832"/>
        <n v="7381195"/>
        <n v="7653065"/>
        <n v="7805491"/>
        <n v="7846871"/>
        <n v="9064643"/>
        <n v="9767213"/>
        <n v="1236570"/>
        <n v="2390992"/>
        <n v="2788586"/>
        <n v="3650770"/>
        <n v="6361701"/>
        <n v="6948137"/>
        <n v="7384495"/>
        <n v="7790627"/>
      </sharedItems>
    </cacheField>
    <cacheField name="Součet z IP2020" numFmtId="0">
      <sharedItems containsSemiMixedTypes="0" containsString="0" containsNumber="1" minValue="476784" maxValue="8537422"/>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Guman Ivan Ing." refreshedDate="43786.496098379626" createdVersion="6" refreshedVersion="6" minRefreshableVersion="3" recordCount="46">
  <cacheSource type="worksheet">
    <worksheetSource ref="P4:W50" sheet="PnaPr2019"/>
  </cacheSource>
  <cacheFields count="8">
    <cacheField name="ID" numFmtId="0">
      <sharedItems containsSemiMixedTypes="0" containsString="0" containsNumber="1" containsInteger="1" minValue="1450637" maxValue="9924037" count="44">
        <n v="5000179"/>
        <n v="8504548"/>
        <n v="6163071"/>
        <n v="3650770"/>
        <n v="4721932"/>
        <n v="3446957"/>
        <n v="3473171"/>
        <n v="6514817"/>
        <n v="5651221"/>
        <n v="1450637"/>
        <n v="6581899"/>
        <n v="2837121"/>
        <n v="3754207"/>
        <n v="4753225"/>
        <n v="5040302"/>
        <n v="3943362"/>
        <n v="2749776"/>
        <n v="8508078"/>
        <n v="1991772"/>
        <n v="2801353"/>
        <n v="9593192"/>
        <n v="7663376"/>
        <n v="8338145"/>
        <n v="5220717"/>
        <n v="4382500"/>
        <n v="7384495"/>
        <n v="1872907"/>
        <n v="1878615"/>
        <n v="6565956"/>
        <n v="9924037"/>
        <n v="9445282"/>
        <n v="3713907"/>
        <n v="4007320"/>
        <n v="7630615"/>
        <n v="5804478"/>
        <n v="7071797"/>
        <n v="3529182"/>
        <n v="5638901"/>
        <n v="1576566"/>
        <n v="6945387"/>
        <n v="5869239"/>
        <n v="6375207"/>
        <n v="1546097"/>
        <n v="2089762"/>
      </sharedItems>
    </cacheField>
    <cacheField name="služba" numFmtId="0">
      <sharedItems/>
    </cacheField>
    <cacheField name="Poskytoivatel" numFmtId="0">
      <sharedItems/>
    </cacheField>
    <cacheField name="druh služby" numFmtId="0">
      <sharedItems/>
    </cacheField>
    <cacheField name="VP 2019" numFmtId="3">
      <sharedItems containsSemiMixedTypes="0" containsString="0" containsNumber="1" minValue="541180.99175528076" maxValue="59904459.071403921"/>
    </cacheField>
    <cacheField name="aa" numFmtId="0">
      <sharedItems containsSemiMixedTypes="0" containsString="0" containsNumber="1" minValue="8386120.1106851101" maxValue="75043845.789273813"/>
    </cacheField>
    <cacheField name="bb" numFmtId="0">
      <sharedItems containsSemiMixedTypes="0" containsString="0" containsNumber="1" containsInteger="1" minValue="2840000" maxValue="21694000"/>
    </cacheField>
    <cacheField name="PnaPr 2019" numFmtId="3">
      <sharedItems containsSemiMixedTypes="0" containsString="0" containsNumber="1" minValue="166387.84282009516" maxValue="17317440.509968996"/>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Guman Ivan Ing." refreshedDate="43786.606149768515" createdVersion="6" refreshedVersion="6" minRefreshableVersion="3" recordCount="47">
  <cacheSource type="worksheet">
    <worksheetSource ref="Q4:X51" sheet="PnaPr2020"/>
  </cacheSource>
  <cacheFields count="8">
    <cacheField name="ID" numFmtId="0">
      <sharedItems containsMixedTypes="1" containsNumber="1" containsInteger="1" minValue="1450637" maxValue="9924037" count="45">
        <n v="5000179"/>
        <n v="8504548"/>
        <n v="6163071"/>
        <n v="3650770"/>
        <n v="4721932"/>
        <n v="3446957"/>
        <n v="3473171"/>
        <n v="6514817"/>
        <n v="5651221"/>
        <n v="1450637"/>
        <n v="6581899"/>
        <n v="2837121"/>
        <n v="3754207"/>
        <n v="4753225"/>
        <n v="5040302"/>
        <n v="3943362"/>
        <n v="2749776"/>
        <n v="8508078"/>
        <n v="1991772"/>
        <n v="2801353"/>
        <n v="9593192"/>
        <n v="7663376"/>
        <n v="8338145"/>
        <n v="5220717"/>
        <n v="4382500"/>
        <n v="7384495"/>
        <n v="1872907"/>
        <n v="1878615"/>
        <n v="6565956"/>
        <n v="9924037"/>
        <n v="9445282"/>
        <n v="3713907"/>
        <n v="4007320"/>
        <n v="7630615"/>
        <n v="5804478"/>
        <n v="7071797"/>
        <n v="3529182"/>
        <n v="5638901"/>
        <n v="1576566"/>
        <n v="6945387"/>
        <n v="5869239"/>
        <n v="6375207"/>
        <n v="1546097"/>
        <n v="2089762"/>
        <s v="Bude přidělen"/>
      </sharedItems>
    </cacheField>
    <cacheField name="služba" numFmtId="0">
      <sharedItems/>
    </cacheField>
    <cacheField name="Poskytoivatel" numFmtId="0">
      <sharedItems/>
    </cacheField>
    <cacheField name="druh služby" numFmtId="0">
      <sharedItems/>
    </cacheField>
    <cacheField name="VP 2020" numFmtId="3">
      <sharedItems containsSemiMixedTypes="0" containsString="0" containsNumber="1" minValue="576689.35844624322" maxValue="65767680.859087437"/>
    </cacheField>
    <cacheField name="aa" numFmtId="0">
      <sharedItems containsSemiMixedTypes="0" containsString="0" containsNumber="1" minValue="9823113.9004964307" maxValue="82490246.203651205"/>
    </cacheField>
    <cacheField name="bb" numFmtId="0">
      <sharedItems containsSemiMixedTypes="0" containsString="0" containsNumber="1" containsInteger="1" minValue="2678000" maxValue="20454000"/>
    </cacheField>
    <cacheField name="PnaPr 2020" numFmtId="0">
      <sharedItems containsSemiMixedTypes="0" containsString="0" containsNumber="1" minValue="170998.94394368998" maxValue="16307529.75292044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7">
  <r>
    <x v="0"/>
    <n v="512809"/>
  </r>
  <r>
    <x v="1"/>
    <n v="251623"/>
  </r>
  <r>
    <x v="2"/>
    <n v="1334896"/>
  </r>
  <r>
    <x v="3"/>
    <n v="3055776"/>
  </r>
  <r>
    <x v="4"/>
    <n v="914731"/>
  </r>
  <r>
    <x v="5"/>
    <n v="2207412"/>
  </r>
  <r>
    <x v="6"/>
    <n v="402081"/>
  </r>
  <r>
    <x v="7"/>
    <n v="1013232"/>
  </r>
  <r>
    <x v="8"/>
    <n v="1321335"/>
  </r>
  <r>
    <x v="9"/>
    <n v="1102190"/>
  </r>
  <r>
    <x v="10"/>
    <n v="351675"/>
  </r>
  <r>
    <x v="11"/>
    <n v="967498"/>
  </r>
  <r>
    <x v="12"/>
    <n v="1020025"/>
  </r>
  <r>
    <x v="13"/>
    <n v="815468"/>
  </r>
  <r>
    <x v="14"/>
    <n v="1603289"/>
  </r>
  <r>
    <x v="15"/>
    <n v="386616.62"/>
  </r>
  <r>
    <x v="16"/>
    <n v="1105710"/>
  </r>
  <r>
    <x v="17"/>
    <n v="1334402"/>
  </r>
  <r>
    <x v="17"/>
    <n v="486884"/>
  </r>
  <r>
    <x v="18"/>
    <n v="814208"/>
  </r>
  <r>
    <x v="19"/>
    <n v="402076"/>
  </r>
  <r>
    <x v="20"/>
    <n v="528658"/>
  </r>
  <r>
    <x v="21"/>
    <n v="1525738"/>
  </r>
  <r>
    <x v="22"/>
    <n v="1382185"/>
  </r>
  <r>
    <x v="23"/>
    <n v="447816"/>
  </r>
  <r>
    <x v="24"/>
    <n v="2261112"/>
  </r>
  <r>
    <x v="25"/>
    <n v="1144916"/>
  </r>
  <r>
    <x v="26"/>
    <n v="2503432"/>
  </r>
  <r>
    <x v="27"/>
    <n v="1520357"/>
  </r>
  <r>
    <x v="28"/>
    <n v="987598"/>
  </r>
  <r>
    <x v="29"/>
    <n v="1619875"/>
  </r>
  <r>
    <x v="29"/>
    <n v="552398"/>
  </r>
  <r>
    <x v="30"/>
    <n v="653372"/>
  </r>
  <r>
    <x v="31"/>
    <n v="599462"/>
  </r>
  <r>
    <x v="32"/>
    <n v="549826"/>
  </r>
  <r>
    <x v="33"/>
    <n v="458374"/>
  </r>
  <r>
    <x v="34"/>
    <n v="1472611"/>
  </r>
  <r>
    <x v="35"/>
    <n v="972918"/>
  </r>
  <r>
    <x v="36"/>
    <n v="653384"/>
  </r>
  <r>
    <x v="37"/>
    <n v="323681"/>
  </r>
  <r>
    <x v="38"/>
    <n v="564655"/>
  </r>
  <r>
    <x v="34"/>
    <n v="1619875"/>
  </r>
  <r>
    <x v="39"/>
    <n v="1125716"/>
  </r>
  <r>
    <x v="40"/>
    <n v="1045225"/>
  </r>
  <r>
    <x v="41"/>
    <n v="393535"/>
  </r>
  <r>
    <x v="42"/>
    <n v="1410292"/>
  </r>
  <r>
    <x v="43"/>
    <n v="251307"/>
  </r>
  <r>
    <x v="1"/>
    <n v="436769.64"/>
  </r>
  <r>
    <x v="44"/>
    <n v="852000"/>
  </r>
  <r>
    <x v="45"/>
    <n v="1029711"/>
  </r>
  <r>
    <x v="46"/>
    <n v="1006700"/>
  </r>
  <r>
    <x v="47"/>
    <n v="2080800"/>
  </r>
  <r>
    <x v="48"/>
    <n v="2104207"/>
  </r>
  <r>
    <x v="49"/>
    <n v="2393172"/>
  </r>
  <r>
    <x v="34"/>
    <n v="1521900"/>
  </r>
  <r>
    <x v="34"/>
    <n v="1582670"/>
  </r>
  <r>
    <x v="3"/>
    <n v="4268710"/>
  </r>
</pivotCacheRecords>
</file>

<file path=xl/pivotCache/pivotCacheRecords2.xml><?xml version="1.0" encoding="utf-8"?>
<pivotCacheRecords xmlns="http://schemas.openxmlformats.org/spreadsheetml/2006/main" xmlns:r="http://schemas.openxmlformats.org/officeDocument/2006/relationships" count="47">
  <r>
    <x v="0"/>
    <s v="48_KHKr_KHK_MENT_0_0_0_0"/>
    <n v="43047174.374081343"/>
  </r>
  <r>
    <x v="0"/>
    <s v="51_Trut_OKR_MENT_0_0_0_0"/>
    <n v="24315023.422150649"/>
  </r>
  <r>
    <x v="0"/>
    <s v="67_Dvur_PO3_MENT_0_0_0_0"/>
    <n v="773502.96210955526"/>
  </r>
  <r>
    <x v="0"/>
    <s v="70_Trut_PO3_MENT_0_0_0_0"/>
    <n v="2685256.0701895705"/>
  </r>
  <r>
    <x v="1"/>
    <s v="48_KHKr_KHK_TELP_0_0_0_0"/>
    <n v="33215261.641752195"/>
  </r>
  <r>
    <x v="2"/>
    <s v="46_Dobr_PO3_MENT_0_0_0_0"/>
    <n v="1032559.9409537764"/>
  </r>
  <r>
    <x v="2"/>
    <s v="48_KHKr_KHK_MENT_0_0_0_0"/>
    <n v="36614806.545883656"/>
  </r>
  <r>
    <x v="2"/>
    <s v="51_HrKr_OKR_MENT_0_0_0_7"/>
    <n v="614210.56970961427"/>
  </r>
  <r>
    <x v="2"/>
    <s v="51_Nach_OKR_MENT_0_0_0_4"/>
    <n v="3237515.40291797"/>
  </r>
  <r>
    <x v="2"/>
    <s v="51_Nach_OKR_MENT_0_0_0_7"/>
    <n v="3343688.6647635116"/>
  </r>
  <r>
    <x v="3"/>
    <s v="50_KHKr_KHK_NAVL_0_0_0_0"/>
    <n v="18595469.590470783"/>
  </r>
  <r>
    <x v="4"/>
    <s v="50_Rych_OKR_DUSO_0_0_0_0"/>
    <n v="27484085.005208258"/>
  </r>
  <r>
    <x v="5"/>
    <s v="49_Kost_PO3_SENI_0_0_0_0"/>
    <n v="23544168.980021723"/>
  </r>
  <r>
    <x v="6"/>
    <s v="49_HrKr_PO3_SENI_0_0_0_0"/>
    <n v="5603903.9405486807"/>
  </r>
  <r>
    <x v="6"/>
    <s v="50_HrKr_OKR_DUSO_0_0_0_0"/>
    <n v="25691721.341380894"/>
  </r>
  <r>
    <x v="7"/>
    <s v="49_Dvur_PO3_SENI_0_0_0_0"/>
    <n v="20392282.173444685"/>
  </r>
  <r>
    <x v="8"/>
    <s v="49_NoBy_PO3_SENI_0_0_0_0"/>
    <n v="10920004.97769383"/>
  </r>
  <r>
    <x v="9"/>
    <s v="49_Trut_PO3_SENI_0_0_0_0"/>
    <n v="11964721.15817537"/>
  </r>
  <r>
    <x v="10"/>
    <s v="49_Nach_PO3_SENI_0_0_0_0"/>
    <n v="9823113.9004964307"/>
  </r>
  <r>
    <x v="11"/>
    <s v="49_Nach_PO3_SENI_0_0_0_0"/>
    <n v="18429766.354838438"/>
  </r>
  <r>
    <x v="11"/>
    <s v="50_Nach_OKR_DUSO_0_0_0_0"/>
    <n v="12416191.317817554"/>
  </r>
  <r>
    <x v="12"/>
    <s v="49_Nach_PO3_SENI_0_0_0_0"/>
    <n v="19994059.517665572"/>
  </r>
  <r>
    <x v="13"/>
    <s v="49_Trut_PO3_SENI_0_0_0_0"/>
    <n v="17198633.588044822"/>
  </r>
  <r>
    <x v="13"/>
    <s v="50_Trut_OKR_DUSO_0_0_0_0"/>
    <n v="5290219.0727247903"/>
  </r>
  <r>
    <x v="14"/>
    <s v="48_KHKr_KHK_MENT_0_0_0_0"/>
    <n v="4013505.4274126575"/>
  </r>
  <r>
    <x v="14"/>
    <s v="50_KHKr_KHK_DUSO_0_0_0_0"/>
    <n v="19813983.129812181"/>
  </r>
  <r>
    <x v="14"/>
    <s v="51_Rych_OKR_DUSO_0_0_0_0"/>
    <n v="2183526.9397355039"/>
  </r>
  <r>
    <x v="14"/>
    <s v="70_Rych_OKR_DUSO_0_0_0_0"/>
    <n v="3438619.5787705323"/>
  </r>
  <r>
    <x v="15"/>
    <s v="49_Trut_PO3_SENI_0_0_0_0"/>
    <n v="10265880.700098794"/>
  </r>
  <r>
    <x v="16"/>
    <s v="44_Vrch_PO3_SENI_0_0_0_0"/>
    <n v="576689.35844624322"/>
  </r>
  <r>
    <x v="16"/>
    <s v="49_Vrch_PO3_SENI_0_0_0_0"/>
    <n v="10983989.105203958"/>
  </r>
  <r>
    <x v="16"/>
    <s v="50_Trut_OKR_DUSO_0_0_0_0"/>
    <n v="4175281.5630752468"/>
  </r>
  <r>
    <x v="17"/>
    <s v="48_KHKr_KHK_MENT_0_0_0_0"/>
    <n v="22497527.177580558"/>
  </r>
  <r>
    <x v="18"/>
    <s v="48_KHKr_KHK_MENT_0_0_0_0"/>
    <n v="22486957.282894928"/>
  </r>
  <r>
    <x v="18"/>
    <s v="51_HrKr_OKR_MENT_0_0_0_7"/>
    <n v="1066302.6090348614"/>
  </r>
  <r>
    <x v="19"/>
    <s v="49_HrKr_PO3_SENI_0_0_0_0"/>
    <n v="65767680.859087437"/>
  </r>
  <r>
    <x v="19"/>
    <s v="50_HrKr_OKR_DUSO_0_0_0_0"/>
    <n v="16722565.344563767"/>
  </r>
  <r>
    <x v="20"/>
    <s v="44_HrKr_PO3_SENI_0_0_0_0"/>
    <n v="3667436.7806406175"/>
  </r>
  <r>
    <x v="20"/>
    <s v="49_HrKr_PO3_SENI_0_0_0_0"/>
    <n v="8866275.6764279809"/>
  </r>
  <r>
    <x v="20"/>
    <s v="50_HrKr_OKR_DUSO_0_0_0_0"/>
    <n v="14122596.481906652"/>
  </r>
  <r>
    <x v="20"/>
    <s v="51_HrKr_OKR_MENT_0_0_0_6"/>
    <n v="2148999.2969357027"/>
  </r>
  <r>
    <x v="21"/>
    <s v="48_KHKr_KHK_MENT_0_0_0_0"/>
    <n v="11376964.50882945"/>
  </r>
  <r>
    <x v="21"/>
    <s v="49_Nach_PO3_SENI_0_0_0_0"/>
    <n v="25280595.996755749"/>
  </r>
  <r>
    <x v="22"/>
    <s v="44_Rych_OKR_MENT_0_0_0_0"/>
    <n v="3693178.4081448922"/>
  </r>
  <r>
    <x v="22"/>
    <s v="48_KHKr_KHK_MENT_0_0_0_0"/>
    <n v="42724760.148160294"/>
  </r>
  <r>
    <x v="23"/>
    <s v="48_KHKr_KHK_MENT_0_0_0_0"/>
    <n v="30609469.164951172"/>
  </r>
  <r>
    <x v="23"/>
    <s v="51_OKR_Rych_MENT_0_0_0_0"/>
    <n v="10371049.620273374"/>
  </r>
</pivotCacheRecords>
</file>

<file path=xl/pivotCache/pivotCacheRecords3.xml><?xml version="1.0" encoding="utf-8"?>
<pivotCacheRecords xmlns="http://schemas.openxmlformats.org/spreadsheetml/2006/main" xmlns:r="http://schemas.openxmlformats.org/officeDocument/2006/relationships" count="46">
  <r>
    <x v="0"/>
    <s v="48_KHKr_KHK_MENT_0_0_0_0"/>
    <n v="40392132.142589658"/>
  </r>
  <r>
    <x v="0"/>
    <s v="51_Trut_OKR_MENT_0_0_0_0"/>
    <n v="23297668.272746839"/>
  </r>
  <r>
    <x v="0"/>
    <s v="67_Dvur_PO3_MENT_0_0_0_0"/>
    <n v="741932.87129098631"/>
  </r>
  <r>
    <x v="0"/>
    <s v="70_Trut_PO3_MENT_0_0_0_0"/>
    <n v="2571868.8205727059"/>
  </r>
  <r>
    <x v="1"/>
    <s v="48_KHKr_KHK_TELP_0_0_0_0"/>
    <n v="31671790.31466588"/>
  </r>
  <r>
    <x v="2"/>
    <s v="46_Dobr_PO3_MENT_0_0_0_0"/>
    <n v="984249.59511118184"/>
  </r>
  <r>
    <x v="2"/>
    <s v="48_KHKr_KHK_MENT_0_0_0_0"/>
    <n v="33358346.354309879"/>
  </r>
  <r>
    <x v="2"/>
    <s v="51_HrKr_OKR_MENT_0_0_0_7"/>
    <n v="789209.89231544826"/>
  </r>
  <r>
    <x v="2"/>
    <s v="51_Nach_OKR_MENT_0_0_0_4"/>
    <n v="3070091.5448081661"/>
  </r>
  <r>
    <x v="2"/>
    <s v="51_Nach_OKR_MENT_0_0_0_7"/>
    <n v="1969978.0416962325"/>
  </r>
  <r>
    <x v="3"/>
    <s v="50_KHKr_KHK_NAVL_0_0_0_0"/>
    <n v="17599108.101580702"/>
  </r>
  <r>
    <x v="4"/>
    <s v="50_Rych_OKR_DUSO_0_0_0_0"/>
    <n v="25979837.801661696"/>
  </r>
  <r>
    <x v="5"/>
    <s v="49_Kost_PO3_SENI_0_0_0_0"/>
    <n v="20133446.752144061"/>
  </r>
  <r>
    <x v="6"/>
    <s v="49_HrKr_PO3_SENI_0_0_0_0"/>
    <n v="7453452.1300035575"/>
  </r>
  <r>
    <x v="6"/>
    <s v="50_HrKr_OKR_DUSO_0_0_0_0"/>
    <n v="21354412.685672969"/>
  </r>
  <r>
    <x v="7"/>
    <s v="49_Dvur_PO3_SENI_0_0_0_0"/>
    <n v="19206917.178216506"/>
  </r>
  <r>
    <x v="8"/>
    <s v="49_NoBy_PO3_SENI_0_0_0_0"/>
    <n v="10268946.099432442"/>
  </r>
  <r>
    <x v="9"/>
    <s v="49_Trut_PO3_SENI_0_0_0_0"/>
    <n v="11249310.04113538"/>
  </r>
  <r>
    <x v="10"/>
    <s v="49_Nach_PO3_SENI_0_0_0_0"/>
    <n v="8386120.1106851101"/>
  </r>
  <r>
    <x v="11"/>
    <s v="49_Nach_PO3_SENI_0_0_0_0"/>
    <n v="17305838.380118497"/>
  </r>
  <r>
    <x v="11"/>
    <s v="50_Nach_OKR_DUSO_0_0_0_0"/>
    <n v="11649999.141787495"/>
  </r>
  <r>
    <x v="12"/>
    <s v="49_Nach_PO3_SENI_0_0_0_0"/>
    <n v="18233135.704357907"/>
  </r>
  <r>
    <x v="13"/>
    <s v="49_Trut_PO3_SENI_0_0_0_0"/>
    <n v="15484441.558511592"/>
  </r>
  <r>
    <x v="13"/>
    <s v="50_Trut_OKR_DUSO_0_0_0_0"/>
    <n v="4998711.9361018194"/>
  </r>
  <r>
    <x v="14"/>
    <s v="48_KHKr_KHK_MENT_0_0_0_0"/>
    <n v="3669914.9293581066"/>
  </r>
  <r>
    <x v="14"/>
    <s v="50_KHKr_KHK_DUSO_0_0_0_0"/>
    <n v="18020746.728662439"/>
  </r>
  <r>
    <x v="14"/>
    <s v="51_Rych_OKR_DUSO_0_0_0_0"/>
    <n v="1994569.1599952015"/>
  </r>
  <r>
    <x v="14"/>
    <s v="70_Rych_OKR_DUSO_0_0_0_0"/>
    <n v="3079098.5046301004"/>
  </r>
  <r>
    <x v="15"/>
    <s v="49_Trut_PO3_SENI_0_0_0_0"/>
    <n v="8636577.5681834593"/>
  </r>
  <r>
    <x v="16"/>
    <s v="44_Vrch_PO3_SENI_0_0_0_0"/>
    <n v="541180.99175528076"/>
  </r>
  <r>
    <x v="16"/>
    <s v="49_Vrch_PO3_SENI_0_0_0_0"/>
    <n v="10299220.229134614"/>
  </r>
  <r>
    <x v="16"/>
    <s v="50_Trut_OKR_DUSO_0_0_0_0"/>
    <n v="3955345.2096747379"/>
  </r>
  <r>
    <x v="17"/>
    <s v="48_KHKr_KHK_MENT_0_0_0_0"/>
    <n v="20978767.506009847"/>
  </r>
  <r>
    <x v="18"/>
    <s v="48_KHKr_KHK_MENT_0_0_0_0"/>
    <n v="20938711.74165323"/>
  </r>
  <r>
    <x v="18"/>
    <s v="51_HrKr_OKR_MENT_0_0_0_7"/>
    <n v="1008969.4433256258"/>
  </r>
  <r>
    <x v="19"/>
    <s v="49_HrKr_PO3_SENI_0_0_0_0"/>
    <n v="59904459.071403921"/>
  </r>
  <r>
    <x v="19"/>
    <s v="50_HrKr_OKR_DUSO_0_0_0_0"/>
    <n v="15139386.717869893"/>
  </r>
  <r>
    <x v="20"/>
    <s v="44_HrKr_PO3_SENI_0_0_0_0"/>
    <n v="3457940.4202906708"/>
  </r>
  <r>
    <x v="20"/>
    <s v="49_HrKr_PO3_SENI_0_0_0_0"/>
    <n v="8300972.7665890958"/>
  </r>
  <r>
    <x v="20"/>
    <s v="50_HrKr_OKR_DUSO_0_0_0_0"/>
    <n v="13223884.306436174"/>
  </r>
  <r>
    <x v="20"/>
    <s v="51_HrKr_OKR_MENT_0_0_0_6"/>
    <n v="2034332.965517231"/>
  </r>
  <r>
    <x v="21"/>
    <s v="48_KHKr_KHK_MENT_0_0_0_0"/>
    <n v="12829712.392652031"/>
  </r>
  <r>
    <x v="21"/>
    <s v="49_Nach_PO3_SENI_0_0_0_0"/>
    <n v="21019235.120215554"/>
  </r>
  <r>
    <x v="22"/>
    <s v="44_Rych_OKR_MENT_0_0_0_0"/>
    <n v="3486446.1588010686"/>
  </r>
  <r>
    <x v="22"/>
    <s v="48_KHKr_KHK_MENT_0_0_0_0"/>
    <n v="35511901.458779283"/>
  </r>
  <r>
    <x v="23"/>
    <s v="48_KHKr_KHK_MENT_0_0_0_0"/>
    <n v="28656626.799487174"/>
  </r>
</pivotCacheRecords>
</file>

<file path=xl/pivotCache/pivotCacheRecords4.xml><?xml version="1.0" encoding="utf-8"?>
<pivotCacheRecords xmlns="http://schemas.openxmlformats.org/spreadsheetml/2006/main" xmlns:r="http://schemas.openxmlformats.org/officeDocument/2006/relationships" count="10">
  <r>
    <x v="0"/>
    <n v="476784"/>
  </r>
  <r>
    <x v="1"/>
    <n v="888000"/>
  </r>
  <r>
    <x v="2"/>
    <n v="1029711"/>
  </r>
  <r>
    <x v="3"/>
    <n v="1003700"/>
  </r>
  <r>
    <x v="4"/>
    <n v="2080800"/>
  </r>
  <r>
    <x v="5"/>
    <n v="2104207"/>
  </r>
  <r>
    <x v="6"/>
    <n v="2511960"/>
  </r>
  <r>
    <x v="7"/>
    <n v="6001592"/>
  </r>
  <r>
    <x v="7"/>
    <m/>
  </r>
  <r>
    <x v="8"/>
    <n v="8537422"/>
  </r>
</pivotCacheRecords>
</file>

<file path=xl/pivotCache/pivotCacheRecords5.xml><?xml version="1.0" encoding="utf-8"?>
<pivotCacheRecords xmlns="http://schemas.openxmlformats.org/spreadsheetml/2006/main" xmlns:r="http://schemas.openxmlformats.org/officeDocument/2006/relationships" count="35">
  <r>
    <x v="0"/>
    <n v="1052312.6341313617"/>
  </r>
  <r>
    <x v="1"/>
    <n v="1137805.3840966881"/>
  </r>
  <r>
    <x v="2"/>
    <n v="2840805.433337939"/>
  </r>
  <r>
    <x v="3"/>
    <n v="1059104.6825002881"/>
  </r>
  <r>
    <x v="4"/>
    <n v="2555360.1512724077"/>
  </r>
  <r>
    <x v="5"/>
    <n v="3222820.7912944802"/>
  </r>
  <r>
    <x v="6"/>
    <n v="4464719.1541079516"/>
  </r>
  <r>
    <x v="7"/>
    <n v="5370629.645727817"/>
  </r>
  <r>
    <x v="8"/>
    <n v="3402237.5858069072"/>
  </r>
  <r>
    <x v="9"/>
    <n v="1229450.065998916"/>
  </r>
  <r>
    <x v="10"/>
    <n v="1254497.1182819521"/>
  </r>
  <r>
    <x v="11"/>
    <n v="3959479.0792496316"/>
  </r>
  <r>
    <x v="12"/>
    <n v="2678115.5483361837"/>
  </r>
  <r>
    <x v="13"/>
    <n v="1290934.3566507786"/>
  </r>
  <r>
    <x v="14"/>
    <n v="997908.83102156827"/>
  </r>
  <r>
    <x v="15"/>
    <n v="772003.02506114123"/>
  </r>
  <r>
    <x v="16"/>
    <n v="1854835.0236859601"/>
  </r>
  <r>
    <x v="17"/>
    <n v="3297218.8114025602"/>
  </r>
  <r>
    <x v="18"/>
    <n v="1463011.5734570101"/>
  </r>
  <r>
    <x v="19"/>
    <n v="916710.41611130896"/>
  </r>
  <r>
    <x v="20"/>
    <n v="847233.45560883218"/>
  </r>
  <r>
    <x v="21"/>
    <n v="3343410.5426933127"/>
  </r>
  <r>
    <x v="22"/>
    <n v="2577327.818091928"/>
  </r>
  <r>
    <x v="23"/>
    <n v="2119508.9633388799"/>
  </r>
  <r>
    <x v="24"/>
    <n v="5929679.8103662794"/>
  </r>
  <r>
    <x v="25"/>
    <n v="3162879.4741952131"/>
  </r>
  <r>
    <x v="26"/>
    <n v="8537422"/>
  </r>
  <r>
    <x v="0"/>
    <n v="476784"/>
  </r>
  <r>
    <x v="27"/>
    <n v="888000"/>
  </r>
  <r>
    <x v="28"/>
    <n v="1003700"/>
  </r>
  <r>
    <x v="29"/>
    <n v="2080800"/>
  </r>
  <r>
    <x v="30"/>
    <n v="1029711"/>
  </r>
  <r>
    <x v="31"/>
    <n v="6001592"/>
  </r>
  <r>
    <x v="32"/>
    <n v="2511960"/>
  </r>
  <r>
    <x v="33"/>
    <n v="2104207"/>
  </r>
</pivotCacheRecords>
</file>

<file path=xl/pivotCache/pivotCacheRecords6.xml><?xml version="1.0" encoding="utf-8"?>
<pivotCacheRecords xmlns="http://schemas.openxmlformats.org/spreadsheetml/2006/main" xmlns:r="http://schemas.openxmlformats.org/officeDocument/2006/relationships" count="46">
  <r>
    <x v="0"/>
    <s v="Domov pro osoby se zdravotním postižením"/>
    <s v="Barevné domky Hajnice"/>
    <s v="48_KHKr_KHK_MENT_0_0_0_0"/>
    <n v="40392132.142589658"/>
    <n v="67003602.10720019"/>
    <n v="20737000"/>
    <n v="12500994.243574739"/>
  </r>
  <r>
    <x v="1"/>
    <s v="Chráněné bydlení"/>
    <s v="Barevné domky Hajnice"/>
    <s v="51_Trut_OKR_MENT_0_0_0_0"/>
    <n v="23297668.272746839"/>
    <n v="67003602.10720019"/>
    <n v="20737000"/>
    <n v="7210414.5415793229"/>
  </r>
  <r>
    <x v="2"/>
    <s v="Sociálně terapeutická dílna"/>
    <s v="Barevné domky Hajnice"/>
    <s v="67_Dvur_PO3_MENT_0_0_0_0"/>
    <n v="741932.87129098631"/>
    <n v="67003602.10720019"/>
    <n v="20737000"/>
    <n v="229621.41538817159"/>
  </r>
  <r>
    <x v="3"/>
    <s v="Barevné domky Hajnice"/>
    <s v="Barevné domky Hajnice"/>
    <s v="70_Trut_PO3_MENT_0_0_0_0"/>
    <n v="2571868.8205727059"/>
    <n v="67003602.10720019"/>
    <n v="20737000"/>
    <n v="795969.79945776786"/>
  </r>
  <r>
    <x v="4"/>
    <s v="Domov bez bariér"/>
    <s v="Domov bez bariér"/>
    <s v="48_KHKr_KHK_TELP_0_0_0_0"/>
    <n v="31671790.31466588"/>
    <n v="31671790.31466588"/>
    <n v="8998000"/>
    <n v="8998000"/>
  </r>
  <r>
    <x v="5"/>
    <s v="Domov Dědina"/>
    <s v="Domov Dědina"/>
    <s v="46_Dobr_PO3_MENT_0_0_0_0"/>
    <n v="984249.59511118184"/>
    <n v="40171875.42824091"/>
    <n v="13389000"/>
    <n v="328043.38080963405"/>
  </r>
  <r>
    <x v="6"/>
    <s v="Domov Dědina"/>
    <s v="Domov Dědina"/>
    <s v="48_KHKr_KHK_MENT_0_0_0_0"/>
    <n v="33358346.354309879"/>
    <n v="40171875.42824091"/>
    <n v="13389000"/>
    <n v="11118099.281565275"/>
  </r>
  <r>
    <x v="7"/>
    <s v="Chráněné bydlení"/>
    <s v="Domov Dědina"/>
    <s v="51_HrKr_OKR_MENT_0_0_0_7"/>
    <n v="789209.89231544826"/>
    <n v="40171875.42824091"/>
    <n v="13389000"/>
    <n v="263038.03682471602"/>
  </r>
  <r>
    <x v="7"/>
    <s v="Chráněné bydlení"/>
    <s v="Domov Dědina"/>
    <s v="51_Nach_OKR_MENT_0_0_0_4"/>
    <n v="3070091.5448081661"/>
    <n v="40171875.42824091"/>
    <n v="13389000"/>
    <n v="1023239.6485163677"/>
  </r>
  <r>
    <x v="7"/>
    <s v="Chráněné bydlení"/>
    <s v="Domov Dědina"/>
    <s v="51_Nach_OKR_MENT_0_0_0_7"/>
    <n v="1969978.0416962325"/>
    <n v="40171875.42824091"/>
    <n v="13389000"/>
    <n v="656579.65228400694"/>
  </r>
  <r>
    <x v="8"/>
    <s v="Domov Dolní zámek"/>
    <s v="Domov Dolní zámek"/>
    <s v="50_KHKr_KHK_NAVL_0_0_0_0"/>
    <n v="17599108.101580702"/>
    <n v="17599108.101580702"/>
    <n v="7066000"/>
    <n v="7066000"/>
  </r>
  <r>
    <x v="9"/>
    <s v="Domov důchodců Albrechtice nad Orlicí"/>
    <s v="Domov důchodců Albrechtice nad Orlicí"/>
    <s v="50_Rych_OKR_DUSO_0_0_0_0"/>
    <n v="25979837.801661696"/>
    <n v="25979837.801661696"/>
    <n v="6399000"/>
    <n v="6399000"/>
  </r>
  <r>
    <x v="10"/>
    <s v="Domov důchodců Borohrádek"/>
    <s v="Domov důchodců Borohrádek"/>
    <s v="49_Kost_PO3_SENI_0_0_0_0"/>
    <n v="20133446.752144061"/>
    <n v="20133446.752144061"/>
    <n v="5593000"/>
    <n v="5593000"/>
  </r>
  <r>
    <x v="11"/>
    <s v="Domov důchodců Černožice"/>
    <s v="Domov důchodců Černožice"/>
    <s v="49_HrKr_PO3_SENI_0_0_0_0"/>
    <n v="7453452.1300035575"/>
    <n v="28807864.815676525"/>
    <n v="9429000"/>
    <n v="2439562.9659980796"/>
  </r>
  <r>
    <x v="12"/>
    <s v="Domov důchodců Černožice"/>
    <s v="Domov důchodců Černožice"/>
    <s v="50_HrKr_OKR_DUSO_0_0_0_0"/>
    <n v="21354412.685672969"/>
    <n v="28807864.815676525"/>
    <n v="9429000"/>
    <n v="6989437.0340019213"/>
  </r>
  <r>
    <x v="13"/>
    <s v="Domov důchodců Dvůr Králové nad Labem"/>
    <s v="Domov důchodců Dvůr Králové nad Labem"/>
    <s v="49_Dvur_PO3_SENI_0_0_0_0"/>
    <n v="19206917.178216506"/>
    <n v="19206917.178216506"/>
    <n v="7106000"/>
    <n v="7106000"/>
  </r>
  <r>
    <x v="14"/>
    <s v="Domov důchodců Humburky"/>
    <s v="Domov důchodců Humburky"/>
    <s v="49_NoBy_PO3_SENI_0_0_0_0"/>
    <n v="10268946.099432442"/>
    <n v="10268946.099432442"/>
    <n v="2936000"/>
    <n v="2936000"/>
  </r>
  <r>
    <x v="15"/>
    <s v="Domov důchodců Lampertice"/>
    <s v="Domov důchodců Lampertice"/>
    <s v="49_Trut_PO3_SENI_0_0_0_0"/>
    <n v="11249310.04113538"/>
    <n v="11249310.04113538"/>
    <n v="2840000"/>
    <n v="2840000"/>
  </r>
  <r>
    <x v="16"/>
    <s v="Domov důchodců Malá Čermná"/>
    <s v="Domov důchodců Malá Čermná"/>
    <s v="49_Nach_PO3_SENI_0_0_0_0"/>
    <n v="8386120.1106851101"/>
    <n v="8386120.1106851101"/>
    <n v="2938000"/>
    <n v="2938000"/>
  </r>
  <r>
    <x v="17"/>
    <s v="Domov důchodců Náchod"/>
    <s v="Domov důchodců Náchod"/>
    <s v="49_Nach_PO3_SENI_0_0_0_0"/>
    <n v="17305838.380118497"/>
    <n v="28955837.521905992"/>
    <n v="6773000"/>
    <n v="4047972.8227466298"/>
  </r>
  <r>
    <x v="18"/>
    <s v="Domov důchodců Náchod"/>
    <s v="Domov důchodců Náchod"/>
    <s v="50_Nach_OKR_DUSO_0_0_0_0"/>
    <n v="11649999.141787495"/>
    <n v="28955837.521905992"/>
    <n v="6773000"/>
    <n v="2725027.1772533702"/>
  </r>
  <r>
    <x v="19"/>
    <s v="Domov důchodců Police nad Metují"/>
    <s v="Domov důchodců Police nad Metují"/>
    <s v="49_Nach_PO3_SENI_0_0_0_0"/>
    <n v="18233135.704357907"/>
    <n v="18233135.704357907"/>
    <n v="4207000"/>
    <n v="4207000"/>
  </r>
  <r>
    <x v="20"/>
    <s v="Domov důchodců Tmavý Důl"/>
    <s v="Domov důchodců Tmavý Důl"/>
    <s v="49_Trut_PO3_SENI_0_0_0_0"/>
    <n v="15484441.558511592"/>
    <n v="20483153.494613413"/>
    <n v="11426000"/>
    <n v="8637597.1987946387"/>
  </r>
  <r>
    <x v="21"/>
    <s v="Domov se zvláštním režimem"/>
    <s v="Domov důchodců Tmavý Důl"/>
    <s v="50_Trut_OKR_DUSO_0_0_0_0"/>
    <n v="4998711.9361018194"/>
    <n v="20483153.494613413"/>
    <n v="11426000"/>
    <n v="2788402.8012053594"/>
  </r>
  <r>
    <x v="22"/>
    <s v="DOMOV NA STŘÍBRNÉM VRCHU"/>
    <s v="DOMOV NA STŘÍBRNÉM VRCHU"/>
    <s v="48_KHKr_KHK_MENT_0_0_0_0"/>
    <n v="3669914.9293581066"/>
    <n v="26764329.322645847"/>
    <n v="10295000"/>
    <n v="1411646.589095501"/>
  </r>
  <r>
    <x v="23"/>
    <s v="DOMOV NA STŘÍBRNÉM VRCHU"/>
    <s v="DOMOV NA STŘÍBRNÉM VRCHU"/>
    <s v="50_KHKr_KHK_DUSO_0_0_0_0"/>
    <n v="18020746.728662439"/>
    <n v="26764329.322645847"/>
    <n v="10295000"/>
    <n v="6931748.0492442045"/>
  </r>
  <r>
    <x v="24"/>
    <s v="DOMOV NA STŘÍBRNÉM VRCHU"/>
    <s v="DOMOV NA STŘÍBRNÉM VRCHU"/>
    <s v="51_Rych_OKR_DUSO_0_0_0_0"/>
    <n v="1994569.1599952015"/>
    <n v="26764329.322645847"/>
    <n v="10295000"/>
    <n v="767218.5338407224"/>
  </r>
  <r>
    <x v="25"/>
    <s v="DOMOV NA STŘÍBRNÉM VRCHU"/>
    <s v="DOMOV NA STŘÍBRNÉM VRCHU"/>
    <s v="70_Rych_OKR_DUSO_0_0_0_0"/>
    <n v="3079098.5046301004"/>
    <n v="26764329.322645847"/>
    <n v="10295000"/>
    <n v="1184386.8278195728"/>
  </r>
  <r>
    <x v="26"/>
    <s v="Domov pro seniory Pilníkov"/>
    <s v="Domov pro seniory Pilníkov"/>
    <s v="49_Trut_PO3_SENI_0_0_0_0"/>
    <n v="8636577.5681834593"/>
    <n v="8636577.5681834593"/>
    <n v="2984000"/>
    <n v="2984000"/>
  </r>
  <r>
    <x v="27"/>
    <s v="Domov pro seniory Vrchlabí"/>
    <s v="Domov pro seniory Vrchlabí"/>
    <s v="44_Vrch_PO3_SENI_0_0_0_0"/>
    <n v="541180.99175528076"/>
    <n v="14795746.430564633"/>
    <n v="4549000"/>
    <n v="166387.84282009516"/>
  </r>
  <r>
    <x v="28"/>
    <s v="Domov pro seniory Vrchlabí"/>
    <s v="Domov pro seniory Vrchlabí"/>
    <s v="49_Vrch_PO3_SENI_0_0_0_0"/>
    <n v="10299220.229134614"/>
    <n v="14795746.430564633"/>
    <n v="4549000"/>
    <n v="3166528.5048106513"/>
  </r>
  <r>
    <x v="29"/>
    <s v="Domov pro seniory Vrchlabí"/>
    <s v="Domov pro seniory Vrchlabí"/>
    <s v="50_Trut_OKR_DUSO_0_0_0_0"/>
    <n v="3955345.2096747379"/>
    <n v="14795746.430564633"/>
    <n v="4549000"/>
    <n v="1216083.6523692533"/>
  </r>
  <r>
    <x v="30"/>
    <s v="Domov sociálních služeb Chotělice"/>
    <s v="Domov sociálních služeb Chotělice"/>
    <s v="48_KHKr_KHK_MENT_0_0_0_0"/>
    <n v="20978767.506009847"/>
    <n v="20978767.506009847"/>
    <n v="6999000"/>
    <n v="6999000"/>
  </r>
  <r>
    <x v="31"/>
    <s v="Domov sociálních služeb Skřivany"/>
    <s v="Domov sociálních služeb Skřivany"/>
    <s v="48_KHKr_KHK_MENT_0_0_0_0"/>
    <n v="20938711.74165323"/>
    <n v="21947681.184978858"/>
    <n v="8009000"/>
    <n v="7640813.6661687279"/>
  </r>
  <r>
    <x v="32"/>
    <s v="Domov sociálních služeb Skřivany"/>
    <s v="Domov sociálních služeb Skřivany"/>
    <s v="51_HrKr_OKR_MENT_0_0_0_7"/>
    <n v="1008969.4433256258"/>
    <n v="21947681.184978858"/>
    <n v="8009000"/>
    <n v="368186.33383127127"/>
  </r>
  <r>
    <x v="33"/>
    <s v="Domov U Biřičky, Hradec Králové"/>
    <s v="Domov U Biřičky"/>
    <s v="49_HrKr_PO3_SENI_0_0_0_0"/>
    <n v="59904459.071403921"/>
    <n v="75043845.789273813"/>
    <n v="21694000"/>
    <n v="17317440.509968996"/>
  </r>
  <r>
    <x v="34"/>
    <s v="Domov U Biřičky,Hradec Králové"/>
    <s v="Domov U Biřičky"/>
    <s v="50_HrKr_OKR_DUSO_0_0_0_0"/>
    <n v="15139386.717869893"/>
    <n v="75043845.789273813"/>
    <n v="21694000"/>
    <n v="4376559.490031003"/>
  </r>
  <r>
    <x v="35"/>
    <s v="Domov V Podzámčí"/>
    <s v="Domov V Podzámčí"/>
    <s v="44_HrKr_PO3_SENI_0_0_0_0"/>
    <n v="3457940.4202906708"/>
    <n v="27017130.458833173"/>
    <n v="10277000"/>
    <n v="1315360.0362361365"/>
  </r>
  <r>
    <x v="36"/>
    <s v="Domov V Podzámčí"/>
    <s v="Domov V Podzámčí"/>
    <s v="49_HrKr_PO3_SENI_0_0_0_0"/>
    <n v="8300972.7665890958"/>
    <n v="27017130.458833173"/>
    <n v="10277000"/>
    <n v="3157592.8188311569"/>
  </r>
  <r>
    <x v="37"/>
    <s v="Domov V Podzámčí"/>
    <s v="Domov V Podzámčí"/>
    <s v="50_HrKr_OKR_DUSO_0_0_0_0"/>
    <n v="13223884.306436174"/>
    <n v="27017130.458833173"/>
    <n v="10277000"/>
    <n v="5030210.711101328"/>
  </r>
  <r>
    <x v="38"/>
    <s v="Domov V Podzámčí"/>
    <s v="Domov V Podzámčí"/>
    <s v="51_HrKr_OKR_MENT_0_0_0_6"/>
    <n v="2034332.965517231"/>
    <n v="27017130.458833173"/>
    <n v="10277000"/>
    <n v="773836.43383137882"/>
  </r>
  <r>
    <x v="39"/>
    <s v="Domov pro osoby se zdravotním postižením"/>
    <s v="Domovy Na Třešňovce"/>
    <s v="48_KHKr_KHK_MENT_0_0_0_0"/>
    <n v="12829712.392652031"/>
    <n v="33848947.512867585"/>
    <n v="7692000"/>
    <n v="2915486.4471565667"/>
  </r>
  <r>
    <x v="40"/>
    <s v="domov pro seniory"/>
    <s v="Domovy Na Třešňovce"/>
    <s v="49_Nach_PO3_SENI_0_0_0_0"/>
    <n v="21019235.120215554"/>
    <n v="33848947.512867585"/>
    <n v="7692000"/>
    <n v="4776513.5528434329"/>
  </r>
  <r>
    <x v="41"/>
    <s v="Ústav sociální péče pro mládež DOMEČKY"/>
    <s v="Ústav sociální péče pro mládež DOMEČKY"/>
    <s v="44_Rych_OKR_MENT_0_0_0_0"/>
    <n v="3486446.1588010686"/>
    <n v="38998347.617580354"/>
    <n v="9274000"/>
    <n v="829094.14505924715"/>
  </r>
  <r>
    <x v="42"/>
    <s v="Ústav sociální péče pro mládež DOMEČKY"/>
    <s v="Ústav sociální péče pro mládež DOMEČKY"/>
    <s v="48_KHKr_KHK_MENT_0_0_0_0"/>
    <n v="35511901.458779283"/>
    <n v="38998347.617580354"/>
    <n v="9274000"/>
    <n v="8444905.8549407516"/>
  </r>
  <r>
    <x v="43"/>
    <s v="Ústav sociální péče pro mládež Kvasiny"/>
    <s v="Ústav sociální péče pro mládež Kvasiny"/>
    <s v="48_KHKr_KHK_MENT_0_0_0_0"/>
    <n v="28656626.799487174"/>
    <n v="28656626.799487174"/>
    <n v="9910000"/>
    <n v="9910000"/>
  </r>
</pivotCacheRecords>
</file>

<file path=xl/pivotCache/pivotCacheRecords7.xml><?xml version="1.0" encoding="utf-8"?>
<pivotCacheRecords xmlns="http://schemas.openxmlformats.org/spreadsheetml/2006/main" xmlns:r="http://schemas.openxmlformats.org/officeDocument/2006/relationships" count="47">
  <r>
    <x v="0"/>
    <s v="Domov pro osoby se zdravotním postižením"/>
    <s v="Barevné domky Hajnice"/>
    <s v="48_KHKr_KHK_MENT_0_0_0_0"/>
    <n v="43047174.374081343"/>
    <n v="70820956.828531101"/>
    <n v="20212000"/>
    <n v="12285480.561290776"/>
  </r>
  <r>
    <x v="1"/>
    <s v="Chráněné bydlení"/>
    <s v="Barevné domky Hajnice"/>
    <s v="51_Trut_OKR_MENT_0_0_0_0"/>
    <n v="24315023.422150649"/>
    <n v="70820956.828531101"/>
    <n v="20212000"/>
    <n v="6939404.3150024218"/>
  </r>
  <r>
    <x v="2"/>
    <s v="Sociálně terapeutická dílna"/>
    <s v="Barevné domky Hajnice"/>
    <s v="67_Dvur_PO3_MENT_0_0_0_0"/>
    <n v="773502.96210955526"/>
    <n v="70820956.828531101"/>
    <n v="20212000"/>
    <n v="220754.45701772789"/>
  </r>
  <r>
    <x v="3"/>
    <s v="Barevné domky Hajnice"/>
    <s v="Barevné domky Hajnice"/>
    <s v="70_Trut_PO3_MENT_0_0_0_0"/>
    <n v="2685256.0701895705"/>
    <n v="70820956.828531101"/>
    <n v="20212000"/>
    <n v="766360.66668907937"/>
  </r>
  <r>
    <x v="4"/>
    <s v="Domov bez bariér"/>
    <s v="Domov bez bariér"/>
    <s v="48_KHKr_KHK_TELP_0_0_0_0"/>
    <n v="33215261.641752195"/>
    <n v="33215261.641752195"/>
    <n v="8484000"/>
    <n v="8484000"/>
  </r>
  <r>
    <x v="5"/>
    <s v="Domov Dědina"/>
    <s v="Domov Dědina"/>
    <s v="46_Dobr_PO3_MENT_0_0_0_0"/>
    <n v="1032559.9409537764"/>
    <n v="44842781.124228522"/>
    <n v="12624000"/>
    <n v="290683.05684451963"/>
  </r>
  <r>
    <x v="6"/>
    <s v="Domov Dědina"/>
    <s v="Domov Dědina"/>
    <s v="48_KHKr_KHK_MENT_0_0_0_0"/>
    <n v="36614806.545883656"/>
    <n v="44842781.124228522"/>
    <n v="12624000"/>
    <n v="10307686.237272542"/>
  </r>
  <r>
    <x v="7"/>
    <s v="Chráněné bydlení"/>
    <s v="Domov Dědina"/>
    <s v="51_HrKr_OKR_MENT_0_0_0_7"/>
    <n v="614210.56970961427"/>
    <n v="44842781.124228522"/>
    <n v="12624000"/>
    <n v="172910.64554033204"/>
  </r>
  <r>
    <x v="7"/>
    <s v="Chráněné bydlení"/>
    <s v="Domov Dědina"/>
    <s v="51_Nach_OKR_MENT_0_0_0_4"/>
    <n v="3237515.40291797"/>
    <n v="44842781.124228522"/>
    <n v="12624000"/>
    <n v="911415.24726605788"/>
  </r>
  <r>
    <x v="7"/>
    <s v="Chráněné bydlení"/>
    <s v="Domov Dědina"/>
    <s v="51_Nach_OKR_MENT_0_0_0_7"/>
    <n v="3343688.6647635116"/>
    <n v="44842781.124228522"/>
    <n v="12624000"/>
    <n v="941304.81307654991"/>
  </r>
  <r>
    <x v="8"/>
    <s v="Domov Dolní zámek"/>
    <s v="Domov Dolní zámek"/>
    <s v="50_KHKr_KHK_NAVL_0_0_0_0"/>
    <n v="18595469.590470783"/>
    <n v="18595469.590470783"/>
    <n v="6662000"/>
    <n v="6662000"/>
  </r>
  <r>
    <x v="9"/>
    <s v="Domov důchodců Albrechtice nad Orlicí"/>
    <s v="Domov důchodců Albrechtice nad Orlicí"/>
    <s v="50_Rych_OKR_DUSO_0_0_0_0"/>
    <n v="27484085.005208258"/>
    <n v="27484085.005208258"/>
    <n v="6033000"/>
    <n v="6033000"/>
  </r>
  <r>
    <x v="10"/>
    <s v="Domov důchodců Borohrádek"/>
    <s v="Domov důchodců Borohrádek"/>
    <s v="49_Kost_PO3_SENI_0_0_0_0"/>
    <n v="23544168.980021723"/>
    <n v="23544168.980021723"/>
    <n v="5273000"/>
    <n v="5273000"/>
  </r>
  <r>
    <x v="11"/>
    <s v="Domov důchodců Černožice"/>
    <s v="Domov důchodců Černožice"/>
    <s v="49_HrKr_PO3_SENI_0_0_0_0"/>
    <n v="5603903.9405486807"/>
    <n v="31295625.281929575"/>
    <n v="9173000"/>
    <n v="1642549.4101354356"/>
  </r>
  <r>
    <x v="12"/>
    <s v="Domov důchodců Černožice"/>
    <s v="Domov důchodců Černožice"/>
    <s v="50_HrKr_OKR_DUSO_0_0_0_0"/>
    <n v="25691721.341380894"/>
    <n v="31295625.281929575"/>
    <n v="9173000"/>
    <n v="7530450.5898645641"/>
  </r>
  <r>
    <x v="13"/>
    <s v="Domov důchodců Dvůr Králové nad Labem"/>
    <s v="Domov důchodců Dvůr Králové nad Labem"/>
    <s v="49_Dvur_PO3_SENI_0_0_0_0"/>
    <n v="20392282.173444685"/>
    <n v="20392282.173444685"/>
    <n v="6700000"/>
    <n v="6700000"/>
  </r>
  <r>
    <x v="14"/>
    <s v="Domov důchodců Humburky"/>
    <s v="Domov důchodců Humburky"/>
    <s v="49_NoBy_PO3_SENI_0_0_0_0"/>
    <n v="10920004.97769383"/>
    <n v="10920004.97769383"/>
    <n v="2768000"/>
    <n v="2768000"/>
  </r>
  <r>
    <x v="15"/>
    <s v="Domov důchodců Lampertice"/>
    <s v="Domov důchodců Lampertice"/>
    <s v="49_Trut_PO3_SENI_0_0_0_0"/>
    <n v="11964721.15817537"/>
    <n v="11964721.15817537"/>
    <n v="2678000"/>
    <n v="2678000"/>
  </r>
  <r>
    <x v="16"/>
    <s v="Domov důchodců Malá Čermná"/>
    <s v="Domov důchodců Malá Čermná"/>
    <s v="49_Nach_PO3_SENI_0_0_0_0"/>
    <n v="9823113.9004964307"/>
    <n v="9823113.9004964307"/>
    <n v="2770000"/>
    <n v="2770000"/>
  </r>
  <r>
    <x v="17"/>
    <s v="Domov důchodců Náchod"/>
    <s v="Domov důchodců Náchod"/>
    <s v="49_Nach_PO3_SENI_0_0_0_0"/>
    <n v="18429766.354838438"/>
    <n v="30845957.672655992"/>
    <n v="6386000"/>
    <n v="3815491.4556706757"/>
  </r>
  <r>
    <x v="18"/>
    <s v="Domov důchodců Náchod"/>
    <s v="Domov důchodců Náchod"/>
    <s v="50_Nach_OKR_DUSO_0_0_0_0"/>
    <n v="12416191.317817554"/>
    <n v="30845957.672655992"/>
    <n v="6386000"/>
    <n v="2570508.5443293238"/>
  </r>
  <r>
    <x v="19"/>
    <s v="Domov důchodců Police nad Metují"/>
    <s v="Domov důchodců Police nad Metují"/>
    <s v="49_Nach_PO3_SENI_0_0_0_0"/>
    <n v="19994059.517665572"/>
    <n v="19994059.517665572"/>
    <n v="3655000"/>
    <n v="3655000.0000000005"/>
  </r>
  <r>
    <x v="20"/>
    <s v="Domov důchodců Tmavý Důl"/>
    <s v="Domov důchodců Tmavý Důl"/>
    <s v="49_Trut_PO3_SENI_0_0_0_0"/>
    <n v="17198633.588044822"/>
    <n v="22488852.660769612"/>
    <n v="10019000"/>
    <n v="7662156.5589786824"/>
  </r>
  <r>
    <x v="21"/>
    <s v="Domov se zvláštním režimem"/>
    <s v="Domov důchodců Tmavý Důl"/>
    <s v="50_Trut_OKR_DUSO_0_0_0_0"/>
    <n v="5290219.0727247903"/>
    <n v="22488852.660769612"/>
    <n v="10019000"/>
    <n v="2356843.4410213181"/>
  </r>
  <r>
    <x v="22"/>
    <s v="DOMOV NA STŘÍBRNÉM VRCHU"/>
    <s v="DOMOV NA STŘÍBRNÉM VRCHU"/>
    <s v="48_KHKr_KHK_MENT_0_0_0_0"/>
    <n v="4013505.4274126575"/>
    <n v="29449635.075730875"/>
    <n v="9235000"/>
    <n v="1258580.0308507229"/>
  </r>
  <r>
    <x v="23"/>
    <s v="DOMOV NA STŘÍBRNÉM VRCHU"/>
    <s v="DOMOV NA STŘÍBRNÉM VRCHU"/>
    <s v="50_KHKr_KHK_DUSO_0_0_0_0"/>
    <n v="19813983.129812181"/>
    <n v="29449635.075730875"/>
    <n v="9235000"/>
    <n v="6213392.2452101652"/>
  </r>
  <r>
    <x v="24"/>
    <s v="DOMOV NA STŘÍBRNÉM VRCHU"/>
    <s v="DOMOV NA STŘÍBRNÉM VRCHU"/>
    <s v="51_Rych_OKR_DUSO_0_0_0_0"/>
    <n v="2183526.9397355039"/>
    <n v="29449635.075730875"/>
    <n v="9235000"/>
    <n v="684723.97829727374"/>
  </r>
  <r>
    <x v="25"/>
    <s v="DOMOV NA STŘÍBRNÉM VRCHU"/>
    <s v="DOMOV NA STŘÍBRNÉM VRCHU"/>
    <s v="70_Rych_OKR_DUSO_0_0_0_0"/>
    <n v="3438619.5787705323"/>
    <n v="29449635.075730875"/>
    <n v="9235000"/>
    <n v="1078303.7456418383"/>
  </r>
  <r>
    <x v="26"/>
    <s v="Domov pro seniory Pilníkov"/>
    <s v="Domov pro seniory Pilníkov"/>
    <s v="49_Trut_PO3_SENI_0_0_0_0"/>
    <n v="10265880.700098794"/>
    <n v="10265880.700098794"/>
    <n v="2813000"/>
    <n v="2813000"/>
  </r>
  <r>
    <x v="27"/>
    <s v="Domov pro seniory Vrchlabí"/>
    <s v="Domov pro seniory Vrchlabí"/>
    <s v="44_Vrch_PO3_SENI_0_0_0_0"/>
    <n v="576689.35844624322"/>
    <n v="15735960.026725447"/>
    <n v="4666000"/>
    <n v="170998.94394368998"/>
  </r>
  <r>
    <x v="28"/>
    <s v="Domov pro seniory Vrchlabí"/>
    <s v="Domov pro seniory Vrchlabí"/>
    <s v="49_Vrch_PO3_SENI_0_0_0_0"/>
    <n v="10983989.105203958"/>
    <n v="15735960.026725447"/>
    <n v="4666000"/>
    <n v="3256953.6957286447"/>
  </r>
  <r>
    <x v="29"/>
    <s v="Domov pro seniory Vrchlabí"/>
    <s v="Domov pro seniory Vrchlabí"/>
    <s v="50_Trut_OKR_DUSO_0_0_0_0"/>
    <n v="4175281.5630752468"/>
    <n v="15735960.026725447"/>
    <n v="4666000"/>
    <n v="1238047.3603276657"/>
  </r>
  <r>
    <x v="30"/>
    <s v="Domov sociálních služeb Chotělice"/>
    <s v="Domov sociálních služeb Chotělice"/>
    <s v="48_KHKr_KHK_MENT_0_0_0_0"/>
    <n v="22497527.177580558"/>
    <n v="22497527.177580558"/>
    <n v="6599000"/>
    <n v="6599000"/>
  </r>
  <r>
    <x v="31"/>
    <s v="Domov sociálních služeb Skřivany"/>
    <s v="Domov sociálních služeb Skřivany"/>
    <s v="48_KHKr_KHK_MENT_0_0_0_0"/>
    <n v="22486957.282894928"/>
    <n v="23553259.89192979"/>
    <n v="7551000"/>
    <n v="7209151.311633043"/>
  </r>
  <r>
    <x v="32"/>
    <s v="Domov sociálních služeb Skřivany"/>
    <s v="Domov sociálních služeb Skřivany"/>
    <s v="51_HrKr_OKR_MENT_0_0_0_7"/>
    <n v="1066302.6090348614"/>
    <n v="23553259.89192979"/>
    <n v="7551000"/>
    <n v="341848.68836695631"/>
  </r>
  <r>
    <x v="33"/>
    <s v="Domov U Biřičky, Hradec Králové"/>
    <s v="Domov U Biřičky"/>
    <s v="49_HrKr_PO3_SENI_0_0_0_0"/>
    <n v="65767680.859087437"/>
    <n v="82490246.203651205"/>
    <n v="20454000"/>
    <n v="16307529.752920441"/>
  </r>
  <r>
    <x v="34"/>
    <s v="Domov U Biřičky,Hradec Králové"/>
    <s v="Domov U Biřičky"/>
    <s v="50_HrKr_OKR_DUSO_0_0_0_0"/>
    <n v="16722565.344563767"/>
    <n v="82490246.203651205"/>
    <n v="20454000"/>
    <n v="4146470.2470795596"/>
  </r>
  <r>
    <x v="35"/>
    <s v="Domov V Podzámčí"/>
    <s v="Domov V Podzámčí"/>
    <s v="44_HrKr_PO3_SENI_0_0_0_0"/>
    <n v="3667436.7806406175"/>
    <n v="28805308.235910956"/>
    <n v="9218000"/>
    <n v="1173618.1389581335"/>
  </r>
  <r>
    <x v="36"/>
    <s v="Domov V Podzámčí"/>
    <s v="Domov V Podzámčí"/>
    <s v="49_HrKr_PO3_SENI_0_0_0_0"/>
    <n v="8866275.6764279809"/>
    <n v="28805308.235910956"/>
    <n v="9218000"/>
    <n v="2837300.9764715149"/>
  </r>
  <r>
    <x v="37"/>
    <s v="Domov V Podzámčí"/>
    <s v="Domov V Podzámčí"/>
    <s v="50_HrKr_OKR_DUSO_0_0_0_0"/>
    <n v="14122596.481906652"/>
    <n v="28805308.235910956"/>
    <n v="9218000"/>
    <n v="4519378.6264685867"/>
  </r>
  <r>
    <x v="38"/>
    <s v="Domov V Podzámčí"/>
    <s v="Domov V Podzámčí"/>
    <s v="51_HrKr_OKR_MENT_0_0_0_6"/>
    <n v="2148999.2969357027"/>
    <n v="28805308.235910956"/>
    <n v="9218000"/>
    <n v="687702.25810176414"/>
  </r>
  <r>
    <x v="39"/>
    <s v="Domov pro osoby se zdravotním postižením"/>
    <s v="Domovy Na Třešňovce"/>
    <s v="48_KHKr_KHK_MENT_0_0_0_0"/>
    <n v="11376964.50882945"/>
    <n v="36657560.505585201"/>
    <n v="7535000"/>
    <n v="2338546.9843517998"/>
  </r>
  <r>
    <x v="40"/>
    <s v="domov pro seniory"/>
    <s v="Domovy Na Třešňovce"/>
    <s v="49_Nach_PO3_SENI_0_0_0_0"/>
    <n v="25280595.996755749"/>
    <n v="36657560.505585201"/>
    <n v="7535000"/>
    <n v="5196453.0156482002"/>
  </r>
  <r>
    <x v="41"/>
    <s v="Ústav sociální péče pro mládež DOMEČKY"/>
    <s v="Ústav sociální péče pro mládež DOMEČKY"/>
    <s v="44_Rych_OKR_MENT_0_0_0_0"/>
    <n v="3693178.4081448922"/>
    <n v="46417938.556305185"/>
    <n v="8866000"/>
    <n v="705410.89899747109"/>
  </r>
  <r>
    <x v="42"/>
    <s v="Ústav sociální péče pro mládež DOMEČKY"/>
    <s v="Ústav sociální péče pro mládež DOMEČKY"/>
    <s v="48_KHKr_KHK_MENT_0_0_0_0"/>
    <n v="42724760.148160294"/>
    <n v="46417938.556305185"/>
    <n v="8866000"/>
    <n v="8160589.1010025293"/>
  </r>
  <r>
    <x v="43"/>
    <s v="Ústav sociální péče pro mládež Kvasiny"/>
    <s v="Ústav sociální péče pro mládež Kvasiny"/>
    <s v="48_KHKr_KHK_MENT_0_0_0_0"/>
    <n v="30609469.164951172"/>
    <n v="40980518.785224542"/>
    <n v="9626000"/>
    <n v="7189922.4049856197"/>
  </r>
  <r>
    <x v="44"/>
    <s v="Ústav sociální péče pro mládež Kvasiny"/>
    <s v="Ústav sociální péče pro mládež Kvasiny"/>
    <s v="51_OKR_Rych_MENT_0_0_0_0"/>
    <n v="10371049.620273374"/>
    <n v="40980518.785224542"/>
    <n v="9626000"/>
    <n v="2436077.595014381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Kontingenční tabulka8" cacheId="5"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Q81:R126" firstHeaderRow="1" firstDataRow="1" firstDataCol="1"/>
  <pivotFields count="8">
    <pivotField axis="axisRow" showAll="0">
      <items count="45">
        <item x="9"/>
        <item x="42"/>
        <item x="38"/>
        <item x="26"/>
        <item x="27"/>
        <item x="18"/>
        <item x="43"/>
        <item x="16"/>
        <item x="19"/>
        <item x="11"/>
        <item x="5"/>
        <item x="6"/>
        <item x="36"/>
        <item x="3"/>
        <item x="31"/>
        <item x="12"/>
        <item x="15"/>
        <item x="32"/>
        <item x="24"/>
        <item x="4"/>
        <item x="13"/>
        <item x="0"/>
        <item x="14"/>
        <item x="23"/>
        <item x="37"/>
        <item x="8"/>
        <item x="34"/>
        <item x="40"/>
        <item x="2"/>
        <item x="41"/>
        <item x="7"/>
        <item x="28"/>
        <item x="10"/>
        <item x="39"/>
        <item x="35"/>
        <item x="25"/>
        <item x="33"/>
        <item x="21"/>
        <item x="22"/>
        <item x="1"/>
        <item x="17"/>
        <item x="30"/>
        <item x="20"/>
        <item x="29"/>
        <item t="default"/>
      </items>
    </pivotField>
    <pivotField showAll="0"/>
    <pivotField showAll="0"/>
    <pivotField showAll="0"/>
    <pivotField numFmtId="3" showAll="0"/>
    <pivotField showAll="0"/>
    <pivotField showAll="0"/>
    <pivotField dataField="1" numFmtId="3" showAll="0"/>
  </pivotFields>
  <rowFields count="1">
    <field x="0"/>
  </rowFields>
  <rowItems count="4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t="grand">
      <x/>
    </i>
  </rowItems>
  <colItems count="1">
    <i/>
  </colItems>
  <dataFields count="1">
    <dataField name="Součet z PnaPr 2019"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Kontingenční tabulka4" cacheId="2"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R52:S77" firstHeaderRow="1" firstDataRow="1" firstDataCol="1"/>
  <pivotFields count="3">
    <pivotField axis="axisRow" showAll="0">
      <items count="25">
        <item x="0"/>
        <item x="1"/>
        <item x="2"/>
        <item x="3"/>
        <item x="4"/>
        <item x="5"/>
        <item x="6"/>
        <item x="7"/>
        <item x="8"/>
        <item x="9"/>
        <item x="10"/>
        <item x="11"/>
        <item x="12"/>
        <item x="13"/>
        <item x="14"/>
        <item x="15"/>
        <item x="16"/>
        <item x="17"/>
        <item x="18"/>
        <item x="19"/>
        <item x="20"/>
        <item x="21"/>
        <item x="22"/>
        <item x="23"/>
        <item t="default"/>
      </items>
    </pivotField>
    <pivotField showAll="0"/>
    <pivotField dataField="1" numFmtId="3" showAll="0"/>
  </pivotFields>
  <rowFields count="1">
    <field x="0"/>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Items count="1">
    <i/>
  </colItems>
  <dataFields count="1">
    <dataField name="Součet z VP 2019"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Kontingenční tabulka9" cacheId="6"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Q83:R129" firstHeaderRow="1" firstDataRow="1" firstDataCol="1"/>
  <pivotFields count="8">
    <pivotField axis="axisRow" showAll="0">
      <items count="46">
        <item x="9"/>
        <item x="42"/>
        <item x="38"/>
        <item x="26"/>
        <item x="27"/>
        <item x="18"/>
        <item x="43"/>
        <item x="16"/>
        <item x="19"/>
        <item x="11"/>
        <item x="5"/>
        <item x="6"/>
        <item x="36"/>
        <item x="3"/>
        <item x="31"/>
        <item x="12"/>
        <item x="15"/>
        <item x="32"/>
        <item x="24"/>
        <item x="4"/>
        <item x="13"/>
        <item x="0"/>
        <item x="14"/>
        <item x="23"/>
        <item x="37"/>
        <item x="8"/>
        <item x="34"/>
        <item x="40"/>
        <item x="2"/>
        <item x="41"/>
        <item x="7"/>
        <item x="28"/>
        <item x="10"/>
        <item x="39"/>
        <item x="35"/>
        <item x="25"/>
        <item x="33"/>
        <item x="21"/>
        <item x="22"/>
        <item x="1"/>
        <item x="17"/>
        <item x="30"/>
        <item x="20"/>
        <item x="29"/>
        <item x="44"/>
        <item t="default"/>
      </items>
    </pivotField>
    <pivotField showAll="0"/>
    <pivotField showAll="0"/>
    <pivotField showAll="0"/>
    <pivotField numFmtId="3" showAll="0"/>
    <pivotField showAll="0"/>
    <pivotField showAll="0"/>
    <pivotField dataField="1" showAll="0"/>
  </pivotFields>
  <rowFields count="1">
    <field x="0"/>
  </rowFields>
  <rowItems count="4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t="grand">
      <x/>
    </i>
  </rowItems>
  <colItems count="1">
    <i/>
  </colItems>
  <dataFields count="1">
    <dataField name="Součet z PnaPr 2020"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Kontingenční tabulka2" cacheId="1"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S54:T79" firstHeaderRow="1" firstDataRow="1" firstDataCol="1"/>
  <pivotFields count="3">
    <pivotField axis="axisRow" showAll="0">
      <items count="25">
        <item x="0"/>
        <item x="1"/>
        <item x="2"/>
        <item x="3"/>
        <item x="4"/>
        <item x="5"/>
        <item x="6"/>
        <item x="7"/>
        <item x="8"/>
        <item x="9"/>
        <item x="10"/>
        <item x="11"/>
        <item x="12"/>
        <item x="13"/>
        <item x="14"/>
        <item x="15"/>
        <item x="16"/>
        <item x="17"/>
        <item x="18"/>
        <item x="19"/>
        <item x="20"/>
        <item x="21"/>
        <item x="22"/>
        <item x="23"/>
        <item t="default"/>
      </items>
    </pivotField>
    <pivotField showAll="0"/>
    <pivotField dataField="1" numFmtId="3" showAll="0"/>
  </pivotFields>
  <rowFields count="1">
    <field x="0"/>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Items count="1">
    <i/>
  </colItems>
  <dataFields count="1">
    <dataField name="Součet z VP 2020"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Kontingenční tabulka2" cacheId="0"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N1:O52" firstHeaderRow="1" firstDataRow="1" firstDataCol="1"/>
  <pivotFields count="2">
    <pivotField axis="axisRow" showAll="0">
      <items count="51">
        <item x="3"/>
        <item x="19"/>
        <item x="1"/>
        <item x="23"/>
        <item x="24"/>
        <item x="17"/>
        <item x="44"/>
        <item x="4"/>
        <item x="6"/>
        <item x="46"/>
        <item x="28"/>
        <item x="7"/>
        <item x="10"/>
        <item x="20"/>
        <item x="27"/>
        <item x="47"/>
        <item x="29"/>
        <item x="8"/>
        <item x="38"/>
        <item x="33"/>
        <item x="15"/>
        <item x="13"/>
        <item x="14"/>
        <item x="2"/>
        <item x="39"/>
        <item x="12"/>
        <item x="11"/>
        <item x="43"/>
        <item x="45"/>
        <item x="35"/>
        <item x="25"/>
        <item x="34"/>
        <item x="32"/>
        <item x="36"/>
        <item x="37"/>
        <item x="49"/>
        <item x="22"/>
        <item x="48"/>
        <item x="41"/>
        <item x="9"/>
        <item x="0"/>
        <item x="30"/>
        <item x="26"/>
        <item x="18"/>
        <item x="16"/>
        <item x="5"/>
        <item x="42"/>
        <item x="21"/>
        <item x="31"/>
        <item x="40"/>
        <item t="default"/>
      </items>
    </pivotField>
    <pivotField dataField="1" numFmtId="3" showAll="0"/>
  </pivotFields>
  <rowFields count="1">
    <field x="0"/>
  </rowFields>
  <rowItems count="5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t="grand">
      <x/>
    </i>
  </rowItems>
  <colItems count="1">
    <i/>
  </colItems>
  <dataFields count="1">
    <dataField name="Součet z Platby 2019"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Kontingenční tabulka7" cacheId="4"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D73:E108" firstHeaderRow="1" firstDataRow="1" firstDataCol="1"/>
  <pivotFields count="2">
    <pivotField axis="axisRow" showAll="0">
      <items count="35">
        <item x="26"/>
        <item x="0"/>
        <item x="1"/>
        <item x="27"/>
        <item x="3"/>
        <item x="28"/>
        <item x="4"/>
        <item x="6"/>
        <item x="29"/>
        <item x="7"/>
        <item x="9"/>
        <item x="10"/>
        <item x="11"/>
        <item x="12"/>
        <item x="5"/>
        <item x="13"/>
        <item x="14"/>
        <item x="15"/>
        <item x="30"/>
        <item x="16"/>
        <item x="17"/>
        <item x="31"/>
        <item x="2"/>
        <item x="18"/>
        <item x="19"/>
        <item x="20"/>
        <item x="32"/>
        <item x="21"/>
        <item x="33"/>
        <item x="22"/>
        <item x="23"/>
        <item x="8"/>
        <item x="24"/>
        <item x="25"/>
        <item t="default"/>
      </items>
    </pivotField>
    <pivotField dataField="1" showAll="0"/>
  </pivotFields>
  <rowFields count="1">
    <field x="0"/>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Items count="1">
    <i/>
  </colItems>
  <dataFields count="1">
    <dataField name="Součet z Součet z IP2020" fld="1"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Kontingenční tabulka6" cacheId="3"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D18:E28" firstHeaderRow="1" firstDataRow="1" firstDataCol="1"/>
  <pivotFields count="2">
    <pivotField axis="axisRow" showAll="0">
      <items count="10">
        <item x="8"/>
        <item x="0"/>
        <item x="1"/>
        <item x="3"/>
        <item x="4"/>
        <item x="2"/>
        <item x="7"/>
        <item x="6"/>
        <item x="5"/>
        <item t="default"/>
      </items>
    </pivotField>
    <pivotField dataField="1" showAll="0"/>
  </pivotFields>
  <rowFields count="1">
    <field x="0"/>
  </rowFields>
  <rowItems count="10">
    <i>
      <x/>
    </i>
    <i>
      <x v="1"/>
    </i>
    <i>
      <x v="2"/>
    </i>
    <i>
      <x v="3"/>
    </i>
    <i>
      <x v="4"/>
    </i>
    <i>
      <x v="5"/>
    </i>
    <i>
      <x v="6"/>
    </i>
    <i>
      <x v="7"/>
    </i>
    <i>
      <x v="8"/>
    </i>
    <i t="grand">
      <x/>
    </i>
  </rowItems>
  <colItems count="1">
    <i/>
  </colItems>
  <dataFields count="1">
    <dataField name="Součet z Rok 2020"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ivotTable" Target="../pivotTables/pivotTable6.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7.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U277"/>
  <sheetViews>
    <sheetView workbookViewId="0">
      <pane xSplit="6" ySplit="7" topLeftCell="G40" activePane="bottomRight" state="frozen"/>
      <selection pane="topRight" activeCell="G1" sqref="G1"/>
      <selection pane="bottomLeft" activeCell="A7" sqref="A7"/>
      <selection pane="bottomRight" activeCell="F44" sqref="F44"/>
    </sheetView>
  </sheetViews>
  <sheetFormatPr defaultRowHeight="15" x14ac:dyDescent="0.25"/>
  <cols>
    <col min="10" max="10" width="11.7109375" customWidth="1"/>
    <col min="12" max="12" width="5.7109375" customWidth="1"/>
    <col min="476" max="476" width="13.28515625" customWidth="1"/>
    <col min="500" max="500" width="9.28515625" style="313"/>
    <col min="501" max="508" width="11" customWidth="1"/>
    <col min="530" max="536" width="10.7109375" customWidth="1"/>
    <col min="558" max="558" width="9.7109375" bestFit="1" customWidth="1"/>
    <col min="559" max="559" width="13.7109375" customWidth="1"/>
    <col min="560" max="563" width="11.140625" customWidth="1"/>
    <col min="588" max="593" width="8.85546875" style="313"/>
    <col min="594" max="594" width="12.28515625" style="313" customWidth="1"/>
    <col min="595" max="597" width="8.85546875" style="313"/>
    <col min="598" max="598" width="12.7109375" style="313" customWidth="1"/>
    <col min="599" max="599" width="14.7109375" style="338" customWidth="1"/>
    <col min="600" max="601" width="13.28515625" style="338" customWidth="1"/>
    <col min="602" max="610" width="8.85546875" style="313"/>
    <col min="611" max="611" width="14.85546875" style="313" customWidth="1"/>
    <col min="612" max="619" width="8.85546875" style="313"/>
  </cols>
  <sheetData>
    <row r="1" spans="1:619" s="313" customFormat="1" ht="57.6" customHeight="1" x14ac:dyDescent="0.25">
      <c r="F1" s="203">
        <f>E1+1</f>
        <v>1</v>
      </c>
      <c r="G1" s="203">
        <f t="shared" ref="G1:BR1" si="0">F1+1</f>
        <v>2</v>
      </c>
      <c r="H1" s="203">
        <f t="shared" si="0"/>
        <v>3</v>
      </c>
      <c r="I1" s="203">
        <f t="shared" si="0"/>
        <v>4</v>
      </c>
      <c r="J1" s="203">
        <f t="shared" si="0"/>
        <v>5</v>
      </c>
      <c r="K1" s="203">
        <f t="shared" si="0"/>
        <v>6</v>
      </c>
      <c r="L1" s="203">
        <f t="shared" si="0"/>
        <v>7</v>
      </c>
      <c r="M1" s="203">
        <f t="shared" si="0"/>
        <v>8</v>
      </c>
      <c r="N1" s="203">
        <f t="shared" si="0"/>
        <v>9</v>
      </c>
      <c r="O1" s="203">
        <f t="shared" si="0"/>
        <v>10</v>
      </c>
      <c r="P1" s="203">
        <f t="shared" si="0"/>
        <v>11</v>
      </c>
      <c r="Q1" s="203">
        <f t="shared" si="0"/>
        <v>12</v>
      </c>
      <c r="R1" s="203">
        <f t="shared" si="0"/>
        <v>13</v>
      </c>
      <c r="S1" s="203">
        <f t="shared" si="0"/>
        <v>14</v>
      </c>
      <c r="T1" s="203">
        <f t="shared" si="0"/>
        <v>15</v>
      </c>
      <c r="U1" s="203">
        <f t="shared" si="0"/>
        <v>16</v>
      </c>
      <c r="V1" s="203">
        <f t="shared" si="0"/>
        <v>17</v>
      </c>
      <c r="W1" s="203">
        <f t="shared" si="0"/>
        <v>18</v>
      </c>
      <c r="X1" s="203">
        <f t="shared" si="0"/>
        <v>19</v>
      </c>
      <c r="Y1" s="203">
        <f t="shared" si="0"/>
        <v>20</v>
      </c>
      <c r="Z1" s="203">
        <f t="shared" si="0"/>
        <v>21</v>
      </c>
      <c r="AA1" s="203">
        <f t="shared" si="0"/>
        <v>22</v>
      </c>
      <c r="AB1" s="203">
        <f t="shared" si="0"/>
        <v>23</v>
      </c>
      <c r="AC1" s="203">
        <f t="shared" si="0"/>
        <v>24</v>
      </c>
      <c r="AD1" s="203">
        <f t="shared" si="0"/>
        <v>25</v>
      </c>
      <c r="AE1" s="203">
        <f t="shared" si="0"/>
        <v>26</v>
      </c>
      <c r="AF1" s="203">
        <f t="shared" si="0"/>
        <v>27</v>
      </c>
      <c r="AG1" s="203">
        <f t="shared" si="0"/>
        <v>28</v>
      </c>
      <c r="AH1" s="203">
        <f t="shared" si="0"/>
        <v>29</v>
      </c>
      <c r="AI1" s="203">
        <f t="shared" si="0"/>
        <v>30</v>
      </c>
      <c r="AJ1" s="203">
        <f t="shared" si="0"/>
        <v>31</v>
      </c>
      <c r="AK1" s="203">
        <f t="shared" si="0"/>
        <v>32</v>
      </c>
      <c r="AL1" s="203">
        <f t="shared" si="0"/>
        <v>33</v>
      </c>
      <c r="AM1" s="203">
        <f t="shared" si="0"/>
        <v>34</v>
      </c>
      <c r="AN1" s="203">
        <f t="shared" si="0"/>
        <v>35</v>
      </c>
      <c r="AO1" s="203">
        <f t="shared" si="0"/>
        <v>36</v>
      </c>
      <c r="AP1" s="203">
        <f t="shared" si="0"/>
        <v>37</v>
      </c>
      <c r="AQ1" s="203">
        <f t="shared" si="0"/>
        <v>38</v>
      </c>
      <c r="AR1" s="203">
        <f t="shared" si="0"/>
        <v>39</v>
      </c>
      <c r="AS1" s="203">
        <f t="shared" si="0"/>
        <v>40</v>
      </c>
      <c r="AT1" s="203">
        <f t="shared" si="0"/>
        <v>41</v>
      </c>
      <c r="AU1" s="203">
        <f t="shared" si="0"/>
        <v>42</v>
      </c>
      <c r="AV1" s="203">
        <f t="shared" si="0"/>
        <v>43</v>
      </c>
      <c r="AW1" s="203">
        <f t="shared" si="0"/>
        <v>44</v>
      </c>
      <c r="AX1" s="203">
        <f t="shared" si="0"/>
        <v>45</v>
      </c>
      <c r="AY1" s="203">
        <f t="shared" si="0"/>
        <v>46</v>
      </c>
      <c r="AZ1" s="203">
        <f t="shared" si="0"/>
        <v>47</v>
      </c>
      <c r="BA1" s="203">
        <f t="shared" si="0"/>
        <v>48</v>
      </c>
      <c r="BB1" s="203">
        <f t="shared" si="0"/>
        <v>49</v>
      </c>
      <c r="BC1" s="203">
        <f t="shared" si="0"/>
        <v>50</v>
      </c>
      <c r="BD1" s="203">
        <f t="shared" si="0"/>
        <v>51</v>
      </c>
      <c r="BE1" s="203">
        <f t="shared" si="0"/>
        <v>52</v>
      </c>
      <c r="BF1" s="203">
        <f t="shared" si="0"/>
        <v>53</v>
      </c>
      <c r="BG1" s="203">
        <f t="shared" si="0"/>
        <v>54</v>
      </c>
      <c r="BH1" s="203">
        <f t="shared" si="0"/>
        <v>55</v>
      </c>
      <c r="BI1" s="203">
        <f t="shared" si="0"/>
        <v>56</v>
      </c>
      <c r="BJ1" s="203">
        <f t="shared" si="0"/>
        <v>57</v>
      </c>
      <c r="BK1" s="203">
        <f t="shared" si="0"/>
        <v>58</v>
      </c>
      <c r="BL1" s="203">
        <f t="shared" si="0"/>
        <v>59</v>
      </c>
      <c r="BM1" s="203">
        <f t="shared" si="0"/>
        <v>60</v>
      </c>
      <c r="BN1" s="203">
        <f t="shared" si="0"/>
        <v>61</v>
      </c>
      <c r="BO1" s="203">
        <f t="shared" si="0"/>
        <v>62</v>
      </c>
      <c r="BP1" s="203">
        <f t="shared" si="0"/>
        <v>63</v>
      </c>
      <c r="BQ1" s="203">
        <f t="shared" si="0"/>
        <v>64</v>
      </c>
      <c r="BR1" s="203">
        <f t="shared" si="0"/>
        <v>65</v>
      </c>
      <c r="BS1" s="203">
        <f t="shared" ref="BS1:ED1" si="1">BR1+1</f>
        <v>66</v>
      </c>
      <c r="BT1" s="203">
        <f t="shared" si="1"/>
        <v>67</v>
      </c>
      <c r="BU1" s="203">
        <f t="shared" si="1"/>
        <v>68</v>
      </c>
      <c r="BV1" s="203">
        <f t="shared" si="1"/>
        <v>69</v>
      </c>
      <c r="BW1" s="203">
        <f t="shared" si="1"/>
        <v>70</v>
      </c>
      <c r="BX1" s="203">
        <f t="shared" si="1"/>
        <v>71</v>
      </c>
      <c r="BY1" s="203">
        <f t="shared" si="1"/>
        <v>72</v>
      </c>
      <c r="BZ1" s="203">
        <f t="shared" si="1"/>
        <v>73</v>
      </c>
      <c r="CA1" s="203">
        <f t="shared" si="1"/>
        <v>74</v>
      </c>
      <c r="CB1" s="203">
        <f t="shared" si="1"/>
        <v>75</v>
      </c>
      <c r="CC1" s="203">
        <f t="shared" si="1"/>
        <v>76</v>
      </c>
      <c r="CD1" s="203">
        <f t="shared" si="1"/>
        <v>77</v>
      </c>
      <c r="CE1" s="203">
        <f t="shared" si="1"/>
        <v>78</v>
      </c>
      <c r="CF1" s="203">
        <f t="shared" si="1"/>
        <v>79</v>
      </c>
      <c r="CG1" s="203">
        <f t="shared" si="1"/>
        <v>80</v>
      </c>
      <c r="CH1" s="203">
        <f t="shared" si="1"/>
        <v>81</v>
      </c>
      <c r="CI1" s="203">
        <f t="shared" si="1"/>
        <v>82</v>
      </c>
      <c r="CJ1" s="203">
        <f t="shared" si="1"/>
        <v>83</v>
      </c>
      <c r="CK1" s="203">
        <f t="shared" si="1"/>
        <v>84</v>
      </c>
      <c r="CL1" s="203">
        <f t="shared" si="1"/>
        <v>85</v>
      </c>
      <c r="CM1" s="203">
        <f t="shared" si="1"/>
        <v>86</v>
      </c>
      <c r="CN1" s="203">
        <f t="shared" si="1"/>
        <v>87</v>
      </c>
      <c r="CO1" s="203">
        <f t="shared" si="1"/>
        <v>88</v>
      </c>
      <c r="CP1" s="203">
        <f t="shared" si="1"/>
        <v>89</v>
      </c>
      <c r="CQ1" s="203">
        <f t="shared" si="1"/>
        <v>90</v>
      </c>
      <c r="CR1" s="203">
        <f t="shared" si="1"/>
        <v>91</v>
      </c>
      <c r="CS1" s="203">
        <f t="shared" si="1"/>
        <v>92</v>
      </c>
      <c r="CT1" s="203">
        <f t="shared" si="1"/>
        <v>93</v>
      </c>
      <c r="CU1" s="203">
        <f t="shared" si="1"/>
        <v>94</v>
      </c>
      <c r="CV1" s="203">
        <f t="shared" si="1"/>
        <v>95</v>
      </c>
      <c r="CW1" s="203">
        <f t="shared" si="1"/>
        <v>96</v>
      </c>
      <c r="CX1" s="203">
        <f t="shared" si="1"/>
        <v>97</v>
      </c>
      <c r="CY1" s="203">
        <f t="shared" si="1"/>
        <v>98</v>
      </c>
      <c r="CZ1" s="203">
        <f t="shared" si="1"/>
        <v>99</v>
      </c>
      <c r="DA1" s="203">
        <f t="shared" si="1"/>
        <v>100</v>
      </c>
      <c r="DB1" s="203">
        <f t="shared" si="1"/>
        <v>101</v>
      </c>
      <c r="DC1" s="203">
        <f t="shared" si="1"/>
        <v>102</v>
      </c>
      <c r="DD1" s="203">
        <f t="shared" si="1"/>
        <v>103</v>
      </c>
      <c r="DE1" s="203">
        <f t="shared" si="1"/>
        <v>104</v>
      </c>
      <c r="DF1" s="203">
        <f t="shared" si="1"/>
        <v>105</v>
      </c>
      <c r="DG1" s="203">
        <f t="shared" si="1"/>
        <v>106</v>
      </c>
      <c r="DH1" s="203">
        <f t="shared" si="1"/>
        <v>107</v>
      </c>
      <c r="DI1" s="203">
        <f t="shared" si="1"/>
        <v>108</v>
      </c>
      <c r="DJ1" s="203">
        <f t="shared" si="1"/>
        <v>109</v>
      </c>
      <c r="DK1" s="203">
        <f t="shared" si="1"/>
        <v>110</v>
      </c>
      <c r="DL1" s="203">
        <f t="shared" si="1"/>
        <v>111</v>
      </c>
      <c r="DM1" s="203">
        <f t="shared" si="1"/>
        <v>112</v>
      </c>
      <c r="DN1" s="203">
        <f t="shared" si="1"/>
        <v>113</v>
      </c>
      <c r="DO1" s="203">
        <f t="shared" si="1"/>
        <v>114</v>
      </c>
      <c r="DP1" s="203">
        <f t="shared" si="1"/>
        <v>115</v>
      </c>
      <c r="DQ1" s="203">
        <f t="shared" si="1"/>
        <v>116</v>
      </c>
      <c r="DR1" s="203">
        <f t="shared" si="1"/>
        <v>117</v>
      </c>
      <c r="DS1" s="203">
        <f t="shared" si="1"/>
        <v>118</v>
      </c>
      <c r="DT1" s="203">
        <f t="shared" si="1"/>
        <v>119</v>
      </c>
      <c r="DU1" s="203">
        <f t="shared" si="1"/>
        <v>120</v>
      </c>
      <c r="DV1" s="203">
        <f t="shared" si="1"/>
        <v>121</v>
      </c>
      <c r="DW1" s="203">
        <f t="shared" si="1"/>
        <v>122</v>
      </c>
      <c r="DX1" s="203">
        <f t="shared" si="1"/>
        <v>123</v>
      </c>
      <c r="DY1" s="203">
        <f t="shared" si="1"/>
        <v>124</v>
      </c>
      <c r="DZ1" s="203">
        <f t="shared" si="1"/>
        <v>125</v>
      </c>
      <c r="EA1" s="203">
        <f t="shared" si="1"/>
        <v>126</v>
      </c>
      <c r="EB1" s="203">
        <f t="shared" si="1"/>
        <v>127</v>
      </c>
      <c r="EC1" s="203">
        <f t="shared" si="1"/>
        <v>128</v>
      </c>
      <c r="ED1" s="203">
        <f t="shared" si="1"/>
        <v>129</v>
      </c>
      <c r="EE1" s="203">
        <f t="shared" ref="EE1:GP1" si="2">ED1+1</f>
        <v>130</v>
      </c>
      <c r="EF1" s="203">
        <f t="shared" si="2"/>
        <v>131</v>
      </c>
      <c r="EG1" s="203">
        <f t="shared" si="2"/>
        <v>132</v>
      </c>
      <c r="EH1" s="203">
        <f t="shared" si="2"/>
        <v>133</v>
      </c>
      <c r="EI1" s="203">
        <f t="shared" si="2"/>
        <v>134</v>
      </c>
      <c r="EJ1" s="203">
        <f t="shared" si="2"/>
        <v>135</v>
      </c>
      <c r="EK1" s="203">
        <f t="shared" si="2"/>
        <v>136</v>
      </c>
      <c r="EL1" s="203">
        <f t="shared" si="2"/>
        <v>137</v>
      </c>
      <c r="EM1" s="203">
        <f t="shared" si="2"/>
        <v>138</v>
      </c>
      <c r="EN1" s="203">
        <f t="shared" si="2"/>
        <v>139</v>
      </c>
      <c r="EO1" s="203">
        <f t="shared" si="2"/>
        <v>140</v>
      </c>
      <c r="EP1" s="203">
        <f t="shared" si="2"/>
        <v>141</v>
      </c>
      <c r="EQ1" s="203">
        <f t="shared" si="2"/>
        <v>142</v>
      </c>
      <c r="ER1" s="203">
        <f t="shared" si="2"/>
        <v>143</v>
      </c>
      <c r="ES1" s="203">
        <f t="shared" si="2"/>
        <v>144</v>
      </c>
      <c r="ET1" s="203">
        <f t="shared" si="2"/>
        <v>145</v>
      </c>
      <c r="EU1" s="203">
        <f t="shared" si="2"/>
        <v>146</v>
      </c>
      <c r="EV1" s="203">
        <f t="shared" si="2"/>
        <v>147</v>
      </c>
      <c r="EW1" s="203">
        <f t="shared" si="2"/>
        <v>148</v>
      </c>
      <c r="EX1" s="203">
        <f t="shared" si="2"/>
        <v>149</v>
      </c>
      <c r="EY1" s="203">
        <f t="shared" si="2"/>
        <v>150</v>
      </c>
      <c r="EZ1" s="203">
        <f t="shared" si="2"/>
        <v>151</v>
      </c>
      <c r="FA1" s="203">
        <f t="shared" si="2"/>
        <v>152</v>
      </c>
      <c r="FB1" s="203">
        <f t="shared" si="2"/>
        <v>153</v>
      </c>
      <c r="FC1" s="203">
        <f t="shared" si="2"/>
        <v>154</v>
      </c>
      <c r="FD1" s="203">
        <f t="shared" si="2"/>
        <v>155</v>
      </c>
      <c r="FE1" s="203">
        <f t="shared" si="2"/>
        <v>156</v>
      </c>
      <c r="FF1" s="203">
        <f t="shared" si="2"/>
        <v>157</v>
      </c>
      <c r="FG1" s="203">
        <f t="shared" si="2"/>
        <v>158</v>
      </c>
      <c r="FH1" s="203">
        <f t="shared" si="2"/>
        <v>159</v>
      </c>
      <c r="FI1" s="203">
        <f t="shared" si="2"/>
        <v>160</v>
      </c>
      <c r="FJ1" s="203">
        <f t="shared" si="2"/>
        <v>161</v>
      </c>
      <c r="FK1" s="203">
        <f t="shared" si="2"/>
        <v>162</v>
      </c>
      <c r="FL1" s="203">
        <f t="shared" si="2"/>
        <v>163</v>
      </c>
      <c r="FM1" s="203">
        <f t="shared" si="2"/>
        <v>164</v>
      </c>
      <c r="FN1" s="203">
        <f t="shared" si="2"/>
        <v>165</v>
      </c>
      <c r="FO1" s="203">
        <f t="shared" si="2"/>
        <v>166</v>
      </c>
      <c r="FP1" s="203">
        <f t="shared" si="2"/>
        <v>167</v>
      </c>
      <c r="FQ1" s="203">
        <f t="shared" si="2"/>
        <v>168</v>
      </c>
      <c r="FR1" s="203">
        <f t="shared" si="2"/>
        <v>169</v>
      </c>
      <c r="FS1" s="203">
        <f t="shared" si="2"/>
        <v>170</v>
      </c>
      <c r="FT1" s="203">
        <f t="shared" si="2"/>
        <v>171</v>
      </c>
      <c r="FU1" s="203">
        <f t="shared" si="2"/>
        <v>172</v>
      </c>
      <c r="FV1" s="203">
        <f t="shared" si="2"/>
        <v>173</v>
      </c>
      <c r="FW1" s="203">
        <f t="shared" si="2"/>
        <v>174</v>
      </c>
      <c r="FX1" s="203">
        <f t="shared" si="2"/>
        <v>175</v>
      </c>
      <c r="FY1" s="203">
        <f t="shared" si="2"/>
        <v>176</v>
      </c>
      <c r="FZ1" s="203">
        <f t="shared" si="2"/>
        <v>177</v>
      </c>
      <c r="GA1" s="203">
        <f t="shared" si="2"/>
        <v>178</v>
      </c>
      <c r="GB1" s="203">
        <f t="shared" si="2"/>
        <v>179</v>
      </c>
      <c r="GC1" s="203">
        <f t="shared" si="2"/>
        <v>180</v>
      </c>
      <c r="GD1" s="203">
        <f t="shared" si="2"/>
        <v>181</v>
      </c>
      <c r="GE1" s="203">
        <f t="shared" si="2"/>
        <v>182</v>
      </c>
      <c r="GF1" s="203">
        <f t="shared" si="2"/>
        <v>183</v>
      </c>
      <c r="GG1" s="203">
        <f t="shared" si="2"/>
        <v>184</v>
      </c>
      <c r="GH1" s="203">
        <f t="shared" si="2"/>
        <v>185</v>
      </c>
      <c r="GI1" s="203">
        <f t="shared" si="2"/>
        <v>186</v>
      </c>
      <c r="GJ1" s="203">
        <f t="shared" si="2"/>
        <v>187</v>
      </c>
      <c r="GK1" s="203">
        <f t="shared" si="2"/>
        <v>188</v>
      </c>
      <c r="GL1" s="203">
        <f t="shared" si="2"/>
        <v>189</v>
      </c>
      <c r="GM1" s="203">
        <f t="shared" si="2"/>
        <v>190</v>
      </c>
      <c r="GN1" s="203">
        <f t="shared" si="2"/>
        <v>191</v>
      </c>
      <c r="GO1" s="203">
        <f t="shared" si="2"/>
        <v>192</v>
      </c>
      <c r="GP1" s="203">
        <f t="shared" si="2"/>
        <v>193</v>
      </c>
      <c r="GQ1" s="203">
        <f t="shared" ref="GQ1:JB1" si="3">GP1+1</f>
        <v>194</v>
      </c>
      <c r="GR1" s="203">
        <f t="shared" si="3"/>
        <v>195</v>
      </c>
      <c r="GS1" s="203">
        <f t="shared" si="3"/>
        <v>196</v>
      </c>
      <c r="GT1" s="203">
        <f t="shared" si="3"/>
        <v>197</v>
      </c>
      <c r="GU1" s="203">
        <f t="shared" si="3"/>
        <v>198</v>
      </c>
      <c r="GV1" s="203">
        <f t="shared" si="3"/>
        <v>199</v>
      </c>
      <c r="GW1" s="203">
        <f t="shared" si="3"/>
        <v>200</v>
      </c>
      <c r="GX1" s="203">
        <f t="shared" si="3"/>
        <v>201</v>
      </c>
      <c r="GY1" s="203">
        <f t="shared" si="3"/>
        <v>202</v>
      </c>
      <c r="GZ1" s="203">
        <f t="shared" si="3"/>
        <v>203</v>
      </c>
      <c r="HA1" s="203">
        <f t="shared" si="3"/>
        <v>204</v>
      </c>
      <c r="HB1" s="203">
        <f t="shared" si="3"/>
        <v>205</v>
      </c>
      <c r="HC1" s="203">
        <f t="shared" si="3"/>
        <v>206</v>
      </c>
      <c r="HD1" s="203">
        <f t="shared" si="3"/>
        <v>207</v>
      </c>
      <c r="HE1" s="203">
        <f t="shared" si="3"/>
        <v>208</v>
      </c>
      <c r="HF1" s="203">
        <f t="shared" si="3"/>
        <v>209</v>
      </c>
      <c r="HG1" s="203">
        <f t="shared" si="3"/>
        <v>210</v>
      </c>
      <c r="HH1" s="203">
        <f t="shared" si="3"/>
        <v>211</v>
      </c>
      <c r="HI1" s="203">
        <f t="shared" si="3"/>
        <v>212</v>
      </c>
      <c r="HJ1" s="203">
        <f t="shared" si="3"/>
        <v>213</v>
      </c>
      <c r="HK1" s="203">
        <f t="shared" si="3"/>
        <v>214</v>
      </c>
      <c r="HL1" s="203">
        <f t="shared" si="3"/>
        <v>215</v>
      </c>
      <c r="HM1" s="203">
        <f t="shared" si="3"/>
        <v>216</v>
      </c>
      <c r="HN1" s="203">
        <f t="shared" si="3"/>
        <v>217</v>
      </c>
      <c r="HO1" s="203">
        <f t="shared" si="3"/>
        <v>218</v>
      </c>
      <c r="HP1" s="203">
        <f t="shared" si="3"/>
        <v>219</v>
      </c>
      <c r="HQ1" s="203">
        <f t="shared" si="3"/>
        <v>220</v>
      </c>
      <c r="HR1" s="203">
        <f t="shared" si="3"/>
        <v>221</v>
      </c>
      <c r="HS1" s="203">
        <f t="shared" si="3"/>
        <v>222</v>
      </c>
      <c r="HT1" s="203">
        <f t="shared" si="3"/>
        <v>223</v>
      </c>
      <c r="HU1" s="203">
        <f t="shared" si="3"/>
        <v>224</v>
      </c>
      <c r="HV1" s="203">
        <f t="shared" si="3"/>
        <v>225</v>
      </c>
      <c r="HW1" s="203">
        <f t="shared" si="3"/>
        <v>226</v>
      </c>
      <c r="HX1" s="203">
        <f t="shared" si="3"/>
        <v>227</v>
      </c>
      <c r="HY1" s="203">
        <f t="shared" si="3"/>
        <v>228</v>
      </c>
      <c r="HZ1" s="203">
        <f t="shared" si="3"/>
        <v>229</v>
      </c>
      <c r="IA1" s="203">
        <f t="shared" si="3"/>
        <v>230</v>
      </c>
      <c r="IB1" s="203">
        <f t="shared" si="3"/>
        <v>231</v>
      </c>
      <c r="IC1" s="203">
        <f t="shared" si="3"/>
        <v>232</v>
      </c>
      <c r="ID1" s="203">
        <f t="shared" si="3"/>
        <v>233</v>
      </c>
      <c r="IE1" s="203">
        <f t="shared" si="3"/>
        <v>234</v>
      </c>
      <c r="IF1" s="203">
        <f t="shared" si="3"/>
        <v>235</v>
      </c>
      <c r="IG1" s="203">
        <f t="shared" si="3"/>
        <v>236</v>
      </c>
      <c r="IH1" s="203">
        <f t="shared" si="3"/>
        <v>237</v>
      </c>
      <c r="II1" s="203">
        <f t="shared" si="3"/>
        <v>238</v>
      </c>
      <c r="IJ1" s="203">
        <f t="shared" si="3"/>
        <v>239</v>
      </c>
      <c r="IK1" s="203">
        <f t="shared" si="3"/>
        <v>240</v>
      </c>
      <c r="IL1" s="203">
        <f t="shared" si="3"/>
        <v>241</v>
      </c>
      <c r="IM1" s="203">
        <f t="shared" si="3"/>
        <v>242</v>
      </c>
      <c r="IN1" s="203">
        <f t="shared" si="3"/>
        <v>243</v>
      </c>
      <c r="IO1" s="203">
        <f t="shared" si="3"/>
        <v>244</v>
      </c>
      <c r="IP1" s="203">
        <f t="shared" si="3"/>
        <v>245</v>
      </c>
      <c r="IQ1" s="203">
        <f t="shared" si="3"/>
        <v>246</v>
      </c>
      <c r="IR1" s="203">
        <f t="shared" si="3"/>
        <v>247</v>
      </c>
      <c r="IS1" s="203">
        <f t="shared" si="3"/>
        <v>248</v>
      </c>
      <c r="IT1" s="203">
        <f t="shared" si="3"/>
        <v>249</v>
      </c>
      <c r="IU1" s="203">
        <f t="shared" si="3"/>
        <v>250</v>
      </c>
      <c r="IV1" s="203">
        <f t="shared" si="3"/>
        <v>251</v>
      </c>
      <c r="IW1" s="203">
        <f t="shared" si="3"/>
        <v>252</v>
      </c>
      <c r="IX1" s="203">
        <f t="shared" si="3"/>
        <v>253</v>
      </c>
      <c r="IY1" s="203">
        <f t="shared" si="3"/>
        <v>254</v>
      </c>
      <c r="IZ1" s="203">
        <f t="shared" si="3"/>
        <v>255</v>
      </c>
      <c r="JA1" s="203">
        <f t="shared" si="3"/>
        <v>256</v>
      </c>
      <c r="JB1" s="203">
        <f t="shared" si="3"/>
        <v>257</v>
      </c>
      <c r="JC1" s="203">
        <f t="shared" ref="JC1:LN1" si="4">JB1+1</f>
        <v>258</v>
      </c>
      <c r="JD1" s="203">
        <f t="shared" si="4"/>
        <v>259</v>
      </c>
      <c r="JE1" s="203">
        <f t="shared" si="4"/>
        <v>260</v>
      </c>
      <c r="JF1" s="203">
        <f t="shared" si="4"/>
        <v>261</v>
      </c>
      <c r="JG1" s="203">
        <f t="shared" si="4"/>
        <v>262</v>
      </c>
      <c r="JH1" s="203">
        <f t="shared" si="4"/>
        <v>263</v>
      </c>
      <c r="JI1" s="203">
        <f t="shared" si="4"/>
        <v>264</v>
      </c>
      <c r="JJ1" s="203">
        <f t="shared" si="4"/>
        <v>265</v>
      </c>
      <c r="JK1" s="203">
        <f t="shared" si="4"/>
        <v>266</v>
      </c>
      <c r="JL1" s="203">
        <f t="shared" si="4"/>
        <v>267</v>
      </c>
      <c r="JM1" s="203">
        <f t="shared" si="4"/>
        <v>268</v>
      </c>
      <c r="JN1" s="203">
        <f t="shared" si="4"/>
        <v>269</v>
      </c>
      <c r="JO1" s="203">
        <f t="shared" si="4"/>
        <v>270</v>
      </c>
      <c r="JP1" s="203">
        <f t="shared" si="4"/>
        <v>271</v>
      </c>
      <c r="JQ1" s="203">
        <f t="shared" si="4"/>
        <v>272</v>
      </c>
      <c r="JR1" s="203">
        <f t="shared" si="4"/>
        <v>273</v>
      </c>
      <c r="JS1" s="203">
        <f t="shared" si="4"/>
        <v>274</v>
      </c>
      <c r="JT1" s="203">
        <f t="shared" si="4"/>
        <v>275</v>
      </c>
      <c r="JU1" s="203">
        <f t="shared" si="4"/>
        <v>276</v>
      </c>
      <c r="JV1" s="203">
        <f t="shared" si="4"/>
        <v>277</v>
      </c>
      <c r="JW1" s="203">
        <f t="shared" si="4"/>
        <v>278</v>
      </c>
      <c r="JX1" s="203">
        <f t="shared" si="4"/>
        <v>279</v>
      </c>
      <c r="JY1" s="203">
        <f t="shared" si="4"/>
        <v>280</v>
      </c>
      <c r="JZ1" s="203">
        <f t="shared" si="4"/>
        <v>281</v>
      </c>
      <c r="KA1" s="203">
        <f t="shared" si="4"/>
        <v>282</v>
      </c>
      <c r="KB1" s="203">
        <f t="shared" si="4"/>
        <v>283</v>
      </c>
      <c r="KC1" s="203">
        <f t="shared" si="4"/>
        <v>284</v>
      </c>
      <c r="KD1" s="203">
        <f t="shared" si="4"/>
        <v>285</v>
      </c>
      <c r="KE1" s="203">
        <f t="shared" si="4"/>
        <v>286</v>
      </c>
      <c r="KF1" s="203">
        <f t="shared" si="4"/>
        <v>287</v>
      </c>
      <c r="KG1" s="203">
        <f t="shared" si="4"/>
        <v>288</v>
      </c>
      <c r="KH1" s="203">
        <f t="shared" si="4"/>
        <v>289</v>
      </c>
      <c r="KI1" s="203">
        <f t="shared" si="4"/>
        <v>290</v>
      </c>
      <c r="KJ1" s="203">
        <f t="shared" si="4"/>
        <v>291</v>
      </c>
      <c r="KK1" s="203">
        <f t="shared" si="4"/>
        <v>292</v>
      </c>
      <c r="KL1" s="203">
        <f t="shared" si="4"/>
        <v>293</v>
      </c>
      <c r="KM1" s="203">
        <f t="shared" si="4"/>
        <v>294</v>
      </c>
      <c r="KN1" s="203">
        <f t="shared" si="4"/>
        <v>295</v>
      </c>
      <c r="KO1" s="203">
        <f t="shared" si="4"/>
        <v>296</v>
      </c>
      <c r="KP1" s="203">
        <f t="shared" si="4"/>
        <v>297</v>
      </c>
      <c r="KQ1" s="203">
        <f t="shared" si="4"/>
        <v>298</v>
      </c>
      <c r="KR1" s="203">
        <f t="shared" si="4"/>
        <v>299</v>
      </c>
      <c r="KS1" s="203">
        <f t="shared" si="4"/>
        <v>300</v>
      </c>
      <c r="KT1" s="203">
        <f t="shared" si="4"/>
        <v>301</v>
      </c>
      <c r="KU1" s="203">
        <f t="shared" si="4"/>
        <v>302</v>
      </c>
      <c r="KV1" s="203">
        <f t="shared" si="4"/>
        <v>303</v>
      </c>
      <c r="KW1" s="203">
        <f t="shared" si="4"/>
        <v>304</v>
      </c>
      <c r="KX1" s="203">
        <f t="shared" si="4"/>
        <v>305</v>
      </c>
      <c r="KY1" s="203">
        <f t="shared" si="4"/>
        <v>306</v>
      </c>
      <c r="KZ1" s="203">
        <f t="shared" si="4"/>
        <v>307</v>
      </c>
      <c r="LA1" s="203">
        <f t="shared" si="4"/>
        <v>308</v>
      </c>
      <c r="LB1" s="203">
        <f t="shared" si="4"/>
        <v>309</v>
      </c>
      <c r="LC1" s="203">
        <f t="shared" si="4"/>
        <v>310</v>
      </c>
      <c r="LD1" s="203">
        <f t="shared" si="4"/>
        <v>311</v>
      </c>
      <c r="LE1" s="203">
        <f t="shared" si="4"/>
        <v>312</v>
      </c>
      <c r="LF1" s="203">
        <f t="shared" si="4"/>
        <v>313</v>
      </c>
      <c r="LG1" s="203">
        <f t="shared" si="4"/>
        <v>314</v>
      </c>
      <c r="LH1" s="203">
        <f t="shared" si="4"/>
        <v>315</v>
      </c>
      <c r="LI1" s="203">
        <f t="shared" si="4"/>
        <v>316</v>
      </c>
      <c r="LJ1" s="203">
        <f t="shared" si="4"/>
        <v>317</v>
      </c>
      <c r="LK1" s="203">
        <f t="shared" si="4"/>
        <v>318</v>
      </c>
      <c r="LL1" s="203">
        <f t="shared" si="4"/>
        <v>319</v>
      </c>
      <c r="LM1" s="203">
        <f t="shared" si="4"/>
        <v>320</v>
      </c>
      <c r="LN1" s="203">
        <f t="shared" si="4"/>
        <v>321</v>
      </c>
      <c r="LO1" s="203">
        <f t="shared" ref="LO1:NZ1" si="5">LN1+1</f>
        <v>322</v>
      </c>
      <c r="LP1" s="203">
        <f t="shared" si="5"/>
        <v>323</v>
      </c>
      <c r="LQ1" s="203">
        <f t="shared" si="5"/>
        <v>324</v>
      </c>
      <c r="LR1" s="203">
        <f t="shared" si="5"/>
        <v>325</v>
      </c>
      <c r="LS1" s="203">
        <f t="shared" si="5"/>
        <v>326</v>
      </c>
      <c r="LT1" s="203">
        <f t="shared" si="5"/>
        <v>327</v>
      </c>
      <c r="LU1" s="203">
        <f t="shared" si="5"/>
        <v>328</v>
      </c>
      <c r="LV1" s="203">
        <f t="shared" si="5"/>
        <v>329</v>
      </c>
      <c r="LW1" s="203">
        <f t="shared" si="5"/>
        <v>330</v>
      </c>
      <c r="LX1" s="203">
        <f t="shared" si="5"/>
        <v>331</v>
      </c>
      <c r="LY1" s="203">
        <f t="shared" si="5"/>
        <v>332</v>
      </c>
      <c r="LZ1" s="203">
        <f t="shared" si="5"/>
        <v>333</v>
      </c>
      <c r="MA1" s="203">
        <f t="shared" si="5"/>
        <v>334</v>
      </c>
      <c r="MB1" s="203">
        <f t="shared" si="5"/>
        <v>335</v>
      </c>
      <c r="MC1" s="203">
        <f t="shared" si="5"/>
        <v>336</v>
      </c>
      <c r="MD1" s="203">
        <f t="shared" si="5"/>
        <v>337</v>
      </c>
      <c r="ME1" s="203">
        <f t="shared" si="5"/>
        <v>338</v>
      </c>
      <c r="MF1" s="203">
        <f t="shared" si="5"/>
        <v>339</v>
      </c>
      <c r="MG1" s="203">
        <f t="shared" si="5"/>
        <v>340</v>
      </c>
      <c r="MH1" s="203">
        <f t="shared" si="5"/>
        <v>341</v>
      </c>
      <c r="MI1" s="203">
        <f t="shared" si="5"/>
        <v>342</v>
      </c>
      <c r="MJ1" s="203">
        <f t="shared" si="5"/>
        <v>343</v>
      </c>
      <c r="MK1" s="203">
        <f t="shared" si="5"/>
        <v>344</v>
      </c>
      <c r="ML1" s="203">
        <f t="shared" si="5"/>
        <v>345</v>
      </c>
      <c r="MM1" s="203">
        <f t="shared" si="5"/>
        <v>346</v>
      </c>
      <c r="MN1" s="203">
        <f t="shared" si="5"/>
        <v>347</v>
      </c>
      <c r="MO1" s="203">
        <f t="shared" si="5"/>
        <v>348</v>
      </c>
      <c r="MP1" s="203">
        <f t="shared" si="5"/>
        <v>349</v>
      </c>
      <c r="MQ1" s="203">
        <f t="shared" si="5"/>
        <v>350</v>
      </c>
      <c r="MR1" s="203">
        <f t="shared" si="5"/>
        <v>351</v>
      </c>
      <c r="MS1" s="203">
        <f t="shared" si="5"/>
        <v>352</v>
      </c>
      <c r="MT1" s="203">
        <f t="shared" si="5"/>
        <v>353</v>
      </c>
      <c r="MU1" s="203">
        <f t="shared" si="5"/>
        <v>354</v>
      </c>
      <c r="MV1" s="203">
        <f t="shared" si="5"/>
        <v>355</v>
      </c>
      <c r="MW1" s="203">
        <f t="shared" si="5"/>
        <v>356</v>
      </c>
      <c r="MX1" s="203">
        <f t="shared" si="5"/>
        <v>357</v>
      </c>
      <c r="MY1" s="203">
        <f t="shared" si="5"/>
        <v>358</v>
      </c>
      <c r="MZ1" s="203">
        <f t="shared" si="5"/>
        <v>359</v>
      </c>
      <c r="NA1" s="203">
        <f t="shared" si="5"/>
        <v>360</v>
      </c>
      <c r="NB1" s="203">
        <f t="shared" si="5"/>
        <v>361</v>
      </c>
      <c r="NC1" s="203">
        <f t="shared" si="5"/>
        <v>362</v>
      </c>
      <c r="ND1" s="203">
        <f t="shared" si="5"/>
        <v>363</v>
      </c>
      <c r="NE1" s="203">
        <f t="shared" si="5"/>
        <v>364</v>
      </c>
      <c r="NF1" s="203">
        <f t="shared" si="5"/>
        <v>365</v>
      </c>
      <c r="NG1" s="203">
        <f t="shared" si="5"/>
        <v>366</v>
      </c>
      <c r="NH1" s="203">
        <f t="shared" si="5"/>
        <v>367</v>
      </c>
      <c r="NI1" s="203">
        <f t="shared" si="5"/>
        <v>368</v>
      </c>
      <c r="NJ1" s="203">
        <f t="shared" si="5"/>
        <v>369</v>
      </c>
      <c r="NK1" s="203">
        <f t="shared" si="5"/>
        <v>370</v>
      </c>
      <c r="NL1" s="203">
        <f t="shared" si="5"/>
        <v>371</v>
      </c>
      <c r="NM1" s="203">
        <f t="shared" si="5"/>
        <v>372</v>
      </c>
      <c r="NN1" s="203">
        <f t="shared" si="5"/>
        <v>373</v>
      </c>
      <c r="NO1" s="203">
        <f t="shared" si="5"/>
        <v>374</v>
      </c>
      <c r="NP1" s="203">
        <f t="shared" si="5"/>
        <v>375</v>
      </c>
      <c r="NQ1" s="203">
        <f t="shared" si="5"/>
        <v>376</v>
      </c>
      <c r="NR1" s="203">
        <f t="shared" si="5"/>
        <v>377</v>
      </c>
      <c r="NS1" s="203">
        <f t="shared" si="5"/>
        <v>378</v>
      </c>
      <c r="NT1" s="203">
        <f t="shared" si="5"/>
        <v>379</v>
      </c>
      <c r="NU1" s="203">
        <f t="shared" si="5"/>
        <v>380</v>
      </c>
      <c r="NV1" s="203">
        <f t="shared" si="5"/>
        <v>381</v>
      </c>
      <c r="NW1" s="203">
        <f t="shared" si="5"/>
        <v>382</v>
      </c>
      <c r="NX1" s="203">
        <f t="shared" si="5"/>
        <v>383</v>
      </c>
      <c r="NY1" s="203">
        <f t="shared" si="5"/>
        <v>384</v>
      </c>
      <c r="NZ1" s="203">
        <f t="shared" si="5"/>
        <v>385</v>
      </c>
      <c r="OA1" s="203">
        <f t="shared" ref="OA1:QL1" si="6">NZ1+1</f>
        <v>386</v>
      </c>
      <c r="OB1" s="203">
        <f t="shared" si="6"/>
        <v>387</v>
      </c>
      <c r="OC1" s="203">
        <f t="shared" si="6"/>
        <v>388</v>
      </c>
      <c r="OD1" s="203">
        <f t="shared" si="6"/>
        <v>389</v>
      </c>
      <c r="OE1" s="203">
        <f t="shared" si="6"/>
        <v>390</v>
      </c>
      <c r="OF1" s="203">
        <f t="shared" si="6"/>
        <v>391</v>
      </c>
      <c r="OG1" s="203">
        <f t="shared" si="6"/>
        <v>392</v>
      </c>
      <c r="OH1" s="203">
        <f t="shared" si="6"/>
        <v>393</v>
      </c>
      <c r="OI1" s="203">
        <f t="shared" si="6"/>
        <v>394</v>
      </c>
      <c r="OJ1" s="203">
        <f t="shared" si="6"/>
        <v>395</v>
      </c>
      <c r="OK1" s="203">
        <f t="shared" si="6"/>
        <v>396</v>
      </c>
      <c r="OL1" s="203">
        <f t="shared" si="6"/>
        <v>397</v>
      </c>
      <c r="OM1" s="203">
        <f t="shared" si="6"/>
        <v>398</v>
      </c>
      <c r="ON1" s="203">
        <f t="shared" si="6"/>
        <v>399</v>
      </c>
      <c r="OO1" s="203">
        <f t="shared" si="6"/>
        <v>400</v>
      </c>
      <c r="OP1" s="203">
        <f t="shared" si="6"/>
        <v>401</v>
      </c>
      <c r="OQ1" s="203">
        <f t="shared" si="6"/>
        <v>402</v>
      </c>
      <c r="OR1" s="203">
        <f t="shared" si="6"/>
        <v>403</v>
      </c>
      <c r="OS1" s="203">
        <f t="shared" si="6"/>
        <v>404</v>
      </c>
      <c r="OT1" s="203">
        <f t="shared" si="6"/>
        <v>405</v>
      </c>
      <c r="OU1" s="203">
        <f t="shared" si="6"/>
        <v>406</v>
      </c>
      <c r="OV1" s="203">
        <f t="shared" si="6"/>
        <v>407</v>
      </c>
      <c r="OW1" s="203">
        <f t="shared" si="6"/>
        <v>408</v>
      </c>
      <c r="OX1" s="203">
        <f t="shared" si="6"/>
        <v>409</v>
      </c>
      <c r="OY1" s="203">
        <f t="shared" si="6"/>
        <v>410</v>
      </c>
      <c r="OZ1" s="203">
        <f t="shared" si="6"/>
        <v>411</v>
      </c>
      <c r="PA1" s="203">
        <f t="shared" si="6"/>
        <v>412</v>
      </c>
      <c r="PB1" s="203">
        <f t="shared" si="6"/>
        <v>413</v>
      </c>
      <c r="PC1" s="203">
        <f t="shared" si="6"/>
        <v>414</v>
      </c>
      <c r="PD1" s="203">
        <f t="shared" si="6"/>
        <v>415</v>
      </c>
      <c r="PE1" s="203">
        <f t="shared" si="6"/>
        <v>416</v>
      </c>
      <c r="PF1" s="203">
        <f t="shared" si="6"/>
        <v>417</v>
      </c>
      <c r="PG1" s="203">
        <f t="shared" si="6"/>
        <v>418</v>
      </c>
      <c r="PH1" s="203">
        <f t="shared" si="6"/>
        <v>419</v>
      </c>
      <c r="PI1" s="203">
        <f t="shared" si="6"/>
        <v>420</v>
      </c>
      <c r="PJ1" s="203">
        <f t="shared" si="6"/>
        <v>421</v>
      </c>
      <c r="PK1" s="203">
        <f t="shared" si="6"/>
        <v>422</v>
      </c>
      <c r="PL1" s="203">
        <f t="shared" si="6"/>
        <v>423</v>
      </c>
      <c r="PM1" s="203">
        <f t="shared" si="6"/>
        <v>424</v>
      </c>
      <c r="PN1" s="203">
        <f t="shared" si="6"/>
        <v>425</v>
      </c>
      <c r="PO1" s="203">
        <f t="shared" si="6"/>
        <v>426</v>
      </c>
      <c r="PP1" s="203">
        <f t="shared" si="6"/>
        <v>427</v>
      </c>
      <c r="PQ1" s="203">
        <f t="shared" si="6"/>
        <v>428</v>
      </c>
      <c r="PR1" s="203">
        <f t="shared" si="6"/>
        <v>429</v>
      </c>
      <c r="PS1" s="203">
        <f t="shared" si="6"/>
        <v>430</v>
      </c>
      <c r="PT1" s="203">
        <f t="shared" si="6"/>
        <v>431</v>
      </c>
      <c r="PU1" s="203">
        <f t="shared" si="6"/>
        <v>432</v>
      </c>
      <c r="PV1" s="203">
        <f t="shared" si="6"/>
        <v>433</v>
      </c>
      <c r="PW1" s="203">
        <f t="shared" si="6"/>
        <v>434</v>
      </c>
      <c r="PX1" s="203">
        <f t="shared" si="6"/>
        <v>435</v>
      </c>
      <c r="PY1" s="203">
        <f t="shared" si="6"/>
        <v>436</v>
      </c>
      <c r="PZ1" s="203">
        <f t="shared" si="6"/>
        <v>437</v>
      </c>
      <c r="QA1" s="203">
        <f t="shared" si="6"/>
        <v>438</v>
      </c>
      <c r="QB1" s="203">
        <f t="shared" si="6"/>
        <v>439</v>
      </c>
      <c r="QC1" s="604">
        <f t="shared" si="6"/>
        <v>440</v>
      </c>
      <c r="QD1" s="203">
        <f t="shared" si="6"/>
        <v>441</v>
      </c>
      <c r="QE1" s="203">
        <f t="shared" si="6"/>
        <v>442</v>
      </c>
      <c r="QF1" s="203">
        <f t="shared" si="6"/>
        <v>443</v>
      </c>
      <c r="QG1" s="203">
        <f t="shared" si="6"/>
        <v>444</v>
      </c>
      <c r="QH1" s="203">
        <f t="shared" si="6"/>
        <v>445</v>
      </c>
      <c r="QI1" s="203">
        <f t="shared" si="6"/>
        <v>446</v>
      </c>
      <c r="QJ1" s="203">
        <f t="shared" si="6"/>
        <v>447</v>
      </c>
      <c r="QK1" s="203">
        <f t="shared" si="6"/>
        <v>448</v>
      </c>
      <c r="QL1" s="203">
        <f t="shared" si="6"/>
        <v>449</v>
      </c>
      <c r="QM1" s="203">
        <f t="shared" ref="QM1:RT1" si="7">QL1+1</f>
        <v>450</v>
      </c>
      <c r="QN1" s="203">
        <f t="shared" si="7"/>
        <v>451</v>
      </c>
      <c r="QO1" s="203">
        <f t="shared" si="7"/>
        <v>452</v>
      </c>
      <c r="QP1" s="203">
        <f t="shared" si="7"/>
        <v>453</v>
      </c>
      <c r="QQ1" s="203">
        <f t="shared" si="7"/>
        <v>454</v>
      </c>
      <c r="QR1" s="203">
        <f t="shared" si="7"/>
        <v>455</v>
      </c>
      <c r="QS1" s="203">
        <f t="shared" si="7"/>
        <v>456</v>
      </c>
      <c r="QT1" s="203">
        <f t="shared" si="7"/>
        <v>457</v>
      </c>
      <c r="QU1" s="203">
        <f t="shared" si="7"/>
        <v>458</v>
      </c>
      <c r="QV1" s="203">
        <f t="shared" si="7"/>
        <v>459</v>
      </c>
      <c r="QW1" s="203">
        <f t="shared" si="7"/>
        <v>460</v>
      </c>
      <c r="QX1" s="203">
        <f t="shared" si="7"/>
        <v>461</v>
      </c>
      <c r="QY1" s="203">
        <f t="shared" si="7"/>
        <v>462</v>
      </c>
      <c r="QZ1" s="203">
        <f t="shared" si="7"/>
        <v>463</v>
      </c>
      <c r="RA1" s="203">
        <f t="shared" si="7"/>
        <v>464</v>
      </c>
      <c r="RB1" s="203">
        <f t="shared" si="7"/>
        <v>465</v>
      </c>
      <c r="RC1" s="203">
        <f t="shared" si="7"/>
        <v>466</v>
      </c>
      <c r="RD1" s="203">
        <f t="shared" si="7"/>
        <v>467</v>
      </c>
      <c r="RE1" s="203">
        <f t="shared" si="7"/>
        <v>468</v>
      </c>
      <c r="RF1" s="203">
        <f t="shared" si="7"/>
        <v>469</v>
      </c>
      <c r="RG1" s="203">
        <f t="shared" si="7"/>
        <v>470</v>
      </c>
      <c r="RH1" s="203">
        <f t="shared" si="7"/>
        <v>471</v>
      </c>
      <c r="RI1" s="203">
        <f t="shared" si="7"/>
        <v>472</v>
      </c>
      <c r="RJ1" s="203">
        <f t="shared" si="7"/>
        <v>473</v>
      </c>
      <c r="RK1" s="203">
        <f t="shared" si="7"/>
        <v>474</v>
      </c>
      <c r="RL1" s="203">
        <f t="shared" si="7"/>
        <v>475</v>
      </c>
      <c r="RM1" s="203">
        <f t="shared" si="7"/>
        <v>476</v>
      </c>
      <c r="RN1" s="203">
        <f t="shared" si="7"/>
        <v>477</v>
      </c>
      <c r="RO1" s="203">
        <f t="shared" si="7"/>
        <v>478</v>
      </c>
      <c r="RP1" s="203">
        <f t="shared" si="7"/>
        <v>479</v>
      </c>
      <c r="RQ1" s="203">
        <f t="shared" si="7"/>
        <v>480</v>
      </c>
      <c r="RR1" s="203">
        <f t="shared" si="7"/>
        <v>481</v>
      </c>
      <c r="RS1" s="203">
        <f t="shared" si="7"/>
        <v>482</v>
      </c>
      <c r="RT1" s="203">
        <f t="shared" si="7"/>
        <v>483</v>
      </c>
      <c r="VR1" s="837" t="s">
        <v>259</v>
      </c>
      <c r="VV1" s="838"/>
      <c r="VW1" s="838"/>
      <c r="VX1" s="838"/>
      <c r="VY1" s="838"/>
      <c r="VZ1" s="838"/>
      <c r="WA1" s="839"/>
      <c r="WB1" s="839"/>
      <c r="WC1" s="839"/>
      <c r="WD1" s="263"/>
      <c r="WE1" s="837"/>
      <c r="WF1" s="837" t="s">
        <v>604</v>
      </c>
      <c r="WG1" s="837" t="s">
        <v>2809</v>
      </c>
      <c r="WH1" s="837">
        <v>0</v>
      </c>
      <c r="WI1" s="837" t="s">
        <v>2810</v>
      </c>
      <c r="WJ1" s="837"/>
      <c r="WK1" s="837"/>
      <c r="WL1" s="837"/>
      <c r="WM1" s="837"/>
      <c r="WN1" s="837"/>
      <c r="WO1" s="837"/>
      <c r="WP1" s="837"/>
      <c r="WQ1" s="837"/>
      <c r="WR1" s="837"/>
      <c r="WS1" s="837"/>
      <c r="WT1" s="837"/>
      <c r="WU1" s="837"/>
    </row>
    <row r="2" spans="1:619" ht="13.15" customHeight="1" x14ac:dyDescent="0.25">
      <c r="A2" s="1"/>
      <c r="B2" s="2" t="s">
        <v>0</v>
      </c>
      <c r="C2" s="3"/>
      <c r="D2" s="3"/>
      <c r="E2" s="4"/>
      <c r="F2" s="5" t="s">
        <v>1</v>
      </c>
      <c r="G2" s="6"/>
      <c r="H2" s="6"/>
      <c r="I2" s="6"/>
      <c r="J2" s="6"/>
      <c r="K2" s="7"/>
      <c r="L2" s="8" t="s">
        <v>2</v>
      </c>
      <c r="M2" s="9" t="s">
        <v>3</v>
      </c>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1"/>
      <c r="BL2" s="12" t="s">
        <v>4</v>
      </c>
      <c r="BM2" s="13" t="s">
        <v>5</v>
      </c>
      <c r="BN2" s="12" t="s">
        <v>6</v>
      </c>
      <c r="BO2" s="5" t="s">
        <v>7</v>
      </c>
      <c r="BP2" s="6"/>
      <c r="BQ2" s="6"/>
      <c r="BR2" s="6"/>
      <c r="BS2" s="6"/>
      <c r="BT2" s="6"/>
      <c r="BU2" s="6"/>
      <c r="BV2" s="6"/>
      <c r="BW2" s="6"/>
      <c r="BX2" s="6"/>
      <c r="BY2" s="6"/>
      <c r="BZ2" s="6"/>
      <c r="CA2" s="6"/>
      <c r="CB2" s="6"/>
      <c r="CC2" s="6"/>
      <c r="CD2" s="6"/>
      <c r="CE2" s="6"/>
      <c r="CF2" s="6"/>
      <c r="CG2" s="7"/>
      <c r="CH2" s="14" t="s">
        <v>8</v>
      </c>
      <c r="CI2" s="15"/>
      <c r="CJ2" s="15"/>
      <c r="CK2" s="15"/>
      <c r="CL2" s="15"/>
      <c r="CM2" s="15"/>
      <c r="CN2" s="15"/>
      <c r="CO2" s="15"/>
      <c r="CP2" s="15"/>
      <c r="CQ2" s="15"/>
      <c r="CR2" s="15"/>
      <c r="CS2" s="15"/>
      <c r="CT2" s="15"/>
      <c r="CU2" s="15"/>
      <c r="CV2" s="15"/>
      <c r="CW2" s="15"/>
      <c r="CX2" s="15"/>
      <c r="CY2" s="15"/>
      <c r="CZ2" s="16"/>
      <c r="DA2" s="17" t="s">
        <v>9</v>
      </c>
      <c r="DB2" s="17"/>
      <c r="DC2" s="17"/>
      <c r="DD2" s="17"/>
      <c r="DE2" s="17"/>
      <c r="DF2" s="17"/>
      <c r="DG2" s="17"/>
      <c r="DH2" s="17"/>
      <c r="DI2" s="17"/>
      <c r="DJ2" s="17"/>
      <c r="DK2" s="17"/>
      <c r="DL2" s="17"/>
      <c r="DM2" s="17"/>
      <c r="DN2" s="17"/>
      <c r="DO2" s="17"/>
      <c r="DP2" s="17"/>
      <c r="DQ2" s="17"/>
      <c r="DR2" s="17"/>
      <c r="DS2" s="18" t="s">
        <v>10</v>
      </c>
      <c r="DT2" s="18"/>
      <c r="DU2" s="18"/>
      <c r="DV2" s="18"/>
      <c r="DW2" s="18"/>
      <c r="DX2" s="18"/>
      <c r="DY2" s="18"/>
      <c r="DZ2" s="18"/>
      <c r="EA2" s="18"/>
      <c r="EB2" s="18"/>
      <c r="EC2" s="18"/>
      <c r="ED2" s="18"/>
      <c r="EE2" s="18"/>
      <c r="EF2" s="18"/>
      <c r="EG2" s="18"/>
      <c r="EH2" s="18"/>
      <c r="EI2" s="18"/>
      <c r="EJ2" s="18"/>
      <c r="EK2" s="19" t="s">
        <v>11</v>
      </c>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1"/>
      <c r="KN2" s="22" t="s">
        <v>12</v>
      </c>
      <c r="KO2" s="23"/>
      <c r="KP2" s="23"/>
      <c r="KQ2" s="23"/>
      <c r="KR2" s="23"/>
      <c r="KS2" s="23"/>
      <c r="KT2" s="23"/>
      <c r="KU2" s="23"/>
      <c r="KV2" s="23"/>
      <c r="KW2" s="23"/>
      <c r="KX2" s="23"/>
      <c r="KY2" s="23"/>
      <c r="KZ2" s="23"/>
      <c r="LA2" s="23"/>
      <c r="LB2" s="23"/>
      <c r="LC2" s="23"/>
      <c r="LD2" s="23"/>
      <c r="LE2" s="23"/>
      <c r="LF2" s="23"/>
      <c r="LG2" s="23"/>
      <c r="LH2" s="23"/>
      <c r="LI2" s="23"/>
      <c r="LJ2" s="23"/>
      <c r="LK2" s="23"/>
      <c r="LL2" s="23"/>
      <c r="LM2" s="23"/>
      <c r="LN2" s="23"/>
      <c r="LO2" s="23"/>
      <c r="LP2" s="23"/>
      <c r="LQ2" s="23"/>
      <c r="LR2" s="23"/>
      <c r="LS2" s="23"/>
      <c r="LT2" s="23"/>
      <c r="LU2" s="23"/>
      <c r="LV2" s="23"/>
      <c r="LW2" s="23"/>
      <c r="LX2" s="23"/>
      <c r="LY2" s="23"/>
      <c r="LZ2" s="23"/>
      <c r="MA2" s="23"/>
      <c r="MB2" s="23"/>
      <c r="MC2" s="23"/>
      <c r="MD2" s="23"/>
      <c r="ME2" s="23"/>
      <c r="MF2" s="23"/>
      <c r="MG2" s="23"/>
      <c r="MH2" s="23"/>
      <c r="MI2" s="23"/>
      <c r="MJ2" s="23"/>
      <c r="MK2" s="23"/>
      <c r="ML2" s="23"/>
      <c r="MM2" s="23"/>
      <c r="MN2" s="23"/>
      <c r="MO2" s="23"/>
      <c r="MP2" s="23"/>
      <c r="MQ2" s="23"/>
      <c r="MR2" s="23"/>
      <c r="MS2" s="23"/>
      <c r="MT2" s="23"/>
      <c r="MU2" s="23"/>
      <c r="MV2" s="23"/>
      <c r="MW2" s="23"/>
      <c r="MX2" s="23"/>
      <c r="MY2" s="23"/>
      <c r="MZ2" s="23"/>
      <c r="NA2" s="23"/>
      <c r="NB2" s="23"/>
      <c r="NC2" s="23"/>
      <c r="ND2" s="23"/>
      <c r="NE2" s="23"/>
      <c r="NF2" s="23"/>
      <c r="NG2" s="23"/>
      <c r="NH2" s="23"/>
      <c r="NI2" s="23"/>
      <c r="NJ2" s="23"/>
      <c r="NK2" s="23"/>
      <c r="NL2" s="23"/>
      <c r="NM2" s="23"/>
      <c r="NN2" s="23"/>
      <c r="NO2" s="23"/>
      <c r="NP2" s="23"/>
      <c r="NQ2" s="23"/>
      <c r="NR2" s="23"/>
      <c r="NS2" s="23"/>
      <c r="NT2" s="23"/>
      <c r="NU2" s="23"/>
      <c r="NV2" s="23"/>
      <c r="NW2" s="23"/>
      <c r="NX2" s="23"/>
      <c r="NY2" s="23"/>
      <c r="NZ2" s="23"/>
      <c r="OA2" s="23"/>
      <c r="OB2" s="23"/>
      <c r="OC2" s="23"/>
      <c r="OD2" s="23"/>
      <c r="OE2" s="23"/>
      <c r="OF2" s="23"/>
      <c r="OG2" s="23"/>
      <c r="OH2" s="23"/>
      <c r="OI2" s="23"/>
      <c r="OJ2" s="23"/>
      <c r="OK2" s="23"/>
      <c r="OL2" s="23"/>
      <c r="OM2" s="23"/>
      <c r="ON2" s="23"/>
      <c r="OO2" s="23"/>
      <c r="OP2" s="23"/>
      <c r="OQ2" s="23"/>
      <c r="OR2" s="23"/>
      <c r="OS2" s="23"/>
      <c r="OT2" s="23"/>
      <c r="OU2" s="23"/>
      <c r="OV2" s="23"/>
      <c r="OW2" s="23"/>
      <c r="OX2" s="23"/>
      <c r="OY2" s="23"/>
      <c r="OZ2" s="23"/>
      <c r="PA2" s="23"/>
      <c r="PB2" s="23"/>
      <c r="PC2" s="23"/>
      <c r="PD2" s="23"/>
      <c r="PE2" s="23"/>
      <c r="PF2" s="23"/>
      <c r="PG2" s="23"/>
      <c r="PH2" s="23"/>
      <c r="PI2" s="23"/>
      <c r="PJ2" s="23"/>
      <c r="PK2" s="23"/>
      <c r="PL2" s="23"/>
      <c r="PM2" s="23"/>
      <c r="PN2" s="23"/>
      <c r="PO2" s="23"/>
      <c r="PP2" s="23"/>
      <c r="PQ2" s="23"/>
      <c r="PR2" s="23"/>
      <c r="PS2" s="24"/>
      <c r="PT2" s="13" t="s">
        <v>13</v>
      </c>
      <c r="PU2" s="13" t="s">
        <v>14</v>
      </c>
      <c r="PV2" s="13" t="s">
        <v>15</v>
      </c>
      <c r="PW2" s="13" t="s">
        <v>16</v>
      </c>
      <c r="PX2" s="25" t="s">
        <v>17</v>
      </c>
      <c r="PY2" s="25"/>
      <c r="PZ2" s="25"/>
      <c r="QA2" s="25"/>
      <c r="QB2" s="25"/>
      <c r="QC2" s="605"/>
      <c r="QD2" s="25"/>
      <c r="QE2" s="25"/>
      <c r="QF2" s="25"/>
      <c r="QG2" s="25"/>
      <c r="QH2" s="25"/>
      <c r="QI2" s="25"/>
      <c r="QJ2" s="25"/>
      <c r="QK2" s="25"/>
      <c r="QL2" s="25"/>
      <c r="QM2" s="25"/>
      <c r="QN2" s="25"/>
      <c r="QO2" s="25"/>
      <c r="QP2" s="25"/>
      <c r="QQ2" s="25"/>
      <c r="QR2" s="25"/>
      <c r="QS2" s="25"/>
      <c r="QT2" s="603"/>
      <c r="QU2" s="25"/>
      <c r="QV2" s="25"/>
      <c r="QW2" s="25"/>
      <c r="QX2" s="25"/>
      <c r="QY2" s="25"/>
      <c r="QZ2" s="25"/>
      <c r="RA2" s="25"/>
      <c r="RB2" s="25"/>
      <c r="RC2" s="603"/>
      <c r="RD2" s="25"/>
      <c r="RE2" s="25"/>
      <c r="RF2" s="25"/>
      <c r="RG2" s="13" t="s">
        <v>18</v>
      </c>
      <c r="RH2" s="13" t="s">
        <v>19</v>
      </c>
      <c r="RI2" s="13" t="s">
        <v>20</v>
      </c>
      <c r="RJ2" s="13" t="s">
        <v>21</v>
      </c>
      <c r="RK2" s="26" t="s">
        <v>22</v>
      </c>
      <c r="RL2" s="27" t="s">
        <v>23</v>
      </c>
      <c r="RM2" s="28" t="s">
        <v>24</v>
      </c>
      <c r="RN2" s="27" t="s">
        <v>25</v>
      </c>
      <c r="RO2" s="27" t="s">
        <v>26</v>
      </c>
      <c r="RP2" s="27" t="s">
        <v>27</v>
      </c>
      <c r="RQ2" s="27" t="s">
        <v>28</v>
      </c>
      <c r="RR2" s="27" t="s">
        <v>29</v>
      </c>
      <c r="RS2" s="27" t="s">
        <v>30</v>
      </c>
      <c r="RT2" s="27" t="s">
        <v>31</v>
      </c>
      <c r="RU2" s="29"/>
      <c r="RV2" s="30"/>
      <c r="RW2" s="29"/>
      <c r="RX2" s="29"/>
      <c r="RY2" s="1"/>
      <c r="RZ2" s="1"/>
      <c r="SA2" s="1"/>
      <c r="SB2" s="31"/>
      <c r="SC2" s="1"/>
      <c r="SD2" s="1"/>
      <c r="SE2" s="1"/>
      <c r="SF2" s="5" t="s">
        <v>1</v>
      </c>
      <c r="SG2" s="1">
        <v>2</v>
      </c>
      <c r="SH2" s="1">
        <v>3</v>
      </c>
      <c r="SI2" s="1">
        <v>4</v>
      </c>
      <c r="SJ2" s="1">
        <v>5</v>
      </c>
      <c r="SK2" s="1">
        <v>6</v>
      </c>
      <c r="SL2" s="1">
        <v>7</v>
      </c>
      <c r="SM2" s="1">
        <v>8</v>
      </c>
      <c r="SN2" s="1">
        <v>9</v>
      </c>
      <c r="SO2" s="1">
        <v>10</v>
      </c>
      <c r="SP2" s="1">
        <v>11</v>
      </c>
      <c r="SQ2" s="1">
        <v>12</v>
      </c>
      <c r="SR2" s="1">
        <v>13</v>
      </c>
      <c r="SS2" s="1">
        <v>14</v>
      </c>
      <c r="ST2" s="1">
        <v>15</v>
      </c>
      <c r="SU2" s="1">
        <v>16</v>
      </c>
      <c r="SV2" s="1">
        <v>17</v>
      </c>
      <c r="SW2" s="1">
        <v>18</v>
      </c>
      <c r="SX2" s="1">
        <v>19</v>
      </c>
      <c r="SY2" s="1">
        <v>20</v>
      </c>
      <c r="SZ2" s="1">
        <v>21</v>
      </c>
      <c r="TA2" s="1">
        <v>22</v>
      </c>
      <c r="TB2" s="1">
        <v>23</v>
      </c>
      <c r="TC2" s="1">
        <v>24</v>
      </c>
      <c r="TD2" s="1">
        <v>25</v>
      </c>
      <c r="TE2" s="1">
        <v>26</v>
      </c>
      <c r="TF2" s="1">
        <v>27</v>
      </c>
      <c r="TG2" s="1">
        <v>28</v>
      </c>
      <c r="TH2" s="1">
        <v>29</v>
      </c>
      <c r="TI2" s="1">
        <v>30</v>
      </c>
      <c r="TJ2" s="1">
        <v>31</v>
      </c>
      <c r="TK2" s="1">
        <v>32</v>
      </c>
      <c r="TL2" s="1">
        <v>33</v>
      </c>
      <c r="TM2" s="1">
        <v>34</v>
      </c>
      <c r="TN2" s="1">
        <v>35</v>
      </c>
      <c r="TO2" s="1">
        <v>36</v>
      </c>
      <c r="TP2" s="1">
        <v>37</v>
      </c>
      <c r="TQ2" s="1">
        <v>38</v>
      </c>
      <c r="TR2" s="1">
        <v>39</v>
      </c>
      <c r="TS2" s="1">
        <v>40</v>
      </c>
      <c r="TT2" s="1">
        <v>41</v>
      </c>
      <c r="TU2" s="1">
        <v>42</v>
      </c>
      <c r="TV2" s="1">
        <v>43</v>
      </c>
      <c r="TW2" s="1">
        <v>44</v>
      </c>
      <c r="TX2" s="1">
        <v>45</v>
      </c>
      <c r="TY2" s="1">
        <v>46</v>
      </c>
      <c r="TZ2" s="1">
        <v>47</v>
      </c>
      <c r="UA2" s="1">
        <v>48</v>
      </c>
      <c r="UB2" s="1">
        <v>49</v>
      </c>
      <c r="UC2" s="1">
        <v>50</v>
      </c>
      <c r="UD2" s="1">
        <v>51</v>
      </c>
      <c r="UE2" s="1">
        <v>52</v>
      </c>
      <c r="UF2" s="1">
        <v>53</v>
      </c>
      <c r="UG2" s="1">
        <v>54</v>
      </c>
      <c r="UH2" s="1">
        <v>55</v>
      </c>
      <c r="UI2" s="1">
        <v>56</v>
      </c>
      <c r="UJ2" s="1">
        <v>57</v>
      </c>
      <c r="UK2" s="1">
        <v>58</v>
      </c>
      <c r="UL2" s="1">
        <v>59</v>
      </c>
      <c r="UM2" s="1">
        <v>60</v>
      </c>
      <c r="UN2" s="1">
        <v>61</v>
      </c>
      <c r="UO2" s="1">
        <v>62</v>
      </c>
      <c r="UP2" s="1">
        <v>63</v>
      </c>
      <c r="UQ2" s="1">
        <v>64</v>
      </c>
      <c r="UR2" s="1">
        <v>65</v>
      </c>
      <c r="US2" s="1">
        <v>66</v>
      </c>
      <c r="UT2" s="1">
        <v>67</v>
      </c>
      <c r="UU2" s="1">
        <v>68</v>
      </c>
      <c r="UV2" s="1">
        <v>69</v>
      </c>
      <c r="UW2" s="1">
        <v>70</v>
      </c>
      <c r="UX2" s="1">
        <v>71</v>
      </c>
      <c r="UY2" s="1">
        <v>72</v>
      </c>
      <c r="UZ2" s="1">
        <v>73</v>
      </c>
      <c r="VA2" s="1">
        <v>74</v>
      </c>
      <c r="VB2" s="1">
        <v>75</v>
      </c>
      <c r="VC2" s="1">
        <v>76</v>
      </c>
      <c r="VD2" s="1">
        <v>77</v>
      </c>
      <c r="VE2" s="1">
        <v>78</v>
      </c>
      <c r="VF2" s="1">
        <v>79</v>
      </c>
      <c r="VG2" s="1">
        <v>80</v>
      </c>
      <c r="VH2" s="1">
        <v>81</v>
      </c>
      <c r="VI2" s="1">
        <v>82</v>
      </c>
      <c r="VJ2" s="1">
        <v>83</v>
      </c>
      <c r="VK2" s="1">
        <v>84</v>
      </c>
      <c r="VL2" s="1">
        <v>85</v>
      </c>
      <c r="VM2" s="1">
        <v>86</v>
      </c>
      <c r="VN2" s="1">
        <v>87</v>
      </c>
      <c r="VR2" s="837"/>
      <c r="VV2" s="838"/>
      <c r="VW2" s="838"/>
      <c r="VX2" s="838"/>
      <c r="VY2" s="838"/>
      <c r="VZ2" s="838"/>
      <c r="WA2" s="839"/>
      <c r="WB2" s="839"/>
      <c r="WC2" s="839"/>
      <c r="WD2" s="263"/>
      <c r="WE2" s="837"/>
      <c r="WF2" s="837"/>
      <c r="WG2" s="837" t="s">
        <v>2811</v>
      </c>
      <c r="WH2" s="837" t="s">
        <v>2812</v>
      </c>
      <c r="WI2" s="837" t="s">
        <v>2813</v>
      </c>
      <c r="WJ2" s="840" t="s">
        <v>2814</v>
      </c>
      <c r="WK2" s="837"/>
      <c r="WL2" s="837"/>
      <c r="WM2" s="837" t="s">
        <v>2815</v>
      </c>
      <c r="WN2" s="837" t="s">
        <v>2816</v>
      </c>
      <c r="WO2" s="837" t="s">
        <v>2817</v>
      </c>
      <c r="WP2" s="837" t="s">
        <v>2817</v>
      </c>
      <c r="WQ2" s="837" t="s">
        <v>2818</v>
      </c>
      <c r="WR2" s="837" t="s">
        <v>2819</v>
      </c>
      <c r="WS2" s="837" t="s">
        <v>2817</v>
      </c>
      <c r="WT2" s="837" t="s">
        <v>2817</v>
      </c>
      <c r="WU2" s="837" t="s">
        <v>2815</v>
      </c>
    </row>
    <row r="3" spans="1:619" ht="24.4" customHeight="1" thickBot="1" x14ac:dyDescent="0.3">
      <c r="A3" s="32" t="s">
        <v>32</v>
      </c>
      <c r="B3" s="32" t="s">
        <v>33</v>
      </c>
      <c r="C3" s="32" t="s">
        <v>34</v>
      </c>
      <c r="D3" s="33" t="s">
        <v>35</v>
      </c>
      <c r="E3" s="33" t="s">
        <v>36</v>
      </c>
      <c r="F3" s="32" t="s">
        <v>37</v>
      </c>
      <c r="G3" s="32" t="s">
        <v>38</v>
      </c>
      <c r="H3" s="32" t="s">
        <v>39</v>
      </c>
      <c r="I3" s="32" t="s">
        <v>40</v>
      </c>
      <c r="J3" s="34" t="s">
        <v>41</v>
      </c>
      <c r="K3" s="34" t="s">
        <v>42</v>
      </c>
      <c r="L3" s="35"/>
      <c r="M3" s="36" t="s">
        <v>43</v>
      </c>
      <c r="N3" s="37"/>
      <c r="O3" s="37"/>
      <c r="P3" s="37"/>
      <c r="Q3" s="37"/>
      <c r="R3" s="37"/>
      <c r="S3" s="37"/>
      <c r="T3" s="37"/>
      <c r="U3" s="37"/>
      <c r="V3" s="37"/>
      <c r="W3" s="38"/>
      <c r="X3" s="39" t="s">
        <v>44</v>
      </c>
      <c r="Y3" s="40"/>
      <c r="Z3" s="40"/>
      <c r="AA3" s="40"/>
      <c r="AB3" s="40"/>
      <c r="AC3" s="40"/>
      <c r="AD3" s="40"/>
      <c r="AE3" s="40"/>
      <c r="AF3" s="40"/>
      <c r="AG3" s="40"/>
      <c r="AH3" s="40"/>
      <c r="AI3" s="40"/>
      <c r="AJ3" s="40"/>
      <c r="AK3" s="40"/>
      <c r="AL3" s="40"/>
      <c r="AM3" s="40"/>
      <c r="AN3" s="40"/>
      <c r="AO3" s="41"/>
      <c r="AP3" s="42" t="s">
        <v>45</v>
      </c>
      <c r="AQ3" s="43"/>
      <c r="AR3" s="43"/>
      <c r="AS3" s="43"/>
      <c r="AT3" s="43"/>
      <c r="AU3" s="43"/>
      <c r="AV3" s="43"/>
      <c r="AW3" s="43"/>
      <c r="AX3" s="43"/>
      <c r="AY3" s="43"/>
      <c r="AZ3" s="43"/>
      <c r="BA3" s="43"/>
      <c r="BB3" s="43"/>
      <c r="BC3" s="43"/>
      <c r="BD3" s="43"/>
      <c r="BE3" s="43"/>
      <c r="BF3" s="43"/>
      <c r="BG3" s="43"/>
      <c r="BH3" s="43"/>
      <c r="BI3" s="43"/>
      <c r="BJ3" s="43"/>
      <c r="BK3" s="44"/>
      <c r="BL3" s="34"/>
      <c r="BM3" s="45"/>
      <c r="BN3" s="34"/>
      <c r="BO3" s="46" t="s">
        <v>46</v>
      </c>
      <c r="BP3" s="46"/>
      <c r="BQ3" s="46"/>
      <c r="BR3" s="46"/>
      <c r="BS3" s="46"/>
      <c r="BT3" s="47" t="s">
        <v>47</v>
      </c>
      <c r="BU3" s="47"/>
      <c r="BV3" s="47"/>
      <c r="BW3" s="47"/>
      <c r="BX3" s="47"/>
      <c r="BY3" s="48" t="s">
        <v>48</v>
      </c>
      <c r="BZ3" s="49"/>
      <c r="CA3" s="49"/>
      <c r="CB3" s="49"/>
      <c r="CC3" s="49"/>
      <c r="CD3" s="49"/>
      <c r="CE3" s="49"/>
      <c r="CF3" s="49"/>
      <c r="CG3" s="50"/>
      <c r="CH3" s="51" t="s">
        <v>46</v>
      </c>
      <c r="CI3" s="51"/>
      <c r="CJ3" s="51"/>
      <c r="CK3" s="51"/>
      <c r="CL3" s="51"/>
      <c r="CM3" s="52" t="s">
        <v>47</v>
      </c>
      <c r="CN3" s="52"/>
      <c r="CO3" s="52"/>
      <c r="CP3" s="52"/>
      <c r="CQ3" s="52"/>
      <c r="CR3" s="53" t="s">
        <v>48</v>
      </c>
      <c r="CS3" s="54"/>
      <c r="CT3" s="54"/>
      <c r="CU3" s="54"/>
      <c r="CV3" s="54"/>
      <c r="CW3" s="54"/>
      <c r="CX3" s="54"/>
      <c r="CY3" s="54"/>
      <c r="CZ3" s="55"/>
      <c r="DA3" s="56" t="s">
        <v>46</v>
      </c>
      <c r="DB3" s="56"/>
      <c r="DC3" s="56"/>
      <c r="DD3" s="56"/>
      <c r="DE3" s="56"/>
      <c r="DF3" s="57" t="s">
        <v>47</v>
      </c>
      <c r="DG3" s="57"/>
      <c r="DH3" s="57"/>
      <c r="DI3" s="57"/>
      <c r="DJ3" s="57"/>
      <c r="DK3" s="58" t="s">
        <v>48</v>
      </c>
      <c r="DL3" s="58"/>
      <c r="DM3" s="58"/>
      <c r="DN3" s="58"/>
      <c r="DO3" s="58"/>
      <c r="DP3" s="58"/>
      <c r="DQ3" s="58"/>
      <c r="DR3" s="58"/>
      <c r="DS3" s="59" t="s">
        <v>46</v>
      </c>
      <c r="DT3" s="59"/>
      <c r="DU3" s="59"/>
      <c r="DV3" s="59"/>
      <c r="DW3" s="59"/>
      <c r="DX3" s="60" t="s">
        <v>47</v>
      </c>
      <c r="DY3" s="60"/>
      <c r="DZ3" s="60"/>
      <c r="EA3" s="60"/>
      <c r="EB3" s="60"/>
      <c r="EC3" s="61" t="s">
        <v>48</v>
      </c>
      <c r="ED3" s="61"/>
      <c r="EE3" s="61"/>
      <c r="EF3" s="61"/>
      <c r="EG3" s="61"/>
      <c r="EH3" s="61"/>
      <c r="EI3" s="61"/>
      <c r="EJ3" s="61"/>
      <c r="EK3" s="62" t="s">
        <v>49</v>
      </c>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c r="FN3" s="62"/>
      <c r="FO3" s="62"/>
      <c r="FP3" s="62"/>
      <c r="FQ3" s="62"/>
      <c r="FR3" s="62"/>
      <c r="FS3" s="63"/>
      <c r="FT3" s="64" t="s">
        <v>50</v>
      </c>
      <c r="FU3" s="65"/>
      <c r="FV3" s="65"/>
      <c r="FW3" s="65"/>
      <c r="FX3" s="65"/>
      <c r="FY3" s="65"/>
      <c r="FZ3" s="65"/>
      <c r="GA3" s="65"/>
      <c r="GB3" s="65"/>
      <c r="GC3" s="65"/>
      <c r="GD3" s="65"/>
      <c r="GE3" s="65"/>
      <c r="GF3" s="65"/>
      <c r="GG3" s="65"/>
      <c r="GH3" s="65"/>
      <c r="GI3" s="65"/>
      <c r="GJ3" s="65"/>
      <c r="GK3" s="65"/>
      <c r="GL3" s="65"/>
      <c r="GM3" s="65"/>
      <c r="GN3" s="65"/>
      <c r="GO3" s="65"/>
      <c r="GP3" s="65"/>
      <c r="GQ3" s="65"/>
      <c r="GR3" s="65"/>
      <c r="GS3" s="65"/>
      <c r="GT3" s="65"/>
      <c r="GU3" s="65"/>
      <c r="GV3" s="65"/>
      <c r="GW3" s="65"/>
      <c r="GX3" s="65"/>
      <c r="GY3" s="65"/>
      <c r="GZ3" s="65"/>
      <c r="HA3" s="65"/>
      <c r="HB3" s="65"/>
      <c r="HC3" s="65"/>
      <c r="HD3" s="65"/>
      <c r="HE3" s="65"/>
      <c r="HF3" s="65"/>
      <c r="HG3" s="65"/>
      <c r="HH3" s="65"/>
      <c r="HI3" s="65"/>
      <c r="HJ3" s="65"/>
      <c r="HK3" s="65"/>
      <c r="HL3" s="65"/>
      <c r="HM3" s="65"/>
      <c r="HN3" s="65"/>
      <c r="HO3" s="65"/>
      <c r="HP3" s="65"/>
      <c r="HQ3" s="65"/>
      <c r="HR3" s="65"/>
      <c r="HS3" s="65"/>
      <c r="HT3" s="65"/>
      <c r="HU3" s="65"/>
      <c r="HV3" s="65"/>
      <c r="HW3" s="65"/>
      <c r="HX3" s="65"/>
      <c r="HY3" s="65"/>
      <c r="HZ3" s="65"/>
      <c r="IA3" s="65"/>
      <c r="IB3" s="65"/>
      <c r="IC3" s="65"/>
      <c r="ID3" s="65"/>
      <c r="IE3" s="65"/>
      <c r="IF3" s="65"/>
      <c r="IG3" s="65"/>
      <c r="IH3" s="65"/>
      <c r="II3" s="65"/>
      <c r="IJ3" s="65"/>
      <c r="IK3" s="65"/>
      <c r="IL3" s="65"/>
      <c r="IM3" s="66"/>
      <c r="IN3" s="67" t="s">
        <v>51</v>
      </c>
      <c r="IO3" s="68"/>
      <c r="IP3" s="68"/>
      <c r="IQ3" s="68"/>
      <c r="IR3" s="68"/>
      <c r="IS3" s="68"/>
      <c r="IT3" s="68"/>
      <c r="IU3" s="68"/>
      <c r="IV3" s="68"/>
      <c r="IW3" s="69"/>
      <c r="IX3" s="70" t="s">
        <v>52</v>
      </c>
      <c r="IY3" s="70"/>
      <c r="IZ3" s="70"/>
      <c r="JA3" s="70"/>
      <c r="JB3" s="70"/>
      <c r="JC3" s="70"/>
      <c r="JD3" s="70"/>
      <c r="JE3" s="70"/>
      <c r="JF3" s="70"/>
      <c r="JG3" s="70"/>
      <c r="JH3" s="70"/>
      <c r="JI3" s="70"/>
      <c r="JJ3" s="70"/>
      <c r="JK3" s="70"/>
      <c r="JL3" s="70"/>
      <c r="JM3" s="70"/>
      <c r="JN3" s="70"/>
      <c r="JO3" s="70"/>
      <c r="JP3" s="70"/>
      <c r="JQ3" s="70"/>
      <c r="JR3" s="70"/>
      <c r="JS3" s="70"/>
      <c r="JT3" s="70"/>
      <c r="JU3" s="70"/>
      <c r="JV3" s="70"/>
      <c r="JW3" s="70"/>
      <c r="JX3" s="70"/>
      <c r="JY3" s="70"/>
      <c r="JZ3" s="70"/>
      <c r="KA3" s="70"/>
      <c r="KB3" s="70"/>
      <c r="KC3" s="70"/>
      <c r="KD3" s="70"/>
      <c r="KE3" s="70"/>
      <c r="KF3" s="70"/>
      <c r="KG3" s="71" t="s">
        <v>53</v>
      </c>
      <c r="KH3" s="71"/>
      <c r="KI3" s="72" t="s">
        <v>54</v>
      </c>
      <c r="KJ3" s="73"/>
      <c r="KK3" s="73"/>
      <c r="KL3" s="73"/>
      <c r="KM3" s="74"/>
      <c r="KN3" s="75" t="s">
        <v>55</v>
      </c>
      <c r="KO3" s="76"/>
      <c r="KP3" s="76"/>
      <c r="KQ3" s="76"/>
      <c r="KR3" s="76"/>
      <c r="KS3" s="76"/>
      <c r="KT3" s="76"/>
      <c r="KU3" s="76"/>
      <c r="KV3" s="76"/>
      <c r="KW3" s="76"/>
      <c r="KX3" s="76"/>
      <c r="KY3" s="76"/>
      <c r="KZ3" s="76"/>
      <c r="LA3" s="76"/>
      <c r="LB3" s="76"/>
      <c r="LC3" s="76"/>
      <c r="LD3" s="76"/>
      <c r="LE3" s="76"/>
      <c r="LF3" s="76"/>
      <c r="LG3" s="76"/>
      <c r="LH3" s="76"/>
      <c r="LI3" s="76"/>
      <c r="LJ3" s="76"/>
      <c r="LK3" s="77"/>
      <c r="LL3" s="75" t="s">
        <v>56</v>
      </c>
      <c r="LM3" s="76"/>
      <c r="LN3" s="76"/>
      <c r="LO3" s="76"/>
      <c r="LP3" s="76"/>
      <c r="LQ3" s="76"/>
      <c r="LR3" s="76"/>
      <c r="LS3" s="76"/>
      <c r="LT3" s="76"/>
      <c r="LU3" s="76"/>
      <c r="LV3" s="76"/>
      <c r="LW3" s="76"/>
      <c r="LX3" s="76"/>
      <c r="LY3" s="76"/>
      <c r="LZ3" s="76"/>
      <c r="MA3" s="76"/>
      <c r="MB3" s="76"/>
      <c r="MC3" s="76"/>
      <c r="MD3" s="76"/>
      <c r="ME3" s="76"/>
      <c r="MF3" s="76"/>
      <c r="MG3" s="76"/>
      <c r="MH3" s="76"/>
      <c r="MI3" s="76"/>
      <c r="MJ3" s="76"/>
      <c r="MK3" s="76"/>
      <c r="ML3" s="76"/>
      <c r="MM3" s="76"/>
      <c r="MN3" s="76"/>
      <c r="MO3" s="76"/>
      <c r="MP3" s="76"/>
      <c r="MQ3" s="76"/>
      <c r="MR3" s="76"/>
      <c r="MS3" s="76"/>
      <c r="MT3" s="76"/>
      <c r="MU3" s="77"/>
      <c r="MV3" s="75" t="s">
        <v>57</v>
      </c>
      <c r="MW3" s="76"/>
      <c r="MX3" s="76"/>
      <c r="MY3" s="76"/>
      <c r="MZ3" s="76"/>
      <c r="NA3" s="76"/>
      <c r="NB3" s="76"/>
      <c r="NC3" s="76"/>
      <c r="ND3" s="76"/>
      <c r="NE3" s="76"/>
      <c r="NF3" s="76"/>
      <c r="NG3" s="76"/>
      <c r="NH3" s="76"/>
      <c r="NI3" s="76"/>
      <c r="NJ3" s="76"/>
      <c r="NK3" s="76"/>
      <c r="NL3" s="76"/>
      <c r="NM3" s="76"/>
      <c r="NN3" s="76"/>
      <c r="NO3" s="76"/>
      <c r="NP3" s="76"/>
      <c r="NQ3" s="76"/>
      <c r="NR3" s="76"/>
      <c r="NS3" s="76"/>
      <c r="NT3" s="76"/>
      <c r="NU3" s="76"/>
      <c r="NV3" s="76"/>
      <c r="NW3" s="76"/>
      <c r="NX3" s="76"/>
      <c r="NY3" s="76"/>
      <c r="NZ3" s="76"/>
      <c r="OA3" s="76"/>
      <c r="OB3" s="76"/>
      <c r="OC3" s="76"/>
      <c r="OD3" s="76"/>
      <c r="OE3" s="76"/>
      <c r="OF3" s="76"/>
      <c r="OG3" s="76"/>
      <c r="OH3" s="76"/>
      <c r="OI3" s="76"/>
      <c r="OJ3" s="76"/>
      <c r="OK3" s="76"/>
      <c r="OL3" s="76"/>
      <c r="OM3" s="76"/>
      <c r="ON3" s="76"/>
      <c r="OO3" s="76"/>
      <c r="OP3" s="76"/>
      <c r="OQ3" s="76"/>
      <c r="OR3" s="76"/>
      <c r="OS3" s="76"/>
      <c r="OT3" s="76"/>
      <c r="OU3" s="76"/>
      <c r="OV3" s="76"/>
      <c r="OW3" s="76"/>
      <c r="OX3" s="76"/>
      <c r="OY3" s="76"/>
      <c r="OZ3" s="76"/>
      <c r="PA3" s="76"/>
      <c r="PB3" s="76"/>
      <c r="PC3" s="76"/>
      <c r="PD3" s="76"/>
      <c r="PE3" s="76"/>
      <c r="PF3" s="76"/>
      <c r="PG3" s="76"/>
      <c r="PH3" s="76"/>
      <c r="PI3" s="76"/>
      <c r="PJ3" s="76"/>
      <c r="PK3" s="76"/>
      <c r="PL3" s="76"/>
      <c r="PM3" s="76"/>
      <c r="PN3" s="76"/>
      <c r="PO3" s="77"/>
      <c r="PP3" s="78" t="s">
        <v>48</v>
      </c>
      <c r="PQ3" s="78"/>
      <c r="PR3" s="78"/>
      <c r="PS3" s="78"/>
      <c r="PT3" s="79"/>
      <c r="PU3" s="45"/>
      <c r="PV3" s="45"/>
      <c r="PW3" s="45"/>
      <c r="PX3" s="78" t="s">
        <v>58</v>
      </c>
      <c r="PY3" s="78"/>
      <c r="PZ3" s="78"/>
      <c r="QA3" s="78" t="s">
        <v>59</v>
      </c>
      <c r="QB3" s="78"/>
      <c r="QC3" s="606" t="s">
        <v>59</v>
      </c>
      <c r="QD3" s="78" t="s">
        <v>60</v>
      </c>
      <c r="QE3" s="78"/>
      <c r="QF3" s="78"/>
      <c r="QG3" s="78" t="s">
        <v>61</v>
      </c>
      <c r="QH3" s="78"/>
      <c r="QI3" s="78"/>
      <c r="QJ3" s="75" t="s">
        <v>62</v>
      </c>
      <c r="QK3" s="76"/>
      <c r="QL3" s="76"/>
      <c r="QM3" s="77"/>
      <c r="QN3" s="75" t="s">
        <v>63</v>
      </c>
      <c r="QO3" s="76"/>
      <c r="QP3" s="76"/>
      <c r="QQ3" s="77"/>
      <c r="QR3" s="71" t="s">
        <v>64</v>
      </c>
      <c r="QS3" s="71"/>
      <c r="QT3" s="56" t="s">
        <v>64</v>
      </c>
      <c r="QU3" s="71" t="s">
        <v>65</v>
      </c>
      <c r="QV3" s="71"/>
      <c r="QW3" s="71"/>
      <c r="QX3" s="71" t="s">
        <v>66</v>
      </c>
      <c r="QY3" s="71"/>
      <c r="QZ3" s="71"/>
      <c r="RA3" s="78" t="s">
        <v>67</v>
      </c>
      <c r="RB3" s="78"/>
      <c r="RC3" s="56" t="s">
        <v>67</v>
      </c>
      <c r="RD3" s="78" t="s">
        <v>68</v>
      </c>
      <c r="RE3" s="78"/>
      <c r="RF3" s="78"/>
      <c r="RG3" s="45"/>
      <c r="RH3" s="45"/>
      <c r="RI3" s="45"/>
      <c r="RJ3" s="45"/>
      <c r="RK3" s="80"/>
      <c r="RL3" s="71"/>
      <c r="RM3" s="78"/>
      <c r="RN3" s="71"/>
      <c r="RO3" s="71"/>
      <c r="RP3" s="71"/>
      <c r="RQ3" s="71"/>
      <c r="RR3" s="71"/>
      <c r="RS3" s="71"/>
      <c r="RT3" s="71"/>
      <c r="RU3" s="81"/>
      <c r="RV3" s="82"/>
      <c r="RW3" s="81"/>
      <c r="RX3" s="81"/>
      <c r="RY3" s="83"/>
      <c r="RZ3" s="83"/>
      <c r="SA3" s="83"/>
      <c r="SB3" s="84"/>
      <c r="SC3" s="83"/>
      <c r="SD3" s="83"/>
      <c r="SE3" s="83"/>
      <c r="SF3" s="32" t="s">
        <v>37</v>
      </c>
      <c r="SG3" s="85" t="s">
        <v>69</v>
      </c>
      <c r="SH3" s="83"/>
      <c r="SI3" s="83"/>
      <c r="SJ3" s="83"/>
      <c r="SK3" s="83"/>
      <c r="SL3" s="83"/>
      <c r="SM3" s="83"/>
      <c r="SN3" s="83"/>
      <c r="SO3" s="83"/>
      <c r="SP3" s="83"/>
      <c r="SQ3" s="83"/>
      <c r="SR3" s="83"/>
      <c r="SS3" s="83"/>
      <c r="ST3" s="83"/>
      <c r="SU3" s="83"/>
      <c r="SV3" s="83"/>
      <c r="SW3" s="83"/>
      <c r="SX3" s="83"/>
      <c r="SY3" s="83"/>
      <c r="SZ3" s="83"/>
      <c r="TA3" s="83"/>
      <c r="TB3" s="83"/>
      <c r="TC3" s="83"/>
      <c r="TD3" s="83"/>
      <c r="TE3" s="83"/>
      <c r="TF3" s="83"/>
      <c r="TG3" s="83"/>
      <c r="TH3" s="83"/>
      <c r="TI3" s="83"/>
      <c r="TJ3" s="83"/>
      <c r="TK3" s="83"/>
      <c r="TL3" s="83"/>
      <c r="TM3" s="83"/>
      <c r="TN3" s="83"/>
      <c r="TO3" s="83"/>
      <c r="TP3" s="83"/>
      <c r="TQ3" s="83"/>
      <c r="TR3" s="83"/>
      <c r="TS3" s="83"/>
      <c r="TT3" s="83"/>
      <c r="TU3" s="83"/>
      <c r="TV3" s="83"/>
      <c r="TW3" s="83"/>
      <c r="TX3" s="83"/>
      <c r="TY3" s="83"/>
      <c r="TZ3" s="83"/>
      <c r="UA3" s="83"/>
      <c r="UB3" s="83"/>
      <c r="UC3" s="83"/>
      <c r="UD3" s="83"/>
      <c r="UE3" s="83"/>
      <c r="UF3" s="83"/>
      <c r="UG3" s="83"/>
      <c r="UH3" s="83"/>
      <c r="UI3" s="83"/>
      <c r="UJ3" s="83"/>
      <c r="UK3" s="83"/>
      <c r="UL3" s="83"/>
      <c r="UM3" s="85" t="s">
        <v>69</v>
      </c>
      <c r="UN3" s="83"/>
      <c r="UO3" s="83"/>
      <c r="UP3" s="83"/>
      <c r="UQ3" s="83"/>
      <c r="UR3" s="83"/>
      <c r="US3" s="83"/>
      <c r="UT3" s="83"/>
      <c r="UU3" s="83"/>
      <c r="UV3" s="83"/>
      <c r="UW3" s="83"/>
      <c r="UX3" s="83"/>
      <c r="UY3" s="83"/>
      <c r="UZ3" s="83"/>
      <c r="VA3" s="83"/>
      <c r="VB3" s="83"/>
      <c r="VC3" s="83"/>
      <c r="VD3" s="83"/>
      <c r="VE3" s="83"/>
      <c r="VF3" s="83"/>
      <c r="VG3" s="83"/>
      <c r="VH3" s="83"/>
      <c r="VI3" s="83"/>
      <c r="VJ3" s="83"/>
      <c r="VK3" s="83"/>
      <c r="VL3" s="83"/>
      <c r="VM3" s="83"/>
      <c r="VN3" s="83"/>
      <c r="VP3" s="1"/>
      <c r="VQ3" s="1"/>
      <c r="VR3" s="841"/>
      <c r="VS3" s="1"/>
      <c r="VT3" s="1"/>
      <c r="VU3" s="1"/>
      <c r="VV3" s="838"/>
      <c r="VW3" s="838"/>
      <c r="VX3" s="838"/>
      <c r="VY3" s="838"/>
      <c r="VZ3" s="838"/>
      <c r="WA3" s="842"/>
      <c r="WB3" s="842"/>
      <c r="WC3" s="842"/>
      <c r="WD3" s="31"/>
      <c r="WE3" s="841"/>
      <c r="WF3" s="841"/>
      <c r="WG3" s="841"/>
      <c r="WH3" s="841"/>
      <c r="WI3" s="841"/>
      <c r="WJ3" s="841"/>
      <c r="WK3" s="841"/>
      <c r="WL3" s="841"/>
      <c r="WM3" s="841"/>
      <c r="WN3" s="841"/>
      <c r="WO3" s="841"/>
      <c r="WP3" s="841"/>
      <c r="WQ3" s="841"/>
      <c r="WR3" s="841"/>
      <c r="WS3" s="841"/>
      <c r="WT3" s="841"/>
      <c r="WU3" s="841"/>
    </row>
    <row r="4" spans="1:619" ht="41.1" customHeight="1" thickBot="1" x14ac:dyDescent="0.3">
      <c r="A4" s="34"/>
      <c r="B4" s="34"/>
      <c r="C4" s="34"/>
      <c r="D4" s="86"/>
      <c r="E4" s="86"/>
      <c r="F4" s="34"/>
      <c r="G4" s="34"/>
      <c r="H4" s="34"/>
      <c r="I4" s="34"/>
      <c r="J4" s="34"/>
      <c r="K4" s="34"/>
      <c r="L4" s="35"/>
      <c r="M4" s="32" t="s">
        <v>70</v>
      </c>
      <c r="N4" s="78" t="s">
        <v>71</v>
      </c>
      <c r="O4" s="78" t="s">
        <v>72</v>
      </c>
      <c r="P4" s="78" t="s">
        <v>73</v>
      </c>
      <c r="Q4" s="87" t="s">
        <v>74</v>
      </c>
      <c r="R4" s="71" t="s">
        <v>75</v>
      </c>
      <c r="S4" s="71" t="s">
        <v>76</v>
      </c>
      <c r="T4" s="71" t="s">
        <v>77</v>
      </c>
      <c r="U4" s="87" t="s">
        <v>78</v>
      </c>
      <c r="V4" s="78" t="s">
        <v>79</v>
      </c>
      <c r="W4" s="78" t="s">
        <v>80</v>
      </c>
      <c r="X4" s="32" t="s">
        <v>70</v>
      </c>
      <c r="Y4" s="71" t="s">
        <v>71</v>
      </c>
      <c r="Z4" s="71" t="s">
        <v>72</v>
      </c>
      <c r="AA4" s="87" t="s">
        <v>81</v>
      </c>
      <c r="AB4" s="71" t="s">
        <v>73</v>
      </c>
      <c r="AC4" s="87" t="s">
        <v>74</v>
      </c>
      <c r="AD4" s="71" t="s">
        <v>75</v>
      </c>
      <c r="AE4" s="71" t="s">
        <v>82</v>
      </c>
      <c r="AF4" s="71" t="s">
        <v>83</v>
      </c>
      <c r="AG4" s="87" t="s">
        <v>84</v>
      </c>
      <c r="AH4" s="71" t="s">
        <v>85</v>
      </c>
      <c r="AI4" s="71" t="s">
        <v>76</v>
      </c>
      <c r="AJ4" s="87" t="s">
        <v>86</v>
      </c>
      <c r="AK4" s="71" t="s">
        <v>77</v>
      </c>
      <c r="AL4" s="87" t="s">
        <v>78</v>
      </c>
      <c r="AM4" s="71" t="s">
        <v>79</v>
      </c>
      <c r="AN4" s="87" t="s">
        <v>87</v>
      </c>
      <c r="AO4" s="71" t="s">
        <v>80</v>
      </c>
      <c r="AP4" s="87" t="s">
        <v>88</v>
      </c>
      <c r="AQ4" s="71" t="s">
        <v>72</v>
      </c>
      <c r="AR4" s="87" t="s">
        <v>81</v>
      </c>
      <c r="AS4" s="71" t="s">
        <v>89</v>
      </c>
      <c r="AT4" s="87" t="s">
        <v>74</v>
      </c>
      <c r="AU4" s="71" t="s">
        <v>75</v>
      </c>
      <c r="AV4" s="71" t="s">
        <v>90</v>
      </c>
      <c r="AW4" s="87" t="s">
        <v>91</v>
      </c>
      <c r="AX4" s="71" t="s">
        <v>92</v>
      </c>
      <c r="AY4" s="87" t="s">
        <v>93</v>
      </c>
      <c r="AZ4" s="71" t="s">
        <v>94</v>
      </c>
      <c r="BA4" s="71" t="s">
        <v>82</v>
      </c>
      <c r="BB4" s="71" t="s">
        <v>95</v>
      </c>
      <c r="BC4" s="87" t="s">
        <v>84</v>
      </c>
      <c r="BD4" s="71" t="s">
        <v>85</v>
      </c>
      <c r="BE4" s="71" t="s">
        <v>76</v>
      </c>
      <c r="BF4" s="87" t="s">
        <v>86</v>
      </c>
      <c r="BG4" s="71" t="s">
        <v>77</v>
      </c>
      <c r="BH4" s="87" t="s">
        <v>78</v>
      </c>
      <c r="BI4" s="71" t="s">
        <v>79</v>
      </c>
      <c r="BJ4" s="87" t="s">
        <v>87</v>
      </c>
      <c r="BK4" s="78" t="s">
        <v>80</v>
      </c>
      <c r="BL4" s="34"/>
      <c r="BM4" s="45"/>
      <c r="BN4" s="34"/>
      <c r="BO4" s="71" t="s">
        <v>96</v>
      </c>
      <c r="BP4" s="71" t="s">
        <v>97</v>
      </c>
      <c r="BQ4" s="71" t="s">
        <v>98</v>
      </c>
      <c r="BR4" s="71" t="s">
        <v>99</v>
      </c>
      <c r="BS4" s="71" t="s">
        <v>100</v>
      </c>
      <c r="BT4" s="71" t="s">
        <v>96</v>
      </c>
      <c r="BU4" s="71" t="s">
        <v>97</v>
      </c>
      <c r="BV4" s="71" t="s">
        <v>98</v>
      </c>
      <c r="BW4" s="71" t="s">
        <v>99</v>
      </c>
      <c r="BX4" s="71" t="s">
        <v>100</v>
      </c>
      <c r="BY4" s="88" t="s">
        <v>96</v>
      </c>
      <c r="BZ4" s="88" t="s">
        <v>97</v>
      </c>
      <c r="CA4" s="88" t="s">
        <v>98</v>
      </c>
      <c r="CB4" s="88" t="s">
        <v>99</v>
      </c>
      <c r="CC4" s="88" t="s">
        <v>100</v>
      </c>
      <c r="CD4" s="45" t="s">
        <v>101</v>
      </c>
      <c r="CE4" s="45" t="s">
        <v>102</v>
      </c>
      <c r="CF4" s="45" t="s">
        <v>48</v>
      </c>
      <c r="CG4" s="45" t="s">
        <v>103</v>
      </c>
      <c r="CH4" s="78" t="s">
        <v>96</v>
      </c>
      <c r="CI4" s="78" t="s">
        <v>97</v>
      </c>
      <c r="CJ4" s="78" t="s">
        <v>98</v>
      </c>
      <c r="CK4" s="78" t="s">
        <v>99</v>
      </c>
      <c r="CL4" s="78" t="s">
        <v>100</v>
      </c>
      <c r="CM4" s="78" t="s">
        <v>96</v>
      </c>
      <c r="CN4" s="78" t="s">
        <v>97</v>
      </c>
      <c r="CO4" s="78" t="s">
        <v>98</v>
      </c>
      <c r="CP4" s="78" t="s">
        <v>99</v>
      </c>
      <c r="CQ4" s="78" t="s">
        <v>100</v>
      </c>
      <c r="CR4" s="89" t="s">
        <v>96</v>
      </c>
      <c r="CS4" s="89" t="s">
        <v>97</v>
      </c>
      <c r="CT4" s="89" t="s">
        <v>98</v>
      </c>
      <c r="CU4" s="89" t="s">
        <v>99</v>
      </c>
      <c r="CV4" s="89" t="s">
        <v>100</v>
      </c>
      <c r="CW4" s="34" t="s">
        <v>101</v>
      </c>
      <c r="CX4" s="34" t="s">
        <v>102</v>
      </c>
      <c r="CY4" s="34" t="s">
        <v>48</v>
      </c>
      <c r="CZ4" s="45" t="s">
        <v>103</v>
      </c>
      <c r="DA4" s="71" t="s">
        <v>96</v>
      </c>
      <c r="DB4" s="71" t="s">
        <v>97</v>
      </c>
      <c r="DC4" s="71" t="s">
        <v>98</v>
      </c>
      <c r="DD4" s="71" t="s">
        <v>99</v>
      </c>
      <c r="DE4" s="71" t="s">
        <v>100</v>
      </c>
      <c r="DF4" s="71" t="s">
        <v>96</v>
      </c>
      <c r="DG4" s="71" t="s">
        <v>97</v>
      </c>
      <c r="DH4" s="71" t="s">
        <v>98</v>
      </c>
      <c r="DI4" s="71" t="s">
        <v>99</v>
      </c>
      <c r="DJ4" s="71" t="s">
        <v>100</v>
      </c>
      <c r="DK4" s="71" t="s">
        <v>96</v>
      </c>
      <c r="DL4" s="71" t="s">
        <v>97</v>
      </c>
      <c r="DM4" s="71" t="s">
        <v>98</v>
      </c>
      <c r="DN4" s="71" t="s">
        <v>99</v>
      </c>
      <c r="DO4" s="71" t="s">
        <v>100</v>
      </c>
      <c r="DP4" s="71" t="s">
        <v>101</v>
      </c>
      <c r="DQ4" s="71" t="s">
        <v>102</v>
      </c>
      <c r="DR4" s="71" t="s">
        <v>48</v>
      </c>
      <c r="DS4" s="71" t="s">
        <v>96</v>
      </c>
      <c r="DT4" s="71" t="s">
        <v>97</v>
      </c>
      <c r="DU4" s="71" t="s">
        <v>98</v>
      </c>
      <c r="DV4" s="71" t="s">
        <v>99</v>
      </c>
      <c r="DW4" s="71" t="s">
        <v>100</v>
      </c>
      <c r="DX4" s="71" t="s">
        <v>96</v>
      </c>
      <c r="DY4" s="71" t="s">
        <v>97</v>
      </c>
      <c r="DZ4" s="71" t="s">
        <v>98</v>
      </c>
      <c r="EA4" s="71" t="s">
        <v>99</v>
      </c>
      <c r="EB4" s="71" t="s">
        <v>100</v>
      </c>
      <c r="EC4" s="71" t="s">
        <v>96</v>
      </c>
      <c r="ED4" s="71" t="s">
        <v>97</v>
      </c>
      <c r="EE4" s="71" t="s">
        <v>98</v>
      </c>
      <c r="EF4" s="71" t="s">
        <v>99</v>
      </c>
      <c r="EG4" s="71" t="s">
        <v>100</v>
      </c>
      <c r="EH4" s="71" t="s">
        <v>101</v>
      </c>
      <c r="EI4" s="71" t="s">
        <v>102</v>
      </c>
      <c r="EJ4" s="71" t="s">
        <v>48</v>
      </c>
      <c r="EK4" s="90" t="s">
        <v>104</v>
      </c>
      <c r="EL4" s="91"/>
      <c r="EM4" s="91"/>
      <c r="EN4" s="91"/>
      <c r="EO4" s="92"/>
      <c r="EP4" s="90" t="s">
        <v>105</v>
      </c>
      <c r="EQ4" s="91"/>
      <c r="ER4" s="91"/>
      <c r="ES4" s="91"/>
      <c r="ET4" s="92"/>
      <c r="EU4" s="90" t="s">
        <v>106</v>
      </c>
      <c r="EV4" s="91"/>
      <c r="EW4" s="91"/>
      <c r="EX4" s="91"/>
      <c r="EY4" s="92"/>
      <c r="EZ4" s="93" t="s">
        <v>107</v>
      </c>
      <c r="FA4" s="93"/>
      <c r="FB4" s="93"/>
      <c r="FC4" s="93"/>
      <c r="FD4" s="93"/>
      <c r="FE4" s="91" t="s">
        <v>108</v>
      </c>
      <c r="FF4" s="91"/>
      <c r="FG4" s="91"/>
      <c r="FH4" s="91"/>
      <c r="FI4" s="92"/>
      <c r="FJ4" s="90" t="s">
        <v>109</v>
      </c>
      <c r="FK4" s="91"/>
      <c r="FL4" s="91"/>
      <c r="FM4" s="91"/>
      <c r="FN4" s="92"/>
      <c r="FO4" s="90" t="s">
        <v>110</v>
      </c>
      <c r="FP4" s="91"/>
      <c r="FQ4" s="91"/>
      <c r="FR4" s="91"/>
      <c r="FS4" s="92"/>
      <c r="FT4" s="72" t="s">
        <v>111</v>
      </c>
      <c r="FU4" s="73"/>
      <c r="FV4" s="73"/>
      <c r="FW4" s="73"/>
      <c r="FX4" s="73"/>
      <c r="FY4" s="73"/>
      <c r="FZ4" s="73"/>
      <c r="GA4" s="73"/>
      <c r="GB4" s="73"/>
      <c r="GC4" s="73"/>
      <c r="GD4" s="73"/>
      <c r="GE4" s="73"/>
      <c r="GF4" s="73"/>
      <c r="GG4" s="73"/>
      <c r="GH4" s="73"/>
      <c r="GI4" s="73"/>
      <c r="GJ4" s="73"/>
      <c r="GK4" s="73"/>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4"/>
      <c r="IH4" s="72" t="s">
        <v>100</v>
      </c>
      <c r="II4" s="73"/>
      <c r="IJ4" s="73"/>
      <c r="IK4" s="73"/>
      <c r="IL4" s="73"/>
      <c r="IM4" s="74"/>
      <c r="IN4" s="72" t="s">
        <v>111</v>
      </c>
      <c r="IO4" s="73"/>
      <c r="IP4" s="73"/>
      <c r="IQ4" s="73"/>
      <c r="IR4" s="74"/>
      <c r="IS4" s="72" t="s">
        <v>100</v>
      </c>
      <c r="IT4" s="73"/>
      <c r="IU4" s="73"/>
      <c r="IV4" s="73"/>
      <c r="IW4" s="74"/>
      <c r="IX4" s="94" t="s">
        <v>104</v>
      </c>
      <c r="IY4" s="94"/>
      <c r="IZ4" s="94"/>
      <c r="JA4" s="94"/>
      <c r="JB4" s="94"/>
      <c r="JC4" s="94" t="s">
        <v>105</v>
      </c>
      <c r="JD4" s="94"/>
      <c r="JE4" s="94"/>
      <c r="JF4" s="94"/>
      <c r="JG4" s="94"/>
      <c r="JH4" s="94" t="s">
        <v>106</v>
      </c>
      <c r="JI4" s="94"/>
      <c r="JJ4" s="94"/>
      <c r="JK4" s="94"/>
      <c r="JL4" s="94"/>
      <c r="JM4" s="94" t="s">
        <v>107</v>
      </c>
      <c r="JN4" s="94"/>
      <c r="JO4" s="94"/>
      <c r="JP4" s="94"/>
      <c r="JQ4" s="94"/>
      <c r="JR4" s="94" t="s">
        <v>108</v>
      </c>
      <c r="JS4" s="94"/>
      <c r="JT4" s="94"/>
      <c r="JU4" s="94"/>
      <c r="JV4" s="94"/>
      <c r="JW4" s="94" t="s">
        <v>109</v>
      </c>
      <c r="JX4" s="94"/>
      <c r="JY4" s="94"/>
      <c r="JZ4" s="94"/>
      <c r="KA4" s="94"/>
      <c r="KB4" s="94" t="s">
        <v>110</v>
      </c>
      <c r="KC4" s="94"/>
      <c r="KD4" s="94"/>
      <c r="KE4" s="94"/>
      <c r="KF4" s="94"/>
      <c r="KG4" s="71" t="s">
        <v>112</v>
      </c>
      <c r="KH4" s="71" t="s">
        <v>113</v>
      </c>
      <c r="KI4" s="87" t="s">
        <v>114</v>
      </c>
      <c r="KJ4" s="87" t="s">
        <v>115</v>
      </c>
      <c r="KK4" s="87" t="s">
        <v>116</v>
      </c>
      <c r="KL4" s="87" t="s">
        <v>117</v>
      </c>
      <c r="KM4" s="87" t="s">
        <v>48</v>
      </c>
      <c r="KN4" s="95" t="s">
        <v>118</v>
      </c>
      <c r="KO4" s="96"/>
      <c r="KP4" s="96"/>
      <c r="KQ4" s="96"/>
      <c r="KR4" s="96"/>
      <c r="KS4" s="96"/>
      <c r="KT4" s="95" t="s">
        <v>119</v>
      </c>
      <c r="KU4" s="96"/>
      <c r="KV4" s="96"/>
      <c r="KW4" s="96"/>
      <c r="KX4" s="96"/>
      <c r="KY4" s="97"/>
      <c r="KZ4" s="95" t="s">
        <v>120</v>
      </c>
      <c r="LA4" s="96"/>
      <c r="LB4" s="96"/>
      <c r="LC4" s="96"/>
      <c r="LD4" s="96"/>
      <c r="LE4" s="97"/>
      <c r="LF4" s="95" t="s">
        <v>121</v>
      </c>
      <c r="LG4" s="96"/>
      <c r="LH4" s="96"/>
      <c r="LI4" s="96"/>
      <c r="LJ4" s="96"/>
      <c r="LK4" s="97"/>
      <c r="LL4" s="75" t="s">
        <v>122</v>
      </c>
      <c r="LM4" s="76"/>
      <c r="LN4" s="76"/>
      <c r="LO4" s="76"/>
      <c r="LP4" s="76"/>
      <c r="LQ4" s="76"/>
      <c r="LR4" s="76"/>
      <c r="LS4" s="76"/>
      <c r="LT4" s="76"/>
      <c r="LU4" s="76"/>
      <c r="LV4" s="76"/>
      <c r="LW4" s="77"/>
      <c r="LX4" s="98" t="s">
        <v>123</v>
      </c>
      <c r="LY4" s="99"/>
      <c r="LZ4" s="99"/>
      <c r="MA4" s="99"/>
      <c r="MB4" s="99"/>
      <c r="MC4" s="100"/>
      <c r="MD4" s="98" t="s">
        <v>124</v>
      </c>
      <c r="ME4" s="99"/>
      <c r="MF4" s="99"/>
      <c r="MG4" s="99"/>
      <c r="MH4" s="99"/>
      <c r="MI4" s="100"/>
      <c r="MJ4" s="98" t="s">
        <v>125</v>
      </c>
      <c r="MK4" s="99"/>
      <c r="ML4" s="99"/>
      <c r="MM4" s="99"/>
      <c r="MN4" s="99"/>
      <c r="MO4" s="100"/>
      <c r="MP4" s="98" t="s">
        <v>126</v>
      </c>
      <c r="MQ4" s="99"/>
      <c r="MR4" s="99"/>
      <c r="MS4" s="99"/>
      <c r="MT4" s="99"/>
      <c r="MU4" s="100"/>
      <c r="MV4" s="101" t="s">
        <v>127</v>
      </c>
      <c r="MW4" s="102"/>
      <c r="MX4" s="102"/>
      <c r="MY4" s="102"/>
      <c r="MZ4" s="102"/>
      <c r="NA4" s="35"/>
      <c r="NB4" s="101" t="s">
        <v>128</v>
      </c>
      <c r="NC4" s="102"/>
      <c r="ND4" s="102"/>
      <c r="NE4" s="102"/>
      <c r="NF4" s="102"/>
      <c r="NG4" s="35"/>
      <c r="NH4" s="101" t="s">
        <v>129</v>
      </c>
      <c r="NI4" s="102"/>
      <c r="NJ4" s="102"/>
      <c r="NK4" s="102"/>
      <c r="NL4" s="102"/>
      <c r="NM4" s="35"/>
      <c r="NN4" s="101" t="s">
        <v>130</v>
      </c>
      <c r="NO4" s="102"/>
      <c r="NP4" s="102"/>
      <c r="NQ4" s="102"/>
      <c r="NR4" s="102"/>
      <c r="NS4" s="35"/>
      <c r="NT4" s="101" t="s">
        <v>131</v>
      </c>
      <c r="NU4" s="102"/>
      <c r="NV4" s="102"/>
      <c r="NW4" s="102"/>
      <c r="NX4" s="102"/>
      <c r="NY4" s="35"/>
      <c r="NZ4" s="101" t="s">
        <v>132</v>
      </c>
      <c r="OA4" s="102"/>
      <c r="OB4" s="102"/>
      <c r="OC4" s="102"/>
      <c r="OD4" s="102"/>
      <c r="OE4" s="35"/>
      <c r="OF4" s="103" t="s">
        <v>133</v>
      </c>
      <c r="OG4" s="104"/>
      <c r="OH4" s="104"/>
      <c r="OI4" s="104"/>
      <c r="OJ4" s="104"/>
      <c r="OK4" s="105"/>
      <c r="OL4" s="95" t="s">
        <v>134</v>
      </c>
      <c r="OM4" s="96"/>
      <c r="ON4" s="96"/>
      <c r="OO4" s="96"/>
      <c r="OP4" s="96"/>
      <c r="OQ4" s="97"/>
      <c r="OR4" s="95" t="s">
        <v>135</v>
      </c>
      <c r="OS4" s="96"/>
      <c r="OT4" s="96"/>
      <c r="OU4" s="96"/>
      <c r="OV4" s="96"/>
      <c r="OW4" s="97"/>
      <c r="OX4" s="103" t="s">
        <v>136</v>
      </c>
      <c r="OY4" s="104"/>
      <c r="OZ4" s="104"/>
      <c r="PA4" s="104"/>
      <c r="PB4" s="104"/>
      <c r="PC4" s="105"/>
      <c r="PD4" s="101" t="s">
        <v>137</v>
      </c>
      <c r="PE4" s="102"/>
      <c r="PF4" s="102"/>
      <c r="PG4" s="102"/>
      <c r="PH4" s="102"/>
      <c r="PI4" s="35"/>
      <c r="PJ4" s="101" t="s">
        <v>138</v>
      </c>
      <c r="PK4" s="102"/>
      <c r="PL4" s="102"/>
      <c r="PM4" s="102"/>
      <c r="PN4" s="102"/>
      <c r="PO4" s="35"/>
      <c r="PP4" s="78"/>
      <c r="PQ4" s="78"/>
      <c r="PR4" s="78"/>
      <c r="PS4" s="78"/>
      <c r="PT4" s="79"/>
      <c r="PU4" s="45"/>
      <c r="PV4" s="45"/>
      <c r="PW4" s="45"/>
      <c r="PX4" s="78" t="s">
        <v>139</v>
      </c>
      <c r="PY4" s="78" t="s">
        <v>140</v>
      </c>
      <c r="PZ4" s="78" t="s">
        <v>141</v>
      </c>
      <c r="QA4" s="78" t="s">
        <v>139</v>
      </c>
      <c r="QB4" s="78" t="s">
        <v>140</v>
      </c>
      <c r="QC4" s="606" t="s">
        <v>141</v>
      </c>
      <c r="QD4" s="78" t="s">
        <v>139</v>
      </c>
      <c r="QE4" s="78" t="s">
        <v>140</v>
      </c>
      <c r="QF4" s="78" t="s">
        <v>141</v>
      </c>
      <c r="QG4" s="78" t="s">
        <v>139</v>
      </c>
      <c r="QH4" s="78" t="s">
        <v>140</v>
      </c>
      <c r="QI4" s="78" t="s">
        <v>141</v>
      </c>
      <c r="QJ4" s="78" t="s">
        <v>139</v>
      </c>
      <c r="QK4" s="78" t="s">
        <v>140</v>
      </c>
      <c r="QL4" s="78" t="s">
        <v>141</v>
      </c>
      <c r="QM4" s="87" t="s">
        <v>142</v>
      </c>
      <c r="QN4" s="78" t="s">
        <v>139</v>
      </c>
      <c r="QO4" s="78" t="s">
        <v>140</v>
      </c>
      <c r="QP4" s="78" t="s">
        <v>141</v>
      </c>
      <c r="QQ4" s="87" t="s">
        <v>16</v>
      </c>
      <c r="QR4" s="71" t="s">
        <v>139</v>
      </c>
      <c r="QS4" s="71" t="s">
        <v>140</v>
      </c>
      <c r="QT4" s="56" t="s">
        <v>141</v>
      </c>
      <c r="QU4" s="71" t="s">
        <v>139</v>
      </c>
      <c r="QV4" s="71" t="s">
        <v>140</v>
      </c>
      <c r="QW4" s="71" t="s">
        <v>141</v>
      </c>
      <c r="QX4" s="71" t="s">
        <v>139</v>
      </c>
      <c r="QY4" s="71" t="s">
        <v>140</v>
      </c>
      <c r="QZ4" s="71" t="s">
        <v>141</v>
      </c>
      <c r="RA4" s="78" t="s">
        <v>139</v>
      </c>
      <c r="RB4" s="78" t="s">
        <v>140</v>
      </c>
      <c r="RC4" s="56" t="s">
        <v>141</v>
      </c>
      <c r="RD4" s="78" t="s">
        <v>139</v>
      </c>
      <c r="RE4" s="78" t="s">
        <v>140</v>
      </c>
      <c r="RF4" s="78" t="s">
        <v>141</v>
      </c>
      <c r="RG4" s="45"/>
      <c r="RH4" s="45" t="s">
        <v>2623</v>
      </c>
      <c r="RI4" s="45"/>
      <c r="RJ4" s="45"/>
      <c r="RK4" s="80"/>
      <c r="RL4" s="71"/>
      <c r="RM4" s="78"/>
      <c r="RN4" s="71"/>
      <c r="RO4" s="71"/>
      <c r="RP4" s="71"/>
      <c r="RQ4" s="71"/>
      <c r="RR4" s="71"/>
      <c r="RS4" s="71"/>
      <c r="RT4" s="71"/>
      <c r="RU4" s="81"/>
      <c r="RV4" s="106"/>
      <c r="RW4" s="81"/>
      <c r="RX4" s="81"/>
      <c r="RY4" s="83"/>
      <c r="RZ4" s="83"/>
      <c r="SA4" s="83"/>
      <c r="SB4" s="84"/>
      <c r="SC4" s="83"/>
      <c r="SD4" s="83"/>
      <c r="SE4" s="83"/>
      <c r="SF4" s="34"/>
      <c r="SG4" s="107" t="s">
        <v>143</v>
      </c>
      <c r="SH4" s="108" t="s">
        <v>144</v>
      </c>
      <c r="SI4" s="108" t="s">
        <v>145</v>
      </c>
      <c r="SJ4" s="109" t="s">
        <v>146</v>
      </c>
      <c r="SK4" s="109" t="s">
        <v>147</v>
      </c>
      <c r="SL4" s="109" t="s">
        <v>148</v>
      </c>
      <c r="SM4" s="109" t="s">
        <v>149</v>
      </c>
      <c r="SN4" s="109" t="s">
        <v>150</v>
      </c>
      <c r="SO4" s="109" t="s">
        <v>151</v>
      </c>
      <c r="SP4" s="108" t="s">
        <v>152</v>
      </c>
      <c r="SQ4" s="108" t="s">
        <v>153</v>
      </c>
      <c r="SR4" s="109" t="s">
        <v>154</v>
      </c>
      <c r="SS4" s="109" t="s">
        <v>155</v>
      </c>
      <c r="ST4" s="109" t="s">
        <v>156</v>
      </c>
      <c r="SU4" s="109" t="s">
        <v>157</v>
      </c>
      <c r="SV4" s="110" t="s">
        <v>158</v>
      </c>
      <c r="SW4" s="111" t="s">
        <v>159</v>
      </c>
      <c r="SX4" s="111" t="s">
        <v>160</v>
      </c>
      <c r="SY4" s="111" t="s">
        <v>161</v>
      </c>
      <c r="SZ4" s="111" t="s">
        <v>162</v>
      </c>
      <c r="TA4" s="111" t="s">
        <v>163</v>
      </c>
      <c r="TB4" s="111" t="s">
        <v>164</v>
      </c>
      <c r="TC4" s="111" t="s">
        <v>165</v>
      </c>
      <c r="TD4" s="111" t="s">
        <v>166</v>
      </c>
      <c r="TE4" s="111" t="s">
        <v>167</v>
      </c>
      <c r="TF4" s="112" t="s">
        <v>168</v>
      </c>
      <c r="TG4" s="109" t="s">
        <v>169</v>
      </c>
      <c r="TH4" s="113" t="s">
        <v>170</v>
      </c>
      <c r="TI4" s="83"/>
      <c r="TJ4" s="107" t="s">
        <v>143</v>
      </c>
      <c r="TK4" s="108" t="s">
        <v>144</v>
      </c>
      <c r="TL4" s="108" t="s">
        <v>145</v>
      </c>
      <c r="TM4" s="109" t="s">
        <v>146</v>
      </c>
      <c r="TN4" s="109" t="s">
        <v>147</v>
      </c>
      <c r="TO4" s="109" t="s">
        <v>148</v>
      </c>
      <c r="TP4" s="109" t="s">
        <v>149</v>
      </c>
      <c r="TQ4" s="109" t="s">
        <v>150</v>
      </c>
      <c r="TR4" s="109" t="s">
        <v>151</v>
      </c>
      <c r="TS4" s="108" t="s">
        <v>152</v>
      </c>
      <c r="TT4" s="108" t="s">
        <v>153</v>
      </c>
      <c r="TU4" s="109" t="s">
        <v>154</v>
      </c>
      <c r="TV4" s="109" t="s">
        <v>155</v>
      </c>
      <c r="TW4" s="109" t="s">
        <v>156</v>
      </c>
      <c r="TX4" s="109" t="s">
        <v>157</v>
      </c>
      <c r="TY4" s="110" t="s">
        <v>158</v>
      </c>
      <c r="TZ4" s="111" t="s">
        <v>159</v>
      </c>
      <c r="UA4" s="111" t="s">
        <v>160</v>
      </c>
      <c r="UB4" s="111" t="s">
        <v>161</v>
      </c>
      <c r="UC4" s="111" t="s">
        <v>162</v>
      </c>
      <c r="UD4" s="111" t="s">
        <v>163</v>
      </c>
      <c r="UE4" s="111" t="s">
        <v>164</v>
      </c>
      <c r="UF4" s="111" t="s">
        <v>165</v>
      </c>
      <c r="UG4" s="111" t="s">
        <v>166</v>
      </c>
      <c r="UH4" s="111" t="s">
        <v>167</v>
      </c>
      <c r="UI4" s="112" t="s">
        <v>168</v>
      </c>
      <c r="UJ4" s="109" t="s">
        <v>169</v>
      </c>
      <c r="UK4" s="113" t="s">
        <v>170</v>
      </c>
      <c r="UL4" s="83"/>
      <c r="UM4" s="107" t="s">
        <v>143</v>
      </c>
      <c r="UN4" s="108" t="s">
        <v>144</v>
      </c>
      <c r="UO4" s="108" t="s">
        <v>145</v>
      </c>
      <c r="UP4" s="109" t="s">
        <v>146</v>
      </c>
      <c r="UQ4" s="109" t="s">
        <v>147</v>
      </c>
      <c r="UR4" s="109" t="s">
        <v>148</v>
      </c>
      <c r="US4" s="109" t="s">
        <v>149</v>
      </c>
      <c r="UT4" s="109" t="s">
        <v>150</v>
      </c>
      <c r="UU4" s="109" t="s">
        <v>151</v>
      </c>
      <c r="UV4" s="108" t="s">
        <v>152</v>
      </c>
      <c r="UW4" s="108" t="s">
        <v>153</v>
      </c>
      <c r="UX4" s="109" t="s">
        <v>154</v>
      </c>
      <c r="UY4" s="109" t="s">
        <v>155</v>
      </c>
      <c r="UZ4" s="109" t="s">
        <v>156</v>
      </c>
      <c r="VA4" s="109" t="s">
        <v>157</v>
      </c>
      <c r="VB4" s="110" t="s">
        <v>158</v>
      </c>
      <c r="VC4" s="111" t="s">
        <v>159</v>
      </c>
      <c r="VD4" s="111" t="s">
        <v>160</v>
      </c>
      <c r="VE4" s="111" t="s">
        <v>161</v>
      </c>
      <c r="VF4" s="111" t="s">
        <v>162</v>
      </c>
      <c r="VG4" s="111" t="s">
        <v>163</v>
      </c>
      <c r="VH4" s="111" t="s">
        <v>164</v>
      </c>
      <c r="VI4" s="111" t="s">
        <v>165</v>
      </c>
      <c r="VJ4" s="111" t="s">
        <v>166</v>
      </c>
      <c r="VK4" s="111" t="s">
        <v>167</v>
      </c>
      <c r="VL4" s="112" t="s">
        <v>168</v>
      </c>
      <c r="VM4" s="109" t="s">
        <v>169</v>
      </c>
      <c r="VN4" s="113" t="s">
        <v>170</v>
      </c>
      <c r="VP4" s="1"/>
      <c r="VQ4" s="1"/>
      <c r="VR4" s="841" t="s">
        <v>36</v>
      </c>
      <c r="VS4" s="1"/>
      <c r="VT4" s="843" t="s">
        <v>259</v>
      </c>
      <c r="VU4" s="1" t="s">
        <v>1806</v>
      </c>
      <c r="VV4" s="346">
        <f>QJ2</f>
        <v>0</v>
      </c>
      <c r="VW4" s="346">
        <f>QN2</f>
        <v>0</v>
      </c>
      <c r="VX4" s="346"/>
      <c r="VY4" s="346"/>
      <c r="VZ4" s="346" t="s">
        <v>2835</v>
      </c>
      <c r="WA4" s="842" t="s">
        <v>25</v>
      </c>
      <c r="WB4" s="842" t="s">
        <v>26</v>
      </c>
      <c r="WC4" s="842" t="s">
        <v>27</v>
      </c>
      <c r="WD4" s="31"/>
      <c r="WE4" s="841"/>
      <c r="WF4" s="841" t="s">
        <v>2820</v>
      </c>
      <c r="WG4" s="841" t="s">
        <v>23</v>
      </c>
      <c r="WH4" s="841" t="s">
        <v>2821</v>
      </c>
      <c r="WI4" s="841" t="s">
        <v>2822</v>
      </c>
      <c r="WJ4" s="841" t="s">
        <v>2823</v>
      </c>
      <c r="WK4" s="841" t="s">
        <v>2824</v>
      </c>
      <c r="WL4" s="841" t="s">
        <v>2825</v>
      </c>
      <c r="WM4" s="841" t="s">
        <v>2826</v>
      </c>
      <c r="WN4" s="841" t="s">
        <v>2827</v>
      </c>
      <c r="WO4" s="841" t="s">
        <v>2828</v>
      </c>
      <c r="WP4" s="841" t="s">
        <v>2829</v>
      </c>
      <c r="WQ4" s="841" t="s">
        <v>2830</v>
      </c>
      <c r="WR4" s="841" t="s">
        <v>2831</v>
      </c>
      <c r="WS4" s="841" t="s">
        <v>2832</v>
      </c>
      <c r="WT4" s="841" t="s">
        <v>2833</v>
      </c>
      <c r="WU4" s="841" t="s">
        <v>2834</v>
      </c>
    </row>
    <row r="5" spans="1:619" ht="9.4" customHeight="1" x14ac:dyDescent="0.25">
      <c r="A5" s="34"/>
      <c r="B5" s="34"/>
      <c r="C5" s="34"/>
      <c r="D5" s="86"/>
      <c r="E5" s="86"/>
      <c r="F5" s="34"/>
      <c r="G5" s="34"/>
      <c r="H5" s="34"/>
      <c r="I5" s="34"/>
      <c r="J5" s="34"/>
      <c r="K5" s="34"/>
      <c r="L5" s="35"/>
      <c r="M5" s="34"/>
      <c r="N5" s="78"/>
      <c r="O5" s="78"/>
      <c r="P5" s="78"/>
      <c r="Q5" s="45"/>
      <c r="R5" s="71"/>
      <c r="S5" s="71"/>
      <c r="T5" s="71"/>
      <c r="U5" s="45"/>
      <c r="V5" s="78"/>
      <c r="W5" s="78"/>
      <c r="X5" s="34"/>
      <c r="Y5" s="71"/>
      <c r="Z5" s="71"/>
      <c r="AA5" s="45"/>
      <c r="AB5" s="71"/>
      <c r="AC5" s="45"/>
      <c r="AD5" s="71"/>
      <c r="AE5" s="71"/>
      <c r="AF5" s="71"/>
      <c r="AG5" s="45"/>
      <c r="AH5" s="71"/>
      <c r="AI5" s="71"/>
      <c r="AJ5" s="45"/>
      <c r="AK5" s="71"/>
      <c r="AL5" s="45"/>
      <c r="AM5" s="71"/>
      <c r="AN5" s="45"/>
      <c r="AO5" s="71"/>
      <c r="AP5" s="45"/>
      <c r="AQ5" s="71"/>
      <c r="AR5" s="45"/>
      <c r="AS5" s="71"/>
      <c r="AT5" s="45"/>
      <c r="AU5" s="71"/>
      <c r="AV5" s="71"/>
      <c r="AW5" s="45"/>
      <c r="AX5" s="71"/>
      <c r="AY5" s="45"/>
      <c r="AZ5" s="71"/>
      <c r="BA5" s="71"/>
      <c r="BB5" s="71"/>
      <c r="BC5" s="45"/>
      <c r="BD5" s="71"/>
      <c r="BE5" s="71"/>
      <c r="BF5" s="45"/>
      <c r="BG5" s="71"/>
      <c r="BH5" s="45"/>
      <c r="BI5" s="71"/>
      <c r="BJ5" s="45"/>
      <c r="BK5" s="78"/>
      <c r="BL5" s="34"/>
      <c r="BM5" s="45"/>
      <c r="BN5" s="34"/>
      <c r="BO5" s="71"/>
      <c r="BP5" s="71"/>
      <c r="BQ5" s="71"/>
      <c r="BR5" s="71"/>
      <c r="BS5" s="71"/>
      <c r="BT5" s="71"/>
      <c r="BU5" s="71"/>
      <c r="BV5" s="71"/>
      <c r="BW5" s="71"/>
      <c r="BX5" s="71"/>
      <c r="BY5" s="71"/>
      <c r="BZ5" s="71"/>
      <c r="CA5" s="71"/>
      <c r="CB5" s="71"/>
      <c r="CC5" s="71"/>
      <c r="CD5" s="45"/>
      <c r="CE5" s="45"/>
      <c r="CF5" s="45"/>
      <c r="CG5" s="45"/>
      <c r="CH5" s="78"/>
      <c r="CI5" s="78"/>
      <c r="CJ5" s="78"/>
      <c r="CK5" s="78"/>
      <c r="CL5" s="78"/>
      <c r="CM5" s="78"/>
      <c r="CN5" s="78"/>
      <c r="CO5" s="78"/>
      <c r="CP5" s="78"/>
      <c r="CQ5" s="78"/>
      <c r="CR5" s="78"/>
      <c r="CS5" s="78"/>
      <c r="CT5" s="78"/>
      <c r="CU5" s="78"/>
      <c r="CV5" s="78"/>
      <c r="CW5" s="34"/>
      <c r="CX5" s="34"/>
      <c r="CY5" s="34"/>
      <c r="CZ5" s="45"/>
      <c r="DA5" s="71"/>
      <c r="DB5" s="71"/>
      <c r="DC5" s="71"/>
      <c r="DD5" s="71"/>
      <c r="DE5" s="71"/>
      <c r="DF5" s="71"/>
      <c r="DG5" s="71"/>
      <c r="DH5" s="71"/>
      <c r="DI5" s="71"/>
      <c r="DJ5" s="71"/>
      <c r="DK5" s="71"/>
      <c r="DL5" s="71"/>
      <c r="DM5" s="71"/>
      <c r="DN5" s="71"/>
      <c r="DO5" s="71"/>
      <c r="DP5" s="71"/>
      <c r="DQ5" s="71"/>
      <c r="DR5" s="71"/>
      <c r="DS5" s="71"/>
      <c r="DT5" s="71"/>
      <c r="DU5" s="71"/>
      <c r="DV5" s="71"/>
      <c r="DW5" s="71"/>
      <c r="DX5" s="71"/>
      <c r="DY5" s="71"/>
      <c r="DZ5" s="71"/>
      <c r="EA5" s="71"/>
      <c r="EB5" s="71"/>
      <c r="EC5" s="71"/>
      <c r="ED5" s="71"/>
      <c r="EE5" s="71"/>
      <c r="EF5" s="71"/>
      <c r="EG5" s="71"/>
      <c r="EH5" s="71"/>
      <c r="EI5" s="71"/>
      <c r="EJ5" s="71"/>
      <c r="EK5" s="32" t="s">
        <v>171</v>
      </c>
      <c r="EL5" s="32" t="s">
        <v>172</v>
      </c>
      <c r="EM5" s="87" t="s">
        <v>173</v>
      </c>
      <c r="EN5" s="87" t="s">
        <v>174</v>
      </c>
      <c r="EO5" s="87" t="s">
        <v>175</v>
      </c>
      <c r="EP5" s="87" t="s">
        <v>171</v>
      </c>
      <c r="EQ5" s="87" t="s">
        <v>172</v>
      </c>
      <c r="ER5" s="87" t="s">
        <v>173</v>
      </c>
      <c r="ES5" s="32" t="s">
        <v>174</v>
      </c>
      <c r="ET5" s="32" t="s">
        <v>175</v>
      </c>
      <c r="EU5" s="32" t="s">
        <v>171</v>
      </c>
      <c r="EV5" s="32" t="s">
        <v>172</v>
      </c>
      <c r="EW5" s="87" t="s">
        <v>173</v>
      </c>
      <c r="EX5" s="87" t="s">
        <v>174</v>
      </c>
      <c r="EY5" s="87" t="s">
        <v>175</v>
      </c>
      <c r="EZ5" s="87" t="s">
        <v>171</v>
      </c>
      <c r="FA5" s="87" t="s">
        <v>172</v>
      </c>
      <c r="FB5" s="87" t="s">
        <v>173</v>
      </c>
      <c r="FC5" s="87" t="s">
        <v>174</v>
      </c>
      <c r="FD5" s="87" t="s">
        <v>175</v>
      </c>
      <c r="FE5" s="87" t="s">
        <v>171</v>
      </c>
      <c r="FF5" s="87" t="s">
        <v>172</v>
      </c>
      <c r="FG5" s="87" t="s">
        <v>173</v>
      </c>
      <c r="FH5" s="87" t="s">
        <v>174</v>
      </c>
      <c r="FI5" s="87" t="s">
        <v>175</v>
      </c>
      <c r="FJ5" s="87" t="s">
        <v>171</v>
      </c>
      <c r="FK5" s="87" t="s">
        <v>172</v>
      </c>
      <c r="FL5" s="87" t="s">
        <v>173</v>
      </c>
      <c r="FM5" s="87" t="s">
        <v>174</v>
      </c>
      <c r="FN5" s="87" t="s">
        <v>175</v>
      </c>
      <c r="FO5" s="87" t="s">
        <v>171</v>
      </c>
      <c r="FP5" s="87" t="s">
        <v>172</v>
      </c>
      <c r="FQ5" s="87" t="s">
        <v>173</v>
      </c>
      <c r="FR5" s="32" t="s">
        <v>174</v>
      </c>
      <c r="FS5" s="32" t="s">
        <v>175</v>
      </c>
      <c r="FT5" s="71" t="s">
        <v>176</v>
      </c>
      <c r="FU5" s="71"/>
      <c r="FV5" s="71"/>
      <c r="FW5" s="71"/>
      <c r="FX5" s="71"/>
      <c r="FY5" s="71"/>
      <c r="FZ5" s="71" t="s">
        <v>177</v>
      </c>
      <c r="GA5" s="71"/>
      <c r="GB5" s="71"/>
      <c r="GC5" s="71"/>
      <c r="GD5" s="71"/>
      <c r="GE5" s="71"/>
      <c r="GF5" s="71" t="s">
        <v>178</v>
      </c>
      <c r="GG5" s="71"/>
      <c r="GH5" s="71"/>
      <c r="GI5" s="71"/>
      <c r="GJ5" s="71"/>
      <c r="GK5" s="71"/>
      <c r="GL5" s="71" t="s">
        <v>179</v>
      </c>
      <c r="GM5" s="71"/>
      <c r="GN5" s="71"/>
      <c r="GO5" s="71"/>
      <c r="GP5" s="71"/>
      <c r="GQ5" s="71"/>
      <c r="GR5" s="71" t="s">
        <v>180</v>
      </c>
      <c r="GS5" s="71"/>
      <c r="GT5" s="71"/>
      <c r="GU5" s="71"/>
      <c r="GV5" s="71"/>
      <c r="GW5" s="71"/>
      <c r="GX5" s="71" t="s">
        <v>181</v>
      </c>
      <c r="GY5" s="71"/>
      <c r="GZ5" s="71"/>
      <c r="HA5" s="71"/>
      <c r="HB5" s="71"/>
      <c r="HC5" s="71"/>
      <c r="HD5" s="71" t="s">
        <v>182</v>
      </c>
      <c r="HE5" s="71"/>
      <c r="HF5" s="71"/>
      <c r="HG5" s="71"/>
      <c r="HH5" s="71"/>
      <c r="HI5" s="71"/>
      <c r="HJ5" s="71" t="s">
        <v>183</v>
      </c>
      <c r="HK5" s="71"/>
      <c r="HL5" s="71"/>
      <c r="HM5" s="71"/>
      <c r="HN5" s="71"/>
      <c r="HO5" s="71"/>
      <c r="HP5" s="71" t="s">
        <v>184</v>
      </c>
      <c r="HQ5" s="71"/>
      <c r="HR5" s="71"/>
      <c r="HS5" s="71"/>
      <c r="HT5" s="71"/>
      <c r="HU5" s="71"/>
      <c r="HV5" s="71" t="s">
        <v>185</v>
      </c>
      <c r="HW5" s="71"/>
      <c r="HX5" s="71"/>
      <c r="HY5" s="71"/>
      <c r="HZ5" s="71"/>
      <c r="IA5" s="71"/>
      <c r="IB5" s="71" t="s">
        <v>186</v>
      </c>
      <c r="IC5" s="71"/>
      <c r="ID5" s="71"/>
      <c r="IE5" s="71"/>
      <c r="IF5" s="71"/>
      <c r="IG5" s="71"/>
      <c r="IH5" s="87" t="s">
        <v>187</v>
      </c>
      <c r="II5" s="87" t="s">
        <v>188</v>
      </c>
      <c r="IJ5" s="87" t="s">
        <v>189</v>
      </c>
      <c r="IK5" s="87" t="s">
        <v>190</v>
      </c>
      <c r="IL5" s="87" t="s">
        <v>191</v>
      </c>
      <c r="IM5" s="87" t="s">
        <v>192</v>
      </c>
      <c r="IN5" s="71" t="s">
        <v>171</v>
      </c>
      <c r="IO5" s="71" t="s">
        <v>193</v>
      </c>
      <c r="IP5" s="71" t="s">
        <v>190</v>
      </c>
      <c r="IQ5" s="71" t="s">
        <v>194</v>
      </c>
      <c r="IR5" s="71" t="s">
        <v>175</v>
      </c>
      <c r="IS5" s="71" t="s">
        <v>171</v>
      </c>
      <c r="IT5" s="71" t="s">
        <v>193</v>
      </c>
      <c r="IU5" s="71" t="s">
        <v>190</v>
      </c>
      <c r="IV5" s="71" t="s">
        <v>194</v>
      </c>
      <c r="IW5" s="71" t="s">
        <v>175</v>
      </c>
      <c r="IX5" s="71" t="s">
        <v>171</v>
      </c>
      <c r="IY5" s="71" t="s">
        <v>172</v>
      </c>
      <c r="IZ5" s="71" t="s">
        <v>173</v>
      </c>
      <c r="JA5" s="71" t="s">
        <v>174</v>
      </c>
      <c r="JB5" s="71" t="s">
        <v>175</v>
      </c>
      <c r="JC5" s="71" t="s">
        <v>171</v>
      </c>
      <c r="JD5" s="71" t="s">
        <v>172</v>
      </c>
      <c r="JE5" s="71" t="s">
        <v>173</v>
      </c>
      <c r="JF5" s="71" t="s">
        <v>174</v>
      </c>
      <c r="JG5" s="71" t="s">
        <v>175</v>
      </c>
      <c r="JH5" s="71" t="s">
        <v>171</v>
      </c>
      <c r="JI5" s="71" t="s">
        <v>172</v>
      </c>
      <c r="JJ5" s="71" t="s">
        <v>173</v>
      </c>
      <c r="JK5" s="71" t="s">
        <v>174</v>
      </c>
      <c r="JL5" s="71" t="s">
        <v>175</v>
      </c>
      <c r="JM5" s="71" t="s">
        <v>171</v>
      </c>
      <c r="JN5" s="71" t="s">
        <v>172</v>
      </c>
      <c r="JO5" s="71" t="s">
        <v>173</v>
      </c>
      <c r="JP5" s="71" t="s">
        <v>174</v>
      </c>
      <c r="JQ5" s="71" t="s">
        <v>175</v>
      </c>
      <c r="JR5" s="71" t="s">
        <v>171</v>
      </c>
      <c r="JS5" s="71" t="s">
        <v>172</v>
      </c>
      <c r="JT5" s="71" t="s">
        <v>173</v>
      </c>
      <c r="JU5" s="71" t="s">
        <v>174</v>
      </c>
      <c r="JV5" s="71" t="s">
        <v>175</v>
      </c>
      <c r="JW5" s="71" t="s">
        <v>171</v>
      </c>
      <c r="JX5" s="71" t="s">
        <v>172</v>
      </c>
      <c r="JY5" s="71" t="s">
        <v>173</v>
      </c>
      <c r="JZ5" s="71" t="s">
        <v>174</v>
      </c>
      <c r="KA5" s="71" t="s">
        <v>175</v>
      </c>
      <c r="KB5" s="71" t="s">
        <v>171</v>
      </c>
      <c r="KC5" s="71" t="s">
        <v>172</v>
      </c>
      <c r="KD5" s="71" t="s">
        <v>173</v>
      </c>
      <c r="KE5" s="71" t="s">
        <v>174</v>
      </c>
      <c r="KF5" s="71" t="s">
        <v>175</v>
      </c>
      <c r="KG5" s="71"/>
      <c r="KH5" s="71"/>
      <c r="KI5" s="45"/>
      <c r="KJ5" s="45"/>
      <c r="KK5" s="45"/>
      <c r="KL5" s="45"/>
      <c r="KM5" s="45"/>
      <c r="KN5" s="114"/>
      <c r="KO5" s="115"/>
      <c r="KP5" s="115"/>
      <c r="KQ5" s="115"/>
      <c r="KR5" s="115"/>
      <c r="KS5" s="115"/>
      <c r="KT5" s="114"/>
      <c r="KU5" s="115"/>
      <c r="KV5" s="115"/>
      <c r="KW5" s="115"/>
      <c r="KX5" s="115"/>
      <c r="KY5" s="116"/>
      <c r="KZ5" s="114"/>
      <c r="LA5" s="115"/>
      <c r="LB5" s="115"/>
      <c r="LC5" s="115"/>
      <c r="LD5" s="115"/>
      <c r="LE5" s="116"/>
      <c r="LF5" s="114"/>
      <c r="LG5" s="115"/>
      <c r="LH5" s="115"/>
      <c r="LI5" s="115"/>
      <c r="LJ5" s="115"/>
      <c r="LK5" s="116"/>
      <c r="LL5" s="117" t="s">
        <v>195</v>
      </c>
      <c r="LM5" s="118"/>
      <c r="LN5" s="118"/>
      <c r="LO5" s="118"/>
      <c r="LP5" s="118"/>
      <c r="LQ5" s="119"/>
      <c r="LR5" s="117" t="s">
        <v>196</v>
      </c>
      <c r="LS5" s="118"/>
      <c r="LT5" s="118"/>
      <c r="LU5" s="118"/>
      <c r="LV5" s="118"/>
      <c r="LW5" s="119"/>
      <c r="LX5" s="117"/>
      <c r="LY5" s="118"/>
      <c r="LZ5" s="118"/>
      <c r="MA5" s="118"/>
      <c r="MB5" s="118"/>
      <c r="MC5" s="119"/>
      <c r="MD5" s="117"/>
      <c r="ME5" s="118"/>
      <c r="MF5" s="118"/>
      <c r="MG5" s="118"/>
      <c r="MH5" s="118"/>
      <c r="MI5" s="119"/>
      <c r="MJ5" s="117"/>
      <c r="MK5" s="118"/>
      <c r="ML5" s="118"/>
      <c r="MM5" s="118"/>
      <c r="MN5" s="118"/>
      <c r="MO5" s="119"/>
      <c r="MP5" s="117"/>
      <c r="MQ5" s="118"/>
      <c r="MR5" s="118"/>
      <c r="MS5" s="118"/>
      <c r="MT5" s="118"/>
      <c r="MU5" s="119"/>
      <c r="MV5" s="117"/>
      <c r="MW5" s="118"/>
      <c r="MX5" s="118"/>
      <c r="MY5" s="118"/>
      <c r="MZ5" s="118"/>
      <c r="NA5" s="119"/>
      <c r="NB5" s="117"/>
      <c r="NC5" s="118"/>
      <c r="ND5" s="118"/>
      <c r="NE5" s="118"/>
      <c r="NF5" s="118"/>
      <c r="NG5" s="119"/>
      <c r="NH5" s="117"/>
      <c r="NI5" s="118"/>
      <c r="NJ5" s="118"/>
      <c r="NK5" s="118"/>
      <c r="NL5" s="118"/>
      <c r="NM5" s="119"/>
      <c r="NN5" s="117"/>
      <c r="NO5" s="118"/>
      <c r="NP5" s="118"/>
      <c r="NQ5" s="118"/>
      <c r="NR5" s="118"/>
      <c r="NS5" s="119"/>
      <c r="NT5" s="117"/>
      <c r="NU5" s="118"/>
      <c r="NV5" s="118"/>
      <c r="NW5" s="118"/>
      <c r="NX5" s="118"/>
      <c r="NY5" s="119"/>
      <c r="NZ5" s="117"/>
      <c r="OA5" s="118"/>
      <c r="OB5" s="118"/>
      <c r="OC5" s="118"/>
      <c r="OD5" s="118"/>
      <c r="OE5" s="119"/>
      <c r="OF5" s="114"/>
      <c r="OG5" s="115"/>
      <c r="OH5" s="115"/>
      <c r="OI5" s="115"/>
      <c r="OJ5" s="115"/>
      <c r="OK5" s="116"/>
      <c r="OL5" s="114"/>
      <c r="OM5" s="115"/>
      <c r="ON5" s="115"/>
      <c r="OO5" s="115"/>
      <c r="OP5" s="115"/>
      <c r="OQ5" s="116"/>
      <c r="OR5" s="114"/>
      <c r="OS5" s="115"/>
      <c r="OT5" s="115"/>
      <c r="OU5" s="115"/>
      <c r="OV5" s="115"/>
      <c r="OW5" s="116"/>
      <c r="OX5" s="114"/>
      <c r="OY5" s="115"/>
      <c r="OZ5" s="115"/>
      <c r="PA5" s="115"/>
      <c r="PB5" s="115"/>
      <c r="PC5" s="116"/>
      <c r="PD5" s="117"/>
      <c r="PE5" s="118"/>
      <c r="PF5" s="118"/>
      <c r="PG5" s="118"/>
      <c r="PH5" s="118"/>
      <c r="PI5" s="119"/>
      <c r="PJ5" s="117"/>
      <c r="PK5" s="118"/>
      <c r="PL5" s="118"/>
      <c r="PM5" s="118"/>
      <c r="PN5" s="118"/>
      <c r="PO5" s="119"/>
      <c r="PP5" s="78"/>
      <c r="PQ5" s="78"/>
      <c r="PR5" s="78"/>
      <c r="PS5" s="78"/>
      <c r="PT5" s="79"/>
      <c r="PU5" s="45"/>
      <c r="PV5" s="45"/>
      <c r="PW5" s="45"/>
      <c r="PX5" s="78"/>
      <c r="PY5" s="78"/>
      <c r="PZ5" s="78"/>
      <c r="QA5" s="78"/>
      <c r="QB5" s="78"/>
      <c r="QC5" s="78"/>
      <c r="QD5" s="78"/>
      <c r="QE5" s="78"/>
      <c r="QF5" s="78"/>
      <c r="QG5" s="78"/>
      <c r="QH5" s="78"/>
      <c r="QI5" s="78"/>
      <c r="QJ5" s="78"/>
      <c r="QK5" s="78"/>
      <c r="QL5" s="78"/>
      <c r="QM5" s="45"/>
      <c r="QN5" s="78"/>
      <c r="QO5" s="78"/>
      <c r="QP5" s="78"/>
      <c r="QQ5" s="45"/>
      <c r="QR5" s="71"/>
      <c r="QS5" s="71"/>
      <c r="QT5" s="71"/>
      <c r="QU5" s="71"/>
      <c r="QV5" s="71"/>
      <c r="QW5" s="71"/>
      <c r="QX5" s="71"/>
      <c r="QY5" s="71"/>
      <c r="QZ5" s="71"/>
      <c r="RA5" s="78"/>
      <c r="RB5" s="78"/>
      <c r="RC5" s="78"/>
      <c r="RD5" s="78"/>
      <c r="RE5" s="78"/>
      <c r="RF5" s="78"/>
      <c r="RG5" s="45"/>
      <c r="RH5" s="45"/>
      <c r="RI5" s="45"/>
      <c r="RJ5" s="45"/>
      <c r="RK5" s="80"/>
      <c r="RL5" s="71"/>
      <c r="RM5" s="78"/>
      <c r="RN5" s="71"/>
      <c r="RO5" s="71"/>
      <c r="RP5" s="71"/>
      <c r="RQ5" s="71"/>
      <c r="RR5" s="71"/>
      <c r="RS5" s="71"/>
      <c r="RT5" s="71"/>
      <c r="RU5" s="81"/>
      <c r="RV5" s="30"/>
      <c r="RW5" s="81"/>
      <c r="RX5" s="81"/>
      <c r="RY5" s="83"/>
      <c r="RZ5" s="83"/>
      <c r="SA5" s="83"/>
      <c r="SB5" s="84"/>
      <c r="SC5" s="83"/>
      <c r="SD5" s="83"/>
      <c r="SE5" s="83"/>
      <c r="SF5" s="34"/>
      <c r="SG5" s="83"/>
      <c r="SH5" s="83"/>
      <c r="SI5" s="83"/>
      <c r="SJ5" s="83"/>
      <c r="SK5" s="83"/>
      <c r="SL5" s="83"/>
      <c r="SM5" s="83"/>
      <c r="SN5" s="83"/>
      <c r="SO5" s="83"/>
      <c r="SP5" s="83"/>
      <c r="SQ5" s="83"/>
      <c r="SR5" s="83"/>
      <c r="SS5" s="83"/>
      <c r="ST5" s="83"/>
      <c r="SU5" s="83"/>
      <c r="SV5" s="83"/>
      <c r="SW5" s="83"/>
      <c r="SX5" s="83"/>
      <c r="SY5" s="83"/>
      <c r="SZ5" s="83"/>
      <c r="TA5" s="83"/>
      <c r="TB5" s="83"/>
      <c r="TC5" s="83"/>
      <c r="TD5" s="83"/>
      <c r="TE5" s="83"/>
      <c r="TF5" s="83"/>
      <c r="TG5" s="83"/>
      <c r="TH5" s="83"/>
      <c r="TI5" s="83"/>
      <c r="TJ5" s="83"/>
      <c r="TK5" s="83"/>
      <c r="TL5" s="83"/>
      <c r="TM5" s="83"/>
      <c r="TN5" s="83"/>
      <c r="TO5" s="83"/>
      <c r="TP5" s="83"/>
      <c r="TQ5" s="83"/>
      <c r="TR5" s="83"/>
      <c r="TS5" s="83"/>
      <c r="TT5" s="83"/>
      <c r="TU5" s="83"/>
      <c r="TV5" s="83"/>
      <c r="TW5" s="83"/>
      <c r="TX5" s="83"/>
      <c r="TY5" s="83"/>
      <c r="TZ5" s="83"/>
      <c r="UA5" s="83"/>
      <c r="UB5" s="83"/>
      <c r="UC5" s="83"/>
      <c r="UD5" s="83"/>
      <c r="UE5" s="83"/>
      <c r="UF5" s="83"/>
      <c r="UG5" s="83"/>
      <c r="UH5" s="83"/>
      <c r="UI5" s="83"/>
      <c r="UJ5" s="83"/>
      <c r="UK5" s="83"/>
      <c r="UL5" s="83"/>
      <c r="UM5" s="83"/>
      <c r="UN5" s="83"/>
      <c r="UO5" s="83"/>
      <c r="UP5" s="83"/>
      <c r="UQ5" s="83"/>
      <c r="UR5" s="83"/>
      <c r="US5" s="83"/>
      <c r="UT5" s="83"/>
      <c r="UU5" s="83"/>
      <c r="UV5" s="83"/>
      <c r="UW5" s="83"/>
      <c r="UX5" s="83"/>
      <c r="UY5" s="83"/>
      <c r="UZ5" s="83"/>
      <c r="VA5" s="83"/>
      <c r="VB5" s="83"/>
      <c r="VC5" s="83"/>
      <c r="VD5" s="83"/>
      <c r="VE5" s="83"/>
      <c r="VF5" s="83"/>
      <c r="VG5" s="83"/>
      <c r="VH5" s="83"/>
      <c r="VI5" s="83"/>
      <c r="VJ5" s="83"/>
      <c r="VK5" s="83"/>
      <c r="VL5" s="83"/>
      <c r="VM5" s="83"/>
      <c r="VN5" s="83"/>
      <c r="VP5" s="1"/>
      <c r="VQ5" s="1"/>
      <c r="VR5" s="31"/>
      <c r="VS5" s="1"/>
      <c r="VT5" s="1"/>
      <c r="VU5" s="1"/>
      <c r="VV5" s="838"/>
      <c r="VW5" s="838"/>
      <c r="VX5" s="838"/>
      <c r="VY5" s="838"/>
      <c r="VZ5" s="838"/>
      <c r="WA5" s="844"/>
      <c r="WB5" s="844"/>
      <c r="WC5" s="844"/>
      <c r="WD5" s="31"/>
      <c r="WE5" s="31"/>
      <c r="WF5" s="31"/>
      <c r="WG5" s="31"/>
      <c r="WH5" s="31"/>
      <c r="WI5" s="31"/>
      <c r="WJ5" s="31"/>
      <c r="WK5" s="31"/>
      <c r="WL5" s="31"/>
      <c r="WM5" s="31"/>
      <c r="WN5" s="31"/>
      <c r="WO5" s="31"/>
      <c r="WP5" s="31"/>
      <c r="WQ5" s="31"/>
      <c r="WR5" s="31"/>
      <c r="WS5" s="31"/>
      <c r="WT5" s="31"/>
      <c r="WU5" s="31"/>
    </row>
    <row r="6" spans="1:619" ht="38.1" customHeight="1" x14ac:dyDescent="0.25">
      <c r="A6" s="34"/>
      <c r="B6" s="32" t="s">
        <v>33</v>
      </c>
      <c r="C6" s="32" t="s">
        <v>34</v>
      </c>
      <c r="D6" s="33" t="s">
        <v>35</v>
      </c>
      <c r="E6" s="33" t="s">
        <v>36</v>
      </c>
      <c r="F6" s="32" t="s">
        <v>37</v>
      </c>
      <c r="G6" s="32" t="s">
        <v>38</v>
      </c>
      <c r="H6" s="32" t="s">
        <v>39</v>
      </c>
      <c r="I6" s="32" t="s">
        <v>40</v>
      </c>
      <c r="J6" s="34" t="s">
        <v>41</v>
      </c>
      <c r="K6" s="34" t="s">
        <v>42</v>
      </c>
      <c r="L6" s="119"/>
      <c r="M6" s="89"/>
      <c r="N6" s="78"/>
      <c r="O6" s="78"/>
      <c r="P6" s="78"/>
      <c r="Q6" s="88"/>
      <c r="R6" s="71"/>
      <c r="S6" s="71"/>
      <c r="T6" s="71"/>
      <c r="U6" s="88"/>
      <c r="V6" s="78"/>
      <c r="W6" s="78"/>
      <c r="X6" s="89"/>
      <c r="Y6" s="71"/>
      <c r="Z6" s="71"/>
      <c r="AA6" s="88"/>
      <c r="AB6" s="71"/>
      <c r="AC6" s="88"/>
      <c r="AD6" s="71"/>
      <c r="AE6" s="71"/>
      <c r="AF6" s="71"/>
      <c r="AG6" s="88"/>
      <c r="AH6" s="71"/>
      <c r="AI6" s="71"/>
      <c r="AJ6" s="88"/>
      <c r="AK6" s="71"/>
      <c r="AL6" s="88"/>
      <c r="AM6" s="71"/>
      <c r="AN6" s="88"/>
      <c r="AO6" s="71"/>
      <c r="AP6" s="88"/>
      <c r="AQ6" s="71"/>
      <c r="AR6" s="88"/>
      <c r="AS6" s="71"/>
      <c r="AT6" s="88"/>
      <c r="AU6" s="71"/>
      <c r="AV6" s="71"/>
      <c r="AW6" s="88"/>
      <c r="AX6" s="71"/>
      <c r="AY6" s="88"/>
      <c r="AZ6" s="71"/>
      <c r="BA6" s="71"/>
      <c r="BB6" s="71"/>
      <c r="BC6" s="88"/>
      <c r="BD6" s="71"/>
      <c r="BE6" s="71"/>
      <c r="BF6" s="88"/>
      <c r="BG6" s="71"/>
      <c r="BH6" s="88"/>
      <c r="BI6" s="71"/>
      <c r="BJ6" s="88"/>
      <c r="BK6" s="78"/>
      <c r="BL6" s="89"/>
      <c r="BM6" s="88"/>
      <c r="BN6" s="89"/>
      <c r="BO6" s="71"/>
      <c r="BP6" s="71"/>
      <c r="BQ6" s="71"/>
      <c r="BR6" s="71"/>
      <c r="BS6" s="71"/>
      <c r="BT6" s="71"/>
      <c r="BU6" s="71"/>
      <c r="BV6" s="71"/>
      <c r="BW6" s="71"/>
      <c r="BX6" s="71"/>
      <c r="BY6" s="71"/>
      <c r="BZ6" s="71"/>
      <c r="CA6" s="71"/>
      <c r="CB6" s="71"/>
      <c r="CC6" s="71"/>
      <c r="CD6" s="88"/>
      <c r="CE6" s="88"/>
      <c r="CF6" s="88"/>
      <c r="CG6" s="88"/>
      <c r="CH6" s="78"/>
      <c r="CI6" s="78"/>
      <c r="CJ6" s="78"/>
      <c r="CK6" s="78"/>
      <c r="CL6" s="78"/>
      <c r="CM6" s="78"/>
      <c r="CN6" s="78"/>
      <c r="CO6" s="78"/>
      <c r="CP6" s="78"/>
      <c r="CQ6" s="78"/>
      <c r="CR6" s="78"/>
      <c r="CS6" s="78"/>
      <c r="CT6" s="78"/>
      <c r="CU6" s="78"/>
      <c r="CV6" s="78"/>
      <c r="CW6" s="89"/>
      <c r="CX6" s="89"/>
      <c r="CY6" s="89"/>
      <c r="CZ6" s="88"/>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89"/>
      <c r="EL6" s="89"/>
      <c r="EM6" s="88"/>
      <c r="EN6" s="88"/>
      <c r="EO6" s="88"/>
      <c r="EP6" s="88"/>
      <c r="EQ6" s="88"/>
      <c r="ER6" s="88"/>
      <c r="ES6" s="89"/>
      <c r="ET6" s="89"/>
      <c r="EU6" s="89"/>
      <c r="EV6" s="89"/>
      <c r="EW6" s="88"/>
      <c r="EX6" s="88"/>
      <c r="EY6" s="88"/>
      <c r="EZ6" s="88"/>
      <c r="FA6" s="88"/>
      <c r="FB6" s="88"/>
      <c r="FC6" s="88"/>
      <c r="FD6" s="88"/>
      <c r="FE6" s="88"/>
      <c r="FF6" s="88"/>
      <c r="FG6" s="88"/>
      <c r="FH6" s="88"/>
      <c r="FI6" s="88"/>
      <c r="FJ6" s="88"/>
      <c r="FK6" s="88"/>
      <c r="FL6" s="88"/>
      <c r="FM6" s="88"/>
      <c r="FN6" s="88"/>
      <c r="FO6" s="88"/>
      <c r="FP6" s="88"/>
      <c r="FQ6" s="88"/>
      <c r="FR6" s="89"/>
      <c r="FS6" s="89"/>
      <c r="FT6" s="71" t="s">
        <v>187</v>
      </c>
      <c r="FU6" s="71" t="s">
        <v>188</v>
      </c>
      <c r="FV6" s="71" t="s">
        <v>189</v>
      </c>
      <c r="FW6" s="71" t="s">
        <v>190</v>
      </c>
      <c r="FX6" s="71" t="s">
        <v>191</v>
      </c>
      <c r="FY6" s="71" t="s">
        <v>192</v>
      </c>
      <c r="FZ6" s="71" t="s">
        <v>187</v>
      </c>
      <c r="GA6" s="71" t="s">
        <v>188</v>
      </c>
      <c r="GB6" s="71" t="s">
        <v>189</v>
      </c>
      <c r="GC6" s="71" t="s">
        <v>190</v>
      </c>
      <c r="GD6" s="71" t="s">
        <v>191</v>
      </c>
      <c r="GE6" s="71" t="s">
        <v>192</v>
      </c>
      <c r="GF6" s="71" t="s">
        <v>187</v>
      </c>
      <c r="GG6" s="71" t="s">
        <v>188</v>
      </c>
      <c r="GH6" s="71" t="s">
        <v>189</v>
      </c>
      <c r="GI6" s="71" t="s">
        <v>190</v>
      </c>
      <c r="GJ6" s="71" t="s">
        <v>191</v>
      </c>
      <c r="GK6" s="71" t="s">
        <v>192</v>
      </c>
      <c r="GL6" s="71" t="s">
        <v>187</v>
      </c>
      <c r="GM6" s="71" t="s">
        <v>188</v>
      </c>
      <c r="GN6" s="71" t="s">
        <v>189</v>
      </c>
      <c r="GO6" s="71" t="s">
        <v>190</v>
      </c>
      <c r="GP6" s="71" t="s">
        <v>191</v>
      </c>
      <c r="GQ6" s="71" t="s">
        <v>192</v>
      </c>
      <c r="GR6" s="71" t="s">
        <v>187</v>
      </c>
      <c r="GS6" s="71" t="s">
        <v>188</v>
      </c>
      <c r="GT6" s="71" t="s">
        <v>189</v>
      </c>
      <c r="GU6" s="71" t="s">
        <v>190</v>
      </c>
      <c r="GV6" s="71" t="s">
        <v>191</v>
      </c>
      <c r="GW6" s="71" t="s">
        <v>192</v>
      </c>
      <c r="GX6" s="71" t="s">
        <v>187</v>
      </c>
      <c r="GY6" s="71" t="s">
        <v>188</v>
      </c>
      <c r="GZ6" s="71" t="s">
        <v>189</v>
      </c>
      <c r="HA6" s="71" t="s">
        <v>190</v>
      </c>
      <c r="HB6" s="71" t="s">
        <v>191</v>
      </c>
      <c r="HC6" s="71" t="s">
        <v>192</v>
      </c>
      <c r="HD6" s="71" t="s">
        <v>187</v>
      </c>
      <c r="HE6" s="71" t="s">
        <v>188</v>
      </c>
      <c r="HF6" s="71" t="s">
        <v>189</v>
      </c>
      <c r="HG6" s="71" t="s">
        <v>190</v>
      </c>
      <c r="HH6" s="71" t="s">
        <v>191</v>
      </c>
      <c r="HI6" s="71" t="s">
        <v>192</v>
      </c>
      <c r="HJ6" s="71" t="s">
        <v>187</v>
      </c>
      <c r="HK6" s="71" t="s">
        <v>188</v>
      </c>
      <c r="HL6" s="71" t="s">
        <v>189</v>
      </c>
      <c r="HM6" s="71" t="s">
        <v>190</v>
      </c>
      <c r="HN6" s="71" t="s">
        <v>191</v>
      </c>
      <c r="HO6" s="71" t="s">
        <v>192</v>
      </c>
      <c r="HP6" s="71" t="s">
        <v>187</v>
      </c>
      <c r="HQ6" s="71" t="s">
        <v>188</v>
      </c>
      <c r="HR6" s="71" t="s">
        <v>189</v>
      </c>
      <c r="HS6" s="71" t="s">
        <v>190</v>
      </c>
      <c r="HT6" s="71" t="s">
        <v>191</v>
      </c>
      <c r="HU6" s="71" t="s">
        <v>192</v>
      </c>
      <c r="HV6" s="71" t="s">
        <v>187</v>
      </c>
      <c r="HW6" s="71" t="s">
        <v>188</v>
      </c>
      <c r="HX6" s="71" t="s">
        <v>189</v>
      </c>
      <c r="HY6" s="71" t="s">
        <v>190</v>
      </c>
      <c r="HZ6" s="71" t="s">
        <v>191</v>
      </c>
      <c r="IA6" s="71" t="s">
        <v>192</v>
      </c>
      <c r="IB6" s="71" t="s">
        <v>187</v>
      </c>
      <c r="IC6" s="71" t="s">
        <v>188</v>
      </c>
      <c r="ID6" s="71" t="s">
        <v>189</v>
      </c>
      <c r="IE6" s="71" t="s">
        <v>190</v>
      </c>
      <c r="IF6" s="71" t="s">
        <v>191</v>
      </c>
      <c r="IG6" s="71" t="s">
        <v>192</v>
      </c>
      <c r="IH6" s="88"/>
      <c r="II6" s="88"/>
      <c r="IJ6" s="88"/>
      <c r="IK6" s="88"/>
      <c r="IL6" s="88"/>
      <c r="IM6" s="88"/>
      <c r="IN6" s="71"/>
      <c r="IO6" s="71"/>
      <c r="IP6" s="71"/>
      <c r="IQ6" s="71"/>
      <c r="IR6" s="71"/>
      <c r="IS6" s="71"/>
      <c r="IT6" s="71"/>
      <c r="IU6" s="71"/>
      <c r="IV6" s="71"/>
      <c r="IW6" s="71"/>
      <c r="IX6" s="71"/>
      <c r="IY6" s="71"/>
      <c r="IZ6" s="71"/>
      <c r="JA6" s="71"/>
      <c r="JB6" s="71"/>
      <c r="JC6" s="71"/>
      <c r="JD6" s="71"/>
      <c r="JE6" s="71"/>
      <c r="JF6" s="71"/>
      <c r="JG6" s="71"/>
      <c r="JH6" s="71"/>
      <c r="JI6" s="71"/>
      <c r="JJ6" s="71"/>
      <c r="JK6" s="71"/>
      <c r="JL6" s="71"/>
      <c r="JM6" s="71"/>
      <c r="JN6" s="71"/>
      <c r="JO6" s="71"/>
      <c r="JP6" s="71"/>
      <c r="JQ6" s="71"/>
      <c r="JR6" s="71"/>
      <c r="JS6" s="71"/>
      <c r="JT6" s="71"/>
      <c r="JU6" s="71"/>
      <c r="JV6" s="71"/>
      <c r="JW6" s="71"/>
      <c r="JX6" s="71"/>
      <c r="JY6" s="71"/>
      <c r="JZ6" s="71"/>
      <c r="KA6" s="71"/>
      <c r="KB6" s="71"/>
      <c r="KC6" s="71"/>
      <c r="KD6" s="71"/>
      <c r="KE6" s="71"/>
      <c r="KF6" s="71"/>
      <c r="KG6" s="71"/>
      <c r="KH6" s="71"/>
      <c r="KI6" s="88"/>
      <c r="KJ6" s="88"/>
      <c r="KK6" s="88"/>
      <c r="KL6" s="88"/>
      <c r="KM6" s="88"/>
      <c r="KN6" s="71" t="s">
        <v>174</v>
      </c>
      <c r="KO6" s="71" t="s">
        <v>197</v>
      </c>
      <c r="KP6" s="71" t="s">
        <v>198</v>
      </c>
      <c r="KQ6" s="71" t="s">
        <v>199</v>
      </c>
      <c r="KR6" s="71" t="s">
        <v>200</v>
      </c>
      <c r="KS6" s="71" t="s">
        <v>201</v>
      </c>
      <c r="KT6" s="71" t="s">
        <v>174</v>
      </c>
      <c r="KU6" s="71" t="s">
        <v>197</v>
      </c>
      <c r="KV6" s="71" t="s">
        <v>198</v>
      </c>
      <c r="KW6" s="71" t="s">
        <v>199</v>
      </c>
      <c r="KX6" s="71" t="s">
        <v>200</v>
      </c>
      <c r="KY6" s="71" t="s">
        <v>201</v>
      </c>
      <c r="KZ6" s="71" t="s">
        <v>174</v>
      </c>
      <c r="LA6" s="71" t="s">
        <v>197</v>
      </c>
      <c r="LB6" s="71" t="s">
        <v>198</v>
      </c>
      <c r="LC6" s="71" t="s">
        <v>199</v>
      </c>
      <c r="LD6" s="71" t="s">
        <v>200</v>
      </c>
      <c r="LE6" s="71" t="s">
        <v>201</v>
      </c>
      <c r="LF6" s="71" t="s">
        <v>174</v>
      </c>
      <c r="LG6" s="71" t="s">
        <v>197</v>
      </c>
      <c r="LH6" s="71" t="s">
        <v>198</v>
      </c>
      <c r="LI6" s="71" t="s">
        <v>199</v>
      </c>
      <c r="LJ6" s="71" t="s">
        <v>200</v>
      </c>
      <c r="LK6" s="71" t="s">
        <v>201</v>
      </c>
      <c r="LL6" s="71" t="s">
        <v>174</v>
      </c>
      <c r="LM6" s="71" t="s">
        <v>197</v>
      </c>
      <c r="LN6" s="71" t="s">
        <v>198</v>
      </c>
      <c r="LO6" s="71" t="s">
        <v>199</v>
      </c>
      <c r="LP6" s="71" t="s">
        <v>200</v>
      </c>
      <c r="LQ6" s="71" t="s">
        <v>201</v>
      </c>
      <c r="LR6" s="78" t="s">
        <v>174</v>
      </c>
      <c r="LS6" s="78" t="s">
        <v>197</v>
      </c>
      <c r="LT6" s="71" t="s">
        <v>198</v>
      </c>
      <c r="LU6" s="71" t="s">
        <v>199</v>
      </c>
      <c r="LV6" s="71" t="s">
        <v>200</v>
      </c>
      <c r="LW6" s="71" t="s">
        <v>201</v>
      </c>
      <c r="LX6" s="71" t="s">
        <v>174</v>
      </c>
      <c r="LY6" s="71" t="s">
        <v>197</v>
      </c>
      <c r="LZ6" s="71" t="s">
        <v>198</v>
      </c>
      <c r="MA6" s="71" t="s">
        <v>199</v>
      </c>
      <c r="MB6" s="71" t="s">
        <v>200</v>
      </c>
      <c r="MC6" s="71" t="s">
        <v>201</v>
      </c>
      <c r="MD6" s="71" t="s">
        <v>174</v>
      </c>
      <c r="ME6" s="71" t="s">
        <v>197</v>
      </c>
      <c r="MF6" s="71" t="s">
        <v>198</v>
      </c>
      <c r="MG6" s="71" t="s">
        <v>199</v>
      </c>
      <c r="MH6" s="71" t="s">
        <v>200</v>
      </c>
      <c r="MI6" s="71" t="s">
        <v>201</v>
      </c>
      <c r="MJ6" s="71" t="s">
        <v>174</v>
      </c>
      <c r="MK6" s="71" t="s">
        <v>197</v>
      </c>
      <c r="ML6" s="71" t="s">
        <v>198</v>
      </c>
      <c r="MM6" s="71" t="s">
        <v>199</v>
      </c>
      <c r="MN6" s="71" t="s">
        <v>200</v>
      </c>
      <c r="MO6" s="71" t="s">
        <v>201</v>
      </c>
      <c r="MP6" s="71" t="s">
        <v>174</v>
      </c>
      <c r="MQ6" s="71" t="s">
        <v>197</v>
      </c>
      <c r="MR6" s="71" t="s">
        <v>198</v>
      </c>
      <c r="MS6" s="71" t="s">
        <v>199</v>
      </c>
      <c r="MT6" s="71" t="s">
        <v>200</v>
      </c>
      <c r="MU6" s="71" t="s">
        <v>201</v>
      </c>
      <c r="MV6" s="78" t="s">
        <v>174</v>
      </c>
      <c r="MW6" s="78" t="s">
        <v>197</v>
      </c>
      <c r="MX6" s="71" t="s">
        <v>198</v>
      </c>
      <c r="MY6" s="71" t="s">
        <v>199</v>
      </c>
      <c r="MZ6" s="71" t="s">
        <v>200</v>
      </c>
      <c r="NA6" s="71" t="s">
        <v>201</v>
      </c>
      <c r="NB6" s="71" t="s">
        <v>174</v>
      </c>
      <c r="NC6" s="71" t="s">
        <v>197</v>
      </c>
      <c r="ND6" s="71" t="s">
        <v>198</v>
      </c>
      <c r="NE6" s="71" t="s">
        <v>199</v>
      </c>
      <c r="NF6" s="71" t="s">
        <v>200</v>
      </c>
      <c r="NG6" s="71" t="s">
        <v>201</v>
      </c>
      <c r="NH6" s="71" t="s">
        <v>174</v>
      </c>
      <c r="NI6" s="71" t="s">
        <v>197</v>
      </c>
      <c r="NJ6" s="71" t="s">
        <v>198</v>
      </c>
      <c r="NK6" s="71" t="s">
        <v>199</v>
      </c>
      <c r="NL6" s="71" t="s">
        <v>200</v>
      </c>
      <c r="NM6" s="71" t="s">
        <v>201</v>
      </c>
      <c r="NN6" s="71" t="s">
        <v>174</v>
      </c>
      <c r="NO6" s="71" t="s">
        <v>197</v>
      </c>
      <c r="NP6" s="71" t="s">
        <v>198</v>
      </c>
      <c r="NQ6" s="71" t="s">
        <v>199</v>
      </c>
      <c r="NR6" s="71" t="s">
        <v>200</v>
      </c>
      <c r="NS6" s="71" t="s">
        <v>201</v>
      </c>
      <c r="NT6" s="71" t="s">
        <v>174</v>
      </c>
      <c r="NU6" s="71" t="s">
        <v>197</v>
      </c>
      <c r="NV6" s="71" t="s">
        <v>198</v>
      </c>
      <c r="NW6" s="71" t="s">
        <v>199</v>
      </c>
      <c r="NX6" s="71" t="s">
        <v>200</v>
      </c>
      <c r="NY6" s="71" t="s">
        <v>201</v>
      </c>
      <c r="NZ6" s="78" t="s">
        <v>174</v>
      </c>
      <c r="OA6" s="78" t="s">
        <v>197</v>
      </c>
      <c r="OB6" s="71" t="s">
        <v>198</v>
      </c>
      <c r="OC6" s="71" t="s">
        <v>199</v>
      </c>
      <c r="OD6" s="71" t="s">
        <v>200</v>
      </c>
      <c r="OE6" s="71" t="s">
        <v>201</v>
      </c>
      <c r="OF6" s="71" t="s">
        <v>174</v>
      </c>
      <c r="OG6" s="71" t="s">
        <v>197</v>
      </c>
      <c r="OH6" s="71" t="s">
        <v>198</v>
      </c>
      <c r="OI6" s="71" t="s">
        <v>199</v>
      </c>
      <c r="OJ6" s="71" t="s">
        <v>200</v>
      </c>
      <c r="OK6" s="71" t="s">
        <v>201</v>
      </c>
      <c r="OL6" s="71" t="s">
        <v>174</v>
      </c>
      <c r="OM6" s="71" t="s">
        <v>197</v>
      </c>
      <c r="ON6" s="71" t="s">
        <v>198</v>
      </c>
      <c r="OO6" s="71" t="s">
        <v>199</v>
      </c>
      <c r="OP6" s="71" t="s">
        <v>200</v>
      </c>
      <c r="OQ6" s="71" t="s">
        <v>201</v>
      </c>
      <c r="OR6" s="71" t="s">
        <v>174</v>
      </c>
      <c r="OS6" s="71" t="s">
        <v>197</v>
      </c>
      <c r="OT6" s="71" t="s">
        <v>198</v>
      </c>
      <c r="OU6" s="71" t="s">
        <v>199</v>
      </c>
      <c r="OV6" s="71" t="s">
        <v>200</v>
      </c>
      <c r="OW6" s="71" t="s">
        <v>201</v>
      </c>
      <c r="OX6" s="71" t="s">
        <v>174</v>
      </c>
      <c r="OY6" s="71" t="s">
        <v>197</v>
      </c>
      <c r="OZ6" s="71" t="s">
        <v>198</v>
      </c>
      <c r="PA6" s="71" t="s">
        <v>199</v>
      </c>
      <c r="PB6" s="71" t="s">
        <v>200</v>
      </c>
      <c r="PC6" s="71" t="s">
        <v>201</v>
      </c>
      <c r="PD6" s="78" t="s">
        <v>174</v>
      </c>
      <c r="PE6" s="78" t="s">
        <v>197</v>
      </c>
      <c r="PF6" s="71" t="s">
        <v>198</v>
      </c>
      <c r="PG6" s="71" t="s">
        <v>199</v>
      </c>
      <c r="PH6" s="71" t="s">
        <v>200</v>
      </c>
      <c r="PI6" s="71" t="s">
        <v>201</v>
      </c>
      <c r="PJ6" s="71" t="s">
        <v>174</v>
      </c>
      <c r="PK6" s="71" t="s">
        <v>197</v>
      </c>
      <c r="PL6" s="71" t="s">
        <v>198</v>
      </c>
      <c r="PM6" s="71" t="s">
        <v>199</v>
      </c>
      <c r="PN6" s="71" t="s">
        <v>200</v>
      </c>
      <c r="PO6" s="71" t="s">
        <v>201</v>
      </c>
      <c r="PP6" s="78" t="s">
        <v>174</v>
      </c>
      <c r="PQ6" s="78" t="s">
        <v>197</v>
      </c>
      <c r="PR6" s="71" t="s">
        <v>198</v>
      </c>
      <c r="PS6" s="71" t="s">
        <v>202</v>
      </c>
      <c r="PT6" s="120"/>
      <c r="PU6" s="88"/>
      <c r="PV6" s="88"/>
      <c r="PW6" s="88"/>
      <c r="PX6" s="78"/>
      <c r="PY6" s="78"/>
      <c r="PZ6" s="78"/>
      <c r="QA6" s="78"/>
      <c r="QB6" s="78"/>
      <c r="QC6" s="78"/>
      <c r="QD6" s="78"/>
      <c r="QE6" s="78"/>
      <c r="QF6" s="78"/>
      <c r="QG6" s="78"/>
      <c r="QH6" s="78"/>
      <c r="QI6" s="78"/>
      <c r="QJ6" s="78"/>
      <c r="QK6" s="78"/>
      <c r="QL6" s="78"/>
      <c r="QM6" s="88"/>
      <c r="QN6" s="78"/>
      <c r="QO6" s="78"/>
      <c r="QP6" s="78"/>
      <c r="QQ6" s="88"/>
      <c r="QR6" s="71"/>
      <c r="QS6" s="71"/>
      <c r="QT6" s="71"/>
      <c r="QU6" s="71"/>
      <c r="QV6" s="71"/>
      <c r="QW6" s="71"/>
      <c r="QX6" s="71"/>
      <c r="QY6" s="71"/>
      <c r="QZ6" s="71"/>
      <c r="RA6" s="78"/>
      <c r="RB6" s="78"/>
      <c r="RC6" s="78"/>
      <c r="RD6" s="78"/>
      <c r="RE6" s="78"/>
      <c r="RF6" s="78"/>
      <c r="RG6" s="88"/>
      <c r="RH6" s="88"/>
      <c r="RI6" s="88"/>
      <c r="RJ6" s="88"/>
      <c r="RK6" s="80"/>
      <c r="RL6" s="71"/>
      <c r="RM6" s="78"/>
      <c r="RN6" s="71"/>
      <c r="RO6" s="71"/>
      <c r="RP6" s="71"/>
      <c r="RQ6" s="71"/>
      <c r="RR6" s="71"/>
      <c r="RS6" s="71"/>
      <c r="RT6" s="71"/>
      <c r="RU6" s="81"/>
      <c r="RV6" s="82"/>
      <c r="RW6" s="81"/>
      <c r="RX6" s="81"/>
      <c r="RY6" s="83"/>
      <c r="RZ6" s="83"/>
      <c r="SA6" s="83"/>
      <c r="SB6" s="84"/>
      <c r="SC6" s="83"/>
      <c r="SD6" s="83"/>
      <c r="SE6" s="83"/>
      <c r="SF6" s="32" t="s">
        <v>37</v>
      </c>
      <c r="SG6" s="121" t="str">
        <f>PP6</f>
        <v>Náklady</v>
      </c>
      <c r="SH6" s="121" t="str">
        <f>SG6</f>
        <v>Náklady</v>
      </c>
      <c r="SI6" s="121" t="str">
        <f>SH6</f>
        <v>Náklady</v>
      </c>
      <c r="SJ6" s="122" t="str">
        <f>KN6</f>
        <v>Náklady</v>
      </c>
      <c r="SK6" s="122" t="str">
        <f>KT6</f>
        <v>Náklady</v>
      </c>
      <c r="SL6" s="122" t="str">
        <f>KZ6</f>
        <v>Náklady</v>
      </c>
      <c r="SM6" s="122" t="str">
        <f>LF6</f>
        <v>Náklady</v>
      </c>
      <c r="SN6" s="121" t="str">
        <f>SM6</f>
        <v>Náklady</v>
      </c>
      <c r="SO6" s="121" t="str">
        <f>SN6</f>
        <v>Náklady</v>
      </c>
      <c r="SP6" s="122" t="str">
        <f>LL6</f>
        <v>Náklady</v>
      </c>
      <c r="SQ6" s="122" t="str">
        <f>LR6</f>
        <v>Náklady</v>
      </c>
      <c r="SR6" s="122" t="str">
        <f>LX6</f>
        <v>Náklady</v>
      </c>
      <c r="SS6" s="122" t="str">
        <f>MD6</f>
        <v>Náklady</v>
      </c>
      <c r="ST6" s="122" t="str">
        <f>MJ6</f>
        <v>Náklady</v>
      </c>
      <c r="SU6" s="122" t="str">
        <f>MP6</f>
        <v>Náklady</v>
      </c>
      <c r="SV6" s="121"/>
      <c r="SW6" s="122" t="str">
        <f>MV6</f>
        <v>Náklady</v>
      </c>
      <c r="SX6" s="122" t="str">
        <f>NB6</f>
        <v>Náklady</v>
      </c>
      <c r="SY6" s="122" t="str">
        <f>NH6</f>
        <v>Náklady</v>
      </c>
      <c r="SZ6" s="122" t="str">
        <f>NN6</f>
        <v>Náklady</v>
      </c>
      <c r="TA6" s="122" t="str">
        <f>NT6</f>
        <v>Náklady</v>
      </c>
      <c r="TB6" s="122" t="str">
        <f>NZ6</f>
        <v>Náklady</v>
      </c>
      <c r="TC6" s="122" t="str">
        <f>OF6</f>
        <v>Náklady</v>
      </c>
      <c r="TD6" s="122" t="str">
        <f>OL6</f>
        <v>Náklady</v>
      </c>
      <c r="TE6" s="122" t="str">
        <f>OR6</f>
        <v>Náklady</v>
      </c>
      <c r="TF6" s="122" t="str">
        <f>OX6</f>
        <v>Náklady</v>
      </c>
      <c r="TG6" s="122" t="str">
        <f>PD6</f>
        <v>Náklady</v>
      </c>
      <c r="TH6" s="122" t="str">
        <f>PJ6</f>
        <v>Náklady</v>
      </c>
      <c r="TI6" s="123"/>
      <c r="TJ6" s="121" t="str">
        <f>PQ6</f>
        <v>Požadovaná dotace celkem</v>
      </c>
      <c r="TK6" s="121" t="str">
        <f>TJ6</f>
        <v>Požadovaná dotace celkem</v>
      </c>
      <c r="TL6" s="121" t="str">
        <f>TK6</f>
        <v>Požadovaná dotace celkem</v>
      </c>
      <c r="TM6" s="122" t="str">
        <f>KO6</f>
        <v>Požadovaná dotace celkem</v>
      </c>
      <c r="TN6" s="122" t="str">
        <f>KU6</f>
        <v>Požadovaná dotace celkem</v>
      </c>
      <c r="TO6" s="122" t="str">
        <f>LA6</f>
        <v>Požadovaná dotace celkem</v>
      </c>
      <c r="TP6" s="122" t="str">
        <f>LG6</f>
        <v>Požadovaná dotace celkem</v>
      </c>
      <c r="TQ6" s="121" t="str">
        <f>TP6</f>
        <v>Požadovaná dotace celkem</v>
      </c>
      <c r="TR6" s="121" t="str">
        <f>TQ6</f>
        <v>Požadovaná dotace celkem</v>
      </c>
      <c r="TS6" s="122" t="str">
        <f>LM6</f>
        <v>Požadovaná dotace celkem</v>
      </c>
      <c r="TT6" s="122" t="str">
        <f>LS6</f>
        <v>Požadovaná dotace celkem</v>
      </c>
      <c r="TU6" s="122" t="str">
        <f>LY6</f>
        <v>Požadovaná dotace celkem</v>
      </c>
      <c r="TV6" s="122" t="str">
        <f>ME6</f>
        <v>Požadovaná dotace celkem</v>
      </c>
      <c r="TW6" s="122" t="str">
        <f>MK6</f>
        <v>Požadovaná dotace celkem</v>
      </c>
      <c r="TX6" s="122" t="str">
        <f>MQ6</f>
        <v>Požadovaná dotace celkem</v>
      </c>
      <c r="TY6" s="121" t="str">
        <f>TX6</f>
        <v>Požadovaná dotace celkem</v>
      </c>
      <c r="TZ6" s="122" t="str">
        <f>MW6</f>
        <v>Požadovaná dotace celkem</v>
      </c>
      <c r="UA6" s="122" t="str">
        <f>NC6</f>
        <v>Požadovaná dotace celkem</v>
      </c>
      <c r="UB6" s="122" t="str">
        <f>NI6</f>
        <v>Požadovaná dotace celkem</v>
      </c>
      <c r="UC6" s="122" t="str">
        <f>NO6</f>
        <v>Požadovaná dotace celkem</v>
      </c>
      <c r="UD6" s="122" t="str">
        <f>NU6</f>
        <v>Požadovaná dotace celkem</v>
      </c>
      <c r="UE6" s="122" t="str">
        <f>OA6</f>
        <v>Požadovaná dotace celkem</v>
      </c>
      <c r="UF6" s="122" t="str">
        <f>OG6</f>
        <v>Požadovaná dotace celkem</v>
      </c>
      <c r="UG6" s="122" t="str">
        <f>OM6</f>
        <v>Požadovaná dotace celkem</v>
      </c>
      <c r="UH6" s="122" t="str">
        <f>OS6</f>
        <v>Požadovaná dotace celkem</v>
      </c>
      <c r="UI6" s="122" t="str">
        <f>OY6</f>
        <v>Požadovaná dotace celkem</v>
      </c>
      <c r="UJ6" s="122" t="str">
        <f>PE6</f>
        <v>Požadovaná dotace celkem</v>
      </c>
      <c r="UK6" s="122" t="str">
        <f>PK6</f>
        <v>Požadovaná dotace celkem</v>
      </c>
      <c r="UL6" s="123"/>
      <c r="UM6" s="124" t="str">
        <f>PR6</f>
        <v>Požadovaná dotace na kraj</v>
      </c>
      <c r="UN6" s="124" t="str">
        <f>UM6</f>
        <v>Požadovaná dotace na kraj</v>
      </c>
      <c r="UO6" s="124" t="str">
        <f>UN6</f>
        <v>Požadovaná dotace na kraj</v>
      </c>
      <c r="UP6" s="125" t="str">
        <f>KP6</f>
        <v>Požadovaná dotace na kraj</v>
      </c>
      <c r="UQ6" s="125" t="str">
        <f>KV6</f>
        <v>Požadovaná dotace na kraj</v>
      </c>
      <c r="UR6" s="125" t="str">
        <f>LB6</f>
        <v>Požadovaná dotace na kraj</v>
      </c>
      <c r="US6" s="125" t="str">
        <f>LH6</f>
        <v>Požadovaná dotace na kraj</v>
      </c>
      <c r="UT6" s="124" t="str">
        <f>US6</f>
        <v>Požadovaná dotace na kraj</v>
      </c>
      <c r="UU6" s="124" t="str">
        <f>UT6</f>
        <v>Požadovaná dotace na kraj</v>
      </c>
      <c r="UV6" s="125" t="str">
        <f>LN6</f>
        <v>Požadovaná dotace na kraj</v>
      </c>
      <c r="UW6" s="125" t="str">
        <f>LT6</f>
        <v>Požadovaná dotace na kraj</v>
      </c>
      <c r="UX6" s="125" t="str">
        <f>LZ6</f>
        <v>Požadovaná dotace na kraj</v>
      </c>
      <c r="UY6" s="125" t="str">
        <f>MF6</f>
        <v>Požadovaná dotace na kraj</v>
      </c>
      <c r="UZ6" s="125" t="str">
        <f>ML6</f>
        <v>Požadovaná dotace na kraj</v>
      </c>
      <c r="VA6" s="125" t="str">
        <f>MR6</f>
        <v>Požadovaná dotace na kraj</v>
      </c>
      <c r="VB6" s="124" t="str">
        <f>VA6</f>
        <v>Požadovaná dotace na kraj</v>
      </c>
      <c r="VC6" s="125" t="str">
        <f>MX6</f>
        <v>Požadovaná dotace na kraj</v>
      </c>
      <c r="VD6" s="125" t="str">
        <f>ND6</f>
        <v>Požadovaná dotace na kraj</v>
      </c>
      <c r="VE6" s="125" t="str">
        <f>NJ6</f>
        <v>Požadovaná dotace na kraj</v>
      </c>
      <c r="VF6" s="125" t="str">
        <f>NP6</f>
        <v>Požadovaná dotace na kraj</v>
      </c>
      <c r="VG6" s="125" t="str">
        <f>NV6</f>
        <v>Požadovaná dotace na kraj</v>
      </c>
      <c r="VH6" s="125" t="str">
        <f>OB6</f>
        <v>Požadovaná dotace na kraj</v>
      </c>
      <c r="VI6" s="125" t="str">
        <f>OH6</f>
        <v>Požadovaná dotace na kraj</v>
      </c>
      <c r="VJ6" s="125" t="str">
        <f>ON6</f>
        <v>Požadovaná dotace na kraj</v>
      </c>
      <c r="VK6" s="125" t="str">
        <f>OT6</f>
        <v>Požadovaná dotace na kraj</v>
      </c>
      <c r="VL6" s="125" t="str">
        <f>OZ6</f>
        <v>Požadovaná dotace na kraj</v>
      </c>
      <c r="VM6" s="125" t="str">
        <f>PF6</f>
        <v>Požadovaná dotace na kraj</v>
      </c>
      <c r="VN6" s="125" t="str">
        <f>PL6</f>
        <v>Požadovaná dotace na kraj</v>
      </c>
      <c r="VP6" s="845"/>
      <c r="VQ6" s="845"/>
      <c r="VR6" s="845"/>
      <c r="VS6" s="845"/>
      <c r="VT6" s="845"/>
      <c r="VU6" s="845"/>
      <c r="VV6" s="838"/>
      <c r="VW6" s="838"/>
      <c r="VX6" s="838"/>
      <c r="VY6" s="838"/>
      <c r="VZ6" s="838"/>
      <c r="WA6" s="316"/>
      <c r="WB6" s="316"/>
      <c r="WC6" s="316"/>
      <c r="WD6" s="845"/>
      <c r="WE6" s="845"/>
      <c r="WF6" s="845"/>
      <c r="WG6" s="845"/>
      <c r="WH6" s="845"/>
      <c r="WI6" s="845"/>
      <c r="WJ6" s="845"/>
      <c r="WK6" s="845"/>
      <c r="WL6" s="845"/>
      <c r="WM6" s="845"/>
      <c r="WN6" s="845"/>
      <c r="WO6" s="845"/>
      <c r="WP6" s="845"/>
      <c r="WQ6" s="845"/>
      <c r="WR6" s="845"/>
      <c r="WS6" s="845"/>
      <c r="WT6" s="845"/>
      <c r="WU6" s="845"/>
    </row>
    <row r="7" spans="1:619" ht="15.4" customHeight="1" x14ac:dyDescent="0.25">
      <c r="A7" s="126" t="s">
        <v>203</v>
      </c>
      <c r="B7" s="127" t="s">
        <v>1897</v>
      </c>
      <c r="C7" s="126" t="s">
        <v>1898</v>
      </c>
      <c r="D7" s="126" t="s">
        <v>1899</v>
      </c>
      <c r="E7" s="126" t="s">
        <v>1900</v>
      </c>
      <c r="F7" s="126" t="s">
        <v>1901</v>
      </c>
      <c r="G7" s="126" t="s">
        <v>1902</v>
      </c>
      <c r="H7" s="126" t="s">
        <v>1903</v>
      </c>
      <c r="I7" s="126" t="s">
        <v>1904</v>
      </c>
      <c r="J7" s="126" t="s">
        <v>1905</v>
      </c>
      <c r="K7" s="126" t="s">
        <v>1906</v>
      </c>
      <c r="L7" s="1" t="s">
        <v>1907</v>
      </c>
      <c r="M7" s="1" t="s">
        <v>1908</v>
      </c>
      <c r="N7" s="1" t="s">
        <v>1909</v>
      </c>
      <c r="O7" s="1" t="s">
        <v>1910</v>
      </c>
      <c r="P7" s="1" t="s">
        <v>1911</v>
      </c>
      <c r="Q7" s="1" t="s">
        <v>1912</v>
      </c>
      <c r="R7" s="1" t="s">
        <v>1913</v>
      </c>
      <c r="S7" s="1" t="s">
        <v>1914</v>
      </c>
      <c r="T7" s="1" t="s">
        <v>1915</v>
      </c>
      <c r="U7" s="1" t="s">
        <v>1916</v>
      </c>
      <c r="V7" s="1" t="s">
        <v>1917</v>
      </c>
      <c r="W7" s="1" t="s">
        <v>1918</v>
      </c>
      <c r="X7" s="1" t="s">
        <v>1919</v>
      </c>
      <c r="Y7" s="1" t="s">
        <v>1920</v>
      </c>
      <c r="Z7" s="1" t="s">
        <v>1921</v>
      </c>
      <c r="AA7" s="1" t="s">
        <v>1922</v>
      </c>
      <c r="AB7" s="1" t="s">
        <v>1923</v>
      </c>
      <c r="AC7" s="1" t="s">
        <v>1924</v>
      </c>
      <c r="AD7" s="1" t="s">
        <v>1925</v>
      </c>
      <c r="AE7" s="1" t="s">
        <v>1926</v>
      </c>
      <c r="AF7" s="1" t="s">
        <v>1927</v>
      </c>
      <c r="AG7" s="1" t="s">
        <v>1928</v>
      </c>
      <c r="AH7" s="1" t="s">
        <v>1929</v>
      </c>
      <c r="AI7" s="1" t="s">
        <v>1930</v>
      </c>
      <c r="AJ7" s="1" t="s">
        <v>1931</v>
      </c>
      <c r="AK7" s="1" t="s">
        <v>1932</v>
      </c>
      <c r="AL7" s="1" t="s">
        <v>1933</v>
      </c>
      <c r="AM7" s="1" t="s">
        <v>1934</v>
      </c>
      <c r="AN7" s="1" t="s">
        <v>1935</v>
      </c>
      <c r="AO7" s="1" t="s">
        <v>1936</v>
      </c>
      <c r="AP7" s="1" t="s">
        <v>1937</v>
      </c>
      <c r="AQ7" s="1" t="s">
        <v>1938</v>
      </c>
      <c r="AR7" s="1" t="s">
        <v>1939</v>
      </c>
      <c r="AS7" s="1" t="s">
        <v>1940</v>
      </c>
      <c r="AT7" s="1" t="s">
        <v>1941</v>
      </c>
      <c r="AU7" s="1" t="s">
        <v>1942</v>
      </c>
      <c r="AV7" s="1" t="s">
        <v>1943</v>
      </c>
      <c r="AW7" s="1" t="s">
        <v>1944</v>
      </c>
      <c r="AX7" s="1" t="s">
        <v>1945</v>
      </c>
      <c r="AY7" s="1" t="s">
        <v>1946</v>
      </c>
      <c r="AZ7" s="1" t="s">
        <v>1947</v>
      </c>
      <c r="BA7" s="1" t="s">
        <v>1948</v>
      </c>
      <c r="BB7" s="1" t="s">
        <v>1949</v>
      </c>
      <c r="BC7" s="1" t="s">
        <v>1950</v>
      </c>
      <c r="BD7" s="1" t="s">
        <v>1951</v>
      </c>
      <c r="BE7" s="1" t="s">
        <v>1952</v>
      </c>
      <c r="BF7" s="1" t="s">
        <v>1953</v>
      </c>
      <c r="BG7" s="1" t="s">
        <v>1954</v>
      </c>
      <c r="BH7" s="1" t="s">
        <v>1955</v>
      </c>
      <c r="BI7" s="1" t="s">
        <v>1956</v>
      </c>
      <c r="BJ7" s="1" t="s">
        <v>1957</v>
      </c>
      <c r="BK7" s="1" t="s">
        <v>1958</v>
      </c>
      <c r="BL7" s="1" t="s">
        <v>1959</v>
      </c>
      <c r="BM7" s="1" t="s">
        <v>1960</v>
      </c>
      <c r="BN7" s="1" t="s">
        <v>1961</v>
      </c>
      <c r="BO7" s="1" t="s">
        <v>1962</v>
      </c>
      <c r="BP7" s="1" t="s">
        <v>1963</v>
      </c>
      <c r="BQ7" s="1" t="s">
        <v>1964</v>
      </c>
      <c r="BR7" s="1" t="s">
        <v>1965</v>
      </c>
      <c r="BS7" s="1" t="s">
        <v>1966</v>
      </c>
      <c r="BT7" s="1" t="s">
        <v>1967</v>
      </c>
      <c r="BU7" s="1" t="s">
        <v>1968</v>
      </c>
      <c r="BV7" s="1" t="s">
        <v>1969</v>
      </c>
      <c r="BW7" s="1" t="s">
        <v>1970</v>
      </c>
      <c r="BX7" s="1" t="s">
        <v>1971</v>
      </c>
      <c r="BY7" s="1" t="s">
        <v>1972</v>
      </c>
      <c r="BZ7" s="1" t="s">
        <v>1973</v>
      </c>
      <c r="CA7" s="1" t="s">
        <v>1974</v>
      </c>
      <c r="CB7" s="1" t="s">
        <v>1975</v>
      </c>
      <c r="CC7" s="1" t="s">
        <v>1976</v>
      </c>
      <c r="CD7" s="1" t="s">
        <v>1977</v>
      </c>
      <c r="CE7" s="1" t="s">
        <v>1978</v>
      </c>
      <c r="CF7" s="1" t="s">
        <v>1979</v>
      </c>
      <c r="CG7" s="1" t="s">
        <v>1980</v>
      </c>
      <c r="CH7" s="1" t="s">
        <v>1981</v>
      </c>
      <c r="CI7" s="1" t="s">
        <v>1982</v>
      </c>
      <c r="CJ7" s="1" t="s">
        <v>1983</v>
      </c>
      <c r="CK7" s="1" t="s">
        <v>1984</v>
      </c>
      <c r="CL7" s="1" t="s">
        <v>1985</v>
      </c>
      <c r="CM7" s="1" t="s">
        <v>1986</v>
      </c>
      <c r="CN7" s="1" t="s">
        <v>1987</v>
      </c>
      <c r="CO7" s="1" t="s">
        <v>1988</v>
      </c>
      <c r="CP7" s="1" t="s">
        <v>1989</v>
      </c>
      <c r="CQ7" s="1" t="s">
        <v>1990</v>
      </c>
      <c r="CR7" s="1" t="s">
        <v>1991</v>
      </c>
      <c r="CS7" s="1" t="s">
        <v>1992</v>
      </c>
      <c r="CT7" s="1" t="s">
        <v>1993</v>
      </c>
      <c r="CU7" s="1" t="s">
        <v>1994</v>
      </c>
      <c r="CV7" s="1" t="s">
        <v>1995</v>
      </c>
      <c r="CW7" s="1" t="s">
        <v>1996</v>
      </c>
      <c r="CX7" s="1" t="s">
        <v>1997</v>
      </c>
      <c r="CY7" s="1" t="s">
        <v>1998</v>
      </c>
      <c r="CZ7" s="1" t="s">
        <v>1999</v>
      </c>
      <c r="DA7" s="1" t="s">
        <v>2000</v>
      </c>
      <c r="DB7" s="1" t="s">
        <v>2001</v>
      </c>
      <c r="DC7" s="1" t="s">
        <v>2002</v>
      </c>
      <c r="DD7" s="1" t="s">
        <v>2003</v>
      </c>
      <c r="DE7" s="1" t="s">
        <v>2004</v>
      </c>
      <c r="DF7" s="1" t="s">
        <v>2005</v>
      </c>
      <c r="DG7" s="1" t="s">
        <v>2006</v>
      </c>
      <c r="DH7" s="1" t="s">
        <v>2007</v>
      </c>
      <c r="DI7" s="1" t="s">
        <v>2008</v>
      </c>
      <c r="DJ7" s="1" t="s">
        <v>2009</v>
      </c>
      <c r="DK7" s="1" t="s">
        <v>2010</v>
      </c>
      <c r="DL7" s="1" t="s">
        <v>2011</v>
      </c>
      <c r="DM7" s="1" t="s">
        <v>2012</v>
      </c>
      <c r="DN7" s="1" t="s">
        <v>2013</v>
      </c>
      <c r="DO7" s="1" t="s">
        <v>2014</v>
      </c>
      <c r="DP7" s="1" t="s">
        <v>2015</v>
      </c>
      <c r="DQ7" s="1" t="s">
        <v>2016</v>
      </c>
      <c r="DR7" s="1" t="s">
        <v>2017</v>
      </c>
      <c r="DS7" s="1" t="s">
        <v>2018</v>
      </c>
      <c r="DT7" s="1" t="s">
        <v>2019</v>
      </c>
      <c r="DU7" s="1" t="s">
        <v>2020</v>
      </c>
      <c r="DV7" s="1" t="s">
        <v>2021</v>
      </c>
      <c r="DW7" s="1" t="s">
        <v>2022</v>
      </c>
      <c r="DX7" s="1" t="s">
        <v>2023</v>
      </c>
      <c r="DY7" s="1" t="s">
        <v>2024</v>
      </c>
      <c r="DZ7" s="1" t="s">
        <v>2025</v>
      </c>
      <c r="EA7" s="1" t="s">
        <v>2026</v>
      </c>
      <c r="EB7" s="1" t="s">
        <v>2027</v>
      </c>
      <c r="EC7" s="1" t="s">
        <v>2028</v>
      </c>
      <c r="ED7" s="1" t="s">
        <v>2029</v>
      </c>
      <c r="EE7" s="1" t="s">
        <v>2030</v>
      </c>
      <c r="EF7" s="1" t="s">
        <v>2031</v>
      </c>
      <c r="EG7" s="1" t="s">
        <v>2032</v>
      </c>
      <c r="EH7" s="1" t="s">
        <v>2033</v>
      </c>
      <c r="EI7" s="1" t="s">
        <v>2034</v>
      </c>
      <c r="EJ7" s="1" t="s">
        <v>2035</v>
      </c>
      <c r="EK7" s="1" t="s">
        <v>2036</v>
      </c>
      <c r="EL7" s="1" t="s">
        <v>2037</v>
      </c>
      <c r="EM7" s="1" t="s">
        <v>2038</v>
      </c>
      <c r="EN7" s="1" t="s">
        <v>2039</v>
      </c>
      <c r="EO7" s="1" t="s">
        <v>2040</v>
      </c>
      <c r="EP7" s="1" t="s">
        <v>2041</v>
      </c>
      <c r="EQ7" s="1" t="s">
        <v>2042</v>
      </c>
      <c r="ER7" s="1" t="s">
        <v>2043</v>
      </c>
      <c r="ES7" s="1" t="s">
        <v>2044</v>
      </c>
      <c r="ET7" s="1" t="s">
        <v>2045</v>
      </c>
      <c r="EU7" s="1" t="s">
        <v>2046</v>
      </c>
      <c r="EV7" s="1" t="s">
        <v>2047</v>
      </c>
      <c r="EW7" s="1" t="s">
        <v>2048</v>
      </c>
      <c r="EX7" s="1" t="s">
        <v>2049</v>
      </c>
      <c r="EY7" s="1" t="s">
        <v>2050</v>
      </c>
      <c r="EZ7" s="1" t="s">
        <v>2051</v>
      </c>
      <c r="FA7" s="1" t="s">
        <v>2052</v>
      </c>
      <c r="FB7" s="1" t="s">
        <v>2053</v>
      </c>
      <c r="FC7" s="1" t="s">
        <v>2054</v>
      </c>
      <c r="FD7" s="1" t="s">
        <v>2055</v>
      </c>
      <c r="FE7" s="1" t="s">
        <v>2056</v>
      </c>
      <c r="FF7" s="1" t="s">
        <v>2057</v>
      </c>
      <c r="FG7" s="1" t="s">
        <v>2058</v>
      </c>
      <c r="FH7" s="1" t="s">
        <v>2059</v>
      </c>
      <c r="FI7" s="1" t="s">
        <v>2060</v>
      </c>
      <c r="FJ7" s="1" t="s">
        <v>2061</v>
      </c>
      <c r="FK7" s="1" t="s">
        <v>2062</v>
      </c>
      <c r="FL7" s="1" t="s">
        <v>2063</v>
      </c>
      <c r="FM7" s="1" t="s">
        <v>2064</v>
      </c>
      <c r="FN7" s="1" t="s">
        <v>2065</v>
      </c>
      <c r="FO7" s="1" t="s">
        <v>2066</v>
      </c>
      <c r="FP7" s="1" t="s">
        <v>2067</v>
      </c>
      <c r="FQ7" s="1" t="s">
        <v>2068</v>
      </c>
      <c r="FR7" s="1" t="s">
        <v>2069</v>
      </c>
      <c r="FS7" s="1" t="s">
        <v>2070</v>
      </c>
      <c r="FT7" s="1" t="s">
        <v>2071</v>
      </c>
      <c r="FU7" s="1" t="s">
        <v>2072</v>
      </c>
      <c r="FV7" s="1" t="s">
        <v>2073</v>
      </c>
      <c r="FW7" s="1" t="s">
        <v>2074</v>
      </c>
      <c r="FX7" s="1" t="s">
        <v>2075</v>
      </c>
      <c r="FY7" s="1" t="s">
        <v>2076</v>
      </c>
      <c r="FZ7" s="1" t="s">
        <v>2077</v>
      </c>
      <c r="GA7" s="1" t="s">
        <v>2078</v>
      </c>
      <c r="GB7" s="1" t="s">
        <v>2079</v>
      </c>
      <c r="GC7" s="1" t="s">
        <v>2080</v>
      </c>
      <c r="GD7" s="1" t="s">
        <v>2081</v>
      </c>
      <c r="GE7" s="1" t="s">
        <v>2082</v>
      </c>
      <c r="GF7" s="1" t="s">
        <v>2083</v>
      </c>
      <c r="GG7" s="1" t="s">
        <v>2084</v>
      </c>
      <c r="GH7" s="1" t="s">
        <v>2085</v>
      </c>
      <c r="GI7" s="1" t="s">
        <v>2086</v>
      </c>
      <c r="GJ7" s="1" t="s">
        <v>2087</v>
      </c>
      <c r="GK7" s="1" t="s">
        <v>2088</v>
      </c>
      <c r="GL7" s="1" t="s">
        <v>2089</v>
      </c>
      <c r="GM7" s="1" t="s">
        <v>2090</v>
      </c>
      <c r="GN7" s="1" t="s">
        <v>2091</v>
      </c>
      <c r="GO7" s="1" t="s">
        <v>2092</v>
      </c>
      <c r="GP7" s="1" t="s">
        <v>2093</v>
      </c>
      <c r="GQ7" s="1" t="s">
        <v>2094</v>
      </c>
      <c r="GR7" s="1" t="s">
        <v>2095</v>
      </c>
      <c r="GS7" s="1" t="s">
        <v>2096</v>
      </c>
      <c r="GT7" s="1" t="s">
        <v>2097</v>
      </c>
      <c r="GU7" s="1" t="s">
        <v>2098</v>
      </c>
      <c r="GV7" s="1" t="s">
        <v>2099</v>
      </c>
      <c r="GW7" s="1" t="s">
        <v>2100</v>
      </c>
      <c r="GX7" s="1" t="s">
        <v>2101</v>
      </c>
      <c r="GY7" s="1" t="s">
        <v>2102</v>
      </c>
      <c r="GZ7" s="1" t="s">
        <v>2103</v>
      </c>
      <c r="HA7" s="1" t="s">
        <v>2104</v>
      </c>
      <c r="HB7" s="1" t="s">
        <v>2105</v>
      </c>
      <c r="HC7" s="1" t="s">
        <v>2106</v>
      </c>
      <c r="HD7" s="1" t="s">
        <v>2107</v>
      </c>
      <c r="HE7" s="1" t="s">
        <v>2108</v>
      </c>
      <c r="HF7" s="1" t="s">
        <v>2109</v>
      </c>
      <c r="HG7" s="1" t="s">
        <v>2110</v>
      </c>
      <c r="HH7" s="1" t="s">
        <v>2111</v>
      </c>
      <c r="HI7" s="1" t="s">
        <v>2112</v>
      </c>
      <c r="HJ7" s="1" t="s">
        <v>2113</v>
      </c>
      <c r="HK7" s="1" t="s">
        <v>2114</v>
      </c>
      <c r="HL7" s="1" t="s">
        <v>2115</v>
      </c>
      <c r="HM7" s="1" t="s">
        <v>2116</v>
      </c>
      <c r="HN7" s="1" t="s">
        <v>2117</v>
      </c>
      <c r="HO7" s="1" t="s">
        <v>2118</v>
      </c>
      <c r="HP7" s="1" t="s">
        <v>2119</v>
      </c>
      <c r="HQ7" s="1" t="s">
        <v>2120</v>
      </c>
      <c r="HR7" s="1" t="s">
        <v>2121</v>
      </c>
      <c r="HS7" s="1" t="s">
        <v>2122</v>
      </c>
      <c r="HT7" s="1" t="s">
        <v>2123</v>
      </c>
      <c r="HU7" s="1" t="s">
        <v>2124</v>
      </c>
      <c r="HV7" s="1" t="s">
        <v>2125</v>
      </c>
      <c r="HW7" s="1" t="s">
        <v>2126</v>
      </c>
      <c r="HX7" s="1" t="s">
        <v>2127</v>
      </c>
      <c r="HY7" s="1" t="s">
        <v>2128</v>
      </c>
      <c r="HZ7" s="1" t="s">
        <v>2129</v>
      </c>
      <c r="IA7" s="1" t="s">
        <v>2130</v>
      </c>
      <c r="IB7" s="1" t="s">
        <v>2131</v>
      </c>
      <c r="IC7" s="1" t="s">
        <v>2132</v>
      </c>
      <c r="ID7" s="1" t="s">
        <v>2133</v>
      </c>
      <c r="IE7" s="1" t="s">
        <v>2134</v>
      </c>
      <c r="IF7" s="1" t="s">
        <v>2135</v>
      </c>
      <c r="IG7" s="1" t="s">
        <v>2136</v>
      </c>
      <c r="IH7" s="1" t="s">
        <v>2137</v>
      </c>
      <c r="II7" s="1" t="s">
        <v>2138</v>
      </c>
      <c r="IJ7" s="1" t="s">
        <v>2139</v>
      </c>
      <c r="IK7" s="1" t="s">
        <v>2140</v>
      </c>
      <c r="IL7" s="1" t="s">
        <v>2141</v>
      </c>
      <c r="IM7" s="1" t="s">
        <v>2142</v>
      </c>
      <c r="IN7" s="1" t="s">
        <v>2143</v>
      </c>
      <c r="IO7" s="1" t="s">
        <v>2144</v>
      </c>
      <c r="IP7" s="1" t="s">
        <v>2145</v>
      </c>
      <c r="IQ7" s="1" t="s">
        <v>2146</v>
      </c>
      <c r="IR7" s="1" t="s">
        <v>2147</v>
      </c>
      <c r="IS7" s="1" t="s">
        <v>2148</v>
      </c>
      <c r="IT7" s="1" t="s">
        <v>2149</v>
      </c>
      <c r="IU7" s="1" t="s">
        <v>2150</v>
      </c>
      <c r="IV7" s="1" t="s">
        <v>2151</v>
      </c>
      <c r="IW7" s="1" t="s">
        <v>2152</v>
      </c>
      <c r="IX7" s="1" t="s">
        <v>2153</v>
      </c>
      <c r="IY7" s="1" t="s">
        <v>2154</v>
      </c>
      <c r="IZ7" s="1" t="s">
        <v>2155</v>
      </c>
      <c r="JA7" s="1" t="s">
        <v>2156</v>
      </c>
      <c r="JB7" s="1" t="s">
        <v>2157</v>
      </c>
      <c r="JC7" s="1" t="s">
        <v>2158</v>
      </c>
      <c r="JD7" s="1" t="s">
        <v>2159</v>
      </c>
      <c r="JE7" s="1" t="s">
        <v>2160</v>
      </c>
      <c r="JF7" s="1" t="s">
        <v>2161</v>
      </c>
      <c r="JG7" s="1" t="s">
        <v>2162</v>
      </c>
      <c r="JH7" s="1" t="s">
        <v>2163</v>
      </c>
      <c r="JI7" s="1" t="s">
        <v>2164</v>
      </c>
      <c r="JJ7" s="1" t="s">
        <v>2165</v>
      </c>
      <c r="JK7" s="1" t="s">
        <v>2166</v>
      </c>
      <c r="JL7" s="1" t="s">
        <v>2167</v>
      </c>
      <c r="JM7" s="1" t="s">
        <v>2168</v>
      </c>
      <c r="JN7" s="1" t="s">
        <v>2169</v>
      </c>
      <c r="JO7" s="1" t="s">
        <v>2170</v>
      </c>
      <c r="JP7" s="1" t="s">
        <v>2171</v>
      </c>
      <c r="JQ7" s="1" t="s">
        <v>2172</v>
      </c>
      <c r="JR7" s="1" t="s">
        <v>2173</v>
      </c>
      <c r="JS7" s="1" t="s">
        <v>2174</v>
      </c>
      <c r="JT7" s="1" t="s">
        <v>2175</v>
      </c>
      <c r="JU7" s="1" t="s">
        <v>2176</v>
      </c>
      <c r="JV7" s="1" t="s">
        <v>2177</v>
      </c>
      <c r="JW7" s="1" t="s">
        <v>2178</v>
      </c>
      <c r="JX7" s="1" t="s">
        <v>2179</v>
      </c>
      <c r="JY7" s="1" t="s">
        <v>2180</v>
      </c>
      <c r="JZ7" s="1" t="s">
        <v>2181</v>
      </c>
      <c r="KA7" s="1" t="s">
        <v>2182</v>
      </c>
      <c r="KB7" s="1" t="s">
        <v>2183</v>
      </c>
      <c r="KC7" s="1" t="s">
        <v>2184</v>
      </c>
      <c r="KD7" s="1" t="s">
        <v>2185</v>
      </c>
      <c r="KE7" s="1" t="s">
        <v>2186</v>
      </c>
      <c r="KF7" s="1" t="s">
        <v>2187</v>
      </c>
      <c r="KG7" s="1" t="s">
        <v>2188</v>
      </c>
      <c r="KH7" s="1" t="s">
        <v>2189</v>
      </c>
      <c r="KI7" s="1" t="s">
        <v>205</v>
      </c>
      <c r="KJ7" s="1" t="s">
        <v>206</v>
      </c>
      <c r="KK7" s="1" t="s">
        <v>207</v>
      </c>
      <c r="KL7" s="1" t="s">
        <v>208</v>
      </c>
      <c r="KM7" s="1" t="s">
        <v>209</v>
      </c>
      <c r="KN7" s="1" t="s">
        <v>2190</v>
      </c>
      <c r="KO7" s="1" t="s">
        <v>2191</v>
      </c>
      <c r="KP7" s="1" t="s">
        <v>2192</v>
      </c>
      <c r="KQ7" s="1" t="s">
        <v>2193</v>
      </c>
      <c r="KR7" s="1" t="s">
        <v>2194</v>
      </c>
      <c r="KS7" s="1" t="s">
        <v>2195</v>
      </c>
      <c r="KT7" s="1" t="s">
        <v>2196</v>
      </c>
      <c r="KU7" s="1" t="s">
        <v>2197</v>
      </c>
      <c r="KV7" s="1" t="s">
        <v>2198</v>
      </c>
      <c r="KW7" s="1" t="s">
        <v>2199</v>
      </c>
      <c r="KX7" s="1" t="s">
        <v>2200</v>
      </c>
      <c r="KY7" s="1" t="s">
        <v>2201</v>
      </c>
      <c r="KZ7" s="1" t="s">
        <v>2202</v>
      </c>
      <c r="LA7" s="1" t="s">
        <v>2203</v>
      </c>
      <c r="LB7" s="1" t="s">
        <v>2204</v>
      </c>
      <c r="LC7" s="1" t="s">
        <v>2205</v>
      </c>
      <c r="LD7" s="1" t="s">
        <v>2206</v>
      </c>
      <c r="LE7" s="1" t="s">
        <v>2207</v>
      </c>
      <c r="LF7" s="1" t="s">
        <v>2208</v>
      </c>
      <c r="LG7" s="1" t="s">
        <v>2209</v>
      </c>
      <c r="LH7" s="1" t="s">
        <v>2210</v>
      </c>
      <c r="LI7" s="1" t="s">
        <v>2211</v>
      </c>
      <c r="LJ7" s="1" t="s">
        <v>2212</v>
      </c>
      <c r="LK7" s="1" t="s">
        <v>2213</v>
      </c>
      <c r="LL7" s="1" t="s">
        <v>2214</v>
      </c>
      <c r="LM7" s="1" t="s">
        <v>2215</v>
      </c>
      <c r="LN7" s="1" t="s">
        <v>2216</v>
      </c>
      <c r="LO7" s="1" t="s">
        <v>2217</v>
      </c>
      <c r="LP7" s="1" t="s">
        <v>2218</v>
      </c>
      <c r="LQ7" s="1" t="s">
        <v>2219</v>
      </c>
      <c r="LR7" s="1" t="s">
        <v>2220</v>
      </c>
      <c r="LS7" s="1" t="s">
        <v>2221</v>
      </c>
      <c r="LT7" s="1" t="s">
        <v>2222</v>
      </c>
      <c r="LU7" s="1" t="s">
        <v>2223</v>
      </c>
      <c r="LV7" s="1" t="s">
        <v>2224</v>
      </c>
      <c r="LW7" s="1" t="s">
        <v>2225</v>
      </c>
      <c r="LX7" s="1" t="s">
        <v>2226</v>
      </c>
      <c r="LY7" s="1" t="s">
        <v>2227</v>
      </c>
      <c r="LZ7" s="1" t="s">
        <v>2228</v>
      </c>
      <c r="MA7" s="1" t="s">
        <v>2229</v>
      </c>
      <c r="MB7" s="1" t="s">
        <v>2230</v>
      </c>
      <c r="MC7" s="1" t="s">
        <v>2231</v>
      </c>
      <c r="MD7" s="1" t="s">
        <v>2232</v>
      </c>
      <c r="ME7" s="1" t="s">
        <v>2233</v>
      </c>
      <c r="MF7" s="1" t="s">
        <v>2234</v>
      </c>
      <c r="MG7" s="1" t="s">
        <v>2235</v>
      </c>
      <c r="MH7" s="1" t="s">
        <v>2236</v>
      </c>
      <c r="MI7" s="1" t="s">
        <v>2237</v>
      </c>
      <c r="MJ7" s="1" t="s">
        <v>2238</v>
      </c>
      <c r="MK7" s="1" t="s">
        <v>2239</v>
      </c>
      <c r="ML7" s="1" t="s">
        <v>2240</v>
      </c>
      <c r="MM7" s="1" t="s">
        <v>2241</v>
      </c>
      <c r="MN7" s="1" t="s">
        <v>2242</v>
      </c>
      <c r="MO7" s="1" t="s">
        <v>2243</v>
      </c>
      <c r="MP7" s="1" t="s">
        <v>2244</v>
      </c>
      <c r="MQ7" s="1" t="s">
        <v>2245</v>
      </c>
      <c r="MR7" s="1" t="s">
        <v>2246</v>
      </c>
      <c r="MS7" s="1" t="s">
        <v>2247</v>
      </c>
      <c r="MT7" s="1" t="s">
        <v>2248</v>
      </c>
      <c r="MU7" s="1" t="s">
        <v>2249</v>
      </c>
      <c r="MV7" s="1" t="s">
        <v>2250</v>
      </c>
      <c r="MW7" s="1" t="s">
        <v>2251</v>
      </c>
      <c r="MX7" s="1" t="s">
        <v>2252</v>
      </c>
      <c r="MY7" s="1" t="s">
        <v>2253</v>
      </c>
      <c r="MZ7" s="1" t="s">
        <v>2254</v>
      </c>
      <c r="NA7" s="1" t="s">
        <v>2255</v>
      </c>
      <c r="NB7" s="1" t="s">
        <v>2256</v>
      </c>
      <c r="NC7" s="1" t="s">
        <v>2257</v>
      </c>
      <c r="ND7" s="1" t="s">
        <v>2258</v>
      </c>
      <c r="NE7" s="1" t="s">
        <v>2259</v>
      </c>
      <c r="NF7" s="1" t="s">
        <v>2260</v>
      </c>
      <c r="NG7" s="1" t="s">
        <v>2261</v>
      </c>
      <c r="NH7" s="1" t="s">
        <v>2262</v>
      </c>
      <c r="NI7" s="1" t="s">
        <v>2263</v>
      </c>
      <c r="NJ7" s="1" t="s">
        <v>2264</v>
      </c>
      <c r="NK7" s="1" t="s">
        <v>2265</v>
      </c>
      <c r="NL7" s="1" t="s">
        <v>2266</v>
      </c>
      <c r="NM7" s="1" t="s">
        <v>2267</v>
      </c>
      <c r="NN7" s="1" t="s">
        <v>2268</v>
      </c>
      <c r="NO7" s="1" t="s">
        <v>2269</v>
      </c>
      <c r="NP7" s="1" t="s">
        <v>2270</v>
      </c>
      <c r="NQ7" s="1" t="s">
        <v>2271</v>
      </c>
      <c r="NR7" s="1" t="s">
        <v>2272</v>
      </c>
      <c r="NS7" s="1" t="s">
        <v>2273</v>
      </c>
      <c r="NT7" s="1" t="s">
        <v>2274</v>
      </c>
      <c r="NU7" s="1" t="s">
        <v>2275</v>
      </c>
      <c r="NV7" s="1" t="s">
        <v>2276</v>
      </c>
      <c r="NW7" s="1" t="s">
        <v>2277</v>
      </c>
      <c r="NX7" s="1" t="s">
        <v>2278</v>
      </c>
      <c r="NY7" s="1" t="s">
        <v>2279</v>
      </c>
      <c r="NZ7" s="1" t="s">
        <v>2280</v>
      </c>
      <c r="OA7" s="1" t="s">
        <v>2281</v>
      </c>
      <c r="OB7" s="1" t="s">
        <v>2282</v>
      </c>
      <c r="OC7" s="1" t="s">
        <v>2283</v>
      </c>
      <c r="OD7" s="1" t="s">
        <v>2284</v>
      </c>
      <c r="OE7" s="1" t="s">
        <v>2285</v>
      </c>
      <c r="OF7" s="1" t="s">
        <v>2286</v>
      </c>
      <c r="OG7" s="1" t="s">
        <v>2287</v>
      </c>
      <c r="OH7" s="1" t="s">
        <v>2288</v>
      </c>
      <c r="OI7" s="1" t="s">
        <v>2289</v>
      </c>
      <c r="OJ7" s="1" t="s">
        <v>2290</v>
      </c>
      <c r="OK7" s="1" t="s">
        <v>2291</v>
      </c>
      <c r="OL7" s="1" t="s">
        <v>2292</v>
      </c>
      <c r="OM7" s="1" t="s">
        <v>2293</v>
      </c>
      <c r="ON7" s="1" t="s">
        <v>2294</v>
      </c>
      <c r="OO7" s="1" t="s">
        <v>2295</v>
      </c>
      <c r="OP7" s="1" t="s">
        <v>2296</v>
      </c>
      <c r="OQ7" s="1" t="s">
        <v>2297</v>
      </c>
      <c r="OR7" s="1" t="s">
        <v>2298</v>
      </c>
      <c r="OS7" s="1" t="s">
        <v>2299</v>
      </c>
      <c r="OT7" s="1" t="s">
        <v>2300</v>
      </c>
      <c r="OU7" s="1" t="s">
        <v>2301</v>
      </c>
      <c r="OV7" s="1" t="s">
        <v>2302</v>
      </c>
      <c r="OW7" s="1" t="s">
        <v>2303</v>
      </c>
      <c r="OX7" s="1" t="s">
        <v>2304</v>
      </c>
      <c r="OY7" s="1" t="s">
        <v>2305</v>
      </c>
      <c r="OZ7" s="1" t="s">
        <v>2306</v>
      </c>
      <c r="PA7" s="1" t="s">
        <v>2307</v>
      </c>
      <c r="PB7" s="1" t="s">
        <v>2308</v>
      </c>
      <c r="PC7" s="1" t="s">
        <v>2309</v>
      </c>
      <c r="PD7" s="1" t="s">
        <v>2310</v>
      </c>
      <c r="PE7" s="1" t="s">
        <v>2311</v>
      </c>
      <c r="PF7" s="1" t="s">
        <v>2312</v>
      </c>
      <c r="PG7" s="1" t="s">
        <v>2313</v>
      </c>
      <c r="PH7" s="1" t="s">
        <v>2314</v>
      </c>
      <c r="PI7" s="1" t="s">
        <v>2315</v>
      </c>
      <c r="PJ7" s="1" t="s">
        <v>2316</v>
      </c>
      <c r="PK7" s="1" t="s">
        <v>2317</v>
      </c>
      <c r="PL7" s="1" t="s">
        <v>2318</v>
      </c>
      <c r="PM7" s="1" t="s">
        <v>2319</v>
      </c>
      <c r="PN7" s="1" t="s">
        <v>2320</v>
      </c>
      <c r="PO7" s="1" t="s">
        <v>2321</v>
      </c>
      <c r="PP7" s="1" t="s">
        <v>2322</v>
      </c>
      <c r="PQ7" s="1" t="s">
        <v>2323</v>
      </c>
      <c r="PR7" s="1" t="s">
        <v>2324</v>
      </c>
      <c r="PS7" s="1" t="s">
        <v>2325</v>
      </c>
      <c r="PT7" s="1" t="s">
        <v>2326</v>
      </c>
      <c r="PU7" s="1" t="s">
        <v>2327</v>
      </c>
      <c r="PV7" s="1" t="s">
        <v>2328</v>
      </c>
      <c r="PW7" s="1" t="s">
        <v>2329</v>
      </c>
      <c r="PX7" s="1" t="s">
        <v>2330</v>
      </c>
      <c r="PY7" s="1" t="s">
        <v>2331</v>
      </c>
      <c r="PZ7" s="1" t="s">
        <v>2332</v>
      </c>
      <c r="QA7" s="1" t="s">
        <v>2333</v>
      </c>
      <c r="QB7" s="1" t="s">
        <v>2334</v>
      </c>
      <c r="QC7" s="1" t="s">
        <v>2335</v>
      </c>
      <c r="QD7" s="1" t="s">
        <v>2336</v>
      </c>
      <c r="QE7" s="1" t="s">
        <v>2337</v>
      </c>
      <c r="QF7" s="1" t="s">
        <v>2338</v>
      </c>
      <c r="QG7" s="1" t="s">
        <v>2339</v>
      </c>
      <c r="QH7" s="1" t="s">
        <v>2340</v>
      </c>
      <c r="QI7" s="1" t="s">
        <v>2341</v>
      </c>
      <c r="QJ7" s="1" t="s">
        <v>2342</v>
      </c>
      <c r="QK7" s="1" t="s">
        <v>2343</v>
      </c>
      <c r="QL7" s="1" t="s">
        <v>2344</v>
      </c>
      <c r="QM7" s="1" t="s">
        <v>2345</v>
      </c>
      <c r="QN7" s="1" t="s">
        <v>2346</v>
      </c>
      <c r="QO7" s="1" t="s">
        <v>2347</v>
      </c>
      <c r="QP7" s="1" t="s">
        <v>2348</v>
      </c>
      <c r="QQ7" s="1" t="s">
        <v>2349</v>
      </c>
      <c r="QR7" s="1" t="s">
        <v>2350</v>
      </c>
      <c r="QS7" s="1" t="s">
        <v>2351</v>
      </c>
      <c r="QT7" s="1" t="s">
        <v>2352</v>
      </c>
      <c r="QU7" s="1" t="s">
        <v>2353</v>
      </c>
      <c r="QV7" s="1" t="s">
        <v>2354</v>
      </c>
      <c r="QW7" s="1" t="s">
        <v>2355</v>
      </c>
      <c r="QX7" s="1" t="s">
        <v>2356</v>
      </c>
      <c r="QY7" s="1" t="s">
        <v>2357</v>
      </c>
      <c r="QZ7" s="1" t="s">
        <v>2358</v>
      </c>
      <c r="RA7" s="1" t="s">
        <v>2359</v>
      </c>
      <c r="RB7" s="1" t="s">
        <v>2360</v>
      </c>
      <c r="RC7" s="1" t="s">
        <v>2361</v>
      </c>
      <c r="RD7" s="1" t="s">
        <v>2362</v>
      </c>
      <c r="RE7" s="1" t="s">
        <v>2363</v>
      </c>
      <c r="RF7" s="1" t="s">
        <v>2364</v>
      </c>
      <c r="RG7" s="1" t="s">
        <v>210</v>
      </c>
      <c r="RH7" s="1" t="s">
        <v>211</v>
      </c>
      <c r="RI7" s="1" t="s">
        <v>212</v>
      </c>
      <c r="RJ7" s="1" t="s">
        <v>213</v>
      </c>
      <c r="RK7" s="1" t="s">
        <v>2365</v>
      </c>
      <c r="RL7" s="1" t="s">
        <v>2366</v>
      </c>
      <c r="RM7" s="1" t="s">
        <v>2367</v>
      </c>
      <c r="RN7" s="1" t="s">
        <v>2368</v>
      </c>
      <c r="RO7" s="1" t="s">
        <v>2369</v>
      </c>
      <c r="RP7" s="1" t="s">
        <v>2370</v>
      </c>
      <c r="RQ7" s="1" t="s">
        <v>2371</v>
      </c>
      <c r="RR7" s="1" t="s">
        <v>2372</v>
      </c>
      <c r="RS7" s="1" t="s">
        <v>2373</v>
      </c>
      <c r="RT7" s="1" t="s">
        <v>2374</v>
      </c>
      <c r="RU7" s="29"/>
      <c r="RV7" s="30"/>
      <c r="RW7" s="29"/>
      <c r="RX7" s="29"/>
      <c r="RY7" s="1"/>
      <c r="RZ7" s="1"/>
      <c r="SA7" s="1"/>
      <c r="SB7" s="31"/>
      <c r="SC7" s="1"/>
      <c r="SD7" s="1"/>
      <c r="SE7" s="1"/>
      <c r="SF7" s="126" t="s">
        <v>204</v>
      </c>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P7" s="845"/>
      <c r="VQ7" s="845"/>
      <c r="VR7" s="845"/>
      <c r="VS7" s="845"/>
      <c r="VT7" s="845"/>
      <c r="VU7" s="845"/>
      <c r="VV7" s="838"/>
      <c r="VW7" s="838"/>
      <c r="VX7" s="838"/>
      <c r="VY7" s="838"/>
      <c r="VZ7" s="838"/>
      <c r="WA7" s="316"/>
      <c r="WB7" s="316"/>
      <c r="WC7" s="316"/>
      <c r="WD7" s="845"/>
      <c r="WE7" s="845"/>
      <c r="WF7" s="845"/>
      <c r="WG7" s="845"/>
      <c r="WH7" s="845"/>
      <c r="WI7" s="845"/>
      <c r="WJ7" s="845"/>
      <c r="WK7" s="845"/>
      <c r="WL7" s="845"/>
      <c r="WM7" s="845"/>
      <c r="WN7" s="845"/>
      <c r="WO7" s="845"/>
      <c r="WP7" s="845"/>
      <c r="WQ7" s="845"/>
      <c r="WR7" s="845"/>
      <c r="WS7" s="845"/>
      <c r="WT7" s="845"/>
      <c r="WU7" s="845"/>
    </row>
    <row r="8" spans="1:619" s="128" customFormat="1" x14ac:dyDescent="0.25">
      <c r="A8" s="128" t="str">
        <f>VLOOKUP(F8,'Výpočet VP 2020'!$D$324:$I$588,6,FALSE)</f>
        <v>Je v síti</v>
      </c>
      <c r="B8" s="128" t="s">
        <v>214</v>
      </c>
      <c r="C8" s="128">
        <v>1599682</v>
      </c>
      <c r="D8" s="128" t="s">
        <v>215</v>
      </c>
      <c r="E8" s="128" t="s">
        <v>216</v>
      </c>
      <c r="F8" s="128">
        <v>3673053</v>
      </c>
      <c r="G8" s="128" t="s">
        <v>217</v>
      </c>
      <c r="H8" s="128" t="s">
        <v>218</v>
      </c>
      <c r="I8" s="128" t="s">
        <v>219</v>
      </c>
      <c r="J8" s="129">
        <v>41640</v>
      </c>
      <c r="L8" s="128" t="s">
        <v>220</v>
      </c>
      <c r="X8" s="128" t="s">
        <v>221</v>
      </c>
      <c r="Z8" s="128">
        <v>33</v>
      </c>
      <c r="AA8" s="128">
        <v>43</v>
      </c>
      <c r="AB8" s="128">
        <v>54</v>
      </c>
      <c r="AC8" s="128">
        <v>54</v>
      </c>
      <c r="AD8" s="128">
        <v>54</v>
      </c>
      <c r="AN8" s="128">
        <v>19500</v>
      </c>
      <c r="BL8" s="128" t="s">
        <v>222</v>
      </c>
      <c r="BM8" s="128" t="s">
        <v>223</v>
      </c>
      <c r="BN8" s="128" t="s">
        <v>224</v>
      </c>
      <c r="BO8" s="128">
        <v>1</v>
      </c>
      <c r="BP8" s="128">
        <v>1</v>
      </c>
      <c r="BQ8" s="128">
        <v>5</v>
      </c>
      <c r="BR8" s="128">
        <v>4</v>
      </c>
      <c r="BS8" s="128">
        <v>0</v>
      </c>
      <c r="BT8" s="128">
        <v>3</v>
      </c>
      <c r="BU8" s="128">
        <v>12</v>
      </c>
      <c r="BV8" s="128">
        <v>11</v>
      </c>
      <c r="BW8" s="128">
        <v>17</v>
      </c>
      <c r="BX8" s="128">
        <v>0</v>
      </c>
      <c r="BY8" s="128">
        <v>4</v>
      </c>
      <c r="BZ8" s="128">
        <v>13</v>
      </c>
      <c r="CA8" s="128">
        <v>16</v>
      </c>
      <c r="CB8" s="128">
        <v>21</v>
      </c>
      <c r="CC8" s="128">
        <v>0</v>
      </c>
      <c r="CD8" s="128">
        <v>11</v>
      </c>
      <c r="CE8" s="128">
        <v>43</v>
      </c>
      <c r="CF8" s="128">
        <v>54</v>
      </c>
      <c r="CH8" s="128">
        <v>1</v>
      </c>
      <c r="CI8" s="128">
        <v>1</v>
      </c>
      <c r="CJ8" s="128">
        <v>5</v>
      </c>
      <c r="CK8" s="128">
        <v>3</v>
      </c>
      <c r="CL8" s="128">
        <v>0</v>
      </c>
      <c r="CM8" s="128">
        <v>3</v>
      </c>
      <c r="CN8" s="128">
        <v>12</v>
      </c>
      <c r="CO8" s="128">
        <v>11</v>
      </c>
      <c r="CP8" s="128">
        <v>18</v>
      </c>
      <c r="CQ8" s="128">
        <v>0</v>
      </c>
      <c r="CR8" s="128">
        <v>4</v>
      </c>
      <c r="CS8" s="128">
        <v>13</v>
      </c>
      <c r="CT8" s="128">
        <v>16</v>
      </c>
      <c r="CU8" s="128">
        <v>21</v>
      </c>
      <c r="CV8" s="128">
        <v>0</v>
      </c>
      <c r="CW8" s="128">
        <v>10</v>
      </c>
      <c r="CX8" s="128">
        <v>44</v>
      </c>
      <c r="CY8" s="128">
        <v>54</v>
      </c>
      <c r="EK8" s="128">
        <v>5</v>
      </c>
      <c r="EL8" s="128">
        <v>2.65</v>
      </c>
      <c r="EM8" s="128">
        <v>2.5299999999999998</v>
      </c>
      <c r="EN8" s="128">
        <v>1811330</v>
      </c>
      <c r="EO8" s="128">
        <v>1700000</v>
      </c>
      <c r="EP8" s="128">
        <v>45</v>
      </c>
      <c r="EQ8" s="128">
        <v>13.4</v>
      </c>
      <c r="ER8" s="128">
        <v>12.53</v>
      </c>
      <c r="ES8" s="128">
        <v>6097319</v>
      </c>
      <c r="ET8" s="128">
        <v>5200000</v>
      </c>
      <c r="FJ8" s="128">
        <v>2</v>
      </c>
      <c r="FK8" s="128">
        <v>1.2</v>
      </c>
      <c r="FL8" s="128">
        <v>0.86</v>
      </c>
      <c r="FM8" s="128">
        <v>850954</v>
      </c>
      <c r="FN8" s="128">
        <v>750000</v>
      </c>
      <c r="FO8" s="128">
        <v>10</v>
      </c>
      <c r="FP8" s="128">
        <v>3.85</v>
      </c>
      <c r="FQ8" s="128">
        <v>2.85</v>
      </c>
      <c r="FR8" s="128">
        <v>2328895</v>
      </c>
      <c r="FS8" s="128">
        <v>1790000</v>
      </c>
      <c r="FZ8" s="128">
        <v>1</v>
      </c>
      <c r="GA8" s="128">
        <v>2.5000000000000001E-2</v>
      </c>
      <c r="GB8" s="128">
        <v>12</v>
      </c>
      <c r="GC8" s="128">
        <v>2.5000000000000001E-2</v>
      </c>
      <c r="GD8" s="128">
        <v>9380</v>
      </c>
      <c r="GE8" s="128">
        <v>7000</v>
      </c>
      <c r="GF8" s="128">
        <v>1</v>
      </c>
      <c r="GG8" s="128">
        <v>2.5000000000000001E-2</v>
      </c>
      <c r="GH8" s="128">
        <v>12</v>
      </c>
      <c r="GI8" s="128">
        <v>2.5000000000000001E-2</v>
      </c>
      <c r="GJ8" s="128">
        <v>9380</v>
      </c>
      <c r="GK8" s="128">
        <v>7000</v>
      </c>
      <c r="IN8" s="128">
        <v>3</v>
      </c>
      <c r="IO8" s="128">
        <v>476</v>
      </c>
      <c r="IP8" s="128">
        <v>0.22700000000000001</v>
      </c>
      <c r="IQ8" s="128">
        <v>140200</v>
      </c>
      <c r="IR8" s="128">
        <v>124000</v>
      </c>
      <c r="IS8" s="128">
        <v>4</v>
      </c>
      <c r="IT8" s="128">
        <v>420</v>
      </c>
      <c r="IU8" s="128">
        <v>0.2</v>
      </c>
      <c r="IV8" s="128">
        <v>82400</v>
      </c>
      <c r="IW8" s="128">
        <v>30600</v>
      </c>
      <c r="KG8" s="128">
        <v>5</v>
      </c>
      <c r="KH8" s="128">
        <v>50</v>
      </c>
      <c r="KI8" s="128">
        <v>17.25</v>
      </c>
      <c r="KJ8" s="128">
        <v>0.05</v>
      </c>
      <c r="KK8" s="128">
        <v>0.22700000000000001</v>
      </c>
      <c r="KL8" s="128">
        <v>0</v>
      </c>
      <c r="KM8" s="128">
        <v>17.527000000000001</v>
      </c>
      <c r="KN8" s="128">
        <v>11088498</v>
      </c>
      <c r="KO8" s="128">
        <v>9440000</v>
      </c>
      <c r="KP8" s="128">
        <v>9440000</v>
      </c>
      <c r="KT8" s="128">
        <v>18760</v>
      </c>
      <c r="KU8" s="128">
        <v>14000</v>
      </c>
      <c r="KV8" s="128">
        <v>14000</v>
      </c>
      <c r="KZ8" s="128">
        <v>222600</v>
      </c>
      <c r="LA8" s="128">
        <v>154600</v>
      </c>
      <c r="LB8" s="128">
        <v>154600</v>
      </c>
      <c r="LF8" s="128">
        <v>90000</v>
      </c>
      <c r="LG8" s="128">
        <v>0</v>
      </c>
      <c r="LH8" s="128">
        <v>0</v>
      </c>
      <c r="LL8" s="128">
        <v>0</v>
      </c>
      <c r="LM8" s="128">
        <v>0</v>
      </c>
      <c r="LN8" s="128">
        <v>0</v>
      </c>
      <c r="LR8" s="128">
        <v>0</v>
      </c>
      <c r="LS8" s="128">
        <v>0</v>
      </c>
      <c r="LT8" s="128">
        <v>0</v>
      </c>
      <c r="LX8" s="128">
        <v>18000</v>
      </c>
      <c r="LY8" s="128">
        <v>5000</v>
      </c>
      <c r="LZ8" s="128">
        <v>5000</v>
      </c>
      <c r="MD8" s="128">
        <v>150000</v>
      </c>
      <c r="ME8" s="128">
        <v>50000</v>
      </c>
      <c r="MF8" s="128">
        <v>50000</v>
      </c>
      <c r="MJ8" s="128">
        <v>20000</v>
      </c>
      <c r="MK8" s="128">
        <v>10000</v>
      </c>
      <c r="ML8" s="128">
        <v>10000</v>
      </c>
      <c r="MP8" s="128">
        <v>135000</v>
      </c>
      <c r="MQ8" s="128">
        <v>70000</v>
      </c>
      <c r="MR8" s="128">
        <v>70000</v>
      </c>
      <c r="MV8" s="128">
        <v>330000</v>
      </c>
      <c r="MW8" s="128">
        <v>150000</v>
      </c>
      <c r="MX8" s="128">
        <v>150000</v>
      </c>
      <c r="NB8" s="128">
        <v>65000</v>
      </c>
      <c r="NC8" s="128">
        <v>40000</v>
      </c>
      <c r="ND8" s="128">
        <v>40000</v>
      </c>
      <c r="NH8" s="128">
        <v>749200</v>
      </c>
      <c r="NI8" s="128">
        <v>300000</v>
      </c>
      <c r="NJ8" s="128">
        <v>300000</v>
      </c>
      <c r="NN8" s="128">
        <v>280000</v>
      </c>
      <c r="NO8" s="128">
        <v>150000</v>
      </c>
      <c r="NP8" s="128">
        <v>150000</v>
      </c>
      <c r="NT8" s="128">
        <v>120000</v>
      </c>
      <c r="NU8" s="128">
        <v>60000</v>
      </c>
      <c r="NV8" s="128">
        <v>60000</v>
      </c>
      <c r="NZ8" s="128">
        <v>200000</v>
      </c>
      <c r="OA8" s="128">
        <v>90000</v>
      </c>
      <c r="OB8" s="128">
        <v>90000</v>
      </c>
      <c r="OF8" s="128">
        <v>20000</v>
      </c>
      <c r="OG8" s="128">
        <v>10000</v>
      </c>
      <c r="OH8" s="128">
        <v>10000</v>
      </c>
      <c r="OL8" s="128">
        <v>0</v>
      </c>
      <c r="OM8" s="128">
        <v>0</v>
      </c>
      <c r="ON8" s="128">
        <v>0</v>
      </c>
      <c r="OR8" s="128">
        <v>0</v>
      </c>
      <c r="OS8" s="128">
        <v>0</v>
      </c>
      <c r="OT8" s="128">
        <v>0</v>
      </c>
      <c r="OX8" s="128">
        <v>450000</v>
      </c>
      <c r="OY8" s="128">
        <v>200000</v>
      </c>
      <c r="OZ8" s="128">
        <v>200000</v>
      </c>
      <c r="PD8" s="128">
        <v>80000</v>
      </c>
      <c r="PE8" s="128">
        <v>0</v>
      </c>
      <c r="PF8" s="128">
        <v>0</v>
      </c>
      <c r="PJ8" s="128">
        <v>114193</v>
      </c>
      <c r="PK8" s="128">
        <v>4151</v>
      </c>
      <c r="PL8" s="128">
        <v>4151</v>
      </c>
      <c r="PP8" s="128">
        <v>14151251</v>
      </c>
      <c r="PQ8" s="128">
        <v>10747751</v>
      </c>
      <c r="PR8" s="128">
        <v>10747751</v>
      </c>
      <c r="PS8" s="128">
        <v>100</v>
      </c>
      <c r="PT8" s="128">
        <v>100</v>
      </c>
      <c r="PV8" s="128">
        <v>8668880</v>
      </c>
      <c r="PX8" s="128">
        <v>7940076</v>
      </c>
      <c r="PY8" s="128">
        <v>8898350</v>
      </c>
      <c r="PZ8" s="128">
        <v>10747751</v>
      </c>
      <c r="QA8" s="128">
        <v>0</v>
      </c>
      <c r="QB8" s="128">
        <v>0</v>
      </c>
      <c r="QC8" s="128">
        <v>0</v>
      </c>
      <c r="QD8" s="128">
        <v>0</v>
      </c>
      <c r="QE8" s="128">
        <v>0</v>
      </c>
      <c r="QF8" s="128">
        <v>0</v>
      </c>
      <c r="QG8" s="128">
        <v>0</v>
      </c>
      <c r="QH8" s="128">
        <v>0</v>
      </c>
      <c r="QI8" s="128">
        <v>0</v>
      </c>
      <c r="QJ8" s="128">
        <v>1250719</v>
      </c>
      <c r="QK8" s="128">
        <v>1488914</v>
      </c>
      <c r="QL8" s="128">
        <v>1500000</v>
      </c>
      <c r="QN8" s="128">
        <v>0</v>
      </c>
      <c r="QO8" s="128">
        <v>0</v>
      </c>
      <c r="QP8" s="128">
        <v>0</v>
      </c>
      <c r="QU8" s="128">
        <v>300000</v>
      </c>
      <c r="QV8" s="128">
        <v>0</v>
      </c>
      <c r="QW8" s="128">
        <v>0</v>
      </c>
      <c r="QX8" s="128">
        <v>1383000</v>
      </c>
      <c r="QY8" s="128">
        <v>1395500</v>
      </c>
      <c r="QZ8" s="128">
        <v>1639000</v>
      </c>
      <c r="RA8" s="128">
        <v>260667</v>
      </c>
      <c r="RB8" s="128">
        <v>0</v>
      </c>
      <c r="RC8" s="128">
        <v>0</v>
      </c>
      <c r="RD8" s="128">
        <v>503401</v>
      </c>
      <c r="RE8" s="128">
        <v>276678</v>
      </c>
      <c r="RF8" s="128">
        <v>264500</v>
      </c>
      <c r="RH8" s="128">
        <f>PP8-QL8-QP8</f>
        <v>12651251</v>
      </c>
      <c r="RI8" s="128">
        <v>0</v>
      </c>
      <c r="RM8" s="128" t="s">
        <v>220</v>
      </c>
      <c r="RU8" s="130"/>
      <c r="RV8" s="130"/>
      <c r="RW8" s="130"/>
      <c r="RX8" s="130"/>
      <c r="SF8" s="128">
        <f t="shared" ref="SF8:SF71" si="8">F8</f>
        <v>3673053</v>
      </c>
      <c r="SG8" s="131">
        <f t="shared" ref="SG8:SG71" si="9">PP8</f>
        <v>14151251</v>
      </c>
      <c r="SH8" s="131">
        <f t="shared" ref="SH8:SH71" si="10">SI8+SN8</f>
        <v>14151251</v>
      </c>
      <c r="SI8" s="131">
        <f t="shared" ref="SI8:SI71" si="11">SJ8+SK8+SL8+SM8</f>
        <v>11419858</v>
      </c>
      <c r="SJ8" s="132">
        <f t="shared" ref="SJ8:SJ71" si="12">KN8</f>
        <v>11088498</v>
      </c>
      <c r="SK8" s="132">
        <f t="shared" ref="SK8:SK71" si="13">KT8</f>
        <v>18760</v>
      </c>
      <c r="SL8" s="132">
        <f t="shared" ref="SL8:SL71" si="14">KZ8</f>
        <v>222600</v>
      </c>
      <c r="SM8" s="132">
        <f t="shared" ref="SM8:SM71" si="15">LF8</f>
        <v>90000</v>
      </c>
      <c r="SN8" s="131">
        <f t="shared" ref="SN8:SN71" si="16">SO8+SR8+SS8+ST8+SU8+SV8+TG8+TH8</f>
        <v>2731393</v>
      </c>
      <c r="SO8" s="131">
        <f t="shared" ref="SO8:SO71" si="17">SP8+SQ8</f>
        <v>0</v>
      </c>
      <c r="SP8" s="132">
        <f t="shared" ref="SP8:SP71" si="18">LL8</f>
        <v>0</v>
      </c>
      <c r="SQ8" s="132">
        <f t="shared" ref="SQ8:SQ71" si="19">LR8</f>
        <v>0</v>
      </c>
      <c r="SR8" s="132">
        <f t="shared" ref="SR8:SR71" si="20">LX8</f>
        <v>18000</v>
      </c>
      <c r="SS8" s="132">
        <f t="shared" ref="SS8:SS71" si="21">MD8</f>
        <v>150000</v>
      </c>
      <c r="ST8" s="132">
        <f t="shared" ref="ST8:ST71" si="22">MJ8</f>
        <v>20000</v>
      </c>
      <c r="SU8" s="132">
        <f t="shared" ref="SU8:SU71" si="23">MP8</f>
        <v>135000</v>
      </c>
      <c r="SV8" s="131">
        <f t="shared" ref="SV8:SV71" si="24">SUM(SW8:TF8)</f>
        <v>2214200</v>
      </c>
      <c r="SW8" s="132">
        <f t="shared" ref="SW8:SW71" si="25">MV8</f>
        <v>330000</v>
      </c>
      <c r="SX8" s="132">
        <f t="shared" ref="SX8:SX71" si="26">NB8</f>
        <v>65000</v>
      </c>
      <c r="SY8" s="132">
        <f t="shared" ref="SY8:SY71" si="27">NH8</f>
        <v>749200</v>
      </c>
      <c r="SZ8" s="132">
        <f t="shared" ref="SZ8:SZ71" si="28">NN8</f>
        <v>280000</v>
      </c>
      <c r="TA8" s="132">
        <f t="shared" ref="TA8:TA71" si="29">NT8</f>
        <v>120000</v>
      </c>
      <c r="TB8" s="132">
        <f t="shared" ref="TB8:TB71" si="30">NZ8</f>
        <v>200000</v>
      </c>
      <c r="TC8" s="132">
        <f t="shared" ref="TC8:TC71" si="31">OF8</f>
        <v>20000</v>
      </c>
      <c r="TD8" s="132">
        <f t="shared" ref="TD8:TD71" si="32">OL8</f>
        <v>0</v>
      </c>
      <c r="TE8" s="132">
        <f t="shared" ref="TE8:TE71" si="33">OR8</f>
        <v>0</v>
      </c>
      <c r="TF8" s="132">
        <f t="shared" ref="TF8:TF71" si="34">OX8</f>
        <v>450000</v>
      </c>
      <c r="TG8" s="132">
        <f t="shared" ref="TG8:TG71" si="35">PD8</f>
        <v>80000</v>
      </c>
      <c r="TH8" s="132">
        <f t="shared" ref="TH8:TH71" si="36">PJ8</f>
        <v>114193</v>
      </c>
      <c r="TI8" s="1"/>
      <c r="TJ8" s="131">
        <f t="shared" ref="TJ8:TJ71" si="37">PQ8</f>
        <v>10747751</v>
      </c>
      <c r="TK8" s="131">
        <f t="shared" ref="TK8:TK71" si="38">TL8+TQ8</f>
        <v>10747751</v>
      </c>
      <c r="TL8" s="131">
        <f t="shared" ref="TL8:TL71" si="39">TM8+TN8+TO8+TP8</f>
        <v>9608600</v>
      </c>
      <c r="TM8" s="132">
        <f t="shared" ref="TM8:TM71" si="40">KO8</f>
        <v>9440000</v>
      </c>
      <c r="TN8" s="132">
        <f t="shared" ref="TN8:TN71" si="41">KU8</f>
        <v>14000</v>
      </c>
      <c r="TO8" s="132">
        <f t="shared" ref="TO8:TO71" si="42">LA8</f>
        <v>154600</v>
      </c>
      <c r="TP8" s="132">
        <f t="shared" ref="TP8:TP71" si="43">LG8</f>
        <v>0</v>
      </c>
      <c r="TQ8" s="131">
        <f t="shared" ref="TQ8:TQ71" si="44">TR8+TU8+TV8+TW8+TX8+TY8+UJ8+UK8</f>
        <v>1139151</v>
      </c>
      <c r="TR8" s="131">
        <f t="shared" ref="TR8:TR71" si="45">TS8+TT8</f>
        <v>0</v>
      </c>
      <c r="TS8" s="132">
        <f t="shared" ref="TS8:TS71" si="46">LM8</f>
        <v>0</v>
      </c>
      <c r="TT8" s="132">
        <f t="shared" ref="TT8:TT71" si="47">LS8</f>
        <v>0</v>
      </c>
      <c r="TU8" s="132">
        <f t="shared" ref="TU8:TU71" si="48">LY8</f>
        <v>5000</v>
      </c>
      <c r="TV8" s="132">
        <f t="shared" ref="TV8:TV71" si="49">ME8</f>
        <v>50000</v>
      </c>
      <c r="TW8" s="132">
        <f t="shared" ref="TW8:TW71" si="50">MK8</f>
        <v>10000</v>
      </c>
      <c r="TX8" s="132">
        <f t="shared" ref="TX8:TX71" si="51">MQ8</f>
        <v>70000</v>
      </c>
      <c r="TY8" s="131">
        <f t="shared" ref="TY8:TY71" si="52">SUM(TZ8:UI8)</f>
        <v>1000000</v>
      </c>
      <c r="TZ8" s="132">
        <f t="shared" ref="TZ8:TZ71" si="53">MW8</f>
        <v>150000</v>
      </c>
      <c r="UA8" s="132">
        <f t="shared" ref="UA8:UA71" si="54">NC8</f>
        <v>40000</v>
      </c>
      <c r="UB8" s="132">
        <f t="shared" ref="UB8:UB71" si="55">NI8</f>
        <v>300000</v>
      </c>
      <c r="UC8" s="132">
        <f t="shared" ref="UC8:UC71" si="56">NO8</f>
        <v>150000</v>
      </c>
      <c r="UD8" s="132">
        <f t="shared" ref="UD8:UD71" si="57">NU8</f>
        <v>60000</v>
      </c>
      <c r="UE8" s="132">
        <f t="shared" ref="UE8:UE71" si="58">OA8</f>
        <v>90000</v>
      </c>
      <c r="UF8" s="132">
        <f t="shared" ref="UF8:UF71" si="59">OG8</f>
        <v>10000</v>
      </c>
      <c r="UG8" s="132">
        <f t="shared" ref="UG8:UG71" si="60">OM8</f>
        <v>0</v>
      </c>
      <c r="UH8" s="132">
        <f t="shared" ref="UH8:UH71" si="61">OS8</f>
        <v>0</v>
      </c>
      <c r="UI8" s="132">
        <f t="shared" ref="UI8:UI71" si="62">OY8</f>
        <v>200000</v>
      </c>
      <c r="UJ8" s="132">
        <f t="shared" ref="UJ8:UJ71" si="63">PE8</f>
        <v>0</v>
      </c>
      <c r="UK8" s="132">
        <f t="shared" ref="UK8:UK71" si="64">PK8</f>
        <v>4151</v>
      </c>
      <c r="UL8" s="132">
        <f>PR8</f>
        <v>10747751</v>
      </c>
      <c r="UM8" s="131">
        <f t="shared" ref="UM8:UM71" si="65">PR8</f>
        <v>10747751</v>
      </c>
      <c r="UN8" s="131">
        <f t="shared" ref="UN8:UN71" si="66">UO8+UT8</f>
        <v>10747751</v>
      </c>
      <c r="UO8" s="131">
        <f t="shared" ref="UO8:UO71" si="67">UP8+UQ8+UR8+US8</f>
        <v>9608600</v>
      </c>
      <c r="UP8" s="132">
        <f t="shared" ref="UP8:UP71" si="68">KP8</f>
        <v>9440000</v>
      </c>
      <c r="UQ8" s="132">
        <f t="shared" ref="UQ8:UQ71" si="69">KV8</f>
        <v>14000</v>
      </c>
      <c r="UR8" s="132">
        <f t="shared" ref="UR8:UR71" si="70">LB8</f>
        <v>154600</v>
      </c>
      <c r="US8" s="132">
        <f t="shared" ref="US8:US71" si="71">LH8</f>
        <v>0</v>
      </c>
      <c r="UT8" s="131">
        <f t="shared" ref="UT8:UT71" si="72">UU8+UX8+UY8+UZ8+VA8+VB8+VM8+VN8</f>
        <v>1139151</v>
      </c>
      <c r="UU8" s="131">
        <f t="shared" ref="UU8:UU71" si="73">UV8+UW8</f>
        <v>0</v>
      </c>
      <c r="UV8" s="132">
        <f t="shared" ref="UV8:UV71" si="74">LN8</f>
        <v>0</v>
      </c>
      <c r="UW8" s="132">
        <f t="shared" ref="UW8:UW71" si="75">LT8</f>
        <v>0</v>
      </c>
      <c r="UX8" s="132">
        <f t="shared" ref="UX8:UX71" si="76">LZ8</f>
        <v>5000</v>
      </c>
      <c r="UY8" s="132">
        <f t="shared" ref="UY8:UY71" si="77">MF8</f>
        <v>50000</v>
      </c>
      <c r="UZ8" s="132">
        <f t="shared" ref="UZ8:UZ71" si="78">ML8</f>
        <v>10000</v>
      </c>
      <c r="VA8" s="132">
        <f t="shared" ref="VA8:VA71" si="79">MR8</f>
        <v>70000</v>
      </c>
      <c r="VB8" s="131">
        <f t="shared" ref="VB8:VB71" si="80">SUM(VC8:VL8)</f>
        <v>1000000</v>
      </c>
      <c r="VC8" s="132">
        <f t="shared" ref="VC8:VC71" si="81">MX8</f>
        <v>150000</v>
      </c>
      <c r="VD8" s="132">
        <f t="shared" ref="VD8:VD71" si="82">ND8</f>
        <v>40000</v>
      </c>
      <c r="VE8" s="132">
        <f t="shared" ref="VE8:VE71" si="83">NJ8</f>
        <v>300000</v>
      </c>
      <c r="VF8" s="132">
        <f t="shared" ref="VF8:VF71" si="84">NP8</f>
        <v>150000</v>
      </c>
      <c r="VG8" s="132">
        <f t="shared" ref="VG8:VG71" si="85">NV8</f>
        <v>60000</v>
      </c>
      <c r="VH8" s="132">
        <f t="shared" ref="VH8:VH71" si="86">OB8</f>
        <v>90000</v>
      </c>
      <c r="VI8" s="132">
        <f t="shared" ref="VI8:VI71" si="87">OH8</f>
        <v>10000</v>
      </c>
      <c r="VJ8" s="132">
        <f t="shared" ref="VJ8:VJ71" si="88">ON8</f>
        <v>0</v>
      </c>
      <c r="VK8" s="132">
        <f t="shared" ref="VK8:VK71" si="89">OT8</f>
        <v>0</v>
      </c>
      <c r="VL8" s="132">
        <f t="shared" ref="VL8:VL71" si="90">OZ8</f>
        <v>200000</v>
      </c>
      <c r="VM8" s="132">
        <f t="shared" ref="VM8:VM71" si="91">PF8</f>
        <v>0</v>
      </c>
      <c r="VN8" s="132">
        <f t="shared" ref="VN8:VN71" si="92">PL8</f>
        <v>4151</v>
      </c>
      <c r="VP8" s="845" t="str">
        <f>IFERROR(HLOOKUP(F8,'Hodnocení '!$C$1:$JH$5,2,FALSE),0)</f>
        <v>Denní stacionář APROPO</v>
      </c>
      <c r="VQ8" s="838"/>
      <c r="VR8" s="845" t="str">
        <f>E8</f>
        <v>Obecně prospěšná společnost</v>
      </c>
      <c r="VS8" s="845" t="str">
        <f>IFERROR(HLOOKUP(F8,'Hodnocení '!$C$1:$JH$5,5,FALSE),0)</f>
        <v>NZO</v>
      </c>
      <c r="VT8" s="838">
        <f t="shared" ref="VT8" si="93">IF(VS8="obce",VR8,0)</f>
        <v>0</v>
      </c>
      <c r="VU8" s="838">
        <f t="shared" ref="VU8" si="94">IF(VS8="PO KHK",VS8,0)</f>
        <v>0</v>
      </c>
      <c r="VV8" s="838">
        <f t="shared" ref="VV8" si="95">QL8</f>
        <v>1500000</v>
      </c>
      <c r="VW8" s="838">
        <f t="shared" ref="VW8" si="96">QP8</f>
        <v>0</v>
      </c>
      <c r="VX8" s="838"/>
      <c r="VY8" s="838">
        <f>VZ8-WA8</f>
        <v>0</v>
      </c>
      <c r="VZ8" s="838">
        <f>UM8-VM8</f>
        <v>10747751</v>
      </c>
      <c r="WA8" s="846">
        <f>IFERROR(HLOOKUP($F8,'Hodnocení '!$C$1:$JH$9,9,FALSE),0)</f>
        <v>10747751</v>
      </c>
      <c r="WB8" s="846">
        <f>IF(IFERROR(HLOOKUP($F8,'Hodnocení '!$C$1:$JH$13,13,FALSE),0)&gt;WA8,WA8,IFERROR(HLOOKUP($F8,'Hodnocení '!$C$1:$JH$13,13,FALSE),0))</f>
        <v>10747751</v>
      </c>
      <c r="WC8" s="846">
        <f>IFERROR(HLOOKUP($F8,'Hodnocení '!$C$1:$JH$155,155,FALSE),0)</f>
        <v>10328000</v>
      </c>
      <c r="WD8" s="845"/>
      <c r="WE8" s="845"/>
      <c r="WF8" s="845" t="str">
        <f t="shared" ref="WF8:WF71" si="97">IF(VP8=0,"NE","ANO")</f>
        <v>ANO</v>
      </c>
      <c r="WG8" s="849" t="str">
        <f t="shared" ref="WG8:WJ27" si="98">IF($WF8="ANO",WG$2,WG$1)</f>
        <v>Podpora služby je vyjádřena zařazením do sítě sociálních služeb v KHK a řešením financování služby</v>
      </c>
      <c r="WH8" s="849" t="str">
        <f t="shared" si="9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8" s="849" t="str">
        <f t="shared" si="98"/>
        <v>Návrh dotace je výsledkem projednání s ostatními zadavateli v rámci sítě služeb KHK</v>
      </c>
      <c r="WJ8" s="849" t="str">
        <f t="shared" si="98"/>
        <v>Bez komentáře</v>
      </c>
      <c r="WK8" s="31">
        <f t="shared" ref="WK8:WK71" si="99">IF(VT8="Příspěvková organizace zřízená územním samosprávným celkem","Výše příspěvku ze strany zřizovatele bude řešen v návaznosti na řešení podílů jednotlivých zadavatelů",0)</f>
        <v>0</v>
      </c>
      <c r="WL8" s="850">
        <f t="shared" ref="WL8:WL71" si="100">IF(VU8="PO KHK",CONCATENATE("Případná úprava příspěvku zřizovatele bude řešena v návaznosti na vývoj služby"),0)</f>
        <v>0</v>
      </c>
      <c r="WM8" s="849" t="str">
        <f t="shared" ref="WM8:WM71" si="101">IF($WF8="NE","nehodnoceno",IF($VV8=0,0,WM$2))</f>
        <v>V rámci sítě KHK se dlouhodobě řeší otázka navyšování úhrad a průběžně se monitoruje s vazbou na vykrytí vyrovnávací platby</v>
      </c>
      <c r="WN8" s="849">
        <f t="shared" ref="WN8:WN71" si="102">IF($WF8="NE","nehodnoceno",IF(VW8=0,0,WN$2))</f>
        <v>0</v>
      </c>
      <c r="WO8" s="849" t="str">
        <f t="shared" ref="WO8:WT17" si="103">IF($WF8="NE","nehodnoceno",WO$2)</f>
        <v>bez komentáře</v>
      </c>
      <c r="WP8" s="849" t="str">
        <f t="shared" si="103"/>
        <v>bez komentáře</v>
      </c>
      <c r="WQ8" s="849" t="str">
        <f t="shared" si="103"/>
        <v>Konečná výše dotace z rozpočtu KHK bude řešena v návaznosti na řešení podílů jednotlivých zadavatelů.</v>
      </c>
      <c r="WR8" s="849" t="str">
        <f t="shared" si="103"/>
        <v>Konečná výše podpory ze stran obcí bude řešena v součinnosti s jednotlivými zadavateli v průběhu roku.</v>
      </c>
      <c r="WS8" s="849" t="str">
        <f t="shared" si="103"/>
        <v>bez komentáře</v>
      </c>
      <c r="WT8" s="849" t="str">
        <f t="shared" si="103"/>
        <v>bez komentáře</v>
      </c>
      <c r="WU8" s="845"/>
    </row>
    <row r="9" spans="1:619" s="128" customFormat="1" x14ac:dyDescent="0.25">
      <c r="A9" s="128" t="str">
        <f>VLOOKUP(F9,'Výpočet VP 2020'!$D$324:$I$588,6,FALSE)</f>
        <v>Je v síti</v>
      </c>
      <c r="B9" s="128" t="s">
        <v>214</v>
      </c>
      <c r="C9" s="128">
        <v>1599682</v>
      </c>
      <c r="D9" s="128" t="s">
        <v>215</v>
      </c>
      <c r="E9" s="128" t="s">
        <v>216</v>
      </c>
      <c r="F9" s="128">
        <v>6152074</v>
      </c>
      <c r="G9" s="128" t="s">
        <v>225</v>
      </c>
      <c r="H9" s="128" t="s">
        <v>218</v>
      </c>
      <c r="I9" s="128" t="s">
        <v>226</v>
      </c>
      <c r="J9" s="129">
        <v>41640</v>
      </c>
      <c r="L9" s="128" t="s">
        <v>220</v>
      </c>
      <c r="AP9" s="128" t="s">
        <v>227</v>
      </c>
      <c r="AQ9" s="128">
        <v>8</v>
      </c>
      <c r="AR9" s="128">
        <v>8</v>
      </c>
      <c r="AS9" s="128">
        <v>56</v>
      </c>
      <c r="AT9" s="128">
        <v>56</v>
      </c>
      <c r="AU9" s="128">
        <v>58</v>
      </c>
      <c r="BJ9" s="128">
        <v>9120</v>
      </c>
      <c r="BL9" s="128" t="s">
        <v>222</v>
      </c>
      <c r="BM9" s="128" t="s">
        <v>228</v>
      </c>
      <c r="BN9" s="128" t="s">
        <v>224</v>
      </c>
      <c r="BO9" s="128">
        <v>1</v>
      </c>
      <c r="BP9" s="128">
        <v>3</v>
      </c>
      <c r="BQ9" s="128">
        <v>5</v>
      </c>
      <c r="BR9" s="128">
        <v>3</v>
      </c>
      <c r="BS9" s="128">
        <v>0</v>
      </c>
      <c r="BT9" s="128">
        <v>2</v>
      </c>
      <c r="BU9" s="128">
        <v>12</v>
      </c>
      <c r="BV9" s="128">
        <v>12</v>
      </c>
      <c r="BW9" s="128">
        <v>18</v>
      </c>
      <c r="BX9" s="128">
        <v>0</v>
      </c>
      <c r="BY9" s="128">
        <v>3</v>
      </c>
      <c r="BZ9" s="128">
        <v>15</v>
      </c>
      <c r="CA9" s="128">
        <v>17</v>
      </c>
      <c r="CB9" s="128">
        <v>21</v>
      </c>
      <c r="CC9" s="128">
        <v>0</v>
      </c>
      <c r="CD9" s="128">
        <v>12</v>
      </c>
      <c r="CE9" s="128">
        <v>44</v>
      </c>
      <c r="CF9" s="128">
        <v>56</v>
      </c>
      <c r="CH9" s="128">
        <v>1</v>
      </c>
      <c r="CI9" s="128">
        <v>4</v>
      </c>
      <c r="CJ9" s="128">
        <v>6</v>
      </c>
      <c r="CK9" s="128">
        <v>3</v>
      </c>
      <c r="CL9" s="128">
        <v>0</v>
      </c>
      <c r="CM9" s="128">
        <v>2</v>
      </c>
      <c r="CN9" s="128">
        <v>12</v>
      </c>
      <c r="CO9" s="128">
        <v>12</v>
      </c>
      <c r="CP9" s="128">
        <v>18</v>
      </c>
      <c r="CQ9" s="128">
        <v>0</v>
      </c>
      <c r="CR9" s="128">
        <v>3</v>
      </c>
      <c r="CS9" s="128">
        <v>16</v>
      </c>
      <c r="CT9" s="128">
        <v>18</v>
      </c>
      <c r="CU9" s="128">
        <v>21</v>
      </c>
      <c r="CV9" s="128">
        <v>0</v>
      </c>
      <c r="CW9" s="128">
        <v>14</v>
      </c>
      <c r="CX9" s="128">
        <v>44</v>
      </c>
      <c r="CY9" s="128">
        <v>58</v>
      </c>
      <c r="EK9" s="128">
        <v>6</v>
      </c>
      <c r="EL9" s="128">
        <v>1.3</v>
      </c>
      <c r="EM9" s="128">
        <v>0.98</v>
      </c>
      <c r="EN9" s="128">
        <v>888577</v>
      </c>
      <c r="EO9" s="128">
        <v>800000</v>
      </c>
      <c r="EP9" s="128">
        <v>25</v>
      </c>
      <c r="EQ9" s="128">
        <v>7.6</v>
      </c>
      <c r="ER9" s="128">
        <v>6.41</v>
      </c>
      <c r="ES9" s="128">
        <v>3458181</v>
      </c>
      <c r="ET9" s="128">
        <v>2900000</v>
      </c>
      <c r="FO9" s="128">
        <v>9</v>
      </c>
      <c r="FP9" s="128">
        <v>1.38</v>
      </c>
      <c r="FQ9" s="128">
        <v>0.92</v>
      </c>
      <c r="FR9" s="128">
        <v>853160</v>
      </c>
      <c r="FS9" s="128">
        <v>628000</v>
      </c>
      <c r="GL9" s="128">
        <v>1</v>
      </c>
      <c r="GM9" s="128">
        <v>0.2</v>
      </c>
      <c r="GN9" s="128">
        <v>12</v>
      </c>
      <c r="GO9" s="128">
        <v>0.2</v>
      </c>
      <c r="GP9" s="128">
        <v>75415</v>
      </c>
      <c r="GQ9" s="128">
        <v>30000</v>
      </c>
      <c r="IN9" s="128">
        <v>3</v>
      </c>
      <c r="IO9" s="128">
        <v>600</v>
      </c>
      <c r="IP9" s="128">
        <v>0.28599999999999998</v>
      </c>
      <c r="IQ9" s="128">
        <v>84000</v>
      </c>
      <c r="IR9" s="128">
        <v>42000</v>
      </c>
      <c r="IS9" s="128">
        <v>2</v>
      </c>
      <c r="IT9" s="128">
        <v>100</v>
      </c>
      <c r="IU9" s="128">
        <v>4.8000000000000001E-2</v>
      </c>
      <c r="IV9" s="128">
        <v>9000</v>
      </c>
      <c r="IW9" s="128">
        <v>9000</v>
      </c>
      <c r="KG9" s="128">
        <v>0</v>
      </c>
      <c r="KI9" s="128">
        <v>8.9</v>
      </c>
      <c r="KJ9" s="128">
        <v>0.2</v>
      </c>
      <c r="KK9" s="128">
        <v>0.28599999999999998</v>
      </c>
      <c r="KL9" s="128">
        <v>0</v>
      </c>
      <c r="KM9" s="128">
        <v>9.3859999999999992</v>
      </c>
      <c r="KN9" s="128">
        <v>5199918</v>
      </c>
      <c r="KO9" s="128">
        <v>4328000</v>
      </c>
      <c r="KP9" s="128">
        <v>4328000</v>
      </c>
      <c r="KT9" s="128">
        <v>75415</v>
      </c>
      <c r="KU9" s="128">
        <v>30000</v>
      </c>
      <c r="KV9" s="128">
        <v>30000</v>
      </c>
      <c r="KZ9" s="128">
        <v>93000</v>
      </c>
      <c r="LA9" s="128">
        <v>51000</v>
      </c>
      <c r="LB9" s="128">
        <v>51000</v>
      </c>
      <c r="LF9" s="128">
        <v>30000</v>
      </c>
      <c r="LG9" s="128">
        <v>0</v>
      </c>
      <c r="LH9" s="128">
        <v>0</v>
      </c>
      <c r="LL9" s="128">
        <v>0</v>
      </c>
      <c r="LM9" s="128">
        <v>0</v>
      </c>
      <c r="LN9" s="128">
        <v>0</v>
      </c>
      <c r="LR9" s="128">
        <v>0</v>
      </c>
      <c r="LS9" s="128">
        <v>0</v>
      </c>
      <c r="LT9" s="128">
        <v>0</v>
      </c>
      <c r="LX9" s="128">
        <v>1000</v>
      </c>
      <c r="LY9" s="128">
        <v>0</v>
      </c>
      <c r="LZ9" s="128">
        <v>0</v>
      </c>
      <c r="MD9" s="128">
        <v>20000</v>
      </c>
      <c r="ME9" s="128">
        <v>10000</v>
      </c>
      <c r="MF9" s="128">
        <v>10000</v>
      </c>
      <c r="MJ9" s="128">
        <v>6000</v>
      </c>
      <c r="MK9" s="128">
        <v>5000</v>
      </c>
      <c r="ML9" s="128">
        <v>5000</v>
      </c>
      <c r="MP9" s="128">
        <v>10000</v>
      </c>
      <c r="MQ9" s="128">
        <v>5000</v>
      </c>
      <c r="MR9" s="128">
        <v>5000</v>
      </c>
      <c r="MV9" s="128">
        <v>19000</v>
      </c>
      <c r="MW9" s="128">
        <v>5000</v>
      </c>
      <c r="MX9" s="128">
        <v>5000</v>
      </c>
      <c r="NB9" s="128">
        <v>22000</v>
      </c>
      <c r="NC9" s="128">
        <v>15000</v>
      </c>
      <c r="ND9" s="128">
        <v>15000</v>
      </c>
      <c r="NH9" s="128">
        <v>5525</v>
      </c>
      <c r="NI9" s="128">
        <v>5000</v>
      </c>
      <c r="NJ9" s="128">
        <v>5000</v>
      </c>
      <c r="NN9" s="128">
        <v>90000</v>
      </c>
      <c r="NO9" s="128">
        <v>55000</v>
      </c>
      <c r="NP9" s="128">
        <v>55000</v>
      </c>
      <c r="NT9" s="128">
        <v>35000</v>
      </c>
      <c r="NU9" s="128">
        <v>20000</v>
      </c>
      <c r="NV9" s="128">
        <v>20000</v>
      </c>
      <c r="NZ9" s="128">
        <v>40000</v>
      </c>
      <c r="OA9" s="128">
        <v>20000</v>
      </c>
      <c r="OB9" s="128">
        <v>20000</v>
      </c>
      <c r="OF9" s="128">
        <v>7000</v>
      </c>
      <c r="OG9" s="128">
        <v>5000</v>
      </c>
      <c r="OH9" s="128">
        <v>5000</v>
      </c>
      <c r="OL9" s="128">
        <v>0</v>
      </c>
      <c r="OM9" s="128">
        <v>0</v>
      </c>
      <c r="ON9" s="128">
        <v>0</v>
      </c>
      <c r="OR9" s="128">
        <v>0</v>
      </c>
      <c r="OS9" s="128">
        <v>0</v>
      </c>
      <c r="OT9" s="128">
        <v>0</v>
      </c>
      <c r="OX9" s="128">
        <v>75000</v>
      </c>
      <c r="OY9" s="128">
        <v>55000</v>
      </c>
      <c r="OZ9" s="128">
        <v>55000</v>
      </c>
      <c r="PD9" s="128">
        <v>15000</v>
      </c>
      <c r="PE9" s="128">
        <v>0</v>
      </c>
      <c r="PF9" s="128">
        <v>0</v>
      </c>
      <c r="PJ9" s="128">
        <v>35000</v>
      </c>
      <c r="PK9" s="128">
        <v>9835</v>
      </c>
      <c r="PL9" s="128">
        <v>9835</v>
      </c>
      <c r="PP9" s="128">
        <v>5778858</v>
      </c>
      <c r="PQ9" s="128">
        <v>4618835</v>
      </c>
      <c r="PR9" s="128">
        <v>4618835</v>
      </c>
      <c r="PS9" s="128">
        <v>100</v>
      </c>
      <c r="PT9" s="128">
        <v>100</v>
      </c>
      <c r="PX9" s="128">
        <v>3142589</v>
      </c>
      <c r="PY9" s="128">
        <v>3484600</v>
      </c>
      <c r="PZ9" s="128">
        <v>4618835</v>
      </c>
      <c r="QA9" s="128">
        <v>0</v>
      </c>
      <c r="QB9" s="128">
        <v>0</v>
      </c>
      <c r="QC9" s="128">
        <v>0</v>
      </c>
      <c r="QD9" s="128">
        <v>0</v>
      </c>
      <c r="QE9" s="128">
        <v>0</v>
      </c>
      <c r="QF9" s="128">
        <v>0</v>
      </c>
      <c r="QG9" s="128">
        <v>0</v>
      </c>
      <c r="QH9" s="128">
        <v>0</v>
      </c>
      <c r="QI9" s="128">
        <v>0</v>
      </c>
      <c r="QJ9" s="128">
        <v>314795</v>
      </c>
      <c r="QK9" s="128">
        <v>635860</v>
      </c>
      <c r="QL9" s="128">
        <v>780000</v>
      </c>
      <c r="QN9" s="128">
        <v>0</v>
      </c>
      <c r="QO9" s="128">
        <v>0</v>
      </c>
      <c r="QP9" s="128">
        <v>0</v>
      </c>
      <c r="QU9" s="128">
        <v>104721</v>
      </c>
      <c r="QV9" s="128">
        <v>0</v>
      </c>
      <c r="QW9" s="128">
        <v>0</v>
      </c>
      <c r="QX9" s="128">
        <v>341000</v>
      </c>
      <c r="QY9" s="128">
        <v>350000</v>
      </c>
      <c r="QZ9" s="128">
        <v>349000</v>
      </c>
      <c r="RA9" s="128">
        <v>77877</v>
      </c>
      <c r="RB9" s="128">
        <v>0</v>
      </c>
      <c r="RC9" s="128">
        <v>0</v>
      </c>
      <c r="RD9" s="128">
        <v>306593</v>
      </c>
      <c r="RE9" s="128">
        <v>170369</v>
      </c>
      <c r="RF9" s="128">
        <v>31023</v>
      </c>
      <c r="RH9" s="128">
        <f t="shared" ref="RH9:RH72" si="104">PP9-QL9-QP9</f>
        <v>4998858</v>
      </c>
      <c r="RI9" s="128">
        <v>0</v>
      </c>
      <c r="RM9" s="128" t="s">
        <v>220</v>
      </c>
      <c r="RU9" s="130"/>
      <c r="RV9" s="130"/>
      <c r="RW9" s="130"/>
      <c r="RX9" s="130"/>
      <c r="SF9" s="128">
        <f t="shared" si="8"/>
        <v>6152074</v>
      </c>
      <c r="SG9" s="131">
        <f t="shared" si="9"/>
        <v>5778858</v>
      </c>
      <c r="SH9" s="131">
        <f t="shared" si="10"/>
        <v>5778858</v>
      </c>
      <c r="SI9" s="131">
        <f t="shared" si="11"/>
        <v>5398333</v>
      </c>
      <c r="SJ9" s="132">
        <f t="shared" si="12"/>
        <v>5199918</v>
      </c>
      <c r="SK9" s="132">
        <f t="shared" si="13"/>
        <v>75415</v>
      </c>
      <c r="SL9" s="132">
        <f t="shared" si="14"/>
        <v>93000</v>
      </c>
      <c r="SM9" s="132">
        <f t="shared" si="15"/>
        <v>30000</v>
      </c>
      <c r="SN9" s="131">
        <f t="shared" si="16"/>
        <v>380525</v>
      </c>
      <c r="SO9" s="131">
        <f t="shared" si="17"/>
        <v>0</v>
      </c>
      <c r="SP9" s="132">
        <f t="shared" si="18"/>
        <v>0</v>
      </c>
      <c r="SQ9" s="132">
        <f t="shared" si="19"/>
        <v>0</v>
      </c>
      <c r="SR9" s="132">
        <f t="shared" si="20"/>
        <v>1000</v>
      </c>
      <c r="SS9" s="132">
        <f t="shared" si="21"/>
        <v>20000</v>
      </c>
      <c r="ST9" s="132">
        <f t="shared" si="22"/>
        <v>6000</v>
      </c>
      <c r="SU9" s="132">
        <f t="shared" si="23"/>
        <v>10000</v>
      </c>
      <c r="SV9" s="131">
        <f t="shared" si="24"/>
        <v>293525</v>
      </c>
      <c r="SW9" s="132">
        <f t="shared" si="25"/>
        <v>19000</v>
      </c>
      <c r="SX9" s="132">
        <f t="shared" si="26"/>
        <v>22000</v>
      </c>
      <c r="SY9" s="132">
        <f t="shared" si="27"/>
        <v>5525</v>
      </c>
      <c r="SZ9" s="132">
        <f t="shared" si="28"/>
        <v>90000</v>
      </c>
      <c r="TA9" s="132">
        <f t="shared" si="29"/>
        <v>35000</v>
      </c>
      <c r="TB9" s="132">
        <f t="shared" si="30"/>
        <v>40000</v>
      </c>
      <c r="TC9" s="132">
        <f t="shared" si="31"/>
        <v>7000</v>
      </c>
      <c r="TD9" s="132">
        <f t="shared" si="32"/>
        <v>0</v>
      </c>
      <c r="TE9" s="132">
        <f t="shared" si="33"/>
        <v>0</v>
      </c>
      <c r="TF9" s="132">
        <f t="shared" si="34"/>
        <v>75000</v>
      </c>
      <c r="TG9" s="132">
        <f t="shared" si="35"/>
        <v>15000</v>
      </c>
      <c r="TH9" s="132">
        <f t="shared" si="36"/>
        <v>35000</v>
      </c>
      <c r="TI9" s="1"/>
      <c r="TJ9" s="131">
        <f t="shared" si="37"/>
        <v>4618835</v>
      </c>
      <c r="TK9" s="131">
        <f t="shared" si="38"/>
        <v>4618835</v>
      </c>
      <c r="TL9" s="131">
        <f t="shared" si="39"/>
        <v>4409000</v>
      </c>
      <c r="TM9" s="132">
        <f t="shared" si="40"/>
        <v>4328000</v>
      </c>
      <c r="TN9" s="132">
        <f t="shared" si="41"/>
        <v>30000</v>
      </c>
      <c r="TO9" s="132">
        <f t="shared" si="42"/>
        <v>51000</v>
      </c>
      <c r="TP9" s="132">
        <f t="shared" si="43"/>
        <v>0</v>
      </c>
      <c r="TQ9" s="131">
        <f t="shared" si="44"/>
        <v>209835</v>
      </c>
      <c r="TR9" s="131">
        <f t="shared" si="45"/>
        <v>0</v>
      </c>
      <c r="TS9" s="132">
        <f t="shared" si="46"/>
        <v>0</v>
      </c>
      <c r="TT9" s="132">
        <f t="shared" si="47"/>
        <v>0</v>
      </c>
      <c r="TU9" s="132">
        <f t="shared" si="48"/>
        <v>0</v>
      </c>
      <c r="TV9" s="132">
        <f t="shared" si="49"/>
        <v>10000</v>
      </c>
      <c r="TW9" s="132">
        <f t="shared" si="50"/>
        <v>5000</v>
      </c>
      <c r="TX9" s="132">
        <f t="shared" si="51"/>
        <v>5000</v>
      </c>
      <c r="TY9" s="131">
        <f t="shared" si="52"/>
        <v>180000</v>
      </c>
      <c r="TZ9" s="132">
        <f t="shared" si="53"/>
        <v>5000</v>
      </c>
      <c r="UA9" s="132">
        <f t="shared" si="54"/>
        <v>15000</v>
      </c>
      <c r="UB9" s="132">
        <f t="shared" si="55"/>
        <v>5000</v>
      </c>
      <c r="UC9" s="132">
        <f t="shared" si="56"/>
        <v>55000</v>
      </c>
      <c r="UD9" s="132">
        <f t="shared" si="57"/>
        <v>20000</v>
      </c>
      <c r="UE9" s="132">
        <f t="shared" si="58"/>
        <v>20000</v>
      </c>
      <c r="UF9" s="132">
        <f t="shared" si="59"/>
        <v>5000</v>
      </c>
      <c r="UG9" s="132">
        <f t="shared" si="60"/>
        <v>0</v>
      </c>
      <c r="UH9" s="132">
        <f t="shared" si="61"/>
        <v>0</v>
      </c>
      <c r="UI9" s="132">
        <f t="shared" si="62"/>
        <v>55000</v>
      </c>
      <c r="UJ9" s="132">
        <f t="shared" si="63"/>
        <v>0</v>
      </c>
      <c r="UK9" s="132">
        <f t="shared" si="64"/>
        <v>9835</v>
      </c>
      <c r="UL9" s="132">
        <f t="shared" ref="UL9:UL72" si="105">PR9</f>
        <v>4618835</v>
      </c>
      <c r="UM9" s="131">
        <f t="shared" si="65"/>
        <v>4618835</v>
      </c>
      <c r="UN9" s="131">
        <f t="shared" si="66"/>
        <v>4618835</v>
      </c>
      <c r="UO9" s="131">
        <f t="shared" si="67"/>
        <v>4409000</v>
      </c>
      <c r="UP9" s="132">
        <f t="shared" si="68"/>
        <v>4328000</v>
      </c>
      <c r="UQ9" s="132">
        <f t="shared" si="69"/>
        <v>30000</v>
      </c>
      <c r="UR9" s="132">
        <f t="shared" si="70"/>
        <v>51000</v>
      </c>
      <c r="US9" s="132">
        <f t="shared" si="71"/>
        <v>0</v>
      </c>
      <c r="UT9" s="131">
        <f t="shared" si="72"/>
        <v>209835</v>
      </c>
      <c r="UU9" s="131">
        <f t="shared" si="73"/>
        <v>0</v>
      </c>
      <c r="UV9" s="132">
        <f t="shared" si="74"/>
        <v>0</v>
      </c>
      <c r="UW9" s="132">
        <f t="shared" si="75"/>
        <v>0</v>
      </c>
      <c r="UX9" s="132">
        <f t="shared" si="76"/>
        <v>0</v>
      </c>
      <c r="UY9" s="132">
        <f t="shared" si="77"/>
        <v>10000</v>
      </c>
      <c r="UZ9" s="132">
        <f t="shared" si="78"/>
        <v>5000</v>
      </c>
      <c r="VA9" s="132">
        <f t="shared" si="79"/>
        <v>5000</v>
      </c>
      <c r="VB9" s="131">
        <f t="shared" si="80"/>
        <v>180000</v>
      </c>
      <c r="VC9" s="132">
        <f t="shared" si="81"/>
        <v>5000</v>
      </c>
      <c r="VD9" s="132">
        <f t="shared" si="82"/>
        <v>15000</v>
      </c>
      <c r="VE9" s="132">
        <f t="shared" si="83"/>
        <v>5000</v>
      </c>
      <c r="VF9" s="132">
        <f t="shared" si="84"/>
        <v>55000</v>
      </c>
      <c r="VG9" s="132">
        <f t="shared" si="85"/>
        <v>20000</v>
      </c>
      <c r="VH9" s="132">
        <f t="shared" si="86"/>
        <v>20000</v>
      </c>
      <c r="VI9" s="132">
        <f t="shared" si="87"/>
        <v>5000</v>
      </c>
      <c r="VJ9" s="132">
        <f t="shared" si="88"/>
        <v>0</v>
      </c>
      <c r="VK9" s="132">
        <f t="shared" si="89"/>
        <v>0</v>
      </c>
      <c r="VL9" s="132">
        <f t="shared" si="90"/>
        <v>55000</v>
      </c>
      <c r="VM9" s="132">
        <f t="shared" si="91"/>
        <v>0</v>
      </c>
      <c r="VN9" s="132">
        <f t="shared" si="92"/>
        <v>9835</v>
      </c>
      <c r="VP9" s="845" t="str">
        <f>IFERROR(HLOOKUP(F9,'Hodnocení '!$C$1:$JH$5,2,FALSE),0)</f>
        <v>Osobní asistence APROPO</v>
      </c>
      <c r="VQ9" s="838"/>
      <c r="VR9" s="845" t="str">
        <f t="shared" ref="VR9:VR72" si="106">E9</f>
        <v>Obecně prospěšná společnost</v>
      </c>
      <c r="VS9" s="845" t="str">
        <f>IFERROR(HLOOKUP(F9,'Hodnocení '!$C$1:$JH$5,5,FALSE),0)</f>
        <v>NZO</v>
      </c>
      <c r="VT9" s="838">
        <f t="shared" ref="VT9:VT72" si="107">IF(VS9="obce",VR9,0)</f>
        <v>0</v>
      </c>
      <c r="VU9" s="838">
        <f t="shared" ref="VU9:VU72" si="108">IF(VS9="PO KHK",VS9,0)</f>
        <v>0</v>
      </c>
      <c r="VV9" s="838">
        <f t="shared" ref="VV9:VV72" si="109">QL9</f>
        <v>780000</v>
      </c>
      <c r="VW9" s="838">
        <f t="shared" ref="VW9:VW72" si="110">QP9</f>
        <v>0</v>
      </c>
      <c r="VX9" s="838"/>
      <c r="VY9" s="838">
        <f t="shared" ref="VY9:VY21" si="111">VZ9-WA9</f>
        <v>0</v>
      </c>
      <c r="VZ9" s="838">
        <f t="shared" ref="VZ9:VZ21" si="112">UM9-VM9</f>
        <v>4618835</v>
      </c>
      <c r="WA9" s="846">
        <f>IFERROR(HLOOKUP($F9,'Hodnocení '!$C$1:$JH$9,9,FALSE),0)</f>
        <v>4618835</v>
      </c>
      <c r="WB9" s="846">
        <f>IF(IFERROR(HLOOKUP($F9,'Hodnocení '!$C$1:$JH$13,13,FALSE),0)&gt;WA9,WA9,IFERROR(HLOOKUP($F9,'Hodnocení '!$C$1:$JH$13,13,FALSE),0))</f>
        <v>3978884.7088353573</v>
      </c>
      <c r="WC9" s="846">
        <f>IFERROR(HLOOKUP($F9,'Hodnocení '!$C$1:$JH$155,155,FALSE),0)</f>
        <v>3616880</v>
      </c>
      <c r="WD9" s="845"/>
      <c r="WE9" s="845"/>
      <c r="WF9" s="845" t="str">
        <f t="shared" si="97"/>
        <v>ANO</v>
      </c>
      <c r="WG9" s="849" t="str">
        <f t="shared" si="98"/>
        <v>Podpora služby je vyjádřena zařazením do sítě sociálních služeb v KHK a řešením financování služby</v>
      </c>
      <c r="WH9" s="849" t="str">
        <f t="shared" si="9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9" s="849" t="str">
        <f t="shared" si="98"/>
        <v>Návrh dotace je výsledkem projednání s ostatními zadavateli v rámci sítě služeb KHK</v>
      </c>
      <c r="WJ9" s="849" t="str">
        <f t="shared" si="98"/>
        <v>Bez komentáře</v>
      </c>
      <c r="WK9" s="31">
        <f t="shared" si="99"/>
        <v>0</v>
      </c>
      <c r="WL9" s="850">
        <f t="shared" si="100"/>
        <v>0</v>
      </c>
      <c r="WM9" s="849" t="str">
        <f t="shared" si="101"/>
        <v>V rámci sítě KHK se dlouhodobě řeší otázka navyšování úhrad a průběžně se monitoruje s vazbou na vykrytí vyrovnávací platby</v>
      </c>
      <c r="WN9" s="849">
        <f t="shared" si="102"/>
        <v>0</v>
      </c>
      <c r="WO9" s="849" t="str">
        <f t="shared" si="103"/>
        <v>bez komentáře</v>
      </c>
      <c r="WP9" s="849" t="str">
        <f t="shared" si="103"/>
        <v>bez komentáře</v>
      </c>
      <c r="WQ9" s="849" t="str">
        <f t="shared" si="103"/>
        <v>Konečná výše dotace z rozpočtu KHK bude řešena v návaznosti na řešení podílů jednotlivých zadavatelů.</v>
      </c>
      <c r="WR9" s="849" t="str">
        <f t="shared" si="103"/>
        <v>Konečná výše podpory ze stran obcí bude řešena v součinnosti s jednotlivými zadavateli v průběhu roku.</v>
      </c>
      <c r="WS9" s="849" t="str">
        <f t="shared" si="103"/>
        <v>bez komentáře</v>
      </c>
      <c r="WT9" s="849" t="str">
        <f t="shared" si="103"/>
        <v>bez komentáře</v>
      </c>
      <c r="WU9" s="845"/>
    </row>
    <row r="10" spans="1:619" s="128" customFormat="1" x14ac:dyDescent="0.25">
      <c r="A10" s="128" t="str">
        <f>VLOOKUP(F10,'Výpočet VP 2020'!$D$324:$I$588,6,FALSE)</f>
        <v>Je v síti</v>
      </c>
      <c r="B10" s="128" t="s">
        <v>214</v>
      </c>
      <c r="C10" s="128">
        <v>1599682</v>
      </c>
      <c r="D10" s="128" t="s">
        <v>215</v>
      </c>
      <c r="E10" s="128" t="s">
        <v>216</v>
      </c>
      <c r="F10" s="128">
        <v>7365832</v>
      </c>
      <c r="G10" s="128" t="s">
        <v>229</v>
      </c>
      <c r="H10" s="128" t="s">
        <v>230</v>
      </c>
      <c r="I10" s="128" t="s">
        <v>231</v>
      </c>
      <c r="J10" s="129">
        <v>43466</v>
      </c>
      <c r="L10" s="128" t="s">
        <v>220</v>
      </c>
      <c r="X10" s="128" t="s">
        <v>232</v>
      </c>
      <c r="Z10" s="128">
        <v>10</v>
      </c>
      <c r="AA10" s="128">
        <v>10</v>
      </c>
      <c r="AB10" s="128">
        <v>0</v>
      </c>
      <c r="AC10" s="128">
        <v>12</v>
      </c>
      <c r="AD10" s="128">
        <v>13</v>
      </c>
      <c r="BL10" s="128" t="s">
        <v>233</v>
      </c>
      <c r="BM10" s="128" t="s">
        <v>228</v>
      </c>
      <c r="BN10" s="128" t="s">
        <v>234</v>
      </c>
      <c r="EK10" s="128">
        <v>1</v>
      </c>
      <c r="EL10" s="128">
        <v>0.3</v>
      </c>
      <c r="EM10" s="128">
        <v>0.3</v>
      </c>
      <c r="EN10" s="128">
        <v>205056</v>
      </c>
      <c r="EO10" s="128">
        <v>180000</v>
      </c>
      <c r="EP10" s="128">
        <v>4</v>
      </c>
      <c r="EQ10" s="128">
        <v>1.528</v>
      </c>
      <c r="ER10" s="128">
        <v>1.58</v>
      </c>
      <c r="ES10" s="128">
        <v>695276</v>
      </c>
      <c r="ET10" s="128">
        <v>580000</v>
      </c>
      <c r="FO10" s="128">
        <v>9</v>
      </c>
      <c r="FP10" s="128">
        <v>0.64300000000000002</v>
      </c>
      <c r="FQ10" s="128">
        <v>0.52</v>
      </c>
      <c r="FR10" s="128">
        <v>357180</v>
      </c>
      <c r="FS10" s="128">
        <v>205000</v>
      </c>
      <c r="IS10" s="128">
        <v>1</v>
      </c>
      <c r="IT10" s="128">
        <v>300</v>
      </c>
      <c r="IU10" s="128">
        <v>0.14299999999999999</v>
      </c>
      <c r="IV10" s="128">
        <v>72000</v>
      </c>
      <c r="IW10" s="128">
        <v>6000</v>
      </c>
      <c r="KG10" s="128">
        <v>0</v>
      </c>
      <c r="KI10" s="128">
        <v>1.8280000000000001</v>
      </c>
      <c r="KJ10" s="128">
        <v>0</v>
      </c>
      <c r="KK10" s="128">
        <v>0</v>
      </c>
      <c r="KL10" s="128">
        <v>0</v>
      </c>
      <c r="KM10" s="128">
        <v>1.8280000000000001</v>
      </c>
      <c r="KN10" s="128">
        <v>1257512</v>
      </c>
      <c r="KO10" s="128">
        <v>965000</v>
      </c>
      <c r="KP10" s="128">
        <v>965000</v>
      </c>
      <c r="KT10" s="128">
        <v>0</v>
      </c>
      <c r="KU10" s="128">
        <v>0</v>
      </c>
      <c r="KV10" s="128">
        <v>0</v>
      </c>
      <c r="KZ10" s="128">
        <v>72000</v>
      </c>
      <c r="LA10" s="128">
        <v>6000</v>
      </c>
      <c r="LB10" s="128">
        <v>6000</v>
      </c>
      <c r="LF10" s="128">
        <v>20000</v>
      </c>
      <c r="LG10" s="128">
        <v>0</v>
      </c>
      <c r="LH10" s="128">
        <v>0</v>
      </c>
      <c r="LL10" s="128">
        <v>0</v>
      </c>
      <c r="LM10" s="128">
        <v>0</v>
      </c>
      <c r="LN10" s="128">
        <v>0</v>
      </c>
      <c r="LR10" s="128">
        <v>0</v>
      </c>
      <c r="LS10" s="128">
        <v>0</v>
      </c>
      <c r="LT10" s="128">
        <v>0</v>
      </c>
      <c r="LX10" s="128">
        <v>4000</v>
      </c>
      <c r="LY10" s="128">
        <v>1000</v>
      </c>
      <c r="LZ10" s="128">
        <v>1000</v>
      </c>
      <c r="MD10" s="128">
        <v>27000</v>
      </c>
      <c r="ME10" s="128">
        <v>5000</v>
      </c>
      <c r="MF10" s="128">
        <v>5000</v>
      </c>
      <c r="MJ10" s="128">
        <v>5000</v>
      </c>
      <c r="MK10" s="128">
        <v>2000</v>
      </c>
      <c r="ML10" s="128">
        <v>2000</v>
      </c>
      <c r="MP10" s="128">
        <v>155000</v>
      </c>
      <c r="MQ10" s="128">
        <v>65000</v>
      </c>
      <c r="MR10" s="128">
        <v>65000</v>
      </c>
      <c r="MV10" s="128">
        <v>50000</v>
      </c>
      <c r="MW10" s="128">
        <v>30000</v>
      </c>
      <c r="MX10" s="128">
        <v>30000</v>
      </c>
      <c r="NB10" s="128">
        <v>15000</v>
      </c>
      <c r="NC10" s="128">
        <v>5000</v>
      </c>
      <c r="ND10" s="128">
        <v>5000</v>
      </c>
      <c r="NH10" s="128">
        <v>77065</v>
      </c>
      <c r="NI10" s="128">
        <v>10000</v>
      </c>
      <c r="NJ10" s="128">
        <v>10000</v>
      </c>
      <c r="NN10" s="128">
        <v>40000</v>
      </c>
      <c r="NO10" s="128">
        <v>15000</v>
      </c>
      <c r="NP10" s="128">
        <v>15000</v>
      </c>
      <c r="NT10" s="128">
        <v>20000</v>
      </c>
      <c r="NU10" s="128">
        <v>10000</v>
      </c>
      <c r="NV10" s="128">
        <v>10000</v>
      </c>
      <c r="NZ10" s="128">
        <v>55000</v>
      </c>
      <c r="OA10" s="128">
        <v>20000</v>
      </c>
      <c r="OB10" s="128">
        <v>20000</v>
      </c>
      <c r="OF10" s="128">
        <v>4000</v>
      </c>
      <c r="OG10" s="128">
        <v>2000</v>
      </c>
      <c r="OH10" s="128">
        <v>2000</v>
      </c>
      <c r="OL10" s="128">
        <v>0</v>
      </c>
      <c r="OM10" s="128">
        <v>0</v>
      </c>
      <c r="ON10" s="128">
        <v>0</v>
      </c>
      <c r="OR10" s="128">
        <v>0</v>
      </c>
      <c r="OS10" s="128">
        <v>0</v>
      </c>
      <c r="OT10" s="128">
        <v>0</v>
      </c>
      <c r="OX10" s="128">
        <v>55000</v>
      </c>
      <c r="OY10" s="128">
        <v>20000</v>
      </c>
      <c r="OZ10" s="128">
        <v>20000</v>
      </c>
      <c r="PD10" s="128">
        <v>20000</v>
      </c>
      <c r="PE10" s="128">
        <v>0</v>
      </c>
      <c r="PF10" s="128">
        <v>0</v>
      </c>
      <c r="PJ10" s="128">
        <v>15000</v>
      </c>
      <c r="PK10" s="128">
        <v>1858</v>
      </c>
      <c r="PL10" s="128">
        <v>1858</v>
      </c>
      <c r="PP10" s="128">
        <v>1891577</v>
      </c>
      <c r="PQ10" s="128">
        <v>1157858</v>
      </c>
      <c r="PR10" s="128">
        <v>1157858</v>
      </c>
      <c r="PS10" s="128">
        <v>100</v>
      </c>
      <c r="PT10" s="128">
        <v>100</v>
      </c>
      <c r="PY10" s="128">
        <v>851000</v>
      </c>
      <c r="PZ10" s="128">
        <v>1157858</v>
      </c>
      <c r="QB10" s="128">
        <v>0</v>
      </c>
      <c r="QC10" s="128">
        <v>0</v>
      </c>
      <c r="QE10" s="128">
        <v>0</v>
      </c>
      <c r="QF10" s="128">
        <v>0</v>
      </c>
      <c r="QH10" s="128">
        <v>0</v>
      </c>
      <c r="QI10" s="128">
        <v>0</v>
      </c>
      <c r="QK10" s="128">
        <v>0</v>
      </c>
      <c r="QL10" s="128">
        <v>0</v>
      </c>
      <c r="QO10" s="128">
        <v>0</v>
      </c>
      <c r="QP10" s="128">
        <v>0</v>
      </c>
      <c r="QY10" s="128">
        <v>700000</v>
      </c>
      <c r="QZ10" s="128">
        <v>731719</v>
      </c>
      <c r="RE10" s="128">
        <v>60426</v>
      </c>
      <c r="RF10" s="128">
        <v>2000</v>
      </c>
      <c r="RH10" s="128">
        <f t="shared" si="104"/>
        <v>1891577</v>
      </c>
      <c r="RI10" s="128">
        <v>0</v>
      </c>
      <c r="RM10" s="128" t="s">
        <v>220</v>
      </c>
      <c r="RU10" s="130"/>
      <c r="RV10" s="130"/>
      <c r="RW10" s="130"/>
      <c r="RX10" s="130"/>
      <c r="SF10" s="128">
        <f t="shared" si="8"/>
        <v>7365832</v>
      </c>
      <c r="SG10" s="131">
        <f t="shared" si="9"/>
        <v>1891577</v>
      </c>
      <c r="SH10" s="131">
        <f t="shared" si="10"/>
        <v>1891577</v>
      </c>
      <c r="SI10" s="131">
        <f t="shared" si="11"/>
        <v>1349512</v>
      </c>
      <c r="SJ10" s="132">
        <f t="shared" si="12"/>
        <v>1257512</v>
      </c>
      <c r="SK10" s="132">
        <f t="shared" si="13"/>
        <v>0</v>
      </c>
      <c r="SL10" s="132">
        <f t="shared" si="14"/>
        <v>72000</v>
      </c>
      <c r="SM10" s="132">
        <f t="shared" si="15"/>
        <v>20000</v>
      </c>
      <c r="SN10" s="131">
        <f t="shared" si="16"/>
        <v>542065</v>
      </c>
      <c r="SO10" s="131">
        <f t="shared" si="17"/>
        <v>0</v>
      </c>
      <c r="SP10" s="132">
        <f t="shared" si="18"/>
        <v>0</v>
      </c>
      <c r="SQ10" s="132">
        <f t="shared" si="19"/>
        <v>0</v>
      </c>
      <c r="SR10" s="132">
        <f t="shared" si="20"/>
        <v>4000</v>
      </c>
      <c r="SS10" s="132">
        <f t="shared" si="21"/>
        <v>27000</v>
      </c>
      <c r="ST10" s="132">
        <f t="shared" si="22"/>
        <v>5000</v>
      </c>
      <c r="SU10" s="132">
        <f t="shared" si="23"/>
        <v>155000</v>
      </c>
      <c r="SV10" s="131">
        <f t="shared" si="24"/>
        <v>316065</v>
      </c>
      <c r="SW10" s="132">
        <f t="shared" si="25"/>
        <v>50000</v>
      </c>
      <c r="SX10" s="132">
        <f t="shared" si="26"/>
        <v>15000</v>
      </c>
      <c r="SY10" s="132">
        <f t="shared" si="27"/>
        <v>77065</v>
      </c>
      <c r="SZ10" s="132">
        <f t="shared" si="28"/>
        <v>40000</v>
      </c>
      <c r="TA10" s="132">
        <f t="shared" si="29"/>
        <v>20000</v>
      </c>
      <c r="TB10" s="132">
        <f t="shared" si="30"/>
        <v>55000</v>
      </c>
      <c r="TC10" s="132">
        <f t="shared" si="31"/>
        <v>4000</v>
      </c>
      <c r="TD10" s="132">
        <f t="shared" si="32"/>
        <v>0</v>
      </c>
      <c r="TE10" s="132">
        <f t="shared" si="33"/>
        <v>0</v>
      </c>
      <c r="TF10" s="132">
        <f t="shared" si="34"/>
        <v>55000</v>
      </c>
      <c r="TG10" s="132">
        <f t="shared" si="35"/>
        <v>20000</v>
      </c>
      <c r="TH10" s="132">
        <f t="shared" si="36"/>
        <v>15000</v>
      </c>
      <c r="TI10" s="1"/>
      <c r="TJ10" s="131">
        <f t="shared" si="37"/>
        <v>1157858</v>
      </c>
      <c r="TK10" s="131">
        <f t="shared" si="38"/>
        <v>1157858</v>
      </c>
      <c r="TL10" s="131">
        <f t="shared" si="39"/>
        <v>971000</v>
      </c>
      <c r="TM10" s="132">
        <f t="shared" si="40"/>
        <v>965000</v>
      </c>
      <c r="TN10" s="132">
        <f t="shared" si="41"/>
        <v>0</v>
      </c>
      <c r="TO10" s="132">
        <f t="shared" si="42"/>
        <v>6000</v>
      </c>
      <c r="TP10" s="132">
        <f t="shared" si="43"/>
        <v>0</v>
      </c>
      <c r="TQ10" s="131">
        <f t="shared" si="44"/>
        <v>186858</v>
      </c>
      <c r="TR10" s="131">
        <f t="shared" si="45"/>
        <v>0</v>
      </c>
      <c r="TS10" s="132">
        <f t="shared" si="46"/>
        <v>0</v>
      </c>
      <c r="TT10" s="132">
        <f t="shared" si="47"/>
        <v>0</v>
      </c>
      <c r="TU10" s="132">
        <f t="shared" si="48"/>
        <v>1000</v>
      </c>
      <c r="TV10" s="132">
        <f t="shared" si="49"/>
        <v>5000</v>
      </c>
      <c r="TW10" s="132">
        <f t="shared" si="50"/>
        <v>2000</v>
      </c>
      <c r="TX10" s="132">
        <f t="shared" si="51"/>
        <v>65000</v>
      </c>
      <c r="TY10" s="131">
        <f t="shared" si="52"/>
        <v>112000</v>
      </c>
      <c r="TZ10" s="132">
        <f t="shared" si="53"/>
        <v>30000</v>
      </c>
      <c r="UA10" s="132">
        <f t="shared" si="54"/>
        <v>5000</v>
      </c>
      <c r="UB10" s="132">
        <f t="shared" si="55"/>
        <v>10000</v>
      </c>
      <c r="UC10" s="132">
        <f t="shared" si="56"/>
        <v>15000</v>
      </c>
      <c r="UD10" s="132">
        <f t="shared" si="57"/>
        <v>10000</v>
      </c>
      <c r="UE10" s="132">
        <f t="shared" si="58"/>
        <v>20000</v>
      </c>
      <c r="UF10" s="132">
        <f t="shared" si="59"/>
        <v>2000</v>
      </c>
      <c r="UG10" s="132">
        <f t="shared" si="60"/>
        <v>0</v>
      </c>
      <c r="UH10" s="132">
        <f t="shared" si="61"/>
        <v>0</v>
      </c>
      <c r="UI10" s="132">
        <f t="shared" si="62"/>
        <v>20000</v>
      </c>
      <c r="UJ10" s="132">
        <f t="shared" si="63"/>
        <v>0</v>
      </c>
      <c r="UK10" s="132">
        <f t="shared" si="64"/>
        <v>1858</v>
      </c>
      <c r="UL10" s="132">
        <f t="shared" si="105"/>
        <v>1157858</v>
      </c>
      <c r="UM10" s="131">
        <f t="shared" si="65"/>
        <v>1157858</v>
      </c>
      <c r="UN10" s="131">
        <f t="shared" si="66"/>
        <v>1157858</v>
      </c>
      <c r="UO10" s="131">
        <f t="shared" si="67"/>
        <v>971000</v>
      </c>
      <c r="UP10" s="132">
        <f t="shared" si="68"/>
        <v>965000</v>
      </c>
      <c r="UQ10" s="132">
        <f t="shared" si="69"/>
        <v>0</v>
      </c>
      <c r="UR10" s="132">
        <f t="shared" si="70"/>
        <v>6000</v>
      </c>
      <c r="US10" s="132">
        <f t="shared" si="71"/>
        <v>0</v>
      </c>
      <c r="UT10" s="131">
        <f t="shared" si="72"/>
        <v>186858</v>
      </c>
      <c r="UU10" s="131">
        <f t="shared" si="73"/>
        <v>0</v>
      </c>
      <c r="UV10" s="132">
        <f t="shared" si="74"/>
        <v>0</v>
      </c>
      <c r="UW10" s="132">
        <f t="shared" si="75"/>
        <v>0</v>
      </c>
      <c r="UX10" s="132">
        <f t="shared" si="76"/>
        <v>1000</v>
      </c>
      <c r="UY10" s="132">
        <f t="shared" si="77"/>
        <v>5000</v>
      </c>
      <c r="UZ10" s="132">
        <f t="shared" si="78"/>
        <v>2000</v>
      </c>
      <c r="VA10" s="132">
        <f t="shared" si="79"/>
        <v>65000</v>
      </c>
      <c r="VB10" s="131">
        <f t="shared" si="80"/>
        <v>112000</v>
      </c>
      <c r="VC10" s="132">
        <f t="shared" si="81"/>
        <v>30000</v>
      </c>
      <c r="VD10" s="132">
        <f t="shared" si="82"/>
        <v>5000</v>
      </c>
      <c r="VE10" s="132">
        <f t="shared" si="83"/>
        <v>10000</v>
      </c>
      <c r="VF10" s="132">
        <f t="shared" si="84"/>
        <v>15000</v>
      </c>
      <c r="VG10" s="132">
        <f t="shared" si="85"/>
        <v>10000</v>
      </c>
      <c r="VH10" s="132">
        <f t="shared" si="86"/>
        <v>20000</v>
      </c>
      <c r="VI10" s="132">
        <f t="shared" si="87"/>
        <v>2000</v>
      </c>
      <c r="VJ10" s="132">
        <f t="shared" si="88"/>
        <v>0</v>
      </c>
      <c r="VK10" s="132">
        <f t="shared" si="89"/>
        <v>0</v>
      </c>
      <c r="VL10" s="132">
        <f t="shared" si="90"/>
        <v>20000</v>
      </c>
      <c r="VM10" s="132">
        <f t="shared" si="91"/>
        <v>0</v>
      </c>
      <c r="VN10" s="132">
        <f t="shared" si="92"/>
        <v>1858</v>
      </c>
      <c r="VP10" s="845" t="str">
        <f>IFERROR(HLOOKUP(F10,'Hodnocení '!$C$1:$JH$5,2,FALSE),0)</f>
        <v>Sociálně terapeutické dílny AJdeTo!</v>
      </c>
      <c r="VQ10" s="838"/>
      <c r="VR10" s="845" t="str">
        <f t="shared" si="106"/>
        <v>Obecně prospěšná společnost</v>
      </c>
      <c r="VS10" s="845" t="str">
        <f>IFERROR(HLOOKUP(F10,'Hodnocení '!$C$1:$JH$5,5,FALSE),0)</f>
        <v>NZO</v>
      </c>
      <c r="VT10" s="838">
        <f t="shared" si="107"/>
        <v>0</v>
      </c>
      <c r="VU10" s="838">
        <f t="shared" si="108"/>
        <v>0</v>
      </c>
      <c r="VV10" s="838">
        <f t="shared" si="109"/>
        <v>0</v>
      </c>
      <c r="VW10" s="838">
        <f t="shared" si="110"/>
        <v>0</v>
      </c>
      <c r="VX10" s="838"/>
      <c r="VY10" s="838">
        <f t="shared" si="111"/>
        <v>0</v>
      </c>
      <c r="VZ10" s="838">
        <f t="shared" si="112"/>
        <v>1157858</v>
      </c>
      <c r="WA10" s="846">
        <f>IFERROR(HLOOKUP($F10,'Hodnocení '!$C$1:$JH$9,9,FALSE),0)</f>
        <v>1157858</v>
      </c>
      <c r="WB10" s="846">
        <f>IF(IFERROR(HLOOKUP($F10,'Hodnocení '!$C$1:$JH$13,13,FALSE),0)&gt;WA10,WA10,IFERROR(HLOOKUP($F10,'Hodnocení '!$C$1:$JH$13,13,FALSE),0))</f>
        <v>1157858</v>
      </c>
      <c r="WC10" s="846">
        <f>IFERROR(HLOOKUP($F10,'Hodnocení '!$C$1:$JH$155,155,FALSE),0)</f>
        <v>0</v>
      </c>
      <c r="WD10" s="845"/>
      <c r="WE10" s="845"/>
      <c r="WF10" s="845" t="str">
        <f t="shared" si="97"/>
        <v>ANO</v>
      </c>
      <c r="WG10" s="849" t="str">
        <f t="shared" si="98"/>
        <v>Podpora služby je vyjádřena zařazením do sítě sociálních služeb v KHK a řešením financování služby</v>
      </c>
      <c r="WH10" s="849" t="str">
        <f t="shared" si="9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0" s="849" t="str">
        <f t="shared" si="98"/>
        <v>Návrh dotace je výsledkem projednání s ostatními zadavateli v rámci sítě služeb KHK</v>
      </c>
      <c r="WJ10" s="849" t="str">
        <f t="shared" si="98"/>
        <v>Bez komentáře</v>
      </c>
      <c r="WK10" s="31">
        <f t="shared" si="99"/>
        <v>0</v>
      </c>
      <c r="WL10" s="850">
        <f t="shared" si="100"/>
        <v>0</v>
      </c>
      <c r="WM10" s="849">
        <f t="shared" si="101"/>
        <v>0</v>
      </c>
      <c r="WN10" s="849">
        <f t="shared" si="102"/>
        <v>0</v>
      </c>
      <c r="WO10" s="849" t="str">
        <f t="shared" si="103"/>
        <v>bez komentáře</v>
      </c>
      <c r="WP10" s="849" t="str">
        <f t="shared" si="103"/>
        <v>bez komentáře</v>
      </c>
      <c r="WQ10" s="849" t="str">
        <f t="shared" si="103"/>
        <v>Konečná výše dotace z rozpočtu KHK bude řešena v návaznosti na řešení podílů jednotlivých zadavatelů.</v>
      </c>
      <c r="WR10" s="849" t="str">
        <f t="shared" si="103"/>
        <v>Konečná výše podpory ze stran obcí bude řešena v součinnosti s jednotlivými zadavateli v průběhu roku.</v>
      </c>
      <c r="WS10" s="849" t="str">
        <f t="shared" si="103"/>
        <v>bez komentáře</v>
      </c>
      <c r="WT10" s="849" t="str">
        <f t="shared" si="103"/>
        <v>bez komentáře</v>
      </c>
      <c r="WU10" s="845"/>
    </row>
    <row r="11" spans="1:619" s="128" customFormat="1" x14ac:dyDescent="0.25">
      <c r="A11" s="128" t="str">
        <f>VLOOKUP(F11,'Výpočet VP 2020'!$D$324:$I$588,6,FALSE)</f>
        <v>Je v síti</v>
      </c>
      <c r="B11" s="128" t="s">
        <v>214</v>
      </c>
      <c r="C11" s="128">
        <v>1599682</v>
      </c>
      <c r="D11" s="128" t="s">
        <v>215</v>
      </c>
      <c r="E11" s="128" t="s">
        <v>216</v>
      </c>
      <c r="F11" s="128">
        <v>9767213</v>
      </c>
      <c r="G11" s="128" t="s">
        <v>235</v>
      </c>
      <c r="H11" s="128" t="s">
        <v>230</v>
      </c>
      <c r="I11" s="128" t="s">
        <v>236</v>
      </c>
      <c r="J11" s="129">
        <v>41640</v>
      </c>
      <c r="L11" s="128" t="s">
        <v>220</v>
      </c>
      <c r="X11" s="128" t="s">
        <v>237</v>
      </c>
      <c r="Z11" s="128">
        <v>7</v>
      </c>
      <c r="AA11" s="128">
        <v>12</v>
      </c>
      <c r="AB11" s="128">
        <v>15</v>
      </c>
      <c r="AC11" s="128">
        <v>14</v>
      </c>
      <c r="AD11" s="128">
        <v>15</v>
      </c>
      <c r="AP11" s="128" t="s">
        <v>238</v>
      </c>
      <c r="AQ11" s="128">
        <v>4</v>
      </c>
      <c r="AR11" s="128">
        <v>4</v>
      </c>
      <c r="AS11" s="128">
        <v>9</v>
      </c>
      <c r="AT11" s="128">
        <v>9</v>
      </c>
      <c r="AU11" s="128">
        <v>10</v>
      </c>
      <c r="BL11" s="128" t="s">
        <v>239</v>
      </c>
      <c r="BM11" s="128" t="s">
        <v>228</v>
      </c>
      <c r="BN11" s="128" t="s">
        <v>234</v>
      </c>
      <c r="EK11" s="128">
        <v>5</v>
      </c>
      <c r="EL11" s="128">
        <v>1.6</v>
      </c>
      <c r="EM11" s="128">
        <v>1.03</v>
      </c>
      <c r="EN11" s="128">
        <v>1093633</v>
      </c>
      <c r="EO11" s="128">
        <v>980000</v>
      </c>
      <c r="EP11" s="128">
        <v>7</v>
      </c>
      <c r="EQ11" s="128">
        <v>3.1</v>
      </c>
      <c r="ER11" s="128">
        <v>2.65</v>
      </c>
      <c r="ES11" s="128">
        <v>1410574</v>
      </c>
      <c r="ET11" s="128">
        <v>1280000</v>
      </c>
      <c r="FO11" s="128">
        <v>10</v>
      </c>
      <c r="FP11" s="128">
        <v>1.3</v>
      </c>
      <c r="FQ11" s="128">
        <v>0.86</v>
      </c>
      <c r="FR11" s="128">
        <v>711493</v>
      </c>
      <c r="FS11" s="128">
        <v>540000</v>
      </c>
      <c r="KG11" s="128">
        <v>0</v>
      </c>
      <c r="KI11" s="128">
        <v>4.7</v>
      </c>
      <c r="KJ11" s="128">
        <v>0</v>
      </c>
      <c r="KK11" s="128">
        <v>0</v>
      </c>
      <c r="KL11" s="128">
        <v>0</v>
      </c>
      <c r="KM11" s="128">
        <v>4.7</v>
      </c>
      <c r="KN11" s="128">
        <v>3215700</v>
      </c>
      <c r="KO11" s="128">
        <v>2800000</v>
      </c>
      <c r="KP11" s="128">
        <v>2800000</v>
      </c>
      <c r="KT11" s="128">
        <v>0</v>
      </c>
      <c r="KU11" s="128">
        <v>0</v>
      </c>
      <c r="KV11" s="128">
        <v>0</v>
      </c>
      <c r="KZ11" s="128">
        <v>0</v>
      </c>
      <c r="LA11" s="128">
        <v>0</v>
      </c>
      <c r="LB11" s="128">
        <v>0</v>
      </c>
      <c r="LF11" s="128">
        <v>32000</v>
      </c>
      <c r="LG11" s="128">
        <v>0</v>
      </c>
      <c r="LH11" s="128">
        <v>0</v>
      </c>
      <c r="LL11" s="128">
        <v>0</v>
      </c>
      <c r="LM11" s="128">
        <v>0</v>
      </c>
      <c r="LN11" s="128">
        <v>0</v>
      </c>
      <c r="LR11" s="128">
        <v>0</v>
      </c>
      <c r="LS11" s="128">
        <v>0</v>
      </c>
      <c r="LT11" s="128">
        <v>0</v>
      </c>
      <c r="LX11" s="128">
        <v>12000</v>
      </c>
      <c r="LY11" s="128">
        <v>5000</v>
      </c>
      <c r="LZ11" s="128">
        <v>5000</v>
      </c>
      <c r="MD11" s="128">
        <v>25000</v>
      </c>
      <c r="ME11" s="128">
        <v>5000</v>
      </c>
      <c r="MF11" s="128">
        <v>5000</v>
      </c>
      <c r="MJ11" s="128">
        <v>7000</v>
      </c>
      <c r="MK11" s="128">
        <v>5000</v>
      </c>
      <c r="ML11" s="128">
        <v>5000</v>
      </c>
      <c r="MP11" s="128">
        <v>135000</v>
      </c>
      <c r="MQ11" s="128">
        <v>100000</v>
      </c>
      <c r="MR11" s="128">
        <v>100000</v>
      </c>
      <c r="MV11" s="128">
        <v>85000</v>
      </c>
      <c r="MW11" s="128">
        <v>50000</v>
      </c>
      <c r="MX11" s="128">
        <v>50000</v>
      </c>
      <c r="NB11" s="128">
        <v>25000</v>
      </c>
      <c r="NC11" s="128">
        <v>15000</v>
      </c>
      <c r="ND11" s="128">
        <v>15000</v>
      </c>
      <c r="NH11" s="128">
        <v>80515</v>
      </c>
      <c r="NI11" s="128">
        <v>30000</v>
      </c>
      <c r="NJ11" s="128">
        <v>30000</v>
      </c>
      <c r="NN11" s="128">
        <v>80000</v>
      </c>
      <c r="NO11" s="128">
        <v>40000</v>
      </c>
      <c r="NP11" s="128">
        <v>40000</v>
      </c>
      <c r="NT11" s="128">
        <v>30000</v>
      </c>
      <c r="NU11" s="128">
        <v>20000</v>
      </c>
      <c r="NV11" s="128">
        <v>20000</v>
      </c>
      <c r="NZ11" s="128">
        <v>55000</v>
      </c>
      <c r="OA11" s="128">
        <v>30000</v>
      </c>
      <c r="OB11" s="128">
        <v>30000</v>
      </c>
      <c r="OF11" s="128">
        <v>12000</v>
      </c>
      <c r="OG11" s="128">
        <v>10000</v>
      </c>
      <c r="OH11" s="128">
        <v>10000</v>
      </c>
      <c r="OL11" s="128">
        <v>0</v>
      </c>
      <c r="OM11" s="128">
        <v>0</v>
      </c>
      <c r="ON11" s="128">
        <v>0</v>
      </c>
      <c r="OR11" s="128">
        <v>0</v>
      </c>
      <c r="OS11" s="128">
        <v>0</v>
      </c>
      <c r="OT11" s="128">
        <v>0</v>
      </c>
      <c r="OX11" s="128">
        <v>95000</v>
      </c>
      <c r="OY11" s="128">
        <v>50000</v>
      </c>
      <c r="OZ11" s="128">
        <v>50000</v>
      </c>
      <c r="PD11" s="128">
        <v>20000</v>
      </c>
      <c r="PE11" s="128">
        <v>0</v>
      </c>
      <c r="PF11" s="128">
        <v>0</v>
      </c>
      <c r="PJ11" s="128">
        <v>20000</v>
      </c>
      <c r="PK11" s="128">
        <v>4198</v>
      </c>
      <c r="PL11" s="128">
        <v>4198</v>
      </c>
      <c r="PP11" s="128">
        <v>3929215</v>
      </c>
      <c r="PQ11" s="128">
        <v>3164198</v>
      </c>
      <c r="PR11" s="128">
        <v>3164198</v>
      </c>
      <c r="PS11" s="128">
        <v>100</v>
      </c>
      <c r="PT11" s="128">
        <v>100</v>
      </c>
      <c r="PX11" s="128">
        <v>52000</v>
      </c>
      <c r="PY11" s="128">
        <v>1621440</v>
      </c>
      <c r="PZ11" s="128">
        <v>3164198</v>
      </c>
      <c r="QA11" s="128">
        <v>0</v>
      </c>
      <c r="QB11" s="128">
        <v>0</v>
      </c>
      <c r="QC11" s="128">
        <v>0</v>
      </c>
      <c r="QD11" s="128">
        <v>0</v>
      </c>
      <c r="QE11" s="128">
        <v>0</v>
      </c>
      <c r="QF11" s="128">
        <v>0</v>
      </c>
      <c r="QG11" s="128">
        <v>0</v>
      </c>
      <c r="QH11" s="128">
        <v>0</v>
      </c>
      <c r="QI11" s="128">
        <v>0</v>
      </c>
      <c r="QJ11" s="128">
        <v>0</v>
      </c>
      <c r="QK11" s="128">
        <v>0</v>
      </c>
      <c r="QL11" s="128">
        <v>0</v>
      </c>
      <c r="QN11" s="128">
        <v>0</v>
      </c>
      <c r="QO11" s="128">
        <v>0</v>
      </c>
      <c r="QP11" s="128">
        <v>0</v>
      </c>
      <c r="QU11" s="128">
        <v>52000</v>
      </c>
      <c r="QV11" s="128">
        <v>0</v>
      </c>
      <c r="QW11" s="128">
        <v>0</v>
      </c>
      <c r="QX11" s="128">
        <v>417000</v>
      </c>
      <c r="QY11" s="128">
        <v>722500</v>
      </c>
      <c r="QZ11" s="128">
        <v>743017</v>
      </c>
      <c r="RA11" s="128">
        <v>1247428</v>
      </c>
      <c r="RB11" s="128">
        <v>599462</v>
      </c>
      <c r="RC11" s="128">
        <v>0</v>
      </c>
      <c r="RD11" s="128">
        <v>237243</v>
      </c>
      <c r="RE11" s="128">
        <v>146086</v>
      </c>
      <c r="RF11" s="128">
        <v>22000</v>
      </c>
      <c r="RH11" s="128">
        <f t="shared" si="104"/>
        <v>3929215</v>
      </c>
      <c r="RI11" s="128">
        <v>0</v>
      </c>
      <c r="RM11" s="128" t="s">
        <v>220</v>
      </c>
      <c r="RU11" s="130"/>
      <c r="RV11" s="130"/>
      <c r="RW11" s="130"/>
      <c r="RX11" s="130"/>
      <c r="SF11" s="128">
        <f t="shared" si="8"/>
        <v>9767213</v>
      </c>
      <c r="SG11" s="131">
        <f t="shared" si="9"/>
        <v>3929215</v>
      </c>
      <c r="SH11" s="131">
        <f t="shared" si="10"/>
        <v>3929215</v>
      </c>
      <c r="SI11" s="131">
        <f t="shared" si="11"/>
        <v>3247700</v>
      </c>
      <c r="SJ11" s="132">
        <f t="shared" si="12"/>
        <v>3215700</v>
      </c>
      <c r="SK11" s="132">
        <f t="shared" si="13"/>
        <v>0</v>
      </c>
      <c r="SL11" s="132">
        <f t="shared" si="14"/>
        <v>0</v>
      </c>
      <c r="SM11" s="132">
        <f t="shared" si="15"/>
        <v>32000</v>
      </c>
      <c r="SN11" s="131">
        <f t="shared" si="16"/>
        <v>681515</v>
      </c>
      <c r="SO11" s="131">
        <f t="shared" si="17"/>
        <v>0</v>
      </c>
      <c r="SP11" s="132">
        <f t="shared" si="18"/>
        <v>0</v>
      </c>
      <c r="SQ11" s="132">
        <f t="shared" si="19"/>
        <v>0</v>
      </c>
      <c r="SR11" s="132">
        <f t="shared" si="20"/>
        <v>12000</v>
      </c>
      <c r="SS11" s="132">
        <f t="shared" si="21"/>
        <v>25000</v>
      </c>
      <c r="ST11" s="132">
        <f t="shared" si="22"/>
        <v>7000</v>
      </c>
      <c r="SU11" s="132">
        <f t="shared" si="23"/>
        <v>135000</v>
      </c>
      <c r="SV11" s="131">
        <f t="shared" si="24"/>
        <v>462515</v>
      </c>
      <c r="SW11" s="132">
        <f t="shared" si="25"/>
        <v>85000</v>
      </c>
      <c r="SX11" s="132">
        <f t="shared" si="26"/>
        <v>25000</v>
      </c>
      <c r="SY11" s="132">
        <f t="shared" si="27"/>
        <v>80515</v>
      </c>
      <c r="SZ11" s="132">
        <f t="shared" si="28"/>
        <v>80000</v>
      </c>
      <c r="TA11" s="132">
        <f t="shared" si="29"/>
        <v>30000</v>
      </c>
      <c r="TB11" s="132">
        <f t="shared" si="30"/>
        <v>55000</v>
      </c>
      <c r="TC11" s="132">
        <f t="shared" si="31"/>
        <v>12000</v>
      </c>
      <c r="TD11" s="132">
        <f t="shared" si="32"/>
        <v>0</v>
      </c>
      <c r="TE11" s="132">
        <f t="shared" si="33"/>
        <v>0</v>
      </c>
      <c r="TF11" s="132">
        <f t="shared" si="34"/>
        <v>95000</v>
      </c>
      <c r="TG11" s="132">
        <f t="shared" si="35"/>
        <v>20000</v>
      </c>
      <c r="TH11" s="132">
        <f t="shared" si="36"/>
        <v>20000</v>
      </c>
      <c r="TI11" s="1"/>
      <c r="TJ11" s="131">
        <f t="shared" si="37"/>
        <v>3164198</v>
      </c>
      <c r="TK11" s="131">
        <f t="shared" si="38"/>
        <v>3164198</v>
      </c>
      <c r="TL11" s="131">
        <f t="shared" si="39"/>
        <v>2800000</v>
      </c>
      <c r="TM11" s="132">
        <f t="shared" si="40"/>
        <v>2800000</v>
      </c>
      <c r="TN11" s="132">
        <f t="shared" si="41"/>
        <v>0</v>
      </c>
      <c r="TO11" s="132">
        <f t="shared" si="42"/>
        <v>0</v>
      </c>
      <c r="TP11" s="132">
        <f t="shared" si="43"/>
        <v>0</v>
      </c>
      <c r="TQ11" s="131">
        <f t="shared" si="44"/>
        <v>364198</v>
      </c>
      <c r="TR11" s="131">
        <f t="shared" si="45"/>
        <v>0</v>
      </c>
      <c r="TS11" s="132">
        <f t="shared" si="46"/>
        <v>0</v>
      </c>
      <c r="TT11" s="132">
        <f t="shared" si="47"/>
        <v>0</v>
      </c>
      <c r="TU11" s="132">
        <f t="shared" si="48"/>
        <v>5000</v>
      </c>
      <c r="TV11" s="132">
        <f t="shared" si="49"/>
        <v>5000</v>
      </c>
      <c r="TW11" s="132">
        <f t="shared" si="50"/>
        <v>5000</v>
      </c>
      <c r="TX11" s="132">
        <f t="shared" si="51"/>
        <v>100000</v>
      </c>
      <c r="TY11" s="131">
        <f t="shared" si="52"/>
        <v>245000</v>
      </c>
      <c r="TZ11" s="132">
        <f t="shared" si="53"/>
        <v>50000</v>
      </c>
      <c r="UA11" s="132">
        <f t="shared" si="54"/>
        <v>15000</v>
      </c>
      <c r="UB11" s="132">
        <f t="shared" si="55"/>
        <v>30000</v>
      </c>
      <c r="UC11" s="132">
        <f t="shared" si="56"/>
        <v>40000</v>
      </c>
      <c r="UD11" s="132">
        <f t="shared" si="57"/>
        <v>20000</v>
      </c>
      <c r="UE11" s="132">
        <f t="shared" si="58"/>
        <v>30000</v>
      </c>
      <c r="UF11" s="132">
        <f t="shared" si="59"/>
        <v>10000</v>
      </c>
      <c r="UG11" s="132">
        <f t="shared" si="60"/>
        <v>0</v>
      </c>
      <c r="UH11" s="132">
        <f t="shared" si="61"/>
        <v>0</v>
      </c>
      <c r="UI11" s="132">
        <f t="shared" si="62"/>
        <v>50000</v>
      </c>
      <c r="UJ11" s="132">
        <f t="shared" si="63"/>
        <v>0</v>
      </c>
      <c r="UK11" s="132">
        <f t="shared" si="64"/>
        <v>4198</v>
      </c>
      <c r="UL11" s="132">
        <f t="shared" si="105"/>
        <v>3164198</v>
      </c>
      <c r="UM11" s="131">
        <f t="shared" si="65"/>
        <v>3164198</v>
      </c>
      <c r="UN11" s="131">
        <f t="shared" si="66"/>
        <v>3164198</v>
      </c>
      <c r="UO11" s="131">
        <f t="shared" si="67"/>
        <v>2800000</v>
      </c>
      <c r="UP11" s="132">
        <f t="shared" si="68"/>
        <v>2800000</v>
      </c>
      <c r="UQ11" s="132">
        <f t="shared" si="69"/>
        <v>0</v>
      </c>
      <c r="UR11" s="132">
        <f t="shared" si="70"/>
        <v>0</v>
      </c>
      <c r="US11" s="132">
        <f t="shared" si="71"/>
        <v>0</v>
      </c>
      <c r="UT11" s="131">
        <f t="shared" si="72"/>
        <v>364198</v>
      </c>
      <c r="UU11" s="131">
        <f t="shared" si="73"/>
        <v>0</v>
      </c>
      <c r="UV11" s="132">
        <f t="shared" si="74"/>
        <v>0</v>
      </c>
      <c r="UW11" s="132">
        <f t="shared" si="75"/>
        <v>0</v>
      </c>
      <c r="UX11" s="132">
        <f t="shared" si="76"/>
        <v>5000</v>
      </c>
      <c r="UY11" s="132">
        <f t="shared" si="77"/>
        <v>5000</v>
      </c>
      <c r="UZ11" s="132">
        <f t="shared" si="78"/>
        <v>5000</v>
      </c>
      <c r="VA11" s="132">
        <f t="shared" si="79"/>
        <v>100000</v>
      </c>
      <c r="VB11" s="131">
        <f t="shared" si="80"/>
        <v>245000</v>
      </c>
      <c r="VC11" s="132">
        <f t="shared" si="81"/>
        <v>50000</v>
      </c>
      <c r="VD11" s="132">
        <f t="shared" si="82"/>
        <v>15000</v>
      </c>
      <c r="VE11" s="132">
        <f t="shared" si="83"/>
        <v>30000</v>
      </c>
      <c r="VF11" s="132">
        <f t="shared" si="84"/>
        <v>40000</v>
      </c>
      <c r="VG11" s="132">
        <f t="shared" si="85"/>
        <v>20000</v>
      </c>
      <c r="VH11" s="132">
        <f t="shared" si="86"/>
        <v>30000</v>
      </c>
      <c r="VI11" s="132">
        <f t="shared" si="87"/>
        <v>10000</v>
      </c>
      <c r="VJ11" s="132">
        <f t="shared" si="88"/>
        <v>0</v>
      </c>
      <c r="VK11" s="132">
        <f t="shared" si="89"/>
        <v>0</v>
      </c>
      <c r="VL11" s="132">
        <f t="shared" si="90"/>
        <v>50000</v>
      </c>
      <c r="VM11" s="132">
        <f t="shared" si="91"/>
        <v>0</v>
      </c>
      <c r="VN11" s="132">
        <f t="shared" si="92"/>
        <v>4198</v>
      </c>
      <c r="VP11" s="845" t="str">
        <f>IFERROR(HLOOKUP(F11,'Hodnocení '!$C$1:$JH$5,2,FALSE),0)</f>
        <v>Sociální rehabilitace APROPO</v>
      </c>
      <c r="VQ11" s="838"/>
      <c r="VR11" s="845" t="str">
        <f t="shared" si="106"/>
        <v>Obecně prospěšná společnost</v>
      </c>
      <c r="VS11" s="845" t="str">
        <f>IFERROR(HLOOKUP(F11,'Hodnocení '!$C$1:$JH$5,5,FALSE),0)</f>
        <v>NZO</v>
      </c>
      <c r="VT11" s="838">
        <f t="shared" si="107"/>
        <v>0</v>
      </c>
      <c r="VU11" s="838">
        <f t="shared" si="108"/>
        <v>0</v>
      </c>
      <c r="VV11" s="838">
        <f t="shared" si="109"/>
        <v>0</v>
      </c>
      <c r="VW11" s="838">
        <f t="shared" si="110"/>
        <v>0</v>
      </c>
      <c r="VX11" s="838"/>
      <c r="VY11" s="838">
        <f t="shared" si="111"/>
        <v>0</v>
      </c>
      <c r="VZ11" s="838">
        <f t="shared" si="112"/>
        <v>3164198</v>
      </c>
      <c r="WA11" s="846">
        <f>IFERROR(HLOOKUP($F11,'Hodnocení '!$C$1:$JH$9,9,FALSE),0)</f>
        <v>3164198</v>
      </c>
      <c r="WB11" s="846">
        <f>IF(IFERROR(HLOOKUP($F11,'Hodnocení '!$C$1:$JH$13,13,FALSE),0)&gt;WA11,WA11,IFERROR(HLOOKUP($F11,'Hodnocení '!$C$1:$JH$13,13,FALSE),0))</f>
        <v>3164198</v>
      </c>
      <c r="WC11" s="846">
        <f>IFERROR(HLOOKUP($F11,'Hodnocení '!$C$1:$JH$155,155,FALSE),0)</f>
        <v>0</v>
      </c>
      <c r="WD11" s="845"/>
      <c r="WE11" s="845"/>
      <c r="WF11" s="845" t="str">
        <f t="shared" si="97"/>
        <v>ANO</v>
      </c>
      <c r="WG11" s="849" t="str">
        <f t="shared" si="98"/>
        <v>Podpora služby je vyjádřena zařazením do sítě sociálních služeb v KHK a řešením financování služby</v>
      </c>
      <c r="WH11" s="849" t="str">
        <f t="shared" si="9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1" s="849" t="str">
        <f t="shared" si="98"/>
        <v>Návrh dotace je výsledkem projednání s ostatními zadavateli v rámci sítě služeb KHK</v>
      </c>
      <c r="WJ11" s="849" t="str">
        <f t="shared" si="98"/>
        <v>Bez komentáře</v>
      </c>
      <c r="WK11" s="31">
        <f t="shared" si="99"/>
        <v>0</v>
      </c>
      <c r="WL11" s="850">
        <f t="shared" si="100"/>
        <v>0</v>
      </c>
      <c r="WM11" s="849">
        <f t="shared" si="101"/>
        <v>0</v>
      </c>
      <c r="WN11" s="849">
        <f t="shared" si="102"/>
        <v>0</v>
      </c>
      <c r="WO11" s="849" t="str">
        <f t="shared" si="103"/>
        <v>bez komentáře</v>
      </c>
      <c r="WP11" s="849" t="str">
        <f t="shared" si="103"/>
        <v>bez komentáře</v>
      </c>
      <c r="WQ11" s="849" t="str">
        <f t="shared" si="103"/>
        <v>Konečná výše dotace z rozpočtu KHK bude řešena v návaznosti na řešení podílů jednotlivých zadavatelů.</v>
      </c>
      <c r="WR11" s="849" t="str">
        <f t="shared" si="103"/>
        <v>Konečná výše podpory ze stran obcí bude řešena v součinnosti s jednotlivými zadavateli v průběhu roku.</v>
      </c>
      <c r="WS11" s="849" t="str">
        <f t="shared" si="103"/>
        <v>bez komentáře</v>
      </c>
      <c r="WT11" s="849" t="str">
        <f t="shared" si="103"/>
        <v>bez komentáře</v>
      </c>
      <c r="WU11" s="845"/>
    </row>
    <row r="12" spans="1:619" s="128" customFormat="1" x14ac:dyDescent="0.25">
      <c r="A12" s="128" t="str">
        <f>VLOOKUP(F12,'Výpočet VP 2020'!$D$324:$I$588,6,FALSE)</f>
        <v>Je v síti</v>
      </c>
      <c r="B12" s="128" t="s">
        <v>240</v>
      </c>
      <c r="C12" s="128">
        <v>22729305</v>
      </c>
      <c r="D12" s="128" t="s">
        <v>241</v>
      </c>
      <c r="E12" s="128" t="s">
        <v>242</v>
      </c>
      <c r="F12" s="128">
        <v>4885366</v>
      </c>
      <c r="G12" s="128" t="s">
        <v>235</v>
      </c>
      <c r="H12" s="128" t="s">
        <v>230</v>
      </c>
      <c r="I12" s="128" t="s">
        <v>243</v>
      </c>
      <c r="J12" s="129">
        <v>42217</v>
      </c>
      <c r="L12" s="128" t="s">
        <v>220</v>
      </c>
      <c r="X12" s="128" t="s">
        <v>244</v>
      </c>
      <c r="Z12" s="128">
        <v>7</v>
      </c>
      <c r="AA12" s="128">
        <v>21</v>
      </c>
      <c r="AB12" s="128">
        <v>41</v>
      </c>
      <c r="AC12" s="128">
        <v>37</v>
      </c>
      <c r="AD12" s="128">
        <v>40</v>
      </c>
      <c r="AO12" s="128" t="s">
        <v>245</v>
      </c>
      <c r="AP12" s="128" t="s">
        <v>232</v>
      </c>
      <c r="AQ12" s="128">
        <v>12</v>
      </c>
      <c r="AR12" s="128">
        <v>10</v>
      </c>
      <c r="AS12" s="128">
        <v>41</v>
      </c>
      <c r="AT12" s="128">
        <v>24</v>
      </c>
      <c r="AU12" s="128">
        <v>25</v>
      </c>
      <c r="BL12" s="128" t="s">
        <v>246</v>
      </c>
      <c r="BM12" s="128" t="s">
        <v>247</v>
      </c>
      <c r="BN12" s="128" t="s">
        <v>248</v>
      </c>
      <c r="EK12" s="128">
        <v>3</v>
      </c>
      <c r="EL12" s="128">
        <v>2.1</v>
      </c>
      <c r="EM12" s="128">
        <v>2.09</v>
      </c>
      <c r="EN12" s="128">
        <v>1061280</v>
      </c>
      <c r="EO12" s="128">
        <v>1061280</v>
      </c>
      <c r="EP12" s="128">
        <v>1</v>
      </c>
      <c r="EQ12" s="128">
        <v>0.2</v>
      </c>
      <c r="ER12" s="128">
        <v>0.2</v>
      </c>
      <c r="ES12" s="128">
        <v>112560</v>
      </c>
      <c r="ET12" s="128">
        <v>112560</v>
      </c>
      <c r="FJ12" s="128">
        <v>3</v>
      </c>
      <c r="FK12" s="128">
        <v>1.7</v>
      </c>
      <c r="FL12" s="128">
        <v>1.72</v>
      </c>
      <c r="FM12" s="128">
        <v>1045200</v>
      </c>
      <c r="FN12" s="128">
        <v>1045200</v>
      </c>
      <c r="FO12" s="128">
        <v>1</v>
      </c>
      <c r="FP12" s="128">
        <v>0.6</v>
      </c>
      <c r="FQ12" s="128">
        <v>0.61</v>
      </c>
      <c r="FR12" s="128">
        <v>434160</v>
      </c>
      <c r="FS12" s="128">
        <v>434160</v>
      </c>
      <c r="IS12" s="128">
        <v>1</v>
      </c>
      <c r="IT12" s="128">
        <v>48</v>
      </c>
      <c r="IU12" s="128">
        <v>2.3E-2</v>
      </c>
      <c r="IV12" s="128">
        <v>14400</v>
      </c>
      <c r="IW12" s="128">
        <v>14400</v>
      </c>
      <c r="KG12" s="128">
        <v>0</v>
      </c>
      <c r="KI12" s="128">
        <v>4</v>
      </c>
      <c r="KJ12" s="128">
        <v>0</v>
      </c>
      <c r="KK12" s="128">
        <v>0</v>
      </c>
      <c r="KL12" s="128">
        <v>0</v>
      </c>
      <c r="KM12" s="128">
        <v>4</v>
      </c>
      <c r="KN12" s="128">
        <v>2653200</v>
      </c>
      <c r="KO12" s="128">
        <v>2653200</v>
      </c>
      <c r="KP12" s="128">
        <v>2653200</v>
      </c>
      <c r="KT12" s="128">
        <v>0</v>
      </c>
      <c r="KU12" s="128">
        <v>0</v>
      </c>
      <c r="KV12" s="128">
        <v>0</v>
      </c>
      <c r="KZ12" s="128">
        <v>14400</v>
      </c>
      <c r="LA12" s="128">
        <v>14400</v>
      </c>
      <c r="LB12" s="128">
        <v>14400</v>
      </c>
      <c r="LF12" s="128">
        <v>20000</v>
      </c>
      <c r="LG12" s="128">
        <v>20000</v>
      </c>
      <c r="LH12" s="128">
        <v>20000</v>
      </c>
      <c r="LL12" s="128">
        <v>0</v>
      </c>
      <c r="LM12" s="128">
        <v>0</v>
      </c>
      <c r="LN12" s="128">
        <v>0</v>
      </c>
      <c r="LR12" s="128">
        <v>20000</v>
      </c>
      <c r="LS12" s="128">
        <v>20000</v>
      </c>
      <c r="LT12" s="128">
        <v>20000</v>
      </c>
      <c r="LX12" s="128">
        <v>0</v>
      </c>
      <c r="LY12" s="128">
        <v>0</v>
      </c>
      <c r="LZ12" s="128">
        <v>0</v>
      </c>
      <c r="MD12" s="128">
        <v>13000</v>
      </c>
      <c r="ME12" s="128">
        <v>13000</v>
      </c>
      <c r="MF12" s="128">
        <v>13000</v>
      </c>
      <c r="MJ12" s="128">
        <v>10000</v>
      </c>
      <c r="MK12" s="128">
        <v>10000</v>
      </c>
      <c r="ML12" s="128">
        <v>10000</v>
      </c>
      <c r="MP12" s="128">
        <v>2000</v>
      </c>
      <c r="MQ12" s="128">
        <v>2000</v>
      </c>
      <c r="MR12" s="128">
        <v>2000</v>
      </c>
      <c r="MV12" s="128">
        <v>0</v>
      </c>
      <c r="MW12" s="128">
        <v>0</v>
      </c>
      <c r="MX12" s="128">
        <v>0</v>
      </c>
      <c r="NB12" s="128">
        <v>12000</v>
      </c>
      <c r="NC12" s="128">
        <v>12000</v>
      </c>
      <c r="ND12" s="128">
        <v>12000</v>
      </c>
      <c r="NH12" s="128">
        <v>151800</v>
      </c>
      <c r="NI12" s="128">
        <v>71800</v>
      </c>
      <c r="NJ12" s="128">
        <v>71800</v>
      </c>
      <c r="NN12" s="128">
        <v>50000</v>
      </c>
      <c r="NO12" s="128">
        <v>50000</v>
      </c>
      <c r="NP12" s="128">
        <v>50000</v>
      </c>
      <c r="NT12" s="128">
        <v>10000</v>
      </c>
      <c r="NU12" s="128">
        <v>10000</v>
      </c>
      <c r="NV12" s="128">
        <v>10000</v>
      </c>
      <c r="NZ12" s="128">
        <v>2000</v>
      </c>
      <c r="OA12" s="128">
        <v>2000</v>
      </c>
      <c r="OB12" s="128">
        <v>2000</v>
      </c>
      <c r="OF12" s="128">
        <v>5000</v>
      </c>
      <c r="OG12" s="128">
        <v>5000</v>
      </c>
      <c r="OH12" s="128">
        <v>5000</v>
      </c>
      <c r="OL12" s="128">
        <v>0</v>
      </c>
      <c r="OM12" s="128">
        <v>0</v>
      </c>
      <c r="ON12" s="128">
        <v>0</v>
      </c>
      <c r="OR12" s="128">
        <v>0</v>
      </c>
      <c r="OS12" s="128">
        <v>0</v>
      </c>
      <c r="OT12" s="128">
        <v>0</v>
      </c>
      <c r="OX12" s="128">
        <v>20000</v>
      </c>
      <c r="OY12" s="128">
        <v>20000</v>
      </c>
      <c r="OZ12" s="128">
        <v>20000</v>
      </c>
      <c r="PD12" s="128">
        <v>0</v>
      </c>
      <c r="PE12" s="128">
        <v>0</v>
      </c>
      <c r="PF12" s="128">
        <v>0</v>
      </c>
      <c r="PJ12" s="128">
        <v>12000</v>
      </c>
      <c r="PK12" s="128">
        <v>12000</v>
      </c>
      <c r="PL12" s="128">
        <v>12000</v>
      </c>
      <c r="PP12" s="128">
        <v>2995400</v>
      </c>
      <c r="PQ12" s="128">
        <v>2915400</v>
      </c>
      <c r="PR12" s="128">
        <v>2915400</v>
      </c>
      <c r="PS12" s="128">
        <v>100</v>
      </c>
      <c r="PT12" s="128">
        <v>100</v>
      </c>
      <c r="PX12" s="128">
        <v>216400</v>
      </c>
      <c r="PY12" s="128">
        <v>1417490</v>
      </c>
      <c r="PZ12" s="128">
        <v>2915400</v>
      </c>
      <c r="QA12" s="128">
        <v>0</v>
      </c>
      <c r="QB12" s="128">
        <v>0</v>
      </c>
      <c r="QC12" s="128">
        <v>0</v>
      </c>
      <c r="QD12" s="128">
        <v>0</v>
      </c>
      <c r="QE12" s="128">
        <v>0</v>
      </c>
      <c r="QF12" s="128">
        <v>0</v>
      </c>
      <c r="QG12" s="128">
        <v>0</v>
      </c>
      <c r="QH12" s="128">
        <v>0</v>
      </c>
      <c r="QI12" s="128">
        <v>0</v>
      </c>
      <c r="QJ12" s="128">
        <v>0</v>
      </c>
      <c r="QK12" s="128">
        <v>0</v>
      </c>
      <c r="QL12" s="128">
        <v>0</v>
      </c>
      <c r="QN12" s="128">
        <v>0</v>
      </c>
      <c r="QO12" s="128">
        <v>0</v>
      </c>
      <c r="QP12" s="128">
        <v>0</v>
      </c>
      <c r="QU12" s="128">
        <v>0</v>
      </c>
      <c r="QV12" s="128">
        <v>49239</v>
      </c>
      <c r="QW12" s="128">
        <v>0</v>
      </c>
      <c r="QX12" s="128">
        <v>99900</v>
      </c>
      <c r="QY12" s="128">
        <v>80000</v>
      </c>
      <c r="QZ12" s="128">
        <v>80000</v>
      </c>
      <c r="RH12" s="128">
        <f t="shared" si="104"/>
        <v>2995400</v>
      </c>
      <c r="RI12" s="128">
        <v>0</v>
      </c>
      <c r="RM12" s="128" t="s">
        <v>220</v>
      </c>
      <c r="RU12" s="130"/>
      <c r="RV12" s="130"/>
      <c r="RW12" s="130"/>
      <c r="RX12" s="130"/>
      <c r="SF12" s="128">
        <f t="shared" si="8"/>
        <v>4885366</v>
      </c>
      <c r="SG12" s="131">
        <f t="shared" si="9"/>
        <v>2995400</v>
      </c>
      <c r="SH12" s="131">
        <f t="shared" si="10"/>
        <v>2995400</v>
      </c>
      <c r="SI12" s="131">
        <f t="shared" si="11"/>
        <v>2687600</v>
      </c>
      <c r="SJ12" s="132">
        <f t="shared" si="12"/>
        <v>2653200</v>
      </c>
      <c r="SK12" s="132">
        <f t="shared" si="13"/>
        <v>0</v>
      </c>
      <c r="SL12" s="132">
        <f t="shared" si="14"/>
        <v>14400</v>
      </c>
      <c r="SM12" s="132">
        <f t="shared" si="15"/>
        <v>20000</v>
      </c>
      <c r="SN12" s="131">
        <f t="shared" si="16"/>
        <v>307800</v>
      </c>
      <c r="SO12" s="131">
        <f t="shared" si="17"/>
        <v>20000</v>
      </c>
      <c r="SP12" s="132">
        <f t="shared" si="18"/>
        <v>0</v>
      </c>
      <c r="SQ12" s="132">
        <f t="shared" si="19"/>
        <v>20000</v>
      </c>
      <c r="SR12" s="132">
        <f t="shared" si="20"/>
        <v>0</v>
      </c>
      <c r="SS12" s="132">
        <f t="shared" si="21"/>
        <v>13000</v>
      </c>
      <c r="ST12" s="132">
        <f t="shared" si="22"/>
        <v>10000</v>
      </c>
      <c r="SU12" s="132">
        <f t="shared" si="23"/>
        <v>2000</v>
      </c>
      <c r="SV12" s="131">
        <f t="shared" si="24"/>
        <v>250800</v>
      </c>
      <c r="SW12" s="132">
        <f t="shared" si="25"/>
        <v>0</v>
      </c>
      <c r="SX12" s="132">
        <f t="shared" si="26"/>
        <v>12000</v>
      </c>
      <c r="SY12" s="132">
        <f t="shared" si="27"/>
        <v>151800</v>
      </c>
      <c r="SZ12" s="132">
        <f t="shared" si="28"/>
        <v>50000</v>
      </c>
      <c r="TA12" s="132">
        <f t="shared" si="29"/>
        <v>10000</v>
      </c>
      <c r="TB12" s="132">
        <f t="shared" si="30"/>
        <v>2000</v>
      </c>
      <c r="TC12" s="132">
        <f t="shared" si="31"/>
        <v>5000</v>
      </c>
      <c r="TD12" s="132">
        <f t="shared" si="32"/>
        <v>0</v>
      </c>
      <c r="TE12" s="132">
        <f t="shared" si="33"/>
        <v>0</v>
      </c>
      <c r="TF12" s="132">
        <f t="shared" si="34"/>
        <v>20000</v>
      </c>
      <c r="TG12" s="132">
        <f t="shared" si="35"/>
        <v>0</v>
      </c>
      <c r="TH12" s="132">
        <f t="shared" si="36"/>
        <v>12000</v>
      </c>
      <c r="TI12" s="1"/>
      <c r="TJ12" s="131">
        <f t="shared" si="37"/>
        <v>2915400</v>
      </c>
      <c r="TK12" s="131">
        <f t="shared" si="38"/>
        <v>2915400</v>
      </c>
      <c r="TL12" s="131">
        <f t="shared" si="39"/>
        <v>2687600</v>
      </c>
      <c r="TM12" s="132">
        <f t="shared" si="40"/>
        <v>2653200</v>
      </c>
      <c r="TN12" s="132">
        <f t="shared" si="41"/>
        <v>0</v>
      </c>
      <c r="TO12" s="132">
        <f t="shared" si="42"/>
        <v>14400</v>
      </c>
      <c r="TP12" s="132">
        <f t="shared" si="43"/>
        <v>20000</v>
      </c>
      <c r="TQ12" s="131">
        <f t="shared" si="44"/>
        <v>227800</v>
      </c>
      <c r="TR12" s="131">
        <f t="shared" si="45"/>
        <v>20000</v>
      </c>
      <c r="TS12" s="132">
        <f t="shared" si="46"/>
        <v>0</v>
      </c>
      <c r="TT12" s="132">
        <f t="shared" si="47"/>
        <v>20000</v>
      </c>
      <c r="TU12" s="132">
        <f t="shared" si="48"/>
        <v>0</v>
      </c>
      <c r="TV12" s="132">
        <f t="shared" si="49"/>
        <v>13000</v>
      </c>
      <c r="TW12" s="132">
        <f t="shared" si="50"/>
        <v>10000</v>
      </c>
      <c r="TX12" s="132">
        <f t="shared" si="51"/>
        <v>2000</v>
      </c>
      <c r="TY12" s="131">
        <f t="shared" si="52"/>
        <v>170800</v>
      </c>
      <c r="TZ12" s="132">
        <f t="shared" si="53"/>
        <v>0</v>
      </c>
      <c r="UA12" s="132">
        <f t="shared" si="54"/>
        <v>12000</v>
      </c>
      <c r="UB12" s="132">
        <f t="shared" si="55"/>
        <v>71800</v>
      </c>
      <c r="UC12" s="132">
        <f t="shared" si="56"/>
        <v>50000</v>
      </c>
      <c r="UD12" s="132">
        <f t="shared" si="57"/>
        <v>10000</v>
      </c>
      <c r="UE12" s="132">
        <f t="shared" si="58"/>
        <v>2000</v>
      </c>
      <c r="UF12" s="132">
        <f t="shared" si="59"/>
        <v>5000</v>
      </c>
      <c r="UG12" s="132">
        <f t="shared" si="60"/>
        <v>0</v>
      </c>
      <c r="UH12" s="132">
        <f t="shared" si="61"/>
        <v>0</v>
      </c>
      <c r="UI12" s="132">
        <f t="shared" si="62"/>
        <v>20000</v>
      </c>
      <c r="UJ12" s="132">
        <f t="shared" si="63"/>
        <v>0</v>
      </c>
      <c r="UK12" s="132">
        <f t="shared" si="64"/>
        <v>12000</v>
      </c>
      <c r="UL12" s="132">
        <f t="shared" si="105"/>
        <v>2915400</v>
      </c>
      <c r="UM12" s="131">
        <f t="shared" si="65"/>
        <v>2915400</v>
      </c>
      <c r="UN12" s="131">
        <f t="shared" si="66"/>
        <v>2915400</v>
      </c>
      <c r="UO12" s="131">
        <f t="shared" si="67"/>
        <v>2687600</v>
      </c>
      <c r="UP12" s="132">
        <f t="shared" si="68"/>
        <v>2653200</v>
      </c>
      <c r="UQ12" s="132">
        <f t="shared" si="69"/>
        <v>0</v>
      </c>
      <c r="UR12" s="132">
        <f t="shared" si="70"/>
        <v>14400</v>
      </c>
      <c r="US12" s="132">
        <f t="shared" si="71"/>
        <v>20000</v>
      </c>
      <c r="UT12" s="131">
        <f t="shared" si="72"/>
        <v>227800</v>
      </c>
      <c r="UU12" s="131">
        <f t="shared" si="73"/>
        <v>20000</v>
      </c>
      <c r="UV12" s="132">
        <f t="shared" si="74"/>
        <v>0</v>
      </c>
      <c r="UW12" s="132">
        <f t="shared" si="75"/>
        <v>20000</v>
      </c>
      <c r="UX12" s="132">
        <f t="shared" si="76"/>
        <v>0</v>
      </c>
      <c r="UY12" s="132">
        <f t="shared" si="77"/>
        <v>13000</v>
      </c>
      <c r="UZ12" s="132">
        <f t="shared" si="78"/>
        <v>10000</v>
      </c>
      <c r="VA12" s="132">
        <f t="shared" si="79"/>
        <v>2000</v>
      </c>
      <c r="VB12" s="131">
        <f t="shared" si="80"/>
        <v>170800</v>
      </c>
      <c r="VC12" s="132">
        <f t="shared" si="81"/>
        <v>0</v>
      </c>
      <c r="VD12" s="132">
        <f t="shared" si="82"/>
        <v>12000</v>
      </c>
      <c r="VE12" s="132">
        <f t="shared" si="83"/>
        <v>71800</v>
      </c>
      <c r="VF12" s="132">
        <f t="shared" si="84"/>
        <v>50000</v>
      </c>
      <c r="VG12" s="132">
        <f t="shared" si="85"/>
        <v>10000</v>
      </c>
      <c r="VH12" s="132">
        <f t="shared" si="86"/>
        <v>2000</v>
      </c>
      <c r="VI12" s="132">
        <f t="shared" si="87"/>
        <v>5000</v>
      </c>
      <c r="VJ12" s="132">
        <f t="shared" si="88"/>
        <v>0</v>
      </c>
      <c r="VK12" s="132">
        <f t="shared" si="89"/>
        <v>0</v>
      </c>
      <c r="VL12" s="132">
        <f t="shared" si="90"/>
        <v>20000</v>
      </c>
      <c r="VM12" s="132">
        <f t="shared" si="91"/>
        <v>0</v>
      </c>
      <c r="VN12" s="132">
        <f t="shared" si="92"/>
        <v>12000</v>
      </c>
      <c r="VP12" s="845" t="str">
        <f>IFERROR(HLOOKUP(F12,'Hodnocení '!$C$1:$JH$5,2,FALSE),0)</f>
        <v>Podporované zaměstnávání</v>
      </c>
      <c r="VQ12" s="838"/>
      <c r="VR12" s="845" t="str">
        <f t="shared" si="106"/>
        <v>Spolek</v>
      </c>
      <c r="VS12" s="845" t="str">
        <f>IFERROR(HLOOKUP(F12,'Hodnocení '!$C$1:$JH$5,5,FALSE),0)</f>
        <v>NZO</v>
      </c>
      <c r="VT12" s="838">
        <f t="shared" si="107"/>
        <v>0</v>
      </c>
      <c r="VU12" s="838">
        <f t="shared" si="108"/>
        <v>0</v>
      </c>
      <c r="VV12" s="838">
        <f t="shared" si="109"/>
        <v>0</v>
      </c>
      <c r="VW12" s="838">
        <f t="shared" si="110"/>
        <v>0</v>
      </c>
      <c r="VX12" s="838"/>
      <c r="VY12" s="838">
        <f t="shared" si="111"/>
        <v>0</v>
      </c>
      <c r="VZ12" s="838">
        <f t="shared" si="112"/>
        <v>2915400</v>
      </c>
      <c r="WA12" s="846">
        <f>IFERROR(HLOOKUP($F12,'Hodnocení '!$C$1:$JH$9,9,FALSE),0)</f>
        <v>2915400</v>
      </c>
      <c r="WB12" s="846">
        <f>IF(IFERROR(HLOOKUP($F12,'Hodnocení '!$C$1:$JH$13,13,FALSE),0)&gt;WA12,WA12,IFERROR(HLOOKUP($F12,'Hodnocení '!$C$1:$JH$13,13,FALSE),0))</f>
        <v>2915400</v>
      </c>
      <c r="WC12" s="846">
        <f>IFERROR(HLOOKUP($F12,'Hodnocení '!$C$1:$JH$155,155,FALSE),0)</f>
        <v>0</v>
      </c>
      <c r="WD12" s="845"/>
      <c r="WE12" s="845"/>
      <c r="WF12" s="845" t="str">
        <f t="shared" si="97"/>
        <v>ANO</v>
      </c>
      <c r="WG12" s="849" t="str">
        <f t="shared" si="98"/>
        <v>Podpora služby je vyjádřena zařazením do sítě sociálních služeb v KHK a řešením financování služby</v>
      </c>
      <c r="WH12" s="849" t="str">
        <f t="shared" si="9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2" s="849" t="str">
        <f t="shared" si="98"/>
        <v>Návrh dotace je výsledkem projednání s ostatními zadavateli v rámci sítě služeb KHK</v>
      </c>
      <c r="WJ12" s="849" t="str">
        <f t="shared" si="98"/>
        <v>Bez komentáře</v>
      </c>
      <c r="WK12" s="31">
        <f t="shared" si="99"/>
        <v>0</v>
      </c>
      <c r="WL12" s="850">
        <f t="shared" si="100"/>
        <v>0</v>
      </c>
      <c r="WM12" s="849">
        <f t="shared" si="101"/>
        <v>0</v>
      </c>
      <c r="WN12" s="849">
        <f t="shared" si="102"/>
        <v>0</v>
      </c>
      <c r="WO12" s="849" t="str">
        <f t="shared" si="103"/>
        <v>bez komentáře</v>
      </c>
      <c r="WP12" s="849" t="str">
        <f t="shared" si="103"/>
        <v>bez komentáře</v>
      </c>
      <c r="WQ12" s="849" t="str">
        <f t="shared" si="103"/>
        <v>Konečná výše dotace z rozpočtu KHK bude řešena v návaznosti na řešení podílů jednotlivých zadavatelů.</v>
      </c>
      <c r="WR12" s="849" t="str">
        <f t="shared" si="103"/>
        <v>Konečná výše podpory ze stran obcí bude řešena v součinnosti s jednotlivými zadavateli v průběhu roku.</v>
      </c>
      <c r="WS12" s="849" t="str">
        <f t="shared" si="103"/>
        <v>bez komentáře</v>
      </c>
      <c r="WT12" s="849" t="str">
        <f t="shared" si="103"/>
        <v>bez komentáře</v>
      </c>
      <c r="WU12" s="845"/>
    </row>
    <row r="13" spans="1:619" s="128" customFormat="1" x14ac:dyDescent="0.25">
      <c r="A13" s="128" t="str">
        <f>VLOOKUP(F13,'Výpočet VP 2020'!$D$324:$I$588,6,FALSE)</f>
        <v>Je v síti</v>
      </c>
      <c r="B13" s="128" t="s">
        <v>249</v>
      </c>
      <c r="C13" s="128">
        <v>1582241</v>
      </c>
      <c r="D13" s="128" t="s">
        <v>250</v>
      </c>
      <c r="E13" s="128" t="s">
        <v>216</v>
      </c>
      <c r="F13" s="128">
        <v>1758706</v>
      </c>
      <c r="G13" s="128" t="s">
        <v>251</v>
      </c>
      <c r="H13" s="128" t="s">
        <v>230</v>
      </c>
      <c r="I13" s="128" t="s">
        <v>252</v>
      </c>
      <c r="J13" s="129">
        <v>42005</v>
      </c>
      <c r="L13" s="128" t="s">
        <v>220</v>
      </c>
      <c r="AP13" s="128" t="s">
        <v>227</v>
      </c>
      <c r="AQ13" s="128">
        <v>9</v>
      </c>
      <c r="AR13" s="128">
        <v>70</v>
      </c>
      <c r="AS13" s="128">
        <v>258</v>
      </c>
      <c r="AT13" s="128">
        <v>270</v>
      </c>
      <c r="AU13" s="128">
        <v>250</v>
      </c>
      <c r="BA13" s="128">
        <v>9</v>
      </c>
      <c r="BB13" s="128">
        <v>4415</v>
      </c>
      <c r="BC13" s="128">
        <v>3700</v>
      </c>
      <c r="BD13" s="128">
        <v>4000</v>
      </c>
      <c r="BK13" s="128" t="s">
        <v>253</v>
      </c>
      <c r="BL13" s="128" t="s">
        <v>254</v>
      </c>
      <c r="BM13" s="128" t="s">
        <v>255</v>
      </c>
      <c r="BN13" s="128" t="s">
        <v>256</v>
      </c>
      <c r="EK13" s="128">
        <v>6</v>
      </c>
      <c r="EL13" s="128">
        <v>6</v>
      </c>
      <c r="EM13" s="128">
        <v>5.65</v>
      </c>
      <c r="EN13" s="128">
        <v>2601072</v>
      </c>
      <c r="EO13" s="128">
        <v>2561072</v>
      </c>
      <c r="EP13" s="128">
        <v>3</v>
      </c>
      <c r="EQ13" s="128">
        <v>3</v>
      </c>
      <c r="ER13" s="128">
        <v>4.24</v>
      </c>
      <c r="ES13" s="128">
        <v>1204200</v>
      </c>
      <c r="ET13" s="128">
        <v>1204200</v>
      </c>
      <c r="FO13" s="128">
        <v>3</v>
      </c>
      <c r="FP13" s="128">
        <v>2</v>
      </c>
      <c r="FQ13" s="128">
        <v>1.25</v>
      </c>
      <c r="FR13" s="128">
        <v>1140000</v>
      </c>
      <c r="FS13" s="128">
        <v>1140000</v>
      </c>
      <c r="KB13" s="128">
        <v>2</v>
      </c>
      <c r="KC13" s="128">
        <v>0.19</v>
      </c>
      <c r="KD13" s="128">
        <v>0.17</v>
      </c>
      <c r="KE13" s="128">
        <v>204000</v>
      </c>
      <c r="KF13" s="128">
        <v>204000</v>
      </c>
      <c r="KG13" s="128">
        <v>0</v>
      </c>
      <c r="KI13" s="128">
        <v>9</v>
      </c>
      <c r="KJ13" s="128">
        <v>0</v>
      </c>
      <c r="KK13" s="128">
        <v>0</v>
      </c>
      <c r="KL13" s="128">
        <v>0</v>
      </c>
      <c r="KM13" s="128">
        <v>9</v>
      </c>
      <c r="KN13" s="128">
        <v>4945272</v>
      </c>
      <c r="KO13" s="128">
        <v>4905272</v>
      </c>
      <c r="KP13" s="128">
        <v>4905272</v>
      </c>
      <c r="KT13" s="128">
        <v>0</v>
      </c>
      <c r="KU13" s="128">
        <v>0</v>
      </c>
      <c r="KV13" s="128">
        <v>0</v>
      </c>
      <c r="KZ13" s="128">
        <v>0</v>
      </c>
      <c r="LA13" s="128">
        <v>0</v>
      </c>
      <c r="LB13" s="128">
        <v>0</v>
      </c>
      <c r="LF13" s="128">
        <v>0</v>
      </c>
      <c r="LG13" s="128">
        <v>0</v>
      </c>
      <c r="LH13" s="128">
        <v>0</v>
      </c>
      <c r="LL13" s="128">
        <v>0</v>
      </c>
      <c r="LM13" s="128">
        <v>0</v>
      </c>
      <c r="LN13" s="128">
        <v>0</v>
      </c>
      <c r="LR13" s="128">
        <v>50000</v>
      </c>
      <c r="LS13" s="128">
        <v>50000</v>
      </c>
      <c r="LT13" s="128">
        <v>50000</v>
      </c>
      <c r="LX13" s="128">
        <v>0</v>
      </c>
      <c r="LY13" s="128">
        <v>0</v>
      </c>
      <c r="LZ13" s="128">
        <v>0</v>
      </c>
      <c r="MD13" s="128">
        <v>70000</v>
      </c>
      <c r="ME13" s="128">
        <v>60000</v>
      </c>
      <c r="MF13" s="128">
        <v>60000</v>
      </c>
      <c r="MJ13" s="128">
        <v>0</v>
      </c>
      <c r="MK13" s="128">
        <v>0</v>
      </c>
      <c r="ML13" s="128">
        <v>0</v>
      </c>
      <c r="MP13" s="128">
        <v>0</v>
      </c>
      <c r="MQ13" s="128">
        <v>0</v>
      </c>
      <c r="MR13" s="128">
        <v>0</v>
      </c>
      <c r="MV13" s="128">
        <v>32000</v>
      </c>
      <c r="MW13" s="128">
        <v>32000</v>
      </c>
      <c r="MX13" s="128">
        <v>32000</v>
      </c>
      <c r="NB13" s="128">
        <v>89808</v>
      </c>
      <c r="NC13" s="128">
        <v>89808</v>
      </c>
      <c r="ND13" s="128">
        <v>89808</v>
      </c>
      <c r="NH13" s="128">
        <v>170000</v>
      </c>
      <c r="NI13" s="128">
        <v>160000</v>
      </c>
      <c r="NJ13" s="128">
        <v>160000</v>
      </c>
      <c r="NN13" s="128">
        <v>120000</v>
      </c>
      <c r="NO13" s="128">
        <v>120000</v>
      </c>
      <c r="NP13" s="128">
        <v>120000</v>
      </c>
      <c r="NT13" s="128">
        <v>50000</v>
      </c>
      <c r="NU13" s="128">
        <v>50000</v>
      </c>
      <c r="NV13" s="128">
        <v>50000</v>
      </c>
      <c r="NZ13" s="128">
        <v>19000</v>
      </c>
      <c r="OA13" s="128">
        <v>19000</v>
      </c>
      <c r="OB13" s="128">
        <v>19000</v>
      </c>
      <c r="OF13" s="128">
        <v>240000</v>
      </c>
      <c r="OG13" s="128">
        <v>240000</v>
      </c>
      <c r="OH13" s="128">
        <v>240000</v>
      </c>
      <c r="OL13" s="128">
        <v>0</v>
      </c>
      <c r="OM13" s="128">
        <v>0</v>
      </c>
      <c r="ON13" s="128">
        <v>0</v>
      </c>
      <c r="OR13" s="128">
        <v>204000</v>
      </c>
      <c r="OS13" s="128">
        <v>204000</v>
      </c>
      <c r="OT13" s="128">
        <v>204000</v>
      </c>
      <c r="OX13" s="128">
        <v>30000</v>
      </c>
      <c r="OY13" s="128">
        <v>30000</v>
      </c>
      <c r="OZ13" s="128">
        <v>30000</v>
      </c>
      <c r="PD13" s="128">
        <v>0</v>
      </c>
      <c r="PE13" s="128">
        <v>0</v>
      </c>
      <c r="PF13" s="128">
        <v>0</v>
      </c>
      <c r="PJ13" s="128">
        <v>28000</v>
      </c>
      <c r="PK13" s="128">
        <v>28000</v>
      </c>
      <c r="PL13" s="128">
        <v>28000</v>
      </c>
      <c r="PP13" s="128">
        <v>6048080</v>
      </c>
      <c r="PQ13" s="128">
        <v>5988080</v>
      </c>
      <c r="PR13" s="128">
        <v>5988080</v>
      </c>
      <c r="PS13" s="128">
        <v>100</v>
      </c>
      <c r="PT13" s="128">
        <v>100</v>
      </c>
      <c r="PX13" s="128">
        <v>647316</v>
      </c>
      <c r="PY13" s="128">
        <v>3108430</v>
      </c>
      <c r="PZ13" s="128">
        <v>5988080</v>
      </c>
      <c r="QA13" s="128">
        <v>0</v>
      </c>
      <c r="QB13" s="128">
        <v>0</v>
      </c>
      <c r="QC13" s="128">
        <v>0</v>
      </c>
      <c r="QD13" s="128">
        <v>0</v>
      </c>
      <c r="QE13" s="128">
        <v>0</v>
      </c>
      <c r="QF13" s="128">
        <v>0</v>
      </c>
      <c r="QG13" s="128">
        <v>0</v>
      </c>
      <c r="QH13" s="128">
        <v>0</v>
      </c>
      <c r="QI13" s="128">
        <v>0</v>
      </c>
      <c r="QJ13" s="128">
        <v>0</v>
      </c>
      <c r="QK13" s="128">
        <v>0</v>
      </c>
      <c r="QL13" s="128">
        <v>0</v>
      </c>
      <c r="QN13" s="128">
        <v>0</v>
      </c>
      <c r="QO13" s="128">
        <v>0</v>
      </c>
      <c r="QP13" s="128">
        <v>0</v>
      </c>
      <c r="QX13" s="128">
        <v>20000</v>
      </c>
      <c r="QY13" s="128">
        <v>20000</v>
      </c>
      <c r="QZ13" s="128">
        <v>60000</v>
      </c>
      <c r="RA13" s="128">
        <v>4522224</v>
      </c>
      <c r="RB13" s="128">
        <v>2261112</v>
      </c>
      <c r="RC13" s="128">
        <v>0</v>
      </c>
      <c r="RH13" s="128">
        <f t="shared" si="104"/>
        <v>6048080</v>
      </c>
      <c r="RI13" s="128">
        <v>0</v>
      </c>
      <c r="RM13" s="128" t="s">
        <v>220</v>
      </c>
      <c r="RU13" s="130"/>
      <c r="RV13" s="130"/>
      <c r="RW13" s="130"/>
      <c r="RX13" s="130"/>
      <c r="SF13" s="128">
        <f t="shared" si="8"/>
        <v>1758706</v>
      </c>
      <c r="SG13" s="131">
        <f t="shared" si="9"/>
        <v>6048080</v>
      </c>
      <c r="SH13" s="131">
        <f t="shared" si="10"/>
        <v>6048080</v>
      </c>
      <c r="SI13" s="131">
        <f t="shared" si="11"/>
        <v>4945272</v>
      </c>
      <c r="SJ13" s="132">
        <f t="shared" si="12"/>
        <v>4945272</v>
      </c>
      <c r="SK13" s="132">
        <f t="shared" si="13"/>
        <v>0</v>
      </c>
      <c r="SL13" s="132">
        <f t="shared" si="14"/>
        <v>0</v>
      </c>
      <c r="SM13" s="132">
        <f t="shared" si="15"/>
        <v>0</v>
      </c>
      <c r="SN13" s="131">
        <f t="shared" si="16"/>
        <v>1102808</v>
      </c>
      <c r="SO13" s="131">
        <f t="shared" si="17"/>
        <v>50000</v>
      </c>
      <c r="SP13" s="132">
        <f t="shared" si="18"/>
        <v>0</v>
      </c>
      <c r="SQ13" s="132">
        <f t="shared" si="19"/>
        <v>50000</v>
      </c>
      <c r="SR13" s="132">
        <f t="shared" si="20"/>
        <v>0</v>
      </c>
      <c r="SS13" s="132">
        <f t="shared" si="21"/>
        <v>70000</v>
      </c>
      <c r="ST13" s="132">
        <f t="shared" si="22"/>
        <v>0</v>
      </c>
      <c r="SU13" s="132">
        <f t="shared" si="23"/>
        <v>0</v>
      </c>
      <c r="SV13" s="131">
        <f t="shared" si="24"/>
        <v>954808</v>
      </c>
      <c r="SW13" s="132">
        <f t="shared" si="25"/>
        <v>32000</v>
      </c>
      <c r="SX13" s="132">
        <f t="shared" si="26"/>
        <v>89808</v>
      </c>
      <c r="SY13" s="132">
        <f t="shared" si="27"/>
        <v>170000</v>
      </c>
      <c r="SZ13" s="132">
        <f t="shared" si="28"/>
        <v>120000</v>
      </c>
      <c r="TA13" s="132">
        <f t="shared" si="29"/>
        <v>50000</v>
      </c>
      <c r="TB13" s="132">
        <f t="shared" si="30"/>
        <v>19000</v>
      </c>
      <c r="TC13" s="132">
        <f t="shared" si="31"/>
        <v>240000</v>
      </c>
      <c r="TD13" s="132">
        <f t="shared" si="32"/>
        <v>0</v>
      </c>
      <c r="TE13" s="132">
        <f t="shared" si="33"/>
        <v>204000</v>
      </c>
      <c r="TF13" s="132">
        <f t="shared" si="34"/>
        <v>30000</v>
      </c>
      <c r="TG13" s="132">
        <f t="shared" si="35"/>
        <v>0</v>
      </c>
      <c r="TH13" s="132">
        <f t="shared" si="36"/>
        <v>28000</v>
      </c>
      <c r="TI13" s="1"/>
      <c r="TJ13" s="131">
        <f t="shared" si="37"/>
        <v>5988080</v>
      </c>
      <c r="TK13" s="131">
        <f t="shared" si="38"/>
        <v>5988080</v>
      </c>
      <c r="TL13" s="131">
        <f t="shared" si="39"/>
        <v>4905272</v>
      </c>
      <c r="TM13" s="132">
        <f t="shared" si="40"/>
        <v>4905272</v>
      </c>
      <c r="TN13" s="132">
        <f t="shared" si="41"/>
        <v>0</v>
      </c>
      <c r="TO13" s="132">
        <f t="shared" si="42"/>
        <v>0</v>
      </c>
      <c r="TP13" s="132">
        <f t="shared" si="43"/>
        <v>0</v>
      </c>
      <c r="TQ13" s="131">
        <f t="shared" si="44"/>
        <v>1082808</v>
      </c>
      <c r="TR13" s="131">
        <f t="shared" si="45"/>
        <v>50000</v>
      </c>
      <c r="TS13" s="132">
        <f t="shared" si="46"/>
        <v>0</v>
      </c>
      <c r="TT13" s="132">
        <f t="shared" si="47"/>
        <v>50000</v>
      </c>
      <c r="TU13" s="132">
        <f t="shared" si="48"/>
        <v>0</v>
      </c>
      <c r="TV13" s="132">
        <f t="shared" si="49"/>
        <v>60000</v>
      </c>
      <c r="TW13" s="132">
        <f t="shared" si="50"/>
        <v>0</v>
      </c>
      <c r="TX13" s="132">
        <f t="shared" si="51"/>
        <v>0</v>
      </c>
      <c r="TY13" s="131">
        <f t="shared" si="52"/>
        <v>944808</v>
      </c>
      <c r="TZ13" s="132">
        <f t="shared" si="53"/>
        <v>32000</v>
      </c>
      <c r="UA13" s="132">
        <f t="shared" si="54"/>
        <v>89808</v>
      </c>
      <c r="UB13" s="132">
        <f t="shared" si="55"/>
        <v>160000</v>
      </c>
      <c r="UC13" s="132">
        <f t="shared" si="56"/>
        <v>120000</v>
      </c>
      <c r="UD13" s="132">
        <f t="shared" si="57"/>
        <v>50000</v>
      </c>
      <c r="UE13" s="132">
        <f t="shared" si="58"/>
        <v>19000</v>
      </c>
      <c r="UF13" s="132">
        <f t="shared" si="59"/>
        <v>240000</v>
      </c>
      <c r="UG13" s="132">
        <f t="shared" si="60"/>
        <v>0</v>
      </c>
      <c r="UH13" s="132">
        <f t="shared" si="61"/>
        <v>204000</v>
      </c>
      <c r="UI13" s="132">
        <f t="shared" si="62"/>
        <v>30000</v>
      </c>
      <c r="UJ13" s="132">
        <f t="shared" si="63"/>
        <v>0</v>
      </c>
      <c r="UK13" s="132">
        <f t="shared" si="64"/>
        <v>28000</v>
      </c>
      <c r="UL13" s="132">
        <f t="shared" si="105"/>
        <v>5988080</v>
      </c>
      <c r="UM13" s="131">
        <f t="shared" si="65"/>
        <v>5988080</v>
      </c>
      <c r="UN13" s="131">
        <f t="shared" si="66"/>
        <v>5988080</v>
      </c>
      <c r="UO13" s="131">
        <f t="shared" si="67"/>
        <v>4905272</v>
      </c>
      <c r="UP13" s="132">
        <f t="shared" si="68"/>
        <v>4905272</v>
      </c>
      <c r="UQ13" s="132">
        <f t="shared" si="69"/>
        <v>0</v>
      </c>
      <c r="UR13" s="132">
        <f t="shared" si="70"/>
        <v>0</v>
      </c>
      <c r="US13" s="132">
        <f t="shared" si="71"/>
        <v>0</v>
      </c>
      <c r="UT13" s="131">
        <f t="shared" si="72"/>
        <v>1082808</v>
      </c>
      <c r="UU13" s="131">
        <f t="shared" si="73"/>
        <v>50000</v>
      </c>
      <c r="UV13" s="132">
        <f t="shared" si="74"/>
        <v>0</v>
      </c>
      <c r="UW13" s="132">
        <f t="shared" si="75"/>
        <v>50000</v>
      </c>
      <c r="UX13" s="132">
        <f t="shared" si="76"/>
        <v>0</v>
      </c>
      <c r="UY13" s="132">
        <f t="shared" si="77"/>
        <v>60000</v>
      </c>
      <c r="UZ13" s="132">
        <f t="shared" si="78"/>
        <v>0</v>
      </c>
      <c r="VA13" s="132">
        <f t="shared" si="79"/>
        <v>0</v>
      </c>
      <c r="VB13" s="131">
        <f t="shared" si="80"/>
        <v>944808</v>
      </c>
      <c r="VC13" s="132">
        <f t="shared" si="81"/>
        <v>32000</v>
      </c>
      <c r="VD13" s="132">
        <f t="shared" si="82"/>
        <v>89808</v>
      </c>
      <c r="VE13" s="132">
        <f t="shared" si="83"/>
        <v>160000</v>
      </c>
      <c r="VF13" s="132">
        <f t="shared" si="84"/>
        <v>120000</v>
      </c>
      <c r="VG13" s="132">
        <f t="shared" si="85"/>
        <v>50000</v>
      </c>
      <c r="VH13" s="132">
        <f t="shared" si="86"/>
        <v>19000</v>
      </c>
      <c r="VI13" s="132">
        <f t="shared" si="87"/>
        <v>240000</v>
      </c>
      <c r="VJ13" s="132">
        <f t="shared" si="88"/>
        <v>0</v>
      </c>
      <c r="VK13" s="132">
        <f t="shared" si="89"/>
        <v>204000</v>
      </c>
      <c r="VL13" s="132">
        <f t="shared" si="90"/>
        <v>30000</v>
      </c>
      <c r="VM13" s="132">
        <f t="shared" si="91"/>
        <v>0</v>
      </c>
      <c r="VN13" s="132">
        <f t="shared" si="92"/>
        <v>28000</v>
      </c>
      <c r="VP13" s="845" t="str">
        <f>IFERROR(HLOOKUP(F13,'Hodnocení '!$C$1:$JH$5,2,FALSE),0)</f>
        <v>Terénní program - Aufori, o.p.s.</v>
      </c>
      <c r="VQ13" s="838"/>
      <c r="VR13" s="845" t="str">
        <f t="shared" si="106"/>
        <v>Obecně prospěšná společnost</v>
      </c>
      <c r="VS13" s="845" t="str">
        <f>IFERROR(HLOOKUP(F13,'Hodnocení '!$C$1:$JH$5,5,FALSE),0)</f>
        <v>NZO</v>
      </c>
      <c r="VT13" s="838">
        <f t="shared" si="107"/>
        <v>0</v>
      </c>
      <c r="VU13" s="838">
        <f t="shared" si="108"/>
        <v>0</v>
      </c>
      <c r="VV13" s="838">
        <f t="shared" si="109"/>
        <v>0</v>
      </c>
      <c r="VW13" s="838">
        <f t="shared" si="110"/>
        <v>0</v>
      </c>
      <c r="VX13" s="838"/>
      <c r="VY13" s="838">
        <f t="shared" si="111"/>
        <v>0</v>
      </c>
      <c r="VZ13" s="838">
        <f t="shared" si="112"/>
        <v>5988080</v>
      </c>
      <c r="WA13" s="846">
        <f>IFERROR(HLOOKUP($F13,'Hodnocení '!$C$1:$JH$9,9,FALSE),0)</f>
        <v>5988080</v>
      </c>
      <c r="WB13" s="846">
        <f>IF(IFERROR(HLOOKUP($F13,'Hodnocení '!$C$1:$JH$13,13,FALSE),0)&gt;WA13,WA13,IFERROR(HLOOKUP($F13,'Hodnocení '!$C$1:$JH$13,13,FALSE),0))</f>
        <v>5924518.8128773188</v>
      </c>
      <c r="WC13" s="846">
        <f>IFERROR(HLOOKUP($F13,'Hodnocení '!$C$1:$JH$155,155,FALSE),0)</f>
        <v>5988080</v>
      </c>
      <c r="WD13" s="845"/>
      <c r="WE13" s="845"/>
      <c r="WF13" s="845" t="str">
        <f t="shared" si="97"/>
        <v>ANO</v>
      </c>
      <c r="WG13" s="849" t="str">
        <f t="shared" si="98"/>
        <v>Podpora služby je vyjádřena zařazením do sítě sociálních služeb v KHK a řešením financování služby</v>
      </c>
      <c r="WH13" s="849" t="str">
        <f t="shared" si="9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3" s="849" t="str">
        <f t="shared" si="98"/>
        <v>Návrh dotace je výsledkem projednání s ostatními zadavateli v rámci sítě služeb KHK</v>
      </c>
      <c r="WJ13" s="849" t="str">
        <f t="shared" si="98"/>
        <v>Bez komentáře</v>
      </c>
      <c r="WK13" s="31">
        <f t="shared" si="99"/>
        <v>0</v>
      </c>
      <c r="WL13" s="850">
        <f t="shared" si="100"/>
        <v>0</v>
      </c>
      <c r="WM13" s="849">
        <f t="shared" si="101"/>
        <v>0</v>
      </c>
      <c r="WN13" s="849">
        <f t="shared" si="102"/>
        <v>0</v>
      </c>
      <c r="WO13" s="849" t="str">
        <f t="shared" si="103"/>
        <v>bez komentáře</v>
      </c>
      <c r="WP13" s="849" t="str">
        <f t="shared" si="103"/>
        <v>bez komentáře</v>
      </c>
      <c r="WQ13" s="849" t="str">
        <f t="shared" si="103"/>
        <v>Konečná výše dotace z rozpočtu KHK bude řešena v návaznosti na řešení podílů jednotlivých zadavatelů.</v>
      </c>
      <c r="WR13" s="849" t="str">
        <f t="shared" si="103"/>
        <v>Konečná výše podpory ze stran obcí bude řešena v součinnosti s jednotlivými zadavateli v průběhu roku.</v>
      </c>
      <c r="WS13" s="849" t="str">
        <f t="shared" si="103"/>
        <v>bez komentáře</v>
      </c>
      <c r="WT13" s="849" t="str">
        <f t="shared" si="103"/>
        <v>bez komentáře</v>
      </c>
      <c r="WU13" s="845"/>
    </row>
    <row r="14" spans="1:619" s="128" customFormat="1" x14ac:dyDescent="0.25">
      <c r="A14" s="128" t="str">
        <f>VLOOKUP(F14,'Výpočet VP 2020'!$D$324:$I$588,6,FALSE)</f>
        <v>Je v síti</v>
      </c>
      <c r="B14" s="128" t="s">
        <v>257</v>
      </c>
      <c r="C14" s="128">
        <v>194972</v>
      </c>
      <c r="D14" s="128" t="s">
        <v>258</v>
      </c>
      <c r="E14" s="128" t="s">
        <v>259</v>
      </c>
      <c r="F14" s="128">
        <v>5000179</v>
      </c>
      <c r="G14" s="128" t="s">
        <v>260</v>
      </c>
      <c r="H14" s="128" t="s">
        <v>218</v>
      </c>
      <c r="I14" s="128" t="s">
        <v>261</v>
      </c>
      <c r="J14" s="129">
        <v>39083</v>
      </c>
      <c r="L14" s="128" t="s">
        <v>220</v>
      </c>
      <c r="M14" s="128" t="s">
        <v>262</v>
      </c>
      <c r="N14" s="128">
        <v>58</v>
      </c>
      <c r="P14" s="128">
        <v>58</v>
      </c>
      <c r="Q14" s="128">
        <v>58</v>
      </c>
      <c r="R14" s="128">
        <v>58</v>
      </c>
      <c r="BL14" s="128" t="s">
        <v>263</v>
      </c>
      <c r="BM14" s="128" t="s">
        <v>228</v>
      </c>
      <c r="BN14" s="128" t="s">
        <v>264</v>
      </c>
      <c r="DA14" s="128">
        <v>0</v>
      </c>
      <c r="DB14" s="128">
        <v>0</v>
      </c>
      <c r="DC14" s="128">
        <v>0</v>
      </c>
      <c r="DD14" s="128">
        <v>1</v>
      </c>
      <c r="DE14" s="128">
        <v>0</v>
      </c>
      <c r="DF14" s="128">
        <v>0</v>
      </c>
      <c r="DG14" s="128">
        <v>5</v>
      </c>
      <c r="DH14" s="128">
        <v>16</v>
      </c>
      <c r="DI14" s="128">
        <v>36</v>
      </c>
      <c r="DJ14" s="128">
        <v>0</v>
      </c>
      <c r="DK14" s="128">
        <v>0</v>
      </c>
      <c r="DL14" s="128">
        <v>5</v>
      </c>
      <c r="DM14" s="128">
        <v>16</v>
      </c>
      <c r="DN14" s="128">
        <v>37</v>
      </c>
      <c r="DO14" s="128">
        <v>0</v>
      </c>
      <c r="DP14" s="128">
        <v>1</v>
      </c>
      <c r="DQ14" s="128">
        <v>57</v>
      </c>
      <c r="DR14" s="128">
        <v>58</v>
      </c>
      <c r="DS14" s="128">
        <v>0</v>
      </c>
      <c r="DT14" s="128">
        <v>0</v>
      </c>
      <c r="DU14" s="128">
        <v>0</v>
      </c>
      <c r="DV14" s="128">
        <v>1</v>
      </c>
      <c r="DW14" s="128">
        <v>0</v>
      </c>
      <c r="DX14" s="128">
        <v>0</v>
      </c>
      <c r="DY14" s="128">
        <v>3</v>
      </c>
      <c r="DZ14" s="128">
        <v>16</v>
      </c>
      <c r="EA14" s="128">
        <v>38</v>
      </c>
      <c r="EB14" s="128">
        <v>0</v>
      </c>
      <c r="EC14" s="128">
        <v>0</v>
      </c>
      <c r="ED14" s="128">
        <v>3</v>
      </c>
      <c r="EE14" s="128">
        <v>16</v>
      </c>
      <c r="EF14" s="128">
        <v>39</v>
      </c>
      <c r="EG14" s="128">
        <v>0</v>
      </c>
      <c r="EH14" s="128">
        <v>1</v>
      </c>
      <c r="EI14" s="128">
        <v>57</v>
      </c>
      <c r="EJ14" s="128">
        <v>58</v>
      </c>
      <c r="EK14" s="128">
        <v>3</v>
      </c>
      <c r="EL14" s="128">
        <v>2</v>
      </c>
      <c r="EM14" s="128">
        <v>2.63</v>
      </c>
      <c r="EN14" s="128">
        <v>2070969</v>
      </c>
      <c r="EO14" s="128">
        <v>1900000</v>
      </c>
      <c r="EP14" s="128">
        <v>55</v>
      </c>
      <c r="EQ14" s="128">
        <v>54.5</v>
      </c>
      <c r="ER14" s="128">
        <v>54.42</v>
      </c>
      <c r="ES14" s="128">
        <v>39091534</v>
      </c>
      <c r="ET14" s="128">
        <v>38500000</v>
      </c>
      <c r="EU14" s="128">
        <v>9</v>
      </c>
      <c r="EV14" s="128">
        <v>9</v>
      </c>
      <c r="EW14" s="128">
        <v>9.1999999999999993</v>
      </c>
      <c r="EX14" s="128">
        <v>8254248</v>
      </c>
      <c r="EY14" s="128">
        <v>0</v>
      </c>
      <c r="EZ14" s="128">
        <v>1</v>
      </c>
      <c r="FA14" s="128">
        <v>1</v>
      </c>
      <c r="FB14" s="128">
        <v>0</v>
      </c>
      <c r="FC14" s="128">
        <v>637070</v>
      </c>
      <c r="FD14" s="128">
        <v>526000</v>
      </c>
      <c r="FO14" s="128">
        <v>20</v>
      </c>
      <c r="FP14" s="128">
        <v>17.5</v>
      </c>
      <c r="FQ14" s="128">
        <v>15.52</v>
      </c>
      <c r="FR14" s="128">
        <v>7922775</v>
      </c>
      <c r="FS14" s="128">
        <v>7400000</v>
      </c>
      <c r="GF14" s="128">
        <v>3</v>
      </c>
      <c r="GG14" s="128">
        <v>1.5</v>
      </c>
      <c r="GH14" s="128">
        <v>36</v>
      </c>
      <c r="GI14" s="128">
        <v>1.5</v>
      </c>
      <c r="GJ14" s="128">
        <v>465000</v>
      </c>
      <c r="GK14" s="128">
        <v>465000</v>
      </c>
      <c r="HD14" s="128">
        <v>1</v>
      </c>
      <c r="HE14" s="128">
        <v>0.5</v>
      </c>
      <c r="HF14" s="128">
        <v>12</v>
      </c>
      <c r="HG14" s="128">
        <v>0.5</v>
      </c>
      <c r="HH14" s="128">
        <v>230000</v>
      </c>
      <c r="HI14" s="128">
        <v>0</v>
      </c>
      <c r="IH14" s="128">
        <v>2</v>
      </c>
      <c r="II14" s="128">
        <v>1</v>
      </c>
      <c r="IJ14" s="128">
        <v>24</v>
      </c>
      <c r="IK14" s="128">
        <v>1</v>
      </c>
      <c r="IL14" s="128">
        <v>270000</v>
      </c>
      <c r="IM14" s="128">
        <v>140000</v>
      </c>
      <c r="IN14" s="128">
        <v>8</v>
      </c>
      <c r="IO14" s="128">
        <v>2400</v>
      </c>
      <c r="IP14" s="128">
        <v>1.145</v>
      </c>
      <c r="IQ14" s="128">
        <v>363000</v>
      </c>
      <c r="IR14" s="128">
        <v>210000</v>
      </c>
      <c r="IS14" s="128">
        <v>6</v>
      </c>
      <c r="IT14" s="128">
        <v>1800</v>
      </c>
      <c r="IU14" s="128">
        <v>0.85899999999999999</v>
      </c>
      <c r="IV14" s="128">
        <v>429000</v>
      </c>
      <c r="IW14" s="128">
        <v>359000</v>
      </c>
      <c r="JH14" s="128">
        <v>1</v>
      </c>
      <c r="JI14" s="128">
        <v>0.06</v>
      </c>
      <c r="JJ14" s="128">
        <v>0.06</v>
      </c>
      <c r="JK14" s="128">
        <v>76800</v>
      </c>
      <c r="JL14" s="128">
        <v>0</v>
      </c>
      <c r="KG14" s="128">
        <v>0</v>
      </c>
      <c r="KI14" s="128">
        <v>66.5</v>
      </c>
      <c r="KJ14" s="128">
        <v>2</v>
      </c>
      <c r="KK14" s="128">
        <v>1.145</v>
      </c>
      <c r="KL14" s="128">
        <v>0.06</v>
      </c>
      <c r="KM14" s="128">
        <v>69.704999999999998</v>
      </c>
      <c r="KN14" s="128">
        <v>57976596</v>
      </c>
      <c r="KO14" s="128">
        <v>48326000</v>
      </c>
      <c r="KP14" s="128">
        <v>48326000</v>
      </c>
      <c r="KT14" s="128">
        <v>965000</v>
      </c>
      <c r="KU14" s="128">
        <v>605000</v>
      </c>
      <c r="KV14" s="128">
        <v>605000</v>
      </c>
      <c r="KZ14" s="128">
        <v>792000</v>
      </c>
      <c r="LA14" s="128">
        <v>569000</v>
      </c>
      <c r="LB14" s="128">
        <v>569000</v>
      </c>
      <c r="LF14" s="128">
        <v>1195000</v>
      </c>
      <c r="LG14" s="128">
        <v>1000000</v>
      </c>
      <c r="LH14" s="128">
        <v>1000000</v>
      </c>
      <c r="LL14" s="128">
        <v>100000</v>
      </c>
      <c r="LM14" s="128">
        <v>0</v>
      </c>
      <c r="LN14" s="128">
        <v>0</v>
      </c>
      <c r="LR14" s="128">
        <v>1900000</v>
      </c>
      <c r="LS14" s="128">
        <v>0</v>
      </c>
      <c r="LT14" s="128">
        <v>0</v>
      </c>
      <c r="LX14" s="128">
        <v>2800000</v>
      </c>
      <c r="LY14" s="128">
        <v>0</v>
      </c>
      <c r="LZ14" s="128">
        <v>0</v>
      </c>
      <c r="MD14" s="128">
        <v>150000</v>
      </c>
      <c r="ME14" s="128">
        <v>0</v>
      </c>
      <c r="MF14" s="128">
        <v>0</v>
      </c>
      <c r="MJ14" s="128">
        <v>200000</v>
      </c>
      <c r="MK14" s="128">
        <v>0</v>
      </c>
      <c r="ML14" s="128">
        <v>0</v>
      </c>
      <c r="MP14" s="128">
        <v>1200000</v>
      </c>
      <c r="MQ14" s="128">
        <v>0</v>
      </c>
      <c r="MR14" s="128">
        <v>0</v>
      </c>
      <c r="MV14" s="128">
        <v>1950000</v>
      </c>
      <c r="MW14" s="128">
        <v>0</v>
      </c>
      <c r="MX14" s="128">
        <v>0</v>
      </c>
      <c r="NB14" s="128">
        <v>190000</v>
      </c>
      <c r="NC14" s="128">
        <v>0</v>
      </c>
      <c r="ND14" s="128">
        <v>0</v>
      </c>
      <c r="NH14" s="128">
        <v>0</v>
      </c>
      <c r="NI14" s="128">
        <v>0</v>
      </c>
      <c r="NJ14" s="128">
        <v>0</v>
      </c>
      <c r="NN14" s="128">
        <v>100000</v>
      </c>
      <c r="NO14" s="128">
        <v>0</v>
      </c>
      <c r="NP14" s="128">
        <v>0</v>
      </c>
      <c r="NT14" s="128">
        <v>500000</v>
      </c>
      <c r="NU14" s="128">
        <v>0</v>
      </c>
      <c r="NV14" s="128">
        <v>0</v>
      </c>
      <c r="NZ14" s="128">
        <v>1700000</v>
      </c>
      <c r="OA14" s="128">
        <v>0</v>
      </c>
      <c r="OB14" s="128">
        <v>0</v>
      </c>
      <c r="OF14" s="128">
        <v>70000</v>
      </c>
      <c r="OG14" s="128">
        <v>0</v>
      </c>
      <c r="OH14" s="128">
        <v>0</v>
      </c>
      <c r="OL14" s="128">
        <v>76800</v>
      </c>
      <c r="OM14" s="128">
        <v>0</v>
      </c>
      <c r="ON14" s="128">
        <v>0</v>
      </c>
      <c r="OR14" s="128">
        <v>0</v>
      </c>
      <c r="OS14" s="128">
        <v>0</v>
      </c>
      <c r="OT14" s="128">
        <v>0</v>
      </c>
      <c r="OX14" s="128">
        <v>3000000</v>
      </c>
      <c r="OY14" s="128">
        <v>0</v>
      </c>
      <c r="OZ14" s="128">
        <v>0</v>
      </c>
      <c r="PD14" s="128">
        <v>1400000</v>
      </c>
      <c r="PE14" s="128">
        <v>0</v>
      </c>
      <c r="PF14" s="128">
        <v>0</v>
      </c>
      <c r="PJ14" s="128">
        <v>1000000</v>
      </c>
      <c r="PK14" s="128">
        <v>0</v>
      </c>
      <c r="PL14" s="128">
        <v>0</v>
      </c>
      <c r="PP14" s="128">
        <v>77265396</v>
      </c>
      <c r="PQ14" s="128">
        <v>50500000</v>
      </c>
      <c r="PR14" s="128">
        <v>50500000</v>
      </c>
      <c r="PS14" s="128">
        <v>100</v>
      </c>
      <c r="PT14" s="128">
        <v>100</v>
      </c>
      <c r="PV14" s="128">
        <v>19602877</v>
      </c>
      <c r="PX14" s="128">
        <v>25175385</v>
      </c>
      <c r="PY14" s="128">
        <v>24865973</v>
      </c>
      <c r="PZ14" s="128">
        <v>50500000</v>
      </c>
      <c r="QA14" s="128">
        <v>0</v>
      </c>
      <c r="QB14" s="128">
        <v>0</v>
      </c>
      <c r="QC14" s="128">
        <v>0</v>
      </c>
      <c r="QD14" s="128">
        <v>0</v>
      </c>
      <c r="QE14" s="128">
        <v>0</v>
      </c>
      <c r="QF14" s="128">
        <v>0</v>
      </c>
      <c r="QG14" s="128">
        <v>11041837</v>
      </c>
      <c r="QH14" s="128">
        <v>14000000</v>
      </c>
      <c r="QI14" s="128">
        <v>8915396</v>
      </c>
      <c r="QJ14" s="128">
        <v>12512760</v>
      </c>
      <c r="QK14" s="128">
        <v>13110000</v>
      </c>
      <c r="QL14" s="128">
        <v>13150000</v>
      </c>
      <c r="QN14" s="128">
        <v>3242392</v>
      </c>
      <c r="QO14" s="128">
        <v>4700000</v>
      </c>
      <c r="QP14" s="128">
        <v>4700000</v>
      </c>
      <c r="RH14" s="128">
        <f t="shared" si="104"/>
        <v>59415396</v>
      </c>
      <c r="RI14" s="128">
        <v>0</v>
      </c>
      <c r="RM14" s="128" t="s">
        <v>220</v>
      </c>
      <c r="RU14" s="130"/>
      <c r="RV14" s="130"/>
      <c r="RW14" s="130"/>
      <c r="RX14" s="130"/>
      <c r="SF14" s="128">
        <f t="shared" si="8"/>
        <v>5000179</v>
      </c>
      <c r="SG14" s="131">
        <f t="shared" si="9"/>
        <v>77265396</v>
      </c>
      <c r="SH14" s="131">
        <f t="shared" si="10"/>
        <v>77265396</v>
      </c>
      <c r="SI14" s="131">
        <f t="shared" si="11"/>
        <v>60928596</v>
      </c>
      <c r="SJ14" s="132">
        <f t="shared" si="12"/>
        <v>57976596</v>
      </c>
      <c r="SK14" s="132">
        <f t="shared" si="13"/>
        <v>965000</v>
      </c>
      <c r="SL14" s="132">
        <f t="shared" si="14"/>
        <v>792000</v>
      </c>
      <c r="SM14" s="132">
        <f t="shared" si="15"/>
        <v>1195000</v>
      </c>
      <c r="SN14" s="131">
        <f t="shared" si="16"/>
        <v>16336800</v>
      </c>
      <c r="SO14" s="131">
        <f t="shared" si="17"/>
        <v>2000000</v>
      </c>
      <c r="SP14" s="132">
        <f t="shared" si="18"/>
        <v>100000</v>
      </c>
      <c r="SQ14" s="132">
        <f t="shared" si="19"/>
        <v>1900000</v>
      </c>
      <c r="SR14" s="132">
        <f t="shared" si="20"/>
        <v>2800000</v>
      </c>
      <c r="SS14" s="132">
        <f t="shared" si="21"/>
        <v>150000</v>
      </c>
      <c r="ST14" s="132">
        <f t="shared" si="22"/>
        <v>200000</v>
      </c>
      <c r="SU14" s="132">
        <f t="shared" si="23"/>
        <v>1200000</v>
      </c>
      <c r="SV14" s="131">
        <f t="shared" si="24"/>
        <v>7586800</v>
      </c>
      <c r="SW14" s="132">
        <f t="shared" si="25"/>
        <v>1950000</v>
      </c>
      <c r="SX14" s="132">
        <f t="shared" si="26"/>
        <v>190000</v>
      </c>
      <c r="SY14" s="132">
        <f t="shared" si="27"/>
        <v>0</v>
      </c>
      <c r="SZ14" s="132">
        <f t="shared" si="28"/>
        <v>100000</v>
      </c>
      <c r="TA14" s="132">
        <f t="shared" si="29"/>
        <v>500000</v>
      </c>
      <c r="TB14" s="132">
        <f t="shared" si="30"/>
        <v>1700000</v>
      </c>
      <c r="TC14" s="132">
        <f t="shared" si="31"/>
        <v>70000</v>
      </c>
      <c r="TD14" s="132">
        <f t="shared" si="32"/>
        <v>76800</v>
      </c>
      <c r="TE14" s="132">
        <f t="shared" si="33"/>
        <v>0</v>
      </c>
      <c r="TF14" s="132">
        <f t="shared" si="34"/>
        <v>3000000</v>
      </c>
      <c r="TG14" s="132">
        <f t="shared" si="35"/>
        <v>1400000</v>
      </c>
      <c r="TH14" s="132">
        <f t="shared" si="36"/>
        <v>1000000</v>
      </c>
      <c r="TI14" s="1"/>
      <c r="TJ14" s="131">
        <f t="shared" si="37"/>
        <v>50500000</v>
      </c>
      <c r="TK14" s="131">
        <f t="shared" si="38"/>
        <v>50500000</v>
      </c>
      <c r="TL14" s="131">
        <f t="shared" si="39"/>
        <v>50500000</v>
      </c>
      <c r="TM14" s="132">
        <f t="shared" si="40"/>
        <v>48326000</v>
      </c>
      <c r="TN14" s="132">
        <f t="shared" si="41"/>
        <v>605000</v>
      </c>
      <c r="TO14" s="132">
        <f t="shared" si="42"/>
        <v>569000</v>
      </c>
      <c r="TP14" s="132">
        <f t="shared" si="43"/>
        <v>1000000</v>
      </c>
      <c r="TQ14" s="131">
        <f t="shared" si="44"/>
        <v>0</v>
      </c>
      <c r="TR14" s="131">
        <f t="shared" si="45"/>
        <v>0</v>
      </c>
      <c r="TS14" s="132">
        <f t="shared" si="46"/>
        <v>0</v>
      </c>
      <c r="TT14" s="132">
        <f t="shared" si="47"/>
        <v>0</v>
      </c>
      <c r="TU14" s="132">
        <f t="shared" si="48"/>
        <v>0</v>
      </c>
      <c r="TV14" s="132">
        <f t="shared" si="49"/>
        <v>0</v>
      </c>
      <c r="TW14" s="132">
        <f t="shared" si="50"/>
        <v>0</v>
      </c>
      <c r="TX14" s="132">
        <f t="shared" si="51"/>
        <v>0</v>
      </c>
      <c r="TY14" s="131">
        <f t="shared" si="52"/>
        <v>0</v>
      </c>
      <c r="TZ14" s="132">
        <f t="shared" si="53"/>
        <v>0</v>
      </c>
      <c r="UA14" s="132">
        <f t="shared" si="54"/>
        <v>0</v>
      </c>
      <c r="UB14" s="132">
        <f t="shared" si="55"/>
        <v>0</v>
      </c>
      <c r="UC14" s="132">
        <f t="shared" si="56"/>
        <v>0</v>
      </c>
      <c r="UD14" s="132">
        <f t="shared" si="57"/>
        <v>0</v>
      </c>
      <c r="UE14" s="132">
        <f t="shared" si="58"/>
        <v>0</v>
      </c>
      <c r="UF14" s="132">
        <f t="shared" si="59"/>
        <v>0</v>
      </c>
      <c r="UG14" s="132">
        <f t="shared" si="60"/>
        <v>0</v>
      </c>
      <c r="UH14" s="132">
        <f t="shared" si="61"/>
        <v>0</v>
      </c>
      <c r="UI14" s="132">
        <f t="shared" si="62"/>
        <v>0</v>
      </c>
      <c r="UJ14" s="132">
        <f t="shared" si="63"/>
        <v>0</v>
      </c>
      <c r="UK14" s="132">
        <f t="shared" si="64"/>
        <v>0</v>
      </c>
      <c r="UL14" s="132">
        <f t="shared" si="105"/>
        <v>50500000</v>
      </c>
      <c r="UM14" s="131">
        <f t="shared" si="65"/>
        <v>50500000</v>
      </c>
      <c r="UN14" s="131">
        <f t="shared" si="66"/>
        <v>50500000</v>
      </c>
      <c r="UO14" s="131">
        <f t="shared" si="67"/>
        <v>50500000</v>
      </c>
      <c r="UP14" s="132">
        <f t="shared" si="68"/>
        <v>48326000</v>
      </c>
      <c r="UQ14" s="132">
        <f t="shared" si="69"/>
        <v>605000</v>
      </c>
      <c r="UR14" s="132">
        <f t="shared" si="70"/>
        <v>569000</v>
      </c>
      <c r="US14" s="132">
        <f t="shared" si="71"/>
        <v>1000000</v>
      </c>
      <c r="UT14" s="131">
        <f t="shared" si="72"/>
        <v>0</v>
      </c>
      <c r="UU14" s="131">
        <f t="shared" si="73"/>
        <v>0</v>
      </c>
      <c r="UV14" s="132">
        <f t="shared" si="74"/>
        <v>0</v>
      </c>
      <c r="UW14" s="132">
        <f t="shared" si="75"/>
        <v>0</v>
      </c>
      <c r="UX14" s="132">
        <f t="shared" si="76"/>
        <v>0</v>
      </c>
      <c r="UY14" s="132">
        <f t="shared" si="77"/>
        <v>0</v>
      </c>
      <c r="UZ14" s="132">
        <f t="shared" si="78"/>
        <v>0</v>
      </c>
      <c r="VA14" s="132">
        <f t="shared" si="79"/>
        <v>0</v>
      </c>
      <c r="VB14" s="131">
        <f t="shared" si="80"/>
        <v>0</v>
      </c>
      <c r="VC14" s="132">
        <f t="shared" si="81"/>
        <v>0</v>
      </c>
      <c r="VD14" s="132">
        <f t="shared" si="82"/>
        <v>0</v>
      </c>
      <c r="VE14" s="132">
        <f t="shared" si="83"/>
        <v>0</v>
      </c>
      <c r="VF14" s="132">
        <f t="shared" si="84"/>
        <v>0</v>
      </c>
      <c r="VG14" s="132">
        <f t="shared" si="85"/>
        <v>0</v>
      </c>
      <c r="VH14" s="132">
        <f t="shared" si="86"/>
        <v>0</v>
      </c>
      <c r="VI14" s="132">
        <f t="shared" si="87"/>
        <v>0</v>
      </c>
      <c r="VJ14" s="132">
        <f t="shared" si="88"/>
        <v>0</v>
      </c>
      <c r="VK14" s="132">
        <f t="shared" si="89"/>
        <v>0</v>
      </c>
      <c r="VL14" s="132">
        <f t="shared" si="90"/>
        <v>0</v>
      </c>
      <c r="VM14" s="132">
        <f t="shared" si="91"/>
        <v>0</v>
      </c>
      <c r="VN14" s="132">
        <f t="shared" si="92"/>
        <v>0</v>
      </c>
      <c r="VP14" s="845" t="str">
        <f>IFERROR(HLOOKUP(F14,'Hodnocení '!$C$1:$JH$5,2,FALSE),0)</f>
        <v>Domov pro osoby se zdravotním postižením</v>
      </c>
      <c r="VQ14" s="838"/>
      <c r="VR14" s="845" t="str">
        <f t="shared" si="106"/>
        <v>Příspěvková organizace zřízená územním samosprávným celkem</v>
      </c>
      <c r="VS14" s="845" t="str">
        <f>IFERROR(HLOOKUP(F14,'Hodnocení '!$C$1:$JH$5,5,FALSE),0)</f>
        <v>PO KHK</v>
      </c>
      <c r="VT14" s="838">
        <f t="shared" si="107"/>
        <v>0</v>
      </c>
      <c r="VU14" s="838" t="str">
        <f t="shared" si="108"/>
        <v>PO KHK</v>
      </c>
      <c r="VV14" s="838">
        <f t="shared" si="109"/>
        <v>13150000</v>
      </c>
      <c r="VW14" s="838">
        <f t="shared" si="110"/>
        <v>4700000</v>
      </c>
      <c r="VX14" s="838"/>
      <c r="VY14" s="838">
        <f t="shared" si="111"/>
        <v>0</v>
      </c>
      <c r="VZ14" s="838">
        <f t="shared" si="112"/>
        <v>50500000</v>
      </c>
      <c r="WA14" s="846">
        <f>IFERROR(HLOOKUP($F14,'Hodnocení '!$C$1:$JH$9,9,FALSE),0)</f>
        <v>50500000</v>
      </c>
      <c r="WB14" s="846">
        <f>IF(IFERROR(HLOOKUP($F14,'Hodnocení '!$C$1:$JH$13,13,FALSE),0)&gt;WA14,WA14,IFERROR(HLOOKUP($F14,'Hodnocení '!$C$1:$JH$13,13,FALSE),0))</f>
        <v>43047174.374081343</v>
      </c>
      <c r="WC14" s="846">
        <f>IFERROR(HLOOKUP($F14,'Hodnocení '!$C$1:$JH$155,155,FALSE),0)</f>
        <v>25331490</v>
      </c>
      <c r="WD14" s="845"/>
      <c r="WE14" s="845"/>
      <c r="WF14" s="845" t="str">
        <f t="shared" si="97"/>
        <v>ANO</v>
      </c>
      <c r="WG14" s="849" t="str">
        <f t="shared" si="98"/>
        <v>Podpora služby je vyjádřena zařazením do sítě sociálních služeb v KHK a řešením financování služby</v>
      </c>
      <c r="WH14" s="849" t="str">
        <f t="shared" si="9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4" s="849" t="str">
        <f t="shared" si="98"/>
        <v>Návrh dotace je výsledkem projednání s ostatními zadavateli v rámci sítě služeb KHK</v>
      </c>
      <c r="WJ14" s="849" t="str">
        <f t="shared" si="98"/>
        <v>Bez komentáře</v>
      </c>
      <c r="WK14" s="31">
        <f t="shared" si="99"/>
        <v>0</v>
      </c>
      <c r="WL14" s="850" t="str">
        <f t="shared" si="100"/>
        <v>Případná úprava příspěvku zřizovatele bude řešena v návaznosti na vývoj služby</v>
      </c>
      <c r="WM14" s="849" t="str">
        <f t="shared" si="101"/>
        <v>V rámci sítě KHK se dlouhodobě řeší otázka navyšování úhrad a průběžně se monitoruje s vazbou na vykrytí vyrovnávací platby</v>
      </c>
      <c r="WN14" s="849" t="str">
        <f t="shared" si="102"/>
        <v>Otázka výběru od zdravotních pojišťoven je předmětem procesu, který probíhá ve formě jednání se ZP a organizacemi</v>
      </c>
      <c r="WO14" s="849" t="str">
        <f t="shared" si="103"/>
        <v>bez komentáře</v>
      </c>
      <c r="WP14" s="849" t="str">
        <f t="shared" si="103"/>
        <v>bez komentáře</v>
      </c>
      <c r="WQ14" s="849" t="str">
        <f t="shared" si="103"/>
        <v>Konečná výše dotace z rozpočtu KHK bude řešena v návaznosti na řešení podílů jednotlivých zadavatelů.</v>
      </c>
      <c r="WR14" s="849" t="str">
        <f t="shared" si="103"/>
        <v>Konečná výše podpory ze stran obcí bude řešena v součinnosti s jednotlivými zadavateli v průběhu roku.</v>
      </c>
      <c r="WS14" s="849" t="str">
        <f t="shared" si="103"/>
        <v>bez komentáře</v>
      </c>
      <c r="WT14" s="849" t="str">
        <f t="shared" si="103"/>
        <v>bez komentáře</v>
      </c>
      <c r="WU14" s="845"/>
    </row>
    <row r="15" spans="1:619" s="128" customFormat="1" x14ac:dyDescent="0.25">
      <c r="A15" s="128" t="str">
        <f>VLOOKUP(F15,'Výpočet VP 2020'!$D$324:$I$588,6,FALSE)</f>
        <v>Je v síti</v>
      </c>
      <c r="B15" s="128" t="s">
        <v>257</v>
      </c>
      <c r="C15" s="128">
        <v>194972</v>
      </c>
      <c r="D15" s="128" t="s">
        <v>258</v>
      </c>
      <c r="E15" s="128" t="s">
        <v>259</v>
      </c>
      <c r="F15" s="128">
        <v>6163071</v>
      </c>
      <c r="G15" s="128" t="s">
        <v>229</v>
      </c>
      <c r="H15" s="128" t="s">
        <v>230</v>
      </c>
      <c r="I15" s="128" t="s">
        <v>265</v>
      </c>
      <c r="J15" s="129">
        <v>41961</v>
      </c>
      <c r="L15" s="128" t="s">
        <v>220</v>
      </c>
      <c r="X15" s="128" t="s">
        <v>266</v>
      </c>
      <c r="Z15" s="128">
        <v>1</v>
      </c>
      <c r="AA15" s="128">
        <v>3</v>
      </c>
      <c r="AB15" s="128">
        <v>3</v>
      </c>
      <c r="AC15" s="128">
        <v>4</v>
      </c>
      <c r="AD15" s="128">
        <v>5</v>
      </c>
      <c r="BL15" s="128" t="s">
        <v>263</v>
      </c>
      <c r="BM15" s="128" t="s">
        <v>228</v>
      </c>
      <c r="BN15" s="128" t="s">
        <v>256</v>
      </c>
      <c r="EK15" s="128">
        <v>1</v>
      </c>
      <c r="EL15" s="128">
        <v>0.1</v>
      </c>
      <c r="EM15" s="128">
        <v>0.1</v>
      </c>
      <c r="EN15" s="128">
        <v>90000</v>
      </c>
      <c r="EO15" s="128">
        <v>90000</v>
      </c>
      <c r="EP15" s="128">
        <v>1</v>
      </c>
      <c r="EQ15" s="128">
        <v>1</v>
      </c>
      <c r="ER15" s="128">
        <v>1</v>
      </c>
      <c r="ES15" s="128">
        <v>540000</v>
      </c>
      <c r="ET15" s="128">
        <v>530000</v>
      </c>
      <c r="FO15" s="128">
        <v>7</v>
      </c>
      <c r="FP15" s="128">
        <v>0.4</v>
      </c>
      <c r="FQ15" s="128">
        <v>0.39</v>
      </c>
      <c r="FR15" s="128">
        <v>300000</v>
      </c>
      <c r="FS15" s="128">
        <v>300000</v>
      </c>
      <c r="IN15" s="128">
        <v>1</v>
      </c>
      <c r="IO15" s="128">
        <v>200</v>
      </c>
      <c r="IP15" s="128">
        <v>9.5000000000000001E-2</v>
      </c>
      <c r="IQ15" s="128">
        <v>28000</v>
      </c>
      <c r="IR15" s="128">
        <v>28000</v>
      </c>
      <c r="KG15" s="128">
        <v>0</v>
      </c>
      <c r="KI15" s="128">
        <v>1.1000000000000001</v>
      </c>
      <c r="KJ15" s="128">
        <v>0</v>
      </c>
      <c r="KK15" s="128">
        <v>9.5000000000000001E-2</v>
      </c>
      <c r="KL15" s="128">
        <v>0</v>
      </c>
      <c r="KM15" s="128">
        <v>1.1950000000000001</v>
      </c>
      <c r="KN15" s="128">
        <v>930000</v>
      </c>
      <c r="KO15" s="128">
        <v>920000</v>
      </c>
      <c r="KP15" s="128">
        <v>920000</v>
      </c>
      <c r="KT15" s="128">
        <v>0</v>
      </c>
      <c r="KU15" s="128">
        <v>0</v>
      </c>
      <c r="KV15" s="128">
        <v>0</v>
      </c>
      <c r="KZ15" s="128">
        <v>28000</v>
      </c>
      <c r="LA15" s="128">
        <v>28000</v>
      </c>
      <c r="LB15" s="128">
        <v>28000</v>
      </c>
      <c r="LF15" s="128">
        <v>20000</v>
      </c>
      <c r="LG15" s="128">
        <v>20000</v>
      </c>
      <c r="LH15" s="128">
        <v>20000</v>
      </c>
      <c r="LL15" s="128">
        <v>0</v>
      </c>
      <c r="LM15" s="128">
        <v>0</v>
      </c>
      <c r="LN15" s="128">
        <v>0</v>
      </c>
      <c r="LR15" s="128">
        <v>50000</v>
      </c>
      <c r="LS15" s="128">
        <v>27000</v>
      </c>
      <c r="LT15" s="128">
        <v>27000</v>
      </c>
      <c r="LX15" s="128">
        <v>0</v>
      </c>
      <c r="LY15" s="128">
        <v>0</v>
      </c>
      <c r="LZ15" s="128">
        <v>0</v>
      </c>
      <c r="MD15" s="128">
        <v>3000</v>
      </c>
      <c r="ME15" s="128">
        <v>0</v>
      </c>
      <c r="MF15" s="128">
        <v>0</v>
      </c>
      <c r="MJ15" s="128">
        <v>15000</v>
      </c>
      <c r="MK15" s="128">
        <v>0</v>
      </c>
      <c r="ML15" s="128">
        <v>0</v>
      </c>
      <c r="MP15" s="128">
        <v>50000</v>
      </c>
      <c r="MQ15" s="128">
        <v>0</v>
      </c>
      <c r="MR15" s="128">
        <v>0</v>
      </c>
      <c r="MV15" s="128">
        <v>30000</v>
      </c>
      <c r="MW15" s="128">
        <v>15000</v>
      </c>
      <c r="MX15" s="128">
        <v>15000</v>
      </c>
      <c r="NB15" s="128">
        <v>5000</v>
      </c>
      <c r="NC15" s="128">
        <v>0</v>
      </c>
      <c r="ND15" s="128">
        <v>0</v>
      </c>
      <c r="NH15" s="128">
        <v>0</v>
      </c>
      <c r="NI15" s="128">
        <v>0</v>
      </c>
      <c r="NJ15" s="128">
        <v>0</v>
      </c>
      <c r="NN15" s="128">
        <v>0</v>
      </c>
      <c r="NO15" s="128">
        <v>0</v>
      </c>
      <c r="NP15" s="128">
        <v>0</v>
      </c>
      <c r="NT15" s="128">
        <v>5000</v>
      </c>
      <c r="NU15" s="128">
        <v>0</v>
      </c>
      <c r="NV15" s="128">
        <v>0</v>
      </c>
      <c r="NZ15" s="128">
        <v>20000</v>
      </c>
      <c r="OA15" s="128">
        <v>0</v>
      </c>
      <c r="OB15" s="128">
        <v>0</v>
      </c>
      <c r="OF15" s="128">
        <v>5000</v>
      </c>
      <c r="OG15" s="128">
        <v>0</v>
      </c>
      <c r="OH15" s="128">
        <v>0</v>
      </c>
      <c r="OL15" s="128">
        <v>0</v>
      </c>
      <c r="OM15" s="128">
        <v>0</v>
      </c>
      <c r="ON15" s="128">
        <v>0</v>
      </c>
      <c r="OR15" s="128">
        <v>0</v>
      </c>
      <c r="OS15" s="128">
        <v>0</v>
      </c>
      <c r="OT15" s="128">
        <v>0</v>
      </c>
      <c r="OX15" s="128">
        <v>20000</v>
      </c>
      <c r="OY15" s="128">
        <v>0</v>
      </c>
      <c r="OZ15" s="128">
        <v>0</v>
      </c>
      <c r="PD15" s="128">
        <v>12000</v>
      </c>
      <c r="PE15" s="128">
        <v>0</v>
      </c>
      <c r="PF15" s="128">
        <v>0</v>
      </c>
      <c r="PJ15" s="128">
        <v>10000</v>
      </c>
      <c r="PK15" s="128">
        <v>0</v>
      </c>
      <c r="PL15" s="128">
        <v>0</v>
      </c>
      <c r="PP15" s="128">
        <v>1203000</v>
      </c>
      <c r="PQ15" s="128">
        <v>1010000</v>
      </c>
      <c r="PR15" s="128">
        <v>1010000</v>
      </c>
      <c r="PS15" s="128">
        <v>100</v>
      </c>
      <c r="PT15" s="128">
        <v>100</v>
      </c>
      <c r="PX15" s="128">
        <v>570900</v>
      </c>
      <c r="PY15" s="128">
        <v>579155</v>
      </c>
      <c r="PZ15" s="128">
        <v>1010000</v>
      </c>
      <c r="QA15" s="128">
        <v>0</v>
      </c>
      <c r="QB15" s="128">
        <v>0</v>
      </c>
      <c r="QC15" s="128">
        <v>0</v>
      </c>
      <c r="QD15" s="128">
        <v>0</v>
      </c>
      <c r="QE15" s="128">
        <v>0</v>
      </c>
      <c r="QF15" s="128">
        <v>0</v>
      </c>
      <c r="QG15" s="128">
        <v>139488</v>
      </c>
      <c r="QH15" s="128">
        <v>200000</v>
      </c>
      <c r="QI15" s="128">
        <v>193000</v>
      </c>
      <c r="QJ15" s="128">
        <v>0</v>
      </c>
      <c r="QK15" s="128">
        <v>0</v>
      </c>
      <c r="QL15" s="128">
        <v>0</v>
      </c>
      <c r="QN15" s="128">
        <v>0</v>
      </c>
      <c r="QO15" s="128">
        <v>0</v>
      </c>
      <c r="QP15" s="128">
        <v>0</v>
      </c>
      <c r="RH15" s="128">
        <f t="shared" si="104"/>
        <v>1203000</v>
      </c>
      <c r="RI15" s="128">
        <v>0</v>
      </c>
      <c r="RM15" s="128" t="s">
        <v>220</v>
      </c>
      <c r="RU15" s="130"/>
      <c r="RV15" s="130"/>
      <c r="RW15" s="130"/>
      <c r="RX15" s="130"/>
      <c r="SF15" s="128">
        <f t="shared" si="8"/>
        <v>6163071</v>
      </c>
      <c r="SG15" s="131">
        <f t="shared" si="9"/>
        <v>1203000</v>
      </c>
      <c r="SH15" s="131">
        <f t="shared" si="10"/>
        <v>1203000</v>
      </c>
      <c r="SI15" s="131">
        <f t="shared" si="11"/>
        <v>978000</v>
      </c>
      <c r="SJ15" s="132">
        <f t="shared" si="12"/>
        <v>930000</v>
      </c>
      <c r="SK15" s="132">
        <f t="shared" si="13"/>
        <v>0</v>
      </c>
      <c r="SL15" s="132">
        <f t="shared" si="14"/>
        <v>28000</v>
      </c>
      <c r="SM15" s="132">
        <f t="shared" si="15"/>
        <v>20000</v>
      </c>
      <c r="SN15" s="131">
        <f t="shared" si="16"/>
        <v>225000</v>
      </c>
      <c r="SO15" s="131">
        <f t="shared" si="17"/>
        <v>50000</v>
      </c>
      <c r="SP15" s="132">
        <f t="shared" si="18"/>
        <v>0</v>
      </c>
      <c r="SQ15" s="132">
        <f t="shared" si="19"/>
        <v>50000</v>
      </c>
      <c r="SR15" s="132">
        <f t="shared" si="20"/>
        <v>0</v>
      </c>
      <c r="SS15" s="132">
        <f t="shared" si="21"/>
        <v>3000</v>
      </c>
      <c r="ST15" s="132">
        <f t="shared" si="22"/>
        <v>15000</v>
      </c>
      <c r="SU15" s="132">
        <f t="shared" si="23"/>
        <v>50000</v>
      </c>
      <c r="SV15" s="131">
        <f t="shared" si="24"/>
        <v>85000</v>
      </c>
      <c r="SW15" s="132">
        <f t="shared" si="25"/>
        <v>30000</v>
      </c>
      <c r="SX15" s="132">
        <f t="shared" si="26"/>
        <v>5000</v>
      </c>
      <c r="SY15" s="132">
        <f t="shared" si="27"/>
        <v>0</v>
      </c>
      <c r="SZ15" s="132">
        <f t="shared" si="28"/>
        <v>0</v>
      </c>
      <c r="TA15" s="132">
        <f t="shared" si="29"/>
        <v>5000</v>
      </c>
      <c r="TB15" s="132">
        <f t="shared" si="30"/>
        <v>20000</v>
      </c>
      <c r="TC15" s="132">
        <f t="shared" si="31"/>
        <v>5000</v>
      </c>
      <c r="TD15" s="132">
        <f t="shared" si="32"/>
        <v>0</v>
      </c>
      <c r="TE15" s="132">
        <f t="shared" si="33"/>
        <v>0</v>
      </c>
      <c r="TF15" s="132">
        <f t="shared" si="34"/>
        <v>20000</v>
      </c>
      <c r="TG15" s="132">
        <f t="shared" si="35"/>
        <v>12000</v>
      </c>
      <c r="TH15" s="132">
        <f t="shared" si="36"/>
        <v>10000</v>
      </c>
      <c r="TI15" s="1"/>
      <c r="TJ15" s="131">
        <f t="shared" si="37"/>
        <v>1010000</v>
      </c>
      <c r="TK15" s="131">
        <f t="shared" si="38"/>
        <v>1010000</v>
      </c>
      <c r="TL15" s="131">
        <f t="shared" si="39"/>
        <v>968000</v>
      </c>
      <c r="TM15" s="132">
        <f t="shared" si="40"/>
        <v>920000</v>
      </c>
      <c r="TN15" s="132">
        <f t="shared" si="41"/>
        <v>0</v>
      </c>
      <c r="TO15" s="132">
        <f t="shared" si="42"/>
        <v>28000</v>
      </c>
      <c r="TP15" s="132">
        <f t="shared" si="43"/>
        <v>20000</v>
      </c>
      <c r="TQ15" s="131">
        <f t="shared" si="44"/>
        <v>42000</v>
      </c>
      <c r="TR15" s="131">
        <f t="shared" si="45"/>
        <v>27000</v>
      </c>
      <c r="TS15" s="132">
        <f t="shared" si="46"/>
        <v>0</v>
      </c>
      <c r="TT15" s="132">
        <f t="shared" si="47"/>
        <v>27000</v>
      </c>
      <c r="TU15" s="132">
        <f t="shared" si="48"/>
        <v>0</v>
      </c>
      <c r="TV15" s="132">
        <f t="shared" si="49"/>
        <v>0</v>
      </c>
      <c r="TW15" s="132">
        <f t="shared" si="50"/>
        <v>0</v>
      </c>
      <c r="TX15" s="132">
        <f t="shared" si="51"/>
        <v>0</v>
      </c>
      <c r="TY15" s="131">
        <f t="shared" si="52"/>
        <v>15000</v>
      </c>
      <c r="TZ15" s="132">
        <f t="shared" si="53"/>
        <v>15000</v>
      </c>
      <c r="UA15" s="132">
        <f t="shared" si="54"/>
        <v>0</v>
      </c>
      <c r="UB15" s="132">
        <f t="shared" si="55"/>
        <v>0</v>
      </c>
      <c r="UC15" s="132">
        <f t="shared" si="56"/>
        <v>0</v>
      </c>
      <c r="UD15" s="132">
        <f t="shared" si="57"/>
        <v>0</v>
      </c>
      <c r="UE15" s="132">
        <f t="shared" si="58"/>
        <v>0</v>
      </c>
      <c r="UF15" s="132">
        <f t="shared" si="59"/>
        <v>0</v>
      </c>
      <c r="UG15" s="132">
        <f t="shared" si="60"/>
        <v>0</v>
      </c>
      <c r="UH15" s="132">
        <f t="shared" si="61"/>
        <v>0</v>
      </c>
      <c r="UI15" s="132">
        <f t="shared" si="62"/>
        <v>0</v>
      </c>
      <c r="UJ15" s="132">
        <f t="shared" si="63"/>
        <v>0</v>
      </c>
      <c r="UK15" s="132">
        <f t="shared" si="64"/>
        <v>0</v>
      </c>
      <c r="UL15" s="132">
        <f t="shared" si="105"/>
        <v>1010000</v>
      </c>
      <c r="UM15" s="131">
        <f t="shared" si="65"/>
        <v>1010000</v>
      </c>
      <c r="UN15" s="131">
        <f t="shared" si="66"/>
        <v>1010000</v>
      </c>
      <c r="UO15" s="131">
        <f t="shared" si="67"/>
        <v>968000</v>
      </c>
      <c r="UP15" s="132">
        <f t="shared" si="68"/>
        <v>920000</v>
      </c>
      <c r="UQ15" s="132">
        <f t="shared" si="69"/>
        <v>0</v>
      </c>
      <c r="UR15" s="132">
        <f t="shared" si="70"/>
        <v>28000</v>
      </c>
      <c r="US15" s="132">
        <f t="shared" si="71"/>
        <v>20000</v>
      </c>
      <c r="UT15" s="131">
        <f t="shared" si="72"/>
        <v>42000</v>
      </c>
      <c r="UU15" s="131">
        <f t="shared" si="73"/>
        <v>27000</v>
      </c>
      <c r="UV15" s="132">
        <f t="shared" si="74"/>
        <v>0</v>
      </c>
      <c r="UW15" s="132">
        <f t="shared" si="75"/>
        <v>27000</v>
      </c>
      <c r="UX15" s="132">
        <f t="shared" si="76"/>
        <v>0</v>
      </c>
      <c r="UY15" s="132">
        <f t="shared" si="77"/>
        <v>0</v>
      </c>
      <c r="UZ15" s="132">
        <f t="shared" si="78"/>
        <v>0</v>
      </c>
      <c r="VA15" s="132">
        <f t="shared" si="79"/>
        <v>0</v>
      </c>
      <c r="VB15" s="131">
        <f t="shared" si="80"/>
        <v>15000</v>
      </c>
      <c r="VC15" s="132">
        <f t="shared" si="81"/>
        <v>15000</v>
      </c>
      <c r="VD15" s="132">
        <f t="shared" si="82"/>
        <v>0</v>
      </c>
      <c r="VE15" s="132">
        <f t="shared" si="83"/>
        <v>0</v>
      </c>
      <c r="VF15" s="132">
        <f t="shared" si="84"/>
        <v>0</v>
      </c>
      <c r="VG15" s="132">
        <f t="shared" si="85"/>
        <v>0</v>
      </c>
      <c r="VH15" s="132">
        <f t="shared" si="86"/>
        <v>0</v>
      </c>
      <c r="VI15" s="132">
        <f t="shared" si="87"/>
        <v>0</v>
      </c>
      <c r="VJ15" s="132">
        <f t="shared" si="88"/>
        <v>0</v>
      </c>
      <c r="VK15" s="132">
        <f t="shared" si="89"/>
        <v>0</v>
      </c>
      <c r="VL15" s="132">
        <f t="shared" si="90"/>
        <v>0</v>
      </c>
      <c r="VM15" s="132">
        <f t="shared" si="91"/>
        <v>0</v>
      </c>
      <c r="VN15" s="132">
        <f t="shared" si="92"/>
        <v>0</v>
      </c>
      <c r="VP15" s="845" t="str">
        <f>IFERROR(HLOOKUP(F15,'Hodnocení '!$C$1:$JH$5,2,FALSE),0)</f>
        <v>Sociálně terapeutická dílna</v>
      </c>
      <c r="VQ15" s="838"/>
      <c r="VR15" s="845" t="str">
        <f t="shared" si="106"/>
        <v>Příspěvková organizace zřízená územním samosprávným celkem</v>
      </c>
      <c r="VS15" s="845" t="str">
        <f>IFERROR(HLOOKUP(F15,'Hodnocení '!$C$1:$JH$5,5,FALSE),0)</f>
        <v>PO KHK</v>
      </c>
      <c r="VT15" s="838">
        <f t="shared" si="107"/>
        <v>0</v>
      </c>
      <c r="VU15" s="838" t="str">
        <f t="shared" si="108"/>
        <v>PO KHK</v>
      </c>
      <c r="VV15" s="838">
        <f t="shared" si="109"/>
        <v>0</v>
      </c>
      <c r="VW15" s="838">
        <f t="shared" si="110"/>
        <v>0</v>
      </c>
      <c r="VX15" s="838"/>
      <c r="VY15" s="838">
        <f t="shared" si="111"/>
        <v>0</v>
      </c>
      <c r="VZ15" s="838">
        <f t="shared" si="112"/>
        <v>1010000</v>
      </c>
      <c r="WA15" s="846">
        <f>IFERROR(HLOOKUP($F15,'Hodnocení '!$C$1:$JH$9,9,FALSE),0)</f>
        <v>1010000</v>
      </c>
      <c r="WB15" s="846">
        <f>IF(IFERROR(HLOOKUP($F15,'Hodnocení '!$C$1:$JH$13,13,FALSE),0)&gt;WA15,WA15,IFERROR(HLOOKUP($F15,'Hodnocení '!$C$1:$JH$13,13,FALSE),0))</f>
        <v>773502.96210955526</v>
      </c>
      <c r="WC15" s="846">
        <f>IFERROR(HLOOKUP($F15,'Hodnocení '!$C$1:$JH$155,155,FALSE),0)</f>
        <v>0</v>
      </c>
      <c r="WD15" s="845"/>
      <c r="WE15" s="845"/>
      <c r="WF15" s="845" t="str">
        <f t="shared" si="97"/>
        <v>ANO</v>
      </c>
      <c r="WG15" s="849" t="str">
        <f t="shared" si="98"/>
        <v>Podpora služby je vyjádřena zařazením do sítě sociálních služeb v KHK a řešením financování služby</v>
      </c>
      <c r="WH15" s="849" t="str">
        <f t="shared" si="9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5" s="849" t="str">
        <f t="shared" si="98"/>
        <v>Návrh dotace je výsledkem projednání s ostatními zadavateli v rámci sítě služeb KHK</v>
      </c>
      <c r="WJ15" s="849" t="str">
        <f t="shared" si="98"/>
        <v>Bez komentáře</v>
      </c>
      <c r="WK15" s="31">
        <f t="shared" si="99"/>
        <v>0</v>
      </c>
      <c r="WL15" s="850" t="str">
        <f t="shared" si="100"/>
        <v>Případná úprava příspěvku zřizovatele bude řešena v návaznosti na vývoj služby</v>
      </c>
      <c r="WM15" s="849">
        <f t="shared" si="101"/>
        <v>0</v>
      </c>
      <c r="WN15" s="849">
        <f t="shared" si="102"/>
        <v>0</v>
      </c>
      <c r="WO15" s="849" t="str">
        <f t="shared" si="103"/>
        <v>bez komentáře</v>
      </c>
      <c r="WP15" s="849" t="str">
        <f t="shared" si="103"/>
        <v>bez komentáře</v>
      </c>
      <c r="WQ15" s="849" t="str">
        <f t="shared" si="103"/>
        <v>Konečná výše dotace z rozpočtu KHK bude řešena v návaznosti na řešení podílů jednotlivých zadavatelů.</v>
      </c>
      <c r="WR15" s="849" t="str">
        <f t="shared" si="103"/>
        <v>Konečná výše podpory ze stran obcí bude řešena v součinnosti s jednotlivými zadavateli v průběhu roku.</v>
      </c>
      <c r="WS15" s="849" t="str">
        <f t="shared" si="103"/>
        <v>bez komentáře</v>
      </c>
      <c r="WT15" s="849" t="str">
        <f t="shared" si="103"/>
        <v>bez komentáře</v>
      </c>
      <c r="WU15" s="845"/>
    </row>
    <row r="16" spans="1:619" s="128" customFormat="1" x14ac:dyDescent="0.25">
      <c r="A16" s="128" t="str">
        <f>VLOOKUP(F16,'Výpočet VP 2020'!$D$324:$I$588,6,FALSE)</f>
        <v>Je v síti</v>
      </c>
      <c r="B16" s="128" t="s">
        <v>257</v>
      </c>
      <c r="C16" s="128">
        <v>194972</v>
      </c>
      <c r="D16" s="128" t="s">
        <v>258</v>
      </c>
      <c r="E16" s="128" t="s">
        <v>259</v>
      </c>
      <c r="F16" s="128">
        <v>8504548</v>
      </c>
      <c r="G16" s="128" t="s">
        <v>267</v>
      </c>
      <c r="H16" s="128" t="s">
        <v>218</v>
      </c>
      <c r="I16" s="128" t="s">
        <v>268</v>
      </c>
      <c r="J16" s="129">
        <v>40909</v>
      </c>
      <c r="L16" s="128" t="s">
        <v>220</v>
      </c>
      <c r="M16" s="128" t="s">
        <v>269</v>
      </c>
      <c r="N16" s="128">
        <v>45</v>
      </c>
      <c r="P16" s="128">
        <v>45</v>
      </c>
      <c r="Q16" s="128">
        <v>45</v>
      </c>
      <c r="R16" s="128">
        <v>45</v>
      </c>
      <c r="BL16" s="128" t="s">
        <v>263</v>
      </c>
      <c r="BM16" s="128" t="s">
        <v>228</v>
      </c>
      <c r="BN16" s="128" t="s">
        <v>234</v>
      </c>
      <c r="DA16" s="128">
        <v>0</v>
      </c>
      <c r="DB16" s="128">
        <v>0</v>
      </c>
      <c r="DC16" s="128">
        <v>0</v>
      </c>
      <c r="DD16" s="128">
        <v>0</v>
      </c>
      <c r="DE16" s="128">
        <v>0</v>
      </c>
      <c r="DF16" s="128">
        <v>11</v>
      </c>
      <c r="DG16" s="128">
        <v>18</v>
      </c>
      <c r="DH16" s="128">
        <v>9</v>
      </c>
      <c r="DI16" s="128">
        <v>2</v>
      </c>
      <c r="DJ16" s="128">
        <v>2</v>
      </c>
      <c r="DK16" s="128">
        <v>11</v>
      </c>
      <c r="DL16" s="128">
        <v>18</v>
      </c>
      <c r="DM16" s="128">
        <v>9</v>
      </c>
      <c r="DN16" s="128">
        <v>2</v>
      </c>
      <c r="DO16" s="128">
        <v>2</v>
      </c>
      <c r="DP16" s="128">
        <v>0</v>
      </c>
      <c r="DQ16" s="128">
        <v>42</v>
      </c>
      <c r="DR16" s="128">
        <v>42</v>
      </c>
      <c r="DS16" s="128">
        <v>0</v>
      </c>
      <c r="DT16" s="128">
        <v>0</v>
      </c>
      <c r="DU16" s="128">
        <v>0</v>
      </c>
      <c r="DV16" s="128">
        <v>0</v>
      </c>
      <c r="DW16" s="128">
        <v>0</v>
      </c>
      <c r="DX16" s="128">
        <v>13</v>
      </c>
      <c r="DY16" s="128">
        <v>21</v>
      </c>
      <c r="DZ16" s="128">
        <v>9</v>
      </c>
      <c r="EA16" s="128">
        <v>2</v>
      </c>
      <c r="EB16" s="128">
        <v>0</v>
      </c>
      <c r="EC16" s="128">
        <v>13</v>
      </c>
      <c r="ED16" s="128">
        <v>21</v>
      </c>
      <c r="EE16" s="128">
        <v>9</v>
      </c>
      <c r="EF16" s="128">
        <v>2</v>
      </c>
      <c r="EG16" s="128">
        <v>0</v>
      </c>
      <c r="EH16" s="128">
        <v>0</v>
      </c>
      <c r="EI16" s="128">
        <v>45</v>
      </c>
      <c r="EJ16" s="128">
        <v>45</v>
      </c>
      <c r="EK16" s="128">
        <v>4</v>
      </c>
      <c r="EL16" s="128">
        <v>2.2999999999999998</v>
      </c>
      <c r="EM16" s="128">
        <v>1.8</v>
      </c>
      <c r="EN16" s="128">
        <v>1537664</v>
      </c>
      <c r="EO16" s="128">
        <v>1400000</v>
      </c>
      <c r="EP16" s="128">
        <v>38</v>
      </c>
      <c r="EQ16" s="128">
        <v>37.5</v>
      </c>
      <c r="ER16" s="128">
        <v>38.799999999999997</v>
      </c>
      <c r="ES16" s="128">
        <v>28160042</v>
      </c>
      <c r="ET16" s="128">
        <v>26470000</v>
      </c>
      <c r="FO16" s="128">
        <v>8</v>
      </c>
      <c r="FP16" s="128">
        <v>3.75</v>
      </c>
      <c r="FQ16" s="128">
        <v>3.64</v>
      </c>
      <c r="FR16" s="128">
        <v>2684643</v>
      </c>
      <c r="FS16" s="128">
        <v>2300000</v>
      </c>
      <c r="GF16" s="128">
        <v>2</v>
      </c>
      <c r="GG16" s="128">
        <v>1</v>
      </c>
      <c r="GH16" s="128">
        <v>24</v>
      </c>
      <c r="GI16" s="128">
        <v>1</v>
      </c>
      <c r="GJ16" s="128">
        <v>310000</v>
      </c>
      <c r="GK16" s="128">
        <v>100000</v>
      </c>
      <c r="IN16" s="128">
        <v>6</v>
      </c>
      <c r="IO16" s="128">
        <v>1350</v>
      </c>
      <c r="IP16" s="128">
        <v>0.64400000000000002</v>
      </c>
      <c r="IQ16" s="128">
        <v>189000</v>
      </c>
      <c r="IR16" s="128">
        <v>189000</v>
      </c>
      <c r="IS16" s="128">
        <v>2</v>
      </c>
      <c r="IT16" s="128">
        <v>80</v>
      </c>
      <c r="IU16" s="128">
        <v>3.7999999999999999E-2</v>
      </c>
      <c r="IV16" s="128">
        <v>8000</v>
      </c>
      <c r="IW16" s="128">
        <v>0</v>
      </c>
      <c r="JH16" s="128">
        <v>1</v>
      </c>
      <c r="JI16" s="128">
        <v>1.4999999999999999E-2</v>
      </c>
      <c r="JJ16" s="128">
        <v>1.4999999999999999E-2</v>
      </c>
      <c r="JK16" s="128">
        <v>7200</v>
      </c>
      <c r="JL16" s="128">
        <v>0</v>
      </c>
      <c r="KG16" s="128">
        <v>0</v>
      </c>
      <c r="KI16" s="128">
        <v>39.799999999999997</v>
      </c>
      <c r="KJ16" s="128">
        <v>1</v>
      </c>
      <c r="KK16" s="128">
        <v>0.64400000000000002</v>
      </c>
      <c r="KL16" s="128">
        <v>1.4999999999999999E-2</v>
      </c>
      <c r="KM16" s="128">
        <v>41.459000000000003</v>
      </c>
      <c r="KN16" s="128">
        <v>32382349</v>
      </c>
      <c r="KO16" s="128">
        <v>30170000</v>
      </c>
      <c r="KP16" s="128">
        <v>30170000</v>
      </c>
      <c r="KT16" s="128">
        <v>310000</v>
      </c>
      <c r="KU16" s="128">
        <v>100000</v>
      </c>
      <c r="KV16" s="128">
        <v>100000</v>
      </c>
      <c r="KZ16" s="128">
        <v>197000</v>
      </c>
      <c r="LA16" s="128">
        <v>189000</v>
      </c>
      <c r="LB16" s="128">
        <v>189000</v>
      </c>
      <c r="LF16" s="128">
        <v>647600</v>
      </c>
      <c r="LG16" s="128">
        <v>500000</v>
      </c>
      <c r="LH16" s="128">
        <v>500000</v>
      </c>
      <c r="LL16" s="128">
        <v>50000</v>
      </c>
      <c r="LM16" s="128">
        <v>0</v>
      </c>
      <c r="LN16" s="128">
        <v>0</v>
      </c>
      <c r="LR16" s="128">
        <v>500000</v>
      </c>
      <c r="LS16" s="128">
        <v>0</v>
      </c>
      <c r="LT16" s="128">
        <v>0</v>
      </c>
      <c r="LX16" s="128">
        <v>1400000</v>
      </c>
      <c r="LY16" s="128">
        <v>0</v>
      </c>
      <c r="LZ16" s="128">
        <v>0</v>
      </c>
      <c r="MD16" s="128">
        <v>50000</v>
      </c>
      <c r="ME16" s="128">
        <v>0</v>
      </c>
      <c r="MF16" s="128">
        <v>0</v>
      </c>
      <c r="MJ16" s="128">
        <v>200000</v>
      </c>
      <c r="MK16" s="128">
        <v>0</v>
      </c>
      <c r="ML16" s="128">
        <v>0</v>
      </c>
      <c r="MP16" s="128">
        <v>500000</v>
      </c>
      <c r="MQ16" s="128">
        <v>0</v>
      </c>
      <c r="MR16" s="128">
        <v>0</v>
      </c>
      <c r="MV16" s="128">
        <v>1100000</v>
      </c>
      <c r="MW16" s="128">
        <v>0</v>
      </c>
      <c r="MX16" s="128">
        <v>0</v>
      </c>
      <c r="NB16" s="128">
        <v>100000</v>
      </c>
      <c r="NC16" s="128">
        <v>0</v>
      </c>
      <c r="ND16" s="128">
        <v>0</v>
      </c>
      <c r="NH16" s="128">
        <v>800000</v>
      </c>
      <c r="NI16" s="128">
        <v>0</v>
      </c>
      <c r="NJ16" s="128">
        <v>0</v>
      </c>
      <c r="NN16" s="128">
        <v>50000</v>
      </c>
      <c r="NO16" s="128">
        <v>0</v>
      </c>
      <c r="NP16" s="128">
        <v>0</v>
      </c>
      <c r="NT16" s="128">
        <v>150000</v>
      </c>
      <c r="NU16" s="128">
        <v>0</v>
      </c>
      <c r="NV16" s="128">
        <v>0</v>
      </c>
      <c r="NZ16" s="128">
        <v>600000</v>
      </c>
      <c r="OA16" s="128">
        <v>0</v>
      </c>
      <c r="OB16" s="128">
        <v>0</v>
      </c>
      <c r="OF16" s="128">
        <v>30000</v>
      </c>
      <c r="OG16" s="128">
        <v>0</v>
      </c>
      <c r="OH16" s="128">
        <v>0</v>
      </c>
      <c r="OL16" s="128">
        <v>7200</v>
      </c>
      <c r="OM16" s="128">
        <v>0</v>
      </c>
      <c r="ON16" s="128">
        <v>0</v>
      </c>
      <c r="OR16" s="128">
        <v>0</v>
      </c>
      <c r="OS16" s="128">
        <v>0</v>
      </c>
      <c r="OT16" s="128">
        <v>0</v>
      </c>
      <c r="OX16" s="128">
        <v>1300000</v>
      </c>
      <c r="OY16" s="128">
        <v>0</v>
      </c>
      <c r="OZ16" s="128">
        <v>0</v>
      </c>
      <c r="PD16" s="128">
        <v>550000</v>
      </c>
      <c r="PE16" s="128">
        <v>0</v>
      </c>
      <c r="PF16" s="128">
        <v>0</v>
      </c>
      <c r="PJ16" s="128">
        <v>750000</v>
      </c>
      <c r="PK16" s="128">
        <v>0</v>
      </c>
      <c r="PL16" s="128">
        <v>0</v>
      </c>
      <c r="PP16" s="128">
        <v>41674149</v>
      </c>
      <c r="PQ16" s="128">
        <v>30959000</v>
      </c>
      <c r="PR16" s="128">
        <v>30959000</v>
      </c>
      <c r="PS16" s="128">
        <v>100</v>
      </c>
      <c r="PT16" s="128">
        <v>100</v>
      </c>
      <c r="PX16" s="128">
        <v>8032311</v>
      </c>
      <c r="PY16" s="128">
        <v>17791098</v>
      </c>
      <c r="PZ16" s="128">
        <v>30959000</v>
      </c>
      <c r="QA16" s="128">
        <v>0</v>
      </c>
      <c r="QB16" s="128">
        <v>0</v>
      </c>
      <c r="QC16" s="128">
        <v>0</v>
      </c>
      <c r="QD16" s="128">
        <v>0</v>
      </c>
      <c r="QE16" s="128">
        <v>0</v>
      </c>
      <c r="QF16" s="128">
        <v>0</v>
      </c>
      <c r="QG16" s="128">
        <v>15497762</v>
      </c>
      <c r="QH16" s="128">
        <v>6000000</v>
      </c>
      <c r="QI16" s="128">
        <v>5615149</v>
      </c>
      <c r="QJ16" s="128">
        <v>5577468</v>
      </c>
      <c r="QK16" s="128">
        <v>5070000</v>
      </c>
      <c r="QL16" s="128">
        <v>5100000</v>
      </c>
      <c r="QN16" s="128">
        <v>0</v>
      </c>
      <c r="QO16" s="128">
        <v>0</v>
      </c>
      <c r="QP16" s="128">
        <v>0</v>
      </c>
      <c r="RH16" s="128">
        <f t="shared" si="104"/>
        <v>36574149</v>
      </c>
      <c r="RI16" s="128">
        <v>0</v>
      </c>
      <c r="RM16" s="128" t="s">
        <v>220</v>
      </c>
      <c r="RU16" s="130"/>
      <c r="RV16" s="130"/>
      <c r="RW16" s="130"/>
      <c r="RX16" s="130"/>
      <c r="SF16" s="128">
        <f t="shared" si="8"/>
        <v>8504548</v>
      </c>
      <c r="SG16" s="131">
        <f t="shared" si="9"/>
        <v>41674149</v>
      </c>
      <c r="SH16" s="131">
        <f t="shared" si="10"/>
        <v>41674149</v>
      </c>
      <c r="SI16" s="131">
        <f t="shared" si="11"/>
        <v>33536949</v>
      </c>
      <c r="SJ16" s="132">
        <f t="shared" si="12"/>
        <v>32382349</v>
      </c>
      <c r="SK16" s="132">
        <f t="shared" si="13"/>
        <v>310000</v>
      </c>
      <c r="SL16" s="132">
        <f t="shared" si="14"/>
        <v>197000</v>
      </c>
      <c r="SM16" s="132">
        <f t="shared" si="15"/>
        <v>647600</v>
      </c>
      <c r="SN16" s="131">
        <f t="shared" si="16"/>
        <v>8137200</v>
      </c>
      <c r="SO16" s="131">
        <f t="shared" si="17"/>
        <v>550000</v>
      </c>
      <c r="SP16" s="132">
        <f t="shared" si="18"/>
        <v>50000</v>
      </c>
      <c r="SQ16" s="132">
        <f t="shared" si="19"/>
        <v>500000</v>
      </c>
      <c r="SR16" s="132">
        <f t="shared" si="20"/>
        <v>1400000</v>
      </c>
      <c r="SS16" s="132">
        <f t="shared" si="21"/>
        <v>50000</v>
      </c>
      <c r="ST16" s="132">
        <f t="shared" si="22"/>
        <v>200000</v>
      </c>
      <c r="SU16" s="132">
        <f t="shared" si="23"/>
        <v>500000</v>
      </c>
      <c r="SV16" s="131">
        <f t="shared" si="24"/>
        <v>4137200</v>
      </c>
      <c r="SW16" s="132">
        <f t="shared" si="25"/>
        <v>1100000</v>
      </c>
      <c r="SX16" s="132">
        <f t="shared" si="26"/>
        <v>100000</v>
      </c>
      <c r="SY16" s="132">
        <f t="shared" si="27"/>
        <v>800000</v>
      </c>
      <c r="SZ16" s="132">
        <f t="shared" si="28"/>
        <v>50000</v>
      </c>
      <c r="TA16" s="132">
        <f t="shared" si="29"/>
        <v>150000</v>
      </c>
      <c r="TB16" s="132">
        <f t="shared" si="30"/>
        <v>600000</v>
      </c>
      <c r="TC16" s="132">
        <f t="shared" si="31"/>
        <v>30000</v>
      </c>
      <c r="TD16" s="132">
        <f t="shared" si="32"/>
        <v>7200</v>
      </c>
      <c r="TE16" s="132">
        <f t="shared" si="33"/>
        <v>0</v>
      </c>
      <c r="TF16" s="132">
        <f t="shared" si="34"/>
        <v>1300000</v>
      </c>
      <c r="TG16" s="132">
        <f t="shared" si="35"/>
        <v>550000</v>
      </c>
      <c r="TH16" s="132">
        <f t="shared" si="36"/>
        <v>750000</v>
      </c>
      <c r="TI16" s="1"/>
      <c r="TJ16" s="131">
        <f t="shared" si="37"/>
        <v>30959000</v>
      </c>
      <c r="TK16" s="131">
        <f t="shared" si="38"/>
        <v>30959000</v>
      </c>
      <c r="TL16" s="131">
        <f t="shared" si="39"/>
        <v>30959000</v>
      </c>
      <c r="TM16" s="132">
        <f t="shared" si="40"/>
        <v>30170000</v>
      </c>
      <c r="TN16" s="132">
        <f t="shared" si="41"/>
        <v>100000</v>
      </c>
      <c r="TO16" s="132">
        <f t="shared" si="42"/>
        <v>189000</v>
      </c>
      <c r="TP16" s="132">
        <f t="shared" si="43"/>
        <v>500000</v>
      </c>
      <c r="TQ16" s="131">
        <f t="shared" si="44"/>
        <v>0</v>
      </c>
      <c r="TR16" s="131">
        <f t="shared" si="45"/>
        <v>0</v>
      </c>
      <c r="TS16" s="132">
        <f t="shared" si="46"/>
        <v>0</v>
      </c>
      <c r="TT16" s="132">
        <f t="shared" si="47"/>
        <v>0</v>
      </c>
      <c r="TU16" s="132">
        <f t="shared" si="48"/>
        <v>0</v>
      </c>
      <c r="TV16" s="132">
        <f t="shared" si="49"/>
        <v>0</v>
      </c>
      <c r="TW16" s="132">
        <f t="shared" si="50"/>
        <v>0</v>
      </c>
      <c r="TX16" s="132">
        <f t="shared" si="51"/>
        <v>0</v>
      </c>
      <c r="TY16" s="131">
        <f t="shared" si="52"/>
        <v>0</v>
      </c>
      <c r="TZ16" s="132">
        <f t="shared" si="53"/>
        <v>0</v>
      </c>
      <c r="UA16" s="132">
        <f t="shared" si="54"/>
        <v>0</v>
      </c>
      <c r="UB16" s="132">
        <f t="shared" si="55"/>
        <v>0</v>
      </c>
      <c r="UC16" s="132">
        <f t="shared" si="56"/>
        <v>0</v>
      </c>
      <c r="UD16" s="132">
        <f t="shared" si="57"/>
        <v>0</v>
      </c>
      <c r="UE16" s="132">
        <f t="shared" si="58"/>
        <v>0</v>
      </c>
      <c r="UF16" s="132">
        <f t="shared" si="59"/>
        <v>0</v>
      </c>
      <c r="UG16" s="132">
        <f t="shared" si="60"/>
        <v>0</v>
      </c>
      <c r="UH16" s="132">
        <f t="shared" si="61"/>
        <v>0</v>
      </c>
      <c r="UI16" s="132">
        <f t="shared" si="62"/>
        <v>0</v>
      </c>
      <c r="UJ16" s="132">
        <f t="shared" si="63"/>
        <v>0</v>
      </c>
      <c r="UK16" s="132">
        <f t="shared" si="64"/>
        <v>0</v>
      </c>
      <c r="UL16" s="132">
        <f t="shared" si="105"/>
        <v>30959000</v>
      </c>
      <c r="UM16" s="131">
        <f t="shared" si="65"/>
        <v>30959000</v>
      </c>
      <c r="UN16" s="131">
        <f t="shared" si="66"/>
        <v>30959000</v>
      </c>
      <c r="UO16" s="131">
        <f t="shared" si="67"/>
        <v>30959000</v>
      </c>
      <c r="UP16" s="132">
        <f t="shared" si="68"/>
        <v>30170000</v>
      </c>
      <c r="UQ16" s="132">
        <f t="shared" si="69"/>
        <v>100000</v>
      </c>
      <c r="UR16" s="132">
        <f t="shared" si="70"/>
        <v>189000</v>
      </c>
      <c r="US16" s="132">
        <f t="shared" si="71"/>
        <v>500000</v>
      </c>
      <c r="UT16" s="131">
        <f t="shared" si="72"/>
        <v>0</v>
      </c>
      <c r="UU16" s="131">
        <f t="shared" si="73"/>
        <v>0</v>
      </c>
      <c r="UV16" s="132">
        <f t="shared" si="74"/>
        <v>0</v>
      </c>
      <c r="UW16" s="132">
        <f t="shared" si="75"/>
        <v>0</v>
      </c>
      <c r="UX16" s="132">
        <f t="shared" si="76"/>
        <v>0</v>
      </c>
      <c r="UY16" s="132">
        <f t="shared" si="77"/>
        <v>0</v>
      </c>
      <c r="UZ16" s="132">
        <f t="shared" si="78"/>
        <v>0</v>
      </c>
      <c r="VA16" s="132">
        <f t="shared" si="79"/>
        <v>0</v>
      </c>
      <c r="VB16" s="131">
        <f t="shared" si="80"/>
        <v>0</v>
      </c>
      <c r="VC16" s="132">
        <f t="shared" si="81"/>
        <v>0</v>
      </c>
      <c r="VD16" s="132">
        <f t="shared" si="82"/>
        <v>0</v>
      </c>
      <c r="VE16" s="132">
        <f t="shared" si="83"/>
        <v>0</v>
      </c>
      <c r="VF16" s="132">
        <f t="shared" si="84"/>
        <v>0</v>
      </c>
      <c r="VG16" s="132">
        <f t="shared" si="85"/>
        <v>0</v>
      </c>
      <c r="VH16" s="132">
        <f t="shared" si="86"/>
        <v>0</v>
      </c>
      <c r="VI16" s="132">
        <f t="shared" si="87"/>
        <v>0</v>
      </c>
      <c r="VJ16" s="132">
        <f t="shared" si="88"/>
        <v>0</v>
      </c>
      <c r="VK16" s="132">
        <f t="shared" si="89"/>
        <v>0</v>
      </c>
      <c r="VL16" s="132">
        <f t="shared" si="90"/>
        <v>0</v>
      </c>
      <c r="VM16" s="132">
        <f t="shared" si="91"/>
        <v>0</v>
      </c>
      <c r="VN16" s="132">
        <f t="shared" si="92"/>
        <v>0</v>
      </c>
      <c r="VP16" s="845" t="str">
        <f>IFERROR(HLOOKUP(F16,'Hodnocení '!$C$1:$JH$5,2,FALSE),0)</f>
        <v>Chráněné bydlení</v>
      </c>
      <c r="VQ16" s="838"/>
      <c r="VR16" s="845" t="str">
        <f t="shared" si="106"/>
        <v>Příspěvková organizace zřízená územním samosprávným celkem</v>
      </c>
      <c r="VS16" s="845" t="str">
        <f>IFERROR(HLOOKUP(F16,'Hodnocení '!$C$1:$JH$5,5,FALSE),0)</f>
        <v>PO KHK</v>
      </c>
      <c r="VT16" s="838">
        <f t="shared" si="107"/>
        <v>0</v>
      </c>
      <c r="VU16" s="838" t="str">
        <f t="shared" si="108"/>
        <v>PO KHK</v>
      </c>
      <c r="VV16" s="838">
        <f t="shared" si="109"/>
        <v>5100000</v>
      </c>
      <c r="VW16" s="838">
        <f t="shared" si="110"/>
        <v>0</v>
      </c>
      <c r="VX16" s="838"/>
      <c r="VY16" s="838">
        <f t="shared" si="111"/>
        <v>0</v>
      </c>
      <c r="VZ16" s="838">
        <f t="shared" si="112"/>
        <v>30959000</v>
      </c>
      <c r="WA16" s="846">
        <f>IFERROR(HLOOKUP($F16,'Hodnocení '!$C$1:$JH$9,9,FALSE),0)</f>
        <v>30959000</v>
      </c>
      <c r="WB16" s="846">
        <f>IF(IFERROR(HLOOKUP($F16,'Hodnocení '!$C$1:$JH$13,13,FALSE),0)&gt;WA16,WA16,IFERROR(HLOOKUP($F16,'Hodnocení '!$C$1:$JH$13,13,FALSE),0))</f>
        <v>24315023.422150649</v>
      </c>
      <c r="WC16" s="846">
        <f>IFERROR(HLOOKUP($F16,'Hodnocení '!$C$1:$JH$155,155,FALSE),0)</f>
        <v>18062110</v>
      </c>
      <c r="WD16" s="845"/>
      <c r="WE16" s="845"/>
      <c r="WF16" s="845" t="str">
        <f t="shared" si="97"/>
        <v>ANO</v>
      </c>
      <c r="WG16" s="849" t="str">
        <f t="shared" si="98"/>
        <v>Podpora služby je vyjádřena zařazením do sítě sociálních služeb v KHK a řešením financování služby</v>
      </c>
      <c r="WH16" s="849" t="str">
        <f t="shared" si="9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6" s="849" t="str">
        <f t="shared" si="98"/>
        <v>Návrh dotace je výsledkem projednání s ostatními zadavateli v rámci sítě služeb KHK</v>
      </c>
      <c r="WJ16" s="849" t="str">
        <f t="shared" si="98"/>
        <v>Bez komentáře</v>
      </c>
      <c r="WK16" s="31">
        <f t="shared" si="99"/>
        <v>0</v>
      </c>
      <c r="WL16" s="850" t="str">
        <f t="shared" si="100"/>
        <v>Případná úprava příspěvku zřizovatele bude řešena v návaznosti na vývoj služby</v>
      </c>
      <c r="WM16" s="849" t="str">
        <f t="shared" si="101"/>
        <v>V rámci sítě KHK se dlouhodobě řeší otázka navyšování úhrad a průběžně se monitoruje s vazbou na vykrytí vyrovnávací platby</v>
      </c>
      <c r="WN16" s="849">
        <f t="shared" si="102"/>
        <v>0</v>
      </c>
      <c r="WO16" s="849" t="str">
        <f t="shared" si="103"/>
        <v>bez komentáře</v>
      </c>
      <c r="WP16" s="849" t="str">
        <f t="shared" si="103"/>
        <v>bez komentáře</v>
      </c>
      <c r="WQ16" s="849" t="str">
        <f t="shared" si="103"/>
        <v>Konečná výše dotace z rozpočtu KHK bude řešena v návaznosti na řešení podílů jednotlivých zadavatelů.</v>
      </c>
      <c r="WR16" s="849" t="str">
        <f t="shared" si="103"/>
        <v>Konečná výše podpory ze stran obcí bude řešena v součinnosti s jednotlivými zadavateli v průběhu roku.</v>
      </c>
      <c r="WS16" s="849" t="str">
        <f t="shared" si="103"/>
        <v>bez komentáře</v>
      </c>
      <c r="WT16" s="849" t="str">
        <f t="shared" si="103"/>
        <v>bez komentáře</v>
      </c>
      <c r="WU16" s="845"/>
    </row>
    <row r="17" spans="1:619" s="128" customFormat="1" x14ac:dyDescent="0.25">
      <c r="A17" s="128" t="str">
        <f>VLOOKUP(F17,'Výpočet VP 2020'!$D$324:$I$588,6,FALSE)</f>
        <v>Je v síti</v>
      </c>
      <c r="B17" s="128" t="s">
        <v>270</v>
      </c>
      <c r="C17" s="128">
        <v>28731191</v>
      </c>
      <c r="D17" s="128" t="s">
        <v>271</v>
      </c>
      <c r="E17" s="128" t="s">
        <v>272</v>
      </c>
      <c r="F17" s="128">
        <v>3346325</v>
      </c>
      <c r="G17" s="128" t="s">
        <v>273</v>
      </c>
      <c r="H17" s="128" t="s">
        <v>230</v>
      </c>
      <c r="I17" s="128" t="s">
        <v>270</v>
      </c>
      <c r="J17" s="129">
        <v>42005</v>
      </c>
      <c r="L17" s="128" t="s">
        <v>220</v>
      </c>
      <c r="X17" s="128" t="s">
        <v>274</v>
      </c>
      <c r="Z17" s="128">
        <v>2</v>
      </c>
      <c r="AA17" s="128">
        <v>6</v>
      </c>
      <c r="AB17" s="128">
        <v>79</v>
      </c>
      <c r="AC17" s="128">
        <v>87</v>
      </c>
      <c r="AD17" s="128">
        <v>87</v>
      </c>
      <c r="AO17" s="128" t="s">
        <v>275</v>
      </c>
      <c r="AP17" s="128" t="s">
        <v>276</v>
      </c>
      <c r="AQ17" s="128">
        <v>6</v>
      </c>
      <c r="AR17" s="128">
        <v>8</v>
      </c>
      <c r="AS17" s="128">
        <v>79</v>
      </c>
      <c r="AT17" s="128">
        <v>87</v>
      </c>
      <c r="AU17" s="128">
        <v>87</v>
      </c>
      <c r="BK17" s="128" t="s">
        <v>277</v>
      </c>
      <c r="BL17" s="128" t="s">
        <v>278</v>
      </c>
      <c r="BM17" s="128" t="s">
        <v>279</v>
      </c>
      <c r="BN17" s="128" t="s">
        <v>280</v>
      </c>
      <c r="EK17" s="128">
        <v>13</v>
      </c>
      <c r="EL17" s="128">
        <v>4.53</v>
      </c>
      <c r="EM17" s="128">
        <v>4.5999999999999996</v>
      </c>
      <c r="EN17" s="128">
        <v>3052700</v>
      </c>
      <c r="EO17" s="128">
        <v>2900000</v>
      </c>
      <c r="FO17" s="128">
        <v>4</v>
      </c>
      <c r="FP17" s="128">
        <v>1</v>
      </c>
      <c r="FQ17" s="128">
        <v>0.7</v>
      </c>
      <c r="FR17" s="128">
        <v>615000</v>
      </c>
      <c r="FS17" s="128">
        <v>615000</v>
      </c>
      <c r="IN17" s="128">
        <v>2</v>
      </c>
      <c r="IO17" s="128">
        <v>360</v>
      </c>
      <c r="IP17" s="128">
        <v>0.17199999999999999</v>
      </c>
      <c r="IQ17" s="128">
        <v>78000</v>
      </c>
      <c r="IR17" s="128">
        <v>70000</v>
      </c>
      <c r="IS17" s="128">
        <v>1</v>
      </c>
      <c r="IT17" s="128">
        <v>50</v>
      </c>
      <c r="IU17" s="128">
        <v>2.4E-2</v>
      </c>
      <c r="IV17" s="128">
        <v>10000</v>
      </c>
      <c r="IW17" s="128">
        <v>10000</v>
      </c>
      <c r="JW17" s="128">
        <v>1</v>
      </c>
      <c r="JX17" s="128">
        <v>1.2E-2</v>
      </c>
      <c r="JY17" s="128">
        <v>1.2E-2</v>
      </c>
      <c r="JZ17" s="128">
        <v>20000</v>
      </c>
      <c r="KA17" s="128">
        <v>0</v>
      </c>
      <c r="KB17" s="128">
        <v>2</v>
      </c>
      <c r="KC17" s="128">
        <v>0.06</v>
      </c>
      <c r="KD17" s="128">
        <v>0</v>
      </c>
      <c r="KE17" s="128">
        <v>30000</v>
      </c>
      <c r="KF17" s="128">
        <v>20000</v>
      </c>
      <c r="KG17" s="128">
        <v>5</v>
      </c>
      <c r="KH17" s="128">
        <v>200</v>
      </c>
      <c r="KI17" s="128">
        <v>4.53</v>
      </c>
      <c r="KJ17" s="128">
        <v>0</v>
      </c>
      <c r="KK17" s="128">
        <v>0.17199999999999999</v>
      </c>
      <c r="KL17" s="128">
        <v>1.2E-2</v>
      </c>
      <c r="KM17" s="128">
        <v>4.7140000000000004</v>
      </c>
      <c r="KN17" s="128">
        <v>3667700</v>
      </c>
      <c r="KO17" s="128">
        <v>3515000</v>
      </c>
      <c r="KP17" s="128">
        <v>3515000</v>
      </c>
      <c r="KT17" s="128">
        <v>0</v>
      </c>
      <c r="KU17" s="128">
        <v>0</v>
      </c>
      <c r="KV17" s="128">
        <v>0</v>
      </c>
      <c r="KZ17" s="128">
        <v>88000</v>
      </c>
      <c r="LA17" s="128">
        <v>80000</v>
      </c>
      <c r="LB17" s="128">
        <v>80000</v>
      </c>
      <c r="LF17" s="128">
        <v>12400</v>
      </c>
      <c r="LG17" s="128">
        <v>12400</v>
      </c>
      <c r="LH17" s="128">
        <v>12400</v>
      </c>
      <c r="LL17" s="128">
        <v>20000</v>
      </c>
      <c r="LM17" s="128">
        <v>20000</v>
      </c>
      <c r="LN17" s="128">
        <v>20000</v>
      </c>
      <c r="LR17" s="128">
        <v>90000</v>
      </c>
      <c r="LS17" s="128">
        <v>35000</v>
      </c>
      <c r="LT17" s="128">
        <v>35000</v>
      </c>
      <c r="LX17" s="128">
        <v>0</v>
      </c>
      <c r="LY17" s="128">
        <v>0</v>
      </c>
      <c r="LZ17" s="128">
        <v>0</v>
      </c>
      <c r="MD17" s="128">
        <v>20000</v>
      </c>
      <c r="ME17" s="128">
        <v>10000</v>
      </c>
      <c r="MF17" s="128">
        <v>10000</v>
      </c>
      <c r="MJ17" s="128">
        <v>120000</v>
      </c>
      <c r="MK17" s="128">
        <v>100000</v>
      </c>
      <c r="ML17" s="128">
        <v>100000</v>
      </c>
      <c r="MP17" s="128">
        <v>105000</v>
      </c>
      <c r="MQ17" s="128">
        <v>85000</v>
      </c>
      <c r="MR17" s="128">
        <v>85000</v>
      </c>
      <c r="MV17" s="128">
        <v>150000</v>
      </c>
      <c r="MW17" s="128">
        <v>150000</v>
      </c>
      <c r="MX17" s="128">
        <v>150000</v>
      </c>
      <c r="NB17" s="128">
        <v>35000</v>
      </c>
      <c r="NC17" s="128">
        <v>35000</v>
      </c>
      <c r="ND17" s="128">
        <v>35000</v>
      </c>
      <c r="NH17" s="128">
        <v>170000</v>
      </c>
      <c r="NI17" s="128">
        <v>160000</v>
      </c>
      <c r="NJ17" s="128">
        <v>160000</v>
      </c>
      <c r="NN17" s="128">
        <v>108000</v>
      </c>
      <c r="NO17" s="128">
        <v>100000</v>
      </c>
      <c r="NP17" s="128">
        <v>100000</v>
      </c>
      <c r="NT17" s="128">
        <v>85000</v>
      </c>
      <c r="NU17" s="128">
        <v>60000</v>
      </c>
      <c r="NV17" s="128">
        <v>60000</v>
      </c>
      <c r="NZ17" s="128">
        <v>25000</v>
      </c>
      <c r="OA17" s="128">
        <v>15000</v>
      </c>
      <c r="OB17" s="128">
        <v>15000</v>
      </c>
      <c r="OF17" s="128">
        <v>40000</v>
      </c>
      <c r="OG17" s="128">
        <v>40000</v>
      </c>
      <c r="OH17" s="128">
        <v>40000</v>
      </c>
      <c r="OL17" s="128">
        <v>20000</v>
      </c>
      <c r="OM17" s="128">
        <v>0</v>
      </c>
      <c r="ON17" s="128">
        <v>0</v>
      </c>
      <c r="OR17" s="128">
        <v>30000</v>
      </c>
      <c r="OS17" s="128">
        <v>20000</v>
      </c>
      <c r="OT17" s="128">
        <v>20000</v>
      </c>
      <c r="OX17" s="128">
        <v>85000</v>
      </c>
      <c r="OY17" s="128">
        <v>85000</v>
      </c>
      <c r="OZ17" s="128">
        <v>85000</v>
      </c>
      <c r="PD17" s="128">
        <v>0</v>
      </c>
      <c r="PE17" s="128">
        <v>0</v>
      </c>
      <c r="PF17" s="128">
        <v>0</v>
      </c>
      <c r="PJ17" s="128">
        <v>220000</v>
      </c>
      <c r="PK17" s="128">
        <v>180000</v>
      </c>
      <c r="PL17" s="128">
        <v>180000</v>
      </c>
      <c r="PP17" s="128">
        <v>5091100</v>
      </c>
      <c r="PQ17" s="128">
        <v>4702400</v>
      </c>
      <c r="PR17" s="128">
        <v>4702400</v>
      </c>
      <c r="PS17" s="128">
        <v>100</v>
      </c>
      <c r="PT17" s="128">
        <v>100</v>
      </c>
      <c r="PX17" s="128">
        <v>3176021</v>
      </c>
      <c r="PY17" s="128">
        <v>3599970</v>
      </c>
      <c r="PZ17" s="128">
        <v>4702400</v>
      </c>
      <c r="QA17" s="128">
        <v>0</v>
      </c>
      <c r="QB17" s="128">
        <v>0</v>
      </c>
      <c r="QC17" s="128">
        <v>0</v>
      </c>
      <c r="QD17" s="128">
        <v>0</v>
      </c>
      <c r="QE17" s="128">
        <v>0</v>
      </c>
      <c r="QF17" s="128">
        <v>0</v>
      </c>
      <c r="QG17" s="128">
        <v>0</v>
      </c>
      <c r="QH17" s="128">
        <v>0</v>
      </c>
      <c r="QI17" s="128">
        <v>0</v>
      </c>
      <c r="QJ17" s="128">
        <v>0</v>
      </c>
      <c r="QK17" s="128">
        <v>0</v>
      </c>
      <c r="QL17" s="128">
        <v>0</v>
      </c>
      <c r="QN17" s="128">
        <v>0</v>
      </c>
      <c r="QO17" s="128">
        <v>0</v>
      </c>
      <c r="QP17" s="128">
        <v>0</v>
      </c>
      <c r="QU17" s="128">
        <v>0</v>
      </c>
      <c r="QV17" s="128">
        <v>175000</v>
      </c>
      <c r="QW17" s="128">
        <v>150000</v>
      </c>
      <c r="QX17" s="128">
        <v>158500</v>
      </c>
      <c r="QY17" s="128">
        <v>281750</v>
      </c>
      <c r="QZ17" s="128">
        <v>90000</v>
      </c>
      <c r="RD17" s="128">
        <v>212801</v>
      </c>
      <c r="RE17" s="128">
        <v>250000</v>
      </c>
      <c r="RF17" s="128">
        <v>148700</v>
      </c>
      <c r="RH17" s="128">
        <f t="shared" si="104"/>
        <v>5091100</v>
      </c>
      <c r="RI17" s="128">
        <v>0</v>
      </c>
      <c r="RM17" s="128" t="s">
        <v>220</v>
      </c>
      <c r="RU17" s="130"/>
      <c r="RV17" s="130"/>
      <c r="RW17" s="130"/>
      <c r="RX17" s="130"/>
      <c r="SF17" s="128">
        <f t="shared" si="8"/>
        <v>3346325</v>
      </c>
      <c r="SG17" s="131">
        <f t="shared" si="9"/>
        <v>5091100</v>
      </c>
      <c r="SH17" s="131">
        <f t="shared" si="10"/>
        <v>5091100</v>
      </c>
      <c r="SI17" s="131">
        <f t="shared" si="11"/>
        <v>3768100</v>
      </c>
      <c r="SJ17" s="132">
        <f t="shared" si="12"/>
        <v>3667700</v>
      </c>
      <c r="SK17" s="132">
        <f t="shared" si="13"/>
        <v>0</v>
      </c>
      <c r="SL17" s="132">
        <f t="shared" si="14"/>
        <v>88000</v>
      </c>
      <c r="SM17" s="132">
        <f t="shared" si="15"/>
        <v>12400</v>
      </c>
      <c r="SN17" s="131">
        <f t="shared" si="16"/>
        <v>1323000</v>
      </c>
      <c r="SO17" s="131">
        <f t="shared" si="17"/>
        <v>110000</v>
      </c>
      <c r="SP17" s="132">
        <f t="shared" si="18"/>
        <v>20000</v>
      </c>
      <c r="SQ17" s="132">
        <f t="shared" si="19"/>
        <v>90000</v>
      </c>
      <c r="SR17" s="132">
        <f t="shared" si="20"/>
        <v>0</v>
      </c>
      <c r="SS17" s="132">
        <f t="shared" si="21"/>
        <v>20000</v>
      </c>
      <c r="ST17" s="132">
        <f t="shared" si="22"/>
        <v>120000</v>
      </c>
      <c r="SU17" s="132">
        <f t="shared" si="23"/>
        <v>105000</v>
      </c>
      <c r="SV17" s="131">
        <f t="shared" si="24"/>
        <v>748000</v>
      </c>
      <c r="SW17" s="132">
        <f t="shared" si="25"/>
        <v>150000</v>
      </c>
      <c r="SX17" s="132">
        <f t="shared" si="26"/>
        <v>35000</v>
      </c>
      <c r="SY17" s="132">
        <f t="shared" si="27"/>
        <v>170000</v>
      </c>
      <c r="SZ17" s="132">
        <f t="shared" si="28"/>
        <v>108000</v>
      </c>
      <c r="TA17" s="132">
        <f t="shared" si="29"/>
        <v>85000</v>
      </c>
      <c r="TB17" s="132">
        <f t="shared" si="30"/>
        <v>25000</v>
      </c>
      <c r="TC17" s="132">
        <f t="shared" si="31"/>
        <v>40000</v>
      </c>
      <c r="TD17" s="132">
        <f t="shared" si="32"/>
        <v>20000</v>
      </c>
      <c r="TE17" s="132">
        <f t="shared" si="33"/>
        <v>30000</v>
      </c>
      <c r="TF17" s="132">
        <f t="shared" si="34"/>
        <v>85000</v>
      </c>
      <c r="TG17" s="132">
        <f t="shared" si="35"/>
        <v>0</v>
      </c>
      <c r="TH17" s="132">
        <f t="shared" si="36"/>
        <v>220000</v>
      </c>
      <c r="TI17" s="1"/>
      <c r="TJ17" s="131">
        <f t="shared" si="37"/>
        <v>4702400</v>
      </c>
      <c r="TK17" s="131">
        <f t="shared" si="38"/>
        <v>4702400</v>
      </c>
      <c r="TL17" s="131">
        <f t="shared" si="39"/>
        <v>3607400</v>
      </c>
      <c r="TM17" s="132">
        <f t="shared" si="40"/>
        <v>3515000</v>
      </c>
      <c r="TN17" s="132">
        <f t="shared" si="41"/>
        <v>0</v>
      </c>
      <c r="TO17" s="132">
        <f t="shared" si="42"/>
        <v>80000</v>
      </c>
      <c r="TP17" s="132">
        <f t="shared" si="43"/>
        <v>12400</v>
      </c>
      <c r="TQ17" s="131">
        <f t="shared" si="44"/>
        <v>1095000</v>
      </c>
      <c r="TR17" s="131">
        <f t="shared" si="45"/>
        <v>55000</v>
      </c>
      <c r="TS17" s="132">
        <f t="shared" si="46"/>
        <v>20000</v>
      </c>
      <c r="TT17" s="132">
        <f t="shared" si="47"/>
        <v>35000</v>
      </c>
      <c r="TU17" s="132">
        <f t="shared" si="48"/>
        <v>0</v>
      </c>
      <c r="TV17" s="132">
        <f t="shared" si="49"/>
        <v>10000</v>
      </c>
      <c r="TW17" s="132">
        <f t="shared" si="50"/>
        <v>100000</v>
      </c>
      <c r="TX17" s="132">
        <f t="shared" si="51"/>
        <v>85000</v>
      </c>
      <c r="TY17" s="131">
        <f t="shared" si="52"/>
        <v>665000</v>
      </c>
      <c r="TZ17" s="132">
        <f t="shared" si="53"/>
        <v>150000</v>
      </c>
      <c r="UA17" s="132">
        <f t="shared" si="54"/>
        <v>35000</v>
      </c>
      <c r="UB17" s="132">
        <f t="shared" si="55"/>
        <v>160000</v>
      </c>
      <c r="UC17" s="132">
        <f t="shared" si="56"/>
        <v>100000</v>
      </c>
      <c r="UD17" s="132">
        <f t="shared" si="57"/>
        <v>60000</v>
      </c>
      <c r="UE17" s="132">
        <f t="shared" si="58"/>
        <v>15000</v>
      </c>
      <c r="UF17" s="132">
        <f t="shared" si="59"/>
        <v>40000</v>
      </c>
      <c r="UG17" s="132">
        <f t="shared" si="60"/>
        <v>0</v>
      </c>
      <c r="UH17" s="132">
        <f t="shared" si="61"/>
        <v>20000</v>
      </c>
      <c r="UI17" s="132">
        <f t="shared" si="62"/>
        <v>85000</v>
      </c>
      <c r="UJ17" s="132">
        <f t="shared" si="63"/>
        <v>0</v>
      </c>
      <c r="UK17" s="132">
        <f t="shared" si="64"/>
        <v>180000</v>
      </c>
      <c r="UL17" s="132">
        <f t="shared" si="105"/>
        <v>4702400</v>
      </c>
      <c r="UM17" s="131">
        <f t="shared" si="65"/>
        <v>4702400</v>
      </c>
      <c r="UN17" s="131">
        <f t="shared" si="66"/>
        <v>4702400</v>
      </c>
      <c r="UO17" s="131">
        <f t="shared" si="67"/>
        <v>3607400</v>
      </c>
      <c r="UP17" s="132">
        <f t="shared" si="68"/>
        <v>3515000</v>
      </c>
      <c r="UQ17" s="132">
        <f t="shared" si="69"/>
        <v>0</v>
      </c>
      <c r="UR17" s="132">
        <f t="shared" si="70"/>
        <v>80000</v>
      </c>
      <c r="US17" s="132">
        <f t="shared" si="71"/>
        <v>12400</v>
      </c>
      <c r="UT17" s="131">
        <f t="shared" si="72"/>
        <v>1095000</v>
      </c>
      <c r="UU17" s="131">
        <f t="shared" si="73"/>
        <v>55000</v>
      </c>
      <c r="UV17" s="132">
        <f t="shared" si="74"/>
        <v>20000</v>
      </c>
      <c r="UW17" s="132">
        <f t="shared" si="75"/>
        <v>35000</v>
      </c>
      <c r="UX17" s="132">
        <f t="shared" si="76"/>
        <v>0</v>
      </c>
      <c r="UY17" s="132">
        <f t="shared" si="77"/>
        <v>10000</v>
      </c>
      <c r="UZ17" s="132">
        <f t="shared" si="78"/>
        <v>100000</v>
      </c>
      <c r="VA17" s="132">
        <f t="shared" si="79"/>
        <v>85000</v>
      </c>
      <c r="VB17" s="131">
        <f t="shared" si="80"/>
        <v>665000</v>
      </c>
      <c r="VC17" s="132">
        <f t="shared" si="81"/>
        <v>150000</v>
      </c>
      <c r="VD17" s="132">
        <f t="shared" si="82"/>
        <v>35000</v>
      </c>
      <c r="VE17" s="132">
        <f t="shared" si="83"/>
        <v>160000</v>
      </c>
      <c r="VF17" s="132">
        <f t="shared" si="84"/>
        <v>100000</v>
      </c>
      <c r="VG17" s="132">
        <f t="shared" si="85"/>
        <v>60000</v>
      </c>
      <c r="VH17" s="132">
        <f t="shared" si="86"/>
        <v>15000</v>
      </c>
      <c r="VI17" s="132">
        <f t="shared" si="87"/>
        <v>40000</v>
      </c>
      <c r="VJ17" s="132">
        <f t="shared" si="88"/>
        <v>0</v>
      </c>
      <c r="VK17" s="132">
        <f t="shared" si="89"/>
        <v>20000</v>
      </c>
      <c r="VL17" s="132">
        <f t="shared" si="90"/>
        <v>85000</v>
      </c>
      <c r="VM17" s="132">
        <f t="shared" si="91"/>
        <v>0</v>
      </c>
      <c r="VN17" s="132">
        <f t="shared" si="92"/>
        <v>180000</v>
      </c>
      <c r="VP17" s="845" t="str">
        <f>IFERROR(HLOOKUP(F17,'Hodnocení '!$C$1:$JH$5,2,FALSE),0)</f>
        <v>Centrum LIRA, z. ú.</v>
      </c>
      <c r="VQ17" s="838"/>
      <c r="VR17" s="845" t="str">
        <f t="shared" si="106"/>
        <v>Ústav</v>
      </c>
      <c r="VS17" s="845" t="str">
        <f>IFERROR(HLOOKUP(F17,'Hodnocení '!$C$1:$JH$5,5,FALSE),0)</f>
        <v>NZO</v>
      </c>
      <c r="VT17" s="838">
        <f t="shared" si="107"/>
        <v>0</v>
      </c>
      <c r="VU17" s="838">
        <f t="shared" si="108"/>
        <v>0</v>
      </c>
      <c r="VV17" s="838">
        <f t="shared" si="109"/>
        <v>0</v>
      </c>
      <c r="VW17" s="838">
        <f t="shared" si="110"/>
        <v>0</v>
      </c>
      <c r="VX17" s="838"/>
      <c r="VY17" s="838">
        <f t="shared" si="111"/>
        <v>0</v>
      </c>
      <c r="VZ17" s="838">
        <f t="shared" si="112"/>
        <v>4702400</v>
      </c>
      <c r="WA17" s="846">
        <f>IFERROR(HLOOKUP($F17,'Hodnocení '!$C$1:$JH$9,9,FALSE),0)</f>
        <v>4702400</v>
      </c>
      <c r="WB17" s="846">
        <f>IF(IFERROR(HLOOKUP($F17,'Hodnocení '!$C$1:$JH$13,13,FALSE),0)&gt;WA17,WA17,IFERROR(HLOOKUP($F17,'Hodnocení '!$C$1:$JH$13,13,FALSE),0))</f>
        <v>4031705.8292569402</v>
      </c>
      <c r="WC17" s="846">
        <f>IFERROR(HLOOKUP($F17,'Hodnocení '!$C$1:$JH$155,155,FALSE),0)</f>
        <v>3774970</v>
      </c>
      <c r="WD17" s="845"/>
      <c r="WE17" s="845"/>
      <c r="WF17" s="845" t="str">
        <f t="shared" si="97"/>
        <v>ANO</v>
      </c>
      <c r="WG17" s="849" t="str">
        <f t="shared" si="98"/>
        <v>Podpora služby je vyjádřena zařazením do sítě sociálních služeb v KHK a řešením financování služby</v>
      </c>
      <c r="WH17" s="849" t="str">
        <f t="shared" si="9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7" s="849" t="str">
        <f t="shared" si="98"/>
        <v>Návrh dotace je výsledkem projednání s ostatními zadavateli v rámci sítě služeb KHK</v>
      </c>
      <c r="WJ17" s="849" t="str">
        <f t="shared" si="98"/>
        <v>Bez komentáře</v>
      </c>
      <c r="WK17" s="31">
        <f t="shared" si="99"/>
        <v>0</v>
      </c>
      <c r="WL17" s="850">
        <f t="shared" si="100"/>
        <v>0</v>
      </c>
      <c r="WM17" s="849">
        <f t="shared" si="101"/>
        <v>0</v>
      </c>
      <c r="WN17" s="849">
        <f t="shared" si="102"/>
        <v>0</v>
      </c>
      <c r="WO17" s="849" t="str">
        <f t="shared" si="103"/>
        <v>bez komentáře</v>
      </c>
      <c r="WP17" s="849" t="str">
        <f t="shared" si="103"/>
        <v>bez komentáře</v>
      </c>
      <c r="WQ17" s="849" t="str">
        <f t="shared" si="103"/>
        <v>Konečná výše dotace z rozpočtu KHK bude řešena v návaznosti na řešení podílů jednotlivých zadavatelů.</v>
      </c>
      <c r="WR17" s="849" t="str">
        <f t="shared" si="103"/>
        <v>Konečná výše podpory ze stran obcí bude řešena v součinnosti s jednotlivými zadavateli v průběhu roku.</v>
      </c>
      <c r="WS17" s="849" t="str">
        <f t="shared" si="103"/>
        <v>bez komentáře</v>
      </c>
      <c r="WT17" s="849" t="str">
        <f t="shared" si="103"/>
        <v>bez komentáře</v>
      </c>
      <c r="WU17" s="845"/>
    </row>
    <row r="18" spans="1:619" s="128" customFormat="1" x14ac:dyDescent="0.25">
      <c r="A18" s="128" t="str">
        <f>VLOOKUP(F18,'Výpočet VP 2020'!$D$324:$I$588,6,FALSE)</f>
        <v>Je v síti</v>
      </c>
      <c r="B18" s="128" t="s">
        <v>281</v>
      </c>
      <c r="C18" s="128">
        <v>68246901</v>
      </c>
      <c r="D18" s="128" t="s">
        <v>282</v>
      </c>
      <c r="E18" s="128" t="s">
        <v>242</v>
      </c>
      <c r="F18" s="128">
        <v>2039109</v>
      </c>
      <c r="G18" s="128" t="s">
        <v>225</v>
      </c>
      <c r="H18" s="128" t="s">
        <v>218</v>
      </c>
      <c r="I18" s="128" t="s">
        <v>283</v>
      </c>
      <c r="J18" s="129">
        <v>39085</v>
      </c>
      <c r="L18" s="128" t="s">
        <v>220</v>
      </c>
      <c r="AP18" s="128" t="s">
        <v>284</v>
      </c>
      <c r="AQ18" s="128">
        <v>50</v>
      </c>
      <c r="AR18" s="128">
        <v>50</v>
      </c>
      <c r="AS18" s="128">
        <v>50</v>
      </c>
      <c r="AT18" s="128">
        <v>50</v>
      </c>
      <c r="AU18" s="128">
        <v>55</v>
      </c>
      <c r="BJ18" s="128">
        <v>10000</v>
      </c>
      <c r="BL18" s="128" t="s">
        <v>285</v>
      </c>
      <c r="BM18" s="128" t="s">
        <v>223</v>
      </c>
      <c r="BN18" s="128" t="s">
        <v>224</v>
      </c>
      <c r="BO18" s="128">
        <v>8</v>
      </c>
      <c r="BP18" s="128">
        <v>4</v>
      </c>
      <c r="BQ18" s="128">
        <v>14</v>
      </c>
      <c r="BR18" s="128">
        <v>9</v>
      </c>
      <c r="BS18" s="128">
        <v>0</v>
      </c>
      <c r="BT18" s="128">
        <v>1</v>
      </c>
      <c r="BU18" s="128">
        <v>1</v>
      </c>
      <c r="BV18" s="128">
        <v>3</v>
      </c>
      <c r="BW18" s="128">
        <v>7</v>
      </c>
      <c r="BX18" s="128">
        <v>0</v>
      </c>
      <c r="BY18" s="128">
        <v>9</v>
      </c>
      <c r="BZ18" s="128">
        <v>5</v>
      </c>
      <c r="CA18" s="128">
        <v>17</v>
      </c>
      <c r="CB18" s="128">
        <v>16</v>
      </c>
      <c r="CC18" s="128">
        <v>0</v>
      </c>
      <c r="CD18" s="128">
        <v>35</v>
      </c>
      <c r="CE18" s="128">
        <v>12</v>
      </c>
      <c r="CF18" s="128">
        <v>47</v>
      </c>
      <c r="CH18" s="128">
        <v>5</v>
      </c>
      <c r="CI18" s="128">
        <v>7</v>
      </c>
      <c r="CJ18" s="128">
        <v>13</v>
      </c>
      <c r="CK18" s="128">
        <v>11</v>
      </c>
      <c r="CL18" s="128">
        <v>0</v>
      </c>
      <c r="CM18" s="128">
        <v>3</v>
      </c>
      <c r="CN18" s="128">
        <v>4</v>
      </c>
      <c r="CO18" s="128">
        <v>4</v>
      </c>
      <c r="CP18" s="128">
        <v>8</v>
      </c>
      <c r="CQ18" s="128">
        <v>0</v>
      </c>
      <c r="CR18" s="128">
        <v>8</v>
      </c>
      <c r="CS18" s="128">
        <v>11</v>
      </c>
      <c r="CT18" s="128">
        <v>17</v>
      </c>
      <c r="CU18" s="128">
        <v>19</v>
      </c>
      <c r="CV18" s="128">
        <v>0</v>
      </c>
      <c r="CW18" s="128">
        <v>36</v>
      </c>
      <c r="CX18" s="128">
        <v>19</v>
      </c>
      <c r="CY18" s="128">
        <v>55</v>
      </c>
      <c r="EK18" s="128">
        <v>2</v>
      </c>
      <c r="EL18" s="128">
        <v>1</v>
      </c>
      <c r="EM18" s="128">
        <v>1</v>
      </c>
      <c r="EN18" s="128">
        <v>655000</v>
      </c>
      <c r="EO18" s="128">
        <v>520000</v>
      </c>
      <c r="EP18" s="128">
        <v>13</v>
      </c>
      <c r="EQ18" s="128">
        <v>9</v>
      </c>
      <c r="ER18" s="128">
        <v>8.5</v>
      </c>
      <c r="ES18" s="128">
        <v>3800000</v>
      </c>
      <c r="ET18" s="128">
        <v>3325000</v>
      </c>
      <c r="FO18" s="128">
        <v>5</v>
      </c>
      <c r="FP18" s="128">
        <v>1.5</v>
      </c>
      <c r="FQ18" s="128">
        <v>1.5</v>
      </c>
      <c r="FR18" s="128">
        <v>910000</v>
      </c>
      <c r="FS18" s="128">
        <v>710000</v>
      </c>
      <c r="IS18" s="128">
        <v>1</v>
      </c>
      <c r="IT18" s="128">
        <v>150</v>
      </c>
      <c r="IU18" s="128">
        <v>7.1999999999999995E-2</v>
      </c>
      <c r="IV18" s="128">
        <v>30000</v>
      </c>
      <c r="IW18" s="128">
        <v>0</v>
      </c>
      <c r="KG18" s="128">
        <v>0</v>
      </c>
      <c r="KI18" s="128">
        <v>10</v>
      </c>
      <c r="KJ18" s="128">
        <v>0</v>
      </c>
      <c r="KK18" s="128">
        <v>0</v>
      </c>
      <c r="KL18" s="128">
        <v>0</v>
      </c>
      <c r="KM18" s="128">
        <v>10</v>
      </c>
      <c r="KN18" s="128">
        <v>5365000</v>
      </c>
      <c r="KO18" s="128">
        <v>4555000</v>
      </c>
      <c r="KP18" s="128">
        <v>4555000</v>
      </c>
      <c r="KT18" s="128">
        <v>0</v>
      </c>
      <c r="KU18" s="128">
        <v>0</v>
      </c>
      <c r="KV18" s="128">
        <v>0</v>
      </c>
      <c r="KZ18" s="128">
        <v>30000</v>
      </c>
      <c r="LA18" s="128">
        <v>0</v>
      </c>
      <c r="LB18" s="128">
        <v>0</v>
      </c>
      <c r="LF18" s="128">
        <v>25000</v>
      </c>
      <c r="LG18" s="128">
        <v>0</v>
      </c>
      <c r="LH18" s="128">
        <v>0</v>
      </c>
      <c r="LL18" s="128">
        <v>0</v>
      </c>
      <c r="LM18" s="128">
        <v>0</v>
      </c>
      <c r="LN18" s="128">
        <v>0</v>
      </c>
      <c r="LR18" s="128">
        <v>20000</v>
      </c>
      <c r="LS18" s="128">
        <v>0</v>
      </c>
      <c r="LT18" s="128">
        <v>0</v>
      </c>
      <c r="LX18" s="128">
        <v>0</v>
      </c>
      <c r="LY18" s="128">
        <v>0</v>
      </c>
      <c r="LZ18" s="128">
        <v>0</v>
      </c>
      <c r="MD18" s="128">
        <v>60000</v>
      </c>
      <c r="ME18" s="128">
        <v>30000</v>
      </c>
      <c r="MF18" s="128">
        <v>30000</v>
      </c>
      <c r="MJ18" s="128">
        <v>0</v>
      </c>
      <c r="MK18" s="128">
        <v>0</v>
      </c>
      <c r="ML18" s="128">
        <v>0</v>
      </c>
      <c r="MP18" s="128">
        <v>0</v>
      </c>
      <c r="MQ18" s="128">
        <v>0</v>
      </c>
      <c r="MR18" s="128">
        <v>0</v>
      </c>
      <c r="MV18" s="128">
        <v>0</v>
      </c>
      <c r="MW18" s="128">
        <v>0</v>
      </c>
      <c r="MX18" s="128">
        <v>0</v>
      </c>
      <c r="NB18" s="128">
        <v>36000</v>
      </c>
      <c r="NC18" s="128">
        <v>15000</v>
      </c>
      <c r="ND18" s="128">
        <v>15000</v>
      </c>
      <c r="NH18" s="128">
        <v>168000</v>
      </c>
      <c r="NI18" s="128">
        <v>130000</v>
      </c>
      <c r="NJ18" s="128">
        <v>130000</v>
      </c>
      <c r="NN18" s="128">
        <v>68000</v>
      </c>
      <c r="NO18" s="128">
        <v>40000</v>
      </c>
      <c r="NP18" s="128">
        <v>40000</v>
      </c>
      <c r="NT18" s="128">
        <v>70000</v>
      </c>
      <c r="NU18" s="128">
        <v>30000</v>
      </c>
      <c r="NV18" s="128">
        <v>30000</v>
      </c>
      <c r="NZ18" s="128">
        <v>18000</v>
      </c>
      <c r="OA18" s="128">
        <v>0</v>
      </c>
      <c r="OB18" s="128">
        <v>0</v>
      </c>
      <c r="OF18" s="128">
        <v>100000</v>
      </c>
      <c r="OG18" s="128">
        <v>0</v>
      </c>
      <c r="OH18" s="128">
        <v>0</v>
      </c>
      <c r="OL18" s="128">
        <v>0</v>
      </c>
      <c r="OM18" s="128">
        <v>0</v>
      </c>
      <c r="ON18" s="128">
        <v>0</v>
      </c>
      <c r="OR18" s="128">
        <v>0</v>
      </c>
      <c r="OS18" s="128">
        <v>0</v>
      </c>
      <c r="OT18" s="128">
        <v>0</v>
      </c>
      <c r="OX18" s="128">
        <v>30000</v>
      </c>
      <c r="OY18" s="128">
        <v>0</v>
      </c>
      <c r="OZ18" s="128">
        <v>0</v>
      </c>
      <c r="PD18" s="128">
        <v>0</v>
      </c>
      <c r="PE18" s="128">
        <v>0</v>
      </c>
      <c r="PF18" s="128">
        <v>0</v>
      </c>
      <c r="PJ18" s="128">
        <v>0</v>
      </c>
      <c r="PK18" s="128">
        <v>0</v>
      </c>
      <c r="PL18" s="128">
        <v>0</v>
      </c>
      <c r="PP18" s="128">
        <v>5990000</v>
      </c>
      <c r="PQ18" s="128">
        <v>4800000</v>
      </c>
      <c r="PR18" s="128">
        <v>4800000</v>
      </c>
      <c r="PS18" s="128">
        <v>100</v>
      </c>
      <c r="PT18" s="128">
        <v>100</v>
      </c>
      <c r="PX18" s="128">
        <v>3272100</v>
      </c>
      <c r="PY18" s="128">
        <v>3452100</v>
      </c>
      <c r="PZ18" s="128">
        <v>4800000</v>
      </c>
      <c r="QA18" s="128">
        <v>0</v>
      </c>
      <c r="QB18" s="128">
        <v>0</v>
      </c>
      <c r="QC18" s="128">
        <v>0</v>
      </c>
      <c r="QD18" s="128">
        <v>0</v>
      </c>
      <c r="QE18" s="128">
        <v>0</v>
      </c>
      <c r="QF18" s="128">
        <v>0</v>
      </c>
      <c r="QG18" s="128">
        <v>0</v>
      </c>
      <c r="QH18" s="128">
        <v>0</v>
      </c>
      <c r="QI18" s="128">
        <v>0</v>
      </c>
      <c r="QJ18" s="128">
        <v>664467</v>
      </c>
      <c r="QK18" s="128">
        <v>750000</v>
      </c>
      <c r="QL18" s="128">
        <v>750000</v>
      </c>
      <c r="QN18" s="128">
        <v>0</v>
      </c>
      <c r="QO18" s="128">
        <v>0</v>
      </c>
      <c r="QP18" s="128">
        <v>0</v>
      </c>
      <c r="QU18" s="128">
        <v>0</v>
      </c>
      <c r="QV18" s="128">
        <v>185189</v>
      </c>
      <c r="QW18" s="128">
        <v>100000</v>
      </c>
      <c r="QX18" s="128">
        <v>229500</v>
      </c>
      <c r="QY18" s="128">
        <v>306500</v>
      </c>
      <c r="QZ18" s="128">
        <v>330000</v>
      </c>
      <c r="RD18" s="128">
        <v>19000</v>
      </c>
      <c r="RE18" s="128">
        <v>10000</v>
      </c>
      <c r="RF18" s="128">
        <v>10000</v>
      </c>
      <c r="RH18" s="128">
        <f t="shared" si="104"/>
        <v>5240000</v>
      </c>
      <c r="RI18" s="128">
        <v>0</v>
      </c>
      <c r="RM18" s="128" t="s">
        <v>220</v>
      </c>
      <c r="RU18" s="130"/>
      <c r="RV18" s="130"/>
      <c r="RW18" s="130"/>
      <c r="RX18" s="130"/>
      <c r="SF18" s="128">
        <f t="shared" si="8"/>
        <v>2039109</v>
      </c>
      <c r="SG18" s="131">
        <f t="shared" si="9"/>
        <v>5990000</v>
      </c>
      <c r="SH18" s="131">
        <f t="shared" si="10"/>
        <v>5990000</v>
      </c>
      <c r="SI18" s="131">
        <f t="shared" si="11"/>
        <v>5420000</v>
      </c>
      <c r="SJ18" s="132">
        <f t="shared" si="12"/>
        <v>5365000</v>
      </c>
      <c r="SK18" s="132">
        <f t="shared" si="13"/>
        <v>0</v>
      </c>
      <c r="SL18" s="132">
        <f t="shared" si="14"/>
        <v>30000</v>
      </c>
      <c r="SM18" s="132">
        <f t="shared" si="15"/>
        <v>25000</v>
      </c>
      <c r="SN18" s="131">
        <f t="shared" si="16"/>
        <v>570000</v>
      </c>
      <c r="SO18" s="131">
        <f t="shared" si="17"/>
        <v>20000</v>
      </c>
      <c r="SP18" s="132">
        <f t="shared" si="18"/>
        <v>0</v>
      </c>
      <c r="SQ18" s="132">
        <f t="shared" si="19"/>
        <v>20000</v>
      </c>
      <c r="SR18" s="132">
        <f t="shared" si="20"/>
        <v>0</v>
      </c>
      <c r="SS18" s="132">
        <f t="shared" si="21"/>
        <v>60000</v>
      </c>
      <c r="ST18" s="132">
        <f t="shared" si="22"/>
        <v>0</v>
      </c>
      <c r="SU18" s="132">
        <f t="shared" si="23"/>
        <v>0</v>
      </c>
      <c r="SV18" s="131">
        <f t="shared" si="24"/>
        <v>490000</v>
      </c>
      <c r="SW18" s="132">
        <f t="shared" si="25"/>
        <v>0</v>
      </c>
      <c r="SX18" s="132">
        <f t="shared" si="26"/>
        <v>36000</v>
      </c>
      <c r="SY18" s="132">
        <f t="shared" si="27"/>
        <v>168000</v>
      </c>
      <c r="SZ18" s="132">
        <f t="shared" si="28"/>
        <v>68000</v>
      </c>
      <c r="TA18" s="132">
        <f t="shared" si="29"/>
        <v>70000</v>
      </c>
      <c r="TB18" s="132">
        <f t="shared" si="30"/>
        <v>18000</v>
      </c>
      <c r="TC18" s="132">
        <f t="shared" si="31"/>
        <v>100000</v>
      </c>
      <c r="TD18" s="132">
        <f t="shared" si="32"/>
        <v>0</v>
      </c>
      <c r="TE18" s="132">
        <f t="shared" si="33"/>
        <v>0</v>
      </c>
      <c r="TF18" s="132">
        <f t="shared" si="34"/>
        <v>30000</v>
      </c>
      <c r="TG18" s="132">
        <f t="shared" si="35"/>
        <v>0</v>
      </c>
      <c r="TH18" s="132">
        <f t="shared" si="36"/>
        <v>0</v>
      </c>
      <c r="TI18" s="1"/>
      <c r="TJ18" s="131">
        <f t="shared" si="37"/>
        <v>4800000</v>
      </c>
      <c r="TK18" s="131">
        <f t="shared" si="38"/>
        <v>4800000</v>
      </c>
      <c r="TL18" s="131">
        <f t="shared" si="39"/>
        <v>4555000</v>
      </c>
      <c r="TM18" s="132">
        <f t="shared" si="40"/>
        <v>4555000</v>
      </c>
      <c r="TN18" s="132">
        <f t="shared" si="41"/>
        <v>0</v>
      </c>
      <c r="TO18" s="132">
        <f t="shared" si="42"/>
        <v>0</v>
      </c>
      <c r="TP18" s="132">
        <f t="shared" si="43"/>
        <v>0</v>
      </c>
      <c r="TQ18" s="131">
        <f t="shared" si="44"/>
        <v>245000</v>
      </c>
      <c r="TR18" s="131">
        <f t="shared" si="45"/>
        <v>0</v>
      </c>
      <c r="TS18" s="132">
        <f t="shared" si="46"/>
        <v>0</v>
      </c>
      <c r="TT18" s="132">
        <f t="shared" si="47"/>
        <v>0</v>
      </c>
      <c r="TU18" s="132">
        <f t="shared" si="48"/>
        <v>0</v>
      </c>
      <c r="TV18" s="132">
        <f t="shared" si="49"/>
        <v>30000</v>
      </c>
      <c r="TW18" s="132">
        <f t="shared" si="50"/>
        <v>0</v>
      </c>
      <c r="TX18" s="132">
        <f t="shared" si="51"/>
        <v>0</v>
      </c>
      <c r="TY18" s="131">
        <f t="shared" si="52"/>
        <v>215000</v>
      </c>
      <c r="TZ18" s="132">
        <f t="shared" si="53"/>
        <v>0</v>
      </c>
      <c r="UA18" s="132">
        <f t="shared" si="54"/>
        <v>15000</v>
      </c>
      <c r="UB18" s="132">
        <f t="shared" si="55"/>
        <v>130000</v>
      </c>
      <c r="UC18" s="132">
        <f t="shared" si="56"/>
        <v>40000</v>
      </c>
      <c r="UD18" s="132">
        <f t="shared" si="57"/>
        <v>30000</v>
      </c>
      <c r="UE18" s="132">
        <f t="shared" si="58"/>
        <v>0</v>
      </c>
      <c r="UF18" s="132">
        <f t="shared" si="59"/>
        <v>0</v>
      </c>
      <c r="UG18" s="132">
        <f t="shared" si="60"/>
        <v>0</v>
      </c>
      <c r="UH18" s="132">
        <f t="shared" si="61"/>
        <v>0</v>
      </c>
      <c r="UI18" s="132">
        <f t="shared" si="62"/>
        <v>0</v>
      </c>
      <c r="UJ18" s="132">
        <f t="shared" si="63"/>
        <v>0</v>
      </c>
      <c r="UK18" s="132">
        <f t="shared" si="64"/>
        <v>0</v>
      </c>
      <c r="UL18" s="132">
        <f t="shared" si="105"/>
        <v>4800000</v>
      </c>
      <c r="UM18" s="131">
        <f t="shared" si="65"/>
        <v>4800000</v>
      </c>
      <c r="UN18" s="131">
        <f t="shared" si="66"/>
        <v>4800000</v>
      </c>
      <c r="UO18" s="131">
        <f t="shared" si="67"/>
        <v>4555000</v>
      </c>
      <c r="UP18" s="132">
        <f t="shared" si="68"/>
        <v>4555000</v>
      </c>
      <c r="UQ18" s="132">
        <f t="shared" si="69"/>
        <v>0</v>
      </c>
      <c r="UR18" s="132">
        <f t="shared" si="70"/>
        <v>0</v>
      </c>
      <c r="US18" s="132">
        <f t="shared" si="71"/>
        <v>0</v>
      </c>
      <c r="UT18" s="131">
        <f t="shared" si="72"/>
        <v>245000</v>
      </c>
      <c r="UU18" s="131">
        <f t="shared" si="73"/>
        <v>0</v>
      </c>
      <c r="UV18" s="132">
        <f t="shared" si="74"/>
        <v>0</v>
      </c>
      <c r="UW18" s="132">
        <f t="shared" si="75"/>
        <v>0</v>
      </c>
      <c r="UX18" s="132">
        <f t="shared" si="76"/>
        <v>0</v>
      </c>
      <c r="UY18" s="132">
        <f t="shared" si="77"/>
        <v>30000</v>
      </c>
      <c r="UZ18" s="132">
        <f t="shared" si="78"/>
        <v>0</v>
      </c>
      <c r="VA18" s="132">
        <f t="shared" si="79"/>
        <v>0</v>
      </c>
      <c r="VB18" s="131">
        <f t="shared" si="80"/>
        <v>215000</v>
      </c>
      <c r="VC18" s="132">
        <f t="shared" si="81"/>
        <v>0</v>
      </c>
      <c r="VD18" s="132">
        <f t="shared" si="82"/>
        <v>15000</v>
      </c>
      <c r="VE18" s="132">
        <f t="shared" si="83"/>
        <v>130000</v>
      </c>
      <c r="VF18" s="132">
        <f t="shared" si="84"/>
        <v>40000</v>
      </c>
      <c r="VG18" s="132">
        <f t="shared" si="85"/>
        <v>30000</v>
      </c>
      <c r="VH18" s="132">
        <f t="shared" si="86"/>
        <v>0</v>
      </c>
      <c r="VI18" s="132">
        <f t="shared" si="87"/>
        <v>0</v>
      </c>
      <c r="VJ18" s="132">
        <f t="shared" si="88"/>
        <v>0</v>
      </c>
      <c r="VK18" s="132">
        <f t="shared" si="89"/>
        <v>0</v>
      </c>
      <c r="VL18" s="132">
        <f t="shared" si="90"/>
        <v>0</v>
      </c>
      <c r="VM18" s="132">
        <f t="shared" si="91"/>
        <v>0</v>
      </c>
      <c r="VN18" s="132">
        <f t="shared" si="92"/>
        <v>0</v>
      </c>
      <c r="VP18" s="845" t="str">
        <f>IFERROR(HLOOKUP(F18,'Hodnocení '!$C$1:$JH$5,2,FALSE),0)</f>
        <v>Centrum Orion</v>
      </c>
      <c r="VQ18" s="838"/>
      <c r="VR18" s="845" t="str">
        <f t="shared" si="106"/>
        <v>Spolek</v>
      </c>
      <c r="VS18" s="845" t="str">
        <f>IFERROR(HLOOKUP(F18,'Hodnocení '!$C$1:$JH$5,5,FALSE),0)</f>
        <v>NZO</v>
      </c>
      <c r="VT18" s="838">
        <f t="shared" si="107"/>
        <v>0</v>
      </c>
      <c r="VU18" s="838">
        <f t="shared" si="108"/>
        <v>0</v>
      </c>
      <c r="VV18" s="838">
        <f t="shared" si="109"/>
        <v>750000</v>
      </c>
      <c r="VW18" s="838">
        <f t="shared" si="110"/>
        <v>0</v>
      </c>
      <c r="VX18" s="838"/>
      <c r="VY18" s="838">
        <f t="shared" si="111"/>
        <v>0</v>
      </c>
      <c r="VZ18" s="838">
        <f t="shared" si="112"/>
        <v>4800000</v>
      </c>
      <c r="WA18" s="846">
        <f>IFERROR(HLOOKUP($F18,'Hodnocení '!$C$1:$JH$9,9,FALSE),0)</f>
        <v>4800000</v>
      </c>
      <c r="WB18" s="846">
        <f>IF(IFERROR(HLOOKUP($F18,'Hodnocení '!$C$1:$JH$13,13,FALSE),0)&gt;WA18,WA18,IFERROR(HLOOKUP($F18,'Hodnocení '!$C$1:$JH$13,13,FALSE),0))</f>
        <v>3984275.238895766</v>
      </c>
      <c r="WC18" s="846">
        <f>IFERROR(HLOOKUP($F18,'Hodnocení '!$C$1:$JH$155,155,FALSE),0)</f>
        <v>3667780</v>
      </c>
      <c r="WD18" s="845"/>
      <c r="WE18" s="845"/>
      <c r="WF18" s="845" t="str">
        <f t="shared" si="97"/>
        <v>ANO</v>
      </c>
      <c r="WG18" s="849" t="str">
        <f t="shared" si="98"/>
        <v>Podpora služby je vyjádřena zařazením do sítě sociálních služeb v KHK a řešením financování služby</v>
      </c>
      <c r="WH18" s="849" t="str">
        <f t="shared" si="9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8" s="849" t="str">
        <f t="shared" si="98"/>
        <v>Návrh dotace je výsledkem projednání s ostatními zadavateli v rámci sítě služeb KHK</v>
      </c>
      <c r="WJ18" s="849" t="str">
        <f t="shared" si="98"/>
        <v>Bez komentáře</v>
      </c>
      <c r="WK18" s="31">
        <f t="shared" si="99"/>
        <v>0</v>
      </c>
      <c r="WL18" s="850">
        <f t="shared" si="100"/>
        <v>0</v>
      </c>
      <c r="WM18" s="849" t="str">
        <f t="shared" si="101"/>
        <v>V rámci sítě KHK se dlouhodobě řeší otázka navyšování úhrad a průběžně se monitoruje s vazbou na vykrytí vyrovnávací platby</v>
      </c>
      <c r="WN18" s="849">
        <f t="shared" si="102"/>
        <v>0</v>
      </c>
      <c r="WO18" s="849" t="str">
        <f t="shared" ref="WO18:WT23" si="113">IF($WF18="NE","nehodnoceno",WO$2)</f>
        <v>bez komentáře</v>
      </c>
      <c r="WP18" s="849" t="str">
        <f t="shared" si="113"/>
        <v>bez komentáře</v>
      </c>
      <c r="WQ18" s="849" t="str">
        <f t="shared" si="113"/>
        <v>Konečná výše dotace z rozpočtu KHK bude řešena v návaznosti na řešení podílů jednotlivých zadavatelů.</v>
      </c>
      <c r="WR18" s="849" t="str">
        <f t="shared" si="113"/>
        <v>Konečná výše podpory ze stran obcí bude řešena v součinnosti s jednotlivými zadavateli v průběhu roku.</v>
      </c>
      <c r="WS18" s="849" t="str">
        <f t="shared" si="113"/>
        <v>bez komentáře</v>
      </c>
      <c r="WT18" s="849" t="str">
        <f t="shared" si="113"/>
        <v>bez komentáře</v>
      </c>
      <c r="WU18" s="845"/>
    </row>
    <row r="19" spans="1:619" s="128" customFormat="1" x14ac:dyDescent="0.25">
      <c r="A19" s="128" t="str">
        <f>VLOOKUP(F19,'Výpočet VP 2020'!$D$324:$I$588,6,FALSE)</f>
        <v>Je v síti</v>
      </c>
      <c r="B19" s="128" t="s">
        <v>281</v>
      </c>
      <c r="C19" s="128">
        <v>68246901</v>
      </c>
      <c r="D19" s="128" t="s">
        <v>282</v>
      </c>
      <c r="E19" s="128" t="s">
        <v>242</v>
      </c>
      <c r="F19" s="128">
        <v>5020855</v>
      </c>
      <c r="G19" s="128" t="s">
        <v>286</v>
      </c>
      <c r="H19" s="128" t="s">
        <v>218</v>
      </c>
      <c r="I19" s="128" t="s">
        <v>287</v>
      </c>
      <c r="J19" s="129">
        <v>41153</v>
      </c>
      <c r="L19" s="128" t="s">
        <v>220</v>
      </c>
      <c r="X19" s="128" t="s">
        <v>288</v>
      </c>
      <c r="Z19" s="128">
        <v>40</v>
      </c>
      <c r="AA19" s="128">
        <v>40</v>
      </c>
      <c r="AB19" s="128">
        <v>51</v>
      </c>
      <c r="AC19" s="128">
        <v>51</v>
      </c>
      <c r="AD19" s="128">
        <v>53</v>
      </c>
      <c r="AN19" s="128">
        <v>15000</v>
      </c>
      <c r="BL19" s="128" t="s">
        <v>222</v>
      </c>
      <c r="BM19" s="128" t="s">
        <v>223</v>
      </c>
      <c r="BN19" s="128" t="s">
        <v>289</v>
      </c>
      <c r="BO19" s="128">
        <v>2</v>
      </c>
      <c r="BP19" s="128">
        <v>4</v>
      </c>
      <c r="BQ19" s="128">
        <v>5</v>
      </c>
      <c r="BR19" s="128">
        <v>7</v>
      </c>
      <c r="BS19" s="128">
        <v>0</v>
      </c>
      <c r="BT19" s="128">
        <v>0</v>
      </c>
      <c r="BU19" s="128">
        <v>4</v>
      </c>
      <c r="BV19" s="128">
        <v>10</v>
      </c>
      <c r="BW19" s="128">
        <v>17</v>
      </c>
      <c r="BX19" s="128">
        <v>0</v>
      </c>
      <c r="BY19" s="128">
        <v>2</v>
      </c>
      <c r="BZ19" s="128">
        <v>8</v>
      </c>
      <c r="CA19" s="128">
        <v>15</v>
      </c>
      <c r="CB19" s="128">
        <v>24</v>
      </c>
      <c r="CC19" s="128">
        <v>0</v>
      </c>
      <c r="CD19" s="128">
        <v>18</v>
      </c>
      <c r="CE19" s="128">
        <v>31</v>
      </c>
      <c r="CF19" s="128">
        <v>49</v>
      </c>
      <c r="CH19" s="128">
        <v>2</v>
      </c>
      <c r="CI19" s="128">
        <v>4</v>
      </c>
      <c r="CJ19" s="128">
        <v>5</v>
      </c>
      <c r="CK19" s="128">
        <v>6</v>
      </c>
      <c r="CL19" s="128">
        <v>0</v>
      </c>
      <c r="CM19" s="128">
        <v>0</v>
      </c>
      <c r="CN19" s="128">
        <v>4</v>
      </c>
      <c r="CO19" s="128">
        <v>12</v>
      </c>
      <c r="CP19" s="128">
        <v>20</v>
      </c>
      <c r="CQ19" s="128">
        <v>0</v>
      </c>
      <c r="CR19" s="128">
        <v>2</v>
      </c>
      <c r="CS19" s="128">
        <v>8</v>
      </c>
      <c r="CT19" s="128">
        <v>17</v>
      </c>
      <c r="CU19" s="128">
        <v>26</v>
      </c>
      <c r="CV19" s="128">
        <v>0</v>
      </c>
      <c r="CW19" s="128">
        <v>17</v>
      </c>
      <c r="CX19" s="128">
        <v>36</v>
      </c>
      <c r="CY19" s="128">
        <v>53</v>
      </c>
      <c r="EK19" s="128">
        <v>2</v>
      </c>
      <c r="EL19" s="128">
        <v>1</v>
      </c>
      <c r="EM19" s="128">
        <v>1</v>
      </c>
      <c r="EN19" s="128">
        <v>700000</v>
      </c>
      <c r="EO19" s="128">
        <v>590000</v>
      </c>
      <c r="EP19" s="128">
        <v>12</v>
      </c>
      <c r="EQ19" s="128">
        <v>8</v>
      </c>
      <c r="ER19" s="128">
        <v>6.5</v>
      </c>
      <c r="ES19" s="128">
        <v>3360000</v>
      </c>
      <c r="ET19" s="128">
        <v>3135000</v>
      </c>
      <c r="FJ19" s="128">
        <v>1</v>
      </c>
      <c r="FK19" s="128">
        <v>1</v>
      </c>
      <c r="FL19" s="128">
        <v>1</v>
      </c>
      <c r="FM19" s="128">
        <v>540000</v>
      </c>
      <c r="FN19" s="128">
        <v>440000</v>
      </c>
      <c r="FO19" s="128">
        <v>6</v>
      </c>
      <c r="FP19" s="128">
        <v>2.75</v>
      </c>
      <c r="FQ19" s="128">
        <v>2.75</v>
      </c>
      <c r="FR19" s="128">
        <v>1420000</v>
      </c>
      <c r="FS19" s="128">
        <v>1100000</v>
      </c>
      <c r="IN19" s="128">
        <v>3</v>
      </c>
      <c r="IO19" s="128">
        <v>600</v>
      </c>
      <c r="IP19" s="128">
        <v>0.28599999999999998</v>
      </c>
      <c r="IQ19" s="128">
        <v>120000</v>
      </c>
      <c r="IR19" s="128">
        <v>0</v>
      </c>
      <c r="IS19" s="128">
        <v>2</v>
      </c>
      <c r="IT19" s="128">
        <v>250</v>
      </c>
      <c r="IU19" s="128">
        <v>0.11899999999999999</v>
      </c>
      <c r="IV19" s="128">
        <v>45000</v>
      </c>
      <c r="IW19" s="128">
        <v>0</v>
      </c>
      <c r="KG19" s="128">
        <v>2</v>
      </c>
      <c r="KH19" s="128">
        <v>120</v>
      </c>
      <c r="KI19" s="128">
        <v>10</v>
      </c>
      <c r="KJ19" s="128">
        <v>0</v>
      </c>
      <c r="KK19" s="128">
        <v>0.28599999999999998</v>
      </c>
      <c r="KL19" s="128">
        <v>0</v>
      </c>
      <c r="KM19" s="128">
        <v>10.286</v>
      </c>
      <c r="KN19" s="128">
        <v>6020000</v>
      </c>
      <c r="KO19" s="128">
        <v>5265000</v>
      </c>
      <c r="KP19" s="128">
        <v>5265000</v>
      </c>
      <c r="KT19" s="128">
        <v>0</v>
      </c>
      <c r="KU19" s="128">
        <v>0</v>
      </c>
      <c r="KV19" s="128">
        <v>0</v>
      </c>
      <c r="KZ19" s="128">
        <v>165000</v>
      </c>
      <c r="LA19" s="128">
        <v>0</v>
      </c>
      <c r="LB19" s="128">
        <v>0</v>
      </c>
      <c r="LF19" s="128">
        <v>25000</v>
      </c>
      <c r="LG19" s="128">
        <v>0</v>
      </c>
      <c r="LH19" s="128">
        <v>0</v>
      </c>
      <c r="LL19" s="128">
        <v>0</v>
      </c>
      <c r="LM19" s="128">
        <v>0</v>
      </c>
      <c r="LN19" s="128">
        <v>0</v>
      </c>
      <c r="LR19" s="128">
        <v>30000</v>
      </c>
      <c r="LS19" s="128">
        <v>0</v>
      </c>
      <c r="LT19" s="128">
        <v>0</v>
      </c>
      <c r="LX19" s="128">
        <v>0</v>
      </c>
      <c r="LY19" s="128">
        <v>0</v>
      </c>
      <c r="LZ19" s="128">
        <v>0</v>
      </c>
      <c r="MD19" s="128">
        <v>60000</v>
      </c>
      <c r="ME19" s="128">
        <v>30000</v>
      </c>
      <c r="MF19" s="128">
        <v>30000</v>
      </c>
      <c r="MJ19" s="128">
        <v>0</v>
      </c>
      <c r="MK19" s="128">
        <v>0</v>
      </c>
      <c r="ML19" s="128">
        <v>0</v>
      </c>
      <c r="MP19" s="128">
        <v>84000</v>
      </c>
      <c r="MQ19" s="128">
        <v>50000</v>
      </c>
      <c r="MR19" s="128">
        <v>50000</v>
      </c>
      <c r="MV19" s="128">
        <v>0</v>
      </c>
      <c r="MW19" s="128">
        <v>0</v>
      </c>
      <c r="MX19" s="128">
        <v>0</v>
      </c>
      <c r="NB19" s="128">
        <v>36000</v>
      </c>
      <c r="NC19" s="128">
        <v>22000</v>
      </c>
      <c r="ND19" s="128">
        <v>22000</v>
      </c>
      <c r="NH19" s="128">
        <v>936000</v>
      </c>
      <c r="NI19" s="128">
        <v>860000</v>
      </c>
      <c r="NJ19" s="128">
        <v>860000</v>
      </c>
      <c r="NN19" s="128">
        <v>80000</v>
      </c>
      <c r="NO19" s="128">
        <v>48000</v>
      </c>
      <c r="NP19" s="128">
        <v>48000</v>
      </c>
      <c r="NT19" s="128">
        <v>70000</v>
      </c>
      <c r="NU19" s="128">
        <v>25000</v>
      </c>
      <c r="NV19" s="128">
        <v>25000</v>
      </c>
      <c r="NZ19" s="128">
        <v>30000</v>
      </c>
      <c r="OA19" s="128">
        <v>0</v>
      </c>
      <c r="OB19" s="128">
        <v>0</v>
      </c>
      <c r="OF19" s="128">
        <v>14000</v>
      </c>
      <c r="OG19" s="128">
        <v>0</v>
      </c>
      <c r="OH19" s="128">
        <v>0</v>
      </c>
      <c r="OL19" s="128">
        <v>0</v>
      </c>
      <c r="OM19" s="128">
        <v>0</v>
      </c>
      <c r="ON19" s="128">
        <v>0</v>
      </c>
      <c r="OR19" s="128">
        <v>0</v>
      </c>
      <c r="OS19" s="128">
        <v>0</v>
      </c>
      <c r="OT19" s="128">
        <v>0</v>
      </c>
      <c r="OX19" s="128">
        <v>40000</v>
      </c>
      <c r="OY19" s="128">
        <v>0</v>
      </c>
      <c r="OZ19" s="128">
        <v>0</v>
      </c>
      <c r="PD19" s="128">
        <v>0</v>
      </c>
      <c r="PE19" s="128">
        <v>0</v>
      </c>
      <c r="PF19" s="128">
        <v>0</v>
      </c>
      <c r="PJ19" s="128">
        <v>0</v>
      </c>
      <c r="PK19" s="128">
        <v>0</v>
      </c>
      <c r="PL19" s="128">
        <v>0</v>
      </c>
      <c r="PP19" s="128">
        <v>7590000</v>
      </c>
      <c r="PQ19" s="128">
        <v>6300000</v>
      </c>
      <c r="PR19" s="128">
        <v>6300000</v>
      </c>
      <c r="PS19" s="128">
        <v>100</v>
      </c>
      <c r="PT19" s="128">
        <v>100</v>
      </c>
      <c r="PV19" s="128">
        <v>5482385</v>
      </c>
      <c r="PX19" s="128">
        <v>3960746</v>
      </c>
      <c r="PY19" s="128">
        <v>4935000</v>
      </c>
      <c r="PZ19" s="128">
        <v>6300000</v>
      </c>
      <c r="QA19" s="128">
        <v>0</v>
      </c>
      <c r="QB19" s="128">
        <v>0</v>
      </c>
      <c r="QC19" s="128">
        <v>0</v>
      </c>
      <c r="QD19" s="128">
        <v>0</v>
      </c>
      <c r="QE19" s="128">
        <v>0</v>
      </c>
      <c r="QF19" s="128">
        <v>0</v>
      </c>
      <c r="QG19" s="128">
        <v>0</v>
      </c>
      <c r="QH19" s="128">
        <v>0</v>
      </c>
      <c r="QI19" s="128">
        <v>0</v>
      </c>
      <c r="QJ19" s="128">
        <v>563234</v>
      </c>
      <c r="QK19" s="128">
        <v>650000</v>
      </c>
      <c r="QL19" s="128">
        <v>650000</v>
      </c>
      <c r="QN19" s="128">
        <v>0</v>
      </c>
      <c r="QO19" s="128">
        <v>0</v>
      </c>
      <c r="QP19" s="128">
        <v>0</v>
      </c>
      <c r="QU19" s="128">
        <v>865000</v>
      </c>
      <c r="QV19" s="128">
        <v>310000</v>
      </c>
      <c r="QW19" s="128">
        <v>150000</v>
      </c>
      <c r="QX19" s="128">
        <v>502000</v>
      </c>
      <c r="QY19" s="128">
        <v>430000</v>
      </c>
      <c r="QZ19" s="128">
        <v>445000</v>
      </c>
      <c r="RD19" s="128">
        <v>297054</v>
      </c>
      <c r="RE19" s="128">
        <v>40000</v>
      </c>
      <c r="RF19" s="128">
        <v>45000</v>
      </c>
      <c r="RH19" s="128">
        <f t="shared" si="104"/>
        <v>6940000</v>
      </c>
      <c r="RI19" s="128">
        <v>0</v>
      </c>
      <c r="RM19" s="128" t="s">
        <v>220</v>
      </c>
      <c r="RU19" s="130"/>
      <c r="RV19" s="130"/>
      <c r="RW19" s="130"/>
      <c r="RX19" s="130"/>
      <c r="SF19" s="128">
        <f t="shared" si="8"/>
        <v>5020855</v>
      </c>
      <c r="SG19" s="131">
        <f t="shared" si="9"/>
        <v>7590000</v>
      </c>
      <c r="SH19" s="131">
        <f t="shared" si="10"/>
        <v>7590000</v>
      </c>
      <c r="SI19" s="131">
        <f t="shared" si="11"/>
        <v>6210000</v>
      </c>
      <c r="SJ19" s="132">
        <f t="shared" si="12"/>
        <v>6020000</v>
      </c>
      <c r="SK19" s="132">
        <f t="shared" si="13"/>
        <v>0</v>
      </c>
      <c r="SL19" s="132">
        <f t="shared" si="14"/>
        <v>165000</v>
      </c>
      <c r="SM19" s="132">
        <f t="shared" si="15"/>
        <v>25000</v>
      </c>
      <c r="SN19" s="131">
        <f t="shared" si="16"/>
        <v>1380000</v>
      </c>
      <c r="SO19" s="131">
        <f t="shared" si="17"/>
        <v>30000</v>
      </c>
      <c r="SP19" s="132">
        <f t="shared" si="18"/>
        <v>0</v>
      </c>
      <c r="SQ19" s="132">
        <f t="shared" si="19"/>
        <v>30000</v>
      </c>
      <c r="SR19" s="132">
        <f t="shared" si="20"/>
        <v>0</v>
      </c>
      <c r="SS19" s="132">
        <f t="shared" si="21"/>
        <v>60000</v>
      </c>
      <c r="ST19" s="132">
        <f t="shared" si="22"/>
        <v>0</v>
      </c>
      <c r="SU19" s="132">
        <f t="shared" si="23"/>
        <v>84000</v>
      </c>
      <c r="SV19" s="131">
        <f t="shared" si="24"/>
        <v>1206000</v>
      </c>
      <c r="SW19" s="132">
        <f t="shared" si="25"/>
        <v>0</v>
      </c>
      <c r="SX19" s="132">
        <f t="shared" si="26"/>
        <v>36000</v>
      </c>
      <c r="SY19" s="132">
        <f t="shared" si="27"/>
        <v>936000</v>
      </c>
      <c r="SZ19" s="132">
        <f t="shared" si="28"/>
        <v>80000</v>
      </c>
      <c r="TA19" s="132">
        <f t="shared" si="29"/>
        <v>70000</v>
      </c>
      <c r="TB19" s="132">
        <f t="shared" si="30"/>
        <v>30000</v>
      </c>
      <c r="TC19" s="132">
        <f t="shared" si="31"/>
        <v>14000</v>
      </c>
      <c r="TD19" s="132">
        <f t="shared" si="32"/>
        <v>0</v>
      </c>
      <c r="TE19" s="132">
        <f t="shared" si="33"/>
        <v>0</v>
      </c>
      <c r="TF19" s="132">
        <f t="shared" si="34"/>
        <v>40000</v>
      </c>
      <c r="TG19" s="132">
        <f t="shared" si="35"/>
        <v>0</v>
      </c>
      <c r="TH19" s="132">
        <f t="shared" si="36"/>
        <v>0</v>
      </c>
      <c r="TI19" s="1"/>
      <c r="TJ19" s="131">
        <f t="shared" si="37"/>
        <v>6300000</v>
      </c>
      <c r="TK19" s="131">
        <f t="shared" si="38"/>
        <v>6300000</v>
      </c>
      <c r="TL19" s="131">
        <f t="shared" si="39"/>
        <v>5265000</v>
      </c>
      <c r="TM19" s="132">
        <f t="shared" si="40"/>
        <v>5265000</v>
      </c>
      <c r="TN19" s="132">
        <f t="shared" si="41"/>
        <v>0</v>
      </c>
      <c r="TO19" s="132">
        <f t="shared" si="42"/>
        <v>0</v>
      </c>
      <c r="TP19" s="132">
        <f t="shared" si="43"/>
        <v>0</v>
      </c>
      <c r="TQ19" s="131">
        <f t="shared" si="44"/>
        <v>1035000</v>
      </c>
      <c r="TR19" s="131">
        <f t="shared" si="45"/>
        <v>0</v>
      </c>
      <c r="TS19" s="132">
        <f t="shared" si="46"/>
        <v>0</v>
      </c>
      <c r="TT19" s="132">
        <f t="shared" si="47"/>
        <v>0</v>
      </c>
      <c r="TU19" s="132">
        <f t="shared" si="48"/>
        <v>0</v>
      </c>
      <c r="TV19" s="132">
        <f t="shared" si="49"/>
        <v>30000</v>
      </c>
      <c r="TW19" s="132">
        <f t="shared" si="50"/>
        <v>0</v>
      </c>
      <c r="TX19" s="132">
        <f t="shared" si="51"/>
        <v>50000</v>
      </c>
      <c r="TY19" s="131">
        <f t="shared" si="52"/>
        <v>955000</v>
      </c>
      <c r="TZ19" s="132">
        <f t="shared" si="53"/>
        <v>0</v>
      </c>
      <c r="UA19" s="132">
        <f t="shared" si="54"/>
        <v>22000</v>
      </c>
      <c r="UB19" s="132">
        <f t="shared" si="55"/>
        <v>860000</v>
      </c>
      <c r="UC19" s="132">
        <f t="shared" si="56"/>
        <v>48000</v>
      </c>
      <c r="UD19" s="132">
        <f t="shared" si="57"/>
        <v>25000</v>
      </c>
      <c r="UE19" s="132">
        <f t="shared" si="58"/>
        <v>0</v>
      </c>
      <c r="UF19" s="132">
        <f t="shared" si="59"/>
        <v>0</v>
      </c>
      <c r="UG19" s="132">
        <f t="shared" si="60"/>
        <v>0</v>
      </c>
      <c r="UH19" s="132">
        <f t="shared" si="61"/>
        <v>0</v>
      </c>
      <c r="UI19" s="132">
        <f t="shared" si="62"/>
        <v>0</v>
      </c>
      <c r="UJ19" s="132">
        <f t="shared" si="63"/>
        <v>0</v>
      </c>
      <c r="UK19" s="132">
        <f t="shared" si="64"/>
        <v>0</v>
      </c>
      <c r="UL19" s="132">
        <f t="shared" si="105"/>
        <v>6300000</v>
      </c>
      <c r="UM19" s="131">
        <f t="shared" si="65"/>
        <v>6300000</v>
      </c>
      <c r="UN19" s="131">
        <f t="shared" si="66"/>
        <v>6300000</v>
      </c>
      <c r="UO19" s="131">
        <f t="shared" si="67"/>
        <v>5265000</v>
      </c>
      <c r="UP19" s="132">
        <f t="shared" si="68"/>
        <v>5265000</v>
      </c>
      <c r="UQ19" s="132">
        <f t="shared" si="69"/>
        <v>0</v>
      </c>
      <c r="UR19" s="132">
        <f t="shared" si="70"/>
        <v>0</v>
      </c>
      <c r="US19" s="132">
        <f t="shared" si="71"/>
        <v>0</v>
      </c>
      <c r="UT19" s="131">
        <f t="shared" si="72"/>
        <v>1035000</v>
      </c>
      <c r="UU19" s="131">
        <f t="shared" si="73"/>
        <v>0</v>
      </c>
      <c r="UV19" s="132">
        <f t="shared" si="74"/>
        <v>0</v>
      </c>
      <c r="UW19" s="132">
        <f t="shared" si="75"/>
        <v>0</v>
      </c>
      <c r="UX19" s="132">
        <f t="shared" si="76"/>
        <v>0</v>
      </c>
      <c r="UY19" s="132">
        <f t="shared" si="77"/>
        <v>30000</v>
      </c>
      <c r="UZ19" s="132">
        <f t="shared" si="78"/>
        <v>0</v>
      </c>
      <c r="VA19" s="132">
        <f t="shared" si="79"/>
        <v>50000</v>
      </c>
      <c r="VB19" s="131">
        <f t="shared" si="80"/>
        <v>955000</v>
      </c>
      <c r="VC19" s="132">
        <f t="shared" si="81"/>
        <v>0</v>
      </c>
      <c r="VD19" s="132">
        <f t="shared" si="82"/>
        <v>22000</v>
      </c>
      <c r="VE19" s="132">
        <f t="shared" si="83"/>
        <v>860000</v>
      </c>
      <c r="VF19" s="132">
        <f t="shared" si="84"/>
        <v>48000</v>
      </c>
      <c r="VG19" s="132">
        <f t="shared" si="85"/>
        <v>25000</v>
      </c>
      <c r="VH19" s="132">
        <f t="shared" si="86"/>
        <v>0</v>
      </c>
      <c r="VI19" s="132">
        <f t="shared" si="87"/>
        <v>0</v>
      </c>
      <c r="VJ19" s="132">
        <f t="shared" si="88"/>
        <v>0</v>
      </c>
      <c r="VK19" s="132">
        <f t="shared" si="89"/>
        <v>0</v>
      </c>
      <c r="VL19" s="132">
        <f t="shared" si="90"/>
        <v>0</v>
      </c>
      <c r="VM19" s="132">
        <f t="shared" si="91"/>
        <v>0</v>
      </c>
      <c r="VN19" s="132">
        <f t="shared" si="92"/>
        <v>0</v>
      </c>
      <c r="VP19" s="845" t="str">
        <f>IFERROR(HLOOKUP(F19,'Hodnocení '!$C$1:$JH$5,2,FALSE),0)</f>
        <v>Centrum Orion</v>
      </c>
      <c r="VQ19" s="838"/>
      <c r="VR19" s="845" t="str">
        <f t="shared" si="106"/>
        <v>Spolek</v>
      </c>
      <c r="VS19" s="845" t="str">
        <f>IFERROR(HLOOKUP(F19,'Hodnocení '!$C$1:$JH$5,5,FALSE),0)</f>
        <v>NZO</v>
      </c>
      <c r="VT19" s="838">
        <f t="shared" si="107"/>
        <v>0</v>
      </c>
      <c r="VU19" s="838">
        <f t="shared" si="108"/>
        <v>0</v>
      </c>
      <c r="VV19" s="838">
        <f t="shared" si="109"/>
        <v>650000</v>
      </c>
      <c r="VW19" s="838">
        <f t="shared" si="110"/>
        <v>0</v>
      </c>
      <c r="VX19" s="838"/>
      <c r="VY19" s="838">
        <f t="shared" si="111"/>
        <v>0</v>
      </c>
      <c r="VZ19" s="838">
        <f t="shared" si="112"/>
        <v>6300000</v>
      </c>
      <c r="WA19" s="846">
        <f>IFERROR(HLOOKUP($F19,'Hodnocení '!$C$1:$JH$9,9,FALSE),0)</f>
        <v>6300000</v>
      </c>
      <c r="WB19" s="846">
        <f>IF(IFERROR(HLOOKUP($F19,'Hodnocení '!$C$1:$JH$13,13,FALSE),0)&gt;WA19,WA19,IFERROR(HLOOKUP($F19,'Hodnocení '!$C$1:$JH$13,13,FALSE),0))</f>
        <v>5017302.8370803231</v>
      </c>
      <c r="WC19" s="846">
        <f>IFERROR(HLOOKUP($F19,'Hodnocení '!$C$1:$JH$155,155,FALSE),0)</f>
        <v>5245000</v>
      </c>
      <c r="WD19" s="845"/>
      <c r="WE19" s="845"/>
      <c r="WF19" s="845" t="str">
        <f t="shared" si="97"/>
        <v>ANO</v>
      </c>
      <c r="WG19" s="849" t="str">
        <f t="shared" si="98"/>
        <v>Podpora služby je vyjádřena zařazením do sítě sociálních služeb v KHK a řešením financování služby</v>
      </c>
      <c r="WH19" s="849" t="str">
        <f t="shared" si="9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9" s="849" t="str">
        <f t="shared" si="98"/>
        <v>Návrh dotace je výsledkem projednání s ostatními zadavateli v rámci sítě služeb KHK</v>
      </c>
      <c r="WJ19" s="849" t="str">
        <f t="shared" si="98"/>
        <v>Bez komentáře</v>
      </c>
      <c r="WK19" s="31">
        <f t="shared" si="99"/>
        <v>0</v>
      </c>
      <c r="WL19" s="850">
        <f t="shared" si="100"/>
        <v>0</v>
      </c>
      <c r="WM19" s="849" t="str">
        <f t="shared" si="101"/>
        <v>V rámci sítě KHK se dlouhodobě řeší otázka navyšování úhrad a průběžně se monitoruje s vazbou na vykrytí vyrovnávací platby</v>
      </c>
      <c r="WN19" s="849">
        <f t="shared" si="102"/>
        <v>0</v>
      </c>
      <c r="WO19" s="849" t="str">
        <f t="shared" si="113"/>
        <v>bez komentáře</v>
      </c>
      <c r="WP19" s="849" t="str">
        <f t="shared" si="113"/>
        <v>bez komentáře</v>
      </c>
      <c r="WQ19" s="849" t="str">
        <f t="shared" si="113"/>
        <v>Konečná výše dotace z rozpočtu KHK bude řešena v návaznosti na řešení podílů jednotlivých zadavatelů.</v>
      </c>
      <c r="WR19" s="849" t="str">
        <f t="shared" si="113"/>
        <v>Konečná výše podpory ze stran obcí bude řešena v součinnosti s jednotlivými zadavateli v průběhu roku.</v>
      </c>
      <c r="WS19" s="849" t="str">
        <f t="shared" si="113"/>
        <v>bez komentáře</v>
      </c>
      <c r="WT19" s="849" t="str">
        <f t="shared" si="113"/>
        <v>bez komentáře</v>
      </c>
      <c r="WU19" s="845"/>
    </row>
    <row r="20" spans="1:619" s="128" customFormat="1" x14ac:dyDescent="0.25">
      <c r="A20" s="128" t="str">
        <f>VLOOKUP(F20,'Výpočet VP 2020'!$D$324:$I$588,6,FALSE)</f>
        <v>Je v síti</v>
      </c>
      <c r="B20" s="128" t="s">
        <v>290</v>
      </c>
      <c r="C20" s="128">
        <v>26594145</v>
      </c>
      <c r="D20" s="128" t="s">
        <v>291</v>
      </c>
      <c r="E20" s="128" t="s">
        <v>216</v>
      </c>
      <c r="F20" s="128">
        <v>6565086</v>
      </c>
      <c r="G20" s="128" t="s">
        <v>292</v>
      </c>
      <c r="H20" s="128" t="s">
        <v>293</v>
      </c>
      <c r="I20" s="128" t="s">
        <v>294</v>
      </c>
      <c r="J20" s="129">
        <v>37622</v>
      </c>
      <c r="L20" s="128" t="s">
        <v>220</v>
      </c>
      <c r="X20" s="128" t="s">
        <v>295</v>
      </c>
      <c r="AI20" s="128">
        <v>5</v>
      </c>
      <c r="AJ20" s="128">
        <v>25</v>
      </c>
      <c r="AK20" s="128">
        <v>3096</v>
      </c>
      <c r="AL20" s="128">
        <v>3100</v>
      </c>
      <c r="AM20" s="128">
        <v>3100</v>
      </c>
      <c r="AO20" s="128" t="s">
        <v>296</v>
      </c>
      <c r="BL20" s="128" t="s">
        <v>297</v>
      </c>
      <c r="BM20" s="128" t="s">
        <v>298</v>
      </c>
      <c r="BN20" s="128" t="s">
        <v>299</v>
      </c>
      <c r="EK20" s="128">
        <v>6</v>
      </c>
      <c r="EL20" s="128">
        <v>5.8</v>
      </c>
      <c r="EM20" s="128">
        <v>5.8</v>
      </c>
      <c r="EN20" s="128">
        <v>2676034</v>
      </c>
      <c r="EO20" s="128">
        <v>2405534</v>
      </c>
      <c r="FO20" s="128">
        <v>6</v>
      </c>
      <c r="FP20" s="128">
        <v>3.5</v>
      </c>
      <c r="FQ20" s="128">
        <v>0</v>
      </c>
      <c r="FR20" s="128">
        <v>879107</v>
      </c>
      <c r="FS20" s="128">
        <v>798107</v>
      </c>
      <c r="IN20" s="128">
        <v>4</v>
      </c>
      <c r="IO20" s="128">
        <v>750</v>
      </c>
      <c r="IP20" s="128">
        <v>0.35799999999999998</v>
      </c>
      <c r="IQ20" s="128">
        <v>112500</v>
      </c>
      <c r="IR20" s="128">
        <v>112500</v>
      </c>
      <c r="IS20" s="128">
        <v>1</v>
      </c>
      <c r="IT20" s="128">
        <v>300</v>
      </c>
      <c r="IU20" s="128">
        <v>0.14299999999999999</v>
      </c>
      <c r="IV20" s="128">
        <v>90000</v>
      </c>
      <c r="IW20" s="128">
        <v>0</v>
      </c>
      <c r="KG20" s="128">
        <v>0</v>
      </c>
      <c r="KI20" s="128">
        <v>5.8</v>
      </c>
      <c r="KJ20" s="128">
        <v>0</v>
      </c>
      <c r="KK20" s="128">
        <v>0.35799999999999998</v>
      </c>
      <c r="KL20" s="128">
        <v>0</v>
      </c>
      <c r="KM20" s="128">
        <v>6.1580000000000004</v>
      </c>
      <c r="KN20" s="128">
        <v>3555141</v>
      </c>
      <c r="KO20" s="128">
        <v>3203641</v>
      </c>
      <c r="KP20" s="128">
        <v>3203641</v>
      </c>
      <c r="KT20" s="128">
        <v>0</v>
      </c>
      <c r="KU20" s="128">
        <v>0</v>
      </c>
      <c r="KV20" s="128">
        <v>0</v>
      </c>
      <c r="KZ20" s="128">
        <v>202500</v>
      </c>
      <c r="LA20" s="128">
        <v>112500</v>
      </c>
      <c r="LB20" s="128">
        <v>112500</v>
      </c>
      <c r="LF20" s="128">
        <v>0</v>
      </c>
      <c r="LG20" s="128">
        <v>0</v>
      </c>
      <c r="LH20" s="128">
        <v>0</v>
      </c>
      <c r="LL20" s="128">
        <v>20000</v>
      </c>
      <c r="LM20" s="128">
        <v>20000</v>
      </c>
      <c r="LN20" s="128">
        <v>20000</v>
      </c>
      <c r="LR20" s="128">
        <v>150000</v>
      </c>
      <c r="LS20" s="128">
        <v>130000</v>
      </c>
      <c r="LT20" s="128">
        <v>130000</v>
      </c>
      <c r="LX20" s="128">
        <v>0</v>
      </c>
      <c r="LY20" s="128">
        <v>0</v>
      </c>
      <c r="LZ20" s="128">
        <v>0</v>
      </c>
      <c r="MD20" s="128">
        <v>80000</v>
      </c>
      <c r="ME20" s="128">
        <v>60000</v>
      </c>
      <c r="MF20" s="128">
        <v>60000</v>
      </c>
      <c r="MJ20" s="128">
        <v>0</v>
      </c>
      <c r="MK20" s="128">
        <v>0</v>
      </c>
      <c r="ML20" s="128">
        <v>0</v>
      </c>
      <c r="MP20" s="128">
        <v>80000</v>
      </c>
      <c r="MQ20" s="128">
        <v>50000</v>
      </c>
      <c r="MR20" s="128">
        <v>50000</v>
      </c>
      <c r="MV20" s="128">
        <v>220000</v>
      </c>
      <c r="MW20" s="128">
        <v>200000</v>
      </c>
      <c r="MX20" s="128">
        <v>200000</v>
      </c>
      <c r="NB20" s="128">
        <v>120000</v>
      </c>
      <c r="NC20" s="128">
        <v>90000</v>
      </c>
      <c r="ND20" s="128">
        <v>90000</v>
      </c>
      <c r="NH20" s="128">
        <v>91000</v>
      </c>
      <c r="NI20" s="128">
        <v>70000</v>
      </c>
      <c r="NJ20" s="128">
        <v>70000</v>
      </c>
      <c r="NN20" s="128">
        <v>180000</v>
      </c>
      <c r="NO20" s="128">
        <v>180000</v>
      </c>
      <c r="NP20" s="128">
        <v>180000</v>
      </c>
      <c r="NT20" s="128">
        <v>100000</v>
      </c>
      <c r="NU20" s="128">
        <v>85000</v>
      </c>
      <c r="NV20" s="128">
        <v>85000</v>
      </c>
      <c r="NZ20" s="128">
        <v>70000</v>
      </c>
      <c r="OA20" s="128">
        <v>50000</v>
      </c>
      <c r="OB20" s="128">
        <v>50000</v>
      </c>
      <c r="OF20" s="128">
        <v>15000</v>
      </c>
      <c r="OG20" s="128">
        <v>15000</v>
      </c>
      <c r="OH20" s="128">
        <v>15000</v>
      </c>
      <c r="OL20" s="128">
        <v>0</v>
      </c>
      <c r="OM20" s="128">
        <v>0</v>
      </c>
      <c r="ON20" s="128">
        <v>0</v>
      </c>
      <c r="OR20" s="128">
        <v>0</v>
      </c>
      <c r="OS20" s="128">
        <v>0</v>
      </c>
      <c r="OT20" s="128">
        <v>0</v>
      </c>
      <c r="OX20" s="128">
        <v>89500</v>
      </c>
      <c r="OY20" s="128">
        <v>80000</v>
      </c>
      <c r="OZ20" s="128">
        <v>80000</v>
      </c>
      <c r="PD20" s="128">
        <v>0</v>
      </c>
      <c r="PE20" s="128">
        <v>0</v>
      </c>
      <c r="PF20" s="128">
        <v>0</v>
      </c>
      <c r="PJ20" s="128">
        <v>25000</v>
      </c>
      <c r="PK20" s="128">
        <v>0</v>
      </c>
      <c r="PL20" s="128">
        <v>0</v>
      </c>
      <c r="PP20" s="128">
        <v>4998141</v>
      </c>
      <c r="PQ20" s="128">
        <v>4346141</v>
      </c>
      <c r="PR20" s="128">
        <v>4346141</v>
      </c>
      <c r="PS20" s="128">
        <v>100</v>
      </c>
      <c r="PT20" s="128">
        <v>100</v>
      </c>
      <c r="PX20" s="128">
        <v>3714964</v>
      </c>
      <c r="PY20" s="128">
        <v>3938706</v>
      </c>
      <c r="PZ20" s="128">
        <v>4346141</v>
      </c>
      <c r="QA20" s="128">
        <v>0</v>
      </c>
      <c r="QB20" s="128">
        <v>0</v>
      </c>
      <c r="QC20" s="128">
        <v>0</v>
      </c>
      <c r="QD20" s="128">
        <v>0</v>
      </c>
      <c r="QE20" s="128">
        <v>0</v>
      </c>
      <c r="QF20" s="128">
        <v>0</v>
      </c>
      <c r="QG20" s="128">
        <v>0</v>
      </c>
      <c r="QH20" s="128">
        <v>0</v>
      </c>
      <c r="QI20" s="128">
        <v>0</v>
      </c>
      <c r="QJ20" s="128">
        <v>0</v>
      </c>
      <c r="QK20" s="128">
        <v>0</v>
      </c>
      <c r="QL20" s="128">
        <v>0</v>
      </c>
      <c r="QN20" s="128">
        <v>0</v>
      </c>
      <c r="QO20" s="128">
        <v>0</v>
      </c>
      <c r="QP20" s="128">
        <v>0</v>
      </c>
      <c r="QU20" s="128">
        <v>157536</v>
      </c>
      <c r="QV20" s="128">
        <v>216223</v>
      </c>
      <c r="QW20" s="128">
        <v>270500</v>
      </c>
      <c r="QX20" s="128">
        <v>304500</v>
      </c>
      <c r="QY20" s="128">
        <v>271200</v>
      </c>
      <c r="QZ20" s="128">
        <v>381500</v>
      </c>
      <c r="RD20" s="128">
        <v>3000</v>
      </c>
      <c r="RE20" s="128">
        <v>0</v>
      </c>
      <c r="RF20" s="128">
        <v>0</v>
      </c>
      <c r="RH20" s="128">
        <f t="shared" si="104"/>
        <v>4998141</v>
      </c>
      <c r="RI20" s="128">
        <v>0</v>
      </c>
      <c r="RM20" s="128" t="s">
        <v>220</v>
      </c>
      <c r="RU20" s="130"/>
      <c r="RV20" s="130"/>
      <c r="RW20" s="130"/>
      <c r="RX20" s="130"/>
      <c r="SF20" s="128">
        <f t="shared" si="8"/>
        <v>6565086</v>
      </c>
      <c r="SG20" s="131">
        <f t="shared" si="9"/>
        <v>4998141</v>
      </c>
      <c r="SH20" s="131">
        <f t="shared" si="10"/>
        <v>4998141</v>
      </c>
      <c r="SI20" s="131">
        <f t="shared" si="11"/>
        <v>3757641</v>
      </c>
      <c r="SJ20" s="132">
        <f t="shared" si="12"/>
        <v>3555141</v>
      </c>
      <c r="SK20" s="132">
        <f t="shared" si="13"/>
        <v>0</v>
      </c>
      <c r="SL20" s="132">
        <f t="shared" si="14"/>
        <v>202500</v>
      </c>
      <c r="SM20" s="132">
        <f t="shared" si="15"/>
        <v>0</v>
      </c>
      <c r="SN20" s="131">
        <f t="shared" si="16"/>
        <v>1240500</v>
      </c>
      <c r="SO20" s="131">
        <f t="shared" si="17"/>
        <v>170000</v>
      </c>
      <c r="SP20" s="132">
        <f t="shared" si="18"/>
        <v>20000</v>
      </c>
      <c r="SQ20" s="132">
        <f t="shared" si="19"/>
        <v>150000</v>
      </c>
      <c r="SR20" s="132">
        <f t="shared" si="20"/>
        <v>0</v>
      </c>
      <c r="SS20" s="132">
        <f t="shared" si="21"/>
        <v>80000</v>
      </c>
      <c r="ST20" s="132">
        <f t="shared" si="22"/>
        <v>0</v>
      </c>
      <c r="SU20" s="132">
        <f t="shared" si="23"/>
        <v>80000</v>
      </c>
      <c r="SV20" s="131">
        <f t="shared" si="24"/>
        <v>885500</v>
      </c>
      <c r="SW20" s="132">
        <f t="shared" si="25"/>
        <v>220000</v>
      </c>
      <c r="SX20" s="132">
        <f t="shared" si="26"/>
        <v>120000</v>
      </c>
      <c r="SY20" s="132">
        <f t="shared" si="27"/>
        <v>91000</v>
      </c>
      <c r="SZ20" s="132">
        <f t="shared" si="28"/>
        <v>180000</v>
      </c>
      <c r="TA20" s="132">
        <f t="shared" si="29"/>
        <v>100000</v>
      </c>
      <c r="TB20" s="132">
        <f t="shared" si="30"/>
        <v>70000</v>
      </c>
      <c r="TC20" s="132">
        <f t="shared" si="31"/>
        <v>15000</v>
      </c>
      <c r="TD20" s="132">
        <f t="shared" si="32"/>
        <v>0</v>
      </c>
      <c r="TE20" s="132">
        <f t="shared" si="33"/>
        <v>0</v>
      </c>
      <c r="TF20" s="132">
        <f t="shared" si="34"/>
        <v>89500</v>
      </c>
      <c r="TG20" s="132">
        <f t="shared" si="35"/>
        <v>0</v>
      </c>
      <c r="TH20" s="132">
        <f t="shared" si="36"/>
        <v>25000</v>
      </c>
      <c r="TI20" s="1"/>
      <c r="TJ20" s="131">
        <f t="shared" si="37"/>
        <v>4346141</v>
      </c>
      <c r="TK20" s="131">
        <f t="shared" si="38"/>
        <v>4346141</v>
      </c>
      <c r="TL20" s="131">
        <f t="shared" si="39"/>
        <v>3316141</v>
      </c>
      <c r="TM20" s="132">
        <f t="shared" si="40"/>
        <v>3203641</v>
      </c>
      <c r="TN20" s="132">
        <f t="shared" si="41"/>
        <v>0</v>
      </c>
      <c r="TO20" s="132">
        <f t="shared" si="42"/>
        <v>112500</v>
      </c>
      <c r="TP20" s="132">
        <f t="shared" si="43"/>
        <v>0</v>
      </c>
      <c r="TQ20" s="131">
        <f t="shared" si="44"/>
        <v>1030000</v>
      </c>
      <c r="TR20" s="131">
        <f t="shared" si="45"/>
        <v>150000</v>
      </c>
      <c r="TS20" s="132">
        <f t="shared" si="46"/>
        <v>20000</v>
      </c>
      <c r="TT20" s="132">
        <f t="shared" si="47"/>
        <v>130000</v>
      </c>
      <c r="TU20" s="132">
        <f t="shared" si="48"/>
        <v>0</v>
      </c>
      <c r="TV20" s="132">
        <f t="shared" si="49"/>
        <v>60000</v>
      </c>
      <c r="TW20" s="132">
        <f t="shared" si="50"/>
        <v>0</v>
      </c>
      <c r="TX20" s="132">
        <f t="shared" si="51"/>
        <v>50000</v>
      </c>
      <c r="TY20" s="131">
        <f t="shared" si="52"/>
        <v>770000</v>
      </c>
      <c r="TZ20" s="132">
        <f t="shared" si="53"/>
        <v>200000</v>
      </c>
      <c r="UA20" s="132">
        <f t="shared" si="54"/>
        <v>90000</v>
      </c>
      <c r="UB20" s="132">
        <f t="shared" si="55"/>
        <v>70000</v>
      </c>
      <c r="UC20" s="132">
        <f t="shared" si="56"/>
        <v>180000</v>
      </c>
      <c r="UD20" s="132">
        <f t="shared" si="57"/>
        <v>85000</v>
      </c>
      <c r="UE20" s="132">
        <f t="shared" si="58"/>
        <v>50000</v>
      </c>
      <c r="UF20" s="132">
        <f t="shared" si="59"/>
        <v>15000</v>
      </c>
      <c r="UG20" s="132">
        <f t="shared" si="60"/>
        <v>0</v>
      </c>
      <c r="UH20" s="132">
        <f t="shared" si="61"/>
        <v>0</v>
      </c>
      <c r="UI20" s="132">
        <f t="shared" si="62"/>
        <v>80000</v>
      </c>
      <c r="UJ20" s="132">
        <f t="shared" si="63"/>
        <v>0</v>
      </c>
      <c r="UK20" s="132">
        <f t="shared" si="64"/>
        <v>0</v>
      </c>
      <c r="UL20" s="132">
        <f t="shared" si="105"/>
        <v>4346141</v>
      </c>
      <c r="UM20" s="131">
        <f t="shared" si="65"/>
        <v>4346141</v>
      </c>
      <c r="UN20" s="131">
        <f t="shared" si="66"/>
        <v>4346141</v>
      </c>
      <c r="UO20" s="131">
        <f t="shared" si="67"/>
        <v>3316141</v>
      </c>
      <c r="UP20" s="132">
        <f t="shared" si="68"/>
        <v>3203641</v>
      </c>
      <c r="UQ20" s="132">
        <f t="shared" si="69"/>
        <v>0</v>
      </c>
      <c r="UR20" s="132">
        <f t="shared" si="70"/>
        <v>112500</v>
      </c>
      <c r="US20" s="132">
        <f t="shared" si="71"/>
        <v>0</v>
      </c>
      <c r="UT20" s="131">
        <f t="shared" si="72"/>
        <v>1030000</v>
      </c>
      <c r="UU20" s="131">
        <f t="shared" si="73"/>
        <v>150000</v>
      </c>
      <c r="UV20" s="132">
        <f t="shared" si="74"/>
        <v>20000</v>
      </c>
      <c r="UW20" s="132">
        <f t="shared" si="75"/>
        <v>130000</v>
      </c>
      <c r="UX20" s="132">
        <f t="shared" si="76"/>
        <v>0</v>
      </c>
      <c r="UY20" s="132">
        <f t="shared" si="77"/>
        <v>60000</v>
      </c>
      <c r="UZ20" s="132">
        <f t="shared" si="78"/>
        <v>0</v>
      </c>
      <c r="VA20" s="132">
        <f t="shared" si="79"/>
        <v>50000</v>
      </c>
      <c r="VB20" s="131">
        <f t="shared" si="80"/>
        <v>770000</v>
      </c>
      <c r="VC20" s="132">
        <f t="shared" si="81"/>
        <v>200000</v>
      </c>
      <c r="VD20" s="132">
        <f t="shared" si="82"/>
        <v>90000</v>
      </c>
      <c r="VE20" s="132">
        <f t="shared" si="83"/>
        <v>70000</v>
      </c>
      <c r="VF20" s="132">
        <f t="shared" si="84"/>
        <v>180000</v>
      </c>
      <c r="VG20" s="132">
        <f t="shared" si="85"/>
        <v>85000</v>
      </c>
      <c r="VH20" s="132">
        <f t="shared" si="86"/>
        <v>50000</v>
      </c>
      <c r="VI20" s="132">
        <f t="shared" si="87"/>
        <v>15000</v>
      </c>
      <c r="VJ20" s="132">
        <f t="shared" si="88"/>
        <v>0</v>
      </c>
      <c r="VK20" s="132">
        <f t="shared" si="89"/>
        <v>0</v>
      </c>
      <c r="VL20" s="132">
        <f t="shared" si="90"/>
        <v>80000</v>
      </c>
      <c r="VM20" s="132">
        <f t="shared" si="91"/>
        <v>0</v>
      </c>
      <c r="VN20" s="132">
        <f t="shared" si="92"/>
        <v>0</v>
      </c>
      <c r="VP20" s="845" t="str">
        <f>IFERROR(HLOOKUP(F20,'Hodnocení '!$C$1:$JH$5,2,FALSE),0)</f>
        <v>Centrum pro zdravotně postižené Královéhradeckého kraje</v>
      </c>
      <c r="VQ20" s="838"/>
      <c r="VR20" s="845" t="str">
        <f t="shared" si="106"/>
        <v>Obecně prospěšná společnost</v>
      </c>
      <c r="VS20" s="845" t="str">
        <f>IFERROR(HLOOKUP(F20,'Hodnocení '!$C$1:$JH$5,5,FALSE),0)</f>
        <v>NZO</v>
      </c>
      <c r="VT20" s="838">
        <f t="shared" si="107"/>
        <v>0</v>
      </c>
      <c r="VU20" s="838">
        <f t="shared" si="108"/>
        <v>0</v>
      </c>
      <c r="VV20" s="838">
        <f t="shared" si="109"/>
        <v>0</v>
      </c>
      <c r="VW20" s="838">
        <f t="shared" si="110"/>
        <v>0</v>
      </c>
      <c r="VX20" s="838"/>
      <c r="VY20" s="838">
        <f t="shared" si="111"/>
        <v>0</v>
      </c>
      <c r="VZ20" s="838">
        <f t="shared" si="112"/>
        <v>4346141</v>
      </c>
      <c r="WA20" s="846">
        <f>IFERROR(HLOOKUP($F20,'Hodnocení '!$C$1:$JH$9,9,FALSE),0)</f>
        <v>4346141</v>
      </c>
      <c r="WB20" s="846">
        <f>IF(IFERROR(HLOOKUP($F20,'Hodnocení '!$C$1:$JH$13,13,FALSE),0)&gt;WA20,WA20,IFERROR(HLOOKUP($F20,'Hodnocení '!$C$1:$JH$13,13,FALSE),0))</f>
        <v>4346141</v>
      </c>
      <c r="WC20" s="846">
        <f>IFERROR(HLOOKUP($F20,'Hodnocení '!$C$1:$JH$155,155,FALSE),0)</f>
        <v>4306140</v>
      </c>
      <c r="WD20" s="845"/>
      <c r="WE20" s="845"/>
      <c r="WF20" s="845" t="str">
        <f t="shared" si="97"/>
        <v>ANO</v>
      </c>
      <c r="WG20" s="849" t="str">
        <f t="shared" si="98"/>
        <v>Podpora služby je vyjádřena zařazením do sítě sociálních služeb v KHK a řešením financování služby</v>
      </c>
      <c r="WH20" s="849" t="str">
        <f t="shared" si="9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0" s="849" t="str">
        <f t="shared" si="98"/>
        <v>Návrh dotace je výsledkem projednání s ostatními zadavateli v rámci sítě služeb KHK</v>
      </c>
      <c r="WJ20" s="849" t="str">
        <f t="shared" si="98"/>
        <v>Bez komentáře</v>
      </c>
      <c r="WK20" s="31">
        <f t="shared" si="99"/>
        <v>0</v>
      </c>
      <c r="WL20" s="850">
        <f t="shared" si="100"/>
        <v>0</v>
      </c>
      <c r="WM20" s="849">
        <f t="shared" si="101"/>
        <v>0</v>
      </c>
      <c r="WN20" s="849">
        <f t="shared" si="102"/>
        <v>0</v>
      </c>
      <c r="WO20" s="849" t="str">
        <f t="shared" si="113"/>
        <v>bez komentáře</v>
      </c>
      <c r="WP20" s="849" t="str">
        <f t="shared" si="113"/>
        <v>bez komentáře</v>
      </c>
      <c r="WQ20" s="849" t="str">
        <f t="shared" si="113"/>
        <v>Konečná výše dotace z rozpočtu KHK bude řešena v návaznosti na řešení podílů jednotlivých zadavatelů.</v>
      </c>
      <c r="WR20" s="849" t="str">
        <f t="shared" si="113"/>
        <v>Konečná výše podpory ze stran obcí bude řešena v součinnosti s jednotlivými zadavateli v průběhu roku.</v>
      </c>
      <c r="WS20" s="849" t="str">
        <f t="shared" si="113"/>
        <v>bez komentáře</v>
      </c>
      <c r="WT20" s="849" t="str">
        <f t="shared" si="113"/>
        <v>bez komentáře</v>
      </c>
      <c r="WU20" s="845"/>
    </row>
    <row r="21" spans="1:619" s="128" customFormat="1" x14ac:dyDescent="0.25">
      <c r="A21" s="128" t="str">
        <f>VLOOKUP(F21,'Výpočet VP 2020'!$D$324:$I$588,6,FALSE)</f>
        <v>Je v síti</v>
      </c>
      <c r="B21" s="128" t="s">
        <v>290</v>
      </c>
      <c r="C21" s="128">
        <v>26594145</v>
      </c>
      <c r="D21" s="128" t="s">
        <v>291</v>
      </c>
      <c r="E21" s="128" t="s">
        <v>216</v>
      </c>
      <c r="F21" s="128">
        <v>6630553</v>
      </c>
      <c r="G21" s="128" t="s">
        <v>300</v>
      </c>
      <c r="H21" s="128" t="s">
        <v>230</v>
      </c>
      <c r="I21" s="128" t="s">
        <v>301</v>
      </c>
      <c r="J21" s="129">
        <v>37622</v>
      </c>
      <c r="L21" s="128" t="s">
        <v>220</v>
      </c>
      <c r="X21" s="128" t="s">
        <v>302</v>
      </c>
      <c r="Z21" s="128">
        <v>30</v>
      </c>
      <c r="AA21" s="128">
        <v>30</v>
      </c>
      <c r="AB21" s="128">
        <v>110</v>
      </c>
      <c r="AC21" s="128">
        <v>110</v>
      </c>
      <c r="AD21" s="128">
        <v>115</v>
      </c>
      <c r="AO21" s="128" t="s">
        <v>303</v>
      </c>
      <c r="BL21" s="128" t="s">
        <v>297</v>
      </c>
      <c r="BM21" s="128" t="s">
        <v>304</v>
      </c>
      <c r="BN21" s="128" t="s">
        <v>305</v>
      </c>
      <c r="EK21" s="128">
        <v>5</v>
      </c>
      <c r="EL21" s="128">
        <v>4</v>
      </c>
      <c r="EM21" s="128">
        <v>3.7</v>
      </c>
      <c r="EN21" s="128">
        <v>1784023</v>
      </c>
      <c r="EO21" s="128">
        <v>1534023</v>
      </c>
      <c r="FO21" s="128">
        <v>3</v>
      </c>
      <c r="FP21" s="128">
        <v>2.25</v>
      </c>
      <c r="FQ21" s="128">
        <v>1.75</v>
      </c>
      <c r="FR21" s="128">
        <v>544405</v>
      </c>
      <c r="FS21" s="128">
        <v>384405</v>
      </c>
      <c r="IS21" s="128">
        <v>1</v>
      </c>
      <c r="IT21" s="128">
        <v>150</v>
      </c>
      <c r="IU21" s="128">
        <v>7.1999999999999995E-2</v>
      </c>
      <c r="IV21" s="128">
        <v>30000</v>
      </c>
      <c r="IW21" s="128">
        <v>30000</v>
      </c>
      <c r="KB21" s="128">
        <v>1</v>
      </c>
      <c r="KC21" s="128">
        <v>0.35</v>
      </c>
      <c r="KD21" s="128">
        <v>0.15</v>
      </c>
      <c r="KE21" s="128">
        <v>241500</v>
      </c>
      <c r="KF21" s="128">
        <v>241500</v>
      </c>
      <c r="KG21" s="128">
        <v>0</v>
      </c>
      <c r="KI21" s="128">
        <v>4</v>
      </c>
      <c r="KJ21" s="128">
        <v>0</v>
      </c>
      <c r="KK21" s="128">
        <v>0</v>
      </c>
      <c r="KL21" s="128">
        <v>0</v>
      </c>
      <c r="KM21" s="128">
        <v>4</v>
      </c>
      <c r="KN21" s="128">
        <v>2328428</v>
      </c>
      <c r="KO21" s="128">
        <v>1918428</v>
      </c>
      <c r="KP21" s="128">
        <v>1918428</v>
      </c>
      <c r="KT21" s="128">
        <v>0</v>
      </c>
      <c r="KU21" s="128">
        <v>0</v>
      </c>
      <c r="KV21" s="128">
        <v>0</v>
      </c>
      <c r="KZ21" s="128">
        <v>30000</v>
      </c>
      <c r="LA21" s="128">
        <v>30000</v>
      </c>
      <c r="LB21" s="128">
        <v>30000</v>
      </c>
      <c r="LF21" s="128">
        <v>0</v>
      </c>
      <c r="LG21" s="128">
        <v>0</v>
      </c>
      <c r="LH21" s="128">
        <v>0</v>
      </c>
      <c r="LL21" s="128">
        <v>5000</v>
      </c>
      <c r="LM21" s="128">
        <v>5000</v>
      </c>
      <c r="LN21" s="128">
        <v>5000</v>
      </c>
      <c r="LR21" s="128">
        <v>20000</v>
      </c>
      <c r="LS21" s="128">
        <v>20000</v>
      </c>
      <c r="LT21" s="128">
        <v>20000</v>
      </c>
      <c r="LX21" s="128">
        <v>0</v>
      </c>
      <c r="LY21" s="128">
        <v>0</v>
      </c>
      <c r="LZ21" s="128">
        <v>0</v>
      </c>
      <c r="MD21" s="128">
        <v>20000</v>
      </c>
      <c r="ME21" s="128">
        <v>20000</v>
      </c>
      <c r="MF21" s="128">
        <v>20000</v>
      </c>
      <c r="MJ21" s="128">
        <v>0</v>
      </c>
      <c r="MK21" s="128">
        <v>0</v>
      </c>
      <c r="ML21" s="128">
        <v>0</v>
      </c>
      <c r="MP21" s="128">
        <v>90000</v>
      </c>
      <c r="MQ21" s="128">
        <v>70000</v>
      </c>
      <c r="MR21" s="128">
        <v>70000</v>
      </c>
      <c r="MV21" s="128">
        <v>130000</v>
      </c>
      <c r="MW21" s="128">
        <v>130000</v>
      </c>
      <c r="MX21" s="128">
        <v>130000</v>
      </c>
      <c r="NB21" s="128">
        <v>35000</v>
      </c>
      <c r="NC21" s="128">
        <v>35000</v>
      </c>
      <c r="ND21" s="128">
        <v>35000</v>
      </c>
      <c r="NH21" s="128">
        <v>0</v>
      </c>
      <c r="NI21" s="128">
        <v>0</v>
      </c>
      <c r="NJ21" s="128">
        <v>0</v>
      </c>
      <c r="NN21" s="128">
        <v>100000</v>
      </c>
      <c r="NO21" s="128">
        <v>100000</v>
      </c>
      <c r="NP21" s="128">
        <v>100000</v>
      </c>
      <c r="NT21" s="128">
        <v>25000</v>
      </c>
      <c r="NU21" s="128">
        <v>25000</v>
      </c>
      <c r="NV21" s="128">
        <v>25000</v>
      </c>
      <c r="NZ21" s="128">
        <v>20000</v>
      </c>
      <c r="OA21" s="128">
        <v>20000</v>
      </c>
      <c r="OB21" s="128">
        <v>20000</v>
      </c>
      <c r="OF21" s="128">
        <v>5000</v>
      </c>
      <c r="OG21" s="128">
        <v>5000</v>
      </c>
      <c r="OH21" s="128">
        <v>5000</v>
      </c>
      <c r="OL21" s="128">
        <v>0</v>
      </c>
      <c r="OM21" s="128">
        <v>0</v>
      </c>
      <c r="ON21" s="128">
        <v>0</v>
      </c>
      <c r="OR21" s="128">
        <v>241500</v>
      </c>
      <c r="OS21" s="128">
        <v>241500</v>
      </c>
      <c r="OT21" s="128">
        <v>241500</v>
      </c>
      <c r="OX21" s="128">
        <v>103000</v>
      </c>
      <c r="OY21" s="128">
        <v>75000</v>
      </c>
      <c r="OZ21" s="128">
        <v>75000</v>
      </c>
      <c r="PD21" s="128">
        <v>0</v>
      </c>
      <c r="PE21" s="128">
        <v>0</v>
      </c>
      <c r="PF21" s="128">
        <v>0</v>
      </c>
      <c r="PJ21" s="128">
        <v>10000</v>
      </c>
      <c r="PK21" s="128">
        <v>0</v>
      </c>
      <c r="PL21" s="128">
        <v>0</v>
      </c>
      <c r="PP21" s="128">
        <v>3162928</v>
      </c>
      <c r="PQ21" s="128">
        <v>2694928</v>
      </c>
      <c r="PR21" s="128">
        <v>2694928</v>
      </c>
      <c r="PS21" s="128">
        <v>100</v>
      </c>
      <c r="PT21" s="128">
        <v>100</v>
      </c>
      <c r="PX21" s="128">
        <v>2107672</v>
      </c>
      <c r="PY21" s="128">
        <v>2208380</v>
      </c>
      <c r="PZ21" s="128">
        <v>2694928</v>
      </c>
      <c r="QA21" s="128">
        <v>0</v>
      </c>
      <c r="QB21" s="128">
        <v>0</v>
      </c>
      <c r="QC21" s="128">
        <v>0</v>
      </c>
      <c r="QD21" s="128">
        <v>0</v>
      </c>
      <c r="QE21" s="128">
        <v>0</v>
      </c>
      <c r="QF21" s="128">
        <v>0</v>
      </c>
      <c r="QG21" s="128">
        <v>0</v>
      </c>
      <c r="QH21" s="128">
        <v>0</v>
      </c>
      <c r="QI21" s="128">
        <v>0</v>
      </c>
      <c r="QJ21" s="128">
        <v>18176</v>
      </c>
      <c r="QK21" s="128">
        <v>18000</v>
      </c>
      <c r="QL21" s="128">
        <v>18000</v>
      </c>
      <c r="QN21" s="128">
        <v>0</v>
      </c>
      <c r="QO21" s="128">
        <v>0</v>
      </c>
      <c r="QP21" s="128">
        <v>0</v>
      </c>
      <c r="QU21" s="128">
        <v>0</v>
      </c>
      <c r="QV21" s="128">
        <v>136636</v>
      </c>
      <c r="QW21" s="128">
        <v>150000</v>
      </c>
      <c r="QX21" s="128">
        <v>428000</v>
      </c>
      <c r="QY21" s="128">
        <v>300000</v>
      </c>
      <c r="QZ21" s="128">
        <v>300000</v>
      </c>
      <c r="RH21" s="128">
        <f t="shared" si="104"/>
        <v>3144928</v>
      </c>
      <c r="RI21" s="128">
        <v>0</v>
      </c>
      <c r="RM21" s="128" t="s">
        <v>220</v>
      </c>
      <c r="RU21" s="130"/>
      <c r="RV21" s="130"/>
      <c r="RW21" s="130"/>
      <c r="RX21" s="130"/>
      <c r="SF21" s="128">
        <f t="shared" si="8"/>
        <v>6630553</v>
      </c>
      <c r="SG21" s="131">
        <f t="shared" si="9"/>
        <v>3162928</v>
      </c>
      <c r="SH21" s="131">
        <f t="shared" si="10"/>
        <v>3162928</v>
      </c>
      <c r="SI21" s="131">
        <f t="shared" si="11"/>
        <v>2358428</v>
      </c>
      <c r="SJ21" s="132">
        <f t="shared" si="12"/>
        <v>2328428</v>
      </c>
      <c r="SK21" s="132">
        <f t="shared" si="13"/>
        <v>0</v>
      </c>
      <c r="SL21" s="132">
        <f t="shared" si="14"/>
        <v>30000</v>
      </c>
      <c r="SM21" s="132">
        <f t="shared" si="15"/>
        <v>0</v>
      </c>
      <c r="SN21" s="131">
        <f t="shared" si="16"/>
        <v>804500</v>
      </c>
      <c r="SO21" s="131">
        <f t="shared" si="17"/>
        <v>25000</v>
      </c>
      <c r="SP21" s="132">
        <f t="shared" si="18"/>
        <v>5000</v>
      </c>
      <c r="SQ21" s="132">
        <f t="shared" si="19"/>
        <v>20000</v>
      </c>
      <c r="SR21" s="132">
        <f t="shared" si="20"/>
        <v>0</v>
      </c>
      <c r="SS21" s="132">
        <f t="shared" si="21"/>
        <v>20000</v>
      </c>
      <c r="ST21" s="132">
        <f t="shared" si="22"/>
        <v>0</v>
      </c>
      <c r="SU21" s="132">
        <f t="shared" si="23"/>
        <v>90000</v>
      </c>
      <c r="SV21" s="131">
        <f t="shared" si="24"/>
        <v>659500</v>
      </c>
      <c r="SW21" s="132">
        <f t="shared" si="25"/>
        <v>130000</v>
      </c>
      <c r="SX21" s="132">
        <f t="shared" si="26"/>
        <v>35000</v>
      </c>
      <c r="SY21" s="132">
        <f t="shared" si="27"/>
        <v>0</v>
      </c>
      <c r="SZ21" s="132">
        <f t="shared" si="28"/>
        <v>100000</v>
      </c>
      <c r="TA21" s="132">
        <f t="shared" si="29"/>
        <v>25000</v>
      </c>
      <c r="TB21" s="132">
        <f t="shared" si="30"/>
        <v>20000</v>
      </c>
      <c r="TC21" s="132">
        <f t="shared" si="31"/>
        <v>5000</v>
      </c>
      <c r="TD21" s="132">
        <f t="shared" si="32"/>
        <v>0</v>
      </c>
      <c r="TE21" s="132">
        <f t="shared" si="33"/>
        <v>241500</v>
      </c>
      <c r="TF21" s="132">
        <f t="shared" si="34"/>
        <v>103000</v>
      </c>
      <c r="TG21" s="132">
        <f t="shared" si="35"/>
        <v>0</v>
      </c>
      <c r="TH21" s="132">
        <f t="shared" si="36"/>
        <v>10000</v>
      </c>
      <c r="TI21" s="1"/>
      <c r="TJ21" s="131">
        <f t="shared" si="37"/>
        <v>2694928</v>
      </c>
      <c r="TK21" s="131">
        <f t="shared" si="38"/>
        <v>2694928</v>
      </c>
      <c r="TL21" s="131">
        <f t="shared" si="39"/>
        <v>1948428</v>
      </c>
      <c r="TM21" s="132">
        <f t="shared" si="40"/>
        <v>1918428</v>
      </c>
      <c r="TN21" s="132">
        <f t="shared" si="41"/>
        <v>0</v>
      </c>
      <c r="TO21" s="132">
        <f t="shared" si="42"/>
        <v>30000</v>
      </c>
      <c r="TP21" s="132">
        <f t="shared" si="43"/>
        <v>0</v>
      </c>
      <c r="TQ21" s="131">
        <f t="shared" si="44"/>
        <v>746500</v>
      </c>
      <c r="TR21" s="131">
        <f t="shared" si="45"/>
        <v>25000</v>
      </c>
      <c r="TS21" s="132">
        <f t="shared" si="46"/>
        <v>5000</v>
      </c>
      <c r="TT21" s="132">
        <f t="shared" si="47"/>
        <v>20000</v>
      </c>
      <c r="TU21" s="132">
        <f t="shared" si="48"/>
        <v>0</v>
      </c>
      <c r="TV21" s="132">
        <f t="shared" si="49"/>
        <v>20000</v>
      </c>
      <c r="TW21" s="132">
        <f t="shared" si="50"/>
        <v>0</v>
      </c>
      <c r="TX21" s="132">
        <f t="shared" si="51"/>
        <v>70000</v>
      </c>
      <c r="TY21" s="131">
        <f t="shared" si="52"/>
        <v>631500</v>
      </c>
      <c r="TZ21" s="132">
        <f t="shared" si="53"/>
        <v>130000</v>
      </c>
      <c r="UA21" s="132">
        <f t="shared" si="54"/>
        <v>35000</v>
      </c>
      <c r="UB21" s="132">
        <f t="shared" si="55"/>
        <v>0</v>
      </c>
      <c r="UC21" s="132">
        <f t="shared" si="56"/>
        <v>100000</v>
      </c>
      <c r="UD21" s="132">
        <f t="shared" si="57"/>
        <v>25000</v>
      </c>
      <c r="UE21" s="132">
        <f t="shared" si="58"/>
        <v>20000</v>
      </c>
      <c r="UF21" s="132">
        <f t="shared" si="59"/>
        <v>5000</v>
      </c>
      <c r="UG21" s="132">
        <f t="shared" si="60"/>
        <v>0</v>
      </c>
      <c r="UH21" s="132">
        <f t="shared" si="61"/>
        <v>241500</v>
      </c>
      <c r="UI21" s="132">
        <f t="shared" si="62"/>
        <v>75000</v>
      </c>
      <c r="UJ21" s="132">
        <f t="shared" si="63"/>
        <v>0</v>
      </c>
      <c r="UK21" s="132">
        <f t="shared" si="64"/>
        <v>0</v>
      </c>
      <c r="UL21" s="132">
        <f t="shared" si="105"/>
        <v>2694928</v>
      </c>
      <c r="UM21" s="131">
        <f t="shared" si="65"/>
        <v>2694928</v>
      </c>
      <c r="UN21" s="131">
        <f t="shared" si="66"/>
        <v>2694928</v>
      </c>
      <c r="UO21" s="131">
        <f t="shared" si="67"/>
        <v>1948428</v>
      </c>
      <c r="UP21" s="132">
        <f t="shared" si="68"/>
        <v>1918428</v>
      </c>
      <c r="UQ21" s="132">
        <f t="shared" si="69"/>
        <v>0</v>
      </c>
      <c r="UR21" s="132">
        <f t="shared" si="70"/>
        <v>30000</v>
      </c>
      <c r="US21" s="132">
        <f t="shared" si="71"/>
        <v>0</v>
      </c>
      <c r="UT21" s="131">
        <f t="shared" si="72"/>
        <v>746500</v>
      </c>
      <c r="UU21" s="131">
        <f t="shared" si="73"/>
        <v>25000</v>
      </c>
      <c r="UV21" s="132">
        <f t="shared" si="74"/>
        <v>5000</v>
      </c>
      <c r="UW21" s="132">
        <f t="shared" si="75"/>
        <v>20000</v>
      </c>
      <c r="UX21" s="132">
        <f t="shared" si="76"/>
        <v>0</v>
      </c>
      <c r="UY21" s="132">
        <f t="shared" si="77"/>
        <v>20000</v>
      </c>
      <c r="UZ21" s="132">
        <f t="shared" si="78"/>
        <v>0</v>
      </c>
      <c r="VA21" s="132">
        <f t="shared" si="79"/>
        <v>70000</v>
      </c>
      <c r="VB21" s="131">
        <f t="shared" si="80"/>
        <v>631500</v>
      </c>
      <c r="VC21" s="132">
        <f t="shared" si="81"/>
        <v>130000</v>
      </c>
      <c r="VD21" s="132">
        <f t="shared" si="82"/>
        <v>35000</v>
      </c>
      <c r="VE21" s="132">
        <f t="shared" si="83"/>
        <v>0</v>
      </c>
      <c r="VF21" s="132">
        <f t="shared" si="84"/>
        <v>100000</v>
      </c>
      <c r="VG21" s="132">
        <f t="shared" si="85"/>
        <v>25000</v>
      </c>
      <c r="VH21" s="132">
        <f t="shared" si="86"/>
        <v>20000</v>
      </c>
      <c r="VI21" s="132">
        <f t="shared" si="87"/>
        <v>5000</v>
      </c>
      <c r="VJ21" s="132">
        <f t="shared" si="88"/>
        <v>0</v>
      </c>
      <c r="VK21" s="132">
        <f t="shared" si="89"/>
        <v>241500</v>
      </c>
      <c r="VL21" s="132">
        <f t="shared" si="90"/>
        <v>75000</v>
      </c>
      <c r="VM21" s="132">
        <f t="shared" si="91"/>
        <v>0</v>
      </c>
      <c r="VN21" s="132">
        <f t="shared" si="92"/>
        <v>0</v>
      </c>
      <c r="VP21" s="845" t="str">
        <f>IFERROR(HLOOKUP(F21,'Hodnocení '!$C$1:$JH$5,2,FALSE),0)</f>
        <v>Centrum pro zdravotně postižené Královéhradeckého kraje</v>
      </c>
      <c r="VQ21" s="838"/>
      <c r="VR21" s="845" t="str">
        <f t="shared" si="106"/>
        <v>Obecně prospěšná společnost</v>
      </c>
      <c r="VS21" s="845" t="str">
        <f>IFERROR(HLOOKUP(F21,'Hodnocení '!$C$1:$JH$5,5,FALSE),0)</f>
        <v>NZO</v>
      </c>
      <c r="VT21" s="838">
        <f t="shared" si="107"/>
        <v>0</v>
      </c>
      <c r="VU21" s="838">
        <f t="shared" si="108"/>
        <v>0</v>
      </c>
      <c r="VV21" s="838">
        <f t="shared" si="109"/>
        <v>18000</v>
      </c>
      <c r="VW21" s="838">
        <f t="shared" si="110"/>
        <v>0</v>
      </c>
      <c r="VX21" s="838"/>
      <c r="VY21" s="838">
        <f t="shared" si="111"/>
        <v>0</v>
      </c>
      <c r="VZ21" s="838">
        <f t="shared" si="112"/>
        <v>2694928</v>
      </c>
      <c r="WA21" s="846">
        <f>IFERROR(HLOOKUP($F21,'Hodnocení '!$C$1:$JH$9,9,FALSE),0)</f>
        <v>2694928</v>
      </c>
      <c r="WB21" s="846">
        <f>IF(IFERROR(HLOOKUP($F21,'Hodnocení '!$C$1:$JH$13,13,FALSE),0)&gt;WA21,WA21,IFERROR(HLOOKUP($F21,'Hodnocení '!$C$1:$JH$13,13,FALSE),0))</f>
        <v>2694928</v>
      </c>
      <c r="WC21" s="846">
        <f>IFERROR(HLOOKUP($F21,'Hodnocení '!$C$1:$JH$155,155,FALSE),0)</f>
        <v>2453030</v>
      </c>
      <c r="WD21" s="845"/>
      <c r="WE21" s="845"/>
      <c r="WF21" s="845" t="str">
        <f t="shared" si="97"/>
        <v>ANO</v>
      </c>
      <c r="WG21" s="849" t="str">
        <f t="shared" si="98"/>
        <v>Podpora služby je vyjádřena zařazením do sítě sociálních služeb v KHK a řešením financování služby</v>
      </c>
      <c r="WH21" s="849" t="str">
        <f t="shared" si="9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1" s="849" t="str">
        <f t="shared" si="98"/>
        <v>Návrh dotace je výsledkem projednání s ostatními zadavateli v rámci sítě služeb KHK</v>
      </c>
      <c r="WJ21" s="849" t="str">
        <f t="shared" si="98"/>
        <v>Bez komentáře</v>
      </c>
      <c r="WK21" s="31">
        <f t="shared" si="99"/>
        <v>0</v>
      </c>
      <c r="WL21" s="850">
        <f t="shared" si="100"/>
        <v>0</v>
      </c>
      <c r="WM21" s="849" t="str">
        <f t="shared" si="101"/>
        <v>V rámci sítě KHK se dlouhodobě řeší otázka navyšování úhrad a průběžně se monitoruje s vazbou na vykrytí vyrovnávací platby</v>
      </c>
      <c r="WN21" s="849">
        <f t="shared" si="102"/>
        <v>0</v>
      </c>
      <c r="WO21" s="849" t="str">
        <f t="shared" si="113"/>
        <v>bez komentáře</v>
      </c>
      <c r="WP21" s="849" t="str">
        <f t="shared" si="113"/>
        <v>bez komentáře</v>
      </c>
      <c r="WQ21" s="849" t="str">
        <f t="shared" si="113"/>
        <v>Konečná výše dotace z rozpočtu KHK bude řešena v návaznosti na řešení podílů jednotlivých zadavatelů.</v>
      </c>
      <c r="WR21" s="849" t="str">
        <f t="shared" si="113"/>
        <v>Konečná výše podpory ze stran obcí bude řešena v součinnosti s jednotlivými zadavateli v průběhu roku.</v>
      </c>
      <c r="WS21" s="849" t="str">
        <f t="shared" si="113"/>
        <v>bez komentáře</v>
      </c>
      <c r="WT21" s="849" t="str">
        <f t="shared" si="113"/>
        <v>bez komentáře</v>
      </c>
      <c r="WU21" s="845"/>
    </row>
    <row r="22" spans="1:619" s="128" customFormat="1" x14ac:dyDescent="0.25">
      <c r="A22" s="128" t="str">
        <f>VLOOKUP(F22,'Výpočet VP 2020'!$D$324:$I$588,6,FALSE)</f>
        <v>Je v síti</v>
      </c>
      <c r="B22" s="128" t="s">
        <v>306</v>
      </c>
      <c r="C22" s="128">
        <v>3359344</v>
      </c>
      <c r="D22" s="128" t="s">
        <v>307</v>
      </c>
      <c r="E22" s="128" t="s">
        <v>242</v>
      </c>
      <c r="F22" s="128">
        <v>8615860</v>
      </c>
      <c r="G22" s="128" t="s">
        <v>292</v>
      </c>
      <c r="H22" s="128" t="s">
        <v>293</v>
      </c>
      <c r="I22" s="128" t="s">
        <v>306</v>
      </c>
      <c r="J22" s="129">
        <v>42006</v>
      </c>
      <c r="L22" s="128" t="s">
        <v>220</v>
      </c>
      <c r="X22" s="128" t="s">
        <v>308</v>
      </c>
      <c r="AI22" s="128">
        <v>1900</v>
      </c>
      <c r="AJ22" s="128">
        <v>20</v>
      </c>
      <c r="AK22" s="128">
        <v>1800</v>
      </c>
      <c r="AL22" s="128">
        <v>1900</v>
      </c>
      <c r="AM22" s="128">
        <v>2000</v>
      </c>
      <c r="AO22" s="128" t="s">
        <v>309</v>
      </c>
      <c r="BL22" s="128" t="s">
        <v>310</v>
      </c>
      <c r="BM22" s="128" t="s">
        <v>279</v>
      </c>
      <c r="BN22" s="128" t="s">
        <v>311</v>
      </c>
      <c r="EK22" s="128">
        <v>1</v>
      </c>
      <c r="EL22" s="128">
        <v>0.7</v>
      </c>
      <c r="EM22" s="128">
        <v>0.7</v>
      </c>
      <c r="EN22" s="128">
        <v>450000</v>
      </c>
      <c r="EO22" s="128">
        <v>450000</v>
      </c>
      <c r="FE22" s="128">
        <v>2</v>
      </c>
      <c r="FF22" s="128">
        <v>1.5</v>
      </c>
      <c r="FG22" s="128">
        <v>1.5</v>
      </c>
      <c r="FH22" s="128">
        <v>1200000</v>
      </c>
      <c r="FI22" s="128">
        <v>1100000</v>
      </c>
      <c r="FO22" s="128">
        <v>1</v>
      </c>
      <c r="FP22" s="128">
        <v>0.5</v>
      </c>
      <c r="FQ22" s="128">
        <v>0</v>
      </c>
      <c r="FR22" s="128">
        <v>450000</v>
      </c>
      <c r="FS22" s="128">
        <v>420000</v>
      </c>
      <c r="IN22" s="128">
        <v>3</v>
      </c>
      <c r="IO22" s="128">
        <v>900</v>
      </c>
      <c r="IP22" s="128">
        <v>0.42899999999999999</v>
      </c>
      <c r="IQ22" s="128">
        <v>360000</v>
      </c>
      <c r="IR22" s="128">
        <v>360000</v>
      </c>
      <c r="KG22" s="128">
        <v>0</v>
      </c>
      <c r="KI22" s="128">
        <v>2.2000000000000002</v>
      </c>
      <c r="KJ22" s="128">
        <v>0</v>
      </c>
      <c r="KK22" s="128">
        <v>0.42899999999999999</v>
      </c>
      <c r="KL22" s="128">
        <v>0</v>
      </c>
      <c r="KM22" s="128">
        <v>2.629</v>
      </c>
      <c r="KN22" s="128">
        <v>2100000</v>
      </c>
      <c r="KO22" s="128">
        <v>1970000</v>
      </c>
      <c r="KP22" s="128">
        <v>1970000</v>
      </c>
      <c r="KT22" s="128">
        <v>0</v>
      </c>
      <c r="KU22" s="128">
        <v>0</v>
      </c>
      <c r="KV22" s="128">
        <v>0</v>
      </c>
      <c r="KZ22" s="128">
        <v>360000</v>
      </c>
      <c r="LA22" s="128">
        <v>360000</v>
      </c>
      <c r="LB22" s="128">
        <v>360000</v>
      </c>
      <c r="LF22" s="128">
        <v>30000</v>
      </c>
      <c r="LG22" s="128">
        <v>20000</v>
      </c>
      <c r="LH22" s="128">
        <v>20000</v>
      </c>
      <c r="LL22" s="128">
        <v>35000</v>
      </c>
      <c r="LM22" s="128">
        <v>35000</v>
      </c>
      <c r="LN22" s="128">
        <v>35000</v>
      </c>
      <c r="LR22" s="128">
        <v>60000</v>
      </c>
      <c r="LS22" s="128">
        <v>60000</v>
      </c>
      <c r="LT22" s="128">
        <v>60000</v>
      </c>
      <c r="LX22" s="128">
        <v>0</v>
      </c>
      <c r="LY22" s="128">
        <v>0</v>
      </c>
      <c r="LZ22" s="128">
        <v>0</v>
      </c>
      <c r="MD22" s="128">
        <v>35000</v>
      </c>
      <c r="ME22" s="128">
        <v>35000</v>
      </c>
      <c r="MF22" s="128">
        <v>35000</v>
      </c>
      <c r="MJ22" s="128">
        <v>0</v>
      </c>
      <c r="MK22" s="128">
        <v>0</v>
      </c>
      <c r="ML22" s="128">
        <v>0</v>
      </c>
      <c r="MP22" s="128">
        <v>29500</v>
      </c>
      <c r="MQ22" s="128">
        <v>20000</v>
      </c>
      <c r="MR22" s="128">
        <v>20000</v>
      </c>
      <c r="MV22" s="128">
        <v>50000</v>
      </c>
      <c r="MW22" s="128">
        <v>45000</v>
      </c>
      <c r="MX22" s="128">
        <v>45000</v>
      </c>
      <c r="NB22" s="128">
        <v>30000</v>
      </c>
      <c r="NC22" s="128">
        <v>25000</v>
      </c>
      <c r="ND22" s="128">
        <v>25000</v>
      </c>
      <c r="NH22" s="128">
        <v>55000</v>
      </c>
      <c r="NI22" s="128">
        <v>50000</v>
      </c>
      <c r="NJ22" s="128">
        <v>50000</v>
      </c>
      <c r="NN22" s="128">
        <v>50000</v>
      </c>
      <c r="NO22" s="128">
        <v>45000</v>
      </c>
      <c r="NP22" s="128">
        <v>45000</v>
      </c>
      <c r="NT22" s="128">
        <v>40000</v>
      </c>
      <c r="NU22" s="128">
        <v>30000</v>
      </c>
      <c r="NV22" s="128">
        <v>30000</v>
      </c>
      <c r="NZ22" s="128">
        <v>35000</v>
      </c>
      <c r="OA22" s="128">
        <v>25000</v>
      </c>
      <c r="OB22" s="128">
        <v>25000</v>
      </c>
      <c r="OF22" s="128">
        <v>45000</v>
      </c>
      <c r="OG22" s="128">
        <v>35000</v>
      </c>
      <c r="OH22" s="128">
        <v>35000</v>
      </c>
      <c r="OL22" s="128">
        <v>0</v>
      </c>
      <c r="OM22" s="128">
        <v>0</v>
      </c>
      <c r="ON22" s="128">
        <v>0</v>
      </c>
      <c r="OR22" s="128">
        <v>0</v>
      </c>
      <c r="OS22" s="128">
        <v>0</v>
      </c>
      <c r="OT22" s="128">
        <v>0</v>
      </c>
      <c r="OX22" s="128">
        <v>20000</v>
      </c>
      <c r="OY22" s="128">
        <v>20000</v>
      </c>
      <c r="OZ22" s="128">
        <v>20000</v>
      </c>
      <c r="PD22" s="128">
        <v>0</v>
      </c>
      <c r="PE22" s="128">
        <v>0</v>
      </c>
      <c r="PF22" s="128">
        <v>0</v>
      </c>
      <c r="PJ22" s="128">
        <v>20000</v>
      </c>
      <c r="PK22" s="128">
        <v>20000</v>
      </c>
      <c r="PL22" s="128">
        <v>20000</v>
      </c>
      <c r="PP22" s="128">
        <v>2994500</v>
      </c>
      <c r="PQ22" s="128">
        <v>2795000</v>
      </c>
      <c r="PR22" s="128">
        <v>2795000</v>
      </c>
      <c r="PS22" s="128">
        <v>100</v>
      </c>
      <c r="PT22" s="128">
        <v>100</v>
      </c>
      <c r="PX22" s="128">
        <v>1164160</v>
      </c>
      <c r="PY22" s="128">
        <v>1372267</v>
      </c>
      <c r="PZ22" s="128">
        <v>2795000</v>
      </c>
      <c r="QA22" s="128">
        <v>0</v>
      </c>
      <c r="QB22" s="128">
        <v>0</v>
      </c>
      <c r="QC22" s="128">
        <v>0</v>
      </c>
      <c r="QD22" s="128">
        <v>0</v>
      </c>
      <c r="QE22" s="128">
        <v>0</v>
      </c>
      <c r="QF22" s="128">
        <v>0</v>
      </c>
      <c r="QG22" s="128">
        <v>0</v>
      </c>
      <c r="QH22" s="128">
        <v>0</v>
      </c>
      <c r="QI22" s="128">
        <v>0</v>
      </c>
      <c r="QJ22" s="128">
        <v>0</v>
      </c>
      <c r="QK22" s="128">
        <v>0</v>
      </c>
      <c r="QL22" s="128">
        <v>0</v>
      </c>
      <c r="QN22" s="128">
        <v>0</v>
      </c>
      <c r="QO22" s="128">
        <v>0</v>
      </c>
      <c r="QP22" s="128">
        <v>0</v>
      </c>
      <c r="QU22" s="128">
        <v>0</v>
      </c>
      <c r="QV22" s="128">
        <v>93000</v>
      </c>
      <c r="QW22" s="128">
        <v>0</v>
      </c>
      <c r="QX22" s="128">
        <v>166800</v>
      </c>
      <c r="QY22" s="128">
        <v>181970</v>
      </c>
      <c r="QZ22" s="128">
        <v>186000</v>
      </c>
      <c r="RD22" s="128">
        <v>18992</v>
      </c>
      <c r="RE22" s="128">
        <v>13500</v>
      </c>
      <c r="RF22" s="128">
        <v>13500</v>
      </c>
      <c r="RH22" s="128">
        <f t="shared" si="104"/>
        <v>2994500</v>
      </c>
      <c r="RI22" s="128">
        <v>0</v>
      </c>
      <c r="RM22" s="128" t="s">
        <v>220</v>
      </c>
      <c r="RU22" s="130"/>
      <c r="RV22" s="130"/>
      <c r="RW22" s="130"/>
      <c r="RX22" s="130"/>
      <c r="SF22" s="128">
        <f t="shared" si="8"/>
        <v>8615860</v>
      </c>
      <c r="SG22" s="131">
        <f t="shared" si="9"/>
        <v>2994500</v>
      </c>
      <c r="SH22" s="131">
        <f t="shared" si="10"/>
        <v>2994500</v>
      </c>
      <c r="SI22" s="131">
        <f t="shared" si="11"/>
        <v>2490000</v>
      </c>
      <c r="SJ22" s="132">
        <f t="shared" si="12"/>
        <v>2100000</v>
      </c>
      <c r="SK22" s="132">
        <f t="shared" si="13"/>
        <v>0</v>
      </c>
      <c r="SL22" s="132">
        <f t="shared" si="14"/>
        <v>360000</v>
      </c>
      <c r="SM22" s="132">
        <f t="shared" si="15"/>
        <v>30000</v>
      </c>
      <c r="SN22" s="131">
        <f t="shared" si="16"/>
        <v>504500</v>
      </c>
      <c r="SO22" s="131">
        <f t="shared" si="17"/>
        <v>95000</v>
      </c>
      <c r="SP22" s="132">
        <f t="shared" si="18"/>
        <v>35000</v>
      </c>
      <c r="SQ22" s="132">
        <f t="shared" si="19"/>
        <v>60000</v>
      </c>
      <c r="SR22" s="132">
        <f t="shared" si="20"/>
        <v>0</v>
      </c>
      <c r="SS22" s="132">
        <f t="shared" si="21"/>
        <v>35000</v>
      </c>
      <c r="ST22" s="132">
        <f t="shared" si="22"/>
        <v>0</v>
      </c>
      <c r="SU22" s="132">
        <f t="shared" si="23"/>
        <v>29500</v>
      </c>
      <c r="SV22" s="131">
        <f t="shared" si="24"/>
        <v>325000</v>
      </c>
      <c r="SW22" s="132">
        <f t="shared" si="25"/>
        <v>50000</v>
      </c>
      <c r="SX22" s="132">
        <f t="shared" si="26"/>
        <v>30000</v>
      </c>
      <c r="SY22" s="132">
        <f t="shared" si="27"/>
        <v>55000</v>
      </c>
      <c r="SZ22" s="132">
        <f t="shared" si="28"/>
        <v>50000</v>
      </c>
      <c r="TA22" s="132">
        <f t="shared" si="29"/>
        <v>40000</v>
      </c>
      <c r="TB22" s="132">
        <f t="shared" si="30"/>
        <v>35000</v>
      </c>
      <c r="TC22" s="132">
        <f t="shared" si="31"/>
        <v>45000</v>
      </c>
      <c r="TD22" s="132">
        <f t="shared" si="32"/>
        <v>0</v>
      </c>
      <c r="TE22" s="132">
        <f t="shared" si="33"/>
        <v>0</v>
      </c>
      <c r="TF22" s="132">
        <f t="shared" si="34"/>
        <v>20000</v>
      </c>
      <c r="TG22" s="132">
        <f t="shared" si="35"/>
        <v>0</v>
      </c>
      <c r="TH22" s="132">
        <f t="shared" si="36"/>
        <v>20000</v>
      </c>
      <c r="TI22" s="1"/>
      <c r="TJ22" s="131">
        <f t="shared" si="37"/>
        <v>2795000</v>
      </c>
      <c r="TK22" s="131">
        <f t="shared" si="38"/>
        <v>2795000</v>
      </c>
      <c r="TL22" s="131">
        <f t="shared" si="39"/>
        <v>2350000</v>
      </c>
      <c r="TM22" s="132">
        <f t="shared" si="40"/>
        <v>1970000</v>
      </c>
      <c r="TN22" s="132">
        <f t="shared" si="41"/>
        <v>0</v>
      </c>
      <c r="TO22" s="132">
        <f t="shared" si="42"/>
        <v>360000</v>
      </c>
      <c r="TP22" s="132">
        <f t="shared" si="43"/>
        <v>20000</v>
      </c>
      <c r="TQ22" s="131">
        <f t="shared" si="44"/>
        <v>445000</v>
      </c>
      <c r="TR22" s="131">
        <f t="shared" si="45"/>
        <v>95000</v>
      </c>
      <c r="TS22" s="132">
        <f t="shared" si="46"/>
        <v>35000</v>
      </c>
      <c r="TT22" s="132">
        <f t="shared" si="47"/>
        <v>60000</v>
      </c>
      <c r="TU22" s="132">
        <f t="shared" si="48"/>
        <v>0</v>
      </c>
      <c r="TV22" s="132">
        <f t="shared" si="49"/>
        <v>35000</v>
      </c>
      <c r="TW22" s="132">
        <f t="shared" si="50"/>
        <v>0</v>
      </c>
      <c r="TX22" s="132">
        <f t="shared" si="51"/>
        <v>20000</v>
      </c>
      <c r="TY22" s="131">
        <f t="shared" si="52"/>
        <v>275000</v>
      </c>
      <c r="TZ22" s="132">
        <f t="shared" si="53"/>
        <v>45000</v>
      </c>
      <c r="UA22" s="132">
        <f t="shared" si="54"/>
        <v>25000</v>
      </c>
      <c r="UB22" s="132">
        <f t="shared" si="55"/>
        <v>50000</v>
      </c>
      <c r="UC22" s="132">
        <f t="shared" si="56"/>
        <v>45000</v>
      </c>
      <c r="UD22" s="132">
        <f t="shared" si="57"/>
        <v>30000</v>
      </c>
      <c r="UE22" s="132">
        <f t="shared" si="58"/>
        <v>25000</v>
      </c>
      <c r="UF22" s="132">
        <f t="shared" si="59"/>
        <v>35000</v>
      </c>
      <c r="UG22" s="132">
        <f t="shared" si="60"/>
        <v>0</v>
      </c>
      <c r="UH22" s="132">
        <f t="shared" si="61"/>
        <v>0</v>
      </c>
      <c r="UI22" s="132">
        <f t="shared" si="62"/>
        <v>20000</v>
      </c>
      <c r="UJ22" s="132">
        <f t="shared" si="63"/>
        <v>0</v>
      </c>
      <c r="UK22" s="132">
        <f t="shared" si="64"/>
        <v>20000</v>
      </c>
      <c r="UL22" s="132">
        <f t="shared" si="105"/>
        <v>2795000</v>
      </c>
      <c r="UM22" s="131">
        <f t="shared" si="65"/>
        <v>2795000</v>
      </c>
      <c r="UN22" s="131">
        <f t="shared" si="66"/>
        <v>2795000</v>
      </c>
      <c r="UO22" s="131">
        <f t="shared" si="67"/>
        <v>2350000</v>
      </c>
      <c r="UP22" s="132">
        <f t="shared" si="68"/>
        <v>1970000</v>
      </c>
      <c r="UQ22" s="132">
        <f t="shared" si="69"/>
        <v>0</v>
      </c>
      <c r="UR22" s="132">
        <f t="shared" si="70"/>
        <v>360000</v>
      </c>
      <c r="US22" s="132">
        <f t="shared" si="71"/>
        <v>20000</v>
      </c>
      <c r="UT22" s="131">
        <f t="shared" si="72"/>
        <v>445000</v>
      </c>
      <c r="UU22" s="131">
        <f t="shared" si="73"/>
        <v>95000</v>
      </c>
      <c r="UV22" s="132">
        <f t="shared" si="74"/>
        <v>35000</v>
      </c>
      <c r="UW22" s="132">
        <f t="shared" si="75"/>
        <v>60000</v>
      </c>
      <c r="UX22" s="132">
        <f t="shared" si="76"/>
        <v>0</v>
      </c>
      <c r="UY22" s="132">
        <f t="shared" si="77"/>
        <v>35000</v>
      </c>
      <c r="UZ22" s="132">
        <f t="shared" si="78"/>
        <v>0</v>
      </c>
      <c r="VA22" s="132">
        <f t="shared" si="79"/>
        <v>20000</v>
      </c>
      <c r="VB22" s="131">
        <f t="shared" si="80"/>
        <v>275000</v>
      </c>
      <c r="VC22" s="132">
        <f t="shared" si="81"/>
        <v>45000</v>
      </c>
      <c r="VD22" s="132">
        <f t="shared" si="82"/>
        <v>25000</v>
      </c>
      <c r="VE22" s="132">
        <f t="shared" si="83"/>
        <v>50000</v>
      </c>
      <c r="VF22" s="132">
        <f t="shared" si="84"/>
        <v>45000</v>
      </c>
      <c r="VG22" s="132">
        <f t="shared" si="85"/>
        <v>30000</v>
      </c>
      <c r="VH22" s="132">
        <f t="shared" si="86"/>
        <v>25000</v>
      </c>
      <c r="VI22" s="132">
        <f t="shared" si="87"/>
        <v>35000</v>
      </c>
      <c r="VJ22" s="132">
        <f t="shared" si="88"/>
        <v>0</v>
      </c>
      <c r="VK22" s="132">
        <f t="shared" si="89"/>
        <v>0</v>
      </c>
      <c r="VL22" s="132">
        <f t="shared" si="90"/>
        <v>20000</v>
      </c>
      <c r="VM22" s="132">
        <f t="shared" si="91"/>
        <v>0</v>
      </c>
      <c r="VN22" s="132">
        <f t="shared" si="92"/>
        <v>20000</v>
      </c>
      <c r="VP22" s="845" t="str">
        <f>IFERROR(HLOOKUP(F22,'Hodnocení '!$C$1:$JH$5,2,FALSE),0)</f>
        <v>Manželská a rodinná poradna</v>
      </c>
      <c r="VQ22" s="838"/>
      <c r="VR22" s="845" t="str">
        <f t="shared" si="106"/>
        <v>Spolek</v>
      </c>
      <c r="VS22" s="845" t="str">
        <f>IFERROR(HLOOKUP(F22,'Hodnocení '!$C$1:$JH$5,5,FALSE),0)</f>
        <v>NZO</v>
      </c>
      <c r="VT22" s="838">
        <f t="shared" si="107"/>
        <v>0</v>
      </c>
      <c r="VU22" s="838">
        <f t="shared" si="108"/>
        <v>0</v>
      </c>
      <c r="VV22" s="838">
        <f t="shared" si="109"/>
        <v>0</v>
      </c>
      <c r="VW22" s="838">
        <f t="shared" si="110"/>
        <v>0</v>
      </c>
      <c r="VX22" s="838"/>
      <c r="VY22" s="838">
        <f t="shared" ref="VY22:VY85" si="114">VZ22-WA22</f>
        <v>0</v>
      </c>
      <c r="VZ22" s="838">
        <f t="shared" ref="VZ22:VZ85" si="115">UM22-VM22</f>
        <v>2795000</v>
      </c>
      <c r="WA22" s="846">
        <f>IFERROR(HLOOKUP($F22,'Hodnocení '!$C$1:$JH$9,9,FALSE),0)</f>
        <v>2795000</v>
      </c>
      <c r="WB22" s="846">
        <f>IF(IFERROR(HLOOKUP($F22,'Hodnocení '!$C$1:$JH$13,13,FALSE),0)&gt;WA22,WA22,IFERROR(HLOOKUP($F22,'Hodnocení '!$C$1:$JH$13,13,FALSE),0))</f>
        <v>2005488.4791010155</v>
      </c>
      <c r="WC22" s="846">
        <f>IFERROR(HLOOKUP($F22,'Hodnocení '!$C$1:$JH$155,155,FALSE),0)</f>
        <v>1836490</v>
      </c>
      <c r="WD22" s="845"/>
      <c r="WE22" s="845"/>
      <c r="WF22" s="845" t="str">
        <f t="shared" si="97"/>
        <v>ANO</v>
      </c>
      <c r="WG22" s="849" t="str">
        <f t="shared" si="98"/>
        <v>Podpora služby je vyjádřena zařazením do sítě sociálních služeb v KHK a řešením financování služby</v>
      </c>
      <c r="WH22" s="849" t="str">
        <f t="shared" si="9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2" s="849" t="str">
        <f t="shared" si="98"/>
        <v>Návrh dotace je výsledkem projednání s ostatními zadavateli v rámci sítě služeb KHK</v>
      </c>
      <c r="WJ22" s="849" t="str">
        <f t="shared" si="98"/>
        <v>Bez komentáře</v>
      </c>
      <c r="WK22" s="31">
        <f t="shared" si="99"/>
        <v>0</v>
      </c>
      <c r="WL22" s="850">
        <f t="shared" si="100"/>
        <v>0</v>
      </c>
      <c r="WM22" s="849">
        <f t="shared" si="101"/>
        <v>0</v>
      </c>
      <c r="WN22" s="849">
        <f t="shared" si="102"/>
        <v>0</v>
      </c>
      <c r="WO22" s="849" t="str">
        <f t="shared" si="113"/>
        <v>bez komentáře</v>
      </c>
      <c r="WP22" s="849" t="str">
        <f t="shared" si="113"/>
        <v>bez komentáře</v>
      </c>
      <c r="WQ22" s="849" t="str">
        <f t="shared" si="113"/>
        <v>Konečná výše dotace z rozpočtu KHK bude řešena v návaznosti na řešení podílů jednotlivých zadavatelů.</v>
      </c>
      <c r="WR22" s="849" t="str">
        <f t="shared" si="113"/>
        <v>Konečná výše podpory ze stran obcí bude řešena v součinnosti s jednotlivými zadavateli v průběhu roku.</v>
      </c>
      <c r="WS22" s="849" t="str">
        <f t="shared" si="113"/>
        <v>bez komentáře</v>
      </c>
      <c r="WT22" s="849" t="str">
        <f t="shared" si="113"/>
        <v>bez komentáře</v>
      </c>
      <c r="WU22" s="845"/>
    </row>
    <row r="23" spans="1:619" s="128" customFormat="1" x14ac:dyDescent="0.25">
      <c r="A23" s="128" t="str">
        <f>VLOOKUP(F23,'Výpočet VP 2020'!$D$324:$I$588,6,FALSE)</f>
        <v>Je v síti</v>
      </c>
      <c r="B23" s="128" t="s">
        <v>312</v>
      </c>
      <c r="C23" s="128">
        <v>25999044</v>
      </c>
      <c r="D23" s="128" t="s">
        <v>313</v>
      </c>
      <c r="E23" s="128" t="s">
        <v>216</v>
      </c>
      <c r="F23" s="128">
        <v>4309907</v>
      </c>
      <c r="G23" s="128" t="s">
        <v>292</v>
      </c>
      <c r="H23" s="128" t="s">
        <v>293</v>
      </c>
      <c r="I23" s="128" t="s">
        <v>314</v>
      </c>
      <c r="J23" s="129">
        <v>39083</v>
      </c>
      <c r="L23" s="128" t="s">
        <v>220</v>
      </c>
      <c r="X23" s="128" t="s">
        <v>315</v>
      </c>
      <c r="AI23" s="128">
        <v>2160</v>
      </c>
      <c r="AJ23" s="128">
        <v>12</v>
      </c>
      <c r="AK23" s="128">
        <v>1530</v>
      </c>
      <c r="AL23" s="128">
        <v>1527</v>
      </c>
      <c r="AM23" s="128">
        <v>1550</v>
      </c>
      <c r="AO23" s="128" t="s">
        <v>316</v>
      </c>
      <c r="BL23" s="128" t="s">
        <v>317</v>
      </c>
      <c r="BM23" s="128" t="s">
        <v>279</v>
      </c>
      <c r="BN23" s="128" t="s">
        <v>299</v>
      </c>
      <c r="EK23" s="128">
        <v>1</v>
      </c>
      <c r="EL23" s="128">
        <v>0.6</v>
      </c>
      <c r="EM23" s="128">
        <v>0.6</v>
      </c>
      <c r="EN23" s="128">
        <v>383500</v>
      </c>
      <c r="EO23" s="128">
        <v>355500</v>
      </c>
      <c r="FE23" s="128">
        <v>3</v>
      </c>
      <c r="FF23" s="128">
        <v>2.5</v>
      </c>
      <c r="FG23" s="128">
        <v>2</v>
      </c>
      <c r="FH23" s="128">
        <v>1197000</v>
      </c>
      <c r="FI23" s="128">
        <v>1100000</v>
      </c>
      <c r="FJ23" s="128">
        <v>1</v>
      </c>
      <c r="FK23" s="128">
        <v>0.5</v>
      </c>
      <c r="FL23" s="128">
        <v>0.9</v>
      </c>
      <c r="FM23" s="128">
        <v>452400</v>
      </c>
      <c r="FN23" s="128">
        <v>450000</v>
      </c>
      <c r="FO23" s="128">
        <v>2</v>
      </c>
      <c r="FP23" s="128">
        <v>0.04</v>
      </c>
      <c r="FQ23" s="128">
        <v>0.19</v>
      </c>
      <c r="FR23" s="128">
        <v>23000</v>
      </c>
      <c r="FS23" s="128">
        <v>12000</v>
      </c>
      <c r="IS23" s="128">
        <v>1</v>
      </c>
      <c r="IT23" s="128">
        <v>180</v>
      </c>
      <c r="IU23" s="128">
        <v>8.5999999999999993E-2</v>
      </c>
      <c r="IV23" s="128">
        <v>14400</v>
      </c>
      <c r="IW23" s="128">
        <v>0</v>
      </c>
      <c r="KG23" s="128">
        <v>0</v>
      </c>
      <c r="KI23" s="128">
        <v>3.6</v>
      </c>
      <c r="KJ23" s="128">
        <v>0</v>
      </c>
      <c r="KK23" s="128">
        <v>0</v>
      </c>
      <c r="KL23" s="128">
        <v>0</v>
      </c>
      <c r="KM23" s="128">
        <v>3.6</v>
      </c>
      <c r="KN23" s="128">
        <v>2055900</v>
      </c>
      <c r="KO23" s="128">
        <v>1917500</v>
      </c>
      <c r="KP23" s="128">
        <v>1917500</v>
      </c>
      <c r="KT23" s="128">
        <v>0</v>
      </c>
      <c r="KU23" s="128">
        <v>0</v>
      </c>
      <c r="KV23" s="128">
        <v>0</v>
      </c>
      <c r="KZ23" s="128">
        <v>14400</v>
      </c>
      <c r="LA23" s="128">
        <v>0</v>
      </c>
      <c r="LB23" s="128">
        <v>0</v>
      </c>
      <c r="LF23" s="128">
        <v>95000</v>
      </c>
      <c r="LG23" s="128">
        <v>0</v>
      </c>
      <c r="LH23" s="128">
        <v>0</v>
      </c>
      <c r="LL23" s="128">
        <v>0</v>
      </c>
      <c r="LM23" s="128">
        <v>0</v>
      </c>
      <c r="LN23" s="128">
        <v>0</v>
      </c>
      <c r="LR23" s="128">
        <v>48000</v>
      </c>
      <c r="LS23" s="128">
        <v>15000</v>
      </c>
      <c r="LT23" s="128">
        <v>15000</v>
      </c>
      <c r="LX23" s="128">
        <v>0</v>
      </c>
      <c r="LY23" s="128">
        <v>0</v>
      </c>
      <c r="LZ23" s="128">
        <v>0</v>
      </c>
      <c r="MD23" s="128">
        <v>4500</v>
      </c>
      <c r="ME23" s="128">
        <v>0</v>
      </c>
      <c r="MF23" s="128">
        <v>0</v>
      </c>
      <c r="MJ23" s="128">
        <v>2500</v>
      </c>
      <c r="MK23" s="128">
        <v>0</v>
      </c>
      <c r="ML23" s="128">
        <v>0</v>
      </c>
      <c r="MP23" s="128">
        <v>10000</v>
      </c>
      <c r="MQ23" s="128">
        <v>2000</v>
      </c>
      <c r="MR23" s="128">
        <v>2000</v>
      </c>
      <c r="MV23" s="128">
        <v>32000</v>
      </c>
      <c r="MW23" s="128">
        <v>30000</v>
      </c>
      <c r="MX23" s="128">
        <v>30000</v>
      </c>
      <c r="NB23" s="128">
        <v>18000</v>
      </c>
      <c r="NC23" s="128">
        <v>5000</v>
      </c>
      <c r="ND23" s="128">
        <v>5000</v>
      </c>
      <c r="NH23" s="128">
        <v>85500</v>
      </c>
      <c r="NI23" s="128">
        <v>50000</v>
      </c>
      <c r="NJ23" s="128">
        <v>50000</v>
      </c>
      <c r="NN23" s="128">
        <v>150000</v>
      </c>
      <c r="NO23" s="128">
        <v>50000</v>
      </c>
      <c r="NP23" s="128">
        <v>50000</v>
      </c>
      <c r="NT23" s="128">
        <v>35000</v>
      </c>
      <c r="NU23" s="128">
        <v>15000</v>
      </c>
      <c r="NV23" s="128">
        <v>15000</v>
      </c>
      <c r="NZ23" s="128">
        <v>10000</v>
      </c>
      <c r="OA23" s="128">
        <v>3000</v>
      </c>
      <c r="OB23" s="128">
        <v>3000</v>
      </c>
      <c r="OF23" s="128">
        <v>9500</v>
      </c>
      <c r="OG23" s="128">
        <v>3500</v>
      </c>
      <c r="OH23" s="128">
        <v>3500</v>
      </c>
      <c r="OL23" s="128">
        <v>0</v>
      </c>
      <c r="OM23" s="128">
        <v>0</v>
      </c>
      <c r="ON23" s="128">
        <v>0</v>
      </c>
      <c r="OR23" s="128">
        <v>0</v>
      </c>
      <c r="OS23" s="128">
        <v>0</v>
      </c>
      <c r="OT23" s="128">
        <v>0</v>
      </c>
      <c r="OX23" s="128">
        <v>5300</v>
      </c>
      <c r="OY23" s="128">
        <v>0</v>
      </c>
      <c r="OZ23" s="128">
        <v>0</v>
      </c>
      <c r="PD23" s="128">
        <v>0</v>
      </c>
      <c r="PE23" s="128">
        <v>0</v>
      </c>
      <c r="PF23" s="128">
        <v>0</v>
      </c>
      <c r="PJ23" s="128">
        <v>0</v>
      </c>
      <c r="PK23" s="128">
        <v>0</v>
      </c>
      <c r="PL23" s="128">
        <v>0</v>
      </c>
      <c r="PP23" s="128">
        <v>2575600</v>
      </c>
      <c r="PQ23" s="128">
        <v>2091000</v>
      </c>
      <c r="PR23" s="128">
        <v>2091000</v>
      </c>
      <c r="PS23" s="128">
        <v>100</v>
      </c>
      <c r="PT23" s="128">
        <v>100</v>
      </c>
      <c r="PX23" s="128">
        <v>1726120</v>
      </c>
      <c r="PY23" s="128">
        <v>1903000</v>
      </c>
      <c r="PZ23" s="128">
        <v>2091000</v>
      </c>
      <c r="QA23" s="128">
        <v>0</v>
      </c>
      <c r="QB23" s="128">
        <v>0</v>
      </c>
      <c r="QC23" s="128">
        <v>0</v>
      </c>
      <c r="QD23" s="128">
        <v>0</v>
      </c>
      <c r="QE23" s="128">
        <v>0</v>
      </c>
      <c r="QF23" s="128">
        <v>0</v>
      </c>
      <c r="QG23" s="128">
        <v>0</v>
      </c>
      <c r="QH23" s="128">
        <v>0</v>
      </c>
      <c r="QI23" s="128">
        <v>0</v>
      </c>
      <c r="QJ23" s="128">
        <v>0</v>
      </c>
      <c r="QK23" s="128">
        <v>0</v>
      </c>
      <c r="QL23" s="128">
        <v>0</v>
      </c>
      <c r="QN23" s="128">
        <v>0</v>
      </c>
      <c r="QO23" s="128">
        <v>0</v>
      </c>
      <c r="QP23" s="128">
        <v>0</v>
      </c>
      <c r="QU23" s="128">
        <v>247274</v>
      </c>
      <c r="QV23" s="128">
        <v>183425</v>
      </c>
      <c r="QW23" s="128">
        <v>139600</v>
      </c>
      <c r="QX23" s="128">
        <v>353636</v>
      </c>
      <c r="QY23" s="128">
        <v>368000</v>
      </c>
      <c r="QZ23" s="128">
        <v>345000</v>
      </c>
      <c r="RD23" s="128">
        <v>26741</v>
      </c>
      <c r="RE23" s="128">
        <v>12000</v>
      </c>
      <c r="RF23" s="128">
        <v>0</v>
      </c>
      <c r="RH23" s="128">
        <f t="shared" si="104"/>
        <v>2575600</v>
      </c>
      <c r="RI23" s="128">
        <v>0</v>
      </c>
      <c r="RM23" s="128" t="s">
        <v>220</v>
      </c>
      <c r="RU23" s="130"/>
      <c r="RV23" s="130"/>
      <c r="RW23" s="130"/>
      <c r="RX23" s="130"/>
      <c r="SF23" s="128">
        <f t="shared" si="8"/>
        <v>4309907</v>
      </c>
      <c r="SG23" s="131">
        <f t="shared" si="9"/>
        <v>2575600</v>
      </c>
      <c r="SH23" s="131">
        <f t="shared" si="10"/>
        <v>2575600</v>
      </c>
      <c r="SI23" s="131">
        <f t="shared" si="11"/>
        <v>2165300</v>
      </c>
      <c r="SJ23" s="132">
        <f t="shared" si="12"/>
        <v>2055900</v>
      </c>
      <c r="SK23" s="132">
        <f t="shared" si="13"/>
        <v>0</v>
      </c>
      <c r="SL23" s="132">
        <f t="shared" si="14"/>
        <v>14400</v>
      </c>
      <c r="SM23" s="132">
        <f t="shared" si="15"/>
        <v>95000</v>
      </c>
      <c r="SN23" s="131">
        <f t="shared" si="16"/>
        <v>410300</v>
      </c>
      <c r="SO23" s="131">
        <f t="shared" si="17"/>
        <v>48000</v>
      </c>
      <c r="SP23" s="132">
        <f t="shared" si="18"/>
        <v>0</v>
      </c>
      <c r="SQ23" s="132">
        <f t="shared" si="19"/>
        <v>48000</v>
      </c>
      <c r="SR23" s="132">
        <f t="shared" si="20"/>
        <v>0</v>
      </c>
      <c r="SS23" s="132">
        <f t="shared" si="21"/>
        <v>4500</v>
      </c>
      <c r="ST23" s="132">
        <f t="shared" si="22"/>
        <v>2500</v>
      </c>
      <c r="SU23" s="132">
        <f t="shared" si="23"/>
        <v>10000</v>
      </c>
      <c r="SV23" s="131">
        <f t="shared" si="24"/>
        <v>345300</v>
      </c>
      <c r="SW23" s="132">
        <f t="shared" si="25"/>
        <v>32000</v>
      </c>
      <c r="SX23" s="132">
        <f t="shared" si="26"/>
        <v>18000</v>
      </c>
      <c r="SY23" s="132">
        <f t="shared" si="27"/>
        <v>85500</v>
      </c>
      <c r="SZ23" s="132">
        <f t="shared" si="28"/>
        <v>150000</v>
      </c>
      <c r="TA23" s="132">
        <f t="shared" si="29"/>
        <v>35000</v>
      </c>
      <c r="TB23" s="132">
        <f t="shared" si="30"/>
        <v>10000</v>
      </c>
      <c r="TC23" s="132">
        <f t="shared" si="31"/>
        <v>9500</v>
      </c>
      <c r="TD23" s="132">
        <f t="shared" si="32"/>
        <v>0</v>
      </c>
      <c r="TE23" s="132">
        <f t="shared" si="33"/>
        <v>0</v>
      </c>
      <c r="TF23" s="132">
        <f t="shared" si="34"/>
        <v>5300</v>
      </c>
      <c r="TG23" s="132">
        <f t="shared" si="35"/>
        <v>0</v>
      </c>
      <c r="TH23" s="132">
        <f t="shared" si="36"/>
        <v>0</v>
      </c>
      <c r="TI23" s="1"/>
      <c r="TJ23" s="131">
        <f t="shared" si="37"/>
        <v>2091000</v>
      </c>
      <c r="TK23" s="131">
        <f t="shared" si="38"/>
        <v>2091000</v>
      </c>
      <c r="TL23" s="131">
        <f t="shared" si="39"/>
        <v>1917500</v>
      </c>
      <c r="TM23" s="132">
        <f t="shared" si="40"/>
        <v>1917500</v>
      </c>
      <c r="TN23" s="132">
        <f t="shared" si="41"/>
        <v>0</v>
      </c>
      <c r="TO23" s="132">
        <f t="shared" si="42"/>
        <v>0</v>
      </c>
      <c r="TP23" s="132">
        <f t="shared" si="43"/>
        <v>0</v>
      </c>
      <c r="TQ23" s="131">
        <f t="shared" si="44"/>
        <v>173500</v>
      </c>
      <c r="TR23" s="131">
        <f t="shared" si="45"/>
        <v>15000</v>
      </c>
      <c r="TS23" s="132">
        <f t="shared" si="46"/>
        <v>0</v>
      </c>
      <c r="TT23" s="132">
        <f t="shared" si="47"/>
        <v>15000</v>
      </c>
      <c r="TU23" s="132">
        <f t="shared" si="48"/>
        <v>0</v>
      </c>
      <c r="TV23" s="132">
        <f t="shared" si="49"/>
        <v>0</v>
      </c>
      <c r="TW23" s="132">
        <f t="shared" si="50"/>
        <v>0</v>
      </c>
      <c r="TX23" s="132">
        <f t="shared" si="51"/>
        <v>2000</v>
      </c>
      <c r="TY23" s="131">
        <f t="shared" si="52"/>
        <v>156500</v>
      </c>
      <c r="TZ23" s="132">
        <f t="shared" si="53"/>
        <v>30000</v>
      </c>
      <c r="UA23" s="132">
        <f t="shared" si="54"/>
        <v>5000</v>
      </c>
      <c r="UB23" s="132">
        <f t="shared" si="55"/>
        <v>50000</v>
      </c>
      <c r="UC23" s="132">
        <f t="shared" si="56"/>
        <v>50000</v>
      </c>
      <c r="UD23" s="132">
        <f t="shared" si="57"/>
        <v>15000</v>
      </c>
      <c r="UE23" s="132">
        <f t="shared" si="58"/>
        <v>3000</v>
      </c>
      <c r="UF23" s="132">
        <f t="shared" si="59"/>
        <v>3500</v>
      </c>
      <c r="UG23" s="132">
        <f t="shared" si="60"/>
        <v>0</v>
      </c>
      <c r="UH23" s="132">
        <f t="shared" si="61"/>
        <v>0</v>
      </c>
      <c r="UI23" s="132">
        <f t="shared" si="62"/>
        <v>0</v>
      </c>
      <c r="UJ23" s="132">
        <f t="shared" si="63"/>
        <v>0</v>
      </c>
      <c r="UK23" s="132">
        <f t="shared" si="64"/>
        <v>0</v>
      </c>
      <c r="UL23" s="132">
        <f t="shared" si="105"/>
        <v>2091000</v>
      </c>
      <c r="UM23" s="131">
        <f t="shared" si="65"/>
        <v>2091000</v>
      </c>
      <c r="UN23" s="131">
        <f t="shared" si="66"/>
        <v>2091000</v>
      </c>
      <c r="UO23" s="131">
        <f t="shared" si="67"/>
        <v>1917500</v>
      </c>
      <c r="UP23" s="132">
        <f t="shared" si="68"/>
        <v>1917500</v>
      </c>
      <c r="UQ23" s="132">
        <f t="shared" si="69"/>
        <v>0</v>
      </c>
      <c r="UR23" s="132">
        <f t="shared" si="70"/>
        <v>0</v>
      </c>
      <c r="US23" s="132">
        <f t="shared" si="71"/>
        <v>0</v>
      </c>
      <c r="UT23" s="131">
        <f t="shared" si="72"/>
        <v>173500</v>
      </c>
      <c r="UU23" s="131">
        <f t="shared" si="73"/>
        <v>15000</v>
      </c>
      <c r="UV23" s="132">
        <f t="shared" si="74"/>
        <v>0</v>
      </c>
      <c r="UW23" s="132">
        <f t="shared" si="75"/>
        <v>15000</v>
      </c>
      <c r="UX23" s="132">
        <f t="shared" si="76"/>
        <v>0</v>
      </c>
      <c r="UY23" s="132">
        <f t="shared" si="77"/>
        <v>0</v>
      </c>
      <c r="UZ23" s="132">
        <f t="shared" si="78"/>
        <v>0</v>
      </c>
      <c r="VA23" s="132">
        <f t="shared" si="79"/>
        <v>2000</v>
      </c>
      <c r="VB23" s="131">
        <f t="shared" si="80"/>
        <v>156500</v>
      </c>
      <c r="VC23" s="132">
        <f t="shared" si="81"/>
        <v>30000</v>
      </c>
      <c r="VD23" s="132">
        <f t="shared" si="82"/>
        <v>5000</v>
      </c>
      <c r="VE23" s="132">
        <f t="shared" si="83"/>
        <v>50000</v>
      </c>
      <c r="VF23" s="132">
        <f t="shared" si="84"/>
        <v>50000</v>
      </c>
      <c r="VG23" s="132">
        <f t="shared" si="85"/>
        <v>15000</v>
      </c>
      <c r="VH23" s="132">
        <f t="shared" si="86"/>
        <v>3000</v>
      </c>
      <c r="VI23" s="132">
        <f t="shared" si="87"/>
        <v>3500</v>
      </c>
      <c r="VJ23" s="132">
        <f t="shared" si="88"/>
        <v>0</v>
      </c>
      <c r="VK23" s="132">
        <f t="shared" si="89"/>
        <v>0</v>
      </c>
      <c r="VL23" s="132">
        <f t="shared" si="90"/>
        <v>0</v>
      </c>
      <c r="VM23" s="132">
        <f t="shared" si="91"/>
        <v>0</v>
      </c>
      <c r="VN23" s="132">
        <f t="shared" si="92"/>
        <v>0</v>
      </c>
      <c r="VP23" s="845" t="str">
        <f>IFERROR(HLOOKUP(F23,'Hodnocení '!$C$1:$JH$5,2,FALSE),0)</f>
        <v>Manželská a rodinná poradna Hradec Králové</v>
      </c>
      <c r="VQ23" s="838"/>
      <c r="VR23" s="845" t="str">
        <f t="shared" si="106"/>
        <v>Obecně prospěšná společnost</v>
      </c>
      <c r="VS23" s="845" t="str">
        <f>IFERROR(HLOOKUP(F23,'Hodnocení '!$C$1:$JH$5,5,FALSE),0)</f>
        <v>NZO</v>
      </c>
      <c r="VT23" s="838">
        <f t="shared" si="107"/>
        <v>0</v>
      </c>
      <c r="VU23" s="838">
        <f t="shared" si="108"/>
        <v>0</v>
      </c>
      <c r="VV23" s="838">
        <f t="shared" si="109"/>
        <v>0</v>
      </c>
      <c r="VW23" s="838">
        <f t="shared" si="110"/>
        <v>0</v>
      </c>
      <c r="VX23" s="838"/>
      <c r="VY23" s="838">
        <f t="shared" si="114"/>
        <v>0</v>
      </c>
      <c r="VZ23" s="838">
        <f t="shared" si="115"/>
        <v>2091000</v>
      </c>
      <c r="WA23" s="846">
        <f>IFERROR(HLOOKUP($F23,'Hodnocení '!$C$1:$JH$9,9,FALSE),0)</f>
        <v>2091000</v>
      </c>
      <c r="WB23" s="846">
        <f>IF(IFERROR(HLOOKUP($F23,'Hodnocení '!$C$1:$JH$13,13,FALSE),0)&gt;WA23,WA23,IFERROR(HLOOKUP($F23,'Hodnocení '!$C$1:$JH$13,13,FALSE),0))</f>
        <v>2091000</v>
      </c>
      <c r="WC23" s="846">
        <f>IFERROR(HLOOKUP($F23,'Hodnocení '!$C$1:$JH$155,155,FALSE),0)</f>
        <v>2030000</v>
      </c>
      <c r="WD23" s="845"/>
      <c r="WE23" s="845"/>
      <c r="WF23" s="845" t="str">
        <f t="shared" si="97"/>
        <v>ANO</v>
      </c>
      <c r="WG23" s="849" t="str">
        <f t="shared" si="98"/>
        <v>Podpora služby je vyjádřena zařazením do sítě sociálních služeb v KHK a řešením financování služby</v>
      </c>
      <c r="WH23" s="849" t="str">
        <f t="shared" si="9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3" s="849" t="str">
        <f t="shared" si="98"/>
        <v>Návrh dotace je výsledkem projednání s ostatními zadavateli v rámci sítě služeb KHK</v>
      </c>
      <c r="WJ23" s="849" t="str">
        <f t="shared" si="98"/>
        <v>Bez komentáře</v>
      </c>
      <c r="WK23" s="31">
        <f t="shared" si="99"/>
        <v>0</v>
      </c>
      <c r="WL23" s="850">
        <f t="shared" si="100"/>
        <v>0</v>
      </c>
      <c r="WM23" s="849">
        <f t="shared" si="101"/>
        <v>0</v>
      </c>
      <c r="WN23" s="849">
        <f t="shared" si="102"/>
        <v>0</v>
      </c>
      <c r="WO23" s="849" t="str">
        <f t="shared" si="113"/>
        <v>bez komentáře</v>
      </c>
      <c r="WP23" s="849" t="str">
        <f t="shared" si="113"/>
        <v>bez komentáře</v>
      </c>
      <c r="WQ23" s="849" t="str">
        <f t="shared" si="113"/>
        <v>Konečná výše dotace z rozpočtu KHK bude řešena v návaznosti na řešení podílů jednotlivých zadavatelů.</v>
      </c>
      <c r="WR23" s="849" t="str">
        <f t="shared" si="113"/>
        <v>Konečná výše podpory ze stran obcí bude řešena v součinnosti s jednotlivými zadavateli v průběhu roku.</v>
      </c>
      <c r="WS23" s="849" t="str">
        <f t="shared" si="113"/>
        <v>bez komentáře</v>
      </c>
      <c r="WT23" s="849" t="str">
        <f t="shared" si="113"/>
        <v>bez komentáře</v>
      </c>
      <c r="WU23" s="845"/>
    </row>
    <row r="24" spans="1:619" s="128" customFormat="1" x14ac:dyDescent="0.25">
      <c r="A24" s="128" t="str">
        <f>VLOOKUP(F24,'Výpočet VP 2020'!$D$324:$I$588,6,FALSE)</f>
        <v>Je v síti</v>
      </c>
      <c r="B24" s="128" t="s">
        <v>312</v>
      </c>
      <c r="C24" s="128">
        <v>25999044</v>
      </c>
      <c r="D24" s="128" t="s">
        <v>313</v>
      </c>
      <c r="E24" s="128" t="s">
        <v>216</v>
      </c>
      <c r="F24" s="128">
        <v>5792625</v>
      </c>
      <c r="G24" s="128" t="s">
        <v>292</v>
      </c>
      <c r="H24" s="128" t="s">
        <v>293</v>
      </c>
      <c r="I24" s="128" t="s">
        <v>318</v>
      </c>
      <c r="J24" s="129">
        <v>39083</v>
      </c>
      <c r="L24" s="128" t="s">
        <v>220</v>
      </c>
      <c r="X24" s="128" t="s">
        <v>227</v>
      </c>
      <c r="AI24" s="128">
        <v>1335</v>
      </c>
      <c r="AJ24" s="128">
        <v>8</v>
      </c>
      <c r="AK24" s="128">
        <v>1325</v>
      </c>
      <c r="AL24" s="128">
        <v>1320</v>
      </c>
      <c r="AM24" s="128">
        <v>1335</v>
      </c>
      <c r="BL24" s="128" t="s">
        <v>317</v>
      </c>
      <c r="BM24" s="128" t="s">
        <v>279</v>
      </c>
      <c r="BN24" s="128" t="s">
        <v>299</v>
      </c>
      <c r="EK24" s="128">
        <v>2</v>
      </c>
      <c r="EL24" s="128">
        <v>2</v>
      </c>
      <c r="EM24" s="128">
        <v>1.5</v>
      </c>
      <c r="EN24" s="128">
        <v>1372560</v>
      </c>
      <c r="EO24" s="128">
        <v>960000</v>
      </c>
      <c r="FE24" s="128">
        <v>1</v>
      </c>
      <c r="FF24" s="128">
        <v>1</v>
      </c>
      <c r="FG24" s="128">
        <v>1</v>
      </c>
      <c r="FH24" s="128">
        <v>576500</v>
      </c>
      <c r="FI24" s="128">
        <v>498000</v>
      </c>
      <c r="FO24" s="128">
        <v>3</v>
      </c>
      <c r="FP24" s="128">
        <v>0.19</v>
      </c>
      <c r="FQ24" s="128">
        <v>0.15</v>
      </c>
      <c r="FR24" s="128">
        <v>114700</v>
      </c>
      <c r="FS24" s="128">
        <v>79000</v>
      </c>
      <c r="IS24" s="128">
        <v>1</v>
      </c>
      <c r="IT24" s="128">
        <v>180</v>
      </c>
      <c r="IU24" s="128">
        <v>8.5999999999999993E-2</v>
      </c>
      <c r="IV24" s="128">
        <v>14400</v>
      </c>
      <c r="IW24" s="128">
        <v>0</v>
      </c>
      <c r="KG24" s="128">
        <v>0</v>
      </c>
      <c r="KI24" s="128">
        <v>3</v>
      </c>
      <c r="KJ24" s="128">
        <v>0</v>
      </c>
      <c r="KK24" s="128">
        <v>0</v>
      </c>
      <c r="KL24" s="128">
        <v>0</v>
      </c>
      <c r="KM24" s="128">
        <v>3</v>
      </c>
      <c r="KN24" s="128">
        <v>2063760</v>
      </c>
      <c r="KO24" s="128">
        <v>1537000</v>
      </c>
      <c r="KP24" s="128">
        <v>1537000</v>
      </c>
      <c r="KT24" s="128">
        <v>0</v>
      </c>
      <c r="KU24" s="128">
        <v>0</v>
      </c>
      <c r="KV24" s="128">
        <v>0</v>
      </c>
      <c r="KZ24" s="128">
        <v>14400</v>
      </c>
      <c r="LA24" s="128">
        <v>0</v>
      </c>
      <c r="LB24" s="128">
        <v>0</v>
      </c>
      <c r="LF24" s="128">
        <v>52000</v>
      </c>
      <c r="LG24" s="128">
        <v>0</v>
      </c>
      <c r="LH24" s="128">
        <v>0</v>
      </c>
      <c r="LL24" s="128">
        <v>0</v>
      </c>
      <c r="LM24" s="128">
        <v>0</v>
      </c>
      <c r="LN24" s="128">
        <v>0</v>
      </c>
      <c r="LR24" s="128">
        <v>35000</v>
      </c>
      <c r="LS24" s="128">
        <v>25000</v>
      </c>
      <c r="LT24" s="128">
        <v>25000</v>
      </c>
      <c r="LX24" s="128">
        <v>0</v>
      </c>
      <c r="LY24" s="128">
        <v>0</v>
      </c>
      <c r="LZ24" s="128">
        <v>0</v>
      </c>
      <c r="MD24" s="128">
        <v>10200</v>
      </c>
      <c r="ME24" s="128">
        <v>9500</v>
      </c>
      <c r="MF24" s="128">
        <v>9500</v>
      </c>
      <c r="MJ24" s="128">
        <v>3000</v>
      </c>
      <c r="MK24" s="128">
        <v>0</v>
      </c>
      <c r="ML24" s="128">
        <v>0</v>
      </c>
      <c r="MP24" s="128">
        <v>5000</v>
      </c>
      <c r="MQ24" s="128">
        <v>2000</v>
      </c>
      <c r="MR24" s="128">
        <v>2000</v>
      </c>
      <c r="MV24" s="128">
        <v>6500</v>
      </c>
      <c r="MW24" s="128">
        <v>4000</v>
      </c>
      <c r="MX24" s="128">
        <v>4000</v>
      </c>
      <c r="NB24" s="128">
        <v>30000</v>
      </c>
      <c r="NC24" s="128">
        <v>25000</v>
      </c>
      <c r="ND24" s="128">
        <v>25000</v>
      </c>
      <c r="NH24" s="128">
        <v>83500</v>
      </c>
      <c r="NI24" s="128">
        <v>72000</v>
      </c>
      <c r="NJ24" s="128">
        <v>72000</v>
      </c>
      <c r="NN24" s="128">
        <v>51000</v>
      </c>
      <c r="NO24" s="128">
        <v>31500</v>
      </c>
      <c r="NP24" s="128">
        <v>31500</v>
      </c>
      <c r="NT24" s="128">
        <v>35000</v>
      </c>
      <c r="NU24" s="128">
        <v>25000</v>
      </c>
      <c r="NV24" s="128">
        <v>25000</v>
      </c>
      <c r="NZ24" s="128">
        <v>4500</v>
      </c>
      <c r="OA24" s="128">
        <v>1000</v>
      </c>
      <c r="OB24" s="128">
        <v>1000</v>
      </c>
      <c r="OF24" s="128">
        <v>9500</v>
      </c>
      <c r="OG24" s="128">
        <v>3000</v>
      </c>
      <c r="OH24" s="128">
        <v>3000</v>
      </c>
      <c r="OL24" s="128">
        <v>0</v>
      </c>
      <c r="OM24" s="128">
        <v>0</v>
      </c>
      <c r="ON24" s="128">
        <v>0</v>
      </c>
      <c r="OR24" s="128">
        <v>0</v>
      </c>
      <c r="OS24" s="128">
        <v>0</v>
      </c>
      <c r="OT24" s="128">
        <v>0</v>
      </c>
      <c r="OX24" s="128">
        <v>4000</v>
      </c>
      <c r="OY24" s="128">
        <v>0</v>
      </c>
      <c r="OZ24" s="128">
        <v>0</v>
      </c>
      <c r="PD24" s="128">
        <v>0</v>
      </c>
      <c r="PE24" s="128">
        <v>0</v>
      </c>
      <c r="PF24" s="128">
        <v>0</v>
      </c>
      <c r="PJ24" s="128">
        <v>3000</v>
      </c>
      <c r="PK24" s="128">
        <v>0</v>
      </c>
      <c r="PL24" s="128">
        <v>0</v>
      </c>
      <c r="PP24" s="128">
        <v>2410360</v>
      </c>
      <c r="PQ24" s="128">
        <v>1735000</v>
      </c>
      <c r="PR24" s="128">
        <v>1735000</v>
      </c>
      <c r="PS24" s="128">
        <v>100</v>
      </c>
      <c r="PT24" s="128">
        <v>100</v>
      </c>
      <c r="PX24" s="128">
        <v>1443280</v>
      </c>
      <c r="PY24" s="128">
        <v>1340350</v>
      </c>
      <c r="PZ24" s="128">
        <v>1735000</v>
      </c>
      <c r="QA24" s="128">
        <v>0</v>
      </c>
      <c r="QB24" s="128">
        <v>0</v>
      </c>
      <c r="QC24" s="128">
        <v>0</v>
      </c>
      <c r="QD24" s="128">
        <v>0</v>
      </c>
      <c r="QE24" s="128">
        <v>0</v>
      </c>
      <c r="QF24" s="128">
        <v>0</v>
      </c>
      <c r="QG24" s="128">
        <v>0</v>
      </c>
      <c r="QH24" s="128">
        <v>0</v>
      </c>
      <c r="QI24" s="128">
        <v>0</v>
      </c>
      <c r="QJ24" s="128">
        <v>0</v>
      </c>
      <c r="QK24" s="128">
        <v>0</v>
      </c>
      <c r="QL24" s="128">
        <v>0</v>
      </c>
      <c r="QN24" s="128">
        <v>0</v>
      </c>
      <c r="QO24" s="128">
        <v>0</v>
      </c>
      <c r="QP24" s="128">
        <v>0</v>
      </c>
      <c r="QU24" s="128">
        <v>131000</v>
      </c>
      <c r="QV24" s="128">
        <v>116140</v>
      </c>
      <c r="QW24" s="128">
        <v>533360</v>
      </c>
      <c r="QX24" s="128">
        <v>111564</v>
      </c>
      <c r="QY24" s="128">
        <v>130000</v>
      </c>
      <c r="QZ24" s="128">
        <v>130000</v>
      </c>
      <c r="RD24" s="128">
        <v>4520</v>
      </c>
      <c r="RE24" s="128">
        <v>0</v>
      </c>
      <c r="RF24" s="128">
        <v>12000</v>
      </c>
      <c r="RH24" s="128">
        <f t="shared" si="104"/>
        <v>2410360</v>
      </c>
      <c r="RI24" s="128">
        <v>0</v>
      </c>
      <c r="RM24" s="128" t="s">
        <v>220</v>
      </c>
      <c r="RU24" s="130"/>
      <c r="RV24" s="130"/>
      <c r="RW24" s="130"/>
      <c r="RX24" s="130"/>
      <c r="SF24" s="128">
        <f t="shared" si="8"/>
        <v>5792625</v>
      </c>
      <c r="SG24" s="131">
        <f t="shared" si="9"/>
        <v>2410360</v>
      </c>
      <c r="SH24" s="131">
        <f t="shared" si="10"/>
        <v>2410360</v>
      </c>
      <c r="SI24" s="131">
        <f t="shared" si="11"/>
        <v>2130160</v>
      </c>
      <c r="SJ24" s="132">
        <f t="shared" si="12"/>
        <v>2063760</v>
      </c>
      <c r="SK24" s="132">
        <f t="shared" si="13"/>
        <v>0</v>
      </c>
      <c r="SL24" s="132">
        <f t="shared" si="14"/>
        <v>14400</v>
      </c>
      <c r="SM24" s="132">
        <f t="shared" si="15"/>
        <v>52000</v>
      </c>
      <c r="SN24" s="131">
        <f t="shared" si="16"/>
        <v>280200</v>
      </c>
      <c r="SO24" s="131">
        <f t="shared" si="17"/>
        <v>35000</v>
      </c>
      <c r="SP24" s="132">
        <f t="shared" si="18"/>
        <v>0</v>
      </c>
      <c r="SQ24" s="132">
        <f t="shared" si="19"/>
        <v>35000</v>
      </c>
      <c r="SR24" s="132">
        <f t="shared" si="20"/>
        <v>0</v>
      </c>
      <c r="SS24" s="132">
        <f t="shared" si="21"/>
        <v>10200</v>
      </c>
      <c r="ST24" s="132">
        <f t="shared" si="22"/>
        <v>3000</v>
      </c>
      <c r="SU24" s="132">
        <f t="shared" si="23"/>
        <v>5000</v>
      </c>
      <c r="SV24" s="131">
        <f t="shared" si="24"/>
        <v>224000</v>
      </c>
      <c r="SW24" s="132">
        <f t="shared" si="25"/>
        <v>6500</v>
      </c>
      <c r="SX24" s="132">
        <f t="shared" si="26"/>
        <v>30000</v>
      </c>
      <c r="SY24" s="132">
        <f t="shared" si="27"/>
        <v>83500</v>
      </c>
      <c r="SZ24" s="132">
        <f t="shared" si="28"/>
        <v>51000</v>
      </c>
      <c r="TA24" s="132">
        <f t="shared" si="29"/>
        <v>35000</v>
      </c>
      <c r="TB24" s="132">
        <f t="shared" si="30"/>
        <v>4500</v>
      </c>
      <c r="TC24" s="132">
        <f t="shared" si="31"/>
        <v>9500</v>
      </c>
      <c r="TD24" s="132">
        <f t="shared" si="32"/>
        <v>0</v>
      </c>
      <c r="TE24" s="132">
        <f t="shared" si="33"/>
        <v>0</v>
      </c>
      <c r="TF24" s="132">
        <f t="shared" si="34"/>
        <v>4000</v>
      </c>
      <c r="TG24" s="132">
        <f t="shared" si="35"/>
        <v>0</v>
      </c>
      <c r="TH24" s="132">
        <f t="shared" si="36"/>
        <v>3000</v>
      </c>
      <c r="TI24" s="1"/>
      <c r="TJ24" s="131">
        <f t="shared" si="37"/>
        <v>1735000</v>
      </c>
      <c r="TK24" s="131">
        <f t="shared" si="38"/>
        <v>1735000</v>
      </c>
      <c r="TL24" s="131">
        <f t="shared" si="39"/>
        <v>1537000</v>
      </c>
      <c r="TM24" s="132">
        <f t="shared" si="40"/>
        <v>1537000</v>
      </c>
      <c r="TN24" s="132">
        <f t="shared" si="41"/>
        <v>0</v>
      </c>
      <c r="TO24" s="132">
        <f t="shared" si="42"/>
        <v>0</v>
      </c>
      <c r="TP24" s="132">
        <f t="shared" si="43"/>
        <v>0</v>
      </c>
      <c r="TQ24" s="131">
        <f t="shared" si="44"/>
        <v>198000</v>
      </c>
      <c r="TR24" s="131">
        <f t="shared" si="45"/>
        <v>25000</v>
      </c>
      <c r="TS24" s="132">
        <f t="shared" si="46"/>
        <v>0</v>
      </c>
      <c r="TT24" s="132">
        <f t="shared" si="47"/>
        <v>25000</v>
      </c>
      <c r="TU24" s="132">
        <f t="shared" si="48"/>
        <v>0</v>
      </c>
      <c r="TV24" s="132">
        <f t="shared" si="49"/>
        <v>9500</v>
      </c>
      <c r="TW24" s="132">
        <f t="shared" si="50"/>
        <v>0</v>
      </c>
      <c r="TX24" s="132">
        <f t="shared" si="51"/>
        <v>2000</v>
      </c>
      <c r="TY24" s="131">
        <f t="shared" si="52"/>
        <v>161500</v>
      </c>
      <c r="TZ24" s="132">
        <f t="shared" si="53"/>
        <v>4000</v>
      </c>
      <c r="UA24" s="132">
        <f t="shared" si="54"/>
        <v>25000</v>
      </c>
      <c r="UB24" s="132">
        <f t="shared" si="55"/>
        <v>72000</v>
      </c>
      <c r="UC24" s="132">
        <f t="shared" si="56"/>
        <v>31500</v>
      </c>
      <c r="UD24" s="132">
        <f t="shared" si="57"/>
        <v>25000</v>
      </c>
      <c r="UE24" s="132">
        <f t="shared" si="58"/>
        <v>1000</v>
      </c>
      <c r="UF24" s="132">
        <f t="shared" si="59"/>
        <v>3000</v>
      </c>
      <c r="UG24" s="132">
        <f t="shared" si="60"/>
        <v>0</v>
      </c>
      <c r="UH24" s="132">
        <f t="shared" si="61"/>
        <v>0</v>
      </c>
      <c r="UI24" s="132">
        <f t="shared" si="62"/>
        <v>0</v>
      </c>
      <c r="UJ24" s="132">
        <f t="shared" si="63"/>
        <v>0</v>
      </c>
      <c r="UK24" s="132">
        <f t="shared" si="64"/>
        <v>0</v>
      </c>
      <c r="UL24" s="132">
        <f t="shared" si="105"/>
        <v>1735000</v>
      </c>
      <c r="UM24" s="131">
        <f t="shared" si="65"/>
        <v>1735000</v>
      </c>
      <c r="UN24" s="131">
        <f t="shared" si="66"/>
        <v>1735000</v>
      </c>
      <c r="UO24" s="131">
        <f t="shared" si="67"/>
        <v>1537000</v>
      </c>
      <c r="UP24" s="132">
        <f t="shared" si="68"/>
        <v>1537000</v>
      </c>
      <c r="UQ24" s="132">
        <f t="shared" si="69"/>
        <v>0</v>
      </c>
      <c r="UR24" s="132">
        <f t="shared" si="70"/>
        <v>0</v>
      </c>
      <c r="US24" s="132">
        <f t="shared" si="71"/>
        <v>0</v>
      </c>
      <c r="UT24" s="131">
        <f t="shared" si="72"/>
        <v>198000</v>
      </c>
      <c r="UU24" s="131">
        <f t="shared" si="73"/>
        <v>25000</v>
      </c>
      <c r="UV24" s="132">
        <f t="shared" si="74"/>
        <v>0</v>
      </c>
      <c r="UW24" s="132">
        <f t="shared" si="75"/>
        <v>25000</v>
      </c>
      <c r="UX24" s="132">
        <f t="shared" si="76"/>
        <v>0</v>
      </c>
      <c r="UY24" s="132">
        <f t="shared" si="77"/>
        <v>9500</v>
      </c>
      <c r="UZ24" s="132">
        <f t="shared" si="78"/>
        <v>0</v>
      </c>
      <c r="VA24" s="132">
        <f t="shared" si="79"/>
        <v>2000</v>
      </c>
      <c r="VB24" s="131">
        <f t="shared" si="80"/>
        <v>161500</v>
      </c>
      <c r="VC24" s="132">
        <f t="shared" si="81"/>
        <v>4000</v>
      </c>
      <c r="VD24" s="132">
        <f t="shared" si="82"/>
        <v>25000</v>
      </c>
      <c r="VE24" s="132">
        <f t="shared" si="83"/>
        <v>72000</v>
      </c>
      <c r="VF24" s="132">
        <f t="shared" si="84"/>
        <v>31500</v>
      </c>
      <c r="VG24" s="132">
        <f t="shared" si="85"/>
        <v>25000</v>
      </c>
      <c r="VH24" s="132">
        <f t="shared" si="86"/>
        <v>1000</v>
      </c>
      <c r="VI24" s="132">
        <f t="shared" si="87"/>
        <v>3000</v>
      </c>
      <c r="VJ24" s="132">
        <f t="shared" si="88"/>
        <v>0</v>
      </c>
      <c r="VK24" s="132">
        <f t="shared" si="89"/>
        <v>0</v>
      </c>
      <c r="VL24" s="132">
        <f t="shared" si="90"/>
        <v>0</v>
      </c>
      <c r="VM24" s="132">
        <f t="shared" si="91"/>
        <v>0</v>
      </c>
      <c r="VN24" s="132">
        <f t="shared" si="92"/>
        <v>0</v>
      </c>
      <c r="VP24" s="845" t="str">
        <f>IFERROR(HLOOKUP(F24,'Hodnocení '!$C$1:$JH$5,2,FALSE),0)</f>
        <v>Manželská a rodinná poradna Náchod</v>
      </c>
      <c r="VQ24" s="838"/>
      <c r="VR24" s="845" t="str">
        <f t="shared" si="106"/>
        <v>Obecně prospěšná společnost</v>
      </c>
      <c r="VS24" s="845" t="str">
        <f>IFERROR(HLOOKUP(F24,'Hodnocení '!$C$1:$JH$5,5,FALSE),0)</f>
        <v>NZO</v>
      </c>
      <c r="VT24" s="838">
        <f t="shared" si="107"/>
        <v>0</v>
      </c>
      <c r="VU24" s="838">
        <f t="shared" si="108"/>
        <v>0</v>
      </c>
      <c r="VV24" s="838">
        <f t="shared" si="109"/>
        <v>0</v>
      </c>
      <c r="VW24" s="838">
        <f t="shared" si="110"/>
        <v>0</v>
      </c>
      <c r="VX24" s="838"/>
      <c r="VY24" s="838">
        <f t="shared" si="114"/>
        <v>0</v>
      </c>
      <c r="VZ24" s="838">
        <f t="shared" si="115"/>
        <v>1735000</v>
      </c>
      <c r="WA24" s="846">
        <f>IFERROR(HLOOKUP($F24,'Hodnocení '!$C$1:$JH$9,9,FALSE),0)</f>
        <v>1735000</v>
      </c>
      <c r="WB24" s="846">
        <f>IF(IFERROR(HLOOKUP($F24,'Hodnocení '!$C$1:$JH$13,13,FALSE),0)&gt;WA24,WA24,IFERROR(HLOOKUP($F24,'Hodnocení '!$C$1:$JH$13,13,FALSE),0))</f>
        <v>1708379.0747897534</v>
      </c>
      <c r="WC24" s="846">
        <f>IFERROR(HLOOKUP($F24,'Hodnocení '!$C$1:$JH$155,155,FALSE),0)</f>
        <v>1637150</v>
      </c>
      <c r="WD24" s="845"/>
      <c r="WE24" s="845"/>
      <c r="WF24" s="845" t="str">
        <f t="shared" si="97"/>
        <v>ANO</v>
      </c>
      <c r="WG24" s="849" t="str">
        <f t="shared" si="98"/>
        <v>Podpora služby je vyjádřena zařazením do sítě sociálních služeb v KHK a řešením financování služby</v>
      </c>
      <c r="WH24" s="849" t="str">
        <f t="shared" si="9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4" s="849" t="str">
        <f t="shared" si="98"/>
        <v>Návrh dotace je výsledkem projednání s ostatními zadavateli v rámci sítě služeb KHK</v>
      </c>
      <c r="WJ24" s="849" t="str">
        <f t="shared" si="98"/>
        <v>Bez komentáře</v>
      </c>
      <c r="WK24" s="31">
        <f t="shared" si="99"/>
        <v>0</v>
      </c>
      <c r="WL24" s="850">
        <f t="shared" si="100"/>
        <v>0</v>
      </c>
      <c r="WM24" s="849">
        <f t="shared" si="101"/>
        <v>0</v>
      </c>
      <c r="WN24" s="849">
        <f t="shared" si="102"/>
        <v>0</v>
      </c>
      <c r="WO24" s="849" t="str">
        <f t="shared" ref="WO24:WT66" si="116">IF($WF24="NE","nehodnoceno",WO$2)</f>
        <v>bez komentáře</v>
      </c>
      <c r="WP24" s="849" t="str">
        <f t="shared" si="116"/>
        <v>bez komentáře</v>
      </c>
      <c r="WQ24" s="849" t="str">
        <f t="shared" si="116"/>
        <v>Konečná výše dotace z rozpočtu KHK bude řešena v návaznosti na řešení podílů jednotlivých zadavatelů.</v>
      </c>
      <c r="WR24" s="849" t="str">
        <f t="shared" si="116"/>
        <v>Konečná výše podpory ze stran obcí bude řešena v součinnosti s jednotlivými zadavateli v průběhu roku.</v>
      </c>
      <c r="WS24" s="849" t="str">
        <f t="shared" si="116"/>
        <v>bez komentáře</v>
      </c>
      <c r="WT24" s="849" t="str">
        <f t="shared" si="116"/>
        <v>bez komentáře</v>
      </c>
      <c r="WU24" s="845"/>
    </row>
    <row r="25" spans="1:619" s="128" customFormat="1" x14ac:dyDescent="0.25">
      <c r="A25" s="128" t="str">
        <f>VLOOKUP(F25,'Výpočet VP 2020'!$D$324:$I$588,6,FALSE)</f>
        <v>Je v síti</v>
      </c>
      <c r="B25" s="128" t="s">
        <v>312</v>
      </c>
      <c r="C25" s="128">
        <v>25999044</v>
      </c>
      <c r="D25" s="128" t="s">
        <v>313</v>
      </c>
      <c r="E25" s="128" t="s">
        <v>216</v>
      </c>
      <c r="F25" s="128">
        <v>6191102</v>
      </c>
      <c r="G25" s="128" t="s">
        <v>292</v>
      </c>
      <c r="H25" s="128" t="s">
        <v>293</v>
      </c>
      <c r="I25" s="128" t="s">
        <v>319</v>
      </c>
      <c r="J25" s="129">
        <v>39083</v>
      </c>
      <c r="L25" s="128" t="s">
        <v>220</v>
      </c>
      <c r="X25" s="128" t="s">
        <v>320</v>
      </c>
      <c r="AI25" s="128">
        <v>790</v>
      </c>
      <c r="AJ25" s="128">
        <v>5</v>
      </c>
      <c r="AK25" s="128">
        <v>760</v>
      </c>
      <c r="AL25" s="128">
        <v>772</v>
      </c>
      <c r="AM25" s="128">
        <v>780</v>
      </c>
      <c r="BL25" s="128" t="s">
        <v>317</v>
      </c>
      <c r="BM25" s="128" t="s">
        <v>279</v>
      </c>
      <c r="BN25" s="128" t="s">
        <v>299</v>
      </c>
      <c r="FO25" s="128">
        <v>3</v>
      </c>
      <c r="FP25" s="128">
        <v>0.14000000000000001</v>
      </c>
      <c r="FQ25" s="128">
        <v>0.14000000000000001</v>
      </c>
      <c r="FR25" s="128">
        <v>90400</v>
      </c>
      <c r="FS25" s="128">
        <v>5000</v>
      </c>
      <c r="JR25" s="128">
        <v>1</v>
      </c>
      <c r="JS25" s="128">
        <v>1</v>
      </c>
      <c r="JT25" s="128">
        <v>1</v>
      </c>
      <c r="JU25" s="128">
        <v>780000</v>
      </c>
      <c r="JV25" s="128">
        <v>685000</v>
      </c>
      <c r="KG25" s="128">
        <v>0</v>
      </c>
      <c r="KI25" s="128">
        <v>0</v>
      </c>
      <c r="KJ25" s="128">
        <v>0</v>
      </c>
      <c r="KK25" s="128">
        <v>0</v>
      </c>
      <c r="KL25" s="128">
        <v>1</v>
      </c>
      <c r="KM25" s="128">
        <v>1</v>
      </c>
      <c r="KN25" s="128">
        <v>90400</v>
      </c>
      <c r="KO25" s="128">
        <v>5000</v>
      </c>
      <c r="KP25" s="128">
        <v>5000</v>
      </c>
      <c r="KT25" s="128">
        <v>0</v>
      </c>
      <c r="KU25" s="128">
        <v>0</v>
      </c>
      <c r="KV25" s="128">
        <v>0</v>
      </c>
      <c r="KZ25" s="128">
        <v>0</v>
      </c>
      <c r="LA25" s="128">
        <v>0</v>
      </c>
      <c r="LB25" s="128">
        <v>0</v>
      </c>
      <c r="LF25" s="128">
        <v>4800</v>
      </c>
      <c r="LG25" s="128">
        <v>0</v>
      </c>
      <c r="LH25" s="128">
        <v>0</v>
      </c>
      <c r="LL25" s="128">
        <v>0</v>
      </c>
      <c r="LM25" s="128">
        <v>0</v>
      </c>
      <c r="LN25" s="128">
        <v>0</v>
      </c>
      <c r="LR25" s="128">
        <v>0</v>
      </c>
      <c r="LS25" s="128">
        <v>0</v>
      </c>
      <c r="LT25" s="128">
        <v>0</v>
      </c>
      <c r="LX25" s="128">
        <v>0</v>
      </c>
      <c r="LY25" s="128">
        <v>0</v>
      </c>
      <c r="LZ25" s="128">
        <v>0</v>
      </c>
      <c r="MD25" s="128">
        <v>0</v>
      </c>
      <c r="ME25" s="128">
        <v>0</v>
      </c>
      <c r="MF25" s="128">
        <v>0</v>
      </c>
      <c r="MJ25" s="128">
        <v>0</v>
      </c>
      <c r="MK25" s="128">
        <v>0</v>
      </c>
      <c r="ML25" s="128">
        <v>0</v>
      </c>
      <c r="MP25" s="128">
        <v>0</v>
      </c>
      <c r="MQ25" s="128">
        <v>0</v>
      </c>
      <c r="MR25" s="128">
        <v>0</v>
      </c>
      <c r="MV25" s="128">
        <v>0</v>
      </c>
      <c r="MW25" s="128">
        <v>0</v>
      </c>
      <c r="MX25" s="128">
        <v>0</v>
      </c>
      <c r="NB25" s="128">
        <v>3000</v>
      </c>
      <c r="NC25" s="128">
        <v>1000</v>
      </c>
      <c r="ND25" s="128">
        <v>1000</v>
      </c>
      <c r="NH25" s="128">
        <v>10000</v>
      </c>
      <c r="NI25" s="128">
        <v>5000</v>
      </c>
      <c r="NJ25" s="128">
        <v>5000</v>
      </c>
      <c r="NN25" s="128">
        <v>8000</v>
      </c>
      <c r="NO25" s="128">
        <v>1000</v>
      </c>
      <c r="NP25" s="128">
        <v>1000</v>
      </c>
      <c r="NT25" s="128">
        <v>5000</v>
      </c>
      <c r="NU25" s="128">
        <v>1000</v>
      </c>
      <c r="NV25" s="128">
        <v>1000</v>
      </c>
      <c r="NZ25" s="128">
        <v>0</v>
      </c>
      <c r="OA25" s="128">
        <v>0</v>
      </c>
      <c r="OB25" s="128">
        <v>0</v>
      </c>
      <c r="OF25" s="128">
        <v>500</v>
      </c>
      <c r="OG25" s="128">
        <v>0</v>
      </c>
      <c r="OH25" s="128">
        <v>0</v>
      </c>
      <c r="OL25" s="128">
        <v>780000</v>
      </c>
      <c r="OM25" s="128">
        <v>685000</v>
      </c>
      <c r="ON25" s="128">
        <v>685000</v>
      </c>
      <c r="OR25" s="128">
        <v>0</v>
      </c>
      <c r="OS25" s="128">
        <v>0</v>
      </c>
      <c r="OT25" s="128">
        <v>0</v>
      </c>
      <c r="OX25" s="128">
        <v>0</v>
      </c>
      <c r="OY25" s="128">
        <v>0</v>
      </c>
      <c r="OZ25" s="128">
        <v>0</v>
      </c>
      <c r="PD25" s="128">
        <v>0</v>
      </c>
      <c r="PE25" s="128">
        <v>0</v>
      </c>
      <c r="PF25" s="128">
        <v>0</v>
      </c>
      <c r="PJ25" s="128">
        <v>0</v>
      </c>
      <c r="PK25" s="128">
        <v>0</v>
      </c>
      <c r="PL25" s="128">
        <v>0</v>
      </c>
      <c r="PP25" s="128">
        <v>901700</v>
      </c>
      <c r="PQ25" s="128">
        <v>698000</v>
      </c>
      <c r="PR25" s="128">
        <v>698000</v>
      </c>
      <c r="PS25" s="128">
        <v>100</v>
      </c>
      <c r="PT25" s="128">
        <v>100</v>
      </c>
      <c r="PX25" s="128">
        <v>507000</v>
      </c>
      <c r="PY25" s="128">
        <v>474300</v>
      </c>
      <c r="PZ25" s="128">
        <v>698000</v>
      </c>
      <c r="QA25" s="128">
        <v>0</v>
      </c>
      <c r="QB25" s="128">
        <v>0</v>
      </c>
      <c r="QC25" s="128">
        <v>0</v>
      </c>
      <c r="QD25" s="128">
        <v>0</v>
      </c>
      <c r="QE25" s="128">
        <v>0</v>
      </c>
      <c r="QF25" s="128">
        <v>0</v>
      </c>
      <c r="QG25" s="128">
        <v>0</v>
      </c>
      <c r="QH25" s="128">
        <v>0</v>
      </c>
      <c r="QI25" s="128">
        <v>0</v>
      </c>
      <c r="QJ25" s="128">
        <v>0</v>
      </c>
      <c r="QK25" s="128">
        <v>0</v>
      </c>
      <c r="QL25" s="128">
        <v>0</v>
      </c>
      <c r="QN25" s="128">
        <v>0</v>
      </c>
      <c r="QO25" s="128">
        <v>0</v>
      </c>
      <c r="QP25" s="128">
        <v>0</v>
      </c>
      <c r="QU25" s="128">
        <v>57000</v>
      </c>
      <c r="QV25" s="128">
        <v>474300</v>
      </c>
      <c r="QW25" s="128">
        <v>83700</v>
      </c>
      <c r="QX25" s="128">
        <v>120000</v>
      </c>
      <c r="QY25" s="128">
        <v>120000</v>
      </c>
      <c r="QZ25" s="128">
        <v>120000</v>
      </c>
      <c r="RH25" s="128">
        <f t="shared" si="104"/>
        <v>901700</v>
      </c>
      <c r="RI25" s="128">
        <v>0</v>
      </c>
      <c r="RM25" s="128" t="s">
        <v>220</v>
      </c>
      <c r="RU25" s="130"/>
      <c r="RV25" s="130"/>
      <c r="RW25" s="130"/>
      <c r="RX25" s="130"/>
      <c r="SF25" s="128">
        <f t="shared" si="8"/>
        <v>6191102</v>
      </c>
      <c r="SG25" s="131">
        <f t="shared" si="9"/>
        <v>901700</v>
      </c>
      <c r="SH25" s="131">
        <f t="shared" si="10"/>
        <v>901700</v>
      </c>
      <c r="SI25" s="131">
        <f t="shared" si="11"/>
        <v>95200</v>
      </c>
      <c r="SJ25" s="132">
        <f t="shared" si="12"/>
        <v>90400</v>
      </c>
      <c r="SK25" s="132">
        <f t="shared" si="13"/>
        <v>0</v>
      </c>
      <c r="SL25" s="132">
        <f t="shared" si="14"/>
        <v>0</v>
      </c>
      <c r="SM25" s="132">
        <f t="shared" si="15"/>
        <v>4800</v>
      </c>
      <c r="SN25" s="131">
        <f t="shared" si="16"/>
        <v>806500</v>
      </c>
      <c r="SO25" s="131">
        <f t="shared" si="17"/>
        <v>0</v>
      </c>
      <c r="SP25" s="132">
        <f t="shared" si="18"/>
        <v>0</v>
      </c>
      <c r="SQ25" s="132">
        <f t="shared" si="19"/>
        <v>0</v>
      </c>
      <c r="SR25" s="132">
        <f t="shared" si="20"/>
        <v>0</v>
      </c>
      <c r="SS25" s="132">
        <f t="shared" si="21"/>
        <v>0</v>
      </c>
      <c r="ST25" s="132">
        <f t="shared" si="22"/>
        <v>0</v>
      </c>
      <c r="SU25" s="132">
        <f t="shared" si="23"/>
        <v>0</v>
      </c>
      <c r="SV25" s="131">
        <f t="shared" si="24"/>
        <v>806500</v>
      </c>
      <c r="SW25" s="132">
        <f t="shared" si="25"/>
        <v>0</v>
      </c>
      <c r="SX25" s="132">
        <f t="shared" si="26"/>
        <v>3000</v>
      </c>
      <c r="SY25" s="132">
        <f t="shared" si="27"/>
        <v>10000</v>
      </c>
      <c r="SZ25" s="132">
        <f t="shared" si="28"/>
        <v>8000</v>
      </c>
      <c r="TA25" s="132">
        <f t="shared" si="29"/>
        <v>5000</v>
      </c>
      <c r="TB25" s="132">
        <f t="shared" si="30"/>
        <v>0</v>
      </c>
      <c r="TC25" s="132">
        <f t="shared" si="31"/>
        <v>500</v>
      </c>
      <c r="TD25" s="132">
        <f t="shared" si="32"/>
        <v>780000</v>
      </c>
      <c r="TE25" s="132">
        <f t="shared" si="33"/>
        <v>0</v>
      </c>
      <c r="TF25" s="132">
        <f t="shared" si="34"/>
        <v>0</v>
      </c>
      <c r="TG25" s="132">
        <f t="shared" si="35"/>
        <v>0</v>
      </c>
      <c r="TH25" s="132">
        <f t="shared" si="36"/>
        <v>0</v>
      </c>
      <c r="TI25" s="1"/>
      <c r="TJ25" s="131">
        <f t="shared" si="37"/>
        <v>698000</v>
      </c>
      <c r="TK25" s="131">
        <f t="shared" si="38"/>
        <v>698000</v>
      </c>
      <c r="TL25" s="131">
        <f t="shared" si="39"/>
        <v>5000</v>
      </c>
      <c r="TM25" s="132">
        <f t="shared" si="40"/>
        <v>5000</v>
      </c>
      <c r="TN25" s="132">
        <f t="shared" si="41"/>
        <v>0</v>
      </c>
      <c r="TO25" s="132">
        <f t="shared" si="42"/>
        <v>0</v>
      </c>
      <c r="TP25" s="132">
        <f t="shared" si="43"/>
        <v>0</v>
      </c>
      <c r="TQ25" s="131">
        <f t="shared" si="44"/>
        <v>693000</v>
      </c>
      <c r="TR25" s="131">
        <f t="shared" si="45"/>
        <v>0</v>
      </c>
      <c r="TS25" s="132">
        <f t="shared" si="46"/>
        <v>0</v>
      </c>
      <c r="TT25" s="132">
        <f t="shared" si="47"/>
        <v>0</v>
      </c>
      <c r="TU25" s="132">
        <f t="shared" si="48"/>
        <v>0</v>
      </c>
      <c r="TV25" s="132">
        <f t="shared" si="49"/>
        <v>0</v>
      </c>
      <c r="TW25" s="132">
        <f t="shared" si="50"/>
        <v>0</v>
      </c>
      <c r="TX25" s="132">
        <f t="shared" si="51"/>
        <v>0</v>
      </c>
      <c r="TY25" s="131">
        <f t="shared" si="52"/>
        <v>693000</v>
      </c>
      <c r="TZ25" s="132">
        <f t="shared" si="53"/>
        <v>0</v>
      </c>
      <c r="UA25" s="132">
        <f t="shared" si="54"/>
        <v>1000</v>
      </c>
      <c r="UB25" s="132">
        <f t="shared" si="55"/>
        <v>5000</v>
      </c>
      <c r="UC25" s="132">
        <f t="shared" si="56"/>
        <v>1000</v>
      </c>
      <c r="UD25" s="132">
        <f t="shared" si="57"/>
        <v>1000</v>
      </c>
      <c r="UE25" s="132">
        <f t="shared" si="58"/>
        <v>0</v>
      </c>
      <c r="UF25" s="132">
        <f t="shared" si="59"/>
        <v>0</v>
      </c>
      <c r="UG25" s="132">
        <f t="shared" si="60"/>
        <v>685000</v>
      </c>
      <c r="UH25" s="132">
        <f t="shared" si="61"/>
        <v>0</v>
      </c>
      <c r="UI25" s="132">
        <f t="shared" si="62"/>
        <v>0</v>
      </c>
      <c r="UJ25" s="132">
        <f t="shared" si="63"/>
        <v>0</v>
      </c>
      <c r="UK25" s="132">
        <f t="shared" si="64"/>
        <v>0</v>
      </c>
      <c r="UL25" s="132">
        <f t="shared" si="105"/>
        <v>698000</v>
      </c>
      <c r="UM25" s="131">
        <f t="shared" si="65"/>
        <v>698000</v>
      </c>
      <c r="UN25" s="131">
        <f t="shared" si="66"/>
        <v>698000</v>
      </c>
      <c r="UO25" s="131">
        <f t="shared" si="67"/>
        <v>5000</v>
      </c>
      <c r="UP25" s="132">
        <f t="shared" si="68"/>
        <v>5000</v>
      </c>
      <c r="UQ25" s="132">
        <f t="shared" si="69"/>
        <v>0</v>
      </c>
      <c r="UR25" s="132">
        <f t="shared" si="70"/>
        <v>0</v>
      </c>
      <c r="US25" s="132">
        <f t="shared" si="71"/>
        <v>0</v>
      </c>
      <c r="UT25" s="131">
        <f t="shared" si="72"/>
        <v>693000</v>
      </c>
      <c r="UU25" s="131">
        <f t="shared" si="73"/>
        <v>0</v>
      </c>
      <c r="UV25" s="132">
        <f t="shared" si="74"/>
        <v>0</v>
      </c>
      <c r="UW25" s="132">
        <f t="shared" si="75"/>
        <v>0</v>
      </c>
      <c r="UX25" s="132">
        <f t="shared" si="76"/>
        <v>0</v>
      </c>
      <c r="UY25" s="132">
        <f t="shared" si="77"/>
        <v>0</v>
      </c>
      <c r="UZ25" s="132">
        <f t="shared" si="78"/>
        <v>0</v>
      </c>
      <c r="VA25" s="132">
        <f t="shared" si="79"/>
        <v>0</v>
      </c>
      <c r="VB25" s="131">
        <f t="shared" si="80"/>
        <v>693000</v>
      </c>
      <c r="VC25" s="132">
        <f t="shared" si="81"/>
        <v>0</v>
      </c>
      <c r="VD25" s="132">
        <f t="shared" si="82"/>
        <v>1000</v>
      </c>
      <c r="VE25" s="132">
        <f t="shared" si="83"/>
        <v>5000</v>
      </c>
      <c r="VF25" s="132">
        <f t="shared" si="84"/>
        <v>1000</v>
      </c>
      <c r="VG25" s="132">
        <f t="shared" si="85"/>
        <v>1000</v>
      </c>
      <c r="VH25" s="132">
        <f t="shared" si="86"/>
        <v>0</v>
      </c>
      <c r="VI25" s="132">
        <f t="shared" si="87"/>
        <v>0</v>
      </c>
      <c r="VJ25" s="132">
        <f t="shared" si="88"/>
        <v>685000</v>
      </c>
      <c r="VK25" s="132">
        <f t="shared" si="89"/>
        <v>0</v>
      </c>
      <c r="VL25" s="132">
        <f t="shared" si="90"/>
        <v>0</v>
      </c>
      <c r="VM25" s="132">
        <f t="shared" si="91"/>
        <v>0</v>
      </c>
      <c r="VN25" s="132">
        <f t="shared" si="92"/>
        <v>0</v>
      </c>
      <c r="VP25" s="845" t="str">
        <f>IFERROR(HLOOKUP(F25,'Hodnocení '!$C$1:$JH$5,2,FALSE),0)</f>
        <v>Manželská a rodinná poradna Rychnov n.Kn.</v>
      </c>
      <c r="VQ25" s="838"/>
      <c r="VR25" s="845" t="str">
        <f t="shared" si="106"/>
        <v>Obecně prospěšná společnost</v>
      </c>
      <c r="VS25" s="845" t="str">
        <f>IFERROR(HLOOKUP(F25,'Hodnocení '!$C$1:$JH$5,5,FALSE),0)</f>
        <v>NZO</v>
      </c>
      <c r="VT25" s="838">
        <f t="shared" si="107"/>
        <v>0</v>
      </c>
      <c r="VU25" s="838">
        <f t="shared" si="108"/>
        <v>0</v>
      </c>
      <c r="VV25" s="838">
        <f t="shared" si="109"/>
        <v>0</v>
      </c>
      <c r="VW25" s="838">
        <f t="shared" si="110"/>
        <v>0</v>
      </c>
      <c r="VX25" s="838"/>
      <c r="VY25" s="838">
        <f t="shared" si="114"/>
        <v>0</v>
      </c>
      <c r="VZ25" s="838">
        <f t="shared" si="115"/>
        <v>698000</v>
      </c>
      <c r="WA25" s="846">
        <f>IFERROR(HLOOKUP($F25,'Hodnocení '!$C$1:$JH$9,9,FALSE),0)</f>
        <v>698000</v>
      </c>
      <c r="WB25" s="846">
        <f>IF(IFERROR(HLOOKUP($F25,'Hodnocení '!$C$1:$JH$13,13,FALSE),0)&gt;WA25,WA25,IFERROR(HLOOKUP($F25,'Hodnocení '!$C$1:$JH$13,13,FALSE),0))</f>
        <v>698000</v>
      </c>
      <c r="WC25" s="846">
        <f>IFERROR(HLOOKUP($F25,'Hodnocení '!$C$1:$JH$155,155,FALSE),0)</f>
        <v>622770</v>
      </c>
      <c r="WD25" s="845"/>
      <c r="WE25" s="845"/>
      <c r="WF25" s="845" t="str">
        <f t="shared" si="97"/>
        <v>ANO</v>
      </c>
      <c r="WG25" s="849" t="str">
        <f t="shared" si="98"/>
        <v>Podpora služby je vyjádřena zařazením do sítě sociálních služeb v KHK a řešením financování služby</v>
      </c>
      <c r="WH25" s="849" t="str">
        <f t="shared" si="9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5" s="849" t="str">
        <f t="shared" si="98"/>
        <v>Návrh dotace je výsledkem projednání s ostatními zadavateli v rámci sítě služeb KHK</v>
      </c>
      <c r="WJ25" s="849" t="str">
        <f t="shared" si="98"/>
        <v>Bez komentáře</v>
      </c>
      <c r="WK25" s="31">
        <f t="shared" si="99"/>
        <v>0</v>
      </c>
      <c r="WL25" s="850">
        <f t="shared" si="100"/>
        <v>0</v>
      </c>
      <c r="WM25" s="849">
        <f t="shared" si="101"/>
        <v>0</v>
      </c>
      <c r="WN25" s="849">
        <f t="shared" si="102"/>
        <v>0</v>
      </c>
      <c r="WO25" s="849" t="str">
        <f t="shared" si="116"/>
        <v>bez komentáře</v>
      </c>
      <c r="WP25" s="849" t="str">
        <f t="shared" si="116"/>
        <v>bez komentáře</v>
      </c>
      <c r="WQ25" s="849" t="str">
        <f t="shared" si="116"/>
        <v>Konečná výše dotace z rozpočtu KHK bude řešena v návaznosti na řešení podílů jednotlivých zadavatelů.</v>
      </c>
      <c r="WR25" s="849" t="str">
        <f t="shared" si="116"/>
        <v>Konečná výše podpory ze stran obcí bude řešena v součinnosti s jednotlivými zadavateli v průběhu roku.</v>
      </c>
      <c r="WS25" s="849" t="str">
        <f t="shared" si="116"/>
        <v>bez komentáře</v>
      </c>
      <c r="WT25" s="849" t="str">
        <f t="shared" si="116"/>
        <v>bez komentáře</v>
      </c>
      <c r="WU25" s="845"/>
    </row>
    <row r="26" spans="1:619" s="128" customFormat="1" x14ac:dyDescent="0.25">
      <c r="A26" s="128" t="str">
        <f>VLOOKUP(F26,'Výpočet VP 2020'!$D$324:$I$588,6,FALSE)</f>
        <v>Je v síti</v>
      </c>
      <c r="B26" s="128" t="s">
        <v>312</v>
      </c>
      <c r="C26" s="128">
        <v>25999044</v>
      </c>
      <c r="D26" s="128" t="s">
        <v>313</v>
      </c>
      <c r="E26" s="128" t="s">
        <v>216</v>
      </c>
      <c r="F26" s="128">
        <v>7268793</v>
      </c>
      <c r="G26" s="128" t="s">
        <v>217</v>
      </c>
      <c r="H26" s="128" t="s">
        <v>218</v>
      </c>
      <c r="I26" s="128" t="s">
        <v>321</v>
      </c>
      <c r="J26" s="129">
        <v>39083</v>
      </c>
      <c r="L26" s="128" t="s">
        <v>220</v>
      </c>
      <c r="X26" s="128" t="s">
        <v>322</v>
      </c>
      <c r="Z26" s="128">
        <v>20</v>
      </c>
      <c r="AA26" s="128">
        <v>20</v>
      </c>
      <c r="AB26" s="128">
        <v>51</v>
      </c>
      <c r="AC26" s="128">
        <v>55</v>
      </c>
      <c r="AD26" s="128">
        <v>57</v>
      </c>
      <c r="AN26" s="128">
        <v>10268</v>
      </c>
      <c r="AO26" s="128" t="s">
        <v>323</v>
      </c>
      <c r="BL26" s="128" t="s">
        <v>324</v>
      </c>
      <c r="BM26" s="128" t="s">
        <v>325</v>
      </c>
      <c r="BN26" s="128" t="s">
        <v>326</v>
      </c>
      <c r="BO26" s="128">
        <v>0</v>
      </c>
      <c r="BP26" s="128">
        <v>0</v>
      </c>
      <c r="BQ26" s="128">
        <v>0</v>
      </c>
      <c r="BR26" s="128">
        <v>0</v>
      </c>
      <c r="BS26" s="128">
        <v>0</v>
      </c>
      <c r="BT26" s="128">
        <v>7</v>
      </c>
      <c r="BU26" s="128">
        <v>18</v>
      </c>
      <c r="BV26" s="128">
        <v>29</v>
      </c>
      <c r="BW26" s="128">
        <v>1</v>
      </c>
      <c r="BX26" s="128">
        <v>0</v>
      </c>
      <c r="BY26" s="128">
        <v>7</v>
      </c>
      <c r="BZ26" s="128">
        <v>18</v>
      </c>
      <c r="CA26" s="128">
        <v>29</v>
      </c>
      <c r="CB26" s="128">
        <v>1</v>
      </c>
      <c r="CC26" s="128">
        <v>0</v>
      </c>
      <c r="CD26" s="128">
        <v>0</v>
      </c>
      <c r="CE26" s="128">
        <v>55</v>
      </c>
      <c r="CF26" s="128">
        <v>55</v>
      </c>
      <c r="CH26" s="128">
        <v>0</v>
      </c>
      <c r="CI26" s="128">
        <v>0</v>
      </c>
      <c r="CJ26" s="128">
        <v>0</v>
      </c>
      <c r="CK26" s="128">
        <v>0</v>
      </c>
      <c r="CL26" s="128">
        <v>0</v>
      </c>
      <c r="CM26" s="128">
        <v>8</v>
      </c>
      <c r="CN26" s="128">
        <v>18</v>
      </c>
      <c r="CO26" s="128">
        <v>28</v>
      </c>
      <c r="CP26" s="128">
        <v>3</v>
      </c>
      <c r="CQ26" s="128">
        <v>0</v>
      </c>
      <c r="CR26" s="128">
        <v>8</v>
      </c>
      <c r="CS26" s="128">
        <v>18</v>
      </c>
      <c r="CT26" s="128">
        <v>28</v>
      </c>
      <c r="CU26" s="128">
        <v>3</v>
      </c>
      <c r="CV26" s="128">
        <v>0</v>
      </c>
      <c r="CW26" s="128">
        <v>0</v>
      </c>
      <c r="CX26" s="128">
        <v>57</v>
      </c>
      <c r="CY26" s="128">
        <v>57</v>
      </c>
      <c r="EK26" s="128">
        <v>1</v>
      </c>
      <c r="EL26" s="128">
        <v>0.88</v>
      </c>
      <c r="EM26" s="128">
        <v>0.5</v>
      </c>
      <c r="EN26" s="128">
        <v>413700</v>
      </c>
      <c r="EO26" s="128">
        <v>300000</v>
      </c>
      <c r="EP26" s="128">
        <v>7</v>
      </c>
      <c r="EQ26" s="128">
        <v>5.5</v>
      </c>
      <c r="ER26" s="128">
        <v>4.5</v>
      </c>
      <c r="ES26" s="128">
        <v>2569600</v>
      </c>
      <c r="ET26" s="128">
        <v>1680000</v>
      </c>
      <c r="FO26" s="128">
        <v>3</v>
      </c>
      <c r="FP26" s="128">
        <v>0.4</v>
      </c>
      <c r="FQ26" s="128">
        <v>0.4</v>
      </c>
      <c r="FR26" s="128">
        <v>203800</v>
      </c>
      <c r="FS26" s="128">
        <v>0</v>
      </c>
      <c r="IN26" s="128">
        <v>2</v>
      </c>
      <c r="IO26" s="128">
        <v>300</v>
      </c>
      <c r="IP26" s="128">
        <v>0.14299999999999999</v>
      </c>
      <c r="IQ26" s="128">
        <v>36000</v>
      </c>
      <c r="IR26" s="128">
        <v>16000</v>
      </c>
      <c r="KG26" s="128">
        <v>0</v>
      </c>
      <c r="KI26" s="128">
        <v>6.38</v>
      </c>
      <c r="KJ26" s="128">
        <v>0</v>
      </c>
      <c r="KK26" s="128">
        <v>0.14299999999999999</v>
      </c>
      <c r="KL26" s="128">
        <v>0</v>
      </c>
      <c r="KM26" s="128">
        <v>6.5229999999999997</v>
      </c>
      <c r="KN26" s="128">
        <v>3187100</v>
      </c>
      <c r="KO26" s="128">
        <v>1980000</v>
      </c>
      <c r="KP26" s="128">
        <v>1980000</v>
      </c>
      <c r="KT26" s="128">
        <v>0</v>
      </c>
      <c r="KU26" s="128">
        <v>0</v>
      </c>
      <c r="KV26" s="128">
        <v>0</v>
      </c>
      <c r="KZ26" s="128">
        <v>36000</v>
      </c>
      <c r="LA26" s="128">
        <v>16000</v>
      </c>
      <c r="LB26" s="128">
        <v>16000</v>
      </c>
      <c r="LF26" s="128">
        <v>106000</v>
      </c>
      <c r="LG26" s="128">
        <v>0</v>
      </c>
      <c r="LH26" s="128">
        <v>0</v>
      </c>
      <c r="LL26" s="128">
        <v>0</v>
      </c>
      <c r="LM26" s="128">
        <v>0</v>
      </c>
      <c r="LN26" s="128">
        <v>0</v>
      </c>
      <c r="LR26" s="128">
        <v>75000</v>
      </c>
      <c r="LS26" s="128">
        <v>12000</v>
      </c>
      <c r="LT26" s="128">
        <v>12000</v>
      </c>
      <c r="LX26" s="128">
        <v>0</v>
      </c>
      <c r="LY26" s="128">
        <v>0</v>
      </c>
      <c r="LZ26" s="128">
        <v>0</v>
      </c>
      <c r="MD26" s="128">
        <v>8200</v>
      </c>
      <c r="ME26" s="128">
        <v>0</v>
      </c>
      <c r="MF26" s="128">
        <v>0</v>
      </c>
      <c r="MJ26" s="128">
        <v>115000</v>
      </c>
      <c r="MK26" s="128">
        <v>71000</v>
      </c>
      <c r="ML26" s="128">
        <v>71000</v>
      </c>
      <c r="MP26" s="128">
        <v>48000</v>
      </c>
      <c r="MQ26" s="128">
        <v>0</v>
      </c>
      <c r="MR26" s="128">
        <v>0</v>
      </c>
      <c r="MV26" s="128">
        <v>58000</v>
      </c>
      <c r="MW26" s="128">
        <v>5000</v>
      </c>
      <c r="MX26" s="128">
        <v>5000</v>
      </c>
      <c r="NB26" s="128">
        <v>14000</v>
      </c>
      <c r="NC26" s="128">
        <v>2000</v>
      </c>
      <c r="ND26" s="128">
        <v>2000</v>
      </c>
      <c r="NH26" s="128">
        <v>79000</v>
      </c>
      <c r="NI26" s="128">
        <v>12000</v>
      </c>
      <c r="NJ26" s="128">
        <v>12000</v>
      </c>
      <c r="NN26" s="128">
        <v>70000</v>
      </c>
      <c r="NO26" s="128">
        <v>10000</v>
      </c>
      <c r="NP26" s="128">
        <v>10000</v>
      </c>
      <c r="NT26" s="128">
        <v>105000</v>
      </c>
      <c r="NU26" s="128">
        <v>15000</v>
      </c>
      <c r="NV26" s="128">
        <v>15000</v>
      </c>
      <c r="NZ26" s="128">
        <v>57000</v>
      </c>
      <c r="OA26" s="128">
        <v>5000</v>
      </c>
      <c r="OB26" s="128">
        <v>5000</v>
      </c>
      <c r="OF26" s="128">
        <v>5000</v>
      </c>
      <c r="OG26" s="128">
        <v>2000</v>
      </c>
      <c r="OH26" s="128">
        <v>2000</v>
      </c>
      <c r="OL26" s="128">
        <v>0</v>
      </c>
      <c r="OM26" s="128">
        <v>0</v>
      </c>
      <c r="ON26" s="128">
        <v>0</v>
      </c>
      <c r="OR26" s="128">
        <v>0</v>
      </c>
      <c r="OS26" s="128">
        <v>0</v>
      </c>
      <c r="OT26" s="128">
        <v>0</v>
      </c>
      <c r="OX26" s="128">
        <v>58000</v>
      </c>
      <c r="OY26" s="128">
        <v>0</v>
      </c>
      <c r="OZ26" s="128">
        <v>0</v>
      </c>
      <c r="PD26" s="128">
        <v>10000</v>
      </c>
      <c r="PE26" s="128">
        <v>0</v>
      </c>
      <c r="PF26" s="128">
        <v>0</v>
      </c>
      <c r="PJ26" s="128">
        <v>10000</v>
      </c>
      <c r="PK26" s="128">
        <v>0</v>
      </c>
      <c r="PL26" s="128">
        <v>0</v>
      </c>
      <c r="PP26" s="128">
        <v>4041300</v>
      </c>
      <c r="PQ26" s="128">
        <v>2130000</v>
      </c>
      <c r="PR26" s="128">
        <v>2130000</v>
      </c>
      <c r="PS26" s="128">
        <v>100</v>
      </c>
      <c r="PT26" s="128">
        <v>100</v>
      </c>
      <c r="PV26" s="128">
        <v>2746619</v>
      </c>
      <c r="PX26" s="128">
        <v>1755000</v>
      </c>
      <c r="PY26" s="128">
        <v>1794000</v>
      </c>
      <c r="PZ26" s="128">
        <v>2130000</v>
      </c>
      <c r="QA26" s="128">
        <v>0</v>
      </c>
      <c r="QB26" s="128">
        <v>0</v>
      </c>
      <c r="QC26" s="128">
        <v>0</v>
      </c>
      <c r="QD26" s="128">
        <v>0</v>
      </c>
      <c r="QE26" s="128">
        <v>0</v>
      </c>
      <c r="QF26" s="128">
        <v>0</v>
      </c>
      <c r="QG26" s="128">
        <v>0</v>
      </c>
      <c r="QH26" s="128">
        <v>0</v>
      </c>
      <c r="QI26" s="128">
        <v>0</v>
      </c>
      <c r="QJ26" s="128">
        <v>786202</v>
      </c>
      <c r="QK26" s="128">
        <v>705000</v>
      </c>
      <c r="QL26" s="128">
        <v>727700</v>
      </c>
      <c r="QN26" s="128">
        <v>0</v>
      </c>
      <c r="QO26" s="128">
        <v>0</v>
      </c>
      <c r="QP26" s="128">
        <v>0</v>
      </c>
      <c r="QU26" s="128">
        <v>128000</v>
      </c>
      <c r="QV26" s="128">
        <v>31000</v>
      </c>
      <c r="QW26" s="128">
        <v>110000</v>
      </c>
      <c r="QX26" s="128">
        <v>820000</v>
      </c>
      <c r="QY26" s="128">
        <v>910000</v>
      </c>
      <c r="QZ26" s="128">
        <v>1073600</v>
      </c>
      <c r="RH26" s="128">
        <f t="shared" si="104"/>
        <v>3313600</v>
      </c>
      <c r="RI26" s="128">
        <v>0</v>
      </c>
      <c r="RM26" s="128" t="s">
        <v>220</v>
      </c>
      <c r="RU26" s="130"/>
      <c r="RV26" s="130"/>
      <c r="RW26" s="130"/>
      <c r="RX26" s="130"/>
      <c r="SF26" s="128">
        <f t="shared" si="8"/>
        <v>7268793</v>
      </c>
      <c r="SG26" s="131">
        <f t="shared" si="9"/>
        <v>4041300</v>
      </c>
      <c r="SH26" s="131">
        <f t="shared" si="10"/>
        <v>4041300</v>
      </c>
      <c r="SI26" s="131">
        <f t="shared" si="11"/>
        <v>3329100</v>
      </c>
      <c r="SJ26" s="132">
        <f t="shared" si="12"/>
        <v>3187100</v>
      </c>
      <c r="SK26" s="132">
        <f t="shared" si="13"/>
        <v>0</v>
      </c>
      <c r="SL26" s="132">
        <f t="shared" si="14"/>
        <v>36000</v>
      </c>
      <c r="SM26" s="132">
        <f t="shared" si="15"/>
        <v>106000</v>
      </c>
      <c r="SN26" s="131">
        <f t="shared" si="16"/>
        <v>712200</v>
      </c>
      <c r="SO26" s="131">
        <f t="shared" si="17"/>
        <v>75000</v>
      </c>
      <c r="SP26" s="132">
        <f t="shared" si="18"/>
        <v>0</v>
      </c>
      <c r="SQ26" s="132">
        <f t="shared" si="19"/>
        <v>75000</v>
      </c>
      <c r="SR26" s="132">
        <f t="shared" si="20"/>
        <v>0</v>
      </c>
      <c r="SS26" s="132">
        <f t="shared" si="21"/>
        <v>8200</v>
      </c>
      <c r="ST26" s="132">
        <f t="shared" si="22"/>
        <v>115000</v>
      </c>
      <c r="SU26" s="132">
        <f t="shared" si="23"/>
        <v>48000</v>
      </c>
      <c r="SV26" s="131">
        <f t="shared" si="24"/>
        <v>446000</v>
      </c>
      <c r="SW26" s="132">
        <f t="shared" si="25"/>
        <v>58000</v>
      </c>
      <c r="SX26" s="132">
        <f t="shared" si="26"/>
        <v>14000</v>
      </c>
      <c r="SY26" s="132">
        <f t="shared" si="27"/>
        <v>79000</v>
      </c>
      <c r="SZ26" s="132">
        <f t="shared" si="28"/>
        <v>70000</v>
      </c>
      <c r="TA26" s="132">
        <f t="shared" si="29"/>
        <v>105000</v>
      </c>
      <c r="TB26" s="132">
        <f t="shared" si="30"/>
        <v>57000</v>
      </c>
      <c r="TC26" s="132">
        <f t="shared" si="31"/>
        <v>5000</v>
      </c>
      <c r="TD26" s="132">
        <f t="shared" si="32"/>
        <v>0</v>
      </c>
      <c r="TE26" s="132">
        <f t="shared" si="33"/>
        <v>0</v>
      </c>
      <c r="TF26" s="132">
        <f t="shared" si="34"/>
        <v>58000</v>
      </c>
      <c r="TG26" s="132">
        <f t="shared" si="35"/>
        <v>10000</v>
      </c>
      <c r="TH26" s="132">
        <f t="shared" si="36"/>
        <v>10000</v>
      </c>
      <c r="TI26" s="1"/>
      <c r="TJ26" s="131">
        <f t="shared" si="37"/>
        <v>2130000</v>
      </c>
      <c r="TK26" s="131">
        <f t="shared" si="38"/>
        <v>2130000</v>
      </c>
      <c r="TL26" s="131">
        <f t="shared" si="39"/>
        <v>1996000</v>
      </c>
      <c r="TM26" s="132">
        <f t="shared" si="40"/>
        <v>1980000</v>
      </c>
      <c r="TN26" s="132">
        <f t="shared" si="41"/>
        <v>0</v>
      </c>
      <c r="TO26" s="132">
        <f t="shared" si="42"/>
        <v>16000</v>
      </c>
      <c r="TP26" s="132">
        <f t="shared" si="43"/>
        <v>0</v>
      </c>
      <c r="TQ26" s="131">
        <f t="shared" si="44"/>
        <v>134000</v>
      </c>
      <c r="TR26" s="131">
        <f t="shared" si="45"/>
        <v>12000</v>
      </c>
      <c r="TS26" s="132">
        <f t="shared" si="46"/>
        <v>0</v>
      </c>
      <c r="TT26" s="132">
        <f t="shared" si="47"/>
        <v>12000</v>
      </c>
      <c r="TU26" s="132">
        <f t="shared" si="48"/>
        <v>0</v>
      </c>
      <c r="TV26" s="132">
        <f t="shared" si="49"/>
        <v>0</v>
      </c>
      <c r="TW26" s="132">
        <f t="shared" si="50"/>
        <v>71000</v>
      </c>
      <c r="TX26" s="132">
        <f t="shared" si="51"/>
        <v>0</v>
      </c>
      <c r="TY26" s="131">
        <f t="shared" si="52"/>
        <v>51000</v>
      </c>
      <c r="TZ26" s="132">
        <f t="shared" si="53"/>
        <v>5000</v>
      </c>
      <c r="UA26" s="132">
        <f t="shared" si="54"/>
        <v>2000</v>
      </c>
      <c r="UB26" s="132">
        <f t="shared" si="55"/>
        <v>12000</v>
      </c>
      <c r="UC26" s="132">
        <f t="shared" si="56"/>
        <v>10000</v>
      </c>
      <c r="UD26" s="132">
        <f t="shared" si="57"/>
        <v>15000</v>
      </c>
      <c r="UE26" s="132">
        <f t="shared" si="58"/>
        <v>5000</v>
      </c>
      <c r="UF26" s="132">
        <f t="shared" si="59"/>
        <v>2000</v>
      </c>
      <c r="UG26" s="132">
        <f t="shared" si="60"/>
        <v>0</v>
      </c>
      <c r="UH26" s="132">
        <f t="shared" si="61"/>
        <v>0</v>
      </c>
      <c r="UI26" s="132">
        <f t="shared" si="62"/>
        <v>0</v>
      </c>
      <c r="UJ26" s="132">
        <f t="shared" si="63"/>
        <v>0</v>
      </c>
      <c r="UK26" s="132">
        <f t="shared" si="64"/>
        <v>0</v>
      </c>
      <c r="UL26" s="132">
        <f t="shared" si="105"/>
        <v>2130000</v>
      </c>
      <c r="UM26" s="131">
        <f t="shared" si="65"/>
        <v>2130000</v>
      </c>
      <c r="UN26" s="131">
        <f t="shared" si="66"/>
        <v>2130000</v>
      </c>
      <c r="UO26" s="131">
        <f t="shared" si="67"/>
        <v>1996000</v>
      </c>
      <c r="UP26" s="132">
        <f t="shared" si="68"/>
        <v>1980000</v>
      </c>
      <c r="UQ26" s="132">
        <f t="shared" si="69"/>
        <v>0</v>
      </c>
      <c r="UR26" s="132">
        <f t="shared" si="70"/>
        <v>16000</v>
      </c>
      <c r="US26" s="132">
        <f t="shared" si="71"/>
        <v>0</v>
      </c>
      <c r="UT26" s="131">
        <f t="shared" si="72"/>
        <v>134000</v>
      </c>
      <c r="UU26" s="131">
        <f t="shared" si="73"/>
        <v>12000</v>
      </c>
      <c r="UV26" s="132">
        <f t="shared" si="74"/>
        <v>0</v>
      </c>
      <c r="UW26" s="132">
        <f t="shared" si="75"/>
        <v>12000</v>
      </c>
      <c r="UX26" s="132">
        <f t="shared" si="76"/>
        <v>0</v>
      </c>
      <c r="UY26" s="132">
        <f t="shared" si="77"/>
        <v>0</v>
      </c>
      <c r="UZ26" s="132">
        <f t="shared" si="78"/>
        <v>71000</v>
      </c>
      <c r="VA26" s="132">
        <f t="shared" si="79"/>
        <v>0</v>
      </c>
      <c r="VB26" s="131">
        <f t="shared" si="80"/>
        <v>51000</v>
      </c>
      <c r="VC26" s="132">
        <f t="shared" si="81"/>
        <v>5000</v>
      </c>
      <c r="VD26" s="132">
        <f t="shared" si="82"/>
        <v>2000</v>
      </c>
      <c r="VE26" s="132">
        <f t="shared" si="83"/>
        <v>12000</v>
      </c>
      <c r="VF26" s="132">
        <f t="shared" si="84"/>
        <v>10000</v>
      </c>
      <c r="VG26" s="132">
        <f t="shared" si="85"/>
        <v>15000</v>
      </c>
      <c r="VH26" s="132">
        <f t="shared" si="86"/>
        <v>5000</v>
      </c>
      <c r="VI26" s="132">
        <f t="shared" si="87"/>
        <v>2000</v>
      </c>
      <c r="VJ26" s="132">
        <f t="shared" si="88"/>
        <v>0</v>
      </c>
      <c r="VK26" s="132">
        <f t="shared" si="89"/>
        <v>0</v>
      </c>
      <c r="VL26" s="132">
        <f t="shared" si="90"/>
        <v>0</v>
      </c>
      <c r="VM26" s="132">
        <f t="shared" si="91"/>
        <v>0</v>
      </c>
      <c r="VN26" s="132">
        <f t="shared" si="92"/>
        <v>0</v>
      </c>
      <c r="VP26" s="845" t="str">
        <f>IFERROR(HLOOKUP(F26,'Hodnocení '!$C$1:$JH$5,2,FALSE),0)</f>
        <v>Denní stacionář pro seniory</v>
      </c>
      <c r="VQ26" s="838"/>
      <c r="VR26" s="845" t="str">
        <f t="shared" si="106"/>
        <v>Obecně prospěšná společnost</v>
      </c>
      <c r="VS26" s="845" t="str">
        <f>IFERROR(HLOOKUP(F26,'Hodnocení '!$C$1:$JH$5,5,FALSE),0)</f>
        <v>NZO</v>
      </c>
      <c r="VT26" s="838">
        <f t="shared" si="107"/>
        <v>0</v>
      </c>
      <c r="VU26" s="838">
        <f t="shared" si="108"/>
        <v>0</v>
      </c>
      <c r="VV26" s="838">
        <f t="shared" si="109"/>
        <v>727700</v>
      </c>
      <c r="VW26" s="838">
        <f t="shared" si="110"/>
        <v>0</v>
      </c>
      <c r="VX26" s="838"/>
      <c r="VY26" s="838">
        <f t="shared" si="114"/>
        <v>0</v>
      </c>
      <c r="VZ26" s="838">
        <f t="shared" si="115"/>
        <v>2130000</v>
      </c>
      <c r="WA26" s="846">
        <f>IFERROR(HLOOKUP($F26,'Hodnocení '!$C$1:$JH$9,9,FALSE),0)</f>
        <v>2130000</v>
      </c>
      <c r="WB26" s="846">
        <f>IF(IFERROR(HLOOKUP($F26,'Hodnocení '!$C$1:$JH$13,13,FALSE),0)&gt;WA26,WA26,IFERROR(HLOOKUP($F26,'Hodnocení '!$C$1:$JH$13,13,FALSE),0))</f>
        <v>2130000</v>
      </c>
      <c r="WC26" s="846">
        <f>IFERROR(HLOOKUP($F26,'Hodnocení '!$C$1:$JH$155,155,FALSE),0)</f>
        <v>2130000</v>
      </c>
      <c r="WD26" s="845"/>
      <c r="WE26" s="845"/>
      <c r="WF26" s="845" t="str">
        <f t="shared" si="97"/>
        <v>ANO</v>
      </c>
      <c r="WG26" s="849" t="str">
        <f t="shared" si="98"/>
        <v>Podpora služby je vyjádřena zařazením do sítě sociálních služeb v KHK a řešením financování služby</v>
      </c>
      <c r="WH26" s="849" t="str">
        <f t="shared" si="9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6" s="849" t="str">
        <f t="shared" si="98"/>
        <v>Návrh dotace je výsledkem projednání s ostatními zadavateli v rámci sítě služeb KHK</v>
      </c>
      <c r="WJ26" s="849" t="str">
        <f t="shared" si="98"/>
        <v>Bez komentáře</v>
      </c>
      <c r="WK26" s="31">
        <f t="shared" si="99"/>
        <v>0</v>
      </c>
      <c r="WL26" s="850">
        <f t="shared" si="100"/>
        <v>0</v>
      </c>
      <c r="WM26" s="849" t="str">
        <f t="shared" si="101"/>
        <v>V rámci sítě KHK se dlouhodobě řeší otázka navyšování úhrad a průběžně se monitoruje s vazbou na vykrytí vyrovnávací platby</v>
      </c>
      <c r="WN26" s="849">
        <f t="shared" si="102"/>
        <v>0</v>
      </c>
      <c r="WO26" s="849" t="str">
        <f t="shared" si="116"/>
        <v>bez komentáře</v>
      </c>
      <c r="WP26" s="849" t="str">
        <f t="shared" si="116"/>
        <v>bez komentáře</v>
      </c>
      <c r="WQ26" s="849" t="str">
        <f t="shared" si="116"/>
        <v>Konečná výše dotace z rozpočtu KHK bude řešena v návaznosti na řešení podílů jednotlivých zadavatelů.</v>
      </c>
      <c r="WR26" s="849" t="str">
        <f t="shared" si="116"/>
        <v>Konečná výše podpory ze stran obcí bude řešena v součinnosti s jednotlivými zadavateli v průběhu roku.</v>
      </c>
      <c r="WS26" s="849" t="str">
        <f t="shared" si="116"/>
        <v>bez komentáře</v>
      </c>
      <c r="WT26" s="849" t="str">
        <f t="shared" si="116"/>
        <v>bez komentáře</v>
      </c>
      <c r="WU26" s="845"/>
    </row>
    <row r="27" spans="1:619" s="128" customFormat="1" x14ac:dyDescent="0.25">
      <c r="A27" s="128" t="str">
        <f>VLOOKUP(F27,'Výpočet VP 2020'!$D$324:$I$588,6,FALSE)</f>
        <v>Je v síti</v>
      </c>
      <c r="B27" s="128" t="s">
        <v>312</v>
      </c>
      <c r="C27" s="128">
        <v>25999044</v>
      </c>
      <c r="D27" s="128" t="s">
        <v>313</v>
      </c>
      <c r="E27" s="128" t="s">
        <v>216</v>
      </c>
      <c r="F27" s="128">
        <v>9684449</v>
      </c>
      <c r="G27" s="128" t="s">
        <v>292</v>
      </c>
      <c r="H27" s="128" t="s">
        <v>293</v>
      </c>
      <c r="I27" s="128" t="s">
        <v>327</v>
      </c>
      <c r="J27" s="129">
        <v>39083</v>
      </c>
      <c r="L27" s="128" t="s">
        <v>220</v>
      </c>
      <c r="X27" s="128" t="s">
        <v>227</v>
      </c>
      <c r="AI27" s="128">
        <v>810</v>
      </c>
      <c r="AJ27" s="128">
        <v>8</v>
      </c>
      <c r="AK27" s="128">
        <v>785</v>
      </c>
      <c r="AL27" s="128">
        <v>806</v>
      </c>
      <c r="AM27" s="128">
        <v>810</v>
      </c>
      <c r="BL27" s="128" t="s">
        <v>317</v>
      </c>
      <c r="BM27" s="128" t="s">
        <v>279</v>
      </c>
      <c r="BN27" s="128" t="s">
        <v>299</v>
      </c>
      <c r="EK27" s="128">
        <v>2</v>
      </c>
      <c r="EL27" s="128">
        <v>1.5</v>
      </c>
      <c r="EM27" s="128">
        <v>1</v>
      </c>
      <c r="EN27" s="128">
        <v>829800</v>
      </c>
      <c r="EO27" s="128">
        <v>685000</v>
      </c>
      <c r="FJ27" s="128">
        <v>1</v>
      </c>
      <c r="FK27" s="128">
        <v>0.5</v>
      </c>
      <c r="FL27" s="128">
        <v>0.5</v>
      </c>
      <c r="FM27" s="128">
        <v>295500</v>
      </c>
      <c r="FN27" s="128">
        <v>210000</v>
      </c>
      <c r="FO27" s="128">
        <v>2</v>
      </c>
      <c r="FP27" s="128">
        <v>0.04</v>
      </c>
      <c r="FQ27" s="128">
        <v>0.19</v>
      </c>
      <c r="FR27" s="128">
        <v>23000</v>
      </c>
      <c r="FS27" s="128">
        <v>12000</v>
      </c>
      <c r="IN27" s="128">
        <v>1</v>
      </c>
      <c r="IO27" s="128">
        <v>150</v>
      </c>
      <c r="IP27" s="128">
        <v>7.1999999999999995E-2</v>
      </c>
      <c r="IQ27" s="128">
        <v>60000</v>
      </c>
      <c r="IR27" s="128">
        <v>35000</v>
      </c>
      <c r="KG27" s="128">
        <v>0</v>
      </c>
      <c r="KI27" s="128">
        <v>2</v>
      </c>
      <c r="KJ27" s="128">
        <v>0</v>
      </c>
      <c r="KK27" s="128">
        <v>7.1999999999999995E-2</v>
      </c>
      <c r="KL27" s="128">
        <v>0</v>
      </c>
      <c r="KM27" s="128">
        <v>2.0720000000000001</v>
      </c>
      <c r="KN27" s="128">
        <v>1148300</v>
      </c>
      <c r="KO27" s="128">
        <v>907000</v>
      </c>
      <c r="KP27" s="128">
        <v>907000</v>
      </c>
      <c r="KT27" s="128">
        <v>0</v>
      </c>
      <c r="KU27" s="128">
        <v>0</v>
      </c>
      <c r="KV27" s="128">
        <v>0</v>
      </c>
      <c r="KZ27" s="128">
        <v>60000</v>
      </c>
      <c r="LA27" s="128">
        <v>35000</v>
      </c>
      <c r="LB27" s="128">
        <v>35000</v>
      </c>
      <c r="LF27" s="128">
        <v>58000</v>
      </c>
      <c r="LG27" s="128">
        <v>0</v>
      </c>
      <c r="LH27" s="128">
        <v>0</v>
      </c>
      <c r="LL27" s="128">
        <v>0</v>
      </c>
      <c r="LM27" s="128">
        <v>0</v>
      </c>
      <c r="LN27" s="128">
        <v>0</v>
      </c>
      <c r="LR27" s="128">
        <v>25000</v>
      </c>
      <c r="LS27" s="128">
        <v>12000</v>
      </c>
      <c r="LT27" s="128">
        <v>12000</v>
      </c>
      <c r="LX27" s="128">
        <v>0</v>
      </c>
      <c r="LY27" s="128">
        <v>0</v>
      </c>
      <c r="LZ27" s="128">
        <v>0</v>
      </c>
      <c r="MD27" s="128">
        <v>4800</v>
      </c>
      <c r="ME27" s="128">
        <v>1500</v>
      </c>
      <c r="MF27" s="128">
        <v>1500</v>
      </c>
      <c r="MJ27" s="128">
        <v>3200</v>
      </c>
      <c r="MK27" s="128">
        <v>0</v>
      </c>
      <c r="ML27" s="128">
        <v>0</v>
      </c>
      <c r="MP27" s="128">
        <v>5000</v>
      </c>
      <c r="MQ27" s="128">
        <v>0</v>
      </c>
      <c r="MR27" s="128">
        <v>0</v>
      </c>
      <c r="MV27" s="128">
        <v>28000</v>
      </c>
      <c r="MW27" s="128">
        <v>19000</v>
      </c>
      <c r="MX27" s="128">
        <v>19000</v>
      </c>
      <c r="NB27" s="128">
        <v>13000</v>
      </c>
      <c r="NC27" s="128">
        <v>5000</v>
      </c>
      <c r="ND27" s="128">
        <v>5000</v>
      </c>
      <c r="NH27" s="128">
        <v>110000</v>
      </c>
      <c r="NI27" s="128">
        <v>80000</v>
      </c>
      <c r="NJ27" s="128">
        <v>80000</v>
      </c>
      <c r="NN27" s="128">
        <v>18000</v>
      </c>
      <c r="NO27" s="128">
        <v>12000</v>
      </c>
      <c r="NP27" s="128">
        <v>12000</v>
      </c>
      <c r="NT27" s="128">
        <v>25000</v>
      </c>
      <c r="NU27" s="128">
        <v>10000</v>
      </c>
      <c r="NV27" s="128">
        <v>10000</v>
      </c>
      <c r="NZ27" s="128">
        <v>2000</v>
      </c>
      <c r="OA27" s="128">
        <v>0</v>
      </c>
      <c r="OB27" s="128">
        <v>0</v>
      </c>
      <c r="OF27" s="128">
        <v>10500</v>
      </c>
      <c r="OG27" s="128">
        <v>6000</v>
      </c>
      <c r="OH27" s="128">
        <v>6000</v>
      </c>
      <c r="OL27" s="128">
        <v>0</v>
      </c>
      <c r="OM27" s="128">
        <v>0</v>
      </c>
      <c r="ON27" s="128">
        <v>0</v>
      </c>
      <c r="OR27" s="128">
        <v>0</v>
      </c>
      <c r="OS27" s="128">
        <v>0</v>
      </c>
      <c r="OT27" s="128">
        <v>0</v>
      </c>
      <c r="OX27" s="128">
        <v>5000</v>
      </c>
      <c r="OY27" s="128">
        <v>0</v>
      </c>
      <c r="OZ27" s="128">
        <v>0</v>
      </c>
      <c r="PD27" s="128">
        <v>0</v>
      </c>
      <c r="PE27" s="128">
        <v>0</v>
      </c>
      <c r="PF27" s="128">
        <v>0</v>
      </c>
      <c r="PJ27" s="128">
        <v>4000</v>
      </c>
      <c r="PK27" s="128">
        <v>0</v>
      </c>
      <c r="PL27" s="128">
        <v>0</v>
      </c>
      <c r="PP27" s="128">
        <v>1519800</v>
      </c>
      <c r="PQ27" s="128">
        <v>1087500</v>
      </c>
      <c r="PR27" s="128">
        <v>1087500</v>
      </c>
      <c r="PS27" s="128">
        <v>100</v>
      </c>
      <c r="PT27" s="128">
        <v>100</v>
      </c>
      <c r="PX27" s="128">
        <v>964200</v>
      </c>
      <c r="PY27" s="128">
        <v>894780</v>
      </c>
      <c r="PZ27" s="128">
        <v>1087500</v>
      </c>
      <c r="QA27" s="128">
        <v>0</v>
      </c>
      <c r="QB27" s="128">
        <v>0</v>
      </c>
      <c r="QC27" s="128">
        <v>0</v>
      </c>
      <c r="QD27" s="128">
        <v>0</v>
      </c>
      <c r="QE27" s="128">
        <v>0</v>
      </c>
      <c r="QF27" s="128">
        <v>0</v>
      </c>
      <c r="QG27" s="128">
        <v>0</v>
      </c>
      <c r="QH27" s="128">
        <v>0</v>
      </c>
      <c r="QI27" s="128">
        <v>0</v>
      </c>
      <c r="QJ27" s="128">
        <v>0</v>
      </c>
      <c r="QK27" s="128">
        <v>0</v>
      </c>
      <c r="QL27" s="128">
        <v>0</v>
      </c>
      <c r="QN27" s="128">
        <v>0</v>
      </c>
      <c r="QO27" s="128">
        <v>0</v>
      </c>
      <c r="QP27" s="128">
        <v>0</v>
      </c>
      <c r="QU27" s="128">
        <v>94000</v>
      </c>
      <c r="QV27" s="128">
        <v>108004</v>
      </c>
      <c r="QW27" s="128">
        <v>262300</v>
      </c>
      <c r="QX27" s="128">
        <v>165000</v>
      </c>
      <c r="QY27" s="128">
        <v>168000</v>
      </c>
      <c r="QZ27" s="128">
        <v>170000</v>
      </c>
      <c r="RH27" s="128">
        <f t="shared" si="104"/>
        <v>1519800</v>
      </c>
      <c r="RI27" s="128">
        <v>0</v>
      </c>
      <c r="RM27" s="128" t="s">
        <v>220</v>
      </c>
      <c r="RU27" s="130"/>
      <c r="RV27" s="130"/>
      <c r="RW27" s="130"/>
      <c r="RX27" s="130"/>
      <c r="SF27" s="128">
        <f t="shared" si="8"/>
        <v>9684449</v>
      </c>
      <c r="SG27" s="131">
        <f t="shared" si="9"/>
        <v>1519800</v>
      </c>
      <c r="SH27" s="131">
        <f t="shared" si="10"/>
        <v>1519800</v>
      </c>
      <c r="SI27" s="131">
        <f t="shared" si="11"/>
        <v>1266300</v>
      </c>
      <c r="SJ27" s="132">
        <f t="shared" si="12"/>
        <v>1148300</v>
      </c>
      <c r="SK27" s="132">
        <f t="shared" si="13"/>
        <v>0</v>
      </c>
      <c r="SL27" s="132">
        <f t="shared" si="14"/>
        <v>60000</v>
      </c>
      <c r="SM27" s="132">
        <f t="shared" si="15"/>
        <v>58000</v>
      </c>
      <c r="SN27" s="131">
        <f t="shared" si="16"/>
        <v>253500</v>
      </c>
      <c r="SO27" s="131">
        <f t="shared" si="17"/>
        <v>25000</v>
      </c>
      <c r="SP27" s="132">
        <f t="shared" si="18"/>
        <v>0</v>
      </c>
      <c r="SQ27" s="132">
        <f t="shared" si="19"/>
        <v>25000</v>
      </c>
      <c r="SR27" s="132">
        <f t="shared" si="20"/>
        <v>0</v>
      </c>
      <c r="SS27" s="132">
        <f t="shared" si="21"/>
        <v>4800</v>
      </c>
      <c r="ST27" s="132">
        <f t="shared" si="22"/>
        <v>3200</v>
      </c>
      <c r="SU27" s="132">
        <f t="shared" si="23"/>
        <v>5000</v>
      </c>
      <c r="SV27" s="131">
        <f t="shared" si="24"/>
        <v>211500</v>
      </c>
      <c r="SW27" s="132">
        <f t="shared" si="25"/>
        <v>28000</v>
      </c>
      <c r="SX27" s="132">
        <f t="shared" si="26"/>
        <v>13000</v>
      </c>
      <c r="SY27" s="132">
        <f t="shared" si="27"/>
        <v>110000</v>
      </c>
      <c r="SZ27" s="132">
        <f t="shared" si="28"/>
        <v>18000</v>
      </c>
      <c r="TA27" s="132">
        <f t="shared" si="29"/>
        <v>25000</v>
      </c>
      <c r="TB27" s="132">
        <f t="shared" si="30"/>
        <v>2000</v>
      </c>
      <c r="TC27" s="132">
        <f t="shared" si="31"/>
        <v>10500</v>
      </c>
      <c r="TD27" s="132">
        <f t="shared" si="32"/>
        <v>0</v>
      </c>
      <c r="TE27" s="132">
        <f t="shared" si="33"/>
        <v>0</v>
      </c>
      <c r="TF27" s="132">
        <f t="shared" si="34"/>
        <v>5000</v>
      </c>
      <c r="TG27" s="132">
        <f t="shared" si="35"/>
        <v>0</v>
      </c>
      <c r="TH27" s="132">
        <f t="shared" si="36"/>
        <v>4000</v>
      </c>
      <c r="TI27" s="1"/>
      <c r="TJ27" s="131">
        <f t="shared" si="37"/>
        <v>1087500</v>
      </c>
      <c r="TK27" s="131">
        <f t="shared" si="38"/>
        <v>1087500</v>
      </c>
      <c r="TL27" s="131">
        <f t="shared" si="39"/>
        <v>942000</v>
      </c>
      <c r="TM27" s="132">
        <f t="shared" si="40"/>
        <v>907000</v>
      </c>
      <c r="TN27" s="132">
        <f t="shared" si="41"/>
        <v>0</v>
      </c>
      <c r="TO27" s="132">
        <f t="shared" si="42"/>
        <v>35000</v>
      </c>
      <c r="TP27" s="132">
        <f t="shared" si="43"/>
        <v>0</v>
      </c>
      <c r="TQ27" s="131">
        <f t="shared" si="44"/>
        <v>145500</v>
      </c>
      <c r="TR27" s="131">
        <f t="shared" si="45"/>
        <v>12000</v>
      </c>
      <c r="TS27" s="132">
        <f t="shared" si="46"/>
        <v>0</v>
      </c>
      <c r="TT27" s="132">
        <f t="shared" si="47"/>
        <v>12000</v>
      </c>
      <c r="TU27" s="132">
        <f t="shared" si="48"/>
        <v>0</v>
      </c>
      <c r="TV27" s="132">
        <f t="shared" si="49"/>
        <v>1500</v>
      </c>
      <c r="TW27" s="132">
        <f t="shared" si="50"/>
        <v>0</v>
      </c>
      <c r="TX27" s="132">
        <f t="shared" si="51"/>
        <v>0</v>
      </c>
      <c r="TY27" s="131">
        <f t="shared" si="52"/>
        <v>132000</v>
      </c>
      <c r="TZ27" s="132">
        <f t="shared" si="53"/>
        <v>19000</v>
      </c>
      <c r="UA27" s="132">
        <f t="shared" si="54"/>
        <v>5000</v>
      </c>
      <c r="UB27" s="132">
        <f t="shared" si="55"/>
        <v>80000</v>
      </c>
      <c r="UC27" s="132">
        <f t="shared" si="56"/>
        <v>12000</v>
      </c>
      <c r="UD27" s="132">
        <f t="shared" si="57"/>
        <v>10000</v>
      </c>
      <c r="UE27" s="132">
        <f t="shared" si="58"/>
        <v>0</v>
      </c>
      <c r="UF27" s="132">
        <f t="shared" si="59"/>
        <v>6000</v>
      </c>
      <c r="UG27" s="132">
        <f t="shared" si="60"/>
        <v>0</v>
      </c>
      <c r="UH27" s="132">
        <f t="shared" si="61"/>
        <v>0</v>
      </c>
      <c r="UI27" s="132">
        <f t="shared" si="62"/>
        <v>0</v>
      </c>
      <c r="UJ27" s="132">
        <f t="shared" si="63"/>
        <v>0</v>
      </c>
      <c r="UK27" s="132">
        <f t="shared" si="64"/>
        <v>0</v>
      </c>
      <c r="UL27" s="132">
        <f t="shared" si="105"/>
        <v>1087500</v>
      </c>
      <c r="UM27" s="131">
        <f t="shared" si="65"/>
        <v>1087500</v>
      </c>
      <c r="UN27" s="131">
        <f t="shared" si="66"/>
        <v>1087500</v>
      </c>
      <c r="UO27" s="131">
        <f t="shared" si="67"/>
        <v>942000</v>
      </c>
      <c r="UP27" s="132">
        <f t="shared" si="68"/>
        <v>907000</v>
      </c>
      <c r="UQ27" s="132">
        <f t="shared" si="69"/>
        <v>0</v>
      </c>
      <c r="UR27" s="132">
        <f t="shared" si="70"/>
        <v>35000</v>
      </c>
      <c r="US27" s="132">
        <f t="shared" si="71"/>
        <v>0</v>
      </c>
      <c r="UT27" s="131">
        <f t="shared" si="72"/>
        <v>145500</v>
      </c>
      <c r="UU27" s="131">
        <f t="shared" si="73"/>
        <v>12000</v>
      </c>
      <c r="UV27" s="132">
        <f t="shared" si="74"/>
        <v>0</v>
      </c>
      <c r="UW27" s="132">
        <f t="shared" si="75"/>
        <v>12000</v>
      </c>
      <c r="UX27" s="132">
        <f t="shared" si="76"/>
        <v>0</v>
      </c>
      <c r="UY27" s="132">
        <f t="shared" si="77"/>
        <v>1500</v>
      </c>
      <c r="UZ27" s="132">
        <f t="shared" si="78"/>
        <v>0</v>
      </c>
      <c r="VA27" s="132">
        <f t="shared" si="79"/>
        <v>0</v>
      </c>
      <c r="VB27" s="131">
        <f t="shared" si="80"/>
        <v>132000</v>
      </c>
      <c r="VC27" s="132">
        <f t="shared" si="81"/>
        <v>19000</v>
      </c>
      <c r="VD27" s="132">
        <f t="shared" si="82"/>
        <v>5000</v>
      </c>
      <c r="VE27" s="132">
        <f t="shared" si="83"/>
        <v>80000</v>
      </c>
      <c r="VF27" s="132">
        <f t="shared" si="84"/>
        <v>12000</v>
      </c>
      <c r="VG27" s="132">
        <f t="shared" si="85"/>
        <v>10000</v>
      </c>
      <c r="VH27" s="132">
        <f t="shared" si="86"/>
        <v>0</v>
      </c>
      <c r="VI27" s="132">
        <f t="shared" si="87"/>
        <v>6000</v>
      </c>
      <c r="VJ27" s="132">
        <f t="shared" si="88"/>
        <v>0</v>
      </c>
      <c r="VK27" s="132">
        <f t="shared" si="89"/>
        <v>0</v>
      </c>
      <c r="VL27" s="132">
        <f t="shared" si="90"/>
        <v>0</v>
      </c>
      <c r="VM27" s="132">
        <f t="shared" si="91"/>
        <v>0</v>
      </c>
      <c r="VN27" s="132">
        <f t="shared" si="92"/>
        <v>0</v>
      </c>
      <c r="VP27" s="845" t="str">
        <f>IFERROR(HLOOKUP(F27,'Hodnocení '!$C$1:$JH$5,2,FALSE),0)</f>
        <v>Manželská a rodinná poradna Jičín</v>
      </c>
      <c r="VQ27" s="838"/>
      <c r="VR27" s="845" t="str">
        <f t="shared" si="106"/>
        <v>Obecně prospěšná společnost</v>
      </c>
      <c r="VS27" s="845" t="str">
        <f>IFERROR(HLOOKUP(F27,'Hodnocení '!$C$1:$JH$5,5,FALSE),0)</f>
        <v>NZO</v>
      </c>
      <c r="VT27" s="838">
        <f t="shared" si="107"/>
        <v>0</v>
      </c>
      <c r="VU27" s="838">
        <f t="shared" si="108"/>
        <v>0</v>
      </c>
      <c r="VV27" s="838">
        <f t="shared" si="109"/>
        <v>0</v>
      </c>
      <c r="VW27" s="838">
        <f t="shared" si="110"/>
        <v>0</v>
      </c>
      <c r="VX27" s="838"/>
      <c r="VY27" s="838">
        <f t="shared" si="114"/>
        <v>0</v>
      </c>
      <c r="VZ27" s="838">
        <f t="shared" si="115"/>
        <v>1087500</v>
      </c>
      <c r="WA27" s="846">
        <f>IFERROR(HLOOKUP($F27,'Hodnocení '!$C$1:$JH$9,9,FALSE),0)</f>
        <v>1087500</v>
      </c>
      <c r="WB27" s="846">
        <f>IF(IFERROR(HLOOKUP($F27,'Hodnocení '!$C$1:$JH$13,13,FALSE),0)&gt;WA27,WA27,IFERROR(HLOOKUP($F27,'Hodnocení '!$C$1:$JH$13,13,FALSE),0))</f>
        <v>1087500</v>
      </c>
      <c r="WC27" s="846">
        <f>IFERROR(HLOOKUP($F27,'Hodnocení '!$C$1:$JH$155,155,FALSE),0)</f>
        <v>1087500</v>
      </c>
      <c r="WD27" s="845"/>
      <c r="WE27" s="845"/>
      <c r="WF27" s="845" t="str">
        <f t="shared" si="97"/>
        <v>ANO</v>
      </c>
      <c r="WG27" s="849" t="str">
        <f t="shared" si="98"/>
        <v>Podpora služby je vyjádřena zařazením do sítě sociálních služeb v KHK a řešením financování služby</v>
      </c>
      <c r="WH27" s="849" t="str">
        <f t="shared" si="9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7" s="849" t="str">
        <f t="shared" si="98"/>
        <v>Návrh dotace je výsledkem projednání s ostatními zadavateli v rámci sítě služeb KHK</v>
      </c>
      <c r="WJ27" s="849" t="str">
        <f t="shared" si="98"/>
        <v>Bez komentáře</v>
      </c>
      <c r="WK27" s="31">
        <f t="shared" si="99"/>
        <v>0</v>
      </c>
      <c r="WL27" s="850">
        <f t="shared" si="100"/>
        <v>0</v>
      </c>
      <c r="WM27" s="849">
        <f t="shared" si="101"/>
        <v>0</v>
      </c>
      <c r="WN27" s="849">
        <f t="shared" si="102"/>
        <v>0</v>
      </c>
      <c r="WO27" s="849" t="str">
        <f t="shared" si="116"/>
        <v>bez komentáře</v>
      </c>
      <c r="WP27" s="849" t="str">
        <f t="shared" si="116"/>
        <v>bez komentáře</v>
      </c>
      <c r="WQ27" s="849" t="str">
        <f t="shared" si="116"/>
        <v>Konečná výše dotace z rozpočtu KHK bude řešena v návaznosti na řešení podílů jednotlivých zadavatelů.</v>
      </c>
      <c r="WR27" s="849" t="str">
        <f t="shared" si="116"/>
        <v>Konečná výše podpory ze stran obcí bude řešena v součinnosti s jednotlivými zadavateli v průběhu roku.</v>
      </c>
      <c r="WS27" s="849" t="str">
        <f t="shared" si="116"/>
        <v>bez komentáře</v>
      </c>
      <c r="WT27" s="849" t="str">
        <f t="shared" si="116"/>
        <v>bez komentáře</v>
      </c>
      <c r="WU27" s="845"/>
    </row>
    <row r="28" spans="1:619" s="128" customFormat="1" x14ac:dyDescent="0.25">
      <c r="A28" s="128" t="str">
        <f>VLOOKUP(F28,'Výpočet VP 2020'!$D$324:$I$588,6,FALSE)</f>
        <v>Je v síti</v>
      </c>
      <c r="B28" s="128" t="s">
        <v>312</v>
      </c>
      <c r="C28" s="128">
        <v>25999044</v>
      </c>
      <c r="D28" s="128" t="s">
        <v>313</v>
      </c>
      <c r="E28" s="128" t="s">
        <v>216</v>
      </c>
      <c r="F28" s="128">
        <v>9735411</v>
      </c>
      <c r="G28" s="128" t="s">
        <v>328</v>
      </c>
      <c r="H28" s="128" t="s">
        <v>218</v>
      </c>
      <c r="I28" s="128" t="s">
        <v>329</v>
      </c>
      <c r="J28" s="129">
        <v>39083</v>
      </c>
      <c r="L28" s="128" t="s">
        <v>220</v>
      </c>
      <c r="X28" s="128" t="s">
        <v>276</v>
      </c>
      <c r="Z28" s="128">
        <v>2</v>
      </c>
      <c r="AA28" s="128">
        <v>6</v>
      </c>
      <c r="AB28" s="128">
        <v>132</v>
      </c>
      <c r="AC28" s="128">
        <v>134</v>
      </c>
      <c r="AD28" s="128">
        <v>135</v>
      </c>
      <c r="AN28" s="128">
        <v>1065</v>
      </c>
      <c r="AP28" s="128" t="s">
        <v>330</v>
      </c>
      <c r="AQ28" s="128">
        <v>26</v>
      </c>
      <c r="AR28" s="128">
        <v>226</v>
      </c>
      <c r="AS28" s="128">
        <v>535</v>
      </c>
      <c r="AT28" s="128">
        <v>540</v>
      </c>
      <c r="AU28" s="128">
        <v>545</v>
      </c>
      <c r="BJ28" s="128">
        <v>4250</v>
      </c>
      <c r="BL28" s="128" t="s">
        <v>331</v>
      </c>
      <c r="BM28" s="128" t="s">
        <v>325</v>
      </c>
      <c r="BN28" s="128" t="s">
        <v>326</v>
      </c>
      <c r="BO28" s="128">
        <v>0</v>
      </c>
      <c r="BP28" s="128">
        <v>0</v>
      </c>
      <c r="BQ28" s="128">
        <v>0</v>
      </c>
      <c r="BR28" s="128">
        <v>0</v>
      </c>
      <c r="BS28" s="128">
        <v>0</v>
      </c>
      <c r="BT28" s="128">
        <v>315</v>
      </c>
      <c r="BU28" s="128">
        <v>108</v>
      </c>
      <c r="BV28" s="128">
        <v>66</v>
      </c>
      <c r="BW28" s="128">
        <v>13</v>
      </c>
      <c r="BX28" s="128">
        <v>170</v>
      </c>
      <c r="BY28" s="128">
        <v>315</v>
      </c>
      <c r="BZ28" s="128">
        <v>108</v>
      </c>
      <c r="CA28" s="128">
        <v>66</v>
      </c>
      <c r="CB28" s="128">
        <v>13</v>
      </c>
      <c r="CC28" s="128">
        <v>170</v>
      </c>
      <c r="CD28" s="128">
        <v>0</v>
      </c>
      <c r="CE28" s="128">
        <v>672</v>
      </c>
      <c r="CF28" s="128">
        <v>672</v>
      </c>
      <c r="CG28" s="128">
        <v>0</v>
      </c>
      <c r="CH28" s="128">
        <v>0</v>
      </c>
      <c r="CI28" s="128">
        <v>0</v>
      </c>
      <c r="CJ28" s="128">
        <v>0</v>
      </c>
      <c r="CK28" s="128">
        <v>0</v>
      </c>
      <c r="CL28" s="128">
        <v>0</v>
      </c>
      <c r="CM28" s="128">
        <v>324</v>
      </c>
      <c r="CN28" s="128">
        <v>108</v>
      </c>
      <c r="CO28" s="128">
        <v>66</v>
      </c>
      <c r="CP28" s="128">
        <v>12</v>
      </c>
      <c r="CQ28" s="128">
        <v>170</v>
      </c>
      <c r="CR28" s="128">
        <v>324</v>
      </c>
      <c r="CS28" s="128">
        <v>108</v>
      </c>
      <c r="CT28" s="128">
        <v>66</v>
      </c>
      <c r="CU28" s="128">
        <v>12</v>
      </c>
      <c r="CV28" s="128">
        <v>170</v>
      </c>
      <c r="CW28" s="128">
        <v>0</v>
      </c>
      <c r="CX28" s="128">
        <v>680</v>
      </c>
      <c r="CY28" s="128">
        <v>680</v>
      </c>
      <c r="CZ28" s="128">
        <v>0</v>
      </c>
      <c r="EK28" s="128">
        <v>2</v>
      </c>
      <c r="EL28" s="128">
        <v>2</v>
      </c>
      <c r="EM28" s="128">
        <v>2</v>
      </c>
      <c r="EN28" s="128">
        <v>1015000</v>
      </c>
      <c r="EO28" s="128">
        <v>760000</v>
      </c>
      <c r="EP28" s="128">
        <v>32</v>
      </c>
      <c r="EQ28" s="128">
        <v>31.15</v>
      </c>
      <c r="ER28" s="128">
        <v>31.15</v>
      </c>
      <c r="ES28" s="128">
        <v>11491200</v>
      </c>
      <c r="ET28" s="128">
        <v>7950000</v>
      </c>
      <c r="FO28" s="128">
        <v>4</v>
      </c>
      <c r="FP28" s="128">
        <v>3.1</v>
      </c>
      <c r="FQ28" s="128">
        <v>0</v>
      </c>
      <c r="FR28" s="128">
        <v>1203600</v>
      </c>
      <c r="FS28" s="128">
        <v>50000</v>
      </c>
      <c r="IN28" s="128">
        <v>1</v>
      </c>
      <c r="IO28" s="128">
        <v>200</v>
      </c>
      <c r="IP28" s="128">
        <v>9.5000000000000001E-2</v>
      </c>
      <c r="IQ28" s="128">
        <v>24000</v>
      </c>
      <c r="IR28" s="128">
        <v>5000</v>
      </c>
      <c r="KG28" s="128">
        <v>0</v>
      </c>
      <c r="KI28" s="128">
        <v>33.15</v>
      </c>
      <c r="KJ28" s="128">
        <v>0</v>
      </c>
      <c r="KK28" s="128">
        <v>9.5000000000000001E-2</v>
      </c>
      <c r="KL28" s="128">
        <v>0</v>
      </c>
      <c r="KM28" s="128">
        <v>33.244999999999997</v>
      </c>
      <c r="KN28" s="128">
        <v>13709800</v>
      </c>
      <c r="KO28" s="128">
        <v>8760000</v>
      </c>
      <c r="KP28" s="128">
        <v>8760000</v>
      </c>
      <c r="KT28" s="128">
        <v>0</v>
      </c>
      <c r="KU28" s="128">
        <v>0</v>
      </c>
      <c r="KV28" s="128">
        <v>0</v>
      </c>
      <c r="KZ28" s="128">
        <v>24000</v>
      </c>
      <c r="LA28" s="128">
        <v>5000</v>
      </c>
      <c r="LB28" s="128">
        <v>5000</v>
      </c>
      <c r="LF28" s="128">
        <v>480000</v>
      </c>
      <c r="LG28" s="128">
        <v>0</v>
      </c>
      <c r="LH28" s="128">
        <v>0</v>
      </c>
      <c r="LL28" s="128">
        <v>0</v>
      </c>
      <c r="LM28" s="128">
        <v>0</v>
      </c>
      <c r="LN28" s="128">
        <v>0</v>
      </c>
      <c r="LR28" s="128">
        <v>160000</v>
      </c>
      <c r="LS28" s="128">
        <v>16000</v>
      </c>
      <c r="LT28" s="128">
        <v>16000</v>
      </c>
      <c r="LX28" s="128">
        <v>0</v>
      </c>
      <c r="LY28" s="128">
        <v>0</v>
      </c>
      <c r="LZ28" s="128">
        <v>0</v>
      </c>
      <c r="MD28" s="128">
        <v>35000</v>
      </c>
      <c r="ME28" s="128">
        <v>7000</v>
      </c>
      <c r="MF28" s="128">
        <v>7000</v>
      </c>
      <c r="MJ28" s="128">
        <v>250000</v>
      </c>
      <c r="MK28" s="128">
        <v>120000</v>
      </c>
      <c r="ML28" s="128">
        <v>120000</v>
      </c>
      <c r="MP28" s="128">
        <v>130000</v>
      </c>
      <c r="MQ28" s="128">
        <v>0</v>
      </c>
      <c r="MR28" s="128">
        <v>0</v>
      </c>
      <c r="MV28" s="128">
        <v>75000</v>
      </c>
      <c r="MW28" s="128">
        <v>10000</v>
      </c>
      <c r="MX28" s="128">
        <v>10000</v>
      </c>
      <c r="NB28" s="128">
        <v>59000</v>
      </c>
      <c r="NC28" s="128">
        <v>20000</v>
      </c>
      <c r="ND28" s="128">
        <v>20000</v>
      </c>
      <c r="NH28" s="128">
        <v>583000</v>
      </c>
      <c r="NI28" s="128">
        <v>260000</v>
      </c>
      <c r="NJ28" s="128">
        <v>260000</v>
      </c>
      <c r="NN28" s="128">
        <v>750000</v>
      </c>
      <c r="NO28" s="128">
        <v>15000</v>
      </c>
      <c r="NP28" s="128">
        <v>15000</v>
      </c>
      <c r="NT28" s="128">
        <v>100000</v>
      </c>
      <c r="NU28" s="128">
        <v>20000</v>
      </c>
      <c r="NV28" s="128">
        <v>20000</v>
      </c>
      <c r="NZ28" s="128">
        <v>130000</v>
      </c>
      <c r="OA28" s="128">
        <v>50000</v>
      </c>
      <c r="OB28" s="128">
        <v>50000</v>
      </c>
      <c r="OF28" s="128">
        <v>10000</v>
      </c>
      <c r="OG28" s="128">
        <v>2000</v>
      </c>
      <c r="OH28" s="128">
        <v>2000</v>
      </c>
      <c r="OL28" s="128">
        <v>0</v>
      </c>
      <c r="OM28" s="128">
        <v>0</v>
      </c>
      <c r="ON28" s="128">
        <v>0</v>
      </c>
      <c r="OR28" s="128">
        <v>0</v>
      </c>
      <c r="OS28" s="128">
        <v>0</v>
      </c>
      <c r="OT28" s="128">
        <v>0</v>
      </c>
      <c r="OX28" s="128">
        <v>68000</v>
      </c>
      <c r="OY28" s="128">
        <v>0</v>
      </c>
      <c r="OZ28" s="128">
        <v>0</v>
      </c>
      <c r="PD28" s="128">
        <v>250000</v>
      </c>
      <c r="PE28" s="128">
        <v>0</v>
      </c>
      <c r="PF28" s="128">
        <v>0</v>
      </c>
      <c r="PJ28" s="128">
        <v>15000</v>
      </c>
      <c r="PK28" s="128">
        <v>0</v>
      </c>
      <c r="PL28" s="128">
        <v>0</v>
      </c>
      <c r="PP28" s="128">
        <v>16828800</v>
      </c>
      <c r="PQ28" s="128">
        <v>9285000</v>
      </c>
      <c r="PR28" s="128">
        <v>9285000</v>
      </c>
      <c r="PS28" s="128">
        <v>100</v>
      </c>
      <c r="PT28" s="128">
        <v>100</v>
      </c>
      <c r="PV28" s="128">
        <v>13536970</v>
      </c>
      <c r="PX28" s="128">
        <v>9088800</v>
      </c>
      <c r="PY28" s="128">
        <v>9165000</v>
      </c>
      <c r="PZ28" s="128">
        <v>9285000</v>
      </c>
      <c r="QA28" s="128">
        <v>0</v>
      </c>
      <c r="QB28" s="128">
        <v>0</v>
      </c>
      <c r="QC28" s="128">
        <v>0</v>
      </c>
      <c r="QD28" s="128">
        <v>0</v>
      </c>
      <c r="QE28" s="128">
        <v>0</v>
      </c>
      <c r="QF28" s="128">
        <v>0</v>
      </c>
      <c r="QG28" s="128">
        <v>0</v>
      </c>
      <c r="QH28" s="128">
        <v>0</v>
      </c>
      <c r="QI28" s="128">
        <v>0</v>
      </c>
      <c r="QJ28" s="128">
        <v>3455678</v>
      </c>
      <c r="QK28" s="128">
        <v>3470800</v>
      </c>
      <c r="QL28" s="128">
        <v>3480900</v>
      </c>
      <c r="QN28" s="128">
        <v>0</v>
      </c>
      <c r="QO28" s="128">
        <v>0</v>
      </c>
      <c r="QP28" s="128">
        <v>0</v>
      </c>
      <c r="QU28" s="128">
        <v>625000</v>
      </c>
      <c r="QV28" s="128">
        <v>68320</v>
      </c>
      <c r="QW28" s="128">
        <v>125000</v>
      </c>
      <c r="QX28" s="128">
        <v>3500000</v>
      </c>
      <c r="QY28" s="128">
        <v>3800000</v>
      </c>
      <c r="QZ28" s="128">
        <v>3913100</v>
      </c>
      <c r="RD28" s="128">
        <v>145016</v>
      </c>
      <c r="RE28" s="128">
        <v>79500</v>
      </c>
      <c r="RF28" s="128">
        <v>24800</v>
      </c>
      <c r="RH28" s="128">
        <f t="shared" si="104"/>
        <v>13347900</v>
      </c>
      <c r="RI28" s="128">
        <v>0</v>
      </c>
      <c r="RM28" s="128" t="s">
        <v>220</v>
      </c>
      <c r="RU28" s="130"/>
      <c r="RV28" s="130"/>
      <c r="RW28" s="130"/>
      <c r="RX28" s="130"/>
      <c r="SF28" s="128">
        <f t="shared" si="8"/>
        <v>9735411</v>
      </c>
      <c r="SG28" s="131">
        <f t="shared" si="9"/>
        <v>16828800</v>
      </c>
      <c r="SH28" s="131">
        <f t="shared" si="10"/>
        <v>16828800</v>
      </c>
      <c r="SI28" s="131">
        <f t="shared" si="11"/>
        <v>14213800</v>
      </c>
      <c r="SJ28" s="132">
        <f t="shared" si="12"/>
        <v>13709800</v>
      </c>
      <c r="SK28" s="132">
        <f t="shared" si="13"/>
        <v>0</v>
      </c>
      <c r="SL28" s="132">
        <f t="shared" si="14"/>
        <v>24000</v>
      </c>
      <c r="SM28" s="132">
        <f t="shared" si="15"/>
        <v>480000</v>
      </c>
      <c r="SN28" s="131">
        <f t="shared" si="16"/>
        <v>2615000</v>
      </c>
      <c r="SO28" s="131">
        <f t="shared" si="17"/>
        <v>160000</v>
      </c>
      <c r="SP28" s="132">
        <f t="shared" si="18"/>
        <v>0</v>
      </c>
      <c r="SQ28" s="132">
        <f t="shared" si="19"/>
        <v>160000</v>
      </c>
      <c r="SR28" s="132">
        <f t="shared" si="20"/>
        <v>0</v>
      </c>
      <c r="SS28" s="132">
        <f t="shared" si="21"/>
        <v>35000</v>
      </c>
      <c r="ST28" s="132">
        <f t="shared" si="22"/>
        <v>250000</v>
      </c>
      <c r="SU28" s="132">
        <f t="shared" si="23"/>
        <v>130000</v>
      </c>
      <c r="SV28" s="131">
        <f t="shared" si="24"/>
        <v>1775000</v>
      </c>
      <c r="SW28" s="132">
        <f t="shared" si="25"/>
        <v>75000</v>
      </c>
      <c r="SX28" s="132">
        <f t="shared" si="26"/>
        <v>59000</v>
      </c>
      <c r="SY28" s="132">
        <f t="shared" si="27"/>
        <v>583000</v>
      </c>
      <c r="SZ28" s="132">
        <f t="shared" si="28"/>
        <v>750000</v>
      </c>
      <c r="TA28" s="132">
        <f t="shared" si="29"/>
        <v>100000</v>
      </c>
      <c r="TB28" s="132">
        <f t="shared" si="30"/>
        <v>130000</v>
      </c>
      <c r="TC28" s="132">
        <f t="shared" si="31"/>
        <v>10000</v>
      </c>
      <c r="TD28" s="132">
        <f t="shared" si="32"/>
        <v>0</v>
      </c>
      <c r="TE28" s="132">
        <f t="shared" si="33"/>
        <v>0</v>
      </c>
      <c r="TF28" s="132">
        <f t="shared" si="34"/>
        <v>68000</v>
      </c>
      <c r="TG28" s="132">
        <f t="shared" si="35"/>
        <v>250000</v>
      </c>
      <c r="TH28" s="132">
        <f t="shared" si="36"/>
        <v>15000</v>
      </c>
      <c r="TI28" s="1"/>
      <c r="TJ28" s="131">
        <f t="shared" si="37"/>
        <v>9285000</v>
      </c>
      <c r="TK28" s="131">
        <f t="shared" si="38"/>
        <v>9285000</v>
      </c>
      <c r="TL28" s="131">
        <f t="shared" si="39"/>
        <v>8765000</v>
      </c>
      <c r="TM28" s="132">
        <f t="shared" si="40"/>
        <v>8760000</v>
      </c>
      <c r="TN28" s="132">
        <f t="shared" si="41"/>
        <v>0</v>
      </c>
      <c r="TO28" s="132">
        <f t="shared" si="42"/>
        <v>5000</v>
      </c>
      <c r="TP28" s="132">
        <f t="shared" si="43"/>
        <v>0</v>
      </c>
      <c r="TQ28" s="131">
        <f t="shared" si="44"/>
        <v>520000</v>
      </c>
      <c r="TR28" s="131">
        <f t="shared" si="45"/>
        <v>16000</v>
      </c>
      <c r="TS28" s="132">
        <f t="shared" si="46"/>
        <v>0</v>
      </c>
      <c r="TT28" s="132">
        <f t="shared" si="47"/>
        <v>16000</v>
      </c>
      <c r="TU28" s="132">
        <f t="shared" si="48"/>
        <v>0</v>
      </c>
      <c r="TV28" s="132">
        <f t="shared" si="49"/>
        <v>7000</v>
      </c>
      <c r="TW28" s="132">
        <f t="shared" si="50"/>
        <v>120000</v>
      </c>
      <c r="TX28" s="132">
        <f t="shared" si="51"/>
        <v>0</v>
      </c>
      <c r="TY28" s="131">
        <f t="shared" si="52"/>
        <v>377000</v>
      </c>
      <c r="TZ28" s="132">
        <f t="shared" si="53"/>
        <v>10000</v>
      </c>
      <c r="UA28" s="132">
        <f t="shared" si="54"/>
        <v>20000</v>
      </c>
      <c r="UB28" s="132">
        <f t="shared" si="55"/>
        <v>260000</v>
      </c>
      <c r="UC28" s="132">
        <f t="shared" si="56"/>
        <v>15000</v>
      </c>
      <c r="UD28" s="132">
        <f t="shared" si="57"/>
        <v>20000</v>
      </c>
      <c r="UE28" s="132">
        <f t="shared" si="58"/>
        <v>50000</v>
      </c>
      <c r="UF28" s="132">
        <f t="shared" si="59"/>
        <v>2000</v>
      </c>
      <c r="UG28" s="132">
        <f t="shared" si="60"/>
        <v>0</v>
      </c>
      <c r="UH28" s="132">
        <f t="shared" si="61"/>
        <v>0</v>
      </c>
      <c r="UI28" s="132">
        <f t="shared" si="62"/>
        <v>0</v>
      </c>
      <c r="UJ28" s="132">
        <f t="shared" si="63"/>
        <v>0</v>
      </c>
      <c r="UK28" s="132">
        <f t="shared" si="64"/>
        <v>0</v>
      </c>
      <c r="UL28" s="132">
        <f t="shared" si="105"/>
        <v>9285000</v>
      </c>
      <c r="UM28" s="131">
        <f t="shared" si="65"/>
        <v>9285000</v>
      </c>
      <c r="UN28" s="131">
        <f t="shared" si="66"/>
        <v>9285000</v>
      </c>
      <c r="UO28" s="131">
        <f t="shared" si="67"/>
        <v>8765000</v>
      </c>
      <c r="UP28" s="132">
        <f t="shared" si="68"/>
        <v>8760000</v>
      </c>
      <c r="UQ28" s="132">
        <f t="shared" si="69"/>
        <v>0</v>
      </c>
      <c r="UR28" s="132">
        <f t="shared" si="70"/>
        <v>5000</v>
      </c>
      <c r="US28" s="132">
        <f t="shared" si="71"/>
        <v>0</v>
      </c>
      <c r="UT28" s="131">
        <f t="shared" si="72"/>
        <v>520000</v>
      </c>
      <c r="UU28" s="131">
        <f t="shared" si="73"/>
        <v>16000</v>
      </c>
      <c r="UV28" s="132">
        <f t="shared" si="74"/>
        <v>0</v>
      </c>
      <c r="UW28" s="132">
        <f t="shared" si="75"/>
        <v>16000</v>
      </c>
      <c r="UX28" s="132">
        <f t="shared" si="76"/>
        <v>0</v>
      </c>
      <c r="UY28" s="132">
        <f t="shared" si="77"/>
        <v>7000</v>
      </c>
      <c r="UZ28" s="132">
        <f t="shared" si="78"/>
        <v>120000</v>
      </c>
      <c r="VA28" s="132">
        <f t="shared" si="79"/>
        <v>0</v>
      </c>
      <c r="VB28" s="131">
        <f t="shared" si="80"/>
        <v>377000</v>
      </c>
      <c r="VC28" s="132">
        <f t="shared" si="81"/>
        <v>10000</v>
      </c>
      <c r="VD28" s="132">
        <f t="shared" si="82"/>
        <v>20000</v>
      </c>
      <c r="VE28" s="132">
        <f t="shared" si="83"/>
        <v>260000</v>
      </c>
      <c r="VF28" s="132">
        <f t="shared" si="84"/>
        <v>15000</v>
      </c>
      <c r="VG28" s="132">
        <f t="shared" si="85"/>
        <v>20000</v>
      </c>
      <c r="VH28" s="132">
        <f t="shared" si="86"/>
        <v>50000</v>
      </c>
      <c r="VI28" s="132">
        <f t="shared" si="87"/>
        <v>2000</v>
      </c>
      <c r="VJ28" s="132">
        <f t="shared" si="88"/>
        <v>0</v>
      </c>
      <c r="VK28" s="132">
        <f t="shared" si="89"/>
        <v>0</v>
      </c>
      <c r="VL28" s="132">
        <f t="shared" si="90"/>
        <v>0</v>
      </c>
      <c r="VM28" s="132">
        <f t="shared" si="91"/>
        <v>0</v>
      </c>
      <c r="VN28" s="132">
        <f t="shared" si="92"/>
        <v>0</v>
      </c>
      <c r="VP28" s="845" t="str">
        <f>IFERROR(HLOOKUP(F28,'Hodnocení '!$C$1:$JH$5,2,FALSE),0)</f>
        <v>Pečovatelská služba</v>
      </c>
      <c r="VQ28" s="838"/>
      <c r="VR28" s="845" t="str">
        <f t="shared" si="106"/>
        <v>Obecně prospěšná společnost</v>
      </c>
      <c r="VS28" s="845" t="str">
        <f>IFERROR(HLOOKUP(F28,'Hodnocení '!$C$1:$JH$5,5,FALSE),0)</f>
        <v>NZO</v>
      </c>
      <c r="VT28" s="838">
        <f t="shared" si="107"/>
        <v>0</v>
      </c>
      <c r="VU28" s="838">
        <f t="shared" si="108"/>
        <v>0</v>
      </c>
      <c r="VV28" s="838">
        <f t="shared" si="109"/>
        <v>3480900</v>
      </c>
      <c r="VW28" s="838">
        <f t="shared" si="110"/>
        <v>0</v>
      </c>
      <c r="VX28" s="838"/>
      <c r="VY28" s="838">
        <f t="shared" si="114"/>
        <v>0</v>
      </c>
      <c r="VZ28" s="838">
        <f t="shared" si="115"/>
        <v>9285000</v>
      </c>
      <c r="WA28" s="846">
        <f>IFERROR(HLOOKUP($F28,'Hodnocení '!$C$1:$JH$9,9,FALSE),0)</f>
        <v>9285000</v>
      </c>
      <c r="WB28" s="846">
        <f>IF(IFERROR(HLOOKUP($F28,'Hodnocení '!$C$1:$JH$13,13,FALSE),0)&gt;WA28,WA28,IFERROR(HLOOKUP($F28,'Hodnocení '!$C$1:$JH$13,13,FALSE),0))</f>
        <v>9285000</v>
      </c>
      <c r="WC28" s="846">
        <f>IFERROR(HLOOKUP($F28,'Hodnocení '!$C$1:$JH$155,155,FALSE),0)</f>
        <v>8493620</v>
      </c>
      <c r="WD28" s="845"/>
      <c r="WE28" s="845"/>
      <c r="WF28" s="845" t="str">
        <f t="shared" si="97"/>
        <v>ANO</v>
      </c>
      <c r="WG28" s="849" t="str">
        <f t="shared" ref="WG28:WJ91" si="117">IF($WF28="ANO",WG$2,WG$1)</f>
        <v>Podpora služby je vyjádřena zařazením do sítě sociálních služeb v KHK a řešením financování služby</v>
      </c>
      <c r="WH28"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8" s="849" t="str">
        <f t="shared" si="117"/>
        <v>Návrh dotace je výsledkem projednání s ostatními zadavateli v rámci sítě služeb KHK</v>
      </c>
      <c r="WJ28" s="849" t="str">
        <f t="shared" si="117"/>
        <v>Bez komentáře</v>
      </c>
      <c r="WK28" s="31">
        <f t="shared" si="99"/>
        <v>0</v>
      </c>
      <c r="WL28" s="850">
        <f t="shared" si="100"/>
        <v>0</v>
      </c>
      <c r="WM28" s="849" t="str">
        <f t="shared" si="101"/>
        <v>V rámci sítě KHK se dlouhodobě řeší otázka navyšování úhrad a průběžně se monitoruje s vazbou na vykrytí vyrovnávací platby</v>
      </c>
      <c r="WN28" s="849">
        <f t="shared" si="102"/>
        <v>0</v>
      </c>
      <c r="WO28" s="849" t="str">
        <f t="shared" si="116"/>
        <v>bez komentáře</v>
      </c>
      <c r="WP28" s="849" t="str">
        <f t="shared" si="116"/>
        <v>bez komentáře</v>
      </c>
      <c r="WQ28" s="849" t="str">
        <f t="shared" si="116"/>
        <v>Konečná výše dotace z rozpočtu KHK bude řešena v návaznosti na řešení podílů jednotlivých zadavatelů.</v>
      </c>
      <c r="WR28" s="849" t="str">
        <f t="shared" si="116"/>
        <v>Konečná výše podpory ze stran obcí bude řešena v součinnosti s jednotlivými zadavateli v průběhu roku.</v>
      </c>
      <c r="WS28" s="849" t="str">
        <f t="shared" si="116"/>
        <v>bez komentáře</v>
      </c>
      <c r="WT28" s="849" t="str">
        <f t="shared" si="116"/>
        <v>bez komentáře</v>
      </c>
      <c r="WU28" s="845"/>
    </row>
    <row r="29" spans="1:619" s="128" customFormat="1" x14ac:dyDescent="0.25">
      <c r="A29" s="128" t="str">
        <f>VLOOKUP(F29,'Výpočet VP 2020'!$D$324:$I$588,6,FALSE)</f>
        <v>Je v síti</v>
      </c>
      <c r="B29" s="128" t="s">
        <v>332</v>
      </c>
      <c r="C29" s="128">
        <v>48623865</v>
      </c>
      <c r="D29" s="128" t="s">
        <v>333</v>
      </c>
      <c r="E29" s="128" t="s">
        <v>259</v>
      </c>
      <c r="F29" s="128">
        <v>3597628</v>
      </c>
      <c r="G29" s="128" t="s">
        <v>328</v>
      </c>
      <c r="H29" s="128" t="s">
        <v>218</v>
      </c>
      <c r="I29" s="128" t="s">
        <v>334</v>
      </c>
      <c r="J29" s="129">
        <v>39083</v>
      </c>
      <c r="L29" s="128" t="s">
        <v>220</v>
      </c>
      <c r="X29" s="128" t="s">
        <v>335</v>
      </c>
      <c r="Z29" s="128">
        <v>1</v>
      </c>
      <c r="AA29" s="128">
        <v>3</v>
      </c>
      <c r="AB29" s="128">
        <v>1</v>
      </c>
      <c r="AC29" s="128">
        <v>2</v>
      </c>
      <c r="AD29" s="128">
        <v>3</v>
      </c>
      <c r="AN29" s="128">
        <v>70</v>
      </c>
      <c r="AP29" s="128" t="s">
        <v>336</v>
      </c>
      <c r="AQ29" s="128">
        <v>8</v>
      </c>
      <c r="AR29" s="128">
        <v>70</v>
      </c>
      <c r="AS29" s="128">
        <v>98</v>
      </c>
      <c r="AT29" s="128">
        <v>100</v>
      </c>
      <c r="AU29" s="128">
        <v>100</v>
      </c>
      <c r="BJ29" s="128">
        <v>10000</v>
      </c>
      <c r="BL29" s="128" t="s">
        <v>337</v>
      </c>
      <c r="BM29" s="128" t="s">
        <v>325</v>
      </c>
      <c r="BN29" s="128" t="s">
        <v>338</v>
      </c>
      <c r="BO29" s="128">
        <v>0</v>
      </c>
      <c r="BP29" s="128">
        <v>0</v>
      </c>
      <c r="BQ29" s="128">
        <v>0</v>
      </c>
      <c r="BR29" s="128">
        <v>0</v>
      </c>
      <c r="BS29" s="128">
        <v>0</v>
      </c>
      <c r="BT29" s="128">
        <v>23</v>
      </c>
      <c r="BU29" s="128">
        <v>28</v>
      </c>
      <c r="BV29" s="128">
        <v>22</v>
      </c>
      <c r="BW29" s="128">
        <v>11</v>
      </c>
      <c r="BX29" s="128">
        <v>9</v>
      </c>
      <c r="BY29" s="128">
        <v>23</v>
      </c>
      <c r="BZ29" s="128">
        <v>28</v>
      </c>
      <c r="CA29" s="128">
        <v>22</v>
      </c>
      <c r="CB29" s="128">
        <v>11</v>
      </c>
      <c r="CC29" s="128">
        <v>9</v>
      </c>
      <c r="CD29" s="128">
        <v>0</v>
      </c>
      <c r="CE29" s="128">
        <v>93</v>
      </c>
      <c r="CF29" s="128">
        <v>93</v>
      </c>
      <c r="CG29" s="128">
        <v>1</v>
      </c>
      <c r="CH29" s="128">
        <v>0</v>
      </c>
      <c r="CI29" s="128">
        <v>0</v>
      </c>
      <c r="CJ29" s="128">
        <v>0</v>
      </c>
      <c r="CK29" s="128">
        <v>0</v>
      </c>
      <c r="CL29" s="128">
        <v>0</v>
      </c>
      <c r="CM29" s="128">
        <v>30</v>
      </c>
      <c r="CN29" s="128">
        <v>31</v>
      </c>
      <c r="CO29" s="128">
        <v>22</v>
      </c>
      <c r="CP29" s="128">
        <v>11</v>
      </c>
      <c r="CQ29" s="128">
        <v>9</v>
      </c>
      <c r="CR29" s="128">
        <v>30</v>
      </c>
      <c r="CS29" s="128">
        <v>31</v>
      </c>
      <c r="CT29" s="128">
        <v>22</v>
      </c>
      <c r="CU29" s="128">
        <v>11</v>
      </c>
      <c r="CV29" s="128">
        <v>9</v>
      </c>
      <c r="CW29" s="128">
        <v>0</v>
      </c>
      <c r="CX29" s="128">
        <v>103</v>
      </c>
      <c r="CY29" s="128">
        <v>103</v>
      </c>
      <c r="CZ29" s="128">
        <v>1</v>
      </c>
      <c r="EK29" s="128">
        <v>1</v>
      </c>
      <c r="EL29" s="128">
        <v>1</v>
      </c>
      <c r="EM29" s="128">
        <v>1</v>
      </c>
      <c r="EN29" s="128">
        <v>470000</v>
      </c>
      <c r="EO29" s="128">
        <v>300000</v>
      </c>
      <c r="EP29" s="128">
        <v>9</v>
      </c>
      <c r="EQ29" s="128">
        <v>9</v>
      </c>
      <c r="ER29" s="128">
        <v>8</v>
      </c>
      <c r="ES29" s="128">
        <v>3850000</v>
      </c>
      <c r="ET29" s="128">
        <v>2500000</v>
      </c>
      <c r="FO29" s="128">
        <v>4</v>
      </c>
      <c r="FP29" s="128">
        <v>2.2000000000000002</v>
      </c>
      <c r="FQ29" s="128">
        <v>2.2000000000000002</v>
      </c>
      <c r="FR29" s="128">
        <v>1110000</v>
      </c>
      <c r="FS29" s="128">
        <v>0</v>
      </c>
      <c r="KG29" s="128">
        <v>0</v>
      </c>
      <c r="KI29" s="128">
        <v>10</v>
      </c>
      <c r="KJ29" s="128">
        <v>0</v>
      </c>
      <c r="KK29" s="128">
        <v>0</v>
      </c>
      <c r="KL29" s="128">
        <v>0</v>
      </c>
      <c r="KM29" s="128">
        <v>10</v>
      </c>
      <c r="KN29" s="128">
        <v>5430000</v>
      </c>
      <c r="KO29" s="128">
        <v>2800000</v>
      </c>
      <c r="KP29" s="128">
        <v>2800000</v>
      </c>
      <c r="KT29" s="128">
        <v>0</v>
      </c>
      <c r="KU29" s="128">
        <v>0</v>
      </c>
      <c r="KV29" s="128">
        <v>0</v>
      </c>
      <c r="KZ29" s="128">
        <v>0</v>
      </c>
      <c r="LA29" s="128">
        <v>0</v>
      </c>
      <c r="LB29" s="128">
        <v>0</v>
      </c>
      <c r="LF29" s="128">
        <v>0</v>
      </c>
      <c r="LG29" s="128">
        <v>0</v>
      </c>
      <c r="LH29" s="128">
        <v>0</v>
      </c>
      <c r="LL29" s="128">
        <v>0</v>
      </c>
      <c r="LM29" s="128">
        <v>0</v>
      </c>
      <c r="LN29" s="128">
        <v>0</v>
      </c>
      <c r="LR29" s="128">
        <v>12000</v>
      </c>
      <c r="LS29" s="128">
        <v>0</v>
      </c>
      <c r="LT29" s="128">
        <v>0</v>
      </c>
      <c r="LX29" s="128">
        <v>0</v>
      </c>
      <c r="LY29" s="128">
        <v>0</v>
      </c>
      <c r="LZ29" s="128">
        <v>0</v>
      </c>
      <c r="MD29" s="128">
        <v>10000</v>
      </c>
      <c r="ME29" s="128">
        <v>0</v>
      </c>
      <c r="MF29" s="128">
        <v>0</v>
      </c>
      <c r="MJ29" s="128">
        <v>50000</v>
      </c>
      <c r="MK29" s="128">
        <v>0</v>
      </c>
      <c r="ML29" s="128">
        <v>0</v>
      </c>
      <c r="MP29" s="128">
        <v>60000</v>
      </c>
      <c r="MQ29" s="128">
        <v>0</v>
      </c>
      <c r="MR29" s="128">
        <v>0</v>
      </c>
      <c r="MV29" s="128">
        <v>235000</v>
      </c>
      <c r="MW29" s="128">
        <v>0</v>
      </c>
      <c r="MX29" s="128">
        <v>0</v>
      </c>
      <c r="NB29" s="128">
        <v>33000</v>
      </c>
      <c r="NC29" s="128">
        <v>0</v>
      </c>
      <c r="ND29" s="128">
        <v>0</v>
      </c>
      <c r="NH29" s="128">
        <v>0</v>
      </c>
      <c r="NI29" s="128">
        <v>0</v>
      </c>
      <c r="NJ29" s="128">
        <v>0</v>
      </c>
      <c r="NN29" s="128">
        <v>0</v>
      </c>
      <c r="NO29" s="128">
        <v>0</v>
      </c>
      <c r="NP29" s="128">
        <v>0</v>
      </c>
      <c r="NT29" s="128">
        <v>25000</v>
      </c>
      <c r="NU29" s="128">
        <v>0</v>
      </c>
      <c r="NV29" s="128">
        <v>0</v>
      </c>
      <c r="NZ29" s="128">
        <v>10000</v>
      </c>
      <c r="OA29" s="128">
        <v>0</v>
      </c>
      <c r="OB29" s="128">
        <v>0</v>
      </c>
      <c r="OF29" s="128">
        <v>3000</v>
      </c>
      <c r="OG29" s="128">
        <v>0</v>
      </c>
      <c r="OH29" s="128">
        <v>0</v>
      </c>
      <c r="OL29" s="128">
        <v>0</v>
      </c>
      <c r="OM29" s="128">
        <v>0</v>
      </c>
      <c r="ON29" s="128">
        <v>0</v>
      </c>
      <c r="OR29" s="128">
        <v>0</v>
      </c>
      <c r="OS29" s="128">
        <v>0</v>
      </c>
      <c r="OT29" s="128">
        <v>0</v>
      </c>
      <c r="OX29" s="128">
        <v>0</v>
      </c>
      <c r="OY29" s="128">
        <v>0</v>
      </c>
      <c r="OZ29" s="128">
        <v>0</v>
      </c>
      <c r="PD29" s="128">
        <v>40000</v>
      </c>
      <c r="PE29" s="128">
        <v>0</v>
      </c>
      <c r="PF29" s="128">
        <v>0</v>
      </c>
      <c r="PJ29" s="128">
        <v>50000</v>
      </c>
      <c r="PK29" s="128">
        <v>0</v>
      </c>
      <c r="PL29" s="128">
        <v>0</v>
      </c>
      <c r="PP29" s="128">
        <v>5958000</v>
      </c>
      <c r="PQ29" s="128">
        <v>2800000</v>
      </c>
      <c r="PR29" s="128">
        <v>2800000</v>
      </c>
      <c r="PS29" s="128">
        <v>100</v>
      </c>
      <c r="PT29" s="128">
        <v>100</v>
      </c>
      <c r="PV29" s="128">
        <v>4443185</v>
      </c>
      <c r="PX29" s="128">
        <v>2027150</v>
      </c>
      <c r="PY29" s="128">
        <v>2356313</v>
      </c>
      <c r="PZ29" s="128">
        <v>2800000</v>
      </c>
      <c r="QA29" s="128">
        <v>0</v>
      </c>
      <c r="QB29" s="128">
        <v>0</v>
      </c>
      <c r="QC29" s="128">
        <v>0</v>
      </c>
      <c r="QD29" s="128">
        <v>2210000</v>
      </c>
      <c r="QE29" s="128">
        <v>2200000</v>
      </c>
      <c r="QF29" s="128">
        <v>2358000</v>
      </c>
      <c r="QG29" s="128">
        <v>0</v>
      </c>
      <c r="QH29" s="128">
        <v>0</v>
      </c>
      <c r="QI29" s="128">
        <v>0</v>
      </c>
      <c r="QJ29" s="128">
        <v>857800</v>
      </c>
      <c r="QK29" s="128">
        <v>800000</v>
      </c>
      <c r="QL29" s="128">
        <v>800000</v>
      </c>
      <c r="QN29" s="128">
        <v>0</v>
      </c>
      <c r="QO29" s="128">
        <v>0</v>
      </c>
      <c r="QP29" s="128">
        <v>0</v>
      </c>
      <c r="RH29" s="128">
        <f t="shared" si="104"/>
        <v>5158000</v>
      </c>
      <c r="RI29" s="128">
        <v>0</v>
      </c>
      <c r="RM29" s="128" t="s">
        <v>220</v>
      </c>
      <c r="RU29" s="130"/>
      <c r="RV29" s="130"/>
      <c r="RW29" s="130"/>
      <c r="RX29" s="130"/>
      <c r="SF29" s="128">
        <f t="shared" si="8"/>
        <v>3597628</v>
      </c>
      <c r="SG29" s="131">
        <f t="shared" si="9"/>
        <v>5958000</v>
      </c>
      <c r="SH29" s="131">
        <f t="shared" si="10"/>
        <v>5958000</v>
      </c>
      <c r="SI29" s="131">
        <f t="shared" si="11"/>
        <v>5430000</v>
      </c>
      <c r="SJ29" s="132">
        <f t="shared" si="12"/>
        <v>5430000</v>
      </c>
      <c r="SK29" s="132">
        <f t="shared" si="13"/>
        <v>0</v>
      </c>
      <c r="SL29" s="132">
        <f t="shared" si="14"/>
        <v>0</v>
      </c>
      <c r="SM29" s="132">
        <f t="shared" si="15"/>
        <v>0</v>
      </c>
      <c r="SN29" s="131">
        <f t="shared" si="16"/>
        <v>528000</v>
      </c>
      <c r="SO29" s="131">
        <f t="shared" si="17"/>
        <v>12000</v>
      </c>
      <c r="SP29" s="132">
        <f t="shared" si="18"/>
        <v>0</v>
      </c>
      <c r="SQ29" s="132">
        <f t="shared" si="19"/>
        <v>12000</v>
      </c>
      <c r="SR29" s="132">
        <f t="shared" si="20"/>
        <v>0</v>
      </c>
      <c r="SS29" s="132">
        <f t="shared" si="21"/>
        <v>10000</v>
      </c>
      <c r="ST29" s="132">
        <f t="shared" si="22"/>
        <v>50000</v>
      </c>
      <c r="SU29" s="132">
        <f t="shared" si="23"/>
        <v>60000</v>
      </c>
      <c r="SV29" s="131">
        <f t="shared" si="24"/>
        <v>306000</v>
      </c>
      <c r="SW29" s="132">
        <f t="shared" si="25"/>
        <v>235000</v>
      </c>
      <c r="SX29" s="132">
        <f t="shared" si="26"/>
        <v>33000</v>
      </c>
      <c r="SY29" s="132">
        <f t="shared" si="27"/>
        <v>0</v>
      </c>
      <c r="SZ29" s="132">
        <f t="shared" si="28"/>
        <v>0</v>
      </c>
      <c r="TA29" s="132">
        <f t="shared" si="29"/>
        <v>25000</v>
      </c>
      <c r="TB29" s="132">
        <f t="shared" si="30"/>
        <v>10000</v>
      </c>
      <c r="TC29" s="132">
        <f t="shared" si="31"/>
        <v>3000</v>
      </c>
      <c r="TD29" s="132">
        <f t="shared" si="32"/>
        <v>0</v>
      </c>
      <c r="TE29" s="132">
        <f t="shared" si="33"/>
        <v>0</v>
      </c>
      <c r="TF29" s="132">
        <f t="shared" si="34"/>
        <v>0</v>
      </c>
      <c r="TG29" s="132">
        <f t="shared" si="35"/>
        <v>40000</v>
      </c>
      <c r="TH29" s="132">
        <f t="shared" si="36"/>
        <v>50000</v>
      </c>
      <c r="TI29" s="1"/>
      <c r="TJ29" s="131">
        <f t="shared" si="37"/>
        <v>2800000</v>
      </c>
      <c r="TK29" s="131">
        <f t="shared" si="38"/>
        <v>2800000</v>
      </c>
      <c r="TL29" s="131">
        <f t="shared" si="39"/>
        <v>2800000</v>
      </c>
      <c r="TM29" s="132">
        <f t="shared" si="40"/>
        <v>2800000</v>
      </c>
      <c r="TN29" s="132">
        <f t="shared" si="41"/>
        <v>0</v>
      </c>
      <c r="TO29" s="132">
        <f t="shared" si="42"/>
        <v>0</v>
      </c>
      <c r="TP29" s="132">
        <f t="shared" si="43"/>
        <v>0</v>
      </c>
      <c r="TQ29" s="131">
        <f t="shared" si="44"/>
        <v>0</v>
      </c>
      <c r="TR29" s="131">
        <f t="shared" si="45"/>
        <v>0</v>
      </c>
      <c r="TS29" s="132">
        <f t="shared" si="46"/>
        <v>0</v>
      </c>
      <c r="TT29" s="132">
        <f t="shared" si="47"/>
        <v>0</v>
      </c>
      <c r="TU29" s="132">
        <f t="shared" si="48"/>
        <v>0</v>
      </c>
      <c r="TV29" s="132">
        <f t="shared" si="49"/>
        <v>0</v>
      </c>
      <c r="TW29" s="132">
        <f t="shared" si="50"/>
        <v>0</v>
      </c>
      <c r="TX29" s="132">
        <f t="shared" si="51"/>
        <v>0</v>
      </c>
      <c r="TY29" s="131">
        <f t="shared" si="52"/>
        <v>0</v>
      </c>
      <c r="TZ29" s="132">
        <f t="shared" si="53"/>
        <v>0</v>
      </c>
      <c r="UA29" s="132">
        <f t="shared" si="54"/>
        <v>0</v>
      </c>
      <c r="UB29" s="132">
        <f t="shared" si="55"/>
        <v>0</v>
      </c>
      <c r="UC29" s="132">
        <f t="shared" si="56"/>
        <v>0</v>
      </c>
      <c r="UD29" s="132">
        <f t="shared" si="57"/>
        <v>0</v>
      </c>
      <c r="UE29" s="132">
        <f t="shared" si="58"/>
        <v>0</v>
      </c>
      <c r="UF29" s="132">
        <f t="shared" si="59"/>
        <v>0</v>
      </c>
      <c r="UG29" s="132">
        <f t="shared" si="60"/>
        <v>0</v>
      </c>
      <c r="UH29" s="132">
        <f t="shared" si="61"/>
        <v>0</v>
      </c>
      <c r="UI29" s="132">
        <f t="shared" si="62"/>
        <v>0</v>
      </c>
      <c r="UJ29" s="132">
        <f t="shared" si="63"/>
        <v>0</v>
      </c>
      <c r="UK29" s="132">
        <f t="shared" si="64"/>
        <v>0</v>
      </c>
      <c r="UL29" s="132">
        <f t="shared" si="105"/>
        <v>2800000</v>
      </c>
      <c r="UM29" s="131">
        <f t="shared" si="65"/>
        <v>2800000</v>
      </c>
      <c r="UN29" s="131">
        <f t="shared" si="66"/>
        <v>2800000</v>
      </c>
      <c r="UO29" s="131">
        <f t="shared" si="67"/>
        <v>2800000</v>
      </c>
      <c r="UP29" s="132">
        <f t="shared" si="68"/>
        <v>2800000</v>
      </c>
      <c r="UQ29" s="132">
        <f t="shared" si="69"/>
        <v>0</v>
      </c>
      <c r="UR29" s="132">
        <f t="shared" si="70"/>
        <v>0</v>
      </c>
      <c r="US29" s="132">
        <f t="shared" si="71"/>
        <v>0</v>
      </c>
      <c r="UT29" s="131">
        <f t="shared" si="72"/>
        <v>0</v>
      </c>
      <c r="UU29" s="131">
        <f t="shared" si="73"/>
        <v>0</v>
      </c>
      <c r="UV29" s="132">
        <f t="shared" si="74"/>
        <v>0</v>
      </c>
      <c r="UW29" s="132">
        <f t="shared" si="75"/>
        <v>0</v>
      </c>
      <c r="UX29" s="132">
        <f t="shared" si="76"/>
        <v>0</v>
      </c>
      <c r="UY29" s="132">
        <f t="shared" si="77"/>
        <v>0</v>
      </c>
      <c r="UZ29" s="132">
        <f t="shared" si="78"/>
        <v>0</v>
      </c>
      <c r="VA29" s="132">
        <f t="shared" si="79"/>
        <v>0</v>
      </c>
      <c r="VB29" s="131">
        <f t="shared" si="80"/>
        <v>0</v>
      </c>
      <c r="VC29" s="132">
        <f t="shared" si="81"/>
        <v>0</v>
      </c>
      <c r="VD29" s="132">
        <f t="shared" si="82"/>
        <v>0</v>
      </c>
      <c r="VE29" s="132">
        <f t="shared" si="83"/>
        <v>0</v>
      </c>
      <c r="VF29" s="132">
        <f t="shared" si="84"/>
        <v>0</v>
      </c>
      <c r="VG29" s="132">
        <f t="shared" si="85"/>
        <v>0</v>
      </c>
      <c r="VH29" s="132">
        <f t="shared" si="86"/>
        <v>0</v>
      </c>
      <c r="VI29" s="132">
        <f t="shared" si="87"/>
        <v>0</v>
      </c>
      <c r="VJ29" s="132">
        <f t="shared" si="88"/>
        <v>0</v>
      </c>
      <c r="VK29" s="132">
        <f t="shared" si="89"/>
        <v>0</v>
      </c>
      <c r="VL29" s="132">
        <f t="shared" si="90"/>
        <v>0</v>
      </c>
      <c r="VM29" s="132">
        <f t="shared" si="91"/>
        <v>0</v>
      </c>
      <c r="VN29" s="132">
        <f t="shared" si="92"/>
        <v>0</v>
      </c>
      <c r="VP29" s="845" t="str">
        <f>IFERROR(HLOOKUP(F29,'Hodnocení '!$C$1:$JH$5,2,FALSE),0)</f>
        <v>Pečovatelská služba</v>
      </c>
      <c r="VQ29" s="838"/>
      <c r="VR29" s="845" t="str">
        <f t="shared" si="106"/>
        <v>Příspěvková organizace zřízená územním samosprávným celkem</v>
      </c>
      <c r="VS29" s="845" t="str">
        <f>IFERROR(HLOOKUP(F29,'Hodnocení '!$C$1:$JH$5,5,FALSE),0)</f>
        <v>Obce</v>
      </c>
      <c r="VT29" s="838" t="str">
        <f t="shared" si="107"/>
        <v>Příspěvková organizace zřízená územním samosprávným celkem</v>
      </c>
      <c r="VU29" s="838">
        <f t="shared" si="108"/>
        <v>0</v>
      </c>
      <c r="VV29" s="838">
        <f t="shared" si="109"/>
        <v>800000</v>
      </c>
      <c r="VW29" s="838">
        <f t="shared" si="110"/>
        <v>0</v>
      </c>
      <c r="VX29" s="838"/>
      <c r="VY29" s="838">
        <f t="shared" si="114"/>
        <v>0</v>
      </c>
      <c r="VZ29" s="838">
        <f t="shared" si="115"/>
        <v>2800000</v>
      </c>
      <c r="WA29" s="846">
        <f>IFERROR(HLOOKUP($F29,'Hodnocení '!$C$1:$JH$9,9,FALSE),0)</f>
        <v>2800000</v>
      </c>
      <c r="WB29" s="846">
        <f>IF(IFERROR(HLOOKUP($F29,'Hodnocení '!$C$1:$JH$13,13,FALSE),0)&gt;WA29,WA29,IFERROR(HLOOKUP($F29,'Hodnocení '!$C$1:$JH$13,13,FALSE),0))</f>
        <v>2800000</v>
      </c>
      <c r="WC29" s="846">
        <f>IFERROR(HLOOKUP($F29,'Hodnocení '!$C$1:$JH$155,155,FALSE),0)</f>
        <v>2505060</v>
      </c>
      <c r="WD29" s="845"/>
      <c r="WE29" s="845"/>
      <c r="WF29" s="845" t="str">
        <f t="shared" si="97"/>
        <v>ANO</v>
      </c>
      <c r="WG29" s="849" t="str">
        <f t="shared" si="117"/>
        <v>Podpora služby je vyjádřena zařazením do sítě sociálních služeb v KHK a řešením financování služby</v>
      </c>
      <c r="WH29"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9" s="849" t="str">
        <f t="shared" si="117"/>
        <v>Návrh dotace je výsledkem projednání s ostatními zadavateli v rámci sítě služeb KHK</v>
      </c>
      <c r="WJ29" s="849" t="str">
        <f t="shared" si="117"/>
        <v>Bez komentáře</v>
      </c>
      <c r="WK29" s="31" t="str">
        <f t="shared" si="99"/>
        <v>Výše příspěvku ze strany zřizovatele bude řešen v návaznosti na řešení podílů jednotlivých zadavatelů</v>
      </c>
      <c r="WL29" s="850">
        <f t="shared" si="100"/>
        <v>0</v>
      </c>
      <c r="WM29" s="849" t="str">
        <f t="shared" si="101"/>
        <v>V rámci sítě KHK se dlouhodobě řeší otázka navyšování úhrad a průběžně se monitoruje s vazbou na vykrytí vyrovnávací platby</v>
      </c>
      <c r="WN29" s="849">
        <f t="shared" si="102"/>
        <v>0</v>
      </c>
      <c r="WO29" s="849" t="str">
        <f t="shared" si="116"/>
        <v>bez komentáře</v>
      </c>
      <c r="WP29" s="849" t="str">
        <f t="shared" si="116"/>
        <v>bez komentáře</v>
      </c>
      <c r="WQ29" s="849" t="str">
        <f t="shared" si="116"/>
        <v>Konečná výše dotace z rozpočtu KHK bude řešena v návaznosti na řešení podílů jednotlivých zadavatelů.</v>
      </c>
      <c r="WR29" s="849" t="str">
        <f t="shared" si="116"/>
        <v>Konečná výše podpory ze stran obcí bude řešena v součinnosti s jednotlivými zadavateli v průběhu roku.</v>
      </c>
      <c r="WS29" s="849" t="str">
        <f t="shared" si="116"/>
        <v>bez komentáře</v>
      </c>
      <c r="WT29" s="849" t="str">
        <f t="shared" si="116"/>
        <v>bez komentáře</v>
      </c>
      <c r="WU29" s="845"/>
    </row>
    <row r="30" spans="1:619" s="128" customFormat="1" x14ac:dyDescent="0.25">
      <c r="A30" s="128" t="str">
        <f>VLOOKUP(F30,'Výpočet VP 2020'!$D$324:$I$588,6,FALSE)</f>
        <v>Je v síti</v>
      </c>
      <c r="B30" s="128" t="s">
        <v>332</v>
      </c>
      <c r="C30" s="128">
        <v>48623865</v>
      </c>
      <c r="D30" s="128" t="s">
        <v>333</v>
      </c>
      <c r="E30" s="128" t="s">
        <v>259</v>
      </c>
      <c r="F30" s="128">
        <v>4382191</v>
      </c>
      <c r="G30" s="128" t="s">
        <v>292</v>
      </c>
      <c r="H30" s="128" t="s">
        <v>293</v>
      </c>
      <c r="I30" s="128" t="s">
        <v>332</v>
      </c>
      <c r="J30" s="129">
        <v>42156</v>
      </c>
      <c r="L30" s="128" t="s">
        <v>220</v>
      </c>
      <c r="X30" s="128" t="s">
        <v>232</v>
      </c>
      <c r="AI30" s="128">
        <v>10</v>
      </c>
      <c r="AJ30" s="128">
        <v>10</v>
      </c>
      <c r="AK30" s="128">
        <v>833</v>
      </c>
      <c r="AL30" s="128">
        <v>950</v>
      </c>
      <c r="AM30" s="128">
        <v>1100</v>
      </c>
      <c r="BL30" s="128" t="s">
        <v>339</v>
      </c>
      <c r="BM30" s="128" t="s">
        <v>340</v>
      </c>
      <c r="BN30" s="128" t="s">
        <v>341</v>
      </c>
      <c r="EK30" s="128">
        <v>1</v>
      </c>
      <c r="EL30" s="128">
        <v>1</v>
      </c>
      <c r="EM30" s="128">
        <v>1</v>
      </c>
      <c r="EN30" s="128">
        <v>545000</v>
      </c>
      <c r="EO30" s="128">
        <v>500000</v>
      </c>
      <c r="FO30" s="128">
        <v>3</v>
      </c>
      <c r="FP30" s="128">
        <v>0.3</v>
      </c>
      <c r="FQ30" s="128">
        <v>0.3</v>
      </c>
      <c r="FR30" s="128">
        <v>180000</v>
      </c>
      <c r="FS30" s="128">
        <v>150000</v>
      </c>
      <c r="KG30" s="128">
        <v>0</v>
      </c>
      <c r="KI30" s="128">
        <v>1</v>
      </c>
      <c r="KJ30" s="128">
        <v>0</v>
      </c>
      <c r="KK30" s="128">
        <v>0</v>
      </c>
      <c r="KL30" s="128">
        <v>0</v>
      </c>
      <c r="KM30" s="128">
        <v>1</v>
      </c>
      <c r="KN30" s="128">
        <v>725000</v>
      </c>
      <c r="KO30" s="128">
        <v>650000</v>
      </c>
      <c r="KP30" s="128">
        <v>650000</v>
      </c>
      <c r="KT30" s="128">
        <v>0</v>
      </c>
      <c r="KU30" s="128">
        <v>0</v>
      </c>
      <c r="KV30" s="128">
        <v>0</v>
      </c>
      <c r="KZ30" s="128">
        <v>0</v>
      </c>
      <c r="LA30" s="128">
        <v>0</v>
      </c>
      <c r="LB30" s="128">
        <v>0</v>
      </c>
      <c r="LF30" s="128">
        <v>0</v>
      </c>
      <c r="LG30" s="128">
        <v>0</v>
      </c>
      <c r="LH30" s="128">
        <v>0</v>
      </c>
      <c r="LL30" s="128">
        <v>0</v>
      </c>
      <c r="LM30" s="128">
        <v>0</v>
      </c>
      <c r="LN30" s="128">
        <v>0</v>
      </c>
      <c r="LR30" s="128">
        <v>0</v>
      </c>
      <c r="LS30" s="128">
        <v>0</v>
      </c>
      <c r="LT30" s="128">
        <v>0</v>
      </c>
      <c r="LX30" s="128">
        <v>0</v>
      </c>
      <c r="LY30" s="128">
        <v>0</v>
      </c>
      <c r="LZ30" s="128">
        <v>0</v>
      </c>
      <c r="MD30" s="128">
        <v>0</v>
      </c>
      <c r="ME30" s="128">
        <v>0</v>
      </c>
      <c r="MF30" s="128">
        <v>0</v>
      </c>
      <c r="MJ30" s="128">
        <v>0</v>
      </c>
      <c r="MK30" s="128">
        <v>0</v>
      </c>
      <c r="ML30" s="128">
        <v>0</v>
      </c>
      <c r="MP30" s="128">
        <v>0</v>
      </c>
      <c r="MQ30" s="128">
        <v>0</v>
      </c>
      <c r="MR30" s="128">
        <v>0</v>
      </c>
      <c r="MV30" s="128">
        <v>0</v>
      </c>
      <c r="MW30" s="128">
        <v>0</v>
      </c>
      <c r="MX30" s="128">
        <v>0</v>
      </c>
      <c r="NB30" s="128">
        <v>0</v>
      </c>
      <c r="NC30" s="128">
        <v>0</v>
      </c>
      <c r="ND30" s="128">
        <v>0</v>
      </c>
      <c r="NH30" s="128">
        <v>0</v>
      </c>
      <c r="NI30" s="128">
        <v>0</v>
      </c>
      <c r="NJ30" s="128">
        <v>0</v>
      </c>
      <c r="NN30" s="128">
        <v>40000</v>
      </c>
      <c r="NO30" s="128">
        <v>0</v>
      </c>
      <c r="NP30" s="128">
        <v>0</v>
      </c>
      <c r="NT30" s="128">
        <v>0</v>
      </c>
      <c r="NU30" s="128">
        <v>0</v>
      </c>
      <c r="NV30" s="128">
        <v>0</v>
      </c>
      <c r="NZ30" s="128">
        <v>0</v>
      </c>
      <c r="OA30" s="128">
        <v>0</v>
      </c>
      <c r="OB30" s="128">
        <v>0</v>
      </c>
      <c r="OF30" s="128">
        <v>0</v>
      </c>
      <c r="OG30" s="128">
        <v>0</v>
      </c>
      <c r="OH30" s="128">
        <v>0</v>
      </c>
      <c r="OL30" s="128">
        <v>0</v>
      </c>
      <c r="OM30" s="128">
        <v>0</v>
      </c>
      <c r="ON30" s="128">
        <v>0</v>
      </c>
      <c r="OR30" s="128">
        <v>0</v>
      </c>
      <c r="OS30" s="128">
        <v>0</v>
      </c>
      <c r="OT30" s="128">
        <v>0</v>
      </c>
      <c r="OX30" s="128">
        <v>0</v>
      </c>
      <c r="OY30" s="128">
        <v>0</v>
      </c>
      <c r="OZ30" s="128">
        <v>0</v>
      </c>
      <c r="PD30" s="128">
        <v>0</v>
      </c>
      <c r="PE30" s="128">
        <v>0</v>
      </c>
      <c r="PF30" s="128">
        <v>0</v>
      </c>
      <c r="PJ30" s="128">
        <v>0</v>
      </c>
      <c r="PK30" s="128">
        <v>0</v>
      </c>
      <c r="PL30" s="128">
        <v>0</v>
      </c>
      <c r="PP30" s="128">
        <v>765000</v>
      </c>
      <c r="PQ30" s="128">
        <v>650000</v>
      </c>
      <c r="PR30" s="128">
        <v>650000</v>
      </c>
      <c r="PS30" s="128">
        <v>100</v>
      </c>
      <c r="PT30" s="128">
        <v>100</v>
      </c>
      <c r="PX30" s="128">
        <v>206400</v>
      </c>
      <c r="PY30" s="128">
        <v>225535</v>
      </c>
      <c r="PZ30" s="128">
        <v>650000</v>
      </c>
      <c r="QA30" s="128">
        <v>0</v>
      </c>
      <c r="QB30" s="128">
        <v>0</v>
      </c>
      <c r="QC30" s="128">
        <v>0</v>
      </c>
      <c r="QD30" s="128">
        <v>265000</v>
      </c>
      <c r="QE30" s="128">
        <v>300000</v>
      </c>
      <c r="QF30" s="128">
        <v>115000</v>
      </c>
      <c r="QG30" s="128">
        <v>0</v>
      </c>
      <c r="QH30" s="128">
        <v>0</v>
      </c>
      <c r="QI30" s="128">
        <v>0</v>
      </c>
      <c r="QJ30" s="128">
        <v>0</v>
      </c>
      <c r="QK30" s="128">
        <v>0</v>
      </c>
      <c r="QL30" s="128">
        <v>0</v>
      </c>
      <c r="QN30" s="128">
        <v>0</v>
      </c>
      <c r="QO30" s="128">
        <v>0</v>
      </c>
      <c r="QP30" s="128">
        <v>0</v>
      </c>
      <c r="RH30" s="128">
        <f t="shared" si="104"/>
        <v>765000</v>
      </c>
      <c r="RI30" s="128">
        <v>0</v>
      </c>
      <c r="RM30" s="128" t="s">
        <v>220</v>
      </c>
      <c r="RU30" s="130"/>
      <c r="RV30" s="130"/>
      <c r="RW30" s="130"/>
      <c r="RX30" s="130"/>
      <c r="SF30" s="128">
        <f t="shared" si="8"/>
        <v>4382191</v>
      </c>
      <c r="SG30" s="131">
        <f t="shared" si="9"/>
        <v>765000</v>
      </c>
      <c r="SH30" s="131">
        <f t="shared" si="10"/>
        <v>765000</v>
      </c>
      <c r="SI30" s="131">
        <f t="shared" si="11"/>
        <v>725000</v>
      </c>
      <c r="SJ30" s="132">
        <f t="shared" si="12"/>
        <v>725000</v>
      </c>
      <c r="SK30" s="132">
        <f t="shared" si="13"/>
        <v>0</v>
      </c>
      <c r="SL30" s="132">
        <f t="shared" si="14"/>
        <v>0</v>
      </c>
      <c r="SM30" s="132">
        <f t="shared" si="15"/>
        <v>0</v>
      </c>
      <c r="SN30" s="131">
        <f t="shared" si="16"/>
        <v>40000</v>
      </c>
      <c r="SO30" s="131">
        <f t="shared" si="17"/>
        <v>0</v>
      </c>
      <c r="SP30" s="132">
        <f t="shared" si="18"/>
        <v>0</v>
      </c>
      <c r="SQ30" s="132">
        <f t="shared" si="19"/>
        <v>0</v>
      </c>
      <c r="SR30" s="132">
        <f t="shared" si="20"/>
        <v>0</v>
      </c>
      <c r="SS30" s="132">
        <f t="shared" si="21"/>
        <v>0</v>
      </c>
      <c r="ST30" s="132">
        <f t="shared" si="22"/>
        <v>0</v>
      </c>
      <c r="SU30" s="132">
        <f t="shared" si="23"/>
        <v>0</v>
      </c>
      <c r="SV30" s="131">
        <f t="shared" si="24"/>
        <v>40000</v>
      </c>
      <c r="SW30" s="132">
        <f t="shared" si="25"/>
        <v>0</v>
      </c>
      <c r="SX30" s="132">
        <f t="shared" si="26"/>
        <v>0</v>
      </c>
      <c r="SY30" s="132">
        <f t="shared" si="27"/>
        <v>0</v>
      </c>
      <c r="SZ30" s="132">
        <f t="shared" si="28"/>
        <v>40000</v>
      </c>
      <c r="TA30" s="132">
        <f t="shared" si="29"/>
        <v>0</v>
      </c>
      <c r="TB30" s="132">
        <f t="shared" si="30"/>
        <v>0</v>
      </c>
      <c r="TC30" s="132">
        <f t="shared" si="31"/>
        <v>0</v>
      </c>
      <c r="TD30" s="132">
        <f t="shared" si="32"/>
        <v>0</v>
      </c>
      <c r="TE30" s="132">
        <f t="shared" si="33"/>
        <v>0</v>
      </c>
      <c r="TF30" s="132">
        <f t="shared" si="34"/>
        <v>0</v>
      </c>
      <c r="TG30" s="132">
        <f t="shared" si="35"/>
        <v>0</v>
      </c>
      <c r="TH30" s="132">
        <f t="shared" si="36"/>
        <v>0</v>
      </c>
      <c r="TI30" s="1"/>
      <c r="TJ30" s="131">
        <f t="shared" si="37"/>
        <v>650000</v>
      </c>
      <c r="TK30" s="131">
        <f t="shared" si="38"/>
        <v>650000</v>
      </c>
      <c r="TL30" s="131">
        <f t="shared" si="39"/>
        <v>650000</v>
      </c>
      <c r="TM30" s="132">
        <f t="shared" si="40"/>
        <v>650000</v>
      </c>
      <c r="TN30" s="132">
        <f t="shared" si="41"/>
        <v>0</v>
      </c>
      <c r="TO30" s="132">
        <f t="shared" si="42"/>
        <v>0</v>
      </c>
      <c r="TP30" s="132">
        <f t="shared" si="43"/>
        <v>0</v>
      </c>
      <c r="TQ30" s="131">
        <f t="shared" si="44"/>
        <v>0</v>
      </c>
      <c r="TR30" s="131">
        <f t="shared" si="45"/>
        <v>0</v>
      </c>
      <c r="TS30" s="132">
        <f t="shared" si="46"/>
        <v>0</v>
      </c>
      <c r="TT30" s="132">
        <f t="shared" si="47"/>
        <v>0</v>
      </c>
      <c r="TU30" s="132">
        <f t="shared" si="48"/>
        <v>0</v>
      </c>
      <c r="TV30" s="132">
        <f t="shared" si="49"/>
        <v>0</v>
      </c>
      <c r="TW30" s="132">
        <f t="shared" si="50"/>
        <v>0</v>
      </c>
      <c r="TX30" s="132">
        <f t="shared" si="51"/>
        <v>0</v>
      </c>
      <c r="TY30" s="131">
        <f t="shared" si="52"/>
        <v>0</v>
      </c>
      <c r="TZ30" s="132">
        <f t="shared" si="53"/>
        <v>0</v>
      </c>
      <c r="UA30" s="132">
        <f t="shared" si="54"/>
        <v>0</v>
      </c>
      <c r="UB30" s="132">
        <f t="shared" si="55"/>
        <v>0</v>
      </c>
      <c r="UC30" s="132">
        <f t="shared" si="56"/>
        <v>0</v>
      </c>
      <c r="UD30" s="132">
        <f t="shared" si="57"/>
        <v>0</v>
      </c>
      <c r="UE30" s="132">
        <f t="shared" si="58"/>
        <v>0</v>
      </c>
      <c r="UF30" s="132">
        <f t="shared" si="59"/>
        <v>0</v>
      </c>
      <c r="UG30" s="132">
        <f t="shared" si="60"/>
        <v>0</v>
      </c>
      <c r="UH30" s="132">
        <f t="shared" si="61"/>
        <v>0</v>
      </c>
      <c r="UI30" s="132">
        <f t="shared" si="62"/>
        <v>0</v>
      </c>
      <c r="UJ30" s="132">
        <f t="shared" si="63"/>
        <v>0</v>
      </c>
      <c r="UK30" s="132">
        <f t="shared" si="64"/>
        <v>0</v>
      </c>
      <c r="UL30" s="132">
        <f t="shared" si="105"/>
        <v>650000</v>
      </c>
      <c r="UM30" s="131">
        <f t="shared" si="65"/>
        <v>650000</v>
      </c>
      <c r="UN30" s="131">
        <f t="shared" si="66"/>
        <v>650000</v>
      </c>
      <c r="UO30" s="131">
        <f t="shared" si="67"/>
        <v>650000</v>
      </c>
      <c r="UP30" s="132">
        <f t="shared" si="68"/>
        <v>650000</v>
      </c>
      <c r="UQ30" s="132">
        <f t="shared" si="69"/>
        <v>0</v>
      </c>
      <c r="UR30" s="132">
        <f t="shared" si="70"/>
        <v>0</v>
      </c>
      <c r="US30" s="132">
        <f t="shared" si="71"/>
        <v>0</v>
      </c>
      <c r="UT30" s="131">
        <f t="shared" si="72"/>
        <v>0</v>
      </c>
      <c r="UU30" s="131">
        <f t="shared" si="73"/>
        <v>0</v>
      </c>
      <c r="UV30" s="132">
        <f t="shared" si="74"/>
        <v>0</v>
      </c>
      <c r="UW30" s="132">
        <f t="shared" si="75"/>
        <v>0</v>
      </c>
      <c r="UX30" s="132">
        <f t="shared" si="76"/>
        <v>0</v>
      </c>
      <c r="UY30" s="132">
        <f t="shared" si="77"/>
        <v>0</v>
      </c>
      <c r="UZ30" s="132">
        <f t="shared" si="78"/>
        <v>0</v>
      </c>
      <c r="VA30" s="132">
        <f t="shared" si="79"/>
        <v>0</v>
      </c>
      <c r="VB30" s="131">
        <f t="shared" si="80"/>
        <v>0</v>
      </c>
      <c r="VC30" s="132">
        <f t="shared" si="81"/>
        <v>0</v>
      </c>
      <c r="VD30" s="132">
        <f t="shared" si="82"/>
        <v>0</v>
      </c>
      <c r="VE30" s="132">
        <f t="shared" si="83"/>
        <v>0</v>
      </c>
      <c r="VF30" s="132">
        <f t="shared" si="84"/>
        <v>0</v>
      </c>
      <c r="VG30" s="132">
        <f t="shared" si="85"/>
        <v>0</v>
      </c>
      <c r="VH30" s="132">
        <f t="shared" si="86"/>
        <v>0</v>
      </c>
      <c r="VI30" s="132">
        <f t="shared" si="87"/>
        <v>0</v>
      </c>
      <c r="VJ30" s="132">
        <f t="shared" si="88"/>
        <v>0</v>
      </c>
      <c r="VK30" s="132">
        <f t="shared" si="89"/>
        <v>0</v>
      </c>
      <c r="VL30" s="132">
        <f t="shared" si="90"/>
        <v>0</v>
      </c>
      <c r="VM30" s="132">
        <f t="shared" si="91"/>
        <v>0</v>
      </c>
      <c r="VN30" s="132">
        <f t="shared" si="92"/>
        <v>0</v>
      </c>
      <c r="VP30" s="845" t="str">
        <f>IFERROR(HLOOKUP(F30,'Hodnocení '!$C$1:$JH$5,2,FALSE),0)</f>
        <v>Centrum pro rodinu - OSP</v>
      </c>
      <c r="VQ30" s="838"/>
      <c r="VR30" s="845" t="str">
        <f t="shared" si="106"/>
        <v>Příspěvková organizace zřízená územním samosprávným celkem</v>
      </c>
      <c r="VS30" s="845" t="str">
        <f>IFERROR(HLOOKUP(F30,'Hodnocení '!$C$1:$JH$5,5,FALSE),0)</f>
        <v>Obce</v>
      </c>
      <c r="VT30" s="838" t="str">
        <f t="shared" si="107"/>
        <v>Příspěvková organizace zřízená územním samosprávným celkem</v>
      </c>
      <c r="VU30" s="838">
        <f t="shared" si="108"/>
        <v>0</v>
      </c>
      <c r="VV30" s="838">
        <f t="shared" si="109"/>
        <v>0</v>
      </c>
      <c r="VW30" s="838">
        <f t="shared" si="110"/>
        <v>0</v>
      </c>
      <c r="VX30" s="838"/>
      <c r="VY30" s="838">
        <f t="shared" si="114"/>
        <v>0</v>
      </c>
      <c r="VZ30" s="838">
        <f t="shared" si="115"/>
        <v>650000</v>
      </c>
      <c r="WA30" s="846">
        <f>IFERROR(HLOOKUP($F30,'Hodnocení '!$C$1:$JH$9,9,FALSE),0)</f>
        <v>650000</v>
      </c>
      <c r="WB30" s="846">
        <f>IF(IFERROR(HLOOKUP($F30,'Hodnocení '!$C$1:$JH$13,13,FALSE),0)&gt;WA30,WA30,IFERROR(HLOOKUP($F30,'Hodnocení '!$C$1:$JH$13,13,FALSE),0))</f>
        <v>650000</v>
      </c>
      <c r="WC30" s="846">
        <f>IFERROR(HLOOKUP($F30,'Hodnocení '!$C$1:$JH$155,155,FALSE),0)</f>
        <v>443090</v>
      </c>
      <c r="WD30" s="845"/>
      <c r="WE30" s="845"/>
      <c r="WF30" s="845" t="str">
        <f t="shared" si="97"/>
        <v>ANO</v>
      </c>
      <c r="WG30" s="849" t="str">
        <f t="shared" si="117"/>
        <v>Podpora služby je vyjádřena zařazením do sítě sociálních služeb v KHK a řešením financování služby</v>
      </c>
      <c r="WH30"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30" s="849" t="str">
        <f t="shared" si="117"/>
        <v>Návrh dotace je výsledkem projednání s ostatními zadavateli v rámci sítě služeb KHK</v>
      </c>
      <c r="WJ30" s="849" t="str">
        <f t="shared" si="117"/>
        <v>Bez komentáře</v>
      </c>
      <c r="WK30" s="31" t="str">
        <f t="shared" si="99"/>
        <v>Výše příspěvku ze strany zřizovatele bude řešen v návaznosti na řešení podílů jednotlivých zadavatelů</v>
      </c>
      <c r="WL30" s="850">
        <f t="shared" si="100"/>
        <v>0</v>
      </c>
      <c r="WM30" s="849">
        <f t="shared" si="101"/>
        <v>0</v>
      </c>
      <c r="WN30" s="849">
        <f t="shared" si="102"/>
        <v>0</v>
      </c>
      <c r="WO30" s="849" t="str">
        <f t="shared" si="116"/>
        <v>bez komentáře</v>
      </c>
      <c r="WP30" s="849" t="str">
        <f t="shared" si="116"/>
        <v>bez komentáře</v>
      </c>
      <c r="WQ30" s="849" t="str">
        <f t="shared" si="116"/>
        <v>Konečná výše dotace z rozpočtu KHK bude řešena v návaznosti na řešení podílů jednotlivých zadavatelů.</v>
      </c>
      <c r="WR30" s="849" t="str">
        <f t="shared" si="116"/>
        <v>Konečná výše podpory ze stran obcí bude řešena v součinnosti s jednotlivými zadavateli v průběhu roku.</v>
      </c>
      <c r="WS30" s="849" t="str">
        <f t="shared" si="116"/>
        <v>bez komentáře</v>
      </c>
      <c r="WT30" s="849" t="str">
        <f t="shared" si="116"/>
        <v>bez komentáře</v>
      </c>
      <c r="WU30" s="845"/>
    </row>
    <row r="31" spans="1:619" s="128" customFormat="1" x14ac:dyDescent="0.25">
      <c r="A31" s="128" t="str">
        <f>VLOOKUP(F31,'Výpočet VP 2020'!$D$324:$I$588,6,FALSE)</f>
        <v>Je v síti</v>
      </c>
      <c r="B31" s="128" t="s">
        <v>332</v>
      </c>
      <c r="C31" s="128">
        <v>48623865</v>
      </c>
      <c r="D31" s="128" t="s">
        <v>333</v>
      </c>
      <c r="E31" s="128" t="s">
        <v>259</v>
      </c>
      <c r="F31" s="128">
        <v>4987165</v>
      </c>
      <c r="G31" s="128" t="s">
        <v>342</v>
      </c>
      <c r="H31" s="128" t="s">
        <v>230</v>
      </c>
      <c r="I31" s="128" t="s">
        <v>332</v>
      </c>
      <c r="J31" s="129">
        <v>42156</v>
      </c>
      <c r="L31" s="128" t="s">
        <v>220</v>
      </c>
      <c r="X31" s="128" t="s">
        <v>343</v>
      </c>
      <c r="Z31" s="128">
        <v>1</v>
      </c>
      <c r="AA31" s="128">
        <v>10</v>
      </c>
      <c r="AB31" s="128">
        <v>90</v>
      </c>
      <c r="AC31" s="128">
        <v>92</v>
      </c>
      <c r="AD31" s="128">
        <v>95</v>
      </c>
      <c r="AO31" s="128" t="s">
        <v>344</v>
      </c>
      <c r="AP31" s="128" t="s">
        <v>345</v>
      </c>
      <c r="AQ31" s="128">
        <v>1</v>
      </c>
      <c r="AR31" s="128">
        <v>5</v>
      </c>
      <c r="AS31" s="128">
        <v>54</v>
      </c>
      <c r="AT31" s="128">
        <v>60</v>
      </c>
      <c r="AU31" s="128">
        <v>60</v>
      </c>
      <c r="BK31" s="128" t="s">
        <v>346</v>
      </c>
      <c r="BL31" s="128" t="s">
        <v>278</v>
      </c>
      <c r="BM31" s="128" t="s">
        <v>279</v>
      </c>
      <c r="BN31" s="128" t="s">
        <v>347</v>
      </c>
      <c r="EK31" s="128">
        <v>3</v>
      </c>
      <c r="EL31" s="128">
        <v>2.5</v>
      </c>
      <c r="EM31" s="128">
        <v>1.3</v>
      </c>
      <c r="EN31" s="128">
        <v>1320000</v>
      </c>
      <c r="EO31" s="128">
        <v>1200000</v>
      </c>
      <c r="EP31" s="128">
        <v>2</v>
      </c>
      <c r="EQ31" s="128">
        <v>2</v>
      </c>
      <c r="ER31" s="128">
        <v>3.2</v>
      </c>
      <c r="ES31" s="128">
        <v>840000</v>
      </c>
      <c r="ET31" s="128">
        <v>800000</v>
      </c>
      <c r="FO31" s="128">
        <v>4</v>
      </c>
      <c r="FP31" s="128">
        <v>1.75</v>
      </c>
      <c r="FQ31" s="128">
        <v>1.75</v>
      </c>
      <c r="FR31" s="128">
        <v>800000</v>
      </c>
      <c r="FS31" s="128">
        <v>500000</v>
      </c>
      <c r="KG31" s="128">
        <v>0</v>
      </c>
      <c r="KI31" s="128">
        <v>4.5</v>
      </c>
      <c r="KJ31" s="128">
        <v>0</v>
      </c>
      <c r="KK31" s="128">
        <v>0</v>
      </c>
      <c r="KL31" s="128">
        <v>0</v>
      </c>
      <c r="KM31" s="128">
        <v>4.5</v>
      </c>
      <c r="KN31" s="128">
        <v>2960000</v>
      </c>
      <c r="KO31" s="128">
        <v>2500000</v>
      </c>
      <c r="KP31" s="128">
        <v>2500000</v>
      </c>
      <c r="KT31" s="128">
        <v>0</v>
      </c>
      <c r="KU31" s="128">
        <v>0</v>
      </c>
      <c r="KV31" s="128">
        <v>0</v>
      </c>
      <c r="KZ31" s="128">
        <v>0</v>
      </c>
      <c r="LA31" s="128">
        <v>0</v>
      </c>
      <c r="LB31" s="128">
        <v>0</v>
      </c>
      <c r="LF31" s="128">
        <v>45000</v>
      </c>
      <c r="LG31" s="128">
        <v>0</v>
      </c>
      <c r="LH31" s="128">
        <v>0</v>
      </c>
      <c r="LL31" s="128">
        <v>0</v>
      </c>
      <c r="LM31" s="128">
        <v>0</v>
      </c>
      <c r="LN31" s="128">
        <v>0</v>
      </c>
      <c r="LR31" s="128">
        <v>8000</v>
      </c>
      <c r="LS31" s="128">
        <v>0</v>
      </c>
      <c r="LT31" s="128">
        <v>0</v>
      </c>
      <c r="LX31" s="128">
        <v>0</v>
      </c>
      <c r="LY31" s="128">
        <v>0</v>
      </c>
      <c r="LZ31" s="128">
        <v>0</v>
      </c>
      <c r="MD31" s="128">
        <v>10000</v>
      </c>
      <c r="ME31" s="128">
        <v>0</v>
      </c>
      <c r="MF31" s="128">
        <v>0</v>
      </c>
      <c r="MJ31" s="128">
        <v>30000</v>
      </c>
      <c r="MK31" s="128">
        <v>0</v>
      </c>
      <c r="ML31" s="128">
        <v>0</v>
      </c>
      <c r="MP31" s="128">
        <v>35000</v>
      </c>
      <c r="MQ31" s="128">
        <v>0</v>
      </c>
      <c r="MR31" s="128">
        <v>0</v>
      </c>
      <c r="MV31" s="128">
        <v>185000</v>
      </c>
      <c r="MW31" s="128">
        <v>0</v>
      </c>
      <c r="MX31" s="128">
        <v>0</v>
      </c>
      <c r="NB31" s="128">
        <v>20000</v>
      </c>
      <c r="NC31" s="128">
        <v>0</v>
      </c>
      <c r="ND31" s="128">
        <v>0</v>
      </c>
      <c r="NH31" s="128">
        <v>0</v>
      </c>
      <c r="NI31" s="128">
        <v>0</v>
      </c>
      <c r="NJ31" s="128">
        <v>0</v>
      </c>
      <c r="NN31" s="128">
        <v>0</v>
      </c>
      <c r="NO31" s="128">
        <v>0</v>
      </c>
      <c r="NP31" s="128">
        <v>0</v>
      </c>
      <c r="NT31" s="128">
        <v>40000</v>
      </c>
      <c r="NU31" s="128">
        <v>0</v>
      </c>
      <c r="NV31" s="128">
        <v>0</v>
      </c>
      <c r="NZ31" s="128">
        <v>10000</v>
      </c>
      <c r="OA31" s="128">
        <v>0</v>
      </c>
      <c r="OB31" s="128">
        <v>0</v>
      </c>
      <c r="OF31" s="128">
        <v>6000</v>
      </c>
      <c r="OG31" s="128">
        <v>0</v>
      </c>
      <c r="OH31" s="128">
        <v>0</v>
      </c>
      <c r="OL31" s="128">
        <v>0</v>
      </c>
      <c r="OM31" s="128">
        <v>0</v>
      </c>
      <c r="ON31" s="128">
        <v>0</v>
      </c>
      <c r="OR31" s="128">
        <v>0</v>
      </c>
      <c r="OS31" s="128">
        <v>0</v>
      </c>
      <c r="OT31" s="128">
        <v>0</v>
      </c>
      <c r="OX31" s="128">
        <v>151000</v>
      </c>
      <c r="OY31" s="128">
        <v>0</v>
      </c>
      <c r="OZ31" s="128">
        <v>0</v>
      </c>
      <c r="PD31" s="128">
        <v>0</v>
      </c>
      <c r="PE31" s="128">
        <v>0</v>
      </c>
      <c r="PF31" s="128">
        <v>0</v>
      </c>
      <c r="PJ31" s="128">
        <v>0</v>
      </c>
      <c r="PK31" s="128">
        <v>0</v>
      </c>
      <c r="PL31" s="128">
        <v>0</v>
      </c>
      <c r="PP31" s="128">
        <v>3500000</v>
      </c>
      <c r="PQ31" s="128">
        <v>2500000</v>
      </c>
      <c r="PR31" s="128">
        <v>2500000</v>
      </c>
      <c r="PS31" s="128">
        <v>100</v>
      </c>
      <c r="PT31" s="128">
        <v>100</v>
      </c>
      <c r="PX31" s="128">
        <v>2206460</v>
      </c>
      <c r="PY31" s="128">
        <v>2044845</v>
      </c>
      <c r="PZ31" s="128">
        <v>2500000</v>
      </c>
      <c r="QA31" s="128">
        <v>0</v>
      </c>
      <c r="QB31" s="128">
        <v>0</v>
      </c>
      <c r="QC31" s="128">
        <v>0</v>
      </c>
      <c r="QD31" s="128">
        <v>720000</v>
      </c>
      <c r="QE31" s="128">
        <v>0</v>
      </c>
      <c r="QF31" s="128">
        <v>1000000</v>
      </c>
      <c r="QG31" s="128">
        <v>0</v>
      </c>
      <c r="QH31" s="128">
        <v>0</v>
      </c>
      <c r="QI31" s="128">
        <v>0</v>
      </c>
      <c r="QJ31" s="128">
        <v>0</v>
      </c>
      <c r="QK31" s="128">
        <v>0</v>
      </c>
      <c r="QL31" s="128">
        <v>0</v>
      </c>
      <c r="QN31" s="128">
        <v>0</v>
      </c>
      <c r="QO31" s="128">
        <v>0</v>
      </c>
      <c r="QP31" s="128">
        <v>0</v>
      </c>
      <c r="RH31" s="128">
        <f t="shared" si="104"/>
        <v>3500000</v>
      </c>
      <c r="RI31" s="128">
        <v>0</v>
      </c>
      <c r="RM31" s="128" t="s">
        <v>220</v>
      </c>
      <c r="RU31" s="130"/>
      <c r="RV31" s="130"/>
      <c r="RW31" s="130"/>
      <c r="RX31" s="130"/>
      <c r="SF31" s="128">
        <f t="shared" si="8"/>
        <v>4987165</v>
      </c>
      <c r="SG31" s="131">
        <f t="shared" si="9"/>
        <v>3500000</v>
      </c>
      <c r="SH31" s="131">
        <f t="shared" si="10"/>
        <v>3500000</v>
      </c>
      <c r="SI31" s="131">
        <f t="shared" si="11"/>
        <v>3005000</v>
      </c>
      <c r="SJ31" s="132">
        <f t="shared" si="12"/>
        <v>2960000</v>
      </c>
      <c r="SK31" s="132">
        <f t="shared" si="13"/>
        <v>0</v>
      </c>
      <c r="SL31" s="132">
        <f t="shared" si="14"/>
        <v>0</v>
      </c>
      <c r="SM31" s="132">
        <f t="shared" si="15"/>
        <v>45000</v>
      </c>
      <c r="SN31" s="131">
        <f t="shared" si="16"/>
        <v>495000</v>
      </c>
      <c r="SO31" s="131">
        <f t="shared" si="17"/>
        <v>8000</v>
      </c>
      <c r="SP31" s="132">
        <f t="shared" si="18"/>
        <v>0</v>
      </c>
      <c r="SQ31" s="132">
        <f t="shared" si="19"/>
        <v>8000</v>
      </c>
      <c r="SR31" s="132">
        <f t="shared" si="20"/>
        <v>0</v>
      </c>
      <c r="SS31" s="132">
        <f t="shared" si="21"/>
        <v>10000</v>
      </c>
      <c r="ST31" s="132">
        <f t="shared" si="22"/>
        <v>30000</v>
      </c>
      <c r="SU31" s="132">
        <f t="shared" si="23"/>
        <v>35000</v>
      </c>
      <c r="SV31" s="131">
        <f t="shared" si="24"/>
        <v>412000</v>
      </c>
      <c r="SW31" s="132">
        <f t="shared" si="25"/>
        <v>185000</v>
      </c>
      <c r="SX31" s="132">
        <f t="shared" si="26"/>
        <v>20000</v>
      </c>
      <c r="SY31" s="132">
        <f t="shared" si="27"/>
        <v>0</v>
      </c>
      <c r="SZ31" s="132">
        <f t="shared" si="28"/>
        <v>0</v>
      </c>
      <c r="TA31" s="132">
        <f t="shared" si="29"/>
        <v>40000</v>
      </c>
      <c r="TB31" s="132">
        <f t="shared" si="30"/>
        <v>10000</v>
      </c>
      <c r="TC31" s="132">
        <f t="shared" si="31"/>
        <v>6000</v>
      </c>
      <c r="TD31" s="132">
        <f t="shared" si="32"/>
        <v>0</v>
      </c>
      <c r="TE31" s="132">
        <f t="shared" si="33"/>
        <v>0</v>
      </c>
      <c r="TF31" s="132">
        <f t="shared" si="34"/>
        <v>151000</v>
      </c>
      <c r="TG31" s="132">
        <f t="shared" si="35"/>
        <v>0</v>
      </c>
      <c r="TH31" s="132">
        <f t="shared" si="36"/>
        <v>0</v>
      </c>
      <c r="TI31" s="1"/>
      <c r="TJ31" s="131">
        <f t="shared" si="37"/>
        <v>2500000</v>
      </c>
      <c r="TK31" s="131">
        <f t="shared" si="38"/>
        <v>2500000</v>
      </c>
      <c r="TL31" s="131">
        <f t="shared" si="39"/>
        <v>2500000</v>
      </c>
      <c r="TM31" s="132">
        <f t="shared" si="40"/>
        <v>2500000</v>
      </c>
      <c r="TN31" s="132">
        <f t="shared" si="41"/>
        <v>0</v>
      </c>
      <c r="TO31" s="132">
        <f t="shared" si="42"/>
        <v>0</v>
      </c>
      <c r="TP31" s="132">
        <f t="shared" si="43"/>
        <v>0</v>
      </c>
      <c r="TQ31" s="131">
        <f t="shared" si="44"/>
        <v>0</v>
      </c>
      <c r="TR31" s="131">
        <f t="shared" si="45"/>
        <v>0</v>
      </c>
      <c r="TS31" s="132">
        <f t="shared" si="46"/>
        <v>0</v>
      </c>
      <c r="TT31" s="132">
        <f t="shared" si="47"/>
        <v>0</v>
      </c>
      <c r="TU31" s="132">
        <f t="shared" si="48"/>
        <v>0</v>
      </c>
      <c r="TV31" s="132">
        <f t="shared" si="49"/>
        <v>0</v>
      </c>
      <c r="TW31" s="132">
        <f t="shared" si="50"/>
        <v>0</v>
      </c>
      <c r="TX31" s="132">
        <f t="shared" si="51"/>
        <v>0</v>
      </c>
      <c r="TY31" s="131">
        <f t="shared" si="52"/>
        <v>0</v>
      </c>
      <c r="TZ31" s="132">
        <f t="shared" si="53"/>
        <v>0</v>
      </c>
      <c r="UA31" s="132">
        <f t="shared" si="54"/>
        <v>0</v>
      </c>
      <c r="UB31" s="132">
        <f t="shared" si="55"/>
        <v>0</v>
      </c>
      <c r="UC31" s="132">
        <f t="shared" si="56"/>
        <v>0</v>
      </c>
      <c r="UD31" s="132">
        <f t="shared" si="57"/>
        <v>0</v>
      </c>
      <c r="UE31" s="132">
        <f t="shared" si="58"/>
        <v>0</v>
      </c>
      <c r="UF31" s="132">
        <f t="shared" si="59"/>
        <v>0</v>
      </c>
      <c r="UG31" s="132">
        <f t="shared" si="60"/>
        <v>0</v>
      </c>
      <c r="UH31" s="132">
        <f t="shared" si="61"/>
        <v>0</v>
      </c>
      <c r="UI31" s="132">
        <f t="shared" si="62"/>
        <v>0</v>
      </c>
      <c r="UJ31" s="132">
        <f t="shared" si="63"/>
        <v>0</v>
      </c>
      <c r="UK31" s="132">
        <f t="shared" si="64"/>
        <v>0</v>
      </c>
      <c r="UL31" s="132">
        <f t="shared" si="105"/>
        <v>2500000</v>
      </c>
      <c r="UM31" s="131">
        <f t="shared" si="65"/>
        <v>2500000</v>
      </c>
      <c r="UN31" s="131">
        <f t="shared" si="66"/>
        <v>2500000</v>
      </c>
      <c r="UO31" s="131">
        <f t="shared" si="67"/>
        <v>2500000</v>
      </c>
      <c r="UP31" s="132">
        <f t="shared" si="68"/>
        <v>2500000</v>
      </c>
      <c r="UQ31" s="132">
        <f t="shared" si="69"/>
        <v>0</v>
      </c>
      <c r="UR31" s="132">
        <f t="shared" si="70"/>
        <v>0</v>
      </c>
      <c r="US31" s="132">
        <f t="shared" si="71"/>
        <v>0</v>
      </c>
      <c r="UT31" s="131">
        <f t="shared" si="72"/>
        <v>0</v>
      </c>
      <c r="UU31" s="131">
        <f t="shared" si="73"/>
        <v>0</v>
      </c>
      <c r="UV31" s="132">
        <f t="shared" si="74"/>
        <v>0</v>
      </c>
      <c r="UW31" s="132">
        <f t="shared" si="75"/>
        <v>0</v>
      </c>
      <c r="UX31" s="132">
        <f t="shared" si="76"/>
        <v>0</v>
      </c>
      <c r="UY31" s="132">
        <f t="shared" si="77"/>
        <v>0</v>
      </c>
      <c r="UZ31" s="132">
        <f t="shared" si="78"/>
        <v>0</v>
      </c>
      <c r="VA31" s="132">
        <f t="shared" si="79"/>
        <v>0</v>
      </c>
      <c r="VB31" s="131">
        <f t="shared" si="80"/>
        <v>0</v>
      </c>
      <c r="VC31" s="132">
        <f t="shared" si="81"/>
        <v>0</v>
      </c>
      <c r="VD31" s="132">
        <f t="shared" si="82"/>
        <v>0</v>
      </c>
      <c r="VE31" s="132">
        <f t="shared" si="83"/>
        <v>0</v>
      </c>
      <c r="VF31" s="132">
        <f t="shared" si="84"/>
        <v>0</v>
      </c>
      <c r="VG31" s="132">
        <f t="shared" si="85"/>
        <v>0</v>
      </c>
      <c r="VH31" s="132">
        <f t="shared" si="86"/>
        <v>0</v>
      </c>
      <c r="VI31" s="132">
        <f t="shared" si="87"/>
        <v>0</v>
      </c>
      <c r="VJ31" s="132">
        <f t="shared" si="88"/>
        <v>0</v>
      </c>
      <c r="VK31" s="132">
        <f t="shared" si="89"/>
        <v>0</v>
      </c>
      <c r="VL31" s="132">
        <f t="shared" si="90"/>
        <v>0</v>
      </c>
      <c r="VM31" s="132">
        <f t="shared" si="91"/>
        <v>0</v>
      </c>
      <c r="VN31" s="132">
        <f t="shared" si="92"/>
        <v>0</v>
      </c>
      <c r="VP31" s="845" t="str">
        <f>IFERROR(HLOOKUP(F31,'Hodnocení '!$C$1:$JH$5,2,FALSE),0)</f>
        <v>Centrum pro rodinu - SAS</v>
      </c>
      <c r="VQ31" s="838"/>
      <c r="VR31" s="845" t="str">
        <f t="shared" si="106"/>
        <v>Příspěvková organizace zřízená územním samosprávným celkem</v>
      </c>
      <c r="VS31" s="845" t="str">
        <f>IFERROR(HLOOKUP(F31,'Hodnocení '!$C$1:$JH$5,5,FALSE),0)</f>
        <v>Obce</v>
      </c>
      <c r="VT31" s="838" t="str">
        <f t="shared" si="107"/>
        <v>Příspěvková organizace zřízená územním samosprávným celkem</v>
      </c>
      <c r="VU31" s="838">
        <f t="shared" si="108"/>
        <v>0</v>
      </c>
      <c r="VV31" s="838">
        <f t="shared" si="109"/>
        <v>0</v>
      </c>
      <c r="VW31" s="838">
        <f t="shared" si="110"/>
        <v>0</v>
      </c>
      <c r="VX31" s="838"/>
      <c r="VY31" s="838">
        <f t="shared" si="114"/>
        <v>0</v>
      </c>
      <c r="VZ31" s="838">
        <f t="shared" si="115"/>
        <v>2500000</v>
      </c>
      <c r="WA31" s="846">
        <f>IFERROR(HLOOKUP($F31,'Hodnocení '!$C$1:$JH$9,9,FALSE),0)</f>
        <v>2500000</v>
      </c>
      <c r="WB31" s="846">
        <f>IF(IFERROR(HLOOKUP($F31,'Hodnocení '!$C$1:$JH$13,13,FALSE),0)&gt;WA31,WA31,IFERROR(HLOOKUP($F31,'Hodnocení '!$C$1:$JH$13,13,FALSE),0))</f>
        <v>2500000</v>
      </c>
      <c r="WC31" s="846">
        <f>IFERROR(HLOOKUP($F31,'Hodnocení '!$C$1:$JH$155,155,FALSE),0)</f>
        <v>2059170</v>
      </c>
      <c r="WD31" s="845"/>
      <c r="WE31" s="845"/>
      <c r="WF31" s="845" t="str">
        <f t="shared" si="97"/>
        <v>ANO</v>
      </c>
      <c r="WG31" s="849" t="str">
        <f t="shared" si="117"/>
        <v>Podpora služby je vyjádřena zařazením do sítě sociálních služeb v KHK a řešením financování služby</v>
      </c>
      <c r="WH31"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31" s="849" t="str">
        <f t="shared" si="117"/>
        <v>Návrh dotace je výsledkem projednání s ostatními zadavateli v rámci sítě služeb KHK</v>
      </c>
      <c r="WJ31" s="849" t="str">
        <f t="shared" si="117"/>
        <v>Bez komentáře</v>
      </c>
      <c r="WK31" s="31" t="str">
        <f t="shared" si="99"/>
        <v>Výše příspěvku ze strany zřizovatele bude řešen v návaznosti na řešení podílů jednotlivých zadavatelů</v>
      </c>
      <c r="WL31" s="850">
        <f t="shared" si="100"/>
        <v>0</v>
      </c>
      <c r="WM31" s="849">
        <f t="shared" si="101"/>
        <v>0</v>
      </c>
      <c r="WN31" s="849">
        <f t="shared" si="102"/>
        <v>0</v>
      </c>
      <c r="WO31" s="849" t="str">
        <f t="shared" si="116"/>
        <v>bez komentáře</v>
      </c>
      <c r="WP31" s="849" t="str">
        <f t="shared" si="116"/>
        <v>bez komentáře</v>
      </c>
      <c r="WQ31" s="849" t="str">
        <f t="shared" si="116"/>
        <v>Konečná výše dotace z rozpočtu KHK bude řešena v návaznosti na řešení podílů jednotlivých zadavatelů.</v>
      </c>
      <c r="WR31" s="849" t="str">
        <f t="shared" si="116"/>
        <v>Konečná výše podpory ze stran obcí bude řešena v součinnosti s jednotlivými zadavateli v průběhu roku.</v>
      </c>
      <c r="WS31" s="849" t="str">
        <f t="shared" si="116"/>
        <v>bez komentáře</v>
      </c>
      <c r="WT31" s="849" t="str">
        <f t="shared" si="116"/>
        <v>bez komentáře</v>
      </c>
      <c r="WU31" s="845"/>
    </row>
    <row r="32" spans="1:619" s="128" customFormat="1" x14ac:dyDescent="0.25">
      <c r="A32" s="128" t="str">
        <f>VLOOKUP(F32,'Výpočet VP 2020'!$D$324:$I$588,6,FALSE)</f>
        <v>Je v síti</v>
      </c>
      <c r="B32" s="128" t="s">
        <v>332</v>
      </c>
      <c r="C32" s="128">
        <v>48623865</v>
      </c>
      <c r="D32" s="128" t="s">
        <v>333</v>
      </c>
      <c r="E32" s="128" t="s">
        <v>259</v>
      </c>
      <c r="F32" s="128">
        <v>7916274</v>
      </c>
      <c r="G32" s="128" t="s">
        <v>348</v>
      </c>
      <c r="H32" s="128" t="s">
        <v>218</v>
      </c>
      <c r="I32" s="128" t="s">
        <v>349</v>
      </c>
      <c r="J32" s="129">
        <v>39083</v>
      </c>
      <c r="L32" s="128" t="s">
        <v>220</v>
      </c>
      <c r="M32" s="128" t="s">
        <v>350</v>
      </c>
      <c r="N32" s="128">
        <v>42</v>
      </c>
      <c r="P32" s="128">
        <v>50</v>
      </c>
      <c r="Q32" s="128">
        <v>62</v>
      </c>
      <c r="R32" s="128">
        <v>62</v>
      </c>
      <c r="BL32" s="128" t="s">
        <v>351</v>
      </c>
      <c r="BM32" s="128" t="s">
        <v>325</v>
      </c>
      <c r="BN32" s="128" t="s">
        <v>352</v>
      </c>
      <c r="DA32" s="128">
        <v>0</v>
      </c>
      <c r="DB32" s="128">
        <v>0</v>
      </c>
      <c r="DC32" s="128">
        <v>0</v>
      </c>
      <c r="DD32" s="128">
        <v>0</v>
      </c>
      <c r="DE32" s="128">
        <v>0</v>
      </c>
      <c r="DF32" s="128">
        <v>2</v>
      </c>
      <c r="DG32" s="128">
        <v>5</v>
      </c>
      <c r="DH32" s="128">
        <v>12</v>
      </c>
      <c r="DI32" s="128">
        <v>20</v>
      </c>
      <c r="DJ32" s="128">
        <v>3</v>
      </c>
      <c r="DK32" s="128">
        <v>2</v>
      </c>
      <c r="DL32" s="128">
        <v>5</v>
      </c>
      <c r="DM32" s="128">
        <v>12</v>
      </c>
      <c r="DN32" s="128">
        <v>20</v>
      </c>
      <c r="DO32" s="128">
        <v>3</v>
      </c>
      <c r="DP32" s="128">
        <v>0</v>
      </c>
      <c r="DQ32" s="128">
        <v>42</v>
      </c>
      <c r="DR32" s="128">
        <v>42</v>
      </c>
      <c r="DS32" s="128">
        <v>0</v>
      </c>
      <c r="DT32" s="128">
        <v>0</v>
      </c>
      <c r="DU32" s="128">
        <v>0</v>
      </c>
      <c r="DV32" s="128">
        <v>0</v>
      </c>
      <c r="DW32" s="128">
        <v>0</v>
      </c>
      <c r="DX32" s="128">
        <v>0</v>
      </c>
      <c r="DY32" s="128">
        <v>1</v>
      </c>
      <c r="DZ32" s="128">
        <v>19</v>
      </c>
      <c r="EA32" s="128">
        <v>22</v>
      </c>
      <c r="EB32" s="128">
        <v>0</v>
      </c>
      <c r="EC32" s="128">
        <v>0</v>
      </c>
      <c r="ED32" s="128">
        <v>1</v>
      </c>
      <c r="EE32" s="128">
        <v>19</v>
      </c>
      <c r="EF32" s="128">
        <v>22</v>
      </c>
      <c r="EG32" s="128">
        <v>0</v>
      </c>
      <c r="EH32" s="128">
        <v>0</v>
      </c>
      <c r="EI32" s="128">
        <v>42</v>
      </c>
      <c r="EJ32" s="128">
        <v>42</v>
      </c>
      <c r="EK32" s="128">
        <v>2</v>
      </c>
      <c r="EL32" s="128">
        <v>2</v>
      </c>
      <c r="EM32" s="128">
        <v>2</v>
      </c>
      <c r="EN32" s="128">
        <v>870000</v>
      </c>
      <c r="EO32" s="128">
        <v>800000</v>
      </c>
      <c r="EP32" s="128">
        <v>16</v>
      </c>
      <c r="EQ32" s="128">
        <v>16</v>
      </c>
      <c r="ER32" s="128">
        <v>15</v>
      </c>
      <c r="ES32" s="128">
        <v>6720000</v>
      </c>
      <c r="ET32" s="128">
        <v>6400000</v>
      </c>
      <c r="EU32" s="128">
        <v>7</v>
      </c>
      <c r="EV32" s="128">
        <v>6</v>
      </c>
      <c r="EW32" s="128">
        <v>6</v>
      </c>
      <c r="EX32" s="128">
        <v>4100000</v>
      </c>
      <c r="EY32" s="128">
        <v>0</v>
      </c>
      <c r="FO32" s="128">
        <v>16</v>
      </c>
      <c r="FP32" s="128">
        <v>13.08</v>
      </c>
      <c r="FQ32" s="128">
        <v>13.08</v>
      </c>
      <c r="FR32" s="128">
        <v>5410000</v>
      </c>
      <c r="FS32" s="128">
        <v>0</v>
      </c>
      <c r="KG32" s="128">
        <v>1</v>
      </c>
      <c r="KH32" s="128">
        <v>30</v>
      </c>
      <c r="KI32" s="128">
        <v>24</v>
      </c>
      <c r="KJ32" s="128">
        <v>0</v>
      </c>
      <c r="KK32" s="128">
        <v>0</v>
      </c>
      <c r="KL32" s="128">
        <v>0</v>
      </c>
      <c r="KM32" s="128">
        <v>24</v>
      </c>
      <c r="KN32" s="128">
        <v>17100000</v>
      </c>
      <c r="KO32" s="128">
        <v>7200000</v>
      </c>
      <c r="KP32" s="128">
        <v>7200000</v>
      </c>
      <c r="KT32" s="128">
        <v>0</v>
      </c>
      <c r="KU32" s="128">
        <v>0</v>
      </c>
      <c r="KV32" s="128">
        <v>0</v>
      </c>
      <c r="KZ32" s="128">
        <v>0</v>
      </c>
      <c r="LA32" s="128">
        <v>0</v>
      </c>
      <c r="LB32" s="128">
        <v>0</v>
      </c>
      <c r="LF32" s="128">
        <v>0</v>
      </c>
      <c r="LG32" s="128">
        <v>0</v>
      </c>
      <c r="LH32" s="128">
        <v>0</v>
      </c>
      <c r="LL32" s="128">
        <v>0</v>
      </c>
      <c r="LM32" s="128">
        <v>0</v>
      </c>
      <c r="LN32" s="128">
        <v>0</v>
      </c>
      <c r="LR32" s="128">
        <v>300000</v>
      </c>
      <c r="LS32" s="128">
        <v>0</v>
      </c>
      <c r="LT32" s="128">
        <v>0</v>
      </c>
      <c r="LX32" s="128">
        <v>1700000</v>
      </c>
      <c r="LY32" s="128">
        <v>0</v>
      </c>
      <c r="LZ32" s="128">
        <v>0</v>
      </c>
      <c r="MD32" s="128">
        <v>60000</v>
      </c>
      <c r="ME32" s="128">
        <v>0</v>
      </c>
      <c r="MF32" s="128">
        <v>0</v>
      </c>
      <c r="MJ32" s="128">
        <v>45000</v>
      </c>
      <c r="MK32" s="128">
        <v>0</v>
      </c>
      <c r="ML32" s="128">
        <v>0</v>
      </c>
      <c r="MP32" s="128">
        <v>1030000</v>
      </c>
      <c r="MQ32" s="128">
        <v>0</v>
      </c>
      <c r="MR32" s="128">
        <v>0</v>
      </c>
      <c r="MV32" s="128">
        <v>880000</v>
      </c>
      <c r="MW32" s="128">
        <v>0</v>
      </c>
      <c r="MX32" s="128">
        <v>0</v>
      </c>
      <c r="NB32" s="128">
        <v>45000</v>
      </c>
      <c r="NC32" s="128">
        <v>0</v>
      </c>
      <c r="ND32" s="128">
        <v>0</v>
      </c>
      <c r="NH32" s="128">
        <v>0</v>
      </c>
      <c r="NI32" s="128">
        <v>0</v>
      </c>
      <c r="NJ32" s="128">
        <v>0</v>
      </c>
      <c r="NN32" s="128">
        <v>0</v>
      </c>
      <c r="NO32" s="128">
        <v>0</v>
      </c>
      <c r="NP32" s="128">
        <v>0</v>
      </c>
      <c r="NT32" s="128">
        <v>60000</v>
      </c>
      <c r="NU32" s="128">
        <v>0</v>
      </c>
      <c r="NV32" s="128">
        <v>0</v>
      </c>
      <c r="NZ32" s="128">
        <v>160000</v>
      </c>
      <c r="OA32" s="128">
        <v>0</v>
      </c>
      <c r="OB32" s="128">
        <v>0</v>
      </c>
      <c r="OF32" s="128">
        <v>6000</v>
      </c>
      <c r="OG32" s="128">
        <v>0</v>
      </c>
      <c r="OH32" s="128">
        <v>0</v>
      </c>
      <c r="OL32" s="128">
        <v>0</v>
      </c>
      <c r="OM32" s="128">
        <v>0</v>
      </c>
      <c r="ON32" s="128">
        <v>0</v>
      </c>
      <c r="OR32" s="128">
        <v>0</v>
      </c>
      <c r="OS32" s="128">
        <v>0</v>
      </c>
      <c r="OT32" s="128">
        <v>0</v>
      </c>
      <c r="OX32" s="128">
        <v>0</v>
      </c>
      <c r="OY32" s="128">
        <v>0</v>
      </c>
      <c r="OZ32" s="128">
        <v>0</v>
      </c>
      <c r="PD32" s="128">
        <v>0</v>
      </c>
      <c r="PE32" s="128">
        <v>0</v>
      </c>
      <c r="PF32" s="128">
        <v>0</v>
      </c>
      <c r="PJ32" s="128">
        <v>614000</v>
      </c>
      <c r="PK32" s="128">
        <v>0</v>
      </c>
      <c r="PL32" s="128">
        <v>0</v>
      </c>
      <c r="PP32" s="128">
        <v>22000000</v>
      </c>
      <c r="PQ32" s="128">
        <v>7200000</v>
      </c>
      <c r="PR32" s="128">
        <v>7200000</v>
      </c>
      <c r="PS32" s="128">
        <v>100</v>
      </c>
      <c r="PT32" s="128">
        <v>100</v>
      </c>
      <c r="PV32" s="128">
        <v>12208660</v>
      </c>
      <c r="PX32" s="128">
        <v>5000000</v>
      </c>
      <c r="PY32" s="128">
        <v>5404290</v>
      </c>
      <c r="PZ32" s="128">
        <v>7200000</v>
      </c>
      <c r="QA32" s="128">
        <v>0</v>
      </c>
      <c r="QB32" s="128">
        <v>0</v>
      </c>
      <c r="QC32" s="128">
        <v>0</v>
      </c>
      <c r="QD32" s="128">
        <v>2560000</v>
      </c>
      <c r="QE32" s="128">
        <v>3600000</v>
      </c>
      <c r="QF32" s="128">
        <v>2800000</v>
      </c>
      <c r="QG32" s="128">
        <v>0</v>
      </c>
      <c r="QH32" s="128">
        <v>0</v>
      </c>
      <c r="QI32" s="128">
        <v>0</v>
      </c>
      <c r="QJ32" s="128">
        <v>8498743</v>
      </c>
      <c r="QK32" s="128">
        <v>9800000</v>
      </c>
      <c r="QL32" s="128">
        <v>10000000</v>
      </c>
      <c r="QN32" s="128">
        <v>1364883</v>
      </c>
      <c r="QO32" s="128">
        <v>1700000</v>
      </c>
      <c r="QP32" s="128">
        <v>2000000</v>
      </c>
      <c r="QU32" s="128">
        <v>469600</v>
      </c>
      <c r="QV32" s="128">
        <v>0</v>
      </c>
      <c r="QW32" s="128">
        <v>0</v>
      </c>
      <c r="RH32" s="128">
        <f t="shared" si="104"/>
        <v>10000000</v>
      </c>
      <c r="RI32" s="128">
        <v>0</v>
      </c>
      <c r="RM32" s="128" t="s">
        <v>220</v>
      </c>
      <c r="RU32" s="130"/>
      <c r="RV32" s="130"/>
      <c r="RW32" s="130"/>
      <c r="RX32" s="130"/>
      <c r="SF32" s="128">
        <f t="shared" si="8"/>
        <v>7916274</v>
      </c>
      <c r="SG32" s="131">
        <f t="shared" si="9"/>
        <v>22000000</v>
      </c>
      <c r="SH32" s="131">
        <f t="shared" si="10"/>
        <v>22000000</v>
      </c>
      <c r="SI32" s="131">
        <f t="shared" si="11"/>
        <v>17100000</v>
      </c>
      <c r="SJ32" s="132">
        <f t="shared" si="12"/>
        <v>17100000</v>
      </c>
      <c r="SK32" s="132">
        <f t="shared" si="13"/>
        <v>0</v>
      </c>
      <c r="SL32" s="132">
        <f t="shared" si="14"/>
        <v>0</v>
      </c>
      <c r="SM32" s="132">
        <f t="shared" si="15"/>
        <v>0</v>
      </c>
      <c r="SN32" s="131">
        <f t="shared" si="16"/>
        <v>4900000</v>
      </c>
      <c r="SO32" s="131">
        <f t="shared" si="17"/>
        <v>300000</v>
      </c>
      <c r="SP32" s="132">
        <f t="shared" si="18"/>
        <v>0</v>
      </c>
      <c r="SQ32" s="132">
        <f t="shared" si="19"/>
        <v>300000</v>
      </c>
      <c r="SR32" s="132">
        <f t="shared" si="20"/>
        <v>1700000</v>
      </c>
      <c r="SS32" s="132">
        <f t="shared" si="21"/>
        <v>60000</v>
      </c>
      <c r="ST32" s="132">
        <f t="shared" si="22"/>
        <v>45000</v>
      </c>
      <c r="SU32" s="132">
        <f t="shared" si="23"/>
        <v>1030000</v>
      </c>
      <c r="SV32" s="131">
        <f t="shared" si="24"/>
        <v>1151000</v>
      </c>
      <c r="SW32" s="132">
        <f t="shared" si="25"/>
        <v>880000</v>
      </c>
      <c r="SX32" s="132">
        <f t="shared" si="26"/>
        <v>45000</v>
      </c>
      <c r="SY32" s="132">
        <f t="shared" si="27"/>
        <v>0</v>
      </c>
      <c r="SZ32" s="132">
        <f t="shared" si="28"/>
        <v>0</v>
      </c>
      <c r="TA32" s="132">
        <f t="shared" si="29"/>
        <v>60000</v>
      </c>
      <c r="TB32" s="132">
        <f t="shared" si="30"/>
        <v>160000</v>
      </c>
      <c r="TC32" s="132">
        <f t="shared" si="31"/>
        <v>6000</v>
      </c>
      <c r="TD32" s="132">
        <f t="shared" si="32"/>
        <v>0</v>
      </c>
      <c r="TE32" s="132">
        <f t="shared" si="33"/>
        <v>0</v>
      </c>
      <c r="TF32" s="132">
        <f t="shared" si="34"/>
        <v>0</v>
      </c>
      <c r="TG32" s="132">
        <f t="shared" si="35"/>
        <v>0</v>
      </c>
      <c r="TH32" s="132">
        <f t="shared" si="36"/>
        <v>614000</v>
      </c>
      <c r="TI32" s="1"/>
      <c r="TJ32" s="131">
        <f t="shared" si="37"/>
        <v>7200000</v>
      </c>
      <c r="TK32" s="131">
        <f t="shared" si="38"/>
        <v>7200000</v>
      </c>
      <c r="TL32" s="131">
        <f t="shared" si="39"/>
        <v>7200000</v>
      </c>
      <c r="TM32" s="132">
        <f t="shared" si="40"/>
        <v>7200000</v>
      </c>
      <c r="TN32" s="132">
        <f t="shared" si="41"/>
        <v>0</v>
      </c>
      <c r="TO32" s="132">
        <f t="shared" si="42"/>
        <v>0</v>
      </c>
      <c r="TP32" s="132">
        <f t="shared" si="43"/>
        <v>0</v>
      </c>
      <c r="TQ32" s="131">
        <f t="shared" si="44"/>
        <v>0</v>
      </c>
      <c r="TR32" s="131">
        <f t="shared" si="45"/>
        <v>0</v>
      </c>
      <c r="TS32" s="132">
        <f t="shared" si="46"/>
        <v>0</v>
      </c>
      <c r="TT32" s="132">
        <f t="shared" si="47"/>
        <v>0</v>
      </c>
      <c r="TU32" s="132">
        <f t="shared" si="48"/>
        <v>0</v>
      </c>
      <c r="TV32" s="132">
        <f t="shared" si="49"/>
        <v>0</v>
      </c>
      <c r="TW32" s="132">
        <f t="shared" si="50"/>
        <v>0</v>
      </c>
      <c r="TX32" s="132">
        <f t="shared" si="51"/>
        <v>0</v>
      </c>
      <c r="TY32" s="131">
        <f t="shared" si="52"/>
        <v>0</v>
      </c>
      <c r="TZ32" s="132">
        <f t="shared" si="53"/>
        <v>0</v>
      </c>
      <c r="UA32" s="132">
        <f t="shared" si="54"/>
        <v>0</v>
      </c>
      <c r="UB32" s="132">
        <f t="shared" si="55"/>
        <v>0</v>
      </c>
      <c r="UC32" s="132">
        <f t="shared" si="56"/>
        <v>0</v>
      </c>
      <c r="UD32" s="132">
        <f t="shared" si="57"/>
        <v>0</v>
      </c>
      <c r="UE32" s="132">
        <f t="shared" si="58"/>
        <v>0</v>
      </c>
      <c r="UF32" s="132">
        <f t="shared" si="59"/>
        <v>0</v>
      </c>
      <c r="UG32" s="132">
        <f t="shared" si="60"/>
        <v>0</v>
      </c>
      <c r="UH32" s="132">
        <f t="shared" si="61"/>
        <v>0</v>
      </c>
      <c r="UI32" s="132">
        <f t="shared" si="62"/>
        <v>0</v>
      </c>
      <c r="UJ32" s="132">
        <f t="shared" si="63"/>
        <v>0</v>
      </c>
      <c r="UK32" s="132">
        <f t="shared" si="64"/>
        <v>0</v>
      </c>
      <c r="UL32" s="132">
        <f t="shared" si="105"/>
        <v>7200000</v>
      </c>
      <c r="UM32" s="131">
        <f t="shared" si="65"/>
        <v>7200000</v>
      </c>
      <c r="UN32" s="131">
        <f t="shared" si="66"/>
        <v>7200000</v>
      </c>
      <c r="UO32" s="131">
        <f t="shared" si="67"/>
        <v>7200000</v>
      </c>
      <c r="UP32" s="132">
        <f t="shared" si="68"/>
        <v>7200000</v>
      </c>
      <c r="UQ32" s="132">
        <f t="shared" si="69"/>
        <v>0</v>
      </c>
      <c r="UR32" s="132">
        <f t="shared" si="70"/>
        <v>0</v>
      </c>
      <c r="US32" s="132">
        <f t="shared" si="71"/>
        <v>0</v>
      </c>
      <c r="UT32" s="131">
        <f t="shared" si="72"/>
        <v>0</v>
      </c>
      <c r="UU32" s="131">
        <f t="shared" si="73"/>
        <v>0</v>
      </c>
      <c r="UV32" s="132">
        <f t="shared" si="74"/>
        <v>0</v>
      </c>
      <c r="UW32" s="132">
        <f t="shared" si="75"/>
        <v>0</v>
      </c>
      <c r="UX32" s="132">
        <f t="shared" si="76"/>
        <v>0</v>
      </c>
      <c r="UY32" s="132">
        <f t="shared" si="77"/>
        <v>0</v>
      </c>
      <c r="UZ32" s="132">
        <f t="shared" si="78"/>
        <v>0</v>
      </c>
      <c r="VA32" s="132">
        <f t="shared" si="79"/>
        <v>0</v>
      </c>
      <c r="VB32" s="131">
        <f t="shared" si="80"/>
        <v>0</v>
      </c>
      <c r="VC32" s="132">
        <f t="shared" si="81"/>
        <v>0</v>
      </c>
      <c r="VD32" s="132">
        <f t="shared" si="82"/>
        <v>0</v>
      </c>
      <c r="VE32" s="132">
        <f t="shared" si="83"/>
        <v>0</v>
      </c>
      <c r="VF32" s="132">
        <f t="shared" si="84"/>
        <v>0</v>
      </c>
      <c r="VG32" s="132">
        <f t="shared" si="85"/>
        <v>0</v>
      </c>
      <c r="VH32" s="132">
        <f t="shared" si="86"/>
        <v>0</v>
      </c>
      <c r="VI32" s="132">
        <f t="shared" si="87"/>
        <v>0</v>
      </c>
      <c r="VJ32" s="132">
        <f t="shared" si="88"/>
        <v>0</v>
      </c>
      <c r="VK32" s="132">
        <f t="shared" si="89"/>
        <v>0</v>
      </c>
      <c r="VL32" s="132">
        <f t="shared" si="90"/>
        <v>0</v>
      </c>
      <c r="VM32" s="132">
        <f t="shared" si="91"/>
        <v>0</v>
      </c>
      <c r="VN32" s="132">
        <f t="shared" si="92"/>
        <v>0</v>
      </c>
      <c r="VP32" s="845" t="str">
        <f>IFERROR(HLOOKUP(F32,'Hodnocení '!$C$1:$JH$5,2,FALSE),0)</f>
        <v>Domov pro seniory</v>
      </c>
      <c r="VQ32" s="838"/>
      <c r="VR32" s="845" t="str">
        <f t="shared" si="106"/>
        <v>Příspěvková organizace zřízená územním samosprávným celkem</v>
      </c>
      <c r="VS32" s="845" t="str">
        <f>IFERROR(HLOOKUP(F32,'Hodnocení '!$C$1:$JH$5,5,FALSE),0)</f>
        <v>Obce</v>
      </c>
      <c r="VT32" s="838" t="str">
        <f t="shared" si="107"/>
        <v>Příspěvková organizace zřízená územním samosprávným celkem</v>
      </c>
      <c r="VU32" s="838">
        <f t="shared" si="108"/>
        <v>0</v>
      </c>
      <c r="VV32" s="838">
        <f t="shared" si="109"/>
        <v>10000000</v>
      </c>
      <c r="VW32" s="838">
        <f t="shared" si="110"/>
        <v>2000000</v>
      </c>
      <c r="VX32" s="838"/>
      <c r="VY32" s="838">
        <f t="shared" si="114"/>
        <v>0</v>
      </c>
      <c r="VZ32" s="838">
        <f t="shared" si="115"/>
        <v>7200000</v>
      </c>
      <c r="WA32" s="846">
        <f>IFERROR(HLOOKUP($F32,'Hodnocení '!$C$1:$JH$9,9,FALSE),0)</f>
        <v>7200000</v>
      </c>
      <c r="WB32" s="846">
        <f>IF(IFERROR(HLOOKUP($F32,'Hodnocení '!$C$1:$JH$13,13,FALSE),0)&gt;WA32,WA32,IFERROR(HLOOKUP($F32,'Hodnocení '!$C$1:$JH$13,13,FALSE),0))</f>
        <v>7200000</v>
      </c>
      <c r="WC32" s="846">
        <f>IFERROR(HLOOKUP($F32,'Hodnocení '!$C$1:$JH$155,155,FALSE),0)</f>
        <v>5574310</v>
      </c>
      <c r="WD32" s="845"/>
      <c r="WE32" s="845"/>
      <c r="WF32" s="845" t="str">
        <f t="shared" si="97"/>
        <v>ANO</v>
      </c>
      <c r="WG32" s="849" t="str">
        <f t="shared" si="117"/>
        <v>Podpora služby je vyjádřena zařazením do sítě sociálních služeb v KHK a řešením financování služby</v>
      </c>
      <c r="WH32"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32" s="849" t="str">
        <f t="shared" si="117"/>
        <v>Návrh dotace je výsledkem projednání s ostatními zadavateli v rámci sítě služeb KHK</v>
      </c>
      <c r="WJ32" s="849" t="str">
        <f t="shared" si="117"/>
        <v>Bez komentáře</v>
      </c>
      <c r="WK32" s="31" t="str">
        <f t="shared" si="99"/>
        <v>Výše příspěvku ze strany zřizovatele bude řešen v návaznosti na řešení podílů jednotlivých zadavatelů</v>
      </c>
      <c r="WL32" s="850">
        <f t="shared" si="100"/>
        <v>0</v>
      </c>
      <c r="WM32" s="849" t="str">
        <f t="shared" si="101"/>
        <v>V rámci sítě KHK se dlouhodobě řeší otázka navyšování úhrad a průběžně se monitoruje s vazbou na vykrytí vyrovnávací platby</v>
      </c>
      <c r="WN32" s="849" t="str">
        <f t="shared" si="102"/>
        <v>Otázka výběru od zdravotních pojišťoven je předmětem procesu, který probíhá ve formě jednání se ZP a organizacemi</v>
      </c>
      <c r="WO32" s="849" t="str">
        <f t="shared" si="116"/>
        <v>bez komentáře</v>
      </c>
      <c r="WP32" s="849" t="str">
        <f t="shared" si="116"/>
        <v>bez komentáře</v>
      </c>
      <c r="WQ32" s="849" t="str">
        <f t="shared" si="116"/>
        <v>Konečná výše dotace z rozpočtu KHK bude řešena v návaznosti na řešení podílů jednotlivých zadavatelů.</v>
      </c>
      <c r="WR32" s="849" t="str">
        <f t="shared" si="116"/>
        <v>Konečná výše podpory ze stran obcí bude řešena v součinnosti s jednotlivými zadavateli v průběhu roku.</v>
      </c>
      <c r="WS32" s="849" t="str">
        <f t="shared" si="116"/>
        <v>bez komentáře</v>
      </c>
      <c r="WT32" s="849" t="str">
        <f t="shared" si="116"/>
        <v>bez komentáře</v>
      </c>
      <c r="WU32" s="845"/>
    </row>
    <row r="33" spans="1:619" s="128" customFormat="1" x14ac:dyDescent="0.25">
      <c r="A33" s="128" t="str">
        <f>VLOOKUP(F33,'Výpočet VP 2020'!$D$324:$I$588,6,FALSE)</f>
        <v>Je v síti</v>
      </c>
      <c r="B33" s="128" t="s">
        <v>353</v>
      </c>
      <c r="C33" s="128">
        <v>2430428</v>
      </c>
      <c r="D33" s="128" t="s">
        <v>354</v>
      </c>
      <c r="E33" s="128" t="s">
        <v>216</v>
      </c>
      <c r="F33" s="128">
        <v>2333254</v>
      </c>
      <c r="G33" s="128" t="s">
        <v>217</v>
      </c>
      <c r="H33" s="128" t="s">
        <v>218</v>
      </c>
      <c r="I33" s="128" t="s">
        <v>355</v>
      </c>
      <c r="J33" s="129">
        <v>41760</v>
      </c>
      <c r="L33" s="128" t="s">
        <v>220</v>
      </c>
      <c r="X33" s="128" t="s">
        <v>227</v>
      </c>
      <c r="Z33" s="128">
        <v>8</v>
      </c>
      <c r="AA33" s="128">
        <v>16</v>
      </c>
      <c r="AB33" s="128">
        <v>7</v>
      </c>
      <c r="AC33" s="128">
        <v>10</v>
      </c>
      <c r="AD33" s="128">
        <v>13</v>
      </c>
      <c r="AN33" s="128">
        <v>1400</v>
      </c>
      <c r="BL33" s="128" t="s">
        <v>356</v>
      </c>
      <c r="BM33" s="128" t="s">
        <v>228</v>
      </c>
      <c r="BN33" s="128" t="s">
        <v>357</v>
      </c>
      <c r="BO33" s="128">
        <v>0</v>
      </c>
      <c r="BP33" s="128">
        <v>1</v>
      </c>
      <c r="BQ33" s="128">
        <v>2</v>
      </c>
      <c r="BR33" s="128">
        <v>0</v>
      </c>
      <c r="BS33" s="128">
        <v>0</v>
      </c>
      <c r="BT33" s="128">
        <v>1</v>
      </c>
      <c r="BU33" s="128">
        <v>1</v>
      </c>
      <c r="BV33" s="128">
        <v>3</v>
      </c>
      <c r="BW33" s="128">
        <v>2</v>
      </c>
      <c r="BX33" s="128">
        <v>0</v>
      </c>
      <c r="BY33" s="128">
        <v>1</v>
      </c>
      <c r="BZ33" s="128">
        <v>2</v>
      </c>
      <c r="CA33" s="128">
        <v>5</v>
      </c>
      <c r="CB33" s="128">
        <v>2</v>
      </c>
      <c r="CC33" s="128">
        <v>0</v>
      </c>
      <c r="CD33" s="128">
        <v>3</v>
      </c>
      <c r="CE33" s="128">
        <v>7</v>
      </c>
      <c r="CF33" s="128">
        <v>10</v>
      </c>
      <c r="CH33" s="128">
        <v>0</v>
      </c>
      <c r="CI33" s="128">
        <v>1</v>
      </c>
      <c r="CJ33" s="128">
        <v>3</v>
      </c>
      <c r="CK33" s="128">
        <v>0</v>
      </c>
      <c r="CL33" s="128">
        <v>0</v>
      </c>
      <c r="CM33" s="128">
        <v>1</v>
      </c>
      <c r="CN33" s="128">
        <v>1</v>
      </c>
      <c r="CO33" s="128">
        <v>5</v>
      </c>
      <c r="CP33" s="128">
        <v>2</v>
      </c>
      <c r="CQ33" s="128">
        <v>0</v>
      </c>
      <c r="CR33" s="128">
        <v>1</v>
      </c>
      <c r="CS33" s="128">
        <v>2</v>
      </c>
      <c r="CT33" s="128">
        <v>8</v>
      </c>
      <c r="CU33" s="128">
        <v>2</v>
      </c>
      <c r="CV33" s="128">
        <v>0</v>
      </c>
      <c r="CW33" s="128">
        <v>4</v>
      </c>
      <c r="CX33" s="128">
        <v>9</v>
      </c>
      <c r="CY33" s="128">
        <v>13</v>
      </c>
      <c r="EK33" s="128">
        <v>2</v>
      </c>
      <c r="EL33" s="128">
        <v>2</v>
      </c>
      <c r="EM33" s="128">
        <v>1</v>
      </c>
      <c r="EN33" s="128">
        <v>1240000</v>
      </c>
      <c r="EO33" s="128">
        <v>1240000</v>
      </c>
      <c r="EP33" s="128">
        <v>3</v>
      </c>
      <c r="EQ33" s="128">
        <v>2.5</v>
      </c>
      <c r="ER33" s="128">
        <v>1</v>
      </c>
      <c r="ES33" s="128">
        <v>1260000</v>
      </c>
      <c r="ET33" s="128">
        <v>1260000</v>
      </c>
      <c r="IN33" s="128">
        <v>5</v>
      </c>
      <c r="IO33" s="128">
        <v>1100</v>
      </c>
      <c r="IP33" s="128">
        <v>0.52500000000000002</v>
      </c>
      <c r="IQ33" s="128">
        <v>154000</v>
      </c>
      <c r="IR33" s="128">
        <v>154000</v>
      </c>
      <c r="IS33" s="128">
        <v>1</v>
      </c>
      <c r="IT33" s="128">
        <v>300</v>
      </c>
      <c r="IU33" s="128">
        <v>0.14299999999999999</v>
      </c>
      <c r="IV33" s="128">
        <v>30000</v>
      </c>
      <c r="IW33" s="128">
        <v>30000</v>
      </c>
      <c r="KG33" s="128">
        <v>10</v>
      </c>
      <c r="KH33" s="128">
        <v>110</v>
      </c>
      <c r="KI33" s="128">
        <v>4.5</v>
      </c>
      <c r="KJ33" s="128">
        <v>0</v>
      </c>
      <c r="KK33" s="128">
        <v>0.52500000000000002</v>
      </c>
      <c r="KL33" s="128">
        <v>0</v>
      </c>
      <c r="KM33" s="128">
        <v>5.0250000000000004</v>
      </c>
      <c r="KN33" s="128">
        <v>2500000</v>
      </c>
      <c r="KO33" s="128">
        <v>2500000</v>
      </c>
      <c r="KP33" s="128">
        <v>2500000</v>
      </c>
      <c r="KT33" s="128">
        <v>0</v>
      </c>
      <c r="KU33" s="128">
        <v>0</v>
      </c>
      <c r="KV33" s="128">
        <v>0</v>
      </c>
      <c r="KZ33" s="128">
        <v>184000</v>
      </c>
      <c r="LA33" s="128">
        <v>184000</v>
      </c>
      <c r="LB33" s="128">
        <v>184000</v>
      </c>
      <c r="LF33" s="128">
        <v>3500</v>
      </c>
      <c r="LG33" s="128">
        <v>3500</v>
      </c>
      <c r="LH33" s="128">
        <v>3500</v>
      </c>
      <c r="LL33" s="128">
        <v>40000</v>
      </c>
      <c r="LM33" s="128">
        <v>15000</v>
      </c>
      <c r="LN33" s="128">
        <v>15000</v>
      </c>
      <c r="LR33" s="128">
        <v>60000</v>
      </c>
      <c r="LS33" s="128">
        <v>40000</v>
      </c>
      <c r="LT33" s="128">
        <v>40000</v>
      </c>
      <c r="LX33" s="128">
        <v>0</v>
      </c>
      <c r="LY33" s="128">
        <v>0</v>
      </c>
      <c r="LZ33" s="128">
        <v>0</v>
      </c>
      <c r="MD33" s="128">
        <v>40000</v>
      </c>
      <c r="ME33" s="128">
        <v>12000</v>
      </c>
      <c r="MF33" s="128">
        <v>12000</v>
      </c>
      <c r="MJ33" s="128">
        <v>56000</v>
      </c>
      <c r="MK33" s="128">
        <v>36000</v>
      </c>
      <c r="ML33" s="128">
        <v>36000</v>
      </c>
      <c r="MP33" s="128">
        <v>60000</v>
      </c>
      <c r="MQ33" s="128">
        <v>25000</v>
      </c>
      <c r="MR33" s="128">
        <v>25000</v>
      </c>
      <c r="MV33" s="128">
        <v>80000</v>
      </c>
      <c r="MW33" s="128">
        <v>10000</v>
      </c>
      <c r="MX33" s="128">
        <v>10000</v>
      </c>
      <c r="NB33" s="128">
        <v>20000</v>
      </c>
      <c r="NC33" s="128">
        <v>15000</v>
      </c>
      <c r="ND33" s="128">
        <v>15000</v>
      </c>
      <c r="NH33" s="128">
        <v>80000</v>
      </c>
      <c r="NI33" s="128">
        <v>0</v>
      </c>
      <c r="NJ33" s="128">
        <v>0</v>
      </c>
      <c r="NN33" s="128">
        <v>50000</v>
      </c>
      <c r="NO33" s="128">
        <v>48000</v>
      </c>
      <c r="NP33" s="128">
        <v>48000</v>
      </c>
      <c r="NT33" s="128">
        <v>40000</v>
      </c>
      <c r="NU33" s="128">
        <v>35000</v>
      </c>
      <c r="NV33" s="128">
        <v>35000</v>
      </c>
      <c r="NZ33" s="128">
        <v>50000</v>
      </c>
      <c r="OA33" s="128">
        <v>20000</v>
      </c>
      <c r="OB33" s="128">
        <v>20000</v>
      </c>
      <c r="OF33" s="128">
        <v>15000</v>
      </c>
      <c r="OG33" s="128">
        <v>0</v>
      </c>
      <c r="OH33" s="128">
        <v>0</v>
      </c>
      <c r="OL33" s="128">
        <v>0</v>
      </c>
      <c r="OM33" s="128">
        <v>0</v>
      </c>
      <c r="ON33" s="128">
        <v>0</v>
      </c>
      <c r="OR33" s="128">
        <v>0</v>
      </c>
      <c r="OS33" s="128">
        <v>0</v>
      </c>
      <c r="OT33" s="128">
        <v>0</v>
      </c>
      <c r="OX33" s="128">
        <v>65000</v>
      </c>
      <c r="OY33" s="128">
        <v>45000</v>
      </c>
      <c r="OZ33" s="128">
        <v>45000</v>
      </c>
      <c r="PD33" s="128">
        <v>0</v>
      </c>
      <c r="PE33" s="128">
        <v>0</v>
      </c>
      <c r="PF33" s="128">
        <v>0</v>
      </c>
      <c r="PJ33" s="128">
        <v>0</v>
      </c>
      <c r="PK33" s="128">
        <v>0</v>
      </c>
      <c r="PL33" s="128">
        <v>0</v>
      </c>
      <c r="PP33" s="128">
        <v>3343500</v>
      </c>
      <c r="PQ33" s="128">
        <v>2988500</v>
      </c>
      <c r="PR33" s="128">
        <v>2988500</v>
      </c>
      <c r="PS33" s="128">
        <v>100</v>
      </c>
      <c r="PT33" s="128">
        <v>100</v>
      </c>
      <c r="PV33" s="128">
        <v>1806970</v>
      </c>
      <c r="PX33" s="128">
        <v>955200</v>
      </c>
      <c r="PY33" s="128">
        <v>1309890</v>
      </c>
      <c r="PZ33" s="128">
        <v>2988500</v>
      </c>
      <c r="QA33" s="128">
        <v>0</v>
      </c>
      <c r="QB33" s="128">
        <v>0</v>
      </c>
      <c r="QC33" s="128">
        <v>0</v>
      </c>
      <c r="QD33" s="128">
        <v>0</v>
      </c>
      <c r="QE33" s="128">
        <v>0</v>
      </c>
      <c r="QF33" s="128">
        <v>0</v>
      </c>
      <c r="QG33" s="128">
        <v>0</v>
      </c>
      <c r="QH33" s="128">
        <v>0</v>
      </c>
      <c r="QI33" s="128">
        <v>0</v>
      </c>
      <c r="QJ33" s="128">
        <v>95340</v>
      </c>
      <c r="QK33" s="128">
        <v>170000</v>
      </c>
      <c r="QL33" s="128">
        <v>190000</v>
      </c>
      <c r="QN33" s="128">
        <v>0</v>
      </c>
      <c r="QO33" s="128">
        <v>0</v>
      </c>
      <c r="QP33" s="128">
        <v>0</v>
      </c>
      <c r="QU33" s="128">
        <v>88000</v>
      </c>
      <c r="QV33" s="128">
        <v>0</v>
      </c>
      <c r="QW33" s="128">
        <v>0</v>
      </c>
      <c r="QX33" s="128">
        <v>75000</v>
      </c>
      <c r="QY33" s="128">
        <v>122000</v>
      </c>
      <c r="QZ33" s="128">
        <v>165000</v>
      </c>
      <c r="RD33" s="128">
        <v>66277</v>
      </c>
      <c r="RE33" s="128">
        <v>100000</v>
      </c>
      <c r="RF33" s="128">
        <v>0</v>
      </c>
      <c r="RH33" s="128">
        <f t="shared" si="104"/>
        <v>3153500</v>
      </c>
      <c r="RI33" s="128">
        <v>0</v>
      </c>
      <c r="RM33" s="128" t="s">
        <v>220</v>
      </c>
      <c r="RU33" s="130"/>
      <c r="RV33" s="130"/>
      <c r="RW33" s="130"/>
      <c r="RX33" s="130"/>
      <c r="SF33" s="128">
        <f t="shared" si="8"/>
        <v>2333254</v>
      </c>
      <c r="SG33" s="131">
        <f t="shared" si="9"/>
        <v>3343500</v>
      </c>
      <c r="SH33" s="131">
        <f t="shared" si="10"/>
        <v>3343500</v>
      </c>
      <c r="SI33" s="131">
        <f t="shared" si="11"/>
        <v>2687500</v>
      </c>
      <c r="SJ33" s="132">
        <f t="shared" si="12"/>
        <v>2500000</v>
      </c>
      <c r="SK33" s="132">
        <f t="shared" si="13"/>
        <v>0</v>
      </c>
      <c r="SL33" s="132">
        <f t="shared" si="14"/>
        <v>184000</v>
      </c>
      <c r="SM33" s="132">
        <f t="shared" si="15"/>
        <v>3500</v>
      </c>
      <c r="SN33" s="131">
        <f t="shared" si="16"/>
        <v>656000</v>
      </c>
      <c r="SO33" s="131">
        <f t="shared" si="17"/>
        <v>100000</v>
      </c>
      <c r="SP33" s="132">
        <f t="shared" si="18"/>
        <v>40000</v>
      </c>
      <c r="SQ33" s="132">
        <f t="shared" si="19"/>
        <v>60000</v>
      </c>
      <c r="SR33" s="132">
        <f t="shared" si="20"/>
        <v>0</v>
      </c>
      <c r="SS33" s="132">
        <f t="shared" si="21"/>
        <v>40000</v>
      </c>
      <c r="ST33" s="132">
        <f t="shared" si="22"/>
        <v>56000</v>
      </c>
      <c r="SU33" s="132">
        <f t="shared" si="23"/>
        <v>60000</v>
      </c>
      <c r="SV33" s="131">
        <f t="shared" si="24"/>
        <v>400000</v>
      </c>
      <c r="SW33" s="132">
        <f t="shared" si="25"/>
        <v>80000</v>
      </c>
      <c r="SX33" s="132">
        <f t="shared" si="26"/>
        <v>20000</v>
      </c>
      <c r="SY33" s="132">
        <f t="shared" si="27"/>
        <v>80000</v>
      </c>
      <c r="SZ33" s="132">
        <f t="shared" si="28"/>
        <v>50000</v>
      </c>
      <c r="TA33" s="132">
        <f t="shared" si="29"/>
        <v>40000</v>
      </c>
      <c r="TB33" s="132">
        <f t="shared" si="30"/>
        <v>50000</v>
      </c>
      <c r="TC33" s="132">
        <f t="shared" si="31"/>
        <v>15000</v>
      </c>
      <c r="TD33" s="132">
        <f t="shared" si="32"/>
        <v>0</v>
      </c>
      <c r="TE33" s="132">
        <f t="shared" si="33"/>
        <v>0</v>
      </c>
      <c r="TF33" s="132">
        <f t="shared" si="34"/>
        <v>65000</v>
      </c>
      <c r="TG33" s="132">
        <f t="shared" si="35"/>
        <v>0</v>
      </c>
      <c r="TH33" s="132">
        <f t="shared" si="36"/>
        <v>0</v>
      </c>
      <c r="TI33" s="1"/>
      <c r="TJ33" s="131">
        <f t="shared" si="37"/>
        <v>2988500</v>
      </c>
      <c r="TK33" s="131">
        <f t="shared" si="38"/>
        <v>2988500</v>
      </c>
      <c r="TL33" s="131">
        <f t="shared" si="39"/>
        <v>2687500</v>
      </c>
      <c r="TM33" s="132">
        <f t="shared" si="40"/>
        <v>2500000</v>
      </c>
      <c r="TN33" s="132">
        <f t="shared" si="41"/>
        <v>0</v>
      </c>
      <c r="TO33" s="132">
        <f t="shared" si="42"/>
        <v>184000</v>
      </c>
      <c r="TP33" s="132">
        <f t="shared" si="43"/>
        <v>3500</v>
      </c>
      <c r="TQ33" s="131">
        <f t="shared" si="44"/>
        <v>301000</v>
      </c>
      <c r="TR33" s="131">
        <f t="shared" si="45"/>
        <v>55000</v>
      </c>
      <c r="TS33" s="132">
        <f t="shared" si="46"/>
        <v>15000</v>
      </c>
      <c r="TT33" s="132">
        <f t="shared" si="47"/>
        <v>40000</v>
      </c>
      <c r="TU33" s="132">
        <f t="shared" si="48"/>
        <v>0</v>
      </c>
      <c r="TV33" s="132">
        <f t="shared" si="49"/>
        <v>12000</v>
      </c>
      <c r="TW33" s="132">
        <f t="shared" si="50"/>
        <v>36000</v>
      </c>
      <c r="TX33" s="132">
        <f t="shared" si="51"/>
        <v>25000</v>
      </c>
      <c r="TY33" s="131">
        <f t="shared" si="52"/>
        <v>173000</v>
      </c>
      <c r="TZ33" s="132">
        <f t="shared" si="53"/>
        <v>10000</v>
      </c>
      <c r="UA33" s="132">
        <f t="shared" si="54"/>
        <v>15000</v>
      </c>
      <c r="UB33" s="132">
        <f t="shared" si="55"/>
        <v>0</v>
      </c>
      <c r="UC33" s="132">
        <f t="shared" si="56"/>
        <v>48000</v>
      </c>
      <c r="UD33" s="132">
        <f t="shared" si="57"/>
        <v>35000</v>
      </c>
      <c r="UE33" s="132">
        <f t="shared" si="58"/>
        <v>20000</v>
      </c>
      <c r="UF33" s="132">
        <f t="shared" si="59"/>
        <v>0</v>
      </c>
      <c r="UG33" s="132">
        <f t="shared" si="60"/>
        <v>0</v>
      </c>
      <c r="UH33" s="132">
        <f t="shared" si="61"/>
        <v>0</v>
      </c>
      <c r="UI33" s="132">
        <f t="shared" si="62"/>
        <v>45000</v>
      </c>
      <c r="UJ33" s="132">
        <f t="shared" si="63"/>
        <v>0</v>
      </c>
      <c r="UK33" s="132">
        <f t="shared" si="64"/>
        <v>0</v>
      </c>
      <c r="UL33" s="132">
        <f t="shared" si="105"/>
        <v>2988500</v>
      </c>
      <c r="UM33" s="131">
        <f t="shared" si="65"/>
        <v>2988500</v>
      </c>
      <c r="UN33" s="131">
        <f t="shared" si="66"/>
        <v>2988500</v>
      </c>
      <c r="UO33" s="131">
        <f t="shared" si="67"/>
        <v>2687500</v>
      </c>
      <c r="UP33" s="132">
        <f t="shared" si="68"/>
        <v>2500000</v>
      </c>
      <c r="UQ33" s="132">
        <f t="shared" si="69"/>
        <v>0</v>
      </c>
      <c r="UR33" s="132">
        <f t="shared" si="70"/>
        <v>184000</v>
      </c>
      <c r="US33" s="132">
        <f t="shared" si="71"/>
        <v>3500</v>
      </c>
      <c r="UT33" s="131">
        <f t="shared" si="72"/>
        <v>301000</v>
      </c>
      <c r="UU33" s="131">
        <f t="shared" si="73"/>
        <v>55000</v>
      </c>
      <c r="UV33" s="132">
        <f t="shared" si="74"/>
        <v>15000</v>
      </c>
      <c r="UW33" s="132">
        <f t="shared" si="75"/>
        <v>40000</v>
      </c>
      <c r="UX33" s="132">
        <f t="shared" si="76"/>
        <v>0</v>
      </c>
      <c r="UY33" s="132">
        <f t="shared" si="77"/>
        <v>12000</v>
      </c>
      <c r="UZ33" s="132">
        <f t="shared" si="78"/>
        <v>36000</v>
      </c>
      <c r="VA33" s="132">
        <f t="shared" si="79"/>
        <v>25000</v>
      </c>
      <c r="VB33" s="131">
        <f t="shared" si="80"/>
        <v>173000</v>
      </c>
      <c r="VC33" s="132">
        <f t="shared" si="81"/>
        <v>10000</v>
      </c>
      <c r="VD33" s="132">
        <f t="shared" si="82"/>
        <v>15000</v>
      </c>
      <c r="VE33" s="132">
        <f t="shared" si="83"/>
        <v>0</v>
      </c>
      <c r="VF33" s="132">
        <f t="shared" si="84"/>
        <v>48000</v>
      </c>
      <c r="VG33" s="132">
        <f t="shared" si="85"/>
        <v>35000</v>
      </c>
      <c r="VH33" s="132">
        <f t="shared" si="86"/>
        <v>20000</v>
      </c>
      <c r="VI33" s="132">
        <f t="shared" si="87"/>
        <v>0</v>
      </c>
      <c r="VJ33" s="132">
        <f t="shared" si="88"/>
        <v>0</v>
      </c>
      <c r="VK33" s="132">
        <f t="shared" si="89"/>
        <v>0</v>
      </c>
      <c r="VL33" s="132">
        <f t="shared" si="90"/>
        <v>45000</v>
      </c>
      <c r="VM33" s="132">
        <f t="shared" si="91"/>
        <v>0</v>
      </c>
      <c r="VN33" s="132">
        <f t="shared" si="92"/>
        <v>0</v>
      </c>
      <c r="VP33" s="845" t="str">
        <f>IFERROR(HLOOKUP(F33,'Hodnocení '!$C$1:$JH$5,2,FALSE),0)</f>
        <v>Denní stacionář Klokan</v>
      </c>
      <c r="VQ33" s="838"/>
      <c r="VR33" s="845" t="str">
        <f t="shared" si="106"/>
        <v>Obecně prospěšná společnost</v>
      </c>
      <c r="VS33" s="845" t="str">
        <f>IFERROR(HLOOKUP(F33,'Hodnocení '!$C$1:$JH$5,5,FALSE),0)</f>
        <v>NZO</v>
      </c>
      <c r="VT33" s="838">
        <f t="shared" si="107"/>
        <v>0</v>
      </c>
      <c r="VU33" s="838">
        <f t="shared" si="108"/>
        <v>0</v>
      </c>
      <c r="VV33" s="838">
        <f t="shared" si="109"/>
        <v>190000</v>
      </c>
      <c r="VW33" s="838">
        <f t="shared" si="110"/>
        <v>0</v>
      </c>
      <c r="VX33" s="838"/>
      <c r="VY33" s="838">
        <f t="shared" si="114"/>
        <v>0</v>
      </c>
      <c r="VZ33" s="838">
        <f t="shared" si="115"/>
        <v>2988500</v>
      </c>
      <c r="WA33" s="846">
        <f>IFERROR(HLOOKUP($F33,'Hodnocení '!$C$1:$JH$9,9,FALSE),0)</f>
        <v>2988500</v>
      </c>
      <c r="WB33" s="846">
        <f>IF(IFERROR(HLOOKUP($F33,'Hodnocení '!$C$1:$JH$13,13,FALSE),0)&gt;WA33,WA33,IFERROR(HLOOKUP($F33,'Hodnocení '!$C$1:$JH$13,13,FALSE),0))</f>
        <v>2191081.086187847</v>
      </c>
      <c r="WC33" s="846">
        <f>IFERROR(HLOOKUP($F33,'Hodnocení '!$C$1:$JH$155,155,FALSE),0)</f>
        <v>2288190</v>
      </c>
      <c r="WD33" s="845"/>
      <c r="WE33" s="845"/>
      <c r="WF33" s="845" t="str">
        <f t="shared" si="97"/>
        <v>ANO</v>
      </c>
      <c r="WG33" s="849" t="str">
        <f t="shared" si="117"/>
        <v>Podpora služby je vyjádřena zařazením do sítě sociálních služeb v KHK a řešením financování služby</v>
      </c>
      <c r="WH33"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33" s="849" t="str">
        <f t="shared" si="117"/>
        <v>Návrh dotace je výsledkem projednání s ostatními zadavateli v rámci sítě služeb KHK</v>
      </c>
      <c r="WJ33" s="849" t="str">
        <f t="shared" si="117"/>
        <v>Bez komentáře</v>
      </c>
      <c r="WK33" s="31">
        <f t="shared" si="99"/>
        <v>0</v>
      </c>
      <c r="WL33" s="850">
        <f t="shared" si="100"/>
        <v>0</v>
      </c>
      <c r="WM33" s="849" t="str">
        <f t="shared" si="101"/>
        <v>V rámci sítě KHK se dlouhodobě řeší otázka navyšování úhrad a průběžně se monitoruje s vazbou na vykrytí vyrovnávací platby</v>
      </c>
      <c r="WN33" s="849">
        <f t="shared" si="102"/>
        <v>0</v>
      </c>
      <c r="WO33" s="849" t="str">
        <f t="shared" si="116"/>
        <v>bez komentáře</v>
      </c>
      <c r="WP33" s="849" t="str">
        <f t="shared" si="116"/>
        <v>bez komentáře</v>
      </c>
      <c r="WQ33" s="849" t="str">
        <f t="shared" si="116"/>
        <v>Konečná výše dotace z rozpočtu KHK bude řešena v návaznosti na řešení podílů jednotlivých zadavatelů.</v>
      </c>
      <c r="WR33" s="849" t="str">
        <f t="shared" si="116"/>
        <v>Konečná výše podpory ze stran obcí bude řešena v součinnosti s jednotlivými zadavateli v průběhu roku.</v>
      </c>
      <c r="WS33" s="849" t="str">
        <f t="shared" si="116"/>
        <v>bez komentáře</v>
      </c>
      <c r="WT33" s="849" t="str">
        <f t="shared" si="116"/>
        <v>bez komentáře</v>
      </c>
      <c r="WU33" s="845"/>
    </row>
    <row r="34" spans="1:619" s="128" customFormat="1" x14ac:dyDescent="0.25">
      <c r="A34" s="128" t="str">
        <f>VLOOKUP(F34,'Výpočet VP 2020'!$D$324:$I$588,6,FALSE)</f>
        <v>Je v síti</v>
      </c>
      <c r="B34" s="128" t="s">
        <v>1268</v>
      </c>
      <c r="C34" s="128">
        <v>68247877</v>
      </c>
      <c r="D34" s="128" t="s">
        <v>2419</v>
      </c>
      <c r="E34" s="128" t="s">
        <v>259</v>
      </c>
      <c r="F34" s="128">
        <v>5312119</v>
      </c>
      <c r="G34" s="128" t="s">
        <v>575</v>
      </c>
      <c r="H34" s="128" t="s">
        <v>218</v>
      </c>
      <c r="I34" s="128" t="s">
        <v>2420</v>
      </c>
      <c r="J34" s="129">
        <v>39083</v>
      </c>
      <c r="L34" s="128" t="s">
        <v>220</v>
      </c>
      <c r="M34" s="128" t="s">
        <v>394</v>
      </c>
      <c r="N34" s="128">
        <v>10</v>
      </c>
      <c r="P34" s="128">
        <v>12</v>
      </c>
      <c r="Q34" s="128">
        <v>10</v>
      </c>
      <c r="R34" s="128">
        <v>10</v>
      </c>
      <c r="BL34" s="128" t="s">
        <v>2421</v>
      </c>
      <c r="BM34" s="128" t="s">
        <v>223</v>
      </c>
      <c r="BN34" s="128" t="s">
        <v>2422</v>
      </c>
      <c r="DA34" s="128">
        <v>0</v>
      </c>
      <c r="DB34" s="128">
        <v>0</v>
      </c>
      <c r="DC34" s="128">
        <v>4</v>
      </c>
      <c r="DD34" s="128">
        <v>6</v>
      </c>
      <c r="DE34" s="128">
        <v>0</v>
      </c>
      <c r="DF34" s="128">
        <v>0</v>
      </c>
      <c r="DG34" s="128">
        <v>0</v>
      </c>
      <c r="DH34" s="128">
        <v>0</v>
      </c>
      <c r="DI34" s="128">
        <v>0</v>
      </c>
      <c r="DJ34" s="128">
        <v>0</v>
      </c>
      <c r="DK34" s="128">
        <v>0</v>
      </c>
      <c r="DL34" s="128">
        <v>0</v>
      </c>
      <c r="DM34" s="128">
        <v>4</v>
      </c>
      <c r="DN34" s="128">
        <v>6</v>
      </c>
      <c r="DO34" s="128">
        <v>0</v>
      </c>
      <c r="DP34" s="128">
        <v>10</v>
      </c>
      <c r="DQ34" s="128">
        <v>0</v>
      </c>
      <c r="DR34" s="128">
        <v>10</v>
      </c>
      <c r="DS34" s="128">
        <v>0</v>
      </c>
      <c r="DT34" s="128">
        <v>0</v>
      </c>
      <c r="DU34" s="128">
        <v>4</v>
      </c>
      <c r="DV34" s="128">
        <v>6</v>
      </c>
      <c r="DW34" s="128">
        <v>0</v>
      </c>
      <c r="DX34" s="128">
        <v>0</v>
      </c>
      <c r="DY34" s="128">
        <v>0</v>
      </c>
      <c r="DZ34" s="128">
        <v>0</v>
      </c>
      <c r="EA34" s="128">
        <v>0</v>
      </c>
      <c r="EB34" s="128">
        <v>0</v>
      </c>
      <c r="EC34" s="128">
        <v>0</v>
      </c>
      <c r="ED34" s="128">
        <v>0</v>
      </c>
      <c r="EE34" s="128">
        <v>4</v>
      </c>
      <c r="EF34" s="128">
        <v>6</v>
      </c>
      <c r="EG34" s="128">
        <v>0</v>
      </c>
      <c r="EH34" s="128">
        <v>10</v>
      </c>
      <c r="EI34" s="128">
        <v>0</v>
      </c>
      <c r="EJ34" s="128">
        <v>10</v>
      </c>
      <c r="EK34" s="128">
        <v>1</v>
      </c>
      <c r="EL34" s="128">
        <v>0.4</v>
      </c>
      <c r="EM34" s="128">
        <v>0.4</v>
      </c>
      <c r="EN34" s="128">
        <v>277000</v>
      </c>
      <c r="EO34" s="128">
        <v>277000</v>
      </c>
      <c r="EP34" s="128">
        <v>7</v>
      </c>
      <c r="EQ34" s="128">
        <v>4.8</v>
      </c>
      <c r="ER34" s="128">
        <v>4.3</v>
      </c>
      <c r="ES34" s="128">
        <v>2470000</v>
      </c>
      <c r="ET34" s="128">
        <v>2470000</v>
      </c>
      <c r="EU34" s="128">
        <v>6</v>
      </c>
      <c r="EV34" s="128">
        <v>2.41</v>
      </c>
      <c r="EW34" s="128">
        <v>2.85</v>
      </c>
      <c r="EX34" s="128">
        <v>1194000</v>
      </c>
      <c r="EY34" s="128">
        <v>0</v>
      </c>
      <c r="FO34" s="128">
        <v>3</v>
      </c>
      <c r="FP34" s="128">
        <v>1.9</v>
      </c>
      <c r="FQ34" s="128">
        <v>1.9</v>
      </c>
      <c r="FR34" s="128">
        <v>1010000</v>
      </c>
      <c r="FS34" s="128">
        <v>1010000</v>
      </c>
      <c r="IN34" s="128">
        <v>2</v>
      </c>
      <c r="IO34" s="128">
        <v>600</v>
      </c>
      <c r="IP34" s="128">
        <v>0.28599999999999998</v>
      </c>
      <c r="IQ34" s="128">
        <v>90000</v>
      </c>
      <c r="IR34" s="128">
        <v>90000</v>
      </c>
      <c r="KG34" s="128">
        <v>2</v>
      </c>
      <c r="KH34" s="128">
        <v>170</v>
      </c>
      <c r="KI34" s="128">
        <v>7.61</v>
      </c>
      <c r="KJ34" s="128">
        <v>0</v>
      </c>
      <c r="KK34" s="128">
        <v>0.28599999999999998</v>
      </c>
      <c r="KL34" s="128">
        <v>0</v>
      </c>
      <c r="KM34" s="128">
        <v>7.8959999999999999</v>
      </c>
      <c r="KN34" s="128">
        <v>4951000</v>
      </c>
      <c r="KO34" s="128">
        <v>3757000</v>
      </c>
      <c r="KP34" s="128">
        <v>1878500</v>
      </c>
      <c r="KT34" s="128">
        <v>0</v>
      </c>
      <c r="KU34" s="128">
        <v>0</v>
      </c>
      <c r="KV34" s="128">
        <v>0</v>
      </c>
      <c r="KZ34" s="128">
        <v>90000</v>
      </c>
      <c r="LA34" s="128">
        <v>90000</v>
      </c>
      <c r="LB34" s="128">
        <v>45000</v>
      </c>
      <c r="LF34" s="128">
        <v>0</v>
      </c>
      <c r="LG34" s="128">
        <v>0</v>
      </c>
      <c r="LH34" s="128">
        <v>0</v>
      </c>
      <c r="LL34" s="128">
        <v>0</v>
      </c>
      <c r="LM34" s="128">
        <v>0</v>
      </c>
      <c r="LN34" s="128">
        <v>0</v>
      </c>
      <c r="LR34" s="128">
        <v>30000</v>
      </c>
      <c r="LS34" s="128">
        <v>30000</v>
      </c>
      <c r="LT34" s="128">
        <v>15000</v>
      </c>
      <c r="LX34" s="128">
        <v>90000</v>
      </c>
      <c r="LY34" s="128">
        <v>0</v>
      </c>
      <c r="LZ34" s="128">
        <v>0</v>
      </c>
      <c r="MD34" s="128">
        <v>15000</v>
      </c>
      <c r="ME34" s="128">
        <v>15000</v>
      </c>
      <c r="MF34" s="128">
        <v>7500</v>
      </c>
      <c r="MJ34" s="128">
        <v>5000</v>
      </c>
      <c r="MK34" s="128">
        <v>5000</v>
      </c>
      <c r="ML34" s="128">
        <v>2500</v>
      </c>
      <c r="MP34" s="128">
        <v>30000</v>
      </c>
      <c r="MQ34" s="128">
        <v>25000</v>
      </c>
      <c r="MR34" s="128">
        <v>12500</v>
      </c>
      <c r="MV34" s="128">
        <v>100000</v>
      </c>
      <c r="MW34" s="128">
        <v>70000</v>
      </c>
      <c r="MX34" s="128">
        <v>35000</v>
      </c>
      <c r="NB34" s="128">
        <v>15000</v>
      </c>
      <c r="NC34" s="128">
        <v>15000</v>
      </c>
      <c r="ND34" s="128">
        <v>7500</v>
      </c>
      <c r="NH34" s="128">
        <v>356000</v>
      </c>
      <c r="NI34" s="128">
        <v>0</v>
      </c>
      <c r="NJ34" s="128">
        <v>0</v>
      </c>
      <c r="NN34" s="128">
        <v>20000</v>
      </c>
      <c r="NO34" s="128">
        <v>20000</v>
      </c>
      <c r="NP34" s="128">
        <v>10000</v>
      </c>
      <c r="NT34" s="128">
        <v>50000</v>
      </c>
      <c r="NU34" s="128">
        <v>40000</v>
      </c>
      <c r="NV34" s="128">
        <v>20000</v>
      </c>
      <c r="NZ34" s="128">
        <v>30000</v>
      </c>
      <c r="OA34" s="128">
        <v>20000</v>
      </c>
      <c r="OB34" s="128">
        <v>10000</v>
      </c>
      <c r="OF34" s="128">
        <v>10000</v>
      </c>
      <c r="OG34" s="128">
        <v>5000</v>
      </c>
      <c r="OH34" s="128">
        <v>2500</v>
      </c>
      <c r="OL34" s="128">
        <v>0</v>
      </c>
      <c r="OM34" s="128">
        <v>0</v>
      </c>
      <c r="ON34" s="128">
        <v>0</v>
      </c>
      <c r="OR34" s="128">
        <v>0</v>
      </c>
      <c r="OS34" s="128">
        <v>0</v>
      </c>
      <c r="OT34" s="128">
        <v>0</v>
      </c>
      <c r="OX34" s="128">
        <v>60000</v>
      </c>
      <c r="OY34" s="128">
        <v>20000</v>
      </c>
      <c r="OZ34" s="128">
        <v>10000</v>
      </c>
      <c r="PD34" s="128">
        <v>0</v>
      </c>
      <c r="PE34" s="128">
        <v>0</v>
      </c>
      <c r="PF34" s="128">
        <v>0</v>
      </c>
      <c r="PJ34" s="128">
        <v>0</v>
      </c>
      <c r="PK34" s="128">
        <v>0</v>
      </c>
      <c r="PL34" s="128">
        <v>0</v>
      </c>
      <c r="PP34" s="128">
        <v>5852000</v>
      </c>
      <c r="PQ34" s="128">
        <v>4112000</v>
      </c>
      <c r="PR34" s="128">
        <v>2056000</v>
      </c>
      <c r="PS34" s="128">
        <v>50</v>
      </c>
      <c r="PT34" s="128">
        <v>50</v>
      </c>
      <c r="PU34" s="128">
        <v>1</v>
      </c>
      <c r="PV34" s="128">
        <v>3942177</v>
      </c>
      <c r="PX34" s="128">
        <v>3423700</v>
      </c>
      <c r="PY34" s="128">
        <v>2914000</v>
      </c>
      <c r="PZ34" s="128">
        <v>4112000</v>
      </c>
      <c r="QA34" s="128">
        <v>0</v>
      </c>
      <c r="QB34" s="128">
        <v>0</v>
      </c>
      <c r="QC34" s="128">
        <v>0</v>
      </c>
      <c r="QD34" s="128">
        <v>320000</v>
      </c>
      <c r="QE34" s="128">
        <v>580000</v>
      </c>
      <c r="QF34" s="128">
        <v>580000</v>
      </c>
      <c r="QG34" s="128">
        <v>0</v>
      </c>
      <c r="QH34" s="128">
        <v>0</v>
      </c>
      <c r="QI34" s="128">
        <v>0</v>
      </c>
      <c r="QJ34" s="128">
        <v>510625</v>
      </c>
      <c r="QK34" s="128">
        <v>510000</v>
      </c>
      <c r="QL34" s="128">
        <v>510000</v>
      </c>
      <c r="QN34" s="128">
        <v>806168</v>
      </c>
      <c r="QO34" s="128">
        <v>600000</v>
      </c>
      <c r="QP34" s="128">
        <v>600000</v>
      </c>
      <c r="QU34" s="128">
        <v>0</v>
      </c>
      <c r="QV34" s="128">
        <v>804000</v>
      </c>
      <c r="QW34" s="128">
        <v>0</v>
      </c>
      <c r="QX34" s="128">
        <v>0</v>
      </c>
      <c r="QY34" s="128">
        <v>51000</v>
      </c>
      <c r="QZ34" s="128">
        <v>0</v>
      </c>
      <c r="RD34" s="128">
        <v>166740</v>
      </c>
      <c r="RE34" s="128">
        <v>50000</v>
      </c>
      <c r="RF34" s="128">
        <v>50000</v>
      </c>
      <c r="RH34" s="128">
        <f t="shared" si="104"/>
        <v>4742000</v>
      </c>
      <c r="RI34" s="128">
        <v>0</v>
      </c>
      <c r="RM34" s="128" t="s">
        <v>220</v>
      </c>
      <c r="RU34" s="130"/>
      <c r="RV34" s="130"/>
      <c r="RW34" s="130"/>
      <c r="RX34" s="130"/>
      <c r="SF34" s="128">
        <f t="shared" si="8"/>
        <v>5312119</v>
      </c>
      <c r="SG34" s="131">
        <f t="shared" si="9"/>
        <v>5852000</v>
      </c>
      <c r="SH34" s="131">
        <f t="shared" si="10"/>
        <v>5852000</v>
      </c>
      <c r="SI34" s="131">
        <f t="shared" si="11"/>
        <v>5041000</v>
      </c>
      <c r="SJ34" s="132">
        <f t="shared" si="12"/>
        <v>4951000</v>
      </c>
      <c r="SK34" s="132">
        <f t="shared" si="13"/>
        <v>0</v>
      </c>
      <c r="SL34" s="132">
        <f t="shared" si="14"/>
        <v>90000</v>
      </c>
      <c r="SM34" s="132">
        <f t="shared" si="15"/>
        <v>0</v>
      </c>
      <c r="SN34" s="131">
        <f t="shared" si="16"/>
        <v>811000</v>
      </c>
      <c r="SO34" s="131">
        <f t="shared" si="17"/>
        <v>30000</v>
      </c>
      <c r="SP34" s="132">
        <f t="shared" si="18"/>
        <v>0</v>
      </c>
      <c r="SQ34" s="132">
        <f t="shared" si="19"/>
        <v>30000</v>
      </c>
      <c r="SR34" s="132">
        <f t="shared" si="20"/>
        <v>90000</v>
      </c>
      <c r="SS34" s="132">
        <f t="shared" si="21"/>
        <v>15000</v>
      </c>
      <c r="ST34" s="132">
        <f t="shared" si="22"/>
        <v>5000</v>
      </c>
      <c r="SU34" s="132">
        <f t="shared" si="23"/>
        <v>30000</v>
      </c>
      <c r="SV34" s="131">
        <f t="shared" si="24"/>
        <v>641000</v>
      </c>
      <c r="SW34" s="132">
        <f t="shared" si="25"/>
        <v>100000</v>
      </c>
      <c r="SX34" s="132">
        <f t="shared" si="26"/>
        <v>15000</v>
      </c>
      <c r="SY34" s="132">
        <f t="shared" si="27"/>
        <v>356000</v>
      </c>
      <c r="SZ34" s="132">
        <f t="shared" si="28"/>
        <v>20000</v>
      </c>
      <c r="TA34" s="132">
        <f t="shared" si="29"/>
        <v>50000</v>
      </c>
      <c r="TB34" s="132">
        <f t="shared" si="30"/>
        <v>30000</v>
      </c>
      <c r="TC34" s="132">
        <f t="shared" si="31"/>
        <v>10000</v>
      </c>
      <c r="TD34" s="132">
        <f t="shared" si="32"/>
        <v>0</v>
      </c>
      <c r="TE34" s="132">
        <f t="shared" si="33"/>
        <v>0</v>
      </c>
      <c r="TF34" s="132">
        <f t="shared" si="34"/>
        <v>60000</v>
      </c>
      <c r="TG34" s="132">
        <f t="shared" si="35"/>
        <v>0</v>
      </c>
      <c r="TH34" s="132">
        <f t="shared" si="36"/>
        <v>0</v>
      </c>
      <c r="TI34" s="1"/>
      <c r="TJ34" s="131">
        <f t="shared" si="37"/>
        <v>4112000</v>
      </c>
      <c r="TK34" s="131">
        <f t="shared" si="38"/>
        <v>4112000</v>
      </c>
      <c r="TL34" s="131">
        <f t="shared" si="39"/>
        <v>3847000</v>
      </c>
      <c r="TM34" s="132">
        <f t="shared" si="40"/>
        <v>3757000</v>
      </c>
      <c r="TN34" s="132">
        <f t="shared" si="41"/>
        <v>0</v>
      </c>
      <c r="TO34" s="132">
        <f t="shared" si="42"/>
        <v>90000</v>
      </c>
      <c r="TP34" s="132">
        <f t="shared" si="43"/>
        <v>0</v>
      </c>
      <c r="TQ34" s="131">
        <f t="shared" si="44"/>
        <v>265000</v>
      </c>
      <c r="TR34" s="131">
        <f t="shared" si="45"/>
        <v>30000</v>
      </c>
      <c r="TS34" s="132">
        <f t="shared" si="46"/>
        <v>0</v>
      </c>
      <c r="TT34" s="132">
        <f t="shared" si="47"/>
        <v>30000</v>
      </c>
      <c r="TU34" s="132">
        <f t="shared" si="48"/>
        <v>0</v>
      </c>
      <c r="TV34" s="132">
        <f t="shared" si="49"/>
        <v>15000</v>
      </c>
      <c r="TW34" s="132">
        <f t="shared" si="50"/>
        <v>5000</v>
      </c>
      <c r="TX34" s="132">
        <f t="shared" si="51"/>
        <v>25000</v>
      </c>
      <c r="TY34" s="131">
        <f t="shared" si="52"/>
        <v>190000</v>
      </c>
      <c r="TZ34" s="132">
        <f t="shared" si="53"/>
        <v>70000</v>
      </c>
      <c r="UA34" s="132">
        <f t="shared" si="54"/>
        <v>15000</v>
      </c>
      <c r="UB34" s="132">
        <f t="shared" si="55"/>
        <v>0</v>
      </c>
      <c r="UC34" s="132">
        <f t="shared" si="56"/>
        <v>20000</v>
      </c>
      <c r="UD34" s="132">
        <f t="shared" si="57"/>
        <v>40000</v>
      </c>
      <c r="UE34" s="132">
        <f t="shared" si="58"/>
        <v>20000</v>
      </c>
      <c r="UF34" s="132">
        <f t="shared" si="59"/>
        <v>5000</v>
      </c>
      <c r="UG34" s="132">
        <f t="shared" si="60"/>
        <v>0</v>
      </c>
      <c r="UH34" s="132">
        <f t="shared" si="61"/>
        <v>0</v>
      </c>
      <c r="UI34" s="132">
        <f t="shared" si="62"/>
        <v>20000</v>
      </c>
      <c r="UJ34" s="132">
        <f t="shared" si="63"/>
        <v>0</v>
      </c>
      <c r="UK34" s="132">
        <f t="shared" si="64"/>
        <v>0</v>
      </c>
      <c r="UL34" s="132">
        <f t="shared" si="105"/>
        <v>2056000</v>
      </c>
      <c r="UM34" s="131">
        <f t="shared" si="65"/>
        <v>2056000</v>
      </c>
      <c r="UN34" s="131">
        <f t="shared" si="66"/>
        <v>2056000</v>
      </c>
      <c r="UO34" s="131">
        <f t="shared" si="67"/>
        <v>1923500</v>
      </c>
      <c r="UP34" s="132">
        <f t="shared" si="68"/>
        <v>1878500</v>
      </c>
      <c r="UQ34" s="132">
        <f t="shared" si="69"/>
        <v>0</v>
      </c>
      <c r="UR34" s="132">
        <f t="shared" si="70"/>
        <v>45000</v>
      </c>
      <c r="US34" s="132">
        <f t="shared" si="71"/>
        <v>0</v>
      </c>
      <c r="UT34" s="131">
        <f t="shared" si="72"/>
        <v>132500</v>
      </c>
      <c r="UU34" s="131">
        <f t="shared" si="73"/>
        <v>15000</v>
      </c>
      <c r="UV34" s="132">
        <f t="shared" si="74"/>
        <v>0</v>
      </c>
      <c r="UW34" s="132">
        <f t="shared" si="75"/>
        <v>15000</v>
      </c>
      <c r="UX34" s="132">
        <f t="shared" si="76"/>
        <v>0</v>
      </c>
      <c r="UY34" s="132">
        <f t="shared" si="77"/>
        <v>7500</v>
      </c>
      <c r="UZ34" s="132">
        <f t="shared" si="78"/>
        <v>2500</v>
      </c>
      <c r="VA34" s="132">
        <f t="shared" si="79"/>
        <v>12500</v>
      </c>
      <c r="VB34" s="131">
        <f t="shared" si="80"/>
        <v>95000</v>
      </c>
      <c r="VC34" s="132">
        <f t="shared" si="81"/>
        <v>35000</v>
      </c>
      <c r="VD34" s="132">
        <f t="shared" si="82"/>
        <v>7500</v>
      </c>
      <c r="VE34" s="132">
        <f t="shared" si="83"/>
        <v>0</v>
      </c>
      <c r="VF34" s="132">
        <f t="shared" si="84"/>
        <v>10000</v>
      </c>
      <c r="VG34" s="132">
        <f t="shared" si="85"/>
        <v>20000</v>
      </c>
      <c r="VH34" s="132">
        <f t="shared" si="86"/>
        <v>10000</v>
      </c>
      <c r="VI34" s="132">
        <f t="shared" si="87"/>
        <v>2500</v>
      </c>
      <c r="VJ34" s="132">
        <f t="shared" si="88"/>
        <v>0</v>
      </c>
      <c r="VK34" s="132">
        <f t="shared" si="89"/>
        <v>0</v>
      </c>
      <c r="VL34" s="132">
        <f t="shared" si="90"/>
        <v>10000</v>
      </c>
      <c r="VM34" s="132">
        <f t="shared" si="91"/>
        <v>0</v>
      </c>
      <c r="VN34" s="132">
        <f t="shared" si="92"/>
        <v>0</v>
      </c>
      <c r="VP34" s="845" t="str">
        <f>IFERROR(HLOOKUP(F34,'Hodnocení '!$C$1:$JH$5,2,FALSE),0)</f>
        <v>Týdenní stacionáře</v>
      </c>
      <c r="VQ34" s="838"/>
      <c r="VR34" s="845" t="str">
        <f t="shared" si="106"/>
        <v>Příspěvková organizace zřízená územním samosprávným celkem</v>
      </c>
      <c r="VS34" s="845" t="str">
        <f>IFERROR(HLOOKUP(F34,'Hodnocení '!$C$1:$JH$5,5,FALSE),0)</f>
        <v>Obce</v>
      </c>
      <c r="VT34" s="838" t="str">
        <f t="shared" si="107"/>
        <v>Příspěvková organizace zřízená územním samosprávným celkem</v>
      </c>
      <c r="VU34" s="838">
        <f t="shared" si="108"/>
        <v>0</v>
      </c>
      <c r="VV34" s="838">
        <f t="shared" si="109"/>
        <v>510000</v>
      </c>
      <c r="VW34" s="838">
        <f t="shared" si="110"/>
        <v>600000</v>
      </c>
      <c r="VX34" s="838"/>
      <c r="VY34" s="838">
        <f t="shared" si="114"/>
        <v>0</v>
      </c>
      <c r="VZ34" s="838">
        <f t="shared" si="115"/>
        <v>2056000</v>
      </c>
      <c r="WA34" s="846">
        <f>IFERROR(HLOOKUP($F34,'Hodnocení '!$C$1:$JH$9,9,FALSE),0)</f>
        <v>2056000</v>
      </c>
      <c r="WB34" s="846">
        <f>IF(IFERROR(HLOOKUP($F34,'Hodnocení '!$C$1:$JH$13,13,FALSE),0)&gt;WA34,WA34,IFERROR(HLOOKUP($F34,'Hodnocení '!$C$1:$JH$13,13,FALSE),0))</f>
        <v>2056000</v>
      </c>
      <c r="WC34" s="846">
        <f>IFERROR(HLOOKUP($F34,'Hodnocení '!$C$1:$JH$155,155,FALSE),0)</f>
        <v>2056000</v>
      </c>
      <c r="WD34" s="845"/>
      <c r="WE34" s="845"/>
      <c r="WF34" s="845" t="str">
        <f t="shared" si="97"/>
        <v>ANO</v>
      </c>
      <c r="WG34" s="849" t="str">
        <f t="shared" si="117"/>
        <v>Podpora služby je vyjádřena zařazením do sítě sociálních služeb v KHK a řešením financování služby</v>
      </c>
      <c r="WH34"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34" s="849" t="str">
        <f t="shared" si="117"/>
        <v>Návrh dotace je výsledkem projednání s ostatními zadavateli v rámci sítě služeb KHK</v>
      </c>
      <c r="WJ34" s="849" t="str">
        <f t="shared" si="117"/>
        <v>Bez komentáře</v>
      </c>
      <c r="WK34" s="31" t="str">
        <f t="shared" si="99"/>
        <v>Výše příspěvku ze strany zřizovatele bude řešen v návaznosti na řešení podílů jednotlivých zadavatelů</v>
      </c>
      <c r="WL34" s="850">
        <f t="shared" si="100"/>
        <v>0</v>
      </c>
      <c r="WM34" s="849" t="str">
        <f t="shared" si="101"/>
        <v>V rámci sítě KHK se dlouhodobě řeší otázka navyšování úhrad a průběžně se monitoruje s vazbou na vykrytí vyrovnávací platby</v>
      </c>
      <c r="WN34" s="849" t="str">
        <f t="shared" si="102"/>
        <v>Otázka výběru od zdravotních pojišťoven je předmětem procesu, který probíhá ve formě jednání se ZP a organizacemi</v>
      </c>
      <c r="WO34" s="849" t="str">
        <f t="shared" si="116"/>
        <v>bez komentáře</v>
      </c>
      <c r="WP34" s="849" t="str">
        <f t="shared" si="116"/>
        <v>bez komentáře</v>
      </c>
      <c r="WQ34" s="849" t="str">
        <f t="shared" si="116"/>
        <v>Konečná výše dotace z rozpočtu KHK bude řešena v návaznosti na řešení podílů jednotlivých zadavatelů.</v>
      </c>
      <c r="WR34" s="849" t="str">
        <f t="shared" si="116"/>
        <v>Konečná výše podpory ze stran obcí bude řešena v součinnosti s jednotlivými zadavateli v průběhu roku.</v>
      </c>
      <c r="WS34" s="849" t="str">
        <f t="shared" si="116"/>
        <v>bez komentáře</v>
      </c>
      <c r="WT34" s="849" t="str">
        <f t="shared" si="116"/>
        <v>bez komentáře</v>
      </c>
      <c r="WU34" s="845"/>
    </row>
    <row r="35" spans="1:619" s="128" customFormat="1" x14ac:dyDescent="0.25">
      <c r="A35" s="128" t="str">
        <f>VLOOKUP(F35,'Výpočet VP 2020'!$D$324:$I$588,6,FALSE)</f>
        <v>Je v síti</v>
      </c>
      <c r="B35" s="128" t="s">
        <v>1268</v>
      </c>
      <c r="C35" s="128">
        <v>68247877</v>
      </c>
      <c r="D35" s="128" t="s">
        <v>2419</v>
      </c>
      <c r="E35" s="128" t="s">
        <v>259</v>
      </c>
      <c r="F35" s="128">
        <v>6907978</v>
      </c>
      <c r="G35" s="128" t="s">
        <v>361</v>
      </c>
      <c r="H35" s="128" t="s">
        <v>218</v>
      </c>
      <c r="I35" s="128" t="s">
        <v>1267</v>
      </c>
      <c r="J35" s="129">
        <v>43101</v>
      </c>
      <c r="L35" s="128" t="s">
        <v>220</v>
      </c>
      <c r="M35" s="128" t="s">
        <v>2423</v>
      </c>
      <c r="N35" s="128">
        <v>3</v>
      </c>
      <c r="O35" s="128">
        <v>3</v>
      </c>
      <c r="P35" s="128">
        <v>6</v>
      </c>
      <c r="Q35" s="128">
        <v>23</v>
      </c>
      <c r="R35" s="128">
        <v>39</v>
      </c>
      <c r="BL35" s="128" t="s">
        <v>2424</v>
      </c>
      <c r="BM35" s="128" t="s">
        <v>223</v>
      </c>
      <c r="BN35" s="128" t="s">
        <v>2425</v>
      </c>
      <c r="DA35" s="128">
        <v>0</v>
      </c>
      <c r="DB35" s="128">
        <v>0</v>
      </c>
      <c r="DC35" s="128">
        <v>0</v>
      </c>
      <c r="DD35" s="128">
        <v>17</v>
      </c>
      <c r="DE35" s="128">
        <v>0</v>
      </c>
      <c r="DF35" s="128">
        <v>0</v>
      </c>
      <c r="DG35" s="128">
        <v>0</v>
      </c>
      <c r="DH35" s="128">
        <v>0</v>
      </c>
      <c r="DI35" s="128">
        <v>6</v>
      </c>
      <c r="DJ35" s="128">
        <v>0</v>
      </c>
      <c r="DK35" s="128">
        <v>0</v>
      </c>
      <c r="DL35" s="128">
        <v>0</v>
      </c>
      <c r="DM35" s="128">
        <v>0</v>
      </c>
      <c r="DN35" s="128">
        <v>23</v>
      </c>
      <c r="DO35" s="128">
        <v>0</v>
      </c>
      <c r="DP35" s="128">
        <v>17</v>
      </c>
      <c r="DQ35" s="128">
        <v>6</v>
      </c>
      <c r="DR35" s="128">
        <v>23</v>
      </c>
      <c r="DS35" s="128">
        <v>0</v>
      </c>
      <c r="DT35" s="128">
        <v>0</v>
      </c>
      <c r="DU35" s="128">
        <v>1</v>
      </c>
      <c r="DV35" s="128">
        <v>1</v>
      </c>
      <c r="DW35" s="128">
        <v>0</v>
      </c>
      <c r="DX35" s="128">
        <v>0</v>
      </c>
      <c r="DY35" s="128">
        <v>0</v>
      </c>
      <c r="DZ35" s="128">
        <v>0</v>
      </c>
      <c r="EA35" s="128">
        <v>1</v>
      </c>
      <c r="EB35" s="128">
        <v>0</v>
      </c>
      <c r="EC35" s="128">
        <v>0</v>
      </c>
      <c r="ED35" s="128">
        <v>0</v>
      </c>
      <c r="EE35" s="128">
        <v>1</v>
      </c>
      <c r="EF35" s="128">
        <v>2</v>
      </c>
      <c r="EG35" s="128">
        <v>0</v>
      </c>
      <c r="EH35" s="128">
        <v>2</v>
      </c>
      <c r="EI35" s="128">
        <v>1</v>
      </c>
      <c r="EJ35" s="128">
        <v>3</v>
      </c>
      <c r="EK35" s="128">
        <v>1</v>
      </c>
      <c r="EL35" s="128">
        <v>0.2</v>
      </c>
      <c r="EM35" s="128">
        <v>0.1</v>
      </c>
      <c r="EN35" s="128">
        <v>138000</v>
      </c>
      <c r="EO35" s="128">
        <v>138000</v>
      </c>
      <c r="EP35" s="128">
        <v>8</v>
      </c>
      <c r="EQ35" s="128">
        <v>4</v>
      </c>
      <c r="ER35" s="128">
        <v>2</v>
      </c>
      <c r="ES35" s="128">
        <v>2066000</v>
      </c>
      <c r="ET35" s="128">
        <v>2066000</v>
      </c>
      <c r="FO35" s="128">
        <v>2</v>
      </c>
      <c r="FP35" s="128">
        <v>0.7</v>
      </c>
      <c r="FQ35" s="128">
        <v>0.6</v>
      </c>
      <c r="FR35" s="128">
        <v>384000</v>
      </c>
      <c r="FS35" s="128">
        <v>341000</v>
      </c>
      <c r="KG35" s="128">
        <v>0</v>
      </c>
      <c r="KI35" s="128">
        <v>4.2</v>
      </c>
      <c r="KJ35" s="128">
        <v>0</v>
      </c>
      <c r="KK35" s="128">
        <v>0</v>
      </c>
      <c r="KL35" s="128">
        <v>0</v>
      </c>
      <c r="KM35" s="128">
        <v>4.2</v>
      </c>
      <c r="KN35" s="128">
        <v>2588000</v>
      </c>
      <c r="KO35" s="128">
        <v>2545000</v>
      </c>
      <c r="KP35" s="128">
        <v>865300</v>
      </c>
      <c r="KT35" s="128">
        <v>0</v>
      </c>
      <c r="KU35" s="128">
        <v>0</v>
      </c>
      <c r="KV35" s="128">
        <v>0</v>
      </c>
      <c r="KZ35" s="128">
        <v>0</v>
      </c>
      <c r="LA35" s="128">
        <v>0</v>
      </c>
      <c r="LB35" s="128">
        <v>0</v>
      </c>
      <c r="LF35" s="128">
        <v>0</v>
      </c>
      <c r="LG35" s="128">
        <v>0</v>
      </c>
      <c r="LH35" s="128">
        <v>0</v>
      </c>
      <c r="LL35" s="128">
        <v>0</v>
      </c>
      <c r="LM35" s="128">
        <v>0</v>
      </c>
      <c r="LN35" s="128">
        <v>0</v>
      </c>
      <c r="LR35" s="128">
        <v>35000</v>
      </c>
      <c r="LS35" s="128">
        <v>20000</v>
      </c>
      <c r="LT35" s="128">
        <v>6800</v>
      </c>
      <c r="LX35" s="128">
        <v>20000</v>
      </c>
      <c r="LY35" s="128">
        <v>0</v>
      </c>
      <c r="LZ35" s="128">
        <v>0</v>
      </c>
      <c r="MD35" s="128">
        <v>8000</v>
      </c>
      <c r="ME35" s="128">
        <v>5000</v>
      </c>
      <c r="MF35" s="128">
        <v>1700</v>
      </c>
      <c r="MJ35" s="128">
        <v>0</v>
      </c>
      <c r="MK35" s="128">
        <v>0</v>
      </c>
      <c r="ML35" s="128">
        <v>0</v>
      </c>
      <c r="MP35" s="128">
        <v>35000</v>
      </c>
      <c r="MQ35" s="128">
        <v>35000</v>
      </c>
      <c r="MR35" s="128">
        <v>11900</v>
      </c>
      <c r="MV35" s="128">
        <v>20000</v>
      </c>
      <c r="MW35" s="128">
        <v>5000</v>
      </c>
      <c r="MX35" s="128">
        <v>1700</v>
      </c>
      <c r="NB35" s="128">
        <v>5000</v>
      </c>
      <c r="NC35" s="128">
        <v>2000</v>
      </c>
      <c r="ND35" s="128">
        <v>680</v>
      </c>
      <c r="NH35" s="128">
        <v>100000</v>
      </c>
      <c r="NI35" s="128">
        <v>0</v>
      </c>
      <c r="NJ35" s="128">
        <v>0</v>
      </c>
      <c r="NN35" s="128">
        <v>15000</v>
      </c>
      <c r="NO35" s="128">
        <v>5000</v>
      </c>
      <c r="NP35" s="128">
        <v>1700</v>
      </c>
      <c r="NT35" s="128">
        <v>15000</v>
      </c>
      <c r="NU35" s="128">
        <v>15000</v>
      </c>
      <c r="NV35" s="128">
        <v>5100</v>
      </c>
      <c r="NZ35" s="128">
        <v>20000</v>
      </c>
      <c r="OA35" s="128">
        <v>10000</v>
      </c>
      <c r="OB35" s="128">
        <v>3400</v>
      </c>
      <c r="OF35" s="128">
        <v>5000</v>
      </c>
      <c r="OG35" s="128">
        <v>5000</v>
      </c>
      <c r="OH35" s="128">
        <v>1700</v>
      </c>
      <c r="OL35" s="128">
        <v>0</v>
      </c>
      <c r="OM35" s="128">
        <v>0</v>
      </c>
      <c r="ON35" s="128">
        <v>0</v>
      </c>
      <c r="OR35" s="128">
        <v>0</v>
      </c>
      <c r="OS35" s="128">
        <v>0</v>
      </c>
      <c r="OT35" s="128">
        <v>0</v>
      </c>
      <c r="OX35" s="128">
        <v>15000</v>
      </c>
      <c r="OY35" s="128">
        <v>4000</v>
      </c>
      <c r="OZ35" s="128">
        <v>1360</v>
      </c>
      <c r="PD35" s="128">
        <v>0</v>
      </c>
      <c r="PE35" s="128">
        <v>0</v>
      </c>
      <c r="PF35" s="128">
        <v>0</v>
      </c>
      <c r="PJ35" s="128">
        <v>0</v>
      </c>
      <c r="PK35" s="128">
        <v>0</v>
      </c>
      <c r="PL35" s="128">
        <v>0</v>
      </c>
      <c r="PP35" s="128">
        <v>2881000</v>
      </c>
      <c r="PQ35" s="128">
        <v>2651000</v>
      </c>
      <c r="PR35" s="128">
        <v>901340</v>
      </c>
      <c r="PS35" s="128">
        <v>34</v>
      </c>
      <c r="PT35" s="128">
        <v>34</v>
      </c>
      <c r="PU35" s="128">
        <v>1</v>
      </c>
      <c r="PV35" s="128">
        <v>775926</v>
      </c>
      <c r="PX35" s="128">
        <v>620154</v>
      </c>
      <c r="PY35" s="128">
        <v>954000</v>
      </c>
      <c r="PZ35" s="128">
        <v>2651000</v>
      </c>
      <c r="QA35" s="128">
        <v>0</v>
      </c>
      <c r="QB35" s="128">
        <v>0</v>
      </c>
      <c r="QC35" s="128">
        <v>0</v>
      </c>
      <c r="QD35" s="128">
        <v>310000</v>
      </c>
      <c r="QE35" s="128">
        <v>100000</v>
      </c>
      <c r="QF35" s="128">
        <v>100000</v>
      </c>
      <c r="QG35" s="128">
        <v>0</v>
      </c>
      <c r="QH35" s="128">
        <v>0</v>
      </c>
      <c r="QI35" s="128">
        <v>0</v>
      </c>
      <c r="QJ35" s="128">
        <v>74281</v>
      </c>
      <c r="QK35" s="128">
        <v>90000</v>
      </c>
      <c r="QL35" s="128">
        <v>130000</v>
      </c>
      <c r="QN35" s="128">
        <v>0</v>
      </c>
      <c r="QO35" s="128">
        <v>0</v>
      </c>
      <c r="QP35" s="128">
        <v>0</v>
      </c>
      <c r="RH35" s="128">
        <f t="shared" si="104"/>
        <v>2751000</v>
      </c>
      <c r="RI35" s="128">
        <v>0</v>
      </c>
      <c r="RM35" s="128" t="s">
        <v>220</v>
      </c>
      <c r="RU35" s="130"/>
      <c r="RV35" s="130"/>
      <c r="RW35" s="130"/>
      <c r="RX35" s="130"/>
      <c r="SF35" s="128">
        <f t="shared" si="8"/>
        <v>6907978</v>
      </c>
      <c r="SG35" s="131">
        <f t="shared" si="9"/>
        <v>2881000</v>
      </c>
      <c r="SH35" s="131">
        <f t="shared" si="10"/>
        <v>2881000</v>
      </c>
      <c r="SI35" s="131">
        <f t="shared" si="11"/>
        <v>2588000</v>
      </c>
      <c r="SJ35" s="132">
        <f t="shared" si="12"/>
        <v>2588000</v>
      </c>
      <c r="SK35" s="132">
        <f t="shared" si="13"/>
        <v>0</v>
      </c>
      <c r="SL35" s="132">
        <f t="shared" si="14"/>
        <v>0</v>
      </c>
      <c r="SM35" s="132">
        <f t="shared" si="15"/>
        <v>0</v>
      </c>
      <c r="SN35" s="131">
        <f t="shared" si="16"/>
        <v>293000</v>
      </c>
      <c r="SO35" s="131">
        <f t="shared" si="17"/>
        <v>35000</v>
      </c>
      <c r="SP35" s="132">
        <f t="shared" si="18"/>
        <v>0</v>
      </c>
      <c r="SQ35" s="132">
        <f t="shared" si="19"/>
        <v>35000</v>
      </c>
      <c r="SR35" s="132">
        <f t="shared" si="20"/>
        <v>20000</v>
      </c>
      <c r="SS35" s="132">
        <f t="shared" si="21"/>
        <v>8000</v>
      </c>
      <c r="ST35" s="132">
        <f t="shared" si="22"/>
        <v>0</v>
      </c>
      <c r="SU35" s="132">
        <f t="shared" si="23"/>
        <v>35000</v>
      </c>
      <c r="SV35" s="131">
        <f t="shared" si="24"/>
        <v>195000</v>
      </c>
      <c r="SW35" s="132">
        <f t="shared" si="25"/>
        <v>20000</v>
      </c>
      <c r="SX35" s="132">
        <f t="shared" si="26"/>
        <v>5000</v>
      </c>
      <c r="SY35" s="132">
        <f t="shared" si="27"/>
        <v>100000</v>
      </c>
      <c r="SZ35" s="132">
        <f t="shared" si="28"/>
        <v>15000</v>
      </c>
      <c r="TA35" s="132">
        <f t="shared" si="29"/>
        <v>15000</v>
      </c>
      <c r="TB35" s="132">
        <f t="shared" si="30"/>
        <v>20000</v>
      </c>
      <c r="TC35" s="132">
        <f t="shared" si="31"/>
        <v>5000</v>
      </c>
      <c r="TD35" s="132">
        <f t="shared" si="32"/>
        <v>0</v>
      </c>
      <c r="TE35" s="132">
        <f t="shared" si="33"/>
        <v>0</v>
      </c>
      <c r="TF35" s="132">
        <f t="shared" si="34"/>
        <v>15000</v>
      </c>
      <c r="TG35" s="132">
        <f t="shared" si="35"/>
        <v>0</v>
      </c>
      <c r="TH35" s="132">
        <f t="shared" si="36"/>
        <v>0</v>
      </c>
      <c r="TI35" s="1"/>
      <c r="TJ35" s="131">
        <f t="shared" si="37"/>
        <v>2651000</v>
      </c>
      <c r="TK35" s="131">
        <f t="shared" si="38"/>
        <v>2651000</v>
      </c>
      <c r="TL35" s="131">
        <f t="shared" si="39"/>
        <v>2545000</v>
      </c>
      <c r="TM35" s="132">
        <f t="shared" si="40"/>
        <v>2545000</v>
      </c>
      <c r="TN35" s="132">
        <f t="shared" si="41"/>
        <v>0</v>
      </c>
      <c r="TO35" s="132">
        <f t="shared" si="42"/>
        <v>0</v>
      </c>
      <c r="TP35" s="132">
        <f t="shared" si="43"/>
        <v>0</v>
      </c>
      <c r="TQ35" s="131">
        <f t="shared" si="44"/>
        <v>106000</v>
      </c>
      <c r="TR35" s="131">
        <f t="shared" si="45"/>
        <v>20000</v>
      </c>
      <c r="TS35" s="132">
        <f t="shared" si="46"/>
        <v>0</v>
      </c>
      <c r="TT35" s="132">
        <f t="shared" si="47"/>
        <v>20000</v>
      </c>
      <c r="TU35" s="132">
        <f t="shared" si="48"/>
        <v>0</v>
      </c>
      <c r="TV35" s="132">
        <f t="shared" si="49"/>
        <v>5000</v>
      </c>
      <c r="TW35" s="132">
        <f t="shared" si="50"/>
        <v>0</v>
      </c>
      <c r="TX35" s="132">
        <f t="shared" si="51"/>
        <v>35000</v>
      </c>
      <c r="TY35" s="131">
        <f t="shared" si="52"/>
        <v>46000</v>
      </c>
      <c r="TZ35" s="132">
        <f t="shared" si="53"/>
        <v>5000</v>
      </c>
      <c r="UA35" s="132">
        <f t="shared" si="54"/>
        <v>2000</v>
      </c>
      <c r="UB35" s="132">
        <f t="shared" si="55"/>
        <v>0</v>
      </c>
      <c r="UC35" s="132">
        <f t="shared" si="56"/>
        <v>5000</v>
      </c>
      <c r="UD35" s="132">
        <f t="shared" si="57"/>
        <v>15000</v>
      </c>
      <c r="UE35" s="132">
        <f t="shared" si="58"/>
        <v>10000</v>
      </c>
      <c r="UF35" s="132">
        <f t="shared" si="59"/>
        <v>5000</v>
      </c>
      <c r="UG35" s="132">
        <f t="shared" si="60"/>
        <v>0</v>
      </c>
      <c r="UH35" s="132">
        <f t="shared" si="61"/>
        <v>0</v>
      </c>
      <c r="UI35" s="132">
        <f t="shared" si="62"/>
        <v>4000</v>
      </c>
      <c r="UJ35" s="132">
        <f t="shared" si="63"/>
        <v>0</v>
      </c>
      <c r="UK35" s="132">
        <f t="shared" si="64"/>
        <v>0</v>
      </c>
      <c r="UL35" s="132">
        <f t="shared" si="105"/>
        <v>901340</v>
      </c>
      <c r="UM35" s="131">
        <f t="shared" si="65"/>
        <v>901340</v>
      </c>
      <c r="UN35" s="131">
        <f t="shared" si="66"/>
        <v>901340</v>
      </c>
      <c r="UO35" s="131">
        <f t="shared" si="67"/>
        <v>865300</v>
      </c>
      <c r="UP35" s="132">
        <f t="shared" si="68"/>
        <v>865300</v>
      </c>
      <c r="UQ35" s="132">
        <f t="shared" si="69"/>
        <v>0</v>
      </c>
      <c r="UR35" s="132">
        <f t="shared" si="70"/>
        <v>0</v>
      </c>
      <c r="US35" s="132">
        <f t="shared" si="71"/>
        <v>0</v>
      </c>
      <c r="UT35" s="131">
        <f t="shared" si="72"/>
        <v>36040</v>
      </c>
      <c r="UU35" s="131">
        <f t="shared" si="73"/>
        <v>6800</v>
      </c>
      <c r="UV35" s="132">
        <f t="shared" si="74"/>
        <v>0</v>
      </c>
      <c r="UW35" s="132">
        <f t="shared" si="75"/>
        <v>6800</v>
      </c>
      <c r="UX35" s="132">
        <f t="shared" si="76"/>
        <v>0</v>
      </c>
      <c r="UY35" s="132">
        <f t="shared" si="77"/>
        <v>1700</v>
      </c>
      <c r="UZ35" s="132">
        <f t="shared" si="78"/>
        <v>0</v>
      </c>
      <c r="VA35" s="132">
        <f t="shared" si="79"/>
        <v>11900</v>
      </c>
      <c r="VB35" s="131">
        <f t="shared" si="80"/>
        <v>15640</v>
      </c>
      <c r="VC35" s="132">
        <f t="shared" si="81"/>
        <v>1700</v>
      </c>
      <c r="VD35" s="132">
        <f t="shared" si="82"/>
        <v>680</v>
      </c>
      <c r="VE35" s="132">
        <f t="shared" si="83"/>
        <v>0</v>
      </c>
      <c r="VF35" s="132">
        <f t="shared" si="84"/>
        <v>1700</v>
      </c>
      <c r="VG35" s="132">
        <f t="shared" si="85"/>
        <v>5100</v>
      </c>
      <c r="VH35" s="132">
        <f t="shared" si="86"/>
        <v>3400</v>
      </c>
      <c r="VI35" s="132">
        <f t="shared" si="87"/>
        <v>1700</v>
      </c>
      <c r="VJ35" s="132">
        <f t="shared" si="88"/>
        <v>0</v>
      </c>
      <c r="VK35" s="132">
        <f t="shared" si="89"/>
        <v>0</v>
      </c>
      <c r="VL35" s="132">
        <f t="shared" si="90"/>
        <v>1360</v>
      </c>
      <c r="VM35" s="132">
        <f t="shared" si="91"/>
        <v>0</v>
      </c>
      <c r="VN35" s="132">
        <f t="shared" si="92"/>
        <v>0</v>
      </c>
      <c r="VP35" s="845" t="str">
        <f>IFERROR(HLOOKUP(F35,'Hodnocení '!$C$1:$JH$5,2,FALSE),0)</f>
        <v>Odlehčovací služby</v>
      </c>
      <c r="VQ35" s="838"/>
      <c r="VR35" s="845" t="str">
        <f t="shared" si="106"/>
        <v>Příspěvková organizace zřízená územním samosprávným celkem</v>
      </c>
      <c r="VS35" s="845" t="str">
        <f>IFERROR(HLOOKUP(F35,'Hodnocení '!$C$1:$JH$5,5,FALSE),0)</f>
        <v>Obce</v>
      </c>
      <c r="VT35" s="838" t="str">
        <f t="shared" si="107"/>
        <v>Příspěvková organizace zřízená územním samosprávným celkem</v>
      </c>
      <c r="VU35" s="838">
        <f t="shared" si="108"/>
        <v>0</v>
      </c>
      <c r="VV35" s="838">
        <f t="shared" si="109"/>
        <v>130000</v>
      </c>
      <c r="VW35" s="838">
        <f t="shared" si="110"/>
        <v>0</v>
      </c>
      <c r="VX35" s="838"/>
      <c r="VY35" s="838">
        <f t="shared" si="114"/>
        <v>0</v>
      </c>
      <c r="VZ35" s="838">
        <f t="shared" si="115"/>
        <v>901340</v>
      </c>
      <c r="WA35" s="846">
        <f>IFERROR(HLOOKUP($F35,'Hodnocení '!$C$1:$JH$9,9,FALSE),0)</f>
        <v>901340</v>
      </c>
      <c r="WB35" s="846">
        <f>IF(IFERROR(HLOOKUP($F35,'Hodnocení '!$C$1:$JH$13,13,FALSE),0)&gt;WA35,WA35,IFERROR(HLOOKUP($F35,'Hodnocení '!$C$1:$JH$13,13,FALSE),0))</f>
        <v>901340</v>
      </c>
      <c r="WC35" s="846">
        <f>IFERROR(HLOOKUP($F35,'Hodnocení '!$C$1:$JH$155,155,FALSE),0)</f>
        <v>901340</v>
      </c>
      <c r="WD35" s="845"/>
      <c r="WE35" s="845"/>
      <c r="WF35" s="845" t="str">
        <f t="shared" si="97"/>
        <v>ANO</v>
      </c>
      <c r="WG35" s="849" t="str">
        <f t="shared" si="117"/>
        <v>Podpora služby je vyjádřena zařazením do sítě sociálních služeb v KHK a řešením financování služby</v>
      </c>
      <c r="WH35"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35" s="849" t="str">
        <f t="shared" si="117"/>
        <v>Návrh dotace je výsledkem projednání s ostatními zadavateli v rámci sítě služeb KHK</v>
      </c>
      <c r="WJ35" s="849" t="str">
        <f t="shared" si="117"/>
        <v>Bez komentáře</v>
      </c>
      <c r="WK35" s="31" t="str">
        <f t="shared" si="99"/>
        <v>Výše příspěvku ze strany zřizovatele bude řešen v návaznosti na řešení podílů jednotlivých zadavatelů</v>
      </c>
      <c r="WL35" s="850">
        <f t="shared" si="100"/>
        <v>0</v>
      </c>
      <c r="WM35" s="849" t="str">
        <f t="shared" si="101"/>
        <v>V rámci sítě KHK se dlouhodobě řeší otázka navyšování úhrad a průběžně se monitoruje s vazbou na vykrytí vyrovnávací platby</v>
      </c>
      <c r="WN35" s="849">
        <f t="shared" si="102"/>
        <v>0</v>
      </c>
      <c r="WO35" s="849" t="str">
        <f t="shared" si="116"/>
        <v>bez komentáře</v>
      </c>
      <c r="WP35" s="849" t="str">
        <f t="shared" si="116"/>
        <v>bez komentáře</v>
      </c>
      <c r="WQ35" s="849" t="str">
        <f t="shared" si="116"/>
        <v>Konečná výše dotace z rozpočtu KHK bude řešena v návaznosti na řešení podílů jednotlivých zadavatelů.</v>
      </c>
      <c r="WR35" s="849" t="str">
        <f t="shared" si="116"/>
        <v>Konečná výše podpory ze stran obcí bude řešena v součinnosti s jednotlivými zadavateli v průběhu roku.</v>
      </c>
      <c r="WS35" s="849" t="str">
        <f t="shared" si="116"/>
        <v>bez komentáře</v>
      </c>
      <c r="WT35" s="849" t="str">
        <f t="shared" si="116"/>
        <v>bez komentáře</v>
      </c>
      <c r="WU35" s="845"/>
    </row>
    <row r="36" spans="1:619" s="128" customFormat="1" x14ac:dyDescent="0.25">
      <c r="A36" s="128" t="str">
        <f>VLOOKUP(F36,'Výpočet VP 2020'!$D$324:$I$588,6,FALSE)</f>
        <v>Je v síti</v>
      </c>
      <c r="B36" s="128" t="s">
        <v>358</v>
      </c>
      <c r="C36" s="128">
        <v>46522182</v>
      </c>
      <c r="D36" s="128" t="s">
        <v>359</v>
      </c>
      <c r="E36" s="128" t="s">
        <v>360</v>
      </c>
      <c r="F36" s="128">
        <v>9223411</v>
      </c>
      <c r="G36" s="128" t="s">
        <v>361</v>
      </c>
      <c r="H36" s="128" t="s">
        <v>218</v>
      </c>
      <c r="I36" s="128" t="s">
        <v>358</v>
      </c>
      <c r="J36" s="129">
        <v>34135</v>
      </c>
      <c r="L36" s="128" t="s">
        <v>220</v>
      </c>
      <c r="M36" s="128" t="s">
        <v>362</v>
      </c>
      <c r="N36" s="128">
        <v>4</v>
      </c>
      <c r="O36" s="128">
        <v>4</v>
      </c>
      <c r="P36" s="128">
        <v>39</v>
      </c>
      <c r="Q36" s="128">
        <v>30</v>
      </c>
      <c r="R36" s="128">
        <v>35</v>
      </c>
      <c r="BL36" s="128" t="s">
        <v>363</v>
      </c>
      <c r="BM36" s="128" t="s">
        <v>325</v>
      </c>
      <c r="BN36" s="128" t="s">
        <v>364</v>
      </c>
      <c r="DA36" s="128">
        <v>0</v>
      </c>
      <c r="DB36" s="128">
        <v>0</v>
      </c>
      <c r="DC36" s="128">
        <v>0</v>
      </c>
      <c r="DD36" s="128">
        <v>0</v>
      </c>
      <c r="DE36" s="128">
        <v>0</v>
      </c>
      <c r="DF36" s="128">
        <v>0</v>
      </c>
      <c r="DG36" s="128">
        <v>1</v>
      </c>
      <c r="DH36" s="128">
        <v>3</v>
      </c>
      <c r="DI36" s="128">
        <v>0</v>
      </c>
      <c r="DJ36" s="128">
        <v>0</v>
      </c>
      <c r="DK36" s="128">
        <v>0</v>
      </c>
      <c r="DL36" s="128">
        <v>1</v>
      </c>
      <c r="DM36" s="128">
        <v>3</v>
      </c>
      <c r="DN36" s="128">
        <v>0</v>
      </c>
      <c r="DO36" s="128">
        <v>0</v>
      </c>
      <c r="DP36" s="128">
        <v>0</v>
      </c>
      <c r="DQ36" s="128">
        <v>4</v>
      </c>
      <c r="DR36" s="128">
        <v>4</v>
      </c>
      <c r="DS36" s="128">
        <v>0</v>
      </c>
      <c r="DT36" s="128">
        <v>0</v>
      </c>
      <c r="DU36" s="128">
        <v>0</v>
      </c>
      <c r="DV36" s="128">
        <v>0</v>
      </c>
      <c r="DW36" s="128">
        <v>0</v>
      </c>
      <c r="DX36" s="128">
        <v>0</v>
      </c>
      <c r="DY36" s="128">
        <v>1</v>
      </c>
      <c r="DZ36" s="128">
        <v>3</v>
      </c>
      <c r="EA36" s="128">
        <v>0</v>
      </c>
      <c r="EB36" s="128">
        <v>0</v>
      </c>
      <c r="EC36" s="128">
        <v>0</v>
      </c>
      <c r="ED36" s="128">
        <v>1</v>
      </c>
      <c r="EE36" s="128">
        <v>3</v>
      </c>
      <c r="EF36" s="128">
        <v>0</v>
      </c>
      <c r="EG36" s="128">
        <v>0</v>
      </c>
      <c r="EH36" s="128">
        <v>0</v>
      </c>
      <c r="EI36" s="128">
        <v>4</v>
      </c>
      <c r="EJ36" s="128">
        <v>4</v>
      </c>
      <c r="EK36" s="128">
        <v>1</v>
      </c>
      <c r="EL36" s="128">
        <v>0.3</v>
      </c>
      <c r="EM36" s="128">
        <v>0.3</v>
      </c>
      <c r="EN36" s="128">
        <v>250000</v>
      </c>
      <c r="EO36" s="128">
        <v>120000</v>
      </c>
      <c r="EP36" s="128">
        <v>12</v>
      </c>
      <c r="EQ36" s="128">
        <v>2.65</v>
      </c>
      <c r="ER36" s="128">
        <v>2.65</v>
      </c>
      <c r="ES36" s="128">
        <v>1140500</v>
      </c>
      <c r="ET36" s="128">
        <v>910000</v>
      </c>
      <c r="EU36" s="128">
        <v>5</v>
      </c>
      <c r="EV36" s="128">
        <v>1.8</v>
      </c>
      <c r="EW36" s="128">
        <v>0.65</v>
      </c>
      <c r="EX36" s="128">
        <v>240000</v>
      </c>
      <c r="EY36" s="128">
        <v>0</v>
      </c>
      <c r="FJ36" s="128">
        <v>1</v>
      </c>
      <c r="FK36" s="128">
        <v>0.2</v>
      </c>
      <c r="FL36" s="128">
        <v>0.2</v>
      </c>
      <c r="FM36" s="128">
        <v>64000</v>
      </c>
      <c r="FN36" s="128">
        <v>51000</v>
      </c>
      <c r="FO36" s="128">
        <v>4</v>
      </c>
      <c r="FP36" s="128">
        <v>0.8</v>
      </c>
      <c r="FQ36" s="128">
        <v>0.8</v>
      </c>
      <c r="FR36" s="128">
        <v>693500</v>
      </c>
      <c r="FS36" s="128">
        <v>553400</v>
      </c>
      <c r="FZ36" s="128">
        <v>2</v>
      </c>
      <c r="GA36" s="128">
        <v>0.16</v>
      </c>
      <c r="GB36" s="128">
        <v>24</v>
      </c>
      <c r="GC36" s="128">
        <v>0.16</v>
      </c>
      <c r="GD36" s="128">
        <v>80000</v>
      </c>
      <c r="GE36" s="128">
        <v>24000</v>
      </c>
      <c r="HD36" s="128">
        <v>1</v>
      </c>
      <c r="HE36" s="128">
        <v>0.08</v>
      </c>
      <c r="HF36" s="128">
        <v>12</v>
      </c>
      <c r="HG36" s="128">
        <v>0.08</v>
      </c>
      <c r="HH36" s="128">
        <v>75000</v>
      </c>
      <c r="HI36" s="128">
        <v>22500</v>
      </c>
      <c r="IH36" s="128">
        <v>1</v>
      </c>
      <c r="II36" s="128">
        <v>0.08</v>
      </c>
      <c r="IJ36" s="128">
        <v>12</v>
      </c>
      <c r="IK36" s="128">
        <v>0.08</v>
      </c>
      <c r="IL36" s="128">
        <v>24000</v>
      </c>
      <c r="IM36" s="128">
        <v>7200</v>
      </c>
      <c r="IN36" s="128">
        <v>2</v>
      </c>
      <c r="IO36" s="128">
        <v>160</v>
      </c>
      <c r="IP36" s="128">
        <v>7.5999999999999998E-2</v>
      </c>
      <c r="IQ36" s="128">
        <v>32000</v>
      </c>
      <c r="IR36" s="128">
        <v>0</v>
      </c>
      <c r="KG36" s="128">
        <v>2</v>
      </c>
      <c r="KH36" s="128">
        <v>21</v>
      </c>
      <c r="KI36" s="128">
        <v>4.95</v>
      </c>
      <c r="KJ36" s="128">
        <v>0.24</v>
      </c>
      <c r="KK36" s="128">
        <v>7.5999999999999998E-2</v>
      </c>
      <c r="KL36" s="128">
        <v>0</v>
      </c>
      <c r="KM36" s="128">
        <v>5.266</v>
      </c>
      <c r="KN36" s="128">
        <v>2388000</v>
      </c>
      <c r="KO36" s="128">
        <v>1634400</v>
      </c>
      <c r="KP36" s="128">
        <v>1634400</v>
      </c>
      <c r="KT36" s="128">
        <v>179000</v>
      </c>
      <c r="KU36" s="128">
        <v>53700</v>
      </c>
      <c r="KV36" s="128">
        <v>53700</v>
      </c>
      <c r="KZ36" s="128">
        <v>32000</v>
      </c>
      <c r="LA36" s="128">
        <v>0</v>
      </c>
      <c r="LB36" s="128">
        <v>0</v>
      </c>
      <c r="LF36" s="128">
        <v>18000</v>
      </c>
      <c r="LG36" s="128">
        <v>0</v>
      </c>
      <c r="LH36" s="128">
        <v>0</v>
      </c>
      <c r="LL36" s="128">
        <v>0</v>
      </c>
      <c r="LM36" s="128">
        <v>0</v>
      </c>
      <c r="LN36" s="128">
        <v>0</v>
      </c>
      <c r="LR36" s="128">
        <v>45000</v>
      </c>
      <c r="LS36" s="128">
        <v>22500</v>
      </c>
      <c r="LT36" s="128">
        <v>22500</v>
      </c>
      <c r="LX36" s="128">
        <v>72000</v>
      </c>
      <c r="LY36" s="128">
        <v>0</v>
      </c>
      <c r="LZ36" s="128">
        <v>0</v>
      </c>
      <c r="MD36" s="128">
        <v>10000</v>
      </c>
      <c r="ME36" s="128">
        <v>0</v>
      </c>
      <c r="MF36" s="128">
        <v>0</v>
      </c>
      <c r="MJ36" s="128">
        <v>10000</v>
      </c>
      <c r="MK36" s="128">
        <v>0</v>
      </c>
      <c r="ML36" s="128">
        <v>0</v>
      </c>
      <c r="MP36" s="128">
        <v>60000</v>
      </c>
      <c r="MQ36" s="128">
        <v>0</v>
      </c>
      <c r="MR36" s="128">
        <v>0</v>
      </c>
      <c r="MV36" s="128">
        <v>67300</v>
      </c>
      <c r="MW36" s="128">
        <v>26000</v>
      </c>
      <c r="MX36" s="128">
        <v>26000</v>
      </c>
      <c r="NB36" s="128">
        <v>11300</v>
      </c>
      <c r="NC36" s="128">
        <v>3100</v>
      </c>
      <c r="ND36" s="128">
        <v>3100</v>
      </c>
      <c r="NH36" s="128">
        <v>0</v>
      </c>
      <c r="NI36" s="128">
        <v>0</v>
      </c>
      <c r="NJ36" s="128">
        <v>0</v>
      </c>
      <c r="NN36" s="128">
        <v>35300</v>
      </c>
      <c r="NO36" s="128">
        <v>6000</v>
      </c>
      <c r="NP36" s="128">
        <v>6000</v>
      </c>
      <c r="NT36" s="128">
        <v>12000</v>
      </c>
      <c r="NU36" s="128">
        <v>0</v>
      </c>
      <c r="NV36" s="128">
        <v>0</v>
      </c>
      <c r="NZ36" s="128">
        <v>80000</v>
      </c>
      <c r="OA36" s="128">
        <v>25000</v>
      </c>
      <c r="OB36" s="128">
        <v>25000</v>
      </c>
      <c r="OF36" s="128">
        <v>4000</v>
      </c>
      <c r="OG36" s="128">
        <v>0</v>
      </c>
      <c r="OH36" s="128">
        <v>0</v>
      </c>
      <c r="OL36" s="128">
        <v>0</v>
      </c>
      <c r="OM36" s="128">
        <v>0</v>
      </c>
      <c r="ON36" s="128">
        <v>0</v>
      </c>
      <c r="OR36" s="128">
        <v>0</v>
      </c>
      <c r="OS36" s="128">
        <v>0</v>
      </c>
      <c r="OT36" s="128">
        <v>0</v>
      </c>
      <c r="OX36" s="128">
        <v>175000</v>
      </c>
      <c r="OY36" s="128">
        <v>0</v>
      </c>
      <c r="OZ36" s="128">
        <v>0</v>
      </c>
      <c r="PD36" s="128">
        <v>65000</v>
      </c>
      <c r="PE36" s="128">
        <v>0</v>
      </c>
      <c r="PF36" s="128">
        <v>0</v>
      </c>
      <c r="PJ36" s="128">
        <v>40000</v>
      </c>
      <c r="PK36" s="128">
        <v>0</v>
      </c>
      <c r="PL36" s="128">
        <v>0</v>
      </c>
      <c r="PP36" s="128">
        <v>3303900</v>
      </c>
      <c r="PQ36" s="128">
        <v>1770700</v>
      </c>
      <c r="PR36" s="128">
        <v>1770700</v>
      </c>
      <c r="PS36" s="128">
        <v>100</v>
      </c>
      <c r="PT36" s="128">
        <v>100</v>
      </c>
      <c r="PV36" s="128">
        <v>1210654</v>
      </c>
      <c r="PX36" s="128">
        <v>1475000</v>
      </c>
      <c r="PY36" s="128">
        <v>1635000</v>
      </c>
      <c r="PZ36" s="128">
        <v>1770700</v>
      </c>
      <c r="QA36" s="128">
        <v>0</v>
      </c>
      <c r="QB36" s="128">
        <v>0</v>
      </c>
      <c r="QC36" s="128">
        <v>0</v>
      </c>
      <c r="QD36" s="128">
        <v>0</v>
      </c>
      <c r="QE36" s="128">
        <v>0</v>
      </c>
      <c r="QF36" s="128">
        <v>0</v>
      </c>
      <c r="QG36" s="128">
        <v>0</v>
      </c>
      <c r="QH36" s="128">
        <v>122810</v>
      </c>
      <c r="QI36" s="128">
        <v>0</v>
      </c>
      <c r="QJ36" s="128">
        <v>778247</v>
      </c>
      <c r="QK36" s="128">
        <v>620000</v>
      </c>
      <c r="QL36" s="128">
        <v>640000</v>
      </c>
      <c r="QN36" s="128">
        <v>338939</v>
      </c>
      <c r="QO36" s="128">
        <v>315574</v>
      </c>
      <c r="QP36" s="128">
        <v>300000</v>
      </c>
      <c r="QU36" s="128">
        <v>0</v>
      </c>
      <c r="QV36" s="128">
        <v>122810</v>
      </c>
      <c r="QW36" s="128">
        <v>0</v>
      </c>
      <c r="QX36" s="128">
        <v>0</v>
      </c>
      <c r="QY36" s="128">
        <v>100000</v>
      </c>
      <c r="QZ36" s="128">
        <v>100000</v>
      </c>
      <c r="RD36" s="128">
        <v>188287</v>
      </c>
      <c r="RE36" s="128">
        <v>227500</v>
      </c>
      <c r="RF36" s="128">
        <v>493200</v>
      </c>
      <c r="RH36" s="128">
        <f t="shared" si="104"/>
        <v>2363900</v>
      </c>
      <c r="RI36" s="128">
        <v>0</v>
      </c>
      <c r="RM36" s="128" t="s">
        <v>220</v>
      </c>
      <c r="RU36" s="130"/>
      <c r="RV36" s="130"/>
      <c r="RW36" s="130"/>
      <c r="RX36" s="130"/>
      <c r="SF36" s="128">
        <f t="shared" si="8"/>
        <v>9223411</v>
      </c>
      <c r="SG36" s="131">
        <f t="shared" si="9"/>
        <v>3303900</v>
      </c>
      <c r="SH36" s="131">
        <f t="shared" si="10"/>
        <v>3303900</v>
      </c>
      <c r="SI36" s="131">
        <f t="shared" si="11"/>
        <v>2617000</v>
      </c>
      <c r="SJ36" s="132">
        <f t="shared" si="12"/>
        <v>2388000</v>
      </c>
      <c r="SK36" s="132">
        <f t="shared" si="13"/>
        <v>179000</v>
      </c>
      <c r="SL36" s="132">
        <f t="shared" si="14"/>
        <v>32000</v>
      </c>
      <c r="SM36" s="132">
        <f t="shared" si="15"/>
        <v>18000</v>
      </c>
      <c r="SN36" s="131">
        <f t="shared" si="16"/>
        <v>686900</v>
      </c>
      <c r="SO36" s="131">
        <f t="shared" si="17"/>
        <v>45000</v>
      </c>
      <c r="SP36" s="132">
        <f t="shared" si="18"/>
        <v>0</v>
      </c>
      <c r="SQ36" s="132">
        <f t="shared" si="19"/>
        <v>45000</v>
      </c>
      <c r="SR36" s="132">
        <f t="shared" si="20"/>
        <v>72000</v>
      </c>
      <c r="SS36" s="132">
        <f t="shared" si="21"/>
        <v>10000</v>
      </c>
      <c r="ST36" s="132">
        <f t="shared" si="22"/>
        <v>10000</v>
      </c>
      <c r="SU36" s="132">
        <f t="shared" si="23"/>
        <v>60000</v>
      </c>
      <c r="SV36" s="131">
        <f t="shared" si="24"/>
        <v>384900</v>
      </c>
      <c r="SW36" s="132">
        <f t="shared" si="25"/>
        <v>67300</v>
      </c>
      <c r="SX36" s="132">
        <f t="shared" si="26"/>
        <v>11300</v>
      </c>
      <c r="SY36" s="132">
        <f t="shared" si="27"/>
        <v>0</v>
      </c>
      <c r="SZ36" s="132">
        <f t="shared" si="28"/>
        <v>35300</v>
      </c>
      <c r="TA36" s="132">
        <f t="shared" si="29"/>
        <v>12000</v>
      </c>
      <c r="TB36" s="132">
        <f t="shared" si="30"/>
        <v>80000</v>
      </c>
      <c r="TC36" s="132">
        <f t="shared" si="31"/>
        <v>4000</v>
      </c>
      <c r="TD36" s="132">
        <f t="shared" si="32"/>
        <v>0</v>
      </c>
      <c r="TE36" s="132">
        <f t="shared" si="33"/>
        <v>0</v>
      </c>
      <c r="TF36" s="132">
        <f t="shared" si="34"/>
        <v>175000</v>
      </c>
      <c r="TG36" s="132">
        <f t="shared" si="35"/>
        <v>65000</v>
      </c>
      <c r="TH36" s="132">
        <f t="shared" si="36"/>
        <v>40000</v>
      </c>
      <c r="TI36" s="1"/>
      <c r="TJ36" s="131">
        <f t="shared" si="37"/>
        <v>1770700</v>
      </c>
      <c r="TK36" s="131">
        <f t="shared" si="38"/>
        <v>1770700</v>
      </c>
      <c r="TL36" s="131">
        <f t="shared" si="39"/>
        <v>1688100</v>
      </c>
      <c r="TM36" s="132">
        <f t="shared" si="40"/>
        <v>1634400</v>
      </c>
      <c r="TN36" s="132">
        <f t="shared" si="41"/>
        <v>53700</v>
      </c>
      <c r="TO36" s="132">
        <f t="shared" si="42"/>
        <v>0</v>
      </c>
      <c r="TP36" s="132">
        <f t="shared" si="43"/>
        <v>0</v>
      </c>
      <c r="TQ36" s="131">
        <f t="shared" si="44"/>
        <v>82600</v>
      </c>
      <c r="TR36" s="131">
        <f t="shared" si="45"/>
        <v>22500</v>
      </c>
      <c r="TS36" s="132">
        <f t="shared" si="46"/>
        <v>0</v>
      </c>
      <c r="TT36" s="132">
        <f t="shared" si="47"/>
        <v>22500</v>
      </c>
      <c r="TU36" s="132">
        <f t="shared" si="48"/>
        <v>0</v>
      </c>
      <c r="TV36" s="132">
        <f t="shared" si="49"/>
        <v>0</v>
      </c>
      <c r="TW36" s="132">
        <f t="shared" si="50"/>
        <v>0</v>
      </c>
      <c r="TX36" s="132">
        <f t="shared" si="51"/>
        <v>0</v>
      </c>
      <c r="TY36" s="131">
        <f t="shared" si="52"/>
        <v>60100</v>
      </c>
      <c r="TZ36" s="132">
        <f t="shared" si="53"/>
        <v>26000</v>
      </c>
      <c r="UA36" s="132">
        <f t="shared" si="54"/>
        <v>3100</v>
      </c>
      <c r="UB36" s="132">
        <f t="shared" si="55"/>
        <v>0</v>
      </c>
      <c r="UC36" s="132">
        <f t="shared" si="56"/>
        <v>6000</v>
      </c>
      <c r="UD36" s="132">
        <f t="shared" si="57"/>
        <v>0</v>
      </c>
      <c r="UE36" s="132">
        <f t="shared" si="58"/>
        <v>25000</v>
      </c>
      <c r="UF36" s="132">
        <f t="shared" si="59"/>
        <v>0</v>
      </c>
      <c r="UG36" s="132">
        <f t="shared" si="60"/>
        <v>0</v>
      </c>
      <c r="UH36" s="132">
        <f t="shared" si="61"/>
        <v>0</v>
      </c>
      <c r="UI36" s="132">
        <f t="shared" si="62"/>
        <v>0</v>
      </c>
      <c r="UJ36" s="132">
        <f t="shared" si="63"/>
        <v>0</v>
      </c>
      <c r="UK36" s="132">
        <f t="shared" si="64"/>
        <v>0</v>
      </c>
      <c r="UL36" s="132">
        <f t="shared" si="105"/>
        <v>1770700</v>
      </c>
      <c r="UM36" s="131">
        <f t="shared" si="65"/>
        <v>1770700</v>
      </c>
      <c r="UN36" s="131">
        <f t="shared" si="66"/>
        <v>1770700</v>
      </c>
      <c r="UO36" s="131">
        <f t="shared" si="67"/>
        <v>1688100</v>
      </c>
      <c r="UP36" s="132">
        <f t="shared" si="68"/>
        <v>1634400</v>
      </c>
      <c r="UQ36" s="132">
        <f t="shared" si="69"/>
        <v>53700</v>
      </c>
      <c r="UR36" s="132">
        <f t="shared" si="70"/>
        <v>0</v>
      </c>
      <c r="US36" s="132">
        <f t="shared" si="71"/>
        <v>0</v>
      </c>
      <c r="UT36" s="131">
        <f t="shared" si="72"/>
        <v>82600</v>
      </c>
      <c r="UU36" s="131">
        <f t="shared" si="73"/>
        <v>22500</v>
      </c>
      <c r="UV36" s="132">
        <f t="shared" si="74"/>
        <v>0</v>
      </c>
      <c r="UW36" s="132">
        <f t="shared" si="75"/>
        <v>22500</v>
      </c>
      <c r="UX36" s="132">
        <f t="shared" si="76"/>
        <v>0</v>
      </c>
      <c r="UY36" s="132">
        <f t="shared" si="77"/>
        <v>0</v>
      </c>
      <c r="UZ36" s="132">
        <f t="shared" si="78"/>
        <v>0</v>
      </c>
      <c r="VA36" s="132">
        <f t="shared" si="79"/>
        <v>0</v>
      </c>
      <c r="VB36" s="131">
        <f t="shared" si="80"/>
        <v>60100</v>
      </c>
      <c r="VC36" s="132">
        <f t="shared" si="81"/>
        <v>26000</v>
      </c>
      <c r="VD36" s="132">
        <f t="shared" si="82"/>
        <v>3100</v>
      </c>
      <c r="VE36" s="132">
        <f t="shared" si="83"/>
        <v>0</v>
      </c>
      <c r="VF36" s="132">
        <f t="shared" si="84"/>
        <v>6000</v>
      </c>
      <c r="VG36" s="132">
        <f t="shared" si="85"/>
        <v>0</v>
      </c>
      <c r="VH36" s="132">
        <f t="shared" si="86"/>
        <v>25000</v>
      </c>
      <c r="VI36" s="132">
        <f t="shared" si="87"/>
        <v>0</v>
      </c>
      <c r="VJ36" s="132">
        <f t="shared" si="88"/>
        <v>0</v>
      </c>
      <c r="VK36" s="132">
        <f t="shared" si="89"/>
        <v>0</v>
      </c>
      <c r="VL36" s="132">
        <f t="shared" si="90"/>
        <v>0</v>
      </c>
      <c r="VM36" s="132">
        <f t="shared" si="91"/>
        <v>0</v>
      </c>
      <c r="VN36" s="132">
        <f t="shared" si="92"/>
        <v>0</v>
      </c>
      <c r="VP36" s="845" t="str">
        <f>IFERROR(HLOOKUP(F36,'Hodnocení '!$C$1:$JH$5,2,FALSE),0)</f>
        <v>Diakonie ČCE - středisko BETANIE - evangelický domov v Náchodě</v>
      </c>
      <c r="VQ36" s="838"/>
      <c r="VR36" s="845" t="str">
        <f t="shared" si="106"/>
        <v>Církve a náboženské společnosti</v>
      </c>
      <c r="VS36" s="845" t="str">
        <f>IFERROR(HLOOKUP(F36,'Hodnocení '!$C$1:$JH$5,5,FALSE),0)</f>
        <v>NZO</v>
      </c>
      <c r="VT36" s="838">
        <f t="shared" si="107"/>
        <v>0</v>
      </c>
      <c r="VU36" s="838">
        <f t="shared" si="108"/>
        <v>0</v>
      </c>
      <c r="VV36" s="838">
        <f t="shared" si="109"/>
        <v>640000</v>
      </c>
      <c r="VW36" s="838">
        <f t="shared" si="110"/>
        <v>300000</v>
      </c>
      <c r="VX36" s="838"/>
      <c r="VY36" s="838">
        <f t="shared" si="114"/>
        <v>0</v>
      </c>
      <c r="VZ36" s="838">
        <f t="shared" si="115"/>
        <v>1770700</v>
      </c>
      <c r="WA36" s="846">
        <f>IFERROR(HLOOKUP($F36,'Hodnocení '!$C$1:$JH$9,9,FALSE),0)</f>
        <v>1770700</v>
      </c>
      <c r="WB36" s="846">
        <f>IF(IFERROR(HLOOKUP($F36,'Hodnocení '!$C$1:$JH$13,13,FALSE),0)&gt;WA36,WA36,IFERROR(HLOOKUP($F36,'Hodnocení '!$C$1:$JH$13,13,FALSE),0))</f>
        <v>1770700</v>
      </c>
      <c r="WC36" s="846">
        <f>IFERROR(HLOOKUP($F36,'Hodnocení '!$C$1:$JH$155,155,FALSE),0)</f>
        <v>1770700</v>
      </c>
      <c r="WD36" s="845"/>
      <c r="WE36" s="845"/>
      <c r="WF36" s="845" t="str">
        <f t="shared" si="97"/>
        <v>ANO</v>
      </c>
      <c r="WG36" s="849" t="str">
        <f t="shared" si="117"/>
        <v>Podpora služby je vyjádřena zařazením do sítě sociálních služeb v KHK a řešením financování služby</v>
      </c>
      <c r="WH36"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36" s="849" t="str">
        <f t="shared" si="117"/>
        <v>Návrh dotace je výsledkem projednání s ostatními zadavateli v rámci sítě služeb KHK</v>
      </c>
      <c r="WJ36" s="849" t="str">
        <f t="shared" si="117"/>
        <v>Bez komentáře</v>
      </c>
      <c r="WK36" s="31">
        <f t="shared" si="99"/>
        <v>0</v>
      </c>
      <c r="WL36" s="850">
        <f t="shared" si="100"/>
        <v>0</v>
      </c>
      <c r="WM36" s="849" t="str">
        <f t="shared" si="101"/>
        <v>V rámci sítě KHK se dlouhodobě řeší otázka navyšování úhrad a průběžně se monitoruje s vazbou na vykrytí vyrovnávací platby</v>
      </c>
      <c r="WN36" s="849" t="str">
        <f t="shared" si="102"/>
        <v>Otázka výběru od zdravotních pojišťoven je předmětem procesu, který probíhá ve formě jednání se ZP a organizacemi</v>
      </c>
      <c r="WO36" s="849" t="str">
        <f t="shared" si="116"/>
        <v>bez komentáře</v>
      </c>
      <c r="WP36" s="849" t="str">
        <f t="shared" si="116"/>
        <v>bez komentáře</v>
      </c>
      <c r="WQ36" s="849" t="str">
        <f t="shared" si="116"/>
        <v>Konečná výše dotace z rozpočtu KHK bude řešena v návaznosti na řešení podílů jednotlivých zadavatelů.</v>
      </c>
      <c r="WR36" s="849" t="str">
        <f t="shared" si="116"/>
        <v>Konečná výše podpory ze stran obcí bude řešena v součinnosti s jednotlivými zadavateli v průběhu roku.</v>
      </c>
      <c r="WS36" s="849" t="str">
        <f t="shared" si="116"/>
        <v>bez komentáře</v>
      </c>
      <c r="WT36" s="849" t="str">
        <f t="shared" si="116"/>
        <v>bez komentáře</v>
      </c>
      <c r="WU36" s="845"/>
    </row>
    <row r="37" spans="1:619" s="128" customFormat="1" x14ac:dyDescent="0.25">
      <c r="A37" s="128" t="str">
        <f>VLOOKUP(F37,'Výpočet VP 2020'!$D$324:$I$588,6,FALSE)</f>
        <v>Je v síti</v>
      </c>
      <c r="B37" s="128" t="s">
        <v>358</v>
      </c>
      <c r="C37" s="128">
        <v>46522182</v>
      </c>
      <c r="D37" s="128" t="s">
        <v>359</v>
      </c>
      <c r="E37" s="128" t="s">
        <v>360</v>
      </c>
      <c r="F37" s="128">
        <v>9264829</v>
      </c>
      <c r="G37" s="128" t="s">
        <v>260</v>
      </c>
      <c r="H37" s="128" t="s">
        <v>218</v>
      </c>
      <c r="I37" s="128" t="s">
        <v>358</v>
      </c>
      <c r="J37" s="129">
        <v>34135</v>
      </c>
      <c r="L37" s="128" t="s">
        <v>220</v>
      </c>
      <c r="M37" s="128" t="s">
        <v>365</v>
      </c>
      <c r="N37" s="128">
        <v>16</v>
      </c>
      <c r="P37" s="128">
        <v>16</v>
      </c>
      <c r="Q37" s="128">
        <v>16</v>
      </c>
      <c r="R37" s="128">
        <v>16</v>
      </c>
      <c r="BL37" s="128" t="s">
        <v>366</v>
      </c>
      <c r="BM37" s="128" t="s">
        <v>298</v>
      </c>
      <c r="BN37" s="128" t="s">
        <v>364</v>
      </c>
      <c r="DA37" s="128">
        <v>0</v>
      </c>
      <c r="DB37" s="128">
        <v>0</v>
      </c>
      <c r="DC37" s="128">
        <v>0</v>
      </c>
      <c r="DD37" s="128">
        <v>0</v>
      </c>
      <c r="DE37" s="128">
        <v>0</v>
      </c>
      <c r="DF37" s="128">
        <v>1</v>
      </c>
      <c r="DG37" s="128">
        <v>0</v>
      </c>
      <c r="DH37" s="128">
        <v>6</v>
      </c>
      <c r="DI37" s="128">
        <v>9</v>
      </c>
      <c r="DJ37" s="128">
        <v>0</v>
      </c>
      <c r="DK37" s="128">
        <v>1</v>
      </c>
      <c r="DL37" s="128">
        <v>0</v>
      </c>
      <c r="DM37" s="128">
        <v>6</v>
      </c>
      <c r="DN37" s="128">
        <v>9</v>
      </c>
      <c r="DO37" s="128">
        <v>0</v>
      </c>
      <c r="DP37" s="128">
        <v>0</v>
      </c>
      <c r="DQ37" s="128">
        <v>16</v>
      </c>
      <c r="DR37" s="128">
        <v>16</v>
      </c>
      <c r="DS37" s="128">
        <v>0</v>
      </c>
      <c r="DT37" s="128">
        <v>0</v>
      </c>
      <c r="DU37" s="128">
        <v>0</v>
      </c>
      <c r="DV37" s="128">
        <v>0</v>
      </c>
      <c r="DW37" s="128">
        <v>0</v>
      </c>
      <c r="DX37" s="128">
        <v>0</v>
      </c>
      <c r="DY37" s="128">
        <v>0</v>
      </c>
      <c r="DZ37" s="128">
        <v>7</v>
      </c>
      <c r="EA37" s="128">
        <v>9</v>
      </c>
      <c r="EB37" s="128">
        <v>0</v>
      </c>
      <c r="EC37" s="128">
        <v>0</v>
      </c>
      <c r="ED37" s="128">
        <v>0</v>
      </c>
      <c r="EE37" s="128">
        <v>7</v>
      </c>
      <c r="EF37" s="128">
        <v>9</v>
      </c>
      <c r="EG37" s="128">
        <v>0</v>
      </c>
      <c r="EH37" s="128">
        <v>0</v>
      </c>
      <c r="EI37" s="128">
        <v>16</v>
      </c>
      <c r="EJ37" s="128">
        <v>16</v>
      </c>
      <c r="EK37" s="128">
        <v>1</v>
      </c>
      <c r="EL37" s="128">
        <v>0.75</v>
      </c>
      <c r="EM37" s="128">
        <v>0.75</v>
      </c>
      <c r="EN37" s="128">
        <v>428000</v>
      </c>
      <c r="EO37" s="128">
        <v>341000</v>
      </c>
      <c r="EP37" s="128">
        <v>10</v>
      </c>
      <c r="EQ37" s="128">
        <v>8.1999999999999993</v>
      </c>
      <c r="ER37" s="128">
        <v>8.1999999999999993</v>
      </c>
      <c r="ES37" s="128">
        <v>4880913</v>
      </c>
      <c r="ET37" s="128">
        <v>3641000</v>
      </c>
      <c r="EU37" s="128">
        <v>5</v>
      </c>
      <c r="EV37" s="128">
        <v>3.2</v>
      </c>
      <c r="EW37" s="128">
        <v>2.2000000000000002</v>
      </c>
      <c r="EX37" s="128">
        <v>1159000</v>
      </c>
      <c r="EY37" s="128">
        <v>0</v>
      </c>
      <c r="FJ37" s="128">
        <v>1</v>
      </c>
      <c r="FK37" s="128">
        <v>0.8</v>
      </c>
      <c r="FL37" s="128">
        <v>0.8</v>
      </c>
      <c r="FM37" s="128">
        <v>514000</v>
      </c>
      <c r="FN37" s="128">
        <v>410000</v>
      </c>
      <c r="FO37" s="128">
        <v>4</v>
      </c>
      <c r="FP37" s="128">
        <v>3.4</v>
      </c>
      <c r="FQ37" s="128">
        <v>3.2</v>
      </c>
      <c r="FR37" s="128">
        <v>2465662</v>
      </c>
      <c r="FS37" s="128">
        <v>1967000</v>
      </c>
      <c r="FZ37" s="128">
        <v>2</v>
      </c>
      <c r="GA37" s="128">
        <v>0.64</v>
      </c>
      <c r="GB37" s="128">
        <v>24</v>
      </c>
      <c r="GC37" s="128">
        <v>0.64</v>
      </c>
      <c r="GD37" s="128">
        <v>290000</v>
      </c>
      <c r="GE37" s="128">
        <v>87000</v>
      </c>
      <c r="HD37" s="128">
        <v>1</v>
      </c>
      <c r="HE37" s="128">
        <v>0.32</v>
      </c>
      <c r="HF37" s="128">
        <v>12</v>
      </c>
      <c r="HG37" s="128">
        <v>0.32</v>
      </c>
      <c r="HH37" s="128">
        <v>226000</v>
      </c>
      <c r="HI37" s="128">
        <v>68000</v>
      </c>
      <c r="IH37" s="128">
        <v>1</v>
      </c>
      <c r="II37" s="128">
        <v>0.32</v>
      </c>
      <c r="IJ37" s="128">
        <v>12</v>
      </c>
      <c r="IK37" s="128">
        <v>0.32</v>
      </c>
      <c r="IL37" s="128">
        <v>70000</v>
      </c>
      <c r="IM37" s="128">
        <v>21000</v>
      </c>
      <c r="IN37" s="128">
        <v>2</v>
      </c>
      <c r="IO37" s="128">
        <v>480</v>
      </c>
      <c r="IP37" s="128">
        <v>0.22900000000000001</v>
      </c>
      <c r="IQ37" s="128">
        <v>135600</v>
      </c>
      <c r="IR37" s="128">
        <v>0</v>
      </c>
      <c r="KG37" s="128">
        <v>2</v>
      </c>
      <c r="KH37" s="128">
        <v>21</v>
      </c>
      <c r="KI37" s="128">
        <v>12.95</v>
      </c>
      <c r="KJ37" s="128">
        <v>0.96</v>
      </c>
      <c r="KK37" s="128">
        <v>0.22900000000000001</v>
      </c>
      <c r="KL37" s="128">
        <v>0</v>
      </c>
      <c r="KM37" s="128">
        <v>14.138999999999999</v>
      </c>
      <c r="KN37" s="128">
        <v>9447575</v>
      </c>
      <c r="KO37" s="128">
        <v>6359000</v>
      </c>
      <c r="KP37" s="128">
        <v>6359000</v>
      </c>
      <c r="KT37" s="128">
        <v>586000</v>
      </c>
      <c r="KU37" s="128">
        <v>176000</v>
      </c>
      <c r="KV37" s="128">
        <v>176000</v>
      </c>
      <c r="KZ37" s="128">
        <v>135600</v>
      </c>
      <c r="LA37" s="128">
        <v>0</v>
      </c>
      <c r="LB37" s="128">
        <v>0</v>
      </c>
      <c r="LF37" s="128">
        <v>136500</v>
      </c>
      <c r="LG37" s="128">
        <v>0</v>
      </c>
      <c r="LH37" s="128">
        <v>0</v>
      </c>
      <c r="LL37" s="128">
        <v>0</v>
      </c>
      <c r="LM37" s="128">
        <v>0</v>
      </c>
      <c r="LN37" s="128">
        <v>0</v>
      </c>
      <c r="LR37" s="128">
        <v>192000</v>
      </c>
      <c r="LS37" s="128">
        <v>100000</v>
      </c>
      <c r="LT37" s="128">
        <v>100000</v>
      </c>
      <c r="LX37" s="128">
        <v>290000</v>
      </c>
      <c r="LY37" s="128">
        <v>0</v>
      </c>
      <c r="LZ37" s="128">
        <v>0</v>
      </c>
      <c r="MD37" s="128">
        <v>20325</v>
      </c>
      <c r="ME37" s="128">
        <v>0</v>
      </c>
      <c r="MF37" s="128">
        <v>0</v>
      </c>
      <c r="MJ37" s="128">
        <v>37000</v>
      </c>
      <c r="MK37" s="128">
        <v>0</v>
      </c>
      <c r="ML37" s="128">
        <v>0</v>
      </c>
      <c r="MP37" s="128">
        <v>149000</v>
      </c>
      <c r="MQ37" s="128">
        <v>0</v>
      </c>
      <c r="MR37" s="128">
        <v>0</v>
      </c>
      <c r="MV37" s="128">
        <v>270224</v>
      </c>
      <c r="MW37" s="128">
        <v>270224</v>
      </c>
      <c r="MX37" s="128">
        <v>270224</v>
      </c>
      <c r="NB37" s="128">
        <v>29500</v>
      </c>
      <c r="NC37" s="128">
        <v>29500</v>
      </c>
      <c r="ND37" s="128">
        <v>29500</v>
      </c>
      <c r="NH37" s="128">
        <v>0</v>
      </c>
      <c r="NI37" s="128">
        <v>0</v>
      </c>
      <c r="NJ37" s="128">
        <v>0</v>
      </c>
      <c r="NN37" s="128">
        <v>140870</v>
      </c>
      <c r="NO37" s="128">
        <v>140870</v>
      </c>
      <c r="NP37" s="128">
        <v>140870</v>
      </c>
      <c r="NT37" s="128">
        <v>47000</v>
      </c>
      <c r="NU37" s="128">
        <v>0</v>
      </c>
      <c r="NV37" s="128">
        <v>0</v>
      </c>
      <c r="NZ37" s="128">
        <v>140000</v>
      </c>
      <c r="OA37" s="128">
        <v>140000</v>
      </c>
      <c r="OB37" s="128">
        <v>140000</v>
      </c>
      <c r="OF37" s="128">
        <v>16330</v>
      </c>
      <c r="OG37" s="128">
        <v>16330</v>
      </c>
      <c r="OH37" s="128">
        <v>16330</v>
      </c>
      <c r="OL37" s="128">
        <v>0</v>
      </c>
      <c r="OM37" s="128">
        <v>0</v>
      </c>
      <c r="ON37" s="128">
        <v>0</v>
      </c>
      <c r="OR37" s="128">
        <v>0</v>
      </c>
      <c r="OS37" s="128">
        <v>0</v>
      </c>
      <c r="OT37" s="128">
        <v>0</v>
      </c>
      <c r="OX37" s="128">
        <v>690000</v>
      </c>
      <c r="OY37" s="128">
        <v>0</v>
      </c>
      <c r="OZ37" s="128">
        <v>0</v>
      </c>
      <c r="PD37" s="128">
        <v>250000</v>
      </c>
      <c r="PE37" s="128">
        <v>0</v>
      </c>
      <c r="PF37" s="128">
        <v>0</v>
      </c>
      <c r="PJ37" s="128">
        <v>164000</v>
      </c>
      <c r="PK37" s="128">
        <v>0</v>
      </c>
      <c r="PL37" s="128">
        <v>0</v>
      </c>
      <c r="PP37" s="128">
        <v>12741924</v>
      </c>
      <c r="PQ37" s="128">
        <v>7231924</v>
      </c>
      <c r="PR37" s="128">
        <v>7231924</v>
      </c>
      <c r="PS37" s="128">
        <v>100</v>
      </c>
      <c r="PT37" s="128">
        <v>100</v>
      </c>
      <c r="PV37" s="128">
        <v>5787874</v>
      </c>
      <c r="PX37" s="128">
        <v>6305000</v>
      </c>
      <c r="PY37" s="128">
        <v>6774000</v>
      </c>
      <c r="PZ37" s="128">
        <v>7231924</v>
      </c>
      <c r="QA37" s="128">
        <v>0</v>
      </c>
      <c r="QB37" s="128">
        <v>0</v>
      </c>
      <c r="QC37" s="128">
        <v>0</v>
      </c>
      <c r="QD37" s="128">
        <v>0</v>
      </c>
      <c r="QE37" s="128">
        <v>0</v>
      </c>
      <c r="QF37" s="128">
        <v>0</v>
      </c>
      <c r="QG37" s="128">
        <v>0</v>
      </c>
      <c r="QH37" s="128">
        <v>0</v>
      </c>
      <c r="QI37" s="128">
        <v>0</v>
      </c>
      <c r="QJ37" s="128">
        <v>3610296</v>
      </c>
      <c r="QK37" s="128">
        <v>3950000</v>
      </c>
      <c r="QL37" s="128">
        <v>4000000</v>
      </c>
      <c r="QN37" s="128">
        <v>1329618</v>
      </c>
      <c r="QO37" s="128">
        <v>1262295</v>
      </c>
      <c r="QP37" s="128">
        <v>1300000</v>
      </c>
      <c r="RD37" s="128">
        <v>94505</v>
      </c>
      <c r="RE37" s="128">
        <v>210300</v>
      </c>
      <c r="RF37" s="128">
        <v>210000</v>
      </c>
      <c r="RH37" s="128">
        <f t="shared" si="104"/>
        <v>7441924</v>
      </c>
      <c r="RI37" s="128">
        <v>0</v>
      </c>
      <c r="RM37" s="128" t="s">
        <v>220</v>
      </c>
      <c r="RU37" s="130"/>
      <c r="RV37" s="130"/>
      <c r="RW37" s="130"/>
      <c r="RX37" s="130"/>
      <c r="SF37" s="128">
        <f t="shared" si="8"/>
        <v>9264829</v>
      </c>
      <c r="SG37" s="131">
        <f t="shared" si="9"/>
        <v>12741924</v>
      </c>
      <c r="SH37" s="131">
        <f t="shared" si="10"/>
        <v>12741924</v>
      </c>
      <c r="SI37" s="131">
        <f t="shared" si="11"/>
        <v>10305675</v>
      </c>
      <c r="SJ37" s="132">
        <f t="shared" si="12"/>
        <v>9447575</v>
      </c>
      <c r="SK37" s="132">
        <f t="shared" si="13"/>
        <v>586000</v>
      </c>
      <c r="SL37" s="132">
        <f t="shared" si="14"/>
        <v>135600</v>
      </c>
      <c r="SM37" s="132">
        <f t="shared" si="15"/>
        <v>136500</v>
      </c>
      <c r="SN37" s="131">
        <f t="shared" si="16"/>
        <v>2436249</v>
      </c>
      <c r="SO37" s="131">
        <f t="shared" si="17"/>
        <v>192000</v>
      </c>
      <c r="SP37" s="132">
        <f t="shared" si="18"/>
        <v>0</v>
      </c>
      <c r="SQ37" s="132">
        <f t="shared" si="19"/>
        <v>192000</v>
      </c>
      <c r="SR37" s="132">
        <f t="shared" si="20"/>
        <v>290000</v>
      </c>
      <c r="SS37" s="132">
        <f t="shared" si="21"/>
        <v>20325</v>
      </c>
      <c r="ST37" s="132">
        <f t="shared" si="22"/>
        <v>37000</v>
      </c>
      <c r="SU37" s="132">
        <f t="shared" si="23"/>
        <v>149000</v>
      </c>
      <c r="SV37" s="131">
        <f t="shared" si="24"/>
        <v>1333924</v>
      </c>
      <c r="SW37" s="132">
        <f t="shared" si="25"/>
        <v>270224</v>
      </c>
      <c r="SX37" s="132">
        <f t="shared" si="26"/>
        <v>29500</v>
      </c>
      <c r="SY37" s="132">
        <f t="shared" si="27"/>
        <v>0</v>
      </c>
      <c r="SZ37" s="132">
        <f t="shared" si="28"/>
        <v>140870</v>
      </c>
      <c r="TA37" s="132">
        <f t="shared" si="29"/>
        <v>47000</v>
      </c>
      <c r="TB37" s="132">
        <f t="shared" si="30"/>
        <v>140000</v>
      </c>
      <c r="TC37" s="132">
        <f t="shared" si="31"/>
        <v>16330</v>
      </c>
      <c r="TD37" s="132">
        <f t="shared" si="32"/>
        <v>0</v>
      </c>
      <c r="TE37" s="132">
        <f t="shared" si="33"/>
        <v>0</v>
      </c>
      <c r="TF37" s="132">
        <f t="shared" si="34"/>
        <v>690000</v>
      </c>
      <c r="TG37" s="132">
        <f t="shared" si="35"/>
        <v>250000</v>
      </c>
      <c r="TH37" s="132">
        <f t="shared" si="36"/>
        <v>164000</v>
      </c>
      <c r="TI37" s="1"/>
      <c r="TJ37" s="131">
        <f t="shared" si="37"/>
        <v>7231924</v>
      </c>
      <c r="TK37" s="131">
        <f t="shared" si="38"/>
        <v>7231924</v>
      </c>
      <c r="TL37" s="131">
        <f t="shared" si="39"/>
        <v>6535000</v>
      </c>
      <c r="TM37" s="132">
        <f t="shared" si="40"/>
        <v>6359000</v>
      </c>
      <c r="TN37" s="132">
        <f t="shared" si="41"/>
        <v>176000</v>
      </c>
      <c r="TO37" s="132">
        <f t="shared" si="42"/>
        <v>0</v>
      </c>
      <c r="TP37" s="132">
        <f t="shared" si="43"/>
        <v>0</v>
      </c>
      <c r="TQ37" s="131">
        <f t="shared" si="44"/>
        <v>696924</v>
      </c>
      <c r="TR37" s="131">
        <f t="shared" si="45"/>
        <v>100000</v>
      </c>
      <c r="TS37" s="132">
        <f t="shared" si="46"/>
        <v>0</v>
      </c>
      <c r="TT37" s="132">
        <f t="shared" si="47"/>
        <v>100000</v>
      </c>
      <c r="TU37" s="132">
        <f t="shared" si="48"/>
        <v>0</v>
      </c>
      <c r="TV37" s="132">
        <f t="shared" si="49"/>
        <v>0</v>
      </c>
      <c r="TW37" s="132">
        <f t="shared" si="50"/>
        <v>0</v>
      </c>
      <c r="TX37" s="132">
        <f t="shared" si="51"/>
        <v>0</v>
      </c>
      <c r="TY37" s="131">
        <f t="shared" si="52"/>
        <v>596924</v>
      </c>
      <c r="TZ37" s="132">
        <f t="shared" si="53"/>
        <v>270224</v>
      </c>
      <c r="UA37" s="132">
        <f t="shared" si="54"/>
        <v>29500</v>
      </c>
      <c r="UB37" s="132">
        <f t="shared" si="55"/>
        <v>0</v>
      </c>
      <c r="UC37" s="132">
        <f t="shared" si="56"/>
        <v>140870</v>
      </c>
      <c r="UD37" s="132">
        <f t="shared" si="57"/>
        <v>0</v>
      </c>
      <c r="UE37" s="132">
        <f t="shared" si="58"/>
        <v>140000</v>
      </c>
      <c r="UF37" s="132">
        <f t="shared" si="59"/>
        <v>16330</v>
      </c>
      <c r="UG37" s="132">
        <f t="shared" si="60"/>
        <v>0</v>
      </c>
      <c r="UH37" s="132">
        <f t="shared" si="61"/>
        <v>0</v>
      </c>
      <c r="UI37" s="132">
        <f t="shared" si="62"/>
        <v>0</v>
      </c>
      <c r="UJ37" s="132">
        <f t="shared" si="63"/>
        <v>0</v>
      </c>
      <c r="UK37" s="132">
        <f t="shared" si="64"/>
        <v>0</v>
      </c>
      <c r="UL37" s="132">
        <f t="shared" si="105"/>
        <v>7231924</v>
      </c>
      <c r="UM37" s="131">
        <f t="shared" si="65"/>
        <v>7231924</v>
      </c>
      <c r="UN37" s="131">
        <f t="shared" si="66"/>
        <v>7231924</v>
      </c>
      <c r="UO37" s="131">
        <f t="shared" si="67"/>
        <v>6535000</v>
      </c>
      <c r="UP37" s="132">
        <f t="shared" si="68"/>
        <v>6359000</v>
      </c>
      <c r="UQ37" s="132">
        <f t="shared" si="69"/>
        <v>176000</v>
      </c>
      <c r="UR37" s="132">
        <f t="shared" si="70"/>
        <v>0</v>
      </c>
      <c r="US37" s="132">
        <f t="shared" si="71"/>
        <v>0</v>
      </c>
      <c r="UT37" s="131">
        <f t="shared" si="72"/>
        <v>696924</v>
      </c>
      <c r="UU37" s="131">
        <f t="shared" si="73"/>
        <v>100000</v>
      </c>
      <c r="UV37" s="132">
        <f t="shared" si="74"/>
        <v>0</v>
      </c>
      <c r="UW37" s="132">
        <f t="shared" si="75"/>
        <v>100000</v>
      </c>
      <c r="UX37" s="132">
        <f t="shared" si="76"/>
        <v>0</v>
      </c>
      <c r="UY37" s="132">
        <f t="shared" si="77"/>
        <v>0</v>
      </c>
      <c r="UZ37" s="132">
        <f t="shared" si="78"/>
        <v>0</v>
      </c>
      <c r="VA37" s="132">
        <f t="shared" si="79"/>
        <v>0</v>
      </c>
      <c r="VB37" s="131">
        <f t="shared" si="80"/>
        <v>596924</v>
      </c>
      <c r="VC37" s="132">
        <f t="shared" si="81"/>
        <v>270224</v>
      </c>
      <c r="VD37" s="132">
        <f t="shared" si="82"/>
        <v>29500</v>
      </c>
      <c r="VE37" s="132">
        <f t="shared" si="83"/>
        <v>0</v>
      </c>
      <c r="VF37" s="132">
        <f t="shared" si="84"/>
        <v>140870</v>
      </c>
      <c r="VG37" s="132">
        <f t="shared" si="85"/>
        <v>0</v>
      </c>
      <c r="VH37" s="132">
        <f t="shared" si="86"/>
        <v>140000</v>
      </c>
      <c r="VI37" s="132">
        <f t="shared" si="87"/>
        <v>16330</v>
      </c>
      <c r="VJ37" s="132">
        <f t="shared" si="88"/>
        <v>0</v>
      </c>
      <c r="VK37" s="132">
        <f t="shared" si="89"/>
        <v>0</v>
      </c>
      <c r="VL37" s="132">
        <f t="shared" si="90"/>
        <v>0</v>
      </c>
      <c r="VM37" s="132">
        <f t="shared" si="91"/>
        <v>0</v>
      </c>
      <c r="VN37" s="132">
        <f t="shared" si="92"/>
        <v>0</v>
      </c>
      <c r="VP37" s="845" t="str">
        <f>IFERROR(HLOOKUP(F37,'Hodnocení '!$C$1:$JH$5,2,FALSE),0)</f>
        <v>Diakonie ČCE - středisko BETANIE - evangelický domov v Náchodě</v>
      </c>
      <c r="VQ37" s="838"/>
      <c r="VR37" s="845" t="str">
        <f t="shared" si="106"/>
        <v>Církve a náboženské společnosti</v>
      </c>
      <c r="VS37" s="845" t="str">
        <f>IFERROR(HLOOKUP(F37,'Hodnocení '!$C$1:$JH$5,5,FALSE),0)</f>
        <v>NZO</v>
      </c>
      <c r="VT37" s="838">
        <f t="shared" si="107"/>
        <v>0</v>
      </c>
      <c r="VU37" s="838">
        <f t="shared" si="108"/>
        <v>0</v>
      </c>
      <c r="VV37" s="838">
        <f t="shared" si="109"/>
        <v>4000000</v>
      </c>
      <c r="VW37" s="838">
        <f t="shared" si="110"/>
        <v>1300000</v>
      </c>
      <c r="VX37" s="838"/>
      <c r="VY37" s="838">
        <f t="shared" si="114"/>
        <v>0</v>
      </c>
      <c r="VZ37" s="838">
        <f t="shared" si="115"/>
        <v>7231924</v>
      </c>
      <c r="WA37" s="846">
        <f>IFERROR(HLOOKUP($F37,'Hodnocení '!$C$1:$JH$9,9,FALSE),0)</f>
        <v>7231924</v>
      </c>
      <c r="WB37" s="846">
        <f>IF(IFERROR(HLOOKUP($F37,'Hodnocení '!$C$1:$JH$13,13,FALSE),0)&gt;WA37,WA37,IFERROR(HLOOKUP($F37,'Hodnocení '!$C$1:$JH$13,13,FALSE),0))</f>
        <v>7231924</v>
      </c>
      <c r="WC37" s="846">
        <f>IFERROR(HLOOKUP($F37,'Hodnocení '!$C$1:$JH$155,155,FALSE),0)</f>
        <v>7231920</v>
      </c>
      <c r="WD37" s="845"/>
      <c r="WE37" s="845"/>
      <c r="WF37" s="845" t="str">
        <f t="shared" si="97"/>
        <v>ANO</v>
      </c>
      <c r="WG37" s="849" t="str">
        <f t="shared" si="117"/>
        <v>Podpora služby je vyjádřena zařazením do sítě sociálních služeb v KHK a řešením financování služby</v>
      </c>
      <c r="WH37"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37" s="849" t="str">
        <f t="shared" si="117"/>
        <v>Návrh dotace je výsledkem projednání s ostatními zadavateli v rámci sítě služeb KHK</v>
      </c>
      <c r="WJ37" s="849" t="str">
        <f t="shared" si="117"/>
        <v>Bez komentáře</v>
      </c>
      <c r="WK37" s="31">
        <f t="shared" si="99"/>
        <v>0</v>
      </c>
      <c r="WL37" s="850">
        <f t="shared" si="100"/>
        <v>0</v>
      </c>
      <c r="WM37" s="849" t="str">
        <f t="shared" si="101"/>
        <v>V rámci sítě KHK se dlouhodobě řeší otázka navyšování úhrad a průběžně se monitoruje s vazbou na vykrytí vyrovnávací platby</v>
      </c>
      <c r="WN37" s="849" t="str">
        <f t="shared" si="102"/>
        <v>Otázka výběru od zdravotních pojišťoven je předmětem procesu, který probíhá ve formě jednání se ZP a organizacemi</v>
      </c>
      <c r="WO37" s="849" t="str">
        <f t="shared" si="116"/>
        <v>bez komentáře</v>
      </c>
      <c r="WP37" s="849" t="str">
        <f t="shared" si="116"/>
        <v>bez komentáře</v>
      </c>
      <c r="WQ37" s="849" t="str">
        <f t="shared" si="116"/>
        <v>Konečná výše dotace z rozpočtu KHK bude řešena v návaznosti na řešení podílů jednotlivých zadavatelů.</v>
      </c>
      <c r="WR37" s="849" t="str">
        <f t="shared" si="116"/>
        <v>Konečná výše podpory ze stran obcí bude řešena v součinnosti s jednotlivými zadavateli v průběhu roku.</v>
      </c>
      <c r="WS37" s="849" t="str">
        <f t="shared" si="116"/>
        <v>bez komentáře</v>
      </c>
      <c r="WT37" s="849" t="str">
        <f t="shared" si="116"/>
        <v>bez komentáře</v>
      </c>
      <c r="WU37" s="845"/>
    </row>
    <row r="38" spans="1:619" s="128" customFormat="1" x14ac:dyDescent="0.25">
      <c r="A38" s="128" t="e">
        <f>VLOOKUP(F38,'Výpočet VP 2020'!$D$324:$I$588,6,FALSE)</f>
        <v>#N/A</v>
      </c>
      <c r="B38" s="128" t="s">
        <v>367</v>
      </c>
      <c r="C38" s="128">
        <v>46503561</v>
      </c>
      <c r="D38" s="128" t="s">
        <v>368</v>
      </c>
      <c r="E38" s="128" t="s">
        <v>360</v>
      </c>
      <c r="F38" s="128">
        <v>8665490</v>
      </c>
      <c r="G38" s="128" t="s">
        <v>328</v>
      </c>
      <c r="H38" s="128" t="s">
        <v>218</v>
      </c>
      <c r="I38" s="128" t="s">
        <v>369</v>
      </c>
      <c r="J38" s="129">
        <v>43922</v>
      </c>
      <c r="L38" s="128" t="s">
        <v>220</v>
      </c>
      <c r="AP38" s="128" t="s">
        <v>266</v>
      </c>
      <c r="AQ38" s="128">
        <v>1</v>
      </c>
      <c r="AR38" s="128">
        <v>1</v>
      </c>
      <c r="AS38" s="128">
        <v>0</v>
      </c>
      <c r="AT38" s="128">
        <v>0</v>
      </c>
      <c r="AU38" s="128">
        <v>50</v>
      </c>
      <c r="BJ38" s="128">
        <v>600</v>
      </c>
      <c r="BL38" s="128" t="s">
        <v>370</v>
      </c>
      <c r="BM38" s="128" t="s">
        <v>325</v>
      </c>
      <c r="BN38" s="128" t="s">
        <v>371</v>
      </c>
      <c r="BO38" s="128">
        <v>0</v>
      </c>
      <c r="BP38" s="128">
        <v>0</v>
      </c>
      <c r="BQ38" s="128">
        <v>0</v>
      </c>
      <c r="BR38" s="128">
        <v>0</v>
      </c>
      <c r="BS38" s="128">
        <v>0</v>
      </c>
      <c r="BT38" s="128">
        <v>0</v>
      </c>
      <c r="BU38" s="128">
        <v>0</v>
      </c>
      <c r="BV38" s="128">
        <v>0</v>
      </c>
      <c r="BW38" s="128">
        <v>0</v>
      </c>
      <c r="BX38" s="128">
        <v>0</v>
      </c>
      <c r="BY38" s="128">
        <v>0</v>
      </c>
      <c r="BZ38" s="128">
        <v>0</v>
      </c>
      <c r="CA38" s="128">
        <v>0</v>
      </c>
      <c r="CB38" s="128">
        <v>0</v>
      </c>
      <c r="CC38" s="128">
        <v>0</v>
      </c>
      <c r="CD38" s="128">
        <v>0</v>
      </c>
      <c r="CE38" s="128">
        <v>0</v>
      </c>
      <c r="CF38" s="128">
        <v>0</v>
      </c>
      <c r="CG38" s="128">
        <v>0</v>
      </c>
      <c r="CH38" s="128">
        <v>3</v>
      </c>
      <c r="CI38" s="128">
        <v>3</v>
      </c>
      <c r="CJ38" s="128">
        <v>2</v>
      </c>
      <c r="CK38" s="128">
        <v>0</v>
      </c>
      <c r="CL38" s="128">
        <v>0</v>
      </c>
      <c r="CM38" s="128">
        <v>26</v>
      </c>
      <c r="CN38" s="128">
        <v>11</v>
      </c>
      <c r="CO38" s="128">
        <v>4</v>
      </c>
      <c r="CP38" s="128">
        <v>1</v>
      </c>
      <c r="CQ38" s="128">
        <v>0</v>
      </c>
      <c r="CR38" s="128">
        <v>29</v>
      </c>
      <c r="CS38" s="128">
        <v>14</v>
      </c>
      <c r="CT38" s="128">
        <v>6</v>
      </c>
      <c r="CU38" s="128">
        <v>1</v>
      </c>
      <c r="CV38" s="128">
        <v>0</v>
      </c>
      <c r="CW38" s="128">
        <v>8</v>
      </c>
      <c r="CX38" s="128">
        <v>42</v>
      </c>
      <c r="CY38" s="128">
        <v>50</v>
      </c>
      <c r="CZ38" s="128">
        <v>2</v>
      </c>
      <c r="EK38" s="128">
        <v>1</v>
      </c>
      <c r="EL38" s="128">
        <v>0.3</v>
      </c>
      <c r="EM38" s="128">
        <v>0</v>
      </c>
      <c r="EN38" s="128">
        <v>109746</v>
      </c>
      <c r="EO38" s="128">
        <v>109746</v>
      </c>
      <c r="EP38" s="128">
        <v>2</v>
      </c>
      <c r="EQ38" s="128">
        <v>1.5</v>
      </c>
      <c r="ER38" s="128">
        <v>0</v>
      </c>
      <c r="ES38" s="128">
        <v>485415</v>
      </c>
      <c r="ET38" s="128">
        <v>485415</v>
      </c>
      <c r="KG38" s="128">
        <v>0</v>
      </c>
      <c r="KI38" s="128">
        <v>1.8</v>
      </c>
      <c r="KJ38" s="128">
        <v>0</v>
      </c>
      <c r="KK38" s="128">
        <v>0</v>
      </c>
      <c r="KL38" s="128">
        <v>0</v>
      </c>
      <c r="KM38" s="128">
        <v>1.8</v>
      </c>
      <c r="KN38" s="128">
        <v>595161</v>
      </c>
      <c r="KO38" s="128">
        <v>595161</v>
      </c>
      <c r="KP38" s="128">
        <v>595161</v>
      </c>
      <c r="KT38" s="128">
        <v>0</v>
      </c>
      <c r="KU38" s="128">
        <v>0</v>
      </c>
      <c r="KV38" s="128">
        <v>0</v>
      </c>
      <c r="KZ38" s="128">
        <v>0</v>
      </c>
      <c r="LA38" s="128">
        <v>0</v>
      </c>
      <c r="LB38" s="128">
        <v>0</v>
      </c>
      <c r="LF38" s="128">
        <v>0</v>
      </c>
      <c r="LG38" s="128">
        <v>0</v>
      </c>
      <c r="LH38" s="128">
        <v>0</v>
      </c>
      <c r="LL38" s="128">
        <v>0</v>
      </c>
      <c r="LM38" s="128">
        <v>0</v>
      </c>
      <c r="LN38" s="128">
        <v>0</v>
      </c>
      <c r="LR38" s="128">
        <v>10000</v>
      </c>
      <c r="LS38" s="128">
        <v>0</v>
      </c>
      <c r="LT38" s="128">
        <v>0</v>
      </c>
      <c r="LX38" s="128">
        <v>0</v>
      </c>
      <c r="LY38" s="128">
        <v>0</v>
      </c>
      <c r="LZ38" s="128">
        <v>0</v>
      </c>
      <c r="MD38" s="128">
        <v>6000</v>
      </c>
      <c r="ME38" s="128">
        <v>6000</v>
      </c>
      <c r="MF38" s="128">
        <v>6000</v>
      </c>
      <c r="MJ38" s="128">
        <v>35000</v>
      </c>
      <c r="MK38" s="128">
        <v>0</v>
      </c>
      <c r="ML38" s="128">
        <v>0</v>
      </c>
      <c r="MP38" s="128">
        <v>12000</v>
      </c>
      <c r="MQ38" s="128">
        <v>12000</v>
      </c>
      <c r="MR38" s="128">
        <v>12000</v>
      </c>
      <c r="MV38" s="128">
        <v>6000</v>
      </c>
      <c r="MW38" s="128">
        <v>0</v>
      </c>
      <c r="MX38" s="128">
        <v>0</v>
      </c>
      <c r="NB38" s="128">
        <v>7700</v>
      </c>
      <c r="NC38" s="128">
        <v>0</v>
      </c>
      <c r="ND38" s="128">
        <v>0</v>
      </c>
      <c r="NH38" s="128">
        <v>0</v>
      </c>
      <c r="NI38" s="128">
        <v>0</v>
      </c>
      <c r="NJ38" s="128">
        <v>0</v>
      </c>
      <c r="NN38" s="128">
        <v>36800</v>
      </c>
      <c r="NO38" s="128">
        <v>20000</v>
      </c>
      <c r="NP38" s="128">
        <v>20000</v>
      </c>
      <c r="NT38" s="128">
        <v>34000</v>
      </c>
      <c r="NU38" s="128">
        <v>12000</v>
      </c>
      <c r="NV38" s="128">
        <v>12000</v>
      </c>
      <c r="NZ38" s="128">
        <v>7000</v>
      </c>
      <c r="OA38" s="128">
        <v>7000</v>
      </c>
      <c r="OB38" s="128">
        <v>7000</v>
      </c>
      <c r="OF38" s="128">
        <v>6000</v>
      </c>
      <c r="OG38" s="128">
        <v>0</v>
      </c>
      <c r="OH38" s="128">
        <v>0</v>
      </c>
      <c r="OL38" s="128">
        <v>0</v>
      </c>
      <c r="OM38" s="128">
        <v>0</v>
      </c>
      <c r="ON38" s="128">
        <v>0</v>
      </c>
      <c r="OR38" s="128">
        <v>0</v>
      </c>
      <c r="OS38" s="128">
        <v>0</v>
      </c>
      <c r="OT38" s="128">
        <v>0</v>
      </c>
      <c r="OX38" s="128">
        <v>20000</v>
      </c>
      <c r="OY38" s="128">
        <v>0</v>
      </c>
      <c r="OZ38" s="128">
        <v>0</v>
      </c>
      <c r="PD38" s="128">
        <v>0</v>
      </c>
      <c r="PE38" s="128">
        <v>0</v>
      </c>
      <c r="PF38" s="128">
        <v>0</v>
      </c>
      <c r="PJ38" s="128">
        <v>20500</v>
      </c>
      <c r="PK38" s="128">
        <v>0</v>
      </c>
      <c r="PL38" s="128">
        <v>0</v>
      </c>
      <c r="PP38" s="128">
        <v>796161</v>
      </c>
      <c r="PQ38" s="128">
        <v>652161</v>
      </c>
      <c r="PR38" s="128">
        <v>652161</v>
      </c>
      <c r="PS38" s="128">
        <v>100</v>
      </c>
      <c r="PT38" s="128">
        <v>100</v>
      </c>
      <c r="PV38" s="128">
        <v>510738</v>
      </c>
      <c r="PZ38" s="128">
        <v>652161</v>
      </c>
      <c r="QC38" s="128">
        <v>0</v>
      </c>
      <c r="QF38" s="128">
        <v>0</v>
      </c>
      <c r="QI38" s="128">
        <v>0</v>
      </c>
      <c r="QL38" s="128">
        <v>72000</v>
      </c>
      <c r="QP38" s="128">
        <v>0</v>
      </c>
      <c r="QZ38" s="128">
        <v>72000</v>
      </c>
      <c r="RH38" s="128">
        <f t="shared" si="104"/>
        <v>724161</v>
      </c>
      <c r="RI38" s="128">
        <v>0</v>
      </c>
      <c r="RM38" s="128" t="s">
        <v>220</v>
      </c>
      <c r="RU38" s="130"/>
      <c r="RV38" s="130"/>
      <c r="RW38" s="130"/>
      <c r="RX38" s="130"/>
      <c r="SF38" s="128">
        <f t="shared" si="8"/>
        <v>8665490</v>
      </c>
      <c r="SG38" s="131">
        <f t="shared" si="9"/>
        <v>796161</v>
      </c>
      <c r="SH38" s="131">
        <f t="shared" si="10"/>
        <v>796161</v>
      </c>
      <c r="SI38" s="131">
        <f t="shared" si="11"/>
        <v>595161</v>
      </c>
      <c r="SJ38" s="132">
        <f t="shared" si="12"/>
        <v>595161</v>
      </c>
      <c r="SK38" s="132">
        <f t="shared" si="13"/>
        <v>0</v>
      </c>
      <c r="SL38" s="132">
        <f t="shared" si="14"/>
        <v>0</v>
      </c>
      <c r="SM38" s="132">
        <f t="shared" si="15"/>
        <v>0</v>
      </c>
      <c r="SN38" s="131">
        <f t="shared" si="16"/>
        <v>201000</v>
      </c>
      <c r="SO38" s="131">
        <f t="shared" si="17"/>
        <v>10000</v>
      </c>
      <c r="SP38" s="132">
        <f t="shared" si="18"/>
        <v>0</v>
      </c>
      <c r="SQ38" s="132">
        <f t="shared" si="19"/>
        <v>10000</v>
      </c>
      <c r="SR38" s="132">
        <f t="shared" si="20"/>
        <v>0</v>
      </c>
      <c r="SS38" s="132">
        <f t="shared" si="21"/>
        <v>6000</v>
      </c>
      <c r="ST38" s="132">
        <f t="shared" si="22"/>
        <v>35000</v>
      </c>
      <c r="SU38" s="132">
        <f t="shared" si="23"/>
        <v>12000</v>
      </c>
      <c r="SV38" s="131">
        <f t="shared" si="24"/>
        <v>117500</v>
      </c>
      <c r="SW38" s="132">
        <f t="shared" si="25"/>
        <v>6000</v>
      </c>
      <c r="SX38" s="132">
        <f t="shared" si="26"/>
        <v>7700</v>
      </c>
      <c r="SY38" s="132">
        <f t="shared" si="27"/>
        <v>0</v>
      </c>
      <c r="SZ38" s="132">
        <f t="shared" si="28"/>
        <v>36800</v>
      </c>
      <c r="TA38" s="132">
        <f t="shared" si="29"/>
        <v>34000</v>
      </c>
      <c r="TB38" s="132">
        <f t="shared" si="30"/>
        <v>7000</v>
      </c>
      <c r="TC38" s="132">
        <f t="shared" si="31"/>
        <v>6000</v>
      </c>
      <c r="TD38" s="132">
        <f t="shared" si="32"/>
        <v>0</v>
      </c>
      <c r="TE38" s="132">
        <f t="shared" si="33"/>
        <v>0</v>
      </c>
      <c r="TF38" s="132">
        <f t="shared" si="34"/>
        <v>20000</v>
      </c>
      <c r="TG38" s="132">
        <f t="shared" si="35"/>
        <v>0</v>
      </c>
      <c r="TH38" s="132">
        <f t="shared" si="36"/>
        <v>20500</v>
      </c>
      <c r="TI38" s="1"/>
      <c r="TJ38" s="131">
        <f t="shared" si="37"/>
        <v>652161</v>
      </c>
      <c r="TK38" s="131">
        <f t="shared" si="38"/>
        <v>652161</v>
      </c>
      <c r="TL38" s="131">
        <f t="shared" si="39"/>
        <v>595161</v>
      </c>
      <c r="TM38" s="132">
        <f t="shared" si="40"/>
        <v>595161</v>
      </c>
      <c r="TN38" s="132">
        <f t="shared" si="41"/>
        <v>0</v>
      </c>
      <c r="TO38" s="132">
        <f t="shared" si="42"/>
        <v>0</v>
      </c>
      <c r="TP38" s="132">
        <f t="shared" si="43"/>
        <v>0</v>
      </c>
      <c r="TQ38" s="131">
        <f t="shared" si="44"/>
        <v>57000</v>
      </c>
      <c r="TR38" s="131">
        <f t="shared" si="45"/>
        <v>0</v>
      </c>
      <c r="TS38" s="132">
        <f t="shared" si="46"/>
        <v>0</v>
      </c>
      <c r="TT38" s="132">
        <f t="shared" si="47"/>
        <v>0</v>
      </c>
      <c r="TU38" s="132">
        <f t="shared" si="48"/>
        <v>0</v>
      </c>
      <c r="TV38" s="132">
        <f t="shared" si="49"/>
        <v>6000</v>
      </c>
      <c r="TW38" s="132">
        <f t="shared" si="50"/>
        <v>0</v>
      </c>
      <c r="TX38" s="132">
        <f t="shared" si="51"/>
        <v>12000</v>
      </c>
      <c r="TY38" s="131">
        <f t="shared" si="52"/>
        <v>39000</v>
      </c>
      <c r="TZ38" s="132">
        <f t="shared" si="53"/>
        <v>0</v>
      </c>
      <c r="UA38" s="132">
        <f t="shared" si="54"/>
        <v>0</v>
      </c>
      <c r="UB38" s="132">
        <f t="shared" si="55"/>
        <v>0</v>
      </c>
      <c r="UC38" s="132">
        <f t="shared" si="56"/>
        <v>20000</v>
      </c>
      <c r="UD38" s="132">
        <f t="shared" si="57"/>
        <v>12000</v>
      </c>
      <c r="UE38" s="132">
        <f t="shared" si="58"/>
        <v>7000</v>
      </c>
      <c r="UF38" s="132">
        <f t="shared" si="59"/>
        <v>0</v>
      </c>
      <c r="UG38" s="132">
        <f t="shared" si="60"/>
        <v>0</v>
      </c>
      <c r="UH38" s="132">
        <f t="shared" si="61"/>
        <v>0</v>
      </c>
      <c r="UI38" s="132">
        <f t="shared" si="62"/>
        <v>0</v>
      </c>
      <c r="UJ38" s="132">
        <f t="shared" si="63"/>
        <v>0</v>
      </c>
      <c r="UK38" s="132">
        <f t="shared" si="64"/>
        <v>0</v>
      </c>
      <c r="UL38" s="132">
        <f t="shared" si="105"/>
        <v>652161</v>
      </c>
      <c r="UM38" s="131">
        <f t="shared" si="65"/>
        <v>652161</v>
      </c>
      <c r="UN38" s="131">
        <f t="shared" si="66"/>
        <v>652161</v>
      </c>
      <c r="UO38" s="131">
        <f t="shared" si="67"/>
        <v>595161</v>
      </c>
      <c r="UP38" s="132">
        <f t="shared" si="68"/>
        <v>595161</v>
      </c>
      <c r="UQ38" s="132">
        <f t="shared" si="69"/>
        <v>0</v>
      </c>
      <c r="UR38" s="132">
        <f t="shared" si="70"/>
        <v>0</v>
      </c>
      <c r="US38" s="132">
        <f t="shared" si="71"/>
        <v>0</v>
      </c>
      <c r="UT38" s="131">
        <f t="shared" si="72"/>
        <v>57000</v>
      </c>
      <c r="UU38" s="131">
        <f t="shared" si="73"/>
        <v>0</v>
      </c>
      <c r="UV38" s="132">
        <f t="shared" si="74"/>
        <v>0</v>
      </c>
      <c r="UW38" s="132">
        <f t="shared" si="75"/>
        <v>0</v>
      </c>
      <c r="UX38" s="132">
        <f t="shared" si="76"/>
        <v>0</v>
      </c>
      <c r="UY38" s="132">
        <f t="shared" si="77"/>
        <v>6000</v>
      </c>
      <c r="UZ38" s="132">
        <f t="shared" si="78"/>
        <v>0</v>
      </c>
      <c r="VA38" s="132">
        <f t="shared" si="79"/>
        <v>12000</v>
      </c>
      <c r="VB38" s="131">
        <f t="shared" si="80"/>
        <v>39000</v>
      </c>
      <c r="VC38" s="132">
        <f t="shared" si="81"/>
        <v>0</v>
      </c>
      <c r="VD38" s="132">
        <f t="shared" si="82"/>
        <v>0</v>
      </c>
      <c r="VE38" s="132">
        <f t="shared" si="83"/>
        <v>0</v>
      </c>
      <c r="VF38" s="132">
        <f t="shared" si="84"/>
        <v>20000</v>
      </c>
      <c r="VG38" s="132">
        <f t="shared" si="85"/>
        <v>12000</v>
      </c>
      <c r="VH38" s="132">
        <f t="shared" si="86"/>
        <v>7000</v>
      </c>
      <c r="VI38" s="132">
        <f t="shared" si="87"/>
        <v>0</v>
      </c>
      <c r="VJ38" s="132">
        <f t="shared" si="88"/>
        <v>0</v>
      </c>
      <c r="VK38" s="132">
        <f t="shared" si="89"/>
        <v>0</v>
      </c>
      <c r="VL38" s="132">
        <f t="shared" si="90"/>
        <v>0</v>
      </c>
      <c r="VM38" s="132">
        <f t="shared" si="91"/>
        <v>0</v>
      </c>
      <c r="VN38" s="132">
        <f t="shared" si="92"/>
        <v>0</v>
      </c>
      <c r="VP38" s="845">
        <f>IFERROR(HLOOKUP(F38,'Hodnocení '!$C$1:$JH$5,2,FALSE),0)</f>
        <v>0</v>
      </c>
      <c r="VQ38" s="838"/>
      <c r="VR38" s="845" t="str">
        <f t="shared" si="106"/>
        <v>Církve a náboženské společnosti</v>
      </c>
      <c r="VS38" s="845">
        <f>IFERROR(HLOOKUP(F38,'Hodnocení '!$C$1:$JH$5,5,FALSE),0)</f>
        <v>0</v>
      </c>
      <c r="VT38" s="838">
        <f t="shared" si="107"/>
        <v>0</v>
      </c>
      <c r="VU38" s="838">
        <f t="shared" si="108"/>
        <v>0</v>
      </c>
      <c r="VV38" s="838">
        <f t="shared" si="109"/>
        <v>72000</v>
      </c>
      <c r="VW38" s="838">
        <f t="shared" si="110"/>
        <v>0</v>
      </c>
      <c r="VX38" s="838"/>
      <c r="VY38" s="838">
        <f t="shared" si="114"/>
        <v>652161</v>
      </c>
      <c r="VZ38" s="838">
        <f t="shared" si="115"/>
        <v>652161</v>
      </c>
      <c r="WA38" s="846">
        <f>IFERROR(HLOOKUP($F38,'Hodnocení '!$C$1:$JH$9,9,FALSE),0)</f>
        <v>0</v>
      </c>
      <c r="WB38" s="846">
        <f>IF(IFERROR(HLOOKUP($F38,'Hodnocení '!$C$1:$JH$13,13,FALSE),0)&gt;WA38,WA38,IFERROR(HLOOKUP($F38,'Hodnocení '!$C$1:$JH$13,13,FALSE),0))</f>
        <v>0</v>
      </c>
      <c r="WC38" s="846">
        <f>IFERROR(HLOOKUP($F38,'Hodnocení '!$C$1:$JH$155,155,FALSE),0)</f>
        <v>0</v>
      </c>
      <c r="WD38" s="845"/>
      <c r="WE38" s="845"/>
      <c r="WF38" s="845" t="str">
        <f t="shared" si="97"/>
        <v>NE</v>
      </c>
      <c r="WG38" s="849" t="str">
        <f t="shared" si="117"/>
        <v>Služba není zařazeno do sítě sociálních služeb</v>
      </c>
      <c r="WH38" s="849">
        <f t="shared" si="117"/>
        <v>0</v>
      </c>
      <c r="WI38" s="849" t="str">
        <f t="shared" si="117"/>
        <v>Služba není zařazena do sítě sociálních služeb v KHK</v>
      </c>
      <c r="WJ38" s="849">
        <f t="shared" si="117"/>
        <v>0</v>
      </c>
      <c r="WK38" s="31">
        <f t="shared" si="99"/>
        <v>0</v>
      </c>
      <c r="WL38" s="850">
        <f t="shared" si="100"/>
        <v>0</v>
      </c>
      <c r="WM38" s="849" t="str">
        <f t="shared" si="101"/>
        <v>nehodnoceno</v>
      </c>
      <c r="WN38" s="849" t="str">
        <f t="shared" si="102"/>
        <v>nehodnoceno</v>
      </c>
      <c r="WO38" s="849" t="str">
        <f t="shared" si="116"/>
        <v>nehodnoceno</v>
      </c>
      <c r="WP38" s="849" t="str">
        <f t="shared" si="116"/>
        <v>nehodnoceno</v>
      </c>
      <c r="WQ38" s="849" t="str">
        <f t="shared" si="116"/>
        <v>nehodnoceno</v>
      </c>
      <c r="WR38" s="849" t="str">
        <f t="shared" si="116"/>
        <v>nehodnoceno</v>
      </c>
      <c r="WS38" s="849" t="str">
        <f t="shared" si="116"/>
        <v>nehodnoceno</v>
      </c>
      <c r="WT38" s="849" t="str">
        <f t="shared" si="116"/>
        <v>nehodnoceno</v>
      </c>
      <c r="WU38" s="845"/>
    </row>
    <row r="39" spans="1:619" s="128" customFormat="1" x14ac:dyDescent="0.25">
      <c r="A39" s="128" t="str">
        <f>VLOOKUP(F39,'Výpočet VP 2020'!$D$324:$I$588,6,FALSE)</f>
        <v>Je v síti</v>
      </c>
      <c r="B39" s="128" t="s">
        <v>367</v>
      </c>
      <c r="C39" s="128">
        <v>46503561</v>
      </c>
      <c r="D39" s="128" t="s">
        <v>368</v>
      </c>
      <c r="E39" s="128" t="s">
        <v>360</v>
      </c>
      <c r="F39" s="128">
        <v>8946698</v>
      </c>
      <c r="G39" s="128" t="s">
        <v>342</v>
      </c>
      <c r="H39" s="128" t="s">
        <v>230</v>
      </c>
      <c r="I39" s="128" t="s">
        <v>372</v>
      </c>
      <c r="J39" s="129">
        <v>41275</v>
      </c>
      <c r="L39" s="128" t="s">
        <v>220</v>
      </c>
      <c r="X39" s="128" t="s">
        <v>373</v>
      </c>
      <c r="Z39" s="128">
        <v>90</v>
      </c>
      <c r="AA39" s="128">
        <v>90</v>
      </c>
      <c r="AB39" s="128">
        <v>227</v>
      </c>
      <c r="AC39" s="128">
        <v>260</v>
      </c>
      <c r="AD39" s="128">
        <v>200</v>
      </c>
      <c r="AP39" s="128" t="s">
        <v>232</v>
      </c>
      <c r="AQ39" s="128">
        <v>10</v>
      </c>
      <c r="AR39" s="128">
        <v>10</v>
      </c>
      <c r="AS39" s="128">
        <v>98</v>
      </c>
      <c r="AT39" s="128">
        <v>200</v>
      </c>
      <c r="AU39" s="128">
        <v>280</v>
      </c>
      <c r="BL39" s="128" t="s">
        <v>278</v>
      </c>
      <c r="BM39" s="128" t="s">
        <v>279</v>
      </c>
      <c r="BN39" s="128" t="s">
        <v>374</v>
      </c>
      <c r="EK39" s="128">
        <v>3</v>
      </c>
      <c r="EL39" s="128">
        <v>3</v>
      </c>
      <c r="EM39" s="128">
        <v>3</v>
      </c>
      <c r="EN39" s="128">
        <v>1462798</v>
      </c>
      <c r="EO39" s="128">
        <v>1462798</v>
      </c>
      <c r="EP39" s="128">
        <v>3</v>
      </c>
      <c r="EQ39" s="128">
        <v>3</v>
      </c>
      <c r="ER39" s="128">
        <v>3</v>
      </c>
      <c r="ES39" s="128">
        <v>1254208</v>
      </c>
      <c r="ET39" s="128">
        <v>1254208</v>
      </c>
      <c r="FO39" s="128">
        <v>2</v>
      </c>
      <c r="FP39" s="128">
        <v>1.5</v>
      </c>
      <c r="FQ39" s="128">
        <v>1</v>
      </c>
      <c r="FR39" s="128">
        <v>835431</v>
      </c>
      <c r="FS39" s="128">
        <v>755431</v>
      </c>
      <c r="IN39" s="128">
        <v>1</v>
      </c>
      <c r="IO39" s="128">
        <v>216</v>
      </c>
      <c r="IP39" s="128">
        <v>0.10299999999999999</v>
      </c>
      <c r="IQ39" s="128">
        <v>17280</v>
      </c>
      <c r="IR39" s="128">
        <v>17280</v>
      </c>
      <c r="IS39" s="128">
        <v>4</v>
      </c>
      <c r="IT39" s="128">
        <v>780</v>
      </c>
      <c r="IU39" s="128">
        <v>0.372</v>
      </c>
      <c r="IV39" s="128">
        <v>114000</v>
      </c>
      <c r="IW39" s="128">
        <v>114000</v>
      </c>
      <c r="KG39" s="128">
        <v>0</v>
      </c>
      <c r="KI39" s="128">
        <v>6</v>
      </c>
      <c r="KJ39" s="128">
        <v>0</v>
      </c>
      <c r="KK39" s="128">
        <v>0.10299999999999999</v>
      </c>
      <c r="KL39" s="128">
        <v>0</v>
      </c>
      <c r="KM39" s="128">
        <v>6.1029999999999998</v>
      </c>
      <c r="KN39" s="128">
        <v>3552437</v>
      </c>
      <c r="KO39" s="128">
        <v>3472437</v>
      </c>
      <c r="KP39" s="128">
        <v>3472437</v>
      </c>
      <c r="KT39" s="128">
        <v>0</v>
      </c>
      <c r="KU39" s="128">
        <v>0</v>
      </c>
      <c r="KV39" s="128">
        <v>0</v>
      </c>
      <c r="KZ39" s="128">
        <v>131280</v>
      </c>
      <c r="LA39" s="128">
        <v>131280</v>
      </c>
      <c r="LB39" s="128">
        <v>131280</v>
      </c>
      <c r="LF39" s="128">
        <v>50000</v>
      </c>
      <c r="LG39" s="128">
        <v>0</v>
      </c>
      <c r="LH39" s="128">
        <v>0</v>
      </c>
      <c r="LL39" s="128">
        <v>30000</v>
      </c>
      <c r="LM39" s="128">
        <v>30000</v>
      </c>
      <c r="LN39" s="128">
        <v>30000</v>
      </c>
      <c r="LR39" s="128">
        <v>20000</v>
      </c>
      <c r="LS39" s="128">
        <v>20000</v>
      </c>
      <c r="LT39" s="128">
        <v>20000</v>
      </c>
      <c r="LX39" s="128">
        <v>8000</v>
      </c>
      <c r="LY39" s="128">
        <v>8000</v>
      </c>
      <c r="LZ39" s="128">
        <v>8000</v>
      </c>
      <c r="MD39" s="128">
        <v>39000</v>
      </c>
      <c r="ME39" s="128">
        <v>39000</v>
      </c>
      <c r="MF39" s="128">
        <v>39000</v>
      </c>
      <c r="MJ39" s="128">
        <v>0</v>
      </c>
      <c r="MK39" s="128">
        <v>0</v>
      </c>
      <c r="ML39" s="128">
        <v>0</v>
      </c>
      <c r="MP39" s="128">
        <v>101000</v>
      </c>
      <c r="MQ39" s="128">
        <v>101000</v>
      </c>
      <c r="MR39" s="128">
        <v>101000</v>
      </c>
      <c r="MV39" s="128">
        <v>204000</v>
      </c>
      <c r="MW39" s="128">
        <v>204000</v>
      </c>
      <c r="MX39" s="128">
        <v>204000</v>
      </c>
      <c r="NB39" s="128">
        <v>41000</v>
      </c>
      <c r="NC39" s="128">
        <v>41000</v>
      </c>
      <c r="ND39" s="128">
        <v>41000</v>
      </c>
      <c r="NH39" s="128">
        <v>5000</v>
      </c>
      <c r="NI39" s="128">
        <v>5000</v>
      </c>
      <c r="NJ39" s="128">
        <v>5000</v>
      </c>
      <c r="NN39" s="128">
        <v>40000</v>
      </c>
      <c r="NO39" s="128">
        <v>40000</v>
      </c>
      <c r="NP39" s="128">
        <v>40000</v>
      </c>
      <c r="NT39" s="128">
        <v>92000</v>
      </c>
      <c r="NU39" s="128">
        <v>92000</v>
      </c>
      <c r="NV39" s="128">
        <v>92000</v>
      </c>
      <c r="NZ39" s="128">
        <v>62000</v>
      </c>
      <c r="OA39" s="128">
        <v>62000</v>
      </c>
      <c r="OB39" s="128">
        <v>62000</v>
      </c>
      <c r="OF39" s="128">
        <v>67000</v>
      </c>
      <c r="OG39" s="128">
        <v>67000</v>
      </c>
      <c r="OH39" s="128">
        <v>67000</v>
      </c>
      <c r="OL39" s="128">
        <v>0</v>
      </c>
      <c r="OM39" s="128">
        <v>0</v>
      </c>
      <c r="ON39" s="128">
        <v>0</v>
      </c>
      <c r="OR39" s="128">
        <v>0</v>
      </c>
      <c r="OS39" s="128">
        <v>0</v>
      </c>
      <c r="OT39" s="128">
        <v>0</v>
      </c>
      <c r="OX39" s="128">
        <v>245166</v>
      </c>
      <c r="OY39" s="128">
        <v>245166</v>
      </c>
      <c r="OZ39" s="128">
        <v>245166</v>
      </c>
      <c r="PD39" s="128">
        <v>135000</v>
      </c>
      <c r="PE39" s="128">
        <v>0</v>
      </c>
      <c r="PF39" s="128">
        <v>0</v>
      </c>
      <c r="PJ39" s="128">
        <v>93900</v>
      </c>
      <c r="PK39" s="128">
        <v>63900</v>
      </c>
      <c r="PL39" s="128">
        <v>63900</v>
      </c>
      <c r="PP39" s="128">
        <v>4916783</v>
      </c>
      <c r="PQ39" s="128">
        <v>4621783</v>
      </c>
      <c r="PR39" s="128">
        <v>4621783</v>
      </c>
      <c r="PS39" s="128">
        <v>100</v>
      </c>
      <c r="PT39" s="128">
        <v>100</v>
      </c>
      <c r="PX39" s="128">
        <v>1518400</v>
      </c>
      <c r="PY39" s="128">
        <v>2744110</v>
      </c>
      <c r="PZ39" s="128">
        <v>4621783</v>
      </c>
      <c r="QA39" s="128">
        <v>0</v>
      </c>
      <c r="QB39" s="128">
        <v>0</v>
      </c>
      <c r="QC39" s="128">
        <v>0</v>
      </c>
      <c r="QD39" s="128">
        <v>0</v>
      </c>
      <c r="QE39" s="128">
        <v>0</v>
      </c>
      <c r="QF39" s="128">
        <v>0</v>
      </c>
      <c r="QG39" s="128">
        <v>0</v>
      </c>
      <c r="QH39" s="128">
        <v>0</v>
      </c>
      <c r="QI39" s="128">
        <v>0</v>
      </c>
      <c r="QJ39" s="128">
        <v>0</v>
      </c>
      <c r="QK39" s="128">
        <v>0</v>
      </c>
      <c r="QL39" s="128">
        <v>0</v>
      </c>
      <c r="QN39" s="128">
        <v>0</v>
      </c>
      <c r="QO39" s="128">
        <v>0</v>
      </c>
      <c r="QP39" s="128">
        <v>0</v>
      </c>
      <c r="QX39" s="128">
        <v>0</v>
      </c>
      <c r="QY39" s="128">
        <v>295000</v>
      </c>
      <c r="QZ39" s="128">
        <v>295000</v>
      </c>
      <c r="RA39" s="128">
        <v>2211420</v>
      </c>
      <c r="RB39" s="128">
        <v>1105710</v>
      </c>
      <c r="RC39" s="128">
        <v>0</v>
      </c>
      <c r="RH39" s="128">
        <f t="shared" si="104"/>
        <v>4916783</v>
      </c>
      <c r="RI39" s="128">
        <v>0</v>
      </c>
      <c r="RM39" s="128" t="s">
        <v>220</v>
      </c>
      <c r="RU39" s="130"/>
      <c r="RV39" s="130"/>
      <c r="RW39" s="130"/>
      <c r="RX39" s="130"/>
      <c r="SF39" s="128">
        <f t="shared" si="8"/>
        <v>8946698</v>
      </c>
      <c r="SG39" s="131">
        <f t="shared" si="9"/>
        <v>4916783</v>
      </c>
      <c r="SH39" s="131">
        <f t="shared" si="10"/>
        <v>4916783</v>
      </c>
      <c r="SI39" s="131">
        <f t="shared" si="11"/>
        <v>3733717</v>
      </c>
      <c r="SJ39" s="132">
        <f t="shared" si="12"/>
        <v>3552437</v>
      </c>
      <c r="SK39" s="132">
        <f t="shared" si="13"/>
        <v>0</v>
      </c>
      <c r="SL39" s="132">
        <f t="shared" si="14"/>
        <v>131280</v>
      </c>
      <c r="SM39" s="132">
        <f t="shared" si="15"/>
        <v>50000</v>
      </c>
      <c r="SN39" s="131">
        <f t="shared" si="16"/>
        <v>1183066</v>
      </c>
      <c r="SO39" s="131">
        <f t="shared" si="17"/>
        <v>50000</v>
      </c>
      <c r="SP39" s="132">
        <f t="shared" si="18"/>
        <v>30000</v>
      </c>
      <c r="SQ39" s="132">
        <f t="shared" si="19"/>
        <v>20000</v>
      </c>
      <c r="SR39" s="132">
        <f t="shared" si="20"/>
        <v>8000</v>
      </c>
      <c r="SS39" s="132">
        <f t="shared" si="21"/>
        <v>39000</v>
      </c>
      <c r="ST39" s="132">
        <f t="shared" si="22"/>
        <v>0</v>
      </c>
      <c r="SU39" s="132">
        <f t="shared" si="23"/>
        <v>101000</v>
      </c>
      <c r="SV39" s="131">
        <f t="shared" si="24"/>
        <v>756166</v>
      </c>
      <c r="SW39" s="132">
        <f t="shared" si="25"/>
        <v>204000</v>
      </c>
      <c r="SX39" s="132">
        <f t="shared" si="26"/>
        <v>41000</v>
      </c>
      <c r="SY39" s="132">
        <f t="shared" si="27"/>
        <v>5000</v>
      </c>
      <c r="SZ39" s="132">
        <f t="shared" si="28"/>
        <v>40000</v>
      </c>
      <c r="TA39" s="132">
        <f t="shared" si="29"/>
        <v>92000</v>
      </c>
      <c r="TB39" s="132">
        <f t="shared" si="30"/>
        <v>62000</v>
      </c>
      <c r="TC39" s="132">
        <f t="shared" si="31"/>
        <v>67000</v>
      </c>
      <c r="TD39" s="132">
        <f t="shared" si="32"/>
        <v>0</v>
      </c>
      <c r="TE39" s="132">
        <f t="shared" si="33"/>
        <v>0</v>
      </c>
      <c r="TF39" s="132">
        <f t="shared" si="34"/>
        <v>245166</v>
      </c>
      <c r="TG39" s="132">
        <f t="shared" si="35"/>
        <v>135000</v>
      </c>
      <c r="TH39" s="132">
        <f t="shared" si="36"/>
        <v>93900</v>
      </c>
      <c r="TI39" s="1"/>
      <c r="TJ39" s="131">
        <f t="shared" si="37"/>
        <v>4621783</v>
      </c>
      <c r="TK39" s="131">
        <f t="shared" si="38"/>
        <v>4621783</v>
      </c>
      <c r="TL39" s="131">
        <f t="shared" si="39"/>
        <v>3603717</v>
      </c>
      <c r="TM39" s="132">
        <f t="shared" si="40"/>
        <v>3472437</v>
      </c>
      <c r="TN39" s="132">
        <f t="shared" si="41"/>
        <v>0</v>
      </c>
      <c r="TO39" s="132">
        <f t="shared" si="42"/>
        <v>131280</v>
      </c>
      <c r="TP39" s="132">
        <f t="shared" si="43"/>
        <v>0</v>
      </c>
      <c r="TQ39" s="131">
        <f t="shared" si="44"/>
        <v>1018066</v>
      </c>
      <c r="TR39" s="131">
        <f t="shared" si="45"/>
        <v>50000</v>
      </c>
      <c r="TS39" s="132">
        <f t="shared" si="46"/>
        <v>30000</v>
      </c>
      <c r="TT39" s="132">
        <f t="shared" si="47"/>
        <v>20000</v>
      </c>
      <c r="TU39" s="132">
        <f t="shared" si="48"/>
        <v>8000</v>
      </c>
      <c r="TV39" s="132">
        <f t="shared" si="49"/>
        <v>39000</v>
      </c>
      <c r="TW39" s="132">
        <f t="shared" si="50"/>
        <v>0</v>
      </c>
      <c r="TX39" s="132">
        <f t="shared" si="51"/>
        <v>101000</v>
      </c>
      <c r="TY39" s="131">
        <f t="shared" si="52"/>
        <v>756166</v>
      </c>
      <c r="TZ39" s="132">
        <f t="shared" si="53"/>
        <v>204000</v>
      </c>
      <c r="UA39" s="132">
        <f t="shared" si="54"/>
        <v>41000</v>
      </c>
      <c r="UB39" s="132">
        <f t="shared" si="55"/>
        <v>5000</v>
      </c>
      <c r="UC39" s="132">
        <f t="shared" si="56"/>
        <v>40000</v>
      </c>
      <c r="UD39" s="132">
        <f t="shared" si="57"/>
        <v>92000</v>
      </c>
      <c r="UE39" s="132">
        <f t="shared" si="58"/>
        <v>62000</v>
      </c>
      <c r="UF39" s="132">
        <f t="shared" si="59"/>
        <v>67000</v>
      </c>
      <c r="UG39" s="132">
        <f t="shared" si="60"/>
        <v>0</v>
      </c>
      <c r="UH39" s="132">
        <f t="shared" si="61"/>
        <v>0</v>
      </c>
      <c r="UI39" s="132">
        <f t="shared" si="62"/>
        <v>245166</v>
      </c>
      <c r="UJ39" s="132">
        <f t="shared" si="63"/>
        <v>0</v>
      </c>
      <c r="UK39" s="132">
        <f t="shared" si="64"/>
        <v>63900</v>
      </c>
      <c r="UL39" s="132">
        <f t="shared" si="105"/>
        <v>4621783</v>
      </c>
      <c r="UM39" s="131">
        <f t="shared" si="65"/>
        <v>4621783</v>
      </c>
      <c r="UN39" s="131">
        <f t="shared" si="66"/>
        <v>4621783</v>
      </c>
      <c r="UO39" s="131">
        <f t="shared" si="67"/>
        <v>3603717</v>
      </c>
      <c r="UP39" s="132">
        <f t="shared" si="68"/>
        <v>3472437</v>
      </c>
      <c r="UQ39" s="132">
        <f t="shared" si="69"/>
        <v>0</v>
      </c>
      <c r="UR39" s="132">
        <f t="shared" si="70"/>
        <v>131280</v>
      </c>
      <c r="US39" s="132">
        <f t="shared" si="71"/>
        <v>0</v>
      </c>
      <c r="UT39" s="131">
        <f t="shared" si="72"/>
        <v>1018066</v>
      </c>
      <c r="UU39" s="131">
        <f t="shared" si="73"/>
        <v>50000</v>
      </c>
      <c r="UV39" s="132">
        <f t="shared" si="74"/>
        <v>30000</v>
      </c>
      <c r="UW39" s="132">
        <f t="shared" si="75"/>
        <v>20000</v>
      </c>
      <c r="UX39" s="132">
        <f t="shared" si="76"/>
        <v>8000</v>
      </c>
      <c r="UY39" s="132">
        <f t="shared" si="77"/>
        <v>39000</v>
      </c>
      <c r="UZ39" s="132">
        <f t="shared" si="78"/>
        <v>0</v>
      </c>
      <c r="VA39" s="132">
        <f t="shared" si="79"/>
        <v>101000</v>
      </c>
      <c r="VB39" s="131">
        <f t="shared" si="80"/>
        <v>756166</v>
      </c>
      <c r="VC39" s="132">
        <f t="shared" si="81"/>
        <v>204000</v>
      </c>
      <c r="VD39" s="132">
        <f t="shared" si="82"/>
        <v>41000</v>
      </c>
      <c r="VE39" s="132">
        <f t="shared" si="83"/>
        <v>5000</v>
      </c>
      <c r="VF39" s="132">
        <f t="shared" si="84"/>
        <v>40000</v>
      </c>
      <c r="VG39" s="132">
        <f t="shared" si="85"/>
        <v>92000</v>
      </c>
      <c r="VH39" s="132">
        <f t="shared" si="86"/>
        <v>62000</v>
      </c>
      <c r="VI39" s="132">
        <f t="shared" si="87"/>
        <v>67000</v>
      </c>
      <c r="VJ39" s="132">
        <f t="shared" si="88"/>
        <v>0</v>
      </c>
      <c r="VK39" s="132">
        <f t="shared" si="89"/>
        <v>0</v>
      </c>
      <c r="VL39" s="132">
        <f t="shared" si="90"/>
        <v>245166</v>
      </c>
      <c r="VM39" s="132">
        <f t="shared" si="91"/>
        <v>0</v>
      </c>
      <c r="VN39" s="132">
        <f t="shared" si="92"/>
        <v>63900</v>
      </c>
      <c r="VP39" s="845" t="str">
        <f>IFERROR(HLOOKUP(F39,'Hodnocení '!$C$1:$JH$5,2,FALSE),0)</f>
        <v>SAS Alternativa</v>
      </c>
      <c r="VQ39" s="838"/>
      <c r="VR39" s="845" t="str">
        <f t="shared" si="106"/>
        <v>Církve a náboženské společnosti</v>
      </c>
      <c r="VS39" s="845" t="str">
        <f>IFERROR(HLOOKUP(F39,'Hodnocení '!$C$1:$JH$5,5,FALSE),0)</f>
        <v>NZO</v>
      </c>
      <c r="VT39" s="838">
        <f t="shared" si="107"/>
        <v>0</v>
      </c>
      <c r="VU39" s="838">
        <f t="shared" si="108"/>
        <v>0</v>
      </c>
      <c r="VV39" s="838">
        <f t="shared" si="109"/>
        <v>0</v>
      </c>
      <c r="VW39" s="838">
        <f t="shared" si="110"/>
        <v>0</v>
      </c>
      <c r="VX39" s="838"/>
      <c r="VY39" s="838">
        <f t="shared" si="114"/>
        <v>0</v>
      </c>
      <c r="VZ39" s="838">
        <f t="shared" si="115"/>
        <v>4621783</v>
      </c>
      <c r="WA39" s="846">
        <f>IFERROR(HLOOKUP($F39,'Hodnocení '!$C$1:$JH$9,9,FALSE),0)</f>
        <v>4621783</v>
      </c>
      <c r="WB39" s="846">
        <f>IF(IFERROR(HLOOKUP($F39,'Hodnocení '!$C$1:$JH$13,13,FALSE),0)&gt;WA39,WA39,IFERROR(HLOOKUP($F39,'Hodnocení '!$C$1:$JH$13,13,FALSE),0))</f>
        <v>4313818.3267021552</v>
      </c>
      <c r="WC39" s="846">
        <f>IFERROR(HLOOKUP($F39,'Hodnocení '!$C$1:$JH$155,155,FALSE),0)</f>
        <v>4244710</v>
      </c>
      <c r="WD39" s="845"/>
      <c r="WE39" s="845"/>
      <c r="WF39" s="845" t="str">
        <f t="shared" si="97"/>
        <v>ANO</v>
      </c>
      <c r="WG39" s="849" t="str">
        <f t="shared" si="117"/>
        <v>Podpora služby je vyjádřena zařazením do sítě sociálních služeb v KHK a řešením financování služby</v>
      </c>
      <c r="WH39"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39" s="849" t="str">
        <f t="shared" si="117"/>
        <v>Návrh dotace je výsledkem projednání s ostatními zadavateli v rámci sítě služeb KHK</v>
      </c>
      <c r="WJ39" s="849" t="str">
        <f t="shared" si="117"/>
        <v>Bez komentáře</v>
      </c>
      <c r="WK39" s="31">
        <f t="shared" si="99"/>
        <v>0</v>
      </c>
      <c r="WL39" s="850">
        <f t="shared" si="100"/>
        <v>0</v>
      </c>
      <c r="WM39" s="849">
        <f t="shared" si="101"/>
        <v>0</v>
      </c>
      <c r="WN39" s="849">
        <f t="shared" si="102"/>
        <v>0</v>
      </c>
      <c r="WO39" s="849" t="str">
        <f t="shared" si="116"/>
        <v>bez komentáře</v>
      </c>
      <c r="WP39" s="849" t="str">
        <f t="shared" si="116"/>
        <v>bez komentáře</v>
      </c>
      <c r="WQ39" s="849" t="str">
        <f t="shared" si="116"/>
        <v>Konečná výše dotace z rozpočtu KHK bude řešena v návaznosti na řešení podílů jednotlivých zadavatelů.</v>
      </c>
      <c r="WR39" s="849" t="str">
        <f t="shared" si="116"/>
        <v>Konečná výše podpory ze stran obcí bude řešena v součinnosti s jednotlivými zadavateli v průběhu roku.</v>
      </c>
      <c r="WS39" s="849" t="str">
        <f t="shared" si="116"/>
        <v>bez komentáře</v>
      </c>
      <c r="WT39" s="849" t="str">
        <f t="shared" si="116"/>
        <v>bez komentáře</v>
      </c>
      <c r="WU39" s="845"/>
    </row>
    <row r="40" spans="1:619" s="128" customFormat="1" x14ac:dyDescent="0.25">
      <c r="A40" s="128" t="str">
        <f>VLOOKUP(F40,'Výpočet VP 2020'!$D$324:$I$588,6,FALSE)</f>
        <v>Je v síti</v>
      </c>
      <c r="B40" s="128" t="s">
        <v>375</v>
      </c>
      <c r="C40" s="128">
        <v>43464343</v>
      </c>
      <c r="D40" s="128" t="s">
        <v>376</v>
      </c>
      <c r="E40" s="128" t="s">
        <v>360</v>
      </c>
      <c r="F40" s="128">
        <v>1806042</v>
      </c>
      <c r="G40" s="128" t="s">
        <v>225</v>
      </c>
      <c r="H40" s="128" t="s">
        <v>218</v>
      </c>
      <c r="I40" s="128" t="s">
        <v>377</v>
      </c>
      <c r="J40" s="129">
        <v>41426</v>
      </c>
      <c r="L40" s="128" t="s">
        <v>220</v>
      </c>
      <c r="AP40" s="128" t="s">
        <v>320</v>
      </c>
      <c r="AQ40" s="128">
        <v>6</v>
      </c>
      <c r="AR40" s="128">
        <v>12</v>
      </c>
      <c r="AS40" s="128">
        <v>27</v>
      </c>
      <c r="AT40" s="128">
        <v>35</v>
      </c>
      <c r="AU40" s="128">
        <v>35</v>
      </c>
      <c r="BJ40" s="128">
        <v>4500</v>
      </c>
      <c r="BL40" s="128" t="s">
        <v>378</v>
      </c>
      <c r="BM40" s="128" t="s">
        <v>325</v>
      </c>
      <c r="BN40" s="128" t="s">
        <v>264</v>
      </c>
      <c r="BO40" s="128">
        <v>0</v>
      </c>
      <c r="BP40" s="128">
        <v>1</v>
      </c>
      <c r="BQ40" s="128">
        <v>0</v>
      </c>
      <c r="BR40" s="128">
        <v>0</v>
      </c>
      <c r="BS40" s="128">
        <v>0</v>
      </c>
      <c r="BT40" s="128">
        <v>4</v>
      </c>
      <c r="BU40" s="128">
        <v>4</v>
      </c>
      <c r="BV40" s="128">
        <v>16</v>
      </c>
      <c r="BW40" s="128">
        <v>3</v>
      </c>
      <c r="BX40" s="128">
        <v>6</v>
      </c>
      <c r="BY40" s="128">
        <v>4</v>
      </c>
      <c r="BZ40" s="128">
        <v>5</v>
      </c>
      <c r="CA40" s="128">
        <v>16</v>
      </c>
      <c r="CB40" s="128">
        <v>3</v>
      </c>
      <c r="CC40" s="128">
        <v>6</v>
      </c>
      <c r="CD40" s="128">
        <v>1</v>
      </c>
      <c r="CE40" s="128">
        <v>33</v>
      </c>
      <c r="CF40" s="128">
        <v>34</v>
      </c>
      <c r="CH40" s="128">
        <v>0</v>
      </c>
      <c r="CI40" s="128">
        <v>2</v>
      </c>
      <c r="CJ40" s="128">
        <v>0</v>
      </c>
      <c r="CK40" s="128">
        <v>0</v>
      </c>
      <c r="CL40" s="128">
        <v>0</v>
      </c>
      <c r="CM40" s="128">
        <v>4</v>
      </c>
      <c r="CN40" s="128">
        <v>4</v>
      </c>
      <c r="CO40" s="128">
        <v>22</v>
      </c>
      <c r="CP40" s="128">
        <v>3</v>
      </c>
      <c r="CQ40" s="128">
        <v>0</v>
      </c>
      <c r="CR40" s="128">
        <v>4</v>
      </c>
      <c r="CS40" s="128">
        <v>6</v>
      </c>
      <c r="CT40" s="128">
        <v>22</v>
      </c>
      <c r="CU40" s="128">
        <v>3</v>
      </c>
      <c r="CV40" s="128">
        <v>0</v>
      </c>
      <c r="CW40" s="128">
        <v>2</v>
      </c>
      <c r="CX40" s="128">
        <v>33</v>
      </c>
      <c r="CY40" s="128">
        <v>35</v>
      </c>
      <c r="EK40" s="128">
        <v>1</v>
      </c>
      <c r="EL40" s="128">
        <v>1</v>
      </c>
      <c r="EM40" s="128">
        <v>1</v>
      </c>
      <c r="EN40" s="128">
        <v>575000</v>
      </c>
      <c r="EO40" s="128">
        <v>535000</v>
      </c>
      <c r="EP40" s="128">
        <v>6</v>
      </c>
      <c r="EQ40" s="128">
        <v>6</v>
      </c>
      <c r="ER40" s="128">
        <v>6</v>
      </c>
      <c r="ES40" s="128">
        <v>2950000</v>
      </c>
      <c r="ET40" s="128">
        <v>2700000</v>
      </c>
      <c r="FO40" s="128">
        <v>2</v>
      </c>
      <c r="FP40" s="128">
        <v>0.7</v>
      </c>
      <c r="FQ40" s="128">
        <v>0</v>
      </c>
      <c r="FR40" s="128">
        <v>500000</v>
      </c>
      <c r="FS40" s="128">
        <v>410000</v>
      </c>
      <c r="IN40" s="128">
        <v>2</v>
      </c>
      <c r="IO40" s="128">
        <v>600</v>
      </c>
      <c r="IP40" s="128">
        <v>0.28599999999999998</v>
      </c>
      <c r="IQ40" s="128">
        <v>120000</v>
      </c>
      <c r="IR40" s="128">
        <v>100000</v>
      </c>
      <c r="IS40" s="128">
        <v>1</v>
      </c>
      <c r="IT40" s="128">
        <v>250</v>
      </c>
      <c r="IU40" s="128">
        <v>0.11899999999999999</v>
      </c>
      <c r="IV40" s="128">
        <v>50000</v>
      </c>
      <c r="IW40" s="128">
        <v>30000</v>
      </c>
      <c r="KG40" s="128">
        <v>0</v>
      </c>
      <c r="KI40" s="128">
        <v>7</v>
      </c>
      <c r="KJ40" s="128">
        <v>0</v>
      </c>
      <c r="KK40" s="128">
        <v>0.28599999999999998</v>
      </c>
      <c r="KL40" s="128">
        <v>0</v>
      </c>
      <c r="KM40" s="128">
        <v>7.2859999999999996</v>
      </c>
      <c r="KN40" s="128">
        <v>4025000</v>
      </c>
      <c r="KO40" s="128">
        <v>3645000</v>
      </c>
      <c r="KP40" s="128">
        <v>3645000</v>
      </c>
      <c r="KT40" s="128">
        <v>0</v>
      </c>
      <c r="KU40" s="128">
        <v>0</v>
      </c>
      <c r="KV40" s="128">
        <v>0</v>
      </c>
      <c r="KZ40" s="128">
        <v>170000</v>
      </c>
      <c r="LA40" s="128">
        <v>130000</v>
      </c>
      <c r="LB40" s="128">
        <v>130000</v>
      </c>
      <c r="LF40" s="128">
        <v>5000</v>
      </c>
      <c r="LG40" s="128">
        <v>3000</v>
      </c>
      <c r="LH40" s="128">
        <v>3000</v>
      </c>
      <c r="LL40" s="128">
        <v>0</v>
      </c>
      <c r="LM40" s="128">
        <v>0</v>
      </c>
      <c r="LN40" s="128">
        <v>0</v>
      </c>
      <c r="LR40" s="128">
        <v>30000</v>
      </c>
      <c r="LS40" s="128">
        <v>25000</v>
      </c>
      <c r="LT40" s="128">
        <v>25000</v>
      </c>
      <c r="LX40" s="128">
        <v>0</v>
      </c>
      <c r="LY40" s="128">
        <v>0</v>
      </c>
      <c r="LZ40" s="128">
        <v>0</v>
      </c>
      <c r="MD40" s="128">
        <v>10000</v>
      </c>
      <c r="ME40" s="128">
        <v>8000</v>
      </c>
      <c r="MF40" s="128">
        <v>8000</v>
      </c>
      <c r="MJ40" s="128">
        <v>75000</v>
      </c>
      <c r="MK40" s="128">
        <v>60000</v>
      </c>
      <c r="ML40" s="128">
        <v>60000</v>
      </c>
      <c r="MP40" s="128">
        <v>50000</v>
      </c>
      <c r="MQ40" s="128">
        <v>32000</v>
      </c>
      <c r="MR40" s="128">
        <v>32000</v>
      </c>
      <c r="MV40" s="128">
        <v>35000</v>
      </c>
      <c r="MW40" s="128">
        <v>23000</v>
      </c>
      <c r="MX40" s="128">
        <v>23000</v>
      </c>
      <c r="NB40" s="128">
        <v>15000</v>
      </c>
      <c r="NC40" s="128">
        <v>10000</v>
      </c>
      <c r="ND40" s="128">
        <v>10000</v>
      </c>
      <c r="NH40" s="128">
        <v>45000</v>
      </c>
      <c r="NI40" s="128">
        <v>32000</v>
      </c>
      <c r="NJ40" s="128">
        <v>32000</v>
      </c>
      <c r="NN40" s="128">
        <v>65000</v>
      </c>
      <c r="NO40" s="128">
        <v>60000</v>
      </c>
      <c r="NP40" s="128">
        <v>60000</v>
      </c>
      <c r="NT40" s="128">
        <v>95000</v>
      </c>
      <c r="NU40" s="128">
        <v>85000</v>
      </c>
      <c r="NV40" s="128">
        <v>85000</v>
      </c>
      <c r="NZ40" s="128">
        <v>45000</v>
      </c>
      <c r="OA40" s="128">
        <v>40000</v>
      </c>
      <c r="OB40" s="128">
        <v>40000</v>
      </c>
      <c r="OF40" s="128">
        <v>20000</v>
      </c>
      <c r="OG40" s="128">
        <v>16000</v>
      </c>
      <c r="OH40" s="128">
        <v>16000</v>
      </c>
      <c r="OL40" s="128">
        <v>0</v>
      </c>
      <c r="OM40" s="128">
        <v>0</v>
      </c>
      <c r="ON40" s="128">
        <v>0</v>
      </c>
      <c r="OR40" s="128">
        <v>0</v>
      </c>
      <c r="OS40" s="128">
        <v>0</v>
      </c>
      <c r="OT40" s="128">
        <v>0</v>
      </c>
      <c r="OX40" s="128">
        <v>470000</v>
      </c>
      <c r="OY40" s="128">
        <v>431000</v>
      </c>
      <c r="OZ40" s="128">
        <v>431000</v>
      </c>
      <c r="PD40" s="128">
        <v>0</v>
      </c>
      <c r="PE40" s="128">
        <v>0</v>
      </c>
      <c r="PF40" s="128">
        <v>0</v>
      </c>
      <c r="PJ40" s="128">
        <v>45000</v>
      </c>
      <c r="PK40" s="128">
        <v>30000</v>
      </c>
      <c r="PL40" s="128">
        <v>30000</v>
      </c>
      <c r="PP40" s="128">
        <v>5200000</v>
      </c>
      <c r="PQ40" s="128">
        <v>4630000</v>
      </c>
      <c r="PR40" s="128">
        <v>4630000</v>
      </c>
      <c r="PS40" s="128">
        <v>100</v>
      </c>
      <c r="PT40" s="128">
        <v>100</v>
      </c>
      <c r="PX40" s="128">
        <v>2688390</v>
      </c>
      <c r="PY40" s="128">
        <v>2808390</v>
      </c>
      <c r="PZ40" s="128">
        <v>4630000</v>
      </c>
      <c r="QA40" s="128">
        <v>0</v>
      </c>
      <c r="QB40" s="128">
        <v>0</v>
      </c>
      <c r="QC40" s="128">
        <v>0</v>
      </c>
      <c r="QD40" s="128">
        <v>144335</v>
      </c>
      <c r="QE40" s="128">
        <v>70000</v>
      </c>
      <c r="QF40" s="128">
        <v>90000</v>
      </c>
      <c r="QG40" s="128">
        <v>0</v>
      </c>
      <c r="QH40" s="128">
        <v>0</v>
      </c>
      <c r="QI40" s="128">
        <v>0</v>
      </c>
      <c r="QJ40" s="128">
        <v>452040</v>
      </c>
      <c r="QK40" s="128">
        <v>444000</v>
      </c>
      <c r="QL40" s="128">
        <v>480000</v>
      </c>
      <c r="QN40" s="128">
        <v>0</v>
      </c>
      <c r="QO40" s="128">
        <v>0</v>
      </c>
      <c r="QP40" s="128">
        <v>0</v>
      </c>
      <c r="RH40" s="128">
        <f t="shared" si="104"/>
        <v>4720000</v>
      </c>
      <c r="RI40" s="128">
        <v>0</v>
      </c>
      <c r="RM40" s="128" t="s">
        <v>220</v>
      </c>
      <c r="RU40" s="130"/>
      <c r="RV40" s="130"/>
      <c r="RW40" s="130"/>
      <c r="RX40" s="130"/>
      <c r="SF40" s="128">
        <f t="shared" si="8"/>
        <v>1806042</v>
      </c>
      <c r="SG40" s="131">
        <f t="shared" si="9"/>
        <v>5200000</v>
      </c>
      <c r="SH40" s="131">
        <f t="shared" si="10"/>
        <v>5200000</v>
      </c>
      <c r="SI40" s="131">
        <f t="shared" si="11"/>
        <v>4200000</v>
      </c>
      <c r="SJ40" s="132">
        <f t="shared" si="12"/>
        <v>4025000</v>
      </c>
      <c r="SK40" s="132">
        <f t="shared" si="13"/>
        <v>0</v>
      </c>
      <c r="SL40" s="132">
        <f t="shared" si="14"/>
        <v>170000</v>
      </c>
      <c r="SM40" s="132">
        <f t="shared" si="15"/>
        <v>5000</v>
      </c>
      <c r="SN40" s="131">
        <f t="shared" si="16"/>
        <v>1000000</v>
      </c>
      <c r="SO40" s="131">
        <f t="shared" si="17"/>
        <v>30000</v>
      </c>
      <c r="SP40" s="132">
        <f t="shared" si="18"/>
        <v>0</v>
      </c>
      <c r="SQ40" s="132">
        <f t="shared" si="19"/>
        <v>30000</v>
      </c>
      <c r="SR40" s="132">
        <f t="shared" si="20"/>
        <v>0</v>
      </c>
      <c r="SS40" s="132">
        <f t="shared" si="21"/>
        <v>10000</v>
      </c>
      <c r="ST40" s="132">
        <f t="shared" si="22"/>
        <v>75000</v>
      </c>
      <c r="SU40" s="132">
        <f t="shared" si="23"/>
        <v>50000</v>
      </c>
      <c r="SV40" s="131">
        <f t="shared" si="24"/>
        <v>790000</v>
      </c>
      <c r="SW40" s="132">
        <f t="shared" si="25"/>
        <v>35000</v>
      </c>
      <c r="SX40" s="132">
        <f t="shared" si="26"/>
        <v>15000</v>
      </c>
      <c r="SY40" s="132">
        <f t="shared" si="27"/>
        <v>45000</v>
      </c>
      <c r="SZ40" s="132">
        <f t="shared" si="28"/>
        <v>65000</v>
      </c>
      <c r="TA40" s="132">
        <f t="shared" si="29"/>
        <v>95000</v>
      </c>
      <c r="TB40" s="132">
        <f t="shared" si="30"/>
        <v>45000</v>
      </c>
      <c r="TC40" s="132">
        <f t="shared" si="31"/>
        <v>20000</v>
      </c>
      <c r="TD40" s="132">
        <f t="shared" si="32"/>
        <v>0</v>
      </c>
      <c r="TE40" s="132">
        <f t="shared" si="33"/>
        <v>0</v>
      </c>
      <c r="TF40" s="132">
        <f t="shared" si="34"/>
        <v>470000</v>
      </c>
      <c r="TG40" s="132">
        <f t="shared" si="35"/>
        <v>0</v>
      </c>
      <c r="TH40" s="132">
        <f t="shared" si="36"/>
        <v>45000</v>
      </c>
      <c r="TI40" s="1"/>
      <c r="TJ40" s="131">
        <f t="shared" si="37"/>
        <v>4630000</v>
      </c>
      <c r="TK40" s="131">
        <f t="shared" si="38"/>
        <v>4630000</v>
      </c>
      <c r="TL40" s="131">
        <f t="shared" si="39"/>
        <v>3778000</v>
      </c>
      <c r="TM40" s="132">
        <f t="shared" si="40"/>
        <v>3645000</v>
      </c>
      <c r="TN40" s="132">
        <f t="shared" si="41"/>
        <v>0</v>
      </c>
      <c r="TO40" s="132">
        <f t="shared" si="42"/>
        <v>130000</v>
      </c>
      <c r="TP40" s="132">
        <f t="shared" si="43"/>
        <v>3000</v>
      </c>
      <c r="TQ40" s="131">
        <f t="shared" si="44"/>
        <v>852000</v>
      </c>
      <c r="TR40" s="131">
        <f t="shared" si="45"/>
        <v>25000</v>
      </c>
      <c r="TS40" s="132">
        <f t="shared" si="46"/>
        <v>0</v>
      </c>
      <c r="TT40" s="132">
        <f t="shared" si="47"/>
        <v>25000</v>
      </c>
      <c r="TU40" s="132">
        <f t="shared" si="48"/>
        <v>0</v>
      </c>
      <c r="TV40" s="132">
        <f t="shared" si="49"/>
        <v>8000</v>
      </c>
      <c r="TW40" s="132">
        <f t="shared" si="50"/>
        <v>60000</v>
      </c>
      <c r="TX40" s="132">
        <f t="shared" si="51"/>
        <v>32000</v>
      </c>
      <c r="TY40" s="131">
        <f t="shared" si="52"/>
        <v>697000</v>
      </c>
      <c r="TZ40" s="132">
        <f t="shared" si="53"/>
        <v>23000</v>
      </c>
      <c r="UA40" s="132">
        <f t="shared" si="54"/>
        <v>10000</v>
      </c>
      <c r="UB40" s="132">
        <f t="shared" si="55"/>
        <v>32000</v>
      </c>
      <c r="UC40" s="132">
        <f t="shared" si="56"/>
        <v>60000</v>
      </c>
      <c r="UD40" s="132">
        <f t="shared" si="57"/>
        <v>85000</v>
      </c>
      <c r="UE40" s="132">
        <f t="shared" si="58"/>
        <v>40000</v>
      </c>
      <c r="UF40" s="132">
        <f t="shared" si="59"/>
        <v>16000</v>
      </c>
      <c r="UG40" s="132">
        <f t="shared" si="60"/>
        <v>0</v>
      </c>
      <c r="UH40" s="132">
        <f t="shared" si="61"/>
        <v>0</v>
      </c>
      <c r="UI40" s="132">
        <f t="shared" si="62"/>
        <v>431000</v>
      </c>
      <c r="UJ40" s="132">
        <f t="shared" si="63"/>
        <v>0</v>
      </c>
      <c r="UK40" s="132">
        <f t="shared" si="64"/>
        <v>30000</v>
      </c>
      <c r="UL40" s="132">
        <f t="shared" si="105"/>
        <v>4630000</v>
      </c>
      <c r="UM40" s="131">
        <f t="shared" si="65"/>
        <v>4630000</v>
      </c>
      <c r="UN40" s="131">
        <f t="shared" si="66"/>
        <v>4630000</v>
      </c>
      <c r="UO40" s="131">
        <f t="shared" si="67"/>
        <v>3778000</v>
      </c>
      <c r="UP40" s="132">
        <f t="shared" si="68"/>
        <v>3645000</v>
      </c>
      <c r="UQ40" s="132">
        <f t="shared" si="69"/>
        <v>0</v>
      </c>
      <c r="UR40" s="132">
        <f t="shared" si="70"/>
        <v>130000</v>
      </c>
      <c r="US40" s="132">
        <f t="shared" si="71"/>
        <v>3000</v>
      </c>
      <c r="UT40" s="131">
        <f t="shared" si="72"/>
        <v>852000</v>
      </c>
      <c r="UU40" s="131">
        <f t="shared" si="73"/>
        <v>25000</v>
      </c>
      <c r="UV40" s="132">
        <f t="shared" si="74"/>
        <v>0</v>
      </c>
      <c r="UW40" s="132">
        <f t="shared" si="75"/>
        <v>25000</v>
      </c>
      <c r="UX40" s="132">
        <f t="shared" si="76"/>
        <v>0</v>
      </c>
      <c r="UY40" s="132">
        <f t="shared" si="77"/>
        <v>8000</v>
      </c>
      <c r="UZ40" s="132">
        <f t="shared" si="78"/>
        <v>60000</v>
      </c>
      <c r="VA40" s="132">
        <f t="shared" si="79"/>
        <v>32000</v>
      </c>
      <c r="VB40" s="131">
        <f t="shared" si="80"/>
        <v>697000</v>
      </c>
      <c r="VC40" s="132">
        <f t="shared" si="81"/>
        <v>23000</v>
      </c>
      <c r="VD40" s="132">
        <f t="shared" si="82"/>
        <v>10000</v>
      </c>
      <c r="VE40" s="132">
        <f t="shared" si="83"/>
        <v>32000</v>
      </c>
      <c r="VF40" s="132">
        <f t="shared" si="84"/>
        <v>60000</v>
      </c>
      <c r="VG40" s="132">
        <f t="shared" si="85"/>
        <v>85000</v>
      </c>
      <c r="VH40" s="132">
        <f t="shared" si="86"/>
        <v>40000</v>
      </c>
      <c r="VI40" s="132">
        <f t="shared" si="87"/>
        <v>16000</v>
      </c>
      <c r="VJ40" s="132">
        <f t="shared" si="88"/>
        <v>0</v>
      </c>
      <c r="VK40" s="132">
        <f t="shared" si="89"/>
        <v>0</v>
      </c>
      <c r="VL40" s="132">
        <f t="shared" si="90"/>
        <v>431000</v>
      </c>
      <c r="VM40" s="132">
        <f t="shared" si="91"/>
        <v>0</v>
      </c>
      <c r="VN40" s="132">
        <f t="shared" si="92"/>
        <v>30000</v>
      </c>
      <c r="VP40" s="845" t="str">
        <f>IFERROR(HLOOKUP(F40,'Hodnocení '!$C$1:$JH$5,2,FALSE),0)</f>
        <v>osobní asistence</v>
      </c>
      <c r="VQ40" s="838"/>
      <c r="VR40" s="845" t="str">
        <f t="shared" si="106"/>
        <v>Církve a náboženské společnosti</v>
      </c>
      <c r="VS40" s="845" t="str">
        <f>IFERROR(HLOOKUP(F40,'Hodnocení '!$C$1:$JH$5,5,FALSE),0)</f>
        <v>NZO</v>
      </c>
      <c r="VT40" s="838">
        <f t="shared" si="107"/>
        <v>0</v>
      </c>
      <c r="VU40" s="838">
        <f t="shared" si="108"/>
        <v>0</v>
      </c>
      <c r="VV40" s="838">
        <f t="shared" si="109"/>
        <v>480000</v>
      </c>
      <c r="VW40" s="838">
        <f t="shared" si="110"/>
        <v>0</v>
      </c>
      <c r="VX40" s="838"/>
      <c r="VY40" s="838">
        <f t="shared" si="114"/>
        <v>0</v>
      </c>
      <c r="VZ40" s="838">
        <f t="shared" si="115"/>
        <v>4630000</v>
      </c>
      <c r="WA40" s="846">
        <f>IFERROR(HLOOKUP($F40,'Hodnocení '!$C$1:$JH$9,9,FALSE),0)</f>
        <v>4630000</v>
      </c>
      <c r="WB40" s="846">
        <f>IF(IFERROR(HLOOKUP($F40,'Hodnocení '!$C$1:$JH$13,13,FALSE),0)&gt;WA40,WA40,IFERROR(HLOOKUP($F40,'Hodnocení '!$C$1:$JH$13,13,FALSE),0))</f>
        <v>3153482.7159662391</v>
      </c>
      <c r="WC40" s="846">
        <f>IFERROR(HLOOKUP($F40,'Hodnocení '!$C$1:$JH$155,155,FALSE),0)</f>
        <v>3314500</v>
      </c>
      <c r="WD40" s="845"/>
      <c r="WE40" s="845"/>
      <c r="WF40" s="845" t="str">
        <f t="shared" si="97"/>
        <v>ANO</v>
      </c>
      <c r="WG40" s="849" t="str">
        <f t="shared" si="117"/>
        <v>Podpora služby je vyjádřena zařazením do sítě sociálních služeb v KHK a řešením financování služby</v>
      </c>
      <c r="WH40"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40" s="849" t="str">
        <f t="shared" si="117"/>
        <v>Návrh dotace je výsledkem projednání s ostatními zadavateli v rámci sítě služeb KHK</v>
      </c>
      <c r="WJ40" s="849" t="str">
        <f t="shared" si="117"/>
        <v>Bez komentáře</v>
      </c>
      <c r="WK40" s="31">
        <f t="shared" si="99"/>
        <v>0</v>
      </c>
      <c r="WL40" s="850">
        <f t="shared" si="100"/>
        <v>0</v>
      </c>
      <c r="WM40" s="849" t="str">
        <f t="shared" si="101"/>
        <v>V rámci sítě KHK se dlouhodobě řeší otázka navyšování úhrad a průběžně se monitoruje s vazbou na vykrytí vyrovnávací platby</v>
      </c>
      <c r="WN40" s="849">
        <f t="shared" si="102"/>
        <v>0</v>
      </c>
      <c r="WO40" s="849" t="str">
        <f t="shared" si="116"/>
        <v>bez komentáře</v>
      </c>
      <c r="WP40" s="849" t="str">
        <f t="shared" si="116"/>
        <v>bez komentáře</v>
      </c>
      <c r="WQ40" s="849" t="str">
        <f t="shared" si="116"/>
        <v>Konečná výše dotace z rozpočtu KHK bude řešena v návaznosti na řešení podílů jednotlivých zadavatelů.</v>
      </c>
      <c r="WR40" s="849" t="str">
        <f t="shared" si="116"/>
        <v>Konečná výše podpory ze stran obcí bude řešena v součinnosti s jednotlivými zadavateli v průběhu roku.</v>
      </c>
      <c r="WS40" s="849" t="str">
        <f t="shared" si="116"/>
        <v>bez komentáře</v>
      </c>
      <c r="WT40" s="849" t="str">
        <f t="shared" si="116"/>
        <v>bez komentáře</v>
      </c>
      <c r="WU40" s="845"/>
    </row>
    <row r="41" spans="1:619" s="128" customFormat="1" x14ac:dyDescent="0.25">
      <c r="A41" s="128" t="str">
        <f>VLOOKUP(F41,'Výpočet VP 2020'!$D$324:$I$588,6,FALSE)</f>
        <v>Je v síti</v>
      </c>
      <c r="B41" s="128" t="s">
        <v>375</v>
      </c>
      <c r="C41" s="128">
        <v>43464343</v>
      </c>
      <c r="D41" s="128" t="s">
        <v>376</v>
      </c>
      <c r="E41" s="128" t="s">
        <v>360</v>
      </c>
      <c r="F41" s="128">
        <v>6361701</v>
      </c>
      <c r="G41" s="128" t="s">
        <v>342</v>
      </c>
      <c r="H41" s="128" t="s">
        <v>230</v>
      </c>
      <c r="I41" s="128" t="s">
        <v>379</v>
      </c>
      <c r="J41" s="129">
        <v>42522</v>
      </c>
      <c r="L41" s="128" t="s">
        <v>220</v>
      </c>
      <c r="AP41" s="128" t="s">
        <v>274</v>
      </c>
      <c r="AQ41" s="128">
        <v>2</v>
      </c>
      <c r="AR41" s="128">
        <v>4</v>
      </c>
      <c r="AS41" s="128">
        <v>17</v>
      </c>
      <c r="AT41" s="128">
        <v>21</v>
      </c>
      <c r="AU41" s="128">
        <v>20</v>
      </c>
      <c r="BL41" s="128" t="s">
        <v>278</v>
      </c>
      <c r="BM41" s="128" t="s">
        <v>279</v>
      </c>
      <c r="BN41" s="128" t="s">
        <v>347</v>
      </c>
      <c r="EK41" s="128">
        <v>2</v>
      </c>
      <c r="EL41" s="128">
        <v>2</v>
      </c>
      <c r="EM41" s="128">
        <v>2</v>
      </c>
      <c r="EN41" s="128">
        <v>1290000</v>
      </c>
      <c r="EO41" s="128">
        <v>576000</v>
      </c>
      <c r="FO41" s="128">
        <v>2</v>
      </c>
      <c r="FP41" s="128">
        <v>0.2</v>
      </c>
      <c r="FQ41" s="128">
        <v>0</v>
      </c>
      <c r="FR41" s="128">
        <v>160000</v>
      </c>
      <c r="FS41" s="128">
        <v>100000</v>
      </c>
      <c r="KG41" s="128">
        <v>0</v>
      </c>
      <c r="KI41" s="128">
        <v>2</v>
      </c>
      <c r="KJ41" s="128">
        <v>0</v>
      </c>
      <c r="KK41" s="128">
        <v>0</v>
      </c>
      <c r="KL41" s="128">
        <v>0</v>
      </c>
      <c r="KM41" s="128">
        <v>2</v>
      </c>
      <c r="KN41" s="128">
        <v>1450000</v>
      </c>
      <c r="KO41" s="128">
        <v>676000</v>
      </c>
      <c r="KP41" s="128">
        <v>676000</v>
      </c>
      <c r="KT41" s="128">
        <v>0</v>
      </c>
      <c r="KU41" s="128">
        <v>0</v>
      </c>
      <c r="KV41" s="128">
        <v>0</v>
      </c>
      <c r="KZ41" s="128">
        <v>0</v>
      </c>
      <c r="LA41" s="128">
        <v>0</v>
      </c>
      <c r="LB41" s="128">
        <v>0</v>
      </c>
      <c r="LF41" s="128">
        <v>1000</v>
      </c>
      <c r="LG41" s="128">
        <v>0</v>
      </c>
      <c r="LH41" s="128">
        <v>0</v>
      </c>
      <c r="LL41" s="128">
        <v>0</v>
      </c>
      <c r="LM41" s="128">
        <v>0</v>
      </c>
      <c r="LN41" s="128">
        <v>0</v>
      </c>
      <c r="LR41" s="128">
        <v>15000</v>
      </c>
      <c r="LS41" s="128">
        <v>0</v>
      </c>
      <c r="LT41" s="128">
        <v>0</v>
      </c>
      <c r="LX41" s="128">
        <v>0</v>
      </c>
      <c r="LY41" s="128">
        <v>0</v>
      </c>
      <c r="LZ41" s="128">
        <v>0</v>
      </c>
      <c r="MD41" s="128">
        <v>12000</v>
      </c>
      <c r="ME41" s="128">
        <v>6000</v>
      </c>
      <c r="MF41" s="128">
        <v>6000</v>
      </c>
      <c r="MJ41" s="128">
        <v>20000</v>
      </c>
      <c r="MK41" s="128">
        <v>10000</v>
      </c>
      <c r="ML41" s="128">
        <v>10000</v>
      </c>
      <c r="MP41" s="128">
        <v>45000</v>
      </c>
      <c r="MQ41" s="128">
        <v>15000</v>
      </c>
      <c r="MR41" s="128">
        <v>15000</v>
      </c>
      <c r="MV41" s="128">
        <v>25000</v>
      </c>
      <c r="MW41" s="128">
        <v>14000</v>
      </c>
      <c r="MX41" s="128">
        <v>14000</v>
      </c>
      <c r="NB41" s="128">
        <v>9000</v>
      </c>
      <c r="NC41" s="128">
        <v>5640</v>
      </c>
      <c r="ND41" s="128">
        <v>5640</v>
      </c>
      <c r="NH41" s="128">
        <v>65000</v>
      </c>
      <c r="NI41" s="128">
        <v>30000</v>
      </c>
      <c r="NJ41" s="128">
        <v>30000</v>
      </c>
      <c r="NN41" s="128">
        <v>28000</v>
      </c>
      <c r="NO41" s="128">
        <v>13000</v>
      </c>
      <c r="NP41" s="128">
        <v>13000</v>
      </c>
      <c r="NT41" s="128">
        <v>45000</v>
      </c>
      <c r="NU41" s="128">
        <v>15000</v>
      </c>
      <c r="NV41" s="128">
        <v>15000</v>
      </c>
      <c r="NZ41" s="128">
        <v>3000</v>
      </c>
      <c r="OA41" s="128">
        <v>1000</v>
      </c>
      <c r="OB41" s="128">
        <v>1000</v>
      </c>
      <c r="OF41" s="128">
        <v>8000</v>
      </c>
      <c r="OG41" s="128">
        <v>5000</v>
      </c>
      <c r="OH41" s="128">
        <v>5000</v>
      </c>
      <c r="OL41" s="128">
        <v>0</v>
      </c>
      <c r="OM41" s="128">
        <v>0</v>
      </c>
      <c r="ON41" s="128">
        <v>0</v>
      </c>
      <c r="OR41" s="128">
        <v>0</v>
      </c>
      <c r="OS41" s="128">
        <v>0</v>
      </c>
      <c r="OT41" s="128">
        <v>0</v>
      </c>
      <c r="OX41" s="128">
        <v>150000</v>
      </c>
      <c r="OY41" s="128">
        <v>15000</v>
      </c>
      <c r="OZ41" s="128">
        <v>15000</v>
      </c>
      <c r="PD41" s="128">
        <v>0</v>
      </c>
      <c r="PE41" s="128">
        <v>0</v>
      </c>
      <c r="PF41" s="128">
        <v>0</v>
      </c>
      <c r="PJ41" s="128">
        <v>9624</v>
      </c>
      <c r="PK41" s="128">
        <v>0</v>
      </c>
      <c r="PL41" s="128">
        <v>0</v>
      </c>
      <c r="PP41" s="128">
        <v>1885624</v>
      </c>
      <c r="PQ41" s="128">
        <v>805640</v>
      </c>
      <c r="PR41" s="128">
        <v>805640</v>
      </c>
      <c r="PS41" s="128">
        <v>100</v>
      </c>
      <c r="PT41" s="128">
        <v>100</v>
      </c>
      <c r="PX41" s="128">
        <v>402960</v>
      </c>
      <c r="PY41" s="128">
        <v>26897</v>
      </c>
      <c r="PZ41" s="128">
        <v>805640</v>
      </c>
      <c r="QA41" s="128">
        <v>0</v>
      </c>
      <c r="QB41" s="128">
        <v>0</v>
      </c>
      <c r="QC41" s="128">
        <v>0</v>
      </c>
      <c r="QD41" s="128">
        <v>3694</v>
      </c>
      <c r="QE41" s="128">
        <v>0</v>
      </c>
      <c r="QF41" s="128">
        <v>50272</v>
      </c>
      <c r="QG41" s="128">
        <v>0</v>
      </c>
      <c r="QH41" s="128">
        <v>0</v>
      </c>
      <c r="QI41" s="128">
        <v>0</v>
      </c>
      <c r="QJ41" s="128">
        <v>0</v>
      </c>
      <c r="QK41" s="128">
        <v>0</v>
      </c>
      <c r="QL41" s="128">
        <v>0</v>
      </c>
      <c r="QN41" s="128">
        <v>0</v>
      </c>
      <c r="QO41" s="128">
        <v>0</v>
      </c>
      <c r="QP41" s="128">
        <v>0</v>
      </c>
      <c r="QU41" s="128">
        <v>954712</v>
      </c>
      <c r="QV41" s="128">
        <v>1104712</v>
      </c>
      <c r="QW41" s="128">
        <v>1029712</v>
      </c>
      <c r="RH41" s="128">
        <f t="shared" si="104"/>
        <v>1885624</v>
      </c>
      <c r="RI41" s="128">
        <v>0</v>
      </c>
      <c r="RM41" s="128" t="s">
        <v>220</v>
      </c>
      <c r="RU41" s="130"/>
      <c r="RV41" s="130"/>
      <c r="RW41" s="130"/>
      <c r="RX41" s="130"/>
      <c r="SF41" s="128">
        <f t="shared" si="8"/>
        <v>6361701</v>
      </c>
      <c r="SG41" s="131">
        <f t="shared" si="9"/>
        <v>1885624</v>
      </c>
      <c r="SH41" s="131">
        <f t="shared" si="10"/>
        <v>1885624</v>
      </c>
      <c r="SI41" s="131">
        <f t="shared" si="11"/>
        <v>1451000</v>
      </c>
      <c r="SJ41" s="132">
        <f t="shared" si="12"/>
        <v>1450000</v>
      </c>
      <c r="SK41" s="132">
        <f t="shared" si="13"/>
        <v>0</v>
      </c>
      <c r="SL41" s="132">
        <f t="shared" si="14"/>
        <v>0</v>
      </c>
      <c r="SM41" s="132">
        <f t="shared" si="15"/>
        <v>1000</v>
      </c>
      <c r="SN41" s="131">
        <f t="shared" si="16"/>
        <v>434624</v>
      </c>
      <c r="SO41" s="131">
        <f t="shared" si="17"/>
        <v>15000</v>
      </c>
      <c r="SP41" s="132">
        <f t="shared" si="18"/>
        <v>0</v>
      </c>
      <c r="SQ41" s="132">
        <f t="shared" si="19"/>
        <v>15000</v>
      </c>
      <c r="SR41" s="132">
        <f t="shared" si="20"/>
        <v>0</v>
      </c>
      <c r="SS41" s="132">
        <f t="shared" si="21"/>
        <v>12000</v>
      </c>
      <c r="ST41" s="132">
        <f t="shared" si="22"/>
        <v>20000</v>
      </c>
      <c r="SU41" s="132">
        <f t="shared" si="23"/>
        <v>45000</v>
      </c>
      <c r="SV41" s="131">
        <f t="shared" si="24"/>
        <v>333000</v>
      </c>
      <c r="SW41" s="132">
        <f t="shared" si="25"/>
        <v>25000</v>
      </c>
      <c r="SX41" s="132">
        <f t="shared" si="26"/>
        <v>9000</v>
      </c>
      <c r="SY41" s="132">
        <f t="shared" si="27"/>
        <v>65000</v>
      </c>
      <c r="SZ41" s="132">
        <f t="shared" si="28"/>
        <v>28000</v>
      </c>
      <c r="TA41" s="132">
        <f t="shared" si="29"/>
        <v>45000</v>
      </c>
      <c r="TB41" s="132">
        <f t="shared" si="30"/>
        <v>3000</v>
      </c>
      <c r="TC41" s="132">
        <f t="shared" si="31"/>
        <v>8000</v>
      </c>
      <c r="TD41" s="132">
        <f t="shared" si="32"/>
        <v>0</v>
      </c>
      <c r="TE41" s="132">
        <f t="shared" si="33"/>
        <v>0</v>
      </c>
      <c r="TF41" s="132">
        <f t="shared" si="34"/>
        <v>150000</v>
      </c>
      <c r="TG41" s="132">
        <f t="shared" si="35"/>
        <v>0</v>
      </c>
      <c r="TH41" s="132">
        <f t="shared" si="36"/>
        <v>9624</v>
      </c>
      <c r="TI41" s="1"/>
      <c r="TJ41" s="131">
        <f t="shared" si="37"/>
        <v>805640</v>
      </c>
      <c r="TK41" s="131">
        <f t="shared" si="38"/>
        <v>805640</v>
      </c>
      <c r="TL41" s="131">
        <f t="shared" si="39"/>
        <v>676000</v>
      </c>
      <c r="TM41" s="132">
        <f t="shared" si="40"/>
        <v>676000</v>
      </c>
      <c r="TN41" s="132">
        <f t="shared" si="41"/>
        <v>0</v>
      </c>
      <c r="TO41" s="132">
        <f t="shared" si="42"/>
        <v>0</v>
      </c>
      <c r="TP41" s="132">
        <f t="shared" si="43"/>
        <v>0</v>
      </c>
      <c r="TQ41" s="131">
        <f t="shared" si="44"/>
        <v>129640</v>
      </c>
      <c r="TR41" s="131">
        <f t="shared" si="45"/>
        <v>0</v>
      </c>
      <c r="TS41" s="132">
        <f t="shared" si="46"/>
        <v>0</v>
      </c>
      <c r="TT41" s="132">
        <f t="shared" si="47"/>
        <v>0</v>
      </c>
      <c r="TU41" s="132">
        <f t="shared" si="48"/>
        <v>0</v>
      </c>
      <c r="TV41" s="132">
        <f t="shared" si="49"/>
        <v>6000</v>
      </c>
      <c r="TW41" s="132">
        <f t="shared" si="50"/>
        <v>10000</v>
      </c>
      <c r="TX41" s="132">
        <f t="shared" si="51"/>
        <v>15000</v>
      </c>
      <c r="TY41" s="131">
        <f t="shared" si="52"/>
        <v>98640</v>
      </c>
      <c r="TZ41" s="132">
        <f t="shared" si="53"/>
        <v>14000</v>
      </c>
      <c r="UA41" s="132">
        <f t="shared" si="54"/>
        <v>5640</v>
      </c>
      <c r="UB41" s="132">
        <f t="shared" si="55"/>
        <v>30000</v>
      </c>
      <c r="UC41" s="132">
        <f t="shared" si="56"/>
        <v>13000</v>
      </c>
      <c r="UD41" s="132">
        <f t="shared" si="57"/>
        <v>15000</v>
      </c>
      <c r="UE41" s="132">
        <f t="shared" si="58"/>
        <v>1000</v>
      </c>
      <c r="UF41" s="132">
        <f t="shared" si="59"/>
        <v>5000</v>
      </c>
      <c r="UG41" s="132">
        <f t="shared" si="60"/>
        <v>0</v>
      </c>
      <c r="UH41" s="132">
        <f t="shared" si="61"/>
        <v>0</v>
      </c>
      <c r="UI41" s="132">
        <f t="shared" si="62"/>
        <v>15000</v>
      </c>
      <c r="UJ41" s="132">
        <f t="shared" si="63"/>
        <v>0</v>
      </c>
      <c r="UK41" s="132">
        <f t="shared" si="64"/>
        <v>0</v>
      </c>
      <c r="UL41" s="132">
        <f t="shared" si="105"/>
        <v>805640</v>
      </c>
      <c r="UM41" s="131">
        <f t="shared" si="65"/>
        <v>805640</v>
      </c>
      <c r="UN41" s="131">
        <f t="shared" si="66"/>
        <v>805640</v>
      </c>
      <c r="UO41" s="131">
        <f t="shared" si="67"/>
        <v>676000</v>
      </c>
      <c r="UP41" s="132">
        <f t="shared" si="68"/>
        <v>676000</v>
      </c>
      <c r="UQ41" s="132">
        <f t="shared" si="69"/>
        <v>0</v>
      </c>
      <c r="UR41" s="132">
        <f t="shared" si="70"/>
        <v>0</v>
      </c>
      <c r="US41" s="132">
        <f t="shared" si="71"/>
        <v>0</v>
      </c>
      <c r="UT41" s="131">
        <f t="shared" si="72"/>
        <v>129640</v>
      </c>
      <c r="UU41" s="131">
        <f t="shared" si="73"/>
        <v>0</v>
      </c>
      <c r="UV41" s="132">
        <f t="shared" si="74"/>
        <v>0</v>
      </c>
      <c r="UW41" s="132">
        <f t="shared" si="75"/>
        <v>0</v>
      </c>
      <c r="UX41" s="132">
        <f t="shared" si="76"/>
        <v>0</v>
      </c>
      <c r="UY41" s="132">
        <f t="shared" si="77"/>
        <v>6000</v>
      </c>
      <c r="UZ41" s="132">
        <f t="shared" si="78"/>
        <v>10000</v>
      </c>
      <c r="VA41" s="132">
        <f t="shared" si="79"/>
        <v>15000</v>
      </c>
      <c r="VB41" s="131">
        <f t="shared" si="80"/>
        <v>98640</v>
      </c>
      <c r="VC41" s="132">
        <f t="shared" si="81"/>
        <v>14000</v>
      </c>
      <c r="VD41" s="132">
        <f t="shared" si="82"/>
        <v>5640</v>
      </c>
      <c r="VE41" s="132">
        <f t="shared" si="83"/>
        <v>30000</v>
      </c>
      <c r="VF41" s="132">
        <f t="shared" si="84"/>
        <v>13000</v>
      </c>
      <c r="VG41" s="132">
        <f t="shared" si="85"/>
        <v>15000</v>
      </c>
      <c r="VH41" s="132">
        <f t="shared" si="86"/>
        <v>1000</v>
      </c>
      <c r="VI41" s="132">
        <f t="shared" si="87"/>
        <v>5000</v>
      </c>
      <c r="VJ41" s="132">
        <f t="shared" si="88"/>
        <v>0</v>
      </c>
      <c r="VK41" s="132">
        <f t="shared" si="89"/>
        <v>0</v>
      </c>
      <c r="VL41" s="132">
        <f t="shared" si="90"/>
        <v>15000</v>
      </c>
      <c r="VM41" s="132">
        <f t="shared" si="91"/>
        <v>0</v>
      </c>
      <c r="VN41" s="132">
        <f t="shared" si="92"/>
        <v>0</v>
      </c>
      <c r="VP41" s="845" t="str">
        <f>IFERROR(HLOOKUP(F41,'Hodnocení '!$C$1:$JH$5,2,FALSE),0)</f>
        <v>Sociálně aktivizační služby</v>
      </c>
      <c r="VQ41" s="838"/>
      <c r="VR41" s="845" t="str">
        <f t="shared" si="106"/>
        <v>Církve a náboženské společnosti</v>
      </c>
      <c r="VS41" s="845" t="str">
        <f>IFERROR(HLOOKUP(F41,'Hodnocení '!$C$1:$JH$5,5,FALSE),0)</f>
        <v>NZO</v>
      </c>
      <c r="VT41" s="838">
        <f t="shared" si="107"/>
        <v>0</v>
      </c>
      <c r="VU41" s="838">
        <f t="shared" si="108"/>
        <v>0</v>
      </c>
      <c r="VV41" s="838">
        <f t="shared" si="109"/>
        <v>0</v>
      </c>
      <c r="VW41" s="838">
        <f t="shared" si="110"/>
        <v>0</v>
      </c>
      <c r="VX41" s="838"/>
      <c r="VY41" s="838">
        <f t="shared" si="114"/>
        <v>0</v>
      </c>
      <c r="VZ41" s="838">
        <f t="shared" si="115"/>
        <v>805640</v>
      </c>
      <c r="WA41" s="846">
        <f>IFERROR(HLOOKUP($F41,'Hodnocení '!$C$1:$JH$9,9,FALSE),0)</f>
        <v>805640</v>
      </c>
      <c r="WB41" s="846">
        <f>IF(IFERROR(HLOOKUP($F41,'Hodnocení '!$C$1:$JH$13,13,FALSE),0)&gt;WA41,WA41,IFERROR(HLOOKUP($F41,'Hodnocení '!$C$1:$JH$13,13,FALSE),0))</f>
        <v>805640</v>
      </c>
      <c r="WC41" s="846">
        <f>IFERROR(HLOOKUP($F41,'Hodnocení '!$C$1:$JH$155,155,FALSE),0)</f>
        <v>103740</v>
      </c>
      <c r="WD41" s="845"/>
      <c r="WE41" s="845"/>
      <c r="WF41" s="845" t="str">
        <f t="shared" si="97"/>
        <v>ANO</v>
      </c>
      <c r="WG41" s="849" t="str">
        <f t="shared" si="117"/>
        <v>Podpora služby je vyjádřena zařazením do sítě sociálních služeb v KHK a řešením financování služby</v>
      </c>
      <c r="WH41"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41" s="849" t="str">
        <f t="shared" si="117"/>
        <v>Návrh dotace je výsledkem projednání s ostatními zadavateli v rámci sítě služeb KHK</v>
      </c>
      <c r="WJ41" s="849" t="str">
        <f t="shared" si="117"/>
        <v>Bez komentáře</v>
      </c>
      <c r="WK41" s="31">
        <f t="shared" si="99"/>
        <v>0</v>
      </c>
      <c r="WL41" s="850">
        <f t="shared" si="100"/>
        <v>0</v>
      </c>
      <c r="WM41" s="849">
        <f t="shared" si="101"/>
        <v>0</v>
      </c>
      <c r="WN41" s="849">
        <f t="shared" si="102"/>
        <v>0</v>
      </c>
      <c r="WO41" s="849" t="str">
        <f t="shared" si="116"/>
        <v>bez komentáře</v>
      </c>
      <c r="WP41" s="849" t="str">
        <f t="shared" si="116"/>
        <v>bez komentáře</v>
      </c>
      <c r="WQ41" s="849" t="str">
        <f t="shared" si="116"/>
        <v>Konečná výše dotace z rozpočtu KHK bude řešena v návaznosti na řešení podílů jednotlivých zadavatelů.</v>
      </c>
      <c r="WR41" s="849" t="str">
        <f t="shared" si="116"/>
        <v>Konečná výše podpory ze stran obcí bude řešena v součinnosti s jednotlivými zadavateli v průběhu roku.</v>
      </c>
      <c r="WS41" s="849" t="str">
        <f t="shared" si="116"/>
        <v>bez komentáře</v>
      </c>
      <c r="WT41" s="849" t="str">
        <f t="shared" si="116"/>
        <v>bez komentáře</v>
      </c>
      <c r="WU41" s="845"/>
    </row>
    <row r="42" spans="1:619" s="128" customFormat="1" x14ac:dyDescent="0.25">
      <c r="A42" s="128" t="str">
        <f>VLOOKUP(F42,'Výpočet VP 2020'!$D$324:$I$588,6,FALSE)</f>
        <v>Je v síti</v>
      </c>
      <c r="B42" s="128" t="s">
        <v>375</v>
      </c>
      <c r="C42" s="128">
        <v>43464343</v>
      </c>
      <c r="D42" s="128" t="s">
        <v>376</v>
      </c>
      <c r="E42" s="128" t="s">
        <v>360</v>
      </c>
      <c r="F42" s="128">
        <v>6447139</v>
      </c>
      <c r="G42" s="128" t="s">
        <v>273</v>
      </c>
      <c r="H42" s="128" t="s">
        <v>230</v>
      </c>
      <c r="I42" s="128" t="s">
        <v>380</v>
      </c>
      <c r="J42" s="129">
        <v>39083</v>
      </c>
      <c r="L42" s="128" t="s">
        <v>220</v>
      </c>
      <c r="X42" s="128" t="s">
        <v>238</v>
      </c>
      <c r="Z42" s="128">
        <v>2</v>
      </c>
      <c r="AA42" s="128">
        <v>6</v>
      </c>
      <c r="AB42" s="128">
        <v>38</v>
      </c>
      <c r="AC42" s="128">
        <v>40</v>
      </c>
      <c r="AD42" s="128">
        <v>40</v>
      </c>
      <c r="AP42" s="128" t="s">
        <v>238</v>
      </c>
      <c r="AQ42" s="128">
        <v>2</v>
      </c>
      <c r="AR42" s="128">
        <v>4</v>
      </c>
      <c r="AS42" s="128">
        <v>38</v>
      </c>
      <c r="AT42" s="128">
        <v>45</v>
      </c>
      <c r="AU42" s="128">
        <v>40</v>
      </c>
      <c r="BL42" s="128" t="s">
        <v>278</v>
      </c>
      <c r="BM42" s="128" t="s">
        <v>279</v>
      </c>
      <c r="BN42" s="128" t="s">
        <v>381</v>
      </c>
      <c r="EK42" s="128">
        <v>3</v>
      </c>
      <c r="EL42" s="128">
        <v>3</v>
      </c>
      <c r="EM42" s="128">
        <v>3</v>
      </c>
      <c r="EN42" s="128">
        <v>1800000</v>
      </c>
      <c r="EO42" s="128">
        <v>1750000</v>
      </c>
      <c r="FO42" s="128">
        <v>2</v>
      </c>
      <c r="FP42" s="128">
        <v>0.3</v>
      </c>
      <c r="FQ42" s="128">
        <v>0</v>
      </c>
      <c r="FR42" s="128">
        <v>250000</v>
      </c>
      <c r="FS42" s="128">
        <v>200000</v>
      </c>
      <c r="IN42" s="128">
        <v>2</v>
      </c>
      <c r="IO42" s="128">
        <v>450</v>
      </c>
      <c r="IP42" s="128">
        <v>0.215</v>
      </c>
      <c r="IQ42" s="128">
        <v>90000</v>
      </c>
      <c r="IR42" s="128">
        <v>75000</v>
      </c>
      <c r="IS42" s="128">
        <v>1</v>
      </c>
      <c r="IT42" s="128">
        <v>150</v>
      </c>
      <c r="IU42" s="128">
        <v>7.1999999999999995E-2</v>
      </c>
      <c r="IV42" s="128">
        <v>30000</v>
      </c>
      <c r="IW42" s="128">
        <v>25000</v>
      </c>
      <c r="KG42" s="128">
        <v>0</v>
      </c>
      <c r="KI42" s="128">
        <v>3</v>
      </c>
      <c r="KJ42" s="128">
        <v>0</v>
      </c>
      <c r="KK42" s="128">
        <v>0.215</v>
      </c>
      <c r="KL42" s="128">
        <v>0</v>
      </c>
      <c r="KM42" s="128">
        <v>3.2149999999999999</v>
      </c>
      <c r="KN42" s="128">
        <v>2050000</v>
      </c>
      <c r="KO42" s="128">
        <v>1950000</v>
      </c>
      <c r="KP42" s="128">
        <v>1950000</v>
      </c>
      <c r="KT42" s="128">
        <v>0</v>
      </c>
      <c r="KU42" s="128">
        <v>0</v>
      </c>
      <c r="KV42" s="128">
        <v>0</v>
      </c>
      <c r="KZ42" s="128">
        <v>120000</v>
      </c>
      <c r="LA42" s="128">
        <v>100000</v>
      </c>
      <c r="LB42" s="128">
        <v>100000</v>
      </c>
      <c r="LF42" s="128">
        <v>7000</v>
      </c>
      <c r="LG42" s="128">
        <v>5000</v>
      </c>
      <c r="LH42" s="128">
        <v>5000</v>
      </c>
      <c r="LL42" s="128">
        <v>0</v>
      </c>
      <c r="LM42" s="128">
        <v>0</v>
      </c>
      <c r="LN42" s="128">
        <v>0</v>
      </c>
      <c r="LR42" s="128">
        <v>30000</v>
      </c>
      <c r="LS42" s="128">
        <v>30000</v>
      </c>
      <c r="LT42" s="128">
        <v>30000</v>
      </c>
      <c r="LX42" s="128">
        <v>0</v>
      </c>
      <c r="LY42" s="128">
        <v>0</v>
      </c>
      <c r="LZ42" s="128">
        <v>0</v>
      </c>
      <c r="MD42" s="128">
        <v>8000</v>
      </c>
      <c r="ME42" s="128">
        <v>7000</v>
      </c>
      <c r="MF42" s="128">
        <v>7000</v>
      </c>
      <c r="MJ42" s="128">
        <v>25000</v>
      </c>
      <c r="MK42" s="128">
        <v>23000</v>
      </c>
      <c r="ML42" s="128">
        <v>23000</v>
      </c>
      <c r="MP42" s="128">
        <v>55000</v>
      </c>
      <c r="MQ42" s="128">
        <v>50000</v>
      </c>
      <c r="MR42" s="128">
        <v>50000</v>
      </c>
      <c r="MV42" s="128">
        <v>55000</v>
      </c>
      <c r="MW42" s="128">
        <v>50000</v>
      </c>
      <c r="MX42" s="128">
        <v>50000</v>
      </c>
      <c r="NB42" s="128">
        <v>7000</v>
      </c>
      <c r="NC42" s="128">
        <v>6000</v>
      </c>
      <c r="ND42" s="128">
        <v>6000</v>
      </c>
      <c r="NH42" s="128">
        <v>95000</v>
      </c>
      <c r="NI42" s="128">
        <v>89000</v>
      </c>
      <c r="NJ42" s="128">
        <v>89000</v>
      </c>
      <c r="NN42" s="128">
        <v>35000</v>
      </c>
      <c r="NO42" s="128">
        <v>30000</v>
      </c>
      <c r="NP42" s="128">
        <v>30000</v>
      </c>
      <c r="NT42" s="128">
        <v>55000</v>
      </c>
      <c r="NU42" s="128">
        <v>51000</v>
      </c>
      <c r="NV42" s="128">
        <v>51000</v>
      </c>
      <c r="NZ42" s="128">
        <v>1000</v>
      </c>
      <c r="OA42" s="128">
        <v>1000</v>
      </c>
      <c r="OB42" s="128">
        <v>1000</v>
      </c>
      <c r="OF42" s="128">
        <v>15000</v>
      </c>
      <c r="OG42" s="128">
        <v>12000</v>
      </c>
      <c r="OH42" s="128">
        <v>12000</v>
      </c>
      <c r="OL42" s="128">
        <v>0</v>
      </c>
      <c r="OM42" s="128">
        <v>0</v>
      </c>
      <c r="ON42" s="128">
        <v>0</v>
      </c>
      <c r="OR42" s="128">
        <v>0</v>
      </c>
      <c r="OS42" s="128">
        <v>0</v>
      </c>
      <c r="OT42" s="128">
        <v>0</v>
      </c>
      <c r="OX42" s="128">
        <v>255000</v>
      </c>
      <c r="OY42" s="128">
        <v>250000</v>
      </c>
      <c r="OZ42" s="128">
        <v>250000</v>
      </c>
      <c r="PD42" s="128">
        <v>0</v>
      </c>
      <c r="PE42" s="128">
        <v>0</v>
      </c>
      <c r="PF42" s="128">
        <v>0</v>
      </c>
      <c r="PJ42" s="128">
        <v>25000</v>
      </c>
      <c r="PK42" s="128">
        <v>18000</v>
      </c>
      <c r="PL42" s="128">
        <v>18000</v>
      </c>
      <c r="PP42" s="128">
        <v>2838000</v>
      </c>
      <c r="PQ42" s="128">
        <v>2672000</v>
      </c>
      <c r="PR42" s="128">
        <v>2672000</v>
      </c>
      <c r="PS42" s="128">
        <v>100</v>
      </c>
      <c r="PT42" s="128">
        <v>100</v>
      </c>
      <c r="PX42" s="128">
        <v>1546000</v>
      </c>
      <c r="PY42" s="128">
        <v>1711240</v>
      </c>
      <c r="PZ42" s="128">
        <v>2672000</v>
      </c>
      <c r="QA42" s="128">
        <v>0</v>
      </c>
      <c r="QB42" s="128">
        <v>0</v>
      </c>
      <c r="QC42" s="128">
        <v>0</v>
      </c>
      <c r="QD42" s="128">
        <v>106192</v>
      </c>
      <c r="QE42" s="128">
        <v>81800</v>
      </c>
      <c r="QF42" s="128">
        <v>166000</v>
      </c>
      <c r="QG42" s="128">
        <v>0</v>
      </c>
      <c r="QH42" s="128">
        <v>134000</v>
      </c>
      <c r="QI42" s="128">
        <v>0</v>
      </c>
      <c r="QJ42" s="128">
        <v>0</v>
      </c>
      <c r="QK42" s="128">
        <v>0</v>
      </c>
      <c r="QL42" s="128">
        <v>0</v>
      </c>
      <c r="QN42" s="128">
        <v>0</v>
      </c>
      <c r="QO42" s="128">
        <v>0</v>
      </c>
      <c r="QP42" s="128">
        <v>0</v>
      </c>
      <c r="RH42" s="128">
        <f t="shared" si="104"/>
        <v>2838000</v>
      </c>
      <c r="RI42" s="128">
        <v>0</v>
      </c>
      <c r="RM42" s="128" t="s">
        <v>220</v>
      </c>
      <c r="RU42" s="130"/>
      <c r="RV42" s="130"/>
      <c r="RW42" s="130"/>
      <c r="RX42" s="130"/>
      <c r="SF42" s="128">
        <f t="shared" si="8"/>
        <v>6447139</v>
      </c>
      <c r="SG42" s="131">
        <f t="shared" si="9"/>
        <v>2838000</v>
      </c>
      <c r="SH42" s="131">
        <f t="shared" si="10"/>
        <v>2838000</v>
      </c>
      <c r="SI42" s="131">
        <f t="shared" si="11"/>
        <v>2177000</v>
      </c>
      <c r="SJ42" s="132">
        <f t="shared" si="12"/>
        <v>2050000</v>
      </c>
      <c r="SK42" s="132">
        <f t="shared" si="13"/>
        <v>0</v>
      </c>
      <c r="SL42" s="132">
        <f t="shared" si="14"/>
        <v>120000</v>
      </c>
      <c r="SM42" s="132">
        <f t="shared" si="15"/>
        <v>7000</v>
      </c>
      <c r="SN42" s="131">
        <f t="shared" si="16"/>
        <v>661000</v>
      </c>
      <c r="SO42" s="131">
        <f t="shared" si="17"/>
        <v>30000</v>
      </c>
      <c r="SP42" s="132">
        <f t="shared" si="18"/>
        <v>0</v>
      </c>
      <c r="SQ42" s="132">
        <f t="shared" si="19"/>
        <v>30000</v>
      </c>
      <c r="SR42" s="132">
        <f t="shared" si="20"/>
        <v>0</v>
      </c>
      <c r="SS42" s="132">
        <f t="shared" si="21"/>
        <v>8000</v>
      </c>
      <c r="ST42" s="132">
        <f t="shared" si="22"/>
        <v>25000</v>
      </c>
      <c r="SU42" s="132">
        <f t="shared" si="23"/>
        <v>55000</v>
      </c>
      <c r="SV42" s="131">
        <f t="shared" si="24"/>
        <v>518000</v>
      </c>
      <c r="SW42" s="132">
        <f t="shared" si="25"/>
        <v>55000</v>
      </c>
      <c r="SX42" s="132">
        <f t="shared" si="26"/>
        <v>7000</v>
      </c>
      <c r="SY42" s="132">
        <f t="shared" si="27"/>
        <v>95000</v>
      </c>
      <c r="SZ42" s="132">
        <f t="shared" si="28"/>
        <v>35000</v>
      </c>
      <c r="TA42" s="132">
        <f t="shared" si="29"/>
        <v>55000</v>
      </c>
      <c r="TB42" s="132">
        <f t="shared" si="30"/>
        <v>1000</v>
      </c>
      <c r="TC42" s="132">
        <f t="shared" si="31"/>
        <v>15000</v>
      </c>
      <c r="TD42" s="132">
        <f t="shared" si="32"/>
        <v>0</v>
      </c>
      <c r="TE42" s="132">
        <f t="shared" si="33"/>
        <v>0</v>
      </c>
      <c r="TF42" s="132">
        <f t="shared" si="34"/>
        <v>255000</v>
      </c>
      <c r="TG42" s="132">
        <f t="shared" si="35"/>
        <v>0</v>
      </c>
      <c r="TH42" s="132">
        <f t="shared" si="36"/>
        <v>25000</v>
      </c>
      <c r="TI42" s="1"/>
      <c r="TJ42" s="131">
        <f t="shared" si="37"/>
        <v>2672000</v>
      </c>
      <c r="TK42" s="131">
        <f t="shared" si="38"/>
        <v>2672000</v>
      </c>
      <c r="TL42" s="131">
        <f t="shared" si="39"/>
        <v>2055000</v>
      </c>
      <c r="TM42" s="132">
        <f t="shared" si="40"/>
        <v>1950000</v>
      </c>
      <c r="TN42" s="132">
        <f t="shared" si="41"/>
        <v>0</v>
      </c>
      <c r="TO42" s="132">
        <f t="shared" si="42"/>
        <v>100000</v>
      </c>
      <c r="TP42" s="132">
        <f t="shared" si="43"/>
        <v>5000</v>
      </c>
      <c r="TQ42" s="131">
        <f t="shared" si="44"/>
        <v>617000</v>
      </c>
      <c r="TR42" s="131">
        <f t="shared" si="45"/>
        <v>30000</v>
      </c>
      <c r="TS42" s="132">
        <f t="shared" si="46"/>
        <v>0</v>
      </c>
      <c r="TT42" s="132">
        <f t="shared" si="47"/>
        <v>30000</v>
      </c>
      <c r="TU42" s="132">
        <f t="shared" si="48"/>
        <v>0</v>
      </c>
      <c r="TV42" s="132">
        <f t="shared" si="49"/>
        <v>7000</v>
      </c>
      <c r="TW42" s="132">
        <f t="shared" si="50"/>
        <v>23000</v>
      </c>
      <c r="TX42" s="132">
        <f t="shared" si="51"/>
        <v>50000</v>
      </c>
      <c r="TY42" s="131">
        <f t="shared" si="52"/>
        <v>489000</v>
      </c>
      <c r="TZ42" s="132">
        <f t="shared" si="53"/>
        <v>50000</v>
      </c>
      <c r="UA42" s="132">
        <f t="shared" si="54"/>
        <v>6000</v>
      </c>
      <c r="UB42" s="132">
        <f t="shared" si="55"/>
        <v>89000</v>
      </c>
      <c r="UC42" s="132">
        <f t="shared" si="56"/>
        <v>30000</v>
      </c>
      <c r="UD42" s="132">
        <f t="shared" si="57"/>
        <v>51000</v>
      </c>
      <c r="UE42" s="132">
        <f t="shared" si="58"/>
        <v>1000</v>
      </c>
      <c r="UF42" s="132">
        <f t="shared" si="59"/>
        <v>12000</v>
      </c>
      <c r="UG42" s="132">
        <f t="shared" si="60"/>
        <v>0</v>
      </c>
      <c r="UH42" s="132">
        <f t="shared" si="61"/>
        <v>0</v>
      </c>
      <c r="UI42" s="132">
        <f t="shared" si="62"/>
        <v>250000</v>
      </c>
      <c r="UJ42" s="132">
        <f t="shared" si="63"/>
        <v>0</v>
      </c>
      <c r="UK42" s="132">
        <f t="shared" si="64"/>
        <v>18000</v>
      </c>
      <c r="UL42" s="132">
        <f t="shared" si="105"/>
        <v>2672000</v>
      </c>
      <c r="UM42" s="131">
        <f t="shared" si="65"/>
        <v>2672000</v>
      </c>
      <c r="UN42" s="131">
        <f t="shared" si="66"/>
        <v>2672000</v>
      </c>
      <c r="UO42" s="131">
        <f t="shared" si="67"/>
        <v>2055000</v>
      </c>
      <c r="UP42" s="132">
        <f t="shared" si="68"/>
        <v>1950000</v>
      </c>
      <c r="UQ42" s="132">
        <f t="shared" si="69"/>
        <v>0</v>
      </c>
      <c r="UR42" s="132">
        <f t="shared" si="70"/>
        <v>100000</v>
      </c>
      <c r="US42" s="132">
        <f t="shared" si="71"/>
        <v>5000</v>
      </c>
      <c r="UT42" s="131">
        <f t="shared" si="72"/>
        <v>617000</v>
      </c>
      <c r="UU42" s="131">
        <f t="shared" si="73"/>
        <v>30000</v>
      </c>
      <c r="UV42" s="132">
        <f t="shared" si="74"/>
        <v>0</v>
      </c>
      <c r="UW42" s="132">
        <f t="shared" si="75"/>
        <v>30000</v>
      </c>
      <c r="UX42" s="132">
        <f t="shared" si="76"/>
        <v>0</v>
      </c>
      <c r="UY42" s="132">
        <f t="shared" si="77"/>
        <v>7000</v>
      </c>
      <c r="UZ42" s="132">
        <f t="shared" si="78"/>
        <v>23000</v>
      </c>
      <c r="VA42" s="132">
        <f t="shared" si="79"/>
        <v>50000</v>
      </c>
      <c r="VB42" s="131">
        <f t="shared" si="80"/>
        <v>489000</v>
      </c>
      <c r="VC42" s="132">
        <f t="shared" si="81"/>
        <v>50000</v>
      </c>
      <c r="VD42" s="132">
        <f t="shared" si="82"/>
        <v>6000</v>
      </c>
      <c r="VE42" s="132">
        <f t="shared" si="83"/>
        <v>89000</v>
      </c>
      <c r="VF42" s="132">
        <f t="shared" si="84"/>
        <v>30000</v>
      </c>
      <c r="VG42" s="132">
        <f t="shared" si="85"/>
        <v>51000</v>
      </c>
      <c r="VH42" s="132">
        <f t="shared" si="86"/>
        <v>1000</v>
      </c>
      <c r="VI42" s="132">
        <f t="shared" si="87"/>
        <v>12000</v>
      </c>
      <c r="VJ42" s="132">
        <f t="shared" si="88"/>
        <v>0</v>
      </c>
      <c r="VK42" s="132">
        <f t="shared" si="89"/>
        <v>0</v>
      </c>
      <c r="VL42" s="132">
        <f t="shared" si="90"/>
        <v>250000</v>
      </c>
      <c r="VM42" s="132">
        <f t="shared" si="91"/>
        <v>0</v>
      </c>
      <c r="VN42" s="132">
        <f t="shared" si="92"/>
        <v>18000</v>
      </c>
      <c r="VP42" s="845" t="str">
        <f>IFERROR(HLOOKUP(F42,'Hodnocení '!$C$1:$JH$5,2,FALSE),0)</f>
        <v>Pracoviště rané péče Diakonie ČCE - středisko Světlo ve Vrchlabí</v>
      </c>
      <c r="VQ42" s="838"/>
      <c r="VR42" s="845" t="str">
        <f t="shared" si="106"/>
        <v>Církve a náboženské společnosti</v>
      </c>
      <c r="VS42" s="845" t="str">
        <f>IFERROR(HLOOKUP(F42,'Hodnocení '!$C$1:$JH$5,5,FALSE),0)</f>
        <v>NZO</v>
      </c>
      <c r="VT42" s="838">
        <f t="shared" si="107"/>
        <v>0</v>
      </c>
      <c r="VU42" s="838">
        <f t="shared" si="108"/>
        <v>0</v>
      </c>
      <c r="VV42" s="838">
        <f t="shared" si="109"/>
        <v>0</v>
      </c>
      <c r="VW42" s="838">
        <f t="shared" si="110"/>
        <v>0</v>
      </c>
      <c r="VX42" s="838"/>
      <c r="VY42" s="838">
        <f t="shared" si="114"/>
        <v>0</v>
      </c>
      <c r="VZ42" s="838">
        <f t="shared" si="115"/>
        <v>2672000</v>
      </c>
      <c r="WA42" s="846">
        <f>IFERROR(HLOOKUP($F42,'Hodnocení '!$C$1:$JH$9,9,FALSE),0)</f>
        <v>2672000</v>
      </c>
      <c r="WB42" s="846">
        <f>IF(IFERROR(HLOOKUP($F42,'Hodnocení '!$C$1:$JH$13,13,FALSE),0)&gt;WA42,WA42,IFERROR(HLOOKUP($F42,'Hodnocení '!$C$1:$JH$13,13,FALSE),0))</f>
        <v>2497904.6985613657</v>
      </c>
      <c r="WC42" s="846">
        <f>IFERROR(HLOOKUP($F42,'Hodnocení '!$C$1:$JH$155,155,FALSE),0)</f>
        <v>2590230</v>
      </c>
      <c r="WD42" s="845"/>
      <c r="WE42" s="845"/>
      <c r="WF42" s="845" t="str">
        <f t="shared" si="97"/>
        <v>ANO</v>
      </c>
      <c r="WG42" s="849" t="str">
        <f t="shared" si="117"/>
        <v>Podpora služby je vyjádřena zařazením do sítě sociálních služeb v KHK a řešením financování služby</v>
      </c>
      <c r="WH42"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42" s="849" t="str">
        <f t="shared" si="117"/>
        <v>Návrh dotace je výsledkem projednání s ostatními zadavateli v rámci sítě služeb KHK</v>
      </c>
      <c r="WJ42" s="849" t="str">
        <f t="shared" si="117"/>
        <v>Bez komentáře</v>
      </c>
      <c r="WK42" s="31">
        <f t="shared" si="99"/>
        <v>0</v>
      </c>
      <c r="WL42" s="850">
        <f t="shared" si="100"/>
        <v>0</v>
      </c>
      <c r="WM42" s="849">
        <f t="shared" si="101"/>
        <v>0</v>
      </c>
      <c r="WN42" s="849">
        <f t="shared" si="102"/>
        <v>0</v>
      </c>
      <c r="WO42" s="849" t="str">
        <f t="shared" si="116"/>
        <v>bez komentáře</v>
      </c>
      <c r="WP42" s="849" t="str">
        <f t="shared" si="116"/>
        <v>bez komentáře</v>
      </c>
      <c r="WQ42" s="849" t="str">
        <f t="shared" si="116"/>
        <v>Konečná výše dotace z rozpočtu KHK bude řešena v návaznosti na řešení podílů jednotlivých zadavatelů.</v>
      </c>
      <c r="WR42" s="849" t="str">
        <f t="shared" si="116"/>
        <v>Konečná výše podpory ze stran obcí bude řešena v součinnosti s jednotlivými zadavateli v průběhu roku.</v>
      </c>
      <c r="WS42" s="849" t="str">
        <f t="shared" si="116"/>
        <v>bez komentáře</v>
      </c>
      <c r="WT42" s="849" t="str">
        <f t="shared" si="116"/>
        <v>bez komentáře</v>
      </c>
      <c r="WU42" s="845"/>
    </row>
    <row r="43" spans="1:619" s="128" customFormat="1" x14ac:dyDescent="0.25">
      <c r="A43" s="128" t="str">
        <f>VLOOKUP(F43,'Výpočet VP 2020'!$D$324:$I$588,6,FALSE)</f>
        <v>Je v síti</v>
      </c>
      <c r="B43" s="128" t="s">
        <v>375</v>
      </c>
      <c r="C43" s="128">
        <v>43464343</v>
      </c>
      <c r="D43" s="128" t="s">
        <v>376</v>
      </c>
      <c r="E43" s="128" t="s">
        <v>360</v>
      </c>
      <c r="F43" s="128">
        <v>7790627</v>
      </c>
      <c r="G43" s="128" t="s">
        <v>235</v>
      </c>
      <c r="H43" s="128" t="s">
        <v>230</v>
      </c>
      <c r="I43" s="128" t="s">
        <v>382</v>
      </c>
      <c r="J43" s="129">
        <v>42522</v>
      </c>
      <c r="L43" s="128" t="s">
        <v>220</v>
      </c>
      <c r="X43" s="128" t="s">
        <v>227</v>
      </c>
      <c r="Z43" s="128">
        <v>8</v>
      </c>
      <c r="AA43" s="128">
        <v>8</v>
      </c>
      <c r="AB43" s="128">
        <v>15</v>
      </c>
      <c r="AC43" s="128">
        <v>13</v>
      </c>
      <c r="AD43" s="128">
        <v>18</v>
      </c>
      <c r="AP43" s="128" t="s">
        <v>335</v>
      </c>
      <c r="AQ43" s="128">
        <v>3</v>
      </c>
      <c r="AR43" s="128">
        <v>3</v>
      </c>
      <c r="AS43" s="128">
        <v>15</v>
      </c>
      <c r="AT43" s="128">
        <v>13</v>
      </c>
      <c r="AU43" s="128">
        <v>18</v>
      </c>
      <c r="BL43" s="128" t="s">
        <v>383</v>
      </c>
      <c r="BM43" s="128" t="s">
        <v>228</v>
      </c>
      <c r="BN43" s="128" t="s">
        <v>234</v>
      </c>
      <c r="EK43" s="128">
        <v>1</v>
      </c>
      <c r="EL43" s="128">
        <v>1</v>
      </c>
      <c r="EM43" s="128">
        <v>1</v>
      </c>
      <c r="EN43" s="128">
        <v>650000</v>
      </c>
      <c r="EO43" s="128">
        <v>150000</v>
      </c>
      <c r="EP43" s="128">
        <v>4</v>
      </c>
      <c r="EQ43" s="128">
        <v>4</v>
      </c>
      <c r="ER43" s="128">
        <v>4</v>
      </c>
      <c r="ES43" s="128">
        <v>1600000</v>
      </c>
      <c r="ET43" s="128">
        <v>600000</v>
      </c>
      <c r="FO43" s="128">
        <v>2</v>
      </c>
      <c r="FP43" s="128">
        <v>0.5</v>
      </c>
      <c r="FQ43" s="128">
        <v>0</v>
      </c>
      <c r="FR43" s="128">
        <v>350000</v>
      </c>
      <c r="FS43" s="128">
        <v>50000</v>
      </c>
      <c r="IN43" s="128">
        <v>1</v>
      </c>
      <c r="IO43" s="128">
        <v>150</v>
      </c>
      <c r="IP43" s="128">
        <v>7.1999999999999995E-2</v>
      </c>
      <c r="IQ43" s="128">
        <v>30000</v>
      </c>
      <c r="IR43" s="128">
        <v>30000</v>
      </c>
      <c r="KG43" s="128">
        <v>0</v>
      </c>
      <c r="KI43" s="128">
        <v>5</v>
      </c>
      <c r="KJ43" s="128">
        <v>0</v>
      </c>
      <c r="KK43" s="128">
        <v>7.1999999999999995E-2</v>
      </c>
      <c r="KL43" s="128">
        <v>0</v>
      </c>
      <c r="KM43" s="128">
        <v>5.0720000000000001</v>
      </c>
      <c r="KN43" s="128">
        <v>2600000</v>
      </c>
      <c r="KO43" s="128">
        <v>800000</v>
      </c>
      <c r="KP43" s="128">
        <v>800000</v>
      </c>
      <c r="KT43" s="128">
        <v>0</v>
      </c>
      <c r="KU43" s="128">
        <v>0</v>
      </c>
      <c r="KV43" s="128">
        <v>0</v>
      </c>
      <c r="KZ43" s="128">
        <v>30000</v>
      </c>
      <c r="LA43" s="128">
        <v>30000</v>
      </c>
      <c r="LB43" s="128">
        <v>30000</v>
      </c>
      <c r="LF43" s="128">
        <v>1000</v>
      </c>
      <c r="LG43" s="128">
        <v>0</v>
      </c>
      <c r="LH43" s="128">
        <v>0</v>
      </c>
      <c r="LL43" s="128">
        <v>0</v>
      </c>
      <c r="LM43" s="128">
        <v>0</v>
      </c>
      <c r="LN43" s="128">
        <v>0</v>
      </c>
      <c r="LR43" s="128">
        <v>35000</v>
      </c>
      <c r="LS43" s="128">
        <v>10000</v>
      </c>
      <c r="LT43" s="128">
        <v>10000</v>
      </c>
      <c r="LX43" s="128">
        <v>0</v>
      </c>
      <c r="LY43" s="128">
        <v>0</v>
      </c>
      <c r="LZ43" s="128">
        <v>0</v>
      </c>
      <c r="MD43" s="128">
        <v>8000</v>
      </c>
      <c r="ME43" s="128">
        <v>5000</v>
      </c>
      <c r="MF43" s="128">
        <v>5000</v>
      </c>
      <c r="MJ43" s="128">
        <v>30000</v>
      </c>
      <c r="MK43" s="128">
        <v>20000</v>
      </c>
      <c r="ML43" s="128">
        <v>20000</v>
      </c>
      <c r="MP43" s="128">
        <v>60000</v>
      </c>
      <c r="MQ43" s="128">
        <v>50000</v>
      </c>
      <c r="MR43" s="128">
        <v>50000</v>
      </c>
      <c r="MV43" s="128">
        <v>100000</v>
      </c>
      <c r="MW43" s="128">
        <v>67792</v>
      </c>
      <c r="MX43" s="128">
        <v>67792</v>
      </c>
      <c r="NB43" s="128">
        <v>10000</v>
      </c>
      <c r="NC43" s="128">
        <v>7500</v>
      </c>
      <c r="ND43" s="128">
        <v>7500</v>
      </c>
      <c r="NH43" s="128">
        <v>260000</v>
      </c>
      <c r="NI43" s="128">
        <v>115000</v>
      </c>
      <c r="NJ43" s="128">
        <v>115000</v>
      </c>
      <c r="NN43" s="128">
        <v>45000</v>
      </c>
      <c r="NO43" s="128">
        <v>40000</v>
      </c>
      <c r="NP43" s="128">
        <v>40000</v>
      </c>
      <c r="NT43" s="128">
        <v>80000</v>
      </c>
      <c r="NU43" s="128">
        <v>50000</v>
      </c>
      <c r="NV43" s="128">
        <v>50000</v>
      </c>
      <c r="NZ43" s="128">
        <v>8000</v>
      </c>
      <c r="OA43" s="128">
        <v>7000</v>
      </c>
      <c r="OB43" s="128">
        <v>7000</v>
      </c>
      <c r="OF43" s="128">
        <v>20000</v>
      </c>
      <c r="OG43" s="128">
        <v>13000</v>
      </c>
      <c r="OH43" s="128">
        <v>13000</v>
      </c>
      <c r="OL43" s="128">
        <v>0</v>
      </c>
      <c r="OM43" s="128">
        <v>0</v>
      </c>
      <c r="ON43" s="128">
        <v>0</v>
      </c>
      <c r="OR43" s="128">
        <v>0</v>
      </c>
      <c r="OS43" s="128">
        <v>0</v>
      </c>
      <c r="OT43" s="128">
        <v>0</v>
      </c>
      <c r="OX43" s="128">
        <v>260000</v>
      </c>
      <c r="OY43" s="128">
        <v>190000</v>
      </c>
      <c r="OZ43" s="128">
        <v>190000</v>
      </c>
      <c r="PD43" s="128">
        <v>0</v>
      </c>
      <c r="PE43" s="128">
        <v>0</v>
      </c>
      <c r="PF43" s="128">
        <v>0</v>
      </c>
      <c r="PJ43" s="128">
        <v>35000</v>
      </c>
      <c r="PK43" s="128">
        <v>20000</v>
      </c>
      <c r="PL43" s="128">
        <v>20000</v>
      </c>
      <c r="PP43" s="128">
        <v>3582000</v>
      </c>
      <c r="PQ43" s="128">
        <v>1425292</v>
      </c>
      <c r="PR43" s="128">
        <v>1425292</v>
      </c>
      <c r="PS43" s="128">
        <v>100</v>
      </c>
      <c r="PT43" s="128">
        <v>100</v>
      </c>
      <c r="PX43" s="128">
        <v>902716</v>
      </c>
      <c r="PY43" s="128">
        <v>0</v>
      </c>
      <c r="PZ43" s="128">
        <v>1425292</v>
      </c>
      <c r="QA43" s="128">
        <v>0</v>
      </c>
      <c r="QB43" s="128">
        <v>0</v>
      </c>
      <c r="QC43" s="128">
        <v>0</v>
      </c>
      <c r="QD43" s="128">
        <v>1850</v>
      </c>
      <c r="QE43" s="128">
        <v>50000</v>
      </c>
      <c r="QF43" s="128">
        <v>52500</v>
      </c>
      <c r="QG43" s="128">
        <v>0</v>
      </c>
      <c r="QH43" s="128">
        <v>0</v>
      </c>
      <c r="QI43" s="128">
        <v>0</v>
      </c>
      <c r="QJ43" s="128">
        <v>0</v>
      </c>
      <c r="QK43" s="128">
        <v>0</v>
      </c>
      <c r="QL43" s="128">
        <v>0</v>
      </c>
      <c r="QN43" s="128">
        <v>0</v>
      </c>
      <c r="QO43" s="128">
        <v>0</v>
      </c>
      <c r="QP43" s="128">
        <v>0</v>
      </c>
      <c r="QU43" s="128">
        <v>1999208</v>
      </c>
      <c r="QV43" s="128">
        <v>2209208</v>
      </c>
      <c r="QW43" s="128">
        <v>2104208</v>
      </c>
      <c r="RH43" s="128">
        <f t="shared" si="104"/>
        <v>3582000</v>
      </c>
      <c r="RI43" s="128">
        <v>0</v>
      </c>
      <c r="RM43" s="128" t="s">
        <v>220</v>
      </c>
      <c r="RU43" s="130"/>
      <c r="RV43" s="130"/>
      <c r="RW43" s="130"/>
      <c r="RX43" s="130"/>
      <c r="SF43" s="128">
        <f t="shared" si="8"/>
        <v>7790627</v>
      </c>
      <c r="SG43" s="131">
        <f t="shared" si="9"/>
        <v>3582000</v>
      </c>
      <c r="SH43" s="131">
        <f t="shared" si="10"/>
        <v>3582000</v>
      </c>
      <c r="SI43" s="131">
        <f t="shared" si="11"/>
        <v>2631000</v>
      </c>
      <c r="SJ43" s="132">
        <f t="shared" si="12"/>
        <v>2600000</v>
      </c>
      <c r="SK43" s="132">
        <f t="shared" si="13"/>
        <v>0</v>
      </c>
      <c r="SL43" s="132">
        <f t="shared" si="14"/>
        <v>30000</v>
      </c>
      <c r="SM43" s="132">
        <f t="shared" si="15"/>
        <v>1000</v>
      </c>
      <c r="SN43" s="131">
        <f t="shared" si="16"/>
        <v>951000</v>
      </c>
      <c r="SO43" s="131">
        <f t="shared" si="17"/>
        <v>35000</v>
      </c>
      <c r="SP43" s="132">
        <f t="shared" si="18"/>
        <v>0</v>
      </c>
      <c r="SQ43" s="132">
        <f t="shared" si="19"/>
        <v>35000</v>
      </c>
      <c r="SR43" s="132">
        <f t="shared" si="20"/>
        <v>0</v>
      </c>
      <c r="SS43" s="132">
        <f t="shared" si="21"/>
        <v>8000</v>
      </c>
      <c r="ST43" s="132">
        <f t="shared" si="22"/>
        <v>30000</v>
      </c>
      <c r="SU43" s="132">
        <f t="shared" si="23"/>
        <v>60000</v>
      </c>
      <c r="SV43" s="131">
        <f t="shared" si="24"/>
        <v>783000</v>
      </c>
      <c r="SW43" s="132">
        <f t="shared" si="25"/>
        <v>100000</v>
      </c>
      <c r="SX43" s="132">
        <f t="shared" si="26"/>
        <v>10000</v>
      </c>
      <c r="SY43" s="132">
        <f t="shared" si="27"/>
        <v>260000</v>
      </c>
      <c r="SZ43" s="132">
        <f t="shared" si="28"/>
        <v>45000</v>
      </c>
      <c r="TA43" s="132">
        <f t="shared" si="29"/>
        <v>80000</v>
      </c>
      <c r="TB43" s="132">
        <f t="shared" si="30"/>
        <v>8000</v>
      </c>
      <c r="TC43" s="132">
        <f t="shared" si="31"/>
        <v>20000</v>
      </c>
      <c r="TD43" s="132">
        <f t="shared" si="32"/>
        <v>0</v>
      </c>
      <c r="TE43" s="132">
        <f t="shared" si="33"/>
        <v>0</v>
      </c>
      <c r="TF43" s="132">
        <f t="shared" si="34"/>
        <v>260000</v>
      </c>
      <c r="TG43" s="132">
        <f t="shared" si="35"/>
        <v>0</v>
      </c>
      <c r="TH43" s="132">
        <f t="shared" si="36"/>
        <v>35000</v>
      </c>
      <c r="TI43" s="1"/>
      <c r="TJ43" s="131">
        <f t="shared" si="37"/>
        <v>1425292</v>
      </c>
      <c r="TK43" s="131">
        <f t="shared" si="38"/>
        <v>1425292</v>
      </c>
      <c r="TL43" s="131">
        <f t="shared" si="39"/>
        <v>830000</v>
      </c>
      <c r="TM43" s="132">
        <f t="shared" si="40"/>
        <v>800000</v>
      </c>
      <c r="TN43" s="132">
        <f t="shared" si="41"/>
        <v>0</v>
      </c>
      <c r="TO43" s="132">
        <f t="shared" si="42"/>
        <v>30000</v>
      </c>
      <c r="TP43" s="132">
        <f t="shared" si="43"/>
        <v>0</v>
      </c>
      <c r="TQ43" s="131">
        <f t="shared" si="44"/>
        <v>595292</v>
      </c>
      <c r="TR43" s="131">
        <f t="shared" si="45"/>
        <v>10000</v>
      </c>
      <c r="TS43" s="132">
        <f t="shared" si="46"/>
        <v>0</v>
      </c>
      <c r="TT43" s="132">
        <f t="shared" si="47"/>
        <v>10000</v>
      </c>
      <c r="TU43" s="132">
        <f t="shared" si="48"/>
        <v>0</v>
      </c>
      <c r="TV43" s="132">
        <f t="shared" si="49"/>
        <v>5000</v>
      </c>
      <c r="TW43" s="132">
        <f t="shared" si="50"/>
        <v>20000</v>
      </c>
      <c r="TX43" s="132">
        <f t="shared" si="51"/>
        <v>50000</v>
      </c>
      <c r="TY43" s="131">
        <f t="shared" si="52"/>
        <v>490292</v>
      </c>
      <c r="TZ43" s="132">
        <f t="shared" si="53"/>
        <v>67792</v>
      </c>
      <c r="UA43" s="132">
        <f t="shared" si="54"/>
        <v>7500</v>
      </c>
      <c r="UB43" s="132">
        <f t="shared" si="55"/>
        <v>115000</v>
      </c>
      <c r="UC43" s="132">
        <f t="shared" si="56"/>
        <v>40000</v>
      </c>
      <c r="UD43" s="132">
        <f t="shared" si="57"/>
        <v>50000</v>
      </c>
      <c r="UE43" s="132">
        <f t="shared" si="58"/>
        <v>7000</v>
      </c>
      <c r="UF43" s="132">
        <f t="shared" si="59"/>
        <v>13000</v>
      </c>
      <c r="UG43" s="132">
        <f t="shared" si="60"/>
        <v>0</v>
      </c>
      <c r="UH43" s="132">
        <f t="shared" si="61"/>
        <v>0</v>
      </c>
      <c r="UI43" s="132">
        <f t="shared" si="62"/>
        <v>190000</v>
      </c>
      <c r="UJ43" s="132">
        <f t="shared" si="63"/>
        <v>0</v>
      </c>
      <c r="UK43" s="132">
        <f t="shared" si="64"/>
        <v>20000</v>
      </c>
      <c r="UL43" s="132">
        <f t="shared" si="105"/>
        <v>1425292</v>
      </c>
      <c r="UM43" s="131">
        <f t="shared" si="65"/>
        <v>1425292</v>
      </c>
      <c r="UN43" s="131">
        <f t="shared" si="66"/>
        <v>1425292</v>
      </c>
      <c r="UO43" s="131">
        <f t="shared" si="67"/>
        <v>830000</v>
      </c>
      <c r="UP43" s="132">
        <f t="shared" si="68"/>
        <v>800000</v>
      </c>
      <c r="UQ43" s="132">
        <f t="shared" si="69"/>
        <v>0</v>
      </c>
      <c r="UR43" s="132">
        <f t="shared" si="70"/>
        <v>30000</v>
      </c>
      <c r="US43" s="132">
        <f t="shared" si="71"/>
        <v>0</v>
      </c>
      <c r="UT43" s="131">
        <f t="shared" si="72"/>
        <v>595292</v>
      </c>
      <c r="UU43" s="131">
        <f t="shared" si="73"/>
        <v>10000</v>
      </c>
      <c r="UV43" s="132">
        <f t="shared" si="74"/>
        <v>0</v>
      </c>
      <c r="UW43" s="132">
        <f t="shared" si="75"/>
        <v>10000</v>
      </c>
      <c r="UX43" s="132">
        <f t="shared" si="76"/>
        <v>0</v>
      </c>
      <c r="UY43" s="132">
        <f t="shared" si="77"/>
        <v>5000</v>
      </c>
      <c r="UZ43" s="132">
        <f t="shared" si="78"/>
        <v>20000</v>
      </c>
      <c r="VA43" s="132">
        <f t="shared" si="79"/>
        <v>50000</v>
      </c>
      <c r="VB43" s="131">
        <f t="shared" si="80"/>
        <v>490292</v>
      </c>
      <c r="VC43" s="132">
        <f t="shared" si="81"/>
        <v>67792</v>
      </c>
      <c r="VD43" s="132">
        <f t="shared" si="82"/>
        <v>7500</v>
      </c>
      <c r="VE43" s="132">
        <f t="shared" si="83"/>
        <v>115000</v>
      </c>
      <c r="VF43" s="132">
        <f t="shared" si="84"/>
        <v>40000</v>
      </c>
      <c r="VG43" s="132">
        <f t="shared" si="85"/>
        <v>50000</v>
      </c>
      <c r="VH43" s="132">
        <f t="shared" si="86"/>
        <v>7000</v>
      </c>
      <c r="VI43" s="132">
        <f t="shared" si="87"/>
        <v>13000</v>
      </c>
      <c r="VJ43" s="132">
        <f t="shared" si="88"/>
        <v>0</v>
      </c>
      <c r="VK43" s="132">
        <f t="shared" si="89"/>
        <v>0</v>
      </c>
      <c r="VL43" s="132">
        <f t="shared" si="90"/>
        <v>190000</v>
      </c>
      <c r="VM43" s="132">
        <f t="shared" si="91"/>
        <v>0</v>
      </c>
      <c r="VN43" s="132">
        <f t="shared" si="92"/>
        <v>20000</v>
      </c>
      <c r="VP43" s="845" t="str">
        <f>IFERROR(HLOOKUP(F43,'Hodnocení '!$C$1:$JH$5,2,FALSE),0)</f>
        <v>Sociální rehabilitace</v>
      </c>
      <c r="VQ43" s="838"/>
      <c r="VR43" s="845" t="str">
        <f t="shared" si="106"/>
        <v>Církve a náboženské společnosti</v>
      </c>
      <c r="VS43" s="845" t="str">
        <f>IFERROR(HLOOKUP(F43,'Hodnocení '!$C$1:$JH$5,5,FALSE),0)</f>
        <v>NZO</v>
      </c>
      <c r="VT43" s="838">
        <f t="shared" si="107"/>
        <v>0</v>
      </c>
      <c r="VU43" s="838">
        <f t="shared" si="108"/>
        <v>0</v>
      </c>
      <c r="VV43" s="838">
        <f t="shared" si="109"/>
        <v>0</v>
      </c>
      <c r="VW43" s="838">
        <f t="shared" si="110"/>
        <v>0</v>
      </c>
      <c r="VX43" s="838"/>
      <c r="VY43" s="838">
        <f t="shared" si="114"/>
        <v>0</v>
      </c>
      <c r="VZ43" s="838">
        <f t="shared" si="115"/>
        <v>1425292</v>
      </c>
      <c r="WA43" s="846">
        <f>IFERROR(HLOOKUP($F43,'Hodnocení '!$C$1:$JH$9,9,FALSE),0)</f>
        <v>1425292</v>
      </c>
      <c r="WB43" s="846">
        <f>IF(IFERROR(HLOOKUP($F43,'Hodnocení '!$C$1:$JH$13,13,FALSE),0)&gt;WA43,WA43,IFERROR(HLOOKUP($F43,'Hodnocení '!$C$1:$JH$13,13,FALSE),0))</f>
        <v>1425292</v>
      </c>
      <c r="WC43" s="846">
        <f>IFERROR(HLOOKUP($F43,'Hodnocení '!$C$1:$JH$155,155,FALSE),0)</f>
        <v>1219240</v>
      </c>
      <c r="WD43" s="845"/>
      <c r="WE43" s="845"/>
      <c r="WF43" s="845" t="str">
        <f t="shared" si="97"/>
        <v>ANO</v>
      </c>
      <c r="WG43" s="849" t="str">
        <f t="shared" si="117"/>
        <v>Podpora služby je vyjádřena zařazením do sítě sociálních služeb v KHK a řešením financování služby</v>
      </c>
      <c r="WH43"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43" s="849" t="str">
        <f t="shared" si="117"/>
        <v>Návrh dotace je výsledkem projednání s ostatními zadavateli v rámci sítě služeb KHK</v>
      </c>
      <c r="WJ43" s="849" t="str">
        <f t="shared" si="117"/>
        <v>Bez komentáře</v>
      </c>
      <c r="WK43" s="31">
        <f t="shared" si="99"/>
        <v>0</v>
      </c>
      <c r="WL43" s="850">
        <f t="shared" si="100"/>
        <v>0</v>
      </c>
      <c r="WM43" s="849">
        <f t="shared" si="101"/>
        <v>0</v>
      </c>
      <c r="WN43" s="849">
        <f t="shared" si="102"/>
        <v>0</v>
      </c>
      <c r="WO43" s="849" t="str">
        <f t="shared" si="116"/>
        <v>bez komentáře</v>
      </c>
      <c r="WP43" s="849" t="str">
        <f t="shared" si="116"/>
        <v>bez komentáře</v>
      </c>
      <c r="WQ43" s="849" t="str">
        <f t="shared" si="116"/>
        <v>Konečná výše dotace z rozpočtu KHK bude řešena v návaznosti na řešení podílů jednotlivých zadavatelů.</v>
      </c>
      <c r="WR43" s="849" t="str">
        <f t="shared" si="116"/>
        <v>Konečná výše podpory ze stran obcí bude řešena v součinnosti s jednotlivými zadavateli v průběhu roku.</v>
      </c>
      <c r="WS43" s="849" t="str">
        <f t="shared" si="116"/>
        <v>bez komentáře</v>
      </c>
      <c r="WT43" s="849" t="str">
        <f t="shared" si="116"/>
        <v>bez komentáře</v>
      </c>
      <c r="WU43" s="845"/>
    </row>
    <row r="44" spans="1:619" s="128" customFormat="1" x14ac:dyDescent="0.25">
      <c r="A44" s="128" t="e">
        <f>VLOOKUP(F44,'Výpočet VP 2020'!$D$324:$I$588,6,FALSE)</f>
        <v>#N/A</v>
      </c>
      <c r="B44" s="128" t="s">
        <v>375</v>
      </c>
      <c r="C44" s="128">
        <v>43464343</v>
      </c>
      <c r="D44" s="128" t="s">
        <v>376</v>
      </c>
      <c r="E44" s="128" t="s">
        <v>360</v>
      </c>
      <c r="F44" s="128">
        <v>8090757</v>
      </c>
      <c r="G44" s="128" t="s">
        <v>286</v>
      </c>
      <c r="H44" s="128" t="s">
        <v>218</v>
      </c>
      <c r="I44" s="128" t="s">
        <v>287</v>
      </c>
      <c r="J44" s="129">
        <v>39083</v>
      </c>
      <c r="L44" s="128" t="s">
        <v>220</v>
      </c>
      <c r="X44" s="128" t="s">
        <v>232</v>
      </c>
      <c r="Z44" s="128">
        <v>10</v>
      </c>
      <c r="AA44" s="128">
        <v>10</v>
      </c>
      <c r="AB44" s="128">
        <v>12</v>
      </c>
      <c r="AC44" s="128">
        <v>11</v>
      </c>
      <c r="AD44" s="128">
        <v>10</v>
      </c>
      <c r="AN44" s="128">
        <v>900</v>
      </c>
      <c r="BL44" s="128" t="s">
        <v>263</v>
      </c>
      <c r="BM44" s="128" t="s">
        <v>228</v>
      </c>
      <c r="BN44" s="128" t="s">
        <v>289</v>
      </c>
      <c r="BO44" s="128">
        <v>0</v>
      </c>
      <c r="BP44" s="128">
        <v>3</v>
      </c>
      <c r="BQ44" s="128">
        <v>1</v>
      </c>
      <c r="BR44" s="128">
        <v>0</v>
      </c>
      <c r="BS44" s="128">
        <v>0</v>
      </c>
      <c r="BT44" s="128">
        <v>1</v>
      </c>
      <c r="BU44" s="128">
        <v>1</v>
      </c>
      <c r="BV44" s="128">
        <v>3</v>
      </c>
      <c r="BW44" s="128">
        <v>2</v>
      </c>
      <c r="BX44" s="128">
        <v>0</v>
      </c>
      <c r="BY44" s="128">
        <v>1</v>
      </c>
      <c r="BZ44" s="128">
        <v>4</v>
      </c>
      <c r="CA44" s="128">
        <v>4</v>
      </c>
      <c r="CB44" s="128">
        <v>2</v>
      </c>
      <c r="CC44" s="128">
        <v>0</v>
      </c>
      <c r="CD44" s="128">
        <v>4</v>
      </c>
      <c r="CE44" s="128">
        <v>7</v>
      </c>
      <c r="CF44" s="128">
        <v>11</v>
      </c>
      <c r="CH44" s="128">
        <v>0</v>
      </c>
      <c r="CI44" s="128">
        <v>3</v>
      </c>
      <c r="CJ44" s="128">
        <v>1</v>
      </c>
      <c r="CK44" s="128">
        <v>0</v>
      </c>
      <c r="CL44" s="128">
        <v>0</v>
      </c>
      <c r="CM44" s="128">
        <v>1</v>
      </c>
      <c r="CN44" s="128">
        <v>0</v>
      </c>
      <c r="CO44" s="128">
        <v>3</v>
      </c>
      <c r="CP44" s="128">
        <v>2</v>
      </c>
      <c r="CQ44" s="128">
        <v>0</v>
      </c>
      <c r="CR44" s="128">
        <v>1</v>
      </c>
      <c r="CS44" s="128">
        <v>3</v>
      </c>
      <c r="CT44" s="128">
        <v>4</v>
      </c>
      <c r="CU44" s="128">
        <v>2</v>
      </c>
      <c r="CV44" s="128">
        <v>0</v>
      </c>
      <c r="CW44" s="128">
        <v>4</v>
      </c>
      <c r="CX44" s="128">
        <v>6</v>
      </c>
      <c r="CY44" s="128">
        <v>10</v>
      </c>
      <c r="EK44" s="128">
        <v>1</v>
      </c>
      <c r="EL44" s="128">
        <v>0.4</v>
      </c>
      <c r="EM44" s="128">
        <v>0.5</v>
      </c>
      <c r="EN44" s="128">
        <v>140000</v>
      </c>
      <c r="EO44" s="128">
        <v>120000</v>
      </c>
      <c r="EP44" s="128">
        <v>2</v>
      </c>
      <c r="EQ44" s="128">
        <v>2</v>
      </c>
      <c r="ER44" s="128">
        <v>2</v>
      </c>
      <c r="ES44" s="128">
        <v>340000</v>
      </c>
      <c r="ET44" s="128">
        <v>300000</v>
      </c>
      <c r="FO44" s="128">
        <v>2</v>
      </c>
      <c r="FP44" s="128">
        <v>0.3</v>
      </c>
      <c r="FQ44" s="128">
        <v>0</v>
      </c>
      <c r="FR44" s="128">
        <v>100000</v>
      </c>
      <c r="FS44" s="128">
        <v>90000</v>
      </c>
      <c r="IN44" s="128">
        <v>1</v>
      </c>
      <c r="IO44" s="128">
        <v>150</v>
      </c>
      <c r="IP44" s="128">
        <v>7.1999999999999995E-2</v>
      </c>
      <c r="IQ44" s="128">
        <v>30000</v>
      </c>
      <c r="IR44" s="128">
        <v>25000</v>
      </c>
      <c r="KG44" s="128">
        <v>0</v>
      </c>
      <c r="KI44" s="128">
        <v>2.4</v>
      </c>
      <c r="KJ44" s="128">
        <v>0</v>
      </c>
      <c r="KK44" s="128">
        <v>7.1999999999999995E-2</v>
      </c>
      <c r="KL44" s="128">
        <v>0</v>
      </c>
      <c r="KM44" s="128">
        <v>2.472</v>
      </c>
      <c r="KN44" s="128">
        <v>580000</v>
      </c>
      <c r="KO44" s="128">
        <v>510000</v>
      </c>
      <c r="KP44" s="128">
        <v>510000</v>
      </c>
      <c r="KT44" s="128">
        <v>0</v>
      </c>
      <c r="KU44" s="128">
        <v>0</v>
      </c>
      <c r="KV44" s="128">
        <v>0</v>
      </c>
      <c r="KZ44" s="128">
        <v>30000</v>
      </c>
      <c r="LA44" s="128">
        <v>25000</v>
      </c>
      <c r="LB44" s="128">
        <v>25000</v>
      </c>
      <c r="LF44" s="128">
        <v>5000</v>
      </c>
      <c r="LG44" s="128">
        <v>4000</v>
      </c>
      <c r="LH44" s="128">
        <v>4000</v>
      </c>
      <c r="LL44" s="128">
        <v>0</v>
      </c>
      <c r="LM44" s="128">
        <v>0</v>
      </c>
      <c r="LN44" s="128">
        <v>0</v>
      </c>
      <c r="LR44" s="128">
        <v>0</v>
      </c>
      <c r="LS44" s="128">
        <v>0</v>
      </c>
      <c r="LT44" s="128">
        <v>0</v>
      </c>
      <c r="LX44" s="128">
        <v>20000</v>
      </c>
      <c r="LY44" s="128">
        <v>18000</v>
      </c>
      <c r="LZ44" s="128">
        <v>18000</v>
      </c>
      <c r="MD44" s="128">
        <v>5000</v>
      </c>
      <c r="ME44" s="128">
        <v>5000</v>
      </c>
      <c r="MF44" s="128">
        <v>5000</v>
      </c>
      <c r="MJ44" s="128">
        <v>0</v>
      </c>
      <c r="MK44" s="128">
        <v>0</v>
      </c>
      <c r="ML44" s="128">
        <v>0</v>
      </c>
      <c r="MP44" s="128">
        <v>18000</v>
      </c>
      <c r="MQ44" s="128">
        <v>14000</v>
      </c>
      <c r="MR44" s="128">
        <v>14000</v>
      </c>
      <c r="MV44" s="128">
        <v>40000</v>
      </c>
      <c r="MW44" s="128">
        <v>35000</v>
      </c>
      <c r="MX44" s="128">
        <v>35000</v>
      </c>
      <c r="NB44" s="128">
        <v>4000</v>
      </c>
      <c r="NC44" s="128">
        <v>3000</v>
      </c>
      <c r="ND44" s="128">
        <v>3000</v>
      </c>
      <c r="NH44" s="128">
        <v>65000</v>
      </c>
      <c r="NI44" s="128">
        <v>60000</v>
      </c>
      <c r="NJ44" s="128">
        <v>60000</v>
      </c>
      <c r="NN44" s="128">
        <v>10000</v>
      </c>
      <c r="NO44" s="128">
        <v>8000</v>
      </c>
      <c r="NP44" s="128">
        <v>8000</v>
      </c>
      <c r="NT44" s="128">
        <v>10000</v>
      </c>
      <c r="NU44" s="128">
        <v>9000</v>
      </c>
      <c r="NV44" s="128">
        <v>9000</v>
      </c>
      <c r="NZ44" s="128">
        <v>0</v>
      </c>
      <c r="OA44" s="128">
        <v>0</v>
      </c>
      <c r="OB44" s="128">
        <v>0</v>
      </c>
      <c r="OF44" s="128">
        <v>3000</v>
      </c>
      <c r="OG44" s="128">
        <v>2000</v>
      </c>
      <c r="OH44" s="128">
        <v>2000</v>
      </c>
      <c r="OL44" s="128">
        <v>0</v>
      </c>
      <c r="OM44" s="128">
        <v>0</v>
      </c>
      <c r="ON44" s="128">
        <v>0</v>
      </c>
      <c r="OR44" s="128">
        <v>0</v>
      </c>
      <c r="OS44" s="128">
        <v>0</v>
      </c>
      <c r="OT44" s="128">
        <v>0</v>
      </c>
      <c r="OX44" s="128">
        <v>55000</v>
      </c>
      <c r="OY44" s="128">
        <v>52000</v>
      </c>
      <c r="OZ44" s="128">
        <v>52000</v>
      </c>
      <c r="PD44" s="128">
        <v>0</v>
      </c>
      <c r="PE44" s="128">
        <v>0</v>
      </c>
      <c r="PF44" s="128">
        <v>0</v>
      </c>
      <c r="PJ44" s="128">
        <v>5000</v>
      </c>
      <c r="PK44" s="128">
        <v>4000</v>
      </c>
      <c r="PL44" s="128">
        <v>4000</v>
      </c>
      <c r="PP44" s="128">
        <v>850000</v>
      </c>
      <c r="PQ44" s="128">
        <v>749000</v>
      </c>
      <c r="PR44" s="128">
        <v>749000</v>
      </c>
      <c r="PS44" s="128">
        <v>100</v>
      </c>
      <c r="PT44" s="128">
        <v>100</v>
      </c>
      <c r="PV44" s="128">
        <v>1102232</v>
      </c>
      <c r="PX44" s="128">
        <v>1809500</v>
      </c>
      <c r="PY44" s="128">
        <v>1859500</v>
      </c>
      <c r="PZ44" s="128">
        <v>749000</v>
      </c>
      <c r="QA44" s="128">
        <v>0</v>
      </c>
      <c r="QB44" s="128">
        <v>0</v>
      </c>
      <c r="QC44" s="128">
        <v>0</v>
      </c>
      <c r="QD44" s="128">
        <v>139578</v>
      </c>
      <c r="QE44" s="128">
        <v>0</v>
      </c>
      <c r="QF44" s="128">
        <v>71000</v>
      </c>
      <c r="QG44" s="128">
        <v>0</v>
      </c>
      <c r="QH44" s="128">
        <v>148000</v>
      </c>
      <c r="QI44" s="128">
        <v>0</v>
      </c>
      <c r="QJ44" s="128">
        <v>178080</v>
      </c>
      <c r="QK44" s="128">
        <v>150000</v>
      </c>
      <c r="QL44" s="128">
        <v>30000</v>
      </c>
      <c r="QN44" s="128">
        <v>0</v>
      </c>
      <c r="QO44" s="128">
        <v>0</v>
      </c>
      <c r="QP44" s="128">
        <v>0</v>
      </c>
      <c r="RH44" s="128">
        <f t="shared" si="104"/>
        <v>820000</v>
      </c>
      <c r="RI44" s="128">
        <v>0</v>
      </c>
      <c r="RM44" s="128" t="s">
        <v>220</v>
      </c>
      <c r="RU44" s="130"/>
      <c r="RV44" s="130"/>
      <c r="RW44" s="130"/>
      <c r="RX44" s="130"/>
      <c r="SF44" s="128">
        <f t="shared" si="8"/>
        <v>8090757</v>
      </c>
      <c r="SG44" s="131">
        <f t="shared" si="9"/>
        <v>850000</v>
      </c>
      <c r="SH44" s="131">
        <f t="shared" si="10"/>
        <v>850000</v>
      </c>
      <c r="SI44" s="131">
        <f t="shared" si="11"/>
        <v>615000</v>
      </c>
      <c r="SJ44" s="132">
        <f t="shared" si="12"/>
        <v>580000</v>
      </c>
      <c r="SK44" s="132">
        <f t="shared" si="13"/>
        <v>0</v>
      </c>
      <c r="SL44" s="132">
        <f t="shared" si="14"/>
        <v>30000</v>
      </c>
      <c r="SM44" s="132">
        <f t="shared" si="15"/>
        <v>5000</v>
      </c>
      <c r="SN44" s="131">
        <f t="shared" si="16"/>
        <v>235000</v>
      </c>
      <c r="SO44" s="131">
        <f t="shared" si="17"/>
        <v>0</v>
      </c>
      <c r="SP44" s="132">
        <f t="shared" si="18"/>
        <v>0</v>
      </c>
      <c r="SQ44" s="132">
        <f t="shared" si="19"/>
        <v>0</v>
      </c>
      <c r="SR44" s="132">
        <f t="shared" si="20"/>
        <v>20000</v>
      </c>
      <c r="SS44" s="132">
        <f t="shared" si="21"/>
        <v>5000</v>
      </c>
      <c r="ST44" s="132">
        <f t="shared" si="22"/>
        <v>0</v>
      </c>
      <c r="SU44" s="132">
        <f t="shared" si="23"/>
        <v>18000</v>
      </c>
      <c r="SV44" s="131">
        <f t="shared" si="24"/>
        <v>187000</v>
      </c>
      <c r="SW44" s="132">
        <f t="shared" si="25"/>
        <v>40000</v>
      </c>
      <c r="SX44" s="132">
        <f t="shared" si="26"/>
        <v>4000</v>
      </c>
      <c r="SY44" s="132">
        <f t="shared" si="27"/>
        <v>65000</v>
      </c>
      <c r="SZ44" s="132">
        <f t="shared" si="28"/>
        <v>10000</v>
      </c>
      <c r="TA44" s="132">
        <f t="shared" si="29"/>
        <v>10000</v>
      </c>
      <c r="TB44" s="132">
        <f t="shared" si="30"/>
        <v>0</v>
      </c>
      <c r="TC44" s="132">
        <f t="shared" si="31"/>
        <v>3000</v>
      </c>
      <c r="TD44" s="132">
        <f t="shared" si="32"/>
        <v>0</v>
      </c>
      <c r="TE44" s="132">
        <f t="shared" si="33"/>
        <v>0</v>
      </c>
      <c r="TF44" s="132">
        <f t="shared" si="34"/>
        <v>55000</v>
      </c>
      <c r="TG44" s="132">
        <f t="shared" si="35"/>
        <v>0</v>
      </c>
      <c r="TH44" s="132">
        <f t="shared" si="36"/>
        <v>5000</v>
      </c>
      <c r="TI44" s="1"/>
      <c r="TJ44" s="131">
        <f t="shared" si="37"/>
        <v>749000</v>
      </c>
      <c r="TK44" s="131">
        <f t="shared" si="38"/>
        <v>749000</v>
      </c>
      <c r="TL44" s="131">
        <f t="shared" si="39"/>
        <v>539000</v>
      </c>
      <c r="TM44" s="132">
        <f t="shared" si="40"/>
        <v>510000</v>
      </c>
      <c r="TN44" s="132">
        <f t="shared" si="41"/>
        <v>0</v>
      </c>
      <c r="TO44" s="132">
        <f t="shared" si="42"/>
        <v>25000</v>
      </c>
      <c r="TP44" s="132">
        <f t="shared" si="43"/>
        <v>4000</v>
      </c>
      <c r="TQ44" s="131">
        <f t="shared" si="44"/>
        <v>210000</v>
      </c>
      <c r="TR44" s="131">
        <f t="shared" si="45"/>
        <v>0</v>
      </c>
      <c r="TS44" s="132">
        <f t="shared" si="46"/>
        <v>0</v>
      </c>
      <c r="TT44" s="132">
        <f t="shared" si="47"/>
        <v>0</v>
      </c>
      <c r="TU44" s="132">
        <f t="shared" si="48"/>
        <v>18000</v>
      </c>
      <c r="TV44" s="132">
        <f t="shared" si="49"/>
        <v>5000</v>
      </c>
      <c r="TW44" s="132">
        <f t="shared" si="50"/>
        <v>0</v>
      </c>
      <c r="TX44" s="132">
        <f t="shared" si="51"/>
        <v>14000</v>
      </c>
      <c r="TY44" s="131">
        <f t="shared" si="52"/>
        <v>169000</v>
      </c>
      <c r="TZ44" s="132">
        <f t="shared" si="53"/>
        <v>35000</v>
      </c>
      <c r="UA44" s="132">
        <f t="shared" si="54"/>
        <v>3000</v>
      </c>
      <c r="UB44" s="132">
        <f t="shared" si="55"/>
        <v>60000</v>
      </c>
      <c r="UC44" s="132">
        <f t="shared" si="56"/>
        <v>8000</v>
      </c>
      <c r="UD44" s="132">
        <f t="shared" si="57"/>
        <v>9000</v>
      </c>
      <c r="UE44" s="132">
        <f t="shared" si="58"/>
        <v>0</v>
      </c>
      <c r="UF44" s="132">
        <f t="shared" si="59"/>
        <v>2000</v>
      </c>
      <c r="UG44" s="132">
        <f t="shared" si="60"/>
        <v>0</v>
      </c>
      <c r="UH44" s="132">
        <f t="shared" si="61"/>
        <v>0</v>
      </c>
      <c r="UI44" s="132">
        <f t="shared" si="62"/>
        <v>52000</v>
      </c>
      <c r="UJ44" s="132">
        <f t="shared" si="63"/>
        <v>0</v>
      </c>
      <c r="UK44" s="132">
        <f t="shared" si="64"/>
        <v>4000</v>
      </c>
      <c r="UL44" s="132">
        <f t="shared" si="105"/>
        <v>749000</v>
      </c>
      <c r="UM44" s="131">
        <f t="shared" si="65"/>
        <v>749000</v>
      </c>
      <c r="UN44" s="131">
        <f t="shared" si="66"/>
        <v>749000</v>
      </c>
      <c r="UO44" s="131">
        <f t="shared" si="67"/>
        <v>539000</v>
      </c>
      <c r="UP44" s="132">
        <f t="shared" si="68"/>
        <v>510000</v>
      </c>
      <c r="UQ44" s="132">
        <f t="shared" si="69"/>
        <v>0</v>
      </c>
      <c r="UR44" s="132">
        <f t="shared" si="70"/>
        <v>25000</v>
      </c>
      <c r="US44" s="132">
        <f t="shared" si="71"/>
        <v>4000</v>
      </c>
      <c r="UT44" s="131">
        <f t="shared" si="72"/>
        <v>210000</v>
      </c>
      <c r="UU44" s="131">
        <f t="shared" si="73"/>
        <v>0</v>
      </c>
      <c r="UV44" s="132">
        <f t="shared" si="74"/>
        <v>0</v>
      </c>
      <c r="UW44" s="132">
        <f t="shared" si="75"/>
        <v>0</v>
      </c>
      <c r="UX44" s="132">
        <f t="shared" si="76"/>
        <v>18000</v>
      </c>
      <c r="UY44" s="132">
        <f t="shared" si="77"/>
        <v>5000</v>
      </c>
      <c r="UZ44" s="132">
        <f t="shared" si="78"/>
        <v>0</v>
      </c>
      <c r="VA44" s="132">
        <f t="shared" si="79"/>
        <v>14000</v>
      </c>
      <c r="VB44" s="131">
        <f t="shared" si="80"/>
        <v>169000</v>
      </c>
      <c r="VC44" s="132">
        <f t="shared" si="81"/>
        <v>35000</v>
      </c>
      <c r="VD44" s="132">
        <f t="shared" si="82"/>
        <v>3000</v>
      </c>
      <c r="VE44" s="132">
        <f t="shared" si="83"/>
        <v>60000</v>
      </c>
      <c r="VF44" s="132">
        <f t="shared" si="84"/>
        <v>8000</v>
      </c>
      <c r="VG44" s="132">
        <f t="shared" si="85"/>
        <v>9000</v>
      </c>
      <c r="VH44" s="132">
        <f t="shared" si="86"/>
        <v>0</v>
      </c>
      <c r="VI44" s="132">
        <f t="shared" si="87"/>
        <v>2000</v>
      </c>
      <c r="VJ44" s="132">
        <f t="shared" si="88"/>
        <v>0</v>
      </c>
      <c r="VK44" s="132">
        <f t="shared" si="89"/>
        <v>0</v>
      </c>
      <c r="VL44" s="132">
        <f t="shared" si="90"/>
        <v>52000</v>
      </c>
      <c r="VM44" s="132">
        <f t="shared" si="91"/>
        <v>0</v>
      </c>
      <c r="VN44" s="132">
        <f t="shared" si="92"/>
        <v>4000</v>
      </c>
      <c r="VP44" s="845" t="str">
        <f>IFERROR(HLOOKUP(F44,'Hodnocení '!$C$1:$JH$5,2,FALSE),0)</f>
        <v>Centrum denních služeb</v>
      </c>
      <c r="VQ44" s="838"/>
      <c r="VR44" s="845" t="str">
        <f t="shared" si="106"/>
        <v>Církve a náboženské společnosti</v>
      </c>
      <c r="VS44" s="845" t="str">
        <f>IFERROR(HLOOKUP(F44,'Hodnocení '!$C$1:$JH$5,5,FALSE),0)</f>
        <v>NZO</v>
      </c>
      <c r="VT44" s="838">
        <f t="shared" si="107"/>
        <v>0</v>
      </c>
      <c r="VU44" s="838">
        <f t="shared" si="108"/>
        <v>0</v>
      </c>
      <c r="VV44" s="838">
        <f t="shared" si="109"/>
        <v>30000</v>
      </c>
      <c r="VW44" s="838">
        <f t="shared" si="110"/>
        <v>0</v>
      </c>
      <c r="VX44" s="838"/>
      <c r="VY44" s="838">
        <f t="shared" si="114"/>
        <v>0</v>
      </c>
      <c r="VZ44" s="838">
        <f t="shared" si="115"/>
        <v>749000</v>
      </c>
      <c r="WA44" s="846">
        <f>IFERROR(HLOOKUP($F44,'Hodnocení '!$C$1:$JH$9,9,FALSE),0)</f>
        <v>749000</v>
      </c>
      <c r="WB44" s="846">
        <f>IF(IFERROR(HLOOKUP($F44,'Hodnocení '!$C$1:$JH$13,13,FALSE),0)&gt;WA44,WA44,IFERROR(HLOOKUP($F44,'Hodnocení '!$C$1:$JH$13,13,FALSE),0))</f>
        <v>471661.84132364974</v>
      </c>
      <c r="WC44" s="846">
        <f>IFERROR(HLOOKUP($F44,'Hodnocení '!$C$1:$JH$155,155,FALSE),0)</f>
        <v>640000</v>
      </c>
      <c r="WD44" s="845"/>
      <c r="WE44" s="845"/>
      <c r="WF44" s="845" t="str">
        <f t="shared" si="97"/>
        <v>ANO</v>
      </c>
      <c r="WG44" s="849" t="str">
        <f t="shared" si="117"/>
        <v>Podpora služby je vyjádřena zařazením do sítě sociálních služeb v KHK a řešením financování služby</v>
      </c>
      <c r="WH44"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44" s="849" t="str">
        <f t="shared" si="117"/>
        <v>Návrh dotace je výsledkem projednání s ostatními zadavateli v rámci sítě služeb KHK</v>
      </c>
      <c r="WJ44" s="849" t="str">
        <f t="shared" si="117"/>
        <v>Bez komentáře</v>
      </c>
      <c r="WK44" s="31">
        <f t="shared" si="99"/>
        <v>0</v>
      </c>
      <c r="WL44" s="850">
        <f t="shared" si="100"/>
        <v>0</v>
      </c>
      <c r="WM44" s="849" t="str">
        <f t="shared" si="101"/>
        <v>V rámci sítě KHK se dlouhodobě řeší otázka navyšování úhrad a průběžně se monitoruje s vazbou na vykrytí vyrovnávací platby</v>
      </c>
      <c r="WN44" s="849">
        <f t="shared" si="102"/>
        <v>0</v>
      </c>
      <c r="WO44" s="849" t="str">
        <f t="shared" si="116"/>
        <v>bez komentáře</v>
      </c>
      <c r="WP44" s="849" t="str">
        <f t="shared" si="116"/>
        <v>bez komentáře</v>
      </c>
      <c r="WQ44" s="849" t="str">
        <f t="shared" si="116"/>
        <v>Konečná výše dotace z rozpočtu KHK bude řešena v návaznosti na řešení podílů jednotlivých zadavatelů.</v>
      </c>
      <c r="WR44" s="849" t="str">
        <f t="shared" si="116"/>
        <v>Konečná výše podpory ze stran obcí bude řešena v součinnosti s jednotlivými zadavateli v průběhu roku.</v>
      </c>
      <c r="WS44" s="849" t="str">
        <f t="shared" si="116"/>
        <v>bez komentáře</v>
      </c>
      <c r="WT44" s="849" t="str">
        <f t="shared" si="116"/>
        <v>bez komentáře</v>
      </c>
      <c r="WU44" s="845"/>
    </row>
    <row r="45" spans="1:619" s="128" customFormat="1" x14ac:dyDescent="0.25">
      <c r="A45" s="128" t="str">
        <f>VLOOKUP(F45,'Výpočet VP 2020'!$D$324:$I$588,6,FALSE)</f>
        <v>Je v síti</v>
      </c>
      <c r="B45" s="128" t="s">
        <v>384</v>
      </c>
      <c r="C45" s="128">
        <v>43462162</v>
      </c>
      <c r="D45" s="128" t="s">
        <v>385</v>
      </c>
      <c r="E45" s="128" t="s">
        <v>360</v>
      </c>
      <c r="F45" s="128">
        <v>1008575</v>
      </c>
      <c r="G45" s="128" t="s">
        <v>328</v>
      </c>
      <c r="H45" s="128" t="s">
        <v>218</v>
      </c>
      <c r="I45" s="128" t="s">
        <v>386</v>
      </c>
      <c r="J45" s="129">
        <v>33526</v>
      </c>
      <c r="L45" s="128" t="s">
        <v>220</v>
      </c>
      <c r="X45" s="128" t="s">
        <v>227</v>
      </c>
      <c r="Z45" s="128">
        <v>2</v>
      </c>
      <c r="AA45" s="128">
        <v>8</v>
      </c>
      <c r="AB45" s="128">
        <v>25</v>
      </c>
      <c r="AC45" s="128">
        <v>25</v>
      </c>
      <c r="AD45" s="128">
        <v>25</v>
      </c>
      <c r="AN45" s="128">
        <v>650</v>
      </c>
      <c r="AP45" s="128" t="s">
        <v>387</v>
      </c>
      <c r="AQ45" s="128">
        <v>7</v>
      </c>
      <c r="AR45" s="128">
        <v>110</v>
      </c>
      <c r="AS45" s="128">
        <v>157</v>
      </c>
      <c r="AT45" s="128">
        <v>175</v>
      </c>
      <c r="AU45" s="128">
        <v>175</v>
      </c>
      <c r="BJ45" s="128">
        <v>6500</v>
      </c>
      <c r="BL45" s="128" t="s">
        <v>388</v>
      </c>
      <c r="BM45" s="128" t="s">
        <v>325</v>
      </c>
      <c r="BN45" s="128" t="s">
        <v>364</v>
      </c>
      <c r="BO45" s="128">
        <v>0</v>
      </c>
      <c r="BP45" s="128">
        <v>0</v>
      </c>
      <c r="BQ45" s="128">
        <v>0</v>
      </c>
      <c r="BR45" s="128">
        <v>0</v>
      </c>
      <c r="BS45" s="128">
        <v>0</v>
      </c>
      <c r="BT45" s="128">
        <v>43</v>
      </c>
      <c r="BU45" s="128">
        <v>45</v>
      </c>
      <c r="BV45" s="128">
        <v>11</v>
      </c>
      <c r="BW45" s="128">
        <v>5</v>
      </c>
      <c r="BX45" s="128">
        <v>51</v>
      </c>
      <c r="BY45" s="128">
        <v>43</v>
      </c>
      <c r="BZ45" s="128">
        <v>45</v>
      </c>
      <c r="CA45" s="128">
        <v>11</v>
      </c>
      <c r="CB45" s="128">
        <v>5</v>
      </c>
      <c r="CC45" s="128">
        <v>51</v>
      </c>
      <c r="CD45" s="128">
        <v>0</v>
      </c>
      <c r="CE45" s="128">
        <v>155</v>
      </c>
      <c r="CF45" s="128">
        <v>155</v>
      </c>
      <c r="CG45" s="128">
        <v>0</v>
      </c>
      <c r="CH45" s="128">
        <v>0</v>
      </c>
      <c r="CI45" s="128">
        <v>0</v>
      </c>
      <c r="CJ45" s="128">
        <v>0</v>
      </c>
      <c r="CK45" s="128">
        <v>0</v>
      </c>
      <c r="CL45" s="128">
        <v>0</v>
      </c>
      <c r="CM45" s="128">
        <v>58</v>
      </c>
      <c r="CN45" s="128">
        <v>48</v>
      </c>
      <c r="CO45" s="128">
        <v>22</v>
      </c>
      <c r="CP45" s="128">
        <v>7</v>
      </c>
      <c r="CQ45" s="128">
        <v>65</v>
      </c>
      <c r="CR45" s="128">
        <v>58</v>
      </c>
      <c r="CS45" s="128">
        <v>48</v>
      </c>
      <c r="CT45" s="128">
        <v>22</v>
      </c>
      <c r="CU45" s="128">
        <v>7</v>
      </c>
      <c r="CV45" s="128">
        <v>65</v>
      </c>
      <c r="CW45" s="128">
        <v>0</v>
      </c>
      <c r="CX45" s="128">
        <v>200</v>
      </c>
      <c r="CY45" s="128">
        <v>200</v>
      </c>
      <c r="CZ45" s="128">
        <v>0</v>
      </c>
      <c r="EK45" s="128">
        <v>2</v>
      </c>
      <c r="EL45" s="128">
        <v>1.05</v>
      </c>
      <c r="EM45" s="128">
        <v>1.05</v>
      </c>
      <c r="EN45" s="128">
        <v>565000</v>
      </c>
      <c r="EO45" s="128">
        <v>450000</v>
      </c>
      <c r="EP45" s="128">
        <v>8</v>
      </c>
      <c r="EQ45" s="128">
        <v>5.95</v>
      </c>
      <c r="ER45" s="128">
        <v>6.2</v>
      </c>
      <c r="ES45" s="128">
        <v>2572000</v>
      </c>
      <c r="ET45" s="128">
        <v>2096000</v>
      </c>
      <c r="FO45" s="128">
        <v>8</v>
      </c>
      <c r="FP45" s="128">
        <v>3.17</v>
      </c>
      <c r="FQ45" s="128">
        <v>3.1</v>
      </c>
      <c r="FR45" s="128">
        <v>1593000</v>
      </c>
      <c r="FS45" s="128">
        <v>1050000</v>
      </c>
      <c r="IN45" s="128">
        <v>2</v>
      </c>
      <c r="IO45" s="128">
        <v>370</v>
      </c>
      <c r="IP45" s="128">
        <v>0.17699999999999999</v>
      </c>
      <c r="IQ45" s="128">
        <v>40000</v>
      </c>
      <c r="IR45" s="128">
        <v>0</v>
      </c>
      <c r="IS45" s="128">
        <v>1</v>
      </c>
      <c r="IT45" s="128">
        <v>300</v>
      </c>
      <c r="IU45" s="128">
        <v>0.14299999999999999</v>
      </c>
      <c r="IV45" s="128">
        <v>30000</v>
      </c>
      <c r="IW45" s="128">
        <v>0</v>
      </c>
      <c r="KG45" s="128">
        <v>0</v>
      </c>
      <c r="KI45" s="128">
        <v>7</v>
      </c>
      <c r="KJ45" s="128">
        <v>0</v>
      </c>
      <c r="KK45" s="128">
        <v>0.17699999999999999</v>
      </c>
      <c r="KL45" s="128">
        <v>0</v>
      </c>
      <c r="KM45" s="128">
        <v>7.1769999999999996</v>
      </c>
      <c r="KN45" s="128">
        <v>4730000</v>
      </c>
      <c r="KO45" s="128">
        <v>3596000</v>
      </c>
      <c r="KP45" s="128">
        <v>3596000</v>
      </c>
      <c r="KT45" s="128">
        <v>0</v>
      </c>
      <c r="KU45" s="128">
        <v>0</v>
      </c>
      <c r="KV45" s="128">
        <v>0</v>
      </c>
      <c r="KZ45" s="128">
        <v>70000</v>
      </c>
      <c r="LA45" s="128">
        <v>0</v>
      </c>
      <c r="LB45" s="128">
        <v>0</v>
      </c>
      <c r="LF45" s="128">
        <v>100000</v>
      </c>
      <c r="LG45" s="128">
        <v>0</v>
      </c>
      <c r="LH45" s="128">
        <v>0</v>
      </c>
      <c r="LL45" s="128">
        <v>0</v>
      </c>
      <c r="LM45" s="128">
        <v>0</v>
      </c>
      <c r="LN45" s="128">
        <v>0</v>
      </c>
      <c r="LR45" s="128">
        <v>30000</v>
      </c>
      <c r="LS45" s="128">
        <v>0</v>
      </c>
      <c r="LT45" s="128">
        <v>0</v>
      </c>
      <c r="LX45" s="128">
        <v>900000</v>
      </c>
      <c r="LY45" s="128">
        <v>0</v>
      </c>
      <c r="LZ45" s="128">
        <v>0</v>
      </c>
      <c r="MD45" s="128">
        <v>10000</v>
      </c>
      <c r="ME45" s="128">
        <v>0</v>
      </c>
      <c r="MF45" s="128">
        <v>0</v>
      </c>
      <c r="MJ45" s="128">
        <v>300000</v>
      </c>
      <c r="MK45" s="128">
        <v>0</v>
      </c>
      <c r="ML45" s="128">
        <v>0</v>
      </c>
      <c r="MP45" s="128">
        <v>40000</v>
      </c>
      <c r="MQ45" s="128">
        <v>0</v>
      </c>
      <c r="MR45" s="128">
        <v>0</v>
      </c>
      <c r="MV45" s="128">
        <v>91000</v>
      </c>
      <c r="MW45" s="128">
        <v>0</v>
      </c>
      <c r="MX45" s="128">
        <v>0</v>
      </c>
      <c r="NB45" s="128">
        <v>10000</v>
      </c>
      <c r="NC45" s="128">
        <v>0</v>
      </c>
      <c r="ND45" s="128">
        <v>0</v>
      </c>
      <c r="NH45" s="128">
        <v>78000</v>
      </c>
      <c r="NI45" s="128">
        <v>0</v>
      </c>
      <c r="NJ45" s="128">
        <v>0</v>
      </c>
      <c r="NN45" s="128">
        <v>130000</v>
      </c>
      <c r="NO45" s="128">
        <v>0</v>
      </c>
      <c r="NP45" s="128">
        <v>0</v>
      </c>
      <c r="NT45" s="128">
        <v>0</v>
      </c>
      <c r="NU45" s="128">
        <v>0</v>
      </c>
      <c r="NV45" s="128">
        <v>0</v>
      </c>
      <c r="NZ45" s="128">
        <v>150000</v>
      </c>
      <c r="OA45" s="128">
        <v>0</v>
      </c>
      <c r="OB45" s="128">
        <v>0</v>
      </c>
      <c r="OF45" s="128">
        <v>10000</v>
      </c>
      <c r="OG45" s="128">
        <v>0</v>
      </c>
      <c r="OH45" s="128">
        <v>0</v>
      </c>
      <c r="OL45" s="128">
        <v>0</v>
      </c>
      <c r="OM45" s="128">
        <v>0</v>
      </c>
      <c r="ON45" s="128">
        <v>0</v>
      </c>
      <c r="OR45" s="128">
        <v>0</v>
      </c>
      <c r="OS45" s="128">
        <v>0</v>
      </c>
      <c r="OT45" s="128">
        <v>0</v>
      </c>
      <c r="OX45" s="128">
        <v>77000</v>
      </c>
      <c r="OY45" s="128">
        <v>0</v>
      </c>
      <c r="OZ45" s="128">
        <v>0</v>
      </c>
      <c r="PD45" s="128">
        <v>150000</v>
      </c>
      <c r="PE45" s="128">
        <v>0</v>
      </c>
      <c r="PF45" s="128">
        <v>0</v>
      </c>
      <c r="PJ45" s="128">
        <v>132000</v>
      </c>
      <c r="PK45" s="128">
        <v>0</v>
      </c>
      <c r="PL45" s="128">
        <v>0</v>
      </c>
      <c r="PP45" s="128">
        <v>7008000</v>
      </c>
      <c r="PQ45" s="128">
        <v>3596000</v>
      </c>
      <c r="PR45" s="128">
        <v>3596000</v>
      </c>
      <c r="PS45" s="128">
        <v>100</v>
      </c>
      <c r="PT45" s="128">
        <v>100</v>
      </c>
      <c r="PV45" s="128">
        <v>3675602</v>
      </c>
      <c r="PX45" s="128">
        <v>2658000</v>
      </c>
      <c r="PY45" s="128">
        <v>3102000</v>
      </c>
      <c r="PZ45" s="128">
        <v>3596000</v>
      </c>
      <c r="QA45" s="128">
        <v>0</v>
      </c>
      <c r="QB45" s="128">
        <v>0</v>
      </c>
      <c r="QC45" s="128">
        <v>0</v>
      </c>
      <c r="QD45" s="128">
        <v>0</v>
      </c>
      <c r="QE45" s="128">
        <v>0</v>
      </c>
      <c r="QF45" s="128">
        <v>0</v>
      </c>
      <c r="QG45" s="128">
        <v>0</v>
      </c>
      <c r="QH45" s="128">
        <v>0</v>
      </c>
      <c r="QI45" s="128">
        <v>0</v>
      </c>
      <c r="QJ45" s="128">
        <v>2109617</v>
      </c>
      <c r="QK45" s="128">
        <v>2300000</v>
      </c>
      <c r="QL45" s="128">
        <v>2307000</v>
      </c>
      <c r="QN45" s="128">
        <v>0</v>
      </c>
      <c r="QO45" s="128">
        <v>0</v>
      </c>
      <c r="QP45" s="128">
        <v>0</v>
      </c>
      <c r="QU45" s="128">
        <v>300300</v>
      </c>
      <c r="QV45" s="128">
        <v>223852</v>
      </c>
      <c r="QW45" s="128">
        <v>308000</v>
      </c>
      <c r="QX45" s="128">
        <v>267500</v>
      </c>
      <c r="QY45" s="128">
        <v>253500</v>
      </c>
      <c r="QZ45" s="128">
        <v>327000</v>
      </c>
      <c r="RD45" s="128">
        <v>513244</v>
      </c>
      <c r="RE45" s="128">
        <v>390000</v>
      </c>
      <c r="RF45" s="128">
        <v>470000</v>
      </c>
      <c r="RH45" s="128">
        <f t="shared" si="104"/>
        <v>4701000</v>
      </c>
      <c r="RI45" s="128">
        <v>0</v>
      </c>
      <c r="RM45" s="128" t="s">
        <v>220</v>
      </c>
      <c r="RU45" s="130"/>
      <c r="RV45" s="130"/>
      <c r="RW45" s="130"/>
      <c r="RX45" s="130"/>
      <c r="SF45" s="128">
        <f t="shared" si="8"/>
        <v>1008575</v>
      </c>
      <c r="SG45" s="131">
        <f t="shared" si="9"/>
        <v>7008000</v>
      </c>
      <c r="SH45" s="131">
        <f t="shared" si="10"/>
        <v>7008000</v>
      </c>
      <c r="SI45" s="131">
        <f t="shared" si="11"/>
        <v>4900000</v>
      </c>
      <c r="SJ45" s="132">
        <f t="shared" si="12"/>
        <v>4730000</v>
      </c>
      <c r="SK45" s="132">
        <f t="shared" si="13"/>
        <v>0</v>
      </c>
      <c r="SL45" s="132">
        <f t="shared" si="14"/>
        <v>70000</v>
      </c>
      <c r="SM45" s="132">
        <f t="shared" si="15"/>
        <v>100000</v>
      </c>
      <c r="SN45" s="131">
        <f t="shared" si="16"/>
        <v>2108000</v>
      </c>
      <c r="SO45" s="131">
        <f t="shared" si="17"/>
        <v>30000</v>
      </c>
      <c r="SP45" s="132">
        <f t="shared" si="18"/>
        <v>0</v>
      </c>
      <c r="SQ45" s="132">
        <f t="shared" si="19"/>
        <v>30000</v>
      </c>
      <c r="SR45" s="132">
        <f t="shared" si="20"/>
        <v>900000</v>
      </c>
      <c r="SS45" s="132">
        <f t="shared" si="21"/>
        <v>10000</v>
      </c>
      <c r="ST45" s="132">
        <f t="shared" si="22"/>
        <v>300000</v>
      </c>
      <c r="SU45" s="132">
        <f t="shared" si="23"/>
        <v>40000</v>
      </c>
      <c r="SV45" s="131">
        <f t="shared" si="24"/>
        <v>546000</v>
      </c>
      <c r="SW45" s="132">
        <f t="shared" si="25"/>
        <v>91000</v>
      </c>
      <c r="SX45" s="132">
        <f t="shared" si="26"/>
        <v>10000</v>
      </c>
      <c r="SY45" s="132">
        <f t="shared" si="27"/>
        <v>78000</v>
      </c>
      <c r="SZ45" s="132">
        <f t="shared" si="28"/>
        <v>130000</v>
      </c>
      <c r="TA45" s="132">
        <f t="shared" si="29"/>
        <v>0</v>
      </c>
      <c r="TB45" s="132">
        <f t="shared" si="30"/>
        <v>150000</v>
      </c>
      <c r="TC45" s="132">
        <f t="shared" si="31"/>
        <v>10000</v>
      </c>
      <c r="TD45" s="132">
        <f t="shared" si="32"/>
        <v>0</v>
      </c>
      <c r="TE45" s="132">
        <f t="shared" si="33"/>
        <v>0</v>
      </c>
      <c r="TF45" s="132">
        <f t="shared" si="34"/>
        <v>77000</v>
      </c>
      <c r="TG45" s="132">
        <f t="shared" si="35"/>
        <v>150000</v>
      </c>
      <c r="TH45" s="132">
        <f t="shared" si="36"/>
        <v>132000</v>
      </c>
      <c r="TI45" s="1"/>
      <c r="TJ45" s="131">
        <f t="shared" si="37"/>
        <v>3596000</v>
      </c>
      <c r="TK45" s="131">
        <f t="shared" si="38"/>
        <v>3596000</v>
      </c>
      <c r="TL45" s="131">
        <f t="shared" si="39"/>
        <v>3596000</v>
      </c>
      <c r="TM45" s="132">
        <f t="shared" si="40"/>
        <v>3596000</v>
      </c>
      <c r="TN45" s="132">
        <f t="shared" si="41"/>
        <v>0</v>
      </c>
      <c r="TO45" s="132">
        <f t="shared" si="42"/>
        <v>0</v>
      </c>
      <c r="TP45" s="132">
        <f t="shared" si="43"/>
        <v>0</v>
      </c>
      <c r="TQ45" s="131">
        <f t="shared" si="44"/>
        <v>0</v>
      </c>
      <c r="TR45" s="131">
        <f t="shared" si="45"/>
        <v>0</v>
      </c>
      <c r="TS45" s="132">
        <f t="shared" si="46"/>
        <v>0</v>
      </c>
      <c r="TT45" s="132">
        <f t="shared" si="47"/>
        <v>0</v>
      </c>
      <c r="TU45" s="132">
        <f t="shared" si="48"/>
        <v>0</v>
      </c>
      <c r="TV45" s="132">
        <f t="shared" si="49"/>
        <v>0</v>
      </c>
      <c r="TW45" s="132">
        <f t="shared" si="50"/>
        <v>0</v>
      </c>
      <c r="TX45" s="132">
        <f t="shared" si="51"/>
        <v>0</v>
      </c>
      <c r="TY45" s="131">
        <f t="shared" si="52"/>
        <v>0</v>
      </c>
      <c r="TZ45" s="132">
        <f t="shared" si="53"/>
        <v>0</v>
      </c>
      <c r="UA45" s="132">
        <f t="shared" si="54"/>
        <v>0</v>
      </c>
      <c r="UB45" s="132">
        <f t="shared" si="55"/>
        <v>0</v>
      </c>
      <c r="UC45" s="132">
        <f t="shared" si="56"/>
        <v>0</v>
      </c>
      <c r="UD45" s="132">
        <f t="shared" si="57"/>
        <v>0</v>
      </c>
      <c r="UE45" s="132">
        <f t="shared" si="58"/>
        <v>0</v>
      </c>
      <c r="UF45" s="132">
        <f t="shared" si="59"/>
        <v>0</v>
      </c>
      <c r="UG45" s="132">
        <f t="shared" si="60"/>
        <v>0</v>
      </c>
      <c r="UH45" s="132">
        <f t="shared" si="61"/>
        <v>0</v>
      </c>
      <c r="UI45" s="132">
        <f t="shared" si="62"/>
        <v>0</v>
      </c>
      <c r="UJ45" s="132">
        <f t="shared" si="63"/>
        <v>0</v>
      </c>
      <c r="UK45" s="132">
        <f t="shared" si="64"/>
        <v>0</v>
      </c>
      <c r="UL45" s="132">
        <f t="shared" si="105"/>
        <v>3596000</v>
      </c>
      <c r="UM45" s="131">
        <f t="shared" si="65"/>
        <v>3596000</v>
      </c>
      <c r="UN45" s="131">
        <f t="shared" si="66"/>
        <v>3596000</v>
      </c>
      <c r="UO45" s="131">
        <f t="shared" si="67"/>
        <v>3596000</v>
      </c>
      <c r="UP45" s="132">
        <f t="shared" si="68"/>
        <v>3596000</v>
      </c>
      <c r="UQ45" s="132">
        <f t="shared" si="69"/>
        <v>0</v>
      </c>
      <c r="UR45" s="132">
        <f t="shared" si="70"/>
        <v>0</v>
      </c>
      <c r="US45" s="132">
        <f t="shared" si="71"/>
        <v>0</v>
      </c>
      <c r="UT45" s="131">
        <f t="shared" si="72"/>
        <v>0</v>
      </c>
      <c r="UU45" s="131">
        <f t="shared" si="73"/>
        <v>0</v>
      </c>
      <c r="UV45" s="132">
        <f t="shared" si="74"/>
        <v>0</v>
      </c>
      <c r="UW45" s="132">
        <f t="shared" si="75"/>
        <v>0</v>
      </c>
      <c r="UX45" s="132">
        <f t="shared" si="76"/>
        <v>0</v>
      </c>
      <c r="UY45" s="132">
        <f t="shared" si="77"/>
        <v>0</v>
      </c>
      <c r="UZ45" s="132">
        <f t="shared" si="78"/>
        <v>0</v>
      </c>
      <c r="VA45" s="132">
        <f t="shared" si="79"/>
        <v>0</v>
      </c>
      <c r="VB45" s="131">
        <f t="shared" si="80"/>
        <v>0</v>
      </c>
      <c r="VC45" s="132">
        <f t="shared" si="81"/>
        <v>0</v>
      </c>
      <c r="VD45" s="132">
        <f t="shared" si="82"/>
        <v>0</v>
      </c>
      <c r="VE45" s="132">
        <f t="shared" si="83"/>
        <v>0</v>
      </c>
      <c r="VF45" s="132">
        <f t="shared" si="84"/>
        <v>0</v>
      </c>
      <c r="VG45" s="132">
        <f t="shared" si="85"/>
        <v>0</v>
      </c>
      <c r="VH45" s="132">
        <f t="shared" si="86"/>
        <v>0</v>
      </c>
      <c r="VI45" s="132">
        <f t="shared" si="87"/>
        <v>0</v>
      </c>
      <c r="VJ45" s="132">
        <f t="shared" si="88"/>
        <v>0</v>
      </c>
      <c r="VK45" s="132">
        <f t="shared" si="89"/>
        <v>0</v>
      </c>
      <c r="VL45" s="132">
        <f t="shared" si="90"/>
        <v>0</v>
      </c>
      <c r="VM45" s="132">
        <f t="shared" si="91"/>
        <v>0</v>
      </c>
      <c r="VN45" s="132">
        <f t="shared" si="92"/>
        <v>0</v>
      </c>
      <c r="VP45" s="845" t="str">
        <f>IFERROR(HLOOKUP(F45,'Hodnocení '!$C$1:$JH$5,2,FALSE),0)</f>
        <v>Pečovatelská služba</v>
      </c>
      <c r="VQ45" s="838"/>
      <c r="VR45" s="845" t="str">
        <f t="shared" si="106"/>
        <v>Církve a náboženské společnosti</v>
      </c>
      <c r="VS45" s="845" t="str">
        <f>IFERROR(HLOOKUP(F45,'Hodnocení '!$C$1:$JH$5,5,FALSE),0)</f>
        <v>NZO</v>
      </c>
      <c r="VT45" s="838">
        <f t="shared" si="107"/>
        <v>0</v>
      </c>
      <c r="VU45" s="838">
        <f t="shared" si="108"/>
        <v>0</v>
      </c>
      <c r="VV45" s="838">
        <f t="shared" si="109"/>
        <v>2307000</v>
      </c>
      <c r="VW45" s="838">
        <f t="shared" si="110"/>
        <v>0</v>
      </c>
      <c r="VX45" s="838"/>
      <c r="VY45" s="838">
        <f t="shared" si="114"/>
        <v>0</v>
      </c>
      <c r="VZ45" s="838">
        <f t="shared" si="115"/>
        <v>3596000</v>
      </c>
      <c r="WA45" s="846">
        <f>IFERROR(HLOOKUP($F45,'Hodnocení '!$C$1:$JH$9,9,FALSE),0)</f>
        <v>3596000</v>
      </c>
      <c r="WB45" s="846">
        <f>IF(IFERROR(HLOOKUP($F45,'Hodnocení '!$C$1:$JH$13,13,FALSE),0)&gt;WA45,WA45,IFERROR(HLOOKUP($F45,'Hodnocení '!$C$1:$JH$13,13,FALSE),0))</f>
        <v>3510607.0288166855</v>
      </c>
      <c r="WC45" s="846">
        <f>IFERROR(HLOOKUP($F45,'Hodnocení '!$C$1:$JH$155,155,FALSE),0)</f>
        <v>3450810</v>
      </c>
      <c r="WD45" s="845"/>
      <c r="WE45" s="845"/>
      <c r="WF45" s="845" t="str">
        <f t="shared" si="97"/>
        <v>ANO</v>
      </c>
      <c r="WG45" s="849" t="str">
        <f t="shared" si="117"/>
        <v>Podpora služby je vyjádřena zařazením do sítě sociálních služeb v KHK a řešením financování služby</v>
      </c>
      <c r="WH45"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45" s="849" t="str">
        <f t="shared" si="117"/>
        <v>Návrh dotace je výsledkem projednání s ostatními zadavateli v rámci sítě služeb KHK</v>
      </c>
      <c r="WJ45" s="849" t="str">
        <f t="shared" si="117"/>
        <v>Bez komentáře</v>
      </c>
      <c r="WK45" s="31">
        <f t="shared" si="99"/>
        <v>0</v>
      </c>
      <c r="WL45" s="850">
        <f t="shared" si="100"/>
        <v>0</v>
      </c>
      <c r="WM45" s="849" t="str">
        <f t="shared" si="101"/>
        <v>V rámci sítě KHK se dlouhodobě řeší otázka navyšování úhrad a průběžně se monitoruje s vazbou na vykrytí vyrovnávací platby</v>
      </c>
      <c r="WN45" s="849">
        <f t="shared" si="102"/>
        <v>0</v>
      </c>
      <c r="WO45" s="849" t="str">
        <f t="shared" si="116"/>
        <v>bez komentáře</v>
      </c>
      <c r="WP45" s="849" t="str">
        <f t="shared" si="116"/>
        <v>bez komentáře</v>
      </c>
      <c r="WQ45" s="849" t="str">
        <f t="shared" si="116"/>
        <v>Konečná výše dotace z rozpočtu KHK bude řešena v návaznosti na řešení podílů jednotlivých zadavatelů.</v>
      </c>
      <c r="WR45" s="849" t="str">
        <f t="shared" si="116"/>
        <v>Konečná výše podpory ze stran obcí bude řešena v součinnosti s jednotlivými zadavateli v průběhu roku.</v>
      </c>
      <c r="WS45" s="849" t="str">
        <f t="shared" si="116"/>
        <v>bez komentáře</v>
      </c>
      <c r="WT45" s="849" t="str">
        <f t="shared" si="116"/>
        <v>bez komentáře</v>
      </c>
      <c r="WU45" s="845"/>
    </row>
    <row r="46" spans="1:619" s="128" customFormat="1" x14ac:dyDescent="0.25">
      <c r="A46" s="128" t="str">
        <f>VLOOKUP(F46,'Výpočet VP 2020'!$D$324:$I$588,6,FALSE)</f>
        <v>Je v síti</v>
      </c>
      <c r="B46" s="128" t="s">
        <v>384</v>
      </c>
      <c r="C46" s="128">
        <v>43462162</v>
      </c>
      <c r="D46" s="128" t="s">
        <v>385</v>
      </c>
      <c r="E46" s="128" t="s">
        <v>360</v>
      </c>
      <c r="F46" s="128">
        <v>1567065</v>
      </c>
      <c r="G46" s="128" t="s">
        <v>217</v>
      </c>
      <c r="H46" s="128" t="s">
        <v>218</v>
      </c>
      <c r="I46" s="128" t="s">
        <v>389</v>
      </c>
      <c r="J46" s="129">
        <v>37940</v>
      </c>
      <c r="L46" s="128" t="s">
        <v>220</v>
      </c>
      <c r="X46" s="128" t="s">
        <v>315</v>
      </c>
      <c r="Z46" s="128">
        <v>12</v>
      </c>
      <c r="AA46" s="128">
        <v>14</v>
      </c>
      <c r="AB46" s="128">
        <v>29</v>
      </c>
      <c r="AC46" s="128">
        <v>28</v>
      </c>
      <c r="AD46" s="128">
        <v>29</v>
      </c>
      <c r="AN46" s="128">
        <v>10000</v>
      </c>
      <c r="BL46" s="128" t="s">
        <v>351</v>
      </c>
      <c r="BM46" s="128" t="s">
        <v>325</v>
      </c>
      <c r="BN46" s="128" t="s">
        <v>352</v>
      </c>
      <c r="BO46" s="128">
        <v>0</v>
      </c>
      <c r="BP46" s="128">
        <v>0</v>
      </c>
      <c r="BQ46" s="128">
        <v>0</v>
      </c>
      <c r="BR46" s="128">
        <v>0</v>
      </c>
      <c r="BS46" s="128">
        <v>0</v>
      </c>
      <c r="BT46" s="128">
        <v>3</v>
      </c>
      <c r="BU46" s="128">
        <v>10</v>
      </c>
      <c r="BV46" s="128">
        <v>1</v>
      </c>
      <c r="BW46" s="128">
        <v>2</v>
      </c>
      <c r="BX46" s="128">
        <v>2</v>
      </c>
      <c r="BY46" s="128">
        <v>3</v>
      </c>
      <c r="BZ46" s="128">
        <v>10</v>
      </c>
      <c r="CA46" s="128">
        <v>1</v>
      </c>
      <c r="CB46" s="128">
        <v>2</v>
      </c>
      <c r="CC46" s="128">
        <v>2</v>
      </c>
      <c r="CD46" s="128">
        <v>0</v>
      </c>
      <c r="CE46" s="128">
        <v>18</v>
      </c>
      <c r="CF46" s="128">
        <v>18</v>
      </c>
      <c r="CH46" s="128">
        <v>0</v>
      </c>
      <c r="CI46" s="128">
        <v>0</v>
      </c>
      <c r="CJ46" s="128">
        <v>0</v>
      </c>
      <c r="CK46" s="128">
        <v>0</v>
      </c>
      <c r="CL46" s="128">
        <v>0</v>
      </c>
      <c r="CM46" s="128">
        <v>5</v>
      </c>
      <c r="CN46" s="128">
        <v>10</v>
      </c>
      <c r="CO46" s="128">
        <v>5</v>
      </c>
      <c r="CP46" s="128">
        <v>3</v>
      </c>
      <c r="CQ46" s="128">
        <v>6</v>
      </c>
      <c r="CR46" s="128">
        <v>5</v>
      </c>
      <c r="CS46" s="128">
        <v>10</v>
      </c>
      <c r="CT46" s="128">
        <v>5</v>
      </c>
      <c r="CU46" s="128">
        <v>3</v>
      </c>
      <c r="CV46" s="128">
        <v>6</v>
      </c>
      <c r="CW46" s="128">
        <v>0</v>
      </c>
      <c r="CX46" s="128">
        <v>29</v>
      </c>
      <c r="CY46" s="128">
        <v>29</v>
      </c>
      <c r="EK46" s="128">
        <v>2</v>
      </c>
      <c r="EL46" s="128">
        <v>0.16</v>
      </c>
      <c r="EM46" s="128">
        <v>0.16</v>
      </c>
      <c r="EN46" s="128">
        <v>135000</v>
      </c>
      <c r="EO46" s="128">
        <v>115000</v>
      </c>
      <c r="EP46" s="128">
        <v>3</v>
      </c>
      <c r="EQ46" s="128">
        <v>1.95</v>
      </c>
      <c r="ER46" s="128">
        <v>1.94</v>
      </c>
      <c r="ES46" s="128">
        <v>737000</v>
      </c>
      <c r="ET46" s="128">
        <v>510000</v>
      </c>
      <c r="FO46" s="128">
        <v>5</v>
      </c>
      <c r="FP46" s="128">
        <v>0.41</v>
      </c>
      <c r="FQ46" s="128">
        <v>0.55000000000000004</v>
      </c>
      <c r="FR46" s="128">
        <v>178000</v>
      </c>
      <c r="FS46" s="128">
        <v>135000</v>
      </c>
      <c r="IN46" s="128">
        <v>1</v>
      </c>
      <c r="IO46" s="128">
        <v>200</v>
      </c>
      <c r="IP46" s="128">
        <v>9.5000000000000001E-2</v>
      </c>
      <c r="IQ46" s="128">
        <v>22000</v>
      </c>
      <c r="IR46" s="128">
        <v>0</v>
      </c>
      <c r="KG46" s="128">
        <v>4</v>
      </c>
      <c r="KH46" s="128">
        <v>60</v>
      </c>
      <c r="KI46" s="128">
        <v>2.11</v>
      </c>
      <c r="KJ46" s="128">
        <v>0</v>
      </c>
      <c r="KK46" s="128">
        <v>9.5000000000000001E-2</v>
      </c>
      <c r="KL46" s="128">
        <v>0</v>
      </c>
      <c r="KM46" s="128">
        <v>2.2050000000000001</v>
      </c>
      <c r="KN46" s="128">
        <v>1050000</v>
      </c>
      <c r="KO46" s="128">
        <v>760000</v>
      </c>
      <c r="KP46" s="128">
        <v>760000</v>
      </c>
      <c r="KT46" s="128">
        <v>0</v>
      </c>
      <c r="KU46" s="128">
        <v>0</v>
      </c>
      <c r="KV46" s="128">
        <v>0</v>
      </c>
      <c r="KZ46" s="128">
        <v>22000</v>
      </c>
      <c r="LA46" s="128">
        <v>0</v>
      </c>
      <c r="LB46" s="128">
        <v>0</v>
      </c>
      <c r="LF46" s="128">
        <v>20000</v>
      </c>
      <c r="LG46" s="128">
        <v>0</v>
      </c>
      <c r="LH46" s="128">
        <v>0</v>
      </c>
      <c r="LL46" s="128">
        <v>0</v>
      </c>
      <c r="LM46" s="128">
        <v>0</v>
      </c>
      <c r="LN46" s="128">
        <v>0</v>
      </c>
      <c r="LR46" s="128">
        <v>30000</v>
      </c>
      <c r="LS46" s="128">
        <v>0</v>
      </c>
      <c r="LT46" s="128">
        <v>0</v>
      </c>
      <c r="LX46" s="128">
        <v>54000</v>
      </c>
      <c r="LY46" s="128">
        <v>0</v>
      </c>
      <c r="LZ46" s="128">
        <v>0</v>
      </c>
      <c r="MD46" s="128">
        <v>3000</v>
      </c>
      <c r="ME46" s="128">
        <v>0</v>
      </c>
      <c r="MF46" s="128">
        <v>0</v>
      </c>
      <c r="MJ46" s="128">
        <v>5000</v>
      </c>
      <c r="MK46" s="128">
        <v>0</v>
      </c>
      <c r="ML46" s="128">
        <v>0</v>
      </c>
      <c r="MP46" s="128">
        <v>23000</v>
      </c>
      <c r="MQ46" s="128">
        <v>0</v>
      </c>
      <c r="MR46" s="128">
        <v>0</v>
      </c>
      <c r="MV46" s="128">
        <v>40000</v>
      </c>
      <c r="MW46" s="128">
        <v>0</v>
      </c>
      <c r="MX46" s="128">
        <v>0</v>
      </c>
      <c r="NB46" s="128">
        <v>0</v>
      </c>
      <c r="NC46" s="128">
        <v>0</v>
      </c>
      <c r="ND46" s="128">
        <v>0</v>
      </c>
      <c r="NH46" s="128">
        <v>0</v>
      </c>
      <c r="NI46" s="128">
        <v>0</v>
      </c>
      <c r="NJ46" s="128">
        <v>0</v>
      </c>
      <c r="NN46" s="128">
        <v>20000</v>
      </c>
      <c r="NO46" s="128">
        <v>0</v>
      </c>
      <c r="NP46" s="128">
        <v>0</v>
      </c>
      <c r="NT46" s="128">
        <v>0</v>
      </c>
      <c r="NU46" s="128">
        <v>0</v>
      </c>
      <c r="NV46" s="128">
        <v>0</v>
      </c>
      <c r="NZ46" s="128">
        <v>10000</v>
      </c>
      <c r="OA46" s="128">
        <v>0</v>
      </c>
      <c r="OB46" s="128">
        <v>0</v>
      </c>
      <c r="OF46" s="128">
        <v>2000</v>
      </c>
      <c r="OG46" s="128">
        <v>0</v>
      </c>
      <c r="OH46" s="128">
        <v>0</v>
      </c>
      <c r="OL46" s="128">
        <v>0</v>
      </c>
      <c r="OM46" s="128">
        <v>0</v>
      </c>
      <c r="ON46" s="128">
        <v>0</v>
      </c>
      <c r="OR46" s="128">
        <v>0</v>
      </c>
      <c r="OS46" s="128">
        <v>0</v>
      </c>
      <c r="OT46" s="128">
        <v>0</v>
      </c>
      <c r="OX46" s="128">
        <v>5000</v>
      </c>
      <c r="OY46" s="128">
        <v>0</v>
      </c>
      <c r="OZ46" s="128">
        <v>0</v>
      </c>
      <c r="PD46" s="128">
        <v>0</v>
      </c>
      <c r="PE46" s="128">
        <v>0</v>
      </c>
      <c r="PF46" s="128">
        <v>0</v>
      </c>
      <c r="PJ46" s="128">
        <v>10000</v>
      </c>
      <c r="PK46" s="128">
        <v>0</v>
      </c>
      <c r="PL46" s="128">
        <v>0</v>
      </c>
      <c r="PP46" s="128">
        <v>1294000</v>
      </c>
      <c r="PQ46" s="128">
        <v>760000</v>
      </c>
      <c r="PR46" s="128">
        <v>760000</v>
      </c>
      <c r="PS46" s="128">
        <v>100</v>
      </c>
      <c r="PT46" s="128">
        <v>100</v>
      </c>
      <c r="PV46" s="128">
        <v>990959</v>
      </c>
      <c r="PX46" s="128">
        <v>571000</v>
      </c>
      <c r="PY46" s="128">
        <v>599300</v>
      </c>
      <c r="PZ46" s="128">
        <v>760000</v>
      </c>
      <c r="QA46" s="128">
        <v>0</v>
      </c>
      <c r="QB46" s="128">
        <v>0</v>
      </c>
      <c r="QC46" s="128">
        <v>0</v>
      </c>
      <c r="QD46" s="128">
        <v>0</v>
      </c>
      <c r="QE46" s="128">
        <v>0</v>
      </c>
      <c r="QF46" s="128">
        <v>0</v>
      </c>
      <c r="QG46" s="128">
        <v>0</v>
      </c>
      <c r="QH46" s="128">
        <v>0</v>
      </c>
      <c r="QI46" s="128">
        <v>0</v>
      </c>
      <c r="QJ46" s="128">
        <v>380609</v>
      </c>
      <c r="QK46" s="128">
        <v>370000</v>
      </c>
      <c r="QL46" s="128">
        <v>385000</v>
      </c>
      <c r="QN46" s="128">
        <v>0</v>
      </c>
      <c r="QO46" s="128">
        <v>0</v>
      </c>
      <c r="QP46" s="128">
        <v>0</v>
      </c>
      <c r="QU46" s="128">
        <v>0</v>
      </c>
      <c r="QV46" s="128">
        <v>67966</v>
      </c>
      <c r="QW46" s="128">
        <v>34000</v>
      </c>
      <c r="QX46" s="128">
        <v>96000</v>
      </c>
      <c r="QY46" s="128">
        <v>101700</v>
      </c>
      <c r="QZ46" s="128">
        <v>105000</v>
      </c>
      <c r="RD46" s="128">
        <v>8260</v>
      </c>
      <c r="RE46" s="128">
        <v>8000</v>
      </c>
      <c r="RF46" s="128">
        <v>10000</v>
      </c>
      <c r="RH46" s="128">
        <f t="shared" si="104"/>
        <v>909000</v>
      </c>
      <c r="RI46" s="128">
        <v>0</v>
      </c>
      <c r="RM46" s="128" t="s">
        <v>220</v>
      </c>
      <c r="RU46" s="130"/>
      <c r="RV46" s="130"/>
      <c r="RW46" s="130"/>
      <c r="RX46" s="130"/>
      <c r="SF46" s="128">
        <f t="shared" si="8"/>
        <v>1567065</v>
      </c>
      <c r="SG46" s="131">
        <f t="shared" si="9"/>
        <v>1294000</v>
      </c>
      <c r="SH46" s="131">
        <f t="shared" si="10"/>
        <v>1294000</v>
      </c>
      <c r="SI46" s="131">
        <f t="shared" si="11"/>
        <v>1092000</v>
      </c>
      <c r="SJ46" s="132">
        <f t="shared" si="12"/>
        <v>1050000</v>
      </c>
      <c r="SK46" s="132">
        <f t="shared" si="13"/>
        <v>0</v>
      </c>
      <c r="SL46" s="132">
        <f t="shared" si="14"/>
        <v>22000</v>
      </c>
      <c r="SM46" s="132">
        <f t="shared" si="15"/>
        <v>20000</v>
      </c>
      <c r="SN46" s="131">
        <f t="shared" si="16"/>
        <v>202000</v>
      </c>
      <c r="SO46" s="131">
        <f t="shared" si="17"/>
        <v>30000</v>
      </c>
      <c r="SP46" s="132">
        <f t="shared" si="18"/>
        <v>0</v>
      </c>
      <c r="SQ46" s="132">
        <f t="shared" si="19"/>
        <v>30000</v>
      </c>
      <c r="SR46" s="132">
        <f t="shared" si="20"/>
        <v>54000</v>
      </c>
      <c r="SS46" s="132">
        <f t="shared" si="21"/>
        <v>3000</v>
      </c>
      <c r="ST46" s="132">
        <f t="shared" si="22"/>
        <v>5000</v>
      </c>
      <c r="SU46" s="132">
        <f t="shared" si="23"/>
        <v>23000</v>
      </c>
      <c r="SV46" s="131">
        <f t="shared" si="24"/>
        <v>77000</v>
      </c>
      <c r="SW46" s="132">
        <f t="shared" si="25"/>
        <v>40000</v>
      </c>
      <c r="SX46" s="132">
        <f t="shared" si="26"/>
        <v>0</v>
      </c>
      <c r="SY46" s="132">
        <f t="shared" si="27"/>
        <v>0</v>
      </c>
      <c r="SZ46" s="132">
        <f t="shared" si="28"/>
        <v>20000</v>
      </c>
      <c r="TA46" s="132">
        <f t="shared" si="29"/>
        <v>0</v>
      </c>
      <c r="TB46" s="132">
        <f t="shared" si="30"/>
        <v>10000</v>
      </c>
      <c r="TC46" s="132">
        <f t="shared" si="31"/>
        <v>2000</v>
      </c>
      <c r="TD46" s="132">
        <f t="shared" si="32"/>
        <v>0</v>
      </c>
      <c r="TE46" s="132">
        <f t="shared" si="33"/>
        <v>0</v>
      </c>
      <c r="TF46" s="132">
        <f t="shared" si="34"/>
        <v>5000</v>
      </c>
      <c r="TG46" s="132">
        <f t="shared" si="35"/>
        <v>0</v>
      </c>
      <c r="TH46" s="132">
        <f t="shared" si="36"/>
        <v>10000</v>
      </c>
      <c r="TI46" s="1"/>
      <c r="TJ46" s="131">
        <f t="shared" si="37"/>
        <v>760000</v>
      </c>
      <c r="TK46" s="131">
        <f t="shared" si="38"/>
        <v>760000</v>
      </c>
      <c r="TL46" s="131">
        <f t="shared" si="39"/>
        <v>760000</v>
      </c>
      <c r="TM46" s="132">
        <f t="shared" si="40"/>
        <v>760000</v>
      </c>
      <c r="TN46" s="132">
        <f t="shared" si="41"/>
        <v>0</v>
      </c>
      <c r="TO46" s="132">
        <f t="shared" si="42"/>
        <v>0</v>
      </c>
      <c r="TP46" s="132">
        <f t="shared" si="43"/>
        <v>0</v>
      </c>
      <c r="TQ46" s="131">
        <f t="shared" si="44"/>
        <v>0</v>
      </c>
      <c r="TR46" s="131">
        <f t="shared" si="45"/>
        <v>0</v>
      </c>
      <c r="TS46" s="132">
        <f t="shared" si="46"/>
        <v>0</v>
      </c>
      <c r="TT46" s="132">
        <f t="shared" si="47"/>
        <v>0</v>
      </c>
      <c r="TU46" s="132">
        <f t="shared" si="48"/>
        <v>0</v>
      </c>
      <c r="TV46" s="132">
        <f t="shared" si="49"/>
        <v>0</v>
      </c>
      <c r="TW46" s="132">
        <f t="shared" si="50"/>
        <v>0</v>
      </c>
      <c r="TX46" s="132">
        <f t="shared" si="51"/>
        <v>0</v>
      </c>
      <c r="TY46" s="131">
        <f t="shared" si="52"/>
        <v>0</v>
      </c>
      <c r="TZ46" s="132">
        <f t="shared" si="53"/>
        <v>0</v>
      </c>
      <c r="UA46" s="132">
        <f t="shared" si="54"/>
        <v>0</v>
      </c>
      <c r="UB46" s="132">
        <f t="shared" si="55"/>
        <v>0</v>
      </c>
      <c r="UC46" s="132">
        <f t="shared" si="56"/>
        <v>0</v>
      </c>
      <c r="UD46" s="132">
        <f t="shared" si="57"/>
        <v>0</v>
      </c>
      <c r="UE46" s="132">
        <f t="shared" si="58"/>
        <v>0</v>
      </c>
      <c r="UF46" s="132">
        <f t="shared" si="59"/>
        <v>0</v>
      </c>
      <c r="UG46" s="132">
        <f t="shared" si="60"/>
        <v>0</v>
      </c>
      <c r="UH46" s="132">
        <f t="shared" si="61"/>
        <v>0</v>
      </c>
      <c r="UI46" s="132">
        <f t="shared" si="62"/>
        <v>0</v>
      </c>
      <c r="UJ46" s="132">
        <f t="shared" si="63"/>
        <v>0</v>
      </c>
      <c r="UK46" s="132">
        <f t="shared" si="64"/>
        <v>0</v>
      </c>
      <c r="UL46" s="132">
        <f t="shared" si="105"/>
        <v>760000</v>
      </c>
      <c r="UM46" s="131">
        <f t="shared" si="65"/>
        <v>760000</v>
      </c>
      <c r="UN46" s="131">
        <f t="shared" si="66"/>
        <v>760000</v>
      </c>
      <c r="UO46" s="131">
        <f t="shared" si="67"/>
        <v>760000</v>
      </c>
      <c r="UP46" s="132">
        <f t="shared" si="68"/>
        <v>760000</v>
      </c>
      <c r="UQ46" s="132">
        <f t="shared" si="69"/>
        <v>0</v>
      </c>
      <c r="UR46" s="132">
        <f t="shared" si="70"/>
        <v>0</v>
      </c>
      <c r="US46" s="132">
        <f t="shared" si="71"/>
        <v>0</v>
      </c>
      <c r="UT46" s="131">
        <f t="shared" si="72"/>
        <v>0</v>
      </c>
      <c r="UU46" s="131">
        <f t="shared" si="73"/>
        <v>0</v>
      </c>
      <c r="UV46" s="132">
        <f t="shared" si="74"/>
        <v>0</v>
      </c>
      <c r="UW46" s="132">
        <f t="shared" si="75"/>
        <v>0</v>
      </c>
      <c r="UX46" s="132">
        <f t="shared" si="76"/>
        <v>0</v>
      </c>
      <c r="UY46" s="132">
        <f t="shared" si="77"/>
        <v>0</v>
      </c>
      <c r="UZ46" s="132">
        <f t="shared" si="78"/>
        <v>0</v>
      </c>
      <c r="VA46" s="132">
        <f t="shared" si="79"/>
        <v>0</v>
      </c>
      <c r="VB46" s="131">
        <f t="shared" si="80"/>
        <v>0</v>
      </c>
      <c r="VC46" s="132">
        <f t="shared" si="81"/>
        <v>0</v>
      </c>
      <c r="VD46" s="132">
        <f t="shared" si="82"/>
        <v>0</v>
      </c>
      <c r="VE46" s="132">
        <f t="shared" si="83"/>
        <v>0</v>
      </c>
      <c r="VF46" s="132">
        <f t="shared" si="84"/>
        <v>0</v>
      </c>
      <c r="VG46" s="132">
        <f t="shared" si="85"/>
        <v>0</v>
      </c>
      <c r="VH46" s="132">
        <f t="shared" si="86"/>
        <v>0</v>
      </c>
      <c r="VI46" s="132">
        <f t="shared" si="87"/>
        <v>0</v>
      </c>
      <c r="VJ46" s="132">
        <f t="shared" si="88"/>
        <v>0</v>
      </c>
      <c r="VK46" s="132">
        <f t="shared" si="89"/>
        <v>0</v>
      </c>
      <c r="VL46" s="132">
        <f t="shared" si="90"/>
        <v>0</v>
      </c>
      <c r="VM46" s="132">
        <f t="shared" si="91"/>
        <v>0</v>
      </c>
      <c r="VN46" s="132">
        <f t="shared" si="92"/>
        <v>0</v>
      </c>
      <c r="VP46" s="845" t="str">
        <f>IFERROR(HLOOKUP(F46,'Hodnocení '!$C$1:$JH$5,2,FALSE),0)</f>
        <v>Denní centrum pro seniory</v>
      </c>
      <c r="VQ46" s="838"/>
      <c r="VR46" s="845" t="str">
        <f t="shared" si="106"/>
        <v>Církve a náboženské společnosti</v>
      </c>
      <c r="VS46" s="845" t="str">
        <f>IFERROR(HLOOKUP(F46,'Hodnocení '!$C$1:$JH$5,5,FALSE),0)</f>
        <v>NZO</v>
      </c>
      <c r="VT46" s="838">
        <f t="shared" si="107"/>
        <v>0</v>
      </c>
      <c r="VU46" s="838">
        <f t="shared" si="108"/>
        <v>0</v>
      </c>
      <c r="VV46" s="838">
        <f t="shared" si="109"/>
        <v>385000</v>
      </c>
      <c r="VW46" s="838">
        <f t="shared" si="110"/>
        <v>0</v>
      </c>
      <c r="VX46" s="838"/>
      <c r="VY46" s="838">
        <f t="shared" si="114"/>
        <v>0</v>
      </c>
      <c r="VZ46" s="838">
        <f t="shared" si="115"/>
        <v>760000</v>
      </c>
      <c r="WA46" s="846">
        <f>IFERROR(HLOOKUP($F46,'Hodnocení '!$C$1:$JH$9,9,FALSE),0)</f>
        <v>760000</v>
      </c>
      <c r="WB46" s="846">
        <f>IF(IFERROR(HLOOKUP($F46,'Hodnocení '!$C$1:$JH$13,13,FALSE),0)&gt;WA46,WA46,IFERROR(HLOOKUP($F46,'Hodnocení '!$C$1:$JH$13,13,FALSE),0))</f>
        <v>760000</v>
      </c>
      <c r="WC46" s="846">
        <f>IFERROR(HLOOKUP($F46,'Hodnocení '!$C$1:$JH$155,155,FALSE),0)</f>
        <v>760000</v>
      </c>
      <c r="WD46" s="845"/>
      <c r="WE46" s="845"/>
      <c r="WF46" s="845" t="str">
        <f t="shared" si="97"/>
        <v>ANO</v>
      </c>
      <c r="WG46" s="849" t="str">
        <f t="shared" si="117"/>
        <v>Podpora služby je vyjádřena zařazením do sítě sociálních služeb v KHK a řešením financování služby</v>
      </c>
      <c r="WH46"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46" s="849" t="str">
        <f t="shared" si="117"/>
        <v>Návrh dotace je výsledkem projednání s ostatními zadavateli v rámci sítě služeb KHK</v>
      </c>
      <c r="WJ46" s="849" t="str">
        <f t="shared" si="117"/>
        <v>Bez komentáře</v>
      </c>
      <c r="WK46" s="31">
        <f t="shared" si="99"/>
        <v>0</v>
      </c>
      <c r="WL46" s="850">
        <f t="shared" si="100"/>
        <v>0</v>
      </c>
      <c r="WM46" s="849" t="str">
        <f t="shared" si="101"/>
        <v>V rámci sítě KHK se dlouhodobě řeší otázka navyšování úhrad a průběžně se monitoruje s vazbou na vykrytí vyrovnávací platby</v>
      </c>
      <c r="WN46" s="849">
        <f t="shared" si="102"/>
        <v>0</v>
      </c>
      <c r="WO46" s="849" t="str">
        <f t="shared" si="116"/>
        <v>bez komentáře</v>
      </c>
      <c r="WP46" s="849" t="str">
        <f t="shared" si="116"/>
        <v>bez komentáře</v>
      </c>
      <c r="WQ46" s="849" t="str">
        <f t="shared" si="116"/>
        <v>Konečná výše dotace z rozpočtu KHK bude řešena v návaznosti na řešení podílů jednotlivých zadavatelů.</v>
      </c>
      <c r="WR46" s="849" t="str">
        <f t="shared" si="116"/>
        <v>Konečná výše podpory ze stran obcí bude řešena v součinnosti s jednotlivými zadavateli v průběhu roku.</v>
      </c>
      <c r="WS46" s="849" t="str">
        <f t="shared" si="116"/>
        <v>bez komentáře</v>
      </c>
      <c r="WT46" s="849" t="str">
        <f t="shared" si="116"/>
        <v>bez komentáře</v>
      </c>
      <c r="WU46" s="845"/>
    </row>
    <row r="47" spans="1:619" s="128" customFormat="1" x14ac:dyDescent="0.25">
      <c r="A47" s="128" t="str">
        <f>VLOOKUP(F47,'Výpočet VP 2020'!$D$324:$I$588,6,FALSE)</f>
        <v>Je v síti</v>
      </c>
      <c r="B47" s="128" t="s">
        <v>384</v>
      </c>
      <c r="C47" s="128">
        <v>43462162</v>
      </c>
      <c r="D47" s="128" t="s">
        <v>385</v>
      </c>
      <c r="E47" s="128" t="s">
        <v>360</v>
      </c>
      <c r="F47" s="128">
        <v>7857005</v>
      </c>
      <c r="G47" s="128" t="s">
        <v>348</v>
      </c>
      <c r="H47" s="128" t="s">
        <v>218</v>
      </c>
      <c r="I47" s="128" t="s">
        <v>390</v>
      </c>
      <c r="J47" s="129">
        <v>34090</v>
      </c>
      <c r="L47" s="128" t="s">
        <v>220</v>
      </c>
      <c r="M47" s="128" t="s">
        <v>391</v>
      </c>
      <c r="N47" s="128">
        <v>23</v>
      </c>
      <c r="P47" s="128">
        <v>29</v>
      </c>
      <c r="Q47" s="128">
        <v>1</v>
      </c>
      <c r="R47" s="128">
        <v>28</v>
      </c>
      <c r="BL47" s="128" t="s">
        <v>351</v>
      </c>
      <c r="BM47" s="128" t="s">
        <v>325</v>
      </c>
      <c r="BN47" s="128" t="s">
        <v>352</v>
      </c>
      <c r="DA47" s="128">
        <v>0</v>
      </c>
      <c r="DB47" s="128">
        <v>0</v>
      </c>
      <c r="DC47" s="128">
        <v>0</v>
      </c>
      <c r="DD47" s="128">
        <v>0</v>
      </c>
      <c r="DE47" s="128">
        <v>0</v>
      </c>
      <c r="DF47" s="128">
        <v>0</v>
      </c>
      <c r="DG47" s="128">
        <v>4</v>
      </c>
      <c r="DH47" s="128">
        <v>13</v>
      </c>
      <c r="DI47" s="128">
        <v>6</v>
      </c>
      <c r="DJ47" s="128">
        <v>0</v>
      </c>
      <c r="DK47" s="128">
        <v>0</v>
      </c>
      <c r="DL47" s="128">
        <v>4</v>
      </c>
      <c r="DM47" s="128">
        <v>13</v>
      </c>
      <c r="DN47" s="128">
        <v>6</v>
      </c>
      <c r="DO47" s="128">
        <v>0</v>
      </c>
      <c r="DP47" s="128">
        <v>0</v>
      </c>
      <c r="DQ47" s="128">
        <v>23</v>
      </c>
      <c r="DR47" s="128">
        <v>23</v>
      </c>
      <c r="DS47" s="128">
        <v>0</v>
      </c>
      <c r="DT47" s="128">
        <v>0</v>
      </c>
      <c r="DU47" s="128">
        <v>0</v>
      </c>
      <c r="DV47" s="128">
        <v>0</v>
      </c>
      <c r="DW47" s="128">
        <v>0</v>
      </c>
      <c r="DX47" s="128">
        <v>0</v>
      </c>
      <c r="DY47" s="128">
        <v>2</v>
      </c>
      <c r="DZ47" s="128">
        <v>14</v>
      </c>
      <c r="EA47" s="128">
        <v>7</v>
      </c>
      <c r="EB47" s="128">
        <v>0</v>
      </c>
      <c r="EC47" s="128">
        <v>0</v>
      </c>
      <c r="ED47" s="128">
        <v>2</v>
      </c>
      <c r="EE47" s="128">
        <v>14</v>
      </c>
      <c r="EF47" s="128">
        <v>7</v>
      </c>
      <c r="EG47" s="128">
        <v>0</v>
      </c>
      <c r="EH47" s="128">
        <v>0</v>
      </c>
      <c r="EI47" s="128">
        <v>23</v>
      </c>
      <c r="EJ47" s="128">
        <v>23</v>
      </c>
      <c r="EK47" s="128">
        <v>1</v>
      </c>
      <c r="EL47" s="128">
        <v>0.55000000000000004</v>
      </c>
      <c r="EM47" s="128">
        <v>0.36</v>
      </c>
      <c r="EN47" s="128">
        <v>295000</v>
      </c>
      <c r="EO47" s="128">
        <v>100000</v>
      </c>
      <c r="EP47" s="128">
        <v>14</v>
      </c>
      <c r="EQ47" s="128">
        <v>7.35</v>
      </c>
      <c r="ER47" s="128">
        <v>7.36</v>
      </c>
      <c r="ES47" s="128">
        <v>3498000</v>
      </c>
      <c r="ET47" s="128">
        <v>2144000</v>
      </c>
      <c r="EU47" s="128">
        <v>6</v>
      </c>
      <c r="EV47" s="128">
        <v>4.0999999999999996</v>
      </c>
      <c r="EW47" s="128">
        <v>4.41</v>
      </c>
      <c r="EX47" s="128">
        <v>2110000</v>
      </c>
      <c r="EY47" s="128">
        <v>0</v>
      </c>
      <c r="FO47" s="128">
        <v>9</v>
      </c>
      <c r="FP47" s="128">
        <v>4.62</v>
      </c>
      <c r="FQ47" s="128">
        <v>3.99</v>
      </c>
      <c r="FR47" s="128">
        <v>2002000</v>
      </c>
      <c r="FS47" s="128">
        <v>1160000</v>
      </c>
      <c r="FZ47" s="128">
        <v>1</v>
      </c>
      <c r="GA47" s="128">
        <v>0.15</v>
      </c>
      <c r="GB47" s="128">
        <v>5</v>
      </c>
      <c r="GC47" s="128">
        <v>6.3E-2</v>
      </c>
      <c r="GD47" s="128">
        <v>30000</v>
      </c>
      <c r="GE47" s="128">
        <v>0</v>
      </c>
      <c r="HD47" s="128">
        <v>1</v>
      </c>
      <c r="HE47" s="128">
        <v>0.16</v>
      </c>
      <c r="HF47" s="128">
        <v>3</v>
      </c>
      <c r="HG47" s="128">
        <v>0.04</v>
      </c>
      <c r="HH47" s="128">
        <v>40000</v>
      </c>
      <c r="HI47" s="128">
        <v>0</v>
      </c>
      <c r="IN47" s="128">
        <v>3</v>
      </c>
      <c r="IO47" s="128">
        <v>900</v>
      </c>
      <c r="IP47" s="128">
        <v>0.42899999999999999</v>
      </c>
      <c r="IQ47" s="128">
        <v>108000</v>
      </c>
      <c r="IR47" s="128">
        <v>0</v>
      </c>
      <c r="IS47" s="128">
        <v>2</v>
      </c>
      <c r="IT47" s="128">
        <v>600</v>
      </c>
      <c r="IU47" s="128">
        <v>0.28599999999999998</v>
      </c>
      <c r="IV47" s="128">
        <v>57000</v>
      </c>
      <c r="IW47" s="128">
        <v>0</v>
      </c>
      <c r="KG47" s="128">
        <v>8</v>
      </c>
      <c r="KH47" s="128">
        <v>120</v>
      </c>
      <c r="KI47" s="128">
        <v>12</v>
      </c>
      <c r="KJ47" s="128">
        <v>0.10299999999999999</v>
      </c>
      <c r="KK47" s="128">
        <v>0.42899999999999999</v>
      </c>
      <c r="KL47" s="128">
        <v>0</v>
      </c>
      <c r="KM47" s="128">
        <v>12.532</v>
      </c>
      <c r="KN47" s="128">
        <v>7905000</v>
      </c>
      <c r="KO47" s="128">
        <v>3404000</v>
      </c>
      <c r="KP47" s="128">
        <v>3404000</v>
      </c>
      <c r="KT47" s="128">
        <v>70000</v>
      </c>
      <c r="KU47" s="128">
        <v>0</v>
      </c>
      <c r="KV47" s="128">
        <v>0</v>
      </c>
      <c r="KZ47" s="128">
        <v>165000</v>
      </c>
      <c r="LA47" s="128">
        <v>0</v>
      </c>
      <c r="LB47" s="128">
        <v>0</v>
      </c>
      <c r="LF47" s="128">
        <v>135000</v>
      </c>
      <c r="LG47" s="128">
        <v>0</v>
      </c>
      <c r="LH47" s="128">
        <v>0</v>
      </c>
      <c r="LL47" s="128">
        <v>0</v>
      </c>
      <c r="LM47" s="128">
        <v>0</v>
      </c>
      <c r="LN47" s="128">
        <v>0</v>
      </c>
      <c r="LR47" s="128">
        <v>100000</v>
      </c>
      <c r="LS47" s="128">
        <v>0</v>
      </c>
      <c r="LT47" s="128">
        <v>0</v>
      </c>
      <c r="LX47" s="128">
        <v>560000</v>
      </c>
      <c r="LY47" s="128">
        <v>0</v>
      </c>
      <c r="LZ47" s="128">
        <v>0</v>
      </c>
      <c r="MD47" s="128">
        <v>19000</v>
      </c>
      <c r="ME47" s="128">
        <v>0</v>
      </c>
      <c r="MF47" s="128">
        <v>0</v>
      </c>
      <c r="MJ47" s="128">
        <v>15000</v>
      </c>
      <c r="MK47" s="128">
        <v>0</v>
      </c>
      <c r="ML47" s="128">
        <v>0</v>
      </c>
      <c r="MP47" s="128">
        <v>236000</v>
      </c>
      <c r="MQ47" s="128">
        <v>0</v>
      </c>
      <c r="MR47" s="128">
        <v>0</v>
      </c>
      <c r="MV47" s="128">
        <v>320000</v>
      </c>
      <c r="MW47" s="128">
        <v>0</v>
      </c>
      <c r="MX47" s="128">
        <v>0</v>
      </c>
      <c r="NB47" s="128">
        <v>15000</v>
      </c>
      <c r="NC47" s="128">
        <v>0</v>
      </c>
      <c r="ND47" s="128">
        <v>0</v>
      </c>
      <c r="NH47" s="128">
        <v>0</v>
      </c>
      <c r="NI47" s="128">
        <v>0</v>
      </c>
      <c r="NJ47" s="128">
        <v>0</v>
      </c>
      <c r="NN47" s="128">
        <v>220000</v>
      </c>
      <c r="NO47" s="128">
        <v>0</v>
      </c>
      <c r="NP47" s="128">
        <v>0</v>
      </c>
      <c r="NT47" s="128">
        <v>0</v>
      </c>
      <c r="NU47" s="128">
        <v>0</v>
      </c>
      <c r="NV47" s="128">
        <v>0</v>
      </c>
      <c r="NZ47" s="128">
        <v>100000</v>
      </c>
      <c r="OA47" s="128">
        <v>0</v>
      </c>
      <c r="OB47" s="128">
        <v>0</v>
      </c>
      <c r="OF47" s="128">
        <v>20000</v>
      </c>
      <c r="OG47" s="128">
        <v>0</v>
      </c>
      <c r="OH47" s="128">
        <v>0</v>
      </c>
      <c r="OL47" s="128">
        <v>0</v>
      </c>
      <c r="OM47" s="128">
        <v>0</v>
      </c>
      <c r="ON47" s="128">
        <v>0</v>
      </c>
      <c r="OR47" s="128">
        <v>0</v>
      </c>
      <c r="OS47" s="128">
        <v>0</v>
      </c>
      <c r="OT47" s="128">
        <v>0</v>
      </c>
      <c r="OX47" s="128">
        <v>240000</v>
      </c>
      <c r="OY47" s="128">
        <v>0</v>
      </c>
      <c r="OZ47" s="128">
        <v>0</v>
      </c>
      <c r="PD47" s="128">
        <v>482000</v>
      </c>
      <c r="PE47" s="128">
        <v>0</v>
      </c>
      <c r="PF47" s="128">
        <v>0</v>
      </c>
      <c r="PJ47" s="128">
        <v>145000</v>
      </c>
      <c r="PK47" s="128">
        <v>0</v>
      </c>
      <c r="PL47" s="128">
        <v>0</v>
      </c>
      <c r="PP47" s="128">
        <v>10747000</v>
      </c>
      <c r="PQ47" s="128">
        <v>3404000</v>
      </c>
      <c r="PR47" s="128">
        <v>3404000</v>
      </c>
      <c r="PS47" s="128">
        <v>100</v>
      </c>
      <c r="PT47" s="128">
        <v>100</v>
      </c>
      <c r="PV47" s="128">
        <v>7797537</v>
      </c>
      <c r="PX47" s="128">
        <v>2379000</v>
      </c>
      <c r="PY47" s="128">
        <v>2546700</v>
      </c>
      <c r="PZ47" s="128">
        <v>3404000</v>
      </c>
      <c r="QA47" s="128">
        <v>0</v>
      </c>
      <c r="QB47" s="128">
        <v>0</v>
      </c>
      <c r="QC47" s="128">
        <v>0</v>
      </c>
      <c r="QD47" s="128">
        <v>0</v>
      </c>
      <c r="QE47" s="128">
        <v>0</v>
      </c>
      <c r="QF47" s="128">
        <v>0</v>
      </c>
      <c r="QG47" s="128">
        <v>0</v>
      </c>
      <c r="QH47" s="128">
        <v>0</v>
      </c>
      <c r="QI47" s="128">
        <v>0</v>
      </c>
      <c r="QJ47" s="128">
        <v>5111125</v>
      </c>
      <c r="QK47" s="128">
        <v>5250000</v>
      </c>
      <c r="QL47" s="128">
        <v>5250000</v>
      </c>
      <c r="QN47" s="128">
        <v>695693</v>
      </c>
      <c r="QO47" s="128">
        <v>820000</v>
      </c>
      <c r="QP47" s="128">
        <v>850000</v>
      </c>
      <c r="QU47" s="128">
        <v>0</v>
      </c>
      <c r="QV47" s="128">
        <v>347000</v>
      </c>
      <c r="QW47" s="128">
        <v>448000</v>
      </c>
      <c r="QX47" s="128">
        <v>105000</v>
      </c>
      <c r="QY47" s="128">
        <v>117300</v>
      </c>
      <c r="QZ47" s="128">
        <v>123000</v>
      </c>
      <c r="RD47" s="128">
        <v>710835</v>
      </c>
      <c r="RE47" s="128">
        <v>777000</v>
      </c>
      <c r="RF47" s="128">
        <v>672000</v>
      </c>
      <c r="RH47" s="128">
        <f t="shared" si="104"/>
        <v>4647000</v>
      </c>
      <c r="RI47" s="128">
        <v>0</v>
      </c>
      <c r="RM47" s="128" t="s">
        <v>220</v>
      </c>
      <c r="RU47" s="130"/>
      <c r="RV47" s="130"/>
      <c r="RW47" s="130"/>
      <c r="RX47" s="130"/>
      <c r="SF47" s="128">
        <f t="shared" si="8"/>
        <v>7857005</v>
      </c>
      <c r="SG47" s="131">
        <f t="shared" si="9"/>
        <v>10747000</v>
      </c>
      <c r="SH47" s="131">
        <f t="shared" si="10"/>
        <v>10747000</v>
      </c>
      <c r="SI47" s="131">
        <f t="shared" si="11"/>
        <v>8275000</v>
      </c>
      <c r="SJ47" s="132">
        <f t="shared" si="12"/>
        <v>7905000</v>
      </c>
      <c r="SK47" s="132">
        <f t="shared" si="13"/>
        <v>70000</v>
      </c>
      <c r="SL47" s="132">
        <f t="shared" si="14"/>
        <v>165000</v>
      </c>
      <c r="SM47" s="132">
        <f t="shared" si="15"/>
        <v>135000</v>
      </c>
      <c r="SN47" s="131">
        <f t="shared" si="16"/>
        <v>2472000</v>
      </c>
      <c r="SO47" s="131">
        <f t="shared" si="17"/>
        <v>100000</v>
      </c>
      <c r="SP47" s="132">
        <f t="shared" si="18"/>
        <v>0</v>
      </c>
      <c r="SQ47" s="132">
        <f t="shared" si="19"/>
        <v>100000</v>
      </c>
      <c r="SR47" s="132">
        <f t="shared" si="20"/>
        <v>560000</v>
      </c>
      <c r="SS47" s="132">
        <f t="shared" si="21"/>
        <v>19000</v>
      </c>
      <c r="ST47" s="132">
        <f t="shared" si="22"/>
        <v>15000</v>
      </c>
      <c r="SU47" s="132">
        <f t="shared" si="23"/>
        <v>236000</v>
      </c>
      <c r="SV47" s="131">
        <f t="shared" si="24"/>
        <v>915000</v>
      </c>
      <c r="SW47" s="132">
        <f t="shared" si="25"/>
        <v>320000</v>
      </c>
      <c r="SX47" s="132">
        <f t="shared" si="26"/>
        <v>15000</v>
      </c>
      <c r="SY47" s="132">
        <f t="shared" si="27"/>
        <v>0</v>
      </c>
      <c r="SZ47" s="132">
        <f t="shared" si="28"/>
        <v>220000</v>
      </c>
      <c r="TA47" s="132">
        <f t="shared" si="29"/>
        <v>0</v>
      </c>
      <c r="TB47" s="132">
        <f t="shared" si="30"/>
        <v>100000</v>
      </c>
      <c r="TC47" s="132">
        <f t="shared" si="31"/>
        <v>20000</v>
      </c>
      <c r="TD47" s="132">
        <f t="shared" si="32"/>
        <v>0</v>
      </c>
      <c r="TE47" s="132">
        <f t="shared" si="33"/>
        <v>0</v>
      </c>
      <c r="TF47" s="132">
        <f t="shared" si="34"/>
        <v>240000</v>
      </c>
      <c r="TG47" s="132">
        <f t="shared" si="35"/>
        <v>482000</v>
      </c>
      <c r="TH47" s="132">
        <f t="shared" si="36"/>
        <v>145000</v>
      </c>
      <c r="TI47" s="1"/>
      <c r="TJ47" s="131">
        <f t="shared" si="37"/>
        <v>3404000</v>
      </c>
      <c r="TK47" s="131">
        <f t="shared" si="38"/>
        <v>3404000</v>
      </c>
      <c r="TL47" s="131">
        <f t="shared" si="39"/>
        <v>3404000</v>
      </c>
      <c r="TM47" s="132">
        <f t="shared" si="40"/>
        <v>3404000</v>
      </c>
      <c r="TN47" s="132">
        <f t="shared" si="41"/>
        <v>0</v>
      </c>
      <c r="TO47" s="132">
        <f t="shared" si="42"/>
        <v>0</v>
      </c>
      <c r="TP47" s="132">
        <f t="shared" si="43"/>
        <v>0</v>
      </c>
      <c r="TQ47" s="131">
        <f t="shared" si="44"/>
        <v>0</v>
      </c>
      <c r="TR47" s="131">
        <f t="shared" si="45"/>
        <v>0</v>
      </c>
      <c r="TS47" s="132">
        <f t="shared" si="46"/>
        <v>0</v>
      </c>
      <c r="TT47" s="132">
        <f t="shared" si="47"/>
        <v>0</v>
      </c>
      <c r="TU47" s="132">
        <f t="shared" si="48"/>
        <v>0</v>
      </c>
      <c r="TV47" s="132">
        <f t="shared" si="49"/>
        <v>0</v>
      </c>
      <c r="TW47" s="132">
        <f t="shared" si="50"/>
        <v>0</v>
      </c>
      <c r="TX47" s="132">
        <f t="shared" si="51"/>
        <v>0</v>
      </c>
      <c r="TY47" s="131">
        <f t="shared" si="52"/>
        <v>0</v>
      </c>
      <c r="TZ47" s="132">
        <f t="shared" si="53"/>
        <v>0</v>
      </c>
      <c r="UA47" s="132">
        <f t="shared" si="54"/>
        <v>0</v>
      </c>
      <c r="UB47" s="132">
        <f t="shared" si="55"/>
        <v>0</v>
      </c>
      <c r="UC47" s="132">
        <f t="shared" si="56"/>
        <v>0</v>
      </c>
      <c r="UD47" s="132">
        <f t="shared" si="57"/>
        <v>0</v>
      </c>
      <c r="UE47" s="132">
        <f t="shared" si="58"/>
        <v>0</v>
      </c>
      <c r="UF47" s="132">
        <f t="shared" si="59"/>
        <v>0</v>
      </c>
      <c r="UG47" s="132">
        <f t="shared" si="60"/>
        <v>0</v>
      </c>
      <c r="UH47" s="132">
        <f t="shared" si="61"/>
        <v>0</v>
      </c>
      <c r="UI47" s="132">
        <f t="shared" si="62"/>
        <v>0</v>
      </c>
      <c r="UJ47" s="132">
        <f t="shared" si="63"/>
        <v>0</v>
      </c>
      <c r="UK47" s="132">
        <f t="shared" si="64"/>
        <v>0</v>
      </c>
      <c r="UL47" s="132">
        <f t="shared" si="105"/>
        <v>3404000</v>
      </c>
      <c r="UM47" s="131">
        <f t="shared" si="65"/>
        <v>3404000</v>
      </c>
      <c r="UN47" s="131">
        <f t="shared" si="66"/>
        <v>3404000</v>
      </c>
      <c r="UO47" s="131">
        <f t="shared" si="67"/>
        <v>3404000</v>
      </c>
      <c r="UP47" s="132">
        <f t="shared" si="68"/>
        <v>3404000</v>
      </c>
      <c r="UQ47" s="132">
        <f t="shared" si="69"/>
        <v>0</v>
      </c>
      <c r="UR47" s="132">
        <f t="shared" si="70"/>
        <v>0</v>
      </c>
      <c r="US47" s="132">
        <f t="shared" si="71"/>
        <v>0</v>
      </c>
      <c r="UT47" s="131">
        <f t="shared" si="72"/>
        <v>0</v>
      </c>
      <c r="UU47" s="131">
        <f t="shared" si="73"/>
        <v>0</v>
      </c>
      <c r="UV47" s="132">
        <f t="shared" si="74"/>
        <v>0</v>
      </c>
      <c r="UW47" s="132">
        <f t="shared" si="75"/>
        <v>0</v>
      </c>
      <c r="UX47" s="132">
        <f t="shared" si="76"/>
        <v>0</v>
      </c>
      <c r="UY47" s="132">
        <f t="shared" si="77"/>
        <v>0</v>
      </c>
      <c r="UZ47" s="132">
        <f t="shared" si="78"/>
        <v>0</v>
      </c>
      <c r="VA47" s="132">
        <f t="shared" si="79"/>
        <v>0</v>
      </c>
      <c r="VB47" s="131">
        <f t="shared" si="80"/>
        <v>0</v>
      </c>
      <c r="VC47" s="132">
        <f t="shared" si="81"/>
        <v>0</v>
      </c>
      <c r="VD47" s="132">
        <f t="shared" si="82"/>
        <v>0</v>
      </c>
      <c r="VE47" s="132">
        <f t="shared" si="83"/>
        <v>0</v>
      </c>
      <c r="VF47" s="132">
        <f t="shared" si="84"/>
        <v>0</v>
      </c>
      <c r="VG47" s="132">
        <f t="shared" si="85"/>
        <v>0</v>
      </c>
      <c r="VH47" s="132">
        <f t="shared" si="86"/>
        <v>0</v>
      </c>
      <c r="VI47" s="132">
        <f t="shared" si="87"/>
        <v>0</v>
      </c>
      <c r="VJ47" s="132">
        <f t="shared" si="88"/>
        <v>0</v>
      </c>
      <c r="VK47" s="132">
        <f t="shared" si="89"/>
        <v>0</v>
      </c>
      <c r="VL47" s="132">
        <f t="shared" si="90"/>
        <v>0</v>
      </c>
      <c r="VM47" s="132">
        <f t="shared" si="91"/>
        <v>0</v>
      </c>
      <c r="VN47" s="132">
        <f t="shared" si="92"/>
        <v>0</v>
      </c>
      <c r="VP47" s="845" t="str">
        <f>IFERROR(HLOOKUP(F47,'Hodnocení '!$C$1:$JH$5,2,FALSE),0)</f>
        <v>Domov Diakonie</v>
      </c>
      <c r="VQ47" s="838"/>
      <c r="VR47" s="845" t="str">
        <f t="shared" si="106"/>
        <v>Církve a náboženské společnosti</v>
      </c>
      <c r="VS47" s="845" t="str">
        <f>IFERROR(HLOOKUP(F47,'Hodnocení '!$C$1:$JH$5,5,FALSE),0)</f>
        <v>NZO</v>
      </c>
      <c r="VT47" s="838">
        <f t="shared" si="107"/>
        <v>0</v>
      </c>
      <c r="VU47" s="838">
        <f t="shared" si="108"/>
        <v>0</v>
      </c>
      <c r="VV47" s="838">
        <f t="shared" si="109"/>
        <v>5250000</v>
      </c>
      <c r="VW47" s="838">
        <f t="shared" si="110"/>
        <v>850000</v>
      </c>
      <c r="VX47" s="838"/>
      <c r="VY47" s="838">
        <f t="shared" si="114"/>
        <v>0</v>
      </c>
      <c r="VZ47" s="838">
        <f t="shared" si="115"/>
        <v>3404000</v>
      </c>
      <c r="WA47" s="846">
        <f>IFERROR(HLOOKUP($F47,'Hodnocení '!$C$1:$JH$9,9,FALSE),0)</f>
        <v>3404000</v>
      </c>
      <c r="WB47" s="846">
        <f>IF(IFERROR(HLOOKUP($F47,'Hodnocení '!$C$1:$JH$13,13,FALSE),0)&gt;WA47,WA47,IFERROR(HLOOKUP($F47,'Hodnocení '!$C$1:$JH$13,13,FALSE),0))</f>
        <v>3404000</v>
      </c>
      <c r="WC47" s="846">
        <f>IFERROR(HLOOKUP($F47,'Hodnocení '!$C$1:$JH$155,155,FALSE),0)</f>
        <v>3404000</v>
      </c>
      <c r="WD47" s="845"/>
      <c r="WE47" s="845"/>
      <c r="WF47" s="845" t="str">
        <f t="shared" si="97"/>
        <v>ANO</v>
      </c>
      <c r="WG47" s="849" t="str">
        <f t="shared" si="117"/>
        <v>Podpora služby je vyjádřena zařazením do sítě sociálních služeb v KHK a řešením financování služby</v>
      </c>
      <c r="WH47"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47" s="849" t="str">
        <f t="shared" si="117"/>
        <v>Návrh dotace je výsledkem projednání s ostatními zadavateli v rámci sítě služeb KHK</v>
      </c>
      <c r="WJ47" s="849" t="str">
        <f t="shared" si="117"/>
        <v>Bez komentáře</v>
      </c>
      <c r="WK47" s="31">
        <f t="shared" si="99"/>
        <v>0</v>
      </c>
      <c r="WL47" s="850">
        <f t="shared" si="100"/>
        <v>0</v>
      </c>
      <c r="WM47" s="849" t="str">
        <f t="shared" si="101"/>
        <v>V rámci sítě KHK se dlouhodobě řeší otázka navyšování úhrad a průběžně se monitoruje s vazbou na vykrytí vyrovnávací platby</v>
      </c>
      <c r="WN47" s="849" t="str">
        <f t="shared" si="102"/>
        <v>Otázka výběru od zdravotních pojišťoven je předmětem procesu, který probíhá ve formě jednání se ZP a organizacemi</v>
      </c>
      <c r="WO47" s="849" t="str">
        <f t="shared" si="116"/>
        <v>bez komentáře</v>
      </c>
      <c r="WP47" s="849" t="str">
        <f t="shared" si="116"/>
        <v>bez komentáře</v>
      </c>
      <c r="WQ47" s="849" t="str">
        <f t="shared" si="116"/>
        <v>Konečná výše dotace z rozpočtu KHK bude řešena v návaznosti na řešení podílů jednotlivých zadavatelů.</v>
      </c>
      <c r="WR47" s="849" t="str">
        <f t="shared" si="116"/>
        <v>Konečná výše podpory ze stran obcí bude řešena v součinnosti s jednotlivými zadavateli v průběhu roku.</v>
      </c>
      <c r="WS47" s="849" t="str">
        <f t="shared" si="116"/>
        <v>bez komentáře</v>
      </c>
      <c r="WT47" s="849" t="str">
        <f t="shared" si="116"/>
        <v>bez komentáře</v>
      </c>
      <c r="WU47" s="845"/>
    </row>
    <row r="48" spans="1:619" s="128" customFormat="1" x14ac:dyDescent="0.25">
      <c r="A48" s="128" t="str">
        <f>VLOOKUP(F48,'Výpočet VP 2020'!$D$324:$I$588,6,FALSE)</f>
        <v>Je v síti</v>
      </c>
      <c r="B48" s="128" t="s">
        <v>384</v>
      </c>
      <c r="C48" s="128">
        <v>43462162</v>
      </c>
      <c r="D48" s="128" t="s">
        <v>385</v>
      </c>
      <c r="E48" s="128" t="s">
        <v>360</v>
      </c>
      <c r="F48" s="128">
        <v>8936486</v>
      </c>
      <c r="G48" s="128" t="s">
        <v>392</v>
      </c>
      <c r="H48" s="128" t="s">
        <v>218</v>
      </c>
      <c r="I48" s="128" t="s">
        <v>393</v>
      </c>
      <c r="J48" s="129">
        <v>37803</v>
      </c>
      <c r="L48" s="128" t="s">
        <v>220</v>
      </c>
      <c r="M48" s="128" t="s">
        <v>394</v>
      </c>
      <c r="N48" s="128">
        <v>10</v>
      </c>
      <c r="P48" s="128">
        <v>10</v>
      </c>
      <c r="Q48" s="128">
        <v>10</v>
      </c>
      <c r="R48" s="128">
        <v>10</v>
      </c>
      <c r="BL48" s="128" t="s">
        <v>395</v>
      </c>
      <c r="BM48" s="128" t="s">
        <v>325</v>
      </c>
      <c r="BN48" s="128" t="s">
        <v>326</v>
      </c>
      <c r="DA48" s="128">
        <v>0</v>
      </c>
      <c r="DB48" s="128">
        <v>0</v>
      </c>
      <c r="DC48" s="128">
        <v>0</v>
      </c>
      <c r="DD48" s="128">
        <v>0</v>
      </c>
      <c r="DE48" s="128">
        <v>0</v>
      </c>
      <c r="DF48" s="128">
        <v>0</v>
      </c>
      <c r="DG48" s="128">
        <v>0</v>
      </c>
      <c r="DH48" s="128">
        <v>2</v>
      </c>
      <c r="DI48" s="128">
        <v>8</v>
      </c>
      <c r="DJ48" s="128">
        <v>0</v>
      </c>
      <c r="DK48" s="128">
        <v>0</v>
      </c>
      <c r="DL48" s="128">
        <v>0</v>
      </c>
      <c r="DM48" s="128">
        <v>2</v>
      </c>
      <c r="DN48" s="128">
        <v>8</v>
      </c>
      <c r="DO48" s="128">
        <v>0</v>
      </c>
      <c r="DP48" s="128">
        <v>0</v>
      </c>
      <c r="DQ48" s="128">
        <v>10</v>
      </c>
      <c r="DR48" s="128">
        <v>10</v>
      </c>
      <c r="DS48" s="128">
        <v>0</v>
      </c>
      <c r="DT48" s="128">
        <v>0</v>
      </c>
      <c r="DU48" s="128">
        <v>0</v>
      </c>
      <c r="DV48" s="128">
        <v>0</v>
      </c>
      <c r="DW48" s="128">
        <v>0</v>
      </c>
      <c r="DX48" s="128">
        <v>0</v>
      </c>
      <c r="DY48" s="128">
        <v>0</v>
      </c>
      <c r="DZ48" s="128">
        <v>3</v>
      </c>
      <c r="EA48" s="128">
        <v>7</v>
      </c>
      <c r="EB48" s="128">
        <v>0</v>
      </c>
      <c r="EC48" s="128">
        <v>0</v>
      </c>
      <c r="ED48" s="128">
        <v>0</v>
      </c>
      <c r="EE48" s="128">
        <v>3</v>
      </c>
      <c r="EF48" s="128">
        <v>7</v>
      </c>
      <c r="EG48" s="128">
        <v>0</v>
      </c>
      <c r="EH48" s="128">
        <v>0</v>
      </c>
      <c r="EI48" s="128">
        <v>10</v>
      </c>
      <c r="EJ48" s="128">
        <v>10</v>
      </c>
      <c r="EK48" s="128">
        <v>1</v>
      </c>
      <c r="EL48" s="128">
        <v>0.15</v>
      </c>
      <c r="EM48" s="128">
        <v>0.11</v>
      </c>
      <c r="EN48" s="128">
        <v>80000</v>
      </c>
      <c r="EO48" s="128">
        <v>55000</v>
      </c>
      <c r="EP48" s="128">
        <v>12</v>
      </c>
      <c r="EQ48" s="128">
        <v>4.5999999999999996</v>
      </c>
      <c r="ER48" s="128">
        <v>4.84</v>
      </c>
      <c r="ES48" s="128">
        <v>2164000</v>
      </c>
      <c r="ET48" s="128">
        <v>1802000</v>
      </c>
      <c r="EU48" s="128">
        <v>6</v>
      </c>
      <c r="EV48" s="128">
        <v>2.56</v>
      </c>
      <c r="EW48" s="128">
        <v>2.58</v>
      </c>
      <c r="EX48" s="128">
        <v>1405000</v>
      </c>
      <c r="EY48" s="128">
        <v>0</v>
      </c>
      <c r="FO48" s="128">
        <v>10</v>
      </c>
      <c r="FP48" s="128">
        <v>2.62</v>
      </c>
      <c r="FQ48" s="128">
        <v>2.62</v>
      </c>
      <c r="FR48" s="128">
        <v>1211000</v>
      </c>
      <c r="FS48" s="128">
        <v>728000</v>
      </c>
      <c r="IN48" s="128">
        <v>2</v>
      </c>
      <c r="IO48" s="128">
        <v>400</v>
      </c>
      <c r="IP48" s="128">
        <v>0.191</v>
      </c>
      <c r="IQ48" s="128">
        <v>48000</v>
      </c>
      <c r="IR48" s="128">
        <v>0</v>
      </c>
      <c r="KG48" s="128">
        <v>4</v>
      </c>
      <c r="KH48" s="128">
        <v>40</v>
      </c>
      <c r="KI48" s="128">
        <v>7.31</v>
      </c>
      <c r="KJ48" s="128">
        <v>0</v>
      </c>
      <c r="KK48" s="128">
        <v>0.191</v>
      </c>
      <c r="KL48" s="128">
        <v>0</v>
      </c>
      <c r="KM48" s="128">
        <v>7.5010000000000003</v>
      </c>
      <c r="KN48" s="128">
        <v>4860000</v>
      </c>
      <c r="KO48" s="128">
        <v>2585000</v>
      </c>
      <c r="KP48" s="128">
        <v>2585000</v>
      </c>
      <c r="KT48" s="128">
        <v>0</v>
      </c>
      <c r="KU48" s="128">
        <v>0</v>
      </c>
      <c r="KV48" s="128">
        <v>0</v>
      </c>
      <c r="KZ48" s="128">
        <v>48000</v>
      </c>
      <c r="LA48" s="128">
        <v>0</v>
      </c>
      <c r="LB48" s="128">
        <v>0</v>
      </c>
      <c r="LF48" s="128">
        <v>90000</v>
      </c>
      <c r="LG48" s="128">
        <v>0</v>
      </c>
      <c r="LH48" s="128">
        <v>0</v>
      </c>
      <c r="LL48" s="128">
        <v>0</v>
      </c>
      <c r="LM48" s="128">
        <v>0</v>
      </c>
      <c r="LN48" s="128">
        <v>0</v>
      </c>
      <c r="LR48" s="128">
        <v>20000</v>
      </c>
      <c r="LS48" s="128">
        <v>0</v>
      </c>
      <c r="LT48" s="128">
        <v>0</v>
      </c>
      <c r="LX48" s="128">
        <v>240000</v>
      </c>
      <c r="LY48" s="128">
        <v>0</v>
      </c>
      <c r="LZ48" s="128">
        <v>0</v>
      </c>
      <c r="MD48" s="128">
        <v>10000</v>
      </c>
      <c r="ME48" s="128">
        <v>0</v>
      </c>
      <c r="MF48" s="128">
        <v>0</v>
      </c>
      <c r="MJ48" s="128">
        <v>5000</v>
      </c>
      <c r="MK48" s="128">
        <v>0</v>
      </c>
      <c r="ML48" s="128">
        <v>0</v>
      </c>
      <c r="MP48" s="128">
        <v>55000</v>
      </c>
      <c r="MQ48" s="128">
        <v>0</v>
      </c>
      <c r="MR48" s="128">
        <v>0</v>
      </c>
      <c r="MV48" s="128">
        <v>150000</v>
      </c>
      <c r="MW48" s="128">
        <v>0</v>
      </c>
      <c r="MX48" s="128">
        <v>0</v>
      </c>
      <c r="NB48" s="128">
        <v>0</v>
      </c>
      <c r="NC48" s="128">
        <v>0</v>
      </c>
      <c r="ND48" s="128">
        <v>0</v>
      </c>
      <c r="NH48" s="128">
        <v>0</v>
      </c>
      <c r="NI48" s="128">
        <v>0</v>
      </c>
      <c r="NJ48" s="128">
        <v>0</v>
      </c>
      <c r="NN48" s="128">
        <v>125000</v>
      </c>
      <c r="NO48" s="128">
        <v>0</v>
      </c>
      <c r="NP48" s="128">
        <v>0</v>
      </c>
      <c r="NT48" s="128">
        <v>0</v>
      </c>
      <c r="NU48" s="128">
        <v>0</v>
      </c>
      <c r="NV48" s="128">
        <v>0</v>
      </c>
      <c r="NZ48" s="128">
        <v>60000</v>
      </c>
      <c r="OA48" s="128">
        <v>0</v>
      </c>
      <c r="OB48" s="128">
        <v>0</v>
      </c>
      <c r="OF48" s="128">
        <v>7000</v>
      </c>
      <c r="OG48" s="128">
        <v>0</v>
      </c>
      <c r="OH48" s="128">
        <v>0</v>
      </c>
      <c r="OL48" s="128">
        <v>0</v>
      </c>
      <c r="OM48" s="128">
        <v>0</v>
      </c>
      <c r="ON48" s="128">
        <v>0</v>
      </c>
      <c r="OR48" s="128">
        <v>0</v>
      </c>
      <c r="OS48" s="128">
        <v>0</v>
      </c>
      <c r="OT48" s="128">
        <v>0</v>
      </c>
      <c r="OX48" s="128">
        <v>100000</v>
      </c>
      <c r="OY48" s="128">
        <v>0</v>
      </c>
      <c r="OZ48" s="128">
        <v>0</v>
      </c>
      <c r="PD48" s="128">
        <v>249000</v>
      </c>
      <c r="PE48" s="128">
        <v>0</v>
      </c>
      <c r="PF48" s="128">
        <v>0</v>
      </c>
      <c r="PJ48" s="128">
        <v>62000</v>
      </c>
      <c r="PK48" s="128">
        <v>0</v>
      </c>
      <c r="PL48" s="128">
        <v>0</v>
      </c>
      <c r="PP48" s="128">
        <v>6081000</v>
      </c>
      <c r="PQ48" s="128">
        <v>2585000</v>
      </c>
      <c r="PR48" s="128">
        <v>2585000</v>
      </c>
      <c r="PS48" s="128">
        <v>100</v>
      </c>
      <c r="PT48" s="128">
        <v>100</v>
      </c>
      <c r="PV48" s="128">
        <v>4003183</v>
      </c>
      <c r="PX48" s="128">
        <v>2131000</v>
      </c>
      <c r="PY48" s="128">
        <v>2332000</v>
      </c>
      <c r="PZ48" s="128">
        <v>2585000</v>
      </c>
      <c r="QA48" s="128">
        <v>0</v>
      </c>
      <c r="QB48" s="128">
        <v>0</v>
      </c>
      <c r="QC48" s="128">
        <v>0</v>
      </c>
      <c r="QD48" s="128">
        <v>0</v>
      </c>
      <c r="QE48" s="128">
        <v>0</v>
      </c>
      <c r="QF48" s="128">
        <v>0</v>
      </c>
      <c r="QG48" s="128">
        <v>0</v>
      </c>
      <c r="QH48" s="128">
        <v>0</v>
      </c>
      <c r="QI48" s="128">
        <v>0</v>
      </c>
      <c r="QJ48" s="128">
        <v>2793651</v>
      </c>
      <c r="QK48" s="128">
        <v>2780000</v>
      </c>
      <c r="QL48" s="128">
        <v>2815000</v>
      </c>
      <c r="QN48" s="128">
        <v>157702</v>
      </c>
      <c r="QO48" s="128">
        <v>280000</v>
      </c>
      <c r="QP48" s="128">
        <v>300000</v>
      </c>
      <c r="QU48" s="128">
        <v>0</v>
      </c>
      <c r="QV48" s="128">
        <v>118300</v>
      </c>
      <c r="QW48" s="128">
        <v>148000</v>
      </c>
      <c r="QX48" s="128">
        <v>122000</v>
      </c>
      <c r="QY48" s="128">
        <v>117700</v>
      </c>
      <c r="QZ48" s="128">
        <v>130000</v>
      </c>
      <c r="RD48" s="128">
        <v>47020</v>
      </c>
      <c r="RE48" s="128">
        <v>74000</v>
      </c>
      <c r="RF48" s="128">
        <v>103000</v>
      </c>
      <c r="RH48" s="128">
        <f t="shared" si="104"/>
        <v>2966000</v>
      </c>
      <c r="RI48" s="128">
        <v>0</v>
      </c>
      <c r="RM48" s="128" t="s">
        <v>220</v>
      </c>
      <c r="RU48" s="130"/>
      <c r="RV48" s="130"/>
      <c r="RW48" s="130"/>
      <c r="RX48" s="130"/>
      <c r="SF48" s="128">
        <f t="shared" si="8"/>
        <v>8936486</v>
      </c>
      <c r="SG48" s="131">
        <f t="shared" si="9"/>
        <v>6081000</v>
      </c>
      <c r="SH48" s="131">
        <f t="shared" si="10"/>
        <v>6081000</v>
      </c>
      <c r="SI48" s="131">
        <f t="shared" si="11"/>
        <v>4998000</v>
      </c>
      <c r="SJ48" s="132">
        <f t="shared" si="12"/>
        <v>4860000</v>
      </c>
      <c r="SK48" s="132">
        <f t="shared" si="13"/>
        <v>0</v>
      </c>
      <c r="SL48" s="132">
        <f t="shared" si="14"/>
        <v>48000</v>
      </c>
      <c r="SM48" s="132">
        <f t="shared" si="15"/>
        <v>90000</v>
      </c>
      <c r="SN48" s="131">
        <f t="shared" si="16"/>
        <v>1083000</v>
      </c>
      <c r="SO48" s="131">
        <f t="shared" si="17"/>
        <v>20000</v>
      </c>
      <c r="SP48" s="132">
        <f t="shared" si="18"/>
        <v>0</v>
      </c>
      <c r="SQ48" s="132">
        <f t="shared" si="19"/>
        <v>20000</v>
      </c>
      <c r="SR48" s="132">
        <f t="shared" si="20"/>
        <v>240000</v>
      </c>
      <c r="SS48" s="132">
        <f t="shared" si="21"/>
        <v>10000</v>
      </c>
      <c r="ST48" s="132">
        <f t="shared" si="22"/>
        <v>5000</v>
      </c>
      <c r="SU48" s="132">
        <f t="shared" si="23"/>
        <v>55000</v>
      </c>
      <c r="SV48" s="131">
        <f t="shared" si="24"/>
        <v>442000</v>
      </c>
      <c r="SW48" s="132">
        <f t="shared" si="25"/>
        <v>150000</v>
      </c>
      <c r="SX48" s="132">
        <f t="shared" si="26"/>
        <v>0</v>
      </c>
      <c r="SY48" s="132">
        <f t="shared" si="27"/>
        <v>0</v>
      </c>
      <c r="SZ48" s="132">
        <f t="shared" si="28"/>
        <v>125000</v>
      </c>
      <c r="TA48" s="132">
        <f t="shared" si="29"/>
        <v>0</v>
      </c>
      <c r="TB48" s="132">
        <f t="shared" si="30"/>
        <v>60000</v>
      </c>
      <c r="TC48" s="132">
        <f t="shared" si="31"/>
        <v>7000</v>
      </c>
      <c r="TD48" s="132">
        <f t="shared" si="32"/>
        <v>0</v>
      </c>
      <c r="TE48" s="132">
        <f t="shared" si="33"/>
        <v>0</v>
      </c>
      <c r="TF48" s="132">
        <f t="shared" si="34"/>
        <v>100000</v>
      </c>
      <c r="TG48" s="132">
        <f t="shared" si="35"/>
        <v>249000</v>
      </c>
      <c r="TH48" s="132">
        <f t="shared" si="36"/>
        <v>62000</v>
      </c>
      <c r="TI48" s="1"/>
      <c r="TJ48" s="131">
        <f t="shared" si="37"/>
        <v>2585000</v>
      </c>
      <c r="TK48" s="131">
        <f t="shared" si="38"/>
        <v>2585000</v>
      </c>
      <c r="TL48" s="131">
        <f t="shared" si="39"/>
        <v>2585000</v>
      </c>
      <c r="TM48" s="132">
        <f t="shared" si="40"/>
        <v>2585000</v>
      </c>
      <c r="TN48" s="132">
        <f t="shared" si="41"/>
        <v>0</v>
      </c>
      <c r="TO48" s="132">
        <f t="shared" si="42"/>
        <v>0</v>
      </c>
      <c r="TP48" s="132">
        <f t="shared" si="43"/>
        <v>0</v>
      </c>
      <c r="TQ48" s="131">
        <f t="shared" si="44"/>
        <v>0</v>
      </c>
      <c r="TR48" s="131">
        <f t="shared" si="45"/>
        <v>0</v>
      </c>
      <c r="TS48" s="132">
        <f t="shared" si="46"/>
        <v>0</v>
      </c>
      <c r="TT48" s="132">
        <f t="shared" si="47"/>
        <v>0</v>
      </c>
      <c r="TU48" s="132">
        <f t="shared" si="48"/>
        <v>0</v>
      </c>
      <c r="TV48" s="132">
        <f t="shared" si="49"/>
        <v>0</v>
      </c>
      <c r="TW48" s="132">
        <f t="shared" si="50"/>
        <v>0</v>
      </c>
      <c r="TX48" s="132">
        <f t="shared" si="51"/>
        <v>0</v>
      </c>
      <c r="TY48" s="131">
        <f t="shared" si="52"/>
        <v>0</v>
      </c>
      <c r="TZ48" s="132">
        <f t="shared" si="53"/>
        <v>0</v>
      </c>
      <c r="UA48" s="132">
        <f t="shared" si="54"/>
        <v>0</v>
      </c>
      <c r="UB48" s="132">
        <f t="shared" si="55"/>
        <v>0</v>
      </c>
      <c r="UC48" s="132">
        <f t="shared" si="56"/>
        <v>0</v>
      </c>
      <c r="UD48" s="132">
        <f t="shared" si="57"/>
        <v>0</v>
      </c>
      <c r="UE48" s="132">
        <f t="shared" si="58"/>
        <v>0</v>
      </c>
      <c r="UF48" s="132">
        <f t="shared" si="59"/>
        <v>0</v>
      </c>
      <c r="UG48" s="132">
        <f t="shared" si="60"/>
        <v>0</v>
      </c>
      <c r="UH48" s="132">
        <f t="shared" si="61"/>
        <v>0</v>
      </c>
      <c r="UI48" s="132">
        <f t="shared" si="62"/>
        <v>0</v>
      </c>
      <c r="UJ48" s="132">
        <f t="shared" si="63"/>
        <v>0</v>
      </c>
      <c r="UK48" s="132">
        <f t="shared" si="64"/>
        <v>0</v>
      </c>
      <c r="UL48" s="132">
        <f t="shared" si="105"/>
        <v>2585000</v>
      </c>
      <c r="UM48" s="131">
        <f t="shared" si="65"/>
        <v>2585000</v>
      </c>
      <c r="UN48" s="131">
        <f t="shared" si="66"/>
        <v>2585000</v>
      </c>
      <c r="UO48" s="131">
        <f t="shared" si="67"/>
        <v>2585000</v>
      </c>
      <c r="UP48" s="132">
        <f t="shared" si="68"/>
        <v>2585000</v>
      </c>
      <c r="UQ48" s="132">
        <f t="shared" si="69"/>
        <v>0</v>
      </c>
      <c r="UR48" s="132">
        <f t="shared" si="70"/>
        <v>0</v>
      </c>
      <c r="US48" s="132">
        <f t="shared" si="71"/>
        <v>0</v>
      </c>
      <c r="UT48" s="131">
        <f t="shared" si="72"/>
        <v>0</v>
      </c>
      <c r="UU48" s="131">
        <f t="shared" si="73"/>
        <v>0</v>
      </c>
      <c r="UV48" s="132">
        <f t="shared" si="74"/>
        <v>0</v>
      </c>
      <c r="UW48" s="132">
        <f t="shared" si="75"/>
        <v>0</v>
      </c>
      <c r="UX48" s="132">
        <f t="shared" si="76"/>
        <v>0</v>
      </c>
      <c r="UY48" s="132">
        <f t="shared" si="77"/>
        <v>0</v>
      </c>
      <c r="UZ48" s="132">
        <f t="shared" si="78"/>
        <v>0</v>
      </c>
      <c r="VA48" s="132">
        <f t="shared" si="79"/>
        <v>0</v>
      </c>
      <c r="VB48" s="131">
        <f t="shared" si="80"/>
        <v>0</v>
      </c>
      <c r="VC48" s="132">
        <f t="shared" si="81"/>
        <v>0</v>
      </c>
      <c r="VD48" s="132">
        <f t="shared" si="82"/>
        <v>0</v>
      </c>
      <c r="VE48" s="132">
        <f t="shared" si="83"/>
        <v>0</v>
      </c>
      <c r="VF48" s="132">
        <f t="shared" si="84"/>
        <v>0</v>
      </c>
      <c r="VG48" s="132">
        <f t="shared" si="85"/>
        <v>0</v>
      </c>
      <c r="VH48" s="132">
        <f t="shared" si="86"/>
        <v>0</v>
      </c>
      <c r="VI48" s="132">
        <f t="shared" si="87"/>
        <v>0</v>
      </c>
      <c r="VJ48" s="132">
        <f t="shared" si="88"/>
        <v>0</v>
      </c>
      <c r="VK48" s="132">
        <f t="shared" si="89"/>
        <v>0</v>
      </c>
      <c r="VL48" s="132">
        <f t="shared" si="90"/>
        <v>0</v>
      </c>
      <c r="VM48" s="132">
        <f t="shared" si="91"/>
        <v>0</v>
      </c>
      <c r="VN48" s="132">
        <f t="shared" si="92"/>
        <v>0</v>
      </c>
      <c r="VP48" s="845" t="str">
        <f>IFERROR(HLOOKUP(F48,'Hodnocení '!$C$1:$JH$5,2,FALSE),0)</f>
        <v>Domov Diakonie</v>
      </c>
      <c r="VQ48" s="838"/>
      <c r="VR48" s="845" t="str">
        <f t="shared" si="106"/>
        <v>Církve a náboženské společnosti</v>
      </c>
      <c r="VS48" s="845" t="str">
        <f>IFERROR(HLOOKUP(F48,'Hodnocení '!$C$1:$JH$5,5,FALSE),0)</f>
        <v>NZO</v>
      </c>
      <c r="VT48" s="838">
        <f t="shared" si="107"/>
        <v>0</v>
      </c>
      <c r="VU48" s="838">
        <f t="shared" si="108"/>
        <v>0</v>
      </c>
      <c r="VV48" s="838">
        <f t="shared" si="109"/>
        <v>2815000</v>
      </c>
      <c r="VW48" s="838">
        <f t="shared" si="110"/>
        <v>300000</v>
      </c>
      <c r="VX48" s="838"/>
      <c r="VY48" s="838">
        <f t="shared" si="114"/>
        <v>0</v>
      </c>
      <c r="VZ48" s="838">
        <f t="shared" si="115"/>
        <v>2585000</v>
      </c>
      <c r="WA48" s="846">
        <f>IFERROR(HLOOKUP($F48,'Hodnocení '!$C$1:$JH$9,9,FALSE),0)</f>
        <v>2585000</v>
      </c>
      <c r="WB48" s="846">
        <f>IF(IFERROR(HLOOKUP($F48,'Hodnocení '!$C$1:$JH$13,13,FALSE),0)&gt;WA48,WA48,IFERROR(HLOOKUP($F48,'Hodnocení '!$C$1:$JH$13,13,FALSE),0))</f>
        <v>2585000</v>
      </c>
      <c r="WC48" s="846">
        <f>IFERROR(HLOOKUP($F48,'Hodnocení '!$C$1:$JH$155,155,FALSE),0)</f>
        <v>2585000</v>
      </c>
      <c r="WD48" s="845"/>
      <c r="WE48" s="845"/>
      <c r="WF48" s="845" t="str">
        <f t="shared" si="97"/>
        <v>ANO</v>
      </c>
      <c r="WG48" s="849" t="str">
        <f t="shared" si="117"/>
        <v>Podpora služby je vyjádřena zařazením do sítě sociálních služeb v KHK a řešením financování služby</v>
      </c>
      <c r="WH48"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48" s="849" t="str">
        <f t="shared" si="117"/>
        <v>Návrh dotace je výsledkem projednání s ostatními zadavateli v rámci sítě služeb KHK</v>
      </c>
      <c r="WJ48" s="849" t="str">
        <f t="shared" si="117"/>
        <v>Bez komentáře</v>
      </c>
      <c r="WK48" s="31">
        <f t="shared" si="99"/>
        <v>0</v>
      </c>
      <c r="WL48" s="850">
        <f t="shared" si="100"/>
        <v>0</v>
      </c>
      <c r="WM48" s="849" t="str">
        <f t="shared" si="101"/>
        <v>V rámci sítě KHK se dlouhodobě řeší otázka navyšování úhrad a průběžně se monitoruje s vazbou na vykrytí vyrovnávací platby</v>
      </c>
      <c r="WN48" s="849" t="str">
        <f t="shared" si="102"/>
        <v>Otázka výběru od zdravotních pojišťoven je předmětem procesu, který probíhá ve formě jednání se ZP a organizacemi</v>
      </c>
      <c r="WO48" s="849" t="str">
        <f t="shared" si="116"/>
        <v>bez komentáře</v>
      </c>
      <c r="WP48" s="849" t="str">
        <f t="shared" si="116"/>
        <v>bez komentáře</v>
      </c>
      <c r="WQ48" s="849" t="str">
        <f t="shared" si="116"/>
        <v>Konečná výše dotace z rozpočtu KHK bude řešena v návaznosti na řešení podílů jednotlivých zadavatelů.</v>
      </c>
      <c r="WR48" s="849" t="str">
        <f t="shared" si="116"/>
        <v>Konečná výše podpory ze stran obcí bude řešena v součinnosti s jednotlivými zadavateli v průběhu roku.</v>
      </c>
      <c r="WS48" s="849" t="str">
        <f t="shared" si="116"/>
        <v>bez komentáře</v>
      </c>
      <c r="WT48" s="849" t="str">
        <f t="shared" si="116"/>
        <v>bez komentáře</v>
      </c>
      <c r="WU48" s="845"/>
    </row>
    <row r="49" spans="1:619" s="128" customFormat="1" x14ac:dyDescent="0.25">
      <c r="A49" s="128" t="str">
        <f>VLOOKUP(F49,'Výpočet VP 2020'!$D$324:$I$588,6,FALSE)</f>
        <v>Je v síti</v>
      </c>
      <c r="B49" s="128" t="s">
        <v>396</v>
      </c>
      <c r="C49" s="128">
        <v>42197449</v>
      </c>
      <c r="D49" s="128" t="s">
        <v>397</v>
      </c>
      <c r="E49" s="128" t="s">
        <v>360</v>
      </c>
      <c r="F49" s="128">
        <v>5646573</v>
      </c>
      <c r="G49" s="128" t="s">
        <v>292</v>
      </c>
      <c r="H49" s="128" t="s">
        <v>293</v>
      </c>
      <c r="I49" s="128" t="s">
        <v>398</v>
      </c>
      <c r="J49" s="129">
        <v>39083</v>
      </c>
      <c r="L49" s="128" t="s">
        <v>220</v>
      </c>
      <c r="X49" s="128" t="s">
        <v>399</v>
      </c>
      <c r="AI49" s="128">
        <v>12</v>
      </c>
      <c r="AJ49" s="128">
        <v>12</v>
      </c>
      <c r="AK49" s="128">
        <v>531</v>
      </c>
      <c r="AL49" s="128">
        <v>500</v>
      </c>
      <c r="AM49" s="128">
        <v>500</v>
      </c>
      <c r="AP49" s="128" t="s">
        <v>399</v>
      </c>
      <c r="BE49" s="128">
        <v>12</v>
      </c>
      <c r="BF49" s="128">
        <v>12</v>
      </c>
      <c r="BG49" s="128">
        <v>281</v>
      </c>
      <c r="BH49" s="128">
        <v>250</v>
      </c>
      <c r="BI49" s="128">
        <v>250</v>
      </c>
      <c r="BL49" s="128" t="s">
        <v>400</v>
      </c>
      <c r="BM49" s="128" t="s">
        <v>401</v>
      </c>
      <c r="BN49" s="128" t="s">
        <v>299</v>
      </c>
      <c r="EK49" s="128">
        <v>3</v>
      </c>
      <c r="EL49" s="128">
        <v>2.1</v>
      </c>
      <c r="EM49" s="128">
        <v>2.1</v>
      </c>
      <c r="EN49" s="128">
        <v>1004200</v>
      </c>
      <c r="EO49" s="128">
        <v>977000</v>
      </c>
      <c r="FO49" s="128">
        <v>1</v>
      </c>
      <c r="FP49" s="128">
        <v>0.25</v>
      </c>
      <c r="FQ49" s="128">
        <v>2.5</v>
      </c>
      <c r="FR49" s="128">
        <v>109000</v>
      </c>
      <c r="FS49" s="128">
        <v>109000</v>
      </c>
      <c r="IN49" s="128">
        <v>1</v>
      </c>
      <c r="IO49" s="128">
        <v>20</v>
      </c>
      <c r="IP49" s="128">
        <v>0.01</v>
      </c>
      <c r="IQ49" s="128">
        <v>8000</v>
      </c>
      <c r="IR49" s="128">
        <v>5000</v>
      </c>
      <c r="IS49" s="128">
        <v>2</v>
      </c>
      <c r="IT49" s="128">
        <v>170</v>
      </c>
      <c r="IU49" s="128">
        <v>8.1000000000000003E-2</v>
      </c>
      <c r="IV49" s="128">
        <v>24000</v>
      </c>
      <c r="IW49" s="128">
        <v>15000</v>
      </c>
      <c r="KG49" s="128">
        <v>5</v>
      </c>
      <c r="KH49" s="128">
        <v>50</v>
      </c>
      <c r="KI49" s="128">
        <v>2.1</v>
      </c>
      <c r="KJ49" s="128">
        <v>0</v>
      </c>
      <c r="KK49" s="128">
        <v>0.01</v>
      </c>
      <c r="KL49" s="128">
        <v>0</v>
      </c>
      <c r="KM49" s="128">
        <v>2.11</v>
      </c>
      <c r="KN49" s="128">
        <v>1113200</v>
      </c>
      <c r="KO49" s="128">
        <v>1086000</v>
      </c>
      <c r="KP49" s="128">
        <v>1086000</v>
      </c>
      <c r="KT49" s="128">
        <v>0</v>
      </c>
      <c r="KU49" s="128">
        <v>0</v>
      </c>
      <c r="KV49" s="128">
        <v>0</v>
      </c>
      <c r="KZ49" s="128">
        <v>32000</v>
      </c>
      <c r="LA49" s="128">
        <v>20000</v>
      </c>
      <c r="LB49" s="128">
        <v>20000</v>
      </c>
      <c r="LF49" s="128">
        <v>15500</v>
      </c>
      <c r="LG49" s="128">
        <v>0</v>
      </c>
      <c r="LH49" s="128">
        <v>0</v>
      </c>
      <c r="LL49" s="128">
        <v>20000</v>
      </c>
      <c r="LM49" s="128">
        <v>0</v>
      </c>
      <c r="LN49" s="128">
        <v>0</v>
      </c>
      <c r="LR49" s="128">
        <v>120000</v>
      </c>
      <c r="LS49" s="128">
        <v>50000</v>
      </c>
      <c r="LT49" s="128">
        <v>50000</v>
      </c>
      <c r="LX49" s="128">
        <v>0</v>
      </c>
      <c r="LY49" s="128">
        <v>0</v>
      </c>
      <c r="LZ49" s="128">
        <v>0</v>
      </c>
      <c r="MD49" s="128">
        <v>21000</v>
      </c>
      <c r="ME49" s="128">
        <v>6000</v>
      </c>
      <c r="MF49" s="128">
        <v>6000</v>
      </c>
      <c r="MJ49" s="128">
        <v>8000</v>
      </c>
      <c r="MK49" s="128">
        <v>5550</v>
      </c>
      <c r="ML49" s="128">
        <v>5550</v>
      </c>
      <c r="MP49" s="128">
        <v>2000</v>
      </c>
      <c r="MQ49" s="128">
        <v>500</v>
      </c>
      <c r="MR49" s="128">
        <v>500</v>
      </c>
      <c r="MV49" s="128">
        <v>17000</v>
      </c>
      <c r="MW49" s="128">
        <v>16476</v>
      </c>
      <c r="MX49" s="128">
        <v>16476</v>
      </c>
      <c r="NB49" s="128">
        <v>35000</v>
      </c>
      <c r="NC49" s="128">
        <v>23590</v>
      </c>
      <c r="ND49" s="128">
        <v>23590</v>
      </c>
      <c r="NH49" s="128">
        <v>34000</v>
      </c>
      <c r="NI49" s="128">
        <v>33684</v>
      </c>
      <c r="NJ49" s="128">
        <v>33684</v>
      </c>
      <c r="NN49" s="128">
        <v>0</v>
      </c>
      <c r="NO49" s="128">
        <v>0</v>
      </c>
      <c r="NP49" s="128">
        <v>0</v>
      </c>
      <c r="NT49" s="128">
        <v>10000</v>
      </c>
      <c r="NU49" s="128">
        <v>4100</v>
      </c>
      <c r="NV49" s="128">
        <v>4100</v>
      </c>
      <c r="NZ49" s="128">
        <v>2500</v>
      </c>
      <c r="OA49" s="128">
        <v>500</v>
      </c>
      <c r="OB49" s="128">
        <v>500</v>
      </c>
      <c r="OF49" s="128">
        <v>10000</v>
      </c>
      <c r="OG49" s="128">
        <v>5000</v>
      </c>
      <c r="OH49" s="128">
        <v>5000</v>
      </c>
      <c r="OL49" s="128">
        <v>0</v>
      </c>
      <c r="OM49" s="128">
        <v>0</v>
      </c>
      <c r="ON49" s="128">
        <v>0</v>
      </c>
      <c r="OR49" s="128">
        <v>0</v>
      </c>
      <c r="OS49" s="128">
        <v>0</v>
      </c>
      <c r="OT49" s="128">
        <v>0</v>
      </c>
      <c r="OX49" s="128">
        <v>3000</v>
      </c>
      <c r="OY49" s="128">
        <v>0</v>
      </c>
      <c r="OZ49" s="128">
        <v>0</v>
      </c>
      <c r="PD49" s="128">
        <v>25000</v>
      </c>
      <c r="PE49" s="128">
        <v>0</v>
      </c>
      <c r="PF49" s="128">
        <v>0</v>
      </c>
      <c r="PJ49" s="128">
        <v>4000</v>
      </c>
      <c r="PK49" s="128">
        <v>0</v>
      </c>
      <c r="PL49" s="128">
        <v>0</v>
      </c>
      <c r="PP49" s="128">
        <v>1472200</v>
      </c>
      <c r="PQ49" s="128">
        <v>1251400</v>
      </c>
      <c r="PR49" s="128">
        <v>1251400</v>
      </c>
      <c r="PS49" s="128">
        <v>100</v>
      </c>
      <c r="PT49" s="128">
        <v>100</v>
      </c>
      <c r="PX49" s="128">
        <v>1047000</v>
      </c>
      <c r="PY49" s="128">
        <v>1089000</v>
      </c>
      <c r="PZ49" s="128">
        <v>1251400</v>
      </c>
      <c r="QA49" s="128">
        <v>0</v>
      </c>
      <c r="QB49" s="128">
        <v>0</v>
      </c>
      <c r="QC49" s="128">
        <v>0</v>
      </c>
      <c r="QD49" s="128">
        <v>0</v>
      </c>
      <c r="QE49" s="128">
        <v>0</v>
      </c>
      <c r="QF49" s="128">
        <v>0</v>
      </c>
      <c r="QG49" s="128">
        <v>0</v>
      </c>
      <c r="QH49" s="128">
        <v>0</v>
      </c>
      <c r="QI49" s="128">
        <v>0</v>
      </c>
      <c r="QJ49" s="128">
        <v>0</v>
      </c>
      <c r="QK49" s="128">
        <v>0</v>
      </c>
      <c r="QL49" s="128">
        <v>0</v>
      </c>
      <c r="QN49" s="128">
        <v>0</v>
      </c>
      <c r="QO49" s="128">
        <v>0</v>
      </c>
      <c r="QP49" s="128">
        <v>0</v>
      </c>
      <c r="QR49" s="128">
        <v>75014</v>
      </c>
      <c r="QS49" s="128">
        <v>40000</v>
      </c>
      <c r="QT49" s="128">
        <v>0</v>
      </c>
      <c r="QU49" s="128">
        <v>13162</v>
      </c>
      <c r="QV49" s="128">
        <v>108405</v>
      </c>
      <c r="QW49" s="128">
        <v>0</v>
      </c>
      <c r="RD49" s="128">
        <v>69031</v>
      </c>
      <c r="RE49" s="128">
        <v>161520</v>
      </c>
      <c r="RF49" s="128">
        <v>220800</v>
      </c>
      <c r="RH49" s="128">
        <f t="shared" si="104"/>
        <v>1472200</v>
      </c>
      <c r="RI49" s="128">
        <v>0</v>
      </c>
      <c r="RM49" s="128" t="s">
        <v>220</v>
      </c>
      <c r="RU49" s="130"/>
      <c r="RV49" s="130"/>
      <c r="RW49" s="130"/>
      <c r="RX49" s="130"/>
      <c r="SF49" s="128">
        <f t="shared" si="8"/>
        <v>5646573</v>
      </c>
      <c r="SG49" s="131">
        <f t="shared" si="9"/>
        <v>1472200</v>
      </c>
      <c r="SH49" s="131">
        <f t="shared" si="10"/>
        <v>1472200</v>
      </c>
      <c r="SI49" s="131">
        <f t="shared" si="11"/>
        <v>1160700</v>
      </c>
      <c r="SJ49" s="132">
        <f t="shared" si="12"/>
        <v>1113200</v>
      </c>
      <c r="SK49" s="132">
        <f t="shared" si="13"/>
        <v>0</v>
      </c>
      <c r="SL49" s="132">
        <f t="shared" si="14"/>
        <v>32000</v>
      </c>
      <c r="SM49" s="132">
        <f t="shared" si="15"/>
        <v>15500</v>
      </c>
      <c r="SN49" s="131">
        <f t="shared" si="16"/>
        <v>311500</v>
      </c>
      <c r="SO49" s="131">
        <f t="shared" si="17"/>
        <v>140000</v>
      </c>
      <c r="SP49" s="132">
        <f t="shared" si="18"/>
        <v>20000</v>
      </c>
      <c r="SQ49" s="132">
        <f t="shared" si="19"/>
        <v>120000</v>
      </c>
      <c r="SR49" s="132">
        <f t="shared" si="20"/>
        <v>0</v>
      </c>
      <c r="SS49" s="132">
        <f t="shared" si="21"/>
        <v>21000</v>
      </c>
      <c r="ST49" s="132">
        <f t="shared" si="22"/>
        <v>8000</v>
      </c>
      <c r="SU49" s="132">
        <f t="shared" si="23"/>
        <v>2000</v>
      </c>
      <c r="SV49" s="131">
        <f t="shared" si="24"/>
        <v>111500</v>
      </c>
      <c r="SW49" s="132">
        <f t="shared" si="25"/>
        <v>17000</v>
      </c>
      <c r="SX49" s="132">
        <f t="shared" si="26"/>
        <v>35000</v>
      </c>
      <c r="SY49" s="132">
        <f t="shared" si="27"/>
        <v>34000</v>
      </c>
      <c r="SZ49" s="132">
        <f t="shared" si="28"/>
        <v>0</v>
      </c>
      <c r="TA49" s="132">
        <f t="shared" si="29"/>
        <v>10000</v>
      </c>
      <c r="TB49" s="132">
        <f t="shared" si="30"/>
        <v>2500</v>
      </c>
      <c r="TC49" s="132">
        <f t="shared" si="31"/>
        <v>10000</v>
      </c>
      <c r="TD49" s="132">
        <f t="shared" si="32"/>
        <v>0</v>
      </c>
      <c r="TE49" s="132">
        <f t="shared" si="33"/>
        <v>0</v>
      </c>
      <c r="TF49" s="132">
        <f t="shared" si="34"/>
        <v>3000</v>
      </c>
      <c r="TG49" s="132">
        <f t="shared" si="35"/>
        <v>25000</v>
      </c>
      <c r="TH49" s="132">
        <f t="shared" si="36"/>
        <v>4000</v>
      </c>
      <c r="TI49" s="1"/>
      <c r="TJ49" s="131">
        <f t="shared" si="37"/>
        <v>1251400</v>
      </c>
      <c r="TK49" s="131">
        <f t="shared" si="38"/>
        <v>1251400</v>
      </c>
      <c r="TL49" s="131">
        <f t="shared" si="39"/>
        <v>1106000</v>
      </c>
      <c r="TM49" s="132">
        <f t="shared" si="40"/>
        <v>1086000</v>
      </c>
      <c r="TN49" s="132">
        <f t="shared" si="41"/>
        <v>0</v>
      </c>
      <c r="TO49" s="132">
        <f t="shared" si="42"/>
        <v>20000</v>
      </c>
      <c r="TP49" s="132">
        <f t="shared" si="43"/>
        <v>0</v>
      </c>
      <c r="TQ49" s="131">
        <f t="shared" si="44"/>
        <v>145400</v>
      </c>
      <c r="TR49" s="131">
        <f t="shared" si="45"/>
        <v>50000</v>
      </c>
      <c r="TS49" s="132">
        <f t="shared" si="46"/>
        <v>0</v>
      </c>
      <c r="TT49" s="132">
        <f t="shared" si="47"/>
        <v>50000</v>
      </c>
      <c r="TU49" s="132">
        <f t="shared" si="48"/>
        <v>0</v>
      </c>
      <c r="TV49" s="132">
        <f t="shared" si="49"/>
        <v>6000</v>
      </c>
      <c r="TW49" s="132">
        <f t="shared" si="50"/>
        <v>5550</v>
      </c>
      <c r="TX49" s="132">
        <f t="shared" si="51"/>
        <v>500</v>
      </c>
      <c r="TY49" s="131">
        <f t="shared" si="52"/>
        <v>83350</v>
      </c>
      <c r="TZ49" s="132">
        <f t="shared" si="53"/>
        <v>16476</v>
      </c>
      <c r="UA49" s="132">
        <f t="shared" si="54"/>
        <v>23590</v>
      </c>
      <c r="UB49" s="132">
        <f t="shared" si="55"/>
        <v>33684</v>
      </c>
      <c r="UC49" s="132">
        <f t="shared" si="56"/>
        <v>0</v>
      </c>
      <c r="UD49" s="132">
        <f t="shared" si="57"/>
        <v>4100</v>
      </c>
      <c r="UE49" s="132">
        <f t="shared" si="58"/>
        <v>500</v>
      </c>
      <c r="UF49" s="132">
        <f t="shared" si="59"/>
        <v>5000</v>
      </c>
      <c r="UG49" s="132">
        <f t="shared" si="60"/>
        <v>0</v>
      </c>
      <c r="UH49" s="132">
        <f t="shared" si="61"/>
        <v>0</v>
      </c>
      <c r="UI49" s="132">
        <f t="shared" si="62"/>
        <v>0</v>
      </c>
      <c r="UJ49" s="132">
        <f t="shared" si="63"/>
        <v>0</v>
      </c>
      <c r="UK49" s="132">
        <f t="shared" si="64"/>
        <v>0</v>
      </c>
      <c r="UL49" s="132">
        <f t="shared" si="105"/>
        <v>1251400</v>
      </c>
      <c r="UM49" s="131">
        <f t="shared" si="65"/>
        <v>1251400</v>
      </c>
      <c r="UN49" s="131">
        <f t="shared" si="66"/>
        <v>1251400</v>
      </c>
      <c r="UO49" s="131">
        <f t="shared" si="67"/>
        <v>1106000</v>
      </c>
      <c r="UP49" s="132">
        <f t="shared" si="68"/>
        <v>1086000</v>
      </c>
      <c r="UQ49" s="132">
        <f t="shared" si="69"/>
        <v>0</v>
      </c>
      <c r="UR49" s="132">
        <f t="shared" si="70"/>
        <v>20000</v>
      </c>
      <c r="US49" s="132">
        <f t="shared" si="71"/>
        <v>0</v>
      </c>
      <c r="UT49" s="131">
        <f t="shared" si="72"/>
        <v>145400</v>
      </c>
      <c r="UU49" s="131">
        <f t="shared" si="73"/>
        <v>50000</v>
      </c>
      <c r="UV49" s="132">
        <f t="shared" si="74"/>
        <v>0</v>
      </c>
      <c r="UW49" s="132">
        <f t="shared" si="75"/>
        <v>50000</v>
      </c>
      <c r="UX49" s="132">
        <f t="shared" si="76"/>
        <v>0</v>
      </c>
      <c r="UY49" s="132">
        <f t="shared" si="77"/>
        <v>6000</v>
      </c>
      <c r="UZ49" s="132">
        <f t="shared" si="78"/>
        <v>5550</v>
      </c>
      <c r="VA49" s="132">
        <f t="shared" si="79"/>
        <v>500</v>
      </c>
      <c r="VB49" s="131">
        <f t="shared" si="80"/>
        <v>83350</v>
      </c>
      <c r="VC49" s="132">
        <f t="shared" si="81"/>
        <v>16476</v>
      </c>
      <c r="VD49" s="132">
        <f t="shared" si="82"/>
        <v>23590</v>
      </c>
      <c r="VE49" s="132">
        <f t="shared" si="83"/>
        <v>33684</v>
      </c>
      <c r="VF49" s="132">
        <f t="shared" si="84"/>
        <v>0</v>
      </c>
      <c r="VG49" s="132">
        <f t="shared" si="85"/>
        <v>4100</v>
      </c>
      <c r="VH49" s="132">
        <f t="shared" si="86"/>
        <v>500</v>
      </c>
      <c r="VI49" s="132">
        <f t="shared" si="87"/>
        <v>5000</v>
      </c>
      <c r="VJ49" s="132">
        <f t="shared" si="88"/>
        <v>0</v>
      </c>
      <c r="VK49" s="132">
        <f t="shared" si="89"/>
        <v>0</v>
      </c>
      <c r="VL49" s="132">
        <f t="shared" si="90"/>
        <v>0</v>
      </c>
      <c r="VM49" s="132">
        <f t="shared" si="91"/>
        <v>0</v>
      </c>
      <c r="VN49" s="132">
        <f t="shared" si="92"/>
        <v>0</v>
      </c>
      <c r="VP49" s="845" t="str">
        <f>IFERROR(HLOOKUP(F49,'Hodnocení '!$C$1:$JH$5,2,FALSE),0)</f>
        <v>Poradna pro cizince a uprchlíky</v>
      </c>
      <c r="VQ49" s="838"/>
      <c r="VR49" s="845" t="str">
        <f t="shared" si="106"/>
        <v>Církve a náboženské společnosti</v>
      </c>
      <c r="VS49" s="845" t="str">
        <f>IFERROR(HLOOKUP(F49,'Hodnocení '!$C$1:$JH$5,5,FALSE),0)</f>
        <v>NZO</v>
      </c>
      <c r="VT49" s="838">
        <f t="shared" si="107"/>
        <v>0</v>
      </c>
      <c r="VU49" s="838">
        <f t="shared" si="108"/>
        <v>0</v>
      </c>
      <c r="VV49" s="838">
        <f t="shared" si="109"/>
        <v>0</v>
      </c>
      <c r="VW49" s="838">
        <f t="shared" si="110"/>
        <v>0</v>
      </c>
      <c r="VX49" s="838"/>
      <c r="VY49" s="838">
        <f t="shared" si="114"/>
        <v>0</v>
      </c>
      <c r="VZ49" s="838">
        <f t="shared" si="115"/>
        <v>1251400</v>
      </c>
      <c r="WA49" s="846">
        <f>IFERROR(HLOOKUP($F49,'Hodnocení '!$C$1:$JH$9,9,FALSE),0)</f>
        <v>1251400</v>
      </c>
      <c r="WB49" s="846">
        <f>IF(IFERROR(HLOOKUP($F49,'Hodnocení '!$C$1:$JH$13,13,FALSE),0)&gt;WA49,WA49,IFERROR(HLOOKUP($F49,'Hodnocení '!$C$1:$JH$13,13,FALSE),0))</f>
        <v>1251400</v>
      </c>
      <c r="WC49" s="846">
        <f>IFERROR(HLOOKUP($F49,'Hodnocení '!$C$1:$JH$155,155,FALSE),0)</f>
        <v>1251400</v>
      </c>
      <c r="WD49" s="845"/>
      <c r="WE49" s="845"/>
      <c r="WF49" s="845" t="str">
        <f t="shared" si="97"/>
        <v>ANO</v>
      </c>
      <c r="WG49" s="849" t="str">
        <f t="shared" si="117"/>
        <v>Podpora služby je vyjádřena zařazením do sítě sociálních služeb v KHK a řešením financování služby</v>
      </c>
      <c r="WH49"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49" s="849" t="str">
        <f t="shared" si="117"/>
        <v>Návrh dotace je výsledkem projednání s ostatními zadavateli v rámci sítě služeb KHK</v>
      </c>
      <c r="WJ49" s="849" t="str">
        <f t="shared" si="117"/>
        <v>Bez komentáře</v>
      </c>
      <c r="WK49" s="31">
        <f t="shared" si="99"/>
        <v>0</v>
      </c>
      <c r="WL49" s="850">
        <f t="shared" si="100"/>
        <v>0</v>
      </c>
      <c r="WM49" s="849">
        <f t="shared" si="101"/>
        <v>0</v>
      </c>
      <c r="WN49" s="849">
        <f t="shared" si="102"/>
        <v>0</v>
      </c>
      <c r="WO49" s="849" t="str">
        <f t="shared" si="116"/>
        <v>bez komentáře</v>
      </c>
      <c r="WP49" s="849" t="str">
        <f t="shared" si="116"/>
        <v>bez komentáře</v>
      </c>
      <c r="WQ49" s="849" t="str">
        <f t="shared" si="116"/>
        <v>Konečná výše dotace z rozpočtu KHK bude řešena v návaznosti na řešení podílů jednotlivých zadavatelů.</v>
      </c>
      <c r="WR49" s="849" t="str">
        <f t="shared" si="116"/>
        <v>Konečná výše podpory ze stran obcí bude řešena v součinnosti s jednotlivými zadavateli v průběhu roku.</v>
      </c>
      <c r="WS49" s="849" t="str">
        <f t="shared" si="116"/>
        <v>bez komentáře</v>
      </c>
      <c r="WT49" s="849" t="str">
        <f t="shared" si="116"/>
        <v>bez komentáře</v>
      </c>
      <c r="WU49" s="845"/>
    </row>
    <row r="50" spans="1:619" s="128" customFormat="1" x14ac:dyDescent="0.25">
      <c r="A50" s="128" t="str">
        <f>VLOOKUP(F50,'Výpočet VP 2020'!$D$324:$I$588,6,FALSE)</f>
        <v>Je v síti</v>
      </c>
      <c r="B50" s="128" t="s">
        <v>402</v>
      </c>
      <c r="C50" s="128">
        <v>62726714</v>
      </c>
      <c r="D50" s="128" t="s">
        <v>403</v>
      </c>
      <c r="E50" s="128" t="s">
        <v>242</v>
      </c>
      <c r="F50" s="128">
        <v>8382823</v>
      </c>
      <c r="G50" s="128" t="s">
        <v>342</v>
      </c>
      <c r="H50" s="128" t="s">
        <v>230</v>
      </c>
      <c r="I50" s="128" t="s">
        <v>404</v>
      </c>
      <c r="J50" s="129">
        <v>41275</v>
      </c>
      <c r="L50" s="128" t="s">
        <v>220</v>
      </c>
      <c r="X50" s="128" t="s">
        <v>322</v>
      </c>
      <c r="Z50" s="128">
        <v>20</v>
      </c>
      <c r="AA50" s="128">
        <v>20</v>
      </c>
      <c r="AB50" s="128">
        <v>83</v>
      </c>
      <c r="AC50" s="128">
        <v>91</v>
      </c>
      <c r="AD50" s="128">
        <v>91</v>
      </c>
      <c r="AP50" s="128" t="s">
        <v>320</v>
      </c>
      <c r="AQ50" s="128">
        <v>5</v>
      </c>
      <c r="AR50" s="128">
        <v>15</v>
      </c>
      <c r="AS50" s="128">
        <v>65</v>
      </c>
      <c r="AT50" s="128">
        <v>68</v>
      </c>
      <c r="AU50" s="128">
        <v>68</v>
      </c>
      <c r="BL50" s="128" t="s">
        <v>278</v>
      </c>
      <c r="BM50" s="128" t="s">
        <v>279</v>
      </c>
      <c r="BN50" s="128" t="s">
        <v>347</v>
      </c>
      <c r="EK50" s="128">
        <v>1</v>
      </c>
      <c r="EL50" s="128">
        <v>1</v>
      </c>
      <c r="EM50" s="128">
        <v>2</v>
      </c>
      <c r="EN50" s="128">
        <v>600000</v>
      </c>
      <c r="EO50" s="128">
        <v>500000</v>
      </c>
      <c r="EP50" s="128">
        <v>2</v>
      </c>
      <c r="EQ50" s="128">
        <v>2</v>
      </c>
      <c r="ER50" s="128">
        <v>1</v>
      </c>
      <c r="ES50" s="128">
        <v>900000</v>
      </c>
      <c r="ET50" s="128">
        <v>800000</v>
      </c>
      <c r="FO50" s="128">
        <v>1</v>
      </c>
      <c r="FP50" s="128">
        <v>0.8</v>
      </c>
      <c r="FQ50" s="128">
        <v>0.8</v>
      </c>
      <c r="FR50" s="128">
        <v>600000</v>
      </c>
      <c r="FS50" s="128">
        <v>600000</v>
      </c>
      <c r="IN50" s="128">
        <v>1</v>
      </c>
      <c r="IO50" s="128">
        <v>300</v>
      </c>
      <c r="IP50" s="128">
        <v>0.14299999999999999</v>
      </c>
      <c r="IQ50" s="128">
        <v>150000</v>
      </c>
      <c r="IR50" s="128">
        <v>150000</v>
      </c>
      <c r="IS50" s="128">
        <v>1</v>
      </c>
      <c r="IT50" s="128">
        <v>300</v>
      </c>
      <c r="IU50" s="128">
        <v>0.14299999999999999</v>
      </c>
      <c r="IV50" s="128">
        <v>150000</v>
      </c>
      <c r="IW50" s="128">
        <v>150000</v>
      </c>
      <c r="KG50" s="128">
        <v>0</v>
      </c>
      <c r="KI50" s="128">
        <v>3</v>
      </c>
      <c r="KJ50" s="128">
        <v>0</v>
      </c>
      <c r="KK50" s="128">
        <v>0.14299999999999999</v>
      </c>
      <c r="KL50" s="128">
        <v>0</v>
      </c>
      <c r="KM50" s="128">
        <v>3.1429999999999998</v>
      </c>
      <c r="KN50" s="128">
        <v>2100000</v>
      </c>
      <c r="KO50" s="128">
        <v>1900000</v>
      </c>
      <c r="KP50" s="128">
        <v>1900000</v>
      </c>
      <c r="KT50" s="128">
        <v>0</v>
      </c>
      <c r="KU50" s="128">
        <v>0</v>
      </c>
      <c r="KV50" s="128">
        <v>0</v>
      </c>
      <c r="KZ50" s="128">
        <v>300000</v>
      </c>
      <c r="LA50" s="128">
        <v>300000</v>
      </c>
      <c r="LB50" s="128">
        <v>300000</v>
      </c>
      <c r="LF50" s="128">
        <v>0</v>
      </c>
      <c r="LG50" s="128">
        <v>0</v>
      </c>
      <c r="LH50" s="128">
        <v>0</v>
      </c>
      <c r="LL50" s="128">
        <v>0</v>
      </c>
      <c r="LM50" s="128">
        <v>0</v>
      </c>
      <c r="LN50" s="128">
        <v>0</v>
      </c>
      <c r="LR50" s="128">
        <v>40000</v>
      </c>
      <c r="LS50" s="128">
        <v>5000</v>
      </c>
      <c r="LT50" s="128">
        <v>5000</v>
      </c>
      <c r="LX50" s="128">
        <v>5000</v>
      </c>
      <c r="LY50" s="128">
        <v>5000</v>
      </c>
      <c r="LZ50" s="128">
        <v>5000</v>
      </c>
      <c r="MD50" s="128">
        <v>11000</v>
      </c>
      <c r="ME50" s="128">
        <v>11000</v>
      </c>
      <c r="MF50" s="128">
        <v>11000</v>
      </c>
      <c r="MJ50" s="128">
        <v>0</v>
      </c>
      <c r="MK50" s="128">
        <v>0</v>
      </c>
      <c r="ML50" s="128">
        <v>0</v>
      </c>
      <c r="MP50" s="128">
        <v>152000</v>
      </c>
      <c r="MQ50" s="128">
        <v>152000</v>
      </c>
      <c r="MR50" s="128">
        <v>152000</v>
      </c>
      <c r="MV50" s="128">
        <v>80000</v>
      </c>
      <c r="MW50" s="128">
        <v>80000</v>
      </c>
      <c r="MX50" s="128">
        <v>80000</v>
      </c>
      <c r="NB50" s="128">
        <v>25000</v>
      </c>
      <c r="NC50" s="128">
        <v>25000</v>
      </c>
      <c r="ND50" s="128">
        <v>25000</v>
      </c>
      <c r="NH50" s="128">
        <v>67000</v>
      </c>
      <c r="NI50" s="128">
        <v>67000</v>
      </c>
      <c r="NJ50" s="128">
        <v>67000</v>
      </c>
      <c r="NN50" s="128">
        <v>48000</v>
      </c>
      <c r="NO50" s="128">
        <v>48000</v>
      </c>
      <c r="NP50" s="128">
        <v>48000</v>
      </c>
      <c r="NT50" s="128">
        <v>26000</v>
      </c>
      <c r="NU50" s="128">
        <v>26000</v>
      </c>
      <c r="NV50" s="128">
        <v>26000</v>
      </c>
      <c r="NZ50" s="128">
        <v>5000</v>
      </c>
      <c r="OA50" s="128">
        <v>5000</v>
      </c>
      <c r="OB50" s="128">
        <v>5000</v>
      </c>
      <c r="OF50" s="128">
        <v>10000</v>
      </c>
      <c r="OG50" s="128">
        <v>6000</v>
      </c>
      <c r="OH50" s="128">
        <v>6000</v>
      </c>
      <c r="OL50" s="128">
        <v>0</v>
      </c>
      <c r="OM50" s="128">
        <v>0</v>
      </c>
      <c r="ON50" s="128">
        <v>0</v>
      </c>
      <c r="OR50" s="128">
        <v>0</v>
      </c>
      <c r="OS50" s="128">
        <v>0</v>
      </c>
      <c r="OT50" s="128">
        <v>0</v>
      </c>
      <c r="OX50" s="128">
        <v>0</v>
      </c>
      <c r="OY50" s="128">
        <v>0</v>
      </c>
      <c r="OZ50" s="128">
        <v>0</v>
      </c>
      <c r="PD50" s="128">
        <v>0</v>
      </c>
      <c r="PE50" s="128">
        <v>0</v>
      </c>
      <c r="PF50" s="128">
        <v>0</v>
      </c>
      <c r="PJ50" s="128">
        <v>0</v>
      </c>
      <c r="PK50" s="128">
        <v>0</v>
      </c>
      <c r="PL50" s="128">
        <v>0</v>
      </c>
      <c r="PP50" s="128">
        <v>2869000</v>
      </c>
      <c r="PQ50" s="128">
        <v>2630000</v>
      </c>
      <c r="PR50" s="128">
        <v>2630000</v>
      </c>
      <c r="PS50" s="128">
        <v>100</v>
      </c>
      <c r="PT50" s="128">
        <v>100</v>
      </c>
      <c r="PX50" s="128">
        <v>357000</v>
      </c>
      <c r="PY50" s="128">
        <v>1046208</v>
      </c>
      <c r="PZ50" s="128">
        <v>2630000</v>
      </c>
      <c r="QA50" s="128">
        <v>0</v>
      </c>
      <c r="QB50" s="128">
        <v>0</v>
      </c>
      <c r="QC50" s="128">
        <v>0</v>
      </c>
      <c r="QD50" s="128">
        <v>0</v>
      </c>
      <c r="QE50" s="128">
        <v>0</v>
      </c>
      <c r="QF50" s="128">
        <v>0</v>
      </c>
      <c r="QG50" s="128">
        <v>0</v>
      </c>
      <c r="QH50" s="128">
        <v>0</v>
      </c>
      <c r="QI50" s="128">
        <v>0</v>
      </c>
      <c r="QJ50" s="128">
        <v>0</v>
      </c>
      <c r="QK50" s="128">
        <v>0</v>
      </c>
      <c r="QL50" s="128">
        <v>0</v>
      </c>
      <c r="QN50" s="128">
        <v>0</v>
      </c>
      <c r="QO50" s="128">
        <v>0</v>
      </c>
      <c r="QP50" s="128">
        <v>0</v>
      </c>
      <c r="QU50" s="128">
        <v>1628408</v>
      </c>
      <c r="QV50" s="128">
        <v>814208</v>
      </c>
      <c r="QW50" s="128">
        <v>0</v>
      </c>
      <c r="QX50" s="128">
        <v>204000</v>
      </c>
      <c r="QY50" s="128">
        <v>204000</v>
      </c>
      <c r="QZ50" s="128">
        <v>204000</v>
      </c>
      <c r="RD50" s="128">
        <v>76400</v>
      </c>
      <c r="RE50" s="128">
        <v>40000</v>
      </c>
      <c r="RF50" s="128">
        <v>35000</v>
      </c>
      <c r="RH50" s="128">
        <f t="shared" si="104"/>
        <v>2869000</v>
      </c>
      <c r="RI50" s="128">
        <v>0</v>
      </c>
      <c r="RM50" s="128" t="s">
        <v>220</v>
      </c>
      <c r="RU50" s="130"/>
      <c r="RV50" s="130"/>
      <c r="RW50" s="130"/>
      <c r="RX50" s="130"/>
      <c r="SF50" s="128">
        <f t="shared" si="8"/>
        <v>8382823</v>
      </c>
      <c r="SG50" s="131">
        <f t="shared" si="9"/>
        <v>2869000</v>
      </c>
      <c r="SH50" s="131">
        <f t="shared" si="10"/>
        <v>2869000</v>
      </c>
      <c r="SI50" s="131">
        <f t="shared" si="11"/>
        <v>2400000</v>
      </c>
      <c r="SJ50" s="132">
        <f t="shared" si="12"/>
        <v>2100000</v>
      </c>
      <c r="SK50" s="132">
        <f t="shared" si="13"/>
        <v>0</v>
      </c>
      <c r="SL50" s="132">
        <f t="shared" si="14"/>
        <v>300000</v>
      </c>
      <c r="SM50" s="132">
        <f t="shared" si="15"/>
        <v>0</v>
      </c>
      <c r="SN50" s="131">
        <f t="shared" si="16"/>
        <v>469000</v>
      </c>
      <c r="SO50" s="131">
        <f t="shared" si="17"/>
        <v>40000</v>
      </c>
      <c r="SP50" s="132">
        <f t="shared" si="18"/>
        <v>0</v>
      </c>
      <c r="SQ50" s="132">
        <f t="shared" si="19"/>
        <v>40000</v>
      </c>
      <c r="SR50" s="132">
        <f t="shared" si="20"/>
        <v>5000</v>
      </c>
      <c r="SS50" s="132">
        <f t="shared" si="21"/>
        <v>11000</v>
      </c>
      <c r="ST50" s="132">
        <f t="shared" si="22"/>
        <v>0</v>
      </c>
      <c r="SU50" s="132">
        <f t="shared" si="23"/>
        <v>152000</v>
      </c>
      <c r="SV50" s="131">
        <f t="shared" si="24"/>
        <v>261000</v>
      </c>
      <c r="SW50" s="132">
        <f t="shared" si="25"/>
        <v>80000</v>
      </c>
      <c r="SX50" s="132">
        <f t="shared" si="26"/>
        <v>25000</v>
      </c>
      <c r="SY50" s="132">
        <f t="shared" si="27"/>
        <v>67000</v>
      </c>
      <c r="SZ50" s="132">
        <f t="shared" si="28"/>
        <v>48000</v>
      </c>
      <c r="TA50" s="132">
        <f t="shared" si="29"/>
        <v>26000</v>
      </c>
      <c r="TB50" s="132">
        <f t="shared" si="30"/>
        <v>5000</v>
      </c>
      <c r="TC50" s="132">
        <f t="shared" si="31"/>
        <v>10000</v>
      </c>
      <c r="TD50" s="132">
        <f t="shared" si="32"/>
        <v>0</v>
      </c>
      <c r="TE50" s="132">
        <f t="shared" si="33"/>
        <v>0</v>
      </c>
      <c r="TF50" s="132">
        <f t="shared" si="34"/>
        <v>0</v>
      </c>
      <c r="TG50" s="132">
        <f t="shared" si="35"/>
        <v>0</v>
      </c>
      <c r="TH50" s="132">
        <f t="shared" si="36"/>
        <v>0</v>
      </c>
      <c r="TI50" s="1"/>
      <c r="TJ50" s="131">
        <f t="shared" si="37"/>
        <v>2630000</v>
      </c>
      <c r="TK50" s="131">
        <f t="shared" si="38"/>
        <v>2630000</v>
      </c>
      <c r="TL50" s="131">
        <f t="shared" si="39"/>
        <v>2200000</v>
      </c>
      <c r="TM50" s="132">
        <f t="shared" si="40"/>
        <v>1900000</v>
      </c>
      <c r="TN50" s="132">
        <f t="shared" si="41"/>
        <v>0</v>
      </c>
      <c r="TO50" s="132">
        <f t="shared" si="42"/>
        <v>300000</v>
      </c>
      <c r="TP50" s="132">
        <f t="shared" si="43"/>
        <v>0</v>
      </c>
      <c r="TQ50" s="131">
        <f t="shared" si="44"/>
        <v>430000</v>
      </c>
      <c r="TR50" s="131">
        <f t="shared" si="45"/>
        <v>5000</v>
      </c>
      <c r="TS50" s="132">
        <f t="shared" si="46"/>
        <v>0</v>
      </c>
      <c r="TT50" s="132">
        <f t="shared" si="47"/>
        <v>5000</v>
      </c>
      <c r="TU50" s="132">
        <f t="shared" si="48"/>
        <v>5000</v>
      </c>
      <c r="TV50" s="132">
        <f t="shared" si="49"/>
        <v>11000</v>
      </c>
      <c r="TW50" s="132">
        <f t="shared" si="50"/>
        <v>0</v>
      </c>
      <c r="TX50" s="132">
        <f t="shared" si="51"/>
        <v>152000</v>
      </c>
      <c r="TY50" s="131">
        <f t="shared" si="52"/>
        <v>257000</v>
      </c>
      <c r="TZ50" s="132">
        <f t="shared" si="53"/>
        <v>80000</v>
      </c>
      <c r="UA50" s="132">
        <f t="shared" si="54"/>
        <v>25000</v>
      </c>
      <c r="UB50" s="132">
        <f t="shared" si="55"/>
        <v>67000</v>
      </c>
      <c r="UC50" s="132">
        <f t="shared" si="56"/>
        <v>48000</v>
      </c>
      <c r="UD50" s="132">
        <f t="shared" si="57"/>
        <v>26000</v>
      </c>
      <c r="UE50" s="132">
        <f t="shared" si="58"/>
        <v>5000</v>
      </c>
      <c r="UF50" s="132">
        <f t="shared" si="59"/>
        <v>6000</v>
      </c>
      <c r="UG50" s="132">
        <f t="shared" si="60"/>
        <v>0</v>
      </c>
      <c r="UH50" s="132">
        <f t="shared" si="61"/>
        <v>0</v>
      </c>
      <c r="UI50" s="132">
        <f t="shared" si="62"/>
        <v>0</v>
      </c>
      <c r="UJ50" s="132">
        <f t="shared" si="63"/>
        <v>0</v>
      </c>
      <c r="UK50" s="132">
        <f t="shared" si="64"/>
        <v>0</v>
      </c>
      <c r="UL50" s="132">
        <f t="shared" si="105"/>
        <v>2630000</v>
      </c>
      <c r="UM50" s="131">
        <f t="shared" si="65"/>
        <v>2630000</v>
      </c>
      <c r="UN50" s="131">
        <f t="shared" si="66"/>
        <v>2630000</v>
      </c>
      <c r="UO50" s="131">
        <f t="shared" si="67"/>
        <v>2200000</v>
      </c>
      <c r="UP50" s="132">
        <f t="shared" si="68"/>
        <v>1900000</v>
      </c>
      <c r="UQ50" s="132">
        <f t="shared" si="69"/>
        <v>0</v>
      </c>
      <c r="UR50" s="132">
        <f t="shared" si="70"/>
        <v>300000</v>
      </c>
      <c r="US50" s="132">
        <f t="shared" si="71"/>
        <v>0</v>
      </c>
      <c r="UT50" s="131">
        <f t="shared" si="72"/>
        <v>430000</v>
      </c>
      <c r="UU50" s="131">
        <f t="shared" si="73"/>
        <v>5000</v>
      </c>
      <c r="UV50" s="132">
        <f t="shared" si="74"/>
        <v>0</v>
      </c>
      <c r="UW50" s="132">
        <f t="shared" si="75"/>
        <v>5000</v>
      </c>
      <c r="UX50" s="132">
        <f t="shared" si="76"/>
        <v>5000</v>
      </c>
      <c r="UY50" s="132">
        <f t="shared" si="77"/>
        <v>11000</v>
      </c>
      <c r="UZ50" s="132">
        <f t="shared" si="78"/>
        <v>0</v>
      </c>
      <c r="VA50" s="132">
        <f t="shared" si="79"/>
        <v>152000</v>
      </c>
      <c r="VB50" s="131">
        <f t="shared" si="80"/>
        <v>257000</v>
      </c>
      <c r="VC50" s="132">
        <f t="shared" si="81"/>
        <v>80000</v>
      </c>
      <c r="VD50" s="132">
        <f t="shared" si="82"/>
        <v>25000</v>
      </c>
      <c r="VE50" s="132">
        <f t="shared" si="83"/>
        <v>67000</v>
      </c>
      <c r="VF50" s="132">
        <f t="shared" si="84"/>
        <v>48000</v>
      </c>
      <c r="VG50" s="132">
        <f t="shared" si="85"/>
        <v>26000</v>
      </c>
      <c r="VH50" s="132">
        <f t="shared" si="86"/>
        <v>5000</v>
      </c>
      <c r="VI50" s="132">
        <f t="shared" si="87"/>
        <v>6000</v>
      </c>
      <c r="VJ50" s="132">
        <f t="shared" si="88"/>
        <v>0</v>
      </c>
      <c r="VK50" s="132">
        <f t="shared" si="89"/>
        <v>0</v>
      </c>
      <c r="VL50" s="132">
        <f t="shared" si="90"/>
        <v>0</v>
      </c>
      <c r="VM50" s="132">
        <f t="shared" si="91"/>
        <v>0</v>
      </c>
      <c r="VN50" s="132">
        <f t="shared" si="92"/>
        <v>0</v>
      </c>
      <c r="VP50" s="845" t="str">
        <f>IFERROR(HLOOKUP(F50,'Hodnocení '!$C$1:$JH$5,2,FALSE),0)</f>
        <v>ARCHA</v>
      </c>
      <c r="VQ50" s="838"/>
      <c r="VR50" s="845" t="str">
        <f t="shared" si="106"/>
        <v>Spolek</v>
      </c>
      <c r="VS50" s="845" t="str">
        <f>IFERROR(HLOOKUP(F50,'Hodnocení '!$C$1:$JH$5,5,FALSE),0)</f>
        <v>NZO</v>
      </c>
      <c r="VT50" s="838">
        <f t="shared" si="107"/>
        <v>0</v>
      </c>
      <c r="VU50" s="838">
        <f t="shared" si="108"/>
        <v>0</v>
      </c>
      <c r="VV50" s="838">
        <f t="shared" si="109"/>
        <v>0</v>
      </c>
      <c r="VW50" s="838">
        <f t="shared" si="110"/>
        <v>0</v>
      </c>
      <c r="VX50" s="838"/>
      <c r="VY50" s="838">
        <f t="shared" si="114"/>
        <v>0</v>
      </c>
      <c r="VZ50" s="838">
        <f t="shared" si="115"/>
        <v>2630000</v>
      </c>
      <c r="WA50" s="846">
        <f>IFERROR(HLOOKUP($F50,'Hodnocení '!$C$1:$JH$9,9,FALSE),0)</f>
        <v>2630000</v>
      </c>
      <c r="WB50" s="846">
        <f>IF(IFERROR(HLOOKUP($F50,'Hodnocení '!$C$1:$JH$13,13,FALSE),0)&gt;WA50,WA50,IFERROR(HLOOKUP($F50,'Hodnocení '!$C$1:$JH$13,13,FALSE),0))</f>
        <v>2156909.1633510776</v>
      </c>
      <c r="WC50" s="846">
        <f>IFERROR(HLOOKUP($F50,'Hodnocení '!$C$1:$JH$155,155,FALSE),0)</f>
        <v>1952910</v>
      </c>
      <c r="WD50" s="845"/>
      <c r="WE50" s="845"/>
      <c r="WF50" s="845" t="str">
        <f t="shared" si="97"/>
        <v>ANO</v>
      </c>
      <c r="WG50" s="849" t="str">
        <f t="shared" si="117"/>
        <v>Podpora služby je vyjádřena zařazením do sítě sociálních služeb v KHK a řešením financování služby</v>
      </c>
      <c r="WH50"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50" s="849" t="str">
        <f t="shared" si="117"/>
        <v>Návrh dotace je výsledkem projednání s ostatními zadavateli v rámci sítě služeb KHK</v>
      </c>
      <c r="WJ50" s="849" t="str">
        <f t="shared" si="117"/>
        <v>Bez komentáře</v>
      </c>
      <c r="WK50" s="31">
        <f t="shared" si="99"/>
        <v>0</v>
      </c>
      <c r="WL50" s="850">
        <f t="shared" si="100"/>
        <v>0</v>
      </c>
      <c r="WM50" s="849">
        <f t="shared" si="101"/>
        <v>0</v>
      </c>
      <c r="WN50" s="849">
        <f t="shared" si="102"/>
        <v>0</v>
      </c>
      <c r="WO50" s="849" t="str">
        <f t="shared" si="116"/>
        <v>bez komentáře</v>
      </c>
      <c r="WP50" s="849" t="str">
        <f t="shared" si="116"/>
        <v>bez komentáře</v>
      </c>
      <c r="WQ50" s="849" t="str">
        <f t="shared" si="116"/>
        <v>Konečná výše dotace z rozpočtu KHK bude řešena v návaznosti na řešení podílů jednotlivých zadavatelů.</v>
      </c>
      <c r="WR50" s="849" t="str">
        <f t="shared" si="116"/>
        <v>Konečná výše podpory ze stran obcí bude řešena v součinnosti s jednotlivými zadavateli v průběhu roku.</v>
      </c>
      <c r="WS50" s="849" t="str">
        <f t="shared" si="116"/>
        <v>bez komentáře</v>
      </c>
      <c r="WT50" s="849" t="str">
        <f t="shared" si="116"/>
        <v>bez komentáře</v>
      </c>
      <c r="WU50" s="845"/>
    </row>
    <row r="51" spans="1:619" s="128" customFormat="1" x14ac:dyDescent="0.25">
      <c r="A51" s="128" t="str">
        <f>VLOOKUP(F51,'Výpočet VP 2020'!$D$324:$I$588,6,FALSE)</f>
        <v>Je v síti</v>
      </c>
      <c r="B51" s="128" t="s">
        <v>405</v>
      </c>
      <c r="C51" s="128">
        <v>26561433</v>
      </c>
      <c r="D51" s="128" t="s">
        <v>406</v>
      </c>
      <c r="E51" s="128" t="s">
        <v>216</v>
      </c>
      <c r="F51" s="128">
        <v>2583952</v>
      </c>
      <c r="G51" s="128" t="s">
        <v>292</v>
      </c>
      <c r="H51" s="128" t="s">
        <v>293</v>
      </c>
      <c r="I51" s="128" t="s">
        <v>407</v>
      </c>
      <c r="J51" s="129">
        <v>40909</v>
      </c>
      <c r="L51" s="128" t="s">
        <v>220</v>
      </c>
      <c r="X51" s="128" t="s">
        <v>408</v>
      </c>
      <c r="AI51" s="128">
        <v>6</v>
      </c>
      <c r="AJ51" s="128">
        <v>12</v>
      </c>
      <c r="AK51" s="128">
        <v>445</v>
      </c>
      <c r="AL51" s="128">
        <v>460</v>
      </c>
      <c r="AM51" s="128">
        <v>500</v>
      </c>
      <c r="AP51" s="128" t="s">
        <v>409</v>
      </c>
      <c r="BE51" s="128">
        <v>3</v>
      </c>
      <c r="BF51" s="128">
        <v>6</v>
      </c>
      <c r="BG51" s="128">
        <v>419</v>
      </c>
      <c r="BH51" s="128">
        <v>470</v>
      </c>
      <c r="BI51" s="128">
        <v>490</v>
      </c>
      <c r="BL51" s="128" t="s">
        <v>410</v>
      </c>
      <c r="BM51" s="128" t="s">
        <v>340</v>
      </c>
      <c r="BN51" s="128" t="s">
        <v>299</v>
      </c>
      <c r="EK51" s="128">
        <v>2</v>
      </c>
      <c r="EL51" s="128">
        <v>2</v>
      </c>
      <c r="EM51" s="128">
        <v>0</v>
      </c>
      <c r="EN51" s="128">
        <v>1000000</v>
      </c>
      <c r="EO51" s="128">
        <v>1000000</v>
      </c>
      <c r="EU51" s="128">
        <v>1</v>
      </c>
      <c r="EV51" s="128">
        <v>0.1</v>
      </c>
      <c r="EW51" s="128">
        <v>0</v>
      </c>
      <c r="EX51" s="128">
        <v>60000</v>
      </c>
      <c r="EY51" s="128">
        <v>0</v>
      </c>
      <c r="FO51" s="128">
        <v>2</v>
      </c>
      <c r="FP51" s="128">
        <v>0.75</v>
      </c>
      <c r="FQ51" s="128">
        <v>0</v>
      </c>
      <c r="FR51" s="128">
        <v>400000</v>
      </c>
      <c r="FS51" s="128">
        <v>400000</v>
      </c>
      <c r="IN51" s="128">
        <v>1</v>
      </c>
      <c r="IO51" s="128">
        <v>150</v>
      </c>
      <c r="IP51" s="128">
        <v>7.1999999999999995E-2</v>
      </c>
      <c r="IQ51" s="128">
        <v>30000</v>
      </c>
      <c r="IR51" s="128">
        <v>30000</v>
      </c>
      <c r="KG51" s="128">
        <v>0</v>
      </c>
      <c r="KI51" s="128">
        <v>2.1</v>
      </c>
      <c r="KJ51" s="128">
        <v>0</v>
      </c>
      <c r="KK51" s="128">
        <v>7.1999999999999995E-2</v>
      </c>
      <c r="KL51" s="128">
        <v>0</v>
      </c>
      <c r="KM51" s="128">
        <v>2.1720000000000002</v>
      </c>
      <c r="KN51" s="128">
        <v>1460000</v>
      </c>
      <c r="KO51" s="128">
        <v>1400000</v>
      </c>
      <c r="KP51" s="128">
        <v>1400000</v>
      </c>
      <c r="KT51" s="128">
        <v>0</v>
      </c>
      <c r="KU51" s="128">
        <v>0</v>
      </c>
      <c r="KV51" s="128">
        <v>0</v>
      </c>
      <c r="KZ51" s="128">
        <v>30000</v>
      </c>
      <c r="LA51" s="128">
        <v>30000</v>
      </c>
      <c r="LB51" s="128">
        <v>30000</v>
      </c>
      <c r="LF51" s="128">
        <v>10000</v>
      </c>
      <c r="LG51" s="128">
        <v>0</v>
      </c>
      <c r="LH51" s="128">
        <v>0</v>
      </c>
      <c r="LL51" s="128">
        <v>0</v>
      </c>
      <c r="LM51" s="128">
        <v>0</v>
      </c>
      <c r="LN51" s="128">
        <v>0</v>
      </c>
      <c r="LR51" s="128">
        <v>10000</v>
      </c>
      <c r="LS51" s="128">
        <v>10000</v>
      </c>
      <c r="LT51" s="128">
        <v>10000</v>
      </c>
      <c r="LX51" s="128">
        <v>0</v>
      </c>
      <c r="LY51" s="128">
        <v>0</v>
      </c>
      <c r="LZ51" s="128">
        <v>0</v>
      </c>
      <c r="MD51" s="128">
        <v>5000</v>
      </c>
      <c r="ME51" s="128">
        <v>5000</v>
      </c>
      <c r="MF51" s="128">
        <v>5000</v>
      </c>
      <c r="MJ51" s="128">
        <v>15000</v>
      </c>
      <c r="MK51" s="128">
        <v>15000</v>
      </c>
      <c r="ML51" s="128">
        <v>15000</v>
      </c>
      <c r="MP51" s="128">
        <v>25000</v>
      </c>
      <c r="MQ51" s="128">
        <v>25000</v>
      </c>
      <c r="MR51" s="128">
        <v>25000</v>
      </c>
      <c r="MV51" s="128">
        <v>45000</v>
      </c>
      <c r="MW51" s="128">
        <v>45000</v>
      </c>
      <c r="MX51" s="128">
        <v>45000</v>
      </c>
      <c r="NB51" s="128">
        <v>6000</v>
      </c>
      <c r="NC51" s="128">
        <v>6000</v>
      </c>
      <c r="ND51" s="128">
        <v>6000</v>
      </c>
      <c r="NH51" s="128">
        <v>3204</v>
      </c>
      <c r="NI51" s="128">
        <v>3204</v>
      </c>
      <c r="NJ51" s="128">
        <v>3204</v>
      </c>
      <c r="NN51" s="128">
        <v>60000</v>
      </c>
      <c r="NO51" s="128">
        <v>60000</v>
      </c>
      <c r="NP51" s="128">
        <v>60000</v>
      </c>
      <c r="NT51" s="128">
        <v>10000</v>
      </c>
      <c r="NU51" s="128">
        <v>10000</v>
      </c>
      <c r="NV51" s="128">
        <v>10000</v>
      </c>
      <c r="NZ51" s="128">
        <v>5000</v>
      </c>
      <c r="OA51" s="128">
        <v>5000</v>
      </c>
      <c r="OB51" s="128">
        <v>5000</v>
      </c>
      <c r="OF51" s="128">
        <v>5000</v>
      </c>
      <c r="OG51" s="128">
        <v>5000</v>
      </c>
      <c r="OH51" s="128">
        <v>5000</v>
      </c>
      <c r="OL51" s="128">
        <v>0</v>
      </c>
      <c r="OM51" s="128">
        <v>0</v>
      </c>
      <c r="ON51" s="128">
        <v>0</v>
      </c>
      <c r="OR51" s="128">
        <v>0</v>
      </c>
      <c r="OS51" s="128">
        <v>0</v>
      </c>
      <c r="OT51" s="128">
        <v>0</v>
      </c>
      <c r="OX51" s="128">
        <v>288</v>
      </c>
      <c r="OY51" s="128">
        <v>288</v>
      </c>
      <c r="OZ51" s="128">
        <v>288</v>
      </c>
      <c r="PD51" s="128">
        <v>0</v>
      </c>
      <c r="PE51" s="128">
        <v>0</v>
      </c>
      <c r="PF51" s="128">
        <v>0</v>
      </c>
      <c r="PJ51" s="128">
        <v>30000</v>
      </c>
      <c r="PK51" s="128">
        <v>15000</v>
      </c>
      <c r="PL51" s="128">
        <v>15000</v>
      </c>
      <c r="PP51" s="128">
        <v>1719492</v>
      </c>
      <c r="PQ51" s="128">
        <v>1634492</v>
      </c>
      <c r="PR51" s="128">
        <v>1634492</v>
      </c>
      <c r="PS51" s="128">
        <v>100</v>
      </c>
      <c r="PT51" s="128">
        <v>100</v>
      </c>
      <c r="PX51" s="128">
        <v>1094892</v>
      </c>
      <c r="PY51" s="128">
        <v>1224492</v>
      </c>
      <c r="PZ51" s="128">
        <v>1634492</v>
      </c>
      <c r="QA51" s="128">
        <v>0</v>
      </c>
      <c r="QB51" s="128">
        <v>0</v>
      </c>
      <c r="QC51" s="128">
        <v>0</v>
      </c>
      <c r="QD51" s="128">
        <v>0</v>
      </c>
      <c r="QE51" s="128">
        <v>0</v>
      </c>
      <c r="QF51" s="128">
        <v>0</v>
      </c>
      <c r="QG51" s="128">
        <v>0</v>
      </c>
      <c r="QH51" s="128">
        <v>0</v>
      </c>
      <c r="QI51" s="128">
        <v>0</v>
      </c>
      <c r="QJ51" s="128">
        <v>0</v>
      </c>
      <c r="QK51" s="128">
        <v>0</v>
      </c>
      <c r="QL51" s="128">
        <v>0</v>
      </c>
      <c r="QN51" s="128">
        <v>0</v>
      </c>
      <c r="QO51" s="128">
        <v>0</v>
      </c>
      <c r="QP51" s="128">
        <v>0</v>
      </c>
      <c r="QU51" s="128">
        <v>140000</v>
      </c>
      <c r="QV51" s="128">
        <v>150000</v>
      </c>
      <c r="QW51" s="128">
        <v>0</v>
      </c>
      <c r="QX51" s="128">
        <v>60000</v>
      </c>
      <c r="QY51" s="128">
        <v>60000</v>
      </c>
      <c r="QZ51" s="128">
        <v>60000</v>
      </c>
      <c r="RD51" s="128">
        <v>206106</v>
      </c>
      <c r="RE51" s="128">
        <v>83301</v>
      </c>
      <c r="RF51" s="128">
        <v>25000</v>
      </c>
      <c r="RH51" s="128">
        <f t="shared" si="104"/>
        <v>1719492</v>
      </c>
      <c r="RI51" s="128">
        <v>0</v>
      </c>
      <c r="RM51" s="128" t="s">
        <v>220</v>
      </c>
      <c r="RU51" s="130"/>
      <c r="RV51" s="130"/>
      <c r="RW51" s="130"/>
      <c r="RX51" s="130"/>
      <c r="SF51" s="128">
        <f t="shared" si="8"/>
        <v>2583952</v>
      </c>
      <c r="SG51" s="131">
        <f t="shared" si="9"/>
        <v>1719492</v>
      </c>
      <c r="SH51" s="131">
        <f t="shared" si="10"/>
        <v>1719492</v>
      </c>
      <c r="SI51" s="131">
        <f t="shared" si="11"/>
        <v>1500000</v>
      </c>
      <c r="SJ51" s="132">
        <f t="shared" si="12"/>
        <v>1460000</v>
      </c>
      <c r="SK51" s="132">
        <f t="shared" si="13"/>
        <v>0</v>
      </c>
      <c r="SL51" s="132">
        <f t="shared" si="14"/>
        <v>30000</v>
      </c>
      <c r="SM51" s="132">
        <f t="shared" si="15"/>
        <v>10000</v>
      </c>
      <c r="SN51" s="131">
        <f t="shared" si="16"/>
        <v>219492</v>
      </c>
      <c r="SO51" s="131">
        <f t="shared" si="17"/>
        <v>10000</v>
      </c>
      <c r="SP51" s="132">
        <f t="shared" si="18"/>
        <v>0</v>
      </c>
      <c r="SQ51" s="132">
        <f t="shared" si="19"/>
        <v>10000</v>
      </c>
      <c r="SR51" s="132">
        <f t="shared" si="20"/>
        <v>0</v>
      </c>
      <c r="SS51" s="132">
        <f t="shared" si="21"/>
        <v>5000</v>
      </c>
      <c r="ST51" s="132">
        <f t="shared" si="22"/>
        <v>15000</v>
      </c>
      <c r="SU51" s="132">
        <f t="shared" si="23"/>
        <v>25000</v>
      </c>
      <c r="SV51" s="131">
        <f t="shared" si="24"/>
        <v>134492</v>
      </c>
      <c r="SW51" s="132">
        <f t="shared" si="25"/>
        <v>45000</v>
      </c>
      <c r="SX51" s="132">
        <f t="shared" si="26"/>
        <v>6000</v>
      </c>
      <c r="SY51" s="132">
        <f t="shared" si="27"/>
        <v>3204</v>
      </c>
      <c r="SZ51" s="132">
        <f t="shared" si="28"/>
        <v>60000</v>
      </c>
      <c r="TA51" s="132">
        <f t="shared" si="29"/>
        <v>10000</v>
      </c>
      <c r="TB51" s="132">
        <f t="shared" si="30"/>
        <v>5000</v>
      </c>
      <c r="TC51" s="132">
        <f t="shared" si="31"/>
        <v>5000</v>
      </c>
      <c r="TD51" s="132">
        <f t="shared" si="32"/>
        <v>0</v>
      </c>
      <c r="TE51" s="132">
        <f t="shared" si="33"/>
        <v>0</v>
      </c>
      <c r="TF51" s="132">
        <f t="shared" si="34"/>
        <v>288</v>
      </c>
      <c r="TG51" s="132">
        <f t="shared" si="35"/>
        <v>0</v>
      </c>
      <c r="TH51" s="132">
        <f t="shared" si="36"/>
        <v>30000</v>
      </c>
      <c r="TI51" s="1"/>
      <c r="TJ51" s="131">
        <f t="shared" si="37"/>
        <v>1634492</v>
      </c>
      <c r="TK51" s="131">
        <f t="shared" si="38"/>
        <v>1634492</v>
      </c>
      <c r="TL51" s="131">
        <f t="shared" si="39"/>
        <v>1430000</v>
      </c>
      <c r="TM51" s="132">
        <f t="shared" si="40"/>
        <v>1400000</v>
      </c>
      <c r="TN51" s="132">
        <f t="shared" si="41"/>
        <v>0</v>
      </c>
      <c r="TO51" s="132">
        <f t="shared" si="42"/>
        <v>30000</v>
      </c>
      <c r="TP51" s="132">
        <f t="shared" si="43"/>
        <v>0</v>
      </c>
      <c r="TQ51" s="131">
        <f t="shared" si="44"/>
        <v>204492</v>
      </c>
      <c r="TR51" s="131">
        <f t="shared" si="45"/>
        <v>10000</v>
      </c>
      <c r="TS51" s="132">
        <f t="shared" si="46"/>
        <v>0</v>
      </c>
      <c r="TT51" s="132">
        <f t="shared" si="47"/>
        <v>10000</v>
      </c>
      <c r="TU51" s="132">
        <f t="shared" si="48"/>
        <v>0</v>
      </c>
      <c r="TV51" s="132">
        <f t="shared" si="49"/>
        <v>5000</v>
      </c>
      <c r="TW51" s="132">
        <f t="shared" si="50"/>
        <v>15000</v>
      </c>
      <c r="TX51" s="132">
        <f t="shared" si="51"/>
        <v>25000</v>
      </c>
      <c r="TY51" s="131">
        <f t="shared" si="52"/>
        <v>134492</v>
      </c>
      <c r="TZ51" s="132">
        <f t="shared" si="53"/>
        <v>45000</v>
      </c>
      <c r="UA51" s="132">
        <f t="shared" si="54"/>
        <v>6000</v>
      </c>
      <c r="UB51" s="132">
        <f t="shared" si="55"/>
        <v>3204</v>
      </c>
      <c r="UC51" s="132">
        <f t="shared" si="56"/>
        <v>60000</v>
      </c>
      <c r="UD51" s="132">
        <f t="shared" si="57"/>
        <v>10000</v>
      </c>
      <c r="UE51" s="132">
        <f t="shared" si="58"/>
        <v>5000</v>
      </c>
      <c r="UF51" s="132">
        <f t="shared" si="59"/>
        <v>5000</v>
      </c>
      <c r="UG51" s="132">
        <f t="shared" si="60"/>
        <v>0</v>
      </c>
      <c r="UH51" s="132">
        <f t="shared" si="61"/>
        <v>0</v>
      </c>
      <c r="UI51" s="132">
        <f t="shared" si="62"/>
        <v>288</v>
      </c>
      <c r="UJ51" s="132">
        <f t="shared" si="63"/>
        <v>0</v>
      </c>
      <c r="UK51" s="132">
        <f t="shared" si="64"/>
        <v>15000</v>
      </c>
      <c r="UL51" s="132">
        <f t="shared" si="105"/>
        <v>1634492</v>
      </c>
      <c r="UM51" s="131">
        <f t="shared" si="65"/>
        <v>1634492</v>
      </c>
      <c r="UN51" s="131">
        <f t="shared" si="66"/>
        <v>1634492</v>
      </c>
      <c r="UO51" s="131">
        <f t="shared" si="67"/>
        <v>1430000</v>
      </c>
      <c r="UP51" s="132">
        <f t="shared" si="68"/>
        <v>1400000</v>
      </c>
      <c r="UQ51" s="132">
        <f t="shared" si="69"/>
        <v>0</v>
      </c>
      <c r="UR51" s="132">
        <f t="shared" si="70"/>
        <v>30000</v>
      </c>
      <c r="US51" s="132">
        <f t="shared" si="71"/>
        <v>0</v>
      </c>
      <c r="UT51" s="131">
        <f t="shared" si="72"/>
        <v>204492</v>
      </c>
      <c r="UU51" s="131">
        <f t="shared" si="73"/>
        <v>10000</v>
      </c>
      <c r="UV51" s="132">
        <f t="shared" si="74"/>
        <v>0</v>
      </c>
      <c r="UW51" s="132">
        <f t="shared" si="75"/>
        <v>10000</v>
      </c>
      <c r="UX51" s="132">
        <f t="shared" si="76"/>
        <v>0</v>
      </c>
      <c r="UY51" s="132">
        <f t="shared" si="77"/>
        <v>5000</v>
      </c>
      <c r="UZ51" s="132">
        <f t="shared" si="78"/>
        <v>15000</v>
      </c>
      <c r="VA51" s="132">
        <f t="shared" si="79"/>
        <v>25000</v>
      </c>
      <c r="VB51" s="131">
        <f t="shared" si="80"/>
        <v>134492</v>
      </c>
      <c r="VC51" s="132">
        <f t="shared" si="81"/>
        <v>45000</v>
      </c>
      <c r="VD51" s="132">
        <f t="shared" si="82"/>
        <v>6000</v>
      </c>
      <c r="VE51" s="132">
        <f t="shared" si="83"/>
        <v>3204</v>
      </c>
      <c r="VF51" s="132">
        <f t="shared" si="84"/>
        <v>60000</v>
      </c>
      <c r="VG51" s="132">
        <f t="shared" si="85"/>
        <v>10000</v>
      </c>
      <c r="VH51" s="132">
        <f t="shared" si="86"/>
        <v>5000</v>
      </c>
      <c r="VI51" s="132">
        <f t="shared" si="87"/>
        <v>5000</v>
      </c>
      <c r="VJ51" s="132">
        <f t="shared" si="88"/>
        <v>0</v>
      </c>
      <c r="VK51" s="132">
        <f t="shared" si="89"/>
        <v>0</v>
      </c>
      <c r="VL51" s="132">
        <f t="shared" si="90"/>
        <v>288</v>
      </c>
      <c r="VM51" s="132">
        <f t="shared" si="91"/>
        <v>0</v>
      </c>
      <c r="VN51" s="132">
        <f t="shared" si="92"/>
        <v>15000</v>
      </c>
      <c r="VP51" s="845" t="str">
        <f>IFERROR(HLOOKUP(F51,'Hodnocení '!$C$1:$JH$5,2,FALSE),0)</f>
        <v>Sociální poradna Centra domácí hospicové péče</v>
      </c>
      <c r="VQ51" s="838"/>
      <c r="VR51" s="845" t="str">
        <f t="shared" si="106"/>
        <v>Obecně prospěšná společnost</v>
      </c>
      <c r="VS51" s="845" t="str">
        <f>IFERROR(HLOOKUP(F51,'Hodnocení '!$C$1:$JH$5,5,FALSE),0)</f>
        <v>NZO</v>
      </c>
      <c r="VT51" s="838">
        <f t="shared" si="107"/>
        <v>0</v>
      </c>
      <c r="VU51" s="838">
        <f t="shared" si="108"/>
        <v>0</v>
      </c>
      <c r="VV51" s="838">
        <f t="shared" si="109"/>
        <v>0</v>
      </c>
      <c r="VW51" s="838">
        <f t="shared" si="110"/>
        <v>0</v>
      </c>
      <c r="VX51" s="838"/>
      <c r="VY51" s="838">
        <f t="shared" si="114"/>
        <v>0</v>
      </c>
      <c r="VZ51" s="838">
        <f t="shared" si="115"/>
        <v>1634492</v>
      </c>
      <c r="WA51" s="846">
        <f>IFERROR(HLOOKUP($F51,'Hodnocení '!$C$1:$JH$9,9,FALSE),0)</f>
        <v>1634492</v>
      </c>
      <c r="WB51" s="846">
        <f>IF(IFERROR(HLOOKUP($F51,'Hodnocení '!$C$1:$JH$13,13,FALSE),0)&gt;WA51,WA51,IFERROR(HLOOKUP($F51,'Hodnocení '!$C$1:$JH$13,13,FALSE),0))</f>
        <v>1559824.3726341231</v>
      </c>
      <c r="WC51" s="846">
        <f>IFERROR(HLOOKUP($F51,'Hodnocení '!$C$1:$JH$155,155,FALSE),0)</f>
        <v>1499710</v>
      </c>
      <c r="WD51" s="845"/>
      <c r="WE51" s="845"/>
      <c r="WF51" s="845" t="str">
        <f t="shared" si="97"/>
        <v>ANO</v>
      </c>
      <c r="WG51" s="849" t="str">
        <f t="shared" si="117"/>
        <v>Podpora služby je vyjádřena zařazením do sítě sociálních služeb v KHK a řešením financování služby</v>
      </c>
      <c r="WH51"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51" s="849" t="str">
        <f t="shared" si="117"/>
        <v>Návrh dotace je výsledkem projednání s ostatními zadavateli v rámci sítě služeb KHK</v>
      </c>
      <c r="WJ51" s="849" t="str">
        <f t="shared" si="117"/>
        <v>Bez komentáře</v>
      </c>
      <c r="WK51" s="31">
        <f t="shared" si="99"/>
        <v>0</v>
      </c>
      <c r="WL51" s="850">
        <f t="shared" si="100"/>
        <v>0</v>
      </c>
      <c r="WM51" s="849">
        <f t="shared" si="101"/>
        <v>0</v>
      </c>
      <c r="WN51" s="849">
        <f t="shared" si="102"/>
        <v>0</v>
      </c>
      <c r="WO51" s="849" t="str">
        <f t="shared" si="116"/>
        <v>bez komentáře</v>
      </c>
      <c r="WP51" s="849" t="str">
        <f t="shared" si="116"/>
        <v>bez komentáře</v>
      </c>
      <c r="WQ51" s="849" t="str">
        <f t="shared" si="116"/>
        <v>Konečná výše dotace z rozpočtu KHK bude řešena v návaznosti na řešení podílů jednotlivých zadavatelů.</v>
      </c>
      <c r="WR51" s="849" t="str">
        <f t="shared" si="116"/>
        <v>Konečná výše podpory ze stran obcí bude řešena v součinnosti s jednotlivými zadavateli v průběhu roku.</v>
      </c>
      <c r="WS51" s="849" t="str">
        <f t="shared" si="116"/>
        <v>bez komentáře</v>
      </c>
      <c r="WT51" s="849" t="str">
        <f t="shared" si="116"/>
        <v>bez komentáře</v>
      </c>
      <c r="WU51" s="845"/>
    </row>
    <row r="52" spans="1:619" s="128" customFormat="1" x14ac:dyDescent="0.25">
      <c r="A52" s="128" t="str">
        <f>VLOOKUP(F52,'Výpočet VP 2020'!$D$324:$I$588,6,FALSE)</f>
        <v>Je v síti</v>
      </c>
      <c r="B52" s="128" t="s">
        <v>411</v>
      </c>
      <c r="C52" s="128">
        <v>2305291</v>
      </c>
      <c r="D52" s="128" t="s">
        <v>412</v>
      </c>
      <c r="E52" s="128" t="s">
        <v>216</v>
      </c>
      <c r="F52" s="128">
        <v>1494293</v>
      </c>
      <c r="G52" s="128" t="s">
        <v>292</v>
      </c>
      <c r="H52" s="128" t="s">
        <v>293</v>
      </c>
      <c r="I52" s="128" t="s">
        <v>413</v>
      </c>
      <c r="J52" s="129">
        <v>42139</v>
      </c>
      <c r="L52" s="128" t="s">
        <v>220</v>
      </c>
      <c r="X52" s="128" t="s">
        <v>408</v>
      </c>
      <c r="AI52" s="128">
        <v>6</v>
      </c>
      <c r="AJ52" s="128">
        <v>6</v>
      </c>
      <c r="AK52" s="128">
        <v>975</v>
      </c>
      <c r="AL52" s="128">
        <v>900</v>
      </c>
      <c r="AM52" s="128">
        <v>1000</v>
      </c>
      <c r="AP52" s="128" t="s">
        <v>408</v>
      </c>
      <c r="BE52" s="128">
        <v>6</v>
      </c>
      <c r="BF52" s="128">
        <v>6</v>
      </c>
      <c r="BG52" s="128">
        <v>402</v>
      </c>
      <c r="BH52" s="128">
        <v>350</v>
      </c>
      <c r="BI52" s="128">
        <v>500</v>
      </c>
      <c r="BL52" s="128" t="s">
        <v>410</v>
      </c>
      <c r="BM52" s="128" t="s">
        <v>414</v>
      </c>
      <c r="BN52" s="128" t="s">
        <v>341</v>
      </c>
      <c r="EK52" s="128">
        <v>1</v>
      </c>
      <c r="EL52" s="128">
        <v>1</v>
      </c>
      <c r="EM52" s="128">
        <v>1</v>
      </c>
      <c r="EN52" s="128">
        <v>490000</v>
      </c>
      <c r="EO52" s="128">
        <v>490000</v>
      </c>
      <c r="EU52" s="128">
        <v>3</v>
      </c>
      <c r="EV52" s="128">
        <v>0.3</v>
      </c>
      <c r="EW52" s="128">
        <v>0.3</v>
      </c>
      <c r="EX52" s="128">
        <v>145000</v>
      </c>
      <c r="EY52" s="128">
        <v>0</v>
      </c>
      <c r="FO52" s="128">
        <v>2</v>
      </c>
      <c r="FP52" s="128">
        <v>0.9</v>
      </c>
      <c r="FQ52" s="128">
        <v>1</v>
      </c>
      <c r="FR52" s="128">
        <v>480000</v>
      </c>
      <c r="FS52" s="128">
        <v>480000</v>
      </c>
      <c r="IS52" s="128">
        <v>1</v>
      </c>
      <c r="IT52" s="128">
        <v>75</v>
      </c>
      <c r="IU52" s="128">
        <v>3.5999999999999997E-2</v>
      </c>
      <c r="IV52" s="128">
        <v>15000</v>
      </c>
      <c r="IW52" s="128">
        <v>15000</v>
      </c>
      <c r="KG52" s="128">
        <v>0</v>
      </c>
      <c r="KI52" s="128">
        <v>1.3</v>
      </c>
      <c r="KJ52" s="128">
        <v>0</v>
      </c>
      <c r="KK52" s="128">
        <v>0</v>
      </c>
      <c r="KL52" s="128">
        <v>0</v>
      </c>
      <c r="KM52" s="128">
        <v>1.3</v>
      </c>
      <c r="KN52" s="128">
        <v>1115000</v>
      </c>
      <c r="KO52" s="128">
        <v>970000</v>
      </c>
      <c r="KP52" s="128">
        <v>970000</v>
      </c>
      <c r="KT52" s="128">
        <v>0</v>
      </c>
      <c r="KU52" s="128">
        <v>0</v>
      </c>
      <c r="KV52" s="128">
        <v>0</v>
      </c>
      <c r="KZ52" s="128">
        <v>15000</v>
      </c>
      <c r="LA52" s="128">
        <v>15000</v>
      </c>
      <c r="LB52" s="128">
        <v>15000</v>
      </c>
      <c r="LF52" s="128">
        <v>0</v>
      </c>
      <c r="LG52" s="128">
        <v>0</v>
      </c>
      <c r="LH52" s="128">
        <v>0</v>
      </c>
      <c r="LL52" s="128">
        <v>0</v>
      </c>
      <c r="LM52" s="128">
        <v>0</v>
      </c>
      <c r="LN52" s="128">
        <v>0</v>
      </c>
      <c r="LR52" s="128">
        <v>0</v>
      </c>
      <c r="LS52" s="128">
        <v>0</v>
      </c>
      <c r="LT52" s="128">
        <v>0</v>
      </c>
      <c r="LX52" s="128">
        <v>0</v>
      </c>
      <c r="LY52" s="128">
        <v>0</v>
      </c>
      <c r="LZ52" s="128">
        <v>0</v>
      </c>
      <c r="MD52" s="128">
        <v>15000</v>
      </c>
      <c r="ME52" s="128">
        <v>15000</v>
      </c>
      <c r="MF52" s="128">
        <v>15000</v>
      </c>
      <c r="MJ52" s="128">
        <v>25000</v>
      </c>
      <c r="MK52" s="128">
        <v>25000</v>
      </c>
      <c r="ML52" s="128">
        <v>25000</v>
      </c>
      <c r="MP52" s="128">
        <v>0</v>
      </c>
      <c r="MQ52" s="128">
        <v>0</v>
      </c>
      <c r="MR52" s="128">
        <v>0</v>
      </c>
      <c r="MV52" s="128">
        <v>55000</v>
      </c>
      <c r="MW52" s="128">
        <v>45000</v>
      </c>
      <c r="MX52" s="128">
        <v>45000</v>
      </c>
      <c r="NB52" s="128">
        <v>15000</v>
      </c>
      <c r="NC52" s="128">
        <v>15000</v>
      </c>
      <c r="ND52" s="128">
        <v>15000</v>
      </c>
      <c r="NH52" s="128">
        <v>30000</v>
      </c>
      <c r="NI52" s="128">
        <v>20000</v>
      </c>
      <c r="NJ52" s="128">
        <v>20000</v>
      </c>
      <c r="NN52" s="128">
        <v>46000</v>
      </c>
      <c r="NO52" s="128">
        <v>46000</v>
      </c>
      <c r="NP52" s="128">
        <v>46000</v>
      </c>
      <c r="NT52" s="128">
        <v>5000</v>
      </c>
      <c r="NU52" s="128">
        <v>2000</v>
      </c>
      <c r="NV52" s="128">
        <v>2000</v>
      </c>
      <c r="NZ52" s="128">
        <v>4000</v>
      </c>
      <c r="OA52" s="128">
        <v>4000</v>
      </c>
      <c r="OB52" s="128">
        <v>4000</v>
      </c>
      <c r="OF52" s="128">
        <v>0</v>
      </c>
      <c r="OG52" s="128">
        <v>0</v>
      </c>
      <c r="OH52" s="128">
        <v>0</v>
      </c>
      <c r="OL52" s="128">
        <v>0</v>
      </c>
      <c r="OM52" s="128">
        <v>0</v>
      </c>
      <c r="ON52" s="128">
        <v>0</v>
      </c>
      <c r="OR52" s="128">
        <v>0</v>
      </c>
      <c r="OS52" s="128">
        <v>0</v>
      </c>
      <c r="OT52" s="128">
        <v>0</v>
      </c>
      <c r="OX52" s="128">
        <v>10000</v>
      </c>
      <c r="OY52" s="128">
        <v>10000</v>
      </c>
      <c r="OZ52" s="128">
        <v>10000</v>
      </c>
      <c r="PD52" s="128">
        <v>60000</v>
      </c>
      <c r="PE52" s="128">
        <v>0</v>
      </c>
      <c r="PF52" s="128">
        <v>0</v>
      </c>
      <c r="PJ52" s="128">
        <v>10000</v>
      </c>
      <c r="PK52" s="128">
        <v>10000</v>
      </c>
      <c r="PL52" s="128">
        <v>10000</v>
      </c>
      <c r="PP52" s="128">
        <v>1405000</v>
      </c>
      <c r="PQ52" s="128">
        <v>1177000</v>
      </c>
      <c r="PR52" s="128">
        <v>1177000</v>
      </c>
      <c r="PS52" s="128">
        <v>100</v>
      </c>
      <c r="PT52" s="128">
        <v>100</v>
      </c>
      <c r="PX52" s="128">
        <v>960000</v>
      </c>
      <c r="PY52" s="128">
        <v>1027000</v>
      </c>
      <c r="PZ52" s="128">
        <v>1177000</v>
      </c>
      <c r="QA52" s="128">
        <v>0</v>
      </c>
      <c r="QB52" s="128">
        <v>0</v>
      </c>
      <c r="QC52" s="128">
        <v>0</v>
      </c>
      <c r="QD52" s="128">
        <v>0</v>
      </c>
      <c r="QE52" s="128">
        <v>0</v>
      </c>
      <c r="QF52" s="128">
        <v>0</v>
      </c>
      <c r="QG52" s="128">
        <v>0</v>
      </c>
      <c r="QH52" s="128">
        <v>0</v>
      </c>
      <c r="QI52" s="128">
        <v>0</v>
      </c>
      <c r="QJ52" s="128">
        <v>0</v>
      </c>
      <c r="QK52" s="128">
        <v>0</v>
      </c>
      <c r="QL52" s="128">
        <v>0</v>
      </c>
      <c r="QN52" s="128">
        <v>0</v>
      </c>
      <c r="QO52" s="128">
        <v>0</v>
      </c>
      <c r="QP52" s="128">
        <v>0</v>
      </c>
      <c r="QU52" s="128">
        <v>109240</v>
      </c>
      <c r="QV52" s="128">
        <v>0</v>
      </c>
      <c r="QW52" s="128">
        <v>0</v>
      </c>
      <c r="QX52" s="128">
        <v>90000</v>
      </c>
      <c r="QY52" s="128">
        <v>95000</v>
      </c>
      <c r="QZ52" s="128">
        <v>95000</v>
      </c>
      <c r="RD52" s="128">
        <v>138201</v>
      </c>
      <c r="RE52" s="128">
        <v>184000</v>
      </c>
      <c r="RF52" s="128">
        <v>133000</v>
      </c>
      <c r="RH52" s="128">
        <f t="shared" si="104"/>
        <v>1405000</v>
      </c>
      <c r="RI52" s="128">
        <v>0</v>
      </c>
      <c r="RM52" s="128" t="s">
        <v>220</v>
      </c>
      <c r="RU52" s="130"/>
      <c r="RV52" s="130"/>
      <c r="RW52" s="130"/>
      <c r="RX52" s="130"/>
      <c r="SF52" s="128">
        <f t="shared" si="8"/>
        <v>1494293</v>
      </c>
      <c r="SG52" s="131">
        <f t="shared" si="9"/>
        <v>1405000</v>
      </c>
      <c r="SH52" s="131">
        <f t="shared" si="10"/>
        <v>1405000</v>
      </c>
      <c r="SI52" s="131">
        <f t="shared" si="11"/>
        <v>1130000</v>
      </c>
      <c r="SJ52" s="132">
        <f t="shared" si="12"/>
        <v>1115000</v>
      </c>
      <c r="SK52" s="132">
        <f t="shared" si="13"/>
        <v>0</v>
      </c>
      <c r="SL52" s="132">
        <f t="shared" si="14"/>
        <v>15000</v>
      </c>
      <c r="SM52" s="132">
        <f t="shared" si="15"/>
        <v>0</v>
      </c>
      <c r="SN52" s="131">
        <f t="shared" si="16"/>
        <v>275000</v>
      </c>
      <c r="SO52" s="131">
        <f t="shared" si="17"/>
        <v>0</v>
      </c>
      <c r="SP52" s="132">
        <f t="shared" si="18"/>
        <v>0</v>
      </c>
      <c r="SQ52" s="132">
        <f t="shared" si="19"/>
        <v>0</v>
      </c>
      <c r="SR52" s="132">
        <f t="shared" si="20"/>
        <v>0</v>
      </c>
      <c r="SS52" s="132">
        <f t="shared" si="21"/>
        <v>15000</v>
      </c>
      <c r="ST52" s="132">
        <f t="shared" si="22"/>
        <v>25000</v>
      </c>
      <c r="SU52" s="132">
        <f t="shared" si="23"/>
        <v>0</v>
      </c>
      <c r="SV52" s="131">
        <f t="shared" si="24"/>
        <v>165000</v>
      </c>
      <c r="SW52" s="132">
        <f t="shared" si="25"/>
        <v>55000</v>
      </c>
      <c r="SX52" s="132">
        <f t="shared" si="26"/>
        <v>15000</v>
      </c>
      <c r="SY52" s="132">
        <f t="shared" si="27"/>
        <v>30000</v>
      </c>
      <c r="SZ52" s="132">
        <f t="shared" si="28"/>
        <v>46000</v>
      </c>
      <c r="TA52" s="132">
        <f t="shared" si="29"/>
        <v>5000</v>
      </c>
      <c r="TB52" s="132">
        <f t="shared" si="30"/>
        <v>4000</v>
      </c>
      <c r="TC52" s="132">
        <f t="shared" si="31"/>
        <v>0</v>
      </c>
      <c r="TD52" s="132">
        <f t="shared" si="32"/>
        <v>0</v>
      </c>
      <c r="TE52" s="132">
        <f t="shared" si="33"/>
        <v>0</v>
      </c>
      <c r="TF52" s="132">
        <f t="shared" si="34"/>
        <v>10000</v>
      </c>
      <c r="TG52" s="132">
        <f t="shared" si="35"/>
        <v>60000</v>
      </c>
      <c r="TH52" s="132">
        <f t="shared" si="36"/>
        <v>10000</v>
      </c>
      <c r="TI52" s="1"/>
      <c r="TJ52" s="131">
        <f t="shared" si="37"/>
        <v>1177000</v>
      </c>
      <c r="TK52" s="131">
        <f t="shared" si="38"/>
        <v>1177000</v>
      </c>
      <c r="TL52" s="131">
        <f t="shared" si="39"/>
        <v>985000</v>
      </c>
      <c r="TM52" s="132">
        <f t="shared" si="40"/>
        <v>970000</v>
      </c>
      <c r="TN52" s="132">
        <f t="shared" si="41"/>
        <v>0</v>
      </c>
      <c r="TO52" s="132">
        <f t="shared" si="42"/>
        <v>15000</v>
      </c>
      <c r="TP52" s="132">
        <f t="shared" si="43"/>
        <v>0</v>
      </c>
      <c r="TQ52" s="131">
        <f t="shared" si="44"/>
        <v>192000</v>
      </c>
      <c r="TR52" s="131">
        <f t="shared" si="45"/>
        <v>0</v>
      </c>
      <c r="TS52" s="132">
        <f t="shared" si="46"/>
        <v>0</v>
      </c>
      <c r="TT52" s="132">
        <f t="shared" si="47"/>
        <v>0</v>
      </c>
      <c r="TU52" s="132">
        <f t="shared" si="48"/>
        <v>0</v>
      </c>
      <c r="TV52" s="132">
        <f t="shared" si="49"/>
        <v>15000</v>
      </c>
      <c r="TW52" s="132">
        <f t="shared" si="50"/>
        <v>25000</v>
      </c>
      <c r="TX52" s="132">
        <f t="shared" si="51"/>
        <v>0</v>
      </c>
      <c r="TY52" s="131">
        <f t="shared" si="52"/>
        <v>142000</v>
      </c>
      <c r="TZ52" s="132">
        <f t="shared" si="53"/>
        <v>45000</v>
      </c>
      <c r="UA52" s="132">
        <f t="shared" si="54"/>
        <v>15000</v>
      </c>
      <c r="UB52" s="132">
        <f t="shared" si="55"/>
        <v>20000</v>
      </c>
      <c r="UC52" s="132">
        <f t="shared" si="56"/>
        <v>46000</v>
      </c>
      <c r="UD52" s="132">
        <f t="shared" si="57"/>
        <v>2000</v>
      </c>
      <c r="UE52" s="132">
        <f t="shared" si="58"/>
        <v>4000</v>
      </c>
      <c r="UF52" s="132">
        <f t="shared" si="59"/>
        <v>0</v>
      </c>
      <c r="UG52" s="132">
        <f t="shared" si="60"/>
        <v>0</v>
      </c>
      <c r="UH52" s="132">
        <f t="shared" si="61"/>
        <v>0</v>
      </c>
      <c r="UI52" s="132">
        <f t="shared" si="62"/>
        <v>10000</v>
      </c>
      <c r="UJ52" s="132">
        <f t="shared" si="63"/>
        <v>0</v>
      </c>
      <c r="UK52" s="132">
        <f t="shared" si="64"/>
        <v>10000</v>
      </c>
      <c r="UL52" s="132">
        <f t="shared" si="105"/>
        <v>1177000</v>
      </c>
      <c r="UM52" s="131">
        <f t="shared" si="65"/>
        <v>1177000</v>
      </c>
      <c r="UN52" s="131">
        <f t="shared" si="66"/>
        <v>1177000</v>
      </c>
      <c r="UO52" s="131">
        <f t="shared" si="67"/>
        <v>985000</v>
      </c>
      <c r="UP52" s="132">
        <f t="shared" si="68"/>
        <v>970000</v>
      </c>
      <c r="UQ52" s="132">
        <f t="shared" si="69"/>
        <v>0</v>
      </c>
      <c r="UR52" s="132">
        <f t="shared" si="70"/>
        <v>15000</v>
      </c>
      <c r="US52" s="132">
        <f t="shared" si="71"/>
        <v>0</v>
      </c>
      <c r="UT52" s="131">
        <f t="shared" si="72"/>
        <v>192000</v>
      </c>
      <c r="UU52" s="131">
        <f t="shared" si="73"/>
        <v>0</v>
      </c>
      <c r="UV52" s="132">
        <f t="shared" si="74"/>
        <v>0</v>
      </c>
      <c r="UW52" s="132">
        <f t="shared" si="75"/>
        <v>0</v>
      </c>
      <c r="UX52" s="132">
        <f t="shared" si="76"/>
        <v>0</v>
      </c>
      <c r="UY52" s="132">
        <f t="shared" si="77"/>
        <v>15000</v>
      </c>
      <c r="UZ52" s="132">
        <f t="shared" si="78"/>
        <v>25000</v>
      </c>
      <c r="VA52" s="132">
        <f t="shared" si="79"/>
        <v>0</v>
      </c>
      <c r="VB52" s="131">
        <f t="shared" si="80"/>
        <v>142000</v>
      </c>
      <c r="VC52" s="132">
        <f t="shared" si="81"/>
        <v>45000</v>
      </c>
      <c r="VD52" s="132">
        <f t="shared" si="82"/>
        <v>15000</v>
      </c>
      <c r="VE52" s="132">
        <f t="shared" si="83"/>
        <v>20000</v>
      </c>
      <c r="VF52" s="132">
        <f t="shared" si="84"/>
        <v>46000</v>
      </c>
      <c r="VG52" s="132">
        <f t="shared" si="85"/>
        <v>2000</v>
      </c>
      <c r="VH52" s="132">
        <f t="shared" si="86"/>
        <v>4000</v>
      </c>
      <c r="VI52" s="132">
        <f t="shared" si="87"/>
        <v>0</v>
      </c>
      <c r="VJ52" s="132">
        <f t="shared" si="88"/>
        <v>0</v>
      </c>
      <c r="VK52" s="132">
        <f t="shared" si="89"/>
        <v>0</v>
      </c>
      <c r="VL52" s="132">
        <f t="shared" si="90"/>
        <v>10000</v>
      </c>
      <c r="VM52" s="132">
        <f t="shared" si="91"/>
        <v>0</v>
      </c>
      <c r="VN52" s="132">
        <f t="shared" si="92"/>
        <v>10000</v>
      </c>
      <c r="VP52" s="845" t="str">
        <f>IFERROR(HLOOKUP(F52,'Hodnocení '!$C$1:$JH$5,2,FALSE),0)</f>
        <v>Sociální poradna Domácího hospice Setkání</v>
      </c>
      <c r="VQ52" s="838"/>
      <c r="VR52" s="845" t="str">
        <f t="shared" si="106"/>
        <v>Obecně prospěšná společnost</v>
      </c>
      <c r="VS52" s="845" t="str">
        <f>IFERROR(HLOOKUP(F52,'Hodnocení '!$C$1:$JH$5,5,FALSE),0)</f>
        <v>NZO</v>
      </c>
      <c r="VT52" s="838">
        <f t="shared" si="107"/>
        <v>0</v>
      </c>
      <c r="VU52" s="838">
        <f t="shared" si="108"/>
        <v>0</v>
      </c>
      <c r="VV52" s="838">
        <f t="shared" si="109"/>
        <v>0</v>
      </c>
      <c r="VW52" s="838">
        <f t="shared" si="110"/>
        <v>0</v>
      </c>
      <c r="VX52" s="838"/>
      <c r="VY52" s="838">
        <f t="shared" si="114"/>
        <v>0</v>
      </c>
      <c r="VZ52" s="838">
        <f t="shared" si="115"/>
        <v>1177000</v>
      </c>
      <c r="WA52" s="846">
        <f>IFERROR(HLOOKUP($F52,'Hodnocení '!$C$1:$JH$9,9,FALSE),0)</f>
        <v>1177000</v>
      </c>
      <c r="WB52" s="846">
        <f>IF(IFERROR(HLOOKUP($F52,'Hodnocení '!$C$1:$JH$13,13,FALSE),0)&gt;WA52,WA52,IFERROR(HLOOKUP($F52,'Hodnocení '!$C$1:$JH$13,13,FALSE),0))</f>
        <v>995316.50444272615</v>
      </c>
      <c r="WC52" s="846">
        <f>IFERROR(HLOOKUP($F52,'Hodnocení '!$C$1:$JH$155,155,FALSE),0)</f>
        <v>1027900</v>
      </c>
      <c r="WD52" s="845"/>
      <c r="WE52" s="845"/>
      <c r="WF52" s="845" t="str">
        <f t="shared" si="97"/>
        <v>ANO</v>
      </c>
      <c r="WG52" s="849" t="str">
        <f t="shared" si="117"/>
        <v>Podpora služby je vyjádřena zařazením do sítě sociálních služeb v KHK a řešením financování služby</v>
      </c>
      <c r="WH52"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52" s="849" t="str">
        <f t="shared" si="117"/>
        <v>Návrh dotace je výsledkem projednání s ostatními zadavateli v rámci sítě služeb KHK</v>
      </c>
      <c r="WJ52" s="849" t="str">
        <f t="shared" si="117"/>
        <v>Bez komentáře</v>
      </c>
      <c r="WK52" s="31">
        <f t="shared" si="99"/>
        <v>0</v>
      </c>
      <c r="WL52" s="850">
        <f t="shared" si="100"/>
        <v>0</v>
      </c>
      <c r="WM52" s="849">
        <f t="shared" si="101"/>
        <v>0</v>
      </c>
      <c r="WN52" s="849">
        <f t="shared" si="102"/>
        <v>0</v>
      </c>
      <c r="WO52" s="849" t="str">
        <f t="shared" si="116"/>
        <v>bez komentáře</v>
      </c>
      <c r="WP52" s="849" t="str">
        <f t="shared" si="116"/>
        <v>bez komentáře</v>
      </c>
      <c r="WQ52" s="849" t="str">
        <f t="shared" si="116"/>
        <v>Konečná výše dotace z rozpočtu KHK bude řešena v návaznosti na řešení podílů jednotlivých zadavatelů.</v>
      </c>
      <c r="WR52" s="849" t="str">
        <f t="shared" si="116"/>
        <v>Konečná výše podpory ze stran obcí bude řešena v součinnosti s jednotlivými zadavateli v průběhu roku.</v>
      </c>
      <c r="WS52" s="849" t="str">
        <f t="shared" si="116"/>
        <v>bez komentáře</v>
      </c>
      <c r="WT52" s="849" t="str">
        <f t="shared" si="116"/>
        <v>bez komentáře</v>
      </c>
      <c r="WU52" s="845"/>
    </row>
    <row r="53" spans="1:619" s="128" customFormat="1" x14ac:dyDescent="0.25">
      <c r="A53" s="128" t="str">
        <f>VLOOKUP(F53,'Výpočet VP 2020'!$D$324:$I$588,6,FALSE)</f>
        <v>Je v síti</v>
      </c>
      <c r="B53" s="128" t="s">
        <v>415</v>
      </c>
      <c r="C53" s="128">
        <v>26012294</v>
      </c>
      <c r="D53" s="128" t="s">
        <v>416</v>
      </c>
      <c r="E53" s="128" t="s">
        <v>216</v>
      </c>
      <c r="F53" s="128">
        <v>1905494</v>
      </c>
      <c r="G53" s="128" t="s">
        <v>361</v>
      </c>
      <c r="H53" s="128" t="s">
        <v>218</v>
      </c>
      <c r="I53" s="128" t="s">
        <v>417</v>
      </c>
      <c r="J53" s="129">
        <v>39083</v>
      </c>
      <c r="L53" s="128" t="s">
        <v>220</v>
      </c>
      <c r="M53" s="128" t="s">
        <v>418</v>
      </c>
      <c r="N53" s="128">
        <v>22</v>
      </c>
      <c r="O53" s="128">
        <v>22</v>
      </c>
      <c r="P53" s="128">
        <v>194</v>
      </c>
      <c r="Q53" s="128">
        <v>208</v>
      </c>
      <c r="R53" s="128">
        <v>220</v>
      </c>
      <c r="BL53" s="128" t="s">
        <v>419</v>
      </c>
      <c r="BM53" s="128" t="s">
        <v>325</v>
      </c>
      <c r="BN53" s="128" t="s">
        <v>364</v>
      </c>
      <c r="DA53" s="128">
        <v>0</v>
      </c>
      <c r="DB53" s="128">
        <v>0</v>
      </c>
      <c r="DC53" s="128">
        <v>0</v>
      </c>
      <c r="DD53" s="128">
        <v>0</v>
      </c>
      <c r="DE53" s="128">
        <v>0</v>
      </c>
      <c r="DF53" s="128">
        <v>3</v>
      </c>
      <c r="DG53" s="128">
        <v>2</v>
      </c>
      <c r="DH53" s="128">
        <v>12</v>
      </c>
      <c r="DI53" s="128">
        <v>5</v>
      </c>
      <c r="DJ53" s="128">
        <v>0</v>
      </c>
      <c r="DK53" s="128">
        <v>3</v>
      </c>
      <c r="DL53" s="128">
        <v>2</v>
      </c>
      <c r="DM53" s="128">
        <v>12</v>
      </c>
      <c r="DN53" s="128">
        <v>5</v>
      </c>
      <c r="DO53" s="128">
        <v>0</v>
      </c>
      <c r="DP53" s="128">
        <v>0</v>
      </c>
      <c r="DQ53" s="128">
        <v>22</v>
      </c>
      <c r="DR53" s="128">
        <v>22</v>
      </c>
      <c r="DS53" s="128">
        <v>0</v>
      </c>
      <c r="DT53" s="128">
        <v>0</v>
      </c>
      <c r="DU53" s="128">
        <v>0</v>
      </c>
      <c r="DV53" s="128">
        <v>0</v>
      </c>
      <c r="DW53" s="128">
        <v>0</v>
      </c>
      <c r="DX53" s="128">
        <v>2</v>
      </c>
      <c r="DY53" s="128">
        <v>3</v>
      </c>
      <c r="DZ53" s="128">
        <v>10</v>
      </c>
      <c r="EA53" s="128">
        <v>7</v>
      </c>
      <c r="EB53" s="128">
        <v>0</v>
      </c>
      <c r="EC53" s="128">
        <v>2</v>
      </c>
      <c r="ED53" s="128">
        <v>3</v>
      </c>
      <c r="EE53" s="128">
        <v>10</v>
      </c>
      <c r="EF53" s="128">
        <v>7</v>
      </c>
      <c r="EG53" s="128">
        <v>0</v>
      </c>
      <c r="EH53" s="128">
        <v>0</v>
      </c>
      <c r="EI53" s="128">
        <v>22</v>
      </c>
      <c r="EJ53" s="128">
        <v>22</v>
      </c>
      <c r="EK53" s="128">
        <v>1</v>
      </c>
      <c r="EL53" s="128">
        <v>1</v>
      </c>
      <c r="EM53" s="128">
        <v>1</v>
      </c>
      <c r="EN53" s="128">
        <v>536000</v>
      </c>
      <c r="EO53" s="128">
        <v>400000</v>
      </c>
      <c r="EP53" s="128">
        <v>11</v>
      </c>
      <c r="EQ53" s="128">
        <v>11</v>
      </c>
      <c r="ER53" s="128">
        <v>11</v>
      </c>
      <c r="ES53" s="128">
        <v>4796932</v>
      </c>
      <c r="ET53" s="128">
        <v>3900000</v>
      </c>
      <c r="FO53" s="128">
        <v>3</v>
      </c>
      <c r="FP53" s="128">
        <v>3</v>
      </c>
      <c r="FQ53" s="128">
        <v>3</v>
      </c>
      <c r="FR53" s="128">
        <v>1840088</v>
      </c>
      <c r="FS53" s="128">
        <v>1150000</v>
      </c>
      <c r="IN53" s="128">
        <v>1</v>
      </c>
      <c r="IO53" s="128">
        <v>300</v>
      </c>
      <c r="IP53" s="128">
        <v>0.14299999999999999</v>
      </c>
      <c r="IQ53" s="128">
        <v>60000</v>
      </c>
      <c r="IR53" s="128">
        <v>50000</v>
      </c>
      <c r="IS53" s="128">
        <v>3</v>
      </c>
      <c r="IT53" s="128">
        <v>275</v>
      </c>
      <c r="IU53" s="128">
        <v>0.13100000000000001</v>
      </c>
      <c r="IV53" s="128">
        <v>40000</v>
      </c>
      <c r="IW53" s="128">
        <v>0</v>
      </c>
      <c r="KG53" s="128">
        <v>0</v>
      </c>
      <c r="KI53" s="128">
        <v>12</v>
      </c>
      <c r="KJ53" s="128">
        <v>0</v>
      </c>
      <c r="KK53" s="128">
        <v>0.14299999999999999</v>
      </c>
      <c r="KL53" s="128">
        <v>0</v>
      </c>
      <c r="KM53" s="128">
        <v>12.143000000000001</v>
      </c>
      <c r="KN53" s="128">
        <v>7173020</v>
      </c>
      <c r="KO53" s="128">
        <v>5450000</v>
      </c>
      <c r="KP53" s="128">
        <v>5450000</v>
      </c>
      <c r="KT53" s="128">
        <v>0</v>
      </c>
      <c r="KU53" s="128">
        <v>0</v>
      </c>
      <c r="KV53" s="128">
        <v>0</v>
      </c>
      <c r="KZ53" s="128">
        <v>100000</v>
      </c>
      <c r="LA53" s="128">
        <v>50000</v>
      </c>
      <c r="LB53" s="128">
        <v>50000</v>
      </c>
      <c r="LF53" s="128">
        <v>260000</v>
      </c>
      <c r="LG53" s="128">
        <v>0</v>
      </c>
      <c r="LH53" s="128">
        <v>0</v>
      </c>
      <c r="LL53" s="128">
        <v>0</v>
      </c>
      <c r="LM53" s="128">
        <v>0</v>
      </c>
      <c r="LN53" s="128">
        <v>0</v>
      </c>
      <c r="LR53" s="128">
        <v>150000</v>
      </c>
      <c r="LS53" s="128">
        <v>0</v>
      </c>
      <c r="LT53" s="128">
        <v>0</v>
      </c>
      <c r="LX53" s="128">
        <v>660000</v>
      </c>
      <c r="LY53" s="128">
        <v>0</v>
      </c>
      <c r="LZ53" s="128">
        <v>0</v>
      </c>
      <c r="MD53" s="128">
        <v>30000</v>
      </c>
      <c r="ME53" s="128">
        <v>0</v>
      </c>
      <c r="MF53" s="128">
        <v>0</v>
      </c>
      <c r="MJ53" s="128">
        <v>10000</v>
      </c>
      <c r="MK53" s="128">
        <v>0</v>
      </c>
      <c r="ML53" s="128">
        <v>0</v>
      </c>
      <c r="MP53" s="128">
        <v>140000</v>
      </c>
      <c r="MQ53" s="128">
        <v>0</v>
      </c>
      <c r="MR53" s="128">
        <v>0</v>
      </c>
      <c r="MV53" s="128">
        <v>380000</v>
      </c>
      <c r="MW53" s="128">
        <v>0</v>
      </c>
      <c r="MX53" s="128">
        <v>0</v>
      </c>
      <c r="NB53" s="128">
        <v>50000</v>
      </c>
      <c r="NC53" s="128">
        <v>0</v>
      </c>
      <c r="ND53" s="128">
        <v>0</v>
      </c>
      <c r="NH53" s="128">
        <v>290000</v>
      </c>
      <c r="NI53" s="128">
        <v>0</v>
      </c>
      <c r="NJ53" s="128">
        <v>0</v>
      </c>
      <c r="NN53" s="128">
        <v>130000</v>
      </c>
      <c r="NO53" s="128">
        <v>0</v>
      </c>
      <c r="NP53" s="128">
        <v>0</v>
      </c>
      <c r="NT53" s="128">
        <v>60000</v>
      </c>
      <c r="NU53" s="128">
        <v>0</v>
      </c>
      <c r="NV53" s="128">
        <v>0</v>
      </c>
      <c r="NZ53" s="128">
        <v>50000</v>
      </c>
      <c r="OA53" s="128">
        <v>0</v>
      </c>
      <c r="OB53" s="128">
        <v>0</v>
      </c>
      <c r="OF53" s="128">
        <v>15000</v>
      </c>
      <c r="OG53" s="128">
        <v>0</v>
      </c>
      <c r="OH53" s="128">
        <v>0</v>
      </c>
      <c r="OL53" s="128">
        <v>0</v>
      </c>
      <c r="OM53" s="128">
        <v>0</v>
      </c>
      <c r="ON53" s="128">
        <v>0</v>
      </c>
      <c r="OR53" s="128">
        <v>0</v>
      </c>
      <c r="OS53" s="128">
        <v>0</v>
      </c>
      <c r="OT53" s="128">
        <v>0</v>
      </c>
      <c r="OX53" s="128">
        <v>20000</v>
      </c>
      <c r="OY53" s="128">
        <v>0</v>
      </c>
      <c r="OZ53" s="128">
        <v>0</v>
      </c>
      <c r="PD53" s="128">
        <v>250000</v>
      </c>
      <c r="PE53" s="128">
        <v>0</v>
      </c>
      <c r="PF53" s="128">
        <v>0</v>
      </c>
      <c r="PJ53" s="128">
        <v>86000</v>
      </c>
      <c r="PK53" s="128">
        <v>0</v>
      </c>
      <c r="PL53" s="128">
        <v>0</v>
      </c>
      <c r="PP53" s="128">
        <v>9854020</v>
      </c>
      <c r="PQ53" s="128">
        <v>5500000</v>
      </c>
      <c r="PR53" s="128">
        <v>5500000</v>
      </c>
      <c r="PS53" s="128">
        <v>100</v>
      </c>
      <c r="PT53" s="128">
        <v>100</v>
      </c>
      <c r="PV53" s="128">
        <v>9035764</v>
      </c>
      <c r="PX53" s="128">
        <v>3258000</v>
      </c>
      <c r="PY53" s="128">
        <v>3503800</v>
      </c>
      <c r="PZ53" s="128">
        <v>5500000</v>
      </c>
      <c r="QA53" s="128">
        <v>0</v>
      </c>
      <c r="QB53" s="128">
        <v>0</v>
      </c>
      <c r="QC53" s="128">
        <v>0</v>
      </c>
      <c r="QD53" s="128">
        <v>0</v>
      </c>
      <c r="QE53" s="128">
        <v>0</v>
      </c>
      <c r="QF53" s="128">
        <v>0</v>
      </c>
      <c r="QG53" s="128">
        <v>0</v>
      </c>
      <c r="QH53" s="128">
        <v>0</v>
      </c>
      <c r="QI53" s="128">
        <v>0</v>
      </c>
      <c r="QJ53" s="128">
        <v>3056359</v>
      </c>
      <c r="QK53" s="128">
        <v>3068960</v>
      </c>
      <c r="QL53" s="128">
        <v>2980000</v>
      </c>
      <c r="QN53" s="128">
        <v>0</v>
      </c>
      <c r="QO53" s="128">
        <v>0</v>
      </c>
      <c r="QP53" s="128">
        <v>0</v>
      </c>
      <c r="QU53" s="128">
        <v>0</v>
      </c>
      <c r="QV53" s="128">
        <v>225228</v>
      </c>
      <c r="QW53" s="128">
        <v>0</v>
      </c>
      <c r="QX53" s="128">
        <v>2303000</v>
      </c>
      <c r="QY53" s="128">
        <v>2320000</v>
      </c>
      <c r="QZ53" s="128">
        <v>1250000</v>
      </c>
      <c r="RD53" s="128">
        <v>137332</v>
      </c>
      <c r="RE53" s="128">
        <v>88960</v>
      </c>
      <c r="RF53" s="128">
        <v>124020</v>
      </c>
      <c r="RH53" s="128">
        <f t="shared" si="104"/>
        <v>6874020</v>
      </c>
      <c r="RI53" s="128">
        <v>0</v>
      </c>
      <c r="RM53" s="128" t="s">
        <v>220</v>
      </c>
      <c r="RU53" s="130"/>
      <c r="RV53" s="130"/>
      <c r="RW53" s="130"/>
      <c r="RX53" s="130"/>
      <c r="SF53" s="128">
        <f t="shared" si="8"/>
        <v>1905494</v>
      </c>
      <c r="SG53" s="131">
        <f t="shared" si="9"/>
        <v>9854020</v>
      </c>
      <c r="SH53" s="131">
        <f t="shared" si="10"/>
        <v>9854020</v>
      </c>
      <c r="SI53" s="131">
        <f t="shared" si="11"/>
        <v>7533020</v>
      </c>
      <c r="SJ53" s="132">
        <f t="shared" si="12"/>
        <v>7173020</v>
      </c>
      <c r="SK53" s="132">
        <f t="shared" si="13"/>
        <v>0</v>
      </c>
      <c r="SL53" s="132">
        <f t="shared" si="14"/>
        <v>100000</v>
      </c>
      <c r="SM53" s="132">
        <f t="shared" si="15"/>
        <v>260000</v>
      </c>
      <c r="SN53" s="131">
        <f t="shared" si="16"/>
        <v>2321000</v>
      </c>
      <c r="SO53" s="131">
        <f t="shared" si="17"/>
        <v>150000</v>
      </c>
      <c r="SP53" s="132">
        <f t="shared" si="18"/>
        <v>0</v>
      </c>
      <c r="SQ53" s="132">
        <f t="shared" si="19"/>
        <v>150000</v>
      </c>
      <c r="SR53" s="132">
        <f t="shared" si="20"/>
        <v>660000</v>
      </c>
      <c r="SS53" s="132">
        <f t="shared" si="21"/>
        <v>30000</v>
      </c>
      <c r="ST53" s="132">
        <f t="shared" si="22"/>
        <v>10000</v>
      </c>
      <c r="SU53" s="132">
        <f t="shared" si="23"/>
        <v>140000</v>
      </c>
      <c r="SV53" s="131">
        <f t="shared" si="24"/>
        <v>995000</v>
      </c>
      <c r="SW53" s="132">
        <f t="shared" si="25"/>
        <v>380000</v>
      </c>
      <c r="SX53" s="132">
        <f t="shared" si="26"/>
        <v>50000</v>
      </c>
      <c r="SY53" s="132">
        <f t="shared" si="27"/>
        <v>290000</v>
      </c>
      <c r="SZ53" s="132">
        <f t="shared" si="28"/>
        <v>130000</v>
      </c>
      <c r="TA53" s="132">
        <f t="shared" si="29"/>
        <v>60000</v>
      </c>
      <c r="TB53" s="132">
        <f t="shared" si="30"/>
        <v>50000</v>
      </c>
      <c r="TC53" s="132">
        <f t="shared" si="31"/>
        <v>15000</v>
      </c>
      <c r="TD53" s="132">
        <f t="shared" si="32"/>
        <v>0</v>
      </c>
      <c r="TE53" s="132">
        <f t="shared" si="33"/>
        <v>0</v>
      </c>
      <c r="TF53" s="132">
        <f t="shared" si="34"/>
        <v>20000</v>
      </c>
      <c r="TG53" s="132">
        <f t="shared" si="35"/>
        <v>250000</v>
      </c>
      <c r="TH53" s="132">
        <f t="shared" si="36"/>
        <v>86000</v>
      </c>
      <c r="TI53" s="1"/>
      <c r="TJ53" s="131">
        <f t="shared" si="37"/>
        <v>5500000</v>
      </c>
      <c r="TK53" s="131">
        <f t="shared" si="38"/>
        <v>5500000</v>
      </c>
      <c r="TL53" s="131">
        <f t="shared" si="39"/>
        <v>5500000</v>
      </c>
      <c r="TM53" s="132">
        <f t="shared" si="40"/>
        <v>5450000</v>
      </c>
      <c r="TN53" s="132">
        <f t="shared" si="41"/>
        <v>0</v>
      </c>
      <c r="TO53" s="132">
        <f t="shared" si="42"/>
        <v>50000</v>
      </c>
      <c r="TP53" s="132">
        <f t="shared" si="43"/>
        <v>0</v>
      </c>
      <c r="TQ53" s="131">
        <f t="shared" si="44"/>
        <v>0</v>
      </c>
      <c r="TR53" s="131">
        <f t="shared" si="45"/>
        <v>0</v>
      </c>
      <c r="TS53" s="132">
        <f t="shared" si="46"/>
        <v>0</v>
      </c>
      <c r="TT53" s="132">
        <f t="shared" si="47"/>
        <v>0</v>
      </c>
      <c r="TU53" s="132">
        <f t="shared" si="48"/>
        <v>0</v>
      </c>
      <c r="TV53" s="132">
        <f t="shared" si="49"/>
        <v>0</v>
      </c>
      <c r="TW53" s="132">
        <f t="shared" si="50"/>
        <v>0</v>
      </c>
      <c r="TX53" s="132">
        <f t="shared" si="51"/>
        <v>0</v>
      </c>
      <c r="TY53" s="131">
        <f t="shared" si="52"/>
        <v>0</v>
      </c>
      <c r="TZ53" s="132">
        <f t="shared" si="53"/>
        <v>0</v>
      </c>
      <c r="UA53" s="132">
        <f t="shared" si="54"/>
        <v>0</v>
      </c>
      <c r="UB53" s="132">
        <f t="shared" si="55"/>
        <v>0</v>
      </c>
      <c r="UC53" s="132">
        <f t="shared" si="56"/>
        <v>0</v>
      </c>
      <c r="UD53" s="132">
        <f t="shared" si="57"/>
        <v>0</v>
      </c>
      <c r="UE53" s="132">
        <f t="shared" si="58"/>
        <v>0</v>
      </c>
      <c r="UF53" s="132">
        <f t="shared" si="59"/>
        <v>0</v>
      </c>
      <c r="UG53" s="132">
        <f t="shared" si="60"/>
        <v>0</v>
      </c>
      <c r="UH53" s="132">
        <f t="shared" si="61"/>
        <v>0</v>
      </c>
      <c r="UI53" s="132">
        <f t="shared" si="62"/>
        <v>0</v>
      </c>
      <c r="UJ53" s="132">
        <f t="shared" si="63"/>
        <v>0</v>
      </c>
      <c r="UK53" s="132">
        <f t="shared" si="64"/>
        <v>0</v>
      </c>
      <c r="UL53" s="132">
        <f t="shared" si="105"/>
        <v>5500000</v>
      </c>
      <c r="UM53" s="131">
        <f t="shared" si="65"/>
        <v>5500000</v>
      </c>
      <c r="UN53" s="131">
        <f t="shared" si="66"/>
        <v>5500000</v>
      </c>
      <c r="UO53" s="131">
        <f t="shared" si="67"/>
        <v>5500000</v>
      </c>
      <c r="UP53" s="132">
        <f t="shared" si="68"/>
        <v>5450000</v>
      </c>
      <c r="UQ53" s="132">
        <f t="shared" si="69"/>
        <v>0</v>
      </c>
      <c r="UR53" s="132">
        <f t="shared" si="70"/>
        <v>50000</v>
      </c>
      <c r="US53" s="132">
        <f t="shared" si="71"/>
        <v>0</v>
      </c>
      <c r="UT53" s="131">
        <f t="shared" si="72"/>
        <v>0</v>
      </c>
      <c r="UU53" s="131">
        <f t="shared" si="73"/>
        <v>0</v>
      </c>
      <c r="UV53" s="132">
        <f t="shared" si="74"/>
        <v>0</v>
      </c>
      <c r="UW53" s="132">
        <f t="shared" si="75"/>
        <v>0</v>
      </c>
      <c r="UX53" s="132">
        <f t="shared" si="76"/>
        <v>0</v>
      </c>
      <c r="UY53" s="132">
        <f t="shared" si="77"/>
        <v>0</v>
      </c>
      <c r="UZ53" s="132">
        <f t="shared" si="78"/>
        <v>0</v>
      </c>
      <c r="VA53" s="132">
        <f t="shared" si="79"/>
        <v>0</v>
      </c>
      <c r="VB53" s="131">
        <f t="shared" si="80"/>
        <v>0</v>
      </c>
      <c r="VC53" s="132">
        <f t="shared" si="81"/>
        <v>0</v>
      </c>
      <c r="VD53" s="132">
        <f t="shared" si="82"/>
        <v>0</v>
      </c>
      <c r="VE53" s="132">
        <f t="shared" si="83"/>
        <v>0</v>
      </c>
      <c r="VF53" s="132">
        <f t="shared" si="84"/>
        <v>0</v>
      </c>
      <c r="VG53" s="132">
        <f t="shared" si="85"/>
        <v>0</v>
      </c>
      <c r="VH53" s="132">
        <f t="shared" si="86"/>
        <v>0</v>
      </c>
      <c r="VI53" s="132">
        <f t="shared" si="87"/>
        <v>0</v>
      </c>
      <c r="VJ53" s="132">
        <f t="shared" si="88"/>
        <v>0</v>
      </c>
      <c r="VK53" s="132">
        <f t="shared" si="89"/>
        <v>0</v>
      </c>
      <c r="VL53" s="132">
        <f t="shared" si="90"/>
        <v>0</v>
      </c>
      <c r="VM53" s="132">
        <f t="shared" si="91"/>
        <v>0</v>
      </c>
      <c r="VN53" s="132">
        <f t="shared" si="92"/>
        <v>0</v>
      </c>
      <c r="VP53" s="845" t="str">
        <f>IFERROR(HLOOKUP(F53,'Hodnocení '!$C$1:$JH$5,2,FALSE),0)</f>
        <v>Domov Arreta o.p.s.</v>
      </c>
      <c r="VQ53" s="838"/>
      <c r="VR53" s="845" t="str">
        <f t="shared" si="106"/>
        <v>Obecně prospěšná společnost</v>
      </c>
      <c r="VS53" s="845" t="str">
        <f>IFERROR(HLOOKUP(F53,'Hodnocení '!$C$1:$JH$5,5,FALSE),0)</f>
        <v>NZO</v>
      </c>
      <c r="VT53" s="838">
        <f t="shared" si="107"/>
        <v>0</v>
      </c>
      <c r="VU53" s="838">
        <f t="shared" si="108"/>
        <v>0</v>
      </c>
      <c r="VV53" s="838">
        <f t="shared" si="109"/>
        <v>2980000</v>
      </c>
      <c r="VW53" s="838">
        <f t="shared" si="110"/>
        <v>0</v>
      </c>
      <c r="VX53" s="838"/>
      <c r="VY53" s="838">
        <f t="shared" si="114"/>
        <v>0</v>
      </c>
      <c r="VZ53" s="838">
        <f t="shared" si="115"/>
        <v>5500000</v>
      </c>
      <c r="WA53" s="846">
        <f>IFERROR(HLOOKUP($F53,'Hodnocení '!$C$1:$JH$9,9,FALSE),0)</f>
        <v>5500000</v>
      </c>
      <c r="WB53" s="846">
        <f>IF(IFERROR(HLOOKUP($F53,'Hodnocení '!$C$1:$JH$13,13,FALSE),0)&gt;WA53,WA53,IFERROR(HLOOKUP($F53,'Hodnocení '!$C$1:$JH$13,13,FALSE),0))</f>
        <v>5500000</v>
      </c>
      <c r="WC53" s="846">
        <f>IFERROR(HLOOKUP($F53,'Hodnocení '!$C$1:$JH$155,155,FALSE),0)</f>
        <v>4344440</v>
      </c>
      <c r="WD53" s="845"/>
      <c r="WE53" s="845"/>
      <c r="WF53" s="845" t="str">
        <f t="shared" si="97"/>
        <v>ANO</v>
      </c>
      <c r="WG53" s="849" t="str">
        <f t="shared" si="117"/>
        <v>Podpora služby je vyjádřena zařazením do sítě sociálních služeb v KHK a řešením financování služby</v>
      </c>
      <c r="WH53"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53" s="849" t="str">
        <f t="shared" si="117"/>
        <v>Návrh dotace je výsledkem projednání s ostatními zadavateli v rámci sítě služeb KHK</v>
      </c>
      <c r="WJ53" s="849" t="str">
        <f t="shared" si="117"/>
        <v>Bez komentáře</v>
      </c>
      <c r="WK53" s="31">
        <f t="shared" si="99"/>
        <v>0</v>
      </c>
      <c r="WL53" s="850">
        <f t="shared" si="100"/>
        <v>0</v>
      </c>
      <c r="WM53" s="849" t="str">
        <f t="shared" si="101"/>
        <v>V rámci sítě KHK se dlouhodobě řeší otázka navyšování úhrad a průběžně se monitoruje s vazbou na vykrytí vyrovnávací platby</v>
      </c>
      <c r="WN53" s="849">
        <f t="shared" si="102"/>
        <v>0</v>
      </c>
      <c r="WO53" s="849" t="str">
        <f t="shared" si="116"/>
        <v>bez komentáře</v>
      </c>
      <c r="WP53" s="849" t="str">
        <f t="shared" si="116"/>
        <v>bez komentáře</v>
      </c>
      <c r="WQ53" s="849" t="str">
        <f t="shared" si="116"/>
        <v>Konečná výše dotace z rozpočtu KHK bude řešena v návaznosti na řešení podílů jednotlivých zadavatelů.</v>
      </c>
      <c r="WR53" s="849" t="str">
        <f t="shared" si="116"/>
        <v>Konečná výše podpory ze stran obcí bude řešena v součinnosti s jednotlivými zadavateli v průběhu roku.</v>
      </c>
      <c r="WS53" s="849" t="str">
        <f t="shared" si="116"/>
        <v>bez komentáře</v>
      </c>
      <c r="WT53" s="849" t="str">
        <f t="shared" si="116"/>
        <v>bez komentáře</v>
      </c>
      <c r="WU53" s="845"/>
    </row>
    <row r="54" spans="1:619" s="128" customFormat="1" x14ac:dyDescent="0.25">
      <c r="A54" s="128" t="str">
        <f>VLOOKUP(F54,'Výpočet VP 2020'!$D$324:$I$588,6,FALSE)</f>
        <v>Je v síti</v>
      </c>
      <c r="B54" s="128" t="s">
        <v>420</v>
      </c>
      <c r="C54" s="128">
        <v>13583212</v>
      </c>
      <c r="D54" s="128" t="s">
        <v>421</v>
      </c>
      <c r="E54" s="128" t="s">
        <v>259</v>
      </c>
      <c r="F54" s="128">
        <v>4721932</v>
      </c>
      <c r="G54" s="128" t="s">
        <v>260</v>
      </c>
      <c r="H54" s="128" t="s">
        <v>218</v>
      </c>
      <c r="I54" s="128" t="s">
        <v>420</v>
      </c>
      <c r="J54" s="129">
        <v>39083</v>
      </c>
      <c r="L54" s="128" t="s">
        <v>220</v>
      </c>
      <c r="M54" s="128" t="s">
        <v>422</v>
      </c>
      <c r="N54" s="128">
        <v>79</v>
      </c>
      <c r="P54" s="128">
        <v>84</v>
      </c>
      <c r="Q54" s="128">
        <v>88</v>
      </c>
      <c r="R54" s="128">
        <v>79</v>
      </c>
      <c r="BL54" s="128" t="s">
        <v>423</v>
      </c>
      <c r="BM54" s="128" t="s">
        <v>298</v>
      </c>
      <c r="BN54" s="128" t="s">
        <v>424</v>
      </c>
      <c r="DA54" s="128">
        <v>0</v>
      </c>
      <c r="DB54" s="128">
        <v>0</v>
      </c>
      <c r="DC54" s="128">
        <v>0</v>
      </c>
      <c r="DD54" s="128">
        <v>0</v>
      </c>
      <c r="DE54" s="128">
        <v>0</v>
      </c>
      <c r="DF54" s="128">
        <v>6</v>
      </c>
      <c r="DG54" s="128">
        <v>17</v>
      </c>
      <c r="DH54" s="128">
        <v>25</v>
      </c>
      <c r="DI54" s="128">
        <v>30</v>
      </c>
      <c r="DJ54" s="128">
        <v>0</v>
      </c>
      <c r="DK54" s="128">
        <v>6</v>
      </c>
      <c r="DL54" s="128">
        <v>17</v>
      </c>
      <c r="DM54" s="128">
        <v>25</v>
      </c>
      <c r="DN54" s="128">
        <v>30</v>
      </c>
      <c r="DO54" s="128">
        <v>0</v>
      </c>
      <c r="DP54" s="128">
        <v>0</v>
      </c>
      <c r="DQ54" s="128">
        <v>78</v>
      </c>
      <c r="DR54" s="128">
        <v>78</v>
      </c>
      <c r="DS54" s="128">
        <v>0</v>
      </c>
      <c r="DT54" s="128">
        <v>0</v>
      </c>
      <c r="DU54" s="128">
        <v>0</v>
      </c>
      <c r="DV54" s="128">
        <v>0</v>
      </c>
      <c r="DW54" s="128">
        <v>0</v>
      </c>
      <c r="DX54" s="128">
        <v>6</v>
      </c>
      <c r="DY54" s="128">
        <v>17</v>
      </c>
      <c r="DZ54" s="128">
        <v>26</v>
      </c>
      <c r="EA54" s="128">
        <v>30</v>
      </c>
      <c r="EB54" s="128">
        <v>0</v>
      </c>
      <c r="EC54" s="128">
        <v>6</v>
      </c>
      <c r="ED54" s="128">
        <v>17</v>
      </c>
      <c r="EE54" s="128">
        <v>26</v>
      </c>
      <c r="EF54" s="128">
        <v>30</v>
      </c>
      <c r="EG54" s="128">
        <v>0</v>
      </c>
      <c r="EH54" s="128">
        <v>0</v>
      </c>
      <c r="EI54" s="128">
        <v>79</v>
      </c>
      <c r="EJ54" s="128">
        <v>79</v>
      </c>
      <c r="EK54" s="128">
        <v>3</v>
      </c>
      <c r="EL54" s="128">
        <v>3</v>
      </c>
      <c r="EM54" s="128">
        <v>3</v>
      </c>
      <c r="EN54" s="128">
        <v>1791000</v>
      </c>
      <c r="EO54" s="128">
        <v>1500000</v>
      </c>
      <c r="EP54" s="128">
        <v>39</v>
      </c>
      <c r="EQ54" s="128">
        <v>38.700000000000003</v>
      </c>
      <c r="ER54" s="128">
        <v>39.1</v>
      </c>
      <c r="ES54" s="128">
        <v>20817000</v>
      </c>
      <c r="ET54" s="128">
        <v>16400000</v>
      </c>
      <c r="EU54" s="128">
        <v>10</v>
      </c>
      <c r="EV54" s="128">
        <v>9.6</v>
      </c>
      <c r="EW54" s="128">
        <v>10.1</v>
      </c>
      <c r="EX54" s="128">
        <v>6188000</v>
      </c>
      <c r="EY54" s="128">
        <v>0</v>
      </c>
      <c r="FO54" s="128">
        <v>25</v>
      </c>
      <c r="FP54" s="128">
        <v>23.7</v>
      </c>
      <c r="FQ54" s="128">
        <v>26.2</v>
      </c>
      <c r="FR54" s="128">
        <v>11635000</v>
      </c>
      <c r="FS54" s="128">
        <v>8100000</v>
      </c>
      <c r="IH54" s="128">
        <v>2</v>
      </c>
      <c r="II54" s="128">
        <v>0.215</v>
      </c>
      <c r="IJ54" s="128">
        <v>24</v>
      </c>
      <c r="IK54" s="128">
        <v>0.215</v>
      </c>
      <c r="IL54" s="128">
        <v>40560</v>
      </c>
      <c r="IM54" s="128">
        <v>0</v>
      </c>
      <c r="IN54" s="128">
        <v>1</v>
      </c>
      <c r="IO54" s="128">
        <v>300</v>
      </c>
      <c r="IP54" s="128">
        <v>0.14299999999999999</v>
      </c>
      <c r="IQ54" s="128">
        <v>57000</v>
      </c>
      <c r="IR54" s="128">
        <v>0</v>
      </c>
      <c r="IS54" s="128">
        <v>3</v>
      </c>
      <c r="IT54" s="128">
        <v>900</v>
      </c>
      <c r="IU54" s="128">
        <v>0.42899999999999999</v>
      </c>
      <c r="IV54" s="128">
        <v>94500</v>
      </c>
      <c r="IW54" s="128">
        <v>0</v>
      </c>
      <c r="KG54" s="128">
        <v>0</v>
      </c>
      <c r="KI54" s="128">
        <v>51.3</v>
      </c>
      <c r="KJ54" s="128">
        <v>0</v>
      </c>
      <c r="KK54" s="128">
        <v>0.14299999999999999</v>
      </c>
      <c r="KL54" s="128">
        <v>0</v>
      </c>
      <c r="KM54" s="128">
        <v>51.442999999999998</v>
      </c>
      <c r="KN54" s="128">
        <v>40431000</v>
      </c>
      <c r="KO54" s="128">
        <v>26000000</v>
      </c>
      <c r="KP54" s="128">
        <v>26000000</v>
      </c>
      <c r="KT54" s="128">
        <v>40560</v>
      </c>
      <c r="KU54" s="128">
        <v>0</v>
      </c>
      <c r="KV54" s="128">
        <v>0</v>
      </c>
      <c r="KZ54" s="128">
        <v>151500</v>
      </c>
      <c r="LA54" s="128">
        <v>0</v>
      </c>
      <c r="LB54" s="128">
        <v>0</v>
      </c>
      <c r="LF54" s="128">
        <v>370000</v>
      </c>
      <c r="LG54" s="128">
        <v>0</v>
      </c>
      <c r="LH54" s="128">
        <v>0</v>
      </c>
      <c r="LL54" s="128">
        <v>12000</v>
      </c>
      <c r="LM54" s="128">
        <v>0</v>
      </c>
      <c r="LN54" s="128">
        <v>0</v>
      </c>
      <c r="LR54" s="128">
        <v>300000</v>
      </c>
      <c r="LS54" s="128">
        <v>0</v>
      </c>
      <c r="LT54" s="128">
        <v>0</v>
      </c>
      <c r="LX54" s="128">
        <v>2725000</v>
      </c>
      <c r="LY54" s="128">
        <v>0</v>
      </c>
      <c r="LZ54" s="128">
        <v>0</v>
      </c>
      <c r="MD54" s="128">
        <v>25000</v>
      </c>
      <c r="ME54" s="128">
        <v>0</v>
      </c>
      <c r="MF54" s="128">
        <v>0</v>
      </c>
      <c r="MJ54" s="128">
        <v>61000</v>
      </c>
      <c r="MK54" s="128">
        <v>0</v>
      </c>
      <c r="ML54" s="128">
        <v>0</v>
      </c>
      <c r="MP54" s="128">
        <v>736940</v>
      </c>
      <c r="MQ54" s="128">
        <v>0</v>
      </c>
      <c r="MR54" s="128">
        <v>0</v>
      </c>
      <c r="MV54" s="128">
        <v>3169000</v>
      </c>
      <c r="MW54" s="128">
        <v>1114000</v>
      </c>
      <c r="MX54" s="128">
        <v>1114000</v>
      </c>
      <c r="NB54" s="128">
        <v>81000</v>
      </c>
      <c r="NC54" s="128">
        <v>0</v>
      </c>
      <c r="ND54" s="128">
        <v>0</v>
      </c>
      <c r="NH54" s="128">
        <v>9000</v>
      </c>
      <c r="NI54" s="128">
        <v>0</v>
      </c>
      <c r="NJ54" s="128">
        <v>0</v>
      </c>
      <c r="NN54" s="128">
        <v>360000</v>
      </c>
      <c r="NO54" s="128">
        <v>0</v>
      </c>
      <c r="NP54" s="128">
        <v>0</v>
      </c>
      <c r="NT54" s="128">
        <v>50000</v>
      </c>
      <c r="NU54" s="128">
        <v>0</v>
      </c>
      <c r="NV54" s="128">
        <v>0</v>
      </c>
      <c r="NZ54" s="128">
        <v>900000</v>
      </c>
      <c r="OA54" s="128">
        <v>0</v>
      </c>
      <c r="OB54" s="128">
        <v>0</v>
      </c>
      <c r="OF54" s="128">
        <v>25000</v>
      </c>
      <c r="OG54" s="128">
        <v>0</v>
      </c>
      <c r="OH54" s="128">
        <v>0</v>
      </c>
      <c r="OL54" s="128">
        <v>0</v>
      </c>
      <c r="OM54" s="128">
        <v>0</v>
      </c>
      <c r="ON54" s="128">
        <v>0</v>
      </c>
      <c r="OR54" s="128">
        <v>0</v>
      </c>
      <c r="OS54" s="128">
        <v>0</v>
      </c>
      <c r="OT54" s="128">
        <v>0</v>
      </c>
      <c r="OX54" s="128">
        <v>878000</v>
      </c>
      <c r="OY54" s="128">
        <v>0</v>
      </c>
      <c r="OZ54" s="128">
        <v>0</v>
      </c>
      <c r="PD54" s="128">
        <v>1513000</v>
      </c>
      <c r="PE54" s="128">
        <v>0</v>
      </c>
      <c r="PF54" s="128">
        <v>0</v>
      </c>
      <c r="PJ54" s="128">
        <v>135000</v>
      </c>
      <c r="PK54" s="128">
        <v>0</v>
      </c>
      <c r="PL54" s="128">
        <v>0</v>
      </c>
      <c r="PP54" s="128">
        <v>51973000</v>
      </c>
      <c r="PQ54" s="128">
        <v>27114000</v>
      </c>
      <c r="PR54" s="128">
        <v>27114000</v>
      </c>
      <c r="PS54" s="128">
        <v>100</v>
      </c>
      <c r="PT54" s="128">
        <v>100</v>
      </c>
      <c r="PV54" s="128">
        <v>26510379</v>
      </c>
      <c r="PX54" s="128">
        <v>17421500</v>
      </c>
      <c r="PY54" s="128">
        <v>18789218</v>
      </c>
      <c r="PZ54" s="128">
        <v>27114000</v>
      </c>
      <c r="QA54" s="128">
        <v>0</v>
      </c>
      <c r="QB54" s="128">
        <v>0</v>
      </c>
      <c r="QC54" s="128">
        <v>0</v>
      </c>
      <c r="QD54" s="128">
        <v>0</v>
      </c>
      <c r="QE54" s="128">
        <v>0</v>
      </c>
      <c r="QF54" s="128">
        <v>0</v>
      </c>
      <c r="QG54" s="128">
        <v>8244000</v>
      </c>
      <c r="QH54" s="128">
        <v>8998000</v>
      </c>
      <c r="QI54" s="128">
        <v>4785000</v>
      </c>
      <c r="QJ54" s="128">
        <v>16295465</v>
      </c>
      <c r="QK54" s="128">
        <v>16660000</v>
      </c>
      <c r="QL54" s="128">
        <v>16850000</v>
      </c>
      <c r="QN54" s="128">
        <v>2001829</v>
      </c>
      <c r="QO54" s="128">
        <v>2120000</v>
      </c>
      <c r="QP54" s="128">
        <v>2090000</v>
      </c>
      <c r="QU54" s="128">
        <v>916586</v>
      </c>
      <c r="QV54" s="128">
        <v>989703</v>
      </c>
      <c r="QW54" s="128">
        <v>0</v>
      </c>
      <c r="RD54" s="128">
        <v>1012428</v>
      </c>
      <c r="RE54" s="128">
        <v>1198000</v>
      </c>
      <c r="RF54" s="128">
        <v>1134000</v>
      </c>
      <c r="RH54" s="128">
        <f t="shared" si="104"/>
        <v>33033000</v>
      </c>
      <c r="RI54" s="128">
        <v>0</v>
      </c>
      <c r="RM54" s="128" t="s">
        <v>220</v>
      </c>
      <c r="RU54" s="130"/>
      <c r="RV54" s="130"/>
      <c r="RW54" s="130"/>
      <c r="RX54" s="130"/>
      <c r="SF54" s="128">
        <f t="shared" si="8"/>
        <v>4721932</v>
      </c>
      <c r="SG54" s="131">
        <f t="shared" si="9"/>
        <v>51973000</v>
      </c>
      <c r="SH54" s="131">
        <f t="shared" si="10"/>
        <v>51973000</v>
      </c>
      <c r="SI54" s="131">
        <f t="shared" si="11"/>
        <v>40993060</v>
      </c>
      <c r="SJ54" s="132">
        <f t="shared" si="12"/>
        <v>40431000</v>
      </c>
      <c r="SK54" s="132">
        <f t="shared" si="13"/>
        <v>40560</v>
      </c>
      <c r="SL54" s="132">
        <f t="shared" si="14"/>
        <v>151500</v>
      </c>
      <c r="SM54" s="132">
        <f t="shared" si="15"/>
        <v>370000</v>
      </c>
      <c r="SN54" s="131">
        <f t="shared" si="16"/>
        <v>10979940</v>
      </c>
      <c r="SO54" s="131">
        <f t="shared" si="17"/>
        <v>312000</v>
      </c>
      <c r="SP54" s="132">
        <f t="shared" si="18"/>
        <v>12000</v>
      </c>
      <c r="SQ54" s="132">
        <f t="shared" si="19"/>
        <v>300000</v>
      </c>
      <c r="SR54" s="132">
        <f t="shared" si="20"/>
        <v>2725000</v>
      </c>
      <c r="SS54" s="132">
        <f t="shared" si="21"/>
        <v>25000</v>
      </c>
      <c r="ST54" s="132">
        <f t="shared" si="22"/>
        <v>61000</v>
      </c>
      <c r="SU54" s="132">
        <f t="shared" si="23"/>
        <v>736940</v>
      </c>
      <c r="SV54" s="131">
        <f t="shared" si="24"/>
        <v>5472000</v>
      </c>
      <c r="SW54" s="132">
        <f t="shared" si="25"/>
        <v>3169000</v>
      </c>
      <c r="SX54" s="132">
        <f t="shared" si="26"/>
        <v>81000</v>
      </c>
      <c r="SY54" s="132">
        <f t="shared" si="27"/>
        <v>9000</v>
      </c>
      <c r="SZ54" s="132">
        <f t="shared" si="28"/>
        <v>360000</v>
      </c>
      <c r="TA54" s="132">
        <f t="shared" si="29"/>
        <v>50000</v>
      </c>
      <c r="TB54" s="132">
        <f t="shared" si="30"/>
        <v>900000</v>
      </c>
      <c r="TC54" s="132">
        <f t="shared" si="31"/>
        <v>25000</v>
      </c>
      <c r="TD54" s="132">
        <f t="shared" si="32"/>
        <v>0</v>
      </c>
      <c r="TE54" s="132">
        <f t="shared" si="33"/>
        <v>0</v>
      </c>
      <c r="TF54" s="132">
        <f t="shared" si="34"/>
        <v>878000</v>
      </c>
      <c r="TG54" s="132">
        <f t="shared" si="35"/>
        <v>1513000</v>
      </c>
      <c r="TH54" s="132">
        <f t="shared" si="36"/>
        <v>135000</v>
      </c>
      <c r="TI54" s="1"/>
      <c r="TJ54" s="131">
        <f t="shared" si="37"/>
        <v>27114000</v>
      </c>
      <c r="TK54" s="131">
        <f t="shared" si="38"/>
        <v>27114000</v>
      </c>
      <c r="TL54" s="131">
        <f t="shared" si="39"/>
        <v>26000000</v>
      </c>
      <c r="TM54" s="132">
        <f t="shared" si="40"/>
        <v>26000000</v>
      </c>
      <c r="TN54" s="132">
        <f t="shared" si="41"/>
        <v>0</v>
      </c>
      <c r="TO54" s="132">
        <f t="shared" si="42"/>
        <v>0</v>
      </c>
      <c r="TP54" s="132">
        <f t="shared" si="43"/>
        <v>0</v>
      </c>
      <c r="TQ54" s="131">
        <f t="shared" si="44"/>
        <v>1114000</v>
      </c>
      <c r="TR54" s="131">
        <f t="shared" si="45"/>
        <v>0</v>
      </c>
      <c r="TS54" s="132">
        <f t="shared" si="46"/>
        <v>0</v>
      </c>
      <c r="TT54" s="132">
        <f t="shared" si="47"/>
        <v>0</v>
      </c>
      <c r="TU54" s="132">
        <f t="shared" si="48"/>
        <v>0</v>
      </c>
      <c r="TV54" s="132">
        <f t="shared" si="49"/>
        <v>0</v>
      </c>
      <c r="TW54" s="132">
        <f t="shared" si="50"/>
        <v>0</v>
      </c>
      <c r="TX54" s="132">
        <f t="shared" si="51"/>
        <v>0</v>
      </c>
      <c r="TY54" s="131">
        <f t="shared" si="52"/>
        <v>1114000</v>
      </c>
      <c r="TZ54" s="132">
        <f t="shared" si="53"/>
        <v>1114000</v>
      </c>
      <c r="UA54" s="132">
        <f t="shared" si="54"/>
        <v>0</v>
      </c>
      <c r="UB54" s="132">
        <f t="shared" si="55"/>
        <v>0</v>
      </c>
      <c r="UC54" s="132">
        <f t="shared" si="56"/>
        <v>0</v>
      </c>
      <c r="UD54" s="132">
        <f t="shared" si="57"/>
        <v>0</v>
      </c>
      <c r="UE54" s="132">
        <f t="shared" si="58"/>
        <v>0</v>
      </c>
      <c r="UF54" s="132">
        <f t="shared" si="59"/>
        <v>0</v>
      </c>
      <c r="UG54" s="132">
        <f t="shared" si="60"/>
        <v>0</v>
      </c>
      <c r="UH54" s="132">
        <f t="shared" si="61"/>
        <v>0</v>
      </c>
      <c r="UI54" s="132">
        <f t="shared" si="62"/>
        <v>0</v>
      </c>
      <c r="UJ54" s="132">
        <f t="shared" si="63"/>
        <v>0</v>
      </c>
      <c r="UK54" s="132">
        <f t="shared" si="64"/>
        <v>0</v>
      </c>
      <c r="UL54" s="132">
        <f t="shared" si="105"/>
        <v>27114000</v>
      </c>
      <c r="UM54" s="131">
        <f t="shared" si="65"/>
        <v>27114000</v>
      </c>
      <c r="UN54" s="131">
        <f t="shared" si="66"/>
        <v>27114000</v>
      </c>
      <c r="UO54" s="131">
        <f t="shared" si="67"/>
        <v>26000000</v>
      </c>
      <c r="UP54" s="132">
        <f t="shared" si="68"/>
        <v>26000000</v>
      </c>
      <c r="UQ54" s="132">
        <f t="shared" si="69"/>
        <v>0</v>
      </c>
      <c r="UR54" s="132">
        <f t="shared" si="70"/>
        <v>0</v>
      </c>
      <c r="US54" s="132">
        <f t="shared" si="71"/>
        <v>0</v>
      </c>
      <c r="UT54" s="131">
        <f t="shared" si="72"/>
        <v>1114000</v>
      </c>
      <c r="UU54" s="131">
        <f t="shared" si="73"/>
        <v>0</v>
      </c>
      <c r="UV54" s="132">
        <f t="shared" si="74"/>
        <v>0</v>
      </c>
      <c r="UW54" s="132">
        <f t="shared" si="75"/>
        <v>0</v>
      </c>
      <c r="UX54" s="132">
        <f t="shared" si="76"/>
        <v>0</v>
      </c>
      <c r="UY54" s="132">
        <f t="shared" si="77"/>
        <v>0</v>
      </c>
      <c r="UZ54" s="132">
        <f t="shared" si="78"/>
        <v>0</v>
      </c>
      <c r="VA54" s="132">
        <f t="shared" si="79"/>
        <v>0</v>
      </c>
      <c r="VB54" s="131">
        <f t="shared" si="80"/>
        <v>1114000</v>
      </c>
      <c r="VC54" s="132">
        <f t="shared" si="81"/>
        <v>1114000</v>
      </c>
      <c r="VD54" s="132">
        <f t="shared" si="82"/>
        <v>0</v>
      </c>
      <c r="VE54" s="132">
        <f t="shared" si="83"/>
        <v>0</v>
      </c>
      <c r="VF54" s="132">
        <f t="shared" si="84"/>
        <v>0</v>
      </c>
      <c r="VG54" s="132">
        <f t="shared" si="85"/>
        <v>0</v>
      </c>
      <c r="VH54" s="132">
        <f t="shared" si="86"/>
        <v>0</v>
      </c>
      <c r="VI54" s="132">
        <f t="shared" si="87"/>
        <v>0</v>
      </c>
      <c r="VJ54" s="132">
        <f t="shared" si="88"/>
        <v>0</v>
      </c>
      <c r="VK54" s="132">
        <f t="shared" si="89"/>
        <v>0</v>
      </c>
      <c r="VL54" s="132">
        <f t="shared" si="90"/>
        <v>0</v>
      </c>
      <c r="VM54" s="132">
        <f t="shared" si="91"/>
        <v>0</v>
      </c>
      <c r="VN54" s="132">
        <f t="shared" si="92"/>
        <v>0</v>
      </c>
      <c r="VP54" s="845" t="str">
        <f>IFERROR(HLOOKUP(F54,'Hodnocení '!$C$1:$JH$5,2,FALSE),0)</f>
        <v>Domov bez bariér</v>
      </c>
      <c r="VQ54" s="838"/>
      <c r="VR54" s="845" t="str">
        <f t="shared" si="106"/>
        <v>Příspěvková organizace zřízená územním samosprávným celkem</v>
      </c>
      <c r="VS54" s="845" t="str">
        <f>IFERROR(HLOOKUP(F54,'Hodnocení '!$C$1:$JH$5,5,FALSE),0)</f>
        <v>PO KHK</v>
      </c>
      <c r="VT54" s="838">
        <f t="shared" si="107"/>
        <v>0</v>
      </c>
      <c r="VU54" s="838" t="str">
        <f t="shared" si="108"/>
        <v>PO KHK</v>
      </c>
      <c r="VV54" s="838">
        <f t="shared" si="109"/>
        <v>16850000</v>
      </c>
      <c r="VW54" s="838">
        <f t="shared" si="110"/>
        <v>2090000</v>
      </c>
      <c r="VX54" s="838"/>
      <c r="VY54" s="838">
        <f t="shared" si="114"/>
        <v>0</v>
      </c>
      <c r="VZ54" s="838">
        <f t="shared" si="115"/>
        <v>27114000</v>
      </c>
      <c r="WA54" s="846">
        <f>IFERROR(HLOOKUP($F54,'Hodnocení '!$C$1:$JH$9,9,FALSE),0)</f>
        <v>27114000</v>
      </c>
      <c r="WB54" s="846">
        <f>IF(IFERROR(HLOOKUP($F54,'Hodnocení '!$C$1:$JH$13,13,FALSE),0)&gt;WA54,WA54,IFERROR(HLOOKUP($F54,'Hodnocení '!$C$1:$JH$13,13,FALSE),0))</f>
        <v>27114000</v>
      </c>
      <c r="WC54" s="846">
        <f>IFERROR(HLOOKUP($F54,'Hodnocení '!$C$1:$JH$155,155,FALSE),0)</f>
        <v>19303220</v>
      </c>
      <c r="WD54" s="845"/>
      <c r="WE54" s="845"/>
      <c r="WF54" s="845" t="str">
        <f t="shared" si="97"/>
        <v>ANO</v>
      </c>
      <c r="WG54" s="849" t="str">
        <f t="shared" si="117"/>
        <v>Podpora služby je vyjádřena zařazením do sítě sociálních služeb v KHK a řešením financování služby</v>
      </c>
      <c r="WH54"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54" s="849" t="str">
        <f t="shared" si="117"/>
        <v>Návrh dotace je výsledkem projednání s ostatními zadavateli v rámci sítě služeb KHK</v>
      </c>
      <c r="WJ54" s="849" t="str">
        <f t="shared" si="117"/>
        <v>Bez komentáře</v>
      </c>
      <c r="WK54" s="31">
        <f t="shared" si="99"/>
        <v>0</v>
      </c>
      <c r="WL54" s="850" t="str">
        <f t="shared" si="100"/>
        <v>Případná úprava příspěvku zřizovatele bude řešena v návaznosti na vývoj služby</v>
      </c>
      <c r="WM54" s="849" t="str">
        <f t="shared" si="101"/>
        <v>V rámci sítě KHK se dlouhodobě řeší otázka navyšování úhrad a průběžně se monitoruje s vazbou na vykrytí vyrovnávací platby</v>
      </c>
      <c r="WN54" s="849" t="str">
        <f t="shared" si="102"/>
        <v>Otázka výběru od zdravotních pojišťoven je předmětem procesu, který probíhá ve formě jednání se ZP a organizacemi</v>
      </c>
      <c r="WO54" s="849" t="str">
        <f t="shared" si="116"/>
        <v>bez komentáře</v>
      </c>
      <c r="WP54" s="849" t="str">
        <f t="shared" si="116"/>
        <v>bez komentáře</v>
      </c>
      <c r="WQ54" s="849" t="str">
        <f t="shared" si="116"/>
        <v>Konečná výše dotace z rozpočtu KHK bude řešena v návaznosti na řešení podílů jednotlivých zadavatelů.</v>
      </c>
      <c r="WR54" s="849" t="str">
        <f t="shared" si="116"/>
        <v>Konečná výše podpory ze stran obcí bude řešena v součinnosti s jednotlivými zadavateli v průběhu roku.</v>
      </c>
      <c r="WS54" s="849" t="str">
        <f t="shared" si="116"/>
        <v>bez komentáře</v>
      </c>
      <c r="WT54" s="849" t="str">
        <f t="shared" si="116"/>
        <v>bez komentáře</v>
      </c>
      <c r="WU54" s="845"/>
    </row>
    <row r="55" spans="1:619" s="128" customFormat="1" x14ac:dyDescent="0.25">
      <c r="A55" s="128" t="str">
        <f>VLOOKUP(F55,'Výpočet VP 2020'!$D$324:$I$588,6,FALSE)</f>
        <v>Je v síti</v>
      </c>
      <c r="B55" s="128" t="s">
        <v>425</v>
      </c>
      <c r="C55" s="128">
        <v>42886163</v>
      </c>
      <c r="D55" s="128" t="s">
        <v>426</v>
      </c>
      <c r="E55" s="128" t="s">
        <v>259</v>
      </c>
      <c r="F55" s="128">
        <v>3446957</v>
      </c>
      <c r="G55" s="128" t="s">
        <v>217</v>
      </c>
      <c r="H55" s="128" t="s">
        <v>218</v>
      </c>
      <c r="I55" s="128" t="s">
        <v>427</v>
      </c>
      <c r="J55" s="129">
        <v>39083</v>
      </c>
      <c r="L55" s="128" t="s">
        <v>220</v>
      </c>
      <c r="X55" s="128" t="s">
        <v>320</v>
      </c>
      <c r="Z55" s="128">
        <v>5</v>
      </c>
      <c r="AA55" s="128">
        <v>5</v>
      </c>
      <c r="AB55" s="128">
        <v>5</v>
      </c>
      <c r="AC55" s="128">
        <v>5</v>
      </c>
      <c r="AD55" s="128">
        <v>5</v>
      </c>
      <c r="AN55" s="128">
        <v>1760</v>
      </c>
      <c r="AO55" s="128" t="s">
        <v>428</v>
      </c>
      <c r="BL55" s="128" t="s">
        <v>263</v>
      </c>
      <c r="BM55" s="128" t="s">
        <v>223</v>
      </c>
      <c r="BN55" s="128" t="s">
        <v>364</v>
      </c>
      <c r="BO55" s="128">
        <v>0</v>
      </c>
      <c r="BP55" s="128">
        <v>0</v>
      </c>
      <c r="BQ55" s="128">
        <v>0</v>
      </c>
      <c r="BR55" s="128">
        <v>0</v>
      </c>
      <c r="BS55" s="128">
        <v>0</v>
      </c>
      <c r="BT55" s="128">
        <v>0</v>
      </c>
      <c r="BU55" s="128">
        <v>0</v>
      </c>
      <c r="BV55" s="128">
        <v>0</v>
      </c>
      <c r="BW55" s="128">
        <v>0</v>
      </c>
      <c r="BX55" s="128">
        <v>5</v>
      </c>
      <c r="BY55" s="128">
        <v>0</v>
      </c>
      <c r="BZ55" s="128">
        <v>0</v>
      </c>
      <c r="CA55" s="128">
        <v>0</v>
      </c>
      <c r="CB55" s="128">
        <v>0</v>
      </c>
      <c r="CC55" s="128">
        <v>5</v>
      </c>
      <c r="CD55" s="128">
        <v>0</v>
      </c>
      <c r="CE55" s="128">
        <v>5</v>
      </c>
      <c r="CF55" s="128">
        <v>5</v>
      </c>
      <c r="CH55" s="128">
        <v>0</v>
      </c>
      <c r="CI55" s="128">
        <v>0</v>
      </c>
      <c r="CJ55" s="128">
        <v>0</v>
      </c>
      <c r="CK55" s="128">
        <v>0</v>
      </c>
      <c r="CL55" s="128">
        <v>0</v>
      </c>
      <c r="CM55" s="128">
        <v>0</v>
      </c>
      <c r="CN55" s="128">
        <v>0</v>
      </c>
      <c r="CO55" s="128">
        <v>0</v>
      </c>
      <c r="CP55" s="128">
        <v>0</v>
      </c>
      <c r="CQ55" s="128">
        <v>5</v>
      </c>
      <c r="CR55" s="128">
        <v>0</v>
      </c>
      <c r="CS55" s="128">
        <v>0</v>
      </c>
      <c r="CT55" s="128">
        <v>0</v>
      </c>
      <c r="CU55" s="128">
        <v>0</v>
      </c>
      <c r="CV55" s="128">
        <v>5</v>
      </c>
      <c r="CW55" s="128">
        <v>0</v>
      </c>
      <c r="CX55" s="128">
        <v>5</v>
      </c>
      <c r="CY55" s="128">
        <v>5</v>
      </c>
      <c r="EK55" s="128">
        <v>2</v>
      </c>
      <c r="EL55" s="128">
        <v>0.3</v>
      </c>
      <c r="EM55" s="128">
        <v>0.3</v>
      </c>
      <c r="EN55" s="128">
        <v>187906</v>
      </c>
      <c r="EO55" s="128">
        <v>100000</v>
      </c>
      <c r="EP55" s="128">
        <v>1</v>
      </c>
      <c r="EQ55" s="128">
        <v>1</v>
      </c>
      <c r="ER55" s="128">
        <v>1</v>
      </c>
      <c r="ES55" s="128">
        <v>514480</v>
      </c>
      <c r="ET55" s="128">
        <v>400000</v>
      </c>
      <c r="FO55" s="128">
        <v>5</v>
      </c>
      <c r="FP55" s="128">
        <v>0.5</v>
      </c>
      <c r="FQ55" s="128">
        <v>0.5</v>
      </c>
      <c r="FR55" s="128">
        <v>401892</v>
      </c>
      <c r="FS55" s="128">
        <v>200000</v>
      </c>
      <c r="JM55" s="128">
        <v>1</v>
      </c>
      <c r="JN55" s="128">
        <v>0.1</v>
      </c>
      <c r="JO55" s="128">
        <v>0.1</v>
      </c>
      <c r="JP55" s="128">
        <v>25000</v>
      </c>
      <c r="JQ55" s="128">
        <v>0</v>
      </c>
      <c r="KG55" s="128">
        <v>0</v>
      </c>
      <c r="KI55" s="128">
        <v>1.3</v>
      </c>
      <c r="KJ55" s="128">
        <v>0</v>
      </c>
      <c r="KK55" s="128">
        <v>0</v>
      </c>
      <c r="KL55" s="128">
        <v>0.1</v>
      </c>
      <c r="KM55" s="128">
        <v>1.4</v>
      </c>
      <c r="KN55" s="128">
        <v>1104278</v>
      </c>
      <c r="KO55" s="128">
        <v>700000</v>
      </c>
      <c r="KP55" s="128">
        <v>700000</v>
      </c>
      <c r="KT55" s="128">
        <v>0</v>
      </c>
      <c r="KU55" s="128">
        <v>0</v>
      </c>
      <c r="KV55" s="128">
        <v>0</v>
      </c>
      <c r="KZ55" s="128">
        <v>0</v>
      </c>
      <c r="LA55" s="128">
        <v>0</v>
      </c>
      <c r="LB55" s="128">
        <v>0</v>
      </c>
      <c r="LF55" s="128">
        <v>32242</v>
      </c>
      <c r="LG55" s="128">
        <v>0</v>
      </c>
      <c r="LH55" s="128">
        <v>0</v>
      </c>
      <c r="LL55" s="128">
        <v>0</v>
      </c>
      <c r="LM55" s="128">
        <v>0</v>
      </c>
      <c r="LN55" s="128">
        <v>0</v>
      </c>
      <c r="LR55" s="128">
        <v>10000</v>
      </c>
      <c r="LS55" s="128">
        <v>0</v>
      </c>
      <c r="LT55" s="128">
        <v>0</v>
      </c>
      <c r="LX55" s="128">
        <v>30500</v>
      </c>
      <c r="LY55" s="128">
        <v>0</v>
      </c>
      <c r="LZ55" s="128">
        <v>0</v>
      </c>
      <c r="MD55" s="128">
        <v>7200</v>
      </c>
      <c r="ME55" s="128">
        <v>0</v>
      </c>
      <c r="MF55" s="128">
        <v>0</v>
      </c>
      <c r="MJ55" s="128">
        <v>8000</v>
      </c>
      <c r="MK55" s="128">
        <v>0</v>
      </c>
      <c r="ML55" s="128">
        <v>0</v>
      </c>
      <c r="MP55" s="128">
        <v>20500</v>
      </c>
      <c r="MQ55" s="128">
        <v>0</v>
      </c>
      <c r="MR55" s="128">
        <v>0</v>
      </c>
      <c r="MV55" s="128">
        <v>75000</v>
      </c>
      <c r="MW55" s="128">
        <v>0</v>
      </c>
      <c r="MX55" s="128">
        <v>0</v>
      </c>
      <c r="NB55" s="128">
        <v>5000</v>
      </c>
      <c r="NC55" s="128">
        <v>0</v>
      </c>
      <c r="ND55" s="128">
        <v>0</v>
      </c>
      <c r="NH55" s="128">
        <v>545</v>
      </c>
      <c r="NI55" s="128">
        <v>0</v>
      </c>
      <c r="NJ55" s="128">
        <v>0</v>
      </c>
      <c r="NN55" s="128">
        <v>3500</v>
      </c>
      <c r="NO55" s="128">
        <v>0</v>
      </c>
      <c r="NP55" s="128">
        <v>0</v>
      </c>
      <c r="NT55" s="128">
        <v>5000</v>
      </c>
      <c r="NU55" s="128">
        <v>0</v>
      </c>
      <c r="NV55" s="128">
        <v>0</v>
      </c>
      <c r="NZ55" s="128">
        <v>17500</v>
      </c>
      <c r="OA55" s="128">
        <v>0</v>
      </c>
      <c r="OB55" s="128">
        <v>0</v>
      </c>
      <c r="OF55" s="128">
        <v>0</v>
      </c>
      <c r="OG55" s="128">
        <v>0</v>
      </c>
      <c r="OH55" s="128">
        <v>0</v>
      </c>
      <c r="OL55" s="128">
        <v>25000</v>
      </c>
      <c r="OM55" s="128">
        <v>0</v>
      </c>
      <c r="ON55" s="128">
        <v>0</v>
      </c>
      <c r="OR55" s="128">
        <v>0</v>
      </c>
      <c r="OS55" s="128">
        <v>0</v>
      </c>
      <c r="OT55" s="128">
        <v>0</v>
      </c>
      <c r="OX55" s="128">
        <v>34800</v>
      </c>
      <c r="OY55" s="128">
        <v>0</v>
      </c>
      <c r="OZ55" s="128">
        <v>0</v>
      </c>
      <c r="PD55" s="128">
        <v>0</v>
      </c>
      <c r="PE55" s="128">
        <v>0</v>
      </c>
      <c r="PF55" s="128">
        <v>0</v>
      </c>
      <c r="PJ55" s="128">
        <v>0</v>
      </c>
      <c r="PK55" s="128">
        <v>0</v>
      </c>
      <c r="PL55" s="128">
        <v>0</v>
      </c>
      <c r="PP55" s="128">
        <v>1379065</v>
      </c>
      <c r="PQ55" s="128">
        <v>700000</v>
      </c>
      <c r="PR55" s="128">
        <v>700000</v>
      </c>
      <c r="PS55" s="128">
        <v>100</v>
      </c>
      <c r="PT55" s="128">
        <v>100</v>
      </c>
      <c r="PV55" s="128">
        <v>694228</v>
      </c>
      <c r="PX55" s="128">
        <v>491776</v>
      </c>
      <c r="PY55" s="128">
        <v>650000</v>
      </c>
      <c r="PZ55" s="128">
        <v>700000</v>
      </c>
      <c r="QA55" s="128">
        <v>0</v>
      </c>
      <c r="QB55" s="128">
        <v>0</v>
      </c>
      <c r="QC55" s="128">
        <v>0</v>
      </c>
      <c r="QD55" s="128">
        <v>0</v>
      </c>
      <c r="QE55" s="128">
        <v>0</v>
      </c>
      <c r="QF55" s="128">
        <v>0</v>
      </c>
      <c r="QG55" s="128">
        <v>579014</v>
      </c>
      <c r="QH55" s="128">
        <v>572881</v>
      </c>
      <c r="QI55" s="128">
        <v>522065</v>
      </c>
      <c r="QJ55" s="128">
        <v>134359</v>
      </c>
      <c r="QK55" s="128">
        <v>145000</v>
      </c>
      <c r="QL55" s="128">
        <v>151000</v>
      </c>
      <c r="QN55" s="128">
        <v>0</v>
      </c>
      <c r="QO55" s="128">
        <v>0</v>
      </c>
      <c r="QP55" s="128">
        <v>0</v>
      </c>
      <c r="RD55" s="128">
        <v>1828</v>
      </c>
      <c r="RE55" s="128">
        <v>10000</v>
      </c>
      <c r="RF55" s="128">
        <v>6000</v>
      </c>
      <c r="RH55" s="128">
        <f t="shared" si="104"/>
        <v>1228065</v>
      </c>
      <c r="RI55" s="128">
        <v>0</v>
      </c>
      <c r="RM55" s="128" t="s">
        <v>220</v>
      </c>
      <c r="RU55" s="130"/>
      <c r="RV55" s="130"/>
      <c r="RW55" s="130"/>
      <c r="RX55" s="130"/>
      <c r="SF55" s="128">
        <f t="shared" si="8"/>
        <v>3446957</v>
      </c>
      <c r="SG55" s="131">
        <f t="shared" si="9"/>
        <v>1379065</v>
      </c>
      <c r="SH55" s="131">
        <f t="shared" si="10"/>
        <v>1379065</v>
      </c>
      <c r="SI55" s="131">
        <f t="shared" si="11"/>
        <v>1136520</v>
      </c>
      <c r="SJ55" s="132">
        <f t="shared" si="12"/>
        <v>1104278</v>
      </c>
      <c r="SK55" s="132">
        <f t="shared" si="13"/>
        <v>0</v>
      </c>
      <c r="SL55" s="132">
        <f t="shared" si="14"/>
        <v>0</v>
      </c>
      <c r="SM55" s="132">
        <f t="shared" si="15"/>
        <v>32242</v>
      </c>
      <c r="SN55" s="131">
        <f t="shared" si="16"/>
        <v>242545</v>
      </c>
      <c r="SO55" s="131">
        <f t="shared" si="17"/>
        <v>10000</v>
      </c>
      <c r="SP55" s="132">
        <f t="shared" si="18"/>
        <v>0</v>
      </c>
      <c r="SQ55" s="132">
        <f t="shared" si="19"/>
        <v>10000</v>
      </c>
      <c r="SR55" s="132">
        <f t="shared" si="20"/>
        <v>30500</v>
      </c>
      <c r="SS55" s="132">
        <f t="shared" si="21"/>
        <v>7200</v>
      </c>
      <c r="ST55" s="132">
        <f t="shared" si="22"/>
        <v>8000</v>
      </c>
      <c r="SU55" s="132">
        <f t="shared" si="23"/>
        <v>20500</v>
      </c>
      <c r="SV55" s="131">
        <f t="shared" si="24"/>
        <v>166345</v>
      </c>
      <c r="SW55" s="132">
        <f t="shared" si="25"/>
        <v>75000</v>
      </c>
      <c r="SX55" s="132">
        <f t="shared" si="26"/>
        <v>5000</v>
      </c>
      <c r="SY55" s="132">
        <f t="shared" si="27"/>
        <v>545</v>
      </c>
      <c r="SZ55" s="132">
        <f t="shared" si="28"/>
        <v>3500</v>
      </c>
      <c r="TA55" s="132">
        <f t="shared" si="29"/>
        <v>5000</v>
      </c>
      <c r="TB55" s="132">
        <f t="shared" si="30"/>
        <v>17500</v>
      </c>
      <c r="TC55" s="132">
        <f t="shared" si="31"/>
        <v>0</v>
      </c>
      <c r="TD55" s="132">
        <f t="shared" si="32"/>
        <v>25000</v>
      </c>
      <c r="TE55" s="132">
        <f t="shared" si="33"/>
        <v>0</v>
      </c>
      <c r="TF55" s="132">
        <f t="shared" si="34"/>
        <v>34800</v>
      </c>
      <c r="TG55" s="132">
        <f t="shared" si="35"/>
        <v>0</v>
      </c>
      <c r="TH55" s="132">
        <f t="shared" si="36"/>
        <v>0</v>
      </c>
      <c r="TI55" s="1"/>
      <c r="TJ55" s="131">
        <f t="shared" si="37"/>
        <v>700000</v>
      </c>
      <c r="TK55" s="131">
        <f t="shared" si="38"/>
        <v>700000</v>
      </c>
      <c r="TL55" s="131">
        <f t="shared" si="39"/>
        <v>700000</v>
      </c>
      <c r="TM55" s="132">
        <f t="shared" si="40"/>
        <v>700000</v>
      </c>
      <c r="TN55" s="132">
        <f t="shared" si="41"/>
        <v>0</v>
      </c>
      <c r="TO55" s="132">
        <f t="shared" si="42"/>
        <v>0</v>
      </c>
      <c r="TP55" s="132">
        <f t="shared" si="43"/>
        <v>0</v>
      </c>
      <c r="TQ55" s="131">
        <f t="shared" si="44"/>
        <v>0</v>
      </c>
      <c r="TR55" s="131">
        <f t="shared" si="45"/>
        <v>0</v>
      </c>
      <c r="TS55" s="132">
        <f t="shared" si="46"/>
        <v>0</v>
      </c>
      <c r="TT55" s="132">
        <f t="shared" si="47"/>
        <v>0</v>
      </c>
      <c r="TU55" s="132">
        <f t="shared" si="48"/>
        <v>0</v>
      </c>
      <c r="TV55" s="132">
        <f t="shared" si="49"/>
        <v>0</v>
      </c>
      <c r="TW55" s="132">
        <f t="shared" si="50"/>
        <v>0</v>
      </c>
      <c r="TX55" s="132">
        <f t="shared" si="51"/>
        <v>0</v>
      </c>
      <c r="TY55" s="131">
        <f t="shared" si="52"/>
        <v>0</v>
      </c>
      <c r="TZ55" s="132">
        <f t="shared" si="53"/>
        <v>0</v>
      </c>
      <c r="UA55" s="132">
        <f t="shared" si="54"/>
        <v>0</v>
      </c>
      <c r="UB55" s="132">
        <f t="shared" si="55"/>
        <v>0</v>
      </c>
      <c r="UC55" s="132">
        <f t="shared" si="56"/>
        <v>0</v>
      </c>
      <c r="UD55" s="132">
        <f t="shared" si="57"/>
        <v>0</v>
      </c>
      <c r="UE55" s="132">
        <f t="shared" si="58"/>
        <v>0</v>
      </c>
      <c r="UF55" s="132">
        <f t="shared" si="59"/>
        <v>0</v>
      </c>
      <c r="UG55" s="132">
        <f t="shared" si="60"/>
        <v>0</v>
      </c>
      <c r="UH55" s="132">
        <f t="shared" si="61"/>
        <v>0</v>
      </c>
      <c r="UI55" s="132">
        <f t="shared" si="62"/>
        <v>0</v>
      </c>
      <c r="UJ55" s="132">
        <f t="shared" si="63"/>
        <v>0</v>
      </c>
      <c r="UK55" s="132">
        <f t="shared" si="64"/>
        <v>0</v>
      </c>
      <c r="UL55" s="132">
        <f t="shared" si="105"/>
        <v>700000</v>
      </c>
      <c r="UM55" s="131">
        <f t="shared" si="65"/>
        <v>700000</v>
      </c>
      <c r="UN55" s="131">
        <f t="shared" si="66"/>
        <v>700000</v>
      </c>
      <c r="UO55" s="131">
        <f t="shared" si="67"/>
        <v>700000</v>
      </c>
      <c r="UP55" s="132">
        <f t="shared" si="68"/>
        <v>700000</v>
      </c>
      <c r="UQ55" s="132">
        <f t="shared" si="69"/>
        <v>0</v>
      </c>
      <c r="UR55" s="132">
        <f t="shared" si="70"/>
        <v>0</v>
      </c>
      <c r="US55" s="132">
        <f t="shared" si="71"/>
        <v>0</v>
      </c>
      <c r="UT55" s="131">
        <f t="shared" si="72"/>
        <v>0</v>
      </c>
      <c r="UU55" s="131">
        <f t="shared" si="73"/>
        <v>0</v>
      </c>
      <c r="UV55" s="132">
        <f t="shared" si="74"/>
        <v>0</v>
      </c>
      <c r="UW55" s="132">
        <f t="shared" si="75"/>
        <v>0</v>
      </c>
      <c r="UX55" s="132">
        <f t="shared" si="76"/>
        <v>0</v>
      </c>
      <c r="UY55" s="132">
        <f t="shared" si="77"/>
        <v>0</v>
      </c>
      <c r="UZ55" s="132">
        <f t="shared" si="78"/>
        <v>0</v>
      </c>
      <c r="VA55" s="132">
        <f t="shared" si="79"/>
        <v>0</v>
      </c>
      <c r="VB55" s="131">
        <f t="shared" si="80"/>
        <v>0</v>
      </c>
      <c r="VC55" s="132">
        <f t="shared" si="81"/>
        <v>0</v>
      </c>
      <c r="VD55" s="132">
        <f t="shared" si="82"/>
        <v>0</v>
      </c>
      <c r="VE55" s="132">
        <f t="shared" si="83"/>
        <v>0</v>
      </c>
      <c r="VF55" s="132">
        <f t="shared" si="84"/>
        <v>0</v>
      </c>
      <c r="VG55" s="132">
        <f t="shared" si="85"/>
        <v>0</v>
      </c>
      <c r="VH55" s="132">
        <f t="shared" si="86"/>
        <v>0</v>
      </c>
      <c r="VI55" s="132">
        <f t="shared" si="87"/>
        <v>0</v>
      </c>
      <c r="VJ55" s="132">
        <f t="shared" si="88"/>
        <v>0</v>
      </c>
      <c r="VK55" s="132">
        <f t="shared" si="89"/>
        <v>0</v>
      </c>
      <c r="VL55" s="132">
        <f t="shared" si="90"/>
        <v>0</v>
      </c>
      <c r="VM55" s="132">
        <f t="shared" si="91"/>
        <v>0</v>
      </c>
      <c r="VN55" s="132">
        <f t="shared" si="92"/>
        <v>0</v>
      </c>
      <c r="VP55" s="845" t="str">
        <f>IFERROR(HLOOKUP(F55,'Hodnocení '!$C$1:$JH$5,2,FALSE),0)</f>
        <v>Domov Dědina</v>
      </c>
      <c r="VQ55" s="838"/>
      <c r="VR55" s="845" t="str">
        <f t="shared" si="106"/>
        <v>Příspěvková organizace zřízená územním samosprávným celkem</v>
      </c>
      <c r="VS55" s="845" t="str">
        <f>IFERROR(HLOOKUP(F55,'Hodnocení '!$C$1:$JH$5,5,FALSE),0)</f>
        <v>PO KHK</v>
      </c>
      <c r="VT55" s="838">
        <f t="shared" si="107"/>
        <v>0</v>
      </c>
      <c r="VU55" s="838" t="str">
        <f t="shared" si="108"/>
        <v>PO KHK</v>
      </c>
      <c r="VV55" s="838">
        <f t="shared" si="109"/>
        <v>151000</v>
      </c>
      <c r="VW55" s="838">
        <f t="shared" si="110"/>
        <v>0</v>
      </c>
      <c r="VX55" s="838"/>
      <c r="VY55" s="838">
        <f t="shared" si="114"/>
        <v>0</v>
      </c>
      <c r="VZ55" s="838">
        <f t="shared" si="115"/>
        <v>700000</v>
      </c>
      <c r="WA55" s="846">
        <f>IFERROR(HLOOKUP($F55,'Hodnocení '!$C$1:$JH$9,9,FALSE),0)</f>
        <v>700000</v>
      </c>
      <c r="WB55" s="846">
        <f>IF(IFERROR(HLOOKUP($F55,'Hodnocení '!$C$1:$JH$13,13,FALSE),0)&gt;WA55,WA55,IFERROR(HLOOKUP($F55,'Hodnocení '!$C$1:$JH$13,13,FALSE),0))</f>
        <v>700000</v>
      </c>
      <c r="WC55" s="846">
        <f>IFERROR(HLOOKUP($F55,'Hodnocení '!$C$1:$JH$155,155,FALSE),0)</f>
        <v>687360</v>
      </c>
      <c r="WD55" s="845"/>
      <c r="WE55" s="845"/>
      <c r="WF55" s="845" t="str">
        <f t="shared" si="97"/>
        <v>ANO</v>
      </c>
      <c r="WG55" s="849" t="str">
        <f t="shared" si="117"/>
        <v>Podpora služby je vyjádřena zařazením do sítě sociálních služeb v KHK a řešením financování služby</v>
      </c>
      <c r="WH55"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55" s="849" t="str">
        <f t="shared" si="117"/>
        <v>Návrh dotace je výsledkem projednání s ostatními zadavateli v rámci sítě služeb KHK</v>
      </c>
      <c r="WJ55" s="849" t="str">
        <f t="shared" si="117"/>
        <v>Bez komentáře</v>
      </c>
      <c r="WK55" s="31">
        <f t="shared" si="99"/>
        <v>0</v>
      </c>
      <c r="WL55" s="850" t="str">
        <f t="shared" si="100"/>
        <v>Případná úprava příspěvku zřizovatele bude řešena v návaznosti na vývoj služby</v>
      </c>
      <c r="WM55" s="849" t="str">
        <f t="shared" si="101"/>
        <v>V rámci sítě KHK se dlouhodobě řeší otázka navyšování úhrad a průběžně se monitoruje s vazbou na vykrytí vyrovnávací platby</v>
      </c>
      <c r="WN55" s="849">
        <f t="shared" si="102"/>
        <v>0</v>
      </c>
      <c r="WO55" s="849" t="str">
        <f t="shared" si="116"/>
        <v>bez komentáře</v>
      </c>
      <c r="WP55" s="849" t="str">
        <f t="shared" si="116"/>
        <v>bez komentáře</v>
      </c>
      <c r="WQ55" s="849" t="str">
        <f t="shared" si="116"/>
        <v>Konečná výše dotace z rozpočtu KHK bude řešena v návaznosti na řešení podílů jednotlivých zadavatelů.</v>
      </c>
      <c r="WR55" s="849" t="str">
        <f t="shared" si="116"/>
        <v>Konečná výše podpory ze stran obcí bude řešena v součinnosti s jednotlivými zadavateli v průběhu roku.</v>
      </c>
      <c r="WS55" s="849" t="str">
        <f t="shared" si="116"/>
        <v>bez komentáře</v>
      </c>
      <c r="WT55" s="849" t="str">
        <f t="shared" si="116"/>
        <v>bez komentáře</v>
      </c>
      <c r="WU55" s="845"/>
    </row>
    <row r="56" spans="1:619" s="128" customFormat="1" x14ac:dyDescent="0.25">
      <c r="A56" s="128" t="str">
        <f>VLOOKUP(F56,'Výpočet VP 2020'!$D$324:$I$588,6,FALSE)</f>
        <v>Je v síti</v>
      </c>
      <c r="B56" s="128" t="s">
        <v>425</v>
      </c>
      <c r="C56" s="128">
        <v>42886163</v>
      </c>
      <c r="D56" s="128" t="s">
        <v>426</v>
      </c>
      <c r="E56" s="128" t="s">
        <v>259</v>
      </c>
      <c r="F56" s="128">
        <v>3473171</v>
      </c>
      <c r="G56" s="128" t="s">
        <v>260</v>
      </c>
      <c r="H56" s="128" t="s">
        <v>218</v>
      </c>
      <c r="I56" s="128" t="s">
        <v>429</v>
      </c>
      <c r="J56" s="129">
        <v>39083</v>
      </c>
      <c r="L56" s="128" t="s">
        <v>220</v>
      </c>
      <c r="M56" s="128" t="s">
        <v>430</v>
      </c>
      <c r="N56" s="128">
        <v>113</v>
      </c>
      <c r="P56" s="128">
        <v>111</v>
      </c>
      <c r="Q56" s="128">
        <v>111</v>
      </c>
      <c r="R56" s="128">
        <v>111</v>
      </c>
      <c r="BL56" s="128" t="s">
        <v>263</v>
      </c>
      <c r="BM56" s="128" t="s">
        <v>223</v>
      </c>
      <c r="BN56" s="128" t="s">
        <v>364</v>
      </c>
      <c r="DA56" s="128">
        <v>0</v>
      </c>
      <c r="DB56" s="128">
        <v>0</v>
      </c>
      <c r="DC56" s="128">
        <v>0</v>
      </c>
      <c r="DD56" s="128">
        <v>0</v>
      </c>
      <c r="DE56" s="128">
        <v>0</v>
      </c>
      <c r="DF56" s="128">
        <v>10</v>
      </c>
      <c r="DG56" s="128">
        <v>47</v>
      </c>
      <c r="DH56" s="128">
        <v>36</v>
      </c>
      <c r="DI56" s="128">
        <v>16</v>
      </c>
      <c r="DJ56" s="128">
        <v>0</v>
      </c>
      <c r="DK56" s="128">
        <v>10</v>
      </c>
      <c r="DL56" s="128">
        <v>47</v>
      </c>
      <c r="DM56" s="128">
        <v>36</v>
      </c>
      <c r="DN56" s="128">
        <v>16</v>
      </c>
      <c r="DO56" s="128">
        <v>0</v>
      </c>
      <c r="DP56" s="128">
        <v>0</v>
      </c>
      <c r="DQ56" s="128">
        <v>109</v>
      </c>
      <c r="DR56" s="128">
        <v>109</v>
      </c>
      <c r="DS56" s="128">
        <v>0</v>
      </c>
      <c r="DT56" s="128">
        <v>0</v>
      </c>
      <c r="DU56" s="128">
        <v>0</v>
      </c>
      <c r="DV56" s="128">
        <v>0</v>
      </c>
      <c r="DW56" s="128">
        <v>0</v>
      </c>
      <c r="DX56" s="128">
        <v>11</v>
      </c>
      <c r="DY56" s="128">
        <v>48</v>
      </c>
      <c r="DZ56" s="128">
        <v>36</v>
      </c>
      <c r="EA56" s="128">
        <v>18</v>
      </c>
      <c r="EB56" s="128">
        <v>0</v>
      </c>
      <c r="EC56" s="128">
        <v>11</v>
      </c>
      <c r="ED56" s="128">
        <v>48</v>
      </c>
      <c r="EE56" s="128">
        <v>36</v>
      </c>
      <c r="EF56" s="128">
        <v>18</v>
      </c>
      <c r="EG56" s="128">
        <v>0</v>
      </c>
      <c r="EH56" s="128">
        <v>0</v>
      </c>
      <c r="EI56" s="128">
        <v>113</v>
      </c>
      <c r="EJ56" s="128">
        <v>113</v>
      </c>
      <c r="EK56" s="128">
        <v>3</v>
      </c>
      <c r="EL56" s="128">
        <v>2.8</v>
      </c>
      <c r="EM56" s="128">
        <v>2.8</v>
      </c>
      <c r="EN56" s="128">
        <v>2147284</v>
      </c>
      <c r="EO56" s="128">
        <v>1000000</v>
      </c>
      <c r="EP56" s="128">
        <v>52</v>
      </c>
      <c r="EQ56" s="128">
        <v>51.5</v>
      </c>
      <c r="ER56" s="128">
        <v>51.77</v>
      </c>
      <c r="ES56" s="128">
        <v>31305068</v>
      </c>
      <c r="ET56" s="128">
        <v>25500000</v>
      </c>
      <c r="EU56" s="128">
        <v>7</v>
      </c>
      <c r="EV56" s="128">
        <v>6</v>
      </c>
      <c r="EW56" s="128">
        <v>5.3</v>
      </c>
      <c r="EX56" s="128">
        <v>3809625</v>
      </c>
      <c r="EY56" s="128">
        <v>0</v>
      </c>
      <c r="FO56" s="128">
        <v>15</v>
      </c>
      <c r="FP56" s="128">
        <v>11.625</v>
      </c>
      <c r="FQ56" s="128">
        <v>11.82</v>
      </c>
      <c r="FR56" s="128">
        <v>6456303</v>
      </c>
      <c r="FS56" s="128">
        <v>1000000</v>
      </c>
      <c r="IN56" s="128">
        <v>1</v>
      </c>
      <c r="IO56" s="128">
        <v>300</v>
      </c>
      <c r="IP56" s="128">
        <v>0.14299999999999999</v>
      </c>
      <c r="IQ56" s="128">
        <v>54000</v>
      </c>
      <c r="IR56" s="128">
        <v>0</v>
      </c>
      <c r="IS56" s="128">
        <v>1</v>
      </c>
      <c r="IT56" s="128">
        <v>260</v>
      </c>
      <c r="IU56" s="128">
        <v>0.124</v>
      </c>
      <c r="IV56" s="128">
        <v>26000</v>
      </c>
      <c r="IW56" s="128">
        <v>0</v>
      </c>
      <c r="JM56" s="128">
        <v>1</v>
      </c>
      <c r="JN56" s="128">
        <v>0.77500000000000002</v>
      </c>
      <c r="JO56" s="128">
        <v>0.77500000000000002</v>
      </c>
      <c r="JP56" s="128">
        <v>226770</v>
      </c>
      <c r="JQ56" s="128">
        <v>0</v>
      </c>
      <c r="KG56" s="128">
        <v>0</v>
      </c>
      <c r="KI56" s="128">
        <v>60.3</v>
      </c>
      <c r="KJ56" s="128">
        <v>0</v>
      </c>
      <c r="KK56" s="128">
        <v>0.14299999999999999</v>
      </c>
      <c r="KL56" s="128">
        <v>0.77500000000000002</v>
      </c>
      <c r="KM56" s="128">
        <v>61.218000000000004</v>
      </c>
      <c r="KN56" s="128">
        <v>43718280</v>
      </c>
      <c r="KO56" s="128">
        <v>27500000</v>
      </c>
      <c r="KP56" s="128">
        <v>27500000</v>
      </c>
      <c r="KT56" s="128">
        <v>0</v>
      </c>
      <c r="KU56" s="128">
        <v>0</v>
      </c>
      <c r="KV56" s="128">
        <v>0</v>
      </c>
      <c r="KZ56" s="128">
        <v>80000</v>
      </c>
      <c r="LA56" s="128">
        <v>0</v>
      </c>
      <c r="LB56" s="128">
        <v>0</v>
      </c>
      <c r="LF56" s="128">
        <v>1303968</v>
      </c>
      <c r="LG56" s="128">
        <v>0</v>
      </c>
      <c r="LH56" s="128">
        <v>0</v>
      </c>
      <c r="LL56" s="128">
        <v>0</v>
      </c>
      <c r="LM56" s="128">
        <v>0</v>
      </c>
      <c r="LN56" s="128">
        <v>0</v>
      </c>
      <c r="LR56" s="128">
        <v>500000</v>
      </c>
      <c r="LS56" s="128">
        <v>0</v>
      </c>
      <c r="LT56" s="128">
        <v>0</v>
      </c>
      <c r="LX56" s="128">
        <v>3312000</v>
      </c>
      <c r="LY56" s="128">
        <v>0</v>
      </c>
      <c r="LZ56" s="128">
        <v>0</v>
      </c>
      <c r="MD56" s="128">
        <v>172000</v>
      </c>
      <c r="ME56" s="128">
        <v>0</v>
      </c>
      <c r="MF56" s="128">
        <v>0</v>
      </c>
      <c r="MJ56" s="128">
        <v>206000</v>
      </c>
      <c r="MK56" s="128">
        <v>0</v>
      </c>
      <c r="ML56" s="128">
        <v>0</v>
      </c>
      <c r="MP56" s="128">
        <v>1382000</v>
      </c>
      <c r="MQ56" s="128">
        <v>0</v>
      </c>
      <c r="MR56" s="128">
        <v>0</v>
      </c>
      <c r="MV56" s="128">
        <v>2770000</v>
      </c>
      <c r="MW56" s="128">
        <v>0</v>
      </c>
      <c r="MX56" s="128">
        <v>0</v>
      </c>
      <c r="NB56" s="128">
        <v>93760</v>
      </c>
      <c r="NC56" s="128">
        <v>0</v>
      </c>
      <c r="ND56" s="128">
        <v>0</v>
      </c>
      <c r="NH56" s="128">
        <v>13088</v>
      </c>
      <c r="NI56" s="128">
        <v>0</v>
      </c>
      <c r="NJ56" s="128">
        <v>0</v>
      </c>
      <c r="NN56" s="128">
        <v>90000</v>
      </c>
      <c r="NO56" s="128">
        <v>0</v>
      </c>
      <c r="NP56" s="128">
        <v>0</v>
      </c>
      <c r="NT56" s="128">
        <v>190000</v>
      </c>
      <c r="NU56" s="128">
        <v>0</v>
      </c>
      <c r="NV56" s="128">
        <v>0</v>
      </c>
      <c r="NZ56" s="128">
        <v>809000</v>
      </c>
      <c r="OA56" s="128">
        <v>0</v>
      </c>
      <c r="OB56" s="128">
        <v>0</v>
      </c>
      <c r="OF56" s="128">
        <v>40000</v>
      </c>
      <c r="OG56" s="128">
        <v>0</v>
      </c>
      <c r="OH56" s="128">
        <v>0</v>
      </c>
      <c r="OL56" s="128">
        <v>226770</v>
      </c>
      <c r="OM56" s="128">
        <v>0</v>
      </c>
      <c r="ON56" s="128">
        <v>0</v>
      </c>
      <c r="OR56" s="128">
        <v>0</v>
      </c>
      <c r="OS56" s="128">
        <v>0</v>
      </c>
      <c r="OT56" s="128">
        <v>0</v>
      </c>
      <c r="OX56" s="128">
        <v>3784300</v>
      </c>
      <c r="OY56" s="128">
        <v>0</v>
      </c>
      <c r="OZ56" s="128">
        <v>0</v>
      </c>
      <c r="PD56" s="128">
        <v>2272956</v>
      </c>
      <c r="PE56" s="128">
        <v>0</v>
      </c>
      <c r="PF56" s="128">
        <v>0</v>
      </c>
      <c r="PJ56" s="128">
        <v>6000</v>
      </c>
      <c r="PK56" s="128">
        <v>0</v>
      </c>
      <c r="PL56" s="128">
        <v>0</v>
      </c>
      <c r="PP56" s="128">
        <v>60970122</v>
      </c>
      <c r="PQ56" s="128">
        <v>27500000</v>
      </c>
      <c r="PR56" s="128">
        <v>27500000</v>
      </c>
      <c r="PS56" s="128">
        <v>100</v>
      </c>
      <c r="PT56" s="128">
        <v>100</v>
      </c>
      <c r="PV56" s="128">
        <v>37693953</v>
      </c>
      <c r="PX56" s="128">
        <v>20570506</v>
      </c>
      <c r="PY56" s="128">
        <v>22423092</v>
      </c>
      <c r="PZ56" s="128">
        <v>27500000</v>
      </c>
      <c r="QA56" s="128">
        <v>0</v>
      </c>
      <c r="QB56" s="128">
        <v>0</v>
      </c>
      <c r="QC56" s="128">
        <v>0</v>
      </c>
      <c r="QD56" s="128">
        <v>0</v>
      </c>
      <c r="QE56" s="128">
        <v>0</v>
      </c>
      <c r="QF56" s="128">
        <v>0</v>
      </c>
      <c r="QG56" s="128">
        <v>9391963</v>
      </c>
      <c r="QH56" s="128">
        <v>10226290</v>
      </c>
      <c r="QI56" s="128">
        <v>11037122</v>
      </c>
      <c r="QJ56" s="128">
        <v>19539572</v>
      </c>
      <c r="QK56" s="128">
        <v>20420000</v>
      </c>
      <c r="QL56" s="128">
        <v>21308000</v>
      </c>
      <c r="QN56" s="128">
        <v>657779</v>
      </c>
      <c r="QO56" s="128">
        <v>700000</v>
      </c>
      <c r="QP56" s="128">
        <v>700000</v>
      </c>
      <c r="RD56" s="128">
        <v>337899</v>
      </c>
      <c r="RE56" s="128">
        <v>933000</v>
      </c>
      <c r="RF56" s="128">
        <v>425000</v>
      </c>
      <c r="RH56" s="128">
        <f t="shared" si="104"/>
        <v>38962122</v>
      </c>
      <c r="RI56" s="128">
        <v>0</v>
      </c>
      <c r="RM56" s="128" t="s">
        <v>220</v>
      </c>
      <c r="RU56" s="130"/>
      <c r="RV56" s="130"/>
      <c r="RW56" s="130"/>
      <c r="RX56" s="130"/>
      <c r="SF56" s="128">
        <f t="shared" si="8"/>
        <v>3473171</v>
      </c>
      <c r="SG56" s="131">
        <f t="shared" si="9"/>
        <v>60970122</v>
      </c>
      <c r="SH56" s="131">
        <f t="shared" si="10"/>
        <v>60970122</v>
      </c>
      <c r="SI56" s="131">
        <f t="shared" si="11"/>
        <v>45102248</v>
      </c>
      <c r="SJ56" s="132">
        <f t="shared" si="12"/>
        <v>43718280</v>
      </c>
      <c r="SK56" s="132">
        <f t="shared" si="13"/>
        <v>0</v>
      </c>
      <c r="SL56" s="132">
        <f t="shared" si="14"/>
        <v>80000</v>
      </c>
      <c r="SM56" s="132">
        <f t="shared" si="15"/>
        <v>1303968</v>
      </c>
      <c r="SN56" s="131">
        <f t="shared" si="16"/>
        <v>15867874</v>
      </c>
      <c r="SO56" s="131">
        <f t="shared" si="17"/>
        <v>500000</v>
      </c>
      <c r="SP56" s="132">
        <f t="shared" si="18"/>
        <v>0</v>
      </c>
      <c r="SQ56" s="132">
        <f t="shared" si="19"/>
        <v>500000</v>
      </c>
      <c r="SR56" s="132">
        <f t="shared" si="20"/>
        <v>3312000</v>
      </c>
      <c r="SS56" s="132">
        <f t="shared" si="21"/>
        <v>172000</v>
      </c>
      <c r="ST56" s="132">
        <f t="shared" si="22"/>
        <v>206000</v>
      </c>
      <c r="SU56" s="132">
        <f t="shared" si="23"/>
        <v>1382000</v>
      </c>
      <c r="SV56" s="131">
        <f t="shared" si="24"/>
        <v>8016918</v>
      </c>
      <c r="SW56" s="132">
        <f t="shared" si="25"/>
        <v>2770000</v>
      </c>
      <c r="SX56" s="132">
        <f t="shared" si="26"/>
        <v>93760</v>
      </c>
      <c r="SY56" s="132">
        <f t="shared" si="27"/>
        <v>13088</v>
      </c>
      <c r="SZ56" s="132">
        <f t="shared" si="28"/>
        <v>90000</v>
      </c>
      <c r="TA56" s="132">
        <f t="shared" si="29"/>
        <v>190000</v>
      </c>
      <c r="TB56" s="132">
        <f t="shared" si="30"/>
        <v>809000</v>
      </c>
      <c r="TC56" s="132">
        <f t="shared" si="31"/>
        <v>40000</v>
      </c>
      <c r="TD56" s="132">
        <f t="shared" si="32"/>
        <v>226770</v>
      </c>
      <c r="TE56" s="132">
        <f t="shared" si="33"/>
        <v>0</v>
      </c>
      <c r="TF56" s="132">
        <f t="shared" si="34"/>
        <v>3784300</v>
      </c>
      <c r="TG56" s="132">
        <f t="shared" si="35"/>
        <v>2272956</v>
      </c>
      <c r="TH56" s="132">
        <f t="shared" si="36"/>
        <v>6000</v>
      </c>
      <c r="TI56" s="1"/>
      <c r="TJ56" s="131">
        <f t="shared" si="37"/>
        <v>27500000</v>
      </c>
      <c r="TK56" s="131">
        <f t="shared" si="38"/>
        <v>27500000</v>
      </c>
      <c r="TL56" s="131">
        <f t="shared" si="39"/>
        <v>27500000</v>
      </c>
      <c r="TM56" s="132">
        <f t="shared" si="40"/>
        <v>27500000</v>
      </c>
      <c r="TN56" s="132">
        <f t="shared" si="41"/>
        <v>0</v>
      </c>
      <c r="TO56" s="132">
        <f t="shared" si="42"/>
        <v>0</v>
      </c>
      <c r="TP56" s="132">
        <f t="shared" si="43"/>
        <v>0</v>
      </c>
      <c r="TQ56" s="131">
        <f t="shared" si="44"/>
        <v>0</v>
      </c>
      <c r="TR56" s="131">
        <f t="shared" si="45"/>
        <v>0</v>
      </c>
      <c r="TS56" s="132">
        <f t="shared" si="46"/>
        <v>0</v>
      </c>
      <c r="TT56" s="132">
        <f t="shared" si="47"/>
        <v>0</v>
      </c>
      <c r="TU56" s="132">
        <f t="shared" si="48"/>
        <v>0</v>
      </c>
      <c r="TV56" s="132">
        <f t="shared" si="49"/>
        <v>0</v>
      </c>
      <c r="TW56" s="132">
        <f t="shared" si="50"/>
        <v>0</v>
      </c>
      <c r="TX56" s="132">
        <f t="shared" si="51"/>
        <v>0</v>
      </c>
      <c r="TY56" s="131">
        <f t="shared" si="52"/>
        <v>0</v>
      </c>
      <c r="TZ56" s="132">
        <f t="shared" si="53"/>
        <v>0</v>
      </c>
      <c r="UA56" s="132">
        <f t="shared" si="54"/>
        <v>0</v>
      </c>
      <c r="UB56" s="132">
        <f t="shared" si="55"/>
        <v>0</v>
      </c>
      <c r="UC56" s="132">
        <f t="shared" si="56"/>
        <v>0</v>
      </c>
      <c r="UD56" s="132">
        <f t="shared" si="57"/>
        <v>0</v>
      </c>
      <c r="UE56" s="132">
        <f t="shared" si="58"/>
        <v>0</v>
      </c>
      <c r="UF56" s="132">
        <f t="shared" si="59"/>
        <v>0</v>
      </c>
      <c r="UG56" s="132">
        <f t="shared" si="60"/>
        <v>0</v>
      </c>
      <c r="UH56" s="132">
        <f t="shared" si="61"/>
        <v>0</v>
      </c>
      <c r="UI56" s="132">
        <f t="shared" si="62"/>
        <v>0</v>
      </c>
      <c r="UJ56" s="132">
        <f t="shared" si="63"/>
        <v>0</v>
      </c>
      <c r="UK56" s="132">
        <f t="shared" si="64"/>
        <v>0</v>
      </c>
      <c r="UL56" s="132">
        <f t="shared" si="105"/>
        <v>27500000</v>
      </c>
      <c r="UM56" s="131">
        <f t="shared" si="65"/>
        <v>27500000</v>
      </c>
      <c r="UN56" s="131">
        <f t="shared" si="66"/>
        <v>27500000</v>
      </c>
      <c r="UO56" s="131">
        <f t="shared" si="67"/>
        <v>27500000</v>
      </c>
      <c r="UP56" s="132">
        <f t="shared" si="68"/>
        <v>27500000</v>
      </c>
      <c r="UQ56" s="132">
        <f t="shared" si="69"/>
        <v>0</v>
      </c>
      <c r="UR56" s="132">
        <f t="shared" si="70"/>
        <v>0</v>
      </c>
      <c r="US56" s="132">
        <f t="shared" si="71"/>
        <v>0</v>
      </c>
      <c r="UT56" s="131">
        <f t="shared" si="72"/>
        <v>0</v>
      </c>
      <c r="UU56" s="131">
        <f t="shared" si="73"/>
        <v>0</v>
      </c>
      <c r="UV56" s="132">
        <f t="shared" si="74"/>
        <v>0</v>
      </c>
      <c r="UW56" s="132">
        <f t="shared" si="75"/>
        <v>0</v>
      </c>
      <c r="UX56" s="132">
        <f t="shared" si="76"/>
        <v>0</v>
      </c>
      <c r="UY56" s="132">
        <f t="shared" si="77"/>
        <v>0</v>
      </c>
      <c r="UZ56" s="132">
        <f t="shared" si="78"/>
        <v>0</v>
      </c>
      <c r="VA56" s="132">
        <f t="shared" si="79"/>
        <v>0</v>
      </c>
      <c r="VB56" s="131">
        <f t="shared" si="80"/>
        <v>0</v>
      </c>
      <c r="VC56" s="132">
        <f t="shared" si="81"/>
        <v>0</v>
      </c>
      <c r="VD56" s="132">
        <f t="shared" si="82"/>
        <v>0</v>
      </c>
      <c r="VE56" s="132">
        <f t="shared" si="83"/>
        <v>0</v>
      </c>
      <c r="VF56" s="132">
        <f t="shared" si="84"/>
        <v>0</v>
      </c>
      <c r="VG56" s="132">
        <f t="shared" si="85"/>
        <v>0</v>
      </c>
      <c r="VH56" s="132">
        <f t="shared" si="86"/>
        <v>0</v>
      </c>
      <c r="VI56" s="132">
        <f t="shared" si="87"/>
        <v>0</v>
      </c>
      <c r="VJ56" s="132">
        <f t="shared" si="88"/>
        <v>0</v>
      </c>
      <c r="VK56" s="132">
        <f t="shared" si="89"/>
        <v>0</v>
      </c>
      <c r="VL56" s="132">
        <f t="shared" si="90"/>
        <v>0</v>
      </c>
      <c r="VM56" s="132">
        <f t="shared" si="91"/>
        <v>0</v>
      </c>
      <c r="VN56" s="132">
        <f t="shared" si="92"/>
        <v>0</v>
      </c>
      <c r="VP56" s="845" t="str">
        <f>IFERROR(HLOOKUP(F56,'Hodnocení '!$C$1:$JH$5,2,FALSE),0)</f>
        <v>Domov Dědina</v>
      </c>
      <c r="VQ56" s="838"/>
      <c r="VR56" s="845" t="str">
        <f t="shared" si="106"/>
        <v>Příspěvková organizace zřízená územním samosprávným celkem</v>
      </c>
      <c r="VS56" s="845" t="str">
        <f>IFERROR(HLOOKUP(F56,'Hodnocení '!$C$1:$JH$5,5,FALSE),0)</f>
        <v>PO KHK</v>
      </c>
      <c r="VT56" s="838">
        <f t="shared" si="107"/>
        <v>0</v>
      </c>
      <c r="VU56" s="838" t="str">
        <f t="shared" si="108"/>
        <v>PO KHK</v>
      </c>
      <c r="VV56" s="838">
        <f t="shared" si="109"/>
        <v>21308000</v>
      </c>
      <c r="VW56" s="838">
        <f t="shared" si="110"/>
        <v>700000</v>
      </c>
      <c r="VX56" s="838"/>
      <c r="VY56" s="838">
        <f t="shared" si="114"/>
        <v>0</v>
      </c>
      <c r="VZ56" s="838">
        <f t="shared" si="115"/>
        <v>27500000</v>
      </c>
      <c r="WA56" s="846">
        <f>IFERROR(HLOOKUP($F56,'Hodnocení '!$C$1:$JH$9,9,FALSE),0)</f>
        <v>27500000</v>
      </c>
      <c r="WB56" s="846">
        <f>IF(IFERROR(HLOOKUP($F56,'Hodnocení '!$C$1:$JH$13,13,FALSE),0)&gt;WA56,WA56,IFERROR(HLOOKUP($F56,'Hodnocení '!$C$1:$JH$13,13,FALSE),0))</f>
        <v>27500000</v>
      </c>
      <c r="WC56" s="846">
        <f>IFERROR(HLOOKUP($F56,'Hodnocení '!$C$1:$JH$155,155,FALSE),0)</f>
        <v>24026010</v>
      </c>
      <c r="WD56" s="845"/>
      <c r="WE56" s="845"/>
      <c r="WF56" s="845" t="str">
        <f t="shared" si="97"/>
        <v>ANO</v>
      </c>
      <c r="WG56" s="849" t="str">
        <f t="shared" si="117"/>
        <v>Podpora služby je vyjádřena zařazením do sítě sociálních služeb v KHK a řešením financování služby</v>
      </c>
      <c r="WH56"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56" s="849" t="str">
        <f t="shared" si="117"/>
        <v>Návrh dotace je výsledkem projednání s ostatními zadavateli v rámci sítě služeb KHK</v>
      </c>
      <c r="WJ56" s="849" t="str">
        <f t="shared" si="117"/>
        <v>Bez komentáře</v>
      </c>
      <c r="WK56" s="31">
        <f t="shared" si="99"/>
        <v>0</v>
      </c>
      <c r="WL56" s="850" t="str">
        <f t="shared" si="100"/>
        <v>Případná úprava příspěvku zřizovatele bude řešena v návaznosti na vývoj služby</v>
      </c>
      <c r="WM56" s="849" t="str">
        <f t="shared" si="101"/>
        <v>V rámci sítě KHK se dlouhodobě řeší otázka navyšování úhrad a průběžně se monitoruje s vazbou na vykrytí vyrovnávací platby</v>
      </c>
      <c r="WN56" s="849" t="str">
        <f t="shared" si="102"/>
        <v>Otázka výběru od zdravotních pojišťoven je předmětem procesu, který probíhá ve formě jednání se ZP a organizacemi</v>
      </c>
      <c r="WO56" s="849" t="str">
        <f t="shared" si="116"/>
        <v>bez komentáře</v>
      </c>
      <c r="WP56" s="849" t="str">
        <f t="shared" si="116"/>
        <v>bez komentáře</v>
      </c>
      <c r="WQ56" s="849" t="str">
        <f t="shared" si="116"/>
        <v>Konečná výše dotace z rozpočtu KHK bude řešena v návaznosti na řešení podílů jednotlivých zadavatelů.</v>
      </c>
      <c r="WR56" s="849" t="str">
        <f t="shared" si="116"/>
        <v>Konečná výše podpory ze stran obcí bude řešena v součinnosti s jednotlivými zadavateli v průběhu roku.</v>
      </c>
      <c r="WS56" s="849" t="str">
        <f t="shared" si="116"/>
        <v>bez komentáře</v>
      </c>
      <c r="WT56" s="849" t="str">
        <f t="shared" si="116"/>
        <v>bez komentáře</v>
      </c>
      <c r="WU56" s="845"/>
    </row>
    <row r="57" spans="1:619" s="128" customFormat="1" x14ac:dyDescent="0.25">
      <c r="A57" s="128" t="str">
        <f>VLOOKUP(F57,'Výpočet VP 2020'!$D$324:$I$588,6,FALSE)</f>
        <v>Je v síti</v>
      </c>
      <c r="B57" s="128" t="s">
        <v>425</v>
      </c>
      <c r="C57" s="128">
        <v>42886163</v>
      </c>
      <c r="D57" s="128" t="s">
        <v>426</v>
      </c>
      <c r="E57" s="128" t="s">
        <v>259</v>
      </c>
      <c r="F57" s="128">
        <v>6514817</v>
      </c>
      <c r="G57" s="128" t="s">
        <v>267</v>
      </c>
      <c r="H57" s="128" t="s">
        <v>218</v>
      </c>
      <c r="I57" s="128" t="s">
        <v>431</v>
      </c>
      <c r="J57" s="129">
        <v>41671</v>
      </c>
      <c r="L57" s="128" t="s">
        <v>220</v>
      </c>
      <c r="M57" s="128" t="s">
        <v>432</v>
      </c>
      <c r="N57" s="128">
        <v>23</v>
      </c>
      <c r="P57" s="128">
        <v>16</v>
      </c>
      <c r="Q57" s="128">
        <v>17</v>
      </c>
      <c r="R57" s="128">
        <v>23</v>
      </c>
      <c r="W57" s="128" t="s">
        <v>433</v>
      </c>
      <c r="BL57" s="128" t="s">
        <v>434</v>
      </c>
      <c r="BM57" s="128" t="s">
        <v>304</v>
      </c>
      <c r="BN57" s="128" t="s">
        <v>256</v>
      </c>
      <c r="DA57" s="128">
        <v>0</v>
      </c>
      <c r="DB57" s="128">
        <v>0</v>
      </c>
      <c r="DC57" s="128">
        <v>0</v>
      </c>
      <c r="DD57" s="128">
        <v>0</v>
      </c>
      <c r="DE57" s="128">
        <v>0</v>
      </c>
      <c r="DF57" s="128">
        <v>0</v>
      </c>
      <c r="DG57" s="128">
        <v>0</v>
      </c>
      <c r="DH57" s="128">
        <v>0</v>
      </c>
      <c r="DI57" s="128">
        <v>0</v>
      </c>
      <c r="DJ57" s="128">
        <v>17</v>
      </c>
      <c r="DK57" s="128">
        <v>0</v>
      </c>
      <c r="DL57" s="128">
        <v>0</v>
      </c>
      <c r="DM57" s="128">
        <v>0</v>
      </c>
      <c r="DN57" s="128">
        <v>0</v>
      </c>
      <c r="DO57" s="128">
        <v>17</v>
      </c>
      <c r="DP57" s="128">
        <v>0</v>
      </c>
      <c r="DQ57" s="128">
        <v>17</v>
      </c>
      <c r="DR57" s="128">
        <v>17</v>
      </c>
      <c r="DS57" s="128">
        <v>0</v>
      </c>
      <c r="DT57" s="128">
        <v>0</v>
      </c>
      <c r="DU57" s="128">
        <v>0</v>
      </c>
      <c r="DV57" s="128">
        <v>0</v>
      </c>
      <c r="DW57" s="128">
        <v>0</v>
      </c>
      <c r="DX57" s="128">
        <v>0</v>
      </c>
      <c r="DY57" s="128">
        <v>0</v>
      </c>
      <c r="DZ57" s="128">
        <v>0</v>
      </c>
      <c r="EA57" s="128">
        <v>0</v>
      </c>
      <c r="EB57" s="128">
        <v>23</v>
      </c>
      <c r="EC57" s="128">
        <v>0</v>
      </c>
      <c r="ED57" s="128">
        <v>0</v>
      </c>
      <c r="EE57" s="128">
        <v>0</v>
      </c>
      <c r="EF57" s="128">
        <v>0</v>
      </c>
      <c r="EG57" s="128">
        <v>23</v>
      </c>
      <c r="EH57" s="128">
        <v>0</v>
      </c>
      <c r="EI57" s="128">
        <v>23</v>
      </c>
      <c r="EJ57" s="128">
        <v>23</v>
      </c>
      <c r="EK57" s="128">
        <v>2</v>
      </c>
      <c r="EL57" s="128">
        <v>0.9</v>
      </c>
      <c r="EM57" s="128">
        <v>0.9</v>
      </c>
      <c r="EN57" s="128">
        <v>698102</v>
      </c>
      <c r="EO57" s="128">
        <v>450000</v>
      </c>
      <c r="EP57" s="128">
        <v>12</v>
      </c>
      <c r="EQ57" s="128">
        <v>10.63</v>
      </c>
      <c r="ER57" s="128">
        <v>8.625</v>
      </c>
      <c r="ES57" s="128">
        <v>6130610</v>
      </c>
      <c r="ET57" s="128">
        <v>4150000</v>
      </c>
      <c r="FO57" s="128">
        <v>5</v>
      </c>
      <c r="FP57" s="128">
        <v>0.5</v>
      </c>
      <c r="FQ57" s="128">
        <v>0.5</v>
      </c>
      <c r="FR57" s="128">
        <v>401892</v>
      </c>
      <c r="FS57" s="128">
        <v>0</v>
      </c>
      <c r="IN57" s="128">
        <v>1</v>
      </c>
      <c r="IO57" s="128">
        <v>250</v>
      </c>
      <c r="IP57" s="128">
        <v>0.11899999999999999</v>
      </c>
      <c r="IQ57" s="128">
        <v>35000</v>
      </c>
      <c r="IR57" s="128">
        <v>0</v>
      </c>
      <c r="KG57" s="128">
        <v>0</v>
      </c>
      <c r="KI57" s="128">
        <v>11.53</v>
      </c>
      <c r="KJ57" s="128">
        <v>0</v>
      </c>
      <c r="KK57" s="128">
        <v>0.11899999999999999</v>
      </c>
      <c r="KL57" s="128">
        <v>0</v>
      </c>
      <c r="KM57" s="128">
        <v>11.648999999999999</v>
      </c>
      <c r="KN57" s="128">
        <v>7230604</v>
      </c>
      <c r="KO57" s="128">
        <v>4600000</v>
      </c>
      <c r="KP57" s="128">
        <v>4600000</v>
      </c>
      <c r="KT57" s="128">
        <v>0</v>
      </c>
      <c r="KU57" s="128">
        <v>0</v>
      </c>
      <c r="KV57" s="128">
        <v>0</v>
      </c>
      <c r="KZ57" s="128">
        <v>35000</v>
      </c>
      <c r="LA57" s="128">
        <v>0</v>
      </c>
      <c r="LB57" s="128">
        <v>0</v>
      </c>
      <c r="LF57" s="128">
        <v>150835</v>
      </c>
      <c r="LG57" s="128">
        <v>0</v>
      </c>
      <c r="LH57" s="128">
        <v>0</v>
      </c>
      <c r="LL57" s="128">
        <v>0</v>
      </c>
      <c r="LM57" s="128">
        <v>0</v>
      </c>
      <c r="LN57" s="128">
        <v>0</v>
      </c>
      <c r="LR57" s="128">
        <v>1020000</v>
      </c>
      <c r="LS57" s="128">
        <v>0</v>
      </c>
      <c r="LT57" s="128">
        <v>0</v>
      </c>
      <c r="LX57" s="128">
        <v>714000</v>
      </c>
      <c r="LY57" s="128">
        <v>0</v>
      </c>
      <c r="LZ57" s="128">
        <v>0</v>
      </c>
      <c r="MD57" s="128">
        <v>35000</v>
      </c>
      <c r="ME57" s="128">
        <v>0</v>
      </c>
      <c r="MF57" s="128">
        <v>0</v>
      </c>
      <c r="MJ57" s="128">
        <v>30200</v>
      </c>
      <c r="MK57" s="128">
        <v>0</v>
      </c>
      <c r="ML57" s="128">
        <v>0</v>
      </c>
      <c r="MP57" s="128">
        <v>131000</v>
      </c>
      <c r="MQ57" s="128">
        <v>0</v>
      </c>
      <c r="MR57" s="128">
        <v>0</v>
      </c>
      <c r="MV57" s="128">
        <v>640000</v>
      </c>
      <c r="MW57" s="128">
        <v>0</v>
      </c>
      <c r="MX57" s="128">
        <v>0</v>
      </c>
      <c r="NB57" s="128">
        <v>53620</v>
      </c>
      <c r="NC57" s="128">
        <v>0</v>
      </c>
      <c r="ND57" s="128">
        <v>0</v>
      </c>
      <c r="NH57" s="128">
        <v>401742</v>
      </c>
      <c r="NI57" s="128">
        <v>0</v>
      </c>
      <c r="NJ57" s="128">
        <v>0</v>
      </c>
      <c r="NN57" s="128">
        <v>10500</v>
      </c>
      <c r="NO57" s="128">
        <v>0</v>
      </c>
      <c r="NP57" s="128">
        <v>0</v>
      </c>
      <c r="NT57" s="128">
        <v>30000</v>
      </c>
      <c r="NU57" s="128">
        <v>0</v>
      </c>
      <c r="NV57" s="128">
        <v>0</v>
      </c>
      <c r="NZ57" s="128">
        <v>408000</v>
      </c>
      <c r="OA57" s="128">
        <v>0</v>
      </c>
      <c r="OB57" s="128">
        <v>0</v>
      </c>
      <c r="OF57" s="128">
        <v>35000</v>
      </c>
      <c r="OG57" s="128">
        <v>0</v>
      </c>
      <c r="OH57" s="128">
        <v>0</v>
      </c>
      <c r="OL57" s="128">
        <v>0</v>
      </c>
      <c r="OM57" s="128">
        <v>0</v>
      </c>
      <c r="ON57" s="128">
        <v>0</v>
      </c>
      <c r="OR57" s="128">
        <v>0</v>
      </c>
      <c r="OS57" s="128">
        <v>0</v>
      </c>
      <c r="OT57" s="128">
        <v>0</v>
      </c>
      <c r="OX57" s="128">
        <v>132300</v>
      </c>
      <c r="OY57" s="128">
        <v>0</v>
      </c>
      <c r="OZ57" s="128">
        <v>0</v>
      </c>
      <c r="PD57" s="128">
        <v>59568</v>
      </c>
      <c r="PE57" s="128">
        <v>0</v>
      </c>
      <c r="PF57" s="128">
        <v>0</v>
      </c>
      <c r="PJ57" s="128">
        <v>0</v>
      </c>
      <c r="PK57" s="128">
        <v>0</v>
      </c>
      <c r="PL57" s="128">
        <v>0</v>
      </c>
      <c r="PP57" s="128">
        <v>11117369</v>
      </c>
      <c r="PQ57" s="128">
        <v>4600000</v>
      </c>
      <c r="PR57" s="128">
        <v>4600000</v>
      </c>
      <c r="PS57" s="128">
        <v>100</v>
      </c>
      <c r="PT57" s="128">
        <v>100</v>
      </c>
      <c r="PX57" s="128">
        <v>2862822</v>
      </c>
      <c r="PY57" s="128">
        <v>3748370</v>
      </c>
      <c r="PZ57" s="128">
        <v>4600000</v>
      </c>
      <c r="QA57" s="128">
        <v>0</v>
      </c>
      <c r="QB57" s="128">
        <v>0</v>
      </c>
      <c r="QC57" s="128">
        <v>0</v>
      </c>
      <c r="QD57" s="128">
        <v>0</v>
      </c>
      <c r="QE57" s="128">
        <v>0</v>
      </c>
      <c r="QF57" s="128">
        <v>0</v>
      </c>
      <c r="QG57" s="128">
        <v>2281023</v>
      </c>
      <c r="QH57" s="128">
        <v>2589829</v>
      </c>
      <c r="QI57" s="128">
        <v>4191881</v>
      </c>
      <c r="QJ57" s="128">
        <v>1796971</v>
      </c>
      <c r="QK57" s="128">
        <v>1710000</v>
      </c>
      <c r="QL57" s="128">
        <v>2186000</v>
      </c>
      <c r="QN57" s="128">
        <v>0</v>
      </c>
      <c r="QO57" s="128">
        <v>0</v>
      </c>
      <c r="QP57" s="128">
        <v>0</v>
      </c>
      <c r="RD57" s="128">
        <v>88602</v>
      </c>
      <c r="RE57" s="128">
        <v>94488</v>
      </c>
      <c r="RF57" s="128">
        <v>139488</v>
      </c>
      <c r="RH57" s="128">
        <f t="shared" si="104"/>
        <v>8931369</v>
      </c>
      <c r="RI57" s="128">
        <v>0</v>
      </c>
      <c r="RM57" s="128" t="s">
        <v>220</v>
      </c>
      <c r="RU57" s="130"/>
      <c r="RV57" s="130"/>
      <c r="RW57" s="130"/>
      <c r="RX57" s="130"/>
      <c r="SF57" s="128">
        <f t="shared" si="8"/>
        <v>6514817</v>
      </c>
      <c r="SG57" s="131">
        <f t="shared" si="9"/>
        <v>11117369</v>
      </c>
      <c r="SH57" s="131">
        <f t="shared" si="10"/>
        <v>11117369</v>
      </c>
      <c r="SI57" s="131">
        <f t="shared" si="11"/>
        <v>7416439</v>
      </c>
      <c r="SJ57" s="132">
        <f t="shared" si="12"/>
        <v>7230604</v>
      </c>
      <c r="SK57" s="132">
        <f t="shared" si="13"/>
        <v>0</v>
      </c>
      <c r="SL57" s="132">
        <f t="shared" si="14"/>
        <v>35000</v>
      </c>
      <c r="SM57" s="132">
        <f t="shared" si="15"/>
        <v>150835</v>
      </c>
      <c r="SN57" s="131">
        <f t="shared" si="16"/>
        <v>3700930</v>
      </c>
      <c r="SO57" s="131">
        <f t="shared" si="17"/>
        <v>1020000</v>
      </c>
      <c r="SP57" s="132">
        <f t="shared" si="18"/>
        <v>0</v>
      </c>
      <c r="SQ57" s="132">
        <f t="shared" si="19"/>
        <v>1020000</v>
      </c>
      <c r="SR57" s="132">
        <f t="shared" si="20"/>
        <v>714000</v>
      </c>
      <c r="SS57" s="132">
        <f t="shared" si="21"/>
        <v>35000</v>
      </c>
      <c r="ST57" s="132">
        <f t="shared" si="22"/>
        <v>30200</v>
      </c>
      <c r="SU57" s="132">
        <f t="shared" si="23"/>
        <v>131000</v>
      </c>
      <c r="SV57" s="131">
        <f t="shared" si="24"/>
        <v>1711162</v>
      </c>
      <c r="SW57" s="132">
        <f t="shared" si="25"/>
        <v>640000</v>
      </c>
      <c r="SX57" s="132">
        <f t="shared" si="26"/>
        <v>53620</v>
      </c>
      <c r="SY57" s="132">
        <f t="shared" si="27"/>
        <v>401742</v>
      </c>
      <c r="SZ57" s="132">
        <f t="shared" si="28"/>
        <v>10500</v>
      </c>
      <c r="TA57" s="132">
        <f t="shared" si="29"/>
        <v>30000</v>
      </c>
      <c r="TB57" s="132">
        <f t="shared" si="30"/>
        <v>408000</v>
      </c>
      <c r="TC57" s="132">
        <f t="shared" si="31"/>
        <v>35000</v>
      </c>
      <c r="TD57" s="132">
        <f t="shared" si="32"/>
        <v>0</v>
      </c>
      <c r="TE57" s="132">
        <f t="shared" si="33"/>
        <v>0</v>
      </c>
      <c r="TF57" s="132">
        <f t="shared" si="34"/>
        <v>132300</v>
      </c>
      <c r="TG57" s="132">
        <f t="shared" si="35"/>
        <v>59568</v>
      </c>
      <c r="TH57" s="132">
        <f t="shared" si="36"/>
        <v>0</v>
      </c>
      <c r="TI57" s="1"/>
      <c r="TJ57" s="131">
        <f t="shared" si="37"/>
        <v>4600000</v>
      </c>
      <c r="TK57" s="131">
        <f t="shared" si="38"/>
        <v>4600000</v>
      </c>
      <c r="TL57" s="131">
        <f t="shared" si="39"/>
        <v>4600000</v>
      </c>
      <c r="TM57" s="132">
        <f t="shared" si="40"/>
        <v>4600000</v>
      </c>
      <c r="TN57" s="132">
        <f t="shared" si="41"/>
        <v>0</v>
      </c>
      <c r="TO57" s="132">
        <f t="shared" si="42"/>
        <v>0</v>
      </c>
      <c r="TP57" s="132">
        <f t="shared" si="43"/>
        <v>0</v>
      </c>
      <c r="TQ57" s="131">
        <f t="shared" si="44"/>
        <v>0</v>
      </c>
      <c r="TR57" s="131">
        <f t="shared" si="45"/>
        <v>0</v>
      </c>
      <c r="TS57" s="132">
        <f t="shared" si="46"/>
        <v>0</v>
      </c>
      <c r="TT57" s="132">
        <f t="shared" si="47"/>
        <v>0</v>
      </c>
      <c r="TU57" s="132">
        <f t="shared" si="48"/>
        <v>0</v>
      </c>
      <c r="TV57" s="132">
        <f t="shared" si="49"/>
        <v>0</v>
      </c>
      <c r="TW57" s="132">
        <f t="shared" si="50"/>
        <v>0</v>
      </c>
      <c r="TX57" s="132">
        <f t="shared" si="51"/>
        <v>0</v>
      </c>
      <c r="TY57" s="131">
        <f t="shared" si="52"/>
        <v>0</v>
      </c>
      <c r="TZ57" s="132">
        <f t="shared" si="53"/>
        <v>0</v>
      </c>
      <c r="UA57" s="132">
        <f t="shared" si="54"/>
        <v>0</v>
      </c>
      <c r="UB57" s="132">
        <f t="shared" si="55"/>
        <v>0</v>
      </c>
      <c r="UC57" s="132">
        <f t="shared" si="56"/>
        <v>0</v>
      </c>
      <c r="UD57" s="132">
        <f t="shared" si="57"/>
        <v>0</v>
      </c>
      <c r="UE57" s="132">
        <f t="shared" si="58"/>
        <v>0</v>
      </c>
      <c r="UF57" s="132">
        <f t="shared" si="59"/>
        <v>0</v>
      </c>
      <c r="UG57" s="132">
        <f t="shared" si="60"/>
        <v>0</v>
      </c>
      <c r="UH57" s="132">
        <f t="shared" si="61"/>
        <v>0</v>
      </c>
      <c r="UI57" s="132">
        <f t="shared" si="62"/>
        <v>0</v>
      </c>
      <c r="UJ57" s="132">
        <f t="shared" si="63"/>
        <v>0</v>
      </c>
      <c r="UK57" s="132">
        <f t="shared" si="64"/>
        <v>0</v>
      </c>
      <c r="UL57" s="132">
        <f t="shared" si="105"/>
        <v>4600000</v>
      </c>
      <c r="UM57" s="131">
        <f t="shared" si="65"/>
        <v>4600000</v>
      </c>
      <c r="UN57" s="131">
        <f t="shared" si="66"/>
        <v>4600000</v>
      </c>
      <c r="UO57" s="131">
        <f t="shared" si="67"/>
        <v>4600000</v>
      </c>
      <c r="UP57" s="132">
        <f t="shared" si="68"/>
        <v>4600000</v>
      </c>
      <c r="UQ57" s="132">
        <f t="shared" si="69"/>
        <v>0</v>
      </c>
      <c r="UR57" s="132">
        <f t="shared" si="70"/>
        <v>0</v>
      </c>
      <c r="US57" s="132">
        <f t="shared" si="71"/>
        <v>0</v>
      </c>
      <c r="UT57" s="131">
        <f t="shared" si="72"/>
        <v>0</v>
      </c>
      <c r="UU57" s="131">
        <f t="shared" si="73"/>
        <v>0</v>
      </c>
      <c r="UV57" s="132">
        <f t="shared" si="74"/>
        <v>0</v>
      </c>
      <c r="UW57" s="132">
        <f t="shared" si="75"/>
        <v>0</v>
      </c>
      <c r="UX57" s="132">
        <f t="shared" si="76"/>
        <v>0</v>
      </c>
      <c r="UY57" s="132">
        <f t="shared" si="77"/>
        <v>0</v>
      </c>
      <c r="UZ57" s="132">
        <f t="shared" si="78"/>
        <v>0</v>
      </c>
      <c r="VA57" s="132">
        <f t="shared" si="79"/>
        <v>0</v>
      </c>
      <c r="VB57" s="131">
        <f t="shared" si="80"/>
        <v>0</v>
      </c>
      <c r="VC57" s="132">
        <f t="shared" si="81"/>
        <v>0</v>
      </c>
      <c r="VD57" s="132">
        <f t="shared" si="82"/>
        <v>0</v>
      </c>
      <c r="VE57" s="132">
        <f t="shared" si="83"/>
        <v>0</v>
      </c>
      <c r="VF57" s="132">
        <f t="shared" si="84"/>
        <v>0</v>
      </c>
      <c r="VG57" s="132">
        <f t="shared" si="85"/>
        <v>0</v>
      </c>
      <c r="VH57" s="132">
        <f t="shared" si="86"/>
        <v>0</v>
      </c>
      <c r="VI57" s="132">
        <f t="shared" si="87"/>
        <v>0</v>
      </c>
      <c r="VJ57" s="132">
        <f t="shared" si="88"/>
        <v>0</v>
      </c>
      <c r="VK57" s="132">
        <f t="shared" si="89"/>
        <v>0</v>
      </c>
      <c r="VL57" s="132">
        <f t="shared" si="90"/>
        <v>0</v>
      </c>
      <c r="VM57" s="132">
        <f t="shared" si="91"/>
        <v>0</v>
      </c>
      <c r="VN57" s="132">
        <f t="shared" si="92"/>
        <v>0</v>
      </c>
      <c r="VP57" s="845" t="str">
        <f>IFERROR(HLOOKUP(F57,'Hodnocení '!$C$1:$JH$5,2,FALSE),0)</f>
        <v>Chráněné bydlení</v>
      </c>
      <c r="VQ57" s="838"/>
      <c r="VR57" s="845" t="str">
        <f t="shared" si="106"/>
        <v>Příspěvková organizace zřízená územním samosprávným celkem</v>
      </c>
      <c r="VS57" s="845" t="str">
        <f>IFERROR(HLOOKUP(F57,'Hodnocení '!$C$1:$JH$5,5,FALSE),0)</f>
        <v>PO KHK</v>
      </c>
      <c r="VT57" s="838">
        <f t="shared" si="107"/>
        <v>0</v>
      </c>
      <c r="VU57" s="838" t="str">
        <f t="shared" si="108"/>
        <v>PO KHK</v>
      </c>
      <c r="VV57" s="838">
        <f t="shared" si="109"/>
        <v>2186000</v>
      </c>
      <c r="VW57" s="838">
        <f t="shared" si="110"/>
        <v>0</v>
      </c>
      <c r="VX57" s="838"/>
      <c r="VY57" s="838">
        <f t="shared" si="114"/>
        <v>0</v>
      </c>
      <c r="VZ57" s="838">
        <f t="shared" si="115"/>
        <v>4600000</v>
      </c>
      <c r="WA57" s="846">
        <f>IFERROR(HLOOKUP($F57,'Hodnocení '!$C$1:$JH$9,9,FALSE),0)</f>
        <v>4600000</v>
      </c>
      <c r="WB57" s="846">
        <f>IF(IFERROR(HLOOKUP($F57,'Hodnocení '!$C$1:$JH$13,13,FALSE),0)&gt;WA57,WA57,IFERROR(HLOOKUP($F57,'Hodnocení '!$C$1:$JH$13,13,FALSE),0))</f>
        <v>4600000</v>
      </c>
      <c r="WC57" s="846">
        <f>IFERROR(HLOOKUP($F57,'Hodnocení '!$C$1:$JH$155,155,FALSE),0)</f>
        <v>4430600</v>
      </c>
      <c r="WD57" s="845"/>
      <c r="WE57" s="845"/>
      <c r="WF57" s="845" t="str">
        <f t="shared" si="97"/>
        <v>ANO</v>
      </c>
      <c r="WG57" s="849" t="str">
        <f t="shared" si="117"/>
        <v>Podpora služby je vyjádřena zařazením do sítě sociálních služeb v KHK a řešením financování služby</v>
      </c>
      <c r="WH57"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57" s="849" t="str">
        <f t="shared" si="117"/>
        <v>Návrh dotace je výsledkem projednání s ostatními zadavateli v rámci sítě služeb KHK</v>
      </c>
      <c r="WJ57" s="849" t="str">
        <f t="shared" si="117"/>
        <v>Bez komentáře</v>
      </c>
      <c r="WK57" s="31">
        <f t="shared" si="99"/>
        <v>0</v>
      </c>
      <c r="WL57" s="850" t="str">
        <f t="shared" si="100"/>
        <v>Případná úprava příspěvku zřizovatele bude řešena v návaznosti na vývoj služby</v>
      </c>
      <c r="WM57" s="849" t="str">
        <f t="shared" si="101"/>
        <v>V rámci sítě KHK se dlouhodobě řeší otázka navyšování úhrad a průběžně se monitoruje s vazbou na vykrytí vyrovnávací platby</v>
      </c>
      <c r="WN57" s="849">
        <f t="shared" si="102"/>
        <v>0</v>
      </c>
      <c r="WO57" s="849" t="str">
        <f t="shared" si="116"/>
        <v>bez komentáře</v>
      </c>
      <c r="WP57" s="849" t="str">
        <f t="shared" si="116"/>
        <v>bez komentáře</v>
      </c>
      <c r="WQ57" s="849" t="str">
        <f t="shared" si="116"/>
        <v>Konečná výše dotace z rozpočtu KHK bude řešena v návaznosti na řešení podílů jednotlivých zadavatelů.</v>
      </c>
      <c r="WR57" s="849" t="str">
        <f t="shared" si="116"/>
        <v>Konečná výše podpory ze stran obcí bude řešena v součinnosti s jednotlivými zadavateli v průběhu roku.</v>
      </c>
      <c r="WS57" s="849" t="str">
        <f t="shared" si="116"/>
        <v>bez komentáře</v>
      </c>
      <c r="WT57" s="849" t="str">
        <f t="shared" si="116"/>
        <v>bez komentáře</v>
      </c>
      <c r="WU57" s="845"/>
    </row>
    <row r="58" spans="1:619" s="128" customFormat="1" x14ac:dyDescent="0.25">
      <c r="A58" s="128" t="str">
        <f>VLOOKUP(F58,'Výpočet VP 2020'!$D$324:$I$588,6,FALSE)</f>
        <v>Je v síti</v>
      </c>
      <c r="B58" s="128" t="s">
        <v>435</v>
      </c>
      <c r="C58" s="128">
        <v>71194011</v>
      </c>
      <c r="D58" s="128" t="s">
        <v>436</v>
      </c>
      <c r="E58" s="128" t="s">
        <v>259</v>
      </c>
      <c r="F58" s="128">
        <v>5651221</v>
      </c>
      <c r="G58" s="128" t="s">
        <v>392</v>
      </c>
      <c r="H58" s="128" t="s">
        <v>218</v>
      </c>
      <c r="I58" s="128" t="s">
        <v>435</v>
      </c>
      <c r="J58" s="129">
        <v>39083</v>
      </c>
      <c r="L58" s="128" t="s">
        <v>220</v>
      </c>
      <c r="M58" s="128" t="s">
        <v>437</v>
      </c>
      <c r="N58" s="128">
        <v>49</v>
      </c>
      <c r="P58" s="128">
        <v>49</v>
      </c>
      <c r="Q58" s="128">
        <v>49</v>
      </c>
      <c r="R58" s="128">
        <v>49</v>
      </c>
      <c r="BL58" s="128" t="s">
        <v>438</v>
      </c>
      <c r="BM58" s="128" t="s">
        <v>439</v>
      </c>
      <c r="BN58" s="128" t="s">
        <v>326</v>
      </c>
      <c r="DA58" s="128">
        <v>0</v>
      </c>
      <c r="DB58" s="128">
        <v>0</v>
      </c>
      <c r="DC58" s="128">
        <v>0</v>
      </c>
      <c r="DD58" s="128">
        <v>0</v>
      </c>
      <c r="DE58" s="128">
        <v>0</v>
      </c>
      <c r="DF58" s="128">
        <v>7</v>
      </c>
      <c r="DG58" s="128">
        <v>14</v>
      </c>
      <c r="DH58" s="128">
        <v>17</v>
      </c>
      <c r="DI58" s="128">
        <v>8</v>
      </c>
      <c r="DJ58" s="128">
        <v>3</v>
      </c>
      <c r="DK58" s="128">
        <v>7</v>
      </c>
      <c r="DL58" s="128">
        <v>14</v>
      </c>
      <c r="DM58" s="128">
        <v>17</v>
      </c>
      <c r="DN58" s="128">
        <v>8</v>
      </c>
      <c r="DO58" s="128">
        <v>3</v>
      </c>
      <c r="DP58" s="128">
        <v>0</v>
      </c>
      <c r="DQ58" s="128">
        <v>49</v>
      </c>
      <c r="DR58" s="128">
        <v>49</v>
      </c>
      <c r="DS58" s="128">
        <v>0</v>
      </c>
      <c r="DT58" s="128">
        <v>0</v>
      </c>
      <c r="DU58" s="128">
        <v>0</v>
      </c>
      <c r="DV58" s="128">
        <v>0</v>
      </c>
      <c r="DW58" s="128">
        <v>0</v>
      </c>
      <c r="DX58" s="128">
        <v>7</v>
      </c>
      <c r="DY58" s="128">
        <v>11</v>
      </c>
      <c r="DZ58" s="128">
        <v>19</v>
      </c>
      <c r="EA58" s="128">
        <v>9</v>
      </c>
      <c r="EB58" s="128">
        <v>3</v>
      </c>
      <c r="EC58" s="128">
        <v>7</v>
      </c>
      <c r="ED58" s="128">
        <v>11</v>
      </c>
      <c r="EE58" s="128">
        <v>19</v>
      </c>
      <c r="EF58" s="128">
        <v>9</v>
      </c>
      <c r="EG58" s="128">
        <v>3</v>
      </c>
      <c r="EH58" s="128">
        <v>0</v>
      </c>
      <c r="EI58" s="128">
        <v>49</v>
      </c>
      <c r="EJ58" s="128">
        <v>49</v>
      </c>
      <c r="EK58" s="128">
        <v>2</v>
      </c>
      <c r="EL58" s="128">
        <v>2</v>
      </c>
      <c r="EM58" s="128">
        <v>2</v>
      </c>
      <c r="EN58" s="128">
        <v>1142000</v>
      </c>
      <c r="EO58" s="128">
        <v>1024000</v>
      </c>
      <c r="EP58" s="128">
        <v>23</v>
      </c>
      <c r="EQ58" s="128">
        <v>23</v>
      </c>
      <c r="ER58" s="128">
        <v>23</v>
      </c>
      <c r="ES58" s="128">
        <v>13089000</v>
      </c>
      <c r="ET58" s="128">
        <v>11582000</v>
      </c>
      <c r="EU58" s="128">
        <v>8</v>
      </c>
      <c r="EV58" s="128">
        <v>8</v>
      </c>
      <c r="EW58" s="128">
        <v>8</v>
      </c>
      <c r="EX58" s="128">
        <v>5764000</v>
      </c>
      <c r="EY58" s="128">
        <v>0</v>
      </c>
      <c r="FO58" s="128">
        <v>22</v>
      </c>
      <c r="FP58" s="128">
        <v>22</v>
      </c>
      <c r="FQ58" s="128">
        <v>22</v>
      </c>
      <c r="FR58" s="128">
        <v>10005000</v>
      </c>
      <c r="FS58" s="128">
        <v>8394000</v>
      </c>
      <c r="IS58" s="128">
        <v>2</v>
      </c>
      <c r="IT58" s="128">
        <v>450</v>
      </c>
      <c r="IU58" s="128">
        <v>0.215</v>
      </c>
      <c r="IV58" s="128">
        <v>45000</v>
      </c>
      <c r="IW58" s="128">
        <v>0</v>
      </c>
      <c r="KG58" s="128">
        <v>0</v>
      </c>
      <c r="KI58" s="128">
        <v>33</v>
      </c>
      <c r="KJ58" s="128">
        <v>0</v>
      </c>
      <c r="KK58" s="128">
        <v>0</v>
      </c>
      <c r="KL58" s="128">
        <v>0</v>
      </c>
      <c r="KM58" s="128">
        <v>33</v>
      </c>
      <c r="KN58" s="128">
        <v>30000000</v>
      </c>
      <c r="KO58" s="128">
        <v>21000000</v>
      </c>
      <c r="KP58" s="128">
        <v>21000000</v>
      </c>
      <c r="KT58" s="128">
        <v>0</v>
      </c>
      <c r="KU58" s="128">
        <v>0</v>
      </c>
      <c r="KV58" s="128">
        <v>0</v>
      </c>
      <c r="KZ58" s="128">
        <v>45000</v>
      </c>
      <c r="LA58" s="128">
        <v>0</v>
      </c>
      <c r="LB58" s="128">
        <v>0</v>
      </c>
      <c r="LF58" s="128">
        <v>0</v>
      </c>
      <c r="LG58" s="128">
        <v>0</v>
      </c>
      <c r="LH58" s="128">
        <v>0</v>
      </c>
      <c r="LL58" s="128">
        <v>0</v>
      </c>
      <c r="LM58" s="128">
        <v>0</v>
      </c>
      <c r="LN58" s="128">
        <v>0</v>
      </c>
      <c r="LR58" s="128">
        <v>250000</v>
      </c>
      <c r="LS58" s="128">
        <v>0</v>
      </c>
      <c r="LT58" s="128">
        <v>0</v>
      </c>
      <c r="LX58" s="128">
        <v>1900000</v>
      </c>
      <c r="LY58" s="128">
        <v>0</v>
      </c>
      <c r="LZ58" s="128">
        <v>0</v>
      </c>
      <c r="MD58" s="128">
        <v>90000</v>
      </c>
      <c r="ME58" s="128">
        <v>0</v>
      </c>
      <c r="MF58" s="128">
        <v>0</v>
      </c>
      <c r="MJ58" s="128">
        <v>40000</v>
      </c>
      <c r="MK58" s="128">
        <v>0</v>
      </c>
      <c r="ML58" s="128">
        <v>0</v>
      </c>
      <c r="MP58" s="128">
        <v>850000</v>
      </c>
      <c r="MQ58" s="128">
        <v>0</v>
      </c>
      <c r="MR58" s="128">
        <v>0</v>
      </c>
      <c r="MV58" s="128">
        <v>2500000</v>
      </c>
      <c r="MW58" s="128">
        <v>0</v>
      </c>
      <c r="MX58" s="128">
        <v>0</v>
      </c>
      <c r="NB58" s="128">
        <v>350000</v>
      </c>
      <c r="NC58" s="128">
        <v>0</v>
      </c>
      <c r="ND58" s="128">
        <v>0</v>
      </c>
      <c r="NH58" s="128">
        <v>0</v>
      </c>
      <c r="NI58" s="128">
        <v>0</v>
      </c>
      <c r="NJ58" s="128">
        <v>0</v>
      </c>
      <c r="NN58" s="128">
        <v>35000</v>
      </c>
      <c r="NO58" s="128">
        <v>0</v>
      </c>
      <c r="NP58" s="128">
        <v>0</v>
      </c>
      <c r="NT58" s="128">
        <v>0</v>
      </c>
      <c r="NU58" s="128">
        <v>0</v>
      </c>
      <c r="NV58" s="128">
        <v>0</v>
      </c>
      <c r="NZ58" s="128">
        <v>500000</v>
      </c>
      <c r="OA58" s="128">
        <v>0</v>
      </c>
      <c r="OB58" s="128">
        <v>0</v>
      </c>
      <c r="OF58" s="128">
        <v>45000</v>
      </c>
      <c r="OG58" s="128">
        <v>0</v>
      </c>
      <c r="OH58" s="128">
        <v>0</v>
      </c>
      <c r="OL58" s="128">
        <v>0</v>
      </c>
      <c r="OM58" s="128">
        <v>0</v>
      </c>
      <c r="ON58" s="128">
        <v>0</v>
      </c>
      <c r="OR58" s="128">
        <v>0</v>
      </c>
      <c r="OS58" s="128">
        <v>0</v>
      </c>
      <c r="OT58" s="128">
        <v>0</v>
      </c>
      <c r="OX58" s="128">
        <v>400000</v>
      </c>
      <c r="OY58" s="128">
        <v>0</v>
      </c>
      <c r="OZ58" s="128">
        <v>0</v>
      </c>
      <c r="PD58" s="128">
        <v>1650000</v>
      </c>
      <c r="PE58" s="128">
        <v>0</v>
      </c>
      <c r="PF58" s="128">
        <v>0</v>
      </c>
      <c r="PJ58" s="128">
        <v>600000</v>
      </c>
      <c r="PK58" s="128">
        <v>0</v>
      </c>
      <c r="PL58" s="128">
        <v>0</v>
      </c>
      <c r="PP58" s="128">
        <v>39255000</v>
      </c>
      <c r="PQ58" s="128">
        <v>21000000</v>
      </c>
      <c r="PR58" s="128">
        <v>21000000</v>
      </c>
      <c r="PS58" s="128">
        <v>100</v>
      </c>
      <c r="PT58" s="128">
        <v>100</v>
      </c>
      <c r="PV58" s="128">
        <v>15538941</v>
      </c>
      <c r="PX58" s="128">
        <v>19140837</v>
      </c>
      <c r="PY58" s="128">
        <v>15533685</v>
      </c>
      <c r="PZ58" s="128">
        <v>21000000</v>
      </c>
      <c r="QA58" s="128">
        <v>0</v>
      </c>
      <c r="QB58" s="128">
        <v>0</v>
      </c>
      <c r="QC58" s="128">
        <v>0</v>
      </c>
      <c r="QD58" s="128">
        <v>0</v>
      </c>
      <c r="QE58" s="128">
        <v>0</v>
      </c>
      <c r="QF58" s="128">
        <v>0</v>
      </c>
      <c r="QG58" s="128">
        <v>1959000</v>
      </c>
      <c r="QH58" s="128">
        <v>7066000</v>
      </c>
      <c r="QI58" s="128">
        <v>5555000</v>
      </c>
      <c r="QJ58" s="128">
        <v>7571259</v>
      </c>
      <c r="QK58" s="128">
        <v>8400000</v>
      </c>
      <c r="QL58" s="128">
        <v>8800000</v>
      </c>
      <c r="QN58" s="128">
        <v>2690237</v>
      </c>
      <c r="QO58" s="128">
        <v>2900000</v>
      </c>
      <c r="QP58" s="128">
        <v>3000000</v>
      </c>
      <c r="RD58" s="128">
        <v>845216</v>
      </c>
      <c r="RE58" s="128">
        <v>850000</v>
      </c>
      <c r="RF58" s="128">
        <v>900000</v>
      </c>
      <c r="RH58" s="128">
        <f t="shared" si="104"/>
        <v>27455000</v>
      </c>
      <c r="RI58" s="128">
        <v>0</v>
      </c>
      <c r="RM58" s="128" t="s">
        <v>220</v>
      </c>
      <c r="RU58" s="130"/>
      <c r="RV58" s="130"/>
      <c r="RW58" s="130"/>
      <c r="RX58" s="130"/>
      <c r="SF58" s="128">
        <f t="shared" si="8"/>
        <v>5651221</v>
      </c>
      <c r="SG58" s="131">
        <f t="shared" si="9"/>
        <v>39255000</v>
      </c>
      <c r="SH58" s="131">
        <f t="shared" si="10"/>
        <v>39255000</v>
      </c>
      <c r="SI58" s="131">
        <f t="shared" si="11"/>
        <v>30045000</v>
      </c>
      <c r="SJ58" s="132">
        <f t="shared" si="12"/>
        <v>30000000</v>
      </c>
      <c r="SK58" s="132">
        <f t="shared" si="13"/>
        <v>0</v>
      </c>
      <c r="SL58" s="132">
        <f t="shared" si="14"/>
        <v>45000</v>
      </c>
      <c r="SM58" s="132">
        <f t="shared" si="15"/>
        <v>0</v>
      </c>
      <c r="SN58" s="131">
        <f t="shared" si="16"/>
        <v>9210000</v>
      </c>
      <c r="SO58" s="131">
        <f t="shared" si="17"/>
        <v>250000</v>
      </c>
      <c r="SP58" s="132">
        <f t="shared" si="18"/>
        <v>0</v>
      </c>
      <c r="SQ58" s="132">
        <f t="shared" si="19"/>
        <v>250000</v>
      </c>
      <c r="SR58" s="132">
        <f t="shared" si="20"/>
        <v>1900000</v>
      </c>
      <c r="SS58" s="132">
        <f t="shared" si="21"/>
        <v>90000</v>
      </c>
      <c r="ST58" s="132">
        <f t="shared" si="22"/>
        <v>40000</v>
      </c>
      <c r="SU58" s="132">
        <f t="shared" si="23"/>
        <v>850000</v>
      </c>
      <c r="SV58" s="131">
        <f t="shared" si="24"/>
        <v>3830000</v>
      </c>
      <c r="SW58" s="132">
        <f t="shared" si="25"/>
        <v>2500000</v>
      </c>
      <c r="SX58" s="132">
        <f t="shared" si="26"/>
        <v>350000</v>
      </c>
      <c r="SY58" s="132">
        <f t="shared" si="27"/>
        <v>0</v>
      </c>
      <c r="SZ58" s="132">
        <f t="shared" si="28"/>
        <v>35000</v>
      </c>
      <c r="TA58" s="132">
        <f t="shared" si="29"/>
        <v>0</v>
      </c>
      <c r="TB58" s="132">
        <f t="shared" si="30"/>
        <v>500000</v>
      </c>
      <c r="TC58" s="132">
        <f t="shared" si="31"/>
        <v>45000</v>
      </c>
      <c r="TD58" s="132">
        <f t="shared" si="32"/>
        <v>0</v>
      </c>
      <c r="TE58" s="132">
        <f t="shared" si="33"/>
        <v>0</v>
      </c>
      <c r="TF58" s="132">
        <f t="shared" si="34"/>
        <v>400000</v>
      </c>
      <c r="TG58" s="132">
        <f t="shared" si="35"/>
        <v>1650000</v>
      </c>
      <c r="TH58" s="132">
        <f t="shared" si="36"/>
        <v>600000</v>
      </c>
      <c r="TI58" s="1"/>
      <c r="TJ58" s="131">
        <f t="shared" si="37"/>
        <v>21000000</v>
      </c>
      <c r="TK58" s="131">
        <f t="shared" si="38"/>
        <v>21000000</v>
      </c>
      <c r="TL58" s="131">
        <f t="shared" si="39"/>
        <v>21000000</v>
      </c>
      <c r="TM58" s="132">
        <f t="shared" si="40"/>
        <v>21000000</v>
      </c>
      <c r="TN58" s="132">
        <f t="shared" si="41"/>
        <v>0</v>
      </c>
      <c r="TO58" s="132">
        <f t="shared" si="42"/>
        <v>0</v>
      </c>
      <c r="TP58" s="132">
        <f t="shared" si="43"/>
        <v>0</v>
      </c>
      <c r="TQ58" s="131">
        <f t="shared" si="44"/>
        <v>0</v>
      </c>
      <c r="TR58" s="131">
        <f t="shared" si="45"/>
        <v>0</v>
      </c>
      <c r="TS58" s="132">
        <f t="shared" si="46"/>
        <v>0</v>
      </c>
      <c r="TT58" s="132">
        <f t="shared" si="47"/>
        <v>0</v>
      </c>
      <c r="TU58" s="132">
        <f t="shared" si="48"/>
        <v>0</v>
      </c>
      <c r="TV58" s="132">
        <f t="shared" si="49"/>
        <v>0</v>
      </c>
      <c r="TW58" s="132">
        <f t="shared" si="50"/>
        <v>0</v>
      </c>
      <c r="TX58" s="132">
        <f t="shared" si="51"/>
        <v>0</v>
      </c>
      <c r="TY58" s="131">
        <f t="shared" si="52"/>
        <v>0</v>
      </c>
      <c r="TZ58" s="132">
        <f t="shared" si="53"/>
        <v>0</v>
      </c>
      <c r="UA58" s="132">
        <f t="shared" si="54"/>
        <v>0</v>
      </c>
      <c r="UB58" s="132">
        <f t="shared" si="55"/>
        <v>0</v>
      </c>
      <c r="UC58" s="132">
        <f t="shared" si="56"/>
        <v>0</v>
      </c>
      <c r="UD58" s="132">
        <f t="shared" si="57"/>
        <v>0</v>
      </c>
      <c r="UE58" s="132">
        <f t="shared" si="58"/>
        <v>0</v>
      </c>
      <c r="UF58" s="132">
        <f t="shared" si="59"/>
        <v>0</v>
      </c>
      <c r="UG58" s="132">
        <f t="shared" si="60"/>
        <v>0</v>
      </c>
      <c r="UH58" s="132">
        <f t="shared" si="61"/>
        <v>0</v>
      </c>
      <c r="UI58" s="132">
        <f t="shared" si="62"/>
        <v>0</v>
      </c>
      <c r="UJ58" s="132">
        <f t="shared" si="63"/>
        <v>0</v>
      </c>
      <c r="UK58" s="132">
        <f t="shared" si="64"/>
        <v>0</v>
      </c>
      <c r="UL58" s="132">
        <f t="shared" si="105"/>
        <v>21000000</v>
      </c>
      <c r="UM58" s="131">
        <f t="shared" si="65"/>
        <v>21000000</v>
      </c>
      <c r="UN58" s="131">
        <f t="shared" si="66"/>
        <v>21000000</v>
      </c>
      <c r="UO58" s="131">
        <f t="shared" si="67"/>
        <v>21000000</v>
      </c>
      <c r="UP58" s="132">
        <f t="shared" si="68"/>
        <v>21000000</v>
      </c>
      <c r="UQ58" s="132">
        <f t="shared" si="69"/>
        <v>0</v>
      </c>
      <c r="UR58" s="132">
        <f t="shared" si="70"/>
        <v>0</v>
      </c>
      <c r="US58" s="132">
        <f t="shared" si="71"/>
        <v>0</v>
      </c>
      <c r="UT58" s="131">
        <f t="shared" si="72"/>
        <v>0</v>
      </c>
      <c r="UU58" s="131">
        <f t="shared" si="73"/>
        <v>0</v>
      </c>
      <c r="UV58" s="132">
        <f t="shared" si="74"/>
        <v>0</v>
      </c>
      <c r="UW58" s="132">
        <f t="shared" si="75"/>
        <v>0</v>
      </c>
      <c r="UX58" s="132">
        <f t="shared" si="76"/>
        <v>0</v>
      </c>
      <c r="UY58" s="132">
        <f t="shared" si="77"/>
        <v>0</v>
      </c>
      <c r="UZ58" s="132">
        <f t="shared" si="78"/>
        <v>0</v>
      </c>
      <c r="VA58" s="132">
        <f t="shared" si="79"/>
        <v>0</v>
      </c>
      <c r="VB58" s="131">
        <f t="shared" si="80"/>
        <v>0</v>
      </c>
      <c r="VC58" s="132">
        <f t="shared" si="81"/>
        <v>0</v>
      </c>
      <c r="VD58" s="132">
        <f t="shared" si="82"/>
        <v>0</v>
      </c>
      <c r="VE58" s="132">
        <f t="shared" si="83"/>
        <v>0</v>
      </c>
      <c r="VF58" s="132">
        <f t="shared" si="84"/>
        <v>0</v>
      </c>
      <c r="VG58" s="132">
        <f t="shared" si="85"/>
        <v>0</v>
      </c>
      <c r="VH58" s="132">
        <f t="shared" si="86"/>
        <v>0</v>
      </c>
      <c r="VI58" s="132">
        <f t="shared" si="87"/>
        <v>0</v>
      </c>
      <c r="VJ58" s="132">
        <f t="shared" si="88"/>
        <v>0</v>
      </c>
      <c r="VK58" s="132">
        <f t="shared" si="89"/>
        <v>0</v>
      </c>
      <c r="VL58" s="132">
        <f t="shared" si="90"/>
        <v>0</v>
      </c>
      <c r="VM58" s="132">
        <f t="shared" si="91"/>
        <v>0</v>
      </c>
      <c r="VN58" s="132">
        <f t="shared" si="92"/>
        <v>0</v>
      </c>
      <c r="VP58" s="845" t="str">
        <f>IFERROR(HLOOKUP(F58,'Hodnocení '!$C$1:$JH$5,2,FALSE),0)</f>
        <v>Domov Dolní zámek</v>
      </c>
      <c r="VQ58" s="838"/>
      <c r="VR58" s="845" t="str">
        <f t="shared" si="106"/>
        <v>Příspěvková organizace zřízená územním samosprávným celkem</v>
      </c>
      <c r="VS58" s="845" t="str">
        <f>IFERROR(HLOOKUP(F58,'Hodnocení '!$C$1:$JH$5,5,FALSE),0)</f>
        <v>PO KHK</v>
      </c>
      <c r="VT58" s="838">
        <f t="shared" si="107"/>
        <v>0</v>
      </c>
      <c r="VU58" s="838" t="str">
        <f t="shared" si="108"/>
        <v>PO KHK</v>
      </c>
      <c r="VV58" s="838">
        <f t="shared" si="109"/>
        <v>8800000</v>
      </c>
      <c r="VW58" s="838">
        <f t="shared" si="110"/>
        <v>3000000</v>
      </c>
      <c r="VX58" s="838"/>
      <c r="VY58" s="838">
        <f t="shared" si="114"/>
        <v>0</v>
      </c>
      <c r="VZ58" s="838">
        <f t="shared" si="115"/>
        <v>21000000</v>
      </c>
      <c r="WA58" s="846">
        <f>IFERROR(HLOOKUP($F58,'Hodnocení '!$C$1:$JH$9,9,FALSE),0)</f>
        <v>21000000</v>
      </c>
      <c r="WB58" s="846">
        <f>IF(IFERROR(HLOOKUP($F58,'Hodnocení '!$C$1:$JH$13,13,FALSE),0)&gt;WA58,WA58,IFERROR(HLOOKUP($F58,'Hodnocení '!$C$1:$JH$13,13,FALSE),0))</f>
        <v>18595469.590470783</v>
      </c>
      <c r="WC58" s="846">
        <f>IFERROR(HLOOKUP($F58,'Hodnocení '!$C$1:$JH$155,155,FALSE),0)</f>
        <v>15937690</v>
      </c>
      <c r="WD58" s="845"/>
      <c r="WE58" s="845"/>
      <c r="WF58" s="845" t="str">
        <f t="shared" si="97"/>
        <v>ANO</v>
      </c>
      <c r="WG58" s="849" t="str">
        <f t="shared" si="117"/>
        <v>Podpora služby je vyjádřena zařazením do sítě sociálních služeb v KHK a řešením financování služby</v>
      </c>
      <c r="WH58"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58" s="849" t="str">
        <f t="shared" si="117"/>
        <v>Návrh dotace je výsledkem projednání s ostatními zadavateli v rámci sítě služeb KHK</v>
      </c>
      <c r="WJ58" s="849" t="str">
        <f t="shared" si="117"/>
        <v>Bez komentáře</v>
      </c>
      <c r="WK58" s="31">
        <f t="shared" si="99"/>
        <v>0</v>
      </c>
      <c r="WL58" s="850" t="str">
        <f t="shared" si="100"/>
        <v>Případná úprava příspěvku zřizovatele bude řešena v návaznosti na vývoj služby</v>
      </c>
      <c r="WM58" s="849" t="str">
        <f t="shared" si="101"/>
        <v>V rámci sítě KHK se dlouhodobě řeší otázka navyšování úhrad a průběžně se monitoruje s vazbou na vykrytí vyrovnávací platby</v>
      </c>
      <c r="WN58" s="849" t="str">
        <f t="shared" si="102"/>
        <v>Otázka výběru od zdravotních pojišťoven je předmětem procesu, který probíhá ve formě jednání se ZP a organizacemi</v>
      </c>
      <c r="WO58" s="849" t="str">
        <f t="shared" si="116"/>
        <v>bez komentáře</v>
      </c>
      <c r="WP58" s="849" t="str">
        <f t="shared" si="116"/>
        <v>bez komentáře</v>
      </c>
      <c r="WQ58" s="849" t="str">
        <f t="shared" si="116"/>
        <v>Konečná výše dotace z rozpočtu KHK bude řešena v návaznosti na řešení podílů jednotlivých zadavatelů.</v>
      </c>
      <c r="WR58" s="849" t="str">
        <f t="shared" si="116"/>
        <v>Konečná výše podpory ze stran obcí bude řešena v součinnosti s jednotlivými zadavateli v průběhu roku.</v>
      </c>
      <c r="WS58" s="849" t="str">
        <f t="shared" si="116"/>
        <v>bez komentáře</v>
      </c>
      <c r="WT58" s="849" t="str">
        <f t="shared" si="116"/>
        <v>bez komentáře</v>
      </c>
      <c r="WU58" s="845"/>
    </row>
    <row r="59" spans="1:619" s="128" customFormat="1" x14ac:dyDescent="0.25">
      <c r="A59" s="128" t="str">
        <f>VLOOKUP(F59,'Výpočet VP 2020'!$D$324:$I$588,6,FALSE)</f>
        <v>Je v síti</v>
      </c>
      <c r="B59" s="128" t="s">
        <v>440</v>
      </c>
      <c r="C59" s="128">
        <v>42886171</v>
      </c>
      <c r="D59" s="128" t="s">
        <v>441</v>
      </c>
      <c r="E59" s="128" t="s">
        <v>259</v>
      </c>
      <c r="F59" s="128">
        <v>1450637</v>
      </c>
      <c r="G59" s="128" t="s">
        <v>392</v>
      </c>
      <c r="H59" s="128" t="s">
        <v>218</v>
      </c>
      <c r="I59" s="128" t="s">
        <v>440</v>
      </c>
      <c r="J59" s="129">
        <v>39083</v>
      </c>
      <c r="L59" s="128" t="s">
        <v>220</v>
      </c>
      <c r="M59" s="128" t="s">
        <v>442</v>
      </c>
      <c r="N59" s="128">
        <v>81</v>
      </c>
      <c r="P59" s="128">
        <v>115</v>
      </c>
      <c r="Q59" s="128">
        <v>115</v>
      </c>
      <c r="R59" s="128">
        <v>115</v>
      </c>
      <c r="BL59" s="128" t="s">
        <v>443</v>
      </c>
      <c r="BM59" s="128" t="s">
        <v>304</v>
      </c>
      <c r="BN59" s="128" t="s">
        <v>326</v>
      </c>
      <c r="DA59" s="128">
        <v>0</v>
      </c>
      <c r="DB59" s="128">
        <v>0</v>
      </c>
      <c r="DC59" s="128">
        <v>0</v>
      </c>
      <c r="DD59" s="128">
        <v>0</v>
      </c>
      <c r="DE59" s="128">
        <v>0</v>
      </c>
      <c r="DF59" s="128">
        <v>0</v>
      </c>
      <c r="DG59" s="128">
        <v>15</v>
      </c>
      <c r="DH59" s="128">
        <v>29</v>
      </c>
      <c r="DI59" s="128">
        <v>37</v>
      </c>
      <c r="DJ59" s="128">
        <v>0</v>
      </c>
      <c r="DK59" s="128">
        <v>0</v>
      </c>
      <c r="DL59" s="128">
        <v>15</v>
      </c>
      <c r="DM59" s="128">
        <v>29</v>
      </c>
      <c r="DN59" s="128">
        <v>37</v>
      </c>
      <c r="DO59" s="128">
        <v>0</v>
      </c>
      <c r="DP59" s="128">
        <v>0</v>
      </c>
      <c r="DQ59" s="128">
        <v>81</v>
      </c>
      <c r="DR59" s="128">
        <v>81</v>
      </c>
      <c r="DS59" s="128">
        <v>0</v>
      </c>
      <c r="DT59" s="128">
        <v>0</v>
      </c>
      <c r="DU59" s="128">
        <v>0</v>
      </c>
      <c r="DV59" s="128">
        <v>0</v>
      </c>
      <c r="DW59" s="128">
        <v>0</v>
      </c>
      <c r="DX59" s="128">
        <v>0</v>
      </c>
      <c r="DY59" s="128">
        <v>5</v>
      </c>
      <c r="DZ59" s="128">
        <v>37</v>
      </c>
      <c r="EA59" s="128">
        <v>39</v>
      </c>
      <c r="EB59" s="128">
        <v>0</v>
      </c>
      <c r="EC59" s="128">
        <v>0</v>
      </c>
      <c r="ED59" s="128">
        <v>5</v>
      </c>
      <c r="EE59" s="128">
        <v>37</v>
      </c>
      <c r="EF59" s="128">
        <v>39</v>
      </c>
      <c r="EG59" s="128">
        <v>0</v>
      </c>
      <c r="EH59" s="128">
        <v>0</v>
      </c>
      <c r="EI59" s="128">
        <v>81</v>
      </c>
      <c r="EJ59" s="128">
        <v>81</v>
      </c>
      <c r="EK59" s="128">
        <v>2</v>
      </c>
      <c r="EL59" s="128">
        <v>2</v>
      </c>
      <c r="EM59" s="128">
        <v>2</v>
      </c>
      <c r="EN59" s="128">
        <v>1665415</v>
      </c>
      <c r="EO59" s="128">
        <v>1000000</v>
      </c>
      <c r="EP59" s="128">
        <v>36</v>
      </c>
      <c r="EQ59" s="128">
        <v>36</v>
      </c>
      <c r="ER59" s="128">
        <v>36</v>
      </c>
      <c r="ES59" s="128">
        <v>21087924</v>
      </c>
      <c r="ET59" s="128">
        <v>18100000</v>
      </c>
      <c r="EU59" s="128">
        <v>12</v>
      </c>
      <c r="EV59" s="128">
        <v>12</v>
      </c>
      <c r="EW59" s="128">
        <v>12</v>
      </c>
      <c r="EX59" s="128">
        <v>8669390</v>
      </c>
      <c r="EY59" s="128">
        <v>0</v>
      </c>
      <c r="FO59" s="128">
        <v>20</v>
      </c>
      <c r="FP59" s="128">
        <v>19.5</v>
      </c>
      <c r="FQ59" s="128">
        <v>19.5</v>
      </c>
      <c r="FR59" s="128">
        <v>10661829</v>
      </c>
      <c r="FS59" s="128">
        <v>5000000</v>
      </c>
      <c r="IS59" s="128">
        <v>16</v>
      </c>
      <c r="IT59" s="128">
        <v>4250</v>
      </c>
      <c r="IU59" s="128">
        <v>2.028</v>
      </c>
      <c r="IV59" s="128">
        <v>516000</v>
      </c>
      <c r="IW59" s="128">
        <v>0</v>
      </c>
      <c r="KG59" s="128">
        <v>0</v>
      </c>
      <c r="KI59" s="128">
        <v>50</v>
      </c>
      <c r="KJ59" s="128">
        <v>0</v>
      </c>
      <c r="KK59" s="128">
        <v>0</v>
      </c>
      <c r="KL59" s="128">
        <v>0</v>
      </c>
      <c r="KM59" s="128">
        <v>50</v>
      </c>
      <c r="KN59" s="128">
        <v>42084558</v>
      </c>
      <c r="KO59" s="128">
        <v>24100000</v>
      </c>
      <c r="KP59" s="128">
        <v>24100000</v>
      </c>
      <c r="KT59" s="128">
        <v>0</v>
      </c>
      <c r="KU59" s="128">
        <v>0</v>
      </c>
      <c r="KV59" s="128">
        <v>0</v>
      </c>
      <c r="KZ59" s="128">
        <v>516000</v>
      </c>
      <c r="LA59" s="128">
        <v>0</v>
      </c>
      <c r="LB59" s="128">
        <v>0</v>
      </c>
      <c r="LF59" s="128">
        <v>192800</v>
      </c>
      <c r="LG59" s="128">
        <v>0</v>
      </c>
      <c r="LH59" s="128">
        <v>0</v>
      </c>
      <c r="LL59" s="128">
        <v>50000</v>
      </c>
      <c r="LM59" s="128">
        <v>0</v>
      </c>
      <c r="LN59" s="128">
        <v>0</v>
      </c>
      <c r="LR59" s="128">
        <v>700000</v>
      </c>
      <c r="LS59" s="128">
        <v>0</v>
      </c>
      <c r="LT59" s="128">
        <v>0</v>
      </c>
      <c r="LX59" s="128">
        <v>4511392</v>
      </c>
      <c r="LY59" s="128">
        <v>0</v>
      </c>
      <c r="LZ59" s="128">
        <v>0</v>
      </c>
      <c r="MD59" s="128">
        <v>70000</v>
      </c>
      <c r="ME59" s="128">
        <v>0</v>
      </c>
      <c r="MF59" s="128">
        <v>0</v>
      </c>
      <c r="MJ59" s="128">
        <v>120000</v>
      </c>
      <c r="MK59" s="128">
        <v>0</v>
      </c>
      <c r="ML59" s="128">
        <v>0</v>
      </c>
      <c r="MP59" s="128">
        <v>1956000</v>
      </c>
      <c r="MQ59" s="128">
        <v>0</v>
      </c>
      <c r="MR59" s="128">
        <v>0</v>
      </c>
      <c r="MV59" s="128">
        <v>1560000</v>
      </c>
      <c r="MW59" s="128">
        <v>0</v>
      </c>
      <c r="MX59" s="128">
        <v>0</v>
      </c>
      <c r="NB59" s="128">
        <v>90000</v>
      </c>
      <c r="NC59" s="128">
        <v>0</v>
      </c>
      <c r="ND59" s="128">
        <v>0</v>
      </c>
      <c r="NH59" s="128">
        <v>0</v>
      </c>
      <c r="NI59" s="128">
        <v>0</v>
      </c>
      <c r="NJ59" s="128">
        <v>0</v>
      </c>
      <c r="NN59" s="128">
        <v>100000</v>
      </c>
      <c r="NO59" s="128">
        <v>0</v>
      </c>
      <c r="NP59" s="128">
        <v>0</v>
      </c>
      <c r="NT59" s="128">
        <v>150000</v>
      </c>
      <c r="NU59" s="128">
        <v>0</v>
      </c>
      <c r="NV59" s="128">
        <v>0</v>
      </c>
      <c r="NZ59" s="128">
        <v>1000000</v>
      </c>
      <c r="OA59" s="128">
        <v>0</v>
      </c>
      <c r="OB59" s="128">
        <v>0</v>
      </c>
      <c r="OF59" s="128">
        <v>30000</v>
      </c>
      <c r="OG59" s="128">
        <v>0</v>
      </c>
      <c r="OH59" s="128">
        <v>0</v>
      </c>
      <c r="OL59" s="128">
        <v>0</v>
      </c>
      <c r="OM59" s="128">
        <v>0</v>
      </c>
      <c r="ON59" s="128">
        <v>0</v>
      </c>
      <c r="OR59" s="128">
        <v>0</v>
      </c>
      <c r="OS59" s="128">
        <v>0</v>
      </c>
      <c r="OT59" s="128">
        <v>0</v>
      </c>
      <c r="OX59" s="128">
        <v>1100000</v>
      </c>
      <c r="OY59" s="128">
        <v>0</v>
      </c>
      <c r="OZ59" s="128">
        <v>0</v>
      </c>
      <c r="PD59" s="128">
        <v>1600000</v>
      </c>
      <c r="PE59" s="128">
        <v>0</v>
      </c>
      <c r="PF59" s="128">
        <v>0</v>
      </c>
      <c r="PJ59" s="128">
        <v>1000000</v>
      </c>
      <c r="PK59" s="128">
        <v>0</v>
      </c>
      <c r="PL59" s="128">
        <v>0</v>
      </c>
      <c r="PP59" s="128">
        <v>56830750</v>
      </c>
      <c r="PQ59" s="128">
        <v>24100000</v>
      </c>
      <c r="PR59" s="128">
        <v>24100000</v>
      </c>
      <c r="PS59" s="128">
        <v>100</v>
      </c>
      <c r="PT59" s="128">
        <v>100</v>
      </c>
      <c r="PV59" s="128">
        <v>25004178</v>
      </c>
      <c r="PX59" s="128">
        <v>13060440</v>
      </c>
      <c r="PY59" s="128">
        <v>15108994</v>
      </c>
      <c r="PZ59" s="128">
        <v>24100000</v>
      </c>
      <c r="QA59" s="128">
        <v>341110</v>
      </c>
      <c r="QB59" s="128">
        <v>334115</v>
      </c>
      <c r="QC59" s="128">
        <v>285750</v>
      </c>
      <c r="QD59" s="128">
        <v>0</v>
      </c>
      <c r="QE59" s="128">
        <v>0</v>
      </c>
      <c r="QF59" s="128">
        <v>0</v>
      </c>
      <c r="QG59" s="128">
        <v>5132000</v>
      </c>
      <c r="QH59" s="128">
        <v>6399000</v>
      </c>
      <c r="QI59" s="128">
        <v>7500000</v>
      </c>
      <c r="QJ59" s="128">
        <v>19278282</v>
      </c>
      <c r="QK59" s="128">
        <v>19642387</v>
      </c>
      <c r="QL59" s="128">
        <v>19500000</v>
      </c>
      <c r="QN59" s="128">
        <v>6360534</v>
      </c>
      <c r="QO59" s="128">
        <v>5400000</v>
      </c>
      <c r="QP59" s="128">
        <v>5400000</v>
      </c>
      <c r="QX59" s="128">
        <v>46446</v>
      </c>
      <c r="QY59" s="128">
        <v>45000</v>
      </c>
      <c r="QZ59" s="128">
        <v>45000</v>
      </c>
      <c r="RH59" s="128">
        <f t="shared" si="104"/>
        <v>31930750</v>
      </c>
      <c r="RI59" s="128">
        <v>0</v>
      </c>
      <c r="RM59" s="128" t="s">
        <v>220</v>
      </c>
      <c r="RU59" s="130"/>
      <c r="RV59" s="130"/>
      <c r="RW59" s="130"/>
      <c r="RX59" s="130"/>
      <c r="SF59" s="128">
        <f t="shared" si="8"/>
        <v>1450637</v>
      </c>
      <c r="SG59" s="131">
        <f t="shared" si="9"/>
        <v>56830750</v>
      </c>
      <c r="SH59" s="131">
        <f t="shared" si="10"/>
        <v>56830750</v>
      </c>
      <c r="SI59" s="131">
        <f t="shared" si="11"/>
        <v>42793358</v>
      </c>
      <c r="SJ59" s="132">
        <f t="shared" si="12"/>
        <v>42084558</v>
      </c>
      <c r="SK59" s="132">
        <f t="shared" si="13"/>
        <v>0</v>
      </c>
      <c r="SL59" s="132">
        <f t="shared" si="14"/>
        <v>516000</v>
      </c>
      <c r="SM59" s="132">
        <f t="shared" si="15"/>
        <v>192800</v>
      </c>
      <c r="SN59" s="131">
        <f t="shared" si="16"/>
        <v>14037392</v>
      </c>
      <c r="SO59" s="131">
        <f t="shared" si="17"/>
        <v>750000</v>
      </c>
      <c r="SP59" s="132">
        <f t="shared" si="18"/>
        <v>50000</v>
      </c>
      <c r="SQ59" s="132">
        <f t="shared" si="19"/>
        <v>700000</v>
      </c>
      <c r="SR59" s="132">
        <f t="shared" si="20"/>
        <v>4511392</v>
      </c>
      <c r="SS59" s="132">
        <f t="shared" si="21"/>
        <v>70000</v>
      </c>
      <c r="ST59" s="132">
        <f t="shared" si="22"/>
        <v>120000</v>
      </c>
      <c r="SU59" s="132">
        <f t="shared" si="23"/>
        <v>1956000</v>
      </c>
      <c r="SV59" s="131">
        <f t="shared" si="24"/>
        <v>4030000</v>
      </c>
      <c r="SW59" s="132">
        <f t="shared" si="25"/>
        <v>1560000</v>
      </c>
      <c r="SX59" s="132">
        <f t="shared" si="26"/>
        <v>90000</v>
      </c>
      <c r="SY59" s="132">
        <f t="shared" si="27"/>
        <v>0</v>
      </c>
      <c r="SZ59" s="132">
        <f t="shared" si="28"/>
        <v>100000</v>
      </c>
      <c r="TA59" s="132">
        <f t="shared" si="29"/>
        <v>150000</v>
      </c>
      <c r="TB59" s="132">
        <f t="shared" si="30"/>
        <v>1000000</v>
      </c>
      <c r="TC59" s="132">
        <f t="shared" si="31"/>
        <v>30000</v>
      </c>
      <c r="TD59" s="132">
        <f t="shared" si="32"/>
        <v>0</v>
      </c>
      <c r="TE59" s="132">
        <f t="shared" si="33"/>
        <v>0</v>
      </c>
      <c r="TF59" s="132">
        <f t="shared" si="34"/>
        <v>1100000</v>
      </c>
      <c r="TG59" s="132">
        <f t="shared" si="35"/>
        <v>1600000</v>
      </c>
      <c r="TH59" s="132">
        <f t="shared" si="36"/>
        <v>1000000</v>
      </c>
      <c r="TI59" s="1"/>
      <c r="TJ59" s="131">
        <f t="shared" si="37"/>
        <v>24100000</v>
      </c>
      <c r="TK59" s="131">
        <f t="shared" si="38"/>
        <v>24100000</v>
      </c>
      <c r="TL59" s="131">
        <f t="shared" si="39"/>
        <v>24100000</v>
      </c>
      <c r="TM59" s="132">
        <f t="shared" si="40"/>
        <v>24100000</v>
      </c>
      <c r="TN59" s="132">
        <f t="shared" si="41"/>
        <v>0</v>
      </c>
      <c r="TO59" s="132">
        <f t="shared" si="42"/>
        <v>0</v>
      </c>
      <c r="TP59" s="132">
        <f t="shared" si="43"/>
        <v>0</v>
      </c>
      <c r="TQ59" s="131">
        <f t="shared" si="44"/>
        <v>0</v>
      </c>
      <c r="TR59" s="131">
        <f t="shared" si="45"/>
        <v>0</v>
      </c>
      <c r="TS59" s="132">
        <f t="shared" si="46"/>
        <v>0</v>
      </c>
      <c r="TT59" s="132">
        <f t="shared" si="47"/>
        <v>0</v>
      </c>
      <c r="TU59" s="132">
        <f t="shared" si="48"/>
        <v>0</v>
      </c>
      <c r="TV59" s="132">
        <f t="shared" si="49"/>
        <v>0</v>
      </c>
      <c r="TW59" s="132">
        <f t="shared" si="50"/>
        <v>0</v>
      </c>
      <c r="TX59" s="132">
        <f t="shared" si="51"/>
        <v>0</v>
      </c>
      <c r="TY59" s="131">
        <f t="shared" si="52"/>
        <v>0</v>
      </c>
      <c r="TZ59" s="132">
        <f t="shared" si="53"/>
        <v>0</v>
      </c>
      <c r="UA59" s="132">
        <f t="shared" si="54"/>
        <v>0</v>
      </c>
      <c r="UB59" s="132">
        <f t="shared" si="55"/>
        <v>0</v>
      </c>
      <c r="UC59" s="132">
        <f t="shared" si="56"/>
        <v>0</v>
      </c>
      <c r="UD59" s="132">
        <f t="shared" si="57"/>
        <v>0</v>
      </c>
      <c r="UE59" s="132">
        <f t="shared" si="58"/>
        <v>0</v>
      </c>
      <c r="UF59" s="132">
        <f t="shared" si="59"/>
        <v>0</v>
      </c>
      <c r="UG59" s="132">
        <f t="shared" si="60"/>
        <v>0</v>
      </c>
      <c r="UH59" s="132">
        <f t="shared" si="61"/>
        <v>0</v>
      </c>
      <c r="UI59" s="132">
        <f t="shared" si="62"/>
        <v>0</v>
      </c>
      <c r="UJ59" s="132">
        <f t="shared" si="63"/>
        <v>0</v>
      </c>
      <c r="UK59" s="132">
        <f t="shared" si="64"/>
        <v>0</v>
      </c>
      <c r="UL59" s="132">
        <f t="shared" si="105"/>
        <v>24100000</v>
      </c>
      <c r="UM59" s="131">
        <f t="shared" si="65"/>
        <v>24100000</v>
      </c>
      <c r="UN59" s="131">
        <f t="shared" si="66"/>
        <v>24100000</v>
      </c>
      <c r="UO59" s="131">
        <f t="shared" si="67"/>
        <v>24100000</v>
      </c>
      <c r="UP59" s="132">
        <f t="shared" si="68"/>
        <v>24100000</v>
      </c>
      <c r="UQ59" s="132">
        <f t="shared" si="69"/>
        <v>0</v>
      </c>
      <c r="UR59" s="132">
        <f t="shared" si="70"/>
        <v>0</v>
      </c>
      <c r="US59" s="132">
        <f t="shared" si="71"/>
        <v>0</v>
      </c>
      <c r="UT59" s="131">
        <f t="shared" si="72"/>
        <v>0</v>
      </c>
      <c r="UU59" s="131">
        <f t="shared" si="73"/>
        <v>0</v>
      </c>
      <c r="UV59" s="132">
        <f t="shared" si="74"/>
        <v>0</v>
      </c>
      <c r="UW59" s="132">
        <f t="shared" si="75"/>
        <v>0</v>
      </c>
      <c r="UX59" s="132">
        <f t="shared" si="76"/>
        <v>0</v>
      </c>
      <c r="UY59" s="132">
        <f t="shared" si="77"/>
        <v>0</v>
      </c>
      <c r="UZ59" s="132">
        <f t="shared" si="78"/>
        <v>0</v>
      </c>
      <c r="VA59" s="132">
        <f t="shared" si="79"/>
        <v>0</v>
      </c>
      <c r="VB59" s="131">
        <f t="shared" si="80"/>
        <v>0</v>
      </c>
      <c r="VC59" s="132">
        <f t="shared" si="81"/>
        <v>0</v>
      </c>
      <c r="VD59" s="132">
        <f t="shared" si="82"/>
        <v>0</v>
      </c>
      <c r="VE59" s="132">
        <f t="shared" si="83"/>
        <v>0</v>
      </c>
      <c r="VF59" s="132">
        <f t="shared" si="84"/>
        <v>0</v>
      </c>
      <c r="VG59" s="132">
        <f t="shared" si="85"/>
        <v>0</v>
      </c>
      <c r="VH59" s="132">
        <f t="shared" si="86"/>
        <v>0</v>
      </c>
      <c r="VI59" s="132">
        <f t="shared" si="87"/>
        <v>0</v>
      </c>
      <c r="VJ59" s="132">
        <f t="shared" si="88"/>
        <v>0</v>
      </c>
      <c r="VK59" s="132">
        <f t="shared" si="89"/>
        <v>0</v>
      </c>
      <c r="VL59" s="132">
        <f t="shared" si="90"/>
        <v>0</v>
      </c>
      <c r="VM59" s="132">
        <f t="shared" si="91"/>
        <v>0</v>
      </c>
      <c r="VN59" s="132">
        <f t="shared" si="92"/>
        <v>0</v>
      </c>
      <c r="VP59" s="845" t="str">
        <f>IFERROR(HLOOKUP(F59,'Hodnocení '!$C$1:$JH$5,2,FALSE),0)</f>
        <v>Domov důchodců Albrechtice nad Orlicí</v>
      </c>
      <c r="VQ59" s="838"/>
      <c r="VR59" s="845" t="str">
        <f t="shared" si="106"/>
        <v>Příspěvková organizace zřízená územním samosprávným celkem</v>
      </c>
      <c r="VS59" s="845" t="str">
        <f>IFERROR(HLOOKUP(F59,'Hodnocení '!$C$1:$JH$5,5,FALSE),0)</f>
        <v>PO KHK</v>
      </c>
      <c r="VT59" s="838">
        <f t="shared" si="107"/>
        <v>0</v>
      </c>
      <c r="VU59" s="838" t="str">
        <f t="shared" si="108"/>
        <v>PO KHK</v>
      </c>
      <c r="VV59" s="838">
        <f t="shared" si="109"/>
        <v>19500000</v>
      </c>
      <c r="VW59" s="838">
        <f t="shared" si="110"/>
        <v>5400000</v>
      </c>
      <c r="VX59" s="838"/>
      <c r="VY59" s="838">
        <f t="shared" si="114"/>
        <v>0</v>
      </c>
      <c r="VZ59" s="838">
        <f t="shared" si="115"/>
        <v>24100000</v>
      </c>
      <c r="WA59" s="846">
        <f>IFERROR(HLOOKUP($F59,'Hodnocení '!$C$1:$JH$9,9,FALSE),0)</f>
        <v>24100000</v>
      </c>
      <c r="WB59" s="846">
        <f>IF(IFERROR(HLOOKUP($F59,'Hodnocení '!$C$1:$JH$13,13,FALSE),0)&gt;WA59,WA59,IFERROR(HLOOKUP($F59,'Hodnocení '!$C$1:$JH$13,13,FALSE),0))</f>
        <v>24100000</v>
      </c>
      <c r="WC59" s="846">
        <f>IFERROR(HLOOKUP($F59,'Hodnocení '!$C$1:$JH$155,155,FALSE),0)</f>
        <v>15474990</v>
      </c>
      <c r="WD59" s="845"/>
      <c r="WE59" s="845"/>
      <c r="WF59" s="845" t="str">
        <f t="shared" si="97"/>
        <v>ANO</v>
      </c>
      <c r="WG59" s="849" t="str">
        <f t="shared" si="117"/>
        <v>Podpora služby je vyjádřena zařazením do sítě sociálních služeb v KHK a řešením financování služby</v>
      </c>
      <c r="WH59"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59" s="849" t="str">
        <f t="shared" si="117"/>
        <v>Návrh dotace je výsledkem projednání s ostatními zadavateli v rámci sítě služeb KHK</v>
      </c>
      <c r="WJ59" s="849" t="str">
        <f t="shared" si="117"/>
        <v>Bez komentáře</v>
      </c>
      <c r="WK59" s="31">
        <f t="shared" si="99"/>
        <v>0</v>
      </c>
      <c r="WL59" s="850" t="str">
        <f t="shared" si="100"/>
        <v>Případná úprava příspěvku zřizovatele bude řešena v návaznosti na vývoj služby</v>
      </c>
      <c r="WM59" s="849" t="str">
        <f t="shared" si="101"/>
        <v>V rámci sítě KHK se dlouhodobě řeší otázka navyšování úhrad a průběžně se monitoruje s vazbou na vykrytí vyrovnávací platby</v>
      </c>
      <c r="WN59" s="849" t="str">
        <f t="shared" si="102"/>
        <v>Otázka výběru od zdravotních pojišťoven je předmětem procesu, který probíhá ve formě jednání se ZP a organizacemi</v>
      </c>
      <c r="WO59" s="849" t="str">
        <f t="shared" si="116"/>
        <v>bez komentáře</v>
      </c>
      <c r="WP59" s="849" t="str">
        <f t="shared" si="116"/>
        <v>bez komentáře</v>
      </c>
      <c r="WQ59" s="849" t="str">
        <f t="shared" si="116"/>
        <v>Konečná výše dotace z rozpočtu KHK bude řešena v návaznosti na řešení podílů jednotlivých zadavatelů.</v>
      </c>
      <c r="WR59" s="849" t="str">
        <f t="shared" si="116"/>
        <v>Konečná výše podpory ze stran obcí bude řešena v součinnosti s jednotlivými zadavateli v průběhu roku.</v>
      </c>
      <c r="WS59" s="849" t="str">
        <f t="shared" si="116"/>
        <v>bez komentáře</v>
      </c>
      <c r="WT59" s="849" t="str">
        <f t="shared" si="116"/>
        <v>bez komentáře</v>
      </c>
      <c r="WU59" s="845"/>
    </row>
    <row r="60" spans="1:619" s="128" customFormat="1" x14ac:dyDescent="0.25">
      <c r="A60" s="128" t="str">
        <f>VLOOKUP(F60,'Výpočet VP 2020'!$D$324:$I$588,6,FALSE)</f>
        <v>Je v síti</v>
      </c>
      <c r="B60" s="128" t="s">
        <v>444</v>
      </c>
      <c r="C60" s="128">
        <v>42886180</v>
      </c>
      <c r="D60" s="128" t="s">
        <v>445</v>
      </c>
      <c r="E60" s="128" t="s">
        <v>259</v>
      </c>
      <c r="F60" s="128">
        <v>6581899</v>
      </c>
      <c r="G60" s="128" t="s">
        <v>348</v>
      </c>
      <c r="H60" s="128" t="s">
        <v>218</v>
      </c>
      <c r="I60" s="128" t="s">
        <v>444</v>
      </c>
      <c r="J60" s="129">
        <v>39814</v>
      </c>
      <c r="L60" s="128" t="s">
        <v>220</v>
      </c>
      <c r="M60" s="128" t="s">
        <v>446</v>
      </c>
      <c r="N60" s="128">
        <v>115</v>
      </c>
      <c r="P60" s="128">
        <v>118</v>
      </c>
      <c r="Q60" s="128">
        <v>115</v>
      </c>
      <c r="R60" s="128">
        <v>115</v>
      </c>
      <c r="BL60" s="128" t="s">
        <v>351</v>
      </c>
      <c r="BM60" s="128" t="s">
        <v>325</v>
      </c>
      <c r="BN60" s="128" t="s">
        <v>326</v>
      </c>
      <c r="DA60" s="128">
        <v>0</v>
      </c>
      <c r="DB60" s="128">
        <v>0</v>
      </c>
      <c r="DC60" s="128">
        <v>0</v>
      </c>
      <c r="DD60" s="128">
        <v>0</v>
      </c>
      <c r="DE60" s="128">
        <v>0</v>
      </c>
      <c r="DF60" s="128">
        <v>3</v>
      </c>
      <c r="DG60" s="128">
        <v>17</v>
      </c>
      <c r="DH60" s="128">
        <v>45</v>
      </c>
      <c r="DI60" s="128">
        <v>50</v>
      </c>
      <c r="DJ60" s="128">
        <v>0</v>
      </c>
      <c r="DK60" s="128">
        <v>3</v>
      </c>
      <c r="DL60" s="128">
        <v>17</v>
      </c>
      <c r="DM60" s="128">
        <v>45</v>
      </c>
      <c r="DN60" s="128">
        <v>50</v>
      </c>
      <c r="DO60" s="128">
        <v>0</v>
      </c>
      <c r="DP60" s="128">
        <v>0</v>
      </c>
      <c r="DQ60" s="128">
        <v>115</v>
      </c>
      <c r="DR60" s="128">
        <v>115</v>
      </c>
      <c r="DS60" s="128">
        <v>0</v>
      </c>
      <c r="DT60" s="128">
        <v>0</v>
      </c>
      <c r="DU60" s="128">
        <v>0</v>
      </c>
      <c r="DV60" s="128">
        <v>0</v>
      </c>
      <c r="DW60" s="128">
        <v>0</v>
      </c>
      <c r="DX60" s="128">
        <v>2</v>
      </c>
      <c r="DY60" s="128">
        <v>17</v>
      </c>
      <c r="DZ60" s="128">
        <v>46</v>
      </c>
      <c r="EA60" s="128">
        <v>50</v>
      </c>
      <c r="EB60" s="128">
        <v>0</v>
      </c>
      <c r="EC60" s="128">
        <v>2</v>
      </c>
      <c r="ED60" s="128">
        <v>17</v>
      </c>
      <c r="EE60" s="128">
        <v>46</v>
      </c>
      <c r="EF60" s="128">
        <v>50</v>
      </c>
      <c r="EG60" s="128">
        <v>0</v>
      </c>
      <c r="EH60" s="128">
        <v>0</v>
      </c>
      <c r="EI60" s="128">
        <v>115</v>
      </c>
      <c r="EJ60" s="128">
        <v>115</v>
      </c>
      <c r="EK60" s="128">
        <v>1</v>
      </c>
      <c r="EL60" s="128">
        <v>1</v>
      </c>
      <c r="EM60" s="128">
        <v>1</v>
      </c>
      <c r="EN60" s="128">
        <v>480000</v>
      </c>
      <c r="EO60" s="128">
        <v>330000</v>
      </c>
      <c r="EP60" s="128">
        <v>28</v>
      </c>
      <c r="EQ60" s="128">
        <v>28</v>
      </c>
      <c r="ER60" s="128">
        <v>27</v>
      </c>
      <c r="ES60" s="128">
        <v>12300000</v>
      </c>
      <c r="ET60" s="128">
        <v>8500000</v>
      </c>
      <c r="EU60" s="128">
        <v>15</v>
      </c>
      <c r="EV60" s="128">
        <v>15</v>
      </c>
      <c r="EW60" s="128">
        <v>16</v>
      </c>
      <c r="EX60" s="128">
        <v>15700000</v>
      </c>
      <c r="EY60" s="128">
        <v>0</v>
      </c>
      <c r="FO60" s="128">
        <v>23</v>
      </c>
      <c r="FP60" s="128">
        <v>23</v>
      </c>
      <c r="FQ60" s="128">
        <v>23</v>
      </c>
      <c r="FR60" s="128">
        <v>10000000</v>
      </c>
      <c r="FS60" s="128">
        <v>8750000</v>
      </c>
      <c r="IH60" s="128">
        <v>2</v>
      </c>
      <c r="II60" s="128">
        <v>1</v>
      </c>
      <c r="IJ60" s="128">
        <v>24</v>
      </c>
      <c r="IK60" s="128">
        <v>1</v>
      </c>
      <c r="IL60" s="128">
        <v>360000</v>
      </c>
      <c r="IM60" s="128">
        <v>0</v>
      </c>
      <c r="IN60" s="128">
        <v>1</v>
      </c>
      <c r="IO60" s="128">
        <v>300</v>
      </c>
      <c r="IP60" s="128">
        <v>0.14299999999999999</v>
      </c>
      <c r="IQ60" s="128">
        <v>48000</v>
      </c>
      <c r="IR60" s="128">
        <v>0</v>
      </c>
      <c r="IS60" s="128">
        <v>2</v>
      </c>
      <c r="IT60" s="128">
        <v>600</v>
      </c>
      <c r="IU60" s="128">
        <v>0.28599999999999998</v>
      </c>
      <c r="IV60" s="128">
        <v>75000</v>
      </c>
      <c r="IW60" s="128">
        <v>0</v>
      </c>
      <c r="KG60" s="128">
        <v>0</v>
      </c>
      <c r="KI60" s="128">
        <v>44</v>
      </c>
      <c r="KJ60" s="128">
        <v>0</v>
      </c>
      <c r="KK60" s="128">
        <v>0.14299999999999999</v>
      </c>
      <c r="KL60" s="128">
        <v>0</v>
      </c>
      <c r="KM60" s="128">
        <v>44.143000000000001</v>
      </c>
      <c r="KN60" s="128">
        <v>38480000</v>
      </c>
      <c r="KO60" s="128">
        <v>17580000</v>
      </c>
      <c r="KP60" s="128">
        <v>17580000</v>
      </c>
      <c r="KT60" s="128">
        <v>360000</v>
      </c>
      <c r="KU60" s="128">
        <v>0</v>
      </c>
      <c r="KV60" s="128">
        <v>0</v>
      </c>
      <c r="KZ60" s="128">
        <v>123000</v>
      </c>
      <c r="LA60" s="128">
        <v>0</v>
      </c>
      <c r="LB60" s="128">
        <v>0</v>
      </c>
      <c r="LF60" s="128">
        <v>720000</v>
      </c>
      <c r="LG60" s="128">
        <v>0</v>
      </c>
      <c r="LH60" s="128">
        <v>0</v>
      </c>
      <c r="LL60" s="128">
        <v>50000</v>
      </c>
      <c r="LM60" s="128">
        <v>0</v>
      </c>
      <c r="LN60" s="128">
        <v>0</v>
      </c>
      <c r="LR60" s="128">
        <v>500000</v>
      </c>
      <c r="LS60" s="128">
        <v>0</v>
      </c>
      <c r="LT60" s="128">
        <v>0</v>
      </c>
      <c r="LX60" s="128">
        <v>4800000</v>
      </c>
      <c r="LY60" s="128">
        <v>0</v>
      </c>
      <c r="LZ60" s="128">
        <v>0</v>
      </c>
      <c r="MD60" s="128">
        <v>125000</v>
      </c>
      <c r="ME60" s="128">
        <v>0</v>
      </c>
      <c r="MF60" s="128">
        <v>0</v>
      </c>
      <c r="MJ60" s="128">
        <v>80000</v>
      </c>
      <c r="MK60" s="128">
        <v>0</v>
      </c>
      <c r="ML60" s="128">
        <v>0</v>
      </c>
      <c r="MP60" s="128">
        <v>700000</v>
      </c>
      <c r="MQ60" s="128">
        <v>0</v>
      </c>
      <c r="MR60" s="128">
        <v>0</v>
      </c>
      <c r="MV60" s="128">
        <v>2100000</v>
      </c>
      <c r="MW60" s="128">
        <v>0</v>
      </c>
      <c r="MX60" s="128">
        <v>0</v>
      </c>
      <c r="NB60" s="128">
        <v>120000</v>
      </c>
      <c r="NC60" s="128">
        <v>0</v>
      </c>
      <c r="ND60" s="128">
        <v>0</v>
      </c>
      <c r="NH60" s="128">
        <v>150000</v>
      </c>
      <c r="NI60" s="128">
        <v>0</v>
      </c>
      <c r="NJ60" s="128">
        <v>0</v>
      </c>
      <c r="NN60" s="128">
        <v>1000000</v>
      </c>
      <c r="NO60" s="128">
        <v>0</v>
      </c>
      <c r="NP60" s="128">
        <v>0</v>
      </c>
      <c r="NT60" s="128">
        <v>100000</v>
      </c>
      <c r="NU60" s="128">
        <v>0</v>
      </c>
      <c r="NV60" s="128">
        <v>0</v>
      </c>
      <c r="NZ60" s="128">
        <v>600000</v>
      </c>
      <c r="OA60" s="128">
        <v>0</v>
      </c>
      <c r="OB60" s="128">
        <v>0</v>
      </c>
      <c r="OF60" s="128">
        <v>50000</v>
      </c>
      <c r="OG60" s="128">
        <v>0</v>
      </c>
      <c r="OH60" s="128">
        <v>0</v>
      </c>
      <c r="OL60" s="128">
        <v>0</v>
      </c>
      <c r="OM60" s="128">
        <v>0</v>
      </c>
      <c r="ON60" s="128">
        <v>0</v>
      </c>
      <c r="OR60" s="128">
        <v>0</v>
      </c>
      <c r="OS60" s="128">
        <v>0</v>
      </c>
      <c r="OT60" s="128">
        <v>0</v>
      </c>
      <c r="OX60" s="128">
        <v>100000</v>
      </c>
      <c r="OY60" s="128">
        <v>0</v>
      </c>
      <c r="OZ60" s="128">
        <v>0</v>
      </c>
      <c r="PD60" s="128">
        <v>800000</v>
      </c>
      <c r="PE60" s="128">
        <v>0</v>
      </c>
      <c r="PF60" s="128">
        <v>0</v>
      </c>
      <c r="PJ60" s="128">
        <v>100000</v>
      </c>
      <c r="PK60" s="128">
        <v>0</v>
      </c>
      <c r="PL60" s="128">
        <v>0</v>
      </c>
      <c r="PP60" s="128">
        <v>51058000</v>
      </c>
      <c r="PQ60" s="128">
        <v>17580000</v>
      </c>
      <c r="PR60" s="128">
        <v>17580000</v>
      </c>
      <c r="PS60" s="128">
        <v>100</v>
      </c>
      <c r="PT60" s="128">
        <v>100</v>
      </c>
      <c r="PV60" s="128">
        <v>29156656</v>
      </c>
      <c r="PX60" s="128">
        <v>9808000</v>
      </c>
      <c r="PY60" s="128">
        <v>11096127</v>
      </c>
      <c r="PZ60" s="128">
        <v>17580000</v>
      </c>
      <c r="QA60" s="128">
        <v>0</v>
      </c>
      <c r="QB60" s="128">
        <v>0</v>
      </c>
      <c r="QC60" s="128">
        <v>0</v>
      </c>
      <c r="QD60" s="128">
        <v>0</v>
      </c>
      <c r="QE60" s="128">
        <v>0</v>
      </c>
      <c r="QF60" s="128">
        <v>0</v>
      </c>
      <c r="QG60" s="128">
        <v>4865000</v>
      </c>
      <c r="QH60" s="128">
        <v>5593000</v>
      </c>
      <c r="QI60" s="128">
        <v>3103000</v>
      </c>
      <c r="QJ60" s="128">
        <v>25708802</v>
      </c>
      <c r="QK60" s="128">
        <v>27197000</v>
      </c>
      <c r="QL60" s="128">
        <v>27500000</v>
      </c>
      <c r="QN60" s="128">
        <v>2363220</v>
      </c>
      <c r="QO60" s="128">
        <v>2290000</v>
      </c>
      <c r="QP60" s="128">
        <v>2050000</v>
      </c>
      <c r="RD60" s="128">
        <v>808587</v>
      </c>
      <c r="RE60" s="128">
        <v>819000</v>
      </c>
      <c r="RF60" s="128">
        <v>825000</v>
      </c>
      <c r="RH60" s="128">
        <f t="shared" si="104"/>
        <v>21508000</v>
      </c>
      <c r="RI60" s="128">
        <v>0</v>
      </c>
      <c r="RM60" s="128" t="s">
        <v>220</v>
      </c>
      <c r="RU60" s="130"/>
      <c r="RV60" s="130"/>
      <c r="RW60" s="130"/>
      <c r="RX60" s="130"/>
      <c r="SF60" s="128">
        <f t="shared" si="8"/>
        <v>6581899</v>
      </c>
      <c r="SG60" s="131">
        <f t="shared" si="9"/>
        <v>51058000</v>
      </c>
      <c r="SH60" s="131">
        <f t="shared" si="10"/>
        <v>51058000</v>
      </c>
      <c r="SI60" s="131">
        <f t="shared" si="11"/>
        <v>39683000</v>
      </c>
      <c r="SJ60" s="132">
        <f t="shared" si="12"/>
        <v>38480000</v>
      </c>
      <c r="SK60" s="132">
        <f t="shared" si="13"/>
        <v>360000</v>
      </c>
      <c r="SL60" s="132">
        <f t="shared" si="14"/>
        <v>123000</v>
      </c>
      <c r="SM60" s="132">
        <f t="shared" si="15"/>
        <v>720000</v>
      </c>
      <c r="SN60" s="131">
        <f t="shared" si="16"/>
        <v>11375000</v>
      </c>
      <c r="SO60" s="131">
        <f t="shared" si="17"/>
        <v>550000</v>
      </c>
      <c r="SP60" s="132">
        <f t="shared" si="18"/>
        <v>50000</v>
      </c>
      <c r="SQ60" s="132">
        <f t="shared" si="19"/>
        <v>500000</v>
      </c>
      <c r="SR60" s="132">
        <f t="shared" si="20"/>
        <v>4800000</v>
      </c>
      <c r="SS60" s="132">
        <f t="shared" si="21"/>
        <v>125000</v>
      </c>
      <c r="ST60" s="132">
        <f t="shared" si="22"/>
        <v>80000</v>
      </c>
      <c r="SU60" s="132">
        <f t="shared" si="23"/>
        <v>700000</v>
      </c>
      <c r="SV60" s="131">
        <f t="shared" si="24"/>
        <v>4220000</v>
      </c>
      <c r="SW60" s="132">
        <f t="shared" si="25"/>
        <v>2100000</v>
      </c>
      <c r="SX60" s="132">
        <f t="shared" si="26"/>
        <v>120000</v>
      </c>
      <c r="SY60" s="132">
        <f t="shared" si="27"/>
        <v>150000</v>
      </c>
      <c r="SZ60" s="132">
        <f t="shared" si="28"/>
        <v>1000000</v>
      </c>
      <c r="TA60" s="132">
        <f t="shared" si="29"/>
        <v>100000</v>
      </c>
      <c r="TB60" s="132">
        <f t="shared" si="30"/>
        <v>600000</v>
      </c>
      <c r="TC60" s="132">
        <f t="shared" si="31"/>
        <v>50000</v>
      </c>
      <c r="TD60" s="132">
        <f t="shared" si="32"/>
        <v>0</v>
      </c>
      <c r="TE60" s="132">
        <f t="shared" si="33"/>
        <v>0</v>
      </c>
      <c r="TF60" s="132">
        <f t="shared" si="34"/>
        <v>100000</v>
      </c>
      <c r="TG60" s="132">
        <f t="shared" si="35"/>
        <v>800000</v>
      </c>
      <c r="TH60" s="132">
        <f t="shared" si="36"/>
        <v>100000</v>
      </c>
      <c r="TI60" s="1"/>
      <c r="TJ60" s="131">
        <f t="shared" si="37"/>
        <v>17580000</v>
      </c>
      <c r="TK60" s="131">
        <f t="shared" si="38"/>
        <v>17580000</v>
      </c>
      <c r="TL60" s="131">
        <f t="shared" si="39"/>
        <v>17580000</v>
      </c>
      <c r="TM60" s="132">
        <f t="shared" si="40"/>
        <v>17580000</v>
      </c>
      <c r="TN60" s="132">
        <f t="shared" si="41"/>
        <v>0</v>
      </c>
      <c r="TO60" s="132">
        <f t="shared" si="42"/>
        <v>0</v>
      </c>
      <c r="TP60" s="132">
        <f t="shared" si="43"/>
        <v>0</v>
      </c>
      <c r="TQ60" s="131">
        <f t="shared" si="44"/>
        <v>0</v>
      </c>
      <c r="TR60" s="131">
        <f t="shared" si="45"/>
        <v>0</v>
      </c>
      <c r="TS60" s="132">
        <f t="shared" si="46"/>
        <v>0</v>
      </c>
      <c r="TT60" s="132">
        <f t="shared" si="47"/>
        <v>0</v>
      </c>
      <c r="TU60" s="132">
        <f t="shared" si="48"/>
        <v>0</v>
      </c>
      <c r="TV60" s="132">
        <f t="shared" si="49"/>
        <v>0</v>
      </c>
      <c r="TW60" s="132">
        <f t="shared" si="50"/>
        <v>0</v>
      </c>
      <c r="TX60" s="132">
        <f t="shared" si="51"/>
        <v>0</v>
      </c>
      <c r="TY60" s="131">
        <f t="shared" si="52"/>
        <v>0</v>
      </c>
      <c r="TZ60" s="132">
        <f t="shared" si="53"/>
        <v>0</v>
      </c>
      <c r="UA60" s="132">
        <f t="shared" si="54"/>
        <v>0</v>
      </c>
      <c r="UB60" s="132">
        <f t="shared" si="55"/>
        <v>0</v>
      </c>
      <c r="UC60" s="132">
        <f t="shared" si="56"/>
        <v>0</v>
      </c>
      <c r="UD60" s="132">
        <f t="shared" si="57"/>
        <v>0</v>
      </c>
      <c r="UE60" s="132">
        <f t="shared" si="58"/>
        <v>0</v>
      </c>
      <c r="UF60" s="132">
        <f t="shared" si="59"/>
        <v>0</v>
      </c>
      <c r="UG60" s="132">
        <f t="shared" si="60"/>
        <v>0</v>
      </c>
      <c r="UH60" s="132">
        <f t="shared" si="61"/>
        <v>0</v>
      </c>
      <c r="UI60" s="132">
        <f t="shared" si="62"/>
        <v>0</v>
      </c>
      <c r="UJ60" s="132">
        <f t="shared" si="63"/>
        <v>0</v>
      </c>
      <c r="UK60" s="132">
        <f t="shared" si="64"/>
        <v>0</v>
      </c>
      <c r="UL60" s="132">
        <f t="shared" si="105"/>
        <v>17580000</v>
      </c>
      <c r="UM60" s="131">
        <f t="shared" si="65"/>
        <v>17580000</v>
      </c>
      <c r="UN60" s="131">
        <f t="shared" si="66"/>
        <v>17580000</v>
      </c>
      <c r="UO60" s="131">
        <f t="shared" si="67"/>
        <v>17580000</v>
      </c>
      <c r="UP60" s="132">
        <f t="shared" si="68"/>
        <v>17580000</v>
      </c>
      <c r="UQ60" s="132">
        <f t="shared" si="69"/>
        <v>0</v>
      </c>
      <c r="UR60" s="132">
        <f t="shared" si="70"/>
        <v>0</v>
      </c>
      <c r="US60" s="132">
        <f t="shared" si="71"/>
        <v>0</v>
      </c>
      <c r="UT60" s="131">
        <f t="shared" si="72"/>
        <v>0</v>
      </c>
      <c r="UU60" s="131">
        <f t="shared" si="73"/>
        <v>0</v>
      </c>
      <c r="UV60" s="132">
        <f t="shared" si="74"/>
        <v>0</v>
      </c>
      <c r="UW60" s="132">
        <f t="shared" si="75"/>
        <v>0</v>
      </c>
      <c r="UX60" s="132">
        <f t="shared" si="76"/>
        <v>0</v>
      </c>
      <c r="UY60" s="132">
        <f t="shared" si="77"/>
        <v>0</v>
      </c>
      <c r="UZ60" s="132">
        <f t="shared" si="78"/>
        <v>0</v>
      </c>
      <c r="VA60" s="132">
        <f t="shared" si="79"/>
        <v>0</v>
      </c>
      <c r="VB60" s="131">
        <f t="shared" si="80"/>
        <v>0</v>
      </c>
      <c r="VC60" s="132">
        <f t="shared" si="81"/>
        <v>0</v>
      </c>
      <c r="VD60" s="132">
        <f t="shared" si="82"/>
        <v>0</v>
      </c>
      <c r="VE60" s="132">
        <f t="shared" si="83"/>
        <v>0</v>
      </c>
      <c r="VF60" s="132">
        <f t="shared" si="84"/>
        <v>0</v>
      </c>
      <c r="VG60" s="132">
        <f t="shared" si="85"/>
        <v>0</v>
      </c>
      <c r="VH60" s="132">
        <f t="shared" si="86"/>
        <v>0</v>
      </c>
      <c r="VI60" s="132">
        <f t="shared" si="87"/>
        <v>0</v>
      </c>
      <c r="VJ60" s="132">
        <f t="shared" si="88"/>
        <v>0</v>
      </c>
      <c r="VK60" s="132">
        <f t="shared" si="89"/>
        <v>0</v>
      </c>
      <c r="VL60" s="132">
        <f t="shared" si="90"/>
        <v>0</v>
      </c>
      <c r="VM60" s="132">
        <f t="shared" si="91"/>
        <v>0</v>
      </c>
      <c r="VN60" s="132">
        <f t="shared" si="92"/>
        <v>0</v>
      </c>
      <c r="VP60" s="845" t="str">
        <f>IFERROR(HLOOKUP(F60,'Hodnocení '!$C$1:$JH$5,2,FALSE),0)</f>
        <v>Domov důchodců Borohrádek</v>
      </c>
      <c r="VQ60" s="838"/>
      <c r="VR60" s="845" t="str">
        <f t="shared" si="106"/>
        <v>Příspěvková organizace zřízená územním samosprávným celkem</v>
      </c>
      <c r="VS60" s="845" t="str">
        <f>IFERROR(HLOOKUP(F60,'Hodnocení '!$C$1:$JH$5,5,FALSE),0)</f>
        <v>PO KHK</v>
      </c>
      <c r="VT60" s="838">
        <f t="shared" si="107"/>
        <v>0</v>
      </c>
      <c r="VU60" s="838" t="str">
        <f t="shared" si="108"/>
        <v>PO KHK</v>
      </c>
      <c r="VV60" s="838">
        <f t="shared" si="109"/>
        <v>27500000</v>
      </c>
      <c r="VW60" s="838">
        <f t="shared" si="110"/>
        <v>2050000</v>
      </c>
      <c r="VX60" s="838"/>
      <c r="VY60" s="838">
        <f t="shared" si="114"/>
        <v>0</v>
      </c>
      <c r="VZ60" s="838">
        <f t="shared" si="115"/>
        <v>17580000</v>
      </c>
      <c r="WA60" s="846">
        <f>IFERROR(HLOOKUP($F60,'Hodnocení '!$C$1:$JH$9,9,FALSE),0)</f>
        <v>17580000</v>
      </c>
      <c r="WB60" s="846">
        <f>IF(IFERROR(HLOOKUP($F60,'Hodnocení '!$C$1:$JH$13,13,FALSE),0)&gt;WA60,WA60,IFERROR(HLOOKUP($F60,'Hodnocení '!$C$1:$JH$13,13,FALSE),0))</f>
        <v>17580000</v>
      </c>
      <c r="WC60" s="846">
        <f>IFERROR(HLOOKUP($F60,'Hodnocení '!$C$1:$JH$155,155,FALSE),0)</f>
        <v>12916130</v>
      </c>
      <c r="WD60" s="845"/>
      <c r="WE60" s="845"/>
      <c r="WF60" s="845" t="str">
        <f t="shared" si="97"/>
        <v>ANO</v>
      </c>
      <c r="WG60" s="849" t="str">
        <f t="shared" si="117"/>
        <v>Podpora služby je vyjádřena zařazením do sítě sociálních služeb v KHK a řešením financování služby</v>
      </c>
      <c r="WH60"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60" s="849" t="str">
        <f t="shared" si="117"/>
        <v>Návrh dotace je výsledkem projednání s ostatními zadavateli v rámci sítě služeb KHK</v>
      </c>
      <c r="WJ60" s="849" t="str">
        <f t="shared" si="117"/>
        <v>Bez komentáře</v>
      </c>
      <c r="WK60" s="31">
        <f t="shared" si="99"/>
        <v>0</v>
      </c>
      <c r="WL60" s="850" t="str">
        <f t="shared" si="100"/>
        <v>Případná úprava příspěvku zřizovatele bude řešena v návaznosti na vývoj služby</v>
      </c>
      <c r="WM60" s="849" t="str">
        <f t="shared" si="101"/>
        <v>V rámci sítě KHK se dlouhodobě řeší otázka navyšování úhrad a průběžně se monitoruje s vazbou na vykrytí vyrovnávací platby</v>
      </c>
      <c r="WN60" s="849" t="str">
        <f t="shared" si="102"/>
        <v>Otázka výběru od zdravotních pojišťoven je předmětem procesu, který probíhá ve formě jednání se ZP a organizacemi</v>
      </c>
      <c r="WO60" s="849" t="str">
        <f t="shared" si="116"/>
        <v>bez komentáře</v>
      </c>
      <c r="WP60" s="849" t="str">
        <f t="shared" si="116"/>
        <v>bez komentáře</v>
      </c>
      <c r="WQ60" s="849" t="str">
        <f t="shared" si="116"/>
        <v>Konečná výše dotace z rozpočtu KHK bude řešena v návaznosti na řešení podílů jednotlivých zadavatelů.</v>
      </c>
      <c r="WR60" s="849" t="str">
        <f t="shared" si="116"/>
        <v>Konečná výše podpory ze stran obcí bude řešena v součinnosti s jednotlivými zadavateli v průběhu roku.</v>
      </c>
      <c r="WS60" s="849" t="str">
        <f t="shared" si="116"/>
        <v>bez komentáře</v>
      </c>
      <c r="WT60" s="849" t="str">
        <f t="shared" si="116"/>
        <v>bez komentáře</v>
      </c>
      <c r="WU60" s="845"/>
    </row>
    <row r="61" spans="1:619" s="128" customFormat="1" x14ac:dyDescent="0.25">
      <c r="A61" s="128" t="str">
        <f>VLOOKUP(F61,'Výpočet VP 2020'!$D$324:$I$588,6,FALSE)</f>
        <v>Je v síti</v>
      </c>
      <c r="B61" s="128" t="s">
        <v>447</v>
      </c>
      <c r="C61" s="128">
        <v>579017</v>
      </c>
      <c r="D61" s="128" t="s">
        <v>448</v>
      </c>
      <c r="E61" s="128" t="s">
        <v>259</v>
      </c>
      <c r="F61" s="128">
        <v>2837121</v>
      </c>
      <c r="G61" s="128" t="s">
        <v>348</v>
      </c>
      <c r="H61" s="128" t="s">
        <v>218</v>
      </c>
      <c r="I61" s="128" t="s">
        <v>447</v>
      </c>
      <c r="J61" s="129">
        <v>39083</v>
      </c>
      <c r="L61" s="128" t="s">
        <v>220</v>
      </c>
      <c r="M61" s="128" t="s">
        <v>449</v>
      </c>
      <c r="N61" s="128">
        <v>16</v>
      </c>
      <c r="P61" s="128">
        <v>24</v>
      </c>
      <c r="Q61" s="128">
        <v>24</v>
      </c>
      <c r="R61" s="128">
        <v>16</v>
      </c>
      <c r="W61" s="128" t="s">
        <v>450</v>
      </c>
      <c r="BL61" s="128" t="s">
        <v>351</v>
      </c>
      <c r="BM61" s="128" t="s">
        <v>325</v>
      </c>
      <c r="BN61" s="128" t="s">
        <v>352</v>
      </c>
      <c r="DA61" s="128">
        <v>0</v>
      </c>
      <c r="DB61" s="128">
        <v>0</v>
      </c>
      <c r="DC61" s="128">
        <v>0</v>
      </c>
      <c r="DD61" s="128">
        <v>0</v>
      </c>
      <c r="DE61" s="128">
        <v>0</v>
      </c>
      <c r="DF61" s="128">
        <v>1</v>
      </c>
      <c r="DG61" s="128">
        <v>3</v>
      </c>
      <c r="DH61" s="128">
        <v>15</v>
      </c>
      <c r="DI61" s="128">
        <v>5</v>
      </c>
      <c r="DJ61" s="128">
        <v>0</v>
      </c>
      <c r="DK61" s="128">
        <v>1</v>
      </c>
      <c r="DL61" s="128">
        <v>3</v>
      </c>
      <c r="DM61" s="128">
        <v>15</v>
      </c>
      <c r="DN61" s="128">
        <v>5</v>
      </c>
      <c r="DO61" s="128">
        <v>0</v>
      </c>
      <c r="DP61" s="128">
        <v>0</v>
      </c>
      <c r="DQ61" s="128">
        <v>24</v>
      </c>
      <c r="DR61" s="128">
        <v>24</v>
      </c>
      <c r="DS61" s="128">
        <v>0</v>
      </c>
      <c r="DT61" s="128">
        <v>0</v>
      </c>
      <c r="DU61" s="128">
        <v>0</v>
      </c>
      <c r="DV61" s="128">
        <v>0</v>
      </c>
      <c r="DW61" s="128">
        <v>0</v>
      </c>
      <c r="DX61" s="128">
        <v>0</v>
      </c>
      <c r="DY61" s="128">
        <v>1</v>
      </c>
      <c r="DZ61" s="128">
        <v>12</v>
      </c>
      <c r="EA61" s="128">
        <v>3</v>
      </c>
      <c r="EB61" s="128">
        <v>0</v>
      </c>
      <c r="EC61" s="128">
        <v>0</v>
      </c>
      <c r="ED61" s="128">
        <v>1</v>
      </c>
      <c r="EE61" s="128">
        <v>12</v>
      </c>
      <c r="EF61" s="128">
        <v>3</v>
      </c>
      <c r="EG61" s="128">
        <v>0</v>
      </c>
      <c r="EH61" s="128">
        <v>0</v>
      </c>
      <c r="EI61" s="128">
        <v>16</v>
      </c>
      <c r="EJ61" s="128">
        <v>16</v>
      </c>
      <c r="EK61" s="128">
        <v>4</v>
      </c>
      <c r="EL61" s="128">
        <v>0.64</v>
      </c>
      <c r="EM61" s="128">
        <v>0.96</v>
      </c>
      <c r="EN61" s="128">
        <v>412075</v>
      </c>
      <c r="EO61" s="128">
        <v>300000</v>
      </c>
      <c r="EP61" s="128">
        <v>47</v>
      </c>
      <c r="EQ61" s="128">
        <v>7.47</v>
      </c>
      <c r="ER61" s="128">
        <v>9.74</v>
      </c>
      <c r="ES61" s="128">
        <v>4129341</v>
      </c>
      <c r="ET61" s="128">
        <v>3362528</v>
      </c>
      <c r="EU61" s="128">
        <v>12</v>
      </c>
      <c r="EV61" s="128">
        <v>1.92</v>
      </c>
      <c r="EW61" s="128">
        <v>2.64</v>
      </c>
      <c r="EX61" s="128">
        <v>1442360</v>
      </c>
      <c r="EY61" s="128">
        <v>0</v>
      </c>
      <c r="FO61" s="128">
        <v>23</v>
      </c>
      <c r="FP61" s="128">
        <v>3.68</v>
      </c>
      <c r="FQ61" s="128">
        <v>5.52</v>
      </c>
      <c r="FR61" s="128">
        <v>1787904</v>
      </c>
      <c r="FS61" s="128">
        <v>900000</v>
      </c>
      <c r="KG61" s="128">
        <v>0</v>
      </c>
      <c r="KI61" s="128">
        <v>10.029999999999999</v>
      </c>
      <c r="KJ61" s="128">
        <v>0</v>
      </c>
      <c r="KK61" s="128">
        <v>0</v>
      </c>
      <c r="KL61" s="128">
        <v>0</v>
      </c>
      <c r="KM61" s="128">
        <v>10.029999999999999</v>
      </c>
      <c r="KN61" s="128">
        <v>7771680</v>
      </c>
      <c r="KO61" s="128">
        <v>4562528</v>
      </c>
      <c r="KP61" s="128">
        <v>4562528</v>
      </c>
      <c r="KT61" s="128">
        <v>0</v>
      </c>
      <c r="KU61" s="128">
        <v>0</v>
      </c>
      <c r="KV61" s="128">
        <v>0</v>
      </c>
      <c r="KZ61" s="128">
        <v>0</v>
      </c>
      <c r="LA61" s="128">
        <v>0</v>
      </c>
      <c r="LB61" s="128">
        <v>0</v>
      </c>
      <c r="LF61" s="128">
        <v>76800</v>
      </c>
      <c r="LG61" s="128">
        <v>0</v>
      </c>
      <c r="LH61" s="128">
        <v>0</v>
      </c>
      <c r="LL61" s="128">
        <v>24000</v>
      </c>
      <c r="LM61" s="128">
        <v>0</v>
      </c>
      <c r="LN61" s="128">
        <v>0</v>
      </c>
      <c r="LR61" s="128">
        <v>65600</v>
      </c>
      <c r="LS61" s="128">
        <v>0</v>
      </c>
      <c r="LT61" s="128">
        <v>0</v>
      </c>
      <c r="LX61" s="128">
        <v>552000</v>
      </c>
      <c r="LY61" s="128">
        <v>0</v>
      </c>
      <c r="LZ61" s="128">
        <v>0</v>
      </c>
      <c r="MD61" s="128">
        <v>40000</v>
      </c>
      <c r="ME61" s="128">
        <v>0</v>
      </c>
      <c r="MF61" s="128">
        <v>0</v>
      </c>
      <c r="MJ61" s="128">
        <v>4800</v>
      </c>
      <c r="MK61" s="128">
        <v>0</v>
      </c>
      <c r="ML61" s="128">
        <v>0</v>
      </c>
      <c r="MP61" s="128">
        <v>241600</v>
      </c>
      <c r="MQ61" s="128">
        <v>0</v>
      </c>
      <c r="MR61" s="128">
        <v>0</v>
      </c>
      <c r="MV61" s="128">
        <v>336000</v>
      </c>
      <c r="MW61" s="128">
        <v>0</v>
      </c>
      <c r="MX61" s="128">
        <v>0</v>
      </c>
      <c r="NB61" s="128">
        <v>13600</v>
      </c>
      <c r="NC61" s="128">
        <v>0</v>
      </c>
      <c r="ND61" s="128">
        <v>0</v>
      </c>
      <c r="NH61" s="128">
        <v>0</v>
      </c>
      <c r="NI61" s="128">
        <v>0</v>
      </c>
      <c r="NJ61" s="128">
        <v>0</v>
      </c>
      <c r="NN61" s="128">
        <v>172000</v>
      </c>
      <c r="NO61" s="128">
        <v>0</v>
      </c>
      <c r="NP61" s="128">
        <v>0</v>
      </c>
      <c r="NT61" s="128">
        <v>9600</v>
      </c>
      <c r="NU61" s="128">
        <v>0</v>
      </c>
      <c r="NV61" s="128">
        <v>0</v>
      </c>
      <c r="NZ61" s="128">
        <v>244000</v>
      </c>
      <c r="OA61" s="128">
        <v>0</v>
      </c>
      <c r="OB61" s="128">
        <v>0</v>
      </c>
      <c r="OF61" s="128">
        <v>16000</v>
      </c>
      <c r="OG61" s="128">
        <v>0</v>
      </c>
      <c r="OH61" s="128">
        <v>0</v>
      </c>
      <c r="OL61" s="128">
        <v>0</v>
      </c>
      <c r="OM61" s="128">
        <v>0</v>
      </c>
      <c r="ON61" s="128">
        <v>0</v>
      </c>
      <c r="OR61" s="128">
        <v>0</v>
      </c>
      <c r="OS61" s="128">
        <v>0</v>
      </c>
      <c r="OT61" s="128">
        <v>0</v>
      </c>
      <c r="OX61" s="128">
        <v>265120</v>
      </c>
      <c r="OY61" s="128">
        <v>0</v>
      </c>
      <c r="OZ61" s="128">
        <v>0</v>
      </c>
      <c r="PD61" s="128">
        <v>375040</v>
      </c>
      <c r="PE61" s="128">
        <v>0</v>
      </c>
      <c r="PF61" s="128">
        <v>0</v>
      </c>
      <c r="PJ61" s="128">
        <v>66080</v>
      </c>
      <c r="PK61" s="128">
        <v>0</v>
      </c>
      <c r="PL61" s="128">
        <v>0</v>
      </c>
      <c r="PP61" s="128">
        <v>10273920</v>
      </c>
      <c r="PQ61" s="128">
        <v>4562528</v>
      </c>
      <c r="PR61" s="128">
        <v>4562528</v>
      </c>
      <c r="PS61" s="128">
        <v>100</v>
      </c>
      <c r="PT61" s="128">
        <v>100</v>
      </c>
      <c r="PV61" s="128">
        <v>6172387</v>
      </c>
      <c r="PX61" s="128">
        <v>4591000</v>
      </c>
      <c r="PY61" s="128">
        <v>4525979</v>
      </c>
      <c r="PZ61" s="128">
        <v>4562528</v>
      </c>
      <c r="QA61" s="128">
        <v>0</v>
      </c>
      <c r="QB61" s="128">
        <v>0</v>
      </c>
      <c r="QC61" s="128">
        <v>0</v>
      </c>
      <c r="QD61" s="128">
        <v>0</v>
      </c>
      <c r="QE61" s="128">
        <v>0</v>
      </c>
      <c r="QF61" s="128">
        <v>0</v>
      </c>
      <c r="QG61" s="128">
        <v>2007447</v>
      </c>
      <c r="QH61" s="128">
        <v>2262960</v>
      </c>
      <c r="QI61" s="128">
        <v>805152</v>
      </c>
      <c r="QJ61" s="128">
        <v>5157949</v>
      </c>
      <c r="QK61" s="128">
        <v>5302000</v>
      </c>
      <c r="QL61" s="128">
        <v>4040000</v>
      </c>
      <c r="QN61" s="128">
        <v>865938</v>
      </c>
      <c r="QO61" s="128">
        <v>1273000</v>
      </c>
      <c r="QP61" s="128">
        <v>672000</v>
      </c>
      <c r="QR61" s="128">
        <v>89688</v>
      </c>
      <c r="QS61" s="128">
        <v>89800</v>
      </c>
      <c r="QT61" s="128">
        <v>59840</v>
      </c>
      <c r="RD61" s="128">
        <v>187726</v>
      </c>
      <c r="RE61" s="128">
        <v>220540</v>
      </c>
      <c r="RF61" s="128">
        <v>134400</v>
      </c>
      <c r="RH61" s="128">
        <f t="shared" si="104"/>
        <v>5561920</v>
      </c>
      <c r="RI61" s="128">
        <v>0</v>
      </c>
      <c r="RM61" s="128" t="s">
        <v>220</v>
      </c>
      <c r="RU61" s="130"/>
      <c r="RV61" s="130"/>
      <c r="RW61" s="130"/>
      <c r="RX61" s="130"/>
      <c r="SF61" s="128">
        <f t="shared" si="8"/>
        <v>2837121</v>
      </c>
      <c r="SG61" s="131">
        <f t="shared" si="9"/>
        <v>10273920</v>
      </c>
      <c r="SH61" s="131">
        <f t="shared" si="10"/>
        <v>10273920</v>
      </c>
      <c r="SI61" s="131">
        <f t="shared" si="11"/>
        <v>7848480</v>
      </c>
      <c r="SJ61" s="132">
        <f t="shared" si="12"/>
        <v>7771680</v>
      </c>
      <c r="SK61" s="132">
        <f t="shared" si="13"/>
        <v>0</v>
      </c>
      <c r="SL61" s="132">
        <f t="shared" si="14"/>
        <v>0</v>
      </c>
      <c r="SM61" s="132">
        <f t="shared" si="15"/>
        <v>76800</v>
      </c>
      <c r="SN61" s="131">
        <f t="shared" si="16"/>
        <v>2425440</v>
      </c>
      <c r="SO61" s="131">
        <f t="shared" si="17"/>
        <v>89600</v>
      </c>
      <c r="SP61" s="132">
        <f t="shared" si="18"/>
        <v>24000</v>
      </c>
      <c r="SQ61" s="132">
        <f t="shared" si="19"/>
        <v>65600</v>
      </c>
      <c r="SR61" s="132">
        <f t="shared" si="20"/>
        <v>552000</v>
      </c>
      <c r="SS61" s="132">
        <f t="shared" si="21"/>
        <v>40000</v>
      </c>
      <c r="ST61" s="132">
        <f t="shared" si="22"/>
        <v>4800</v>
      </c>
      <c r="SU61" s="132">
        <f t="shared" si="23"/>
        <v>241600</v>
      </c>
      <c r="SV61" s="131">
        <f t="shared" si="24"/>
        <v>1056320</v>
      </c>
      <c r="SW61" s="132">
        <f t="shared" si="25"/>
        <v>336000</v>
      </c>
      <c r="SX61" s="132">
        <f t="shared" si="26"/>
        <v>13600</v>
      </c>
      <c r="SY61" s="132">
        <f t="shared" si="27"/>
        <v>0</v>
      </c>
      <c r="SZ61" s="132">
        <f t="shared" si="28"/>
        <v>172000</v>
      </c>
      <c r="TA61" s="132">
        <f t="shared" si="29"/>
        <v>9600</v>
      </c>
      <c r="TB61" s="132">
        <f t="shared" si="30"/>
        <v>244000</v>
      </c>
      <c r="TC61" s="132">
        <f t="shared" si="31"/>
        <v>16000</v>
      </c>
      <c r="TD61" s="132">
        <f t="shared" si="32"/>
        <v>0</v>
      </c>
      <c r="TE61" s="132">
        <f t="shared" si="33"/>
        <v>0</v>
      </c>
      <c r="TF61" s="132">
        <f t="shared" si="34"/>
        <v>265120</v>
      </c>
      <c r="TG61" s="132">
        <f t="shared" si="35"/>
        <v>375040</v>
      </c>
      <c r="TH61" s="132">
        <f t="shared" si="36"/>
        <v>66080</v>
      </c>
      <c r="TI61" s="1"/>
      <c r="TJ61" s="131">
        <f t="shared" si="37"/>
        <v>4562528</v>
      </c>
      <c r="TK61" s="131">
        <f t="shared" si="38"/>
        <v>4562528</v>
      </c>
      <c r="TL61" s="131">
        <f t="shared" si="39"/>
        <v>4562528</v>
      </c>
      <c r="TM61" s="132">
        <f t="shared" si="40"/>
        <v>4562528</v>
      </c>
      <c r="TN61" s="132">
        <f t="shared" si="41"/>
        <v>0</v>
      </c>
      <c r="TO61" s="132">
        <f t="shared" si="42"/>
        <v>0</v>
      </c>
      <c r="TP61" s="132">
        <f t="shared" si="43"/>
        <v>0</v>
      </c>
      <c r="TQ61" s="131">
        <f t="shared" si="44"/>
        <v>0</v>
      </c>
      <c r="TR61" s="131">
        <f t="shared" si="45"/>
        <v>0</v>
      </c>
      <c r="TS61" s="132">
        <f t="shared" si="46"/>
        <v>0</v>
      </c>
      <c r="TT61" s="132">
        <f t="shared" si="47"/>
        <v>0</v>
      </c>
      <c r="TU61" s="132">
        <f t="shared" si="48"/>
        <v>0</v>
      </c>
      <c r="TV61" s="132">
        <f t="shared" si="49"/>
        <v>0</v>
      </c>
      <c r="TW61" s="132">
        <f t="shared" si="50"/>
        <v>0</v>
      </c>
      <c r="TX61" s="132">
        <f t="shared" si="51"/>
        <v>0</v>
      </c>
      <c r="TY61" s="131">
        <f t="shared" si="52"/>
        <v>0</v>
      </c>
      <c r="TZ61" s="132">
        <f t="shared" si="53"/>
        <v>0</v>
      </c>
      <c r="UA61" s="132">
        <f t="shared" si="54"/>
        <v>0</v>
      </c>
      <c r="UB61" s="132">
        <f t="shared" si="55"/>
        <v>0</v>
      </c>
      <c r="UC61" s="132">
        <f t="shared" si="56"/>
        <v>0</v>
      </c>
      <c r="UD61" s="132">
        <f t="shared" si="57"/>
        <v>0</v>
      </c>
      <c r="UE61" s="132">
        <f t="shared" si="58"/>
        <v>0</v>
      </c>
      <c r="UF61" s="132">
        <f t="shared" si="59"/>
        <v>0</v>
      </c>
      <c r="UG61" s="132">
        <f t="shared" si="60"/>
        <v>0</v>
      </c>
      <c r="UH61" s="132">
        <f t="shared" si="61"/>
        <v>0</v>
      </c>
      <c r="UI61" s="132">
        <f t="shared" si="62"/>
        <v>0</v>
      </c>
      <c r="UJ61" s="132">
        <f t="shared" si="63"/>
        <v>0</v>
      </c>
      <c r="UK61" s="132">
        <f t="shared" si="64"/>
        <v>0</v>
      </c>
      <c r="UL61" s="132">
        <f t="shared" si="105"/>
        <v>4562528</v>
      </c>
      <c r="UM61" s="131">
        <f t="shared" si="65"/>
        <v>4562528</v>
      </c>
      <c r="UN61" s="131">
        <f t="shared" si="66"/>
        <v>4562528</v>
      </c>
      <c r="UO61" s="131">
        <f t="shared" si="67"/>
        <v>4562528</v>
      </c>
      <c r="UP61" s="132">
        <f t="shared" si="68"/>
        <v>4562528</v>
      </c>
      <c r="UQ61" s="132">
        <f t="shared" si="69"/>
        <v>0</v>
      </c>
      <c r="UR61" s="132">
        <f t="shared" si="70"/>
        <v>0</v>
      </c>
      <c r="US61" s="132">
        <f t="shared" si="71"/>
        <v>0</v>
      </c>
      <c r="UT61" s="131">
        <f t="shared" si="72"/>
        <v>0</v>
      </c>
      <c r="UU61" s="131">
        <f t="shared" si="73"/>
        <v>0</v>
      </c>
      <c r="UV61" s="132">
        <f t="shared" si="74"/>
        <v>0</v>
      </c>
      <c r="UW61" s="132">
        <f t="shared" si="75"/>
        <v>0</v>
      </c>
      <c r="UX61" s="132">
        <f t="shared" si="76"/>
        <v>0</v>
      </c>
      <c r="UY61" s="132">
        <f t="shared" si="77"/>
        <v>0</v>
      </c>
      <c r="UZ61" s="132">
        <f t="shared" si="78"/>
        <v>0</v>
      </c>
      <c r="VA61" s="132">
        <f t="shared" si="79"/>
        <v>0</v>
      </c>
      <c r="VB61" s="131">
        <f t="shared" si="80"/>
        <v>0</v>
      </c>
      <c r="VC61" s="132">
        <f t="shared" si="81"/>
        <v>0</v>
      </c>
      <c r="VD61" s="132">
        <f t="shared" si="82"/>
        <v>0</v>
      </c>
      <c r="VE61" s="132">
        <f t="shared" si="83"/>
        <v>0</v>
      </c>
      <c r="VF61" s="132">
        <f t="shared" si="84"/>
        <v>0</v>
      </c>
      <c r="VG61" s="132">
        <f t="shared" si="85"/>
        <v>0</v>
      </c>
      <c r="VH61" s="132">
        <f t="shared" si="86"/>
        <v>0</v>
      </c>
      <c r="VI61" s="132">
        <f t="shared" si="87"/>
        <v>0</v>
      </c>
      <c r="VJ61" s="132">
        <f t="shared" si="88"/>
        <v>0</v>
      </c>
      <c r="VK61" s="132">
        <f t="shared" si="89"/>
        <v>0</v>
      </c>
      <c r="VL61" s="132">
        <f t="shared" si="90"/>
        <v>0</v>
      </c>
      <c r="VM61" s="132">
        <f t="shared" si="91"/>
        <v>0</v>
      </c>
      <c r="VN61" s="132">
        <f t="shared" si="92"/>
        <v>0</v>
      </c>
      <c r="VP61" s="845" t="str">
        <f>IFERROR(HLOOKUP(F61,'Hodnocení '!$C$1:$JH$5,2,FALSE),0)</f>
        <v>Domov důchodců Černožice</v>
      </c>
      <c r="VQ61" s="838"/>
      <c r="VR61" s="845" t="str">
        <f t="shared" si="106"/>
        <v>Příspěvková organizace zřízená územním samosprávným celkem</v>
      </c>
      <c r="VS61" s="845" t="str">
        <f>IFERROR(HLOOKUP(F61,'Hodnocení '!$C$1:$JH$5,5,FALSE),0)</f>
        <v>PO KHK</v>
      </c>
      <c r="VT61" s="838">
        <f t="shared" si="107"/>
        <v>0</v>
      </c>
      <c r="VU61" s="838" t="str">
        <f t="shared" si="108"/>
        <v>PO KHK</v>
      </c>
      <c r="VV61" s="838">
        <f t="shared" si="109"/>
        <v>4040000</v>
      </c>
      <c r="VW61" s="838">
        <f t="shared" si="110"/>
        <v>672000</v>
      </c>
      <c r="VX61" s="838"/>
      <c r="VY61" s="838">
        <f t="shared" si="114"/>
        <v>0</v>
      </c>
      <c r="VZ61" s="838">
        <f t="shared" si="115"/>
        <v>4562528</v>
      </c>
      <c r="WA61" s="846">
        <f>IFERROR(HLOOKUP($F61,'Hodnocení '!$C$1:$JH$9,9,FALSE),0)</f>
        <v>4562528</v>
      </c>
      <c r="WB61" s="846">
        <f>IF(IFERROR(HLOOKUP($F61,'Hodnocení '!$C$1:$JH$13,13,FALSE),0)&gt;WA61,WA61,IFERROR(HLOOKUP($F61,'Hodnocení '!$C$1:$JH$13,13,FALSE),0))</f>
        <v>4562528</v>
      </c>
      <c r="WC61" s="846">
        <f>IFERROR(HLOOKUP($F61,'Hodnocení '!$C$1:$JH$155,155,FALSE),0)</f>
        <v>3337990</v>
      </c>
      <c r="WD61" s="845"/>
      <c r="WE61" s="845"/>
      <c r="WF61" s="845" t="str">
        <f t="shared" si="97"/>
        <v>ANO</v>
      </c>
      <c r="WG61" s="849" t="str">
        <f t="shared" si="117"/>
        <v>Podpora služby je vyjádřena zařazením do sítě sociálních služeb v KHK a řešením financování služby</v>
      </c>
      <c r="WH61"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61" s="849" t="str">
        <f t="shared" si="117"/>
        <v>Návrh dotace je výsledkem projednání s ostatními zadavateli v rámci sítě služeb KHK</v>
      </c>
      <c r="WJ61" s="849" t="str">
        <f t="shared" si="117"/>
        <v>Bez komentáře</v>
      </c>
      <c r="WK61" s="31">
        <f t="shared" si="99"/>
        <v>0</v>
      </c>
      <c r="WL61" s="850" t="str">
        <f t="shared" si="100"/>
        <v>Případná úprava příspěvku zřizovatele bude řešena v návaznosti na vývoj služby</v>
      </c>
      <c r="WM61" s="849" t="str">
        <f t="shared" si="101"/>
        <v>V rámci sítě KHK se dlouhodobě řeší otázka navyšování úhrad a průběžně se monitoruje s vazbou na vykrytí vyrovnávací platby</v>
      </c>
      <c r="WN61" s="849" t="str">
        <f t="shared" si="102"/>
        <v>Otázka výběru od zdravotních pojišťoven je předmětem procesu, který probíhá ve formě jednání se ZP a organizacemi</v>
      </c>
      <c r="WO61" s="849" t="str">
        <f t="shared" si="116"/>
        <v>bez komentáře</v>
      </c>
      <c r="WP61" s="849" t="str">
        <f t="shared" si="116"/>
        <v>bez komentáře</v>
      </c>
      <c r="WQ61" s="849" t="str">
        <f t="shared" si="116"/>
        <v>Konečná výše dotace z rozpočtu KHK bude řešena v návaznosti na řešení podílů jednotlivých zadavatelů.</v>
      </c>
      <c r="WR61" s="849" t="str">
        <f t="shared" si="116"/>
        <v>Konečná výše podpory ze stran obcí bude řešena v součinnosti s jednotlivými zadavateli v průběhu roku.</v>
      </c>
      <c r="WS61" s="849" t="str">
        <f t="shared" si="116"/>
        <v>bez komentáře</v>
      </c>
      <c r="WT61" s="849" t="str">
        <f t="shared" si="116"/>
        <v>bez komentáře</v>
      </c>
      <c r="WU61" s="845"/>
    </row>
    <row r="62" spans="1:619" s="128" customFormat="1" x14ac:dyDescent="0.25">
      <c r="A62" s="128" t="str">
        <f>VLOOKUP(F62,'Výpočet VP 2020'!$D$324:$I$588,6,FALSE)</f>
        <v>Je v síti</v>
      </c>
      <c r="B62" s="128" t="s">
        <v>447</v>
      </c>
      <c r="C62" s="128">
        <v>579017</v>
      </c>
      <c r="D62" s="128" t="s">
        <v>448</v>
      </c>
      <c r="E62" s="128" t="s">
        <v>259</v>
      </c>
      <c r="F62" s="128">
        <v>3754207</v>
      </c>
      <c r="G62" s="128" t="s">
        <v>392</v>
      </c>
      <c r="H62" s="128" t="s">
        <v>218</v>
      </c>
      <c r="I62" s="128" t="s">
        <v>447</v>
      </c>
      <c r="J62" s="129">
        <v>39083</v>
      </c>
      <c r="L62" s="128" t="s">
        <v>220</v>
      </c>
      <c r="M62" s="128" t="s">
        <v>451</v>
      </c>
      <c r="N62" s="128">
        <v>86</v>
      </c>
      <c r="P62" s="128">
        <v>78</v>
      </c>
      <c r="Q62" s="128">
        <v>78</v>
      </c>
      <c r="R62" s="128">
        <v>86</v>
      </c>
      <c r="W62" s="128" t="s">
        <v>452</v>
      </c>
      <c r="BL62" s="128" t="s">
        <v>443</v>
      </c>
      <c r="BM62" s="128" t="s">
        <v>304</v>
      </c>
      <c r="BN62" s="128" t="s">
        <v>326</v>
      </c>
      <c r="DA62" s="128">
        <v>0</v>
      </c>
      <c r="DB62" s="128">
        <v>0</v>
      </c>
      <c r="DC62" s="128">
        <v>0</v>
      </c>
      <c r="DD62" s="128">
        <v>0</v>
      </c>
      <c r="DE62" s="128">
        <v>0</v>
      </c>
      <c r="DF62" s="128">
        <v>0</v>
      </c>
      <c r="DG62" s="128">
        <v>6</v>
      </c>
      <c r="DH62" s="128">
        <v>32</v>
      </c>
      <c r="DI62" s="128">
        <v>40</v>
      </c>
      <c r="DJ62" s="128">
        <v>0</v>
      </c>
      <c r="DK62" s="128">
        <v>0</v>
      </c>
      <c r="DL62" s="128">
        <v>6</v>
      </c>
      <c r="DM62" s="128">
        <v>32</v>
      </c>
      <c r="DN62" s="128">
        <v>40</v>
      </c>
      <c r="DO62" s="128">
        <v>0</v>
      </c>
      <c r="DP62" s="128">
        <v>0</v>
      </c>
      <c r="DQ62" s="128">
        <v>78</v>
      </c>
      <c r="DR62" s="128">
        <v>78</v>
      </c>
      <c r="DS62" s="128">
        <v>0</v>
      </c>
      <c r="DT62" s="128">
        <v>0</v>
      </c>
      <c r="DU62" s="128">
        <v>0</v>
      </c>
      <c r="DV62" s="128">
        <v>0</v>
      </c>
      <c r="DW62" s="128">
        <v>0</v>
      </c>
      <c r="DX62" s="128">
        <v>1</v>
      </c>
      <c r="DY62" s="128">
        <v>2</v>
      </c>
      <c r="DZ62" s="128">
        <v>30</v>
      </c>
      <c r="EA62" s="128">
        <v>53</v>
      </c>
      <c r="EB62" s="128">
        <v>0</v>
      </c>
      <c r="EC62" s="128">
        <v>1</v>
      </c>
      <c r="ED62" s="128">
        <v>2</v>
      </c>
      <c r="EE62" s="128">
        <v>30</v>
      </c>
      <c r="EF62" s="128">
        <v>53</v>
      </c>
      <c r="EG62" s="128">
        <v>0</v>
      </c>
      <c r="EH62" s="128">
        <v>0</v>
      </c>
      <c r="EI62" s="128">
        <v>86</v>
      </c>
      <c r="EJ62" s="128">
        <v>86</v>
      </c>
      <c r="EK62" s="128">
        <v>4</v>
      </c>
      <c r="EL62" s="128">
        <v>3.36</v>
      </c>
      <c r="EM62" s="128">
        <v>0.96</v>
      </c>
      <c r="EN62" s="128">
        <v>2163395</v>
      </c>
      <c r="EO62" s="128">
        <v>1550000</v>
      </c>
      <c r="EP62" s="128">
        <v>47</v>
      </c>
      <c r="EQ62" s="128">
        <v>39.229999999999997</v>
      </c>
      <c r="ER62" s="128">
        <v>9.74</v>
      </c>
      <c r="ES62" s="128">
        <v>21679039</v>
      </c>
      <c r="ET62" s="128">
        <v>18628272</v>
      </c>
      <c r="EU62" s="128">
        <v>12</v>
      </c>
      <c r="EV62" s="128">
        <v>10.08</v>
      </c>
      <c r="EW62" s="128">
        <v>2.64</v>
      </c>
      <c r="EX62" s="128">
        <v>7572389</v>
      </c>
      <c r="EY62" s="128">
        <v>0</v>
      </c>
      <c r="FO62" s="128">
        <v>23</v>
      </c>
      <c r="FP62" s="128">
        <v>19.32</v>
      </c>
      <c r="FQ62" s="128">
        <v>5.52</v>
      </c>
      <c r="FR62" s="128">
        <v>9386497</v>
      </c>
      <c r="FS62" s="128">
        <v>3775000</v>
      </c>
      <c r="KG62" s="128">
        <v>0</v>
      </c>
      <c r="KI62" s="128">
        <v>52.67</v>
      </c>
      <c r="KJ62" s="128">
        <v>0</v>
      </c>
      <c r="KK62" s="128">
        <v>0</v>
      </c>
      <c r="KL62" s="128">
        <v>0</v>
      </c>
      <c r="KM62" s="128">
        <v>52.67</v>
      </c>
      <c r="KN62" s="128">
        <v>40801320</v>
      </c>
      <c r="KO62" s="128">
        <v>23953272</v>
      </c>
      <c r="KP62" s="128">
        <v>23953272</v>
      </c>
      <c r="KT62" s="128">
        <v>0</v>
      </c>
      <c r="KU62" s="128">
        <v>0</v>
      </c>
      <c r="KV62" s="128">
        <v>0</v>
      </c>
      <c r="KZ62" s="128">
        <v>0</v>
      </c>
      <c r="LA62" s="128">
        <v>0</v>
      </c>
      <c r="LB62" s="128">
        <v>0</v>
      </c>
      <c r="LF62" s="128">
        <v>403200</v>
      </c>
      <c r="LG62" s="128">
        <v>0</v>
      </c>
      <c r="LH62" s="128">
        <v>0</v>
      </c>
      <c r="LL62" s="128">
        <v>126000</v>
      </c>
      <c r="LM62" s="128">
        <v>0</v>
      </c>
      <c r="LN62" s="128">
        <v>0</v>
      </c>
      <c r="LR62" s="128">
        <v>344400</v>
      </c>
      <c r="LS62" s="128">
        <v>0</v>
      </c>
      <c r="LT62" s="128">
        <v>0</v>
      </c>
      <c r="LX62" s="128">
        <v>2898000</v>
      </c>
      <c r="LY62" s="128">
        <v>0</v>
      </c>
      <c r="LZ62" s="128">
        <v>0</v>
      </c>
      <c r="MD62" s="128">
        <v>210000</v>
      </c>
      <c r="ME62" s="128">
        <v>0</v>
      </c>
      <c r="MF62" s="128">
        <v>0</v>
      </c>
      <c r="MJ62" s="128">
        <v>25200</v>
      </c>
      <c r="MK62" s="128">
        <v>0</v>
      </c>
      <c r="ML62" s="128">
        <v>0</v>
      </c>
      <c r="MP62" s="128">
        <v>1268400</v>
      </c>
      <c r="MQ62" s="128">
        <v>0</v>
      </c>
      <c r="MR62" s="128">
        <v>0</v>
      </c>
      <c r="MV62" s="128">
        <v>1764000</v>
      </c>
      <c r="MW62" s="128">
        <v>0</v>
      </c>
      <c r="MX62" s="128">
        <v>0</v>
      </c>
      <c r="NB62" s="128">
        <v>71400</v>
      </c>
      <c r="NC62" s="128">
        <v>0</v>
      </c>
      <c r="ND62" s="128">
        <v>0</v>
      </c>
      <c r="NH62" s="128">
        <v>0</v>
      </c>
      <c r="NI62" s="128">
        <v>0</v>
      </c>
      <c r="NJ62" s="128">
        <v>0</v>
      </c>
      <c r="NN62" s="128">
        <v>903000</v>
      </c>
      <c r="NO62" s="128">
        <v>0</v>
      </c>
      <c r="NP62" s="128">
        <v>0</v>
      </c>
      <c r="NT62" s="128">
        <v>50400</v>
      </c>
      <c r="NU62" s="128">
        <v>0</v>
      </c>
      <c r="NV62" s="128">
        <v>0</v>
      </c>
      <c r="NZ62" s="128">
        <v>1281000</v>
      </c>
      <c r="OA62" s="128">
        <v>0</v>
      </c>
      <c r="OB62" s="128">
        <v>0</v>
      </c>
      <c r="OF62" s="128">
        <v>84000</v>
      </c>
      <c r="OG62" s="128">
        <v>0</v>
      </c>
      <c r="OH62" s="128">
        <v>0</v>
      </c>
      <c r="OL62" s="128">
        <v>0</v>
      </c>
      <c r="OM62" s="128">
        <v>0</v>
      </c>
      <c r="ON62" s="128">
        <v>0</v>
      </c>
      <c r="OR62" s="128">
        <v>0</v>
      </c>
      <c r="OS62" s="128">
        <v>0</v>
      </c>
      <c r="OT62" s="128">
        <v>0</v>
      </c>
      <c r="OX62" s="128">
        <v>1391880</v>
      </c>
      <c r="OY62" s="128">
        <v>0</v>
      </c>
      <c r="OZ62" s="128">
        <v>0</v>
      </c>
      <c r="PD62" s="128">
        <v>1968960</v>
      </c>
      <c r="PE62" s="128">
        <v>0</v>
      </c>
      <c r="PF62" s="128">
        <v>0</v>
      </c>
      <c r="PJ62" s="128">
        <v>346920</v>
      </c>
      <c r="PK62" s="128">
        <v>0</v>
      </c>
      <c r="PL62" s="128">
        <v>0</v>
      </c>
      <c r="PP62" s="128">
        <v>53938080</v>
      </c>
      <c r="PQ62" s="128">
        <v>23953272</v>
      </c>
      <c r="PR62" s="128">
        <v>23953272</v>
      </c>
      <c r="PS62" s="128">
        <v>100</v>
      </c>
      <c r="PT62" s="128">
        <v>100</v>
      </c>
      <c r="PV62" s="128">
        <v>26483122</v>
      </c>
      <c r="PX62" s="128">
        <v>10571000</v>
      </c>
      <c r="PY62" s="128">
        <v>10994091</v>
      </c>
      <c r="PZ62" s="128">
        <v>23953272</v>
      </c>
      <c r="QA62" s="128">
        <v>0</v>
      </c>
      <c r="QB62" s="128">
        <v>0</v>
      </c>
      <c r="QC62" s="128">
        <v>0</v>
      </c>
      <c r="QD62" s="128">
        <v>0</v>
      </c>
      <c r="QE62" s="128">
        <v>0</v>
      </c>
      <c r="QF62" s="128">
        <v>0</v>
      </c>
      <c r="QG62" s="128">
        <v>5827553</v>
      </c>
      <c r="QH62" s="128">
        <v>7166040</v>
      </c>
      <c r="QI62" s="128">
        <v>4227048</v>
      </c>
      <c r="QJ62" s="128">
        <v>19448589</v>
      </c>
      <c r="QK62" s="128">
        <v>19948000</v>
      </c>
      <c r="QL62" s="128">
        <v>21210000</v>
      </c>
      <c r="QN62" s="128">
        <v>2742138</v>
      </c>
      <c r="QO62" s="128">
        <v>4030000</v>
      </c>
      <c r="QP62" s="128">
        <v>3528000</v>
      </c>
      <c r="QR62" s="128">
        <v>284013</v>
      </c>
      <c r="QS62" s="128">
        <v>284200</v>
      </c>
      <c r="QT62" s="128">
        <v>314160</v>
      </c>
      <c r="RD62" s="128">
        <v>594464</v>
      </c>
      <c r="RE62" s="128">
        <v>697460</v>
      </c>
      <c r="RF62" s="128">
        <v>705600</v>
      </c>
      <c r="RH62" s="128">
        <f t="shared" si="104"/>
        <v>29200080</v>
      </c>
      <c r="RI62" s="128">
        <v>0</v>
      </c>
      <c r="RM62" s="128" t="s">
        <v>220</v>
      </c>
      <c r="RU62" s="130"/>
      <c r="RV62" s="130"/>
      <c r="RW62" s="130"/>
      <c r="RX62" s="130"/>
      <c r="SF62" s="128">
        <f t="shared" si="8"/>
        <v>3754207</v>
      </c>
      <c r="SG62" s="131">
        <f t="shared" si="9"/>
        <v>53938080</v>
      </c>
      <c r="SH62" s="131">
        <f t="shared" si="10"/>
        <v>53938080</v>
      </c>
      <c r="SI62" s="131">
        <f t="shared" si="11"/>
        <v>41204520</v>
      </c>
      <c r="SJ62" s="132">
        <f t="shared" si="12"/>
        <v>40801320</v>
      </c>
      <c r="SK62" s="132">
        <f t="shared" si="13"/>
        <v>0</v>
      </c>
      <c r="SL62" s="132">
        <f t="shared" si="14"/>
        <v>0</v>
      </c>
      <c r="SM62" s="132">
        <f t="shared" si="15"/>
        <v>403200</v>
      </c>
      <c r="SN62" s="131">
        <f t="shared" si="16"/>
        <v>12733560</v>
      </c>
      <c r="SO62" s="131">
        <f t="shared" si="17"/>
        <v>470400</v>
      </c>
      <c r="SP62" s="132">
        <f t="shared" si="18"/>
        <v>126000</v>
      </c>
      <c r="SQ62" s="132">
        <f t="shared" si="19"/>
        <v>344400</v>
      </c>
      <c r="SR62" s="132">
        <f t="shared" si="20"/>
        <v>2898000</v>
      </c>
      <c r="SS62" s="132">
        <f t="shared" si="21"/>
        <v>210000</v>
      </c>
      <c r="ST62" s="132">
        <f t="shared" si="22"/>
        <v>25200</v>
      </c>
      <c r="SU62" s="132">
        <f t="shared" si="23"/>
        <v>1268400</v>
      </c>
      <c r="SV62" s="131">
        <f t="shared" si="24"/>
        <v>5545680</v>
      </c>
      <c r="SW62" s="132">
        <f t="shared" si="25"/>
        <v>1764000</v>
      </c>
      <c r="SX62" s="132">
        <f t="shared" si="26"/>
        <v>71400</v>
      </c>
      <c r="SY62" s="132">
        <f t="shared" si="27"/>
        <v>0</v>
      </c>
      <c r="SZ62" s="132">
        <f t="shared" si="28"/>
        <v>903000</v>
      </c>
      <c r="TA62" s="132">
        <f t="shared" si="29"/>
        <v>50400</v>
      </c>
      <c r="TB62" s="132">
        <f t="shared" si="30"/>
        <v>1281000</v>
      </c>
      <c r="TC62" s="132">
        <f t="shared" si="31"/>
        <v>84000</v>
      </c>
      <c r="TD62" s="132">
        <f t="shared" si="32"/>
        <v>0</v>
      </c>
      <c r="TE62" s="132">
        <f t="shared" si="33"/>
        <v>0</v>
      </c>
      <c r="TF62" s="132">
        <f t="shared" si="34"/>
        <v>1391880</v>
      </c>
      <c r="TG62" s="132">
        <f t="shared" si="35"/>
        <v>1968960</v>
      </c>
      <c r="TH62" s="132">
        <f t="shared" si="36"/>
        <v>346920</v>
      </c>
      <c r="TI62" s="1"/>
      <c r="TJ62" s="131">
        <f t="shared" si="37"/>
        <v>23953272</v>
      </c>
      <c r="TK62" s="131">
        <f t="shared" si="38"/>
        <v>23953272</v>
      </c>
      <c r="TL62" s="131">
        <f t="shared" si="39"/>
        <v>23953272</v>
      </c>
      <c r="TM62" s="132">
        <f t="shared" si="40"/>
        <v>23953272</v>
      </c>
      <c r="TN62" s="132">
        <f t="shared" si="41"/>
        <v>0</v>
      </c>
      <c r="TO62" s="132">
        <f t="shared" si="42"/>
        <v>0</v>
      </c>
      <c r="TP62" s="132">
        <f t="shared" si="43"/>
        <v>0</v>
      </c>
      <c r="TQ62" s="131">
        <f t="shared" si="44"/>
        <v>0</v>
      </c>
      <c r="TR62" s="131">
        <f t="shared" si="45"/>
        <v>0</v>
      </c>
      <c r="TS62" s="132">
        <f t="shared" si="46"/>
        <v>0</v>
      </c>
      <c r="TT62" s="132">
        <f t="shared" si="47"/>
        <v>0</v>
      </c>
      <c r="TU62" s="132">
        <f t="shared" si="48"/>
        <v>0</v>
      </c>
      <c r="TV62" s="132">
        <f t="shared" si="49"/>
        <v>0</v>
      </c>
      <c r="TW62" s="132">
        <f t="shared" si="50"/>
        <v>0</v>
      </c>
      <c r="TX62" s="132">
        <f t="shared" si="51"/>
        <v>0</v>
      </c>
      <c r="TY62" s="131">
        <f t="shared" si="52"/>
        <v>0</v>
      </c>
      <c r="TZ62" s="132">
        <f t="shared" si="53"/>
        <v>0</v>
      </c>
      <c r="UA62" s="132">
        <f t="shared" si="54"/>
        <v>0</v>
      </c>
      <c r="UB62" s="132">
        <f t="shared" si="55"/>
        <v>0</v>
      </c>
      <c r="UC62" s="132">
        <f t="shared" si="56"/>
        <v>0</v>
      </c>
      <c r="UD62" s="132">
        <f t="shared" si="57"/>
        <v>0</v>
      </c>
      <c r="UE62" s="132">
        <f t="shared" si="58"/>
        <v>0</v>
      </c>
      <c r="UF62" s="132">
        <f t="shared" si="59"/>
        <v>0</v>
      </c>
      <c r="UG62" s="132">
        <f t="shared" si="60"/>
        <v>0</v>
      </c>
      <c r="UH62" s="132">
        <f t="shared" si="61"/>
        <v>0</v>
      </c>
      <c r="UI62" s="132">
        <f t="shared" si="62"/>
        <v>0</v>
      </c>
      <c r="UJ62" s="132">
        <f t="shared" si="63"/>
        <v>0</v>
      </c>
      <c r="UK62" s="132">
        <f t="shared" si="64"/>
        <v>0</v>
      </c>
      <c r="UL62" s="132">
        <f t="shared" si="105"/>
        <v>23953272</v>
      </c>
      <c r="UM62" s="131">
        <f t="shared" si="65"/>
        <v>23953272</v>
      </c>
      <c r="UN62" s="131">
        <f t="shared" si="66"/>
        <v>23953272</v>
      </c>
      <c r="UO62" s="131">
        <f t="shared" si="67"/>
        <v>23953272</v>
      </c>
      <c r="UP62" s="132">
        <f t="shared" si="68"/>
        <v>23953272</v>
      </c>
      <c r="UQ62" s="132">
        <f t="shared" si="69"/>
        <v>0</v>
      </c>
      <c r="UR62" s="132">
        <f t="shared" si="70"/>
        <v>0</v>
      </c>
      <c r="US62" s="132">
        <f t="shared" si="71"/>
        <v>0</v>
      </c>
      <c r="UT62" s="131">
        <f t="shared" si="72"/>
        <v>0</v>
      </c>
      <c r="UU62" s="131">
        <f t="shared" si="73"/>
        <v>0</v>
      </c>
      <c r="UV62" s="132">
        <f t="shared" si="74"/>
        <v>0</v>
      </c>
      <c r="UW62" s="132">
        <f t="shared" si="75"/>
        <v>0</v>
      </c>
      <c r="UX62" s="132">
        <f t="shared" si="76"/>
        <v>0</v>
      </c>
      <c r="UY62" s="132">
        <f t="shared" si="77"/>
        <v>0</v>
      </c>
      <c r="UZ62" s="132">
        <f t="shared" si="78"/>
        <v>0</v>
      </c>
      <c r="VA62" s="132">
        <f t="shared" si="79"/>
        <v>0</v>
      </c>
      <c r="VB62" s="131">
        <f t="shared" si="80"/>
        <v>0</v>
      </c>
      <c r="VC62" s="132">
        <f t="shared" si="81"/>
        <v>0</v>
      </c>
      <c r="VD62" s="132">
        <f t="shared" si="82"/>
        <v>0</v>
      </c>
      <c r="VE62" s="132">
        <f t="shared" si="83"/>
        <v>0</v>
      </c>
      <c r="VF62" s="132">
        <f t="shared" si="84"/>
        <v>0</v>
      </c>
      <c r="VG62" s="132">
        <f t="shared" si="85"/>
        <v>0</v>
      </c>
      <c r="VH62" s="132">
        <f t="shared" si="86"/>
        <v>0</v>
      </c>
      <c r="VI62" s="132">
        <f t="shared" si="87"/>
        <v>0</v>
      </c>
      <c r="VJ62" s="132">
        <f t="shared" si="88"/>
        <v>0</v>
      </c>
      <c r="VK62" s="132">
        <f t="shared" si="89"/>
        <v>0</v>
      </c>
      <c r="VL62" s="132">
        <f t="shared" si="90"/>
        <v>0</v>
      </c>
      <c r="VM62" s="132">
        <f t="shared" si="91"/>
        <v>0</v>
      </c>
      <c r="VN62" s="132">
        <f t="shared" si="92"/>
        <v>0</v>
      </c>
      <c r="VP62" s="845" t="str">
        <f>IFERROR(HLOOKUP(F62,'Hodnocení '!$C$1:$JH$5,2,FALSE),0)</f>
        <v>Domov důchodců Černožice</v>
      </c>
      <c r="VQ62" s="838"/>
      <c r="VR62" s="845" t="str">
        <f t="shared" si="106"/>
        <v>Příspěvková organizace zřízená územním samosprávným celkem</v>
      </c>
      <c r="VS62" s="845" t="str">
        <f>IFERROR(HLOOKUP(F62,'Hodnocení '!$C$1:$JH$5,5,FALSE),0)</f>
        <v>PO KHK</v>
      </c>
      <c r="VT62" s="838">
        <f t="shared" si="107"/>
        <v>0</v>
      </c>
      <c r="VU62" s="838" t="str">
        <f t="shared" si="108"/>
        <v>PO KHK</v>
      </c>
      <c r="VV62" s="838">
        <f t="shared" si="109"/>
        <v>21210000</v>
      </c>
      <c r="VW62" s="838">
        <f t="shared" si="110"/>
        <v>3528000</v>
      </c>
      <c r="VX62" s="838"/>
      <c r="VY62" s="838">
        <f t="shared" si="114"/>
        <v>0</v>
      </c>
      <c r="VZ62" s="838">
        <f t="shared" si="115"/>
        <v>23953272</v>
      </c>
      <c r="WA62" s="846">
        <f>IFERROR(HLOOKUP($F62,'Hodnocení '!$C$1:$JH$9,9,FALSE),0)</f>
        <v>23953272</v>
      </c>
      <c r="WB62" s="846">
        <f>IF(IFERROR(HLOOKUP($F62,'Hodnocení '!$C$1:$JH$13,13,FALSE),0)&gt;WA62,WA62,IFERROR(HLOOKUP($F62,'Hodnocení '!$C$1:$JH$13,13,FALSE),0))</f>
        <v>23953272</v>
      </c>
      <c r="WC62" s="846">
        <f>IFERROR(HLOOKUP($F62,'Hodnocení '!$C$1:$JH$155,155,FALSE),0)</f>
        <v>13208120</v>
      </c>
      <c r="WD62" s="845"/>
      <c r="WE62" s="845"/>
      <c r="WF62" s="845" t="str">
        <f t="shared" si="97"/>
        <v>ANO</v>
      </c>
      <c r="WG62" s="849" t="str">
        <f t="shared" si="117"/>
        <v>Podpora služby je vyjádřena zařazením do sítě sociálních služeb v KHK a řešením financování služby</v>
      </c>
      <c r="WH62"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62" s="849" t="str">
        <f t="shared" si="117"/>
        <v>Návrh dotace je výsledkem projednání s ostatními zadavateli v rámci sítě služeb KHK</v>
      </c>
      <c r="WJ62" s="849" t="str">
        <f t="shared" si="117"/>
        <v>Bez komentáře</v>
      </c>
      <c r="WK62" s="31">
        <f t="shared" si="99"/>
        <v>0</v>
      </c>
      <c r="WL62" s="850" t="str">
        <f t="shared" si="100"/>
        <v>Případná úprava příspěvku zřizovatele bude řešena v návaznosti na vývoj služby</v>
      </c>
      <c r="WM62" s="849" t="str">
        <f t="shared" si="101"/>
        <v>V rámci sítě KHK se dlouhodobě řeší otázka navyšování úhrad a průběžně se monitoruje s vazbou na vykrytí vyrovnávací platby</v>
      </c>
      <c r="WN62" s="849" t="str">
        <f t="shared" si="102"/>
        <v>Otázka výběru od zdravotních pojišťoven je předmětem procesu, který probíhá ve formě jednání se ZP a organizacemi</v>
      </c>
      <c r="WO62" s="849" t="str">
        <f t="shared" si="116"/>
        <v>bez komentáře</v>
      </c>
      <c r="WP62" s="849" t="str">
        <f t="shared" si="116"/>
        <v>bez komentáře</v>
      </c>
      <c r="WQ62" s="849" t="str">
        <f t="shared" si="116"/>
        <v>Konečná výše dotace z rozpočtu KHK bude řešena v návaznosti na řešení podílů jednotlivých zadavatelů.</v>
      </c>
      <c r="WR62" s="849" t="str">
        <f t="shared" si="116"/>
        <v>Konečná výše podpory ze stran obcí bude řešena v součinnosti s jednotlivými zadavateli v průběhu roku.</v>
      </c>
      <c r="WS62" s="849" t="str">
        <f t="shared" si="116"/>
        <v>bez komentáře</v>
      </c>
      <c r="WT62" s="849" t="str">
        <f t="shared" si="116"/>
        <v>bez komentáře</v>
      </c>
      <c r="WU62" s="845"/>
    </row>
    <row r="63" spans="1:619" s="128" customFormat="1" x14ac:dyDescent="0.25">
      <c r="A63" s="128" t="str">
        <f>VLOOKUP(F63,'Výpočet VP 2020'!$D$324:$I$588,6,FALSE)</f>
        <v>Je v síti</v>
      </c>
      <c r="B63" s="128" t="s">
        <v>453</v>
      </c>
      <c r="C63" s="128">
        <v>194964</v>
      </c>
      <c r="D63" s="128" t="s">
        <v>454</v>
      </c>
      <c r="E63" s="128" t="s">
        <v>259</v>
      </c>
      <c r="F63" s="128">
        <v>4753225</v>
      </c>
      <c r="G63" s="128" t="s">
        <v>348</v>
      </c>
      <c r="H63" s="128" t="s">
        <v>218</v>
      </c>
      <c r="I63" s="128" t="s">
        <v>453</v>
      </c>
      <c r="J63" s="129">
        <v>39083</v>
      </c>
      <c r="L63" s="128" t="s">
        <v>220</v>
      </c>
      <c r="M63" s="128" t="s">
        <v>455</v>
      </c>
      <c r="N63" s="128">
        <v>80</v>
      </c>
      <c r="P63" s="128">
        <v>106</v>
      </c>
      <c r="Q63" s="128">
        <v>104</v>
      </c>
      <c r="R63" s="128">
        <v>102</v>
      </c>
      <c r="BL63" s="128" t="s">
        <v>351</v>
      </c>
      <c r="BM63" s="128" t="s">
        <v>325</v>
      </c>
      <c r="BN63" s="128" t="s">
        <v>326</v>
      </c>
      <c r="DA63" s="128">
        <v>0</v>
      </c>
      <c r="DB63" s="128">
        <v>0</v>
      </c>
      <c r="DC63" s="128">
        <v>0</v>
      </c>
      <c r="DD63" s="128">
        <v>0</v>
      </c>
      <c r="DE63" s="128">
        <v>0</v>
      </c>
      <c r="DF63" s="128">
        <v>6</v>
      </c>
      <c r="DG63" s="128">
        <v>20</v>
      </c>
      <c r="DH63" s="128">
        <v>29</v>
      </c>
      <c r="DI63" s="128">
        <v>24</v>
      </c>
      <c r="DJ63" s="128">
        <v>0</v>
      </c>
      <c r="DK63" s="128">
        <v>6</v>
      </c>
      <c r="DL63" s="128">
        <v>20</v>
      </c>
      <c r="DM63" s="128">
        <v>29</v>
      </c>
      <c r="DN63" s="128">
        <v>24</v>
      </c>
      <c r="DO63" s="128">
        <v>0</v>
      </c>
      <c r="DP63" s="128">
        <v>0</v>
      </c>
      <c r="DQ63" s="128">
        <v>79</v>
      </c>
      <c r="DR63" s="128">
        <v>79</v>
      </c>
      <c r="DS63" s="128">
        <v>0</v>
      </c>
      <c r="DT63" s="128">
        <v>0</v>
      </c>
      <c r="DU63" s="128">
        <v>0</v>
      </c>
      <c r="DV63" s="128">
        <v>0</v>
      </c>
      <c r="DW63" s="128">
        <v>0</v>
      </c>
      <c r="DX63" s="128">
        <v>5</v>
      </c>
      <c r="DY63" s="128">
        <v>18</v>
      </c>
      <c r="DZ63" s="128">
        <v>32</v>
      </c>
      <c r="EA63" s="128">
        <v>25</v>
      </c>
      <c r="EB63" s="128">
        <v>0</v>
      </c>
      <c r="EC63" s="128">
        <v>5</v>
      </c>
      <c r="ED63" s="128">
        <v>18</v>
      </c>
      <c r="EE63" s="128">
        <v>32</v>
      </c>
      <c r="EF63" s="128">
        <v>25</v>
      </c>
      <c r="EG63" s="128">
        <v>0</v>
      </c>
      <c r="EH63" s="128">
        <v>0</v>
      </c>
      <c r="EI63" s="128">
        <v>80</v>
      </c>
      <c r="EJ63" s="128">
        <v>80</v>
      </c>
      <c r="EK63" s="128">
        <v>4</v>
      </c>
      <c r="EL63" s="128">
        <v>4</v>
      </c>
      <c r="EM63" s="128">
        <v>3.9</v>
      </c>
      <c r="EN63" s="128">
        <v>2106668</v>
      </c>
      <c r="EO63" s="128">
        <v>1416456</v>
      </c>
      <c r="EP63" s="128">
        <v>26</v>
      </c>
      <c r="EQ63" s="128">
        <v>24.55</v>
      </c>
      <c r="ER63" s="128">
        <v>25.6</v>
      </c>
      <c r="ES63" s="128">
        <v>13693337</v>
      </c>
      <c r="ET63" s="128">
        <v>9206978</v>
      </c>
      <c r="EU63" s="128">
        <v>11</v>
      </c>
      <c r="EV63" s="128">
        <v>10.25</v>
      </c>
      <c r="EW63" s="128">
        <v>10.1</v>
      </c>
      <c r="EX63" s="128">
        <v>5793335</v>
      </c>
      <c r="EY63" s="128">
        <v>0</v>
      </c>
      <c r="FO63" s="128">
        <v>19</v>
      </c>
      <c r="FP63" s="128">
        <v>17.925000000000001</v>
      </c>
      <c r="FQ63" s="128">
        <v>17.600000000000001</v>
      </c>
      <c r="FR63" s="128">
        <v>10006660</v>
      </c>
      <c r="FS63" s="128">
        <v>6728166</v>
      </c>
      <c r="KG63" s="128">
        <v>0</v>
      </c>
      <c r="KI63" s="128">
        <v>38.799999999999997</v>
      </c>
      <c r="KJ63" s="128">
        <v>0</v>
      </c>
      <c r="KK63" s="128">
        <v>0</v>
      </c>
      <c r="KL63" s="128">
        <v>0</v>
      </c>
      <c r="KM63" s="128">
        <v>38.799999999999997</v>
      </c>
      <c r="KN63" s="128">
        <v>31600000</v>
      </c>
      <c r="KO63" s="128">
        <v>17351600</v>
      </c>
      <c r="KP63" s="128">
        <v>17351600</v>
      </c>
      <c r="KT63" s="128">
        <v>0</v>
      </c>
      <c r="KU63" s="128">
        <v>0</v>
      </c>
      <c r="KV63" s="128">
        <v>0</v>
      </c>
      <c r="KZ63" s="128">
        <v>0</v>
      </c>
      <c r="LA63" s="128">
        <v>0</v>
      </c>
      <c r="LB63" s="128">
        <v>0</v>
      </c>
      <c r="LF63" s="128">
        <v>0</v>
      </c>
      <c r="LG63" s="128">
        <v>0</v>
      </c>
      <c r="LH63" s="128">
        <v>0</v>
      </c>
      <c r="LL63" s="128">
        <v>0</v>
      </c>
      <c r="LM63" s="128">
        <v>0</v>
      </c>
      <c r="LN63" s="128">
        <v>0</v>
      </c>
      <c r="LR63" s="128">
        <v>350000</v>
      </c>
      <c r="LS63" s="128">
        <v>0</v>
      </c>
      <c r="LT63" s="128">
        <v>0</v>
      </c>
      <c r="LX63" s="128">
        <v>4500000</v>
      </c>
      <c r="LY63" s="128">
        <v>0</v>
      </c>
      <c r="LZ63" s="128">
        <v>0</v>
      </c>
      <c r="MD63" s="128">
        <v>130000</v>
      </c>
      <c r="ME63" s="128">
        <v>0</v>
      </c>
      <c r="MF63" s="128">
        <v>0</v>
      </c>
      <c r="MJ63" s="128">
        <v>60000</v>
      </c>
      <c r="MK63" s="128">
        <v>0</v>
      </c>
      <c r="ML63" s="128">
        <v>0</v>
      </c>
      <c r="MP63" s="128">
        <v>1080000</v>
      </c>
      <c r="MQ63" s="128">
        <v>0</v>
      </c>
      <c r="MR63" s="128">
        <v>0</v>
      </c>
      <c r="MV63" s="128">
        <v>3500000</v>
      </c>
      <c r="MW63" s="128">
        <v>0</v>
      </c>
      <c r="MX63" s="128">
        <v>0</v>
      </c>
      <c r="NB63" s="128">
        <v>900000</v>
      </c>
      <c r="NC63" s="128">
        <v>0</v>
      </c>
      <c r="ND63" s="128">
        <v>0</v>
      </c>
      <c r="NH63" s="128">
        <v>0</v>
      </c>
      <c r="NI63" s="128">
        <v>0</v>
      </c>
      <c r="NJ63" s="128">
        <v>0</v>
      </c>
      <c r="NN63" s="128">
        <v>120000</v>
      </c>
      <c r="NO63" s="128">
        <v>0</v>
      </c>
      <c r="NP63" s="128">
        <v>0</v>
      </c>
      <c r="NT63" s="128">
        <v>200000</v>
      </c>
      <c r="NU63" s="128">
        <v>0</v>
      </c>
      <c r="NV63" s="128">
        <v>0</v>
      </c>
      <c r="NZ63" s="128">
        <v>1600000</v>
      </c>
      <c r="OA63" s="128">
        <v>0</v>
      </c>
      <c r="OB63" s="128">
        <v>0</v>
      </c>
      <c r="OF63" s="128">
        <v>80000</v>
      </c>
      <c r="OG63" s="128">
        <v>0</v>
      </c>
      <c r="OH63" s="128">
        <v>0</v>
      </c>
      <c r="OL63" s="128">
        <v>0</v>
      </c>
      <c r="OM63" s="128">
        <v>0</v>
      </c>
      <c r="ON63" s="128">
        <v>0</v>
      </c>
      <c r="OR63" s="128">
        <v>0</v>
      </c>
      <c r="OS63" s="128">
        <v>0</v>
      </c>
      <c r="OT63" s="128">
        <v>0</v>
      </c>
      <c r="OX63" s="128">
        <v>963000</v>
      </c>
      <c r="OY63" s="128">
        <v>0</v>
      </c>
      <c r="OZ63" s="128">
        <v>0</v>
      </c>
      <c r="PD63" s="128">
        <v>1400000</v>
      </c>
      <c r="PE63" s="128">
        <v>0</v>
      </c>
      <c r="PF63" s="128">
        <v>0</v>
      </c>
      <c r="PJ63" s="128">
        <v>600000</v>
      </c>
      <c r="PK63" s="128">
        <v>0</v>
      </c>
      <c r="PL63" s="128">
        <v>0</v>
      </c>
      <c r="PP63" s="128">
        <v>47083000</v>
      </c>
      <c r="PQ63" s="128">
        <v>17351600</v>
      </c>
      <c r="PR63" s="128">
        <v>17351600</v>
      </c>
      <c r="PS63" s="128">
        <v>100</v>
      </c>
      <c r="PT63" s="128">
        <v>100</v>
      </c>
      <c r="PV63" s="128">
        <v>21030905</v>
      </c>
      <c r="PX63" s="128">
        <v>13094790</v>
      </c>
      <c r="PY63" s="128">
        <v>13999762</v>
      </c>
      <c r="PZ63" s="128">
        <v>17351600</v>
      </c>
      <c r="QA63" s="128">
        <v>0</v>
      </c>
      <c r="QB63" s="128">
        <v>0</v>
      </c>
      <c r="QC63" s="128">
        <v>0</v>
      </c>
      <c r="QD63" s="128">
        <v>0</v>
      </c>
      <c r="QE63" s="128">
        <v>0</v>
      </c>
      <c r="QF63" s="128">
        <v>0</v>
      </c>
      <c r="QG63" s="128">
        <v>6141000</v>
      </c>
      <c r="QH63" s="128">
        <v>7106000</v>
      </c>
      <c r="QI63" s="128">
        <v>7436400</v>
      </c>
      <c r="QJ63" s="128">
        <v>17057573</v>
      </c>
      <c r="QK63" s="128">
        <v>18100000</v>
      </c>
      <c r="QL63" s="128">
        <v>18200000</v>
      </c>
      <c r="QN63" s="128">
        <v>4042366</v>
      </c>
      <c r="QO63" s="128">
        <v>3400000</v>
      </c>
      <c r="QP63" s="128">
        <v>3450000</v>
      </c>
      <c r="QX63" s="128">
        <v>10000</v>
      </c>
      <c r="QY63" s="128">
        <v>10000</v>
      </c>
      <c r="QZ63" s="128">
        <v>0</v>
      </c>
      <c r="RD63" s="128">
        <v>1626057</v>
      </c>
      <c r="RE63" s="128">
        <v>2665000</v>
      </c>
      <c r="RF63" s="128">
        <v>645000</v>
      </c>
      <c r="RH63" s="128">
        <f t="shared" si="104"/>
        <v>25433000</v>
      </c>
      <c r="RI63" s="128">
        <v>0</v>
      </c>
      <c r="RM63" s="128" t="s">
        <v>220</v>
      </c>
      <c r="RU63" s="130"/>
      <c r="RV63" s="130"/>
      <c r="RW63" s="130"/>
      <c r="RX63" s="130"/>
      <c r="SF63" s="128">
        <f t="shared" si="8"/>
        <v>4753225</v>
      </c>
      <c r="SG63" s="131">
        <f t="shared" si="9"/>
        <v>47083000</v>
      </c>
      <c r="SH63" s="131">
        <f t="shared" si="10"/>
        <v>47083000</v>
      </c>
      <c r="SI63" s="131">
        <f t="shared" si="11"/>
        <v>31600000</v>
      </c>
      <c r="SJ63" s="132">
        <f t="shared" si="12"/>
        <v>31600000</v>
      </c>
      <c r="SK63" s="132">
        <f t="shared" si="13"/>
        <v>0</v>
      </c>
      <c r="SL63" s="132">
        <f t="shared" si="14"/>
        <v>0</v>
      </c>
      <c r="SM63" s="132">
        <f t="shared" si="15"/>
        <v>0</v>
      </c>
      <c r="SN63" s="131">
        <f t="shared" si="16"/>
        <v>15483000</v>
      </c>
      <c r="SO63" s="131">
        <f t="shared" si="17"/>
        <v>350000</v>
      </c>
      <c r="SP63" s="132">
        <f t="shared" si="18"/>
        <v>0</v>
      </c>
      <c r="SQ63" s="132">
        <f t="shared" si="19"/>
        <v>350000</v>
      </c>
      <c r="SR63" s="132">
        <f t="shared" si="20"/>
        <v>4500000</v>
      </c>
      <c r="SS63" s="132">
        <f t="shared" si="21"/>
        <v>130000</v>
      </c>
      <c r="ST63" s="132">
        <f t="shared" si="22"/>
        <v>60000</v>
      </c>
      <c r="SU63" s="132">
        <f t="shared" si="23"/>
        <v>1080000</v>
      </c>
      <c r="SV63" s="131">
        <f t="shared" si="24"/>
        <v>7363000</v>
      </c>
      <c r="SW63" s="132">
        <f t="shared" si="25"/>
        <v>3500000</v>
      </c>
      <c r="SX63" s="132">
        <f t="shared" si="26"/>
        <v>900000</v>
      </c>
      <c r="SY63" s="132">
        <f t="shared" si="27"/>
        <v>0</v>
      </c>
      <c r="SZ63" s="132">
        <f t="shared" si="28"/>
        <v>120000</v>
      </c>
      <c r="TA63" s="132">
        <f t="shared" si="29"/>
        <v>200000</v>
      </c>
      <c r="TB63" s="132">
        <f t="shared" si="30"/>
        <v>1600000</v>
      </c>
      <c r="TC63" s="132">
        <f t="shared" si="31"/>
        <v>80000</v>
      </c>
      <c r="TD63" s="132">
        <f t="shared" si="32"/>
        <v>0</v>
      </c>
      <c r="TE63" s="132">
        <f t="shared" si="33"/>
        <v>0</v>
      </c>
      <c r="TF63" s="132">
        <f t="shared" si="34"/>
        <v>963000</v>
      </c>
      <c r="TG63" s="132">
        <f t="shared" si="35"/>
        <v>1400000</v>
      </c>
      <c r="TH63" s="132">
        <f t="shared" si="36"/>
        <v>600000</v>
      </c>
      <c r="TI63" s="1"/>
      <c r="TJ63" s="131">
        <f t="shared" si="37"/>
        <v>17351600</v>
      </c>
      <c r="TK63" s="131">
        <f t="shared" si="38"/>
        <v>17351600</v>
      </c>
      <c r="TL63" s="131">
        <f t="shared" si="39"/>
        <v>17351600</v>
      </c>
      <c r="TM63" s="132">
        <f t="shared" si="40"/>
        <v>17351600</v>
      </c>
      <c r="TN63" s="132">
        <f t="shared" si="41"/>
        <v>0</v>
      </c>
      <c r="TO63" s="132">
        <f t="shared" si="42"/>
        <v>0</v>
      </c>
      <c r="TP63" s="132">
        <f t="shared" si="43"/>
        <v>0</v>
      </c>
      <c r="TQ63" s="131">
        <f t="shared" si="44"/>
        <v>0</v>
      </c>
      <c r="TR63" s="131">
        <f t="shared" si="45"/>
        <v>0</v>
      </c>
      <c r="TS63" s="132">
        <f t="shared" si="46"/>
        <v>0</v>
      </c>
      <c r="TT63" s="132">
        <f t="shared" si="47"/>
        <v>0</v>
      </c>
      <c r="TU63" s="132">
        <f t="shared" si="48"/>
        <v>0</v>
      </c>
      <c r="TV63" s="132">
        <f t="shared" si="49"/>
        <v>0</v>
      </c>
      <c r="TW63" s="132">
        <f t="shared" si="50"/>
        <v>0</v>
      </c>
      <c r="TX63" s="132">
        <f t="shared" si="51"/>
        <v>0</v>
      </c>
      <c r="TY63" s="131">
        <f t="shared" si="52"/>
        <v>0</v>
      </c>
      <c r="TZ63" s="132">
        <f t="shared" si="53"/>
        <v>0</v>
      </c>
      <c r="UA63" s="132">
        <f t="shared" si="54"/>
        <v>0</v>
      </c>
      <c r="UB63" s="132">
        <f t="shared" si="55"/>
        <v>0</v>
      </c>
      <c r="UC63" s="132">
        <f t="shared" si="56"/>
        <v>0</v>
      </c>
      <c r="UD63" s="132">
        <f t="shared" si="57"/>
        <v>0</v>
      </c>
      <c r="UE63" s="132">
        <f t="shared" si="58"/>
        <v>0</v>
      </c>
      <c r="UF63" s="132">
        <f t="shared" si="59"/>
        <v>0</v>
      </c>
      <c r="UG63" s="132">
        <f t="shared" si="60"/>
        <v>0</v>
      </c>
      <c r="UH63" s="132">
        <f t="shared" si="61"/>
        <v>0</v>
      </c>
      <c r="UI63" s="132">
        <f t="shared" si="62"/>
        <v>0</v>
      </c>
      <c r="UJ63" s="132">
        <f t="shared" si="63"/>
        <v>0</v>
      </c>
      <c r="UK63" s="132">
        <f t="shared" si="64"/>
        <v>0</v>
      </c>
      <c r="UL63" s="132">
        <f t="shared" si="105"/>
        <v>17351600</v>
      </c>
      <c r="UM63" s="131">
        <f t="shared" si="65"/>
        <v>17351600</v>
      </c>
      <c r="UN63" s="131">
        <f t="shared" si="66"/>
        <v>17351600</v>
      </c>
      <c r="UO63" s="131">
        <f t="shared" si="67"/>
        <v>17351600</v>
      </c>
      <c r="UP63" s="132">
        <f t="shared" si="68"/>
        <v>17351600</v>
      </c>
      <c r="UQ63" s="132">
        <f t="shared" si="69"/>
        <v>0</v>
      </c>
      <c r="UR63" s="132">
        <f t="shared" si="70"/>
        <v>0</v>
      </c>
      <c r="US63" s="132">
        <f t="shared" si="71"/>
        <v>0</v>
      </c>
      <c r="UT63" s="131">
        <f t="shared" si="72"/>
        <v>0</v>
      </c>
      <c r="UU63" s="131">
        <f t="shared" si="73"/>
        <v>0</v>
      </c>
      <c r="UV63" s="132">
        <f t="shared" si="74"/>
        <v>0</v>
      </c>
      <c r="UW63" s="132">
        <f t="shared" si="75"/>
        <v>0</v>
      </c>
      <c r="UX63" s="132">
        <f t="shared" si="76"/>
        <v>0</v>
      </c>
      <c r="UY63" s="132">
        <f t="shared" si="77"/>
        <v>0</v>
      </c>
      <c r="UZ63" s="132">
        <f t="shared" si="78"/>
        <v>0</v>
      </c>
      <c r="VA63" s="132">
        <f t="shared" si="79"/>
        <v>0</v>
      </c>
      <c r="VB63" s="131">
        <f t="shared" si="80"/>
        <v>0</v>
      </c>
      <c r="VC63" s="132">
        <f t="shared" si="81"/>
        <v>0</v>
      </c>
      <c r="VD63" s="132">
        <f t="shared" si="82"/>
        <v>0</v>
      </c>
      <c r="VE63" s="132">
        <f t="shared" si="83"/>
        <v>0</v>
      </c>
      <c r="VF63" s="132">
        <f t="shared" si="84"/>
        <v>0</v>
      </c>
      <c r="VG63" s="132">
        <f t="shared" si="85"/>
        <v>0</v>
      </c>
      <c r="VH63" s="132">
        <f t="shared" si="86"/>
        <v>0</v>
      </c>
      <c r="VI63" s="132">
        <f t="shared" si="87"/>
        <v>0</v>
      </c>
      <c r="VJ63" s="132">
        <f t="shared" si="88"/>
        <v>0</v>
      </c>
      <c r="VK63" s="132">
        <f t="shared" si="89"/>
        <v>0</v>
      </c>
      <c r="VL63" s="132">
        <f t="shared" si="90"/>
        <v>0</v>
      </c>
      <c r="VM63" s="132">
        <f t="shared" si="91"/>
        <v>0</v>
      </c>
      <c r="VN63" s="132">
        <f t="shared" si="92"/>
        <v>0</v>
      </c>
      <c r="VP63" s="845" t="str">
        <f>IFERROR(HLOOKUP(F63,'Hodnocení '!$C$1:$JH$5,2,FALSE),0)</f>
        <v>Domov důchodců Dvůr Králové nad Labem</v>
      </c>
      <c r="VQ63" s="838"/>
      <c r="VR63" s="845" t="str">
        <f t="shared" si="106"/>
        <v>Příspěvková organizace zřízená územním samosprávným celkem</v>
      </c>
      <c r="VS63" s="845" t="str">
        <f>IFERROR(HLOOKUP(F63,'Hodnocení '!$C$1:$JH$5,5,FALSE),0)</f>
        <v>PO KHK</v>
      </c>
      <c r="VT63" s="838">
        <f t="shared" si="107"/>
        <v>0</v>
      </c>
      <c r="VU63" s="838" t="str">
        <f t="shared" si="108"/>
        <v>PO KHK</v>
      </c>
      <c r="VV63" s="838">
        <f t="shared" si="109"/>
        <v>18200000</v>
      </c>
      <c r="VW63" s="838">
        <f t="shared" si="110"/>
        <v>3450000</v>
      </c>
      <c r="VX63" s="838"/>
      <c r="VY63" s="838">
        <f t="shared" si="114"/>
        <v>0</v>
      </c>
      <c r="VZ63" s="838">
        <f t="shared" si="115"/>
        <v>17351600</v>
      </c>
      <c r="WA63" s="846">
        <f>IFERROR(HLOOKUP($F63,'Hodnocení '!$C$1:$JH$9,9,FALSE),0)</f>
        <v>17351600</v>
      </c>
      <c r="WB63" s="846">
        <f>IF(IFERROR(HLOOKUP($F63,'Hodnocení '!$C$1:$JH$13,13,FALSE),0)&gt;WA63,WA63,IFERROR(HLOOKUP($F63,'Hodnocení '!$C$1:$JH$13,13,FALSE),0))</f>
        <v>17351600</v>
      </c>
      <c r="WC63" s="846">
        <f>IFERROR(HLOOKUP($F63,'Hodnocení '!$C$1:$JH$155,155,FALSE),0)</f>
        <v>14405760</v>
      </c>
      <c r="WD63" s="845"/>
      <c r="WE63" s="845"/>
      <c r="WF63" s="845" t="str">
        <f t="shared" si="97"/>
        <v>ANO</v>
      </c>
      <c r="WG63" s="849" t="str">
        <f t="shared" si="117"/>
        <v>Podpora služby je vyjádřena zařazením do sítě sociálních služeb v KHK a řešením financování služby</v>
      </c>
      <c r="WH63"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63" s="849" t="str">
        <f t="shared" si="117"/>
        <v>Návrh dotace je výsledkem projednání s ostatními zadavateli v rámci sítě služeb KHK</v>
      </c>
      <c r="WJ63" s="849" t="str">
        <f t="shared" si="117"/>
        <v>Bez komentáře</v>
      </c>
      <c r="WK63" s="31">
        <f t="shared" si="99"/>
        <v>0</v>
      </c>
      <c r="WL63" s="850" t="str">
        <f t="shared" si="100"/>
        <v>Případná úprava příspěvku zřizovatele bude řešena v návaznosti na vývoj služby</v>
      </c>
      <c r="WM63" s="849" t="str">
        <f t="shared" si="101"/>
        <v>V rámci sítě KHK se dlouhodobě řeší otázka navyšování úhrad a průběžně se monitoruje s vazbou na vykrytí vyrovnávací platby</v>
      </c>
      <c r="WN63" s="849" t="str">
        <f t="shared" si="102"/>
        <v>Otázka výběru od zdravotních pojišťoven je předmětem procesu, který probíhá ve formě jednání se ZP a organizacemi</v>
      </c>
      <c r="WO63" s="849" t="str">
        <f t="shared" si="116"/>
        <v>bez komentáře</v>
      </c>
      <c r="WP63" s="849" t="str">
        <f t="shared" si="116"/>
        <v>bez komentáře</v>
      </c>
      <c r="WQ63" s="849" t="str">
        <f t="shared" si="116"/>
        <v>Konečná výše dotace z rozpočtu KHK bude řešena v návaznosti na řešení podílů jednotlivých zadavatelů.</v>
      </c>
      <c r="WR63" s="849" t="str">
        <f t="shared" si="116"/>
        <v>Konečná výše podpory ze stran obcí bude řešena v součinnosti s jednotlivými zadavateli v průběhu roku.</v>
      </c>
      <c r="WS63" s="849" t="str">
        <f t="shared" si="116"/>
        <v>bez komentáře</v>
      </c>
      <c r="WT63" s="849" t="str">
        <f t="shared" si="116"/>
        <v>bez komentáře</v>
      </c>
      <c r="WU63" s="845"/>
    </row>
    <row r="64" spans="1:619" s="128" customFormat="1" x14ac:dyDescent="0.25">
      <c r="A64" s="128" t="str">
        <f>VLOOKUP(F64,'Výpočet VP 2020'!$D$324:$I$588,6,FALSE)</f>
        <v>Je v síti</v>
      </c>
      <c r="B64" s="128" t="s">
        <v>456</v>
      </c>
      <c r="C64" s="128">
        <v>61222836</v>
      </c>
      <c r="D64" s="128" t="s">
        <v>457</v>
      </c>
      <c r="E64" s="128" t="s">
        <v>259</v>
      </c>
      <c r="F64" s="128">
        <v>5040302</v>
      </c>
      <c r="G64" s="128" t="s">
        <v>348</v>
      </c>
      <c r="H64" s="128" t="s">
        <v>218</v>
      </c>
      <c r="I64" s="128" t="s">
        <v>456</v>
      </c>
      <c r="J64" s="129">
        <v>39083</v>
      </c>
      <c r="L64" s="128" t="s">
        <v>220</v>
      </c>
      <c r="M64" s="128" t="s">
        <v>458</v>
      </c>
      <c r="N64" s="128">
        <v>47</v>
      </c>
      <c r="P64" s="128">
        <v>67</v>
      </c>
      <c r="Q64" s="128">
        <v>66</v>
      </c>
      <c r="R64" s="128">
        <v>64</v>
      </c>
      <c r="BL64" s="128" t="s">
        <v>351</v>
      </c>
      <c r="BM64" s="128" t="s">
        <v>325</v>
      </c>
      <c r="BN64" s="128" t="s">
        <v>326</v>
      </c>
      <c r="DA64" s="128">
        <v>0</v>
      </c>
      <c r="DB64" s="128">
        <v>0</v>
      </c>
      <c r="DC64" s="128">
        <v>0</v>
      </c>
      <c r="DD64" s="128">
        <v>0</v>
      </c>
      <c r="DE64" s="128">
        <v>0</v>
      </c>
      <c r="DF64" s="128">
        <v>2</v>
      </c>
      <c r="DG64" s="128">
        <v>11</v>
      </c>
      <c r="DH64" s="128">
        <v>26</v>
      </c>
      <c r="DI64" s="128">
        <v>6</v>
      </c>
      <c r="DJ64" s="128">
        <v>2</v>
      </c>
      <c r="DK64" s="128">
        <v>2</v>
      </c>
      <c r="DL64" s="128">
        <v>11</v>
      </c>
      <c r="DM64" s="128">
        <v>26</v>
      </c>
      <c r="DN64" s="128">
        <v>6</v>
      </c>
      <c r="DO64" s="128">
        <v>2</v>
      </c>
      <c r="DP64" s="128">
        <v>0</v>
      </c>
      <c r="DQ64" s="128">
        <v>47</v>
      </c>
      <c r="DR64" s="128">
        <v>47</v>
      </c>
      <c r="DS64" s="128">
        <v>0</v>
      </c>
      <c r="DT64" s="128">
        <v>0</v>
      </c>
      <c r="DU64" s="128">
        <v>0</v>
      </c>
      <c r="DV64" s="128">
        <v>0</v>
      </c>
      <c r="DW64" s="128">
        <v>0</v>
      </c>
      <c r="DX64" s="128">
        <v>1</v>
      </c>
      <c r="DY64" s="128">
        <v>10</v>
      </c>
      <c r="DZ64" s="128">
        <v>25</v>
      </c>
      <c r="EA64" s="128">
        <v>11</v>
      </c>
      <c r="EB64" s="128">
        <v>0</v>
      </c>
      <c r="EC64" s="128">
        <v>1</v>
      </c>
      <c r="ED64" s="128">
        <v>10</v>
      </c>
      <c r="EE64" s="128">
        <v>25</v>
      </c>
      <c r="EF64" s="128">
        <v>11</v>
      </c>
      <c r="EG64" s="128">
        <v>0</v>
      </c>
      <c r="EH64" s="128">
        <v>0</v>
      </c>
      <c r="EI64" s="128">
        <v>47</v>
      </c>
      <c r="EJ64" s="128">
        <v>47</v>
      </c>
      <c r="EK64" s="128">
        <v>2</v>
      </c>
      <c r="EL64" s="128">
        <v>2</v>
      </c>
      <c r="EM64" s="128">
        <v>2</v>
      </c>
      <c r="EN64" s="128">
        <v>1203000</v>
      </c>
      <c r="EO64" s="128">
        <v>850000</v>
      </c>
      <c r="EP64" s="128">
        <v>12</v>
      </c>
      <c r="EQ64" s="128">
        <v>12</v>
      </c>
      <c r="ER64" s="128">
        <v>10</v>
      </c>
      <c r="ES64" s="128">
        <v>5727000</v>
      </c>
      <c r="ET64" s="128">
        <v>4750000</v>
      </c>
      <c r="EU64" s="128">
        <v>7</v>
      </c>
      <c r="EV64" s="128">
        <v>7</v>
      </c>
      <c r="EW64" s="128">
        <v>7</v>
      </c>
      <c r="EX64" s="128">
        <v>5026000</v>
      </c>
      <c r="EY64" s="128">
        <v>0</v>
      </c>
      <c r="FO64" s="128">
        <v>15</v>
      </c>
      <c r="FP64" s="128">
        <v>15</v>
      </c>
      <c r="FQ64" s="128">
        <v>15</v>
      </c>
      <c r="FR64" s="128">
        <v>7734000</v>
      </c>
      <c r="FS64" s="128">
        <v>5693100</v>
      </c>
      <c r="IN64" s="128">
        <v>1</v>
      </c>
      <c r="IO64" s="128">
        <v>300</v>
      </c>
      <c r="IP64" s="128">
        <v>0.14299999999999999</v>
      </c>
      <c r="IQ64" s="128">
        <v>45000</v>
      </c>
      <c r="IR64" s="128">
        <v>0</v>
      </c>
      <c r="KG64" s="128">
        <v>0</v>
      </c>
      <c r="KI64" s="128">
        <v>21</v>
      </c>
      <c r="KJ64" s="128">
        <v>0</v>
      </c>
      <c r="KK64" s="128">
        <v>0.14299999999999999</v>
      </c>
      <c r="KL64" s="128">
        <v>0</v>
      </c>
      <c r="KM64" s="128">
        <v>21.143000000000001</v>
      </c>
      <c r="KN64" s="128">
        <v>19690000</v>
      </c>
      <c r="KO64" s="128">
        <v>11293100</v>
      </c>
      <c r="KP64" s="128">
        <v>11293100</v>
      </c>
      <c r="KT64" s="128">
        <v>0</v>
      </c>
      <c r="KU64" s="128">
        <v>0</v>
      </c>
      <c r="KV64" s="128">
        <v>0</v>
      </c>
      <c r="KZ64" s="128">
        <v>45000</v>
      </c>
      <c r="LA64" s="128">
        <v>0</v>
      </c>
      <c r="LB64" s="128">
        <v>0</v>
      </c>
      <c r="LF64" s="128">
        <v>356000</v>
      </c>
      <c r="LG64" s="128">
        <v>0</v>
      </c>
      <c r="LH64" s="128">
        <v>0</v>
      </c>
      <c r="LL64" s="128">
        <v>0</v>
      </c>
      <c r="LM64" s="128">
        <v>0</v>
      </c>
      <c r="LN64" s="128">
        <v>0</v>
      </c>
      <c r="LR64" s="128">
        <v>330000</v>
      </c>
      <c r="LS64" s="128">
        <v>0</v>
      </c>
      <c r="LT64" s="128">
        <v>0</v>
      </c>
      <c r="LX64" s="128">
        <v>1800000</v>
      </c>
      <c r="LY64" s="128">
        <v>0</v>
      </c>
      <c r="LZ64" s="128">
        <v>0</v>
      </c>
      <c r="MD64" s="128">
        <v>100000</v>
      </c>
      <c r="ME64" s="128">
        <v>0</v>
      </c>
      <c r="MF64" s="128">
        <v>0</v>
      </c>
      <c r="MJ64" s="128">
        <v>40000</v>
      </c>
      <c r="MK64" s="128">
        <v>0</v>
      </c>
      <c r="ML64" s="128">
        <v>0</v>
      </c>
      <c r="MP64" s="128">
        <v>875000</v>
      </c>
      <c r="MQ64" s="128">
        <v>0</v>
      </c>
      <c r="MR64" s="128">
        <v>0</v>
      </c>
      <c r="MV64" s="128">
        <v>1050000</v>
      </c>
      <c r="MW64" s="128">
        <v>0</v>
      </c>
      <c r="MX64" s="128">
        <v>0</v>
      </c>
      <c r="NB64" s="128">
        <v>50000</v>
      </c>
      <c r="NC64" s="128">
        <v>0</v>
      </c>
      <c r="ND64" s="128">
        <v>0</v>
      </c>
      <c r="NH64" s="128">
        <v>0</v>
      </c>
      <c r="NI64" s="128">
        <v>0</v>
      </c>
      <c r="NJ64" s="128">
        <v>0</v>
      </c>
      <c r="NN64" s="128">
        <v>60000</v>
      </c>
      <c r="NO64" s="128">
        <v>0</v>
      </c>
      <c r="NP64" s="128">
        <v>0</v>
      </c>
      <c r="NT64" s="128">
        <v>60000</v>
      </c>
      <c r="NU64" s="128">
        <v>0</v>
      </c>
      <c r="NV64" s="128">
        <v>0</v>
      </c>
      <c r="NZ64" s="128">
        <v>1500000</v>
      </c>
      <c r="OA64" s="128">
        <v>0</v>
      </c>
      <c r="OB64" s="128">
        <v>0</v>
      </c>
      <c r="OF64" s="128">
        <v>20000</v>
      </c>
      <c r="OG64" s="128">
        <v>0</v>
      </c>
      <c r="OH64" s="128">
        <v>0</v>
      </c>
      <c r="OL64" s="128">
        <v>0</v>
      </c>
      <c r="OM64" s="128">
        <v>0</v>
      </c>
      <c r="ON64" s="128">
        <v>0</v>
      </c>
      <c r="OR64" s="128">
        <v>0</v>
      </c>
      <c r="OS64" s="128">
        <v>0</v>
      </c>
      <c r="OT64" s="128">
        <v>0</v>
      </c>
      <c r="OX64" s="128">
        <v>555000</v>
      </c>
      <c r="OY64" s="128">
        <v>0</v>
      </c>
      <c r="OZ64" s="128">
        <v>0</v>
      </c>
      <c r="PD64" s="128">
        <v>590000</v>
      </c>
      <c r="PE64" s="128">
        <v>0</v>
      </c>
      <c r="PF64" s="128">
        <v>0</v>
      </c>
      <c r="PJ64" s="128">
        <v>20000</v>
      </c>
      <c r="PK64" s="128">
        <v>0</v>
      </c>
      <c r="PL64" s="128">
        <v>0</v>
      </c>
      <c r="PP64" s="128">
        <v>27141000</v>
      </c>
      <c r="PQ64" s="128">
        <v>11293100</v>
      </c>
      <c r="PR64" s="128">
        <v>11293100</v>
      </c>
      <c r="PS64" s="128">
        <v>100</v>
      </c>
      <c r="PT64" s="128">
        <v>100</v>
      </c>
      <c r="PV64" s="128">
        <v>13369482</v>
      </c>
      <c r="PX64" s="128">
        <v>6443000</v>
      </c>
      <c r="PY64" s="128">
        <v>6629941</v>
      </c>
      <c r="PZ64" s="128">
        <v>11293100</v>
      </c>
      <c r="QA64" s="128">
        <v>0</v>
      </c>
      <c r="QB64" s="128">
        <v>0</v>
      </c>
      <c r="QC64" s="128">
        <v>0</v>
      </c>
      <c r="QD64" s="128">
        <v>0</v>
      </c>
      <c r="QE64" s="128">
        <v>0</v>
      </c>
      <c r="QF64" s="128">
        <v>0</v>
      </c>
      <c r="QG64" s="128">
        <v>2545000</v>
      </c>
      <c r="QH64" s="128">
        <v>2936000</v>
      </c>
      <c r="QI64" s="128">
        <v>1992900</v>
      </c>
      <c r="QJ64" s="128">
        <v>10099765</v>
      </c>
      <c r="QK64" s="128">
        <v>10350000</v>
      </c>
      <c r="QL64" s="128">
        <v>10400000</v>
      </c>
      <c r="QN64" s="128">
        <v>3121262</v>
      </c>
      <c r="QO64" s="128">
        <v>3150000</v>
      </c>
      <c r="QP64" s="128">
        <v>3100000</v>
      </c>
      <c r="RD64" s="128">
        <v>750135</v>
      </c>
      <c r="RE64" s="128">
        <v>610000</v>
      </c>
      <c r="RF64" s="128">
        <v>355000</v>
      </c>
      <c r="RH64" s="128">
        <f t="shared" si="104"/>
        <v>13641000</v>
      </c>
      <c r="RI64" s="128">
        <v>0</v>
      </c>
      <c r="RM64" s="128" t="s">
        <v>220</v>
      </c>
      <c r="RU64" s="130"/>
      <c r="RV64" s="130"/>
      <c r="RW64" s="130"/>
      <c r="RX64" s="130"/>
      <c r="SF64" s="128">
        <f t="shared" si="8"/>
        <v>5040302</v>
      </c>
      <c r="SG64" s="131">
        <f t="shared" si="9"/>
        <v>27141000</v>
      </c>
      <c r="SH64" s="131">
        <f t="shared" si="10"/>
        <v>27141000</v>
      </c>
      <c r="SI64" s="131">
        <f t="shared" si="11"/>
        <v>20091000</v>
      </c>
      <c r="SJ64" s="132">
        <f t="shared" si="12"/>
        <v>19690000</v>
      </c>
      <c r="SK64" s="132">
        <f t="shared" si="13"/>
        <v>0</v>
      </c>
      <c r="SL64" s="132">
        <f t="shared" si="14"/>
        <v>45000</v>
      </c>
      <c r="SM64" s="132">
        <f t="shared" si="15"/>
        <v>356000</v>
      </c>
      <c r="SN64" s="131">
        <f t="shared" si="16"/>
        <v>7050000</v>
      </c>
      <c r="SO64" s="131">
        <f t="shared" si="17"/>
        <v>330000</v>
      </c>
      <c r="SP64" s="132">
        <f t="shared" si="18"/>
        <v>0</v>
      </c>
      <c r="SQ64" s="132">
        <f t="shared" si="19"/>
        <v>330000</v>
      </c>
      <c r="SR64" s="132">
        <f t="shared" si="20"/>
        <v>1800000</v>
      </c>
      <c r="SS64" s="132">
        <f t="shared" si="21"/>
        <v>100000</v>
      </c>
      <c r="ST64" s="132">
        <f t="shared" si="22"/>
        <v>40000</v>
      </c>
      <c r="SU64" s="132">
        <f t="shared" si="23"/>
        <v>875000</v>
      </c>
      <c r="SV64" s="131">
        <f t="shared" si="24"/>
        <v>3295000</v>
      </c>
      <c r="SW64" s="132">
        <f t="shared" si="25"/>
        <v>1050000</v>
      </c>
      <c r="SX64" s="132">
        <f t="shared" si="26"/>
        <v>50000</v>
      </c>
      <c r="SY64" s="132">
        <f t="shared" si="27"/>
        <v>0</v>
      </c>
      <c r="SZ64" s="132">
        <f t="shared" si="28"/>
        <v>60000</v>
      </c>
      <c r="TA64" s="132">
        <f t="shared" si="29"/>
        <v>60000</v>
      </c>
      <c r="TB64" s="132">
        <f t="shared" si="30"/>
        <v>1500000</v>
      </c>
      <c r="TC64" s="132">
        <f t="shared" si="31"/>
        <v>20000</v>
      </c>
      <c r="TD64" s="132">
        <f t="shared" si="32"/>
        <v>0</v>
      </c>
      <c r="TE64" s="132">
        <f t="shared" si="33"/>
        <v>0</v>
      </c>
      <c r="TF64" s="132">
        <f t="shared" si="34"/>
        <v>555000</v>
      </c>
      <c r="TG64" s="132">
        <f t="shared" si="35"/>
        <v>590000</v>
      </c>
      <c r="TH64" s="132">
        <f t="shared" si="36"/>
        <v>20000</v>
      </c>
      <c r="TI64" s="1"/>
      <c r="TJ64" s="131">
        <f t="shared" si="37"/>
        <v>11293100</v>
      </c>
      <c r="TK64" s="131">
        <f t="shared" si="38"/>
        <v>11293100</v>
      </c>
      <c r="TL64" s="131">
        <f t="shared" si="39"/>
        <v>11293100</v>
      </c>
      <c r="TM64" s="132">
        <f t="shared" si="40"/>
        <v>11293100</v>
      </c>
      <c r="TN64" s="132">
        <f t="shared" si="41"/>
        <v>0</v>
      </c>
      <c r="TO64" s="132">
        <f t="shared" si="42"/>
        <v>0</v>
      </c>
      <c r="TP64" s="132">
        <f t="shared" si="43"/>
        <v>0</v>
      </c>
      <c r="TQ64" s="131">
        <f t="shared" si="44"/>
        <v>0</v>
      </c>
      <c r="TR64" s="131">
        <f t="shared" si="45"/>
        <v>0</v>
      </c>
      <c r="TS64" s="132">
        <f t="shared" si="46"/>
        <v>0</v>
      </c>
      <c r="TT64" s="132">
        <f t="shared" si="47"/>
        <v>0</v>
      </c>
      <c r="TU64" s="132">
        <f t="shared" si="48"/>
        <v>0</v>
      </c>
      <c r="TV64" s="132">
        <f t="shared" si="49"/>
        <v>0</v>
      </c>
      <c r="TW64" s="132">
        <f t="shared" si="50"/>
        <v>0</v>
      </c>
      <c r="TX64" s="132">
        <f t="shared" si="51"/>
        <v>0</v>
      </c>
      <c r="TY64" s="131">
        <f t="shared" si="52"/>
        <v>0</v>
      </c>
      <c r="TZ64" s="132">
        <f t="shared" si="53"/>
        <v>0</v>
      </c>
      <c r="UA64" s="132">
        <f t="shared" si="54"/>
        <v>0</v>
      </c>
      <c r="UB64" s="132">
        <f t="shared" si="55"/>
        <v>0</v>
      </c>
      <c r="UC64" s="132">
        <f t="shared" si="56"/>
        <v>0</v>
      </c>
      <c r="UD64" s="132">
        <f t="shared" si="57"/>
        <v>0</v>
      </c>
      <c r="UE64" s="132">
        <f t="shared" si="58"/>
        <v>0</v>
      </c>
      <c r="UF64" s="132">
        <f t="shared" si="59"/>
        <v>0</v>
      </c>
      <c r="UG64" s="132">
        <f t="shared" si="60"/>
        <v>0</v>
      </c>
      <c r="UH64" s="132">
        <f t="shared" si="61"/>
        <v>0</v>
      </c>
      <c r="UI64" s="132">
        <f t="shared" si="62"/>
        <v>0</v>
      </c>
      <c r="UJ64" s="132">
        <f t="shared" si="63"/>
        <v>0</v>
      </c>
      <c r="UK64" s="132">
        <f t="shared" si="64"/>
        <v>0</v>
      </c>
      <c r="UL64" s="132">
        <f t="shared" si="105"/>
        <v>11293100</v>
      </c>
      <c r="UM64" s="131">
        <f t="shared" si="65"/>
        <v>11293100</v>
      </c>
      <c r="UN64" s="131">
        <f t="shared" si="66"/>
        <v>11293100</v>
      </c>
      <c r="UO64" s="131">
        <f t="shared" si="67"/>
        <v>11293100</v>
      </c>
      <c r="UP64" s="132">
        <f t="shared" si="68"/>
        <v>11293100</v>
      </c>
      <c r="UQ64" s="132">
        <f t="shared" si="69"/>
        <v>0</v>
      </c>
      <c r="UR64" s="132">
        <f t="shared" si="70"/>
        <v>0</v>
      </c>
      <c r="US64" s="132">
        <f t="shared" si="71"/>
        <v>0</v>
      </c>
      <c r="UT64" s="131">
        <f t="shared" si="72"/>
        <v>0</v>
      </c>
      <c r="UU64" s="131">
        <f t="shared" si="73"/>
        <v>0</v>
      </c>
      <c r="UV64" s="132">
        <f t="shared" si="74"/>
        <v>0</v>
      </c>
      <c r="UW64" s="132">
        <f t="shared" si="75"/>
        <v>0</v>
      </c>
      <c r="UX64" s="132">
        <f t="shared" si="76"/>
        <v>0</v>
      </c>
      <c r="UY64" s="132">
        <f t="shared" si="77"/>
        <v>0</v>
      </c>
      <c r="UZ64" s="132">
        <f t="shared" si="78"/>
        <v>0</v>
      </c>
      <c r="VA64" s="132">
        <f t="shared" si="79"/>
        <v>0</v>
      </c>
      <c r="VB64" s="131">
        <f t="shared" si="80"/>
        <v>0</v>
      </c>
      <c r="VC64" s="132">
        <f t="shared" si="81"/>
        <v>0</v>
      </c>
      <c r="VD64" s="132">
        <f t="shared" si="82"/>
        <v>0</v>
      </c>
      <c r="VE64" s="132">
        <f t="shared" si="83"/>
        <v>0</v>
      </c>
      <c r="VF64" s="132">
        <f t="shared" si="84"/>
        <v>0</v>
      </c>
      <c r="VG64" s="132">
        <f t="shared" si="85"/>
        <v>0</v>
      </c>
      <c r="VH64" s="132">
        <f t="shared" si="86"/>
        <v>0</v>
      </c>
      <c r="VI64" s="132">
        <f t="shared" si="87"/>
        <v>0</v>
      </c>
      <c r="VJ64" s="132">
        <f t="shared" si="88"/>
        <v>0</v>
      </c>
      <c r="VK64" s="132">
        <f t="shared" si="89"/>
        <v>0</v>
      </c>
      <c r="VL64" s="132">
        <f t="shared" si="90"/>
        <v>0</v>
      </c>
      <c r="VM64" s="132">
        <f t="shared" si="91"/>
        <v>0</v>
      </c>
      <c r="VN64" s="132">
        <f t="shared" si="92"/>
        <v>0</v>
      </c>
      <c r="VP64" s="845" t="str">
        <f>IFERROR(HLOOKUP(F64,'Hodnocení '!$C$1:$JH$5,2,FALSE),0)</f>
        <v>Domov důchodců Humburky</v>
      </c>
      <c r="VQ64" s="838"/>
      <c r="VR64" s="845" t="str">
        <f t="shared" si="106"/>
        <v>Příspěvková organizace zřízená územním samosprávným celkem</v>
      </c>
      <c r="VS64" s="845" t="str">
        <f>IFERROR(HLOOKUP(F64,'Hodnocení '!$C$1:$JH$5,5,FALSE),0)</f>
        <v>PO KHK</v>
      </c>
      <c r="VT64" s="838">
        <f t="shared" si="107"/>
        <v>0</v>
      </c>
      <c r="VU64" s="838" t="str">
        <f t="shared" si="108"/>
        <v>PO KHK</v>
      </c>
      <c r="VV64" s="838">
        <f t="shared" si="109"/>
        <v>10400000</v>
      </c>
      <c r="VW64" s="838">
        <f t="shared" si="110"/>
        <v>3100000</v>
      </c>
      <c r="VX64" s="838"/>
      <c r="VY64" s="838">
        <f t="shared" si="114"/>
        <v>0</v>
      </c>
      <c r="VZ64" s="838">
        <f t="shared" si="115"/>
        <v>11293100</v>
      </c>
      <c r="WA64" s="846">
        <f>IFERROR(HLOOKUP($F64,'Hodnocení '!$C$1:$JH$9,9,FALSE),0)</f>
        <v>11293100</v>
      </c>
      <c r="WB64" s="846">
        <f>IF(IFERROR(HLOOKUP($F64,'Hodnocení '!$C$1:$JH$13,13,FALSE),0)&gt;WA64,WA64,IFERROR(HLOOKUP($F64,'Hodnocení '!$C$1:$JH$13,13,FALSE),0))</f>
        <v>10920004.97769383</v>
      </c>
      <c r="WC64" s="846">
        <f>IFERROR(HLOOKUP($F64,'Hodnocení '!$C$1:$JH$155,155,FALSE),0)</f>
        <v>6797940</v>
      </c>
      <c r="WD64" s="845"/>
      <c r="WE64" s="845"/>
      <c r="WF64" s="845" t="str">
        <f t="shared" si="97"/>
        <v>ANO</v>
      </c>
      <c r="WG64" s="849" t="str">
        <f t="shared" si="117"/>
        <v>Podpora služby je vyjádřena zařazením do sítě sociálních služeb v KHK a řešením financování služby</v>
      </c>
      <c r="WH64"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64" s="849" t="str">
        <f t="shared" si="117"/>
        <v>Návrh dotace je výsledkem projednání s ostatními zadavateli v rámci sítě služeb KHK</v>
      </c>
      <c r="WJ64" s="849" t="str">
        <f t="shared" si="117"/>
        <v>Bez komentáře</v>
      </c>
      <c r="WK64" s="31">
        <f t="shared" si="99"/>
        <v>0</v>
      </c>
      <c r="WL64" s="850" t="str">
        <f t="shared" si="100"/>
        <v>Případná úprava příspěvku zřizovatele bude řešena v návaznosti na vývoj služby</v>
      </c>
      <c r="WM64" s="849" t="str">
        <f t="shared" si="101"/>
        <v>V rámci sítě KHK se dlouhodobě řeší otázka navyšování úhrad a průběžně se monitoruje s vazbou na vykrytí vyrovnávací platby</v>
      </c>
      <c r="WN64" s="849" t="str">
        <f t="shared" si="102"/>
        <v>Otázka výběru od zdravotních pojišťoven je předmětem procesu, který probíhá ve formě jednání se ZP a organizacemi</v>
      </c>
      <c r="WO64" s="849" t="str">
        <f t="shared" si="116"/>
        <v>bez komentáře</v>
      </c>
      <c r="WP64" s="849" t="str">
        <f t="shared" si="116"/>
        <v>bez komentáře</v>
      </c>
      <c r="WQ64" s="849" t="str">
        <f t="shared" si="116"/>
        <v>Konečná výše dotace z rozpočtu KHK bude řešena v návaznosti na řešení podílů jednotlivých zadavatelů.</v>
      </c>
      <c r="WR64" s="849" t="str">
        <f t="shared" si="116"/>
        <v>Konečná výše podpory ze stran obcí bude řešena v součinnosti s jednotlivými zadavateli v průběhu roku.</v>
      </c>
      <c r="WS64" s="849" t="str">
        <f t="shared" si="116"/>
        <v>bez komentáře</v>
      </c>
      <c r="WT64" s="849" t="str">
        <f t="shared" si="116"/>
        <v>bez komentáře</v>
      </c>
      <c r="WU64" s="845"/>
    </row>
    <row r="65" spans="1:619" s="128" customFormat="1" x14ac:dyDescent="0.25">
      <c r="A65" s="128" t="str">
        <f>VLOOKUP(F65,'Výpočet VP 2020'!$D$324:$I$588,6,FALSE)</f>
        <v>Je v síti</v>
      </c>
      <c r="B65" s="128" t="s">
        <v>459</v>
      </c>
      <c r="C65" s="128">
        <v>62693743</v>
      </c>
      <c r="D65" s="128" t="s">
        <v>460</v>
      </c>
      <c r="E65" s="128" t="s">
        <v>259</v>
      </c>
      <c r="F65" s="128">
        <v>2125600</v>
      </c>
      <c r="G65" s="128" t="s">
        <v>348</v>
      </c>
      <c r="H65" s="128" t="s">
        <v>218</v>
      </c>
      <c r="I65" s="128" t="s">
        <v>461</v>
      </c>
      <c r="J65" s="129">
        <v>39083</v>
      </c>
      <c r="L65" s="128" t="s">
        <v>220</v>
      </c>
      <c r="M65" s="128" t="s">
        <v>462</v>
      </c>
      <c r="N65" s="128">
        <v>54</v>
      </c>
      <c r="P65" s="128">
        <v>80</v>
      </c>
      <c r="Q65" s="128">
        <v>72</v>
      </c>
      <c r="R65" s="128">
        <v>78</v>
      </c>
      <c r="BL65" s="128" t="s">
        <v>463</v>
      </c>
      <c r="BM65" s="128" t="s">
        <v>325</v>
      </c>
      <c r="BN65" s="128" t="s">
        <v>326</v>
      </c>
      <c r="DA65" s="128">
        <v>0</v>
      </c>
      <c r="DB65" s="128">
        <v>0</v>
      </c>
      <c r="DC65" s="128">
        <v>0</v>
      </c>
      <c r="DD65" s="128">
        <v>0</v>
      </c>
      <c r="DE65" s="128">
        <v>0</v>
      </c>
      <c r="DF65" s="128">
        <v>3</v>
      </c>
      <c r="DG65" s="128">
        <v>14</v>
      </c>
      <c r="DH65" s="128">
        <v>21</v>
      </c>
      <c r="DI65" s="128">
        <v>14</v>
      </c>
      <c r="DJ65" s="128">
        <v>2</v>
      </c>
      <c r="DK65" s="128">
        <v>3</v>
      </c>
      <c r="DL65" s="128">
        <v>14</v>
      </c>
      <c r="DM65" s="128">
        <v>21</v>
      </c>
      <c r="DN65" s="128">
        <v>14</v>
      </c>
      <c r="DO65" s="128">
        <v>2</v>
      </c>
      <c r="DP65" s="128">
        <v>0</v>
      </c>
      <c r="DQ65" s="128">
        <v>54</v>
      </c>
      <c r="DR65" s="128">
        <v>54</v>
      </c>
      <c r="DS65" s="128">
        <v>0</v>
      </c>
      <c r="DT65" s="128">
        <v>0</v>
      </c>
      <c r="DU65" s="128">
        <v>0</v>
      </c>
      <c r="DV65" s="128">
        <v>0</v>
      </c>
      <c r="DW65" s="128">
        <v>0</v>
      </c>
      <c r="DX65" s="128">
        <v>3</v>
      </c>
      <c r="DY65" s="128">
        <v>14</v>
      </c>
      <c r="DZ65" s="128">
        <v>22</v>
      </c>
      <c r="EA65" s="128">
        <v>15</v>
      </c>
      <c r="EB65" s="128">
        <v>0</v>
      </c>
      <c r="EC65" s="128">
        <v>3</v>
      </c>
      <c r="ED65" s="128">
        <v>14</v>
      </c>
      <c r="EE65" s="128">
        <v>22</v>
      </c>
      <c r="EF65" s="128">
        <v>15</v>
      </c>
      <c r="EG65" s="128">
        <v>0</v>
      </c>
      <c r="EH65" s="128">
        <v>0</v>
      </c>
      <c r="EI65" s="128">
        <v>54</v>
      </c>
      <c r="EJ65" s="128">
        <v>54</v>
      </c>
      <c r="EK65" s="128">
        <v>2</v>
      </c>
      <c r="EL65" s="128">
        <v>2</v>
      </c>
      <c r="EM65" s="128">
        <v>2</v>
      </c>
      <c r="EN65" s="128">
        <v>1198000</v>
      </c>
      <c r="EO65" s="128">
        <v>980000</v>
      </c>
      <c r="EP65" s="128">
        <v>18</v>
      </c>
      <c r="EQ65" s="128">
        <v>17.5</v>
      </c>
      <c r="ER65" s="128">
        <v>16</v>
      </c>
      <c r="ES65" s="128">
        <v>8621000</v>
      </c>
      <c r="ET65" s="128">
        <v>7220000</v>
      </c>
      <c r="EU65" s="128">
        <v>7</v>
      </c>
      <c r="EV65" s="128">
        <v>6.5</v>
      </c>
      <c r="EW65" s="128">
        <v>6</v>
      </c>
      <c r="EX65" s="128">
        <v>4652000</v>
      </c>
      <c r="EY65" s="128">
        <v>0</v>
      </c>
      <c r="FO65" s="128">
        <v>11</v>
      </c>
      <c r="FP65" s="128">
        <v>10.5</v>
      </c>
      <c r="FQ65" s="128">
        <v>10.5</v>
      </c>
      <c r="FR65" s="128">
        <v>4529000</v>
      </c>
      <c r="FS65" s="128">
        <v>3000000</v>
      </c>
      <c r="FZ65" s="128">
        <v>2</v>
      </c>
      <c r="GA65" s="128">
        <v>1</v>
      </c>
      <c r="GB65" s="128">
        <v>18</v>
      </c>
      <c r="GC65" s="128">
        <v>0.75</v>
      </c>
      <c r="GD65" s="128">
        <v>209000</v>
      </c>
      <c r="GE65" s="128">
        <v>0</v>
      </c>
      <c r="GF65" s="128">
        <v>1</v>
      </c>
      <c r="GG65" s="128">
        <v>0.2</v>
      </c>
      <c r="GH65" s="128">
        <v>12</v>
      </c>
      <c r="GI65" s="128">
        <v>0.2</v>
      </c>
      <c r="GJ65" s="128">
        <v>50000</v>
      </c>
      <c r="GK65" s="128">
        <v>0</v>
      </c>
      <c r="IH65" s="128">
        <v>2</v>
      </c>
      <c r="II65" s="128">
        <v>0.7</v>
      </c>
      <c r="IJ65" s="128">
        <v>18</v>
      </c>
      <c r="IK65" s="128">
        <v>0.6</v>
      </c>
      <c r="IL65" s="128">
        <v>130000</v>
      </c>
      <c r="IM65" s="128">
        <v>0</v>
      </c>
      <c r="IS65" s="128">
        <v>4</v>
      </c>
      <c r="IT65" s="128">
        <v>1200</v>
      </c>
      <c r="IU65" s="128">
        <v>0.57299999999999995</v>
      </c>
      <c r="IV65" s="128">
        <v>111000</v>
      </c>
      <c r="IW65" s="128">
        <v>0</v>
      </c>
      <c r="KG65" s="128">
        <v>0</v>
      </c>
      <c r="KI65" s="128">
        <v>26</v>
      </c>
      <c r="KJ65" s="128">
        <v>0.95</v>
      </c>
      <c r="KK65" s="128">
        <v>0</v>
      </c>
      <c r="KL65" s="128">
        <v>0</v>
      </c>
      <c r="KM65" s="128">
        <v>26.95</v>
      </c>
      <c r="KN65" s="128">
        <v>19000000</v>
      </c>
      <c r="KO65" s="128">
        <v>11200000</v>
      </c>
      <c r="KP65" s="128">
        <v>11200000</v>
      </c>
      <c r="KT65" s="128">
        <v>389000</v>
      </c>
      <c r="KU65" s="128">
        <v>0</v>
      </c>
      <c r="KV65" s="128">
        <v>0</v>
      </c>
      <c r="KZ65" s="128">
        <v>111000</v>
      </c>
      <c r="LA65" s="128">
        <v>0</v>
      </c>
      <c r="LB65" s="128">
        <v>0</v>
      </c>
      <c r="LF65" s="128">
        <v>687000</v>
      </c>
      <c r="LG65" s="128">
        <v>0</v>
      </c>
      <c r="LH65" s="128">
        <v>0</v>
      </c>
      <c r="LL65" s="128">
        <v>0</v>
      </c>
      <c r="LM65" s="128">
        <v>0</v>
      </c>
      <c r="LN65" s="128">
        <v>0</v>
      </c>
      <c r="LR65" s="128">
        <v>200000</v>
      </c>
      <c r="LS65" s="128">
        <v>0</v>
      </c>
      <c r="LT65" s="128">
        <v>0</v>
      </c>
      <c r="LX65" s="128">
        <v>840000</v>
      </c>
      <c r="LY65" s="128">
        <v>0</v>
      </c>
      <c r="LZ65" s="128">
        <v>0</v>
      </c>
      <c r="MD65" s="128">
        <v>55000</v>
      </c>
      <c r="ME65" s="128">
        <v>0</v>
      </c>
      <c r="MF65" s="128">
        <v>0</v>
      </c>
      <c r="MJ65" s="128">
        <v>55000</v>
      </c>
      <c r="MK65" s="128">
        <v>0</v>
      </c>
      <c r="ML65" s="128">
        <v>0</v>
      </c>
      <c r="MP65" s="128">
        <v>509000</v>
      </c>
      <c r="MQ65" s="128">
        <v>0</v>
      </c>
      <c r="MR65" s="128">
        <v>0</v>
      </c>
      <c r="MV65" s="128">
        <v>1160000</v>
      </c>
      <c r="MW65" s="128">
        <v>0</v>
      </c>
      <c r="MX65" s="128">
        <v>0</v>
      </c>
      <c r="NB65" s="128">
        <v>90000</v>
      </c>
      <c r="NC65" s="128">
        <v>0</v>
      </c>
      <c r="ND65" s="128">
        <v>0</v>
      </c>
      <c r="NH65" s="128">
        <v>0</v>
      </c>
      <c r="NI65" s="128">
        <v>0</v>
      </c>
      <c r="NJ65" s="128">
        <v>0</v>
      </c>
      <c r="NN65" s="128">
        <v>25000</v>
      </c>
      <c r="NO65" s="128">
        <v>0</v>
      </c>
      <c r="NP65" s="128">
        <v>0</v>
      </c>
      <c r="NT65" s="128">
        <v>110000</v>
      </c>
      <c r="NU65" s="128">
        <v>0</v>
      </c>
      <c r="NV65" s="128">
        <v>0</v>
      </c>
      <c r="NZ65" s="128">
        <v>565000</v>
      </c>
      <c r="OA65" s="128">
        <v>0</v>
      </c>
      <c r="OB65" s="128">
        <v>0</v>
      </c>
      <c r="OF65" s="128">
        <v>10000</v>
      </c>
      <c r="OG65" s="128">
        <v>0</v>
      </c>
      <c r="OH65" s="128">
        <v>0</v>
      </c>
      <c r="OL65" s="128">
        <v>0</v>
      </c>
      <c r="OM65" s="128">
        <v>0</v>
      </c>
      <c r="ON65" s="128">
        <v>0</v>
      </c>
      <c r="OR65" s="128">
        <v>0</v>
      </c>
      <c r="OS65" s="128">
        <v>0</v>
      </c>
      <c r="OT65" s="128">
        <v>0</v>
      </c>
      <c r="OX65" s="128">
        <v>2325000</v>
      </c>
      <c r="OY65" s="128">
        <v>0</v>
      </c>
      <c r="OZ65" s="128">
        <v>0</v>
      </c>
      <c r="PD65" s="128">
        <v>588000</v>
      </c>
      <c r="PE65" s="128">
        <v>0</v>
      </c>
      <c r="PF65" s="128">
        <v>0</v>
      </c>
      <c r="PJ65" s="128">
        <v>60000</v>
      </c>
      <c r="PK65" s="128">
        <v>0</v>
      </c>
      <c r="PL65" s="128">
        <v>0</v>
      </c>
      <c r="PP65" s="128">
        <v>26779000</v>
      </c>
      <c r="PQ65" s="128">
        <v>11200000</v>
      </c>
      <c r="PR65" s="128">
        <v>11200000</v>
      </c>
      <c r="PS65" s="128">
        <v>100</v>
      </c>
      <c r="PT65" s="128">
        <v>100</v>
      </c>
      <c r="PV65" s="128">
        <v>14994632</v>
      </c>
      <c r="PX65" s="128">
        <v>4881060</v>
      </c>
      <c r="PY65" s="128">
        <v>4360800</v>
      </c>
      <c r="PZ65" s="128">
        <v>11200000</v>
      </c>
      <c r="QA65" s="128">
        <v>0</v>
      </c>
      <c r="QB65" s="128">
        <v>0</v>
      </c>
      <c r="QC65" s="128">
        <v>0</v>
      </c>
      <c r="QD65" s="128">
        <v>4550967</v>
      </c>
      <c r="QE65" s="128">
        <v>6686000</v>
      </c>
      <c r="QF65" s="128">
        <v>2079000</v>
      </c>
      <c r="QG65" s="128">
        <v>0</v>
      </c>
      <c r="QH65" s="128">
        <v>0</v>
      </c>
      <c r="QI65" s="128">
        <v>0</v>
      </c>
      <c r="QJ65" s="128">
        <v>11905301</v>
      </c>
      <c r="QK65" s="128">
        <v>11700000</v>
      </c>
      <c r="QL65" s="128">
        <v>12000000</v>
      </c>
      <c r="QN65" s="128">
        <v>1525082</v>
      </c>
      <c r="QO65" s="128">
        <v>1550000</v>
      </c>
      <c r="QP65" s="128">
        <v>1500000</v>
      </c>
      <c r="QU65" s="128">
        <v>0</v>
      </c>
      <c r="QV65" s="128">
        <v>773200</v>
      </c>
      <c r="QW65" s="128">
        <v>0</v>
      </c>
      <c r="RD65" s="128">
        <v>39619</v>
      </c>
      <c r="RE65" s="128">
        <v>0</v>
      </c>
      <c r="RF65" s="128">
        <v>0</v>
      </c>
      <c r="RH65" s="128">
        <f t="shared" si="104"/>
        <v>13279000</v>
      </c>
      <c r="RI65" s="128">
        <v>0</v>
      </c>
      <c r="RM65" s="128" t="s">
        <v>220</v>
      </c>
      <c r="RU65" s="130"/>
      <c r="RV65" s="130"/>
      <c r="RW65" s="130"/>
      <c r="RX65" s="130"/>
      <c r="SF65" s="128">
        <f t="shared" si="8"/>
        <v>2125600</v>
      </c>
      <c r="SG65" s="131">
        <f t="shared" si="9"/>
        <v>26779000</v>
      </c>
      <c r="SH65" s="131">
        <f t="shared" si="10"/>
        <v>26779000</v>
      </c>
      <c r="SI65" s="131">
        <f t="shared" si="11"/>
        <v>20187000</v>
      </c>
      <c r="SJ65" s="132">
        <f t="shared" si="12"/>
        <v>19000000</v>
      </c>
      <c r="SK65" s="132">
        <f t="shared" si="13"/>
        <v>389000</v>
      </c>
      <c r="SL65" s="132">
        <f t="shared" si="14"/>
        <v>111000</v>
      </c>
      <c r="SM65" s="132">
        <f t="shared" si="15"/>
        <v>687000</v>
      </c>
      <c r="SN65" s="131">
        <f t="shared" si="16"/>
        <v>6592000</v>
      </c>
      <c r="SO65" s="131">
        <f t="shared" si="17"/>
        <v>200000</v>
      </c>
      <c r="SP65" s="132">
        <f t="shared" si="18"/>
        <v>0</v>
      </c>
      <c r="SQ65" s="132">
        <f t="shared" si="19"/>
        <v>200000</v>
      </c>
      <c r="SR65" s="132">
        <f t="shared" si="20"/>
        <v>840000</v>
      </c>
      <c r="SS65" s="132">
        <f t="shared" si="21"/>
        <v>55000</v>
      </c>
      <c r="ST65" s="132">
        <f t="shared" si="22"/>
        <v>55000</v>
      </c>
      <c r="SU65" s="132">
        <f t="shared" si="23"/>
        <v>509000</v>
      </c>
      <c r="SV65" s="131">
        <f t="shared" si="24"/>
        <v>4285000</v>
      </c>
      <c r="SW65" s="132">
        <f t="shared" si="25"/>
        <v>1160000</v>
      </c>
      <c r="SX65" s="132">
        <f t="shared" si="26"/>
        <v>90000</v>
      </c>
      <c r="SY65" s="132">
        <f t="shared" si="27"/>
        <v>0</v>
      </c>
      <c r="SZ65" s="132">
        <f t="shared" si="28"/>
        <v>25000</v>
      </c>
      <c r="TA65" s="132">
        <f t="shared" si="29"/>
        <v>110000</v>
      </c>
      <c r="TB65" s="132">
        <f t="shared" si="30"/>
        <v>565000</v>
      </c>
      <c r="TC65" s="132">
        <f t="shared" si="31"/>
        <v>10000</v>
      </c>
      <c r="TD65" s="132">
        <f t="shared" si="32"/>
        <v>0</v>
      </c>
      <c r="TE65" s="132">
        <f t="shared" si="33"/>
        <v>0</v>
      </c>
      <c r="TF65" s="132">
        <f t="shared" si="34"/>
        <v>2325000</v>
      </c>
      <c r="TG65" s="132">
        <f t="shared" si="35"/>
        <v>588000</v>
      </c>
      <c r="TH65" s="132">
        <f t="shared" si="36"/>
        <v>60000</v>
      </c>
      <c r="TI65" s="1"/>
      <c r="TJ65" s="131">
        <f t="shared" si="37"/>
        <v>11200000</v>
      </c>
      <c r="TK65" s="131">
        <f t="shared" si="38"/>
        <v>11200000</v>
      </c>
      <c r="TL65" s="131">
        <f t="shared" si="39"/>
        <v>11200000</v>
      </c>
      <c r="TM65" s="132">
        <f t="shared" si="40"/>
        <v>11200000</v>
      </c>
      <c r="TN65" s="132">
        <f t="shared" si="41"/>
        <v>0</v>
      </c>
      <c r="TO65" s="132">
        <f t="shared" si="42"/>
        <v>0</v>
      </c>
      <c r="TP65" s="132">
        <f t="shared" si="43"/>
        <v>0</v>
      </c>
      <c r="TQ65" s="131">
        <f t="shared" si="44"/>
        <v>0</v>
      </c>
      <c r="TR65" s="131">
        <f t="shared" si="45"/>
        <v>0</v>
      </c>
      <c r="TS65" s="132">
        <f t="shared" si="46"/>
        <v>0</v>
      </c>
      <c r="TT65" s="132">
        <f t="shared" si="47"/>
        <v>0</v>
      </c>
      <c r="TU65" s="132">
        <f t="shared" si="48"/>
        <v>0</v>
      </c>
      <c r="TV65" s="132">
        <f t="shared" si="49"/>
        <v>0</v>
      </c>
      <c r="TW65" s="132">
        <f t="shared" si="50"/>
        <v>0</v>
      </c>
      <c r="TX65" s="132">
        <f t="shared" si="51"/>
        <v>0</v>
      </c>
      <c r="TY65" s="131">
        <f t="shared" si="52"/>
        <v>0</v>
      </c>
      <c r="TZ65" s="132">
        <f t="shared" si="53"/>
        <v>0</v>
      </c>
      <c r="UA65" s="132">
        <f t="shared" si="54"/>
        <v>0</v>
      </c>
      <c r="UB65" s="132">
        <f t="shared" si="55"/>
        <v>0</v>
      </c>
      <c r="UC65" s="132">
        <f t="shared" si="56"/>
        <v>0</v>
      </c>
      <c r="UD65" s="132">
        <f t="shared" si="57"/>
        <v>0</v>
      </c>
      <c r="UE65" s="132">
        <f t="shared" si="58"/>
        <v>0</v>
      </c>
      <c r="UF65" s="132">
        <f t="shared" si="59"/>
        <v>0</v>
      </c>
      <c r="UG65" s="132">
        <f t="shared" si="60"/>
        <v>0</v>
      </c>
      <c r="UH65" s="132">
        <f t="shared" si="61"/>
        <v>0</v>
      </c>
      <c r="UI65" s="132">
        <f t="shared" si="62"/>
        <v>0</v>
      </c>
      <c r="UJ65" s="132">
        <f t="shared" si="63"/>
        <v>0</v>
      </c>
      <c r="UK65" s="132">
        <f t="shared" si="64"/>
        <v>0</v>
      </c>
      <c r="UL65" s="132">
        <f t="shared" si="105"/>
        <v>11200000</v>
      </c>
      <c r="UM65" s="131">
        <f t="shared" si="65"/>
        <v>11200000</v>
      </c>
      <c r="UN65" s="131">
        <f t="shared" si="66"/>
        <v>11200000</v>
      </c>
      <c r="UO65" s="131">
        <f t="shared" si="67"/>
        <v>11200000</v>
      </c>
      <c r="UP65" s="132">
        <f t="shared" si="68"/>
        <v>11200000</v>
      </c>
      <c r="UQ65" s="132">
        <f t="shared" si="69"/>
        <v>0</v>
      </c>
      <c r="UR65" s="132">
        <f t="shared" si="70"/>
        <v>0</v>
      </c>
      <c r="US65" s="132">
        <f t="shared" si="71"/>
        <v>0</v>
      </c>
      <c r="UT65" s="131">
        <f t="shared" si="72"/>
        <v>0</v>
      </c>
      <c r="UU65" s="131">
        <f t="shared" si="73"/>
        <v>0</v>
      </c>
      <c r="UV65" s="132">
        <f t="shared" si="74"/>
        <v>0</v>
      </c>
      <c r="UW65" s="132">
        <f t="shared" si="75"/>
        <v>0</v>
      </c>
      <c r="UX65" s="132">
        <f t="shared" si="76"/>
        <v>0</v>
      </c>
      <c r="UY65" s="132">
        <f t="shared" si="77"/>
        <v>0</v>
      </c>
      <c r="UZ65" s="132">
        <f t="shared" si="78"/>
        <v>0</v>
      </c>
      <c r="VA65" s="132">
        <f t="shared" si="79"/>
        <v>0</v>
      </c>
      <c r="VB65" s="131">
        <f t="shared" si="80"/>
        <v>0</v>
      </c>
      <c r="VC65" s="132">
        <f t="shared" si="81"/>
        <v>0</v>
      </c>
      <c r="VD65" s="132">
        <f t="shared" si="82"/>
        <v>0</v>
      </c>
      <c r="VE65" s="132">
        <f t="shared" si="83"/>
        <v>0</v>
      </c>
      <c r="VF65" s="132">
        <f t="shared" si="84"/>
        <v>0</v>
      </c>
      <c r="VG65" s="132">
        <f t="shared" si="85"/>
        <v>0</v>
      </c>
      <c r="VH65" s="132">
        <f t="shared" si="86"/>
        <v>0</v>
      </c>
      <c r="VI65" s="132">
        <f t="shared" si="87"/>
        <v>0</v>
      </c>
      <c r="VJ65" s="132">
        <f t="shared" si="88"/>
        <v>0</v>
      </c>
      <c r="VK65" s="132">
        <f t="shared" si="89"/>
        <v>0</v>
      </c>
      <c r="VL65" s="132">
        <f t="shared" si="90"/>
        <v>0</v>
      </c>
      <c r="VM65" s="132">
        <f t="shared" si="91"/>
        <v>0</v>
      </c>
      <c r="VN65" s="132">
        <f t="shared" si="92"/>
        <v>0</v>
      </c>
      <c r="VP65" s="845" t="str">
        <f>IFERROR(HLOOKUP(F65,'Hodnocení '!$C$1:$JH$5,2,FALSE),0)</f>
        <v>Domov důchodců ChD - Zdislava</v>
      </c>
      <c r="VQ65" s="838"/>
      <c r="VR65" s="845" t="str">
        <f t="shared" si="106"/>
        <v>Příspěvková organizace zřízená územním samosprávným celkem</v>
      </c>
      <c r="VS65" s="845" t="str">
        <f>IFERROR(HLOOKUP(F65,'Hodnocení '!$C$1:$JH$5,5,FALSE),0)</f>
        <v>Obce</v>
      </c>
      <c r="VT65" s="838" t="str">
        <f t="shared" si="107"/>
        <v>Příspěvková organizace zřízená územním samosprávným celkem</v>
      </c>
      <c r="VU65" s="838">
        <f t="shared" si="108"/>
        <v>0</v>
      </c>
      <c r="VV65" s="838">
        <f t="shared" si="109"/>
        <v>12000000</v>
      </c>
      <c r="VW65" s="838">
        <f t="shared" si="110"/>
        <v>1500000</v>
      </c>
      <c r="VX65" s="838"/>
      <c r="VY65" s="838">
        <f t="shared" si="114"/>
        <v>0</v>
      </c>
      <c r="VZ65" s="838">
        <f t="shared" si="115"/>
        <v>11200000</v>
      </c>
      <c r="WA65" s="846">
        <f>IFERROR(HLOOKUP($F65,'Hodnocení '!$C$1:$JH$9,9,FALSE),0)</f>
        <v>11200000</v>
      </c>
      <c r="WB65" s="846">
        <f>IF(IFERROR(HLOOKUP($F65,'Hodnocení '!$C$1:$JH$13,13,FALSE),0)&gt;WA65,WA65,IFERROR(HLOOKUP($F65,'Hodnocení '!$C$1:$JH$13,13,FALSE),0))</f>
        <v>11200000</v>
      </c>
      <c r="WC65" s="846">
        <f>IFERROR(HLOOKUP($F65,'Hodnocení '!$C$1:$JH$155,155,FALSE),0)</f>
        <v>5534660</v>
      </c>
      <c r="WD65" s="845"/>
      <c r="WE65" s="845"/>
      <c r="WF65" s="845" t="str">
        <f t="shared" si="97"/>
        <v>ANO</v>
      </c>
      <c r="WG65" s="849" t="str">
        <f t="shared" si="117"/>
        <v>Podpora služby je vyjádřena zařazením do sítě sociálních služeb v KHK a řešením financování služby</v>
      </c>
      <c r="WH65"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65" s="849" t="str">
        <f t="shared" si="117"/>
        <v>Návrh dotace je výsledkem projednání s ostatními zadavateli v rámci sítě služeb KHK</v>
      </c>
      <c r="WJ65" s="849" t="str">
        <f t="shared" si="117"/>
        <v>Bez komentáře</v>
      </c>
      <c r="WK65" s="31" t="str">
        <f t="shared" si="99"/>
        <v>Výše příspěvku ze strany zřizovatele bude řešen v návaznosti na řešení podílů jednotlivých zadavatelů</v>
      </c>
      <c r="WL65" s="850">
        <f t="shared" si="100"/>
        <v>0</v>
      </c>
      <c r="WM65" s="849" t="str">
        <f t="shared" si="101"/>
        <v>V rámci sítě KHK se dlouhodobě řeší otázka navyšování úhrad a průběžně se monitoruje s vazbou na vykrytí vyrovnávací platby</v>
      </c>
      <c r="WN65" s="849" t="str">
        <f t="shared" si="102"/>
        <v>Otázka výběru od zdravotních pojišťoven je předmětem procesu, který probíhá ve formě jednání se ZP a organizacemi</v>
      </c>
      <c r="WO65" s="849" t="str">
        <f t="shared" si="116"/>
        <v>bez komentáře</v>
      </c>
      <c r="WP65" s="849" t="str">
        <f t="shared" si="116"/>
        <v>bez komentáře</v>
      </c>
      <c r="WQ65" s="849" t="str">
        <f t="shared" si="116"/>
        <v>Konečná výše dotace z rozpočtu KHK bude řešena v návaznosti na řešení podílů jednotlivých zadavatelů.</v>
      </c>
      <c r="WR65" s="849" t="str">
        <f t="shared" si="116"/>
        <v>Konečná výše podpory ze stran obcí bude řešena v součinnosti s jednotlivými zadavateli v průběhu roku.</v>
      </c>
      <c r="WS65" s="849" t="str">
        <f t="shared" si="116"/>
        <v>bez komentáře</v>
      </c>
      <c r="WT65" s="849" t="str">
        <f t="shared" si="116"/>
        <v>bez komentáře</v>
      </c>
      <c r="WU65" s="845"/>
    </row>
    <row r="66" spans="1:619" s="128" customFormat="1" x14ac:dyDescent="0.25">
      <c r="A66" s="128" t="str">
        <f>VLOOKUP(F66,'Výpočet VP 2020'!$D$324:$I$588,6,FALSE)</f>
        <v>Je v síti</v>
      </c>
      <c r="B66" s="128" t="s">
        <v>464</v>
      </c>
      <c r="C66" s="128">
        <v>195022</v>
      </c>
      <c r="D66" s="128" t="s">
        <v>465</v>
      </c>
      <c r="E66" s="128" t="s">
        <v>259</v>
      </c>
      <c r="F66" s="128">
        <v>3943362</v>
      </c>
      <c r="G66" s="128" t="s">
        <v>348</v>
      </c>
      <c r="H66" s="128" t="s">
        <v>218</v>
      </c>
      <c r="I66" s="128" t="s">
        <v>464</v>
      </c>
      <c r="J66" s="129">
        <v>39814</v>
      </c>
      <c r="L66" s="128" t="s">
        <v>220</v>
      </c>
      <c r="M66" s="128" t="s">
        <v>466</v>
      </c>
      <c r="N66" s="128">
        <v>52</v>
      </c>
      <c r="P66" s="128">
        <v>58</v>
      </c>
      <c r="Q66" s="128">
        <v>64</v>
      </c>
      <c r="R66" s="128">
        <v>61</v>
      </c>
      <c r="BL66" s="128" t="s">
        <v>351</v>
      </c>
      <c r="BM66" s="128" t="s">
        <v>325</v>
      </c>
      <c r="BN66" s="128" t="s">
        <v>326</v>
      </c>
      <c r="DA66" s="128">
        <v>0</v>
      </c>
      <c r="DB66" s="128">
        <v>0</v>
      </c>
      <c r="DC66" s="128">
        <v>0</v>
      </c>
      <c r="DD66" s="128">
        <v>0</v>
      </c>
      <c r="DE66" s="128">
        <v>0</v>
      </c>
      <c r="DF66" s="128">
        <v>3</v>
      </c>
      <c r="DG66" s="128">
        <v>18</v>
      </c>
      <c r="DH66" s="128">
        <v>22</v>
      </c>
      <c r="DI66" s="128">
        <v>8</v>
      </c>
      <c r="DJ66" s="128">
        <v>1</v>
      </c>
      <c r="DK66" s="128">
        <v>3</v>
      </c>
      <c r="DL66" s="128">
        <v>18</v>
      </c>
      <c r="DM66" s="128">
        <v>22</v>
      </c>
      <c r="DN66" s="128">
        <v>8</v>
      </c>
      <c r="DO66" s="128">
        <v>1</v>
      </c>
      <c r="DP66" s="128">
        <v>0</v>
      </c>
      <c r="DQ66" s="128">
        <v>52</v>
      </c>
      <c r="DR66" s="128">
        <v>52</v>
      </c>
      <c r="DS66" s="128">
        <v>0</v>
      </c>
      <c r="DT66" s="128">
        <v>0</v>
      </c>
      <c r="DU66" s="128">
        <v>0</v>
      </c>
      <c r="DV66" s="128">
        <v>0</v>
      </c>
      <c r="DW66" s="128">
        <v>0</v>
      </c>
      <c r="DX66" s="128">
        <v>2</v>
      </c>
      <c r="DY66" s="128">
        <v>12</v>
      </c>
      <c r="DZ66" s="128">
        <v>24</v>
      </c>
      <c r="EA66" s="128">
        <v>14</v>
      </c>
      <c r="EB66" s="128">
        <v>0</v>
      </c>
      <c r="EC66" s="128">
        <v>2</v>
      </c>
      <c r="ED66" s="128">
        <v>12</v>
      </c>
      <c r="EE66" s="128">
        <v>24</v>
      </c>
      <c r="EF66" s="128">
        <v>14</v>
      </c>
      <c r="EG66" s="128">
        <v>0</v>
      </c>
      <c r="EH66" s="128">
        <v>0</v>
      </c>
      <c r="EI66" s="128">
        <v>52</v>
      </c>
      <c r="EJ66" s="128">
        <v>52</v>
      </c>
      <c r="EK66" s="128">
        <v>2</v>
      </c>
      <c r="EL66" s="128">
        <v>2</v>
      </c>
      <c r="EM66" s="128">
        <v>2</v>
      </c>
      <c r="EN66" s="128">
        <v>1200950</v>
      </c>
      <c r="EO66" s="128">
        <v>1200950</v>
      </c>
      <c r="EP66" s="128">
        <v>13</v>
      </c>
      <c r="EQ66" s="128">
        <v>13</v>
      </c>
      <c r="ER66" s="128">
        <v>13</v>
      </c>
      <c r="ES66" s="128">
        <v>4860960</v>
      </c>
      <c r="ET66" s="128">
        <v>4860960</v>
      </c>
      <c r="EU66" s="128">
        <v>8</v>
      </c>
      <c r="EV66" s="128">
        <v>8</v>
      </c>
      <c r="EW66" s="128">
        <v>8</v>
      </c>
      <c r="EX66" s="128">
        <v>4639850</v>
      </c>
      <c r="EY66" s="128">
        <v>0</v>
      </c>
      <c r="FO66" s="128">
        <v>13</v>
      </c>
      <c r="FP66" s="128">
        <v>13</v>
      </c>
      <c r="FQ66" s="128">
        <v>13</v>
      </c>
      <c r="FR66" s="128">
        <v>5132620</v>
      </c>
      <c r="FS66" s="128">
        <v>2432820</v>
      </c>
      <c r="HD66" s="128">
        <v>1</v>
      </c>
      <c r="HE66" s="128">
        <v>0.2</v>
      </c>
      <c r="HF66" s="128">
        <v>12</v>
      </c>
      <c r="HG66" s="128">
        <v>0.2</v>
      </c>
      <c r="HH66" s="128">
        <v>54000</v>
      </c>
      <c r="HI66" s="128">
        <v>0</v>
      </c>
      <c r="IS66" s="128">
        <v>3</v>
      </c>
      <c r="IT66" s="128">
        <v>900</v>
      </c>
      <c r="IU66" s="128">
        <v>0.42899999999999999</v>
      </c>
      <c r="IV66" s="128">
        <v>103500</v>
      </c>
      <c r="IW66" s="128">
        <v>0</v>
      </c>
      <c r="KG66" s="128">
        <v>0</v>
      </c>
      <c r="KI66" s="128">
        <v>23</v>
      </c>
      <c r="KJ66" s="128">
        <v>0.2</v>
      </c>
      <c r="KK66" s="128">
        <v>0</v>
      </c>
      <c r="KL66" s="128">
        <v>0</v>
      </c>
      <c r="KM66" s="128">
        <v>23.2</v>
      </c>
      <c r="KN66" s="128">
        <v>15834380</v>
      </c>
      <c r="KO66" s="128">
        <v>8494730</v>
      </c>
      <c r="KP66" s="128">
        <v>8494730</v>
      </c>
      <c r="KT66" s="128">
        <v>54000</v>
      </c>
      <c r="KU66" s="128">
        <v>0</v>
      </c>
      <c r="KV66" s="128">
        <v>0</v>
      </c>
      <c r="KZ66" s="128">
        <v>103500</v>
      </c>
      <c r="LA66" s="128">
        <v>0</v>
      </c>
      <c r="LB66" s="128">
        <v>0</v>
      </c>
      <c r="LF66" s="128">
        <v>80000</v>
      </c>
      <c r="LG66" s="128">
        <v>0</v>
      </c>
      <c r="LH66" s="128">
        <v>0</v>
      </c>
      <c r="LL66" s="128">
        <v>0</v>
      </c>
      <c r="LM66" s="128">
        <v>0</v>
      </c>
      <c r="LN66" s="128">
        <v>0</v>
      </c>
      <c r="LR66" s="128">
        <v>300000</v>
      </c>
      <c r="LS66" s="128">
        <v>0</v>
      </c>
      <c r="LT66" s="128">
        <v>0</v>
      </c>
      <c r="LX66" s="128">
        <v>2000000</v>
      </c>
      <c r="LY66" s="128">
        <v>0</v>
      </c>
      <c r="LZ66" s="128">
        <v>0</v>
      </c>
      <c r="MD66" s="128">
        <v>100000</v>
      </c>
      <c r="ME66" s="128">
        <v>0</v>
      </c>
      <c r="MF66" s="128">
        <v>0</v>
      </c>
      <c r="MJ66" s="128">
        <v>30000</v>
      </c>
      <c r="MK66" s="128">
        <v>0</v>
      </c>
      <c r="ML66" s="128">
        <v>0</v>
      </c>
      <c r="MP66" s="128">
        <v>1200000</v>
      </c>
      <c r="MQ66" s="128">
        <v>0</v>
      </c>
      <c r="MR66" s="128">
        <v>0</v>
      </c>
      <c r="MV66" s="128">
        <v>960000</v>
      </c>
      <c r="MW66" s="128">
        <v>0</v>
      </c>
      <c r="MX66" s="128">
        <v>0</v>
      </c>
      <c r="NB66" s="128">
        <v>50000</v>
      </c>
      <c r="NC66" s="128">
        <v>0</v>
      </c>
      <c r="ND66" s="128">
        <v>0</v>
      </c>
      <c r="NH66" s="128">
        <v>0</v>
      </c>
      <c r="NI66" s="128">
        <v>0</v>
      </c>
      <c r="NJ66" s="128">
        <v>0</v>
      </c>
      <c r="NN66" s="128">
        <v>200000</v>
      </c>
      <c r="NO66" s="128">
        <v>0</v>
      </c>
      <c r="NP66" s="128">
        <v>0</v>
      </c>
      <c r="NT66" s="128">
        <v>70000</v>
      </c>
      <c r="NU66" s="128">
        <v>0</v>
      </c>
      <c r="NV66" s="128">
        <v>0</v>
      </c>
      <c r="NZ66" s="128">
        <v>800000</v>
      </c>
      <c r="OA66" s="128">
        <v>0</v>
      </c>
      <c r="OB66" s="128">
        <v>0</v>
      </c>
      <c r="OF66" s="128">
        <v>28000</v>
      </c>
      <c r="OG66" s="128">
        <v>0</v>
      </c>
      <c r="OH66" s="128">
        <v>0</v>
      </c>
      <c r="OL66" s="128">
        <v>0</v>
      </c>
      <c r="OM66" s="128">
        <v>0</v>
      </c>
      <c r="ON66" s="128">
        <v>0</v>
      </c>
      <c r="OR66" s="128">
        <v>0</v>
      </c>
      <c r="OS66" s="128">
        <v>0</v>
      </c>
      <c r="OT66" s="128">
        <v>0</v>
      </c>
      <c r="OX66" s="128">
        <v>800000</v>
      </c>
      <c r="OY66" s="128">
        <v>0</v>
      </c>
      <c r="OZ66" s="128">
        <v>0</v>
      </c>
      <c r="PD66" s="128">
        <v>470000</v>
      </c>
      <c r="PE66" s="128">
        <v>0</v>
      </c>
      <c r="PF66" s="128">
        <v>0</v>
      </c>
      <c r="PJ66" s="128">
        <v>1000000</v>
      </c>
      <c r="PK66" s="128">
        <v>0</v>
      </c>
      <c r="PL66" s="128">
        <v>0</v>
      </c>
      <c r="PP66" s="128">
        <v>24079880</v>
      </c>
      <c r="PQ66" s="128">
        <v>8494730</v>
      </c>
      <c r="PR66" s="128">
        <v>8494730</v>
      </c>
      <c r="PS66" s="128">
        <v>100</v>
      </c>
      <c r="PT66" s="128">
        <v>100</v>
      </c>
      <c r="PV66" s="128">
        <v>14530303</v>
      </c>
      <c r="PX66" s="128">
        <v>6039606</v>
      </c>
      <c r="PY66" s="128">
        <v>6267487</v>
      </c>
      <c r="PZ66" s="128">
        <v>8494730</v>
      </c>
      <c r="QA66" s="128">
        <v>0</v>
      </c>
      <c r="QB66" s="128">
        <v>0</v>
      </c>
      <c r="QC66" s="128">
        <v>0</v>
      </c>
      <c r="QD66" s="128">
        <v>0</v>
      </c>
      <c r="QE66" s="128">
        <v>0</v>
      </c>
      <c r="QF66" s="128">
        <v>0</v>
      </c>
      <c r="QG66" s="128">
        <v>2471000</v>
      </c>
      <c r="QH66" s="128">
        <v>2840000</v>
      </c>
      <c r="QI66" s="128">
        <v>1485150</v>
      </c>
      <c r="QJ66" s="128">
        <v>10607892</v>
      </c>
      <c r="QK66" s="128">
        <v>11000000</v>
      </c>
      <c r="QL66" s="128">
        <v>11100000</v>
      </c>
      <c r="QN66" s="128">
        <v>2746992</v>
      </c>
      <c r="QO66" s="128">
        <v>3000000</v>
      </c>
      <c r="QP66" s="128">
        <v>3000000</v>
      </c>
      <c r="RH66" s="128">
        <f t="shared" si="104"/>
        <v>9979880</v>
      </c>
      <c r="RI66" s="128">
        <v>0</v>
      </c>
      <c r="RM66" s="128" t="s">
        <v>220</v>
      </c>
      <c r="RU66" s="130"/>
      <c r="RV66" s="130"/>
      <c r="RW66" s="130"/>
      <c r="RX66" s="130"/>
      <c r="SF66" s="128">
        <f t="shared" si="8"/>
        <v>3943362</v>
      </c>
      <c r="SG66" s="131">
        <f t="shared" si="9"/>
        <v>24079880</v>
      </c>
      <c r="SH66" s="131">
        <f t="shared" si="10"/>
        <v>24079880</v>
      </c>
      <c r="SI66" s="131">
        <f t="shared" si="11"/>
        <v>16071880</v>
      </c>
      <c r="SJ66" s="132">
        <f t="shared" si="12"/>
        <v>15834380</v>
      </c>
      <c r="SK66" s="132">
        <f t="shared" si="13"/>
        <v>54000</v>
      </c>
      <c r="SL66" s="132">
        <f t="shared" si="14"/>
        <v>103500</v>
      </c>
      <c r="SM66" s="132">
        <f t="shared" si="15"/>
        <v>80000</v>
      </c>
      <c r="SN66" s="131">
        <f t="shared" si="16"/>
        <v>8008000</v>
      </c>
      <c r="SO66" s="131">
        <f t="shared" si="17"/>
        <v>300000</v>
      </c>
      <c r="SP66" s="132">
        <f t="shared" si="18"/>
        <v>0</v>
      </c>
      <c r="SQ66" s="132">
        <f t="shared" si="19"/>
        <v>300000</v>
      </c>
      <c r="SR66" s="132">
        <f t="shared" si="20"/>
        <v>2000000</v>
      </c>
      <c r="SS66" s="132">
        <f t="shared" si="21"/>
        <v>100000</v>
      </c>
      <c r="ST66" s="132">
        <f t="shared" si="22"/>
        <v>30000</v>
      </c>
      <c r="SU66" s="132">
        <f t="shared" si="23"/>
        <v>1200000</v>
      </c>
      <c r="SV66" s="131">
        <f t="shared" si="24"/>
        <v>2908000</v>
      </c>
      <c r="SW66" s="132">
        <f t="shared" si="25"/>
        <v>960000</v>
      </c>
      <c r="SX66" s="132">
        <f t="shared" si="26"/>
        <v>50000</v>
      </c>
      <c r="SY66" s="132">
        <f t="shared" si="27"/>
        <v>0</v>
      </c>
      <c r="SZ66" s="132">
        <f t="shared" si="28"/>
        <v>200000</v>
      </c>
      <c r="TA66" s="132">
        <f t="shared" si="29"/>
        <v>70000</v>
      </c>
      <c r="TB66" s="132">
        <f t="shared" si="30"/>
        <v>800000</v>
      </c>
      <c r="TC66" s="132">
        <f t="shared" si="31"/>
        <v>28000</v>
      </c>
      <c r="TD66" s="132">
        <f t="shared" si="32"/>
        <v>0</v>
      </c>
      <c r="TE66" s="132">
        <f t="shared" si="33"/>
        <v>0</v>
      </c>
      <c r="TF66" s="132">
        <f t="shared" si="34"/>
        <v>800000</v>
      </c>
      <c r="TG66" s="132">
        <f t="shared" si="35"/>
        <v>470000</v>
      </c>
      <c r="TH66" s="132">
        <f t="shared" si="36"/>
        <v>1000000</v>
      </c>
      <c r="TI66" s="1"/>
      <c r="TJ66" s="131">
        <f t="shared" si="37"/>
        <v>8494730</v>
      </c>
      <c r="TK66" s="131">
        <f t="shared" si="38"/>
        <v>8494730</v>
      </c>
      <c r="TL66" s="131">
        <f t="shared" si="39"/>
        <v>8494730</v>
      </c>
      <c r="TM66" s="132">
        <f t="shared" si="40"/>
        <v>8494730</v>
      </c>
      <c r="TN66" s="132">
        <f t="shared" si="41"/>
        <v>0</v>
      </c>
      <c r="TO66" s="132">
        <f t="shared" si="42"/>
        <v>0</v>
      </c>
      <c r="TP66" s="132">
        <f t="shared" si="43"/>
        <v>0</v>
      </c>
      <c r="TQ66" s="131">
        <f t="shared" si="44"/>
        <v>0</v>
      </c>
      <c r="TR66" s="131">
        <f t="shared" si="45"/>
        <v>0</v>
      </c>
      <c r="TS66" s="132">
        <f t="shared" si="46"/>
        <v>0</v>
      </c>
      <c r="TT66" s="132">
        <f t="shared" si="47"/>
        <v>0</v>
      </c>
      <c r="TU66" s="132">
        <f t="shared" si="48"/>
        <v>0</v>
      </c>
      <c r="TV66" s="132">
        <f t="shared" si="49"/>
        <v>0</v>
      </c>
      <c r="TW66" s="132">
        <f t="shared" si="50"/>
        <v>0</v>
      </c>
      <c r="TX66" s="132">
        <f t="shared" si="51"/>
        <v>0</v>
      </c>
      <c r="TY66" s="131">
        <f t="shared" si="52"/>
        <v>0</v>
      </c>
      <c r="TZ66" s="132">
        <f t="shared" si="53"/>
        <v>0</v>
      </c>
      <c r="UA66" s="132">
        <f t="shared" si="54"/>
        <v>0</v>
      </c>
      <c r="UB66" s="132">
        <f t="shared" si="55"/>
        <v>0</v>
      </c>
      <c r="UC66" s="132">
        <f t="shared" si="56"/>
        <v>0</v>
      </c>
      <c r="UD66" s="132">
        <f t="shared" si="57"/>
        <v>0</v>
      </c>
      <c r="UE66" s="132">
        <f t="shared" si="58"/>
        <v>0</v>
      </c>
      <c r="UF66" s="132">
        <f t="shared" si="59"/>
        <v>0</v>
      </c>
      <c r="UG66" s="132">
        <f t="shared" si="60"/>
        <v>0</v>
      </c>
      <c r="UH66" s="132">
        <f t="shared" si="61"/>
        <v>0</v>
      </c>
      <c r="UI66" s="132">
        <f t="shared" si="62"/>
        <v>0</v>
      </c>
      <c r="UJ66" s="132">
        <f t="shared" si="63"/>
        <v>0</v>
      </c>
      <c r="UK66" s="132">
        <f t="shared" si="64"/>
        <v>0</v>
      </c>
      <c r="UL66" s="132">
        <f t="shared" si="105"/>
        <v>8494730</v>
      </c>
      <c r="UM66" s="131">
        <f t="shared" si="65"/>
        <v>8494730</v>
      </c>
      <c r="UN66" s="131">
        <f t="shared" si="66"/>
        <v>8494730</v>
      </c>
      <c r="UO66" s="131">
        <f t="shared" si="67"/>
        <v>8494730</v>
      </c>
      <c r="UP66" s="132">
        <f t="shared" si="68"/>
        <v>8494730</v>
      </c>
      <c r="UQ66" s="132">
        <f t="shared" si="69"/>
        <v>0</v>
      </c>
      <c r="UR66" s="132">
        <f t="shared" si="70"/>
        <v>0</v>
      </c>
      <c r="US66" s="132">
        <f t="shared" si="71"/>
        <v>0</v>
      </c>
      <c r="UT66" s="131">
        <f t="shared" si="72"/>
        <v>0</v>
      </c>
      <c r="UU66" s="131">
        <f t="shared" si="73"/>
        <v>0</v>
      </c>
      <c r="UV66" s="132">
        <f t="shared" si="74"/>
        <v>0</v>
      </c>
      <c r="UW66" s="132">
        <f t="shared" si="75"/>
        <v>0</v>
      </c>
      <c r="UX66" s="132">
        <f t="shared" si="76"/>
        <v>0</v>
      </c>
      <c r="UY66" s="132">
        <f t="shared" si="77"/>
        <v>0</v>
      </c>
      <c r="UZ66" s="132">
        <f t="shared" si="78"/>
        <v>0</v>
      </c>
      <c r="VA66" s="132">
        <f t="shared" si="79"/>
        <v>0</v>
      </c>
      <c r="VB66" s="131">
        <f t="shared" si="80"/>
        <v>0</v>
      </c>
      <c r="VC66" s="132">
        <f t="shared" si="81"/>
        <v>0</v>
      </c>
      <c r="VD66" s="132">
        <f t="shared" si="82"/>
        <v>0</v>
      </c>
      <c r="VE66" s="132">
        <f t="shared" si="83"/>
        <v>0</v>
      </c>
      <c r="VF66" s="132">
        <f t="shared" si="84"/>
        <v>0</v>
      </c>
      <c r="VG66" s="132">
        <f t="shared" si="85"/>
        <v>0</v>
      </c>
      <c r="VH66" s="132">
        <f t="shared" si="86"/>
        <v>0</v>
      </c>
      <c r="VI66" s="132">
        <f t="shared" si="87"/>
        <v>0</v>
      </c>
      <c r="VJ66" s="132">
        <f t="shared" si="88"/>
        <v>0</v>
      </c>
      <c r="VK66" s="132">
        <f t="shared" si="89"/>
        <v>0</v>
      </c>
      <c r="VL66" s="132">
        <f t="shared" si="90"/>
        <v>0</v>
      </c>
      <c r="VM66" s="132">
        <f t="shared" si="91"/>
        <v>0</v>
      </c>
      <c r="VN66" s="132">
        <f t="shared" si="92"/>
        <v>0</v>
      </c>
      <c r="VP66" s="845" t="str">
        <f>IFERROR(HLOOKUP(F66,'Hodnocení '!$C$1:$JH$5,2,FALSE),0)</f>
        <v>Domov důchodců Lampertice</v>
      </c>
      <c r="VQ66" s="838"/>
      <c r="VR66" s="845" t="str">
        <f t="shared" si="106"/>
        <v>Příspěvková organizace zřízená územním samosprávným celkem</v>
      </c>
      <c r="VS66" s="845" t="str">
        <f>IFERROR(HLOOKUP(F66,'Hodnocení '!$C$1:$JH$5,5,FALSE),0)</f>
        <v>PO KHK</v>
      </c>
      <c r="VT66" s="838">
        <f t="shared" si="107"/>
        <v>0</v>
      </c>
      <c r="VU66" s="838" t="str">
        <f t="shared" si="108"/>
        <v>PO KHK</v>
      </c>
      <c r="VV66" s="838">
        <f t="shared" si="109"/>
        <v>11100000</v>
      </c>
      <c r="VW66" s="838">
        <f t="shared" si="110"/>
        <v>3000000</v>
      </c>
      <c r="VX66" s="838"/>
      <c r="VY66" s="838">
        <f t="shared" si="114"/>
        <v>0</v>
      </c>
      <c r="VZ66" s="838">
        <f t="shared" si="115"/>
        <v>8494730</v>
      </c>
      <c r="WA66" s="846">
        <f>IFERROR(HLOOKUP($F66,'Hodnocení '!$C$1:$JH$9,9,FALSE),0)</f>
        <v>8494730</v>
      </c>
      <c r="WB66" s="846">
        <f>IF(IFERROR(HLOOKUP($F66,'Hodnocení '!$C$1:$JH$13,13,FALSE),0)&gt;WA66,WA66,IFERROR(HLOOKUP($F66,'Hodnocení '!$C$1:$JH$13,13,FALSE),0))</f>
        <v>8494730</v>
      </c>
      <c r="WC66" s="846">
        <f>IFERROR(HLOOKUP($F66,'Hodnocení '!$C$1:$JH$155,155,FALSE),0)</f>
        <v>6429490</v>
      </c>
      <c r="WD66" s="845"/>
      <c r="WE66" s="845"/>
      <c r="WF66" s="845" t="str">
        <f t="shared" si="97"/>
        <v>ANO</v>
      </c>
      <c r="WG66" s="849" t="str">
        <f t="shared" si="117"/>
        <v>Podpora služby je vyjádřena zařazením do sítě sociálních služeb v KHK a řešením financování služby</v>
      </c>
      <c r="WH66"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66" s="849" t="str">
        <f t="shared" si="117"/>
        <v>Návrh dotace je výsledkem projednání s ostatními zadavateli v rámci sítě služeb KHK</v>
      </c>
      <c r="WJ66" s="849" t="str">
        <f t="shared" si="117"/>
        <v>Bez komentáře</v>
      </c>
      <c r="WK66" s="31">
        <f t="shared" si="99"/>
        <v>0</v>
      </c>
      <c r="WL66" s="850" t="str">
        <f t="shared" si="100"/>
        <v>Případná úprava příspěvku zřizovatele bude řešena v návaznosti na vývoj služby</v>
      </c>
      <c r="WM66" s="849" t="str">
        <f t="shared" si="101"/>
        <v>V rámci sítě KHK se dlouhodobě řeší otázka navyšování úhrad a průběžně se monitoruje s vazbou na vykrytí vyrovnávací platby</v>
      </c>
      <c r="WN66" s="849" t="str">
        <f t="shared" si="102"/>
        <v>Otázka výběru od zdravotních pojišťoven je předmětem procesu, který probíhá ve formě jednání se ZP a organizacemi</v>
      </c>
      <c r="WO66" s="849" t="str">
        <f t="shared" si="116"/>
        <v>bez komentáře</v>
      </c>
      <c r="WP66" s="849" t="str">
        <f t="shared" si="116"/>
        <v>bez komentáře</v>
      </c>
      <c r="WQ66" s="849" t="str">
        <f t="shared" si="116"/>
        <v>Konečná výše dotace z rozpočtu KHK bude řešena v návaznosti na řešení podílů jednotlivých zadavatelů.</v>
      </c>
      <c r="WR66" s="849" t="str">
        <f t="shared" ref="WO66:WT108" si="118">IF($WF66="NE","nehodnoceno",WR$2)</f>
        <v>Konečná výše podpory ze stran obcí bude řešena v součinnosti s jednotlivými zadavateli v průběhu roku.</v>
      </c>
      <c r="WS66" s="849" t="str">
        <f t="shared" si="118"/>
        <v>bez komentáře</v>
      </c>
      <c r="WT66" s="849" t="str">
        <f t="shared" si="118"/>
        <v>bez komentáře</v>
      </c>
      <c r="WU66" s="845"/>
    </row>
    <row r="67" spans="1:619" s="128" customFormat="1" x14ac:dyDescent="0.25">
      <c r="A67" s="128" t="str">
        <f>VLOOKUP(F67,'Výpočet VP 2020'!$D$324:$I$588,6,FALSE)</f>
        <v>Je v síti</v>
      </c>
      <c r="B67" s="128" t="s">
        <v>467</v>
      </c>
      <c r="C67" s="128">
        <v>71193961</v>
      </c>
      <c r="D67" s="128" t="s">
        <v>468</v>
      </c>
      <c r="E67" s="128" t="s">
        <v>259</v>
      </c>
      <c r="F67" s="128">
        <v>2749776</v>
      </c>
      <c r="G67" s="128" t="s">
        <v>348</v>
      </c>
      <c r="H67" s="128" t="s">
        <v>218</v>
      </c>
      <c r="I67" s="128" t="s">
        <v>467</v>
      </c>
      <c r="J67" s="129">
        <v>39083</v>
      </c>
      <c r="L67" s="128" t="s">
        <v>220</v>
      </c>
      <c r="M67" s="128" t="s">
        <v>469</v>
      </c>
      <c r="N67" s="128">
        <v>53</v>
      </c>
      <c r="P67" s="128">
        <v>53</v>
      </c>
      <c r="Q67" s="128">
        <v>53</v>
      </c>
      <c r="R67" s="128">
        <v>53</v>
      </c>
      <c r="BL67" s="128" t="s">
        <v>351</v>
      </c>
      <c r="BM67" s="128" t="s">
        <v>325</v>
      </c>
      <c r="BN67" s="128" t="s">
        <v>326</v>
      </c>
      <c r="DA67" s="128">
        <v>0</v>
      </c>
      <c r="DB67" s="128">
        <v>0</v>
      </c>
      <c r="DC67" s="128">
        <v>0</v>
      </c>
      <c r="DD67" s="128">
        <v>0</v>
      </c>
      <c r="DE67" s="128">
        <v>0</v>
      </c>
      <c r="DF67" s="128">
        <v>6</v>
      </c>
      <c r="DG67" s="128">
        <v>12</v>
      </c>
      <c r="DH67" s="128">
        <v>19</v>
      </c>
      <c r="DI67" s="128">
        <v>10</v>
      </c>
      <c r="DJ67" s="128">
        <v>6</v>
      </c>
      <c r="DK67" s="128">
        <v>6</v>
      </c>
      <c r="DL67" s="128">
        <v>12</v>
      </c>
      <c r="DM67" s="128">
        <v>19</v>
      </c>
      <c r="DN67" s="128">
        <v>10</v>
      </c>
      <c r="DO67" s="128">
        <v>6</v>
      </c>
      <c r="DP67" s="128">
        <v>0</v>
      </c>
      <c r="DQ67" s="128">
        <v>53</v>
      </c>
      <c r="DR67" s="128">
        <v>53</v>
      </c>
      <c r="DS67" s="128">
        <v>0</v>
      </c>
      <c r="DT67" s="128">
        <v>0</v>
      </c>
      <c r="DU67" s="128">
        <v>0</v>
      </c>
      <c r="DV67" s="128">
        <v>0</v>
      </c>
      <c r="DW67" s="128">
        <v>0</v>
      </c>
      <c r="DX67" s="128">
        <v>5</v>
      </c>
      <c r="DY67" s="128">
        <v>8</v>
      </c>
      <c r="DZ67" s="128">
        <v>20</v>
      </c>
      <c r="EA67" s="128">
        <v>15</v>
      </c>
      <c r="EB67" s="128">
        <v>5</v>
      </c>
      <c r="EC67" s="128">
        <v>5</v>
      </c>
      <c r="ED67" s="128">
        <v>8</v>
      </c>
      <c r="EE67" s="128">
        <v>20</v>
      </c>
      <c r="EF67" s="128">
        <v>15</v>
      </c>
      <c r="EG67" s="128">
        <v>5</v>
      </c>
      <c r="EH67" s="128">
        <v>0</v>
      </c>
      <c r="EI67" s="128">
        <v>53</v>
      </c>
      <c r="EJ67" s="128">
        <v>53</v>
      </c>
      <c r="EK67" s="128">
        <v>1</v>
      </c>
      <c r="EL67" s="128">
        <v>1</v>
      </c>
      <c r="EM67" s="128">
        <v>1</v>
      </c>
      <c r="EN67" s="128">
        <v>645000</v>
      </c>
      <c r="EO67" s="128">
        <v>536900</v>
      </c>
      <c r="EP67" s="128">
        <v>12</v>
      </c>
      <c r="EQ67" s="128">
        <v>11</v>
      </c>
      <c r="ER67" s="128">
        <v>10.5</v>
      </c>
      <c r="ES67" s="128">
        <v>5750000</v>
      </c>
      <c r="ET67" s="128">
        <v>4786200</v>
      </c>
      <c r="EU67" s="128">
        <v>9</v>
      </c>
      <c r="EV67" s="128">
        <v>9</v>
      </c>
      <c r="EW67" s="128">
        <v>6.5</v>
      </c>
      <c r="EX67" s="128">
        <v>6440000</v>
      </c>
      <c r="EY67" s="128">
        <v>0</v>
      </c>
      <c r="FO67" s="128">
        <v>13</v>
      </c>
      <c r="FP67" s="128">
        <v>13</v>
      </c>
      <c r="FQ67" s="128">
        <v>13</v>
      </c>
      <c r="FR67" s="128">
        <v>6150000</v>
      </c>
      <c r="FS67" s="128">
        <v>5119150</v>
      </c>
      <c r="IH67" s="128">
        <v>1</v>
      </c>
      <c r="II67" s="128">
        <v>0.5</v>
      </c>
      <c r="IJ67" s="128">
        <v>1</v>
      </c>
      <c r="IK67" s="128">
        <v>4.2000000000000003E-2</v>
      </c>
      <c r="IL67" s="128">
        <v>12250</v>
      </c>
      <c r="IM67" s="128">
        <v>0</v>
      </c>
      <c r="IS67" s="128">
        <v>2</v>
      </c>
      <c r="IT67" s="128">
        <v>250</v>
      </c>
      <c r="IU67" s="128">
        <v>0.11899999999999999</v>
      </c>
      <c r="IV67" s="128">
        <v>26250</v>
      </c>
      <c r="IW67" s="128">
        <v>0</v>
      </c>
      <c r="KG67" s="128">
        <v>0</v>
      </c>
      <c r="KI67" s="128">
        <v>21</v>
      </c>
      <c r="KJ67" s="128">
        <v>0</v>
      </c>
      <c r="KK67" s="128">
        <v>0</v>
      </c>
      <c r="KL67" s="128">
        <v>0</v>
      </c>
      <c r="KM67" s="128">
        <v>21</v>
      </c>
      <c r="KN67" s="128">
        <v>18985000</v>
      </c>
      <c r="KO67" s="128">
        <v>10442250</v>
      </c>
      <c r="KP67" s="128">
        <v>10442250</v>
      </c>
      <c r="KT67" s="128">
        <v>12250</v>
      </c>
      <c r="KU67" s="128">
        <v>0</v>
      </c>
      <c r="KV67" s="128">
        <v>0</v>
      </c>
      <c r="KZ67" s="128">
        <v>26250</v>
      </c>
      <c r="LA67" s="128">
        <v>0</v>
      </c>
      <c r="LB67" s="128">
        <v>0</v>
      </c>
      <c r="LF67" s="128">
        <v>460000</v>
      </c>
      <c r="LG67" s="128">
        <v>0</v>
      </c>
      <c r="LH67" s="128">
        <v>0</v>
      </c>
      <c r="LL67" s="128">
        <v>0</v>
      </c>
      <c r="LM67" s="128">
        <v>0</v>
      </c>
      <c r="LN67" s="128">
        <v>0</v>
      </c>
      <c r="LR67" s="128">
        <v>225000</v>
      </c>
      <c r="LS67" s="128">
        <v>0</v>
      </c>
      <c r="LT67" s="128">
        <v>0</v>
      </c>
      <c r="LX67" s="128">
        <v>2075000</v>
      </c>
      <c r="LY67" s="128">
        <v>0</v>
      </c>
      <c r="LZ67" s="128">
        <v>0</v>
      </c>
      <c r="MD67" s="128">
        <v>20000</v>
      </c>
      <c r="ME67" s="128">
        <v>0</v>
      </c>
      <c r="MF67" s="128">
        <v>0</v>
      </c>
      <c r="MJ67" s="128">
        <v>35000</v>
      </c>
      <c r="MK67" s="128">
        <v>0</v>
      </c>
      <c r="ML67" s="128">
        <v>0</v>
      </c>
      <c r="MP67" s="128">
        <v>500000</v>
      </c>
      <c r="MQ67" s="128">
        <v>0</v>
      </c>
      <c r="MR67" s="128">
        <v>0</v>
      </c>
      <c r="MV67" s="128">
        <v>1000000</v>
      </c>
      <c r="MW67" s="128">
        <v>0</v>
      </c>
      <c r="MX67" s="128">
        <v>0</v>
      </c>
      <c r="NB67" s="128">
        <v>40000</v>
      </c>
      <c r="NC67" s="128">
        <v>0</v>
      </c>
      <c r="ND67" s="128">
        <v>0</v>
      </c>
      <c r="NH67" s="128">
        <v>0</v>
      </c>
      <c r="NI67" s="128">
        <v>0</v>
      </c>
      <c r="NJ67" s="128">
        <v>0</v>
      </c>
      <c r="NN67" s="128">
        <v>20000</v>
      </c>
      <c r="NO67" s="128">
        <v>0</v>
      </c>
      <c r="NP67" s="128">
        <v>0</v>
      </c>
      <c r="NT67" s="128">
        <v>0</v>
      </c>
      <c r="NU67" s="128">
        <v>0</v>
      </c>
      <c r="NV67" s="128">
        <v>0</v>
      </c>
      <c r="NZ67" s="128">
        <v>500000</v>
      </c>
      <c r="OA67" s="128">
        <v>0</v>
      </c>
      <c r="OB67" s="128">
        <v>0</v>
      </c>
      <c r="OF67" s="128">
        <v>5000</v>
      </c>
      <c r="OG67" s="128">
        <v>0</v>
      </c>
      <c r="OH67" s="128">
        <v>0</v>
      </c>
      <c r="OL67" s="128">
        <v>0</v>
      </c>
      <c r="OM67" s="128">
        <v>0</v>
      </c>
      <c r="ON67" s="128">
        <v>0</v>
      </c>
      <c r="OR67" s="128">
        <v>0</v>
      </c>
      <c r="OS67" s="128">
        <v>0</v>
      </c>
      <c r="OT67" s="128">
        <v>0</v>
      </c>
      <c r="OX67" s="128">
        <v>400000</v>
      </c>
      <c r="OY67" s="128">
        <v>0</v>
      </c>
      <c r="OZ67" s="128">
        <v>0</v>
      </c>
      <c r="PD67" s="128">
        <v>435000</v>
      </c>
      <c r="PE67" s="128">
        <v>0</v>
      </c>
      <c r="PF67" s="128">
        <v>0</v>
      </c>
      <c r="PJ67" s="128">
        <v>111500</v>
      </c>
      <c r="PK67" s="128">
        <v>0</v>
      </c>
      <c r="PL67" s="128">
        <v>0</v>
      </c>
      <c r="PP67" s="128">
        <v>24850000</v>
      </c>
      <c r="PQ67" s="128">
        <v>10442250</v>
      </c>
      <c r="PR67" s="128">
        <v>10442250</v>
      </c>
      <c r="PS67" s="128">
        <v>100</v>
      </c>
      <c r="PT67" s="128">
        <v>100</v>
      </c>
      <c r="PV67" s="128">
        <v>14762468</v>
      </c>
      <c r="PX67" s="128">
        <v>5149347</v>
      </c>
      <c r="PY67" s="128">
        <v>5637181</v>
      </c>
      <c r="PZ67" s="128">
        <v>10442250</v>
      </c>
      <c r="QA67" s="128">
        <v>0</v>
      </c>
      <c r="QB67" s="128">
        <v>0</v>
      </c>
      <c r="QC67" s="128">
        <v>0</v>
      </c>
      <c r="QD67" s="128">
        <v>0</v>
      </c>
      <c r="QE67" s="128">
        <v>0</v>
      </c>
      <c r="QF67" s="128">
        <v>0</v>
      </c>
      <c r="QG67" s="128">
        <v>2905000</v>
      </c>
      <c r="QH67" s="128">
        <v>2938000</v>
      </c>
      <c r="QI67" s="128">
        <v>1842750</v>
      </c>
      <c r="QJ67" s="128">
        <v>10069029</v>
      </c>
      <c r="QK67" s="128">
        <v>10700000</v>
      </c>
      <c r="QL67" s="128">
        <v>10800000</v>
      </c>
      <c r="QN67" s="128">
        <v>1459407</v>
      </c>
      <c r="QO67" s="128">
        <v>1656924</v>
      </c>
      <c r="QP67" s="128">
        <v>1700000</v>
      </c>
      <c r="RD67" s="128">
        <v>46599</v>
      </c>
      <c r="RE67" s="128">
        <v>113895</v>
      </c>
      <c r="RF67" s="128">
        <v>65000</v>
      </c>
      <c r="RH67" s="128">
        <f t="shared" si="104"/>
        <v>12350000</v>
      </c>
      <c r="RI67" s="128">
        <v>0</v>
      </c>
      <c r="RM67" s="128" t="s">
        <v>220</v>
      </c>
      <c r="RU67" s="130"/>
      <c r="RV67" s="130"/>
      <c r="RW67" s="130"/>
      <c r="RX67" s="130"/>
      <c r="SF67" s="128">
        <f t="shared" si="8"/>
        <v>2749776</v>
      </c>
      <c r="SG67" s="131">
        <f t="shared" si="9"/>
        <v>24850000</v>
      </c>
      <c r="SH67" s="131">
        <f t="shared" si="10"/>
        <v>24850000</v>
      </c>
      <c r="SI67" s="131">
        <f t="shared" si="11"/>
        <v>19483500</v>
      </c>
      <c r="SJ67" s="132">
        <f t="shared" si="12"/>
        <v>18985000</v>
      </c>
      <c r="SK67" s="132">
        <f t="shared" si="13"/>
        <v>12250</v>
      </c>
      <c r="SL67" s="132">
        <f t="shared" si="14"/>
        <v>26250</v>
      </c>
      <c r="SM67" s="132">
        <f t="shared" si="15"/>
        <v>460000</v>
      </c>
      <c r="SN67" s="131">
        <f t="shared" si="16"/>
        <v>5366500</v>
      </c>
      <c r="SO67" s="131">
        <f t="shared" si="17"/>
        <v>225000</v>
      </c>
      <c r="SP67" s="132">
        <f t="shared" si="18"/>
        <v>0</v>
      </c>
      <c r="SQ67" s="132">
        <f t="shared" si="19"/>
        <v>225000</v>
      </c>
      <c r="SR67" s="132">
        <f t="shared" si="20"/>
        <v>2075000</v>
      </c>
      <c r="SS67" s="132">
        <f t="shared" si="21"/>
        <v>20000</v>
      </c>
      <c r="ST67" s="132">
        <f t="shared" si="22"/>
        <v>35000</v>
      </c>
      <c r="SU67" s="132">
        <f t="shared" si="23"/>
        <v>500000</v>
      </c>
      <c r="SV67" s="131">
        <f t="shared" si="24"/>
        <v>1965000</v>
      </c>
      <c r="SW67" s="132">
        <f t="shared" si="25"/>
        <v>1000000</v>
      </c>
      <c r="SX67" s="132">
        <f t="shared" si="26"/>
        <v>40000</v>
      </c>
      <c r="SY67" s="132">
        <f t="shared" si="27"/>
        <v>0</v>
      </c>
      <c r="SZ67" s="132">
        <f t="shared" si="28"/>
        <v>20000</v>
      </c>
      <c r="TA67" s="132">
        <f t="shared" si="29"/>
        <v>0</v>
      </c>
      <c r="TB67" s="132">
        <f t="shared" si="30"/>
        <v>500000</v>
      </c>
      <c r="TC67" s="132">
        <f t="shared" si="31"/>
        <v>5000</v>
      </c>
      <c r="TD67" s="132">
        <f t="shared" si="32"/>
        <v>0</v>
      </c>
      <c r="TE67" s="132">
        <f t="shared" si="33"/>
        <v>0</v>
      </c>
      <c r="TF67" s="132">
        <f t="shared" si="34"/>
        <v>400000</v>
      </c>
      <c r="TG67" s="132">
        <f t="shared" si="35"/>
        <v>435000</v>
      </c>
      <c r="TH67" s="132">
        <f t="shared" si="36"/>
        <v>111500</v>
      </c>
      <c r="TI67" s="1"/>
      <c r="TJ67" s="131">
        <f t="shared" si="37"/>
        <v>10442250</v>
      </c>
      <c r="TK67" s="131">
        <f t="shared" si="38"/>
        <v>10442250</v>
      </c>
      <c r="TL67" s="131">
        <f t="shared" si="39"/>
        <v>10442250</v>
      </c>
      <c r="TM67" s="132">
        <f t="shared" si="40"/>
        <v>10442250</v>
      </c>
      <c r="TN67" s="132">
        <f t="shared" si="41"/>
        <v>0</v>
      </c>
      <c r="TO67" s="132">
        <f t="shared" si="42"/>
        <v>0</v>
      </c>
      <c r="TP67" s="132">
        <f t="shared" si="43"/>
        <v>0</v>
      </c>
      <c r="TQ67" s="131">
        <f t="shared" si="44"/>
        <v>0</v>
      </c>
      <c r="TR67" s="131">
        <f t="shared" si="45"/>
        <v>0</v>
      </c>
      <c r="TS67" s="132">
        <f t="shared" si="46"/>
        <v>0</v>
      </c>
      <c r="TT67" s="132">
        <f t="shared" si="47"/>
        <v>0</v>
      </c>
      <c r="TU67" s="132">
        <f t="shared" si="48"/>
        <v>0</v>
      </c>
      <c r="TV67" s="132">
        <f t="shared" si="49"/>
        <v>0</v>
      </c>
      <c r="TW67" s="132">
        <f t="shared" si="50"/>
        <v>0</v>
      </c>
      <c r="TX67" s="132">
        <f t="shared" si="51"/>
        <v>0</v>
      </c>
      <c r="TY67" s="131">
        <f t="shared" si="52"/>
        <v>0</v>
      </c>
      <c r="TZ67" s="132">
        <f t="shared" si="53"/>
        <v>0</v>
      </c>
      <c r="UA67" s="132">
        <f t="shared" si="54"/>
        <v>0</v>
      </c>
      <c r="UB67" s="132">
        <f t="shared" si="55"/>
        <v>0</v>
      </c>
      <c r="UC67" s="132">
        <f t="shared" si="56"/>
        <v>0</v>
      </c>
      <c r="UD67" s="132">
        <f t="shared" si="57"/>
        <v>0</v>
      </c>
      <c r="UE67" s="132">
        <f t="shared" si="58"/>
        <v>0</v>
      </c>
      <c r="UF67" s="132">
        <f t="shared" si="59"/>
        <v>0</v>
      </c>
      <c r="UG67" s="132">
        <f t="shared" si="60"/>
        <v>0</v>
      </c>
      <c r="UH67" s="132">
        <f t="shared" si="61"/>
        <v>0</v>
      </c>
      <c r="UI67" s="132">
        <f t="shared" si="62"/>
        <v>0</v>
      </c>
      <c r="UJ67" s="132">
        <f t="shared" si="63"/>
        <v>0</v>
      </c>
      <c r="UK67" s="132">
        <f t="shared" si="64"/>
        <v>0</v>
      </c>
      <c r="UL67" s="132">
        <f t="shared" si="105"/>
        <v>10442250</v>
      </c>
      <c r="UM67" s="131">
        <f t="shared" si="65"/>
        <v>10442250</v>
      </c>
      <c r="UN67" s="131">
        <f t="shared" si="66"/>
        <v>10442250</v>
      </c>
      <c r="UO67" s="131">
        <f t="shared" si="67"/>
        <v>10442250</v>
      </c>
      <c r="UP67" s="132">
        <f t="shared" si="68"/>
        <v>10442250</v>
      </c>
      <c r="UQ67" s="132">
        <f t="shared" si="69"/>
        <v>0</v>
      </c>
      <c r="UR67" s="132">
        <f t="shared" si="70"/>
        <v>0</v>
      </c>
      <c r="US67" s="132">
        <f t="shared" si="71"/>
        <v>0</v>
      </c>
      <c r="UT67" s="131">
        <f t="shared" si="72"/>
        <v>0</v>
      </c>
      <c r="UU67" s="131">
        <f t="shared" si="73"/>
        <v>0</v>
      </c>
      <c r="UV67" s="132">
        <f t="shared" si="74"/>
        <v>0</v>
      </c>
      <c r="UW67" s="132">
        <f t="shared" si="75"/>
        <v>0</v>
      </c>
      <c r="UX67" s="132">
        <f t="shared" si="76"/>
        <v>0</v>
      </c>
      <c r="UY67" s="132">
        <f t="shared" si="77"/>
        <v>0</v>
      </c>
      <c r="UZ67" s="132">
        <f t="shared" si="78"/>
        <v>0</v>
      </c>
      <c r="VA67" s="132">
        <f t="shared" si="79"/>
        <v>0</v>
      </c>
      <c r="VB67" s="131">
        <f t="shared" si="80"/>
        <v>0</v>
      </c>
      <c r="VC67" s="132">
        <f t="shared" si="81"/>
        <v>0</v>
      </c>
      <c r="VD67" s="132">
        <f t="shared" si="82"/>
        <v>0</v>
      </c>
      <c r="VE67" s="132">
        <f t="shared" si="83"/>
        <v>0</v>
      </c>
      <c r="VF67" s="132">
        <f t="shared" si="84"/>
        <v>0</v>
      </c>
      <c r="VG67" s="132">
        <f t="shared" si="85"/>
        <v>0</v>
      </c>
      <c r="VH67" s="132">
        <f t="shared" si="86"/>
        <v>0</v>
      </c>
      <c r="VI67" s="132">
        <f t="shared" si="87"/>
        <v>0</v>
      </c>
      <c r="VJ67" s="132">
        <f t="shared" si="88"/>
        <v>0</v>
      </c>
      <c r="VK67" s="132">
        <f t="shared" si="89"/>
        <v>0</v>
      </c>
      <c r="VL67" s="132">
        <f t="shared" si="90"/>
        <v>0</v>
      </c>
      <c r="VM67" s="132">
        <f t="shared" si="91"/>
        <v>0</v>
      </c>
      <c r="VN67" s="132">
        <f t="shared" si="92"/>
        <v>0</v>
      </c>
      <c r="VP67" s="845" t="str">
        <f>IFERROR(HLOOKUP(F67,'Hodnocení '!$C$1:$JH$5,2,FALSE),0)</f>
        <v>Domov důchodců Malá Čermná</v>
      </c>
      <c r="VQ67" s="838"/>
      <c r="VR67" s="845" t="str">
        <f t="shared" si="106"/>
        <v>Příspěvková organizace zřízená územním samosprávným celkem</v>
      </c>
      <c r="VS67" s="845" t="str">
        <f>IFERROR(HLOOKUP(F67,'Hodnocení '!$C$1:$JH$5,5,FALSE),0)</f>
        <v>PO KHK</v>
      </c>
      <c r="VT67" s="838">
        <f t="shared" si="107"/>
        <v>0</v>
      </c>
      <c r="VU67" s="838" t="str">
        <f t="shared" si="108"/>
        <v>PO KHK</v>
      </c>
      <c r="VV67" s="838">
        <f t="shared" si="109"/>
        <v>10800000</v>
      </c>
      <c r="VW67" s="838">
        <f t="shared" si="110"/>
        <v>1700000</v>
      </c>
      <c r="VX67" s="838"/>
      <c r="VY67" s="838">
        <f t="shared" si="114"/>
        <v>0</v>
      </c>
      <c r="VZ67" s="838">
        <f t="shared" si="115"/>
        <v>10442250</v>
      </c>
      <c r="WA67" s="846">
        <f>IFERROR(HLOOKUP($F67,'Hodnocení '!$C$1:$JH$9,9,FALSE),0)</f>
        <v>10442250</v>
      </c>
      <c r="WB67" s="846">
        <f>IF(IFERROR(HLOOKUP($F67,'Hodnocení '!$C$1:$JH$13,13,FALSE),0)&gt;WA67,WA67,IFERROR(HLOOKUP($F67,'Hodnocení '!$C$1:$JH$13,13,FALSE),0))</f>
        <v>9823113.9004964307</v>
      </c>
      <c r="WC67" s="846">
        <f>IFERROR(HLOOKUP($F67,'Hodnocení '!$C$1:$JH$155,155,FALSE),0)</f>
        <v>6265180</v>
      </c>
      <c r="WD67" s="845"/>
      <c r="WE67" s="845"/>
      <c r="WF67" s="845" t="str">
        <f t="shared" si="97"/>
        <v>ANO</v>
      </c>
      <c r="WG67" s="849" t="str">
        <f t="shared" si="117"/>
        <v>Podpora služby je vyjádřena zařazením do sítě sociálních služeb v KHK a řešením financování služby</v>
      </c>
      <c r="WH67"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67" s="849" t="str">
        <f t="shared" si="117"/>
        <v>Návrh dotace je výsledkem projednání s ostatními zadavateli v rámci sítě služeb KHK</v>
      </c>
      <c r="WJ67" s="849" t="str">
        <f t="shared" si="117"/>
        <v>Bez komentáře</v>
      </c>
      <c r="WK67" s="31">
        <f t="shared" si="99"/>
        <v>0</v>
      </c>
      <c r="WL67" s="850" t="str">
        <f t="shared" si="100"/>
        <v>Případná úprava příspěvku zřizovatele bude řešena v návaznosti na vývoj služby</v>
      </c>
      <c r="WM67" s="849" t="str">
        <f t="shared" si="101"/>
        <v>V rámci sítě KHK se dlouhodobě řeší otázka navyšování úhrad a průběžně se monitoruje s vazbou na vykrytí vyrovnávací platby</v>
      </c>
      <c r="WN67" s="849" t="str">
        <f t="shared" si="102"/>
        <v>Otázka výběru od zdravotních pojišťoven je předmětem procesu, který probíhá ve formě jednání se ZP a organizacemi</v>
      </c>
      <c r="WO67" s="849" t="str">
        <f t="shared" si="118"/>
        <v>bez komentáře</v>
      </c>
      <c r="WP67" s="849" t="str">
        <f t="shared" si="118"/>
        <v>bez komentáře</v>
      </c>
      <c r="WQ67" s="849" t="str">
        <f t="shared" si="118"/>
        <v>Konečná výše dotace z rozpočtu KHK bude řešena v návaznosti na řešení podílů jednotlivých zadavatelů.</v>
      </c>
      <c r="WR67" s="849" t="str">
        <f t="shared" si="118"/>
        <v>Konečná výše podpory ze stran obcí bude řešena v součinnosti s jednotlivými zadavateli v průběhu roku.</v>
      </c>
      <c r="WS67" s="849" t="str">
        <f t="shared" si="118"/>
        <v>bez komentáře</v>
      </c>
      <c r="WT67" s="849" t="str">
        <f t="shared" si="118"/>
        <v>bez komentáře</v>
      </c>
      <c r="WU67" s="845"/>
    </row>
    <row r="68" spans="1:619" s="128" customFormat="1" x14ac:dyDescent="0.25">
      <c r="A68" s="128" t="str">
        <f>VLOOKUP(F68,'Výpočet VP 2020'!$D$324:$I$588,6,FALSE)</f>
        <v>Je v síti</v>
      </c>
      <c r="B68" s="128" t="s">
        <v>470</v>
      </c>
      <c r="C68" s="128">
        <v>70889783</v>
      </c>
      <c r="D68" s="128" t="s">
        <v>471</v>
      </c>
      <c r="E68" s="128" t="s">
        <v>259</v>
      </c>
      <c r="F68" s="128">
        <v>1665958</v>
      </c>
      <c r="G68" s="128" t="s">
        <v>348</v>
      </c>
      <c r="H68" s="128" t="s">
        <v>218</v>
      </c>
      <c r="I68" s="128" t="s">
        <v>470</v>
      </c>
      <c r="J68" s="129">
        <v>39083</v>
      </c>
      <c r="L68" s="128" t="s">
        <v>220</v>
      </c>
      <c r="M68" s="128" t="s">
        <v>462</v>
      </c>
      <c r="N68" s="128">
        <v>54</v>
      </c>
      <c r="P68" s="128">
        <v>67</v>
      </c>
      <c r="Q68" s="128">
        <v>74</v>
      </c>
      <c r="R68" s="128">
        <v>70</v>
      </c>
      <c r="BL68" s="128" t="s">
        <v>351</v>
      </c>
      <c r="BM68" s="128" t="s">
        <v>325</v>
      </c>
      <c r="BN68" s="128" t="s">
        <v>352</v>
      </c>
      <c r="DA68" s="128">
        <v>0</v>
      </c>
      <c r="DB68" s="128">
        <v>0</v>
      </c>
      <c r="DC68" s="128">
        <v>0</v>
      </c>
      <c r="DD68" s="128">
        <v>0</v>
      </c>
      <c r="DE68" s="128">
        <v>0</v>
      </c>
      <c r="DF68" s="128">
        <v>8</v>
      </c>
      <c r="DG68" s="128">
        <v>14</v>
      </c>
      <c r="DH68" s="128">
        <v>18</v>
      </c>
      <c r="DI68" s="128">
        <v>14</v>
      </c>
      <c r="DJ68" s="128">
        <v>0</v>
      </c>
      <c r="DK68" s="128">
        <v>8</v>
      </c>
      <c r="DL68" s="128">
        <v>14</v>
      </c>
      <c r="DM68" s="128">
        <v>18</v>
      </c>
      <c r="DN68" s="128">
        <v>14</v>
      </c>
      <c r="DO68" s="128">
        <v>0</v>
      </c>
      <c r="DP68" s="128">
        <v>0</v>
      </c>
      <c r="DQ68" s="128">
        <v>54</v>
      </c>
      <c r="DR68" s="128">
        <v>54</v>
      </c>
      <c r="DS68" s="128">
        <v>0</v>
      </c>
      <c r="DT68" s="128">
        <v>0</v>
      </c>
      <c r="DU68" s="128">
        <v>0</v>
      </c>
      <c r="DV68" s="128">
        <v>0</v>
      </c>
      <c r="DW68" s="128">
        <v>0</v>
      </c>
      <c r="DX68" s="128">
        <v>10</v>
      </c>
      <c r="DY68" s="128">
        <v>13</v>
      </c>
      <c r="DZ68" s="128">
        <v>16</v>
      </c>
      <c r="EA68" s="128">
        <v>15</v>
      </c>
      <c r="EB68" s="128">
        <v>0</v>
      </c>
      <c r="EC68" s="128">
        <v>10</v>
      </c>
      <c r="ED68" s="128">
        <v>13</v>
      </c>
      <c r="EE68" s="128">
        <v>16</v>
      </c>
      <c r="EF68" s="128">
        <v>15</v>
      </c>
      <c r="EG68" s="128">
        <v>0</v>
      </c>
      <c r="EH68" s="128">
        <v>0</v>
      </c>
      <c r="EI68" s="128">
        <v>54</v>
      </c>
      <c r="EJ68" s="128">
        <v>54</v>
      </c>
      <c r="EK68" s="128">
        <v>1</v>
      </c>
      <c r="EL68" s="128">
        <v>1</v>
      </c>
      <c r="EM68" s="128">
        <v>1</v>
      </c>
      <c r="EN68" s="128">
        <v>530000</v>
      </c>
      <c r="EO68" s="128">
        <v>250000</v>
      </c>
      <c r="EP68" s="128">
        <v>13</v>
      </c>
      <c r="EQ68" s="128">
        <v>13</v>
      </c>
      <c r="ER68" s="128">
        <v>13</v>
      </c>
      <c r="ES68" s="128">
        <v>6741000</v>
      </c>
      <c r="ET68" s="128">
        <v>4850000</v>
      </c>
      <c r="EU68" s="128">
        <v>7</v>
      </c>
      <c r="EV68" s="128">
        <v>6</v>
      </c>
      <c r="EW68" s="128">
        <v>6</v>
      </c>
      <c r="EX68" s="128">
        <v>4570000</v>
      </c>
      <c r="EY68" s="128">
        <v>0</v>
      </c>
      <c r="FO68" s="128">
        <v>13</v>
      </c>
      <c r="FP68" s="128">
        <v>13</v>
      </c>
      <c r="FQ68" s="128">
        <v>13</v>
      </c>
      <c r="FR68" s="128">
        <v>5625000</v>
      </c>
      <c r="FS68" s="128">
        <v>4050000</v>
      </c>
      <c r="IS68" s="128">
        <v>2</v>
      </c>
      <c r="IT68" s="128">
        <v>380</v>
      </c>
      <c r="IU68" s="128">
        <v>0.18099999999999999</v>
      </c>
      <c r="IV68" s="128">
        <v>50000</v>
      </c>
      <c r="IW68" s="128">
        <v>0</v>
      </c>
      <c r="KG68" s="128">
        <v>0</v>
      </c>
      <c r="KI68" s="128">
        <v>20</v>
      </c>
      <c r="KJ68" s="128">
        <v>0</v>
      </c>
      <c r="KK68" s="128">
        <v>0</v>
      </c>
      <c r="KL68" s="128">
        <v>0</v>
      </c>
      <c r="KM68" s="128">
        <v>20</v>
      </c>
      <c r="KN68" s="128">
        <v>17466000</v>
      </c>
      <c r="KO68" s="128">
        <v>9150000</v>
      </c>
      <c r="KP68" s="128">
        <v>9150000</v>
      </c>
      <c r="KT68" s="128">
        <v>0</v>
      </c>
      <c r="KU68" s="128">
        <v>0</v>
      </c>
      <c r="KV68" s="128">
        <v>0</v>
      </c>
      <c r="KZ68" s="128">
        <v>50000</v>
      </c>
      <c r="LA68" s="128">
        <v>0</v>
      </c>
      <c r="LB68" s="128">
        <v>0</v>
      </c>
      <c r="LF68" s="128">
        <v>0</v>
      </c>
      <c r="LG68" s="128">
        <v>0</v>
      </c>
      <c r="LH68" s="128">
        <v>0</v>
      </c>
      <c r="LL68" s="128">
        <v>20000</v>
      </c>
      <c r="LM68" s="128">
        <v>0</v>
      </c>
      <c r="LN68" s="128">
        <v>0</v>
      </c>
      <c r="LR68" s="128">
        <v>100000</v>
      </c>
      <c r="LS68" s="128">
        <v>0</v>
      </c>
      <c r="LT68" s="128">
        <v>0</v>
      </c>
      <c r="LX68" s="128">
        <v>2130000</v>
      </c>
      <c r="LY68" s="128">
        <v>0</v>
      </c>
      <c r="LZ68" s="128">
        <v>0</v>
      </c>
      <c r="MD68" s="128">
        <v>35000</v>
      </c>
      <c r="ME68" s="128">
        <v>0</v>
      </c>
      <c r="MF68" s="128">
        <v>0</v>
      </c>
      <c r="MJ68" s="128">
        <v>15000</v>
      </c>
      <c r="MK68" s="128">
        <v>0</v>
      </c>
      <c r="ML68" s="128">
        <v>0</v>
      </c>
      <c r="MP68" s="128">
        <v>594000</v>
      </c>
      <c r="MQ68" s="128">
        <v>0</v>
      </c>
      <c r="MR68" s="128">
        <v>0</v>
      </c>
      <c r="MV68" s="128">
        <v>1124000</v>
      </c>
      <c r="MW68" s="128">
        <v>0</v>
      </c>
      <c r="MX68" s="128">
        <v>0</v>
      </c>
      <c r="NB68" s="128">
        <v>340000</v>
      </c>
      <c r="NC68" s="128">
        <v>0</v>
      </c>
      <c r="ND68" s="128">
        <v>0</v>
      </c>
      <c r="NH68" s="128">
        <v>0</v>
      </c>
      <c r="NI68" s="128">
        <v>0</v>
      </c>
      <c r="NJ68" s="128">
        <v>0</v>
      </c>
      <c r="NN68" s="128">
        <v>0</v>
      </c>
      <c r="NO68" s="128">
        <v>0</v>
      </c>
      <c r="NP68" s="128">
        <v>0</v>
      </c>
      <c r="NT68" s="128">
        <v>30000</v>
      </c>
      <c r="NU68" s="128">
        <v>0</v>
      </c>
      <c r="NV68" s="128">
        <v>0</v>
      </c>
      <c r="NZ68" s="128">
        <v>443000</v>
      </c>
      <c r="OA68" s="128">
        <v>0</v>
      </c>
      <c r="OB68" s="128">
        <v>0</v>
      </c>
      <c r="OF68" s="128">
        <v>2000</v>
      </c>
      <c r="OG68" s="128">
        <v>0</v>
      </c>
      <c r="OH68" s="128">
        <v>0</v>
      </c>
      <c r="OL68" s="128">
        <v>0</v>
      </c>
      <c r="OM68" s="128">
        <v>0</v>
      </c>
      <c r="ON68" s="128">
        <v>0</v>
      </c>
      <c r="OR68" s="128">
        <v>0</v>
      </c>
      <c r="OS68" s="128">
        <v>0</v>
      </c>
      <c r="OT68" s="128">
        <v>0</v>
      </c>
      <c r="OX68" s="128">
        <v>10000</v>
      </c>
      <c r="OY68" s="128">
        <v>0</v>
      </c>
      <c r="OZ68" s="128">
        <v>0</v>
      </c>
      <c r="PD68" s="128">
        <v>350000</v>
      </c>
      <c r="PE68" s="128">
        <v>0</v>
      </c>
      <c r="PF68" s="128">
        <v>0</v>
      </c>
      <c r="PJ68" s="128">
        <v>40000</v>
      </c>
      <c r="PK68" s="128">
        <v>0</v>
      </c>
      <c r="PL68" s="128">
        <v>0</v>
      </c>
      <c r="PP68" s="128">
        <v>22749000</v>
      </c>
      <c r="PQ68" s="128">
        <v>9150000</v>
      </c>
      <c r="PR68" s="128">
        <v>9150000</v>
      </c>
      <c r="PS68" s="128">
        <v>100</v>
      </c>
      <c r="PT68" s="128">
        <v>100</v>
      </c>
      <c r="PV68" s="128">
        <v>14994632</v>
      </c>
      <c r="PX68" s="128">
        <v>6279000</v>
      </c>
      <c r="PY68" s="128">
        <v>7348000</v>
      </c>
      <c r="PZ68" s="128">
        <v>9150000</v>
      </c>
      <c r="QA68" s="128">
        <v>0</v>
      </c>
      <c r="QB68" s="128">
        <v>0</v>
      </c>
      <c r="QC68" s="128">
        <v>0</v>
      </c>
      <c r="QD68" s="128">
        <v>0</v>
      </c>
      <c r="QE68" s="128">
        <v>50000</v>
      </c>
      <c r="QF68" s="128">
        <v>50000</v>
      </c>
      <c r="QG68" s="128">
        <v>0</v>
      </c>
      <c r="QH68" s="128">
        <v>0</v>
      </c>
      <c r="QI68" s="128">
        <v>0</v>
      </c>
      <c r="QJ68" s="128">
        <v>11375585</v>
      </c>
      <c r="QK68" s="128">
        <v>11730000</v>
      </c>
      <c r="QL68" s="128">
        <v>11780000</v>
      </c>
      <c r="QN68" s="128">
        <v>964096</v>
      </c>
      <c r="QO68" s="128">
        <v>950000</v>
      </c>
      <c r="QP68" s="128">
        <v>950000</v>
      </c>
      <c r="QU68" s="128">
        <v>600000</v>
      </c>
      <c r="QV68" s="128">
        <v>301000</v>
      </c>
      <c r="QW68" s="128">
        <v>0</v>
      </c>
      <c r="RD68" s="128">
        <v>826422</v>
      </c>
      <c r="RE68" s="128">
        <v>853000</v>
      </c>
      <c r="RF68" s="128">
        <v>819000</v>
      </c>
      <c r="RH68" s="128">
        <f t="shared" si="104"/>
        <v>10019000</v>
      </c>
      <c r="RI68" s="128">
        <v>0</v>
      </c>
      <c r="RM68" s="128" t="s">
        <v>220</v>
      </c>
      <c r="RU68" s="130"/>
      <c r="RV68" s="130"/>
      <c r="RW68" s="130"/>
      <c r="RX68" s="130"/>
      <c r="SF68" s="128">
        <f t="shared" si="8"/>
        <v>1665958</v>
      </c>
      <c r="SG68" s="131">
        <f t="shared" si="9"/>
        <v>22749000</v>
      </c>
      <c r="SH68" s="131">
        <f t="shared" si="10"/>
        <v>22749000</v>
      </c>
      <c r="SI68" s="131">
        <f t="shared" si="11"/>
        <v>17516000</v>
      </c>
      <c r="SJ68" s="132">
        <f t="shared" si="12"/>
        <v>17466000</v>
      </c>
      <c r="SK68" s="132">
        <f t="shared" si="13"/>
        <v>0</v>
      </c>
      <c r="SL68" s="132">
        <f t="shared" si="14"/>
        <v>50000</v>
      </c>
      <c r="SM68" s="132">
        <f t="shared" si="15"/>
        <v>0</v>
      </c>
      <c r="SN68" s="131">
        <f t="shared" si="16"/>
        <v>5233000</v>
      </c>
      <c r="SO68" s="131">
        <f t="shared" si="17"/>
        <v>120000</v>
      </c>
      <c r="SP68" s="132">
        <f t="shared" si="18"/>
        <v>20000</v>
      </c>
      <c r="SQ68" s="132">
        <f t="shared" si="19"/>
        <v>100000</v>
      </c>
      <c r="SR68" s="132">
        <f t="shared" si="20"/>
        <v>2130000</v>
      </c>
      <c r="SS68" s="132">
        <f t="shared" si="21"/>
        <v>35000</v>
      </c>
      <c r="ST68" s="132">
        <f t="shared" si="22"/>
        <v>15000</v>
      </c>
      <c r="SU68" s="132">
        <f t="shared" si="23"/>
        <v>594000</v>
      </c>
      <c r="SV68" s="131">
        <f t="shared" si="24"/>
        <v>1949000</v>
      </c>
      <c r="SW68" s="132">
        <f t="shared" si="25"/>
        <v>1124000</v>
      </c>
      <c r="SX68" s="132">
        <f t="shared" si="26"/>
        <v>340000</v>
      </c>
      <c r="SY68" s="132">
        <f t="shared" si="27"/>
        <v>0</v>
      </c>
      <c r="SZ68" s="132">
        <f t="shared" si="28"/>
        <v>0</v>
      </c>
      <c r="TA68" s="132">
        <f t="shared" si="29"/>
        <v>30000</v>
      </c>
      <c r="TB68" s="132">
        <f t="shared" si="30"/>
        <v>443000</v>
      </c>
      <c r="TC68" s="132">
        <f t="shared" si="31"/>
        <v>2000</v>
      </c>
      <c r="TD68" s="132">
        <f t="shared" si="32"/>
        <v>0</v>
      </c>
      <c r="TE68" s="132">
        <f t="shared" si="33"/>
        <v>0</v>
      </c>
      <c r="TF68" s="132">
        <f t="shared" si="34"/>
        <v>10000</v>
      </c>
      <c r="TG68" s="132">
        <f t="shared" si="35"/>
        <v>350000</v>
      </c>
      <c r="TH68" s="132">
        <f t="shared" si="36"/>
        <v>40000</v>
      </c>
      <c r="TI68" s="1"/>
      <c r="TJ68" s="131">
        <f t="shared" si="37"/>
        <v>9150000</v>
      </c>
      <c r="TK68" s="131">
        <f t="shared" si="38"/>
        <v>9150000</v>
      </c>
      <c r="TL68" s="131">
        <f t="shared" si="39"/>
        <v>9150000</v>
      </c>
      <c r="TM68" s="132">
        <f t="shared" si="40"/>
        <v>9150000</v>
      </c>
      <c r="TN68" s="132">
        <f t="shared" si="41"/>
        <v>0</v>
      </c>
      <c r="TO68" s="132">
        <f t="shared" si="42"/>
        <v>0</v>
      </c>
      <c r="TP68" s="132">
        <f t="shared" si="43"/>
        <v>0</v>
      </c>
      <c r="TQ68" s="131">
        <f t="shared" si="44"/>
        <v>0</v>
      </c>
      <c r="TR68" s="131">
        <f t="shared" si="45"/>
        <v>0</v>
      </c>
      <c r="TS68" s="132">
        <f t="shared" si="46"/>
        <v>0</v>
      </c>
      <c r="TT68" s="132">
        <f t="shared" si="47"/>
        <v>0</v>
      </c>
      <c r="TU68" s="132">
        <f t="shared" si="48"/>
        <v>0</v>
      </c>
      <c r="TV68" s="132">
        <f t="shared" si="49"/>
        <v>0</v>
      </c>
      <c r="TW68" s="132">
        <f t="shared" si="50"/>
        <v>0</v>
      </c>
      <c r="TX68" s="132">
        <f t="shared" si="51"/>
        <v>0</v>
      </c>
      <c r="TY68" s="131">
        <f t="shared" si="52"/>
        <v>0</v>
      </c>
      <c r="TZ68" s="132">
        <f t="shared" si="53"/>
        <v>0</v>
      </c>
      <c r="UA68" s="132">
        <f t="shared" si="54"/>
        <v>0</v>
      </c>
      <c r="UB68" s="132">
        <f t="shared" si="55"/>
        <v>0</v>
      </c>
      <c r="UC68" s="132">
        <f t="shared" si="56"/>
        <v>0</v>
      </c>
      <c r="UD68" s="132">
        <f t="shared" si="57"/>
        <v>0</v>
      </c>
      <c r="UE68" s="132">
        <f t="shared" si="58"/>
        <v>0</v>
      </c>
      <c r="UF68" s="132">
        <f t="shared" si="59"/>
        <v>0</v>
      </c>
      <c r="UG68" s="132">
        <f t="shared" si="60"/>
        <v>0</v>
      </c>
      <c r="UH68" s="132">
        <f t="shared" si="61"/>
        <v>0</v>
      </c>
      <c r="UI68" s="132">
        <f t="shared" si="62"/>
        <v>0</v>
      </c>
      <c r="UJ68" s="132">
        <f t="shared" si="63"/>
        <v>0</v>
      </c>
      <c r="UK68" s="132">
        <f t="shared" si="64"/>
        <v>0</v>
      </c>
      <c r="UL68" s="132">
        <f t="shared" si="105"/>
        <v>9150000</v>
      </c>
      <c r="UM68" s="131">
        <f t="shared" si="65"/>
        <v>9150000</v>
      </c>
      <c r="UN68" s="131">
        <f t="shared" si="66"/>
        <v>9150000</v>
      </c>
      <c r="UO68" s="131">
        <f t="shared" si="67"/>
        <v>9150000</v>
      </c>
      <c r="UP68" s="132">
        <f t="shared" si="68"/>
        <v>9150000</v>
      </c>
      <c r="UQ68" s="132">
        <f t="shared" si="69"/>
        <v>0</v>
      </c>
      <c r="UR68" s="132">
        <f t="shared" si="70"/>
        <v>0</v>
      </c>
      <c r="US68" s="132">
        <f t="shared" si="71"/>
        <v>0</v>
      </c>
      <c r="UT68" s="131">
        <f t="shared" si="72"/>
        <v>0</v>
      </c>
      <c r="UU68" s="131">
        <f t="shared" si="73"/>
        <v>0</v>
      </c>
      <c r="UV68" s="132">
        <f t="shared" si="74"/>
        <v>0</v>
      </c>
      <c r="UW68" s="132">
        <f t="shared" si="75"/>
        <v>0</v>
      </c>
      <c r="UX68" s="132">
        <f t="shared" si="76"/>
        <v>0</v>
      </c>
      <c r="UY68" s="132">
        <f t="shared" si="77"/>
        <v>0</v>
      </c>
      <c r="UZ68" s="132">
        <f t="shared" si="78"/>
        <v>0</v>
      </c>
      <c r="VA68" s="132">
        <f t="shared" si="79"/>
        <v>0</v>
      </c>
      <c r="VB68" s="131">
        <f t="shared" si="80"/>
        <v>0</v>
      </c>
      <c r="VC68" s="132">
        <f t="shared" si="81"/>
        <v>0</v>
      </c>
      <c r="VD68" s="132">
        <f t="shared" si="82"/>
        <v>0</v>
      </c>
      <c r="VE68" s="132">
        <f t="shared" si="83"/>
        <v>0</v>
      </c>
      <c r="VF68" s="132">
        <f t="shared" si="84"/>
        <v>0</v>
      </c>
      <c r="VG68" s="132">
        <f t="shared" si="85"/>
        <v>0</v>
      </c>
      <c r="VH68" s="132">
        <f t="shared" si="86"/>
        <v>0</v>
      </c>
      <c r="VI68" s="132">
        <f t="shared" si="87"/>
        <v>0</v>
      </c>
      <c r="VJ68" s="132">
        <f t="shared" si="88"/>
        <v>0</v>
      </c>
      <c r="VK68" s="132">
        <f t="shared" si="89"/>
        <v>0</v>
      </c>
      <c r="VL68" s="132">
        <f t="shared" si="90"/>
        <v>0</v>
      </c>
      <c r="VM68" s="132">
        <f t="shared" si="91"/>
        <v>0</v>
      </c>
      <c r="VN68" s="132">
        <f t="shared" si="92"/>
        <v>0</v>
      </c>
      <c r="VP68" s="845" t="str">
        <f>IFERROR(HLOOKUP(F68,'Hodnocení '!$C$1:$JH$5,2,FALSE),0)</f>
        <v>Domov důchodců Mlázovice</v>
      </c>
      <c r="VQ68" s="838"/>
      <c r="VR68" s="845" t="str">
        <f t="shared" si="106"/>
        <v>Příspěvková organizace zřízená územním samosprávným celkem</v>
      </c>
      <c r="VS68" s="845" t="str">
        <f>IFERROR(HLOOKUP(F68,'Hodnocení '!$C$1:$JH$5,5,FALSE),0)</f>
        <v>KHK</v>
      </c>
      <c r="VT68" s="838">
        <f t="shared" si="107"/>
        <v>0</v>
      </c>
      <c r="VU68" s="838">
        <f t="shared" si="108"/>
        <v>0</v>
      </c>
      <c r="VV68" s="838">
        <f t="shared" si="109"/>
        <v>11780000</v>
      </c>
      <c r="VW68" s="838">
        <f t="shared" si="110"/>
        <v>950000</v>
      </c>
      <c r="VX68" s="838"/>
      <c r="VY68" s="838">
        <f t="shared" si="114"/>
        <v>0</v>
      </c>
      <c r="VZ68" s="838">
        <f t="shared" si="115"/>
        <v>9150000</v>
      </c>
      <c r="WA68" s="846">
        <f>IFERROR(HLOOKUP($F68,'Hodnocení '!$C$1:$JH$9,9,FALSE),0)</f>
        <v>9150000</v>
      </c>
      <c r="WB68" s="846">
        <f>IF(IFERROR(HLOOKUP($F68,'Hodnocení '!$C$1:$JH$13,13,FALSE),0)&gt;WA68,WA68,IFERROR(HLOOKUP($F68,'Hodnocení '!$C$1:$JH$13,13,FALSE),0))</f>
        <v>9150000</v>
      </c>
      <c r="WC68" s="846">
        <f>IFERROR(HLOOKUP($F68,'Hodnocení '!$C$1:$JH$155,155,FALSE),0)</f>
        <v>8884420</v>
      </c>
      <c r="WD68" s="845"/>
      <c r="WE68" s="845"/>
      <c r="WF68" s="845" t="str">
        <f t="shared" si="97"/>
        <v>ANO</v>
      </c>
      <c r="WG68" s="849" t="str">
        <f t="shared" si="117"/>
        <v>Podpora služby je vyjádřena zařazením do sítě sociálních služeb v KHK a řešením financování služby</v>
      </c>
      <c r="WH68"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68" s="849" t="str">
        <f t="shared" si="117"/>
        <v>Návrh dotace je výsledkem projednání s ostatními zadavateli v rámci sítě služeb KHK</v>
      </c>
      <c r="WJ68" s="849" t="str">
        <f t="shared" si="117"/>
        <v>Bez komentáře</v>
      </c>
      <c r="WK68" s="31">
        <f t="shared" si="99"/>
        <v>0</v>
      </c>
      <c r="WL68" s="850">
        <f t="shared" si="100"/>
        <v>0</v>
      </c>
      <c r="WM68" s="849" t="str">
        <f t="shared" si="101"/>
        <v>V rámci sítě KHK se dlouhodobě řeší otázka navyšování úhrad a průběžně se monitoruje s vazbou na vykrytí vyrovnávací platby</v>
      </c>
      <c r="WN68" s="849" t="str">
        <f t="shared" si="102"/>
        <v>Otázka výběru od zdravotních pojišťoven je předmětem procesu, který probíhá ve formě jednání se ZP a organizacemi</v>
      </c>
      <c r="WO68" s="849" t="str">
        <f t="shared" si="118"/>
        <v>bez komentáře</v>
      </c>
      <c r="WP68" s="849" t="str">
        <f t="shared" si="118"/>
        <v>bez komentáře</v>
      </c>
      <c r="WQ68" s="849" t="str">
        <f t="shared" si="118"/>
        <v>Konečná výše dotace z rozpočtu KHK bude řešena v návaznosti na řešení podílů jednotlivých zadavatelů.</v>
      </c>
      <c r="WR68" s="849" t="str">
        <f t="shared" si="118"/>
        <v>Konečná výše podpory ze stran obcí bude řešena v součinnosti s jednotlivými zadavateli v průběhu roku.</v>
      </c>
      <c r="WS68" s="849" t="str">
        <f t="shared" si="118"/>
        <v>bez komentáře</v>
      </c>
      <c r="WT68" s="849" t="str">
        <f t="shared" si="118"/>
        <v>bez komentáře</v>
      </c>
      <c r="WU68" s="845"/>
    </row>
    <row r="69" spans="1:619" s="128" customFormat="1" x14ac:dyDescent="0.25">
      <c r="A69" s="128" t="str">
        <f>VLOOKUP(F69,'Výpočet VP 2020'!$D$324:$I$588,6,FALSE)</f>
        <v>Je v síti</v>
      </c>
      <c r="B69" s="128" t="s">
        <v>472</v>
      </c>
      <c r="C69" s="128">
        <v>71193987</v>
      </c>
      <c r="D69" s="128" t="s">
        <v>473</v>
      </c>
      <c r="E69" s="128" t="s">
        <v>259</v>
      </c>
      <c r="F69" s="128">
        <v>1991772</v>
      </c>
      <c r="G69" s="128" t="s">
        <v>392</v>
      </c>
      <c r="H69" s="128" t="s">
        <v>218</v>
      </c>
      <c r="I69" s="128" t="s">
        <v>472</v>
      </c>
      <c r="J69" s="129">
        <v>42370</v>
      </c>
      <c r="L69" s="128" t="s">
        <v>220</v>
      </c>
      <c r="M69" s="128" t="s">
        <v>474</v>
      </c>
      <c r="N69" s="128">
        <v>60</v>
      </c>
      <c r="P69" s="128">
        <v>79</v>
      </c>
      <c r="Q69" s="128">
        <v>78</v>
      </c>
      <c r="R69" s="128">
        <v>76</v>
      </c>
      <c r="BL69" s="128" t="s">
        <v>475</v>
      </c>
      <c r="BM69" s="128" t="s">
        <v>414</v>
      </c>
      <c r="BN69" s="128" t="s">
        <v>326</v>
      </c>
      <c r="DA69" s="128">
        <v>0</v>
      </c>
      <c r="DB69" s="128">
        <v>0</v>
      </c>
      <c r="DC69" s="128">
        <v>0</v>
      </c>
      <c r="DD69" s="128">
        <v>0</v>
      </c>
      <c r="DE69" s="128">
        <v>0</v>
      </c>
      <c r="DF69" s="128">
        <v>1</v>
      </c>
      <c r="DG69" s="128">
        <v>4</v>
      </c>
      <c r="DH69" s="128">
        <v>18</v>
      </c>
      <c r="DI69" s="128">
        <v>37</v>
      </c>
      <c r="DJ69" s="128">
        <v>0</v>
      </c>
      <c r="DK69" s="128">
        <v>1</v>
      </c>
      <c r="DL69" s="128">
        <v>4</v>
      </c>
      <c r="DM69" s="128">
        <v>18</v>
      </c>
      <c r="DN69" s="128">
        <v>37</v>
      </c>
      <c r="DO69" s="128">
        <v>0</v>
      </c>
      <c r="DP69" s="128">
        <v>0</v>
      </c>
      <c r="DQ69" s="128">
        <v>60</v>
      </c>
      <c r="DR69" s="128">
        <v>60</v>
      </c>
      <c r="DS69" s="128">
        <v>0</v>
      </c>
      <c r="DT69" s="128">
        <v>0</v>
      </c>
      <c r="DU69" s="128">
        <v>0</v>
      </c>
      <c r="DV69" s="128">
        <v>0</v>
      </c>
      <c r="DW69" s="128">
        <v>0</v>
      </c>
      <c r="DX69" s="128">
        <v>0</v>
      </c>
      <c r="DY69" s="128">
        <v>2</v>
      </c>
      <c r="DZ69" s="128">
        <v>18</v>
      </c>
      <c r="EA69" s="128">
        <v>40</v>
      </c>
      <c r="EB69" s="128">
        <v>0</v>
      </c>
      <c r="EC69" s="128">
        <v>0</v>
      </c>
      <c r="ED69" s="128">
        <v>2</v>
      </c>
      <c r="EE69" s="128">
        <v>18</v>
      </c>
      <c r="EF69" s="128">
        <v>40</v>
      </c>
      <c r="EG69" s="128">
        <v>0</v>
      </c>
      <c r="EH69" s="128">
        <v>0</v>
      </c>
      <c r="EI69" s="128">
        <v>60</v>
      </c>
      <c r="EJ69" s="128">
        <v>60</v>
      </c>
      <c r="EK69" s="128">
        <v>2</v>
      </c>
      <c r="EL69" s="128">
        <v>1.4</v>
      </c>
      <c r="EM69" s="128">
        <v>1.42</v>
      </c>
      <c r="EN69" s="128">
        <v>1064000</v>
      </c>
      <c r="EO69" s="128">
        <v>802000</v>
      </c>
      <c r="EP69" s="128">
        <v>19</v>
      </c>
      <c r="EQ69" s="128">
        <v>19</v>
      </c>
      <c r="ER69" s="128">
        <v>18.03</v>
      </c>
      <c r="ES69" s="128">
        <v>9991000</v>
      </c>
      <c r="ET69" s="128">
        <v>6022000</v>
      </c>
      <c r="EU69" s="128">
        <v>7</v>
      </c>
      <c r="EV69" s="128">
        <v>7</v>
      </c>
      <c r="EW69" s="128">
        <v>6.42</v>
      </c>
      <c r="EX69" s="128">
        <v>6033000</v>
      </c>
      <c r="EY69" s="128">
        <v>0</v>
      </c>
      <c r="FO69" s="128">
        <v>30</v>
      </c>
      <c r="FP69" s="128">
        <v>12.6</v>
      </c>
      <c r="FQ69" s="128">
        <v>12.6</v>
      </c>
      <c r="FR69" s="128">
        <v>5124000</v>
      </c>
      <c r="FS69" s="128">
        <v>3212000</v>
      </c>
      <c r="HD69" s="128">
        <v>1</v>
      </c>
      <c r="HE69" s="128">
        <v>0.1</v>
      </c>
      <c r="HF69" s="128">
        <v>12</v>
      </c>
      <c r="HG69" s="128">
        <v>0.1</v>
      </c>
      <c r="HH69" s="128">
        <v>22000</v>
      </c>
      <c r="HI69" s="128">
        <v>0</v>
      </c>
      <c r="IN69" s="128">
        <v>1</v>
      </c>
      <c r="IO69" s="128">
        <v>145</v>
      </c>
      <c r="IP69" s="128">
        <v>6.9000000000000006E-2</v>
      </c>
      <c r="IQ69" s="128">
        <v>29000</v>
      </c>
      <c r="IR69" s="128">
        <v>0</v>
      </c>
      <c r="IS69" s="128">
        <v>3</v>
      </c>
      <c r="IT69" s="128">
        <v>384</v>
      </c>
      <c r="IU69" s="128">
        <v>0.183</v>
      </c>
      <c r="IV69" s="128">
        <v>72000</v>
      </c>
      <c r="IW69" s="128">
        <v>0</v>
      </c>
      <c r="KG69" s="128">
        <v>2</v>
      </c>
      <c r="KH69" s="128">
        <v>60</v>
      </c>
      <c r="KI69" s="128">
        <v>27.4</v>
      </c>
      <c r="KJ69" s="128">
        <v>0.1</v>
      </c>
      <c r="KK69" s="128">
        <v>6.9000000000000006E-2</v>
      </c>
      <c r="KL69" s="128">
        <v>0</v>
      </c>
      <c r="KM69" s="128">
        <v>27.568999999999999</v>
      </c>
      <c r="KN69" s="128">
        <v>22212000</v>
      </c>
      <c r="KO69" s="128">
        <v>10036000</v>
      </c>
      <c r="KP69" s="128">
        <v>10036000</v>
      </c>
      <c r="KT69" s="128">
        <v>22000</v>
      </c>
      <c r="KU69" s="128">
        <v>0</v>
      </c>
      <c r="KV69" s="128">
        <v>0</v>
      </c>
      <c r="KZ69" s="128">
        <v>101000</v>
      </c>
      <c r="LA69" s="128">
        <v>0</v>
      </c>
      <c r="LB69" s="128">
        <v>0</v>
      </c>
      <c r="LF69" s="128">
        <v>562000</v>
      </c>
      <c r="LG69" s="128">
        <v>0</v>
      </c>
      <c r="LH69" s="128">
        <v>0</v>
      </c>
      <c r="LL69" s="128">
        <v>0</v>
      </c>
      <c r="LM69" s="128">
        <v>0</v>
      </c>
      <c r="LN69" s="128">
        <v>0</v>
      </c>
      <c r="LR69" s="128">
        <v>147000</v>
      </c>
      <c r="LS69" s="128">
        <v>0</v>
      </c>
      <c r="LT69" s="128">
        <v>0</v>
      </c>
      <c r="LX69" s="128">
        <v>2062000</v>
      </c>
      <c r="LY69" s="128">
        <v>0</v>
      </c>
      <c r="LZ69" s="128">
        <v>0</v>
      </c>
      <c r="MD69" s="128">
        <v>23000</v>
      </c>
      <c r="ME69" s="128">
        <v>0</v>
      </c>
      <c r="MF69" s="128">
        <v>0</v>
      </c>
      <c r="MJ69" s="128">
        <v>8000</v>
      </c>
      <c r="MK69" s="128">
        <v>0</v>
      </c>
      <c r="ML69" s="128">
        <v>0</v>
      </c>
      <c r="MP69" s="128">
        <v>1050000</v>
      </c>
      <c r="MQ69" s="128">
        <v>0</v>
      </c>
      <c r="MR69" s="128">
        <v>0</v>
      </c>
      <c r="MV69" s="128">
        <v>1500000</v>
      </c>
      <c r="MW69" s="128">
        <v>0</v>
      </c>
      <c r="MX69" s="128">
        <v>0</v>
      </c>
      <c r="NB69" s="128">
        <v>40000</v>
      </c>
      <c r="NC69" s="128">
        <v>0</v>
      </c>
      <c r="ND69" s="128">
        <v>0</v>
      </c>
      <c r="NH69" s="128">
        <v>0</v>
      </c>
      <c r="NI69" s="128">
        <v>0</v>
      </c>
      <c r="NJ69" s="128">
        <v>0</v>
      </c>
      <c r="NN69" s="128">
        <v>15000</v>
      </c>
      <c r="NO69" s="128">
        <v>0</v>
      </c>
      <c r="NP69" s="128">
        <v>0</v>
      </c>
      <c r="NT69" s="128">
        <v>0</v>
      </c>
      <c r="NU69" s="128">
        <v>0</v>
      </c>
      <c r="NV69" s="128">
        <v>0</v>
      </c>
      <c r="NZ69" s="128">
        <v>420000</v>
      </c>
      <c r="OA69" s="128">
        <v>0</v>
      </c>
      <c r="OB69" s="128">
        <v>0</v>
      </c>
      <c r="OF69" s="128">
        <v>8000</v>
      </c>
      <c r="OG69" s="128">
        <v>0</v>
      </c>
      <c r="OH69" s="128">
        <v>0</v>
      </c>
      <c r="OL69" s="128">
        <v>0</v>
      </c>
      <c r="OM69" s="128">
        <v>0</v>
      </c>
      <c r="ON69" s="128">
        <v>0</v>
      </c>
      <c r="OR69" s="128">
        <v>0</v>
      </c>
      <c r="OS69" s="128">
        <v>0</v>
      </c>
      <c r="OT69" s="128">
        <v>0</v>
      </c>
      <c r="OX69" s="128">
        <v>366000</v>
      </c>
      <c r="OY69" s="128">
        <v>0</v>
      </c>
      <c r="OZ69" s="128">
        <v>0</v>
      </c>
      <c r="PD69" s="128">
        <v>426000</v>
      </c>
      <c r="PE69" s="128">
        <v>0</v>
      </c>
      <c r="PF69" s="128">
        <v>0</v>
      </c>
      <c r="PJ69" s="128">
        <v>29000</v>
      </c>
      <c r="PK69" s="128">
        <v>0</v>
      </c>
      <c r="PL69" s="128">
        <v>0</v>
      </c>
      <c r="PP69" s="128">
        <v>28991000</v>
      </c>
      <c r="PQ69" s="128">
        <v>10036000</v>
      </c>
      <c r="PR69" s="128">
        <v>10036000</v>
      </c>
      <c r="PS69" s="128">
        <v>100</v>
      </c>
      <c r="PT69" s="128">
        <v>100</v>
      </c>
      <c r="PV69" s="128">
        <v>18792616</v>
      </c>
      <c r="PX69" s="128">
        <v>6225000</v>
      </c>
      <c r="PY69" s="128">
        <v>6530764</v>
      </c>
      <c r="PZ69" s="128">
        <v>10036000</v>
      </c>
      <c r="QA69" s="128">
        <v>0</v>
      </c>
      <c r="QB69" s="128">
        <v>0</v>
      </c>
      <c r="QC69" s="128">
        <v>0</v>
      </c>
      <c r="QD69" s="128">
        <v>0</v>
      </c>
      <c r="QE69" s="128">
        <v>0</v>
      </c>
      <c r="QF69" s="128">
        <v>0</v>
      </c>
      <c r="QG69" s="128">
        <v>2399500</v>
      </c>
      <c r="QH69" s="128">
        <v>2235000</v>
      </c>
      <c r="QI69" s="128">
        <v>1771600</v>
      </c>
      <c r="QJ69" s="128">
        <v>13333348</v>
      </c>
      <c r="QK69" s="128">
        <v>14006000</v>
      </c>
      <c r="QL69" s="128">
        <v>14193000</v>
      </c>
      <c r="QN69" s="128">
        <v>2963054</v>
      </c>
      <c r="QO69" s="128">
        <v>2982000</v>
      </c>
      <c r="QP69" s="128">
        <v>2982000</v>
      </c>
      <c r="RD69" s="128">
        <v>14935</v>
      </c>
      <c r="RE69" s="128">
        <v>8400</v>
      </c>
      <c r="RF69" s="128">
        <v>8400</v>
      </c>
      <c r="RH69" s="128">
        <f t="shared" si="104"/>
        <v>11816000</v>
      </c>
      <c r="RI69" s="128">
        <v>0</v>
      </c>
      <c r="RM69" s="128" t="s">
        <v>220</v>
      </c>
      <c r="RU69" s="130"/>
      <c r="RV69" s="130"/>
      <c r="RW69" s="130"/>
      <c r="RX69" s="130"/>
      <c r="SF69" s="128">
        <f t="shared" si="8"/>
        <v>1991772</v>
      </c>
      <c r="SG69" s="131">
        <f t="shared" si="9"/>
        <v>28991000</v>
      </c>
      <c r="SH69" s="131">
        <f t="shared" si="10"/>
        <v>28991000</v>
      </c>
      <c r="SI69" s="131">
        <f t="shared" si="11"/>
        <v>22897000</v>
      </c>
      <c r="SJ69" s="132">
        <f t="shared" si="12"/>
        <v>22212000</v>
      </c>
      <c r="SK69" s="132">
        <f t="shared" si="13"/>
        <v>22000</v>
      </c>
      <c r="SL69" s="132">
        <f t="shared" si="14"/>
        <v>101000</v>
      </c>
      <c r="SM69" s="132">
        <f t="shared" si="15"/>
        <v>562000</v>
      </c>
      <c r="SN69" s="131">
        <f t="shared" si="16"/>
        <v>6094000</v>
      </c>
      <c r="SO69" s="131">
        <f t="shared" si="17"/>
        <v>147000</v>
      </c>
      <c r="SP69" s="132">
        <f t="shared" si="18"/>
        <v>0</v>
      </c>
      <c r="SQ69" s="132">
        <f t="shared" si="19"/>
        <v>147000</v>
      </c>
      <c r="SR69" s="132">
        <f t="shared" si="20"/>
        <v>2062000</v>
      </c>
      <c r="SS69" s="132">
        <f t="shared" si="21"/>
        <v>23000</v>
      </c>
      <c r="ST69" s="132">
        <f t="shared" si="22"/>
        <v>8000</v>
      </c>
      <c r="SU69" s="132">
        <f t="shared" si="23"/>
        <v>1050000</v>
      </c>
      <c r="SV69" s="131">
        <f t="shared" si="24"/>
        <v>2349000</v>
      </c>
      <c r="SW69" s="132">
        <f t="shared" si="25"/>
        <v>1500000</v>
      </c>
      <c r="SX69" s="132">
        <f t="shared" si="26"/>
        <v>40000</v>
      </c>
      <c r="SY69" s="132">
        <f t="shared" si="27"/>
        <v>0</v>
      </c>
      <c r="SZ69" s="132">
        <f t="shared" si="28"/>
        <v>15000</v>
      </c>
      <c r="TA69" s="132">
        <f t="shared" si="29"/>
        <v>0</v>
      </c>
      <c r="TB69" s="132">
        <f t="shared" si="30"/>
        <v>420000</v>
      </c>
      <c r="TC69" s="132">
        <f t="shared" si="31"/>
        <v>8000</v>
      </c>
      <c r="TD69" s="132">
        <f t="shared" si="32"/>
        <v>0</v>
      </c>
      <c r="TE69" s="132">
        <f t="shared" si="33"/>
        <v>0</v>
      </c>
      <c r="TF69" s="132">
        <f t="shared" si="34"/>
        <v>366000</v>
      </c>
      <c r="TG69" s="132">
        <f t="shared" si="35"/>
        <v>426000</v>
      </c>
      <c r="TH69" s="132">
        <f t="shared" si="36"/>
        <v>29000</v>
      </c>
      <c r="TI69" s="1"/>
      <c r="TJ69" s="131">
        <f t="shared" si="37"/>
        <v>10036000</v>
      </c>
      <c r="TK69" s="131">
        <f t="shared" si="38"/>
        <v>10036000</v>
      </c>
      <c r="TL69" s="131">
        <f t="shared" si="39"/>
        <v>10036000</v>
      </c>
      <c r="TM69" s="132">
        <f t="shared" si="40"/>
        <v>10036000</v>
      </c>
      <c r="TN69" s="132">
        <f t="shared" si="41"/>
        <v>0</v>
      </c>
      <c r="TO69" s="132">
        <f t="shared" si="42"/>
        <v>0</v>
      </c>
      <c r="TP69" s="132">
        <f t="shared" si="43"/>
        <v>0</v>
      </c>
      <c r="TQ69" s="131">
        <f t="shared" si="44"/>
        <v>0</v>
      </c>
      <c r="TR69" s="131">
        <f t="shared" si="45"/>
        <v>0</v>
      </c>
      <c r="TS69" s="132">
        <f t="shared" si="46"/>
        <v>0</v>
      </c>
      <c r="TT69" s="132">
        <f t="shared" si="47"/>
        <v>0</v>
      </c>
      <c r="TU69" s="132">
        <f t="shared" si="48"/>
        <v>0</v>
      </c>
      <c r="TV69" s="132">
        <f t="shared" si="49"/>
        <v>0</v>
      </c>
      <c r="TW69" s="132">
        <f t="shared" si="50"/>
        <v>0</v>
      </c>
      <c r="TX69" s="132">
        <f t="shared" si="51"/>
        <v>0</v>
      </c>
      <c r="TY69" s="131">
        <f t="shared" si="52"/>
        <v>0</v>
      </c>
      <c r="TZ69" s="132">
        <f t="shared" si="53"/>
        <v>0</v>
      </c>
      <c r="UA69" s="132">
        <f t="shared" si="54"/>
        <v>0</v>
      </c>
      <c r="UB69" s="132">
        <f t="shared" si="55"/>
        <v>0</v>
      </c>
      <c r="UC69" s="132">
        <f t="shared" si="56"/>
        <v>0</v>
      </c>
      <c r="UD69" s="132">
        <f t="shared" si="57"/>
        <v>0</v>
      </c>
      <c r="UE69" s="132">
        <f t="shared" si="58"/>
        <v>0</v>
      </c>
      <c r="UF69" s="132">
        <f t="shared" si="59"/>
        <v>0</v>
      </c>
      <c r="UG69" s="132">
        <f t="shared" si="60"/>
        <v>0</v>
      </c>
      <c r="UH69" s="132">
        <f t="shared" si="61"/>
        <v>0</v>
      </c>
      <c r="UI69" s="132">
        <f t="shared" si="62"/>
        <v>0</v>
      </c>
      <c r="UJ69" s="132">
        <f t="shared" si="63"/>
        <v>0</v>
      </c>
      <c r="UK69" s="132">
        <f t="shared" si="64"/>
        <v>0</v>
      </c>
      <c r="UL69" s="132">
        <f t="shared" si="105"/>
        <v>10036000</v>
      </c>
      <c r="UM69" s="131">
        <f t="shared" si="65"/>
        <v>10036000</v>
      </c>
      <c r="UN69" s="131">
        <f t="shared" si="66"/>
        <v>10036000</v>
      </c>
      <c r="UO69" s="131">
        <f t="shared" si="67"/>
        <v>10036000</v>
      </c>
      <c r="UP69" s="132">
        <f t="shared" si="68"/>
        <v>10036000</v>
      </c>
      <c r="UQ69" s="132">
        <f t="shared" si="69"/>
        <v>0</v>
      </c>
      <c r="UR69" s="132">
        <f t="shared" si="70"/>
        <v>0</v>
      </c>
      <c r="US69" s="132">
        <f t="shared" si="71"/>
        <v>0</v>
      </c>
      <c r="UT69" s="131">
        <f t="shared" si="72"/>
        <v>0</v>
      </c>
      <c r="UU69" s="131">
        <f t="shared" si="73"/>
        <v>0</v>
      </c>
      <c r="UV69" s="132">
        <f t="shared" si="74"/>
        <v>0</v>
      </c>
      <c r="UW69" s="132">
        <f t="shared" si="75"/>
        <v>0</v>
      </c>
      <c r="UX69" s="132">
        <f t="shared" si="76"/>
        <v>0</v>
      </c>
      <c r="UY69" s="132">
        <f t="shared" si="77"/>
        <v>0</v>
      </c>
      <c r="UZ69" s="132">
        <f t="shared" si="78"/>
        <v>0</v>
      </c>
      <c r="VA69" s="132">
        <f t="shared" si="79"/>
        <v>0</v>
      </c>
      <c r="VB69" s="131">
        <f t="shared" si="80"/>
        <v>0</v>
      </c>
      <c r="VC69" s="132">
        <f t="shared" si="81"/>
        <v>0</v>
      </c>
      <c r="VD69" s="132">
        <f t="shared" si="82"/>
        <v>0</v>
      </c>
      <c r="VE69" s="132">
        <f t="shared" si="83"/>
        <v>0</v>
      </c>
      <c r="VF69" s="132">
        <f t="shared" si="84"/>
        <v>0</v>
      </c>
      <c r="VG69" s="132">
        <f t="shared" si="85"/>
        <v>0</v>
      </c>
      <c r="VH69" s="132">
        <f t="shared" si="86"/>
        <v>0</v>
      </c>
      <c r="VI69" s="132">
        <f t="shared" si="87"/>
        <v>0</v>
      </c>
      <c r="VJ69" s="132">
        <f t="shared" si="88"/>
        <v>0</v>
      </c>
      <c r="VK69" s="132">
        <f t="shared" si="89"/>
        <v>0</v>
      </c>
      <c r="VL69" s="132">
        <f t="shared" si="90"/>
        <v>0</v>
      </c>
      <c r="VM69" s="132">
        <f t="shared" si="91"/>
        <v>0</v>
      </c>
      <c r="VN69" s="132">
        <f t="shared" si="92"/>
        <v>0</v>
      </c>
      <c r="VP69" s="845" t="str">
        <f>IFERROR(HLOOKUP(F69,'Hodnocení '!$C$1:$JH$5,2,FALSE),0)</f>
        <v>Domov důchodců Náchod</v>
      </c>
      <c r="VQ69" s="838"/>
      <c r="VR69" s="845" t="str">
        <f t="shared" si="106"/>
        <v>Příspěvková organizace zřízená územním samosprávným celkem</v>
      </c>
      <c r="VS69" s="845" t="str">
        <f>IFERROR(HLOOKUP(F69,'Hodnocení '!$C$1:$JH$5,5,FALSE),0)</f>
        <v>PO KHK</v>
      </c>
      <c r="VT69" s="838">
        <f t="shared" si="107"/>
        <v>0</v>
      </c>
      <c r="VU69" s="838" t="str">
        <f t="shared" si="108"/>
        <v>PO KHK</v>
      </c>
      <c r="VV69" s="838">
        <f t="shared" si="109"/>
        <v>14193000</v>
      </c>
      <c r="VW69" s="838">
        <f t="shared" si="110"/>
        <v>2982000</v>
      </c>
      <c r="VX69" s="838"/>
      <c r="VY69" s="838">
        <f t="shared" si="114"/>
        <v>0</v>
      </c>
      <c r="VZ69" s="838">
        <f t="shared" si="115"/>
        <v>10036000</v>
      </c>
      <c r="WA69" s="846">
        <f>IFERROR(HLOOKUP($F69,'Hodnocení '!$C$1:$JH$9,9,FALSE),0)</f>
        <v>10036000</v>
      </c>
      <c r="WB69" s="846">
        <f>IF(IFERROR(HLOOKUP($F69,'Hodnocení '!$C$1:$JH$13,13,FALSE),0)&gt;WA69,WA69,IFERROR(HLOOKUP($F69,'Hodnocení '!$C$1:$JH$13,13,FALSE),0))</f>
        <v>10036000</v>
      </c>
      <c r="WC69" s="846">
        <f>IFERROR(HLOOKUP($F69,'Hodnocení '!$C$1:$JH$155,155,FALSE),0)</f>
        <v>6685280</v>
      </c>
      <c r="WD69" s="845"/>
      <c r="WE69" s="845"/>
      <c r="WF69" s="845" t="str">
        <f t="shared" si="97"/>
        <v>ANO</v>
      </c>
      <c r="WG69" s="849" t="str">
        <f t="shared" si="117"/>
        <v>Podpora služby je vyjádřena zařazením do sítě sociálních služeb v KHK a řešením financování služby</v>
      </c>
      <c r="WH69"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69" s="849" t="str">
        <f t="shared" si="117"/>
        <v>Návrh dotace je výsledkem projednání s ostatními zadavateli v rámci sítě služeb KHK</v>
      </c>
      <c r="WJ69" s="849" t="str">
        <f t="shared" si="117"/>
        <v>Bez komentáře</v>
      </c>
      <c r="WK69" s="31">
        <f t="shared" si="99"/>
        <v>0</v>
      </c>
      <c r="WL69" s="850" t="str">
        <f t="shared" si="100"/>
        <v>Případná úprava příspěvku zřizovatele bude řešena v návaznosti na vývoj služby</v>
      </c>
      <c r="WM69" s="849" t="str">
        <f t="shared" si="101"/>
        <v>V rámci sítě KHK se dlouhodobě řeší otázka navyšování úhrad a průběžně se monitoruje s vazbou na vykrytí vyrovnávací platby</v>
      </c>
      <c r="WN69" s="849" t="str">
        <f t="shared" si="102"/>
        <v>Otázka výběru od zdravotních pojišťoven je předmětem procesu, který probíhá ve formě jednání se ZP a organizacemi</v>
      </c>
      <c r="WO69" s="849" t="str">
        <f t="shared" si="118"/>
        <v>bez komentáře</v>
      </c>
      <c r="WP69" s="849" t="str">
        <f t="shared" si="118"/>
        <v>bez komentáře</v>
      </c>
      <c r="WQ69" s="849" t="str">
        <f t="shared" si="118"/>
        <v>Konečná výše dotace z rozpočtu KHK bude řešena v návaznosti na řešení podílů jednotlivých zadavatelů.</v>
      </c>
      <c r="WR69" s="849" t="str">
        <f t="shared" si="118"/>
        <v>Konečná výše podpory ze stran obcí bude řešena v součinnosti s jednotlivými zadavateli v průběhu roku.</v>
      </c>
      <c r="WS69" s="849" t="str">
        <f t="shared" si="118"/>
        <v>bez komentáře</v>
      </c>
      <c r="WT69" s="849" t="str">
        <f t="shared" si="118"/>
        <v>bez komentáře</v>
      </c>
      <c r="WU69" s="845"/>
    </row>
    <row r="70" spans="1:619" s="128" customFormat="1" x14ac:dyDescent="0.25">
      <c r="A70" s="128" t="str">
        <f>VLOOKUP(F70,'Výpočet VP 2020'!$D$324:$I$588,6,FALSE)</f>
        <v>Je v síti</v>
      </c>
      <c r="B70" s="128" t="s">
        <v>472</v>
      </c>
      <c r="C70" s="128">
        <v>71193987</v>
      </c>
      <c r="D70" s="128" t="s">
        <v>473</v>
      </c>
      <c r="E70" s="128" t="s">
        <v>259</v>
      </c>
      <c r="F70" s="128">
        <v>8508078</v>
      </c>
      <c r="G70" s="128" t="s">
        <v>348</v>
      </c>
      <c r="H70" s="128" t="s">
        <v>218</v>
      </c>
      <c r="I70" s="128" t="s">
        <v>472</v>
      </c>
      <c r="J70" s="129">
        <v>39083</v>
      </c>
      <c r="L70" s="128" t="s">
        <v>220</v>
      </c>
      <c r="M70" s="128" t="s">
        <v>476</v>
      </c>
      <c r="N70" s="128">
        <v>86</v>
      </c>
      <c r="P70" s="128">
        <v>104</v>
      </c>
      <c r="Q70" s="128">
        <v>108</v>
      </c>
      <c r="R70" s="128">
        <v>110</v>
      </c>
      <c r="BL70" s="128" t="s">
        <v>351</v>
      </c>
      <c r="BM70" s="128" t="s">
        <v>325</v>
      </c>
      <c r="BN70" s="128" t="s">
        <v>326</v>
      </c>
      <c r="DA70" s="128">
        <v>0</v>
      </c>
      <c r="DB70" s="128">
        <v>0</v>
      </c>
      <c r="DC70" s="128">
        <v>0</v>
      </c>
      <c r="DD70" s="128">
        <v>0</v>
      </c>
      <c r="DE70" s="128">
        <v>0</v>
      </c>
      <c r="DF70" s="128">
        <v>7</v>
      </c>
      <c r="DG70" s="128">
        <v>14</v>
      </c>
      <c r="DH70" s="128">
        <v>38</v>
      </c>
      <c r="DI70" s="128">
        <v>22</v>
      </c>
      <c r="DJ70" s="128">
        <v>4</v>
      </c>
      <c r="DK70" s="128">
        <v>7</v>
      </c>
      <c r="DL70" s="128">
        <v>14</v>
      </c>
      <c r="DM70" s="128">
        <v>38</v>
      </c>
      <c r="DN70" s="128">
        <v>22</v>
      </c>
      <c r="DO70" s="128">
        <v>4</v>
      </c>
      <c r="DP70" s="128">
        <v>0</v>
      </c>
      <c r="DQ70" s="128">
        <v>85</v>
      </c>
      <c r="DR70" s="128">
        <v>85</v>
      </c>
      <c r="DS70" s="128">
        <v>0</v>
      </c>
      <c r="DT70" s="128">
        <v>0</v>
      </c>
      <c r="DU70" s="128">
        <v>0</v>
      </c>
      <c r="DV70" s="128">
        <v>0</v>
      </c>
      <c r="DW70" s="128">
        <v>0</v>
      </c>
      <c r="DX70" s="128">
        <v>8</v>
      </c>
      <c r="DY70" s="128">
        <v>15</v>
      </c>
      <c r="DZ70" s="128">
        <v>35</v>
      </c>
      <c r="EA70" s="128">
        <v>26</v>
      </c>
      <c r="EB70" s="128">
        <v>2</v>
      </c>
      <c r="EC70" s="128">
        <v>8</v>
      </c>
      <c r="ED70" s="128">
        <v>15</v>
      </c>
      <c r="EE70" s="128">
        <v>35</v>
      </c>
      <c r="EF70" s="128">
        <v>26</v>
      </c>
      <c r="EG70" s="128">
        <v>2</v>
      </c>
      <c r="EH70" s="128">
        <v>0</v>
      </c>
      <c r="EI70" s="128">
        <v>86</v>
      </c>
      <c r="EJ70" s="128">
        <v>86</v>
      </c>
      <c r="EK70" s="128">
        <v>3</v>
      </c>
      <c r="EL70" s="128">
        <v>2.6</v>
      </c>
      <c r="EM70" s="128">
        <v>2.4700000000000002</v>
      </c>
      <c r="EN70" s="128">
        <v>1763000</v>
      </c>
      <c r="EO70" s="128">
        <v>955000</v>
      </c>
      <c r="EP70" s="128">
        <v>20</v>
      </c>
      <c r="EQ70" s="128">
        <v>20</v>
      </c>
      <c r="ER70" s="128">
        <v>20.91</v>
      </c>
      <c r="ES70" s="128">
        <v>10234000</v>
      </c>
      <c r="ET70" s="128">
        <v>6330000</v>
      </c>
      <c r="EU70" s="128">
        <v>12</v>
      </c>
      <c r="EV70" s="128">
        <v>12</v>
      </c>
      <c r="EW70" s="128">
        <v>11.58</v>
      </c>
      <c r="EX70" s="128">
        <v>9511000</v>
      </c>
      <c r="EY70" s="128">
        <v>0</v>
      </c>
      <c r="FO70" s="128">
        <v>30</v>
      </c>
      <c r="FP70" s="128">
        <v>17.399999999999999</v>
      </c>
      <c r="FQ70" s="128">
        <v>17.399999999999999</v>
      </c>
      <c r="FR70" s="128">
        <v>7106000</v>
      </c>
      <c r="FS70" s="128">
        <v>4655000</v>
      </c>
      <c r="HD70" s="128">
        <v>1</v>
      </c>
      <c r="HE70" s="128">
        <v>0.2</v>
      </c>
      <c r="HF70" s="128">
        <v>12</v>
      </c>
      <c r="HG70" s="128">
        <v>0.2</v>
      </c>
      <c r="HH70" s="128">
        <v>40000</v>
      </c>
      <c r="HI70" s="128">
        <v>0</v>
      </c>
      <c r="IN70" s="128">
        <v>1</v>
      </c>
      <c r="IO70" s="128">
        <v>300</v>
      </c>
      <c r="IP70" s="128">
        <v>0.14299999999999999</v>
      </c>
      <c r="IQ70" s="128">
        <v>60000</v>
      </c>
      <c r="IR70" s="128">
        <v>0</v>
      </c>
      <c r="IS70" s="128">
        <v>3</v>
      </c>
      <c r="IT70" s="128">
        <v>530</v>
      </c>
      <c r="IU70" s="128">
        <v>0.253</v>
      </c>
      <c r="IV70" s="128">
        <v>99500</v>
      </c>
      <c r="IW70" s="128">
        <v>0</v>
      </c>
      <c r="KG70" s="128">
        <v>3</v>
      </c>
      <c r="KH70" s="128">
        <v>90</v>
      </c>
      <c r="KI70" s="128">
        <v>34.6</v>
      </c>
      <c r="KJ70" s="128">
        <v>0.2</v>
      </c>
      <c r="KK70" s="128">
        <v>0.14299999999999999</v>
      </c>
      <c r="KL70" s="128">
        <v>0</v>
      </c>
      <c r="KM70" s="128">
        <v>34.942999999999998</v>
      </c>
      <c r="KN70" s="128">
        <v>28614000</v>
      </c>
      <c r="KO70" s="128">
        <v>11940000</v>
      </c>
      <c r="KP70" s="128">
        <v>11940000</v>
      </c>
      <c r="KT70" s="128">
        <v>40000</v>
      </c>
      <c r="KU70" s="128">
        <v>0</v>
      </c>
      <c r="KV70" s="128">
        <v>0</v>
      </c>
      <c r="KZ70" s="128">
        <v>159500</v>
      </c>
      <c r="LA70" s="128">
        <v>0</v>
      </c>
      <c r="LB70" s="128">
        <v>0</v>
      </c>
      <c r="LF70" s="128">
        <v>776000</v>
      </c>
      <c r="LG70" s="128">
        <v>0</v>
      </c>
      <c r="LH70" s="128">
        <v>0</v>
      </c>
      <c r="LL70" s="128">
        <v>0</v>
      </c>
      <c r="LM70" s="128">
        <v>0</v>
      </c>
      <c r="LN70" s="128">
        <v>0</v>
      </c>
      <c r="LR70" s="128">
        <v>203000</v>
      </c>
      <c r="LS70" s="128">
        <v>0</v>
      </c>
      <c r="LT70" s="128">
        <v>0</v>
      </c>
      <c r="LX70" s="128">
        <v>3048000</v>
      </c>
      <c r="LY70" s="128">
        <v>0</v>
      </c>
      <c r="LZ70" s="128">
        <v>0</v>
      </c>
      <c r="MD70" s="128">
        <v>32000</v>
      </c>
      <c r="ME70" s="128">
        <v>0</v>
      </c>
      <c r="MF70" s="128">
        <v>0</v>
      </c>
      <c r="MJ70" s="128">
        <v>12000</v>
      </c>
      <c r="MK70" s="128">
        <v>0</v>
      </c>
      <c r="ML70" s="128">
        <v>0</v>
      </c>
      <c r="MP70" s="128">
        <v>1450000</v>
      </c>
      <c r="MQ70" s="128">
        <v>0</v>
      </c>
      <c r="MR70" s="128">
        <v>0</v>
      </c>
      <c r="MV70" s="128">
        <v>2070000</v>
      </c>
      <c r="MW70" s="128">
        <v>0</v>
      </c>
      <c r="MX70" s="128">
        <v>0</v>
      </c>
      <c r="NB70" s="128">
        <v>55000</v>
      </c>
      <c r="NC70" s="128">
        <v>0</v>
      </c>
      <c r="ND70" s="128">
        <v>0</v>
      </c>
      <c r="NH70" s="128">
        <v>0</v>
      </c>
      <c r="NI70" s="128">
        <v>0</v>
      </c>
      <c r="NJ70" s="128">
        <v>0</v>
      </c>
      <c r="NN70" s="128">
        <v>20000</v>
      </c>
      <c r="NO70" s="128">
        <v>0</v>
      </c>
      <c r="NP70" s="128">
        <v>0</v>
      </c>
      <c r="NT70" s="128">
        <v>0</v>
      </c>
      <c r="NU70" s="128">
        <v>0</v>
      </c>
      <c r="NV70" s="128">
        <v>0</v>
      </c>
      <c r="NZ70" s="128">
        <v>580000</v>
      </c>
      <c r="OA70" s="128">
        <v>0</v>
      </c>
      <c r="OB70" s="128">
        <v>0</v>
      </c>
      <c r="OF70" s="128">
        <v>12000</v>
      </c>
      <c r="OG70" s="128">
        <v>0</v>
      </c>
      <c r="OH70" s="128">
        <v>0</v>
      </c>
      <c r="OL70" s="128">
        <v>0</v>
      </c>
      <c r="OM70" s="128">
        <v>0</v>
      </c>
      <c r="ON70" s="128">
        <v>0</v>
      </c>
      <c r="OR70" s="128">
        <v>0</v>
      </c>
      <c r="OS70" s="128">
        <v>0</v>
      </c>
      <c r="OT70" s="128">
        <v>0</v>
      </c>
      <c r="OX70" s="128">
        <v>504000</v>
      </c>
      <c r="OY70" s="128">
        <v>0</v>
      </c>
      <c r="OZ70" s="128">
        <v>0</v>
      </c>
      <c r="PD70" s="128">
        <v>589000</v>
      </c>
      <c r="PE70" s="128">
        <v>0</v>
      </c>
      <c r="PF70" s="128">
        <v>0</v>
      </c>
      <c r="PJ70" s="128">
        <v>41000</v>
      </c>
      <c r="PK70" s="128">
        <v>0</v>
      </c>
      <c r="PL70" s="128">
        <v>0</v>
      </c>
      <c r="PP70" s="128">
        <v>38205500</v>
      </c>
      <c r="PQ70" s="128">
        <v>11940000</v>
      </c>
      <c r="PR70" s="128">
        <v>11940000</v>
      </c>
      <c r="PS70" s="128">
        <v>100</v>
      </c>
      <c r="PT70" s="128">
        <v>100</v>
      </c>
      <c r="PV70" s="128">
        <v>22423891</v>
      </c>
      <c r="PX70" s="128">
        <v>7441102</v>
      </c>
      <c r="PY70" s="128">
        <v>7185742</v>
      </c>
      <c r="PZ70" s="128">
        <v>11940000</v>
      </c>
      <c r="QA70" s="128">
        <v>0</v>
      </c>
      <c r="QB70" s="128">
        <v>0</v>
      </c>
      <c r="QC70" s="128">
        <v>0</v>
      </c>
      <c r="QD70" s="128">
        <v>0</v>
      </c>
      <c r="QE70" s="128">
        <v>0</v>
      </c>
      <c r="QF70" s="128">
        <v>0</v>
      </c>
      <c r="QG70" s="128">
        <v>4122500</v>
      </c>
      <c r="QH70" s="128">
        <v>4538000</v>
      </c>
      <c r="QI70" s="128">
        <v>2108500</v>
      </c>
      <c r="QJ70" s="128">
        <v>18412707</v>
      </c>
      <c r="QK70" s="128">
        <v>19341000</v>
      </c>
      <c r="QL70" s="128">
        <v>19598000</v>
      </c>
      <c r="QN70" s="128">
        <v>4091878</v>
      </c>
      <c r="QO70" s="128">
        <v>4118000</v>
      </c>
      <c r="QP70" s="128">
        <v>4118000</v>
      </c>
      <c r="RD70" s="128">
        <v>327169</v>
      </c>
      <c r="RE70" s="128">
        <v>336600</v>
      </c>
      <c r="RF70" s="128">
        <v>441000</v>
      </c>
      <c r="RH70" s="128">
        <f t="shared" si="104"/>
        <v>14489500</v>
      </c>
      <c r="RI70" s="128">
        <v>0</v>
      </c>
      <c r="RM70" s="128" t="s">
        <v>220</v>
      </c>
      <c r="RU70" s="130"/>
      <c r="RV70" s="130"/>
      <c r="RW70" s="130"/>
      <c r="RX70" s="130"/>
      <c r="SF70" s="128">
        <f t="shared" si="8"/>
        <v>8508078</v>
      </c>
      <c r="SG70" s="131">
        <f t="shared" si="9"/>
        <v>38205500</v>
      </c>
      <c r="SH70" s="131">
        <f t="shared" si="10"/>
        <v>38205500</v>
      </c>
      <c r="SI70" s="131">
        <f t="shared" si="11"/>
        <v>29589500</v>
      </c>
      <c r="SJ70" s="132">
        <f t="shared" si="12"/>
        <v>28614000</v>
      </c>
      <c r="SK70" s="132">
        <f t="shared" si="13"/>
        <v>40000</v>
      </c>
      <c r="SL70" s="132">
        <f t="shared" si="14"/>
        <v>159500</v>
      </c>
      <c r="SM70" s="132">
        <f t="shared" si="15"/>
        <v>776000</v>
      </c>
      <c r="SN70" s="131">
        <f t="shared" si="16"/>
        <v>8616000</v>
      </c>
      <c r="SO70" s="131">
        <f t="shared" si="17"/>
        <v>203000</v>
      </c>
      <c r="SP70" s="132">
        <f t="shared" si="18"/>
        <v>0</v>
      </c>
      <c r="SQ70" s="132">
        <f t="shared" si="19"/>
        <v>203000</v>
      </c>
      <c r="SR70" s="132">
        <f t="shared" si="20"/>
        <v>3048000</v>
      </c>
      <c r="SS70" s="132">
        <f t="shared" si="21"/>
        <v>32000</v>
      </c>
      <c r="ST70" s="132">
        <f t="shared" si="22"/>
        <v>12000</v>
      </c>
      <c r="SU70" s="132">
        <f t="shared" si="23"/>
        <v>1450000</v>
      </c>
      <c r="SV70" s="131">
        <f t="shared" si="24"/>
        <v>3241000</v>
      </c>
      <c r="SW70" s="132">
        <f t="shared" si="25"/>
        <v>2070000</v>
      </c>
      <c r="SX70" s="132">
        <f t="shared" si="26"/>
        <v>55000</v>
      </c>
      <c r="SY70" s="132">
        <f t="shared" si="27"/>
        <v>0</v>
      </c>
      <c r="SZ70" s="132">
        <f t="shared" si="28"/>
        <v>20000</v>
      </c>
      <c r="TA70" s="132">
        <f t="shared" si="29"/>
        <v>0</v>
      </c>
      <c r="TB70" s="132">
        <f t="shared" si="30"/>
        <v>580000</v>
      </c>
      <c r="TC70" s="132">
        <f t="shared" si="31"/>
        <v>12000</v>
      </c>
      <c r="TD70" s="132">
        <f t="shared" si="32"/>
        <v>0</v>
      </c>
      <c r="TE70" s="132">
        <f t="shared" si="33"/>
        <v>0</v>
      </c>
      <c r="TF70" s="132">
        <f t="shared" si="34"/>
        <v>504000</v>
      </c>
      <c r="TG70" s="132">
        <f t="shared" si="35"/>
        <v>589000</v>
      </c>
      <c r="TH70" s="132">
        <f t="shared" si="36"/>
        <v>41000</v>
      </c>
      <c r="TI70" s="1"/>
      <c r="TJ70" s="131">
        <f t="shared" si="37"/>
        <v>11940000</v>
      </c>
      <c r="TK70" s="131">
        <f t="shared" si="38"/>
        <v>11940000</v>
      </c>
      <c r="TL70" s="131">
        <f t="shared" si="39"/>
        <v>11940000</v>
      </c>
      <c r="TM70" s="132">
        <f t="shared" si="40"/>
        <v>11940000</v>
      </c>
      <c r="TN70" s="132">
        <f t="shared" si="41"/>
        <v>0</v>
      </c>
      <c r="TO70" s="132">
        <f t="shared" si="42"/>
        <v>0</v>
      </c>
      <c r="TP70" s="132">
        <f t="shared" si="43"/>
        <v>0</v>
      </c>
      <c r="TQ70" s="131">
        <f t="shared" si="44"/>
        <v>0</v>
      </c>
      <c r="TR70" s="131">
        <f t="shared" si="45"/>
        <v>0</v>
      </c>
      <c r="TS70" s="132">
        <f t="shared" si="46"/>
        <v>0</v>
      </c>
      <c r="TT70" s="132">
        <f t="shared" si="47"/>
        <v>0</v>
      </c>
      <c r="TU70" s="132">
        <f t="shared" si="48"/>
        <v>0</v>
      </c>
      <c r="TV70" s="132">
        <f t="shared" si="49"/>
        <v>0</v>
      </c>
      <c r="TW70" s="132">
        <f t="shared" si="50"/>
        <v>0</v>
      </c>
      <c r="TX70" s="132">
        <f t="shared" si="51"/>
        <v>0</v>
      </c>
      <c r="TY70" s="131">
        <f t="shared" si="52"/>
        <v>0</v>
      </c>
      <c r="TZ70" s="132">
        <f t="shared" si="53"/>
        <v>0</v>
      </c>
      <c r="UA70" s="132">
        <f t="shared" si="54"/>
        <v>0</v>
      </c>
      <c r="UB70" s="132">
        <f t="shared" si="55"/>
        <v>0</v>
      </c>
      <c r="UC70" s="132">
        <f t="shared" si="56"/>
        <v>0</v>
      </c>
      <c r="UD70" s="132">
        <f t="shared" si="57"/>
        <v>0</v>
      </c>
      <c r="UE70" s="132">
        <f t="shared" si="58"/>
        <v>0</v>
      </c>
      <c r="UF70" s="132">
        <f t="shared" si="59"/>
        <v>0</v>
      </c>
      <c r="UG70" s="132">
        <f t="shared" si="60"/>
        <v>0</v>
      </c>
      <c r="UH70" s="132">
        <f t="shared" si="61"/>
        <v>0</v>
      </c>
      <c r="UI70" s="132">
        <f t="shared" si="62"/>
        <v>0</v>
      </c>
      <c r="UJ70" s="132">
        <f t="shared" si="63"/>
        <v>0</v>
      </c>
      <c r="UK70" s="132">
        <f t="shared" si="64"/>
        <v>0</v>
      </c>
      <c r="UL70" s="132">
        <f t="shared" si="105"/>
        <v>11940000</v>
      </c>
      <c r="UM70" s="131">
        <f t="shared" si="65"/>
        <v>11940000</v>
      </c>
      <c r="UN70" s="131">
        <f t="shared" si="66"/>
        <v>11940000</v>
      </c>
      <c r="UO70" s="131">
        <f t="shared" si="67"/>
        <v>11940000</v>
      </c>
      <c r="UP70" s="132">
        <f t="shared" si="68"/>
        <v>11940000</v>
      </c>
      <c r="UQ70" s="132">
        <f t="shared" si="69"/>
        <v>0</v>
      </c>
      <c r="UR70" s="132">
        <f t="shared" si="70"/>
        <v>0</v>
      </c>
      <c r="US70" s="132">
        <f t="shared" si="71"/>
        <v>0</v>
      </c>
      <c r="UT70" s="131">
        <f t="shared" si="72"/>
        <v>0</v>
      </c>
      <c r="UU70" s="131">
        <f t="shared" si="73"/>
        <v>0</v>
      </c>
      <c r="UV70" s="132">
        <f t="shared" si="74"/>
        <v>0</v>
      </c>
      <c r="UW70" s="132">
        <f t="shared" si="75"/>
        <v>0</v>
      </c>
      <c r="UX70" s="132">
        <f t="shared" si="76"/>
        <v>0</v>
      </c>
      <c r="UY70" s="132">
        <f t="shared" si="77"/>
        <v>0</v>
      </c>
      <c r="UZ70" s="132">
        <f t="shared" si="78"/>
        <v>0</v>
      </c>
      <c r="VA70" s="132">
        <f t="shared" si="79"/>
        <v>0</v>
      </c>
      <c r="VB70" s="131">
        <f t="shared" si="80"/>
        <v>0</v>
      </c>
      <c r="VC70" s="132">
        <f t="shared" si="81"/>
        <v>0</v>
      </c>
      <c r="VD70" s="132">
        <f t="shared" si="82"/>
        <v>0</v>
      </c>
      <c r="VE70" s="132">
        <f t="shared" si="83"/>
        <v>0</v>
      </c>
      <c r="VF70" s="132">
        <f t="shared" si="84"/>
        <v>0</v>
      </c>
      <c r="VG70" s="132">
        <f t="shared" si="85"/>
        <v>0</v>
      </c>
      <c r="VH70" s="132">
        <f t="shared" si="86"/>
        <v>0</v>
      </c>
      <c r="VI70" s="132">
        <f t="shared" si="87"/>
        <v>0</v>
      </c>
      <c r="VJ70" s="132">
        <f t="shared" si="88"/>
        <v>0</v>
      </c>
      <c r="VK70" s="132">
        <f t="shared" si="89"/>
        <v>0</v>
      </c>
      <c r="VL70" s="132">
        <f t="shared" si="90"/>
        <v>0</v>
      </c>
      <c r="VM70" s="132">
        <f t="shared" si="91"/>
        <v>0</v>
      </c>
      <c r="VN70" s="132">
        <f t="shared" si="92"/>
        <v>0</v>
      </c>
      <c r="VP70" s="845" t="str">
        <f>IFERROR(HLOOKUP(F70,'Hodnocení '!$C$1:$JH$5,2,FALSE),0)</f>
        <v>Domov důchodců Náchod</v>
      </c>
      <c r="VQ70" s="838"/>
      <c r="VR70" s="845" t="str">
        <f t="shared" si="106"/>
        <v>Příspěvková organizace zřízená územním samosprávným celkem</v>
      </c>
      <c r="VS70" s="845" t="str">
        <f>IFERROR(HLOOKUP(F70,'Hodnocení '!$C$1:$JH$5,5,FALSE),0)</f>
        <v>PO KHK</v>
      </c>
      <c r="VT70" s="838">
        <f t="shared" si="107"/>
        <v>0</v>
      </c>
      <c r="VU70" s="838" t="str">
        <f t="shared" si="108"/>
        <v>PO KHK</v>
      </c>
      <c r="VV70" s="838">
        <f t="shared" si="109"/>
        <v>19598000</v>
      </c>
      <c r="VW70" s="838">
        <f t="shared" si="110"/>
        <v>4118000</v>
      </c>
      <c r="VX70" s="838"/>
      <c r="VY70" s="838">
        <f t="shared" si="114"/>
        <v>0</v>
      </c>
      <c r="VZ70" s="838">
        <f t="shared" si="115"/>
        <v>11940000</v>
      </c>
      <c r="WA70" s="846">
        <f>IFERROR(HLOOKUP($F70,'Hodnocení '!$C$1:$JH$9,9,FALSE),0)</f>
        <v>11940000</v>
      </c>
      <c r="WB70" s="846">
        <f>IF(IFERROR(HLOOKUP($F70,'Hodnocení '!$C$1:$JH$13,13,FALSE),0)&gt;WA70,WA70,IFERROR(HLOOKUP($F70,'Hodnocení '!$C$1:$JH$13,13,FALSE),0))</f>
        <v>11940000</v>
      </c>
      <c r="WC70" s="846">
        <f>IFERROR(HLOOKUP($F70,'Hodnocení '!$C$1:$JH$155,155,FALSE),0)</f>
        <v>7418220</v>
      </c>
      <c r="WD70" s="845"/>
      <c r="WE70" s="845"/>
      <c r="WF70" s="845" t="str">
        <f t="shared" si="97"/>
        <v>ANO</v>
      </c>
      <c r="WG70" s="849" t="str">
        <f t="shared" si="117"/>
        <v>Podpora služby je vyjádřena zařazením do sítě sociálních služeb v KHK a řešením financování služby</v>
      </c>
      <c r="WH70"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70" s="849" t="str">
        <f t="shared" si="117"/>
        <v>Návrh dotace je výsledkem projednání s ostatními zadavateli v rámci sítě služeb KHK</v>
      </c>
      <c r="WJ70" s="849" t="str">
        <f t="shared" si="117"/>
        <v>Bez komentáře</v>
      </c>
      <c r="WK70" s="31">
        <f t="shared" si="99"/>
        <v>0</v>
      </c>
      <c r="WL70" s="850" t="str">
        <f t="shared" si="100"/>
        <v>Případná úprava příspěvku zřizovatele bude řešena v návaznosti na vývoj služby</v>
      </c>
      <c r="WM70" s="849" t="str">
        <f t="shared" si="101"/>
        <v>V rámci sítě KHK se dlouhodobě řeší otázka navyšování úhrad a průběžně se monitoruje s vazbou na vykrytí vyrovnávací platby</v>
      </c>
      <c r="WN70" s="849" t="str">
        <f t="shared" si="102"/>
        <v>Otázka výběru od zdravotních pojišťoven je předmětem procesu, který probíhá ve formě jednání se ZP a organizacemi</v>
      </c>
      <c r="WO70" s="849" t="str">
        <f t="shared" si="118"/>
        <v>bez komentáře</v>
      </c>
      <c r="WP70" s="849" t="str">
        <f t="shared" si="118"/>
        <v>bez komentáře</v>
      </c>
      <c r="WQ70" s="849" t="str">
        <f t="shared" si="118"/>
        <v>Konečná výše dotace z rozpočtu KHK bude řešena v návaznosti na řešení podílů jednotlivých zadavatelů.</v>
      </c>
      <c r="WR70" s="849" t="str">
        <f t="shared" si="118"/>
        <v>Konečná výše podpory ze stran obcí bude řešena v součinnosti s jednotlivými zadavateli v průběhu roku.</v>
      </c>
      <c r="WS70" s="849" t="str">
        <f t="shared" si="118"/>
        <v>bez komentáře</v>
      </c>
      <c r="WT70" s="849" t="str">
        <f t="shared" si="118"/>
        <v>bez komentáře</v>
      </c>
      <c r="WU70" s="845"/>
    </row>
    <row r="71" spans="1:619" s="128" customFormat="1" x14ac:dyDescent="0.25">
      <c r="A71" s="128" t="str">
        <f>VLOOKUP(F71,'Výpočet VP 2020'!$D$324:$I$588,6,FALSE)</f>
        <v>Je v síti</v>
      </c>
      <c r="B71" s="128" t="s">
        <v>477</v>
      </c>
      <c r="C71" s="128">
        <v>71194002</v>
      </c>
      <c r="D71" s="128" t="s">
        <v>478</v>
      </c>
      <c r="E71" s="128" t="s">
        <v>259</v>
      </c>
      <c r="F71" s="128">
        <v>2801353</v>
      </c>
      <c r="G71" s="128" t="s">
        <v>348</v>
      </c>
      <c r="H71" s="128" t="s">
        <v>218</v>
      </c>
      <c r="I71" s="128" t="s">
        <v>477</v>
      </c>
      <c r="J71" s="129">
        <v>39083</v>
      </c>
      <c r="L71" s="128" t="s">
        <v>220</v>
      </c>
      <c r="M71" s="128" t="s">
        <v>479</v>
      </c>
      <c r="N71" s="128">
        <v>64</v>
      </c>
      <c r="P71" s="128">
        <v>64</v>
      </c>
      <c r="Q71" s="128">
        <v>64</v>
      </c>
      <c r="R71" s="128">
        <v>64</v>
      </c>
      <c r="BL71" s="128" t="s">
        <v>351</v>
      </c>
      <c r="BM71" s="128" t="s">
        <v>325</v>
      </c>
      <c r="BN71" s="128" t="s">
        <v>352</v>
      </c>
      <c r="DA71" s="128">
        <v>0</v>
      </c>
      <c r="DB71" s="128">
        <v>0</v>
      </c>
      <c r="DC71" s="128">
        <v>0</v>
      </c>
      <c r="DD71" s="128">
        <v>0</v>
      </c>
      <c r="DE71" s="128">
        <v>0</v>
      </c>
      <c r="DF71" s="128">
        <v>0</v>
      </c>
      <c r="DG71" s="128">
        <v>7</v>
      </c>
      <c r="DH71" s="128">
        <v>26</v>
      </c>
      <c r="DI71" s="128">
        <v>29</v>
      </c>
      <c r="DJ71" s="128">
        <v>0</v>
      </c>
      <c r="DK71" s="128">
        <v>0</v>
      </c>
      <c r="DL71" s="128">
        <v>7</v>
      </c>
      <c r="DM71" s="128">
        <v>26</v>
      </c>
      <c r="DN71" s="128">
        <v>29</v>
      </c>
      <c r="DO71" s="128">
        <v>0</v>
      </c>
      <c r="DP71" s="128">
        <v>0</v>
      </c>
      <c r="DQ71" s="128">
        <v>62</v>
      </c>
      <c r="DR71" s="128">
        <v>62</v>
      </c>
      <c r="DS71" s="128">
        <v>0</v>
      </c>
      <c r="DT71" s="128">
        <v>0</v>
      </c>
      <c r="DU71" s="128">
        <v>0</v>
      </c>
      <c r="DV71" s="128">
        <v>0</v>
      </c>
      <c r="DW71" s="128">
        <v>0</v>
      </c>
      <c r="DX71" s="128">
        <v>0</v>
      </c>
      <c r="DY71" s="128">
        <v>5</v>
      </c>
      <c r="DZ71" s="128">
        <v>28</v>
      </c>
      <c r="EA71" s="128">
        <v>31</v>
      </c>
      <c r="EB71" s="128">
        <v>0</v>
      </c>
      <c r="EC71" s="128">
        <v>0</v>
      </c>
      <c r="ED71" s="128">
        <v>5</v>
      </c>
      <c r="EE71" s="128">
        <v>28</v>
      </c>
      <c r="EF71" s="128">
        <v>31</v>
      </c>
      <c r="EG71" s="128">
        <v>0</v>
      </c>
      <c r="EH71" s="128">
        <v>0</v>
      </c>
      <c r="EI71" s="128">
        <v>64</v>
      </c>
      <c r="EJ71" s="128">
        <v>64</v>
      </c>
      <c r="EK71" s="128">
        <v>2</v>
      </c>
      <c r="EL71" s="128">
        <v>2</v>
      </c>
      <c r="EM71" s="128">
        <v>2</v>
      </c>
      <c r="EN71" s="128">
        <v>1229000</v>
      </c>
      <c r="EO71" s="128">
        <v>1229000</v>
      </c>
      <c r="EP71" s="128">
        <v>27</v>
      </c>
      <c r="EQ71" s="128">
        <v>27</v>
      </c>
      <c r="ER71" s="128">
        <v>25</v>
      </c>
      <c r="ES71" s="128">
        <v>13611000</v>
      </c>
      <c r="ET71" s="128">
        <v>10143000</v>
      </c>
      <c r="EU71" s="128">
        <v>8</v>
      </c>
      <c r="EV71" s="128">
        <v>8</v>
      </c>
      <c r="EW71" s="128">
        <v>9</v>
      </c>
      <c r="EX71" s="128">
        <v>5803000</v>
      </c>
      <c r="EY71" s="128">
        <v>0</v>
      </c>
      <c r="FO71" s="128">
        <v>19</v>
      </c>
      <c r="FP71" s="128">
        <v>18.25</v>
      </c>
      <c r="FQ71" s="128">
        <v>18.25</v>
      </c>
      <c r="FR71" s="128">
        <v>8637000</v>
      </c>
      <c r="FS71" s="128">
        <v>5746000</v>
      </c>
      <c r="KG71" s="128">
        <v>0</v>
      </c>
      <c r="KI71" s="128">
        <v>37</v>
      </c>
      <c r="KJ71" s="128">
        <v>0</v>
      </c>
      <c r="KK71" s="128">
        <v>0</v>
      </c>
      <c r="KL71" s="128">
        <v>0</v>
      </c>
      <c r="KM71" s="128">
        <v>37</v>
      </c>
      <c r="KN71" s="128">
        <v>29280000</v>
      </c>
      <c r="KO71" s="128">
        <v>17118000</v>
      </c>
      <c r="KP71" s="128">
        <v>17118000</v>
      </c>
      <c r="KT71" s="128">
        <v>0</v>
      </c>
      <c r="KU71" s="128">
        <v>0</v>
      </c>
      <c r="KV71" s="128">
        <v>0</v>
      </c>
      <c r="KZ71" s="128">
        <v>0</v>
      </c>
      <c r="LA71" s="128">
        <v>0</v>
      </c>
      <c r="LB71" s="128">
        <v>0</v>
      </c>
      <c r="LF71" s="128">
        <v>994000</v>
      </c>
      <c r="LG71" s="128">
        <v>0</v>
      </c>
      <c r="LH71" s="128">
        <v>0</v>
      </c>
      <c r="LL71" s="128">
        <v>250000</v>
      </c>
      <c r="LM71" s="128">
        <v>0</v>
      </c>
      <c r="LN71" s="128">
        <v>0</v>
      </c>
      <c r="LR71" s="128">
        <v>200000</v>
      </c>
      <c r="LS71" s="128">
        <v>0</v>
      </c>
      <c r="LT71" s="128">
        <v>0</v>
      </c>
      <c r="LX71" s="128">
        <v>2270000</v>
      </c>
      <c r="LY71" s="128">
        <v>0</v>
      </c>
      <c r="LZ71" s="128">
        <v>0</v>
      </c>
      <c r="MD71" s="128">
        <v>35000</v>
      </c>
      <c r="ME71" s="128">
        <v>0</v>
      </c>
      <c r="MF71" s="128">
        <v>0</v>
      </c>
      <c r="MJ71" s="128">
        <v>30000</v>
      </c>
      <c r="MK71" s="128">
        <v>0</v>
      </c>
      <c r="ML71" s="128">
        <v>0</v>
      </c>
      <c r="MP71" s="128">
        <v>770000</v>
      </c>
      <c r="MQ71" s="128">
        <v>0</v>
      </c>
      <c r="MR71" s="128">
        <v>0</v>
      </c>
      <c r="MV71" s="128">
        <v>1381000</v>
      </c>
      <c r="MW71" s="128">
        <v>0</v>
      </c>
      <c r="MX71" s="128">
        <v>0</v>
      </c>
      <c r="NB71" s="128">
        <v>53000</v>
      </c>
      <c r="NC71" s="128">
        <v>0</v>
      </c>
      <c r="ND71" s="128">
        <v>0</v>
      </c>
      <c r="NH71" s="128">
        <v>0</v>
      </c>
      <c r="NI71" s="128">
        <v>0</v>
      </c>
      <c r="NJ71" s="128">
        <v>0</v>
      </c>
      <c r="NN71" s="128">
        <v>40000</v>
      </c>
      <c r="NO71" s="128">
        <v>0</v>
      </c>
      <c r="NP71" s="128">
        <v>0</v>
      </c>
      <c r="NT71" s="128">
        <v>0</v>
      </c>
      <c r="NU71" s="128">
        <v>0</v>
      </c>
      <c r="NV71" s="128">
        <v>0</v>
      </c>
      <c r="NZ71" s="128">
        <v>340000</v>
      </c>
      <c r="OA71" s="128">
        <v>0</v>
      </c>
      <c r="OB71" s="128">
        <v>0</v>
      </c>
      <c r="OF71" s="128">
        <v>25000</v>
      </c>
      <c r="OG71" s="128">
        <v>0</v>
      </c>
      <c r="OH71" s="128">
        <v>0</v>
      </c>
      <c r="OL71" s="128">
        <v>0</v>
      </c>
      <c r="OM71" s="128">
        <v>0</v>
      </c>
      <c r="ON71" s="128">
        <v>0</v>
      </c>
      <c r="OR71" s="128">
        <v>0</v>
      </c>
      <c r="OS71" s="128">
        <v>0</v>
      </c>
      <c r="OT71" s="128">
        <v>0</v>
      </c>
      <c r="OX71" s="128">
        <v>650000</v>
      </c>
      <c r="OY71" s="128">
        <v>0</v>
      </c>
      <c r="OZ71" s="128">
        <v>0</v>
      </c>
      <c r="PD71" s="128">
        <v>1600000</v>
      </c>
      <c r="PE71" s="128">
        <v>0</v>
      </c>
      <c r="PF71" s="128">
        <v>0</v>
      </c>
      <c r="PJ71" s="128">
        <v>5000</v>
      </c>
      <c r="PK71" s="128">
        <v>0</v>
      </c>
      <c r="PL71" s="128">
        <v>0</v>
      </c>
      <c r="PP71" s="128">
        <v>37923000</v>
      </c>
      <c r="PQ71" s="128">
        <v>17118000</v>
      </c>
      <c r="PR71" s="128">
        <v>17118000</v>
      </c>
      <c r="PS71" s="128">
        <v>100</v>
      </c>
      <c r="PT71" s="128">
        <v>100</v>
      </c>
      <c r="PV71" s="128">
        <v>17316275</v>
      </c>
      <c r="PX71" s="128">
        <v>8509770</v>
      </c>
      <c r="PY71" s="128">
        <v>11981892</v>
      </c>
      <c r="PZ71" s="128">
        <v>17118000</v>
      </c>
      <c r="QA71" s="128">
        <v>0</v>
      </c>
      <c r="QB71" s="128">
        <v>0</v>
      </c>
      <c r="QC71" s="128">
        <v>0</v>
      </c>
      <c r="QD71" s="128">
        <v>0</v>
      </c>
      <c r="QE71" s="128">
        <v>0</v>
      </c>
      <c r="QF71" s="128">
        <v>0</v>
      </c>
      <c r="QG71" s="128">
        <v>3154000</v>
      </c>
      <c r="QH71" s="128">
        <v>4377000</v>
      </c>
      <c r="QI71" s="128">
        <v>3020000</v>
      </c>
      <c r="QJ71" s="128">
        <v>15840287</v>
      </c>
      <c r="QK71" s="128">
        <v>16300000</v>
      </c>
      <c r="QL71" s="128">
        <v>16200000</v>
      </c>
      <c r="QN71" s="128">
        <v>834852</v>
      </c>
      <c r="QO71" s="128">
        <v>970000</v>
      </c>
      <c r="QP71" s="128">
        <v>1010000</v>
      </c>
      <c r="RD71" s="128">
        <v>642214</v>
      </c>
      <c r="RE71" s="128">
        <v>1613108</v>
      </c>
      <c r="RF71" s="128">
        <v>575000</v>
      </c>
      <c r="RH71" s="128">
        <f t="shared" si="104"/>
        <v>20713000</v>
      </c>
      <c r="RI71" s="128">
        <v>0</v>
      </c>
      <c r="RM71" s="128" t="s">
        <v>220</v>
      </c>
      <c r="RU71" s="130"/>
      <c r="RV71" s="130"/>
      <c r="RW71" s="130"/>
      <c r="RX71" s="130"/>
      <c r="SF71" s="128">
        <f t="shared" si="8"/>
        <v>2801353</v>
      </c>
      <c r="SG71" s="131">
        <f t="shared" si="9"/>
        <v>37923000</v>
      </c>
      <c r="SH71" s="131">
        <f t="shared" si="10"/>
        <v>37923000</v>
      </c>
      <c r="SI71" s="131">
        <f t="shared" si="11"/>
        <v>30274000</v>
      </c>
      <c r="SJ71" s="132">
        <f t="shared" si="12"/>
        <v>29280000</v>
      </c>
      <c r="SK71" s="132">
        <f t="shared" si="13"/>
        <v>0</v>
      </c>
      <c r="SL71" s="132">
        <f t="shared" si="14"/>
        <v>0</v>
      </c>
      <c r="SM71" s="132">
        <f t="shared" si="15"/>
        <v>994000</v>
      </c>
      <c r="SN71" s="131">
        <f t="shared" si="16"/>
        <v>7649000</v>
      </c>
      <c r="SO71" s="131">
        <f t="shared" si="17"/>
        <v>450000</v>
      </c>
      <c r="SP71" s="132">
        <f t="shared" si="18"/>
        <v>250000</v>
      </c>
      <c r="SQ71" s="132">
        <f t="shared" si="19"/>
        <v>200000</v>
      </c>
      <c r="SR71" s="132">
        <f t="shared" si="20"/>
        <v>2270000</v>
      </c>
      <c r="SS71" s="132">
        <f t="shared" si="21"/>
        <v>35000</v>
      </c>
      <c r="ST71" s="132">
        <f t="shared" si="22"/>
        <v>30000</v>
      </c>
      <c r="SU71" s="132">
        <f t="shared" si="23"/>
        <v>770000</v>
      </c>
      <c r="SV71" s="131">
        <f t="shared" si="24"/>
        <v>2489000</v>
      </c>
      <c r="SW71" s="132">
        <f t="shared" si="25"/>
        <v>1381000</v>
      </c>
      <c r="SX71" s="132">
        <f t="shared" si="26"/>
        <v>53000</v>
      </c>
      <c r="SY71" s="132">
        <f t="shared" si="27"/>
        <v>0</v>
      </c>
      <c r="SZ71" s="132">
        <f t="shared" si="28"/>
        <v>40000</v>
      </c>
      <c r="TA71" s="132">
        <f t="shared" si="29"/>
        <v>0</v>
      </c>
      <c r="TB71" s="132">
        <f t="shared" si="30"/>
        <v>340000</v>
      </c>
      <c r="TC71" s="132">
        <f t="shared" si="31"/>
        <v>25000</v>
      </c>
      <c r="TD71" s="132">
        <f t="shared" si="32"/>
        <v>0</v>
      </c>
      <c r="TE71" s="132">
        <f t="shared" si="33"/>
        <v>0</v>
      </c>
      <c r="TF71" s="132">
        <f t="shared" si="34"/>
        <v>650000</v>
      </c>
      <c r="TG71" s="132">
        <f t="shared" si="35"/>
        <v>1600000</v>
      </c>
      <c r="TH71" s="132">
        <f t="shared" si="36"/>
        <v>5000</v>
      </c>
      <c r="TI71" s="1"/>
      <c r="TJ71" s="131">
        <f t="shared" si="37"/>
        <v>17118000</v>
      </c>
      <c r="TK71" s="131">
        <f t="shared" si="38"/>
        <v>17118000</v>
      </c>
      <c r="TL71" s="131">
        <f t="shared" si="39"/>
        <v>17118000</v>
      </c>
      <c r="TM71" s="132">
        <f t="shared" si="40"/>
        <v>17118000</v>
      </c>
      <c r="TN71" s="132">
        <f t="shared" si="41"/>
        <v>0</v>
      </c>
      <c r="TO71" s="132">
        <f t="shared" si="42"/>
        <v>0</v>
      </c>
      <c r="TP71" s="132">
        <f t="shared" si="43"/>
        <v>0</v>
      </c>
      <c r="TQ71" s="131">
        <f t="shared" si="44"/>
        <v>0</v>
      </c>
      <c r="TR71" s="131">
        <f t="shared" si="45"/>
        <v>0</v>
      </c>
      <c r="TS71" s="132">
        <f t="shared" si="46"/>
        <v>0</v>
      </c>
      <c r="TT71" s="132">
        <f t="shared" si="47"/>
        <v>0</v>
      </c>
      <c r="TU71" s="132">
        <f t="shared" si="48"/>
        <v>0</v>
      </c>
      <c r="TV71" s="132">
        <f t="shared" si="49"/>
        <v>0</v>
      </c>
      <c r="TW71" s="132">
        <f t="shared" si="50"/>
        <v>0</v>
      </c>
      <c r="TX71" s="132">
        <f t="shared" si="51"/>
        <v>0</v>
      </c>
      <c r="TY71" s="131">
        <f t="shared" si="52"/>
        <v>0</v>
      </c>
      <c r="TZ71" s="132">
        <f t="shared" si="53"/>
        <v>0</v>
      </c>
      <c r="UA71" s="132">
        <f t="shared" si="54"/>
        <v>0</v>
      </c>
      <c r="UB71" s="132">
        <f t="shared" si="55"/>
        <v>0</v>
      </c>
      <c r="UC71" s="132">
        <f t="shared" si="56"/>
        <v>0</v>
      </c>
      <c r="UD71" s="132">
        <f t="shared" si="57"/>
        <v>0</v>
      </c>
      <c r="UE71" s="132">
        <f t="shared" si="58"/>
        <v>0</v>
      </c>
      <c r="UF71" s="132">
        <f t="shared" si="59"/>
        <v>0</v>
      </c>
      <c r="UG71" s="132">
        <f t="shared" si="60"/>
        <v>0</v>
      </c>
      <c r="UH71" s="132">
        <f t="shared" si="61"/>
        <v>0</v>
      </c>
      <c r="UI71" s="132">
        <f t="shared" si="62"/>
        <v>0</v>
      </c>
      <c r="UJ71" s="132">
        <f t="shared" si="63"/>
        <v>0</v>
      </c>
      <c r="UK71" s="132">
        <f t="shared" si="64"/>
        <v>0</v>
      </c>
      <c r="UL71" s="132">
        <f t="shared" si="105"/>
        <v>17118000</v>
      </c>
      <c r="UM71" s="131">
        <f t="shared" si="65"/>
        <v>17118000</v>
      </c>
      <c r="UN71" s="131">
        <f t="shared" si="66"/>
        <v>17118000</v>
      </c>
      <c r="UO71" s="131">
        <f t="shared" si="67"/>
        <v>17118000</v>
      </c>
      <c r="UP71" s="132">
        <f t="shared" si="68"/>
        <v>17118000</v>
      </c>
      <c r="UQ71" s="132">
        <f t="shared" si="69"/>
        <v>0</v>
      </c>
      <c r="UR71" s="132">
        <f t="shared" si="70"/>
        <v>0</v>
      </c>
      <c r="US71" s="132">
        <f t="shared" si="71"/>
        <v>0</v>
      </c>
      <c r="UT71" s="131">
        <f t="shared" si="72"/>
        <v>0</v>
      </c>
      <c r="UU71" s="131">
        <f t="shared" si="73"/>
        <v>0</v>
      </c>
      <c r="UV71" s="132">
        <f t="shared" si="74"/>
        <v>0</v>
      </c>
      <c r="UW71" s="132">
        <f t="shared" si="75"/>
        <v>0</v>
      </c>
      <c r="UX71" s="132">
        <f t="shared" si="76"/>
        <v>0</v>
      </c>
      <c r="UY71" s="132">
        <f t="shared" si="77"/>
        <v>0</v>
      </c>
      <c r="UZ71" s="132">
        <f t="shared" si="78"/>
        <v>0</v>
      </c>
      <c r="VA71" s="132">
        <f t="shared" si="79"/>
        <v>0</v>
      </c>
      <c r="VB71" s="131">
        <f t="shared" si="80"/>
        <v>0</v>
      </c>
      <c r="VC71" s="132">
        <f t="shared" si="81"/>
        <v>0</v>
      </c>
      <c r="VD71" s="132">
        <f t="shared" si="82"/>
        <v>0</v>
      </c>
      <c r="VE71" s="132">
        <f t="shared" si="83"/>
        <v>0</v>
      </c>
      <c r="VF71" s="132">
        <f t="shared" si="84"/>
        <v>0</v>
      </c>
      <c r="VG71" s="132">
        <f t="shared" si="85"/>
        <v>0</v>
      </c>
      <c r="VH71" s="132">
        <f t="shared" si="86"/>
        <v>0</v>
      </c>
      <c r="VI71" s="132">
        <f t="shared" si="87"/>
        <v>0</v>
      </c>
      <c r="VJ71" s="132">
        <f t="shared" si="88"/>
        <v>0</v>
      </c>
      <c r="VK71" s="132">
        <f t="shared" si="89"/>
        <v>0</v>
      </c>
      <c r="VL71" s="132">
        <f t="shared" si="90"/>
        <v>0</v>
      </c>
      <c r="VM71" s="132">
        <f t="shared" si="91"/>
        <v>0</v>
      </c>
      <c r="VN71" s="132">
        <f t="shared" si="92"/>
        <v>0</v>
      </c>
      <c r="VP71" s="845" t="str">
        <f>IFERROR(HLOOKUP(F71,'Hodnocení '!$C$1:$JH$5,2,FALSE),0)</f>
        <v>Domov důchodců Police nad Metují</v>
      </c>
      <c r="VQ71" s="838"/>
      <c r="VR71" s="845" t="str">
        <f t="shared" si="106"/>
        <v>Příspěvková organizace zřízená územním samosprávným celkem</v>
      </c>
      <c r="VS71" s="845" t="str">
        <f>IFERROR(HLOOKUP(F71,'Hodnocení '!$C$1:$JH$5,5,FALSE),0)</f>
        <v>PO KHK</v>
      </c>
      <c r="VT71" s="838">
        <f t="shared" si="107"/>
        <v>0</v>
      </c>
      <c r="VU71" s="838" t="str">
        <f t="shared" si="108"/>
        <v>PO KHK</v>
      </c>
      <c r="VV71" s="838">
        <f t="shared" si="109"/>
        <v>16200000</v>
      </c>
      <c r="VW71" s="838">
        <f t="shared" si="110"/>
        <v>1010000</v>
      </c>
      <c r="VX71" s="838"/>
      <c r="VY71" s="838">
        <f t="shared" si="114"/>
        <v>0</v>
      </c>
      <c r="VZ71" s="838">
        <f t="shared" si="115"/>
        <v>17118000</v>
      </c>
      <c r="WA71" s="846">
        <f>IFERROR(HLOOKUP($F71,'Hodnocení '!$C$1:$JH$9,9,FALSE),0)</f>
        <v>17118000</v>
      </c>
      <c r="WB71" s="846">
        <f>IF(IFERROR(HLOOKUP($F71,'Hodnocení '!$C$1:$JH$13,13,FALSE),0)&gt;WA71,WA71,IFERROR(HLOOKUP($F71,'Hodnocení '!$C$1:$JH$13,13,FALSE),0))</f>
        <v>17118000</v>
      </c>
      <c r="WC71" s="846">
        <f>IFERROR(HLOOKUP($F71,'Hodnocení '!$C$1:$JH$155,155,FALSE),0)</f>
        <v>13033890</v>
      </c>
      <c r="WD71" s="845"/>
      <c r="WE71" s="845"/>
      <c r="WF71" s="845" t="str">
        <f t="shared" si="97"/>
        <v>ANO</v>
      </c>
      <c r="WG71" s="849" t="str">
        <f t="shared" si="117"/>
        <v>Podpora služby je vyjádřena zařazením do sítě sociálních služeb v KHK a řešením financování služby</v>
      </c>
      <c r="WH71"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71" s="849" t="str">
        <f t="shared" si="117"/>
        <v>Návrh dotace je výsledkem projednání s ostatními zadavateli v rámci sítě služeb KHK</v>
      </c>
      <c r="WJ71" s="849" t="str">
        <f t="shared" si="117"/>
        <v>Bez komentáře</v>
      </c>
      <c r="WK71" s="31">
        <f t="shared" si="99"/>
        <v>0</v>
      </c>
      <c r="WL71" s="850" t="str">
        <f t="shared" si="100"/>
        <v>Případná úprava příspěvku zřizovatele bude řešena v návaznosti na vývoj služby</v>
      </c>
      <c r="WM71" s="849" t="str">
        <f t="shared" si="101"/>
        <v>V rámci sítě KHK se dlouhodobě řeší otázka navyšování úhrad a průběžně se monitoruje s vazbou na vykrytí vyrovnávací platby</v>
      </c>
      <c r="WN71" s="849" t="str">
        <f t="shared" si="102"/>
        <v>Otázka výběru od zdravotních pojišťoven je předmětem procesu, který probíhá ve formě jednání se ZP a organizacemi</v>
      </c>
      <c r="WO71" s="849" t="str">
        <f t="shared" si="118"/>
        <v>bez komentáře</v>
      </c>
      <c r="WP71" s="849" t="str">
        <f t="shared" si="118"/>
        <v>bez komentáře</v>
      </c>
      <c r="WQ71" s="849" t="str">
        <f t="shared" si="118"/>
        <v>Konečná výše dotace z rozpočtu KHK bude řešena v návaznosti na řešení podílů jednotlivých zadavatelů.</v>
      </c>
      <c r="WR71" s="849" t="str">
        <f t="shared" si="118"/>
        <v>Konečná výše podpory ze stran obcí bude řešena v součinnosti s jednotlivými zadavateli v průběhu roku.</v>
      </c>
      <c r="WS71" s="849" t="str">
        <f t="shared" si="118"/>
        <v>bez komentáře</v>
      </c>
      <c r="WT71" s="849" t="str">
        <f t="shared" si="118"/>
        <v>bez komentáře</v>
      </c>
      <c r="WU71" s="847"/>
    </row>
    <row r="72" spans="1:619" s="128" customFormat="1" x14ac:dyDescent="0.25">
      <c r="A72" s="128" t="str">
        <f>VLOOKUP(F72,'Výpočet VP 2020'!$D$324:$I$588,6,FALSE)</f>
        <v>Je v síti</v>
      </c>
      <c r="B72" s="128" t="s">
        <v>480</v>
      </c>
      <c r="C72" s="128">
        <v>194913</v>
      </c>
      <c r="D72" s="128" t="s">
        <v>481</v>
      </c>
      <c r="E72" s="128" t="s">
        <v>259</v>
      </c>
      <c r="F72" s="128">
        <v>7663376</v>
      </c>
      <c r="G72" s="128" t="s">
        <v>392</v>
      </c>
      <c r="H72" s="128" t="s">
        <v>218</v>
      </c>
      <c r="I72" s="128" t="s">
        <v>480</v>
      </c>
      <c r="J72" s="129">
        <v>43466</v>
      </c>
      <c r="L72" s="128" t="s">
        <v>220</v>
      </c>
      <c r="M72" s="128" t="s">
        <v>365</v>
      </c>
      <c r="N72" s="128">
        <v>16</v>
      </c>
      <c r="P72" s="128">
        <v>0</v>
      </c>
      <c r="Q72" s="128">
        <v>16</v>
      </c>
      <c r="R72" s="128">
        <v>16</v>
      </c>
      <c r="W72" s="128" t="s">
        <v>482</v>
      </c>
      <c r="BL72" s="128" t="s">
        <v>395</v>
      </c>
      <c r="BM72" s="128" t="s">
        <v>304</v>
      </c>
      <c r="BN72" s="128" t="s">
        <v>326</v>
      </c>
      <c r="DA72" s="128">
        <v>0</v>
      </c>
      <c r="DB72" s="128">
        <v>0</v>
      </c>
      <c r="DC72" s="128">
        <v>0</v>
      </c>
      <c r="DD72" s="128">
        <v>0</v>
      </c>
      <c r="DE72" s="128">
        <v>0</v>
      </c>
      <c r="DF72" s="128">
        <v>1</v>
      </c>
      <c r="DG72" s="128">
        <v>1</v>
      </c>
      <c r="DH72" s="128">
        <v>6</v>
      </c>
      <c r="DI72" s="128">
        <v>8</v>
      </c>
      <c r="DJ72" s="128">
        <v>0</v>
      </c>
      <c r="DK72" s="128">
        <v>1</v>
      </c>
      <c r="DL72" s="128">
        <v>1</v>
      </c>
      <c r="DM72" s="128">
        <v>6</v>
      </c>
      <c r="DN72" s="128">
        <v>8</v>
      </c>
      <c r="DO72" s="128">
        <v>0</v>
      </c>
      <c r="DP72" s="128">
        <v>0</v>
      </c>
      <c r="DQ72" s="128">
        <v>16</v>
      </c>
      <c r="DR72" s="128">
        <v>16</v>
      </c>
      <c r="DS72" s="128">
        <v>0</v>
      </c>
      <c r="DT72" s="128">
        <v>0</v>
      </c>
      <c r="DU72" s="128">
        <v>0</v>
      </c>
      <c r="DV72" s="128">
        <v>0</v>
      </c>
      <c r="DW72" s="128">
        <v>0</v>
      </c>
      <c r="DX72" s="128">
        <v>0</v>
      </c>
      <c r="DY72" s="128">
        <v>0</v>
      </c>
      <c r="DZ72" s="128">
        <v>6</v>
      </c>
      <c r="EA72" s="128">
        <v>10</v>
      </c>
      <c r="EB72" s="128">
        <v>0</v>
      </c>
      <c r="EC72" s="128">
        <v>0</v>
      </c>
      <c r="ED72" s="128">
        <v>0</v>
      </c>
      <c r="EE72" s="128">
        <v>6</v>
      </c>
      <c r="EF72" s="128">
        <v>10</v>
      </c>
      <c r="EG72" s="128">
        <v>0</v>
      </c>
      <c r="EH72" s="128">
        <v>0</v>
      </c>
      <c r="EI72" s="128">
        <v>16</v>
      </c>
      <c r="EJ72" s="128">
        <v>16</v>
      </c>
      <c r="EK72" s="128">
        <v>1</v>
      </c>
      <c r="EL72" s="128">
        <v>0.5</v>
      </c>
      <c r="EM72" s="128">
        <v>0.5</v>
      </c>
      <c r="EN72" s="128">
        <v>564000</v>
      </c>
      <c r="EO72" s="128">
        <v>564000</v>
      </c>
      <c r="EP72" s="128">
        <v>6</v>
      </c>
      <c r="EQ72" s="128">
        <v>6</v>
      </c>
      <c r="ER72" s="128">
        <v>6</v>
      </c>
      <c r="ES72" s="128">
        <v>4341600</v>
      </c>
      <c r="ET72" s="128">
        <v>4341600</v>
      </c>
      <c r="EU72" s="128">
        <v>3</v>
      </c>
      <c r="EV72" s="128">
        <v>3</v>
      </c>
      <c r="EW72" s="128">
        <v>3</v>
      </c>
      <c r="EX72" s="128">
        <v>2412000</v>
      </c>
      <c r="EY72" s="128">
        <v>0</v>
      </c>
      <c r="FO72" s="128">
        <v>4</v>
      </c>
      <c r="FP72" s="128">
        <v>4</v>
      </c>
      <c r="FQ72" s="128">
        <v>4</v>
      </c>
      <c r="FR72" s="128">
        <v>2010000</v>
      </c>
      <c r="FS72" s="128">
        <v>2010000</v>
      </c>
      <c r="FZ72" s="128">
        <v>1</v>
      </c>
      <c r="GA72" s="128">
        <v>0.5</v>
      </c>
      <c r="GB72" s="128">
        <v>2</v>
      </c>
      <c r="GC72" s="128">
        <v>8.3000000000000004E-2</v>
      </c>
      <c r="GD72" s="128">
        <v>24000</v>
      </c>
      <c r="GE72" s="128">
        <v>24000</v>
      </c>
      <c r="IN72" s="128">
        <v>1</v>
      </c>
      <c r="IO72" s="128">
        <v>300</v>
      </c>
      <c r="IP72" s="128">
        <v>0.14299999999999999</v>
      </c>
      <c r="IQ72" s="128">
        <v>45000</v>
      </c>
      <c r="IR72" s="128">
        <v>45000</v>
      </c>
      <c r="JC72" s="128">
        <v>1</v>
      </c>
      <c r="JD72" s="128">
        <v>1</v>
      </c>
      <c r="JE72" s="128">
        <v>0</v>
      </c>
      <c r="JF72" s="128">
        <v>420000</v>
      </c>
      <c r="JG72" s="128">
        <v>420000</v>
      </c>
      <c r="KG72" s="128">
        <v>2</v>
      </c>
      <c r="KH72" s="128">
        <v>100</v>
      </c>
      <c r="KI72" s="128">
        <v>9.5</v>
      </c>
      <c r="KJ72" s="128">
        <v>8.3000000000000004E-2</v>
      </c>
      <c r="KK72" s="128">
        <v>0.14299999999999999</v>
      </c>
      <c r="KL72" s="128">
        <v>1</v>
      </c>
      <c r="KM72" s="128">
        <v>10.726000000000001</v>
      </c>
      <c r="KN72" s="128">
        <v>9327600</v>
      </c>
      <c r="KO72" s="128">
        <v>6915600</v>
      </c>
      <c r="KP72" s="128">
        <v>6915600</v>
      </c>
      <c r="KT72" s="128">
        <v>24000</v>
      </c>
      <c r="KU72" s="128">
        <v>24000</v>
      </c>
      <c r="KV72" s="128">
        <v>24000</v>
      </c>
      <c r="KZ72" s="128">
        <v>45000</v>
      </c>
      <c r="LA72" s="128">
        <v>45000</v>
      </c>
      <c r="LB72" s="128">
        <v>45000</v>
      </c>
      <c r="LF72" s="128">
        <v>200000</v>
      </c>
      <c r="LG72" s="128">
        <v>200000</v>
      </c>
      <c r="LH72" s="128">
        <v>200000</v>
      </c>
      <c r="LL72" s="128">
        <v>0</v>
      </c>
      <c r="LM72" s="128">
        <v>0</v>
      </c>
      <c r="LN72" s="128">
        <v>0</v>
      </c>
      <c r="LR72" s="128">
        <v>250000</v>
      </c>
      <c r="LS72" s="128">
        <v>250000</v>
      </c>
      <c r="LT72" s="128">
        <v>250000</v>
      </c>
      <c r="LX72" s="128">
        <v>1400000</v>
      </c>
      <c r="LY72" s="128">
        <v>0</v>
      </c>
      <c r="LZ72" s="128">
        <v>0</v>
      </c>
      <c r="MD72" s="128">
        <v>100000</v>
      </c>
      <c r="ME72" s="128">
        <v>0</v>
      </c>
      <c r="MF72" s="128">
        <v>0</v>
      </c>
      <c r="MJ72" s="128">
        <v>30000</v>
      </c>
      <c r="MK72" s="128">
        <v>0</v>
      </c>
      <c r="ML72" s="128">
        <v>0</v>
      </c>
      <c r="MP72" s="128">
        <v>15000</v>
      </c>
      <c r="MQ72" s="128">
        <v>15000</v>
      </c>
      <c r="MR72" s="128">
        <v>15000</v>
      </c>
      <c r="MV72" s="128">
        <v>800000</v>
      </c>
      <c r="MW72" s="128">
        <v>0</v>
      </c>
      <c r="MX72" s="128">
        <v>0</v>
      </c>
      <c r="NB72" s="128">
        <v>50000</v>
      </c>
      <c r="NC72" s="128">
        <v>0</v>
      </c>
      <c r="ND72" s="128">
        <v>0</v>
      </c>
      <c r="NH72" s="128">
        <v>0</v>
      </c>
      <c r="NI72" s="128">
        <v>0</v>
      </c>
      <c r="NJ72" s="128">
        <v>0</v>
      </c>
      <c r="NN72" s="128">
        <v>30000</v>
      </c>
      <c r="NO72" s="128">
        <v>30000</v>
      </c>
      <c r="NP72" s="128">
        <v>30000</v>
      </c>
      <c r="NT72" s="128">
        <v>50000</v>
      </c>
      <c r="NU72" s="128">
        <v>50000</v>
      </c>
      <c r="NV72" s="128">
        <v>50000</v>
      </c>
      <c r="NZ72" s="128">
        <v>350000</v>
      </c>
      <c r="OA72" s="128">
        <v>0</v>
      </c>
      <c r="OB72" s="128">
        <v>0</v>
      </c>
      <c r="OF72" s="128">
        <v>20000</v>
      </c>
      <c r="OG72" s="128">
        <v>20000</v>
      </c>
      <c r="OH72" s="128">
        <v>20000</v>
      </c>
      <c r="OL72" s="128">
        <v>420000</v>
      </c>
      <c r="OM72" s="128">
        <v>420000</v>
      </c>
      <c r="ON72" s="128">
        <v>420000</v>
      </c>
      <c r="OR72" s="128">
        <v>0</v>
      </c>
      <c r="OS72" s="128">
        <v>0</v>
      </c>
      <c r="OT72" s="128">
        <v>0</v>
      </c>
      <c r="OX72" s="128">
        <v>150000</v>
      </c>
      <c r="OY72" s="128">
        <v>15000</v>
      </c>
      <c r="OZ72" s="128">
        <v>15000</v>
      </c>
      <c r="PD72" s="128">
        <v>190000</v>
      </c>
      <c r="PE72" s="128">
        <v>0</v>
      </c>
      <c r="PF72" s="128">
        <v>0</v>
      </c>
      <c r="PJ72" s="128">
        <v>60000</v>
      </c>
      <c r="PK72" s="128">
        <v>60000</v>
      </c>
      <c r="PL72" s="128">
        <v>60000</v>
      </c>
      <c r="PP72" s="128">
        <v>13511600</v>
      </c>
      <c r="PQ72" s="128">
        <v>8044600</v>
      </c>
      <c r="PR72" s="128">
        <v>8044600</v>
      </c>
      <c r="PS72" s="128">
        <v>100</v>
      </c>
      <c r="PT72" s="128">
        <v>100</v>
      </c>
      <c r="PV72" s="128">
        <v>5777915</v>
      </c>
      <c r="PY72" s="128">
        <v>2657677</v>
      </c>
      <c r="PZ72" s="128">
        <v>8044600</v>
      </c>
      <c r="QB72" s="128">
        <v>0</v>
      </c>
      <c r="QC72" s="128">
        <v>0</v>
      </c>
      <c r="QE72" s="128">
        <v>0</v>
      </c>
      <c r="QF72" s="128">
        <v>0</v>
      </c>
      <c r="QH72" s="128">
        <v>2125200</v>
      </c>
      <c r="QI72" s="128">
        <v>787000</v>
      </c>
      <c r="QK72" s="128">
        <v>3900000</v>
      </c>
      <c r="QL72" s="128">
        <v>4000000</v>
      </c>
      <c r="QO72" s="128">
        <v>560000</v>
      </c>
      <c r="QP72" s="128">
        <v>680000</v>
      </c>
      <c r="RH72" s="128">
        <f t="shared" si="104"/>
        <v>8831600</v>
      </c>
      <c r="RI72" s="128">
        <v>0</v>
      </c>
      <c r="RM72" s="128" t="s">
        <v>220</v>
      </c>
      <c r="RU72" s="130"/>
      <c r="RV72" s="130"/>
      <c r="RW72" s="130"/>
      <c r="RX72" s="130"/>
      <c r="SF72" s="128">
        <f t="shared" ref="SF72:SF135" si="119">F72</f>
        <v>7663376</v>
      </c>
      <c r="SG72" s="131">
        <f t="shared" ref="SG72:SG135" si="120">PP72</f>
        <v>13511600</v>
      </c>
      <c r="SH72" s="131">
        <f t="shared" ref="SH72:SH135" si="121">SI72+SN72</f>
        <v>13511600</v>
      </c>
      <c r="SI72" s="131">
        <f t="shared" ref="SI72:SI135" si="122">SJ72+SK72+SL72+SM72</f>
        <v>9596600</v>
      </c>
      <c r="SJ72" s="132">
        <f t="shared" ref="SJ72:SJ135" si="123">KN72</f>
        <v>9327600</v>
      </c>
      <c r="SK72" s="132">
        <f t="shared" ref="SK72:SK135" si="124">KT72</f>
        <v>24000</v>
      </c>
      <c r="SL72" s="132">
        <f t="shared" ref="SL72:SL135" si="125">KZ72</f>
        <v>45000</v>
      </c>
      <c r="SM72" s="132">
        <f t="shared" ref="SM72:SM135" si="126">LF72</f>
        <v>200000</v>
      </c>
      <c r="SN72" s="131">
        <f t="shared" ref="SN72:SN135" si="127">SO72+SR72+SS72+ST72+SU72+SV72+TG72+TH72</f>
        <v>3915000</v>
      </c>
      <c r="SO72" s="131">
        <f t="shared" ref="SO72:SO135" si="128">SP72+SQ72</f>
        <v>250000</v>
      </c>
      <c r="SP72" s="132">
        <f t="shared" ref="SP72:SP135" si="129">LL72</f>
        <v>0</v>
      </c>
      <c r="SQ72" s="132">
        <f t="shared" ref="SQ72:SQ135" si="130">LR72</f>
        <v>250000</v>
      </c>
      <c r="SR72" s="132">
        <f t="shared" ref="SR72:SR135" si="131">LX72</f>
        <v>1400000</v>
      </c>
      <c r="SS72" s="132">
        <f t="shared" ref="SS72:SS135" si="132">MD72</f>
        <v>100000</v>
      </c>
      <c r="ST72" s="132">
        <f t="shared" ref="ST72:ST135" si="133">MJ72</f>
        <v>30000</v>
      </c>
      <c r="SU72" s="132">
        <f t="shared" ref="SU72:SU135" si="134">MP72</f>
        <v>15000</v>
      </c>
      <c r="SV72" s="131">
        <f t="shared" ref="SV72:SV135" si="135">SUM(SW72:TF72)</f>
        <v>1870000</v>
      </c>
      <c r="SW72" s="132">
        <f t="shared" ref="SW72:SW135" si="136">MV72</f>
        <v>800000</v>
      </c>
      <c r="SX72" s="132">
        <f t="shared" ref="SX72:SX135" si="137">NB72</f>
        <v>50000</v>
      </c>
      <c r="SY72" s="132">
        <f t="shared" ref="SY72:SY135" si="138">NH72</f>
        <v>0</v>
      </c>
      <c r="SZ72" s="132">
        <f t="shared" ref="SZ72:SZ135" si="139">NN72</f>
        <v>30000</v>
      </c>
      <c r="TA72" s="132">
        <f t="shared" ref="TA72:TA135" si="140">NT72</f>
        <v>50000</v>
      </c>
      <c r="TB72" s="132">
        <f t="shared" ref="TB72:TB135" si="141">NZ72</f>
        <v>350000</v>
      </c>
      <c r="TC72" s="132">
        <f t="shared" ref="TC72:TC135" si="142">OF72</f>
        <v>20000</v>
      </c>
      <c r="TD72" s="132">
        <f t="shared" ref="TD72:TD135" si="143">OL72</f>
        <v>420000</v>
      </c>
      <c r="TE72" s="132">
        <f t="shared" ref="TE72:TE135" si="144">OR72</f>
        <v>0</v>
      </c>
      <c r="TF72" s="132">
        <f t="shared" ref="TF72:TF135" si="145">OX72</f>
        <v>150000</v>
      </c>
      <c r="TG72" s="132">
        <f t="shared" ref="TG72:TG135" si="146">PD72</f>
        <v>190000</v>
      </c>
      <c r="TH72" s="132">
        <f t="shared" ref="TH72:TH135" si="147">PJ72</f>
        <v>60000</v>
      </c>
      <c r="TI72" s="1"/>
      <c r="TJ72" s="131">
        <f t="shared" ref="TJ72:TJ135" si="148">PQ72</f>
        <v>8044600</v>
      </c>
      <c r="TK72" s="131">
        <f t="shared" ref="TK72:TK135" si="149">TL72+TQ72</f>
        <v>8044600</v>
      </c>
      <c r="TL72" s="131">
        <f t="shared" ref="TL72:TL135" si="150">TM72+TN72+TO72+TP72</f>
        <v>7184600</v>
      </c>
      <c r="TM72" s="132">
        <f t="shared" ref="TM72:TM135" si="151">KO72</f>
        <v>6915600</v>
      </c>
      <c r="TN72" s="132">
        <f t="shared" ref="TN72:TN135" si="152">KU72</f>
        <v>24000</v>
      </c>
      <c r="TO72" s="132">
        <f t="shared" ref="TO72:TO135" si="153">LA72</f>
        <v>45000</v>
      </c>
      <c r="TP72" s="132">
        <f t="shared" ref="TP72:TP135" si="154">LG72</f>
        <v>200000</v>
      </c>
      <c r="TQ72" s="131">
        <f t="shared" ref="TQ72:TQ135" si="155">TR72+TU72+TV72+TW72+TX72+TY72+UJ72+UK72</f>
        <v>860000</v>
      </c>
      <c r="TR72" s="131">
        <f t="shared" ref="TR72:TR135" si="156">TS72+TT72</f>
        <v>250000</v>
      </c>
      <c r="TS72" s="132">
        <f t="shared" ref="TS72:TS135" si="157">LM72</f>
        <v>0</v>
      </c>
      <c r="TT72" s="132">
        <f t="shared" ref="TT72:TT135" si="158">LS72</f>
        <v>250000</v>
      </c>
      <c r="TU72" s="132">
        <f t="shared" ref="TU72:TU135" si="159">LY72</f>
        <v>0</v>
      </c>
      <c r="TV72" s="132">
        <f t="shared" ref="TV72:TV135" si="160">ME72</f>
        <v>0</v>
      </c>
      <c r="TW72" s="132">
        <f t="shared" ref="TW72:TW135" si="161">MK72</f>
        <v>0</v>
      </c>
      <c r="TX72" s="132">
        <f t="shared" ref="TX72:TX135" si="162">MQ72</f>
        <v>15000</v>
      </c>
      <c r="TY72" s="131">
        <f t="shared" ref="TY72:TY135" si="163">SUM(TZ72:UI72)</f>
        <v>535000</v>
      </c>
      <c r="TZ72" s="132">
        <f t="shared" ref="TZ72:TZ135" si="164">MW72</f>
        <v>0</v>
      </c>
      <c r="UA72" s="132">
        <f t="shared" ref="UA72:UA135" si="165">NC72</f>
        <v>0</v>
      </c>
      <c r="UB72" s="132">
        <f t="shared" ref="UB72:UB135" si="166">NI72</f>
        <v>0</v>
      </c>
      <c r="UC72" s="132">
        <f t="shared" ref="UC72:UC135" si="167">NO72</f>
        <v>30000</v>
      </c>
      <c r="UD72" s="132">
        <f t="shared" ref="UD72:UD135" si="168">NU72</f>
        <v>50000</v>
      </c>
      <c r="UE72" s="132">
        <f t="shared" ref="UE72:UE135" si="169">OA72</f>
        <v>0</v>
      </c>
      <c r="UF72" s="132">
        <f t="shared" ref="UF72:UF135" si="170">OG72</f>
        <v>20000</v>
      </c>
      <c r="UG72" s="132">
        <f t="shared" ref="UG72:UG135" si="171">OM72</f>
        <v>420000</v>
      </c>
      <c r="UH72" s="132">
        <f t="shared" ref="UH72:UH135" si="172">OS72</f>
        <v>0</v>
      </c>
      <c r="UI72" s="132">
        <f t="shared" ref="UI72:UI135" si="173">OY72</f>
        <v>15000</v>
      </c>
      <c r="UJ72" s="132">
        <f t="shared" ref="UJ72:UJ135" si="174">PE72</f>
        <v>0</v>
      </c>
      <c r="UK72" s="132">
        <f t="shared" ref="UK72:UK135" si="175">PK72</f>
        <v>60000</v>
      </c>
      <c r="UL72" s="132">
        <f t="shared" si="105"/>
        <v>8044600</v>
      </c>
      <c r="UM72" s="131">
        <f t="shared" ref="UM72:UM135" si="176">PR72</f>
        <v>8044600</v>
      </c>
      <c r="UN72" s="131">
        <f t="shared" ref="UN72:UN135" si="177">UO72+UT72</f>
        <v>8044600</v>
      </c>
      <c r="UO72" s="131">
        <f t="shared" ref="UO72:UO135" si="178">UP72+UQ72+UR72+US72</f>
        <v>7184600</v>
      </c>
      <c r="UP72" s="132">
        <f t="shared" ref="UP72:UP135" si="179">KP72</f>
        <v>6915600</v>
      </c>
      <c r="UQ72" s="132">
        <f t="shared" ref="UQ72:UQ135" si="180">KV72</f>
        <v>24000</v>
      </c>
      <c r="UR72" s="132">
        <f t="shared" ref="UR72:UR135" si="181">LB72</f>
        <v>45000</v>
      </c>
      <c r="US72" s="132">
        <f t="shared" ref="US72:US135" si="182">LH72</f>
        <v>200000</v>
      </c>
      <c r="UT72" s="131">
        <f t="shared" ref="UT72:UT135" si="183">UU72+UX72+UY72+UZ72+VA72+VB72+VM72+VN72</f>
        <v>860000</v>
      </c>
      <c r="UU72" s="131">
        <f t="shared" ref="UU72:UU135" si="184">UV72+UW72</f>
        <v>250000</v>
      </c>
      <c r="UV72" s="132">
        <f t="shared" ref="UV72:UV135" si="185">LN72</f>
        <v>0</v>
      </c>
      <c r="UW72" s="132">
        <f t="shared" ref="UW72:UW135" si="186">LT72</f>
        <v>250000</v>
      </c>
      <c r="UX72" s="132">
        <f t="shared" ref="UX72:UX135" si="187">LZ72</f>
        <v>0</v>
      </c>
      <c r="UY72" s="132">
        <f t="shared" ref="UY72:UY135" si="188">MF72</f>
        <v>0</v>
      </c>
      <c r="UZ72" s="132">
        <f t="shared" ref="UZ72:UZ135" si="189">ML72</f>
        <v>0</v>
      </c>
      <c r="VA72" s="132">
        <f t="shared" ref="VA72:VA135" si="190">MR72</f>
        <v>15000</v>
      </c>
      <c r="VB72" s="131">
        <f t="shared" ref="VB72:VB135" si="191">SUM(VC72:VL72)</f>
        <v>535000</v>
      </c>
      <c r="VC72" s="132">
        <f t="shared" ref="VC72:VC135" si="192">MX72</f>
        <v>0</v>
      </c>
      <c r="VD72" s="132">
        <f t="shared" ref="VD72:VD135" si="193">ND72</f>
        <v>0</v>
      </c>
      <c r="VE72" s="132">
        <f t="shared" ref="VE72:VE135" si="194">NJ72</f>
        <v>0</v>
      </c>
      <c r="VF72" s="132">
        <f t="shared" ref="VF72:VF135" si="195">NP72</f>
        <v>30000</v>
      </c>
      <c r="VG72" s="132">
        <f t="shared" ref="VG72:VG135" si="196">NV72</f>
        <v>50000</v>
      </c>
      <c r="VH72" s="132">
        <f t="shared" ref="VH72:VH135" si="197">OB72</f>
        <v>0</v>
      </c>
      <c r="VI72" s="132">
        <f t="shared" ref="VI72:VI135" si="198">OH72</f>
        <v>20000</v>
      </c>
      <c r="VJ72" s="132">
        <f t="shared" ref="VJ72:VJ135" si="199">ON72</f>
        <v>420000</v>
      </c>
      <c r="VK72" s="132">
        <f t="shared" ref="VK72:VK135" si="200">OT72</f>
        <v>0</v>
      </c>
      <c r="VL72" s="132">
        <f t="shared" ref="VL72:VL135" si="201">OZ72</f>
        <v>15000</v>
      </c>
      <c r="VM72" s="132">
        <f t="shared" ref="VM72:VM135" si="202">PF72</f>
        <v>0</v>
      </c>
      <c r="VN72" s="132">
        <f t="shared" ref="VN72:VN135" si="203">PL72</f>
        <v>60000</v>
      </c>
      <c r="VP72" s="845" t="str">
        <f>IFERROR(HLOOKUP(F72,'Hodnocení '!$C$1:$JH$5,2,FALSE),0)</f>
        <v>Domov se zvláštním režimem</v>
      </c>
      <c r="VQ72" s="838"/>
      <c r="VR72" s="845" t="str">
        <f t="shared" si="106"/>
        <v>Příspěvková organizace zřízená územním samosprávným celkem</v>
      </c>
      <c r="VS72" s="845" t="str">
        <f>IFERROR(HLOOKUP(F72,'Hodnocení '!$C$1:$JH$5,5,FALSE),0)</f>
        <v>PO KHK</v>
      </c>
      <c r="VT72" s="838">
        <f t="shared" si="107"/>
        <v>0</v>
      </c>
      <c r="VU72" s="838" t="str">
        <f t="shared" si="108"/>
        <v>PO KHK</v>
      </c>
      <c r="VV72" s="838">
        <f t="shared" si="109"/>
        <v>4000000</v>
      </c>
      <c r="VW72" s="838">
        <f t="shared" si="110"/>
        <v>680000</v>
      </c>
      <c r="VX72" s="838"/>
      <c r="VY72" s="838">
        <f t="shared" si="114"/>
        <v>0</v>
      </c>
      <c r="VZ72" s="838">
        <f t="shared" si="115"/>
        <v>8044600</v>
      </c>
      <c r="WA72" s="846">
        <f>IFERROR(HLOOKUP($F72,'Hodnocení '!$C$1:$JH$9,9,FALSE),0)</f>
        <v>8044600</v>
      </c>
      <c r="WB72" s="846">
        <f>IF(IFERROR(HLOOKUP($F72,'Hodnocení '!$C$1:$JH$13,13,FALSE),0)&gt;WA72,WA72,IFERROR(HLOOKUP($F72,'Hodnocení '!$C$1:$JH$13,13,FALSE),0))</f>
        <v>5290219.0727247903</v>
      </c>
      <c r="WC72" s="846">
        <f>IFERROR(HLOOKUP($F72,'Hodnocení '!$C$1:$JH$155,155,FALSE),0)</f>
        <v>3089240</v>
      </c>
      <c r="WD72" s="845"/>
      <c r="WE72" s="845"/>
      <c r="WF72" s="845" t="str">
        <f t="shared" ref="WF72:WF135" si="204">IF(VP72=0,"NE","ANO")</f>
        <v>ANO</v>
      </c>
      <c r="WG72" s="849" t="str">
        <f t="shared" si="117"/>
        <v>Podpora služby je vyjádřena zařazením do sítě sociálních služeb v KHK a řešením financování služby</v>
      </c>
      <c r="WH72"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72" s="849" t="str">
        <f t="shared" si="117"/>
        <v>Návrh dotace je výsledkem projednání s ostatními zadavateli v rámci sítě služeb KHK</v>
      </c>
      <c r="WJ72" s="849" t="str">
        <f t="shared" si="117"/>
        <v>Bez komentáře</v>
      </c>
      <c r="WK72" s="31">
        <f t="shared" ref="WK72:WK135" si="205">IF(VT72="Příspěvková organizace zřízená územním samosprávným celkem","Výše příspěvku ze strany zřizovatele bude řešen v návaznosti na řešení podílů jednotlivých zadavatelů",0)</f>
        <v>0</v>
      </c>
      <c r="WL72" s="850" t="str">
        <f t="shared" ref="WL72:WL135" si="206">IF(VU72="PO KHK",CONCATENATE("Případná úprava příspěvku zřizovatele bude řešena v návaznosti na vývoj služby"),0)</f>
        <v>Případná úprava příspěvku zřizovatele bude řešena v návaznosti na vývoj služby</v>
      </c>
      <c r="WM72" s="849" t="str">
        <f t="shared" ref="WM72:WM135" si="207">IF($WF72="NE","nehodnoceno",IF($VV72=0,0,WM$2))</f>
        <v>V rámci sítě KHK se dlouhodobě řeší otázka navyšování úhrad a průběžně se monitoruje s vazbou na vykrytí vyrovnávací platby</v>
      </c>
      <c r="WN72" s="849" t="str">
        <f t="shared" ref="WN72:WN135" si="208">IF($WF72="NE","nehodnoceno",IF(VW72=0,0,WN$2))</f>
        <v>Otázka výběru od zdravotních pojišťoven je předmětem procesu, který probíhá ve formě jednání se ZP a organizacemi</v>
      </c>
      <c r="WO72" s="849" t="str">
        <f t="shared" si="118"/>
        <v>bez komentáře</v>
      </c>
      <c r="WP72" s="849" t="str">
        <f t="shared" si="118"/>
        <v>bez komentáře</v>
      </c>
      <c r="WQ72" s="849" t="str">
        <f t="shared" si="118"/>
        <v>Konečná výše dotace z rozpočtu KHK bude řešena v návaznosti na řešení podílů jednotlivých zadavatelů.</v>
      </c>
      <c r="WR72" s="849" t="str">
        <f t="shared" si="118"/>
        <v>Konečná výše podpory ze stran obcí bude řešena v součinnosti s jednotlivými zadavateli v průběhu roku.</v>
      </c>
      <c r="WS72" s="849" t="str">
        <f t="shared" si="118"/>
        <v>bez komentáře</v>
      </c>
      <c r="WT72" s="849" t="str">
        <f t="shared" si="118"/>
        <v>bez komentáře</v>
      </c>
      <c r="WU72" s="845"/>
    </row>
    <row r="73" spans="1:619" s="128" customFormat="1" x14ac:dyDescent="0.25">
      <c r="A73" s="128" t="str">
        <f>VLOOKUP(F73,'Výpočet VP 2020'!$D$324:$I$588,6,FALSE)</f>
        <v>Je v síti</v>
      </c>
      <c r="B73" s="128" t="s">
        <v>480</v>
      </c>
      <c r="C73" s="128">
        <v>194913</v>
      </c>
      <c r="D73" s="128" t="s">
        <v>481</v>
      </c>
      <c r="E73" s="128" t="s">
        <v>259</v>
      </c>
      <c r="F73" s="128">
        <v>9593192</v>
      </c>
      <c r="G73" s="128" t="s">
        <v>348</v>
      </c>
      <c r="H73" s="128" t="s">
        <v>218</v>
      </c>
      <c r="I73" s="128" t="s">
        <v>480</v>
      </c>
      <c r="J73" s="129">
        <v>39083</v>
      </c>
      <c r="L73" s="128" t="s">
        <v>220</v>
      </c>
      <c r="M73" s="128" t="s">
        <v>483</v>
      </c>
      <c r="N73" s="128">
        <v>84</v>
      </c>
      <c r="P73" s="128">
        <v>100</v>
      </c>
      <c r="Q73" s="128">
        <v>84</v>
      </c>
      <c r="R73" s="128">
        <v>84</v>
      </c>
      <c r="W73" s="128" t="s">
        <v>484</v>
      </c>
      <c r="BL73" s="128" t="s">
        <v>351</v>
      </c>
      <c r="BM73" s="128" t="s">
        <v>325</v>
      </c>
      <c r="BN73" s="128" t="s">
        <v>352</v>
      </c>
      <c r="DA73" s="128">
        <v>0</v>
      </c>
      <c r="DB73" s="128">
        <v>0</v>
      </c>
      <c r="DC73" s="128">
        <v>0</v>
      </c>
      <c r="DD73" s="128">
        <v>0</v>
      </c>
      <c r="DE73" s="128">
        <v>0</v>
      </c>
      <c r="DF73" s="128">
        <v>9</v>
      </c>
      <c r="DG73" s="128">
        <v>21</v>
      </c>
      <c r="DH73" s="128">
        <v>36</v>
      </c>
      <c r="DI73" s="128">
        <v>18</v>
      </c>
      <c r="DJ73" s="128">
        <v>0</v>
      </c>
      <c r="DK73" s="128">
        <v>9</v>
      </c>
      <c r="DL73" s="128">
        <v>21</v>
      </c>
      <c r="DM73" s="128">
        <v>36</v>
      </c>
      <c r="DN73" s="128">
        <v>18</v>
      </c>
      <c r="DO73" s="128">
        <v>0</v>
      </c>
      <c r="DP73" s="128">
        <v>0</v>
      </c>
      <c r="DQ73" s="128">
        <v>84</v>
      </c>
      <c r="DR73" s="128">
        <v>84</v>
      </c>
      <c r="DS73" s="128">
        <v>0</v>
      </c>
      <c r="DT73" s="128">
        <v>0</v>
      </c>
      <c r="DU73" s="128">
        <v>0</v>
      </c>
      <c r="DV73" s="128">
        <v>0</v>
      </c>
      <c r="DW73" s="128">
        <v>0</v>
      </c>
      <c r="DX73" s="128">
        <v>6</v>
      </c>
      <c r="DY73" s="128">
        <v>15</v>
      </c>
      <c r="DZ73" s="128">
        <v>43</v>
      </c>
      <c r="EA73" s="128">
        <v>20</v>
      </c>
      <c r="EB73" s="128">
        <v>0</v>
      </c>
      <c r="EC73" s="128">
        <v>6</v>
      </c>
      <c r="ED73" s="128">
        <v>15</v>
      </c>
      <c r="EE73" s="128">
        <v>43</v>
      </c>
      <c r="EF73" s="128">
        <v>20</v>
      </c>
      <c r="EG73" s="128">
        <v>0</v>
      </c>
      <c r="EH73" s="128">
        <v>0</v>
      </c>
      <c r="EI73" s="128">
        <v>84</v>
      </c>
      <c r="EJ73" s="128">
        <v>84</v>
      </c>
      <c r="EK73" s="128">
        <v>2</v>
      </c>
      <c r="EL73" s="128">
        <v>1.5</v>
      </c>
      <c r="EM73" s="128">
        <v>1.5</v>
      </c>
      <c r="EN73" s="128">
        <v>844200</v>
      </c>
      <c r="EO73" s="128">
        <v>844200</v>
      </c>
      <c r="EP73" s="128">
        <v>21</v>
      </c>
      <c r="EQ73" s="128">
        <v>21</v>
      </c>
      <c r="ER73" s="128">
        <v>21</v>
      </c>
      <c r="ES73" s="128">
        <v>13507200</v>
      </c>
      <c r="ET73" s="128">
        <v>13507200</v>
      </c>
      <c r="EU73" s="128">
        <v>11</v>
      </c>
      <c r="EV73" s="128">
        <v>11</v>
      </c>
      <c r="EW73" s="128">
        <v>11</v>
      </c>
      <c r="EX73" s="128">
        <v>8844000</v>
      </c>
      <c r="EY73" s="128">
        <v>0</v>
      </c>
      <c r="FO73" s="128">
        <v>17</v>
      </c>
      <c r="FP73" s="128">
        <v>17</v>
      </c>
      <c r="FQ73" s="128">
        <v>16</v>
      </c>
      <c r="FR73" s="128">
        <v>9246000</v>
      </c>
      <c r="FS73" s="128">
        <v>9246000</v>
      </c>
      <c r="FZ73" s="128">
        <v>1</v>
      </c>
      <c r="GA73" s="128">
        <v>0.5</v>
      </c>
      <c r="GB73" s="128">
        <v>12</v>
      </c>
      <c r="GC73" s="128">
        <v>0.5</v>
      </c>
      <c r="GD73" s="128">
        <v>192000</v>
      </c>
      <c r="GE73" s="128">
        <v>192000</v>
      </c>
      <c r="IN73" s="128">
        <v>1</v>
      </c>
      <c r="IO73" s="128">
        <v>300</v>
      </c>
      <c r="IP73" s="128">
        <v>0.14299999999999999</v>
      </c>
      <c r="IQ73" s="128">
        <v>45000</v>
      </c>
      <c r="IR73" s="128">
        <v>45000</v>
      </c>
      <c r="JC73" s="128">
        <v>1</v>
      </c>
      <c r="JD73" s="128">
        <v>1</v>
      </c>
      <c r="JE73" s="128">
        <v>0</v>
      </c>
      <c r="JF73" s="128">
        <v>420000</v>
      </c>
      <c r="JG73" s="128">
        <v>420000</v>
      </c>
      <c r="KG73" s="128">
        <v>2</v>
      </c>
      <c r="KH73" s="128">
        <v>120</v>
      </c>
      <c r="KI73" s="128">
        <v>33.5</v>
      </c>
      <c r="KJ73" s="128">
        <v>0.5</v>
      </c>
      <c r="KK73" s="128">
        <v>0.14299999999999999</v>
      </c>
      <c r="KL73" s="128">
        <v>1</v>
      </c>
      <c r="KM73" s="128">
        <v>35.143000000000001</v>
      </c>
      <c r="KN73" s="128">
        <v>32441400</v>
      </c>
      <c r="KO73" s="128">
        <v>23597400</v>
      </c>
      <c r="KP73" s="128">
        <v>23597400</v>
      </c>
      <c r="KT73" s="128">
        <v>192000</v>
      </c>
      <c r="KU73" s="128">
        <v>192000</v>
      </c>
      <c r="KV73" s="128">
        <v>192000</v>
      </c>
      <c r="KZ73" s="128">
        <v>45000</v>
      </c>
      <c r="LA73" s="128">
        <v>45000</v>
      </c>
      <c r="LB73" s="128">
        <v>45000</v>
      </c>
      <c r="LF73" s="128">
        <v>700000</v>
      </c>
      <c r="LG73" s="128">
        <v>700000</v>
      </c>
      <c r="LH73" s="128">
        <v>700000</v>
      </c>
      <c r="LL73" s="128">
        <v>600000</v>
      </c>
      <c r="LM73" s="128">
        <v>0</v>
      </c>
      <c r="LN73" s="128">
        <v>0</v>
      </c>
      <c r="LR73" s="128">
        <v>900000</v>
      </c>
      <c r="LS73" s="128">
        <v>0</v>
      </c>
      <c r="LT73" s="128">
        <v>0</v>
      </c>
      <c r="LX73" s="128">
        <v>4400000</v>
      </c>
      <c r="LY73" s="128">
        <v>0</v>
      </c>
      <c r="LZ73" s="128">
        <v>0</v>
      </c>
      <c r="MD73" s="128">
        <v>200000</v>
      </c>
      <c r="ME73" s="128">
        <v>0</v>
      </c>
      <c r="MF73" s="128">
        <v>0</v>
      </c>
      <c r="MJ73" s="128">
        <v>350000</v>
      </c>
      <c r="MK73" s="128">
        <v>0</v>
      </c>
      <c r="ML73" s="128">
        <v>0</v>
      </c>
      <c r="MP73" s="128">
        <v>150000</v>
      </c>
      <c r="MQ73" s="128">
        <v>0</v>
      </c>
      <c r="MR73" s="128">
        <v>0</v>
      </c>
      <c r="MV73" s="128">
        <v>4200000</v>
      </c>
      <c r="MW73" s="128">
        <v>0</v>
      </c>
      <c r="MX73" s="128">
        <v>0</v>
      </c>
      <c r="NB73" s="128">
        <v>150000</v>
      </c>
      <c r="NC73" s="128">
        <v>0</v>
      </c>
      <c r="ND73" s="128">
        <v>0</v>
      </c>
      <c r="NH73" s="128">
        <v>0</v>
      </c>
      <c r="NI73" s="128">
        <v>0</v>
      </c>
      <c r="NJ73" s="128">
        <v>0</v>
      </c>
      <c r="NN73" s="128">
        <v>100000</v>
      </c>
      <c r="NO73" s="128">
        <v>100000</v>
      </c>
      <c r="NP73" s="128">
        <v>100000</v>
      </c>
      <c r="NT73" s="128">
        <v>50000</v>
      </c>
      <c r="NU73" s="128">
        <v>0</v>
      </c>
      <c r="NV73" s="128">
        <v>0</v>
      </c>
      <c r="NZ73" s="128">
        <v>3500000</v>
      </c>
      <c r="OA73" s="128">
        <v>0</v>
      </c>
      <c r="OB73" s="128">
        <v>0</v>
      </c>
      <c r="OF73" s="128">
        <v>85000</v>
      </c>
      <c r="OG73" s="128">
        <v>0</v>
      </c>
      <c r="OH73" s="128">
        <v>0</v>
      </c>
      <c r="OL73" s="128">
        <v>420000</v>
      </c>
      <c r="OM73" s="128">
        <v>420000</v>
      </c>
      <c r="ON73" s="128">
        <v>420000</v>
      </c>
      <c r="OR73" s="128">
        <v>0</v>
      </c>
      <c r="OS73" s="128">
        <v>0</v>
      </c>
      <c r="OT73" s="128">
        <v>0</v>
      </c>
      <c r="OX73" s="128">
        <v>50000</v>
      </c>
      <c r="OY73" s="128">
        <v>0</v>
      </c>
      <c r="OZ73" s="128">
        <v>0</v>
      </c>
      <c r="PD73" s="128">
        <v>750000</v>
      </c>
      <c r="PE73" s="128">
        <v>0</v>
      </c>
      <c r="PF73" s="128">
        <v>0</v>
      </c>
      <c r="PJ73" s="128">
        <v>350000</v>
      </c>
      <c r="PK73" s="128">
        <v>350000</v>
      </c>
      <c r="PL73" s="128">
        <v>350000</v>
      </c>
      <c r="PP73" s="128">
        <v>49633400</v>
      </c>
      <c r="PQ73" s="128">
        <v>25404400</v>
      </c>
      <c r="PR73" s="128">
        <v>25404400</v>
      </c>
      <c r="PS73" s="128">
        <v>100</v>
      </c>
      <c r="PT73" s="128">
        <v>100</v>
      </c>
      <c r="PV73" s="128">
        <v>21959562</v>
      </c>
      <c r="PX73" s="128">
        <v>25260010</v>
      </c>
      <c r="PY73" s="128">
        <v>11622323</v>
      </c>
      <c r="PZ73" s="128">
        <v>25404400</v>
      </c>
      <c r="QA73" s="128">
        <v>0</v>
      </c>
      <c r="QB73" s="128">
        <v>0</v>
      </c>
      <c r="QC73" s="128">
        <v>0</v>
      </c>
      <c r="QD73" s="128">
        <v>0</v>
      </c>
      <c r="QE73" s="128">
        <v>0</v>
      </c>
      <c r="QF73" s="128">
        <v>0</v>
      </c>
      <c r="QG73" s="128">
        <v>0</v>
      </c>
      <c r="QH73" s="128">
        <v>8500800</v>
      </c>
      <c r="QI73" s="128">
        <v>4829000</v>
      </c>
      <c r="QJ73" s="128">
        <v>19472206</v>
      </c>
      <c r="QK73" s="128">
        <v>15920000</v>
      </c>
      <c r="QL73" s="128">
        <v>16500000</v>
      </c>
      <c r="QN73" s="128">
        <v>3054252</v>
      </c>
      <c r="QO73" s="128">
        <v>2720000</v>
      </c>
      <c r="QP73" s="128">
        <v>2900000</v>
      </c>
      <c r="RH73" s="128">
        <f t="shared" ref="RH73:RH136" si="209">PP73-QL73-QP73</f>
        <v>30233400</v>
      </c>
      <c r="RI73" s="128">
        <v>0</v>
      </c>
      <c r="RM73" s="128" t="s">
        <v>220</v>
      </c>
      <c r="RU73" s="130"/>
      <c r="RV73" s="130"/>
      <c r="RW73" s="130"/>
      <c r="RX73" s="130"/>
      <c r="SF73" s="128">
        <f t="shared" si="119"/>
        <v>9593192</v>
      </c>
      <c r="SG73" s="131">
        <f t="shared" si="120"/>
        <v>49633400</v>
      </c>
      <c r="SH73" s="131">
        <f t="shared" si="121"/>
        <v>49633400</v>
      </c>
      <c r="SI73" s="131">
        <f t="shared" si="122"/>
        <v>33378400</v>
      </c>
      <c r="SJ73" s="132">
        <f t="shared" si="123"/>
        <v>32441400</v>
      </c>
      <c r="SK73" s="132">
        <f t="shared" si="124"/>
        <v>192000</v>
      </c>
      <c r="SL73" s="132">
        <f t="shared" si="125"/>
        <v>45000</v>
      </c>
      <c r="SM73" s="132">
        <f t="shared" si="126"/>
        <v>700000</v>
      </c>
      <c r="SN73" s="131">
        <f t="shared" si="127"/>
        <v>16255000</v>
      </c>
      <c r="SO73" s="131">
        <f t="shared" si="128"/>
        <v>1500000</v>
      </c>
      <c r="SP73" s="132">
        <f t="shared" si="129"/>
        <v>600000</v>
      </c>
      <c r="SQ73" s="132">
        <f t="shared" si="130"/>
        <v>900000</v>
      </c>
      <c r="SR73" s="132">
        <f t="shared" si="131"/>
        <v>4400000</v>
      </c>
      <c r="SS73" s="132">
        <f t="shared" si="132"/>
        <v>200000</v>
      </c>
      <c r="ST73" s="132">
        <f t="shared" si="133"/>
        <v>350000</v>
      </c>
      <c r="SU73" s="132">
        <f t="shared" si="134"/>
        <v>150000</v>
      </c>
      <c r="SV73" s="131">
        <f t="shared" si="135"/>
        <v>8555000</v>
      </c>
      <c r="SW73" s="132">
        <f t="shared" si="136"/>
        <v>4200000</v>
      </c>
      <c r="SX73" s="132">
        <f t="shared" si="137"/>
        <v>150000</v>
      </c>
      <c r="SY73" s="132">
        <f t="shared" si="138"/>
        <v>0</v>
      </c>
      <c r="SZ73" s="132">
        <f t="shared" si="139"/>
        <v>100000</v>
      </c>
      <c r="TA73" s="132">
        <f t="shared" si="140"/>
        <v>50000</v>
      </c>
      <c r="TB73" s="132">
        <f t="shared" si="141"/>
        <v>3500000</v>
      </c>
      <c r="TC73" s="132">
        <f t="shared" si="142"/>
        <v>85000</v>
      </c>
      <c r="TD73" s="132">
        <f t="shared" si="143"/>
        <v>420000</v>
      </c>
      <c r="TE73" s="132">
        <f t="shared" si="144"/>
        <v>0</v>
      </c>
      <c r="TF73" s="132">
        <f t="shared" si="145"/>
        <v>50000</v>
      </c>
      <c r="TG73" s="132">
        <f t="shared" si="146"/>
        <v>750000</v>
      </c>
      <c r="TH73" s="132">
        <f t="shared" si="147"/>
        <v>350000</v>
      </c>
      <c r="TI73" s="1"/>
      <c r="TJ73" s="131">
        <f t="shared" si="148"/>
        <v>25404400</v>
      </c>
      <c r="TK73" s="131">
        <f t="shared" si="149"/>
        <v>25404400</v>
      </c>
      <c r="TL73" s="131">
        <f t="shared" si="150"/>
        <v>24534400</v>
      </c>
      <c r="TM73" s="132">
        <f t="shared" si="151"/>
        <v>23597400</v>
      </c>
      <c r="TN73" s="132">
        <f t="shared" si="152"/>
        <v>192000</v>
      </c>
      <c r="TO73" s="132">
        <f t="shared" si="153"/>
        <v>45000</v>
      </c>
      <c r="TP73" s="132">
        <f t="shared" si="154"/>
        <v>700000</v>
      </c>
      <c r="TQ73" s="131">
        <f t="shared" si="155"/>
        <v>870000</v>
      </c>
      <c r="TR73" s="131">
        <f t="shared" si="156"/>
        <v>0</v>
      </c>
      <c r="TS73" s="132">
        <f t="shared" si="157"/>
        <v>0</v>
      </c>
      <c r="TT73" s="132">
        <f t="shared" si="158"/>
        <v>0</v>
      </c>
      <c r="TU73" s="132">
        <f t="shared" si="159"/>
        <v>0</v>
      </c>
      <c r="TV73" s="132">
        <f t="shared" si="160"/>
        <v>0</v>
      </c>
      <c r="TW73" s="132">
        <f t="shared" si="161"/>
        <v>0</v>
      </c>
      <c r="TX73" s="132">
        <f t="shared" si="162"/>
        <v>0</v>
      </c>
      <c r="TY73" s="131">
        <f t="shared" si="163"/>
        <v>520000</v>
      </c>
      <c r="TZ73" s="132">
        <f t="shared" si="164"/>
        <v>0</v>
      </c>
      <c r="UA73" s="132">
        <f t="shared" si="165"/>
        <v>0</v>
      </c>
      <c r="UB73" s="132">
        <f t="shared" si="166"/>
        <v>0</v>
      </c>
      <c r="UC73" s="132">
        <f t="shared" si="167"/>
        <v>100000</v>
      </c>
      <c r="UD73" s="132">
        <f t="shared" si="168"/>
        <v>0</v>
      </c>
      <c r="UE73" s="132">
        <f t="shared" si="169"/>
        <v>0</v>
      </c>
      <c r="UF73" s="132">
        <f t="shared" si="170"/>
        <v>0</v>
      </c>
      <c r="UG73" s="132">
        <f t="shared" si="171"/>
        <v>420000</v>
      </c>
      <c r="UH73" s="132">
        <f t="shared" si="172"/>
        <v>0</v>
      </c>
      <c r="UI73" s="132">
        <f t="shared" si="173"/>
        <v>0</v>
      </c>
      <c r="UJ73" s="132">
        <f t="shared" si="174"/>
        <v>0</v>
      </c>
      <c r="UK73" s="132">
        <f t="shared" si="175"/>
        <v>350000</v>
      </c>
      <c r="UL73" s="132">
        <f t="shared" ref="UL73:UL136" si="210">PR73</f>
        <v>25404400</v>
      </c>
      <c r="UM73" s="131">
        <f t="shared" si="176"/>
        <v>25404400</v>
      </c>
      <c r="UN73" s="131">
        <f t="shared" si="177"/>
        <v>25404400</v>
      </c>
      <c r="UO73" s="131">
        <f t="shared" si="178"/>
        <v>24534400</v>
      </c>
      <c r="UP73" s="132">
        <f t="shared" si="179"/>
        <v>23597400</v>
      </c>
      <c r="UQ73" s="132">
        <f t="shared" si="180"/>
        <v>192000</v>
      </c>
      <c r="UR73" s="132">
        <f t="shared" si="181"/>
        <v>45000</v>
      </c>
      <c r="US73" s="132">
        <f t="shared" si="182"/>
        <v>700000</v>
      </c>
      <c r="UT73" s="131">
        <f t="shared" si="183"/>
        <v>870000</v>
      </c>
      <c r="UU73" s="131">
        <f t="shared" si="184"/>
        <v>0</v>
      </c>
      <c r="UV73" s="132">
        <f t="shared" si="185"/>
        <v>0</v>
      </c>
      <c r="UW73" s="132">
        <f t="shared" si="186"/>
        <v>0</v>
      </c>
      <c r="UX73" s="132">
        <f t="shared" si="187"/>
        <v>0</v>
      </c>
      <c r="UY73" s="132">
        <f t="shared" si="188"/>
        <v>0</v>
      </c>
      <c r="UZ73" s="132">
        <f t="shared" si="189"/>
        <v>0</v>
      </c>
      <c r="VA73" s="132">
        <f t="shared" si="190"/>
        <v>0</v>
      </c>
      <c r="VB73" s="131">
        <f t="shared" si="191"/>
        <v>520000</v>
      </c>
      <c r="VC73" s="132">
        <f t="shared" si="192"/>
        <v>0</v>
      </c>
      <c r="VD73" s="132">
        <f t="shared" si="193"/>
        <v>0</v>
      </c>
      <c r="VE73" s="132">
        <f t="shared" si="194"/>
        <v>0</v>
      </c>
      <c r="VF73" s="132">
        <f t="shared" si="195"/>
        <v>100000</v>
      </c>
      <c r="VG73" s="132">
        <f t="shared" si="196"/>
        <v>0</v>
      </c>
      <c r="VH73" s="132">
        <f t="shared" si="197"/>
        <v>0</v>
      </c>
      <c r="VI73" s="132">
        <f t="shared" si="198"/>
        <v>0</v>
      </c>
      <c r="VJ73" s="132">
        <f t="shared" si="199"/>
        <v>420000</v>
      </c>
      <c r="VK73" s="132">
        <f t="shared" si="200"/>
        <v>0</v>
      </c>
      <c r="VL73" s="132">
        <f t="shared" si="201"/>
        <v>0</v>
      </c>
      <c r="VM73" s="132">
        <f t="shared" si="202"/>
        <v>0</v>
      </c>
      <c r="VN73" s="132">
        <f t="shared" si="203"/>
        <v>350000</v>
      </c>
      <c r="VP73" s="845" t="str">
        <f>IFERROR(HLOOKUP(F73,'Hodnocení '!$C$1:$JH$5,2,FALSE),0)</f>
        <v>Domov důchodců Tmavý Důl</v>
      </c>
      <c r="VQ73" s="838"/>
      <c r="VR73" s="845" t="str">
        <f t="shared" ref="VR73:VR136" si="211">E73</f>
        <v>Příspěvková organizace zřízená územním samosprávným celkem</v>
      </c>
      <c r="VS73" s="845" t="str">
        <f>IFERROR(HLOOKUP(F73,'Hodnocení '!$C$1:$JH$5,5,FALSE),0)</f>
        <v>PO KHK</v>
      </c>
      <c r="VT73" s="838">
        <f t="shared" ref="VT73:VT136" si="212">IF(VS73="obce",VR73,0)</f>
        <v>0</v>
      </c>
      <c r="VU73" s="838" t="str">
        <f t="shared" ref="VU73:VU136" si="213">IF(VS73="PO KHK",VS73,0)</f>
        <v>PO KHK</v>
      </c>
      <c r="VV73" s="838">
        <f t="shared" ref="VV73:VV136" si="214">QL73</f>
        <v>16500000</v>
      </c>
      <c r="VW73" s="838">
        <f t="shared" ref="VW73:VW136" si="215">QP73</f>
        <v>2900000</v>
      </c>
      <c r="VX73" s="838"/>
      <c r="VY73" s="838">
        <f t="shared" si="114"/>
        <v>0</v>
      </c>
      <c r="VZ73" s="838">
        <f t="shared" si="115"/>
        <v>25404400</v>
      </c>
      <c r="WA73" s="846">
        <f>IFERROR(HLOOKUP($F73,'Hodnocení '!$C$1:$JH$9,9,FALSE),0)</f>
        <v>25404400</v>
      </c>
      <c r="WB73" s="846">
        <f>IF(IFERROR(HLOOKUP($F73,'Hodnocení '!$C$1:$JH$13,13,FALSE),0)&gt;WA73,WA73,IFERROR(HLOOKUP($F73,'Hodnocení '!$C$1:$JH$13,13,FALSE),0))</f>
        <v>17198633.588044822</v>
      </c>
      <c r="WC73" s="846">
        <f>IFERROR(HLOOKUP($F73,'Hodnocení '!$C$1:$JH$155,155,FALSE),0)</f>
        <v>12847830</v>
      </c>
      <c r="WD73" s="845"/>
      <c r="WE73" s="845"/>
      <c r="WF73" s="845" t="str">
        <f t="shared" si="204"/>
        <v>ANO</v>
      </c>
      <c r="WG73" s="849" t="str">
        <f t="shared" si="117"/>
        <v>Podpora služby je vyjádřena zařazením do sítě sociálních služeb v KHK a řešením financování služby</v>
      </c>
      <c r="WH73"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73" s="849" t="str">
        <f t="shared" si="117"/>
        <v>Návrh dotace je výsledkem projednání s ostatními zadavateli v rámci sítě služeb KHK</v>
      </c>
      <c r="WJ73" s="849" t="str">
        <f t="shared" si="117"/>
        <v>Bez komentáře</v>
      </c>
      <c r="WK73" s="31">
        <f t="shared" si="205"/>
        <v>0</v>
      </c>
      <c r="WL73" s="850" t="str">
        <f t="shared" si="206"/>
        <v>Případná úprava příspěvku zřizovatele bude řešena v návaznosti na vývoj služby</v>
      </c>
      <c r="WM73" s="849" t="str">
        <f t="shared" si="207"/>
        <v>V rámci sítě KHK se dlouhodobě řeší otázka navyšování úhrad a průběžně se monitoruje s vazbou na vykrytí vyrovnávací platby</v>
      </c>
      <c r="WN73" s="849" t="str">
        <f t="shared" si="208"/>
        <v>Otázka výběru od zdravotních pojišťoven je předmětem procesu, který probíhá ve formě jednání se ZP a organizacemi</v>
      </c>
      <c r="WO73" s="849" t="str">
        <f t="shared" si="118"/>
        <v>bez komentáře</v>
      </c>
      <c r="WP73" s="849" t="str">
        <f t="shared" si="118"/>
        <v>bez komentáře</v>
      </c>
      <c r="WQ73" s="849" t="str">
        <f t="shared" si="118"/>
        <v>Konečná výše dotace z rozpočtu KHK bude řešena v návaznosti na řešení podílů jednotlivých zadavatelů.</v>
      </c>
      <c r="WR73" s="849" t="str">
        <f t="shared" si="118"/>
        <v>Konečná výše podpory ze stran obcí bude řešena v součinnosti s jednotlivými zadavateli v průběhu roku.</v>
      </c>
      <c r="WS73" s="849" t="str">
        <f t="shared" si="118"/>
        <v>bez komentáře</v>
      </c>
      <c r="WT73" s="849" t="str">
        <f t="shared" si="118"/>
        <v>bez komentáře</v>
      </c>
      <c r="WU73" s="845"/>
    </row>
    <row r="74" spans="1:619" s="128" customFormat="1" x14ac:dyDescent="0.25">
      <c r="A74" s="128" t="str">
        <f>VLOOKUP(F74,'Výpočet VP 2020'!$D$324:$I$588,6,FALSE)</f>
        <v>Je v síti</v>
      </c>
      <c r="B74" s="128" t="s">
        <v>485</v>
      </c>
      <c r="C74" s="128">
        <v>70188653</v>
      </c>
      <c r="D74" s="128" t="s">
        <v>486</v>
      </c>
      <c r="E74" s="128" t="s">
        <v>259</v>
      </c>
      <c r="F74" s="128">
        <v>4382500</v>
      </c>
      <c r="G74" s="128" t="s">
        <v>267</v>
      </c>
      <c r="H74" s="128" t="s">
        <v>218</v>
      </c>
      <c r="I74" s="128" t="s">
        <v>485</v>
      </c>
      <c r="J74" s="129">
        <v>42370</v>
      </c>
      <c r="L74" s="128" t="s">
        <v>220</v>
      </c>
      <c r="M74" s="128" t="s">
        <v>487</v>
      </c>
      <c r="N74" s="128">
        <v>8</v>
      </c>
      <c r="P74" s="128">
        <v>4</v>
      </c>
      <c r="Q74" s="128">
        <v>8</v>
      </c>
      <c r="R74" s="128">
        <v>8</v>
      </c>
      <c r="BL74" s="128" t="s">
        <v>443</v>
      </c>
      <c r="BM74" s="128" t="s">
        <v>304</v>
      </c>
      <c r="BN74" s="128" t="s">
        <v>364</v>
      </c>
      <c r="DA74" s="128">
        <v>0</v>
      </c>
      <c r="DB74" s="128">
        <v>0</v>
      </c>
      <c r="DC74" s="128">
        <v>0</v>
      </c>
      <c r="DD74" s="128">
        <v>0</v>
      </c>
      <c r="DE74" s="128">
        <v>0</v>
      </c>
      <c r="DF74" s="128">
        <v>4</v>
      </c>
      <c r="DG74" s="128">
        <v>3</v>
      </c>
      <c r="DH74" s="128">
        <v>0</v>
      </c>
      <c r="DI74" s="128">
        <v>0</v>
      </c>
      <c r="DJ74" s="128">
        <v>1</v>
      </c>
      <c r="DK74" s="128">
        <v>4</v>
      </c>
      <c r="DL74" s="128">
        <v>3</v>
      </c>
      <c r="DM74" s="128">
        <v>0</v>
      </c>
      <c r="DN74" s="128">
        <v>0</v>
      </c>
      <c r="DO74" s="128">
        <v>1</v>
      </c>
      <c r="DP74" s="128">
        <v>0</v>
      </c>
      <c r="DQ74" s="128">
        <v>8</v>
      </c>
      <c r="DR74" s="128">
        <v>8</v>
      </c>
      <c r="DS74" s="128">
        <v>0</v>
      </c>
      <c r="DT74" s="128">
        <v>0</v>
      </c>
      <c r="DU74" s="128">
        <v>0</v>
      </c>
      <c r="DV74" s="128">
        <v>0</v>
      </c>
      <c r="DW74" s="128">
        <v>0</v>
      </c>
      <c r="DX74" s="128">
        <v>4</v>
      </c>
      <c r="DY74" s="128">
        <v>3</v>
      </c>
      <c r="DZ74" s="128">
        <v>0</v>
      </c>
      <c r="EA74" s="128">
        <v>0</v>
      </c>
      <c r="EB74" s="128">
        <v>1</v>
      </c>
      <c r="EC74" s="128">
        <v>4</v>
      </c>
      <c r="ED74" s="128">
        <v>3</v>
      </c>
      <c r="EE74" s="128">
        <v>0</v>
      </c>
      <c r="EF74" s="128">
        <v>0</v>
      </c>
      <c r="EG74" s="128">
        <v>1</v>
      </c>
      <c r="EH74" s="128">
        <v>0</v>
      </c>
      <c r="EI74" s="128">
        <v>8</v>
      </c>
      <c r="EJ74" s="128">
        <v>8</v>
      </c>
      <c r="EK74" s="128">
        <v>1</v>
      </c>
      <c r="EL74" s="128">
        <v>0.1</v>
      </c>
      <c r="EM74" s="128">
        <v>0.6</v>
      </c>
      <c r="EN74" s="128">
        <v>305394</v>
      </c>
      <c r="EO74" s="128">
        <v>284316</v>
      </c>
      <c r="EP74" s="128">
        <v>6</v>
      </c>
      <c r="EQ74" s="128">
        <v>3.4</v>
      </c>
      <c r="ER74" s="128">
        <v>2.2999999999999998</v>
      </c>
      <c r="ES74" s="128">
        <v>1170679</v>
      </c>
      <c r="ET74" s="128">
        <v>986543</v>
      </c>
      <c r="FO74" s="128">
        <v>5</v>
      </c>
      <c r="FP74" s="128">
        <v>0.5</v>
      </c>
      <c r="FQ74" s="128">
        <v>0.54800000000000004</v>
      </c>
      <c r="FR74" s="128">
        <v>278927</v>
      </c>
      <c r="FS74" s="128">
        <v>100984</v>
      </c>
      <c r="IH74" s="128">
        <v>2</v>
      </c>
      <c r="II74" s="128">
        <v>0.04</v>
      </c>
      <c r="IJ74" s="128">
        <v>24</v>
      </c>
      <c r="IK74" s="128">
        <v>0.04</v>
      </c>
      <c r="IL74" s="128">
        <v>172800</v>
      </c>
      <c r="IM74" s="128">
        <v>0</v>
      </c>
      <c r="KG74" s="128">
        <v>0</v>
      </c>
      <c r="KI74" s="128">
        <v>3.5</v>
      </c>
      <c r="KJ74" s="128">
        <v>0</v>
      </c>
      <c r="KK74" s="128">
        <v>0</v>
      </c>
      <c r="KL74" s="128">
        <v>0</v>
      </c>
      <c r="KM74" s="128">
        <v>3.5</v>
      </c>
      <c r="KN74" s="128">
        <v>1755000</v>
      </c>
      <c r="KO74" s="128">
        <v>1371843</v>
      </c>
      <c r="KP74" s="128">
        <v>1371843</v>
      </c>
      <c r="KT74" s="128">
        <v>172800</v>
      </c>
      <c r="KU74" s="128">
        <v>0</v>
      </c>
      <c r="KV74" s="128">
        <v>0</v>
      </c>
      <c r="KZ74" s="128">
        <v>0</v>
      </c>
      <c r="LA74" s="128">
        <v>0</v>
      </c>
      <c r="LB74" s="128">
        <v>0</v>
      </c>
      <c r="LF74" s="128">
        <v>46194</v>
      </c>
      <c r="LG74" s="128">
        <v>0</v>
      </c>
      <c r="LH74" s="128">
        <v>0</v>
      </c>
      <c r="LL74" s="128">
        <v>0</v>
      </c>
      <c r="LM74" s="128">
        <v>0</v>
      </c>
      <c r="LN74" s="128">
        <v>0</v>
      </c>
      <c r="LR74" s="128">
        <v>27225</v>
      </c>
      <c r="LS74" s="128">
        <v>13310</v>
      </c>
      <c r="LT74" s="128">
        <v>13310</v>
      </c>
      <c r="LX74" s="128">
        <v>153000</v>
      </c>
      <c r="LY74" s="128">
        <v>0</v>
      </c>
      <c r="LZ74" s="128">
        <v>0</v>
      </c>
      <c r="MD74" s="128">
        <v>4538</v>
      </c>
      <c r="ME74" s="128">
        <v>0</v>
      </c>
      <c r="MF74" s="128">
        <v>0</v>
      </c>
      <c r="MJ74" s="128">
        <v>4537</v>
      </c>
      <c r="MK74" s="128">
        <v>0</v>
      </c>
      <c r="ML74" s="128">
        <v>0</v>
      </c>
      <c r="MP74" s="128">
        <v>81675</v>
      </c>
      <c r="MQ74" s="128">
        <v>53240</v>
      </c>
      <c r="MR74" s="128">
        <v>53240</v>
      </c>
      <c r="MV74" s="128">
        <v>181500</v>
      </c>
      <c r="MW74" s="128">
        <v>0</v>
      </c>
      <c r="MX74" s="128">
        <v>0</v>
      </c>
      <c r="NB74" s="128">
        <v>13613</v>
      </c>
      <c r="NC74" s="128">
        <v>0</v>
      </c>
      <c r="ND74" s="128">
        <v>0</v>
      </c>
      <c r="NH74" s="128">
        <v>361000</v>
      </c>
      <c r="NI74" s="128">
        <v>0</v>
      </c>
      <c r="NJ74" s="128">
        <v>0</v>
      </c>
      <c r="NN74" s="128">
        <v>11344</v>
      </c>
      <c r="NO74" s="128">
        <v>0</v>
      </c>
      <c r="NP74" s="128">
        <v>0</v>
      </c>
      <c r="NT74" s="128">
        <v>4536</v>
      </c>
      <c r="NU74" s="128">
        <v>0</v>
      </c>
      <c r="NV74" s="128">
        <v>0</v>
      </c>
      <c r="NZ74" s="128">
        <v>13613</v>
      </c>
      <c r="OA74" s="128">
        <v>0</v>
      </c>
      <c r="OB74" s="128">
        <v>0</v>
      </c>
      <c r="OF74" s="128">
        <v>0</v>
      </c>
      <c r="OG74" s="128">
        <v>0</v>
      </c>
      <c r="OH74" s="128">
        <v>0</v>
      </c>
      <c r="OL74" s="128">
        <v>0</v>
      </c>
      <c r="OM74" s="128">
        <v>0</v>
      </c>
      <c r="ON74" s="128">
        <v>0</v>
      </c>
      <c r="OR74" s="128">
        <v>0</v>
      </c>
      <c r="OS74" s="128">
        <v>0</v>
      </c>
      <c r="OT74" s="128">
        <v>0</v>
      </c>
      <c r="OX74" s="128">
        <v>226875</v>
      </c>
      <c r="OY74" s="128">
        <v>133407</v>
      </c>
      <c r="OZ74" s="128">
        <v>133407</v>
      </c>
      <c r="PD74" s="128">
        <v>0</v>
      </c>
      <c r="PE74" s="128">
        <v>0</v>
      </c>
      <c r="PF74" s="128">
        <v>0</v>
      </c>
      <c r="PJ74" s="128">
        <v>0</v>
      </c>
      <c r="PK74" s="128">
        <v>0</v>
      </c>
      <c r="PL74" s="128">
        <v>0</v>
      </c>
      <c r="PP74" s="128">
        <v>3057450</v>
      </c>
      <c r="PQ74" s="128">
        <v>1571800</v>
      </c>
      <c r="PR74" s="128">
        <v>1571800</v>
      </c>
      <c r="PS74" s="128">
        <v>100</v>
      </c>
      <c r="PT74" s="128">
        <v>100</v>
      </c>
      <c r="PX74" s="128">
        <v>598170</v>
      </c>
      <c r="PY74" s="128">
        <v>907690</v>
      </c>
      <c r="PZ74" s="128">
        <v>1571800</v>
      </c>
      <c r="QA74" s="128">
        <v>0</v>
      </c>
      <c r="QB74" s="128">
        <v>0</v>
      </c>
      <c r="QC74" s="128">
        <v>0</v>
      </c>
      <c r="QD74" s="128">
        <v>0</v>
      </c>
      <c r="QE74" s="128">
        <v>0</v>
      </c>
      <c r="QF74" s="128">
        <v>0</v>
      </c>
      <c r="QG74" s="128">
        <v>433318</v>
      </c>
      <c r="QH74" s="128">
        <v>1106000</v>
      </c>
      <c r="QI74" s="128">
        <v>665650</v>
      </c>
      <c r="QJ74" s="128">
        <v>369214</v>
      </c>
      <c r="QK74" s="128">
        <v>804000</v>
      </c>
      <c r="QL74" s="128">
        <v>820000</v>
      </c>
      <c r="QN74" s="128">
        <v>0</v>
      </c>
      <c r="QO74" s="128">
        <v>0</v>
      </c>
      <c r="QP74" s="128">
        <v>0</v>
      </c>
      <c r="RH74" s="128">
        <f t="shared" si="209"/>
        <v>2237450</v>
      </c>
      <c r="RI74" s="128">
        <v>0</v>
      </c>
      <c r="RM74" s="128" t="s">
        <v>220</v>
      </c>
      <c r="RU74" s="130"/>
      <c r="RV74" s="130"/>
      <c r="RW74" s="130"/>
      <c r="RX74" s="130"/>
      <c r="SF74" s="128">
        <f t="shared" si="119"/>
        <v>4382500</v>
      </c>
      <c r="SG74" s="131">
        <f t="shared" si="120"/>
        <v>3057450</v>
      </c>
      <c r="SH74" s="131">
        <f t="shared" si="121"/>
        <v>3057450</v>
      </c>
      <c r="SI74" s="131">
        <f t="shared" si="122"/>
        <v>1973994</v>
      </c>
      <c r="SJ74" s="132">
        <f t="shared" si="123"/>
        <v>1755000</v>
      </c>
      <c r="SK74" s="132">
        <f t="shared" si="124"/>
        <v>172800</v>
      </c>
      <c r="SL74" s="132">
        <f t="shared" si="125"/>
        <v>0</v>
      </c>
      <c r="SM74" s="132">
        <f t="shared" si="126"/>
        <v>46194</v>
      </c>
      <c r="SN74" s="131">
        <f t="shared" si="127"/>
        <v>1083456</v>
      </c>
      <c r="SO74" s="131">
        <f t="shared" si="128"/>
        <v>27225</v>
      </c>
      <c r="SP74" s="132">
        <f t="shared" si="129"/>
        <v>0</v>
      </c>
      <c r="SQ74" s="132">
        <f t="shared" si="130"/>
        <v>27225</v>
      </c>
      <c r="SR74" s="132">
        <f t="shared" si="131"/>
        <v>153000</v>
      </c>
      <c r="SS74" s="132">
        <f t="shared" si="132"/>
        <v>4538</v>
      </c>
      <c r="ST74" s="132">
        <f t="shared" si="133"/>
        <v>4537</v>
      </c>
      <c r="SU74" s="132">
        <f t="shared" si="134"/>
        <v>81675</v>
      </c>
      <c r="SV74" s="131">
        <f t="shared" si="135"/>
        <v>812481</v>
      </c>
      <c r="SW74" s="132">
        <f t="shared" si="136"/>
        <v>181500</v>
      </c>
      <c r="SX74" s="132">
        <f t="shared" si="137"/>
        <v>13613</v>
      </c>
      <c r="SY74" s="132">
        <f t="shared" si="138"/>
        <v>361000</v>
      </c>
      <c r="SZ74" s="132">
        <f t="shared" si="139"/>
        <v>11344</v>
      </c>
      <c r="TA74" s="132">
        <f t="shared" si="140"/>
        <v>4536</v>
      </c>
      <c r="TB74" s="132">
        <f t="shared" si="141"/>
        <v>13613</v>
      </c>
      <c r="TC74" s="132">
        <f t="shared" si="142"/>
        <v>0</v>
      </c>
      <c r="TD74" s="132">
        <f t="shared" si="143"/>
        <v>0</v>
      </c>
      <c r="TE74" s="132">
        <f t="shared" si="144"/>
        <v>0</v>
      </c>
      <c r="TF74" s="132">
        <f t="shared" si="145"/>
        <v>226875</v>
      </c>
      <c r="TG74" s="132">
        <f t="shared" si="146"/>
        <v>0</v>
      </c>
      <c r="TH74" s="132">
        <f t="shared" si="147"/>
        <v>0</v>
      </c>
      <c r="TI74" s="1"/>
      <c r="TJ74" s="131">
        <f t="shared" si="148"/>
        <v>1571800</v>
      </c>
      <c r="TK74" s="131">
        <f t="shared" si="149"/>
        <v>1571800</v>
      </c>
      <c r="TL74" s="131">
        <f t="shared" si="150"/>
        <v>1371843</v>
      </c>
      <c r="TM74" s="132">
        <f t="shared" si="151"/>
        <v>1371843</v>
      </c>
      <c r="TN74" s="132">
        <f t="shared" si="152"/>
        <v>0</v>
      </c>
      <c r="TO74" s="132">
        <f t="shared" si="153"/>
        <v>0</v>
      </c>
      <c r="TP74" s="132">
        <f t="shared" si="154"/>
        <v>0</v>
      </c>
      <c r="TQ74" s="131">
        <f t="shared" si="155"/>
        <v>199957</v>
      </c>
      <c r="TR74" s="131">
        <f t="shared" si="156"/>
        <v>13310</v>
      </c>
      <c r="TS74" s="132">
        <f t="shared" si="157"/>
        <v>0</v>
      </c>
      <c r="TT74" s="132">
        <f t="shared" si="158"/>
        <v>13310</v>
      </c>
      <c r="TU74" s="132">
        <f t="shared" si="159"/>
        <v>0</v>
      </c>
      <c r="TV74" s="132">
        <f t="shared" si="160"/>
        <v>0</v>
      </c>
      <c r="TW74" s="132">
        <f t="shared" si="161"/>
        <v>0</v>
      </c>
      <c r="TX74" s="132">
        <f t="shared" si="162"/>
        <v>53240</v>
      </c>
      <c r="TY74" s="131">
        <f t="shared" si="163"/>
        <v>133407</v>
      </c>
      <c r="TZ74" s="132">
        <f t="shared" si="164"/>
        <v>0</v>
      </c>
      <c r="UA74" s="132">
        <f t="shared" si="165"/>
        <v>0</v>
      </c>
      <c r="UB74" s="132">
        <f t="shared" si="166"/>
        <v>0</v>
      </c>
      <c r="UC74" s="132">
        <f t="shared" si="167"/>
        <v>0</v>
      </c>
      <c r="UD74" s="132">
        <f t="shared" si="168"/>
        <v>0</v>
      </c>
      <c r="UE74" s="132">
        <f t="shared" si="169"/>
        <v>0</v>
      </c>
      <c r="UF74" s="132">
        <f t="shared" si="170"/>
        <v>0</v>
      </c>
      <c r="UG74" s="132">
        <f t="shared" si="171"/>
        <v>0</v>
      </c>
      <c r="UH74" s="132">
        <f t="shared" si="172"/>
        <v>0</v>
      </c>
      <c r="UI74" s="132">
        <f t="shared" si="173"/>
        <v>133407</v>
      </c>
      <c r="UJ74" s="132">
        <f t="shared" si="174"/>
        <v>0</v>
      </c>
      <c r="UK74" s="132">
        <f t="shared" si="175"/>
        <v>0</v>
      </c>
      <c r="UL74" s="132">
        <f t="shared" si="210"/>
        <v>1571800</v>
      </c>
      <c r="UM74" s="131">
        <f t="shared" si="176"/>
        <v>1571800</v>
      </c>
      <c r="UN74" s="131">
        <f t="shared" si="177"/>
        <v>1571800</v>
      </c>
      <c r="UO74" s="131">
        <f t="shared" si="178"/>
        <v>1371843</v>
      </c>
      <c r="UP74" s="132">
        <f t="shared" si="179"/>
        <v>1371843</v>
      </c>
      <c r="UQ74" s="132">
        <f t="shared" si="180"/>
        <v>0</v>
      </c>
      <c r="UR74" s="132">
        <f t="shared" si="181"/>
        <v>0</v>
      </c>
      <c r="US74" s="132">
        <f t="shared" si="182"/>
        <v>0</v>
      </c>
      <c r="UT74" s="131">
        <f t="shared" si="183"/>
        <v>199957</v>
      </c>
      <c r="UU74" s="131">
        <f t="shared" si="184"/>
        <v>13310</v>
      </c>
      <c r="UV74" s="132">
        <f t="shared" si="185"/>
        <v>0</v>
      </c>
      <c r="UW74" s="132">
        <f t="shared" si="186"/>
        <v>13310</v>
      </c>
      <c r="UX74" s="132">
        <f t="shared" si="187"/>
        <v>0</v>
      </c>
      <c r="UY74" s="132">
        <f t="shared" si="188"/>
        <v>0</v>
      </c>
      <c r="UZ74" s="132">
        <f t="shared" si="189"/>
        <v>0</v>
      </c>
      <c r="VA74" s="132">
        <f t="shared" si="190"/>
        <v>53240</v>
      </c>
      <c r="VB74" s="131">
        <f t="shared" si="191"/>
        <v>133407</v>
      </c>
      <c r="VC74" s="132">
        <f t="shared" si="192"/>
        <v>0</v>
      </c>
      <c r="VD74" s="132">
        <f t="shared" si="193"/>
        <v>0</v>
      </c>
      <c r="VE74" s="132">
        <f t="shared" si="194"/>
        <v>0</v>
      </c>
      <c r="VF74" s="132">
        <f t="shared" si="195"/>
        <v>0</v>
      </c>
      <c r="VG74" s="132">
        <f t="shared" si="196"/>
        <v>0</v>
      </c>
      <c r="VH74" s="132">
        <f t="shared" si="197"/>
        <v>0</v>
      </c>
      <c r="VI74" s="132">
        <f t="shared" si="198"/>
        <v>0</v>
      </c>
      <c r="VJ74" s="132">
        <f t="shared" si="199"/>
        <v>0</v>
      </c>
      <c r="VK74" s="132">
        <f t="shared" si="200"/>
        <v>0</v>
      </c>
      <c r="VL74" s="132">
        <f t="shared" si="201"/>
        <v>133407</v>
      </c>
      <c r="VM74" s="132">
        <f t="shared" si="202"/>
        <v>0</v>
      </c>
      <c r="VN74" s="132">
        <f t="shared" si="203"/>
        <v>0</v>
      </c>
      <c r="VP74" s="845" t="str">
        <f>IFERROR(HLOOKUP(F74,'Hodnocení '!$C$1:$JH$5,2,FALSE),0)</f>
        <v>DOMOV NA STŘÍBRNÉM VRCHU</v>
      </c>
      <c r="VQ74" s="838"/>
      <c r="VR74" s="845" t="str">
        <f t="shared" si="211"/>
        <v>Příspěvková organizace zřízená územním samosprávným celkem</v>
      </c>
      <c r="VS74" s="845" t="str">
        <f>IFERROR(HLOOKUP(F74,'Hodnocení '!$C$1:$JH$5,5,FALSE),0)</f>
        <v>PO KHK</v>
      </c>
      <c r="VT74" s="838">
        <f t="shared" si="212"/>
        <v>0</v>
      </c>
      <c r="VU74" s="838" t="str">
        <f t="shared" si="213"/>
        <v>PO KHK</v>
      </c>
      <c r="VV74" s="838">
        <f t="shared" si="214"/>
        <v>820000</v>
      </c>
      <c r="VW74" s="838">
        <f t="shared" si="215"/>
        <v>0</v>
      </c>
      <c r="VX74" s="838"/>
      <c r="VY74" s="838">
        <f t="shared" si="114"/>
        <v>0</v>
      </c>
      <c r="VZ74" s="838">
        <f t="shared" si="115"/>
        <v>1571800</v>
      </c>
      <c r="WA74" s="846">
        <f>IFERROR(HLOOKUP($F74,'Hodnocení '!$C$1:$JH$9,9,FALSE),0)</f>
        <v>1571800</v>
      </c>
      <c r="WB74" s="846">
        <f>IF(IFERROR(HLOOKUP($F74,'Hodnocení '!$C$1:$JH$13,13,FALSE),0)&gt;WA74,WA74,IFERROR(HLOOKUP($F74,'Hodnocení '!$C$1:$JH$13,13,FALSE),0))</f>
        <v>1571800</v>
      </c>
      <c r="WC74" s="846">
        <f>IFERROR(HLOOKUP($F74,'Hodnocení '!$C$1:$JH$155,155,FALSE),0)</f>
        <v>1090180</v>
      </c>
      <c r="WD74" s="845"/>
      <c r="WE74" s="845"/>
      <c r="WF74" s="845" t="str">
        <f t="shared" si="204"/>
        <v>ANO</v>
      </c>
      <c r="WG74" s="849" t="str">
        <f t="shared" si="117"/>
        <v>Podpora služby je vyjádřena zařazením do sítě sociálních služeb v KHK a řešením financování služby</v>
      </c>
      <c r="WH74"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74" s="849" t="str">
        <f t="shared" si="117"/>
        <v>Návrh dotace je výsledkem projednání s ostatními zadavateli v rámci sítě služeb KHK</v>
      </c>
      <c r="WJ74" s="849" t="str">
        <f t="shared" si="117"/>
        <v>Bez komentáře</v>
      </c>
      <c r="WK74" s="31">
        <f t="shared" si="205"/>
        <v>0</v>
      </c>
      <c r="WL74" s="850" t="str">
        <f t="shared" si="206"/>
        <v>Případná úprava příspěvku zřizovatele bude řešena v návaznosti na vývoj služby</v>
      </c>
      <c r="WM74" s="849" t="str">
        <f t="shared" si="207"/>
        <v>V rámci sítě KHK se dlouhodobě řeší otázka navyšování úhrad a průběžně se monitoruje s vazbou na vykrytí vyrovnávací platby</v>
      </c>
      <c r="WN74" s="849">
        <f t="shared" si="208"/>
        <v>0</v>
      </c>
      <c r="WO74" s="849" t="str">
        <f t="shared" si="118"/>
        <v>bez komentáře</v>
      </c>
      <c r="WP74" s="849" t="str">
        <f t="shared" si="118"/>
        <v>bez komentáře</v>
      </c>
      <c r="WQ74" s="849" t="str">
        <f t="shared" si="118"/>
        <v>Konečná výše dotace z rozpočtu KHK bude řešena v návaznosti na řešení podílů jednotlivých zadavatelů.</v>
      </c>
      <c r="WR74" s="849" t="str">
        <f t="shared" si="118"/>
        <v>Konečná výše podpory ze stran obcí bude řešena v součinnosti s jednotlivými zadavateli v průběhu roku.</v>
      </c>
      <c r="WS74" s="849" t="str">
        <f t="shared" si="118"/>
        <v>bez komentáře</v>
      </c>
      <c r="WT74" s="849" t="str">
        <f t="shared" si="118"/>
        <v>bez komentáře</v>
      </c>
      <c r="WU74" s="845"/>
    </row>
    <row r="75" spans="1:619" s="128" customFormat="1" x14ac:dyDescent="0.25">
      <c r="A75" s="128" t="str">
        <f>VLOOKUP(F75,'Výpočet VP 2020'!$D$324:$I$588,6,FALSE)</f>
        <v>Je v síti</v>
      </c>
      <c r="B75" s="128" t="s">
        <v>485</v>
      </c>
      <c r="C75" s="128">
        <v>70188653</v>
      </c>
      <c r="D75" s="128" t="s">
        <v>486</v>
      </c>
      <c r="E75" s="128" t="s">
        <v>259</v>
      </c>
      <c r="F75" s="128">
        <v>5220717</v>
      </c>
      <c r="G75" s="128" t="s">
        <v>392</v>
      </c>
      <c r="H75" s="128" t="s">
        <v>218</v>
      </c>
      <c r="I75" s="128" t="s">
        <v>485</v>
      </c>
      <c r="J75" s="129">
        <v>39814</v>
      </c>
      <c r="L75" s="128" t="s">
        <v>220</v>
      </c>
      <c r="M75" s="128" t="s">
        <v>488</v>
      </c>
      <c r="N75" s="128">
        <v>40</v>
      </c>
      <c r="P75" s="128">
        <v>40</v>
      </c>
      <c r="Q75" s="128">
        <v>40</v>
      </c>
      <c r="R75" s="128">
        <v>40</v>
      </c>
      <c r="BL75" s="128" t="s">
        <v>443</v>
      </c>
      <c r="BM75" s="128" t="s">
        <v>304</v>
      </c>
      <c r="BN75" s="128" t="s">
        <v>364</v>
      </c>
      <c r="DA75" s="128">
        <v>0</v>
      </c>
      <c r="DB75" s="128">
        <v>0</v>
      </c>
      <c r="DC75" s="128">
        <v>0</v>
      </c>
      <c r="DD75" s="128">
        <v>0</v>
      </c>
      <c r="DE75" s="128">
        <v>0</v>
      </c>
      <c r="DF75" s="128">
        <v>8</v>
      </c>
      <c r="DG75" s="128">
        <v>16</v>
      </c>
      <c r="DH75" s="128">
        <v>10</v>
      </c>
      <c r="DI75" s="128">
        <v>2</v>
      </c>
      <c r="DJ75" s="128">
        <v>0</v>
      </c>
      <c r="DK75" s="128">
        <v>8</v>
      </c>
      <c r="DL75" s="128">
        <v>16</v>
      </c>
      <c r="DM75" s="128">
        <v>10</v>
      </c>
      <c r="DN75" s="128">
        <v>2</v>
      </c>
      <c r="DO75" s="128">
        <v>0</v>
      </c>
      <c r="DP75" s="128">
        <v>0</v>
      </c>
      <c r="DQ75" s="128">
        <v>36</v>
      </c>
      <c r="DR75" s="128">
        <v>36</v>
      </c>
      <c r="DS75" s="128">
        <v>0</v>
      </c>
      <c r="DT75" s="128">
        <v>0</v>
      </c>
      <c r="DU75" s="128">
        <v>0</v>
      </c>
      <c r="DV75" s="128">
        <v>0</v>
      </c>
      <c r="DW75" s="128">
        <v>0</v>
      </c>
      <c r="DX75" s="128">
        <v>10</v>
      </c>
      <c r="DY75" s="128">
        <v>18</v>
      </c>
      <c r="DZ75" s="128">
        <v>10</v>
      </c>
      <c r="EA75" s="128">
        <v>2</v>
      </c>
      <c r="EB75" s="128">
        <v>0</v>
      </c>
      <c r="EC75" s="128">
        <v>10</v>
      </c>
      <c r="ED75" s="128">
        <v>18</v>
      </c>
      <c r="EE75" s="128">
        <v>10</v>
      </c>
      <c r="EF75" s="128">
        <v>2</v>
      </c>
      <c r="EG75" s="128">
        <v>0</v>
      </c>
      <c r="EH75" s="128">
        <v>0</v>
      </c>
      <c r="EI75" s="128">
        <v>40</v>
      </c>
      <c r="EJ75" s="128">
        <v>40</v>
      </c>
      <c r="EK75" s="128">
        <v>2</v>
      </c>
      <c r="EL75" s="128">
        <v>1.1000000000000001</v>
      </c>
      <c r="EM75" s="128">
        <v>1.131</v>
      </c>
      <c r="EN75" s="128">
        <v>670648</v>
      </c>
      <c r="EO75" s="128">
        <v>536518</v>
      </c>
      <c r="EP75" s="128">
        <v>29</v>
      </c>
      <c r="EQ75" s="128">
        <v>26.14</v>
      </c>
      <c r="ER75" s="128">
        <v>26.44</v>
      </c>
      <c r="ES75" s="128">
        <v>15937018</v>
      </c>
      <c r="ET75" s="128">
        <v>12749614</v>
      </c>
      <c r="EU75" s="128">
        <v>10</v>
      </c>
      <c r="EV75" s="128">
        <v>6.18</v>
      </c>
      <c r="EW75" s="128">
        <v>4.6959999999999997</v>
      </c>
      <c r="EX75" s="128">
        <v>3767818</v>
      </c>
      <c r="EY75" s="128">
        <v>0</v>
      </c>
      <c r="FO75" s="128">
        <v>13</v>
      </c>
      <c r="FP75" s="128">
        <v>10.38</v>
      </c>
      <c r="FQ75" s="128">
        <v>11.093999999999999</v>
      </c>
      <c r="FR75" s="128">
        <v>6328472</v>
      </c>
      <c r="FS75" s="128">
        <v>4721357</v>
      </c>
      <c r="IH75" s="128">
        <v>2</v>
      </c>
      <c r="II75" s="128">
        <v>0.38</v>
      </c>
      <c r="IJ75" s="128">
        <v>24</v>
      </c>
      <c r="IK75" s="128">
        <v>0.38</v>
      </c>
      <c r="IL75" s="128">
        <v>345600</v>
      </c>
      <c r="IM75" s="128">
        <v>0</v>
      </c>
      <c r="IN75" s="128">
        <v>4</v>
      </c>
      <c r="IO75" s="128">
        <v>1044</v>
      </c>
      <c r="IP75" s="128">
        <v>0.498</v>
      </c>
      <c r="IQ75" s="128">
        <v>159210</v>
      </c>
      <c r="IR75" s="128">
        <v>0</v>
      </c>
      <c r="IS75" s="128">
        <v>5</v>
      </c>
      <c r="IT75" s="128">
        <v>1044</v>
      </c>
      <c r="IU75" s="128">
        <v>0.498</v>
      </c>
      <c r="IV75" s="128">
        <v>262740</v>
      </c>
      <c r="IW75" s="128">
        <v>0</v>
      </c>
      <c r="KG75" s="128">
        <v>0</v>
      </c>
      <c r="KI75" s="128">
        <v>33.42</v>
      </c>
      <c r="KJ75" s="128">
        <v>0</v>
      </c>
      <c r="KK75" s="128">
        <v>0.498</v>
      </c>
      <c r="KL75" s="128">
        <v>0</v>
      </c>
      <c r="KM75" s="128">
        <v>33.917999999999999</v>
      </c>
      <c r="KN75" s="128">
        <v>26703956</v>
      </c>
      <c r="KO75" s="128">
        <v>18007489</v>
      </c>
      <c r="KP75" s="128">
        <v>18007489</v>
      </c>
      <c r="KT75" s="128">
        <v>345600</v>
      </c>
      <c r="KU75" s="128">
        <v>0</v>
      </c>
      <c r="KV75" s="128">
        <v>0</v>
      </c>
      <c r="KZ75" s="128">
        <v>421950</v>
      </c>
      <c r="LA75" s="128">
        <v>0</v>
      </c>
      <c r="LB75" s="128">
        <v>0</v>
      </c>
      <c r="LF75" s="128">
        <v>498000</v>
      </c>
      <c r="LG75" s="128">
        <v>0</v>
      </c>
      <c r="LH75" s="128">
        <v>0</v>
      </c>
      <c r="LL75" s="128">
        <v>34381</v>
      </c>
      <c r="LM75" s="128">
        <v>25410</v>
      </c>
      <c r="LN75" s="128">
        <v>25410</v>
      </c>
      <c r="LR75" s="128">
        <v>287149</v>
      </c>
      <c r="LS75" s="128">
        <v>209330</v>
      </c>
      <c r="LT75" s="128">
        <v>209330</v>
      </c>
      <c r="LX75" s="128">
        <v>2182331</v>
      </c>
      <c r="LY75" s="128">
        <v>0</v>
      </c>
      <c r="LZ75" s="128">
        <v>0</v>
      </c>
      <c r="MD75" s="128">
        <v>114860</v>
      </c>
      <c r="ME75" s="128">
        <v>83490</v>
      </c>
      <c r="MF75" s="128">
        <v>83490</v>
      </c>
      <c r="MJ75" s="128">
        <v>91812</v>
      </c>
      <c r="MK75" s="128">
        <v>66550</v>
      </c>
      <c r="ML75" s="128">
        <v>66550</v>
      </c>
      <c r="MP75" s="128">
        <v>861447</v>
      </c>
      <c r="MQ75" s="128">
        <v>630300</v>
      </c>
      <c r="MR75" s="128">
        <v>630300</v>
      </c>
      <c r="MV75" s="128">
        <v>3675506</v>
      </c>
      <c r="MW75" s="128">
        <v>2650830</v>
      </c>
      <c r="MX75" s="128">
        <v>2650830</v>
      </c>
      <c r="NB75" s="128">
        <v>68891</v>
      </c>
      <c r="NC75" s="128">
        <v>50820</v>
      </c>
      <c r="ND75" s="128">
        <v>50820</v>
      </c>
      <c r="NH75" s="128">
        <v>0</v>
      </c>
      <c r="NI75" s="128">
        <v>0</v>
      </c>
      <c r="NJ75" s="128">
        <v>0</v>
      </c>
      <c r="NN75" s="128">
        <v>354651</v>
      </c>
      <c r="NO75" s="128">
        <v>274670</v>
      </c>
      <c r="NP75" s="128">
        <v>274670</v>
      </c>
      <c r="NT75" s="128">
        <v>49126</v>
      </c>
      <c r="NU75" s="128">
        <v>0</v>
      </c>
      <c r="NV75" s="128">
        <v>0</v>
      </c>
      <c r="NZ75" s="128">
        <v>229719</v>
      </c>
      <c r="OA75" s="128">
        <v>168190</v>
      </c>
      <c r="OB75" s="128">
        <v>168190</v>
      </c>
      <c r="OF75" s="128">
        <v>34381</v>
      </c>
      <c r="OG75" s="128">
        <v>0</v>
      </c>
      <c r="OH75" s="128">
        <v>0</v>
      </c>
      <c r="OL75" s="128">
        <v>0</v>
      </c>
      <c r="OM75" s="128">
        <v>0</v>
      </c>
      <c r="ON75" s="128">
        <v>0</v>
      </c>
      <c r="OR75" s="128">
        <v>0</v>
      </c>
      <c r="OS75" s="128">
        <v>0</v>
      </c>
      <c r="OT75" s="128">
        <v>0</v>
      </c>
      <c r="OX75" s="128">
        <v>1006243</v>
      </c>
      <c r="OY75" s="128">
        <v>713900</v>
      </c>
      <c r="OZ75" s="128">
        <v>713900</v>
      </c>
      <c r="PD75" s="128">
        <v>1732500</v>
      </c>
      <c r="PE75" s="128">
        <v>0</v>
      </c>
      <c r="PF75" s="128">
        <v>0</v>
      </c>
      <c r="PJ75" s="128">
        <v>0</v>
      </c>
      <c r="PK75" s="128">
        <v>0</v>
      </c>
      <c r="PL75" s="128">
        <v>0</v>
      </c>
      <c r="PP75" s="128">
        <v>38692503</v>
      </c>
      <c r="PQ75" s="128">
        <v>22880979</v>
      </c>
      <c r="PR75" s="128">
        <v>22880979</v>
      </c>
      <c r="PS75" s="128">
        <v>100</v>
      </c>
      <c r="PT75" s="128">
        <v>100</v>
      </c>
      <c r="PV75" s="128">
        <v>12876843</v>
      </c>
      <c r="PX75" s="128">
        <v>13648697</v>
      </c>
      <c r="PY75" s="128">
        <v>13910117</v>
      </c>
      <c r="PZ75" s="128">
        <v>22880979</v>
      </c>
      <c r="QA75" s="128">
        <v>0</v>
      </c>
      <c r="QB75" s="128">
        <v>0</v>
      </c>
      <c r="QC75" s="128">
        <v>0</v>
      </c>
      <c r="QD75" s="128">
        <v>0</v>
      </c>
      <c r="QE75" s="128">
        <v>0</v>
      </c>
      <c r="QF75" s="128">
        <v>0</v>
      </c>
      <c r="QG75" s="128">
        <v>6704285</v>
      </c>
      <c r="QH75" s="128">
        <v>7221000</v>
      </c>
      <c r="QI75" s="128">
        <v>7811524</v>
      </c>
      <c r="QJ75" s="128">
        <v>6836105</v>
      </c>
      <c r="QK75" s="128">
        <v>6978000</v>
      </c>
      <c r="QL75" s="128">
        <v>7100000</v>
      </c>
      <c r="QN75" s="128">
        <v>899284</v>
      </c>
      <c r="QO75" s="128">
        <v>888000</v>
      </c>
      <c r="QP75" s="128">
        <v>900000</v>
      </c>
      <c r="RH75" s="128">
        <f t="shared" si="209"/>
        <v>30692503</v>
      </c>
      <c r="RI75" s="128">
        <v>0</v>
      </c>
      <c r="RM75" s="128" t="s">
        <v>220</v>
      </c>
      <c r="RU75" s="130"/>
      <c r="RV75" s="130"/>
      <c r="RW75" s="130"/>
      <c r="RX75" s="130"/>
      <c r="SF75" s="128">
        <f t="shared" si="119"/>
        <v>5220717</v>
      </c>
      <c r="SG75" s="131">
        <f t="shared" si="120"/>
        <v>38692503</v>
      </c>
      <c r="SH75" s="131">
        <f t="shared" si="121"/>
        <v>38692503</v>
      </c>
      <c r="SI75" s="131">
        <f t="shared" si="122"/>
        <v>27969506</v>
      </c>
      <c r="SJ75" s="132">
        <f t="shared" si="123"/>
        <v>26703956</v>
      </c>
      <c r="SK75" s="132">
        <f t="shared" si="124"/>
        <v>345600</v>
      </c>
      <c r="SL75" s="132">
        <f t="shared" si="125"/>
        <v>421950</v>
      </c>
      <c r="SM75" s="132">
        <f t="shared" si="126"/>
        <v>498000</v>
      </c>
      <c r="SN75" s="131">
        <f t="shared" si="127"/>
        <v>10722997</v>
      </c>
      <c r="SO75" s="131">
        <f t="shared" si="128"/>
        <v>321530</v>
      </c>
      <c r="SP75" s="132">
        <f t="shared" si="129"/>
        <v>34381</v>
      </c>
      <c r="SQ75" s="132">
        <f t="shared" si="130"/>
        <v>287149</v>
      </c>
      <c r="SR75" s="132">
        <f t="shared" si="131"/>
        <v>2182331</v>
      </c>
      <c r="SS75" s="132">
        <f t="shared" si="132"/>
        <v>114860</v>
      </c>
      <c r="ST75" s="132">
        <f t="shared" si="133"/>
        <v>91812</v>
      </c>
      <c r="SU75" s="132">
        <f t="shared" si="134"/>
        <v>861447</v>
      </c>
      <c r="SV75" s="131">
        <f t="shared" si="135"/>
        <v>5418517</v>
      </c>
      <c r="SW75" s="132">
        <f t="shared" si="136"/>
        <v>3675506</v>
      </c>
      <c r="SX75" s="132">
        <f t="shared" si="137"/>
        <v>68891</v>
      </c>
      <c r="SY75" s="132">
        <f t="shared" si="138"/>
        <v>0</v>
      </c>
      <c r="SZ75" s="132">
        <f t="shared" si="139"/>
        <v>354651</v>
      </c>
      <c r="TA75" s="132">
        <f t="shared" si="140"/>
        <v>49126</v>
      </c>
      <c r="TB75" s="132">
        <f t="shared" si="141"/>
        <v>229719</v>
      </c>
      <c r="TC75" s="132">
        <f t="shared" si="142"/>
        <v>34381</v>
      </c>
      <c r="TD75" s="132">
        <f t="shared" si="143"/>
        <v>0</v>
      </c>
      <c r="TE75" s="132">
        <f t="shared" si="144"/>
        <v>0</v>
      </c>
      <c r="TF75" s="132">
        <f t="shared" si="145"/>
        <v>1006243</v>
      </c>
      <c r="TG75" s="132">
        <f t="shared" si="146"/>
        <v>1732500</v>
      </c>
      <c r="TH75" s="132">
        <f t="shared" si="147"/>
        <v>0</v>
      </c>
      <c r="TI75" s="1"/>
      <c r="TJ75" s="131">
        <f t="shared" si="148"/>
        <v>22880979</v>
      </c>
      <c r="TK75" s="131">
        <f t="shared" si="149"/>
        <v>22880979</v>
      </c>
      <c r="TL75" s="131">
        <f t="shared" si="150"/>
        <v>18007489</v>
      </c>
      <c r="TM75" s="132">
        <f t="shared" si="151"/>
        <v>18007489</v>
      </c>
      <c r="TN75" s="132">
        <f t="shared" si="152"/>
        <v>0</v>
      </c>
      <c r="TO75" s="132">
        <f t="shared" si="153"/>
        <v>0</v>
      </c>
      <c r="TP75" s="132">
        <f t="shared" si="154"/>
        <v>0</v>
      </c>
      <c r="TQ75" s="131">
        <f t="shared" si="155"/>
        <v>4873490</v>
      </c>
      <c r="TR75" s="131">
        <f t="shared" si="156"/>
        <v>234740</v>
      </c>
      <c r="TS75" s="132">
        <f t="shared" si="157"/>
        <v>25410</v>
      </c>
      <c r="TT75" s="132">
        <f t="shared" si="158"/>
        <v>209330</v>
      </c>
      <c r="TU75" s="132">
        <f t="shared" si="159"/>
        <v>0</v>
      </c>
      <c r="TV75" s="132">
        <f t="shared" si="160"/>
        <v>83490</v>
      </c>
      <c r="TW75" s="132">
        <f t="shared" si="161"/>
        <v>66550</v>
      </c>
      <c r="TX75" s="132">
        <f t="shared" si="162"/>
        <v>630300</v>
      </c>
      <c r="TY75" s="131">
        <f t="shared" si="163"/>
        <v>3858410</v>
      </c>
      <c r="TZ75" s="132">
        <f t="shared" si="164"/>
        <v>2650830</v>
      </c>
      <c r="UA75" s="132">
        <f t="shared" si="165"/>
        <v>50820</v>
      </c>
      <c r="UB75" s="132">
        <f t="shared" si="166"/>
        <v>0</v>
      </c>
      <c r="UC75" s="132">
        <f t="shared" si="167"/>
        <v>274670</v>
      </c>
      <c r="UD75" s="132">
        <f t="shared" si="168"/>
        <v>0</v>
      </c>
      <c r="UE75" s="132">
        <f t="shared" si="169"/>
        <v>168190</v>
      </c>
      <c r="UF75" s="132">
        <f t="shared" si="170"/>
        <v>0</v>
      </c>
      <c r="UG75" s="132">
        <f t="shared" si="171"/>
        <v>0</v>
      </c>
      <c r="UH75" s="132">
        <f t="shared" si="172"/>
        <v>0</v>
      </c>
      <c r="UI75" s="132">
        <f t="shared" si="173"/>
        <v>713900</v>
      </c>
      <c r="UJ75" s="132">
        <f t="shared" si="174"/>
        <v>0</v>
      </c>
      <c r="UK75" s="132">
        <f t="shared" si="175"/>
        <v>0</v>
      </c>
      <c r="UL75" s="132">
        <f t="shared" si="210"/>
        <v>22880979</v>
      </c>
      <c r="UM75" s="131">
        <f t="shared" si="176"/>
        <v>22880979</v>
      </c>
      <c r="UN75" s="131">
        <f t="shared" si="177"/>
        <v>22880979</v>
      </c>
      <c r="UO75" s="131">
        <f t="shared" si="178"/>
        <v>18007489</v>
      </c>
      <c r="UP75" s="132">
        <f t="shared" si="179"/>
        <v>18007489</v>
      </c>
      <c r="UQ75" s="132">
        <f t="shared" si="180"/>
        <v>0</v>
      </c>
      <c r="UR75" s="132">
        <f t="shared" si="181"/>
        <v>0</v>
      </c>
      <c r="US75" s="132">
        <f t="shared" si="182"/>
        <v>0</v>
      </c>
      <c r="UT75" s="131">
        <f t="shared" si="183"/>
        <v>4873490</v>
      </c>
      <c r="UU75" s="131">
        <f t="shared" si="184"/>
        <v>234740</v>
      </c>
      <c r="UV75" s="132">
        <f t="shared" si="185"/>
        <v>25410</v>
      </c>
      <c r="UW75" s="132">
        <f t="shared" si="186"/>
        <v>209330</v>
      </c>
      <c r="UX75" s="132">
        <f t="shared" si="187"/>
        <v>0</v>
      </c>
      <c r="UY75" s="132">
        <f t="shared" si="188"/>
        <v>83490</v>
      </c>
      <c r="UZ75" s="132">
        <f t="shared" si="189"/>
        <v>66550</v>
      </c>
      <c r="VA75" s="132">
        <f t="shared" si="190"/>
        <v>630300</v>
      </c>
      <c r="VB75" s="131">
        <f t="shared" si="191"/>
        <v>3858410</v>
      </c>
      <c r="VC75" s="132">
        <f t="shared" si="192"/>
        <v>2650830</v>
      </c>
      <c r="VD75" s="132">
        <f t="shared" si="193"/>
        <v>50820</v>
      </c>
      <c r="VE75" s="132">
        <f t="shared" si="194"/>
        <v>0</v>
      </c>
      <c r="VF75" s="132">
        <f t="shared" si="195"/>
        <v>274670</v>
      </c>
      <c r="VG75" s="132">
        <f t="shared" si="196"/>
        <v>0</v>
      </c>
      <c r="VH75" s="132">
        <f t="shared" si="197"/>
        <v>168190</v>
      </c>
      <c r="VI75" s="132">
        <f t="shared" si="198"/>
        <v>0</v>
      </c>
      <c r="VJ75" s="132">
        <f t="shared" si="199"/>
        <v>0</v>
      </c>
      <c r="VK75" s="132">
        <f t="shared" si="200"/>
        <v>0</v>
      </c>
      <c r="VL75" s="132">
        <f t="shared" si="201"/>
        <v>713900</v>
      </c>
      <c r="VM75" s="132">
        <f t="shared" si="202"/>
        <v>0</v>
      </c>
      <c r="VN75" s="132">
        <f t="shared" si="203"/>
        <v>0</v>
      </c>
      <c r="VP75" s="845" t="str">
        <f>IFERROR(HLOOKUP(F75,'Hodnocení '!$C$1:$JH$5,2,FALSE),0)</f>
        <v>DOMOV NA STŘÍBRNÉM VRCHU</v>
      </c>
      <c r="VQ75" s="838"/>
      <c r="VR75" s="845" t="str">
        <f t="shared" si="211"/>
        <v>Příspěvková organizace zřízená územním samosprávným celkem</v>
      </c>
      <c r="VS75" s="845" t="str">
        <f>IFERROR(HLOOKUP(F75,'Hodnocení '!$C$1:$JH$5,5,FALSE),0)</f>
        <v>PO KHK</v>
      </c>
      <c r="VT75" s="838">
        <f t="shared" si="212"/>
        <v>0</v>
      </c>
      <c r="VU75" s="838" t="str">
        <f t="shared" si="213"/>
        <v>PO KHK</v>
      </c>
      <c r="VV75" s="838">
        <f t="shared" si="214"/>
        <v>7100000</v>
      </c>
      <c r="VW75" s="838">
        <f t="shared" si="215"/>
        <v>900000</v>
      </c>
      <c r="VX75" s="838"/>
      <c r="VY75" s="838">
        <f t="shared" si="114"/>
        <v>0</v>
      </c>
      <c r="VZ75" s="838">
        <f t="shared" si="115"/>
        <v>22880979</v>
      </c>
      <c r="WA75" s="846">
        <f>IFERROR(HLOOKUP($F75,'Hodnocení '!$C$1:$JH$9,9,FALSE),0)</f>
        <v>22880979</v>
      </c>
      <c r="WB75" s="846">
        <f>IF(IFERROR(HLOOKUP($F75,'Hodnocení '!$C$1:$JH$13,13,FALSE),0)&gt;WA75,WA75,IFERROR(HLOOKUP($F75,'Hodnocení '!$C$1:$JH$13,13,FALSE),0))</f>
        <v>19813983.129812181</v>
      </c>
      <c r="WC75" s="846">
        <f>IFERROR(HLOOKUP($F75,'Hodnocení '!$C$1:$JH$155,155,FALSE),0)</f>
        <v>15058470</v>
      </c>
      <c r="WD75" s="845"/>
      <c r="WE75" s="845"/>
      <c r="WF75" s="845" t="str">
        <f t="shared" si="204"/>
        <v>ANO</v>
      </c>
      <c r="WG75" s="849" t="str">
        <f t="shared" si="117"/>
        <v>Podpora služby je vyjádřena zařazením do sítě sociálních služeb v KHK a řešením financování služby</v>
      </c>
      <c r="WH75"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75" s="849" t="str">
        <f t="shared" si="117"/>
        <v>Návrh dotace je výsledkem projednání s ostatními zadavateli v rámci sítě služeb KHK</v>
      </c>
      <c r="WJ75" s="849" t="str">
        <f t="shared" si="117"/>
        <v>Bez komentáře</v>
      </c>
      <c r="WK75" s="31">
        <f t="shared" si="205"/>
        <v>0</v>
      </c>
      <c r="WL75" s="850" t="str">
        <f t="shared" si="206"/>
        <v>Případná úprava příspěvku zřizovatele bude řešena v návaznosti na vývoj služby</v>
      </c>
      <c r="WM75" s="849" t="str">
        <f t="shared" si="207"/>
        <v>V rámci sítě KHK se dlouhodobě řeší otázka navyšování úhrad a průběžně se monitoruje s vazbou na vykrytí vyrovnávací platby</v>
      </c>
      <c r="WN75" s="849" t="str">
        <f t="shared" si="208"/>
        <v>Otázka výběru od zdravotních pojišťoven je předmětem procesu, který probíhá ve formě jednání se ZP a organizacemi</v>
      </c>
      <c r="WO75" s="849" t="str">
        <f t="shared" si="118"/>
        <v>bez komentáře</v>
      </c>
      <c r="WP75" s="849" t="str">
        <f t="shared" si="118"/>
        <v>bez komentáře</v>
      </c>
      <c r="WQ75" s="849" t="str">
        <f t="shared" si="118"/>
        <v>Konečná výše dotace z rozpočtu KHK bude řešena v návaznosti na řešení podílů jednotlivých zadavatelů.</v>
      </c>
      <c r="WR75" s="849" t="str">
        <f t="shared" si="118"/>
        <v>Konečná výše podpory ze stran obcí bude řešena v součinnosti s jednotlivými zadavateli v průběhu roku.</v>
      </c>
      <c r="WS75" s="849" t="str">
        <f t="shared" si="118"/>
        <v>bez komentáře</v>
      </c>
      <c r="WT75" s="849" t="str">
        <f t="shared" si="118"/>
        <v>bez komentáře</v>
      </c>
      <c r="WU75" s="845"/>
    </row>
    <row r="76" spans="1:619" s="128" customFormat="1" x14ac:dyDescent="0.25">
      <c r="A76" s="128" t="str">
        <f>VLOOKUP(F76,'Výpočet VP 2020'!$D$324:$I$588,6,FALSE)</f>
        <v>Je v síti</v>
      </c>
      <c r="B76" s="128" t="s">
        <v>485</v>
      </c>
      <c r="C76" s="128">
        <v>70188653</v>
      </c>
      <c r="D76" s="128" t="s">
        <v>486</v>
      </c>
      <c r="E76" s="128" t="s">
        <v>259</v>
      </c>
      <c r="F76" s="128">
        <v>7384495</v>
      </c>
      <c r="G76" s="128" t="s">
        <v>235</v>
      </c>
      <c r="H76" s="128" t="s">
        <v>230</v>
      </c>
      <c r="I76" s="128" t="s">
        <v>485</v>
      </c>
      <c r="J76" s="129">
        <v>42370</v>
      </c>
      <c r="L76" s="128" t="s">
        <v>220</v>
      </c>
      <c r="X76" s="128" t="s">
        <v>489</v>
      </c>
      <c r="Z76" s="128">
        <v>15</v>
      </c>
      <c r="AA76" s="128">
        <v>21</v>
      </c>
      <c r="AB76" s="128">
        <v>17</v>
      </c>
      <c r="AC76" s="128">
        <v>21</v>
      </c>
      <c r="AD76" s="128">
        <v>21</v>
      </c>
      <c r="BL76" s="128" t="s">
        <v>443</v>
      </c>
      <c r="BM76" s="128" t="s">
        <v>304</v>
      </c>
      <c r="BN76" s="128" t="s">
        <v>490</v>
      </c>
      <c r="EK76" s="128">
        <v>3</v>
      </c>
      <c r="EL76" s="128">
        <v>1.6</v>
      </c>
      <c r="EM76" s="128">
        <v>0.6</v>
      </c>
      <c r="EN76" s="128">
        <v>657935</v>
      </c>
      <c r="EO76" s="128">
        <v>0</v>
      </c>
      <c r="EP76" s="128">
        <v>5</v>
      </c>
      <c r="EQ76" s="128">
        <v>3.7</v>
      </c>
      <c r="ER76" s="128">
        <v>3.7</v>
      </c>
      <c r="ES76" s="128">
        <v>1521474</v>
      </c>
      <c r="ET76" s="128">
        <v>0</v>
      </c>
      <c r="FO76" s="128">
        <v>5</v>
      </c>
      <c r="FP76" s="128">
        <v>0.5</v>
      </c>
      <c r="FQ76" s="128">
        <v>0.5</v>
      </c>
      <c r="FR76" s="128">
        <v>205605</v>
      </c>
      <c r="FS76" s="128">
        <v>118428</v>
      </c>
      <c r="IH76" s="128">
        <v>2</v>
      </c>
      <c r="II76" s="128">
        <v>0.04</v>
      </c>
      <c r="IJ76" s="128">
        <v>24</v>
      </c>
      <c r="IK76" s="128">
        <v>0.04</v>
      </c>
      <c r="IL76" s="128">
        <v>172800</v>
      </c>
      <c r="IM76" s="128">
        <v>0</v>
      </c>
      <c r="KG76" s="128">
        <v>0</v>
      </c>
      <c r="KI76" s="128">
        <v>5.3</v>
      </c>
      <c r="KJ76" s="128">
        <v>0</v>
      </c>
      <c r="KK76" s="128">
        <v>0</v>
      </c>
      <c r="KL76" s="128">
        <v>0</v>
      </c>
      <c r="KM76" s="128">
        <v>5.3</v>
      </c>
      <c r="KN76" s="128">
        <v>2385014</v>
      </c>
      <c r="KO76" s="128">
        <v>118428</v>
      </c>
      <c r="KP76" s="128">
        <v>118428</v>
      </c>
      <c r="KT76" s="128">
        <v>172800</v>
      </c>
      <c r="KU76" s="128">
        <v>0</v>
      </c>
      <c r="KV76" s="128">
        <v>0</v>
      </c>
      <c r="KZ76" s="128">
        <v>0</v>
      </c>
      <c r="LA76" s="128">
        <v>0</v>
      </c>
      <c r="LB76" s="128">
        <v>0</v>
      </c>
      <c r="LF76" s="128">
        <v>55597</v>
      </c>
      <c r="LG76" s="128">
        <v>0</v>
      </c>
      <c r="LH76" s="128">
        <v>0</v>
      </c>
      <c r="LL76" s="128">
        <v>0</v>
      </c>
      <c r="LM76" s="128">
        <v>0</v>
      </c>
      <c r="LN76" s="128">
        <v>0</v>
      </c>
      <c r="LR76" s="128">
        <v>79279</v>
      </c>
      <c r="LS76" s="128">
        <v>66550</v>
      </c>
      <c r="LT76" s="128">
        <v>66550</v>
      </c>
      <c r="LX76" s="128">
        <v>0</v>
      </c>
      <c r="LY76" s="128">
        <v>0</v>
      </c>
      <c r="LZ76" s="128">
        <v>0</v>
      </c>
      <c r="MD76" s="128">
        <v>3176</v>
      </c>
      <c r="ME76" s="128">
        <v>0</v>
      </c>
      <c r="MF76" s="128">
        <v>0</v>
      </c>
      <c r="MJ76" s="128">
        <v>3176</v>
      </c>
      <c r="MK76" s="128">
        <v>0</v>
      </c>
      <c r="ML76" s="128">
        <v>0</v>
      </c>
      <c r="MP76" s="128">
        <v>97346</v>
      </c>
      <c r="MQ76" s="128">
        <v>82522</v>
      </c>
      <c r="MR76" s="128">
        <v>82522</v>
      </c>
      <c r="MV76" s="128">
        <v>204551</v>
      </c>
      <c r="MW76" s="128">
        <v>199650</v>
      </c>
      <c r="MX76" s="128">
        <v>199650</v>
      </c>
      <c r="NB76" s="128">
        <v>4383</v>
      </c>
      <c r="NC76" s="128">
        <v>0</v>
      </c>
      <c r="ND76" s="128">
        <v>0</v>
      </c>
      <c r="NH76" s="128">
        <v>146108</v>
      </c>
      <c r="NI76" s="128">
        <v>0</v>
      </c>
      <c r="NJ76" s="128">
        <v>0</v>
      </c>
      <c r="NN76" s="128">
        <v>14611</v>
      </c>
      <c r="NO76" s="128">
        <v>9317</v>
      </c>
      <c r="NP76" s="128">
        <v>9317</v>
      </c>
      <c r="NT76" s="128">
        <v>5844</v>
      </c>
      <c r="NU76" s="128">
        <v>0</v>
      </c>
      <c r="NV76" s="128">
        <v>0</v>
      </c>
      <c r="NZ76" s="128">
        <v>1461</v>
      </c>
      <c r="OA76" s="128">
        <v>0</v>
      </c>
      <c r="OB76" s="128">
        <v>0</v>
      </c>
      <c r="OF76" s="128">
        <v>1461</v>
      </c>
      <c r="OG76" s="128">
        <v>0</v>
      </c>
      <c r="OH76" s="128">
        <v>0</v>
      </c>
      <c r="OL76" s="128">
        <v>0</v>
      </c>
      <c r="OM76" s="128">
        <v>0</v>
      </c>
      <c r="ON76" s="128">
        <v>0</v>
      </c>
      <c r="OR76" s="128">
        <v>0</v>
      </c>
      <c r="OS76" s="128">
        <v>0</v>
      </c>
      <c r="OT76" s="128">
        <v>0</v>
      </c>
      <c r="OX76" s="128">
        <v>146108</v>
      </c>
      <c r="OY76" s="128">
        <v>133100</v>
      </c>
      <c r="OZ76" s="128">
        <v>133100</v>
      </c>
      <c r="PD76" s="128">
        <v>0</v>
      </c>
      <c r="PE76" s="128">
        <v>0</v>
      </c>
      <c r="PF76" s="128">
        <v>0</v>
      </c>
      <c r="PJ76" s="128">
        <v>0</v>
      </c>
      <c r="PK76" s="128">
        <v>0</v>
      </c>
      <c r="PL76" s="128">
        <v>0</v>
      </c>
      <c r="PP76" s="128">
        <v>3320915</v>
      </c>
      <c r="PQ76" s="128">
        <v>609567</v>
      </c>
      <c r="PR76" s="128">
        <v>609567</v>
      </c>
      <c r="PS76" s="128">
        <v>100</v>
      </c>
      <c r="PT76" s="128">
        <v>100</v>
      </c>
      <c r="PX76" s="128">
        <v>624140</v>
      </c>
      <c r="PY76" s="128">
        <v>0</v>
      </c>
      <c r="PZ76" s="128">
        <v>609567</v>
      </c>
      <c r="QA76" s="128">
        <v>0</v>
      </c>
      <c r="QB76" s="128">
        <v>0</v>
      </c>
      <c r="QC76" s="128">
        <v>0</v>
      </c>
      <c r="QD76" s="128">
        <v>0</v>
      </c>
      <c r="QE76" s="128">
        <v>0</v>
      </c>
      <c r="QF76" s="128">
        <v>0</v>
      </c>
      <c r="QG76" s="128">
        <v>983742</v>
      </c>
      <c r="QH76" s="128">
        <v>601000</v>
      </c>
      <c r="QI76" s="128">
        <v>199388</v>
      </c>
      <c r="QJ76" s="128">
        <v>0</v>
      </c>
      <c r="QK76" s="128">
        <v>0</v>
      </c>
      <c r="QL76" s="128">
        <v>0</v>
      </c>
      <c r="QN76" s="128">
        <v>0</v>
      </c>
      <c r="QO76" s="128">
        <v>0</v>
      </c>
      <c r="QP76" s="128">
        <v>0</v>
      </c>
      <c r="QU76" s="128">
        <v>0</v>
      </c>
      <c r="QV76" s="128">
        <v>2393172</v>
      </c>
      <c r="QW76" s="128">
        <v>2511960</v>
      </c>
      <c r="RH76" s="128">
        <f t="shared" si="209"/>
        <v>3320915</v>
      </c>
      <c r="RI76" s="128">
        <v>0</v>
      </c>
      <c r="RM76" s="128" t="s">
        <v>220</v>
      </c>
      <c r="RU76" s="130"/>
      <c r="RV76" s="130"/>
      <c r="RW76" s="130"/>
      <c r="RX76" s="130"/>
      <c r="SF76" s="128">
        <f t="shared" si="119"/>
        <v>7384495</v>
      </c>
      <c r="SG76" s="131">
        <f t="shared" si="120"/>
        <v>3320915</v>
      </c>
      <c r="SH76" s="131">
        <f t="shared" si="121"/>
        <v>3320915</v>
      </c>
      <c r="SI76" s="131">
        <f t="shared" si="122"/>
        <v>2613411</v>
      </c>
      <c r="SJ76" s="132">
        <f t="shared" si="123"/>
        <v>2385014</v>
      </c>
      <c r="SK76" s="132">
        <f t="shared" si="124"/>
        <v>172800</v>
      </c>
      <c r="SL76" s="132">
        <f t="shared" si="125"/>
        <v>0</v>
      </c>
      <c r="SM76" s="132">
        <f t="shared" si="126"/>
        <v>55597</v>
      </c>
      <c r="SN76" s="131">
        <f t="shared" si="127"/>
        <v>707504</v>
      </c>
      <c r="SO76" s="131">
        <f t="shared" si="128"/>
        <v>79279</v>
      </c>
      <c r="SP76" s="132">
        <f t="shared" si="129"/>
        <v>0</v>
      </c>
      <c r="SQ76" s="132">
        <f t="shared" si="130"/>
        <v>79279</v>
      </c>
      <c r="SR76" s="132">
        <f t="shared" si="131"/>
        <v>0</v>
      </c>
      <c r="SS76" s="132">
        <f t="shared" si="132"/>
        <v>3176</v>
      </c>
      <c r="ST76" s="132">
        <f t="shared" si="133"/>
        <v>3176</v>
      </c>
      <c r="SU76" s="132">
        <f t="shared" si="134"/>
        <v>97346</v>
      </c>
      <c r="SV76" s="131">
        <f t="shared" si="135"/>
        <v>524527</v>
      </c>
      <c r="SW76" s="132">
        <f t="shared" si="136"/>
        <v>204551</v>
      </c>
      <c r="SX76" s="132">
        <f t="shared" si="137"/>
        <v>4383</v>
      </c>
      <c r="SY76" s="132">
        <f t="shared" si="138"/>
        <v>146108</v>
      </c>
      <c r="SZ76" s="132">
        <f t="shared" si="139"/>
        <v>14611</v>
      </c>
      <c r="TA76" s="132">
        <f t="shared" si="140"/>
        <v>5844</v>
      </c>
      <c r="TB76" s="132">
        <f t="shared" si="141"/>
        <v>1461</v>
      </c>
      <c r="TC76" s="132">
        <f t="shared" si="142"/>
        <v>1461</v>
      </c>
      <c r="TD76" s="132">
        <f t="shared" si="143"/>
        <v>0</v>
      </c>
      <c r="TE76" s="132">
        <f t="shared" si="144"/>
        <v>0</v>
      </c>
      <c r="TF76" s="132">
        <f t="shared" si="145"/>
        <v>146108</v>
      </c>
      <c r="TG76" s="132">
        <f t="shared" si="146"/>
        <v>0</v>
      </c>
      <c r="TH76" s="132">
        <f t="shared" si="147"/>
        <v>0</v>
      </c>
      <c r="TI76" s="1"/>
      <c r="TJ76" s="131">
        <f t="shared" si="148"/>
        <v>609567</v>
      </c>
      <c r="TK76" s="131">
        <f t="shared" si="149"/>
        <v>609567</v>
      </c>
      <c r="TL76" s="131">
        <f t="shared" si="150"/>
        <v>118428</v>
      </c>
      <c r="TM76" s="132">
        <f t="shared" si="151"/>
        <v>118428</v>
      </c>
      <c r="TN76" s="132">
        <f t="shared" si="152"/>
        <v>0</v>
      </c>
      <c r="TO76" s="132">
        <f t="shared" si="153"/>
        <v>0</v>
      </c>
      <c r="TP76" s="132">
        <f t="shared" si="154"/>
        <v>0</v>
      </c>
      <c r="TQ76" s="131">
        <f t="shared" si="155"/>
        <v>491139</v>
      </c>
      <c r="TR76" s="131">
        <f t="shared" si="156"/>
        <v>66550</v>
      </c>
      <c r="TS76" s="132">
        <f t="shared" si="157"/>
        <v>0</v>
      </c>
      <c r="TT76" s="132">
        <f t="shared" si="158"/>
        <v>66550</v>
      </c>
      <c r="TU76" s="132">
        <f t="shared" si="159"/>
        <v>0</v>
      </c>
      <c r="TV76" s="132">
        <f t="shared" si="160"/>
        <v>0</v>
      </c>
      <c r="TW76" s="132">
        <f t="shared" si="161"/>
        <v>0</v>
      </c>
      <c r="TX76" s="132">
        <f t="shared" si="162"/>
        <v>82522</v>
      </c>
      <c r="TY76" s="131">
        <f t="shared" si="163"/>
        <v>342067</v>
      </c>
      <c r="TZ76" s="132">
        <f t="shared" si="164"/>
        <v>199650</v>
      </c>
      <c r="UA76" s="132">
        <f t="shared" si="165"/>
        <v>0</v>
      </c>
      <c r="UB76" s="132">
        <f t="shared" si="166"/>
        <v>0</v>
      </c>
      <c r="UC76" s="132">
        <f t="shared" si="167"/>
        <v>9317</v>
      </c>
      <c r="UD76" s="132">
        <f t="shared" si="168"/>
        <v>0</v>
      </c>
      <c r="UE76" s="132">
        <f t="shared" si="169"/>
        <v>0</v>
      </c>
      <c r="UF76" s="132">
        <f t="shared" si="170"/>
        <v>0</v>
      </c>
      <c r="UG76" s="132">
        <f t="shared" si="171"/>
        <v>0</v>
      </c>
      <c r="UH76" s="132">
        <f t="shared" si="172"/>
        <v>0</v>
      </c>
      <c r="UI76" s="132">
        <f t="shared" si="173"/>
        <v>133100</v>
      </c>
      <c r="UJ76" s="132">
        <f t="shared" si="174"/>
        <v>0</v>
      </c>
      <c r="UK76" s="132">
        <f t="shared" si="175"/>
        <v>0</v>
      </c>
      <c r="UL76" s="132">
        <f t="shared" si="210"/>
        <v>609567</v>
      </c>
      <c r="UM76" s="131">
        <f t="shared" si="176"/>
        <v>609567</v>
      </c>
      <c r="UN76" s="131">
        <f t="shared" si="177"/>
        <v>609567</v>
      </c>
      <c r="UO76" s="131">
        <f t="shared" si="178"/>
        <v>118428</v>
      </c>
      <c r="UP76" s="132">
        <f t="shared" si="179"/>
        <v>118428</v>
      </c>
      <c r="UQ76" s="132">
        <f t="shared" si="180"/>
        <v>0</v>
      </c>
      <c r="UR76" s="132">
        <f t="shared" si="181"/>
        <v>0</v>
      </c>
      <c r="US76" s="132">
        <f t="shared" si="182"/>
        <v>0</v>
      </c>
      <c r="UT76" s="131">
        <f t="shared" si="183"/>
        <v>491139</v>
      </c>
      <c r="UU76" s="131">
        <f t="shared" si="184"/>
        <v>66550</v>
      </c>
      <c r="UV76" s="132">
        <f t="shared" si="185"/>
        <v>0</v>
      </c>
      <c r="UW76" s="132">
        <f t="shared" si="186"/>
        <v>66550</v>
      </c>
      <c r="UX76" s="132">
        <f t="shared" si="187"/>
        <v>0</v>
      </c>
      <c r="UY76" s="132">
        <f t="shared" si="188"/>
        <v>0</v>
      </c>
      <c r="UZ76" s="132">
        <f t="shared" si="189"/>
        <v>0</v>
      </c>
      <c r="VA76" s="132">
        <f t="shared" si="190"/>
        <v>82522</v>
      </c>
      <c r="VB76" s="131">
        <f t="shared" si="191"/>
        <v>342067</v>
      </c>
      <c r="VC76" s="132">
        <f t="shared" si="192"/>
        <v>199650</v>
      </c>
      <c r="VD76" s="132">
        <f t="shared" si="193"/>
        <v>0</v>
      </c>
      <c r="VE76" s="132">
        <f t="shared" si="194"/>
        <v>0</v>
      </c>
      <c r="VF76" s="132">
        <f t="shared" si="195"/>
        <v>9317</v>
      </c>
      <c r="VG76" s="132">
        <f t="shared" si="196"/>
        <v>0</v>
      </c>
      <c r="VH76" s="132">
        <f t="shared" si="197"/>
        <v>0</v>
      </c>
      <c r="VI76" s="132">
        <f t="shared" si="198"/>
        <v>0</v>
      </c>
      <c r="VJ76" s="132">
        <f t="shared" si="199"/>
        <v>0</v>
      </c>
      <c r="VK76" s="132">
        <f t="shared" si="200"/>
        <v>0</v>
      </c>
      <c r="VL76" s="132">
        <f t="shared" si="201"/>
        <v>133100</v>
      </c>
      <c r="VM76" s="132">
        <f t="shared" si="202"/>
        <v>0</v>
      </c>
      <c r="VN76" s="132">
        <f t="shared" si="203"/>
        <v>0</v>
      </c>
      <c r="VP76" s="845" t="str">
        <f>IFERROR(HLOOKUP(F76,'Hodnocení '!$C$1:$JH$5,2,FALSE),0)</f>
        <v>DOMOV NA STŘÍBRNÉM VRCHU</v>
      </c>
      <c r="VQ76" s="838"/>
      <c r="VR76" s="845" t="str">
        <f t="shared" si="211"/>
        <v>Příspěvková organizace zřízená územním samosprávným celkem</v>
      </c>
      <c r="VS76" s="845" t="str">
        <f>IFERROR(HLOOKUP(F76,'Hodnocení '!$C$1:$JH$5,5,FALSE),0)</f>
        <v>PO KHK</v>
      </c>
      <c r="VT76" s="838">
        <f t="shared" si="212"/>
        <v>0</v>
      </c>
      <c r="VU76" s="838" t="str">
        <f t="shared" si="213"/>
        <v>PO KHK</v>
      </c>
      <c r="VV76" s="838">
        <f t="shared" si="214"/>
        <v>0</v>
      </c>
      <c r="VW76" s="838">
        <f t="shared" si="215"/>
        <v>0</v>
      </c>
      <c r="VX76" s="838"/>
      <c r="VY76" s="838">
        <f t="shared" si="114"/>
        <v>0</v>
      </c>
      <c r="VZ76" s="838">
        <f t="shared" si="115"/>
        <v>609567</v>
      </c>
      <c r="WA76" s="846">
        <f>IFERROR(HLOOKUP($F76,'Hodnocení '!$C$1:$JH$9,9,FALSE),0)</f>
        <v>609567</v>
      </c>
      <c r="WB76" s="846">
        <f>IF(IFERROR(HLOOKUP($F76,'Hodnocení '!$C$1:$JH$13,13,FALSE),0)&gt;WA76,WA76,IFERROR(HLOOKUP($F76,'Hodnocení '!$C$1:$JH$13,13,FALSE),0))</f>
        <v>609567</v>
      </c>
      <c r="WC76" s="846">
        <f>IFERROR(HLOOKUP($F76,'Hodnocení '!$C$1:$JH$155,155,FALSE),0)</f>
        <v>150000</v>
      </c>
      <c r="WD76" s="845"/>
      <c r="WE76" s="845"/>
      <c r="WF76" s="845" t="str">
        <f t="shared" si="204"/>
        <v>ANO</v>
      </c>
      <c r="WG76" s="849" t="str">
        <f t="shared" si="117"/>
        <v>Podpora služby je vyjádřena zařazením do sítě sociálních služeb v KHK a řešením financování služby</v>
      </c>
      <c r="WH76"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76" s="849" t="str">
        <f t="shared" si="117"/>
        <v>Návrh dotace je výsledkem projednání s ostatními zadavateli v rámci sítě služeb KHK</v>
      </c>
      <c r="WJ76" s="849" t="str">
        <f t="shared" si="117"/>
        <v>Bez komentáře</v>
      </c>
      <c r="WK76" s="31">
        <f t="shared" si="205"/>
        <v>0</v>
      </c>
      <c r="WL76" s="850" t="str">
        <f t="shared" si="206"/>
        <v>Případná úprava příspěvku zřizovatele bude řešena v návaznosti na vývoj služby</v>
      </c>
      <c r="WM76" s="849">
        <f t="shared" si="207"/>
        <v>0</v>
      </c>
      <c r="WN76" s="849">
        <f t="shared" si="208"/>
        <v>0</v>
      </c>
      <c r="WO76" s="849" t="str">
        <f t="shared" si="118"/>
        <v>bez komentáře</v>
      </c>
      <c r="WP76" s="849" t="str">
        <f t="shared" si="118"/>
        <v>bez komentáře</v>
      </c>
      <c r="WQ76" s="849" t="str">
        <f t="shared" si="118"/>
        <v>Konečná výše dotace z rozpočtu KHK bude řešena v návaznosti na řešení podílů jednotlivých zadavatelů.</v>
      </c>
      <c r="WR76" s="849" t="str">
        <f t="shared" si="118"/>
        <v>Konečná výše podpory ze stran obcí bude řešena v součinnosti s jednotlivými zadavateli v průběhu roku.</v>
      </c>
      <c r="WS76" s="849" t="str">
        <f t="shared" si="118"/>
        <v>bez komentáře</v>
      </c>
      <c r="WT76" s="849" t="str">
        <f t="shared" si="118"/>
        <v>bez komentáře</v>
      </c>
      <c r="WU76" s="845"/>
    </row>
    <row r="77" spans="1:619" s="128" customFormat="1" x14ac:dyDescent="0.25">
      <c r="A77" s="128" t="str">
        <f>VLOOKUP(F77,'Výpočet VP 2020'!$D$324:$I$588,6,FALSE)</f>
        <v>Je v síti</v>
      </c>
      <c r="B77" s="128" t="s">
        <v>485</v>
      </c>
      <c r="C77" s="128">
        <v>70188653</v>
      </c>
      <c r="D77" s="128" t="s">
        <v>486</v>
      </c>
      <c r="E77" s="128" t="s">
        <v>259</v>
      </c>
      <c r="F77" s="128">
        <v>8338145</v>
      </c>
      <c r="G77" s="128" t="s">
        <v>260</v>
      </c>
      <c r="H77" s="128" t="s">
        <v>218</v>
      </c>
      <c r="I77" s="128" t="s">
        <v>485</v>
      </c>
      <c r="J77" s="129">
        <v>39083</v>
      </c>
      <c r="L77" s="128" t="s">
        <v>220</v>
      </c>
      <c r="M77" s="128" t="s">
        <v>491</v>
      </c>
      <c r="N77" s="128">
        <v>5</v>
      </c>
      <c r="P77" s="128">
        <v>6</v>
      </c>
      <c r="Q77" s="128">
        <v>6</v>
      </c>
      <c r="R77" s="128">
        <v>5</v>
      </c>
      <c r="W77" s="128" t="s">
        <v>492</v>
      </c>
      <c r="BL77" s="128" t="s">
        <v>356</v>
      </c>
      <c r="BM77" s="128" t="s">
        <v>228</v>
      </c>
      <c r="BN77" s="128" t="s">
        <v>326</v>
      </c>
      <c r="DA77" s="128">
        <v>0</v>
      </c>
      <c r="DB77" s="128">
        <v>0</v>
      </c>
      <c r="DC77" s="128">
        <v>0</v>
      </c>
      <c r="DD77" s="128">
        <v>0</v>
      </c>
      <c r="DE77" s="128">
        <v>0</v>
      </c>
      <c r="DF77" s="128">
        <v>0</v>
      </c>
      <c r="DG77" s="128">
        <v>0</v>
      </c>
      <c r="DH77" s="128">
        <v>1</v>
      </c>
      <c r="DI77" s="128">
        <v>5</v>
      </c>
      <c r="DJ77" s="128">
        <v>0</v>
      </c>
      <c r="DK77" s="128">
        <v>0</v>
      </c>
      <c r="DL77" s="128">
        <v>0</v>
      </c>
      <c r="DM77" s="128">
        <v>1</v>
      </c>
      <c r="DN77" s="128">
        <v>5</v>
      </c>
      <c r="DO77" s="128">
        <v>0</v>
      </c>
      <c r="DP77" s="128">
        <v>0</v>
      </c>
      <c r="DQ77" s="128">
        <v>6</v>
      </c>
      <c r="DR77" s="128">
        <v>6</v>
      </c>
      <c r="DS77" s="128">
        <v>0</v>
      </c>
      <c r="DT77" s="128">
        <v>0</v>
      </c>
      <c r="DU77" s="128">
        <v>0</v>
      </c>
      <c r="DV77" s="128">
        <v>0</v>
      </c>
      <c r="DW77" s="128">
        <v>0</v>
      </c>
      <c r="DX77" s="128">
        <v>0</v>
      </c>
      <c r="DY77" s="128">
        <v>0</v>
      </c>
      <c r="DZ77" s="128">
        <v>1</v>
      </c>
      <c r="EA77" s="128">
        <v>4</v>
      </c>
      <c r="EB77" s="128">
        <v>0</v>
      </c>
      <c r="EC77" s="128">
        <v>0</v>
      </c>
      <c r="ED77" s="128">
        <v>0</v>
      </c>
      <c r="EE77" s="128">
        <v>1</v>
      </c>
      <c r="EF77" s="128">
        <v>4</v>
      </c>
      <c r="EG77" s="128">
        <v>0</v>
      </c>
      <c r="EH77" s="128">
        <v>0</v>
      </c>
      <c r="EI77" s="128">
        <v>5</v>
      </c>
      <c r="EJ77" s="128">
        <v>5</v>
      </c>
      <c r="EK77" s="128">
        <v>2</v>
      </c>
      <c r="EL77" s="128">
        <v>0.2</v>
      </c>
      <c r="EM77" s="128">
        <v>1.69</v>
      </c>
      <c r="EN77" s="128">
        <v>657764</v>
      </c>
      <c r="EO77" s="128">
        <v>526211</v>
      </c>
      <c r="EP77" s="128">
        <v>10</v>
      </c>
      <c r="EQ77" s="128">
        <v>4.95</v>
      </c>
      <c r="ER77" s="128">
        <v>4.6500000000000004</v>
      </c>
      <c r="ES77" s="128">
        <v>2616426</v>
      </c>
      <c r="ET77" s="128">
        <v>2093140</v>
      </c>
      <c r="EU77" s="128">
        <v>10</v>
      </c>
      <c r="EV77" s="128">
        <v>0.92</v>
      </c>
      <c r="EW77" s="128">
        <v>0.76900000000000002</v>
      </c>
      <c r="EX77" s="128">
        <v>432695</v>
      </c>
      <c r="EY77" s="128">
        <v>0</v>
      </c>
      <c r="FO77" s="128">
        <v>13</v>
      </c>
      <c r="FP77" s="128">
        <v>1.57</v>
      </c>
      <c r="FQ77" s="128">
        <v>0.98199999999999998</v>
      </c>
      <c r="FR77" s="128">
        <v>932911</v>
      </c>
      <c r="FS77" s="128">
        <v>652699</v>
      </c>
      <c r="IH77" s="128">
        <v>2</v>
      </c>
      <c r="II77" s="128">
        <v>0.04</v>
      </c>
      <c r="IJ77" s="128">
        <v>24</v>
      </c>
      <c r="IK77" s="128">
        <v>0.04</v>
      </c>
      <c r="IL77" s="128">
        <v>172800</v>
      </c>
      <c r="IM77" s="128">
        <v>0</v>
      </c>
      <c r="IN77" s="128">
        <v>3</v>
      </c>
      <c r="IO77" s="128">
        <v>117</v>
      </c>
      <c r="IP77" s="128">
        <v>5.6000000000000001E-2</v>
      </c>
      <c r="IQ77" s="128">
        <v>14820</v>
      </c>
      <c r="IR77" s="128">
        <v>0</v>
      </c>
      <c r="IS77" s="128">
        <v>6</v>
      </c>
      <c r="IT77" s="128">
        <v>195</v>
      </c>
      <c r="IU77" s="128">
        <v>9.2999999999999999E-2</v>
      </c>
      <c r="IV77" s="128">
        <v>42380</v>
      </c>
      <c r="IW77" s="128">
        <v>0</v>
      </c>
      <c r="KG77" s="128">
        <v>0</v>
      </c>
      <c r="KI77" s="128">
        <v>6.07</v>
      </c>
      <c r="KJ77" s="128">
        <v>0</v>
      </c>
      <c r="KK77" s="128">
        <v>5.6000000000000001E-2</v>
      </c>
      <c r="KL77" s="128">
        <v>0</v>
      </c>
      <c r="KM77" s="128">
        <v>6.1260000000000003</v>
      </c>
      <c r="KN77" s="128">
        <v>4639796</v>
      </c>
      <c r="KO77" s="128">
        <v>3272050</v>
      </c>
      <c r="KP77" s="128">
        <v>3272050</v>
      </c>
      <c r="KT77" s="128">
        <v>172800</v>
      </c>
      <c r="KU77" s="128">
        <v>0</v>
      </c>
      <c r="KV77" s="128">
        <v>0</v>
      </c>
      <c r="KZ77" s="128">
        <v>57200</v>
      </c>
      <c r="LA77" s="128">
        <v>0</v>
      </c>
      <c r="LB77" s="128">
        <v>0</v>
      </c>
      <c r="LF77" s="128">
        <v>93800</v>
      </c>
      <c r="LG77" s="128">
        <v>0</v>
      </c>
      <c r="LH77" s="128">
        <v>0</v>
      </c>
      <c r="LL77" s="128">
        <v>3729</v>
      </c>
      <c r="LM77" s="128">
        <v>2168</v>
      </c>
      <c r="LN77" s="128">
        <v>2168</v>
      </c>
      <c r="LR77" s="128">
        <v>31069</v>
      </c>
      <c r="LS77" s="128">
        <v>18063</v>
      </c>
      <c r="LT77" s="128">
        <v>18063</v>
      </c>
      <c r="LX77" s="128">
        <v>237583</v>
      </c>
      <c r="LY77" s="128">
        <v>0</v>
      </c>
      <c r="LZ77" s="128">
        <v>0</v>
      </c>
      <c r="MD77" s="128">
        <v>12501</v>
      </c>
      <c r="ME77" s="128">
        <v>7225</v>
      </c>
      <c r="MF77" s="128">
        <v>7225</v>
      </c>
      <c r="MJ77" s="128">
        <v>11047</v>
      </c>
      <c r="MK77" s="128">
        <v>5780</v>
      </c>
      <c r="ML77" s="128">
        <v>5780</v>
      </c>
      <c r="MP77" s="128">
        <v>93571</v>
      </c>
      <c r="MQ77" s="128">
        <v>55633</v>
      </c>
      <c r="MR77" s="128">
        <v>55633</v>
      </c>
      <c r="MV77" s="128">
        <v>407839</v>
      </c>
      <c r="MW77" s="128">
        <v>229789</v>
      </c>
      <c r="MX77" s="128">
        <v>229789</v>
      </c>
      <c r="NB77" s="128">
        <v>7456</v>
      </c>
      <c r="NC77" s="128">
        <v>4335</v>
      </c>
      <c r="ND77" s="128">
        <v>4335</v>
      </c>
      <c r="NH77" s="128">
        <v>0</v>
      </c>
      <c r="NI77" s="128">
        <v>0</v>
      </c>
      <c r="NJ77" s="128">
        <v>0</v>
      </c>
      <c r="NN77" s="128">
        <v>40572</v>
      </c>
      <c r="NO77" s="128">
        <v>23843</v>
      </c>
      <c r="NP77" s="128">
        <v>23843</v>
      </c>
      <c r="NT77" s="128">
        <v>5556</v>
      </c>
      <c r="NU77" s="128">
        <v>0</v>
      </c>
      <c r="NV77" s="128">
        <v>0</v>
      </c>
      <c r="NZ77" s="128">
        <v>25001</v>
      </c>
      <c r="OA77" s="128">
        <v>0</v>
      </c>
      <c r="OB77" s="128">
        <v>0</v>
      </c>
      <c r="OF77" s="128">
        <v>3801</v>
      </c>
      <c r="OG77" s="128">
        <v>0</v>
      </c>
      <c r="OH77" s="128">
        <v>0</v>
      </c>
      <c r="OL77" s="128">
        <v>0</v>
      </c>
      <c r="OM77" s="128">
        <v>0</v>
      </c>
      <c r="ON77" s="128">
        <v>0</v>
      </c>
      <c r="OR77" s="128">
        <v>0</v>
      </c>
      <c r="OS77" s="128">
        <v>0</v>
      </c>
      <c r="OT77" s="128">
        <v>0</v>
      </c>
      <c r="OX77" s="128">
        <v>109142</v>
      </c>
      <c r="OY77" s="128">
        <v>62858</v>
      </c>
      <c r="OZ77" s="128">
        <v>62858</v>
      </c>
      <c r="PD77" s="128">
        <v>242000</v>
      </c>
      <c r="PE77" s="128">
        <v>0</v>
      </c>
      <c r="PF77" s="128">
        <v>0</v>
      </c>
      <c r="PJ77" s="128">
        <v>0</v>
      </c>
      <c r="PK77" s="128">
        <v>0</v>
      </c>
      <c r="PL77" s="128">
        <v>0</v>
      </c>
      <c r="PP77" s="128">
        <v>6194463</v>
      </c>
      <c r="PQ77" s="128">
        <v>3681744</v>
      </c>
      <c r="PR77" s="128">
        <v>3681744</v>
      </c>
      <c r="PS77" s="128">
        <v>100</v>
      </c>
      <c r="PT77" s="128">
        <v>100</v>
      </c>
      <c r="PV77" s="128">
        <v>2169659</v>
      </c>
      <c r="PX77" s="128">
        <v>2042694</v>
      </c>
      <c r="PY77" s="128">
        <v>1601240</v>
      </c>
      <c r="PZ77" s="128">
        <v>3681744</v>
      </c>
      <c r="QA77" s="128">
        <v>0</v>
      </c>
      <c r="QB77" s="128">
        <v>0</v>
      </c>
      <c r="QC77" s="128">
        <v>0</v>
      </c>
      <c r="QD77" s="128">
        <v>0</v>
      </c>
      <c r="QE77" s="128">
        <v>0</v>
      </c>
      <c r="QF77" s="128">
        <v>0</v>
      </c>
      <c r="QG77" s="128">
        <v>964654</v>
      </c>
      <c r="QH77" s="128">
        <v>1562000</v>
      </c>
      <c r="QI77" s="128">
        <v>421719</v>
      </c>
      <c r="QJ77" s="128">
        <v>1567010</v>
      </c>
      <c r="QK77" s="128">
        <v>1761000</v>
      </c>
      <c r="QL77" s="128">
        <v>1791000</v>
      </c>
      <c r="QN77" s="128">
        <v>219678</v>
      </c>
      <c r="QO77" s="128">
        <v>294666</v>
      </c>
      <c r="QP77" s="128">
        <v>300000</v>
      </c>
      <c r="RH77" s="128">
        <f t="shared" si="209"/>
        <v>4103463</v>
      </c>
      <c r="RI77" s="128">
        <v>0</v>
      </c>
      <c r="RM77" s="128" t="s">
        <v>220</v>
      </c>
      <c r="RU77" s="130"/>
      <c r="RV77" s="130"/>
      <c r="RW77" s="130"/>
      <c r="RX77" s="130"/>
      <c r="SF77" s="128">
        <f t="shared" si="119"/>
        <v>8338145</v>
      </c>
      <c r="SG77" s="131">
        <f t="shared" si="120"/>
        <v>6194463</v>
      </c>
      <c r="SH77" s="131">
        <f t="shared" si="121"/>
        <v>6194463</v>
      </c>
      <c r="SI77" s="131">
        <f t="shared" si="122"/>
        <v>4963596</v>
      </c>
      <c r="SJ77" s="132">
        <f t="shared" si="123"/>
        <v>4639796</v>
      </c>
      <c r="SK77" s="132">
        <f t="shared" si="124"/>
        <v>172800</v>
      </c>
      <c r="SL77" s="132">
        <f t="shared" si="125"/>
        <v>57200</v>
      </c>
      <c r="SM77" s="132">
        <f t="shared" si="126"/>
        <v>93800</v>
      </c>
      <c r="SN77" s="131">
        <f t="shared" si="127"/>
        <v>1230867</v>
      </c>
      <c r="SO77" s="131">
        <f t="shared" si="128"/>
        <v>34798</v>
      </c>
      <c r="SP77" s="132">
        <f t="shared" si="129"/>
        <v>3729</v>
      </c>
      <c r="SQ77" s="132">
        <f t="shared" si="130"/>
        <v>31069</v>
      </c>
      <c r="SR77" s="132">
        <f t="shared" si="131"/>
        <v>237583</v>
      </c>
      <c r="SS77" s="132">
        <f t="shared" si="132"/>
        <v>12501</v>
      </c>
      <c r="ST77" s="132">
        <f t="shared" si="133"/>
        <v>11047</v>
      </c>
      <c r="SU77" s="132">
        <f t="shared" si="134"/>
        <v>93571</v>
      </c>
      <c r="SV77" s="131">
        <f t="shared" si="135"/>
        <v>599367</v>
      </c>
      <c r="SW77" s="132">
        <f t="shared" si="136"/>
        <v>407839</v>
      </c>
      <c r="SX77" s="132">
        <f t="shared" si="137"/>
        <v>7456</v>
      </c>
      <c r="SY77" s="132">
        <f t="shared" si="138"/>
        <v>0</v>
      </c>
      <c r="SZ77" s="132">
        <f t="shared" si="139"/>
        <v>40572</v>
      </c>
      <c r="TA77" s="132">
        <f t="shared" si="140"/>
        <v>5556</v>
      </c>
      <c r="TB77" s="132">
        <f t="shared" si="141"/>
        <v>25001</v>
      </c>
      <c r="TC77" s="132">
        <f t="shared" si="142"/>
        <v>3801</v>
      </c>
      <c r="TD77" s="132">
        <f t="shared" si="143"/>
        <v>0</v>
      </c>
      <c r="TE77" s="132">
        <f t="shared" si="144"/>
        <v>0</v>
      </c>
      <c r="TF77" s="132">
        <f t="shared" si="145"/>
        <v>109142</v>
      </c>
      <c r="TG77" s="132">
        <f t="shared" si="146"/>
        <v>242000</v>
      </c>
      <c r="TH77" s="132">
        <f t="shared" si="147"/>
        <v>0</v>
      </c>
      <c r="TI77" s="1"/>
      <c r="TJ77" s="131">
        <f t="shared" si="148"/>
        <v>3681744</v>
      </c>
      <c r="TK77" s="131">
        <f t="shared" si="149"/>
        <v>3681744</v>
      </c>
      <c r="TL77" s="131">
        <f t="shared" si="150"/>
        <v>3272050</v>
      </c>
      <c r="TM77" s="132">
        <f t="shared" si="151"/>
        <v>3272050</v>
      </c>
      <c r="TN77" s="132">
        <f t="shared" si="152"/>
        <v>0</v>
      </c>
      <c r="TO77" s="132">
        <f t="shared" si="153"/>
        <v>0</v>
      </c>
      <c r="TP77" s="132">
        <f t="shared" si="154"/>
        <v>0</v>
      </c>
      <c r="TQ77" s="131">
        <f t="shared" si="155"/>
        <v>409694</v>
      </c>
      <c r="TR77" s="131">
        <f t="shared" si="156"/>
        <v>20231</v>
      </c>
      <c r="TS77" s="132">
        <f t="shared" si="157"/>
        <v>2168</v>
      </c>
      <c r="TT77" s="132">
        <f t="shared" si="158"/>
        <v>18063</v>
      </c>
      <c r="TU77" s="132">
        <f t="shared" si="159"/>
        <v>0</v>
      </c>
      <c r="TV77" s="132">
        <f t="shared" si="160"/>
        <v>7225</v>
      </c>
      <c r="TW77" s="132">
        <f t="shared" si="161"/>
        <v>5780</v>
      </c>
      <c r="TX77" s="132">
        <f t="shared" si="162"/>
        <v>55633</v>
      </c>
      <c r="TY77" s="131">
        <f t="shared" si="163"/>
        <v>320825</v>
      </c>
      <c r="TZ77" s="132">
        <f t="shared" si="164"/>
        <v>229789</v>
      </c>
      <c r="UA77" s="132">
        <f t="shared" si="165"/>
        <v>4335</v>
      </c>
      <c r="UB77" s="132">
        <f t="shared" si="166"/>
        <v>0</v>
      </c>
      <c r="UC77" s="132">
        <f t="shared" si="167"/>
        <v>23843</v>
      </c>
      <c r="UD77" s="132">
        <f t="shared" si="168"/>
        <v>0</v>
      </c>
      <c r="UE77" s="132">
        <f t="shared" si="169"/>
        <v>0</v>
      </c>
      <c r="UF77" s="132">
        <f t="shared" si="170"/>
        <v>0</v>
      </c>
      <c r="UG77" s="132">
        <f t="shared" si="171"/>
        <v>0</v>
      </c>
      <c r="UH77" s="132">
        <f t="shared" si="172"/>
        <v>0</v>
      </c>
      <c r="UI77" s="132">
        <f t="shared" si="173"/>
        <v>62858</v>
      </c>
      <c r="UJ77" s="132">
        <f t="shared" si="174"/>
        <v>0</v>
      </c>
      <c r="UK77" s="132">
        <f t="shared" si="175"/>
        <v>0</v>
      </c>
      <c r="UL77" s="132">
        <f t="shared" si="210"/>
        <v>3681744</v>
      </c>
      <c r="UM77" s="131">
        <f t="shared" si="176"/>
        <v>3681744</v>
      </c>
      <c r="UN77" s="131">
        <f t="shared" si="177"/>
        <v>3681744</v>
      </c>
      <c r="UO77" s="131">
        <f t="shared" si="178"/>
        <v>3272050</v>
      </c>
      <c r="UP77" s="132">
        <f t="shared" si="179"/>
        <v>3272050</v>
      </c>
      <c r="UQ77" s="132">
        <f t="shared" si="180"/>
        <v>0</v>
      </c>
      <c r="UR77" s="132">
        <f t="shared" si="181"/>
        <v>0</v>
      </c>
      <c r="US77" s="132">
        <f t="shared" si="182"/>
        <v>0</v>
      </c>
      <c r="UT77" s="131">
        <f t="shared" si="183"/>
        <v>409694</v>
      </c>
      <c r="UU77" s="131">
        <f t="shared" si="184"/>
        <v>20231</v>
      </c>
      <c r="UV77" s="132">
        <f t="shared" si="185"/>
        <v>2168</v>
      </c>
      <c r="UW77" s="132">
        <f t="shared" si="186"/>
        <v>18063</v>
      </c>
      <c r="UX77" s="132">
        <f t="shared" si="187"/>
        <v>0</v>
      </c>
      <c r="UY77" s="132">
        <f t="shared" si="188"/>
        <v>7225</v>
      </c>
      <c r="UZ77" s="132">
        <f t="shared" si="189"/>
        <v>5780</v>
      </c>
      <c r="VA77" s="132">
        <f t="shared" si="190"/>
        <v>55633</v>
      </c>
      <c r="VB77" s="131">
        <f t="shared" si="191"/>
        <v>320825</v>
      </c>
      <c r="VC77" s="132">
        <f t="shared" si="192"/>
        <v>229789</v>
      </c>
      <c r="VD77" s="132">
        <f t="shared" si="193"/>
        <v>4335</v>
      </c>
      <c r="VE77" s="132">
        <f t="shared" si="194"/>
        <v>0</v>
      </c>
      <c r="VF77" s="132">
        <f t="shared" si="195"/>
        <v>23843</v>
      </c>
      <c r="VG77" s="132">
        <f t="shared" si="196"/>
        <v>0</v>
      </c>
      <c r="VH77" s="132">
        <f t="shared" si="197"/>
        <v>0</v>
      </c>
      <c r="VI77" s="132">
        <f t="shared" si="198"/>
        <v>0</v>
      </c>
      <c r="VJ77" s="132">
        <f t="shared" si="199"/>
        <v>0</v>
      </c>
      <c r="VK77" s="132">
        <f t="shared" si="200"/>
        <v>0</v>
      </c>
      <c r="VL77" s="132">
        <f t="shared" si="201"/>
        <v>62858</v>
      </c>
      <c r="VM77" s="132">
        <f t="shared" si="202"/>
        <v>0</v>
      </c>
      <c r="VN77" s="132">
        <f t="shared" si="203"/>
        <v>0</v>
      </c>
      <c r="VP77" s="845" t="str">
        <f>IFERROR(HLOOKUP(F77,'Hodnocení '!$C$1:$JH$5,2,FALSE),0)</f>
        <v>DOMOV NA STŘÍBRNÉM VRCHU</v>
      </c>
      <c r="VQ77" s="838"/>
      <c r="VR77" s="845" t="str">
        <f t="shared" si="211"/>
        <v>Příspěvková organizace zřízená územním samosprávným celkem</v>
      </c>
      <c r="VS77" s="845" t="str">
        <f>IFERROR(HLOOKUP(F77,'Hodnocení '!$C$1:$JH$5,5,FALSE),0)</f>
        <v>PO KHK</v>
      </c>
      <c r="VT77" s="838">
        <f t="shared" si="212"/>
        <v>0</v>
      </c>
      <c r="VU77" s="838" t="str">
        <f t="shared" si="213"/>
        <v>PO KHK</v>
      </c>
      <c r="VV77" s="838">
        <f t="shared" si="214"/>
        <v>1791000</v>
      </c>
      <c r="VW77" s="838">
        <f t="shared" si="215"/>
        <v>300000</v>
      </c>
      <c r="VX77" s="838"/>
      <c r="VY77" s="838">
        <f t="shared" si="114"/>
        <v>0</v>
      </c>
      <c r="VZ77" s="838">
        <f t="shared" si="115"/>
        <v>3681744</v>
      </c>
      <c r="WA77" s="846">
        <f>IFERROR(HLOOKUP($F77,'Hodnocení '!$C$1:$JH$9,9,FALSE),0)</f>
        <v>3681744</v>
      </c>
      <c r="WB77" s="846">
        <f>IF(IFERROR(HLOOKUP($F77,'Hodnocení '!$C$1:$JH$13,13,FALSE),0)&gt;WA77,WA77,IFERROR(HLOOKUP($F77,'Hodnocení '!$C$1:$JH$13,13,FALSE),0))</f>
        <v>3681744</v>
      </c>
      <c r="WC77" s="846">
        <f>IFERROR(HLOOKUP($F77,'Hodnocení '!$C$1:$JH$155,155,FALSE),0)</f>
        <v>1754310</v>
      </c>
      <c r="WD77" s="845"/>
      <c r="WE77" s="845"/>
      <c r="WF77" s="845" t="str">
        <f t="shared" si="204"/>
        <v>ANO</v>
      </c>
      <c r="WG77" s="849" t="str">
        <f t="shared" si="117"/>
        <v>Podpora služby je vyjádřena zařazením do sítě sociálních služeb v KHK a řešením financování služby</v>
      </c>
      <c r="WH77"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77" s="849" t="str">
        <f t="shared" si="117"/>
        <v>Návrh dotace je výsledkem projednání s ostatními zadavateli v rámci sítě služeb KHK</v>
      </c>
      <c r="WJ77" s="849" t="str">
        <f t="shared" si="117"/>
        <v>Bez komentáře</v>
      </c>
      <c r="WK77" s="31">
        <f t="shared" si="205"/>
        <v>0</v>
      </c>
      <c r="WL77" s="850" t="str">
        <f t="shared" si="206"/>
        <v>Případná úprava příspěvku zřizovatele bude řešena v návaznosti na vývoj služby</v>
      </c>
      <c r="WM77" s="849" t="str">
        <f t="shared" si="207"/>
        <v>V rámci sítě KHK se dlouhodobě řeší otázka navyšování úhrad a průběžně se monitoruje s vazbou na vykrytí vyrovnávací platby</v>
      </c>
      <c r="WN77" s="849" t="str">
        <f t="shared" si="208"/>
        <v>Otázka výběru od zdravotních pojišťoven je předmětem procesu, který probíhá ve formě jednání se ZP a organizacemi</v>
      </c>
      <c r="WO77" s="849" t="str">
        <f t="shared" si="118"/>
        <v>bez komentáře</v>
      </c>
      <c r="WP77" s="849" t="str">
        <f t="shared" si="118"/>
        <v>bez komentáře</v>
      </c>
      <c r="WQ77" s="849" t="str">
        <f t="shared" si="118"/>
        <v>Konečná výše dotace z rozpočtu KHK bude řešena v návaznosti na řešení podílů jednotlivých zadavatelů.</v>
      </c>
      <c r="WR77" s="849" t="str">
        <f t="shared" si="118"/>
        <v>Konečná výše podpory ze stran obcí bude řešena v součinnosti s jednotlivými zadavateli v průběhu roku.</v>
      </c>
      <c r="WS77" s="849" t="str">
        <f t="shared" si="118"/>
        <v>bez komentáře</v>
      </c>
      <c r="WT77" s="849" t="str">
        <f t="shared" si="118"/>
        <v>bez komentáře</v>
      </c>
      <c r="WU77" s="845"/>
    </row>
    <row r="78" spans="1:619" s="128" customFormat="1" x14ac:dyDescent="0.25">
      <c r="A78" s="128" t="str">
        <f>VLOOKUP(F78,'Výpočet VP 2020'!$D$324:$I$588,6,FALSE)</f>
        <v>Je v síti</v>
      </c>
      <c r="B78" s="128" t="s">
        <v>493</v>
      </c>
      <c r="C78" s="128">
        <v>62726226</v>
      </c>
      <c r="D78" s="128" t="s">
        <v>494</v>
      </c>
      <c r="E78" s="128" t="s">
        <v>259</v>
      </c>
      <c r="F78" s="128">
        <v>8635813</v>
      </c>
      <c r="G78" s="128" t="s">
        <v>348</v>
      </c>
      <c r="H78" s="128" t="s">
        <v>218</v>
      </c>
      <c r="I78" s="128" t="s">
        <v>493</v>
      </c>
      <c r="J78" s="129">
        <v>39083</v>
      </c>
      <c r="L78" s="128" t="s">
        <v>220</v>
      </c>
      <c r="M78" s="128" t="s">
        <v>495</v>
      </c>
      <c r="N78" s="128">
        <v>67</v>
      </c>
      <c r="P78" s="128">
        <v>75</v>
      </c>
      <c r="Q78" s="128">
        <v>74</v>
      </c>
      <c r="R78" s="128">
        <v>77</v>
      </c>
      <c r="BL78" s="128" t="s">
        <v>351</v>
      </c>
      <c r="BM78" s="128" t="s">
        <v>325</v>
      </c>
      <c r="BN78" s="128" t="s">
        <v>352</v>
      </c>
      <c r="DA78" s="128">
        <v>0</v>
      </c>
      <c r="DB78" s="128">
        <v>0</v>
      </c>
      <c r="DC78" s="128">
        <v>0</v>
      </c>
      <c r="DD78" s="128">
        <v>0</v>
      </c>
      <c r="DE78" s="128">
        <v>0</v>
      </c>
      <c r="DF78" s="128">
        <v>5</v>
      </c>
      <c r="DG78" s="128">
        <v>10</v>
      </c>
      <c r="DH78" s="128">
        <v>35</v>
      </c>
      <c r="DI78" s="128">
        <v>15</v>
      </c>
      <c r="DJ78" s="128">
        <v>2</v>
      </c>
      <c r="DK78" s="128">
        <v>5</v>
      </c>
      <c r="DL78" s="128">
        <v>10</v>
      </c>
      <c r="DM78" s="128">
        <v>35</v>
      </c>
      <c r="DN78" s="128">
        <v>15</v>
      </c>
      <c r="DO78" s="128">
        <v>2</v>
      </c>
      <c r="DP78" s="128">
        <v>0</v>
      </c>
      <c r="DQ78" s="128">
        <v>67</v>
      </c>
      <c r="DR78" s="128">
        <v>67</v>
      </c>
      <c r="DS78" s="128">
        <v>0</v>
      </c>
      <c r="DT78" s="128">
        <v>0</v>
      </c>
      <c r="DU78" s="128">
        <v>0</v>
      </c>
      <c r="DV78" s="128">
        <v>0</v>
      </c>
      <c r="DW78" s="128">
        <v>0</v>
      </c>
      <c r="DX78" s="128">
        <v>3</v>
      </c>
      <c r="DY78" s="128">
        <v>10</v>
      </c>
      <c r="DZ78" s="128">
        <v>39</v>
      </c>
      <c r="EA78" s="128">
        <v>15</v>
      </c>
      <c r="EB78" s="128">
        <v>0</v>
      </c>
      <c r="EC78" s="128">
        <v>3</v>
      </c>
      <c r="ED78" s="128">
        <v>10</v>
      </c>
      <c r="EE78" s="128">
        <v>39</v>
      </c>
      <c r="EF78" s="128">
        <v>15</v>
      </c>
      <c r="EG78" s="128">
        <v>0</v>
      </c>
      <c r="EH78" s="128">
        <v>0</v>
      </c>
      <c r="EI78" s="128">
        <v>67</v>
      </c>
      <c r="EJ78" s="128">
        <v>67</v>
      </c>
      <c r="EK78" s="128">
        <v>2</v>
      </c>
      <c r="EL78" s="128">
        <v>1.75</v>
      </c>
      <c r="EM78" s="128">
        <v>1.75</v>
      </c>
      <c r="EN78" s="128">
        <v>800000</v>
      </c>
      <c r="EO78" s="128">
        <v>500000</v>
      </c>
      <c r="EP78" s="128">
        <v>19</v>
      </c>
      <c r="EQ78" s="128">
        <v>17.75</v>
      </c>
      <c r="ER78" s="128">
        <v>17.75</v>
      </c>
      <c r="ES78" s="128">
        <v>7750000</v>
      </c>
      <c r="ET78" s="128">
        <v>5000000</v>
      </c>
      <c r="EU78" s="128">
        <v>8</v>
      </c>
      <c r="EV78" s="128">
        <v>7.25</v>
      </c>
      <c r="EW78" s="128">
        <v>5.5</v>
      </c>
      <c r="EX78" s="128">
        <v>4975000</v>
      </c>
      <c r="EY78" s="128">
        <v>0</v>
      </c>
      <c r="FO78" s="128">
        <v>14</v>
      </c>
      <c r="FP78" s="128">
        <v>12.65</v>
      </c>
      <c r="FQ78" s="128">
        <v>12.65</v>
      </c>
      <c r="FR78" s="128">
        <v>6540000</v>
      </c>
      <c r="FS78" s="128">
        <v>2300000</v>
      </c>
      <c r="IS78" s="128">
        <v>4</v>
      </c>
      <c r="IT78" s="128">
        <v>940</v>
      </c>
      <c r="IU78" s="128">
        <v>0.44800000000000001</v>
      </c>
      <c r="IV78" s="128">
        <v>100000</v>
      </c>
      <c r="IW78" s="128">
        <v>0</v>
      </c>
      <c r="KG78" s="128">
        <v>2</v>
      </c>
      <c r="KH78" s="128">
        <v>80</v>
      </c>
      <c r="KI78" s="128">
        <v>26.75</v>
      </c>
      <c r="KJ78" s="128">
        <v>0</v>
      </c>
      <c r="KK78" s="128">
        <v>0</v>
      </c>
      <c r="KL78" s="128">
        <v>0</v>
      </c>
      <c r="KM78" s="128">
        <v>26.75</v>
      </c>
      <c r="KN78" s="128">
        <v>20065000</v>
      </c>
      <c r="KO78" s="128">
        <v>7800000</v>
      </c>
      <c r="KP78" s="128">
        <v>7800000</v>
      </c>
      <c r="KT78" s="128">
        <v>0</v>
      </c>
      <c r="KU78" s="128">
        <v>0</v>
      </c>
      <c r="KV78" s="128">
        <v>0</v>
      </c>
      <c r="KZ78" s="128">
        <v>100000</v>
      </c>
      <c r="LA78" s="128">
        <v>0</v>
      </c>
      <c r="LB78" s="128">
        <v>0</v>
      </c>
      <c r="LF78" s="128">
        <v>300000</v>
      </c>
      <c r="LG78" s="128">
        <v>0</v>
      </c>
      <c r="LH78" s="128">
        <v>0</v>
      </c>
      <c r="LL78" s="128">
        <v>0</v>
      </c>
      <c r="LM78" s="128">
        <v>0</v>
      </c>
      <c r="LN78" s="128">
        <v>0</v>
      </c>
      <c r="LR78" s="128">
        <v>200000</v>
      </c>
      <c r="LS78" s="128">
        <v>0</v>
      </c>
      <c r="LT78" s="128">
        <v>0</v>
      </c>
      <c r="LX78" s="128">
        <v>2720000</v>
      </c>
      <c r="LY78" s="128">
        <v>0</v>
      </c>
      <c r="LZ78" s="128">
        <v>0</v>
      </c>
      <c r="MD78" s="128">
        <v>10000</v>
      </c>
      <c r="ME78" s="128">
        <v>0</v>
      </c>
      <c r="MF78" s="128">
        <v>0</v>
      </c>
      <c r="MJ78" s="128">
        <v>20000</v>
      </c>
      <c r="MK78" s="128">
        <v>0</v>
      </c>
      <c r="ML78" s="128">
        <v>0</v>
      </c>
      <c r="MP78" s="128">
        <v>620000</v>
      </c>
      <c r="MQ78" s="128">
        <v>0</v>
      </c>
      <c r="MR78" s="128">
        <v>0</v>
      </c>
      <c r="MV78" s="128">
        <v>1815000</v>
      </c>
      <c r="MW78" s="128">
        <v>0</v>
      </c>
      <c r="MX78" s="128">
        <v>0</v>
      </c>
      <c r="NB78" s="128">
        <v>140000</v>
      </c>
      <c r="NC78" s="128">
        <v>0</v>
      </c>
      <c r="ND78" s="128">
        <v>0</v>
      </c>
      <c r="NH78" s="128">
        <v>0</v>
      </c>
      <c r="NI78" s="128">
        <v>0</v>
      </c>
      <c r="NJ78" s="128">
        <v>0</v>
      </c>
      <c r="NN78" s="128">
        <v>0</v>
      </c>
      <c r="NO78" s="128">
        <v>0</v>
      </c>
      <c r="NP78" s="128">
        <v>0</v>
      </c>
      <c r="NT78" s="128">
        <v>90000</v>
      </c>
      <c r="NU78" s="128">
        <v>0</v>
      </c>
      <c r="NV78" s="128">
        <v>0</v>
      </c>
      <c r="NZ78" s="128">
        <v>550000</v>
      </c>
      <c r="OA78" s="128">
        <v>0</v>
      </c>
      <c r="OB78" s="128">
        <v>0</v>
      </c>
      <c r="OF78" s="128">
        <v>20000</v>
      </c>
      <c r="OG78" s="128">
        <v>0</v>
      </c>
      <c r="OH78" s="128">
        <v>0</v>
      </c>
      <c r="OL78" s="128">
        <v>0</v>
      </c>
      <c r="OM78" s="128">
        <v>0</v>
      </c>
      <c r="ON78" s="128">
        <v>0</v>
      </c>
      <c r="OR78" s="128">
        <v>0</v>
      </c>
      <c r="OS78" s="128">
        <v>0</v>
      </c>
      <c r="OT78" s="128">
        <v>0</v>
      </c>
      <c r="OX78" s="128">
        <v>560000</v>
      </c>
      <c r="OY78" s="128">
        <v>0</v>
      </c>
      <c r="OZ78" s="128">
        <v>0</v>
      </c>
      <c r="PD78" s="128">
        <v>40000</v>
      </c>
      <c r="PE78" s="128">
        <v>0</v>
      </c>
      <c r="PF78" s="128">
        <v>0</v>
      </c>
      <c r="PJ78" s="128">
        <v>360000</v>
      </c>
      <c r="PK78" s="128">
        <v>0</v>
      </c>
      <c r="PL78" s="128">
        <v>0</v>
      </c>
      <c r="PP78" s="128">
        <v>27610000</v>
      </c>
      <c r="PQ78" s="128">
        <v>7800000</v>
      </c>
      <c r="PR78" s="128">
        <v>7800000</v>
      </c>
      <c r="PS78" s="128">
        <v>100</v>
      </c>
      <c r="PT78" s="128">
        <v>100</v>
      </c>
      <c r="PV78" s="128">
        <v>18012768</v>
      </c>
      <c r="PX78" s="128">
        <v>5561790</v>
      </c>
      <c r="PY78" s="128">
        <v>5568147</v>
      </c>
      <c r="PZ78" s="128">
        <v>7800000</v>
      </c>
      <c r="QA78" s="128">
        <v>0</v>
      </c>
      <c r="QB78" s="128">
        <v>0</v>
      </c>
      <c r="QC78" s="128">
        <v>0</v>
      </c>
      <c r="QD78" s="128">
        <v>1200000</v>
      </c>
      <c r="QE78" s="128">
        <v>1800000</v>
      </c>
      <c r="QF78" s="128">
        <v>2000000</v>
      </c>
      <c r="QG78" s="128">
        <v>0</v>
      </c>
      <c r="QH78" s="128">
        <v>0</v>
      </c>
      <c r="QI78" s="128">
        <v>0</v>
      </c>
      <c r="QJ78" s="128">
        <v>15120303</v>
      </c>
      <c r="QK78" s="128">
        <v>15100000</v>
      </c>
      <c r="QL78" s="128">
        <v>15900000</v>
      </c>
      <c r="QN78" s="128">
        <v>1078888</v>
      </c>
      <c r="QO78" s="128">
        <v>1200000</v>
      </c>
      <c r="QP78" s="128">
        <v>1200000</v>
      </c>
      <c r="QX78" s="128">
        <v>137700</v>
      </c>
      <c r="QY78" s="128">
        <v>130000</v>
      </c>
      <c r="QZ78" s="128">
        <v>130000</v>
      </c>
      <c r="RD78" s="128">
        <v>605710</v>
      </c>
      <c r="RE78" s="128">
        <v>580000</v>
      </c>
      <c r="RF78" s="128">
        <v>580000</v>
      </c>
      <c r="RH78" s="128">
        <f t="shared" si="209"/>
        <v>10510000</v>
      </c>
      <c r="RI78" s="128">
        <v>0</v>
      </c>
      <c r="RM78" s="128" t="s">
        <v>220</v>
      </c>
      <c r="RU78" s="130"/>
      <c r="RV78" s="130"/>
      <c r="RW78" s="130"/>
      <c r="RX78" s="130"/>
      <c r="SF78" s="128">
        <f t="shared" si="119"/>
        <v>8635813</v>
      </c>
      <c r="SG78" s="131">
        <f t="shared" si="120"/>
        <v>27610000</v>
      </c>
      <c r="SH78" s="131">
        <f t="shared" si="121"/>
        <v>27610000</v>
      </c>
      <c r="SI78" s="131">
        <f t="shared" si="122"/>
        <v>20465000</v>
      </c>
      <c r="SJ78" s="132">
        <f t="shared" si="123"/>
        <v>20065000</v>
      </c>
      <c r="SK78" s="132">
        <f t="shared" si="124"/>
        <v>0</v>
      </c>
      <c r="SL78" s="132">
        <f t="shared" si="125"/>
        <v>100000</v>
      </c>
      <c r="SM78" s="132">
        <f t="shared" si="126"/>
        <v>300000</v>
      </c>
      <c r="SN78" s="131">
        <f t="shared" si="127"/>
        <v>7145000</v>
      </c>
      <c r="SO78" s="131">
        <f t="shared" si="128"/>
        <v>200000</v>
      </c>
      <c r="SP78" s="132">
        <f t="shared" si="129"/>
        <v>0</v>
      </c>
      <c r="SQ78" s="132">
        <f t="shared" si="130"/>
        <v>200000</v>
      </c>
      <c r="SR78" s="132">
        <f t="shared" si="131"/>
        <v>2720000</v>
      </c>
      <c r="SS78" s="132">
        <f t="shared" si="132"/>
        <v>10000</v>
      </c>
      <c r="ST78" s="132">
        <f t="shared" si="133"/>
        <v>20000</v>
      </c>
      <c r="SU78" s="132">
        <f t="shared" si="134"/>
        <v>620000</v>
      </c>
      <c r="SV78" s="131">
        <f t="shared" si="135"/>
        <v>3175000</v>
      </c>
      <c r="SW78" s="132">
        <f t="shared" si="136"/>
        <v>1815000</v>
      </c>
      <c r="SX78" s="132">
        <f t="shared" si="137"/>
        <v>140000</v>
      </c>
      <c r="SY78" s="132">
        <f t="shared" si="138"/>
        <v>0</v>
      </c>
      <c r="SZ78" s="132">
        <f t="shared" si="139"/>
        <v>0</v>
      </c>
      <c r="TA78" s="132">
        <f t="shared" si="140"/>
        <v>90000</v>
      </c>
      <c r="TB78" s="132">
        <f t="shared" si="141"/>
        <v>550000</v>
      </c>
      <c r="TC78" s="132">
        <f t="shared" si="142"/>
        <v>20000</v>
      </c>
      <c r="TD78" s="132">
        <f t="shared" si="143"/>
        <v>0</v>
      </c>
      <c r="TE78" s="132">
        <f t="shared" si="144"/>
        <v>0</v>
      </c>
      <c r="TF78" s="132">
        <f t="shared" si="145"/>
        <v>560000</v>
      </c>
      <c r="TG78" s="132">
        <f t="shared" si="146"/>
        <v>40000</v>
      </c>
      <c r="TH78" s="132">
        <f t="shared" si="147"/>
        <v>360000</v>
      </c>
      <c r="TI78" s="1"/>
      <c r="TJ78" s="131">
        <f t="shared" si="148"/>
        <v>7800000</v>
      </c>
      <c r="TK78" s="131">
        <f t="shared" si="149"/>
        <v>7800000</v>
      </c>
      <c r="TL78" s="131">
        <f t="shared" si="150"/>
        <v>7800000</v>
      </c>
      <c r="TM78" s="132">
        <f t="shared" si="151"/>
        <v>7800000</v>
      </c>
      <c r="TN78" s="132">
        <f t="shared" si="152"/>
        <v>0</v>
      </c>
      <c r="TO78" s="132">
        <f t="shared" si="153"/>
        <v>0</v>
      </c>
      <c r="TP78" s="132">
        <f t="shared" si="154"/>
        <v>0</v>
      </c>
      <c r="TQ78" s="131">
        <f t="shared" si="155"/>
        <v>0</v>
      </c>
      <c r="TR78" s="131">
        <f t="shared" si="156"/>
        <v>0</v>
      </c>
      <c r="TS78" s="132">
        <f t="shared" si="157"/>
        <v>0</v>
      </c>
      <c r="TT78" s="132">
        <f t="shared" si="158"/>
        <v>0</v>
      </c>
      <c r="TU78" s="132">
        <f t="shared" si="159"/>
        <v>0</v>
      </c>
      <c r="TV78" s="132">
        <f t="shared" si="160"/>
        <v>0</v>
      </c>
      <c r="TW78" s="132">
        <f t="shared" si="161"/>
        <v>0</v>
      </c>
      <c r="TX78" s="132">
        <f t="shared" si="162"/>
        <v>0</v>
      </c>
      <c r="TY78" s="131">
        <f t="shared" si="163"/>
        <v>0</v>
      </c>
      <c r="TZ78" s="132">
        <f t="shared" si="164"/>
        <v>0</v>
      </c>
      <c r="UA78" s="132">
        <f t="shared" si="165"/>
        <v>0</v>
      </c>
      <c r="UB78" s="132">
        <f t="shared" si="166"/>
        <v>0</v>
      </c>
      <c r="UC78" s="132">
        <f t="shared" si="167"/>
        <v>0</v>
      </c>
      <c r="UD78" s="132">
        <f t="shared" si="168"/>
        <v>0</v>
      </c>
      <c r="UE78" s="132">
        <f t="shared" si="169"/>
        <v>0</v>
      </c>
      <c r="UF78" s="132">
        <f t="shared" si="170"/>
        <v>0</v>
      </c>
      <c r="UG78" s="132">
        <f t="shared" si="171"/>
        <v>0</v>
      </c>
      <c r="UH78" s="132">
        <f t="shared" si="172"/>
        <v>0</v>
      </c>
      <c r="UI78" s="132">
        <f t="shared" si="173"/>
        <v>0</v>
      </c>
      <c r="UJ78" s="132">
        <f t="shared" si="174"/>
        <v>0</v>
      </c>
      <c r="UK78" s="132">
        <f t="shared" si="175"/>
        <v>0</v>
      </c>
      <c r="UL78" s="132">
        <f t="shared" si="210"/>
        <v>7800000</v>
      </c>
      <c r="UM78" s="131">
        <f t="shared" si="176"/>
        <v>7800000</v>
      </c>
      <c r="UN78" s="131">
        <f t="shared" si="177"/>
        <v>7800000</v>
      </c>
      <c r="UO78" s="131">
        <f t="shared" si="178"/>
        <v>7800000</v>
      </c>
      <c r="UP78" s="132">
        <f t="shared" si="179"/>
        <v>7800000</v>
      </c>
      <c r="UQ78" s="132">
        <f t="shared" si="180"/>
        <v>0</v>
      </c>
      <c r="UR78" s="132">
        <f t="shared" si="181"/>
        <v>0</v>
      </c>
      <c r="US78" s="132">
        <f t="shared" si="182"/>
        <v>0</v>
      </c>
      <c r="UT78" s="131">
        <f t="shared" si="183"/>
        <v>0</v>
      </c>
      <c r="UU78" s="131">
        <f t="shared" si="184"/>
        <v>0</v>
      </c>
      <c r="UV78" s="132">
        <f t="shared" si="185"/>
        <v>0</v>
      </c>
      <c r="UW78" s="132">
        <f t="shared" si="186"/>
        <v>0</v>
      </c>
      <c r="UX78" s="132">
        <f t="shared" si="187"/>
        <v>0</v>
      </c>
      <c r="UY78" s="132">
        <f t="shared" si="188"/>
        <v>0</v>
      </c>
      <c r="UZ78" s="132">
        <f t="shared" si="189"/>
        <v>0</v>
      </c>
      <c r="VA78" s="132">
        <f t="shared" si="190"/>
        <v>0</v>
      </c>
      <c r="VB78" s="131">
        <f t="shared" si="191"/>
        <v>0</v>
      </c>
      <c r="VC78" s="132">
        <f t="shared" si="192"/>
        <v>0</v>
      </c>
      <c r="VD78" s="132">
        <f t="shared" si="193"/>
        <v>0</v>
      </c>
      <c r="VE78" s="132">
        <f t="shared" si="194"/>
        <v>0</v>
      </c>
      <c r="VF78" s="132">
        <f t="shared" si="195"/>
        <v>0</v>
      </c>
      <c r="VG78" s="132">
        <f t="shared" si="196"/>
        <v>0</v>
      </c>
      <c r="VH78" s="132">
        <f t="shared" si="197"/>
        <v>0</v>
      </c>
      <c r="VI78" s="132">
        <f t="shared" si="198"/>
        <v>0</v>
      </c>
      <c r="VJ78" s="132">
        <f t="shared" si="199"/>
        <v>0</v>
      </c>
      <c r="VK78" s="132">
        <f t="shared" si="200"/>
        <v>0</v>
      </c>
      <c r="VL78" s="132">
        <f t="shared" si="201"/>
        <v>0</v>
      </c>
      <c r="VM78" s="132">
        <f t="shared" si="202"/>
        <v>0</v>
      </c>
      <c r="VN78" s="132">
        <f t="shared" si="203"/>
        <v>0</v>
      </c>
      <c r="VP78" s="845" t="str">
        <f>IFERROR(HLOOKUP(F78,'Hodnocení '!$C$1:$JH$5,2,FALSE),0)</f>
        <v>Domov odpočinku ve stáří Justynka</v>
      </c>
      <c r="VQ78" s="838"/>
      <c r="VR78" s="845" t="str">
        <f t="shared" si="211"/>
        <v>Příspěvková organizace zřízená územním samosprávným celkem</v>
      </c>
      <c r="VS78" s="845" t="str">
        <f>IFERROR(HLOOKUP(F78,'Hodnocení '!$C$1:$JH$5,5,FALSE),0)</f>
        <v>Obce</v>
      </c>
      <c r="VT78" s="838" t="str">
        <f t="shared" si="212"/>
        <v>Příspěvková organizace zřízená územním samosprávným celkem</v>
      </c>
      <c r="VU78" s="838">
        <f t="shared" si="213"/>
        <v>0</v>
      </c>
      <c r="VV78" s="838">
        <f t="shared" si="214"/>
        <v>15900000</v>
      </c>
      <c r="VW78" s="838">
        <f t="shared" si="215"/>
        <v>1200000</v>
      </c>
      <c r="VX78" s="838"/>
      <c r="VY78" s="838">
        <f t="shared" si="114"/>
        <v>0</v>
      </c>
      <c r="VZ78" s="838">
        <f t="shared" si="115"/>
        <v>7800000</v>
      </c>
      <c r="WA78" s="846">
        <f>IFERROR(HLOOKUP($F78,'Hodnocení '!$C$1:$JH$9,9,FALSE),0)</f>
        <v>7800000</v>
      </c>
      <c r="WB78" s="846">
        <f>IF(IFERROR(HLOOKUP($F78,'Hodnocení '!$C$1:$JH$13,13,FALSE),0)&gt;WA78,WA78,IFERROR(HLOOKUP($F78,'Hodnocení '!$C$1:$JH$13,13,FALSE),0))</f>
        <v>7800000</v>
      </c>
      <c r="WC78" s="846">
        <f>IFERROR(HLOOKUP($F78,'Hodnocení '!$C$1:$JH$155,155,FALSE),0)</f>
        <v>7582390</v>
      </c>
      <c r="WD78" s="845"/>
      <c r="WE78" s="845"/>
      <c r="WF78" s="845" t="str">
        <f t="shared" si="204"/>
        <v>ANO</v>
      </c>
      <c r="WG78" s="849" t="str">
        <f t="shared" si="117"/>
        <v>Podpora služby je vyjádřena zařazením do sítě sociálních služeb v KHK a řešením financování služby</v>
      </c>
      <c r="WH78"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78" s="849" t="str">
        <f t="shared" si="117"/>
        <v>Návrh dotace je výsledkem projednání s ostatními zadavateli v rámci sítě služeb KHK</v>
      </c>
      <c r="WJ78" s="849" t="str">
        <f t="shared" si="117"/>
        <v>Bez komentáře</v>
      </c>
      <c r="WK78" s="31" t="str">
        <f t="shared" si="205"/>
        <v>Výše příspěvku ze strany zřizovatele bude řešen v návaznosti na řešení podílů jednotlivých zadavatelů</v>
      </c>
      <c r="WL78" s="850">
        <f t="shared" si="206"/>
        <v>0</v>
      </c>
      <c r="WM78" s="849" t="str">
        <f t="shared" si="207"/>
        <v>V rámci sítě KHK se dlouhodobě řeší otázka navyšování úhrad a průběžně se monitoruje s vazbou na vykrytí vyrovnávací platby</v>
      </c>
      <c r="WN78" s="849" t="str">
        <f t="shared" si="208"/>
        <v>Otázka výběru od zdravotních pojišťoven je předmětem procesu, který probíhá ve formě jednání se ZP a organizacemi</v>
      </c>
      <c r="WO78" s="849" t="str">
        <f t="shared" si="118"/>
        <v>bez komentáře</v>
      </c>
      <c r="WP78" s="849" t="str">
        <f t="shared" si="118"/>
        <v>bez komentáře</v>
      </c>
      <c r="WQ78" s="849" t="str">
        <f t="shared" si="118"/>
        <v>Konečná výše dotace z rozpočtu KHK bude řešena v návaznosti na řešení podílů jednotlivých zadavatelů.</v>
      </c>
      <c r="WR78" s="849" t="str">
        <f t="shared" si="118"/>
        <v>Konečná výše podpory ze stran obcí bude řešena v součinnosti s jednotlivými zadavateli v průběhu roku.</v>
      </c>
      <c r="WS78" s="849" t="str">
        <f t="shared" si="118"/>
        <v>bez komentáře</v>
      </c>
      <c r="WT78" s="849" t="str">
        <f t="shared" si="118"/>
        <v>bez komentáře</v>
      </c>
      <c r="WU78" s="845"/>
    </row>
    <row r="79" spans="1:619" s="128" customFormat="1" x14ac:dyDescent="0.25">
      <c r="A79" s="128" t="str">
        <f>VLOOKUP(F79,'Výpočet VP 2020'!$D$324:$I$588,6,FALSE)</f>
        <v>Je v síti</v>
      </c>
      <c r="B79" s="128" t="s">
        <v>496</v>
      </c>
      <c r="C79" s="128">
        <v>195031</v>
      </c>
      <c r="D79" s="128" t="s">
        <v>497</v>
      </c>
      <c r="E79" s="128" t="s">
        <v>259</v>
      </c>
      <c r="F79" s="128">
        <v>1872907</v>
      </c>
      <c r="G79" s="128" t="s">
        <v>348</v>
      </c>
      <c r="H79" s="128" t="s">
        <v>218</v>
      </c>
      <c r="I79" s="128" t="s">
        <v>390</v>
      </c>
      <c r="J79" s="129">
        <v>39814</v>
      </c>
      <c r="L79" s="128" t="s">
        <v>220</v>
      </c>
      <c r="M79" s="128" t="s">
        <v>350</v>
      </c>
      <c r="N79" s="128">
        <v>45</v>
      </c>
      <c r="P79" s="128">
        <v>42</v>
      </c>
      <c r="Q79" s="128">
        <v>42</v>
      </c>
      <c r="R79" s="128">
        <v>45</v>
      </c>
      <c r="W79" s="128" t="s">
        <v>498</v>
      </c>
      <c r="BL79" s="128" t="s">
        <v>351</v>
      </c>
      <c r="BM79" s="128" t="s">
        <v>325</v>
      </c>
      <c r="BN79" s="128" t="s">
        <v>326</v>
      </c>
      <c r="DA79" s="128">
        <v>0</v>
      </c>
      <c r="DB79" s="128">
        <v>0</v>
      </c>
      <c r="DC79" s="128">
        <v>0</v>
      </c>
      <c r="DD79" s="128">
        <v>0</v>
      </c>
      <c r="DE79" s="128">
        <v>0</v>
      </c>
      <c r="DF79" s="128">
        <v>4</v>
      </c>
      <c r="DG79" s="128">
        <v>7</v>
      </c>
      <c r="DH79" s="128">
        <v>13</v>
      </c>
      <c r="DI79" s="128">
        <v>18</v>
      </c>
      <c r="DJ79" s="128">
        <v>0</v>
      </c>
      <c r="DK79" s="128">
        <v>4</v>
      </c>
      <c r="DL79" s="128">
        <v>7</v>
      </c>
      <c r="DM79" s="128">
        <v>13</v>
      </c>
      <c r="DN79" s="128">
        <v>18</v>
      </c>
      <c r="DO79" s="128">
        <v>0</v>
      </c>
      <c r="DP79" s="128">
        <v>0</v>
      </c>
      <c r="DQ79" s="128">
        <v>42</v>
      </c>
      <c r="DR79" s="128">
        <v>42</v>
      </c>
      <c r="DS79" s="128">
        <v>0</v>
      </c>
      <c r="DT79" s="128">
        <v>0</v>
      </c>
      <c r="DU79" s="128">
        <v>0</v>
      </c>
      <c r="DV79" s="128">
        <v>0</v>
      </c>
      <c r="DW79" s="128">
        <v>0</v>
      </c>
      <c r="DX79" s="128">
        <v>4</v>
      </c>
      <c r="DY79" s="128">
        <v>6</v>
      </c>
      <c r="DZ79" s="128">
        <v>16</v>
      </c>
      <c r="EA79" s="128">
        <v>19</v>
      </c>
      <c r="EB79" s="128">
        <v>0</v>
      </c>
      <c r="EC79" s="128">
        <v>4</v>
      </c>
      <c r="ED79" s="128">
        <v>6</v>
      </c>
      <c r="EE79" s="128">
        <v>16</v>
      </c>
      <c r="EF79" s="128">
        <v>19</v>
      </c>
      <c r="EG79" s="128">
        <v>0</v>
      </c>
      <c r="EH79" s="128">
        <v>0</v>
      </c>
      <c r="EI79" s="128">
        <v>45</v>
      </c>
      <c r="EJ79" s="128">
        <v>45</v>
      </c>
      <c r="EK79" s="128">
        <v>1</v>
      </c>
      <c r="EL79" s="128">
        <v>1</v>
      </c>
      <c r="EM79" s="128">
        <v>1</v>
      </c>
      <c r="EN79" s="128">
        <v>690000</v>
      </c>
      <c r="EO79" s="128">
        <v>500000</v>
      </c>
      <c r="EP79" s="128">
        <v>13</v>
      </c>
      <c r="EQ79" s="128">
        <v>13</v>
      </c>
      <c r="ER79" s="128">
        <v>11</v>
      </c>
      <c r="ES79" s="128">
        <v>7570000</v>
      </c>
      <c r="ET79" s="128">
        <v>5450000</v>
      </c>
      <c r="EU79" s="128">
        <v>6</v>
      </c>
      <c r="EV79" s="128">
        <v>6</v>
      </c>
      <c r="EW79" s="128">
        <v>6</v>
      </c>
      <c r="EX79" s="128">
        <v>4335000</v>
      </c>
      <c r="EY79" s="128">
        <v>0</v>
      </c>
      <c r="FO79" s="128">
        <v>13</v>
      </c>
      <c r="FP79" s="128">
        <v>13</v>
      </c>
      <c r="FQ79" s="128">
        <v>11</v>
      </c>
      <c r="FR79" s="128">
        <v>6560400</v>
      </c>
      <c r="FS79" s="128">
        <v>3950000</v>
      </c>
      <c r="IS79" s="128">
        <v>3</v>
      </c>
      <c r="IT79" s="128">
        <v>760</v>
      </c>
      <c r="IU79" s="128">
        <v>0.36299999999999999</v>
      </c>
      <c r="IV79" s="128">
        <v>76600</v>
      </c>
      <c r="IW79" s="128">
        <v>0</v>
      </c>
      <c r="KG79" s="128">
        <v>0</v>
      </c>
      <c r="KI79" s="128">
        <v>20</v>
      </c>
      <c r="KJ79" s="128">
        <v>0</v>
      </c>
      <c r="KK79" s="128">
        <v>0</v>
      </c>
      <c r="KL79" s="128">
        <v>0</v>
      </c>
      <c r="KM79" s="128">
        <v>20</v>
      </c>
      <c r="KN79" s="128">
        <v>19155400</v>
      </c>
      <c r="KO79" s="128">
        <v>9900000</v>
      </c>
      <c r="KP79" s="128">
        <v>9900000</v>
      </c>
      <c r="KT79" s="128">
        <v>0</v>
      </c>
      <c r="KU79" s="128">
        <v>0</v>
      </c>
      <c r="KV79" s="128">
        <v>0</v>
      </c>
      <c r="KZ79" s="128">
        <v>76600</v>
      </c>
      <c r="LA79" s="128">
        <v>0</v>
      </c>
      <c r="LB79" s="128">
        <v>0</v>
      </c>
      <c r="LF79" s="128">
        <v>250000</v>
      </c>
      <c r="LG79" s="128">
        <v>0</v>
      </c>
      <c r="LH79" s="128">
        <v>0</v>
      </c>
      <c r="LL79" s="128">
        <v>0</v>
      </c>
      <c r="LM79" s="128">
        <v>0</v>
      </c>
      <c r="LN79" s="128">
        <v>0</v>
      </c>
      <c r="LR79" s="128">
        <v>600000</v>
      </c>
      <c r="LS79" s="128">
        <v>0</v>
      </c>
      <c r="LT79" s="128">
        <v>0</v>
      </c>
      <c r="LX79" s="128">
        <v>1750000</v>
      </c>
      <c r="LY79" s="128">
        <v>0</v>
      </c>
      <c r="LZ79" s="128">
        <v>0</v>
      </c>
      <c r="MD79" s="128">
        <v>50000</v>
      </c>
      <c r="ME79" s="128">
        <v>0</v>
      </c>
      <c r="MF79" s="128">
        <v>0</v>
      </c>
      <c r="MJ79" s="128">
        <v>60000</v>
      </c>
      <c r="MK79" s="128">
        <v>0</v>
      </c>
      <c r="ML79" s="128">
        <v>0</v>
      </c>
      <c r="MP79" s="128">
        <v>850000</v>
      </c>
      <c r="MQ79" s="128">
        <v>0</v>
      </c>
      <c r="MR79" s="128">
        <v>0</v>
      </c>
      <c r="MV79" s="128">
        <v>900000</v>
      </c>
      <c r="MW79" s="128">
        <v>0</v>
      </c>
      <c r="MX79" s="128">
        <v>0</v>
      </c>
      <c r="NB79" s="128">
        <v>60000</v>
      </c>
      <c r="NC79" s="128">
        <v>0</v>
      </c>
      <c r="ND79" s="128">
        <v>0</v>
      </c>
      <c r="NH79" s="128">
        <v>0</v>
      </c>
      <c r="NI79" s="128">
        <v>0</v>
      </c>
      <c r="NJ79" s="128">
        <v>0</v>
      </c>
      <c r="NN79" s="128">
        <v>60000</v>
      </c>
      <c r="NO79" s="128">
        <v>0</v>
      </c>
      <c r="NP79" s="128">
        <v>0</v>
      </c>
      <c r="NT79" s="128">
        <v>100000</v>
      </c>
      <c r="NU79" s="128">
        <v>0</v>
      </c>
      <c r="NV79" s="128">
        <v>0</v>
      </c>
      <c r="NZ79" s="128">
        <v>600000</v>
      </c>
      <c r="OA79" s="128">
        <v>0</v>
      </c>
      <c r="OB79" s="128">
        <v>0</v>
      </c>
      <c r="OF79" s="128">
        <v>25000</v>
      </c>
      <c r="OG79" s="128">
        <v>0</v>
      </c>
      <c r="OH79" s="128">
        <v>0</v>
      </c>
      <c r="OL79" s="128">
        <v>0</v>
      </c>
      <c r="OM79" s="128">
        <v>0</v>
      </c>
      <c r="ON79" s="128">
        <v>0</v>
      </c>
      <c r="OR79" s="128">
        <v>0</v>
      </c>
      <c r="OS79" s="128">
        <v>0</v>
      </c>
      <c r="OT79" s="128">
        <v>0</v>
      </c>
      <c r="OX79" s="128">
        <v>500000</v>
      </c>
      <c r="OY79" s="128">
        <v>0</v>
      </c>
      <c r="OZ79" s="128">
        <v>0</v>
      </c>
      <c r="PD79" s="128">
        <v>455000</v>
      </c>
      <c r="PE79" s="128">
        <v>0</v>
      </c>
      <c r="PF79" s="128">
        <v>0</v>
      </c>
      <c r="PJ79" s="128">
        <v>7000</v>
      </c>
      <c r="PK79" s="128">
        <v>0</v>
      </c>
      <c r="PL79" s="128">
        <v>0</v>
      </c>
      <c r="PP79" s="128">
        <v>25499000</v>
      </c>
      <c r="PQ79" s="128">
        <v>9900000</v>
      </c>
      <c r="PR79" s="128">
        <v>9900000</v>
      </c>
      <c r="PS79" s="128">
        <v>100</v>
      </c>
      <c r="PT79" s="128">
        <v>100</v>
      </c>
      <c r="PV79" s="128">
        <v>12905153</v>
      </c>
      <c r="PX79" s="128">
        <v>6153800</v>
      </c>
      <c r="PY79" s="128">
        <v>6220656</v>
      </c>
      <c r="PZ79" s="128">
        <v>9900000</v>
      </c>
      <c r="QA79" s="128">
        <v>0</v>
      </c>
      <c r="QB79" s="128">
        <v>0</v>
      </c>
      <c r="QC79" s="128">
        <v>0</v>
      </c>
      <c r="QD79" s="128">
        <v>0</v>
      </c>
      <c r="QE79" s="128">
        <v>0</v>
      </c>
      <c r="QF79" s="128">
        <v>0</v>
      </c>
      <c r="QG79" s="128">
        <v>3062000</v>
      </c>
      <c r="QH79" s="128">
        <v>2984000</v>
      </c>
      <c r="QI79" s="128">
        <v>3000000</v>
      </c>
      <c r="QJ79" s="128">
        <v>9153836</v>
      </c>
      <c r="QK79" s="128">
        <v>9633000</v>
      </c>
      <c r="QL79" s="128">
        <v>10321000</v>
      </c>
      <c r="QN79" s="128">
        <v>1349457</v>
      </c>
      <c r="QO79" s="128">
        <v>1820000</v>
      </c>
      <c r="QP79" s="128">
        <v>1950000</v>
      </c>
      <c r="QX79" s="128">
        <v>7000</v>
      </c>
      <c r="QY79" s="128">
        <v>8000</v>
      </c>
      <c r="QZ79" s="128">
        <v>8000</v>
      </c>
      <c r="RD79" s="128">
        <v>374755</v>
      </c>
      <c r="RE79" s="128">
        <v>345800</v>
      </c>
      <c r="RF79" s="128">
        <v>320000</v>
      </c>
      <c r="RH79" s="128">
        <f t="shared" si="209"/>
        <v>13228000</v>
      </c>
      <c r="RI79" s="128">
        <v>0</v>
      </c>
      <c r="RM79" s="128" t="s">
        <v>220</v>
      </c>
      <c r="RU79" s="130"/>
      <c r="RV79" s="130"/>
      <c r="RW79" s="130"/>
      <c r="RX79" s="130"/>
      <c r="SF79" s="128">
        <f t="shared" si="119"/>
        <v>1872907</v>
      </c>
      <c r="SG79" s="131">
        <f t="shared" si="120"/>
        <v>25499000</v>
      </c>
      <c r="SH79" s="131">
        <f t="shared" si="121"/>
        <v>25499000</v>
      </c>
      <c r="SI79" s="131">
        <f t="shared" si="122"/>
        <v>19482000</v>
      </c>
      <c r="SJ79" s="132">
        <f t="shared" si="123"/>
        <v>19155400</v>
      </c>
      <c r="SK79" s="132">
        <f t="shared" si="124"/>
        <v>0</v>
      </c>
      <c r="SL79" s="132">
        <f t="shared" si="125"/>
        <v>76600</v>
      </c>
      <c r="SM79" s="132">
        <f t="shared" si="126"/>
        <v>250000</v>
      </c>
      <c r="SN79" s="131">
        <f t="shared" si="127"/>
        <v>6017000</v>
      </c>
      <c r="SO79" s="131">
        <f t="shared" si="128"/>
        <v>600000</v>
      </c>
      <c r="SP79" s="132">
        <f t="shared" si="129"/>
        <v>0</v>
      </c>
      <c r="SQ79" s="132">
        <f t="shared" si="130"/>
        <v>600000</v>
      </c>
      <c r="SR79" s="132">
        <f t="shared" si="131"/>
        <v>1750000</v>
      </c>
      <c r="SS79" s="132">
        <f t="shared" si="132"/>
        <v>50000</v>
      </c>
      <c r="ST79" s="132">
        <f t="shared" si="133"/>
        <v>60000</v>
      </c>
      <c r="SU79" s="132">
        <f t="shared" si="134"/>
        <v>850000</v>
      </c>
      <c r="SV79" s="131">
        <f t="shared" si="135"/>
        <v>2245000</v>
      </c>
      <c r="SW79" s="132">
        <f t="shared" si="136"/>
        <v>900000</v>
      </c>
      <c r="SX79" s="132">
        <f t="shared" si="137"/>
        <v>60000</v>
      </c>
      <c r="SY79" s="132">
        <f t="shared" si="138"/>
        <v>0</v>
      </c>
      <c r="SZ79" s="132">
        <f t="shared" si="139"/>
        <v>60000</v>
      </c>
      <c r="TA79" s="132">
        <f t="shared" si="140"/>
        <v>100000</v>
      </c>
      <c r="TB79" s="132">
        <f t="shared" si="141"/>
        <v>600000</v>
      </c>
      <c r="TC79" s="132">
        <f t="shared" si="142"/>
        <v>25000</v>
      </c>
      <c r="TD79" s="132">
        <f t="shared" si="143"/>
        <v>0</v>
      </c>
      <c r="TE79" s="132">
        <f t="shared" si="144"/>
        <v>0</v>
      </c>
      <c r="TF79" s="132">
        <f t="shared" si="145"/>
        <v>500000</v>
      </c>
      <c r="TG79" s="132">
        <f t="shared" si="146"/>
        <v>455000</v>
      </c>
      <c r="TH79" s="132">
        <f t="shared" si="147"/>
        <v>7000</v>
      </c>
      <c r="TI79" s="1"/>
      <c r="TJ79" s="131">
        <f t="shared" si="148"/>
        <v>9900000</v>
      </c>
      <c r="TK79" s="131">
        <f t="shared" si="149"/>
        <v>9900000</v>
      </c>
      <c r="TL79" s="131">
        <f t="shared" si="150"/>
        <v>9900000</v>
      </c>
      <c r="TM79" s="132">
        <f t="shared" si="151"/>
        <v>9900000</v>
      </c>
      <c r="TN79" s="132">
        <f t="shared" si="152"/>
        <v>0</v>
      </c>
      <c r="TO79" s="132">
        <f t="shared" si="153"/>
        <v>0</v>
      </c>
      <c r="TP79" s="132">
        <f t="shared" si="154"/>
        <v>0</v>
      </c>
      <c r="TQ79" s="131">
        <f t="shared" si="155"/>
        <v>0</v>
      </c>
      <c r="TR79" s="131">
        <f t="shared" si="156"/>
        <v>0</v>
      </c>
      <c r="TS79" s="132">
        <f t="shared" si="157"/>
        <v>0</v>
      </c>
      <c r="TT79" s="132">
        <f t="shared" si="158"/>
        <v>0</v>
      </c>
      <c r="TU79" s="132">
        <f t="shared" si="159"/>
        <v>0</v>
      </c>
      <c r="TV79" s="132">
        <f t="shared" si="160"/>
        <v>0</v>
      </c>
      <c r="TW79" s="132">
        <f t="shared" si="161"/>
        <v>0</v>
      </c>
      <c r="TX79" s="132">
        <f t="shared" si="162"/>
        <v>0</v>
      </c>
      <c r="TY79" s="131">
        <f t="shared" si="163"/>
        <v>0</v>
      </c>
      <c r="TZ79" s="132">
        <f t="shared" si="164"/>
        <v>0</v>
      </c>
      <c r="UA79" s="132">
        <f t="shared" si="165"/>
        <v>0</v>
      </c>
      <c r="UB79" s="132">
        <f t="shared" si="166"/>
        <v>0</v>
      </c>
      <c r="UC79" s="132">
        <f t="shared" si="167"/>
        <v>0</v>
      </c>
      <c r="UD79" s="132">
        <f t="shared" si="168"/>
        <v>0</v>
      </c>
      <c r="UE79" s="132">
        <f t="shared" si="169"/>
        <v>0</v>
      </c>
      <c r="UF79" s="132">
        <f t="shared" si="170"/>
        <v>0</v>
      </c>
      <c r="UG79" s="132">
        <f t="shared" si="171"/>
        <v>0</v>
      </c>
      <c r="UH79" s="132">
        <f t="shared" si="172"/>
        <v>0</v>
      </c>
      <c r="UI79" s="132">
        <f t="shared" si="173"/>
        <v>0</v>
      </c>
      <c r="UJ79" s="132">
        <f t="shared" si="174"/>
        <v>0</v>
      </c>
      <c r="UK79" s="132">
        <f t="shared" si="175"/>
        <v>0</v>
      </c>
      <c r="UL79" s="132">
        <f t="shared" si="210"/>
        <v>9900000</v>
      </c>
      <c r="UM79" s="131">
        <f t="shared" si="176"/>
        <v>9900000</v>
      </c>
      <c r="UN79" s="131">
        <f t="shared" si="177"/>
        <v>9900000</v>
      </c>
      <c r="UO79" s="131">
        <f t="shared" si="178"/>
        <v>9900000</v>
      </c>
      <c r="UP79" s="132">
        <f t="shared" si="179"/>
        <v>9900000</v>
      </c>
      <c r="UQ79" s="132">
        <f t="shared" si="180"/>
        <v>0</v>
      </c>
      <c r="UR79" s="132">
        <f t="shared" si="181"/>
        <v>0</v>
      </c>
      <c r="US79" s="132">
        <f t="shared" si="182"/>
        <v>0</v>
      </c>
      <c r="UT79" s="131">
        <f t="shared" si="183"/>
        <v>0</v>
      </c>
      <c r="UU79" s="131">
        <f t="shared" si="184"/>
        <v>0</v>
      </c>
      <c r="UV79" s="132">
        <f t="shared" si="185"/>
        <v>0</v>
      </c>
      <c r="UW79" s="132">
        <f t="shared" si="186"/>
        <v>0</v>
      </c>
      <c r="UX79" s="132">
        <f t="shared" si="187"/>
        <v>0</v>
      </c>
      <c r="UY79" s="132">
        <f t="shared" si="188"/>
        <v>0</v>
      </c>
      <c r="UZ79" s="132">
        <f t="shared" si="189"/>
        <v>0</v>
      </c>
      <c r="VA79" s="132">
        <f t="shared" si="190"/>
        <v>0</v>
      </c>
      <c r="VB79" s="131">
        <f t="shared" si="191"/>
        <v>0</v>
      </c>
      <c r="VC79" s="132">
        <f t="shared" si="192"/>
        <v>0</v>
      </c>
      <c r="VD79" s="132">
        <f t="shared" si="193"/>
        <v>0</v>
      </c>
      <c r="VE79" s="132">
        <f t="shared" si="194"/>
        <v>0</v>
      </c>
      <c r="VF79" s="132">
        <f t="shared" si="195"/>
        <v>0</v>
      </c>
      <c r="VG79" s="132">
        <f t="shared" si="196"/>
        <v>0</v>
      </c>
      <c r="VH79" s="132">
        <f t="shared" si="197"/>
        <v>0</v>
      </c>
      <c r="VI79" s="132">
        <f t="shared" si="198"/>
        <v>0</v>
      </c>
      <c r="VJ79" s="132">
        <f t="shared" si="199"/>
        <v>0</v>
      </c>
      <c r="VK79" s="132">
        <f t="shared" si="200"/>
        <v>0</v>
      </c>
      <c r="VL79" s="132">
        <f t="shared" si="201"/>
        <v>0</v>
      </c>
      <c r="VM79" s="132">
        <f t="shared" si="202"/>
        <v>0</v>
      </c>
      <c r="VN79" s="132">
        <f t="shared" si="203"/>
        <v>0</v>
      </c>
      <c r="VP79" s="845" t="str">
        <f>IFERROR(HLOOKUP(F79,'Hodnocení '!$C$1:$JH$5,2,FALSE),0)</f>
        <v>Domov pro seniory Pilníkov</v>
      </c>
      <c r="VQ79" s="838"/>
      <c r="VR79" s="845" t="str">
        <f t="shared" si="211"/>
        <v>Příspěvková organizace zřízená územním samosprávným celkem</v>
      </c>
      <c r="VS79" s="845" t="str">
        <f>IFERROR(HLOOKUP(F79,'Hodnocení '!$C$1:$JH$5,5,FALSE),0)</f>
        <v>PO KHK</v>
      </c>
      <c r="VT79" s="838">
        <f t="shared" si="212"/>
        <v>0</v>
      </c>
      <c r="VU79" s="838" t="str">
        <f t="shared" si="213"/>
        <v>PO KHK</v>
      </c>
      <c r="VV79" s="838">
        <f t="shared" si="214"/>
        <v>10321000</v>
      </c>
      <c r="VW79" s="838">
        <f t="shared" si="215"/>
        <v>1950000</v>
      </c>
      <c r="VX79" s="838"/>
      <c r="VY79" s="838">
        <f t="shared" si="114"/>
        <v>0</v>
      </c>
      <c r="VZ79" s="838">
        <f t="shared" si="115"/>
        <v>9900000</v>
      </c>
      <c r="WA79" s="846">
        <f>IFERROR(HLOOKUP($F79,'Hodnocení '!$C$1:$JH$9,9,FALSE),0)</f>
        <v>9900000</v>
      </c>
      <c r="WB79" s="846">
        <f>IF(IFERROR(HLOOKUP($F79,'Hodnocení '!$C$1:$JH$13,13,FALSE),0)&gt;WA79,WA79,IFERROR(HLOOKUP($F79,'Hodnocení '!$C$1:$JH$13,13,FALSE),0))</f>
        <v>9900000</v>
      </c>
      <c r="WC79" s="846">
        <f>IFERROR(HLOOKUP($F79,'Hodnocení '!$C$1:$JH$155,155,FALSE),0)</f>
        <v>7291660</v>
      </c>
      <c r="WD79" s="845"/>
      <c r="WE79" s="845"/>
      <c r="WF79" s="845" t="str">
        <f t="shared" si="204"/>
        <v>ANO</v>
      </c>
      <c r="WG79" s="849" t="str">
        <f t="shared" si="117"/>
        <v>Podpora služby je vyjádřena zařazením do sítě sociálních služeb v KHK a řešením financování služby</v>
      </c>
      <c r="WH79"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79" s="849" t="str">
        <f t="shared" si="117"/>
        <v>Návrh dotace je výsledkem projednání s ostatními zadavateli v rámci sítě služeb KHK</v>
      </c>
      <c r="WJ79" s="849" t="str">
        <f t="shared" si="117"/>
        <v>Bez komentáře</v>
      </c>
      <c r="WK79" s="31">
        <f t="shared" si="205"/>
        <v>0</v>
      </c>
      <c r="WL79" s="850" t="str">
        <f t="shared" si="206"/>
        <v>Případná úprava příspěvku zřizovatele bude řešena v návaznosti na vývoj služby</v>
      </c>
      <c r="WM79" s="849" t="str">
        <f t="shared" si="207"/>
        <v>V rámci sítě KHK se dlouhodobě řeší otázka navyšování úhrad a průběžně se monitoruje s vazbou na vykrytí vyrovnávací platby</v>
      </c>
      <c r="WN79" s="849" t="str">
        <f t="shared" si="208"/>
        <v>Otázka výběru od zdravotních pojišťoven je předmětem procesu, který probíhá ve formě jednání se ZP a organizacemi</v>
      </c>
      <c r="WO79" s="849" t="str">
        <f t="shared" si="118"/>
        <v>bez komentáře</v>
      </c>
      <c r="WP79" s="849" t="str">
        <f t="shared" si="118"/>
        <v>bez komentáře</v>
      </c>
      <c r="WQ79" s="849" t="str">
        <f t="shared" si="118"/>
        <v>Konečná výše dotace z rozpočtu KHK bude řešena v návaznosti na řešení podílů jednotlivých zadavatelů.</v>
      </c>
      <c r="WR79" s="849" t="str">
        <f t="shared" si="118"/>
        <v>Konečná výše podpory ze stran obcí bude řešena v součinnosti s jednotlivými zadavateli v průběhu roku.</v>
      </c>
      <c r="WS79" s="849" t="str">
        <f t="shared" si="118"/>
        <v>bez komentáře</v>
      </c>
      <c r="WT79" s="849" t="str">
        <f t="shared" si="118"/>
        <v>bez komentáře</v>
      </c>
      <c r="WU79" s="845"/>
    </row>
    <row r="80" spans="1:619" s="128" customFormat="1" x14ac:dyDescent="0.25">
      <c r="A80" s="128" t="str">
        <f>VLOOKUP(F80,'Výpočet VP 2020'!$D$324:$I$588,6,FALSE)</f>
        <v>Je v síti</v>
      </c>
      <c r="B80" s="128" t="s">
        <v>499</v>
      </c>
      <c r="C80" s="128">
        <v>70153906</v>
      </c>
      <c r="D80" s="128" t="s">
        <v>500</v>
      </c>
      <c r="E80" s="128" t="s">
        <v>259</v>
      </c>
      <c r="F80" s="128">
        <v>9688838</v>
      </c>
      <c r="G80" s="128" t="s">
        <v>348</v>
      </c>
      <c r="H80" s="128" t="s">
        <v>218</v>
      </c>
      <c r="I80" s="128" t="s">
        <v>499</v>
      </c>
      <c r="J80" s="129">
        <v>39083</v>
      </c>
      <c r="L80" s="128" t="s">
        <v>220</v>
      </c>
      <c r="M80" s="128" t="s">
        <v>501</v>
      </c>
      <c r="N80" s="128">
        <v>124</v>
      </c>
      <c r="P80" s="128">
        <v>124</v>
      </c>
      <c r="Q80" s="128">
        <v>124</v>
      </c>
      <c r="R80" s="128">
        <v>124</v>
      </c>
      <c r="BL80" s="128" t="s">
        <v>351</v>
      </c>
      <c r="BM80" s="128" t="s">
        <v>325</v>
      </c>
      <c r="BN80" s="128" t="s">
        <v>352</v>
      </c>
      <c r="DA80" s="128">
        <v>0</v>
      </c>
      <c r="DB80" s="128">
        <v>0</v>
      </c>
      <c r="DC80" s="128">
        <v>0</v>
      </c>
      <c r="DD80" s="128">
        <v>0</v>
      </c>
      <c r="DE80" s="128">
        <v>0</v>
      </c>
      <c r="DF80" s="128">
        <v>9</v>
      </c>
      <c r="DG80" s="128">
        <v>25</v>
      </c>
      <c r="DH80" s="128">
        <v>41</v>
      </c>
      <c r="DI80" s="128">
        <v>43</v>
      </c>
      <c r="DJ80" s="128">
        <v>6</v>
      </c>
      <c r="DK80" s="128">
        <v>9</v>
      </c>
      <c r="DL80" s="128">
        <v>25</v>
      </c>
      <c r="DM80" s="128">
        <v>41</v>
      </c>
      <c r="DN80" s="128">
        <v>43</v>
      </c>
      <c r="DO80" s="128">
        <v>6</v>
      </c>
      <c r="DP80" s="128">
        <v>0</v>
      </c>
      <c r="DQ80" s="128">
        <v>124</v>
      </c>
      <c r="DR80" s="128">
        <v>124</v>
      </c>
      <c r="DS80" s="128">
        <v>0</v>
      </c>
      <c r="DT80" s="128">
        <v>0</v>
      </c>
      <c r="DU80" s="128">
        <v>0</v>
      </c>
      <c r="DV80" s="128">
        <v>0</v>
      </c>
      <c r="DW80" s="128">
        <v>0</v>
      </c>
      <c r="DX80" s="128">
        <v>0</v>
      </c>
      <c r="DY80" s="128">
        <v>28</v>
      </c>
      <c r="DZ80" s="128">
        <v>48</v>
      </c>
      <c r="EA80" s="128">
        <v>48</v>
      </c>
      <c r="EB80" s="128">
        <v>0</v>
      </c>
      <c r="EC80" s="128">
        <v>0</v>
      </c>
      <c r="ED80" s="128">
        <v>28</v>
      </c>
      <c r="EE80" s="128">
        <v>48</v>
      </c>
      <c r="EF80" s="128">
        <v>48</v>
      </c>
      <c r="EG80" s="128">
        <v>0</v>
      </c>
      <c r="EH80" s="128">
        <v>0</v>
      </c>
      <c r="EI80" s="128">
        <v>124</v>
      </c>
      <c r="EJ80" s="128">
        <v>124</v>
      </c>
      <c r="EK80" s="128">
        <v>4</v>
      </c>
      <c r="EL80" s="128">
        <v>4</v>
      </c>
      <c r="EM80" s="128">
        <v>4</v>
      </c>
      <c r="EN80" s="128">
        <v>2183000</v>
      </c>
      <c r="EO80" s="128">
        <v>0</v>
      </c>
      <c r="EP80" s="128">
        <v>42</v>
      </c>
      <c r="EQ80" s="128">
        <v>41</v>
      </c>
      <c r="ER80" s="128">
        <v>41</v>
      </c>
      <c r="ES80" s="128">
        <v>21134000</v>
      </c>
      <c r="ET80" s="128">
        <v>16000000</v>
      </c>
      <c r="EU80" s="128">
        <v>20</v>
      </c>
      <c r="EV80" s="128">
        <v>19</v>
      </c>
      <c r="EW80" s="128">
        <v>19</v>
      </c>
      <c r="EX80" s="128">
        <v>13150000</v>
      </c>
      <c r="EY80" s="128">
        <v>0</v>
      </c>
      <c r="FO80" s="128">
        <v>29</v>
      </c>
      <c r="FP80" s="128">
        <v>27</v>
      </c>
      <c r="FQ80" s="128">
        <v>27</v>
      </c>
      <c r="FR80" s="128">
        <v>11455000</v>
      </c>
      <c r="FS80" s="128">
        <v>0</v>
      </c>
      <c r="IS80" s="128">
        <v>3</v>
      </c>
      <c r="IT80" s="128">
        <v>825</v>
      </c>
      <c r="IU80" s="128">
        <v>0.39400000000000002</v>
      </c>
      <c r="IV80" s="128">
        <v>99975</v>
      </c>
      <c r="IW80" s="128">
        <v>0</v>
      </c>
      <c r="KG80" s="128">
        <v>10</v>
      </c>
      <c r="KH80" s="128">
        <v>92</v>
      </c>
      <c r="KI80" s="128">
        <v>64</v>
      </c>
      <c r="KJ80" s="128">
        <v>0</v>
      </c>
      <c r="KK80" s="128">
        <v>0</v>
      </c>
      <c r="KL80" s="128">
        <v>0</v>
      </c>
      <c r="KM80" s="128">
        <v>64</v>
      </c>
      <c r="KN80" s="128">
        <v>47922000</v>
      </c>
      <c r="KO80" s="128">
        <v>16000000</v>
      </c>
      <c r="KP80" s="128">
        <v>16000000</v>
      </c>
      <c r="KT80" s="128">
        <v>0</v>
      </c>
      <c r="KU80" s="128">
        <v>0</v>
      </c>
      <c r="KV80" s="128">
        <v>0</v>
      </c>
      <c r="KZ80" s="128">
        <v>99975</v>
      </c>
      <c r="LA80" s="128">
        <v>0</v>
      </c>
      <c r="LB80" s="128">
        <v>0</v>
      </c>
      <c r="LF80" s="128">
        <v>0</v>
      </c>
      <c r="LG80" s="128">
        <v>0</v>
      </c>
      <c r="LH80" s="128">
        <v>0</v>
      </c>
      <c r="LL80" s="128">
        <v>100000</v>
      </c>
      <c r="LM80" s="128">
        <v>0</v>
      </c>
      <c r="LN80" s="128">
        <v>0</v>
      </c>
      <c r="LR80" s="128">
        <v>0</v>
      </c>
      <c r="LS80" s="128">
        <v>0</v>
      </c>
      <c r="LT80" s="128">
        <v>0</v>
      </c>
      <c r="LX80" s="128">
        <v>3900000</v>
      </c>
      <c r="LY80" s="128">
        <v>0</v>
      </c>
      <c r="LZ80" s="128">
        <v>0</v>
      </c>
      <c r="MD80" s="128">
        <v>70000</v>
      </c>
      <c r="ME80" s="128">
        <v>0</v>
      </c>
      <c r="MF80" s="128">
        <v>0</v>
      </c>
      <c r="MJ80" s="128">
        <v>50000</v>
      </c>
      <c r="MK80" s="128">
        <v>0</v>
      </c>
      <c r="ML80" s="128">
        <v>0</v>
      </c>
      <c r="MP80" s="128">
        <v>1315000</v>
      </c>
      <c r="MQ80" s="128">
        <v>0</v>
      </c>
      <c r="MR80" s="128">
        <v>0</v>
      </c>
      <c r="MV80" s="128">
        <v>3000000</v>
      </c>
      <c r="MW80" s="128">
        <v>0</v>
      </c>
      <c r="MX80" s="128">
        <v>0</v>
      </c>
      <c r="NB80" s="128">
        <v>114000</v>
      </c>
      <c r="NC80" s="128">
        <v>0</v>
      </c>
      <c r="ND80" s="128">
        <v>0</v>
      </c>
      <c r="NH80" s="128">
        <v>0</v>
      </c>
      <c r="NI80" s="128">
        <v>0</v>
      </c>
      <c r="NJ80" s="128">
        <v>0</v>
      </c>
      <c r="NN80" s="128">
        <v>0</v>
      </c>
      <c r="NO80" s="128">
        <v>0</v>
      </c>
      <c r="NP80" s="128">
        <v>0</v>
      </c>
      <c r="NT80" s="128">
        <v>150000</v>
      </c>
      <c r="NU80" s="128">
        <v>0</v>
      </c>
      <c r="NV80" s="128">
        <v>0</v>
      </c>
      <c r="NZ80" s="128">
        <v>800000</v>
      </c>
      <c r="OA80" s="128">
        <v>0</v>
      </c>
      <c r="OB80" s="128">
        <v>0</v>
      </c>
      <c r="OF80" s="128">
        <v>10000</v>
      </c>
      <c r="OG80" s="128">
        <v>0</v>
      </c>
      <c r="OH80" s="128">
        <v>0</v>
      </c>
      <c r="OL80" s="128">
        <v>0</v>
      </c>
      <c r="OM80" s="128">
        <v>0</v>
      </c>
      <c r="ON80" s="128">
        <v>0</v>
      </c>
      <c r="OR80" s="128">
        <v>0</v>
      </c>
      <c r="OS80" s="128">
        <v>0</v>
      </c>
      <c r="OT80" s="128">
        <v>0</v>
      </c>
      <c r="OX80" s="128">
        <v>1158000</v>
      </c>
      <c r="OY80" s="128">
        <v>0</v>
      </c>
      <c r="OZ80" s="128">
        <v>0</v>
      </c>
      <c r="PD80" s="128">
        <v>2755000</v>
      </c>
      <c r="PE80" s="128">
        <v>0</v>
      </c>
      <c r="PF80" s="128">
        <v>0</v>
      </c>
      <c r="PJ80" s="128">
        <v>150000</v>
      </c>
      <c r="PK80" s="128">
        <v>0</v>
      </c>
      <c r="PL80" s="128">
        <v>0</v>
      </c>
      <c r="PP80" s="128">
        <v>61593975</v>
      </c>
      <c r="PQ80" s="128">
        <v>16000000</v>
      </c>
      <c r="PR80" s="128">
        <v>16000000</v>
      </c>
      <c r="PS80" s="128">
        <v>100</v>
      </c>
      <c r="PT80" s="128">
        <v>100</v>
      </c>
      <c r="PV80" s="128">
        <v>31246136</v>
      </c>
      <c r="PX80" s="128">
        <v>11140008</v>
      </c>
      <c r="PY80" s="128">
        <v>10521860</v>
      </c>
      <c r="PZ80" s="128">
        <v>16000000</v>
      </c>
      <c r="QA80" s="128">
        <v>0</v>
      </c>
      <c r="QB80" s="128">
        <v>0</v>
      </c>
      <c r="QC80" s="128">
        <v>0</v>
      </c>
      <c r="QD80" s="128">
        <v>12590000</v>
      </c>
      <c r="QE80" s="128">
        <v>12567000</v>
      </c>
      <c r="QF80" s="128">
        <v>11744000</v>
      </c>
      <c r="QG80" s="128">
        <v>0</v>
      </c>
      <c r="QH80" s="128">
        <v>0</v>
      </c>
      <c r="QI80" s="128">
        <v>0</v>
      </c>
      <c r="QJ80" s="128">
        <v>27971655</v>
      </c>
      <c r="QK80" s="128">
        <v>29741000</v>
      </c>
      <c r="QL80" s="128">
        <v>29300000</v>
      </c>
      <c r="QN80" s="128">
        <v>3810740</v>
      </c>
      <c r="QO80" s="128">
        <v>5000000</v>
      </c>
      <c r="QP80" s="128">
        <v>4200000</v>
      </c>
      <c r="QU80" s="128">
        <v>0</v>
      </c>
      <c r="QV80" s="128">
        <v>200000</v>
      </c>
      <c r="QW80" s="128">
        <v>0</v>
      </c>
      <c r="RD80" s="128">
        <v>359171</v>
      </c>
      <c r="RE80" s="128">
        <v>370000</v>
      </c>
      <c r="RF80" s="128">
        <v>349975</v>
      </c>
      <c r="RH80" s="128">
        <f t="shared" si="209"/>
        <v>28093975</v>
      </c>
      <c r="RI80" s="128">
        <v>0</v>
      </c>
      <c r="RM80" s="128" t="s">
        <v>220</v>
      </c>
      <c r="RU80" s="130"/>
      <c r="RV80" s="130"/>
      <c r="RW80" s="130"/>
      <c r="RX80" s="130"/>
      <c r="SF80" s="128">
        <f t="shared" si="119"/>
        <v>9688838</v>
      </c>
      <c r="SG80" s="131">
        <f t="shared" si="120"/>
        <v>61593975</v>
      </c>
      <c r="SH80" s="131">
        <f t="shared" si="121"/>
        <v>61593975</v>
      </c>
      <c r="SI80" s="131">
        <f t="shared" si="122"/>
        <v>48021975</v>
      </c>
      <c r="SJ80" s="132">
        <f t="shared" si="123"/>
        <v>47922000</v>
      </c>
      <c r="SK80" s="132">
        <f t="shared" si="124"/>
        <v>0</v>
      </c>
      <c r="SL80" s="132">
        <f t="shared" si="125"/>
        <v>99975</v>
      </c>
      <c r="SM80" s="132">
        <f t="shared" si="126"/>
        <v>0</v>
      </c>
      <c r="SN80" s="131">
        <f t="shared" si="127"/>
        <v>13572000</v>
      </c>
      <c r="SO80" s="131">
        <f t="shared" si="128"/>
        <v>100000</v>
      </c>
      <c r="SP80" s="132">
        <f t="shared" si="129"/>
        <v>100000</v>
      </c>
      <c r="SQ80" s="132">
        <f t="shared" si="130"/>
        <v>0</v>
      </c>
      <c r="SR80" s="132">
        <f t="shared" si="131"/>
        <v>3900000</v>
      </c>
      <c r="SS80" s="132">
        <f t="shared" si="132"/>
        <v>70000</v>
      </c>
      <c r="ST80" s="132">
        <f t="shared" si="133"/>
        <v>50000</v>
      </c>
      <c r="SU80" s="132">
        <f t="shared" si="134"/>
        <v>1315000</v>
      </c>
      <c r="SV80" s="131">
        <f t="shared" si="135"/>
        <v>5232000</v>
      </c>
      <c r="SW80" s="132">
        <f t="shared" si="136"/>
        <v>3000000</v>
      </c>
      <c r="SX80" s="132">
        <f t="shared" si="137"/>
        <v>114000</v>
      </c>
      <c r="SY80" s="132">
        <f t="shared" si="138"/>
        <v>0</v>
      </c>
      <c r="SZ80" s="132">
        <f t="shared" si="139"/>
        <v>0</v>
      </c>
      <c r="TA80" s="132">
        <f t="shared" si="140"/>
        <v>150000</v>
      </c>
      <c r="TB80" s="132">
        <f t="shared" si="141"/>
        <v>800000</v>
      </c>
      <c r="TC80" s="132">
        <f t="shared" si="142"/>
        <v>10000</v>
      </c>
      <c r="TD80" s="132">
        <f t="shared" si="143"/>
        <v>0</v>
      </c>
      <c r="TE80" s="132">
        <f t="shared" si="144"/>
        <v>0</v>
      </c>
      <c r="TF80" s="132">
        <f t="shared" si="145"/>
        <v>1158000</v>
      </c>
      <c r="TG80" s="132">
        <f t="shared" si="146"/>
        <v>2755000</v>
      </c>
      <c r="TH80" s="132">
        <f t="shared" si="147"/>
        <v>150000</v>
      </c>
      <c r="TI80" s="1"/>
      <c r="TJ80" s="131">
        <f t="shared" si="148"/>
        <v>16000000</v>
      </c>
      <c r="TK80" s="131">
        <f t="shared" si="149"/>
        <v>16000000</v>
      </c>
      <c r="TL80" s="131">
        <f t="shared" si="150"/>
        <v>16000000</v>
      </c>
      <c r="TM80" s="132">
        <f t="shared" si="151"/>
        <v>16000000</v>
      </c>
      <c r="TN80" s="132">
        <f t="shared" si="152"/>
        <v>0</v>
      </c>
      <c r="TO80" s="132">
        <f t="shared" si="153"/>
        <v>0</v>
      </c>
      <c r="TP80" s="132">
        <f t="shared" si="154"/>
        <v>0</v>
      </c>
      <c r="TQ80" s="131">
        <f t="shared" si="155"/>
        <v>0</v>
      </c>
      <c r="TR80" s="131">
        <f t="shared" si="156"/>
        <v>0</v>
      </c>
      <c r="TS80" s="132">
        <f t="shared" si="157"/>
        <v>0</v>
      </c>
      <c r="TT80" s="132">
        <f t="shared" si="158"/>
        <v>0</v>
      </c>
      <c r="TU80" s="132">
        <f t="shared" si="159"/>
        <v>0</v>
      </c>
      <c r="TV80" s="132">
        <f t="shared" si="160"/>
        <v>0</v>
      </c>
      <c r="TW80" s="132">
        <f t="shared" si="161"/>
        <v>0</v>
      </c>
      <c r="TX80" s="132">
        <f t="shared" si="162"/>
        <v>0</v>
      </c>
      <c r="TY80" s="131">
        <f t="shared" si="163"/>
        <v>0</v>
      </c>
      <c r="TZ80" s="132">
        <f t="shared" si="164"/>
        <v>0</v>
      </c>
      <c r="UA80" s="132">
        <f t="shared" si="165"/>
        <v>0</v>
      </c>
      <c r="UB80" s="132">
        <f t="shared" si="166"/>
        <v>0</v>
      </c>
      <c r="UC80" s="132">
        <f t="shared" si="167"/>
        <v>0</v>
      </c>
      <c r="UD80" s="132">
        <f t="shared" si="168"/>
        <v>0</v>
      </c>
      <c r="UE80" s="132">
        <f t="shared" si="169"/>
        <v>0</v>
      </c>
      <c r="UF80" s="132">
        <f t="shared" si="170"/>
        <v>0</v>
      </c>
      <c r="UG80" s="132">
        <f t="shared" si="171"/>
        <v>0</v>
      </c>
      <c r="UH80" s="132">
        <f t="shared" si="172"/>
        <v>0</v>
      </c>
      <c r="UI80" s="132">
        <f t="shared" si="173"/>
        <v>0</v>
      </c>
      <c r="UJ80" s="132">
        <f t="shared" si="174"/>
        <v>0</v>
      </c>
      <c r="UK80" s="132">
        <f t="shared" si="175"/>
        <v>0</v>
      </c>
      <c r="UL80" s="132">
        <f t="shared" si="210"/>
        <v>16000000</v>
      </c>
      <c r="UM80" s="131">
        <f t="shared" si="176"/>
        <v>16000000</v>
      </c>
      <c r="UN80" s="131">
        <f t="shared" si="177"/>
        <v>16000000</v>
      </c>
      <c r="UO80" s="131">
        <f t="shared" si="178"/>
        <v>16000000</v>
      </c>
      <c r="UP80" s="132">
        <f t="shared" si="179"/>
        <v>16000000</v>
      </c>
      <c r="UQ80" s="132">
        <f t="shared" si="180"/>
        <v>0</v>
      </c>
      <c r="UR80" s="132">
        <f t="shared" si="181"/>
        <v>0</v>
      </c>
      <c r="US80" s="132">
        <f t="shared" si="182"/>
        <v>0</v>
      </c>
      <c r="UT80" s="131">
        <f t="shared" si="183"/>
        <v>0</v>
      </c>
      <c r="UU80" s="131">
        <f t="shared" si="184"/>
        <v>0</v>
      </c>
      <c r="UV80" s="132">
        <f t="shared" si="185"/>
        <v>0</v>
      </c>
      <c r="UW80" s="132">
        <f t="shared" si="186"/>
        <v>0</v>
      </c>
      <c r="UX80" s="132">
        <f t="shared" si="187"/>
        <v>0</v>
      </c>
      <c r="UY80" s="132">
        <f t="shared" si="188"/>
        <v>0</v>
      </c>
      <c r="UZ80" s="132">
        <f t="shared" si="189"/>
        <v>0</v>
      </c>
      <c r="VA80" s="132">
        <f t="shared" si="190"/>
        <v>0</v>
      </c>
      <c r="VB80" s="131">
        <f t="shared" si="191"/>
        <v>0</v>
      </c>
      <c r="VC80" s="132">
        <f t="shared" si="192"/>
        <v>0</v>
      </c>
      <c r="VD80" s="132">
        <f t="shared" si="193"/>
        <v>0</v>
      </c>
      <c r="VE80" s="132">
        <f t="shared" si="194"/>
        <v>0</v>
      </c>
      <c r="VF80" s="132">
        <f t="shared" si="195"/>
        <v>0</v>
      </c>
      <c r="VG80" s="132">
        <f t="shared" si="196"/>
        <v>0</v>
      </c>
      <c r="VH80" s="132">
        <f t="shared" si="197"/>
        <v>0</v>
      </c>
      <c r="VI80" s="132">
        <f t="shared" si="198"/>
        <v>0</v>
      </c>
      <c r="VJ80" s="132">
        <f t="shared" si="199"/>
        <v>0</v>
      </c>
      <c r="VK80" s="132">
        <f t="shared" si="200"/>
        <v>0</v>
      </c>
      <c r="VL80" s="132">
        <f t="shared" si="201"/>
        <v>0</v>
      </c>
      <c r="VM80" s="132">
        <f t="shared" si="202"/>
        <v>0</v>
      </c>
      <c r="VN80" s="132">
        <f t="shared" si="203"/>
        <v>0</v>
      </c>
      <c r="VP80" s="845" t="str">
        <f>IFERROR(HLOOKUP(F80,'Hodnocení '!$C$1:$JH$5,2,FALSE),0)</f>
        <v>Domov pro seniory Trutnov</v>
      </c>
      <c r="VQ80" s="838"/>
      <c r="VR80" s="845" t="str">
        <f t="shared" si="211"/>
        <v>Příspěvková organizace zřízená územním samosprávným celkem</v>
      </c>
      <c r="VS80" s="845" t="str">
        <f>IFERROR(HLOOKUP(F80,'Hodnocení '!$C$1:$JH$5,5,FALSE),0)</f>
        <v>Obce</v>
      </c>
      <c r="VT80" s="838" t="str">
        <f t="shared" si="212"/>
        <v>Příspěvková organizace zřízená územním samosprávným celkem</v>
      </c>
      <c r="VU80" s="838">
        <f t="shared" si="213"/>
        <v>0</v>
      </c>
      <c r="VV80" s="838">
        <f t="shared" si="214"/>
        <v>29300000</v>
      </c>
      <c r="VW80" s="838">
        <f t="shared" si="215"/>
        <v>4200000</v>
      </c>
      <c r="VX80" s="838"/>
      <c r="VY80" s="838">
        <f t="shared" si="114"/>
        <v>0</v>
      </c>
      <c r="VZ80" s="838">
        <f t="shared" si="115"/>
        <v>16000000</v>
      </c>
      <c r="WA80" s="846">
        <f>IFERROR(HLOOKUP($F80,'Hodnocení '!$C$1:$JH$9,9,FALSE),0)</f>
        <v>16000000</v>
      </c>
      <c r="WB80" s="846">
        <f>IF(IFERROR(HLOOKUP($F80,'Hodnocení '!$C$1:$JH$13,13,FALSE),0)&gt;WA80,WA80,IFERROR(HLOOKUP($F80,'Hodnocení '!$C$1:$JH$13,13,FALSE),0))</f>
        <v>16000000</v>
      </c>
      <c r="WC80" s="846">
        <f>IFERROR(HLOOKUP($F80,'Hodnocení '!$C$1:$JH$155,155,FALSE),0)</f>
        <v>11169700</v>
      </c>
      <c r="WD80" s="845"/>
      <c r="WE80" s="845"/>
      <c r="WF80" s="845" t="str">
        <f t="shared" si="204"/>
        <v>ANO</v>
      </c>
      <c r="WG80" s="849" t="str">
        <f t="shared" si="117"/>
        <v>Podpora služby je vyjádřena zařazením do sítě sociálních služeb v KHK a řešením financování služby</v>
      </c>
      <c r="WH80"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80" s="849" t="str">
        <f t="shared" si="117"/>
        <v>Návrh dotace je výsledkem projednání s ostatními zadavateli v rámci sítě služeb KHK</v>
      </c>
      <c r="WJ80" s="849" t="str">
        <f t="shared" si="117"/>
        <v>Bez komentáře</v>
      </c>
      <c r="WK80" s="31" t="str">
        <f t="shared" si="205"/>
        <v>Výše příspěvku ze strany zřizovatele bude řešen v návaznosti na řešení podílů jednotlivých zadavatelů</v>
      </c>
      <c r="WL80" s="850">
        <f t="shared" si="206"/>
        <v>0</v>
      </c>
      <c r="WM80" s="849" t="str">
        <f t="shared" si="207"/>
        <v>V rámci sítě KHK se dlouhodobě řeší otázka navyšování úhrad a průběžně se monitoruje s vazbou na vykrytí vyrovnávací platby</v>
      </c>
      <c r="WN80" s="849" t="str">
        <f t="shared" si="208"/>
        <v>Otázka výběru od zdravotních pojišťoven je předmětem procesu, který probíhá ve formě jednání se ZP a organizacemi</v>
      </c>
      <c r="WO80" s="849" t="str">
        <f t="shared" si="118"/>
        <v>bez komentáře</v>
      </c>
      <c r="WP80" s="849" t="str">
        <f t="shared" si="118"/>
        <v>bez komentáře</v>
      </c>
      <c r="WQ80" s="849" t="str">
        <f t="shared" si="118"/>
        <v>Konečná výše dotace z rozpočtu KHK bude řešena v návaznosti na řešení podílů jednotlivých zadavatelů.</v>
      </c>
      <c r="WR80" s="849" t="str">
        <f t="shared" si="118"/>
        <v>Konečná výše podpory ze stran obcí bude řešena v součinnosti s jednotlivými zadavateli v průběhu roku.</v>
      </c>
      <c r="WS80" s="849" t="str">
        <f t="shared" si="118"/>
        <v>bez komentáře</v>
      </c>
      <c r="WT80" s="849" t="str">
        <f t="shared" si="118"/>
        <v>bez komentáře</v>
      </c>
      <c r="WU80" s="845"/>
    </row>
    <row r="81" spans="1:619" s="128" customFormat="1" x14ac:dyDescent="0.25">
      <c r="A81" s="128" t="str">
        <f>VLOOKUP(F81,'Výpočet VP 2020'!$D$324:$I$588,6,FALSE)</f>
        <v>Je v síti</v>
      </c>
      <c r="B81" s="128" t="s">
        <v>502</v>
      </c>
      <c r="C81" s="128">
        <v>194891</v>
      </c>
      <c r="D81" s="128" t="s">
        <v>503</v>
      </c>
      <c r="E81" s="128" t="s">
        <v>259</v>
      </c>
      <c r="F81" s="128">
        <v>1878615</v>
      </c>
      <c r="G81" s="128" t="s">
        <v>361</v>
      </c>
      <c r="H81" s="128" t="s">
        <v>218</v>
      </c>
      <c r="I81" s="128" t="s">
        <v>502</v>
      </c>
      <c r="J81" s="129">
        <v>40787</v>
      </c>
      <c r="L81" s="128" t="s">
        <v>220</v>
      </c>
      <c r="M81" s="128" t="s">
        <v>504</v>
      </c>
      <c r="N81" s="128">
        <v>3</v>
      </c>
      <c r="O81" s="128">
        <v>3</v>
      </c>
      <c r="P81" s="128">
        <v>30</v>
      </c>
      <c r="Q81" s="128">
        <v>31</v>
      </c>
      <c r="R81" s="128">
        <v>30</v>
      </c>
      <c r="BL81" s="128" t="s">
        <v>351</v>
      </c>
      <c r="BM81" s="128" t="s">
        <v>325</v>
      </c>
      <c r="BN81" s="128" t="s">
        <v>326</v>
      </c>
      <c r="DA81" s="128">
        <v>0</v>
      </c>
      <c r="DB81" s="128">
        <v>0</v>
      </c>
      <c r="DC81" s="128">
        <v>0</v>
      </c>
      <c r="DD81" s="128">
        <v>0</v>
      </c>
      <c r="DE81" s="128">
        <v>0</v>
      </c>
      <c r="DF81" s="128">
        <v>0</v>
      </c>
      <c r="DG81" s="128">
        <v>3</v>
      </c>
      <c r="DH81" s="128">
        <v>0</v>
      </c>
      <c r="DI81" s="128">
        <v>0</v>
      </c>
      <c r="DJ81" s="128">
        <v>0</v>
      </c>
      <c r="DK81" s="128">
        <v>0</v>
      </c>
      <c r="DL81" s="128">
        <v>3</v>
      </c>
      <c r="DM81" s="128">
        <v>0</v>
      </c>
      <c r="DN81" s="128">
        <v>0</v>
      </c>
      <c r="DO81" s="128">
        <v>0</v>
      </c>
      <c r="DP81" s="128">
        <v>0</v>
      </c>
      <c r="DQ81" s="128">
        <v>3</v>
      </c>
      <c r="DR81" s="128">
        <v>3</v>
      </c>
      <c r="DS81" s="128">
        <v>0</v>
      </c>
      <c r="DT81" s="128">
        <v>0</v>
      </c>
      <c r="DU81" s="128">
        <v>0</v>
      </c>
      <c r="DV81" s="128">
        <v>0</v>
      </c>
      <c r="DW81" s="128">
        <v>0</v>
      </c>
      <c r="DX81" s="128">
        <v>0</v>
      </c>
      <c r="DY81" s="128">
        <v>1</v>
      </c>
      <c r="DZ81" s="128">
        <v>2</v>
      </c>
      <c r="EA81" s="128">
        <v>0</v>
      </c>
      <c r="EB81" s="128">
        <v>0</v>
      </c>
      <c r="EC81" s="128">
        <v>0</v>
      </c>
      <c r="ED81" s="128">
        <v>1</v>
      </c>
      <c r="EE81" s="128">
        <v>2</v>
      </c>
      <c r="EF81" s="128">
        <v>0</v>
      </c>
      <c r="EG81" s="128">
        <v>0</v>
      </c>
      <c r="EH81" s="128">
        <v>0</v>
      </c>
      <c r="EI81" s="128">
        <v>3</v>
      </c>
      <c r="EJ81" s="128">
        <v>3</v>
      </c>
      <c r="EK81" s="128">
        <v>2</v>
      </c>
      <c r="EL81" s="128">
        <v>0.08</v>
      </c>
      <c r="EM81" s="128">
        <v>0.08</v>
      </c>
      <c r="EN81" s="128">
        <v>41624</v>
      </c>
      <c r="EO81" s="128">
        <v>40000</v>
      </c>
      <c r="EP81" s="128">
        <v>11</v>
      </c>
      <c r="EQ81" s="128">
        <v>0.28000000000000003</v>
      </c>
      <c r="ER81" s="128">
        <v>0.28000000000000003</v>
      </c>
      <c r="ES81" s="128">
        <v>360895</v>
      </c>
      <c r="ET81" s="128">
        <v>350000</v>
      </c>
      <c r="EU81" s="128">
        <v>12</v>
      </c>
      <c r="EV81" s="128">
        <v>0.48</v>
      </c>
      <c r="EW81" s="128">
        <v>0.48</v>
      </c>
      <c r="EX81" s="128">
        <v>335687</v>
      </c>
      <c r="EY81" s="128">
        <v>0</v>
      </c>
      <c r="FO81" s="128">
        <v>16</v>
      </c>
      <c r="FP81" s="128">
        <v>0.64</v>
      </c>
      <c r="FQ81" s="128">
        <v>0.64</v>
      </c>
      <c r="FR81" s="128">
        <v>323557</v>
      </c>
      <c r="FS81" s="128">
        <v>310000</v>
      </c>
      <c r="IN81" s="128">
        <v>3</v>
      </c>
      <c r="IO81" s="128">
        <v>38</v>
      </c>
      <c r="IP81" s="128">
        <v>1.7999999999999999E-2</v>
      </c>
      <c r="IQ81" s="128">
        <v>4800</v>
      </c>
      <c r="IR81" s="128">
        <v>0</v>
      </c>
      <c r="IS81" s="128">
        <v>5</v>
      </c>
      <c r="IT81" s="128">
        <v>41</v>
      </c>
      <c r="IU81" s="128">
        <v>0.02</v>
      </c>
      <c r="IV81" s="128">
        <v>5850</v>
      </c>
      <c r="IW81" s="128">
        <v>0</v>
      </c>
      <c r="KG81" s="128">
        <v>0</v>
      </c>
      <c r="KI81" s="128">
        <v>0.84</v>
      </c>
      <c r="KJ81" s="128">
        <v>0</v>
      </c>
      <c r="KK81" s="128">
        <v>1.7999999999999999E-2</v>
      </c>
      <c r="KL81" s="128">
        <v>0</v>
      </c>
      <c r="KM81" s="128">
        <v>0.85799999999999998</v>
      </c>
      <c r="KN81" s="128">
        <v>1061763</v>
      </c>
      <c r="KO81" s="128">
        <v>700000</v>
      </c>
      <c r="KP81" s="128">
        <v>700000</v>
      </c>
      <c r="KT81" s="128">
        <v>0</v>
      </c>
      <c r="KU81" s="128">
        <v>0</v>
      </c>
      <c r="KV81" s="128">
        <v>0</v>
      </c>
      <c r="KZ81" s="128">
        <v>10650</v>
      </c>
      <c r="LA81" s="128">
        <v>0</v>
      </c>
      <c r="LB81" s="128">
        <v>0</v>
      </c>
      <c r="LF81" s="128">
        <v>6380</v>
      </c>
      <c r="LG81" s="128">
        <v>0</v>
      </c>
      <c r="LH81" s="128">
        <v>0</v>
      </c>
      <c r="LL81" s="128">
        <v>0</v>
      </c>
      <c r="LM81" s="128">
        <v>0</v>
      </c>
      <c r="LN81" s="128">
        <v>0</v>
      </c>
      <c r="LR81" s="128">
        <v>8000</v>
      </c>
      <c r="LS81" s="128">
        <v>0</v>
      </c>
      <c r="LT81" s="128">
        <v>0</v>
      </c>
      <c r="LX81" s="128">
        <v>90320</v>
      </c>
      <c r="LY81" s="128">
        <v>0</v>
      </c>
      <c r="LZ81" s="128">
        <v>0</v>
      </c>
      <c r="MD81" s="128">
        <v>2920</v>
      </c>
      <c r="ME81" s="128">
        <v>0</v>
      </c>
      <c r="MF81" s="128">
        <v>0</v>
      </c>
      <c r="MJ81" s="128">
        <v>1200</v>
      </c>
      <c r="MK81" s="128">
        <v>0</v>
      </c>
      <c r="ML81" s="128">
        <v>0</v>
      </c>
      <c r="MP81" s="128">
        <v>22800</v>
      </c>
      <c r="MQ81" s="128">
        <v>0</v>
      </c>
      <c r="MR81" s="128">
        <v>0</v>
      </c>
      <c r="MV81" s="128">
        <v>80800</v>
      </c>
      <c r="MW81" s="128">
        <v>75000</v>
      </c>
      <c r="MX81" s="128">
        <v>75000</v>
      </c>
      <c r="NB81" s="128">
        <v>1744</v>
      </c>
      <c r="NC81" s="128">
        <v>0</v>
      </c>
      <c r="ND81" s="128">
        <v>0</v>
      </c>
      <c r="NH81" s="128">
        <v>0</v>
      </c>
      <c r="NI81" s="128">
        <v>0</v>
      </c>
      <c r="NJ81" s="128">
        <v>0</v>
      </c>
      <c r="NN81" s="128">
        <v>960</v>
      </c>
      <c r="NO81" s="128">
        <v>0</v>
      </c>
      <c r="NP81" s="128">
        <v>0</v>
      </c>
      <c r="NT81" s="128">
        <v>4000</v>
      </c>
      <c r="NU81" s="128">
        <v>0</v>
      </c>
      <c r="NV81" s="128">
        <v>0</v>
      </c>
      <c r="NZ81" s="128">
        <v>43760</v>
      </c>
      <c r="OA81" s="128">
        <v>0</v>
      </c>
      <c r="OB81" s="128">
        <v>0</v>
      </c>
      <c r="OF81" s="128">
        <v>640</v>
      </c>
      <c r="OG81" s="128">
        <v>0</v>
      </c>
      <c r="OH81" s="128">
        <v>0</v>
      </c>
      <c r="OL81" s="128">
        <v>0</v>
      </c>
      <c r="OM81" s="128">
        <v>0</v>
      </c>
      <c r="ON81" s="128">
        <v>0</v>
      </c>
      <c r="OR81" s="128">
        <v>0</v>
      </c>
      <c r="OS81" s="128">
        <v>0</v>
      </c>
      <c r="OT81" s="128">
        <v>0</v>
      </c>
      <c r="OX81" s="128">
        <v>37000</v>
      </c>
      <c r="OY81" s="128">
        <v>0</v>
      </c>
      <c r="OZ81" s="128">
        <v>0</v>
      </c>
      <c r="PD81" s="128">
        <v>52000</v>
      </c>
      <c r="PE81" s="128">
        <v>0</v>
      </c>
      <c r="PF81" s="128">
        <v>0</v>
      </c>
      <c r="PJ81" s="128">
        <v>360</v>
      </c>
      <c r="PK81" s="128">
        <v>0</v>
      </c>
      <c r="PL81" s="128">
        <v>0</v>
      </c>
      <c r="PP81" s="128">
        <v>1425297</v>
      </c>
      <c r="PQ81" s="128">
        <v>775000</v>
      </c>
      <c r="PR81" s="128">
        <v>775000</v>
      </c>
      <c r="PS81" s="128">
        <v>100</v>
      </c>
      <c r="PT81" s="128">
        <v>100</v>
      </c>
      <c r="PV81" s="128">
        <v>775926</v>
      </c>
      <c r="PX81" s="128">
        <v>357572</v>
      </c>
      <c r="PY81" s="128">
        <v>535450</v>
      </c>
      <c r="PZ81" s="128">
        <v>775000</v>
      </c>
      <c r="QA81" s="128">
        <v>0</v>
      </c>
      <c r="QB81" s="128">
        <v>0</v>
      </c>
      <c r="QC81" s="128">
        <v>0</v>
      </c>
      <c r="QD81" s="128">
        <v>0</v>
      </c>
      <c r="QE81" s="128">
        <v>0</v>
      </c>
      <c r="QF81" s="128">
        <v>0</v>
      </c>
      <c r="QG81" s="128">
        <v>435968</v>
      </c>
      <c r="QH81" s="128">
        <v>545910</v>
      </c>
      <c r="QI81" s="128">
        <v>142257</v>
      </c>
      <c r="QJ81" s="128">
        <v>413631</v>
      </c>
      <c r="QK81" s="128">
        <v>515000</v>
      </c>
      <c r="QL81" s="128">
        <v>495000</v>
      </c>
      <c r="QN81" s="128">
        <v>0</v>
      </c>
      <c r="QO81" s="128">
        <v>0</v>
      </c>
      <c r="QP81" s="128">
        <v>0</v>
      </c>
      <c r="QR81" s="128">
        <v>1047</v>
      </c>
      <c r="QS81" s="128">
        <v>1040</v>
      </c>
      <c r="QT81" s="128">
        <v>1040</v>
      </c>
      <c r="RD81" s="128">
        <v>6621</v>
      </c>
      <c r="RE81" s="128">
        <v>4985</v>
      </c>
      <c r="RF81" s="128">
        <v>12000</v>
      </c>
      <c r="RH81" s="128">
        <f t="shared" si="209"/>
        <v>930297</v>
      </c>
      <c r="RI81" s="128">
        <v>0</v>
      </c>
      <c r="RM81" s="128" t="s">
        <v>220</v>
      </c>
      <c r="RU81" s="130"/>
      <c r="RV81" s="130"/>
      <c r="RW81" s="130"/>
      <c r="RX81" s="130"/>
      <c r="SF81" s="128">
        <f t="shared" si="119"/>
        <v>1878615</v>
      </c>
      <c r="SG81" s="131">
        <f t="shared" si="120"/>
        <v>1425297</v>
      </c>
      <c r="SH81" s="131">
        <f t="shared" si="121"/>
        <v>1425297</v>
      </c>
      <c r="SI81" s="131">
        <f t="shared" si="122"/>
        <v>1078793</v>
      </c>
      <c r="SJ81" s="132">
        <f t="shared" si="123"/>
        <v>1061763</v>
      </c>
      <c r="SK81" s="132">
        <f t="shared" si="124"/>
        <v>0</v>
      </c>
      <c r="SL81" s="132">
        <f t="shared" si="125"/>
        <v>10650</v>
      </c>
      <c r="SM81" s="132">
        <f t="shared" si="126"/>
        <v>6380</v>
      </c>
      <c r="SN81" s="131">
        <f t="shared" si="127"/>
        <v>346504</v>
      </c>
      <c r="SO81" s="131">
        <f t="shared" si="128"/>
        <v>8000</v>
      </c>
      <c r="SP81" s="132">
        <f t="shared" si="129"/>
        <v>0</v>
      </c>
      <c r="SQ81" s="132">
        <f t="shared" si="130"/>
        <v>8000</v>
      </c>
      <c r="SR81" s="132">
        <f t="shared" si="131"/>
        <v>90320</v>
      </c>
      <c r="SS81" s="132">
        <f t="shared" si="132"/>
        <v>2920</v>
      </c>
      <c r="ST81" s="132">
        <f t="shared" si="133"/>
        <v>1200</v>
      </c>
      <c r="SU81" s="132">
        <f t="shared" si="134"/>
        <v>22800</v>
      </c>
      <c r="SV81" s="131">
        <f t="shared" si="135"/>
        <v>168904</v>
      </c>
      <c r="SW81" s="132">
        <f t="shared" si="136"/>
        <v>80800</v>
      </c>
      <c r="SX81" s="132">
        <f t="shared" si="137"/>
        <v>1744</v>
      </c>
      <c r="SY81" s="132">
        <f t="shared" si="138"/>
        <v>0</v>
      </c>
      <c r="SZ81" s="132">
        <f t="shared" si="139"/>
        <v>960</v>
      </c>
      <c r="TA81" s="132">
        <f t="shared" si="140"/>
        <v>4000</v>
      </c>
      <c r="TB81" s="132">
        <f t="shared" si="141"/>
        <v>43760</v>
      </c>
      <c r="TC81" s="132">
        <f t="shared" si="142"/>
        <v>640</v>
      </c>
      <c r="TD81" s="132">
        <f t="shared" si="143"/>
        <v>0</v>
      </c>
      <c r="TE81" s="132">
        <f t="shared" si="144"/>
        <v>0</v>
      </c>
      <c r="TF81" s="132">
        <f t="shared" si="145"/>
        <v>37000</v>
      </c>
      <c r="TG81" s="132">
        <f t="shared" si="146"/>
        <v>52000</v>
      </c>
      <c r="TH81" s="132">
        <f t="shared" si="147"/>
        <v>360</v>
      </c>
      <c r="TI81" s="1"/>
      <c r="TJ81" s="131">
        <f t="shared" si="148"/>
        <v>775000</v>
      </c>
      <c r="TK81" s="131">
        <f t="shared" si="149"/>
        <v>775000</v>
      </c>
      <c r="TL81" s="131">
        <f t="shared" si="150"/>
        <v>700000</v>
      </c>
      <c r="TM81" s="132">
        <f t="shared" si="151"/>
        <v>700000</v>
      </c>
      <c r="TN81" s="132">
        <f t="shared" si="152"/>
        <v>0</v>
      </c>
      <c r="TO81" s="132">
        <f t="shared" si="153"/>
        <v>0</v>
      </c>
      <c r="TP81" s="132">
        <f t="shared" si="154"/>
        <v>0</v>
      </c>
      <c r="TQ81" s="131">
        <f t="shared" si="155"/>
        <v>75000</v>
      </c>
      <c r="TR81" s="131">
        <f t="shared" si="156"/>
        <v>0</v>
      </c>
      <c r="TS81" s="132">
        <f t="shared" si="157"/>
        <v>0</v>
      </c>
      <c r="TT81" s="132">
        <f t="shared" si="158"/>
        <v>0</v>
      </c>
      <c r="TU81" s="132">
        <f t="shared" si="159"/>
        <v>0</v>
      </c>
      <c r="TV81" s="132">
        <f t="shared" si="160"/>
        <v>0</v>
      </c>
      <c r="TW81" s="132">
        <f t="shared" si="161"/>
        <v>0</v>
      </c>
      <c r="TX81" s="132">
        <f t="shared" si="162"/>
        <v>0</v>
      </c>
      <c r="TY81" s="131">
        <f t="shared" si="163"/>
        <v>75000</v>
      </c>
      <c r="TZ81" s="132">
        <f t="shared" si="164"/>
        <v>75000</v>
      </c>
      <c r="UA81" s="132">
        <f t="shared" si="165"/>
        <v>0</v>
      </c>
      <c r="UB81" s="132">
        <f t="shared" si="166"/>
        <v>0</v>
      </c>
      <c r="UC81" s="132">
        <f t="shared" si="167"/>
        <v>0</v>
      </c>
      <c r="UD81" s="132">
        <f t="shared" si="168"/>
        <v>0</v>
      </c>
      <c r="UE81" s="132">
        <f t="shared" si="169"/>
        <v>0</v>
      </c>
      <c r="UF81" s="132">
        <f t="shared" si="170"/>
        <v>0</v>
      </c>
      <c r="UG81" s="132">
        <f t="shared" si="171"/>
        <v>0</v>
      </c>
      <c r="UH81" s="132">
        <f t="shared" si="172"/>
        <v>0</v>
      </c>
      <c r="UI81" s="132">
        <f t="shared" si="173"/>
        <v>0</v>
      </c>
      <c r="UJ81" s="132">
        <f t="shared" si="174"/>
        <v>0</v>
      </c>
      <c r="UK81" s="132">
        <f t="shared" si="175"/>
        <v>0</v>
      </c>
      <c r="UL81" s="132">
        <f t="shared" si="210"/>
        <v>775000</v>
      </c>
      <c r="UM81" s="131">
        <f t="shared" si="176"/>
        <v>775000</v>
      </c>
      <c r="UN81" s="131">
        <f t="shared" si="177"/>
        <v>775000</v>
      </c>
      <c r="UO81" s="131">
        <f t="shared" si="178"/>
        <v>700000</v>
      </c>
      <c r="UP81" s="132">
        <f t="shared" si="179"/>
        <v>700000</v>
      </c>
      <c r="UQ81" s="132">
        <f t="shared" si="180"/>
        <v>0</v>
      </c>
      <c r="UR81" s="132">
        <f t="shared" si="181"/>
        <v>0</v>
      </c>
      <c r="US81" s="132">
        <f t="shared" si="182"/>
        <v>0</v>
      </c>
      <c r="UT81" s="131">
        <f t="shared" si="183"/>
        <v>75000</v>
      </c>
      <c r="UU81" s="131">
        <f t="shared" si="184"/>
        <v>0</v>
      </c>
      <c r="UV81" s="132">
        <f t="shared" si="185"/>
        <v>0</v>
      </c>
      <c r="UW81" s="132">
        <f t="shared" si="186"/>
        <v>0</v>
      </c>
      <c r="UX81" s="132">
        <f t="shared" si="187"/>
        <v>0</v>
      </c>
      <c r="UY81" s="132">
        <f t="shared" si="188"/>
        <v>0</v>
      </c>
      <c r="UZ81" s="132">
        <f t="shared" si="189"/>
        <v>0</v>
      </c>
      <c r="VA81" s="132">
        <f t="shared" si="190"/>
        <v>0</v>
      </c>
      <c r="VB81" s="131">
        <f t="shared" si="191"/>
        <v>75000</v>
      </c>
      <c r="VC81" s="132">
        <f t="shared" si="192"/>
        <v>75000</v>
      </c>
      <c r="VD81" s="132">
        <f t="shared" si="193"/>
        <v>0</v>
      </c>
      <c r="VE81" s="132">
        <f t="shared" si="194"/>
        <v>0</v>
      </c>
      <c r="VF81" s="132">
        <f t="shared" si="195"/>
        <v>0</v>
      </c>
      <c r="VG81" s="132">
        <f t="shared" si="196"/>
        <v>0</v>
      </c>
      <c r="VH81" s="132">
        <f t="shared" si="197"/>
        <v>0</v>
      </c>
      <c r="VI81" s="132">
        <f t="shared" si="198"/>
        <v>0</v>
      </c>
      <c r="VJ81" s="132">
        <f t="shared" si="199"/>
        <v>0</v>
      </c>
      <c r="VK81" s="132">
        <f t="shared" si="200"/>
        <v>0</v>
      </c>
      <c r="VL81" s="132">
        <f t="shared" si="201"/>
        <v>0</v>
      </c>
      <c r="VM81" s="132">
        <f t="shared" si="202"/>
        <v>0</v>
      </c>
      <c r="VN81" s="132">
        <f t="shared" si="203"/>
        <v>0</v>
      </c>
      <c r="VP81" s="845" t="str">
        <f>IFERROR(HLOOKUP(F81,'Hodnocení '!$C$1:$JH$5,2,FALSE),0)</f>
        <v>Domov pro seniory Vrchlabí</v>
      </c>
      <c r="VQ81" s="838"/>
      <c r="VR81" s="845" t="str">
        <f t="shared" si="211"/>
        <v>Příspěvková organizace zřízená územním samosprávným celkem</v>
      </c>
      <c r="VS81" s="845" t="str">
        <f>IFERROR(HLOOKUP(F81,'Hodnocení '!$C$1:$JH$5,5,FALSE),0)</f>
        <v>PO KHK</v>
      </c>
      <c r="VT81" s="838">
        <f t="shared" si="212"/>
        <v>0</v>
      </c>
      <c r="VU81" s="838" t="str">
        <f t="shared" si="213"/>
        <v>PO KHK</v>
      </c>
      <c r="VV81" s="838">
        <f t="shared" si="214"/>
        <v>495000</v>
      </c>
      <c r="VW81" s="838">
        <f t="shared" si="215"/>
        <v>0</v>
      </c>
      <c r="VX81" s="838"/>
      <c r="VY81" s="838">
        <f t="shared" si="114"/>
        <v>0</v>
      </c>
      <c r="VZ81" s="838">
        <f t="shared" si="115"/>
        <v>775000</v>
      </c>
      <c r="WA81" s="846">
        <f>IFERROR(HLOOKUP($F81,'Hodnocení '!$C$1:$JH$9,9,FALSE),0)</f>
        <v>775000</v>
      </c>
      <c r="WB81" s="846">
        <f>IF(IFERROR(HLOOKUP($F81,'Hodnocení '!$C$1:$JH$13,13,FALSE),0)&gt;WA81,WA81,IFERROR(HLOOKUP($F81,'Hodnocení '!$C$1:$JH$13,13,FALSE),0))</f>
        <v>576689.35844624322</v>
      </c>
      <c r="WC81" s="846">
        <f>IFERROR(HLOOKUP($F81,'Hodnocení '!$C$1:$JH$155,155,FALSE),0)</f>
        <v>530840</v>
      </c>
      <c r="WD81" s="845"/>
      <c r="WE81" s="845"/>
      <c r="WF81" s="845" t="str">
        <f t="shared" si="204"/>
        <v>ANO</v>
      </c>
      <c r="WG81" s="849" t="str">
        <f t="shared" si="117"/>
        <v>Podpora služby je vyjádřena zařazením do sítě sociálních služeb v KHK a řešením financování služby</v>
      </c>
      <c r="WH81"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81" s="849" t="str">
        <f t="shared" si="117"/>
        <v>Návrh dotace je výsledkem projednání s ostatními zadavateli v rámci sítě služeb KHK</v>
      </c>
      <c r="WJ81" s="849" t="str">
        <f t="shared" si="117"/>
        <v>Bez komentáře</v>
      </c>
      <c r="WK81" s="31">
        <f t="shared" si="205"/>
        <v>0</v>
      </c>
      <c r="WL81" s="850" t="str">
        <f t="shared" si="206"/>
        <v>Případná úprava příspěvku zřizovatele bude řešena v návaznosti na vývoj služby</v>
      </c>
      <c r="WM81" s="849" t="str">
        <f t="shared" si="207"/>
        <v>V rámci sítě KHK se dlouhodobě řeší otázka navyšování úhrad a průběžně se monitoruje s vazbou na vykrytí vyrovnávací platby</v>
      </c>
      <c r="WN81" s="849">
        <f t="shared" si="208"/>
        <v>0</v>
      </c>
      <c r="WO81" s="849" t="str">
        <f t="shared" si="118"/>
        <v>bez komentáře</v>
      </c>
      <c r="WP81" s="849" t="str">
        <f t="shared" si="118"/>
        <v>bez komentáře</v>
      </c>
      <c r="WQ81" s="849" t="str">
        <f t="shared" si="118"/>
        <v>Konečná výše dotace z rozpočtu KHK bude řešena v návaznosti na řešení podílů jednotlivých zadavatelů.</v>
      </c>
      <c r="WR81" s="849" t="str">
        <f t="shared" si="118"/>
        <v>Konečná výše podpory ze stran obcí bude řešena v součinnosti s jednotlivými zadavateli v průběhu roku.</v>
      </c>
      <c r="WS81" s="849" t="str">
        <f t="shared" si="118"/>
        <v>bez komentáře</v>
      </c>
      <c r="WT81" s="849" t="str">
        <f t="shared" si="118"/>
        <v>bez komentáře</v>
      </c>
      <c r="WU81" s="845"/>
    </row>
    <row r="82" spans="1:619" s="128" customFormat="1" x14ac:dyDescent="0.25">
      <c r="A82" s="128" t="str">
        <f>VLOOKUP(F82,'Výpočet VP 2020'!$D$324:$I$588,6,FALSE)</f>
        <v>Je v síti</v>
      </c>
      <c r="B82" s="128" t="s">
        <v>502</v>
      </c>
      <c r="C82" s="128">
        <v>194891</v>
      </c>
      <c r="D82" s="128" t="s">
        <v>503</v>
      </c>
      <c r="E82" s="128" t="s">
        <v>259</v>
      </c>
      <c r="F82" s="128">
        <v>6565956</v>
      </c>
      <c r="G82" s="128" t="s">
        <v>348</v>
      </c>
      <c r="H82" s="128" t="s">
        <v>218</v>
      </c>
      <c r="I82" s="128" t="s">
        <v>502</v>
      </c>
      <c r="J82" s="129">
        <v>39814</v>
      </c>
      <c r="L82" s="128" t="s">
        <v>220</v>
      </c>
      <c r="M82" s="128" t="s">
        <v>505</v>
      </c>
      <c r="N82" s="128">
        <v>55</v>
      </c>
      <c r="P82" s="128">
        <v>79</v>
      </c>
      <c r="Q82" s="128">
        <v>71</v>
      </c>
      <c r="R82" s="128">
        <v>55</v>
      </c>
      <c r="BL82" s="128" t="s">
        <v>351</v>
      </c>
      <c r="BM82" s="128" t="s">
        <v>325</v>
      </c>
      <c r="BN82" s="128" t="s">
        <v>352</v>
      </c>
      <c r="DA82" s="128">
        <v>0</v>
      </c>
      <c r="DB82" s="128">
        <v>0</v>
      </c>
      <c r="DC82" s="128">
        <v>0</v>
      </c>
      <c r="DD82" s="128">
        <v>0</v>
      </c>
      <c r="DE82" s="128">
        <v>0</v>
      </c>
      <c r="DF82" s="128">
        <v>6</v>
      </c>
      <c r="DG82" s="128">
        <v>8</v>
      </c>
      <c r="DH82" s="128">
        <v>26</v>
      </c>
      <c r="DI82" s="128">
        <v>13</v>
      </c>
      <c r="DJ82" s="128">
        <v>2</v>
      </c>
      <c r="DK82" s="128">
        <v>6</v>
      </c>
      <c r="DL82" s="128">
        <v>8</v>
      </c>
      <c r="DM82" s="128">
        <v>26</v>
      </c>
      <c r="DN82" s="128">
        <v>13</v>
      </c>
      <c r="DO82" s="128">
        <v>2</v>
      </c>
      <c r="DP82" s="128">
        <v>0</v>
      </c>
      <c r="DQ82" s="128">
        <v>55</v>
      </c>
      <c r="DR82" s="128">
        <v>55</v>
      </c>
      <c r="DS82" s="128">
        <v>0</v>
      </c>
      <c r="DT82" s="128">
        <v>0</v>
      </c>
      <c r="DU82" s="128">
        <v>0</v>
      </c>
      <c r="DV82" s="128">
        <v>0</v>
      </c>
      <c r="DW82" s="128">
        <v>0</v>
      </c>
      <c r="DX82" s="128">
        <v>8</v>
      </c>
      <c r="DY82" s="128">
        <v>8</v>
      </c>
      <c r="DZ82" s="128">
        <v>26</v>
      </c>
      <c r="EA82" s="128">
        <v>13</v>
      </c>
      <c r="EB82" s="128">
        <v>0</v>
      </c>
      <c r="EC82" s="128">
        <v>8</v>
      </c>
      <c r="ED82" s="128">
        <v>8</v>
      </c>
      <c r="EE82" s="128">
        <v>26</v>
      </c>
      <c r="EF82" s="128">
        <v>13</v>
      </c>
      <c r="EG82" s="128">
        <v>0</v>
      </c>
      <c r="EH82" s="128">
        <v>0</v>
      </c>
      <c r="EI82" s="128">
        <v>55</v>
      </c>
      <c r="EJ82" s="128">
        <v>55</v>
      </c>
      <c r="EK82" s="128">
        <v>2</v>
      </c>
      <c r="EL82" s="128">
        <v>1.62</v>
      </c>
      <c r="EM82" s="128">
        <v>1.62</v>
      </c>
      <c r="EN82" s="128">
        <v>842893</v>
      </c>
      <c r="EO82" s="128">
        <v>550000</v>
      </c>
      <c r="EP82" s="128">
        <v>13</v>
      </c>
      <c r="EQ82" s="128">
        <v>12.45</v>
      </c>
      <c r="ER82" s="128">
        <v>12.45</v>
      </c>
      <c r="ES82" s="128">
        <v>6856998</v>
      </c>
      <c r="ET82" s="128">
        <v>5615000</v>
      </c>
      <c r="EU82" s="128">
        <v>12</v>
      </c>
      <c r="EV82" s="128">
        <v>9.7200000000000006</v>
      </c>
      <c r="EW82" s="128">
        <v>9.7200000000000006</v>
      </c>
      <c r="EX82" s="128">
        <v>6797667</v>
      </c>
      <c r="EY82" s="128">
        <v>0</v>
      </c>
      <c r="FO82" s="128">
        <v>16</v>
      </c>
      <c r="FP82" s="128">
        <v>12.96</v>
      </c>
      <c r="FQ82" s="128">
        <v>12.96</v>
      </c>
      <c r="FR82" s="128">
        <v>6552031</v>
      </c>
      <c r="FS82" s="128">
        <v>5000000</v>
      </c>
      <c r="IN82" s="128">
        <v>3</v>
      </c>
      <c r="IO82" s="128">
        <v>732</v>
      </c>
      <c r="IP82" s="128">
        <v>0.34899999999999998</v>
      </c>
      <c r="IQ82" s="128">
        <v>93450</v>
      </c>
      <c r="IR82" s="128">
        <v>0</v>
      </c>
      <c r="IS82" s="128">
        <v>5</v>
      </c>
      <c r="IT82" s="128">
        <v>826</v>
      </c>
      <c r="IU82" s="128">
        <v>0.39400000000000002</v>
      </c>
      <c r="IV82" s="128">
        <v>116550</v>
      </c>
      <c r="IW82" s="128">
        <v>0</v>
      </c>
      <c r="KG82" s="128">
        <v>0</v>
      </c>
      <c r="KI82" s="128">
        <v>23.79</v>
      </c>
      <c r="KJ82" s="128">
        <v>0</v>
      </c>
      <c r="KK82" s="128">
        <v>0.34899999999999998</v>
      </c>
      <c r="KL82" s="128">
        <v>0</v>
      </c>
      <c r="KM82" s="128">
        <v>24.138999999999999</v>
      </c>
      <c r="KN82" s="128">
        <v>21049589</v>
      </c>
      <c r="KO82" s="128">
        <v>11165000</v>
      </c>
      <c r="KP82" s="128">
        <v>11165000</v>
      </c>
      <c r="KT82" s="128">
        <v>0</v>
      </c>
      <c r="KU82" s="128">
        <v>0</v>
      </c>
      <c r="KV82" s="128">
        <v>0</v>
      </c>
      <c r="KZ82" s="128">
        <v>210000</v>
      </c>
      <c r="LA82" s="128">
        <v>0</v>
      </c>
      <c r="LB82" s="128">
        <v>0</v>
      </c>
      <c r="LF82" s="128">
        <v>130420</v>
      </c>
      <c r="LG82" s="128">
        <v>0</v>
      </c>
      <c r="LH82" s="128">
        <v>0</v>
      </c>
      <c r="LL82" s="128">
        <v>0</v>
      </c>
      <c r="LM82" s="128">
        <v>0</v>
      </c>
      <c r="LN82" s="128">
        <v>0</v>
      </c>
      <c r="LR82" s="128">
        <v>162000</v>
      </c>
      <c r="LS82" s="128">
        <v>0</v>
      </c>
      <c r="LT82" s="128">
        <v>0</v>
      </c>
      <c r="LX82" s="128">
        <v>1828980</v>
      </c>
      <c r="LY82" s="128">
        <v>0</v>
      </c>
      <c r="LZ82" s="128">
        <v>0</v>
      </c>
      <c r="MD82" s="128">
        <v>59130</v>
      </c>
      <c r="ME82" s="128">
        <v>0</v>
      </c>
      <c r="MF82" s="128">
        <v>0</v>
      </c>
      <c r="MJ82" s="128">
        <v>24300</v>
      </c>
      <c r="MK82" s="128">
        <v>0</v>
      </c>
      <c r="ML82" s="128">
        <v>0</v>
      </c>
      <c r="MP82" s="128">
        <v>461700</v>
      </c>
      <c r="MQ82" s="128">
        <v>0</v>
      </c>
      <c r="MR82" s="128">
        <v>0</v>
      </c>
      <c r="MV82" s="128">
        <v>1636200</v>
      </c>
      <c r="MW82" s="128">
        <v>0</v>
      </c>
      <c r="MX82" s="128">
        <v>0</v>
      </c>
      <c r="NB82" s="128">
        <v>35316</v>
      </c>
      <c r="NC82" s="128">
        <v>0</v>
      </c>
      <c r="ND82" s="128">
        <v>0</v>
      </c>
      <c r="NH82" s="128">
        <v>0</v>
      </c>
      <c r="NI82" s="128">
        <v>0</v>
      </c>
      <c r="NJ82" s="128">
        <v>0</v>
      </c>
      <c r="NN82" s="128">
        <v>19440</v>
      </c>
      <c r="NO82" s="128">
        <v>0</v>
      </c>
      <c r="NP82" s="128">
        <v>0</v>
      </c>
      <c r="NT82" s="128">
        <v>81000</v>
      </c>
      <c r="NU82" s="128">
        <v>0</v>
      </c>
      <c r="NV82" s="128">
        <v>0</v>
      </c>
      <c r="NZ82" s="128">
        <v>886140</v>
      </c>
      <c r="OA82" s="128">
        <v>0</v>
      </c>
      <c r="OB82" s="128">
        <v>0</v>
      </c>
      <c r="OF82" s="128">
        <v>12960</v>
      </c>
      <c r="OG82" s="128">
        <v>0</v>
      </c>
      <c r="OH82" s="128">
        <v>0</v>
      </c>
      <c r="OL82" s="128">
        <v>0</v>
      </c>
      <c r="OM82" s="128">
        <v>0</v>
      </c>
      <c r="ON82" s="128">
        <v>0</v>
      </c>
      <c r="OR82" s="128">
        <v>0</v>
      </c>
      <c r="OS82" s="128">
        <v>0</v>
      </c>
      <c r="OT82" s="128">
        <v>0</v>
      </c>
      <c r="OX82" s="128">
        <v>749250</v>
      </c>
      <c r="OY82" s="128">
        <v>0</v>
      </c>
      <c r="OZ82" s="128">
        <v>0</v>
      </c>
      <c r="PD82" s="128">
        <v>1053000</v>
      </c>
      <c r="PE82" s="128">
        <v>0</v>
      </c>
      <c r="PF82" s="128">
        <v>0</v>
      </c>
      <c r="PJ82" s="128">
        <v>7290</v>
      </c>
      <c r="PK82" s="128">
        <v>0</v>
      </c>
      <c r="PL82" s="128">
        <v>0</v>
      </c>
      <c r="PP82" s="128">
        <v>28406715</v>
      </c>
      <c r="PQ82" s="128">
        <v>11165000</v>
      </c>
      <c r="PR82" s="128">
        <v>11165000</v>
      </c>
      <c r="PS82" s="128">
        <v>100</v>
      </c>
      <c r="PT82" s="128">
        <v>100</v>
      </c>
      <c r="PV82" s="128">
        <v>15226796</v>
      </c>
      <c r="PX82" s="128">
        <v>6868092</v>
      </c>
      <c r="PY82" s="128">
        <v>7047423</v>
      </c>
      <c r="PZ82" s="128">
        <v>11165000</v>
      </c>
      <c r="QA82" s="128">
        <v>0</v>
      </c>
      <c r="QB82" s="128">
        <v>0</v>
      </c>
      <c r="QC82" s="128">
        <v>0</v>
      </c>
      <c r="QD82" s="128">
        <v>0</v>
      </c>
      <c r="QE82" s="128">
        <v>0</v>
      </c>
      <c r="QF82" s="128">
        <v>0</v>
      </c>
      <c r="QG82" s="128">
        <v>1953244</v>
      </c>
      <c r="QH82" s="128">
        <v>2138000</v>
      </c>
      <c r="QI82" s="128">
        <v>1757655</v>
      </c>
      <c r="QJ82" s="128">
        <v>11934280</v>
      </c>
      <c r="QK82" s="128">
        <v>11992000</v>
      </c>
      <c r="QL82" s="128">
        <v>12636000</v>
      </c>
      <c r="QN82" s="128">
        <v>2495626</v>
      </c>
      <c r="QO82" s="128">
        <v>2057000</v>
      </c>
      <c r="QP82" s="128">
        <v>2584000</v>
      </c>
      <c r="QR82" s="128">
        <v>21199</v>
      </c>
      <c r="QS82" s="128">
        <v>21199</v>
      </c>
      <c r="QT82" s="128">
        <v>21060</v>
      </c>
      <c r="RD82" s="128">
        <v>252757</v>
      </c>
      <c r="RE82" s="128">
        <v>216200</v>
      </c>
      <c r="RF82" s="128">
        <v>243000</v>
      </c>
      <c r="RH82" s="128">
        <f t="shared" si="209"/>
        <v>13186715</v>
      </c>
      <c r="RI82" s="128">
        <v>0</v>
      </c>
      <c r="RM82" s="128" t="s">
        <v>220</v>
      </c>
      <c r="RU82" s="130"/>
      <c r="RV82" s="130"/>
      <c r="RW82" s="130"/>
      <c r="RX82" s="130"/>
      <c r="SF82" s="128">
        <f t="shared" si="119"/>
        <v>6565956</v>
      </c>
      <c r="SG82" s="131">
        <f t="shared" si="120"/>
        <v>28406715</v>
      </c>
      <c r="SH82" s="131">
        <f t="shared" si="121"/>
        <v>28406715</v>
      </c>
      <c r="SI82" s="131">
        <f t="shared" si="122"/>
        <v>21390009</v>
      </c>
      <c r="SJ82" s="132">
        <f t="shared" si="123"/>
        <v>21049589</v>
      </c>
      <c r="SK82" s="132">
        <f t="shared" si="124"/>
        <v>0</v>
      </c>
      <c r="SL82" s="132">
        <f t="shared" si="125"/>
        <v>210000</v>
      </c>
      <c r="SM82" s="132">
        <f t="shared" si="126"/>
        <v>130420</v>
      </c>
      <c r="SN82" s="131">
        <f t="shared" si="127"/>
        <v>7016706</v>
      </c>
      <c r="SO82" s="131">
        <f t="shared" si="128"/>
        <v>162000</v>
      </c>
      <c r="SP82" s="132">
        <f t="shared" si="129"/>
        <v>0</v>
      </c>
      <c r="SQ82" s="132">
        <f t="shared" si="130"/>
        <v>162000</v>
      </c>
      <c r="SR82" s="132">
        <f t="shared" si="131"/>
        <v>1828980</v>
      </c>
      <c r="SS82" s="132">
        <f t="shared" si="132"/>
        <v>59130</v>
      </c>
      <c r="ST82" s="132">
        <f t="shared" si="133"/>
        <v>24300</v>
      </c>
      <c r="SU82" s="132">
        <f t="shared" si="134"/>
        <v>461700</v>
      </c>
      <c r="SV82" s="131">
        <f t="shared" si="135"/>
        <v>3420306</v>
      </c>
      <c r="SW82" s="132">
        <f t="shared" si="136"/>
        <v>1636200</v>
      </c>
      <c r="SX82" s="132">
        <f t="shared" si="137"/>
        <v>35316</v>
      </c>
      <c r="SY82" s="132">
        <f t="shared" si="138"/>
        <v>0</v>
      </c>
      <c r="SZ82" s="132">
        <f t="shared" si="139"/>
        <v>19440</v>
      </c>
      <c r="TA82" s="132">
        <f t="shared" si="140"/>
        <v>81000</v>
      </c>
      <c r="TB82" s="132">
        <f t="shared" si="141"/>
        <v>886140</v>
      </c>
      <c r="TC82" s="132">
        <f t="shared" si="142"/>
        <v>12960</v>
      </c>
      <c r="TD82" s="132">
        <f t="shared" si="143"/>
        <v>0</v>
      </c>
      <c r="TE82" s="132">
        <f t="shared" si="144"/>
        <v>0</v>
      </c>
      <c r="TF82" s="132">
        <f t="shared" si="145"/>
        <v>749250</v>
      </c>
      <c r="TG82" s="132">
        <f t="shared" si="146"/>
        <v>1053000</v>
      </c>
      <c r="TH82" s="132">
        <f t="shared" si="147"/>
        <v>7290</v>
      </c>
      <c r="TI82" s="1"/>
      <c r="TJ82" s="131">
        <f t="shared" si="148"/>
        <v>11165000</v>
      </c>
      <c r="TK82" s="131">
        <f t="shared" si="149"/>
        <v>11165000</v>
      </c>
      <c r="TL82" s="131">
        <f t="shared" si="150"/>
        <v>11165000</v>
      </c>
      <c r="TM82" s="132">
        <f t="shared" si="151"/>
        <v>11165000</v>
      </c>
      <c r="TN82" s="132">
        <f t="shared" si="152"/>
        <v>0</v>
      </c>
      <c r="TO82" s="132">
        <f t="shared" si="153"/>
        <v>0</v>
      </c>
      <c r="TP82" s="132">
        <f t="shared" si="154"/>
        <v>0</v>
      </c>
      <c r="TQ82" s="131">
        <f t="shared" si="155"/>
        <v>0</v>
      </c>
      <c r="TR82" s="131">
        <f t="shared" si="156"/>
        <v>0</v>
      </c>
      <c r="TS82" s="132">
        <f t="shared" si="157"/>
        <v>0</v>
      </c>
      <c r="TT82" s="132">
        <f t="shared" si="158"/>
        <v>0</v>
      </c>
      <c r="TU82" s="132">
        <f t="shared" si="159"/>
        <v>0</v>
      </c>
      <c r="TV82" s="132">
        <f t="shared" si="160"/>
        <v>0</v>
      </c>
      <c r="TW82" s="132">
        <f t="shared" si="161"/>
        <v>0</v>
      </c>
      <c r="TX82" s="132">
        <f t="shared" si="162"/>
        <v>0</v>
      </c>
      <c r="TY82" s="131">
        <f t="shared" si="163"/>
        <v>0</v>
      </c>
      <c r="TZ82" s="132">
        <f t="shared" si="164"/>
        <v>0</v>
      </c>
      <c r="UA82" s="132">
        <f t="shared" si="165"/>
        <v>0</v>
      </c>
      <c r="UB82" s="132">
        <f t="shared" si="166"/>
        <v>0</v>
      </c>
      <c r="UC82" s="132">
        <f t="shared" si="167"/>
        <v>0</v>
      </c>
      <c r="UD82" s="132">
        <f t="shared" si="168"/>
        <v>0</v>
      </c>
      <c r="UE82" s="132">
        <f t="shared" si="169"/>
        <v>0</v>
      </c>
      <c r="UF82" s="132">
        <f t="shared" si="170"/>
        <v>0</v>
      </c>
      <c r="UG82" s="132">
        <f t="shared" si="171"/>
        <v>0</v>
      </c>
      <c r="UH82" s="132">
        <f t="shared" si="172"/>
        <v>0</v>
      </c>
      <c r="UI82" s="132">
        <f t="shared" si="173"/>
        <v>0</v>
      </c>
      <c r="UJ82" s="132">
        <f t="shared" si="174"/>
        <v>0</v>
      </c>
      <c r="UK82" s="132">
        <f t="shared" si="175"/>
        <v>0</v>
      </c>
      <c r="UL82" s="132">
        <f t="shared" si="210"/>
        <v>11165000</v>
      </c>
      <c r="UM82" s="131">
        <f t="shared" si="176"/>
        <v>11165000</v>
      </c>
      <c r="UN82" s="131">
        <f t="shared" si="177"/>
        <v>11165000</v>
      </c>
      <c r="UO82" s="131">
        <f t="shared" si="178"/>
        <v>11165000</v>
      </c>
      <c r="UP82" s="132">
        <f t="shared" si="179"/>
        <v>11165000</v>
      </c>
      <c r="UQ82" s="132">
        <f t="shared" si="180"/>
        <v>0</v>
      </c>
      <c r="UR82" s="132">
        <f t="shared" si="181"/>
        <v>0</v>
      </c>
      <c r="US82" s="132">
        <f t="shared" si="182"/>
        <v>0</v>
      </c>
      <c r="UT82" s="131">
        <f t="shared" si="183"/>
        <v>0</v>
      </c>
      <c r="UU82" s="131">
        <f t="shared" si="184"/>
        <v>0</v>
      </c>
      <c r="UV82" s="132">
        <f t="shared" si="185"/>
        <v>0</v>
      </c>
      <c r="UW82" s="132">
        <f t="shared" si="186"/>
        <v>0</v>
      </c>
      <c r="UX82" s="132">
        <f t="shared" si="187"/>
        <v>0</v>
      </c>
      <c r="UY82" s="132">
        <f t="shared" si="188"/>
        <v>0</v>
      </c>
      <c r="UZ82" s="132">
        <f t="shared" si="189"/>
        <v>0</v>
      </c>
      <c r="VA82" s="132">
        <f t="shared" si="190"/>
        <v>0</v>
      </c>
      <c r="VB82" s="131">
        <f t="shared" si="191"/>
        <v>0</v>
      </c>
      <c r="VC82" s="132">
        <f t="shared" si="192"/>
        <v>0</v>
      </c>
      <c r="VD82" s="132">
        <f t="shared" si="193"/>
        <v>0</v>
      </c>
      <c r="VE82" s="132">
        <f t="shared" si="194"/>
        <v>0</v>
      </c>
      <c r="VF82" s="132">
        <f t="shared" si="195"/>
        <v>0</v>
      </c>
      <c r="VG82" s="132">
        <f t="shared" si="196"/>
        <v>0</v>
      </c>
      <c r="VH82" s="132">
        <f t="shared" si="197"/>
        <v>0</v>
      </c>
      <c r="VI82" s="132">
        <f t="shared" si="198"/>
        <v>0</v>
      </c>
      <c r="VJ82" s="132">
        <f t="shared" si="199"/>
        <v>0</v>
      </c>
      <c r="VK82" s="132">
        <f t="shared" si="200"/>
        <v>0</v>
      </c>
      <c r="VL82" s="132">
        <f t="shared" si="201"/>
        <v>0</v>
      </c>
      <c r="VM82" s="132">
        <f t="shared" si="202"/>
        <v>0</v>
      </c>
      <c r="VN82" s="132">
        <f t="shared" si="203"/>
        <v>0</v>
      </c>
      <c r="VP82" s="845" t="str">
        <f>IFERROR(HLOOKUP(F82,'Hodnocení '!$C$1:$JH$5,2,FALSE),0)</f>
        <v>Domov pro seniory Vrchlabí</v>
      </c>
      <c r="VQ82" s="838"/>
      <c r="VR82" s="845" t="str">
        <f t="shared" si="211"/>
        <v>Příspěvková organizace zřízená územním samosprávným celkem</v>
      </c>
      <c r="VS82" s="845" t="str">
        <f>IFERROR(HLOOKUP(F82,'Hodnocení '!$C$1:$JH$5,5,FALSE),0)</f>
        <v>PO KHK</v>
      </c>
      <c r="VT82" s="838">
        <f t="shared" si="212"/>
        <v>0</v>
      </c>
      <c r="VU82" s="838" t="str">
        <f t="shared" si="213"/>
        <v>PO KHK</v>
      </c>
      <c r="VV82" s="838">
        <f t="shared" si="214"/>
        <v>12636000</v>
      </c>
      <c r="VW82" s="838">
        <f t="shared" si="215"/>
        <v>2584000</v>
      </c>
      <c r="VX82" s="838"/>
      <c r="VY82" s="838">
        <f t="shared" si="114"/>
        <v>0</v>
      </c>
      <c r="VZ82" s="838">
        <f t="shared" si="115"/>
        <v>11165000</v>
      </c>
      <c r="WA82" s="846">
        <f>IFERROR(HLOOKUP($F82,'Hodnocení '!$C$1:$JH$9,9,FALSE),0)</f>
        <v>11165000</v>
      </c>
      <c r="WB82" s="846">
        <f>IF(IFERROR(HLOOKUP($F82,'Hodnocení '!$C$1:$JH$13,13,FALSE),0)&gt;WA82,WA82,IFERROR(HLOOKUP($F82,'Hodnocení '!$C$1:$JH$13,13,FALSE),0))</f>
        <v>10983989.105203958</v>
      </c>
      <c r="WC82" s="846">
        <f>IFERROR(HLOOKUP($F82,'Hodnocení '!$C$1:$JH$155,155,FALSE),0)</f>
        <v>6957000</v>
      </c>
      <c r="WD82" s="845"/>
      <c r="WE82" s="845"/>
      <c r="WF82" s="845" t="str">
        <f t="shared" si="204"/>
        <v>ANO</v>
      </c>
      <c r="WG82" s="849" t="str">
        <f t="shared" si="117"/>
        <v>Podpora služby je vyjádřena zařazením do sítě sociálních služeb v KHK a řešením financování služby</v>
      </c>
      <c r="WH82"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82" s="849" t="str">
        <f t="shared" si="117"/>
        <v>Návrh dotace je výsledkem projednání s ostatními zadavateli v rámci sítě služeb KHK</v>
      </c>
      <c r="WJ82" s="849" t="str">
        <f t="shared" si="117"/>
        <v>Bez komentáře</v>
      </c>
      <c r="WK82" s="31">
        <f t="shared" si="205"/>
        <v>0</v>
      </c>
      <c r="WL82" s="850" t="str">
        <f t="shared" si="206"/>
        <v>Případná úprava příspěvku zřizovatele bude řešena v návaznosti na vývoj služby</v>
      </c>
      <c r="WM82" s="849" t="str">
        <f t="shared" si="207"/>
        <v>V rámci sítě KHK se dlouhodobě řeší otázka navyšování úhrad a průběžně se monitoruje s vazbou na vykrytí vyrovnávací platby</v>
      </c>
      <c r="WN82" s="849" t="str">
        <f t="shared" si="208"/>
        <v>Otázka výběru od zdravotních pojišťoven je předmětem procesu, který probíhá ve formě jednání se ZP a organizacemi</v>
      </c>
      <c r="WO82" s="849" t="str">
        <f t="shared" si="118"/>
        <v>bez komentáře</v>
      </c>
      <c r="WP82" s="849" t="str">
        <f t="shared" si="118"/>
        <v>bez komentáře</v>
      </c>
      <c r="WQ82" s="849" t="str">
        <f t="shared" si="118"/>
        <v>Konečná výše dotace z rozpočtu KHK bude řešena v návaznosti na řešení podílů jednotlivých zadavatelů.</v>
      </c>
      <c r="WR82" s="849" t="str">
        <f t="shared" si="118"/>
        <v>Konečná výše podpory ze stran obcí bude řešena v součinnosti s jednotlivými zadavateli v průběhu roku.</v>
      </c>
      <c r="WS82" s="849" t="str">
        <f t="shared" si="118"/>
        <v>bez komentáře</v>
      </c>
      <c r="WT82" s="849" t="str">
        <f t="shared" si="118"/>
        <v>bez komentáře</v>
      </c>
      <c r="WU82" s="845"/>
    </row>
    <row r="83" spans="1:619" s="128" customFormat="1" x14ac:dyDescent="0.25">
      <c r="A83" s="128" t="str">
        <f>VLOOKUP(F83,'Výpočet VP 2020'!$D$324:$I$588,6,FALSE)</f>
        <v>Je v síti</v>
      </c>
      <c r="B83" s="128" t="s">
        <v>502</v>
      </c>
      <c r="C83" s="128">
        <v>194891</v>
      </c>
      <c r="D83" s="128" t="s">
        <v>503</v>
      </c>
      <c r="E83" s="128" t="s">
        <v>259</v>
      </c>
      <c r="F83" s="128">
        <v>9924037</v>
      </c>
      <c r="G83" s="128" t="s">
        <v>392</v>
      </c>
      <c r="H83" s="128" t="s">
        <v>218</v>
      </c>
      <c r="I83" s="128" t="s">
        <v>502</v>
      </c>
      <c r="J83" s="129">
        <v>40787</v>
      </c>
      <c r="L83" s="128" t="s">
        <v>220</v>
      </c>
      <c r="M83" s="128" t="s">
        <v>394</v>
      </c>
      <c r="N83" s="128">
        <v>10</v>
      </c>
      <c r="P83" s="128">
        <v>11</v>
      </c>
      <c r="Q83" s="128">
        <v>15</v>
      </c>
      <c r="R83" s="128">
        <v>10</v>
      </c>
      <c r="BL83" s="128" t="s">
        <v>351</v>
      </c>
      <c r="BM83" s="128" t="s">
        <v>325</v>
      </c>
      <c r="BN83" s="128" t="s">
        <v>326</v>
      </c>
      <c r="DA83" s="128">
        <v>0</v>
      </c>
      <c r="DB83" s="128">
        <v>0</v>
      </c>
      <c r="DC83" s="128">
        <v>0</v>
      </c>
      <c r="DD83" s="128">
        <v>0</v>
      </c>
      <c r="DE83" s="128">
        <v>0</v>
      </c>
      <c r="DF83" s="128">
        <v>0</v>
      </c>
      <c r="DG83" s="128">
        <v>2</v>
      </c>
      <c r="DH83" s="128">
        <v>4</v>
      </c>
      <c r="DI83" s="128">
        <v>4</v>
      </c>
      <c r="DJ83" s="128">
        <v>0</v>
      </c>
      <c r="DK83" s="128">
        <v>0</v>
      </c>
      <c r="DL83" s="128">
        <v>2</v>
      </c>
      <c r="DM83" s="128">
        <v>4</v>
      </c>
      <c r="DN83" s="128">
        <v>4</v>
      </c>
      <c r="DO83" s="128">
        <v>0</v>
      </c>
      <c r="DP83" s="128">
        <v>0</v>
      </c>
      <c r="DQ83" s="128">
        <v>10</v>
      </c>
      <c r="DR83" s="128">
        <v>10</v>
      </c>
      <c r="DS83" s="128">
        <v>0</v>
      </c>
      <c r="DT83" s="128">
        <v>0</v>
      </c>
      <c r="DU83" s="128">
        <v>0</v>
      </c>
      <c r="DV83" s="128">
        <v>0</v>
      </c>
      <c r="DW83" s="128">
        <v>0</v>
      </c>
      <c r="DX83" s="128">
        <v>0</v>
      </c>
      <c r="DY83" s="128">
        <v>2</v>
      </c>
      <c r="DZ83" s="128">
        <v>4</v>
      </c>
      <c r="EA83" s="128">
        <v>4</v>
      </c>
      <c r="EB83" s="128">
        <v>0</v>
      </c>
      <c r="EC83" s="128">
        <v>0</v>
      </c>
      <c r="ED83" s="128">
        <v>2</v>
      </c>
      <c r="EE83" s="128">
        <v>4</v>
      </c>
      <c r="EF83" s="128">
        <v>4</v>
      </c>
      <c r="EG83" s="128">
        <v>0</v>
      </c>
      <c r="EH83" s="128">
        <v>0</v>
      </c>
      <c r="EI83" s="128">
        <v>10</v>
      </c>
      <c r="EJ83" s="128">
        <v>10</v>
      </c>
      <c r="EK83" s="128">
        <v>2</v>
      </c>
      <c r="EL83" s="128">
        <v>0.3</v>
      </c>
      <c r="EM83" s="128">
        <v>0.3</v>
      </c>
      <c r="EN83" s="128">
        <v>156091</v>
      </c>
      <c r="EO83" s="128">
        <v>90000</v>
      </c>
      <c r="EP83" s="128">
        <v>6</v>
      </c>
      <c r="EQ83" s="128">
        <v>6</v>
      </c>
      <c r="ER83" s="128">
        <v>6</v>
      </c>
      <c r="ES83" s="128">
        <v>3586125</v>
      </c>
      <c r="ET83" s="128">
        <v>2570000</v>
      </c>
      <c r="EU83" s="128">
        <v>12</v>
      </c>
      <c r="EV83" s="128">
        <v>1.8</v>
      </c>
      <c r="EW83" s="128">
        <v>1.8</v>
      </c>
      <c r="EX83" s="128">
        <v>1258827</v>
      </c>
      <c r="EY83" s="128">
        <v>0</v>
      </c>
      <c r="FO83" s="128">
        <v>16</v>
      </c>
      <c r="FP83" s="128">
        <v>2.4</v>
      </c>
      <c r="FQ83" s="128">
        <v>2.4</v>
      </c>
      <c r="FR83" s="128">
        <v>1213339</v>
      </c>
      <c r="FS83" s="128">
        <v>900000</v>
      </c>
      <c r="IN83" s="128">
        <v>1</v>
      </c>
      <c r="IO83" s="128">
        <v>30</v>
      </c>
      <c r="IP83" s="128">
        <v>1.4E-2</v>
      </c>
      <c r="IQ83" s="128">
        <v>6750</v>
      </c>
      <c r="IR83" s="128">
        <v>0</v>
      </c>
      <c r="IS83" s="128">
        <v>5</v>
      </c>
      <c r="IT83" s="128">
        <v>153</v>
      </c>
      <c r="IU83" s="128">
        <v>7.2999999999999995E-2</v>
      </c>
      <c r="IV83" s="128">
        <v>21600</v>
      </c>
      <c r="IW83" s="128">
        <v>0</v>
      </c>
      <c r="KG83" s="128">
        <v>0</v>
      </c>
      <c r="KI83" s="128">
        <v>8.1</v>
      </c>
      <c r="KJ83" s="128">
        <v>0</v>
      </c>
      <c r="KK83" s="128">
        <v>1.4E-2</v>
      </c>
      <c r="KL83" s="128">
        <v>0</v>
      </c>
      <c r="KM83" s="128">
        <v>8.1140000000000008</v>
      </c>
      <c r="KN83" s="128">
        <v>6214382</v>
      </c>
      <c r="KO83" s="128">
        <v>3560000</v>
      </c>
      <c r="KP83" s="128">
        <v>3560000</v>
      </c>
      <c r="KT83" s="128">
        <v>0</v>
      </c>
      <c r="KU83" s="128">
        <v>0</v>
      </c>
      <c r="KV83" s="128">
        <v>0</v>
      </c>
      <c r="KZ83" s="128">
        <v>28350</v>
      </c>
      <c r="LA83" s="128">
        <v>0</v>
      </c>
      <c r="LB83" s="128">
        <v>0</v>
      </c>
      <c r="LF83" s="128">
        <v>27400</v>
      </c>
      <c r="LG83" s="128">
        <v>0</v>
      </c>
      <c r="LH83" s="128">
        <v>0</v>
      </c>
      <c r="LL83" s="128">
        <v>0</v>
      </c>
      <c r="LM83" s="128">
        <v>0</v>
      </c>
      <c r="LN83" s="128">
        <v>0</v>
      </c>
      <c r="LR83" s="128">
        <v>30000</v>
      </c>
      <c r="LS83" s="128">
        <v>0</v>
      </c>
      <c r="LT83" s="128">
        <v>0</v>
      </c>
      <c r="LX83" s="128">
        <v>338700</v>
      </c>
      <c r="LY83" s="128">
        <v>0</v>
      </c>
      <c r="LZ83" s="128">
        <v>0</v>
      </c>
      <c r="MD83" s="128">
        <v>10950</v>
      </c>
      <c r="ME83" s="128">
        <v>0</v>
      </c>
      <c r="MF83" s="128">
        <v>0</v>
      </c>
      <c r="MJ83" s="128">
        <v>4500</v>
      </c>
      <c r="MK83" s="128">
        <v>0</v>
      </c>
      <c r="ML83" s="128">
        <v>0</v>
      </c>
      <c r="MP83" s="128">
        <v>85500</v>
      </c>
      <c r="MQ83" s="128">
        <v>0</v>
      </c>
      <c r="MR83" s="128">
        <v>0</v>
      </c>
      <c r="MV83" s="128">
        <v>303000</v>
      </c>
      <c r="MW83" s="128">
        <v>0</v>
      </c>
      <c r="MX83" s="128">
        <v>0</v>
      </c>
      <c r="NB83" s="128">
        <v>6540</v>
      </c>
      <c r="NC83" s="128">
        <v>0</v>
      </c>
      <c r="ND83" s="128">
        <v>0</v>
      </c>
      <c r="NH83" s="128">
        <v>0</v>
      </c>
      <c r="NI83" s="128">
        <v>0</v>
      </c>
      <c r="NJ83" s="128">
        <v>0</v>
      </c>
      <c r="NN83" s="128">
        <v>3600</v>
      </c>
      <c r="NO83" s="128">
        <v>0</v>
      </c>
      <c r="NP83" s="128">
        <v>0</v>
      </c>
      <c r="NT83" s="128">
        <v>15000</v>
      </c>
      <c r="NU83" s="128">
        <v>0</v>
      </c>
      <c r="NV83" s="128">
        <v>0</v>
      </c>
      <c r="NZ83" s="128">
        <v>164100</v>
      </c>
      <c r="OA83" s="128">
        <v>0</v>
      </c>
      <c r="OB83" s="128">
        <v>0</v>
      </c>
      <c r="OF83" s="128">
        <v>2400</v>
      </c>
      <c r="OG83" s="128">
        <v>0</v>
      </c>
      <c r="OH83" s="128">
        <v>0</v>
      </c>
      <c r="OL83" s="128">
        <v>0</v>
      </c>
      <c r="OM83" s="128">
        <v>0</v>
      </c>
      <c r="ON83" s="128">
        <v>0</v>
      </c>
      <c r="OR83" s="128">
        <v>0</v>
      </c>
      <c r="OS83" s="128">
        <v>0</v>
      </c>
      <c r="OT83" s="128">
        <v>0</v>
      </c>
      <c r="OX83" s="128">
        <v>138750</v>
      </c>
      <c r="OY83" s="128">
        <v>0</v>
      </c>
      <c r="OZ83" s="128">
        <v>0</v>
      </c>
      <c r="PD83" s="128">
        <v>195000</v>
      </c>
      <c r="PE83" s="128">
        <v>0</v>
      </c>
      <c r="PF83" s="128">
        <v>0</v>
      </c>
      <c r="PJ83" s="128">
        <v>1350</v>
      </c>
      <c r="PK83" s="128">
        <v>0</v>
      </c>
      <c r="PL83" s="128">
        <v>0</v>
      </c>
      <c r="PP83" s="128">
        <v>7569522</v>
      </c>
      <c r="PQ83" s="128">
        <v>3560000</v>
      </c>
      <c r="PR83" s="128">
        <v>3560000</v>
      </c>
      <c r="PS83" s="128">
        <v>100</v>
      </c>
      <c r="PT83" s="128">
        <v>100</v>
      </c>
      <c r="PV83" s="128">
        <v>4003183</v>
      </c>
      <c r="PX83" s="128">
        <v>1762082</v>
      </c>
      <c r="PY83" s="128">
        <v>2196410</v>
      </c>
      <c r="PZ83" s="128">
        <v>3560000</v>
      </c>
      <c r="QA83" s="128">
        <v>0</v>
      </c>
      <c r="QB83" s="128">
        <v>0</v>
      </c>
      <c r="QC83" s="128">
        <v>0</v>
      </c>
      <c r="QD83" s="128">
        <v>0</v>
      </c>
      <c r="QE83" s="128">
        <v>0</v>
      </c>
      <c r="QF83" s="128">
        <v>0</v>
      </c>
      <c r="QG83" s="128">
        <v>1695788</v>
      </c>
      <c r="QH83" s="128">
        <v>1865090</v>
      </c>
      <c r="QI83" s="128">
        <v>861622</v>
      </c>
      <c r="QJ83" s="128">
        <v>2368692</v>
      </c>
      <c r="QK83" s="128">
        <v>2483400</v>
      </c>
      <c r="QL83" s="128">
        <v>2283000</v>
      </c>
      <c r="QN83" s="128">
        <v>440401</v>
      </c>
      <c r="QO83" s="128">
        <v>636000</v>
      </c>
      <c r="QP83" s="128">
        <v>816000</v>
      </c>
      <c r="QR83" s="128">
        <v>3926</v>
      </c>
      <c r="QS83" s="128">
        <v>3900</v>
      </c>
      <c r="QT83" s="128">
        <v>3900</v>
      </c>
      <c r="RD83" s="128">
        <v>46188</v>
      </c>
      <c r="RE83" s="128">
        <v>38130</v>
      </c>
      <c r="RF83" s="128">
        <v>45000</v>
      </c>
      <c r="RH83" s="128">
        <f t="shared" si="209"/>
        <v>4470522</v>
      </c>
      <c r="RI83" s="128">
        <v>0</v>
      </c>
      <c r="RM83" s="128" t="s">
        <v>220</v>
      </c>
      <c r="RU83" s="130"/>
      <c r="RV83" s="130"/>
      <c r="RW83" s="130"/>
      <c r="RX83" s="130"/>
      <c r="SF83" s="128">
        <f t="shared" si="119"/>
        <v>9924037</v>
      </c>
      <c r="SG83" s="131">
        <f t="shared" si="120"/>
        <v>7569522</v>
      </c>
      <c r="SH83" s="131">
        <f t="shared" si="121"/>
        <v>7569522</v>
      </c>
      <c r="SI83" s="131">
        <f t="shared" si="122"/>
        <v>6270132</v>
      </c>
      <c r="SJ83" s="132">
        <f t="shared" si="123"/>
        <v>6214382</v>
      </c>
      <c r="SK83" s="132">
        <f t="shared" si="124"/>
        <v>0</v>
      </c>
      <c r="SL83" s="132">
        <f t="shared" si="125"/>
        <v>28350</v>
      </c>
      <c r="SM83" s="132">
        <f t="shared" si="126"/>
        <v>27400</v>
      </c>
      <c r="SN83" s="131">
        <f t="shared" si="127"/>
        <v>1299390</v>
      </c>
      <c r="SO83" s="131">
        <f t="shared" si="128"/>
        <v>30000</v>
      </c>
      <c r="SP83" s="132">
        <f t="shared" si="129"/>
        <v>0</v>
      </c>
      <c r="SQ83" s="132">
        <f t="shared" si="130"/>
        <v>30000</v>
      </c>
      <c r="SR83" s="132">
        <f t="shared" si="131"/>
        <v>338700</v>
      </c>
      <c r="SS83" s="132">
        <f t="shared" si="132"/>
        <v>10950</v>
      </c>
      <c r="ST83" s="132">
        <f t="shared" si="133"/>
        <v>4500</v>
      </c>
      <c r="SU83" s="132">
        <f t="shared" si="134"/>
        <v>85500</v>
      </c>
      <c r="SV83" s="131">
        <f t="shared" si="135"/>
        <v>633390</v>
      </c>
      <c r="SW83" s="132">
        <f t="shared" si="136"/>
        <v>303000</v>
      </c>
      <c r="SX83" s="132">
        <f t="shared" si="137"/>
        <v>6540</v>
      </c>
      <c r="SY83" s="132">
        <f t="shared" si="138"/>
        <v>0</v>
      </c>
      <c r="SZ83" s="132">
        <f t="shared" si="139"/>
        <v>3600</v>
      </c>
      <c r="TA83" s="132">
        <f t="shared" si="140"/>
        <v>15000</v>
      </c>
      <c r="TB83" s="132">
        <f t="shared" si="141"/>
        <v>164100</v>
      </c>
      <c r="TC83" s="132">
        <f t="shared" si="142"/>
        <v>2400</v>
      </c>
      <c r="TD83" s="132">
        <f t="shared" si="143"/>
        <v>0</v>
      </c>
      <c r="TE83" s="132">
        <f t="shared" si="144"/>
        <v>0</v>
      </c>
      <c r="TF83" s="132">
        <f t="shared" si="145"/>
        <v>138750</v>
      </c>
      <c r="TG83" s="132">
        <f t="shared" si="146"/>
        <v>195000</v>
      </c>
      <c r="TH83" s="132">
        <f t="shared" si="147"/>
        <v>1350</v>
      </c>
      <c r="TI83" s="1"/>
      <c r="TJ83" s="131">
        <f t="shared" si="148"/>
        <v>3560000</v>
      </c>
      <c r="TK83" s="131">
        <f t="shared" si="149"/>
        <v>3560000</v>
      </c>
      <c r="TL83" s="131">
        <f t="shared" si="150"/>
        <v>3560000</v>
      </c>
      <c r="TM83" s="132">
        <f t="shared" si="151"/>
        <v>3560000</v>
      </c>
      <c r="TN83" s="132">
        <f t="shared" si="152"/>
        <v>0</v>
      </c>
      <c r="TO83" s="132">
        <f t="shared" si="153"/>
        <v>0</v>
      </c>
      <c r="TP83" s="132">
        <f t="shared" si="154"/>
        <v>0</v>
      </c>
      <c r="TQ83" s="131">
        <f t="shared" si="155"/>
        <v>0</v>
      </c>
      <c r="TR83" s="131">
        <f t="shared" si="156"/>
        <v>0</v>
      </c>
      <c r="TS83" s="132">
        <f t="shared" si="157"/>
        <v>0</v>
      </c>
      <c r="TT83" s="132">
        <f t="shared" si="158"/>
        <v>0</v>
      </c>
      <c r="TU83" s="132">
        <f t="shared" si="159"/>
        <v>0</v>
      </c>
      <c r="TV83" s="132">
        <f t="shared" si="160"/>
        <v>0</v>
      </c>
      <c r="TW83" s="132">
        <f t="shared" si="161"/>
        <v>0</v>
      </c>
      <c r="TX83" s="132">
        <f t="shared" si="162"/>
        <v>0</v>
      </c>
      <c r="TY83" s="131">
        <f t="shared" si="163"/>
        <v>0</v>
      </c>
      <c r="TZ83" s="132">
        <f t="shared" si="164"/>
        <v>0</v>
      </c>
      <c r="UA83" s="132">
        <f t="shared" si="165"/>
        <v>0</v>
      </c>
      <c r="UB83" s="132">
        <f t="shared" si="166"/>
        <v>0</v>
      </c>
      <c r="UC83" s="132">
        <f t="shared" si="167"/>
        <v>0</v>
      </c>
      <c r="UD83" s="132">
        <f t="shared" si="168"/>
        <v>0</v>
      </c>
      <c r="UE83" s="132">
        <f t="shared" si="169"/>
        <v>0</v>
      </c>
      <c r="UF83" s="132">
        <f t="shared" si="170"/>
        <v>0</v>
      </c>
      <c r="UG83" s="132">
        <f t="shared" si="171"/>
        <v>0</v>
      </c>
      <c r="UH83" s="132">
        <f t="shared" si="172"/>
        <v>0</v>
      </c>
      <c r="UI83" s="132">
        <f t="shared" si="173"/>
        <v>0</v>
      </c>
      <c r="UJ83" s="132">
        <f t="shared" si="174"/>
        <v>0</v>
      </c>
      <c r="UK83" s="132">
        <f t="shared" si="175"/>
        <v>0</v>
      </c>
      <c r="UL83" s="132">
        <f t="shared" si="210"/>
        <v>3560000</v>
      </c>
      <c r="UM83" s="131">
        <f t="shared" si="176"/>
        <v>3560000</v>
      </c>
      <c r="UN83" s="131">
        <f t="shared" si="177"/>
        <v>3560000</v>
      </c>
      <c r="UO83" s="131">
        <f t="shared" si="178"/>
        <v>3560000</v>
      </c>
      <c r="UP83" s="132">
        <f t="shared" si="179"/>
        <v>3560000</v>
      </c>
      <c r="UQ83" s="132">
        <f t="shared" si="180"/>
        <v>0</v>
      </c>
      <c r="UR83" s="132">
        <f t="shared" si="181"/>
        <v>0</v>
      </c>
      <c r="US83" s="132">
        <f t="shared" si="182"/>
        <v>0</v>
      </c>
      <c r="UT83" s="131">
        <f t="shared" si="183"/>
        <v>0</v>
      </c>
      <c r="UU83" s="131">
        <f t="shared" si="184"/>
        <v>0</v>
      </c>
      <c r="UV83" s="132">
        <f t="shared" si="185"/>
        <v>0</v>
      </c>
      <c r="UW83" s="132">
        <f t="shared" si="186"/>
        <v>0</v>
      </c>
      <c r="UX83" s="132">
        <f t="shared" si="187"/>
        <v>0</v>
      </c>
      <c r="UY83" s="132">
        <f t="shared" si="188"/>
        <v>0</v>
      </c>
      <c r="UZ83" s="132">
        <f t="shared" si="189"/>
        <v>0</v>
      </c>
      <c r="VA83" s="132">
        <f t="shared" si="190"/>
        <v>0</v>
      </c>
      <c r="VB83" s="131">
        <f t="shared" si="191"/>
        <v>0</v>
      </c>
      <c r="VC83" s="132">
        <f t="shared" si="192"/>
        <v>0</v>
      </c>
      <c r="VD83" s="132">
        <f t="shared" si="193"/>
        <v>0</v>
      </c>
      <c r="VE83" s="132">
        <f t="shared" si="194"/>
        <v>0</v>
      </c>
      <c r="VF83" s="132">
        <f t="shared" si="195"/>
        <v>0</v>
      </c>
      <c r="VG83" s="132">
        <f t="shared" si="196"/>
        <v>0</v>
      </c>
      <c r="VH83" s="132">
        <f t="shared" si="197"/>
        <v>0</v>
      </c>
      <c r="VI83" s="132">
        <f t="shared" si="198"/>
        <v>0</v>
      </c>
      <c r="VJ83" s="132">
        <f t="shared" si="199"/>
        <v>0</v>
      </c>
      <c r="VK83" s="132">
        <f t="shared" si="200"/>
        <v>0</v>
      </c>
      <c r="VL83" s="132">
        <f t="shared" si="201"/>
        <v>0</v>
      </c>
      <c r="VM83" s="132">
        <f t="shared" si="202"/>
        <v>0</v>
      </c>
      <c r="VN83" s="132">
        <f t="shared" si="203"/>
        <v>0</v>
      </c>
      <c r="VP83" s="845" t="str">
        <f>IFERROR(HLOOKUP(F83,'Hodnocení '!$C$1:$JH$5,2,FALSE),0)</f>
        <v>Domov pro seniory Vrchlabí</v>
      </c>
      <c r="VQ83" s="838"/>
      <c r="VR83" s="845" t="str">
        <f t="shared" si="211"/>
        <v>Příspěvková organizace zřízená územním samosprávným celkem</v>
      </c>
      <c r="VS83" s="845" t="str">
        <f>IFERROR(HLOOKUP(F83,'Hodnocení '!$C$1:$JH$5,5,FALSE),0)</f>
        <v>PO KHK</v>
      </c>
      <c r="VT83" s="838">
        <f t="shared" si="212"/>
        <v>0</v>
      </c>
      <c r="VU83" s="838" t="str">
        <f t="shared" si="213"/>
        <v>PO KHK</v>
      </c>
      <c r="VV83" s="838">
        <f t="shared" si="214"/>
        <v>2283000</v>
      </c>
      <c r="VW83" s="838">
        <f t="shared" si="215"/>
        <v>816000</v>
      </c>
      <c r="VX83" s="838"/>
      <c r="VY83" s="838">
        <f t="shared" si="114"/>
        <v>0</v>
      </c>
      <c r="VZ83" s="838">
        <f t="shared" si="115"/>
        <v>3560000</v>
      </c>
      <c r="WA83" s="846">
        <f>IFERROR(HLOOKUP($F83,'Hodnocení '!$C$1:$JH$9,9,FALSE),0)</f>
        <v>3560000</v>
      </c>
      <c r="WB83" s="846">
        <f>IF(IFERROR(HLOOKUP($F83,'Hodnocení '!$C$1:$JH$13,13,FALSE),0)&gt;WA83,WA83,IFERROR(HLOOKUP($F83,'Hodnocení '!$C$1:$JH$13,13,FALSE),0))</f>
        <v>3560000</v>
      </c>
      <c r="WC83" s="846">
        <f>IFERROR(HLOOKUP($F83,'Hodnocení '!$C$1:$JH$155,155,FALSE),0)</f>
        <v>2174450</v>
      </c>
      <c r="WD83" s="845"/>
      <c r="WE83" s="845"/>
      <c r="WF83" s="845" t="str">
        <f t="shared" si="204"/>
        <v>ANO</v>
      </c>
      <c r="WG83" s="849" t="str">
        <f t="shared" si="117"/>
        <v>Podpora služby je vyjádřena zařazením do sítě sociálních služeb v KHK a řešením financování služby</v>
      </c>
      <c r="WH83"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83" s="849" t="str">
        <f t="shared" si="117"/>
        <v>Návrh dotace je výsledkem projednání s ostatními zadavateli v rámci sítě služeb KHK</v>
      </c>
      <c r="WJ83" s="849" t="str">
        <f t="shared" si="117"/>
        <v>Bez komentáře</v>
      </c>
      <c r="WK83" s="31">
        <f t="shared" si="205"/>
        <v>0</v>
      </c>
      <c r="WL83" s="850" t="str">
        <f t="shared" si="206"/>
        <v>Případná úprava příspěvku zřizovatele bude řešena v návaznosti na vývoj služby</v>
      </c>
      <c r="WM83" s="849" t="str">
        <f t="shared" si="207"/>
        <v>V rámci sítě KHK se dlouhodobě řeší otázka navyšování úhrad a průběžně se monitoruje s vazbou na vykrytí vyrovnávací platby</v>
      </c>
      <c r="WN83" s="849" t="str">
        <f t="shared" si="208"/>
        <v>Otázka výběru od zdravotních pojišťoven je předmětem procesu, který probíhá ve formě jednání se ZP a organizacemi</v>
      </c>
      <c r="WO83" s="849" t="str">
        <f t="shared" si="118"/>
        <v>bez komentáře</v>
      </c>
      <c r="WP83" s="849" t="str">
        <f t="shared" si="118"/>
        <v>bez komentáře</v>
      </c>
      <c r="WQ83" s="849" t="str">
        <f t="shared" si="118"/>
        <v>Konečná výše dotace z rozpočtu KHK bude řešena v návaznosti na řešení podílů jednotlivých zadavatelů.</v>
      </c>
      <c r="WR83" s="849" t="str">
        <f t="shared" si="118"/>
        <v>Konečná výše podpory ze stran obcí bude řešena v součinnosti s jednotlivými zadavateli v průběhu roku.</v>
      </c>
      <c r="WS83" s="849" t="str">
        <f t="shared" si="118"/>
        <v>bez komentáře</v>
      </c>
      <c r="WT83" s="849" t="str">
        <f t="shared" si="118"/>
        <v>bez komentáře</v>
      </c>
      <c r="WU83" s="845"/>
    </row>
    <row r="84" spans="1:619" s="128" customFormat="1" x14ac:dyDescent="0.25">
      <c r="A84" s="128" t="str">
        <f>VLOOKUP(F84,'Výpočet VP 2020'!$D$324:$I$588,6,FALSE)</f>
        <v>Je v síti</v>
      </c>
      <c r="B84" s="128" t="s">
        <v>506</v>
      </c>
      <c r="C84" s="128">
        <v>579025</v>
      </c>
      <c r="D84" s="128" t="s">
        <v>507</v>
      </c>
      <c r="E84" s="128" t="s">
        <v>259</v>
      </c>
      <c r="F84" s="128">
        <v>9445282</v>
      </c>
      <c r="G84" s="128" t="s">
        <v>260</v>
      </c>
      <c r="H84" s="128" t="s">
        <v>218</v>
      </c>
      <c r="I84" s="128" t="s">
        <v>506</v>
      </c>
      <c r="J84" s="129">
        <v>39083</v>
      </c>
      <c r="L84" s="128" t="s">
        <v>220</v>
      </c>
      <c r="M84" s="128" t="s">
        <v>508</v>
      </c>
      <c r="N84" s="128">
        <v>70</v>
      </c>
      <c r="P84" s="128">
        <v>72</v>
      </c>
      <c r="Q84" s="128">
        <v>70</v>
      </c>
      <c r="R84" s="128">
        <v>70</v>
      </c>
      <c r="BL84" s="128" t="s">
        <v>263</v>
      </c>
      <c r="BM84" s="128" t="s">
        <v>228</v>
      </c>
      <c r="BN84" s="128" t="s">
        <v>364</v>
      </c>
      <c r="DA84" s="128">
        <v>0</v>
      </c>
      <c r="DB84" s="128">
        <v>0</v>
      </c>
      <c r="DC84" s="128">
        <v>0</v>
      </c>
      <c r="DD84" s="128">
        <v>0</v>
      </c>
      <c r="DE84" s="128">
        <v>0</v>
      </c>
      <c r="DF84" s="128">
        <v>0</v>
      </c>
      <c r="DG84" s="128">
        <v>25</v>
      </c>
      <c r="DH84" s="128">
        <v>24</v>
      </c>
      <c r="DI84" s="128">
        <v>21</v>
      </c>
      <c r="DJ84" s="128">
        <v>0</v>
      </c>
      <c r="DK84" s="128">
        <v>0</v>
      </c>
      <c r="DL84" s="128">
        <v>25</v>
      </c>
      <c r="DM84" s="128">
        <v>24</v>
      </c>
      <c r="DN84" s="128">
        <v>21</v>
      </c>
      <c r="DO84" s="128">
        <v>0</v>
      </c>
      <c r="DP84" s="128">
        <v>0</v>
      </c>
      <c r="DQ84" s="128">
        <v>70</v>
      </c>
      <c r="DR84" s="128">
        <v>70</v>
      </c>
      <c r="DS84" s="128">
        <v>0</v>
      </c>
      <c r="DT84" s="128">
        <v>0</v>
      </c>
      <c r="DU84" s="128">
        <v>0</v>
      </c>
      <c r="DV84" s="128">
        <v>0</v>
      </c>
      <c r="DW84" s="128">
        <v>0</v>
      </c>
      <c r="DX84" s="128">
        <v>0</v>
      </c>
      <c r="DY84" s="128">
        <v>25</v>
      </c>
      <c r="DZ84" s="128">
        <v>25</v>
      </c>
      <c r="EA84" s="128">
        <v>20</v>
      </c>
      <c r="EB84" s="128">
        <v>0</v>
      </c>
      <c r="EC84" s="128">
        <v>0</v>
      </c>
      <c r="ED84" s="128">
        <v>25</v>
      </c>
      <c r="EE84" s="128">
        <v>25</v>
      </c>
      <c r="EF84" s="128">
        <v>20</v>
      </c>
      <c r="EG84" s="128">
        <v>0</v>
      </c>
      <c r="EH84" s="128">
        <v>0</v>
      </c>
      <c r="EI84" s="128">
        <v>70</v>
      </c>
      <c r="EJ84" s="128">
        <v>70</v>
      </c>
      <c r="EK84" s="128">
        <v>3</v>
      </c>
      <c r="EL84" s="128">
        <v>3</v>
      </c>
      <c r="EM84" s="128">
        <v>3</v>
      </c>
      <c r="EN84" s="128">
        <v>1744000</v>
      </c>
      <c r="EO84" s="128">
        <v>1278000</v>
      </c>
      <c r="EP84" s="128">
        <v>25</v>
      </c>
      <c r="EQ84" s="128">
        <v>25</v>
      </c>
      <c r="ER84" s="128">
        <v>25</v>
      </c>
      <c r="ES84" s="128">
        <v>12875000</v>
      </c>
      <c r="ET84" s="128">
        <v>9438000</v>
      </c>
      <c r="EU84" s="128">
        <v>8</v>
      </c>
      <c r="EV84" s="128">
        <v>8</v>
      </c>
      <c r="EW84" s="128">
        <v>8</v>
      </c>
      <c r="EX84" s="128">
        <v>5566000</v>
      </c>
      <c r="EY84" s="128">
        <v>0</v>
      </c>
      <c r="FO84" s="128">
        <v>22</v>
      </c>
      <c r="FP84" s="128">
        <v>22</v>
      </c>
      <c r="FQ84" s="128">
        <v>22</v>
      </c>
      <c r="FR84" s="128">
        <v>11132000</v>
      </c>
      <c r="FS84" s="128">
        <v>8160000</v>
      </c>
      <c r="IS84" s="128">
        <v>8</v>
      </c>
      <c r="IT84" s="128">
        <v>975</v>
      </c>
      <c r="IU84" s="128">
        <v>0.46500000000000002</v>
      </c>
      <c r="IV84" s="128">
        <v>78000</v>
      </c>
      <c r="IW84" s="128">
        <v>0</v>
      </c>
      <c r="KG84" s="128">
        <v>0</v>
      </c>
      <c r="KI84" s="128">
        <v>36</v>
      </c>
      <c r="KJ84" s="128">
        <v>0</v>
      </c>
      <c r="KK84" s="128">
        <v>0</v>
      </c>
      <c r="KL84" s="128">
        <v>0</v>
      </c>
      <c r="KM84" s="128">
        <v>36</v>
      </c>
      <c r="KN84" s="128">
        <v>31317000</v>
      </c>
      <c r="KO84" s="128">
        <v>18876000</v>
      </c>
      <c r="KP84" s="128">
        <v>18876000</v>
      </c>
      <c r="KT84" s="128">
        <v>0</v>
      </c>
      <c r="KU84" s="128">
        <v>0</v>
      </c>
      <c r="KV84" s="128">
        <v>0</v>
      </c>
      <c r="KZ84" s="128">
        <v>78000</v>
      </c>
      <c r="LA84" s="128">
        <v>0</v>
      </c>
      <c r="LB84" s="128">
        <v>0</v>
      </c>
      <c r="LF84" s="128">
        <v>122000</v>
      </c>
      <c r="LG84" s="128">
        <v>0</v>
      </c>
      <c r="LH84" s="128">
        <v>0</v>
      </c>
      <c r="LL84" s="128">
        <v>0</v>
      </c>
      <c r="LM84" s="128">
        <v>0</v>
      </c>
      <c r="LN84" s="128">
        <v>0</v>
      </c>
      <c r="LR84" s="128">
        <v>500000</v>
      </c>
      <c r="LS84" s="128">
        <v>0</v>
      </c>
      <c r="LT84" s="128">
        <v>0</v>
      </c>
      <c r="LX84" s="128">
        <v>2349000</v>
      </c>
      <c r="LY84" s="128">
        <v>0</v>
      </c>
      <c r="LZ84" s="128">
        <v>0</v>
      </c>
      <c r="MD84" s="128">
        <v>240000</v>
      </c>
      <c r="ME84" s="128">
        <v>0</v>
      </c>
      <c r="MF84" s="128">
        <v>0</v>
      </c>
      <c r="MJ84" s="128">
        <v>90000</v>
      </c>
      <c r="MK84" s="128">
        <v>0</v>
      </c>
      <c r="ML84" s="128">
        <v>0</v>
      </c>
      <c r="MP84" s="128">
        <v>1061000</v>
      </c>
      <c r="MQ84" s="128">
        <v>0</v>
      </c>
      <c r="MR84" s="128">
        <v>0</v>
      </c>
      <c r="MV84" s="128">
        <v>1500000</v>
      </c>
      <c r="MW84" s="128">
        <v>0</v>
      </c>
      <c r="MX84" s="128">
        <v>0</v>
      </c>
      <c r="NB84" s="128">
        <v>65000</v>
      </c>
      <c r="NC84" s="128">
        <v>0</v>
      </c>
      <c r="ND84" s="128">
        <v>0</v>
      </c>
      <c r="NH84" s="128">
        <v>0</v>
      </c>
      <c r="NI84" s="128">
        <v>0</v>
      </c>
      <c r="NJ84" s="128">
        <v>0</v>
      </c>
      <c r="NN84" s="128">
        <v>125000</v>
      </c>
      <c r="NO84" s="128">
        <v>0</v>
      </c>
      <c r="NP84" s="128">
        <v>0</v>
      </c>
      <c r="NT84" s="128">
        <v>80000</v>
      </c>
      <c r="NU84" s="128">
        <v>0</v>
      </c>
      <c r="NV84" s="128">
        <v>0</v>
      </c>
      <c r="NZ84" s="128">
        <v>1500000</v>
      </c>
      <c r="OA84" s="128">
        <v>0</v>
      </c>
      <c r="OB84" s="128">
        <v>0</v>
      </c>
      <c r="OF84" s="128">
        <v>20000</v>
      </c>
      <c r="OG84" s="128">
        <v>0</v>
      </c>
      <c r="OH84" s="128">
        <v>0</v>
      </c>
      <c r="OL84" s="128">
        <v>0</v>
      </c>
      <c r="OM84" s="128">
        <v>0</v>
      </c>
      <c r="ON84" s="128">
        <v>0</v>
      </c>
      <c r="OR84" s="128">
        <v>0</v>
      </c>
      <c r="OS84" s="128">
        <v>0</v>
      </c>
      <c r="OT84" s="128">
        <v>0</v>
      </c>
      <c r="OX84" s="128">
        <v>560000</v>
      </c>
      <c r="OY84" s="128">
        <v>0</v>
      </c>
      <c r="OZ84" s="128">
        <v>0</v>
      </c>
      <c r="PD84" s="128">
        <v>2414000</v>
      </c>
      <c r="PE84" s="128">
        <v>0</v>
      </c>
      <c r="PF84" s="128">
        <v>0</v>
      </c>
      <c r="PJ84" s="128">
        <v>12000</v>
      </c>
      <c r="PK84" s="128">
        <v>0</v>
      </c>
      <c r="PL84" s="128">
        <v>0</v>
      </c>
      <c r="PP84" s="128">
        <v>42033000</v>
      </c>
      <c r="PQ84" s="128">
        <v>18876000</v>
      </c>
      <c r="PR84" s="128">
        <v>18876000</v>
      </c>
      <c r="PS84" s="128">
        <v>100</v>
      </c>
      <c r="PT84" s="128">
        <v>100</v>
      </c>
      <c r="PV84" s="128">
        <v>23550021</v>
      </c>
      <c r="PX84" s="128">
        <v>14790692</v>
      </c>
      <c r="PY84" s="128">
        <v>15516867</v>
      </c>
      <c r="PZ84" s="128">
        <v>18876000</v>
      </c>
      <c r="QA84" s="128">
        <v>0</v>
      </c>
      <c r="QB84" s="128">
        <v>0</v>
      </c>
      <c r="QC84" s="128">
        <v>0</v>
      </c>
      <c r="QD84" s="128">
        <v>0</v>
      </c>
      <c r="QE84" s="128">
        <v>0</v>
      </c>
      <c r="QF84" s="128">
        <v>0</v>
      </c>
      <c r="QG84" s="128">
        <v>6314000</v>
      </c>
      <c r="QH84" s="128">
        <v>6999000</v>
      </c>
      <c r="QI84" s="128">
        <v>6690000</v>
      </c>
      <c r="QJ84" s="128">
        <v>13881242</v>
      </c>
      <c r="QK84" s="128">
        <v>14850000</v>
      </c>
      <c r="QL84" s="128">
        <v>14700000</v>
      </c>
      <c r="QN84" s="128">
        <v>1480167</v>
      </c>
      <c r="QO84" s="128">
        <v>1480000</v>
      </c>
      <c r="QP84" s="128">
        <v>1480000</v>
      </c>
      <c r="RD84" s="128">
        <v>281095</v>
      </c>
      <c r="RE84" s="128">
        <v>407000</v>
      </c>
      <c r="RF84" s="128">
        <v>287000</v>
      </c>
      <c r="RH84" s="128">
        <f t="shared" si="209"/>
        <v>25853000</v>
      </c>
      <c r="RI84" s="128">
        <v>0</v>
      </c>
      <c r="RM84" s="128" t="s">
        <v>220</v>
      </c>
      <c r="RU84" s="130"/>
      <c r="RV84" s="130"/>
      <c r="RW84" s="130"/>
      <c r="RX84" s="130"/>
      <c r="SF84" s="128">
        <f t="shared" si="119"/>
        <v>9445282</v>
      </c>
      <c r="SG84" s="131">
        <f t="shared" si="120"/>
        <v>42033000</v>
      </c>
      <c r="SH84" s="131">
        <f t="shared" si="121"/>
        <v>42033000</v>
      </c>
      <c r="SI84" s="131">
        <f t="shared" si="122"/>
        <v>31517000</v>
      </c>
      <c r="SJ84" s="132">
        <f t="shared" si="123"/>
        <v>31317000</v>
      </c>
      <c r="SK84" s="132">
        <f t="shared" si="124"/>
        <v>0</v>
      </c>
      <c r="SL84" s="132">
        <f t="shared" si="125"/>
        <v>78000</v>
      </c>
      <c r="SM84" s="132">
        <f t="shared" si="126"/>
        <v>122000</v>
      </c>
      <c r="SN84" s="131">
        <f t="shared" si="127"/>
        <v>10516000</v>
      </c>
      <c r="SO84" s="131">
        <f t="shared" si="128"/>
        <v>500000</v>
      </c>
      <c r="SP84" s="132">
        <f t="shared" si="129"/>
        <v>0</v>
      </c>
      <c r="SQ84" s="132">
        <f t="shared" si="130"/>
        <v>500000</v>
      </c>
      <c r="SR84" s="132">
        <f t="shared" si="131"/>
        <v>2349000</v>
      </c>
      <c r="SS84" s="132">
        <f t="shared" si="132"/>
        <v>240000</v>
      </c>
      <c r="ST84" s="132">
        <f t="shared" si="133"/>
        <v>90000</v>
      </c>
      <c r="SU84" s="132">
        <f t="shared" si="134"/>
        <v>1061000</v>
      </c>
      <c r="SV84" s="131">
        <f t="shared" si="135"/>
        <v>3850000</v>
      </c>
      <c r="SW84" s="132">
        <f t="shared" si="136"/>
        <v>1500000</v>
      </c>
      <c r="SX84" s="132">
        <f t="shared" si="137"/>
        <v>65000</v>
      </c>
      <c r="SY84" s="132">
        <f t="shared" si="138"/>
        <v>0</v>
      </c>
      <c r="SZ84" s="132">
        <f t="shared" si="139"/>
        <v>125000</v>
      </c>
      <c r="TA84" s="132">
        <f t="shared" si="140"/>
        <v>80000</v>
      </c>
      <c r="TB84" s="132">
        <f t="shared" si="141"/>
        <v>1500000</v>
      </c>
      <c r="TC84" s="132">
        <f t="shared" si="142"/>
        <v>20000</v>
      </c>
      <c r="TD84" s="132">
        <f t="shared" si="143"/>
        <v>0</v>
      </c>
      <c r="TE84" s="132">
        <f t="shared" si="144"/>
        <v>0</v>
      </c>
      <c r="TF84" s="132">
        <f t="shared" si="145"/>
        <v>560000</v>
      </c>
      <c r="TG84" s="132">
        <f t="shared" si="146"/>
        <v>2414000</v>
      </c>
      <c r="TH84" s="132">
        <f t="shared" si="147"/>
        <v>12000</v>
      </c>
      <c r="TI84" s="1"/>
      <c r="TJ84" s="131">
        <f t="shared" si="148"/>
        <v>18876000</v>
      </c>
      <c r="TK84" s="131">
        <f t="shared" si="149"/>
        <v>18876000</v>
      </c>
      <c r="TL84" s="131">
        <f t="shared" si="150"/>
        <v>18876000</v>
      </c>
      <c r="TM84" s="132">
        <f t="shared" si="151"/>
        <v>18876000</v>
      </c>
      <c r="TN84" s="132">
        <f t="shared" si="152"/>
        <v>0</v>
      </c>
      <c r="TO84" s="132">
        <f t="shared" si="153"/>
        <v>0</v>
      </c>
      <c r="TP84" s="132">
        <f t="shared" si="154"/>
        <v>0</v>
      </c>
      <c r="TQ84" s="131">
        <f t="shared" si="155"/>
        <v>0</v>
      </c>
      <c r="TR84" s="131">
        <f t="shared" si="156"/>
        <v>0</v>
      </c>
      <c r="TS84" s="132">
        <f t="shared" si="157"/>
        <v>0</v>
      </c>
      <c r="TT84" s="132">
        <f t="shared" si="158"/>
        <v>0</v>
      </c>
      <c r="TU84" s="132">
        <f t="shared" si="159"/>
        <v>0</v>
      </c>
      <c r="TV84" s="132">
        <f t="shared" si="160"/>
        <v>0</v>
      </c>
      <c r="TW84" s="132">
        <f t="shared" si="161"/>
        <v>0</v>
      </c>
      <c r="TX84" s="132">
        <f t="shared" si="162"/>
        <v>0</v>
      </c>
      <c r="TY84" s="131">
        <f t="shared" si="163"/>
        <v>0</v>
      </c>
      <c r="TZ84" s="132">
        <f t="shared" si="164"/>
        <v>0</v>
      </c>
      <c r="UA84" s="132">
        <f t="shared" si="165"/>
        <v>0</v>
      </c>
      <c r="UB84" s="132">
        <f t="shared" si="166"/>
        <v>0</v>
      </c>
      <c r="UC84" s="132">
        <f t="shared" si="167"/>
        <v>0</v>
      </c>
      <c r="UD84" s="132">
        <f t="shared" si="168"/>
        <v>0</v>
      </c>
      <c r="UE84" s="132">
        <f t="shared" si="169"/>
        <v>0</v>
      </c>
      <c r="UF84" s="132">
        <f t="shared" si="170"/>
        <v>0</v>
      </c>
      <c r="UG84" s="132">
        <f t="shared" si="171"/>
        <v>0</v>
      </c>
      <c r="UH84" s="132">
        <f t="shared" si="172"/>
        <v>0</v>
      </c>
      <c r="UI84" s="132">
        <f t="shared" si="173"/>
        <v>0</v>
      </c>
      <c r="UJ84" s="132">
        <f t="shared" si="174"/>
        <v>0</v>
      </c>
      <c r="UK84" s="132">
        <f t="shared" si="175"/>
        <v>0</v>
      </c>
      <c r="UL84" s="132">
        <f t="shared" si="210"/>
        <v>18876000</v>
      </c>
      <c r="UM84" s="131">
        <f t="shared" si="176"/>
        <v>18876000</v>
      </c>
      <c r="UN84" s="131">
        <f t="shared" si="177"/>
        <v>18876000</v>
      </c>
      <c r="UO84" s="131">
        <f t="shared" si="178"/>
        <v>18876000</v>
      </c>
      <c r="UP84" s="132">
        <f t="shared" si="179"/>
        <v>18876000</v>
      </c>
      <c r="UQ84" s="132">
        <f t="shared" si="180"/>
        <v>0</v>
      </c>
      <c r="UR84" s="132">
        <f t="shared" si="181"/>
        <v>0</v>
      </c>
      <c r="US84" s="132">
        <f t="shared" si="182"/>
        <v>0</v>
      </c>
      <c r="UT84" s="131">
        <f t="shared" si="183"/>
        <v>0</v>
      </c>
      <c r="UU84" s="131">
        <f t="shared" si="184"/>
        <v>0</v>
      </c>
      <c r="UV84" s="132">
        <f t="shared" si="185"/>
        <v>0</v>
      </c>
      <c r="UW84" s="132">
        <f t="shared" si="186"/>
        <v>0</v>
      </c>
      <c r="UX84" s="132">
        <f t="shared" si="187"/>
        <v>0</v>
      </c>
      <c r="UY84" s="132">
        <f t="shared" si="188"/>
        <v>0</v>
      </c>
      <c r="UZ84" s="132">
        <f t="shared" si="189"/>
        <v>0</v>
      </c>
      <c r="VA84" s="132">
        <f t="shared" si="190"/>
        <v>0</v>
      </c>
      <c r="VB84" s="131">
        <f t="shared" si="191"/>
        <v>0</v>
      </c>
      <c r="VC84" s="132">
        <f t="shared" si="192"/>
        <v>0</v>
      </c>
      <c r="VD84" s="132">
        <f t="shared" si="193"/>
        <v>0</v>
      </c>
      <c r="VE84" s="132">
        <f t="shared" si="194"/>
        <v>0</v>
      </c>
      <c r="VF84" s="132">
        <f t="shared" si="195"/>
        <v>0</v>
      </c>
      <c r="VG84" s="132">
        <f t="shared" si="196"/>
        <v>0</v>
      </c>
      <c r="VH84" s="132">
        <f t="shared" si="197"/>
        <v>0</v>
      </c>
      <c r="VI84" s="132">
        <f t="shared" si="198"/>
        <v>0</v>
      </c>
      <c r="VJ84" s="132">
        <f t="shared" si="199"/>
        <v>0</v>
      </c>
      <c r="VK84" s="132">
        <f t="shared" si="200"/>
        <v>0</v>
      </c>
      <c r="VL84" s="132">
        <f t="shared" si="201"/>
        <v>0</v>
      </c>
      <c r="VM84" s="132">
        <f t="shared" si="202"/>
        <v>0</v>
      </c>
      <c r="VN84" s="132">
        <f t="shared" si="203"/>
        <v>0</v>
      </c>
      <c r="VP84" s="845" t="str">
        <f>IFERROR(HLOOKUP(F84,'Hodnocení '!$C$1:$JH$5,2,FALSE),0)</f>
        <v>Domov sociálních služeb Chotělice</v>
      </c>
      <c r="VQ84" s="838"/>
      <c r="VR84" s="845" t="str">
        <f t="shared" si="211"/>
        <v>Příspěvková organizace zřízená územním samosprávným celkem</v>
      </c>
      <c r="VS84" s="845" t="str">
        <f>IFERROR(HLOOKUP(F84,'Hodnocení '!$C$1:$JH$5,5,FALSE),0)</f>
        <v>PO KHK</v>
      </c>
      <c r="VT84" s="838">
        <f t="shared" si="212"/>
        <v>0</v>
      </c>
      <c r="VU84" s="838" t="str">
        <f t="shared" si="213"/>
        <v>PO KHK</v>
      </c>
      <c r="VV84" s="838">
        <f t="shared" si="214"/>
        <v>14700000</v>
      </c>
      <c r="VW84" s="838">
        <f t="shared" si="215"/>
        <v>1480000</v>
      </c>
      <c r="VX84" s="838"/>
      <c r="VY84" s="838">
        <f t="shared" si="114"/>
        <v>0</v>
      </c>
      <c r="VZ84" s="838">
        <f t="shared" si="115"/>
        <v>18876000</v>
      </c>
      <c r="WA84" s="846">
        <f>IFERROR(HLOOKUP($F84,'Hodnocení '!$C$1:$JH$9,9,FALSE),0)</f>
        <v>18876000</v>
      </c>
      <c r="WB84" s="846">
        <f>IF(IFERROR(HLOOKUP($F84,'Hodnocení '!$C$1:$JH$13,13,FALSE),0)&gt;WA84,WA84,IFERROR(HLOOKUP($F84,'Hodnocení '!$C$1:$JH$13,13,FALSE),0))</f>
        <v>18876000</v>
      </c>
      <c r="WC84" s="846">
        <f>IFERROR(HLOOKUP($F84,'Hodnocení '!$C$1:$JH$155,155,FALSE),0)</f>
        <v>15916870</v>
      </c>
      <c r="WD84" s="845"/>
      <c r="WE84" s="845"/>
      <c r="WF84" s="845" t="str">
        <f t="shared" si="204"/>
        <v>ANO</v>
      </c>
      <c r="WG84" s="849" t="str">
        <f t="shared" si="117"/>
        <v>Podpora služby je vyjádřena zařazením do sítě sociálních služeb v KHK a řešením financování služby</v>
      </c>
      <c r="WH84"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84" s="849" t="str">
        <f t="shared" si="117"/>
        <v>Návrh dotace je výsledkem projednání s ostatními zadavateli v rámci sítě služeb KHK</v>
      </c>
      <c r="WJ84" s="849" t="str">
        <f t="shared" si="117"/>
        <v>Bez komentáře</v>
      </c>
      <c r="WK84" s="31">
        <f t="shared" si="205"/>
        <v>0</v>
      </c>
      <c r="WL84" s="850" t="str">
        <f t="shared" si="206"/>
        <v>Případná úprava příspěvku zřizovatele bude řešena v návaznosti na vývoj služby</v>
      </c>
      <c r="WM84" s="849" t="str">
        <f t="shared" si="207"/>
        <v>V rámci sítě KHK se dlouhodobě řeší otázka navyšování úhrad a průběžně se monitoruje s vazbou na vykrytí vyrovnávací platby</v>
      </c>
      <c r="WN84" s="849" t="str">
        <f t="shared" si="208"/>
        <v>Otázka výběru od zdravotních pojišťoven je předmětem procesu, který probíhá ve formě jednání se ZP a organizacemi</v>
      </c>
      <c r="WO84" s="849" t="str">
        <f t="shared" si="118"/>
        <v>bez komentáře</v>
      </c>
      <c r="WP84" s="849" t="str">
        <f t="shared" si="118"/>
        <v>bez komentáře</v>
      </c>
      <c r="WQ84" s="849" t="str">
        <f t="shared" si="118"/>
        <v>Konečná výše dotace z rozpočtu KHK bude řešena v návaznosti na řešení podílů jednotlivých zadavatelů.</v>
      </c>
      <c r="WR84" s="849" t="str">
        <f t="shared" si="118"/>
        <v>Konečná výše podpory ze stran obcí bude řešena v součinnosti s jednotlivými zadavateli v průběhu roku.</v>
      </c>
      <c r="WS84" s="849" t="str">
        <f t="shared" si="118"/>
        <v>bez komentáře</v>
      </c>
      <c r="WT84" s="849" t="str">
        <f t="shared" si="118"/>
        <v>bez komentáře</v>
      </c>
      <c r="WU84" s="845"/>
    </row>
    <row r="85" spans="1:619" s="128" customFormat="1" x14ac:dyDescent="0.25">
      <c r="A85" s="128" t="str">
        <f>VLOOKUP(F85,'Výpočet VP 2020'!$D$324:$I$588,6,FALSE)</f>
        <v>Je v síti</v>
      </c>
      <c r="B85" s="128" t="s">
        <v>509</v>
      </c>
      <c r="C85" s="128">
        <v>578991</v>
      </c>
      <c r="D85" s="128" t="s">
        <v>510</v>
      </c>
      <c r="E85" s="128" t="s">
        <v>259</v>
      </c>
      <c r="F85" s="128">
        <v>3713907</v>
      </c>
      <c r="G85" s="128" t="s">
        <v>260</v>
      </c>
      <c r="H85" s="128" t="s">
        <v>218</v>
      </c>
      <c r="I85" s="128" t="s">
        <v>511</v>
      </c>
      <c r="J85" s="129">
        <v>39083</v>
      </c>
      <c r="L85" s="128" t="s">
        <v>220</v>
      </c>
      <c r="M85" s="128" t="s">
        <v>512</v>
      </c>
      <c r="N85" s="128">
        <v>74</v>
      </c>
      <c r="P85" s="128">
        <v>75</v>
      </c>
      <c r="Q85" s="128">
        <v>76</v>
      </c>
      <c r="R85" s="128">
        <v>74</v>
      </c>
      <c r="BL85" s="128" t="s">
        <v>513</v>
      </c>
      <c r="BM85" s="128" t="s">
        <v>228</v>
      </c>
      <c r="BN85" s="128" t="s">
        <v>256</v>
      </c>
      <c r="DA85" s="128">
        <v>0</v>
      </c>
      <c r="DB85" s="128">
        <v>0</v>
      </c>
      <c r="DC85" s="128">
        <v>0</v>
      </c>
      <c r="DD85" s="128">
        <v>0</v>
      </c>
      <c r="DE85" s="128">
        <v>0</v>
      </c>
      <c r="DF85" s="128">
        <v>0</v>
      </c>
      <c r="DG85" s="128">
        <v>29</v>
      </c>
      <c r="DH85" s="128">
        <v>27</v>
      </c>
      <c r="DI85" s="128">
        <v>18</v>
      </c>
      <c r="DJ85" s="128">
        <v>0</v>
      </c>
      <c r="DK85" s="128">
        <v>0</v>
      </c>
      <c r="DL85" s="128">
        <v>29</v>
      </c>
      <c r="DM85" s="128">
        <v>27</v>
      </c>
      <c r="DN85" s="128">
        <v>18</v>
      </c>
      <c r="DO85" s="128">
        <v>0</v>
      </c>
      <c r="DP85" s="128">
        <v>0</v>
      </c>
      <c r="DQ85" s="128">
        <v>74</v>
      </c>
      <c r="DR85" s="128">
        <v>74</v>
      </c>
      <c r="DS85" s="128">
        <v>0</v>
      </c>
      <c r="DT85" s="128">
        <v>0</v>
      </c>
      <c r="DU85" s="128">
        <v>0</v>
      </c>
      <c r="DV85" s="128">
        <v>0</v>
      </c>
      <c r="DW85" s="128">
        <v>0</v>
      </c>
      <c r="DX85" s="128">
        <v>0</v>
      </c>
      <c r="DY85" s="128">
        <v>29</v>
      </c>
      <c r="DZ85" s="128">
        <v>27</v>
      </c>
      <c r="EA85" s="128">
        <v>18</v>
      </c>
      <c r="EB85" s="128">
        <v>0</v>
      </c>
      <c r="EC85" s="128">
        <v>0</v>
      </c>
      <c r="ED85" s="128">
        <v>29</v>
      </c>
      <c r="EE85" s="128">
        <v>27</v>
      </c>
      <c r="EF85" s="128">
        <v>18</v>
      </c>
      <c r="EG85" s="128">
        <v>0</v>
      </c>
      <c r="EH85" s="128">
        <v>0</v>
      </c>
      <c r="EI85" s="128">
        <v>74</v>
      </c>
      <c r="EJ85" s="128">
        <v>74</v>
      </c>
      <c r="EK85" s="128">
        <v>3</v>
      </c>
      <c r="EL85" s="128">
        <v>2.9</v>
      </c>
      <c r="EM85" s="128">
        <v>2.9</v>
      </c>
      <c r="EN85" s="128">
        <v>1797800</v>
      </c>
      <c r="EO85" s="128">
        <v>1309400</v>
      </c>
      <c r="EP85" s="128">
        <v>31</v>
      </c>
      <c r="EQ85" s="128">
        <v>29.4</v>
      </c>
      <c r="ER85" s="128">
        <v>29.7</v>
      </c>
      <c r="ES85" s="128">
        <v>16916200</v>
      </c>
      <c r="ET85" s="128">
        <v>12463675</v>
      </c>
      <c r="EU85" s="128">
        <v>8</v>
      </c>
      <c r="EV85" s="128">
        <v>8</v>
      </c>
      <c r="EW85" s="128">
        <v>8</v>
      </c>
      <c r="EX85" s="128">
        <v>5121300</v>
      </c>
      <c r="EY85" s="128">
        <v>0</v>
      </c>
      <c r="FO85" s="128">
        <v>29</v>
      </c>
      <c r="FP85" s="128">
        <v>17.100000000000001</v>
      </c>
      <c r="FQ85" s="128">
        <v>16.489999999999998</v>
      </c>
      <c r="FR85" s="128">
        <v>8482800</v>
      </c>
      <c r="FS85" s="128">
        <v>5852925</v>
      </c>
      <c r="IS85" s="128">
        <v>2</v>
      </c>
      <c r="IT85" s="128">
        <v>440</v>
      </c>
      <c r="IU85" s="128">
        <v>0.21</v>
      </c>
      <c r="IV85" s="128">
        <v>44000</v>
      </c>
      <c r="IW85" s="128">
        <v>0</v>
      </c>
      <c r="KG85" s="128">
        <v>0</v>
      </c>
      <c r="KI85" s="128">
        <v>40.299999999999997</v>
      </c>
      <c r="KJ85" s="128">
        <v>0</v>
      </c>
      <c r="KK85" s="128">
        <v>0</v>
      </c>
      <c r="KL85" s="128">
        <v>0</v>
      </c>
      <c r="KM85" s="128">
        <v>40.299999999999997</v>
      </c>
      <c r="KN85" s="128">
        <v>32318100</v>
      </c>
      <c r="KO85" s="128">
        <v>19626000</v>
      </c>
      <c r="KP85" s="128">
        <v>19626000</v>
      </c>
      <c r="KT85" s="128">
        <v>0</v>
      </c>
      <c r="KU85" s="128">
        <v>0</v>
      </c>
      <c r="KV85" s="128">
        <v>0</v>
      </c>
      <c r="KZ85" s="128">
        <v>44000</v>
      </c>
      <c r="LA85" s="128">
        <v>0</v>
      </c>
      <c r="LB85" s="128">
        <v>0</v>
      </c>
      <c r="LF85" s="128">
        <v>108000</v>
      </c>
      <c r="LG85" s="128">
        <v>0</v>
      </c>
      <c r="LH85" s="128">
        <v>0</v>
      </c>
      <c r="LL85" s="128">
        <v>5000</v>
      </c>
      <c r="LM85" s="128">
        <v>0</v>
      </c>
      <c r="LN85" s="128">
        <v>0</v>
      </c>
      <c r="LR85" s="128">
        <v>235000</v>
      </c>
      <c r="LS85" s="128">
        <v>0</v>
      </c>
      <c r="LT85" s="128">
        <v>0</v>
      </c>
      <c r="LX85" s="128">
        <v>2526500</v>
      </c>
      <c r="LY85" s="128">
        <v>0</v>
      </c>
      <c r="LZ85" s="128">
        <v>0</v>
      </c>
      <c r="MD85" s="128">
        <v>153000</v>
      </c>
      <c r="ME85" s="128">
        <v>0</v>
      </c>
      <c r="MF85" s="128">
        <v>0</v>
      </c>
      <c r="MJ85" s="128">
        <v>120000</v>
      </c>
      <c r="MK85" s="128">
        <v>0</v>
      </c>
      <c r="ML85" s="128">
        <v>0</v>
      </c>
      <c r="MP85" s="128">
        <v>818000</v>
      </c>
      <c r="MQ85" s="128">
        <v>0</v>
      </c>
      <c r="MR85" s="128">
        <v>0</v>
      </c>
      <c r="MV85" s="128">
        <v>1674000</v>
      </c>
      <c r="MW85" s="128">
        <v>0</v>
      </c>
      <c r="MX85" s="128">
        <v>0</v>
      </c>
      <c r="NB85" s="128">
        <v>68000</v>
      </c>
      <c r="NC85" s="128">
        <v>0</v>
      </c>
      <c r="ND85" s="128">
        <v>0</v>
      </c>
      <c r="NH85" s="128">
        <v>0</v>
      </c>
      <c r="NI85" s="128">
        <v>0</v>
      </c>
      <c r="NJ85" s="128">
        <v>0</v>
      </c>
      <c r="NN85" s="128">
        <v>75000</v>
      </c>
      <c r="NO85" s="128">
        <v>0</v>
      </c>
      <c r="NP85" s="128">
        <v>0</v>
      </c>
      <c r="NT85" s="128">
        <v>95000</v>
      </c>
      <c r="NU85" s="128">
        <v>0</v>
      </c>
      <c r="NV85" s="128">
        <v>0</v>
      </c>
      <c r="NZ85" s="128">
        <v>1055000</v>
      </c>
      <c r="OA85" s="128">
        <v>0</v>
      </c>
      <c r="OB85" s="128">
        <v>0</v>
      </c>
      <c r="OF85" s="128">
        <v>34000</v>
      </c>
      <c r="OG85" s="128">
        <v>0</v>
      </c>
      <c r="OH85" s="128">
        <v>0</v>
      </c>
      <c r="OL85" s="128">
        <v>0</v>
      </c>
      <c r="OM85" s="128">
        <v>0</v>
      </c>
      <c r="ON85" s="128">
        <v>0</v>
      </c>
      <c r="OR85" s="128">
        <v>0</v>
      </c>
      <c r="OS85" s="128">
        <v>0</v>
      </c>
      <c r="OT85" s="128">
        <v>0</v>
      </c>
      <c r="OX85" s="128">
        <v>0</v>
      </c>
      <c r="OY85" s="128">
        <v>0</v>
      </c>
      <c r="OZ85" s="128">
        <v>0</v>
      </c>
      <c r="PD85" s="128">
        <v>4291700</v>
      </c>
      <c r="PE85" s="128">
        <v>0</v>
      </c>
      <c r="PF85" s="128">
        <v>0</v>
      </c>
      <c r="PJ85" s="128">
        <v>833000</v>
      </c>
      <c r="PK85" s="128">
        <v>0</v>
      </c>
      <c r="PL85" s="128">
        <v>0</v>
      </c>
      <c r="PP85" s="128">
        <v>44453300</v>
      </c>
      <c r="PQ85" s="128">
        <v>19626000</v>
      </c>
      <c r="PR85" s="128">
        <v>19626000</v>
      </c>
      <c r="PS85" s="128">
        <v>100</v>
      </c>
      <c r="PT85" s="128">
        <v>100</v>
      </c>
      <c r="PV85" s="128">
        <v>24865736</v>
      </c>
      <c r="PX85" s="128">
        <v>13972332</v>
      </c>
      <c r="PY85" s="128">
        <v>14923149</v>
      </c>
      <c r="PZ85" s="128">
        <v>19626000</v>
      </c>
      <c r="QA85" s="128">
        <v>0</v>
      </c>
      <c r="QB85" s="128">
        <v>0</v>
      </c>
      <c r="QC85" s="128">
        <v>0</v>
      </c>
      <c r="QD85" s="128">
        <v>0</v>
      </c>
      <c r="QE85" s="128">
        <v>0</v>
      </c>
      <c r="QF85" s="128">
        <v>0</v>
      </c>
      <c r="QG85" s="128">
        <v>7021000</v>
      </c>
      <c r="QH85" s="128">
        <v>7989000</v>
      </c>
      <c r="QI85" s="128">
        <v>6792000</v>
      </c>
      <c r="QJ85" s="128">
        <v>14737054</v>
      </c>
      <c r="QK85" s="128">
        <v>15377000</v>
      </c>
      <c r="QL85" s="128">
        <v>15470000</v>
      </c>
      <c r="QN85" s="128">
        <v>2025770</v>
      </c>
      <c r="QO85" s="128">
        <v>2036000</v>
      </c>
      <c r="QP85" s="128">
        <v>2110000</v>
      </c>
      <c r="RD85" s="128">
        <v>1343556</v>
      </c>
      <c r="RE85" s="128">
        <v>1843500</v>
      </c>
      <c r="RF85" s="128">
        <v>455300</v>
      </c>
      <c r="RH85" s="128">
        <f t="shared" si="209"/>
        <v>26873300</v>
      </c>
      <c r="RI85" s="128">
        <v>0</v>
      </c>
      <c r="RM85" s="128" t="s">
        <v>220</v>
      </c>
      <c r="RU85" s="130"/>
      <c r="RV85" s="130"/>
      <c r="RW85" s="130"/>
      <c r="RX85" s="130"/>
      <c r="SF85" s="128">
        <f t="shared" si="119"/>
        <v>3713907</v>
      </c>
      <c r="SG85" s="131">
        <f t="shared" si="120"/>
        <v>44453300</v>
      </c>
      <c r="SH85" s="131">
        <f t="shared" si="121"/>
        <v>44453300</v>
      </c>
      <c r="SI85" s="131">
        <f t="shared" si="122"/>
        <v>32470100</v>
      </c>
      <c r="SJ85" s="132">
        <f t="shared" si="123"/>
        <v>32318100</v>
      </c>
      <c r="SK85" s="132">
        <f t="shared" si="124"/>
        <v>0</v>
      </c>
      <c r="SL85" s="132">
        <f t="shared" si="125"/>
        <v>44000</v>
      </c>
      <c r="SM85" s="132">
        <f t="shared" si="126"/>
        <v>108000</v>
      </c>
      <c r="SN85" s="131">
        <f t="shared" si="127"/>
        <v>11983200</v>
      </c>
      <c r="SO85" s="131">
        <f t="shared" si="128"/>
        <v>240000</v>
      </c>
      <c r="SP85" s="132">
        <f t="shared" si="129"/>
        <v>5000</v>
      </c>
      <c r="SQ85" s="132">
        <f t="shared" si="130"/>
        <v>235000</v>
      </c>
      <c r="SR85" s="132">
        <f t="shared" si="131"/>
        <v>2526500</v>
      </c>
      <c r="SS85" s="132">
        <f t="shared" si="132"/>
        <v>153000</v>
      </c>
      <c r="ST85" s="132">
        <f t="shared" si="133"/>
        <v>120000</v>
      </c>
      <c r="SU85" s="132">
        <f t="shared" si="134"/>
        <v>818000</v>
      </c>
      <c r="SV85" s="131">
        <f t="shared" si="135"/>
        <v>3001000</v>
      </c>
      <c r="SW85" s="132">
        <f t="shared" si="136"/>
        <v>1674000</v>
      </c>
      <c r="SX85" s="132">
        <f t="shared" si="137"/>
        <v>68000</v>
      </c>
      <c r="SY85" s="132">
        <f t="shared" si="138"/>
        <v>0</v>
      </c>
      <c r="SZ85" s="132">
        <f t="shared" si="139"/>
        <v>75000</v>
      </c>
      <c r="TA85" s="132">
        <f t="shared" si="140"/>
        <v>95000</v>
      </c>
      <c r="TB85" s="132">
        <f t="shared" si="141"/>
        <v>1055000</v>
      </c>
      <c r="TC85" s="132">
        <f t="shared" si="142"/>
        <v>34000</v>
      </c>
      <c r="TD85" s="132">
        <f t="shared" si="143"/>
        <v>0</v>
      </c>
      <c r="TE85" s="132">
        <f t="shared" si="144"/>
        <v>0</v>
      </c>
      <c r="TF85" s="132">
        <f t="shared" si="145"/>
        <v>0</v>
      </c>
      <c r="TG85" s="132">
        <f t="shared" si="146"/>
        <v>4291700</v>
      </c>
      <c r="TH85" s="132">
        <f t="shared" si="147"/>
        <v>833000</v>
      </c>
      <c r="TI85" s="1"/>
      <c r="TJ85" s="131">
        <f t="shared" si="148"/>
        <v>19626000</v>
      </c>
      <c r="TK85" s="131">
        <f t="shared" si="149"/>
        <v>19626000</v>
      </c>
      <c r="TL85" s="131">
        <f t="shared" si="150"/>
        <v>19626000</v>
      </c>
      <c r="TM85" s="132">
        <f t="shared" si="151"/>
        <v>19626000</v>
      </c>
      <c r="TN85" s="132">
        <f t="shared" si="152"/>
        <v>0</v>
      </c>
      <c r="TO85" s="132">
        <f t="shared" si="153"/>
        <v>0</v>
      </c>
      <c r="TP85" s="132">
        <f t="shared" si="154"/>
        <v>0</v>
      </c>
      <c r="TQ85" s="131">
        <f t="shared" si="155"/>
        <v>0</v>
      </c>
      <c r="TR85" s="131">
        <f t="shared" si="156"/>
        <v>0</v>
      </c>
      <c r="TS85" s="132">
        <f t="shared" si="157"/>
        <v>0</v>
      </c>
      <c r="TT85" s="132">
        <f t="shared" si="158"/>
        <v>0</v>
      </c>
      <c r="TU85" s="132">
        <f t="shared" si="159"/>
        <v>0</v>
      </c>
      <c r="TV85" s="132">
        <f t="shared" si="160"/>
        <v>0</v>
      </c>
      <c r="TW85" s="132">
        <f t="shared" si="161"/>
        <v>0</v>
      </c>
      <c r="TX85" s="132">
        <f t="shared" si="162"/>
        <v>0</v>
      </c>
      <c r="TY85" s="131">
        <f t="shared" si="163"/>
        <v>0</v>
      </c>
      <c r="TZ85" s="132">
        <f t="shared" si="164"/>
        <v>0</v>
      </c>
      <c r="UA85" s="132">
        <f t="shared" si="165"/>
        <v>0</v>
      </c>
      <c r="UB85" s="132">
        <f t="shared" si="166"/>
        <v>0</v>
      </c>
      <c r="UC85" s="132">
        <f t="shared" si="167"/>
        <v>0</v>
      </c>
      <c r="UD85" s="132">
        <f t="shared" si="168"/>
        <v>0</v>
      </c>
      <c r="UE85" s="132">
        <f t="shared" si="169"/>
        <v>0</v>
      </c>
      <c r="UF85" s="132">
        <f t="shared" si="170"/>
        <v>0</v>
      </c>
      <c r="UG85" s="132">
        <f t="shared" si="171"/>
        <v>0</v>
      </c>
      <c r="UH85" s="132">
        <f t="shared" si="172"/>
        <v>0</v>
      </c>
      <c r="UI85" s="132">
        <f t="shared" si="173"/>
        <v>0</v>
      </c>
      <c r="UJ85" s="132">
        <f t="shared" si="174"/>
        <v>0</v>
      </c>
      <c r="UK85" s="132">
        <f t="shared" si="175"/>
        <v>0</v>
      </c>
      <c r="UL85" s="132">
        <f t="shared" si="210"/>
        <v>19626000</v>
      </c>
      <c r="UM85" s="131">
        <f t="shared" si="176"/>
        <v>19626000</v>
      </c>
      <c r="UN85" s="131">
        <f t="shared" si="177"/>
        <v>19626000</v>
      </c>
      <c r="UO85" s="131">
        <f t="shared" si="178"/>
        <v>19626000</v>
      </c>
      <c r="UP85" s="132">
        <f t="shared" si="179"/>
        <v>19626000</v>
      </c>
      <c r="UQ85" s="132">
        <f t="shared" si="180"/>
        <v>0</v>
      </c>
      <c r="UR85" s="132">
        <f t="shared" si="181"/>
        <v>0</v>
      </c>
      <c r="US85" s="132">
        <f t="shared" si="182"/>
        <v>0</v>
      </c>
      <c r="UT85" s="131">
        <f t="shared" si="183"/>
        <v>0</v>
      </c>
      <c r="UU85" s="131">
        <f t="shared" si="184"/>
        <v>0</v>
      </c>
      <c r="UV85" s="132">
        <f t="shared" si="185"/>
        <v>0</v>
      </c>
      <c r="UW85" s="132">
        <f t="shared" si="186"/>
        <v>0</v>
      </c>
      <c r="UX85" s="132">
        <f t="shared" si="187"/>
        <v>0</v>
      </c>
      <c r="UY85" s="132">
        <f t="shared" si="188"/>
        <v>0</v>
      </c>
      <c r="UZ85" s="132">
        <f t="shared" si="189"/>
        <v>0</v>
      </c>
      <c r="VA85" s="132">
        <f t="shared" si="190"/>
        <v>0</v>
      </c>
      <c r="VB85" s="131">
        <f t="shared" si="191"/>
        <v>0</v>
      </c>
      <c r="VC85" s="132">
        <f t="shared" si="192"/>
        <v>0</v>
      </c>
      <c r="VD85" s="132">
        <f t="shared" si="193"/>
        <v>0</v>
      </c>
      <c r="VE85" s="132">
        <f t="shared" si="194"/>
        <v>0</v>
      </c>
      <c r="VF85" s="132">
        <f t="shared" si="195"/>
        <v>0</v>
      </c>
      <c r="VG85" s="132">
        <f t="shared" si="196"/>
        <v>0</v>
      </c>
      <c r="VH85" s="132">
        <f t="shared" si="197"/>
        <v>0</v>
      </c>
      <c r="VI85" s="132">
        <f t="shared" si="198"/>
        <v>0</v>
      </c>
      <c r="VJ85" s="132">
        <f t="shared" si="199"/>
        <v>0</v>
      </c>
      <c r="VK85" s="132">
        <f t="shared" si="200"/>
        <v>0</v>
      </c>
      <c r="VL85" s="132">
        <f t="shared" si="201"/>
        <v>0</v>
      </c>
      <c r="VM85" s="132">
        <f t="shared" si="202"/>
        <v>0</v>
      </c>
      <c r="VN85" s="132">
        <f t="shared" si="203"/>
        <v>0</v>
      </c>
      <c r="VP85" s="845" t="str">
        <f>IFERROR(HLOOKUP(F85,'Hodnocení '!$C$1:$JH$5,2,FALSE),0)</f>
        <v>Domov sociálních služeb Skřivany</v>
      </c>
      <c r="VQ85" s="838"/>
      <c r="VR85" s="845" t="str">
        <f t="shared" si="211"/>
        <v>Příspěvková organizace zřízená územním samosprávným celkem</v>
      </c>
      <c r="VS85" s="845" t="str">
        <f>IFERROR(HLOOKUP(F85,'Hodnocení '!$C$1:$JH$5,5,FALSE),0)</f>
        <v>PO KHK</v>
      </c>
      <c r="VT85" s="838">
        <f t="shared" si="212"/>
        <v>0</v>
      </c>
      <c r="VU85" s="838" t="str">
        <f t="shared" si="213"/>
        <v>PO KHK</v>
      </c>
      <c r="VV85" s="838">
        <f t="shared" si="214"/>
        <v>15470000</v>
      </c>
      <c r="VW85" s="838">
        <f t="shared" si="215"/>
        <v>2110000</v>
      </c>
      <c r="VX85" s="838"/>
      <c r="VY85" s="838">
        <f t="shared" si="114"/>
        <v>0</v>
      </c>
      <c r="VZ85" s="838">
        <f t="shared" si="115"/>
        <v>19626000</v>
      </c>
      <c r="WA85" s="846">
        <f>IFERROR(HLOOKUP($F85,'Hodnocení '!$C$1:$JH$9,9,FALSE),0)</f>
        <v>19626000</v>
      </c>
      <c r="WB85" s="846">
        <f>IF(IFERROR(HLOOKUP($F85,'Hodnocení '!$C$1:$JH$13,13,FALSE),0)&gt;WA85,WA85,IFERROR(HLOOKUP($F85,'Hodnocení '!$C$1:$JH$13,13,FALSE),0))</f>
        <v>19626000</v>
      </c>
      <c r="WC85" s="846">
        <f>IFERROR(HLOOKUP($F85,'Hodnocení '!$C$1:$JH$155,155,FALSE),0)</f>
        <v>15354810</v>
      </c>
      <c r="WD85" s="845"/>
      <c r="WE85" s="845"/>
      <c r="WF85" s="845" t="str">
        <f t="shared" si="204"/>
        <v>ANO</v>
      </c>
      <c r="WG85" s="849" t="str">
        <f t="shared" si="117"/>
        <v>Podpora služby je vyjádřena zařazením do sítě sociálních služeb v KHK a řešením financování služby</v>
      </c>
      <c r="WH85"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85" s="849" t="str">
        <f t="shared" si="117"/>
        <v>Návrh dotace je výsledkem projednání s ostatními zadavateli v rámci sítě služeb KHK</v>
      </c>
      <c r="WJ85" s="849" t="str">
        <f t="shared" si="117"/>
        <v>Bez komentáře</v>
      </c>
      <c r="WK85" s="31">
        <f t="shared" si="205"/>
        <v>0</v>
      </c>
      <c r="WL85" s="850" t="str">
        <f t="shared" si="206"/>
        <v>Případná úprava příspěvku zřizovatele bude řešena v návaznosti na vývoj služby</v>
      </c>
      <c r="WM85" s="849" t="str">
        <f t="shared" si="207"/>
        <v>V rámci sítě KHK se dlouhodobě řeší otázka navyšování úhrad a průběžně se monitoruje s vazbou na vykrytí vyrovnávací platby</v>
      </c>
      <c r="WN85" s="849" t="str">
        <f t="shared" si="208"/>
        <v>Otázka výběru od zdravotních pojišťoven je předmětem procesu, který probíhá ve formě jednání se ZP a organizacemi</v>
      </c>
      <c r="WO85" s="849" t="str">
        <f t="shared" si="118"/>
        <v>bez komentáře</v>
      </c>
      <c r="WP85" s="849" t="str">
        <f t="shared" si="118"/>
        <v>bez komentáře</v>
      </c>
      <c r="WQ85" s="849" t="str">
        <f t="shared" si="118"/>
        <v>Konečná výše dotace z rozpočtu KHK bude řešena v návaznosti na řešení podílů jednotlivých zadavatelů.</v>
      </c>
      <c r="WR85" s="849" t="str">
        <f t="shared" si="118"/>
        <v>Konečná výše podpory ze stran obcí bude řešena v součinnosti s jednotlivými zadavateli v průběhu roku.</v>
      </c>
      <c r="WS85" s="849" t="str">
        <f t="shared" si="118"/>
        <v>bez komentáře</v>
      </c>
      <c r="WT85" s="849" t="str">
        <f t="shared" si="118"/>
        <v>bez komentáře</v>
      </c>
      <c r="WU85" s="845"/>
    </row>
    <row r="86" spans="1:619" s="128" customFormat="1" x14ac:dyDescent="0.25">
      <c r="A86" s="128" t="str">
        <f>VLOOKUP(F86,'Výpočet VP 2020'!$D$324:$I$588,6,FALSE)</f>
        <v>Je v síti</v>
      </c>
      <c r="B86" s="128" t="s">
        <v>509</v>
      </c>
      <c r="C86" s="128">
        <v>578991</v>
      </c>
      <c r="D86" s="128" t="s">
        <v>510</v>
      </c>
      <c r="E86" s="128" t="s">
        <v>259</v>
      </c>
      <c r="F86" s="128">
        <v>4007320</v>
      </c>
      <c r="G86" s="128" t="s">
        <v>267</v>
      </c>
      <c r="H86" s="128" t="s">
        <v>218</v>
      </c>
      <c r="I86" s="128" t="s">
        <v>514</v>
      </c>
      <c r="J86" s="129">
        <v>39083</v>
      </c>
      <c r="L86" s="128" t="s">
        <v>220</v>
      </c>
      <c r="M86" s="128" t="s">
        <v>362</v>
      </c>
      <c r="N86" s="128">
        <v>4</v>
      </c>
      <c r="P86" s="128">
        <v>4</v>
      </c>
      <c r="Q86" s="128">
        <v>4</v>
      </c>
      <c r="R86" s="128">
        <v>4</v>
      </c>
      <c r="BL86" s="128" t="s">
        <v>513</v>
      </c>
      <c r="BM86" s="128" t="s">
        <v>228</v>
      </c>
      <c r="BN86" s="128" t="s">
        <v>256</v>
      </c>
      <c r="DA86" s="128">
        <v>0</v>
      </c>
      <c r="DB86" s="128">
        <v>0</v>
      </c>
      <c r="DC86" s="128">
        <v>0</v>
      </c>
      <c r="DD86" s="128">
        <v>0</v>
      </c>
      <c r="DE86" s="128">
        <v>0</v>
      </c>
      <c r="DF86" s="128">
        <v>0</v>
      </c>
      <c r="DG86" s="128">
        <v>4</v>
      </c>
      <c r="DH86" s="128">
        <v>0</v>
      </c>
      <c r="DI86" s="128">
        <v>0</v>
      </c>
      <c r="DJ86" s="128">
        <v>0</v>
      </c>
      <c r="DK86" s="128">
        <v>0</v>
      </c>
      <c r="DL86" s="128">
        <v>4</v>
      </c>
      <c r="DM86" s="128">
        <v>0</v>
      </c>
      <c r="DN86" s="128">
        <v>0</v>
      </c>
      <c r="DO86" s="128">
        <v>0</v>
      </c>
      <c r="DP86" s="128">
        <v>0</v>
      </c>
      <c r="DQ86" s="128">
        <v>4</v>
      </c>
      <c r="DR86" s="128">
        <v>4</v>
      </c>
      <c r="DS86" s="128">
        <v>0</v>
      </c>
      <c r="DT86" s="128">
        <v>0</v>
      </c>
      <c r="DU86" s="128">
        <v>0</v>
      </c>
      <c r="DV86" s="128">
        <v>0</v>
      </c>
      <c r="DW86" s="128">
        <v>0</v>
      </c>
      <c r="DX86" s="128">
        <v>0</v>
      </c>
      <c r="DY86" s="128">
        <v>4</v>
      </c>
      <c r="DZ86" s="128">
        <v>0</v>
      </c>
      <c r="EA86" s="128">
        <v>0</v>
      </c>
      <c r="EB86" s="128">
        <v>0</v>
      </c>
      <c r="EC86" s="128">
        <v>0</v>
      </c>
      <c r="ED86" s="128">
        <v>4</v>
      </c>
      <c r="EE86" s="128">
        <v>0</v>
      </c>
      <c r="EF86" s="128">
        <v>0</v>
      </c>
      <c r="EG86" s="128">
        <v>0</v>
      </c>
      <c r="EH86" s="128">
        <v>0</v>
      </c>
      <c r="EI86" s="128">
        <v>4</v>
      </c>
      <c r="EJ86" s="128">
        <v>4</v>
      </c>
      <c r="EK86" s="128">
        <v>3</v>
      </c>
      <c r="EL86" s="128">
        <v>0.1</v>
      </c>
      <c r="EM86" s="128">
        <v>0.1</v>
      </c>
      <c r="EN86" s="128">
        <v>50880</v>
      </c>
      <c r="EO86" s="128">
        <v>38160</v>
      </c>
      <c r="EP86" s="128">
        <v>6</v>
      </c>
      <c r="EQ86" s="128">
        <v>1.6</v>
      </c>
      <c r="ER86" s="128">
        <v>1.6</v>
      </c>
      <c r="ES86" s="128">
        <v>713880</v>
      </c>
      <c r="ET86" s="128">
        <v>540200</v>
      </c>
      <c r="FO86" s="128">
        <v>21</v>
      </c>
      <c r="FP86" s="128">
        <v>0.9</v>
      </c>
      <c r="FQ86" s="128">
        <v>0.9</v>
      </c>
      <c r="FR86" s="128">
        <v>339940</v>
      </c>
      <c r="FS86" s="128">
        <v>256640</v>
      </c>
      <c r="KG86" s="128">
        <v>0</v>
      </c>
      <c r="KI86" s="128">
        <v>1.7</v>
      </c>
      <c r="KJ86" s="128">
        <v>0</v>
      </c>
      <c r="KK86" s="128">
        <v>0</v>
      </c>
      <c r="KL86" s="128">
        <v>0</v>
      </c>
      <c r="KM86" s="128">
        <v>1.7</v>
      </c>
      <c r="KN86" s="128">
        <v>1104700</v>
      </c>
      <c r="KO86" s="128">
        <v>835000</v>
      </c>
      <c r="KP86" s="128">
        <v>835000</v>
      </c>
      <c r="KT86" s="128">
        <v>0</v>
      </c>
      <c r="KU86" s="128">
        <v>0</v>
      </c>
      <c r="KV86" s="128">
        <v>0</v>
      </c>
      <c r="KZ86" s="128">
        <v>0</v>
      </c>
      <c r="LA86" s="128">
        <v>0</v>
      </c>
      <c r="LB86" s="128">
        <v>0</v>
      </c>
      <c r="LF86" s="128">
        <v>4000</v>
      </c>
      <c r="LG86" s="128">
        <v>0</v>
      </c>
      <c r="LH86" s="128">
        <v>0</v>
      </c>
      <c r="LL86" s="128">
        <v>0</v>
      </c>
      <c r="LM86" s="128">
        <v>0</v>
      </c>
      <c r="LN86" s="128">
        <v>0</v>
      </c>
      <c r="LR86" s="128">
        <v>7000</v>
      </c>
      <c r="LS86" s="128">
        <v>0</v>
      </c>
      <c r="LT86" s="128">
        <v>0</v>
      </c>
      <c r="LX86" s="128">
        <v>42000</v>
      </c>
      <c r="LY86" s="128">
        <v>0</v>
      </c>
      <c r="LZ86" s="128">
        <v>0</v>
      </c>
      <c r="MD86" s="128">
        <v>9000</v>
      </c>
      <c r="ME86" s="128">
        <v>0</v>
      </c>
      <c r="MF86" s="128">
        <v>0</v>
      </c>
      <c r="MJ86" s="128">
        <v>5000</v>
      </c>
      <c r="MK86" s="128">
        <v>0</v>
      </c>
      <c r="ML86" s="128">
        <v>0</v>
      </c>
      <c r="MP86" s="128">
        <v>40000</v>
      </c>
      <c r="MQ86" s="128">
        <v>0</v>
      </c>
      <c r="MR86" s="128">
        <v>0</v>
      </c>
      <c r="MV86" s="128">
        <v>98000</v>
      </c>
      <c r="MW86" s="128">
        <v>0</v>
      </c>
      <c r="MX86" s="128">
        <v>0</v>
      </c>
      <c r="NB86" s="128">
        <v>3000</v>
      </c>
      <c r="NC86" s="128">
        <v>0</v>
      </c>
      <c r="ND86" s="128">
        <v>0</v>
      </c>
      <c r="NH86" s="128">
        <v>0</v>
      </c>
      <c r="NI86" s="128">
        <v>0</v>
      </c>
      <c r="NJ86" s="128">
        <v>0</v>
      </c>
      <c r="NN86" s="128">
        <v>4000</v>
      </c>
      <c r="NO86" s="128">
        <v>0</v>
      </c>
      <c r="NP86" s="128">
        <v>0</v>
      </c>
      <c r="NT86" s="128">
        <v>5000</v>
      </c>
      <c r="NU86" s="128">
        <v>0</v>
      </c>
      <c r="NV86" s="128">
        <v>0</v>
      </c>
      <c r="NZ86" s="128">
        <v>35000</v>
      </c>
      <c r="OA86" s="128">
        <v>0</v>
      </c>
      <c r="OB86" s="128">
        <v>0</v>
      </c>
      <c r="OF86" s="128">
        <v>1000</v>
      </c>
      <c r="OG86" s="128">
        <v>0</v>
      </c>
      <c r="OH86" s="128">
        <v>0</v>
      </c>
      <c r="OL86" s="128">
        <v>0</v>
      </c>
      <c r="OM86" s="128">
        <v>0</v>
      </c>
      <c r="ON86" s="128">
        <v>0</v>
      </c>
      <c r="OR86" s="128">
        <v>0</v>
      </c>
      <c r="OS86" s="128">
        <v>0</v>
      </c>
      <c r="OT86" s="128">
        <v>0</v>
      </c>
      <c r="OX86" s="128">
        <v>0</v>
      </c>
      <c r="OY86" s="128">
        <v>0</v>
      </c>
      <c r="OZ86" s="128">
        <v>0</v>
      </c>
      <c r="PD86" s="128">
        <v>229000</v>
      </c>
      <c r="PE86" s="128">
        <v>0</v>
      </c>
      <c r="PF86" s="128">
        <v>0</v>
      </c>
      <c r="PJ86" s="128">
        <v>38600</v>
      </c>
      <c r="PK86" s="128">
        <v>0</v>
      </c>
      <c r="PL86" s="128">
        <v>0</v>
      </c>
      <c r="PP86" s="128">
        <v>1625300</v>
      </c>
      <c r="PQ86" s="128">
        <v>835000</v>
      </c>
      <c r="PR86" s="128">
        <v>835000</v>
      </c>
      <c r="PS86" s="128">
        <v>100</v>
      </c>
      <c r="PT86" s="128">
        <v>100</v>
      </c>
      <c r="PX86" s="128">
        <v>588559</v>
      </c>
      <c r="PY86" s="128">
        <v>634880</v>
      </c>
      <c r="PZ86" s="128">
        <v>835000</v>
      </c>
      <c r="QA86" s="128">
        <v>0</v>
      </c>
      <c r="QB86" s="128">
        <v>0</v>
      </c>
      <c r="QC86" s="128">
        <v>0</v>
      </c>
      <c r="QD86" s="128">
        <v>0</v>
      </c>
      <c r="QE86" s="128">
        <v>0</v>
      </c>
      <c r="QF86" s="128">
        <v>0</v>
      </c>
      <c r="QG86" s="128">
        <v>509000</v>
      </c>
      <c r="QH86" s="128">
        <v>370000</v>
      </c>
      <c r="QI86" s="128">
        <v>245000</v>
      </c>
      <c r="QJ86" s="128">
        <v>533298</v>
      </c>
      <c r="QK86" s="128">
        <v>545300</v>
      </c>
      <c r="QL86" s="128">
        <v>545300</v>
      </c>
      <c r="QN86" s="128">
        <v>0</v>
      </c>
      <c r="QO86" s="128">
        <v>0</v>
      </c>
      <c r="QP86" s="128">
        <v>0</v>
      </c>
      <c r="RH86" s="128">
        <f t="shared" si="209"/>
        <v>1080000</v>
      </c>
      <c r="RI86" s="128">
        <v>0</v>
      </c>
      <c r="RM86" s="128" t="s">
        <v>220</v>
      </c>
      <c r="RU86" s="130"/>
      <c r="RV86" s="130"/>
      <c r="RW86" s="130"/>
      <c r="RX86" s="130"/>
      <c r="SF86" s="128">
        <f t="shared" si="119"/>
        <v>4007320</v>
      </c>
      <c r="SG86" s="131">
        <f t="shared" si="120"/>
        <v>1625300</v>
      </c>
      <c r="SH86" s="131">
        <f t="shared" si="121"/>
        <v>1625300</v>
      </c>
      <c r="SI86" s="131">
        <f t="shared" si="122"/>
        <v>1108700</v>
      </c>
      <c r="SJ86" s="132">
        <f t="shared" si="123"/>
        <v>1104700</v>
      </c>
      <c r="SK86" s="132">
        <f t="shared" si="124"/>
        <v>0</v>
      </c>
      <c r="SL86" s="132">
        <f t="shared" si="125"/>
        <v>0</v>
      </c>
      <c r="SM86" s="132">
        <f t="shared" si="126"/>
        <v>4000</v>
      </c>
      <c r="SN86" s="131">
        <f t="shared" si="127"/>
        <v>516600</v>
      </c>
      <c r="SO86" s="131">
        <f t="shared" si="128"/>
        <v>7000</v>
      </c>
      <c r="SP86" s="132">
        <f t="shared" si="129"/>
        <v>0</v>
      </c>
      <c r="SQ86" s="132">
        <f t="shared" si="130"/>
        <v>7000</v>
      </c>
      <c r="SR86" s="132">
        <f t="shared" si="131"/>
        <v>42000</v>
      </c>
      <c r="SS86" s="132">
        <f t="shared" si="132"/>
        <v>9000</v>
      </c>
      <c r="ST86" s="132">
        <f t="shared" si="133"/>
        <v>5000</v>
      </c>
      <c r="SU86" s="132">
        <f t="shared" si="134"/>
        <v>40000</v>
      </c>
      <c r="SV86" s="131">
        <f t="shared" si="135"/>
        <v>146000</v>
      </c>
      <c r="SW86" s="132">
        <f t="shared" si="136"/>
        <v>98000</v>
      </c>
      <c r="SX86" s="132">
        <f t="shared" si="137"/>
        <v>3000</v>
      </c>
      <c r="SY86" s="132">
        <f t="shared" si="138"/>
        <v>0</v>
      </c>
      <c r="SZ86" s="132">
        <f t="shared" si="139"/>
        <v>4000</v>
      </c>
      <c r="TA86" s="132">
        <f t="shared" si="140"/>
        <v>5000</v>
      </c>
      <c r="TB86" s="132">
        <f t="shared" si="141"/>
        <v>35000</v>
      </c>
      <c r="TC86" s="132">
        <f t="shared" si="142"/>
        <v>1000</v>
      </c>
      <c r="TD86" s="132">
        <f t="shared" si="143"/>
        <v>0</v>
      </c>
      <c r="TE86" s="132">
        <f t="shared" si="144"/>
        <v>0</v>
      </c>
      <c r="TF86" s="132">
        <f t="shared" si="145"/>
        <v>0</v>
      </c>
      <c r="TG86" s="132">
        <f t="shared" si="146"/>
        <v>229000</v>
      </c>
      <c r="TH86" s="132">
        <f t="shared" si="147"/>
        <v>38600</v>
      </c>
      <c r="TI86" s="1"/>
      <c r="TJ86" s="131">
        <f t="shared" si="148"/>
        <v>835000</v>
      </c>
      <c r="TK86" s="131">
        <f t="shared" si="149"/>
        <v>835000</v>
      </c>
      <c r="TL86" s="131">
        <f t="shared" si="150"/>
        <v>835000</v>
      </c>
      <c r="TM86" s="132">
        <f t="shared" si="151"/>
        <v>835000</v>
      </c>
      <c r="TN86" s="132">
        <f t="shared" si="152"/>
        <v>0</v>
      </c>
      <c r="TO86" s="132">
        <f t="shared" si="153"/>
        <v>0</v>
      </c>
      <c r="TP86" s="132">
        <f t="shared" si="154"/>
        <v>0</v>
      </c>
      <c r="TQ86" s="131">
        <f t="shared" si="155"/>
        <v>0</v>
      </c>
      <c r="TR86" s="131">
        <f t="shared" si="156"/>
        <v>0</v>
      </c>
      <c r="TS86" s="132">
        <f t="shared" si="157"/>
        <v>0</v>
      </c>
      <c r="TT86" s="132">
        <f t="shared" si="158"/>
        <v>0</v>
      </c>
      <c r="TU86" s="132">
        <f t="shared" si="159"/>
        <v>0</v>
      </c>
      <c r="TV86" s="132">
        <f t="shared" si="160"/>
        <v>0</v>
      </c>
      <c r="TW86" s="132">
        <f t="shared" si="161"/>
        <v>0</v>
      </c>
      <c r="TX86" s="132">
        <f t="shared" si="162"/>
        <v>0</v>
      </c>
      <c r="TY86" s="131">
        <f t="shared" si="163"/>
        <v>0</v>
      </c>
      <c r="TZ86" s="132">
        <f t="shared" si="164"/>
        <v>0</v>
      </c>
      <c r="UA86" s="132">
        <f t="shared" si="165"/>
        <v>0</v>
      </c>
      <c r="UB86" s="132">
        <f t="shared" si="166"/>
        <v>0</v>
      </c>
      <c r="UC86" s="132">
        <f t="shared" si="167"/>
        <v>0</v>
      </c>
      <c r="UD86" s="132">
        <f t="shared" si="168"/>
        <v>0</v>
      </c>
      <c r="UE86" s="132">
        <f t="shared" si="169"/>
        <v>0</v>
      </c>
      <c r="UF86" s="132">
        <f t="shared" si="170"/>
        <v>0</v>
      </c>
      <c r="UG86" s="132">
        <f t="shared" si="171"/>
        <v>0</v>
      </c>
      <c r="UH86" s="132">
        <f t="shared" si="172"/>
        <v>0</v>
      </c>
      <c r="UI86" s="132">
        <f t="shared" si="173"/>
        <v>0</v>
      </c>
      <c r="UJ86" s="132">
        <f t="shared" si="174"/>
        <v>0</v>
      </c>
      <c r="UK86" s="132">
        <f t="shared" si="175"/>
        <v>0</v>
      </c>
      <c r="UL86" s="132">
        <f t="shared" si="210"/>
        <v>835000</v>
      </c>
      <c r="UM86" s="131">
        <f t="shared" si="176"/>
        <v>835000</v>
      </c>
      <c r="UN86" s="131">
        <f t="shared" si="177"/>
        <v>835000</v>
      </c>
      <c r="UO86" s="131">
        <f t="shared" si="178"/>
        <v>835000</v>
      </c>
      <c r="UP86" s="132">
        <f t="shared" si="179"/>
        <v>835000</v>
      </c>
      <c r="UQ86" s="132">
        <f t="shared" si="180"/>
        <v>0</v>
      </c>
      <c r="UR86" s="132">
        <f t="shared" si="181"/>
        <v>0</v>
      </c>
      <c r="US86" s="132">
        <f t="shared" si="182"/>
        <v>0</v>
      </c>
      <c r="UT86" s="131">
        <f t="shared" si="183"/>
        <v>0</v>
      </c>
      <c r="UU86" s="131">
        <f t="shared" si="184"/>
        <v>0</v>
      </c>
      <c r="UV86" s="132">
        <f t="shared" si="185"/>
        <v>0</v>
      </c>
      <c r="UW86" s="132">
        <f t="shared" si="186"/>
        <v>0</v>
      </c>
      <c r="UX86" s="132">
        <f t="shared" si="187"/>
        <v>0</v>
      </c>
      <c r="UY86" s="132">
        <f t="shared" si="188"/>
        <v>0</v>
      </c>
      <c r="UZ86" s="132">
        <f t="shared" si="189"/>
        <v>0</v>
      </c>
      <c r="VA86" s="132">
        <f t="shared" si="190"/>
        <v>0</v>
      </c>
      <c r="VB86" s="131">
        <f t="shared" si="191"/>
        <v>0</v>
      </c>
      <c r="VC86" s="132">
        <f t="shared" si="192"/>
        <v>0</v>
      </c>
      <c r="VD86" s="132">
        <f t="shared" si="193"/>
        <v>0</v>
      </c>
      <c r="VE86" s="132">
        <f t="shared" si="194"/>
        <v>0</v>
      </c>
      <c r="VF86" s="132">
        <f t="shared" si="195"/>
        <v>0</v>
      </c>
      <c r="VG86" s="132">
        <f t="shared" si="196"/>
        <v>0</v>
      </c>
      <c r="VH86" s="132">
        <f t="shared" si="197"/>
        <v>0</v>
      </c>
      <c r="VI86" s="132">
        <f t="shared" si="198"/>
        <v>0</v>
      </c>
      <c r="VJ86" s="132">
        <f t="shared" si="199"/>
        <v>0</v>
      </c>
      <c r="VK86" s="132">
        <f t="shared" si="200"/>
        <v>0</v>
      </c>
      <c r="VL86" s="132">
        <f t="shared" si="201"/>
        <v>0</v>
      </c>
      <c r="VM86" s="132">
        <f t="shared" si="202"/>
        <v>0</v>
      </c>
      <c r="VN86" s="132">
        <f t="shared" si="203"/>
        <v>0</v>
      </c>
      <c r="VP86" s="845" t="str">
        <f>IFERROR(HLOOKUP(F86,'Hodnocení '!$C$1:$JH$5,2,FALSE),0)</f>
        <v>Domov sociálních služeb Skřivany</v>
      </c>
      <c r="VQ86" s="838"/>
      <c r="VR86" s="845" t="str">
        <f t="shared" si="211"/>
        <v>Příspěvková organizace zřízená územním samosprávným celkem</v>
      </c>
      <c r="VS86" s="845" t="str">
        <f>IFERROR(HLOOKUP(F86,'Hodnocení '!$C$1:$JH$5,5,FALSE),0)</f>
        <v>PO KHK</v>
      </c>
      <c r="VT86" s="838">
        <f t="shared" si="212"/>
        <v>0</v>
      </c>
      <c r="VU86" s="838" t="str">
        <f t="shared" si="213"/>
        <v>PO KHK</v>
      </c>
      <c r="VV86" s="838">
        <f t="shared" si="214"/>
        <v>545300</v>
      </c>
      <c r="VW86" s="838">
        <f t="shared" si="215"/>
        <v>0</v>
      </c>
      <c r="VX86" s="838"/>
      <c r="VY86" s="838">
        <f t="shared" ref="VY86:VY149" si="216">VZ86-WA86</f>
        <v>0</v>
      </c>
      <c r="VZ86" s="838">
        <f t="shared" ref="VZ86:VZ149" si="217">UM86-VM86</f>
        <v>835000</v>
      </c>
      <c r="WA86" s="846">
        <f>IFERROR(HLOOKUP($F86,'Hodnocení '!$C$1:$JH$9,9,FALSE),0)</f>
        <v>835000</v>
      </c>
      <c r="WB86" s="846">
        <f>IF(IFERROR(HLOOKUP($F86,'Hodnocení '!$C$1:$JH$13,13,FALSE),0)&gt;WA86,WA86,IFERROR(HLOOKUP($F86,'Hodnocení '!$C$1:$JH$13,13,FALSE),0))</f>
        <v>835000</v>
      </c>
      <c r="WC86" s="846">
        <f>IFERROR(HLOOKUP($F86,'Hodnocení '!$C$1:$JH$155,155,FALSE),0)</f>
        <v>661220</v>
      </c>
      <c r="WD86" s="845"/>
      <c r="WE86" s="845"/>
      <c r="WF86" s="845" t="str">
        <f t="shared" si="204"/>
        <v>ANO</v>
      </c>
      <c r="WG86" s="849" t="str">
        <f t="shared" si="117"/>
        <v>Podpora služby je vyjádřena zařazením do sítě sociálních služeb v KHK a řešením financování služby</v>
      </c>
      <c r="WH86"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86" s="849" t="str">
        <f t="shared" si="117"/>
        <v>Návrh dotace je výsledkem projednání s ostatními zadavateli v rámci sítě služeb KHK</v>
      </c>
      <c r="WJ86" s="849" t="str">
        <f t="shared" si="117"/>
        <v>Bez komentáře</v>
      </c>
      <c r="WK86" s="31">
        <f t="shared" si="205"/>
        <v>0</v>
      </c>
      <c r="WL86" s="850" t="str">
        <f t="shared" si="206"/>
        <v>Případná úprava příspěvku zřizovatele bude řešena v návaznosti na vývoj služby</v>
      </c>
      <c r="WM86" s="849" t="str">
        <f t="shared" si="207"/>
        <v>V rámci sítě KHK se dlouhodobě řeší otázka navyšování úhrad a průběžně se monitoruje s vazbou na vykrytí vyrovnávací platby</v>
      </c>
      <c r="WN86" s="849">
        <f t="shared" si="208"/>
        <v>0</v>
      </c>
      <c r="WO86" s="849" t="str">
        <f t="shared" si="118"/>
        <v>bez komentáře</v>
      </c>
      <c r="WP86" s="849" t="str">
        <f t="shared" si="118"/>
        <v>bez komentáře</v>
      </c>
      <c r="WQ86" s="849" t="str">
        <f t="shared" si="118"/>
        <v>Konečná výše dotace z rozpočtu KHK bude řešena v návaznosti na řešení podílů jednotlivých zadavatelů.</v>
      </c>
      <c r="WR86" s="849" t="str">
        <f t="shared" si="118"/>
        <v>Konečná výše podpory ze stran obcí bude řešena v součinnosti s jednotlivými zadavateli v průběhu roku.</v>
      </c>
      <c r="WS86" s="849" t="str">
        <f t="shared" si="118"/>
        <v>bez komentáře</v>
      </c>
      <c r="WT86" s="849" t="str">
        <f t="shared" si="118"/>
        <v>bez komentáře</v>
      </c>
      <c r="WU86" s="845"/>
    </row>
    <row r="87" spans="1:619" s="128" customFormat="1" x14ac:dyDescent="0.25">
      <c r="A87" s="128" t="str">
        <f>VLOOKUP(F87,'Výpočet VP 2020'!$D$324:$I$588,6,FALSE)</f>
        <v>Je v síti</v>
      </c>
      <c r="B87" s="128" t="s">
        <v>515</v>
      </c>
      <c r="C87" s="128">
        <v>579033</v>
      </c>
      <c r="D87" s="128" t="s">
        <v>516</v>
      </c>
      <c r="E87" s="128" t="s">
        <v>259</v>
      </c>
      <c r="F87" s="128">
        <v>5804478</v>
      </c>
      <c r="G87" s="128" t="s">
        <v>392</v>
      </c>
      <c r="H87" s="128" t="s">
        <v>218</v>
      </c>
      <c r="I87" s="128" t="s">
        <v>515</v>
      </c>
      <c r="J87" s="129">
        <v>39814</v>
      </c>
      <c r="L87" s="128" t="s">
        <v>220</v>
      </c>
      <c r="M87" s="128" t="s">
        <v>517</v>
      </c>
      <c r="N87" s="128">
        <v>58</v>
      </c>
      <c r="P87" s="128">
        <v>88</v>
      </c>
      <c r="Q87" s="128">
        <v>85</v>
      </c>
      <c r="R87" s="128">
        <v>71</v>
      </c>
      <c r="BL87" s="128" t="s">
        <v>443</v>
      </c>
      <c r="BM87" s="128" t="s">
        <v>304</v>
      </c>
      <c r="BN87" s="128" t="s">
        <v>326</v>
      </c>
      <c r="DA87" s="128">
        <v>0</v>
      </c>
      <c r="DB87" s="128">
        <v>0</v>
      </c>
      <c r="DC87" s="128">
        <v>0</v>
      </c>
      <c r="DD87" s="128">
        <v>0</v>
      </c>
      <c r="DE87" s="128">
        <v>0</v>
      </c>
      <c r="DF87" s="128">
        <v>1</v>
      </c>
      <c r="DG87" s="128">
        <v>10</v>
      </c>
      <c r="DH87" s="128">
        <v>22</v>
      </c>
      <c r="DI87" s="128">
        <v>24</v>
      </c>
      <c r="DJ87" s="128">
        <v>0</v>
      </c>
      <c r="DK87" s="128">
        <v>1</v>
      </c>
      <c r="DL87" s="128">
        <v>10</v>
      </c>
      <c r="DM87" s="128">
        <v>22</v>
      </c>
      <c r="DN87" s="128">
        <v>24</v>
      </c>
      <c r="DO87" s="128">
        <v>0</v>
      </c>
      <c r="DP87" s="128">
        <v>0</v>
      </c>
      <c r="DQ87" s="128">
        <v>57</v>
      </c>
      <c r="DR87" s="128">
        <v>57</v>
      </c>
      <c r="DS87" s="128">
        <v>0</v>
      </c>
      <c r="DT87" s="128">
        <v>0</v>
      </c>
      <c r="DU87" s="128">
        <v>0</v>
      </c>
      <c r="DV87" s="128">
        <v>0</v>
      </c>
      <c r="DW87" s="128">
        <v>0</v>
      </c>
      <c r="DX87" s="128">
        <v>0</v>
      </c>
      <c r="DY87" s="128">
        <v>10</v>
      </c>
      <c r="DZ87" s="128">
        <v>23</v>
      </c>
      <c r="EA87" s="128">
        <v>25</v>
      </c>
      <c r="EB87" s="128">
        <v>0</v>
      </c>
      <c r="EC87" s="128">
        <v>0</v>
      </c>
      <c r="ED87" s="128">
        <v>10</v>
      </c>
      <c r="EE87" s="128">
        <v>23</v>
      </c>
      <c r="EF87" s="128">
        <v>25</v>
      </c>
      <c r="EG87" s="128">
        <v>0</v>
      </c>
      <c r="EH87" s="128">
        <v>0</v>
      </c>
      <c r="EI87" s="128">
        <v>58</v>
      </c>
      <c r="EJ87" s="128">
        <v>58</v>
      </c>
      <c r="EK87" s="128">
        <v>3</v>
      </c>
      <c r="EL87" s="128">
        <v>2.2000000000000002</v>
      </c>
      <c r="EM87" s="128">
        <v>1.41</v>
      </c>
      <c r="EN87" s="128">
        <v>1095600</v>
      </c>
      <c r="EO87" s="128">
        <v>822000</v>
      </c>
      <c r="EP87" s="128">
        <v>27</v>
      </c>
      <c r="EQ87" s="128">
        <v>26.2</v>
      </c>
      <c r="ER87" s="128">
        <v>22.98</v>
      </c>
      <c r="ES87" s="128">
        <v>11790000</v>
      </c>
      <c r="ET87" s="128">
        <v>7310000</v>
      </c>
      <c r="EU87" s="128">
        <v>9</v>
      </c>
      <c r="EV87" s="128">
        <v>5</v>
      </c>
      <c r="EW87" s="128">
        <v>3.77</v>
      </c>
      <c r="EX87" s="128">
        <v>2850000</v>
      </c>
      <c r="EY87" s="128">
        <v>0</v>
      </c>
      <c r="FO87" s="128">
        <v>48</v>
      </c>
      <c r="FP87" s="128">
        <v>11.2</v>
      </c>
      <c r="FQ87" s="128">
        <v>8.0280000000000005</v>
      </c>
      <c r="FR87" s="128">
        <v>5025000</v>
      </c>
      <c r="FS87" s="128">
        <v>3410000</v>
      </c>
      <c r="FZ87" s="128">
        <v>1</v>
      </c>
      <c r="GA87" s="128">
        <v>0.4</v>
      </c>
      <c r="GB87" s="128">
        <v>12</v>
      </c>
      <c r="GC87" s="128">
        <v>0.4</v>
      </c>
      <c r="GD87" s="128">
        <v>110000</v>
      </c>
      <c r="GE87" s="128">
        <v>0</v>
      </c>
      <c r="IN87" s="128">
        <v>1</v>
      </c>
      <c r="IO87" s="128">
        <v>100</v>
      </c>
      <c r="IP87" s="128">
        <v>4.8000000000000001E-2</v>
      </c>
      <c r="IQ87" s="128">
        <v>9500</v>
      </c>
      <c r="IR87" s="128">
        <v>0</v>
      </c>
      <c r="IS87" s="128">
        <v>1</v>
      </c>
      <c r="IT87" s="128">
        <v>100</v>
      </c>
      <c r="IU87" s="128">
        <v>4.8000000000000001E-2</v>
      </c>
      <c r="IV87" s="128">
        <v>8000</v>
      </c>
      <c r="IW87" s="128">
        <v>0</v>
      </c>
      <c r="KG87" s="128">
        <v>0</v>
      </c>
      <c r="KI87" s="128">
        <v>33.4</v>
      </c>
      <c r="KJ87" s="128">
        <v>0.4</v>
      </c>
      <c r="KK87" s="128">
        <v>4.8000000000000001E-2</v>
      </c>
      <c r="KL87" s="128">
        <v>0</v>
      </c>
      <c r="KM87" s="128">
        <v>33.847999999999999</v>
      </c>
      <c r="KN87" s="128">
        <v>20760600</v>
      </c>
      <c r="KO87" s="128">
        <v>11542000</v>
      </c>
      <c r="KP87" s="128">
        <v>11542000</v>
      </c>
      <c r="KT87" s="128">
        <v>110000</v>
      </c>
      <c r="KU87" s="128">
        <v>0</v>
      </c>
      <c r="KV87" s="128">
        <v>0</v>
      </c>
      <c r="KZ87" s="128">
        <v>17500</v>
      </c>
      <c r="LA87" s="128">
        <v>0</v>
      </c>
      <c r="LB87" s="128">
        <v>0</v>
      </c>
      <c r="LF87" s="128">
        <v>620000</v>
      </c>
      <c r="LG87" s="128">
        <v>0</v>
      </c>
      <c r="LH87" s="128">
        <v>0</v>
      </c>
      <c r="LL87" s="128">
        <v>10000</v>
      </c>
      <c r="LM87" s="128">
        <v>0</v>
      </c>
      <c r="LN87" s="128">
        <v>0</v>
      </c>
      <c r="LR87" s="128">
        <v>180000</v>
      </c>
      <c r="LS87" s="128">
        <v>0</v>
      </c>
      <c r="LT87" s="128">
        <v>0</v>
      </c>
      <c r="LX87" s="128">
        <v>2130000</v>
      </c>
      <c r="LY87" s="128">
        <v>0</v>
      </c>
      <c r="LZ87" s="128">
        <v>0</v>
      </c>
      <c r="MD87" s="128">
        <v>73000</v>
      </c>
      <c r="ME87" s="128">
        <v>0</v>
      </c>
      <c r="MF87" s="128">
        <v>0</v>
      </c>
      <c r="MJ87" s="128">
        <v>14000</v>
      </c>
      <c r="MK87" s="128">
        <v>0</v>
      </c>
      <c r="ML87" s="128">
        <v>0</v>
      </c>
      <c r="MP87" s="128">
        <v>514000</v>
      </c>
      <c r="MQ87" s="128">
        <v>0</v>
      </c>
      <c r="MR87" s="128">
        <v>0</v>
      </c>
      <c r="MV87" s="128">
        <v>1120000</v>
      </c>
      <c r="MW87" s="128">
        <v>0</v>
      </c>
      <c r="MX87" s="128">
        <v>0</v>
      </c>
      <c r="NB87" s="128">
        <v>42000</v>
      </c>
      <c r="NC87" s="128">
        <v>0</v>
      </c>
      <c r="ND87" s="128">
        <v>0</v>
      </c>
      <c r="NH87" s="128">
        <v>5000</v>
      </c>
      <c r="NI87" s="128">
        <v>0</v>
      </c>
      <c r="NJ87" s="128">
        <v>0</v>
      </c>
      <c r="NN87" s="128">
        <v>145000</v>
      </c>
      <c r="NO87" s="128">
        <v>0</v>
      </c>
      <c r="NP87" s="128">
        <v>0</v>
      </c>
      <c r="NT87" s="128">
        <v>30000</v>
      </c>
      <c r="NU87" s="128">
        <v>0</v>
      </c>
      <c r="NV87" s="128">
        <v>0</v>
      </c>
      <c r="NZ87" s="128">
        <v>3216000</v>
      </c>
      <c r="OA87" s="128">
        <v>0</v>
      </c>
      <c r="OB87" s="128">
        <v>0</v>
      </c>
      <c r="OF87" s="128">
        <v>14000</v>
      </c>
      <c r="OG87" s="128">
        <v>0</v>
      </c>
      <c r="OH87" s="128">
        <v>0</v>
      </c>
      <c r="OL87" s="128">
        <v>0</v>
      </c>
      <c r="OM87" s="128">
        <v>0</v>
      </c>
      <c r="ON87" s="128">
        <v>0</v>
      </c>
      <c r="OR87" s="128">
        <v>0</v>
      </c>
      <c r="OS87" s="128">
        <v>0</v>
      </c>
      <c r="OT87" s="128">
        <v>0</v>
      </c>
      <c r="OX87" s="128">
        <v>950000</v>
      </c>
      <c r="OY87" s="128">
        <v>0</v>
      </c>
      <c r="OZ87" s="128">
        <v>0</v>
      </c>
      <c r="PD87" s="128">
        <v>883000</v>
      </c>
      <c r="PE87" s="128">
        <v>0</v>
      </c>
      <c r="PF87" s="128">
        <v>0</v>
      </c>
      <c r="PJ87" s="128">
        <v>35000</v>
      </c>
      <c r="PK87" s="128">
        <v>0</v>
      </c>
      <c r="PL87" s="128">
        <v>0</v>
      </c>
      <c r="PP87" s="128">
        <v>30869100</v>
      </c>
      <c r="PQ87" s="128">
        <v>11542000</v>
      </c>
      <c r="PR87" s="128">
        <v>11542000</v>
      </c>
      <c r="PS87" s="128">
        <v>100</v>
      </c>
      <c r="PT87" s="128">
        <v>100</v>
      </c>
      <c r="PV87" s="128">
        <v>18201039</v>
      </c>
      <c r="PX87" s="128">
        <v>9289293</v>
      </c>
      <c r="PY87" s="128">
        <v>7833300</v>
      </c>
      <c r="PZ87" s="128">
        <v>11542000</v>
      </c>
      <c r="QA87" s="128">
        <v>0</v>
      </c>
      <c r="QB87" s="128">
        <v>0</v>
      </c>
      <c r="QC87" s="128">
        <v>0</v>
      </c>
      <c r="QD87" s="128">
        <v>0</v>
      </c>
      <c r="QE87" s="128">
        <v>0</v>
      </c>
      <c r="QF87" s="128">
        <v>0</v>
      </c>
      <c r="QG87" s="128">
        <v>2177720</v>
      </c>
      <c r="QH87" s="128">
        <v>4339000</v>
      </c>
      <c r="QI87" s="128">
        <v>2540100</v>
      </c>
      <c r="QJ87" s="128">
        <v>6355125</v>
      </c>
      <c r="QK87" s="128">
        <v>13800000</v>
      </c>
      <c r="QL87" s="128">
        <v>14282000</v>
      </c>
      <c r="QN87" s="128">
        <v>711261</v>
      </c>
      <c r="QO87" s="128">
        <v>2100000</v>
      </c>
      <c r="QP87" s="128">
        <v>2240000</v>
      </c>
      <c r="QX87" s="128">
        <v>9965</v>
      </c>
      <c r="QY87" s="128">
        <v>0</v>
      </c>
      <c r="QZ87" s="128">
        <v>0</v>
      </c>
      <c r="RD87" s="128">
        <v>192813</v>
      </c>
      <c r="RE87" s="128">
        <v>225000</v>
      </c>
      <c r="RF87" s="128">
        <v>265000</v>
      </c>
      <c r="RH87" s="128">
        <f t="shared" si="209"/>
        <v>14347100</v>
      </c>
      <c r="RI87" s="128">
        <v>0</v>
      </c>
      <c r="RM87" s="128" t="s">
        <v>220</v>
      </c>
      <c r="RU87" s="130"/>
      <c r="RV87" s="130"/>
      <c r="RW87" s="130"/>
      <c r="RX87" s="130"/>
      <c r="SF87" s="128">
        <f t="shared" si="119"/>
        <v>5804478</v>
      </c>
      <c r="SG87" s="131">
        <f t="shared" si="120"/>
        <v>30869100</v>
      </c>
      <c r="SH87" s="131">
        <f t="shared" si="121"/>
        <v>30869100</v>
      </c>
      <c r="SI87" s="131">
        <f t="shared" si="122"/>
        <v>21508100</v>
      </c>
      <c r="SJ87" s="132">
        <f t="shared" si="123"/>
        <v>20760600</v>
      </c>
      <c r="SK87" s="132">
        <f t="shared" si="124"/>
        <v>110000</v>
      </c>
      <c r="SL87" s="132">
        <f t="shared" si="125"/>
        <v>17500</v>
      </c>
      <c r="SM87" s="132">
        <f t="shared" si="126"/>
        <v>620000</v>
      </c>
      <c r="SN87" s="131">
        <f t="shared" si="127"/>
        <v>9361000</v>
      </c>
      <c r="SO87" s="131">
        <f t="shared" si="128"/>
        <v>190000</v>
      </c>
      <c r="SP87" s="132">
        <f t="shared" si="129"/>
        <v>10000</v>
      </c>
      <c r="SQ87" s="132">
        <f t="shared" si="130"/>
        <v>180000</v>
      </c>
      <c r="SR87" s="132">
        <f t="shared" si="131"/>
        <v>2130000</v>
      </c>
      <c r="SS87" s="132">
        <f t="shared" si="132"/>
        <v>73000</v>
      </c>
      <c r="ST87" s="132">
        <f t="shared" si="133"/>
        <v>14000</v>
      </c>
      <c r="SU87" s="132">
        <f t="shared" si="134"/>
        <v>514000</v>
      </c>
      <c r="SV87" s="131">
        <f t="shared" si="135"/>
        <v>5522000</v>
      </c>
      <c r="SW87" s="132">
        <f t="shared" si="136"/>
        <v>1120000</v>
      </c>
      <c r="SX87" s="132">
        <f t="shared" si="137"/>
        <v>42000</v>
      </c>
      <c r="SY87" s="132">
        <f t="shared" si="138"/>
        <v>5000</v>
      </c>
      <c r="SZ87" s="132">
        <f t="shared" si="139"/>
        <v>145000</v>
      </c>
      <c r="TA87" s="132">
        <f t="shared" si="140"/>
        <v>30000</v>
      </c>
      <c r="TB87" s="132">
        <f t="shared" si="141"/>
        <v>3216000</v>
      </c>
      <c r="TC87" s="132">
        <f t="shared" si="142"/>
        <v>14000</v>
      </c>
      <c r="TD87" s="132">
        <f t="shared" si="143"/>
        <v>0</v>
      </c>
      <c r="TE87" s="132">
        <f t="shared" si="144"/>
        <v>0</v>
      </c>
      <c r="TF87" s="132">
        <f t="shared" si="145"/>
        <v>950000</v>
      </c>
      <c r="TG87" s="132">
        <f t="shared" si="146"/>
        <v>883000</v>
      </c>
      <c r="TH87" s="132">
        <f t="shared" si="147"/>
        <v>35000</v>
      </c>
      <c r="TI87" s="1"/>
      <c r="TJ87" s="131">
        <f t="shared" si="148"/>
        <v>11542000</v>
      </c>
      <c r="TK87" s="131">
        <f t="shared" si="149"/>
        <v>11542000</v>
      </c>
      <c r="TL87" s="131">
        <f t="shared" si="150"/>
        <v>11542000</v>
      </c>
      <c r="TM87" s="132">
        <f t="shared" si="151"/>
        <v>11542000</v>
      </c>
      <c r="TN87" s="132">
        <f t="shared" si="152"/>
        <v>0</v>
      </c>
      <c r="TO87" s="132">
        <f t="shared" si="153"/>
        <v>0</v>
      </c>
      <c r="TP87" s="132">
        <f t="shared" si="154"/>
        <v>0</v>
      </c>
      <c r="TQ87" s="131">
        <f t="shared" si="155"/>
        <v>0</v>
      </c>
      <c r="TR87" s="131">
        <f t="shared" si="156"/>
        <v>0</v>
      </c>
      <c r="TS87" s="132">
        <f t="shared" si="157"/>
        <v>0</v>
      </c>
      <c r="TT87" s="132">
        <f t="shared" si="158"/>
        <v>0</v>
      </c>
      <c r="TU87" s="132">
        <f t="shared" si="159"/>
        <v>0</v>
      </c>
      <c r="TV87" s="132">
        <f t="shared" si="160"/>
        <v>0</v>
      </c>
      <c r="TW87" s="132">
        <f t="shared" si="161"/>
        <v>0</v>
      </c>
      <c r="TX87" s="132">
        <f t="shared" si="162"/>
        <v>0</v>
      </c>
      <c r="TY87" s="131">
        <f t="shared" si="163"/>
        <v>0</v>
      </c>
      <c r="TZ87" s="132">
        <f t="shared" si="164"/>
        <v>0</v>
      </c>
      <c r="UA87" s="132">
        <f t="shared" si="165"/>
        <v>0</v>
      </c>
      <c r="UB87" s="132">
        <f t="shared" si="166"/>
        <v>0</v>
      </c>
      <c r="UC87" s="132">
        <f t="shared" si="167"/>
        <v>0</v>
      </c>
      <c r="UD87" s="132">
        <f t="shared" si="168"/>
        <v>0</v>
      </c>
      <c r="UE87" s="132">
        <f t="shared" si="169"/>
        <v>0</v>
      </c>
      <c r="UF87" s="132">
        <f t="shared" si="170"/>
        <v>0</v>
      </c>
      <c r="UG87" s="132">
        <f t="shared" si="171"/>
        <v>0</v>
      </c>
      <c r="UH87" s="132">
        <f t="shared" si="172"/>
        <v>0</v>
      </c>
      <c r="UI87" s="132">
        <f t="shared" si="173"/>
        <v>0</v>
      </c>
      <c r="UJ87" s="132">
        <f t="shared" si="174"/>
        <v>0</v>
      </c>
      <c r="UK87" s="132">
        <f t="shared" si="175"/>
        <v>0</v>
      </c>
      <c r="UL87" s="132">
        <f t="shared" si="210"/>
        <v>11542000</v>
      </c>
      <c r="UM87" s="131">
        <f t="shared" si="176"/>
        <v>11542000</v>
      </c>
      <c r="UN87" s="131">
        <f t="shared" si="177"/>
        <v>11542000</v>
      </c>
      <c r="UO87" s="131">
        <f t="shared" si="178"/>
        <v>11542000</v>
      </c>
      <c r="UP87" s="132">
        <f t="shared" si="179"/>
        <v>11542000</v>
      </c>
      <c r="UQ87" s="132">
        <f t="shared" si="180"/>
        <v>0</v>
      </c>
      <c r="UR87" s="132">
        <f t="shared" si="181"/>
        <v>0</v>
      </c>
      <c r="US87" s="132">
        <f t="shared" si="182"/>
        <v>0</v>
      </c>
      <c r="UT87" s="131">
        <f t="shared" si="183"/>
        <v>0</v>
      </c>
      <c r="UU87" s="131">
        <f t="shared" si="184"/>
        <v>0</v>
      </c>
      <c r="UV87" s="132">
        <f t="shared" si="185"/>
        <v>0</v>
      </c>
      <c r="UW87" s="132">
        <f t="shared" si="186"/>
        <v>0</v>
      </c>
      <c r="UX87" s="132">
        <f t="shared" si="187"/>
        <v>0</v>
      </c>
      <c r="UY87" s="132">
        <f t="shared" si="188"/>
        <v>0</v>
      </c>
      <c r="UZ87" s="132">
        <f t="shared" si="189"/>
        <v>0</v>
      </c>
      <c r="VA87" s="132">
        <f t="shared" si="190"/>
        <v>0</v>
      </c>
      <c r="VB87" s="131">
        <f t="shared" si="191"/>
        <v>0</v>
      </c>
      <c r="VC87" s="132">
        <f t="shared" si="192"/>
        <v>0</v>
      </c>
      <c r="VD87" s="132">
        <f t="shared" si="193"/>
        <v>0</v>
      </c>
      <c r="VE87" s="132">
        <f t="shared" si="194"/>
        <v>0</v>
      </c>
      <c r="VF87" s="132">
        <f t="shared" si="195"/>
        <v>0</v>
      </c>
      <c r="VG87" s="132">
        <f t="shared" si="196"/>
        <v>0</v>
      </c>
      <c r="VH87" s="132">
        <f t="shared" si="197"/>
        <v>0</v>
      </c>
      <c r="VI87" s="132">
        <f t="shared" si="198"/>
        <v>0</v>
      </c>
      <c r="VJ87" s="132">
        <f t="shared" si="199"/>
        <v>0</v>
      </c>
      <c r="VK87" s="132">
        <f t="shared" si="200"/>
        <v>0</v>
      </c>
      <c r="VL87" s="132">
        <f t="shared" si="201"/>
        <v>0</v>
      </c>
      <c r="VM87" s="132">
        <f t="shared" si="202"/>
        <v>0</v>
      </c>
      <c r="VN87" s="132">
        <f t="shared" si="203"/>
        <v>0</v>
      </c>
      <c r="VP87" s="845" t="str">
        <f>IFERROR(HLOOKUP(F87,'Hodnocení '!$C$1:$JH$5,2,FALSE),0)</f>
        <v>Domov U Biřičky,Hradec Králové</v>
      </c>
      <c r="VQ87" s="838"/>
      <c r="VR87" s="845" t="str">
        <f t="shared" si="211"/>
        <v>Příspěvková organizace zřízená územním samosprávným celkem</v>
      </c>
      <c r="VS87" s="845" t="str">
        <f>IFERROR(HLOOKUP(F87,'Hodnocení '!$C$1:$JH$5,5,FALSE),0)</f>
        <v>PO KHK</v>
      </c>
      <c r="VT87" s="838">
        <f t="shared" si="212"/>
        <v>0</v>
      </c>
      <c r="VU87" s="838" t="str">
        <f t="shared" si="213"/>
        <v>PO KHK</v>
      </c>
      <c r="VV87" s="838">
        <f t="shared" si="214"/>
        <v>14282000</v>
      </c>
      <c r="VW87" s="838">
        <f t="shared" si="215"/>
        <v>2240000</v>
      </c>
      <c r="VX87" s="838"/>
      <c r="VY87" s="838">
        <f t="shared" si="216"/>
        <v>0</v>
      </c>
      <c r="VZ87" s="838">
        <f t="shared" si="217"/>
        <v>11542000</v>
      </c>
      <c r="WA87" s="846">
        <f>IFERROR(HLOOKUP($F87,'Hodnocení '!$C$1:$JH$9,9,FALSE),0)</f>
        <v>11542000</v>
      </c>
      <c r="WB87" s="846">
        <f>IF(IFERROR(HLOOKUP($F87,'Hodnocení '!$C$1:$JH$13,13,FALSE),0)&gt;WA87,WA87,IFERROR(HLOOKUP($F87,'Hodnocení '!$C$1:$JH$13,13,FALSE),0))</f>
        <v>11542000</v>
      </c>
      <c r="WC87" s="846">
        <f>IFERROR(HLOOKUP($F87,'Hodnocení '!$C$1:$JH$155,155,FALSE),0)</f>
        <v>8363390</v>
      </c>
      <c r="WD87" s="845"/>
      <c r="WE87" s="845"/>
      <c r="WF87" s="845" t="str">
        <f t="shared" si="204"/>
        <v>ANO</v>
      </c>
      <c r="WG87" s="849" t="str">
        <f t="shared" si="117"/>
        <v>Podpora služby je vyjádřena zařazením do sítě sociálních služeb v KHK a řešením financování služby</v>
      </c>
      <c r="WH87"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87" s="849" t="str">
        <f t="shared" si="117"/>
        <v>Návrh dotace je výsledkem projednání s ostatními zadavateli v rámci sítě služeb KHK</v>
      </c>
      <c r="WJ87" s="849" t="str">
        <f t="shared" si="117"/>
        <v>Bez komentáře</v>
      </c>
      <c r="WK87" s="31">
        <f t="shared" si="205"/>
        <v>0</v>
      </c>
      <c r="WL87" s="850" t="str">
        <f t="shared" si="206"/>
        <v>Případná úprava příspěvku zřizovatele bude řešena v návaznosti na vývoj služby</v>
      </c>
      <c r="WM87" s="849" t="str">
        <f t="shared" si="207"/>
        <v>V rámci sítě KHK se dlouhodobě řeší otázka navyšování úhrad a průběžně se monitoruje s vazbou na vykrytí vyrovnávací platby</v>
      </c>
      <c r="WN87" s="849" t="str">
        <f t="shared" si="208"/>
        <v>Otázka výběru od zdravotních pojišťoven je předmětem procesu, který probíhá ve formě jednání se ZP a organizacemi</v>
      </c>
      <c r="WO87" s="849" t="str">
        <f t="shared" si="118"/>
        <v>bez komentáře</v>
      </c>
      <c r="WP87" s="849" t="str">
        <f t="shared" si="118"/>
        <v>bez komentáře</v>
      </c>
      <c r="WQ87" s="849" t="str">
        <f t="shared" si="118"/>
        <v>Konečná výše dotace z rozpočtu KHK bude řešena v návaznosti na řešení podílů jednotlivých zadavatelů.</v>
      </c>
      <c r="WR87" s="849" t="str">
        <f t="shared" si="118"/>
        <v>Konečná výše podpory ze stran obcí bude řešena v součinnosti s jednotlivými zadavateli v průběhu roku.</v>
      </c>
      <c r="WS87" s="849" t="str">
        <f t="shared" si="118"/>
        <v>bez komentáře</v>
      </c>
      <c r="WT87" s="849" t="str">
        <f t="shared" si="118"/>
        <v>bez komentáře</v>
      </c>
      <c r="WU87" s="845"/>
    </row>
    <row r="88" spans="1:619" s="128" customFormat="1" x14ac:dyDescent="0.25">
      <c r="A88" s="128" t="str">
        <f>VLOOKUP(F88,'Výpočet VP 2020'!$D$324:$I$588,6,FALSE)</f>
        <v>Je v síti</v>
      </c>
      <c r="B88" s="128" t="s">
        <v>515</v>
      </c>
      <c r="C88" s="128">
        <v>579033</v>
      </c>
      <c r="D88" s="128" t="s">
        <v>516</v>
      </c>
      <c r="E88" s="128" t="s">
        <v>259</v>
      </c>
      <c r="F88" s="128">
        <v>7630615</v>
      </c>
      <c r="G88" s="128" t="s">
        <v>348</v>
      </c>
      <c r="H88" s="128" t="s">
        <v>218</v>
      </c>
      <c r="I88" s="128" t="s">
        <v>515</v>
      </c>
      <c r="J88" s="129">
        <v>39814</v>
      </c>
      <c r="L88" s="128" t="s">
        <v>220</v>
      </c>
      <c r="M88" s="128" t="s">
        <v>518</v>
      </c>
      <c r="N88" s="128">
        <v>282</v>
      </c>
      <c r="P88" s="128">
        <v>373</v>
      </c>
      <c r="Q88" s="128">
        <v>396</v>
      </c>
      <c r="R88" s="128">
        <v>363</v>
      </c>
      <c r="BL88" s="128" t="s">
        <v>351</v>
      </c>
      <c r="BM88" s="128" t="s">
        <v>325</v>
      </c>
      <c r="BN88" s="128" t="s">
        <v>352</v>
      </c>
      <c r="DA88" s="128">
        <v>0</v>
      </c>
      <c r="DB88" s="128">
        <v>0</v>
      </c>
      <c r="DC88" s="128">
        <v>0</v>
      </c>
      <c r="DD88" s="128">
        <v>0</v>
      </c>
      <c r="DE88" s="128">
        <v>0</v>
      </c>
      <c r="DF88" s="128">
        <v>36</v>
      </c>
      <c r="DG88" s="128">
        <v>64</v>
      </c>
      <c r="DH88" s="128">
        <v>99</v>
      </c>
      <c r="DI88" s="128">
        <v>71</v>
      </c>
      <c r="DJ88" s="128">
        <v>12</v>
      </c>
      <c r="DK88" s="128">
        <v>36</v>
      </c>
      <c r="DL88" s="128">
        <v>64</v>
      </c>
      <c r="DM88" s="128">
        <v>99</v>
      </c>
      <c r="DN88" s="128">
        <v>71</v>
      </c>
      <c r="DO88" s="128">
        <v>12</v>
      </c>
      <c r="DP88" s="128">
        <v>0</v>
      </c>
      <c r="DQ88" s="128">
        <v>282</v>
      </c>
      <c r="DR88" s="128">
        <v>282</v>
      </c>
      <c r="DS88" s="128">
        <v>0</v>
      </c>
      <c r="DT88" s="128">
        <v>0</v>
      </c>
      <c r="DU88" s="128">
        <v>0</v>
      </c>
      <c r="DV88" s="128">
        <v>0</v>
      </c>
      <c r="DW88" s="128">
        <v>0</v>
      </c>
      <c r="DX88" s="128">
        <v>40</v>
      </c>
      <c r="DY88" s="128">
        <v>72</v>
      </c>
      <c r="DZ88" s="128">
        <v>100</v>
      </c>
      <c r="EA88" s="128">
        <v>70</v>
      </c>
      <c r="EB88" s="128">
        <v>0</v>
      </c>
      <c r="EC88" s="128">
        <v>40</v>
      </c>
      <c r="ED88" s="128">
        <v>72</v>
      </c>
      <c r="EE88" s="128">
        <v>100</v>
      </c>
      <c r="EF88" s="128">
        <v>70</v>
      </c>
      <c r="EG88" s="128">
        <v>0</v>
      </c>
      <c r="EH88" s="128">
        <v>0</v>
      </c>
      <c r="EI88" s="128">
        <v>282</v>
      </c>
      <c r="EJ88" s="128">
        <v>282</v>
      </c>
      <c r="EK88" s="128">
        <v>10</v>
      </c>
      <c r="EL88" s="128">
        <v>9.8000000000000007</v>
      </c>
      <c r="EM88" s="128">
        <v>6.94</v>
      </c>
      <c r="EN88" s="128">
        <v>4880000</v>
      </c>
      <c r="EO88" s="128">
        <v>3660000</v>
      </c>
      <c r="EP88" s="128">
        <v>98</v>
      </c>
      <c r="EQ88" s="128">
        <v>97.8</v>
      </c>
      <c r="ER88" s="128">
        <v>83.3</v>
      </c>
      <c r="ES88" s="128">
        <v>44010000</v>
      </c>
      <c r="ET88" s="128">
        <v>27286000</v>
      </c>
      <c r="EU88" s="128">
        <v>23</v>
      </c>
      <c r="EV88" s="128">
        <v>22</v>
      </c>
      <c r="EW88" s="128">
        <v>20.79</v>
      </c>
      <c r="EX88" s="128">
        <v>12540000</v>
      </c>
      <c r="EY88" s="128">
        <v>0</v>
      </c>
      <c r="FO88" s="128">
        <v>62</v>
      </c>
      <c r="FP88" s="128">
        <v>52.8</v>
      </c>
      <c r="FQ88" s="128">
        <v>48.55</v>
      </c>
      <c r="FR88" s="128">
        <v>23355000</v>
      </c>
      <c r="FS88" s="128">
        <v>15763000</v>
      </c>
      <c r="FZ88" s="128">
        <v>1</v>
      </c>
      <c r="GA88" s="128">
        <v>1</v>
      </c>
      <c r="GB88" s="128">
        <v>12</v>
      </c>
      <c r="GC88" s="128">
        <v>1</v>
      </c>
      <c r="GD88" s="128">
        <v>200000</v>
      </c>
      <c r="GE88" s="128">
        <v>0</v>
      </c>
      <c r="IN88" s="128">
        <v>1</v>
      </c>
      <c r="IO88" s="128">
        <v>300</v>
      </c>
      <c r="IP88" s="128">
        <v>0.14299999999999999</v>
      </c>
      <c r="IQ88" s="128">
        <v>28500</v>
      </c>
      <c r="IR88" s="128">
        <v>0</v>
      </c>
      <c r="IS88" s="128">
        <v>1</v>
      </c>
      <c r="IT88" s="128">
        <v>300</v>
      </c>
      <c r="IU88" s="128">
        <v>0.14299999999999999</v>
      </c>
      <c r="IV88" s="128">
        <v>24000</v>
      </c>
      <c r="IW88" s="128">
        <v>0</v>
      </c>
      <c r="KG88" s="128">
        <v>10</v>
      </c>
      <c r="KH88" s="128">
        <v>120</v>
      </c>
      <c r="KI88" s="128">
        <v>129.6</v>
      </c>
      <c r="KJ88" s="128">
        <v>1</v>
      </c>
      <c r="KK88" s="128">
        <v>0.14299999999999999</v>
      </c>
      <c r="KL88" s="128">
        <v>0</v>
      </c>
      <c r="KM88" s="128">
        <v>130.74299999999999</v>
      </c>
      <c r="KN88" s="128">
        <v>84785000</v>
      </c>
      <c r="KO88" s="128">
        <v>46709000</v>
      </c>
      <c r="KP88" s="128">
        <v>46709000</v>
      </c>
      <c r="KT88" s="128">
        <v>200000</v>
      </c>
      <c r="KU88" s="128">
        <v>0</v>
      </c>
      <c r="KV88" s="128">
        <v>0</v>
      </c>
      <c r="KZ88" s="128">
        <v>52500</v>
      </c>
      <c r="LA88" s="128">
        <v>0</v>
      </c>
      <c r="LB88" s="128">
        <v>0</v>
      </c>
      <c r="LF88" s="128">
        <v>2671000</v>
      </c>
      <c r="LG88" s="128">
        <v>0</v>
      </c>
      <c r="LH88" s="128">
        <v>0</v>
      </c>
      <c r="LL88" s="128">
        <v>50000</v>
      </c>
      <c r="LM88" s="128">
        <v>0</v>
      </c>
      <c r="LN88" s="128">
        <v>0</v>
      </c>
      <c r="LR88" s="128">
        <v>920000</v>
      </c>
      <c r="LS88" s="128">
        <v>0</v>
      </c>
      <c r="LT88" s="128">
        <v>0</v>
      </c>
      <c r="LX88" s="128">
        <v>10367000</v>
      </c>
      <c r="LY88" s="128">
        <v>0</v>
      </c>
      <c r="LZ88" s="128">
        <v>0</v>
      </c>
      <c r="MD88" s="128">
        <v>427000</v>
      </c>
      <c r="ME88" s="128">
        <v>0</v>
      </c>
      <c r="MF88" s="128">
        <v>0</v>
      </c>
      <c r="MJ88" s="128">
        <v>66000</v>
      </c>
      <c r="MK88" s="128">
        <v>0</v>
      </c>
      <c r="ML88" s="128">
        <v>0</v>
      </c>
      <c r="MP88" s="128">
        <v>2221000</v>
      </c>
      <c r="MQ88" s="128">
        <v>0</v>
      </c>
      <c r="MR88" s="128">
        <v>0</v>
      </c>
      <c r="MV88" s="128">
        <v>5980000</v>
      </c>
      <c r="MW88" s="128">
        <v>0</v>
      </c>
      <c r="MX88" s="128">
        <v>0</v>
      </c>
      <c r="NB88" s="128">
        <v>240000</v>
      </c>
      <c r="NC88" s="128">
        <v>0</v>
      </c>
      <c r="ND88" s="128">
        <v>0</v>
      </c>
      <c r="NH88" s="128">
        <v>25000</v>
      </c>
      <c r="NI88" s="128">
        <v>0</v>
      </c>
      <c r="NJ88" s="128">
        <v>0</v>
      </c>
      <c r="NN88" s="128">
        <v>655000</v>
      </c>
      <c r="NO88" s="128">
        <v>0</v>
      </c>
      <c r="NP88" s="128">
        <v>0</v>
      </c>
      <c r="NT88" s="128">
        <v>120000</v>
      </c>
      <c r="NU88" s="128">
        <v>0</v>
      </c>
      <c r="NV88" s="128">
        <v>0</v>
      </c>
      <c r="NZ88" s="128">
        <v>5598000</v>
      </c>
      <c r="OA88" s="128">
        <v>0</v>
      </c>
      <c r="OB88" s="128">
        <v>0</v>
      </c>
      <c r="OF88" s="128">
        <v>86000</v>
      </c>
      <c r="OG88" s="128">
        <v>0</v>
      </c>
      <c r="OH88" s="128">
        <v>0</v>
      </c>
      <c r="OL88" s="128">
        <v>0</v>
      </c>
      <c r="OM88" s="128">
        <v>0</v>
      </c>
      <c r="ON88" s="128">
        <v>0</v>
      </c>
      <c r="OR88" s="128">
        <v>0</v>
      </c>
      <c r="OS88" s="128">
        <v>0</v>
      </c>
      <c r="OT88" s="128">
        <v>0</v>
      </c>
      <c r="OX88" s="128">
        <v>5150000</v>
      </c>
      <c r="OY88" s="128">
        <v>0</v>
      </c>
      <c r="OZ88" s="128">
        <v>0</v>
      </c>
      <c r="PD88" s="128">
        <v>4617000</v>
      </c>
      <c r="PE88" s="128">
        <v>0</v>
      </c>
      <c r="PF88" s="128">
        <v>0</v>
      </c>
      <c r="PJ88" s="128">
        <v>78000</v>
      </c>
      <c r="PK88" s="128">
        <v>0</v>
      </c>
      <c r="PL88" s="128">
        <v>0</v>
      </c>
      <c r="PP88" s="128">
        <v>124308500</v>
      </c>
      <c r="PQ88" s="128">
        <v>46709000</v>
      </c>
      <c r="PR88" s="128">
        <v>46709000</v>
      </c>
      <c r="PS88" s="128">
        <v>100</v>
      </c>
      <c r="PT88" s="128">
        <v>100</v>
      </c>
      <c r="PV88" s="128">
        <v>67928101</v>
      </c>
      <c r="PX88" s="128">
        <v>33104299</v>
      </c>
      <c r="PY88" s="128">
        <v>0</v>
      </c>
      <c r="PZ88" s="128">
        <v>46709000</v>
      </c>
      <c r="QA88" s="128">
        <v>0</v>
      </c>
      <c r="QB88" s="128">
        <v>0</v>
      </c>
      <c r="QC88" s="128">
        <v>0</v>
      </c>
      <c r="QD88" s="128">
        <v>0</v>
      </c>
      <c r="QE88" s="128">
        <v>0</v>
      </c>
      <c r="QF88" s="128">
        <v>0</v>
      </c>
      <c r="QG88" s="128">
        <v>17328280</v>
      </c>
      <c r="QH88" s="128">
        <v>17355000</v>
      </c>
      <c r="QI88" s="128">
        <v>7388500</v>
      </c>
      <c r="QJ88" s="128">
        <v>57595066</v>
      </c>
      <c r="QK88" s="128">
        <v>61225000</v>
      </c>
      <c r="QL88" s="128">
        <v>62700000</v>
      </c>
      <c r="QN88" s="128">
        <v>4315622</v>
      </c>
      <c r="QO88" s="128">
        <v>5320000</v>
      </c>
      <c r="QP88" s="128">
        <v>6000000</v>
      </c>
      <c r="RD88" s="128">
        <v>1055911</v>
      </c>
      <c r="RE88" s="128">
        <v>1723000</v>
      </c>
      <c r="RF88" s="128">
        <v>1511000</v>
      </c>
      <c r="RH88" s="128">
        <f t="shared" si="209"/>
        <v>55608500</v>
      </c>
      <c r="RI88" s="128">
        <v>0</v>
      </c>
      <c r="RM88" s="128" t="s">
        <v>220</v>
      </c>
      <c r="RU88" s="130"/>
      <c r="RV88" s="130"/>
      <c r="RW88" s="130"/>
      <c r="RX88" s="130"/>
      <c r="SF88" s="128">
        <f t="shared" si="119"/>
        <v>7630615</v>
      </c>
      <c r="SG88" s="131">
        <f t="shared" si="120"/>
        <v>124308500</v>
      </c>
      <c r="SH88" s="131">
        <f t="shared" si="121"/>
        <v>124308500</v>
      </c>
      <c r="SI88" s="131">
        <f t="shared" si="122"/>
        <v>87708500</v>
      </c>
      <c r="SJ88" s="132">
        <f t="shared" si="123"/>
        <v>84785000</v>
      </c>
      <c r="SK88" s="132">
        <f t="shared" si="124"/>
        <v>200000</v>
      </c>
      <c r="SL88" s="132">
        <f t="shared" si="125"/>
        <v>52500</v>
      </c>
      <c r="SM88" s="132">
        <f t="shared" si="126"/>
        <v>2671000</v>
      </c>
      <c r="SN88" s="131">
        <f t="shared" si="127"/>
        <v>36600000</v>
      </c>
      <c r="SO88" s="131">
        <f t="shared" si="128"/>
        <v>970000</v>
      </c>
      <c r="SP88" s="132">
        <f t="shared" si="129"/>
        <v>50000</v>
      </c>
      <c r="SQ88" s="132">
        <f t="shared" si="130"/>
        <v>920000</v>
      </c>
      <c r="SR88" s="132">
        <f t="shared" si="131"/>
        <v>10367000</v>
      </c>
      <c r="SS88" s="132">
        <f t="shared" si="132"/>
        <v>427000</v>
      </c>
      <c r="ST88" s="132">
        <f t="shared" si="133"/>
        <v>66000</v>
      </c>
      <c r="SU88" s="132">
        <f t="shared" si="134"/>
        <v>2221000</v>
      </c>
      <c r="SV88" s="131">
        <f t="shared" si="135"/>
        <v>17854000</v>
      </c>
      <c r="SW88" s="132">
        <f t="shared" si="136"/>
        <v>5980000</v>
      </c>
      <c r="SX88" s="132">
        <f t="shared" si="137"/>
        <v>240000</v>
      </c>
      <c r="SY88" s="132">
        <f t="shared" si="138"/>
        <v>25000</v>
      </c>
      <c r="SZ88" s="132">
        <f t="shared" si="139"/>
        <v>655000</v>
      </c>
      <c r="TA88" s="132">
        <f t="shared" si="140"/>
        <v>120000</v>
      </c>
      <c r="TB88" s="132">
        <f t="shared" si="141"/>
        <v>5598000</v>
      </c>
      <c r="TC88" s="132">
        <f t="shared" si="142"/>
        <v>86000</v>
      </c>
      <c r="TD88" s="132">
        <f t="shared" si="143"/>
        <v>0</v>
      </c>
      <c r="TE88" s="132">
        <f t="shared" si="144"/>
        <v>0</v>
      </c>
      <c r="TF88" s="132">
        <f t="shared" si="145"/>
        <v>5150000</v>
      </c>
      <c r="TG88" s="132">
        <f t="shared" si="146"/>
        <v>4617000</v>
      </c>
      <c r="TH88" s="132">
        <f t="shared" si="147"/>
        <v>78000</v>
      </c>
      <c r="TI88" s="1"/>
      <c r="TJ88" s="131">
        <f t="shared" si="148"/>
        <v>46709000</v>
      </c>
      <c r="TK88" s="131">
        <f t="shared" si="149"/>
        <v>46709000</v>
      </c>
      <c r="TL88" s="131">
        <f t="shared" si="150"/>
        <v>46709000</v>
      </c>
      <c r="TM88" s="132">
        <f t="shared" si="151"/>
        <v>46709000</v>
      </c>
      <c r="TN88" s="132">
        <f t="shared" si="152"/>
        <v>0</v>
      </c>
      <c r="TO88" s="132">
        <f t="shared" si="153"/>
        <v>0</v>
      </c>
      <c r="TP88" s="132">
        <f t="shared" si="154"/>
        <v>0</v>
      </c>
      <c r="TQ88" s="131">
        <f t="shared" si="155"/>
        <v>0</v>
      </c>
      <c r="TR88" s="131">
        <f t="shared" si="156"/>
        <v>0</v>
      </c>
      <c r="TS88" s="132">
        <f t="shared" si="157"/>
        <v>0</v>
      </c>
      <c r="TT88" s="132">
        <f t="shared" si="158"/>
        <v>0</v>
      </c>
      <c r="TU88" s="132">
        <f t="shared" si="159"/>
        <v>0</v>
      </c>
      <c r="TV88" s="132">
        <f t="shared" si="160"/>
        <v>0</v>
      </c>
      <c r="TW88" s="132">
        <f t="shared" si="161"/>
        <v>0</v>
      </c>
      <c r="TX88" s="132">
        <f t="shared" si="162"/>
        <v>0</v>
      </c>
      <c r="TY88" s="131">
        <f t="shared" si="163"/>
        <v>0</v>
      </c>
      <c r="TZ88" s="132">
        <f t="shared" si="164"/>
        <v>0</v>
      </c>
      <c r="UA88" s="132">
        <f t="shared" si="165"/>
        <v>0</v>
      </c>
      <c r="UB88" s="132">
        <f t="shared" si="166"/>
        <v>0</v>
      </c>
      <c r="UC88" s="132">
        <f t="shared" si="167"/>
        <v>0</v>
      </c>
      <c r="UD88" s="132">
        <f t="shared" si="168"/>
        <v>0</v>
      </c>
      <c r="UE88" s="132">
        <f t="shared" si="169"/>
        <v>0</v>
      </c>
      <c r="UF88" s="132">
        <f t="shared" si="170"/>
        <v>0</v>
      </c>
      <c r="UG88" s="132">
        <f t="shared" si="171"/>
        <v>0</v>
      </c>
      <c r="UH88" s="132">
        <f t="shared" si="172"/>
        <v>0</v>
      </c>
      <c r="UI88" s="132">
        <f t="shared" si="173"/>
        <v>0</v>
      </c>
      <c r="UJ88" s="132">
        <f t="shared" si="174"/>
        <v>0</v>
      </c>
      <c r="UK88" s="132">
        <f t="shared" si="175"/>
        <v>0</v>
      </c>
      <c r="UL88" s="132">
        <f t="shared" si="210"/>
        <v>46709000</v>
      </c>
      <c r="UM88" s="131">
        <f t="shared" si="176"/>
        <v>46709000</v>
      </c>
      <c r="UN88" s="131">
        <f t="shared" si="177"/>
        <v>46709000</v>
      </c>
      <c r="UO88" s="131">
        <f t="shared" si="178"/>
        <v>46709000</v>
      </c>
      <c r="UP88" s="132">
        <f t="shared" si="179"/>
        <v>46709000</v>
      </c>
      <c r="UQ88" s="132">
        <f t="shared" si="180"/>
        <v>0</v>
      </c>
      <c r="UR88" s="132">
        <f t="shared" si="181"/>
        <v>0</v>
      </c>
      <c r="US88" s="132">
        <f t="shared" si="182"/>
        <v>0</v>
      </c>
      <c r="UT88" s="131">
        <f t="shared" si="183"/>
        <v>0</v>
      </c>
      <c r="UU88" s="131">
        <f t="shared" si="184"/>
        <v>0</v>
      </c>
      <c r="UV88" s="132">
        <f t="shared" si="185"/>
        <v>0</v>
      </c>
      <c r="UW88" s="132">
        <f t="shared" si="186"/>
        <v>0</v>
      </c>
      <c r="UX88" s="132">
        <f t="shared" si="187"/>
        <v>0</v>
      </c>
      <c r="UY88" s="132">
        <f t="shared" si="188"/>
        <v>0</v>
      </c>
      <c r="UZ88" s="132">
        <f t="shared" si="189"/>
        <v>0</v>
      </c>
      <c r="VA88" s="132">
        <f t="shared" si="190"/>
        <v>0</v>
      </c>
      <c r="VB88" s="131">
        <f t="shared" si="191"/>
        <v>0</v>
      </c>
      <c r="VC88" s="132">
        <f t="shared" si="192"/>
        <v>0</v>
      </c>
      <c r="VD88" s="132">
        <f t="shared" si="193"/>
        <v>0</v>
      </c>
      <c r="VE88" s="132">
        <f t="shared" si="194"/>
        <v>0</v>
      </c>
      <c r="VF88" s="132">
        <f t="shared" si="195"/>
        <v>0</v>
      </c>
      <c r="VG88" s="132">
        <f t="shared" si="196"/>
        <v>0</v>
      </c>
      <c r="VH88" s="132">
        <f t="shared" si="197"/>
        <v>0</v>
      </c>
      <c r="VI88" s="132">
        <f t="shared" si="198"/>
        <v>0</v>
      </c>
      <c r="VJ88" s="132">
        <f t="shared" si="199"/>
        <v>0</v>
      </c>
      <c r="VK88" s="132">
        <f t="shared" si="200"/>
        <v>0</v>
      </c>
      <c r="VL88" s="132">
        <f t="shared" si="201"/>
        <v>0</v>
      </c>
      <c r="VM88" s="132">
        <f t="shared" si="202"/>
        <v>0</v>
      </c>
      <c r="VN88" s="132">
        <f t="shared" si="203"/>
        <v>0</v>
      </c>
      <c r="VP88" s="845" t="str">
        <f>IFERROR(HLOOKUP(F88,'Hodnocení '!$C$1:$JH$5,2,FALSE),0)</f>
        <v>Domov U Biřičky, Hradec Králové</v>
      </c>
      <c r="VQ88" s="838"/>
      <c r="VR88" s="845" t="str">
        <f t="shared" si="211"/>
        <v>Příspěvková organizace zřízená územním samosprávným celkem</v>
      </c>
      <c r="VS88" s="845" t="str">
        <f>IFERROR(HLOOKUP(F88,'Hodnocení '!$C$1:$JH$5,5,FALSE),0)</f>
        <v>PO KHK</v>
      </c>
      <c r="VT88" s="838">
        <f t="shared" si="212"/>
        <v>0</v>
      </c>
      <c r="VU88" s="838" t="str">
        <f t="shared" si="213"/>
        <v>PO KHK</v>
      </c>
      <c r="VV88" s="838">
        <f t="shared" si="214"/>
        <v>62700000</v>
      </c>
      <c r="VW88" s="838">
        <f t="shared" si="215"/>
        <v>6000000</v>
      </c>
      <c r="VX88" s="838"/>
      <c r="VY88" s="838">
        <f t="shared" si="216"/>
        <v>0</v>
      </c>
      <c r="VZ88" s="838">
        <f t="shared" si="217"/>
        <v>46709000</v>
      </c>
      <c r="WA88" s="846">
        <f>IFERROR(HLOOKUP($F88,'Hodnocení '!$C$1:$JH$9,9,FALSE),0)</f>
        <v>46709000</v>
      </c>
      <c r="WB88" s="846">
        <f>IF(IFERROR(HLOOKUP($F88,'Hodnocení '!$C$1:$JH$13,13,FALSE),0)&gt;WA88,WA88,IFERROR(HLOOKUP($F88,'Hodnocení '!$C$1:$JH$13,13,FALSE),0))</f>
        <v>46709000</v>
      </c>
      <c r="WC88" s="846">
        <f>IFERROR(HLOOKUP($F88,'Hodnocení '!$C$1:$JH$155,155,FALSE),0)</f>
        <v>38158140</v>
      </c>
      <c r="WD88" s="845"/>
      <c r="WE88" s="845"/>
      <c r="WF88" s="845" t="str">
        <f t="shared" si="204"/>
        <v>ANO</v>
      </c>
      <c r="WG88" s="849" t="str">
        <f t="shared" si="117"/>
        <v>Podpora služby je vyjádřena zařazením do sítě sociálních služeb v KHK a řešením financování služby</v>
      </c>
      <c r="WH88"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88" s="849" t="str">
        <f t="shared" si="117"/>
        <v>Návrh dotace je výsledkem projednání s ostatními zadavateli v rámci sítě služeb KHK</v>
      </c>
      <c r="WJ88" s="849" t="str">
        <f t="shared" si="117"/>
        <v>Bez komentáře</v>
      </c>
      <c r="WK88" s="31">
        <f t="shared" si="205"/>
        <v>0</v>
      </c>
      <c r="WL88" s="850" t="str">
        <f t="shared" si="206"/>
        <v>Případná úprava příspěvku zřizovatele bude řešena v návaznosti na vývoj služby</v>
      </c>
      <c r="WM88" s="849" t="str">
        <f t="shared" si="207"/>
        <v>V rámci sítě KHK se dlouhodobě řeší otázka navyšování úhrad a průběžně se monitoruje s vazbou na vykrytí vyrovnávací platby</v>
      </c>
      <c r="WN88" s="849" t="str">
        <f t="shared" si="208"/>
        <v>Otázka výběru od zdravotních pojišťoven je předmětem procesu, který probíhá ve formě jednání se ZP a organizacemi</v>
      </c>
      <c r="WO88" s="849" t="str">
        <f t="shared" si="118"/>
        <v>bez komentáře</v>
      </c>
      <c r="WP88" s="849" t="str">
        <f t="shared" si="118"/>
        <v>bez komentáře</v>
      </c>
      <c r="WQ88" s="849" t="str">
        <f t="shared" si="118"/>
        <v>Konečná výše dotace z rozpočtu KHK bude řešena v návaznosti na řešení podílů jednotlivých zadavatelů.</v>
      </c>
      <c r="WR88" s="849" t="str">
        <f t="shared" si="118"/>
        <v>Konečná výše podpory ze stran obcí bude řešena v součinnosti s jednotlivými zadavateli v průběhu roku.</v>
      </c>
      <c r="WS88" s="849" t="str">
        <f t="shared" si="118"/>
        <v>bez komentáře</v>
      </c>
      <c r="WT88" s="849" t="str">
        <f t="shared" si="118"/>
        <v>bez komentáře</v>
      </c>
      <c r="WU88" s="845"/>
    </row>
    <row r="89" spans="1:619" s="128" customFormat="1" x14ac:dyDescent="0.25">
      <c r="A89" s="128" t="str">
        <f>VLOOKUP(F89,'Výpočet VP 2020'!$D$324:$I$588,6,FALSE)</f>
        <v>Je v síti</v>
      </c>
      <c r="B89" s="128" t="s">
        <v>519</v>
      </c>
      <c r="C89" s="128">
        <v>64809234</v>
      </c>
      <c r="D89" s="128" t="s">
        <v>520</v>
      </c>
      <c r="E89" s="128" t="s">
        <v>259</v>
      </c>
      <c r="F89" s="128">
        <v>1576566</v>
      </c>
      <c r="G89" s="128" t="s">
        <v>267</v>
      </c>
      <c r="H89" s="128" t="s">
        <v>218</v>
      </c>
      <c r="I89" s="128" t="s">
        <v>519</v>
      </c>
      <c r="J89" s="129">
        <v>39814</v>
      </c>
      <c r="L89" s="128" t="s">
        <v>220</v>
      </c>
      <c r="M89" s="128" t="s">
        <v>487</v>
      </c>
      <c r="N89" s="128">
        <v>8</v>
      </c>
      <c r="P89" s="128">
        <v>9</v>
      </c>
      <c r="Q89" s="128">
        <v>8</v>
      </c>
      <c r="R89" s="128">
        <v>9</v>
      </c>
      <c r="BL89" s="128" t="s">
        <v>356</v>
      </c>
      <c r="BM89" s="128" t="s">
        <v>228</v>
      </c>
      <c r="BN89" s="128" t="s">
        <v>256</v>
      </c>
      <c r="DA89" s="128">
        <v>0</v>
      </c>
      <c r="DB89" s="128">
        <v>0</v>
      </c>
      <c r="DC89" s="128">
        <v>0</v>
      </c>
      <c r="DD89" s="128">
        <v>0</v>
      </c>
      <c r="DE89" s="128">
        <v>0</v>
      </c>
      <c r="DF89" s="128">
        <v>1</v>
      </c>
      <c r="DG89" s="128">
        <v>6</v>
      </c>
      <c r="DH89" s="128">
        <v>0</v>
      </c>
      <c r="DI89" s="128">
        <v>0</v>
      </c>
      <c r="DJ89" s="128">
        <v>1</v>
      </c>
      <c r="DK89" s="128">
        <v>1</v>
      </c>
      <c r="DL89" s="128">
        <v>6</v>
      </c>
      <c r="DM89" s="128">
        <v>0</v>
      </c>
      <c r="DN89" s="128">
        <v>0</v>
      </c>
      <c r="DO89" s="128">
        <v>1</v>
      </c>
      <c r="DP89" s="128">
        <v>0</v>
      </c>
      <c r="DQ89" s="128">
        <v>8</v>
      </c>
      <c r="DR89" s="128">
        <v>8</v>
      </c>
      <c r="DS89" s="128">
        <v>0</v>
      </c>
      <c r="DT89" s="128">
        <v>0</v>
      </c>
      <c r="DU89" s="128">
        <v>0</v>
      </c>
      <c r="DV89" s="128">
        <v>0</v>
      </c>
      <c r="DW89" s="128">
        <v>0</v>
      </c>
      <c r="DX89" s="128">
        <v>1</v>
      </c>
      <c r="DY89" s="128">
        <v>6</v>
      </c>
      <c r="DZ89" s="128">
        <v>0</v>
      </c>
      <c r="EA89" s="128">
        <v>0</v>
      </c>
      <c r="EB89" s="128">
        <v>1</v>
      </c>
      <c r="EC89" s="128">
        <v>1</v>
      </c>
      <c r="ED89" s="128">
        <v>6</v>
      </c>
      <c r="EE89" s="128">
        <v>0</v>
      </c>
      <c r="EF89" s="128">
        <v>0</v>
      </c>
      <c r="EG89" s="128">
        <v>1</v>
      </c>
      <c r="EH89" s="128">
        <v>0</v>
      </c>
      <c r="EI89" s="128">
        <v>8</v>
      </c>
      <c r="EJ89" s="128">
        <v>8</v>
      </c>
      <c r="EK89" s="128">
        <v>2</v>
      </c>
      <c r="EL89" s="128">
        <v>0.4</v>
      </c>
      <c r="EM89" s="128">
        <v>0.4</v>
      </c>
      <c r="EN89" s="128">
        <v>283458</v>
      </c>
      <c r="EO89" s="128">
        <v>211536</v>
      </c>
      <c r="EP89" s="128">
        <v>3</v>
      </c>
      <c r="EQ89" s="128">
        <v>3</v>
      </c>
      <c r="ER89" s="128">
        <v>3</v>
      </c>
      <c r="ES89" s="128">
        <v>1817576</v>
      </c>
      <c r="ET89" s="128">
        <v>1356400</v>
      </c>
      <c r="FO89" s="128">
        <v>6</v>
      </c>
      <c r="FP89" s="128">
        <v>1.7</v>
      </c>
      <c r="FQ89" s="128">
        <v>1.7</v>
      </c>
      <c r="FR89" s="128">
        <v>898964</v>
      </c>
      <c r="FS89" s="128">
        <v>670869</v>
      </c>
      <c r="KG89" s="128">
        <v>0</v>
      </c>
      <c r="KI89" s="128">
        <v>3.4</v>
      </c>
      <c r="KJ89" s="128">
        <v>0</v>
      </c>
      <c r="KK89" s="128">
        <v>0</v>
      </c>
      <c r="KL89" s="128">
        <v>0</v>
      </c>
      <c r="KM89" s="128">
        <v>3.4</v>
      </c>
      <c r="KN89" s="128">
        <v>2999998</v>
      </c>
      <c r="KO89" s="128">
        <v>2238805</v>
      </c>
      <c r="KP89" s="128">
        <v>2238805</v>
      </c>
      <c r="KT89" s="128">
        <v>0</v>
      </c>
      <c r="KU89" s="128">
        <v>0</v>
      </c>
      <c r="KV89" s="128">
        <v>0</v>
      </c>
      <c r="KZ89" s="128">
        <v>0</v>
      </c>
      <c r="LA89" s="128">
        <v>0</v>
      </c>
      <c r="LB89" s="128">
        <v>0</v>
      </c>
      <c r="LF89" s="128">
        <v>0</v>
      </c>
      <c r="LG89" s="128">
        <v>0</v>
      </c>
      <c r="LH89" s="128">
        <v>0</v>
      </c>
      <c r="LL89" s="128">
        <v>0</v>
      </c>
      <c r="LM89" s="128">
        <v>0</v>
      </c>
      <c r="LN89" s="128">
        <v>0</v>
      </c>
      <c r="LR89" s="128">
        <v>18000</v>
      </c>
      <c r="LS89" s="128">
        <v>0</v>
      </c>
      <c r="LT89" s="128">
        <v>0</v>
      </c>
      <c r="LX89" s="128">
        <v>130000</v>
      </c>
      <c r="LY89" s="128">
        <v>0</v>
      </c>
      <c r="LZ89" s="128">
        <v>0</v>
      </c>
      <c r="MD89" s="128">
        <v>5000</v>
      </c>
      <c r="ME89" s="128">
        <v>0</v>
      </c>
      <c r="MF89" s="128">
        <v>0</v>
      </c>
      <c r="MJ89" s="128">
        <v>10000</v>
      </c>
      <c r="MK89" s="128">
        <v>0</v>
      </c>
      <c r="ML89" s="128">
        <v>0</v>
      </c>
      <c r="MP89" s="128">
        <v>15000</v>
      </c>
      <c r="MQ89" s="128">
        <v>0</v>
      </c>
      <c r="MR89" s="128">
        <v>0</v>
      </c>
      <c r="MV89" s="128">
        <v>130000</v>
      </c>
      <c r="MW89" s="128">
        <v>0</v>
      </c>
      <c r="MX89" s="128">
        <v>0</v>
      </c>
      <c r="NB89" s="128">
        <v>10000</v>
      </c>
      <c r="NC89" s="128">
        <v>0</v>
      </c>
      <c r="ND89" s="128">
        <v>0</v>
      </c>
      <c r="NH89" s="128">
        <v>0</v>
      </c>
      <c r="NI89" s="128">
        <v>0</v>
      </c>
      <c r="NJ89" s="128">
        <v>0</v>
      </c>
      <c r="NN89" s="128">
        <v>5000</v>
      </c>
      <c r="NO89" s="128">
        <v>0</v>
      </c>
      <c r="NP89" s="128">
        <v>0</v>
      </c>
      <c r="NT89" s="128">
        <v>5000</v>
      </c>
      <c r="NU89" s="128">
        <v>0</v>
      </c>
      <c r="NV89" s="128">
        <v>0</v>
      </c>
      <c r="NZ89" s="128">
        <v>30000</v>
      </c>
      <c r="OA89" s="128">
        <v>0</v>
      </c>
      <c r="OB89" s="128">
        <v>0</v>
      </c>
      <c r="OF89" s="128">
        <v>3000</v>
      </c>
      <c r="OG89" s="128">
        <v>0</v>
      </c>
      <c r="OH89" s="128">
        <v>0</v>
      </c>
      <c r="OL89" s="128">
        <v>0</v>
      </c>
      <c r="OM89" s="128">
        <v>0</v>
      </c>
      <c r="ON89" s="128">
        <v>0</v>
      </c>
      <c r="OR89" s="128">
        <v>0</v>
      </c>
      <c r="OS89" s="128">
        <v>0</v>
      </c>
      <c r="OT89" s="128">
        <v>0</v>
      </c>
      <c r="OX89" s="128">
        <v>50000</v>
      </c>
      <c r="OY89" s="128">
        <v>0</v>
      </c>
      <c r="OZ89" s="128">
        <v>0</v>
      </c>
      <c r="PD89" s="128">
        <v>53000</v>
      </c>
      <c r="PE89" s="128">
        <v>0</v>
      </c>
      <c r="PF89" s="128">
        <v>0</v>
      </c>
      <c r="PJ89" s="128">
        <v>0</v>
      </c>
      <c r="PK89" s="128">
        <v>0</v>
      </c>
      <c r="PL89" s="128">
        <v>0</v>
      </c>
      <c r="PP89" s="128">
        <v>3463998</v>
      </c>
      <c r="PQ89" s="128">
        <v>2238805</v>
      </c>
      <c r="PR89" s="128">
        <v>2238805</v>
      </c>
      <c r="PS89" s="128">
        <v>100</v>
      </c>
      <c r="PT89" s="128">
        <v>100</v>
      </c>
      <c r="PX89" s="128">
        <v>956992</v>
      </c>
      <c r="PY89" s="128">
        <v>1039600</v>
      </c>
      <c r="PZ89" s="128">
        <v>2238805</v>
      </c>
      <c r="QA89" s="128">
        <v>0</v>
      </c>
      <c r="QB89" s="128">
        <v>0</v>
      </c>
      <c r="QC89" s="128">
        <v>0</v>
      </c>
      <c r="QD89" s="128">
        <v>0</v>
      </c>
      <c r="QE89" s="128">
        <v>0</v>
      </c>
      <c r="QF89" s="128">
        <v>0</v>
      </c>
      <c r="QG89" s="128">
        <v>1059484</v>
      </c>
      <c r="QH89" s="128">
        <v>1067747</v>
      </c>
      <c r="QI89" s="128">
        <v>305193</v>
      </c>
      <c r="QJ89" s="128">
        <v>914012</v>
      </c>
      <c r="QK89" s="128">
        <v>920000</v>
      </c>
      <c r="QL89" s="128">
        <v>920000</v>
      </c>
      <c r="QN89" s="128">
        <v>0</v>
      </c>
      <c r="QO89" s="128">
        <v>0</v>
      </c>
      <c r="QP89" s="128">
        <v>0</v>
      </c>
      <c r="RH89" s="128">
        <f t="shared" si="209"/>
        <v>2543998</v>
      </c>
      <c r="RI89" s="128">
        <v>0</v>
      </c>
      <c r="RM89" s="128" t="s">
        <v>220</v>
      </c>
      <c r="RU89" s="130"/>
      <c r="RV89" s="130"/>
      <c r="RW89" s="130"/>
      <c r="RX89" s="130"/>
      <c r="SF89" s="128">
        <f t="shared" si="119"/>
        <v>1576566</v>
      </c>
      <c r="SG89" s="131">
        <f t="shared" si="120"/>
        <v>3463998</v>
      </c>
      <c r="SH89" s="131">
        <f t="shared" si="121"/>
        <v>3463998</v>
      </c>
      <c r="SI89" s="131">
        <f t="shared" si="122"/>
        <v>2999998</v>
      </c>
      <c r="SJ89" s="132">
        <f t="shared" si="123"/>
        <v>2999998</v>
      </c>
      <c r="SK89" s="132">
        <f t="shared" si="124"/>
        <v>0</v>
      </c>
      <c r="SL89" s="132">
        <f t="shared" si="125"/>
        <v>0</v>
      </c>
      <c r="SM89" s="132">
        <f t="shared" si="126"/>
        <v>0</v>
      </c>
      <c r="SN89" s="131">
        <f t="shared" si="127"/>
        <v>464000</v>
      </c>
      <c r="SO89" s="131">
        <f t="shared" si="128"/>
        <v>18000</v>
      </c>
      <c r="SP89" s="132">
        <f t="shared" si="129"/>
        <v>0</v>
      </c>
      <c r="SQ89" s="132">
        <f t="shared" si="130"/>
        <v>18000</v>
      </c>
      <c r="SR89" s="132">
        <f t="shared" si="131"/>
        <v>130000</v>
      </c>
      <c r="SS89" s="132">
        <f t="shared" si="132"/>
        <v>5000</v>
      </c>
      <c r="ST89" s="132">
        <f t="shared" si="133"/>
        <v>10000</v>
      </c>
      <c r="SU89" s="132">
        <f t="shared" si="134"/>
        <v>15000</v>
      </c>
      <c r="SV89" s="131">
        <f t="shared" si="135"/>
        <v>233000</v>
      </c>
      <c r="SW89" s="132">
        <f t="shared" si="136"/>
        <v>130000</v>
      </c>
      <c r="SX89" s="132">
        <f t="shared" si="137"/>
        <v>10000</v>
      </c>
      <c r="SY89" s="132">
        <f t="shared" si="138"/>
        <v>0</v>
      </c>
      <c r="SZ89" s="132">
        <f t="shared" si="139"/>
        <v>5000</v>
      </c>
      <c r="TA89" s="132">
        <f t="shared" si="140"/>
        <v>5000</v>
      </c>
      <c r="TB89" s="132">
        <f t="shared" si="141"/>
        <v>30000</v>
      </c>
      <c r="TC89" s="132">
        <f t="shared" si="142"/>
        <v>3000</v>
      </c>
      <c r="TD89" s="132">
        <f t="shared" si="143"/>
        <v>0</v>
      </c>
      <c r="TE89" s="132">
        <f t="shared" si="144"/>
        <v>0</v>
      </c>
      <c r="TF89" s="132">
        <f t="shared" si="145"/>
        <v>50000</v>
      </c>
      <c r="TG89" s="132">
        <f t="shared" si="146"/>
        <v>53000</v>
      </c>
      <c r="TH89" s="132">
        <f t="shared" si="147"/>
        <v>0</v>
      </c>
      <c r="TI89" s="1"/>
      <c r="TJ89" s="131">
        <f t="shared" si="148"/>
        <v>2238805</v>
      </c>
      <c r="TK89" s="131">
        <f t="shared" si="149"/>
        <v>2238805</v>
      </c>
      <c r="TL89" s="131">
        <f t="shared" si="150"/>
        <v>2238805</v>
      </c>
      <c r="TM89" s="132">
        <f t="shared" si="151"/>
        <v>2238805</v>
      </c>
      <c r="TN89" s="132">
        <f t="shared" si="152"/>
        <v>0</v>
      </c>
      <c r="TO89" s="132">
        <f t="shared" si="153"/>
        <v>0</v>
      </c>
      <c r="TP89" s="132">
        <f t="shared" si="154"/>
        <v>0</v>
      </c>
      <c r="TQ89" s="131">
        <f t="shared" si="155"/>
        <v>0</v>
      </c>
      <c r="TR89" s="131">
        <f t="shared" si="156"/>
        <v>0</v>
      </c>
      <c r="TS89" s="132">
        <f t="shared" si="157"/>
        <v>0</v>
      </c>
      <c r="TT89" s="132">
        <f t="shared" si="158"/>
        <v>0</v>
      </c>
      <c r="TU89" s="132">
        <f t="shared" si="159"/>
        <v>0</v>
      </c>
      <c r="TV89" s="132">
        <f t="shared" si="160"/>
        <v>0</v>
      </c>
      <c r="TW89" s="132">
        <f t="shared" si="161"/>
        <v>0</v>
      </c>
      <c r="TX89" s="132">
        <f t="shared" si="162"/>
        <v>0</v>
      </c>
      <c r="TY89" s="131">
        <f t="shared" si="163"/>
        <v>0</v>
      </c>
      <c r="TZ89" s="132">
        <f t="shared" si="164"/>
        <v>0</v>
      </c>
      <c r="UA89" s="132">
        <f t="shared" si="165"/>
        <v>0</v>
      </c>
      <c r="UB89" s="132">
        <f t="shared" si="166"/>
        <v>0</v>
      </c>
      <c r="UC89" s="132">
        <f t="shared" si="167"/>
        <v>0</v>
      </c>
      <c r="UD89" s="132">
        <f t="shared" si="168"/>
        <v>0</v>
      </c>
      <c r="UE89" s="132">
        <f t="shared" si="169"/>
        <v>0</v>
      </c>
      <c r="UF89" s="132">
        <f t="shared" si="170"/>
        <v>0</v>
      </c>
      <c r="UG89" s="132">
        <f t="shared" si="171"/>
        <v>0</v>
      </c>
      <c r="UH89" s="132">
        <f t="shared" si="172"/>
        <v>0</v>
      </c>
      <c r="UI89" s="132">
        <f t="shared" si="173"/>
        <v>0</v>
      </c>
      <c r="UJ89" s="132">
        <f t="shared" si="174"/>
        <v>0</v>
      </c>
      <c r="UK89" s="132">
        <f t="shared" si="175"/>
        <v>0</v>
      </c>
      <c r="UL89" s="132">
        <f t="shared" si="210"/>
        <v>2238805</v>
      </c>
      <c r="UM89" s="131">
        <f t="shared" si="176"/>
        <v>2238805</v>
      </c>
      <c r="UN89" s="131">
        <f t="shared" si="177"/>
        <v>2238805</v>
      </c>
      <c r="UO89" s="131">
        <f t="shared" si="178"/>
        <v>2238805</v>
      </c>
      <c r="UP89" s="132">
        <f t="shared" si="179"/>
        <v>2238805</v>
      </c>
      <c r="UQ89" s="132">
        <f t="shared" si="180"/>
        <v>0</v>
      </c>
      <c r="UR89" s="132">
        <f t="shared" si="181"/>
        <v>0</v>
      </c>
      <c r="US89" s="132">
        <f t="shared" si="182"/>
        <v>0</v>
      </c>
      <c r="UT89" s="131">
        <f t="shared" si="183"/>
        <v>0</v>
      </c>
      <c r="UU89" s="131">
        <f t="shared" si="184"/>
        <v>0</v>
      </c>
      <c r="UV89" s="132">
        <f t="shared" si="185"/>
        <v>0</v>
      </c>
      <c r="UW89" s="132">
        <f t="shared" si="186"/>
        <v>0</v>
      </c>
      <c r="UX89" s="132">
        <f t="shared" si="187"/>
        <v>0</v>
      </c>
      <c r="UY89" s="132">
        <f t="shared" si="188"/>
        <v>0</v>
      </c>
      <c r="UZ89" s="132">
        <f t="shared" si="189"/>
        <v>0</v>
      </c>
      <c r="VA89" s="132">
        <f t="shared" si="190"/>
        <v>0</v>
      </c>
      <c r="VB89" s="131">
        <f t="shared" si="191"/>
        <v>0</v>
      </c>
      <c r="VC89" s="132">
        <f t="shared" si="192"/>
        <v>0</v>
      </c>
      <c r="VD89" s="132">
        <f t="shared" si="193"/>
        <v>0</v>
      </c>
      <c r="VE89" s="132">
        <f t="shared" si="194"/>
        <v>0</v>
      </c>
      <c r="VF89" s="132">
        <f t="shared" si="195"/>
        <v>0</v>
      </c>
      <c r="VG89" s="132">
        <f t="shared" si="196"/>
        <v>0</v>
      </c>
      <c r="VH89" s="132">
        <f t="shared" si="197"/>
        <v>0</v>
      </c>
      <c r="VI89" s="132">
        <f t="shared" si="198"/>
        <v>0</v>
      </c>
      <c r="VJ89" s="132">
        <f t="shared" si="199"/>
        <v>0</v>
      </c>
      <c r="VK89" s="132">
        <f t="shared" si="200"/>
        <v>0</v>
      </c>
      <c r="VL89" s="132">
        <f t="shared" si="201"/>
        <v>0</v>
      </c>
      <c r="VM89" s="132">
        <f t="shared" si="202"/>
        <v>0</v>
      </c>
      <c r="VN89" s="132">
        <f t="shared" si="203"/>
        <v>0</v>
      </c>
      <c r="VP89" s="845" t="str">
        <f>IFERROR(HLOOKUP(F89,'Hodnocení '!$C$1:$JH$5,2,FALSE),0)</f>
        <v>Domov V Podzámčí</v>
      </c>
      <c r="VQ89" s="838"/>
      <c r="VR89" s="845" t="str">
        <f t="shared" si="211"/>
        <v>Příspěvková organizace zřízená územním samosprávným celkem</v>
      </c>
      <c r="VS89" s="845" t="str">
        <f>IFERROR(HLOOKUP(F89,'Hodnocení '!$C$1:$JH$5,5,FALSE),0)</f>
        <v>PO KHK</v>
      </c>
      <c r="VT89" s="838">
        <f t="shared" si="212"/>
        <v>0</v>
      </c>
      <c r="VU89" s="838" t="str">
        <f t="shared" si="213"/>
        <v>PO KHK</v>
      </c>
      <c r="VV89" s="838">
        <f t="shared" si="214"/>
        <v>920000</v>
      </c>
      <c r="VW89" s="838">
        <f t="shared" si="215"/>
        <v>0</v>
      </c>
      <c r="VX89" s="838"/>
      <c r="VY89" s="838">
        <f t="shared" si="216"/>
        <v>0</v>
      </c>
      <c r="VZ89" s="838">
        <f t="shared" si="217"/>
        <v>2238805</v>
      </c>
      <c r="WA89" s="846">
        <f>IFERROR(HLOOKUP($F89,'Hodnocení '!$C$1:$JH$9,9,FALSE),0)</f>
        <v>2238805</v>
      </c>
      <c r="WB89" s="846">
        <f>IF(IFERROR(HLOOKUP($F89,'Hodnocení '!$C$1:$JH$13,13,FALSE),0)&gt;WA89,WA89,IFERROR(HLOOKUP($F89,'Hodnocení '!$C$1:$JH$13,13,FALSE),0))</f>
        <v>2148999.2969357027</v>
      </c>
      <c r="WC89" s="846">
        <f>IFERROR(HLOOKUP($F89,'Hodnocení '!$C$1:$JH$155,155,FALSE),0)</f>
        <v>1125730</v>
      </c>
      <c r="WD89" s="845"/>
      <c r="WE89" s="845"/>
      <c r="WF89" s="845" t="str">
        <f t="shared" si="204"/>
        <v>ANO</v>
      </c>
      <c r="WG89" s="849" t="str">
        <f t="shared" si="117"/>
        <v>Podpora služby je vyjádřena zařazením do sítě sociálních služeb v KHK a řešením financování služby</v>
      </c>
      <c r="WH89"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89" s="849" t="str">
        <f t="shared" si="117"/>
        <v>Návrh dotace je výsledkem projednání s ostatními zadavateli v rámci sítě služeb KHK</v>
      </c>
      <c r="WJ89" s="849" t="str">
        <f t="shared" si="117"/>
        <v>Bez komentáře</v>
      </c>
      <c r="WK89" s="31">
        <f t="shared" si="205"/>
        <v>0</v>
      </c>
      <c r="WL89" s="850" t="str">
        <f t="shared" si="206"/>
        <v>Případná úprava příspěvku zřizovatele bude řešena v návaznosti na vývoj služby</v>
      </c>
      <c r="WM89" s="849" t="str">
        <f t="shared" si="207"/>
        <v>V rámci sítě KHK se dlouhodobě řeší otázka navyšování úhrad a průběžně se monitoruje s vazbou na vykrytí vyrovnávací platby</v>
      </c>
      <c r="WN89" s="849">
        <f t="shared" si="208"/>
        <v>0</v>
      </c>
      <c r="WO89" s="849" t="str">
        <f t="shared" si="118"/>
        <v>bez komentáře</v>
      </c>
      <c r="WP89" s="849" t="str">
        <f t="shared" si="118"/>
        <v>bez komentáře</v>
      </c>
      <c r="WQ89" s="849" t="str">
        <f t="shared" si="118"/>
        <v>Konečná výše dotace z rozpočtu KHK bude řešena v návaznosti na řešení podílů jednotlivých zadavatelů.</v>
      </c>
      <c r="WR89" s="849" t="str">
        <f t="shared" si="118"/>
        <v>Konečná výše podpory ze stran obcí bude řešena v součinnosti s jednotlivými zadavateli v průběhu roku.</v>
      </c>
      <c r="WS89" s="849" t="str">
        <f t="shared" si="118"/>
        <v>bez komentáře</v>
      </c>
      <c r="WT89" s="849" t="str">
        <f t="shared" si="118"/>
        <v>bez komentáře</v>
      </c>
      <c r="WU89" s="845"/>
    </row>
    <row r="90" spans="1:619" s="128" customFormat="1" x14ac:dyDescent="0.25">
      <c r="A90" s="128" t="str">
        <f>VLOOKUP(F90,'Výpočet VP 2020'!$D$324:$I$588,6,FALSE)</f>
        <v>Je v síti</v>
      </c>
      <c r="B90" s="128" t="s">
        <v>519</v>
      </c>
      <c r="C90" s="128">
        <v>64809234</v>
      </c>
      <c r="D90" s="128" t="s">
        <v>520</v>
      </c>
      <c r="E90" s="128" t="s">
        <v>259</v>
      </c>
      <c r="F90" s="128">
        <v>3529182</v>
      </c>
      <c r="G90" s="128" t="s">
        <v>348</v>
      </c>
      <c r="H90" s="128" t="s">
        <v>218</v>
      </c>
      <c r="I90" s="128" t="s">
        <v>519</v>
      </c>
      <c r="J90" s="129">
        <v>39814</v>
      </c>
      <c r="L90" s="128" t="s">
        <v>220</v>
      </c>
      <c r="M90" s="128" t="s">
        <v>521</v>
      </c>
      <c r="N90" s="128">
        <v>48</v>
      </c>
      <c r="P90" s="128">
        <v>59</v>
      </c>
      <c r="Q90" s="128">
        <v>61</v>
      </c>
      <c r="R90" s="128">
        <v>62</v>
      </c>
      <c r="BL90" s="128" t="s">
        <v>351</v>
      </c>
      <c r="BM90" s="128" t="s">
        <v>325</v>
      </c>
      <c r="BN90" s="128" t="s">
        <v>352</v>
      </c>
      <c r="DA90" s="128">
        <v>0</v>
      </c>
      <c r="DB90" s="128">
        <v>0</v>
      </c>
      <c r="DC90" s="128">
        <v>0</v>
      </c>
      <c r="DD90" s="128">
        <v>0</v>
      </c>
      <c r="DE90" s="128">
        <v>0</v>
      </c>
      <c r="DF90" s="128">
        <v>6</v>
      </c>
      <c r="DG90" s="128">
        <v>18</v>
      </c>
      <c r="DH90" s="128">
        <v>18</v>
      </c>
      <c r="DI90" s="128">
        <v>6</v>
      </c>
      <c r="DJ90" s="128">
        <v>0</v>
      </c>
      <c r="DK90" s="128">
        <v>6</v>
      </c>
      <c r="DL90" s="128">
        <v>18</v>
      </c>
      <c r="DM90" s="128">
        <v>18</v>
      </c>
      <c r="DN90" s="128">
        <v>6</v>
      </c>
      <c r="DO90" s="128">
        <v>0</v>
      </c>
      <c r="DP90" s="128">
        <v>0</v>
      </c>
      <c r="DQ90" s="128">
        <v>48</v>
      </c>
      <c r="DR90" s="128">
        <v>48</v>
      </c>
      <c r="DS90" s="128">
        <v>0</v>
      </c>
      <c r="DT90" s="128">
        <v>0</v>
      </c>
      <c r="DU90" s="128">
        <v>0</v>
      </c>
      <c r="DV90" s="128">
        <v>0</v>
      </c>
      <c r="DW90" s="128">
        <v>0</v>
      </c>
      <c r="DX90" s="128">
        <v>6</v>
      </c>
      <c r="DY90" s="128">
        <v>18</v>
      </c>
      <c r="DZ90" s="128">
        <v>18</v>
      </c>
      <c r="EA90" s="128">
        <v>6</v>
      </c>
      <c r="EB90" s="128">
        <v>0</v>
      </c>
      <c r="EC90" s="128">
        <v>6</v>
      </c>
      <c r="ED90" s="128">
        <v>18</v>
      </c>
      <c r="EE90" s="128">
        <v>18</v>
      </c>
      <c r="EF90" s="128">
        <v>6</v>
      </c>
      <c r="EG90" s="128">
        <v>0</v>
      </c>
      <c r="EH90" s="128">
        <v>0</v>
      </c>
      <c r="EI90" s="128">
        <v>48</v>
      </c>
      <c r="EJ90" s="128">
        <v>48</v>
      </c>
      <c r="EK90" s="128">
        <v>4</v>
      </c>
      <c r="EL90" s="128">
        <v>2</v>
      </c>
      <c r="EM90" s="128">
        <v>2</v>
      </c>
      <c r="EN90" s="128">
        <v>1060672</v>
      </c>
      <c r="EO90" s="128">
        <v>791546</v>
      </c>
      <c r="EP90" s="128">
        <v>11</v>
      </c>
      <c r="EQ90" s="128">
        <v>10</v>
      </c>
      <c r="ER90" s="128">
        <v>10</v>
      </c>
      <c r="ES90" s="128">
        <v>5685692</v>
      </c>
      <c r="ET90" s="128">
        <v>4243054</v>
      </c>
      <c r="EU90" s="128">
        <v>7</v>
      </c>
      <c r="EV90" s="128">
        <v>6.3</v>
      </c>
      <c r="EW90" s="128">
        <v>7</v>
      </c>
      <c r="EX90" s="128">
        <v>4407363</v>
      </c>
      <c r="EY90" s="128">
        <v>0</v>
      </c>
      <c r="FO90" s="128">
        <v>17</v>
      </c>
      <c r="FP90" s="128">
        <v>11.8</v>
      </c>
      <c r="FQ90" s="128">
        <v>0</v>
      </c>
      <c r="FR90" s="128">
        <v>4741437</v>
      </c>
      <c r="FS90" s="128">
        <v>3538386</v>
      </c>
      <c r="IS90" s="128">
        <v>1</v>
      </c>
      <c r="IT90" s="128">
        <v>240</v>
      </c>
      <c r="IU90" s="128">
        <v>0.115</v>
      </c>
      <c r="IV90" s="128">
        <v>26400</v>
      </c>
      <c r="IW90" s="128">
        <v>26400</v>
      </c>
      <c r="KG90" s="128">
        <v>0</v>
      </c>
      <c r="KI90" s="128">
        <v>18.3</v>
      </c>
      <c r="KJ90" s="128">
        <v>0</v>
      </c>
      <c r="KK90" s="128">
        <v>0</v>
      </c>
      <c r="KL90" s="128">
        <v>0</v>
      </c>
      <c r="KM90" s="128">
        <v>18.3</v>
      </c>
      <c r="KN90" s="128">
        <v>15895164</v>
      </c>
      <c r="KO90" s="128">
        <v>8572986</v>
      </c>
      <c r="KP90" s="128">
        <v>8572986</v>
      </c>
      <c r="KT90" s="128">
        <v>0</v>
      </c>
      <c r="KU90" s="128">
        <v>0</v>
      </c>
      <c r="KV90" s="128">
        <v>0</v>
      </c>
      <c r="KZ90" s="128">
        <v>26400</v>
      </c>
      <c r="LA90" s="128">
        <v>26400</v>
      </c>
      <c r="LB90" s="128">
        <v>26400</v>
      </c>
      <c r="LF90" s="128">
        <v>0</v>
      </c>
      <c r="LG90" s="128">
        <v>0</v>
      </c>
      <c r="LH90" s="128">
        <v>0</v>
      </c>
      <c r="LL90" s="128">
        <v>0</v>
      </c>
      <c r="LM90" s="128">
        <v>0</v>
      </c>
      <c r="LN90" s="128">
        <v>0</v>
      </c>
      <c r="LR90" s="128">
        <v>200000</v>
      </c>
      <c r="LS90" s="128">
        <v>0</v>
      </c>
      <c r="LT90" s="128">
        <v>0</v>
      </c>
      <c r="LX90" s="128">
        <v>1600000</v>
      </c>
      <c r="LY90" s="128">
        <v>0</v>
      </c>
      <c r="LZ90" s="128">
        <v>0</v>
      </c>
      <c r="MD90" s="128">
        <v>20000</v>
      </c>
      <c r="ME90" s="128">
        <v>0</v>
      </c>
      <c r="MF90" s="128">
        <v>0</v>
      </c>
      <c r="MJ90" s="128">
        <v>50000</v>
      </c>
      <c r="MK90" s="128">
        <v>0</v>
      </c>
      <c r="ML90" s="128">
        <v>0</v>
      </c>
      <c r="MP90" s="128">
        <v>800000</v>
      </c>
      <c r="MQ90" s="128">
        <v>0</v>
      </c>
      <c r="MR90" s="128">
        <v>0</v>
      </c>
      <c r="MV90" s="128">
        <v>900000</v>
      </c>
      <c r="MW90" s="128">
        <v>0</v>
      </c>
      <c r="MX90" s="128">
        <v>0</v>
      </c>
      <c r="NB90" s="128">
        <v>50000</v>
      </c>
      <c r="NC90" s="128">
        <v>0</v>
      </c>
      <c r="ND90" s="128">
        <v>0</v>
      </c>
      <c r="NH90" s="128">
        <v>0</v>
      </c>
      <c r="NI90" s="128">
        <v>0</v>
      </c>
      <c r="NJ90" s="128">
        <v>0</v>
      </c>
      <c r="NN90" s="128">
        <v>12000</v>
      </c>
      <c r="NO90" s="128">
        <v>0</v>
      </c>
      <c r="NP90" s="128">
        <v>0</v>
      </c>
      <c r="NT90" s="128">
        <v>30000</v>
      </c>
      <c r="NU90" s="128">
        <v>0</v>
      </c>
      <c r="NV90" s="128">
        <v>0</v>
      </c>
      <c r="NZ90" s="128">
        <v>300000</v>
      </c>
      <c r="OA90" s="128">
        <v>0</v>
      </c>
      <c r="OB90" s="128">
        <v>0</v>
      </c>
      <c r="OF90" s="128">
        <v>1000</v>
      </c>
      <c r="OG90" s="128">
        <v>0</v>
      </c>
      <c r="OH90" s="128">
        <v>0</v>
      </c>
      <c r="OL90" s="128">
        <v>0</v>
      </c>
      <c r="OM90" s="128">
        <v>0</v>
      </c>
      <c r="ON90" s="128">
        <v>0</v>
      </c>
      <c r="OR90" s="128">
        <v>0</v>
      </c>
      <c r="OS90" s="128">
        <v>0</v>
      </c>
      <c r="OT90" s="128">
        <v>0</v>
      </c>
      <c r="OX90" s="128">
        <v>700000</v>
      </c>
      <c r="OY90" s="128">
        <v>0</v>
      </c>
      <c r="OZ90" s="128">
        <v>0</v>
      </c>
      <c r="PD90" s="128">
        <v>579000</v>
      </c>
      <c r="PE90" s="128">
        <v>0</v>
      </c>
      <c r="PF90" s="128">
        <v>0</v>
      </c>
      <c r="PJ90" s="128">
        <v>0</v>
      </c>
      <c r="PK90" s="128">
        <v>0</v>
      </c>
      <c r="PL90" s="128">
        <v>0</v>
      </c>
      <c r="PP90" s="128">
        <v>21163564</v>
      </c>
      <c r="PQ90" s="128">
        <v>8599386</v>
      </c>
      <c r="PR90" s="128">
        <v>8599386</v>
      </c>
      <c r="PS90" s="128">
        <v>100</v>
      </c>
      <c r="PT90" s="128">
        <v>100</v>
      </c>
      <c r="PV90" s="128">
        <v>13601646</v>
      </c>
      <c r="PX90" s="128">
        <v>4994548</v>
      </c>
      <c r="PY90" s="128">
        <v>5364812</v>
      </c>
      <c r="PZ90" s="128">
        <v>8599386</v>
      </c>
      <c r="QA90" s="128">
        <v>0</v>
      </c>
      <c r="QB90" s="128">
        <v>0</v>
      </c>
      <c r="QC90" s="128">
        <v>0</v>
      </c>
      <c r="QD90" s="128">
        <v>0</v>
      </c>
      <c r="QE90" s="128">
        <v>0</v>
      </c>
      <c r="QF90" s="128">
        <v>0</v>
      </c>
      <c r="QG90" s="128">
        <v>3687865</v>
      </c>
      <c r="QH90" s="128">
        <v>1696865</v>
      </c>
      <c r="QI90" s="128">
        <v>1264178</v>
      </c>
      <c r="QJ90" s="128">
        <v>9478049</v>
      </c>
      <c r="QK90" s="128">
        <v>10000000</v>
      </c>
      <c r="QL90" s="128">
        <v>10000000</v>
      </c>
      <c r="QN90" s="128">
        <v>1109352</v>
      </c>
      <c r="QO90" s="128">
        <v>1200000</v>
      </c>
      <c r="QP90" s="128">
        <v>1300000</v>
      </c>
      <c r="RH90" s="128">
        <f t="shared" si="209"/>
        <v>9863564</v>
      </c>
      <c r="RI90" s="128">
        <v>0</v>
      </c>
      <c r="RM90" s="128" t="s">
        <v>220</v>
      </c>
      <c r="RU90" s="130"/>
      <c r="RV90" s="130"/>
      <c r="RW90" s="130"/>
      <c r="RX90" s="130"/>
      <c r="SF90" s="128">
        <f t="shared" si="119"/>
        <v>3529182</v>
      </c>
      <c r="SG90" s="131">
        <f t="shared" si="120"/>
        <v>21163564</v>
      </c>
      <c r="SH90" s="131">
        <f t="shared" si="121"/>
        <v>21163564</v>
      </c>
      <c r="SI90" s="131">
        <f t="shared" si="122"/>
        <v>15921564</v>
      </c>
      <c r="SJ90" s="132">
        <f t="shared" si="123"/>
        <v>15895164</v>
      </c>
      <c r="SK90" s="132">
        <f t="shared" si="124"/>
        <v>0</v>
      </c>
      <c r="SL90" s="132">
        <f t="shared" si="125"/>
        <v>26400</v>
      </c>
      <c r="SM90" s="132">
        <f t="shared" si="126"/>
        <v>0</v>
      </c>
      <c r="SN90" s="131">
        <f t="shared" si="127"/>
        <v>5242000</v>
      </c>
      <c r="SO90" s="131">
        <f t="shared" si="128"/>
        <v>200000</v>
      </c>
      <c r="SP90" s="132">
        <f t="shared" si="129"/>
        <v>0</v>
      </c>
      <c r="SQ90" s="132">
        <f t="shared" si="130"/>
        <v>200000</v>
      </c>
      <c r="SR90" s="132">
        <f t="shared" si="131"/>
        <v>1600000</v>
      </c>
      <c r="SS90" s="132">
        <f t="shared" si="132"/>
        <v>20000</v>
      </c>
      <c r="ST90" s="132">
        <f t="shared" si="133"/>
        <v>50000</v>
      </c>
      <c r="SU90" s="132">
        <f t="shared" si="134"/>
        <v>800000</v>
      </c>
      <c r="SV90" s="131">
        <f t="shared" si="135"/>
        <v>1993000</v>
      </c>
      <c r="SW90" s="132">
        <f t="shared" si="136"/>
        <v>900000</v>
      </c>
      <c r="SX90" s="132">
        <f t="shared" si="137"/>
        <v>50000</v>
      </c>
      <c r="SY90" s="132">
        <f t="shared" si="138"/>
        <v>0</v>
      </c>
      <c r="SZ90" s="132">
        <f t="shared" si="139"/>
        <v>12000</v>
      </c>
      <c r="TA90" s="132">
        <f t="shared" si="140"/>
        <v>30000</v>
      </c>
      <c r="TB90" s="132">
        <f t="shared" si="141"/>
        <v>300000</v>
      </c>
      <c r="TC90" s="132">
        <f t="shared" si="142"/>
        <v>1000</v>
      </c>
      <c r="TD90" s="132">
        <f t="shared" si="143"/>
        <v>0</v>
      </c>
      <c r="TE90" s="132">
        <f t="shared" si="144"/>
        <v>0</v>
      </c>
      <c r="TF90" s="132">
        <f t="shared" si="145"/>
        <v>700000</v>
      </c>
      <c r="TG90" s="132">
        <f t="shared" si="146"/>
        <v>579000</v>
      </c>
      <c r="TH90" s="132">
        <f t="shared" si="147"/>
        <v>0</v>
      </c>
      <c r="TI90" s="1"/>
      <c r="TJ90" s="131">
        <f t="shared" si="148"/>
        <v>8599386</v>
      </c>
      <c r="TK90" s="131">
        <f t="shared" si="149"/>
        <v>8599386</v>
      </c>
      <c r="TL90" s="131">
        <f t="shared" si="150"/>
        <v>8599386</v>
      </c>
      <c r="TM90" s="132">
        <f t="shared" si="151"/>
        <v>8572986</v>
      </c>
      <c r="TN90" s="132">
        <f t="shared" si="152"/>
        <v>0</v>
      </c>
      <c r="TO90" s="132">
        <f t="shared" si="153"/>
        <v>26400</v>
      </c>
      <c r="TP90" s="132">
        <f t="shared" si="154"/>
        <v>0</v>
      </c>
      <c r="TQ90" s="131">
        <f t="shared" si="155"/>
        <v>0</v>
      </c>
      <c r="TR90" s="131">
        <f t="shared" si="156"/>
        <v>0</v>
      </c>
      <c r="TS90" s="132">
        <f t="shared" si="157"/>
        <v>0</v>
      </c>
      <c r="TT90" s="132">
        <f t="shared" si="158"/>
        <v>0</v>
      </c>
      <c r="TU90" s="132">
        <f t="shared" si="159"/>
        <v>0</v>
      </c>
      <c r="TV90" s="132">
        <f t="shared" si="160"/>
        <v>0</v>
      </c>
      <c r="TW90" s="132">
        <f t="shared" si="161"/>
        <v>0</v>
      </c>
      <c r="TX90" s="132">
        <f t="shared" si="162"/>
        <v>0</v>
      </c>
      <c r="TY90" s="131">
        <f t="shared" si="163"/>
        <v>0</v>
      </c>
      <c r="TZ90" s="132">
        <f t="shared" si="164"/>
        <v>0</v>
      </c>
      <c r="UA90" s="132">
        <f t="shared" si="165"/>
        <v>0</v>
      </c>
      <c r="UB90" s="132">
        <f t="shared" si="166"/>
        <v>0</v>
      </c>
      <c r="UC90" s="132">
        <f t="shared" si="167"/>
        <v>0</v>
      </c>
      <c r="UD90" s="132">
        <f t="shared" si="168"/>
        <v>0</v>
      </c>
      <c r="UE90" s="132">
        <f t="shared" si="169"/>
        <v>0</v>
      </c>
      <c r="UF90" s="132">
        <f t="shared" si="170"/>
        <v>0</v>
      </c>
      <c r="UG90" s="132">
        <f t="shared" si="171"/>
        <v>0</v>
      </c>
      <c r="UH90" s="132">
        <f t="shared" si="172"/>
        <v>0</v>
      </c>
      <c r="UI90" s="132">
        <f t="shared" si="173"/>
        <v>0</v>
      </c>
      <c r="UJ90" s="132">
        <f t="shared" si="174"/>
        <v>0</v>
      </c>
      <c r="UK90" s="132">
        <f t="shared" si="175"/>
        <v>0</v>
      </c>
      <c r="UL90" s="132">
        <f t="shared" si="210"/>
        <v>8599386</v>
      </c>
      <c r="UM90" s="131">
        <f t="shared" si="176"/>
        <v>8599386</v>
      </c>
      <c r="UN90" s="131">
        <f t="shared" si="177"/>
        <v>8599386</v>
      </c>
      <c r="UO90" s="131">
        <f t="shared" si="178"/>
        <v>8599386</v>
      </c>
      <c r="UP90" s="132">
        <f t="shared" si="179"/>
        <v>8572986</v>
      </c>
      <c r="UQ90" s="132">
        <f t="shared" si="180"/>
        <v>0</v>
      </c>
      <c r="UR90" s="132">
        <f t="shared" si="181"/>
        <v>26400</v>
      </c>
      <c r="US90" s="132">
        <f t="shared" si="182"/>
        <v>0</v>
      </c>
      <c r="UT90" s="131">
        <f t="shared" si="183"/>
        <v>0</v>
      </c>
      <c r="UU90" s="131">
        <f t="shared" si="184"/>
        <v>0</v>
      </c>
      <c r="UV90" s="132">
        <f t="shared" si="185"/>
        <v>0</v>
      </c>
      <c r="UW90" s="132">
        <f t="shared" si="186"/>
        <v>0</v>
      </c>
      <c r="UX90" s="132">
        <f t="shared" si="187"/>
        <v>0</v>
      </c>
      <c r="UY90" s="132">
        <f t="shared" si="188"/>
        <v>0</v>
      </c>
      <c r="UZ90" s="132">
        <f t="shared" si="189"/>
        <v>0</v>
      </c>
      <c r="VA90" s="132">
        <f t="shared" si="190"/>
        <v>0</v>
      </c>
      <c r="VB90" s="131">
        <f t="shared" si="191"/>
        <v>0</v>
      </c>
      <c r="VC90" s="132">
        <f t="shared" si="192"/>
        <v>0</v>
      </c>
      <c r="VD90" s="132">
        <f t="shared" si="193"/>
        <v>0</v>
      </c>
      <c r="VE90" s="132">
        <f t="shared" si="194"/>
        <v>0</v>
      </c>
      <c r="VF90" s="132">
        <f t="shared" si="195"/>
        <v>0</v>
      </c>
      <c r="VG90" s="132">
        <f t="shared" si="196"/>
        <v>0</v>
      </c>
      <c r="VH90" s="132">
        <f t="shared" si="197"/>
        <v>0</v>
      </c>
      <c r="VI90" s="132">
        <f t="shared" si="198"/>
        <v>0</v>
      </c>
      <c r="VJ90" s="132">
        <f t="shared" si="199"/>
        <v>0</v>
      </c>
      <c r="VK90" s="132">
        <f t="shared" si="200"/>
        <v>0</v>
      </c>
      <c r="VL90" s="132">
        <f t="shared" si="201"/>
        <v>0</v>
      </c>
      <c r="VM90" s="132">
        <f t="shared" si="202"/>
        <v>0</v>
      </c>
      <c r="VN90" s="132">
        <f t="shared" si="203"/>
        <v>0</v>
      </c>
      <c r="VP90" s="845" t="str">
        <f>IFERROR(HLOOKUP(F90,'Hodnocení '!$C$1:$JH$5,2,FALSE),0)</f>
        <v>Domov V Podzámčí</v>
      </c>
      <c r="VQ90" s="838"/>
      <c r="VR90" s="845" t="str">
        <f t="shared" si="211"/>
        <v>Příspěvková organizace zřízená územním samosprávným celkem</v>
      </c>
      <c r="VS90" s="845" t="str">
        <f>IFERROR(HLOOKUP(F90,'Hodnocení '!$C$1:$JH$5,5,FALSE),0)</f>
        <v>PO KHK</v>
      </c>
      <c r="VT90" s="838">
        <f t="shared" si="212"/>
        <v>0</v>
      </c>
      <c r="VU90" s="838" t="str">
        <f t="shared" si="213"/>
        <v>PO KHK</v>
      </c>
      <c r="VV90" s="838">
        <f t="shared" si="214"/>
        <v>10000000</v>
      </c>
      <c r="VW90" s="838">
        <f t="shared" si="215"/>
        <v>1300000</v>
      </c>
      <c r="VX90" s="838"/>
      <c r="VY90" s="838">
        <f t="shared" si="216"/>
        <v>0</v>
      </c>
      <c r="VZ90" s="838">
        <f t="shared" si="217"/>
        <v>8599386</v>
      </c>
      <c r="WA90" s="846">
        <f>IFERROR(HLOOKUP($F90,'Hodnocení '!$C$1:$JH$9,9,FALSE),0)</f>
        <v>8599386</v>
      </c>
      <c r="WB90" s="846">
        <f>IF(IFERROR(HLOOKUP($F90,'Hodnocení '!$C$1:$JH$13,13,FALSE),0)&gt;WA90,WA90,IFERROR(HLOOKUP($F90,'Hodnocení '!$C$1:$JH$13,13,FALSE),0))</f>
        <v>8599386</v>
      </c>
      <c r="WC90" s="846">
        <f>IFERROR(HLOOKUP($F90,'Hodnocení '!$C$1:$JH$155,155,FALSE),0)</f>
        <v>5685100</v>
      </c>
      <c r="WD90" s="845"/>
      <c r="WE90" s="845"/>
      <c r="WF90" s="845" t="str">
        <f t="shared" si="204"/>
        <v>ANO</v>
      </c>
      <c r="WG90" s="849" t="str">
        <f t="shared" si="117"/>
        <v>Podpora služby je vyjádřena zařazením do sítě sociálních služeb v KHK a řešením financování služby</v>
      </c>
      <c r="WH90"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90" s="849" t="str">
        <f t="shared" si="117"/>
        <v>Návrh dotace je výsledkem projednání s ostatními zadavateli v rámci sítě služeb KHK</v>
      </c>
      <c r="WJ90" s="849" t="str">
        <f t="shared" si="117"/>
        <v>Bez komentáře</v>
      </c>
      <c r="WK90" s="31">
        <f t="shared" si="205"/>
        <v>0</v>
      </c>
      <c r="WL90" s="850" t="str">
        <f t="shared" si="206"/>
        <v>Případná úprava příspěvku zřizovatele bude řešena v návaznosti na vývoj služby</v>
      </c>
      <c r="WM90" s="849" t="str">
        <f t="shared" si="207"/>
        <v>V rámci sítě KHK se dlouhodobě řeší otázka navyšování úhrad a průběžně se monitoruje s vazbou na vykrytí vyrovnávací platby</v>
      </c>
      <c r="WN90" s="849" t="str">
        <f t="shared" si="208"/>
        <v>Otázka výběru od zdravotních pojišťoven je předmětem procesu, který probíhá ve formě jednání se ZP a organizacemi</v>
      </c>
      <c r="WO90" s="849" t="str">
        <f t="shared" si="118"/>
        <v>bez komentáře</v>
      </c>
      <c r="WP90" s="849" t="str">
        <f t="shared" si="118"/>
        <v>bez komentáře</v>
      </c>
      <c r="WQ90" s="849" t="str">
        <f t="shared" si="118"/>
        <v>Konečná výše dotace z rozpočtu KHK bude řešena v návaznosti na řešení podílů jednotlivých zadavatelů.</v>
      </c>
      <c r="WR90" s="849" t="str">
        <f t="shared" si="118"/>
        <v>Konečná výše podpory ze stran obcí bude řešena v součinnosti s jednotlivými zadavateli v průběhu roku.</v>
      </c>
      <c r="WS90" s="849" t="str">
        <f t="shared" si="118"/>
        <v>bez komentáře</v>
      </c>
      <c r="WT90" s="849" t="str">
        <f t="shared" si="118"/>
        <v>bez komentáře</v>
      </c>
      <c r="WU90" s="845"/>
    </row>
    <row r="91" spans="1:619" s="128" customFormat="1" x14ac:dyDescent="0.25">
      <c r="A91" s="128" t="str">
        <f>VLOOKUP(F91,'Výpočet VP 2020'!$D$324:$I$588,6,FALSE)</f>
        <v>Je v síti</v>
      </c>
      <c r="B91" s="128" t="s">
        <v>519</v>
      </c>
      <c r="C91" s="128">
        <v>64809234</v>
      </c>
      <c r="D91" s="128" t="s">
        <v>520</v>
      </c>
      <c r="E91" s="128" t="s">
        <v>259</v>
      </c>
      <c r="F91" s="128">
        <v>5638901</v>
      </c>
      <c r="G91" s="128" t="s">
        <v>392</v>
      </c>
      <c r="H91" s="128" t="s">
        <v>218</v>
      </c>
      <c r="I91" s="128" t="s">
        <v>519</v>
      </c>
      <c r="J91" s="129">
        <v>39814</v>
      </c>
      <c r="L91" s="128" t="s">
        <v>220</v>
      </c>
      <c r="M91" s="128" t="s">
        <v>522</v>
      </c>
      <c r="N91" s="128">
        <v>76</v>
      </c>
      <c r="P91" s="128">
        <v>102</v>
      </c>
      <c r="Q91" s="128">
        <v>101</v>
      </c>
      <c r="R91" s="128">
        <v>97</v>
      </c>
      <c r="BL91" s="128" t="s">
        <v>395</v>
      </c>
      <c r="BM91" s="128" t="s">
        <v>304</v>
      </c>
      <c r="BN91" s="128" t="s">
        <v>326</v>
      </c>
      <c r="DA91" s="128">
        <v>0</v>
      </c>
      <c r="DB91" s="128">
        <v>0</v>
      </c>
      <c r="DC91" s="128">
        <v>0</v>
      </c>
      <c r="DD91" s="128">
        <v>0</v>
      </c>
      <c r="DE91" s="128">
        <v>0</v>
      </c>
      <c r="DF91" s="128">
        <v>4</v>
      </c>
      <c r="DG91" s="128">
        <v>14</v>
      </c>
      <c r="DH91" s="128">
        <v>26</v>
      </c>
      <c r="DI91" s="128">
        <v>30</v>
      </c>
      <c r="DJ91" s="128">
        <v>2</v>
      </c>
      <c r="DK91" s="128">
        <v>4</v>
      </c>
      <c r="DL91" s="128">
        <v>14</v>
      </c>
      <c r="DM91" s="128">
        <v>26</v>
      </c>
      <c r="DN91" s="128">
        <v>30</v>
      </c>
      <c r="DO91" s="128">
        <v>2</v>
      </c>
      <c r="DP91" s="128">
        <v>0</v>
      </c>
      <c r="DQ91" s="128">
        <v>76</v>
      </c>
      <c r="DR91" s="128">
        <v>76</v>
      </c>
      <c r="DS91" s="128">
        <v>0</v>
      </c>
      <c r="DT91" s="128">
        <v>0</v>
      </c>
      <c r="DU91" s="128">
        <v>0</v>
      </c>
      <c r="DV91" s="128">
        <v>0</v>
      </c>
      <c r="DW91" s="128">
        <v>0</v>
      </c>
      <c r="DX91" s="128">
        <v>4</v>
      </c>
      <c r="DY91" s="128">
        <v>14</v>
      </c>
      <c r="DZ91" s="128">
        <v>26</v>
      </c>
      <c r="EA91" s="128">
        <v>30</v>
      </c>
      <c r="EB91" s="128">
        <v>2</v>
      </c>
      <c r="EC91" s="128">
        <v>4</v>
      </c>
      <c r="ED91" s="128">
        <v>14</v>
      </c>
      <c r="EE91" s="128">
        <v>26</v>
      </c>
      <c r="EF91" s="128">
        <v>30</v>
      </c>
      <c r="EG91" s="128">
        <v>2</v>
      </c>
      <c r="EH91" s="128">
        <v>0</v>
      </c>
      <c r="EI91" s="128">
        <v>76</v>
      </c>
      <c r="EJ91" s="128">
        <v>76</v>
      </c>
      <c r="EK91" s="128">
        <v>4</v>
      </c>
      <c r="EL91" s="128">
        <v>1.9</v>
      </c>
      <c r="EM91" s="128">
        <v>1.9</v>
      </c>
      <c r="EN91" s="128">
        <v>1115180</v>
      </c>
      <c r="EO91" s="128">
        <v>832224</v>
      </c>
      <c r="EP91" s="128">
        <v>23</v>
      </c>
      <c r="EQ91" s="128">
        <v>22.7</v>
      </c>
      <c r="ER91" s="128">
        <v>22.7</v>
      </c>
      <c r="ES91" s="128">
        <v>12814384</v>
      </c>
      <c r="ET91" s="128">
        <v>9562973</v>
      </c>
      <c r="EU91" s="128">
        <v>7</v>
      </c>
      <c r="EV91" s="128">
        <v>5.4</v>
      </c>
      <c r="EW91" s="128">
        <v>5.4</v>
      </c>
      <c r="EX91" s="128">
        <v>4182621</v>
      </c>
      <c r="EY91" s="128">
        <v>0</v>
      </c>
      <c r="FO91" s="128">
        <v>24</v>
      </c>
      <c r="FP91" s="128">
        <v>19</v>
      </c>
      <c r="FQ91" s="128">
        <v>19</v>
      </c>
      <c r="FR91" s="128">
        <v>8076097</v>
      </c>
      <c r="FS91" s="128">
        <v>6026938</v>
      </c>
      <c r="IS91" s="128">
        <v>3</v>
      </c>
      <c r="IT91" s="128">
        <v>800</v>
      </c>
      <c r="IU91" s="128">
        <v>0.38200000000000001</v>
      </c>
      <c r="IV91" s="128">
        <v>77000</v>
      </c>
      <c r="IW91" s="128">
        <v>77000</v>
      </c>
      <c r="KG91" s="128">
        <v>0</v>
      </c>
      <c r="KI91" s="128">
        <v>30</v>
      </c>
      <c r="KJ91" s="128">
        <v>0</v>
      </c>
      <c r="KK91" s="128">
        <v>0</v>
      </c>
      <c r="KL91" s="128">
        <v>0</v>
      </c>
      <c r="KM91" s="128">
        <v>30</v>
      </c>
      <c r="KN91" s="128">
        <v>26188282</v>
      </c>
      <c r="KO91" s="128">
        <v>16422135</v>
      </c>
      <c r="KP91" s="128">
        <v>16422135</v>
      </c>
      <c r="KT91" s="128">
        <v>0</v>
      </c>
      <c r="KU91" s="128">
        <v>0</v>
      </c>
      <c r="KV91" s="128">
        <v>0</v>
      </c>
      <c r="KZ91" s="128">
        <v>77000</v>
      </c>
      <c r="LA91" s="128">
        <v>77000</v>
      </c>
      <c r="LB91" s="128">
        <v>77000</v>
      </c>
      <c r="LF91" s="128">
        <v>0</v>
      </c>
      <c r="LG91" s="128">
        <v>0</v>
      </c>
      <c r="LH91" s="128">
        <v>0</v>
      </c>
      <c r="LL91" s="128">
        <v>0</v>
      </c>
      <c r="LM91" s="128">
        <v>0</v>
      </c>
      <c r="LN91" s="128">
        <v>0</v>
      </c>
      <c r="LR91" s="128">
        <v>400000</v>
      </c>
      <c r="LS91" s="128">
        <v>0</v>
      </c>
      <c r="LT91" s="128">
        <v>0</v>
      </c>
      <c r="LX91" s="128">
        <v>2700000</v>
      </c>
      <c r="LY91" s="128">
        <v>0</v>
      </c>
      <c r="LZ91" s="128">
        <v>0</v>
      </c>
      <c r="MD91" s="128">
        <v>50000</v>
      </c>
      <c r="ME91" s="128">
        <v>0</v>
      </c>
      <c r="MF91" s="128">
        <v>0</v>
      </c>
      <c r="MJ91" s="128">
        <v>60000</v>
      </c>
      <c r="MK91" s="128">
        <v>0</v>
      </c>
      <c r="ML91" s="128">
        <v>0</v>
      </c>
      <c r="MP91" s="128">
        <v>1200000</v>
      </c>
      <c r="MQ91" s="128">
        <v>0</v>
      </c>
      <c r="MR91" s="128">
        <v>0</v>
      </c>
      <c r="MV91" s="128">
        <v>1700000</v>
      </c>
      <c r="MW91" s="128">
        <v>0</v>
      </c>
      <c r="MX91" s="128">
        <v>0</v>
      </c>
      <c r="NB91" s="128">
        <v>100000</v>
      </c>
      <c r="NC91" s="128">
        <v>0</v>
      </c>
      <c r="ND91" s="128">
        <v>0</v>
      </c>
      <c r="NH91" s="128">
        <v>0</v>
      </c>
      <c r="NI91" s="128">
        <v>0</v>
      </c>
      <c r="NJ91" s="128">
        <v>0</v>
      </c>
      <c r="NN91" s="128">
        <v>21000</v>
      </c>
      <c r="NO91" s="128">
        <v>0</v>
      </c>
      <c r="NP91" s="128">
        <v>0</v>
      </c>
      <c r="NT91" s="128">
        <v>100000</v>
      </c>
      <c r="NU91" s="128">
        <v>0</v>
      </c>
      <c r="NV91" s="128">
        <v>0</v>
      </c>
      <c r="NZ91" s="128">
        <v>1000000</v>
      </c>
      <c r="OA91" s="128">
        <v>0</v>
      </c>
      <c r="OB91" s="128">
        <v>0</v>
      </c>
      <c r="OF91" s="128">
        <v>5000</v>
      </c>
      <c r="OG91" s="128">
        <v>0</v>
      </c>
      <c r="OH91" s="128">
        <v>0</v>
      </c>
      <c r="OL91" s="128">
        <v>0</v>
      </c>
      <c r="OM91" s="128">
        <v>0</v>
      </c>
      <c r="ON91" s="128">
        <v>0</v>
      </c>
      <c r="OR91" s="128">
        <v>0</v>
      </c>
      <c r="OS91" s="128">
        <v>0</v>
      </c>
      <c r="OT91" s="128">
        <v>0</v>
      </c>
      <c r="OX91" s="128">
        <v>1200000</v>
      </c>
      <c r="OY91" s="128">
        <v>0</v>
      </c>
      <c r="OZ91" s="128">
        <v>0</v>
      </c>
      <c r="PD91" s="128">
        <v>1200000</v>
      </c>
      <c r="PE91" s="128">
        <v>0</v>
      </c>
      <c r="PF91" s="128">
        <v>0</v>
      </c>
      <c r="PJ91" s="128">
        <v>0</v>
      </c>
      <c r="PK91" s="128">
        <v>0</v>
      </c>
      <c r="PL91" s="128">
        <v>0</v>
      </c>
      <c r="PP91" s="128">
        <v>36001282</v>
      </c>
      <c r="PQ91" s="128">
        <v>16499135</v>
      </c>
      <c r="PR91" s="128">
        <v>16499135</v>
      </c>
      <c r="PS91" s="128">
        <v>100</v>
      </c>
      <c r="PT91" s="128">
        <v>100</v>
      </c>
      <c r="PV91" s="128">
        <v>23525235</v>
      </c>
      <c r="PX91" s="128">
        <v>10540498</v>
      </c>
      <c r="PY91" s="128">
        <v>10608684</v>
      </c>
      <c r="PZ91" s="128">
        <v>16499135</v>
      </c>
      <c r="QA91" s="128">
        <v>0</v>
      </c>
      <c r="QB91" s="128">
        <v>0</v>
      </c>
      <c r="QC91" s="128">
        <v>0</v>
      </c>
      <c r="QD91" s="128">
        <v>0</v>
      </c>
      <c r="QE91" s="128">
        <v>0</v>
      </c>
      <c r="QF91" s="128">
        <v>0</v>
      </c>
      <c r="QG91" s="128">
        <v>3767173</v>
      </c>
      <c r="QH91" s="128">
        <v>4163280</v>
      </c>
      <c r="QI91" s="128">
        <v>1202147</v>
      </c>
      <c r="QJ91" s="128">
        <v>16873846</v>
      </c>
      <c r="QK91" s="128">
        <v>17500000</v>
      </c>
      <c r="QL91" s="128">
        <v>17000000</v>
      </c>
      <c r="QN91" s="128">
        <v>1317519</v>
      </c>
      <c r="QO91" s="128">
        <v>1300000</v>
      </c>
      <c r="QP91" s="128">
        <v>1300000</v>
      </c>
      <c r="RH91" s="128">
        <f t="shared" si="209"/>
        <v>17701282</v>
      </c>
      <c r="RI91" s="128">
        <v>0</v>
      </c>
      <c r="RM91" s="128" t="s">
        <v>220</v>
      </c>
      <c r="RU91" s="130"/>
      <c r="RV91" s="130"/>
      <c r="RW91" s="130"/>
      <c r="RX91" s="130"/>
      <c r="SF91" s="128">
        <f t="shared" si="119"/>
        <v>5638901</v>
      </c>
      <c r="SG91" s="131">
        <f t="shared" si="120"/>
        <v>36001282</v>
      </c>
      <c r="SH91" s="131">
        <f t="shared" si="121"/>
        <v>36001282</v>
      </c>
      <c r="SI91" s="131">
        <f t="shared" si="122"/>
        <v>26265282</v>
      </c>
      <c r="SJ91" s="132">
        <f t="shared" si="123"/>
        <v>26188282</v>
      </c>
      <c r="SK91" s="132">
        <f t="shared" si="124"/>
        <v>0</v>
      </c>
      <c r="SL91" s="132">
        <f t="shared" si="125"/>
        <v>77000</v>
      </c>
      <c r="SM91" s="132">
        <f t="shared" si="126"/>
        <v>0</v>
      </c>
      <c r="SN91" s="131">
        <f t="shared" si="127"/>
        <v>9736000</v>
      </c>
      <c r="SO91" s="131">
        <f t="shared" si="128"/>
        <v>400000</v>
      </c>
      <c r="SP91" s="132">
        <f t="shared" si="129"/>
        <v>0</v>
      </c>
      <c r="SQ91" s="132">
        <f t="shared" si="130"/>
        <v>400000</v>
      </c>
      <c r="SR91" s="132">
        <f t="shared" si="131"/>
        <v>2700000</v>
      </c>
      <c r="SS91" s="132">
        <f t="shared" si="132"/>
        <v>50000</v>
      </c>
      <c r="ST91" s="132">
        <f t="shared" si="133"/>
        <v>60000</v>
      </c>
      <c r="SU91" s="132">
        <f t="shared" si="134"/>
        <v>1200000</v>
      </c>
      <c r="SV91" s="131">
        <f t="shared" si="135"/>
        <v>4126000</v>
      </c>
      <c r="SW91" s="132">
        <f t="shared" si="136"/>
        <v>1700000</v>
      </c>
      <c r="SX91" s="132">
        <f t="shared" si="137"/>
        <v>100000</v>
      </c>
      <c r="SY91" s="132">
        <f t="shared" si="138"/>
        <v>0</v>
      </c>
      <c r="SZ91" s="132">
        <f t="shared" si="139"/>
        <v>21000</v>
      </c>
      <c r="TA91" s="132">
        <f t="shared" si="140"/>
        <v>100000</v>
      </c>
      <c r="TB91" s="132">
        <f t="shared" si="141"/>
        <v>1000000</v>
      </c>
      <c r="TC91" s="132">
        <f t="shared" si="142"/>
        <v>5000</v>
      </c>
      <c r="TD91" s="132">
        <f t="shared" si="143"/>
        <v>0</v>
      </c>
      <c r="TE91" s="132">
        <f t="shared" si="144"/>
        <v>0</v>
      </c>
      <c r="TF91" s="132">
        <f t="shared" si="145"/>
        <v>1200000</v>
      </c>
      <c r="TG91" s="132">
        <f t="shared" si="146"/>
        <v>1200000</v>
      </c>
      <c r="TH91" s="132">
        <f t="shared" si="147"/>
        <v>0</v>
      </c>
      <c r="TI91" s="1"/>
      <c r="TJ91" s="131">
        <f t="shared" si="148"/>
        <v>16499135</v>
      </c>
      <c r="TK91" s="131">
        <f t="shared" si="149"/>
        <v>16499135</v>
      </c>
      <c r="TL91" s="131">
        <f t="shared" si="150"/>
        <v>16499135</v>
      </c>
      <c r="TM91" s="132">
        <f t="shared" si="151"/>
        <v>16422135</v>
      </c>
      <c r="TN91" s="132">
        <f t="shared" si="152"/>
        <v>0</v>
      </c>
      <c r="TO91" s="132">
        <f t="shared" si="153"/>
        <v>77000</v>
      </c>
      <c r="TP91" s="132">
        <f t="shared" si="154"/>
        <v>0</v>
      </c>
      <c r="TQ91" s="131">
        <f t="shared" si="155"/>
        <v>0</v>
      </c>
      <c r="TR91" s="131">
        <f t="shared" si="156"/>
        <v>0</v>
      </c>
      <c r="TS91" s="132">
        <f t="shared" si="157"/>
        <v>0</v>
      </c>
      <c r="TT91" s="132">
        <f t="shared" si="158"/>
        <v>0</v>
      </c>
      <c r="TU91" s="132">
        <f t="shared" si="159"/>
        <v>0</v>
      </c>
      <c r="TV91" s="132">
        <f t="shared" si="160"/>
        <v>0</v>
      </c>
      <c r="TW91" s="132">
        <f t="shared" si="161"/>
        <v>0</v>
      </c>
      <c r="TX91" s="132">
        <f t="shared" si="162"/>
        <v>0</v>
      </c>
      <c r="TY91" s="131">
        <f t="shared" si="163"/>
        <v>0</v>
      </c>
      <c r="TZ91" s="132">
        <f t="shared" si="164"/>
        <v>0</v>
      </c>
      <c r="UA91" s="132">
        <f t="shared" si="165"/>
        <v>0</v>
      </c>
      <c r="UB91" s="132">
        <f t="shared" si="166"/>
        <v>0</v>
      </c>
      <c r="UC91" s="132">
        <f t="shared" si="167"/>
        <v>0</v>
      </c>
      <c r="UD91" s="132">
        <f t="shared" si="168"/>
        <v>0</v>
      </c>
      <c r="UE91" s="132">
        <f t="shared" si="169"/>
        <v>0</v>
      </c>
      <c r="UF91" s="132">
        <f t="shared" si="170"/>
        <v>0</v>
      </c>
      <c r="UG91" s="132">
        <f t="shared" si="171"/>
        <v>0</v>
      </c>
      <c r="UH91" s="132">
        <f t="shared" si="172"/>
        <v>0</v>
      </c>
      <c r="UI91" s="132">
        <f t="shared" si="173"/>
        <v>0</v>
      </c>
      <c r="UJ91" s="132">
        <f t="shared" si="174"/>
        <v>0</v>
      </c>
      <c r="UK91" s="132">
        <f t="shared" si="175"/>
        <v>0</v>
      </c>
      <c r="UL91" s="132">
        <f t="shared" si="210"/>
        <v>16499135</v>
      </c>
      <c r="UM91" s="131">
        <f t="shared" si="176"/>
        <v>16499135</v>
      </c>
      <c r="UN91" s="131">
        <f t="shared" si="177"/>
        <v>16499135</v>
      </c>
      <c r="UO91" s="131">
        <f t="shared" si="178"/>
        <v>16499135</v>
      </c>
      <c r="UP91" s="132">
        <f t="shared" si="179"/>
        <v>16422135</v>
      </c>
      <c r="UQ91" s="132">
        <f t="shared" si="180"/>
        <v>0</v>
      </c>
      <c r="UR91" s="132">
        <f t="shared" si="181"/>
        <v>77000</v>
      </c>
      <c r="US91" s="132">
        <f t="shared" si="182"/>
        <v>0</v>
      </c>
      <c r="UT91" s="131">
        <f t="shared" si="183"/>
        <v>0</v>
      </c>
      <c r="UU91" s="131">
        <f t="shared" si="184"/>
        <v>0</v>
      </c>
      <c r="UV91" s="132">
        <f t="shared" si="185"/>
        <v>0</v>
      </c>
      <c r="UW91" s="132">
        <f t="shared" si="186"/>
        <v>0</v>
      </c>
      <c r="UX91" s="132">
        <f t="shared" si="187"/>
        <v>0</v>
      </c>
      <c r="UY91" s="132">
        <f t="shared" si="188"/>
        <v>0</v>
      </c>
      <c r="UZ91" s="132">
        <f t="shared" si="189"/>
        <v>0</v>
      </c>
      <c r="VA91" s="132">
        <f t="shared" si="190"/>
        <v>0</v>
      </c>
      <c r="VB91" s="131">
        <f t="shared" si="191"/>
        <v>0</v>
      </c>
      <c r="VC91" s="132">
        <f t="shared" si="192"/>
        <v>0</v>
      </c>
      <c r="VD91" s="132">
        <f t="shared" si="193"/>
        <v>0</v>
      </c>
      <c r="VE91" s="132">
        <f t="shared" si="194"/>
        <v>0</v>
      </c>
      <c r="VF91" s="132">
        <f t="shared" si="195"/>
        <v>0</v>
      </c>
      <c r="VG91" s="132">
        <f t="shared" si="196"/>
        <v>0</v>
      </c>
      <c r="VH91" s="132">
        <f t="shared" si="197"/>
        <v>0</v>
      </c>
      <c r="VI91" s="132">
        <f t="shared" si="198"/>
        <v>0</v>
      </c>
      <c r="VJ91" s="132">
        <f t="shared" si="199"/>
        <v>0</v>
      </c>
      <c r="VK91" s="132">
        <f t="shared" si="200"/>
        <v>0</v>
      </c>
      <c r="VL91" s="132">
        <f t="shared" si="201"/>
        <v>0</v>
      </c>
      <c r="VM91" s="132">
        <f t="shared" si="202"/>
        <v>0</v>
      </c>
      <c r="VN91" s="132">
        <f t="shared" si="203"/>
        <v>0</v>
      </c>
      <c r="VP91" s="845" t="str">
        <f>IFERROR(HLOOKUP(F91,'Hodnocení '!$C$1:$JH$5,2,FALSE),0)</f>
        <v>Domov V Podzámčí</v>
      </c>
      <c r="VQ91" s="838"/>
      <c r="VR91" s="845" t="str">
        <f t="shared" si="211"/>
        <v>Příspěvková organizace zřízená územním samosprávným celkem</v>
      </c>
      <c r="VS91" s="845" t="str">
        <f>IFERROR(HLOOKUP(F91,'Hodnocení '!$C$1:$JH$5,5,FALSE),0)</f>
        <v>PO KHK</v>
      </c>
      <c r="VT91" s="838">
        <f t="shared" si="212"/>
        <v>0</v>
      </c>
      <c r="VU91" s="838" t="str">
        <f t="shared" si="213"/>
        <v>PO KHK</v>
      </c>
      <c r="VV91" s="838">
        <f t="shared" si="214"/>
        <v>17000000</v>
      </c>
      <c r="VW91" s="838">
        <f t="shared" si="215"/>
        <v>1300000</v>
      </c>
      <c r="VX91" s="838"/>
      <c r="VY91" s="838">
        <f t="shared" si="216"/>
        <v>0</v>
      </c>
      <c r="VZ91" s="838">
        <f t="shared" si="217"/>
        <v>16499135</v>
      </c>
      <c r="WA91" s="846">
        <f>IFERROR(HLOOKUP($F91,'Hodnocení '!$C$1:$JH$9,9,FALSE),0)</f>
        <v>16499135</v>
      </c>
      <c r="WB91" s="846">
        <f>IF(IFERROR(HLOOKUP($F91,'Hodnocení '!$C$1:$JH$13,13,FALSE),0)&gt;WA91,WA91,IFERROR(HLOOKUP($F91,'Hodnocení '!$C$1:$JH$13,13,FALSE),0))</f>
        <v>14122596.481906652</v>
      </c>
      <c r="WC91" s="846">
        <f>IFERROR(HLOOKUP($F91,'Hodnocení '!$C$1:$JH$155,155,FALSE),0)</f>
        <v>11119520</v>
      </c>
      <c r="WD91" s="845"/>
      <c r="WE91" s="845"/>
      <c r="WF91" s="845" t="str">
        <f t="shared" si="204"/>
        <v>ANO</v>
      </c>
      <c r="WG91" s="849" t="str">
        <f t="shared" si="117"/>
        <v>Podpora služby je vyjádřena zařazením do sítě sociálních služeb v KHK a řešením financování služby</v>
      </c>
      <c r="WH91" s="849" t="str">
        <f t="shared" si="117"/>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91" s="849" t="str">
        <f t="shared" si="117"/>
        <v>Návrh dotace je výsledkem projednání s ostatními zadavateli v rámci sítě služeb KHK</v>
      </c>
      <c r="WJ91" s="849" t="str">
        <f t="shared" ref="WG91:WJ154" si="218">IF($WF91="ANO",WJ$2,WJ$1)</f>
        <v>Bez komentáře</v>
      </c>
      <c r="WK91" s="31">
        <f t="shared" si="205"/>
        <v>0</v>
      </c>
      <c r="WL91" s="850" t="str">
        <f t="shared" si="206"/>
        <v>Případná úprava příspěvku zřizovatele bude řešena v návaznosti na vývoj služby</v>
      </c>
      <c r="WM91" s="849" t="str">
        <f t="shared" si="207"/>
        <v>V rámci sítě KHK se dlouhodobě řeší otázka navyšování úhrad a průběžně se monitoruje s vazbou na vykrytí vyrovnávací platby</v>
      </c>
      <c r="WN91" s="849" t="str">
        <f t="shared" si="208"/>
        <v>Otázka výběru od zdravotních pojišťoven je předmětem procesu, který probíhá ve formě jednání se ZP a organizacemi</v>
      </c>
      <c r="WO91" s="849" t="str">
        <f t="shared" si="118"/>
        <v>bez komentáře</v>
      </c>
      <c r="WP91" s="849" t="str">
        <f t="shared" si="118"/>
        <v>bez komentáře</v>
      </c>
      <c r="WQ91" s="849" t="str">
        <f t="shared" si="118"/>
        <v>Konečná výše dotace z rozpočtu KHK bude řešena v návaznosti na řešení podílů jednotlivých zadavatelů.</v>
      </c>
      <c r="WR91" s="849" t="str">
        <f t="shared" si="118"/>
        <v>Konečná výše podpory ze stran obcí bude řešena v součinnosti s jednotlivými zadavateli v průběhu roku.</v>
      </c>
      <c r="WS91" s="849" t="str">
        <f t="shared" si="118"/>
        <v>bez komentáře</v>
      </c>
      <c r="WT91" s="849" t="str">
        <f t="shared" si="118"/>
        <v>bez komentáře</v>
      </c>
      <c r="WU91" s="845"/>
    </row>
    <row r="92" spans="1:619" s="128" customFormat="1" x14ac:dyDescent="0.25">
      <c r="A92" s="128" t="str">
        <f>VLOOKUP(F92,'Výpočet VP 2020'!$D$324:$I$588,6,FALSE)</f>
        <v>Je v síti</v>
      </c>
      <c r="B92" s="128" t="s">
        <v>519</v>
      </c>
      <c r="C92" s="128">
        <v>64809234</v>
      </c>
      <c r="D92" s="128" t="s">
        <v>520</v>
      </c>
      <c r="E92" s="128" t="s">
        <v>259</v>
      </c>
      <c r="F92" s="128">
        <v>7071797</v>
      </c>
      <c r="G92" s="128" t="s">
        <v>361</v>
      </c>
      <c r="H92" s="128" t="s">
        <v>218</v>
      </c>
      <c r="I92" s="128" t="s">
        <v>519</v>
      </c>
      <c r="J92" s="129">
        <v>39814</v>
      </c>
      <c r="L92" s="128" t="s">
        <v>220</v>
      </c>
      <c r="M92" s="128" t="s">
        <v>487</v>
      </c>
      <c r="N92" s="128">
        <v>8</v>
      </c>
      <c r="O92" s="128">
        <v>8</v>
      </c>
      <c r="P92" s="128">
        <v>77</v>
      </c>
      <c r="Q92" s="128">
        <v>75</v>
      </c>
      <c r="R92" s="128">
        <v>47</v>
      </c>
      <c r="BL92" s="128" t="s">
        <v>395</v>
      </c>
      <c r="BM92" s="128" t="s">
        <v>304</v>
      </c>
      <c r="BN92" s="128" t="s">
        <v>352</v>
      </c>
      <c r="DA92" s="128">
        <v>0</v>
      </c>
      <c r="DB92" s="128">
        <v>0</v>
      </c>
      <c r="DC92" s="128">
        <v>0</v>
      </c>
      <c r="DD92" s="128">
        <v>0</v>
      </c>
      <c r="DE92" s="128">
        <v>0</v>
      </c>
      <c r="DF92" s="128">
        <v>4</v>
      </c>
      <c r="DG92" s="128">
        <v>2</v>
      </c>
      <c r="DH92" s="128">
        <v>2</v>
      </c>
      <c r="DI92" s="128">
        <v>0</v>
      </c>
      <c r="DJ92" s="128">
        <v>0</v>
      </c>
      <c r="DK92" s="128">
        <v>4</v>
      </c>
      <c r="DL92" s="128">
        <v>2</v>
      </c>
      <c r="DM92" s="128">
        <v>2</v>
      </c>
      <c r="DN92" s="128">
        <v>0</v>
      </c>
      <c r="DO92" s="128">
        <v>0</v>
      </c>
      <c r="DP92" s="128">
        <v>0</v>
      </c>
      <c r="DQ92" s="128">
        <v>8</v>
      </c>
      <c r="DR92" s="128">
        <v>8</v>
      </c>
      <c r="DS92" s="128">
        <v>0</v>
      </c>
      <c r="DT92" s="128">
        <v>0</v>
      </c>
      <c r="DU92" s="128">
        <v>0</v>
      </c>
      <c r="DV92" s="128">
        <v>0</v>
      </c>
      <c r="DW92" s="128">
        <v>0</v>
      </c>
      <c r="DX92" s="128">
        <v>4</v>
      </c>
      <c r="DY92" s="128">
        <v>2</v>
      </c>
      <c r="DZ92" s="128">
        <v>2</v>
      </c>
      <c r="EA92" s="128">
        <v>0</v>
      </c>
      <c r="EB92" s="128">
        <v>0</v>
      </c>
      <c r="EC92" s="128">
        <v>4</v>
      </c>
      <c r="ED92" s="128">
        <v>2</v>
      </c>
      <c r="EE92" s="128">
        <v>2</v>
      </c>
      <c r="EF92" s="128">
        <v>0</v>
      </c>
      <c r="EG92" s="128">
        <v>0</v>
      </c>
      <c r="EH92" s="128">
        <v>0</v>
      </c>
      <c r="EI92" s="128">
        <v>8</v>
      </c>
      <c r="EJ92" s="128">
        <v>8</v>
      </c>
      <c r="EK92" s="128">
        <v>3</v>
      </c>
      <c r="EL92" s="128">
        <v>0.7</v>
      </c>
      <c r="EM92" s="128">
        <v>0.7</v>
      </c>
      <c r="EN92" s="128">
        <v>362297</v>
      </c>
      <c r="EO92" s="128">
        <v>270371</v>
      </c>
      <c r="EP92" s="128">
        <v>6</v>
      </c>
      <c r="EQ92" s="128">
        <v>5.3</v>
      </c>
      <c r="ER92" s="128">
        <v>5.3</v>
      </c>
      <c r="ES92" s="128">
        <v>3486890</v>
      </c>
      <c r="ET92" s="128">
        <v>2602157</v>
      </c>
      <c r="EU92" s="128">
        <v>3</v>
      </c>
      <c r="EV92" s="128">
        <v>1.3</v>
      </c>
      <c r="EW92" s="128">
        <v>1.3</v>
      </c>
      <c r="EX92" s="128">
        <v>885699</v>
      </c>
      <c r="EY92" s="128">
        <v>0</v>
      </c>
      <c r="FO92" s="128">
        <v>8</v>
      </c>
      <c r="FP92" s="128">
        <v>2.5</v>
      </c>
      <c r="FQ92" s="128">
        <v>2.5</v>
      </c>
      <c r="FR92" s="128">
        <v>1462744</v>
      </c>
      <c r="FS92" s="128">
        <v>1091600</v>
      </c>
      <c r="KG92" s="128">
        <v>0</v>
      </c>
      <c r="KI92" s="128">
        <v>7.3</v>
      </c>
      <c r="KJ92" s="128">
        <v>0</v>
      </c>
      <c r="KK92" s="128">
        <v>0</v>
      </c>
      <c r="KL92" s="128">
        <v>0</v>
      </c>
      <c r="KM92" s="128">
        <v>7.3</v>
      </c>
      <c r="KN92" s="128">
        <v>6197630</v>
      </c>
      <c r="KO92" s="128">
        <v>3964128</v>
      </c>
      <c r="KP92" s="128">
        <v>3964128</v>
      </c>
      <c r="KT92" s="128">
        <v>0</v>
      </c>
      <c r="KU92" s="128">
        <v>0</v>
      </c>
      <c r="KV92" s="128">
        <v>0</v>
      </c>
      <c r="KZ92" s="128">
        <v>0</v>
      </c>
      <c r="LA92" s="128">
        <v>0</v>
      </c>
      <c r="LB92" s="128">
        <v>0</v>
      </c>
      <c r="LF92" s="128">
        <v>0</v>
      </c>
      <c r="LG92" s="128">
        <v>0</v>
      </c>
      <c r="LH92" s="128">
        <v>0</v>
      </c>
      <c r="LL92" s="128">
        <v>0</v>
      </c>
      <c r="LM92" s="128">
        <v>0</v>
      </c>
      <c r="LN92" s="128">
        <v>0</v>
      </c>
      <c r="LR92" s="128">
        <v>20000</v>
      </c>
      <c r="LS92" s="128">
        <v>0</v>
      </c>
      <c r="LT92" s="128">
        <v>0</v>
      </c>
      <c r="LX92" s="128">
        <v>260000</v>
      </c>
      <c r="LY92" s="128">
        <v>0</v>
      </c>
      <c r="LZ92" s="128">
        <v>0</v>
      </c>
      <c r="MD92" s="128">
        <v>5000</v>
      </c>
      <c r="ME92" s="128">
        <v>0</v>
      </c>
      <c r="MF92" s="128">
        <v>0</v>
      </c>
      <c r="MJ92" s="128">
        <v>7000</v>
      </c>
      <c r="MK92" s="128">
        <v>0</v>
      </c>
      <c r="ML92" s="128">
        <v>0</v>
      </c>
      <c r="MP92" s="128">
        <v>50000</v>
      </c>
      <c r="MQ92" s="128">
        <v>0</v>
      </c>
      <c r="MR92" s="128">
        <v>0</v>
      </c>
      <c r="MV92" s="128">
        <v>60000</v>
      </c>
      <c r="MW92" s="128">
        <v>0</v>
      </c>
      <c r="MX92" s="128">
        <v>0</v>
      </c>
      <c r="NB92" s="128">
        <v>5000</v>
      </c>
      <c r="NC92" s="128">
        <v>0</v>
      </c>
      <c r="ND92" s="128">
        <v>0</v>
      </c>
      <c r="NH92" s="128">
        <v>0</v>
      </c>
      <c r="NI92" s="128">
        <v>0</v>
      </c>
      <c r="NJ92" s="128">
        <v>0</v>
      </c>
      <c r="NN92" s="128">
        <v>4000</v>
      </c>
      <c r="NO92" s="128">
        <v>0</v>
      </c>
      <c r="NP92" s="128">
        <v>0</v>
      </c>
      <c r="NT92" s="128">
        <v>5000</v>
      </c>
      <c r="NU92" s="128">
        <v>0</v>
      </c>
      <c r="NV92" s="128">
        <v>0</v>
      </c>
      <c r="NZ92" s="128">
        <v>50000</v>
      </c>
      <c r="OA92" s="128">
        <v>0</v>
      </c>
      <c r="OB92" s="128">
        <v>0</v>
      </c>
      <c r="OF92" s="128">
        <v>1000</v>
      </c>
      <c r="OG92" s="128">
        <v>0</v>
      </c>
      <c r="OH92" s="128">
        <v>0</v>
      </c>
      <c r="OL92" s="128">
        <v>0</v>
      </c>
      <c r="OM92" s="128">
        <v>0</v>
      </c>
      <c r="ON92" s="128">
        <v>0</v>
      </c>
      <c r="OR92" s="128">
        <v>0</v>
      </c>
      <c r="OS92" s="128">
        <v>0</v>
      </c>
      <c r="OT92" s="128">
        <v>0</v>
      </c>
      <c r="OX92" s="128">
        <v>100000</v>
      </c>
      <c r="OY92" s="128">
        <v>0</v>
      </c>
      <c r="OZ92" s="128">
        <v>0</v>
      </c>
      <c r="PD92" s="128">
        <v>84000</v>
      </c>
      <c r="PE92" s="128">
        <v>0</v>
      </c>
      <c r="PF92" s="128">
        <v>0</v>
      </c>
      <c r="PJ92" s="128">
        <v>0</v>
      </c>
      <c r="PK92" s="128">
        <v>0</v>
      </c>
      <c r="PL92" s="128">
        <v>0</v>
      </c>
      <c r="PP92" s="128">
        <v>6848630</v>
      </c>
      <c r="PQ92" s="128">
        <v>3964128</v>
      </c>
      <c r="PR92" s="128">
        <v>3964128</v>
      </c>
      <c r="PS92" s="128">
        <v>100</v>
      </c>
      <c r="PT92" s="128">
        <v>100</v>
      </c>
      <c r="PV92" s="128">
        <v>2949568</v>
      </c>
      <c r="PX92" s="128">
        <v>2090678</v>
      </c>
      <c r="PY92" s="128">
        <v>1867270</v>
      </c>
      <c r="PZ92" s="128">
        <v>3964128</v>
      </c>
      <c r="QA92" s="128">
        <v>0</v>
      </c>
      <c r="QB92" s="128">
        <v>0</v>
      </c>
      <c r="QC92" s="128">
        <v>0</v>
      </c>
      <c r="QD92" s="128">
        <v>0</v>
      </c>
      <c r="QE92" s="128">
        <v>0</v>
      </c>
      <c r="QF92" s="128">
        <v>0</v>
      </c>
      <c r="QG92" s="128">
        <v>1066478</v>
      </c>
      <c r="QH92" s="128">
        <v>2549108</v>
      </c>
      <c r="QI92" s="128">
        <v>1924502</v>
      </c>
      <c r="QJ92" s="128">
        <v>947068</v>
      </c>
      <c r="QK92" s="128">
        <v>960000</v>
      </c>
      <c r="QL92" s="128">
        <v>960000</v>
      </c>
      <c r="QN92" s="128">
        <v>0</v>
      </c>
      <c r="QO92" s="128">
        <v>0</v>
      </c>
      <c r="QP92" s="128">
        <v>0</v>
      </c>
      <c r="RH92" s="128">
        <f t="shared" si="209"/>
        <v>5888630</v>
      </c>
      <c r="RI92" s="128">
        <v>0</v>
      </c>
      <c r="RM92" s="128" t="s">
        <v>220</v>
      </c>
      <c r="RU92" s="130"/>
      <c r="RV92" s="130"/>
      <c r="RW92" s="130"/>
      <c r="RX92" s="130"/>
      <c r="SF92" s="128">
        <f t="shared" si="119"/>
        <v>7071797</v>
      </c>
      <c r="SG92" s="131">
        <f t="shared" si="120"/>
        <v>6848630</v>
      </c>
      <c r="SH92" s="131">
        <f t="shared" si="121"/>
        <v>6848630</v>
      </c>
      <c r="SI92" s="131">
        <f t="shared" si="122"/>
        <v>6197630</v>
      </c>
      <c r="SJ92" s="132">
        <f t="shared" si="123"/>
        <v>6197630</v>
      </c>
      <c r="SK92" s="132">
        <f t="shared" si="124"/>
        <v>0</v>
      </c>
      <c r="SL92" s="132">
        <f t="shared" si="125"/>
        <v>0</v>
      </c>
      <c r="SM92" s="132">
        <f t="shared" si="126"/>
        <v>0</v>
      </c>
      <c r="SN92" s="131">
        <f t="shared" si="127"/>
        <v>651000</v>
      </c>
      <c r="SO92" s="131">
        <f t="shared" si="128"/>
        <v>20000</v>
      </c>
      <c r="SP92" s="132">
        <f t="shared" si="129"/>
        <v>0</v>
      </c>
      <c r="SQ92" s="132">
        <f t="shared" si="130"/>
        <v>20000</v>
      </c>
      <c r="SR92" s="132">
        <f t="shared" si="131"/>
        <v>260000</v>
      </c>
      <c r="SS92" s="132">
        <f t="shared" si="132"/>
        <v>5000</v>
      </c>
      <c r="ST92" s="132">
        <f t="shared" si="133"/>
        <v>7000</v>
      </c>
      <c r="SU92" s="132">
        <f t="shared" si="134"/>
        <v>50000</v>
      </c>
      <c r="SV92" s="131">
        <f t="shared" si="135"/>
        <v>225000</v>
      </c>
      <c r="SW92" s="132">
        <f t="shared" si="136"/>
        <v>60000</v>
      </c>
      <c r="SX92" s="132">
        <f t="shared" si="137"/>
        <v>5000</v>
      </c>
      <c r="SY92" s="132">
        <f t="shared" si="138"/>
        <v>0</v>
      </c>
      <c r="SZ92" s="132">
        <f t="shared" si="139"/>
        <v>4000</v>
      </c>
      <c r="TA92" s="132">
        <f t="shared" si="140"/>
        <v>5000</v>
      </c>
      <c r="TB92" s="132">
        <f t="shared" si="141"/>
        <v>50000</v>
      </c>
      <c r="TC92" s="132">
        <f t="shared" si="142"/>
        <v>1000</v>
      </c>
      <c r="TD92" s="132">
        <f t="shared" si="143"/>
        <v>0</v>
      </c>
      <c r="TE92" s="132">
        <f t="shared" si="144"/>
        <v>0</v>
      </c>
      <c r="TF92" s="132">
        <f t="shared" si="145"/>
        <v>100000</v>
      </c>
      <c r="TG92" s="132">
        <f t="shared" si="146"/>
        <v>84000</v>
      </c>
      <c r="TH92" s="132">
        <f t="shared" si="147"/>
        <v>0</v>
      </c>
      <c r="TI92" s="1"/>
      <c r="TJ92" s="131">
        <f t="shared" si="148"/>
        <v>3964128</v>
      </c>
      <c r="TK92" s="131">
        <f t="shared" si="149"/>
        <v>3964128</v>
      </c>
      <c r="TL92" s="131">
        <f t="shared" si="150"/>
        <v>3964128</v>
      </c>
      <c r="TM92" s="132">
        <f t="shared" si="151"/>
        <v>3964128</v>
      </c>
      <c r="TN92" s="132">
        <f t="shared" si="152"/>
        <v>0</v>
      </c>
      <c r="TO92" s="132">
        <f t="shared" si="153"/>
        <v>0</v>
      </c>
      <c r="TP92" s="132">
        <f t="shared" si="154"/>
        <v>0</v>
      </c>
      <c r="TQ92" s="131">
        <f t="shared" si="155"/>
        <v>0</v>
      </c>
      <c r="TR92" s="131">
        <f t="shared" si="156"/>
        <v>0</v>
      </c>
      <c r="TS92" s="132">
        <f t="shared" si="157"/>
        <v>0</v>
      </c>
      <c r="TT92" s="132">
        <f t="shared" si="158"/>
        <v>0</v>
      </c>
      <c r="TU92" s="132">
        <f t="shared" si="159"/>
        <v>0</v>
      </c>
      <c r="TV92" s="132">
        <f t="shared" si="160"/>
        <v>0</v>
      </c>
      <c r="TW92" s="132">
        <f t="shared" si="161"/>
        <v>0</v>
      </c>
      <c r="TX92" s="132">
        <f t="shared" si="162"/>
        <v>0</v>
      </c>
      <c r="TY92" s="131">
        <f t="shared" si="163"/>
        <v>0</v>
      </c>
      <c r="TZ92" s="132">
        <f t="shared" si="164"/>
        <v>0</v>
      </c>
      <c r="UA92" s="132">
        <f t="shared" si="165"/>
        <v>0</v>
      </c>
      <c r="UB92" s="132">
        <f t="shared" si="166"/>
        <v>0</v>
      </c>
      <c r="UC92" s="132">
        <f t="shared" si="167"/>
        <v>0</v>
      </c>
      <c r="UD92" s="132">
        <f t="shared" si="168"/>
        <v>0</v>
      </c>
      <c r="UE92" s="132">
        <f t="shared" si="169"/>
        <v>0</v>
      </c>
      <c r="UF92" s="132">
        <f t="shared" si="170"/>
        <v>0</v>
      </c>
      <c r="UG92" s="132">
        <f t="shared" si="171"/>
        <v>0</v>
      </c>
      <c r="UH92" s="132">
        <f t="shared" si="172"/>
        <v>0</v>
      </c>
      <c r="UI92" s="132">
        <f t="shared" si="173"/>
        <v>0</v>
      </c>
      <c r="UJ92" s="132">
        <f t="shared" si="174"/>
        <v>0</v>
      </c>
      <c r="UK92" s="132">
        <f t="shared" si="175"/>
        <v>0</v>
      </c>
      <c r="UL92" s="132">
        <f t="shared" si="210"/>
        <v>3964128</v>
      </c>
      <c r="UM92" s="131">
        <f t="shared" si="176"/>
        <v>3964128</v>
      </c>
      <c r="UN92" s="131">
        <f t="shared" si="177"/>
        <v>3964128</v>
      </c>
      <c r="UO92" s="131">
        <f t="shared" si="178"/>
        <v>3964128</v>
      </c>
      <c r="UP92" s="132">
        <f t="shared" si="179"/>
        <v>3964128</v>
      </c>
      <c r="UQ92" s="132">
        <f t="shared" si="180"/>
        <v>0</v>
      </c>
      <c r="UR92" s="132">
        <f t="shared" si="181"/>
        <v>0</v>
      </c>
      <c r="US92" s="132">
        <f t="shared" si="182"/>
        <v>0</v>
      </c>
      <c r="UT92" s="131">
        <f t="shared" si="183"/>
        <v>0</v>
      </c>
      <c r="UU92" s="131">
        <f t="shared" si="184"/>
        <v>0</v>
      </c>
      <c r="UV92" s="132">
        <f t="shared" si="185"/>
        <v>0</v>
      </c>
      <c r="UW92" s="132">
        <f t="shared" si="186"/>
        <v>0</v>
      </c>
      <c r="UX92" s="132">
        <f t="shared" si="187"/>
        <v>0</v>
      </c>
      <c r="UY92" s="132">
        <f t="shared" si="188"/>
        <v>0</v>
      </c>
      <c r="UZ92" s="132">
        <f t="shared" si="189"/>
        <v>0</v>
      </c>
      <c r="VA92" s="132">
        <f t="shared" si="190"/>
        <v>0</v>
      </c>
      <c r="VB92" s="131">
        <f t="shared" si="191"/>
        <v>0</v>
      </c>
      <c r="VC92" s="132">
        <f t="shared" si="192"/>
        <v>0</v>
      </c>
      <c r="VD92" s="132">
        <f t="shared" si="193"/>
        <v>0</v>
      </c>
      <c r="VE92" s="132">
        <f t="shared" si="194"/>
        <v>0</v>
      </c>
      <c r="VF92" s="132">
        <f t="shared" si="195"/>
        <v>0</v>
      </c>
      <c r="VG92" s="132">
        <f t="shared" si="196"/>
        <v>0</v>
      </c>
      <c r="VH92" s="132">
        <f t="shared" si="197"/>
        <v>0</v>
      </c>
      <c r="VI92" s="132">
        <f t="shared" si="198"/>
        <v>0</v>
      </c>
      <c r="VJ92" s="132">
        <f t="shared" si="199"/>
        <v>0</v>
      </c>
      <c r="VK92" s="132">
        <f t="shared" si="200"/>
        <v>0</v>
      </c>
      <c r="VL92" s="132">
        <f t="shared" si="201"/>
        <v>0</v>
      </c>
      <c r="VM92" s="132">
        <f t="shared" si="202"/>
        <v>0</v>
      </c>
      <c r="VN92" s="132">
        <f t="shared" si="203"/>
        <v>0</v>
      </c>
      <c r="VP92" s="845" t="str">
        <f>IFERROR(HLOOKUP(F92,'Hodnocení '!$C$1:$JH$5,2,FALSE),0)</f>
        <v>Domov V Podzámčí</v>
      </c>
      <c r="VQ92" s="838"/>
      <c r="VR92" s="845" t="str">
        <f t="shared" si="211"/>
        <v>Příspěvková organizace zřízená územním samosprávným celkem</v>
      </c>
      <c r="VS92" s="845" t="str">
        <f>IFERROR(HLOOKUP(F92,'Hodnocení '!$C$1:$JH$5,5,FALSE),0)</f>
        <v>PO KHK</v>
      </c>
      <c r="VT92" s="838">
        <f t="shared" si="212"/>
        <v>0</v>
      </c>
      <c r="VU92" s="838" t="str">
        <f t="shared" si="213"/>
        <v>PO KHK</v>
      </c>
      <c r="VV92" s="838">
        <f t="shared" si="214"/>
        <v>960000</v>
      </c>
      <c r="VW92" s="838">
        <f t="shared" si="215"/>
        <v>0</v>
      </c>
      <c r="VX92" s="838"/>
      <c r="VY92" s="838">
        <f t="shared" si="216"/>
        <v>0</v>
      </c>
      <c r="VZ92" s="838">
        <f t="shared" si="217"/>
        <v>3964128</v>
      </c>
      <c r="WA92" s="846">
        <f>IFERROR(HLOOKUP($F92,'Hodnocení '!$C$1:$JH$9,9,FALSE),0)</f>
        <v>3964128</v>
      </c>
      <c r="WB92" s="846">
        <f>IF(IFERROR(HLOOKUP($F92,'Hodnocení '!$C$1:$JH$13,13,FALSE),0)&gt;WA92,WA92,IFERROR(HLOOKUP($F92,'Hodnocení '!$C$1:$JH$13,13,FALSE),0))</f>
        <v>3667436.7806406175</v>
      </c>
      <c r="WC92" s="846">
        <f>IFERROR(HLOOKUP($F92,'Hodnocení '!$C$1:$JH$155,155,FALSE),0)</f>
        <v>2009010</v>
      </c>
      <c r="WD92" s="845"/>
      <c r="WE92" s="845"/>
      <c r="WF92" s="845" t="str">
        <f t="shared" si="204"/>
        <v>ANO</v>
      </c>
      <c r="WG92" s="849" t="str">
        <f t="shared" si="218"/>
        <v>Podpora služby je vyjádřena zařazením do sítě sociálních služeb v KHK a řešením financování služby</v>
      </c>
      <c r="WH92"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92" s="849" t="str">
        <f t="shared" si="218"/>
        <v>Návrh dotace je výsledkem projednání s ostatními zadavateli v rámci sítě služeb KHK</v>
      </c>
      <c r="WJ92" s="849" t="str">
        <f t="shared" si="218"/>
        <v>Bez komentáře</v>
      </c>
      <c r="WK92" s="31">
        <f t="shared" si="205"/>
        <v>0</v>
      </c>
      <c r="WL92" s="850" t="str">
        <f t="shared" si="206"/>
        <v>Případná úprava příspěvku zřizovatele bude řešena v návaznosti na vývoj služby</v>
      </c>
      <c r="WM92" s="849" t="str">
        <f t="shared" si="207"/>
        <v>V rámci sítě KHK se dlouhodobě řeší otázka navyšování úhrad a průběžně se monitoruje s vazbou na vykrytí vyrovnávací platby</v>
      </c>
      <c r="WN92" s="849">
        <f t="shared" si="208"/>
        <v>0</v>
      </c>
      <c r="WO92" s="849" t="str">
        <f t="shared" si="118"/>
        <v>bez komentáře</v>
      </c>
      <c r="WP92" s="849" t="str">
        <f t="shared" si="118"/>
        <v>bez komentáře</v>
      </c>
      <c r="WQ92" s="849" t="str">
        <f t="shared" si="118"/>
        <v>Konečná výše dotace z rozpočtu KHK bude řešena v návaznosti na řešení podílů jednotlivých zadavatelů.</v>
      </c>
      <c r="WR92" s="849" t="str">
        <f t="shared" si="118"/>
        <v>Konečná výše podpory ze stran obcí bude řešena v součinnosti s jednotlivými zadavateli v průběhu roku.</v>
      </c>
      <c r="WS92" s="849" t="str">
        <f t="shared" si="118"/>
        <v>bez komentáře</v>
      </c>
      <c r="WT92" s="849" t="str">
        <f t="shared" si="118"/>
        <v>bez komentáře</v>
      </c>
      <c r="WU92" s="845"/>
    </row>
    <row r="93" spans="1:619" s="128" customFormat="1" x14ac:dyDescent="0.25">
      <c r="A93" s="128" t="str">
        <f>VLOOKUP(F93,'Výpočet VP 2020'!$D$324:$I$588,6,FALSE)</f>
        <v>Je v síti</v>
      </c>
      <c r="B93" s="128" t="s">
        <v>523</v>
      </c>
      <c r="C93" s="128">
        <v>71193952</v>
      </c>
      <c r="D93" s="128" t="s">
        <v>524</v>
      </c>
      <c r="E93" s="128" t="s">
        <v>259</v>
      </c>
      <c r="F93" s="128">
        <v>5869239</v>
      </c>
      <c r="G93" s="128" t="s">
        <v>348</v>
      </c>
      <c r="H93" s="128" t="s">
        <v>218</v>
      </c>
      <c r="I93" s="128" t="s">
        <v>525</v>
      </c>
      <c r="J93" s="129">
        <v>39083</v>
      </c>
      <c r="L93" s="128" t="s">
        <v>220</v>
      </c>
      <c r="M93" s="128" t="s">
        <v>526</v>
      </c>
      <c r="N93" s="128">
        <v>103</v>
      </c>
      <c r="P93" s="128">
        <v>95</v>
      </c>
      <c r="Q93" s="128">
        <v>103</v>
      </c>
      <c r="R93" s="128">
        <v>103</v>
      </c>
      <c r="W93" s="128" t="s">
        <v>527</v>
      </c>
      <c r="BL93" s="128" t="s">
        <v>351</v>
      </c>
      <c r="BM93" s="128" t="s">
        <v>325</v>
      </c>
      <c r="BN93" s="128" t="s">
        <v>326</v>
      </c>
      <c r="DA93" s="128">
        <v>0</v>
      </c>
      <c r="DB93" s="128">
        <v>0</v>
      </c>
      <c r="DC93" s="128">
        <v>0</v>
      </c>
      <c r="DD93" s="128">
        <v>0</v>
      </c>
      <c r="DE93" s="128">
        <v>0</v>
      </c>
      <c r="DF93" s="128">
        <v>5</v>
      </c>
      <c r="DG93" s="128">
        <v>14</v>
      </c>
      <c r="DH93" s="128">
        <v>42</v>
      </c>
      <c r="DI93" s="128">
        <v>37</v>
      </c>
      <c r="DJ93" s="128">
        <v>2</v>
      </c>
      <c r="DK93" s="128">
        <v>5</v>
      </c>
      <c r="DL93" s="128">
        <v>14</v>
      </c>
      <c r="DM93" s="128">
        <v>42</v>
      </c>
      <c r="DN93" s="128">
        <v>37</v>
      </c>
      <c r="DO93" s="128">
        <v>2</v>
      </c>
      <c r="DP93" s="128">
        <v>0</v>
      </c>
      <c r="DQ93" s="128">
        <v>100</v>
      </c>
      <c r="DR93" s="128">
        <v>100</v>
      </c>
      <c r="DS93" s="128">
        <v>0</v>
      </c>
      <c r="DT93" s="128">
        <v>0</v>
      </c>
      <c r="DU93" s="128">
        <v>0</v>
      </c>
      <c r="DV93" s="128">
        <v>0</v>
      </c>
      <c r="DW93" s="128">
        <v>0</v>
      </c>
      <c r="DX93" s="128">
        <v>5</v>
      </c>
      <c r="DY93" s="128">
        <v>15</v>
      </c>
      <c r="DZ93" s="128">
        <v>44</v>
      </c>
      <c r="EA93" s="128">
        <v>39</v>
      </c>
      <c r="EB93" s="128">
        <v>0</v>
      </c>
      <c r="EC93" s="128">
        <v>5</v>
      </c>
      <c r="ED93" s="128">
        <v>15</v>
      </c>
      <c r="EE93" s="128">
        <v>44</v>
      </c>
      <c r="EF93" s="128">
        <v>39</v>
      </c>
      <c r="EG93" s="128">
        <v>0</v>
      </c>
      <c r="EH93" s="128">
        <v>0</v>
      </c>
      <c r="EI93" s="128">
        <v>103</v>
      </c>
      <c r="EJ93" s="128">
        <v>103</v>
      </c>
      <c r="EK93" s="128">
        <v>3</v>
      </c>
      <c r="EL93" s="128">
        <v>3</v>
      </c>
      <c r="EM93" s="128">
        <v>3</v>
      </c>
      <c r="EN93" s="128">
        <v>2000000</v>
      </c>
      <c r="EO93" s="128">
        <v>2000000</v>
      </c>
      <c r="EP93" s="128">
        <v>44</v>
      </c>
      <c r="EQ93" s="128">
        <v>31.2</v>
      </c>
      <c r="ER93" s="128">
        <v>28</v>
      </c>
      <c r="ES93" s="128">
        <v>18600000</v>
      </c>
      <c r="ET93" s="128">
        <v>18600000</v>
      </c>
      <c r="EU93" s="128">
        <v>19</v>
      </c>
      <c r="EV93" s="128">
        <v>13.3</v>
      </c>
      <c r="EW93" s="128">
        <v>12.3</v>
      </c>
      <c r="EX93" s="128">
        <v>8800000</v>
      </c>
      <c r="EY93" s="128">
        <v>0</v>
      </c>
      <c r="FO93" s="128">
        <v>26</v>
      </c>
      <c r="FP93" s="128">
        <v>19.899999999999999</v>
      </c>
      <c r="FQ93" s="128">
        <v>19.600000000000001</v>
      </c>
      <c r="FR93" s="128">
        <v>10700000</v>
      </c>
      <c r="FS93" s="128">
        <v>2810000</v>
      </c>
      <c r="IN93" s="128">
        <v>1</v>
      </c>
      <c r="IO93" s="128">
        <v>110</v>
      </c>
      <c r="IP93" s="128">
        <v>5.1999999999999998E-2</v>
      </c>
      <c r="IQ93" s="128">
        <v>27500</v>
      </c>
      <c r="IR93" s="128">
        <v>0</v>
      </c>
      <c r="IS93" s="128">
        <v>1</v>
      </c>
      <c r="IT93" s="128">
        <v>100</v>
      </c>
      <c r="IU93" s="128">
        <v>4.8000000000000001E-2</v>
      </c>
      <c r="IV93" s="128">
        <v>16000</v>
      </c>
      <c r="IW93" s="128">
        <v>0</v>
      </c>
      <c r="KG93" s="128">
        <v>0</v>
      </c>
      <c r="KI93" s="128">
        <v>47.5</v>
      </c>
      <c r="KJ93" s="128">
        <v>0</v>
      </c>
      <c r="KK93" s="128">
        <v>5.1999999999999998E-2</v>
      </c>
      <c r="KL93" s="128">
        <v>0</v>
      </c>
      <c r="KM93" s="128">
        <v>47.552</v>
      </c>
      <c r="KN93" s="128">
        <v>40100000</v>
      </c>
      <c r="KO93" s="128">
        <v>23410000</v>
      </c>
      <c r="KP93" s="128">
        <v>23410000</v>
      </c>
      <c r="KT93" s="128">
        <v>0</v>
      </c>
      <c r="KU93" s="128">
        <v>0</v>
      </c>
      <c r="KV93" s="128">
        <v>0</v>
      </c>
      <c r="KZ93" s="128">
        <v>43500</v>
      </c>
      <c r="LA93" s="128">
        <v>0</v>
      </c>
      <c r="LB93" s="128">
        <v>0</v>
      </c>
      <c r="LF93" s="128">
        <v>0</v>
      </c>
      <c r="LG93" s="128">
        <v>0</v>
      </c>
      <c r="LH93" s="128">
        <v>0</v>
      </c>
      <c r="LL93" s="128">
        <v>0</v>
      </c>
      <c r="LM93" s="128">
        <v>0</v>
      </c>
      <c r="LN93" s="128">
        <v>0</v>
      </c>
      <c r="LR93" s="128">
        <v>1000000</v>
      </c>
      <c r="LS93" s="128">
        <v>0</v>
      </c>
      <c r="LT93" s="128">
        <v>0</v>
      </c>
      <c r="LX93" s="128">
        <v>3500000</v>
      </c>
      <c r="LY93" s="128">
        <v>0</v>
      </c>
      <c r="LZ93" s="128">
        <v>0</v>
      </c>
      <c r="MD93" s="128">
        <v>70000</v>
      </c>
      <c r="ME93" s="128">
        <v>0</v>
      </c>
      <c r="MF93" s="128">
        <v>0</v>
      </c>
      <c r="MJ93" s="128">
        <v>60000</v>
      </c>
      <c r="MK93" s="128">
        <v>0</v>
      </c>
      <c r="ML93" s="128">
        <v>0</v>
      </c>
      <c r="MP93" s="128">
        <v>2600000</v>
      </c>
      <c r="MQ93" s="128">
        <v>0</v>
      </c>
      <c r="MR93" s="128">
        <v>0</v>
      </c>
      <c r="MV93" s="128">
        <v>2408000</v>
      </c>
      <c r="MW93" s="128">
        <v>0</v>
      </c>
      <c r="MX93" s="128">
        <v>0</v>
      </c>
      <c r="NB93" s="128">
        <v>70000</v>
      </c>
      <c r="NC93" s="128">
        <v>0</v>
      </c>
      <c r="ND93" s="128">
        <v>0</v>
      </c>
      <c r="NH93" s="128">
        <v>0</v>
      </c>
      <c r="NI93" s="128">
        <v>0</v>
      </c>
      <c r="NJ93" s="128">
        <v>0</v>
      </c>
      <c r="NN93" s="128">
        <v>100000</v>
      </c>
      <c r="NO93" s="128">
        <v>0</v>
      </c>
      <c r="NP93" s="128">
        <v>0</v>
      </c>
      <c r="NT93" s="128">
        <v>0</v>
      </c>
      <c r="NU93" s="128">
        <v>0</v>
      </c>
      <c r="NV93" s="128">
        <v>0</v>
      </c>
      <c r="NZ93" s="128">
        <v>3000000</v>
      </c>
      <c r="OA93" s="128">
        <v>0</v>
      </c>
      <c r="OB93" s="128">
        <v>0</v>
      </c>
      <c r="OF93" s="128">
        <v>15000</v>
      </c>
      <c r="OG93" s="128">
        <v>0</v>
      </c>
      <c r="OH93" s="128">
        <v>0</v>
      </c>
      <c r="OL93" s="128">
        <v>0</v>
      </c>
      <c r="OM93" s="128">
        <v>0</v>
      </c>
      <c r="ON93" s="128">
        <v>0</v>
      </c>
      <c r="OR93" s="128">
        <v>0</v>
      </c>
      <c r="OS93" s="128">
        <v>0</v>
      </c>
      <c r="OT93" s="128">
        <v>0</v>
      </c>
      <c r="OX93" s="128">
        <v>1700000</v>
      </c>
      <c r="OY93" s="128">
        <v>0</v>
      </c>
      <c r="OZ93" s="128">
        <v>0</v>
      </c>
      <c r="PD93" s="128">
        <v>1400000</v>
      </c>
      <c r="PE93" s="128">
        <v>0</v>
      </c>
      <c r="PF93" s="128">
        <v>0</v>
      </c>
      <c r="PJ93" s="128">
        <v>100000</v>
      </c>
      <c r="PK93" s="128">
        <v>0</v>
      </c>
      <c r="PL93" s="128">
        <v>0</v>
      </c>
      <c r="PP93" s="128">
        <v>56166500</v>
      </c>
      <c r="PQ93" s="128">
        <v>23410000</v>
      </c>
      <c r="PR93" s="128">
        <v>23410000</v>
      </c>
      <c r="PS93" s="128">
        <v>100</v>
      </c>
      <c r="PT93" s="128">
        <v>100</v>
      </c>
      <c r="PV93" s="128">
        <v>26370684</v>
      </c>
      <c r="PX93" s="128">
        <v>10825250</v>
      </c>
      <c r="PY93" s="128">
        <v>13451000</v>
      </c>
      <c r="PZ93" s="128">
        <v>23410000</v>
      </c>
      <c r="QA93" s="128">
        <v>0</v>
      </c>
      <c r="QB93" s="128">
        <v>0</v>
      </c>
      <c r="QC93" s="128">
        <v>0</v>
      </c>
      <c r="QD93" s="128">
        <v>0</v>
      </c>
      <c r="QE93" s="128">
        <v>0</v>
      </c>
      <c r="QF93" s="128">
        <v>0</v>
      </c>
      <c r="QG93" s="128">
        <v>4859750</v>
      </c>
      <c r="QH93" s="128">
        <v>5107000</v>
      </c>
      <c r="QI93" s="128">
        <v>4132000</v>
      </c>
      <c r="QJ93" s="128">
        <v>20979664</v>
      </c>
      <c r="QK93" s="128">
        <v>23128000</v>
      </c>
      <c r="QL93" s="128">
        <v>23656000</v>
      </c>
      <c r="QN93" s="128">
        <v>3233522</v>
      </c>
      <c r="QO93" s="128">
        <v>3803000</v>
      </c>
      <c r="QP93" s="128">
        <v>3768000</v>
      </c>
      <c r="RD93" s="128">
        <v>910113</v>
      </c>
      <c r="RE93" s="128">
        <v>1121000</v>
      </c>
      <c r="RF93" s="128">
        <v>1200500</v>
      </c>
      <c r="RH93" s="128">
        <f t="shared" si="209"/>
        <v>28742500</v>
      </c>
      <c r="RI93" s="128">
        <v>0</v>
      </c>
      <c r="RM93" s="128" t="s">
        <v>220</v>
      </c>
      <c r="RU93" s="130"/>
      <c r="RV93" s="130"/>
      <c r="RW93" s="130"/>
      <c r="RX93" s="130"/>
      <c r="SF93" s="128">
        <f t="shared" si="119"/>
        <v>5869239</v>
      </c>
      <c r="SG93" s="131">
        <f t="shared" si="120"/>
        <v>56166500</v>
      </c>
      <c r="SH93" s="131">
        <f t="shared" si="121"/>
        <v>56166500</v>
      </c>
      <c r="SI93" s="131">
        <f t="shared" si="122"/>
        <v>40143500</v>
      </c>
      <c r="SJ93" s="132">
        <f t="shared" si="123"/>
        <v>40100000</v>
      </c>
      <c r="SK93" s="132">
        <f t="shared" si="124"/>
        <v>0</v>
      </c>
      <c r="SL93" s="132">
        <f t="shared" si="125"/>
        <v>43500</v>
      </c>
      <c r="SM93" s="132">
        <f t="shared" si="126"/>
        <v>0</v>
      </c>
      <c r="SN93" s="131">
        <f t="shared" si="127"/>
        <v>16023000</v>
      </c>
      <c r="SO93" s="131">
        <f t="shared" si="128"/>
        <v>1000000</v>
      </c>
      <c r="SP93" s="132">
        <f t="shared" si="129"/>
        <v>0</v>
      </c>
      <c r="SQ93" s="132">
        <f t="shared" si="130"/>
        <v>1000000</v>
      </c>
      <c r="SR93" s="132">
        <f t="shared" si="131"/>
        <v>3500000</v>
      </c>
      <c r="SS93" s="132">
        <f t="shared" si="132"/>
        <v>70000</v>
      </c>
      <c r="ST93" s="132">
        <f t="shared" si="133"/>
        <v>60000</v>
      </c>
      <c r="SU93" s="132">
        <f t="shared" si="134"/>
        <v>2600000</v>
      </c>
      <c r="SV93" s="131">
        <f t="shared" si="135"/>
        <v>7293000</v>
      </c>
      <c r="SW93" s="132">
        <f t="shared" si="136"/>
        <v>2408000</v>
      </c>
      <c r="SX93" s="132">
        <f t="shared" si="137"/>
        <v>70000</v>
      </c>
      <c r="SY93" s="132">
        <f t="shared" si="138"/>
        <v>0</v>
      </c>
      <c r="SZ93" s="132">
        <f t="shared" si="139"/>
        <v>100000</v>
      </c>
      <c r="TA93" s="132">
        <f t="shared" si="140"/>
        <v>0</v>
      </c>
      <c r="TB93" s="132">
        <f t="shared" si="141"/>
        <v>3000000</v>
      </c>
      <c r="TC93" s="132">
        <f t="shared" si="142"/>
        <v>15000</v>
      </c>
      <c r="TD93" s="132">
        <f t="shared" si="143"/>
        <v>0</v>
      </c>
      <c r="TE93" s="132">
        <f t="shared" si="144"/>
        <v>0</v>
      </c>
      <c r="TF93" s="132">
        <f t="shared" si="145"/>
        <v>1700000</v>
      </c>
      <c r="TG93" s="132">
        <f t="shared" si="146"/>
        <v>1400000</v>
      </c>
      <c r="TH93" s="132">
        <f t="shared" si="147"/>
        <v>100000</v>
      </c>
      <c r="TI93" s="1"/>
      <c r="TJ93" s="131">
        <f t="shared" si="148"/>
        <v>23410000</v>
      </c>
      <c r="TK93" s="131">
        <f t="shared" si="149"/>
        <v>23410000</v>
      </c>
      <c r="TL93" s="131">
        <f t="shared" si="150"/>
        <v>23410000</v>
      </c>
      <c r="TM93" s="132">
        <f t="shared" si="151"/>
        <v>23410000</v>
      </c>
      <c r="TN93" s="132">
        <f t="shared" si="152"/>
        <v>0</v>
      </c>
      <c r="TO93" s="132">
        <f t="shared" si="153"/>
        <v>0</v>
      </c>
      <c r="TP93" s="132">
        <f t="shared" si="154"/>
        <v>0</v>
      </c>
      <c r="TQ93" s="131">
        <f t="shared" si="155"/>
        <v>0</v>
      </c>
      <c r="TR93" s="131">
        <f t="shared" si="156"/>
        <v>0</v>
      </c>
      <c r="TS93" s="132">
        <f t="shared" si="157"/>
        <v>0</v>
      </c>
      <c r="TT93" s="132">
        <f t="shared" si="158"/>
        <v>0</v>
      </c>
      <c r="TU93" s="132">
        <f t="shared" si="159"/>
        <v>0</v>
      </c>
      <c r="TV93" s="132">
        <f t="shared" si="160"/>
        <v>0</v>
      </c>
      <c r="TW93" s="132">
        <f t="shared" si="161"/>
        <v>0</v>
      </c>
      <c r="TX93" s="132">
        <f t="shared" si="162"/>
        <v>0</v>
      </c>
      <c r="TY93" s="131">
        <f t="shared" si="163"/>
        <v>0</v>
      </c>
      <c r="TZ93" s="132">
        <f t="shared" si="164"/>
        <v>0</v>
      </c>
      <c r="UA93" s="132">
        <f t="shared" si="165"/>
        <v>0</v>
      </c>
      <c r="UB93" s="132">
        <f t="shared" si="166"/>
        <v>0</v>
      </c>
      <c r="UC93" s="132">
        <f t="shared" si="167"/>
        <v>0</v>
      </c>
      <c r="UD93" s="132">
        <f t="shared" si="168"/>
        <v>0</v>
      </c>
      <c r="UE93" s="132">
        <f t="shared" si="169"/>
        <v>0</v>
      </c>
      <c r="UF93" s="132">
        <f t="shared" si="170"/>
        <v>0</v>
      </c>
      <c r="UG93" s="132">
        <f t="shared" si="171"/>
        <v>0</v>
      </c>
      <c r="UH93" s="132">
        <f t="shared" si="172"/>
        <v>0</v>
      </c>
      <c r="UI93" s="132">
        <f t="shared" si="173"/>
        <v>0</v>
      </c>
      <c r="UJ93" s="132">
        <f t="shared" si="174"/>
        <v>0</v>
      </c>
      <c r="UK93" s="132">
        <f t="shared" si="175"/>
        <v>0</v>
      </c>
      <c r="UL93" s="132">
        <f t="shared" si="210"/>
        <v>23410000</v>
      </c>
      <c r="UM93" s="131">
        <f t="shared" si="176"/>
        <v>23410000</v>
      </c>
      <c r="UN93" s="131">
        <f t="shared" si="177"/>
        <v>23410000</v>
      </c>
      <c r="UO93" s="131">
        <f t="shared" si="178"/>
        <v>23410000</v>
      </c>
      <c r="UP93" s="132">
        <f t="shared" si="179"/>
        <v>23410000</v>
      </c>
      <c r="UQ93" s="132">
        <f t="shared" si="180"/>
        <v>0</v>
      </c>
      <c r="UR93" s="132">
        <f t="shared" si="181"/>
        <v>0</v>
      </c>
      <c r="US93" s="132">
        <f t="shared" si="182"/>
        <v>0</v>
      </c>
      <c r="UT93" s="131">
        <f t="shared" si="183"/>
        <v>0</v>
      </c>
      <c r="UU93" s="131">
        <f t="shared" si="184"/>
        <v>0</v>
      </c>
      <c r="UV93" s="132">
        <f t="shared" si="185"/>
        <v>0</v>
      </c>
      <c r="UW93" s="132">
        <f t="shared" si="186"/>
        <v>0</v>
      </c>
      <c r="UX93" s="132">
        <f t="shared" si="187"/>
        <v>0</v>
      </c>
      <c r="UY93" s="132">
        <f t="shared" si="188"/>
        <v>0</v>
      </c>
      <c r="UZ93" s="132">
        <f t="shared" si="189"/>
        <v>0</v>
      </c>
      <c r="VA93" s="132">
        <f t="shared" si="190"/>
        <v>0</v>
      </c>
      <c r="VB93" s="131">
        <f t="shared" si="191"/>
        <v>0</v>
      </c>
      <c r="VC93" s="132">
        <f t="shared" si="192"/>
        <v>0</v>
      </c>
      <c r="VD93" s="132">
        <f t="shared" si="193"/>
        <v>0</v>
      </c>
      <c r="VE93" s="132">
        <f t="shared" si="194"/>
        <v>0</v>
      </c>
      <c r="VF93" s="132">
        <f t="shared" si="195"/>
        <v>0</v>
      </c>
      <c r="VG93" s="132">
        <f t="shared" si="196"/>
        <v>0</v>
      </c>
      <c r="VH93" s="132">
        <f t="shared" si="197"/>
        <v>0</v>
      </c>
      <c r="VI93" s="132">
        <f t="shared" si="198"/>
        <v>0</v>
      </c>
      <c r="VJ93" s="132">
        <f t="shared" si="199"/>
        <v>0</v>
      </c>
      <c r="VK93" s="132">
        <f t="shared" si="200"/>
        <v>0</v>
      </c>
      <c r="VL93" s="132">
        <f t="shared" si="201"/>
        <v>0</v>
      </c>
      <c r="VM93" s="132">
        <f t="shared" si="202"/>
        <v>0</v>
      </c>
      <c r="VN93" s="132">
        <f t="shared" si="203"/>
        <v>0</v>
      </c>
      <c r="VP93" s="845" t="str">
        <f>IFERROR(HLOOKUP(F93,'Hodnocení '!$C$1:$JH$5,2,FALSE),0)</f>
        <v>domov pro seniory</v>
      </c>
      <c r="VQ93" s="838"/>
      <c r="VR93" s="845" t="str">
        <f t="shared" si="211"/>
        <v>Příspěvková organizace zřízená územním samosprávným celkem</v>
      </c>
      <c r="VS93" s="845" t="str">
        <f>IFERROR(HLOOKUP(F93,'Hodnocení '!$C$1:$JH$5,5,FALSE),0)</f>
        <v>PO KHK</v>
      </c>
      <c r="VT93" s="838">
        <f t="shared" si="212"/>
        <v>0</v>
      </c>
      <c r="VU93" s="838" t="str">
        <f t="shared" si="213"/>
        <v>PO KHK</v>
      </c>
      <c r="VV93" s="838">
        <f t="shared" si="214"/>
        <v>23656000</v>
      </c>
      <c r="VW93" s="838">
        <f t="shared" si="215"/>
        <v>3768000</v>
      </c>
      <c r="VX93" s="838"/>
      <c r="VY93" s="838">
        <f t="shared" si="216"/>
        <v>0</v>
      </c>
      <c r="VZ93" s="838">
        <f t="shared" si="217"/>
        <v>23410000</v>
      </c>
      <c r="WA93" s="846">
        <f>IFERROR(HLOOKUP($F93,'Hodnocení '!$C$1:$JH$9,9,FALSE),0)</f>
        <v>23410000</v>
      </c>
      <c r="WB93" s="846">
        <f>IF(IFERROR(HLOOKUP($F93,'Hodnocení '!$C$1:$JH$13,13,FALSE),0)&gt;WA93,WA93,IFERROR(HLOOKUP($F93,'Hodnocení '!$C$1:$JH$13,13,FALSE),0))</f>
        <v>23410000</v>
      </c>
      <c r="WC93" s="846">
        <f>IFERROR(HLOOKUP($F93,'Hodnocení '!$C$1:$JH$155,155,FALSE),0)</f>
        <v>15681490</v>
      </c>
      <c r="WD93" s="845"/>
      <c r="WE93" s="845"/>
      <c r="WF93" s="845" t="str">
        <f t="shared" si="204"/>
        <v>ANO</v>
      </c>
      <c r="WG93" s="849" t="str">
        <f t="shared" si="218"/>
        <v>Podpora služby je vyjádřena zařazením do sítě sociálních služeb v KHK a řešením financování služby</v>
      </c>
      <c r="WH93"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93" s="849" t="str">
        <f t="shared" si="218"/>
        <v>Návrh dotace je výsledkem projednání s ostatními zadavateli v rámci sítě služeb KHK</v>
      </c>
      <c r="WJ93" s="849" t="str">
        <f t="shared" si="218"/>
        <v>Bez komentáře</v>
      </c>
      <c r="WK93" s="31">
        <f t="shared" si="205"/>
        <v>0</v>
      </c>
      <c r="WL93" s="850" t="str">
        <f t="shared" si="206"/>
        <v>Případná úprava příspěvku zřizovatele bude řešena v návaznosti na vývoj služby</v>
      </c>
      <c r="WM93" s="849" t="str">
        <f t="shared" si="207"/>
        <v>V rámci sítě KHK se dlouhodobě řeší otázka navyšování úhrad a průběžně se monitoruje s vazbou na vykrytí vyrovnávací platby</v>
      </c>
      <c r="WN93" s="849" t="str">
        <f t="shared" si="208"/>
        <v>Otázka výběru od zdravotních pojišťoven je předmětem procesu, který probíhá ve formě jednání se ZP a organizacemi</v>
      </c>
      <c r="WO93" s="849" t="str">
        <f t="shared" si="118"/>
        <v>bez komentáře</v>
      </c>
      <c r="WP93" s="849" t="str">
        <f t="shared" si="118"/>
        <v>bez komentáře</v>
      </c>
      <c r="WQ93" s="849" t="str">
        <f t="shared" si="118"/>
        <v>Konečná výše dotace z rozpočtu KHK bude řešena v návaznosti na řešení podílů jednotlivých zadavatelů.</v>
      </c>
      <c r="WR93" s="849" t="str">
        <f t="shared" si="118"/>
        <v>Konečná výše podpory ze stran obcí bude řešena v součinnosti s jednotlivými zadavateli v průběhu roku.</v>
      </c>
      <c r="WS93" s="849" t="str">
        <f t="shared" si="118"/>
        <v>bez komentáře</v>
      </c>
      <c r="WT93" s="849" t="str">
        <f t="shared" si="118"/>
        <v>bez komentáře</v>
      </c>
      <c r="WU93" s="845"/>
    </row>
    <row r="94" spans="1:619" s="128" customFormat="1" x14ac:dyDescent="0.25">
      <c r="A94" s="128" t="str">
        <f>VLOOKUP(F94,'Výpočet VP 2020'!$D$324:$I$588,6,FALSE)</f>
        <v>Je v síti</v>
      </c>
      <c r="B94" s="128" t="s">
        <v>523</v>
      </c>
      <c r="C94" s="128">
        <v>71193952</v>
      </c>
      <c r="D94" s="128" t="s">
        <v>524</v>
      </c>
      <c r="E94" s="128" t="s">
        <v>259</v>
      </c>
      <c r="F94" s="128">
        <v>6945387</v>
      </c>
      <c r="G94" s="128" t="s">
        <v>260</v>
      </c>
      <c r="H94" s="128" t="s">
        <v>218</v>
      </c>
      <c r="I94" s="128" t="s">
        <v>528</v>
      </c>
      <c r="J94" s="129">
        <v>39083</v>
      </c>
      <c r="L94" s="128" t="s">
        <v>220</v>
      </c>
      <c r="M94" s="128" t="s">
        <v>529</v>
      </c>
      <c r="N94" s="128">
        <v>43</v>
      </c>
      <c r="P94" s="128">
        <v>57</v>
      </c>
      <c r="Q94" s="128">
        <v>43</v>
      </c>
      <c r="R94" s="128">
        <v>43</v>
      </c>
      <c r="W94" s="128" t="s">
        <v>530</v>
      </c>
      <c r="BL94" s="128" t="s">
        <v>263</v>
      </c>
      <c r="BM94" s="128" t="s">
        <v>223</v>
      </c>
      <c r="BN94" s="128" t="s">
        <v>326</v>
      </c>
      <c r="DA94" s="128">
        <v>0</v>
      </c>
      <c r="DB94" s="128">
        <v>0</v>
      </c>
      <c r="DC94" s="128">
        <v>0</v>
      </c>
      <c r="DD94" s="128">
        <v>0</v>
      </c>
      <c r="DE94" s="128">
        <v>0</v>
      </c>
      <c r="DF94" s="128">
        <v>0</v>
      </c>
      <c r="DG94" s="128">
        <v>0</v>
      </c>
      <c r="DH94" s="128">
        <v>22</v>
      </c>
      <c r="DI94" s="128">
        <v>21</v>
      </c>
      <c r="DJ94" s="128">
        <v>0</v>
      </c>
      <c r="DK94" s="128">
        <v>0</v>
      </c>
      <c r="DL94" s="128">
        <v>0</v>
      </c>
      <c r="DM94" s="128">
        <v>22</v>
      </c>
      <c r="DN94" s="128">
        <v>21</v>
      </c>
      <c r="DO94" s="128">
        <v>0</v>
      </c>
      <c r="DP94" s="128">
        <v>0</v>
      </c>
      <c r="DQ94" s="128">
        <v>43</v>
      </c>
      <c r="DR94" s="128">
        <v>43</v>
      </c>
      <c r="DS94" s="128">
        <v>0</v>
      </c>
      <c r="DT94" s="128">
        <v>0</v>
      </c>
      <c r="DU94" s="128">
        <v>0</v>
      </c>
      <c r="DV94" s="128">
        <v>0</v>
      </c>
      <c r="DW94" s="128">
        <v>0</v>
      </c>
      <c r="DX94" s="128">
        <v>0</v>
      </c>
      <c r="DY94" s="128">
        <v>0</v>
      </c>
      <c r="DZ94" s="128">
        <v>21</v>
      </c>
      <c r="EA94" s="128">
        <v>22</v>
      </c>
      <c r="EB94" s="128">
        <v>0</v>
      </c>
      <c r="EC94" s="128">
        <v>0</v>
      </c>
      <c r="ED94" s="128">
        <v>0</v>
      </c>
      <c r="EE94" s="128">
        <v>21</v>
      </c>
      <c r="EF94" s="128">
        <v>22</v>
      </c>
      <c r="EG94" s="128">
        <v>0</v>
      </c>
      <c r="EH94" s="128">
        <v>0</v>
      </c>
      <c r="EI94" s="128">
        <v>43</v>
      </c>
      <c r="EJ94" s="128">
        <v>43</v>
      </c>
      <c r="EP94" s="128">
        <v>16</v>
      </c>
      <c r="EQ94" s="128">
        <v>12.8</v>
      </c>
      <c r="ER94" s="128">
        <v>15</v>
      </c>
      <c r="ES94" s="128">
        <v>7500000</v>
      </c>
      <c r="ET94" s="128">
        <v>7500000</v>
      </c>
      <c r="EU94" s="128">
        <v>9</v>
      </c>
      <c r="EV94" s="128">
        <v>5.2</v>
      </c>
      <c r="EW94" s="128">
        <v>6.2</v>
      </c>
      <c r="EX94" s="128">
        <v>3600000</v>
      </c>
      <c r="EY94" s="128">
        <v>0</v>
      </c>
      <c r="FO94" s="128">
        <v>22</v>
      </c>
      <c r="FP94" s="128">
        <v>11.2</v>
      </c>
      <c r="FQ94" s="128">
        <v>11.5</v>
      </c>
      <c r="FR94" s="128">
        <v>6100000</v>
      </c>
      <c r="FS94" s="128">
        <v>3038000</v>
      </c>
      <c r="KG94" s="128">
        <v>0</v>
      </c>
      <c r="KI94" s="128">
        <v>18</v>
      </c>
      <c r="KJ94" s="128">
        <v>0</v>
      </c>
      <c r="KK94" s="128">
        <v>0</v>
      </c>
      <c r="KL94" s="128">
        <v>0</v>
      </c>
      <c r="KM94" s="128">
        <v>18</v>
      </c>
      <c r="KN94" s="128">
        <v>17200000</v>
      </c>
      <c r="KO94" s="128">
        <v>10538000</v>
      </c>
      <c r="KP94" s="128">
        <v>10538000</v>
      </c>
      <c r="KT94" s="128">
        <v>0</v>
      </c>
      <c r="KU94" s="128">
        <v>0</v>
      </c>
      <c r="KV94" s="128">
        <v>0</v>
      </c>
      <c r="KZ94" s="128">
        <v>0</v>
      </c>
      <c r="LA94" s="128">
        <v>0</v>
      </c>
      <c r="LB94" s="128">
        <v>0</v>
      </c>
      <c r="LF94" s="128">
        <v>0</v>
      </c>
      <c r="LG94" s="128">
        <v>0</v>
      </c>
      <c r="LH94" s="128">
        <v>0</v>
      </c>
      <c r="LL94" s="128">
        <v>0</v>
      </c>
      <c r="LM94" s="128">
        <v>0</v>
      </c>
      <c r="LN94" s="128">
        <v>0</v>
      </c>
      <c r="LR94" s="128">
        <v>500000</v>
      </c>
      <c r="LS94" s="128">
        <v>0</v>
      </c>
      <c r="LT94" s="128">
        <v>0</v>
      </c>
      <c r="LX94" s="128">
        <v>1600000</v>
      </c>
      <c r="LY94" s="128">
        <v>0</v>
      </c>
      <c r="LZ94" s="128">
        <v>0</v>
      </c>
      <c r="MD94" s="128">
        <v>30000</v>
      </c>
      <c r="ME94" s="128">
        <v>0</v>
      </c>
      <c r="MF94" s="128">
        <v>0</v>
      </c>
      <c r="MJ94" s="128">
        <v>30000</v>
      </c>
      <c r="MK94" s="128">
        <v>0</v>
      </c>
      <c r="ML94" s="128">
        <v>0</v>
      </c>
      <c r="MP94" s="128">
        <v>1500000</v>
      </c>
      <c r="MQ94" s="128">
        <v>0</v>
      </c>
      <c r="MR94" s="128">
        <v>0</v>
      </c>
      <c r="MV94" s="128">
        <v>1444000</v>
      </c>
      <c r="MW94" s="128">
        <v>0</v>
      </c>
      <c r="MX94" s="128">
        <v>0</v>
      </c>
      <c r="NB94" s="128">
        <v>30000</v>
      </c>
      <c r="NC94" s="128">
        <v>0</v>
      </c>
      <c r="ND94" s="128">
        <v>0</v>
      </c>
      <c r="NH94" s="128">
        <v>0</v>
      </c>
      <c r="NI94" s="128">
        <v>0</v>
      </c>
      <c r="NJ94" s="128">
        <v>0</v>
      </c>
      <c r="NN94" s="128">
        <v>50000</v>
      </c>
      <c r="NO94" s="128">
        <v>0</v>
      </c>
      <c r="NP94" s="128">
        <v>0</v>
      </c>
      <c r="NT94" s="128">
        <v>0</v>
      </c>
      <c r="NU94" s="128">
        <v>0</v>
      </c>
      <c r="NV94" s="128">
        <v>0</v>
      </c>
      <c r="NZ94" s="128">
        <v>1000000</v>
      </c>
      <c r="OA94" s="128">
        <v>0</v>
      </c>
      <c r="OB94" s="128">
        <v>0</v>
      </c>
      <c r="OF94" s="128">
        <v>8000</v>
      </c>
      <c r="OG94" s="128">
        <v>0</v>
      </c>
      <c r="OH94" s="128">
        <v>0</v>
      </c>
      <c r="OL94" s="128">
        <v>0</v>
      </c>
      <c r="OM94" s="128">
        <v>0</v>
      </c>
      <c r="ON94" s="128">
        <v>0</v>
      </c>
      <c r="OR94" s="128">
        <v>0</v>
      </c>
      <c r="OS94" s="128">
        <v>0</v>
      </c>
      <c r="OT94" s="128">
        <v>0</v>
      </c>
      <c r="OX94" s="128">
        <v>600000</v>
      </c>
      <c r="OY94" s="128">
        <v>0</v>
      </c>
      <c r="OZ94" s="128">
        <v>0</v>
      </c>
      <c r="PD94" s="128">
        <v>900000</v>
      </c>
      <c r="PE94" s="128">
        <v>0</v>
      </c>
      <c r="PF94" s="128">
        <v>0</v>
      </c>
      <c r="PJ94" s="128">
        <v>50000</v>
      </c>
      <c r="PK94" s="128">
        <v>0</v>
      </c>
      <c r="PL94" s="128">
        <v>0</v>
      </c>
      <c r="PP94" s="128">
        <v>24942000</v>
      </c>
      <c r="PQ94" s="128">
        <v>10538000</v>
      </c>
      <c r="PR94" s="128">
        <v>10538000</v>
      </c>
      <c r="PS94" s="128">
        <v>100</v>
      </c>
      <c r="PT94" s="128">
        <v>100</v>
      </c>
      <c r="PV94" s="128">
        <v>14668948</v>
      </c>
      <c r="PX94" s="128">
        <v>4710750</v>
      </c>
      <c r="PY94" s="128">
        <v>4689000</v>
      </c>
      <c r="PZ94" s="128">
        <v>10538000</v>
      </c>
      <c r="QA94" s="128">
        <v>0</v>
      </c>
      <c r="QB94" s="128">
        <v>0</v>
      </c>
      <c r="QC94" s="128">
        <v>0</v>
      </c>
      <c r="QD94" s="128">
        <v>0</v>
      </c>
      <c r="QE94" s="128">
        <v>0</v>
      </c>
      <c r="QF94" s="128">
        <v>0</v>
      </c>
      <c r="QG94" s="128">
        <v>1973250</v>
      </c>
      <c r="QH94" s="128">
        <v>2885000</v>
      </c>
      <c r="QI94" s="128">
        <v>1860000</v>
      </c>
      <c r="QJ94" s="128">
        <v>11171957</v>
      </c>
      <c r="QK94" s="128">
        <v>10491000</v>
      </c>
      <c r="QL94" s="128">
        <v>9463000</v>
      </c>
      <c r="QN94" s="128">
        <v>2986255</v>
      </c>
      <c r="QO94" s="128">
        <v>3192000</v>
      </c>
      <c r="QP94" s="128">
        <v>2830000</v>
      </c>
      <c r="RD94" s="128">
        <v>166125</v>
      </c>
      <c r="RE94" s="128">
        <v>228000</v>
      </c>
      <c r="RF94" s="128">
        <v>251000</v>
      </c>
      <c r="RH94" s="128">
        <f t="shared" si="209"/>
        <v>12649000</v>
      </c>
      <c r="RI94" s="128">
        <v>0</v>
      </c>
      <c r="RM94" s="128" t="s">
        <v>220</v>
      </c>
      <c r="RU94" s="130"/>
      <c r="RV94" s="130"/>
      <c r="RW94" s="130"/>
      <c r="RX94" s="130"/>
      <c r="SF94" s="128">
        <f t="shared" si="119"/>
        <v>6945387</v>
      </c>
      <c r="SG94" s="131">
        <f t="shared" si="120"/>
        <v>24942000</v>
      </c>
      <c r="SH94" s="131">
        <f t="shared" si="121"/>
        <v>24942000</v>
      </c>
      <c r="SI94" s="131">
        <f t="shared" si="122"/>
        <v>17200000</v>
      </c>
      <c r="SJ94" s="132">
        <f t="shared" si="123"/>
        <v>17200000</v>
      </c>
      <c r="SK94" s="132">
        <f t="shared" si="124"/>
        <v>0</v>
      </c>
      <c r="SL94" s="132">
        <f t="shared" si="125"/>
        <v>0</v>
      </c>
      <c r="SM94" s="132">
        <f t="shared" si="126"/>
        <v>0</v>
      </c>
      <c r="SN94" s="131">
        <f t="shared" si="127"/>
        <v>7742000</v>
      </c>
      <c r="SO94" s="131">
        <f t="shared" si="128"/>
        <v>500000</v>
      </c>
      <c r="SP94" s="132">
        <f t="shared" si="129"/>
        <v>0</v>
      </c>
      <c r="SQ94" s="132">
        <f t="shared" si="130"/>
        <v>500000</v>
      </c>
      <c r="SR94" s="132">
        <f t="shared" si="131"/>
        <v>1600000</v>
      </c>
      <c r="SS94" s="132">
        <f t="shared" si="132"/>
        <v>30000</v>
      </c>
      <c r="ST94" s="132">
        <f t="shared" si="133"/>
        <v>30000</v>
      </c>
      <c r="SU94" s="132">
        <f t="shared" si="134"/>
        <v>1500000</v>
      </c>
      <c r="SV94" s="131">
        <f t="shared" si="135"/>
        <v>3132000</v>
      </c>
      <c r="SW94" s="132">
        <f t="shared" si="136"/>
        <v>1444000</v>
      </c>
      <c r="SX94" s="132">
        <f t="shared" si="137"/>
        <v>30000</v>
      </c>
      <c r="SY94" s="132">
        <f t="shared" si="138"/>
        <v>0</v>
      </c>
      <c r="SZ94" s="132">
        <f t="shared" si="139"/>
        <v>50000</v>
      </c>
      <c r="TA94" s="132">
        <f t="shared" si="140"/>
        <v>0</v>
      </c>
      <c r="TB94" s="132">
        <f t="shared" si="141"/>
        <v>1000000</v>
      </c>
      <c r="TC94" s="132">
        <f t="shared" si="142"/>
        <v>8000</v>
      </c>
      <c r="TD94" s="132">
        <f t="shared" si="143"/>
        <v>0</v>
      </c>
      <c r="TE94" s="132">
        <f t="shared" si="144"/>
        <v>0</v>
      </c>
      <c r="TF94" s="132">
        <f t="shared" si="145"/>
        <v>600000</v>
      </c>
      <c r="TG94" s="132">
        <f t="shared" si="146"/>
        <v>900000</v>
      </c>
      <c r="TH94" s="132">
        <f t="shared" si="147"/>
        <v>50000</v>
      </c>
      <c r="TI94" s="1"/>
      <c r="TJ94" s="131">
        <f t="shared" si="148"/>
        <v>10538000</v>
      </c>
      <c r="TK94" s="131">
        <f t="shared" si="149"/>
        <v>10538000</v>
      </c>
      <c r="TL94" s="131">
        <f t="shared" si="150"/>
        <v>10538000</v>
      </c>
      <c r="TM94" s="132">
        <f t="shared" si="151"/>
        <v>10538000</v>
      </c>
      <c r="TN94" s="132">
        <f t="shared" si="152"/>
        <v>0</v>
      </c>
      <c r="TO94" s="132">
        <f t="shared" si="153"/>
        <v>0</v>
      </c>
      <c r="TP94" s="132">
        <f t="shared" si="154"/>
        <v>0</v>
      </c>
      <c r="TQ94" s="131">
        <f t="shared" si="155"/>
        <v>0</v>
      </c>
      <c r="TR94" s="131">
        <f t="shared" si="156"/>
        <v>0</v>
      </c>
      <c r="TS94" s="132">
        <f t="shared" si="157"/>
        <v>0</v>
      </c>
      <c r="TT94" s="132">
        <f t="shared" si="158"/>
        <v>0</v>
      </c>
      <c r="TU94" s="132">
        <f t="shared" si="159"/>
        <v>0</v>
      </c>
      <c r="TV94" s="132">
        <f t="shared" si="160"/>
        <v>0</v>
      </c>
      <c r="TW94" s="132">
        <f t="shared" si="161"/>
        <v>0</v>
      </c>
      <c r="TX94" s="132">
        <f t="shared" si="162"/>
        <v>0</v>
      </c>
      <c r="TY94" s="131">
        <f t="shared" si="163"/>
        <v>0</v>
      </c>
      <c r="TZ94" s="132">
        <f t="shared" si="164"/>
        <v>0</v>
      </c>
      <c r="UA94" s="132">
        <f t="shared" si="165"/>
        <v>0</v>
      </c>
      <c r="UB94" s="132">
        <f t="shared" si="166"/>
        <v>0</v>
      </c>
      <c r="UC94" s="132">
        <f t="shared" si="167"/>
        <v>0</v>
      </c>
      <c r="UD94" s="132">
        <f t="shared" si="168"/>
        <v>0</v>
      </c>
      <c r="UE94" s="132">
        <f t="shared" si="169"/>
        <v>0</v>
      </c>
      <c r="UF94" s="132">
        <f t="shared" si="170"/>
        <v>0</v>
      </c>
      <c r="UG94" s="132">
        <f t="shared" si="171"/>
        <v>0</v>
      </c>
      <c r="UH94" s="132">
        <f t="shared" si="172"/>
        <v>0</v>
      </c>
      <c r="UI94" s="132">
        <f t="shared" si="173"/>
        <v>0</v>
      </c>
      <c r="UJ94" s="132">
        <f t="shared" si="174"/>
        <v>0</v>
      </c>
      <c r="UK94" s="132">
        <f t="shared" si="175"/>
        <v>0</v>
      </c>
      <c r="UL94" s="132">
        <f t="shared" si="210"/>
        <v>10538000</v>
      </c>
      <c r="UM94" s="131">
        <f t="shared" si="176"/>
        <v>10538000</v>
      </c>
      <c r="UN94" s="131">
        <f t="shared" si="177"/>
        <v>10538000</v>
      </c>
      <c r="UO94" s="131">
        <f t="shared" si="178"/>
        <v>10538000</v>
      </c>
      <c r="UP94" s="132">
        <f t="shared" si="179"/>
        <v>10538000</v>
      </c>
      <c r="UQ94" s="132">
        <f t="shared" si="180"/>
        <v>0</v>
      </c>
      <c r="UR94" s="132">
        <f t="shared" si="181"/>
        <v>0</v>
      </c>
      <c r="US94" s="132">
        <f t="shared" si="182"/>
        <v>0</v>
      </c>
      <c r="UT94" s="131">
        <f t="shared" si="183"/>
        <v>0</v>
      </c>
      <c r="UU94" s="131">
        <f t="shared" si="184"/>
        <v>0</v>
      </c>
      <c r="UV94" s="132">
        <f t="shared" si="185"/>
        <v>0</v>
      </c>
      <c r="UW94" s="132">
        <f t="shared" si="186"/>
        <v>0</v>
      </c>
      <c r="UX94" s="132">
        <f t="shared" si="187"/>
        <v>0</v>
      </c>
      <c r="UY94" s="132">
        <f t="shared" si="188"/>
        <v>0</v>
      </c>
      <c r="UZ94" s="132">
        <f t="shared" si="189"/>
        <v>0</v>
      </c>
      <c r="VA94" s="132">
        <f t="shared" si="190"/>
        <v>0</v>
      </c>
      <c r="VB94" s="131">
        <f t="shared" si="191"/>
        <v>0</v>
      </c>
      <c r="VC94" s="132">
        <f t="shared" si="192"/>
        <v>0</v>
      </c>
      <c r="VD94" s="132">
        <f t="shared" si="193"/>
        <v>0</v>
      </c>
      <c r="VE94" s="132">
        <f t="shared" si="194"/>
        <v>0</v>
      </c>
      <c r="VF94" s="132">
        <f t="shared" si="195"/>
        <v>0</v>
      </c>
      <c r="VG94" s="132">
        <f t="shared" si="196"/>
        <v>0</v>
      </c>
      <c r="VH94" s="132">
        <f t="shared" si="197"/>
        <v>0</v>
      </c>
      <c r="VI94" s="132">
        <f t="shared" si="198"/>
        <v>0</v>
      </c>
      <c r="VJ94" s="132">
        <f t="shared" si="199"/>
        <v>0</v>
      </c>
      <c r="VK94" s="132">
        <f t="shared" si="200"/>
        <v>0</v>
      </c>
      <c r="VL94" s="132">
        <f t="shared" si="201"/>
        <v>0</v>
      </c>
      <c r="VM94" s="132">
        <f t="shared" si="202"/>
        <v>0</v>
      </c>
      <c r="VN94" s="132">
        <f t="shared" si="203"/>
        <v>0</v>
      </c>
      <c r="VP94" s="845" t="str">
        <f>IFERROR(HLOOKUP(F94,'Hodnocení '!$C$1:$JH$5,2,FALSE),0)</f>
        <v>domov pro osoby se zdravotním postižením</v>
      </c>
      <c r="VQ94" s="838"/>
      <c r="VR94" s="845" t="str">
        <f t="shared" si="211"/>
        <v>Příspěvková organizace zřízená územním samosprávným celkem</v>
      </c>
      <c r="VS94" s="845" t="str">
        <f>IFERROR(HLOOKUP(F94,'Hodnocení '!$C$1:$JH$5,5,FALSE),0)</f>
        <v>PO KHK</v>
      </c>
      <c r="VT94" s="838">
        <f t="shared" si="212"/>
        <v>0</v>
      </c>
      <c r="VU94" s="838" t="str">
        <f t="shared" si="213"/>
        <v>PO KHK</v>
      </c>
      <c r="VV94" s="838">
        <f t="shared" si="214"/>
        <v>9463000</v>
      </c>
      <c r="VW94" s="838">
        <f t="shared" si="215"/>
        <v>2830000</v>
      </c>
      <c r="VX94" s="838"/>
      <c r="VY94" s="838">
        <f t="shared" si="216"/>
        <v>0</v>
      </c>
      <c r="VZ94" s="838">
        <f t="shared" si="217"/>
        <v>10538000</v>
      </c>
      <c r="WA94" s="846">
        <f>IFERROR(HLOOKUP($F94,'Hodnocení '!$C$1:$JH$9,9,FALSE),0)</f>
        <v>10538000</v>
      </c>
      <c r="WB94" s="846">
        <f>IF(IFERROR(HLOOKUP($F94,'Hodnocení '!$C$1:$JH$13,13,FALSE),0)&gt;WA94,WA94,IFERROR(HLOOKUP($F94,'Hodnocení '!$C$1:$JH$13,13,FALSE),0))</f>
        <v>10538000</v>
      </c>
      <c r="WC94" s="846">
        <f>IFERROR(HLOOKUP($F94,'Hodnocení '!$C$1:$JH$155,155,FALSE),0)</f>
        <v>3266100</v>
      </c>
      <c r="WD94" s="845"/>
      <c r="WE94" s="845"/>
      <c r="WF94" s="845" t="str">
        <f t="shared" si="204"/>
        <v>ANO</v>
      </c>
      <c r="WG94" s="849" t="str">
        <f t="shared" si="218"/>
        <v>Podpora služby je vyjádřena zařazením do sítě sociálních služeb v KHK a řešením financování služby</v>
      </c>
      <c r="WH94"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94" s="849" t="str">
        <f t="shared" si="218"/>
        <v>Návrh dotace je výsledkem projednání s ostatními zadavateli v rámci sítě služeb KHK</v>
      </c>
      <c r="WJ94" s="849" t="str">
        <f t="shared" si="218"/>
        <v>Bez komentáře</v>
      </c>
      <c r="WK94" s="31">
        <f t="shared" si="205"/>
        <v>0</v>
      </c>
      <c r="WL94" s="850" t="str">
        <f t="shared" si="206"/>
        <v>Případná úprava příspěvku zřizovatele bude řešena v návaznosti na vývoj služby</v>
      </c>
      <c r="WM94" s="849" t="str">
        <f t="shared" si="207"/>
        <v>V rámci sítě KHK se dlouhodobě řeší otázka navyšování úhrad a průběžně se monitoruje s vazbou na vykrytí vyrovnávací platby</v>
      </c>
      <c r="WN94" s="849" t="str">
        <f t="shared" si="208"/>
        <v>Otázka výběru od zdravotních pojišťoven je předmětem procesu, který probíhá ve formě jednání se ZP a organizacemi</v>
      </c>
      <c r="WO94" s="849" t="str">
        <f t="shared" si="118"/>
        <v>bez komentáře</v>
      </c>
      <c r="WP94" s="849" t="str">
        <f t="shared" si="118"/>
        <v>bez komentáře</v>
      </c>
      <c r="WQ94" s="849" t="str">
        <f t="shared" si="118"/>
        <v>Konečná výše dotace z rozpočtu KHK bude řešena v návaznosti na řešení podílů jednotlivých zadavatelů.</v>
      </c>
      <c r="WR94" s="849" t="str">
        <f t="shared" si="118"/>
        <v>Konečná výše podpory ze stran obcí bude řešena v součinnosti s jednotlivými zadavateli v průběhu roku.</v>
      </c>
      <c r="WS94" s="849" t="str">
        <f t="shared" si="118"/>
        <v>bez komentáře</v>
      </c>
      <c r="WT94" s="849" t="str">
        <f t="shared" si="118"/>
        <v>bez komentáře</v>
      </c>
      <c r="WU94" s="845"/>
    </row>
    <row r="95" spans="1:619" s="128" customFormat="1" x14ac:dyDescent="0.25">
      <c r="A95" s="128" t="str">
        <f>VLOOKUP(F95,'Výpočet VP 2020'!$D$324:$I$588,6,FALSE)</f>
        <v>Je v síti</v>
      </c>
      <c r="B95" s="128" t="s">
        <v>531</v>
      </c>
      <c r="C95" s="128">
        <v>25999150</v>
      </c>
      <c r="D95" s="128" t="s">
        <v>532</v>
      </c>
      <c r="E95" s="128" t="s">
        <v>216</v>
      </c>
      <c r="F95" s="128">
        <v>4547815</v>
      </c>
      <c r="G95" s="128" t="s">
        <v>286</v>
      </c>
      <c r="H95" s="128" t="s">
        <v>218</v>
      </c>
      <c r="I95" s="128" t="s">
        <v>533</v>
      </c>
      <c r="J95" s="129">
        <v>39083</v>
      </c>
      <c r="L95" s="128" t="s">
        <v>220</v>
      </c>
      <c r="X95" s="128" t="s">
        <v>534</v>
      </c>
      <c r="Z95" s="128">
        <v>14</v>
      </c>
      <c r="AA95" s="128">
        <v>14</v>
      </c>
      <c r="AB95" s="128">
        <v>31</v>
      </c>
      <c r="AC95" s="128">
        <v>35</v>
      </c>
      <c r="AD95" s="128">
        <v>40</v>
      </c>
      <c r="AN95" s="128">
        <v>2400</v>
      </c>
      <c r="BL95" s="128" t="s">
        <v>535</v>
      </c>
      <c r="BM95" s="128" t="s">
        <v>325</v>
      </c>
      <c r="BN95" s="128" t="s">
        <v>364</v>
      </c>
      <c r="BO95" s="128">
        <v>0</v>
      </c>
      <c r="BP95" s="128">
        <v>0</v>
      </c>
      <c r="BQ95" s="128">
        <v>0</v>
      </c>
      <c r="BR95" s="128">
        <v>0</v>
      </c>
      <c r="BS95" s="128">
        <v>0</v>
      </c>
      <c r="BT95" s="128">
        <v>15</v>
      </c>
      <c r="BU95" s="128">
        <v>10</v>
      </c>
      <c r="BV95" s="128">
        <v>2</v>
      </c>
      <c r="BW95" s="128">
        <v>0</v>
      </c>
      <c r="BX95" s="128">
        <v>8</v>
      </c>
      <c r="BY95" s="128">
        <v>15</v>
      </c>
      <c r="BZ95" s="128">
        <v>10</v>
      </c>
      <c r="CA95" s="128">
        <v>2</v>
      </c>
      <c r="CB95" s="128">
        <v>0</v>
      </c>
      <c r="CC95" s="128">
        <v>8</v>
      </c>
      <c r="CD95" s="128">
        <v>0</v>
      </c>
      <c r="CE95" s="128">
        <v>35</v>
      </c>
      <c r="CF95" s="128">
        <v>35</v>
      </c>
      <c r="CH95" s="128">
        <v>0</v>
      </c>
      <c r="CI95" s="128">
        <v>0</v>
      </c>
      <c r="CJ95" s="128">
        <v>0</v>
      </c>
      <c r="CK95" s="128">
        <v>0</v>
      </c>
      <c r="CL95" s="128">
        <v>0</v>
      </c>
      <c r="CM95" s="128">
        <v>15</v>
      </c>
      <c r="CN95" s="128">
        <v>10</v>
      </c>
      <c r="CO95" s="128">
        <v>2</v>
      </c>
      <c r="CP95" s="128">
        <v>0</v>
      </c>
      <c r="CQ95" s="128">
        <v>13</v>
      </c>
      <c r="CR95" s="128">
        <v>15</v>
      </c>
      <c r="CS95" s="128">
        <v>10</v>
      </c>
      <c r="CT95" s="128">
        <v>2</v>
      </c>
      <c r="CU95" s="128">
        <v>0</v>
      </c>
      <c r="CV95" s="128">
        <v>13</v>
      </c>
      <c r="CW95" s="128">
        <v>0</v>
      </c>
      <c r="CX95" s="128">
        <v>40</v>
      </c>
      <c r="CY95" s="128">
        <v>40</v>
      </c>
      <c r="EK95" s="128">
        <v>2</v>
      </c>
      <c r="EL95" s="128">
        <v>0.375</v>
      </c>
      <c r="EM95" s="128">
        <v>0.375</v>
      </c>
      <c r="EN95" s="128">
        <v>237356</v>
      </c>
      <c r="EO95" s="128">
        <v>150000</v>
      </c>
      <c r="EP95" s="128">
        <v>4</v>
      </c>
      <c r="EQ95" s="128">
        <v>1.7</v>
      </c>
      <c r="ER95" s="128">
        <v>1.7</v>
      </c>
      <c r="ES95" s="128">
        <v>722950</v>
      </c>
      <c r="ET95" s="128">
        <v>600000</v>
      </c>
      <c r="FO95" s="128">
        <v>1</v>
      </c>
      <c r="FP95" s="128">
        <v>0.125</v>
      </c>
      <c r="FQ95" s="128">
        <v>0.125</v>
      </c>
      <c r="FR95" s="128">
        <v>108540</v>
      </c>
      <c r="FS95" s="128">
        <v>0</v>
      </c>
      <c r="KG95" s="128">
        <v>0</v>
      </c>
      <c r="KI95" s="128">
        <v>2.0750000000000002</v>
      </c>
      <c r="KJ95" s="128">
        <v>0</v>
      </c>
      <c r="KK95" s="128">
        <v>0</v>
      </c>
      <c r="KL95" s="128">
        <v>0</v>
      </c>
      <c r="KM95" s="128">
        <v>2.0750000000000002</v>
      </c>
      <c r="KN95" s="128">
        <v>1068846</v>
      </c>
      <c r="KO95" s="128">
        <v>750000</v>
      </c>
      <c r="KP95" s="128">
        <v>750000</v>
      </c>
      <c r="KT95" s="128">
        <v>0</v>
      </c>
      <c r="KU95" s="128">
        <v>0</v>
      </c>
      <c r="KV95" s="128">
        <v>0</v>
      </c>
      <c r="KZ95" s="128">
        <v>0</v>
      </c>
      <c r="LA95" s="128">
        <v>0</v>
      </c>
      <c r="LB95" s="128">
        <v>0</v>
      </c>
      <c r="LF95" s="128">
        <v>20000</v>
      </c>
      <c r="LG95" s="128">
        <v>0</v>
      </c>
      <c r="LH95" s="128">
        <v>0</v>
      </c>
      <c r="LL95" s="128">
        <v>0</v>
      </c>
      <c r="LM95" s="128">
        <v>0</v>
      </c>
      <c r="LN95" s="128">
        <v>0</v>
      </c>
      <c r="LR95" s="128">
        <v>17000</v>
      </c>
      <c r="LS95" s="128">
        <v>0</v>
      </c>
      <c r="LT95" s="128">
        <v>0</v>
      </c>
      <c r="LX95" s="128">
        <v>0</v>
      </c>
      <c r="LY95" s="128">
        <v>0</v>
      </c>
      <c r="LZ95" s="128">
        <v>0</v>
      </c>
      <c r="MD95" s="128">
        <v>6000</v>
      </c>
      <c r="ME95" s="128">
        <v>0</v>
      </c>
      <c r="MF95" s="128">
        <v>0</v>
      </c>
      <c r="MJ95" s="128">
        <v>20000</v>
      </c>
      <c r="MK95" s="128">
        <v>0</v>
      </c>
      <c r="ML95" s="128">
        <v>0</v>
      </c>
      <c r="MP95" s="128">
        <v>25000</v>
      </c>
      <c r="MQ95" s="128">
        <v>0</v>
      </c>
      <c r="MR95" s="128">
        <v>0</v>
      </c>
      <c r="MV95" s="128">
        <v>70000</v>
      </c>
      <c r="MW95" s="128">
        <v>0</v>
      </c>
      <c r="MX95" s="128">
        <v>0</v>
      </c>
      <c r="NB95" s="128">
        <v>7000</v>
      </c>
      <c r="NC95" s="128">
        <v>0</v>
      </c>
      <c r="ND95" s="128">
        <v>0</v>
      </c>
      <c r="NH95" s="128">
        <v>40000</v>
      </c>
      <c r="NI95" s="128">
        <v>0</v>
      </c>
      <c r="NJ95" s="128">
        <v>0</v>
      </c>
      <c r="NN95" s="128">
        <v>30000</v>
      </c>
      <c r="NO95" s="128">
        <v>0</v>
      </c>
      <c r="NP95" s="128">
        <v>0</v>
      </c>
      <c r="NT95" s="128">
        <v>8000</v>
      </c>
      <c r="NU95" s="128">
        <v>0</v>
      </c>
      <c r="NV95" s="128">
        <v>0</v>
      </c>
      <c r="NZ95" s="128">
        <v>20000</v>
      </c>
      <c r="OA95" s="128">
        <v>0</v>
      </c>
      <c r="OB95" s="128">
        <v>0</v>
      </c>
      <c r="OF95" s="128">
        <v>5000</v>
      </c>
      <c r="OG95" s="128">
        <v>0</v>
      </c>
      <c r="OH95" s="128">
        <v>0</v>
      </c>
      <c r="OL95" s="128">
        <v>0</v>
      </c>
      <c r="OM95" s="128">
        <v>0</v>
      </c>
      <c r="ON95" s="128">
        <v>0</v>
      </c>
      <c r="OR95" s="128">
        <v>0</v>
      </c>
      <c r="OS95" s="128">
        <v>0</v>
      </c>
      <c r="OT95" s="128">
        <v>0</v>
      </c>
      <c r="OX95" s="128">
        <v>14000</v>
      </c>
      <c r="OY95" s="128">
        <v>0</v>
      </c>
      <c r="OZ95" s="128">
        <v>0</v>
      </c>
      <c r="PD95" s="128">
        <v>19000</v>
      </c>
      <c r="PE95" s="128">
        <v>0</v>
      </c>
      <c r="PF95" s="128">
        <v>0</v>
      </c>
      <c r="PJ95" s="128">
        <v>29000</v>
      </c>
      <c r="PK95" s="128">
        <v>0</v>
      </c>
      <c r="PL95" s="128">
        <v>0</v>
      </c>
      <c r="PP95" s="128">
        <v>1398846</v>
      </c>
      <c r="PQ95" s="128">
        <v>750000</v>
      </c>
      <c r="PR95" s="128">
        <v>750000</v>
      </c>
      <c r="PS95" s="128">
        <v>100</v>
      </c>
      <c r="PT95" s="128">
        <v>100</v>
      </c>
      <c r="PV95" s="128">
        <v>884314</v>
      </c>
      <c r="PX95" s="128">
        <v>525816</v>
      </c>
      <c r="PY95" s="128">
        <v>529296</v>
      </c>
      <c r="PZ95" s="128">
        <v>750000</v>
      </c>
      <c r="QA95" s="128">
        <v>9000</v>
      </c>
      <c r="QB95" s="128">
        <v>0</v>
      </c>
      <c r="QC95" s="128">
        <v>0</v>
      </c>
      <c r="QD95" s="128">
        <v>0</v>
      </c>
      <c r="QE95" s="128">
        <v>0</v>
      </c>
      <c r="QF95" s="128">
        <v>0</v>
      </c>
      <c r="QG95" s="128">
        <v>0</v>
      </c>
      <c r="QH95" s="128">
        <v>0</v>
      </c>
      <c r="QI95" s="128">
        <v>0</v>
      </c>
      <c r="QJ95" s="128">
        <v>149633</v>
      </c>
      <c r="QK95" s="128">
        <v>150000</v>
      </c>
      <c r="QL95" s="128">
        <v>150000</v>
      </c>
      <c r="QN95" s="128">
        <v>0</v>
      </c>
      <c r="QO95" s="128">
        <v>0</v>
      </c>
      <c r="QP95" s="128">
        <v>0</v>
      </c>
      <c r="QX95" s="128">
        <v>485000</v>
      </c>
      <c r="QY95" s="128">
        <v>653000</v>
      </c>
      <c r="QZ95" s="128">
        <v>498846</v>
      </c>
      <c r="RH95" s="128">
        <f t="shared" si="209"/>
        <v>1248846</v>
      </c>
      <c r="RI95" s="128">
        <v>0</v>
      </c>
      <c r="RM95" s="128" t="s">
        <v>220</v>
      </c>
      <c r="RU95" s="130"/>
      <c r="RV95" s="130"/>
      <c r="RW95" s="130"/>
      <c r="RX95" s="130"/>
      <c r="SF95" s="128">
        <f t="shared" si="119"/>
        <v>4547815</v>
      </c>
      <c r="SG95" s="131">
        <f t="shared" si="120"/>
        <v>1398846</v>
      </c>
      <c r="SH95" s="131">
        <f t="shared" si="121"/>
        <v>1398846</v>
      </c>
      <c r="SI95" s="131">
        <f t="shared" si="122"/>
        <v>1088846</v>
      </c>
      <c r="SJ95" s="132">
        <f t="shared" si="123"/>
        <v>1068846</v>
      </c>
      <c r="SK95" s="132">
        <f t="shared" si="124"/>
        <v>0</v>
      </c>
      <c r="SL95" s="132">
        <f t="shared" si="125"/>
        <v>0</v>
      </c>
      <c r="SM95" s="132">
        <f t="shared" si="126"/>
        <v>20000</v>
      </c>
      <c r="SN95" s="131">
        <f t="shared" si="127"/>
        <v>310000</v>
      </c>
      <c r="SO95" s="131">
        <f t="shared" si="128"/>
        <v>17000</v>
      </c>
      <c r="SP95" s="132">
        <f t="shared" si="129"/>
        <v>0</v>
      </c>
      <c r="SQ95" s="132">
        <f t="shared" si="130"/>
        <v>17000</v>
      </c>
      <c r="SR95" s="132">
        <f t="shared" si="131"/>
        <v>0</v>
      </c>
      <c r="SS95" s="132">
        <f t="shared" si="132"/>
        <v>6000</v>
      </c>
      <c r="ST95" s="132">
        <f t="shared" si="133"/>
        <v>20000</v>
      </c>
      <c r="SU95" s="132">
        <f t="shared" si="134"/>
        <v>25000</v>
      </c>
      <c r="SV95" s="131">
        <f t="shared" si="135"/>
        <v>194000</v>
      </c>
      <c r="SW95" s="132">
        <f t="shared" si="136"/>
        <v>70000</v>
      </c>
      <c r="SX95" s="132">
        <f t="shared" si="137"/>
        <v>7000</v>
      </c>
      <c r="SY95" s="132">
        <f t="shared" si="138"/>
        <v>40000</v>
      </c>
      <c r="SZ95" s="132">
        <f t="shared" si="139"/>
        <v>30000</v>
      </c>
      <c r="TA95" s="132">
        <f t="shared" si="140"/>
        <v>8000</v>
      </c>
      <c r="TB95" s="132">
        <f t="shared" si="141"/>
        <v>20000</v>
      </c>
      <c r="TC95" s="132">
        <f t="shared" si="142"/>
        <v>5000</v>
      </c>
      <c r="TD95" s="132">
        <f t="shared" si="143"/>
        <v>0</v>
      </c>
      <c r="TE95" s="132">
        <f t="shared" si="144"/>
        <v>0</v>
      </c>
      <c r="TF95" s="132">
        <f t="shared" si="145"/>
        <v>14000</v>
      </c>
      <c r="TG95" s="132">
        <f t="shared" si="146"/>
        <v>19000</v>
      </c>
      <c r="TH95" s="132">
        <f t="shared" si="147"/>
        <v>29000</v>
      </c>
      <c r="TI95" s="1"/>
      <c r="TJ95" s="131">
        <f t="shared" si="148"/>
        <v>750000</v>
      </c>
      <c r="TK95" s="131">
        <f t="shared" si="149"/>
        <v>750000</v>
      </c>
      <c r="TL95" s="131">
        <f t="shared" si="150"/>
        <v>750000</v>
      </c>
      <c r="TM95" s="132">
        <f t="shared" si="151"/>
        <v>750000</v>
      </c>
      <c r="TN95" s="132">
        <f t="shared" si="152"/>
        <v>0</v>
      </c>
      <c r="TO95" s="132">
        <f t="shared" si="153"/>
        <v>0</v>
      </c>
      <c r="TP95" s="132">
        <f t="shared" si="154"/>
        <v>0</v>
      </c>
      <c r="TQ95" s="131">
        <f t="shared" si="155"/>
        <v>0</v>
      </c>
      <c r="TR95" s="131">
        <f t="shared" si="156"/>
        <v>0</v>
      </c>
      <c r="TS95" s="132">
        <f t="shared" si="157"/>
        <v>0</v>
      </c>
      <c r="TT95" s="132">
        <f t="shared" si="158"/>
        <v>0</v>
      </c>
      <c r="TU95" s="132">
        <f t="shared" si="159"/>
        <v>0</v>
      </c>
      <c r="TV95" s="132">
        <f t="shared" si="160"/>
        <v>0</v>
      </c>
      <c r="TW95" s="132">
        <f t="shared" si="161"/>
        <v>0</v>
      </c>
      <c r="TX95" s="132">
        <f t="shared" si="162"/>
        <v>0</v>
      </c>
      <c r="TY95" s="131">
        <f t="shared" si="163"/>
        <v>0</v>
      </c>
      <c r="TZ95" s="132">
        <f t="shared" si="164"/>
        <v>0</v>
      </c>
      <c r="UA95" s="132">
        <f t="shared" si="165"/>
        <v>0</v>
      </c>
      <c r="UB95" s="132">
        <f t="shared" si="166"/>
        <v>0</v>
      </c>
      <c r="UC95" s="132">
        <f t="shared" si="167"/>
        <v>0</v>
      </c>
      <c r="UD95" s="132">
        <f t="shared" si="168"/>
        <v>0</v>
      </c>
      <c r="UE95" s="132">
        <f t="shared" si="169"/>
        <v>0</v>
      </c>
      <c r="UF95" s="132">
        <f t="shared" si="170"/>
        <v>0</v>
      </c>
      <c r="UG95" s="132">
        <f t="shared" si="171"/>
        <v>0</v>
      </c>
      <c r="UH95" s="132">
        <f t="shared" si="172"/>
        <v>0</v>
      </c>
      <c r="UI95" s="132">
        <f t="shared" si="173"/>
        <v>0</v>
      </c>
      <c r="UJ95" s="132">
        <f t="shared" si="174"/>
        <v>0</v>
      </c>
      <c r="UK95" s="132">
        <f t="shared" si="175"/>
        <v>0</v>
      </c>
      <c r="UL95" s="132">
        <f t="shared" si="210"/>
        <v>750000</v>
      </c>
      <c r="UM95" s="131">
        <f t="shared" si="176"/>
        <v>750000</v>
      </c>
      <c r="UN95" s="131">
        <f t="shared" si="177"/>
        <v>750000</v>
      </c>
      <c r="UO95" s="131">
        <f t="shared" si="178"/>
        <v>750000</v>
      </c>
      <c r="UP95" s="132">
        <f t="shared" si="179"/>
        <v>750000</v>
      </c>
      <c r="UQ95" s="132">
        <f t="shared" si="180"/>
        <v>0</v>
      </c>
      <c r="UR95" s="132">
        <f t="shared" si="181"/>
        <v>0</v>
      </c>
      <c r="US95" s="132">
        <f t="shared" si="182"/>
        <v>0</v>
      </c>
      <c r="UT95" s="131">
        <f t="shared" si="183"/>
        <v>0</v>
      </c>
      <c r="UU95" s="131">
        <f t="shared" si="184"/>
        <v>0</v>
      </c>
      <c r="UV95" s="132">
        <f t="shared" si="185"/>
        <v>0</v>
      </c>
      <c r="UW95" s="132">
        <f t="shared" si="186"/>
        <v>0</v>
      </c>
      <c r="UX95" s="132">
        <f t="shared" si="187"/>
        <v>0</v>
      </c>
      <c r="UY95" s="132">
        <f t="shared" si="188"/>
        <v>0</v>
      </c>
      <c r="UZ95" s="132">
        <f t="shared" si="189"/>
        <v>0</v>
      </c>
      <c r="VA95" s="132">
        <f t="shared" si="190"/>
        <v>0</v>
      </c>
      <c r="VB95" s="131">
        <f t="shared" si="191"/>
        <v>0</v>
      </c>
      <c r="VC95" s="132">
        <f t="shared" si="192"/>
        <v>0</v>
      </c>
      <c r="VD95" s="132">
        <f t="shared" si="193"/>
        <v>0</v>
      </c>
      <c r="VE95" s="132">
        <f t="shared" si="194"/>
        <v>0</v>
      </c>
      <c r="VF95" s="132">
        <f t="shared" si="195"/>
        <v>0</v>
      </c>
      <c r="VG95" s="132">
        <f t="shared" si="196"/>
        <v>0</v>
      </c>
      <c r="VH95" s="132">
        <f t="shared" si="197"/>
        <v>0</v>
      </c>
      <c r="VI95" s="132">
        <f t="shared" si="198"/>
        <v>0</v>
      </c>
      <c r="VJ95" s="132">
        <f t="shared" si="199"/>
        <v>0</v>
      </c>
      <c r="VK95" s="132">
        <f t="shared" si="200"/>
        <v>0</v>
      </c>
      <c r="VL95" s="132">
        <f t="shared" si="201"/>
        <v>0</v>
      </c>
      <c r="VM95" s="132">
        <f t="shared" si="202"/>
        <v>0</v>
      </c>
      <c r="VN95" s="132">
        <f t="shared" si="203"/>
        <v>0</v>
      </c>
      <c r="VP95" s="845" t="str">
        <f>IFERROR(HLOOKUP(F95,'Hodnocení '!$C$1:$JH$5,2,FALSE),0)</f>
        <v>DUHA o. p. s. - centrum denních služeb</v>
      </c>
      <c r="VQ95" s="838"/>
      <c r="VR95" s="845" t="str">
        <f t="shared" si="211"/>
        <v>Obecně prospěšná společnost</v>
      </c>
      <c r="VS95" s="845" t="str">
        <f>IFERROR(HLOOKUP(F95,'Hodnocení '!$C$1:$JH$5,5,FALSE),0)</f>
        <v>Obce</v>
      </c>
      <c r="VT95" s="838" t="str">
        <f t="shared" si="212"/>
        <v>Obecně prospěšná společnost</v>
      </c>
      <c r="VU95" s="838">
        <f t="shared" si="213"/>
        <v>0</v>
      </c>
      <c r="VV95" s="838">
        <f t="shared" si="214"/>
        <v>150000</v>
      </c>
      <c r="VW95" s="838">
        <f t="shared" si="215"/>
        <v>0</v>
      </c>
      <c r="VX95" s="838"/>
      <c r="VY95" s="838">
        <f t="shared" si="216"/>
        <v>0</v>
      </c>
      <c r="VZ95" s="838">
        <f t="shared" si="217"/>
        <v>750000</v>
      </c>
      <c r="WA95" s="846">
        <f>IFERROR(HLOOKUP($F95,'Hodnocení '!$C$1:$JH$9,9,FALSE),0)</f>
        <v>750000</v>
      </c>
      <c r="WB95" s="846">
        <f>IF(IFERROR(HLOOKUP($F95,'Hodnocení '!$C$1:$JH$13,13,FALSE),0)&gt;WA95,WA95,IFERROR(HLOOKUP($F95,'Hodnocení '!$C$1:$JH$13,13,FALSE),0))</f>
        <v>750000</v>
      </c>
      <c r="WC95" s="846">
        <f>IFERROR(HLOOKUP($F95,'Hodnocení '!$C$1:$JH$155,155,FALSE),0)</f>
        <v>469950</v>
      </c>
      <c r="WD95" s="845"/>
      <c r="WE95" s="845"/>
      <c r="WF95" s="845" t="str">
        <f t="shared" si="204"/>
        <v>ANO</v>
      </c>
      <c r="WG95" s="849" t="str">
        <f t="shared" si="218"/>
        <v>Podpora služby je vyjádřena zařazením do sítě sociálních služeb v KHK a řešením financování služby</v>
      </c>
      <c r="WH95"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95" s="849" t="str">
        <f t="shared" si="218"/>
        <v>Návrh dotace je výsledkem projednání s ostatními zadavateli v rámci sítě služeb KHK</v>
      </c>
      <c r="WJ95" s="849" t="str">
        <f t="shared" si="218"/>
        <v>Bez komentáře</v>
      </c>
      <c r="WK95" s="31">
        <f t="shared" si="205"/>
        <v>0</v>
      </c>
      <c r="WL95" s="850">
        <f t="shared" si="206"/>
        <v>0</v>
      </c>
      <c r="WM95" s="849" t="str">
        <f t="shared" si="207"/>
        <v>V rámci sítě KHK se dlouhodobě řeší otázka navyšování úhrad a průběžně se monitoruje s vazbou na vykrytí vyrovnávací platby</v>
      </c>
      <c r="WN95" s="849">
        <f t="shared" si="208"/>
        <v>0</v>
      </c>
      <c r="WO95" s="849" t="str">
        <f t="shared" si="118"/>
        <v>bez komentáře</v>
      </c>
      <c r="WP95" s="849" t="str">
        <f t="shared" si="118"/>
        <v>bez komentáře</v>
      </c>
      <c r="WQ95" s="849" t="str">
        <f t="shared" si="118"/>
        <v>Konečná výše dotace z rozpočtu KHK bude řešena v návaznosti na řešení podílů jednotlivých zadavatelů.</v>
      </c>
      <c r="WR95" s="849" t="str">
        <f t="shared" si="118"/>
        <v>Konečná výše podpory ze stran obcí bude řešena v součinnosti s jednotlivými zadavateli v průběhu roku.</v>
      </c>
      <c r="WS95" s="849" t="str">
        <f t="shared" si="118"/>
        <v>bez komentáře</v>
      </c>
      <c r="WT95" s="849" t="str">
        <f t="shared" si="118"/>
        <v>bez komentáře</v>
      </c>
      <c r="WU95" s="845"/>
    </row>
    <row r="96" spans="1:619" s="128" customFormat="1" x14ac:dyDescent="0.25">
      <c r="A96" s="128" t="str">
        <f>VLOOKUP(F96,'Výpočet VP 2020'!$D$324:$I$588,6,FALSE)</f>
        <v>Je v síti</v>
      </c>
      <c r="B96" s="128" t="s">
        <v>531</v>
      </c>
      <c r="C96" s="128">
        <v>25999150</v>
      </c>
      <c r="D96" s="128" t="s">
        <v>532</v>
      </c>
      <c r="E96" s="128" t="s">
        <v>216</v>
      </c>
      <c r="F96" s="671">
        <v>6749255</v>
      </c>
      <c r="G96" s="128" t="s">
        <v>361</v>
      </c>
      <c r="H96" s="128" t="s">
        <v>218</v>
      </c>
      <c r="I96" s="128" t="s">
        <v>536</v>
      </c>
      <c r="J96" s="129">
        <v>39083</v>
      </c>
      <c r="L96" s="128" t="s">
        <v>220</v>
      </c>
      <c r="M96" s="128" t="s">
        <v>537</v>
      </c>
      <c r="N96" s="128">
        <v>9</v>
      </c>
      <c r="O96" s="128">
        <v>9</v>
      </c>
      <c r="P96" s="128">
        <v>66</v>
      </c>
      <c r="Q96" s="128">
        <v>60</v>
      </c>
      <c r="R96" s="128">
        <v>60</v>
      </c>
      <c r="BL96" s="128" t="s">
        <v>535</v>
      </c>
      <c r="BM96" s="128" t="s">
        <v>325</v>
      </c>
      <c r="BN96" s="128" t="s">
        <v>364</v>
      </c>
      <c r="DA96" s="128">
        <v>0</v>
      </c>
      <c r="DB96" s="128">
        <v>0</v>
      </c>
      <c r="DC96" s="128">
        <v>0</v>
      </c>
      <c r="DD96" s="128">
        <v>0</v>
      </c>
      <c r="DE96" s="128">
        <v>0</v>
      </c>
      <c r="DF96" s="128">
        <v>2</v>
      </c>
      <c r="DG96" s="128">
        <v>2</v>
      </c>
      <c r="DH96" s="128">
        <v>2</v>
      </c>
      <c r="DI96" s="128">
        <v>2</v>
      </c>
      <c r="DJ96" s="128">
        <v>1</v>
      </c>
      <c r="DK96" s="128">
        <v>2</v>
      </c>
      <c r="DL96" s="128">
        <v>2</v>
      </c>
      <c r="DM96" s="128">
        <v>2</v>
      </c>
      <c r="DN96" s="128">
        <v>2</v>
      </c>
      <c r="DO96" s="128">
        <v>1</v>
      </c>
      <c r="DP96" s="128">
        <v>0</v>
      </c>
      <c r="DQ96" s="128">
        <v>9</v>
      </c>
      <c r="DR96" s="128">
        <v>9</v>
      </c>
      <c r="DS96" s="128">
        <v>0</v>
      </c>
      <c r="DT96" s="128">
        <v>0</v>
      </c>
      <c r="DU96" s="128">
        <v>0</v>
      </c>
      <c r="DV96" s="128">
        <v>0</v>
      </c>
      <c r="DW96" s="128">
        <v>0</v>
      </c>
      <c r="DX96" s="128">
        <v>2</v>
      </c>
      <c r="DY96" s="128">
        <v>2</v>
      </c>
      <c r="DZ96" s="128">
        <v>2</v>
      </c>
      <c r="EA96" s="128">
        <v>2</v>
      </c>
      <c r="EB96" s="128">
        <v>1</v>
      </c>
      <c r="EC96" s="128">
        <v>2</v>
      </c>
      <c r="ED96" s="128">
        <v>2</v>
      </c>
      <c r="EE96" s="128">
        <v>2</v>
      </c>
      <c r="EF96" s="128">
        <v>2</v>
      </c>
      <c r="EG96" s="128">
        <v>1</v>
      </c>
      <c r="EH96" s="128">
        <v>0</v>
      </c>
      <c r="EI96" s="128">
        <v>9</v>
      </c>
      <c r="EJ96" s="128">
        <v>9</v>
      </c>
      <c r="EK96" s="128">
        <v>2</v>
      </c>
      <c r="EL96" s="128">
        <v>0.375</v>
      </c>
      <c r="EM96" s="128">
        <v>0.375</v>
      </c>
      <c r="EN96" s="128">
        <v>232356</v>
      </c>
      <c r="EO96" s="128">
        <v>0</v>
      </c>
      <c r="EP96" s="128">
        <v>8</v>
      </c>
      <c r="EQ96" s="128">
        <v>6.2</v>
      </c>
      <c r="ER96" s="128">
        <v>6.2</v>
      </c>
      <c r="ES96" s="128">
        <v>2630057</v>
      </c>
      <c r="ET96" s="128">
        <v>1100000</v>
      </c>
      <c r="FO96" s="128">
        <v>1</v>
      </c>
      <c r="FP96" s="128">
        <v>0.125</v>
      </c>
      <c r="FQ96" s="128">
        <v>0.125</v>
      </c>
      <c r="FR96" s="128">
        <v>108540</v>
      </c>
      <c r="FS96" s="128">
        <v>0</v>
      </c>
      <c r="IS96" s="128">
        <v>3</v>
      </c>
      <c r="IT96" s="128">
        <v>375</v>
      </c>
      <c r="IU96" s="128">
        <v>0.17899999999999999</v>
      </c>
      <c r="IV96" s="128">
        <v>75000</v>
      </c>
      <c r="IW96" s="128">
        <v>0</v>
      </c>
      <c r="KG96" s="128">
        <v>0</v>
      </c>
      <c r="KI96" s="128">
        <v>6.5750000000000002</v>
      </c>
      <c r="KJ96" s="128">
        <v>0</v>
      </c>
      <c r="KK96" s="128">
        <v>0</v>
      </c>
      <c r="KL96" s="128">
        <v>0</v>
      </c>
      <c r="KM96" s="128">
        <v>6.5750000000000002</v>
      </c>
      <c r="KN96" s="128">
        <v>2970953</v>
      </c>
      <c r="KO96" s="128">
        <v>1100000</v>
      </c>
      <c r="KP96" s="128">
        <v>1100000</v>
      </c>
      <c r="KT96" s="128">
        <v>0</v>
      </c>
      <c r="KU96" s="128">
        <v>0</v>
      </c>
      <c r="KV96" s="128">
        <v>0</v>
      </c>
      <c r="KZ96" s="128">
        <v>75000</v>
      </c>
      <c r="LA96" s="128">
        <v>0</v>
      </c>
      <c r="LB96" s="128">
        <v>0</v>
      </c>
      <c r="LF96" s="128">
        <v>40000</v>
      </c>
      <c r="LG96" s="128">
        <v>0</v>
      </c>
      <c r="LH96" s="128">
        <v>0</v>
      </c>
      <c r="LL96" s="128">
        <v>0</v>
      </c>
      <c r="LM96" s="128">
        <v>0</v>
      </c>
      <c r="LN96" s="128">
        <v>0</v>
      </c>
      <c r="LR96" s="128">
        <v>57000</v>
      </c>
      <c r="LS96" s="128">
        <v>0</v>
      </c>
      <c r="LT96" s="128">
        <v>0</v>
      </c>
      <c r="LX96" s="128">
        <v>0</v>
      </c>
      <c r="LY96" s="128">
        <v>0</v>
      </c>
      <c r="LZ96" s="128">
        <v>0</v>
      </c>
      <c r="MD96" s="128">
        <v>10000</v>
      </c>
      <c r="ME96" s="128">
        <v>0</v>
      </c>
      <c r="MF96" s="128">
        <v>0</v>
      </c>
      <c r="MJ96" s="128">
        <v>15000</v>
      </c>
      <c r="MK96" s="128">
        <v>0</v>
      </c>
      <c r="ML96" s="128">
        <v>0</v>
      </c>
      <c r="MP96" s="128">
        <v>50000</v>
      </c>
      <c r="MQ96" s="128">
        <v>0</v>
      </c>
      <c r="MR96" s="128">
        <v>0</v>
      </c>
      <c r="MV96" s="128">
        <v>130000</v>
      </c>
      <c r="MW96" s="128">
        <v>0</v>
      </c>
      <c r="MX96" s="128">
        <v>0</v>
      </c>
      <c r="NB96" s="128">
        <v>12000</v>
      </c>
      <c r="NC96" s="128">
        <v>0</v>
      </c>
      <c r="ND96" s="128">
        <v>0</v>
      </c>
      <c r="NH96" s="128">
        <v>70000</v>
      </c>
      <c r="NI96" s="128">
        <v>0</v>
      </c>
      <c r="NJ96" s="128">
        <v>0</v>
      </c>
      <c r="NN96" s="128">
        <v>54000</v>
      </c>
      <c r="NO96" s="128">
        <v>0</v>
      </c>
      <c r="NP96" s="128">
        <v>0</v>
      </c>
      <c r="NT96" s="128">
        <v>39000</v>
      </c>
      <c r="NU96" s="128">
        <v>0</v>
      </c>
      <c r="NV96" s="128">
        <v>0</v>
      </c>
      <c r="NZ96" s="128">
        <v>30000</v>
      </c>
      <c r="OA96" s="128">
        <v>0</v>
      </c>
      <c r="OB96" s="128">
        <v>0</v>
      </c>
      <c r="OF96" s="128">
        <v>5000</v>
      </c>
      <c r="OG96" s="128">
        <v>0</v>
      </c>
      <c r="OH96" s="128">
        <v>0</v>
      </c>
      <c r="OL96" s="128">
        <v>0</v>
      </c>
      <c r="OM96" s="128">
        <v>0</v>
      </c>
      <c r="ON96" s="128">
        <v>0</v>
      </c>
      <c r="OR96" s="128">
        <v>0</v>
      </c>
      <c r="OS96" s="128">
        <v>0</v>
      </c>
      <c r="OT96" s="128">
        <v>0</v>
      </c>
      <c r="OX96" s="128">
        <v>17000</v>
      </c>
      <c r="OY96" s="128">
        <v>0</v>
      </c>
      <c r="OZ96" s="128">
        <v>0</v>
      </c>
      <c r="PD96" s="128">
        <v>19000</v>
      </c>
      <c r="PE96" s="128">
        <v>0</v>
      </c>
      <c r="PF96" s="128">
        <v>0</v>
      </c>
      <c r="PJ96" s="128">
        <v>44000</v>
      </c>
      <c r="PK96" s="128">
        <v>0</v>
      </c>
      <c r="PL96" s="128">
        <v>0</v>
      </c>
      <c r="PP96" s="128">
        <v>3637953</v>
      </c>
      <c r="PQ96" s="128">
        <v>1100000</v>
      </c>
      <c r="PR96" s="128">
        <v>1100000</v>
      </c>
      <c r="PS96" s="128">
        <v>100</v>
      </c>
      <c r="PT96" s="128">
        <v>100</v>
      </c>
      <c r="PV96" s="128">
        <v>3384296</v>
      </c>
      <c r="PX96" s="128">
        <v>888168</v>
      </c>
      <c r="PY96" s="128">
        <v>666130</v>
      </c>
      <c r="PZ96" s="128">
        <v>1100000</v>
      </c>
      <c r="QA96" s="128">
        <v>18000</v>
      </c>
      <c r="QB96" s="128">
        <v>0</v>
      </c>
      <c r="QC96" s="128">
        <v>0</v>
      </c>
      <c r="QD96" s="128">
        <v>0</v>
      </c>
      <c r="QE96" s="128">
        <v>0</v>
      </c>
      <c r="QF96" s="128">
        <v>0</v>
      </c>
      <c r="QG96" s="128">
        <v>0</v>
      </c>
      <c r="QH96" s="128">
        <v>0</v>
      </c>
      <c r="QI96" s="128">
        <v>0</v>
      </c>
      <c r="QJ96" s="128">
        <v>1398206</v>
      </c>
      <c r="QK96" s="128">
        <v>1350000</v>
      </c>
      <c r="QL96" s="128">
        <v>1350000</v>
      </c>
      <c r="QN96" s="128">
        <v>0</v>
      </c>
      <c r="QO96" s="128">
        <v>0</v>
      </c>
      <c r="QP96" s="128">
        <v>0</v>
      </c>
      <c r="QX96" s="128">
        <v>583000</v>
      </c>
      <c r="QY96" s="128">
        <v>742000</v>
      </c>
      <c r="QZ96" s="128">
        <v>687953</v>
      </c>
      <c r="RA96" s="128">
        <v>389927</v>
      </c>
      <c r="RB96" s="128">
        <v>572000</v>
      </c>
      <c r="RC96" s="128">
        <v>500000</v>
      </c>
      <c r="RH96" s="128">
        <f t="shared" si="209"/>
        <v>2287953</v>
      </c>
      <c r="RI96" s="128">
        <v>0</v>
      </c>
      <c r="RM96" s="128" t="s">
        <v>220</v>
      </c>
      <c r="RU96" s="130"/>
      <c r="RV96" s="130"/>
      <c r="RW96" s="130"/>
      <c r="RX96" s="130"/>
      <c r="SF96" s="128">
        <f t="shared" si="119"/>
        <v>6749255</v>
      </c>
      <c r="SG96" s="131">
        <f t="shared" si="120"/>
        <v>3637953</v>
      </c>
      <c r="SH96" s="131">
        <f t="shared" si="121"/>
        <v>3637953</v>
      </c>
      <c r="SI96" s="131">
        <f t="shared" si="122"/>
        <v>3085953</v>
      </c>
      <c r="SJ96" s="132">
        <f t="shared" si="123"/>
        <v>2970953</v>
      </c>
      <c r="SK96" s="132">
        <f t="shared" si="124"/>
        <v>0</v>
      </c>
      <c r="SL96" s="132">
        <f t="shared" si="125"/>
        <v>75000</v>
      </c>
      <c r="SM96" s="132">
        <f t="shared" si="126"/>
        <v>40000</v>
      </c>
      <c r="SN96" s="131">
        <f t="shared" si="127"/>
        <v>552000</v>
      </c>
      <c r="SO96" s="131">
        <f t="shared" si="128"/>
        <v>57000</v>
      </c>
      <c r="SP96" s="132">
        <f t="shared" si="129"/>
        <v>0</v>
      </c>
      <c r="SQ96" s="132">
        <f t="shared" si="130"/>
        <v>57000</v>
      </c>
      <c r="SR96" s="132">
        <f t="shared" si="131"/>
        <v>0</v>
      </c>
      <c r="SS96" s="132">
        <f t="shared" si="132"/>
        <v>10000</v>
      </c>
      <c r="ST96" s="132">
        <f t="shared" si="133"/>
        <v>15000</v>
      </c>
      <c r="SU96" s="132">
        <f t="shared" si="134"/>
        <v>50000</v>
      </c>
      <c r="SV96" s="131">
        <f t="shared" si="135"/>
        <v>357000</v>
      </c>
      <c r="SW96" s="132">
        <f t="shared" si="136"/>
        <v>130000</v>
      </c>
      <c r="SX96" s="132">
        <f t="shared" si="137"/>
        <v>12000</v>
      </c>
      <c r="SY96" s="132">
        <f t="shared" si="138"/>
        <v>70000</v>
      </c>
      <c r="SZ96" s="132">
        <f t="shared" si="139"/>
        <v>54000</v>
      </c>
      <c r="TA96" s="132">
        <f t="shared" si="140"/>
        <v>39000</v>
      </c>
      <c r="TB96" s="132">
        <f t="shared" si="141"/>
        <v>30000</v>
      </c>
      <c r="TC96" s="132">
        <f t="shared" si="142"/>
        <v>5000</v>
      </c>
      <c r="TD96" s="132">
        <f t="shared" si="143"/>
        <v>0</v>
      </c>
      <c r="TE96" s="132">
        <f t="shared" si="144"/>
        <v>0</v>
      </c>
      <c r="TF96" s="132">
        <f t="shared" si="145"/>
        <v>17000</v>
      </c>
      <c r="TG96" s="132">
        <f t="shared" si="146"/>
        <v>19000</v>
      </c>
      <c r="TH96" s="132">
        <f t="shared" si="147"/>
        <v>44000</v>
      </c>
      <c r="TI96" s="1"/>
      <c r="TJ96" s="131">
        <f t="shared" si="148"/>
        <v>1100000</v>
      </c>
      <c r="TK96" s="131">
        <f t="shared" si="149"/>
        <v>1100000</v>
      </c>
      <c r="TL96" s="131">
        <f t="shared" si="150"/>
        <v>1100000</v>
      </c>
      <c r="TM96" s="132">
        <f t="shared" si="151"/>
        <v>1100000</v>
      </c>
      <c r="TN96" s="132">
        <f t="shared" si="152"/>
        <v>0</v>
      </c>
      <c r="TO96" s="132">
        <f t="shared" si="153"/>
        <v>0</v>
      </c>
      <c r="TP96" s="132">
        <f t="shared" si="154"/>
        <v>0</v>
      </c>
      <c r="TQ96" s="131">
        <f t="shared" si="155"/>
        <v>0</v>
      </c>
      <c r="TR96" s="131">
        <f t="shared" si="156"/>
        <v>0</v>
      </c>
      <c r="TS96" s="132">
        <f t="shared" si="157"/>
        <v>0</v>
      </c>
      <c r="TT96" s="132">
        <f t="shared" si="158"/>
        <v>0</v>
      </c>
      <c r="TU96" s="132">
        <f t="shared" si="159"/>
        <v>0</v>
      </c>
      <c r="TV96" s="132">
        <f t="shared" si="160"/>
        <v>0</v>
      </c>
      <c r="TW96" s="132">
        <f t="shared" si="161"/>
        <v>0</v>
      </c>
      <c r="TX96" s="132">
        <f t="shared" si="162"/>
        <v>0</v>
      </c>
      <c r="TY96" s="131">
        <f t="shared" si="163"/>
        <v>0</v>
      </c>
      <c r="TZ96" s="132">
        <f t="shared" si="164"/>
        <v>0</v>
      </c>
      <c r="UA96" s="132">
        <f t="shared" si="165"/>
        <v>0</v>
      </c>
      <c r="UB96" s="132">
        <f t="shared" si="166"/>
        <v>0</v>
      </c>
      <c r="UC96" s="132">
        <f t="shared" si="167"/>
        <v>0</v>
      </c>
      <c r="UD96" s="132">
        <f t="shared" si="168"/>
        <v>0</v>
      </c>
      <c r="UE96" s="132">
        <f t="shared" si="169"/>
        <v>0</v>
      </c>
      <c r="UF96" s="132">
        <f t="shared" si="170"/>
        <v>0</v>
      </c>
      <c r="UG96" s="132">
        <f t="shared" si="171"/>
        <v>0</v>
      </c>
      <c r="UH96" s="132">
        <f t="shared" si="172"/>
        <v>0</v>
      </c>
      <c r="UI96" s="132">
        <f t="shared" si="173"/>
        <v>0</v>
      </c>
      <c r="UJ96" s="132">
        <f t="shared" si="174"/>
        <v>0</v>
      </c>
      <c r="UK96" s="132">
        <f t="shared" si="175"/>
        <v>0</v>
      </c>
      <c r="UL96" s="132">
        <f t="shared" si="210"/>
        <v>1100000</v>
      </c>
      <c r="UM96" s="131">
        <f t="shared" si="176"/>
        <v>1100000</v>
      </c>
      <c r="UN96" s="131">
        <f t="shared" si="177"/>
        <v>1100000</v>
      </c>
      <c r="UO96" s="131">
        <f t="shared" si="178"/>
        <v>1100000</v>
      </c>
      <c r="UP96" s="132">
        <f t="shared" si="179"/>
        <v>1100000</v>
      </c>
      <c r="UQ96" s="132">
        <f t="shared" si="180"/>
        <v>0</v>
      </c>
      <c r="UR96" s="132">
        <f t="shared" si="181"/>
        <v>0</v>
      </c>
      <c r="US96" s="132">
        <f t="shared" si="182"/>
        <v>0</v>
      </c>
      <c r="UT96" s="131">
        <f t="shared" si="183"/>
        <v>0</v>
      </c>
      <c r="UU96" s="131">
        <f t="shared" si="184"/>
        <v>0</v>
      </c>
      <c r="UV96" s="132">
        <f t="shared" si="185"/>
        <v>0</v>
      </c>
      <c r="UW96" s="132">
        <f t="shared" si="186"/>
        <v>0</v>
      </c>
      <c r="UX96" s="132">
        <f t="shared" si="187"/>
        <v>0</v>
      </c>
      <c r="UY96" s="132">
        <f t="shared" si="188"/>
        <v>0</v>
      </c>
      <c r="UZ96" s="132">
        <f t="shared" si="189"/>
        <v>0</v>
      </c>
      <c r="VA96" s="132">
        <f t="shared" si="190"/>
        <v>0</v>
      </c>
      <c r="VB96" s="131">
        <f t="shared" si="191"/>
        <v>0</v>
      </c>
      <c r="VC96" s="132">
        <f t="shared" si="192"/>
        <v>0</v>
      </c>
      <c r="VD96" s="132">
        <f t="shared" si="193"/>
        <v>0</v>
      </c>
      <c r="VE96" s="132">
        <f t="shared" si="194"/>
        <v>0</v>
      </c>
      <c r="VF96" s="132">
        <f t="shared" si="195"/>
        <v>0</v>
      </c>
      <c r="VG96" s="132">
        <f t="shared" si="196"/>
        <v>0</v>
      </c>
      <c r="VH96" s="132">
        <f t="shared" si="197"/>
        <v>0</v>
      </c>
      <c r="VI96" s="132">
        <f t="shared" si="198"/>
        <v>0</v>
      </c>
      <c r="VJ96" s="132">
        <f t="shared" si="199"/>
        <v>0</v>
      </c>
      <c r="VK96" s="132">
        <f t="shared" si="200"/>
        <v>0</v>
      </c>
      <c r="VL96" s="132">
        <f t="shared" si="201"/>
        <v>0</v>
      </c>
      <c r="VM96" s="132">
        <f t="shared" si="202"/>
        <v>0</v>
      </c>
      <c r="VN96" s="132">
        <f t="shared" si="203"/>
        <v>0</v>
      </c>
      <c r="VP96" s="845" t="str">
        <f>IFERROR(HLOOKUP(F96,'Hodnocení '!$C$1:$JH$5,2,FALSE),0)</f>
        <v>DUHA o. p. s. - odlehčovací služba</v>
      </c>
      <c r="VQ96" s="838"/>
      <c r="VR96" s="845" t="str">
        <f t="shared" si="211"/>
        <v>Obecně prospěšná společnost</v>
      </c>
      <c r="VS96" s="845" t="str">
        <f>IFERROR(HLOOKUP(F96,'Hodnocení '!$C$1:$JH$5,5,FALSE),0)</f>
        <v>Obce</v>
      </c>
      <c r="VT96" s="838" t="str">
        <f t="shared" si="212"/>
        <v>Obecně prospěšná společnost</v>
      </c>
      <c r="VU96" s="838">
        <f t="shared" si="213"/>
        <v>0</v>
      </c>
      <c r="VV96" s="838">
        <f t="shared" si="214"/>
        <v>1350000</v>
      </c>
      <c r="VW96" s="838">
        <f t="shared" si="215"/>
        <v>0</v>
      </c>
      <c r="VX96" s="838"/>
      <c r="VY96" s="838">
        <f t="shared" si="216"/>
        <v>0</v>
      </c>
      <c r="VZ96" s="838">
        <f t="shared" si="217"/>
        <v>1100000</v>
      </c>
      <c r="WA96" s="846">
        <f>IFERROR(HLOOKUP($F96,'Hodnocení '!$C$1:$JH$9,9,FALSE),0)</f>
        <v>1100000</v>
      </c>
      <c r="WB96" s="846">
        <f>IF(IFERROR(HLOOKUP($F96,'Hodnocení '!$C$1:$JH$13,13,FALSE),0)&gt;WA96,WA96,IFERROR(HLOOKUP($F96,'Hodnocení '!$C$1:$JH$13,13,FALSE),0))</f>
        <v>1100000</v>
      </c>
      <c r="WC96" s="846">
        <f>IFERROR(HLOOKUP($F96,'Hodnocení '!$C$1:$JH$155,155,FALSE),0)</f>
        <v>600000</v>
      </c>
      <c r="WD96" s="845"/>
      <c r="WE96" s="845"/>
      <c r="WF96" s="845" t="str">
        <f t="shared" si="204"/>
        <v>ANO</v>
      </c>
      <c r="WG96" s="849" t="str">
        <f t="shared" si="218"/>
        <v>Podpora služby je vyjádřena zařazením do sítě sociálních služeb v KHK a řešením financování služby</v>
      </c>
      <c r="WH96"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96" s="849" t="str">
        <f t="shared" si="218"/>
        <v>Návrh dotace je výsledkem projednání s ostatními zadavateli v rámci sítě služeb KHK</v>
      </c>
      <c r="WJ96" s="849" t="str">
        <f t="shared" si="218"/>
        <v>Bez komentáře</v>
      </c>
      <c r="WK96" s="31">
        <f t="shared" si="205"/>
        <v>0</v>
      </c>
      <c r="WL96" s="850">
        <f t="shared" si="206"/>
        <v>0</v>
      </c>
      <c r="WM96" s="849" t="str">
        <f t="shared" si="207"/>
        <v>V rámci sítě KHK se dlouhodobě řeší otázka navyšování úhrad a průběžně se monitoruje s vazbou na vykrytí vyrovnávací platby</v>
      </c>
      <c r="WN96" s="849">
        <f t="shared" si="208"/>
        <v>0</v>
      </c>
      <c r="WO96" s="849" t="str">
        <f t="shared" si="118"/>
        <v>bez komentáře</v>
      </c>
      <c r="WP96" s="849" t="str">
        <f t="shared" si="118"/>
        <v>bez komentáře</v>
      </c>
      <c r="WQ96" s="849" t="str">
        <f t="shared" si="118"/>
        <v>Konečná výše dotace z rozpočtu KHK bude řešena v návaznosti na řešení podílů jednotlivých zadavatelů.</v>
      </c>
      <c r="WR96" s="849" t="str">
        <f t="shared" si="118"/>
        <v>Konečná výše podpory ze stran obcí bude řešena v součinnosti s jednotlivými zadavateli v průběhu roku.</v>
      </c>
      <c r="WS96" s="849" t="str">
        <f t="shared" si="118"/>
        <v>bez komentáře</v>
      </c>
      <c r="WT96" s="849" t="str">
        <f t="shared" si="118"/>
        <v>bez komentáře</v>
      </c>
      <c r="WU96" s="845"/>
    </row>
    <row r="97" spans="1:619" s="128" customFormat="1" x14ac:dyDescent="0.25">
      <c r="A97" s="128" t="str">
        <f>VLOOKUP(F97,'Výpočet VP 2020'!$D$324:$I$588,6,FALSE)</f>
        <v>Je v síti</v>
      </c>
      <c r="B97" s="128" t="s">
        <v>531</v>
      </c>
      <c r="C97" s="128">
        <v>25999150</v>
      </c>
      <c r="D97" s="128" t="s">
        <v>532</v>
      </c>
      <c r="E97" s="128" t="s">
        <v>216</v>
      </c>
      <c r="F97" s="128">
        <v>6989404</v>
      </c>
      <c r="G97" s="128" t="s">
        <v>538</v>
      </c>
      <c r="H97" s="128" t="s">
        <v>230</v>
      </c>
      <c r="I97" s="128" t="s">
        <v>539</v>
      </c>
      <c r="J97" s="129">
        <v>40179</v>
      </c>
      <c r="L97" s="128" t="s">
        <v>220</v>
      </c>
      <c r="X97" s="128" t="s">
        <v>322</v>
      </c>
      <c r="Z97" s="128">
        <v>20</v>
      </c>
      <c r="AA97" s="128">
        <v>0</v>
      </c>
      <c r="AB97" s="128">
        <v>126</v>
      </c>
      <c r="AC97" s="128">
        <v>120</v>
      </c>
      <c r="AD97" s="128">
        <v>120</v>
      </c>
      <c r="AO97" s="128" t="s">
        <v>540</v>
      </c>
      <c r="BL97" s="128" t="s">
        <v>541</v>
      </c>
      <c r="BM97" s="128" t="s">
        <v>542</v>
      </c>
      <c r="BN97" s="128" t="s">
        <v>311</v>
      </c>
      <c r="EK97" s="128">
        <v>2</v>
      </c>
      <c r="EL97" s="128">
        <v>0.375</v>
      </c>
      <c r="EM97" s="128">
        <v>0.375</v>
      </c>
      <c r="EN97" s="128">
        <v>232356</v>
      </c>
      <c r="EO97" s="128">
        <v>180000</v>
      </c>
      <c r="EP97" s="128">
        <v>2</v>
      </c>
      <c r="EQ97" s="128">
        <v>2</v>
      </c>
      <c r="ER97" s="128">
        <v>2</v>
      </c>
      <c r="ES97" s="128">
        <v>752758</v>
      </c>
      <c r="ET97" s="128">
        <v>700000</v>
      </c>
      <c r="FO97" s="128">
        <v>1</v>
      </c>
      <c r="FP97" s="128">
        <v>0.125</v>
      </c>
      <c r="FQ97" s="128">
        <v>0.125</v>
      </c>
      <c r="FR97" s="128">
        <v>108540</v>
      </c>
      <c r="FS97" s="128">
        <v>50000</v>
      </c>
      <c r="IS97" s="128">
        <v>1</v>
      </c>
      <c r="IT97" s="128">
        <v>222</v>
      </c>
      <c r="IU97" s="128">
        <v>0.106</v>
      </c>
      <c r="IV97" s="128">
        <v>19980</v>
      </c>
      <c r="IW97" s="128">
        <v>0</v>
      </c>
      <c r="KG97" s="128">
        <v>0</v>
      </c>
      <c r="KI97" s="128">
        <v>2.375</v>
      </c>
      <c r="KJ97" s="128">
        <v>0</v>
      </c>
      <c r="KK97" s="128">
        <v>0</v>
      </c>
      <c r="KL97" s="128">
        <v>0</v>
      </c>
      <c r="KM97" s="128">
        <v>2.375</v>
      </c>
      <c r="KN97" s="128">
        <v>1093654</v>
      </c>
      <c r="KO97" s="128">
        <v>930000</v>
      </c>
      <c r="KP97" s="128">
        <v>930000</v>
      </c>
      <c r="KT97" s="128">
        <v>0</v>
      </c>
      <c r="KU97" s="128">
        <v>0</v>
      </c>
      <c r="KV97" s="128">
        <v>0</v>
      </c>
      <c r="KZ97" s="128">
        <v>19980</v>
      </c>
      <c r="LA97" s="128">
        <v>0</v>
      </c>
      <c r="LB97" s="128">
        <v>0</v>
      </c>
      <c r="LF97" s="128">
        <v>17000</v>
      </c>
      <c r="LG97" s="128">
        <v>0</v>
      </c>
      <c r="LH97" s="128">
        <v>0</v>
      </c>
      <c r="LL97" s="128">
        <v>0</v>
      </c>
      <c r="LM97" s="128">
        <v>0</v>
      </c>
      <c r="LN97" s="128">
        <v>0</v>
      </c>
      <c r="LR97" s="128">
        <v>24000</v>
      </c>
      <c r="LS97" s="128">
        <v>0</v>
      </c>
      <c r="LT97" s="128">
        <v>0</v>
      </c>
      <c r="LX97" s="128">
        <v>0</v>
      </c>
      <c r="LY97" s="128">
        <v>0</v>
      </c>
      <c r="LZ97" s="128">
        <v>0</v>
      </c>
      <c r="MD97" s="128">
        <v>14000</v>
      </c>
      <c r="ME97" s="128">
        <v>0</v>
      </c>
      <c r="MF97" s="128">
        <v>0</v>
      </c>
      <c r="MJ97" s="128">
        <v>0</v>
      </c>
      <c r="MK97" s="128">
        <v>0</v>
      </c>
      <c r="ML97" s="128">
        <v>0</v>
      </c>
      <c r="MP97" s="128">
        <v>20000</v>
      </c>
      <c r="MQ97" s="128">
        <v>0</v>
      </c>
      <c r="MR97" s="128">
        <v>0</v>
      </c>
      <c r="MV97" s="128">
        <v>80000</v>
      </c>
      <c r="MW97" s="128">
        <v>0</v>
      </c>
      <c r="MX97" s="128">
        <v>0</v>
      </c>
      <c r="NB97" s="128">
        <v>14000</v>
      </c>
      <c r="NC97" s="128">
        <v>0</v>
      </c>
      <c r="ND97" s="128">
        <v>0</v>
      </c>
      <c r="NH97" s="128">
        <v>62000</v>
      </c>
      <c r="NI97" s="128">
        <v>0</v>
      </c>
      <c r="NJ97" s="128">
        <v>0</v>
      </c>
      <c r="NN97" s="128">
        <v>34000</v>
      </c>
      <c r="NO97" s="128">
        <v>0</v>
      </c>
      <c r="NP97" s="128">
        <v>0</v>
      </c>
      <c r="NT97" s="128">
        <v>18000</v>
      </c>
      <c r="NU97" s="128">
        <v>0</v>
      </c>
      <c r="NV97" s="128">
        <v>0</v>
      </c>
      <c r="NZ97" s="128">
        <v>20000</v>
      </c>
      <c r="OA97" s="128">
        <v>0</v>
      </c>
      <c r="OB97" s="128">
        <v>0</v>
      </c>
      <c r="OF97" s="128">
        <v>4000</v>
      </c>
      <c r="OG97" s="128">
        <v>0</v>
      </c>
      <c r="OH97" s="128">
        <v>0</v>
      </c>
      <c r="OL97" s="128">
        <v>0</v>
      </c>
      <c r="OM97" s="128">
        <v>0</v>
      </c>
      <c r="ON97" s="128">
        <v>0</v>
      </c>
      <c r="OR97" s="128">
        <v>0</v>
      </c>
      <c r="OS97" s="128">
        <v>0</v>
      </c>
      <c r="OT97" s="128">
        <v>0</v>
      </c>
      <c r="OX97" s="128">
        <v>8000</v>
      </c>
      <c r="OY97" s="128">
        <v>0</v>
      </c>
      <c r="OZ97" s="128">
        <v>0</v>
      </c>
      <c r="PD97" s="128">
        <v>0</v>
      </c>
      <c r="PE97" s="128">
        <v>0</v>
      </c>
      <c r="PF97" s="128">
        <v>0</v>
      </c>
      <c r="PJ97" s="128">
        <v>24000</v>
      </c>
      <c r="PK97" s="128">
        <v>0</v>
      </c>
      <c r="PL97" s="128">
        <v>0</v>
      </c>
      <c r="PP97" s="128">
        <v>1452634</v>
      </c>
      <c r="PQ97" s="128">
        <v>930000</v>
      </c>
      <c r="PR97" s="128">
        <v>930000</v>
      </c>
      <c r="PS97" s="128">
        <v>100</v>
      </c>
      <c r="PT97" s="128">
        <v>100</v>
      </c>
      <c r="PX97" s="128">
        <v>779212</v>
      </c>
      <c r="PY97" s="128">
        <v>753240</v>
      </c>
      <c r="PZ97" s="128">
        <v>930000</v>
      </c>
      <c r="QA97" s="128">
        <v>0</v>
      </c>
      <c r="QB97" s="128">
        <v>0</v>
      </c>
      <c r="QC97" s="128">
        <v>0</v>
      </c>
      <c r="QD97" s="128">
        <v>0</v>
      </c>
      <c r="QE97" s="128">
        <v>0</v>
      </c>
      <c r="QF97" s="128">
        <v>0</v>
      </c>
      <c r="QG97" s="128">
        <v>0</v>
      </c>
      <c r="QH97" s="128">
        <v>0</v>
      </c>
      <c r="QI97" s="128">
        <v>0</v>
      </c>
      <c r="QJ97" s="128">
        <v>0</v>
      </c>
      <c r="QK97" s="128">
        <v>0</v>
      </c>
      <c r="QL97" s="128">
        <v>0</v>
      </c>
      <c r="QN97" s="128">
        <v>0</v>
      </c>
      <c r="QO97" s="128">
        <v>0</v>
      </c>
      <c r="QP97" s="128">
        <v>0</v>
      </c>
      <c r="QX97" s="128">
        <v>495000</v>
      </c>
      <c r="QY97" s="128">
        <v>595000</v>
      </c>
      <c r="QZ97" s="128">
        <v>522634</v>
      </c>
      <c r="RD97" s="128">
        <v>7000</v>
      </c>
      <c r="RE97" s="128">
        <v>0</v>
      </c>
      <c r="RF97" s="128">
        <v>0</v>
      </c>
      <c r="RH97" s="128">
        <f t="shared" si="209"/>
        <v>1452634</v>
      </c>
      <c r="RI97" s="128">
        <v>0</v>
      </c>
      <c r="RM97" s="128" t="s">
        <v>220</v>
      </c>
      <c r="RU97" s="130"/>
      <c r="RV97" s="130"/>
      <c r="RW97" s="130"/>
      <c r="RX97" s="130"/>
      <c r="SF97" s="128">
        <f t="shared" si="119"/>
        <v>6989404</v>
      </c>
      <c r="SG97" s="131">
        <f t="shared" si="120"/>
        <v>1452634</v>
      </c>
      <c r="SH97" s="131">
        <f t="shared" si="121"/>
        <v>1452634</v>
      </c>
      <c r="SI97" s="131">
        <f t="shared" si="122"/>
        <v>1130634</v>
      </c>
      <c r="SJ97" s="132">
        <f t="shared" si="123"/>
        <v>1093654</v>
      </c>
      <c r="SK97" s="132">
        <f t="shared" si="124"/>
        <v>0</v>
      </c>
      <c r="SL97" s="132">
        <f t="shared" si="125"/>
        <v>19980</v>
      </c>
      <c r="SM97" s="132">
        <f t="shared" si="126"/>
        <v>17000</v>
      </c>
      <c r="SN97" s="131">
        <f t="shared" si="127"/>
        <v>322000</v>
      </c>
      <c r="SO97" s="131">
        <f t="shared" si="128"/>
        <v>24000</v>
      </c>
      <c r="SP97" s="132">
        <f t="shared" si="129"/>
        <v>0</v>
      </c>
      <c r="SQ97" s="132">
        <f t="shared" si="130"/>
        <v>24000</v>
      </c>
      <c r="SR97" s="132">
        <f t="shared" si="131"/>
        <v>0</v>
      </c>
      <c r="SS97" s="132">
        <f t="shared" si="132"/>
        <v>14000</v>
      </c>
      <c r="ST97" s="132">
        <f t="shared" si="133"/>
        <v>0</v>
      </c>
      <c r="SU97" s="132">
        <f t="shared" si="134"/>
        <v>20000</v>
      </c>
      <c r="SV97" s="131">
        <f t="shared" si="135"/>
        <v>240000</v>
      </c>
      <c r="SW97" s="132">
        <f t="shared" si="136"/>
        <v>80000</v>
      </c>
      <c r="SX97" s="132">
        <f t="shared" si="137"/>
        <v>14000</v>
      </c>
      <c r="SY97" s="132">
        <f t="shared" si="138"/>
        <v>62000</v>
      </c>
      <c r="SZ97" s="132">
        <f t="shared" si="139"/>
        <v>34000</v>
      </c>
      <c r="TA97" s="132">
        <f t="shared" si="140"/>
        <v>18000</v>
      </c>
      <c r="TB97" s="132">
        <f t="shared" si="141"/>
        <v>20000</v>
      </c>
      <c r="TC97" s="132">
        <f t="shared" si="142"/>
        <v>4000</v>
      </c>
      <c r="TD97" s="132">
        <f t="shared" si="143"/>
        <v>0</v>
      </c>
      <c r="TE97" s="132">
        <f t="shared" si="144"/>
        <v>0</v>
      </c>
      <c r="TF97" s="132">
        <f t="shared" si="145"/>
        <v>8000</v>
      </c>
      <c r="TG97" s="132">
        <f t="shared" si="146"/>
        <v>0</v>
      </c>
      <c r="TH97" s="132">
        <f t="shared" si="147"/>
        <v>24000</v>
      </c>
      <c r="TI97" s="1"/>
      <c r="TJ97" s="131">
        <f t="shared" si="148"/>
        <v>930000</v>
      </c>
      <c r="TK97" s="131">
        <f t="shared" si="149"/>
        <v>930000</v>
      </c>
      <c r="TL97" s="131">
        <f t="shared" si="150"/>
        <v>930000</v>
      </c>
      <c r="TM97" s="132">
        <f t="shared" si="151"/>
        <v>930000</v>
      </c>
      <c r="TN97" s="132">
        <f t="shared" si="152"/>
        <v>0</v>
      </c>
      <c r="TO97" s="132">
        <f t="shared" si="153"/>
        <v>0</v>
      </c>
      <c r="TP97" s="132">
        <f t="shared" si="154"/>
        <v>0</v>
      </c>
      <c r="TQ97" s="131">
        <f t="shared" si="155"/>
        <v>0</v>
      </c>
      <c r="TR97" s="131">
        <f t="shared" si="156"/>
        <v>0</v>
      </c>
      <c r="TS97" s="132">
        <f t="shared" si="157"/>
        <v>0</v>
      </c>
      <c r="TT97" s="132">
        <f t="shared" si="158"/>
        <v>0</v>
      </c>
      <c r="TU97" s="132">
        <f t="shared" si="159"/>
        <v>0</v>
      </c>
      <c r="TV97" s="132">
        <f t="shared" si="160"/>
        <v>0</v>
      </c>
      <c r="TW97" s="132">
        <f t="shared" si="161"/>
        <v>0</v>
      </c>
      <c r="TX97" s="132">
        <f t="shared" si="162"/>
        <v>0</v>
      </c>
      <c r="TY97" s="131">
        <f t="shared" si="163"/>
        <v>0</v>
      </c>
      <c r="TZ97" s="132">
        <f t="shared" si="164"/>
        <v>0</v>
      </c>
      <c r="UA97" s="132">
        <f t="shared" si="165"/>
        <v>0</v>
      </c>
      <c r="UB97" s="132">
        <f t="shared" si="166"/>
        <v>0</v>
      </c>
      <c r="UC97" s="132">
        <f t="shared" si="167"/>
        <v>0</v>
      </c>
      <c r="UD97" s="132">
        <f t="shared" si="168"/>
        <v>0</v>
      </c>
      <c r="UE97" s="132">
        <f t="shared" si="169"/>
        <v>0</v>
      </c>
      <c r="UF97" s="132">
        <f t="shared" si="170"/>
        <v>0</v>
      </c>
      <c r="UG97" s="132">
        <f t="shared" si="171"/>
        <v>0</v>
      </c>
      <c r="UH97" s="132">
        <f t="shared" si="172"/>
        <v>0</v>
      </c>
      <c r="UI97" s="132">
        <f t="shared" si="173"/>
        <v>0</v>
      </c>
      <c r="UJ97" s="132">
        <f t="shared" si="174"/>
        <v>0</v>
      </c>
      <c r="UK97" s="132">
        <f t="shared" si="175"/>
        <v>0</v>
      </c>
      <c r="UL97" s="132">
        <f t="shared" si="210"/>
        <v>930000</v>
      </c>
      <c r="UM97" s="131">
        <f t="shared" si="176"/>
        <v>930000</v>
      </c>
      <c r="UN97" s="131">
        <f t="shared" si="177"/>
        <v>930000</v>
      </c>
      <c r="UO97" s="131">
        <f t="shared" si="178"/>
        <v>930000</v>
      </c>
      <c r="UP97" s="132">
        <f t="shared" si="179"/>
        <v>930000</v>
      </c>
      <c r="UQ97" s="132">
        <f t="shared" si="180"/>
        <v>0</v>
      </c>
      <c r="UR97" s="132">
        <f t="shared" si="181"/>
        <v>0</v>
      </c>
      <c r="US97" s="132">
        <f t="shared" si="182"/>
        <v>0</v>
      </c>
      <c r="UT97" s="131">
        <f t="shared" si="183"/>
        <v>0</v>
      </c>
      <c r="UU97" s="131">
        <f t="shared" si="184"/>
        <v>0</v>
      </c>
      <c r="UV97" s="132">
        <f t="shared" si="185"/>
        <v>0</v>
      </c>
      <c r="UW97" s="132">
        <f t="shared" si="186"/>
        <v>0</v>
      </c>
      <c r="UX97" s="132">
        <f t="shared" si="187"/>
        <v>0</v>
      </c>
      <c r="UY97" s="132">
        <f t="shared" si="188"/>
        <v>0</v>
      </c>
      <c r="UZ97" s="132">
        <f t="shared" si="189"/>
        <v>0</v>
      </c>
      <c r="VA97" s="132">
        <f t="shared" si="190"/>
        <v>0</v>
      </c>
      <c r="VB97" s="131">
        <f t="shared" si="191"/>
        <v>0</v>
      </c>
      <c r="VC97" s="132">
        <f t="shared" si="192"/>
        <v>0</v>
      </c>
      <c r="VD97" s="132">
        <f t="shared" si="193"/>
        <v>0</v>
      </c>
      <c r="VE97" s="132">
        <f t="shared" si="194"/>
        <v>0</v>
      </c>
      <c r="VF97" s="132">
        <f t="shared" si="195"/>
        <v>0</v>
      </c>
      <c r="VG97" s="132">
        <f t="shared" si="196"/>
        <v>0</v>
      </c>
      <c r="VH97" s="132">
        <f t="shared" si="197"/>
        <v>0</v>
      </c>
      <c r="VI97" s="132">
        <f t="shared" si="198"/>
        <v>0</v>
      </c>
      <c r="VJ97" s="132">
        <f t="shared" si="199"/>
        <v>0</v>
      </c>
      <c r="VK97" s="132">
        <f t="shared" si="200"/>
        <v>0</v>
      </c>
      <c r="VL97" s="132">
        <f t="shared" si="201"/>
        <v>0</v>
      </c>
      <c r="VM97" s="132">
        <f t="shared" si="202"/>
        <v>0</v>
      </c>
      <c r="VN97" s="132">
        <f t="shared" si="203"/>
        <v>0</v>
      </c>
      <c r="VP97" s="845" t="str">
        <f>IFERROR(HLOOKUP(F97,'Hodnocení '!$C$1:$JH$5,2,FALSE),0)</f>
        <v>NZDM DoPatra</v>
      </c>
      <c r="VQ97" s="838"/>
      <c r="VR97" s="845" t="str">
        <f t="shared" si="211"/>
        <v>Obecně prospěšná společnost</v>
      </c>
      <c r="VS97" s="845" t="str">
        <f>IFERROR(HLOOKUP(F97,'Hodnocení '!$C$1:$JH$5,5,FALSE),0)</f>
        <v>Obce</v>
      </c>
      <c r="VT97" s="838" t="str">
        <f t="shared" si="212"/>
        <v>Obecně prospěšná společnost</v>
      </c>
      <c r="VU97" s="838">
        <f t="shared" si="213"/>
        <v>0</v>
      </c>
      <c r="VV97" s="838">
        <f t="shared" si="214"/>
        <v>0</v>
      </c>
      <c r="VW97" s="838">
        <f t="shared" si="215"/>
        <v>0</v>
      </c>
      <c r="VX97" s="838"/>
      <c r="VY97" s="838">
        <f t="shared" si="216"/>
        <v>0</v>
      </c>
      <c r="VZ97" s="838">
        <f t="shared" si="217"/>
        <v>930000</v>
      </c>
      <c r="WA97" s="846">
        <f>IFERROR(HLOOKUP($F97,'Hodnocení '!$C$1:$JH$9,9,FALSE),0)</f>
        <v>930000</v>
      </c>
      <c r="WB97" s="846">
        <f>IF(IFERROR(HLOOKUP($F97,'Hodnocení '!$C$1:$JH$13,13,FALSE),0)&gt;WA97,WA97,IFERROR(HLOOKUP($F97,'Hodnocení '!$C$1:$JH$13,13,FALSE),0))</f>
        <v>930000</v>
      </c>
      <c r="WC97" s="846">
        <f>IFERROR(HLOOKUP($F97,'Hodnocení '!$C$1:$JH$155,155,FALSE),0)</f>
        <v>692540</v>
      </c>
      <c r="WD97" s="845"/>
      <c r="WE97" s="845"/>
      <c r="WF97" s="845" t="str">
        <f t="shared" si="204"/>
        <v>ANO</v>
      </c>
      <c r="WG97" s="849" t="str">
        <f t="shared" si="218"/>
        <v>Podpora služby je vyjádřena zařazením do sítě sociálních služeb v KHK a řešením financování služby</v>
      </c>
      <c r="WH97"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97" s="849" t="str">
        <f t="shared" si="218"/>
        <v>Návrh dotace je výsledkem projednání s ostatními zadavateli v rámci sítě služeb KHK</v>
      </c>
      <c r="WJ97" s="849" t="str">
        <f t="shared" si="218"/>
        <v>Bez komentáře</v>
      </c>
      <c r="WK97" s="31">
        <f t="shared" si="205"/>
        <v>0</v>
      </c>
      <c r="WL97" s="850">
        <f t="shared" si="206"/>
        <v>0</v>
      </c>
      <c r="WM97" s="849">
        <f t="shared" si="207"/>
        <v>0</v>
      </c>
      <c r="WN97" s="849">
        <f t="shared" si="208"/>
        <v>0</v>
      </c>
      <c r="WO97" s="849" t="str">
        <f t="shared" si="118"/>
        <v>bez komentáře</v>
      </c>
      <c r="WP97" s="849" t="str">
        <f t="shared" si="118"/>
        <v>bez komentáře</v>
      </c>
      <c r="WQ97" s="849" t="str">
        <f t="shared" si="118"/>
        <v>Konečná výše dotace z rozpočtu KHK bude řešena v návaznosti na řešení podílů jednotlivých zadavatelů.</v>
      </c>
      <c r="WR97" s="849" t="str">
        <f t="shared" si="118"/>
        <v>Konečná výše podpory ze stran obcí bude řešena v součinnosti s jednotlivými zadavateli v průběhu roku.</v>
      </c>
      <c r="WS97" s="849" t="str">
        <f t="shared" si="118"/>
        <v>bez komentáře</v>
      </c>
      <c r="WT97" s="849" t="str">
        <f t="shared" si="118"/>
        <v>bez komentáře</v>
      </c>
      <c r="WU97" s="845"/>
    </row>
    <row r="98" spans="1:619" s="128" customFormat="1" x14ac:dyDescent="0.25">
      <c r="A98" s="128" t="str">
        <f>VLOOKUP(F98,'Výpočet VP 2020'!$D$324:$I$588,6,FALSE)</f>
        <v>Je v síti</v>
      </c>
      <c r="B98" s="128" t="s">
        <v>531</v>
      </c>
      <c r="C98" s="128">
        <v>25999150</v>
      </c>
      <c r="D98" s="128" t="s">
        <v>532</v>
      </c>
      <c r="E98" s="128" t="s">
        <v>216</v>
      </c>
      <c r="F98" s="128">
        <v>9199716</v>
      </c>
      <c r="G98" s="128" t="s">
        <v>328</v>
      </c>
      <c r="H98" s="128" t="s">
        <v>218</v>
      </c>
      <c r="I98" s="128" t="s">
        <v>543</v>
      </c>
      <c r="J98" s="129">
        <v>39083</v>
      </c>
      <c r="L98" s="128" t="s">
        <v>220</v>
      </c>
      <c r="AP98" s="128" t="s">
        <v>544</v>
      </c>
      <c r="AQ98" s="128">
        <v>80</v>
      </c>
      <c r="AR98" s="128">
        <v>80</v>
      </c>
      <c r="AS98" s="128">
        <v>134</v>
      </c>
      <c r="AT98" s="128">
        <v>135</v>
      </c>
      <c r="AU98" s="128">
        <v>135</v>
      </c>
      <c r="BJ98" s="128">
        <v>7000</v>
      </c>
      <c r="BL98" s="128" t="s">
        <v>545</v>
      </c>
      <c r="BM98" s="128" t="s">
        <v>325</v>
      </c>
      <c r="BN98" s="128" t="s">
        <v>424</v>
      </c>
      <c r="BO98" s="128">
        <v>0</v>
      </c>
      <c r="BP98" s="128">
        <v>0</v>
      </c>
      <c r="BQ98" s="128">
        <v>0</v>
      </c>
      <c r="BR98" s="128">
        <v>0</v>
      </c>
      <c r="BS98" s="128">
        <v>0</v>
      </c>
      <c r="BT98" s="128">
        <v>50</v>
      </c>
      <c r="BU98" s="128">
        <v>30</v>
      </c>
      <c r="BV98" s="128">
        <v>20</v>
      </c>
      <c r="BW98" s="128">
        <v>10</v>
      </c>
      <c r="BX98" s="128">
        <v>25</v>
      </c>
      <c r="BY98" s="128">
        <v>50</v>
      </c>
      <c r="BZ98" s="128">
        <v>30</v>
      </c>
      <c r="CA98" s="128">
        <v>20</v>
      </c>
      <c r="CB98" s="128">
        <v>10</v>
      </c>
      <c r="CC98" s="128">
        <v>25</v>
      </c>
      <c r="CD98" s="128">
        <v>0</v>
      </c>
      <c r="CE98" s="128">
        <v>135</v>
      </c>
      <c r="CF98" s="128">
        <v>135</v>
      </c>
      <c r="CG98" s="128">
        <v>0</v>
      </c>
      <c r="CH98" s="128">
        <v>0</v>
      </c>
      <c r="CI98" s="128">
        <v>0</v>
      </c>
      <c r="CJ98" s="128">
        <v>0</v>
      </c>
      <c r="CK98" s="128">
        <v>0</v>
      </c>
      <c r="CL98" s="128">
        <v>0</v>
      </c>
      <c r="CM98" s="128">
        <v>50</v>
      </c>
      <c r="CN98" s="128">
        <v>30</v>
      </c>
      <c r="CO98" s="128">
        <v>20</v>
      </c>
      <c r="CP98" s="128">
        <v>10</v>
      </c>
      <c r="CQ98" s="128">
        <v>25</v>
      </c>
      <c r="CR98" s="128">
        <v>50</v>
      </c>
      <c r="CS98" s="128">
        <v>30</v>
      </c>
      <c r="CT98" s="128">
        <v>20</v>
      </c>
      <c r="CU98" s="128">
        <v>10</v>
      </c>
      <c r="CV98" s="128">
        <v>25</v>
      </c>
      <c r="CW98" s="128">
        <v>0</v>
      </c>
      <c r="CX98" s="128">
        <v>135</v>
      </c>
      <c r="CY98" s="128">
        <v>135</v>
      </c>
      <c r="CZ98" s="128">
        <v>0</v>
      </c>
      <c r="EK98" s="128">
        <v>2</v>
      </c>
      <c r="EL98" s="128">
        <v>0.375</v>
      </c>
      <c r="EM98" s="128">
        <v>0.375</v>
      </c>
      <c r="EN98" s="128">
        <v>232356</v>
      </c>
      <c r="EO98" s="128">
        <v>0</v>
      </c>
      <c r="EP98" s="128">
        <v>9</v>
      </c>
      <c r="EQ98" s="128">
        <v>7.1</v>
      </c>
      <c r="ER98" s="128">
        <v>7.1</v>
      </c>
      <c r="ES98" s="128">
        <v>2944284</v>
      </c>
      <c r="ET98" s="128">
        <v>2195910</v>
      </c>
      <c r="FO98" s="128">
        <v>1</v>
      </c>
      <c r="FP98" s="128">
        <v>0.125</v>
      </c>
      <c r="FQ98" s="128">
        <v>0.125</v>
      </c>
      <c r="FR98" s="128">
        <v>108540</v>
      </c>
      <c r="FS98" s="128">
        <v>0</v>
      </c>
      <c r="IS98" s="128">
        <v>1</v>
      </c>
      <c r="IT98" s="128">
        <v>50</v>
      </c>
      <c r="IU98" s="128">
        <v>2.4E-2</v>
      </c>
      <c r="IV98" s="128">
        <v>20000</v>
      </c>
      <c r="IW98" s="128">
        <v>0</v>
      </c>
      <c r="KG98" s="128">
        <v>0</v>
      </c>
      <c r="KI98" s="128">
        <v>7.4749999999999996</v>
      </c>
      <c r="KJ98" s="128">
        <v>0</v>
      </c>
      <c r="KK98" s="128">
        <v>0</v>
      </c>
      <c r="KL98" s="128">
        <v>0</v>
      </c>
      <c r="KM98" s="128">
        <v>7.4749999999999996</v>
      </c>
      <c r="KN98" s="128">
        <v>3285180</v>
      </c>
      <c r="KO98" s="128">
        <v>2195910</v>
      </c>
      <c r="KP98" s="128">
        <v>2195910</v>
      </c>
      <c r="KT98" s="128">
        <v>0</v>
      </c>
      <c r="KU98" s="128">
        <v>0</v>
      </c>
      <c r="KV98" s="128">
        <v>0</v>
      </c>
      <c r="KZ98" s="128">
        <v>20000</v>
      </c>
      <c r="LA98" s="128">
        <v>0</v>
      </c>
      <c r="LB98" s="128">
        <v>0</v>
      </c>
      <c r="LF98" s="128">
        <v>77000</v>
      </c>
      <c r="LG98" s="128">
        <v>0</v>
      </c>
      <c r="LH98" s="128">
        <v>0</v>
      </c>
      <c r="LL98" s="128">
        <v>0</v>
      </c>
      <c r="LM98" s="128">
        <v>0</v>
      </c>
      <c r="LN98" s="128">
        <v>0</v>
      </c>
      <c r="LR98" s="128">
        <v>47000</v>
      </c>
      <c r="LS98" s="128">
        <v>0</v>
      </c>
      <c r="LT98" s="128">
        <v>0</v>
      </c>
      <c r="LX98" s="128">
        <v>0</v>
      </c>
      <c r="LY98" s="128">
        <v>0</v>
      </c>
      <c r="LZ98" s="128">
        <v>0</v>
      </c>
      <c r="MD98" s="128">
        <v>20000</v>
      </c>
      <c r="ME98" s="128">
        <v>0</v>
      </c>
      <c r="MF98" s="128">
        <v>0</v>
      </c>
      <c r="MJ98" s="128">
        <v>90000</v>
      </c>
      <c r="MK98" s="128">
        <v>0</v>
      </c>
      <c r="ML98" s="128">
        <v>0</v>
      </c>
      <c r="MP98" s="128">
        <v>65000</v>
      </c>
      <c r="MQ98" s="128">
        <v>0</v>
      </c>
      <c r="MR98" s="128">
        <v>0</v>
      </c>
      <c r="MV98" s="128">
        <v>143000</v>
      </c>
      <c r="MW98" s="128">
        <v>0</v>
      </c>
      <c r="MX98" s="128">
        <v>0</v>
      </c>
      <c r="NB98" s="128">
        <v>12000</v>
      </c>
      <c r="NC98" s="128">
        <v>0</v>
      </c>
      <c r="ND98" s="128">
        <v>0</v>
      </c>
      <c r="NH98" s="128">
        <v>71000</v>
      </c>
      <c r="NI98" s="128">
        <v>0</v>
      </c>
      <c r="NJ98" s="128">
        <v>0</v>
      </c>
      <c r="NN98" s="128">
        <v>60000</v>
      </c>
      <c r="NO98" s="128">
        <v>0</v>
      </c>
      <c r="NP98" s="128">
        <v>0</v>
      </c>
      <c r="NT98" s="128">
        <v>20000</v>
      </c>
      <c r="NU98" s="128">
        <v>0</v>
      </c>
      <c r="NV98" s="128">
        <v>0</v>
      </c>
      <c r="NZ98" s="128">
        <v>70000</v>
      </c>
      <c r="OA98" s="128">
        <v>0</v>
      </c>
      <c r="OB98" s="128">
        <v>0</v>
      </c>
      <c r="OF98" s="128">
        <v>9000</v>
      </c>
      <c r="OG98" s="128">
        <v>0</v>
      </c>
      <c r="OH98" s="128">
        <v>0</v>
      </c>
      <c r="OL98" s="128">
        <v>0</v>
      </c>
      <c r="OM98" s="128">
        <v>0</v>
      </c>
      <c r="ON98" s="128">
        <v>0</v>
      </c>
      <c r="OR98" s="128">
        <v>0</v>
      </c>
      <c r="OS98" s="128">
        <v>0</v>
      </c>
      <c r="OT98" s="128">
        <v>0</v>
      </c>
      <c r="OX98" s="128">
        <v>42000</v>
      </c>
      <c r="OY98" s="128">
        <v>0</v>
      </c>
      <c r="OZ98" s="128">
        <v>0</v>
      </c>
      <c r="PD98" s="128">
        <v>87000</v>
      </c>
      <c r="PE98" s="128">
        <v>0</v>
      </c>
      <c r="PF98" s="128">
        <v>0</v>
      </c>
      <c r="PJ98" s="128">
        <v>68000</v>
      </c>
      <c r="PK98" s="128">
        <v>0</v>
      </c>
      <c r="PL98" s="128">
        <v>0</v>
      </c>
      <c r="PP98" s="128">
        <v>4186180</v>
      </c>
      <c r="PQ98" s="128">
        <v>2195910</v>
      </c>
      <c r="PR98" s="128">
        <v>2195910</v>
      </c>
      <c r="PS98" s="128">
        <v>100</v>
      </c>
      <c r="PT98" s="128">
        <v>100</v>
      </c>
      <c r="PV98" s="128">
        <v>2703833</v>
      </c>
      <c r="PX98" s="128">
        <v>1757000</v>
      </c>
      <c r="PY98" s="128">
        <v>1317750</v>
      </c>
      <c r="PZ98" s="128">
        <v>2195910</v>
      </c>
      <c r="QA98" s="128">
        <v>18000</v>
      </c>
      <c r="QB98" s="128">
        <v>0</v>
      </c>
      <c r="QC98" s="128">
        <v>0</v>
      </c>
      <c r="QD98" s="128">
        <v>0</v>
      </c>
      <c r="QE98" s="128">
        <v>0</v>
      </c>
      <c r="QF98" s="128">
        <v>0</v>
      </c>
      <c r="QG98" s="128">
        <v>0</v>
      </c>
      <c r="QH98" s="128">
        <v>0</v>
      </c>
      <c r="QI98" s="128">
        <v>0</v>
      </c>
      <c r="QJ98" s="128">
        <v>1292491</v>
      </c>
      <c r="QK98" s="128">
        <v>950000</v>
      </c>
      <c r="QL98" s="128">
        <v>950000</v>
      </c>
      <c r="QN98" s="128">
        <v>0</v>
      </c>
      <c r="QO98" s="128">
        <v>0</v>
      </c>
      <c r="QP98" s="128">
        <v>0</v>
      </c>
      <c r="QU98" s="128">
        <v>0</v>
      </c>
      <c r="QV98" s="128">
        <v>349751</v>
      </c>
      <c r="QW98" s="128">
        <v>0</v>
      </c>
      <c r="QX98" s="128">
        <v>510780</v>
      </c>
      <c r="QY98" s="128">
        <v>991270</v>
      </c>
      <c r="QZ98" s="128">
        <v>1040270</v>
      </c>
      <c r="RH98" s="128">
        <f t="shared" si="209"/>
        <v>3236180</v>
      </c>
      <c r="RI98" s="128">
        <v>0</v>
      </c>
      <c r="RM98" s="128" t="s">
        <v>220</v>
      </c>
      <c r="RU98" s="130"/>
      <c r="RV98" s="130"/>
      <c r="RW98" s="130"/>
      <c r="RX98" s="130"/>
      <c r="SF98" s="128">
        <f t="shared" si="119"/>
        <v>9199716</v>
      </c>
      <c r="SG98" s="131">
        <f t="shared" si="120"/>
        <v>4186180</v>
      </c>
      <c r="SH98" s="131">
        <f t="shared" si="121"/>
        <v>4186180</v>
      </c>
      <c r="SI98" s="131">
        <f t="shared" si="122"/>
        <v>3382180</v>
      </c>
      <c r="SJ98" s="132">
        <f t="shared" si="123"/>
        <v>3285180</v>
      </c>
      <c r="SK98" s="132">
        <f t="shared" si="124"/>
        <v>0</v>
      </c>
      <c r="SL98" s="132">
        <f t="shared" si="125"/>
        <v>20000</v>
      </c>
      <c r="SM98" s="132">
        <f t="shared" si="126"/>
        <v>77000</v>
      </c>
      <c r="SN98" s="131">
        <f t="shared" si="127"/>
        <v>804000</v>
      </c>
      <c r="SO98" s="131">
        <f t="shared" si="128"/>
        <v>47000</v>
      </c>
      <c r="SP98" s="132">
        <f t="shared" si="129"/>
        <v>0</v>
      </c>
      <c r="SQ98" s="132">
        <f t="shared" si="130"/>
        <v>47000</v>
      </c>
      <c r="SR98" s="132">
        <f t="shared" si="131"/>
        <v>0</v>
      </c>
      <c r="SS98" s="132">
        <f t="shared" si="132"/>
        <v>20000</v>
      </c>
      <c r="ST98" s="132">
        <f t="shared" si="133"/>
        <v>90000</v>
      </c>
      <c r="SU98" s="132">
        <f t="shared" si="134"/>
        <v>65000</v>
      </c>
      <c r="SV98" s="131">
        <f t="shared" si="135"/>
        <v>427000</v>
      </c>
      <c r="SW98" s="132">
        <f t="shared" si="136"/>
        <v>143000</v>
      </c>
      <c r="SX98" s="132">
        <f t="shared" si="137"/>
        <v>12000</v>
      </c>
      <c r="SY98" s="132">
        <f t="shared" si="138"/>
        <v>71000</v>
      </c>
      <c r="SZ98" s="132">
        <f t="shared" si="139"/>
        <v>60000</v>
      </c>
      <c r="TA98" s="132">
        <f t="shared" si="140"/>
        <v>20000</v>
      </c>
      <c r="TB98" s="132">
        <f t="shared" si="141"/>
        <v>70000</v>
      </c>
      <c r="TC98" s="132">
        <f t="shared" si="142"/>
        <v>9000</v>
      </c>
      <c r="TD98" s="132">
        <f t="shared" si="143"/>
        <v>0</v>
      </c>
      <c r="TE98" s="132">
        <f t="shared" si="144"/>
        <v>0</v>
      </c>
      <c r="TF98" s="132">
        <f t="shared" si="145"/>
        <v>42000</v>
      </c>
      <c r="TG98" s="132">
        <f t="shared" si="146"/>
        <v>87000</v>
      </c>
      <c r="TH98" s="132">
        <f t="shared" si="147"/>
        <v>68000</v>
      </c>
      <c r="TI98" s="1"/>
      <c r="TJ98" s="131">
        <f t="shared" si="148"/>
        <v>2195910</v>
      </c>
      <c r="TK98" s="131">
        <f t="shared" si="149"/>
        <v>2195910</v>
      </c>
      <c r="TL98" s="131">
        <f t="shared" si="150"/>
        <v>2195910</v>
      </c>
      <c r="TM98" s="132">
        <f t="shared" si="151"/>
        <v>2195910</v>
      </c>
      <c r="TN98" s="132">
        <f t="shared" si="152"/>
        <v>0</v>
      </c>
      <c r="TO98" s="132">
        <f t="shared" si="153"/>
        <v>0</v>
      </c>
      <c r="TP98" s="132">
        <f t="shared" si="154"/>
        <v>0</v>
      </c>
      <c r="TQ98" s="131">
        <f t="shared" si="155"/>
        <v>0</v>
      </c>
      <c r="TR98" s="131">
        <f t="shared" si="156"/>
        <v>0</v>
      </c>
      <c r="TS98" s="132">
        <f t="shared" si="157"/>
        <v>0</v>
      </c>
      <c r="TT98" s="132">
        <f t="shared" si="158"/>
        <v>0</v>
      </c>
      <c r="TU98" s="132">
        <f t="shared" si="159"/>
        <v>0</v>
      </c>
      <c r="TV98" s="132">
        <f t="shared" si="160"/>
        <v>0</v>
      </c>
      <c r="TW98" s="132">
        <f t="shared" si="161"/>
        <v>0</v>
      </c>
      <c r="TX98" s="132">
        <f t="shared" si="162"/>
        <v>0</v>
      </c>
      <c r="TY98" s="131">
        <f t="shared" si="163"/>
        <v>0</v>
      </c>
      <c r="TZ98" s="132">
        <f t="shared" si="164"/>
        <v>0</v>
      </c>
      <c r="UA98" s="132">
        <f t="shared" si="165"/>
        <v>0</v>
      </c>
      <c r="UB98" s="132">
        <f t="shared" si="166"/>
        <v>0</v>
      </c>
      <c r="UC98" s="132">
        <f t="shared" si="167"/>
        <v>0</v>
      </c>
      <c r="UD98" s="132">
        <f t="shared" si="168"/>
        <v>0</v>
      </c>
      <c r="UE98" s="132">
        <f t="shared" si="169"/>
        <v>0</v>
      </c>
      <c r="UF98" s="132">
        <f t="shared" si="170"/>
        <v>0</v>
      </c>
      <c r="UG98" s="132">
        <f t="shared" si="171"/>
        <v>0</v>
      </c>
      <c r="UH98" s="132">
        <f t="shared" si="172"/>
        <v>0</v>
      </c>
      <c r="UI98" s="132">
        <f t="shared" si="173"/>
        <v>0</v>
      </c>
      <c r="UJ98" s="132">
        <f t="shared" si="174"/>
        <v>0</v>
      </c>
      <c r="UK98" s="132">
        <f t="shared" si="175"/>
        <v>0</v>
      </c>
      <c r="UL98" s="132">
        <f t="shared" si="210"/>
        <v>2195910</v>
      </c>
      <c r="UM98" s="131">
        <f t="shared" si="176"/>
        <v>2195910</v>
      </c>
      <c r="UN98" s="131">
        <f t="shared" si="177"/>
        <v>2195910</v>
      </c>
      <c r="UO98" s="131">
        <f t="shared" si="178"/>
        <v>2195910</v>
      </c>
      <c r="UP98" s="132">
        <f t="shared" si="179"/>
        <v>2195910</v>
      </c>
      <c r="UQ98" s="132">
        <f t="shared" si="180"/>
        <v>0</v>
      </c>
      <c r="UR98" s="132">
        <f t="shared" si="181"/>
        <v>0</v>
      </c>
      <c r="US98" s="132">
        <f t="shared" si="182"/>
        <v>0</v>
      </c>
      <c r="UT98" s="131">
        <f t="shared" si="183"/>
        <v>0</v>
      </c>
      <c r="UU98" s="131">
        <f t="shared" si="184"/>
        <v>0</v>
      </c>
      <c r="UV98" s="132">
        <f t="shared" si="185"/>
        <v>0</v>
      </c>
      <c r="UW98" s="132">
        <f t="shared" si="186"/>
        <v>0</v>
      </c>
      <c r="UX98" s="132">
        <f t="shared" si="187"/>
        <v>0</v>
      </c>
      <c r="UY98" s="132">
        <f t="shared" si="188"/>
        <v>0</v>
      </c>
      <c r="UZ98" s="132">
        <f t="shared" si="189"/>
        <v>0</v>
      </c>
      <c r="VA98" s="132">
        <f t="shared" si="190"/>
        <v>0</v>
      </c>
      <c r="VB98" s="131">
        <f t="shared" si="191"/>
        <v>0</v>
      </c>
      <c r="VC98" s="132">
        <f t="shared" si="192"/>
        <v>0</v>
      </c>
      <c r="VD98" s="132">
        <f t="shared" si="193"/>
        <v>0</v>
      </c>
      <c r="VE98" s="132">
        <f t="shared" si="194"/>
        <v>0</v>
      </c>
      <c r="VF98" s="132">
        <f t="shared" si="195"/>
        <v>0</v>
      </c>
      <c r="VG98" s="132">
        <f t="shared" si="196"/>
        <v>0</v>
      </c>
      <c r="VH98" s="132">
        <f t="shared" si="197"/>
        <v>0</v>
      </c>
      <c r="VI98" s="132">
        <f t="shared" si="198"/>
        <v>0</v>
      </c>
      <c r="VJ98" s="132">
        <f t="shared" si="199"/>
        <v>0</v>
      </c>
      <c r="VK98" s="132">
        <f t="shared" si="200"/>
        <v>0</v>
      </c>
      <c r="VL98" s="132">
        <f t="shared" si="201"/>
        <v>0</v>
      </c>
      <c r="VM98" s="132">
        <f t="shared" si="202"/>
        <v>0</v>
      </c>
      <c r="VN98" s="132">
        <f t="shared" si="203"/>
        <v>0</v>
      </c>
      <c r="VP98" s="845" t="str">
        <f>IFERROR(HLOOKUP(F98,'Hodnocení '!$C$1:$JH$5,2,FALSE),0)</f>
        <v>DUHA o. p. s. - pečovatelská služba</v>
      </c>
      <c r="VQ98" s="838"/>
      <c r="VR98" s="845" t="str">
        <f t="shared" si="211"/>
        <v>Obecně prospěšná společnost</v>
      </c>
      <c r="VS98" s="845" t="str">
        <f>IFERROR(HLOOKUP(F98,'Hodnocení '!$C$1:$JH$5,5,FALSE),0)</f>
        <v>Obce</v>
      </c>
      <c r="VT98" s="838" t="str">
        <f t="shared" si="212"/>
        <v>Obecně prospěšná společnost</v>
      </c>
      <c r="VU98" s="838">
        <f t="shared" si="213"/>
        <v>0</v>
      </c>
      <c r="VV98" s="838">
        <f t="shared" si="214"/>
        <v>950000</v>
      </c>
      <c r="VW98" s="838">
        <f t="shared" si="215"/>
        <v>0</v>
      </c>
      <c r="VX98" s="838"/>
      <c r="VY98" s="838">
        <f t="shared" si="216"/>
        <v>0</v>
      </c>
      <c r="VZ98" s="838">
        <f t="shared" si="217"/>
        <v>2195910</v>
      </c>
      <c r="WA98" s="846">
        <f>IFERROR(HLOOKUP($F98,'Hodnocení '!$C$1:$JH$9,9,FALSE),0)</f>
        <v>2195910</v>
      </c>
      <c r="WB98" s="846">
        <f>IF(IFERROR(HLOOKUP($F98,'Hodnocení '!$C$1:$JH$13,13,FALSE),0)&gt;WA98,WA98,IFERROR(HLOOKUP($F98,'Hodnocení '!$C$1:$JH$13,13,FALSE),0))</f>
        <v>2195910</v>
      </c>
      <c r="WC98" s="846">
        <f>IFERROR(HLOOKUP($F98,'Hodnocení '!$C$1:$JH$155,155,FALSE),0)</f>
        <v>1839200</v>
      </c>
      <c r="WD98" s="845"/>
      <c r="WE98" s="845"/>
      <c r="WF98" s="845" t="str">
        <f t="shared" si="204"/>
        <v>ANO</v>
      </c>
      <c r="WG98" s="849" t="str">
        <f t="shared" si="218"/>
        <v>Podpora služby je vyjádřena zařazením do sítě sociálních služeb v KHK a řešením financování služby</v>
      </c>
      <c r="WH98"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98" s="849" t="str">
        <f t="shared" si="218"/>
        <v>Návrh dotace je výsledkem projednání s ostatními zadavateli v rámci sítě služeb KHK</v>
      </c>
      <c r="WJ98" s="849" t="str">
        <f t="shared" si="218"/>
        <v>Bez komentáře</v>
      </c>
      <c r="WK98" s="31">
        <f t="shared" si="205"/>
        <v>0</v>
      </c>
      <c r="WL98" s="850">
        <f t="shared" si="206"/>
        <v>0</v>
      </c>
      <c r="WM98" s="849" t="str">
        <f t="shared" si="207"/>
        <v>V rámci sítě KHK se dlouhodobě řeší otázka navyšování úhrad a průběžně se monitoruje s vazbou na vykrytí vyrovnávací platby</v>
      </c>
      <c r="WN98" s="849">
        <f t="shared" si="208"/>
        <v>0</v>
      </c>
      <c r="WO98" s="849" t="str">
        <f t="shared" si="118"/>
        <v>bez komentáře</v>
      </c>
      <c r="WP98" s="849" t="str">
        <f t="shared" si="118"/>
        <v>bez komentáře</v>
      </c>
      <c r="WQ98" s="849" t="str">
        <f t="shared" si="118"/>
        <v>Konečná výše dotace z rozpočtu KHK bude řešena v návaznosti na řešení podílů jednotlivých zadavatelů.</v>
      </c>
      <c r="WR98" s="849" t="str">
        <f t="shared" si="118"/>
        <v>Konečná výše podpory ze stran obcí bude řešena v součinnosti s jednotlivými zadavateli v průběhu roku.</v>
      </c>
      <c r="WS98" s="849" t="str">
        <f t="shared" si="118"/>
        <v>bez komentáře</v>
      </c>
      <c r="WT98" s="849" t="str">
        <f t="shared" si="118"/>
        <v>bez komentáře</v>
      </c>
      <c r="WU98" s="845"/>
    </row>
    <row r="99" spans="1:619" s="128" customFormat="1" x14ac:dyDescent="0.25">
      <c r="A99" s="128" t="str">
        <f>VLOOKUP(F99,'Výpočet VP 2020'!$D$324:$I$588,6,FALSE)</f>
        <v>Je v síti</v>
      </c>
      <c r="B99" s="128" t="s">
        <v>546</v>
      </c>
      <c r="C99" s="128">
        <v>49290738</v>
      </c>
      <c r="D99" s="128" t="s">
        <v>547</v>
      </c>
      <c r="E99" s="128" t="s">
        <v>259</v>
      </c>
      <c r="F99" s="128">
        <v>2946425</v>
      </c>
      <c r="G99" s="128" t="s">
        <v>328</v>
      </c>
      <c r="H99" s="128" t="s">
        <v>218</v>
      </c>
      <c r="I99" s="128" t="s">
        <v>546</v>
      </c>
      <c r="J99" s="129">
        <v>39083</v>
      </c>
      <c r="L99" s="128" t="s">
        <v>220</v>
      </c>
      <c r="X99" s="128" t="s">
        <v>320</v>
      </c>
      <c r="Z99" s="128">
        <v>3</v>
      </c>
      <c r="AA99" s="128">
        <v>5</v>
      </c>
      <c r="AB99" s="128">
        <v>25</v>
      </c>
      <c r="AC99" s="128">
        <v>22</v>
      </c>
      <c r="AD99" s="128">
        <v>20</v>
      </c>
      <c r="AN99" s="128">
        <v>300</v>
      </c>
      <c r="AP99" s="128" t="s">
        <v>548</v>
      </c>
      <c r="AQ99" s="128">
        <v>5</v>
      </c>
      <c r="AR99" s="128">
        <v>75</v>
      </c>
      <c r="AS99" s="128">
        <v>82</v>
      </c>
      <c r="AT99" s="128">
        <v>85</v>
      </c>
      <c r="AU99" s="128">
        <v>90</v>
      </c>
      <c r="BJ99" s="128">
        <v>4000</v>
      </c>
      <c r="BL99" s="128" t="s">
        <v>549</v>
      </c>
      <c r="BM99" s="128" t="s">
        <v>247</v>
      </c>
      <c r="BN99" s="128" t="s">
        <v>299</v>
      </c>
      <c r="BO99" s="128">
        <v>0</v>
      </c>
      <c r="BP99" s="128">
        <v>0</v>
      </c>
      <c r="BQ99" s="128">
        <v>0</v>
      </c>
      <c r="BR99" s="128">
        <v>0</v>
      </c>
      <c r="BS99" s="128">
        <v>0</v>
      </c>
      <c r="BT99" s="128">
        <v>40</v>
      </c>
      <c r="BU99" s="128">
        <v>29</v>
      </c>
      <c r="BV99" s="128">
        <v>8</v>
      </c>
      <c r="BW99" s="128">
        <v>3</v>
      </c>
      <c r="BX99" s="128">
        <v>0</v>
      </c>
      <c r="BY99" s="128">
        <v>40</v>
      </c>
      <c r="BZ99" s="128">
        <v>29</v>
      </c>
      <c r="CA99" s="128">
        <v>8</v>
      </c>
      <c r="CB99" s="128">
        <v>3</v>
      </c>
      <c r="CC99" s="128">
        <v>0</v>
      </c>
      <c r="CD99" s="128">
        <v>0</v>
      </c>
      <c r="CE99" s="128">
        <v>80</v>
      </c>
      <c r="CF99" s="128">
        <v>80</v>
      </c>
      <c r="CG99" s="128">
        <v>0</v>
      </c>
      <c r="CH99" s="128">
        <v>0</v>
      </c>
      <c r="CI99" s="128">
        <v>0</v>
      </c>
      <c r="CJ99" s="128">
        <v>0</v>
      </c>
      <c r="CK99" s="128">
        <v>0</v>
      </c>
      <c r="CL99" s="128">
        <v>0</v>
      </c>
      <c r="CM99" s="128">
        <v>55</v>
      </c>
      <c r="CN99" s="128">
        <v>40</v>
      </c>
      <c r="CO99" s="128">
        <v>10</v>
      </c>
      <c r="CP99" s="128">
        <v>5</v>
      </c>
      <c r="CQ99" s="128">
        <v>0</v>
      </c>
      <c r="CR99" s="128">
        <v>55</v>
      </c>
      <c r="CS99" s="128">
        <v>40</v>
      </c>
      <c r="CT99" s="128">
        <v>10</v>
      </c>
      <c r="CU99" s="128">
        <v>5</v>
      </c>
      <c r="CV99" s="128">
        <v>0</v>
      </c>
      <c r="CW99" s="128">
        <v>0</v>
      </c>
      <c r="CX99" s="128">
        <v>110</v>
      </c>
      <c r="CY99" s="128">
        <v>110</v>
      </c>
      <c r="CZ99" s="128">
        <v>0</v>
      </c>
      <c r="EK99" s="128">
        <v>1</v>
      </c>
      <c r="EL99" s="128">
        <v>0.5</v>
      </c>
      <c r="EM99" s="128">
        <v>0.5</v>
      </c>
      <c r="EN99" s="128">
        <v>400000</v>
      </c>
      <c r="EO99" s="128">
        <v>250000</v>
      </c>
      <c r="EP99" s="128">
        <v>4</v>
      </c>
      <c r="EQ99" s="128">
        <v>3.5</v>
      </c>
      <c r="ER99" s="128">
        <v>3.5</v>
      </c>
      <c r="ES99" s="128">
        <v>1800000</v>
      </c>
      <c r="ET99" s="128">
        <v>1200000</v>
      </c>
      <c r="FO99" s="128">
        <v>3</v>
      </c>
      <c r="FP99" s="128">
        <v>0.45</v>
      </c>
      <c r="FQ99" s="128">
        <v>0.45</v>
      </c>
      <c r="FR99" s="128">
        <v>250000</v>
      </c>
      <c r="FS99" s="128">
        <v>0</v>
      </c>
      <c r="IN99" s="128">
        <v>2</v>
      </c>
      <c r="IO99" s="128">
        <v>600</v>
      </c>
      <c r="IP99" s="128">
        <v>0.28599999999999998</v>
      </c>
      <c r="IQ99" s="128">
        <v>78000</v>
      </c>
      <c r="IR99" s="128">
        <v>0</v>
      </c>
      <c r="KG99" s="128">
        <v>0</v>
      </c>
      <c r="KI99" s="128">
        <v>4</v>
      </c>
      <c r="KJ99" s="128">
        <v>0</v>
      </c>
      <c r="KK99" s="128">
        <v>0.28599999999999998</v>
      </c>
      <c r="KL99" s="128">
        <v>0</v>
      </c>
      <c r="KM99" s="128">
        <v>4.2859999999999996</v>
      </c>
      <c r="KN99" s="128">
        <v>2450000</v>
      </c>
      <c r="KO99" s="128">
        <v>1450000</v>
      </c>
      <c r="KP99" s="128">
        <v>1450000</v>
      </c>
      <c r="KT99" s="128">
        <v>0</v>
      </c>
      <c r="KU99" s="128">
        <v>0</v>
      </c>
      <c r="KV99" s="128">
        <v>0</v>
      </c>
      <c r="KZ99" s="128">
        <v>78000</v>
      </c>
      <c r="LA99" s="128">
        <v>0</v>
      </c>
      <c r="LB99" s="128">
        <v>0</v>
      </c>
      <c r="LF99" s="128">
        <v>0</v>
      </c>
      <c r="LG99" s="128">
        <v>0</v>
      </c>
      <c r="LH99" s="128">
        <v>0</v>
      </c>
      <c r="LL99" s="128">
        <v>0</v>
      </c>
      <c r="LM99" s="128">
        <v>0</v>
      </c>
      <c r="LN99" s="128">
        <v>0</v>
      </c>
      <c r="LR99" s="128">
        <v>100000</v>
      </c>
      <c r="LS99" s="128">
        <v>0</v>
      </c>
      <c r="LT99" s="128">
        <v>0</v>
      </c>
      <c r="LX99" s="128">
        <v>0</v>
      </c>
      <c r="LY99" s="128">
        <v>0</v>
      </c>
      <c r="LZ99" s="128">
        <v>0</v>
      </c>
      <c r="MD99" s="128">
        <v>35000</v>
      </c>
      <c r="ME99" s="128">
        <v>0</v>
      </c>
      <c r="MF99" s="128">
        <v>0</v>
      </c>
      <c r="MJ99" s="128">
        <v>85000</v>
      </c>
      <c r="MK99" s="128">
        <v>0</v>
      </c>
      <c r="ML99" s="128">
        <v>0</v>
      </c>
      <c r="MP99" s="128">
        <v>50000</v>
      </c>
      <c r="MQ99" s="128">
        <v>0</v>
      </c>
      <c r="MR99" s="128">
        <v>0</v>
      </c>
      <c r="MV99" s="128">
        <v>76000</v>
      </c>
      <c r="MW99" s="128">
        <v>0</v>
      </c>
      <c r="MX99" s="128">
        <v>0</v>
      </c>
      <c r="NB99" s="128">
        <v>45000</v>
      </c>
      <c r="NC99" s="128">
        <v>0</v>
      </c>
      <c r="ND99" s="128">
        <v>0</v>
      </c>
      <c r="NH99" s="128">
        <v>0</v>
      </c>
      <c r="NI99" s="128">
        <v>0</v>
      </c>
      <c r="NJ99" s="128">
        <v>0</v>
      </c>
      <c r="NN99" s="128">
        <v>135000</v>
      </c>
      <c r="NO99" s="128">
        <v>0</v>
      </c>
      <c r="NP99" s="128">
        <v>0</v>
      </c>
      <c r="NT99" s="128">
        <v>30000</v>
      </c>
      <c r="NU99" s="128">
        <v>0</v>
      </c>
      <c r="NV99" s="128">
        <v>0</v>
      </c>
      <c r="NZ99" s="128">
        <v>120000</v>
      </c>
      <c r="OA99" s="128">
        <v>0</v>
      </c>
      <c r="OB99" s="128">
        <v>0</v>
      </c>
      <c r="OF99" s="128">
        <v>10000</v>
      </c>
      <c r="OG99" s="128">
        <v>0</v>
      </c>
      <c r="OH99" s="128">
        <v>0</v>
      </c>
      <c r="OL99" s="128">
        <v>0</v>
      </c>
      <c r="OM99" s="128">
        <v>0</v>
      </c>
      <c r="ON99" s="128">
        <v>0</v>
      </c>
      <c r="OR99" s="128">
        <v>0</v>
      </c>
      <c r="OS99" s="128">
        <v>0</v>
      </c>
      <c r="OT99" s="128">
        <v>0</v>
      </c>
      <c r="OX99" s="128">
        <v>118000</v>
      </c>
      <c r="OY99" s="128">
        <v>0</v>
      </c>
      <c r="OZ99" s="128">
        <v>0</v>
      </c>
      <c r="PD99" s="128">
        <v>0</v>
      </c>
      <c r="PE99" s="128">
        <v>0</v>
      </c>
      <c r="PF99" s="128">
        <v>0</v>
      </c>
      <c r="PJ99" s="128">
        <v>71500</v>
      </c>
      <c r="PK99" s="128">
        <v>0</v>
      </c>
      <c r="PL99" s="128">
        <v>0</v>
      </c>
      <c r="PP99" s="128">
        <v>3403500</v>
      </c>
      <c r="PQ99" s="128">
        <v>1450000</v>
      </c>
      <c r="PR99" s="128">
        <v>1450000</v>
      </c>
      <c r="PS99" s="128">
        <v>100</v>
      </c>
      <c r="PT99" s="128">
        <v>100</v>
      </c>
      <c r="PV99" s="128">
        <v>1512756</v>
      </c>
      <c r="PX99" s="128">
        <v>1312603</v>
      </c>
      <c r="PY99" s="128">
        <v>1133866</v>
      </c>
      <c r="PZ99" s="128">
        <v>1450000</v>
      </c>
      <c r="QA99" s="128">
        <v>0</v>
      </c>
      <c r="QB99" s="128">
        <v>0</v>
      </c>
      <c r="QC99" s="128">
        <v>0</v>
      </c>
      <c r="QD99" s="128">
        <v>644084</v>
      </c>
      <c r="QE99" s="128">
        <v>675500</v>
      </c>
      <c r="QF99" s="128">
        <v>750000</v>
      </c>
      <c r="QG99" s="128">
        <v>0</v>
      </c>
      <c r="QH99" s="128">
        <v>0</v>
      </c>
      <c r="QI99" s="128">
        <v>0</v>
      </c>
      <c r="QJ99" s="128">
        <v>440631</v>
      </c>
      <c r="QK99" s="128">
        <v>450100</v>
      </c>
      <c r="QL99" s="128">
        <v>430000</v>
      </c>
      <c r="QN99" s="128">
        <v>0</v>
      </c>
      <c r="QO99" s="128">
        <v>0</v>
      </c>
      <c r="QP99" s="128">
        <v>0</v>
      </c>
      <c r="QX99" s="128">
        <v>544749</v>
      </c>
      <c r="QY99" s="128">
        <v>700000</v>
      </c>
      <c r="QZ99" s="128">
        <v>723000</v>
      </c>
      <c r="RD99" s="128">
        <v>96437</v>
      </c>
      <c r="RE99" s="128">
        <v>96100</v>
      </c>
      <c r="RF99" s="128">
        <v>50500</v>
      </c>
      <c r="RH99" s="128">
        <f t="shared" si="209"/>
        <v>2973500</v>
      </c>
      <c r="RI99" s="128">
        <v>0</v>
      </c>
      <c r="RM99" s="128" t="s">
        <v>220</v>
      </c>
      <c r="RU99" s="130"/>
      <c r="RV99" s="130"/>
      <c r="RW99" s="130"/>
      <c r="RX99" s="130"/>
      <c r="SF99" s="128">
        <f t="shared" si="119"/>
        <v>2946425</v>
      </c>
      <c r="SG99" s="131">
        <f t="shared" si="120"/>
        <v>3403500</v>
      </c>
      <c r="SH99" s="131">
        <f t="shared" si="121"/>
        <v>3403500</v>
      </c>
      <c r="SI99" s="131">
        <f t="shared" si="122"/>
        <v>2528000</v>
      </c>
      <c r="SJ99" s="132">
        <f t="shared" si="123"/>
        <v>2450000</v>
      </c>
      <c r="SK99" s="132">
        <f t="shared" si="124"/>
        <v>0</v>
      </c>
      <c r="SL99" s="132">
        <f t="shared" si="125"/>
        <v>78000</v>
      </c>
      <c r="SM99" s="132">
        <f t="shared" si="126"/>
        <v>0</v>
      </c>
      <c r="SN99" s="131">
        <f t="shared" si="127"/>
        <v>875500</v>
      </c>
      <c r="SO99" s="131">
        <f t="shared" si="128"/>
        <v>100000</v>
      </c>
      <c r="SP99" s="132">
        <f t="shared" si="129"/>
        <v>0</v>
      </c>
      <c r="SQ99" s="132">
        <f t="shared" si="130"/>
        <v>100000</v>
      </c>
      <c r="SR99" s="132">
        <f t="shared" si="131"/>
        <v>0</v>
      </c>
      <c r="SS99" s="132">
        <f t="shared" si="132"/>
        <v>35000</v>
      </c>
      <c r="ST99" s="132">
        <f t="shared" si="133"/>
        <v>85000</v>
      </c>
      <c r="SU99" s="132">
        <f t="shared" si="134"/>
        <v>50000</v>
      </c>
      <c r="SV99" s="131">
        <f t="shared" si="135"/>
        <v>534000</v>
      </c>
      <c r="SW99" s="132">
        <f t="shared" si="136"/>
        <v>76000</v>
      </c>
      <c r="SX99" s="132">
        <f t="shared" si="137"/>
        <v>45000</v>
      </c>
      <c r="SY99" s="132">
        <f t="shared" si="138"/>
        <v>0</v>
      </c>
      <c r="SZ99" s="132">
        <f t="shared" si="139"/>
        <v>135000</v>
      </c>
      <c r="TA99" s="132">
        <f t="shared" si="140"/>
        <v>30000</v>
      </c>
      <c r="TB99" s="132">
        <f t="shared" si="141"/>
        <v>120000</v>
      </c>
      <c r="TC99" s="132">
        <f t="shared" si="142"/>
        <v>10000</v>
      </c>
      <c r="TD99" s="132">
        <f t="shared" si="143"/>
        <v>0</v>
      </c>
      <c r="TE99" s="132">
        <f t="shared" si="144"/>
        <v>0</v>
      </c>
      <c r="TF99" s="132">
        <f t="shared" si="145"/>
        <v>118000</v>
      </c>
      <c r="TG99" s="132">
        <f t="shared" si="146"/>
        <v>0</v>
      </c>
      <c r="TH99" s="132">
        <f t="shared" si="147"/>
        <v>71500</v>
      </c>
      <c r="TI99" s="1"/>
      <c r="TJ99" s="131">
        <f t="shared" si="148"/>
        <v>1450000</v>
      </c>
      <c r="TK99" s="131">
        <f t="shared" si="149"/>
        <v>1450000</v>
      </c>
      <c r="TL99" s="131">
        <f t="shared" si="150"/>
        <v>1450000</v>
      </c>
      <c r="TM99" s="132">
        <f t="shared" si="151"/>
        <v>1450000</v>
      </c>
      <c r="TN99" s="132">
        <f t="shared" si="152"/>
        <v>0</v>
      </c>
      <c r="TO99" s="132">
        <f t="shared" si="153"/>
        <v>0</v>
      </c>
      <c r="TP99" s="132">
        <f t="shared" si="154"/>
        <v>0</v>
      </c>
      <c r="TQ99" s="131">
        <f t="shared" si="155"/>
        <v>0</v>
      </c>
      <c r="TR99" s="131">
        <f t="shared" si="156"/>
        <v>0</v>
      </c>
      <c r="TS99" s="132">
        <f t="shared" si="157"/>
        <v>0</v>
      </c>
      <c r="TT99" s="132">
        <f t="shared" si="158"/>
        <v>0</v>
      </c>
      <c r="TU99" s="132">
        <f t="shared" si="159"/>
        <v>0</v>
      </c>
      <c r="TV99" s="132">
        <f t="shared" si="160"/>
        <v>0</v>
      </c>
      <c r="TW99" s="132">
        <f t="shared" si="161"/>
        <v>0</v>
      </c>
      <c r="TX99" s="132">
        <f t="shared" si="162"/>
        <v>0</v>
      </c>
      <c r="TY99" s="131">
        <f t="shared" si="163"/>
        <v>0</v>
      </c>
      <c r="TZ99" s="132">
        <f t="shared" si="164"/>
        <v>0</v>
      </c>
      <c r="UA99" s="132">
        <f t="shared" si="165"/>
        <v>0</v>
      </c>
      <c r="UB99" s="132">
        <f t="shared" si="166"/>
        <v>0</v>
      </c>
      <c r="UC99" s="132">
        <f t="shared" si="167"/>
        <v>0</v>
      </c>
      <c r="UD99" s="132">
        <f t="shared" si="168"/>
        <v>0</v>
      </c>
      <c r="UE99" s="132">
        <f t="shared" si="169"/>
        <v>0</v>
      </c>
      <c r="UF99" s="132">
        <f t="shared" si="170"/>
        <v>0</v>
      </c>
      <c r="UG99" s="132">
        <f t="shared" si="171"/>
        <v>0</v>
      </c>
      <c r="UH99" s="132">
        <f t="shared" si="172"/>
        <v>0</v>
      </c>
      <c r="UI99" s="132">
        <f t="shared" si="173"/>
        <v>0</v>
      </c>
      <c r="UJ99" s="132">
        <f t="shared" si="174"/>
        <v>0</v>
      </c>
      <c r="UK99" s="132">
        <f t="shared" si="175"/>
        <v>0</v>
      </c>
      <c r="UL99" s="132">
        <f t="shared" si="210"/>
        <v>1450000</v>
      </c>
      <c r="UM99" s="131">
        <f t="shared" si="176"/>
        <v>1450000</v>
      </c>
      <c r="UN99" s="131">
        <f t="shared" si="177"/>
        <v>1450000</v>
      </c>
      <c r="UO99" s="131">
        <f t="shared" si="178"/>
        <v>1450000</v>
      </c>
      <c r="UP99" s="132">
        <f t="shared" si="179"/>
        <v>1450000</v>
      </c>
      <c r="UQ99" s="132">
        <f t="shared" si="180"/>
        <v>0</v>
      </c>
      <c r="UR99" s="132">
        <f t="shared" si="181"/>
        <v>0</v>
      </c>
      <c r="US99" s="132">
        <f t="shared" si="182"/>
        <v>0</v>
      </c>
      <c r="UT99" s="131">
        <f t="shared" si="183"/>
        <v>0</v>
      </c>
      <c r="UU99" s="131">
        <f t="shared" si="184"/>
        <v>0</v>
      </c>
      <c r="UV99" s="132">
        <f t="shared" si="185"/>
        <v>0</v>
      </c>
      <c r="UW99" s="132">
        <f t="shared" si="186"/>
        <v>0</v>
      </c>
      <c r="UX99" s="132">
        <f t="shared" si="187"/>
        <v>0</v>
      </c>
      <c r="UY99" s="132">
        <f t="shared" si="188"/>
        <v>0</v>
      </c>
      <c r="UZ99" s="132">
        <f t="shared" si="189"/>
        <v>0</v>
      </c>
      <c r="VA99" s="132">
        <f t="shared" si="190"/>
        <v>0</v>
      </c>
      <c r="VB99" s="131">
        <f t="shared" si="191"/>
        <v>0</v>
      </c>
      <c r="VC99" s="132">
        <f t="shared" si="192"/>
        <v>0</v>
      </c>
      <c r="VD99" s="132">
        <f t="shared" si="193"/>
        <v>0</v>
      </c>
      <c r="VE99" s="132">
        <f t="shared" si="194"/>
        <v>0</v>
      </c>
      <c r="VF99" s="132">
        <f t="shared" si="195"/>
        <v>0</v>
      </c>
      <c r="VG99" s="132">
        <f t="shared" si="196"/>
        <v>0</v>
      </c>
      <c r="VH99" s="132">
        <f t="shared" si="197"/>
        <v>0</v>
      </c>
      <c r="VI99" s="132">
        <f t="shared" si="198"/>
        <v>0</v>
      </c>
      <c r="VJ99" s="132">
        <f t="shared" si="199"/>
        <v>0</v>
      </c>
      <c r="VK99" s="132">
        <f t="shared" si="200"/>
        <v>0</v>
      </c>
      <c r="VL99" s="132">
        <f t="shared" si="201"/>
        <v>0</v>
      </c>
      <c r="VM99" s="132">
        <f t="shared" si="202"/>
        <v>0</v>
      </c>
      <c r="VN99" s="132">
        <f t="shared" si="203"/>
        <v>0</v>
      </c>
      <c r="VP99" s="845" t="str">
        <f>IFERROR(HLOOKUP(F99,'Hodnocení '!$C$1:$JH$5,2,FALSE),0)</f>
        <v>Dům s pečovatelskou službou Svoboda nad Úpou</v>
      </c>
      <c r="VQ99" s="838"/>
      <c r="VR99" s="845" t="str">
        <f t="shared" si="211"/>
        <v>Příspěvková organizace zřízená územním samosprávným celkem</v>
      </c>
      <c r="VS99" s="845" t="str">
        <f>IFERROR(HLOOKUP(F99,'Hodnocení '!$C$1:$JH$5,5,FALSE),0)</f>
        <v>Obce</v>
      </c>
      <c r="VT99" s="838" t="str">
        <f t="shared" si="212"/>
        <v>Příspěvková organizace zřízená územním samosprávným celkem</v>
      </c>
      <c r="VU99" s="838">
        <f t="shared" si="213"/>
        <v>0</v>
      </c>
      <c r="VV99" s="838">
        <f t="shared" si="214"/>
        <v>430000</v>
      </c>
      <c r="VW99" s="838">
        <f t="shared" si="215"/>
        <v>0</v>
      </c>
      <c r="VX99" s="838"/>
      <c r="VY99" s="838">
        <f t="shared" si="216"/>
        <v>0</v>
      </c>
      <c r="VZ99" s="838">
        <f t="shared" si="217"/>
        <v>1450000</v>
      </c>
      <c r="WA99" s="846">
        <f>IFERROR(HLOOKUP($F99,'Hodnocení '!$C$1:$JH$9,9,FALSE),0)</f>
        <v>1450000</v>
      </c>
      <c r="WB99" s="846">
        <f>IF(IFERROR(HLOOKUP($F99,'Hodnocení '!$C$1:$JH$13,13,FALSE),0)&gt;WA99,WA99,IFERROR(HLOOKUP($F99,'Hodnocení '!$C$1:$JH$13,13,FALSE),0))</f>
        <v>1450000</v>
      </c>
      <c r="WC99" s="846">
        <f>IFERROR(HLOOKUP($F99,'Hodnocení '!$C$1:$JH$155,155,FALSE),0)</f>
        <v>941720</v>
      </c>
      <c r="WD99" s="845"/>
      <c r="WE99" s="845"/>
      <c r="WF99" s="845" t="str">
        <f t="shared" si="204"/>
        <v>ANO</v>
      </c>
      <c r="WG99" s="849" t="str">
        <f t="shared" si="218"/>
        <v>Podpora služby je vyjádřena zařazením do sítě sociálních služeb v KHK a řešením financování služby</v>
      </c>
      <c r="WH99"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99" s="849" t="str">
        <f t="shared" si="218"/>
        <v>Návrh dotace je výsledkem projednání s ostatními zadavateli v rámci sítě služeb KHK</v>
      </c>
      <c r="WJ99" s="849" t="str">
        <f t="shared" si="218"/>
        <v>Bez komentáře</v>
      </c>
      <c r="WK99" s="31" t="str">
        <f t="shared" si="205"/>
        <v>Výše příspěvku ze strany zřizovatele bude řešen v návaznosti na řešení podílů jednotlivých zadavatelů</v>
      </c>
      <c r="WL99" s="850">
        <f t="shared" si="206"/>
        <v>0</v>
      </c>
      <c r="WM99" s="849" t="str">
        <f t="shared" si="207"/>
        <v>V rámci sítě KHK se dlouhodobě řeší otázka navyšování úhrad a průběžně se monitoruje s vazbou na vykrytí vyrovnávací platby</v>
      </c>
      <c r="WN99" s="849">
        <f t="shared" si="208"/>
        <v>0</v>
      </c>
      <c r="WO99" s="849" t="str">
        <f t="shared" si="118"/>
        <v>bez komentáře</v>
      </c>
      <c r="WP99" s="849" t="str">
        <f t="shared" si="118"/>
        <v>bez komentáře</v>
      </c>
      <c r="WQ99" s="849" t="str">
        <f t="shared" si="118"/>
        <v>Konečná výše dotace z rozpočtu KHK bude řešena v návaznosti na řešení podílů jednotlivých zadavatelů.</v>
      </c>
      <c r="WR99" s="849" t="str">
        <f t="shared" si="118"/>
        <v>Konečná výše podpory ze stran obcí bude řešena v součinnosti s jednotlivými zadavateli v průběhu roku.</v>
      </c>
      <c r="WS99" s="849" t="str">
        <f t="shared" si="118"/>
        <v>bez komentáře</v>
      </c>
      <c r="WT99" s="849" t="str">
        <f t="shared" si="118"/>
        <v>bez komentáře</v>
      </c>
      <c r="WU99" s="845"/>
    </row>
    <row r="100" spans="1:619" s="128" customFormat="1" x14ac:dyDescent="0.25">
      <c r="A100" s="128" t="str">
        <f>VLOOKUP(F100,'Výpočet VP 2020'!$D$324:$I$588,6,FALSE)</f>
        <v>Je v síti</v>
      </c>
      <c r="B100" s="128" t="s">
        <v>550</v>
      </c>
      <c r="C100" s="128">
        <v>73635391</v>
      </c>
      <c r="D100" s="128" t="s">
        <v>551</v>
      </c>
      <c r="E100" s="128" t="s">
        <v>360</v>
      </c>
      <c r="F100" s="128">
        <v>8902089</v>
      </c>
      <c r="G100" s="128" t="s">
        <v>225</v>
      </c>
      <c r="H100" s="128" t="s">
        <v>218</v>
      </c>
      <c r="I100" s="128" t="s">
        <v>377</v>
      </c>
      <c r="J100" s="129">
        <v>40806</v>
      </c>
      <c r="L100" s="128" t="s">
        <v>220</v>
      </c>
      <c r="AP100" s="128" t="s">
        <v>320</v>
      </c>
      <c r="AQ100" s="128">
        <v>5</v>
      </c>
      <c r="AR100" s="128">
        <v>5</v>
      </c>
      <c r="AS100" s="128">
        <v>24</v>
      </c>
      <c r="AT100" s="128">
        <v>24</v>
      </c>
      <c r="AU100" s="128">
        <v>26</v>
      </c>
      <c r="BJ100" s="128">
        <v>6200</v>
      </c>
      <c r="BL100" s="128" t="s">
        <v>552</v>
      </c>
      <c r="BM100" s="128" t="s">
        <v>325</v>
      </c>
      <c r="BN100" s="128" t="s">
        <v>264</v>
      </c>
      <c r="BO100" s="128">
        <v>0</v>
      </c>
      <c r="BP100" s="128">
        <v>0</v>
      </c>
      <c r="BQ100" s="128">
        <v>0</v>
      </c>
      <c r="BR100" s="128">
        <v>0</v>
      </c>
      <c r="BS100" s="128">
        <v>0</v>
      </c>
      <c r="BT100" s="128">
        <v>2</v>
      </c>
      <c r="BU100" s="128">
        <v>5</v>
      </c>
      <c r="BV100" s="128">
        <v>10</v>
      </c>
      <c r="BW100" s="128">
        <v>3</v>
      </c>
      <c r="BX100" s="128">
        <v>0</v>
      </c>
      <c r="BY100" s="128">
        <v>2</v>
      </c>
      <c r="BZ100" s="128">
        <v>5</v>
      </c>
      <c r="CA100" s="128">
        <v>10</v>
      </c>
      <c r="CB100" s="128">
        <v>3</v>
      </c>
      <c r="CC100" s="128">
        <v>0</v>
      </c>
      <c r="CD100" s="128">
        <v>0</v>
      </c>
      <c r="CE100" s="128">
        <v>20</v>
      </c>
      <c r="CF100" s="128">
        <v>20</v>
      </c>
      <c r="CH100" s="128">
        <v>0</v>
      </c>
      <c r="CI100" s="128">
        <v>0</v>
      </c>
      <c r="CJ100" s="128">
        <v>0</v>
      </c>
      <c r="CK100" s="128">
        <v>0</v>
      </c>
      <c r="CL100" s="128">
        <v>0</v>
      </c>
      <c r="CM100" s="128">
        <v>5</v>
      </c>
      <c r="CN100" s="128">
        <v>8</v>
      </c>
      <c r="CO100" s="128">
        <v>9</v>
      </c>
      <c r="CP100" s="128">
        <v>4</v>
      </c>
      <c r="CQ100" s="128">
        <v>0</v>
      </c>
      <c r="CR100" s="128">
        <v>5</v>
      </c>
      <c r="CS100" s="128">
        <v>8</v>
      </c>
      <c r="CT100" s="128">
        <v>9</v>
      </c>
      <c r="CU100" s="128">
        <v>4</v>
      </c>
      <c r="CV100" s="128">
        <v>0</v>
      </c>
      <c r="CW100" s="128">
        <v>0</v>
      </c>
      <c r="CX100" s="128">
        <v>26</v>
      </c>
      <c r="CY100" s="128">
        <v>26</v>
      </c>
      <c r="EK100" s="128">
        <v>1</v>
      </c>
      <c r="EL100" s="128">
        <v>0.9</v>
      </c>
      <c r="EM100" s="128">
        <v>0.9</v>
      </c>
      <c r="EN100" s="128">
        <v>510000</v>
      </c>
      <c r="EO100" s="128">
        <v>510000</v>
      </c>
      <c r="EP100" s="128">
        <v>5</v>
      </c>
      <c r="EQ100" s="128">
        <v>3.4</v>
      </c>
      <c r="ER100" s="128">
        <v>4.4000000000000004</v>
      </c>
      <c r="ES100" s="128">
        <v>1500000</v>
      </c>
      <c r="ET100" s="128">
        <v>1500000</v>
      </c>
      <c r="FZ100" s="128">
        <v>1</v>
      </c>
      <c r="GA100" s="128">
        <v>0.3</v>
      </c>
      <c r="GB100" s="128">
        <v>12</v>
      </c>
      <c r="GC100" s="128">
        <v>0.3</v>
      </c>
      <c r="GD100" s="128">
        <v>120000</v>
      </c>
      <c r="GE100" s="128">
        <v>120000</v>
      </c>
      <c r="IN100" s="128">
        <v>2</v>
      </c>
      <c r="IO100" s="128">
        <v>600</v>
      </c>
      <c r="IP100" s="128">
        <v>0.28599999999999998</v>
      </c>
      <c r="IQ100" s="128">
        <v>90000</v>
      </c>
      <c r="IR100" s="128">
        <v>90000</v>
      </c>
      <c r="KG100" s="128">
        <v>0</v>
      </c>
      <c r="KI100" s="128">
        <v>4.3</v>
      </c>
      <c r="KJ100" s="128">
        <v>0.3</v>
      </c>
      <c r="KK100" s="128">
        <v>0.28599999999999998</v>
      </c>
      <c r="KL100" s="128">
        <v>0</v>
      </c>
      <c r="KM100" s="128">
        <v>4.8860000000000001</v>
      </c>
      <c r="KN100" s="128">
        <v>2010000</v>
      </c>
      <c r="KO100" s="128">
        <v>2010000</v>
      </c>
      <c r="KP100" s="128">
        <v>2010000</v>
      </c>
      <c r="KT100" s="128">
        <v>120000</v>
      </c>
      <c r="KU100" s="128">
        <v>120000</v>
      </c>
      <c r="KV100" s="128">
        <v>120000</v>
      </c>
      <c r="KZ100" s="128">
        <v>90000</v>
      </c>
      <c r="LA100" s="128">
        <v>90000</v>
      </c>
      <c r="LB100" s="128">
        <v>90000</v>
      </c>
      <c r="LF100" s="128">
        <v>0</v>
      </c>
      <c r="LG100" s="128">
        <v>0</v>
      </c>
      <c r="LH100" s="128">
        <v>0</v>
      </c>
      <c r="LL100" s="128">
        <v>0</v>
      </c>
      <c r="LM100" s="128">
        <v>0</v>
      </c>
      <c r="LN100" s="128">
        <v>0</v>
      </c>
      <c r="LR100" s="128">
        <v>0</v>
      </c>
      <c r="LS100" s="128">
        <v>0</v>
      </c>
      <c r="LT100" s="128">
        <v>0</v>
      </c>
      <c r="LX100" s="128">
        <v>0</v>
      </c>
      <c r="LY100" s="128">
        <v>0</v>
      </c>
      <c r="LZ100" s="128">
        <v>0</v>
      </c>
      <c r="MD100" s="128">
        <v>80000</v>
      </c>
      <c r="ME100" s="128">
        <v>0</v>
      </c>
      <c r="MF100" s="128">
        <v>0</v>
      </c>
      <c r="MJ100" s="128">
        <v>100000</v>
      </c>
      <c r="MK100" s="128">
        <v>0</v>
      </c>
      <c r="ML100" s="128">
        <v>0</v>
      </c>
      <c r="MP100" s="128">
        <v>0</v>
      </c>
      <c r="MQ100" s="128">
        <v>0</v>
      </c>
      <c r="MR100" s="128">
        <v>0</v>
      </c>
      <c r="MV100" s="128">
        <v>0</v>
      </c>
      <c r="MW100" s="128">
        <v>0</v>
      </c>
      <c r="MX100" s="128">
        <v>0</v>
      </c>
      <c r="NB100" s="128">
        <v>28000</v>
      </c>
      <c r="NC100" s="128">
        <v>0</v>
      </c>
      <c r="ND100" s="128">
        <v>0</v>
      </c>
      <c r="NH100" s="128">
        <v>18000</v>
      </c>
      <c r="NI100" s="128">
        <v>0</v>
      </c>
      <c r="NJ100" s="128">
        <v>0</v>
      </c>
      <c r="NN100" s="128">
        <v>190000</v>
      </c>
      <c r="NO100" s="128">
        <v>0</v>
      </c>
      <c r="NP100" s="128">
        <v>0</v>
      </c>
      <c r="NT100" s="128">
        <v>140000</v>
      </c>
      <c r="NU100" s="128">
        <v>0</v>
      </c>
      <c r="NV100" s="128">
        <v>0</v>
      </c>
      <c r="NZ100" s="128">
        <v>40000</v>
      </c>
      <c r="OA100" s="128">
        <v>0</v>
      </c>
      <c r="OB100" s="128">
        <v>0</v>
      </c>
      <c r="OF100" s="128">
        <v>25000</v>
      </c>
      <c r="OG100" s="128">
        <v>0</v>
      </c>
      <c r="OH100" s="128">
        <v>0</v>
      </c>
      <c r="OL100" s="128">
        <v>0</v>
      </c>
      <c r="OM100" s="128">
        <v>0</v>
      </c>
      <c r="ON100" s="128">
        <v>0</v>
      </c>
      <c r="OR100" s="128">
        <v>0</v>
      </c>
      <c r="OS100" s="128">
        <v>0</v>
      </c>
      <c r="OT100" s="128">
        <v>0</v>
      </c>
      <c r="OX100" s="128">
        <v>0</v>
      </c>
      <c r="OY100" s="128">
        <v>0</v>
      </c>
      <c r="OZ100" s="128">
        <v>0</v>
      </c>
      <c r="PD100" s="128">
        <v>40000</v>
      </c>
      <c r="PE100" s="128">
        <v>0</v>
      </c>
      <c r="PF100" s="128">
        <v>0</v>
      </c>
      <c r="PJ100" s="128">
        <v>0</v>
      </c>
      <c r="PK100" s="128">
        <v>0</v>
      </c>
      <c r="PL100" s="128">
        <v>0</v>
      </c>
      <c r="PP100" s="128">
        <v>2881000</v>
      </c>
      <c r="PQ100" s="128">
        <v>2220000</v>
      </c>
      <c r="PR100" s="128">
        <v>2220000</v>
      </c>
      <c r="PS100" s="128">
        <v>100</v>
      </c>
      <c r="PT100" s="128">
        <v>100</v>
      </c>
      <c r="PX100" s="128">
        <v>1970320</v>
      </c>
      <c r="PY100" s="128">
        <v>2080820</v>
      </c>
      <c r="PZ100" s="128">
        <v>2220000</v>
      </c>
      <c r="QA100" s="128">
        <v>42153</v>
      </c>
      <c r="QB100" s="128">
        <v>42000</v>
      </c>
      <c r="QC100" s="128">
        <v>0</v>
      </c>
      <c r="QD100" s="128">
        <v>0</v>
      </c>
      <c r="QE100" s="128">
        <v>0</v>
      </c>
      <c r="QF100" s="128">
        <v>0</v>
      </c>
      <c r="QG100" s="128">
        <v>0</v>
      </c>
      <c r="QH100" s="128">
        <v>0</v>
      </c>
      <c r="QI100" s="128">
        <v>0</v>
      </c>
      <c r="QJ100" s="128">
        <v>569399</v>
      </c>
      <c r="QK100" s="128">
        <v>490000</v>
      </c>
      <c r="QL100" s="128">
        <v>560000</v>
      </c>
      <c r="QN100" s="128">
        <v>0</v>
      </c>
      <c r="QO100" s="128">
        <v>0</v>
      </c>
      <c r="QP100" s="128">
        <v>0</v>
      </c>
      <c r="QX100" s="128">
        <v>0</v>
      </c>
      <c r="QY100" s="128">
        <v>49000</v>
      </c>
      <c r="QZ100" s="128">
        <v>101000</v>
      </c>
      <c r="RH100" s="128">
        <f t="shared" si="209"/>
        <v>2321000</v>
      </c>
      <c r="RI100" s="128">
        <v>0</v>
      </c>
      <c r="RM100" s="128" t="s">
        <v>220</v>
      </c>
      <c r="RU100" s="130"/>
      <c r="RV100" s="130"/>
      <c r="RW100" s="130"/>
      <c r="RX100" s="130"/>
      <c r="SF100" s="128">
        <f t="shared" si="119"/>
        <v>8902089</v>
      </c>
      <c r="SG100" s="131">
        <f t="shared" si="120"/>
        <v>2881000</v>
      </c>
      <c r="SH100" s="131">
        <f t="shared" si="121"/>
        <v>2881000</v>
      </c>
      <c r="SI100" s="131">
        <f t="shared" si="122"/>
        <v>2220000</v>
      </c>
      <c r="SJ100" s="132">
        <f t="shared" si="123"/>
        <v>2010000</v>
      </c>
      <c r="SK100" s="132">
        <f t="shared" si="124"/>
        <v>120000</v>
      </c>
      <c r="SL100" s="132">
        <f t="shared" si="125"/>
        <v>90000</v>
      </c>
      <c r="SM100" s="132">
        <f t="shared" si="126"/>
        <v>0</v>
      </c>
      <c r="SN100" s="131">
        <f t="shared" si="127"/>
        <v>661000</v>
      </c>
      <c r="SO100" s="131">
        <f t="shared" si="128"/>
        <v>0</v>
      </c>
      <c r="SP100" s="132">
        <f t="shared" si="129"/>
        <v>0</v>
      </c>
      <c r="SQ100" s="132">
        <f t="shared" si="130"/>
        <v>0</v>
      </c>
      <c r="SR100" s="132">
        <f t="shared" si="131"/>
        <v>0</v>
      </c>
      <c r="SS100" s="132">
        <f t="shared" si="132"/>
        <v>80000</v>
      </c>
      <c r="ST100" s="132">
        <f t="shared" si="133"/>
        <v>100000</v>
      </c>
      <c r="SU100" s="132">
        <f t="shared" si="134"/>
        <v>0</v>
      </c>
      <c r="SV100" s="131">
        <f t="shared" si="135"/>
        <v>441000</v>
      </c>
      <c r="SW100" s="132">
        <f t="shared" si="136"/>
        <v>0</v>
      </c>
      <c r="SX100" s="132">
        <f t="shared" si="137"/>
        <v>28000</v>
      </c>
      <c r="SY100" s="132">
        <f t="shared" si="138"/>
        <v>18000</v>
      </c>
      <c r="SZ100" s="132">
        <f t="shared" si="139"/>
        <v>190000</v>
      </c>
      <c r="TA100" s="132">
        <f t="shared" si="140"/>
        <v>140000</v>
      </c>
      <c r="TB100" s="132">
        <f t="shared" si="141"/>
        <v>40000</v>
      </c>
      <c r="TC100" s="132">
        <f t="shared" si="142"/>
        <v>25000</v>
      </c>
      <c r="TD100" s="132">
        <f t="shared" si="143"/>
        <v>0</v>
      </c>
      <c r="TE100" s="132">
        <f t="shared" si="144"/>
        <v>0</v>
      </c>
      <c r="TF100" s="132">
        <f t="shared" si="145"/>
        <v>0</v>
      </c>
      <c r="TG100" s="132">
        <f t="shared" si="146"/>
        <v>40000</v>
      </c>
      <c r="TH100" s="132">
        <f t="shared" si="147"/>
        <v>0</v>
      </c>
      <c r="TI100" s="1"/>
      <c r="TJ100" s="131">
        <f t="shared" si="148"/>
        <v>2220000</v>
      </c>
      <c r="TK100" s="131">
        <f t="shared" si="149"/>
        <v>2220000</v>
      </c>
      <c r="TL100" s="131">
        <f t="shared" si="150"/>
        <v>2220000</v>
      </c>
      <c r="TM100" s="132">
        <f t="shared" si="151"/>
        <v>2010000</v>
      </c>
      <c r="TN100" s="132">
        <f t="shared" si="152"/>
        <v>120000</v>
      </c>
      <c r="TO100" s="132">
        <f t="shared" si="153"/>
        <v>90000</v>
      </c>
      <c r="TP100" s="132">
        <f t="shared" si="154"/>
        <v>0</v>
      </c>
      <c r="TQ100" s="131">
        <f t="shared" si="155"/>
        <v>0</v>
      </c>
      <c r="TR100" s="131">
        <f t="shared" si="156"/>
        <v>0</v>
      </c>
      <c r="TS100" s="132">
        <f t="shared" si="157"/>
        <v>0</v>
      </c>
      <c r="TT100" s="132">
        <f t="shared" si="158"/>
        <v>0</v>
      </c>
      <c r="TU100" s="132">
        <f t="shared" si="159"/>
        <v>0</v>
      </c>
      <c r="TV100" s="132">
        <f t="shared" si="160"/>
        <v>0</v>
      </c>
      <c r="TW100" s="132">
        <f t="shared" si="161"/>
        <v>0</v>
      </c>
      <c r="TX100" s="132">
        <f t="shared" si="162"/>
        <v>0</v>
      </c>
      <c r="TY100" s="131">
        <f t="shared" si="163"/>
        <v>0</v>
      </c>
      <c r="TZ100" s="132">
        <f t="shared" si="164"/>
        <v>0</v>
      </c>
      <c r="UA100" s="132">
        <f t="shared" si="165"/>
        <v>0</v>
      </c>
      <c r="UB100" s="132">
        <f t="shared" si="166"/>
        <v>0</v>
      </c>
      <c r="UC100" s="132">
        <f t="shared" si="167"/>
        <v>0</v>
      </c>
      <c r="UD100" s="132">
        <f t="shared" si="168"/>
        <v>0</v>
      </c>
      <c r="UE100" s="132">
        <f t="shared" si="169"/>
        <v>0</v>
      </c>
      <c r="UF100" s="132">
        <f t="shared" si="170"/>
        <v>0</v>
      </c>
      <c r="UG100" s="132">
        <f t="shared" si="171"/>
        <v>0</v>
      </c>
      <c r="UH100" s="132">
        <f t="shared" si="172"/>
        <v>0</v>
      </c>
      <c r="UI100" s="132">
        <f t="shared" si="173"/>
        <v>0</v>
      </c>
      <c r="UJ100" s="132">
        <f t="shared" si="174"/>
        <v>0</v>
      </c>
      <c r="UK100" s="132">
        <f t="shared" si="175"/>
        <v>0</v>
      </c>
      <c r="UL100" s="132">
        <f t="shared" si="210"/>
        <v>2220000</v>
      </c>
      <c r="UM100" s="131">
        <f t="shared" si="176"/>
        <v>2220000</v>
      </c>
      <c r="UN100" s="131">
        <f t="shared" si="177"/>
        <v>2220000</v>
      </c>
      <c r="UO100" s="131">
        <f t="shared" si="178"/>
        <v>2220000</v>
      </c>
      <c r="UP100" s="132">
        <f t="shared" si="179"/>
        <v>2010000</v>
      </c>
      <c r="UQ100" s="132">
        <f t="shared" si="180"/>
        <v>120000</v>
      </c>
      <c r="UR100" s="132">
        <f t="shared" si="181"/>
        <v>90000</v>
      </c>
      <c r="US100" s="132">
        <f t="shared" si="182"/>
        <v>0</v>
      </c>
      <c r="UT100" s="131">
        <f t="shared" si="183"/>
        <v>0</v>
      </c>
      <c r="UU100" s="131">
        <f t="shared" si="184"/>
        <v>0</v>
      </c>
      <c r="UV100" s="132">
        <f t="shared" si="185"/>
        <v>0</v>
      </c>
      <c r="UW100" s="132">
        <f t="shared" si="186"/>
        <v>0</v>
      </c>
      <c r="UX100" s="132">
        <f t="shared" si="187"/>
        <v>0</v>
      </c>
      <c r="UY100" s="132">
        <f t="shared" si="188"/>
        <v>0</v>
      </c>
      <c r="UZ100" s="132">
        <f t="shared" si="189"/>
        <v>0</v>
      </c>
      <c r="VA100" s="132">
        <f t="shared" si="190"/>
        <v>0</v>
      </c>
      <c r="VB100" s="131">
        <f t="shared" si="191"/>
        <v>0</v>
      </c>
      <c r="VC100" s="132">
        <f t="shared" si="192"/>
        <v>0</v>
      </c>
      <c r="VD100" s="132">
        <f t="shared" si="193"/>
        <v>0</v>
      </c>
      <c r="VE100" s="132">
        <f t="shared" si="194"/>
        <v>0</v>
      </c>
      <c r="VF100" s="132">
        <f t="shared" si="195"/>
        <v>0</v>
      </c>
      <c r="VG100" s="132">
        <f t="shared" si="196"/>
        <v>0</v>
      </c>
      <c r="VH100" s="132">
        <f t="shared" si="197"/>
        <v>0</v>
      </c>
      <c r="VI100" s="132">
        <f t="shared" si="198"/>
        <v>0</v>
      </c>
      <c r="VJ100" s="132">
        <f t="shared" si="199"/>
        <v>0</v>
      </c>
      <c r="VK100" s="132">
        <f t="shared" si="200"/>
        <v>0</v>
      </c>
      <c r="VL100" s="132">
        <f t="shared" si="201"/>
        <v>0</v>
      </c>
      <c r="VM100" s="132">
        <f t="shared" si="202"/>
        <v>0</v>
      </c>
      <c r="VN100" s="132">
        <f t="shared" si="203"/>
        <v>0</v>
      </c>
      <c r="VP100" s="845" t="str">
        <f>IFERROR(HLOOKUP(F100,'Hodnocení '!$C$1:$JH$5,2,FALSE),0)</f>
        <v>Osobní asistence</v>
      </c>
      <c r="VQ100" s="838"/>
      <c r="VR100" s="845" t="str">
        <f t="shared" si="211"/>
        <v>Církve a náboženské společnosti</v>
      </c>
      <c r="VS100" s="845" t="str">
        <f>IFERROR(HLOOKUP(F100,'Hodnocení '!$C$1:$JH$5,5,FALSE),0)</f>
        <v>NZO</v>
      </c>
      <c r="VT100" s="838">
        <f t="shared" si="212"/>
        <v>0</v>
      </c>
      <c r="VU100" s="838">
        <f t="shared" si="213"/>
        <v>0</v>
      </c>
      <c r="VV100" s="838">
        <f t="shared" si="214"/>
        <v>560000</v>
      </c>
      <c r="VW100" s="838">
        <f t="shared" si="215"/>
        <v>0</v>
      </c>
      <c r="VX100" s="838"/>
      <c r="VY100" s="838">
        <f t="shared" si="216"/>
        <v>0</v>
      </c>
      <c r="VZ100" s="838">
        <f t="shared" si="217"/>
        <v>2220000</v>
      </c>
      <c r="WA100" s="846">
        <f>IFERROR(HLOOKUP($F100,'Hodnocení '!$C$1:$JH$9,9,FALSE),0)</f>
        <v>2220000</v>
      </c>
      <c r="WB100" s="846">
        <f>IF(IFERROR(HLOOKUP($F100,'Hodnocení '!$C$1:$JH$13,13,FALSE),0)&gt;WA100,WA100,IFERROR(HLOOKUP($F100,'Hodnocení '!$C$1:$JH$13,13,FALSE),0))</f>
        <v>2220000</v>
      </c>
      <c r="WC100" s="846">
        <f>IFERROR(HLOOKUP($F100,'Hodnocení '!$C$1:$JH$155,155,FALSE),0)</f>
        <v>2220000</v>
      </c>
      <c r="WD100" s="845"/>
      <c r="WE100" s="845"/>
      <c r="WF100" s="845" t="str">
        <f t="shared" si="204"/>
        <v>ANO</v>
      </c>
      <c r="WG100" s="849" t="str">
        <f t="shared" si="218"/>
        <v>Podpora služby je vyjádřena zařazením do sítě sociálních služeb v KHK a řešením financování služby</v>
      </c>
      <c r="WH100"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00" s="849" t="str">
        <f t="shared" si="218"/>
        <v>Návrh dotace je výsledkem projednání s ostatními zadavateli v rámci sítě služeb KHK</v>
      </c>
      <c r="WJ100" s="849" t="str">
        <f t="shared" si="218"/>
        <v>Bez komentáře</v>
      </c>
      <c r="WK100" s="31">
        <f t="shared" si="205"/>
        <v>0</v>
      </c>
      <c r="WL100" s="850">
        <f t="shared" si="206"/>
        <v>0</v>
      </c>
      <c r="WM100" s="849" t="str">
        <f t="shared" si="207"/>
        <v>V rámci sítě KHK se dlouhodobě řeší otázka navyšování úhrad a průběžně se monitoruje s vazbou na vykrytí vyrovnávací platby</v>
      </c>
      <c r="WN100" s="849">
        <f t="shared" si="208"/>
        <v>0</v>
      </c>
      <c r="WO100" s="849" t="str">
        <f t="shared" si="118"/>
        <v>bez komentáře</v>
      </c>
      <c r="WP100" s="849" t="str">
        <f t="shared" si="118"/>
        <v>bez komentáře</v>
      </c>
      <c r="WQ100" s="849" t="str">
        <f t="shared" si="118"/>
        <v>Konečná výše dotace z rozpočtu KHK bude řešena v návaznosti na řešení podílů jednotlivých zadavatelů.</v>
      </c>
      <c r="WR100" s="849" t="str">
        <f t="shared" si="118"/>
        <v>Konečná výše podpory ze stran obcí bude řešena v součinnosti s jednotlivými zadavateli v průběhu roku.</v>
      </c>
      <c r="WS100" s="849" t="str">
        <f t="shared" si="118"/>
        <v>bez komentáře</v>
      </c>
      <c r="WT100" s="849" t="str">
        <f t="shared" si="118"/>
        <v>bez komentáře</v>
      </c>
      <c r="WU100" s="845"/>
    </row>
    <row r="101" spans="1:619" s="128" customFormat="1" x14ac:dyDescent="0.25">
      <c r="A101" s="128" t="str">
        <f>VLOOKUP(F101,'Výpočet VP 2020'!$D$324:$I$588,6,FALSE)</f>
        <v>Je v síti</v>
      </c>
      <c r="B101" s="128" t="s">
        <v>553</v>
      </c>
      <c r="C101" s="128">
        <v>43464637</v>
      </c>
      <c r="D101" s="128" t="s">
        <v>554</v>
      </c>
      <c r="E101" s="128" t="s">
        <v>360</v>
      </c>
      <c r="F101" s="128">
        <v>2392006</v>
      </c>
      <c r="G101" s="128" t="s">
        <v>225</v>
      </c>
      <c r="H101" s="128" t="s">
        <v>218</v>
      </c>
      <c r="I101" s="128" t="s">
        <v>555</v>
      </c>
      <c r="J101" s="129">
        <v>39052</v>
      </c>
      <c r="L101" s="128" t="s">
        <v>220</v>
      </c>
      <c r="AP101" s="128" t="s">
        <v>556</v>
      </c>
      <c r="AQ101" s="128">
        <v>13</v>
      </c>
      <c r="AR101" s="128">
        <v>13</v>
      </c>
      <c r="AS101" s="128">
        <v>40</v>
      </c>
      <c r="AT101" s="128">
        <v>42</v>
      </c>
      <c r="AU101" s="128">
        <v>45</v>
      </c>
      <c r="BJ101" s="128">
        <v>6350</v>
      </c>
      <c r="BL101" s="128" t="s">
        <v>557</v>
      </c>
      <c r="BM101" s="128" t="s">
        <v>247</v>
      </c>
      <c r="BN101" s="128" t="s">
        <v>558</v>
      </c>
      <c r="BO101" s="128">
        <v>0</v>
      </c>
      <c r="BP101" s="128">
        <v>0</v>
      </c>
      <c r="BQ101" s="128">
        <v>1</v>
      </c>
      <c r="BR101" s="128">
        <v>0</v>
      </c>
      <c r="BS101" s="128">
        <v>0</v>
      </c>
      <c r="BT101" s="128">
        <v>8</v>
      </c>
      <c r="BU101" s="128">
        <v>6</v>
      </c>
      <c r="BV101" s="128">
        <v>15</v>
      </c>
      <c r="BW101" s="128">
        <v>6</v>
      </c>
      <c r="BX101" s="128">
        <v>0</v>
      </c>
      <c r="BY101" s="128">
        <v>8</v>
      </c>
      <c r="BZ101" s="128">
        <v>6</v>
      </c>
      <c r="CA101" s="128">
        <v>16</v>
      </c>
      <c r="CB101" s="128">
        <v>6</v>
      </c>
      <c r="CC101" s="128">
        <v>0</v>
      </c>
      <c r="CD101" s="128">
        <v>1</v>
      </c>
      <c r="CE101" s="128">
        <v>35</v>
      </c>
      <c r="CF101" s="128">
        <v>36</v>
      </c>
      <c r="CH101" s="128">
        <v>0</v>
      </c>
      <c r="CI101" s="128">
        <v>0</v>
      </c>
      <c r="CJ101" s="128">
        <v>1</v>
      </c>
      <c r="CK101" s="128">
        <v>0</v>
      </c>
      <c r="CL101" s="128">
        <v>0</v>
      </c>
      <c r="CM101" s="128">
        <v>8</v>
      </c>
      <c r="CN101" s="128">
        <v>9</v>
      </c>
      <c r="CO101" s="128">
        <v>17</v>
      </c>
      <c r="CP101" s="128">
        <v>10</v>
      </c>
      <c r="CQ101" s="128">
        <v>0</v>
      </c>
      <c r="CR101" s="128">
        <v>8</v>
      </c>
      <c r="CS101" s="128">
        <v>9</v>
      </c>
      <c r="CT101" s="128">
        <v>18</v>
      </c>
      <c r="CU101" s="128">
        <v>10</v>
      </c>
      <c r="CV101" s="128">
        <v>0</v>
      </c>
      <c r="CW101" s="128">
        <v>1</v>
      </c>
      <c r="CX101" s="128">
        <v>44</v>
      </c>
      <c r="CY101" s="128">
        <v>45</v>
      </c>
      <c r="EK101" s="128">
        <v>2</v>
      </c>
      <c r="EL101" s="128">
        <v>0.5</v>
      </c>
      <c r="EM101" s="128">
        <v>0.75</v>
      </c>
      <c r="EN101" s="128">
        <v>300000</v>
      </c>
      <c r="EO101" s="128">
        <v>210000</v>
      </c>
      <c r="EP101" s="128">
        <v>8</v>
      </c>
      <c r="EQ101" s="128">
        <v>5.5</v>
      </c>
      <c r="ER101" s="128">
        <v>5.64</v>
      </c>
      <c r="ES101" s="128">
        <v>2210000</v>
      </c>
      <c r="ET101" s="128">
        <v>1550000</v>
      </c>
      <c r="FO101" s="128">
        <v>11</v>
      </c>
      <c r="FP101" s="128">
        <v>1.56</v>
      </c>
      <c r="FQ101" s="128">
        <v>1.07</v>
      </c>
      <c r="FR101" s="128">
        <v>875000</v>
      </c>
      <c r="FS101" s="128">
        <v>620000</v>
      </c>
      <c r="FZ101" s="128">
        <v>2</v>
      </c>
      <c r="GA101" s="128">
        <v>0.4</v>
      </c>
      <c r="GB101" s="128">
        <v>8</v>
      </c>
      <c r="GC101" s="128">
        <v>0.13300000000000001</v>
      </c>
      <c r="GD101" s="128">
        <v>44000</v>
      </c>
      <c r="GE101" s="128">
        <v>30000</v>
      </c>
      <c r="IN101" s="128">
        <v>4</v>
      </c>
      <c r="IO101" s="128">
        <v>1000</v>
      </c>
      <c r="IP101" s="128">
        <v>0.47699999999999998</v>
      </c>
      <c r="IQ101" s="128">
        <v>120000</v>
      </c>
      <c r="IR101" s="128">
        <v>80000</v>
      </c>
      <c r="IS101" s="128">
        <v>1</v>
      </c>
      <c r="IT101" s="128">
        <v>50</v>
      </c>
      <c r="IU101" s="128">
        <v>2.4E-2</v>
      </c>
      <c r="IV101" s="128">
        <v>5000</v>
      </c>
      <c r="IW101" s="128">
        <v>3000</v>
      </c>
      <c r="KG101" s="128">
        <v>0</v>
      </c>
      <c r="KI101" s="128">
        <v>6</v>
      </c>
      <c r="KJ101" s="128">
        <v>0.13300000000000001</v>
      </c>
      <c r="KK101" s="128">
        <v>0.47699999999999998</v>
      </c>
      <c r="KL101" s="128">
        <v>0</v>
      </c>
      <c r="KM101" s="128">
        <v>6.61</v>
      </c>
      <c r="KN101" s="128">
        <v>3385000</v>
      </c>
      <c r="KO101" s="128">
        <v>2380000</v>
      </c>
      <c r="KP101" s="128">
        <v>2380000</v>
      </c>
      <c r="KT101" s="128">
        <v>44000</v>
      </c>
      <c r="KU101" s="128">
        <v>30000</v>
      </c>
      <c r="KV101" s="128">
        <v>30000</v>
      </c>
      <c r="KZ101" s="128">
        <v>125000</v>
      </c>
      <c r="LA101" s="128">
        <v>83000</v>
      </c>
      <c r="LB101" s="128">
        <v>83000</v>
      </c>
      <c r="LF101" s="128">
        <v>5000</v>
      </c>
      <c r="LG101" s="128">
        <v>1000</v>
      </c>
      <c r="LH101" s="128">
        <v>1000</v>
      </c>
      <c r="LL101" s="128">
        <v>0</v>
      </c>
      <c r="LM101" s="128">
        <v>0</v>
      </c>
      <c r="LN101" s="128">
        <v>0</v>
      </c>
      <c r="LR101" s="128">
        <v>0</v>
      </c>
      <c r="LS101" s="128">
        <v>0</v>
      </c>
      <c r="LT101" s="128">
        <v>0</v>
      </c>
      <c r="LX101" s="128">
        <v>0</v>
      </c>
      <c r="LY101" s="128">
        <v>0</v>
      </c>
      <c r="LZ101" s="128">
        <v>0</v>
      </c>
      <c r="MD101" s="128">
        <v>15000</v>
      </c>
      <c r="ME101" s="128">
        <v>12000</v>
      </c>
      <c r="MF101" s="128">
        <v>12000</v>
      </c>
      <c r="MJ101" s="128">
        <v>90000</v>
      </c>
      <c r="MK101" s="128">
        <v>80000</v>
      </c>
      <c r="ML101" s="128">
        <v>80000</v>
      </c>
      <c r="MP101" s="128">
        <v>40000</v>
      </c>
      <c r="MQ101" s="128">
        <v>28000</v>
      </c>
      <c r="MR101" s="128">
        <v>28000</v>
      </c>
      <c r="MV101" s="128">
        <v>75000</v>
      </c>
      <c r="MW101" s="128">
        <v>60000</v>
      </c>
      <c r="MX101" s="128">
        <v>60000</v>
      </c>
      <c r="NB101" s="128">
        <v>20000</v>
      </c>
      <c r="NC101" s="128">
        <v>14000</v>
      </c>
      <c r="ND101" s="128">
        <v>14000</v>
      </c>
      <c r="NH101" s="128">
        <v>67000</v>
      </c>
      <c r="NI101" s="128">
        <v>50000</v>
      </c>
      <c r="NJ101" s="128">
        <v>50000</v>
      </c>
      <c r="NN101" s="128">
        <v>26000</v>
      </c>
      <c r="NO101" s="128">
        <v>18500</v>
      </c>
      <c r="NP101" s="128">
        <v>18500</v>
      </c>
      <c r="NT101" s="128">
        <v>40000</v>
      </c>
      <c r="NU101" s="128">
        <v>28000</v>
      </c>
      <c r="NV101" s="128">
        <v>28000</v>
      </c>
      <c r="NZ101" s="128">
        <v>30000</v>
      </c>
      <c r="OA101" s="128">
        <v>20000</v>
      </c>
      <c r="OB101" s="128">
        <v>20000</v>
      </c>
      <c r="OF101" s="128">
        <v>5000</v>
      </c>
      <c r="OG101" s="128">
        <v>3500</v>
      </c>
      <c r="OH101" s="128">
        <v>3500</v>
      </c>
      <c r="OL101" s="128">
        <v>0</v>
      </c>
      <c r="OM101" s="128">
        <v>0</v>
      </c>
      <c r="ON101" s="128">
        <v>0</v>
      </c>
      <c r="OR101" s="128">
        <v>0</v>
      </c>
      <c r="OS101" s="128">
        <v>0</v>
      </c>
      <c r="OT101" s="128">
        <v>0</v>
      </c>
      <c r="OX101" s="128">
        <v>110000</v>
      </c>
      <c r="OY101" s="128">
        <v>70000</v>
      </c>
      <c r="OZ101" s="128">
        <v>70000</v>
      </c>
      <c r="PD101" s="128">
        <v>40500</v>
      </c>
      <c r="PE101" s="128">
        <v>0</v>
      </c>
      <c r="PF101" s="128">
        <v>0</v>
      </c>
      <c r="PJ101" s="128">
        <v>38000</v>
      </c>
      <c r="PK101" s="128">
        <v>22000</v>
      </c>
      <c r="PL101" s="128">
        <v>22000</v>
      </c>
      <c r="PP101" s="128">
        <v>4155500</v>
      </c>
      <c r="PQ101" s="128">
        <v>2900000</v>
      </c>
      <c r="PR101" s="128">
        <v>2900000</v>
      </c>
      <c r="PS101" s="128">
        <v>100</v>
      </c>
      <c r="PT101" s="128">
        <v>100</v>
      </c>
      <c r="PX101" s="128">
        <v>1821500</v>
      </c>
      <c r="PY101" s="128">
        <v>2175746</v>
      </c>
      <c r="PZ101" s="128">
        <v>2900000</v>
      </c>
      <c r="QA101" s="128">
        <v>0</v>
      </c>
      <c r="QB101" s="128">
        <v>0</v>
      </c>
      <c r="QC101" s="128">
        <v>0</v>
      </c>
      <c r="QD101" s="128">
        <v>0</v>
      </c>
      <c r="QE101" s="128">
        <v>0</v>
      </c>
      <c r="QF101" s="128">
        <v>0</v>
      </c>
      <c r="QG101" s="128">
        <v>0</v>
      </c>
      <c r="QH101" s="128">
        <v>0</v>
      </c>
      <c r="QI101" s="128">
        <v>0</v>
      </c>
      <c r="QJ101" s="128">
        <v>568255</v>
      </c>
      <c r="QK101" s="128">
        <v>720000</v>
      </c>
      <c r="QL101" s="128">
        <v>760000</v>
      </c>
      <c r="QN101" s="128">
        <v>0</v>
      </c>
      <c r="QO101" s="128">
        <v>0</v>
      </c>
      <c r="QP101" s="128">
        <v>0</v>
      </c>
      <c r="QU101" s="128">
        <v>390280</v>
      </c>
      <c r="QV101" s="128">
        <v>70000</v>
      </c>
      <c r="QW101" s="128">
        <v>270000</v>
      </c>
      <c r="QX101" s="128">
        <v>169000</v>
      </c>
      <c r="QY101" s="128">
        <v>161400</v>
      </c>
      <c r="QZ101" s="128">
        <v>205000</v>
      </c>
      <c r="RA101" s="128">
        <v>105503</v>
      </c>
      <c r="RB101" s="128">
        <v>220000</v>
      </c>
      <c r="RC101" s="128">
        <v>0</v>
      </c>
      <c r="RD101" s="128">
        <v>70565</v>
      </c>
      <c r="RE101" s="128">
        <v>20070</v>
      </c>
      <c r="RF101" s="128">
        <v>20500</v>
      </c>
      <c r="RH101" s="128">
        <f t="shared" si="209"/>
        <v>3395500</v>
      </c>
      <c r="RI101" s="128">
        <v>0</v>
      </c>
      <c r="RM101" s="128" t="s">
        <v>220</v>
      </c>
      <c r="RU101" s="130"/>
      <c r="RV101" s="130"/>
      <c r="RW101" s="130"/>
      <c r="RX101" s="130"/>
      <c r="SF101" s="128">
        <f t="shared" si="119"/>
        <v>2392006</v>
      </c>
      <c r="SG101" s="131">
        <f t="shared" si="120"/>
        <v>4155500</v>
      </c>
      <c r="SH101" s="131">
        <f t="shared" si="121"/>
        <v>4155500</v>
      </c>
      <c r="SI101" s="131">
        <f t="shared" si="122"/>
        <v>3559000</v>
      </c>
      <c r="SJ101" s="132">
        <f t="shared" si="123"/>
        <v>3385000</v>
      </c>
      <c r="SK101" s="132">
        <f t="shared" si="124"/>
        <v>44000</v>
      </c>
      <c r="SL101" s="132">
        <f t="shared" si="125"/>
        <v>125000</v>
      </c>
      <c r="SM101" s="132">
        <f t="shared" si="126"/>
        <v>5000</v>
      </c>
      <c r="SN101" s="131">
        <f t="shared" si="127"/>
        <v>596500</v>
      </c>
      <c r="SO101" s="131">
        <f t="shared" si="128"/>
        <v>0</v>
      </c>
      <c r="SP101" s="132">
        <f t="shared" si="129"/>
        <v>0</v>
      </c>
      <c r="SQ101" s="132">
        <f t="shared" si="130"/>
        <v>0</v>
      </c>
      <c r="SR101" s="132">
        <f t="shared" si="131"/>
        <v>0</v>
      </c>
      <c r="SS101" s="132">
        <f t="shared" si="132"/>
        <v>15000</v>
      </c>
      <c r="ST101" s="132">
        <f t="shared" si="133"/>
        <v>90000</v>
      </c>
      <c r="SU101" s="132">
        <f t="shared" si="134"/>
        <v>40000</v>
      </c>
      <c r="SV101" s="131">
        <f t="shared" si="135"/>
        <v>373000</v>
      </c>
      <c r="SW101" s="132">
        <f t="shared" si="136"/>
        <v>75000</v>
      </c>
      <c r="SX101" s="132">
        <f t="shared" si="137"/>
        <v>20000</v>
      </c>
      <c r="SY101" s="132">
        <f t="shared" si="138"/>
        <v>67000</v>
      </c>
      <c r="SZ101" s="132">
        <f t="shared" si="139"/>
        <v>26000</v>
      </c>
      <c r="TA101" s="132">
        <f t="shared" si="140"/>
        <v>40000</v>
      </c>
      <c r="TB101" s="132">
        <f t="shared" si="141"/>
        <v>30000</v>
      </c>
      <c r="TC101" s="132">
        <f t="shared" si="142"/>
        <v>5000</v>
      </c>
      <c r="TD101" s="132">
        <f t="shared" si="143"/>
        <v>0</v>
      </c>
      <c r="TE101" s="132">
        <f t="shared" si="144"/>
        <v>0</v>
      </c>
      <c r="TF101" s="132">
        <f t="shared" si="145"/>
        <v>110000</v>
      </c>
      <c r="TG101" s="132">
        <f t="shared" si="146"/>
        <v>40500</v>
      </c>
      <c r="TH101" s="132">
        <f t="shared" si="147"/>
        <v>38000</v>
      </c>
      <c r="TI101" s="1"/>
      <c r="TJ101" s="131">
        <f t="shared" si="148"/>
        <v>2900000</v>
      </c>
      <c r="TK101" s="131">
        <f t="shared" si="149"/>
        <v>2900000</v>
      </c>
      <c r="TL101" s="131">
        <f t="shared" si="150"/>
        <v>2494000</v>
      </c>
      <c r="TM101" s="132">
        <f t="shared" si="151"/>
        <v>2380000</v>
      </c>
      <c r="TN101" s="132">
        <f t="shared" si="152"/>
        <v>30000</v>
      </c>
      <c r="TO101" s="132">
        <f t="shared" si="153"/>
        <v>83000</v>
      </c>
      <c r="TP101" s="132">
        <f t="shared" si="154"/>
        <v>1000</v>
      </c>
      <c r="TQ101" s="131">
        <f t="shared" si="155"/>
        <v>406000</v>
      </c>
      <c r="TR101" s="131">
        <f t="shared" si="156"/>
        <v>0</v>
      </c>
      <c r="TS101" s="132">
        <f t="shared" si="157"/>
        <v>0</v>
      </c>
      <c r="TT101" s="132">
        <f t="shared" si="158"/>
        <v>0</v>
      </c>
      <c r="TU101" s="132">
        <f t="shared" si="159"/>
        <v>0</v>
      </c>
      <c r="TV101" s="132">
        <f t="shared" si="160"/>
        <v>12000</v>
      </c>
      <c r="TW101" s="132">
        <f t="shared" si="161"/>
        <v>80000</v>
      </c>
      <c r="TX101" s="132">
        <f t="shared" si="162"/>
        <v>28000</v>
      </c>
      <c r="TY101" s="131">
        <f t="shared" si="163"/>
        <v>264000</v>
      </c>
      <c r="TZ101" s="132">
        <f t="shared" si="164"/>
        <v>60000</v>
      </c>
      <c r="UA101" s="132">
        <f t="shared" si="165"/>
        <v>14000</v>
      </c>
      <c r="UB101" s="132">
        <f t="shared" si="166"/>
        <v>50000</v>
      </c>
      <c r="UC101" s="132">
        <f t="shared" si="167"/>
        <v>18500</v>
      </c>
      <c r="UD101" s="132">
        <f t="shared" si="168"/>
        <v>28000</v>
      </c>
      <c r="UE101" s="132">
        <f t="shared" si="169"/>
        <v>20000</v>
      </c>
      <c r="UF101" s="132">
        <f t="shared" si="170"/>
        <v>3500</v>
      </c>
      <c r="UG101" s="132">
        <f t="shared" si="171"/>
        <v>0</v>
      </c>
      <c r="UH101" s="132">
        <f t="shared" si="172"/>
        <v>0</v>
      </c>
      <c r="UI101" s="132">
        <f t="shared" si="173"/>
        <v>70000</v>
      </c>
      <c r="UJ101" s="132">
        <f t="shared" si="174"/>
        <v>0</v>
      </c>
      <c r="UK101" s="132">
        <f t="shared" si="175"/>
        <v>22000</v>
      </c>
      <c r="UL101" s="132">
        <f t="shared" si="210"/>
        <v>2900000</v>
      </c>
      <c r="UM101" s="131">
        <f t="shared" si="176"/>
        <v>2900000</v>
      </c>
      <c r="UN101" s="131">
        <f t="shared" si="177"/>
        <v>2900000</v>
      </c>
      <c r="UO101" s="131">
        <f t="shared" si="178"/>
        <v>2494000</v>
      </c>
      <c r="UP101" s="132">
        <f t="shared" si="179"/>
        <v>2380000</v>
      </c>
      <c r="UQ101" s="132">
        <f t="shared" si="180"/>
        <v>30000</v>
      </c>
      <c r="UR101" s="132">
        <f t="shared" si="181"/>
        <v>83000</v>
      </c>
      <c r="US101" s="132">
        <f t="shared" si="182"/>
        <v>1000</v>
      </c>
      <c r="UT101" s="131">
        <f t="shared" si="183"/>
        <v>406000</v>
      </c>
      <c r="UU101" s="131">
        <f t="shared" si="184"/>
        <v>0</v>
      </c>
      <c r="UV101" s="132">
        <f t="shared" si="185"/>
        <v>0</v>
      </c>
      <c r="UW101" s="132">
        <f t="shared" si="186"/>
        <v>0</v>
      </c>
      <c r="UX101" s="132">
        <f t="shared" si="187"/>
        <v>0</v>
      </c>
      <c r="UY101" s="132">
        <f t="shared" si="188"/>
        <v>12000</v>
      </c>
      <c r="UZ101" s="132">
        <f t="shared" si="189"/>
        <v>80000</v>
      </c>
      <c r="VA101" s="132">
        <f t="shared" si="190"/>
        <v>28000</v>
      </c>
      <c r="VB101" s="131">
        <f t="shared" si="191"/>
        <v>264000</v>
      </c>
      <c r="VC101" s="132">
        <f t="shared" si="192"/>
        <v>60000</v>
      </c>
      <c r="VD101" s="132">
        <f t="shared" si="193"/>
        <v>14000</v>
      </c>
      <c r="VE101" s="132">
        <f t="shared" si="194"/>
        <v>50000</v>
      </c>
      <c r="VF101" s="132">
        <f t="shared" si="195"/>
        <v>18500</v>
      </c>
      <c r="VG101" s="132">
        <f t="shared" si="196"/>
        <v>28000</v>
      </c>
      <c r="VH101" s="132">
        <f t="shared" si="197"/>
        <v>20000</v>
      </c>
      <c r="VI101" s="132">
        <f t="shared" si="198"/>
        <v>3500</v>
      </c>
      <c r="VJ101" s="132">
        <f t="shared" si="199"/>
        <v>0</v>
      </c>
      <c r="VK101" s="132">
        <f t="shared" si="200"/>
        <v>0</v>
      </c>
      <c r="VL101" s="132">
        <f t="shared" si="201"/>
        <v>70000</v>
      </c>
      <c r="VM101" s="132">
        <f t="shared" si="202"/>
        <v>0</v>
      </c>
      <c r="VN101" s="132">
        <f t="shared" si="203"/>
        <v>22000</v>
      </c>
      <c r="VP101" s="845" t="str">
        <f>IFERROR(HLOOKUP(F101,'Hodnocení '!$C$1:$JH$5,2,FALSE),0)</f>
        <v>Osobní asistence</v>
      </c>
      <c r="VQ101" s="838"/>
      <c r="VR101" s="845" t="str">
        <f t="shared" si="211"/>
        <v>Církve a náboženské společnosti</v>
      </c>
      <c r="VS101" s="845" t="str">
        <f>IFERROR(HLOOKUP(F101,'Hodnocení '!$C$1:$JH$5,5,FALSE),0)</f>
        <v>NZO</v>
      </c>
      <c r="VT101" s="838">
        <f t="shared" si="212"/>
        <v>0</v>
      </c>
      <c r="VU101" s="838">
        <f t="shared" si="213"/>
        <v>0</v>
      </c>
      <c r="VV101" s="838">
        <f t="shared" si="214"/>
        <v>760000</v>
      </c>
      <c r="VW101" s="838">
        <f t="shared" si="215"/>
        <v>0</v>
      </c>
      <c r="VX101" s="838"/>
      <c r="VY101" s="838">
        <f t="shared" si="216"/>
        <v>0</v>
      </c>
      <c r="VZ101" s="838">
        <f t="shared" si="217"/>
        <v>2900000</v>
      </c>
      <c r="WA101" s="846">
        <f>IFERROR(HLOOKUP($F101,'Hodnocení '!$C$1:$JH$9,9,FALSE),0)</f>
        <v>2900000</v>
      </c>
      <c r="WB101" s="846">
        <f>IF(IFERROR(HLOOKUP($F101,'Hodnocení '!$C$1:$JH$13,13,FALSE),0)&gt;WA101,WA101,IFERROR(HLOOKUP($F101,'Hodnocení '!$C$1:$JH$13,13,FALSE),0))</f>
        <v>2109142.1939772759</v>
      </c>
      <c r="WC101" s="846">
        <f>IFERROR(HLOOKUP($F101,'Hodnocení '!$C$1:$JH$155,155,FALSE),0)</f>
        <v>2175750</v>
      </c>
      <c r="WD101" s="845"/>
      <c r="WE101" s="845"/>
      <c r="WF101" s="845" t="str">
        <f t="shared" si="204"/>
        <v>ANO</v>
      </c>
      <c r="WG101" s="849" t="str">
        <f t="shared" si="218"/>
        <v>Podpora služby je vyjádřena zařazením do sítě sociálních služeb v KHK a řešením financování služby</v>
      </c>
      <c r="WH101"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01" s="849" t="str">
        <f t="shared" si="218"/>
        <v>Návrh dotace je výsledkem projednání s ostatními zadavateli v rámci sítě služeb KHK</v>
      </c>
      <c r="WJ101" s="849" t="str">
        <f t="shared" si="218"/>
        <v>Bez komentáře</v>
      </c>
      <c r="WK101" s="31">
        <f t="shared" si="205"/>
        <v>0</v>
      </c>
      <c r="WL101" s="850">
        <f t="shared" si="206"/>
        <v>0</v>
      </c>
      <c r="WM101" s="849" t="str">
        <f t="shared" si="207"/>
        <v>V rámci sítě KHK se dlouhodobě řeší otázka navyšování úhrad a průběžně se monitoruje s vazbou na vykrytí vyrovnávací platby</v>
      </c>
      <c r="WN101" s="849">
        <f t="shared" si="208"/>
        <v>0</v>
      </c>
      <c r="WO101" s="849" t="str">
        <f t="shared" si="118"/>
        <v>bez komentáře</v>
      </c>
      <c r="WP101" s="849" t="str">
        <f t="shared" si="118"/>
        <v>bez komentáře</v>
      </c>
      <c r="WQ101" s="849" t="str">
        <f t="shared" si="118"/>
        <v>Konečná výše dotace z rozpočtu KHK bude řešena v návaznosti na řešení podílů jednotlivých zadavatelů.</v>
      </c>
      <c r="WR101" s="849" t="str">
        <f t="shared" si="118"/>
        <v>Konečná výše podpory ze stran obcí bude řešena v součinnosti s jednotlivými zadavateli v průběhu roku.</v>
      </c>
      <c r="WS101" s="849" t="str">
        <f t="shared" si="118"/>
        <v>bez komentáře</v>
      </c>
      <c r="WT101" s="849" t="str">
        <f t="shared" si="118"/>
        <v>bez komentáře</v>
      </c>
      <c r="WU101" s="845"/>
    </row>
    <row r="102" spans="1:619" s="128" customFormat="1" x14ac:dyDescent="0.25">
      <c r="A102" s="128" t="str">
        <f>VLOOKUP(F102,'Výpočet VP 2020'!$D$324:$I$588,6,FALSE)</f>
        <v>Je v síti</v>
      </c>
      <c r="B102" s="128" t="s">
        <v>553</v>
      </c>
      <c r="C102" s="128">
        <v>43464637</v>
      </c>
      <c r="D102" s="128" t="s">
        <v>554</v>
      </c>
      <c r="E102" s="128" t="s">
        <v>360</v>
      </c>
      <c r="F102" s="128">
        <v>4526227</v>
      </c>
      <c r="G102" s="128" t="s">
        <v>342</v>
      </c>
      <c r="H102" s="128" t="s">
        <v>230</v>
      </c>
      <c r="I102" s="128" t="s">
        <v>559</v>
      </c>
      <c r="J102" s="129">
        <v>41275</v>
      </c>
      <c r="L102" s="128" t="s">
        <v>220</v>
      </c>
      <c r="X102" s="128" t="s">
        <v>266</v>
      </c>
      <c r="Z102" s="128">
        <v>1</v>
      </c>
      <c r="AA102" s="128">
        <v>8</v>
      </c>
      <c r="AB102" s="128">
        <v>64</v>
      </c>
      <c r="AC102" s="128">
        <v>68</v>
      </c>
      <c r="AD102" s="128">
        <v>75</v>
      </c>
      <c r="AP102" s="128" t="s">
        <v>335</v>
      </c>
      <c r="AQ102" s="128">
        <v>3</v>
      </c>
      <c r="AR102" s="128">
        <v>9</v>
      </c>
      <c r="AS102" s="128">
        <v>64</v>
      </c>
      <c r="AT102" s="128">
        <v>68</v>
      </c>
      <c r="AU102" s="128">
        <v>75</v>
      </c>
      <c r="BL102" s="128" t="s">
        <v>278</v>
      </c>
      <c r="BM102" s="128" t="s">
        <v>279</v>
      </c>
      <c r="BN102" s="128" t="s">
        <v>347</v>
      </c>
      <c r="EK102" s="128">
        <v>3</v>
      </c>
      <c r="EL102" s="128">
        <v>2.95</v>
      </c>
      <c r="EM102" s="128">
        <v>2.77</v>
      </c>
      <c r="EN102" s="128">
        <v>1695000</v>
      </c>
      <c r="EO102" s="128">
        <v>1440000</v>
      </c>
      <c r="FO102" s="128">
        <v>11</v>
      </c>
      <c r="FP102" s="128">
        <v>0.96</v>
      </c>
      <c r="FQ102" s="128">
        <v>0.99</v>
      </c>
      <c r="FR102" s="128">
        <v>560000</v>
      </c>
      <c r="FS102" s="128">
        <v>478000</v>
      </c>
      <c r="IS102" s="128">
        <v>1</v>
      </c>
      <c r="IT102" s="128">
        <v>50</v>
      </c>
      <c r="IU102" s="128">
        <v>2.4E-2</v>
      </c>
      <c r="IV102" s="128">
        <v>5000</v>
      </c>
      <c r="IW102" s="128">
        <v>3000</v>
      </c>
      <c r="KG102" s="128">
        <v>0</v>
      </c>
      <c r="KI102" s="128">
        <v>2.95</v>
      </c>
      <c r="KJ102" s="128">
        <v>0</v>
      </c>
      <c r="KK102" s="128">
        <v>0</v>
      </c>
      <c r="KL102" s="128">
        <v>0</v>
      </c>
      <c r="KM102" s="128">
        <v>2.95</v>
      </c>
      <c r="KN102" s="128">
        <v>2255000</v>
      </c>
      <c r="KO102" s="128">
        <v>1918000</v>
      </c>
      <c r="KP102" s="128">
        <v>1918000</v>
      </c>
      <c r="KT102" s="128">
        <v>0</v>
      </c>
      <c r="KU102" s="128">
        <v>0</v>
      </c>
      <c r="KV102" s="128">
        <v>0</v>
      </c>
      <c r="KZ102" s="128">
        <v>5000</v>
      </c>
      <c r="LA102" s="128">
        <v>3000</v>
      </c>
      <c r="LB102" s="128">
        <v>3000</v>
      </c>
      <c r="LF102" s="128">
        <v>4000</v>
      </c>
      <c r="LG102" s="128">
        <v>1000</v>
      </c>
      <c r="LH102" s="128">
        <v>1000</v>
      </c>
      <c r="LL102" s="128">
        <v>0</v>
      </c>
      <c r="LM102" s="128">
        <v>0</v>
      </c>
      <c r="LN102" s="128">
        <v>0</v>
      </c>
      <c r="LR102" s="128">
        <v>0</v>
      </c>
      <c r="LS102" s="128">
        <v>0</v>
      </c>
      <c r="LT102" s="128">
        <v>0</v>
      </c>
      <c r="LX102" s="128">
        <v>0</v>
      </c>
      <c r="LY102" s="128">
        <v>0</v>
      </c>
      <c r="LZ102" s="128">
        <v>0</v>
      </c>
      <c r="MD102" s="128">
        <v>13000</v>
      </c>
      <c r="ME102" s="128">
        <v>11100</v>
      </c>
      <c r="MF102" s="128">
        <v>11100</v>
      </c>
      <c r="MJ102" s="128">
        <v>25000</v>
      </c>
      <c r="MK102" s="128">
        <v>22000</v>
      </c>
      <c r="ML102" s="128">
        <v>22000</v>
      </c>
      <c r="MP102" s="128">
        <v>24000</v>
      </c>
      <c r="MQ102" s="128">
        <v>20000</v>
      </c>
      <c r="MR102" s="128">
        <v>20000</v>
      </c>
      <c r="MV102" s="128">
        <v>62000</v>
      </c>
      <c r="MW102" s="128">
        <v>53000</v>
      </c>
      <c r="MX102" s="128">
        <v>53000</v>
      </c>
      <c r="NB102" s="128">
        <v>12000</v>
      </c>
      <c r="NC102" s="128">
        <v>10500</v>
      </c>
      <c r="ND102" s="128">
        <v>10500</v>
      </c>
      <c r="NH102" s="128">
        <v>55000</v>
      </c>
      <c r="NI102" s="128">
        <v>47000</v>
      </c>
      <c r="NJ102" s="128">
        <v>47000</v>
      </c>
      <c r="NN102" s="128">
        <v>17000</v>
      </c>
      <c r="NO102" s="128">
        <v>14500</v>
      </c>
      <c r="NP102" s="128">
        <v>14500</v>
      </c>
      <c r="NT102" s="128">
        <v>20000</v>
      </c>
      <c r="NU102" s="128">
        <v>17000</v>
      </c>
      <c r="NV102" s="128">
        <v>17000</v>
      </c>
      <c r="NZ102" s="128">
        <v>20000</v>
      </c>
      <c r="OA102" s="128">
        <v>17000</v>
      </c>
      <c r="OB102" s="128">
        <v>17000</v>
      </c>
      <c r="OF102" s="128">
        <v>6000</v>
      </c>
      <c r="OG102" s="128">
        <v>5100</v>
      </c>
      <c r="OH102" s="128">
        <v>5100</v>
      </c>
      <c r="OL102" s="128">
        <v>0</v>
      </c>
      <c r="OM102" s="128">
        <v>0</v>
      </c>
      <c r="ON102" s="128">
        <v>0</v>
      </c>
      <c r="OR102" s="128">
        <v>0</v>
      </c>
      <c r="OS102" s="128">
        <v>0</v>
      </c>
      <c r="OT102" s="128">
        <v>0</v>
      </c>
      <c r="OX102" s="128">
        <v>105000</v>
      </c>
      <c r="OY102" s="128">
        <v>89500</v>
      </c>
      <c r="OZ102" s="128">
        <v>89500</v>
      </c>
      <c r="PD102" s="128">
        <v>0</v>
      </c>
      <c r="PE102" s="128">
        <v>0</v>
      </c>
      <c r="PF102" s="128">
        <v>0</v>
      </c>
      <c r="PJ102" s="128">
        <v>8000</v>
      </c>
      <c r="PK102" s="128">
        <v>6800</v>
      </c>
      <c r="PL102" s="128">
        <v>6800</v>
      </c>
      <c r="PP102" s="128">
        <v>2631000</v>
      </c>
      <c r="PQ102" s="128">
        <v>2235500</v>
      </c>
      <c r="PR102" s="128">
        <v>2235500</v>
      </c>
      <c r="PS102" s="128">
        <v>100</v>
      </c>
      <c r="PT102" s="128">
        <v>100</v>
      </c>
      <c r="PX102" s="128">
        <v>242000</v>
      </c>
      <c r="PY102" s="128">
        <v>1051150</v>
      </c>
      <c r="PZ102" s="128">
        <v>2235500</v>
      </c>
      <c r="QA102" s="128">
        <v>0</v>
      </c>
      <c r="QB102" s="128">
        <v>0</v>
      </c>
      <c r="QC102" s="128">
        <v>0</v>
      </c>
      <c r="QD102" s="128">
        <v>0</v>
      </c>
      <c r="QE102" s="128">
        <v>0</v>
      </c>
      <c r="QF102" s="128">
        <v>0</v>
      </c>
      <c r="QG102" s="128">
        <v>0</v>
      </c>
      <c r="QH102" s="128">
        <v>0</v>
      </c>
      <c r="QI102" s="128">
        <v>0</v>
      </c>
      <c r="QJ102" s="128">
        <v>0</v>
      </c>
      <c r="QK102" s="128">
        <v>0</v>
      </c>
      <c r="QL102" s="128">
        <v>0</v>
      </c>
      <c r="QN102" s="128">
        <v>0</v>
      </c>
      <c r="QO102" s="128">
        <v>0</v>
      </c>
      <c r="QP102" s="128">
        <v>0</v>
      </c>
      <c r="QU102" s="128">
        <v>0</v>
      </c>
      <c r="QV102" s="128">
        <v>170000</v>
      </c>
      <c r="QW102" s="128">
        <v>210000</v>
      </c>
      <c r="QX102" s="128">
        <v>57000</v>
      </c>
      <c r="QY102" s="128">
        <v>121300</v>
      </c>
      <c r="QZ102" s="128">
        <v>184000</v>
      </c>
      <c r="RA102" s="128">
        <v>87191</v>
      </c>
      <c r="RB102" s="128">
        <v>195000</v>
      </c>
      <c r="RC102" s="128">
        <v>0</v>
      </c>
      <c r="RD102" s="128">
        <v>1632966</v>
      </c>
      <c r="RE102" s="128">
        <v>817518</v>
      </c>
      <c r="RF102" s="128">
        <v>1500</v>
      </c>
      <c r="RH102" s="128">
        <f t="shared" si="209"/>
        <v>2631000</v>
      </c>
      <c r="RI102" s="128">
        <v>0</v>
      </c>
      <c r="RM102" s="128" t="s">
        <v>220</v>
      </c>
      <c r="RU102" s="130"/>
      <c r="RV102" s="130"/>
      <c r="RW102" s="130"/>
      <c r="RX102" s="130"/>
      <c r="SF102" s="128">
        <f t="shared" si="119"/>
        <v>4526227</v>
      </c>
      <c r="SG102" s="131">
        <f t="shared" si="120"/>
        <v>2631000</v>
      </c>
      <c r="SH102" s="131">
        <f t="shared" si="121"/>
        <v>2631000</v>
      </c>
      <c r="SI102" s="131">
        <f t="shared" si="122"/>
        <v>2264000</v>
      </c>
      <c r="SJ102" s="132">
        <f t="shared" si="123"/>
        <v>2255000</v>
      </c>
      <c r="SK102" s="132">
        <f t="shared" si="124"/>
        <v>0</v>
      </c>
      <c r="SL102" s="132">
        <f t="shared" si="125"/>
        <v>5000</v>
      </c>
      <c r="SM102" s="132">
        <f t="shared" si="126"/>
        <v>4000</v>
      </c>
      <c r="SN102" s="131">
        <f t="shared" si="127"/>
        <v>367000</v>
      </c>
      <c r="SO102" s="131">
        <f t="shared" si="128"/>
        <v>0</v>
      </c>
      <c r="SP102" s="132">
        <f t="shared" si="129"/>
        <v>0</v>
      </c>
      <c r="SQ102" s="132">
        <f t="shared" si="130"/>
        <v>0</v>
      </c>
      <c r="SR102" s="132">
        <f t="shared" si="131"/>
        <v>0</v>
      </c>
      <c r="SS102" s="132">
        <f t="shared" si="132"/>
        <v>13000</v>
      </c>
      <c r="ST102" s="132">
        <f t="shared" si="133"/>
        <v>25000</v>
      </c>
      <c r="SU102" s="132">
        <f t="shared" si="134"/>
        <v>24000</v>
      </c>
      <c r="SV102" s="131">
        <f t="shared" si="135"/>
        <v>297000</v>
      </c>
      <c r="SW102" s="132">
        <f t="shared" si="136"/>
        <v>62000</v>
      </c>
      <c r="SX102" s="132">
        <f t="shared" si="137"/>
        <v>12000</v>
      </c>
      <c r="SY102" s="132">
        <f t="shared" si="138"/>
        <v>55000</v>
      </c>
      <c r="SZ102" s="132">
        <f t="shared" si="139"/>
        <v>17000</v>
      </c>
      <c r="TA102" s="132">
        <f t="shared" si="140"/>
        <v>20000</v>
      </c>
      <c r="TB102" s="132">
        <f t="shared" si="141"/>
        <v>20000</v>
      </c>
      <c r="TC102" s="132">
        <f t="shared" si="142"/>
        <v>6000</v>
      </c>
      <c r="TD102" s="132">
        <f t="shared" si="143"/>
        <v>0</v>
      </c>
      <c r="TE102" s="132">
        <f t="shared" si="144"/>
        <v>0</v>
      </c>
      <c r="TF102" s="132">
        <f t="shared" si="145"/>
        <v>105000</v>
      </c>
      <c r="TG102" s="132">
        <f t="shared" si="146"/>
        <v>0</v>
      </c>
      <c r="TH102" s="132">
        <f t="shared" si="147"/>
        <v>8000</v>
      </c>
      <c r="TI102" s="1"/>
      <c r="TJ102" s="131">
        <f t="shared" si="148"/>
        <v>2235500</v>
      </c>
      <c r="TK102" s="131">
        <f t="shared" si="149"/>
        <v>2235500</v>
      </c>
      <c r="TL102" s="131">
        <f t="shared" si="150"/>
        <v>1922000</v>
      </c>
      <c r="TM102" s="132">
        <f t="shared" si="151"/>
        <v>1918000</v>
      </c>
      <c r="TN102" s="132">
        <f t="shared" si="152"/>
        <v>0</v>
      </c>
      <c r="TO102" s="132">
        <f t="shared" si="153"/>
        <v>3000</v>
      </c>
      <c r="TP102" s="132">
        <f t="shared" si="154"/>
        <v>1000</v>
      </c>
      <c r="TQ102" s="131">
        <f t="shared" si="155"/>
        <v>313500</v>
      </c>
      <c r="TR102" s="131">
        <f t="shared" si="156"/>
        <v>0</v>
      </c>
      <c r="TS102" s="132">
        <f t="shared" si="157"/>
        <v>0</v>
      </c>
      <c r="TT102" s="132">
        <f t="shared" si="158"/>
        <v>0</v>
      </c>
      <c r="TU102" s="132">
        <f t="shared" si="159"/>
        <v>0</v>
      </c>
      <c r="TV102" s="132">
        <f t="shared" si="160"/>
        <v>11100</v>
      </c>
      <c r="TW102" s="132">
        <f t="shared" si="161"/>
        <v>22000</v>
      </c>
      <c r="TX102" s="132">
        <f t="shared" si="162"/>
        <v>20000</v>
      </c>
      <c r="TY102" s="131">
        <f t="shared" si="163"/>
        <v>253600</v>
      </c>
      <c r="TZ102" s="132">
        <f t="shared" si="164"/>
        <v>53000</v>
      </c>
      <c r="UA102" s="132">
        <f t="shared" si="165"/>
        <v>10500</v>
      </c>
      <c r="UB102" s="132">
        <f t="shared" si="166"/>
        <v>47000</v>
      </c>
      <c r="UC102" s="132">
        <f t="shared" si="167"/>
        <v>14500</v>
      </c>
      <c r="UD102" s="132">
        <f t="shared" si="168"/>
        <v>17000</v>
      </c>
      <c r="UE102" s="132">
        <f t="shared" si="169"/>
        <v>17000</v>
      </c>
      <c r="UF102" s="132">
        <f t="shared" si="170"/>
        <v>5100</v>
      </c>
      <c r="UG102" s="132">
        <f t="shared" si="171"/>
        <v>0</v>
      </c>
      <c r="UH102" s="132">
        <f t="shared" si="172"/>
        <v>0</v>
      </c>
      <c r="UI102" s="132">
        <f t="shared" si="173"/>
        <v>89500</v>
      </c>
      <c r="UJ102" s="132">
        <f t="shared" si="174"/>
        <v>0</v>
      </c>
      <c r="UK102" s="132">
        <f t="shared" si="175"/>
        <v>6800</v>
      </c>
      <c r="UL102" s="132">
        <f t="shared" si="210"/>
        <v>2235500</v>
      </c>
      <c r="UM102" s="131">
        <f t="shared" si="176"/>
        <v>2235500</v>
      </c>
      <c r="UN102" s="131">
        <f t="shared" si="177"/>
        <v>2235500</v>
      </c>
      <c r="UO102" s="131">
        <f t="shared" si="178"/>
        <v>1922000</v>
      </c>
      <c r="UP102" s="132">
        <f t="shared" si="179"/>
        <v>1918000</v>
      </c>
      <c r="UQ102" s="132">
        <f t="shared" si="180"/>
        <v>0</v>
      </c>
      <c r="UR102" s="132">
        <f t="shared" si="181"/>
        <v>3000</v>
      </c>
      <c r="US102" s="132">
        <f t="shared" si="182"/>
        <v>1000</v>
      </c>
      <c r="UT102" s="131">
        <f t="shared" si="183"/>
        <v>313500</v>
      </c>
      <c r="UU102" s="131">
        <f t="shared" si="184"/>
        <v>0</v>
      </c>
      <c r="UV102" s="132">
        <f t="shared" si="185"/>
        <v>0</v>
      </c>
      <c r="UW102" s="132">
        <f t="shared" si="186"/>
        <v>0</v>
      </c>
      <c r="UX102" s="132">
        <f t="shared" si="187"/>
        <v>0</v>
      </c>
      <c r="UY102" s="132">
        <f t="shared" si="188"/>
        <v>11100</v>
      </c>
      <c r="UZ102" s="132">
        <f t="shared" si="189"/>
        <v>22000</v>
      </c>
      <c r="VA102" s="132">
        <f t="shared" si="190"/>
        <v>20000</v>
      </c>
      <c r="VB102" s="131">
        <f t="shared" si="191"/>
        <v>253600</v>
      </c>
      <c r="VC102" s="132">
        <f t="shared" si="192"/>
        <v>53000</v>
      </c>
      <c r="VD102" s="132">
        <f t="shared" si="193"/>
        <v>10500</v>
      </c>
      <c r="VE102" s="132">
        <f t="shared" si="194"/>
        <v>47000</v>
      </c>
      <c r="VF102" s="132">
        <f t="shared" si="195"/>
        <v>14500</v>
      </c>
      <c r="VG102" s="132">
        <f t="shared" si="196"/>
        <v>17000</v>
      </c>
      <c r="VH102" s="132">
        <f t="shared" si="197"/>
        <v>17000</v>
      </c>
      <c r="VI102" s="132">
        <f t="shared" si="198"/>
        <v>5100</v>
      </c>
      <c r="VJ102" s="132">
        <f t="shared" si="199"/>
        <v>0</v>
      </c>
      <c r="VK102" s="132">
        <f t="shared" si="200"/>
        <v>0</v>
      </c>
      <c r="VL102" s="132">
        <f t="shared" si="201"/>
        <v>89500</v>
      </c>
      <c r="VM102" s="132">
        <f t="shared" si="202"/>
        <v>0</v>
      </c>
      <c r="VN102" s="132">
        <f t="shared" si="203"/>
        <v>6800</v>
      </c>
      <c r="VP102" s="845" t="str">
        <f>IFERROR(HLOOKUP(F102,'Hodnocení '!$C$1:$JH$5,2,FALSE),0)</f>
        <v>Sociálně aktivizační služba pro rodiny s dětmi Klub Labyrint</v>
      </c>
      <c r="VQ102" s="838"/>
      <c r="VR102" s="845" t="str">
        <f t="shared" si="211"/>
        <v>Církve a náboženské společnosti</v>
      </c>
      <c r="VS102" s="845" t="str">
        <f>IFERROR(HLOOKUP(F102,'Hodnocení '!$C$1:$JH$5,5,FALSE),0)</f>
        <v>NZO</v>
      </c>
      <c r="VT102" s="838">
        <f t="shared" si="212"/>
        <v>0</v>
      </c>
      <c r="VU102" s="838">
        <f t="shared" si="213"/>
        <v>0</v>
      </c>
      <c r="VV102" s="838">
        <f t="shared" si="214"/>
        <v>0</v>
      </c>
      <c r="VW102" s="838">
        <f t="shared" si="215"/>
        <v>0</v>
      </c>
      <c r="VX102" s="838"/>
      <c r="VY102" s="838">
        <f t="shared" si="216"/>
        <v>0</v>
      </c>
      <c r="VZ102" s="838">
        <f t="shared" si="217"/>
        <v>2235500</v>
      </c>
      <c r="WA102" s="846">
        <f>IFERROR(HLOOKUP($F102,'Hodnocení '!$C$1:$JH$9,9,FALSE),0)</f>
        <v>2235500</v>
      </c>
      <c r="WB102" s="846">
        <f>IF(IFERROR(HLOOKUP($F102,'Hodnocení '!$C$1:$JH$13,13,FALSE),0)&gt;WA102,WA102,IFERROR(HLOOKUP($F102,'Hodnocení '!$C$1:$JH$13,13,FALSE),0))</f>
        <v>2120960.6772952261</v>
      </c>
      <c r="WC102" s="846">
        <f>IFERROR(HLOOKUP($F102,'Hodnocení '!$C$1:$JH$155,155,FALSE),0)</f>
        <v>2003660</v>
      </c>
      <c r="WD102" s="845"/>
      <c r="WE102" s="845"/>
      <c r="WF102" s="845" t="str">
        <f t="shared" si="204"/>
        <v>ANO</v>
      </c>
      <c r="WG102" s="849" t="str">
        <f t="shared" si="218"/>
        <v>Podpora služby je vyjádřena zařazením do sítě sociálních služeb v KHK a řešením financování služby</v>
      </c>
      <c r="WH102"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02" s="849" t="str">
        <f t="shared" si="218"/>
        <v>Návrh dotace je výsledkem projednání s ostatními zadavateli v rámci sítě služeb KHK</v>
      </c>
      <c r="WJ102" s="849" t="str">
        <f t="shared" si="218"/>
        <v>Bez komentáře</v>
      </c>
      <c r="WK102" s="31">
        <f t="shared" si="205"/>
        <v>0</v>
      </c>
      <c r="WL102" s="850">
        <f t="shared" si="206"/>
        <v>0</v>
      </c>
      <c r="WM102" s="849">
        <f t="shared" si="207"/>
        <v>0</v>
      </c>
      <c r="WN102" s="849">
        <f t="shared" si="208"/>
        <v>0</v>
      </c>
      <c r="WO102" s="849" t="str">
        <f t="shared" si="118"/>
        <v>bez komentáře</v>
      </c>
      <c r="WP102" s="849" t="str">
        <f t="shared" si="118"/>
        <v>bez komentáře</v>
      </c>
      <c r="WQ102" s="849" t="str">
        <f t="shared" si="118"/>
        <v>Konečná výše dotace z rozpočtu KHK bude řešena v návaznosti na řešení podílů jednotlivých zadavatelů.</v>
      </c>
      <c r="WR102" s="849" t="str">
        <f t="shared" si="118"/>
        <v>Konečná výše podpory ze stran obcí bude řešena v součinnosti s jednotlivými zadavateli v průběhu roku.</v>
      </c>
      <c r="WS102" s="849" t="str">
        <f t="shared" si="118"/>
        <v>bez komentáře</v>
      </c>
      <c r="WT102" s="849" t="str">
        <f t="shared" si="118"/>
        <v>bez komentáře</v>
      </c>
      <c r="WU102" s="845"/>
    </row>
    <row r="103" spans="1:619" s="128" customFormat="1" x14ac:dyDescent="0.25">
      <c r="A103" s="128" t="str">
        <f>VLOOKUP(F103,'Výpočet VP 2020'!$D$324:$I$588,6,FALSE)</f>
        <v>Je v síti</v>
      </c>
      <c r="B103" s="128" t="s">
        <v>553</v>
      </c>
      <c r="C103" s="128">
        <v>43464637</v>
      </c>
      <c r="D103" s="128" t="s">
        <v>554</v>
      </c>
      <c r="E103" s="128" t="s">
        <v>360</v>
      </c>
      <c r="F103" s="128">
        <v>7634996</v>
      </c>
      <c r="G103" s="128" t="s">
        <v>292</v>
      </c>
      <c r="H103" s="128" t="s">
        <v>293</v>
      </c>
      <c r="I103" s="128" t="s">
        <v>560</v>
      </c>
      <c r="J103" s="129">
        <v>38687</v>
      </c>
      <c r="L103" s="128" t="s">
        <v>220</v>
      </c>
      <c r="X103" s="128" t="s">
        <v>266</v>
      </c>
      <c r="AI103" s="128">
        <v>1</v>
      </c>
      <c r="AJ103" s="128">
        <v>8</v>
      </c>
      <c r="AK103" s="128">
        <v>413</v>
      </c>
      <c r="AL103" s="128">
        <v>435</v>
      </c>
      <c r="AM103" s="128">
        <v>450</v>
      </c>
      <c r="BL103" s="128" t="s">
        <v>561</v>
      </c>
      <c r="BM103" s="128" t="s">
        <v>340</v>
      </c>
      <c r="BN103" s="128" t="s">
        <v>424</v>
      </c>
      <c r="EK103" s="128">
        <v>1</v>
      </c>
      <c r="EL103" s="128">
        <v>0.45</v>
      </c>
      <c r="EM103" s="128">
        <v>0.4</v>
      </c>
      <c r="EN103" s="128">
        <v>260000</v>
      </c>
      <c r="EO103" s="128">
        <v>220000</v>
      </c>
      <c r="FO103" s="128">
        <v>11</v>
      </c>
      <c r="FP103" s="128">
        <v>0.42</v>
      </c>
      <c r="FQ103" s="128">
        <v>0.41</v>
      </c>
      <c r="FR103" s="128">
        <v>240000</v>
      </c>
      <c r="FS103" s="128">
        <v>205000</v>
      </c>
      <c r="IH103" s="128">
        <v>2</v>
      </c>
      <c r="II103" s="128">
        <v>0.1</v>
      </c>
      <c r="IJ103" s="128">
        <v>24</v>
      </c>
      <c r="IK103" s="128">
        <v>0.1</v>
      </c>
      <c r="IL103" s="128">
        <v>12000</v>
      </c>
      <c r="IM103" s="128">
        <v>10000</v>
      </c>
      <c r="IS103" s="128">
        <v>1</v>
      </c>
      <c r="IT103" s="128">
        <v>12</v>
      </c>
      <c r="IU103" s="128">
        <v>6.0000000000000001E-3</v>
      </c>
      <c r="IV103" s="128">
        <v>2400</v>
      </c>
      <c r="IW103" s="128">
        <v>1500</v>
      </c>
      <c r="KG103" s="128">
        <v>0</v>
      </c>
      <c r="KI103" s="128">
        <v>0.45</v>
      </c>
      <c r="KJ103" s="128">
        <v>0</v>
      </c>
      <c r="KK103" s="128">
        <v>0</v>
      </c>
      <c r="KL103" s="128">
        <v>0</v>
      </c>
      <c r="KM103" s="128">
        <v>0.45</v>
      </c>
      <c r="KN103" s="128">
        <v>500000</v>
      </c>
      <c r="KO103" s="128">
        <v>425000</v>
      </c>
      <c r="KP103" s="128">
        <v>425000</v>
      </c>
      <c r="KT103" s="128">
        <v>12000</v>
      </c>
      <c r="KU103" s="128">
        <v>10000</v>
      </c>
      <c r="KV103" s="128">
        <v>10000</v>
      </c>
      <c r="KZ103" s="128">
        <v>2400</v>
      </c>
      <c r="LA103" s="128">
        <v>1500</v>
      </c>
      <c r="LB103" s="128">
        <v>1500</v>
      </c>
      <c r="LF103" s="128">
        <v>1000</v>
      </c>
      <c r="LG103" s="128">
        <v>500</v>
      </c>
      <c r="LH103" s="128">
        <v>500</v>
      </c>
      <c r="LL103" s="128">
        <v>0</v>
      </c>
      <c r="LM103" s="128">
        <v>0</v>
      </c>
      <c r="LN103" s="128">
        <v>0</v>
      </c>
      <c r="LR103" s="128">
        <v>0</v>
      </c>
      <c r="LS103" s="128">
        <v>0</v>
      </c>
      <c r="LT103" s="128">
        <v>0</v>
      </c>
      <c r="LX103" s="128">
        <v>0</v>
      </c>
      <c r="LY103" s="128">
        <v>0</v>
      </c>
      <c r="LZ103" s="128">
        <v>0</v>
      </c>
      <c r="MD103" s="128">
        <v>2500</v>
      </c>
      <c r="ME103" s="128">
        <v>2100</v>
      </c>
      <c r="MF103" s="128">
        <v>2100</v>
      </c>
      <c r="MJ103" s="128">
        <v>500</v>
      </c>
      <c r="MK103" s="128">
        <v>300</v>
      </c>
      <c r="ML103" s="128">
        <v>300</v>
      </c>
      <c r="MP103" s="128">
        <v>2500</v>
      </c>
      <c r="MQ103" s="128">
        <v>2100</v>
      </c>
      <c r="MR103" s="128">
        <v>2100</v>
      </c>
      <c r="MV103" s="128">
        <v>4500</v>
      </c>
      <c r="MW103" s="128">
        <v>4000</v>
      </c>
      <c r="MX103" s="128">
        <v>4000</v>
      </c>
      <c r="NB103" s="128">
        <v>3000</v>
      </c>
      <c r="NC103" s="128">
        <v>2300</v>
      </c>
      <c r="ND103" s="128">
        <v>2300</v>
      </c>
      <c r="NH103" s="128">
        <v>5000</v>
      </c>
      <c r="NI103" s="128">
        <v>4500</v>
      </c>
      <c r="NJ103" s="128">
        <v>4500</v>
      </c>
      <c r="NN103" s="128">
        <v>3500</v>
      </c>
      <c r="NO103" s="128">
        <v>3000</v>
      </c>
      <c r="NP103" s="128">
        <v>3000</v>
      </c>
      <c r="NT103" s="128">
        <v>4000</v>
      </c>
      <c r="NU103" s="128">
        <v>3400</v>
      </c>
      <c r="NV103" s="128">
        <v>3400</v>
      </c>
      <c r="NZ103" s="128">
        <v>600</v>
      </c>
      <c r="OA103" s="128">
        <v>0</v>
      </c>
      <c r="OB103" s="128">
        <v>0</v>
      </c>
      <c r="OF103" s="128">
        <v>20000</v>
      </c>
      <c r="OG103" s="128">
        <v>17000</v>
      </c>
      <c r="OH103" s="128">
        <v>17000</v>
      </c>
      <c r="OL103" s="128">
        <v>0</v>
      </c>
      <c r="OM103" s="128">
        <v>0</v>
      </c>
      <c r="ON103" s="128">
        <v>0</v>
      </c>
      <c r="OR103" s="128">
        <v>0</v>
      </c>
      <c r="OS103" s="128">
        <v>0</v>
      </c>
      <c r="OT103" s="128">
        <v>0</v>
      </c>
      <c r="OX103" s="128">
        <v>15000</v>
      </c>
      <c r="OY103" s="128">
        <v>14000</v>
      </c>
      <c r="OZ103" s="128">
        <v>14000</v>
      </c>
      <c r="PD103" s="128">
        <v>0</v>
      </c>
      <c r="PE103" s="128">
        <v>0</v>
      </c>
      <c r="PF103" s="128">
        <v>0</v>
      </c>
      <c r="PJ103" s="128">
        <v>1500</v>
      </c>
      <c r="PK103" s="128">
        <v>1300</v>
      </c>
      <c r="PL103" s="128">
        <v>1300</v>
      </c>
      <c r="PP103" s="128">
        <v>578000</v>
      </c>
      <c r="PQ103" s="128">
        <v>491000</v>
      </c>
      <c r="PR103" s="128">
        <v>491000</v>
      </c>
      <c r="PS103" s="128">
        <v>100</v>
      </c>
      <c r="PT103" s="128">
        <v>100</v>
      </c>
      <c r="PX103" s="128">
        <v>234000</v>
      </c>
      <c r="PY103" s="128">
        <v>275460</v>
      </c>
      <c r="PZ103" s="128">
        <v>491000</v>
      </c>
      <c r="QA103" s="128">
        <v>0</v>
      </c>
      <c r="QB103" s="128">
        <v>0</v>
      </c>
      <c r="QC103" s="128">
        <v>0</v>
      </c>
      <c r="QD103" s="128">
        <v>0</v>
      </c>
      <c r="QE103" s="128">
        <v>0</v>
      </c>
      <c r="QF103" s="128">
        <v>0</v>
      </c>
      <c r="QG103" s="128">
        <v>0</v>
      </c>
      <c r="QH103" s="128">
        <v>0</v>
      </c>
      <c r="QI103" s="128">
        <v>0</v>
      </c>
      <c r="QJ103" s="128">
        <v>0</v>
      </c>
      <c r="QK103" s="128">
        <v>0</v>
      </c>
      <c r="QL103" s="128">
        <v>0</v>
      </c>
      <c r="QN103" s="128">
        <v>0</v>
      </c>
      <c r="QO103" s="128">
        <v>0</v>
      </c>
      <c r="QP103" s="128">
        <v>0</v>
      </c>
      <c r="QU103" s="128">
        <v>83504</v>
      </c>
      <c r="QV103" s="128">
        <v>82478</v>
      </c>
      <c r="QW103" s="128">
        <v>40000</v>
      </c>
      <c r="QX103" s="128">
        <v>50000</v>
      </c>
      <c r="QY103" s="128">
        <v>46500</v>
      </c>
      <c r="QZ103" s="128">
        <v>45000</v>
      </c>
      <c r="RA103" s="128">
        <v>27354</v>
      </c>
      <c r="RB103" s="128">
        <v>30000</v>
      </c>
      <c r="RC103" s="128">
        <v>0</v>
      </c>
      <c r="RD103" s="128">
        <v>1010</v>
      </c>
      <c r="RE103" s="128">
        <v>5010</v>
      </c>
      <c r="RF103" s="128">
        <v>2000</v>
      </c>
      <c r="RH103" s="128">
        <f t="shared" si="209"/>
        <v>578000</v>
      </c>
      <c r="RI103" s="128">
        <v>0</v>
      </c>
      <c r="RM103" s="128" t="s">
        <v>220</v>
      </c>
      <c r="RU103" s="130"/>
      <c r="RV103" s="130"/>
      <c r="RW103" s="130"/>
      <c r="RX103" s="130"/>
      <c r="SF103" s="128">
        <f t="shared" si="119"/>
        <v>7634996</v>
      </c>
      <c r="SG103" s="131">
        <f t="shared" si="120"/>
        <v>578000</v>
      </c>
      <c r="SH103" s="131">
        <f t="shared" si="121"/>
        <v>578000</v>
      </c>
      <c r="SI103" s="131">
        <f t="shared" si="122"/>
        <v>515400</v>
      </c>
      <c r="SJ103" s="132">
        <f t="shared" si="123"/>
        <v>500000</v>
      </c>
      <c r="SK103" s="132">
        <f t="shared" si="124"/>
        <v>12000</v>
      </c>
      <c r="SL103" s="132">
        <f t="shared" si="125"/>
        <v>2400</v>
      </c>
      <c r="SM103" s="132">
        <f t="shared" si="126"/>
        <v>1000</v>
      </c>
      <c r="SN103" s="131">
        <f t="shared" si="127"/>
        <v>62600</v>
      </c>
      <c r="SO103" s="131">
        <f t="shared" si="128"/>
        <v>0</v>
      </c>
      <c r="SP103" s="132">
        <f t="shared" si="129"/>
        <v>0</v>
      </c>
      <c r="SQ103" s="132">
        <f t="shared" si="130"/>
        <v>0</v>
      </c>
      <c r="SR103" s="132">
        <f t="shared" si="131"/>
        <v>0</v>
      </c>
      <c r="SS103" s="132">
        <f t="shared" si="132"/>
        <v>2500</v>
      </c>
      <c r="ST103" s="132">
        <f t="shared" si="133"/>
        <v>500</v>
      </c>
      <c r="SU103" s="132">
        <f t="shared" si="134"/>
        <v>2500</v>
      </c>
      <c r="SV103" s="131">
        <f t="shared" si="135"/>
        <v>55600</v>
      </c>
      <c r="SW103" s="132">
        <f t="shared" si="136"/>
        <v>4500</v>
      </c>
      <c r="SX103" s="132">
        <f t="shared" si="137"/>
        <v>3000</v>
      </c>
      <c r="SY103" s="132">
        <f t="shared" si="138"/>
        <v>5000</v>
      </c>
      <c r="SZ103" s="132">
        <f t="shared" si="139"/>
        <v>3500</v>
      </c>
      <c r="TA103" s="132">
        <f t="shared" si="140"/>
        <v>4000</v>
      </c>
      <c r="TB103" s="132">
        <f t="shared" si="141"/>
        <v>600</v>
      </c>
      <c r="TC103" s="132">
        <f t="shared" si="142"/>
        <v>20000</v>
      </c>
      <c r="TD103" s="132">
        <f t="shared" si="143"/>
        <v>0</v>
      </c>
      <c r="TE103" s="132">
        <f t="shared" si="144"/>
        <v>0</v>
      </c>
      <c r="TF103" s="132">
        <f t="shared" si="145"/>
        <v>15000</v>
      </c>
      <c r="TG103" s="132">
        <f t="shared" si="146"/>
        <v>0</v>
      </c>
      <c r="TH103" s="132">
        <f t="shared" si="147"/>
        <v>1500</v>
      </c>
      <c r="TI103" s="1"/>
      <c r="TJ103" s="131">
        <f t="shared" si="148"/>
        <v>491000</v>
      </c>
      <c r="TK103" s="131">
        <f t="shared" si="149"/>
        <v>491000</v>
      </c>
      <c r="TL103" s="131">
        <f t="shared" si="150"/>
        <v>437000</v>
      </c>
      <c r="TM103" s="132">
        <f t="shared" si="151"/>
        <v>425000</v>
      </c>
      <c r="TN103" s="132">
        <f t="shared" si="152"/>
        <v>10000</v>
      </c>
      <c r="TO103" s="132">
        <f t="shared" si="153"/>
        <v>1500</v>
      </c>
      <c r="TP103" s="132">
        <f t="shared" si="154"/>
        <v>500</v>
      </c>
      <c r="TQ103" s="131">
        <f t="shared" si="155"/>
        <v>54000</v>
      </c>
      <c r="TR103" s="131">
        <f t="shared" si="156"/>
        <v>0</v>
      </c>
      <c r="TS103" s="132">
        <f t="shared" si="157"/>
        <v>0</v>
      </c>
      <c r="TT103" s="132">
        <f t="shared" si="158"/>
        <v>0</v>
      </c>
      <c r="TU103" s="132">
        <f t="shared" si="159"/>
        <v>0</v>
      </c>
      <c r="TV103" s="132">
        <f t="shared" si="160"/>
        <v>2100</v>
      </c>
      <c r="TW103" s="132">
        <f t="shared" si="161"/>
        <v>300</v>
      </c>
      <c r="TX103" s="132">
        <f t="shared" si="162"/>
        <v>2100</v>
      </c>
      <c r="TY103" s="131">
        <f t="shared" si="163"/>
        <v>48200</v>
      </c>
      <c r="TZ103" s="132">
        <f t="shared" si="164"/>
        <v>4000</v>
      </c>
      <c r="UA103" s="132">
        <f t="shared" si="165"/>
        <v>2300</v>
      </c>
      <c r="UB103" s="132">
        <f t="shared" si="166"/>
        <v>4500</v>
      </c>
      <c r="UC103" s="132">
        <f t="shared" si="167"/>
        <v>3000</v>
      </c>
      <c r="UD103" s="132">
        <f t="shared" si="168"/>
        <v>3400</v>
      </c>
      <c r="UE103" s="132">
        <f t="shared" si="169"/>
        <v>0</v>
      </c>
      <c r="UF103" s="132">
        <f t="shared" si="170"/>
        <v>17000</v>
      </c>
      <c r="UG103" s="132">
        <f t="shared" si="171"/>
        <v>0</v>
      </c>
      <c r="UH103" s="132">
        <f t="shared" si="172"/>
        <v>0</v>
      </c>
      <c r="UI103" s="132">
        <f t="shared" si="173"/>
        <v>14000</v>
      </c>
      <c r="UJ103" s="132">
        <f t="shared" si="174"/>
        <v>0</v>
      </c>
      <c r="UK103" s="132">
        <f t="shared" si="175"/>
        <v>1300</v>
      </c>
      <c r="UL103" s="132">
        <f t="shared" si="210"/>
        <v>491000</v>
      </c>
      <c r="UM103" s="131">
        <f t="shared" si="176"/>
        <v>491000</v>
      </c>
      <c r="UN103" s="131">
        <f t="shared" si="177"/>
        <v>491000</v>
      </c>
      <c r="UO103" s="131">
        <f t="shared" si="178"/>
        <v>437000</v>
      </c>
      <c r="UP103" s="132">
        <f t="shared" si="179"/>
        <v>425000</v>
      </c>
      <c r="UQ103" s="132">
        <f t="shared" si="180"/>
        <v>10000</v>
      </c>
      <c r="UR103" s="132">
        <f t="shared" si="181"/>
        <v>1500</v>
      </c>
      <c r="US103" s="132">
        <f t="shared" si="182"/>
        <v>500</v>
      </c>
      <c r="UT103" s="131">
        <f t="shared" si="183"/>
        <v>54000</v>
      </c>
      <c r="UU103" s="131">
        <f t="shared" si="184"/>
        <v>0</v>
      </c>
      <c r="UV103" s="132">
        <f t="shared" si="185"/>
        <v>0</v>
      </c>
      <c r="UW103" s="132">
        <f t="shared" si="186"/>
        <v>0</v>
      </c>
      <c r="UX103" s="132">
        <f t="shared" si="187"/>
        <v>0</v>
      </c>
      <c r="UY103" s="132">
        <f t="shared" si="188"/>
        <v>2100</v>
      </c>
      <c r="UZ103" s="132">
        <f t="shared" si="189"/>
        <v>300</v>
      </c>
      <c r="VA103" s="132">
        <f t="shared" si="190"/>
        <v>2100</v>
      </c>
      <c r="VB103" s="131">
        <f t="shared" si="191"/>
        <v>48200</v>
      </c>
      <c r="VC103" s="132">
        <f t="shared" si="192"/>
        <v>4000</v>
      </c>
      <c r="VD103" s="132">
        <f t="shared" si="193"/>
        <v>2300</v>
      </c>
      <c r="VE103" s="132">
        <f t="shared" si="194"/>
        <v>4500</v>
      </c>
      <c r="VF103" s="132">
        <f t="shared" si="195"/>
        <v>3000</v>
      </c>
      <c r="VG103" s="132">
        <f t="shared" si="196"/>
        <v>3400</v>
      </c>
      <c r="VH103" s="132">
        <f t="shared" si="197"/>
        <v>0</v>
      </c>
      <c r="VI103" s="132">
        <f t="shared" si="198"/>
        <v>17000</v>
      </c>
      <c r="VJ103" s="132">
        <f t="shared" si="199"/>
        <v>0</v>
      </c>
      <c r="VK103" s="132">
        <f t="shared" si="200"/>
        <v>0</v>
      </c>
      <c r="VL103" s="132">
        <f t="shared" si="201"/>
        <v>14000</v>
      </c>
      <c r="VM103" s="132">
        <f t="shared" si="202"/>
        <v>0</v>
      </c>
      <c r="VN103" s="132">
        <f t="shared" si="203"/>
        <v>1300</v>
      </c>
      <c r="VP103" s="845" t="str">
        <f>IFERROR(HLOOKUP(F103,'Hodnocení '!$C$1:$JH$5,2,FALSE),0)</f>
        <v>Občanská poradna Jaroměř</v>
      </c>
      <c r="VQ103" s="838"/>
      <c r="VR103" s="845" t="str">
        <f t="shared" si="211"/>
        <v>Církve a náboženské společnosti</v>
      </c>
      <c r="VS103" s="845" t="str">
        <f>IFERROR(HLOOKUP(F103,'Hodnocení '!$C$1:$JH$5,5,FALSE),0)</f>
        <v>NZO</v>
      </c>
      <c r="VT103" s="838">
        <f t="shared" si="212"/>
        <v>0</v>
      </c>
      <c r="VU103" s="838">
        <f t="shared" si="213"/>
        <v>0</v>
      </c>
      <c r="VV103" s="838">
        <f t="shared" si="214"/>
        <v>0</v>
      </c>
      <c r="VW103" s="838">
        <f t="shared" si="215"/>
        <v>0</v>
      </c>
      <c r="VX103" s="838"/>
      <c r="VY103" s="838">
        <f t="shared" si="216"/>
        <v>0</v>
      </c>
      <c r="VZ103" s="838">
        <f t="shared" si="217"/>
        <v>491000</v>
      </c>
      <c r="WA103" s="846">
        <f>IFERROR(HLOOKUP($F103,'Hodnocení '!$C$1:$JH$9,9,FALSE),0)</f>
        <v>491000</v>
      </c>
      <c r="WB103" s="846">
        <f>IF(IFERROR(HLOOKUP($F103,'Hodnocení '!$C$1:$JH$13,13,FALSE),0)&gt;WA103,WA103,IFERROR(HLOOKUP($F103,'Hodnocení '!$C$1:$JH$13,13,FALSE),0))</f>
        <v>297109.40431126149</v>
      </c>
      <c r="WC103" s="846">
        <f>IFERROR(HLOOKUP($F103,'Hodnocení '!$C$1:$JH$155,155,FALSE),0)</f>
        <v>327940</v>
      </c>
      <c r="WD103" s="845"/>
      <c r="WE103" s="845"/>
      <c r="WF103" s="845" t="str">
        <f t="shared" si="204"/>
        <v>ANO</v>
      </c>
      <c r="WG103" s="849" t="str">
        <f t="shared" si="218"/>
        <v>Podpora služby je vyjádřena zařazením do sítě sociálních služeb v KHK a řešením financování služby</v>
      </c>
      <c r="WH103"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03" s="849" t="str">
        <f t="shared" si="218"/>
        <v>Návrh dotace je výsledkem projednání s ostatními zadavateli v rámci sítě služeb KHK</v>
      </c>
      <c r="WJ103" s="849" t="str">
        <f t="shared" si="218"/>
        <v>Bez komentáře</v>
      </c>
      <c r="WK103" s="31">
        <f t="shared" si="205"/>
        <v>0</v>
      </c>
      <c r="WL103" s="850">
        <f t="shared" si="206"/>
        <v>0</v>
      </c>
      <c r="WM103" s="849">
        <f t="shared" si="207"/>
        <v>0</v>
      </c>
      <c r="WN103" s="849">
        <f t="shared" si="208"/>
        <v>0</v>
      </c>
      <c r="WO103" s="849" t="str">
        <f t="shared" si="118"/>
        <v>bez komentáře</v>
      </c>
      <c r="WP103" s="849" t="str">
        <f t="shared" si="118"/>
        <v>bez komentáře</v>
      </c>
      <c r="WQ103" s="849" t="str">
        <f t="shared" si="118"/>
        <v>Konečná výše dotace z rozpočtu KHK bude řešena v návaznosti na řešení podílů jednotlivých zadavatelů.</v>
      </c>
      <c r="WR103" s="849" t="str">
        <f t="shared" si="118"/>
        <v>Konečná výše podpory ze stran obcí bude řešena v součinnosti s jednotlivými zadavateli v průběhu roku.</v>
      </c>
      <c r="WS103" s="849" t="str">
        <f t="shared" si="118"/>
        <v>bez komentáře</v>
      </c>
      <c r="WT103" s="849" t="str">
        <f t="shared" si="118"/>
        <v>bez komentáře</v>
      </c>
      <c r="WU103" s="845"/>
    </row>
    <row r="104" spans="1:619" s="128" customFormat="1" x14ac:dyDescent="0.25">
      <c r="A104" s="128" t="str">
        <f>VLOOKUP(F104,'Výpočet VP 2020'!$D$324:$I$588,6,FALSE)</f>
        <v>Je v síti</v>
      </c>
      <c r="B104" s="128" t="s">
        <v>553</v>
      </c>
      <c r="C104" s="128">
        <v>43464637</v>
      </c>
      <c r="D104" s="128" t="s">
        <v>554</v>
      </c>
      <c r="E104" s="128" t="s">
        <v>360</v>
      </c>
      <c r="F104" s="128">
        <v>7653065</v>
      </c>
      <c r="G104" s="128" t="s">
        <v>229</v>
      </c>
      <c r="H104" s="128" t="s">
        <v>230</v>
      </c>
      <c r="I104" s="128" t="s">
        <v>562</v>
      </c>
      <c r="J104" s="129">
        <v>40648</v>
      </c>
      <c r="L104" s="128" t="s">
        <v>220</v>
      </c>
      <c r="X104" s="128" t="s">
        <v>322</v>
      </c>
      <c r="Z104" s="128">
        <v>20</v>
      </c>
      <c r="AA104" s="128">
        <v>20</v>
      </c>
      <c r="AB104" s="128">
        <v>19</v>
      </c>
      <c r="AC104" s="128">
        <v>20</v>
      </c>
      <c r="AD104" s="128">
        <v>22</v>
      </c>
      <c r="BL104" s="128" t="s">
        <v>356</v>
      </c>
      <c r="BM104" s="128" t="s">
        <v>228</v>
      </c>
      <c r="BN104" s="128" t="s">
        <v>234</v>
      </c>
      <c r="EK104" s="128">
        <v>1</v>
      </c>
      <c r="EL104" s="128">
        <v>0.65</v>
      </c>
      <c r="EM104" s="128">
        <v>0.85</v>
      </c>
      <c r="EN104" s="128">
        <v>375000</v>
      </c>
      <c r="EO104" s="128">
        <v>310000</v>
      </c>
      <c r="EP104" s="128">
        <v>5</v>
      </c>
      <c r="EQ104" s="128">
        <v>4.3499999999999996</v>
      </c>
      <c r="ER104" s="128">
        <v>4.34</v>
      </c>
      <c r="ES104" s="128">
        <v>1750000</v>
      </c>
      <c r="ET104" s="128">
        <v>1510000</v>
      </c>
      <c r="FO104" s="128">
        <v>11</v>
      </c>
      <c r="FP104" s="128">
        <v>1.61</v>
      </c>
      <c r="FQ104" s="128">
        <v>1.75</v>
      </c>
      <c r="FR104" s="128">
        <v>905000</v>
      </c>
      <c r="FS104" s="128">
        <v>776000</v>
      </c>
      <c r="IS104" s="128">
        <v>2</v>
      </c>
      <c r="IT104" s="128">
        <v>400</v>
      </c>
      <c r="IU104" s="128">
        <v>0.191</v>
      </c>
      <c r="IV104" s="128">
        <v>60000</v>
      </c>
      <c r="IW104" s="128">
        <v>20000</v>
      </c>
      <c r="KG104" s="128">
        <v>0</v>
      </c>
      <c r="KI104" s="128">
        <v>5</v>
      </c>
      <c r="KJ104" s="128">
        <v>0</v>
      </c>
      <c r="KK104" s="128">
        <v>0</v>
      </c>
      <c r="KL104" s="128">
        <v>0</v>
      </c>
      <c r="KM104" s="128">
        <v>5</v>
      </c>
      <c r="KN104" s="128">
        <v>3030000</v>
      </c>
      <c r="KO104" s="128">
        <v>2596000</v>
      </c>
      <c r="KP104" s="128">
        <v>2596000</v>
      </c>
      <c r="KT104" s="128">
        <v>0</v>
      </c>
      <c r="KU104" s="128">
        <v>0</v>
      </c>
      <c r="KV104" s="128">
        <v>0</v>
      </c>
      <c r="KZ104" s="128">
        <v>60000</v>
      </c>
      <c r="LA104" s="128">
        <v>20000</v>
      </c>
      <c r="LB104" s="128">
        <v>20000</v>
      </c>
      <c r="LF104" s="128">
        <v>8000</v>
      </c>
      <c r="LG104" s="128">
        <v>2000</v>
      </c>
      <c r="LH104" s="128">
        <v>2000</v>
      </c>
      <c r="LL104" s="128">
        <v>0</v>
      </c>
      <c r="LM104" s="128">
        <v>0</v>
      </c>
      <c r="LN104" s="128">
        <v>0</v>
      </c>
      <c r="LR104" s="128">
        <v>0</v>
      </c>
      <c r="LS104" s="128">
        <v>0</v>
      </c>
      <c r="LT104" s="128">
        <v>0</v>
      </c>
      <c r="LX104" s="128">
        <v>0</v>
      </c>
      <c r="LY104" s="128">
        <v>0</v>
      </c>
      <c r="LZ104" s="128">
        <v>0</v>
      </c>
      <c r="MD104" s="128">
        <v>20000</v>
      </c>
      <c r="ME104" s="128">
        <v>17000</v>
      </c>
      <c r="MF104" s="128">
        <v>17000</v>
      </c>
      <c r="MJ104" s="128">
        <v>6000</v>
      </c>
      <c r="MK104" s="128">
        <v>5100</v>
      </c>
      <c r="ML104" s="128">
        <v>5100</v>
      </c>
      <c r="MP104" s="128">
        <v>60000</v>
      </c>
      <c r="MQ104" s="128">
        <v>55000</v>
      </c>
      <c r="MR104" s="128">
        <v>55000</v>
      </c>
      <c r="MV104" s="128">
        <v>135000</v>
      </c>
      <c r="MW104" s="128">
        <v>115000</v>
      </c>
      <c r="MX104" s="128">
        <v>115000</v>
      </c>
      <c r="NB104" s="128">
        <v>10000</v>
      </c>
      <c r="NC104" s="128">
        <v>8500</v>
      </c>
      <c r="ND104" s="128">
        <v>8500</v>
      </c>
      <c r="NH104" s="128">
        <v>205000</v>
      </c>
      <c r="NI104" s="128">
        <v>190000</v>
      </c>
      <c r="NJ104" s="128">
        <v>190000</v>
      </c>
      <c r="NN104" s="128">
        <v>25000</v>
      </c>
      <c r="NO104" s="128">
        <v>21500</v>
      </c>
      <c r="NP104" s="128">
        <v>21500</v>
      </c>
      <c r="NT104" s="128">
        <v>30000</v>
      </c>
      <c r="NU104" s="128">
        <v>25500</v>
      </c>
      <c r="NV104" s="128">
        <v>25500</v>
      </c>
      <c r="NZ104" s="128">
        <v>20000</v>
      </c>
      <c r="OA104" s="128">
        <v>17000</v>
      </c>
      <c r="OB104" s="128">
        <v>17000</v>
      </c>
      <c r="OF104" s="128">
        <v>3000</v>
      </c>
      <c r="OG104" s="128">
        <v>2500</v>
      </c>
      <c r="OH104" s="128">
        <v>2500</v>
      </c>
      <c r="OL104" s="128">
        <v>0</v>
      </c>
      <c r="OM104" s="128">
        <v>0</v>
      </c>
      <c r="ON104" s="128">
        <v>0</v>
      </c>
      <c r="OR104" s="128">
        <v>0</v>
      </c>
      <c r="OS104" s="128">
        <v>0</v>
      </c>
      <c r="OT104" s="128">
        <v>0</v>
      </c>
      <c r="OX104" s="128">
        <v>55000</v>
      </c>
      <c r="OY104" s="128">
        <v>50000</v>
      </c>
      <c r="OZ104" s="128">
        <v>50000</v>
      </c>
      <c r="PD104" s="128">
        <v>15000</v>
      </c>
      <c r="PE104" s="128">
        <v>0</v>
      </c>
      <c r="PF104" s="128">
        <v>0</v>
      </c>
      <c r="PJ104" s="128">
        <v>20000</v>
      </c>
      <c r="PK104" s="128">
        <v>17000</v>
      </c>
      <c r="PL104" s="128">
        <v>17000</v>
      </c>
      <c r="PP104" s="128">
        <v>3702000</v>
      </c>
      <c r="PQ104" s="128">
        <v>3142100</v>
      </c>
      <c r="PR104" s="128">
        <v>3142100</v>
      </c>
      <c r="PS104" s="128">
        <v>100</v>
      </c>
      <c r="PT104" s="128">
        <v>100</v>
      </c>
      <c r="PX104" s="128">
        <v>315000</v>
      </c>
      <c r="PY104" s="128">
        <v>1688690</v>
      </c>
      <c r="PZ104" s="128">
        <v>3142100</v>
      </c>
      <c r="QA104" s="128">
        <v>0</v>
      </c>
      <c r="QB104" s="128">
        <v>0</v>
      </c>
      <c r="QC104" s="128">
        <v>0</v>
      </c>
      <c r="QD104" s="128">
        <v>0</v>
      </c>
      <c r="QE104" s="128">
        <v>0</v>
      </c>
      <c r="QF104" s="128">
        <v>0</v>
      </c>
      <c r="QG104" s="128">
        <v>0</v>
      </c>
      <c r="QH104" s="128">
        <v>0</v>
      </c>
      <c r="QI104" s="128">
        <v>0</v>
      </c>
      <c r="QJ104" s="128">
        <v>0</v>
      </c>
      <c r="QK104" s="128">
        <v>0</v>
      </c>
      <c r="QL104" s="128">
        <v>0</v>
      </c>
      <c r="QN104" s="128">
        <v>0</v>
      </c>
      <c r="QO104" s="128">
        <v>0</v>
      </c>
      <c r="QP104" s="128">
        <v>0</v>
      </c>
      <c r="QU104" s="128">
        <v>0</v>
      </c>
      <c r="QV104" s="128">
        <v>50000</v>
      </c>
      <c r="QW104" s="128">
        <v>300000</v>
      </c>
      <c r="QX104" s="128">
        <v>52000</v>
      </c>
      <c r="QY104" s="128">
        <v>156400</v>
      </c>
      <c r="QZ104" s="128">
        <v>200000</v>
      </c>
      <c r="RA104" s="128">
        <v>139382</v>
      </c>
      <c r="RB104" s="128">
        <v>120633</v>
      </c>
      <c r="RC104" s="128">
        <v>0</v>
      </c>
      <c r="RD104" s="128">
        <v>2780351</v>
      </c>
      <c r="RE104" s="128">
        <v>1479599</v>
      </c>
      <c r="RF104" s="128">
        <v>59900</v>
      </c>
      <c r="RH104" s="128">
        <f t="shared" si="209"/>
        <v>3702000</v>
      </c>
      <c r="RI104" s="128">
        <v>0</v>
      </c>
      <c r="RM104" s="128" t="s">
        <v>220</v>
      </c>
      <c r="RU104" s="130"/>
      <c r="RV104" s="130"/>
      <c r="RW104" s="130"/>
      <c r="RX104" s="130"/>
      <c r="SF104" s="128">
        <f t="shared" si="119"/>
        <v>7653065</v>
      </c>
      <c r="SG104" s="131">
        <f t="shared" si="120"/>
        <v>3702000</v>
      </c>
      <c r="SH104" s="131">
        <f t="shared" si="121"/>
        <v>3702000</v>
      </c>
      <c r="SI104" s="131">
        <f t="shared" si="122"/>
        <v>3098000</v>
      </c>
      <c r="SJ104" s="132">
        <f t="shared" si="123"/>
        <v>3030000</v>
      </c>
      <c r="SK104" s="132">
        <f t="shared" si="124"/>
        <v>0</v>
      </c>
      <c r="SL104" s="132">
        <f t="shared" si="125"/>
        <v>60000</v>
      </c>
      <c r="SM104" s="132">
        <f t="shared" si="126"/>
        <v>8000</v>
      </c>
      <c r="SN104" s="131">
        <f t="shared" si="127"/>
        <v>604000</v>
      </c>
      <c r="SO104" s="131">
        <f t="shared" si="128"/>
        <v>0</v>
      </c>
      <c r="SP104" s="132">
        <f t="shared" si="129"/>
        <v>0</v>
      </c>
      <c r="SQ104" s="132">
        <f t="shared" si="130"/>
        <v>0</v>
      </c>
      <c r="SR104" s="132">
        <f t="shared" si="131"/>
        <v>0</v>
      </c>
      <c r="SS104" s="132">
        <f t="shared" si="132"/>
        <v>20000</v>
      </c>
      <c r="ST104" s="132">
        <f t="shared" si="133"/>
        <v>6000</v>
      </c>
      <c r="SU104" s="132">
        <f t="shared" si="134"/>
        <v>60000</v>
      </c>
      <c r="SV104" s="131">
        <f t="shared" si="135"/>
        <v>483000</v>
      </c>
      <c r="SW104" s="132">
        <f t="shared" si="136"/>
        <v>135000</v>
      </c>
      <c r="SX104" s="132">
        <f t="shared" si="137"/>
        <v>10000</v>
      </c>
      <c r="SY104" s="132">
        <f t="shared" si="138"/>
        <v>205000</v>
      </c>
      <c r="SZ104" s="132">
        <f t="shared" si="139"/>
        <v>25000</v>
      </c>
      <c r="TA104" s="132">
        <f t="shared" si="140"/>
        <v>30000</v>
      </c>
      <c r="TB104" s="132">
        <f t="shared" si="141"/>
        <v>20000</v>
      </c>
      <c r="TC104" s="132">
        <f t="shared" si="142"/>
        <v>3000</v>
      </c>
      <c r="TD104" s="132">
        <f t="shared" si="143"/>
        <v>0</v>
      </c>
      <c r="TE104" s="132">
        <f t="shared" si="144"/>
        <v>0</v>
      </c>
      <c r="TF104" s="132">
        <f t="shared" si="145"/>
        <v>55000</v>
      </c>
      <c r="TG104" s="132">
        <f t="shared" si="146"/>
        <v>15000</v>
      </c>
      <c r="TH104" s="132">
        <f t="shared" si="147"/>
        <v>20000</v>
      </c>
      <c r="TI104" s="1"/>
      <c r="TJ104" s="131">
        <f t="shared" si="148"/>
        <v>3142100</v>
      </c>
      <c r="TK104" s="131">
        <f t="shared" si="149"/>
        <v>3142100</v>
      </c>
      <c r="TL104" s="131">
        <f t="shared" si="150"/>
        <v>2618000</v>
      </c>
      <c r="TM104" s="132">
        <f t="shared" si="151"/>
        <v>2596000</v>
      </c>
      <c r="TN104" s="132">
        <f t="shared" si="152"/>
        <v>0</v>
      </c>
      <c r="TO104" s="132">
        <f t="shared" si="153"/>
        <v>20000</v>
      </c>
      <c r="TP104" s="132">
        <f t="shared" si="154"/>
        <v>2000</v>
      </c>
      <c r="TQ104" s="131">
        <f t="shared" si="155"/>
        <v>524100</v>
      </c>
      <c r="TR104" s="131">
        <f t="shared" si="156"/>
        <v>0</v>
      </c>
      <c r="TS104" s="132">
        <f t="shared" si="157"/>
        <v>0</v>
      </c>
      <c r="TT104" s="132">
        <f t="shared" si="158"/>
        <v>0</v>
      </c>
      <c r="TU104" s="132">
        <f t="shared" si="159"/>
        <v>0</v>
      </c>
      <c r="TV104" s="132">
        <f t="shared" si="160"/>
        <v>17000</v>
      </c>
      <c r="TW104" s="132">
        <f t="shared" si="161"/>
        <v>5100</v>
      </c>
      <c r="TX104" s="132">
        <f t="shared" si="162"/>
        <v>55000</v>
      </c>
      <c r="TY104" s="131">
        <f t="shared" si="163"/>
        <v>430000</v>
      </c>
      <c r="TZ104" s="132">
        <f t="shared" si="164"/>
        <v>115000</v>
      </c>
      <c r="UA104" s="132">
        <f t="shared" si="165"/>
        <v>8500</v>
      </c>
      <c r="UB104" s="132">
        <f t="shared" si="166"/>
        <v>190000</v>
      </c>
      <c r="UC104" s="132">
        <f t="shared" si="167"/>
        <v>21500</v>
      </c>
      <c r="UD104" s="132">
        <f t="shared" si="168"/>
        <v>25500</v>
      </c>
      <c r="UE104" s="132">
        <f t="shared" si="169"/>
        <v>17000</v>
      </c>
      <c r="UF104" s="132">
        <f t="shared" si="170"/>
        <v>2500</v>
      </c>
      <c r="UG104" s="132">
        <f t="shared" si="171"/>
        <v>0</v>
      </c>
      <c r="UH104" s="132">
        <f t="shared" si="172"/>
        <v>0</v>
      </c>
      <c r="UI104" s="132">
        <f t="shared" si="173"/>
        <v>50000</v>
      </c>
      <c r="UJ104" s="132">
        <f t="shared" si="174"/>
        <v>0</v>
      </c>
      <c r="UK104" s="132">
        <f t="shared" si="175"/>
        <v>17000</v>
      </c>
      <c r="UL104" s="132">
        <f t="shared" si="210"/>
        <v>3142100</v>
      </c>
      <c r="UM104" s="131">
        <f t="shared" si="176"/>
        <v>3142100</v>
      </c>
      <c r="UN104" s="131">
        <f t="shared" si="177"/>
        <v>3142100</v>
      </c>
      <c r="UO104" s="131">
        <f t="shared" si="178"/>
        <v>2618000</v>
      </c>
      <c r="UP104" s="132">
        <f t="shared" si="179"/>
        <v>2596000</v>
      </c>
      <c r="UQ104" s="132">
        <f t="shared" si="180"/>
        <v>0</v>
      </c>
      <c r="UR104" s="132">
        <f t="shared" si="181"/>
        <v>20000</v>
      </c>
      <c r="US104" s="132">
        <f t="shared" si="182"/>
        <v>2000</v>
      </c>
      <c r="UT104" s="131">
        <f t="shared" si="183"/>
        <v>524100</v>
      </c>
      <c r="UU104" s="131">
        <f t="shared" si="184"/>
        <v>0</v>
      </c>
      <c r="UV104" s="132">
        <f t="shared" si="185"/>
        <v>0</v>
      </c>
      <c r="UW104" s="132">
        <f t="shared" si="186"/>
        <v>0</v>
      </c>
      <c r="UX104" s="132">
        <f t="shared" si="187"/>
        <v>0</v>
      </c>
      <c r="UY104" s="132">
        <f t="shared" si="188"/>
        <v>17000</v>
      </c>
      <c r="UZ104" s="132">
        <f t="shared" si="189"/>
        <v>5100</v>
      </c>
      <c r="VA104" s="132">
        <f t="shared" si="190"/>
        <v>55000</v>
      </c>
      <c r="VB104" s="131">
        <f t="shared" si="191"/>
        <v>430000</v>
      </c>
      <c r="VC104" s="132">
        <f t="shared" si="192"/>
        <v>115000</v>
      </c>
      <c r="VD104" s="132">
        <f t="shared" si="193"/>
        <v>8500</v>
      </c>
      <c r="VE104" s="132">
        <f t="shared" si="194"/>
        <v>190000</v>
      </c>
      <c r="VF104" s="132">
        <f t="shared" si="195"/>
        <v>21500</v>
      </c>
      <c r="VG104" s="132">
        <f t="shared" si="196"/>
        <v>25500</v>
      </c>
      <c r="VH104" s="132">
        <f t="shared" si="197"/>
        <v>17000</v>
      </c>
      <c r="VI104" s="132">
        <f t="shared" si="198"/>
        <v>2500</v>
      </c>
      <c r="VJ104" s="132">
        <f t="shared" si="199"/>
        <v>0</v>
      </c>
      <c r="VK104" s="132">
        <f t="shared" si="200"/>
        <v>0</v>
      </c>
      <c r="VL104" s="132">
        <f t="shared" si="201"/>
        <v>50000</v>
      </c>
      <c r="VM104" s="132">
        <f t="shared" si="202"/>
        <v>0</v>
      </c>
      <c r="VN104" s="132">
        <f t="shared" si="203"/>
        <v>17000</v>
      </c>
      <c r="VP104" s="845" t="str">
        <f>IFERROR(HLOOKUP(F104,'Hodnocení '!$C$1:$JH$5,2,FALSE),0)</f>
        <v>Sociálně terapeutická dílna Slunečnice</v>
      </c>
      <c r="VQ104" s="838"/>
      <c r="VR104" s="845" t="str">
        <f t="shared" si="211"/>
        <v>Církve a náboženské společnosti</v>
      </c>
      <c r="VS104" s="845" t="str">
        <f>IFERROR(HLOOKUP(F104,'Hodnocení '!$C$1:$JH$5,5,FALSE),0)</f>
        <v>NZO</v>
      </c>
      <c r="VT104" s="838">
        <f t="shared" si="212"/>
        <v>0</v>
      </c>
      <c r="VU104" s="838">
        <f t="shared" si="213"/>
        <v>0</v>
      </c>
      <c r="VV104" s="838">
        <f t="shared" si="214"/>
        <v>0</v>
      </c>
      <c r="VW104" s="838">
        <f t="shared" si="215"/>
        <v>0</v>
      </c>
      <c r="VX104" s="838"/>
      <c r="VY104" s="838">
        <f t="shared" si="216"/>
        <v>0</v>
      </c>
      <c r="VZ104" s="838">
        <f t="shared" si="217"/>
        <v>3142100</v>
      </c>
      <c r="WA104" s="846">
        <f>IFERROR(HLOOKUP($F104,'Hodnocení '!$C$1:$JH$9,9,FALSE),0)</f>
        <v>3142100</v>
      </c>
      <c r="WB104" s="846">
        <f>IF(IFERROR(HLOOKUP($F104,'Hodnocení '!$C$1:$JH$13,13,FALSE),0)&gt;WA104,WA104,IFERROR(HLOOKUP($F104,'Hodnocení '!$C$1:$JH$13,13,FALSE),0))</f>
        <v>3142100</v>
      </c>
      <c r="WC104" s="846">
        <f>IFERROR(HLOOKUP($F104,'Hodnocení '!$C$1:$JH$155,155,FALSE),0)</f>
        <v>0</v>
      </c>
      <c r="WD104" s="845"/>
      <c r="WE104" s="845"/>
      <c r="WF104" s="845" t="str">
        <f t="shared" si="204"/>
        <v>ANO</v>
      </c>
      <c r="WG104" s="849" t="str">
        <f t="shared" si="218"/>
        <v>Podpora služby je vyjádřena zařazením do sítě sociálních služeb v KHK a řešením financování služby</v>
      </c>
      <c r="WH104"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04" s="849" t="str">
        <f t="shared" si="218"/>
        <v>Návrh dotace je výsledkem projednání s ostatními zadavateli v rámci sítě služeb KHK</v>
      </c>
      <c r="WJ104" s="849" t="str">
        <f t="shared" si="218"/>
        <v>Bez komentáře</v>
      </c>
      <c r="WK104" s="31">
        <f t="shared" si="205"/>
        <v>0</v>
      </c>
      <c r="WL104" s="850">
        <f t="shared" si="206"/>
        <v>0</v>
      </c>
      <c r="WM104" s="849">
        <f t="shared" si="207"/>
        <v>0</v>
      </c>
      <c r="WN104" s="849">
        <f t="shared" si="208"/>
        <v>0</v>
      </c>
      <c r="WO104" s="849" t="str">
        <f t="shared" si="118"/>
        <v>bez komentáře</v>
      </c>
      <c r="WP104" s="849" t="str">
        <f t="shared" si="118"/>
        <v>bez komentáře</v>
      </c>
      <c r="WQ104" s="849" t="str">
        <f t="shared" si="118"/>
        <v>Konečná výše dotace z rozpočtu KHK bude řešena v návaznosti na řešení podílů jednotlivých zadavatelů.</v>
      </c>
      <c r="WR104" s="849" t="str">
        <f t="shared" si="118"/>
        <v>Konečná výše podpory ze stran obcí bude řešena v součinnosti s jednotlivými zadavateli v průběhu roku.</v>
      </c>
      <c r="WS104" s="849" t="str">
        <f t="shared" si="118"/>
        <v>bez komentáře</v>
      </c>
      <c r="WT104" s="849" t="str">
        <f t="shared" si="118"/>
        <v>bez komentáře</v>
      </c>
      <c r="WU104" s="845"/>
    </row>
    <row r="105" spans="1:619" s="128" customFormat="1" x14ac:dyDescent="0.25">
      <c r="A105" s="128" t="str">
        <f>VLOOKUP(F105,'Výpočet VP 2020'!$D$324:$I$588,6,FALSE)</f>
        <v>Je v síti</v>
      </c>
      <c r="B105" s="128" t="s">
        <v>553</v>
      </c>
      <c r="C105" s="128">
        <v>43464637</v>
      </c>
      <c r="D105" s="128" t="s">
        <v>554</v>
      </c>
      <c r="E105" s="128" t="s">
        <v>360</v>
      </c>
      <c r="F105" s="128">
        <v>8102124</v>
      </c>
      <c r="G105" s="128" t="s">
        <v>538</v>
      </c>
      <c r="H105" s="128" t="s">
        <v>230</v>
      </c>
      <c r="I105" s="128" t="s">
        <v>563</v>
      </c>
      <c r="J105" s="129">
        <v>39448</v>
      </c>
      <c r="L105" s="128" t="s">
        <v>220</v>
      </c>
      <c r="X105" s="128" t="s">
        <v>564</v>
      </c>
      <c r="Z105" s="128">
        <v>25</v>
      </c>
      <c r="AA105" s="128">
        <v>25</v>
      </c>
      <c r="AB105" s="128">
        <v>54</v>
      </c>
      <c r="AC105" s="128">
        <v>57</v>
      </c>
      <c r="AD105" s="128">
        <v>62</v>
      </c>
      <c r="AP105" s="128" t="s">
        <v>232</v>
      </c>
      <c r="AQ105" s="128">
        <v>10</v>
      </c>
      <c r="AR105" s="128">
        <v>10</v>
      </c>
      <c r="AS105" s="128">
        <v>0</v>
      </c>
      <c r="AT105" s="128">
        <v>10</v>
      </c>
      <c r="AU105" s="128">
        <v>30</v>
      </c>
      <c r="BK105" s="128" t="s">
        <v>565</v>
      </c>
      <c r="BL105" s="128" t="s">
        <v>566</v>
      </c>
      <c r="BM105" s="128" t="s">
        <v>542</v>
      </c>
      <c r="BN105" s="128" t="s">
        <v>567</v>
      </c>
      <c r="EK105" s="128">
        <v>1</v>
      </c>
      <c r="EL105" s="128">
        <v>0.2</v>
      </c>
      <c r="EM105" s="128">
        <v>1.1000000000000001</v>
      </c>
      <c r="EN105" s="128">
        <v>115000</v>
      </c>
      <c r="EO105" s="128">
        <v>98000</v>
      </c>
      <c r="EP105" s="128">
        <v>3</v>
      </c>
      <c r="EQ105" s="128">
        <v>1.75</v>
      </c>
      <c r="ER105" s="128">
        <v>0.74</v>
      </c>
      <c r="ES105" s="128">
        <v>705000</v>
      </c>
      <c r="ET105" s="128">
        <v>600000</v>
      </c>
      <c r="FO105" s="128">
        <v>11</v>
      </c>
      <c r="FP105" s="128">
        <v>0.93</v>
      </c>
      <c r="FQ105" s="128">
        <v>0.78</v>
      </c>
      <c r="FR105" s="128">
        <v>525000</v>
      </c>
      <c r="FS105" s="128">
        <v>446000</v>
      </c>
      <c r="IS105" s="128">
        <v>1</v>
      </c>
      <c r="IT105" s="128">
        <v>120</v>
      </c>
      <c r="IU105" s="128">
        <v>5.7000000000000002E-2</v>
      </c>
      <c r="IV105" s="128">
        <v>12000</v>
      </c>
      <c r="IW105" s="128">
        <v>10000</v>
      </c>
      <c r="KG105" s="128">
        <v>0</v>
      </c>
      <c r="KI105" s="128">
        <v>1.95</v>
      </c>
      <c r="KJ105" s="128">
        <v>0</v>
      </c>
      <c r="KK105" s="128">
        <v>0</v>
      </c>
      <c r="KL105" s="128">
        <v>0</v>
      </c>
      <c r="KM105" s="128">
        <v>1.95</v>
      </c>
      <c r="KN105" s="128">
        <v>1345000</v>
      </c>
      <c r="KO105" s="128">
        <v>1144000</v>
      </c>
      <c r="KP105" s="128">
        <v>1144000</v>
      </c>
      <c r="KT105" s="128">
        <v>0</v>
      </c>
      <c r="KU105" s="128">
        <v>0</v>
      </c>
      <c r="KV105" s="128">
        <v>0</v>
      </c>
      <c r="KZ105" s="128">
        <v>12000</v>
      </c>
      <c r="LA105" s="128">
        <v>10000</v>
      </c>
      <c r="LB105" s="128">
        <v>10000</v>
      </c>
      <c r="LF105" s="128">
        <v>2000</v>
      </c>
      <c r="LG105" s="128">
        <v>1000</v>
      </c>
      <c r="LH105" s="128">
        <v>1000</v>
      </c>
      <c r="LL105" s="128">
        <v>0</v>
      </c>
      <c r="LM105" s="128">
        <v>0</v>
      </c>
      <c r="LN105" s="128">
        <v>0</v>
      </c>
      <c r="LR105" s="128">
        <v>0</v>
      </c>
      <c r="LS105" s="128">
        <v>0</v>
      </c>
      <c r="LT105" s="128">
        <v>0</v>
      </c>
      <c r="LX105" s="128">
        <v>0</v>
      </c>
      <c r="LY105" s="128">
        <v>0</v>
      </c>
      <c r="LZ105" s="128">
        <v>0</v>
      </c>
      <c r="MD105" s="128">
        <v>5000</v>
      </c>
      <c r="ME105" s="128">
        <v>4300</v>
      </c>
      <c r="MF105" s="128">
        <v>4300</v>
      </c>
      <c r="MJ105" s="128">
        <v>5000</v>
      </c>
      <c r="MK105" s="128">
        <v>4300</v>
      </c>
      <c r="ML105" s="128">
        <v>4300</v>
      </c>
      <c r="MP105" s="128">
        <v>55000</v>
      </c>
      <c r="MQ105" s="128">
        <v>47000</v>
      </c>
      <c r="MR105" s="128">
        <v>47000</v>
      </c>
      <c r="MV105" s="128">
        <v>15000</v>
      </c>
      <c r="MW105" s="128">
        <v>13000</v>
      </c>
      <c r="MX105" s="128">
        <v>13000</v>
      </c>
      <c r="NB105" s="128">
        <v>4500</v>
      </c>
      <c r="NC105" s="128">
        <v>3800</v>
      </c>
      <c r="ND105" s="128">
        <v>3800</v>
      </c>
      <c r="NH105" s="128">
        <v>145000</v>
      </c>
      <c r="NI105" s="128">
        <v>124000</v>
      </c>
      <c r="NJ105" s="128">
        <v>124000</v>
      </c>
      <c r="NN105" s="128">
        <v>10000</v>
      </c>
      <c r="NO105" s="128">
        <v>8500</v>
      </c>
      <c r="NP105" s="128">
        <v>8500</v>
      </c>
      <c r="NT105" s="128">
        <v>25000</v>
      </c>
      <c r="NU105" s="128">
        <v>21500</v>
      </c>
      <c r="NV105" s="128">
        <v>21500</v>
      </c>
      <c r="NZ105" s="128">
        <v>6000</v>
      </c>
      <c r="OA105" s="128">
        <v>4100</v>
      </c>
      <c r="OB105" s="128">
        <v>4100</v>
      </c>
      <c r="OF105" s="128">
        <v>2500</v>
      </c>
      <c r="OG105" s="128">
        <v>2000</v>
      </c>
      <c r="OH105" s="128">
        <v>2000</v>
      </c>
      <c r="OL105" s="128">
        <v>0</v>
      </c>
      <c r="OM105" s="128">
        <v>0</v>
      </c>
      <c r="ON105" s="128">
        <v>0</v>
      </c>
      <c r="OR105" s="128">
        <v>0</v>
      </c>
      <c r="OS105" s="128">
        <v>0</v>
      </c>
      <c r="OT105" s="128">
        <v>0</v>
      </c>
      <c r="OX105" s="128">
        <v>30000</v>
      </c>
      <c r="OY105" s="128">
        <v>25000</v>
      </c>
      <c r="OZ105" s="128">
        <v>25000</v>
      </c>
      <c r="PD105" s="128">
        <v>0</v>
      </c>
      <c r="PE105" s="128">
        <v>0</v>
      </c>
      <c r="PF105" s="128">
        <v>0</v>
      </c>
      <c r="PJ105" s="128">
        <v>4500</v>
      </c>
      <c r="PK105" s="128">
        <v>3800</v>
      </c>
      <c r="PL105" s="128">
        <v>3800</v>
      </c>
      <c r="PP105" s="128">
        <v>1666500</v>
      </c>
      <c r="PQ105" s="128">
        <v>1416300</v>
      </c>
      <c r="PR105" s="128">
        <v>1416300</v>
      </c>
      <c r="PS105" s="128">
        <v>100</v>
      </c>
      <c r="PT105" s="128">
        <v>100</v>
      </c>
      <c r="PX105" s="128">
        <v>824840</v>
      </c>
      <c r="PY105" s="128">
        <v>860440</v>
      </c>
      <c r="PZ105" s="128">
        <v>1416300</v>
      </c>
      <c r="QA105" s="128">
        <v>0</v>
      </c>
      <c r="QB105" s="128">
        <v>0</v>
      </c>
      <c r="QC105" s="128">
        <v>0</v>
      </c>
      <c r="QD105" s="128">
        <v>0</v>
      </c>
      <c r="QE105" s="128">
        <v>0</v>
      </c>
      <c r="QF105" s="128">
        <v>0</v>
      </c>
      <c r="QG105" s="128">
        <v>0</v>
      </c>
      <c r="QH105" s="128">
        <v>0</v>
      </c>
      <c r="QI105" s="128">
        <v>0</v>
      </c>
      <c r="QJ105" s="128">
        <v>0</v>
      </c>
      <c r="QK105" s="128">
        <v>0</v>
      </c>
      <c r="QL105" s="128">
        <v>0</v>
      </c>
      <c r="QN105" s="128">
        <v>0</v>
      </c>
      <c r="QO105" s="128">
        <v>0</v>
      </c>
      <c r="QP105" s="128">
        <v>0</v>
      </c>
      <c r="QU105" s="128">
        <v>144095</v>
      </c>
      <c r="QV105" s="128">
        <v>283832</v>
      </c>
      <c r="QW105" s="128">
        <v>45000</v>
      </c>
      <c r="QX105" s="128">
        <v>160000</v>
      </c>
      <c r="QY105" s="128">
        <v>156400</v>
      </c>
      <c r="QZ105" s="128">
        <v>200000</v>
      </c>
      <c r="RA105" s="128">
        <v>122639</v>
      </c>
      <c r="RB105" s="128">
        <v>120077</v>
      </c>
      <c r="RC105" s="128">
        <v>0</v>
      </c>
      <c r="RD105" s="128">
        <v>34026</v>
      </c>
      <c r="RE105" s="128">
        <v>15030</v>
      </c>
      <c r="RF105" s="128">
        <v>5200</v>
      </c>
      <c r="RH105" s="128">
        <f t="shared" si="209"/>
        <v>1666500</v>
      </c>
      <c r="RI105" s="128">
        <v>0</v>
      </c>
      <c r="RM105" s="128" t="s">
        <v>220</v>
      </c>
      <c r="RU105" s="130"/>
      <c r="RV105" s="130"/>
      <c r="RW105" s="130"/>
      <c r="RX105" s="130"/>
      <c r="SF105" s="128">
        <f t="shared" si="119"/>
        <v>8102124</v>
      </c>
      <c r="SG105" s="131">
        <f t="shared" si="120"/>
        <v>1666500</v>
      </c>
      <c r="SH105" s="131">
        <f t="shared" si="121"/>
        <v>1666500</v>
      </c>
      <c r="SI105" s="131">
        <f t="shared" si="122"/>
        <v>1359000</v>
      </c>
      <c r="SJ105" s="132">
        <f t="shared" si="123"/>
        <v>1345000</v>
      </c>
      <c r="SK105" s="132">
        <f t="shared" si="124"/>
        <v>0</v>
      </c>
      <c r="SL105" s="132">
        <f t="shared" si="125"/>
        <v>12000</v>
      </c>
      <c r="SM105" s="132">
        <f t="shared" si="126"/>
        <v>2000</v>
      </c>
      <c r="SN105" s="131">
        <f t="shared" si="127"/>
        <v>307500</v>
      </c>
      <c r="SO105" s="131">
        <f t="shared" si="128"/>
        <v>0</v>
      </c>
      <c r="SP105" s="132">
        <f t="shared" si="129"/>
        <v>0</v>
      </c>
      <c r="SQ105" s="132">
        <f t="shared" si="130"/>
        <v>0</v>
      </c>
      <c r="SR105" s="132">
        <f t="shared" si="131"/>
        <v>0</v>
      </c>
      <c r="SS105" s="132">
        <f t="shared" si="132"/>
        <v>5000</v>
      </c>
      <c r="ST105" s="132">
        <f t="shared" si="133"/>
        <v>5000</v>
      </c>
      <c r="SU105" s="132">
        <f t="shared" si="134"/>
        <v>55000</v>
      </c>
      <c r="SV105" s="131">
        <f t="shared" si="135"/>
        <v>238000</v>
      </c>
      <c r="SW105" s="132">
        <f t="shared" si="136"/>
        <v>15000</v>
      </c>
      <c r="SX105" s="132">
        <f t="shared" si="137"/>
        <v>4500</v>
      </c>
      <c r="SY105" s="132">
        <f t="shared" si="138"/>
        <v>145000</v>
      </c>
      <c r="SZ105" s="132">
        <f t="shared" si="139"/>
        <v>10000</v>
      </c>
      <c r="TA105" s="132">
        <f t="shared" si="140"/>
        <v>25000</v>
      </c>
      <c r="TB105" s="132">
        <f t="shared" si="141"/>
        <v>6000</v>
      </c>
      <c r="TC105" s="132">
        <f t="shared" si="142"/>
        <v>2500</v>
      </c>
      <c r="TD105" s="132">
        <f t="shared" si="143"/>
        <v>0</v>
      </c>
      <c r="TE105" s="132">
        <f t="shared" si="144"/>
        <v>0</v>
      </c>
      <c r="TF105" s="132">
        <f t="shared" si="145"/>
        <v>30000</v>
      </c>
      <c r="TG105" s="132">
        <f t="shared" si="146"/>
        <v>0</v>
      </c>
      <c r="TH105" s="132">
        <f t="shared" si="147"/>
        <v>4500</v>
      </c>
      <c r="TI105" s="1"/>
      <c r="TJ105" s="131">
        <f t="shared" si="148"/>
        <v>1416300</v>
      </c>
      <c r="TK105" s="131">
        <f t="shared" si="149"/>
        <v>1416300</v>
      </c>
      <c r="TL105" s="131">
        <f t="shared" si="150"/>
        <v>1155000</v>
      </c>
      <c r="TM105" s="132">
        <f t="shared" si="151"/>
        <v>1144000</v>
      </c>
      <c r="TN105" s="132">
        <f t="shared" si="152"/>
        <v>0</v>
      </c>
      <c r="TO105" s="132">
        <f t="shared" si="153"/>
        <v>10000</v>
      </c>
      <c r="TP105" s="132">
        <f t="shared" si="154"/>
        <v>1000</v>
      </c>
      <c r="TQ105" s="131">
        <f t="shared" si="155"/>
        <v>261300</v>
      </c>
      <c r="TR105" s="131">
        <f t="shared" si="156"/>
        <v>0</v>
      </c>
      <c r="TS105" s="132">
        <f t="shared" si="157"/>
        <v>0</v>
      </c>
      <c r="TT105" s="132">
        <f t="shared" si="158"/>
        <v>0</v>
      </c>
      <c r="TU105" s="132">
        <f t="shared" si="159"/>
        <v>0</v>
      </c>
      <c r="TV105" s="132">
        <f t="shared" si="160"/>
        <v>4300</v>
      </c>
      <c r="TW105" s="132">
        <f t="shared" si="161"/>
        <v>4300</v>
      </c>
      <c r="TX105" s="132">
        <f t="shared" si="162"/>
        <v>47000</v>
      </c>
      <c r="TY105" s="131">
        <f t="shared" si="163"/>
        <v>201900</v>
      </c>
      <c r="TZ105" s="132">
        <f t="shared" si="164"/>
        <v>13000</v>
      </c>
      <c r="UA105" s="132">
        <f t="shared" si="165"/>
        <v>3800</v>
      </c>
      <c r="UB105" s="132">
        <f t="shared" si="166"/>
        <v>124000</v>
      </c>
      <c r="UC105" s="132">
        <f t="shared" si="167"/>
        <v>8500</v>
      </c>
      <c r="UD105" s="132">
        <f t="shared" si="168"/>
        <v>21500</v>
      </c>
      <c r="UE105" s="132">
        <f t="shared" si="169"/>
        <v>4100</v>
      </c>
      <c r="UF105" s="132">
        <f t="shared" si="170"/>
        <v>2000</v>
      </c>
      <c r="UG105" s="132">
        <f t="shared" si="171"/>
        <v>0</v>
      </c>
      <c r="UH105" s="132">
        <f t="shared" si="172"/>
        <v>0</v>
      </c>
      <c r="UI105" s="132">
        <f t="shared" si="173"/>
        <v>25000</v>
      </c>
      <c r="UJ105" s="132">
        <f t="shared" si="174"/>
        <v>0</v>
      </c>
      <c r="UK105" s="132">
        <f t="shared" si="175"/>
        <v>3800</v>
      </c>
      <c r="UL105" s="132">
        <f t="shared" si="210"/>
        <v>1416300</v>
      </c>
      <c r="UM105" s="131">
        <f t="shared" si="176"/>
        <v>1416300</v>
      </c>
      <c r="UN105" s="131">
        <f t="shared" si="177"/>
        <v>1416300</v>
      </c>
      <c r="UO105" s="131">
        <f t="shared" si="178"/>
        <v>1155000</v>
      </c>
      <c r="UP105" s="132">
        <f t="shared" si="179"/>
        <v>1144000</v>
      </c>
      <c r="UQ105" s="132">
        <f t="shared" si="180"/>
        <v>0</v>
      </c>
      <c r="UR105" s="132">
        <f t="shared" si="181"/>
        <v>10000</v>
      </c>
      <c r="US105" s="132">
        <f t="shared" si="182"/>
        <v>1000</v>
      </c>
      <c r="UT105" s="131">
        <f t="shared" si="183"/>
        <v>261300</v>
      </c>
      <c r="UU105" s="131">
        <f t="shared" si="184"/>
        <v>0</v>
      </c>
      <c r="UV105" s="132">
        <f t="shared" si="185"/>
        <v>0</v>
      </c>
      <c r="UW105" s="132">
        <f t="shared" si="186"/>
        <v>0</v>
      </c>
      <c r="UX105" s="132">
        <f t="shared" si="187"/>
        <v>0</v>
      </c>
      <c r="UY105" s="132">
        <f t="shared" si="188"/>
        <v>4300</v>
      </c>
      <c r="UZ105" s="132">
        <f t="shared" si="189"/>
        <v>4300</v>
      </c>
      <c r="VA105" s="132">
        <f t="shared" si="190"/>
        <v>47000</v>
      </c>
      <c r="VB105" s="131">
        <f t="shared" si="191"/>
        <v>201900</v>
      </c>
      <c r="VC105" s="132">
        <f t="shared" si="192"/>
        <v>13000</v>
      </c>
      <c r="VD105" s="132">
        <f t="shared" si="193"/>
        <v>3800</v>
      </c>
      <c r="VE105" s="132">
        <f t="shared" si="194"/>
        <v>124000</v>
      </c>
      <c r="VF105" s="132">
        <f t="shared" si="195"/>
        <v>8500</v>
      </c>
      <c r="VG105" s="132">
        <f t="shared" si="196"/>
        <v>21500</v>
      </c>
      <c r="VH105" s="132">
        <f t="shared" si="197"/>
        <v>4100</v>
      </c>
      <c r="VI105" s="132">
        <f t="shared" si="198"/>
        <v>2000</v>
      </c>
      <c r="VJ105" s="132">
        <f t="shared" si="199"/>
        <v>0</v>
      </c>
      <c r="VK105" s="132">
        <f t="shared" si="200"/>
        <v>0</v>
      </c>
      <c r="VL105" s="132">
        <f t="shared" si="201"/>
        <v>25000</v>
      </c>
      <c r="VM105" s="132">
        <f t="shared" si="202"/>
        <v>0</v>
      </c>
      <c r="VN105" s="132">
        <f t="shared" si="203"/>
        <v>3800</v>
      </c>
      <c r="VP105" s="845" t="str">
        <f>IFERROR(HLOOKUP(F105,'Hodnocení '!$C$1:$JH$5,2,FALSE),0)</f>
        <v>Nízkoprahové zařízení pro děti a mládež Střelka</v>
      </c>
      <c r="VQ105" s="838"/>
      <c r="VR105" s="845" t="str">
        <f t="shared" si="211"/>
        <v>Církve a náboženské společnosti</v>
      </c>
      <c r="VS105" s="845" t="str">
        <f>IFERROR(HLOOKUP(F105,'Hodnocení '!$C$1:$JH$5,5,FALSE),0)</f>
        <v>NZO</v>
      </c>
      <c r="VT105" s="838">
        <f t="shared" si="212"/>
        <v>0</v>
      </c>
      <c r="VU105" s="838">
        <f t="shared" si="213"/>
        <v>0</v>
      </c>
      <c r="VV105" s="838">
        <f t="shared" si="214"/>
        <v>0</v>
      </c>
      <c r="VW105" s="838">
        <f t="shared" si="215"/>
        <v>0</v>
      </c>
      <c r="VX105" s="838"/>
      <c r="VY105" s="838">
        <f t="shared" si="216"/>
        <v>0</v>
      </c>
      <c r="VZ105" s="838">
        <f t="shared" si="217"/>
        <v>1416300</v>
      </c>
      <c r="WA105" s="846">
        <f>IFERROR(HLOOKUP($F105,'Hodnocení '!$C$1:$JH$9,9,FALSE),0)</f>
        <v>1416300</v>
      </c>
      <c r="WB105" s="846">
        <f>IF(IFERROR(HLOOKUP($F105,'Hodnocení '!$C$1:$JH$13,13,FALSE),0)&gt;WA105,WA105,IFERROR(HLOOKUP($F105,'Hodnocení '!$C$1:$JH$13,13,FALSE),0))</f>
        <v>1051886.2833224081</v>
      </c>
      <c r="WC105" s="846">
        <f>IFERROR(HLOOKUP($F105,'Hodnocení '!$C$1:$JH$155,155,FALSE),0)</f>
        <v>992220</v>
      </c>
      <c r="WD105" s="845"/>
      <c r="WE105" s="845"/>
      <c r="WF105" s="845" t="str">
        <f t="shared" si="204"/>
        <v>ANO</v>
      </c>
      <c r="WG105" s="849" t="str">
        <f t="shared" si="218"/>
        <v>Podpora služby je vyjádřena zařazením do sítě sociálních služeb v KHK a řešením financování služby</v>
      </c>
      <c r="WH105"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05" s="849" t="str">
        <f t="shared" si="218"/>
        <v>Návrh dotace je výsledkem projednání s ostatními zadavateli v rámci sítě služeb KHK</v>
      </c>
      <c r="WJ105" s="849" t="str">
        <f t="shared" si="218"/>
        <v>Bez komentáře</v>
      </c>
      <c r="WK105" s="31">
        <f t="shared" si="205"/>
        <v>0</v>
      </c>
      <c r="WL105" s="850">
        <f t="shared" si="206"/>
        <v>0</v>
      </c>
      <c r="WM105" s="849">
        <f t="shared" si="207"/>
        <v>0</v>
      </c>
      <c r="WN105" s="849">
        <f t="shared" si="208"/>
        <v>0</v>
      </c>
      <c r="WO105" s="849" t="str">
        <f t="shared" si="118"/>
        <v>bez komentáře</v>
      </c>
      <c r="WP105" s="849" t="str">
        <f t="shared" si="118"/>
        <v>bez komentáře</v>
      </c>
      <c r="WQ105" s="849" t="str">
        <f t="shared" si="118"/>
        <v>Konečná výše dotace z rozpočtu KHK bude řešena v návaznosti na řešení podílů jednotlivých zadavatelů.</v>
      </c>
      <c r="WR105" s="849" t="str">
        <f t="shared" si="118"/>
        <v>Konečná výše podpory ze stran obcí bude řešena v součinnosti s jednotlivými zadavateli v průběhu roku.</v>
      </c>
      <c r="WS105" s="849" t="str">
        <f t="shared" si="118"/>
        <v>bez komentáře</v>
      </c>
      <c r="WT105" s="849" t="str">
        <f t="shared" si="118"/>
        <v>bez komentáře</v>
      </c>
      <c r="WU105" s="845"/>
    </row>
    <row r="106" spans="1:619" s="128" customFormat="1" x14ac:dyDescent="0.25">
      <c r="A106" s="128" t="str">
        <f>VLOOKUP(F106,'Výpočet VP 2020'!$D$324:$I$588,6,FALSE)</f>
        <v>Je v síti</v>
      </c>
      <c r="B106" s="128" t="s">
        <v>553</v>
      </c>
      <c r="C106" s="128">
        <v>43464637</v>
      </c>
      <c r="D106" s="128" t="s">
        <v>554</v>
      </c>
      <c r="E106" s="128" t="s">
        <v>360</v>
      </c>
      <c r="F106" s="128">
        <v>8289298</v>
      </c>
      <c r="G106" s="128" t="s">
        <v>292</v>
      </c>
      <c r="H106" s="128" t="s">
        <v>293</v>
      </c>
      <c r="I106" s="128" t="s">
        <v>560</v>
      </c>
      <c r="J106" s="129">
        <v>38322</v>
      </c>
      <c r="L106" s="128" t="s">
        <v>220</v>
      </c>
      <c r="X106" s="128" t="s">
        <v>335</v>
      </c>
      <c r="AI106" s="128">
        <v>3</v>
      </c>
      <c r="AJ106" s="128">
        <v>24</v>
      </c>
      <c r="AK106" s="128">
        <v>1371</v>
      </c>
      <c r="AL106" s="128">
        <v>1870</v>
      </c>
      <c r="AM106" s="128">
        <v>2520</v>
      </c>
      <c r="BL106" s="128" t="s">
        <v>561</v>
      </c>
      <c r="BM106" s="128" t="s">
        <v>340</v>
      </c>
      <c r="BN106" s="128" t="s">
        <v>424</v>
      </c>
      <c r="EK106" s="128">
        <v>5</v>
      </c>
      <c r="EL106" s="128">
        <v>2.2999999999999998</v>
      </c>
      <c r="EM106" s="128">
        <v>1.5</v>
      </c>
      <c r="EN106" s="128">
        <v>1325000</v>
      </c>
      <c r="EO106" s="128">
        <v>1100000</v>
      </c>
      <c r="FO106" s="128">
        <v>11</v>
      </c>
      <c r="FP106" s="128">
        <v>1.1299999999999999</v>
      </c>
      <c r="FQ106" s="128">
        <v>0.86</v>
      </c>
      <c r="FR106" s="128">
        <v>640000</v>
      </c>
      <c r="FS106" s="128">
        <v>525000</v>
      </c>
      <c r="IH106" s="128">
        <v>2</v>
      </c>
      <c r="II106" s="128">
        <v>0.2</v>
      </c>
      <c r="IJ106" s="128">
        <v>24</v>
      </c>
      <c r="IK106" s="128">
        <v>0.2</v>
      </c>
      <c r="IL106" s="128">
        <v>24000</v>
      </c>
      <c r="IM106" s="128">
        <v>20000</v>
      </c>
      <c r="IS106" s="128">
        <v>2</v>
      </c>
      <c r="IT106" s="128">
        <v>86</v>
      </c>
      <c r="IU106" s="128">
        <v>4.1000000000000002E-2</v>
      </c>
      <c r="IV106" s="128">
        <v>12200</v>
      </c>
      <c r="IW106" s="128">
        <v>10000</v>
      </c>
      <c r="KG106" s="128">
        <v>0</v>
      </c>
      <c r="KI106" s="128">
        <v>2.2999999999999998</v>
      </c>
      <c r="KJ106" s="128">
        <v>0</v>
      </c>
      <c r="KK106" s="128">
        <v>0</v>
      </c>
      <c r="KL106" s="128">
        <v>0</v>
      </c>
      <c r="KM106" s="128">
        <v>2.2999999999999998</v>
      </c>
      <c r="KN106" s="128">
        <v>1965000</v>
      </c>
      <c r="KO106" s="128">
        <v>1625000</v>
      </c>
      <c r="KP106" s="128">
        <v>1625000</v>
      </c>
      <c r="KT106" s="128">
        <v>24000</v>
      </c>
      <c r="KU106" s="128">
        <v>20000</v>
      </c>
      <c r="KV106" s="128">
        <v>20000</v>
      </c>
      <c r="KZ106" s="128">
        <v>12200</v>
      </c>
      <c r="LA106" s="128">
        <v>10000</v>
      </c>
      <c r="LB106" s="128">
        <v>10000</v>
      </c>
      <c r="LF106" s="128">
        <v>4000</v>
      </c>
      <c r="LG106" s="128">
        <v>2000</v>
      </c>
      <c r="LH106" s="128">
        <v>2000</v>
      </c>
      <c r="LL106" s="128">
        <v>0</v>
      </c>
      <c r="LM106" s="128">
        <v>0</v>
      </c>
      <c r="LN106" s="128">
        <v>0</v>
      </c>
      <c r="LR106" s="128">
        <v>0</v>
      </c>
      <c r="LS106" s="128">
        <v>0</v>
      </c>
      <c r="LT106" s="128">
        <v>0</v>
      </c>
      <c r="LX106" s="128">
        <v>0</v>
      </c>
      <c r="LY106" s="128">
        <v>0</v>
      </c>
      <c r="LZ106" s="128">
        <v>0</v>
      </c>
      <c r="MD106" s="128">
        <v>20000</v>
      </c>
      <c r="ME106" s="128">
        <v>17000</v>
      </c>
      <c r="MF106" s="128">
        <v>17000</v>
      </c>
      <c r="MJ106" s="128">
        <v>10000</v>
      </c>
      <c r="MK106" s="128">
        <v>8500</v>
      </c>
      <c r="ML106" s="128">
        <v>8500</v>
      </c>
      <c r="MP106" s="128">
        <v>30000</v>
      </c>
      <c r="MQ106" s="128">
        <v>23000</v>
      </c>
      <c r="MR106" s="128">
        <v>23000</v>
      </c>
      <c r="MV106" s="128">
        <v>25000</v>
      </c>
      <c r="MW106" s="128">
        <v>21500</v>
      </c>
      <c r="MX106" s="128">
        <v>21500</v>
      </c>
      <c r="NB106" s="128">
        <v>16000</v>
      </c>
      <c r="NC106" s="128">
        <v>13000</v>
      </c>
      <c r="ND106" s="128">
        <v>13000</v>
      </c>
      <c r="NH106" s="128">
        <v>185500</v>
      </c>
      <c r="NI106" s="128">
        <v>148000</v>
      </c>
      <c r="NJ106" s="128">
        <v>148000</v>
      </c>
      <c r="NN106" s="128">
        <v>15000</v>
      </c>
      <c r="NO106" s="128">
        <v>12500</v>
      </c>
      <c r="NP106" s="128">
        <v>12500</v>
      </c>
      <c r="NT106" s="128">
        <v>20000</v>
      </c>
      <c r="NU106" s="128">
        <v>11000</v>
      </c>
      <c r="NV106" s="128">
        <v>11000</v>
      </c>
      <c r="NZ106" s="128">
        <v>5000</v>
      </c>
      <c r="OA106" s="128">
        <v>3000</v>
      </c>
      <c r="OB106" s="128">
        <v>3000</v>
      </c>
      <c r="OF106" s="128">
        <v>10000</v>
      </c>
      <c r="OG106" s="128">
        <v>5500</v>
      </c>
      <c r="OH106" s="128">
        <v>5500</v>
      </c>
      <c r="OL106" s="128">
        <v>0</v>
      </c>
      <c r="OM106" s="128">
        <v>0</v>
      </c>
      <c r="ON106" s="128">
        <v>0</v>
      </c>
      <c r="OR106" s="128">
        <v>0</v>
      </c>
      <c r="OS106" s="128">
        <v>0</v>
      </c>
      <c r="OT106" s="128">
        <v>0</v>
      </c>
      <c r="OX106" s="128">
        <v>6000</v>
      </c>
      <c r="OY106" s="128">
        <v>5000</v>
      </c>
      <c r="OZ106" s="128">
        <v>5000</v>
      </c>
      <c r="PD106" s="128">
        <v>12000</v>
      </c>
      <c r="PE106" s="128">
        <v>0</v>
      </c>
      <c r="PF106" s="128">
        <v>0</v>
      </c>
      <c r="PJ106" s="128">
        <v>5500</v>
      </c>
      <c r="PK106" s="128">
        <v>4000</v>
      </c>
      <c r="PL106" s="128">
        <v>4000</v>
      </c>
      <c r="PP106" s="128">
        <v>2365200</v>
      </c>
      <c r="PQ106" s="128">
        <v>1929000</v>
      </c>
      <c r="PR106" s="128">
        <v>1929000</v>
      </c>
      <c r="PS106" s="128">
        <v>100</v>
      </c>
      <c r="PT106" s="128">
        <v>100</v>
      </c>
      <c r="PX106" s="128">
        <v>822940</v>
      </c>
      <c r="PY106" s="128">
        <v>1090591</v>
      </c>
      <c r="PZ106" s="128">
        <v>1929000</v>
      </c>
      <c r="QA106" s="128">
        <v>108000</v>
      </c>
      <c r="QB106" s="128">
        <v>0</v>
      </c>
      <c r="QC106" s="128">
        <v>0</v>
      </c>
      <c r="QD106" s="128">
        <v>0</v>
      </c>
      <c r="QE106" s="128">
        <v>0</v>
      </c>
      <c r="QF106" s="128">
        <v>0</v>
      </c>
      <c r="QG106" s="128">
        <v>0</v>
      </c>
      <c r="QH106" s="128">
        <v>0</v>
      </c>
      <c r="QI106" s="128">
        <v>0</v>
      </c>
      <c r="QJ106" s="128">
        <v>0</v>
      </c>
      <c r="QK106" s="128">
        <v>0</v>
      </c>
      <c r="QL106" s="128">
        <v>0</v>
      </c>
      <c r="QN106" s="128">
        <v>0</v>
      </c>
      <c r="QO106" s="128">
        <v>0</v>
      </c>
      <c r="QP106" s="128">
        <v>0</v>
      </c>
      <c r="QU106" s="128">
        <v>149745</v>
      </c>
      <c r="QV106" s="128">
        <v>290000</v>
      </c>
      <c r="QW106" s="128">
        <v>250000</v>
      </c>
      <c r="QX106" s="128">
        <v>139500</v>
      </c>
      <c r="QY106" s="128">
        <v>150600</v>
      </c>
      <c r="QZ106" s="128">
        <v>174000</v>
      </c>
      <c r="RA106" s="128">
        <v>82030</v>
      </c>
      <c r="RB106" s="128">
        <v>90000</v>
      </c>
      <c r="RC106" s="128">
        <v>0</v>
      </c>
      <c r="RD106" s="128">
        <v>10026</v>
      </c>
      <c r="RE106" s="128">
        <v>10030</v>
      </c>
      <c r="RF106" s="128">
        <v>12200</v>
      </c>
      <c r="RH106" s="128">
        <f t="shared" si="209"/>
        <v>2365200</v>
      </c>
      <c r="RI106" s="128">
        <v>0</v>
      </c>
      <c r="RM106" s="128" t="s">
        <v>220</v>
      </c>
      <c r="RU106" s="130"/>
      <c r="RV106" s="130"/>
      <c r="RW106" s="130"/>
      <c r="RX106" s="130"/>
      <c r="SF106" s="128">
        <f t="shared" si="119"/>
        <v>8289298</v>
      </c>
      <c r="SG106" s="131">
        <f t="shared" si="120"/>
        <v>2365200</v>
      </c>
      <c r="SH106" s="131">
        <f t="shared" si="121"/>
        <v>2365200</v>
      </c>
      <c r="SI106" s="131">
        <f t="shared" si="122"/>
        <v>2005200</v>
      </c>
      <c r="SJ106" s="132">
        <f t="shared" si="123"/>
        <v>1965000</v>
      </c>
      <c r="SK106" s="132">
        <f t="shared" si="124"/>
        <v>24000</v>
      </c>
      <c r="SL106" s="132">
        <f t="shared" si="125"/>
        <v>12200</v>
      </c>
      <c r="SM106" s="132">
        <f t="shared" si="126"/>
        <v>4000</v>
      </c>
      <c r="SN106" s="131">
        <f t="shared" si="127"/>
        <v>360000</v>
      </c>
      <c r="SO106" s="131">
        <f t="shared" si="128"/>
        <v>0</v>
      </c>
      <c r="SP106" s="132">
        <f t="shared" si="129"/>
        <v>0</v>
      </c>
      <c r="SQ106" s="132">
        <f t="shared" si="130"/>
        <v>0</v>
      </c>
      <c r="SR106" s="132">
        <f t="shared" si="131"/>
        <v>0</v>
      </c>
      <c r="SS106" s="132">
        <f t="shared" si="132"/>
        <v>20000</v>
      </c>
      <c r="ST106" s="132">
        <f t="shared" si="133"/>
        <v>10000</v>
      </c>
      <c r="SU106" s="132">
        <f t="shared" si="134"/>
        <v>30000</v>
      </c>
      <c r="SV106" s="131">
        <f t="shared" si="135"/>
        <v>282500</v>
      </c>
      <c r="SW106" s="132">
        <f t="shared" si="136"/>
        <v>25000</v>
      </c>
      <c r="SX106" s="132">
        <f t="shared" si="137"/>
        <v>16000</v>
      </c>
      <c r="SY106" s="132">
        <f t="shared" si="138"/>
        <v>185500</v>
      </c>
      <c r="SZ106" s="132">
        <f t="shared" si="139"/>
        <v>15000</v>
      </c>
      <c r="TA106" s="132">
        <f t="shared" si="140"/>
        <v>20000</v>
      </c>
      <c r="TB106" s="132">
        <f t="shared" si="141"/>
        <v>5000</v>
      </c>
      <c r="TC106" s="132">
        <f t="shared" si="142"/>
        <v>10000</v>
      </c>
      <c r="TD106" s="132">
        <f t="shared" si="143"/>
        <v>0</v>
      </c>
      <c r="TE106" s="132">
        <f t="shared" si="144"/>
        <v>0</v>
      </c>
      <c r="TF106" s="132">
        <f t="shared" si="145"/>
        <v>6000</v>
      </c>
      <c r="TG106" s="132">
        <f t="shared" si="146"/>
        <v>12000</v>
      </c>
      <c r="TH106" s="132">
        <f t="shared" si="147"/>
        <v>5500</v>
      </c>
      <c r="TI106" s="1"/>
      <c r="TJ106" s="131">
        <f t="shared" si="148"/>
        <v>1929000</v>
      </c>
      <c r="TK106" s="131">
        <f t="shared" si="149"/>
        <v>1929000</v>
      </c>
      <c r="TL106" s="131">
        <f t="shared" si="150"/>
        <v>1657000</v>
      </c>
      <c r="TM106" s="132">
        <f t="shared" si="151"/>
        <v>1625000</v>
      </c>
      <c r="TN106" s="132">
        <f t="shared" si="152"/>
        <v>20000</v>
      </c>
      <c r="TO106" s="132">
        <f t="shared" si="153"/>
        <v>10000</v>
      </c>
      <c r="TP106" s="132">
        <f t="shared" si="154"/>
        <v>2000</v>
      </c>
      <c r="TQ106" s="131">
        <f t="shared" si="155"/>
        <v>272000</v>
      </c>
      <c r="TR106" s="131">
        <f t="shared" si="156"/>
        <v>0</v>
      </c>
      <c r="TS106" s="132">
        <f t="shared" si="157"/>
        <v>0</v>
      </c>
      <c r="TT106" s="132">
        <f t="shared" si="158"/>
        <v>0</v>
      </c>
      <c r="TU106" s="132">
        <f t="shared" si="159"/>
        <v>0</v>
      </c>
      <c r="TV106" s="132">
        <f t="shared" si="160"/>
        <v>17000</v>
      </c>
      <c r="TW106" s="132">
        <f t="shared" si="161"/>
        <v>8500</v>
      </c>
      <c r="TX106" s="132">
        <f t="shared" si="162"/>
        <v>23000</v>
      </c>
      <c r="TY106" s="131">
        <f t="shared" si="163"/>
        <v>219500</v>
      </c>
      <c r="TZ106" s="132">
        <f t="shared" si="164"/>
        <v>21500</v>
      </c>
      <c r="UA106" s="132">
        <f t="shared" si="165"/>
        <v>13000</v>
      </c>
      <c r="UB106" s="132">
        <f t="shared" si="166"/>
        <v>148000</v>
      </c>
      <c r="UC106" s="132">
        <f t="shared" si="167"/>
        <v>12500</v>
      </c>
      <c r="UD106" s="132">
        <f t="shared" si="168"/>
        <v>11000</v>
      </c>
      <c r="UE106" s="132">
        <f t="shared" si="169"/>
        <v>3000</v>
      </c>
      <c r="UF106" s="132">
        <f t="shared" si="170"/>
        <v>5500</v>
      </c>
      <c r="UG106" s="132">
        <f t="shared" si="171"/>
        <v>0</v>
      </c>
      <c r="UH106" s="132">
        <f t="shared" si="172"/>
        <v>0</v>
      </c>
      <c r="UI106" s="132">
        <f t="shared" si="173"/>
        <v>5000</v>
      </c>
      <c r="UJ106" s="132">
        <f t="shared" si="174"/>
        <v>0</v>
      </c>
      <c r="UK106" s="132">
        <f t="shared" si="175"/>
        <v>4000</v>
      </c>
      <c r="UL106" s="132">
        <f t="shared" si="210"/>
        <v>1929000</v>
      </c>
      <c r="UM106" s="131">
        <f t="shared" si="176"/>
        <v>1929000</v>
      </c>
      <c r="UN106" s="131">
        <f t="shared" si="177"/>
        <v>1929000</v>
      </c>
      <c r="UO106" s="131">
        <f t="shared" si="178"/>
        <v>1657000</v>
      </c>
      <c r="UP106" s="132">
        <f t="shared" si="179"/>
        <v>1625000</v>
      </c>
      <c r="UQ106" s="132">
        <f t="shared" si="180"/>
        <v>20000</v>
      </c>
      <c r="UR106" s="132">
        <f t="shared" si="181"/>
        <v>10000</v>
      </c>
      <c r="US106" s="132">
        <f t="shared" si="182"/>
        <v>2000</v>
      </c>
      <c r="UT106" s="131">
        <f t="shared" si="183"/>
        <v>272000</v>
      </c>
      <c r="UU106" s="131">
        <f t="shared" si="184"/>
        <v>0</v>
      </c>
      <c r="UV106" s="132">
        <f t="shared" si="185"/>
        <v>0</v>
      </c>
      <c r="UW106" s="132">
        <f t="shared" si="186"/>
        <v>0</v>
      </c>
      <c r="UX106" s="132">
        <f t="shared" si="187"/>
        <v>0</v>
      </c>
      <c r="UY106" s="132">
        <f t="shared" si="188"/>
        <v>17000</v>
      </c>
      <c r="UZ106" s="132">
        <f t="shared" si="189"/>
        <v>8500</v>
      </c>
      <c r="VA106" s="132">
        <f t="shared" si="190"/>
        <v>23000</v>
      </c>
      <c r="VB106" s="131">
        <f t="shared" si="191"/>
        <v>219500</v>
      </c>
      <c r="VC106" s="132">
        <f t="shared" si="192"/>
        <v>21500</v>
      </c>
      <c r="VD106" s="132">
        <f t="shared" si="193"/>
        <v>13000</v>
      </c>
      <c r="VE106" s="132">
        <f t="shared" si="194"/>
        <v>148000</v>
      </c>
      <c r="VF106" s="132">
        <f t="shared" si="195"/>
        <v>12500</v>
      </c>
      <c r="VG106" s="132">
        <f t="shared" si="196"/>
        <v>11000</v>
      </c>
      <c r="VH106" s="132">
        <f t="shared" si="197"/>
        <v>3000</v>
      </c>
      <c r="VI106" s="132">
        <f t="shared" si="198"/>
        <v>5500</v>
      </c>
      <c r="VJ106" s="132">
        <f t="shared" si="199"/>
        <v>0</v>
      </c>
      <c r="VK106" s="132">
        <f t="shared" si="200"/>
        <v>0</v>
      </c>
      <c r="VL106" s="132">
        <f t="shared" si="201"/>
        <v>5000</v>
      </c>
      <c r="VM106" s="132">
        <f t="shared" si="202"/>
        <v>0</v>
      </c>
      <c r="VN106" s="132">
        <f t="shared" si="203"/>
        <v>4000</v>
      </c>
      <c r="VP106" s="845" t="str">
        <f>IFERROR(HLOOKUP(F106,'Hodnocení '!$C$1:$JH$5,2,FALSE),0)</f>
        <v>Občanská poradna Dvůr Králové nad Labem</v>
      </c>
      <c r="VQ106" s="838"/>
      <c r="VR106" s="845" t="str">
        <f t="shared" si="211"/>
        <v>Církve a náboženské společnosti</v>
      </c>
      <c r="VS106" s="845" t="str">
        <f>IFERROR(HLOOKUP(F106,'Hodnocení '!$C$1:$JH$5,5,FALSE),0)</f>
        <v>NZO</v>
      </c>
      <c r="VT106" s="838">
        <f t="shared" si="212"/>
        <v>0</v>
      </c>
      <c r="VU106" s="838">
        <f t="shared" si="213"/>
        <v>0</v>
      </c>
      <c r="VV106" s="838">
        <f t="shared" si="214"/>
        <v>0</v>
      </c>
      <c r="VW106" s="838">
        <f t="shared" si="215"/>
        <v>0</v>
      </c>
      <c r="VX106" s="838"/>
      <c r="VY106" s="838">
        <f t="shared" si="216"/>
        <v>0</v>
      </c>
      <c r="VZ106" s="838">
        <f t="shared" si="217"/>
        <v>1929000</v>
      </c>
      <c r="WA106" s="846">
        <f>IFERROR(HLOOKUP($F106,'Hodnocení '!$C$1:$JH$9,9,FALSE),0)</f>
        <v>1929000</v>
      </c>
      <c r="WB106" s="846">
        <f>IF(IFERROR(HLOOKUP($F106,'Hodnocení '!$C$1:$JH$13,13,FALSE),0)&gt;WA106,WA106,IFERROR(HLOOKUP($F106,'Hodnocení '!$C$1:$JH$13,13,FALSE),0))</f>
        <v>1671240.3992508459</v>
      </c>
      <c r="WC106" s="846">
        <f>IFERROR(HLOOKUP($F106,'Hodnocení '!$C$1:$JH$155,155,FALSE),0)</f>
        <v>1531740</v>
      </c>
      <c r="WD106" s="845"/>
      <c r="WE106" s="845"/>
      <c r="WF106" s="845" t="str">
        <f t="shared" si="204"/>
        <v>ANO</v>
      </c>
      <c r="WG106" s="849" t="str">
        <f t="shared" si="218"/>
        <v>Podpora služby je vyjádřena zařazením do sítě sociálních služeb v KHK a řešením financování služby</v>
      </c>
      <c r="WH106"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06" s="849" t="str">
        <f t="shared" si="218"/>
        <v>Návrh dotace je výsledkem projednání s ostatními zadavateli v rámci sítě služeb KHK</v>
      </c>
      <c r="WJ106" s="849" t="str">
        <f t="shared" si="218"/>
        <v>Bez komentáře</v>
      </c>
      <c r="WK106" s="31">
        <f t="shared" si="205"/>
        <v>0</v>
      </c>
      <c r="WL106" s="850">
        <f t="shared" si="206"/>
        <v>0</v>
      </c>
      <c r="WM106" s="849">
        <f t="shared" si="207"/>
        <v>0</v>
      </c>
      <c r="WN106" s="849">
        <f t="shared" si="208"/>
        <v>0</v>
      </c>
      <c r="WO106" s="849" t="str">
        <f t="shared" si="118"/>
        <v>bez komentáře</v>
      </c>
      <c r="WP106" s="849" t="str">
        <f t="shared" si="118"/>
        <v>bez komentáře</v>
      </c>
      <c r="WQ106" s="849" t="str">
        <f t="shared" si="118"/>
        <v>Konečná výše dotace z rozpočtu KHK bude řešena v návaznosti na řešení podílů jednotlivých zadavatelů.</v>
      </c>
      <c r="WR106" s="849" t="str">
        <f t="shared" si="118"/>
        <v>Konečná výše podpory ze stran obcí bude řešena v součinnosti s jednotlivými zadavateli v průběhu roku.</v>
      </c>
      <c r="WS106" s="849" t="str">
        <f t="shared" si="118"/>
        <v>bez komentáře</v>
      </c>
      <c r="WT106" s="849" t="str">
        <f t="shared" si="118"/>
        <v>bez komentáře</v>
      </c>
      <c r="WU106" s="845"/>
    </row>
    <row r="107" spans="1:619" s="128" customFormat="1" x14ac:dyDescent="0.25">
      <c r="A107" s="128" t="str">
        <f>VLOOKUP(F107,'Výpočet VP 2020'!$D$324:$I$588,6,FALSE)</f>
        <v>Je v síti</v>
      </c>
      <c r="B107" s="128" t="s">
        <v>553</v>
      </c>
      <c r="C107" s="128">
        <v>43464637</v>
      </c>
      <c r="D107" s="128" t="s">
        <v>554</v>
      </c>
      <c r="E107" s="128" t="s">
        <v>360</v>
      </c>
      <c r="F107" s="128">
        <v>9503685</v>
      </c>
      <c r="G107" s="128" t="s">
        <v>292</v>
      </c>
      <c r="H107" s="128" t="s">
        <v>293</v>
      </c>
      <c r="I107" s="128" t="s">
        <v>560</v>
      </c>
      <c r="J107" s="129">
        <v>39264</v>
      </c>
      <c r="L107" s="128" t="s">
        <v>220</v>
      </c>
      <c r="X107" s="128" t="s">
        <v>266</v>
      </c>
      <c r="AI107" s="128">
        <v>1</v>
      </c>
      <c r="AJ107" s="128">
        <v>8</v>
      </c>
      <c r="AK107" s="128">
        <v>379</v>
      </c>
      <c r="AL107" s="128">
        <v>395</v>
      </c>
      <c r="AM107" s="128">
        <v>420</v>
      </c>
      <c r="BL107" s="128" t="s">
        <v>561</v>
      </c>
      <c r="BM107" s="128" t="s">
        <v>340</v>
      </c>
      <c r="BN107" s="128" t="s">
        <v>424</v>
      </c>
      <c r="EK107" s="128">
        <v>1</v>
      </c>
      <c r="EL107" s="128">
        <v>0.7</v>
      </c>
      <c r="EM107" s="128">
        <v>0.6</v>
      </c>
      <c r="EN107" s="128">
        <v>405000</v>
      </c>
      <c r="EO107" s="128">
        <v>340000</v>
      </c>
      <c r="FO107" s="128">
        <v>11</v>
      </c>
      <c r="FP107" s="128">
        <v>0.48</v>
      </c>
      <c r="FQ107" s="128">
        <v>0.47</v>
      </c>
      <c r="FR107" s="128">
        <v>265000</v>
      </c>
      <c r="FS107" s="128">
        <v>224000</v>
      </c>
      <c r="IH107" s="128">
        <v>2</v>
      </c>
      <c r="II107" s="128">
        <v>0.1</v>
      </c>
      <c r="IJ107" s="128">
        <v>24</v>
      </c>
      <c r="IK107" s="128">
        <v>0.1</v>
      </c>
      <c r="IL107" s="128">
        <v>12000</v>
      </c>
      <c r="IM107" s="128">
        <v>10000</v>
      </c>
      <c r="IS107" s="128">
        <v>1</v>
      </c>
      <c r="IT107" s="128">
        <v>12</v>
      </c>
      <c r="IU107" s="128">
        <v>6.0000000000000001E-3</v>
      </c>
      <c r="IV107" s="128">
        <v>2400</v>
      </c>
      <c r="IW107" s="128">
        <v>2000</v>
      </c>
      <c r="KG107" s="128">
        <v>0</v>
      </c>
      <c r="KI107" s="128">
        <v>0.7</v>
      </c>
      <c r="KJ107" s="128">
        <v>0</v>
      </c>
      <c r="KK107" s="128">
        <v>0</v>
      </c>
      <c r="KL107" s="128">
        <v>0</v>
      </c>
      <c r="KM107" s="128">
        <v>0.7</v>
      </c>
      <c r="KN107" s="128">
        <v>670000</v>
      </c>
      <c r="KO107" s="128">
        <v>564000</v>
      </c>
      <c r="KP107" s="128">
        <v>564000</v>
      </c>
      <c r="KT107" s="128">
        <v>12000</v>
      </c>
      <c r="KU107" s="128">
        <v>10000</v>
      </c>
      <c r="KV107" s="128">
        <v>10000</v>
      </c>
      <c r="KZ107" s="128">
        <v>2400</v>
      </c>
      <c r="LA107" s="128">
        <v>2000</v>
      </c>
      <c r="LB107" s="128">
        <v>2000</v>
      </c>
      <c r="LF107" s="128">
        <v>2000</v>
      </c>
      <c r="LG107" s="128">
        <v>1000</v>
      </c>
      <c r="LH107" s="128">
        <v>1000</v>
      </c>
      <c r="LL107" s="128">
        <v>0</v>
      </c>
      <c r="LM107" s="128">
        <v>0</v>
      </c>
      <c r="LN107" s="128">
        <v>0</v>
      </c>
      <c r="LR107" s="128">
        <v>0</v>
      </c>
      <c r="LS107" s="128">
        <v>0</v>
      </c>
      <c r="LT107" s="128">
        <v>0</v>
      </c>
      <c r="LX107" s="128">
        <v>0</v>
      </c>
      <c r="LY107" s="128">
        <v>0</v>
      </c>
      <c r="LZ107" s="128">
        <v>0</v>
      </c>
      <c r="MD107" s="128">
        <v>2500</v>
      </c>
      <c r="ME107" s="128">
        <v>2200</v>
      </c>
      <c r="MF107" s="128">
        <v>2200</v>
      </c>
      <c r="MJ107" s="128">
        <v>500</v>
      </c>
      <c r="MK107" s="128">
        <v>300</v>
      </c>
      <c r="ML107" s="128">
        <v>300</v>
      </c>
      <c r="MP107" s="128">
        <v>3500</v>
      </c>
      <c r="MQ107" s="128">
        <v>3000</v>
      </c>
      <c r="MR107" s="128">
        <v>3000</v>
      </c>
      <c r="MV107" s="128">
        <v>14500</v>
      </c>
      <c r="MW107" s="128">
        <v>12400</v>
      </c>
      <c r="MX107" s="128">
        <v>12400</v>
      </c>
      <c r="NB107" s="128">
        <v>15000</v>
      </c>
      <c r="NC107" s="128">
        <v>12500</v>
      </c>
      <c r="ND107" s="128">
        <v>12500</v>
      </c>
      <c r="NH107" s="128">
        <v>14600</v>
      </c>
      <c r="NI107" s="128">
        <v>12500</v>
      </c>
      <c r="NJ107" s="128">
        <v>12500</v>
      </c>
      <c r="NN107" s="128">
        <v>3500</v>
      </c>
      <c r="NO107" s="128">
        <v>3000</v>
      </c>
      <c r="NP107" s="128">
        <v>3000</v>
      </c>
      <c r="NT107" s="128">
        <v>4000</v>
      </c>
      <c r="NU107" s="128">
        <v>3400</v>
      </c>
      <c r="NV107" s="128">
        <v>3400</v>
      </c>
      <c r="NZ107" s="128">
        <v>500</v>
      </c>
      <c r="OA107" s="128">
        <v>300</v>
      </c>
      <c r="OB107" s="128">
        <v>300</v>
      </c>
      <c r="OF107" s="128">
        <v>1000</v>
      </c>
      <c r="OG107" s="128">
        <v>900</v>
      </c>
      <c r="OH107" s="128">
        <v>900</v>
      </c>
      <c r="OL107" s="128">
        <v>0</v>
      </c>
      <c r="OM107" s="128">
        <v>0</v>
      </c>
      <c r="ON107" s="128">
        <v>0</v>
      </c>
      <c r="OR107" s="128">
        <v>0</v>
      </c>
      <c r="OS107" s="128">
        <v>0</v>
      </c>
      <c r="OT107" s="128">
        <v>0</v>
      </c>
      <c r="OX107" s="128">
        <v>13000</v>
      </c>
      <c r="OY107" s="128">
        <v>11000</v>
      </c>
      <c r="OZ107" s="128">
        <v>11000</v>
      </c>
      <c r="PD107" s="128">
        <v>0</v>
      </c>
      <c r="PE107" s="128">
        <v>0</v>
      </c>
      <c r="PF107" s="128">
        <v>0</v>
      </c>
      <c r="PJ107" s="128">
        <v>2000</v>
      </c>
      <c r="PK107" s="128">
        <v>1700</v>
      </c>
      <c r="PL107" s="128">
        <v>1700</v>
      </c>
      <c r="PP107" s="128">
        <v>761000</v>
      </c>
      <c r="PQ107" s="128">
        <v>640200</v>
      </c>
      <c r="PR107" s="128">
        <v>640200</v>
      </c>
      <c r="PS107" s="128">
        <v>100</v>
      </c>
      <c r="PT107" s="128">
        <v>100</v>
      </c>
      <c r="PX107" s="128">
        <v>406240</v>
      </c>
      <c r="PY107" s="128">
        <v>418240</v>
      </c>
      <c r="PZ107" s="128">
        <v>640200</v>
      </c>
      <c r="QA107" s="128">
        <v>0</v>
      </c>
      <c r="QB107" s="128">
        <v>0</v>
      </c>
      <c r="QC107" s="128">
        <v>0</v>
      </c>
      <c r="QD107" s="128">
        <v>0</v>
      </c>
      <c r="QE107" s="128">
        <v>0</v>
      </c>
      <c r="QF107" s="128">
        <v>0</v>
      </c>
      <c r="QG107" s="128">
        <v>0</v>
      </c>
      <c r="QH107" s="128">
        <v>0</v>
      </c>
      <c r="QI107" s="128">
        <v>0</v>
      </c>
      <c r="QJ107" s="128">
        <v>0</v>
      </c>
      <c r="QK107" s="128">
        <v>0</v>
      </c>
      <c r="QL107" s="128">
        <v>0</v>
      </c>
      <c r="QN107" s="128">
        <v>0</v>
      </c>
      <c r="QO107" s="128">
        <v>0</v>
      </c>
      <c r="QP107" s="128">
        <v>0</v>
      </c>
      <c r="QU107" s="128">
        <v>53931</v>
      </c>
      <c r="QV107" s="128">
        <v>82332</v>
      </c>
      <c r="QW107" s="128">
        <v>80000</v>
      </c>
      <c r="QX107" s="128">
        <v>37000</v>
      </c>
      <c r="QY107" s="128">
        <v>35000</v>
      </c>
      <c r="QZ107" s="128">
        <v>38000</v>
      </c>
      <c r="RA107" s="128">
        <v>27353</v>
      </c>
      <c r="RB107" s="128">
        <v>27000</v>
      </c>
      <c r="RC107" s="128">
        <v>0</v>
      </c>
      <c r="RD107" s="128">
        <v>1013</v>
      </c>
      <c r="RE107" s="128">
        <v>15</v>
      </c>
      <c r="RF107" s="128">
        <v>2800</v>
      </c>
      <c r="RH107" s="128">
        <f t="shared" si="209"/>
        <v>761000</v>
      </c>
      <c r="RI107" s="128">
        <v>0</v>
      </c>
      <c r="RM107" s="128" t="s">
        <v>220</v>
      </c>
      <c r="RU107" s="130"/>
      <c r="RV107" s="130"/>
      <c r="RW107" s="130"/>
      <c r="RX107" s="130"/>
      <c r="SF107" s="128">
        <f t="shared" si="119"/>
        <v>9503685</v>
      </c>
      <c r="SG107" s="131">
        <f t="shared" si="120"/>
        <v>761000</v>
      </c>
      <c r="SH107" s="131">
        <f t="shared" si="121"/>
        <v>761000</v>
      </c>
      <c r="SI107" s="131">
        <f t="shared" si="122"/>
        <v>686400</v>
      </c>
      <c r="SJ107" s="132">
        <f t="shared" si="123"/>
        <v>670000</v>
      </c>
      <c r="SK107" s="132">
        <f t="shared" si="124"/>
        <v>12000</v>
      </c>
      <c r="SL107" s="132">
        <f t="shared" si="125"/>
        <v>2400</v>
      </c>
      <c r="SM107" s="132">
        <f t="shared" si="126"/>
        <v>2000</v>
      </c>
      <c r="SN107" s="131">
        <f t="shared" si="127"/>
        <v>74600</v>
      </c>
      <c r="SO107" s="131">
        <f t="shared" si="128"/>
        <v>0</v>
      </c>
      <c r="SP107" s="132">
        <f t="shared" si="129"/>
        <v>0</v>
      </c>
      <c r="SQ107" s="132">
        <f t="shared" si="130"/>
        <v>0</v>
      </c>
      <c r="SR107" s="132">
        <f t="shared" si="131"/>
        <v>0</v>
      </c>
      <c r="SS107" s="132">
        <f t="shared" si="132"/>
        <v>2500</v>
      </c>
      <c r="ST107" s="132">
        <f t="shared" si="133"/>
        <v>500</v>
      </c>
      <c r="SU107" s="132">
        <f t="shared" si="134"/>
        <v>3500</v>
      </c>
      <c r="SV107" s="131">
        <f t="shared" si="135"/>
        <v>66100</v>
      </c>
      <c r="SW107" s="132">
        <f t="shared" si="136"/>
        <v>14500</v>
      </c>
      <c r="SX107" s="132">
        <f t="shared" si="137"/>
        <v>15000</v>
      </c>
      <c r="SY107" s="132">
        <f t="shared" si="138"/>
        <v>14600</v>
      </c>
      <c r="SZ107" s="132">
        <f t="shared" si="139"/>
        <v>3500</v>
      </c>
      <c r="TA107" s="132">
        <f t="shared" si="140"/>
        <v>4000</v>
      </c>
      <c r="TB107" s="132">
        <f t="shared" si="141"/>
        <v>500</v>
      </c>
      <c r="TC107" s="132">
        <f t="shared" si="142"/>
        <v>1000</v>
      </c>
      <c r="TD107" s="132">
        <f t="shared" si="143"/>
        <v>0</v>
      </c>
      <c r="TE107" s="132">
        <f t="shared" si="144"/>
        <v>0</v>
      </c>
      <c r="TF107" s="132">
        <f t="shared" si="145"/>
        <v>13000</v>
      </c>
      <c r="TG107" s="132">
        <f t="shared" si="146"/>
        <v>0</v>
      </c>
      <c r="TH107" s="132">
        <f t="shared" si="147"/>
        <v>2000</v>
      </c>
      <c r="TI107" s="1"/>
      <c r="TJ107" s="131">
        <f t="shared" si="148"/>
        <v>640200</v>
      </c>
      <c r="TK107" s="131">
        <f t="shared" si="149"/>
        <v>640200</v>
      </c>
      <c r="TL107" s="131">
        <f t="shared" si="150"/>
        <v>577000</v>
      </c>
      <c r="TM107" s="132">
        <f t="shared" si="151"/>
        <v>564000</v>
      </c>
      <c r="TN107" s="132">
        <f t="shared" si="152"/>
        <v>10000</v>
      </c>
      <c r="TO107" s="132">
        <f t="shared" si="153"/>
        <v>2000</v>
      </c>
      <c r="TP107" s="132">
        <f t="shared" si="154"/>
        <v>1000</v>
      </c>
      <c r="TQ107" s="131">
        <f t="shared" si="155"/>
        <v>63200</v>
      </c>
      <c r="TR107" s="131">
        <f t="shared" si="156"/>
        <v>0</v>
      </c>
      <c r="TS107" s="132">
        <f t="shared" si="157"/>
        <v>0</v>
      </c>
      <c r="TT107" s="132">
        <f t="shared" si="158"/>
        <v>0</v>
      </c>
      <c r="TU107" s="132">
        <f t="shared" si="159"/>
        <v>0</v>
      </c>
      <c r="TV107" s="132">
        <f t="shared" si="160"/>
        <v>2200</v>
      </c>
      <c r="TW107" s="132">
        <f t="shared" si="161"/>
        <v>300</v>
      </c>
      <c r="TX107" s="132">
        <f t="shared" si="162"/>
        <v>3000</v>
      </c>
      <c r="TY107" s="131">
        <f t="shared" si="163"/>
        <v>56000</v>
      </c>
      <c r="TZ107" s="132">
        <f t="shared" si="164"/>
        <v>12400</v>
      </c>
      <c r="UA107" s="132">
        <f t="shared" si="165"/>
        <v>12500</v>
      </c>
      <c r="UB107" s="132">
        <f t="shared" si="166"/>
        <v>12500</v>
      </c>
      <c r="UC107" s="132">
        <f t="shared" si="167"/>
        <v>3000</v>
      </c>
      <c r="UD107" s="132">
        <f t="shared" si="168"/>
        <v>3400</v>
      </c>
      <c r="UE107" s="132">
        <f t="shared" si="169"/>
        <v>300</v>
      </c>
      <c r="UF107" s="132">
        <f t="shared" si="170"/>
        <v>900</v>
      </c>
      <c r="UG107" s="132">
        <f t="shared" si="171"/>
        <v>0</v>
      </c>
      <c r="UH107" s="132">
        <f t="shared" si="172"/>
        <v>0</v>
      </c>
      <c r="UI107" s="132">
        <f t="shared" si="173"/>
        <v>11000</v>
      </c>
      <c r="UJ107" s="132">
        <f t="shared" si="174"/>
        <v>0</v>
      </c>
      <c r="UK107" s="132">
        <f t="shared" si="175"/>
        <v>1700</v>
      </c>
      <c r="UL107" s="132">
        <f t="shared" si="210"/>
        <v>640200</v>
      </c>
      <c r="UM107" s="131">
        <f t="shared" si="176"/>
        <v>640200</v>
      </c>
      <c r="UN107" s="131">
        <f t="shared" si="177"/>
        <v>640200</v>
      </c>
      <c r="UO107" s="131">
        <f t="shared" si="178"/>
        <v>577000</v>
      </c>
      <c r="UP107" s="132">
        <f t="shared" si="179"/>
        <v>564000</v>
      </c>
      <c r="UQ107" s="132">
        <f t="shared" si="180"/>
        <v>10000</v>
      </c>
      <c r="UR107" s="132">
        <f t="shared" si="181"/>
        <v>2000</v>
      </c>
      <c r="US107" s="132">
        <f t="shared" si="182"/>
        <v>1000</v>
      </c>
      <c r="UT107" s="131">
        <f t="shared" si="183"/>
        <v>63200</v>
      </c>
      <c r="UU107" s="131">
        <f t="shared" si="184"/>
        <v>0</v>
      </c>
      <c r="UV107" s="132">
        <f t="shared" si="185"/>
        <v>0</v>
      </c>
      <c r="UW107" s="132">
        <f t="shared" si="186"/>
        <v>0</v>
      </c>
      <c r="UX107" s="132">
        <f t="shared" si="187"/>
        <v>0</v>
      </c>
      <c r="UY107" s="132">
        <f t="shared" si="188"/>
        <v>2200</v>
      </c>
      <c r="UZ107" s="132">
        <f t="shared" si="189"/>
        <v>300</v>
      </c>
      <c r="VA107" s="132">
        <f t="shared" si="190"/>
        <v>3000</v>
      </c>
      <c r="VB107" s="131">
        <f t="shared" si="191"/>
        <v>56000</v>
      </c>
      <c r="VC107" s="132">
        <f t="shared" si="192"/>
        <v>12400</v>
      </c>
      <c r="VD107" s="132">
        <f t="shared" si="193"/>
        <v>12500</v>
      </c>
      <c r="VE107" s="132">
        <f t="shared" si="194"/>
        <v>12500</v>
      </c>
      <c r="VF107" s="132">
        <f t="shared" si="195"/>
        <v>3000</v>
      </c>
      <c r="VG107" s="132">
        <f t="shared" si="196"/>
        <v>3400</v>
      </c>
      <c r="VH107" s="132">
        <f t="shared" si="197"/>
        <v>300</v>
      </c>
      <c r="VI107" s="132">
        <f t="shared" si="198"/>
        <v>900</v>
      </c>
      <c r="VJ107" s="132">
        <f t="shared" si="199"/>
        <v>0</v>
      </c>
      <c r="VK107" s="132">
        <f t="shared" si="200"/>
        <v>0</v>
      </c>
      <c r="VL107" s="132">
        <f t="shared" si="201"/>
        <v>11000</v>
      </c>
      <c r="VM107" s="132">
        <f t="shared" si="202"/>
        <v>0</v>
      </c>
      <c r="VN107" s="132">
        <f t="shared" si="203"/>
        <v>1700</v>
      </c>
      <c r="VP107" s="845" t="str">
        <f>IFERROR(HLOOKUP(F107,'Hodnocení '!$C$1:$JH$5,2,FALSE),0)</f>
        <v>Občanská poradna Hořice</v>
      </c>
      <c r="VQ107" s="838"/>
      <c r="VR107" s="845" t="str">
        <f t="shared" si="211"/>
        <v>Církve a náboženské společnosti</v>
      </c>
      <c r="VS107" s="845" t="str">
        <f>IFERROR(HLOOKUP(F107,'Hodnocení '!$C$1:$JH$5,5,FALSE),0)</f>
        <v>NZO</v>
      </c>
      <c r="VT107" s="838">
        <f t="shared" si="212"/>
        <v>0</v>
      </c>
      <c r="VU107" s="838">
        <f t="shared" si="213"/>
        <v>0</v>
      </c>
      <c r="VV107" s="838">
        <f t="shared" si="214"/>
        <v>0</v>
      </c>
      <c r="VW107" s="838">
        <f t="shared" si="215"/>
        <v>0</v>
      </c>
      <c r="VX107" s="838"/>
      <c r="VY107" s="838">
        <f t="shared" si="216"/>
        <v>0</v>
      </c>
      <c r="VZ107" s="838">
        <f t="shared" si="217"/>
        <v>640200</v>
      </c>
      <c r="WA107" s="846">
        <f>IFERROR(HLOOKUP($F107,'Hodnocení '!$C$1:$JH$9,9,FALSE),0)</f>
        <v>640200</v>
      </c>
      <c r="WB107" s="846">
        <f>IF(IFERROR(HLOOKUP($F107,'Hodnocení '!$C$1:$JH$13,13,FALSE),0)&gt;WA107,WA107,IFERROR(HLOOKUP($F107,'Hodnocení '!$C$1:$JH$13,13,FALSE),0))</f>
        <v>445664.10646689229</v>
      </c>
      <c r="WC107" s="846">
        <f>IFERROR(HLOOKUP($F107,'Hodnocení '!$C$1:$JH$155,155,FALSE),0)</f>
        <v>453230</v>
      </c>
      <c r="WD107" s="845"/>
      <c r="WE107" s="845"/>
      <c r="WF107" s="845" t="str">
        <f t="shared" si="204"/>
        <v>ANO</v>
      </c>
      <c r="WG107" s="849" t="str">
        <f t="shared" si="218"/>
        <v>Podpora služby je vyjádřena zařazením do sítě sociálních služeb v KHK a řešením financování služby</v>
      </c>
      <c r="WH107"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07" s="849" t="str">
        <f t="shared" si="218"/>
        <v>Návrh dotace je výsledkem projednání s ostatními zadavateli v rámci sítě služeb KHK</v>
      </c>
      <c r="WJ107" s="849" t="str">
        <f t="shared" si="218"/>
        <v>Bez komentáře</v>
      </c>
      <c r="WK107" s="31">
        <f t="shared" si="205"/>
        <v>0</v>
      </c>
      <c r="WL107" s="850">
        <f t="shared" si="206"/>
        <v>0</v>
      </c>
      <c r="WM107" s="849">
        <f t="shared" si="207"/>
        <v>0</v>
      </c>
      <c r="WN107" s="849">
        <f t="shared" si="208"/>
        <v>0</v>
      </c>
      <c r="WO107" s="849" t="str">
        <f t="shared" si="118"/>
        <v>bez komentáře</v>
      </c>
      <c r="WP107" s="849" t="str">
        <f t="shared" si="118"/>
        <v>bez komentáře</v>
      </c>
      <c r="WQ107" s="849" t="str">
        <f t="shared" si="118"/>
        <v>Konečná výše dotace z rozpočtu KHK bude řešena v návaznosti na řešení podílů jednotlivých zadavatelů.</v>
      </c>
      <c r="WR107" s="849" t="str">
        <f t="shared" si="118"/>
        <v>Konečná výše podpory ze stran obcí bude řešena v součinnosti s jednotlivými zadavateli v průběhu roku.</v>
      </c>
      <c r="WS107" s="849" t="str">
        <f t="shared" si="118"/>
        <v>bez komentáře</v>
      </c>
      <c r="WT107" s="849" t="str">
        <f t="shared" si="118"/>
        <v>bez komentáře</v>
      </c>
      <c r="WU107" s="845"/>
    </row>
    <row r="108" spans="1:619" s="128" customFormat="1" x14ac:dyDescent="0.25">
      <c r="A108" s="128" t="str">
        <f>VLOOKUP(F108,'Výpočet VP 2020'!$D$324:$I$588,6,FALSE)</f>
        <v>Je v síti</v>
      </c>
      <c r="B108" s="128" t="s">
        <v>568</v>
      </c>
      <c r="C108" s="128">
        <v>42887968</v>
      </c>
      <c r="D108" s="128" t="s">
        <v>569</v>
      </c>
      <c r="E108" s="128" t="s">
        <v>360</v>
      </c>
      <c r="F108" s="128">
        <v>1441233</v>
      </c>
      <c r="G108" s="128" t="s">
        <v>361</v>
      </c>
      <c r="H108" s="128" t="s">
        <v>218</v>
      </c>
      <c r="I108" s="128" t="s">
        <v>570</v>
      </c>
      <c r="J108" s="129">
        <v>40422</v>
      </c>
      <c r="L108" s="128" t="s">
        <v>220</v>
      </c>
      <c r="M108" s="128" t="s">
        <v>571</v>
      </c>
      <c r="N108" s="128">
        <v>15</v>
      </c>
      <c r="O108" s="128">
        <v>15</v>
      </c>
      <c r="P108" s="128">
        <v>161</v>
      </c>
      <c r="Q108" s="128">
        <v>150</v>
      </c>
      <c r="R108" s="128">
        <v>150</v>
      </c>
      <c r="W108" s="128" t="s">
        <v>572</v>
      </c>
      <c r="BL108" s="128" t="s">
        <v>351</v>
      </c>
      <c r="BM108" s="128" t="s">
        <v>325</v>
      </c>
      <c r="BN108" s="128" t="s">
        <v>352</v>
      </c>
      <c r="DA108" s="128">
        <v>0</v>
      </c>
      <c r="DB108" s="128">
        <v>0</v>
      </c>
      <c r="DC108" s="128">
        <v>0</v>
      </c>
      <c r="DD108" s="128">
        <v>0</v>
      </c>
      <c r="DE108" s="128">
        <v>0</v>
      </c>
      <c r="DF108" s="128">
        <v>0</v>
      </c>
      <c r="DG108" s="128">
        <v>3</v>
      </c>
      <c r="DH108" s="128">
        <v>8</v>
      </c>
      <c r="DI108" s="128">
        <v>4</v>
      </c>
      <c r="DJ108" s="128">
        <v>0</v>
      </c>
      <c r="DK108" s="128">
        <v>0</v>
      </c>
      <c r="DL108" s="128">
        <v>3</v>
      </c>
      <c r="DM108" s="128">
        <v>8</v>
      </c>
      <c r="DN108" s="128">
        <v>4</v>
      </c>
      <c r="DO108" s="128">
        <v>0</v>
      </c>
      <c r="DP108" s="128">
        <v>0</v>
      </c>
      <c r="DQ108" s="128">
        <v>15</v>
      </c>
      <c r="DR108" s="128">
        <v>15</v>
      </c>
      <c r="DS108" s="128">
        <v>0</v>
      </c>
      <c r="DT108" s="128">
        <v>0</v>
      </c>
      <c r="DU108" s="128">
        <v>0</v>
      </c>
      <c r="DV108" s="128">
        <v>0</v>
      </c>
      <c r="DW108" s="128">
        <v>0</v>
      </c>
      <c r="DX108" s="128">
        <v>0</v>
      </c>
      <c r="DY108" s="128">
        <v>3</v>
      </c>
      <c r="DZ108" s="128">
        <v>8</v>
      </c>
      <c r="EA108" s="128">
        <v>4</v>
      </c>
      <c r="EB108" s="128">
        <v>0</v>
      </c>
      <c r="EC108" s="128">
        <v>0</v>
      </c>
      <c r="ED108" s="128">
        <v>3</v>
      </c>
      <c r="EE108" s="128">
        <v>8</v>
      </c>
      <c r="EF108" s="128">
        <v>4</v>
      </c>
      <c r="EG108" s="128">
        <v>0</v>
      </c>
      <c r="EH108" s="128">
        <v>0</v>
      </c>
      <c r="EI108" s="128">
        <v>15</v>
      </c>
      <c r="EJ108" s="128">
        <v>15</v>
      </c>
      <c r="EK108" s="128">
        <v>1</v>
      </c>
      <c r="EL108" s="128">
        <v>0.4</v>
      </c>
      <c r="EM108" s="128">
        <v>0.4</v>
      </c>
      <c r="EN108" s="128">
        <v>210000</v>
      </c>
      <c r="EO108" s="128">
        <v>210000</v>
      </c>
      <c r="EP108" s="128">
        <v>11</v>
      </c>
      <c r="EQ108" s="128">
        <v>4.75</v>
      </c>
      <c r="ER108" s="128">
        <v>3.18</v>
      </c>
      <c r="ES108" s="128">
        <v>2620000</v>
      </c>
      <c r="ET108" s="128">
        <v>2020000</v>
      </c>
      <c r="FO108" s="128">
        <v>11</v>
      </c>
      <c r="FP108" s="128">
        <v>3.14</v>
      </c>
      <c r="FQ108" s="128">
        <v>2.7160000000000002</v>
      </c>
      <c r="FR108" s="128">
        <v>1805000</v>
      </c>
      <c r="FS108" s="128">
        <v>1020000</v>
      </c>
      <c r="FZ108" s="128">
        <v>1</v>
      </c>
      <c r="GA108" s="128">
        <v>0.2</v>
      </c>
      <c r="GB108" s="128">
        <v>12</v>
      </c>
      <c r="GC108" s="128">
        <v>0.2</v>
      </c>
      <c r="GD108" s="128">
        <v>133000</v>
      </c>
      <c r="GE108" s="128">
        <v>0</v>
      </c>
      <c r="IN108" s="128">
        <v>1</v>
      </c>
      <c r="IO108" s="128">
        <v>154</v>
      </c>
      <c r="IP108" s="128">
        <v>7.2999999999999995E-2</v>
      </c>
      <c r="IQ108" s="128">
        <v>17710</v>
      </c>
      <c r="IR108" s="128">
        <v>0</v>
      </c>
      <c r="IS108" s="128">
        <v>3</v>
      </c>
      <c r="IT108" s="128">
        <v>250</v>
      </c>
      <c r="IU108" s="128">
        <v>0.11899999999999999</v>
      </c>
      <c r="IV108" s="128">
        <v>24391</v>
      </c>
      <c r="IW108" s="128">
        <v>0</v>
      </c>
      <c r="KG108" s="128">
        <v>25</v>
      </c>
      <c r="KH108" s="128">
        <v>70</v>
      </c>
      <c r="KI108" s="128">
        <v>5.15</v>
      </c>
      <c r="KJ108" s="128">
        <v>0.2</v>
      </c>
      <c r="KK108" s="128">
        <v>7.2999999999999995E-2</v>
      </c>
      <c r="KL108" s="128">
        <v>0</v>
      </c>
      <c r="KM108" s="128">
        <v>5.423</v>
      </c>
      <c r="KN108" s="128">
        <v>4635000</v>
      </c>
      <c r="KO108" s="128">
        <v>3250000</v>
      </c>
      <c r="KP108" s="128">
        <v>3250000</v>
      </c>
      <c r="KT108" s="128">
        <v>133000</v>
      </c>
      <c r="KU108" s="128">
        <v>0</v>
      </c>
      <c r="KV108" s="128">
        <v>0</v>
      </c>
      <c r="KZ108" s="128">
        <v>42101</v>
      </c>
      <c r="LA108" s="128">
        <v>0</v>
      </c>
      <c r="LB108" s="128">
        <v>0</v>
      </c>
      <c r="LF108" s="128">
        <v>13000</v>
      </c>
      <c r="LG108" s="128">
        <v>0</v>
      </c>
      <c r="LH108" s="128">
        <v>0</v>
      </c>
      <c r="LL108" s="128">
        <v>4000</v>
      </c>
      <c r="LM108" s="128">
        <v>0</v>
      </c>
      <c r="LN108" s="128">
        <v>0</v>
      </c>
      <c r="LR108" s="128">
        <v>100000</v>
      </c>
      <c r="LS108" s="128">
        <v>30000</v>
      </c>
      <c r="LT108" s="128">
        <v>30000</v>
      </c>
      <c r="LX108" s="128">
        <v>145000</v>
      </c>
      <c r="LY108" s="128">
        <v>0</v>
      </c>
      <c r="LZ108" s="128">
        <v>0</v>
      </c>
      <c r="MD108" s="128">
        <v>12000</v>
      </c>
      <c r="ME108" s="128">
        <v>0</v>
      </c>
      <c r="MF108" s="128">
        <v>0</v>
      </c>
      <c r="MJ108" s="128">
        <v>25000</v>
      </c>
      <c r="MK108" s="128">
        <v>0</v>
      </c>
      <c r="ML108" s="128">
        <v>0</v>
      </c>
      <c r="MP108" s="128">
        <v>175000</v>
      </c>
      <c r="MQ108" s="128">
        <v>0</v>
      </c>
      <c r="MR108" s="128">
        <v>0</v>
      </c>
      <c r="MV108" s="128">
        <v>250000</v>
      </c>
      <c r="MW108" s="128">
        <v>100000</v>
      </c>
      <c r="MX108" s="128">
        <v>100000</v>
      </c>
      <c r="NB108" s="128">
        <v>22000</v>
      </c>
      <c r="NC108" s="128">
        <v>0</v>
      </c>
      <c r="ND108" s="128">
        <v>0</v>
      </c>
      <c r="NH108" s="128">
        <v>0</v>
      </c>
      <c r="NI108" s="128">
        <v>0</v>
      </c>
      <c r="NJ108" s="128">
        <v>0</v>
      </c>
      <c r="NN108" s="128">
        <v>40000</v>
      </c>
      <c r="NO108" s="128">
        <v>0</v>
      </c>
      <c r="NP108" s="128">
        <v>0</v>
      </c>
      <c r="NT108" s="128">
        <v>30000</v>
      </c>
      <c r="NU108" s="128">
        <v>10000</v>
      </c>
      <c r="NV108" s="128">
        <v>10000</v>
      </c>
      <c r="NZ108" s="128">
        <v>70000</v>
      </c>
      <c r="OA108" s="128">
        <v>5000</v>
      </c>
      <c r="OB108" s="128">
        <v>5000</v>
      </c>
      <c r="OF108" s="128">
        <v>10000</v>
      </c>
      <c r="OG108" s="128">
        <v>0</v>
      </c>
      <c r="OH108" s="128">
        <v>0</v>
      </c>
      <c r="OL108" s="128">
        <v>0</v>
      </c>
      <c r="OM108" s="128">
        <v>0</v>
      </c>
      <c r="ON108" s="128">
        <v>0</v>
      </c>
      <c r="OR108" s="128">
        <v>0</v>
      </c>
      <c r="OS108" s="128">
        <v>0</v>
      </c>
      <c r="OT108" s="128">
        <v>0</v>
      </c>
      <c r="OX108" s="128">
        <v>110000</v>
      </c>
      <c r="OY108" s="128">
        <v>0</v>
      </c>
      <c r="OZ108" s="128">
        <v>0</v>
      </c>
      <c r="PD108" s="128">
        <v>180000</v>
      </c>
      <c r="PE108" s="128">
        <v>0</v>
      </c>
      <c r="PF108" s="128">
        <v>0</v>
      </c>
      <c r="PJ108" s="128">
        <v>70000</v>
      </c>
      <c r="PK108" s="128">
        <v>0</v>
      </c>
      <c r="PL108" s="128">
        <v>0</v>
      </c>
      <c r="PP108" s="128">
        <v>6066101</v>
      </c>
      <c r="PQ108" s="128">
        <v>3395000</v>
      </c>
      <c r="PR108" s="128">
        <v>3395000</v>
      </c>
      <c r="PS108" s="128">
        <v>100</v>
      </c>
      <c r="PT108" s="128">
        <v>100</v>
      </c>
      <c r="PV108" s="128">
        <v>5992666</v>
      </c>
      <c r="PX108" s="128">
        <v>2656810</v>
      </c>
      <c r="PY108" s="128">
        <v>2743810</v>
      </c>
      <c r="PZ108" s="128">
        <v>3395000</v>
      </c>
      <c r="QA108" s="128">
        <v>104371</v>
      </c>
      <c r="QB108" s="128">
        <v>4875</v>
      </c>
      <c r="QC108" s="128">
        <v>0</v>
      </c>
      <c r="QD108" s="128">
        <v>0</v>
      </c>
      <c r="QE108" s="128">
        <v>0</v>
      </c>
      <c r="QF108" s="128">
        <v>0</v>
      </c>
      <c r="QG108" s="128">
        <v>0</v>
      </c>
      <c r="QH108" s="128">
        <v>0</v>
      </c>
      <c r="QI108" s="128">
        <v>0</v>
      </c>
      <c r="QJ108" s="128">
        <v>2124772</v>
      </c>
      <c r="QK108" s="128">
        <v>2011000</v>
      </c>
      <c r="QL108" s="128">
        <v>2190000</v>
      </c>
      <c r="QN108" s="128">
        <v>154807</v>
      </c>
      <c r="QO108" s="128">
        <v>0</v>
      </c>
      <c r="QP108" s="128">
        <v>0</v>
      </c>
      <c r="QU108" s="128">
        <v>0</v>
      </c>
      <c r="QV108" s="128">
        <v>226210</v>
      </c>
      <c r="QW108" s="128">
        <v>0</v>
      </c>
      <c r="QX108" s="128">
        <v>183950</v>
      </c>
      <c r="QY108" s="128">
        <v>258000</v>
      </c>
      <c r="QZ108" s="128">
        <v>198000</v>
      </c>
      <c r="RD108" s="128">
        <v>262132</v>
      </c>
      <c r="RE108" s="128">
        <v>375125</v>
      </c>
      <c r="RF108" s="128">
        <v>283101</v>
      </c>
      <c r="RH108" s="128">
        <f t="shared" si="209"/>
        <v>3876101</v>
      </c>
      <c r="RI108" s="128">
        <v>0</v>
      </c>
      <c r="RM108" s="128" t="s">
        <v>220</v>
      </c>
      <c r="RU108" s="130"/>
      <c r="RV108" s="130"/>
      <c r="RW108" s="130"/>
      <c r="RX108" s="130"/>
      <c r="SF108" s="128">
        <f t="shared" si="119"/>
        <v>1441233</v>
      </c>
      <c r="SG108" s="131">
        <f t="shared" si="120"/>
        <v>6066101</v>
      </c>
      <c r="SH108" s="131">
        <f t="shared" si="121"/>
        <v>6066101</v>
      </c>
      <c r="SI108" s="131">
        <f t="shared" si="122"/>
        <v>4823101</v>
      </c>
      <c r="SJ108" s="132">
        <f t="shared" si="123"/>
        <v>4635000</v>
      </c>
      <c r="SK108" s="132">
        <f t="shared" si="124"/>
        <v>133000</v>
      </c>
      <c r="SL108" s="132">
        <f t="shared" si="125"/>
        <v>42101</v>
      </c>
      <c r="SM108" s="132">
        <f t="shared" si="126"/>
        <v>13000</v>
      </c>
      <c r="SN108" s="131">
        <f t="shared" si="127"/>
        <v>1243000</v>
      </c>
      <c r="SO108" s="131">
        <f t="shared" si="128"/>
        <v>104000</v>
      </c>
      <c r="SP108" s="132">
        <f t="shared" si="129"/>
        <v>4000</v>
      </c>
      <c r="SQ108" s="132">
        <f t="shared" si="130"/>
        <v>100000</v>
      </c>
      <c r="SR108" s="132">
        <f t="shared" si="131"/>
        <v>145000</v>
      </c>
      <c r="SS108" s="132">
        <f t="shared" si="132"/>
        <v>12000</v>
      </c>
      <c r="ST108" s="132">
        <f t="shared" si="133"/>
        <v>25000</v>
      </c>
      <c r="SU108" s="132">
        <f t="shared" si="134"/>
        <v>175000</v>
      </c>
      <c r="SV108" s="131">
        <f t="shared" si="135"/>
        <v>532000</v>
      </c>
      <c r="SW108" s="132">
        <f t="shared" si="136"/>
        <v>250000</v>
      </c>
      <c r="SX108" s="132">
        <f t="shared" si="137"/>
        <v>22000</v>
      </c>
      <c r="SY108" s="132">
        <f t="shared" si="138"/>
        <v>0</v>
      </c>
      <c r="SZ108" s="132">
        <f t="shared" si="139"/>
        <v>40000</v>
      </c>
      <c r="TA108" s="132">
        <f t="shared" si="140"/>
        <v>30000</v>
      </c>
      <c r="TB108" s="132">
        <f t="shared" si="141"/>
        <v>70000</v>
      </c>
      <c r="TC108" s="132">
        <f t="shared" si="142"/>
        <v>10000</v>
      </c>
      <c r="TD108" s="132">
        <f t="shared" si="143"/>
        <v>0</v>
      </c>
      <c r="TE108" s="132">
        <f t="shared" si="144"/>
        <v>0</v>
      </c>
      <c r="TF108" s="132">
        <f t="shared" si="145"/>
        <v>110000</v>
      </c>
      <c r="TG108" s="132">
        <f t="shared" si="146"/>
        <v>180000</v>
      </c>
      <c r="TH108" s="132">
        <f t="shared" si="147"/>
        <v>70000</v>
      </c>
      <c r="TI108" s="1"/>
      <c r="TJ108" s="131">
        <f t="shared" si="148"/>
        <v>3395000</v>
      </c>
      <c r="TK108" s="131">
        <f t="shared" si="149"/>
        <v>3395000</v>
      </c>
      <c r="TL108" s="131">
        <f t="shared" si="150"/>
        <v>3250000</v>
      </c>
      <c r="TM108" s="132">
        <f t="shared" si="151"/>
        <v>3250000</v>
      </c>
      <c r="TN108" s="132">
        <f t="shared" si="152"/>
        <v>0</v>
      </c>
      <c r="TO108" s="132">
        <f t="shared" si="153"/>
        <v>0</v>
      </c>
      <c r="TP108" s="132">
        <f t="shared" si="154"/>
        <v>0</v>
      </c>
      <c r="TQ108" s="131">
        <f t="shared" si="155"/>
        <v>145000</v>
      </c>
      <c r="TR108" s="131">
        <f t="shared" si="156"/>
        <v>30000</v>
      </c>
      <c r="TS108" s="132">
        <f t="shared" si="157"/>
        <v>0</v>
      </c>
      <c r="TT108" s="132">
        <f t="shared" si="158"/>
        <v>30000</v>
      </c>
      <c r="TU108" s="132">
        <f t="shared" si="159"/>
        <v>0</v>
      </c>
      <c r="TV108" s="132">
        <f t="shared" si="160"/>
        <v>0</v>
      </c>
      <c r="TW108" s="132">
        <f t="shared" si="161"/>
        <v>0</v>
      </c>
      <c r="TX108" s="132">
        <f t="shared" si="162"/>
        <v>0</v>
      </c>
      <c r="TY108" s="131">
        <f t="shared" si="163"/>
        <v>115000</v>
      </c>
      <c r="TZ108" s="132">
        <f t="shared" si="164"/>
        <v>100000</v>
      </c>
      <c r="UA108" s="132">
        <f t="shared" si="165"/>
        <v>0</v>
      </c>
      <c r="UB108" s="132">
        <f t="shared" si="166"/>
        <v>0</v>
      </c>
      <c r="UC108" s="132">
        <f t="shared" si="167"/>
        <v>0</v>
      </c>
      <c r="UD108" s="132">
        <f t="shared" si="168"/>
        <v>10000</v>
      </c>
      <c r="UE108" s="132">
        <f t="shared" si="169"/>
        <v>5000</v>
      </c>
      <c r="UF108" s="132">
        <f t="shared" si="170"/>
        <v>0</v>
      </c>
      <c r="UG108" s="132">
        <f t="shared" si="171"/>
        <v>0</v>
      </c>
      <c r="UH108" s="132">
        <f t="shared" si="172"/>
        <v>0</v>
      </c>
      <c r="UI108" s="132">
        <f t="shared" si="173"/>
        <v>0</v>
      </c>
      <c r="UJ108" s="132">
        <f t="shared" si="174"/>
        <v>0</v>
      </c>
      <c r="UK108" s="132">
        <f t="shared" si="175"/>
        <v>0</v>
      </c>
      <c r="UL108" s="132">
        <f t="shared" si="210"/>
        <v>3395000</v>
      </c>
      <c r="UM108" s="131">
        <f t="shared" si="176"/>
        <v>3395000</v>
      </c>
      <c r="UN108" s="131">
        <f t="shared" si="177"/>
        <v>3395000</v>
      </c>
      <c r="UO108" s="131">
        <f t="shared" si="178"/>
        <v>3250000</v>
      </c>
      <c r="UP108" s="132">
        <f t="shared" si="179"/>
        <v>3250000</v>
      </c>
      <c r="UQ108" s="132">
        <f t="shared" si="180"/>
        <v>0</v>
      </c>
      <c r="UR108" s="132">
        <f t="shared" si="181"/>
        <v>0</v>
      </c>
      <c r="US108" s="132">
        <f t="shared" si="182"/>
        <v>0</v>
      </c>
      <c r="UT108" s="131">
        <f t="shared" si="183"/>
        <v>145000</v>
      </c>
      <c r="UU108" s="131">
        <f t="shared" si="184"/>
        <v>30000</v>
      </c>
      <c r="UV108" s="132">
        <f t="shared" si="185"/>
        <v>0</v>
      </c>
      <c r="UW108" s="132">
        <f t="shared" si="186"/>
        <v>30000</v>
      </c>
      <c r="UX108" s="132">
        <f t="shared" si="187"/>
        <v>0</v>
      </c>
      <c r="UY108" s="132">
        <f t="shared" si="188"/>
        <v>0</v>
      </c>
      <c r="UZ108" s="132">
        <f t="shared" si="189"/>
        <v>0</v>
      </c>
      <c r="VA108" s="132">
        <f t="shared" si="190"/>
        <v>0</v>
      </c>
      <c r="VB108" s="131">
        <f t="shared" si="191"/>
        <v>115000</v>
      </c>
      <c r="VC108" s="132">
        <f t="shared" si="192"/>
        <v>100000</v>
      </c>
      <c r="VD108" s="132">
        <f t="shared" si="193"/>
        <v>0</v>
      </c>
      <c r="VE108" s="132">
        <f t="shared" si="194"/>
        <v>0</v>
      </c>
      <c r="VF108" s="132">
        <f t="shared" si="195"/>
        <v>0</v>
      </c>
      <c r="VG108" s="132">
        <f t="shared" si="196"/>
        <v>10000</v>
      </c>
      <c r="VH108" s="132">
        <f t="shared" si="197"/>
        <v>5000</v>
      </c>
      <c r="VI108" s="132">
        <f t="shared" si="198"/>
        <v>0</v>
      </c>
      <c r="VJ108" s="132">
        <f t="shared" si="199"/>
        <v>0</v>
      </c>
      <c r="VK108" s="132">
        <f t="shared" si="200"/>
        <v>0</v>
      </c>
      <c r="VL108" s="132">
        <f t="shared" si="201"/>
        <v>0</v>
      </c>
      <c r="VM108" s="132">
        <f t="shared" si="202"/>
        <v>0</v>
      </c>
      <c r="VN108" s="132">
        <f t="shared" si="203"/>
        <v>0</v>
      </c>
      <c r="VP108" s="845" t="str">
        <f>IFERROR(HLOOKUP(F108,'Hodnocení '!$C$1:$JH$5,2,FALSE),0)</f>
        <v>Stacionář sv. Františka</v>
      </c>
      <c r="VQ108" s="838"/>
      <c r="VR108" s="845" t="str">
        <f t="shared" si="211"/>
        <v>Církve a náboženské společnosti</v>
      </c>
      <c r="VS108" s="845" t="str">
        <f>IFERROR(HLOOKUP(F108,'Hodnocení '!$C$1:$JH$5,5,FALSE),0)</f>
        <v>NZO</v>
      </c>
      <c r="VT108" s="838">
        <f t="shared" si="212"/>
        <v>0</v>
      </c>
      <c r="VU108" s="838">
        <f t="shared" si="213"/>
        <v>0</v>
      </c>
      <c r="VV108" s="838">
        <f t="shared" si="214"/>
        <v>2190000</v>
      </c>
      <c r="VW108" s="838">
        <f t="shared" si="215"/>
        <v>0</v>
      </c>
      <c r="VX108" s="838"/>
      <c r="VY108" s="838">
        <f t="shared" si="216"/>
        <v>0</v>
      </c>
      <c r="VZ108" s="838">
        <f t="shared" si="217"/>
        <v>3395000</v>
      </c>
      <c r="WA108" s="846">
        <f>IFERROR(HLOOKUP($F108,'Hodnocení '!$C$1:$JH$9,9,FALSE),0)</f>
        <v>3395000</v>
      </c>
      <c r="WB108" s="846">
        <f>IF(IFERROR(HLOOKUP($F108,'Hodnocení '!$C$1:$JH$13,13,FALSE),0)&gt;WA108,WA108,IFERROR(HLOOKUP($F108,'Hodnocení '!$C$1:$JH$13,13,FALSE),0))</f>
        <v>2889815.8082949743</v>
      </c>
      <c r="WC108" s="846">
        <f>IFERROR(HLOOKUP($F108,'Hodnocení '!$C$1:$JH$155,155,FALSE),0)</f>
        <v>2970020</v>
      </c>
      <c r="WD108" s="845"/>
      <c r="WE108" s="845"/>
      <c r="WF108" s="845" t="str">
        <f t="shared" si="204"/>
        <v>ANO</v>
      </c>
      <c r="WG108" s="849" t="str">
        <f t="shared" si="218"/>
        <v>Podpora služby je vyjádřena zařazením do sítě sociálních služeb v KHK a řešením financování služby</v>
      </c>
      <c r="WH108"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08" s="849" t="str">
        <f t="shared" si="218"/>
        <v>Návrh dotace je výsledkem projednání s ostatními zadavateli v rámci sítě služeb KHK</v>
      </c>
      <c r="WJ108" s="849" t="str">
        <f t="shared" si="218"/>
        <v>Bez komentáře</v>
      </c>
      <c r="WK108" s="31">
        <f t="shared" si="205"/>
        <v>0</v>
      </c>
      <c r="WL108" s="850">
        <f t="shared" si="206"/>
        <v>0</v>
      </c>
      <c r="WM108" s="849" t="str">
        <f t="shared" si="207"/>
        <v>V rámci sítě KHK se dlouhodobě řeší otázka navyšování úhrad a průběžně se monitoruje s vazbou na vykrytí vyrovnávací platby</v>
      </c>
      <c r="WN108" s="849">
        <f t="shared" si="208"/>
        <v>0</v>
      </c>
      <c r="WO108" s="849" t="str">
        <f t="shared" si="118"/>
        <v>bez komentáře</v>
      </c>
      <c r="WP108" s="849" t="str">
        <f t="shared" si="118"/>
        <v>bez komentáře</v>
      </c>
      <c r="WQ108" s="849" t="str">
        <f t="shared" si="118"/>
        <v>Konečná výše dotace z rozpočtu KHK bude řešena v návaznosti na řešení podílů jednotlivých zadavatelů.</v>
      </c>
      <c r="WR108" s="849" t="str">
        <f t="shared" si="118"/>
        <v>Konečná výše podpory ze stran obcí bude řešena v součinnosti s jednotlivými zadavateli v průběhu roku.</v>
      </c>
      <c r="WS108" s="849" t="str">
        <f t="shared" si="118"/>
        <v>bez komentáře</v>
      </c>
      <c r="WT108" s="849" t="str">
        <f t="shared" si="118"/>
        <v>bez komentáře</v>
      </c>
      <c r="WU108" s="845"/>
    </row>
    <row r="109" spans="1:619" s="128" customFormat="1" x14ac:dyDescent="0.25">
      <c r="A109" s="128" t="str">
        <f>VLOOKUP(F109,'Výpočet VP 2020'!$D$324:$I$588,6,FALSE)</f>
        <v>Je v síti</v>
      </c>
      <c r="B109" s="128" t="s">
        <v>568</v>
      </c>
      <c r="C109" s="128">
        <v>42887968</v>
      </c>
      <c r="D109" s="128" t="s">
        <v>569</v>
      </c>
      <c r="E109" s="128" t="s">
        <v>360</v>
      </c>
      <c r="F109" s="128">
        <v>1961902</v>
      </c>
      <c r="G109" s="128" t="s">
        <v>217</v>
      </c>
      <c r="H109" s="128" t="s">
        <v>218</v>
      </c>
      <c r="I109" s="128" t="s">
        <v>570</v>
      </c>
      <c r="J109" s="129">
        <v>39083</v>
      </c>
      <c r="L109" s="128" t="s">
        <v>220</v>
      </c>
      <c r="X109" s="128" t="s">
        <v>573</v>
      </c>
      <c r="Z109" s="128">
        <v>22</v>
      </c>
      <c r="AA109" s="128">
        <v>22</v>
      </c>
      <c r="AB109" s="128">
        <v>26</v>
      </c>
      <c r="AC109" s="128">
        <v>16</v>
      </c>
      <c r="AD109" s="128">
        <v>20</v>
      </c>
      <c r="AN109" s="128">
        <v>3000</v>
      </c>
      <c r="BL109" s="128" t="s">
        <v>574</v>
      </c>
      <c r="BM109" s="128" t="s">
        <v>223</v>
      </c>
      <c r="BN109" s="128" t="s">
        <v>424</v>
      </c>
      <c r="BO109" s="128">
        <v>0</v>
      </c>
      <c r="BP109" s="128">
        <v>0</v>
      </c>
      <c r="BQ109" s="128">
        <v>0</v>
      </c>
      <c r="BR109" s="128">
        <v>0</v>
      </c>
      <c r="BS109" s="128">
        <v>0</v>
      </c>
      <c r="BT109" s="128">
        <v>0</v>
      </c>
      <c r="BU109" s="128">
        <v>8</v>
      </c>
      <c r="BV109" s="128">
        <v>8</v>
      </c>
      <c r="BW109" s="128">
        <v>0</v>
      </c>
      <c r="BX109" s="128">
        <v>0</v>
      </c>
      <c r="BY109" s="128">
        <v>0</v>
      </c>
      <c r="BZ109" s="128">
        <v>8</v>
      </c>
      <c r="CA109" s="128">
        <v>8</v>
      </c>
      <c r="CB109" s="128">
        <v>0</v>
      </c>
      <c r="CC109" s="128">
        <v>0</v>
      </c>
      <c r="CD109" s="128">
        <v>0</v>
      </c>
      <c r="CE109" s="128">
        <v>16</v>
      </c>
      <c r="CF109" s="128">
        <v>16</v>
      </c>
      <c r="CH109" s="128">
        <v>1</v>
      </c>
      <c r="CI109" s="128">
        <v>1</v>
      </c>
      <c r="CJ109" s="128">
        <v>0</v>
      </c>
      <c r="CK109" s="128">
        <v>0</v>
      </c>
      <c r="CL109" s="128">
        <v>0</v>
      </c>
      <c r="CM109" s="128">
        <v>1</v>
      </c>
      <c r="CN109" s="128">
        <v>9</v>
      </c>
      <c r="CO109" s="128">
        <v>8</v>
      </c>
      <c r="CP109" s="128">
        <v>0</v>
      </c>
      <c r="CQ109" s="128">
        <v>0</v>
      </c>
      <c r="CR109" s="128">
        <v>2</v>
      </c>
      <c r="CS109" s="128">
        <v>10</v>
      </c>
      <c r="CT109" s="128">
        <v>8</v>
      </c>
      <c r="CU109" s="128">
        <v>0</v>
      </c>
      <c r="CV109" s="128">
        <v>0</v>
      </c>
      <c r="CW109" s="128">
        <v>2</v>
      </c>
      <c r="CX109" s="128">
        <v>18</v>
      </c>
      <c r="CY109" s="128">
        <v>20</v>
      </c>
      <c r="EK109" s="128">
        <v>1</v>
      </c>
      <c r="EL109" s="128">
        <v>0.3</v>
      </c>
      <c r="EM109" s="128">
        <v>0.3</v>
      </c>
      <c r="EN109" s="128">
        <v>173000</v>
      </c>
      <c r="EO109" s="128">
        <v>173000</v>
      </c>
      <c r="EP109" s="128">
        <v>8</v>
      </c>
      <c r="EQ109" s="128">
        <v>2.95</v>
      </c>
      <c r="ER109" s="128">
        <v>3.77</v>
      </c>
      <c r="ES109" s="128">
        <v>1829000</v>
      </c>
      <c r="ET109" s="128">
        <v>1829000</v>
      </c>
      <c r="EZ109" s="128">
        <v>1</v>
      </c>
      <c r="FA109" s="128">
        <v>0.8</v>
      </c>
      <c r="FB109" s="128">
        <v>0.42</v>
      </c>
      <c r="FC109" s="128">
        <v>169000</v>
      </c>
      <c r="FD109" s="128">
        <v>169000</v>
      </c>
      <c r="FO109" s="128">
        <v>11</v>
      </c>
      <c r="FP109" s="128">
        <v>2.7549999999999999</v>
      </c>
      <c r="FQ109" s="128">
        <v>2.617</v>
      </c>
      <c r="FR109" s="128">
        <v>1443000</v>
      </c>
      <c r="FS109" s="128">
        <v>1170000</v>
      </c>
      <c r="FZ109" s="128">
        <v>1</v>
      </c>
      <c r="GA109" s="128">
        <v>0.15</v>
      </c>
      <c r="GB109" s="128">
        <v>12</v>
      </c>
      <c r="GC109" s="128">
        <v>0.15</v>
      </c>
      <c r="GD109" s="128">
        <v>100000</v>
      </c>
      <c r="GE109" s="128">
        <v>0</v>
      </c>
      <c r="IN109" s="128">
        <v>1</v>
      </c>
      <c r="IO109" s="128">
        <v>114</v>
      </c>
      <c r="IP109" s="128">
        <v>5.3999999999999999E-2</v>
      </c>
      <c r="IQ109" s="128">
        <v>13110</v>
      </c>
      <c r="IR109" s="128">
        <v>0</v>
      </c>
      <c r="IS109" s="128">
        <v>3</v>
      </c>
      <c r="IT109" s="128">
        <v>188</v>
      </c>
      <c r="IU109" s="128">
        <v>0.09</v>
      </c>
      <c r="IV109" s="128">
        <v>18582</v>
      </c>
      <c r="IW109" s="128">
        <v>0</v>
      </c>
      <c r="KG109" s="128">
        <v>32</v>
      </c>
      <c r="KH109" s="128">
        <v>218</v>
      </c>
      <c r="KI109" s="128">
        <v>4.05</v>
      </c>
      <c r="KJ109" s="128">
        <v>0.15</v>
      </c>
      <c r="KK109" s="128">
        <v>5.3999999999999999E-2</v>
      </c>
      <c r="KL109" s="128">
        <v>0</v>
      </c>
      <c r="KM109" s="128">
        <v>4.2539999999999996</v>
      </c>
      <c r="KN109" s="128">
        <v>3614000</v>
      </c>
      <c r="KO109" s="128">
        <v>3341000</v>
      </c>
      <c r="KP109" s="128">
        <v>3341000</v>
      </c>
      <c r="KT109" s="128">
        <v>100000</v>
      </c>
      <c r="KU109" s="128">
        <v>0</v>
      </c>
      <c r="KV109" s="128">
        <v>0</v>
      </c>
      <c r="KZ109" s="128">
        <v>31692</v>
      </c>
      <c r="LA109" s="128">
        <v>0</v>
      </c>
      <c r="LB109" s="128">
        <v>0</v>
      </c>
      <c r="LF109" s="128">
        <v>15000</v>
      </c>
      <c r="LG109" s="128">
        <v>0</v>
      </c>
      <c r="LH109" s="128">
        <v>0</v>
      </c>
      <c r="LL109" s="128">
        <v>3000</v>
      </c>
      <c r="LM109" s="128">
        <v>0</v>
      </c>
      <c r="LN109" s="128">
        <v>0</v>
      </c>
      <c r="LR109" s="128">
        <v>55000</v>
      </c>
      <c r="LS109" s="128">
        <v>25000</v>
      </c>
      <c r="LT109" s="128">
        <v>25000</v>
      </c>
      <c r="LX109" s="128">
        <v>115000</v>
      </c>
      <c r="LY109" s="128">
        <v>0</v>
      </c>
      <c r="LZ109" s="128">
        <v>0</v>
      </c>
      <c r="MD109" s="128">
        <v>9000</v>
      </c>
      <c r="ME109" s="128">
        <v>0</v>
      </c>
      <c r="MF109" s="128">
        <v>0</v>
      </c>
      <c r="MJ109" s="128">
        <v>15000</v>
      </c>
      <c r="MK109" s="128">
        <v>0</v>
      </c>
      <c r="ML109" s="128">
        <v>0</v>
      </c>
      <c r="MP109" s="128">
        <v>90000</v>
      </c>
      <c r="MQ109" s="128">
        <v>0</v>
      </c>
      <c r="MR109" s="128">
        <v>0</v>
      </c>
      <c r="MV109" s="128">
        <v>193000</v>
      </c>
      <c r="MW109" s="128">
        <v>100000</v>
      </c>
      <c r="MX109" s="128">
        <v>100000</v>
      </c>
      <c r="NB109" s="128">
        <v>10000</v>
      </c>
      <c r="NC109" s="128">
        <v>0</v>
      </c>
      <c r="ND109" s="128">
        <v>0</v>
      </c>
      <c r="NH109" s="128">
        <v>0</v>
      </c>
      <c r="NI109" s="128">
        <v>0</v>
      </c>
      <c r="NJ109" s="128">
        <v>0</v>
      </c>
      <c r="NN109" s="128">
        <v>20000</v>
      </c>
      <c r="NO109" s="128">
        <v>0</v>
      </c>
      <c r="NP109" s="128">
        <v>0</v>
      </c>
      <c r="NT109" s="128">
        <v>17000</v>
      </c>
      <c r="NU109" s="128">
        <v>0</v>
      </c>
      <c r="NV109" s="128">
        <v>0</v>
      </c>
      <c r="NZ109" s="128">
        <v>47000</v>
      </c>
      <c r="OA109" s="128">
        <v>5000</v>
      </c>
      <c r="OB109" s="128">
        <v>5000</v>
      </c>
      <c r="OF109" s="128">
        <v>5000</v>
      </c>
      <c r="OG109" s="128">
        <v>0</v>
      </c>
      <c r="OH109" s="128">
        <v>0</v>
      </c>
      <c r="OL109" s="128">
        <v>0</v>
      </c>
      <c r="OM109" s="128">
        <v>0</v>
      </c>
      <c r="ON109" s="128">
        <v>0</v>
      </c>
      <c r="OR109" s="128">
        <v>0</v>
      </c>
      <c r="OS109" s="128">
        <v>0</v>
      </c>
      <c r="OT109" s="128">
        <v>0</v>
      </c>
      <c r="OX109" s="128">
        <v>85000</v>
      </c>
      <c r="OY109" s="128">
        <v>0</v>
      </c>
      <c r="OZ109" s="128">
        <v>0</v>
      </c>
      <c r="PD109" s="128">
        <v>120000</v>
      </c>
      <c r="PE109" s="128">
        <v>0</v>
      </c>
      <c r="PF109" s="128">
        <v>0</v>
      </c>
      <c r="PJ109" s="128">
        <v>53000</v>
      </c>
      <c r="PK109" s="128">
        <v>0</v>
      </c>
      <c r="PL109" s="128">
        <v>0</v>
      </c>
      <c r="PP109" s="128">
        <v>4597692</v>
      </c>
      <c r="PQ109" s="128">
        <v>3471000</v>
      </c>
      <c r="PR109" s="128">
        <v>3471000</v>
      </c>
      <c r="PS109" s="128">
        <v>100</v>
      </c>
      <c r="PT109" s="128">
        <v>100</v>
      </c>
      <c r="PV109" s="128">
        <v>2818741</v>
      </c>
      <c r="PX109" s="128">
        <v>2079300</v>
      </c>
      <c r="PY109" s="128">
        <v>2906893</v>
      </c>
      <c r="PZ109" s="128">
        <v>3471000</v>
      </c>
      <c r="QA109" s="128">
        <v>46387</v>
      </c>
      <c r="QB109" s="128">
        <v>3700</v>
      </c>
      <c r="QC109" s="128">
        <v>0</v>
      </c>
      <c r="QD109" s="128">
        <v>0</v>
      </c>
      <c r="QE109" s="128">
        <v>0</v>
      </c>
      <c r="QF109" s="128">
        <v>0</v>
      </c>
      <c r="QG109" s="128">
        <v>0</v>
      </c>
      <c r="QH109" s="128">
        <v>0</v>
      </c>
      <c r="QI109" s="128">
        <v>0</v>
      </c>
      <c r="QJ109" s="128">
        <v>571906</v>
      </c>
      <c r="QK109" s="128">
        <v>580000</v>
      </c>
      <c r="QL109" s="128">
        <v>607390</v>
      </c>
      <c r="QN109" s="128">
        <v>4353</v>
      </c>
      <c r="QO109" s="128">
        <v>0</v>
      </c>
      <c r="QP109" s="128">
        <v>0</v>
      </c>
      <c r="QU109" s="128">
        <v>631556</v>
      </c>
      <c r="QV109" s="128">
        <v>184559</v>
      </c>
      <c r="QW109" s="128">
        <v>0</v>
      </c>
      <c r="QX109" s="128">
        <v>238000</v>
      </c>
      <c r="QY109" s="128">
        <v>156500</v>
      </c>
      <c r="QZ109" s="128">
        <v>195000</v>
      </c>
      <c r="RD109" s="128">
        <v>107297</v>
      </c>
      <c r="RE109" s="128">
        <v>311300</v>
      </c>
      <c r="RF109" s="128">
        <v>324302</v>
      </c>
      <c r="RH109" s="128">
        <f t="shared" si="209"/>
        <v>3990302</v>
      </c>
      <c r="RI109" s="128">
        <v>0</v>
      </c>
      <c r="RM109" s="128" t="s">
        <v>220</v>
      </c>
      <c r="RU109" s="130"/>
      <c r="RV109" s="130"/>
      <c r="RW109" s="130"/>
      <c r="RX109" s="130"/>
      <c r="SF109" s="128">
        <f t="shared" si="119"/>
        <v>1961902</v>
      </c>
      <c r="SG109" s="131">
        <f t="shared" si="120"/>
        <v>4597692</v>
      </c>
      <c r="SH109" s="131">
        <f t="shared" si="121"/>
        <v>4597692</v>
      </c>
      <c r="SI109" s="131">
        <f t="shared" si="122"/>
        <v>3760692</v>
      </c>
      <c r="SJ109" s="132">
        <f t="shared" si="123"/>
        <v>3614000</v>
      </c>
      <c r="SK109" s="132">
        <f t="shared" si="124"/>
        <v>100000</v>
      </c>
      <c r="SL109" s="132">
        <f t="shared" si="125"/>
        <v>31692</v>
      </c>
      <c r="SM109" s="132">
        <f t="shared" si="126"/>
        <v>15000</v>
      </c>
      <c r="SN109" s="131">
        <f t="shared" si="127"/>
        <v>837000</v>
      </c>
      <c r="SO109" s="131">
        <f t="shared" si="128"/>
        <v>58000</v>
      </c>
      <c r="SP109" s="132">
        <f t="shared" si="129"/>
        <v>3000</v>
      </c>
      <c r="SQ109" s="132">
        <f t="shared" si="130"/>
        <v>55000</v>
      </c>
      <c r="SR109" s="132">
        <f t="shared" si="131"/>
        <v>115000</v>
      </c>
      <c r="SS109" s="132">
        <f t="shared" si="132"/>
        <v>9000</v>
      </c>
      <c r="ST109" s="132">
        <f t="shared" si="133"/>
        <v>15000</v>
      </c>
      <c r="SU109" s="132">
        <f t="shared" si="134"/>
        <v>90000</v>
      </c>
      <c r="SV109" s="131">
        <f t="shared" si="135"/>
        <v>377000</v>
      </c>
      <c r="SW109" s="132">
        <f t="shared" si="136"/>
        <v>193000</v>
      </c>
      <c r="SX109" s="132">
        <f t="shared" si="137"/>
        <v>10000</v>
      </c>
      <c r="SY109" s="132">
        <f t="shared" si="138"/>
        <v>0</v>
      </c>
      <c r="SZ109" s="132">
        <f t="shared" si="139"/>
        <v>20000</v>
      </c>
      <c r="TA109" s="132">
        <f t="shared" si="140"/>
        <v>17000</v>
      </c>
      <c r="TB109" s="132">
        <f t="shared" si="141"/>
        <v>47000</v>
      </c>
      <c r="TC109" s="132">
        <f t="shared" si="142"/>
        <v>5000</v>
      </c>
      <c r="TD109" s="132">
        <f t="shared" si="143"/>
        <v>0</v>
      </c>
      <c r="TE109" s="132">
        <f t="shared" si="144"/>
        <v>0</v>
      </c>
      <c r="TF109" s="132">
        <f t="shared" si="145"/>
        <v>85000</v>
      </c>
      <c r="TG109" s="132">
        <f t="shared" si="146"/>
        <v>120000</v>
      </c>
      <c r="TH109" s="132">
        <f t="shared" si="147"/>
        <v>53000</v>
      </c>
      <c r="TI109" s="1"/>
      <c r="TJ109" s="131">
        <f t="shared" si="148"/>
        <v>3471000</v>
      </c>
      <c r="TK109" s="131">
        <f t="shared" si="149"/>
        <v>3471000</v>
      </c>
      <c r="TL109" s="131">
        <f t="shared" si="150"/>
        <v>3341000</v>
      </c>
      <c r="TM109" s="132">
        <f t="shared" si="151"/>
        <v>3341000</v>
      </c>
      <c r="TN109" s="132">
        <f t="shared" si="152"/>
        <v>0</v>
      </c>
      <c r="TO109" s="132">
        <f t="shared" si="153"/>
        <v>0</v>
      </c>
      <c r="TP109" s="132">
        <f t="shared" si="154"/>
        <v>0</v>
      </c>
      <c r="TQ109" s="131">
        <f t="shared" si="155"/>
        <v>130000</v>
      </c>
      <c r="TR109" s="131">
        <f t="shared" si="156"/>
        <v>25000</v>
      </c>
      <c r="TS109" s="132">
        <f t="shared" si="157"/>
        <v>0</v>
      </c>
      <c r="TT109" s="132">
        <f t="shared" si="158"/>
        <v>25000</v>
      </c>
      <c r="TU109" s="132">
        <f t="shared" si="159"/>
        <v>0</v>
      </c>
      <c r="TV109" s="132">
        <f t="shared" si="160"/>
        <v>0</v>
      </c>
      <c r="TW109" s="132">
        <f t="shared" si="161"/>
        <v>0</v>
      </c>
      <c r="TX109" s="132">
        <f t="shared" si="162"/>
        <v>0</v>
      </c>
      <c r="TY109" s="131">
        <f t="shared" si="163"/>
        <v>105000</v>
      </c>
      <c r="TZ109" s="132">
        <f t="shared" si="164"/>
        <v>100000</v>
      </c>
      <c r="UA109" s="132">
        <f t="shared" si="165"/>
        <v>0</v>
      </c>
      <c r="UB109" s="132">
        <f t="shared" si="166"/>
        <v>0</v>
      </c>
      <c r="UC109" s="132">
        <f t="shared" si="167"/>
        <v>0</v>
      </c>
      <c r="UD109" s="132">
        <f t="shared" si="168"/>
        <v>0</v>
      </c>
      <c r="UE109" s="132">
        <f t="shared" si="169"/>
        <v>5000</v>
      </c>
      <c r="UF109" s="132">
        <f t="shared" si="170"/>
        <v>0</v>
      </c>
      <c r="UG109" s="132">
        <f t="shared" si="171"/>
        <v>0</v>
      </c>
      <c r="UH109" s="132">
        <f t="shared" si="172"/>
        <v>0</v>
      </c>
      <c r="UI109" s="132">
        <f t="shared" si="173"/>
        <v>0</v>
      </c>
      <c r="UJ109" s="132">
        <f t="shared" si="174"/>
        <v>0</v>
      </c>
      <c r="UK109" s="132">
        <f t="shared" si="175"/>
        <v>0</v>
      </c>
      <c r="UL109" s="132">
        <f t="shared" si="210"/>
        <v>3471000</v>
      </c>
      <c r="UM109" s="131">
        <f t="shared" si="176"/>
        <v>3471000</v>
      </c>
      <c r="UN109" s="131">
        <f t="shared" si="177"/>
        <v>3471000</v>
      </c>
      <c r="UO109" s="131">
        <f t="shared" si="178"/>
        <v>3341000</v>
      </c>
      <c r="UP109" s="132">
        <f t="shared" si="179"/>
        <v>3341000</v>
      </c>
      <c r="UQ109" s="132">
        <f t="shared" si="180"/>
        <v>0</v>
      </c>
      <c r="UR109" s="132">
        <f t="shared" si="181"/>
        <v>0</v>
      </c>
      <c r="US109" s="132">
        <f t="shared" si="182"/>
        <v>0</v>
      </c>
      <c r="UT109" s="131">
        <f t="shared" si="183"/>
        <v>130000</v>
      </c>
      <c r="UU109" s="131">
        <f t="shared" si="184"/>
        <v>25000</v>
      </c>
      <c r="UV109" s="132">
        <f t="shared" si="185"/>
        <v>0</v>
      </c>
      <c r="UW109" s="132">
        <f t="shared" si="186"/>
        <v>25000</v>
      </c>
      <c r="UX109" s="132">
        <f t="shared" si="187"/>
        <v>0</v>
      </c>
      <c r="UY109" s="132">
        <f t="shared" si="188"/>
        <v>0</v>
      </c>
      <c r="UZ109" s="132">
        <f t="shared" si="189"/>
        <v>0</v>
      </c>
      <c r="VA109" s="132">
        <f t="shared" si="190"/>
        <v>0</v>
      </c>
      <c r="VB109" s="131">
        <f t="shared" si="191"/>
        <v>105000</v>
      </c>
      <c r="VC109" s="132">
        <f t="shared" si="192"/>
        <v>100000</v>
      </c>
      <c r="VD109" s="132">
        <f t="shared" si="193"/>
        <v>0</v>
      </c>
      <c r="VE109" s="132">
        <f t="shared" si="194"/>
        <v>0</v>
      </c>
      <c r="VF109" s="132">
        <f t="shared" si="195"/>
        <v>0</v>
      </c>
      <c r="VG109" s="132">
        <f t="shared" si="196"/>
        <v>0</v>
      </c>
      <c r="VH109" s="132">
        <f t="shared" si="197"/>
        <v>5000</v>
      </c>
      <c r="VI109" s="132">
        <f t="shared" si="198"/>
        <v>0</v>
      </c>
      <c r="VJ109" s="132">
        <f t="shared" si="199"/>
        <v>0</v>
      </c>
      <c r="VK109" s="132">
        <f t="shared" si="200"/>
        <v>0</v>
      </c>
      <c r="VL109" s="132">
        <f t="shared" si="201"/>
        <v>0</v>
      </c>
      <c r="VM109" s="132">
        <f t="shared" si="202"/>
        <v>0</v>
      </c>
      <c r="VN109" s="132">
        <f t="shared" si="203"/>
        <v>0</v>
      </c>
      <c r="VP109" s="845" t="str">
        <f>IFERROR(HLOOKUP(F109,'Hodnocení '!$C$1:$JH$5,2,FALSE),0)</f>
        <v>Stacionář sv. Františka</v>
      </c>
      <c r="VQ109" s="838"/>
      <c r="VR109" s="845" t="str">
        <f t="shared" si="211"/>
        <v>Církve a náboženské společnosti</v>
      </c>
      <c r="VS109" s="845" t="str">
        <f>IFERROR(HLOOKUP(F109,'Hodnocení '!$C$1:$JH$5,5,FALSE),0)</f>
        <v>NZO</v>
      </c>
      <c r="VT109" s="838">
        <f t="shared" si="212"/>
        <v>0</v>
      </c>
      <c r="VU109" s="838">
        <f t="shared" si="213"/>
        <v>0</v>
      </c>
      <c r="VV109" s="838">
        <f t="shared" si="214"/>
        <v>607390</v>
      </c>
      <c r="VW109" s="838">
        <f t="shared" si="215"/>
        <v>0</v>
      </c>
      <c r="VX109" s="838"/>
      <c r="VY109" s="838">
        <f t="shared" si="216"/>
        <v>0</v>
      </c>
      <c r="VZ109" s="838">
        <f t="shared" si="217"/>
        <v>3471000</v>
      </c>
      <c r="WA109" s="846">
        <f>IFERROR(HLOOKUP($F109,'Hodnocení '!$C$1:$JH$9,9,FALSE),0)</f>
        <v>3471000</v>
      </c>
      <c r="WB109" s="846">
        <f>IF(IFERROR(HLOOKUP($F109,'Hodnocení '!$C$1:$JH$13,13,FALSE),0)&gt;WA109,WA109,IFERROR(HLOOKUP($F109,'Hodnocení '!$C$1:$JH$13,13,FALSE),0))</f>
        <v>3192681.8379533906</v>
      </c>
      <c r="WC109" s="846">
        <f>IFERROR(HLOOKUP($F109,'Hodnocení '!$C$1:$JH$155,155,FALSE),0)</f>
        <v>3273950</v>
      </c>
      <c r="WD109" s="845"/>
      <c r="WE109" s="845"/>
      <c r="WF109" s="845" t="str">
        <f t="shared" si="204"/>
        <v>ANO</v>
      </c>
      <c r="WG109" s="849" t="str">
        <f t="shared" si="218"/>
        <v>Podpora služby je vyjádřena zařazením do sítě sociálních služeb v KHK a řešením financování služby</v>
      </c>
      <c r="WH109"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09" s="849" t="str">
        <f t="shared" si="218"/>
        <v>Návrh dotace je výsledkem projednání s ostatními zadavateli v rámci sítě služeb KHK</v>
      </c>
      <c r="WJ109" s="849" t="str">
        <f t="shared" si="218"/>
        <v>Bez komentáře</v>
      </c>
      <c r="WK109" s="31">
        <f t="shared" si="205"/>
        <v>0</v>
      </c>
      <c r="WL109" s="850">
        <f t="shared" si="206"/>
        <v>0</v>
      </c>
      <c r="WM109" s="849" t="str">
        <f t="shared" si="207"/>
        <v>V rámci sítě KHK se dlouhodobě řeší otázka navyšování úhrad a průběžně se monitoruje s vazbou na vykrytí vyrovnávací platby</v>
      </c>
      <c r="WN109" s="849">
        <f t="shared" si="208"/>
        <v>0</v>
      </c>
      <c r="WO109" s="849" t="str">
        <f t="shared" ref="WO109:WT151" si="219">IF($WF109="NE","nehodnoceno",WO$2)</f>
        <v>bez komentáře</v>
      </c>
      <c r="WP109" s="849" t="str">
        <f t="shared" si="219"/>
        <v>bez komentáře</v>
      </c>
      <c r="WQ109" s="849" t="str">
        <f t="shared" si="219"/>
        <v>Konečná výše dotace z rozpočtu KHK bude řešena v návaznosti na řešení podílů jednotlivých zadavatelů.</v>
      </c>
      <c r="WR109" s="849" t="str">
        <f t="shared" si="219"/>
        <v>Konečná výše podpory ze stran obcí bude řešena v součinnosti s jednotlivými zadavateli v průběhu roku.</v>
      </c>
      <c r="WS109" s="849" t="str">
        <f t="shared" si="219"/>
        <v>bez komentáře</v>
      </c>
      <c r="WT109" s="849" t="str">
        <f t="shared" si="219"/>
        <v>bez komentáře</v>
      </c>
      <c r="WU109" s="845"/>
    </row>
    <row r="110" spans="1:619" s="128" customFormat="1" x14ac:dyDescent="0.25">
      <c r="A110" s="128" t="str">
        <f>VLOOKUP(F110,'Výpočet VP 2020'!$D$324:$I$588,6,FALSE)</f>
        <v>Je v síti</v>
      </c>
      <c r="B110" s="128" t="s">
        <v>568</v>
      </c>
      <c r="C110" s="128">
        <v>42887968</v>
      </c>
      <c r="D110" s="128" t="s">
        <v>569</v>
      </c>
      <c r="E110" s="128" t="s">
        <v>360</v>
      </c>
      <c r="F110" s="128">
        <v>2499134</v>
      </c>
      <c r="G110" s="128" t="s">
        <v>575</v>
      </c>
      <c r="H110" s="128" t="s">
        <v>218</v>
      </c>
      <c r="I110" s="128" t="s">
        <v>570</v>
      </c>
      <c r="J110" s="129">
        <v>39083</v>
      </c>
      <c r="L110" s="128" t="s">
        <v>220</v>
      </c>
      <c r="M110" s="128" t="s">
        <v>537</v>
      </c>
      <c r="N110" s="128">
        <v>9</v>
      </c>
      <c r="P110" s="128">
        <v>9</v>
      </c>
      <c r="Q110" s="128">
        <v>9</v>
      </c>
      <c r="R110" s="128">
        <v>9</v>
      </c>
      <c r="BL110" s="128" t="s">
        <v>351</v>
      </c>
      <c r="BM110" s="128" t="s">
        <v>325</v>
      </c>
      <c r="BN110" s="128" t="s">
        <v>352</v>
      </c>
      <c r="DA110" s="128">
        <v>0</v>
      </c>
      <c r="DB110" s="128">
        <v>0</v>
      </c>
      <c r="DC110" s="128">
        <v>0</v>
      </c>
      <c r="DD110" s="128">
        <v>0</v>
      </c>
      <c r="DE110" s="128">
        <v>0</v>
      </c>
      <c r="DF110" s="128">
        <v>2</v>
      </c>
      <c r="DG110" s="128">
        <v>4</v>
      </c>
      <c r="DH110" s="128">
        <v>3</v>
      </c>
      <c r="DI110" s="128">
        <v>0</v>
      </c>
      <c r="DJ110" s="128">
        <v>0</v>
      </c>
      <c r="DK110" s="128">
        <v>2</v>
      </c>
      <c r="DL110" s="128">
        <v>4</v>
      </c>
      <c r="DM110" s="128">
        <v>3</v>
      </c>
      <c r="DN110" s="128">
        <v>0</v>
      </c>
      <c r="DO110" s="128">
        <v>0</v>
      </c>
      <c r="DP110" s="128">
        <v>0</v>
      </c>
      <c r="DQ110" s="128">
        <v>9</v>
      </c>
      <c r="DR110" s="128">
        <v>9</v>
      </c>
      <c r="DS110" s="128">
        <v>0</v>
      </c>
      <c r="DT110" s="128">
        <v>0</v>
      </c>
      <c r="DU110" s="128">
        <v>0</v>
      </c>
      <c r="DV110" s="128">
        <v>0</v>
      </c>
      <c r="DW110" s="128">
        <v>0</v>
      </c>
      <c r="DX110" s="128">
        <v>2</v>
      </c>
      <c r="DY110" s="128">
        <v>4</v>
      </c>
      <c r="DZ110" s="128">
        <v>3</v>
      </c>
      <c r="EA110" s="128">
        <v>0</v>
      </c>
      <c r="EB110" s="128">
        <v>0</v>
      </c>
      <c r="EC110" s="128">
        <v>2</v>
      </c>
      <c r="ED110" s="128">
        <v>4</v>
      </c>
      <c r="EE110" s="128">
        <v>3</v>
      </c>
      <c r="EF110" s="128">
        <v>0</v>
      </c>
      <c r="EG110" s="128">
        <v>0</v>
      </c>
      <c r="EH110" s="128">
        <v>0</v>
      </c>
      <c r="EI110" s="128">
        <v>9</v>
      </c>
      <c r="EJ110" s="128">
        <v>9</v>
      </c>
      <c r="EK110" s="128">
        <v>1</v>
      </c>
      <c r="EL110" s="128">
        <v>0.3</v>
      </c>
      <c r="EM110" s="128">
        <v>0.3</v>
      </c>
      <c r="EN110" s="128">
        <v>173000</v>
      </c>
      <c r="EO110" s="128">
        <v>173000</v>
      </c>
      <c r="EP110" s="128">
        <v>7</v>
      </c>
      <c r="EQ110" s="128">
        <v>2.9</v>
      </c>
      <c r="ER110" s="128">
        <v>3.01</v>
      </c>
      <c r="ES110" s="128">
        <v>1578000</v>
      </c>
      <c r="ET110" s="128">
        <v>1578000</v>
      </c>
      <c r="EU110" s="128">
        <v>6</v>
      </c>
      <c r="EV110" s="128">
        <v>1.2</v>
      </c>
      <c r="EW110" s="128">
        <v>1.06</v>
      </c>
      <c r="EX110" s="128">
        <v>750000</v>
      </c>
      <c r="EY110" s="128">
        <v>0</v>
      </c>
      <c r="FO110" s="128">
        <v>11</v>
      </c>
      <c r="FP110" s="128">
        <v>2.8050000000000002</v>
      </c>
      <c r="FQ110" s="128">
        <v>2.6669999999999998</v>
      </c>
      <c r="FR110" s="128">
        <v>1473000</v>
      </c>
      <c r="FS110" s="128">
        <v>1100000</v>
      </c>
      <c r="FZ110" s="128">
        <v>1</v>
      </c>
      <c r="GA110" s="128">
        <v>0.15</v>
      </c>
      <c r="GB110" s="128">
        <v>12</v>
      </c>
      <c r="GC110" s="128">
        <v>0.15</v>
      </c>
      <c r="GD110" s="128">
        <v>100000</v>
      </c>
      <c r="GE110" s="128">
        <v>0</v>
      </c>
      <c r="IN110" s="128">
        <v>1</v>
      </c>
      <c r="IO110" s="128">
        <v>114</v>
      </c>
      <c r="IP110" s="128">
        <v>5.3999999999999999E-2</v>
      </c>
      <c r="IQ110" s="128">
        <v>13110</v>
      </c>
      <c r="IR110" s="128">
        <v>0</v>
      </c>
      <c r="IS110" s="128">
        <v>3</v>
      </c>
      <c r="IT110" s="128">
        <v>188</v>
      </c>
      <c r="IU110" s="128">
        <v>0.09</v>
      </c>
      <c r="IV110" s="128">
        <v>18582</v>
      </c>
      <c r="IW110" s="128">
        <v>0</v>
      </c>
      <c r="KG110" s="128">
        <v>25</v>
      </c>
      <c r="KH110" s="128">
        <v>57</v>
      </c>
      <c r="KI110" s="128">
        <v>4.4000000000000004</v>
      </c>
      <c r="KJ110" s="128">
        <v>0.15</v>
      </c>
      <c r="KK110" s="128">
        <v>5.3999999999999999E-2</v>
      </c>
      <c r="KL110" s="128">
        <v>0</v>
      </c>
      <c r="KM110" s="128">
        <v>4.6040000000000001</v>
      </c>
      <c r="KN110" s="128">
        <v>3974000</v>
      </c>
      <c r="KO110" s="128">
        <v>2851000</v>
      </c>
      <c r="KP110" s="128">
        <v>2851000</v>
      </c>
      <c r="KT110" s="128">
        <v>100000</v>
      </c>
      <c r="KU110" s="128">
        <v>0</v>
      </c>
      <c r="KV110" s="128">
        <v>0</v>
      </c>
      <c r="KZ110" s="128">
        <v>31692</v>
      </c>
      <c r="LA110" s="128">
        <v>0</v>
      </c>
      <c r="LB110" s="128">
        <v>0</v>
      </c>
      <c r="LF110" s="128">
        <v>12000</v>
      </c>
      <c r="LG110" s="128">
        <v>0</v>
      </c>
      <c r="LH110" s="128">
        <v>0</v>
      </c>
      <c r="LL110" s="128">
        <v>3000</v>
      </c>
      <c r="LM110" s="128">
        <v>0</v>
      </c>
      <c r="LN110" s="128">
        <v>0</v>
      </c>
      <c r="LR110" s="128">
        <v>52000</v>
      </c>
      <c r="LS110" s="128">
        <v>25000</v>
      </c>
      <c r="LT110" s="128">
        <v>25000</v>
      </c>
      <c r="LX110" s="128">
        <v>110000</v>
      </c>
      <c r="LY110" s="128">
        <v>0</v>
      </c>
      <c r="LZ110" s="128">
        <v>0</v>
      </c>
      <c r="MD110" s="128">
        <v>10000</v>
      </c>
      <c r="ME110" s="128">
        <v>0</v>
      </c>
      <c r="MF110" s="128">
        <v>0</v>
      </c>
      <c r="MJ110" s="128">
        <v>17000</v>
      </c>
      <c r="MK110" s="128">
        <v>0</v>
      </c>
      <c r="ML110" s="128">
        <v>0</v>
      </c>
      <c r="MP110" s="128">
        <v>85000</v>
      </c>
      <c r="MQ110" s="128">
        <v>0</v>
      </c>
      <c r="MR110" s="128">
        <v>0</v>
      </c>
      <c r="MV110" s="128">
        <v>183000</v>
      </c>
      <c r="MW110" s="128">
        <v>100000</v>
      </c>
      <c r="MX110" s="128">
        <v>100000</v>
      </c>
      <c r="NB110" s="128">
        <v>12000</v>
      </c>
      <c r="NC110" s="128">
        <v>0</v>
      </c>
      <c r="ND110" s="128">
        <v>0</v>
      </c>
      <c r="NH110" s="128">
        <v>0</v>
      </c>
      <c r="NI110" s="128">
        <v>0</v>
      </c>
      <c r="NJ110" s="128">
        <v>0</v>
      </c>
      <c r="NN110" s="128">
        <v>20000</v>
      </c>
      <c r="NO110" s="128">
        <v>5000</v>
      </c>
      <c r="NP110" s="128">
        <v>5000</v>
      </c>
      <c r="NT110" s="128">
        <v>17000</v>
      </c>
      <c r="NU110" s="128">
        <v>0</v>
      </c>
      <c r="NV110" s="128">
        <v>0</v>
      </c>
      <c r="NZ110" s="128">
        <v>48000</v>
      </c>
      <c r="OA110" s="128">
        <v>0</v>
      </c>
      <c r="OB110" s="128">
        <v>0</v>
      </c>
      <c r="OF110" s="128">
        <v>5000</v>
      </c>
      <c r="OG110" s="128">
        <v>0</v>
      </c>
      <c r="OH110" s="128">
        <v>0</v>
      </c>
      <c r="OL110" s="128">
        <v>0</v>
      </c>
      <c r="OM110" s="128">
        <v>0</v>
      </c>
      <c r="ON110" s="128">
        <v>0</v>
      </c>
      <c r="OR110" s="128">
        <v>0</v>
      </c>
      <c r="OS110" s="128">
        <v>0</v>
      </c>
      <c r="OT110" s="128">
        <v>0</v>
      </c>
      <c r="OX110" s="128">
        <v>85000</v>
      </c>
      <c r="OY110" s="128">
        <v>0</v>
      </c>
      <c r="OZ110" s="128">
        <v>0</v>
      </c>
      <c r="PD110" s="128">
        <v>115000</v>
      </c>
      <c r="PE110" s="128">
        <v>0</v>
      </c>
      <c r="PF110" s="128">
        <v>0</v>
      </c>
      <c r="PJ110" s="128">
        <v>45000</v>
      </c>
      <c r="PK110" s="128">
        <v>0</v>
      </c>
      <c r="PL110" s="128">
        <v>0</v>
      </c>
      <c r="PP110" s="128">
        <v>4924692</v>
      </c>
      <c r="PQ110" s="128">
        <v>2981000</v>
      </c>
      <c r="PR110" s="128">
        <v>2981000</v>
      </c>
      <c r="PS110" s="128">
        <v>100</v>
      </c>
      <c r="PT110" s="128">
        <v>100</v>
      </c>
      <c r="PV110" s="128">
        <v>3032977</v>
      </c>
      <c r="PX110" s="128">
        <v>2626020</v>
      </c>
      <c r="PY110" s="128">
        <v>2790235</v>
      </c>
      <c r="PZ110" s="128">
        <v>2981000</v>
      </c>
      <c r="QA110" s="128">
        <v>81178</v>
      </c>
      <c r="QB110" s="128">
        <v>3656</v>
      </c>
      <c r="QC110" s="128">
        <v>0</v>
      </c>
      <c r="QD110" s="128">
        <v>0</v>
      </c>
      <c r="QE110" s="128">
        <v>0</v>
      </c>
      <c r="QF110" s="128">
        <v>0</v>
      </c>
      <c r="QG110" s="128">
        <v>0</v>
      </c>
      <c r="QH110" s="128">
        <v>0</v>
      </c>
      <c r="QI110" s="128">
        <v>0</v>
      </c>
      <c r="QJ110" s="128">
        <v>794219</v>
      </c>
      <c r="QK110" s="128">
        <v>827000</v>
      </c>
      <c r="QL110" s="128">
        <v>1080000</v>
      </c>
      <c r="QN110" s="128">
        <v>94254</v>
      </c>
      <c r="QO110" s="128">
        <v>129000</v>
      </c>
      <c r="QP110" s="128">
        <v>254000</v>
      </c>
      <c r="QU110" s="128">
        <v>0</v>
      </c>
      <c r="QV110" s="128">
        <v>141000</v>
      </c>
      <c r="QW110" s="128">
        <v>0</v>
      </c>
      <c r="QX110" s="128">
        <v>141490</v>
      </c>
      <c r="QY110" s="128">
        <v>160185</v>
      </c>
      <c r="QZ110" s="128">
        <v>203000</v>
      </c>
      <c r="RD110" s="128">
        <v>401735</v>
      </c>
      <c r="RE110" s="128">
        <v>258344</v>
      </c>
      <c r="RF110" s="128">
        <v>406692</v>
      </c>
      <c r="RH110" s="128">
        <f t="shared" si="209"/>
        <v>3590692</v>
      </c>
      <c r="RI110" s="128">
        <v>0</v>
      </c>
      <c r="RM110" s="128" t="s">
        <v>220</v>
      </c>
      <c r="RU110" s="130"/>
      <c r="RV110" s="130"/>
      <c r="RW110" s="130"/>
      <c r="RX110" s="130"/>
      <c r="SF110" s="128">
        <f t="shared" si="119"/>
        <v>2499134</v>
      </c>
      <c r="SG110" s="131">
        <f t="shared" si="120"/>
        <v>4924692</v>
      </c>
      <c r="SH110" s="131">
        <f t="shared" si="121"/>
        <v>4924692</v>
      </c>
      <c r="SI110" s="131">
        <f t="shared" si="122"/>
        <v>4117692</v>
      </c>
      <c r="SJ110" s="132">
        <f t="shared" si="123"/>
        <v>3974000</v>
      </c>
      <c r="SK110" s="132">
        <f t="shared" si="124"/>
        <v>100000</v>
      </c>
      <c r="SL110" s="132">
        <f t="shared" si="125"/>
        <v>31692</v>
      </c>
      <c r="SM110" s="132">
        <f t="shared" si="126"/>
        <v>12000</v>
      </c>
      <c r="SN110" s="131">
        <f t="shared" si="127"/>
        <v>807000</v>
      </c>
      <c r="SO110" s="131">
        <f t="shared" si="128"/>
        <v>55000</v>
      </c>
      <c r="SP110" s="132">
        <f t="shared" si="129"/>
        <v>3000</v>
      </c>
      <c r="SQ110" s="132">
        <f t="shared" si="130"/>
        <v>52000</v>
      </c>
      <c r="SR110" s="132">
        <f t="shared" si="131"/>
        <v>110000</v>
      </c>
      <c r="SS110" s="132">
        <f t="shared" si="132"/>
        <v>10000</v>
      </c>
      <c r="ST110" s="132">
        <f t="shared" si="133"/>
        <v>17000</v>
      </c>
      <c r="SU110" s="132">
        <f t="shared" si="134"/>
        <v>85000</v>
      </c>
      <c r="SV110" s="131">
        <f t="shared" si="135"/>
        <v>370000</v>
      </c>
      <c r="SW110" s="132">
        <f t="shared" si="136"/>
        <v>183000</v>
      </c>
      <c r="SX110" s="132">
        <f t="shared" si="137"/>
        <v>12000</v>
      </c>
      <c r="SY110" s="132">
        <f t="shared" si="138"/>
        <v>0</v>
      </c>
      <c r="SZ110" s="132">
        <f t="shared" si="139"/>
        <v>20000</v>
      </c>
      <c r="TA110" s="132">
        <f t="shared" si="140"/>
        <v>17000</v>
      </c>
      <c r="TB110" s="132">
        <f t="shared" si="141"/>
        <v>48000</v>
      </c>
      <c r="TC110" s="132">
        <f t="shared" si="142"/>
        <v>5000</v>
      </c>
      <c r="TD110" s="132">
        <f t="shared" si="143"/>
        <v>0</v>
      </c>
      <c r="TE110" s="132">
        <f t="shared" si="144"/>
        <v>0</v>
      </c>
      <c r="TF110" s="132">
        <f t="shared" si="145"/>
        <v>85000</v>
      </c>
      <c r="TG110" s="132">
        <f t="shared" si="146"/>
        <v>115000</v>
      </c>
      <c r="TH110" s="132">
        <f t="shared" si="147"/>
        <v>45000</v>
      </c>
      <c r="TI110" s="1"/>
      <c r="TJ110" s="131">
        <f t="shared" si="148"/>
        <v>2981000</v>
      </c>
      <c r="TK110" s="131">
        <f t="shared" si="149"/>
        <v>2981000</v>
      </c>
      <c r="TL110" s="131">
        <f t="shared" si="150"/>
        <v>2851000</v>
      </c>
      <c r="TM110" s="132">
        <f t="shared" si="151"/>
        <v>2851000</v>
      </c>
      <c r="TN110" s="132">
        <f t="shared" si="152"/>
        <v>0</v>
      </c>
      <c r="TO110" s="132">
        <f t="shared" si="153"/>
        <v>0</v>
      </c>
      <c r="TP110" s="132">
        <f t="shared" si="154"/>
        <v>0</v>
      </c>
      <c r="TQ110" s="131">
        <f t="shared" si="155"/>
        <v>130000</v>
      </c>
      <c r="TR110" s="131">
        <f t="shared" si="156"/>
        <v>25000</v>
      </c>
      <c r="TS110" s="132">
        <f t="shared" si="157"/>
        <v>0</v>
      </c>
      <c r="TT110" s="132">
        <f t="shared" si="158"/>
        <v>25000</v>
      </c>
      <c r="TU110" s="132">
        <f t="shared" si="159"/>
        <v>0</v>
      </c>
      <c r="TV110" s="132">
        <f t="shared" si="160"/>
        <v>0</v>
      </c>
      <c r="TW110" s="132">
        <f t="shared" si="161"/>
        <v>0</v>
      </c>
      <c r="TX110" s="132">
        <f t="shared" si="162"/>
        <v>0</v>
      </c>
      <c r="TY110" s="131">
        <f t="shared" si="163"/>
        <v>105000</v>
      </c>
      <c r="TZ110" s="132">
        <f t="shared" si="164"/>
        <v>100000</v>
      </c>
      <c r="UA110" s="132">
        <f t="shared" si="165"/>
        <v>0</v>
      </c>
      <c r="UB110" s="132">
        <f t="shared" si="166"/>
        <v>0</v>
      </c>
      <c r="UC110" s="132">
        <f t="shared" si="167"/>
        <v>5000</v>
      </c>
      <c r="UD110" s="132">
        <f t="shared" si="168"/>
        <v>0</v>
      </c>
      <c r="UE110" s="132">
        <f t="shared" si="169"/>
        <v>0</v>
      </c>
      <c r="UF110" s="132">
        <f t="shared" si="170"/>
        <v>0</v>
      </c>
      <c r="UG110" s="132">
        <f t="shared" si="171"/>
        <v>0</v>
      </c>
      <c r="UH110" s="132">
        <f t="shared" si="172"/>
        <v>0</v>
      </c>
      <c r="UI110" s="132">
        <f t="shared" si="173"/>
        <v>0</v>
      </c>
      <c r="UJ110" s="132">
        <f t="shared" si="174"/>
        <v>0</v>
      </c>
      <c r="UK110" s="132">
        <f t="shared" si="175"/>
        <v>0</v>
      </c>
      <c r="UL110" s="132">
        <f t="shared" si="210"/>
        <v>2981000</v>
      </c>
      <c r="UM110" s="131">
        <f t="shared" si="176"/>
        <v>2981000</v>
      </c>
      <c r="UN110" s="131">
        <f t="shared" si="177"/>
        <v>2981000</v>
      </c>
      <c r="UO110" s="131">
        <f t="shared" si="178"/>
        <v>2851000</v>
      </c>
      <c r="UP110" s="132">
        <f t="shared" si="179"/>
        <v>2851000</v>
      </c>
      <c r="UQ110" s="132">
        <f t="shared" si="180"/>
        <v>0</v>
      </c>
      <c r="UR110" s="132">
        <f t="shared" si="181"/>
        <v>0</v>
      </c>
      <c r="US110" s="132">
        <f t="shared" si="182"/>
        <v>0</v>
      </c>
      <c r="UT110" s="131">
        <f t="shared" si="183"/>
        <v>130000</v>
      </c>
      <c r="UU110" s="131">
        <f t="shared" si="184"/>
        <v>25000</v>
      </c>
      <c r="UV110" s="132">
        <f t="shared" si="185"/>
        <v>0</v>
      </c>
      <c r="UW110" s="132">
        <f t="shared" si="186"/>
        <v>25000</v>
      </c>
      <c r="UX110" s="132">
        <f t="shared" si="187"/>
        <v>0</v>
      </c>
      <c r="UY110" s="132">
        <f t="shared" si="188"/>
        <v>0</v>
      </c>
      <c r="UZ110" s="132">
        <f t="shared" si="189"/>
        <v>0</v>
      </c>
      <c r="VA110" s="132">
        <f t="shared" si="190"/>
        <v>0</v>
      </c>
      <c r="VB110" s="131">
        <f t="shared" si="191"/>
        <v>105000</v>
      </c>
      <c r="VC110" s="132">
        <f t="shared" si="192"/>
        <v>100000</v>
      </c>
      <c r="VD110" s="132">
        <f t="shared" si="193"/>
        <v>0</v>
      </c>
      <c r="VE110" s="132">
        <f t="shared" si="194"/>
        <v>0</v>
      </c>
      <c r="VF110" s="132">
        <f t="shared" si="195"/>
        <v>5000</v>
      </c>
      <c r="VG110" s="132">
        <f t="shared" si="196"/>
        <v>0</v>
      </c>
      <c r="VH110" s="132">
        <f t="shared" si="197"/>
        <v>0</v>
      </c>
      <c r="VI110" s="132">
        <f t="shared" si="198"/>
        <v>0</v>
      </c>
      <c r="VJ110" s="132">
        <f t="shared" si="199"/>
        <v>0</v>
      </c>
      <c r="VK110" s="132">
        <f t="shared" si="200"/>
        <v>0</v>
      </c>
      <c r="VL110" s="132">
        <f t="shared" si="201"/>
        <v>0</v>
      </c>
      <c r="VM110" s="132">
        <f t="shared" si="202"/>
        <v>0</v>
      </c>
      <c r="VN110" s="132">
        <f t="shared" si="203"/>
        <v>0</v>
      </c>
      <c r="VP110" s="845" t="str">
        <f>IFERROR(HLOOKUP(F110,'Hodnocení '!$C$1:$JH$5,2,FALSE),0)</f>
        <v>Stacionář sv. Františka</v>
      </c>
      <c r="VQ110" s="838"/>
      <c r="VR110" s="845" t="str">
        <f t="shared" si="211"/>
        <v>Církve a náboženské společnosti</v>
      </c>
      <c r="VS110" s="845" t="str">
        <f>IFERROR(HLOOKUP(F110,'Hodnocení '!$C$1:$JH$5,5,FALSE),0)</f>
        <v>NZO</v>
      </c>
      <c r="VT110" s="838">
        <f t="shared" si="212"/>
        <v>0</v>
      </c>
      <c r="VU110" s="838">
        <f t="shared" si="213"/>
        <v>0</v>
      </c>
      <c r="VV110" s="838">
        <f t="shared" si="214"/>
        <v>1080000</v>
      </c>
      <c r="VW110" s="838">
        <f t="shared" si="215"/>
        <v>254000</v>
      </c>
      <c r="VX110" s="838"/>
      <c r="VY110" s="838">
        <f t="shared" si="216"/>
        <v>0</v>
      </c>
      <c r="VZ110" s="838">
        <f t="shared" si="217"/>
        <v>2981000</v>
      </c>
      <c r="WA110" s="846">
        <f>IFERROR(HLOOKUP($F110,'Hodnocení '!$C$1:$JH$9,9,FALSE),0)</f>
        <v>2981000</v>
      </c>
      <c r="WB110" s="846">
        <f>IF(IFERROR(HLOOKUP($F110,'Hodnocení '!$C$1:$JH$13,13,FALSE),0)&gt;WA110,WA110,IFERROR(HLOOKUP($F110,'Hodnocení '!$C$1:$JH$13,13,FALSE),0))</f>
        <v>2981000</v>
      </c>
      <c r="WC110" s="846">
        <f>IFERROR(HLOOKUP($F110,'Hodnocení '!$C$1:$JH$155,155,FALSE),0)</f>
        <v>2981000</v>
      </c>
      <c r="WD110" s="845"/>
      <c r="WE110" s="845"/>
      <c r="WF110" s="845" t="str">
        <f t="shared" si="204"/>
        <v>ANO</v>
      </c>
      <c r="WG110" s="849" t="str">
        <f t="shared" si="218"/>
        <v>Podpora služby je vyjádřena zařazením do sítě sociálních služeb v KHK a řešením financování služby</v>
      </c>
      <c r="WH110"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10" s="849" t="str">
        <f t="shared" si="218"/>
        <v>Návrh dotace je výsledkem projednání s ostatními zadavateli v rámci sítě služeb KHK</v>
      </c>
      <c r="WJ110" s="849" t="str">
        <f t="shared" si="218"/>
        <v>Bez komentáře</v>
      </c>
      <c r="WK110" s="31">
        <f t="shared" si="205"/>
        <v>0</v>
      </c>
      <c r="WL110" s="850">
        <f t="shared" si="206"/>
        <v>0</v>
      </c>
      <c r="WM110" s="849" t="str">
        <f t="shared" si="207"/>
        <v>V rámci sítě KHK se dlouhodobě řeší otázka navyšování úhrad a průběžně se monitoruje s vazbou na vykrytí vyrovnávací platby</v>
      </c>
      <c r="WN110" s="849" t="str">
        <f t="shared" si="208"/>
        <v>Otázka výběru od zdravotních pojišťoven je předmětem procesu, který probíhá ve formě jednání se ZP a organizacemi</v>
      </c>
      <c r="WO110" s="849" t="str">
        <f t="shared" si="219"/>
        <v>bez komentáře</v>
      </c>
      <c r="WP110" s="849" t="str">
        <f t="shared" si="219"/>
        <v>bez komentáře</v>
      </c>
      <c r="WQ110" s="849" t="str">
        <f t="shared" si="219"/>
        <v>Konečná výše dotace z rozpočtu KHK bude řešena v návaznosti na řešení podílů jednotlivých zadavatelů.</v>
      </c>
      <c r="WR110" s="849" t="str">
        <f t="shared" si="219"/>
        <v>Konečná výše podpory ze stran obcí bude řešena v součinnosti s jednotlivými zadavateli v průběhu roku.</v>
      </c>
      <c r="WS110" s="849" t="str">
        <f t="shared" si="219"/>
        <v>bez komentáře</v>
      </c>
      <c r="WT110" s="849" t="str">
        <f t="shared" si="219"/>
        <v>bez komentáře</v>
      </c>
      <c r="WU110" s="845"/>
    </row>
    <row r="111" spans="1:619" s="128" customFormat="1" x14ac:dyDescent="0.25">
      <c r="A111" s="128" t="str">
        <f>VLOOKUP(F111,'Výpočet VP 2020'!$D$324:$I$588,6,FALSE)</f>
        <v>Je v síti</v>
      </c>
      <c r="B111" s="128" t="s">
        <v>576</v>
      </c>
      <c r="C111" s="128">
        <v>42886198</v>
      </c>
      <c r="D111" s="128" t="s">
        <v>577</v>
      </c>
      <c r="E111" s="128" t="s">
        <v>259</v>
      </c>
      <c r="F111" s="128">
        <v>7399132</v>
      </c>
      <c r="G111" s="128" t="s">
        <v>328</v>
      </c>
      <c r="H111" s="128" t="s">
        <v>218</v>
      </c>
      <c r="I111" s="128" t="s">
        <v>576</v>
      </c>
      <c r="J111" s="129">
        <v>39083</v>
      </c>
      <c r="L111" s="128" t="s">
        <v>220</v>
      </c>
      <c r="X111" s="128" t="s">
        <v>232</v>
      </c>
      <c r="Z111" s="128">
        <v>1</v>
      </c>
      <c r="AA111" s="128">
        <v>10</v>
      </c>
      <c r="AB111" s="128">
        <v>8</v>
      </c>
      <c r="AC111" s="128">
        <v>10</v>
      </c>
      <c r="AD111" s="128">
        <v>10</v>
      </c>
      <c r="AN111" s="128">
        <v>400</v>
      </c>
      <c r="AP111" s="128" t="s">
        <v>578</v>
      </c>
      <c r="AQ111" s="128">
        <v>6</v>
      </c>
      <c r="AR111" s="128">
        <v>110</v>
      </c>
      <c r="AS111" s="128">
        <v>114</v>
      </c>
      <c r="AT111" s="128">
        <v>110</v>
      </c>
      <c r="AU111" s="128">
        <v>110</v>
      </c>
      <c r="BJ111" s="128">
        <v>4100</v>
      </c>
      <c r="BL111" s="128" t="s">
        <v>579</v>
      </c>
      <c r="BM111" s="128" t="s">
        <v>325</v>
      </c>
      <c r="BN111" s="128" t="s">
        <v>326</v>
      </c>
      <c r="BO111" s="128">
        <v>0</v>
      </c>
      <c r="BP111" s="128">
        <v>0</v>
      </c>
      <c r="BQ111" s="128">
        <v>0</v>
      </c>
      <c r="BR111" s="128">
        <v>0</v>
      </c>
      <c r="BS111" s="128">
        <v>0</v>
      </c>
      <c r="BT111" s="128">
        <v>55</v>
      </c>
      <c r="BU111" s="128">
        <v>26</v>
      </c>
      <c r="BV111" s="128">
        <v>23</v>
      </c>
      <c r="BW111" s="128">
        <v>15</v>
      </c>
      <c r="BX111" s="128">
        <v>1</v>
      </c>
      <c r="BY111" s="128">
        <v>55</v>
      </c>
      <c r="BZ111" s="128">
        <v>26</v>
      </c>
      <c r="CA111" s="128">
        <v>23</v>
      </c>
      <c r="CB111" s="128">
        <v>15</v>
      </c>
      <c r="CC111" s="128">
        <v>1</v>
      </c>
      <c r="CD111" s="128">
        <v>0</v>
      </c>
      <c r="CE111" s="128">
        <v>120</v>
      </c>
      <c r="CF111" s="128">
        <v>120</v>
      </c>
      <c r="CG111" s="128">
        <v>1</v>
      </c>
      <c r="CH111" s="128">
        <v>0</v>
      </c>
      <c r="CI111" s="128">
        <v>0</v>
      </c>
      <c r="CJ111" s="128">
        <v>0</v>
      </c>
      <c r="CK111" s="128">
        <v>0</v>
      </c>
      <c r="CL111" s="128">
        <v>0</v>
      </c>
      <c r="CM111" s="128">
        <v>48</v>
      </c>
      <c r="CN111" s="128">
        <v>30</v>
      </c>
      <c r="CO111" s="128">
        <v>25</v>
      </c>
      <c r="CP111" s="128">
        <v>15</v>
      </c>
      <c r="CQ111" s="128">
        <v>2</v>
      </c>
      <c r="CR111" s="128">
        <v>48</v>
      </c>
      <c r="CS111" s="128">
        <v>30</v>
      </c>
      <c r="CT111" s="128">
        <v>25</v>
      </c>
      <c r="CU111" s="128">
        <v>15</v>
      </c>
      <c r="CV111" s="128">
        <v>2</v>
      </c>
      <c r="CW111" s="128">
        <v>0</v>
      </c>
      <c r="CX111" s="128">
        <v>120</v>
      </c>
      <c r="CY111" s="128">
        <v>120</v>
      </c>
      <c r="CZ111" s="128">
        <v>1</v>
      </c>
      <c r="EK111" s="128">
        <v>1</v>
      </c>
      <c r="EL111" s="128">
        <v>1</v>
      </c>
      <c r="EM111" s="128">
        <v>1</v>
      </c>
      <c r="EN111" s="128">
        <v>716476</v>
      </c>
      <c r="EO111" s="128">
        <v>260000</v>
      </c>
      <c r="EP111" s="128">
        <v>7</v>
      </c>
      <c r="EQ111" s="128">
        <v>7</v>
      </c>
      <c r="ER111" s="128">
        <v>7</v>
      </c>
      <c r="ES111" s="128">
        <v>3392771</v>
      </c>
      <c r="ET111" s="128">
        <v>1870000</v>
      </c>
      <c r="FO111" s="128">
        <v>5</v>
      </c>
      <c r="FP111" s="128">
        <v>0.3</v>
      </c>
      <c r="FQ111" s="128">
        <v>0</v>
      </c>
      <c r="FR111" s="128">
        <v>170035</v>
      </c>
      <c r="FS111" s="128">
        <v>0</v>
      </c>
      <c r="GL111" s="128">
        <v>4</v>
      </c>
      <c r="GM111" s="128">
        <v>2</v>
      </c>
      <c r="GN111" s="128">
        <v>26</v>
      </c>
      <c r="GO111" s="128">
        <v>1.083</v>
      </c>
      <c r="GP111" s="128">
        <v>437258</v>
      </c>
      <c r="GQ111" s="128">
        <v>58680</v>
      </c>
      <c r="IN111" s="128">
        <v>4</v>
      </c>
      <c r="IO111" s="128">
        <v>1200</v>
      </c>
      <c r="IP111" s="128">
        <v>0.57299999999999995</v>
      </c>
      <c r="IQ111" s="128">
        <v>180000</v>
      </c>
      <c r="IR111" s="128">
        <v>0</v>
      </c>
      <c r="KG111" s="128">
        <v>0</v>
      </c>
      <c r="KI111" s="128">
        <v>8</v>
      </c>
      <c r="KJ111" s="128">
        <v>1.083</v>
      </c>
      <c r="KK111" s="128">
        <v>0.57299999999999995</v>
      </c>
      <c r="KL111" s="128">
        <v>0</v>
      </c>
      <c r="KM111" s="128">
        <v>9.6560000000000006</v>
      </c>
      <c r="KN111" s="128">
        <v>4279282</v>
      </c>
      <c r="KO111" s="128">
        <v>2130000</v>
      </c>
      <c r="KP111" s="128">
        <v>2130000</v>
      </c>
      <c r="KT111" s="128">
        <v>437258</v>
      </c>
      <c r="KU111" s="128">
        <v>58680</v>
      </c>
      <c r="KV111" s="128">
        <v>58680</v>
      </c>
      <c r="KZ111" s="128">
        <v>180000</v>
      </c>
      <c r="LA111" s="128">
        <v>0</v>
      </c>
      <c r="LB111" s="128">
        <v>0</v>
      </c>
      <c r="LF111" s="128">
        <v>28392</v>
      </c>
      <c r="LG111" s="128">
        <v>0</v>
      </c>
      <c r="LH111" s="128">
        <v>0</v>
      </c>
      <c r="LL111" s="128">
        <v>0</v>
      </c>
      <c r="LM111" s="128">
        <v>0</v>
      </c>
      <c r="LN111" s="128">
        <v>0</v>
      </c>
      <c r="LR111" s="128">
        <v>5500</v>
      </c>
      <c r="LS111" s="128">
        <v>0</v>
      </c>
      <c r="LT111" s="128">
        <v>0</v>
      </c>
      <c r="LX111" s="128">
        <v>0</v>
      </c>
      <c r="LY111" s="128">
        <v>0</v>
      </c>
      <c r="LZ111" s="128">
        <v>0</v>
      </c>
      <c r="MD111" s="128">
        <v>5000</v>
      </c>
      <c r="ME111" s="128">
        <v>0</v>
      </c>
      <c r="MF111" s="128">
        <v>0</v>
      </c>
      <c r="MJ111" s="128">
        <v>94000</v>
      </c>
      <c r="MK111" s="128">
        <v>0</v>
      </c>
      <c r="ML111" s="128">
        <v>0</v>
      </c>
      <c r="MP111" s="128">
        <v>37489</v>
      </c>
      <c r="MQ111" s="128">
        <v>0</v>
      </c>
      <c r="MR111" s="128">
        <v>0</v>
      </c>
      <c r="MV111" s="128">
        <v>66500</v>
      </c>
      <c r="MW111" s="128">
        <v>0</v>
      </c>
      <c r="MX111" s="128">
        <v>0</v>
      </c>
      <c r="NB111" s="128">
        <v>20000</v>
      </c>
      <c r="NC111" s="128">
        <v>0</v>
      </c>
      <c r="ND111" s="128">
        <v>0</v>
      </c>
      <c r="NH111" s="128">
        <v>0</v>
      </c>
      <c r="NI111" s="128">
        <v>0</v>
      </c>
      <c r="NJ111" s="128">
        <v>0</v>
      </c>
      <c r="NN111" s="128">
        <v>0</v>
      </c>
      <c r="NO111" s="128">
        <v>0</v>
      </c>
      <c r="NP111" s="128">
        <v>0</v>
      </c>
      <c r="NT111" s="128">
        <v>24000</v>
      </c>
      <c r="NU111" s="128">
        <v>0</v>
      </c>
      <c r="NV111" s="128">
        <v>0</v>
      </c>
      <c r="NZ111" s="128">
        <v>50000</v>
      </c>
      <c r="OA111" s="128">
        <v>0</v>
      </c>
      <c r="OB111" s="128">
        <v>0</v>
      </c>
      <c r="OF111" s="128">
        <v>2000</v>
      </c>
      <c r="OG111" s="128">
        <v>0</v>
      </c>
      <c r="OH111" s="128">
        <v>0</v>
      </c>
      <c r="OL111" s="128">
        <v>0</v>
      </c>
      <c r="OM111" s="128">
        <v>0</v>
      </c>
      <c r="ON111" s="128">
        <v>0</v>
      </c>
      <c r="OR111" s="128">
        <v>0</v>
      </c>
      <c r="OS111" s="128">
        <v>0</v>
      </c>
      <c r="OT111" s="128">
        <v>0</v>
      </c>
      <c r="OX111" s="128">
        <v>30575</v>
      </c>
      <c r="OY111" s="128">
        <v>0</v>
      </c>
      <c r="OZ111" s="128">
        <v>0</v>
      </c>
      <c r="PD111" s="128">
        <v>684</v>
      </c>
      <c r="PE111" s="128">
        <v>0</v>
      </c>
      <c r="PF111" s="128">
        <v>0</v>
      </c>
      <c r="PJ111" s="128">
        <v>38900</v>
      </c>
      <c r="PK111" s="128">
        <v>0</v>
      </c>
      <c r="PL111" s="128">
        <v>0</v>
      </c>
      <c r="PP111" s="128">
        <v>5299580</v>
      </c>
      <c r="PQ111" s="128">
        <v>2188680</v>
      </c>
      <c r="PR111" s="128">
        <v>2188680</v>
      </c>
      <c r="PS111" s="128">
        <v>100</v>
      </c>
      <c r="PT111" s="128">
        <v>100</v>
      </c>
      <c r="PV111" s="128">
        <v>3724757</v>
      </c>
      <c r="PX111" s="128">
        <v>1174800</v>
      </c>
      <c r="PY111" s="128">
        <v>971100</v>
      </c>
      <c r="PZ111" s="128">
        <v>2188680</v>
      </c>
      <c r="QA111" s="128">
        <v>0</v>
      </c>
      <c r="QB111" s="128">
        <v>0</v>
      </c>
      <c r="QC111" s="128">
        <v>0</v>
      </c>
      <c r="QD111" s="128">
        <v>1816155</v>
      </c>
      <c r="QE111" s="128">
        <v>1849600</v>
      </c>
      <c r="QF111" s="128">
        <v>2017900</v>
      </c>
      <c r="QG111" s="128">
        <v>0</v>
      </c>
      <c r="QH111" s="128">
        <v>0</v>
      </c>
      <c r="QI111" s="128">
        <v>0</v>
      </c>
      <c r="QJ111" s="128">
        <v>792716</v>
      </c>
      <c r="QK111" s="128">
        <v>863300</v>
      </c>
      <c r="QL111" s="128">
        <v>913000</v>
      </c>
      <c r="QN111" s="128">
        <v>0</v>
      </c>
      <c r="QO111" s="128">
        <v>0</v>
      </c>
      <c r="QP111" s="128">
        <v>0</v>
      </c>
      <c r="QU111" s="128">
        <v>0</v>
      </c>
      <c r="QV111" s="128">
        <v>630200</v>
      </c>
      <c r="QW111" s="128">
        <v>100000</v>
      </c>
      <c r="QX111" s="128">
        <v>45719</v>
      </c>
      <c r="QY111" s="128">
        <v>95000</v>
      </c>
      <c r="QZ111" s="128">
        <v>80000</v>
      </c>
      <c r="RD111" s="128">
        <v>9404</v>
      </c>
      <c r="RE111" s="128">
        <v>0</v>
      </c>
      <c r="RF111" s="128">
        <v>0</v>
      </c>
      <c r="RH111" s="128">
        <f t="shared" si="209"/>
        <v>4386580</v>
      </c>
      <c r="RI111" s="128">
        <v>0</v>
      </c>
      <c r="RM111" s="128" t="s">
        <v>220</v>
      </c>
      <c r="RU111" s="130"/>
      <c r="RV111" s="130"/>
      <c r="RW111" s="130"/>
      <c r="RX111" s="130"/>
      <c r="SF111" s="128">
        <f t="shared" si="119"/>
        <v>7399132</v>
      </c>
      <c r="SG111" s="131">
        <f t="shared" si="120"/>
        <v>5299580</v>
      </c>
      <c r="SH111" s="131">
        <f t="shared" si="121"/>
        <v>5299580</v>
      </c>
      <c r="SI111" s="131">
        <f t="shared" si="122"/>
        <v>4924932</v>
      </c>
      <c r="SJ111" s="132">
        <f t="shared" si="123"/>
        <v>4279282</v>
      </c>
      <c r="SK111" s="132">
        <f t="shared" si="124"/>
        <v>437258</v>
      </c>
      <c r="SL111" s="132">
        <f t="shared" si="125"/>
        <v>180000</v>
      </c>
      <c r="SM111" s="132">
        <f t="shared" si="126"/>
        <v>28392</v>
      </c>
      <c r="SN111" s="131">
        <f t="shared" si="127"/>
        <v>374648</v>
      </c>
      <c r="SO111" s="131">
        <f t="shared" si="128"/>
        <v>5500</v>
      </c>
      <c r="SP111" s="132">
        <f t="shared" si="129"/>
        <v>0</v>
      </c>
      <c r="SQ111" s="132">
        <f t="shared" si="130"/>
        <v>5500</v>
      </c>
      <c r="SR111" s="132">
        <f t="shared" si="131"/>
        <v>0</v>
      </c>
      <c r="SS111" s="132">
        <f t="shared" si="132"/>
        <v>5000</v>
      </c>
      <c r="ST111" s="132">
        <f t="shared" si="133"/>
        <v>94000</v>
      </c>
      <c r="SU111" s="132">
        <f t="shared" si="134"/>
        <v>37489</v>
      </c>
      <c r="SV111" s="131">
        <f t="shared" si="135"/>
        <v>193075</v>
      </c>
      <c r="SW111" s="132">
        <f t="shared" si="136"/>
        <v>66500</v>
      </c>
      <c r="SX111" s="132">
        <f t="shared" si="137"/>
        <v>20000</v>
      </c>
      <c r="SY111" s="132">
        <f t="shared" si="138"/>
        <v>0</v>
      </c>
      <c r="SZ111" s="132">
        <f t="shared" si="139"/>
        <v>0</v>
      </c>
      <c r="TA111" s="132">
        <f t="shared" si="140"/>
        <v>24000</v>
      </c>
      <c r="TB111" s="132">
        <f t="shared" si="141"/>
        <v>50000</v>
      </c>
      <c r="TC111" s="132">
        <f t="shared" si="142"/>
        <v>2000</v>
      </c>
      <c r="TD111" s="132">
        <f t="shared" si="143"/>
        <v>0</v>
      </c>
      <c r="TE111" s="132">
        <f t="shared" si="144"/>
        <v>0</v>
      </c>
      <c r="TF111" s="132">
        <f t="shared" si="145"/>
        <v>30575</v>
      </c>
      <c r="TG111" s="132">
        <f t="shared" si="146"/>
        <v>684</v>
      </c>
      <c r="TH111" s="132">
        <f t="shared" si="147"/>
        <v>38900</v>
      </c>
      <c r="TI111" s="1"/>
      <c r="TJ111" s="131">
        <f t="shared" si="148"/>
        <v>2188680</v>
      </c>
      <c r="TK111" s="131">
        <f t="shared" si="149"/>
        <v>2188680</v>
      </c>
      <c r="TL111" s="131">
        <f t="shared" si="150"/>
        <v>2188680</v>
      </c>
      <c r="TM111" s="132">
        <f t="shared" si="151"/>
        <v>2130000</v>
      </c>
      <c r="TN111" s="132">
        <f t="shared" si="152"/>
        <v>58680</v>
      </c>
      <c r="TO111" s="132">
        <f t="shared" si="153"/>
        <v>0</v>
      </c>
      <c r="TP111" s="132">
        <f t="shared" si="154"/>
        <v>0</v>
      </c>
      <c r="TQ111" s="131">
        <f t="shared" si="155"/>
        <v>0</v>
      </c>
      <c r="TR111" s="131">
        <f t="shared" si="156"/>
        <v>0</v>
      </c>
      <c r="TS111" s="132">
        <f t="shared" si="157"/>
        <v>0</v>
      </c>
      <c r="TT111" s="132">
        <f t="shared" si="158"/>
        <v>0</v>
      </c>
      <c r="TU111" s="132">
        <f t="shared" si="159"/>
        <v>0</v>
      </c>
      <c r="TV111" s="132">
        <f t="shared" si="160"/>
        <v>0</v>
      </c>
      <c r="TW111" s="132">
        <f t="shared" si="161"/>
        <v>0</v>
      </c>
      <c r="TX111" s="132">
        <f t="shared" si="162"/>
        <v>0</v>
      </c>
      <c r="TY111" s="131">
        <f t="shared" si="163"/>
        <v>0</v>
      </c>
      <c r="TZ111" s="132">
        <f t="shared" si="164"/>
        <v>0</v>
      </c>
      <c r="UA111" s="132">
        <f t="shared" si="165"/>
        <v>0</v>
      </c>
      <c r="UB111" s="132">
        <f t="shared" si="166"/>
        <v>0</v>
      </c>
      <c r="UC111" s="132">
        <f t="shared" si="167"/>
        <v>0</v>
      </c>
      <c r="UD111" s="132">
        <f t="shared" si="168"/>
        <v>0</v>
      </c>
      <c r="UE111" s="132">
        <f t="shared" si="169"/>
        <v>0</v>
      </c>
      <c r="UF111" s="132">
        <f t="shared" si="170"/>
        <v>0</v>
      </c>
      <c r="UG111" s="132">
        <f t="shared" si="171"/>
        <v>0</v>
      </c>
      <c r="UH111" s="132">
        <f t="shared" si="172"/>
        <v>0</v>
      </c>
      <c r="UI111" s="132">
        <f t="shared" si="173"/>
        <v>0</v>
      </c>
      <c r="UJ111" s="132">
        <f t="shared" si="174"/>
        <v>0</v>
      </c>
      <c r="UK111" s="132">
        <f t="shared" si="175"/>
        <v>0</v>
      </c>
      <c r="UL111" s="132">
        <f t="shared" si="210"/>
        <v>2188680</v>
      </c>
      <c r="UM111" s="131">
        <f t="shared" si="176"/>
        <v>2188680</v>
      </c>
      <c r="UN111" s="131">
        <f t="shared" si="177"/>
        <v>2188680</v>
      </c>
      <c r="UO111" s="131">
        <f t="shared" si="178"/>
        <v>2188680</v>
      </c>
      <c r="UP111" s="132">
        <f t="shared" si="179"/>
        <v>2130000</v>
      </c>
      <c r="UQ111" s="132">
        <f t="shared" si="180"/>
        <v>58680</v>
      </c>
      <c r="UR111" s="132">
        <f t="shared" si="181"/>
        <v>0</v>
      </c>
      <c r="US111" s="132">
        <f t="shared" si="182"/>
        <v>0</v>
      </c>
      <c r="UT111" s="131">
        <f t="shared" si="183"/>
        <v>0</v>
      </c>
      <c r="UU111" s="131">
        <f t="shared" si="184"/>
        <v>0</v>
      </c>
      <c r="UV111" s="132">
        <f t="shared" si="185"/>
        <v>0</v>
      </c>
      <c r="UW111" s="132">
        <f t="shared" si="186"/>
        <v>0</v>
      </c>
      <c r="UX111" s="132">
        <f t="shared" si="187"/>
        <v>0</v>
      </c>
      <c r="UY111" s="132">
        <f t="shared" si="188"/>
        <v>0</v>
      </c>
      <c r="UZ111" s="132">
        <f t="shared" si="189"/>
        <v>0</v>
      </c>
      <c r="VA111" s="132">
        <f t="shared" si="190"/>
        <v>0</v>
      </c>
      <c r="VB111" s="131">
        <f t="shared" si="191"/>
        <v>0</v>
      </c>
      <c r="VC111" s="132">
        <f t="shared" si="192"/>
        <v>0</v>
      </c>
      <c r="VD111" s="132">
        <f t="shared" si="193"/>
        <v>0</v>
      </c>
      <c r="VE111" s="132">
        <f t="shared" si="194"/>
        <v>0</v>
      </c>
      <c r="VF111" s="132">
        <f t="shared" si="195"/>
        <v>0</v>
      </c>
      <c r="VG111" s="132">
        <f t="shared" si="196"/>
        <v>0</v>
      </c>
      <c r="VH111" s="132">
        <f t="shared" si="197"/>
        <v>0</v>
      </c>
      <c r="VI111" s="132">
        <f t="shared" si="198"/>
        <v>0</v>
      </c>
      <c r="VJ111" s="132">
        <f t="shared" si="199"/>
        <v>0</v>
      </c>
      <c r="VK111" s="132">
        <f t="shared" si="200"/>
        <v>0</v>
      </c>
      <c r="VL111" s="132">
        <f t="shared" si="201"/>
        <v>0</v>
      </c>
      <c r="VM111" s="132">
        <f t="shared" si="202"/>
        <v>0</v>
      </c>
      <c r="VN111" s="132">
        <f t="shared" si="203"/>
        <v>0</v>
      </c>
      <c r="VP111" s="845" t="str">
        <f>IFERROR(HLOOKUP(F111,'Hodnocení '!$C$1:$JH$5,2,FALSE),0)</f>
        <v>Geriatrické centrum Týniště nad Orlicí</v>
      </c>
      <c r="VQ111" s="838"/>
      <c r="VR111" s="845" t="str">
        <f t="shared" si="211"/>
        <v>Příspěvková organizace zřízená územním samosprávným celkem</v>
      </c>
      <c r="VS111" s="845" t="str">
        <f>IFERROR(HLOOKUP(F111,'Hodnocení '!$C$1:$JH$5,5,FALSE),0)</f>
        <v>Obce</v>
      </c>
      <c r="VT111" s="838" t="str">
        <f t="shared" si="212"/>
        <v>Příspěvková organizace zřízená územním samosprávným celkem</v>
      </c>
      <c r="VU111" s="838">
        <f t="shared" si="213"/>
        <v>0</v>
      </c>
      <c r="VV111" s="838">
        <f t="shared" si="214"/>
        <v>913000</v>
      </c>
      <c r="VW111" s="838">
        <f t="shared" si="215"/>
        <v>0</v>
      </c>
      <c r="VX111" s="838"/>
      <c r="VY111" s="838">
        <f t="shared" si="216"/>
        <v>0</v>
      </c>
      <c r="VZ111" s="838">
        <f t="shared" si="217"/>
        <v>2188680</v>
      </c>
      <c r="WA111" s="846">
        <f>IFERROR(HLOOKUP($F111,'Hodnocení '!$C$1:$JH$9,9,FALSE),0)</f>
        <v>2188680</v>
      </c>
      <c r="WB111" s="846">
        <f>IF(IFERROR(HLOOKUP($F111,'Hodnocení '!$C$1:$JH$13,13,FALSE),0)&gt;WA111,WA111,IFERROR(HLOOKUP($F111,'Hodnocení '!$C$1:$JH$13,13,FALSE),0))</f>
        <v>2188680</v>
      </c>
      <c r="WC111" s="846">
        <f>IFERROR(HLOOKUP($F111,'Hodnocení '!$C$1:$JH$155,155,FALSE),0)</f>
        <v>1908550</v>
      </c>
      <c r="WD111" s="845"/>
      <c r="WE111" s="845"/>
      <c r="WF111" s="845" t="str">
        <f t="shared" si="204"/>
        <v>ANO</v>
      </c>
      <c r="WG111" s="849" t="str">
        <f t="shared" si="218"/>
        <v>Podpora služby je vyjádřena zařazením do sítě sociálních služeb v KHK a řešením financování služby</v>
      </c>
      <c r="WH111"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11" s="849" t="str">
        <f t="shared" si="218"/>
        <v>Návrh dotace je výsledkem projednání s ostatními zadavateli v rámci sítě služeb KHK</v>
      </c>
      <c r="WJ111" s="849" t="str">
        <f t="shared" si="218"/>
        <v>Bez komentáře</v>
      </c>
      <c r="WK111" s="31" t="str">
        <f t="shared" si="205"/>
        <v>Výše příspěvku ze strany zřizovatele bude řešen v návaznosti na řešení podílů jednotlivých zadavatelů</v>
      </c>
      <c r="WL111" s="850">
        <f t="shared" si="206"/>
        <v>0</v>
      </c>
      <c r="WM111" s="849" t="str">
        <f t="shared" si="207"/>
        <v>V rámci sítě KHK se dlouhodobě řeší otázka navyšování úhrad a průběžně se monitoruje s vazbou na vykrytí vyrovnávací platby</v>
      </c>
      <c r="WN111" s="849">
        <f t="shared" si="208"/>
        <v>0</v>
      </c>
      <c r="WO111" s="849" t="str">
        <f t="shared" si="219"/>
        <v>bez komentáře</v>
      </c>
      <c r="WP111" s="849" t="str">
        <f t="shared" si="219"/>
        <v>bez komentáře</v>
      </c>
      <c r="WQ111" s="849" t="str">
        <f t="shared" si="219"/>
        <v>Konečná výše dotace z rozpočtu KHK bude řešena v návaznosti na řešení podílů jednotlivých zadavatelů.</v>
      </c>
      <c r="WR111" s="849" t="str">
        <f t="shared" si="219"/>
        <v>Konečná výše podpory ze stran obcí bude řešena v součinnosti s jednotlivými zadavateli v průběhu roku.</v>
      </c>
      <c r="WS111" s="849" t="str">
        <f t="shared" si="219"/>
        <v>bez komentáře</v>
      </c>
      <c r="WT111" s="849" t="str">
        <f t="shared" si="219"/>
        <v>bez komentáře</v>
      </c>
      <c r="WU111" s="845"/>
    </row>
    <row r="112" spans="1:619" s="128" customFormat="1" x14ac:dyDescent="0.25">
      <c r="A112" s="128" t="str">
        <f>VLOOKUP(F112,'Výpočet VP 2020'!$D$324:$I$588,6,FALSE)</f>
        <v>Je v síti</v>
      </c>
      <c r="B112" s="128" t="s">
        <v>576</v>
      </c>
      <c r="C112" s="128">
        <v>42886198</v>
      </c>
      <c r="D112" s="128" t="s">
        <v>577</v>
      </c>
      <c r="E112" s="128" t="s">
        <v>259</v>
      </c>
      <c r="F112" s="128">
        <v>8877013</v>
      </c>
      <c r="G112" s="128" t="s">
        <v>348</v>
      </c>
      <c r="H112" s="128" t="s">
        <v>218</v>
      </c>
      <c r="I112" s="128" t="s">
        <v>576</v>
      </c>
      <c r="J112" s="129">
        <v>39083</v>
      </c>
      <c r="L112" s="128" t="s">
        <v>220</v>
      </c>
      <c r="M112" s="128" t="s">
        <v>350</v>
      </c>
      <c r="N112" s="128">
        <v>42</v>
      </c>
      <c r="P112" s="128">
        <v>57</v>
      </c>
      <c r="Q112" s="128">
        <v>52</v>
      </c>
      <c r="R112" s="128">
        <v>52</v>
      </c>
      <c r="BL112" s="128" t="s">
        <v>351</v>
      </c>
      <c r="BM112" s="128" t="s">
        <v>325</v>
      </c>
      <c r="BN112" s="128" t="s">
        <v>352</v>
      </c>
      <c r="DA112" s="128">
        <v>0</v>
      </c>
      <c r="DB112" s="128">
        <v>0</v>
      </c>
      <c r="DC112" s="128">
        <v>0</v>
      </c>
      <c r="DD112" s="128">
        <v>0</v>
      </c>
      <c r="DE112" s="128">
        <v>0</v>
      </c>
      <c r="DF112" s="128">
        <v>0</v>
      </c>
      <c r="DG112" s="128">
        <v>6</v>
      </c>
      <c r="DH112" s="128">
        <v>19</v>
      </c>
      <c r="DI112" s="128">
        <v>17</v>
      </c>
      <c r="DJ112" s="128">
        <v>0</v>
      </c>
      <c r="DK112" s="128">
        <v>0</v>
      </c>
      <c r="DL112" s="128">
        <v>6</v>
      </c>
      <c r="DM112" s="128">
        <v>19</v>
      </c>
      <c r="DN112" s="128">
        <v>17</v>
      </c>
      <c r="DO112" s="128">
        <v>0</v>
      </c>
      <c r="DP112" s="128">
        <v>0</v>
      </c>
      <c r="DQ112" s="128">
        <v>42</v>
      </c>
      <c r="DR112" s="128">
        <v>42</v>
      </c>
      <c r="DS112" s="128">
        <v>0</v>
      </c>
      <c r="DT112" s="128">
        <v>0</v>
      </c>
      <c r="DU112" s="128">
        <v>0</v>
      </c>
      <c r="DV112" s="128">
        <v>0</v>
      </c>
      <c r="DW112" s="128">
        <v>0</v>
      </c>
      <c r="DX112" s="128">
        <v>0</v>
      </c>
      <c r="DY112" s="128">
        <v>4</v>
      </c>
      <c r="DZ112" s="128">
        <v>19</v>
      </c>
      <c r="EA112" s="128">
        <v>19</v>
      </c>
      <c r="EB112" s="128">
        <v>0</v>
      </c>
      <c r="EC112" s="128">
        <v>0</v>
      </c>
      <c r="ED112" s="128">
        <v>4</v>
      </c>
      <c r="EE112" s="128">
        <v>19</v>
      </c>
      <c r="EF112" s="128">
        <v>19</v>
      </c>
      <c r="EG112" s="128">
        <v>0</v>
      </c>
      <c r="EH112" s="128">
        <v>0</v>
      </c>
      <c r="EI112" s="128">
        <v>42</v>
      </c>
      <c r="EJ112" s="128">
        <v>42</v>
      </c>
      <c r="EK112" s="128">
        <v>1</v>
      </c>
      <c r="EL112" s="128">
        <v>1</v>
      </c>
      <c r="EM112" s="128">
        <v>1</v>
      </c>
      <c r="EN112" s="128">
        <v>774426</v>
      </c>
      <c r="EO112" s="128">
        <v>415200</v>
      </c>
      <c r="EP112" s="128">
        <v>13</v>
      </c>
      <c r="EQ112" s="128">
        <v>13</v>
      </c>
      <c r="ER112" s="128">
        <v>12.81</v>
      </c>
      <c r="ES112" s="128">
        <v>6996677</v>
      </c>
      <c r="ET112" s="128">
        <v>4530000</v>
      </c>
      <c r="EU112" s="128">
        <v>7</v>
      </c>
      <c r="EV112" s="128">
        <v>7</v>
      </c>
      <c r="EW112" s="128">
        <v>7</v>
      </c>
      <c r="EX112" s="128">
        <v>5202699</v>
      </c>
      <c r="EY112" s="128">
        <v>0</v>
      </c>
      <c r="FO112" s="128">
        <v>8</v>
      </c>
      <c r="FP112" s="128">
        <v>7.45</v>
      </c>
      <c r="FQ112" s="128">
        <v>7.45</v>
      </c>
      <c r="FR112" s="128">
        <v>3688996</v>
      </c>
      <c r="FS112" s="128">
        <v>0</v>
      </c>
      <c r="GF112" s="128">
        <v>1</v>
      </c>
      <c r="GG112" s="128">
        <v>0.5</v>
      </c>
      <c r="GH112" s="128">
        <v>12</v>
      </c>
      <c r="GI112" s="128">
        <v>0.5</v>
      </c>
      <c r="GJ112" s="128">
        <v>187320</v>
      </c>
      <c r="GK112" s="128">
        <v>0</v>
      </c>
      <c r="IH112" s="128">
        <v>2</v>
      </c>
      <c r="II112" s="128">
        <v>1</v>
      </c>
      <c r="IJ112" s="128">
        <v>24</v>
      </c>
      <c r="IK112" s="128">
        <v>1</v>
      </c>
      <c r="IL112" s="128">
        <v>316305</v>
      </c>
      <c r="IM112" s="128">
        <v>0</v>
      </c>
      <c r="IS112" s="128">
        <v>4</v>
      </c>
      <c r="IT112" s="128">
        <v>1000</v>
      </c>
      <c r="IU112" s="128">
        <v>0.47699999999999998</v>
      </c>
      <c r="IV112" s="128">
        <v>125700</v>
      </c>
      <c r="IW112" s="128">
        <v>0</v>
      </c>
      <c r="KG112" s="128">
        <v>0</v>
      </c>
      <c r="KI112" s="128">
        <v>21</v>
      </c>
      <c r="KJ112" s="128">
        <v>0.5</v>
      </c>
      <c r="KK112" s="128">
        <v>0</v>
      </c>
      <c r="KL112" s="128">
        <v>0</v>
      </c>
      <c r="KM112" s="128">
        <v>21.5</v>
      </c>
      <c r="KN112" s="128">
        <v>16662798</v>
      </c>
      <c r="KO112" s="128">
        <v>4945200</v>
      </c>
      <c r="KP112" s="128">
        <v>4945200</v>
      </c>
      <c r="KT112" s="128">
        <v>503625</v>
      </c>
      <c r="KU112" s="128">
        <v>0</v>
      </c>
      <c r="KV112" s="128">
        <v>0</v>
      </c>
      <c r="KZ112" s="128">
        <v>125700</v>
      </c>
      <c r="LA112" s="128">
        <v>0</v>
      </c>
      <c r="LB112" s="128">
        <v>0</v>
      </c>
      <c r="LF112" s="128">
        <v>48000</v>
      </c>
      <c r="LG112" s="128">
        <v>0</v>
      </c>
      <c r="LH112" s="128">
        <v>0</v>
      </c>
      <c r="LL112" s="128">
        <v>0</v>
      </c>
      <c r="LM112" s="128">
        <v>0</v>
      </c>
      <c r="LN112" s="128">
        <v>0</v>
      </c>
      <c r="LR112" s="128">
        <v>154500</v>
      </c>
      <c r="LS112" s="128">
        <v>0</v>
      </c>
      <c r="LT112" s="128">
        <v>0</v>
      </c>
      <c r="LX112" s="128">
        <v>0</v>
      </c>
      <c r="LY112" s="128">
        <v>0</v>
      </c>
      <c r="LZ112" s="128">
        <v>0</v>
      </c>
      <c r="MD112" s="128">
        <v>70000</v>
      </c>
      <c r="ME112" s="128">
        <v>0</v>
      </c>
      <c r="MF112" s="128">
        <v>0</v>
      </c>
      <c r="MJ112" s="128">
        <v>26000</v>
      </c>
      <c r="MK112" s="128">
        <v>0</v>
      </c>
      <c r="ML112" s="128">
        <v>0</v>
      </c>
      <c r="MP112" s="128">
        <v>468526</v>
      </c>
      <c r="MQ112" s="128">
        <v>0</v>
      </c>
      <c r="MR112" s="128">
        <v>0</v>
      </c>
      <c r="MV112" s="128">
        <v>1465500</v>
      </c>
      <c r="MW112" s="128">
        <v>0</v>
      </c>
      <c r="MX112" s="128">
        <v>0</v>
      </c>
      <c r="NB112" s="128">
        <v>64800</v>
      </c>
      <c r="NC112" s="128">
        <v>0</v>
      </c>
      <c r="ND112" s="128">
        <v>0</v>
      </c>
      <c r="NH112" s="128">
        <v>7300</v>
      </c>
      <c r="NI112" s="128">
        <v>0</v>
      </c>
      <c r="NJ112" s="128">
        <v>0</v>
      </c>
      <c r="NN112" s="128">
        <v>20000</v>
      </c>
      <c r="NO112" s="128">
        <v>0</v>
      </c>
      <c r="NP112" s="128">
        <v>0</v>
      </c>
      <c r="NT112" s="128">
        <v>13000</v>
      </c>
      <c r="NU112" s="128">
        <v>0</v>
      </c>
      <c r="NV112" s="128">
        <v>0</v>
      </c>
      <c r="NZ112" s="128">
        <v>350000</v>
      </c>
      <c r="OA112" s="128">
        <v>0</v>
      </c>
      <c r="OB112" s="128">
        <v>0</v>
      </c>
      <c r="OF112" s="128">
        <v>8500</v>
      </c>
      <c r="OG112" s="128">
        <v>0</v>
      </c>
      <c r="OH112" s="128">
        <v>0</v>
      </c>
      <c r="OL112" s="128">
        <v>0</v>
      </c>
      <c r="OM112" s="128">
        <v>0</v>
      </c>
      <c r="ON112" s="128">
        <v>0</v>
      </c>
      <c r="OR112" s="128">
        <v>0</v>
      </c>
      <c r="OS112" s="128">
        <v>0</v>
      </c>
      <c r="OT112" s="128">
        <v>0</v>
      </c>
      <c r="OX112" s="128">
        <v>3160359</v>
      </c>
      <c r="OY112" s="128">
        <v>0</v>
      </c>
      <c r="OZ112" s="128">
        <v>0</v>
      </c>
      <c r="PD112" s="128">
        <v>138408</v>
      </c>
      <c r="PE112" s="128">
        <v>0</v>
      </c>
      <c r="PF112" s="128">
        <v>0</v>
      </c>
      <c r="PJ112" s="128">
        <v>74464</v>
      </c>
      <c r="PK112" s="128">
        <v>0</v>
      </c>
      <c r="PL112" s="128">
        <v>0</v>
      </c>
      <c r="PP112" s="128">
        <v>23361480</v>
      </c>
      <c r="PQ112" s="128">
        <v>4945200</v>
      </c>
      <c r="PR112" s="128">
        <v>4945200</v>
      </c>
      <c r="PS112" s="128">
        <v>100</v>
      </c>
      <c r="PT112" s="128">
        <v>100</v>
      </c>
      <c r="PV112" s="128">
        <v>12208660</v>
      </c>
      <c r="PX112" s="128">
        <v>4099800</v>
      </c>
      <c r="PY112" s="128">
        <v>3634850</v>
      </c>
      <c r="PZ112" s="128">
        <v>4945200</v>
      </c>
      <c r="QA112" s="128">
        <v>201941</v>
      </c>
      <c r="QB112" s="128">
        <v>0</v>
      </c>
      <c r="QC112" s="128">
        <v>0</v>
      </c>
      <c r="QD112" s="128">
        <v>2931345</v>
      </c>
      <c r="QE112" s="128">
        <v>3231370</v>
      </c>
      <c r="QF112" s="128">
        <v>3800800</v>
      </c>
      <c r="QG112" s="128">
        <v>0</v>
      </c>
      <c r="QH112" s="128">
        <v>0</v>
      </c>
      <c r="QI112" s="128">
        <v>0</v>
      </c>
      <c r="QJ112" s="128">
        <v>10061657</v>
      </c>
      <c r="QK112" s="128">
        <v>10069936</v>
      </c>
      <c r="QL112" s="128">
        <v>10444780</v>
      </c>
      <c r="QN112" s="128">
        <v>3100632</v>
      </c>
      <c r="QO112" s="128">
        <v>3152000</v>
      </c>
      <c r="QP112" s="128">
        <v>3155000</v>
      </c>
      <c r="QU112" s="128">
        <v>0</v>
      </c>
      <c r="QV112" s="128">
        <v>1008350</v>
      </c>
      <c r="QW112" s="128">
        <v>100000</v>
      </c>
      <c r="QX112" s="128">
        <v>40000</v>
      </c>
      <c r="QY112" s="128">
        <v>39930</v>
      </c>
      <c r="QZ112" s="128">
        <v>40000</v>
      </c>
      <c r="RD112" s="128">
        <v>860101</v>
      </c>
      <c r="RE112" s="128">
        <v>855262</v>
      </c>
      <c r="RF112" s="128">
        <v>875700</v>
      </c>
      <c r="RH112" s="128">
        <f t="shared" si="209"/>
        <v>9761700</v>
      </c>
      <c r="RI112" s="128">
        <v>0</v>
      </c>
      <c r="RM112" s="128" t="s">
        <v>220</v>
      </c>
      <c r="RU112" s="130"/>
      <c r="RV112" s="130"/>
      <c r="RW112" s="130"/>
      <c r="RX112" s="130"/>
      <c r="SF112" s="128">
        <f t="shared" si="119"/>
        <v>8877013</v>
      </c>
      <c r="SG112" s="131">
        <f t="shared" si="120"/>
        <v>23361480</v>
      </c>
      <c r="SH112" s="131">
        <f t="shared" si="121"/>
        <v>23361480</v>
      </c>
      <c r="SI112" s="131">
        <f t="shared" si="122"/>
        <v>17340123</v>
      </c>
      <c r="SJ112" s="132">
        <f t="shared" si="123"/>
        <v>16662798</v>
      </c>
      <c r="SK112" s="132">
        <f t="shared" si="124"/>
        <v>503625</v>
      </c>
      <c r="SL112" s="132">
        <f t="shared" si="125"/>
        <v>125700</v>
      </c>
      <c r="SM112" s="132">
        <f t="shared" si="126"/>
        <v>48000</v>
      </c>
      <c r="SN112" s="131">
        <f t="shared" si="127"/>
        <v>6021357</v>
      </c>
      <c r="SO112" s="131">
        <f t="shared" si="128"/>
        <v>154500</v>
      </c>
      <c r="SP112" s="132">
        <f t="shared" si="129"/>
        <v>0</v>
      </c>
      <c r="SQ112" s="132">
        <f t="shared" si="130"/>
        <v>154500</v>
      </c>
      <c r="SR112" s="132">
        <f t="shared" si="131"/>
        <v>0</v>
      </c>
      <c r="SS112" s="132">
        <f t="shared" si="132"/>
        <v>70000</v>
      </c>
      <c r="ST112" s="132">
        <f t="shared" si="133"/>
        <v>26000</v>
      </c>
      <c r="SU112" s="132">
        <f t="shared" si="134"/>
        <v>468526</v>
      </c>
      <c r="SV112" s="131">
        <f t="shared" si="135"/>
        <v>5089459</v>
      </c>
      <c r="SW112" s="132">
        <f t="shared" si="136"/>
        <v>1465500</v>
      </c>
      <c r="SX112" s="132">
        <f t="shared" si="137"/>
        <v>64800</v>
      </c>
      <c r="SY112" s="132">
        <f t="shared" si="138"/>
        <v>7300</v>
      </c>
      <c r="SZ112" s="132">
        <f t="shared" si="139"/>
        <v>20000</v>
      </c>
      <c r="TA112" s="132">
        <f t="shared" si="140"/>
        <v>13000</v>
      </c>
      <c r="TB112" s="132">
        <f t="shared" si="141"/>
        <v>350000</v>
      </c>
      <c r="TC112" s="132">
        <f t="shared" si="142"/>
        <v>8500</v>
      </c>
      <c r="TD112" s="132">
        <f t="shared" si="143"/>
        <v>0</v>
      </c>
      <c r="TE112" s="132">
        <f t="shared" si="144"/>
        <v>0</v>
      </c>
      <c r="TF112" s="132">
        <f t="shared" si="145"/>
        <v>3160359</v>
      </c>
      <c r="TG112" s="132">
        <f t="shared" si="146"/>
        <v>138408</v>
      </c>
      <c r="TH112" s="132">
        <f t="shared" si="147"/>
        <v>74464</v>
      </c>
      <c r="TI112" s="1"/>
      <c r="TJ112" s="131">
        <f t="shared" si="148"/>
        <v>4945200</v>
      </c>
      <c r="TK112" s="131">
        <f t="shared" si="149"/>
        <v>4945200</v>
      </c>
      <c r="TL112" s="131">
        <f t="shared" si="150"/>
        <v>4945200</v>
      </c>
      <c r="TM112" s="132">
        <f t="shared" si="151"/>
        <v>4945200</v>
      </c>
      <c r="TN112" s="132">
        <f t="shared" si="152"/>
        <v>0</v>
      </c>
      <c r="TO112" s="132">
        <f t="shared" si="153"/>
        <v>0</v>
      </c>
      <c r="TP112" s="132">
        <f t="shared" si="154"/>
        <v>0</v>
      </c>
      <c r="TQ112" s="131">
        <f t="shared" si="155"/>
        <v>0</v>
      </c>
      <c r="TR112" s="131">
        <f t="shared" si="156"/>
        <v>0</v>
      </c>
      <c r="TS112" s="132">
        <f t="shared" si="157"/>
        <v>0</v>
      </c>
      <c r="TT112" s="132">
        <f t="shared" si="158"/>
        <v>0</v>
      </c>
      <c r="TU112" s="132">
        <f t="shared" si="159"/>
        <v>0</v>
      </c>
      <c r="TV112" s="132">
        <f t="shared" si="160"/>
        <v>0</v>
      </c>
      <c r="TW112" s="132">
        <f t="shared" si="161"/>
        <v>0</v>
      </c>
      <c r="TX112" s="132">
        <f t="shared" si="162"/>
        <v>0</v>
      </c>
      <c r="TY112" s="131">
        <f t="shared" si="163"/>
        <v>0</v>
      </c>
      <c r="TZ112" s="132">
        <f t="shared" si="164"/>
        <v>0</v>
      </c>
      <c r="UA112" s="132">
        <f t="shared" si="165"/>
        <v>0</v>
      </c>
      <c r="UB112" s="132">
        <f t="shared" si="166"/>
        <v>0</v>
      </c>
      <c r="UC112" s="132">
        <f t="shared" si="167"/>
        <v>0</v>
      </c>
      <c r="UD112" s="132">
        <f t="shared" si="168"/>
        <v>0</v>
      </c>
      <c r="UE112" s="132">
        <f t="shared" si="169"/>
        <v>0</v>
      </c>
      <c r="UF112" s="132">
        <f t="shared" si="170"/>
        <v>0</v>
      </c>
      <c r="UG112" s="132">
        <f t="shared" si="171"/>
        <v>0</v>
      </c>
      <c r="UH112" s="132">
        <f t="shared" si="172"/>
        <v>0</v>
      </c>
      <c r="UI112" s="132">
        <f t="shared" si="173"/>
        <v>0</v>
      </c>
      <c r="UJ112" s="132">
        <f t="shared" si="174"/>
        <v>0</v>
      </c>
      <c r="UK112" s="132">
        <f t="shared" si="175"/>
        <v>0</v>
      </c>
      <c r="UL112" s="132">
        <f t="shared" si="210"/>
        <v>4945200</v>
      </c>
      <c r="UM112" s="131">
        <f t="shared" si="176"/>
        <v>4945200</v>
      </c>
      <c r="UN112" s="131">
        <f t="shared" si="177"/>
        <v>4945200</v>
      </c>
      <c r="UO112" s="131">
        <f t="shared" si="178"/>
        <v>4945200</v>
      </c>
      <c r="UP112" s="132">
        <f t="shared" si="179"/>
        <v>4945200</v>
      </c>
      <c r="UQ112" s="132">
        <f t="shared" si="180"/>
        <v>0</v>
      </c>
      <c r="UR112" s="132">
        <f t="shared" si="181"/>
        <v>0</v>
      </c>
      <c r="US112" s="132">
        <f t="shared" si="182"/>
        <v>0</v>
      </c>
      <c r="UT112" s="131">
        <f t="shared" si="183"/>
        <v>0</v>
      </c>
      <c r="UU112" s="131">
        <f t="shared" si="184"/>
        <v>0</v>
      </c>
      <c r="UV112" s="132">
        <f t="shared" si="185"/>
        <v>0</v>
      </c>
      <c r="UW112" s="132">
        <f t="shared" si="186"/>
        <v>0</v>
      </c>
      <c r="UX112" s="132">
        <f t="shared" si="187"/>
        <v>0</v>
      </c>
      <c r="UY112" s="132">
        <f t="shared" si="188"/>
        <v>0</v>
      </c>
      <c r="UZ112" s="132">
        <f t="shared" si="189"/>
        <v>0</v>
      </c>
      <c r="VA112" s="132">
        <f t="shared" si="190"/>
        <v>0</v>
      </c>
      <c r="VB112" s="131">
        <f t="shared" si="191"/>
        <v>0</v>
      </c>
      <c r="VC112" s="132">
        <f t="shared" si="192"/>
        <v>0</v>
      </c>
      <c r="VD112" s="132">
        <f t="shared" si="193"/>
        <v>0</v>
      </c>
      <c r="VE112" s="132">
        <f t="shared" si="194"/>
        <v>0</v>
      </c>
      <c r="VF112" s="132">
        <f t="shared" si="195"/>
        <v>0</v>
      </c>
      <c r="VG112" s="132">
        <f t="shared" si="196"/>
        <v>0</v>
      </c>
      <c r="VH112" s="132">
        <f t="shared" si="197"/>
        <v>0</v>
      </c>
      <c r="VI112" s="132">
        <f t="shared" si="198"/>
        <v>0</v>
      </c>
      <c r="VJ112" s="132">
        <f t="shared" si="199"/>
        <v>0</v>
      </c>
      <c r="VK112" s="132">
        <f t="shared" si="200"/>
        <v>0</v>
      </c>
      <c r="VL112" s="132">
        <f t="shared" si="201"/>
        <v>0</v>
      </c>
      <c r="VM112" s="132">
        <f t="shared" si="202"/>
        <v>0</v>
      </c>
      <c r="VN112" s="132">
        <f t="shared" si="203"/>
        <v>0</v>
      </c>
      <c r="VP112" s="845" t="str">
        <f>IFERROR(HLOOKUP(F112,'Hodnocení '!$C$1:$JH$5,2,FALSE),0)</f>
        <v>Geriatrické centrum Týniště nad Orlicí</v>
      </c>
      <c r="VQ112" s="838"/>
      <c r="VR112" s="845" t="str">
        <f t="shared" si="211"/>
        <v>Příspěvková organizace zřízená územním samosprávným celkem</v>
      </c>
      <c r="VS112" s="845" t="str">
        <f>IFERROR(HLOOKUP(F112,'Hodnocení '!$C$1:$JH$5,5,FALSE),0)</f>
        <v>Obce</v>
      </c>
      <c r="VT112" s="838" t="str">
        <f t="shared" si="212"/>
        <v>Příspěvková organizace zřízená územním samosprávným celkem</v>
      </c>
      <c r="VU112" s="838">
        <f t="shared" si="213"/>
        <v>0</v>
      </c>
      <c r="VV112" s="838">
        <f t="shared" si="214"/>
        <v>10444780</v>
      </c>
      <c r="VW112" s="838">
        <f t="shared" si="215"/>
        <v>3155000</v>
      </c>
      <c r="VX112" s="838"/>
      <c r="VY112" s="838">
        <f t="shared" si="216"/>
        <v>0</v>
      </c>
      <c r="VZ112" s="838">
        <f t="shared" si="217"/>
        <v>4945200</v>
      </c>
      <c r="WA112" s="846">
        <f>IFERROR(HLOOKUP($F112,'Hodnocení '!$C$1:$JH$9,9,FALSE),0)</f>
        <v>4945200</v>
      </c>
      <c r="WB112" s="846">
        <f>IF(IFERROR(HLOOKUP($F112,'Hodnocení '!$C$1:$JH$13,13,FALSE),0)&gt;WA112,WA112,IFERROR(HLOOKUP($F112,'Hodnocení '!$C$1:$JH$13,13,FALSE),0))</f>
        <v>4945200</v>
      </c>
      <c r="WC112" s="846">
        <f>IFERROR(HLOOKUP($F112,'Hodnocení '!$C$1:$JH$155,155,FALSE),0)</f>
        <v>4945200</v>
      </c>
      <c r="WD112" s="845"/>
      <c r="WE112" s="845"/>
      <c r="WF112" s="845" t="str">
        <f t="shared" si="204"/>
        <v>ANO</v>
      </c>
      <c r="WG112" s="849" t="str">
        <f t="shared" si="218"/>
        <v>Podpora služby je vyjádřena zařazením do sítě sociálních služeb v KHK a řešením financování služby</v>
      </c>
      <c r="WH112"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12" s="849" t="str">
        <f t="shared" si="218"/>
        <v>Návrh dotace je výsledkem projednání s ostatními zadavateli v rámci sítě služeb KHK</v>
      </c>
      <c r="WJ112" s="849" t="str">
        <f t="shared" si="218"/>
        <v>Bez komentáře</v>
      </c>
      <c r="WK112" s="31" t="str">
        <f t="shared" si="205"/>
        <v>Výše příspěvku ze strany zřizovatele bude řešen v návaznosti na řešení podílů jednotlivých zadavatelů</v>
      </c>
      <c r="WL112" s="850">
        <f t="shared" si="206"/>
        <v>0</v>
      </c>
      <c r="WM112" s="849" t="str">
        <f t="shared" si="207"/>
        <v>V rámci sítě KHK se dlouhodobě řeší otázka navyšování úhrad a průběžně se monitoruje s vazbou na vykrytí vyrovnávací platby</v>
      </c>
      <c r="WN112" s="849" t="str">
        <f t="shared" si="208"/>
        <v>Otázka výběru od zdravotních pojišťoven je předmětem procesu, který probíhá ve formě jednání se ZP a organizacemi</v>
      </c>
      <c r="WO112" s="849" t="str">
        <f t="shared" si="219"/>
        <v>bez komentáře</v>
      </c>
      <c r="WP112" s="849" t="str">
        <f t="shared" si="219"/>
        <v>bez komentáře</v>
      </c>
      <c r="WQ112" s="849" t="str">
        <f t="shared" si="219"/>
        <v>Konečná výše dotace z rozpočtu KHK bude řešena v návaznosti na řešení podílů jednotlivých zadavatelů.</v>
      </c>
      <c r="WR112" s="849" t="str">
        <f t="shared" si="219"/>
        <v>Konečná výše podpory ze stran obcí bude řešena v součinnosti s jednotlivými zadavateli v průběhu roku.</v>
      </c>
      <c r="WS112" s="849" t="str">
        <f t="shared" si="219"/>
        <v>bez komentáře</v>
      </c>
      <c r="WT112" s="849" t="str">
        <f t="shared" si="219"/>
        <v>bez komentáře</v>
      </c>
      <c r="WU112" s="845"/>
    </row>
    <row r="113" spans="1:619" s="128" customFormat="1" x14ac:dyDescent="0.25">
      <c r="A113" s="128" t="str">
        <f>VLOOKUP(F113,'Výpočet VP 2020'!$D$324:$I$588,6,FALSE)</f>
        <v>Je v síti</v>
      </c>
      <c r="B113" s="128" t="s">
        <v>580</v>
      </c>
      <c r="C113" s="128">
        <v>66000653</v>
      </c>
      <c r="D113" s="128" t="s">
        <v>581</v>
      </c>
      <c r="E113" s="128" t="s">
        <v>242</v>
      </c>
      <c r="F113" s="128">
        <v>7566271</v>
      </c>
      <c r="G113" s="128" t="s">
        <v>225</v>
      </c>
      <c r="H113" s="128" t="s">
        <v>218</v>
      </c>
      <c r="I113" s="128" t="s">
        <v>582</v>
      </c>
      <c r="J113" s="129">
        <v>39569</v>
      </c>
      <c r="L113" s="128" t="s">
        <v>220</v>
      </c>
      <c r="AP113" s="128" t="s">
        <v>578</v>
      </c>
      <c r="AQ113" s="128">
        <v>18</v>
      </c>
      <c r="AR113" s="128">
        <v>21</v>
      </c>
      <c r="AS113" s="128">
        <v>72</v>
      </c>
      <c r="AT113" s="128">
        <v>90</v>
      </c>
      <c r="AU113" s="128">
        <v>100</v>
      </c>
      <c r="BJ113" s="128">
        <v>33600</v>
      </c>
      <c r="BK113" s="128" t="s">
        <v>583</v>
      </c>
      <c r="BL113" s="128" t="s">
        <v>584</v>
      </c>
      <c r="BM113" s="128" t="s">
        <v>325</v>
      </c>
      <c r="BN113" s="128" t="s">
        <v>558</v>
      </c>
      <c r="BO113" s="128">
        <v>0</v>
      </c>
      <c r="BP113" s="128">
        <v>0</v>
      </c>
      <c r="BQ113" s="128">
        <v>3</v>
      </c>
      <c r="BR113" s="128">
        <v>5</v>
      </c>
      <c r="BS113" s="128">
        <v>3</v>
      </c>
      <c r="BT113" s="128">
        <v>7</v>
      </c>
      <c r="BU113" s="128">
        <v>15</v>
      </c>
      <c r="BV113" s="128">
        <v>12</v>
      </c>
      <c r="BW113" s="128">
        <v>11</v>
      </c>
      <c r="BX113" s="128">
        <v>13</v>
      </c>
      <c r="BY113" s="128">
        <v>7</v>
      </c>
      <c r="BZ113" s="128">
        <v>15</v>
      </c>
      <c r="CA113" s="128">
        <v>15</v>
      </c>
      <c r="CB113" s="128">
        <v>16</v>
      </c>
      <c r="CC113" s="128">
        <v>16</v>
      </c>
      <c r="CD113" s="128">
        <v>11</v>
      </c>
      <c r="CE113" s="128">
        <v>58</v>
      </c>
      <c r="CF113" s="128">
        <v>69</v>
      </c>
      <c r="CH113" s="128">
        <v>1</v>
      </c>
      <c r="CI113" s="128">
        <v>1</v>
      </c>
      <c r="CJ113" s="128">
        <v>5</v>
      </c>
      <c r="CK113" s="128">
        <v>6</v>
      </c>
      <c r="CL113" s="128">
        <v>5</v>
      </c>
      <c r="CM113" s="128">
        <v>12</v>
      </c>
      <c r="CN113" s="128">
        <v>18</v>
      </c>
      <c r="CO113" s="128">
        <v>18</v>
      </c>
      <c r="CP113" s="128">
        <v>18</v>
      </c>
      <c r="CQ113" s="128">
        <v>16</v>
      </c>
      <c r="CR113" s="128">
        <v>13</v>
      </c>
      <c r="CS113" s="128">
        <v>19</v>
      </c>
      <c r="CT113" s="128">
        <v>23</v>
      </c>
      <c r="CU113" s="128">
        <v>24</v>
      </c>
      <c r="CV113" s="128">
        <v>21</v>
      </c>
      <c r="CW113" s="128">
        <v>18</v>
      </c>
      <c r="CX113" s="128">
        <v>82</v>
      </c>
      <c r="CY113" s="128">
        <v>100</v>
      </c>
      <c r="EK113" s="128">
        <v>2</v>
      </c>
      <c r="EL113" s="128">
        <v>1.8</v>
      </c>
      <c r="EM113" s="128">
        <v>1.8</v>
      </c>
      <c r="EN113" s="128">
        <v>1177694</v>
      </c>
      <c r="EO113" s="128">
        <v>1000000</v>
      </c>
      <c r="EP113" s="128">
        <v>25</v>
      </c>
      <c r="EQ113" s="128">
        <v>16.14</v>
      </c>
      <c r="ER113" s="128">
        <v>11</v>
      </c>
      <c r="ES113" s="128">
        <v>7209885</v>
      </c>
      <c r="ET113" s="128">
        <v>4800000</v>
      </c>
      <c r="FO113" s="128">
        <v>14</v>
      </c>
      <c r="FP113" s="128">
        <v>1.63</v>
      </c>
      <c r="FQ113" s="128">
        <v>1.39</v>
      </c>
      <c r="FR113" s="128">
        <v>976740</v>
      </c>
      <c r="FS113" s="128">
        <v>900000</v>
      </c>
      <c r="FZ113" s="128">
        <v>26</v>
      </c>
      <c r="GA113" s="128">
        <v>6.55</v>
      </c>
      <c r="GB113" s="128">
        <v>312</v>
      </c>
      <c r="GC113" s="128">
        <v>6.55</v>
      </c>
      <c r="GD113" s="128">
        <v>2716781</v>
      </c>
      <c r="GE113" s="128">
        <v>1660000</v>
      </c>
      <c r="IN113" s="128">
        <v>14</v>
      </c>
      <c r="IO113" s="128">
        <v>2622</v>
      </c>
      <c r="IP113" s="128">
        <v>1.2509999999999999</v>
      </c>
      <c r="IQ113" s="128">
        <v>393300</v>
      </c>
      <c r="IR113" s="128">
        <v>140000</v>
      </c>
      <c r="KB113" s="128">
        <v>4</v>
      </c>
      <c r="KC113" s="128">
        <v>0.77</v>
      </c>
      <c r="KD113" s="128">
        <v>0.77</v>
      </c>
      <c r="KE113" s="128">
        <v>345800</v>
      </c>
      <c r="KF113" s="128">
        <v>0</v>
      </c>
      <c r="KG113" s="128">
        <v>0</v>
      </c>
      <c r="KI113" s="128">
        <v>17.940000000000001</v>
      </c>
      <c r="KJ113" s="128">
        <v>6.55</v>
      </c>
      <c r="KK113" s="128">
        <v>1.2509999999999999</v>
      </c>
      <c r="KL113" s="128">
        <v>0</v>
      </c>
      <c r="KM113" s="128">
        <v>25.741</v>
      </c>
      <c r="KN113" s="128">
        <v>9364319</v>
      </c>
      <c r="KO113" s="128">
        <v>6700000</v>
      </c>
      <c r="KP113" s="128">
        <v>6700000</v>
      </c>
      <c r="KT113" s="128">
        <v>2716781</v>
      </c>
      <c r="KU113" s="128">
        <v>1660000</v>
      </c>
      <c r="KV113" s="128">
        <v>1660000</v>
      </c>
      <c r="KZ113" s="128">
        <v>393300</v>
      </c>
      <c r="LA113" s="128">
        <v>140000</v>
      </c>
      <c r="LB113" s="128">
        <v>140000</v>
      </c>
      <c r="LF113" s="128">
        <v>0</v>
      </c>
      <c r="LG113" s="128">
        <v>0</v>
      </c>
      <c r="LH113" s="128">
        <v>0</v>
      </c>
      <c r="LL113" s="128">
        <v>33300</v>
      </c>
      <c r="LM113" s="128">
        <v>0</v>
      </c>
      <c r="LN113" s="128">
        <v>0</v>
      </c>
      <c r="LR113" s="128">
        <v>46600</v>
      </c>
      <c r="LS113" s="128">
        <v>40000</v>
      </c>
      <c r="LT113" s="128">
        <v>40000</v>
      </c>
      <c r="LX113" s="128">
        <v>0</v>
      </c>
      <c r="LY113" s="128">
        <v>0</v>
      </c>
      <c r="LZ113" s="128">
        <v>0</v>
      </c>
      <c r="MD113" s="128">
        <v>34600</v>
      </c>
      <c r="ME113" s="128">
        <v>20000</v>
      </c>
      <c r="MF113" s="128">
        <v>20000</v>
      </c>
      <c r="MJ113" s="128">
        <v>0</v>
      </c>
      <c r="MK113" s="128">
        <v>0</v>
      </c>
      <c r="ML113" s="128">
        <v>0</v>
      </c>
      <c r="MP113" s="128">
        <v>21300</v>
      </c>
      <c r="MQ113" s="128">
        <v>0</v>
      </c>
      <c r="MR113" s="128">
        <v>0</v>
      </c>
      <c r="MV113" s="128">
        <v>22600</v>
      </c>
      <c r="MW113" s="128">
        <v>0</v>
      </c>
      <c r="MX113" s="128">
        <v>0</v>
      </c>
      <c r="NB113" s="128">
        <v>59900</v>
      </c>
      <c r="NC113" s="128">
        <v>0</v>
      </c>
      <c r="ND113" s="128">
        <v>0</v>
      </c>
      <c r="NH113" s="128">
        <v>113100</v>
      </c>
      <c r="NI113" s="128">
        <v>100000</v>
      </c>
      <c r="NJ113" s="128">
        <v>100000</v>
      </c>
      <c r="NN113" s="128">
        <v>199500</v>
      </c>
      <c r="NO113" s="128">
        <v>40000</v>
      </c>
      <c r="NP113" s="128">
        <v>40000</v>
      </c>
      <c r="NT113" s="128">
        <v>320500</v>
      </c>
      <c r="NU113" s="128">
        <v>80000</v>
      </c>
      <c r="NV113" s="128">
        <v>80000</v>
      </c>
      <c r="NZ113" s="128">
        <v>0</v>
      </c>
      <c r="OA113" s="128">
        <v>0</v>
      </c>
      <c r="OB113" s="128">
        <v>0</v>
      </c>
      <c r="OF113" s="128">
        <v>465500</v>
      </c>
      <c r="OG113" s="128">
        <v>360000</v>
      </c>
      <c r="OH113" s="128">
        <v>360000</v>
      </c>
      <c r="OL113" s="128">
        <v>0</v>
      </c>
      <c r="OM113" s="128">
        <v>0</v>
      </c>
      <c r="ON113" s="128">
        <v>0</v>
      </c>
      <c r="OR113" s="128">
        <v>345800</v>
      </c>
      <c r="OS113" s="128">
        <v>0</v>
      </c>
      <c r="OT113" s="128">
        <v>0</v>
      </c>
      <c r="OX113" s="128">
        <v>325900</v>
      </c>
      <c r="OY113" s="128">
        <v>90000</v>
      </c>
      <c r="OZ113" s="128">
        <v>90000</v>
      </c>
      <c r="PD113" s="128">
        <v>0</v>
      </c>
      <c r="PE113" s="128">
        <v>0</v>
      </c>
      <c r="PF113" s="128">
        <v>0</v>
      </c>
      <c r="PJ113" s="128">
        <v>266000</v>
      </c>
      <c r="PK113" s="128">
        <v>0</v>
      </c>
      <c r="PL113" s="128">
        <v>0</v>
      </c>
      <c r="PP113" s="128">
        <v>14729000</v>
      </c>
      <c r="PQ113" s="128">
        <v>9230000</v>
      </c>
      <c r="PR113" s="128">
        <v>9230000</v>
      </c>
      <c r="PS113" s="128">
        <v>100</v>
      </c>
      <c r="PT113" s="128">
        <v>100</v>
      </c>
      <c r="PX113" s="128">
        <v>6750000</v>
      </c>
      <c r="PY113" s="128">
        <v>7415268</v>
      </c>
      <c r="PZ113" s="128">
        <v>9230000</v>
      </c>
      <c r="QA113" s="128">
        <v>0</v>
      </c>
      <c r="QB113" s="128">
        <v>0</v>
      </c>
      <c r="QC113" s="128">
        <v>0</v>
      </c>
      <c r="QD113" s="128">
        <v>0</v>
      </c>
      <c r="QE113" s="128">
        <v>0</v>
      </c>
      <c r="QF113" s="128">
        <v>0</v>
      </c>
      <c r="QG113" s="128">
        <v>0</v>
      </c>
      <c r="QH113" s="128">
        <v>0</v>
      </c>
      <c r="QI113" s="128">
        <v>0</v>
      </c>
      <c r="QJ113" s="128">
        <v>3255828</v>
      </c>
      <c r="QK113" s="128">
        <v>2640000</v>
      </c>
      <c r="QL113" s="128">
        <v>3696000</v>
      </c>
      <c r="QN113" s="128">
        <v>0</v>
      </c>
      <c r="QO113" s="128">
        <v>0</v>
      </c>
      <c r="QP113" s="128">
        <v>0</v>
      </c>
      <c r="QU113" s="128">
        <v>150000</v>
      </c>
      <c r="QV113" s="128">
        <v>0</v>
      </c>
      <c r="QW113" s="128">
        <v>650000</v>
      </c>
      <c r="QX113" s="128">
        <v>930000</v>
      </c>
      <c r="QY113" s="128">
        <v>1120000</v>
      </c>
      <c r="QZ113" s="128">
        <v>1150000</v>
      </c>
      <c r="RD113" s="128">
        <v>75530</v>
      </c>
      <c r="RE113" s="128">
        <v>3000</v>
      </c>
      <c r="RF113" s="128">
        <v>3000</v>
      </c>
      <c r="RH113" s="128">
        <f t="shared" si="209"/>
        <v>11033000</v>
      </c>
      <c r="RI113" s="128">
        <v>0</v>
      </c>
      <c r="RM113" s="128" t="s">
        <v>220</v>
      </c>
      <c r="RU113" s="130"/>
      <c r="RV113" s="130"/>
      <c r="RW113" s="130"/>
      <c r="RX113" s="130"/>
      <c r="SF113" s="128">
        <f t="shared" si="119"/>
        <v>7566271</v>
      </c>
      <c r="SG113" s="131">
        <f t="shared" si="120"/>
        <v>14729000</v>
      </c>
      <c r="SH113" s="131">
        <f t="shared" si="121"/>
        <v>14729000</v>
      </c>
      <c r="SI113" s="131">
        <f t="shared" si="122"/>
        <v>12474400</v>
      </c>
      <c r="SJ113" s="132">
        <f t="shared" si="123"/>
        <v>9364319</v>
      </c>
      <c r="SK113" s="132">
        <f t="shared" si="124"/>
        <v>2716781</v>
      </c>
      <c r="SL113" s="132">
        <f t="shared" si="125"/>
        <v>393300</v>
      </c>
      <c r="SM113" s="132">
        <f t="shared" si="126"/>
        <v>0</v>
      </c>
      <c r="SN113" s="131">
        <f t="shared" si="127"/>
        <v>2254600</v>
      </c>
      <c r="SO113" s="131">
        <f t="shared" si="128"/>
        <v>79900</v>
      </c>
      <c r="SP113" s="132">
        <f t="shared" si="129"/>
        <v>33300</v>
      </c>
      <c r="SQ113" s="132">
        <f t="shared" si="130"/>
        <v>46600</v>
      </c>
      <c r="SR113" s="132">
        <f t="shared" si="131"/>
        <v>0</v>
      </c>
      <c r="SS113" s="132">
        <f t="shared" si="132"/>
        <v>34600</v>
      </c>
      <c r="ST113" s="132">
        <f t="shared" si="133"/>
        <v>0</v>
      </c>
      <c r="SU113" s="132">
        <f t="shared" si="134"/>
        <v>21300</v>
      </c>
      <c r="SV113" s="131">
        <f t="shared" si="135"/>
        <v>1852800</v>
      </c>
      <c r="SW113" s="132">
        <f t="shared" si="136"/>
        <v>22600</v>
      </c>
      <c r="SX113" s="132">
        <f t="shared" si="137"/>
        <v>59900</v>
      </c>
      <c r="SY113" s="132">
        <f t="shared" si="138"/>
        <v>113100</v>
      </c>
      <c r="SZ113" s="132">
        <f t="shared" si="139"/>
        <v>199500</v>
      </c>
      <c r="TA113" s="132">
        <f t="shared" si="140"/>
        <v>320500</v>
      </c>
      <c r="TB113" s="132">
        <f t="shared" si="141"/>
        <v>0</v>
      </c>
      <c r="TC113" s="132">
        <f t="shared" si="142"/>
        <v>465500</v>
      </c>
      <c r="TD113" s="132">
        <f t="shared" si="143"/>
        <v>0</v>
      </c>
      <c r="TE113" s="132">
        <f t="shared" si="144"/>
        <v>345800</v>
      </c>
      <c r="TF113" s="132">
        <f t="shared" si="145"/>
        <v>325900</v>
      </c>
      <c r="TG113" s="132">
        <f t="shared" si="146"/>
        <v>0</v>
      </c>
      <c r="TH113" s="132">
        <f t="shared" si="147"/>
        <v>266000</v>
      </c>
      <c r="TI113" s="1"/>
      <c r="TJ113" s="131">
        <f t="shared" si="148"/>
        <v>9230000</v>
      </c>
      <c r="TK113" s="131">
        <f t="shared" si="149"/>
        <v>9230000</v>
      </c>
      <c r="TL113" s="131">
        <f t="shared" si="150"/>
        <v>8500000</v>
      </c>
      <c r="TM113" s="132">
        <f t="shared" si="151"/>
        <v>6700000</v>
      </c>
      <c r="TN113" s="132">
        <f t="shared" si="152"/>
        <v>1660000</v>
      </c>
      <c r="TO113" s="132">
        <f t="shared" si="153"/>
        <v>140000</v>
      </c>
      <c r="TP113" s="132">
        <f t="shared" si="154"/>
        <v>0</v>
      </c>
      <c r="TQ113" s="131">
        <f t="shared" si="155"/>
        <v>730000</v>
      </c>
      <c r="TR113" s="131">
        <f t="shared" si="156"/>
        <v>40000</v>
      </c>
      <c r="TS113" s="132">
        <f t="shared" si="157"/>
        <v>0</v>
      </c>
      <c r="TT113" s="132">
        <f t="shared" si="158"/>
        <v>40000</v>
      </c>
      <c r="TU113" s="132">
        <f t="shared" si="159"/>
        <v>0</v>
      </c>
      <c r="TV113" s="132">
        <f t="shared" si="160"/>
        <v>20000</v>
      </c>
      <c r="TW113" s="132">
        <f t="shared" si="161"/>
        <v>0</v>
      </c>
      <c r="TX113" s="132">
        <f t="shared" si="162"/>
        <v>0</v>
      </c>
      <c r="TY113" s="131">
        <f t="shared" si="163"/>
        <v>670000</v>
      </c>
      <c r="TZ113" s="132">
        <f t="shared" si="164"/>
        <v>0</v>
      </c>
      <c r="UA113" s="132">
        <f t="shared" si="165"/>
        <v>0</v>
      </c>
      <c r="UB113" s="132">
        <f t="shared" si="166"/>
        <v>100000</v>
      </c>
      <c r="UC113" s="132">
        <f t="shared" si="167"/>
        <v>40000</v>
      </c>
      <c r="UD113" s="132">
        <f t="shared" si="168"/>
        <v>80000</v>
      </c>
      <c r="UE113" s="132">
        <f t="shared" si="169"/>
        <v>0</v>
      </c>
      <c r="UF113" s="132">
        <f t="shared" si="170"/>
        <v>360000</v>
      </c>
      <c r="UG113" s="132">
        <f t="shared" si="171"/>
        <v>0</v>
      </c>
      <c r="UH113" s="132">
        <f t="shared" si="172"/>
        <v>0</v>
      </c>
      <c r="UI113" s="132">
        <f t="shared" si="173"/>
        <v>90000</v>
      </c>
      <c r="UJ113" s="132">
        <f t="shared" si="174"/>
        <v>0</v>
      </c>
      <c r="UK113" s="132">
        <f t="shared" si="175"/>
        <v>0</v>
      </c>
      <c r="UL113" s="132">
        <f t="shared" si="210"/>
        <v>9230000</v>
      </c>
      <c r="UM113" s="131">
        <f t="shared" si="176"/>
        <v>9230000</v>
      </c>
      <c r="UN113" s="131">
        <f t="shared" si="177"/>
        <v>9230000</v>
      </c>
      <c r="UO113" s="131">
        <f t="shared" si="178"/>
        <v>8500000</v>
      </c>
      <c r="UP113" s="132">
        <f t="shared" si="179"/>
        <v>6700000</v>
      </c>
      <c r="UQ113" s="132">
        <f t="shared" si="180"/>
        <v>1660000</v>
      </c>
      <c r="UR113" s="132">
        <f t="shared" si="181"/>
        <v>140000</v>
      </c>
      <c r="US113" s="132">
        <f t="shared" si="182"/>
        <v>0</v>
      </c>
      <c r="UT113" s="131">
        <f t="shared" si="183"/>
        <v>730000</v>
      </c>
      <c r="UU113" s="131">
        <f t="shared" si="184"/>
        <v>40000</v>
      </c>
      <c r="UV113" s="132">
        <f t="shared" si="185"/>
        <v>0</v>
      </c>
      <c r="UW113" s="132">
        <f t="shared" si="186"/>
        <v>40000</v>
      </c>
      <c r="UX113" s="132">
        <f t="shared" si="187"/>
        <v>0</v>
      </c>
      <c r="UY113" s="132">
        <f t="shared" si="188"/>
        <v>20000</v>
      </c>
      <c r="UZ113" s="132">
        <f t="shared" si="189"/>
        <v>0</v>
      </c>
      <c r="VA113" s="132">
        <f t="shared" si="190"/>
        <v>0</v>
      </c>
      <c r="VB113" s="131">
        <f t="shared" si="191"/>
        <v>670000</v>
      </c>
      <c r="VC113" s="132">
        <f t="shared" si="192"/>
        <v>0</v>
      </c>
      <c r="VD113" s="132">
        <f t="shared" si="193"/>
        <v>0</v>
      </c>
      <c r="VE113" s="132">
        <f t="shared" si="194"/>
        <v>100000</v>
      </c>
      <c r="VF113" s="132">
        <f t="shared" si="195"/>
        <v>40000</v>
      </c>
      <c r="VG113" s="132">
        <f t="shared" si="196"/>
        <v>80000</v>
      </c>
      <c r="VH113" s="132">
        <f t="shared" si="197"/>
        <v>0</v>
      </c>
      <c r="VI113" s="132">
        <f t="shared" si="198"/>
        <v>360000</v>
      </c>
      <c r="VJ113" s="132">
        <f t="shared" si="199"/>
        <v>0</v>
      </c>
      <c r="VK113" s="132">
        <f t="shared" si="200"/>
        <v>0</v>
      </c>
      <c r="VL113" s="132">
        <f t="shared" si="201"/>
        <v>90000</v>
      </c>
      <c r="VM113" s="132">
        <f t="shared" si="202"/>
        <v>0</v>
      </c>
      <c r="VN113" s="132">
        <f t="shared" si="203"/>
        <v>0</v>
      </c>
      <c r="VP113" s="845" t="str">
        <f>IFERROR(HLOOKUP(F113,'Hodnocení '!$C$1:$JH$5,2,FALSE),0)</f>
        <v>Středisko osobní asistence Hradecko</v>
      </c>
      <c r="VQ113" s="838"/>
      <c r="VR113" s="845" t="str">
        <f t="shared" si="211"/>
        <v>Spolek</v>
      </c>
      <c r="VS113" s="845" t="str">
        <f>IFERROR(HLOOKUP(F113,'Hodnocení '!$C$1:$JH$5,5,FALSE),0)</f>
        <v>NZO</v>
      </c>
      <c r="VT113" s="838">
        <f t="shared" si="212"/>
        <v>0</v>
      </c>
      <c r="VU113" s="838">
        <f t="shared" si="213"/>
        <v>0</v>
      </c>
      <c r="VV113" s="838">
        <f t="shared" si="214"/>
        <v>3696000</v>
      </c>
      <c r="VW113" s="838">
        <f t="shared" si="215"/>
        <v>0</v>
      </c>
      <c r="VX113" s="838"/>
      <c r="VY113" s="838">
        <f t="shared" si="216"/>
        <v>0</v>
      </c>
      <c r="VZ113" s="838">
        <f t="shared" si="217"/>
        <v>9230000</v>
      </c>
      <c r="WA113" s="846">
        <f>IFERROR(HLOOKUP($F113,'Hodnocení '!$C$1:$JH$9,9,FALSE),0)</f>
        <v>9230000</v>
      </c>
      <c r="WB113" s="846">
        <f>IF(IFERROR(HLOOKUP($F113,'Hodnocení '!$C$1:$JH$13,13,FALSE),0)&gt;WA113,WA113,IFERROR(HLOOKUP($F113,'Hodnocení '!$C$1:$JH$13,13,FALSE),0))</f>
        <v>9230000</v>
      </c>
      <c r="WC113" s="846">
        <f>IFERROR(HLOOKUP($F113,'Hodnocení '!$C$1:$JH$155,155,FALSE),0)</f>
        <v>9230000</v>
      </c>
      <c r="WD113" s="845"/>
      <c r="WE113" s="845"/>
      <c r="WF113" s="845" t="str">
        <f t="shared" si="204"/>
        <v>ANO</v>
      </c>
      <c r="WG113" s="849" t="str">
        <f t="shared" si="218"/>
        <v>Podpora služby je vyjádřena zařazením do sítě sociálních služeb v KHK a řešením financování služby</v>
      </c>
      <c r="WH113"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13" s="849" t="str">
        <f t="shared" si="218"/>
        <v>Návrh dotace je výsledkem projednání s ostatními zadavateli v rámci sítě služeb KHK</v>
      </c>
      <c r="WJ113" s="849" t="str">
        <f t="shared" si="218"/>
        <v>Bez komentáře</v>
      </c>
      <c r="WK113" s="31">
        <f t="shared" si="205"/>
        <v>0</v>
      </c>
      <c r="WL113" s="850">
        <f t="shared" si="206"/>
        <v>0</v>
      </c>
      <c r="WM113" s="849" t="str">
        <f t="shared" si="207"/>
        <v>V rámci sítě KHK se dlouhodobě řeší otázka navyšování úhrad a průběžně se monitoruje s vazbou na vykrytí vyrovnávací platby</v>
      </c>
      <c r="WN113" s="849">
        <f t="shared" si="208"/>
        <v>0</v>
      </c>
      <c r="WO113" s="849" t="str">
        <f t="shared" si="219"/>
        <v>bez komentáře</v>
      </c>
      <c r="WP113" s="849" t="str">
        <f t="shared" si="219"/>
        <v>bez komentáře</v>
      </c>
      <c r="WQ113" s="849" t="str">
        <f t="shared" si="219"/>
        <v>Konečná výše dotace z rozpočtu KHK bude řešena v návaznosti na řešení podílů jednotlivých zadavatelů.</v>
      </c>
      <c r="WR113" s="849" t="str">
        <f t="shared" si="219"/>
        <v>Konečná výše podpory ze stran obcí bude řešena v součinnosti s jednotlivými zadavateli v průběhu roku.</v>
      </c>
      <c r="WS113" s="849" t="str">
        <f t="shared" si="219"/>
        <v>bez komentáře</v>
      </c>
      <c r="WT113" s="849" t="str">
        <f t="shared" si="219"/>
        <v>bez komentáře</v>
      </c>
      <c r="WU113" s="845"/>
    </row>
    <row r="114" spans="1:619" s="128" customFormat="1" x14ac:dyDescent="0.25">
      <c r="A114" s="128" t="str">
        <f>VLOOKUP(F114,'Výpočet VP 2020'!$D$324:$I$588,6,FALSE)</f>
        <v>Je v síti</v>
      </c>
      <c r="B114" s="128" t="s">
        <v>1118</v>
      </c>
      <c r="C114" s="128">
        <v>1994352</v>
      </c>
      <c r="D114" s="128" t="s">
        <v>2375</v>
      </c>
      <c r="E114" s="128" t="s">
        <v>216</v>
      </c>
      <c r="F114" s="128">
        <v>8365172</v>
      </c>
      <c r="G114" s="128" t="s">
        <v>1893</v>
      </c>
      <c r="H114" s="128" t="s">
        <v>230</v>
      </c>
      <c r="I114" s="128" t="s">
        <v>1378</v>
      </c>
      <c r="J114" s="129">
        <v>41640</v>
      </c>
      <c r="L114" s="128" t="s">
        <v>220</v>
      </c>
      <c r="X114" s="128" t="s">
        <v>649</v>
      </c>
      <c r="Z114" s="128">
        <v>1</v>
      </c>
      <c r="AA114" s="128">
        <v>8</v>
      </c>
      <c r="AB114" s="128">
        <v>45</v>
      </c>
      <c r="AC114" s="128">
        <v>39</v>
      </c>
      <c r="AD114" s="128">
        <v>50</v>
      </c>
      <c r="AO114" s="128" t="s">
        <v>2376</v>
      </c>
      <c r="AP114" s="128" t="s">
        <v>649</v>
      </c>
      <c r="AQ114" s="128">
        <v>1</v>
      </c>
      <c r="AR114" s="128">
        <v>8</v>
      </c>
      <c r="AS114" s="128">
        <v>45</v>
      </c>
      <c r="AT114" s="128">
        <v>39</v>
      </c>
      <c r="AU114" s="128">
        <v>50</v>
      </c>
      <c r="BK114" s="128" t="s">
        <v>2377</v>
      </c>
      <c r="BL114" s="128" t="s">
        <v>1895</v>
      </c>
      <c r="BM114" s="128" t="s">
        <v>1896</v>
      </c>
      <c r="BN114" s="128" t="s">
        <v>299</v>
      </c>
      <c r="EK114" s="128">
        <v>1</v>
      </c>
      <c r="EL114" s="128">
        <v>1</v>
      </c>
      <c r="EM114" s="128">
        <v>1.5</v>
      </c>
      <c r="EN114" s="128">
        <v>546800</v>
      </c>
      <c r="EO114" s="128">
        <v>546800</v>
      </c>
      <c r="EP114" s="128">
        <v>1</v>
      </c>
      <c r="EQ114" s="128">
        <v>0.5</v>
      </c>
      <c r="ER114" s="128">
        <v>0</v>
      </c>
      <c r="ES114" s="128">
        <v>482400</v>
      </c>
      <c r="ET114" s="128">
        <v>482400</v>
      </c>
      <c r="FO114" s="128">
        <v>1</v>
      </c>
      <c r="FP114" s="128">
        <v>0.5</v>
      </c>
      <c r="FQ114" s="128">
        <v>0.5</v>
      </c>
      <c r="FR114" s="128">
        <v>281400</v>
      </c>
      <c r="FS114" s="128">
        <v>281400</v>
      </c>
      <c r="IH114" s="128">
        <v>2</v>
      </c>
      <c r="II114" s="128">
        <v>0.65</v>
      </c>
      <c r="IJ114" s="128">
        <v>24</v>
      </c>
      <c r="IK114" s="128">
        <v>0.65</v>
      </c>
      <c r="IL114" s="128">
        <v>244800</v>
      </c>
      <c r="IM114" s="128">
        <v>244800</v>
      </c>
      <c r="IS114" s="128">
        <v>2</v>
      </c>
      <c r="IT114" s="128">
        <v>600</v>
      </c>
      <c r="IU114" s="128">
        <v>0.28599999999999998</v>
      </c>
      <c r="IV114" s="128">
        <v>60000</v>
      </c>
      <c r="IW114" s="128">
        <v>0</v>
      </c>
      <c r="KG114" s="128">
        <v>0</v>
      </c>
      <c r="KI114" s="128">
        <v>1.5</v>
      </c>
      <c r="KJ114" s="128">
        <v>0</v>
      </c>
      <c r="KK114" s="128">
        <v>0</v>
      </c>
      <c r="KL114" s="128">
        <v>0</v>
      </c>
      <c r="KM114" s="128">
        <v>1.5</v>
      </c>
      <c r="KN114" s="128">
        <v>1310600</v>
      </c>
      <c r="KO114" s="128">
        <v>1310600</v>
      </c>
      <c r="KP114" s="128">
        <v>1310600</v>
      </c>
      <c r="KT114" s="128">
        <v>244800</v>
      </c>
      <c r="KU114" s="128">
        <v>244800</v>
      </c>
      <c r="KV114" s="128">
        <v>244800</v>
      </c>
      <c r="KZ114" s="128">
        <v>60000</v>
      </c>
      <c r="LA114" s="128">
        <v>0</v>
      </c>
      <c r="LB114" s="128">
        <v>0</v>
      </c>
      <c r="LF114" s="128">
        <v>2000</v>
      </c>
      <c r="LG114" s="128">
        <v>2000</v>
      </c>
      <c r="LH114" s="128">
        <v>2000</v>
      </c>
      <c r="LL114" s="128">
        <v>0</v>
      </c>
      <c r="LM114" s="128">
        <v>0</v>
      </c>
      <c r="LN114" s="128">
        <v>0</v>
      </c>
      <c r="LR114" s="128">
        <v>35000</v>
      </c>
      <c r="LS114" s="128">
        <v>30000</v>
      </c>
      <c r="LT114" s="128">
        <v>30000</v>
      </c>
      <c r="LX114" s="128">
        <v>0</v>
      </c>
      <c r="LY114" s="128">
        <v>0</v>
      </c>
      <c r="LZ114" s="128">
        <v>0</v>
      </c>
      <c r="MD114" s="128">
        <v>12000</v>
      </c>
      <c r="ME114" s="128">
        <v>6000</v>
      </c>
      <c r="MF114" s="128">
        <v>6000</v>
      </c>
      <c r="MJ114" s="128">
        <v>0</v>
      </c>
      <c r="MK114" s="128">
        <v>0</v>
      </c>
      <c r="ML114" s="128">
        <v>0</v>
      </c>
      <c r="MP114" s="128">
        <v>9500</v>
      </c>
      <c r="MQ114" s="128">
        <v>5500</v>
      </c>
      <c r="MR114" s="128">
        <v>5500</v>
      </c>
      <c r="MV114" s="128">
        <v>42000</v>
      </c>
      <c r="MW114" s="128">
        <v>18000</v>
      </c>
      <c r="MX114" s="128">
        <v>18000</v>
      </c>
      <c r="NB114" s="128">
        <v>15000</v>
      </c>
      <c r="NC114" s="128">
        <v>8500</v>
      </c>
      <c r="ND114" s="128">
        <v>8500</v>
      </c>
      <c r="NH114" s="128">
        <v>19600</v>
      </c>
      <c r="NI114" s="128">
        <v>9750</v>
      </c>
      <c r="NJ114" s="128">
        <v>9750</v>
      </c>
      <c r="NN114" s="128">
        <v>18000</v>
      </c>
      <c r="NO114" s="128">
        <v>10000</v>
      </c>
      <c r="NP114" s="128">
        <v>10000</v>
      </c>
      <c r="NT114" s="128">
        <v>15300</v>
      </c>
      <c r="NU114" s="128">
        <v>7300</v>
      </c>
      <c r="NV114" s="128">
        <v>7300</v>
      </c>
      <c r="NZ114" s="128">
        <v>2500</v>
      </c>
      <c r="OA114" s="128">
        <v>0</v>
      </c>
      <c r="OB114" s="128">
        <v>0</v>
      </c>
      <c r="OF114" s="128">
        <v>10500</v>
      </c>
      <c r="OG114" s="128">
        <v>10350</v>
      </c>
      <c r="OH114" s="128">
        <v>10350</v>
      </c>
      <c r="OL114" s="128">
        <v>0</v>
      </c>
      <c r="OM114" s="128">
        <v>0</v>
      </c>
      <c r="ON114" s="128">
        <v>0</v>
      </c>
      <c r="OR114" s="128">
        <v>0</v>
      </c>
      <c r="OS114" s="128">
        <v>0</v>
      </c>
      <c r="OT114" s="128">
        <v>0</v>
      </c>
      <c r="OX114" s="128">
        <v>12000</v>
      </c>
      <c r="OY114" s="128">
        <v>6000</v>
      </c>
      <c r="OZ114" s="128">
        <v>6000</v>
      </c>
      <c r="PD114" s="128">
        <v>0</v>
      </c>
      <c r="PE114" s="128">
        <v>0</v>
      </c>
      <c r="PF114" s="128">
        <v>0</v>
      </c>
      <c r="PJ114" s="128">
        <v>0</v>
      </c>
      <c r="PK114" s="128">
        <v>0</v>
      </c>
      <c r="PL114" s="128">
        <v>0</v>
      </c>
      <c r="PP114" s="128">
        <v>1808800</v>
      </c>
      <c r="PQ114" s="128">
        <v>1668800</v>
      </c>
      <c r="PR114" s="128">
        <v>1668800</v>
      </c>
      <c r="PS114" s="128">
        <v>100</v>
      </c>
      <c r="PT114" s="128">
        <v>100</v>
      </c>
      <c r="PX114" s="128">
        <v>963955</v>
      </c>
      <c r="PY114" s="128">
        <v>971960</v>
      </c>
      <c r="PZ114" s="128">
        <v>1668800</v>
      </c>
      <c r="QA114" s="128">
        <v>0</v>
      </c>
      <c r="QB114" s="128">
        <v>0</v>
      </c>
      <c r="QC114" s="128">
        <v>0</v>
      </c>
      <c r="QD114" s="128">
        <v>60000</v>
      </c>
      <c r="QE114" s="128">
        <v>90000</v>
      </c>
      <c r="QF114" s="128">
        <v>140000</v>
      </c>
      <c r="QG114" s="128">
        <v>0</v>
      </c>
      <c r="QH114" s="128">
        <v>36785</v>
      </c>
      <c r="QI114" s="128">
        <v>0</v>
      </c>
      <c r="QJ114" s="128">
        <v>0</v>
      </c>
      <c r="QK114" s="128">
        <v>0</v>
      </c>
      <c r="QL114" s="128">
        <v>0</v>
      </c>
      <c r="QN114" s="128">
        <v>0</v>
      </c>
      <c r="QO114" s="128">
        <v>0</v>
      </c>
      <c r="QP114" s="128">
        <v>0</v>
      </c>
      <c r="QX114" s="128">
        <v>68500</v>
      </c>
      <c r="QY114" s="128">
        <v>95000</v>
      </c>
      <c r="QZ114" s="128">
        <v>0</v>
      </c>
      <c r="RD114" s="128">
        <v>14352</v>
      </c>
      <c r="RE114" s="128">
        <v>5000</v>
      </c>
      <c r="RF114" s="128">
        <v>0</v>
      </c>
      <c r="RH114" s="128">
        <f t="shared" si="209"/>
        <v>1808800</v>
      </c>
      <c r="RI114" s="128">
        <v>0</v>
      </c>
      <c r="RM114" s="128" t="s">
        <v>220</v>
      </c>
      <c r="RU114" s="130"/>
      <c r="RV114" s="130"/>
      <c r="RW114" s="130"/>
      <c r="RX114" s="130"/>
      <c r="SF114" s="128">
        <f t="shared" si="119"/>
        <v>8365172</v>
      </c>
      <c r="SG114" s="131">
        <f t="shared" si="120"/>
        <v>1808800</v>
      </c>
      <c r="SH114" s="131">
        <f t="shared" si="121"/>
        <v>1808800</v>
      </c>
      <c r="SI114" s="131">
        <f t="shared" si="122"/>
        <v>1617400</v>
      </c>
      <c r="SJ114" s="132">
        <f t="shared" si="123"/>
        <v>1310600</v>
      </c>
      <c r="SK114" s="132">
        <f t="shared" si="124"/>
        <v>244800</v>
      </c>
      <c r="SL114" s="132">
        <f t="shared" si="125"/>
        <v>60000</v>
      </c>
      <c r="SM114" s="132">
        <f t="shared" si="126"/>
        <v>2000</v>
      </c>
      <c r="SN114" s="131">
        <f t="shared" si="127"/>
        <v>191400</v>
      </c>
      <c r="SO114" s="131">
        <f t="shared" si="128"/>
        <v>35000</v>
      </c>
      <c r="SP114" s="132">
        <f t="shared" si="129"/>
        <v>0</v>
      </c>
      <c r="SQ114" s="132">
        <f t="shared" si="130"/>
        <v>35000</v>
      </c>
      <c r="SR114" s="132">
        <f t="shared" si="131"/>
        <v>0</v>
      </c>
      <c r="SS114" s="132">
        <f t="shared" si="132"/>
        <v>12000</v>
      </c>
      <c r="ST114" s="132">
        <f t="shared" si="133"/>
        <v>0</v>
      </c>
      <c r="SU114" s="132">
        <f t="shared" si="134"/>
        <v>9500</v>
      </c>
      <c r="SV114" s="131">
        <f t="shared" si="135"/>
        <v>134900</v>
      </c>
      <c r="SW114" s="132">
        <f t="shared" si="136"/>
        <v>42000</v>
      </c>
      <c r="SX114" s="132">
        <f t="shared" si="137"/>
        <v>15000</v>
      </c>
      <c r="SY114" s="132">
        <f t="shared" si="138"/>
        <v>19600</v>
      </c>
      <c r="SZ114" s="132">
        <f t="shared" si="139"/>
        <v>18000</v>
      </c>
      <c r="TA114" s="132">
        <f t="shared" si="140"/>
        <v>15300</v>
      </c>
      <c r="TB114" s="132">
        <f t="shared" si="141"/>
        <v>2500</v>
      </c>
      <c r="TC114" s="132">
        <f t="shared" si="142"/>
        <v>10500</v>
      </c>
      <c r="TD114" s="132">
        <f t="shared" si="143"/>
        <v>0</v>
      </c>
      <c r="TE114" s="132">
        <f t="shared" si="144"/>
        <v>0</v>
      </c>
      <c r="TF114" s="132">
        <f t="shared" si="145"/>
        <v>12000</v>
      </c>
      <c r="TG114" s="132">
        <f t="shared" si="146"/>
        <v>0</v>
      </c>
      <c r="TH114" s="132">
        <f t="shared" si="147"/>
        <v>0</v>
      </c>
      <c r="TI114" s="1"/>
      <c r="TJ114" s="131">
        <f t="shared" si="148"/>
        <v>1668800</v>
      </c>
      <c r="TK114" s="131">
        <f t="shared" si="149"/>
        <v>1668800</v>
      </c>
      <c r="TL114" s="131">
        <f t="shared" si="150"/>
        <v>1557400</v>
      </c>
      <c r="TM114" s="132">
        <f t="shared" si="151"/>
        <v>1310600</v>
      </c>
      <c r="TN114" s="132">
        <f t="shared" si="152"/>
        <v>244800</v>
      </c>
      <c r="TO114" s="132">
        <f t="shared" si="153"/>
        <v>0</v>
      </c>
      <c r="TP114" s="132">
        <f t="shared" si="154"/>
        <v>2000</v>
      </c>
      <c r="TQ114" s="131">
        <f t="shared" si="155"/>
        <v>111400</v>
      </c>
      <c r="TR114" s="131">
        <f t="shared" si="156"/>
        <v>30000</v>
      </c>
      <c r="TS114" s="132">
        <f t="shared" si="157"/>
        <v>0</v>
      </c>
      <c r="TT114" s="132">
        <f t="shared" si="158"/>
        <v>30000</v>
      </c>
      <c r="TU114" s="132">
        <f t="shared" si="159"/>
        <v>0</v>
      </c>
      <c r="TV114" s="132">
        <f t="shared" si="160"/>
        <v>6000</v>
      </c>
      <c r="TW114" s="132">
        <f t="shared" si="161"/>
        <v>0</v>
      </c>
      <c r="TX114" s="132">
        <f t="shared" si="162"/>
        <v>5500</v>
      </c>
      <c r="TY114" s="131">
        <f t="shared" si="163"/>
        <v>69900</v>
      </c>
      <c r="TZ114" s="132">
        <f t="shared" si="164"/>
        <v>18000</v>
      </c>
      <c r="UA114" s="132">
        <f t="shared" si="165"/>
        <v>8500</v>
      </c>
      <c r="UB114" s="132">
        <f t="shared" si="166"/>
        <v>9750</v>
      </c>
      <c r="UC114" s="132">
        <f t="shared" si="167"/>
        <v>10000</v>
      </c>
      <c r="UD114" s="132">
        <f t="shared" si="168"/>
        <v>7300</v>
      </c>
      <c r="UE114" s="132">
        <f t="shared" si="169"/>
        <v>0</v>
      </c>
      <c r="UF114" s="132">
        <f t="shared" si="170"/>
        <v>10350</v>
      </c>
      <c r="UG114" s="132">
        <f t="shared" si="171"/>
        <v>0</v>
      </c>
      <c r="UH114" s="132">
        <f t="shared" si="172"/>
        <v>0</v>
      </c>
      <c r="UI114" s="132">
        <f t="shared" si="173"/>
        <v>6000</v>
      </c>
      <c r="UJ114" s="132">
        <f t="shared" si="174"/>
        <v>0</v>
      </c>
      <c r="UK114" s="132">
        <f t="shared" si="175"/>
        <v>0</v>
      </c>
      <c r="UL114" s="132">
        <f t="shared" si="210"/>
        <v>1668800</v>
      </c>
      <c r="UM114" s="131">
        <f t="shared" si="176"/>
        <v>1668800</v>
      </c>
      <c r="UN114" s="131">
        <f t="shared" si="177"/>
        <v>1668800</v>
      </c>
      <c r="UO114" s="131">
        <f t="shared" si="178"/>
        <v>1557400</v>
      </c>
      <c r="UP114" s="132">
        <f t="shared" si="179"/>
        <v>1310600</v>
      </c>
      <c r="UQ114" s="132">
        <f t="shared" si="180"/>
        <v>244800</v>
      </c>
      <c r="UR114" s="132">
        <f t="shared" si="181"/>
        <v>0</v>
      </c>
      <c r="US114" s="132">
        <f t="shared" si="182"/>
        <v>2000</v>
      </c>
      <c r="UT114" s="131">
        <f t="shared" si="183"/>
        <v>111400</v>
      </c>
      <c r="UU114" s="131">
        <f t="shared" si="184"/>
        <v>30000</v>
      </c>
      <c r="UV114" s="132">
        <f t="shared" si="185"/>
        <v>0</v>
      </c>
      <c r="UW114" s="132">
        <f t="shared" si="186"/>
        <v>30000</v>
      </c>
      <c r="UX114" s="132">
        <f t="shared" si="187"/>
        <v>0</v>
      </c>
      <c r="UY114" s="132">
        <f t="shared" si="188"/>
        <v>6000</v>
      </c>
      <c r="UZ114" s="132">
        <f t="shared" si="189"/>
        <v>0</v>
      </c>
      <c r="VA114" s="132">
        <f t="shared" si="190"/>
        <v>5500</v>
      </c>
      <c r="VB114" s="131">
        <f t="shared" si="191"/>
        <v>69900</v>
      </c>
      <c r="VC114" s="132">
        <f t="shared" si="192"/>
        <v>18000</v>
      </c>
      <c r="VD114" s="132">
        <f t="shared" si="193"/>
        <v>8500</v>
      </c>
      <c r="VE114" s="132">
        <f t="shared" si="194"/>
        <v>9750</v>
      </c>
      <c r="VF114" s="132">
        <f t="shared" si="195"/>
        <v>10000</v>
      </c>
      <c r="VG114" s="132">
        <f t="shared" si="196"/>
        <v>7300</v>
      </c>
      <c r="VH114" s="132">
        <f t="shared" si="197"/>
        <v>0</v>
      </c>
      <c r="VI114" s="132">
        <f t="shared" si="198"/>
        <v>10350</v>
      </c>
      <c r="VJ114" s="132">
        <f t="shared" si="199"/>
        <v>0</v>
      </c>
      <c r="VK114" s="132">
        <f t="shared" si="200"/>
        <v>0</v>
      </c>
      <c r="VL114" s="132">
        <f t="shared" si="201"/>
        <v>6000</v>
      </c>
      <c r="VM114" s="132">
        <f t="shared" si="202"/>
        <v>0</v>
      </c>
      <c r="VN114" s="132">
        <f t="shared" si="203"/>
        <v>0</v>
      </c>
      <c r="VP114" s="845" t="str">
        <f>IFERROR(HLOOKUP(F114,'Hodnocení '!$C$1:$JH$5,2,FALSE),0)</f>
        <v>Tlumočnické služby</v>
      </c>
      <c r="VQ114" s="838"/>
      <c r="VR114" s="845" t="str">
        <f t="shared" si="211"/>
        <v>Obecně prospěšná společnost</v>
      </c>
      <c r="VS114" s="845" t="str">
        <f>IFERROR(HLOOKUP(F114,'Hodnocení '!$C$1:$JH$5,5,FALSE),0)</f>
        <v>NZO</v>
      </c>
      <c r="VT114" s="838">
        <f t="shared" si="212"/>
        <v>0</v>
      </c>
      <c r="VU114" s="838">
        <f t="shared" si="213"/>
        <v>0</v>
      </c>
      <c r="VV114" s="838">
        <f t="shared" si="214"/>
        <v>0</v>
      </c>
      <c r="VW114" s="838">
        <f t="shared" si="215"/>
        <v>0</v>
      </c>
      <c r="VX114" s="838"/>
      <c r="VY114" s="838">
        <f t="shared" si="216"/>
        <v>0</v>
      </c>
      <c r="VZ114" s="838">
        <f t="shared" si="217"/>
        <v>1668800</v>
      </c>
      <c r="WA114" s="846">
        <f>IFERROR(HLOOKUP($F114,'Hodnocení '!$C$1:$JH$9,9,FALSE),0)</f>
        <v>1668800</v>
      </c>
      <c r="WB114" s="846">
        <f>IF(IFERROR(HLOOKUP($F114,'Hodnocení '!$C$1:$JH$13,13,FALSE),0)&gt;WA114,WA114,IFERROR(HLOOKUP($F114,'Hodnocení '!$C$1:$JH$13,13,FALSE),0))</f>
        <v>1360742.4938025323</v>
      </c>
      <c r="WC114" s="846">
        <f>IFERROR(HLOOKUP($F114,'Hodnocení '!$C$1:$JH$155,155,FALSE),0)</f>
        <v>1223740</v>
      </c>
      <c r="WD114" s="845"/>
      <c r="WE114" s="845"/>
      <c r="WF114" s="845" t="str">
        <f t="shared" si="204"/>
        <v>ANO</v>
      </c>
      <c r="WG114" s="849" t="str">
        <f t="shared" si="218"/>
        <v>Podpora služby je vyjádřena zařazením do sítě sociálních služeb v KHK a řešením financování služby</v>
      </c>
      <c r="WH114"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14" s="849" t="str">
        <f t="shared" si="218"/>
        <v>Návrh dotace je výsledkem projednání s ostatními zadavateli v rámci sítě služeb KHK</v>
      </c>
      <c r="WJ114" s="849" t="str">
        <f t="shared" si="218"/>
        <v>Bez komentáře</v>
      </c>
      <c r="WK114" s="31">
        <f t="shared" si="205"/>
        <v>0</v>
      </c>
      <c r="WL114" s="850">
        <f t="shared" si="206"/>
        <v>0</v>
      </c>
      <c r="WM114" s="849">
        <f t="shared" si="207"/>
        <v>0</v>
      </c>
      <c r="WN114" s="849">
        <f t="shared" si="208"/>
        <v>0</v>
      </c>
      <c r="WO114" s="849" t="str">
        <f t="shared" si="219"/>
        <v>bez komentáře</v>
      </c>
      <c r="WP114" s="849" t="str">
        <f t="shared" si="219"/>
        <v>bez komentáře</v>
      </c>
      <c r="WQ114" s="849" t="str">
        <f t="shared" si="219"/>
        <v>Konečná výše dotace z rozpočtu KHK bude řešena v návaznosti na řešení podílů jednotlivých zadavatelů.</v>
      </c>
      <c r="WR114" s="849" t="str">
        <f t="shared" si="219"/>
        <v>Konečná výše podpory ze stran obcí bude řešena v součinnosti s jednotlivými zadavateli v průběhu roku.</v>
      </c>
      <c r="WS114" s="849" t="str">
        <f t="shared" si="219"/>
        <v>bez komentáře</v>
      </c>
      <c r="WT114" s="849" t="str">
        <f t="shared" si="219"/>
        <v>bez komentáře</v>
      </c>
      <c r="WU114" s="845"/>
    </row>
    <row r="115" spans="1:619" s="128" customFormat="1" x14ac:dyDescent="0.25">
      <c r="A115" s="128" t="str">
        <f>VLOOKUP(F115,'Výpočet VP 2020'!$D$324:$I$588,6,FALSE)</f>
        <v>Je v síti</v>
      </c>
      <c r="B115" s="128" t="s">
        <v>1118</v>
      </c>
      <c r="C115" s="128">
        <v>1994352</v>
      </c>
      <c r="D115" s="128" t="s">
        <v>2375</v>
      </c>
      <c r="E115" s="128" t="s">
        <v>216</v>
      </c>
      <c r="F115" s="128">
        <v>9608144</v>
      </c>
      <c r="G115" s="128" t="s">
        <v>292</v>
      </c>
      <c r="H115" s="128" t="s">
        <v>293</v>
      </c>
      <c r="I115" s="128" t="s">
        <v>1028</v>
      </c>
      <c r="J115" s="129">
        <v>41640</v>
      </c>
      <c r="L115" s="128" t="s">
        <v>220</v>
      </c>
      <c r="X115" s="128" t="s">
        <v>912</v>
      </c>
      <c r="AI115" s="128">
        <v>650</v>
      </c>
      <c r="AJ115" s="128">
        <v>15</v>
      </c>
      <c r="AK115" s="128">
        <v>398</v>
      </c>
      <c r="AL115" s="128">
        <v>190</v>
      </c>
      <c r="AM115" s="128">
        <v>420</v>
      </c>
      <c r="AO115" s="128" t="s">
        <v>2378</v>
      </c>
      <c r="BL115" s="128" t="s">
        <v>1895</v>
      </c>
      <c r="BM115" s="128" t="s">
        <v>1896</v>
      </c>
      <c r="BN115" s="128" t="s">
        <v>299</v>
      </c>
      <c r="EK115" s="128">
        <v>2</v>
      </c>
      <c r="EL115" s="128">
        <v>1.5</v>
      </c>
      <c r="EM115" s="128">
        <v>1.5</v>
      </c>
      <c r="EN115" s="128">
        <v>779880</v>
      </c>
      <c r="EO115" s="128">
        <v>779880</v>
      </c>
      <c r="EP115" s="128">
        <v>1</v>
      </c>
      <c r="EQ115" s="128">
        <v>0.4</v>
      </c>
      <c r="ER115" s="128">
        <v>0.4</v>
      </c>
      <c r="ES115" s="128">
        <v>176880</v>
      </c>
      <c r="ET115" s="128">
        <v>176880</v>
      </c>
      <c r="IH115" s="128">
        <v>2</v>
      </c>
      <c r="II115" s="128">
        <v>0.75</v>
      </c>
      <c r="IJ115" s="128">
        <v>24</v>
      </c>
      <c r="IK115" s="128">
        <v>0.75</v>
      </c>
      <c r="IL115" s="128">
        <v>353760</v>
      </c>
      <c r="IM115" s="128">
        <v>192960</v>
      </c>
      <c r="IS115" s="128">
        <v>2</v>
      </c>
      <c r="IT115" s="128">
        <v>600</v>
      </c>
      <c r="IU115" s="128">
        <v>0.28599999999999998</v>
      </c>
      <c r="IV115" s="128">
        <v>60000</v>
      </c>
      <c r="IW115" s="128">
        <v>0</v>
      </c>
      <c r="KG115" s="128">
        <v>0</v>
      </c>
      <c r="KI115" s="128">
        <v>1.9</v>
      </c>
      <c r="KJ115" s="128">
        <v>0</v>
      </c>
      <c r="KK115" s="128">
        <v>0</v>
      </c>
      <c r="KL115" s="128">
        <v>0</v>
      </c>
      <c r="KM115" s="128">
        <v>1.9</v>
      </c>
      <c r="KN115" s="128">
        <v>956760</v>
      </c>
      <c r="KO115" s="128">
        <v>956760</v>
      </c>
      <c r="KP115" s="128">
        <v>956760</v>
      </c>
      <c r="KT115" s="128">
        <v>353760</v>
      </c>
      <c r="KU115" s="128">
        <v>192960</v>
      </c>
      <c r="KV115" s="128">
        <v>192960</v>
      </c>
      <c r="KZ115" s="128">
        <v>60000</v>
      </c>
      <c r="LA115" s="128">
        <v>0</v>
      </c>
      <c r="LB115" s="128">
        <v>0</v>
      </c>
      <c r="LF115" s="128">
        <v>10000</v>
      </c>
      <c r="LG115" s="128">
        <v>6000</v>
      </c>
      <c r="LH115" s="128">
        <v>6000</v>
      </c>
      <c r="LL115" s="128">
        <v>0</v>
      </c>
      <c r="LM115" s="128">
        <v>0</v>
      </c>
      <c r="LN115" s="128">
        <v>0</v>
      </c>
      <c r="LR115" s="128">
        <v>30000</v>
      </c>
      <c r="LS115" s="128">
        <v>25000</v>
      </c>
      <c r="LT115" s="128">
        <v>25000</v>
      </c>
      <c r="LX115" s="128">
        <v>0</v>
      </c>
      <c r="LY115" s="128">
        <v>0</v>
      </c>
      <c r="LZ115" s="128">
        <v>0</v>
      </c>
      <c r="MD115" s="128">
        <v>12000</v>
      </c>
      <c r="ME115" s="128">
        <v>8000</v>
      </c>
      <c r="MF115" s="128">
        <v>8000</v>
      </c>
      <c r="MJ115" s="128">
        <v>0</v>
      </c>
      <c r="MK115" s="128">
        <v>0</v>
      </c>
      <c r="ML115" s="128">
        <v>0</v>
      </c>
      <c r="MP115" s="128">
        <v>3000</v>
      </c>
      <c r="MQ115" s="128">
        <v>2000</v>
      </c>
      <c r="MR115" s="128">
        <v>2000</v>
      </c>
      <c r="MV115" s="128">
        <v>80000</v>
      </c>
      <c r="MW115" s="128">
        <v>42000</v>
      </c>
      <c r="MX115" s="128">
        <v>42000</v>
      </c>
      <c r="NB115" s="128">
        <v>14000</v>
      </c>
      <c r="NC115" s="128">
        <v>10000</v>
      </c>
      <c r="ND115" s="128">
        <v>10000</v>
      </c>
      <c r="NH115" s="128">
        <v>45500</v>
      </c>
      <c r="NI115" s="128">
        <v>22700</v>
      </c>
      <c r="NJ115" s="128">
        <v>22700</v>
      </c>
      <c r="NN115" s="128">
        <v>35000</v>
      </c>
      <c r="NO115" s="128">
        <v>20000</v>
      </c>
      <c r="NP115" s="128">
        <v>20000</v>
      </c>
      <c r="NT115" s="128">
        <v>12000</v>
      </c>
      <c r="NU115" s="128">
        <v>10000</v>
      </c>
      <c r="NV115" s="128">
        <v>10000</v>
      </c>
      <c r="NZ115" s="128">
        <v>2500</v>
      </c>
      <c r="OA115" s="128">
        <v>1500</v>
      </c>
      <c r="OB115" s="128">
        <v>1500</v>
      </c>
      <c r="OF115" s="128">
        <v>12000</v>
      </c>
      <c r="OG115" s="128">
        <v>10000</v>
      </c>
      <c r="OH115" s="128">
        <v>10000</v>
      </c>
      <c r="OL115" s="128">
        <v>0</v>
      </c>
      <c r="OM115" s="128">
        <v>0</v>
      </c>
      <c r="ON115" s="128">
        <v>0</v>
      </c>
      <c r="OR115" s="128">
        <v>0</v>
      </c>
      <c r="OS115" s="128">
        <v>0</v>
      </c>
      <c r="OT115" s="128">
        <v>0</v>
      </c>
      <c r="OX115" s="128">
        <v>10000</v>
      </c>
      <c r="OY115" s="128">
        <v>6000</v>
      </c>
      <c r="OZ115" s="128">
        <v>6000</v>
      </c>
      <c r="PD115" s="128">
        <v>0</v>
      </c>
      <c r="PE115" s="128">
        <v>0</v>
      </c>
      <c r="PF115" s="128">
        <v>0</v>
      </c>
      <c r="PJ115" s="128">
        <v>0</v>
      </c>
      <c r="PK115" s="128">
        <v>0</v>
      </c>
      <c r="PL115" s="128">
        <v>0</v>
      </c>
      <c r="PP115" s="128">
        <v>1636520</v>
      </c>
      <c r="PQ115" s="128">
        <v>1312920</v>
      </c>
      <c r="PR115" s="128">
        <v>1312920</v>
      </c>
      <c r="PS115" s="128">
        <v>100</v>
      </c>
      <c r="PT115" s="128">
        <v>100</v>
      </c>
      <c r="PX115" s="128">
        <v>915538</v>
      </c>
      <c r="PY115" s="128">
        <v>1350000</v>
      </c>
      <c r="PZ115" s="128">
        <v>1312920</v>
      </c>
      <c r="QA115" s="128">
        <v>0</v>
      </c>
      <c r="QB115" s="128">
        <v>0</v>
      </c>
      <c r="QC115" s="128">
        <v>0</v>
      </c>
      <c r="QD115" s="128">
        <v>0</v>
      </c>
      <c r="QE115" s="128">
        <v>0</v>
      </c>
      <c r="QF115" s="128">
        <v>140000</v>
      </c>
      <c r="QG115" s="128">
        <v>0</v>
      </c>
      <c r="QH115" s="128">
        <v>0</v>
      </c>
      <c r="QI115" s="128">
        <v>177600</v>
      </c>
      <c r="QJ115" s="128">
        <v>7018</v>
      </c>
      <c r="QK115" s="128">
        <v>6000</v>
      </c>
      <c r="QL115" s="128">
        <v>6000</v>
      </c>
      <c r="QN115" s="128">
        <v>0</v>
      </c>
      <c r="QO115" s="128">
        <v>0</v>
      </c>
      <c r="QP115" s="128">
        <v>0</v>
      </c>
      <c r="QX115" s="128">
        <v>16636</v>
      </c>
      <c r="QY115" s="128">
        <v>0</v>
      </c>
      <c r="QZ115" s="128">
        <v>0</v>
      </c>
      <c r="RD115" s="128">
        <v>81648</v>
      </c>
      <c r="RE115" s="128">
        <v>5000</v>
      </c>
      <c r="RF115" s="128">
        <v>0</v>
      </c>
      <c r="RH115" s="128">
        <f t="shared" si="209"/>
        <v>1630520</v>
      </c>
      <c r="RI115" s="128">
        <v>0</v>
      </c>
      <c r="RM115" s="128" t="s">
        <v>220</v>
      </c>
      <c r="RU115" s="130"/>
      <c r="RV115" s="130"/>
      <c r="RW115" s="130"/>
      <c r="RX115" s="130"/>
      <c r="SF115" s="128">
        <f t="shared" si="119"/>
        <v>9608144</v>
      </c>
      <c r="SG115" s="131">
        <f t="shared" si="120"/>
        <v>1636520</v>
      </c>
      <c r="SH115" s="131">
        <f t="shared" si="121"/>
        <v>1636520</v>
      </c>
      <c r="SI115" s="131">
        <f t="shared" si="122"/>
        <v>1380520</v>
      </c>
      <c r="SJ115" s="132">
        <f t="shared" si="123"/>
        <v>956760</v>
      </c>
      <c r="SK115" s="132">
        <f t="shared" si="124"/>
        <v>353760</v>
      </c>
      <c r="SL115" s="132">
        <f t="shared" si="125"/>
        <v>60000</v>
      </c>
      <c r="SM115" s="132">
        <f t="shared" si="126"/>
        <v>10000</v>
      </c>
      <c r="SN115" s="131">
        <f t="shared" si="127"/>
        <v>256000</v>
      </c>
      <c r="SO115" s="131">
        <f t="shared" si="128"/>
        <v>30000</v>
      </c>
      <c r="SP115" s="132">
        <f t="shared" si="129"/>
        <v>0</v>
      </c>
      <c r="SQ115" s="132">
        <f t="shared" si="130"/>
        <v>30000</v>
      </c>
      <c r="SR115" s="132">
        <f t="shared" si="131"/>
        <v>0</v>
      </c>
      <c r="SS115" s="132">
        <f t="shared" si="132"/>
        <v>12000</v>
      </c>
      <c r="ST115" s="132">
        <f t="shared" si="133"/>
        <v>0</v>
      </c>
      <c r="SU115" s="132">
        <f t="shared" si="134"/>
        <v>3000</v>
      </c>
      <c r="SV115" s="131">
        <f t="shared" si="135"/>
        <v>211000</v>
      </c>
      <c r="SW115" s="132">
        <f t="shared" si="136"/>
        <v>80000</v>
      </c>
      <c r="SX115" s="132">
        <f t="shared" si="137"/>
        <v>14000</v>
      </c>
      <c r="SY115" s="132">
        <f t="shared" si="138"/>
        <v>45500</v>
      </c>
      <c r="SZ115" s="132">
        <f t="shared" si="139"/>
        <v>35000</v>
      </c>
      <c r="TA115" s="132">
        <f t="shared" si="140"/>
        <v>12000</v>
      </c>
      <c r="TB115" s="132">
        <f t="shared" si="141"/>
        <v>2500</v>
      </c>
      <c r="TC115" s="132">
        <f t="shared" si="142"/>
        <v>12000</v>
      </c>
      <c r="TD115" s="132">
        <f t="shared" si="143"/>
        <v>0</v>
      </c>
      <c r="TE115" s="132">
        <f t="shared" si="144"/>
        <v>0</v>
      </c>
      <c r="TF115" s="132">
        <f t="shared" si="145"/>
        <v>10000</v>
      </c>
      <c r="TG115" s="132">
        <f t="shared" si="146"/>
        <v>0</v>
      </c>
      <c r="TH115" s="132">
        <f t="shared" si="147"/>
        <v>0</v>
      </c>
      <c r="TI115" s="1"/>
      <c r="TJ115" s="131">
        <f t="shared" si="148"/>
        <v>1312920</v>
      </c>
      <c r="TK115" s="131">
        <f t="shared" si="149"/>
        <v>1312920</v>
      </c>
      <c r="TL115" s="131">
        <f t="shared" si="150"/>
        <v>1155720</v>
      </c>
      <c r="TM115" s="132">
        <f t="shared" si="151"/>
        <v>956760</v>
      </c>
      <c r="TN115" s="132">
        <f t="shared" si="152"/>
        <v>192960</v>
      </c>
      <c r="TO115" s="132">
        <f t="shared" si="153"/>
        <v>0</v>
      </c>
      <c r="TP115" s="132">
        <f t="shared" si="154"/>
        <v>6000</v>
      </c>
      <c r="TQ115" s="131">
        <f t="shared" si="155"/>
        <v>157200</v>
      </c>
      <c r="TR115" s="131">
        <f t="shared" si="156"/>
        <v>25000</v>
      </c>
      <c r="TS115" s="132">
        <f t="shared" si="157"/>
        <v>0</v>
      </c>
      <c r="TT115" s="132">
        <f t="shared" si="158"/>
        <v>25000</v>
      </c>
      <c r="TU115" s="132">
        <f t="shared" si="159"/>
        <v>0</v>
      </c>
      <c r="TV115" s="132">
        <f t="shared" si="160"/>
        <v>8000</v>
      </c>
      <c r="TW115" s="132">
        <f t="shared" si="161"/>
        <v>0</v>
      </c>
      <c r="TX115" s="132">
        <f t="shared" si="162"/>
        <v>2000</v>
      </c>
      <c r="TY115" s="131">
        <f t="shared" si="163"/>
        <v>122200</v>
      </c>
      <c r="TZ115" s="132">
        <f t="shared" si="164"/>
        <v>42000</v>
      </c>
      <c r="UA115" s="132">
        <f t="shared" si="165"/>
        <v>10000</v>
      </c>
      <c r="UB115" s="132">
        <f t="shared" si="166"/>
        <v>22700</v>
      </c>
      <c r="UC115" s="132">
        <f t="shared" si="167"/>
        <v>20000</v>
      </c>
      <c r="UD115" s="132">
        <f t="shared" si="168"/>
        <v>10000</v>
      </c>
      <c r="UE115" s="132">
        <f t="shared" si="169"/>
        <v>1500</v>
      </c>
      <c r="UF115" s="132">
        <f t="shared" si="170"/>
        <v>10000</v>
      </c>
      <c r="UG115" s="132">
        <f t="shared" si="171"/>
        <v>0</v>
      </c>
      <c r="UH115" s="132">
        <f t="shared" si="172"/>
        <v>0</v>
      </c>
      <c r="UI115" s="132">
        <f t="shared" si="173"/>
        <v>6000</v>
      </c>
      <c r="UJ115" s="132">
        <f t="shared" si="174"/>
        <v>0</v>
      </c>
      <c r="UK115" s="132">
        <f t="shared" si="175"/>
        <v>0</v>
      </c>
      <c r="UL115" s="132">
        <f t="shared" si="210"/>
        <v>1312920</v>
      </c>
      <c r="UM115" s="131">
        <f t="shared" si="176"/>
        <v>1312920</v>
      </c>
      <c r="UN115" s="131">
        <f t="shared" si="177"/>
        <v>1312920</v>
      </c>
      <c r="UO115" s="131">
        <f t="shared" si="178"/>
        <v>1155720</v>
      </c>
      <c r="UP115" s="132">
        <f t="shared" si="179"/>
        <v>956760</v>
      </c>
      <c r="UQ115" s="132">
        <f t="shared" si="180"/>
        <v>192960</v>
      </c>
      <c r="UR115" s="132">
        <f t="shared" si="181"/>
        <v>0</v>
      </c>
      <c r="US115" s="132">
        <f t="shared" si="182"/>
        <v>6000</v>
      </c>
      <c r="UT115" s="131">
        <f t="shared" si="183"/>
        <v>157200</v>
      </c>
      <c r="UU115" s="131">
        <f t="shared" si="184"/>
        <v>25000</v>
      </c>
      <c r="UV115" s="132">
        <f t="shared" si="185"/>
        <v>0</v>
      </c>
      <c r="UW115" s="132">
        <f t="shared" si="186"/>
        <v>25000</v>
      </c>
      <c r="UX115" s="132">
        <f t="shared" si="187"/>
        <v>0</v>
      </c>
      <c r="UY115" s="132">
        <f t="shared" si="188"/>
        <v>8000</v>
      </c>
      <c r="UZ115" s="132">
        <f t="shared" si="189"/>
        <v>0</v>
      </c>
      <c r="VA115" s="132">
        <f t="shared" si="190"/>
        <v>2000</v>
      </c>
      <c r="VB115" s="131">
        <f t="shared" si="191"/>
        <v>122200</v>
      </c>
      <c r="VC115" s="132">
        <f t="shared" si="192"/>
        <v>42000</v>
      </c>
      <c r="VD115" s="132">
        <f t="shared" si="193"/>
        <v>10000</v>
      </c>
      <c r="VE115" s="132">
        <f t="shared" si="194"/>
        <v>22700</v>
      </c>
      <c r="VF115" s="132">
        <f t="shared" si="195"/>
        <v>20000</v>
      </c>
      <c r="VG115" s="132">
        <f t="shared" si="196"/>
        <v>10000</v>
      </c>
      <c r="VH115" s="132">
        <f t="shared" si="197"/>
        <v>1500</v>
      </c>
      <c r="VI115" s="132">
        <f t="shared" si="198"/>
        <v>10000</v>
      </c>
      <c r="VJ115" s="132">
        <f t="shared" si="199"/>
        <v>0</v>
      </c>
      <c r="VK115" s="132">
        <f t="shared" si="200"/>
        <v>0</v>
      </c>
      <c r="VL115" s="132">
        <f t="shared" si="201"/>
        <v>6000</v>
      </c>
      <c r="VM115" s="132">
        <f t="shared" si="202"/>
        <v>0</v>
      </c>
      <c r="VN115" s="132">
        <f t="shared" si="203"/>
        <v>0</v>
      </c>
      <c r="VP115" s="845" t="str">
        <f>IFERROR(HLOOKUP(F115,'Hodnocení '!$C$1:$JH$5,2,FALSE),0)</f>
        <v>Poradenství</v>
      </c>
      <c r="VQ115" s="838"/>
      <c r="VR115" s="845" t="str">
        <f t="shared" si="211"/>
        <v>Obecně prospěšná společnost</v>
      </c>
      <c r="VS115" s="845" t="str">
        <f>IFERROR(HLOOKUP(F115,'Hodnocení '!$C$1:$JH$5,5,FALSE),0)</f>
        <v>NZO</v>
      </c>
      <c r="VT115" s="838">
        <f t="shared" si="212"/>
        <v>0</v>
      </c>
      <c r="VU115" s="838">
        <f t="shared" si="213"/>
        <v>0</v>
      </c>
      <c r="VV115" s="838">
        <f t="shared" si="214"/>
        <v>6000</v>
      </c>
      <c r="VW115" s="838">
        <f t="shared" si="215"/>
        <v>0</v>
      </c>
      <c r="VX115" s="838"/>
      <c r="VY115" s="838">
        <f t="shared" si="216"/>
        <v>0</v>
      </c>
      <c r="VZ115" s="838">
        <f t="shared" si="217"/>
        <v>1312920</v>
      </c>
      <c r="WA115" s="846">
        <f>IFERROR(HLOOKUP($F115,'Hodnocení '!$C$1:$JH$9,9,FALSE),0)</f>
        <v>1312920</v>
      </c>
      <c r="WB115" s="846">
        <f>IF(IFERROR(HLOOKUP($F115,'Hodnocení '!$C$1:$JH$13,13,FALSE),0)&gt;WA115,WA115,IFERROR(HLOOKUP($F115,'Hodnocení '!$C$1:$JH$13,13,FALSE),0))</f>
        <v>1312920</v>
      </c>
      <c r="WC115" s="846">
        <f>IFERROR(HLOOKUP($F115,'Hodnocení '!$C$1:$JH$155,155,FALSE),0)</f>
        <v>1312920</v>
      </c>
      <c r="WD115" s="845"/>
      <c r="WE115" s="845"/>
      <c r="WF115" s="845" t="str">
        <f t="shared" si="204"/>
        <v>ANO</v>
      </c>
      <c r="WG115" s="849" t="str">
        <f t="shared" si="218"/>
        <v>Podpora služby je vyjádřena zařazením do sítě sociálních služeb v KHK a řešením financování služby</v>
      </c>
      <c r="WH115"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15" s="849" t="str">
        <f t="shared" si="218"/>
        <v>Návrh dotace je výsledkem projednání s ostatními zadavateli v rámci sítě služeb KHK</v>
      </c>
      <c r="WJ115" s="849" t="str">
        <f t="shared" si="218"/>
        <v>Bez komentáře</v>
      </c>
      <c r="WK115" s="31">
        <f t="shared" si="205"/>
        <v>0</v>
      </c>
      <c r="WL115" s="850">
        <f t="shared" si="206"/>
        <v>0</v>
      </c>
      <c r="WM115" s="849" t="str">
        <f t="shared" si="207"/>
        <v>V rámci sítě KHK se dlouhodobě řeší otázka navyšování úhrad a průběžně se monitoruje s vazbou na vykrytí vyrovnávací platby</v>
      </c>
      <c r="WN115" s="849">
        <f t="shared" si="208"/>
        <v>0</v>
      </c>
      <c r="WO115" s="849" t="str">
        <f t="shared" si="219"/>
        <v>bez komentáře</v>
      </c>
      <c r="WP115" s="849" t="str">
        <f t="shared" si="219"/>
        <v>bez komentáře</v>
      </c>
      <c r="WQ115" s="849" t="str">
        <f t="shared" si="219"/>
        <v>Konečná výše dotace z rozpočtu KHK bude řešena v návaznosti na řešení podílů jednotlivých zadavatelů.</v>
      </c>
      <c r="WR115" s="849" t="str">
        <f t="shared" si="219"/>
        <v>Konečná výše podpory ze stran obcí bude řešena v součinnosti s jednotlivými zadavateli v průběhu roku.</v>
      </c>
      <c r="WS115" s="849" t="str">
        <f t="shared" si="219"/>
        <v>bez komentáře</v>
      </c>
      <c r="WT115" s="849" t="str">
        <f t="shared" si="219"/>
        <v>bez komentáře</v>
      </c>
      <c r="WU115" s="845"/>
    </row>
    <row r="116" spans="1:619" s="128" customFormat="1" x14ac:dyDescent="0.25">
      <c r="A116" s="128" t="str">
        <f>VLOOKUP(F116,'Výpočet VP 2020'!$D$324:$I$588,6,FALSE)</f>
        <v>Je v síti</v>
      </c>
      <c r="B116" s="128" t="s">
        <v>585</v>
      </c>
      <c r="C116" s="128">
        <v>3847926</v>
      </c>
      <c r="D116" s="128" t="s">
        <v>586</v>
      </c>
      <c r="E116" s="128" t="s">
        <v>272</v>
      </c>
      <c r="F116" s="128">
        <v>5943218</v>
      </c>
      <c r="G116" s="128" t="s">
        <v>235</v>
      </c>
      <c r="H116" s="128" t="s">
        <v>230</v>
      </c>
      <c r="I116" s="128" t="s">
        <v>587</v>
      </c>
      <c r="J116" s="129">
        <v>42278</v>
      </c>
      <c r="L116" s="128" t="s">
        <v>220</v>
      </c>
      <c r="X116" s="128" t="s">
        <v>274</v>
      </c>
      <c r="Z116" s="128">
        <v>2</v>
      </c>
      <c r="AA116" s="128">
        <v>3</v>
      </c>
      <c r="AB116" s="128">
        <v>18</v>
      </c>
      <c r="AC116" s="128">
        <v>21</v>
      </c>
      <c r="AD116" s="128">
        <v>22</v>
      </c>
      <c r="AO116" s="128" t="s">
        <v>588</v>
      </c>
      <c r="AP116" s="128" t="s">
        <v>274</v>
      </c>
      <c r="AQ116" s="128">
        <v>2</v>
      </c>
      <c r="AR116" s="128">
        <v>2</v>
      </c>
      <c r="AS116" s="128">
        <v>7</v>
      </c>
      <c r="AT116" s="128">
        <v>8</v>
      </c>
      <c r="AU116" s="128">
        <v>5</v>
      </c>
      <c r="BK116" s="128" t="s">
        <v>588</v>
      </c>
      <c r="BL116" s="128" t="s">
        <v>443</v>
      </c>
      <c r="BM116" s="128" t="s">
        <v>304</v>
      </c>
      <c r="BN116" s="128" t="s">
        <v>264</v>
      </c>
      <c r="EK116" s="128">
        <v>2</v>
      </c>
      <c r="EL116" s="128">
        <v>0.6</v>
      </c>
      <c r="EM116" s="128">
        <v>0.8</v>
      </c>
      <c r="EN116" s="128">
        <v>322000</v>
      </c>
      <c r="EO116" s="128">
        <v>322000</v>
      </c>
      <c r="EP116" s="128">
        <v>1</v>
      </c>
      <c r="EQ116" s="128">
        <v>0.22500000000000001</v>
      </c>
      <c r="ER116" s="128">
        <v>0.22500000000000001</v>
      </c>
      <c r="ES116" s="128">
        <v>99000</v>
      </c>
      <c r="ET116" s="128">
        <v>99000</v>
      </c>
      <c r="FJ116" s="128">
        <v>2</v>
      </c>
      <c r="FK116" s="128">
        <v>0.82499999999999996</v>
      </c>
      <c r="FL116" s="128">
        <v>0.42499999999999999</v>
      </c>
      <c r="FM116" s="128">
        <v>455000</v>
      </c>
      <c r="FN116" s="128">
        <v>455000</v>
      </c>
      <c r="FO116" s="128">
        <v>3</v>
      </c>
      <c r="FP116" s="128">
        <v>0.6</v>
      </c>
      <c r="FQ116" s="128">
        <v>0.4</v>
      </c>
      <c r="FR116" s="128">
        <v>346000</v>
      </c>
      <c r="FS116" s="128">
        <v>319080</v>
      </c>
      <c r="IS116" s="128">
        <v>1</v>
      </c>
      <c r="IT116" s="128">
        <v>41</v>
      </c>
      <c r="IU116" s="128">
        <v>0.02</v>
      </c>
      <c r="IV116" s="128">
        <v>4920</v>
      </c>
      <c r="IW116" s="128">
        <v>0</v>
      </c>
      <c r="JW116" s="128">
        <v>1</v>
      </c>
      <c r="JX116" s="128">
        <v>0.1</v>
      </c>
      <c r="JY116" s="128">
        <v>0</v>
      </c>
      <c r="JZ116" s="128">
        <v>70000</v>
      </c>
      <c r="KA116" s="128">
        <v>70000</v>
      </c>
      <c r="KG116" s="128">
        <v>0</v>
      </c>
      <c r="KI116" s="128">
        <v>1.65</v>
      </c>
      <c r="KJ116" s="128">
        <v>0</v>
      </c>
      <c r="KK116" s="128">
        <v>0</v>
      </c>
      <c r="KL116" s="128">
        <v>0.1</v>
      </c>
      <c r="KM116" s="128">
        <v>1.75</v>
      </c>
      <c r="KN116" s="128">
        <v>1222000</v>
      </c>
      <c r="KO116" s="128">
        <v>1195080</v>
      </c>
      <c r="KP116" s="128">
        <v>1195080</v>
      </c>
      <c r="KT116" s="128">
        <v>0</v>
      </c>
      <c r="KU116" s="128">
        <v>0</v>
      </c>
      <c r="KV116" s="128">
        <v>0</v>
      </c>
      <c r="KZ116" s="128">
        <v>4920</v>
      </c>
      <c r="LA116" s="128">
        <v>0</v>
      </c>
      <c r="LB116" s="128">
        <v>0</v>
      </c>
      <c r="LF116" s="128">
        <v>0</v>
      </c>
      <c r="LG116" s="128">
        <v>0</v>
      </c>
      <c r="LH116" s="128">
        <v>0</v>
      </c>
      <c r="LL116" s="128">
        <v>0</v>
      </c>
      <c r="LM116" s="128">
        <v>0</v>
      </c>
      <c r="LN116" s="128">
        <v>0</v>
      </c>
      <c r="LR116" s="128">
        <v>10000</v>
      </c>
      <c r="LS116" s="128">
        <v>0</v>
      </c>
      <c r="LT116" s="128">
        <v>0</v>
      </c>
      <c r="LX116" s="128">
        <v>0</v>
      </c>
      <c r="LY116" s="128">
        <v>0</v>
      </c>
      <c r="LZ116" s="128">
        <v>0</v>
      </c>
      <c r="MD116" s="128">
        <v>3000</v>
      </c>
      <c r="ME116" s="128">
        <v>0</v>
      </c>
      <c r="MF116" s="128">
        <v>0</v>
      </c>
      <c r="MJ116" s="128">
        <v>0</v>
      </c>
      <c r="MK116" s="128">
        <v>0</v>
      </c>
      <c r="ML116" s="128">
        <v>0</v>
      </c>
      <c r="MP116" s="128">
        <v>15000</v>
      </c>
      <c r="MQ116" s="128">
        <v>0</v>
      </c>
      <c r="MR116" s="128">
        <v>0</v>
      </c>
      <c r="MV116" s="128">
        <v>22000</v>
      </c>
      <c r="MW116" s="128">
        <v>0</v>
      </c>
      <c r="MX116" s="128">
        <v>0</v>
      </c>
      <c r="NB116" s="128">
        <v>11400</v>
      </c>
      <c r="NC116" s="128">
        <v>0</v>
      </c>
      <c r="ND116" s="128">
        <v>0</v>
      </c>
      <c r="NH116" s="128">
        <v>20000</v>
      </c>
      <c r="NI116" s="128">
        <v>0</v>
      </c>
      <c r="NJ116" s="128">
        <v>0</v>
      </c>
      <c r="NN116" s="128">
        <v>32000</v>
      </c>
      <c r="NO116" s="128">
        <v>0</v>
      </c>
      <c r="NP116" s="128">
        <v>0</v>
      </c>
      <c r="NT116" s="128">
        <v>12000</v>
      </c>
      <c r="NU116" s="128">
        <v>12000</v>
      </c>
      <c r="NV116" s="128">
        <v>12000</v>
      </c>
      <c r="NZ116" s="128">
        <v>3000</v>
      </c>
      <c r="OA116" s="128">
        <v>0</v>
      </c>
      <c r="OB116" s="128">
        <v>0</v>
      </c>
      <c r="OF116" s="128">
        <v>10000</v>
      </c>
      <c r="OG116" s="128">
        <v>9420</v>
      </c>
      <c r="OH116" s="128">
        <v>9420</v>
      </c>
      <c r="OL116" s="128">
        <v>70000</v>
      </c>
      <c r="OM116" s="128">
        <v>70000</v>
      </c>
      <c r="ON116" s="128">
        <v>70000</v>
      </c>
      <c r="OR116" s="128">
        <v>0</v>
      </c>
      <c r="OS116" s="128">
        <v>0</v>
      </c>
      <c r="OT116" s="128">
        <v>0</v>
      </c>
      <c r="OX116" s="128">
        <v>122800</v>
      </c>
      <c r="OY116" s="128">
        <v>0</v>
      </c>
      <c r="OZ116" s="128">
        <v>0</v>
      </c>
      <c r="PD116" s="128">
        <v>0</v>
      </c>
      <c r="PE116" s="128">
        <v>0</v>
      </c>
      <c r="PF116" s="128">
        <v>0</v>
      </c>
      <c r="PJ116" s="128">
        <v>4400</v>
      </c>
      <c r="PK116" s="128">
        <v>4400</v>
      </c>
      <c r="PL116" s="128">
        <v>4400</v>
      </c>
      <c r="PP116" s="128">
        <v>1562520</v>
      </c>
      <c r="PQ116" s="128">
        <v>1290900</v>
      </c>
      <c r="PR116" s="128">
        <v>1290900</v>
      </c>
      <c r="PS116" s="128">
        <v>100</v>
      </c>
      <c r="PT116" s="128">
        <v>100</v>
      </c>
      <c r="PX116" s="128">
        <v>1161520</v>
      </c>
      <c r="PY116" s="128">
        <v>1091150</v>
      </c>
      <c r="PZ116" s="128">
        <v>1290900</v>
      </c>
      <c r="QA116" s="128">
        <v>0</v>
      </c>
      <c r="QB116" s="128">
        <v>0</v>
      </c>
      <c r="QC116" s="128">
        <v>0</v>
      </c>
      <c r="QD116" s="128">
        <v>0</v>
      </c>
      <c r="QE116" s="128">
        <v>0</v>
      </c>
      <c r="QF116" s="128">
        <v>0</v>
      </c>
      <c r="QG116" s="128">
        <v>0</v>
      </c>
      <c r="QH116" s="128">
        <v>0</v>
      </c>
      <c r="QI116" s="128">
        <v>0</v>
      </c>
      <c r="QJ116" s="128">
        <v>0</v>
      </c>
      <c r="QK116" s="128">
        <v>0</v>
      </c>
      <c r="QL116" s="128">
        <v>0</v>
      </c>
      <c r="QN116" s="128">
        <v>0</v>
      </c>
      <c r="QO116" s="128">
        <v>0</v>
      </c>
      <c r="QP116" s="128">
        <v>0</v>
      </c>
      <c r="QU116" s="128">
        <v>21870</v>
      </c>
      <c r="QV116" s="128">
        <v>113000</v>
      </c>
      <c r="QW116" s="128">
        <v>106620</v>
      </c>
      <c r="QX116" s="128">
        <v>176000</v>
      </c>
      <c r="QY116" s="128">
        <v>125000</v>
      </c>
      <c r="QZ116" s="128">
        <v>165000</v>
      </c>
      <c r="RH116" s="128">
        <f t="shared" si="209"/>
        <v>1562520</v>
      </c>
      <c r="RI116" s="128">
        <v>0</v>
      </c>
      <c r="RM116" s="128" t="s">
        <v>220</v>
      </c>
      <c r="RU116" s="130"/>
      <c r="RV116" s="130"/>
      <c r="RW116" s="130"/>
      <c r="RX116" s="130"/>
      <c r="SF116" s="128">
        <f t="shared" si="119"/>
        <v>5943218</v>
      </c>
      <c r="SG116" s="131">
        <f t="shared" si="120"/>
        <v>1562520</v>
      </c>
      <c r="SH116" s="131">
        <f t="shared" si="121"/>
        <v>1562520</v>
      </c>
      <c r="SI116" s="131">
        <f t="shared" si="122"/>
        <v>1226920</v>
      </c>
      <c r="SJ116" s="132">
        <f t="shared" si="123"/>
        <v>1222000</v>
      </c>
      <c r="SK116" s="132">
        <f t="shared" si="124"/>
        <v>0</v>
      </c>
      <c r="SL116" s="132">
        <f t="shared" si="125"/>
        <v>4920</v>
      </c>
      <c r="SM116" s="132">
        <f t="shared" si="126"/>
        <v>0</v>
      </c>
      <c r="SN116" s="131">
        <f t="shared" si="127"/>
        <v>335600</v>
      </c>
      <c r="SO116" s="131">
        <f t="shared" si="128"/>
        <v>10000</v>
      </c>
      <c r="SP116" s="132">
        <f t="shared" si="129"/>
        <v>0</v>
      </c>
      <c r="SQ116" s="132">
        <f t="shared" si="130"/>
        <v>10000</v>
      </c>
      <c r="SR116" s="132">
        <f t="shared" si="131"/>
        <v>0</v>
      </c>
      <c r="SS116" s="132">
        <f t="shared" si="132"/>
        <v>3000</v>
      </c>
      <c r="ST116" s="132">
        <f t="shared" si="133"/>
        <v>0</v>
      </c>
      <c r="SU116" s="132">
        <f t="shared" si="134"/>
        <v>15000</v>
      </c>
      <c r="SV116" s="131">
        <f t="shared" si="135"/>
        <v>303200</v>
      </c>
      <c r="SW116" s="132">
        <f t="shared" si="136"/>
        <v>22000</v>
      </c>
      <c r="SX116" s="132">
        <f t="shared" si="137"/>
        <v>11400</v>
      </c>
      <c r="SY116" s="132">
        <f t="shared" si="138"/>
        <v>20000</v>
      </c>
      <c r="SZ116" s="132">
        <f t="shared" si="139"/>
        <v>32000</v>
      </c>
      <c r="TA116" s="132">
        <f t="shared" si="140"/>
        <v>12000</v>
      </c>
      <c r="TB116" s="132">
        <f t="shared" si="141"/>
        <v>3000</v>
      </c>
      <c r="TC116" s="132">
        <f t="shared" si="142"/>
        <v>10000</v>
      </c>
      <c r="TD116" s="132">
        <f t="shared" si="143"/>
        <v>70000</v>
      </c>
      <c r="TE116" s="132">
        <f t="shared" si="144"/>
        <v>0</v>
      </c>
      <c r="TF116" s="132">
        <f t="shared" si="145"/>
        <v>122800</v>
      </c>
      <c r="TG116" s="132">
        <f t="shared" si="146"/>
        <v>0</v>
      </c>
      <c r="TH116" s="132">
        <f t="shared" si="147"/>
        <v>4400</v>
      </c>
      <c r="TI116" s="1"/>
      <c r="TJ116" s="131">
        <f t="shared" si="148"/>
        <v>1290900</v>
      </c>
      <c r="TK116" s="131">
        <f t="shared" si="149"/>
        <v>1290900</v>
      </c>
      <c r="TL116" s="131">
        <f t="shared" si="150"/>
        <v>1195080</v>
      </c>
      <c r="TM116" s="132">
        <f t="shared" si="151"/>
        <v>1195080</v>
      </c>
      <c r="TN116" s="132">
        <f t="shared" si="152"/>
        <v>0</v>
      </c>
      <c r="TO116" s="132">
        <f t="shared" si="153"/>
        <v>0</v>
      </c>
      <c r="TP116" s="132">
        <f t="shared" si="154"/>
        <v>0</v>
      </c>
      <c r="TQ116" s="131">
        <f t="shared" si="155"/>
        <v>95820</v>
      </c>
      <c r="TR116" s="131">
        <f t="shared" si="156"/>
        <v>0</v>
      </c>
      <c r="TS116" s="132">
        <f t="shared" si="157"/>
        <v>0</v>
      </c>
      <c r="TT116" s="132">
        <f t="shared" si="158"/>
        <v>0</v>
      </c>
      <c r="TU116" s="132">
        <f t="shared" si="159"/>
        <v>0</v>
      </c>
      <c r="TV116" s="132">
        <f t="shared" si="160"/>
        <v>0</v>
      </c>
      <c r="TW116" s="132">
        <f t="shared" si="161"/>
        <v>0</v>
      </c>
      <c r="TX116" s="132">
        <f t="shared" si="162"/>
        <v>0</v>
      </c>
      <c r="TY116" s="131">
        <f t="shared" si="163"/>
        <v>91420</v>
      </c>
      <c r="TZ116" s="132">
        <f t="shared" si="164"/>
        <v>0</v>
      </c>
      <c r="UA116" s="132">
        <f t="shared" si="165"/>
        <v>0</v>
      </c>
      <c r="UB116" s="132">
        <f t="shared" si="166"/>
        <v>0</v>
      </c>
      <c r="UC116" s="132">
        <f t="shared" si="167"/>
        <v>0</v>
      </c>
      <c r="UD116" s="132">
        <f t="shared" si="168"/>
        <v>12000</v>
      </c>
      <c r="UE116" s="132">
        <f t="shared" si="169"/>
        <v>0</v>
      </c>
      <c r="UF116" s="132">
        <f t="shared" si="170"/>
        <v>9420</v>
      </c>
      <c r="UG116" s="132">
        <f t="shared" si="171"/>
        <v>70000</v>
      </c>
      <c r="UH116" s="132">
        <f t="shared" si="172"/>
        <v>0</v>
      </c>
      <c r="UI116" s="132">
        <f t="shared" si="173"/>
        <v>0</v>
      </c>
      <c r="UJ116" s="132">
        <f t="shared" si="174"/>
        <v>0</v>
      </c>
      <c r="UK116" s="132">
        <f t="shared" si="175"/>
        <v>4400</v>
      </c>
      <c r="UL116" s="132">
        <f t="shared" si="210"/>
        <v>1290900</v>
      </c>
      <c r="UM116" s="131">
        <f t="shared" si="176"/>
        <v>1290900</v>
      </c>
      <c r="UN116" s="131">
        <f t="shared" si="177"/>
        <v>1290900</v>
      </c>
      <c r="UO116" s="131">
        <f t="shared" si="178"/>
        <v>1195080</v>
      </c>
      <c r="UP116" s="132">
        <f t="shared" si="179"/>
        <v>1195080</v>
      </c>
      <c r="UQ116" s="132">
        <f t="shared" si="180"/>
        <v>0</v>
      </c>
      <c r="UR116" s="132">
        <f t="shared" si="181"/>
        <v>0</v>
      </c>
      <c r="US116" s="132">
        <f t="shared" si="182"/>
        <v>0</v>
      </c>
      <c r="UT116" s="131">
        <f t="shared" si="183"/>
        <v>95820</v>
      </c>
      <c r="UU116" s="131">
        <f t="shared" si="184"/>
        <v>0</v>
      </c>
      <c r="UV116" s="132">
        <f t="shared" si="185"/>
        <v>0</v>
      </c>
      <c r="UW116" s="132">
        <f t="shared" si="186"/>
        <v>0</v>
      </c>
      <c r="UX116" s="132">
        <f t="shared" si="187"/>
        <v>0</v>
      </c>
      <c r="UY116" s="132">
        <f t="shared" si="188"/>
        <v>0</v>
      </c>
      <c r="UZ116" s="132">
        <f t="shared" si="189"/>
        <v>0</v>
      </c>
      <c r="VA116" s="132">
        <f t="shared" si="190"/>
        <v>0</v>
      </c>
      <c r="VB116" s="131">
        <f t="shared" si="191"/>
        <v>91420</v>
      </c>
      <c r="VC116" s="132">
        <f t="shared" si="192"/>
        <v>0</v>
      </c>
      <c r="VD116" s="132">
        <f t="shared" si="193"/>
        <v>0</v>
      </c>
      <c r="VE116" s="132">
        <f t="shared" si="194"/>
        <v>0</v>
      </c>
      <c r="VF116" s="132">
        <f t="shared" si="195"/>
        <v>0</v>
      </c>
      <c r="VG116" s="132">
        <f t="shared" si="196"/>
        <v>12000</v>
      </c>
      <c r="VH116" s="132">
        <f t="shared" si="197"/>
        <v>0</v>
      </c>
      <c r="VI116" s="132">
        <f t="shared" si="198"/>
        <v>9420</v>
      </c>
      <c r="VJ116" s="132">
        <f t="shared" si="199"/>
        <v>70000</v>
      </c>
      <c r="VK116" s="132">
        <f t="shared" si="200"/>
        <v>0</v>
      </c>
      <c r="VL116" s="132">
        <f t="shared" si="201"/>
        <v>0</v>
      </c>
      <c r="VM116" s="132">
        <f t="shared" si="202"/>
        <v>0</v>
      </c>
      <c r="VN116" s="132">
        <f t="shared" si="203"/>
        <v>4400</v>
      </c>
      <c r="VP116" s="845" t="str">
        <f>IFERROR(HLOOKUP(F116,'Hodnocení '!$C$1:$JH$5,2,FALSE),0)</f>
        <v>KŘESADLO HK - Centrum pomoci lidem s PAS, z.ú.</v>
      </c>
      <c r="VQ116" s="838"/>
      <c r="VR116" s="845" t="str">
        <f t="shared" si="211"/>
        <v>Ústav</v>
      </c>
      <c r="VS116" s="845" t="str">
        <f>IFERROR(HLOOKUP(F116,'Hodnocení '!$C$1:$JH$5,5,FALSE),0)</f>
        <v>NZO</v>
      </c>
      <c r="VT116" s="838">
        <f t="shared" si="212"/>
        <v>0</v>
      </c>
      <c r="VU116" s="838">
        <f t="shared" si="213"/>
        <v>0</v>
      </c>
      <c r="VV116" s="838">
        <f t="shared" si="214"/>
        <v>0</v>
      </c>
      <c r="VW116" s="838">
        <f t="shared" si="215"/>
        <v>0</v>
      </c>
      <c r="VX116" s="838"/>
      <c r="VY116" s="838">
        <f t="shared" si="216"/>
        <v>0</v>
      </c>
      <c r="VZ116" s="838">
        <f t="shared" si="217"/>
        <v>1290900</v>
      </c>
      <c r="WA116" s="846">
        <f>IFERROR(HLOOKUP($F116,'Hodnocení '!$C$1:$JH$9,9,FALSE),0)</f>
        <v>1290900</v>
      </c>
      <c r="WB116" s="846">
        <f>IF(IFERROR(HLOOKUP($F116,'Hodnocení '!$C$1:$JH$13,13,FALSE),0)&gt;WA116,WA116,IFERROR(HLOOKUP($F116,'Hodnocení '!$C$1:$JH$13,13,FALSE),0))</f>
        <v>1290900</v>
      </c>
      <c r="WC116" s="846">
        <f>IFERROR(HLOOKUP($F116,'Hodnocení '!$C$1:$JH$155,155,FALSE),0)</f>
        <v>0</v>
      </c>
      <c r="WD116" s="845"/>
      <c r="WE116" s="845"/>
      <c r="WF116" s="845" t="str">
        <f t="shared" si="204"/>
        <v>ANO</v>
      </c>
      <c r="WG116" s="849" t="str">
        <f t="shared" si="218"/>
        <v>Podpora služby je vyjádřena zařazením do sítě sociálních služeb v KHK a řešením financování služby</v>
      </c>
      <c r="WH116"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16" s="849" t="str">
        <f t="shared" si="218"/>
        <v>Návrh dotace je výsledkem projednání s ostatními zadavateli v rámci sítě služeb KHK</v>
      </c>
      <c r="WJ116" s="849" t="str">
        <f t="shared" si="218"/>
        <v>Bez komentáře</v>
      </c>
      <c r="WK116" s="31">
        <f t="shared" si="205"/>
        <v>0</v>
      </c>
      <c r="WL116" s="850">
        <f t="shared" si="206"/>
        <v>0</v>
      </c>
      <c r="WM116" s="849">
        <f t="shared" si="207"/>
        <v>0</v>
      </c>
      <c r="WN116" s="849">
        <f t="shared" si="208"/>
        <v>0</v>
      </c>
      <c r="WO116" s="849" t="str">
        <f t="shared" si="219"/>
        <v>bez komentáře</v>
      </c>
      <c r="WP116" s="849" t="str">
        <f t="shared" si="219"/>
        <v>bez komentáře</v>
      </c>
      <c r="WQ116" s="849" t="str">
        <f t="shared" si="219"/>
        <v>Konečná výše dotace z rozpočtu KHK bude řešena v návaznosti na řešení podílů jednotlivých zadavatelů.</v>
      </c>
      <c r="WR116" s="849" t="str">
        <f t="shared" si="219"/>
        <v>Konečná výše podpory ze stran obcí bude řešena v součinnosti s jednotlivými zadavateli v průběhu roku.</v>
      </c>
      <c r="WS116" s="849" t="str">
        <f t="shared" si="219"/>
        <v>bez komentáře</v>
      </c>
      <c r="WT116" s="849" t="str">
        <f t="shared" si="219"/>
        <v>bez komentáře</v>
      </c>
      <c r="WU116" s="845"/>
    </row>
    <row r="117" spans="1:619" s="128" customFormat="1" x14ac:dyDescent="0.25">
      <c r="A117" s="128" t="str">
        <f>VLOOKUP(F117,'Výpočet VP 2020'!$D$324:$I$588,6,FALSE)</f>
        <v>Je v síti</v>
      </c>
      <c r="B117" s="128" t="s">
        <v>585</v>
      </c>
      <c r="C117" s="128">
        <v>3847926</v>
      </c>
      <c r="D117" s="128" t="s">
        <v>586</v>
      </c>
      <c r="E117" s="128" t="s">
        <v>272</v>
      </c>
      <c r="F117" s="128">
        <v>8299792</v>
      </c>
      <c r="G117" s="128" t="s">
        <v>292</v>
      </c>
      <c r="H117" s="128" t="s">
        <v>293</v>
      </c>
      <c r="I117" s="128" t="s">
        <v>587</v>
      </c>
      <c r="J117" s="129">
        <v>42736</v>
      </c>
      <c r="L117" s="128" t="s">
        <v>220</v>
      </c>
      <c r="X117" s="128" t="s">
        <v>274</v>
      </c>
      <c r="AI117" s="128">
        <v>800</v>
      </c>
      <c r="AJ117" s="128">
        <v>4</v>
      </c>
      <c r="AK117" s="128">
        <v>434</v>
      </c>
      <c r="AL117" s="128">
        <v>740</v>
      </c>
      <c r="AM117" s="128">
        <v>860</v>
      </c>
      <c r="AO117" s="128" t="s">
        <v>589</v>
      </c>
      <c r="AP117" s="128" t="s">
        <v>274</v>
      </c>
      <c r="BE117" s="128">
        <v>65</v>
      </c>
      <c r="BF117" s="128">
        <v>3</v>
      </c>
      <c r="BG117" s="128">
        <v>31</v>
      </c>
      <c r="BH117" s="128">
        <v>58</v>
      </c>
      <c r="BI117" s="128">
        <v>72</v>
      </c>
      <c r="BK117" s="128" t="s">
        <v>590</v>
      </c>
      <c r="BL117" s="128" t="s">
        <v>591</v>
      </c>
      <c r="BM117" s="128" t="s">
        <v>304</v>
      </c>
      <c r="BN117" s="128" t="s">
        <v>305</v>
      </c>
      <c r="EK117" s="128">
        <v>2</v>
      </c>
      <c r="EL117" s="128">
        <v>1</v>
      </c>
      <c r="EM117" s="128">
        <v>0.6</v>
      </c>
      <c r="EN117" s="128">
        <v>501000</v>
      </c>
      <c r="EO117" s="128">
        <v>501000</v>
      </c>
      <c r="EP117" s="128">
        <v>1</v>
      </c>
      <c r="EQ117" s="128">
        <v>0.3</v>
      </c>
      <c r="ER117" s="128">
        <v>0.3</v>
      </c>
      <c r="ES117" s="128">
        <v>135000</v>
      </c>
      <c r="ET117" s="128">
        <v>135000</v>
      </c>
      <c r="FJ117" s="128">
        <v>2</v>
      </c>
      <c r="FK117" s="128">
        <v>1.125</v>
      </c>
      <c r="FL117" s="128">
        <v>0.52500000000000002</v>
      </c>
      <c r="FM117" s="128">
        <v>618000</v>
      </c>
      <c r="FN117" s="128">
        <v>618000</v>
      </c>
      <c r="FO117" s="128">
        <v>3</v>
      </c>
      <c r="FP117" s="128">
        <v>0.9</v>
      </c>
      <c r="FQ117" s="128">
        <v>0.2</v>
      </c>
      <c r="FR117" s="128">
        <v>500000</v>
      </c>
      <c r="FS117" s="128">
        <v>500000</v>
      </c>
      <c r="IN117" s="128">
        <v>1</v>
      </c>
      <c r="IO117" s="128">
        <v>60</v>
      </c>
      <c r="IP117" s="128">
        <v>2.9000000000000001E-2</v>
      </c>
      <c r="IQ117" s="128">
        <v>30000</v>
      </c>
      <c r="IR117" s="128">
        <v>0</v>
      </c>
      <c r="IS117" s="128">
        <v>1</v>
      </c>
      <c r="IT117" s="128">
        <v>53</v>
      </c>
      <c r="IU117" s="128">
        <v>2.5000000000000001E-2</v>
      </c>
      <c r="IV117" s="128">
        <v>6360</v>
      </c>
      <c r="IW117" s="128">
        <v>0</v>
      </c>
      <c r="JW117" s="128">
        <v>1</v>
      </c>
      <c r="JX117" s="128">
        <v>0.3</v>
      </c>
      <c r="JY117" s="128">
        <v>0.3</v>
      </c>
      <c r="JZ117" s="128">
        <v>260000</v>
      </c>
      <c r="KA117" s="128">
        <v>260000</v>
      </c>
      <c r="KG117" s="128">
        <v>0</v>
      </c>
      <c r="KI117" s="128">
        <v>2.4249999999999998</v>
      </c>
      <c r="KJ117" s="128">
        <v>0</v>
      </c>
      <c r="KK117" s="128">
        <v>2.9000000000000001E-2</v>
      </c>
      <c r="KL117" s="128">
        <v>0.3</v>
      </c>
      <c r="KM117" s="128">
        <v>2.754</v>
      </c>
      <c r="KN117" s="128">
        <v>1754000</v>
      </c>
      <c r="KO117" s="128">
        <v>1754000</v>
      </c>
      <c r="KP117" s="128">
        <v>1754000</v>
      </c>
      <c r="KT117" s="128">
        <v>0</v>
      </c>
      <c r="KU117" s="128">
        <v>0</v>
      </c>
      <c r="KV117" s="128">
        <v>0</v>
      </c>
      <c r="KZ117" s="128">
        <v>36360</v>
      </c>
      <c r="LA117" s="128">
        <v>0</v>
      </c>
      <c r="LB117" s="128">
        <v>0</v>
      </c>
      <c r="LF117" s="128">
        <v>0</v>
      </c>
      <c r="LG117" s="128">
        <v>0</v>
      </c>
      <c r="LH117" s="128">
        <v>0</v>
      </c>
      <c r="LL117" s="128">
        <v>0</v>
      </c>
      <c r="LM117" s="128">
        <v>0</v>
      </c>
      <c r="LN117" s="128">
        <v>0</v>
      </c>
      <c r="LR117" s="128">
        <v>20000</v>
      </c>
      <c r="LS117" s="128">
        <v>0</v>
      </c>
      <c r="LT117" s="128">
        <v>0</v>
      </c>
      <c r="LX117" s="128">
        <v>0</v>
      </c>
      <c r="LY117" s="128">
        <v>0</v>
      </c>
      <c r="LZ117" s="128">
        <v>0</v>
      </c>
      <c r="MD117" s="128">
        <v>4000</v>
      </c>
      <c r="ME117" s="128">
        <v>0</v>
      </c>
      <c r="MF117" s="128">
        <v>0</v>
      </c>
      <c r="MJ117" s="128">
        <v>0</v>
      </c>
      <c r="MK117" s="128">
        <v>0</v>
      </c>
      <c r="ML117" s="128">
        <v>0</v>
      </c>
      <c r="MP117" s="128">
        <v>18000</v>
      </c>
      <c r="MQ117" s="128">
        <v>0</v>
      </c>
      <c r="MR117" s="128">
        <v>0</v>
      </c>
      <c r="MV117" s="128">
        <v>32400</v>
      </c>
      <c r="MW117" s="128">
        <v>0</v>
      </c>
      <c r="MX117" s="128">
        <v>0</v>
      </c>
      <c r="NB117" s="128">
        <v>15900</v>
      </c>
      <c r="NC117" s="128">
        <v>10000</v>
      </c>
      <c r="ND117" s="128">
        <v>10000</v>
      </c>
      <c r="NH117" s="128">
        <v>29000</v>
      </c>
      <c r="NI117" s="128">
        <v>0</v>
      </c>
      <c r="NJ117" s="128">
        <v>0</v>
      </c>
      <c r="NN117" s="128">
        <v>47000</v>
      </c>
      <c r="NO117" s="128">
        <v>30000</v>
      </c>
      <c r="NP117" s="128">
        <v>30000</v>
      </c>
      <c r="NT117" s="128">
        <v>18000</v>
      </c>
      <c r="NU117" s="128">
        <v>18000</v>
      </c>
      <c r="NV117" s="128">
        <v>18000</v>
      </c>
      <c r="NZ117" s="128">
        <v>5000</v>
      </c>
      <c r="OA117" s="128">
        <v>0</v>
      </c>
      <c r="OB117" s="128">
        <v>0</v>
      </c>
      <c r="OF117" s="128">
        <v>30000</v>
      </c>
      <c r="OG117" s="128">
        <v>30000</v>
      </c>
      <c r="OH117" s="128">
        <v>30000</v>
      </c>
      <c r="OL117" s="128">
        <v>260000</v>
      </c>
      <c r="OM117" s="128">
        <v>260000</v>
      </c>
      <c r="ON117" s="128">
        <v>260000</v>
      </c>
      <c r="OR117" s="128">
        <v>0</v>
      </c>
      <c r="OS117" s="128">
        <v>0</v>
      </c>
      <c r="OT117" s="128">
        <v>0</v>
      </c>
      <c r="OX117" s="128">
        <v>169200</v>
      </c>
      <c r="OY117" s="128">
        <v>100000</v>
      </c>
      <c r="OZ117" s="128">
        <v>100000</v>
      </c>
      <c r="PD117" s="128">
        <v>0</v>
      </c>
      <c r="PE117" s="128">
        <v>0</v>
      </c>
      <c r="PF117" s="128">
        <v>0</v>
      </c>
      <c r="PJ117" s="128">
        <v>6600</v>
      </c>
      <c r="PK117" s="128">
        <v>6600</v>
      </c>
      <c r="PL117" s="128">
        <v>6600</v>
      </c>
      <c r="PP117" s="128">
        <v>2445460</v>
      </c>
      <c r="PQ117" s="128">
        <v>2208600</v>
      </c>
      <c r="PR117" s="128">
        <v>2208600</v>
      </c>
      <c r="PS117" s="128">
        <v>100</v>
      </c>
      <c r="PT117" s="128">
        <v>100</v>
      </c>
      <c r="PX117" s="128">
        <v>1044820</v>
      </c>
      <c r="PY117" s="128">
        <v>1385820</v>
      </c>
      <c r="PZ117" s="128">
        <v>2208600</v>
      </c>
      <c r="QA117" s="128">
        <v>0</v>
      </c>
      <c r="QB117" s="128">
        <v>0</v>
      </c>
      <c r="QC117" s="128">
        <v>0</v>
      </c>
      <c r="QD117" s="128">
        <v>0</v>
      </c>
      <c r="QE117" s="128">
        <v>0</v>
      </c>
      <c r="QF117" s="128">
        <v>0</v>
      </c>
      <c r="QG117" s="128">
        <v>0</v>
      </c>
      <c r="QH117" s="128">
        <v>0</v>
      </c>
      <c r="QI117" s="128">
        <v>0</v>
      </c>
      <c r="QJ117" s="128">
        <v>0</v>
      </c>
      <c r="QK117" s="128">
        <v>0</v>
      </c>
      <c r="QL117" s="128">
        <v>0</v>
      </c>
      <c r="QN117" s="128">
        <v>0</v>
      </c>
      <c r="QO117" s="128">
        <v>0</v>
      </c>
      <c r="QP117" s="128">
        <v>0</v>
      </c>
      <c r="QU117" s="128">
        <v>0</v>
      </c>
      <c r="QV117" s="128">
        <v>112000</v>
      </c>
      <c r="QW117" s="128">
        <v>16860</v>
      </c>
      <c r="QX117" s="128">
        <v>304000</v>
      </c>
      <c r="QY117" s="128">
        <v>220000</v>
      </c>
      <c r="QZ117" s="128">
        <v>220000</v>
      </c>
      <c r="RH117" s="128">
        <f t="shared" si="209"/>
        <v>2445460</v>
      </c>
      <c r="RI117" s="128">
        <v>0</v>
      </c>
      <c r="RM117" s="128" t="s">
        <v>220</v>
      </c>
      <c r="RU117" s="130"/>
      <c r="RV117" s="130"/>
      <c r="RW117" s="130"/>
      <c r="RX117" s="130"/>
      <c r="SF117" s="128">
        <f t="shared" si="119"/>
        <v>8299792</v>
      </c>
      <c r="SG117" s="131">
        <f t="shared" si="120"/>
        <v>2445460</v>
      </c>
      <c r="SH117" s="131">
        <f t="shared" si="121"/>
        <v>2445460</v>
      </c>
      <c r="SI117" s="131">
        <f t="shared" si="122"/>
        <v>1790360</v>
      </c>
      <c r="SJ117" s="132">
        <f t="shared" si="123"/>
        <v>1754000</v>
      </c>
      <c r="SK117" s="132">
        <f t="shared" si="124"/>
        <v>0</v>
      </c>
      <c r="SL117" s="132">
        <f t="shared" si="125"/>
        <v>36360</v>
      </c>
      <c r="SM117" s="132">
        <f t="shared" si="126"/>
        <v>0</v>
      </c>
      <c r="SN117" s="131">
        <f t="shared" si="127"/>
        <v>655100</v>
      </c>
      <c r="SO117" s="131">
        <f t="shared" si="128"/>
        <v>20000</v>
      </c>
      <c r="SP117" s="132">
        <f t="shared" si="129"/>
        <v>0</v>
      </c>
      <c r="SQ117" s="132">
        <f t="shared" si="130"/>
        <v>20000</v>
      </c>
      <c r="SR117" s="132">
        <f t="shared" si="131"/>
        <v>0</v>
      </c>
      <c r="SS117" s="132">
        <f t="shared" si="132"/>
        <v>4000</v>
      </c>
      <c r="ST117" s="132">
        <f t="shared" si="133"/>
        <v>0</v>
      </c>
      <c r="SU117" s="132">
        <f t="shared" si="134"/>
        <v>18000</v>
      </c>
      <c r="SV117" s="131">
        <f t="shared" si="135"/>
        <v>606500</v>
      </c>
      <c r="SW117" s="132">
        <f t="shared" si="136"/>
        <v>32400</v>
      </c>
      <c r="SX117" s="132">
        <f t="shared" si="137"/>
        <v>15900</v>
      </c>
      <c r="SY117" s="132">
        <f t="shared" si="138"/>
        <v>29000</v>
      </c>
      <c r="SZ117" s="132">
        <f t="shared" si="139"/>
        <v>47000</v>
      </c>
      <c r="TA117" s="132">
        <f t="shared" si="140"/>
        <v>18000</v>
      </c>
      <c r="TB117" s="132">
        <f t="shared" si="141"/>
        <v>5000</v>
      </c>
      <c r="TC117" s="132">
        <f t="shared" si="142"/>
        <v>30000</v>
      </c>
      <c r="TD117" s="132">
        <f t="shared" si="143"/>
        <v>260000</v>
      </c>
      <c r="TE117" s="132">
        <f t="shared" si="144"/>
        <v>0</v>
      </c>
      <c r="TF117" s="132">
        <f t="shared" si="145"/>
        <v>169200</v>
      </c>
      <c r="TG117" s="132">
        <f t="shared" si="146"/>
        <v>0</v>
      </c>
      <c r="TH117" s="132">
        <f t="shared" si="147"/>
        <v>6600</v>
      </c>
      <c r="TI117" s="1"/>
      <c r="TJ117" s="131">
        <f t="shared" si="148"/>
        <v>2208600</v>
      </c>
      <c r="TK117" s="131">
        <f t="shared" si="149"/>
        <v>2208600</v>
      </c>
      <c r="TL117" s="131">
        <f t="shared" si="150"/>
        <v>1754000</v>
      </c>
      <c r="TM117" s="132">
        <f t="shared" si="151"/>
        <v>1754000</v>
      </c>
      <c r="TN117" s="132">
        <f t="shared" si="152"/>
        <v>0</v>
      </c>
      <c r="TO117" s="132">
        <f t="shared" si="153"/>
        <v>0</v>
      </c>
      <c r="TP117" s="132">
        <f t="shared" si="154"/>
        <v>0</v>
      </c>
      <c r="TQ117" s="131">
        <f t="shared" si="155"/>
        <v>454600</v>
      </c>
      <c r="TR117" s="131">
        <f t="shared" si="156"/>
        <v>0</v>
      </c>
      <c r="TS117" s="132">
        <f t="shared" si="157"/>
        <v>0</v>
      </c>
      <c r="TT117" s="132">
        <f t="shared" si="158"/>
        <v>0</v>
      </c>
      <c r="TU117" s="132">
        <f t="shared" si="159"/>
        <v>0</v>
      </c>
      <c r="TV117" s="132">
        <f t="shared" si="160"/>
        <v>0</v>
      </c>
      <c r="TW117" s="132">
        <f t="shared" si="161"/>
        <v>0</v>
      </c>
      <c r="TX117" s="132">
        <f t="shared" si="162"/>
        <v>0</v>
      </c>
      <c r="TY117" s="131">
        <f t="shared" si="163"/>
        <v>448000</v>
      </c>
      <c r="TZ117" s="132">
        <f t="shared" si="164"/>
        <v>0</v>
      </c>
      <c r="UA117" s="132">
        <f t="shared" si="165"/>
        <v>10000</v>
      </c>
      <c r="UB117" s="132">
        <f t="shared" si="166"/>
        <v>0</v>
      </c>
      <c r="UC117" s="132">
        <f t="shared" si="167"/>
        <v>30000</v>
      </c>
      <c r="UD117" s="132">
        <f t="shared" si="168"/>
        <v>18000</v>
      </c>
      <c r="UE117" s="132">
        <f t="shared" si="169"/>
        <v>0</v>
      </c>
      <c r="UF117" s="132">
        <f t="shared" si="170"/>
        <v>30000</v>
      </c>
      <c r="UG117" s="132">
        <f t="shared" si="171"/>
        <v>260000</v>
      </c>
      <c r="UH117" s="132">
        <f t="shared" si="172"/>
        <v>0</v>
      </c>
      <c r="UI117" s="132">
        <f t="shared" si="173"/>
        <v>100000</v>
      </c>
      <c r="UJ117" s="132">
        <f t="shared" si="174"/>
        <v>0</v>
      </c>
      <c r="UK117" s="132">
        <f t="shared" si="175"/>
        <v>6600</v>
      </c>
      <c r="UL117" s="132">
        <f t="shared" si="210"/>
        <v>2208600</v>
      </c>
      <c r="UM117" s="131">
        <f t="shared" si="176"/>
        <v>2208600</v>
      </c>
      <c r="UN117" s="131">
        <f t="shared" si="177"/>
        <v>2208600</v>
      </c>
      <c r="UO117" s="131">
        <f t="shared" si="178"/>
        <v>1754000</v>
      </c>
      <c r="UP117" s="132">
        <f t="shared" si="179"/>
        <v>1754000</v>
      </c>
      <c r="UQ117" s="132">
        <f t="shared" si="180"/>
        <v>0</v>
      </c>
      <c r="UR117" s="132">
        <f t="shared" si="181"/>
        <v>0</v>
      </c>
      <c r="US117" s="132">
        <f t="shared" si="182"/>
        <v>0</v>
      </c>
      <c r="UT117" s="131">
        <f t="shared" si="183"/>
        <v>454600</v>
      </c>
      <c r="UU117" s="131">
        <f t="shared" si="184"/>
        <v>0</v>
      </c>
      <c r="UV117" s="132">
        <f t="shared" si="185"/>
        <v>0</v>
      </c>
      <c r="UW117" s="132">
        <f t="shared" si="186"/>
        <v>0</v>
      </c>
      <c r="UX117" s="132">
        <f t="shared" si="187"/>
        <v>0</v>
      </c>
      <c r="UY117" s="132">
        <f t="shared" si="188"/>
        <v>0</v>
      </c>
      <c r="UZ117" s="132">
        <f t="shared" si="189"/>
        <v>0</v>
      </c>
      <c r="VA117" s="132">
        <f t="shared" si="190"/>
        <v>0</v>
      </c>
      <c r="VB117" s="131">
        <f t="shared" si="191"/>
        <v>448000</v>
      </c>
      <c r="VC117" s="132">
        <f t="shared" si="192"/>
        <v>0</v>
      </c>
      <c r="VD117" s="132">
        <f t="shared" si="193"/>
        <v>10000</v>
      </c>
      <c r="VE117" s="132">
        <f t="shared" si="194"/>
        <v>0</v>
      </c>
      <c r="VF117" s="132">
        <f t="shared" si="195"/>
        <v>30000</v>
      </c>
      <c r="VG117" s="132">
        <f t="shared" si="196"/>
        <v>18000</v>
      </c>
      <c r="VH117" s="132">
        <f t="shared" si="197"/>
        <v>0</v>
      </c>
      <c r="VI117" s="132">
        <f t="shared" si="198"/>
        <v>30000</v>
      </c>
      <c r="VJ117" s="132">
        <f t="shared" si="199"/>
        <v>260000</v>
      </c>
      <c r="VK117" s="132">
        <f t="shared" si="200"/>
        <v>0</v>
      </c>
      <c r="VL117" s="132">
        <f t="shared" si="201"/>
        <v>100000</v>
      </c>
      <c r="VM117" s="132">
        <f t="shared" si="202"/>
        <v>0</v>
      </c>
      <c r="VN117" s="132">
        <f t="shared" si="203"/>
        <v>6600</v>
      </c>
      <c r="VP117" s="845" t="str">
        <f>IFERROR(HLOOKUP(F117,'Hodnocení '!$C$1:$JH$5,2,FALSE),0)</f>
        <v>Křesadlo HK - centrum pomoci lidem s PAS, z. ú.</v>
      </c>
      <c r="VQ117" s="838"/>
      <c r="VR117" s="845" t="str">
        <f t="shared" si="211"/>
        <v>Ústav</v>
      </c>
      <c r="VS117" s="845" t="str">
        <f>IFERROR(HLOOKUP(F117,'Hodnocení '!$C$1:$JH$5,5,FALSE),0)</f>
        <v>NZO</v>
      </c>
      <c r="VT117" s="838">
        <f t="shared" si="212"/>
        <v>0</v>
      </c>
      <c r="VU117" s="838">
        <f t="shared" si="213"/>
        <v>0</v>
      </c>
      <c r="VV117" s="838">
        <f t="shared" si="214"/>
        <v>0</v>
      </c>
      <c r="VW117" s="838">
        <f t="shared" si="215"/>
        <v>0</v>
      </c>
      <c r="VX117" s="838"/>
      <c r="VY117" s="838">
        <f t="shared" si="216"/>
        <v>0</v>
      </c>
      <c r="VZ117" s="838">
        <f t="shared" si="217"/>
        <v>2208600</v>
      </c>
      <c r="WA117" s="846">
        <f>IFERROR(HLOOKUP($F117,'Hodnocení '!$C$1:$JH$9,9,FALSE),0)</f>
        <v>2208600</v>
      </c>
      <c r="WB117" s="846">
        <f>IF(IFERROR(HLOOKUP($F117,'Hodnocení '!$C$1:$JH$13,13,FALSE),0)&gt;WA117,WA117,IFERROR(HLOOKUP($F117,'Hodnocení '!$C$1:$JH$13,13,FALSE),0))</f>
        <v>2020343.9493165785</v>
      </c>
      <c r="WC117" s="846">
        <f>IFERROR(HLOOKUP($F117,'Hodnocení '!$C$1:$JH$155,155,FALSE),0)</f>
        <v>1916260</v>
      </c>
      <c r="WD117" s="845"/>
      <c r="WE117" s="845"/>
      <c r="WF117" s="845" t="str">
        <f t="shared" si="204"/>
        <v>ANO</v>
      </c>
      <c r="WG117" s="849" t="str">
        <f t="shared" si="218"/>
        <v>Podpora služby je vyjádřena zařazením do sítě sociálních služeb v KHK a řešením financování služby</v>
      </c>
      <c r="WH117"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17" s="849" t="str">
        <f t="shared" si="218"/>
        <v>Návrh dotace je výsledkem projednání s ostatními zadavateli v rámci sítě služeb KHK</v>
      </c>
      <c r="WJ117" s="849" t="str">
        <f t="shared" si="218"/>
        <v>Bez komentáře</v>
      </c>
      <c r="WK117" s="31">
        <f t="shared" si="205"/>
        <v>0</v>
      </c>
      <c r="WL117" s="850">
        <f t="shared" si="206"/>
        <v>0</v>
      </c>
      <c r="WM117" s="849">
        <f t="shared" si="207"/>
        <v>0</v>
      </c>
      <c r="WN117" s="849">
        <f t="shared" si="208"/>
        <v>0</v>
      </c>
      <c r="WO117" s="849" t="str">
        <f t="shared" si="219"/>
        <v>bez komentáře</v>
      </c>
      <c r="WP117" s="849" t="str">
        <f t="shared" si="219"/>
        <v>bez komentáře</v>
      </c>
      <c r="WQ117" s="849" t="str">
        <f t="shared" si="219"/>
        <v>Konečná výše dotace z rozpočtu KHK bude řešena v návaznosti na řešení podílů jednotlivých zadavatelů.</v>
      </c>
      <c r="WR117" s="849" t="str">
        <f t="shared" si="219"/>
        <v>Konečná výše podpory ze stran obcí bude řešena v součinnosti s jednotlivými zadavateli v průběhu roku.</v>
      </c>
      <c r="WS117" s="849" t="str">
        <f t="shared" si="219"/>
        <v>bez komentáře</v>
      </c>
      <c r="WT117" s="849" t="str">
        <f t="shared" si="219"/>
        <v>bez komentáře</v>
      </c>
      <c r="WU117" s="845"/>
    </row>
    <row r="118" spans="1:619" s="128" customFormat="1" x14ac:dyDescent="0.25">
      <c r="A118" s="128" t="str">
        <f>VLOOKUP(F118,'Výpočet VP 2020'!$D$324:$I$588,6,FALSE)</f>
        <v>Je v síti</v>
      </c>
      <c r="B118" s="128" t="s">
        <v>592</v>
      </c>
      <c r="C118" s="128">
        <v>62695487</v>
      </c>
      <c r="D118" s="128" t="s">
        <v>593</v>
      </c>
      <c r="E118" s="128" t="s">
        <v>272</v>
      </c>
      <c r="F118" s="128">
        <v>1201932</v>
      </c>
      <c r="G118" s="128" t="s">
        <v>292</v>
      </c>
      <c r="H118" s="128" t="s">
        <v>293</v>
      </c>
      <c r="I118" s="128" t="s">
        <v>594</v>
      </c>
      <c r="J118" s="129">
        <v>36892</v>
      </c>
      <c r="L118" s="128" t="s">
        <v>220</v>
      </c>
      <c r="X118" s="128" t="s">
        <v>322</v>
      </c>
      <c r="AI118" s="128">
        <v>4</v>
      </c>
      <c r="AJ118" s="128">
        <v>20</v>
      </c>
      <c r="AK118" s="128">
        <v>1126</v>
      </c>
      <c r="AL118" s="128">
        <v>1900</v>
      </c>
      <c r="AM118" s="128">
        <v>2300</v>
      </c>
      <c r="AO118" s="128" t="s">
        <v>595</v>
      </c>
      <c r="BL118" s="128" t="s">
        <v>596</v>
      </c>
      <c r="BM118" s="128" t="s">
        <v>439</v>
      </c>
      <c r="BN118" s="128" t="s">
        <v>357</v>
      </c>
      <c r="EK118" s="128">
        <v>4</v>
      </c>
      <c r="EL118" s="128">
        <v>3.3</v>
      </c>
      <c r="EM118" s="128">
        <v>2.4700000000000002</v>
      </c>
      <c r="EN118" s="128">
        <v>1609030</v>
      </c>
      <c r="EO118" s="128">
        <v>1017095</v>
      </c>
      <c r="FJ118" s="128">
        <v>2</v>
      </c>
      <c r="FK118" s="128">
        <v>1.2</v>
      </c>
      <c r="FL118" s="128">
        <v>1.58</v>
      </c>
      <c r="FM118" s="128">
        <v>763444</v>
      </c>
      <c r="FN118" s="128">
        <v>346000</v>
      </c>
      <c r="FO118" s="128">
        <v>4</v>
      </c>
      <c r="FP118" s="128">
        <v>0.85</v>
      </c>
      <c r="FQ118" s="128">
        <v>0.6</v>
      </c>
      <c r="FR118" s="128">
        <v>479165</v>
      </c>
      <c r="FS118" s="128">
        <v>281100</v>
      </c>
      <c r="HV118" s="128">
        <v>1</v>
      </c>
      <c r="HW118" s="128">
        <v>0.2</v>
      </c>
      <c r="HX118" s="128">
        <v>12</v>
      </c>
      <c r="HY118" s="128">
        <v>0.2</v>
      </c>
      <c r="HZ118" s="128">
        <v>96638</v>
      </c>
      <c r="IA118" s="128">
        <v>0</v>
      </c>
      <c r="KG118" s="128">
        <v>0</v>
      </c>
      <c r="KI118" s="128">
        <v>4.5</v>
      </c>
      <c r="KJ118" s="128">
        <v>0.2</v>
      </c>
      <c r="KK118" s="128">
        <v>0</v>
      </c>
      <c r="KL118" s="128">
        <v>0</v>
      </c>
      <c r="KM118" s="128">
        <v>4.7</v>
      </c>
      <c r="KN118" s="128">
        <v>2851639</v>
      </c>
      <c r="KO118" s="128">
        <v>1644195</v>
      </c>
      <c r="KP118" s="128">
        <v>1644195</v>
      </c>
      <c r="KT118" s="128">
        <v>96638</v>
      </c>
      <c r="KU118" s="128">
        <v>0</v>
      </c>
      <c r="KV118" s="128">
        <v>0</v>
      </c>
      <c r="KZ118" s="128">
        <v>0</v>
      </c>
      <c r="LA118" s="128">
        <v>0</v>
      </c>
      <c r="LB118" s="128">
        <v>0</v>
      </c>
      <c r="LF118" s="128">
        <v>0</v>
      </c>
      <c r="LG118" s="128">
        <v>0</v>
      </c>
      <c r="LH118" s="128">
        <v>0</v>
      </c>
      <c r="LL118" s="128">
        <v>0</v>
      </c>
      <c r="LM118" s="128">
        <v>0</v>
      </c>
      <c r="LN118" s="128">
        <v>0</v>
      </c>
      <c r="LR118" s="128">
        <v>45000</v>
      </c>
      <c r="LS118" s="128">
        <v>40000</v>
      </c>
      <c r="LT118" s="128">
        <v>40000</v>
      </c>
      <c r="LX118" s="128">
        <v>0</v>
      </c>
      <c r="LY118" s="128">
        <v>0</v>
      </c>
      <c r="LZ118" s="128">
        <v>0</v>
      </c>
      <c r="MD118" s="128">
        <v>11323</v>
      </c>
      <c r="ME118" s="128">
        <v>8000</v>
      </c>
      <c r="MF118" s="128">
        <v>8000</v>
      </c>
      <c r="MJ118" s="128">
        <v>20000</v>
      </c>
      <c r="MK118" s="128">
        <v>20000</v>
      </c>
      <c r="ML118" s="128">
        <v>20000</v>
      </c>
      <c r="MP118" s="128">
        <v>20500</v>
      </c>
      <c r="MQ118" s="128">
        <v>15000</v>
      </c>
      <c r="MR118" s="128">
        <v>15000</v>
      </c>
      <c r="MV118" s="128">
        <v>50000</v>
      </c>
      <c r="MW118" s="128">
        <v>50000</v>
      </c>
      <c r="MX118" s="128">
        <v>50000</v>
      </c>
      <c r="NB118" s="128">
        <v>12000</v>
      </c>
      <c r="NC118" s="128">
        <v>11405</v>
      </c>
      <c r="ND118" s="128">
        <v>11405</v>
      </c>
      <c r="NH118" s="128">
        <v>128400</v>
      </c>
      <c r="NI118" s="128">
        <v>128400</v>
      </c>
      <c r="NJ118" s="128">
        <v>128400</v>
      </c>
      <c r="NN118" s="128">
        <v>40000</v>
      </c>
      <c r="NO118" s="128">
        <v>40000</v>
      </c>
      <c r="NP118" s="128">
        <v>40000</v>
      </c>
      <c r="NT118" s="128">
        <v>62000</v>
      </c>
      <c r="NU118" s="128">
        <v>25000</v>
      </c>
      <c r="NV118" s="128">
        <v>25000</v>
      </c>
      <c r="NZ118" s="128">
        <v>8000</v>
      </c>
      <c r="OA118" s="128">
        <v>2000</v>
      </c>
      <c r="OB118" s="128">
        <v>2000</v>
      </c>
      <c r="OF118" s="128">
        <v>6500</v>
      </c>
      <c r="OG118" s="128">
        <v>6000</v>
      </c>
      <c r="OH118" s="128">
        <v>6000</v>
      </c>
      <c r="OL118" s="128">
        <v>0</v>
      </c>
      <c r="OM118" s="128">
        <v>0</v>
      </c>
      <c r="ON118" s="128">
        <v>0</v>
      </c>
      <c r="OR118" s="128">
        <v>0</v>
      </c>
      <c r="OS118" s="128">
        <v>0</v>
      </c>
      <c r="OT118" s="128">
        <v>0</v>
      </c>
      <c r="OX118" s="128">
        <v>50000</v>
      </c>
      <c r="OY118" s="128">
        <v>30000</v>
      </c>
      <c r="OZ118" s="128">
        <v>30000</v>
      </c>
      <c r="PD118" s="128">
        <v>0</v>
      </c>
      <c r="PE118" s="128">
        <v>0</v>
      </c>
      <c r="PF118" s="128">
        <v>0</v>
      </c>
      <c r="PJ118" s="128">
        <v>10000</v>
      </c>
      <c r="PK118" s="128">
        <v>0</v>
      </c>
      <c r="PL118" s="128">
        <v>0</v>
      </c>
      <c r="PP118" s="128">
        <v>3412000</v>
      </c>
      <c r="PQ118" s="128">
        <v>2020000</v>
      </c>
      <c r="PR118" s="128">
        <v>2020000</v>
      </c>
      <c r="PS118" s="128">
        <v>100</v>
      </c>
      <c r="PT118" s="128">
        <v>100</v>
      </c>
      <c r="PX118" s="128">
        <v>1236960</v>
      </c>
      <c r="PY118" s="128">
        <v>1782000</v>
      </c>
      <c r="PZ118" s="128">
        <v>2020000</v>
      </c>
      <c r="QA118" s="128">
        <v>0</v>
      </c>
      <c r="QB118" s="128">
        <v>0</v>
      </c>
      <c r="QC118" s="128">
        <v>0</v>
      </c>
      <c r="QD118" s="128">
        <v>0</v>
      </c>
      <c r="QE118" s="128">
        <v>0</v>
      </c>
      <c r="QF118" s="128">
        <v>0</v>
      </c>
      <c r="QG118" s="128">
        <v>0</v>
      </c>
      <c r="QH118" s="128">
        <v>0</v>
      </c>
      <c r="QI118" s="128">
        <v>0</v>
      </c>
      <c r="QJ118" s="128">
        <v>0</v>
      </c>
      <c r="QK118" s="128">
        <v>0</v>
      </c>
      <c r="QL118" s="128">
        <v>0</v>
      </c>
      <c r="QN118" s="128">
        <v>0</v>
      </c>
      <c r="QO118" s="128">
        <v>0</v>
      </c>
      <c r="QP118" s="128">
        <v>0</v>
      </c>
      <c r="QR118" s="128">
        <v>1049064</v>
      </c>
      <c r="QS118" s="128">
        <v>847190</v>
      </c>
      <c r="QT118" s="128">
        <v>972000</v>
      </c>
      <c r="QU118" s="128">
        <v>0</v>
      </c>
      <c r="QV118" s="128">
        <v>106960</v>
      </c>
      <c r="QW118" s="128">
        <v>70000</v>
      </c>
      <c r="QX118" s="128">
        <v>194000</v>
      </c>
      <c r="QY118" s="128">
        <v>340000</v>
      </c>
      <c r="QZ118" s="128">
        <v>350000</v>
      </c>
      <c r="RH118" s="128">
        <f t="shared" si="209"/>
        <v>3412000</v>
      </c>
      <c r="RI118" s="128">
        <v>0</v>
      </c>
      <c r="RM118" s="128" t="s">
        <v>220</v>
      </c>
      <c r="RU118" s="130"/>
      <c r="RV118" s="130"/>
      <c r="RW118" s="130"/>
      <c r="RX118" s="130"/>
      <c r="SF118" s="128">
        <f t="shared" si="119"/>
        <v>1201932</v>
      </c>
      <c r="SG118" s="131">
        <f t="shared" si="120"/>
        <v>3412000</v>
      </c>
      <c r="SH118" s="131">
        <f t="shared" si="121"/>
        <v>3412000</v>
      </c>
      <c r="SI118" s="131">
        <f t="shared" si="122"/>
        <v>2948277</v>
      </c>
      <c r="SJ118" s="132">
        <f t="shared" si="123"/>
        <v>2851639</v>
      </c>
      <c r="SK118" s="132">
        <f t="shared" si="124"/>
        <v>96638</v>
      </c>
      <c r="SL118" s="132">
        <f t="shared" si="125"/>
        <v>0</v>
      </c>
      <c r="SM118" s="132">
        <f t="shared" si="126"/>
        <v>0</v>
      </c>
      <c r="SN118" s="131">
        <f t="shared" si="127"/>
        <v>463723</v>
      </c>
      <c r="SO118" s="131">
        <f t="shared" si="128"/>
        <v>45000</v>
      </c>
      <c r="SP118" s="132">
        <f t="shared" si="129"/>
        <v>0</v>
      </c>
      <c r="SQ118" s="132">
        <f t="shared" si="130"/>
        <v>45000</v>
      </c>
      <c r="SR118" s="132">
        <f t="shared" si="131"/>
        <v>0</v>
      </c>
      <c r="SS118" s="132">
        <f t="shared" si="132"/>
        <v>11323</v>
      </c>
      <c r="ST118" s="132">
        <f t="shared" si="133"/>
        <v>20000</v>
      </c>
      <c r="SU118" s="132">
        <f t="shared" si="134"/>
        <v>20500</v>
      </c>
      <c r="SV118" s="131">
        <f t="shared" si="135"/>
        <v>356900</v>
      </c>
      <c r="SW118" s="132">
        <f t="shared" si="136"/>
        <v>50000</v>
      </c>
      <c r="SX118" s="132">
        <f t="shared" si="137"/>
        <v>12000</v>
      </c>
      <c r="SY118" s="132">
        <f t="shared" si="138"/>
        <v>128400</v>
      </c>
      <c r="SZ118" s="132">
        <f t="shared" si="139"/>
        <v>40000</v>
      </c>
      <c r="TA118" s="132">
        <f t="shared" si="140"/>
        <v>62000</v>
      </c>
      <c r="TB118" s="132">
        <f t="shared" si="141"/>
        <v>8000</v>
      </c>
      <c r="TC118" s="132">
        <f t="shared" si="142"/>
        <v>6500</v>
      </c>
      <c r="TD118" s="132">
        <f t="shared" si="143"/>
        <v>0</v>
      </c>
      <c r="TE118" s="132">
        <f t="shared" si="144"/>
        <v>0</v>
      </c>
      <c r="TF118" s="132">
        <f t="shared" si="145"/>
        <v>50000</v>
      </c>
      <c r="TG118" s="132">
        <f t="shared" si="146"/>
        <v>0</v>
      </c>
      <c r="TH118" s="132">
        <f t="shared" si="147"/>
        <v>10000</v>
      </c>
      <c r="TI118" s="1"/>
      <c r="TJ118" s="131">
        <f t="shared" si="148"/>
        <v>2020000</v>
      </c>
      <c r="TK118" s="131">
        <f t="shared" si="149"/>
        <v>2020000</v>
      </c>
      <c r="TL118" s="131">
        <f t="shared" si="150"/>
        <v>1644195</v>
      </c>
      <c r="TM118" s="132">
        <f t="shared" si="151"/>
        <v>1644195</v>
      </c>
      <c r="TN118" s="132">
        <f t="shared" si="152"/>
        <v>0</v>
      </c>
      <c r="TO118" s="132">
        <f t="shared" si="153"/>
        <v>0</v>
      </c>
      <c r="TP118" s="132">
        <f t="shared" si="154"/>
        <v>0</v>
      </c>
      <c r="TQ118" s="131">
        <f t="shared" si="155"/>
        <v>375805</v>
      </c>
      <c r="TR118" s="131">
        <f t="shared" si="156"/>
        <v>40000</v>
      </c>
      <c r="TS118" s="132">
        <f t="shared" si="157"/>
        <v>0</v>
      </c>
      <c r="TT118" s="132">
        <f t="shared" si="158"/>
        <v>40000</v>
      </c>
      <c r="TU118" s="132">
        <f t="shared" si="159"/>
        <v>0</v>
      </c>
      <c r="TV118" s="132">
        <f t="shared" si="160"/>
        <v>8000</v>
      </c>
      <c r="TW118" s="132">
        <f t="shared" si="161"/>
        <v>20000</v>
      </c>
      <c r="TX118" s="132">
        <f t="shared" si="162"/>
        <v>15000</v>
      </c>
      <c r="TY118" s="131">
        <f t="shared" si="163"/>
        <v>292805</v>
      </c>
      <c r="TZ118" s="132">
        <f t="shared" si="164"/>
        <v>50000</v>
      </c>
      <c r="UA118" s="132">
        <f t="shared" si="165"/>
        <v>11405</v>
      </c>
      <c r="UB118" s="132">
        <f t="shared" si="166"/>
        <v>128400</v>
      </c>
      <c r="UC118" s="132">
        <f t="shared" si="167"/>
        <v>40000</v>
      </c>
      <c r="UD118" s="132">
        <f t="shared" si="168"/>
        <v>25000</v>
      </c>
      <c r="UE118" s="132">
        <f t="shared" si="169"/>
        <v>2000</v>
      </c>
      <c r="UF118" s="132">
        <f t="shared" si="170"/>
        <v>6000</v>
      </c>
      <c r="UG118" s="132">
        <f t="shared" si="171"/>
        <v>0</v>
      </c>
      <c r="UH118" s="132">
        <f t="shared" si="172"/>
        <v>0</v>
      </c>
      <c r="UI118" s="132">
        <f t="shared" si="173"/>
        <v>30000</v>
      </c>
      <c r="UJ118" s="132">
        <f t="shared" si="174"/>
        <v>0</v>
      </c>
      <c r="UK118" s="132">
        <f t="shared" si="175"/>
        <v>0</v>
      </c>
      <c r="UL118" s="132">
        <f t="shared" si="210"/>
        <v>2020000</v>
      </c>
      <c r="UM118" s="131">
        <f t="shared" si="176"/>
        <v>2020000</v>
      </c>
      <c r="UN118" s="131">
        <f t="shared" si="177"/>
        <v>2020000</v>
      </c>
      <c r="UO118" s="131">
        <f t="shared" si="178"/>
        <v>1644195</v>
      </c>
      <c r="UP118" s="132">
        <f t="shared" si="179"/>
        <v>1644195</v>
      </c>
      <c r="UQ118" s="132">
        <f t="shared" si="180"/>
        <v>0</v>
      </c>
      <c r="UR118" s="132">
        <f t="shared" si="181"/>
        <v>0</v>
      </c>
      <c r="US118" s="132">
        <f t="shared" si="182"/>
        <v>0</v>
      </c>
      <c r="UT118" s="131">
        <f t="shared" si="183"/>
        <v>375805</v>
      </c>
      <c r="UU118" s="131">
        <f t="shared" si="184"/>
        <v>40000</v>
      </c>
      <c r="UV118" s="132">
        <f t="shared" si="185"/>
        <v>0</v>
      </c>
      <c r="UW118" s="132">
        <f t="shared" si="186"/>
        <v>40000</v>
      </c>
      <c r="UX118" s="132">
        <f t="shared" si="187"/>
        <v>0</v>
      </c>
      <c r="UY118" s="132">
        <f t="shared" si="188"/>
        <v>8000</v>
      </c>
      <c r="UZ118" s="132">
        <f t="shared" si="189"/>
        <v>20000</v>
      </c>
      <c r="VA118" s="132">
        <f t="shared" si="190"/>
        <v>15000</v>
      </c>
      <c r="VB118" s="131">
        <f t="shared" si="191"/>
        <v>292805</v>
      </c>
      <c r="VC118" s="132">
        <f t="shared" si="192"/>
        <v>50000</v>
      </c>
      <c r="VD118" s="132">
        <f t="shared" si="193"/>
        <v>11405</v>
      </c>
      <c r="VE118" s="132">
        <f t="shared" si="194"/>
        <v>128400</v>
      </c>
      <c r="VF118" s="132">
        <f t="shared" si="195"/>
        <v>40000</v>
      </c>
      <c r="VG118" s="132">
        <f t="shared" si="196"/>
        <v>25000</v>
      </c>
      <c r="VH118" s="132">
        <f t="shared" si="197"/>
        <v>2000</v>
      </c>
      <c r="VI118" s="132">
        <f t="shared" si="198"/>
        <v>6000</v>
      </c>
      <c r="VJ118" s="132">
        <f t="shared" si="199"/>
        <v>0</v>
      </c>
      <c r="VK118" s="132">
        <f t="shared" si="200"/>
        <v>0</v>
      </c>
      <c r="VL118" s="132">
        <f t="shared" si="201"/>
        <v>30000</v>
      </c>
      <c r="VM118" s="132">
        <f t="shared" si="202"/>
        <v>0</v>
      </c>
      <c r="VN118" s="132">
        <f t="shared" si="203"/>
        <v>0</v>
      </c>
      <c r="VP118" s="845" t="str">
        <f>IFERROR(HLOOKUP(F118,'Hodnocení '!$C$1:$JH$5,2,FALSE),0)</f>
        <v>Ambulantní centrum Hradec Králové</v>
      </c>
      <c r="VQ118" s="838"/>
      <c r="VR118" s="845" t="str">
        <f t="shared" si="211"/>
        <v>Ústav</v>
      </c>
      <c r="VS118" s="845" t="str">
        <f>IFERROR(HLOOKUP(F118,'Hodnocení '!$C$1:$JH$5,5,FALSE),0)</f>
        <v>NZO</v>
      </c>
      <c r="VT118" s="838">
        <f t="shared" si="212"/>
        <v>0</v>
      </c>
      <c r="VU118" s="838">
        <f t="shared" si="213"/>
        <v>0</v>
      </c>
      <c r="VV118" s="838">
        <f t="shared" si="214"/>
        <v>0</v>
      </c>
      <c r="VW118" s="838">
        <f t="shared" si="215"/>
        <v>0</v>
      </c>
      <c r="VX118" s="838"/>
      <c r="VY118" s="838">
        <f t="shared" si="216"/>
        <v>0</v>
      </c>
      <c r="VZ118" s="838">
        <f t="shared" si="217"/>
        <v>2020000</v>
      </c>
      <c r="WA118" s="846">
        <f>IFERROR(HLOOKUP($F118,'Hodnocení '!$C$1:$JH$9,9,FALSE),0)</f>
        <v>2020000</v>
      </c>
      <c r="WB118" s="846">
        <f>IF(IFERROR(HLOOKUP($F118,'Hodnocení '!$C$1:$JH$13,13,FALSE),0)&gt;WA118,WA118,IFERROR(HLOOKUP($F118,'Hodnocení '!$C$1:$JH$13,13,FALSE),0))</f>
        <v>2020000</v>
      </c>
      <c r="WC118" s="846">
        <f>IFERROR(HLOOKUP($F118,'Hodnocení '!$C$1:$JH$155,155,FALSE),0)</f>
        <v>2020000</v>
      </c>
      <c r="WD118" s="845"/>
      <c r="WE118" s="845"/>
      <c r="WF118" s="845" t="str">
        <f t="shared" si="204"/>
        <v>ANO</v>
      </c>
      <c r="WG118" s="849" t="str">
        <f t="shared" si="218"/>
        <v>Podpora služby je vyjádřena zařazením do sítě sociálních služeb v KHK a řešením financování služby</v>
      </c>
      <c r="WH118"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18" s="849" t="str">
        <f t="shared" si="218"/>
        <v>Návrh dotace je výsledkem projednání s ostatními zadavateli v rámci sítě služeb KHK</v>
      </c>
      <c r="WJ118" s="849" t="str">
        <f t="shared" si="218"/>
        <v>Bez komentáře</v>
      </c>
      <c r="WK118" s="31">
        <f t="shared" si="205"/>
        <v>0</v>
      </c>
      <c r="WL118" s="850">
        <f t="shared" si="206"/>
        <v>0</v>
      </c>
      <c r="WM118" s="849">
        <f t="shared" si="207"/>
        <v>0</v>
      </c>
      <c r="WN118" s="849">
        <f t="shared" si="208"/>
        <v>0</v>
      </c>
      <c r="WO118" s="849" t="str">
        <f t="shared" si="219"/>
        <v>bez komentáře</v>
      </c>
      <c r="WP118" s="849" t="str">
        <f t="shared" si="219"/>
        <v>bez komentáře</v>
      </c>
      <c r="WQ118" s="849" t="str">
        <f t="shared" si="219"/>
        <v>Konečná výše dotace z rozpočtu KHK bude řešena v návaznosti na řešení podílů jednotlivých zadavatelů.</v>
      </c>
      <c r="WR118" s="849" t="str">
        <f t="shared" si="219"/>
        <v>Konečná výše podpory ze stran obcí bude řešena v součinnosti s jednotlivými zadavateli v průběhu roku.</v>
      </c>
      <c r="WS118" s="849" t="str">
        <f t="shared" si="219"/>
        <v>bez komentáře</v>
      </c>
      <c r="WT118" s="849" t="str">
        <f t="shared" si="219"/>
        <v>bez komentáře</v>
      </c>
      <c r="WU118" s="845"/>
    </row>
    <row r="119" spans="1:619" s="128" customFormat="1" x14ac:dyDescent="0.25">
      <c r="A119" s="128" t="str">
        <f>VLOOKUP(F119,'Výpočet VP 2020'!$D$324:$I$588,6,FALSE)</f>
        <v>Je v síti</v>
      </c>
      <c r="B119" s="128" t="s">
        <v>592</v>
      </c>
      <c r="C119" s="128">
        <v>62695487</v>
      </c>
      <c r="D119" s="128" t="s">
        <v>593</v>
      </c>
      <c r="E119" s="128" t="s">
        <v>272</v>
      </c>
      <c r="F119" s="128">
        <v>1537615</v>
      </c>
      <c r="G119" s="128" t="s">
        <v>251</v>
      </c>
      <c r="H119" s="128" t="s">
        <v>230</v>
      </c>
      <c r="I119" s="128" t="s">
        <v>597</v>
      </c>
      <c r="J119" s="129">
        <v>36526</v>
      </c>
      <c r="L119" s="128" t="s">
        <v>220</v>
      </c>
      <c r="AP119" s="128" t="s">
        <v>302</v>
      </c>
      <c r="AQ119" s="128">
        <v>6</v>
      </c>
      <c r="AR119" s="128">
        <v>30</v>
      </c>
      <c r="AS119" s="128">
        <v>200</v>
      </c>
      <c r="AT119" s="128">
        <v>250</v>
      </c>
      <c r="AU119" s="128">
        <v>280</v>
      </c>
      <c r="BA119" s="128">
        <v>6</v>
      </c>
      <c r="BB119" s="128">
        <v>4202</v>
      </c>
      <c r="BC119" s="128">
        <v>5800</v>
      </c>
      <c r="BD119" s="128">
        <v>6500</v>
      </c>
      <c r="BK119" s="128" t="s">
        <v>598</v>
      </c>
      <c r="BL119" s="128" t="s">
        <v>438</v>
      </c>
      <c r="BM119" s="128" t="s">
        <v>439</v>
      </c>
      <c r="BN119" s="128" t="s">
        <v>357</v>
      </c>
      <c r="EK119" s="128">
        <v>4</v>
      </c>
      <c r="EL119" s="128">
        <v>4</v>
      </c>
      <c r="EM119" s="128">
        <v>3.99</v>
      </c>
      <c r="EN119" s="128">
        <v>1723384</v>
      </c>
      <c r="EO119" s="128">
        <v>1395250</v>
      </c>
      <c r="EP119" s="128">
        <v>2</v>
      </c>
      <c r="EQ119" s="128">
        <v>2</v>
      </c>
      <c r="ER119" s="128">
        <v>2</v>
      </c>
      <c r="ES119" s="128">
        <v>998597</v>
      </c>
      <c r="ET119" s="128">
        <v>628260</v>
      </c>
      <c r="FO119" s="128">
        <v>4</v>
      </c>
      <c r="FP119" s="128">
        <v>1.2</v>
      </c>
      <c r="FQ119" s="128">
        <v>1.1000000000000001</v>
      </c>
      <c r="FR119" s="128">
        <v>676469</v>
      </c>
      <c r="FS119" s="128">
        <v>392450</v>
      </c>
      <c r="IN119" s="128">
        <v>1</v>
      </c>
      <c r="IO119" s="128">
        <v>50</v>
      </c>
      <c r="IP119" s="128">
        <v>2.4E-2</v>
      </c>
      <c r="IQ119" s="128">
        <v>7500</v>
      </c>
      <c r="IR119" s="128">
        <v>7000</v>
      </c>
      <c r="KG119" s="128">
        <v>0</v>
      </c>
      <c r="KI119" s="128">
        <v>6</v>
      </c>
      <c r="KJ119" s="128">
        <v>0</v>
      </c>
      <c r="KK119" s="128">
        <v>2.4E-2</v>
      </c>
      <c r="KL119" s="128">
        <v>0</v>
      </c>
      <c r="KM119" s="128">
        <v>6.024</v>
      </c>
      <c r="KN119" s="128">
        <v>3398450</v>
      </c>
      <c r="KO119" s="128">
        <v>2415960</v>
      </c>
      <c r="KP119" s="128">
        <v>2415960</v>
      </c>
      <c r="KT119" s="128">
        <v>0</v>
      </c>
      <c r="KU119" s="128">
        <v>0</v>
      </c>
      <c r="KV119" s="128">
        <v>0</v>
      </c>
      <c r="KZ119" s="128">
        <v>7500</v>
      </c>
      <c r="LA119" s="128">
        <v>7000</v>
      </c>
      <c r="LB119" s="128">
        <v>7000</v>
      </c>
      <c r="LF119" s="128">
        <v>0</v>
      </c>
      <c r="LG119" s="128">
        <v>0</v>
      </c>
      <c r="LH119" s="128">
        <v>0</v>
      </c>
      <c r="LL119" s="128">
        <v>0</v>
      </c>
      <c r="LM119" s="128">
        <v>0</v>
      </c>
      <c r="LN119" s="128">
        <v>0</v>
      </c>
      <c r="LR119" s="128">
        <v>45000</v>
      </c>
      <c r="LS119" s="128">
        <v>45000</v>
      </c>
      <c r="LT119" s="128">
        <v>45000</v>
      </c>
      <c r="LX119" s="128">
        <v>0</v>
      </c>
      <c r="LY119" s="128">
        <v>0</v>
      </c>
      <c r="LZ119" s="128">
        <v>0</v>
      </c>
      <c r="MD119" s="128">
        <v>9500</v>
      </c>
      <c r="ME119" s="128">
        <v>8500</v>
      </c>
      <c r="MF119" s="128">
        <v>8500</v>
      </c>
      <c r="MJ119" s="128">
        <v>160000</v>
      </c>
      <c r="MK119" s="128">
        <v>160000</v>
      </c>
      <c r="ML119" s="128">
        <v>160000</v>
      </c>
      <c r="MP119" s="128">
        <v>559749</v>
      </c>
      <c r="MQ119" s="128">
        <v>209215</v>
      </c>
      <c r="MR119" s="128">
        <v>209215</v>
      </c>
      <c r="MV119" s="128">
        <v>36000</v>
      </c>
      <c r="MW119" s="128">
        <v>36000</v>
      </c>
      <c r="MX119" s="128">
        <v>36000</v>
      </c>
      <c r="NB119" s="128">
        <v>12500</v>
      </c>
      <c r="NC119" s="128">
        <v>12000</v>
      </c>
      <c r="ND119" s="128">
        <v>12000</v>
      </c>
      <c r="NH119" s="128">
        <v>33000</v>
      </c>
      <c r="NI119" s="128">
        <v>33000</v>
      </c>
      <c r="NJ119" s="128">
        <v>33000</v>
      </c>
      <c r="NN119" s="128">
        <v>40000</v>
      </c>
      <c r="NO119" s="128">
        <v>40000</v>
      </c>
      <c r="NP119" s="128">
        <v>40000</v>
      </c>
      <c r="NT119" s="128">
        <v>70000</v>
      </c>
      <c r="NU119" s="128">
        <v>70000</v>
      </c>
      <c r="NV119" s="128">
        <v>70000</v>
      </c>
      <c r="NZ119" s="128">
        <v>35000</v>
      </c>
      <c r="OA119" s="128">
        <v>35000</v>
      </c>
      <c r="OB119" s="128">
        <v>35000</v>
      </c>
      <c r="OF119" s="128">
        <v>7000</v>
      </c>
      <c r="OG119" s="128">
        <v>7000</v>
      </c>
      <c r="OH119" s="128">
        <v>7000</v>
      </c>
      <c r="OL119" s="128">
        <v>0</v>
      </c>
      <c r="OM119" s="128">
        <v>0</v>
      </c>
      <c r="ON119" s="128">
        <v>0</v>
      </c>
      <c r="OR119" s="128">
        <v>0</v>
      </c>
      <c r="OS119" s="128">
        <v>0</v>
      </c>
      <c r="OT119" s="128">
        <v>0</v>
      </c>
      <c r="OX119" s="128">
        <v>204301</v>
      </c>
      <c r="OY119" s="128">
        <v>127325</v>
      </c>
      <c r="OZ119" s="128">
        <v>127325</v>
      </c>
      <c r="PD119" s="128">
        <v>0</v>
      </c>
      <c r="PE119" s="128">
        <v>0</v>
      </c>
      <c r="PF119" s="128">
        <v>0</v>
      </c>
      <c r="PJ119" s="128">
        <v>15000</v>
      </c>
      <c r="PK119" s="128">
        <v>0</v>
      </c>
      <c r="PL119" s="128">
        <v>0</v>
      </c>
      <c r="PP119" s="128">
        <v>4633000</v>
      </c>
      <c r="PQ119" s="128">
        <v>3206000</v>
      </c>
      <c r="PR119" s="128">
        <v>3206000</v>
      </c>
      <c r="PS119" s="128">
        <v>100</v>
      </c>
      <c r="PT119" s="128">
        <v>100</v>
      </c>
      <c r="PX119" s="128">
        <v>2562116</v>
      </c>
      <c r="PY119" s="128">
        <v>2712120</v>
      </c>
      <c r="PZ119" s="128">
        <v>3206000</v>
      </c>
      <c r="QA119" s="128">
        <v>0</v>
      </c>
      <c r="QB119" s="128">
        <v>0</v>
      </c>
      <c r="QC119" s="128">
        <v>0</v>
      </c>
      <c r="QD119" s="128">
        <v>0</v>
      </c>
      <c r="QE119" s="128">
        <v>0</v>
      </c>
      <c r="QF119" s="128">
        <v>0</v>
      </c>
      <c r="QG119" s="128">
        <v>0</v>
      </c>
      <c r="QH119" s="128">
        <v>0</v>
      </c>
      <c r="QI119" s="128">
        <v>0</v>
      </c>
      <c r="QJ119" s="128">
        <v>0</v>
      </c>
      <c r="QK119" s="128">
        <v>0</v>
      </c>
      <c r="QL119" s="128">
        <v>0</v>
      </c>
      <c r="QN119" s="128">
        <v>0</v>
      </c>
      <c r="QO119" s="128">
        <v>0</v>
      </c>
      <c r="QP119" s="128">
        <v>0</v>
      </c>
      <c r="QR119" s="128">
        <v>824000</v>
      </c>
      <c r="QS119" s="128">
        <v>667000</v>
      </c>
      <c r="QT119" s="128">
        <v>980000</v>
      </c>
      <c r="QU119" s="128">
        <v>0</v>
      </c>
      <c r="QV119" s="128">
        <v>235948</v>
      </c>
      <c r="QW119" s="128">
        <v>50000</v>
      </c>
      <c r="QX119" s="128">
        <v>239998</v>
      </c>
      <c r="QY119" s="128">
        <v>372000</v>
      </c>
      <c r="QZ119" s="128">
        <v>372000</v>
      </c>
      <c r="RD119" s="128">
        <v>26000</v>
      </c>
      <c r="RE119" s="128">
        <v>25000</v>
      </c>
      <c r="RF119" s="128">
        <v>25000</v>
      </c>
      <c r="RH119" s="128">
        <f t="shared" si="209"/>
        <v>4633000</v>
      </c>
      <c r="RI119" s="128">
        <v>0</v>
      </c>
      <c r="RM119" s="128" t="s">
        <v>220</v>
      </c>
      <c r="RU119" s="130"/>
      <c r="RV119" s="130"/>
      <c r="RW119" s="130"/>
      <c r="RX119" s="130"/>
      <c r="SF119" s="128">
        <f t="shared" si="119"/>
        <v>1537615</v>
      </c>
      <c r="SG119" s="131">
        <f t="shared" si="120"/>
        <v>4633000</v>
      </c>
      <c r="SH119" s="131">
        <f t="shared" si="121"/>
        <v>4633000</v>
      </c>
      <c r="SI119" s="131">
        <f t="shared" si="122"/>
        <v>3405950</v>
      </c>
      <c r="SJ119" s="132">
        <f t="shared" si="123"/>
        <v>3398450</v>
      </c>
      <c r="SK119" s="132">
        <f t="shared" si="124"/>
        <v>0</v>
      </c>
      <c r="SL119" s="132">
        <f t="shared" si="125"/>
        <v>7500</v>
      </c>
      <c r="SM119" s="132">
        <f t="shared" si="126"/>
        <v>0</v>
      </c>
      <c r="SN119" s="131">
        <f t="shared" si="127"/>
        <v>1227050</v>
      </c>
      <c r="SO119" s="131">
        <f t="shared" si="128"/>
        <v>45000</v>
      </c>
      <c r="SP119" s="132">
        <f t="shared" si="129"/>
        <v>0</v>
      </c>
      <c r="SQ119" s="132">
        <f t="shared" si="130"/>
        <v>45000</v>
      </c>
      <c r="SR119" s="132">
        <f t="shared" si="131"/>
        <v>0</v>
      </c>
      <c r="SS119" s="132">
        <f t="shared" si="132"/>
        <v>9500</v>
      </c>
      <c r="ST119" s="132">
        <f t="shared" si="133"/>
        <v>160000</v>
      </c>
      <c r="SU119" s="132">
        <f t="shared" si="134"/>
        <v>559749</v>
      </c>
      <c r="SV119" s="131">
        <f t="shared" si="135"/>
        <v>437801</v>
      </c>
      <c r="SW119" s="132">
        <f t="shared" si="136"/>
        <v>36000</v>
      </c>
      <c r="SX119" s="132">
        <f t="shared" si="137"/>
        <v>12500</v>
      </c>
      <c r="SY119" s="132">
        <f t="shared" si="138"/>
        <v>33000</v>
      </c>
      <c r="SZ119" s="132">
        <f t="shared" si="139"/>
        <v>40000</v>
      </c>
      <c r="TA119" s="132">
        <f t="shared" si="140"/>
        <v>70000</v>
      </c>
      <c r="TB119" s="132">
        <f t="shared" si="141"/>
        <v>35000</v>
      </c>
      <c r="TC119" s="132">
        <f t="shared" si="142"/>
        <v>7000</v>
      </c>
      <c r="TD119" s="132">
        <f t="shared" si="143"/>
        <v>0</v>
      </c>
      <c r="TE119" s="132">
        <f t="shared" si="144"/>
        <v>0</v>
      </c>
      <c r="TF119" s="132">
        <f t="shared" si="145"/>
        <v>204301</v>
      </c>
      <c r="TG119" s="132">
        <f t="shared" si="146"/>
        <v>0</v>
      </c>
      <c r="TH119" s="132">
        <f t="shared" si="147"/>
        <v>15000</v>
      </c>
      <c r="TI119" s="1"/>
      <c r="TJ119" s="131">
        <f t="shared" si="148"/>
        <v>3206000</v>
      </c>
      <c r="TK119" s="131">
        <f t="shared" si="149"/>
        <v>3206000</v>
      </c>
      <c r="TL119" s="131">
        <f t="shared" si="150"/>
        <v>2422960</v>
      </c>
      <c r="TM119" s="132">
        <f t="shared" si="151"/>
        <v>2415960</v>
      </c>
      <c r="TN119" s="132">
        <f t="shared" si="152"/>
        <v>0</v>
      </c>
      <c r="TO119" s="132">
        <f t="shared" si="153"/>
        <v>7000</v>
      </c>
      <c r="TP119" s="132">
        <f t="shared" si="154"/>
        <v>0</v>
      </c>
      <c r="TQ119" s="131">
        <f t="shared" si="155"/>
        <v>783040</v>
      </c>
      <c r="TR119" s="131">
        <f t="shared" si="156"/>
        <v>45000</v>
      </c>
      <c r="TS119" s="132">
        <f t="shared" si="157"/>
        <v>0</v>
      </c>
      <c r="TT119" s="132">
        <f t="shared" si="158"/>
        <v>45000</v>
      </c>
      <c r="TU119" s="132">
        <f t="shared" si="159"/>
        <v>0</v>
      </c>
      <c r="TV119" s="132">
        <f t="shared" si="160"/>
        <v>8500</v>
      </c>
      <c r="TW119" s="132">
        <f t="shared" si="161"/>
        <v>160000</v>
      </c>
      <c r="TX119" s="132">
        <f t="shared" si="162"/>
        <v>209215</v>
      </c>
      <c r="TY119" s="131">
        <f t="shared" si="163"/>
        <v>360325</v>
      </c>
      <c r="TZ119" s="132">
        <f t="shared" si="164"/>
        <v>36000</v>
      </c>
      <c r="UA119" s="132">
        <f t="shared" si="165"/>
        <v>12000</v>
      </c>
      <c r="UB119" s="132">
        <f t="shared" si="166"/>
        <v>33000</v>
      </c>
      <c r="UC119" s="132">
        <f t="shared" si="167"/>
        <v>40000</v>
      </c>
      <c r="UD119" s="132">
        <f t="shared" si="168"/>
        <v>70000</v>
      </c>
      <c r="UE119" s="132">
        <f t="shared" si="169"/>
        <v>35000</v>
      </c>
      <c r="UF119" s="132">
        <f t="shared" si="170"/>
        <v>7000</v>
      </c>
      <c r="UG119" s="132">
        <f t="shared" si="171"/>
        <v>0</v>
      </c>
      <c r="UH119" s="132">
        <f t="shared" si="172"/>
        <v>0</v>
      </c>
      <c r="UI119" s="132">
        <f t="shared" si="173"/>
        <v>127325</v>
      </c>
      <c r="UJ119" s="132">
        <f t="shared" si="174"/>
        <v>0</v>
      </c>
      <c r="UK119" s="132">
        <f t="shared" si="175"/>
        <v>0</v>
      </c>
      <c r="UL119" s="132">
        <f t="shared" si="210"/>
        <v>3206000</v>
      </c>
      <c r="UM119" s="131">
        <f t="shared" si="176"/>
        <v>3206000</v>
      </c>
      <c r="UN119" s="131">
        <f t="shared" si="177"/>
        <v>3206000</v>
      </c>
      <c r="UO119" s="131">
        <f t="shared" si="178"/>
        <v>2422960</v>
      </c>
      <c r="UP119" s="132">
        <f t="shared" si="179"/>
        <v>2415960</v>
      </c>
      <c r="UQ119" s="132">
        <f t="shared" si="180"/>
        <v>0</v>
      </c>
      <c r="UR119" s="132">
        <f t="shared" si="181"/>
        <v>7000</v>
      </c>
      <c r="US119" s="132">
        <f t="shared" si="182"/>
        <v>0</v>
      </c>
      <c r="UT119" s="131">
        <f t="shared" si="183"/>
        <v>783040</v>
      </c>
      <c r="UU119" s="131">
        <f t="shared" si="184"/>
        <v>45000</v>
      </c>
      <c r="UV119" s="132">
        <f t="shared" si="185"/>
        <v>0</v>
      </c>
      <c r="UW119" s="132">
        <f t="shared" si="186"/>
        <v>45000</v>
      </c>
      <c r="UX119" s="132">
        <f t="shared" si="187"/>
        <v>0</v>
      </c>
      <c r="UY119" s="132">
        <f t="shared" si="188"/>
        <v>8500</v>
      </c>
      <c r="UZ119" s="132">
        <f t="shared" si="189"/>
        <v>160000</v>
      </c>
      <c r="VA119" s="132">
        <f t="shared" si="190"/>
        <v>209215</v>
      </c>
      <c r="VB119" s="131">
        <f t="shared" si="191"/>
        <v>360325</v>
      </c>
      <c r="VC119" s="132">
        <f t="shared" si="192"/>
        <v>36000</v>
      </c>
      <c r="VD119" s="132">
        <f t="shared" si="193"/>
        <v>12000</v>
      </c>
      <c r="VE119" s="132">
        <f t="shared" si="194"/>
        <v>33000</v>
      </c>
      <c r="VF119" s="132">
        <f t="shared" si="195"/>
        <v>40000</v>
      </c>
      <c r="VG119" s="132">
        <f t="shared" si="196"/>
        <v>70000</v>
      </c>
      <c r="VH119" s="132">
        <f t="shared" si="197"/>
        <v>35000</v>
      </c>
      <c r="VI119" s="132">
        <f t="shared" si="198"/>
        <v>7000</v>
      </c>
      <c r="VJ119" s="132">
        <f t="shared" si="199"/>
        <v>0</v>
      </c>
      <c r="VK119" s="132">
        <f t="shared" si="200"/>
        <v>0</v>
      </c>
      <c r="VL119" s="132">
        <f t="shared" si="201"/>
        <v>127325</v>
      </c>
      <c r="VM119" s="132">
        <f t="shared" si="202"/>
        <v>0</v>
      </c>
      <c r="VN119" s="132">
        <f t="shared" si="203"/>
        <v>0</v>
      </c>
      <c r="VP119" s="845" t="str">
        <f>IFERROR(HLOOKUP(F119,'Hodnocení '!$C$1:$JH$5,2,FALSE),0)</f>
        <v>Centrum terénních programů Královéhradeckého kraje</v>
      </c>
      <c r="VQ119" s="838"/>
      <c r="VR119" s="845" t="str">
        <f t="shared" si="211"/>
        <v>Ústav</v>
      </c>
      <c r="VS119" s="845" t="str">
        <f>IFERROR(HLOOKUP(F119,'Hodnocení '!$C$1:$JH$5,5,FALSE),0)</f>
        <v>NZO</v>
      </c>
      <c r="VT119" s="838">
        <f t="shared" si="212"/>
        <v>0</v>
      </c>
      <c r="VU119" s="838">
        <f t="shared" si="213"/>
        <v>0</v>
      </c>
      <c r="VV119" s="838">
        <f t="shared" si="214"/>
        <v>0</v>
      </c>
      <c r="VW119" s="838">
        <f t="shared" si="215"/>
        <v>0</v>
      </c>
      <c r="VX119" s="838"/>
      <c r="VY119" s="838">
        <f t="shared" si="216"/>
        <v>0</v>
      </c>
      <c r="VZ119" s="838">
        <f t="shared" si="217"/>
        <v>3206000</v>
      </c>
      <c r="WA119" s="846">
        <f>IFERROR(HLOOKUP($F119,'Hodnocení '!$C$1:$JH$9,9,FALSE),0)</f>
        <v>3206000</v>
      </c>
      <c r="WB119" s="846">
        <f>IF(IFERROR(HLOOKUP($F119,'Hodnocení '!$C$1:$JH$13,13,FALSE),0)&gt;WA119,WA119,IFERROR(HLOOKUP($F119,'Hodnocení '!$C$1:$JH$13,13,FALSE),0))</f>
        <v>3206000</v>
      </c>
      <c r="WC119" s="846">
        <f>IFERROR(HLOOKUP($F119,'Hodnocení '!$C$1:$JH$155,155,FALSE),0)</f>
        <v>3075110</v>
      </c>
      <c r="WD119" s="845"/>
      <c r="WE119" s="845"/>
      <c r="WF119" s="845" t="str">
        <f t="shared" si="204"/>
        <v>ANO</v>
      </c>
      <c r="WG119" s="849" t="str">
        <f t="shared" si="218"/>
        <v>Podpora služby je vyjádřena zařazením do sítě sociálních služeb v KHK a řešením financování služby</v>
      </c>
      <c r="WH119"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19" s="849" t="str">
        <f t="shared" si="218"/>
        <v>Návrh dotace je výsledkem projednání s ostatními zadavateli v rámci sítě služeb KHK</v>
      </c>
      <c r="WJ119" s="849" t="str">
        <f t="shared" si="218"/>
        <v>Bez komentáře</v>
      </c>
      <c r="WK119" s="31">
        <f t="shared" si="205"/>
        <v>0</v>
      </c>
      <c r="WL119" s="850">
        <f t="shared" si="206"/>
        <v>0</v>
      </c>
      <c r="WM119" s="849">
        <f t="shared" si="207"/>
        <v>0</v>
      </c>
      <c r="WN119" s="849">
        <f t="shared" si="208"/>
        <v>0</v>
      </c>
      <c r="WO119" s="849" t="str">
        <f t="shared" si="219"/>
        <v>bez komentáře</v>
      </c>
      <c r="WP119" s="849" t="str">
        <f t="shared" si="219"/>
        <v>bez komentáře</v>
      </c>
      <c r="WQ119" s="849" t="str">
        <f t="shared" si="219"/>
        <v>Konečná výše dotace z rozpočtu KHK bude řešena v návaznosti na řešení podílů jednotlivých zadavatelů.</v>
      </c>
      <c r="WR119" s="849" t="str">
        <f t="shared" si="219"/>
        <v>Konečná výše podpory ze stran obcí bude řešena v součinnosti s jednotlivými zadavateli v průběhu roku.</v>
      </c>
      <c r="WS119" s="849" t="str">
        <f t="shared" si="219"/>
        <v>bez komentáře</v>
      </c>
      <c r="WT119" s="849" t="str">
        <f t="shared" si="219"/>
        <v>bez komentáře</v>
      </c>
      <c r="WU119" s="845"/>
    </row>
    <row r="120" spans="1:619" s="128" customFormat="1" x14ac:dyDescent="0.25">
      <c r="A120" s="128" t="str">
        <f>VLOOKUP(F120,'Výpočet VP 2020'!$D$324:$I$588,6,FALSE)</f>
        <v>Je v síti</v>
      </c>
      <c r="B120" s="128" t="s">
        <v>592</v>
      </c>
      <c r="C120" s="128">
        <v>62695487</v>
      </c>
      <c r="D120" s="128" t="s">
        <v>593</v>
      </c>
      <c r="E120" s="128" t="s">
        <v>272</v>
      </c>
      <c r="F120" s="128">
        <v>5814347</v>
      </c>
      <c r="G120" s="128" t="s">
        <v>599</v>
      </c>
      <c r="H120" s="128" t="s">
        <v>230</v>
      </c>
      <c r="I120" s="128" t="s">
        <v>600</v>
      </c>
      <c r="J120" s="129">
        <v>35065</v>
      </c>
      <c r="L120" s="128" t="s">
        <v>220</v>
      </c>
      <c r="X120" s="128" t="s">
        <v>302</v>
      </c>
      <c r="Z120" s="128">
        <v>4</v>
      </c>
      <c r="AA120" s="128">
        <v>30</v>
      </c>
      <c r="AB120" s="128">
        <v>260</v>
      </c>
      <c r="AC120" s="128">
        <v>270</v>
      </c>
      <c r="AD120" s="128">
        <v>280</v>
      </c>
      <c r="AE120" s="128">
        <v>4</v>
      </c>
      <c r="AF120" s="128">
        <v>8577</v>
      </c>
      <c r="AG120" s="128">
        <v>9000</v>
      </c>
      <c r="AH120" s="128">
        <v>9200</v>
      </c>
      <c r="AO120" s="128" t="s">
        <v>601</v>
      </c>
      <c r="AP120" s="128" t="s">
        <v>320</v>
      </c>
      <c r="AQ120" s="128">
        <v>1</v>
      </c>
      <c r="AR120" s="128">
        <v>5</v>
      </c>
      <c r="AS120" s="128">
        <v>25</v>
      </c>
      <c r="AT120" s="128">
        <v>60</v>
      </c>
      <c r="AU120" s="128">
        <v>75</v>
      </c>
      <c r="BA120" s="128">
        <v>2</v>
      </c>
      <c r="BB120" s="128">
        <v>81</v>
      </c>
      <c r="BC120" s="128">
        <v>100</v>
      </c>
      <c r="BD120" s="128">
        <v>110</v>
      </c>
      <c r="BK120" s="128" t="s">
        <v>601</v>
      </c>
      <c r="BL120" s="128" t="s">
        <v>438</v>
      </c>
      <c r="BM120" s="128" t="s">
        <v>439</v>
      </c>
      <c r="BN120" s="128" t="s">
        <v>357</v>
      </c>
      <c r="EK120" s="128">
        <v>4</v>
      </c>
      <c r="EL120" s="128">
        <v>3.5</v>
      </c>
      <c r="EM120" s="128">
        <v>3.5</v>
      </c>
      <c r="EN120" s="128">
        <v>1779757</v>
      </c>
      <c r="EO120" s="128">
        <v>1233380</v>
      </c>
      <c r="EP120" s="128">
        <v>1</v>
      </c>
      <c r="EQ120" s="128">
        <v>1</v>
      </c>
      <c r="ER120" s="128">
        <v>1</v>
      </c>
      <c r="ES120" s="128">
        <v>467086</v>
      </c>
      <c r="ET120" s="128">
        <v>345000</v>
      </c>
      <c r="FO120" s="128">
        <v>4</v>
      </c>
      <c r="FP120" s="128">
        <v>0.9</v>
      </c>
      <c r="FQ120" s="128">
        <v>0.8</v>
      </c>
      <c r="FR120" s="128">
        <v>507351</v>
      </c>
      <c r="FS120" s="128">
        <v>300700</v>
      </c>
      <c r="IN120" s="128">
        <v>1</v>
      </c>
      <c r="IO120" s="128">
        <v>50</v>
      </c>
      <c r="IP120" s="128">
        <v>2.4E-2</v>
      </c>
      <c r="IQ120" s="128">
        <v>7500</v>
      </c>
      <c r="IR120" s="128">
        <v>6500</v>
      </c>
      <c r="IS120" s="128">
        <v>3</v>
      </c>
      <c r="IT120" s="128">
        <v>700</v>
      </c>
      <c r="IU120" s="128">
        <v>0.33400000000000002</v>
      </c>
      <c r="IV120" s="128">
        <v>56000</v>
      </c>
      <c r="IW120" s="128">
        <v>43500</v>
      </c>
      <c r="KG120" s="128">
        <v>0</v>
      </c>
      <c r="KI120" s="128">
        <v>4.5</v>
      </c>
      <c r="KJ120" s="128">
        <v>0</v>
      </c>
      <c r="KK120" s="128">
        <v>2.4E-2</v>
      </c>
      <c r="KL120" s="128">
        <v>0</v>
      </c>
      <c r="KM120" s="128">
        <v>4.524</v>
      </c>
      <c r="KN120" s="128">
        <v>2754194</v>
      </c>
      <c r="KO120" s="128">
        <v>1879080</v>
      </c>
      <c r="KP120" s="128">
        <v>1879080</v>
      </c>
      <c r="KT120" s="128">
        <v>0</v>
      </c>
      <c r="KU120" s="128">
        <v>0</v>
      </c>
      <c r="KV120" s="128">
        <v>0</v>
      </c>
      <c r="KZ120" s="128">
        <v>63500</v>
      </c>
      <c r="LA120" s="128">
        <v>50000</v>
      </c>
      <c r="LB120" s="128">
        <v>50000</v>
      </c>
      <c r="LF120" s="128">
        <v>0</v>
      </c>
      <c r="LG120" s="128">
        <v>0</v>
      </c>
      <c r="LH120" s="128">
        <v>0</v>
      </c>
      <c r="LL120" s="128">
        <v>0</v>
      </c>
      <c r="LM120" s="128">
        <v>0</v>
      </c>
      <c r="LN120" s="128">
        <v>0</v>
      </c>
      <c r="LR120" s="128">
        <v>55000</v>
      </c>
      <c r="LS120" s="128">
        <v>35000</v>
      </c>
      <c r="LT120" s="128">
        <v>35000</v>
      </c>
      <c r="LX120" s="128">
        <v>4500</v>
      </c>
      <c r="LY120" s="128">
        <v>3500</v>
      </c>
      <c r="LZ120" s="128">
        <v>3500</v>
      </c>
      <c r="MD120" s="128">
        <v>20806</v>
      </c>
      <c r="ME120" s="128">
        <v>8420</v>
      </c>
      <c r="MF120" s="128">
        <v>8420</v>
      </c>
      <c r="MJ120" s="128">
        <v>0</v>
      </c>
      <c r="MK120" s="128">
        <v>0</v>
      </c>
      <c r="ML120" s="128">
        <v>0</v>
      </c>
      <c r="MP120" s="128">
        <v>575000</v>
      </c>
      <c r="MQ120" s="128">
        <v>250000</v>
      </c>
      <c r="MR120" s="128">
        <v>250000</v>
      </c>
      <c r="MV120" s="128">
        <v>72000</v>
      </c>
      <c r="MW120" s="128">
        <v>72000</v>
      </c>
      <c r="MX120" s="128">
        <v>72000</v>
      </c>
      <c r="NB120" s="128">
        <v>11500</v>
      </c>
      <c r="NC120" s="128">
        <v>9500</v>
      </c>
      <c r="ND120" s="128">
        <v>9500</v>
      </c>
      <c r="NH120" s="128">
        <v>65000</v>
      </c>
      <c r="NI120" s="128">
        <v>65000</v>
      </c>
      <c r="NJ120" s="128">
        <v>65000</v>
      </c>
      <c r="NN120" s="128">
        <v>40000</v>
      </c>
      <c r="NO120" s="128">
        <v>40000</v>
      </c>
      <c r="NP120" s="128">
        <v>40000</v>
      </c>
      <c r="NT120" s="128">
        <v>64000</v>
      </c>
      <c r="NU120" s="128">
        <v>35000</v>
      </c>
      <c r="NV120" s="128">
        <v>35000</v>
      </c>
      <c r="NZ120" s="128">
        <v>10000</v>
      </c>
      <c r="OA120" s="128">
        <v>5000</v>
      </c>
      <c r="OB120" s="128">
        <v>5000</v>
      </c>
      <c r="OF120" s="128">
        <v>6500</v>
      </c>
      <c r="OG120" s="128">
        <v>6500</v>
      </c>
      <c r="OH120" s="128">
        <v>6500</v>
      </c>
      <c r="OL120" s="128">
        <v>0</v>
      </c>
      <c r="OM120" s="128">
        <v>0</v>
      </c>
      <c r="ON120" s="128">
        <v>0</v>
      </c>
      <c r="OR120" s="128">
        <v>0</v>
      </c>
      <c r="OS120" s="128">
        <v>0</v>
      </c>
      <c r="OT120" s="128">
        <v>0</v>
      </c>
      <c r="OX120" s="128">
        <v>75000</v>
      </c>
      <c r="OY120" s="128">
        <v>40000</v>
      </c>
      <c r="OZ120" s="128">
        <v>40000</v>
      </c>
      <c r="PD120" s="128">
        <v>0</v>
      </c>
      <c r="PE120" s="128">
        <v>0</v>
      </c>
      <c r="PF120" s="128">
        <v>0</v>
      </c>
      <c r="PJ120" s="128">
        <v>15000</v>
      </c>
      <c r="PK120" s="128">
        <v>0</v>
      </c>
      <c r="PL120" s="128">
        <v>0</v>
      </c>
      <c r="PP120" s="128">
        <v>3832000</v>
      </c>
      <c r="PQ120" s="128">
        <v>2499000</v>
      </c>
      <c r="PR120" s="128">
        <v>2499000</v>
      </c>
      <c r="PS120" s="128">
        <v>100</v>
      </c>
      <c r="PT120" s="128">
        <v>100</v>
      </c>
      <c r="PX120" s="128">
        <v>2172872</v>
      </c>
      <c r="PY120" s="128">
        <v>2244870</v>
      </c>
      <c r="PZ120" s="128">
        <v>2499000</v>
      </c>
      <c r="QA120" s="128">
        <v>0</v>
      </c>
      <c r="QB120" s="128">
        <v>0</v>
      </c>
      <c r="QC120" s="128">
        <v>0</v>
      </c>
      <c r="QD120" s="128">
        <v>0</v>
      </c>
      <c r="QE120" s="128">
        <v>0</v>
      </c>
      <c r="QF120" s="128">
        <v>0</v>
      </c>
      <c r="QG120" s="128">
        <v>0</v>
      </c>
      <c r="QH120" s="128">
        <v>0</v>
      </c>
      <c r="QI120" s="128">
        <v>0</v>
      </c>
      <c r="QJ120" s="128">
        <v>0</v>
      </c>
      <c r="QK120" s="128">
        <v>0</v>
      </c>
      <c r="QL120" s="128">
        <v>0</v>
      </c>
      <c r="QN120" s="128">
        <v>0</v>
      </c>
      <c r="QO120" s="128">
        <v>0</v>
      </c>
      <c r="QP120" s="128">
        <v>0</v>
      </c>
      <c r="QR120" s="128">
        <v>860000</v>
      </c>
      <c r="QS120" s="128">
        <v>645000</v>
      </c>
      <c r="QT120" s="128">
        <v>840000</v>
      </c>
      <c r="QU120" s="128">
        <v>0</v>
      </c>
      <c r="QV120" s="128">
        <v>99346</v>
      </c>
      <c r="QW120" s="128">
        <v>50000</v>
      </c>
      <c r="QX120" s="128">
        <v>412000</v>
      </c>
      <c r="QY120" s="128">
        <v>420000</v>
      </c>
      <c r="QZ120" s="128">
        <v>443000</v>
      </c>
      <c r="RH120" s="128">
        <f t="shared" si="209"/>
        <v>3832000</v>
      </c>
      <c r="RI120" s="128">
        <v>0</v>
      </c>
      <c r="RM120" s="128" t="s">
        <v>220</v>
      </c>
      <c r="RU120" s="130"/>
      <c r="RV120" s="130"/>
      <c r="RW120" s="130"/>
      <c r="RX120" s="130"/>
      <c r="SF120" s="128">
        <f t="shared" si="119"/>
        <v>5814347</v>
      </c>
      <c r="SG120" s="131">
        <f t="shared" si="120"/>
        <v>3832000</v>
      </c>
      <c r="SH120" s="131">
        <f t="shared" si="121"/>
        <v>3832000</v>
      </c>
      <c r="SI120" s="131">
        <f t="shared" si="122"/>
        <v>2817694</v>
      </c>
      <c r="SJ120" s="132">
        <f t="shared" si="123"/>
        <v>2754194</v>
      </c>
      <c r="SK120" s="132">
        <f t="shared" si="124"/>
        <v>0</v>
      </c>
      <c r="SL120" s="132">
        <f t="shared" si="125"/>
        <v>63500</v>
      </c>
      <c r="SM120" s="132">
        <f t="shared" si="126"/>
        <v>0</v>
      </c>
      <c r="SN120" s="131">
        <f t="shared" si="127"/>
        <v>1014306</v>
      </c>
      <c r="SO120" s="131">
        <f t="shared" si="128"/>
        <v>55000</v>
      </c>
      <c r="SP120" s="132">
        <f t="shared" si="129"/>
        <v>0</v>
      </c>
      <c r="SQ120" s="132">
        <f t="shared" si="130"/>
        <v>55000</v>
      </c>
      <c r="SR120" s="132">
        <f t="shared" si="131"/>
        <v>4500</v>
      </c>
      <c r="SS120" s="132">
        <f t="shared" si="132"/>
        <v>20806</v>
      </c>
      <c r="ST120" s="132">
        <f t="shared" si="133"/>
        <v>0</v>
      </c>
      <c r="SU120" s="132">
        <f t="shared" si="134"/>
        <v>575000</v>
      </c>
      <c r="SV120" s="131">
        <f t="shared" si="135"/>
        <v>344000</v>
      </c>
      <c r="SW120" s="132">
        <f t="shared" si="136"/>
        <v>72000</v>
      </c>
      <c r="SX120" s="132">
        <f t="shared" si="137"/>
        <v>11500</v>
      </c>
      <c r="SY120" s="132">
        <f t="shared" si="138"/>
        <v>65000</v>
      </c>
      <c r="SZ120" s="132">
        <f t="shared" si="139"/>
        <v>40000</v>
      </c>
      <c r="TA120" s="132">
        <f t="shared" si="140"/>
        <v>64000</v>
      </c>
      <c r="TB120" s="132">
        <f t="shared" si="141"/>
        <v>10000</v>
      </c>
      <c r="TC120" s="132">
        <f t="shared" si="142"/>
        <v>6500</v>
      </c>
      <c r="TD120" s="132">
        <f t="shared" si="143"/>
        <v>0</v>
      </c>
      <c r="TE120" s="132">
        <f t="shared" si="144"/>
        <v>0</v>
      </c>
      <c r="TF120" s="132">
        <f t="shared" si="145"/>
        <v>75000</v>
      </c>
      <c r="TG120" s="132">
        <f t="shared" si="146"/>
        <v>0</v>
      </c>
      <c r="TH120" s="132">
        <f t="shared" si="147"/>
        <v>15000</v>
      </c>
      <c r="TI120" s="1"/>
      <c r="TJ120" s="131">
        <f t="shared" si="148"/>
        <v>2499000</v>
      </c>
      <c r="TK120" s="131">
        <f t="shared" si="149"/>
        <v>2499000</v>
      </c>
      <c r="TL120" s="131">
        <f t="shared" si="150"/>
        <v>1929080</v>
      </c>
      <c r="TM120" s="132">
        <f t="shared" si="151"/>
        <v>1879080</v>
      </c>
      <c r="TN120" s="132">
        <f t="shared" si="152"/>
        <v>0</v>
      </c>
      <c r="TO120" s="132">
        <f t="shared" si="153"/>
        <v>50000</v>
      </c>
      <c r="TP120" s="132">
        <f t="shared" si="154"/>
        <v>0</v>
      </c>
      <c r="TQ120" s="131">
        <f t="shared" si="155"/>
        <v>569920</v>
      </c>
      <c r="TR120" s="131">
        <f t="shared" si="156"/>
        <v>35000</v>
      </c>
      <c r="TS120" s="132">
        <f t="shared" si="157"/>
        <v>0</v>
      </c>
      <c r="TT120" s="132">
        <f t="shared" si="158"/>
        <v>35000</v>
      </c>
      <c r="TU120" s="132">
        <f t="shared" si="159"/>
        <v>3500</v>
      </c>
      <c r="TV120" s="132">
        <f t="shared" si="160"/>
        <v>8420</v>
      </c>
      <c r="TW120" s="132">
        <f t="shared" si="161"/>
        <v>0</v>
      </c>
      <c r="TX120" s="132">
        <f t="shared" si="162"/>
        <v>250000</v>
      </c>
      <c r="TY120" s="131">
        <f t="shared" si="163"/>
        <v>273000</v>
      </c>
      <c r="TZ120" s="132">
        <f t="shared" si="164"/>
        <v>72000</v>
      </c>
      <c r="UA120" s="132">
        <f t="shared" si="165"/>
        <v>9500</v>
      </c>
      <c r="UB120" s="132">
        <f t="shared" si="166"/>
        <v>65000</v>
      </c>
      <c r="UC120" s="132">
        <f t="shared" si="167"/>
        <v>40000</v>
      </c>
      <c r="UD120" s="132">
        <f t="shared" si="168"/>
        <v>35000</v>
      </c>
      <c r="UE120" s="132">
        <f t="shared" si="169"/>
        <v>5000</v>
      </c>
      <c r="UF120" s="132">
        <f t="shared" si="170"/>
        <v>6500</v>
      </c>
      <c r="UG120" s="132">
        <f t="shared" si="171"/>
        <v>0</v>
      </c>
      <c r="UH120" s="132">
        <f t="shared" si="172"/>
        <v>0</v>
      </c>
      <c r="UI120" s="132">
        <f t="shared" si="173"/>
        <v>40000</v>
      </c>
      <c r="UJ120" s="132">
        <f t="shared" si="174"/>
        <v>0</v>
      </c>
      <c r="UK120" s="132">
        <f t="shared" si="175"/>
        <v>0</v>
      </c>
      <c r="UL120" s="132">
        <f t="shared" si="210"/>
        <v>2499000</v>
      </c>
      <c r="UM120" s="131">
        <f t="shared" si="176"/>
        <v>2499000</v>
      </c>
      <c r="UN120" s="131">
        <f t="shared" si="177"/>
        <v>2499000</v>
      </c>
      <c r="UO120" s="131">
        <f t="shared" si="178"/>
        <v>1929080</v>
      </c>
      <c r="UP120" s="132">
        <f t="shared" si="179"/>
        <v>1879080</v>
      </c>
      <c r="UQ120" s="132">
        <f t="shared" si="180"/>
        <v>0</v>
      </c>
      <c r="UR120" s="132">
        <f t="shared" si="181"/>
        <v>50000</v>
      </c>
      <c r="US120" s="132">
        <f t="shared" si="182"/>
        <v>0</v>
      </c>
      <c r="UT120" s="131">
        <f t="shared" si="183"/>
        <v>569920</v>
      </c>
      <c r="UU120" s="131">
        <f t="shared" si="184"/>
        <v>35000</v>
      </c>
      <c r="UV120" s="132">
        <f t="shared" si="185"/>
        <v>0</v>
      </c>
      <c r="UW120" s="132">
        <f t="shared" si="186"/>
        <v>35000</v>
      </c>
      <c r="UX120" s="132">
        <f t="shared" si="187"/>
        <v>3500</v>
      </c>
      <c r="UY120" s="132">
        <f t="shared" si="188"/>
        <v>8420</v>
      </c>
      <c r="UZ120" s="132">
        <f t="shared" si="189"/>
        <v>0</v>
      </c>
      <c r="VA120" s="132">
        <f t="shared" si="190"/>
        <v>250000</v>
      </c>
      <c r="VB120" s="131">
        <f t="shared" si="191"/>
        <v>273000</v>
      </c>
      <c r="VC120" s="132">
        <f t="shared" si="192"/>
        <v>72000</v>
      </c>
      <c r="VD120" s="132">
        <f t="shared" si="193"/>
        <v>9500</v>
      </c>
      <c r="VE120" s="132">
        <f t="shared" si="194"/>
        <v>65000</v>
      </c>
      <c r="VF120" s="132">
        <f t="shared" si="195"/>
        <v>40000</v>
      </c>
      <c r="VG120" s="132">
        <f t="shared" si="196"/>
        <v>35000</v>
      </c>
      <c r="VH120" s="132">
        <f t="shared" si="197"/>
        <v>5000</v>
      </c>
      <c r="VI120" s="132">
        <f t="shared" si="198"/>
        <v>6500</v>
      </c>
      <c r="VJ120" s="132">
        <f t="shared" si="199"/>
        <v>0</v>
      </c>
      <c r="VK120" s="132">
        <f t="shared" si="200"/>
        <v>0</v>
      </c>
      <c r="VL120" s="132">
        <f t="shared" si="201"/>
        <v>40000</v>
      </c>
      <c r="VM120" s="132">
        <f t="shared" si="202"/>
        <v>0</v>
      </c>
      <c r="VN120" s="132">
        <f t="shared" si="203"/>
        <v>0</v>
      </c>
      <c r="VP120" s="845" t="str">
        <f>IFERROR(HLOOKUP(F120,'Hodnocení '!$C$1:$JH$5,2,FALSE),0)</f>
        <v>K - centrum Hradec Králové</v>
      </c>
      <c r="VQ120" s="838"/>
      <c r="VR120" s="845" t="str">
        <f t="shared" si="211"/>
        <v>Ústav</v>
      </c>
      <c r="VS120" s="845" t="str">
        <f>IFERROR(HLOOKUP(F120,'Hodnocení '!$C$1:$JH$5,5,FALSE),0)</f>
        <v>NZO</v>
      </c>
      <c r="VT120" s="838">
        <f t="shared" si="212"/>
        <v>0</v>
      </c>
      <c r="VU120" s="838">
        <f t="shared" si="213"/>
        <v>0</v>
      </c>
      <c r="VV120" s="838">
        <f t="shared" si="214"/>
        <v>0</v>
      </c>
      <c r="VW120" s="838">
        <f t="shared" si="215"/>
        <v>0</v>
      </c>
      <c r="VX120" s="838"/>
      <c r="VY120" s="838">
        <f t="shared" si="216"/>
        <v>0</v>
      </c>
      <c r="VZ120" s="838">
        <f t="shared" si="217"/>
        <v>2499000</v>
      </c>
      <c r="WA120" s="846">
        <f>IFERROR(HLOOKUP($F120,'Hodnocení '!$C$1:$JH$9,9,FALSE),0)</f>
        <v>2499000</v>
      </c>
      <c r="WB120" s="846">
        <f>IF(IFERROR(HLOOKUP($F120,'Hodnocení '!$C$1:$JH$13,13,FALSE),0)&gt;WA120,WA120,IFERROR(HLOOKUP($F120,'Hodnocení '!$C$1:$JH$13,13,FALSE),0))</f>
        <v>2499000</v>
      </c>
      <c r="WC120" s="846">
        <f>IFERROR(HLOOKUP($F120,'Hodnocení '!$C$1:$JH$155,155,FALSE),0)</f>
        <v>2499000</v>
      </c>
      <c r="WD120" s="845"/>
      <c r="WE120" s="845"/>
      <c r="WF120" s="845" t="str">
        <f t="shared" si="204"/>
        <v>ANO</v>
      </c>
      <c r="WG120" s="849" t="str">
        <f t="shared" si="218"/>
        <v>Podpora služby je vyjádřena zařazením do sítě sociálních služeb v KHK a řešením financování služby</v>
      </c>
      <c r="WH120"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20" s="849" t="str">
        <f t="shared" si="218"/>
        <v>Návrh dotace je výsledkem projednání s ostatními zadavateli v rámci sítě služeb KHK</v>
      </c>
      <c r="WJ120" s="849" t="str">
        <f t="shared" si="218"/>
        <v>Bez komentáře</v>
      </c>
      <c r="WK120" s="31">
        <f t="shared" si="205"/>
        <v>0</v>
      </c>
      <c r="WL120" s="850">
        <f t="shared" si="206"/>
        <v>0</v>
      </c>
      <c r="WM120" s="849">
        <f t="shared" si="207"/>
        <v>0</v>
      </c>
      <c r="WN120" s="849">
        <f t="shared" si="208"/>
        <v>0</v>
      </c>
      <c r="WO120" s="849" t="str">
        <f t="shared" si="219"/>
        <v>bez komentáře</v>
      </c>
      <c r="WP120" s="849" t="str">
        <f t="shared" si="219"/>
        <v>bez komentáře</v>
      </c>
      <c r="WQ120" s="849" t="str">
        <f t="shared" si="219"/>
        <v>Konečná výše dotace z rozpočtu KHK bude řešena v návaznosti na řešení podílů jednotlivých zadavatelů.</v>
      </c>
      <c r="WR120" s="849" t="str">
        <f t="shared" si="219"/>
        <v>Konečná výše podpory ze stran obcí bude řešena v součinnosti s jednotlivými zadavateli v průběhu roku.</v>
      </c>
      <c r="WS120" s="849" t="str">
        <f t="shared" si="219"/>
        <v>bez komentáře</v>
      </c>
      <c r="WT120" s="849" t="str">
        <f t="shared" si="219"/>
        <v>bez komentáře</v>
      </c>
      <c r="WU120" s="845"/>
    </row>
    <row r="121" spans="1:619" s="128" customFormat="1" x14ac:dyDescent="0.25">
      <c r="A121" s="128" t="str">
        <f>VLOOKUP(F121,'Výpočet VP 2020'!$D$324:$I$588,6,FALSE)</f>
        <v>Je v síti</v>
      </c>
      <c r="B121" s="128" t="s">
        <v>602</v>
      </c>
      <c r="C121" s="128">
        <v>272591</v>
      </c>
      <c r="D121" s="128" t="s">
        <v>603</v>
      </c>
      <c r="E121" s="128" t="s">
        <v>604</v>
      </c>
      <c r="F121" s="128">
        <v>6181040</v>
      </c>
      <c r="G121" s="128" t="s">
        <v>328</v>
      </c>
      <c r="H121" s="128" t="s">
        <v>218</v>
      </c>
      <c r="I121" s="128" t="s">
        <v>605</v>
      </c>
      <c r="J121" s="129">
        <v>39281</v>
      </c>
      <c r="L121" s="128" t="s">
        <v>220</v>
      </c>
      <c r="X121" s="128" t="s">
        <v>274</v>
      </c>
      <c r="Z121" s="128">
        <v>2</v>
      </c>
      <c r="AA121" s="128">
        <v>2</v>
      </c>
      <c r="AB121" s="128">
        <v>3</v>
      </c>
      <c r="AC121" s="128">
        <v>5</v>
      </c>
      <c r="AD121" s="128">
        <v>5</v>
      </c>
      <c r="AN121" s="128">
        <v>150</v>
      </c>
      <c r="AP121" s="128" t="s">
        <v>274</v>
      </c>
      <c r="AQ121" s="128">
        <v>2</v>
      </c>
      <c r="AR121" s="128">
        <v>50</v>
      </c>
      <c r="AS121" s="128">
        <v>54</v>
      </c>
      <c r="AT121" s="128">
        <v>54</v>
      </c>
      <c r="AU121" s="128">
        <v>52</v>
      </c>
      <c r="BJ121" s="128">
        <v>350</v>
      </c>
      <c r="BL121" s="128" t="s">
        <v>419</v>
      </c>
      <c r="BM121" s="128" t="s">
        <v>325</v>
      </c>
      <c r="BN121" s="128" t="s">
        <v>424</v>
      </c>
      <c r="BO121" s="128">
        <v>0</v>
      </c>
      <c r="BP121" s="128">
        <v>0</v>
      </c>
      <c r="BQ121" s="128">
        <v>0</v>
      </c>
      <c r="BR121" s="128">
        <v>0</v>
      </c>
      <c r="BS121" s="128">
        <v>0</v>
      </c>
      <c r="BT121" s="128">
        <v>8</v>
      </c>
      <c r="BU121" s="128">
        <v>10</v>
      </c>
      <c r="BV121" s="128">
        <v>3</v>
      </c>
      <c r="BW121" s="128">
        <v>1</v>
      </c>
      <c r="BX121" s="128">
        <v>26</v>
      </c>
      <c r="BY121" s="128">
        <v>8</v>
      </c>
      <c r="BZ121" s="128">
        <v>10</v>
      </c>
      <c r="CA121" s="128">
        <v>3</v>
      </c>
      <c r="CB121" s="128">
        <v>1</v>
      </c>
      <c r="CC121" s="128">
        <v>26</v>
      </c>
      <c r="CD121" s="128">
        <v>0</v>
      </c>
      <c r="CE121" s="128">
        <v>48</v>
      </c>
      <c r="CF121" s="128">
        <v>48</v>
      </c>
      <c r="CG121" s="128">
        <v>0</v>
      </c>
      <c r="CH121" s="128">
        <v>0</v>
      </c>
      <c r="CI121" s="128">
        <v>0</v>
      </c>
      <c r="CJ121" s="128">
        <v>0</v>
      </c>
      <c r="CK121" s="128">
        <v>0</v>
      </c>
      <c r="CL121" s="128">
        <v>0</v>
      </c>
      <c r="CM121" s="128">
        <v>13</v>
      </c>
      <c r="CN121" s="128">
        <v>13</v>
      </c>
      <c r="CO121" s="128">
        <v>4</v>
      </c>
      <c r="CP121" s="128">
        <v>2</v>
      </c>
      <c r="CQ121" s="128">
        <v>25</v>
      </c>
      <c r="CR121" s="128">
        <v>13</v>
      </c>
      <c r="CS121" s="128">
        <v>13</v>
      </c>
      <c r="CT121" s="128">
        <v>4</v>
      </c>
      <c r="CU121" s="128">
        <v>2</v>
      </c>
      <c r="CV121" s="128">
        <v>25</v>
      </c>
      <c r="CW121" s="128">
        <v>0</v>
      </c>
      <c r="CX121" s="128">
        <v>57</v>
      </c>
      <c r="CY121" s="128">
        <v>57</v>
      </c>
      <c r="CZ121" s="128">
        <v>0</v>
      </c>
      <c r="EK121" s="128">
        <v>1</v>
      </c>
      <c r="EL121" s="128">
        <v>0.25</v>
      </c>
      <c r="EM121" s="128">
        <v>0.35</v>
      </c>
      <c r="EN121" s="128">
        <v>165000</v>
      </c>
      <c r="EO121" s="128">
        <v>50000</v>
      </c>
      <c r="EP121" s="128">
        <v>2</v>
      </c>
      <c r="EQ121" s="128">
        <v>2</v>
      </c>
      <c r="ER121" s="128">
        <v>2</v>
      </c>
      <c r="ES121" s="128">
        <v>808196</v>
      </c>
      <c r="ET121" s="128">
        <v>220000</v>
      </c>
      <c r="FO121" s="128">
        <v>2</v>
      </c>
      <c r="FP121" s="128">
        <v>1.25</v>
      </c>
      <c r="FQ121" s="128">
        <v>1</v>
      </c>
      <c r="FR121" s="128">
        <v>700000</v>
      </c>
      <c r="FS121" s="128">
        <v>0</v>
      </c>
      <c r="KG121" s="128">
        <v>0</v>
      </c>
      <c r="KI121" s="128">
        <v>2.25</v>
      </c>
      <c r="KJ121" s="128">
        <v>0</v>
      </c>
      <c r="KK121" s="128">
        <v>0</v>
      </c>
      <c r="KL121" s="128">
        <v>0</v>
      </c>
      <c r="KM121" s="128">
        <v>2.25</v>
      </c>
      <c r="KN121" s="128">
        <v>1673196</v>
      </c>
      <c r="KO121" s="128">
        <v>270000</v>
      </c>
      <c r="KP121" s="128">
        <v>270000</v>
      </c>
      <c r="KT121" s="128">
        <v>0</v>
      </c>
      <c r="KU121" s="128">
        <v>0</v>
      </c>
      <c r="KV121" s="128">
        <v>0</v>
      </c>
      <c r="KZ121" s="128">
        <v>0</v>
      </c>
      <c r="LA121" s="128">
        <v>0</v>
      </c>
      <c r="LB121" s="128">
        <v>0</v>
      </c>
      <c r="LF121" s="128">
        <v>0</v>
      </c>
      <c r="LG121" s="128">
        <v>0</v>
      </c>
      <c r="LH121" s="128">
        <v>0</v>
      </c>
      <c r="LL121" s="128">
        <v>0</v>
      </c>
      <c r="LM121" s="128">
        <v>0</v>
      </c>
      <c r="LN121" s="128">
        <v>0</v>
      </c>
      <c r="LR121" s="128">
        <v>20000</v>
      </c>
      <c r="LS121" s="128">
        <v>0</v>
      </c>
      <c r="LT121" s="128">
        <v>0</v>
      </c>
      <c r="LX121" s="128">
        <v>0</v>
      </c>
      <c r="LY121" s="128">
        <v>0</v>
      </c>
      <c r="LZ121" s="128">
        <v>0</v>
      </c>
      <c r="MD121" s="128">
        <v>0</v>
      </c>
      <c r="ME121" s="128">
        <v>0</v>
      </c>
      <c r="MF121" s="128">
        <v>0</v>
      </c>
      <c r="MJ121" s="128">
        <v>25000</v>
      </c>
      <c r="MK121" s="128">
        <v>0</v>
      </c>
      <c r="ML121" s="128">
        <v>0</v>
      </c>
      <c r="MP121" s="128">
        <v>15000</v>
      </c>
      <c r="MQ121" s="128">
        <v>0</v>
      </c>
      <c r="MR121" s="128">
        <v>0</v>
      </c>
      <c r="MV121" s="128">
        <v>12000</v>
      </c>
      <c r="MW121" s="128">
        <v>0</v>
      </c>
      <c r="MX121" s="128">
        <v>0</v>
      </c>
      <c r="NB121" s="128">
        <v>2200</v>
      </c>
      <c r="NC121" s="128">
        <v>0</v>
      </c>
      <c r="ND121" s="128">
        <v>0</v>
      </c>
      <c r="NH121" s="128">
        <v>0</v>
      </c>
      <c r="NI121" s="128">
        <v>0</v>
      </c>
      <c r="NJ121" s="128">
        <v>0</v>
      </c>
      <c r="NN121" s="128">
        <v>0</v>
      </c>
      <c r="NO121" s="128">
        <v>0</v>
      </c>
      <c r="NP121" s="128">
        <v>0</v>
      </c>
      <c r="NT121" s="128">
        <v>10000</v>
      </c>
      <c r="NU121" s="128">
        <v>0</v>
      </c>
      <c r="NV121" s="128">
        <v>0</v>
      </c>
      <c r="NZ121" s="128">
        <v>5000</v>
      </c>
      <c r="OA121" s="128">
        <v>0</v>
      </c>
      <c r="OB121" s="128">
        <v>0</v>
      </c>
      <c r="OF121" s="128">
        <v>2000</v>
      </c>
      <c r="OG121" s="128">
        <v>0</v>
      </c>
      <c r="OH121" s="128">
        <v>0</v>
      </c>
      <c r="OL121" s="128">
        <v>0</v>
      </c>
      <c r="OM121" s="128">
        <v>0</v>
      </c>
      <c r="ON121" s="128">
        <v>0</v>
      </c>
      <c r="OR121" s="128">
        <v>0</v>
      </c>
      <c r="OS121" s="128">
        <v>0</v>
      </c>
      <c r="OT121" s="128">
        <v>0</v>
      </c>
      <c r="OX121" s="128">
        <v>573000</v>
      </c>
      <c r="OY121" s="128">
        <v>0</v>
      </c>
      <c r="OZ121" s="128">
        <v>0</v>
      </c>
      <c r="PD121" s="128">
        <v>0</v>
      </c>
      <c r="PE121" s="128">
        <v>0</v>
      </c>
      <c r="PF121" s="128">
        <v>0</v>
      </c>
      <c r="PJ121" s="128">
        <v>2000</v>
      </c>
      <c r="PK121" s="128">
        <v>0</v>
      </c>
      <c r="PL121" s="128">
        <v>0</v>
      </c>
      <c r="PP121" s="128">
        <v>2339396</v>
      </c>
      <c r="PQ121" s="128">
        <v>270000</v>
      </c>
      <c r="PR121" s="128">
        <v>270000</v>
      </c>
      <c r="PS121" s="128">
        <v>100</v>
      </c>
      <c r="PT121" s="128">
        <v>100</v>
      </c>
      <c r="PV121" s="128">
        <v>1153542</v>
      </c>
      <c r="PX121" s="128">
        <v>70000</v>
      </c>
      <c r="PY121" s="128">
        <v>111326</v>
      </c>
      <c r="PZ121" s="128">
        <v>270000</v>
      </c>
      <c r="QA121" s="128">
        <v>0</v>
      </c>
      <c r="QB121" s="128">
        <v>0</v>
      </c>
      <c r="QC121" s="128">
        <v>0</v>
      </c>
      <c r="QD121" s="128">
        <v>1250527</v>
      </c>
      <c r="QE121" s="128">
        <v>1215805</v>
      </c>
      <c r="QF121" s="128">
        <v>1469396</v>
      </c>
      <c r="QG121" s="128">
        <v>0</v>
      </c>
      <c r="QH121" s="128">
        <v>0</v>
      </c>
      <c r="QI121" s="128">
        <v>0</v>
      </c>
      <c r="QJ121" s="128">
        <v>470000</v>
      </c>
      <c r="QK121" s="128">
        <v>540000</v>
      </c>
      <c r="QL121" s="128">
        <v>600000</v>
      </c>
      <c r="QN121" s="128">
        <v>0</v>
      </c>
      <c r="QO121" s="128">
        <v>0</v>
      </c>
      <c r="QP121" s="128">
        <v>0</v>
      </c>
      <c r="RH121" s="128">
        <f t="shared" si="209"/>
        <v>1739396</v>
      </c>
      <c r="RI121" s="128">
        <v>0</v>
      </c>
      <c r="RM121" s="128" t="s">
        <v>220</v>
      </c>
      <c r="RU121" s="130"/>
      <c r="RV121" s="130"/>
      <c r="RW121" s="130"/>
      <c r="RX121" s="130"/>
      <c r="SF121" s="128">
        <f t="shared" si="119"/>
        <v>6181040</v>
      </c>
      <c r="SG121" s="131">
        <f t="shared" si="120"/>
        <v>2339396</v>
      </c>
      <c r="SH121" s="131">
        <f t="shared" si="121"/>
        <v>2339396</v>
      </c>
      <c r="SI121" s="131">
        <f t="shared" si="122"/>
        <v>1673196</v>
      </c>
      <c r="SJ121" s="132">
        <f t="shared" si="123"/>
        <v>1673196</v>
      </c>
      <c r="SK121" s="132">
        <f t="shared" si="124"/>
        <v>0</v>
      </c>
      <c r="SL121" s="132">
        <f t="shared" si="125"/>
        <v>0</v>
      </c>
      <c r="SM121" s="132">
        <f t="shared" si="126"/>
        <v>0</v>
      </c>
      <c r="SN121" s="131">
        <f t="shared" si="127"/>
        <v>666200</v>
      </c>
      <c r="SO121" s="131">
        <f t="shared" si="128"/>
        <v>20000</v>
      </c>
      <c r="SP121" s="132">
        <f t="shared" si="129"/>
        <v>0</v>
      </c>
      <c r="SQ121" s="132">
        <f t="shared" si="130"/>
        <v>20000</v>
      </c>
      <c r="SR121" s="132">
        <f t="shared" si="131"/>
        <v>0</v>
      </c>
      <c r="SS121" s="132">
        <f t="shared" si="132"/>
        <v>0</v>
      </c>
      <c r="ST121" s="132">
        <f t="shared" si="133"/>
        <v>25000</v>
      </c>
      <c r="SU121" s="132">
        <f t="shared" si="134"/>
        <v>15000</v>
      </c>
      <c r="SV121" s="131">
        <f t="shared" si="135"/>
        <v>604200</v>
      </c>
      <c r="SW121" s="132">
        <f t="shared" si="136"/>
        <v>12000</v>
      </c>
      <c r="SX121" s="132">
        <f t="shared" si="137"/>
        <v>2200</v>
      </c>
      <c r="SY121" s="132">
        <f t="shared" si="138"/>
        <v>0</v>
      </c>
      <c r="SZ121" s="132">
        <f t="shared" si="139"/>
        <v>0</v>
      </c>
      <c r="TA121" s="132">
        <f t="shared" si="140"/>
        <v>10000</v>
      </c>
      <c r="TB121" s="132">
        <f t="shared" si="141"/>
        <v>5000</v>
      </c>
      <c r="TC121" s="132">
        <f t="shared" si="142"/>
        <v>2000</v>
      </c>
      <c r="TD121" s="132">
        <f t="shared" si="143"/>
        <v>0</v>
      </c>
      <c r="TE121" s="132">
        <f t="shared" si="144"/>
        <v>0</v>
      </c>
      <c r="TF121" s="132">
        <f t="shared" si="145"/>
        <v>573000</v>
      </c>
      <c r="TG121" s="132">
        <f t="shared" si="146"/>
        <v>0</v>
      </c>
      <c r="TH121" s="132">
        <f t="shared" si="147"/>
        <v>2000</v>
      </c>
      <c r="TI121" s="1"/>
      <c r="TJ121" s="131">
        <f t="shared" si="148"/>
        <v>270000</v>
      </c>
      <c r="TK121" s="131">
        <f t="shared" si="149"/>
        <v>270000</v>
      </c>
      <c r="TL121" s="131">
        <f t="shared" si="150"/>
        <v>270000</v>
      </c>
      <c r="TM121" s="132">
        <f t="shared" si="151"/>
        <v>270000</v>
      </c>
      <c r="TN121" s="132">
        <f t="shared" si="152"/>
        <v>0</v>
      </c>
      <c r="TO121" s="132">
        <f t="shared" si="153"/>
        <v>0</v>
      </c>
      <c r="TP121" s="132">
        <f t="shared" si="154"/>
        <v>0</v>
      </c>
      <c r="TQ121" s="131">
        <f t="shared" si="155"/>
        <v>0</v>
      </c>
      <c r="TR121" s="131">
        <f t="shared" si="156"/>
        <v>0</v>
      </c>
      <c r="TS121" s="132">
        <f t="shared" si="157"/>
        <v>0</v>
      </c>
      <c r="TT121" s="132">
        <f t="shared" si="158"/>
        <v>0</v>
      </c>
      <c r="TU121" s="132">
        <f t="shared" si="159"/>
        <v>0</v>
      </c>
      <c r="TV121" s="132">
        <f t="shared" si="160"/>
        <v>0</v>
      </c>
      <c r="TW121" s="132">
        <f t="shared" si="161"/>
        <v>0</v>
      </c>
      <c r="TX121" s="132">
        <f t="shared" si="162"/>
        <v>0</v>
      </c>
      <c r="TY121" s="131">
        <f t="shared" si="163"/>
        <v>0</v>
      </c>
      <c r="TZ121" s="132">
        <f t="shared" si="164"/>
        <v>0</v>
      </c>
      <c r="UA121" s="132">
        <f t="shared" si="165"/>
        <v>0</v>
      </c>
      <c r="UB121" s="132">
        <f t="shared" si="166"/>
        <v>0</v>
      </c>
      <c r="UC121" s="132">
        <f t="shared" si="167"/>
        <v>0</v>
      </c>
      <c r="UD121" s="132">
        <f t="shared" si="168"/>
        <v>0</v>
      </c>
      <c r="UE121" s="132">
        <f t="shared" si="169"/>
        <v>0</v>
      </c>
      <c r="UF121" s="132">
        <f t="shared" si="170"/>
        <v>0</v>
      </c>
      <c r="UG121" s="132">
        <f t="shared" si="171"/>
        <v>0</v>
      </c>
      <c r="UH121" s="132">
        <f t="shared" si="172"/>
        <v>0</v>
      </c>
      <c r="UI121" s="132">
        <f t="shared" si="173"/>
        <v>0</v>
      </c>
      <c r="UJ121" s="132">
        <f t="shared" si="174"/>
        <v>0</v>
      </c>
      <c r="UK121" s="132">
        <f t="shared" si="175"/>
        <v>0</v>
      </c>
      <c r="UL121" s="132">
        <f t="shared" si="210"/>
        <v>270000</v>
      </c>
      <c r="UM121" s="131">
        <f t="shared" si="176"/>
        <v>270000</v>
      </c>
      <c r="UN121" s="131">
        <f t="shared" si="177"/>
        <v>270000</v>
      </c>
      <c r="UO121" s="131">
        <f t="shared" si="178"/>
        <v>270000</v>
      </c>
      <c r="UP121" s="132">
        <f t="shared" si="179"/>
        <v>270000</v>
      </c>
      <c r="UQ121" s="132">
        <f t="shared" si="180"/>
        <v>0</v>
      </c>
      <c r="UR121" s="132">
        <f t="shared" si="181"/>
        <v>0</v>
      </c>
      <c r="US121" s="132">
        <f t="shared" si="182"/>
        <v>0</v>
      </c>
      <c r="UT121" s="131">
        <f t="shared" si="183"/>
        <v>0</v>
      </c>
      <c r="UU121" s="131">
        <f t="shared" si="184"/>
        <v>0</v>
      </c>
      <c r="UV121" s="132">
        <f t="shared" si="185"/>
        <v>0</v>
      </c>
      <c r="UW121" s="132">
        <f t="shared" si="186"/>
        <v>0</v>
      </c>
      <c r="UX121" s="132">
        <f t="shared" si="187"/>
        <v>0</v>
      </c>
      <c r="UY121" s="132">
        <f t="shared" si="188"/>
        <v>0</v>
      </c>
      <c r="UZ121" s="132">
        <f t="shared" si="189"/>
        <v>0</v>
      </c>
      <c r="VA121" s="132">
        <f t="shared" si="190"/>
        <v>0</v>
      </c>
      <c r="VB121" s="131">
        <f t="shared" si="191"/>
        <v>0</v>
      </c>
      <c r="VC121" s="132">
        <f t="shared" si="192"/>
        <v>0</v>
      </c>
      <c r="VD121" s="132">
        <f t="shared" si="193"/>
        <v>0</v>
      </c>
      <c r="VE121" s="132">
        <f t="shared" si="194"/>
        <v>0</v>
      </c>
      <c r="VF121" s="132">
        <f t="shared" si="195"/>
        <v>0</v>
      </c>
      <c r="VG121" s="132">
        <f t="shared" si="196"/>
        <v>0</v>
      </c>
      <c r="VH121" s="132">
        <f t="shared" si="197"/>
        <v>0</v>
      </c>
      <c r="VI121" s="132">
        <f t="shared" si="198"/>
        <v>0</v>
      </c>
      <c r="VJ121" s="132">
        <f t="shared" si="199"/>
        <v>0</v>
      </c>
      <c r="VK121" s="132">
        <f t="shared" si="200"/>
        <v>0</v>
      </c>
      <c r="VL121" s="132">
        <f t="shared" si="201"/>
        <v>0</v>
      </c>
      <c r="VM121" s="132">
        <f t="shared" si="202"/>
        <v>0</v>
      </c>
      <c r="VN121" s="132">
        <f t="shared" si="203"/>
        <v>0</v>
      </c>
      <c r="VP121" s="845" t="str">
        <f>IFERROR(HLOOKUP(F121,'Hodnocení '!$C$1:$JH$5,2,FALSE),0)</f>
        <v>Pečovatelská služba Česká Skalice</v>
      </c>
      <c r="VQ121" s="838"/>
      <c r="VR121" s="845" t="str">
        <f t="shared" si="211"/>
        <v>Obec</v>
      </c>
      <c r="VS121" s="845" t="str">
        <f>IFERROR(HLOOKUP(F121,'Hodnocení '!$C$1:$JH$5,5,FALSE),0)</f>
        <v>Obce</v>
      </c>
      <c r="VT121" s="838" t="str">
        <f t="shared" si="212"/>
        <v>Obec</v>
      </c>
      <c r="VU121" s="838">
        <f t="shared" si="213"/>
        <v>0</v>
      </c>
      <c r="VV121" s="838">
        <f t="shared" si="214"/>
        <v>600000</v>
      </c>
      <c r="VW121" s="838">
        <f t="shared" si="215"/>
        <v>0</v>
      </c>
      <c r="VX121" s="838"/>
      <c r="VY121" s="838">
        <f t="shared" si="216"/>
        <v>0</v>
      </c>
      <c r="VZ121" s="838">
        <f t="shared" si="217"/>
        <v>270000</v>
      </c>
      <c r="WA121" s="846">
        <f>IFERROR(HLOOKUP($F121,'Hodnocení '!$C$1:$JH$9,9,FALSE),0)</f>
        <v>270000</v>
      </c>
      <c r="WB121" s="846">
        <f>IF(IFERROR(HLOOKUP($F121,'Hodnocení '!$C$1:$JH$13,13,FALSE),0)&gt;WA121,WA121,IFERROR(HLOOKUP($F121,'Hodnocení '!$C$1:$JH$13,13,FALSE),0))</f>
        <v>270000</v>
      </c>
      <c r="WC121" s="846">
        <f>IFERROR(HLOOKUP($F121,'Hodnocení '!$C$1:$JH$155,155,FALSE),0)</f>
        <v>0</v>
      </c>
      <c r="WD121" s="845"/>
      <c r="WE121" s="845"/>
      <c r="WF121" s="845" t="str">
        <f t="shared" si="204"/>
        <v>ANO</v>
      </c>
      <c r="WG121" s="849" t="str">
        <f t="shared" si="218"/>
        <v>Podpora služby je vyjádřena zařazením do sítě sociálních služeb v KHK a řešením financování služby</v>
      </c>
      <c r="WH121"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21" s="849" t="str">
        <f t="shared" si="218"/>
        <v>Návrh dotace je výsledkem projednání s ostatními zadavateli v rámci sítě služeb KHK</v>
      </c>
      <c r="WJ121" s="849" t="str">
        <f t="shared" si="218"/>
        <v>Bez komentáře</v>
      </c>
      <c r="WK121" s="31">
        <f t="shared" si="205"/>
        <v>0</v>
      </c>
      <c r="WL121" s="850">
        <f t="shared" si="206"/>
        <v>0</v>
      </c>
      <c r="WM121" s="849" t="str">
        <f t="shared" si="207"/>
        <v>V rámci sítě KHK se dlouhodobě řeší otázka navyšování úhrad a průběžně se monitoruje s vazbou na vykrytí vyrovnávací platby</v>
      </c>
      <c r="WN121" s="849">
        <f t="shared" si="208"/>
        <v>0</v>
      </c>
      <c r="WO121" s="849" t="str">
        <f t="shared" si="219"/>
        <v>bez komentáře</v>
      </c>
      <c r="WP121" s="849" t="str">
        <f t="shared" si="219"/>
        <v>bez komentáře</v>
      </c>
      <c r="WQ121" s="849" t="str">
        <f t="shared" si="219"/>
        <v>Konečná výše dotace z rozpočtu KHK bude řešena v návaznosti na řešení podílů jednotlivých zadavatelů.</v>
      </c>
      <c r="WR121" s="849" t="str">
        <f t="shared" si="219"/>
        <v>Konečná výše podpory ze stran obcí bude řešena v součinnosti s jednotlivými zadavateli v průběhu roku.</v>
      </c>
      <c r="WS121" s="849" t="str">
        <f t="shared" si="219"/>
        <v>bez komentáře</v>
      </c>
      <c r="WT121" s="849" t="str">
        <f t="shared" si="219"/>
        <v>bez komentáře</v>
      </c>
      <c r="WU121" s="845"/>
    </row>
    <row r="122" spans="1:619" s="128" customFormat="1" x14ac:dyDescent="0.25">
      <c r="A122" s="128" t="str">
        <f>VLOOKUP(F122,'Výpočet VP 2020'!$D$324:$I$588,6,FALSE)</f>
        <v>Je v síti</v>
      </c>
      <c r="B122" s="128" t="s">
        <v>606</v>
      </c>
      <c r="C122" s="128">
        <v>274879</v>
      </c>
      <c r="D122" s="128" t="s">
        <v>607</v>
      </c>
      <c r="E122" s="128" t="s">
        <v>604</v>
      </c>
      <c r="F122" s="128">
        <v>1647194</v>
      </c>
      <c r="G122" s="128" t="s">
        <v>328</v>
      </c>
      <c r="H122" s="128" t="s">
        <v>218</v>
      </c>
      <c r="I122" s="128" t="s">
        <v>608</v>
      </c>
      <c r="J122" s="129">
        <v>37238</v>
      </c>
      <c r="L122" s="128" t="s">
        <v>220</v>
      </c>
      <c r="X122" s="128" t="s">
        <v>274</v>
      </c>
      <c r="Z122" s="128">
        <v>1</v>
      </c>
      <c r="AA122" s="128">
        <v>2</v>
      </c>
      <c r="AB122" s="128">
        <v>13</v>
      </c>
      <c r="AC122" s="128">
        <v>14</v>
      </c>
      <c r="AD122" s="128">
        <v>15</v>
      </c>
      <c r="AN122" s="128">
        <v>250</v>
      </c>
      <c r="AP122" s="128" t="s">
        <v>284</v>
      </c>
      <c r="AQ122" s="128">
        <v>4</v>
      </c>
      <c r="AR122" s="128">
        <v>50</v>
      </c>
      <c r="AS122" s="128">
        <v>72</v>
      </c>
      <c r="AT122" s="128">
        <v>78</v>
      </c>
      <c r="AU122" s="128">
        <v>65</v>
      </c>
      <c r="BJ122" s="128">
        <v>3800</v>
      </c>
      <c r="BL122" s="128" t="s">
        <v>609</v>
      </c>
      <c r="BM122" s="128" t="s">
        <v>325</v>
      </c>
      <c r="BN122" s="128" t="s">
        <v>326</v>
      </c>
      <c r="BO122" s="128">
        <v>0</v>
      </c>
      <c r="BP122" s="128">
        <v>0</v>
      </c>
      <c r="BQ122" s="128">
        <v>0</v>
      </c>
      <c r="BR122" s="128">
        <v>0</v>
      </c>
      <c r="BS122" s="128">
        <v>0</v>
      </c>
      <c r="BT122" s="128">
        <v>36</v>
      </c>
      <c r="BU122" s="128">
        <v>22</v>
      </c>
      <c r="BV122" s="128">
        <v>12</v>
      </c>
      <c r="BW122" s="128">
        <v>0</v>
      </c>
      <c r="BX122" s="128">
        <v>9</v>
      </c>
      <c r="BY122" s="128">
        <v>36</v>
      </c>
      <c r="BZ122" s="128">
        <v>22</v>
      </c>
      <c r="CA122" s="128">
        <v>12</v>
      </c>
      <c r="CB122" s="128">
        <v>0</v>
      </c>
      <c r="CC122" s="128">
        <v>9</v>
      </c>
      <c r="CD122" s="128">
        <v>0</v>
      </c>
      <c r="CE122" s="128">
        <v>79</v>
      </c>
      <c r="CF122" s="128">
        <v>79</v>
      </c>
      <c r="CG122" s="128">
        <v>0</v>
      </c>
      <c r="CH122" s="128">
        <v>0</v>
      </c>
      <c r="CI122" s="128">
        <v>0</v>
      </c>
      <c r="CJ122" s="128">
        <v>0</v>
      </c>
      <c r="CK122" s="128">
        <v>0</v>
      </c>
      <c r="CL122" s="128">
        <v>0</v>
      </c>
      <c r="CM122" s="128">
        <v>36</v>
      </c>
      <c r="CN122" s="128">
        <v>22</v>
      </c>
      <c r="CO122" s="128">
        <v>14</v>
      </c>
      <c r="CP122" s="128">
        <v>0</v>
      </c>
      <c r="CQ122" s="128">
        <v>8</v>
      </c>
      <c r="CR122" s="128">
        <v>36</v>
      </c>
      <c r="CS122" s="128">
        <v>22</v>
      </c>
      <c r="CT122" s="128">
        <v>14</v>
      </c>
      <c r="CU122" s="128">
        <v>0</v>
      </c>
      <c r="CV122" s="128">
        <v>8</v>
      </c>
      <c r="CW122" s="128">
        <v>0</v>
      </c>
      <c r="CX122" s="128">
        <v>80</v>
      </c>
      <c r="CY122" s="128">
        <v>80</v>
      </c>
      <c r="CZ122" s="128">
        <v>0</v>
      </c>
      <c r="EK122" s="128">
        <v>1</v>
      </c>
      <c r="EL122" s="128">
        <v>1</v>
      </c>
      <c r="EM122" s="128">
        <v>1</v>
      </c>
      <c r="EN122" s="128">
        <v>770000</v>
      </c>
      <c r="EO122" s="128">
        <v>300000</v>
      </c>
      <c r="EP122" s="128">
        <v>4</v>
      </c>
      <c r="EQ122" s="128">
        <v>4</v>
      </c>
      <c r="ER122" s="128">
        <v>5</v>
      </c>
      <c r="ES122" s="128">
        <v>1506000</v>
      </c>
      <c r="ET122" s="128">
        <v>690000</v>
      </c>
      <c r="GL122" s="128">
        <v>4</v>
      </c>
      <c r="GM122" s="128">
        <v>1.2</v>
      </c>
      <c r="GN122" s="128">
        <v>48</v>
      </c>
      <c r="GO122" s="128">
        <v>1.2</v>
      </c>
      <c r="GP122" s="128">
        <v>148000</v>
      </c>
      <c r="GQ122" s="128">
        <v>0</v>
      </c>
      <c r="KG122" s="128">
        <v>0</v>
      </c>
      <c r="KI122" s="128">
        <v>5</v>
      </c>
      <c r="KJ122" s="128">
        <v>1.2</v>
      </c>
      <c r="KK122" s="128">
        <v>0</v>
      </c>
      <c r="KL122" s="128">
        <v>0</v>
      </c>
      <c r="KM122" s="128">
        <v>6.2</v>
      </c>
      <c r="KN122" s="128">
        <v>2276000</v>
      </c>
      <c r="KO122" s="128">
        <v>990000</v>
      </c>
      <c r="KP122" s="128">
        <v>990000</v>
      </c>
      <c r="KT122" s="128">
        <v>148000</v>
      </c>
      <c r="KU122" s="128">
        <v>0</v>
      </c>
      <c r="KV122" s="128">
        <v>0</v>
      </c>
      <c r="KZ122" s="128">
        <v>0</v>
      </c>
      <c r="LA122" s="128">
        <v>0</v>
      </c>
      <c r="LB122" s="128">
        <v>0</v>
      </c>
      <c r="LF122" s="128">
        <v>8000</v>
      </c>
      <c r="LG122" s="128">
        <v>0</v>
      </c>
      <c r="LH122" s="128">
        <v>0</v>
      </c>
      <c r="LL122" s="128">
        <v>0</v>
      </c>
      <c r="LM122" s="128">
        <v>0</v>
      </c>
      <c r="LN122" s="128">
        <v>0</v>
      </c>
      <c r="LR122" s="128">
        <v>10000</v>
      </c>
      <c r="LS122" s="128">
        <v>0</v>
      </c>
      <c r="LT122" s="128">
        <v>0</v>
      </c>
      <c r="LX122" s="128">
        <v>500</v>
      </c>
      <c r="LY122" s="128">
        <v>0</v>
      </c>
      <c r="LZ122" s="128">
        <v>0</v>
      </c>
      <c r="MD122" s="128">
        <v>2000</v>
      </c>
      <c r="ME122" s="128">
        <v>0</v>
      </c>
      <c r="MF122" s="128">
        <v>0</v>
      </c>
      <c r="MJ122" s="128">
        <v>45000</v>
      </c>
      <c r="MK122" s="128">
        <v>0</v>
      </c>
      <c r="ML122" s="128">
        <v>0</v>
      </c>
      <c r="MP122" s="128">
        <v>45000</v>
      </c>
      <c r="MQ122" s="128">
        <v>0</v>
      </c>
      <c r="MR122" s="128">
        <v>0</v>
      </c>
      <c r="MV122" s="128">
        <v>145000</v>
      </c>
      <c r="MW122" s="128">
        <v>0</v>
      </c>
      <c r="MX122" s="128">
        <v>0</v>
      </c>
      <c r="NB122" s="128">
        <v>17100</v>
      </c>
      <c r="NC122" s="128">
        <v>0</v>
      </c>
      <c r="ND122" s="128">
        <v>0</v>
      </c>
      <c r="NH122" s="128">
        <v>16500</v>
      </c>
      <c r="NI122" s="128">
        <v>0</v>
      </c>
      <c r="NJ122" s="128">
        <v>0</v>
      </c>
      <c r="NN122" s="128">
        <v>0</v>
      </c>
      <c r="NO122" s="128">
        <v>0</v>
      </c>
      <c r="NP122" s="128">
        <v>0</v>
      </c>
      <c r="NT122" s="128">
        <v>21700</v>
      </c>
      <c r="NU122" s="128">
        <v>0</v>
      </c>
      <c r="NV122" s="128">
        <v>0</v>
      </c>
      <c r="NZ122" s="128">
        <v>30000</v>
      </c>
      <c r="OA122" s="128">
        <v>0</v>
      </c>
      <c r="OB122" s="128">
        <v>0</v>
      </c>
      <c r="OF122" s="128">
        <v>3000</v>
      </c>
      <c r="OG122" s="128">
        <v>0</v>
      </c>
      <c r="OH122" s="128">
        <v>0</v>
      </c>
      <c r="OL122" s="128">
        <v>0</v>
      </c>
      <c r="OM122" s="128">
        <v>0</v>
      </c>
      <c r="ON122" s="128">
        <v>0</v>
      </c>
      <c r="OR122" s="128">
        <v>0</v>
      </c>
      <c r="OS122" s="128">
        <v>0</v>
      </c>
      <c r="OT122" s="128">
        <v>0</v>
      </c>
      <c r="OX122" s="128">
        <v>632200</v>
      </c>
      <c r="OY122" s="128">
        <v>0</v>
      </c>
      <c r="OZ122" s="128">
        <v>0</v>
      </c>
      <c r="PD122" s="128">
        <v>98000</v>
      </c>
      <c r="PE122" s="128">
        <v>0</v>
      </c>
      <c r="PF122" s="128">
        <v>0</v>
      </c>
      <c r="PJ122" s="128">
        <v>0</v>
      </c>
      <c r="PK122" s="128">
        <v>0</v>
      </c>
      <c r="PL122" s="128">
        <v>0</v>
      </c>
      <c r="PP122" s="128">
        <v>3498000</v>
      </c>
      <c r="PQ122" s="128">
        <v>990000</v>
      </c>
      <c r="PR122" s="128">
        <v>990000</v>
      </c>
      <c r="PS122" s="128">
        <v>100</v>
      </c>
      <c r="PT122" s="128">
        <v>100</v>
      </c>
      <c r="PV122" s="128">
        <v>2174466</v>
      </c>
      <c r="PX122" s="128">
        <v>900000</v>
      </c>
      <c r="PY122" s="128">
        <v>685740</v>
      </c>
      <c r="PZ122" s="128">
        <v>990000</v>
      </c>
      <c r="QA122" s="128">
        <v>0</v>
      </c>
      <c r="QB122" s="128">
        <v>0</v>
      </c>
      <c r="QC122" s="128">
        <v>0</v>
      </c>
      <c r="QD122" s="128">
        <v>996261</v>
      </c>
      <c r="QE122" s="128">
        <v>1809308</v>
      </c>
      <c r="QF122" s="128">
        <v>1358000</v>
      </c>
      <c r="QG122" s="128">
        <v>0</v>
      </c>
      <c r="QH122" s="128">
        <v>0</v>
      </c>
      <c r="QI122" s="128">
        <v>0</v>
      </c>
      <c r="QJ122" s="128">
        <v>1080592</v>
      </c>
      <c r="QK122" s="128">
        <v>850000</v>
      </c>
      <c r="QL122" s="128">
        <v>850000</v>
      </c>
      <c r="QN122" s="128">
        <v>0</v>
      </c>
      <c r="QO122" s="128">
        <v>0</v>
      </c>
      <c r="QP122" s="128">
        <v>0</v>
      </c>
      <c r="QU122" s="128">
        <v>14316</v>
      </c>
      <c r="QV122" s="128">
        <v>107952</v>
      </c>
      <c r="QW122" s="128">
        <v>300000</v>
      </c>
      <c r="RH122" s="128">
        <f t="shared" si="209"/>
        <v>2648000</v>
      </c>
      <c r="RI122" s="128">
        <v>0</v>
      </c>
      <c r="RM122" s="128" t="s">
        <v>220</v>
      </c>
      <c r="RU122" s="130"/>
      <c r="RV122" s="130"/>
      <c r="RW122" s="130"/>
      <c r="RX122" s="130"/>
      <c r="SF122" s="128">
        <f t="shared" si="119"/>
        <v>1647194</v>
      </c>
      <c r="SG122" s="131">
        <f t="shared" si="120"/>
        <v>3498000</v>
      </c>
      <c r="SH122" s="131">
        <f t="shared" si="121"/>
        <v>3498000</v>
      </c>
      <c r="SI122" s="131">
        <f t="shared" si="122"/>
        <v>2432000</v>
      </c>
      <c r="SJ122" s="132">
        <f t="shared" si="123"/>
        <v>2276000</v>
      </c>
      <c r="SK122" s="132">
        <f t="shared" si="124"/>
        <v>148000</v>
      </c>
      <c r="SL122" s="132">
        <f t="shared" si="125"/>
        <v>0</v>
      </c>
      <c r="SM122" s="132">
        <f t="shared" si="126"/>
        <v>8000</v>
      </c>
      <c r="SN122" s="131">
        <f t="shared" si="127"/>
        <v>1066000</v>
      </c>
      <c r="SO122" s="131">
        <f t="shared" si="128"/>
        <v>10000</v>
      </c>
      <c r="SP122" s="132">
        <f t="shared" si="129"/>
        <v>0</v>
      </c>
      <c r="SQ122" s="132">
        <f t="shared" si="130"/>
        <v>10000</v>
      </c>
      <c r="SR122" s="132">
        <f t="shared" si="131"/>
        <v>500</v>
      </c>
      <c r="SS122" s="132">
        <f t="shared" si="132"/>
        <v>2000</v>
      </c>
      <c r="ST122" s="132">
        <f t="shared" si="133"/>
        <v>45000</v>
      </c>
      <c r="SU122" s="132">
        <f t="shared" si="134"/>
        <v>45000</v>
      </c>
      <c r="SV122" s="131">
        <f t="shared" si="135"/>
        <v>865500</v>
      </c>
      <c r="SW122" s="132">
        <f t="shared" si="136"/>
        <v>145000</v>
      </c>
      <c r="SX122" s="132">
        <f t="shared" si="137"/>
        <v>17100</v>
      </c>
      <c r="SY122" s="132">
        <f t="shared" si="138"/>
        <v>16500</v>
      </c>
      <c r="SZ122" s="132">
        <f t="shared" si="139"/>
        <v>0</v>
      </c>
      <c r="TA122" s="132">
        <f t="shared" si="140"/>
        <v>21700</v>
      </c>
      <c r="TB122" s="132">
        <f t="shared" si="141"/>
        <v>30000</v>
      </c>
      <c r="TC122" s="132">
        <f t="shared" si="142"/>
        <v>3000</v>
      </c>
      <c r="TD122" s="132">
        <f t="shared" si="143"/>
        <v>0</v>
      </c>
      <c r="TE122" s="132">
        <f t="shared" si="144"/>
        <v>0</v>
      </c>
      <c r="TF122" s="132">
        <f t="shared" si="145"/>
        <v>632200</v>
      </c>
      <c r="TG122" s="132">
        <f t="shared" si="146"/>
        <v>98000</v>
      </c>
      <c r="TH122" s="132">
        <f t="shared" si="147"/>
        <v>0</v>
      </c>
      <c r="TI122" s="1"/>
      <c r="TJ122" s="131">
        <f t="shared" si="148"/>
        <v>990000</v>
      </c>
      <c r="TK122" s="131">
        <f t="shared" si="149"/>
        <v>990000</v>
      </c>
      <c r="TL122" s="131">
        <f t="shared" si="150"/>
        <v>990000</v>
      </c>
      <c r="TM122" s="132">
        <f t="shared" si="151"/>
        <v>990000</v>
      </c>
      <c r="TN122" s="132">
        <f t="shared" si="152"/>
        <v>0</v>
      </c>
      <c r="TO122" s="132">
        <f t="shared" si="153"/>
        <v>0</v>
      </c>
      <c r="TP122" s="132">
        <f t="shared" si="154"/>
        <v>0</v>
      </c>
      <c r="TQ122" s="131">
        <f t="shared" si="155"/>
        <v>0</v>
      </c>
      <c r="TR122" s="131">
        <f t="shared" si="156"/>
        <v>0</v>
      </c>
      <c r="TS122" s="132">
        <f t="shared" si="157"/>
        <v>0</v>
      </c>
      <c r="TT122" s="132">
        <f t="shared" si="158"/>
        <v>0</v>
      </c>
      <c r="TU122" s="132">
        <f t="shared" si="159"/>
        <v>0</v>
      </c>
      <c r="TV122" s="132">
        <f t="shared" si="160"/>
        <v>0</v>
      </c>
      <c r="TW122" s="132">
        <f t="shared" si="161"/>
        <v>0</v>
      </c>
      <c r="TX122" s="132">
        <f t="shared" si="162"/>
        <v>0</v>
      </c>
      <c r="TY122" s="131">
        <f t="shared" si="163"/>
        <v>0</v>
      </c>
      <c r="TZ122" s="132">
        <f t="shared" si="164"/>
        <v>0</v>
      </c>
      <c r="UA122" s="132">
        <f t="shared" si="165"/>
        <v>0</v>
      </c>
      <c r="UB122" s="132">
        <f t="shared" si="166"/>
        <v>0</v>
      </c>
      <c r="UC122" s="132">
        <f t="shared" si="167"/>
        <v>0</v>
      </c>
      <c r="UD122" s="132">
        <f t="shared" si="168"/>
        <v>0</v>
      </c>
      <c r="UE122" s="132">
        <f t="shared" si="169"/>
        <v>0</v>
      </c>
      <c r="UF122" s="132">
        <f t="shared" si="170"/>
        <v>0</v>
      </c>
      <c r="UG122" s="132">
        <f t="shared" si="171"/>
        <v>0</v>
      </c>
      <c r="UH122" s="132">
        <f t="shared" si="172"/>
        <v>0</v>
      </c>
      <c r="UI122" s="132">
        <f t="shared" si="173"/>
        <v>0</v>
      </c>
      <c r="UJ122" s="132">
        <f t="shared" si="174"/>
        <v>0</v>
      </c>
      <c r="UK122" s="132">
        <f t="shared" si="175"/>
        <v>0</v>
      </c>
      <c r="UL122" s="132">
        <f t="shared" si="210"/>
        <v>990000</v>
      </c>
      <c r="UM122" s="131">
        <f t="shared" si="176"/>
        <v>990000</v>
      </c>
      <c r="UN122" s="131">
        <f t="shared" si="177"/>
        <v>990000</v>
      </c>
      <c r="UO122" s="131">
        <f t="shared" si="178"/>
        <v>990000</v>
      </c>
      <c r="UP122" s="132">
        <f t="shared" si="179"/>
        <v>990000</v>
      </c>
      <c r="UQ122" s="132">
        <f t="shared" si="180"/>
        <v>0</v>
      </c>
      <c r="UR122" s="132">
        <f t="shared" si="181"/>
        <v>0</v>
      </c>
      <c r="US122" s="132">
        <f t="shared" si="182"/>
        <v>0</v>
      </c>
      <c r="UT122" s="131">
        <f t="shared" si="183"/>
        <v>0</v>
      </c>
      <c r="UU122" s="131">
        <f t="shared" si="184"/>
        <v>0</v>
      </c>
      <c r="UV122" s="132">
        <f t="shared" si="185"/>
        <v>0</v>
      </c>
      <c r="UW122" s="132">
        <f t="shared" si="186"/>
        <v>0</v>
      </c>
      <c r="UX122" s="132">
        <f t="shared" si="187"/>
        <v>0</v>
      </c>
      <c r="UY122" s="132">
        <f t="shared" si="188"/>
        <v>0</v>
      </c>
      <c r="UZ122" s="132">
        <f t="shared" si="189"/>
        <v>0</v>
      </c>
      <c r="VA122" s="132">
        <f t="shared" si="190"/>
        <v>0</v>
      </c>
      <c r="VB122" s="131">
        <f t="shared" si="191"/>
        <v>0</v>
      </c>
      <c r="VC122" s="132">
        <f t="shared" si="192"/>
        <v>0</v>
      </c>
      <c r="VD122" s="132">
        <f t="shared" si="193"/>
        <v>0</v>
      </c>
      <c r="VE122" s="132">
        <f t="shared" si="194"/>
        <v>0</v>
      </c>
      <c r="VF122" s="132">
        <f t="shared" si="195"/>
        <v>0</v>
      </c>
      <c r="VG122" s="132">
        <f t="shared" si="196"/>
        <v>0</v>
      </c>
      <c r="VH122" s="132">
        <f t="shared" si="197"/>
        <v>0</v>
      </c>
      <c r="VI122" s="132">
        <f t="shared" si="198"/>
        <v>0</v>
      </c>
      <c r="VJ122" s="132">
        <f t="shared" si="199"/>
        <v>0</v>
      </c>
      <c r="VK122" s="132">
        <f t="shared" si="200"/>
        <v>0</v>
      </c>
      <c r="VL122" s="132">
        <f t="shared" si="201"/>
        <v>0</v>
      </c>
      <c r="VM122" s="132">
        <f t="shared" si="202"/>
        <v>0</v>
      </c>
      <c r="VN122" s="132">
        <f t="shared" si="203"/>
        <v>0</v>
      </c>
      <c r="VP122" s="845" t="str">
        <f>IFERROR(HLOOKUP(F122,'Hodnocení '!$C$1:$JH$5,2,FALSE),0)</f>
        <v>Město Dobruška Pečovatelská služba</v>
      </c>
      <c r="VQ122" s="838"/>
      <c r="VR122" s="845" t="str">
        <f t="shared" si="211"/>
        <v>Obec</v>
      </c>
      <c r="VS122" s="845" t="str">
        <f>IFERROR(HLOOKUP(F122,'Hodnocení '!$C$1:$JH$5,5,FALSE),0)</f>
        <v>Obce</v>
      </c>
      <c r="VT122" s="838" t="str">
        <f t="shared" si="212"/>
        <v>Obec</v>
      </c>
      <c r="VU122" s="838">
        <f t="shared" si="213"/>
        <v>0</v>
      </c>
      <c r="VV122" s="838">
        <f t="shared" si="214"/>
        <v>850000</v>
      </c>
      <c r="VW122" s="838">
        <f t="shared" si="215"/>
        <v>0</v>
      </c>
      <c r="VX122" s="838"/>
      <c r="VY122" s="838">
        <f t="shared" si="216"/>
        <v>0</v>
      </c>
      <c r="VZ122" s="838">
        <f t="shared" si="217"/>
        <v>990000</v>
      </c>
      <c r="WA122" s="846">
        <f>IFERROR(HLOOKUP($F122,'Hodnocení '!$C$1:$JH$9,9,FALSE),0)</f>
        <v>990000</v>
      </c>
      <c r="WB122" s="846">
        <f>IF(IFERROR(HLOOKUP($F122,'Hodnocení '!$C$1:$JH$13,13,FALSE),0)&gt;WA122,WA122,IFERROR(HLOOKUP($F122,'Hodnocení '!$C$1:$JH$13,13,FALSE),0))</f>
        <v>990000</v>
      </c>
      <c r="WC122" s="846">
        <f>IFERROR(HLOOKUP($F122,'Hodnocení '!$C$1:$JH$155,155,FALSE),0)</f>
        <v>990000</v>
      </c>
      <c r="WD122" s="845"/>
      <c r="WE122" s="845"/>
      <c r="WF122" s="845" t="str">
        <f t="shared" si="204"/>
        <v>ANO</v>
      </c>
      <c r="WG122" s="849" t="str">
        <f t="shared" si="218"/>
        <v>Podpora služby je vyjádřena zařazením do sítě sociálních služeb v KHK a řešením financování služby</v>
      </c>
      <c r="WH122"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22" s="849" t="str">
        <f t="shared" si="218"/>
        <v>Návrh dotace je výsledkem projednání s ostatními zadavateli v rámci sítě služeb KHK</v>
      </c>
      <c r="WJ122" s="849" t="str">
        <f t="shared" si="218"/>
        <v>Bez komentáře</v>
      </c>
      <c r="WK122" s="31">
        <f t="shared" si="205"/>
        <v>0</v>
      </c>
      <c r="WL122" s="850">
        <f t="shared" si="206"/>
        <v>0</v>
      </c>
      <c r="WM122" s="849" t="str">
        <f t="shared" si="207"/>
        <v>V rámci sítě KHK se dlouhodobě řeší otázka navyšování úhrad a průběžně se monitoruje s vazbou na vykrytí vyrovnávací platby</v>
      </c>
      <c r="WN122" s="849">
        <f t="shared" si="208"/>
        <v>0</v>
      </c>
      <c r="WO122" s="849" t="str">
        <f t="shared" si="219"/>
        <v>bez komentáře</v>
      </c>
      <c r="WP122" s="849" t="str">
        <f t="shared" si="219"/>
        <v>bez komentáře</v>
      </c>
      <c r="WQ122" s="849" t="str">
        <f t="shared" si="219"/>
        <v>Konečná výše dotace z rozpočtu KHK bude řešena v návaznosti na řešení podílů jednotlivých zadavatelů.</v>
      </c>
      <c r="WR122" s="849" t="str">
        <f t="shared" si="219"/>
        <v>Konečná výše podpory ze stran obcí bude řešena v součinnosti s jednotlivými zadavateli v průběhu roku.</v>
      </c>
      <c r="WS122" s="849" t="str">
        <f t="shared" si="219"/>
        <v>bez komentáře</v>
      </c>
      <c r="WT122" s="849" t="str">
        <f t="shared" si="219"/>
        <v>bez komentáře</v>
      </c>
      <c r="WU122" s="845"/>
    </row>
    <row r="123" spans="1:619" s="128" customFormat="1" x14ac:dyDescent="0.25">
      <c r="A123" s="128" t="str">
        <f>VLOOKUP(F123,'Výpočet VP 2020'!$D$324:$I$588,6,FALSE)</f>
        <v>Je v síti</v>
      </c>
      <c r="B123" s="128" t="s">
        <v>610</v>
      </c>
      <c r="C123" s="128">
        <v>272680</v>
      </c>
      <c r="D123" s="128" t="s">
        <v>611</v>
      </c>
      <c r="E123" s="128" t="s">
        <v>604</v>
      </c>
      <c r="F123" s="128">
        <v>6232669</v>
      </c>
      <c r="G123" s="128" t="s">
        <v>328</v>
      </c>
      <c r="H123" s="128" t="s">
        <v>218</v>
      </c>
      <c r="I123" s="128" t="s">
        <v>610</v>
      </c>
      <c r="J123" s="129">
        <v>39083</v>
      </c>
      <c r="L123" s="128" t="s">
        <v>220</v>
      </c>
      <c r="AP123" s="128" t="s">
        <v>336</v>
      </c>
      <c r="AQ123" s="128">
        <v>7</v>
      </c>
      <c r="AR123" s="128">
        <v>70</v>
      </c>
      <c r="AS123" s="128">
        <v>110</v>
      </c>
      <c r="AT123" s="128">
        <v>100</v>
      </c>
      <c r="AU123" s="128">
        <v>110</v>
      </c>
      <c r="BJ123" s="128">
        <v>7800</v>
      </c>
      <c r="BL123" s="128" t="s">
        <v>612</v>
      </c>
      <c r="BM123" s="128" t="s">
        <v>325</v>
      </c>
      <c r="BN123" s="128" t="s">
        <v>326</v>
      </c>
      <c r="BO123" s="128">
        <v>0</v>
      </c>
      <c r="BP123" s="128">
        <v>0</v>
      </c>
      <c r="BQ123" s="128">
        <v>0</v>
      </c>
      <c r="BR123" s="128">
        <v>0</v>
      </c>
      <c r="BS123" s="128">
        <v>0</v>
      </c>
      <c r="BT123" s="128">
        <v>28</v>
      </c>
      <c r="BU123" s="128">
        <v>29</v>
      </c>
      <c r="BV123" s="128">
        <v>8</v>
      </c>
      <c r="BW123" s="128">
        <v>2</v>
      </c>
      <c r="BX123" s="128">
        <v>23</v>
      </c>
      <c r="BY123" s="128">
        <v>28</v>
      </c>
      <c r="BZ123" s="128">
        <v>29</v>
      </c>
      <c r="CA123" s="128">
        <v>8</v>
      </c>
      <c r="CB123" s="128">
        <v>2</v>
      </c>
      <c r="CC123" s="128">
        <v>23</v>
      </c>
      <c r="CD123" s="128">
        <v>0</v>
      </c>
      <c r="CE123" s="128">
        <v>90</v>
      </c>
      <c r="CF123" s="128">
        <v>90</v>
      </c>
      <c r="CG123" s="128">
        <v>1</v>
      </c>
      <c r="CH123" s="128">
        <v>0</v>
      </c>
      <c r="CI123" s="128">
        <v>0</v>
      </c>
      <c r="CJ123" s="128">
        <v>0</v>
      </c>
      <c r="CK123" s="128">
        <v>0</v>
      </c>
      <c r="CL123" s="128">
        <v>0</v>
      </c>
      <c r="CM123" s="128">
        <v>42</v>
      </c>
      <c r="CN123" s="128">
        <v>35</v>
      </c>
      <c r="CO123" s="128">
        <v>8</v>
      </c>
      <c r="CP123" s="128">
        <v>3</v>
      </c>
      <c r="CQ123" s="128">
        <v>22</v>
      </c>
      <c r="CR123" s="128">
        <v>42</v>
      </c>
      <c r="CS123" s="128">
        <v>35</v>
      </c>
      <c r="CT123" s="128">
        <v>8</v>
      </c>
      <c r="CU123" s="128">
        <v>3</v>
      </c>
      <c r="CV123" s="128">
        <v>22</v>
      </c>
      <c r="CW123" s="128">
        <v>0</v>
      </c>
      <c r="CX123" s="128">
        <v>110</v>
      </c>
      <c r="CY123" s="128">
        <v>110</v>
      </c>
      <c r="CZ123" s="128">
        <v>1</v>
      </c>
      <c r="EK123" s="128">
        <v>1</v>
      </c>
      <c r="EL123" s="128">
        <v>1</v>
      </c>
      <c r="EM123" s="128">
        <v>1</v>
      </c>
      <c r="EN123" s="128">
        <v>610100</v>
      </c>
      <c r="EO123" s="128">
        <v>200000</v>
      </c>
      <c r="EP123" s="128">
        <v>7</v>
      </c>
      <c r="EQ123" s="128">
        <v>7</v>
      </c>
      <c r="ER123" s="128">
        <v>7</v>
      </c>
      <c r="ES123" s="128">
        <v>2873900</v>
      </c>
      <c r="ET123" s="128">
        <v>2000000</v>
      </c>
      <c r="FO123" s="128">
        <v>3</v>
      </c>
      <c r="FP123" s="128">
        <v>0.3</v>
      </c>
      <c r="FQ123" s="128">
        <v>0.2</v>
      </c>
      <c r="FR123" s="128">
        <v>140000</v>
      </c>
      <c r="FS123" s="128">
        <v>0</v>
      </c>
      <c r="IH123" s="128">
        <v>2</v>
      </c>
      <c r="II123" s="128">
        <v>0.4</v>
      </c>
      <c r="IJ123" s="128">
        <v>24</v>
      </c>
      <c r="IK123" s="128">
        <v>0.4</v>
      </c>
      <c r="IL123" s="128">
        <v>50000</v>
      </c>
      <c r="IM123" s="128">
        <v>0</v>
      </c>
      <c r="KG123" s="128">
        <v>0</v>
      </c>
      <c r="KI123" s="128">
        <v>8</v>
      </c>
      <c r="KJ123" s="128">
        <v>0</v>
      </c>
      <c r="KK123" s="128">
        <v>0</v>
      </c>
      <c r="KL123" s="128">
        <v>0</v>
      </c>
      <c r="KM123" s="128">
        <v>8</v>
      </c>
      <c r="KN123" s="128">
        <v>3624000</v>
      </c>
      <c r="KO123" s="128">
        <v>2200000</v>
      </c>
      <c r="KP123" s="128">
        <v>2200000</v>
      </c>
      <c r="KT123" s="128">
        <v>50000</v>
      </c>
      <c r="KU123" s="128">
        <v>0</v>
      </c>
      <c r="KV123" s="128">
        <v>0</v>
      </c>
      <c r="KZ123" s="128">
        <v>0</v>
      </c>
      <c r="LA123" s="128">
        <v>0</v>
      </c>
      <c r="LB123" s="128">
        <v>0</v>
      </c>
      <c r="LF123" s="128">
        <v>0</v>
      </c>
      <c r="LG123" s="128">
        <v>0</v>
      </c>
      <c r="LH123" s="128">
        <v>0</v>
      </c>
      <c r="LL123" s="128">
        <v>0</v>
      </c>
      <c r="LM123" s="128">
        <v>0</v>
      </c>
      <c r="LN123" s="128">
        <v>0</v>
      </c>
      <c r="LR123" s="128">
        <v>20000</v>
      </c>
      <c r="LS123" s="128">
        <v>0</v>
      </c>
      <c r="LT123" s="128">
        <v>0</v>
      </c>
      <c r="LX123" s="128">
        <v>0</v>
      </c>
      <c r="LY123" s="128">
        <v>0</v>
      </c>
      <c r="LZ123" s="128">
        <v>0</v>
      </c>
      <c r="MD123" s="128">
        <v>15000</v>
      </c>
      <c r="ME123" s="128">
        <v>0</v>
      </c>
      <c r="MF123" s="128">
        <v>0</v>
      </c>
      <c r="MJ123" s="128">
        <v>85000</v>
      </c>
      <c r="MK123" s="128">
        <v>0</v>
      </c>
      <c r="ML123" s="128">
        <v>0</v>
      </c>
      <c r="MP123" s="128">
        <v>74000</v>
      </c>
      <c r="MQ123" s="128">
        <v>0</v>
      </c>
      <c r="MR123" s="128">
        <v>0</v>
      </c>
      <c r="MV123" s="128">
        <v>75000</v>
      </c>
      <c r="MW123" s="128">
        <v>0</v>
      </c>
      <c r="MX123" s="128">
        <v>0</v>
      </c>
      <c r="NB123" s="128">
        <v>18000</v>
      </c>
      <c r="NC123" s="128">
        <v>0</v>
      </c>
      <c r="ND123" s="128">
        <v>0</v>
      </c>
      <c r="NH123" s="128">
        <v>0</v>
      </c>
      <c r="NI123" s="128">
        <v>0</v>
      </c>
      <c r="NJ123" s="128">
        <v>0</v>
      </c>
      <c r="NN123" s="128">
        <v>20000</v>
      </c>
      <c r="NO123" s="128">
        <v>0</v>
      </c>
      <c r="NP123" s="128">
        <v>0</v>
      </c>
      <c r="NT123" s="128">
        <v>35000</v>
      </c>
      <c r="NU123" s="128">
        <v>0</v>
      </c>
      <c r="NV123" s="128">
        <v>0</v>
      </c>
      <c r="NZ123" s="128">
        <v>30000</v>
      </c>
      <c r="OA123" s="128">
        <v>0</v>
      </c>
      <c r="OB123" s="128">
        <v>0</v>
      </c>
      <c r="OF123" s="128">
        <v>6000</v>
      </c>
      <c r="OG123" s="128">
        <v>0</v>
      </c>
      <c r="OH123" s="128">
        <v>0</v>
      </c>
      <c r="OL123" s="128">
        <v>0</v>
      </c>
      <c r="OM123" s="128">
        <v>0</v>
      </c>
      <c r="ON123" s="128">
        <v>0</v>
      </c>
      <c r="OR123" s="128">
        <v>0</v>
      </c>
      <c r="OS123" s="128">
        <v>0</v>
      </c>
      <c r="OT123" s="128">
        <v>0</v>
      </c>
      <c r="OX123" s="128">
        <v>0</v>
      </c>
      <c r="OY123" s="128">
        <v>0</v>
      </c>
      <c r="OZ123" s="128">
        <v>0</v>
      </c>
      <c r="PD123" s="128">
        <v>24240</v>
      </c>
      <c r="PE123" s="128">
        <v>0</v>
      </c>
      <c r="PF123" s="128">
        <v>0</v>
      </c>
      <c r="PJ123" s="128">
        <v>0</v>
      </c>
      <c r="PK123" s="128">
        <v>0</v>
      </c>
      <c r="PL123" s="128">
        <v>0</v>
      </c>
      <c r="PP123" s="128">
        <v>4076240</v>
      </c>
      <c r="PQ123" s="128">
        <v>2200000</v>
      </c>
      <c r="PR123" s="128">
        <v>2200000</v>
      </c>
      <c r="PS123" s="128">
        <v>100</v>
      </c>
      <c r="PT123" s="128">
        <v>100</v>
      </c>
      <c r="PV123" s="128">
        <v>3119765</v>
      </c>
      <c r="PX123" s="128">
        <v>1204392</v>
      </c>
      <c r="PY123" s="128">
        <v>1579046</v>
      </c>
      <c r="PZ123" s="128">
        <v>2200000</v>
      </c>
      <c r="QA123" s="128">
        <v>0</v>
      </c>
      <c r="QB123" s="128">
        <v>0</v>
      </c>
      <c r="QC123" s="128">
        <v>0</v>
      </c>
      <c r="QD123" s="128">
        <v>1602035</v>
      </c>
      <c r="QE123" s="128">
        <v>1400000</v>
      </c>
      <c r="QF123" s="128">
        <v>716240</v>
      </c>
      <c r="QG123" s="128">
        <v>0</v>
      </c>
      <c r="QH123" s="128">
        <v>0</v>
      </c>
      <c r="QI123" s="128">
        <v>0</v>
      </c>
      <c r="QJ123" s="128">
        <v>849689</v>
      </c>
      <c r="QK123" s="128">
        <v>800000</v>
      </c>
      <c r="QL123" s="128">
        <v>850000</v>
      </c>
      <c r="QN123" s="128">
        <v>0</v>
      </c>
      <c r="QO123" s="128">
        <v>0</v>
      </c>
      <c r="QP123" s="128">
        <v>0</v>
      </c>
      <c r="QU123" s="128">
        <v>0</v>
      </c>
      <c r="QV123" s="128">
        <v>0</v>
      </c>
      <c r="QW123" s="128">
        <v>250000</v>
      </c>
      <c r="QX123" s="128">
        <v>60042</v>
      </c>
      <c r="QY123" s="128">
        <v>60000</v>
      </c>
      <c r="QZ123" s="128">
        <v>60000</v>
      </c>
      <c r="RH123" s="128">
        <f t="shared" si="209"/>
        <v>3226240</v>
      </c>
      <c r="RI123" s="128">
        <v>0</v>
      </c>
      <c r="RM123" s="128" t="s">
        <v>220</v>
      </c>
      <c r="RU123" s="130"/>
      <c r="RV123" s="130"/>
      <c r="RW123" s="130"/>
      <c r="RX123" s="130"/>
      <c r="SF123" s="128">
        <f t="shared" si="119"/>
        <v>6232669</v>
      </c>
      <c r="SG123" s="131">
        <f t="shared" si="120"/>
        <v>4076240</v>
      </c>
      <c r="SH123" s="131">
        <f t="shared" si="121"/>
        <v>4076240</v>
      </c>
      <c r="SI123" s="131">
        <f t="shared" si="122"/>
        <v>3674000</v>
      </c>
      <c r="SJ123" s="132">
        <f t="shared" si="123"/>
        <v>3624000</v>
      </c>
      <c r="SK123" s="132">
        <f t="shared" si="124"/>
        <v>50000</v>
      </c>
      <c r="SL123" s="132">
        <f t="shared" si="125"/>
        <v>0</v>
      </c>
      <c r="SM123" s="132">
        <f t="shared" si="126"/>
        <v>0</v>
      </c>
      <c r="SN123" s="131">
        <f t="shared" si="127"/>
        <v>402240</v>
      </c>
      <c r="SO123" s="131">
        <f t="shared" si="128"/>
        <v>20000</v>
      </c>
      <c r="SP123" s="132">
        <f t="shared" si="129"/>
        <v>0</v>
      </c>
      <c r="SQ123" s="132">
        <f t="shared" si="130"/>
        <v>20000</v>
      </c>
      <c r="SR123" s="132">
        <f t="shared" si="131"/>
        <v>0</v>
      </c>
      <c r="SS123" s="132">
        <f t="shared" si="132"/>
        <v>15000</v>
      </c>
      <c r="ST123" s="132">
        <f t="shared" si="133"/>
        <v>85000</v>
      </c>
      <c r="SU123" s="132">
        <f t="shared" si="134"/>
        <v>74000</v>
      </c>
      <c r="SV123" s="131">
        <f t="shared" si="135"/>
        <v>184000</v>
      </c>
      <c r="SW123" s="132">
        <f t="shared" si="136"/>
        <v>75000</v>
      </c>
      <c r="SX123" s="132">
        <f t="shared" si="137"/>
        <v>18000</v>
      </c>
      <c r="SY123" s="132">
        <f t="shared" si="138"/>
        <v>0</v>
      </c>
      <c r="SZ123" s="132">
        <f t="shared" si="139"/>
        <v>20000</v>
      </c>
      <c r="TA123" s="132">
        <f t="shared" si="140"/>
        <v>35000</v>
      </c>
      <c r="TB123" s="132">
        <f t="shared" si="141"/>
        <v>30000</v>
      </c>
      <c r="TC123" s="132">
        <f t="shared" si="142"/>
        <v>6000</v>
      </c>
      <c r="TD123" s="132">
        <f t="shared" si="143"/>
        <v>0</v>
      </c>
      <c r="TE123" s="132">
        <f t="shared" si="144"/>
        <v>0</v>
      </c>
      <c r="TF123" s="132">
        <f t="shared" si="145"/>
        <v>0</v>
      </c>
      <c r="TG123" s="132">
        <f t="shared" si="146"/>
        <v>24240</v>
      </c>
      <c r="TH123" s="132">
        <f t="shared" si="147"/>
        <v>0</v>
      </c>
      <c r="TI123" s="1"/>
      <c r="TJ123" s="131">
        <f t="shared" si="148"/>
        <v>2200000</v>
      </c>
      <c r="TK123" s="131">
        <f t="shared" si="149"/>
        <v>2200000</v>
      </c>
      <c r="TL123" s="131">
        <f t="shared" si="150"/>
        <v>2200000</v>
      </c>
      <c r="TM123" s="132">
        <f t="shared" si="151"/>
        <v>2200000</v>
      </c>
      <c r="TN123" s="132">
        <f t="shared" si="152"/>
        <v>0</v>
      </c>
      <c r="TO123" s="132">
        <f t="shared" si="153"/>
        <v>0</v>
      </c>
      <c r="TP123" s="132">
        <f t="shared" si="154"/>
        <v>0</v>
      </c>
      <c r="TQ123" s="131">
        <f t="shared" si="155"/>
        <v>0</v>
      </c>
      <c r="TR123" s="131">
        <f t="shared" si="156"/>
        <v>0</v>
      </c>
      <c r="TS123" s="132">
        <f t="shared" si="157"/>
        <v>0</v>
      </c>
      <c r="TT123" s="132">
        <f t="shared" si="158"/>
        <v>0</v>
      </c>
      <c r="TU123" s="132">
        <f t="shared" si="159"/>
        <v>0</v>
      </c>
      <c r="TV123" s="132">
        <f t="shared" si="160"/>
        <v>0</v>
      </c>
      <c r="TW123" s="132">
        <f t="shared" si="161"/>
        <v>0</v>
      </c>
      <c r="TX123" s="132">
        <f t="shared" si="162"/>
        <v>0</v>
      </c>
      <c r="TY123" s="131">
        <f t="shared" si="163"/>
        <v>0</v>
      </c>
      <c r="TZ123" s="132">
        <f t="shared" si="164"/>
        <v>0</v>
      </c>
      <c r="UA123" s="132">
        <f t="shared" si="165"/>
        <v>0</v>
      </c>
      <c r="UB123" s="132">
        <f t="shared" si="166"/>
        <v>0</v>
      </c>
      <c r="UC123" s="132">
        <f t="shared" si="167"/>
        <v>0</v>
      </c>
      <c r="UD123" s="132">
        <f t="shared" si="168"/>
        <v>0</v>
      </c>
      <c r="UE123" s="132">
        <f t="shared" si="169"/>
        <v>0</v>
      </c>
      <c r="UF123" s="132">
        <f t="shared" si="170"/>
        <v>0</v>
      </c>
      <c r="UG123" s="132">
        <f t="shared" si="171"/>
        <v>0</v>
      </c>
      <c r="UH123" s="132">
        <f t="shared" si="172"/>
        <v>0</v>
      </c>
      <c r="UI123" s="132">
        <f t="shared" si="173"/>
        <v>0</v>
      </c>
      <c r="UJ123" s="132">
        <f t="shared" si="174"/>
        <v>0</v>
      </c>
      <c r="UK123" s="132">
        <f t="shared" si="175"/>
        <v>0</v>
      </c>
      <c r="UL123" s="132">
        <f t="shared" si="210"/>
        <v>2200000</v>
      </c>
      <c r="UM123" s="131">
        <f t="shared" si="176"/>
        <v>2200000</v>
      </c>
      <c r="UN123" s="131">
        <f t="shared" si="177"/>
        <v>2200000</v>
      </c>
      <c r="UO123" s="131">
        <f t="shared" si="178"/>
        <v>2200000</v>
      </c>
      <c r="UP123" s="132">
        <f t="shared" si="179"/>
        <v>2200000</v>
      </c>
      <c r="UQ123" s="132">
        <f t="shared" si="180"/>
        <v>0</v>
      </c>
      <c r="UR123" s="132">
        <f t="shared" si="181"/>
        <v>0</v>
      </c>
      <c r="US123" s="132">
        <f t="shared" si="182"/>
        <v>0</v>
      </c>
      <c r="UT123" s="131">
        <f t="shared" si="183"/>
        <v>0</v>
      </c>
      <c r="UU123" s="131">
        <f t="shared" si="184"/>
        <v>0</v>
      </c>
      <c r="UV123" s="132">
        <f t="shared" si="185"/>
        <v>0</v>
      </c>
      <c r="UW123" s="132">
        <f t="shared" si="186"/>
        <v>0</v>
      </c>
      <c r="UX123" s="132">
        <f t="shared" si="187"/>
        <v>0</v>
      </c>
      <c r="UY123" s="132">
        <f t="shared" si="188"/>
        <v>0</v>
      </c>
      <c r="UZ123" s="132">
        <f t="shared" si="189"/>
        <v>0</v>
      </c>
      <c r="VA123" s="132">
        <f t="shared" si="190"/>
        <v>0</v>
      </c>
      <c r="VB123" s="131">
        <f t="shared" si="191"/>
        <v>0</v>
      </c>
      <c r="VC123" s="132">
        <f t="shared" si="192"/>
        <v>0</v>
      </c>
      <c r="VD123" s="132">
        <f t="shared" si="193"/>
        <v>0</v>
      </c>
      <c r="VE123" s="132">
        <f t="shared" si="194"/>
        <v>0</v>
      </c>
      <c r="VF123" s="132">
        <f t="shared" si="195"/>
        <v>0</v>
      </c>
      <c r="VG123" s="132">
        <f t="shared" si="196"/>
        <v>0</v>
      </c>
      <c r="VH123" s="132">
        <f t="shared" si="197"/>
        <v>0</v>
      </c>
      <c r="VI123" s="132">
        <f t="shared" si="198"/>
        <v>0</v>
      </c>
      <c r="VJ123" s="132">
        <f t="shared" si="199"/>
        <v>0</v>
      </c>
      <c r="VK123" s="132">
        <f t="shared" si="200"/>
        <v>0</v>
      </c>
      <c r="VL123" s="132">
        <f t="shared" si="201"/>
        <v>0</v>
      </c>
      <c r="VM123" s="132">
        <f t="shared" si="202"/>
        <v>0</v>
      </c>
      <c r="VN123" s="132">
        <f t="shared" si="203"/>
        <v>0</v>
      </c>
      <c r="VP123" s="845" t="str">
        <f>IFERROR(HLOOKUP(F123,'Hodnocení '!$C$1:$JH$5,2,FALSE),0)</f>
        <v>Pečovatelská služba Hronov</v>
      </c>
      <c r="VQ123" s="838"/>
      <c r="VR123" s="845" t="str">
        <f t="shared" si="211"/>
        <v>Obec</v>
      </c>
      <c r="VS123" s="845" t="str">
        <f>IFERROR(HLOOKUP(F123,'Hodnocení '!$C$1:$JH$5,5,FALSE),0)</f>
        <v>Obce</v>
      </c>
      <c r="VT123" s="838" t="str">
        <f t="shared" si="212"/>
        <v>Obec</v>
      </c>
      <c r="VU123" s="838">
        <f t="shared" si="213"/>
        <v>0</v>
      </c>
      <c r="VV123" s="838">
        <f t="shared" si="214"/>
        <v>850000</v>
      </c>
      <c r="VW123" s="838">
        <f t="shared" si="215"/>
        <v>0</v>
      </c>
      <c r="VX123" s="838"/>
      <c r="VY123" s="838">
        <f t="shared" si="216"/>
        <v>0</v>
      </c>
      <c r="VZ123" s="838">
        <f t="shared" si="217"/>
        <v>2200000</v>
      </c>
      <c r="WA123" s="846">
        <f>IFERROR(HLOOKUP($F123,'Hodnocení '!$C$1:$JH$9,9,FALSE),0)</f>
        <v>2200000</v>
      </c>
      <c r="WB123" s="846">
        <f>IF(IFERROR(HLOOKUP($F123,'Hodnocení '!$C$1:$JH$13,13,FALSE),0)&gt;WA123,WA123,IFERROR(HLOOKUP($F123,'Hodnocení '!$C$1:$JH$13,13,FALSE),0))</f>
        <v>2200000</v>
      </c>
      <c r="WC123" s="846">
        <f>IFERROR(HLOOKUP($F123,'Hodnocení '!$C$1:$JH$155,155,FALSE),0)</f>
        <v>1854520</v>
      </c>
      <c r="WD123" s="845"/>
      <c r="WE123" s="845"/>
      <c r="WF123" s="845" t="str">
        <f t="shared" si="204"/>
        <v>ANO</v>
      </c>
      <c r="WG123" s="849" t="str">
        <f t="shared" si="218"/>
        <v>Podpora služby je vyjádřena zařazením do sítě sociálních služeb v KHK a řešením financování služby</v>
      </c>
      <c r="WH123"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23" s="849" t="str">
        <f t="shared" si="218"/>
        <v>Návrh dotace je výsledkem projednání s ostatními zadavateli v rámci sítě služeb KHK</v>
      </c>
      <c r="WJ123" s="849" t="str">
        <f t="shared" si="218"/>
        <v>Bez komentáře</v>
      </c>
      <c r="WK123" s="31">
        <f t="shared" si="205"/>
        <v>0</v>
      </c>
      <c r="WL123" s="850">
        <f t="shared" si="206"/>
        <v>0</v>
      </c>
      <c r="WM123" s="849" t="str">
        <f t="shared" si="207"/>
        <v>V rámci sítě KHK se dlouhodobě řeší otázka navyšování úhrad a průběžně se monitoruje s vazbou na vykrytí vyrovnávací platby</v>
      </c>
      <c r="WN123" s="849">
        <f t="shared" si="208"/>
        <v>0</v>
      </c>
      <c r="WO123" s="849" t="str">
        <f t="shared" si="219"/>
        <v>bez komentáře</v>
      </c>
      <c r="WP123" s="849" t="str">
        <f t="shared" si="219"/>
        <v>bez komentáře</v>
      </c>
      <c r="WQ123" s="849" t="str">
        <f t="shared" si="219"/>
        <v>Konečná výše dotace z rozpočtu KHK bude řešena v návaznosti na řešení podílů jednotlivých zadavatelů.</v>
      </c>
      <c r="WR123" s="849" t="str">
        <f t="shared" si="219"/>
        <v>Konečná výše podpory ze stran obcí bude řešena v součinnosti s jednotlivými zadavateli v průběhu roku.</v>
      </c>
      <c r="WS123" s="849" t="str">
        <f t="shared" si="219"/>
        <v>bez komentáře</v>
      </c>
      <c r="WT123" s="849" t="str">
        <f t="shared" si="219"/>
        <v>bez komentáře</v>
      </c>
      <c r="WU123" s="845"/>
    </row>
    <row r="124" spans="1:619" s="128" customFormat="1" x14ac:dyDescent="0.25">
      <c r="A124" s="128" t="str">
        <f>VLOOKUP(F124,'Výpočet VP 2020'!$D$324:$I$588,6,FALSE)</f>
        <v>Je v síti</v>
      </c>
      <c r="B124" s="128" t="s">
        <v>613</v>
      </c>
      <c r="C124" s="128">
        <v>272728</v>
      </c>
      <c r="D124" s="128" t="s">
        <v>614</v>
      </c>
      <c r="E124" s="128" t="s">
        <v>604</v>
      </c>
      <c r="F124" s="128">
        <v>6428468</v>
      </c>
      <c r="G124" s="128" t="s">
        <v>328</v>
      </c>
      <c r="H124" s="128" t="s">
        <v>218</v>
      </c>
      <c r="I124" s="128" t="s">
        <v>615</v>
      </c>
      <c r="J124" s="129">
        <v>39083</v>
      </c>
      <c r="L124" s="128" t="s">
        <v>220</v>
      </c>
      <c r="X124" s="128" t="s">
        <v>616</v>
      </c>
      <c r="Z124" s="128">
        <v>2</v>
      </c>
      <c r="AA124" s="128">
        <v>16</v>
      </c>
      <c r="AB124" s="128">
        <v>31</v>
      </c>
      <c r="AC124" s="128">
        <v>35</v>
      </c>
      <c r="AD124" s="128">
        <v>35</v>
      </c>
      <c r="AN124" s="128">
        <v>1000</v>
      </c>
      <c r="AP124" s="128" t="s">
        <v>617</v>
      </c>
      <c r="AQ124" s="128">
        <v>10</v>
      </c>
      <c r="AR124" s="128">
        <v>160</v>
      </c>
      <c r="AS124" s="128">
        <v>142</v>
      </c>
      <c r="AT124" s="128">
        <v>150</v>
      </c>
      <c r="AU124" s="128">
        <v>150</v>
      </c>
      <c r="BJ124" s="128">
        <v>16000</v>
      </c>
      <c r="BL124" s="128" t="s">
        <v>370</v>
      </c>
      <c r="BM124" s="128" t="s">
        <v>325</v>
      </c>
      <c r="BN124" s="128" t="s">
        <v>299</v>
      </c>
      <c r="BO124" s="128">
        <v>0</v>
      </c>
      <c r="BP124" s="128">
        <v>0</v>
      </c>
      <c r="BQ124" s="128">
        <v>0</v>
      </c>
      <c r="BR124" s="128">
        <v>0</v>
      </c>
      <c r="BS124" s="128">
        <v>0</v>
      </c>
      <c r="BT124" s="128">
        <v>0</v>
      </c>
      <c r="BU124" s="128">
        <v>0</v>
      </c>
      <c r="BV124" s="128">
        <v>0</v>
      </c>
      <c r="BW124" s="128">
        <v>0</v>
      </c>
      <c r="BX124" s="128">
        <v>116</v>
      </c>
      <c r="BY124" s="128">
        <v>0</v>
      </c>
      <c r="BZ124" s="128">
        <v>0</v>
      </c>
      <c r="CA124" s="128">
        <v>0</v>
      </c>
      <c r="CB124" s="128">
        <v>0</v>
      </c>
      <c r="CC124" s="128">
        <v>116</v>
      </c>
      <c r="CD124" s="128">
        <v>0</v>
      </c>
      <c r="CE124" s="128">
        <v>116</v>
      </c>
      <c r="CF124" s="128">
        <v>116</v>
      </c>
      <c r="CG124" s="128">
        <v>1</v>
      </c>
      <c r="CH124" s="128">
        <v>0</v>
      </c>
      <c r="CI124" s="128">
        <v>0</v>
      </c>
      <c r="CJ124" s="128">
        <v>0</v>
      </c>
      <c r="CK124" s="128">
        <v>0</v>
      </c>
      <c r="CL124" s="128">
        <v>0</v>
      </c>
      <c r="CM124" s="128">
        <v>0</v>
      </c>
      <c r="CN124" s="128">
        <v>0</v>
      </c>
      <c r="CO124" s="128">
        <v>0</v>
      </c>
      <c r="CP124" s="128">
        <v>0</v>
      </c>
      <c r="CQ124" s="128">
        <v>185</v>
      </c>
      <c r="CR124" s="128">
        <v>0</v>
      </c>
      <c r="CS124" s="128">
        <v>0</v>
      </c>
      <c r="CT124" s="128">
        <v>0</v>
      </c>
      <c r="CU124" s="128">
        <v>0</v>
      </c>
      <c r="CV124" s="128">
        <v>185</v>
      </c>
      <c r="CW124" s="128">
        <v>0</v>
      </c>
      <c r="CX124" s="128">
        <v>185</v>
      </c>
      <c r="CY124" s="128">
        <v>185</v>
      </c>
      <c r="CZ124" s="128">
        <v>1</v>
      </c>
      <c r="EK124" s="128">
        <v>2</v>
      </c>
      <c r="EL124" s="128">
        <v>1.5</v>
      </c>
      <c r="EM124" s="128">
        <v>1.5</v>
      </c>
      <c r="EN124" s="128">
        <v>982800</v>
      </c>
      <c r="EO124" s="128">
        <v>800000</v>
      </c>
      <c r="EP124" s="128">
        <v>11</v>
      </c>
      <c r="EQ124" s="128">
        <v>10.5</v>
      </c>
      <c r="ER124" s="128">
        <v>10.5</v>
      </c>
      <c r="ES124" s="128">
        <v>4303200</v>
      </c>
      <c r="ET124" s="128">
        <v>3700000</v>
      </c>
      <c r="FO124" s="128">
        <v>1</v>
      </c>
      <c r="FP124" s="128">
        <v>1</v>
      </c>
      <c r="FQ124" s="128">
        <v>1</v>
      </c>
      <c r="FR124" s="128">
        <v>550000</v>
      </c>
      <c r="FS124" s="128">
        <v>0</v>
      </c>
      <c r="IN124" s="128">
        <v>1</v>
      </c>
      <c r="IO124" s="128">
        <v>300</v>
      </c>
      <c r="IP124" s="128">
        <v>0.14299999999999999</v>
      </c>
      <c r="IQ124" s="128">
        <v>30000</v>
      </c>
      <c r="IR124" s="128">
        <v>0</v>
      </c>
      <c r="KG124" s="128">
        <v>0</v>
      </c>
      <c r="KI124" s="128">
        <v>12</v>
      </c>
      <c r="KJ124" s="128">
        <v>0</v>
      </c>
      <c r="KK124" s="128">
        <v>0.14299999999999999</v>
      </c>
      <c r="KL124" s="128">
        <v>0</v>
      </c>
      <c r="KM124" s="128">
        <v>12.143000000000001</v>
      </c>
      <c r="KN124" s="128">
        <v>5836000</v>
      </c>
      <c r="KO124" s="128">
        <v>4500000</v>
      </c>
      <c r="KP124" s="128">
        <v>4500000</v>
      </c>
      <c r="KT124" s="128">
        <v>0</v>
      </c>
      <c r="KU124" s="128">
        <v>0</v>
      </c>
      <c r="KV124" s="128">
        <v>0</v>
      </c>
      <c r="KZ124" s="128">
        <v>30000</v>
      </c>
      <c r="LA124" s="128">
        <v>0</v>
      </c>
      <c r="LB124" s="128">
        <v>0</v>
      </c>
      <c r="LF124" s="128">
        <v>35000</v>
      </c>
      <c r="LG124" s="128">
        <v>0</v>
      </c>
      <c r="LH124" s="128">
        <v>0</v>
      </c>
      <c r="LL124" s="128">
        <v>0</v>
      </c>
      <c r="LM124" s="128">
        <v>0</v>
      </c>
      <c r="LN124" s="128">
        <v>0</v>
      </c>
      <c r="LR124" s="128">
        <v>60000</v>
      </c>
      <c r="LS124" s="128">
        <v>0</v>
      </c>
      <c r="LT124" s="128">
        <v>0</v>
      </c>
      <c r="LX124" s="128">
        <v>5000</v>
      </c>
      <c r="LY124" s="128">
        <v>0</v>
      </c>
      <c r="LZ124" s="128">
        <v>0</v>
      </c>
      <c r="MD124" s="128">
        <v>50000</v>
      </c>
      <c r="ME124" s="128">
        <v>0</v>
      </c>
      <c r="MF124" s="128">
        <v>0</v>
      </c>
      <c r="MJ124" s="128">
        <v>130000</v>
      </c>
      <c r="MK124" s="128">
        <v>0</v>
      </c>
      <c r="ML124" s="128">
        <v>0</v>
      </c>
      <c r="MP124" s="128">
        <v>27000</v>
      </c>
      <c r="MQ124" s="128">
        <v>0</v>
      </c>
      <c r="MR124" s="128">
        <v>0</v>
      </c>
      <c r="MV124" s="128">
        <v>165000</v>
      </c>
      <c r="MW124" s="128">
        <v>0</v>
      </c>
      <c r="MX124" s="128">
        <v>0</v>
      </c>
      <c r="NB124" s="128">
        <v>56000</v>
      </c>
      <c r="NC124" s="128">
        <v>0</v>
      </c>
      <c r="ND124" s="128">
        <v>0</v>
      </c>
      <c r="NH124" s="128">
        <v>0</v>
      </c>
      <c r="NI124" s="128">
        <v>0</v>
      </c>
      <c r="NJ124" s="128">
        <v>0</v>
      </c>
      <c r="NN124" s="128">
        <v>0</v>
      </c>
      <c r="NO124" s="128">
        <v>0</v>
      </c>
      <c r="NP124" s="128">
        <v>0</v>
      </c>
      <c r="NT124" s="128">
        <v>45000</v>
      </c>
      <c r="NU124" s="128">
        <v>0</v>
      </c>
      <c r="NV124" s="128">
        <v>0</v>
      </c>
      <c r="NZ124" s="128">
        <v>200000</v>
      </c>
      <c r="OA124" s="128">
        <v>0</v>
      </c>
      <c r="OB124" s="128">
        <v>0</v>
      </c>
      <c r="OF124" s="128">
        <v>15000</v>
      </c>
      <c r="OG124" s="128">
        <v>0</v>
      </c>
      <c r="OH124" s="128">
        <v>0</v>
      </c>
      <c r="OL124" s="128">
        <v>0</v>
      </c>
      <c r="OM124" s="128">
        <v>0</v>
      </c>
      <c r="ON124" s="128">
        <v>0</v>
      </c>
      <c r="OR124" s="128">
        <v>0</v>
      </c>
      <c r="OS124" s="128">
        <v>0</v>
      </c>
      <c r="OT124" s="128">
        <v>0</v>
      </c>
      <c r="OX124" s="128">
        <v>950000</v>
      </c>
      <c r="OY124" s="128">
        <v>0</v>
      </c>
      <c r="OZ124" s="128">
        <v>0</v>
      </c>
      <c r="PD124" s="128">
        <v>0</v>
      </c>
      <c r="PE124" s="128">
        <v>0</v>
      </c>
      <c r="PF124" s="128">
        <v>0</v>
      </c>
      <c r="PJ124" s="128">
        <v>0</v>
      </c>
      <c r="PK124" s="128">
        <v>0</v>
      </c>
      <c r="PL124" s="128">
        <v>0</v>
      </c>
      <c r="PP124" s="128">
        <v>7604000</v>
      </c>
      <c r="PQ124" s="128">
        <v>4500000</v>
      </c>
      <c r="PR124" s="128">
        <v>4500000</v>
      </c>
      <c r="PS124" s="128">
        <v>100</v>
      </c>
      <c r="PT124" s="128">
        <v>100</v>
      </c>
      <c r="PV124" s="128">
        <v>4745681</v>
      </c>
      <c r="PX124" s="128">
        <v>2581040</v>
      </c>
      <c r="PY124" s="128">
        <v>2626403</v>
      </c>
      <c r="PZ124" s="128">
        <v>4500000</v>
      </c>
      <c r="QA124" s="128">
        <v>0</v>
      </c>
      <c r="QB124" s="128">
        <v>0</v>
      </c>
      <c r="QC124" s="128">
        <v>0</v>
      </c>
      <c r="QD124" s="128">
        <v>1813013</v>
      </c>
      <c r="QE124" s="128">
        <v>2450000</v>
      </c>
      <c r="QF124" s="128">
        <v>1604000</v>
      </c>
      <c r="QG124" s="128">
        <v>0</v>
      </c>
      <c r="QH124" s="128">
        <v>0</v>
      </c>
      <c r="QI124" s="128">
        <v>0</v>
      </c>
      <c r="QJ124" s="128">
        <v>1546210</v>
      </c>
      <c r="QK124" s="128">
        <v>1500000</v>
      </c>
      <c r="QL124" s="128">
        <v>1500000</v>
      </c>
      <c r="QN124" s="128">
        <v>0</v>
      </c>
      <c r="QO124" s="128">
        <v>0</v>
      </c>
      <c r="QP124" s="128">
        <v>0</v>
      </c>
      <c r="RH124" s="128">
        <f t="shared" si="209"/>
        <v>6104000</v>
      </c>
      <c r="RI124" s="128">
        <v>0</v>
      </c>
      <c r="RM124" s="128" t="s">
        <v>220</v>
      </c>
      <c r="RU124" s="130"/>
      <c r="RV124" s="130"/>
      <c r="RW124" s="130"/>
      <c r="RX124" s="130"/>
      <c r="SF124" s="128">
        <f t="shared" si="119"/>
        <v>6428468</v>
      </c>
      <c r="SG124" s="131">
        <f t="shared" si="120"/>
        <v>7604000</v>
      </c>
      <c r="SH124" s="131">
        <f t="shared" si="121"/>
        <v>7604000</v>
      </c>
      <c r="SI124" s="131">
        <f t="shared" si="122"/>
        <v>5901000</v>
      </c>
      <c r="SJ124" s="132">
        <f t="shared" si="123"/>
        <v>5836000</v>
      </c>
      <c r="SK124" s="132">
        <f t="shared" si="124"/>
        <v>0</v>
      </c>
      <c r="SL124" s="132">
        <f t="shared" si="125"/>
        <v>30000</v>
      </c>
      <c r="SM124" s="132">
        <f t="shared" si="126"/>
        <v>35000</v>
      </c>
      <c r="SN124" s="131">
        <f t="shared" si="127"/>
        <v>1703000</v>
      </c>
      <c r="SO124" s="131">
        <f t="shared" si="128"/>
        <v>60000</v>
      </c>
      <c r="SP124" s="132">
        <f t="shared" si="129"/>
        <v>0</v>
      </c>
      <c r="SQ124" s="132">
        <f t="shared" si="130"/>
        <v>60000</v>
      </c>
      <c r="SR124" s="132">
        <f t="shared" si="131"/>
        <v>5000</v>
      </c>
      <c r="SS124" s="132">
        <f t="shared" si="132"/>
        <v>50000</v>
      </c>
      <c r="ST124" s="132">
        <f t="shared" si="133"/>
        <v>130000</v>
      </c>
      <c r="SU124" s="132">
        <f t="shared" si="134"/>
        <v>27000</v>
      </c>
      <c r="SV124" s="131">
        <f t="shared" si="135"/>
        <v>1431000</v>
      </c>
      <c r="SW124" s="132">
        <f t="shared" si="136"/>
        <v>165000</v>
      </c>
      <c r="SX124" s="132">
        <f t="shared" si="137"/>
        <v>56000</v>
      </c>
      <c r="SY124" s="132">
        <f t="shared" si="138"/>
        <v>0</v>
      </c>
      <c r="SZ124" s="132">
        <f t="shared" si="139"/>
        <v>0</v>
      </c>
      <c r="TA124" s="132">
        <f t="shared" si="140"/>
        <v>45000</v>
      </c>
      <c r="TB124" s="132">
        <f t="shared" si="141"/>
        <v>200000</v>
      </c>
      <c r="TC124" s="132">
        <f t="shared" si="142"/>
        <v>15000</v>
      </c>
      <c r="TD124" s="132">
        <f t="shared" si="143"/>
        <v>0</v>
      </c>
      <c r="TE124" s="132">
        <f t="shared" si="144"/>
        <v>0</v>
      </c>
      <c r="TF124" s="132">
        <f t="shared" si="145"/>
        <v>950000</v>
      </c>
      <c r="TG124" s="132">
        <f t="shared" si="146"/>
        <v>0</v>
      </c>
      <c r="TH124" s="132">
        <f t="shared" si="147"/>
        <v>0</v>
      </c>
      <c r="TI124" s="1"/>
      <c r="TJ124" s="131">
        <f t="shared" si="148"/>
        <v>4500000</v>
      </c>
      <c r="TK124" s="131">
        <f t="shared" si="149"/>
        <v>4500000</v>
      </c>
      <c r="TL124" s="131">
        <f t="shared" si="150"/>
        <v>4500000</v>
      </c>
      <c r="TM124" s="132">
        <f t="shared" si="151"/>
        <v>4500000</v>
      </c>
      <c r="TN124" s="132">
        <f t="shared" si="152"/>
        <v>0</v>
      </c>
      <c r="TO124" s="132">
        <f t="shared" si="153"/>
        <v>0</v>
      </c>
      <c r="TP124" s="132">
        <f t="shared" si="154"/>
        <v>0</v>
      </c>
      <c r="TQ124" s="131">
        <f t="shared" si="155"/>
        <v>0</v>
      </c>
      <c r="TR124" s="131">
        <f t="shared" si="156"/>
        <v>0</v>
      </c>
      <c r="TS124" s="132">
        <f t="shared" si="157"/>
        <v>0</v>
      </c>
      <c r="TT124" s="132">
        <f t="shared" si="158"/>
        <v>0</v>
      </c>
      <c r="TU124" s="132">
        <f t="shared" si="159"/>
        <v>0</v>
      </c>
      <c r="TV124" s="132">
        <f t="shared" si="160"/>
        <v>0</v>
      </c>
      <c r="TW124" s="132">
        <f t="shared" si="161"/>
        <v>0</v>
      </c>
      <c r="TX124" s="132">
        <f t="shared" si="162"/>
        <v>0</v>
      </c>
      <c r="TY124" s="131">
        <f t="shared" si="163"/>
        <v>0</v>
      </c>
      <c r="TZ124" s="132">
        <f t="shared" si="164"/>
        <v>0</v>
      </c>
      <c r="UA124" s="132">
        <f t="shared" si="165"/>
        <v>0</v>
      </c>
      <c r="UB124" s="132">
        <f t="shared" si="166"/>
        <v>0</v>
      </c>
      <c r="UC124" s="132">
        <f t="shared" si="167"/>
        <v>0</v>
      </c>
      <c r="UD124" s="132">
        <f t="shared" si="168"/>
        <v>0</v>
      </c>
      <c r="UE124" s="132">
        <f t="shared" si="169"/>
        <v>0</v>
      </c>
      <c r="UF124" s="132">
        <f t="shared" si="170"/>
        <v>0</v>
      </c>
      <c r="UG124" s="132">
        <f t="shared" si="171"/>
        <v>0</v>
      </c>
      <c r="UH124" s="132">
        <f t="shared" si="172"/>
        <v>0</v>
      </c>
      <c r="UI124" s="132">
        <f t="shared" si="173"/>
        <v>0</v>
      </c>
      <c r="UJ124" s="132">
        <f t="shared" si="174"/>
        <v>0</v>
      </c>
      <c r="UK124" s="132">
        <f t="shared" si="175"/>
        <v>0</v>
      </c>
      <c r="UL124" s="132">
        <f t="shared" si="210"/>
        <v>4500000</v>
      </c>
      <c r="UM124" s="131">
        <f t="shared" si="176"/>
        <v>4500000</v>
      </c>
      <c r="UN124" s="131">
        <f t="shared" si="177"/>
        <v>4500000</v>
      </c>
      <c r="UO124" s="131">
        <f t="shared" si="178"/>
        <v>4500000</v>
      </c>
      <c r="UP124" s="132">
        <f t="shared" si="179"/>
        <v>4500000</v>
      </c>
      <c r="UQ124" s="132">
        <f t="shared" si="180"/>
        <v>0</v>
      </c>
      <c r="UR124" s="132">
        <f t="shared" si="181"/>
        <v>0</v>
      </c>
      <c r="US124" s="132">
        <f t="shared" si="182"/>
        <v>0</v>
      </c>
      <c r="UT124" s="131">
        <f t="shared" si="183"/>
        <v>0</v>
      </c>
      <c r="UU124" s="131">
        <f t="shared" si="184"/>
        <v>0</v>
      </c>
      <c r="UV124" s="132">
        <f t="shared" si="185"/>
        <v>0</v>
      </c>
      <c r="UW124" s="132">
        <f t="shared" si="186"/>
        <v>0</v>
      </c>
      <c r="UX124" s="132">
        <f t="shared" si="187"/>
        <v>0</v>
      </c>
      <c r="UY124" s="132">
        <f t="shared" si="188"/>
        <v>0</v>
      </c>
      <c r="UZ124" s="132">
        <f t="shared" si="189"/>
        <v>0</v>
      </c>
      <c r="VA124" s="132">
        <f t="shared" si="190"/>
        <v>0</v>
      </c>
      <c r="VB124" s="131">
        <f t="shared" si="191"/>
        <v>0</v>
      </c>
      <c r="VC124" s="132">
        <f t="shared" si="192"/>
        <v>0</v>
      </c>
      <c r="VD124" s="132">
        <f t="shared" si="193"/>
        <v>0</v>
      </c>
      <c r="VE124" s="132">
        <f t="shared" si="194"/>
        <v>0</v>
      </c>
      <c r="VF124" s="132">
        <f t="shared" si="195"/>
        <v>0</v>
      </c>
      <c r="VG124" s="132">
        <f t="shared" si="196"/>
        <v>0</v>
      </c>
      <c r="VH124" s="132">
        <f t="shared" si="197"/>
        <v>0</v>
      </c>
      <c r="VI124" s="132">
        <f t="shared" si="198"/>
        <v>0</v>
      </c>
      <c r="VJ124" s="132">
        <f t="shared" si="199"/>
        <v>0</v>
      </c>
      <c r="VK124" s="132">
        <f t="shared" si="200"/>
        <v>0</v>
      </c>
      <c r="VL124" s="132">
        <f t="shared" si="201"/>
        <v>0</v>
      </c>
      <c r="VM124" s="132">
        <f t="shared" si="202"/>
        <v>0</v>
      </c>
      <c r="VN124" s="132">
        <f t="shared" si="203"/>
        <v>0</v>
      </c>
      <c r="VP124" s="845" t="str">
        <f>IFERROR(HLOOKUP(F124,'Hodnocení '!$C$1:$JH$5,2,FALSE),0)</f>
        <v>Město Jaroměř Pečovatelská služba</v>
      </c>
      <c r="VQ124" s="838"/>
      <c r="VR124" s="845" t="str">
        <f t="shared" si="211"/>
        <v>Obec</v>
      </c>
      <c r="VS124" s="845" t="str">
        <f>IFERROR(HLOOKUP(F124,'Hodnocení '!$C$1:$JH$5,5,FALSE),0)</f>
        <v>Obce</v>
      </c>
      <c r="VT124" s="838" t="str">
        <f t="shared" si="212"/>
        <v>Obec</v>
      </c>
      <c r="VU124" s="838">
        <f t="shared" si="213"/>
        <v>0</v>
      </c>
      <c r="VV124" s="838">
        <f t="shared" si="214"/>
        <v>1500000</v>
      </c>
      <c r="VW124" s="838">
        <f t="shared" si="215"/>
        <v>0</v>
      </c>
      <c r="VX124" s="838"/>
      <c r="VY124" s="838">
        <f t="shared" si="216"/>
        <v>0</v>
      </c>
      <c r="VZ124" s="838">
        <f t="shared" si="217"/>
        <v>4500000</v>
      </c>
      <c r="WA124" s="846">
        <f>IFERROR(HLOOKUP($F124,'Hodnocení '!$C$1:$JH$9,9,FALSE),0)</f>
        <v>4500000</v>
      </c>
      <c r="WB124" s="846">
        <f>IF(IFERROR(HLOOKUP($F124,'Hodnocení '!$C$1:$JH$13,13,FALSE),0)&gt;WA124,WA124,IFERROR(HLOOKUP($F124,'Hodnocení '!$C$1:$JH$13,13,FALSE),0))</f>
        <v>4500000</v>
      </c>
      <c r="WC124" s="846">
        <f>IFERROR(HLOOKUP($F124,'Hodnocení '!$C$1:$JH$155,155,FALSE),0)</f>
        <v>943020</v>
      </c>
      <c r="WD124" s="845"/>
      <c r="WE124" s="845"/>
      <c r="WF124" s="845" t="str">
        <f t="shared" si="204"/>
        <v>ANO</v>
      </c>
      <c r="WG124" s="849" t="str">
        <f t="shared" si="218"/>
        <v>Podpora služby je vyjádřena zařazením do sítě sociálních služeb v KHK a řešením financování služby</v>
      </c>
      <c r="WH124"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24" s="849" t="str">
        <f t="shared" si="218"/>
        <v>Návrh dotace je výsledkem projednání s ostatními zadavateli v rámci sítě služeb KHK</v>
      </c>
      <c r="WJ124" s="849" t="str">
        <f t="shared" si="218"/>
        <v>Bez komentáře</v>
      </c>
      <c r="WK124" s="31">
        <f t="shared" si="205"/>
        <v>0</v>
      </c>
      <c r="WL124" s="850">
        <f t="shared" si="206"/>
        <v>0</v>
      </c>
      <c r="WM124" s="849" t="str">
        <f t="shared" si="207"/>
        <v>V rámci sítě KHK se dlouhodobě řeší otázka navyšování úhrad a průběžně se monitoruje s vazbou na vykrytí vyrovnávací platby</v>
      </c>
      <c r="WN124" s="849">
        <f t="shared" si="208"/>
        <v>0</v>
      </c>
      <c r="WO124" s="849" t="str">
        <f t="shared" si="219"/>
        <v>bez komentáře</v>
      </c>
      <c r="WP124" s="849" t="str">
        <f t="shared" si="219"/>
        <v>bez komentáře</v>
      </c>
      <c r="WQ124" s="849" t="str">
        <f t="shared" si="219"/>
        <v>Konečná výše dotace z rozpočtu KHK bude řešena v návaznosti na řešení podílů jednotlivých zadavatelů.</v>
      </c>
      <c r="WR124" s="849" t="str">
        <f t="shared" si="219"/>
        <v>Konečná výše podpory ze stran obcí bude řešena v součinnosti s jednotlivými zadavateli v průběhu roku.</v>
      </c>
      <c r="WS124" s="849" t="str">
        <f t="shared" si="219"/>
        <v>bez komentáře</v>
      </c>
      <c r="WT124" s="849" t="str">
        <f t="shared" si="219"/>
        <v>bez komentáře</v>
      </c>
      <c r="WU124" s="845"/>
    </row>
    <row r="125" spans="1:619" s="128" customFormat="1" x14ac:dyDescent="0.25">
      <c r="A125" s="128" t="str">
        <f>VLOOKUP(F125,'Výpočet VP 2020'!$D$324:$I$588,6,FALSE)</f>
        <v>Je v síti</v>
      </c>
      <c r="B125" s="128" t="s">
        <v>618</v>
      </c>
      <c r="C125" s="128">
        <v>274968</v>
      </c>
      <c r="D125" s="128" t="s">
        <v>619</v>
      </c>
      <c r="E125" s="128" t="s">
        <v>604</v>
      </c>
      <c r="F125" s="128">
        <v>1172890</v>
      </c>
      <c r="G125" s="128" t="s">
        <v>328</v>
      </c>
      <c r="H125" s="128" t="s">
        <v>218</v>
      </c>
      <c r="I125" s="128" t="s">
        <v>620</v>
      </c>
      <c r="J125" s="129">
        <v>39083</v>
      </c>
      <c r="L125" s="128" t="s">
        <v>220</v>
      </c>
      <c r="X125" s="128" t="s">
        <v>556</v>
      </c>
      <c r="Z125" s="128">
        <v>2</v>
      </c>
      <c r="AA125" s="128">
        <v>13</v>
      </c>
      <c r="AB125" s="128">
        <v>9</v>
      </c>
      <c r="AC125" s="128">
        <v>6</v>
      </c>
      <c r="AD125" s="128">
        <v>10</v>
      </c>
      <c r="AN125" s="128">
        <v>100</v>
      </c>
      <c r="AP125" s="128" t="s">
        <v>621</v>
      </c>
      <c r="AQ125" s="128">
        <v>7</v>
      </c>
      <c r="AR125" s="128">
        <v>120</v>
      </c>
      <c r="AS125" s="128">
        <v>116</v>
      </c>
      <c r="AT125" s="128">
        <v>116</v>
      </c>
      <c r="AU125" s="128">
        <v>115</v>
      </c>
      <c r="BJ125" s="128">
        <v>12720</v>
      </c>
      <c r="BL125" s="128" t="s">
        <v>622</v>
      </c>
      <c r="BM125" s="128" t="s">
        <v>325</v>
      </c>
      <c r="BN125" s="128" t="s">
        <v>299</v>
      </c>
      <c r="BO125" s="128">
        <v>0</v>
      </c>
      <c r="BP125" s="128">
        <v>0</v>
      </c>
      <c r="BQ125" s="128">
        <v>0</v>
      </c>
      <c r="BR125" s="128">
        <v>0</v>
      </c>
      <c r="BS125" s="128">
        <v>0</v>
      </c>
      <c r="BT125" s="128">
        <v>14</v>
      </c>
      <c r="BU125" s="128">
        <v>20</v>
      </c>
      <c r="BV125" s="128">
        <v>16</v>
      </c>
      <c r="BW125" s="128">
        <v>2</v>
      </c>
      <c r="BX125" s="128">
        <v>31</v>
      </c>
      <c r="BY125" s="128">
        <v>14</v>
      </c>
      <c r="BZ125" s="128">
        <v>20</v>
      </c>
      <c r="CA125" s="128">
        <v>16</v>
      </c>
      <c r="CB125" s="128">
        <v>2</v>
      </c>
      <c r="CC125" s="128">
        <v>31</v>
      </c>
      <c r="CD125" s="128">
        <v>0</v>
      </c>
      <c r="CE125" s="128">
        <v>83</v>
      </c>
      <c r="CF125" s="128">
        <v>83</v>
      </c>
      <c r="CG125" s="128">
        <v>0</v>
      </c>
      <c r="CH125" s="128">
        <v>0</v>
      </c>
      <c r="CI125" s="128">
        <v>0</v>
      </c>
      <c r="CJ125" s="128">
        <v>0</v>
      </c>
      <c r="CK125" s="128">
        <v>0</v>
      </c>
      <c r="CL125" s="128">
        <v>0</v>
      </c>
      <c r="CM125" s="128">
        <v>35</v>
      </c>
      <c r="CN125" s="128">
        <v>40</v>
      </c>
      <c r="CO125" s="128">
        <v>15</v>
      </c>
      <c r="CP125" s="128">
        <v>5</v>
      </c>
      <c r="CQ125" s="128">
        <v>30</v>
      </c>
      <c r="CR125" s="128">
        <v>35</v>
      </c>
      <c r="CS125" s="128">
        <v>40</v>
      </c>
      <c r="CT125" s="128">
        <v>15</v>
      </c>
      <c r="CU125" s="128">
        <v>5</v>
      </c>
      <c r="CV125" s="128">
        <v>30</v>
      </c>
      <c r="CW125" s="128">
        <v>0</v>
      </c>
      <c r="CX125" s="128">
        <v>125</v>
      </c>
      <c r="CY125" s="128">
        <v>125</v>
      </c>
      <c r="CZ125" s="128">
        <v>0</v>
      </c>
      <c r="EK125" s="128">
        <v>2</v>
      </c>
      <c r="EL125" s="128">
        <v>1.7</v>
      </c>
      <c r="EM125" s="128">
        <v>1.7</v>
      </c>
      <c r="EN125" s="128">
        <v>1084000</v>
      </c>
      <c r="EO125" s="128">
        <v>1084000</v>
      </c>
      <c r="EP125" s="128">
        <v>10</v>
      </c>
      <c r="EQ125" s="128">
        <v>10</v>
      </c>
      <c r="ER125" s="128">
        <v>10</v>
      </c>
      <c r="ES125" s="128">
        <v>4683000</v>
      </c>
      <c r="ET125" s="128">
        <v>3683000</v>
      </c>
      <c r="FO125" s="128">
        <v>1</v>
      </c>
      <c r="FP125" s="128">
        <v>0.8</v>
      </c>
      <c r="FQ125" s="128">
        <v>1</v>
      </c>
      <c r="FR125" s="128">
        <v>562000</v>
      </c>
      <c r="FS125" s="128">
        <v>0</v>
      </c>
      <c r="IN125" s="128">
        <v>1</v>
      </c>
      <c r="IO125" s="128">
        <v>300</v>
      </c>
      <c r="IP125" s="128">
        <v>0.14299999999999999</v>
      </c>
      <c r="IQ125" s="128">
        <v>45000</v>
      </c>
      <c r="IR125" s="128">
        <v>45000</v>
      </c>
      <c r="KG125" s="128">
        <v>0</v>
      </c>
      <c r="KI125" s="128">
        <v>11.7</v>
      </c>
      <c r="KJ125" s="128">
        <v>0</v>
      </c>
      <c r="KK125" s="128">
        <v>0.14299999999999999</v>
      </c>
      <c r="KL125" s="128">
        <v>0</v>
      </c>
      <c r="KM125" s="128">
        <v>11.843</v>
      </c>
      <c r="KN125" s="128">
        <v>6329000</v>
      </c>
      <c r="KO125" s="128">
        <v>4767000</v>
      </c>
      <c r="KP125" s="128">
        <v>4767000</v>
      </c>
      <c r="KT125" s="128">
        <v>0</v>
      </c>
      <c r="KU125" s="128">
        <v>0</v>
      </c>
      <c r="KV125" s="128">
        <v>0</v>
      </c>
      <c r="KZ125" s="128">
        <v>45000</v>
      </c>
      <c r="LA125" s="128">
        <v>45000</v>
      </c>
      <c r="LB125" s="128">
        <v>45000</v>
      </c>
      <c r="LF125" s="128">
        <v>25000</v>
      </c>
      <c r="LG125" s="128">
        <v>0</v>
      </c>
      <c r="LH125" s="128">
        <v>0</v>
      </c>
      <c r="LL125" s="128">
        <v>0</v>
      </c>
      <c r="LM125" s="128">
        <v>0</v>
      </c>
      <c r="LN125" s="128">
        <v>0</v>
      </c>
      <c r="LR125" s="128">
        <v>100000</v>
      </c>
      <c r="LS125" s="128">
        <v>0</v>
      </c>
      <c r="LT125" s="128">
        <v>0</v>
      </c>
      <c r="LX125" s="128">
        <v>4000</v>
      </c>
      <c r="LY125" s="128">
        <v>0</v>
      </c>
      <c r="LZ125" s="128">
        <v>0</v>
      </c>
      <c r="MD125" s="128">
        <v>60000</v>
      </c>
      <c r="ME125" s="128">
        <v>0</v>
      </c>
      <c r="MF125" s="128">
        <v>0</v>
      </c>
      <c r="MJ125" s="128">
        <v>130000</v>
      </c>
      <c r="MK125" s="128">
        <v>0</v>
      </c>
      <c r="ML125" s="128">
        <v>0</v>
      </c>
      <c r="MP125" s="128">
        <v>30000</v>
      </c>
      <c r="MQ125" s="128">
        <v>0</v>
      </c>
      <c r="MR125" s="128">
        <v>0</v>
      </c>
      <c r="MV125" s="128">
        <v>350000</v>
      </c>
      <c r="MW125" s="128">
        <v>0</v>
      </c>
      <c r="MX125" s="128">
        <v>0</v>
      </c>
      <c r="NB125" s="128">
        <v>21000</v>
      </c>
      <c r="NC125" s="128">
        <v>0</v>
      </c>
      <c r="ND125" s="128">
        <v>0</v>
      </c>
      <c r="NH125" s="128">
        <v>0</v>
      </c>
      <c r="NI125" s="128">
        <v>0</v>
      </c>
      <c r="NJ125" s="128">
        <v>0</v>
      </c>
      <c r="NN125" s="128">
        <v>0</v>
      </c>
      <c r="NO125" s="128">
        <v>0</v>
      </c>
      <c r="NP125" s="128">
        <v>0</v>
      </c>
      <c r="NT125" s="128">
        <v>35000</v>
      </c>
      <c r="NU125" s="128">
        <v>0</v>
      </c>
      <c r="NV125" s="128">
        <v>0</v>
      </c>
      <c r="NZ125" s="128">
        <v>100000</v>
      </c>
      <c r="OA125" s="128">
        <v>0</v>
      </c>
      <c r="OB125" s="128">
        <v>0</v>
      </c>
      <c r="OF125" s="128">
        <v>5000</v>
      </c>
      <c r="OG125" s="128">
        <v>0</v>
      </c>
      <c r="OH125" s="128">
        <v>0</v>
      </c>
      <c r="OL125" s="128">
        <v>0</v>
      </c>
      <c r="OM125" s="128">
        <v>0</v>
      </c>
      <c r="ON125" s="128">
        <v>0</v>
      </c>
      <c r="OR125" s="128">
        <v>0</v>
      </c>
      <c r="OS125" s="128">
        <v>0</v>
      </c>
      <c r="OT125" s="128">
        <v>0</v>
      </c>
      <c r="OX125" s="128">
        <v>230000</v>
      </c>
      <c r="OY125" s="128">
        <v>0</v>
      </c>
      <c r="OZ125" s="128">
        <v>0</v>
      </c>
      <c r="PD125" s="128">
        <v>0</v>
      </c>
      <c r="PE125" s="128">
        <v>0</v>
      </c>
      <c r="PF125" s="128">
        <v>0</v>
      </c>
      <c r="PJ125" s="128">
        <v>23000</v>
      </c>
      <c r="PK125" s="128">
        <v>0</v>
      </c>
      <c r="PL125" s="128">
        <v>0</v>
      </c>
      <c r="PP125" s="128">
        <v>7487000</v>
      </c>
      <c r="PQ125" s="128">
        <v>4812000</v>
      </c>
      <c r="PR125" s="128">
        <v>4812000</v>
      </c>
      <c r="PS125" s="128">
        <v>100</v>
      </c>
      <c r="PT125" s="128">
        <v>100</v>
      </c>
      <c r="PV125" s="128">
        <v>4556621</v>
      </c>
      <c r="PX125" s="128">
        <v>3007800</v>
      </c>
      <c r="PY125" s="128">
        <v>2948610</v>
      </c>
      <c r="PZ125" s="128">
        <v>4812000</v>
      </c>
      <c r="QA125" s="128">
        <v>0</v>
      </c>
      <c r="QB125" s="128">
        <v>0</v>
      </c>
      <c r="QC125" s="128">
        <v>0</v>
      </c>
      <c r="QD125" s="128">
        <v>1976289</v>
      </c>
      <c r="QE125" s="128">
        <v>2988392</v>
      </c>
      <c r="QF125" s="128">
        <v>1295000</v>
      </c>
      <c r="QG125" s="128">
        <v>0</v>
      </c>
      <c r="QH125" s="128">
        <v>0</v>
      </c>
      <c r="QI125" s="128">
        <v>0</v>
      </c>
      <c r="QJ125" s="128">
        <v>1146581</v>
      </c>
      <c r="QK125" s="128">
        <v>1000000</v>
      </c>
      <c r="QL125" s="128">
        <v>1200000</v>
      </c>
      <c r="QN125" s="128">
        <v>0</v>
      </c>
      <c r="QO125" s="128">
        <v>0</v>
      </c>
      <c r="QP125" s="128">
        <v>0</v>
      </c>
      <c r="QR125" s="128">
        <v>168675</v>
      </c>
      <c r="QS125" s="128">
        <v>0</v>
      </c>
      <c r="QT125" s="128">
        <v>0</v>
      </c>
      <c r="RD125" s="128">
        <v>135602</v>
      </c>
      <c r="RE125" s="128">
        <v>262998</v>
      </c>
      <c r="RF125" s="128">
        <v>180000</v>
      </c>
      <c r="RH125" s="128">
        <f t="shared" si="209"/>
        <v>6287000</v>
      </c>
      <c r="RI125" s="128">
        <v>0</v>
      </c>
      <c r="RM125" s="128" t="s">
        <v>220</v>
      </c>
      <c r="RU125" s="130"/>
      <c r="RV125" s="130"/>
      <c r="RW125" s="130"/>
      <c r="RX125" s="130"/>
      <c r="SF125" s="128">
        <f t="shared" si="119"/>
        <v>1172890</v>
      </c>
      <c r="SG125" s="131">
        <f t="shared" si="120"/>
        <v>7487000</v>
      </c>
      <c r="SH125" s="131">
        <f t="shared" si="121"/>
        <v>7487000</v>
      </c>
      <c r="SI125" s="131">
        <f t="shared" si="122"/>
        <v>6399000</v>
      </c>
      <c r="SJ125" s="132">
        <f t="shared" si="123"/>
        <v>6329000</v>
      </c>
      <c r="SK125" s="132">
        <f t="shared" si="124"/>
        <v>0</v>
      </c>
      <c r="SL125" s="132">
        <f t="shared" si="125"/>
        <v>45000</v>
      </c>
      <c r="SM125" s="132">
        <f t="shared" si="126"/>
        <v>25000</v>
      </c>
      <c r="SN125" s="131">
        <f t="shared" si="127"/>
        <v>1088000</v>
      </c>
      <c r="SO125" s="131">
        <f t="shared" si="128"/>
        <v>100000</v>
      </c>
      <c r="SP125" s="132">
        <f t="shared" si="129"/>
        <v>0</v>
      </c>
      <c r="SQ125" s="132">
        <f t="shared" si="130"/>
        <v>100000</v>
      </c>
      <c r="SR125" s="132">
        <f t="shared" si="131"/>
        <v>4000</v>
      </c>
      <c r="SS125" s="132">
        <f t="shared" si="132"/>
        <v>60000</v>
      </c>
      <c r="ST125" s="132">
        <f t="shared" si="133"/>
        <v>130000</v>
      </c>
      <c r="SU125" s="132">
        <f t="shared" si="134"/>
        <v>30000</v>
      </c>
      <c r="SV125" s="131">
        <f t="shared" si="135"/>
        <v>741000</v>
      </c>
      <c r="SW125" s="132">
        <f t="shared" si="136"/>
        <v>350000</v>
      </c>
      <c r="SX125" s="132">
        <f t="shared" si="137"/>
        <v>21000</v>
      </c>
      <c r="SY125" s="132">
        <f t="shared" si="138"/>
        <v>0</v>
      </c>
      <c r="SZ125" s="132">
        <f t="shared" si="139"/>
        <v>0</v>
      </c>
      <c r="TA125" s="132">
        <f t="shared" si="140"/>
        <v>35000</v>
      </c>
      <c r="TB125" s="132">
        <f t="shared" si="141"/>
        <v>100000</v>
      </c>
      <c r="TC125" s="132">
        <f t="shared" si="142"/>
        <v>5000</v>
      </c>
      <c r="TD125" s="132">
        <f t="shared" si="143"/>
        <v>0</v>
      </c>
      <c r="TE125" s="132">
        <f t="shared" si="144"/>
        <v>0</v>
      </c>
      <c r="TF125" s="132">
        <f t="shared" si="145"/>
        <v>230000</v>
      </c>
      <c r="TG125" s="132">
        <f t="shared" si="146"/>
        <v>0</v>
      </c>
      <c r="TH125" s="132">
        <f t="shared" si="147"/>
        <v>23000</v>
      </c>
      <c r="TI125" s="1"/>
      <c r="TJ125" s="131">
        <f t="shared" si="148"/>
        <v>4812000</v>
      </c>
      <c r="TK125" s="131">
        <f t="shared" si="149"/>
        <v>4812000</v>
      </c>
      <c r="TL125" s="131">
        <f t="shared" si="150"/>
        <v>4812000</v>
      </c>
      <c r="TM125" s="132">
        <f t="shared" si="151"/>
        <v>4767000</v>
      </c>
      <c r="TN125" s="132">
        <f t="shared" si="152"/>
        <v>0</v>
      </c>
      <c r="TO125" s="132">
        <f t="shared" si="153"/>
        <v>45000</v>
      </c>
      <c r="TP125" s="132">
        <f t="shared" si="154"/>
        <v>0</v>
      </c>
      <c r="TQ125" s="131">
        <f t="shared" si="155"/>
        <v>0</v>
      </c>
      <c r="TR125" s="131">
        <f t="shared" si="156"/>
        <v>0</v>
      </c>
      <c r="TS125" s="132">
        <f t="shared" si="157"/>
        <v>0</v>
      </c>
      <c r="TT125" s="132">
        <f t="shared" si="158"/>
        <v>0</v>
      </c>
      <c r="TU125" s="132">
        <f t="shared" si="159"/>
        <v>0</v>
      </c>
      <c r="TV125" s="132">
        <f t="shared" si="160"/>
        <v>0</v>
      </c>
      <c r="TW125" s="132">
        <f t="shared" si="161"/>
        <v>0</v>
      </c>
      <c r="TX125" s="132">
        <f t="shared" si="162"/>
        <v>0</v>
      </c>
      <c r="TY125" s="131">
        <f t="shared" si="163"/>
        <v>0</v>
      </c>
      <c r="TZ125" s="132">
        <f t="shared" si="164"/>
        <v>0</v>
      </c>
      <c r="UA125" s="132">
        <f t="shared" si="165"/>
        <v>0</v>
      </c>
      <c r="UB125" s="132">
        <f t="shared" si="166"/>
        <v>0</v>
      </c>
      <c r="UC125" s="132">
        <f t="shared" si="167"/>
        <v>0</v>
      </c>
      <c r="UD125" s="132">
        <f t="shared" si="168"/>
        <v>0</v>
      </c>
      <c r="UE125" s="132">
        <f t="shared" si="169"/>
        <v>0</v>
      </c>
      <c r="UF125" s="132">
        <f t="shared" si="170"/>
        <v>0</v>
      </c>
      <c r="UG125" s="132">
        <f t="shared" si="171"/>
        <v>0</v>
      </c>
      <c r="UH125" s="132">
        <f t="shared" si="172"/>
        <v>0</v>
      </c>
      <c r="UI125" s="132">
        <f t="shared" si="173"/>
        <v>0</v>
      </c>
      <c r="UJ125" s="132">
        <f t="shared" si="174"/>
        <v>0</v>
      </c>
      <c r="UK125" s="132">
        <f t="shared" si="175"/>
        <v>0</v>
      </c>
      <c r="UL125" s="132">
        <f t="shared" si="210"/>
        <v>4812000</v>
      </c>
      <c r="UM125" s="131">
        <f t="shared" si="176"/>
        <v>4812000</v>
      </c>
      <c r="UN125" s="131">
        <f t="shared" si="177"/>
        <v>4812000</v>
      </c>
      <c r="UO125" s="131">
        <f t="shared" si="178"/>
        <v>4812000</v>
      </c>
      <c r="UP125" s="132">
        <f t="shared" si="179"/>
        <v>4767000</v>
      </c>
      <c r="UQ125" s="132">
        <f t="shared" si="180"/>
        <v>0</v>
      </c>
      <c r="UR125" s="132">
        <f t="shared" si="181"/>
        <v>45000</v>
      </c>
      <c r="US125" s="132">
        <f t="shared" si="182"/>
        <v>0</v>
      </c>
      <c r="UT125" s="131">
        <f t="shared" si="183"/>
        <v>0</v>
      </c>
      <c r="UU125" s="131">
        <f t="shared" si="184"/>
        <v>0</v>
      </c>
      <c r="UV125" s="132">
        <f t="shared" si="185"/>
        <v>0</v>
      </c>
      <c r="UW125" s="132">
        <f t="shared" si="186"/>
        <v>0</v>
      </c>
      <c r="UX125" s="132">
        <f t="shared" si="187"/>
        <v>0</v>
      </c>
      <c r="UY125" s="132">
        <f t="shared" si="188"/>
        <v>0</v>
      </c>
      <c r="UZ125" s="132">
        <f t="shared" si="189"/>
        <v>0</v>
      </c>
      <c r="VA125" s="132">
        <f t="shared" si="190"/>
        <v>0</v>
      </c>
      <c r="VB125" s="131">
        <f t="shared" si="191"/>
        <v>0</v>
      </c>
      <c r="VC125" s="132">
        <f t="shared" si="192"/>
        <v>0</v>
      </c>
      <c r="VD125" s="132">
        <f t="shared" si="193"/>
        <v>0</v>
      </c>
      <c r="VE125" s="132">
        <f t="shared" si="194"/>
        <v>0</v>
      </c>
      <c r="VF125" s="132">
        <f t="shared" si="195"/>
        <v>0</v>
      </c>
      <c r="VG125" s="132">
        <f t="shared" si="196"/>
        <v>0</v>
      </c>
      <c r="VH125" s="132">
        <f t="shared" si="197"/>
        <v>0</v>
      </c>
      <c r="VI125" s="132">
        <f t="shared" si="198"/>
        <v>0</v>
      </c>
      <c r="VJ125" s="132">
        <f t="shared" si="199"/>
        <v>0</v>
      </c>
      <c r="VK125" s="132">
        <f t="shared" si="200"/>
        <v>0</v>
      </c>
      <c r="VL125" s="132">
        <f t="shared" si="201"/>
        <v>0</v>
      </c>
      <c r="VM125" s="132">
        <f t="shared" si="202"/>
        <v>0</v>
      </c>
      <c r="VN125" s="132">
        <f t="shared" si="203"/>
        <v>0</v>
      </c>
      <c r="VP125" s="845" t="str">
        <f>IFERROR(HLOOKUP(F125,'Hodnocení '!$C$1:$JH$5,2,FALSE),0)</f>
        <v>Pečovatelská služba Kostelec nad Orlicí</v>
      </c>
      <c r="VQ125" s="838"/>
      <c r="VR125" s="845" t="str">
        <f t="shared" si="211"/>
        <v>Obec</v>
      </c>
      <c r="VS125" s="845" t="str">
        <f>IFERROR(HLOOKUP(F125,'Hodnocení '!$C$1:$JH$5,5,FALSE),0)</f>
        <v>Obce</v>
      </c>
      <c r="VT125" s="838" t="str">
        <f t="shared" si="212"/>
        <v>Obec</v>
      </c>
      <c r="VU125" s="838">
        <f t="shared" si="213"/>
        <v>0</v>
      </c>
      <c r="VV125" s="838">
        <f t="shared" si="214"/>
        <v>1200000</v>
      </c>
      <c r="VW125" s="838">
        <f t="shared" si="215"/>
        <v>0</v>
      </c>
      <c r="VX125" s="838"/>
      <c r="VY125" s="838">
        <f t="shared" si="216"/>
        <v>0</v>
      </c>
      <c r="VZ125" s="838">
        <f t="shared" si="217"/>
        <v>4812000</v>
      </c>
      <c r="WA125" s="846">
        <f>IFERROR(HLOOKUP($F125,'Hodnocení '!$C$1:$JH$9,9,FALSE),0)</f>
        <v>4812000</v>
      </c>
      <c r="WB125" s="846">
        <f>IF(IFERROR(HLOOKUP($F125,'Hodnocení '!$C$1:$JH$13,13,FALSE),0)&gt;WA125,WA125,IFERROR(HLOOKUP($F125,'Hodnocení '!$C$1:$JH$13,13,FALSE),0))</f>
        <v>4812000</v>
      </c>
      <c r="WC125" s="846">
        <f>IFERROR(HLOOKUP($F125,'Hodnocení '!$C$1:$JH$155,155,FALSE),0)</f>
        <v>3255890</v>
      </c>
      <c r="WD125" s="845"/>
      <c r="WE125" s="845"/>
      <c r="WF125" s="845" t="str">
        <f t="shared" si="204"/>
        <v>ANO</v>
      </c>
      <c r="WG125" s="849" t="str">
        <f t="shared" si="218"/>
        <v>Podpora služby je vyjádřena zařazením do sítě sociálních služeb v KHK a řešením financování služby</v>
      </c>
      <c r="WH125"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25" s="849" t="str">
        <f t="shared" si="218"/>
        <v>Návrh dotace je výsledkem projednání s ostatními zadavateli v rámci sítě služeb KHK</v>
      </c>
      <c r="WJ125" s="849" t="str">
        <f t="shared" si="218"/>
        <v>Bez komentáře</v>
      </c>
      <c r="WK125" s="31">
        <f t="shared" si="205"/>
        <v>0</v>
      </c>
      <c r="WL125" s="850">
        <f t="shared" si="206"/>
        <v>0</v>
      </c>
      <c r="WM125" s="849" t="str">
        <f t="shared" si="207"/>
        <v>V rámci sítě KHK se dlouhodobě řeší otázka navyšování úhrad a průběžně se monitoruje s vazbou na vykrytí vyrovnávací platby</v>
      </c>
      <c r="WN125" s="849">
        <f t="shared" si="208"/>
        <v>0</v>
      </c>
      <c r="WO125" s="849" t="str">
        <f t="shared" si="219"/>
        <v>bez komentáře</v>
      </c>
      <c r="WP125" s="849" t="str">
        <f t="shared" si="219"/>
        <v>bez komentáře</v>
      </c>
      <c r="WQ125" s="849" t="str">
        <f t="shared" si="219"/>
        <v>Konečná výše dotace z rozpočtu KHK bude řešena v návaznosti na řešení podílů jednotlivých zadavatelů.</v>
      </c>
      <c r="WR125" s="849" t="str">
        <f t="shared" si="219"/>
        <v>Konečná výše podpory ze stran obcí bude řešena v součinnosti s jednotlivými zadavateli v průběhu roku.</v>
      </c>
      <c r="WS125" s="849" t="str">
        <f t="shared" si="219"/>
        <v>bez komentáře</v>
      </c>
      <c r="WT125" s="849" t="str">
        <f t="shared" si="219"/>
        <v>bez komentáře</v>
      </c>
      <c r="WU125" s="845"/>
    </row>
    <row r="126" spans="1:619" s="128" customFormat="1" x14ac:dyDescent="0.25">
      <c r="A126" s="128" t="str">
        <f>VLOOKUP(F126,'Výpočet VP 2020'!$D$324:$I$588,6,FALSE)</f>
        <v>Je v síti</v>
      </c>
      <c r="B126" s="128" t="s">
        <v>618</v>
      </c>
      <c r="C126" s="128">
        <v>274968</v>
      </c>
      <c r="D126" s="128" t="s">
        <v>619</v>
      </c>
      <c r="E126" s="128" t="s">
        <v>604</v>
      </c>
      <c r="F126" s="128">
        <v>4531517</v>
      </c>
      <c r="G126" s="128" t="s">
        <v>286</v>
      </c>
      <c r="H126" s="128" t="s">
        <v>218</v>
      </c>
      <c r="I126" s="128" t="s">
        <v>623</v>
      </c>
      <c r="J126" s="129">
        <v>39814</v>
      </c>
      <c r="L126" s="128" t="s">
        <v>220</v>
      </c>
      <c r="X126" s="128" t="s">
        <v>624</v>
      </c>
      <c r="Z126" s="128">
        <v>9</v>
      </c>
      <c r="AA126" s="128">
        <v>9</v>
      </c>
      <c r="AB126" s="128">
        <v>11</v>
      </c>
      <c r="AC126" s="128">
        <v>10</v>
      </c>
      <c r="AD126" s="128">
        <v>10</v>
      </c>
      <c r="AN126" s="128">
        <v>1530</v>
      </c>
      <c r="BL126" s="128" t="s">
        <v>625</v>
      </c>
      <c r="BM126" s="128" t="s">
        <v>325</v>
      </c>
      <c r="BN126" s="128" t="s">
        <v>364</v>
      </c>
      <c r="BO126" s="128">
        <v>0</v>
      </c>
      <c r="BP126" s="128">
        <v>0</v>
      </c>
      <c r="BQ126" s="128">
        <v>0</v>
      </c>
      <c r="BR126" s="128">
        <v>0</v>
      </c>
      <c r="BS126" s="128">
        <v>0</v>
      </c>
      <c r="BT126" s="128">
        <v>3</v>
      </c>
      <c r="BU126" s="128">
        <v>1</v>
      </c>
      <c r="BV126" s="128">
        <v>1</v>
      </c>
      <c r="BW126" s="128">
        <v>0</v>
      </c>
      <c r="BX126" s="128">
        <v>4</v>
      </c>
      <c r="BY126" s="128">
        <v>3</v>
      </c>
      <c r="BZ126" s="128">
        <v>1</v>
      </c>
      <c r="CA126" s="128">
        <v>1</v>
      </c>
      <c r="CB126" s="128">
        <v>0</v>
      </c>
      <c r="CC126" s="128">
        <v>4</v>
      </c>
      <c r="CD126" s="128">
        <v>0</v>
      </c>
      <c r="CE126" s="128">
        <v>9</v>
      </c>
      <c r="CF126" s="128">
        <v>9</v>
      </c>
      <c r="CH126" s="128">
        <v>0</v>
      </c>
      <c r="CI126" s="128">
        <v>0</v>
      </c>
      <c r="CJ126" s="128">
        <v>0</v>
      </c>
      <c r="CK126" s="128">
        <v>0</v>
      </c>
      <c r="CL126" s="128">
        <v>0</v>
      </c>
      <c r="CM126" s="128">
        <v>5</v>
      </c>
      <c r="CN126" s="128">
        <v>4</v>
      </c>
      <c r="CO126" s="128">
        <v>1</v>
      </c>
      <c r="CP126" s="128">
        <v>0</v>
      </c>
      <c r="CQ126" s="128">
        <v>0</v>
      </c>
      <c r="CR126" s="128">
        <v>5</v>
      </c>
      <c r="CS126" s="128">
        <v>4</v>
      </c>
      <c r="CT126" s="128">
        <v>1</v>
      </c>
      <c r="CU126" s="128">
        <v>0</v>
      </c>
      <c r="CV126" s="128">
        <v>0</v>
      </c>
      <c r="CW126" s="128">
        <v>0</v>
      </c>
      <c r="CX126" s="128">
        <v>10</v>
      </c>
      <c r="CY126" s="128">
        <v>10</v>
      </c>
      <c r="EK126" s="128">
        <v>1</v>
      </c>
      <c r="EL126" s="128">
        <v>0.3</v>
      </c>
      <c r="EM126" s="128">
        <v>0.3</v>
      </c>
      <c r="EN126" s="128">
        <v>181000</v>
      </c>
      <c r="EO126" s="128">
        <v>181000</v>
      </c>
      <c r="EP126" s="128">
        <v>1</v>
      </c>
      <c r="EQ126" s="128">
        <v>1</v>
      </c>
      <c r="ER126" s="128">
        <v>1</v>
      </c>
      <c r="ES126" s="128">
        <v>371000</v>
      </c>
      <c r="ET126" s="128">
        <v>371000</v>
      </c>
      <c r="FO126" s="128">
        <v>1</v>
      </c>
      <c r="FP126" s="128">
        <v>0.2</v>
      </c>
      <c r="FQ126" s="128">
        <v>0.2</v>
      </c>
      <c r="FR126" s="128">
        <v>134000</v>
      </c>
      <c r="FS126" s="128">
        <v>0</v>
      </c>
      <c r="KG126" s="128">
        <v>0</v>
      </c>
      <c r="KI126" s="128">
        <v>1.3</v>
      </c>
      <c r="KJ126" s="128">
        <v>0</v>
      </c>
      <c r="KK126" s="128">
        <v>0</v>
      </c>
      <c r="KL126" s="128">
        <v>0</v>
      </c>
      <c r="KM126" s="128">
        <v>1.3</v>
      </c>
      <c r="KN126" s="128">
        <v>686000</v>
      </c>
      <c r="KO126" s="128">
        <v>552000</v>
      </c>
      <c r="KP126" s="128">
        <v>552000</v>
      </c>
      <c r="KT126" s="128">
        <v>0</v>
      </c>
      <c r="KU126" s="128">
        <v>0</v>
      </c>
      <c r="KV126" s="128">
        <v>0</v>
      </c>
      <c r="KZ126" s="128">
        <v>0</v>
      </c>
      <c r="LA126" s="128">
        <v>0</v>
      </c>
      <c r="LB126" s="128">
        <v>0</v>
      </c>
      <c r="LF126" s="128">
        <v>10000</v>
      </c>
      <c r="LG126" s="128">
        <v>0</v>
      </c>
      <c r="LH126" s="128">
        <v>0</v>
      </c>
      <c r="LL126" s="128">
        <v>0</v>
      </c>
      <c r="LM126" s="128">
        <v>0</v>
      </c>
      <c r="LN126" s="128">
        <v>0</v>
      </c>
      <c r="LR126" s="128">
        <v>10000</v>
      </c>
      <c r="LS126" s="128">
        <v>0</v>
      </c>
      <c r="LT126" s="128">
        <v>0</v>
      </c>
      <c r="LX126" s="128">
        <v>500</v>
      </c>
      <c r="LY126" s="128">
        <v>0</v>
      </c>
      <c r="LZ126" s="128">
        <v>0</v>
      </c>
      <c r="MD126" s="128">
        <v>15000</v>
      </c>
      <c r="ME126" s="128">
        <v>0</v>
      </c>
      <c r="MF126" s="128">
        <v>0</v>
      </c>
      <c r="MJ126" s="128">
        <v>5000</v>
      </c>
      <c r="MK126" s="128">
        <v>0</v>
      </c>
      <c r="ML126" s="128">
        <v>0</v>
      </c>
      <c r="MP126" s="128">
        <v>2500</v>
      </c>
      <c r="MQ126" s="128">
        <v>0</v>
      </c>
      <c r="MR126" s="128">
        <v>0</v>
      </c>
      <c r="MV126" s="128">
        <v>60000</v>
      </c>
      <c r="MW126" s="128">
        <v>0</v>
      </c>
      <c r="MX126" s="128">
        <v>0</v>
      </c>
      <c r="NB126" s="128">
        <v>2000</v>
      </c>
      <c r="NC126" s="128">
        <v>0</v>
      </c>
      <c r="ND126" s="128">
        <v>0</v>
      </c>
      <c r="NH126" s="128">
        <v>0</v>
      </c>
      <c r="NI126" s="128">
        <v>0</v>
      </c>
      <c r="NJ126" s="128">
        <v>0</v>
      </c>
      <c r="NN126" s="128">
        <v>0</v>
      </c>
      <c r="NO126" s="128">
        <v>0</v>
      </c>
      <c r="NP126" s="128">
        <v>0</v>
      </c>
      <c r="NT126" s="128">
        <v>5000</v>
      </c>
      <c r="NU126" s="128">
        <v>0</v>
      </c>
      <c r="NV126" s="128">
        <v>0</v>
      </c>
      <c r="NZ126" s="128">
        <v>5000</v>
      </c>
      <c r="OA126" s="128">
        <v>0</v>
      </c>
      <c r="OB126" s="128">
        <v>0</v>
      </c>
      <c r="OF126" s="128">
        <v>2000</v>
      </c>
      <c r="OG126" s="128">
        <v>0</v>
      </c>
      <c r="OH126" s="128">
        <v>0</v>
      </c>
      <c r="OL126" s="128">
        <v>0</v>
      </c>
      <c r="OM126" s="128">
        <v>0</v>
      </c>
      <c r="ON126" s="128">
        <v>0</v>
      </c>
      <c r="OR126" s="128">
        <v>0</v>
      </c>
      <c r="OS126" s="128">
        <v>0</v>
      </c>
      <c r="OT126" s="128">
        <v>0</v>
      </c>
      <c r="OX126" s="128">
        <v>12000</v>
      </c>
      <c r="OY126" s="128">
        <v>0</v>
      </c>
      <c r="OZ126" s="128">
        <v>0</v>
      </c>
      <c r="PD126" s="128">
        <v>0</v>
      </c>
      <c r="PE126" s="128">
        <v>0</v>
      </c>
      <c r="PF126" s="128">
        <v>0</v>
      </c>
      <c r="PJ126" s="128">
        <v>3000</v>
      </c>
      <c r="PK126" s="128">
        <v>0</v>
      </c>
      <c r="PL126" s="128">
        <v>0</v>
      </c>
      <c r="PP126" s="128">
        <v>818000</v>
      </c>
      <c r="PQ126" s="128">
        <v>552000</v>
      </c>
      <c r="PR126" s="128">
        <v>552000</v>
      </c>
      <c r="PS126" s="128">
        <v>100</v>
      </c>
      <c r="PT126" s="128">
        <v>100</v>
      </c>
      <c r="PV126" s="128">
        <v>579229</v>
      </c>
      <c r="PX126" s="128">
        <v>401020</v>
      </c>
      <c r="PY126" s="128">
        <v>334180</v>
      </c>
      <c r="PZ126" s="128">
        <v>552000</v>
      </c>
      <c r="QA126" s="128">
        <v>0</v>
      </c>
      <c r="QB126" s="128">
        <v>0</v>
      </c>
      <c r="QC126" s="128">
        <v>0</v>
      </c>
      <c r="QD126" s="128">
        <v>229731</v>
      </c>
      <c r="QE126" s="128">
        <v>121820</v>
      </c>
      <c r="QF126" s="128">
        <v>166000</v>
      </c>
      <c r="QG126" s="128">
        <v>0</v>
      </c>
      <c r="QH126" s="128">
        <v>0</v>
      </c>
      <c r="QI126" s="128">
        <v>0</v>
      </c>
      <c r="QJ126" s="128">
        <v>93688</v>
      </c>
      <c r="QK126" s="128">
        <v>100000</v>
      </c>
      <c r="QL126" s="128">
        <v>100000</v>
      </c>
      <c r="QN126" s="128">
        <v>0</v>
      </c>
      <c r="QO126" s="128">
        <v>0</v>
      </c>
      <c r="QP126" s="128">
        <v>0</v>
      </c>
      <c r="RH126" s="128">
        <f t="shared" si="209"/>
        <v>718000</v>
      </c>
      <c r="RI126" s="128">
        <v>0</v>
      </c>
      <c r="RM126" s="128" t="s">
        <v>220</v>
      </c>
      <c r="RU126" s="130"/>
      <c r="RV126" s="130"/>
      <c r="RW126" s="130"/>
      <c r="RX126" s="130"/>
      <c r="SF126" s="128">
        <f t="shared" si="119"/>
        <v>4531517</v>
      </c>
      <c r="SG126" s="131">
        <f t="shared" si="120"/>
        <v>818000</v>
      </c>
      <c r="SH126" s="131">
        <f t="shared" si="121"/>
        <v>818000</v>
      </c>
      <c r="SI126" s="131">
        <f t="shared" si="122"/>
        <v>696000</v>
      </c>
      <c r="SJ126" s="132">
        <f t="shared" si="123"/>
        <v>686000</v>
      </c>
      <c r="SK126" s="132">
        <f t="shared" si="124"/>
        <v>0</v>
      </c>
      <c r="SL126" s="132">
        <f t="shared" si="125"/>
        <v>0</v>
      </c>
      <c r="SM126" s="132">
        <f t="shared" si="126"/>
        <v>10000</v>
      </c>
      <c r="SN126" s="131">
        <f t="shared" si="127"/>
        <v>122000</v>
      </c>
      <c r="SO126" s="131">
        <f t="shared" si="128"/>
        <v>10000</v>
      </c>
      <c r="SP126" s="132">
        <f t="shared" si="129"/>
        <v>0</v>
      </c>
      <c r="SQ126" s="132">
        <f t="shared" si="130"/>
        <v>10000</v>
      </c>
      <c r="SR126" s="132">
        <f t="shared" si="131"/>
        <v>500</v>
      </c>
      <c r="SS126" s="132">
        <f t="shared" si="132"/>
        <v>15000</v>
      </c>
      <c r="ST126" s="132">
        <f t="shared" si="133"/>
        <v>5000</v>
      </c>
      <c r="SU126" s="132">
        <f t="shared" si="134"/>
        <v>2500</v>
      </c>
      <c r="SV126" s="131">
        <f t="shared" si="135"/>
        <v>86000</v>
      </c>
      <c r="SW126" s="132">
        <f t="shared" si="136"/>
        <v>60000</v>
      </c>
      <c r="SX126" s="132">
        <f t="shared" si="137"/>
        <v>2000</v>
      </c>
      <c r="SY126" s="132">
        <f t="shared" si="138"/>
        <v>0</v>
      </c>
      <c r="SZ126" s="132">
        <f t="shared" si="139"/>
        <v>0</v>
      </c>
      <c r="TA126" s="132">
        <f t="shared" si="140"/>
        <v>5000</v>
      </c>
      <c r="TB126" s="132">
        <f t="shared" si="141"/>
        <v>5000</v>
      </c>
      <c r="TC126" s="132">
        <f t="shared" si="142"/>
        <v>2000</v>
      </c>
      <c r="TD126" s="132">
        <f t="shared" si="143"/>
        <v>0</v>
      </c>
      <c r="TE126" s="132">
        <f t="shared" si="144"/>
        <v>0</v>
      </c>
      <c r="TF126" s="132">
        <f t="shared" si="145"/>
        <v>12000</v>
      </c>
      <c r="TG126" s="132">
        <f t="shared" si="146"/>
        <v>0</v>
      </c>
      <c r="TH126" s="132">
        <f t="shared" si="147"/>
        <v>3000</v>
      </c>
      <c r="TI126" s="1"/>
      <c r="TJ126" s="131">
        <f t="shared" si="148"/>
        <v>552000</v>
      </c>
      <c r="TK126" s="131">
        <f t="shared" si="149"/>
        <v>552000</v>
      </c>
      <c r="TL126" s="131">
        <f t="shared" si="150"/>
        <v>552000</v>
      </c>
      <c r="TM126" s="132">
        <f t="shared" si="151"/>
        <v>552000</v>
      </c>
      <c r="TN126" s="132">
        <f t="shared" si="152"/>
        <v>0</v>
      </c>
      <c r="TO126" s="132">
        <f t="shared" si="153"/>
        <v>0</v>
      </c>
      <c r="TP126" s="132">
        <f t="shared" si="154"/>
        <v>0</v>
      </c>
      <c r="TQ126" s="131">
        <f t="shared" si="155"/>
        <v>0</v>
      </c>
      <c r="TR126" s="131">
        <f t="shared" si="156"/>
        <v>0</v>
      </c>
      <c r="TS126" s="132">
        <f t="shared" si="157"/>
        <v>0</v>
      </c>
      <c r="TT126" s="132">
        <f t="shared" si="158"/>
        <v>0</v>
      </c>
      <c r="TU126" s="132">
        <f t="shared" si="159"/>
        <v>0</v>
      </c>
      <c r="TV126" s="132">
        <f t="shared" si="160"/>
        <v>0</v>
      </c>
      <c r="TW126" s="132">
        <f t="shared" si="161"/>
        <v>0</v>
      </c>
      <c r="TX126" s="132">
        <f t="shared" si="162"/>
        <v>0</v>
      </c>
      <c r="TY126" s="131">
        <f t="shared" si="163"/>
        <v>0</v>
      </c>
      <c r="TZ126" s="132">
        <f t="shared" si="164"/>
        <v>0</v>
      </c>
      <c r="UA126" s="132">
        <f t="shared" si="165"/>
        <v>0</v>
      </c>
      <c r="UB126" s="132">
        <f t="shared" si="166"/>
        <v>0</v>
      </c>
      <c r="UC126" s="132">
        <f t="shared" si="167"/>
        <v>0</v>
      </c>
      <c r="UD126" s="132">
        <f t="shared" si="168"/>
        <v>0</v>
      </c>
      <c r="UE126" s="132">
        <f t="shared" si="169"/>
        <v>0</v>
      </c>
      <c r="UF126" s="132">
        <f t="shared" si="170"/>
        <v>0</v>
      </c>
      <c r="UG126" s="132">
        <f t="shared" si="171"/>
        <v>0</v>
      </c>
      <c r="UH126" s="132">
        <f t="shared" si="172"/>
        <v>0</v>
      </c>
      <c r="UI126" s="132">
        <f t="shared" si="173"/>
        <v>0</v>
      </c>
      <c r="UJ126" s="132">
        <f t="shared" si="174"/>
        <v>0</v>
      </c>
      <c r="UK126" s="132">
        <f t="shared" si="175"/>
        <v>0</v>
      </c>
      <c r="UL126" s="132">
        <f t="shared" si="210"/>
        <v>552000</v>
      </c>
      <c r="UM126" s="131">
        <f t="shared" si="176"/>
        <v>552000</v>
      </c>
      <c r="UN126" s="131">
        <f t="shared" si="177"/>
        <v>552000</v>
      </c>
      <c r="UO126" s="131">
        <f t="shared" si="178"/>
        <v>552000</v>
      </c>
      <c r="UP126" s="132">
        <f t="shared" si="179"/>
        <v>552000</v>
      </c>
      <c r="UQ126" s="132">
        <f t="shared" si="180"/>
        <v>0</v>
      </c>
      <c r="UR126" s="132">
        <f t="shared" si="181"/>
        <v>0</v>
      </c>
      <c r="US126" s="132">
        <f t="shared" si="182"/>
        <v>0</v>
      </c>
      <c r="UT126" s="131">
        <f t="shared" si="183"/>
        <v>0</v>
      </c>
      <c r="UU126" s="131">
        <f t="shared" si="184"/>
        <v>0</v>
      </c>
      <c r="UV126" s="132">
        <f t="shared" si="185"/>
        <v>0</v>
      </c>
      <c r="UW126" s="132">
        <f t="shared" si="186"/>
        <v>0</v>
      </c>
      <c r="UX126" s="132">
        <f t="shared" si="187"/>
        <v>0</v>
      </c>
      <c r="UY126" s="132">
        <f t="shared" si="188"/>
        <v>0</v>
      </c>
      <c r="UZ126" s="132">
        <f t="shared" si="189"/>
        <v>0</v>
      </c>
      <c r="VA126" s="132">
        <f t="shared" si="190"/>
        <v>0</v>
      </c>
      <c r="VB126" s="131">
        <f t="shared" si="191"/>
        <v>0</v>
      </c>
      <c r="VC126" s="132">
        <f t="shared" si="192"/>
        <v>0</v>
      </c>
      <c r="VD126" s="132">
        <f t="shared" si="193"/>
        <v>0</v>
      </c>
      <c r="VE126" s="132">
        <f t="shared" si="194"/>
        <v>0</v>
      </c>
      <c r="VF126" s="132">
        <f t="shared" si="195"/>
        <v>0</v>
      </c>
      <c r="VG126" s="132">
        <f t="shared" si="196"/>
        <v>0</v>
      </c>
      <c r="VH126" s="132">
        <f t="shared" si="197"/>
        <v>0</v>
      </c>
      <c r="VI126" s="132">
        <f t="shared" si="198"/>
        <v>0</v>
      </c>
      <c r="VJ126" s="132">
        <f t="shared" si="199"/>
        <v>0</v>
      </c>
      <c r="VK126" s="132">
        <f t="shared" si="200"/>
        <v>0</v>
      </c>
      <c r="VL126" s="132">
        <f t="shared" si="201"/>
        <v>0</v>
      </c>
      <c r="VM126" s="132">
        <f t="shared" si="202"/>
        <v>0</v>
      </c>
      <c r="VN126" s="132">
        <f t="shared" si="203"/>
        <v>0</v>
      </c>
      <c r="VP126" s="845" t="str">
        <f>IFERROR(HLOOKUP(F126,'Hodnocení '!$C$1:$JH$5,2,FALSE),0)</f>
        <v>Centrum denních služeb Domovinka</v>
      </c>
      <c r="VQ126" s="838"/>
      <c r="VR126" s="845" t="str">
        <f t="shared" si="211"/>
        <v>Obec</v>
      </c>
      <c r="VS126" s="845" t="str">
        <f>IFERROR(HLOOKUP(F126,'Hodnocení '!$C$1:$JH$5,5,FALSE),0)</f>
        <v>Obce</v>
      </c>
      <c r="VT126" s="838" t="str">
        <f t="shared" si="212"/>
        <v>Obec</v>
      </c>
      <c r="VU126" s="838">
        <f t="shared" si="213"/>
        <v>0</v>
      </c>
      <c r="VV126" s="838">
        <f t="shared" si="214"/>
        <v>100000</v>
      </c>
      <c r="VW126" s="838">
        <f t="shared" si="215"/>
        <v>0</v>
      </c>
      <c r="VX126" s="838"/>
      <c r="VY126" s="838">
        <f t="shared" si="216"/>
        <v>0</v>
      </c>
      <c r="VZ126" s="838">
        <f t="shared" si="217"/>
        <v>552000</v>
      </c>
      <c r="WA126" s="846">
        <f>IFERROR(HLOOKUP($F126,'Hodnocení '!$C$1:$JH$9,9,FALSE),0)</f>
        <v>552000</v>
      </c>
      <c r="WB126" s="846">
        <f>IF(IFERROR(HLOOKUP($F126,'Hodnocení '!$C$1:$JH$13,13,FALSE),0)&gt;WA126,WA126,IFERROR(HLOOKUP($F126,'Hodnocení '!$C$1:$JH$13,13,FALSE),0))</f>
        <v>552000</v>
      </c>
      <c r="WC126" s="846">
        <f>IFERROR(HLOOKUP($F126,'Hodnocení '!$C$1:$JH$155,155,FALSE),0)</f>
        <v>465830</v>
      </c>
      <c r="WD126" s="845"/>
      <c r="WE126" s="845"/>
      <c r="WF126" s="845" t="str">
        <f t="shared" si="204"/>
        <v>ANO</v>
      </c>
      <c r="WG126" s="849" t="str">
        <f t="shared" si="218"/>
        <v>Podpora služby je vyjádřena zařazením do sítě sociálních služeb v KHK a řešením financování služby</v>
      </c>
      <c r="WH126"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26" s="849" t="str">
        <f t="shared" si="218"/>
        <v>Návrh dotace je výsledkem projednání s ostatními zadavateli v rámci sítě služeb KHK</v>
      </c>
      <c r="WJ126" s="849" t="str">
        <f t="shared" si="218"/>
        <v>Bez komentáře</v>
      </c>
      <c r="WK126" s="31">
        <f t="shared" si="205"/>
        <v>0</v>
      </c>
      <c r="WL126" s="850">
        <f t="shared" si="206"/>
        <v>0</v>
      </c>
      <c r="WM126" s="849" t="str">
        <f t="shared" si="207"/>
        <v>V rámci sítě KHK se dlouhodobě řeší otázka navyšování úhrad a průběžně se monitoruje s vazbou na vykrytí vyrovnávací platby</v>
      </c>
      <c r="WN126" s="849">
        <f t="shared" si="208"/>
        <v>0</v>
      </c>
      <c r="WO126" s="849" t="str">
        <f t="shared" si="219"/>
        <v>bez komentáře</v>
      </c>
      <c r="WP126" s="849" t="str">
        <f t="shared" si="219"/>
        <v>bez komentáře</v>
      </c>
      <c r="WQ126" s="849" t="str">
        <f t="shared" si="219"/>
        <v>Konečná výše dotace z rozpočtu KHK bude řešena v návaznosti na řešení podílů jednotlivých zadavatelů.</v>
      </c>
      <c r="WR126" s="849" t="str">
        <f t="shared" si="219"/>
        <v>Konečná výše podpory ze stran obcí bude řešena v součinnosti s jednotlivými zadavateli v průběhu roku.</v>
      </c>
      <c r="WS126" s="849" t="str">
        <f t="shared" si="219"/>
        <v>bez komentáře</v>
      </c>
      <c r="WT126" s="849" t="str">
        <f t="shared" si="219"/>
        <v>bez komentáře</v>
      </c>
      <c r="WU126" s="845"/>
    </row>
    <row r="127" spans="1:619" s="128" customFormat="1" x14ac:dyDescent="0.25">
      <c r="A127" s="128" t="str">
        <f>VLOOKUP(F127,'Výpočet VP 2020'!$D$324:$I$588,6,FALSE)</f>
        <v>Je v síti</v>
      </c>
      <c r="B127" s="128" t="s">
        <v>626</v>
      </c>
      <c r="C127" s="128">
        <v>271730</v>
      </c>
      <c r="D127" s="128" t="s">
        <v>627</v>
      </c>
      <c r="E127" s="128" t="s">
        <v>604</v>
      </c>
      <c r="F127" s="128">
        <v>7702105</v>
      </c>
      <c r="G127" s="128" t="s">
        <v>328</v>
      </c>
      <c r="H127" s="128" t="s">
        <v>218</v>
      </c>
      <c r="I127" s="128" t="s">
        <v>386</v>
      </c>
      <c r="J127" s="129">
        <v>40422</v>
      </c>
      <c r="L127" s="128" t="s">
        <v>220</v>
      </c>
      <c r="AP127" s="128" t="s">
        <v>628</v>
      </c>
      <c r="AQ127" s="128">
        <v>2</v>
      </c>
      <c r="AR127" s="128">
        <v>45</v>
      </c>
      <c r="AS127" s="128">
        <v>52</v>
      </c>
      <c r="AT127" s="128">
        <v>48</v>
      </c>
      <c r="AU127" s="128">
        <v>48</v>
      </c>
      <c r="BJ127" s="128">
        <v>3300</v>
      </c>
      <c r="BK127" s="128" t="s">
        <v>629</v>
      </c>
      <c r="BL127" s="128" t="s">
        <v>579</v>
      </c>
      <c r="BM127" s="128" t="s">
        <v>325</v>
      </c>
      <c r="BN127" s="128" t="s">
        <v>326</v>
      </c>
      <c r="BO127" s="128">
        <v>0</v>
      </c>
      <c r="BP127" s="128">
        <v>0</v>
      </c>
      <c r="BQ127" s="128">
        <v>0</v>
      </c>
      <c r="BR127" s="128">
        <v>0</v>
      </c>
      <c r="BS127" s="128">
        <v>0</v>
      </c>
      <c r="BT127" s="128">
        <v>10</v>
      </c>
      <c r="BU127" s="128">
        <v>12</v>
      </c>
      <c r="BV127" s="128">
        <v>15</v>
      </c>
      <c r="BW127" s="128">
        <v>3</v>
      </c>
      <c r="BX127" s="128">
        <v>6</v>
      </c>
      <c r="BY127" s="128">
        <v>10</v>
      </c>
      <c r="BZ127" s="128">
        <v>12</v>
      </c>
      <c r="CA127" s="128">
        <v>15</v>
      </c>
      <c r="CB127" s="128">
        <v>3</v>
      </c>
      <c r="CC127" s="128">
        <v>6</v>
      </c>
      <c r="CD127" s="128">
        <v>0</v>
      </c>
      <c r="CE127" s="128">
        <v>46</v>
      </c>
      <c r="CF127" s="128">
        <v>46</v>
      </c>
      <c r="CG127" s="128">
        <v>0</v>
      </c>
      <c r="CH127" s="128">
        <v>0</v>
      </c>
      <c r="CI127" s="128">
        <v>0</v>
      </c>
      <c r="CJ127" s="128">
        <v>0</v>
      </c>
      <c r="CK127" s="128">
        <v>0</v>
      </c>
      <c r="CL127" s="128">
        <v>0</v>
      </c>
      <c r="CM127" s="128">
        <v>8</v>
      </c>
      <c r="CN127" s="128">
        <v>16</v>
      </c>
      <c r="CO127" s="128">
        <v>18</v>
      </c>
      <c r="CP127" s="128">
        <v>5</v>
      </c>
      <c r="CQ127" s="128">
        <v>1</v>
      </c>
      <c r="CR127" s="128">
        <v>8</v>
      </c>
      <c r="CS127" s="128">
        <v>16</v>
      </c>
      <c r="CT127" s="128">
        <v>18</v>
      </c>
      <c r="CU127" s="128">
        <v>5</v>
      </c>
      <c r="CV127" s="128">
        <v>1</v>
      </c>
      <c r="CW127" s="128">
        <v>0</v>
      </c>
      <c r="CX127" s="128">
        <v>48</v>
      </c>
      <c r="CY127" s="128">
        <v>48</v>
      </c>
      <c r="CZ127" s="128">
        <v>0</v>
      </c>
      <c r="EK127" s="128">
        <v>2</v>
      </c>
      <c r="EL127" s="128">
        <v>0.9</v>
      </c>
      <c r="EM127" s="128">
        <v>0.9</v>
      </c>
      <c r="EN127" s="128">
        <v>331000</v>
      </c>
      <c r="EO127" s="128">
        <v>0</v>
      </c>
      <c r="EP127" s="128">
        <v>4</v>
      </c>
      <c r="EQ127" s="128">
        <v>4</v>
      </c>
      <c r="ER127" s="128">
        <v>4</v>
      </c>
      <c r="ES127" s="128">
        <v>2000500</v>
      </c>
      <c r="ET127" s="128">
        <v>1800000</v>
      </c>
      <c r="KG127" s="128">
        <v>0</v>
      </c>
      <c r="KI127" s="128">
        <v>4.9000000000000004</v>
      </c>
      <c r="KJ127" s="128">
        <v>0</v>
      </c>
      <c r="KK127" s="128">
        <v>0</v>
      </c>
      <c r="KL127" s="128">
        <v>0</v>
      </c>
      <c r="KM127" s="128">
        <v>4.9000000000000004</v>
      </c>
      <c r="KN127" s="128">
        <v>2331500</v>
      </c>
      <c r="KO127" s="128">
        <v>1800000</v>
      </c>
      <c r="KP127" s="128">
        <v>1800000</v>
      </c>
      <c r="KT127" s="128">
        <v>0</v>
      </c>
      <c r="KU127" s="128">
        <v>0</v>
      </c>
      <c r="KV127" s="128">
        <v>0</v>
      </c>
      <c r="KZ127" s="128">
        <v>0</v>
      </c>
      <c r="LA127" s="128">
        <v>0</v>
      </c>
      <c r="LB127" s="128">
        <v>0</v>
      </c>
      <c r="LF127" s="128">
        <v>40000</v>
      </c>
      <c r="LG127" s="128">
        <v>0</v>
      </c>
      <c r="LH127" s="128">
        <v>0</v>
      </c>
      <c r="LL127" s="128">
        <v>0</v>
      </c>
      <c r="LM127" s="128">
        <v>0</v>
      </c>
      <c r="LN127" s="128">
        <v>0</v>
      </c>
      <c r="LR127" s="128">
        <v>40000</v>
      </c>
      <c r="LS127" s="128">
        <v>0</v>
      </c>
      <c r="LT127" s="128">
        <v>0</v>
      </c>
      <c r="LX127" s="128">
        <v>2000</v>
      </c>
      <c r="LY127" s="128">
        <v>0</v>
      </c>
      <c r="LZ127" s="128">
        <v>0</v>
      </c>
      <c r="MD127" s="128">
        <v>8000</v>
      </c>
      <c r="ME127" s="128">
        <v>0</v>
      </c>
      <c r="MF127" s="128">
        <v>0</v>
      </c>
      <c r="MJ127" s="128">
        <v>60000</v>
      </c>
      <c r="MK127" s="128">
        <v>0</v>
      </c>
      <c r="ML127" s="128">
        <v>0</v>
      </c>
      <c r="MP127" s="128">
        <v>80000</v>
      </c>
      <c r="MQ127" s="128">
        <v>0</v>
      </c>
      <c r="MR127" s="128">
        <v>0</v>
      </c>
      <c r="MV127" s="128">
        <v>50000</v>
      </c>
      <c r="MW127" s="128">
        <v>0</v>
      </c>
      <c r="MX127" s="128">
        <v>0</v>
      </c>
      <c r="NB127" s="128">
        <v>20000</v>
      </c>
      <c r="NC127" s="128">
        <v>0</v>
      </c>
      <c r="ND127" s="128">
        <v>0</v>
      </c>
      <c r="NH127" s="128">
        <v>0</v>
      </c>
      <c r="NI127" s="128">
        <v>0</v>
      </c>
      <c r="NJ127" s="128">
        <v>0</v>
      </c>
      <c r="NN127" s="128">
        <v>10000</v>
      </c>
      <c r="NO127" s="128">
        <v>0</v>
      </c>
      <c r="NP127" s="128">
        <v>0</v>
      </c>
      <c r="NT127" s="128">
        <v>30000</v>
      </c>
      <c r="NU127" s="128">
        <v>0</v>
      </c>
      <c r="NV127" s="128">
        <v>0</v>
      </c>
      <c r="NZ127" s="128">
        <v>50000</v>
      </c>
      <c r="OA127" s="128">
        <v>0</v>
      </c>
      <c r="OB127" s="128">
        <v>0</v>
      </c>
      <c r="OF127" s="128">
        <v>3000</v>
      </c>
      <c r="OG127" s="128">
        <v>0</v>
      </c>
      <c r="OH127" s="128">
        <v>0</v>
      </c>
      <c r="OL127" s="128">
        <v>0</v>
      </c>
      <c r="OM127" s="128">
        <v>0</v>
      </c>
      <c r="ON127" s="128">
        <v>0</v>
      </c>
      <c r="OR127" s="128">
        <v>0</v>
      </c>
      <c r="OS127" s="128">
        <v>0</v>
      </c>
      <c r="OT127" s="128">
        <v>0</v>
      </c>
      <c r="OX127" s="128">
        <v>20000</v>
      </c>
      <c r="OY127" s="128">
        <v>0</v>
      </c>
      <c r="OZ127" s="128">
        <v>0</v>
      </c>
      <c r="PD127" s="128">
        <v>0</v>
      </c>
      <c r="PE127" s="128">
        <v>0</v>
      </c>
      <c r="PF127" s="128">
        <v>0</v>
      </c>
      <c r="PJ127" s="128">
        <v>30000</v>
      </c>
      <c r="PK127" s="128">
        <v>0</v>
      </c>
      <c r="PL127" s="128">
        <v>0</v>
      </c>
      <c r="PP127" s="128">
        <v>2774500</v>
      </c>
      <c r="PQ127" s="128">
        <v>1800000</v>
      </c>
      <c r="PR127" s="128">
        <v>1800000</v>
      </c>
      <c r="PS127" s="128">
        <v>100</v>
      </c>
      <c r="PT127" s="128">
        <v>100</v>
      </c>
      <c r="PV127" s="128">
        <v>1682910</v>
      </c>
      <c r="PX127" s="128">
        <v>857530</v>
      </c>
      <c r="PY127" s="128">
        <v>1013735</v>
      </c>
      <c r="PZ127" s="128">
        <v>1800000</v>
      </c>
      <c r="QA127" s="128">
        <v>0</v>
      </c>
      <c r="QB127" s="128">
        <v>0</v>
      </c>
      <c r="QC127" s="128">
        <v>0</v>
      </c>
      <c r="QD127" s="128">
        <v>621321</v>
      </c>
      <c r="QE127" s="128">
        <v>902265</v>
      </c>
      <c r="QF127" s="128">
        <v>304500</v>
      </c>
      <c r="QG127" s="128">
        <v>0</v>
      </c>
      <c r="QH127" s="128">
        <v>0</v>
      </c>
      <c r="QI127" s="128">
        <v>0</v>
      </c>
      <c r="QJ127" s="128">
        <v>647950</v>
      </c>
      <c r="QK127" s="128">
        <v>680000</v>
      </c>
      <c r="QL127" s="128">
        <v>670000</v>
      </c>
      <c r="QN127" s="128">
        <v>0</v>
      </c>
      <c r="QO127" s="128">
        <v>0</v>
      </c>
      <c r="QP127" s="128">
        <v>0</v>
      </c>
      <c r="RH127" s="128">
        <f t="shared" si="209"/>
        <v>2104500</v>
      </c>
      <c r="RI127" s="128">
        <v>0</v>
      </c>
      <c r="RM127" s="128" t="s">
        <v>220</v>
      </c>
      <c r="RU127" s="130"/>
      <c r="RV127" s="130"/>
      <c r="RW127" s="130"/>
      <c r="RX127" s="130"/>
      <c r="SF127" s="128">
        <f t="shared" si="119"/>
        <v>7702105</v>
      </c>
      <c r="SG127" s="131">
        <f t="shared" si="120"/>
        <v>2774500</v>
      </c>
      <c r="SH127" s="131">
        <f t="shared" si="121"/>
        <v>2774500</v>
      </c>
      <c r="SI127" s="131">
        <f t="shared" si="122"/>
        <v>2371500</v>
      </c>
      <c r="SJ127" s="132">
        <f t="shared" si="123"/>
        <v>2331500</v>
      </c>
      <c r="SK127" s="132">
        <f t="shared" si="124"/>
        <v>0</v>
      </c>
      <c r="SL127" s="132">
        <f t="shared" si="125"/>
        <v>0</v>
      </c>
      <c r="SM127" s="132">
        <f t="shared" si="126"/>
        <v>40000</v>
      </c>
      <c r="SN127" s="131">
        <f t="shared" si="127"/>
        <v>403000</v>
      </c>
      <c r="SO127" s="131">
        <f t="shared" si="128"/>
        <v>40000</v>
      </c>
      <c r="SP127" s="132">
        <f t="shared" si="129"/>
        <v>0</v>
      </c>
      <c r="SQ127" s="132">
        <f t="shared" si="130"/>
        <v>40000</v>
      </c>
      <c r="SR127" s="132">
        <f t="shared" si="131"/>
        <v>2000</v>
      </c>
      <c r="SS127" s="132">
        <f t="shared" si="132"/>
        <v>8000</v>
      </c>
      <c r="ST127" s="132">
        <f t="shared" si="133"/>
        <v>60000</v>
      </c>
      <c r="SU127" s="132">
        <f t="shared" si="134"/>
        <v>80000</v>
      </c>
      <c r="SV127" s="131">
        <f t="shared" si="135"/>
        <v>183000</v>
      </c>
      <c r="SW127" s="132">
        <f t="shared" si="136"/>
        <v>50000</v>
      </c>
      <c r="SX127" s="132">
        <f t="shared" si="137"/>
        <v>20000</v>
      </c>
      <c r="SY127" s="132">
        <f t="shared" si="138"/>
        <v>0</v>
      </c>
      <c r="SZ127" s="132">
        <f t="shared" si="139"/>
        <v>10000</v>
      </c>
      <c r="TA127" s="132">
        <f t="shared" si="140"/>
        <v>30000</v>
      </c>
      <c r="TB127" s="132">
        <f t="shared" si="141"/>
        <v>50000</v>
      </c>
      <c r="TC127" s="132">
        <f t="shared" si="142"/>
        <v>3000</v>
      </c>
      <c r="TD127" s="132">
        <f t="shared" si="143"/>
        <v>0</v>
      </c>
      <c r="TE127" s="132">
        <f t="shared" si="144"/>
        <v>0</v>
      </c>
      <c r="TF127" s="132">
        <f t="shared" si="145"/>
        <v>20000</v>
      </c>
      <c r="TG127" s="132">
        <f t="shared" si="146"/>
        <v>0</v>
      </c>
      <c r="TH127" s="132">
        <f t="shared" si="147"/>
        <v>30000</v>
      </c>
      <c r="TI127" s="1"/>
      <c r="TJ127" s="131">
        <f t="shared" si="148"/>
        <v>1800000</v>
      </c>
      <c r="TK127" s="131">
        <f t="shared" si="149"/>
        <v>1800000</v>
      </c>
      <c r="TL127" s="131">
        <f t="shared" si="150"/>
        <v>1800000</v>
      </c>
      <c r="TM127" s="132">
        <f t="shared" si="151"/>
        <v>1800000</v>
      </c>
      <c r="TN127" s="132">
        <f t="shared" si="152"/>
        <v>0</v>
      </c>
      <c r="TO127" s="132">
        <f t="shared" si="153"/>
        <v>0</v>
      </c>
      <c r="TP127" s="132">
        <f t="shared" si="154"/>
        <v>0</v>
      </c>
      <c r="TQ127" s="131">
        <f t="shared" si="155"/>
        <v>0</v>
      </c>
      <c r="TR127" s="131">
        <f t="shared" si="156"/>
        <v>0</v>
      </c>
      <c r="TS127" s="132">
        <f t="shared" si="157"/>
        <v>0</v>
      </c>
      <c r="TT127" s="132">
        <f t="shared" si="158"/>
        <v>0</v>
      </c>
      <c r="TU127" s="132">
        <f t="shared" si="159"/>
        <v>0</v>
      </c>
      <c r="TV127" s="132">
        <f t="shared" si="160"/>
        <v>0</v>
      </c>
      <c r="TW127" s="132">
        <f t="shared" si="161"/>
        <v>0</v>
      </c>
      <c r="TX127" s="132">
        <f t="shared" si="162"/>
        <v>0</v>
      </c>
      <c r="TY127" s="131">
        <f t="shared" si="163"/>
        <v>0</v>
      </c>
      <c r="TZ127" s="132">
        <f t="shared" si="164"/>
        <v>0</v>
      </c>
      <c r="UA127" s="132">
        <f t="shared" si="165"/>
        <v>0</v>
      </c>
      <c r="UB127" s="132">
        <f t="shared" si="166"/>
        <v>0</v>
      </c>
      <c r="UC127" s="132">
        <f t="shared" si="167"/>
        <v>0</v>
      </c>
      <c r="UD127" s="132">
        <f t="shared" si="168"/>
        <v>0</v>
      </c>
      <c r="UE127" s="132">
        <f t="shared" si="169"/>
        <v>0</v>
      </c>
      <c r="UF127" s="132">
        <f t="shared" si="170"/>
        <v>0</v>
      </c>
      <c r="UG127" s="132">
        <f t="shared" si="171"/>
        <v>0</v>
      </c>
      <c r="UH127" s="132">
        <f t="shared" si="172"/>
        <v>0</v>
      </c>
      <c r="UI127" s="132">
        <f t="shared" si="173"/>
        <v>0</v>
      </c>
      <c r="UJ127" s="132">
        <f t="shared" si="174"/>
        <v>0</v>
      </c>
      <c r="UK127" s="132">
        <f t="shared" si="175"/>
        <v>0</v>
      </c>
      <c r="UL127" s="132">
        <f t="shared" si="210"/>
        <v>1800000</v>
      </c>
      <c r="UM127" s="131">
        <f t="shared" si="176"/>
        <v>1800000</v>
      </c>
      <c r="UN127" s="131">
        <f t="shared" si="177"/>
        <v>1800000</v>
      </c>
      <c r="UO127" s="131">
        <f t="shared" si="178"/>
        <v>1800000</v>
      </c>
      <c r="UP127" s="132">
        <f t="shared" si="179"/>
        <v>1800000</v>
      </c>
      <c r="UQ127" s="132">
        <f t="shared" si="180"/>
        <v>0</v>
      </c>
      <c r="UR127" s="132">
        <f t="shared" si="181"/>
        <v>0</v>
      </c>
      <c r="US127" s="132">
        <f t="shared" si="182"/>
        <v>0</v>
      </c>
      <c r="UT127" s="131">
        <f t="shared" si="183"/>
        <v>0</v>
      </c>
      <c r="UU127" s="131">
        <f t="shared" si="184"/>
        <v>0</v>
      </c>
      <c r="UV127" s="132">
        <f t="shared" si="185"/>
        <v>0</v>
      </c>
      <c r="UW127" s="132">
        <f t="shared" si="186"/>
        <v>0</v>
      </c>
      <c r="UX127" s="132">
        <f t="shared" si="187"/>
        <v>0</v>
      </c>
      <c r="UY127" s="132">
        <f t="shared" si="188"/>
        <v>0</v>
      </c>
      <c r="UZ127" s="132">
        <f t="shared" si="189"/>
        <v>0</v>
      </c>
      <c r="VA127" s="132">
        <f t="shared" si="190"/>
        <v>0</v>
      </c>
      <c r="VB127" s="131">
        <f t="shared" si="191"/>
        <v>0</v>
      </c>
      <c r="VC127" s="132">
        <f t="shared" si="192"/>
        <v>0</v>
      </c>
      <c r="VD127" s="132">
        <f t="shared" si="193"/>
        <v>0</v>
      </c>
      <c r="VE127" s="132">
        <f t="shared" si="194"/>
        <v>0</v>
      </c>
      <c r="VF127" s="132">
        <f t="shared" si="195"/>
        <v>0</v>
      </c>
      <c r="VG127" s="132">
        <f t="shared" si="196"/>
        <v>0</v>
      </c>
      <c r="VH127" s="132">
        <f t="shared" si="197"/>
        <v>0</v>
      </c>
      <c r="VI127" s="132">
        <f t="shared" si="198"/>
        <v>0</v>
      </c>
      <c r="VJ127" s="132">
        <f t="shared" si="199"/>
        <v>0</v>
      </c>
      <c r="VK127" s="132">
        <f t="shared" si="200"/>
        <v>0</v>
      </c>
      <c r="VL127" s="132">
        <f t="shared" si="201"/>
        <v>0</v>
      </c>
      <c r="VM127" s="132">
        <f t="shared" si="202"/>
        <v>0</v>
      </c>
      <c r="VN127" s="132">
        <f t="shared" si="203"/>
        <v>0</v>
      </c>
      <c r="VP127" s="845" t="str">
        <f>IFERROR(HLOOKUP(F127,'Hodnocení '!$C$1:$JH$5,2,FALSE),0)</f>
        <v>Pečovatelská služba</v>
      </c>
      <c r="VQ127" s="838"/>
      <c r="VR127" s="845" t="str">
        <f t="shared" si="211"/>
        <v>Obec</v>
      </c>
      <c r="VS127" s="845" t="str">
        <f>IFERROR(HLOOKUP(F127,'Hodnocení '!$C$1:$JH$5,5,FALSE),0)</f>
        <v>Obce</v>
      </c>
      <c r="VT127" s="838" t="str">
        <f t="shared" si="212"/>
        <v>Obec</v>
      </c>
      <c r="VU127" s="838">
        <f t="shared" si="213"/>
        <v>0</v>
      </c>
      <c r="VV127" s="838">
        <f t="shared" si="214"/>
        <v>670000</v>
      </c>
      <c r="VW127" s="838">
        <f t="shared" si="215"/>
        <v>0</v>
      </c>
      <c r="VX127" s="838"/>
      <c r="VY127" s="838">
        <f t="shared" si="216"/>
        <v>0</v>
      </c>
      <c r="VZ127" s="838">
        <f t="shared" si="217"/>
        <v>1800000</v>
      </c>
      <c r="WA127" s="846">
        <f>IFERROR(HLOOKUP($F127,'Hodnocení '!$C$1:$JH$9,9,FALSE),0)</f>
        <v>1800000</v>
      </c>
      <c r="WB127" s="846">
        <f>IF(IFERROR(HLOOKUP($F127,'Hodnocení '!$C$1:$JH$13,13,FALSE),0)&gt;WA127,WA127,IFERROR(HLOOKUP($F127,'Hodnocení '!$C$1:$JH$13,13,FALSE),0))</f>
        <v>1800000</v>
      </c>
      <c r="WC127" s="846">
        <f>IFERROR(HLOOKUP($F127,'Hodnocení '!$C$1:$JH$155,155,FALSE),0)</f>
        <v>937680</v>
      </c>
      <c r="WD127" s="845"/>
      <c r="WE127" s="845"/>
      <c r="WF127" s="845" t="str">
        <f t="shared" si="204"/>
        <v>ANO</v>
      </c>
      <c r="WG127" s="849" t="str">
        <f t="shared" si="218"/>
        <v>Podpora služby je vyjádřena zařazením do sítě sociálních služeb v KHK a řešením financování služby</v>
      </c>
      <c r="WH127"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27" s="849" t="str">
        <f t="shared" si="218"/>
        <v>Návrh dotace je výsledkem projednání s ostatními zadavateli v rámci sítě služeb KHK</v>
      </c>
      <c r="WJ127" s="849" t="str">
        <f t="shared" si="218"/>
        <v>Bez komentáře</v>
      </c>
      <c r="WK127" s="31">
        <f t="shared" si="205"/>
        <v>0</v>
      </c>
      <c r="WL127" s="850">
        <f t="shared" si="206"/>
        <v>0</v>
      </c>
      <c r="WM127" s="849" t="str">
        <f t="shared" si="207"/>
        <v>V rámci sítě KHK se dlouhodobě řeší otázka navyšování úhrad a průběžně se monitoruje s vazbou na vykrytí vyrovnávací platby</v>
      </c>
      <c r="WN127" s="849">
        <f t="shared" si="208"/>
        <v>0</v>
      </c>
      <c r="WO127" s="849" t="str">
        <f t="shared" si="219"/>
        <v>bez komentáře</v>
      </c>
      <c r="WP127" s="849" t="str">
        <f t="shared" si="219"/>
        <v>bez komentáře</v>
      </c>
      <c r="WQ127" s="849" t="str">
        <f t="shared" si="219"/>
        <v>Konečná výše dotace z rozpočtu KHK bude řešena v návaznosti na řešení podílů jednotlivých zadavatelů.</v>
      </c>
      <c r="WR127" s="849" t="str">
        <f t="shared" si="219"/>
        <v>Konečná výše podpory ze stran obcí bude řešena v součinnosti s jednotlivými zadavateli v průběhu roku.</v>
      </c>
      <c r="WS127" s="849" t="str">
        <f t="shared" si="219"/>
        <v>bez komentáře</v>
      </c>
      <c r="WT127" s="849" t="str">
        <f t="shared" si="219"/>
        <v>bez komentáře</v>
      </c>
      <c r="WU127" s="845"/>
    </row>
    <row r="128" spans="1:619" s="128" customFormat="1" x14ac:dyDescent="0.25">
      <c r="A128" s="128" t="str">
        <f>VLOOKUP(F128,'Výpočet VP 2020'!$D$324:$I$588,6,FALSE)</f>
        <v>Je v síti</v>
      </c>
      <c r="B128" s="128" t="s">
        <v>630</v>
      </c>
      <c r="C128" s="128">
        <v>272841</v>
      </c>
      <c r="D128" s="128" t="s">
        <v>631</v>
      </c>
      <c r="E128" s="128" t="s">
        <v>604</v>
      </c>
      <c r="F128" s="128">
        <v>1671513</v>
      </c>
      <c r="G128" s="128" t="s">
        <v>328</v>
      </c>
      <c r="H128" s="128" t="s">
        <v>218</v>
      </c>
      <c r="I128" s="128" t="s">
        <v>632</v>
      </c>
      <c r="J128" s="129">
        <v>39083</v>
      </c>
      <c r="L128" s="128" t="s">
        <v>220</v>
      </c>
      <c r="X128" s="128" t="s">
        <v>227</v>
      </c>
      <c r="Z128" s="128">
        <v>1</v>
      </c>
      <c r="AA128" s="128">
        <v>8</v>
      </c>
      <c r="AB128" s="128">
        <v>8</v>
      </c>
      <c r="AC128" s="128">
        <v>7</v>
      </c>
      <c r="AD128" s="128">
        <v>8</v>
      </c>
      <c r="AN128" s="128">
        <v>170</v>
      </c>
      <c r="AP128" s="128" t="s">
        <v>633</v>
      </c>
      <c r="AQ128" s="128">
        <v>2</v>
      </c>
      <c r="AR128" s="128">
        <v>45</v>
      </c>
      <c r="AS128" s="128">
        <v>43</v>
      </c>
      <c r="AT128" s="128">
        <v>39</v>
      </c>
      <c r="AU128" s="128">
        <v>40</v>
      </c>
      <c r="BJ128" s="128">
        <v>2700</v>
      </c>
      <c r="BL128" s="128" t="s">
        <v>634</v>
      </c>
      <c r="BM128" s="128" t="s">
        <v>325</v>
      </c>
      <c r="BN128" s="128" t="s">
        <v>635</v>
      </c>
      <c r="BO128" s="128">
        <v>0</v>
      </c>
      <c r="BP128" s="128">
        <v>0</v>
      </c>
      <c r="BQ128" s="128">
        <v>0</v>
      </c>
      <c r="BR128" s="128">
        <v>0</v>
      </c>
      <c r="BS128" s="128">
        <v>0</v>
      </c>
      <c r="BT128" s="128">
        <v>11</v>
      </c>
      <c r="BU128" s="128">
        <v>10</v>
      </c>
      <c r="BV128" s="128">
        <v>3</v>
      </c>
      <c r="BW128" s="128">
        <v>0</v>
      </c>
      <c r="BX128" s="128">
        <v>15</v>
      </c>
      <c r="BY128" s="128">
        <v>11</v>
      </c>
      <c r="BZ128" s="128">
        <v>10</v>
      </c>
      <c r="CA128" s="128">
        <v>3</v>
      </c>
      <c r="CB128" s="128">
        <v>0</v>
      </c>
      <c r="CC128" s="128">
        <v>15</v>
      </c>
      <c r="CD128" s="128">
        <v>0</v>
      </c>
      <c r="CE128" s="128">
        <v>39</v>
      </c>
      <c r="CF128" s="128">
        <v>39</v>
      </c>
      <c r="CG128" s="128">
        <v>0</v>
      </c>
      <c r="CH128" s="128">
        <v>0</v>
      </c>
      <c r="CI128" s="128">
        <v>0</v>
      </c>
      <c r="CJ128" s="128">
        <v>0</v>
      </c>
      <c r="CK128" s="128">
        <v>0</v>
      </c>
      <c r="CL128" s="128">
        <v>0</v>
      </c>
      <c r="CM128" s="128">
        <v>16</v>
      </c>
      <c r="CN128" s="128">
        <v>11</v>
      </c>
      <c r="CO128" s="128">
        <v>2</v>
      </c>
      <c r="CP128" s="128">
        <v>0</v>
      </c>
      <c r="CQ128" s="128">
        <v>19</v>
      </c>
      <c r="CR128" s="128">
        <v>16</v>
      </c>
      <c r="CS128" s="128">
        <v>11</v>
      </c>
      <c r="CT128" s="128">
        <v>2</v>
      </c>
      <c r="CU128" s="128">
        <v>0</v>
      </c>
      <c r="CV128" s="128">
        <v>19</v>
      </c>
      <c r="CW128" s="128">
        <v>0</v>
      </c>
      <c r="CX128" s="128">
        <v>48</v>
      </c>
      <c r="CY128" s="128">
        <v>48</v>
      </c>
      <c r="CZ128" s="128">
        <v>0</v>
      </c>
      <c r="EP128" s="128">
        <v>2</v>
      </c>
      <c r="EQ128" s="128">
        <v>2</v>
      </c>
      <c r="ER128" s="128">
        <v>2</v>
      </c>
      <c r="ES128" s="128">
        <v>790000</v>
      </c>
      <c r="ET128" s="128">
        <v>600000</v>
      </c>
      <c r="FO128" s="128">
        <v>1</v>
      </c>
      <c r="FP128" s="128">
        <v>0.5</v>
      </c>
      <c r="FQ128" s="128">
        <v>1</v>
      </c>
      <c r="FR128" s="128">
        <v>200000</v>
      </c>
      <c r="FS128" s="128">
        <v>100000</v>
      </c>
      <c r="KG128" s="128">
        <v>0</v>
      </c>
      <c r="KI128" s="128">
        <v>2</v>
      </c>
      <c r="KJ128" s="128">
        <v>0</v>
      </c>
      <c r="KK128" s="128">
        <v>0</v>
      </c>
      <c r="KL128" s="128">
        <v>0</v>
      </c>
      <c r="KM128" s="128">
        <v>2</v>
      </c>
      <c r="KN128" s="128">
        <v>990000</v>
      </c>
      <c r="KO128" s="128">
        <v>700000</v>
      </c>
      <c r="KP128" s="128">
        <v>700000</v>
      </c>
      <c r="KT128" s="128">
        <v>0</v>
      </c>
      <c r="KU128" s="128">
        <v>0</v>
      </c>
      <c r="KV128" s="128">
        <v>0</v>
      </c>
      <c r="KZ128" s="128">
        <v>0</v>
      </c>
      <c r="LA128" s="128">
        <v>0</v>
      </c>
      <c r="LB128" s="128">
        <v>0</v>
      </c>
      <c r="LF128" s="128">
        <v>0</v>
      </c>
      <c r="LG128" s="128">
        <v>0</v>
      </c>
      <c r="LH128" s="128">
        <v>0</v>
      </c>
      <c r="LL128" s="128">
        <v>0</v>
      </c>
      <c r="LM128" s="128">
        <v>0</v>
      </c>
      <c r="LN128" s="128">
        <v>0</v>
      </c>
      <c r="LR128" s="128">
        <v>20000</v>
      </c>
      <c r="LS128" s="128">
        <v>0</v>
      </c>
      <c r="LT128" s="128">
        <v>0</v>
      </c>
      <c r="LX128" s="128">
        <v>1000</v>
      </c>
      <c r="LY128" s="128">
        <v>0</v>
      </c>
      <c r="LZ128" s="128">
        <v>0</v>
      </c>
      <c r="MD128" s="128">
        <v>1000</v>
      </c>
      <c r="ME128" s="128">
        <v>0</v>
      </c>
      <c r="MF128" s="128">
        <v>0</v>
      </c>
      <c r="MJ128" s="128">
        <v>37000</v>
      </c>
      <c r="MK128" s="128">
        <v>0</v>
      </c>
      <c r="ML128" s="128">
        <v>0</v>
      </c>
      <c r="MP128" s="128">
        <v>25000</v>
      </c>
      <c r="MQ128" s="128">
        <v>0</v>
      </c>
      <c r="MR128" s="128">
        <v>0</v>
      </c>
      <c r="MV128" s="128">
        <v>16000</v>
      </c>
      <c r="MW128" s="128">
        <v>0</v>
      </c>
      <c r="MX128" s="128">
        <v>0</v>
      </c>
      <c r="NB128" s="128">
        <v>8000</v>
      </c>
      <c r="NC128" s="128">
        <v>0</v>
      </c>
      <c r="ND128" s="128">
        <v>0</v>
      </c>
      <c r="NH128" s="128">
        <v>0</v>
      </c>
      <c r="NI128" s="128">
        <v>0</v>
      </c>
      <c r="NJ128" s="128">
        <v>0</v>
      </c>
      <c r="NN128" s="128">
        <v>0</v>
      </c>
      <c r="NO128" s="128">
        <v>0</v>
      </c>
      <c r="NP128" s="128">
        <v>0</v>
      </c>
      <c r="NT128" s="128">
        <v>10000</v>
      </c>
      <c r="NU128" s="128">
        <v>0</v>
      </c>
      <c r="NV128" s="128">
        <v>0</v>
      </c>
      <c r="NZ128" s="128">
        <v>3000</v>
      </c>
      <c r="OA128" s="128">
        <v>0</v>
      </c>
      <c r="OB128" s="128">
        <v>0</v>
      </c>
      <c r="OF128" s="128">
        <v>2000</v>
      </c>
      <c r="OG128" s="128">
        <v>0</v>
      </c>
      <c r="OH128" s="128">
        <v>0</v>
      </c>
      <c r="OL128" s="128">
        <v>0</v>
      </c>
      <c r="OM128" s="128">
        <v>0</v>
      </c>
      <c r="ON128" s="128">
        <v>0</v>
      </c>
      <c r="OR128" s="128">
        <v>0</v>
      </c>
      <c r="OS128" s="128">
        <v>0</v>
      </c>
      <c r="OT128" s="128">
        <v>0</v>
      </c>
      <c r="OX128" s="128">
        <v>28000</v>
      </c>
      <c r="OY128" s="128">
        <v>0</v>
      </c>
      <c r="OZ128" s="128">
        <v>0</v>
      </c>
      <c r="PD128" s="128">
        <v>0</v>
      </c>
      <c r="PE128" s="128">
        <v>0</v>
      </c>
      <c r="PF128" s="128">
        <v>0</v>
      </c>
      <c r="PJ128" s="128">
        <v>7000</v>
      </c>
      <c r="PK128" s="128">
        <v>0</v>
      </c>
      <c r="PL128" s="128">
        <v>0</v>
      </c>
      <c r="PP128" s="128">
        <v>1148000</v>
      </c>
      <c r="PQ128" s="128">
        <v>700000</v>
      </c>
      <c r="PR128" s="128">
        <v>700000</v>
      </c>
      <c r="PS128" s="128">
        <v>100</v>
      </c>
      <c r="PT128" s="128">
        <v>100</v>
      </c>
      <c r="PV128" s="128">
        <v>775422</v>
      </c>
      <c r="PX128" s="128">
        <v>300000</v>
      </c>
      <c r="PY128" s="128">
        <v>364926</v>
      </c>
      <c r="PZ128" s="128">
        <v>700000</v>
      </c>
      <c r="QA128" s="128">
        <v>0</v>
      </c>
      <c r="QB128" s="128">
        <v>0</v>
      </c>
      <c r="QC128" s="128">
        <v>0</v>
      </c>
      <c r="QD128" s="128">
        <v>402204</v>
      </c>
      <c r="QE128" s="128">
        <v>522394</v>
      </c>
      <c r="QF128" s="128">
        <v>288000</v>
      </c>
      <c r="QG128" s="128">
        <v>0</v>
      </c>
      <c r="QH128" s="128">
        <v>0</v>
      </c>
      <c r="QI128" s="128">
        <v>0</v>
      </c>
      <c r="QJ128" s="128">
        <v>160854</v>
      </c>
      <c r="QK128" s="128">
        <v>160000</v>
      </c>
      <c r="QL128" s="128">
        <v>160000</v>
      </c>
      <c r="QN128" s="128">
        <v>0</v>
      </c>
      <c r="QO128" s="128">
        <v>0</v>
      </c>
      <c r="QP128" s="128">
        <v>0</v>
      </c>
      <c r="QU128" s="128">
        <v>48000</v>
      </c>
      <c r="QV128" s="128">
        <v>0</v>
      </c>
      <c r="QW128" s="128">
        <v>0</v>
      </c>
      <c r="RH128" s="128">
        <f t="shared" si="209"/>
        <v>988000</v>
      </c>
      <c r="RI128" s="128">
        <v>0</v>
      </c>
      <c r="RM128" s="128" t="s">
        <v>220</v>
      </c>
      <c r="RU128" s="130"/>
      <c r="RV128" s="130"/>
      <c r="RW128" s="130"/>
      <c r="RX128" s="130"/>
      <c r="SF128" s="128">
        <f t="shared" si="119"/>
        <v>1671513</v>
      </c>
      <c r="SG128" s="131">
        <f t="shared" si="120"/>
        <v>1148000</v>
      </c>
      <c r="SH128" s="131">
        <f t="shared" si="121"/>
        <v>1148000</v>
      </c>
      <c r="SI128" s="131">
        <f t="shared" si="122"/>
        <v>990000</v>
      </c>
      <c r="SJ128" s="132">
        <f t="shared" si="123"/>
        <v>990000</v>
      </c>
      <c r="SK128" s="132">
        <f t="shared" si="124"/>
        <v>0</v>
      </c>
      <c r="SL128" s="132">
        <f t="shared" si="125"/>
        <v>0</v>
      </c>
      <c r="SM128" s="132">
        <f t="shared" si="126"/>
        <v>0</v>
      </c>
      <c r="SN128" s="131">
        <f t="shared" si="127"/>
        <v>158000</v>
      </c>
      <c r="SO128" s="131">
        <f t="shared" si="128"/>
        <v>20000</v>
      </c>
      <c r="SP128" s="132">
        <f t="shared" si="129"/>
        <v>0</v>
      </c>
      <c r="SQ128" s="132">
        <f t="shared" si="130"/>
        <v>20000</v>
      </c>
      <c r="SR128" s="132">
        <f t="shared" si="131"/>
        <v>1000</v>
      </c>
      <c r="SS128" s="132">
        <f t="shared" si="132"/>
        <v>1000</v>
      </c>
      <c r="ST128" s="132">
        <f t="shared" si="133"/>
        <v>37000</v>
      </c>
      <c r="SU128" s="132">
        <f t="shared" si="134"/>
        <v>25000</v>
      </c>
      <c r="SV128" s="131">
        <f t="shared" si="135"/>
        <v>67000</v>
      </c>
      <c r="SW128" s="132">
        <f t="shared" si="136"/>
        <v>16000</v>
      </c>
      <c r="SX128" s="132">
        <f t="shared" si="137"/>
        <v>8000</v>
      </c>
      <c r="SY128" s="132">
        <f t="shared" si="138"/>
        <v>0</v>
      </c>
      <c r="SZ128" s="132">
        <f t="shared" si="139"/>
        <v>0</v>
      </c>
      <c r="TA128" s="132">
        <f t="shared" si="140"/>
        <v>10000</v>
      </c>
      <c r="TB128" s="132">
        <f t="shared" si="141"/>
        <v>3000</v>
      </c>
      <c r="TC128" s="132">
        <f t="shared" si="142"/>
        <v>2000</v>
      </c>
      <c r="TD128" s="132">
        <f t="shared" si="143"/>
        <v>0</v>
      </c>
      <c r="TE128" s="132">
        <f t="shared" si="144"/>
        <v>0</v>
      </c>
      <c r="TF128" s="132">
        <f t="shared" si="145"/>
        <v>28000</v>
      </c>
      <c r="TG128" s="132">
        <f t="shared" si="146"/>
        <v>0</v>
      </c>
      <c r="TH128" s="132">
        <f t="shared" si="147"/>
        <v>7000</v>
      </c>
      <c r="TI128" s="1"/>
      <c r="TJ128" s="131">
        <f t="shared" si="148"/>
        <v>700000</v>
      </c>
      <c r="TK128" s="131">
        <f t="shared" si="149"/>
        <v>700000</v>
      </c>
      <c r="TL128" s="131">
        <f t="shared" si="150"/>
        <v>700000</v>
      </c>
      <c r="TM128" s="132">
        <f t="shared" si="151"/>
        <v>700000</v>
      </c>
      <c r="TN128" s="132">
        <f t="shared" si="152"/>
        <v>0</v>
      </c>
      <c r="TO128" s="132">
        <f t="shared" si="153"/>
        <v>0</v>
      </c>
      <c r="TP128" s="132">
        <f t="shared" si="154"/>
        <v>0</v>
      </c>
      <c r="TQ128" s="131">
        <f t="shared" si="155"/>
        <v>0</v>
      </c>
      <c r="TR128" s="131">
        <f t="shared" si="156"/>
        <v>0</v>
      </c>
      <c r="TS128" s="132">
        <f t="shared" si="157"/>
        <v>0</v>
      </c>
      <c r="TT128" s="132">
        <f t="shared" si="158"/>
        <v>0</v>
      </c>
      <c r="TU128" s="132">
        <f t="shared" si="159"/>
        <v>0</v>
      </c>
      <c r="TV128" s="132">
        <f t="shared" si="160"/>
        <v>0</v>
      </c>
      <c r="TW128" s="132">
        <f t="shared" si="161"/>
        <v>0</v>
      </c>
      <c r="TX128" s="132">
        <f t="shared" si="162"/>
        <v>0</v>
      </c>
      <c r="TY128" s="131">
        <f t="shared" si="163"/>
        <v>0</v>
      </c>
      <c r="TZ128" s="132">
        <f t="shared" si="164"/>
        <v>0</v>
      </c>
      <c r="UA128" s="132">
        <f t="shared" si="165"/>
        <v>0</v>
      </c>
      <c r="UB128" s="132">
        <f t="shared" si="166"/>
        <v>0</v>
      </c>
      <c r="UC128" s="132">
        <f t="shared" si="167"/>
        <v>0</v>
      </c>
      <c r="UD128" s="132">
        <f t="shared" si="168"/>
        <v>0</v>
      </c>
      <c r="UE128" s="132">
        <f t="shared" si="169"/>
        <v>0</v>
      </c>
      <c r="UF128" s="132">
        <f t="shared" si="170"/>
        <v>0</v>
      </c>
      <c r="UG128" s="132">
        <f t="shared" si="171"/>
        <v>0</v>
      </c>
      <c r="UH128" s="132">
        <f t="shared" si="172"/>
        <v>0</v>
      </c>
      <c r="UI128" s="132">
        <f t="shared" si="173"/>
        <v>0</v>
      </c>
      <c r="UJ128" s="132">
        <f t="shared" si="174"/>
        <v>0</v>
      </c>
      <c r="UK128" s="132">
        <f t="shared" si="175"/>
        <v>0</v>
      </c>
      <c r="UL128" s="132">
        <f t="shared" si="210"/>
        <v>700000</v>
      </c>
      <c r="UM128" s="131">
        <f t="shared" si="176"/>
        <v>700000</v>
      </c>
      <c r="UN128" s="131">
        <f t="shared" si="177"/>
        <v>700000</v>
      </c>
      <c r="UO128" s="131">
        <f t="shared" si="178"/>
        <v>700000</v>
      </c>
      <c r="UP128" s="132">
        <f t="shared" si="179"/>
        <v>700000</v>
      </c>
      <c r="UQ128" s="132">
        <f t="shared" si="180"/>
        <v>0</v>
      </c>
      <c r="UR128" s="132">
        <f t="shared" si="181"/>
        <v>0</v>
      </c>
      <c r="US128" s="132">
        <f t="shared" si="182"/>
        <v>0</v>
      </c>
      <c r="UT128" s="131">
        <f t="shared" si="183"/>
        <v>0</v>
      </c>
      <c r="UU128" s="131">
        <f t="shared" si="184"/>
        <v>0</v>
      </c>
      <c r="UV128" s="132">
        <f t="shared" si="185"/>
        <v>0</v>
      </c>
      <c r="UW128" s="132">
        <f t="shared" si="186"/>
        <v>0</v>
      </c>
      <c r="UX128" s="132">
        <f t="shared" si="187"/>
        <v>0</v>
      </c>
      <c r="UY128" s="132">
        <f t="shared" si="188"/>
        <v>0</v>
      </c>
      <c r="UZ128" s="132">
        <f t="shared" si="189"/>
        <v>0</v>
      </c>
      <c r="VA128" s="132">
        <f t="shared" si="190"/>
        <v>0</v>
      </c>
      <c r="VB128" s="131">
        <f t="shared" si="191"/>
        <v>0</v>
      </c>
      <c r="VC128" s="132">
        <f t="shared" si="192"/>
        <v>0</v>
      </c>
      <c r="VD128" s="132">
        <f t="shared" si="193"/>
        <v>0</v>
      </c>
      <c r="VE128" s="132">
        <f t="shared" si="194"/>
        <v>0</v>
      </c>
      <c r="VF128" s="132">
        <f t="shared" si="195"/>
        <v>0</v>
      </c>
      <c r="VG128" s="132">
        <f t="shared" si="196"/>
        <v>0</v>
      </c>
      <c r="VH128" s="132">
        <f t="shared" si="197"/>
        <v>0</v>
      </c>
      <c r="VI128" s="132">
        <f t="shared" si="198"/>
        <v>0</v>
      </c>
      <c r="VJ128" s="132">
        <f t="shared" si="199"/>
        <v>0</v>
      </c>
      <c r="VK128" s="132">
        <f t="shared" si="200"/>
        <v>0</v>
      </c>
      <c r="VL128" s="132">
        <f t="shared" si="201"/>
        <v>0</v>
      </c>
      <c r="VM128" s="132">
        <f t="shared" si="202"/>
        <v>0</v>
      </c>
      <c r="VN128" s="132">
        <f t="shared" si="203"/>
        <v>0</v>
      </c>
      <c r="VP128" s="845" t="str">
        <f>IFERROR(HLOOKUP(F128,'Hodnocení '!$C$1:$JH$5,2,FALSE),0)</f>
        <v>Pečovatelská služba Meziměstí</v>
      </c>
      <c r="VQ128" s="838"/>
      <c r="VR128" s="845" t="str">
        <f t="shared" si="211"/>
        <v>Obec</v>
      </c>
      <c r="VS128" s="845" t="str">
        <f>IFERROR(HLOOKUP(F128,'Hodnocení '!$C$1:$JH$5,5,FALSE),0)</f>
        <v>Obce</v>
      </c>
      <c r="VT128" s="838" t="str">
        <f t="shared" si="212"/>
        <v>Obec</v>
      </c>
      <c r="VU128" s="838">
        <f t="shared" si="213"/>
        <v>0</v>
      </c>
      <c r="VV128" s="838">
        <f t="shared" si="214"/>
        <v>160000</v>
      </c>
      <c r="VW128" s="838">
        <f t="shared" si="215"/>
        <v>0</v>
      </c>
      <c r="VX128" s="838"/>
      <c r="VY128" s="838">
        <f t="shared" si="216"/>
        <v>0</v>
      </c>
      <c r="VZ128" s="838">
        <f t="shared" si="217"/>
        <v>700000</v>
      </c>
      <c r="WA128" s="846">
        <f>IFERROR(HLOOKUP($F128,'Hodnocení '!$C$1:$JH$9,9,FALSE),0)</f>
        <v>700000</v>
      </c>
      <c r="WB128" s="846">
        <f>IF(IFERROR(HLOOKUP($F128,'Hodnocení '!$C$1:$JH$13,13,FALSE),0)&gt;WA128,WA128,IFERROR(HLOOKUP($F128,'Hodnocení '!$C$1:$JH$13,13,FALSE),0))</f>
        <v>700000</v>
      </c>
      <c r="WC128" s="846">
        <f>IFERROR(HLOOKUP($F128,'Hodnocení '!$C$1:$JH$155,155,FALSE),0)</f>
        <v>384530</v>
      </c>
      <c r="WD128" s="845"/>
      <c r="WE128" s="845"/>
      <c r="WF128" s="845" t="str">
        <f t="shared" si="204"/>
        <v>ANO</v>
      </c>
      <c r="WG128" s="849" t="str">
        <f t="shared" si="218"/>
        <v>Podpora služby je vyjádřena zařazením do sítě sociálních služeb v KHK a řešením financování služby</v>
      </c>
      <c r="WH128"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28" s="849" t="str">
        <f t="shared" si="218"/>
        <v>Návrh dotace je výsledkem projednání s ostatními zadavateli v rámci sítě služeb KHK</v>
      </c>
      <c r="WJ128" s="849" t="str">
        <f t="shared" si="218"/>
        <v>Bez komentáře</v>
      </c>
      <c r="WK128" s="31">
        <f t="shared" si="205"/>
        <v>0</v>
      </c>
      <c r="WL128" s="850">
        <f t="shared" si="206"/>
        <v>0</v>
      </c>
      <c r="WM128" s="849" t="str">
        <f t="shared" si="207"/>
        <v>V rámci sítě KHK se dlouhodobě řeší otázka navyšování úhrad a průběžně se monitoruje s vazbou na vykrytí vyrovnávací platby</v>
      </c>
      <c r="WN128" s="849">
        <f t="shared" si="208"/>
        <v>0</v>
      </c>
      <c r="WO128" s="849" t="str">
        <f t="shared" si="219"/>
        <v>bez komentáře</v>
      </c>
      <c r="WP128" s="849" t="str">
        <f t="shared" si="219"/>
        <v>bez komentáře</v>
      </c>
      <c r="WQ128" s="849" t="str">
        <f t="shared" si="219"/>
        <v>Konečná výše dotace z rozpočtu KHK bude řešena v návaznosti na řešení podílů jednotlivých zadavatelů.</v>
      </c>
      <c r="WR128" s="849" t="str">
        <f t="shared" si="219"/>
        <v>Konečná výše podpory ze stran obcí bude řešena v součinnosti s jednotlivými zadavateli v průběhu roku.</v>
      </c>
      <c r="WS128" s="849" t="str">
        <f t="shared" si="219"/>
        <v>bez komentáře</v>
      </c>
      <c r="WT128" s="849" t="str">
        <f t="shared" si="219"/>
        <v>bez komentáře</v>
      </c>
      <c r="WU128" s="845"/>
    </row>
    <row r="129" spans="1:619" s="128" customFormat="1" x14ac:dyDescent="0.25">
      <c r="A129" s="128" t="str">
        <f>VLOOKUP(F129,'Výpočet VP 2020'!$D$324:$I$588,6,FALSE)</f>
        <v>Je v síti</v>
      </c>
      <c r="B129" s="128" t="s">
        <v>636</v>
      </c>
      <c r="C129" s="128">
        <v>271811</v>
      </c>
      <c r="D129" s="128" t="s">
        <v>637</v>
      </c>
      <c r="E129" s="128" t="s">
        <v>604</v>
      </c>
      <c r="F129" s="128">
        <v>5141443</v>
      </c>
      <c r="G129" s="128" t="s">
        <v>328</v>
      </c>
      <c r="H129" s="128" t="s">
        <v>218</v>
      </c>
      <c r="I129" s="128" t="s">
        <v>638</v>
      </c>
      <c r="J129" s="129">
        <v>39083</v>
      </c>
      <c r="L129" s="128" t="s">
        <v>220</v>
      </c>
      <c r="AP129" s="128" t="s">
        <v>564</v>
      </c>
      <c r="AQ129" s="128">
        <v>25</v>
      </c>
      <c r="AR129" s="128">
        <v>25</v>
      </c>
      <c r="AS129" s="128">
        <v>29</v>
      </c>
      <c r="AT129" s="128">
        <v>25</v>
      </c>
      <c r="AU129" s="128">
        <v>25</v>
      </c>
      <c r="BJ129" s="128">
        <v>1800</v>
      </c>
      <c r="BL129" s="128" t="s">
        <v>639</v>
      </c>
      <c r="BM129" s="128" t="s">
        <v>325</v>
      </c>
      <c r="BN129" s="128" t="s">
        <v>326</v>
      </c>
      <c r="BO129" s="128">
        <v>0</v>
      </c>
      <c r="BP129" s="128">
        <v>0</v>
      </c>
      <c r="BQ129" s="128">
        <v>0</v>
      </c>
      <c r="BR129" s="128">
        <v>0</v>
      </c>
      <c r="BS129" s="128">
        <v>0</v>
      </c>
      <c r="BT129" s="128">
        <v>20</v>
      </c>
      <c r="BU129" s="128">
        <v>0</v>
      </c>
      <c r="BV129" s="128">
        <v>2</v>
      </c>
      <c r="BW129" s="128">
        <v>3</v>
      </c>
      <c r="BX129" s="128">
        <v>0</v>
      </c>
      <c r="BY129" s="128">
        <v>20</v>
      </c>
      <c r="BZ129" s="128">
        <v>0</v>
      </c>
      <c r="CA129" s="128">
        <v>2</v>
      </c>
      <c r="CB129" s="128">
        <v>3</v>
      </c>
      <c r="CC129" s="128">
        <v>0</v>
      </c>
      <c r="CD129" s="128">
        <v>0</v>
      </c>
      <c r="CE129" s="128">
        <v>25</v>
      </c>
      <c r="CF129" s="128">
        <v>25</v>
      </c>
      <c r="CG129" s="128">
        <v>0</v>
      </c>
      <c r="CH129" s="128">
        <v>0</v>
      </c>
      <c r="CI129" s="128">
        <v>0</v>
      </c>
      <c r="CJ129" s="128">
        <v>0</v>
      </c>
      <c r="CK129" s="128">
        <v>0</v>
      </c>
      <c r="CL129" s="128">
        <v>0</v>
      </c>
      <c r="CM129" s="128">
        <v>21</v>
      </c>
      <c r="CN129" s="128">
        <v>0</v>
      </c>
      <c r="CO129" s="128">
        <v>2</v>
      </c>
      <c r="CP129" s="128">
        <v>2</v>
      </c>
      <c r="CQ129" s="128">
        <v>0</v>
      </c>
      <c r="CR129" s="128">
        <v>21</v>
      </c>
      <c r="CS129" s="128">
        <v>0</v>
      </c>
      <c r="CT129" s="128">
        <v>2</v>
      </c>
      <c r="CU129" s="128">
        <v>2</v>
      </c>
      <c r="CV129" s="128">
        <v>0</v>
      </c>
      <c r="CW129" s="128">
        <v>0</v>
      </c>
      <c r="CX129" s="128">
        <v>25</v>
      </c>
      <c r="CY129" s="128">
        <v>25</v>
      </c>
      <c r="CZ129" s="128">
        <v>0</v>
      </c>
      <c r="EP129" s="128">
        <v>2</v>
      </c>
      <c r="EQ129" s="128">
        <v>1.1000000000000001</v>
      </c>
      <c r="ER129" s="128">
        <v>1.1000000000000001</v>
      </c>
      <c r="ES129" s="128">
        <v>400000</v>
      </c>
      <c r="ET129" s="128">
        <v>150000</v>
      </c>
      <c r="FO129" s="128">
        <v>2</v>
      </c>
      <c r="FP129" s="128">
        <v>0.2</v>
      </c>
      <c r="FQ129" s="128">
        <v>0.2</v>
      </c>
      <c r="FR129" s="128">
        <v>55000</v>
      </c>
      <c r="FS129" s="128">
        <v>0</v>
      </c>
      <c r="IS129" s="128">
        <v>1</v>
      </c>
      <c r="IT129" s="128">
        <v>300</v>
      </c>
      <c r="IU129" s="128">
        <v>0.14299999999999999</v>
      </c>
      <c r="IV129" s="128">
        <v>90000</v>
      </c>
      <c r="IW129" s="128">
        <v>50000</v>
      </c>
      <c r="KG129" s="128">
        <v>0</v>
      </c>
      <c r="KI129" s="128">
        <v>1.1000000000000001</v>
      </c>
      <c r="KJ129" s="128">
        <v>0</v>
      </c>
      <c r="KK129" s="128">
        <v>0</v>
      </c>
      <c r="KL129" s="128">
        <v>0</v>
      </c>
      <c r="KM129" s="128">
        <v>1.1000000000000001</v>
      </c>
      <c r="KN129" s="128">
        <v>455000</v>
      </c>
      <c r="KO129" s="128">
        <v>150000</v>
      </c>
      <c r="KP129" s="128">
        <v>150000</v>
      </c>
      <c r="KT129" s="128">
        <v>0</v>
      </c>
      <c r="KU129" s="128">
        <v>0</v>
      </c>
      <c r="KV129" s="128">
        <v>0</v>
      </c>
      <c r="KZ129" s="128">
        <v>90000</v>
      </c>
      <c r="LA129" s="128">
        <v>50000</v>
      </c>
      <c r="LB129" s="128">
        <v>50000</v>
      </c>
      <c r="LF129" s="128">
        <v>0</v>
      </c>
      <c r="LG129" s="128">
        <v>0</v>
      </c>
      <c r="LH129" s="128">
        <v>0</v>
      </c>
      <c r="LL129" s="128">
        <v>0</v>
      </c>
      <c r="LM129" s="128">
        <v>0</v>
      </c>
      <c r="LN129" s="128">
        <v>0</v>
      </c>
      <c r="LR129" s="128">
        <v>0</v>
      </c>
      <c r="LS129" s="128">
        <v>0</v>
      </c>
      <c r="LT129" s="128">
        <v>0</v>
      </c>
      <c r="LX129" s="128">
        <v>0</v>
      </c>
      <c r="LY129" s="128">
        <v>0</v>
      </c>
      <c r="LZ129" s="128">
        <v>0</v>
      </c>
      <c r="MD129" s="128">
        <v>1000</v>
      </c>
      <c r="ME129" s="128">
        <v>0</v>
      </c>
      <c r="MF129" s="128">
        <v>0</v>
      </c>
      <c r="MJ129" s="128">
        <v>0</v>
      </c>
      <c r="MK129" s="128">
        <v>0</v>
      </c>
      <c r="ML129" s="128">
        <v>0</v>
      </c>
      <c r="MP129" s="128">
        <v>0</v>
      </c>
      <c r="MQ129" s="128">
        <v>0</v>
      </c>
      <c r="MR129" s="128">
        <v>0</v>
      </c>
      <c r="MV129" s="128">
        <v>4000</v>
      </c>
      <c r="MW129" s="128">
        <v>0</v>
      </c>
      <c r="MX129" s="128">
        <v>0</v>
      </c>
      <c r="NB129" s="128">
        <v>1000</v>
      </c>
      <c r="NC129" s="128">
        <v>0</v>
      </c>
      <c r="ND129" s="128">
        <v>0</v>
      </c>
      <c r="NH129" s="128">
        <v>0</v>
      </c>
      <c r="NI129" s="128">
        <v>0</v>
      </c>
      <c r="NJ129" s="128">
        <v>0</v>
      </c>
      <c r="NN129" s="128">
        <v>0</v>
      </c>
      <c r="NO129" s="128">
        <v>0</v>
      </c>
      <c r="NP129" s="128">
        <v>0</v>
      </c>
      <c r="NT129" s="128">
        <v>6000</v>
      </c>
      <c r="NU129" s="128">
        <v>0</v>
      </c>
      <c r="NV129" s="128">
        <v>0</v>
      </c>
      <c r="NZ129" s="128">
        <v>20000</v>
      </c>
      <c r="OA129" s="128">
        <v>0</v>
      </c>
      <c r="OB129" s="128">
        <v>0</v>
      </c>
      <c r="OF129" s="128">
        <v>2000</v>
      </c>
      <c r="OG129" s="128">
        <v>0</v>
      </c>
      <c r="OH129" s="128">
        <v>0</v>
      </c>
      <c r="OL129" s="128">
        <v>0</v>
      </c>
      <c r="OM129" s="128">
        <v>0</v>
      </c>
      <c r="ON129" s="128">
        <v>0</v>
      </c>
      <c r="OR129" s="128">
        <v>0</v>
      </c>
      <c r="OS129" s="128">
        <v>0</v>
      </c>
      <c r="OT129" s="128">
        <v>0</v>
      </c>
      <c r="OX129" s="128">
        <v>0</v>
      </c>
      <c r="OY129" s="128">
        <v>0</v>
      </c>
      <c r="OZ129" s="128">
        <v>0</v>
      </c>
      <c r="PD129" s="128">
        <v>0</v>
      </c>
      <c r="PE129" s="128">
        <v>0</v>
      </c>
      <c r="PF129" s="128">
        <v>0</v>
      </c>
      <c r="PJ129" s="128">
        <v>0</v>
      </c>
      <c r="PK129" s="128">
        <v>0</v>
      </c>
      <c r="PL129" s="128">
        <v>0</v>
      </c>
      <c r="PP129" s="128">
        <v>579000</v>
      </c>
      <c r="PQ129" s="128">
        <v>200000</v>
      </c>
      <c r="PR129" s="128">
        <v>200000</v>
      </c>
      <c r="PS129" s="128">
        <v>100</v>
      </c>
      <c r="PT129" s="128">
        <v>100</v>
      </c>
      <c r="PV129" s="128">
        <v>321678</v>
      </c>
      <c r="PX129" s="128">
        <v>100000</v>
      </c>
      <c r="PY129" s="128">
        <v>150000</v>
      </c>
      <c r="PZ129" s="128">
        <v>200000</v>
      </c>
      <c r="QA129" s="128">
        <v>0</v>
      </c>
      <c r="QB129" s="128">
        <v>0</v>
      </c>
      <c r="QC129" s="128">
        <v>0</v>
      </c>
      <c r="QD129" s="128">
        <v>147190</v>
      </c>
      <c r="QE129" s="128">
        <v>140409</v>
      </c>
      <c r="QF129" s="128">
        <v>184000</v>
      </c>
      <c r="QG129" s="128">
        <v>0</v>
      </c>
      <c r="QH129" s="128">
        <v>0</v>
      </c>
      <c r="QI129" s="128">
        <v>0</v>
      </c>
      <c r="QJ129" s="128">
        <v>92455</v>
      </c>
      <c r="QK129" s="128">
        <v>90000</v>
      </c>
      <c r="QL129" s="128">
        <v>95000</v>
      </c>
      <c r="QN129" s="128">
        <v>0</v>
      </c>
      <c r="QO129" s="128">
        <v>0</v>
      </c>
      <c r="QP129" s="128">
        <v>0</v>
      </c>
      <c r="QU129" s="128">
        <v>100000</v>
      </c>
      <c r="QV129" s="128">
        <v>59591</v>
      </c>
      <c r="QW129" s="128">
        <v>100000</v>
      </c>
      <c r="RH129" s="128">
        <f t="shared" si="209"/>
        <v>484000</v>
      </c>
      <c r="RI129" s="128">
        <v>0</v>
      </c>
      <c r="RM129" s="128" t="s">
        <v>220</v>
      </c>
      <c r="RU129" s="130"/>
      <c r="RV129" s="130"/>
      <c r="RW129" s="130"/>
      <c r="RX129" s="130"/>
      <c r="SF129" s="128">
        <f t="shared" si="119"/>
        <v>5141443</v>
      </c>
      <c r="SG129" s="131">
        <f t="shared" si="120"/>
        <v>579000</v>
      </c>
      <c r="SH129" s="131">
        <f t="shared" si="121"/>
        <v>579000</v>
      </c>
      <c r="SI129" s="131">
        <f t="shared" si="122"/>
        <v>545000</v>
      </c>
      <c r="SJ129" s="132">
        <f t="shared" si="123"/>
        <v>455000</v>
      </c>
      <c r="SK129" s="132">
        <f t="shared" si="124"/>
        <v>0</v>
      </c>
      <c r="SL129" s="132">
        <f t="shared" si="125"/>
        <v>90000</v>
      </c>
      <c r="SM129" s="132">
        <f t="shared" si="126"/>
        <v>0</v>
      </c>
      <c r="SN129" s="131">
        <f t="shared" si="127"/>
        <v>34000</v>
      </c>
      <c r="SO129" s="131">
        <f t="shared" si="128"/>
        <v>0</v>
      </c>
      <c r="SP129" s="132">
        <f t="shared" si="129"/>
        <v>0</v>
      </c>
      <c r="SQ129" s="132">
        <f t="shared" si="130"/>
        <v>0</v>
      </c>
      <c r="SR129" s="132">
        <f t="shared" si="131"/>
        <v>0</v>
      </c>
      <c r="SS129" s="132">
        <f t="shared" si="132"/>
        <v>1000</v>
      </c>
      <c r="ST129" s="132">
        <f t="shared" si="133"/>
        <v>0</v>
      </c>
      <c r="SU129" s="132">
        <f t="shared" si="134"/>
        <v>0</v>
      </c>
      <c r="SV129" s="131">
        <f t="shared" si="135"/>
        <v>33000</v>
      </c>
      <c r="SW129" s="132">
        <f t="shared" si="136"/>
        <v>4000</v>
      </c>
      <c r="SX129" s="132">
        <f t="shared" si="137"/>
        <v>1000</v>
      </c>
      <c r="SY129" s="132">
        <f t="shared" si="138"/>
        <v>0</v>
      </c>
      <c r="SZ129" s="132">
        <f t="shared" si="139"/>
        <v>0</v>
      </c>
      <c r="TA129" s="132">
        <f t="shared" si="140"/>
        <v>6000</v>
      </c>
      <c r="TB129" s="132">
        <f t="shared" si="141"/>
        <v>20000</v>
      </c>
      <c r="TC129" s="132">
        <f t="shared" si="142"/>
        <v>2000</v>
      </c>
      <c r="TD129" s="132">
        <f t="shared" si="143"/>
        <v>0</v>
      </c>
      <c r="TE129" s="132">
        <f t="shared" si="144"/>
        <v>0</v>
      </c>
      <c r="TF129" s="132">
        <f t="shared" si="145"/>
        <v>0</v>
      </c>
      <c r="TG129" s="132">
        <f t="shared" si="146"/>
        <v>0</v>
      </c>
      <c r="TH129" s="132">
        <f t="shared" si="147"/>
        <v>0</v>
      </c>
      <c r="TI129" s="1"/>
      <c r="TJ129" s="131">
        <f t="shared" si="148"/>
        <v>200000</v>
      </c>
      <c r="TK129" s="131">
        <f t="shared" si="149"/>
        <v>200000</v>
      </c>
      <c r="TL129" s="131">
        <f t="shared" si="150"/>
        <v>200000</v>
      </c>
      <c r="TM129" s="132">
        <f t="shared" si="151"/>
        <v>150000</v>
      </c>
      <c r="TN129" s="132">
        <f t="shared" si="152"/>
        <v>0</v>
      </c>
      <c r="TO129" s="132">
        <f t="shared" si="153"/>
        <v>50000</v>
      </c>
      <c r="TP129" s="132">
        <f t="shared" si="154"/>
        <v>0</v>
      </c>
      <c r="TQ129" s="131">
        <f t="shared" si="155"/>
        <v>0</v>
      </c>
      <c r="TR129" s="131">
        <f t="shared" si="156"/>
        <v>0</v>
      </c>
      <c r="TS129" s="132">
        <f t="shared" si="157"/>
        <v>0</v>
      </c>
      <c r="TT129" s="132">
        <f t="shared" si="158"/>
        <v>0</v>
      </c>
      <c r="TU129" s="132">
        <f t="shared" si="159"/>
        <v>0</v>
      </c>
      <c r="TV129" s="132">
        <f t="shared" si="160"/>
        <v>0</v>
      </c>
      <c r="TW129" s="132">
        <f t="shared" si="161"/>
        <v>0</v>
      </c>
      <c r="TX129" s="132">
        <f t="shared" si="162"/>
        <v>0</v>
      </c>
      <c r="TY129" s="131">
        <f t="shared" si="163"/>
        <v>0</v>
      </c>
      <c r="TZ129" s="132">
        <f t="shared" si="164"/>
        <v>0</v>
      </c>
      <c r="UA129" s="132">
        <f t="shared" si="165"/>
        <v>0</v>
      </c>
      <c r="UB129" s="132">
        <f t="shared" si="166"/>
        <v>0</v>
      </c>
      <c r="UC129" s="132">
        <f t="shared" si="167"/>
        <v>0</v>
      </c>
      <c r="UD129" s="132">
        <f t="shared" si="168"/>
        <v>0</v>
      </c>
      <c r="UE129" s="132">
        <f t="shared" si="169"/>
        <v>0</v>
      </c>
      <c r="UF129" s="132">
        <f t="shared" si="170"/>
        <v>0</v>
      </c>
      <c r="UG129" s="132">
        <f t="shared" si="171"/>
        <v>0</v>
      </c>
      <c r="UH129" s="132">
        <f t="shared" si="172"/>
        <v>0</v>
      </c>
      <c r="UI129" s="132">
        <f t="shared" si="173"/>
        <v>0</v>
      </c>
      <c r="UJ129" s="132">
        <f t="shared" si="174"/>
        <v>0</v>
      </c>
      <c r="UK129" s="132">
        <f t="shared" si="175"/>
        <v>0</v>
      </c>
      <c r="UL129" s="132">
        <f t="shared" si="210"/>
        <v>200000</v>
      </c>
      <c r="UM129" s="131">
        <f t="shared" si="176"/>
        <v>200000</v>
      </c>
      <c r="UN129" s="131">
        <f t="shared" si="177"/>
        <v>200000</v>
      </c>
      <c r="UO129" s="131">
        <f t="shared" si="178"/>
        <v>200000</v>
      </c>
      <c r="UP129" s="132">
        <f t="shared" si="179"/>
        <v>150000</v>
      </c>
      <c r="UQ129" s="132">
        <f t="shared" si="180"/>
        <v>0</v>
      </c>
      <c r="UR129" s="132">
        <f t="shared" si="181"/>
        <v>50000</v>
      </c>
      <c r="US129" s="132">
        <f t="shared" si="182"/>
        <v>0</v>
      </c>
      <c r="UT129" s="131">
        <f t="shared" si="183"/>
        <v>0</v>
      </c>
      <c r="UU129" s="131">
        <f t="shared" si="184"/>
        <v>0</v>
      </c>
      <c r="UV129" s="132">
        <f t="shared" si="185"/>
        <v>0</v>
      </c>
      <c r="UW129" s="132">
        <f t="shared" si="186"/>
        <v>0</v>
      </c>
      <c r="UX129" s="132">
        <f t="shared" si="187"/>
        <v>0</v>
      </c>
      <c r="UY129" s="132">
        <f t="shared" si="188"/>
        <v>0</v>
      </c>
      <c r="UZ129" s="132">
        <f t="shared" si="189"/>
        <v>0</v>
      </c>
      <c r="VA129" s="132">
        <f t="shared" si="190"/>
        <v>0</v>
      </c>
      <c r="VB129" s="131">
        <f t="shared" si="191"/>
        <v>0</v>
      </c>
      <c r="VC129" s="132">
        <f t="shared" si="192"/>
        <v>0</v>
      </c>
      <c r="VD129" s="132">
        <f t="shared" si="193"/>
        <v>0</v>
      </c>
      <c r="VE129" s="132">
        <f t="shared" si="194"/>
        <v>0</v>
      </c>
      <c r="VF129" s="132">
        <f t="shared" si="195"/>
        <v>0</v>
      </c>
      <c r="VG129" s="132">
        <f t="shared" si="196"/>
        <v>0</v>
      </c>
      <c r="VH129" s="132">
        <f t="shared" si="197"/>
        <v>0</v>
      </c>
      <c r="VI129" s="132">
        <f t="shared" si="198"/>
        <v>0</v>
      </c>
      <c r="VJ129" s="132">
        <f t="shared" si="199"/>
        <v>0</v>
      </c>
      <c r="VK129" s="132">
        <f t="shared" si="200"/>
        <v>0</v>
      </c>
      <c r="VL129" s="132">
        <f t="shared" si="201"/>
        <v>0</v>
      </c>
      <c r="VM129" s="132">
        <f t="shared" si="202"/>
        <v>0</v>
      </c>
      <c r="VN129" s="132">
        <f t="shared" si="203"/>
        <v>0</v>
      </c>
      <c r="VP129" s="845" t="str">
        <f>IFERROR(HLOOKUP(F129,'Hodnocení '!$C$1:$JH$5,2,FALSE),0)</f>
        <v>Dům s pečovatelskou službou</v>
      </c>
      <c r="VQ129" s="838"/>
      <c r="VR129" s="845" t="str">
        <f t="shared" si="211"/>
        <v>Obec</v>
      </c>
      <c r="VS129" s="845" t="str">
        <f>IFERROR(HLOOKUP(F129,'Hodnocení '!$C$1:$JH$5,5,FALSE),0)</f>
        <v>Obce</v>
      </c>
      <c r="VT129" s="838" t="str">
        <f t="shared" si="212"/>
        <v>Obec</v>
      </c>
      <c r="VU129" s="838">
        <f t="shared" si="213"/>
        <v>0</v>
      </c>
      <c r="VV129" s="838">
        <f t="shared" si="214"/>
        <v>95000</v>
      </c>
      <c r="VW129" s="838">
        <f t="shared" si="215"/>
        <v>0</v>
      </c>
      <c r="VX129" s="838"/>
      <c r="VY129" s="838">
        <f t="shared" si="216"/>
        <v>0</v>
      </c>
      <c r="VZ129" s="838">
        <f t="shared" si="217"/>
        <v>200000</v>
      </c>
      <c r="WA129" s="846">
        <f>IFERROR(HLOOKUP($F129,'Hodnocení '!$C$1:$JH$9,9,FALSE),0)</f>
        <v>200000</v>
      </c>
      <c r="WB129" s="846">
        <f>IF(IFERROR(HLOOKUP($F129,'Hodnocení '!$C$1:$JH$13,13,FALSE),0)&gt;WA129,WA129,IFERROR(HLOOKUP($F129,'Hodnocení '!$C$1:$JH$13,13,FALSE),0))</f>
        <v>200000</v>
      </c>
      <c r="WC129" s="846">
        <f>IFERROR(HLOOKUP($F129,'Hodnocení '!$C$1:$JH$155,155,FALSE),0)</f>
        <v>200000</v>
      </c>
      <c r="WD129" s="845"/>
      <c r="WE129" s="845"/>
      <c r="WF129" s="845" t="str">
        <f t="shared" si="204"/>
        <v>ANO</v>
      </c>
      <c r="WG129" s="849" t="str">
        <f t="shared" si="218"/>
        <v>Podpora služby je vyjádřena zařazením do sítě sociálních služeb v KHK a řešením financování služby</v>
      </c>
      <c r="WH129"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29" s="849" t="str">
        <f t="shared" si="218"/>
        <v>Návrh dotace je výsledkem projednání s ostatními zadavateli v rámci sítě služeb KHK</v>
      </c>
      <c r="WJ129" s="849" t="str">
        <f t="shared" si="218"/>
        <v>Bez komentáře</v>
      </c>
      <c r="WK129" s="31">
        <f t="shared" si="205"/>
        <v>0</v>
      </c>
      <c r="WL129" s="850">
        <f t="shared" si="206"/>
        <v>0</v>
      </c>
      <c r="WM129" s="849" t="str">
        <f t="shared" si="207"/>
        <v>V rámci sítě KHK se dlouhodobě řeší otázka navyšování úhrad a průběžně se monitoruje s vazbou na vykrytí vyrovnávací platby</v>
      </c>
      <c r="WN129" s="849">
        <f t="shared" si="208"/>
        <v>0</v>
      </c>
      <c r="WO129" s="849" t="str">
        <f t="shared" si="219"/>
        <v>bez komentáře</v>
      </c>
      <c r="WP129" s="849" t="str">
        <f t="shared" si="219"/>
        <v>bez komentáře</v>
      </c>
      <c r="WQ129" s="849" t="str">
        <f t="shared" si="219"/>
        <v>Konečná výše dotace z rozpočtu KHK bude řešena v návaznosti na řešení podílů jednotlivých zadavatelů.</v>
      </c>
      <c r="WR129" s="849" t="str">
        <f t="shared" si="219"/>
        <v>Konečná výše podpory ze stran obcí bude řešena v součinnosti s jednotlivými zadavateli v průběhu roku.</v>
      </c>
      <c r="WS129" s="849" t="str">
        <f t="shared" si="219"/>
        <v>bez komentáře</v>
      </c>
      <c r="WT129" s="849" t="str">
        <f t="shared" si="219"/>
        <v>bez komentáře</v>
      </c>
      <c r="WU129" s="845"/>
    </row>
    <row r="130" spans="1:619" s="128" customFormat="1" x14ac:dyDescent="0.25">
      <c r="A130" s="128" t="str">
        <f>VLOOKUP(F130,'Výpočet VP 2020'!$D$324:$I$588,6,FALSE)</f>
        <v>Je v síti</v>
      </c>
      <c r="B130" s="128" t="s">
        <v>640</v>
      </c>
      <c r="C130" s="128">
        <v>272876</v>
      </c>
      <c r="D130" s="128" t="s">
        <v>641</v>
      </c>
      <c r="E130" s="128" t="s">
        <v>604</v>
      </c>
      <c r="F130" s="128">
        <v>3994122</v>
      </c>
      <c r="G130" s="128" t="s">
        <v>235</v>
      </c>
      <c r="H130" s="128" t="s">
        <v>230</v>
      </c>
      <c r="I130" s="128" t="s">
        <v>642</v>
      </c>
      <c r="J130" s="129">
        <v>42370</v>
      </c>
      <c r="L130" s="128" t="s">
        <v>220</v>
      </c>
      <c r="X130" s="128" t="s">
        <v>564</v>
      </c>
      <c r="Z130" s="128">
        <v>25</v>
      </c>
      <c r="AA130" s="128">
        <v>2</v>
      </c>
      <c r="AB130" s="128">
        <v>30</v>
      </c>
      <c r="AC130" s="128">
        <v>16</v>
      </c>
      <c r="AD130" s="128">
        <v>15</v>
      </c>
      <c r="AO130" s="128" t="s">
        <v>643</v>
      </c>
      <c r="AP130" s="128" t="s">
        <v>238</v>
      </c>
      <c r="AQ130" s="128">
        <v>4</v>
      </c>
      <c r="AR130" s="128">
        <v>2</v>
      </c>
      <c r="AS130" s="128">
        <v>30</v>
      </c>
      <c r="AT130" s="128">
        <v>16</v>
      </c>
      <c r="AU130" s="128">
        <v>15</v>
      </c>
      <c r="BL130" s="128" t="s">
        <v>644</v>
      </c>
      <c r="BM130" s="128" t="s">
        <v>645</v>
      </c>
      <c r="BN130" s="128" t="s">
        <v>646</v>
      </c>
      <c r="EK130" s="128">
        <v>3</v>
      </c>
      <c r="EL130" s="128">
        <v>2.2000000000000002</v>
      </c>
      <c r="EM130" s="128">
        <v>2.2000000000000002</v>
      </c>
      <c r="EN130" s="128">
        <v>1011792</v>
      </c>
      <c r="EO130" s="128">
        <v>1011792</v>
      </c>
      <c r="EP130" s="128">
        <v>1</v>
      </c>
      <c r="EQ130" s="128">
        <v>1</v>
      </c>
      <c r="ER130" s="128">
        <v>1</v>
      </c>
      <c r="ES130" s="128">
        <v>451444</v>
      </c>
      <c r="ET130" s="128">
        <v>336444</v>
      </c>
      <c r="FO130" s="128">
        <v>1</v>
      </c>
      <c r="FP130" s="128">
        <v>0.8</v>
      </c>
      <c r="FQ130" s="128">
        <v>0.8</v>
      </c>
      <c r="FR130" s="128">
        <v>451764</v>
      </c>
      <c r="FS130" s="128">
        <v>451764</v>
      </c>
      <c r="KG130" s="128">
        <v>0</v>
      </c>
      <c r="KI130" s="128">
        <v>3.2</v>
      </c>
      <c r="KJ130" s="128">
        <v>0</v>
      </c>
      <c r="KK130" s="128">
        <v>0</v>
      </c>
      <c r="KL130" s="128">
        <v>0</v>
      </c>
      <c r="KM130" s="128">
        <v>3.2</v>
      </c>
      <c r="KN130" s="128">
        <v>1915000</v>
      </c>
      <c r="KO130" s="128">
        <v>1800000</v>
      </c>
      <c r="KP130" s="128">
        <v>1800000</v>
      </c>
      <c r="KT130" s="128">
        <v>0</v>
      </c>
      <c r="KU130" s="128">
        <v>0</v>
      </c>
      <c r="KV130" s="128">
        <v>0</v>
      </c>
      <c r="KZ130" s="128">
        <v>0</v>
      </c>
      <c r="LA130" s="128">
        <v>0</v>
      </c>
      <c r="LB130" s="128">
        <v>0</v>
      </c>
      <c r="LF130" s="128">
        <v>0</v>
      </c>
      <c r="LG130" s="128">
        <v>0</v>
      </c>
      <c r="LH130" s="128">
        <v>0</v>
      </c>
      <c r="LL130" s="128">
        <v>0</v>
      </c>
      <c r="LM130" s="128">
        <v>0</v>
      </c>
      <c r="LN130" s="128">
        <v>0</v>
      </c>
      <c r="LR130" s="128">
        <v>5000</v>
      </c>
      <c r="LS130" s="128">
        <v>0</v>
      </c>
      <c r="LT130" s="128">
        <v>0</v>
      </c>
      <c r="LX130" s="128">
        <v>3000</v>
      </c>
      <c r="LY130" s="128">
        <v>0</v>
      </c>
      <c r="LZ130" s="128">
        <v>0</v>
      </c>
      <c r="MD130" s="128">
        <v>0</v>
      </c>
      <c r="ME130" s="128">
        <v>0</v>
      </c>
      <c r="MF130" s="128">
        <v>0</v>
      </c>
      <c r="MJ130" s="128">
        <v>0</v>
      </c>
      <c r="MK130" s="128">
        <v>0</v>
      </c>
      <c r="ML130" s="128">
        <v>0</v>
      </c>
      <c r="MP130" s="128">
        <v>42000</v>
      </c>
      <c r="MQ130" s="128">
        <v>0</v>
      </c>
      <c r="MR130" s="128">
        <v>0</v>
      </c>
      <c r="MV130" s="128">
        <v>80000</v>
      </c>
      <c r="MW130" s="128">
        <v>0</v>
      </c>
      <c r="MX130" s="128">
        <v>0</v>
      </c>
      <c r="NB130" s="128">
        <v>25000</v>
      </c>
      <c r="NC130" s="128">
        <v>0</v>
      </c>
      <c r="ND130" s="128">
        <v>0</v>
      </c>
      <c r="NH130" s="128">
        <v>0</v>
      </c>
      <c r="NI130" s="128">
        <v>0</v>
      </c>
      <c r="NJ130" s="128">
        <v>0</v>
      </c>
      <c r="NN130" s="128">
        <v>0</v>
      </c>
      <c r="NO130" s="128">
        <v>0</v>
      </c>
      <c r="NP130" s="128">
        <v>0</v>
      </c>
      <c r="NT130" s="128">
        <v>30000</v>
      </c>
      <c r="NU130" s="128">
        <v>0</v>
      </c>
      <c r="NV130" s="128">
        <v>0</v>
      </c>
      <c r="NZ130" s="128">
        <v>0</v>
      </c>
      <c r="OA130" s="128">
        <v>0</v>
      </c>
      <c r="OB130" s="128">
        <v>0</v>
      </c>
      <c r="OF130" s="128">
        <v>20000</v>
      </c>
      <c r="OG130" s="128">
        <v>0</v>
      </c>
      <c r="OH130" s="128">
        <v>0</v>
      </c>
      <c r="OL130" s="128">
        <v>0</v>
      </c>
      <c r="OM130" s="128">
        <v>0</v>
      </c>
      <c r="ON130" s="128">
        <v>0</v>
      </c>
      <c r="OR130" s="128">
        <v>0</v>
      </c>
      <c r="OS130" s="128">
        <v>0</v>
      </c>
      <c r="OT130" s="128">
        <v>0</v>
      </c>
      <c r="OX130" s="128">
        <v>140000</v>
      </c>
      <c r="OY130" s="128">
        <v>0</v>
      </c>
      <c r="OZ130" s="128">
        <v>0</v>
      </c>
      <c r="PD130" s="128">
        <v>0</v>
      </c>
      <c r="PE130" s="128">
        <v>0</v>
      </c>
      <c r="PF130" s="128">
        <v>0</v>
      </c>
      <c r="PJ130" s="128">
        <v>40000</v>
      </c>
      <c r="PK130" s="128">
        <v>0</v>
      </c>
      <c r="PL130" s="128">
        <v>0</v>
      </c>
      <c r="PP130" s="128">
        <v>2300000</v>
      </c>
      <c r="PQ130" s="128">
        <v>1800000</v>
      </c>
      <c r="PR130" s="128">
        <v>1800000</v>
      </c>
      <c r="PS130" s="128">
        <v>100</v>
      </c>
      <c r="PT130" s="128">
        <v>100</v>
      </c>
      <c r="PX130" s="128">
        <v>118348</v>
      </c>
      <c r="PY130" s="128">
        <v>774410</v>
      </c>
      <c r="PZ130" s="128">
        <v>1800000</v>
      </c>
      <c r="QA130" s="128">
        <v>0</v>
      </c>
      <c r="QB130" s="128">
        <v>0</v>
      </c>
      <c r="QC130" s="128">
        <v>0</v>
      </c>
      <c r="QD130" s="128">
        <v>766546</v>
      </c>
      <c r="QE130" s="128">
        <v>867259</v>
      </c>
      <c r="QF130" s="128">
        <v>500000</v>
      </c>
      <c r="QG130" s="128">
        <v>0</v>
      </c>
      <c r="QH130" s="128">
        <v>0</v>
      </c>
      <c r="QI130" s="128">
        <v>0</v>
      </c>
      <c r="QJ130" s="128">
        <v>0</v>
      </c>
      <c r="QK130" s="128">
        <v>0</v>
      </c>
      <c r="QL130" s="128">
        <v>0</v>
      </c>
      <c r="QN130" s="128">
        <v>0</v>
      </c>
      <c r="QO130" s="128">
        <v>0</v>
      </c>
      <c r="QP130" s="128">
        <v>0</v>
      </c>
      <c r="RD130" s="128">
        <v>1286640</v>
      </c>
      <c r="RE130" s="128">
        <v>643331</v>
      </c>
      <c r="RF130" s="128">
        <v>0</v>
      </c>
      <c r="RH130" s="128">
        <f t="shared" si="209"/>
        <v>2300000</v>
      </c>
      <c r="RI130" s="128">
        <v>0</v>
      </c>
      <c r="RM130" s="128" t="s">
        <v>220</v>
      </c>
      <c r="RU130" s="130"/>
      <c r="RV130" s="130"/>
      <c r="RW130" s="130"/>
      <c r="RX130" s="130"/>
      <c r="SF130" s="128">
        <f t="shared" si="119"/>
        <v>3994122</v>
      </c>
      <c r="SG130" s="131">
        <f t="shared" si="120"/>
        <v>2300000</v>
      </c>
      <c r="SH130" s="131">
        <f t="shared" si="121"/>
        <v>2300000</v>
      </c>
      <c r="SI130" s="131">
        <f t="shared" si="122"/>
        <v>1915000</v>
      </c>
      <c r="SJ130" s="132">
        <f t="shared" si="123"/>
        <v>1915000</v>
      </c>
      <c r="SK130" s="132">
        <f t="shared" si="124"/>
        <v>0</v>
      </c>
      <c r="SL130" s="132">
        <f t="shared" si="125"/>
        <v>0</v>
      </c>
      <c r="SM130" s="132">
        <f t="shared" si="126"/>
        <v>0</v>
      </c>
      <c r="SN130" s="131">
        <f t="shared" si="127"/>
        <v>385000</v>
      </c>
      <c r="SO130" s="131">
        <f t="shared" si="128"/>
        <v>5000</v>
      </c>
      <c r="SP130" s="132">
        <f t="shared" si="129"/>
        <v>0</v>
      </c>
      <c r="SQ130" s="132">
        <f t="shared" si="130"/>
        <v>5000</v>
      </c>
      <c r="SR130" s="132">
        <f t="shared" si="131"/>
        <v>3000</v>
      </c>
      <c r="SS130" s="132">
        <f t="shared" si="132"/>
        <v>0</v>
      </c>
      <c r="ST130" s="132">
        <f t="shared" si="133"/>
        <v>0</v>
      </c>
      <c r="SU130" s="132">
        <f t="shared" si="134"/>
        <v>42000</v>
      </c>
      <c r="SV130" s="131">
        <f t="shared" si="135"/>
        <v>295000</v>
      </c>
      <c r="SW130" s="132">
        <f t="shared" si="136"/>
        <v>80000</v>
      </c>
      <c r="SX130" s="132">
        <f t="shared" si="137"/>
        <v>25000</v>
      </c>
      <c r="SY130" s="132">
        <f t="shared" si="138"/>
        <v>0</v>
      </c>
      <c r="SZ130" s="132">
        <f t="shared" si="139"/>
        <v>0</v>
      </c>
      <c r="TA130" s="132">
        <f t="shared" si="140"/>
        <v>30000</v>
      </c>
      <c r="TB130" s="132">
        <f t="shared" si="141"/>
        <v>0</v>
      </c>
      <c r="TC130" s="132">
        <f t="shared" si="142"/>
        <v>20000</v>
      </c>
      <c r="TD130" s="132">
        <f t="shared" si="143"/>
        <v>0</v>
      </c>
      <c r="TE130" s="132">
        <f t="shared" si="144"/>
        <v>0</v>
      </c>
      <c r="TF130" s="132">
        <f t="shared" si="145"/>
        <v>140000</v>
      </c>
      <c r="TG130" s="132">
        <f t="shared" si="146"/>
        <v>0</v>
      </c>
      <c r="TH130" s="132">
        <f t="shared" si="147"/>
        <v>40000</v>
      </c>
      <c r="TI130" s="1"/>
      <c r="TJ130" s="131">
        <f t="shared" si="148"/>
        <v>1800000</v>
      </c>
      <c r="TK130" s="131">
        <f t="shared" si="149"/>
        <v>1800000</v>
      </c>
      <c r="TL130" s="131">
        <f t="shared" si="150"/>
        <v>1800000</v>
      </c>
      <c r="TM130" s="132">
        <f t="shared" si="151"/>
        <v>1800000</v>
      </c>
      <c r="TN130" s="132">
        <f t="shared" si="152"/>
        <v>0</v>
      </c>
      <c r="TO130" s="132">
        <f t="shared" si="153"/>
        <v>0</v>
      </c>
      <c r="TP130" s="132">
        <f t="shared" si="154"/>
        <v>0</v>
      </c>
      <c r="TQ130" s="131">
        <f t="shared" si="155"/>
        <v>0</v>
      </c>
      <c r="TR130" s="131">
        <f t="shared" si="156"/>
        <v>0</v>
      </c>
      <c r="TS130" s="132">
        <f t="shared" si="157"/>
        <v>0</v>
      </c>
      <c r="TT130" s="132">
        <f t="shared" si="158"/>
        <v>0</v>
      </c>
      <c r="TU130" s="132">
        <f t="shared" si="159"/>
        <v>0</v>
      </c>
      <c r="TV130" s="132">
        <f t="shared" si="160"/>
        <v>0</v>
      </c>
      <c r="TW130" s="132">
        <f t="shared" si="161"/>
        <v>0</v>
      </c>
      <c r="TX130" s="132">
        <f t="shared" si="162"/>
        <v>0</v>
      </c>
      <c r="TY130" s="131">
        <f t="shared" si="163"/>
        <v>0</v>
      </c>
      <c r="TZ130" s="132">
        <f t="shared" si="164"/>
        <v>0</v>
      </c>
      <c r="UA130" s="132">
        <f t="shared" si="165"/>
        <v>0</v>
      </c>
      <c r="UB130" s="132">
        <f t="shared" si="166"/>
        <v>0</v>
      </c>
      <c r="UC130" s="132">
        <f t="shared" si="167"/>
        <v>0</v>
      </c>
      <c r="UD130" s="132">
        <f t="shared" si="168"/>
        <v>0</v>
      </c>
      <c r="UE130" s="132">
        <f t="shared" si="169"/>
        <v>0</v>
      </c>
      <c r="UF130" s="132">
        <f t="shared" si="170"/>
        <v>0</v>
      </c>
      <c r="UG130" s="132">
        <f t="shared" si="171"/>
        <v>0</v>
      </c>
      <c r="UH130" s="132">
        <f t="shared" si="172"/>
        <v>0</v>
      </c>
      <c r="UI130" s="132">
        <f t="shared" si="173"/>
        <v>0</v>
      </c>
      <c r="UJ130" s="132">
        <f t="shared" si="174"/>
        <v>0</v>
      </c>
      <c r="UK130" s="132">
        <f t="shared" si="175"/>
        <v>0</v>
      </c>
      <c r="UL130" s="132">
        <f t="shared" si="210"/>
        <v>1800000</v>
      </c>
      <c r="UM130" s="131">
        <f t="shared" si="176"/>
        <v>1800000</v>
      </c>
      <c r="UN130" s="131">
        <f t="shared" si="177"/>
        <v>1800000</v>
      </c>
      <c r="UO130" s="131">
        <f t="shared" si="178"/>
        <v>1800000</v>
      </c>
      <c r="UP130" s="132">
        <f t="shared" si="179"/>
        <v>1800000</v>
      </c>
      <c r="UQ130" s="132">
        <f t="shared" si="180"/>
        <v>0</v>
      </c>
      <c r="UR130" s="132">
        <f t="shared" si="181"/>
        <v>0</v>
      </c>
      <c r="US130" s="132">
        <f t="shared" si="182"/>
        <v>0</v>
      </c>
      <c r="UT130" s="131">
        <f t="shared" si="183"/>
        <v>0</v>
      </c>
      <c r="UU130" s="131">
        <f t="shared" si="184"/>
        <v>0</v>
      </c>
      <c r="UV130" s="132">
        <f t="shared" si="185"/>
        <v>0</v>
      </c>
      <c r="UW130" s="132">
        <f t="shared" si="186"/>
        <v>0</v>
      </c>
      <c r="UX130" s="132">
        <f t="shared" si="187"/>
        <v>0</v>
      </c>
      <c r="UY130" s="132">
        <f t="shared" si="188"/>
        <v>0</v>
      </c>
      <c r="UZ130" s="132">
        <f t="shared" si="189"/>
        <v>0</v>
      </c>
      <c r="VA130" s="132">
        <f t="shared" si="190"/>
        <v>0</v>
      </c>
      <c r="VB130" s="131">
        <f t="shared" si="191"/>
        <v>0</v>
      </c>
      <c r="VC130" s="132">
        <f t="shared" si="192"/>
        <v>0</v>
      </c>
      <c r="VD130" s="132">
        <f t="shared" si="193"/>
        <v>0</v>
      </c>
      <c r="VE130" s="132">
        <f t="shared" si="194"/>
        <v>0</v>
      </c>
      <c r="VF130" s="132">
        <f t="shared" si="195"/>
        <v>0</v>
      </c>
      <c r="VG130" s="132">
        <f t="shared" si="196"/>
        <v>0</v>
      </c>
      <c r="VH130" s="132">
        <f t="shared" si="197"/>
        <v>0</v>
      </c>
      <c r="VI130" s="132">
        <f t="shared" si="198"/>
        <v>0</v>
      </c>
      <c r="VJ130" s="132">
        <f t="shared" si="199"/>
        <v>0</v>
      </c>
      <c r="VK130" s="132">
        <f t="shared" si="200"/>
        <v>0</v>
      </c>
      <c r="VL130" s="132">
        <f t="shared" si="201"/>
        <v>0</v>
      </c>
      <c r="VM130" s="132">
        <f t="shared" si="202"/>
        <v>0</v>
      </c>
      <c r="VN130" s="132">
        <f t="shared" si="203"/>
        <v>0</v>
      </c>
      <c r="VP130" s="845" t="str">
        <f>IFERROR(HLOOKUP(F130,'Hodnocení '!$C$1:$JH$5,2,FALSE),0)</f>
        <v>Centrum prevence Mandl</v>
      </c>
      <c r="VQ130" s="838"/>
      <c r="VR130" s="845" t="str">
        <f t="shared" si="211"/>
        <v>Obec</v>
      </c>
      <c r="VS130" s="845" t="str">
        <f>IFERROR(HLOOKUP(F130,'Hodnocení '!$C$1:$JH$5,5,FALSE),0)</f>
        <v>Obce</v>
      </c>
      <c r="VT130" s="838" t="str">
        <f t="shared" si="212"/>
        <v>Obec</v>
      </c>
      <c r="VU130" s="838">
        <f t="shared" si="213"/>
        <v>0</v>
      </c>
      <c r="VV130" s="838">
        <f t="shared" si="214"/>
        <v>0</v>
      </c>
      <c r="VW130" s="838">
        <f t="shared" si="215"/>
        <v>0</v>
      </c>
      <c r="VX130" s="838"/>
      <c r="VY130" s="838">
        <f t="shared" si="216"/>
        <v>0</v>
      </c>
      <c r="VZ130" s="838">
        <f t="shared" si="217"/>
        <v>1800000</v>
      </c>
      <c r="WA130" s="846">
        <f>IFERROR(HLOOKUP($F130,'Hodnocení '!$C$1:$JH$9,9,FALSE),0)</f>
        <v>1800000</v>
      </c>
      <c r="WB130" s="846">
        <f>IF(IFERROR(HLOOKUP($F130,'Hodnocení '!$C$1:$JH$13,13,FALSE),0)&gt;WA130,WA130,IFERROR(HLOOKUP($F130,'Hodnocení '!$C$1:$JH$13,13,FALSE),0))</f>
        <v>1800000</v>
      </c>
      <c r="WC130" s="846">
        <f>IFERROR(HLOOKUP($F130,'Hodnocení '!$C$1:$JH$155,155,FALSE),0)</f>
        <v>0</v>
      </c>
      <c r="WD130" s="845"/>
      <c r="WE130" s="845"/>
      <c r="WF130" s="845" t="str">
        <f t="shared" si="204"/>
        <v>ANO</v>
      </c>
      <c r="WG130" s="849" t="str">
        <f t="shared" si="218"/>
        <v>Podpora služby je vyjádřena zařazením do sítě sociálních služeb v KHK a řešením financování služby</v>
      </c>
      <c r="WH130"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30" s="849" t="str">
        <f t="shared" si="218"/>
        <v>Návrh dotace je výsledkem projednání s ostatními zadavateli v rámci sítě služeb KHK</v>
      </c>
      <c r="WJ130" s="849" t="str">
        <f t="shared" si="218"/>
        <v>Bez komentáře</v>
      </c>
      <c r="WK130" s="31">
        <f t="shared" si="205"/>
        <v>0</v>
      </c>
      <c r="WL130" s="850">
        <f t="shared" si="206"/>
        <v>0</v>
      </c>
      <c r="WM130" s="849">
        <f t="shared" si="207"/>
        <v>0</v>
      </c>
      <c r="WN130" s="849">
        <f t="shared" si="208"/>
        <v>0</v>
      </c>
      <c r="WO130" s="849" t="str">
        <f t="shared" si="219"/>
        <v>bez komentáře</v>
      </c>
      <c r="WP130" s="849" t="str">
        <f t="shared" si="219"/>
        <v>bez komentáře</v>
      </c>
      <c r="WQ130" s="849" t="str">
        <f t="shared" si="219"/>
        <v>Konečná výše dotace z rozpočtu KHK bude řešena v návaznosti na řešení podílů jednotlivých zadavatelů.</v>
      </c>
      <c r="WR130" s="849" t="str">
        <f t="shared" si="219"/>
        <v>Konečná výše podpory ze stran obcí bude řešena v součinnosti s jednotlivými zadavateli v průběhu roku.</v>
      </c>
      <c r="WS130" s="849" t="str">
        <f t="shared" si="219"/>
        <v>bez komentáře</v>
      </c>
      <c r="WT130" s="849" t="str">
        <f t="shared" si="219"/>
        <v>bez komentáře</v>
      </c>
      <c r="WU130" s="845"/>
    </row>
    <row r="131" spans="1:619" s="128" customFormat="1" x14ac:dyDescent="0.25">
      <c r="A131" s="128" t="str">
        <f>VLOOKUP(F131,'Výpočet VP 2020'!$D$324:$I$588,6,FALSE)</f>
        <v>Je v síti</v>
      </c>
      <c r="B131" s="128" t="s">
        <v>647</v>
      </c>
      <c r="C131" s="128">
        <v>269247</v>
      </c>
      <c r="D131" s="128" t="s">
        <v>648</v>
      </c>
      <c r="E131" s="128" t="s">
        <v>604</v>
      </c>
      <c r="F131" s="128">
        <v>1272659</v>
      </c>
      <c r="G131" s="128" t="s">
        <v>342</v>
      </c>
      <c r="H131" s="128" t="s">
        <v>230</v>
      </c>
      <c r="I131" s="128" t="s">
        <v>379</v>
      </c>
      <c r="J131" s="129">
        <v>40770</v>
      </c>
      <c r="L131" s="128" t="s">
        <v>220</v>
      </c>
      <c r="X131" s="128" t="s">
        <v>649</v>
      </c>
      <c r="Z131" s="128">
        <v>2</v>
      </c>
      <c r="AA131" s="128">
        <v>8</v>
      </c>
      <c r="AB131" s="128">
        <v>136</v>
      </c>
      <c r="AC131" s="128">
        <v>115</v>
      </c>
      <c r="AD131" s="128">
        <v>50</v>
      </c>
      <c r="AP131" s="128" t="s">
        <v>650</v>
      </c>
      <c r="AQ131" s="128">
        <v>2</v>
      </c>
      <c r="AR131" s="128">
        <v>10</v>
      </c>
      <c r="AS131" s="128">
        <v>136</v>
      </c>
      <c r="AT131" s="128">
        <v>115</v>
      </c>
      <c r="AU131" s="128">
        <v>50</v>
      </c>
      <c r="BL131" s="128" t="s">
        <v>278</v>
      </c>
      <c r="BM131" s="128" t="s">
        <v>279</v>
      </c>
      <c r="BN131" s="128" t="s">
        <v>651</v>
      </c>
      <c r="EK131" s="128">
        <v>1</v>
      </c>
      <c r="EL131" s="128">
        <v>1</v>
      </c>
      <c r="EM131" s="128">
        <v>1</v>
      </c>
      <c r="EN131" s="128">
        <v>450000</v>
      </c>
      <c r="EO131" s="128">
        <v>450000</v>
      </c>
      <c r="EP131" s="128">
        <v>1</v>
      </c>
      <c r="EQ131" s="128">
        <v>1</v>
      </c>
      <c r="ER131" s="128">
        <v>1</v>
      </c>
      <c r="ES131" s="128">
        <v>408000</v>
      </c>
      <c r="ET131" s="128">
        <v>408000</v>
      </c>
      <c r="FO131" s="128">
        <v>1</v>
      </c>
      <c r="FP131" s="128">
        <v>0.1</v>
      </c>
      <c r="FQ131" s="128">
        <v>0.1</v>
      </c>
      <c r="FR131" s="128">
        <v>100000</v>
      </c>
      <c r="FS131" s="128">
        <v>100000</v>
      </c>
      <c r="KG131" s="128">
        <v>0</v>
      </c>
      <c r="KI131" s="128">
        <v>2</v>
      </c>
      <c r="KJ131" s="128">
        <v>0</v>
      </c>
      <c r="KK131" s="128">
        <v>0</v>
      </c>
      <c r="KL131" s="128">
        <v>0</v>
      </c>
      <c r="KM131" s="128">
        <v>2</v>
      </c>
      <c r="KN131" s="128">
        <v>958000</v>
      </c>
      <c r="KO131" s="128">
        <v>958000</v>
      </c>
      <c r="KP131" s="128">
        <v>958000</v>
      </c>
      <c r="KT131" s="128">
        <v>0</v>
      </c>
      <c r="KU131" s="128">
        <v>0</v>
      </c>
      <c r="KV131" s="128">
        <v>0</v>
      </c>
      <c r="KZ131" s="128">
        <v>0</v>
      </c>
      <c r="LA131" s="128">
        <v>0</v>
      </c>
      <c r="LB131" s="128">
        <v>0</v>
      </c>
      <c r="LF131" s="128">
        <v>0</v>
      </c>
      <c r="LG131" s="128">
        <v>0</v>
      </c>
      <c r="LH131" s="128">
        <v>0</v>
      </c>
      <c r="LL131" s="128">
        <v>30000</v>
      </c>
      <c r="LM131" s="128">
        <v>0</v>
      </c>
      <c r="LN131" s="128">
        <v>0</v>
      </c>
      <c r="LR131" s="128">
        <v>12000</v>
      </c>
      <c r="LS131" s="128">
        <v>0</v>
      </c>
      <c r="LT131" s="128">
        <v>0</v>
      </c>
      <c r="LX131" s="128">
        <v>0</v>
      </c>
      <c r="LY131" s="128">
        <v>0</v>
      </c>
      <c r="LZ131" s="128">
        <v>0</v>
      </c>
      <c r="MD131" s="128">
        <v>5000</v>
      </c>
      <c r="ME131" s="128">
        <v>0</v>
      </c>
      <c r="MF131" s="128">
        <v>0</v>
      </c>
      <c r="MJ131" s="128">
        <v>3000</v>
      </c>
      <c r="MK131" s="128">
        <v>0</v>
      </c>
      <c r="ML131" s="128">
        <v>0</v>
      </c>
      <c r="MP131" s="128">
        <v>0</v>
      </c>
      <c r="MQ131" s="128">
        <v>0</v>
      </c>
      <c r="MR131" s="128">
        <v>0</v>
      </c>
      <c r="MV131" s="128">
        <v>60000</v>
      </c>
      <c r="MW131" s="128">
        <v>60000</v>
      </c>
      <c r="MX131" s="128">
        <v>60000</v>
      </c>
      <c r="NB131" s="128">
        <v>10000</v>
      </c>
      <c r="NC131" s="128">
        <v>0</v>
      </c>
      <c r="ND131" s="128">
        <v>0</v>
      </c>
      <c r="NH131" s="128">
        <v>0</v>
      </c>
      <c r="NI131" s="128">
        <v>0</v>
      </c>
      <c r="NJ131" s="128">
        <v>0</v>
      </c>
      <c r="NN131" s="128">
        <v>12000</v>
      </c>
      <c r="NO131" s="128">
        <v>0</v>
      </c>
      <c r="NP131" s="128">
        <v>0</v>
      </c>
      <c r="NT131" s="128">
        <v>22000</v>
      </c>
      <c r="NU131" s="128">
        <v>0</v>
      </c>
      <c r="NV131" s="128">
        <v>0</v>
      </c>
      <c r="NZ131" s="128">
        <v>16000</v>
      </c>
      <c r="OA131" s="128">
        <v>0</v>
      </c>
      <c r="OB131" s="128">
        <v>0</v>
      </c>
      <c r="OF131" s="128">
        <v>4000</v>
      </c>
      <c r="OG131" s="128">
        <v>0</v>
      </c>
      <c r="OH131" s="128">
        <v>0</v>
      </c>
      <c r="OL131" s="128">
        <v>0</v>
      </c>
      <c r="OM131" s="128">
        <v>0</v>
      </c>
      <c r="ON131" s="128">
        <v>0</v>
      </c>
      <c r="OR131" s="128">
        <v>0</v>
      </c>
      <c r="OS131" s="128">
        <v>0</v>
      </c>
      <c r="OT131" s="128">
        <v>0</v>
      </c>
      <c r="OX131" s="128">
        <v>10000</v>
      </c>
      <c r="OY131" s="128">
        <v>0</v>
      </c>
      <c r="OZ131" s="128">
        <v>0</v>
      </c>
      <c r="PD131" s="128">
        <v>0</v>
      </c>
      <c r="PE131" s="128">
        <v>0</v>
      </c>
      <c r="PF131" s="128">
        <v>0</v>
      </c>
      <c r="PJ131" s="128">
        <v>15000</v>
      </c>
      <c r="PK131" s="128">
        <v>0</v>
      </c>
      <c r="PL131" s="128">
        <v>0</v>
      </c>
      <c r="PP131" s="128">
        <v>1157000</v>
      </c>
      <c r="PQ131" s="128">
        <v>1018000</v>
      </c>
      <c r="PR131" s="128">
        <v>1018000</v>
      </c>
      <c r="PS131" s="128">
        <v>100</v>
      </c>
      <c r="PT131" s="128">
        <v>100</v>
      </c>
      <c r="PX131" s="128">
        <v>0</v>
      </c>
      <c r="PY131" s="128">
        <v>208585</v>
      </c>
      <c r="PZ131" s="128">
        <v>1018000</v>
      </c>
      <c r="QA131" s="128">
        <v>0</v>
      </c>
      <c r="QB131" s="128">
        <v>0</v>
      </c>
      <c r="QC131" s="128">
        <v>0</v>
      </c>
      <c r="QD131" s="128">
        <v>0</v>
      </c>
      <c r="QE131" s="128">
        <v>387526</v>
      </c>
      <c r="QF131" s="128">
        <v>139000</v>
      </c>
      <c r="QG131" s="128">
        <v>0</v>
      </c>
      <c r="QH131" s="128">
        <v>0</v>
      </c>
      <c r="QI131" s="128">
        <v>0</v>
      </c>
      <c r="QJ131" s="128">
        <v>0</v>
      </c>
      <c r="QK131" s="128">
        <v>0</v>
      </c>
      <c r="QL131" s="128">
        <v>0</v>
      </c>
      <c r="QN131" s="128">
        <v>0</v>
      </c>
      <c r="QO131" s="128">
        <v>0</v>
      </c>
      <c r="QP131" s="128">
        <v>0</v>
      </c>
      <c r="RA131" s="128">
        <v>804152</v>
      </c>
      <c r="RB131" s="128">
        <v>402076</v>
      </c>
      <c r="RC131" s="128">
        <v>0</v>
      </c>
      <c r="RD131" s="128">
        <v>206398</v>
      </c>
      <c r="RE131" s="128">
        <v>0</v>
      </c>
      <c r="RF131" s="128">
        <v>0</v>
      </c>
      <c r="RH131" s="128">
        <f t="shared" si="209"/>
        <v>1157000</v>
      </c>
      <c r="RI131" s="128">
        <v>0</v>
      </c>
      <c r="RM131" s="128" t="s">
        <v>220</v>
      </c>
      <c r="RU131" s="130"/>
      <c r="RV131" s="130"/>
      <c r="RW131" s="130"/>
      <c r="RX131" s="130"/>
      <c r="SF131" s="128">
        <f t="shared" si="119"/>
        <v>1272659</v>
      </c>
      <c r="SG131" s="131">
        <f t="shared" si="120"/>
        <v>1157000</v>
      </c>
      <c r="SH131" s="131">
        <f t="shared" si="121"/>
        <v>1157000</v>
      </c>
      <c r="SI131" s="131">
        <f t="shared" si="122"/>
        <v>958000</v>
      </c>
      <c r="SJ131" s="132">
        <f t="shared" si="123"/>
        <v>958000</v>
      </c>
      <c r="SK131" s="132">
        <f t="shared" si="124"/>
        <v>0</v>
      </c>
      <c r="SL131" s="132">
        <f t="shared" si="125"/>
        <v>0</v>
      </c>
      <c r="SM131" s="132">
        <f t="shared" si="126"/>
        <v>0</v>
      </c>
      <c r="SN131" s="131">
        <f t="shared" si="127"/>
        <v>199000</v>
      </c>
      <c r="SO131" s="131">
        <f t="shared" si="128"/>
        <v>42000</v>
      </c>
      <c r="SP131" s="132">
        <f t="shared" si="129"/>
        <v>30000</v>
      </c>
      <c r="SQ131" s="132">
        <f t="shared" si="130"/>
        <v>12000</v>
      </c>
      <c r="SR131" s="132">
        <f t="shared" si="131"/>
        <v>0</v>
      </c>
      <c r="SS131" s="132">
        <f t="shared" si="132"/>
        <v>5000</v>
      </c>
      <c r="ST131" s="132">
        <f t="shared" si="133"/>
        <v>3000</v>
      </c>
      <c r="SU131" s="132">
        <f t="shared" si="134"/>
        <v>0</v>
      </c>
      <c r="SV131" s="131">
        <f t="shared" si="135"/>
        <v>134000</v>
      </c>
      <c r="SW131" s="132">
        <f t="shared" si="136"/>
        <v>60000</v>
      </c>
      <c r="SX131" s="132">
        <f t="shared" si="137"/>
        <v>10000</v>
      </c>
      <c r="SY131" s="132">
        <f t="shared" si="138"/>
        <v>0</v>
      </c>
      <c r="SZ131" s="132">
        <f t="shared" si="139"/>
        <v>12000</v>
      </c>
      <c r="TA131" s="132">
        <f t="shared" si="140"/>
        <v>22000</v>
      </c>
      <c r="TB131" s="132">
        <f t="shared" si="141"/>
        <v>16000</v>
      </c>
      <c r="TC131" s="132">
        <f t="shared" si="142"/>
        <v>4000</v>
      </c>
      <c r="TD131" s="132">
        <f t="shared" si="143"/>
        <v>0</v>
      </c>
      <c r="TE131" s="132">
        <f t="shared" si="144"/>
        <v>0</v>
      </c>
      <c r="TF131" s="132">
        <f t="shared" si="145"/>
        <v>10000</v>
      </c>
      <c r="TG131" s="132">
        <f t="shared" si="146"/>
        <v>0</v>
      </c>
      <c r="TH131" s="132">
        <f t="shared" si="147"/>
        <v>15000</v>
      </c>
      <c r="TI131" s="1"/>
      <c r="TJ131" s="131">
        <f t="shared" si="148"/>
        <v>1018000</v>
      </c>
      <c r="TK131" s="131">
        <f t="shared" si="149"/>
        <v>1018000</v>
      </c>
      <c r="TL131" s="131">
        <f t="shared" si="150"/>
        <v>958000</v>
      </c>
      <c r="TM131" s="132">
        <f t="shared" si="151"/>
        <v>958000</v>
      </c>
      <c r="TN131" s="132">
        <f t="shared" si="152"/>
        <v>0</v>
      </c>
      <c r="TO131" s="132">
        <f t="shared" si="153"/>
        <v>0</v>
      </c>
      <c r="TP131" s="132">
        <f t="shared" si="154"/>
        <v>0</v>
      </c>
      <c r="TQ131" s="131">
        <f t="shared" si="155"/>
        <v>60000</v>
      </c>
      <c r="TR131" s="131">
        <f t="shared" si="156"/>
        <v>0</v>
      </c>
      <c r="TS131" s="132">
        <f t="shared" si="157"/>
        <v>0</v>
      </c>
      <c r="TT131" s="132">
        <f t="shared" si="158"/>
        <v>0</v>
      </c>
      <c r="TU131" s="132">
        <f t="shared" si="159"/>
        <v>0</v>
      </c>
      <c r="TV131" s="132">
        <f t="shared" si="160"/>
        <v>0</v>
      </c>
      <c r="TW131" s="132">
        <f t="shared" si="161"/>
        <v>0</v>
      </c>
      <c r="TX131" s="132">
        <f t="shared" si="162"/>
        <v>0</v>
      </c>
      <c r="TY131" s="131">
        <f t="shared" si="163"/>
        <v>60000</v>
      </c>
      <c r="TZ131" s="132">
        <f t="shared" si="164"/>
        <v>60000</v>
      </c>
      <c r="UA131" s="132">
        <f t="shared" si="165"/>
        <v>0</v>
      </c>
      <c r="UB131" s="132">
        <f t="shared" si="166"/>
        <v>0</v>
      </c>
      <c r="UC131" s="132">
        <f t="shared" si="167"/>
        <v>0</v>
      </c>
      <c r="UD131" s="132">
        <f t="shared" si="168"/>
        <v>0</v>
      </c>
      <c r="UE131" s="132">
        <f t="shared" si="169"/>
        <v>0</v>
      </c>
      <c r="UF131" s="132">
        <f t="shared" si="170"/>
        <v>0</v>
      </c>
      <c r="UG131" s="132">
        <f t="shared" si="171"/>
        <v>0</v>
      </c>
      <c r="UH131" s="132">
        <f t="shared" si="172"/>
        <v>0</v>
      </c>
      <c r="UI131" s="132">
        <f t="shared" si="173"/>
        <v>0</v>
      </c>
      <c r="UJ131" s="132">
        <f t="shared" si="174"/>
        <v>0</v>
      </c>
      <c r="UK131" s="132">
        <f t="shared" si="175"/>
        <v>0</v>
      </c>
      <c r="UL131" s="132">
        <f t="shared" si="210"/>
        <v>1018000</v>
      </c>
      <c r="UM131" s="131">
        <f t="shared" si="176"/>
        <v>1018000</v>
      </c>
      <c r="UN131" s="131">
        <f t="shared" si="177"/>
        <v>1018000</v>
      </c>
      <c r="UO131" s="131">
        <f t="shared" si="178"/>
        <v>958000</v>
      </c>
      <c r="UP131" s="132">
        <f t="shared" si="179"/>
        <v>958000</v>
      </c>
      <c r="UQ131" s="132">
        <f t="shared" si="180"/>
        <v>0</v>
      </c>
      <c r="UR131" s="132">
        <f t="shared" si="181"/>
        <v>0</v>
      </c>
      <c r="US131" s="132">
        <f t="shared" si="182"/>
        <v>0</v>
      </c>
      <c r="UT131" s="131">
        <f t="shared" si="183"/>
        <v>60000</v>
      </c>
      <c r="UU131" s="131">
        <f t="shared" si="184"/>
        <v>0</v>
      </c>
      <c r="UV131" s="132">
        <f t="shared" si="185"/>
        <v>0</v>
      </c>
      <c r="UW131" s="132">
        <f t="shared" si="186"/>
        <v>0</v>
      </c>
      <c r="UX131" s="132">
        <f t="shared" si="187"/>
        <v>0</v>
      </c>
      <c r="UY131" s="132">
        <f t="shared" si="188"/>
        <v>0</v>
      </c>
      <c r="UZ131" s="132">
        <f t="shared" si="189"/>
        <v>0</v>
      </c>
      <c r="VA131" s="132">
        <f t="shared" si="190"/>
        <v>0</v>
      </c>
      <c r="VB131" s="131">
        <f t="shared" si="191"/>
        <v>60000</v>
      </c>
      <c r="VC131" s="132">
        <f t="shared" si="192"/>
        <v>60000</v>
      </c>
      <c r="VD131" s="132">
        <f t="shared" si="193"/>
        <v>0</v>
      </c>
      <c r="VE131" s="132">
        <f t="shared" si="194"/>
        <v>0</v>
      </c>
      <c r="VF131" s="132">
        <f t="shared" si="195"/>
        <v>0</v>
      </c>
      <c r="VG131" s="132">
        <f t="shared" si="196"/>
        <v>0</v>
      </c>
      <c r="VH131" s="132">
        <f t="shared" si="197"/>
        <v>0</v>
      </c>
      <c r="VI131" s="132">
        <f t="shared" si="198"/>
        <v>0</v>
      </c>
      <c r="VJ131" s="132">
        <f t="shared" si="199"/>
        <v>0</v>
      </c>
      <c r="VK131" s="132">
        <f t="shared" si="200"/>
        <v>0</v>
      </c>
      <c r="VL131" s="132">
        <f t="shared" si="201"/>
        <v>0</v>
      </c>
      <c r="VM131" s="132">
        <f t="shared" si="202"/>
        <v>0</v>
      </c>
      <c r="VN131" s="132">
        <f t="shared" si="203"/>
        <v>0</v>
      </c>
      <c r="VP131" s="845" t="str">
        <f>IFERROR(HLOOKUP(F131,'Hodnocení '!$C$1:$JH$5,2,FALSE),0)</f>
        <v>Město Nový Bydžov</v>
      </c>
      <c r="VQ131" s="838"/>
      <c r="VR131" s="845" t="str">
        <f t="shared" si="211"/>
        <v>Obec</v>
      </c>
      <c r="VS131" s="845" t="str">
        <f>IFERROR(HLOOKUP(F131,'Hodnocení '!$C$1:$JH$5,5,FALSE),0)</f>
        <v>Obce</v>
      </c>
      <c r="VT131" s="838" t="str">
        <f t="shared" si="212"/>
        <v>Obec</v>
      </c>
      <c r="VU131" s="838">
        <f t="shared" si="213"/>
        <v>0</v>
      </c>
      <c r="VV131" s="838">
        <f t="shared" si="214"/>
        <v>0</v>
      </c>
      <c r="VW131" s="838">
        <f t="shared" si="215"/>
        <v>0</v>
      </c>
      <c r="VX131" s="838"/>
      <c r="VY131" s="838">
        <f t="shared" si="216"/>
        <v>0</v>
      </c>
      <c r="VZ131" s="838">
        <f t="shared" si="217"/>
        <v>1018000</v>
      </c>
      <c r="WA131" s="846">
        <f>IFERROR(HLOOKUP($F131,'Hodnocení '!$C$1:$JH$9,9,FALSE),0)</f>
        <v>1018000</v>
      </c>
      <c r="WB131" s="846">
        <f>IF(IFERROR(HLOOKUP($F131,'Hodnocení '!$C$1:$JH$13,13,FALSE),0)&gt;WA131,WA131,IFERROR(HLOOKUP($F131,'Hodnocení '!$C$1:$JH$13,13,FALSE),0))</f>
        <v>1018000</v>
      </c>
      <c r="WC131" s="846">
        <f>IFERROR(HLOOKUP($F131,'Hodnocení '!$C$1:$JH$155,155,FALSE),0)</f>
        <v>788770</v>
      </c>
      <c r="WD131" s="845"/>
      <c r="WE131" s="845"/>
      <c r="WF131" s="845" t="str">
        <f t="shared" si="204"/>
        <v>ANO</v>
      </c>
      <c r="WG131" s="849" t="str">
        <f t="shared" si="218"/>
        <v>Podpora služby je vyjádřena zařazením do sítě sociálních služeb v KHK a řešením financování služby</v>
      </c>
      <c r="WH131"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31" s="849" t="str">
        <f t="shared" si="218"/>
        <v>Návrh dotace je výsledkem projednání s ostatními zadavateli v rámci sítě služeb KHK</v>
      </c>
      <c r="WJ131" s="849" t="str">
        <f t="shared" si="218"/>
        <v>Bez komentáře</v>
      </c>
      <c r="WK131" s="31">
        <f t="shared" si="205"/>
        <v>0</v>
      </c>
      <c r="WL131" s="850">
        <f t="shared" si="206"/>
        <v>0</v>
      </c>
      <c r="WM131" s="849">
        <f t="shared" si="207"/>
        <v>0</v>
      </c>
      <c r="WN131" s="849">
        <f t="shared" si="208"/>
        <v>0</v>
      </c>
      <c r="WO131" s="849" t="str">
        <f t="shared" si="219"/>
        <v>bez komentáře</v>
      </c>
      <c r="WP131" s="849" t="str">
        <f t="shared" si="219"/>
        <v>bez komentáře</v>
      </c>
      <c r="WQ131" s="849" t="str">
        <f t="shared" si="219"/>
        <v>Konečná výše dotace z rozpočtu KHK bude řešena v návaznosti na řešení podílů jednotlivých zadavatelů.</v>
      </c>
      <c r="WR131" s="849" t="str">
        <f t="shared" si="219"/>
        <v>Konečná výše podpory ze stran obcí bude řešena v součinnosti s jednotlivými zadavateli v průběhu roku.</v>
      </c>
      <c r="WS131" s="849" t="str">
        <f t="shared" si="219"/>
        <v>bez komentáře</v>
      </c>
      <c r="WT131" s="849" t="str">
        <f t="shared" si="219"/>
        <v>bez komentáře</v>
      </c>
      <c r="WU131" s="845"/>
    </row>
    <row r="132" spans="1:619" s="128" customFormat="1" x14ac:dyDescent="0.25">
      <c r="A132" s="128" t="str">
        <f>VLOOKUP(F132,'Výpočet VP 2020'!$D$324:$I$588,6,FALSE)</f>
        <v>Je v síti</v>
      </c>
      <c r="B132" s="128" t="s">
        <v>652</v>
      </c>
      <c r="C132" s="128">
        <v>272949</v>
      </c>
      <c r="D132" s="128" t="s">
        <v>653</v>
      </c>
      <c r="E132" s="128" t="s">
        <v>604</v>
      </c>
      <c r="F132" s="128">
        <v>1514566</v>
      </c>
      <c r="G132" s="128" t="s">
        <v>328</v>
      </c>
      <c r="H132" s="128" t="s">
        <v>218</v>
      </c>
      <c r="I132" s="128" t="s">
        <v>652</v>
      </c>
      <c r="J132" s="129">
        <v>39083</v>
      </c>
      <c r="L132" s="128" t="s">
        <v>220</v>
      </c>
      <c r="AP132" s="128" t="s">
        <v>284</v>
      </c>
      <c r="AQ132" s="128">
        <v>3</v>
      </c>
      <c r="AR132" s="128">
        <v>25</v>
      </c>
      <c r="AS132" s="128">
        <v>83</v>
      </c>
      <c r="AT132" s="128">
        <v>90</v>
      </c>
      <c r="AU132" s="128">
        <v>95</v>
      </c>
      <c r="BJ132" s="128">
        <v>5400</v>
      </c>
      <c r="BK132" s="128" t="s">
        <v>654</v>
      </c>
      <c r="BL132" s="128" t="s">
        <v>579</v>
      </c>
      <c r="BM132" s="128" t="s">
        <v>325</v>
      </c>
      <c r="BN132" s="128" t="s">
        <v>424</v>
      </c>
      <c r="BO132" s="128">
        <v>0</v>
      </c>
      <c r="BP132" s="128">
        <v>0</v>
      </c>
      <c r="BQ132" s="128">
        <v>0</v>
      </c>
      <c r="BR132" s="128">
        <v>0</v>
      </c>
      <c r="BS132" s="128">
        <v>0</v>
      </c>
      <c r="BT132" s="128">
        <v>34</v>
      </c>
      <c r="BU132" s="128">
        <v>25</v>
      </c>
      <c r="BV132" s="128">
        <v>10</v>
      </c>
      <c r="BW132" s="128">
        <v>1</v>
      </c>
      <c r="BX132" s="128">
        <v>20</v>
      </c>
      <c r="BY132" s="128">
        <v>34</v>
      </c>
      <c r="BZ132" s="128">
        <v>25</v>
      </c>
      <c r="CA132" s="128">
        <v>10</v>
      </c>
      <c r="CB132" s="128">
        <v>1</v>
      </c>
      <c r="CC132" s="128">
        <v>20</v>
      </c>
      <c r="CD132" s="128">
        <v>0</v>
      </c>
      <c r="CE132" s="128">
        <v>90</v>
      </c>
      <c r="CF132" s="128">
        <v>90</v>
      </c>
      <c r="CG132" s="128">
        <v>0</v>
      </c>
      <c r="CH132" s="128">
        <v>0</v>
      </c>
      <c r="CI132" s="128">
        <v>0</v>
      </c>
      <c r="CJ132" s="128">
        <v>0</v>
      </c>
      <c r="CK132" s="128">
        <v>0</v>
      </c>
      <c r="CL132" s="128">
        <v>0</v>
      </c>
      <c r="CM132" s="128">
        <v>40</v>
      </c>
      <c r="CN132" s="128">
        <v>30</v>
      </c>
      <c r="CO132" s="128">
        <v>10</v>
      </c>
      <c r="CP132" s="128">
        <v>3</v>
      </c>
      <c r="CQ132" s="128">
        <v>12</v>
      </c>
      <c r="CR132" s="128">
        <v>40</v>
      </c>
      <c r="CS132" s="128">
        <v>30</v>
      </c>
      <c r="CT132" s="128">
        <v>10</v>
      </c>
      <c r="CU132" s="128">
        <v>3</v>
      </c>
      <c r="CV132" s="128">
        <v>12</v>
      </c>
      <c r="CW132" s="128">
        <v>0</v>
      </c>
      <c r="CX132" s="128">
        <v>95</v>
      </c>
      <c r="CY132" s="128">
        <v>95</v>
      </c>
      <c r="CZ132" s="128">
        <v>0</v>
      </c>
      <c r="EK132" s="128">
        <v>2</v>
      </c>
      <c r="EL132" s="128">
        <v>1.1000000000000001</v>
      </c>
      <c r="EM132" s="128">
        <v>1.5</v>
      </c>
      <c r="EN132" s="128">
        <v>420000</v>
      </c>
      <c r="EO132" s="128">
        <v>300000</v>
      </c>
      <c r="EP132" s="128">
        <v>4</v>
      </c>
      <c r="EQ132" s="128">
        <v>4</v>
      </c>
      <c r="ER132" s="128">
        <v>4</v>
      </c>
      <c r="ES132" s="128">
        <v>1350000</v>
      </c>
      <c r="ET132" s="128">
        <v>700000</v>
      </c>
      <c r="FO132" s="128">
        <v>2</v>
      </c>
      <c r="FP132" s="128">
        <v>0.2</v>
      </c>
      <c r="FQ132" s="128">
        <v>0</v>
      </c>
      <c r="FR132" s="128">
        <v>80000</v>
      </c>
      <c r="FS132" s="128">
        <v>0</v>
      </c>
      <c r="IS132" s="128">
        <v>1</v>
      </c>
      <c r="IT132" s="128">
        <v>200</v>
      </c>
      <c r="IU132" s="128">
        <v>9.5000000000000001E-2</v>
      </c>
      <c r="IV132" s="128">
        <v>18000</v>
      </c>
      <c r="IW132" s="128">
        <v>0</v>
      </c>
      <c r="KG132" s="128">
        <v>0</v>
      </c>
      <c r="KI132" s="128">
        <v>5.0999999999999996</v>
      </c>
      <c r="KJ132" s="128">
        <v>0</v>
      </c>
      <c r="KK132" s="128">
        <v>0</v>
      </c>
      <c r="KL132" s="128">
        <v>0</v>
      </c>
      <c r="KM132" s="128">
        <v>5.0999999999999996</v>
      </c>
      <c r="KN132" s="128">
        <v>1850000</v>
      </c>
      <c r="KO132" s="128">
        <v>1000000</v>
      </c>
      <c r="KP132" s="128">
        <v>1000000</v>
      </c>
      <c r="KT132" s="128">
        <v>0</v>
      </c>
      <c r="KU132" s="128">
        <v>0</v>
      </c>
      <c r="KV132" s="128">
        <v>0</v>
      </c>
      <c r="KZ132" s="128">
        <v>18000</v>
      </c>
      <c r="LA132" s="128">
        <v>0</v>
      </c>
      <c r="LB132" s="128">
        <v>0</v>
      </c>
      <c r="LF132" s="128">
        <v>0</v>
      </c>
      <c r="LG132" s="128">
        <v>0</v>
      </c>
      <c r="LH132" s="128">
        <v>0</v>
      </c>
      <c r="LL132" s="128">
        <v>0</v>
      </c>
      <c r="LM132" s="128">
        <v>0</v>
      </c>
      <c r="LN132" s="128">
        <v>0</v>
      </c>
      <c r="LR132" s="128">
        <v>40000</v>
      </c>
      <c r="LS132" s="128">
        <v>0</v>
      </c>
      <c r="LT132" s="128">
        <v>0</v>
      </c>
      <c r="LX132" s="128">
        <v>0</v>
      </c>
      <c r="LY132" s="128">
        <v>0</v>
      </c>
      <c r="LZ132" s="128">
        <v>0</v>
      </c>
      <c r="MD132" s="128">
        <v>11000</v>
      </c>
      <c r="ME132" s="128">
        <v>0</v>
      </c>
      <c r="MF132" s="128">
        <v>0</v>
      </c>
      <c r="MJ132" s="128">
        <v>85000</v>
      </c>
      <c r="MK132" s="128">
        <v>0</v>
      </c>
      <c r="ML132" s="128">
        <v>0</v>
      </c>
      <c r="MP132" s="128">
        <v>35000</v>
      </c>
      <c r="MQ132" s="128">
        <v>0</v>
      </c>
      <c r="MR132" s="128">
        <v>0</v>
      </c>
      <c r="MV132" s="128">
        <v>24000</v>
      </c>
      <c r="MW132" s="128">
        <v>0</v>
      </c>
      <c r="MX132" s="128">
        <v>0</v>
      </c>
      <c r="NB132" s="128">
        <v>15000</v>
      </c>
      <c r="NC132" s="128">
        <v>0</v>
      </c>
      <c r="ND132" s="128">
        <v>0</v>
      </c>
      <c r="NH132" s="128">
        <v>6200</v>
      </c>
      <c r="NI132" s="128">
        <v>0</v>
      </c>
      <c r="NJ132" s="128">
        <v>0</v>
      </c>
      <c r="NN132" s="128">
        <v>0</v>
      </c>
      <c r="NO132" s="128">
        <v>0</v>
      </c>
      <c r="NP132" s="128">
        <v>0</v>
      </c>
      <c r="NT132" s="128">
        <v>20000</v>
      </c>
      <c r="NU132" s="128">
        <v>0</v>
      </c>
      <c r="NV132" s="128">
        <v>0</v>
      </c>
      <c r="NZ132" s="128">
        <v>25000</v>
      </c>
      <c r="OA132" s="128">
        <v>0</v>
      </c>
      <c r="OB132" s="128">
        <v>0</v>
      </c>
      <c r="OF132" s="128">
        <v>2000</v>
      </c>
      <c r="OG132" s="128">
        <v>0</v>
      </c>
      <c r="OH132" s="128">
        <v>0</v>
      </c>
      <c r="OL132" s="128">
        <v>0</v>
      </c>
      <c r="OM132" s="128">
        <v>0</v>
      </c>
      <c r="ON132" s="128">
        <v>0</v>
      </c>
      <c r="OR132" s="128">
        <v>0</v>
      </c>
      <c r="OS132" s="128">
        <v>0</v>
      </c>
      <c r="OT132" s="128">
        <v>0</v>
      </c>
      <c r="OX132" s="128">
        <v>30000</v>
      </c>
      <c r="OY132" s="128">
        <v>0</v>
      </c>
      <c r="OZ132" s="128">
        <v>0</v>
      </c>
      <c r="PD132" s="128">
        <v>0</v>
      </c>
      <c r="PE132" s="128">
        <v>0</v>
      </c>
      <c r="PF132" s="128">
        <v>0</v>
      </c>
      <c r="PJ132" s="128">
        <v>5000</v>
      </c>
      <c r="PK132" s="128">
        <v>0</v>
      </c>
      <c r="PL132" s="128">
        <v>0</v>
      </c>
      <c r="PP132" s="128">
        <v>2166200</v>
      </c>
      <c r="PQ132" s="128">
        <v>1000000</v>
      </c>
      <c r="PR132" s="128">
        <v>1000000</v>
      </c>
      <c r="PS132" s="128">
        <v>100</v>
      </c>
      <c r="PT132" s="128">
        <v>100</v>
      </c>
      <c r="PV132" s="128">
        <v>1834158</v>
      </c>
      <c r="PX132" s="128">
        <v>412000</v>
      </c>
      <c r="PY132" s="128">
        <v>740230</v>
      </c>
      <c r="PZ132" s="128">
        <v>1000000</v>
      </c>
      <c r="QA132" s="128">
        <v>0</v>
      </c>
      <c r="QB132" s="128">
        <v>0</v>
      </c>
      <c r="QC132" s="128">
        <v>0</v>
      </c>
      <c r="QD132" s="128">
        <v>1000814</v>
      </c>
      <c r="QE132" s="128">
        <v>970374</v>
      </c>
      <c r="QF132" s="128">
        <v>366200</v>
      </c>
      <c r="QG132" s="128">
        <v>0</v>
      </c>
      <c r="QH132" s="128">
        <v>0</v>
      </c>
      <c r="QI132" s="128">
        <v>0</v>
      </c>
      <c r="QJ132" s="128">
        <v>380000</v>
      </c>
      <c r="QK132" s="128">
        <v>400000</v>
      </c>
      <c r="QL132" s="128">
        <v>400000</v>
      </c>
      <c r="QN132" s="128">
        <v>0</v>
      </c>
      <c r="QO132" s="128">
        <v>0</v>
      </c>
      <c r="QP132" s="128">
        <v>0</v>
      </c>
      <c r="QU132" s="128">
        <v>0</v>
      </c>
      <c r="QV132" s="128">
        <v>0</v>
      </c>
      <c r="QW132" s="128">
        <v>300000</v>
      </c>
      <c r="QX132" s="128">
        <v>0</v>
      </c>
      <c r="QY132" s="128">
        <v>90000</v>
      </c>
      <c r="QZ132" s="128">
        <v>100000</v>
      </c>
      <c r="RH132" s="128">
        <f t="shared" si="209"/>
        <v>1766200</v>
      </c>
      <c r="RI132" s="128">
        <v>0</v>
      </c>
      <c r="RM132" s="128" t="s">
        <v>220</v>
      </c>
      <c r="RU132" s="130"/>
      <c r="RV132" s="130"/>
      <c r="RW132" s="130"/>
      <c r="RX132" s="130"/>
      <c r="SF132" s="128">
        <f t="shared" si="119"/>
        <v>1514566</v>
      </c>
      <c r="SG132" s="131">
        <f t="shared" si="120"/>
        <v>2166200</v>
      </c>
      <c r="SH132" s="131">
        <f t="shared" si="121"/>
        <v>2166200</v>
      </c>
      <c r="SI132" s="131">
        <f t="shared" si="122"/>
        <v>1868000</v>
      </c>
      <c r="SJ132" s="132">
        <f t="shared" si="123"/>
        <v>1850000</v>
      </c>
      <c r="SK132" s="132">
        <f t="shared" si="124"/>
        <v>0</v>
      </c>
      <c r="SL132" s="132">
        <f t="shared" si="125"/>
        <v>18000</v>
      </c>
      <c r="SM132" s="132">
        <f t="shared" si="126"/>
        <v>0</v>
      </c>
      <c r="SN132" s="131">
        <f t="shared" si="127"/>
        <v>298200</v>
      </c>
      <c r="SO132" s="131">
        <f t="shared" si="128"/>
        <v>40000</v>
      </c>
      <c r="SP132" s="132">
        <f t="shared" si="129"/>
        <v>0</v>
      </c>
      <c r="SQ132" s="132">
        <f t="shared" si="130"/>
        <v>40000</v>
      </c>
      <c r="SR132" s="132">
        <f t="shared" si="131"/>
        <v>0</v>
      </c>
      <c r="SS132" s="132">
        <f t="shared" si="132"/>
        <v>11000</v>
      </c>
      <c r="ST132" s="132">
        <f t="shared" si="133"/>
        <v>85000</v>
      </c>
      <c r="SU132" s="132">
        <f t="shared" si="134"/>
        <v>35000</v>
      </c>
      <c r="SV132" s="131">
        <f t="shared" si="135"/>
        <v>122200</v>
      </c>
      <c r="SW132" s="132">
        <f t="shared" si="136"/>
        <v>24000</v>
      </c>
      <c r="SX132" s="132">
        <f t="shared" si="137"/>
        <v>15000</v>
      </c>
      <c r="SY132" s="132">
        <f t="shared" si="138"/>
        <v>6200</v>
      </c>
      <c r="SZ132" s="132">
        <f t="shared" si="139"/>
        <v>0</v>
      </c>
      <c r="TA132" s="132">
        <f t="shared" si="140"/>
        <v>20000</v>
      </c>
      <c r="TB132" s="132">
        <f t="shared" si="141"/>
        <v>25000</v>
      </c>
      <c r="TC132" s="132">
        <f t="shared" si="142"/>
        <v>2000</v>
      </c>
      <c r="TD132" s="132">
        <f t="shared" si="143"/>
        <v>0</v>
      </c>
      <c r="TE132" s="132">
        <f t="shared" si="144"/>
        <v>0</v>
      </c>
      <c r="TF132" s="132">
        <f t="shared" si="145"/>
        <v>30000</v>
      </c>
      <c r="TG132" s="132">
        <f t="shared" si="146"/>
        <v>0</v>
      </c>
      <c r="TH132" s="132">
        <f t="shared" si="147"/>
        <v>5000</v>
      </c>
      <c r="TI132" s="1"/>
      <c r="TJ132" s="131">
        <f t="shared" si="148"/>
        <v>1000000</v>
      </c>
      <c r="TK132" s="131">
        <f t="shared" si="149"/>
        <v>1000000</v>
      </c>
      <c r="TL132" s="131">
        <f t="shared" si="150"/>
        <v>1000000</v>
      </c>
      <c r="TM132" s="132">
        <f t="shared" si="151"/>
        <v>1000000</v>
      </c>
      <c r="TN132" s="132">
        <f t="shared" si="152"/>
        <v>0</v>
      </c>
      <c r="TO132" s="132">
        <f t="shared" si="153"/>
        <v>0</v>
      </c>
      <c r="TP132" s="132">
        <f t="shared" si="154"/>
        <v>0</v>
      </c>
      <c r="TQ132" s="131">
        <f t="shared" si="155"/>
        <v>0</v>
      </c>
      <c r="TR132" s="131">
        <f t="shared" si="156"/>
        <v>0</v>
      </c>
      <c r="TS132" s="132">
        <f t="shared" si="157"/>
        <v>0</v>
      </c>
      <c r="TT132" s="132">
        <f t="shared" si="158"/>
        <v>0</v>
      </c>
      <c r="TU132" s="132">
        <f t="shared" si="159"/>
        <v>0</v>
      </c>
      <c r="TV132" s="132">
        <f t="shared" si="160"/>
        <v>0</v>
      </c>
      <c r="TW132" s="132">
        <f t="shared" si="161"/>
        <v>0</v>
      </c>
      <c r="TX132" s="132">
        <f t="shared" si="162"/>
        <v>0</v>
      </c>
      <c r="TY132" s="131">
        <f t="shared" si="163"/>
        <v>0</v>
      </c>
      <c r="TZ132" s="132">
        <f t="shared" si="164"/>
        <v>0</v>
      </c>
      <c r="UA132" s="132">
        <f t="shared" si="165"/>
        <v>0</v>
      </c>
      <c r="UB132" s="132">
        <f t="shared" si="166"/>
        <v>0</v>
      </c>
      <c r="UC132" s="132">
        <f t="shared" si="167"/>
        <v>0</v>
      </c>
      <c r="UD132" s="132">
        <f t="shared" si="168"/>
        <v>0</v>
      </c>
      <c r="UE132" s="132">
        <f t="shared" si="169"/>
        <v>0</v>
      </c>
      <c r="UF132" s="132">
        <f t="shared" si="170"/>
        <v>0</v>
      </c>
      <c r="UG132" s="132">
        <f t="shared" si="171"/>
        <v>0</v>
      </c>
      <c r="UH132" s="132">
        <f t="shared" si="172"/>
        <v>0</v>
      </c>
      <c r="UI132" s="132">
        <f t="shared" si="173"/>
        <v>0</v>
      </c>
      <c r="UJ132" s="132">
        <f t="shared" si="174"/>
        <v>0</v>
      </c>
      <c r="UK132" s="132">
        <f t="shared" si="175"/>
        <v>0</v>
      </c>
      <c r="UL132" s="132">
        <f t="shared" si="210"/>
        <v>1000000</v>
      </c>
      <c r="UM132" s="131">
        <f t="shared" si="176"/>
        <v>1000000</v>
      </c>
      <c r="UN132" s="131">
        <f t="shared" si="177"/>
        <v>1000000</v>
      </c>
      <c r="UO132" s="131">
        <f t="shared" si="178"/>
        <v>1000000</v>
      </c>
      <c r="UP132" s="132">
        <f t="shared" si="179"/>
        <v>1000000</v>
      </c>
      <c r="UQ132" s="132">
        <f t="shared" si="180"/>
        <v>0</v>
      </c>
      <c r="UR132" s="132">
        <f t="shared" si="181"/>
        <v>0</v>
      </c>
      <c r="US132" s="132">
        <f t="shared" si="182"/>
        <v>0</v>
      </c>
      <c r="UT132" s="131">
        <f t="shared" si="183"/>
        <v>0</v>
      </c>
      <c r="UU132" s="131">
        <f t="shared" si="184"/>
        <v>0</v>
      </c>
      <c r="UV132" s="132">
        <f t="shared" si="185"/>
        <v>0</v>
      </c>
      <c r="UW132" s="132">
        <f t="shared" si="186"/>
        <v>0</v>
      </c>
      <c r="UX132" s="132">
        <f t="shared" si="187"/>
        <v>0</v>
      </c>
      <c r="UY132" s="132">
        <f t="shared" si="188"/>
        <v>0</v>
      </c>
      <c r="UZ132" s="132">
        <f t="shared" si="189"/>
        <v>0</v>
      </c>
      <c r="VA132" s="132">
        <f t="shared" si="190"/>
        <v>0</v>
      </c>
      <c r="VB132" s="131">
        <f t="shared" si="191"/>
        <v>0</v>
      </c>
      <c r="VC132" s="132">
        <f t="shared" si="192"/>
        <v>0</v>
      </c>
      <c r="VD132" s="132">
        <f t="shared" si="193"/>
        <v>0</v>
      </c>
      <c r="VE132" s="132">
        <f t="shared" si="194"/>
        <v>0</v>
      </c>
      <c r="VF132" s="132">
        <f t="shared" si="195"/>
        <v>0</v>
      </c>
      <c r="VG132" s="132">
        <f t="shared" si="196"/>
        <v>0</v>
      </c>
      <c r="VH132" s="132">
        <f t="shared" si="197"/>
        <v>0</v>
      </c>
      <c r="VI132" s="132">
        <f t="shared" si="198"/>
        <v>0</v>
      </c>
      <c r="VJ132" s="132">
        <f t="shared" si="199"/>
        <v>0</v>
      </c>
      <c r="VK132" s="132">
        <f t="shared" si="200"/>
        <v>0</v>
      </c>
      <c r="VL132" s="132">
        <f t="shared" si="201"/>
        <v>0</v>
      </c>
      <c r="VM132" s="132">
        <f t="shared" si="202"/>
        <v>0</v>
      </c>
      <c r="VN132" s="132">
        <f t="shared" si="203"/>
        <v>0</v>
      </c>
      <c r="VP132" s="845" t="str">
        <f>IFERROR(HLOOKUP(F132,'Hodnocení '!$C$1:$JH$5,2,FALSE),0)</f>
        <v>Město Police nad Metují - pečovatelská služba</v>
      </c>
      <c r="VQ132" s="838"/>
      <c r="VR132" s="845" t="str">
        <f t="shared" si="211"/>
        <v>Obec</v>
      </c>
      <c r="VS132" s="845" t="str">
        <f>IFERROR(HLOOKUP(F132,'Hodnocení '!$C$1:$JH$5,5,FALSE),0)</f>
        <v>Obce</v>
      </c>
      <c r="VT132" s="838" t="str">
        <f t="shared" si="212"/>
        <v>Obec</v>
      </c>
      <c r="VU132" s="838">
        <f t="shared" si="213"/>
        <v>0</v>
      </c>
      <c r="VV132" s="838">
        <f t="shared" si="214"/>
        <v>400000</v>
      </c>
      <c r="VW132" s="838">
        <f t="shared" si="215"/>
        <v>0</v>
      </c>
      <c r="VX132" s="838"/>
      <c r="VY132" s="838">
        <f t="shared" si="216"/>
        <v>0</v>
      </c>
      <c r="VZ132" s="838">
        <f t="shared" si="217"/>
        <v>1000000</v>
      </c>
      <c r="WA132" s="846">
        <f>IFERROR(HLOOKUP($F132,'Hodnocení '!$C$1:$JH$9,9,FALSE),0)</f>
        <v>1000000</v>
      </c>
      <c r="WB132" s="846">
        <f>IF(IFERROR(HLOOKUP($F132,'Hodnocení '!$C$1:$JH$13,13,FALSE),0)&gt;WA132,WA132,IFERROR(HLOOKUP($F132,'Hodnocení '!$C$1:$JH$13,13,FALSE),0))</f>
        <v>1000000</v>
      </c>
      <c r="WC132" s="846">
        <f>IFERROR(HLOOKUP($F132,'Hodnocení '!$C$1:$JH$155,155,FALSE),0)</f>
        <v>309590</v>
      </c>
      <c r="WD132" s="845"/>
      <c r="WE132" s="845"/>
      <c r="WF132" s="845" t="str">
        <f t="shared" si="204"/>
        <v>ANO</v>
      </c>
      <c r="WG132" s="849" t="str">
        <f t="shared" si="218"/>
        <v>Podpora služby je vyjádřena zařazením do sítě sociálních služeb v KHK a řešením financování služby</v>
      </c>
      <c r="WH132"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32" s="849" t="str">
        <f t="shared" si="218"/>
        <v>Návrh dotace je výsledkem projednání s ostatními zadavateli v rámci sítě služeb KHK</v>
      </c>
      <c r="WJ132" s="849" t="str">
        <f t="shared" si="218"/>
        <v>Bez komentáře</v>
      </c>
      <c r="WK132" s="31">
        <f t="shared" si="205"/>
        <v>0</v>
      </c>
      <c r="WL132" s="850">
        <f t="shared" si="206"/>
        <v>0</v>
      </c>
      <c r="WM132" s="849" t="str">
        <f t="shared" si="207"/>
        <v>V rámci sítě KHK se dlouhodobě řeší otázka navyšování úhrad a průběžně se monitoruje s vazbou na vykrytí vyrovnávací platby</v>
      </c>
      <c r="WN132" s="849">
        <f t="shared" si="208"/>
        <v>0</v>
      </c>
      <c r="WO132" s="849" t="str">
        <f t="shared" si="219"/>
        <v>bez komentáře</v>
      </c>
      <c r="WP132" s="849" t="str">
        <f t="shared" si="219"/>
        <v>bez komentáře</v>
      </c>
      <c r="WQ132" s="849" t="str">
        <f t="shared" si="219"/>
        <v>Konečná výše dotace z rozpočtu KHK bude řešena v návaznosti na řešení podílů jednotlivých zadavatelů.</v>
      </c>
      <c r="WR132" s="849" t="str">
        <f t="shared" si="219"/>
        <v>Konečná výše podpory ze stran obcí bude řešena v součinnosti s jednotlivými zadavateli v průběhu roku.</v>
      </c>
      <c r="WS132" s="849" t="str">
        <f t="shared" si="219"/>
        <v>bez komentáře</v>
      </c>
      <c r="WT132" s="849" t="str">
        <f t="shared" si="219"/>
        <v>bez komentáře</v>
      </c>
      <c r="WU132" s="845"/>
    </row>
    <row r="133" spans="1:619" s="128" customFormat="1" x14ac:dyDescent="0.25">
      <c r="A133" s="128" t="str">
        <f>VLOOKUP(F133,'Výpočet VP 2020'!$D$324:$I$588,6,FALSE)</f>
        <v>Je v síti</v>
      </c>
      <c r="B133" s="128" t="s">
        <v>655</v>
      </c>
      <c r="C133" s="128">
        <v>275301</v>
      </c>
      <c r="D133" s="128" t="s">
        <v>656</v>
      </c>
      <c r="E133" s="128" t="s">
        <v>604</v>
      </c>
      <c r="F133" s="128">
        <v>4936413</v>
      </c>
      <c r="G133" s="128" t="s">
        <v>328</v>
      </c>
      <c r="H133" s="128" t="s">
        <v>218</v>
      </c>
      <c r="I133" s="128" t="s">
        <v>657</v>
      </c>
      <c r="J133" s="129">
        <v>39083</v>
      </c>
      <c r="L133" s="128" t="s">
        <v>220</v>
      </c>
      <c r="X133" s="128" t="s">
        <v>266</v>
      </c>
      <c r="Z133" s="128">
        <v>1</v>
      </c>
      <c r="AA133" s="128">
        <v>1</v>
      </c>
      <c r="AB133" s="128">
        <v>4</v>
      </c>
      <c r="AC133" s="128">
        <v>8</v>
      </c>
      <c r="AD133" s="128">
        <v>8</v>
      </c>
      <c r="AN133" s="128">
        <v>251</v>
      </c>
      <c r="AO133" s="128" t="s">
        <v>658</v>
      </c>
      <c r="AP133" s="128" t="s">
        <v>659</v>
      </c>
      <c r="AQ133" s="128">
        <v>3</v>
      </c>
      <c r="AR133" s="128">
        <v>35</v>
      </c>
      <c r="AS133" s="128">
        <v>34</v>
      </c>
      <c r="AT133" s="128">
        <v>40</v>
      </c>
      <c r="AU133" s="128">
        <v>32</v>
      </c>
      <c r="BJ133" s="128">
        <v>3715</v>
      </c>
      <c r="BL133" s="128" t="s">
        <v>660</v>
      </c>
      <c r="BM133" s="128" t="s">
        <v>325</v>
      </c>
      <c r="BN133" s="128" t="s">
        <v>326</v>
      </c>
      <c r="BO133" s="128">
        <v>0</v>
      </c>
      <c r="BP133" s="128">
        <v>0</v>
      </c>
      <c r="BQ133" s="128">
        <v>0</v>
      </c>
      <c r="BR133" s="128">
        <v>0</v>
      </c>
      <c r="BS133" s="128">
        <v>0</v>
      </c>
      <c r="BT133" s="128">
        <v>9</v>
      </c>
      <c r="BU133" s="128">
        <v>6</v>
      </c>
      <c r="BV133" s="128">
        <v>3</v>
      </c>
      <c r="BW133" s="128">
        <v>0</v>
      </c>
      <c r="BX133" s="128">
        <v>22</v>
      </c>
      <c r="BY133" s="128">
        <v>9</v>
      </c>
      <c r="BZ133" s="128">
        <v>6</v>
      </c>
      <c r="CA133" s="128">
        <v>3</v>
      </c>
      <c r="CB133" s="128">
        <v>0</v>
      </c>
      <c r="CC133" s="128">
        <v>22</v>
      </c>
      <c r="CD133" s="128">
        <v>0</v>
      </c>
      <c r="CE133" s="128">
        <v>40</v>
      </c>
      <c r="CF133" s="128">
        <v>40</v>
      </c>
      <c r="CG133" s="128">
        <v>0</v>
      </c>
      <c r="CH133" s="128">
        <v>0</v>
      </c>
      <c r="CI133" s="128">
        <v>0</v>
      </c>
      <c r="CJ133" s="128">
        <v>0</v>
      </c>
      <c r="CK133" s="128">
        <v>0</v>
      </c>
      <c r="CL133" s="128">
        <v>0</v>
      </c>
      <c r="CM133" s="128">
        <v>9</v>
      </c>
      <c r="CN133" s="128">
        <v>5</v>
      </c>
      <c r="CO133" s="128">
        <v>4</v>
      </c>
      <c r="CP133" s="128">
        <v>0</v>
      </c>
      <c r="CQ133" s="128">
        <v>22</v>
      </c>
      <c r="CR133" s="128">
        <v>9</v>
      </c>
      <c r="CS133" s="128">
        <v>5</v>
      </c>
      <c r="CT133" s="128">
        <v>4</v>
      </c>
      <c r="CU133" s="128">
        <v>0</v>
      </c>
      <c r="CV133" s="128">
        <v>22</v>
      </c>
      <c r="CW133" s="128">
        <v>0</v>
      </c>
      <c r="CX133" s="128">
        <v>40</v>
      </c>
      <c r="CY133" s="128">
        <v>40</v>
      </c>
      <c r="CZ133" s="128">
        <v>0</v>
      </c>
      <c r="EK133" s="128">
        <v>1</v>
      </c>
      <c r="EL133" s="128">
        <v>1</v>
      </c>
      <c r="EM133" s="128">
        <v>0</v>
      </c>
      <c r="EN133" s="128">
        <v>643200</v>
      </c>
      <c r="EO133" s="128">
        <v>150000</v>
      </c>
      <c r="EP133" s="128">
        <v>3</v>
      </c>
      <c r="EQ133" s="128">
        <v>2.31</v>
      </c>
      <c r="ER133" s="128">
        <v>2.31</v>
      </c>
      <c r="ES133" s="128">
        <v>961000</v>
      </c>
      <c r="ET133" s="128">
        <v>460000</v>
      </c>
      <c r="KG133" s="128">
        <v>0</v>
      </c>
      <c r="KI133" s="128">
        <v>3.31</v>
      </c>
      <c r="KJ133" s="128">
        <v>0</v>
      </c>
      <c r="KK133" s="128">
        <v>0</v>
      </c>
      <c r="KL133" s="128">
        <v>0</v>
      </c>
      <c r="KM133" s="128">
        <v>3.31</v>
      </c>
      <c r="KN133" s="128">
        <v>1604200</v>
      </c>
      <c r="KO133" s="128">
        <v>610000</v>
      </c>
      <c r="KP133" s="128">
        <v>610000</v>
      </c>
      <c r="KT133" s="128">
        <v>0</v>
      </c>
      <c r="KU133" s="128">
        <v>0</v>
      </c>
      <c r="KV133" s="128">
        <v>0</v>
      </c>
      <c r="KZ133" s="128">
        <v>0</v>
      </c>
      <c r="LA133" s="128">
        <v>0</v>
      </c>
      <c r="LB133" s="128">
        <v>0</v>
      </c>
      <c r="LF133" s="128">
        <v>0</v>
      </c>
      <c r="LG133" s="128">
        <v>0</v>
      </c>
      <c r="LH133" s="128">
        <v>0</v>
      </c>
      <c r="LL133" s="128">
        <v>0</v>
      </c>
      <c r="LM133" s="128">
        <v>0</v>
      </c>
      <c r="LN133" s="128">
        <v>0</v>
      </c>
      <c r="LR133" s="128">
        <v>30000</v>
      </c>
      <c r="LS133" s="128">
        <v>0</v>
      </c>
      <c r="LT133" s="128">
        <v>0</v>
      </c>
      <c r="LX133" s="128">
        <v>0</v>
      </c>
      <c r="LY133" s="128">
        <v>0</v>
      </c>
      <c r="LZ133" s="128">
        <v>0</v>
      </c>
      <c r="MD133" s="128">
        <v>23500</v>
      </c>
      <c r="ME133" s="128">
        <v>0</v>
      </c>
      <c r="MF133" s="128">
        <v>0</v>
      </c>
      <c r="MJ133" s="128">
        <v>25000</v>
      </c>
      <c r="MK133" s="128">
        <v>0</v>
      </c>
      <c r="ML133" s="128">
        <v>0</v>
      </c>
      <c r="MP133" s="128">
        <v>14000</v>
      </c>
      <c r="MQ133" s="128">
        <v>0</v>
      </c>
      <c r="MR133" s="128">
        <v>0</v>
      </c>
      <c r="MV133" s="128">
        <v>60000</v>
      </c>
      <c r="MW133" s="128">
        <v>0</v>
      </c>
      <c r="MX133" s="128">
        <v>0</v>
      </c>
      <c r="NB133" s="128">
        <v>14500</v>
      </c>
      <c r="NC133" s="128">
        <v>0</v>
      </c>
      <c r="ND133" s="128">
        <v>0</v>
      </c>
      <c r="NH133" s="128">
        <v>0</v>
      </c>
      <c r="NI133" s="128">
        <v>0</v>
      </c>
      <c r="NJ133" s="128">
        <v>0</v>
      </c>
      <c r="NN133" s="128">
        <v>0</v>
      </c>
      <c r="NO133" s="128">
        <v>0</v>
      </c>
      <c r="NP133" s="128">
        <v>0</v>
      </c>
      <c r="NT133" s="128">
        <v>15000</v>
      </c>
      <c r="NU133" s="128">
        <v>0</v>
      </c>
      <c r="NV133" s="128">
        <v>0</v>
      </c>
      <c r="NZ133" s="128">
        <v>15000</v>
      </c>
      <c r="OA133" s="128">
        <v>0</v>
      </c>
      <c r="OB133" s="128">
        <v>0</v>
      </c>
      <c r="OF133" s="128">
        <v>5000</v>
      </c>
      <c r="OG133" s="128">
        <v>0</v>
      </c>
      <c r="OH133" s="128">
        <v>0</v>
      </c>
      <c r="OL133" s="128">
        <v>0</v>
      </c>
      <c r="OM133" s="128">
        <v>0</v>
      </c>
      <c r="ON133" s="128">
        <v>0</v>
      </c>
      <c r="OR133" s="128">
        <v>0</v>
      </c>
      <c r="OS133" s="128">
        <v>0</v>
      </c>
      <c r="OT133" s="128">
        <v>0</v>
      </c>
      <c r="OX133" s="128">
        <v>281000</v>
      </c>
      <c r="OY133" s="128">
        <v>0</v>
      </c>
      <c r="OZ133" s="128">
        <v>0</v>
      </c>
      <c r="PD133" s="128">
        <v>0</v>
      </c>
      <c r="PE133" s="128">
        <v>0</v>
      </c>
      <c r="PF133" s="128">
        <v>0</v>
      </c>
      <c r="PJ133" s="128">
        <v>98000</v>
      </c>
      <c r="PK133" s="128">
        <v>0</v>
      </c>
      <c r="PL133" s="128">
        <v>0</v>
      </c>
      <c r="PP133" s="128">
        <v>2185200</v>
      </c>
      <c r="PQ133" s="128">
        <v>610000</v>
      </c>
      <c r="PR133" s="128">
        <v>610000</v>
      </c>
      <c r="PS133" s="128">
        <v>100</v>
      </c>
      <c r="PT133" s="128">
        <v>100</v>
      </c>
      <c r="PV133" s="128">
        <v>1081699</v>
      </c>
      <c r="PX133" s="128">
        <v>603000</v>
      </c>
      <c r="PY133" s="128">
        <v>516450</v>
      </c>
      <c r="PZ133" s="128">
        <v>610000</v>
      </c>
      <c r="QA133" s="128">
        <v>0</v>
      </c>
      <c r="QB133" s="128">
        <v>0</v>
      </c>
      <c r="QC133" s="128">
        <v>0</v>
      </c>
      <c r="QD133" s="128">
        <v>1158960</v>
      </c>
      <c r="QE133" s="128">
        <v>1178886</v>
      </c>
      <c r="QF133" s="128">
        <v>919200</v>
      </c>
      <c r="QG133" s="128">
        <v>0</v>
      </c>
      <c r="QH133" s="128">
        <v>0</v>
      </c>
      <c r="QI133" s="128">
        <v>0</v>
      </c>
      <c r="QJ133" s="128">
        <v>403207</v>
      </c>
      <c r="QK133" s="128">
        <v>476000</v>
      </c>
      <c r="QL133" s="128">
        <v>476000</v>
      </c>
      <c r="QN133" s="128">
        <v>0</v>
      </c>
      <c r="QO133" s="128">
        <v>0</v>
      </c>
      <c r="QP133" s="128">
        <v>0</v>
      </c>
      <c r="QR133" s="128">
        <v>453750</v>
      </c>
      <c r="QS133" s="128">
        <v>0</v>
      </c>
      <c r="QT133" s="128">
        <v>0</v>
      </c>
      <c r="QU133" s="128">
        <v>0</v>
      </c>
      <c r="QV133" s="128">
        <v>176702</v>
      </c>
      <c r="QW133" s="128">
        <v>180000</v>
      </c>
      <c r="RH133" s="128">
        <f t="shared" si="209"/>
        <v>1709200</v>
      </c>
      <c r="RI133" s="128">
        <v>0</v>
      </c>
      <c r="RM133" s="128" t="s">
        <v>220</v>
      </c>
      <c r="RU133" s="130"/>
      <c r="RV133" s="130"/>
      <c r="RW133" s="130"/>
      <c r="RX133" s="130"/>
      <c r="SF133" s="128">
        <f t="shared" si="119"/>
        <v>4936413</v>
      </c>
      <c r="SG133" s="131">
        <f t="shared" si="120"/>
        <v>2185200</v>
      </c>
      <c r="SH133" s="131">
        <f t="shared" si="121"/>
        <v>2185200</v>
      </c>
      <c r="SI133" s="131">
        <f t="shared" si="122"/>
        <v>1604200</v>
      </c>
      <c r="SJ133" s="132">
        <f t="shared" si="123"/>
        <v>1604200</v>
      </c>
      <c r="SK133" s="132">
        <f t="shared" si="124"/>
        <v>0</v>
      </c>
      <c r="SL133" s="132">
        <f t="shared" si="125"/>
        <v>0</v>
      </c>
      <c r="SM133" s="132">
        <f t="shared" si="126"/>
        <v>0</v>
      </c>
      <c r="SN133" s="131">
        <f t="shared" si="127"/>
        <v>581000</v>
      </c>
      <c r="SO133" s="131">
        <f t="shared" si="128"/>
        <v>30000</v>
      </c>
      <c r="SP133" s="132">
        <f t="shared" si="129"/>
        <v>0</v>
      </c>
      <c r="SQ133" s="132">
        <f t="shared" si="130"/>
        <v>30000</v>
      </c>
      <c r="SR133" s="132">
        <f t="shared" si="131"/>
        <v>0</v>
      </c>
      <c r="SS133" s="132">
        <f t="shared" si="132"/>
        <v>23500</v>
      </c>
      <c r="ST133" s="132">
        <f t="shared" si="133"/>
        <v>25000</v>
      </c>
      <c r="SU133" s="132">
        <f t="shared" si="134"/>
        <v>14000</v>
      </c>
      <c r="SV133" s="131">
        <f t="shared" si="135"/>
        <v>390500</v>
      </c>
      <c r="SW133" s="132">
        <f t="shared" si="136"/>
        <v>60000</v>
      </c>
      <c r="SX133" s="132">
        <f t="shared" si="137"/>
        <v>14500</v>
      </c>
      <c r="SY133" s="132">
        <f t="shared" si="138"/>
        <v>0</v>
      </c>
      <c r="SZ133" s="132">
        <f t="shared" si="139"/>
        <v>0</v>
      </c>
      <c r="TA133" s="132">
        <f t="shared" si="140"/>
        <v>15000</v>
      </c>
      <c r="TB133" s="132">
        <f t="shared" si="141"/>
        <v>15000</v>
      </c>
      <c r="TC133" s="132">
        <f t="shared" si="142"/>
        <v>5000</v>
      </c>
      <c r="TD133" s="132">
        <f t="shared" si="143"/>
        <v>0</v>
      </c>
      <c r="TE133" s="132">
        <f t="shared" si="144"/>
        <v>0</v>
      </c>
      <c r="TF133" s="132">
        <f t="shared" si="145"/>
        <v>281000</v>
      </c>
      <c r="TG133" s="132">
        <f t="shared" si="146"/>
        <v>0</v>
      </c>
      <c r="TH133" s="132">
        <f t="shared" si="147"/>
        <v>98000</v>
      </c>
      <c r="TI133" s="1"/>
      <c r="TJ133" s="131">
        <f t="shared" si="148"/>
        <v>610000</v>
      </c>
      <c r="TK133" s="131">
        <f t="shared" si="149"/>
        <v>610000</v>
      </c>
      <c r="TL133" s="131">
        <f t="shared" si="150"/>
        <v>610000</v>
      </c>
      <c r="TM133" s="132">
        <f t="shared" si="151"/>
        <v>610000</v>
      </c>
      <c r="TN133" s="132">
        <f t="shared" si="152"/>
        <v>0</v>
      </c>
      <c r="TO133" s="132">
        <f t="shared" si="153"/>
        <v>0</v>
      </c>
      <c r="TP133" s="132">
        <f t="shared" si="154"/>
        <v>0</v>
      </c>
      <c r="TQ133" s="131">
        <f t="shared" si="155"/>
        <v>0</v>
      </c>
      <c r="TR133" s="131">
        <f t="shared" si="156"/>
        <v>0</v>
      </c>
      <c r="TS133" s="132">
        <f t="shared" si="157"/>
        <v>0</v>
      </c>
      <c r="TT133" s="132">
        <f t="shared" si="158"/>
        <v>0</v>
      </c>
      <c r="TU133" s="132">
        <f t="shared" si="159"/>
        <v>0</v>
      </c>
      <c r="TV133" s="132">
        <f t="shared" si="160"/>
        <v>0</v>
      </c>
      <c r="TW133" s="132">
        <f t="shared" si="161"/>
        <v>0</v>
      </c>
      <c r="TX133" s="132">
        <f t="shared" si="162"/>
        <v>0</v>
      </c>
      <c r="TY133" s="131">
        <f t="shared" si="163"/>
        <v>0</v>
      </c>
      <c r="TZ133" s="132">
        <f t="shared" si="164"/>
        <v>0</v>
      </c>
      <c r="UA133" s="132">
        <f t="shared" si="165"/>
        <v>0</v>
      </c>
      <c r="UB133" s="132">
        <f t="shared" si="166"/>
        <v>0</v>
      </c>
      <c r="UC133" s="132">
        <f t="shared" si="167"/>
        <v>0</v>
      </c>
      <c r="UD133" s="132">
        <f t="shared" si="168"/>
        <v>0</v>
      </c>
      <c r="UE133" s="132">
        <f t="shared" si="169"/>
        <v>0</v>
      </c>
      <c r="UF133" s="132">
        <f t="shared" si="170"/>
        <v>0</v>
      </c>
      <c r="UG133" s="132">
        <f t="shared" si="171"/>
        <v>0</v>
      </c>
      <c r="UH133" s="132">
        <f t="shared" si="172"/>
        <v>0</v>
      </c>
      <c r="UI133" s="132">
        <f t="shared" si="173"/>
        <v>0</v>
      </c>
      <c r="UJ133" s="132">
        <f t="shared" si="174"/>
        <v>0</v>
      </c>
      <c r="UK133" s="132">
        <f t="shared" si="175"/>
        <v>0</v>
      </c>
      <c r="UL133" s="132">
        <f t="shared" si="210"/>
        <v>610000</v>
      </c>
      <c r="UM133" s="131">
        <f t="shared" si="176"/>
        <v>610000</v>
      </c>
      <c r="UN133" s="131">
        <f t="shared" si="177"/>
        <v>610000</v>
      </c>
      <c r="UO133" s="131">
        <f t="shared" si="178"/>
        <v>610000</v>
      </c>
      <c r="UP133" s="132">
        <f t="shared" si="179"/>
        <v>610000</v>
      </c>
      <c r="UQ133" s="132">
        <f t="shared" si="180"/>
        <v>0</v>
      </c>
      <c r="UR133" s="132">
        <f t="shared" si="181"/>
        <v>0</v>
      </c>
      <c r="US133" s="132">
        <f t="shared" si="182"/>
        <v>0</v>
      </c>
      <c r="UT133" s="131">
        <f t="shared" si="183"/>
        <v>0</v>
      </c>
      <c r="UU133" s="131">
        <f t="shared" si="184"/>
        <v>0</v>
      </c>
      <c r="UV133" s="132">
        <f t="shared" si="185"/>
        <v>0</v>
      </c>
      <c r="UW133" s="132">
        <f t="shared" si="186"/>
        <v>0</v>
      </c>
      <c r="UX133" s="132">
        <f t="shared" si="187"/>
        <v>0</v>
      </c>
      <c r="UY133" s="132">
        <f t="shared" si="188"/>
        <v>0</v>
      </c>
      <c r="UZ133" s="132">
        <f t="shared" si="189"/>
        <v>0</v>
      </c>
      <c r="VA133" s="132">
        <f t="shared" si="190"/>
        <v>0</v>
      </c>
      <c r="VB133" s="131">
        <f t="shared" si="191"/>
        <v>0</v>
      </c>
      <c r="VC133" s="132">
        <f t="shared" si="192"/>
        <v>0</v>
      </c>
      <c r="VD133" s="132">
        <f t="shared" si="193"/>
        <v>0</v>
      </c>
      <c r="VE133" s="132">
        <f t="shared" si="194"/>
        <v>0</v>
      </c>
      <c r="VF133" s="132">
        <f t="shared" si="195"/>
        <v>0</v>
      </c>
      <c r="VG133" s="132">
        <f t="shared" si="196"/>
        <v>0</v>
      </c>
      <c r="VH133" s="132">
        <f t="shared" si="197"/>
        <v>0</v>
      </c>
      <c r="VI133" s="132">
        <f t="shared" si="198"/>
        <v>0</v>
      </c>
      <c r="VJ133" s="132">
        <f t="shared" si="199"/>
        <v>0</v>
      </c>
      <c r="VK133" s="132">
        <f t="shared" si="200"/>
        <v>0</v>
      </c>
      <c r="VL133" s="132">
        <f t="shared" si="201"/>
        <v>0</v>
      </c>
      <c r="VM133" s="132">
        <f t="shared" si="202"/>
        <v>0</v>
      </c>
      <c r="VN133" s="132">
        <f t="shared" si="203"/>
        <v>0</v>
      </c>
      <c r="VP133" s="845" t="str">
        <f>IFERROR(HLOOKUP(F133,'Hodnocení '!$C$1:$JH$5,2,FALSE),0)</f>
        <v>Pečovatelská služba Rokytnice v Orlických horách</v>
      </c>
      <c r="VQ133" s="838"/>
      <c r="VR133" s="845" t="str">
        <f t="shared" si="211"/>
        <v>Obec</v>
      </c>
      <c r="VS133" s="845" t="str">
        <f>IFERROR(HLOOKUP(F133,'Hodnocení '!$C$1:$JH$5,5,FALSE),0)</f>
        <v>Obce</v>
      </c>
      <c r="VT133" s="838" t="str">
        <f t="shared" si="212"/>
        <v>Obec</v>
      </c>
      <c r="VU133" s="838">
        <f t="shared" si="213"/>
        <v>0</v>
      </c>
      <c r="VV133" s="838">
        <f t="shared" si="214"/>
        <v>476000</v>
      </c>
      <c r="VW133" s="838">
        <f t="shared" si="215"/>
        <v>0</v>
      </c>
      <c r="VX133" s="838"/>
      <c r="VY133" s="838">
        <f t="shared" si="216"/>
        <v>0</v>
      </c>
      <c r="VZ133" s="838">
        <f t="shared" si="217"/>
        <v>610000</v>
      </c>
      <c r="WA133" s="846">
        <f>IFERROR(HLOOKUP($F133,'Hodnocení '!$C$1:$JH$9,9,FALSE),0)</f>
        <v>610000</v>
      </c>
      <c r="WB133" s="846">
        <f>IF(IFERROR(HLOOKUP($F133,'Hodnocení '!$C$1:$JH$13,13,FALSE),0)&gt;WA133,WA133,IFERROR(HLOOKUP($F133,'Hodnocení '!$C$1:$JH$13,13,FALSE),0))</f>
        <v>610000</v>
      </c>
      <c r="WC133" s="846">
        <f>IFERROR(HLOOKUP($F133,'Hodnocení '!$C$1:$JH$155,155,FALSE),0)</f>
        <v>610000</v>
      </c>
      <c r="WD133" s="845"/>
      <c r="WE133" s="845"/>
      <c r="WF133" s="845" t="str">
        <f t="shared" si="204"/>
        <v>ANO</v>
      </c>
      <c r="WG133" s="849" t="str">
        <f t="shared" si="218"/>
        <v>Podpora služby je vyjádřena zařazením do sítě sociálních služeb v KHK a řešením financování služby</v>
      </c>
      <c r="WH133"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33" s="849" t="str">
        <f t="shared" si="218"/>
        <v>Návrh dotace je výsledkem projednání s ostatními zadavateli v rámci sítě služeb KHK</v>
      </c>
      <c r="WJ133" s="849" t="str">
        <f t="shared" si="218"/>
        <v>Bez komentáře</v>
      </c>
      <c r="WK133" s="31">
        <f t="shared" si="205"/>
        <v>0</v>
      </c>
      <c r="WL133" s="850">
        <f t="shared" si="206"/>
        <v>0</v>
      </c>
      <c r="WM133" s="849" t="str">
        <f t="shared" si="207"/>
        <v>V rámci sítě KHK se dlouhodobě řeší otázka navyšování úhrad a průběžně se monitoruje s vazbou na vykrytí vyrovnávací platby</v>
      </c>
      <c r="WN133" s="849">
        <f t="shared" si="208"/>
        <v>0</v>
      </c>
      <c r="WO133" s="849" t="str">
        <f t="shared" si="219"/>
        <v>bez komentáře</v>
      </c>
      <c r="WP133" s="849" t="str">
        <f t="shared" si="219"/>
        <v>bez komentáře</v>
      </c>
      <c r="WQ133" s="849" t="str">
        <f t="shared" si="219"/>
        <v>Konečná výše dotace z rozpočtu KHK bude řešena v návaznosti na řešení podílů jednotlivých zadavatelů.</v>
      </c>
      <c r="WR133" s="849" t="str">
        <f t="shared" si="219"/>
        <v>Konečná výše podpory ze stran obcí bude řešena v součinnosti s jednotlivými zadavateli v průběhu roku.</v>
      </c>
      <c r="WS133" s="849" t="str">
        <f t="shared" si="219"/>
        <v>bez komentáře</v>
      </c>
      <c r="WT133" s="849" t="str">
        <f t="shared" si="219"/>
        <v>bez komentáře</v>
      </c>
      <c r="WU133" s="845"/>
    </row>
    <row r="134" spans="1:619" s="128" customFormat="1" x14ac:dyDescent="0.25">
      <c r="A134" s="128" t="str">
        <f>VLOOKUP(F134,'Výpočet VP 2020'!$D$324:$I$588,6,FALSE)</f>
        <v>Je v síti</v>
      </c>
      <c r="B134" s="128" t="s">
        <v>661</v>
      </c>
      <c r="C134" s="128">
        <v>278238</v>
      </c>
      <c r="D134" s="128" t="s">
        <v>662</v>
      </c>
      <c r="E134" s="128" t="s">
        <v>604</v>
      </c>
      <c r="F134" s="128">
        <v>8522302</v>
      </c>
      <c r="G134" s="128" t="s">
        <v>328</v>
      </c>
      <c r="H134" s="128" t="s">
        <v>218</v>
      </c>
      <c r="I134" s="128" t="s">
        <v>386</v>
      </c>
      <c r="J134" s="129">
        <v>39083</v>
      </c>
      <c r="L134" s="128" t="s">
        <v>220</v>
      </c>
      <c r="AP134" s="128" t="s">
        <v>345</v>
      </c>
      <c r="AQ134" s="128">
        <v>60</v>
      </c>
      <c r="AR134" s="128">
        <v>2</v>
      </c>
      <c r="AS134" s="128">
        <v>56</v>
      </c>
      <c r="AT134" s="128">
        <v>52</v>
      </c>
      <c r="AU134" s="128">
        <v>60</v>
      </c>
      <c r="BJ134" s="128">
        <v>1900</v>
      </c>
      <c r="BL134" s="128" t="s">
        <v>579</v>
      </c>
      <c r="BM134" s="128" t="s">
        <v>325</v>
      </c>
      <c r="BN134" s="128" t="s">
        <v>326</v>
      </c>
      <c r="BO134" s="128">
        <v>0</v>
      </c>
      <c r="BP134" s="128">
        <v>0</v>
      </c>
      <c r="BQ134" s="128">
        <v>0</v>
      </c>
      <c r="BR134" s="128">
        <v>0</v>
      </c>
      <c r="BS134" s="128">
        <v>0</v>
      </c>
      <c r="BT134" s="128">
        <v>3</v>
      </c>
      <c r="BU134" s="128">
        <v>4</v>
      </c>
      <c r="BV134" s="128">
        <v>6</v>
      </c>
      <c r="BW134" s="128">
        <v>0</v>
      </c>
      <c r="BX134" s="128">
        <v>25</v>
      </c>
      <c r="BY134" s="128">
        <v>3</v>
      </c>
      <c r="BZ134" s="128">
        <v>4</v>
      </c>
      <c r="CA134" s="128">
        <v>6</v>
      </c>
      <c r="CB134" s="128">
        <v>0</v>
      </c>
      <c r="CC134" s="128">
        <v>25</v>
      </c>
      <c r="CD134" s="128">
        <v>0</v>
      </c>
      <c r="CE134" s="128">
        <v>38</v>
      </c>
      <c r="CF134" s="128">
        <v>38</v>
      </c>
      <c r="CG134" s="128">
        <v>0</v>
      </c>
      <c r="CH134" s="128">
        <v>0</v>
      </c>
      <c r="CI134" s="128">
        <v>0</v>
      </c>
      <c r="CJ134" s="128">
        <v>0</v>
      </c>
      <c r="CK134" s="128">
        <v>0</v>
      </c>
      <c r="CL134" s="128">
        <v>0</v>
      </c>
      <c r="CM134" s="128">
        <v>5</v>
      </c>
      <c r="CN134" s="128">
        <v>4</v>
      </c>
      <c r="CO134" s="128">
        <v>6</v>
      </c>
      <c r="CP134" s="128">
        <v>0</v>
      </c>
      <c r="CQ134" s="128">
        <v>45</v>
      </c>
      <c r="CR134" s="128">
        <v>5</v>
      </c>
      <c r="CS134" s="128">
        <v>4</v>
      </c>
      <c r="CT134" s="128">
        <v>6</v>
      </c>
      <c r="CU134" s="128">
        <v>0</v>
      </c>
      <c r="CV134" s="128">
        <v>45</v>
      </c>
      <c r="CW134" s="128">
        <v>0</v>
      </c>
      <c r="CX134" s="128">
        <v>60</v>
      </c>
      <c r="CY134" s="128">
        <v>60</v>
      </c>
      <c r="CZ134" s="128">
        <v>0</v>
      </c>
      <c r="EK134" s="128">
        <v>1</v>
      </c>
      <c r="EL134" s="128">
        <v>1</v>
      </c>
      <c r="EM134" s="128">
        <v>1</v>
      </c>
      <c r="EN134" s="128">
        <v>669119</v>
      </c>
      <c r="EO134" s="128">
        <v>75000</v>
      </c>
      <c r="EP134" s="128">
        <v>1</v>
      </c>
      <c r="EQ134" s="128">
        <v>1</v>
      </c>
      <c r="ER134" s="128">
        <v>1</v>
      </c>
      <c r="ES134" s="128">
        <v>459523</v>
      </c>
      <c r="ET134" s="128">
        <v>75000</v>
      </c>
      <c r="GL134" s="128">
        <v>1</v>
      </c>
      <c r="GM134" s="128">
        <v>0.5</v>
      </c>
      <c r="GN134" s="128">
        <v>12</v>
      </c>
      <c r="GO134" s="128">
        <v>0.5</v>
      </c>
      <c r="GP134" s="128">
        <v>69858</v>
      </c>
      <c r="GQ134" s="128">
        <v>30000</v>
      </c>
      <c r="KG134" s="128">
        <v>0</v>
      </c>
      <c r="KI134" s="128">
        <v>2</v>
      </c>
      <c r="KJ134" s="128">
        <v>0.5</v>
      </c>
      <c r="KK134" s="128">
        <v>0</v>
      </c>
      <c r="KL134" s="128">
        <v>0</v>
      </c>
      <c r="KM134" s="128">
        <v>2.5</v>
      </c>
      <c r="KN134" s="128">
        <v>1128642</v>
      </c>
      <c r="KO134" s="128">
        <v>150000</v>
      </c>
      <c r="KP134" s="128">
        <v>150000</v>
      </c>
      <c r="KT134" s="128">
        <v>69858</v>
      </c>
      <c r="KU134" s="128">
        <v>30000</v>
      </c>
      <c r="KV134" s="128">
        <v>30000</v>
      </c>
      <c r="KZ134" s="128">
        <v>0</v>
      </c>
      <c r="LA134" s="128">
        <v>0</v>
      </c>
      <c r="LB134" s="128">
        <v>0</v>
      </c>
      <c r="LF134" s="128">
        <v>24500</v>
      </c>
      <c r="LG134" s="128">
        <v>0</v>
      </c>
      <c r="LH134" s="128">
        <v>0</v>
      </c>
      <c r="LL134" s="128">
        <v>0</v>
      </c>
      <c r="LM134" s="128">
        <v>0</v>
      </c>
      <c r="LN134" s="128">
        <v>0</v>
      </c>
      <c r="LR134" s="128">
        <v>20000</v>
      </c>
      <c r="LS134" s="128">
        <v>0</v>
      </c>
      <c r="LT134" s="128">
        <v>0</v>
      </c>
      <c r="LX134" s="128">
        <v>5000</v>
      </c>
      <c r="LY134" s="128">
        <v>0</v>
      </c>
      <c r="LZ134" s="128">
        <v>0</v>
      </c>
      <c r="MD134" s="128">
        <v>16000</v>
      </c>
      <c r="ME134" s="128">
        <v>0</v>
      </c>
      <c r="MF134" s="128">
        <v>0</v>
      </c>
      <c r="MJ134" s="128">
        <v>30000</v>
      </c>
      <c r="MK134" s="128">
        <v>0</v>
      </c>
      <c r="ML134" s="128">
        <v>0</v>
      </c>
      <c r="MP134" s="128">
        <v>455300</v>
      </c>
      <c r="MQ134" s="128">
        <v>0</v>
      </c>
      <c r="MR134" s="128">
        <v>0</v>
      </c>
      <c r="MV134" s="128">
        <v>25500</v>
      </c>
      <c r="MW134" s="128">
        <v>0</v>
      </c>
      <c r="MX134" s="128">
        <v>0</v>
      </c>
      <c r="NB134" s="128">
        <v>7000</v>
      </c>
      <c r="NC134" s="128">
        <v>0</v>
      </c>
      <c r="ND134" s="128">
        <v>0</v>
      </c>
      <c r="NH134" s="128">
        <v>0</v>
      </c>
      <c r="NI134" s="128">
        <v>0</v>
      </c>
      <c r="NJ134" s="128">
        <v>0</v>
      </c>
      <c r="NN134" s="128">
        <v>6500</v>
      </c>
      <c r="NO134" s="128">
        <v>0</v>
      </c>
      <c r="NP134" s="128">
        <v>0</v>
      </c>
      <c r="NT134" s="128">
        <v>20000</v>
      </c>
      <c r="NU134" s="128">
        <v>0</v>
      </c>
      <c r="NV134" s="128">
        <v>0</v>
      </c>
      <c r="NZ134" s="128">
        <v>15000</v>
      </c>
      <c r="OA134" s="128">
        <v>0</v>
      </c>
      <c r="OB134" s="128">
        <v>0</v>
      </c>
      <c r="OF134" s="128">
        <v>5000</v>
      </c>
      <c r="OG134" s="128">
        <v>0</v>
      </c>
      <c r="OH134" s="128">
        <v>0</v>
      </c>
      <c r="OL134" s="128">
        <v>0</v>
      </c>
      <c r="OM134" s="128">
        <v>0</v>
      </c>
      <c r="ON134" s="128">
        <v>0</v>
      </c>
      <c r="OR134" s="128">
        <v>0</v>
      </c>
      <c r="OS134" s="128">
        <v>0</v>
      </c>
      <c r="OT134" s="128">
        <v>0</v>
      </c>
      <c r="OX134" s="128">
        <v>15000</v>
      </c>
      <c r="OY134" s="128">
        <v>0</v>
      </c>
      <c r="OZ134" s="128">
        <v>0</v>
      </c>
      <c r="PD134" s="128">
        <v>0</v>
      </c>
      <c r="PE134" s="128">
        <v>0</v>
      </c>
      <c r="PF134" s="128">
        <v>0</v>
      </c>
      <c r="PJ134" s="128">
        <v>0</v>
      </c>
      <c r="PK134" s="128">
        <v>0</v>
      </c>
      <c r="PL134" s="128">
        <v>0</v>
      </c>
      <c r="PP134" s="128">
        <v>1843300</v>
      </c>
      <c r="PQ134" s="128">
        <v>180000</v>
      </c>
      <c r="PR134" s="128">
        <v>180000</v>
      </c>
      <c r="PS134" s="128">
        <v>100</v>
      </c>
      <c r="PT134" s="128">
        <v>100</v>
      </c>
      <c r="PV134" s="128">
        <v>775422</v>
      </c>
      <c r="PX134" s="128">
        <v>150000</v>
      </c>
      <c r="PY134" s="128">
        <v>150000</v>
      </c>
      <c r="PZ134" s="128">
        <v>180000</v>
      </c>
      <c r="QA134" s="128">
        <v>0</v>
      </c>
      <c r="QB134" s="128">
        <v>0</v>
      </c>
      <c r="QC134" s="128">
        <v>0</v>
      </c>
      <c r="QD134" s="128">
        <v>849738</v>
      </c>
      <c r="QE134" s="128">
        <v>898114</v>
      </c>
      <c r="QF134" s="128">
        <v>958300</v>
      </c>
      <c r="QG134" s="128">
        <v>0</v>
      </c>
      <c r="QH134" s="128">
        <v>0</v>
      </c>
      <c r="QI134" s="128">
        <v>0</v>
      </c>
      <c r="QJ134" s="128">
        <v>624333</v>
      </c>
      <c r="QK134" s="128">
        <v>702000</v>
      </c>
      <c r="QL134" s="128">
        <v>705000</v>
      </c>
      <c r="QN134" s="128">
        <v>0</v>
      </c>
      <c r="QO134" s="128">
        <v>0</v>
      </c>
      <c r="QP134" s="128">
        <v>0</v>
      </c>
      <c r="QU134" s="128">
        <v>28000</v>
      </c>
      <c r="QV134" s="128">
        <v>32386</v>
      </c>
      <c r="QW134" s="128">
        <v>0</v>
      </c>
      <c r="RH134" s="128">
        <f t="shared" si="209"/>
        <v>1138300</v>
      </c>
      <c r="RI134" s="128">
        <v>0</v>
      </c>
      <c r="RM134" s="128" t="s">
        <v>220</v>
      </c>
      <c r="RU134" s="130"/>
      <c r="RV134" s="130"/>
      <c r="RW134" s="130"/>
      <c r="RX134" s="130"/>
      <c r="SF134" s="128">
        <f t="shared" si="119"/>
        <v>8522302</v>
      </c>
      <c r="SG134" s="131">
        <f t="shared" si="120"/>
        <v>1843300</v>
      </c>
      <c r="SH134" s="131">
        <f t="shared" si="121"/>
        <v>1843300</v>
      </c>
      <c r="SI134" s="131">
        <f t="shared" si="122"/>
        <v>1223000</v>
      </c>
      <c r="SJ134" s="132">
        <f t="shared" si="123"/>
        <v>1128642</v>
      </c>
      <c r="SK134" s="132">
        <f t="shared" si="124"/>
        <v>69858</v>
      </c>
      <c r="SL134" s="132">
        <f t="shared" si="125"/>
        <v>0</v>
      </c>
      <c r="SM134" s="132">
        <f t="shared" si="126"/>
        <v>24500</v>
      </c>
      <c r="SN134" s="131">
        <f t="shared" si="127"/>
        <v>620300</v>
      </c>
      <c r="SO134" s="131">
        <f t="shared" si="128"/>
        <v>20000</v>
      </c>
      <c r="SP134" s="132">
        <f t="shared" si="129"/>
        <v>0</v>
      </c>
      <c r="SQ134" s="132">
        <f t="shared" si="130"/>
        <v>20000</v>
      </c>
      <c r="SR134" s="132">
        <f t="shared" si="131"/>
        <v>5000</v>
      </c>
      <c r="SS134" s="132">
        <f t="shared" si="132"/>
        <v>16000</v>
      </c>
      <c r="ST134" s="132">
        <f t="shared" si="133"/>
        <v>30000</v>
      </c>
      <c r="SU134" s="132">
        <f t="shared" si="134"/>
        <v>455300</v>
      </c>
      <c r="SV134" s="131">
        <f t="shared" si="135"/>
        <v>94000</v>
      </c>
      <c r="SW134" s="132">
        <f t="shared" si="136"/>
        <v>25500</v>
      </c>
      <c r="SX134" s="132">
        <f t="shared" si="137"/>
        <v>7000</v>
      </c>
      <c r="SY134" s="132">
        <f t="shared" si="138"/>
        <v>0</v>
      </c>
      <c r="SZ134" s="132">
        <f t="shared" si="139"/>
        <v>6500</v>
      </c>
      <c r="TA134" s="132">
        <f t="shared" si="140"/>
        <v>20000</v>
      </c>
      <c r="TB134" s="132">
        <f t="shared" si="141"/>
        <v>15000</v>
      </c>
      <c r="TC134" s="132">
        <f t="shared" si="142"/>
        <v>5000</v>
      </c>
      <c r="TD134" s="132">
        <f t="shared" si="143"/>
        <v>0</v>
      </c>
      <c r="TE134" s="132">
        <f t="shared" si="144"/>
        <v>0</v>
      </c>
      <c r="TF134" s="132">
        <f t="shared" si="145"/>
        <v>15000</v>
      </c>
      <c r="TG134" s="132">
        <f t="shared" si="146"/>
        <v>0</v>
      </c>
      <c r="TH134" s="132">
        <f t="shared" si="147"/>
        <v>0</v>
      </c>
      <c r="TI134" s="1"/>
      <c r="TJ134" s="131">
        <f t="shared" si="148"/>
        <v>180000</v>
      </c>
      <c r="TK134" s="131">
        <f t="shared" si="149"/>
        <v>180000</v>
      </c>
      <c r="TL134" s="131">
        <f t="shared" si="150"/>
        <v>180000</v>
      </c>
      <c r="TM134" s="132">
        <f t="shared" si="151"/>
        <v>150000</v>
      </c>
      <c r="TN134" s="132">
        <f t="shared" si="152"/>
        <v>30000</v>
      </c>
      <c r="TO134" s="132">
        <f t="shared" si="153"/>
        <v>0</v>
      </c>
      <c r="TP134" s="132">
        <f t="shared" si="154"/>
        <v>0</v>
      </c>
      <c r="TQ134" s="131">
        <f t="shared" si="155"/>
        <v>0</v>
      </c>
      <c r="TR134" s="131">
        <f t="shared" si="156"/>
        <v>0</v>
      </c>
      <c r="TS134" s="132">
        <f t="shared" si="157"/>
        <v>0</v>
      </c>
      <c r="TT134" s="132">
        <f t="shared" si="158"/>
        <v>0</v>
      </c>
      <c r="TU134" s="132">
        <f t="shared" si="159"/>
        <v>0</v>
      </c>
      <c r="TV134" s="132">
        <f t="shared" si="160"/>
        <v>0</v>
      </c>
      <c r="TW134" s="132">
        <f t="shared" si="161"/>
        <v>0</v>
      </c>
      <c r="TX134" s="132">
        <f t="shared" si="162"/>
        <v>0</v>
      </c>
      <c r="TY134" s="131">
        <f t="shared" si="163"/>
        <v>0</v>
      </c>
      <c r="TZ134" s="132">
        <f t="shared" si="164"/>
        <v>0</v>
      </c>
      <c r="UA134" s="132">
        <f t="shared" si="165"/>
        <v>0</v>
      </c>
      <c r="UB134" s="132">
        <f t="shared" si="166"/>
        <v>0</v>
      </c>
      <c r="UC134" s="132">
        <f t="shared" si="167"/>
        <v>0</v>
      </c>
      <c r="UD134" s="132">
        <f t="shared" si="168"/>
        <v>0</v>
      </c>
      <c r="UE134" s="132">
        <f t="shared" si="169"/>
        <v>0</v>
      </c>
      <c r="UF134" s="132">
        <f t="shared" si="170"/>
        <v>0</v>
      </c>
      <c r="UG134" s="132">
        <f t="shared" si="171"/>
        <v>0</v>
      </c>
      <c r="UH134" s="132">
        <f t="shared" si="172"/>
        <v>0</v>
      </c>
      <c r="UI134" s="132">
        <f t="shared" si="173"/>
        <v>0</v>
      </c>
      <c r="UJ134" s="132">
        <f t="shared" si="174"/>
        <v>0</v>
      </c>
      <c r="UK134" s="132">
        <f t="shared" si="175"/>
        <v>0</v>
      </c>
      <c r="UL134" s="132">
        <f t="shared" si="210"/>
        <v>180000</v>
      </c>
      <c r="UM134" s="131">
        <f t="shared" si="176"/>
        <v>180000</v>
      </c>
      <c r="UN134" s="131">
        <f t="shared" si="177"/>
        <v>180000</v>
      </c>
      <c r="UO134" s="131">
        <f t="shared" si="178"/>
        <v>180000</v>
      </c>
      <c r="UP134" s="132">
        <f t="shared" si="179"/>
        <v>150000</v>
      </c>
      <c r="UQ134" s="132">
        <f t="shared" si="180"/>
        <v>30000</v>
      </c>
      <c r="UR134" s="132">
        <f t="shared" si="181"/>
        <v>0</v>
      </c>
      <c r="US134" s="132">
        <f t="shared" si="182"/>
        <v>0</v>
      </c>
      <c r="UT134" s="131">
        <f t="shared" si="183"/>
        <v>0</v>
      </c>
      <c r="UU134" s="131">
        <f t="shared" si="184"/>
        <v>0</v>
      </c>
      <c r="UV134" s="132">
        <f t="shared" si="185"/>
        <v>0</v>
      </c>
      <c r="UW134" s="132">
        <f t="shared" si="186"/>
        <v>0</v>
      </c>
      <c r="UX134" s="132">
        <f t="shared" si="187"/>
        <v>0</v>
      </c>
      <c r="UY134" s="132">
        <f t="shared" si="188"/>
        <v>0</v>
      </c>
      <c r="UZ134" s="132">
        <f t="shared" si="189"/>
        <v>0</v>
      </c>
      <c r="VA134" s="132">
        <f t="shared" si="190"/>
        <v>0</v>
      </c>
      <c r="VB134" s="131">
        <f t="shared" si="191"/>
        <v>0</v>
      </c>
      <c r="VC134" s="132">
        <f t="shared" si="192"/>
        <v>0</v>
      </c>
      <c r="VD134" s="132">
        <f t="shared" si="193"/>
        <v>0</v>
      </c>
      <c r="VE134" s="132">
        <f t="shared" si="194"/>
        <v>0</v>
      </c>
      <c r="VF134" s="132">
        <f t="shared" si="195"/>
        <v>0</v>
      </c>
      <c r="VG134" s="132">
        <f t="shared" si="196"/>
        <v>0</v>
      </c>
      <c r="VH134" s="132">
        <f t="shared" si="197"/>
        <v>0</v>
      </c>
      <c r="VI134" s="132">
        <f t="shared" si="198"/>
        <v>0</v>
      </c>
      <c r="VJ134" s="132">
        <f t="shared" si="199"/>
        <v>0</v>
      </c>
      <c r="VK134" s="132">
        <f t="shared" si="200"/>
        <v>0</v>
      </c>
      <c r="VL134" s="132">
        <f t="shared" si="201"/>
        <v>0</v>
      </c>
      <c r="VM134" s="132">
        <f t="shared" si="202"/>
        <v>0</v>
      </c>
      <c r="VN134" s="132">
        <f t="shared" si="203"/>
        <v>0</v>
      </c>
      <c r="VP134" s="845" t="str">
        <f>IFERROR(HLOOKUP(F134,'Hodnocení '!$C$1:$JH$5,2,FALSE),0)</f>
        <v>Pečovatelská služba</v>
      </c>
      <c r="VQ134" s="838"/>
      <c r="VR134" s="845" t="str">
        <f t="shared" si="211"/>
        <v>Obec</v>
      </c>
      <c r="VS134" s="845" t="str">
        <f>IFERROR(HLOOKUP(F134,'Hodnocení '!$C$1:$JH$5,5,FALSE),0)</f>
        <v>Obce</v>
      </c>
      <c r="VT134" s="838" t="str">
        <f t="shared" si="212"/>
        <v>Obec</v>
      </c>
      <c r="VU134" s="838">
        <f t="shared" si="213"/>
        <v>0</v>
      </c>
      <c r="VV134" s="838">
        <f t="shared" si="214"/>
        <v>705000</v>
      </c>
      <c r="VW134" s="838">
        <f t="shared" si="215"/>
        <v>0</v>
      </c>
      <c r="VX134" s="838"/>
      <c r="VY134" s="838">
        <f t="shared" si="216"/>
        <v>0</v>
      </c>
      <c r="VZ134" s="838">
        <f t="shared" si="217"/>
        <v>180000</v>
      </c>
      <c r="WA134" s="846">
        <f>IFERROR(HLOOKUP($F134,'Hodnocení '!$C$1:$JH$9,9,FALSE),0)</f>
        <v>180000</v>
      </c>
      <c r="WB134" s="846">
        <f>IF(IFERROR(HLOOKUP($F134,'Hodnocení '!$C$1:$JH$13,13,FALSE),0)&gt;WA134,WA134,IFERROR(HLOOKUP($F134,'Hodnocení '!$C$1:$JH$13,13,FALSE),0))</f>
        <v>180000</v>
      </c>
      <c r="WC134" s="846">
        <f>IFERROR(HLOOKUP($F134,'Hodnocení '!$C$1:$JH$155,155,FALSE),0)</f>
        <v>0</v>
      </c>
      <c r="WD134" s="845"/>
      <c r="WE134" s="845"/>
      <c r="WF134" s="845" t="str">
        <f t="shared" si="204"/>
        <v>ANO</v>
      </c>
      <c r="WG134" s="849" t="str">
        <f t="shared" si="218"/>
        <v>Podpora služby je vyjádřena zařazením do sítě sociálních služeb v KHK a řešením financování služby</v>
      </c>
      <c r="WH134"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34" s="849" t="str">
        <f t="shared" si="218"/>
        <v>Návrh dotace je výsledkem projednání s ostatními zadavateli v rámci sítě služeb KHK</v>
      </c>
      <c r="WJ134" s="849" t="str">
        <f t="shared" si="218"/>
        <v>Bez komentáře</v>
      </c>
      <c r="WK134" s="31">
        <f t="shared" si="205"/>
        <v>0</v>
      </c>
      <c r="WL134" s="850">
        <f t="shared" si="206"/>
        <v>0</v>
      </c>
      <c r="WM134" s="849" t="str">
        <f t="shared" si="207"/>
        <v>V rámci sítě KHK se dlouhodobě řeší otázka navyšování úhrad a průběžně se monitoruje s vazbou na vykrytí vyrovnávací platby</v>
      </c>
      <c r="WN134" s="849">
        <f t="shared" si="208"/>
        <v>0</v>
      </c>
      <c r="WO134" s="849" t="str">
        <f t="shared" si="219"/>
        <v>bez komentáře</v>
      </c>
      <c r="WP134" s="849" t="str">
        <f t="shared" si="219"/>
        <v>bez komentáře</v>
      </c>
      <c r="WQ134" s="849" t="str">
        <f t="shared" si="219"/>
        <v>Konečná výše dotace z rozpočtu KHK bude řešena v návaznosti na řešení podílů jednotlivých zadavatelů.</v>
      </c>
      <c r="WR134" s="849" t="str">
        <f t="shared" si="219"/>
        <v>Konečná výše podpory ze stran obcí bude řešena v součinnosti s jednotlivými zadavateli v průběhu roku.</v>
      </c>
      <c r="WS134" s="849" t="str">
        <f t="shared" si="219"/>
        <v>bez komentáře</v>
      </c>
      <c r="WT134" s="849" t="str">
        <f t="shared" si="219"/>
        <v>bez komentáře</v>
      </c>
      <c r="WU134" s="845"/>
    </row>
    <row r="135" spans="1:619" s="128" customFormat="1" x14ac:dyDescent="0.25">
      <c r="A135" s="128" t="str">
        <f>VLOOKUP(F135,'Výpočet VP 2020'!$D$324:$I$588,6,FALSE)</f>
        <v>Je v síti</v>
      </c>
      <c r="B135" s="128" t="s">
        <v>663</v>
      </c>
      <c r="C135" s="128">
        <v>273139</v>
      </c>
      <c r="D135" s="128" t="s">
        <v>664</v>
      </c>
      <c r="E135" s="128" t="s">
        <v>604</v>
      </c>
      <c r="F135" s="128">
        <v>6697882</v>
      </c>
      <c r="G135" s="128" t="s">
        <v>328</v>
      </c>
      <c r="H135" s="128" t="s">
        <v>218</v>
      </c>
      <c r="I135" s="128" t="s">
        <v>665</v>
      </c>
      <c r="J135" s="129">
        <v>36227</v>
      </c>
      <c r="L135" s="128" t="s">
        <v>220</v>
      </c>
      <c r="AP135" s="128" t="s">
        <v>284</v>
      </c>
      <c r="AQ135" s="128">
        <v>2</v>
      </c>
      <c r="AR135" s="128">
        <v>50</v>
      </c>
      <c r="AS135" s="128">
        <v>69</v>
      </c>
      <c r="AT135" s="128">
        <v>65</v>
      </c>
      <c r="AU135" s="128">
        <v>70</v>
      </c>
      <c r="BJ135" s="128">
        <v>1500</v>
      </c>
      <c r="BL135" s="128" t="s">
        <v>579</v>
      </c>
      <c r="BM135" s="128" t="s">
        <v>325</v>
      </c>
      <c r="BN135" s="128" t="s">
        <v>352</v>
      </c>
      <c r="BO135" s="128">
        <v>0</v>
      </c>
      <c r="BP135" s="128">
        <v>0</v>
      </c>
      <c r="BQ135" s="128">
        <v>0</v>
      </c>
      <c r="BR135" s="128">
        <v>0</v>
      </c>
      <c r="BS135" s="128">
        <v>0</v>
      </c>
      <c r="BT135" s="128">
        <v>7</v>
      </c>
      <c r="BU135" s="128">
        <v>8</v>
      </c>
      <c r="BV135" s="128">
        <v>3</v>
      </c>
      <c r="BW135" s="128">
        <v>1</v>
      </c>
      <c r="BX135" s="128">
        <v>46</v>
      </c>
      <c r="BY135" s="128">
        <v>7</v>
      </c>
      <c r="BZ135" s="128">
        <v>8</v>
      </c>
      <c r="CA135" s="128">
        <v>3</v>
      </c>
      <c r="CB135" s="128">
        <v>1</v>
      </c>
      <c r="CC135" s="128">
        <v>46</v>
      </c>
      <c r="CD135" s="128">
        <v>0</v>
      </c>
      <c r="CE135" s="128">
        <v>65</v>
      </c>
      <c r="CF135" s="128">
        <v>65</v>
      </c>
      <c r="CG135" s="128">
        <v>0</v>
      </c>
      <c r="CH135" s="128">
        <v>0</v>
      </c>
      <c r="CI135" s="128">
        <v>0</v>
      </c>
      <c r="CJ135" s="128">
        <v>0</v>
      </c>
      <c r="CK135" s="128">
        <v>0</v>
      </c>
      <c r="CL135" s="128">
        <v>0</v>
      </c>
      <c r="CM135" s="128">
        <v>8</v>
      </c>
      <c r="CN135" s="128">
        <v>5</v>
      </c>
      <c r="CO135" s="128">
        <v>2</v>
      </c>
      <c r="CP135" s="128">
        <v>0</v>
      </c>
      <c r="CQ135" s="128">
        <v>55</v>
      </c>
      <c r="CR135" s="128">
        <v>8</v>
      </c>
      <c r="CS135" s="128">
        <v>5</v>
      </c>
      <c r="CT135" s="128">
        <v>2</v>
      </c>
      <c r="CU135" s="128">
        <v>0</v>
      </c>
      <c r="CV135" s="128">
        <v>55</v>
      </c>
      <c r="CW135" s="128">
        <v>0</v>
      </c>
      <c r="CX135" s="128">
        <v>70</v>
      </c>
      <c r="CY135" s="128">
        <v>70</v>
      </c>
      <c r="CZ135" s="128">
        <v>0</v>
      </c>
      <c r="EK135" s="128">
        <v>1</v>
      </c>
      <c r="EL135" s="128">
        <v>0.2</v>
      </c>
      <c r="EM135" s="128">
        <v>0.2</v>
      </c>
      <c r="EN135" s="128">
        <v>96903</v>
      </c>
      <c r="EO135" s="128">
        <v>0</v>
      </c>
      <c r="EP135" s="128">
        <v>2</v>
      </c>
      <c r="EQ135" s="128">
        <v>1.5</v>
      </c>
      <c r="ER135" s="128">
        <v>1.5</v>
      </c>
      <c r="ES135" s="128">
        <v>726195</v>
      </c>
      <c r="ET135" s="128">
        <v>150000</v>
      </c>
      <c r="FO135" s="128">
        <v>2</v>
      </c>
      <c r="FP135" s="128">
        <v>0.2</v>
      </c>
      <c r="FQ135" s="128">
        <v>0.2</v>
      </c>
      <c r="FR135" s="128">
        <v>96902</v>
      </c>
      <c r="FS135" s="128">
        <v>0</v>
      </c>
      <c r="KG135" s="128">
        <v>0</v>
      </c>
      <c r="KI135" s="128">
        <v>1.7</v>
      </c>
      <c r="KJ135" s="128">
        <v>0</v>
      </c>
      <c r="KK135" s="128">
        <v>0</v>
      </c>
      <c r="KL135" s="128">
        <v>0</v>
      </c>
      <c r="KM135" s="128">
        <v>1.7</v>
      </c>
      <c r="KN135" s="128">
        <v>920000</v>
      </c>
      <c r="KO135" s="128">
        <v>150000</v>
      </c>
      <c r="KP135" s="128">
        <v>150000</v>
      </c>
      <c r="KT135" s="128">
        <v>0</v>
      </c>
      <c r="KU135" s="128">
        <v>0</v>
      </c>
      <c r="KV135" s="128">
        <v>0</v>
      </c>
      <c r="KZ135" s="128">
        <v>0</v>
      </c>
      <c r="LA135" s="128">
        <v>0</v>
      </c>
      <c r="LB135" s="128">
        <v>0</v>
      </c>
      <c r="LF135" s="128">
        <v>0</v>
      </c>
      <c r="LG135" s="128">
        <v>0</v>
      </c>
      <c r="LH135" s="128">
        <v>0</v>
      </c>
      <c r="LL135" s="128">
        <v>0</v>
      </c>
      <c r="LM135" s="128">
        <v>0</v>
      </c>
      <c r="LN135" s="128">
        <v>0</v>
      </c>
      <c r="LR135" s="128">
        <v>0</v>
      </c>
      <c r="LS135" s="128">
        <v>0</v>
      </c>
      <c r="LT135" s="128">
        <v>0</v>
      </c>
      <c r="LX135" s="128">
        <v>0</v>
      </c>
      <c r="LY135" s="128">
        <v>0</v>
      </c>
      <c r="LZ135" s="128">
        <v>0</v>
      </c>
      <c r="MD135" s="128">
        <v>7500</v>
      </c>
      <c r="ME135" s="128">
        <v>0</v>
      </c>
      <c r="MF135" s="128">
        <v>0</v>
      </c>
      <c r="MJ135" s="128">
        <v>55000</v>
      </c>
      <c r="MK135" s="128">
        <v>0</v>
      </c>
      <c r="ML135" s="128">
        <v>0</v>
      </c>
      <c r="MP135" s="128">
        <v>0</v>
      </c>
      <c r="MQ135" s="128">
        <v>0</v>
      </c>
      <c r="MR135" s="128">
        <v>0</v>
      </c>
      <c r="MV135" s="128">
        <v>6500</v>
      </c>
      <c r="MW135" s="128">
        <v>0</v>
      </c>
      <c r="MX135" s="128">
        <v>0</v>
      </c>
      <c r="NB135" s="128">
        <v>17500</v>
      </c>
      <c r="NC135" s="128">
        <v>0</v>
      </c>
      <c r="ND135" s="128">
        <v>0</v>
      </c>
      <c r="NH135" s="128">
        <v>0</v>
      </c>
      <c r="NI135" s="128">
        <v>0</v>
      </c>
      <c r="NJ135" s="128">
        <v>0</v>
      </c>
      <c r="NN135" s="128">
        <v>0</v>
      </c>
      <c r="NO135" s="128">
        <v>0</v>
      </c>
      <c r="NP135" s="128">
        <v>0</v>
      </c>
      <c r="NT135" s="128">
        <v>15000</v>
      </c>
      <c r="NU135" s="128">
        <v>0</v>
      </c>
      <c r="NV135" s="128">
        <v>0</v>
      </c>
      <c r="NZ135" s="128">
        <v>10000</v>
      </c>
      <c r="OA135" s="128">
        <v>0</v>
      </c>
      <c r="OB135" s="128">
        <v>0</v>
      </c>
      <c r="OF135" s="128">
        <v>0</v>
      </c>
      <c r="OG135" s="128">
        <v>0</v>
      </c>
      <c r="OH135" s="128">
        <v>0</v>
      </c>
      <c r="OL135" s="128">
        <v>0</v>
      </c>
      <c r="OM135" s="128">
        <v>0</v>
      </c>
      <c r="ON135" s="128">
        <v>0</v>
      </c>
      <c r="OR135" s="128">
        <v>0</v>
      </c>
      <c r="OS135" s="128">
        <v>0</v>
      </c>
      <c r="OT135" s="128">
        <v>0</v>
      </c>
      <c r="OX135" s="128">
        <v>0</v>
      </c>
      <c r="OY135" s="128">
        <v>0</v>
      </c>
      <c r="OZ135" s="128">
        <v>0</v>
      </c>
      <c r="PD135" s="128">
        <v>0</v>
      </c>
      <c r="PE135" s="128">
        <v>0</v>
      </c>
      <c r="PF135" s="128">
        <v>0</v>
      </c>
      <c r="PJ135" s="128">
        <v>0</v>
      </c>
      <c r="PK135" s="128">
        <v>0</v>
      </c>
      <c r="PL135" s="128">
        <v>0</v>
      </c>
      <c r="PP135" s="128">
        <v>1031500</v>
      </c>
      <c r="PQ135" s="128">
        <v>150000</v>
      </c>
      <c r="PR135" s="128">
        <v>150000</v>
      </c>
      <c r="PS135" s="128">
        <v>100</v>
      </c>
      <c r="PT135" s="128">
        <v>100</v>
      </c>
      <c r="PV135" s="128">
        <v>548550</v>
      </c>
      <c r="PX135" s="128">
        <v>100000</v>
      </c>
      <c r="PY135" s="128">
        <v>97500</v>
      </c>
      <c r="PZ135" s="128">
        <v>150000</v>
      </c>
      <c r="QA135" s="128">
        <v>0</v>
      </c>
      <c r="QB135" s="128">
        <v>0</v>
      </c>
      <c r="QC135" s="128">
        <v>0</v>
      </c>
      <c r="QD135" s="128">
        <v>503674</v>
      </c>
      <c r="QE135" s="128">
        <v>813077</v>
      </c>
      <c r="QF135" s="128">
        <v>706500</v>
      </c>
      <c r="QG135" s="128">
        <v>0</v>
      </c>
      <c r="QH135" s="128">
        <v>0</v>
      </c>
      <c r="QI135" s="128">
        <v>0</v>
      </c>
      <c r="QJ135" s="128">
        <v>88332</v>
      </c>
      <c r="QK135" s="128">
        <v>95000</v>
      </c>
      <c r="QL135" s="128">
        <v>95000</v>
      </c>
      <c r="QN135" s="128">
        <v>0</v>
      </c>
      <c r="QO135" s="128">
        <v>0</v>
      </c>
      <c r="QP135" s="128">
        <v>0</v>
      </c>
      <c r="QU135" s="128">
        <v>30000</v>
      </c>
      <c r="QV135" s="128">
        <v>56833</v>
      </c>
      <c r="QW135" s="128">
        <v>80000</v>
      </c>
      <c r="RH135" s="128">
        <f t="shared" si="209"/>
        <v>936500</v>
      </c>
      <c r="RI135" s="128">
        <v>0</v>
      </c>
      <c r="RM135" s="128" t="s">
        <v>220</v>
      </c>
      <c r="RU135" s="130"/>
      <c r="RV135" s="130"/>
      <c r="RW135" s="130"/>
      <c r="RX135" s="130"/>
      <c r="SF135" s="128">
        <f t="shared" si="119"/>
        <v>6697882</v>
      </c>
      <c r="SG135" s="131">
        <f t="shared" si="120"/>
        <v>1031500</v>
      </c>
      <c r="SH135" s="131">
        <f t="shared" si="121"/>
        <v>1031500</v>
      </c>
      <c r="SI135" s="131">
        <f t="shared" si="122"/>
        <v>920000</v>
      </c>
      <c r="SJ135" s="132">
        <f t="shared" si="123"/>
        <v>920000</v>
      </c>
      <c r="SK135" s="132">
        <f t="shared" si="124"/>
        <v>0</v>
      </c>
      <c r="SL135" s="132">
        <f t="shared" si="125"/>
        <v>0</v>
      </c>
      <c r="SM135" s="132">
        <f t="shared" si="126"/>
        <v>0</v>
      </c>
      <c r="SN135" s="131">
        <f t="shared" si="127"/>
        <v>111500</v>
      </c>
      <c r="SO135" s="131">
        <f t="shared" si="128"/>
        <v>0</v>
      </c>
      <c r="SP135" s="132">
        <f t="shared" si="129"/>
        <v>0</v>
      </c>
      <c r="SQ135" s="132">
        <f t="shared" si="130"/>
        <v>0</v>
      </c>
      <c r="SR135" s="132">
        <f t="shared" si="131"/>
        <v>0</v>
      </c>
      <c r="SS135" s="132">
        <f t="shared" si="132"/>
        <v>7500</v>
      </c>
      <c r="ST135" s="132">
        <f t="shared" si="133"/>
        <v>55000</v>
      </c>
      <c r="SU135" s="132">
        <f t="shared" si="134"/>
        <v>0</v>
      </c>
      <c r="SV135" s="131">
        <f t="shared" si="135"/>
        <v>49000</v>
      </c>
      <c r="SW135" s="132">
        <f t="shared" si="136"/>
        <v>6500</v>
      </c>
      <c r="SX135" s="132">
        <f t="shared" si="137"/>
        <v>17500</v>
      </c>
      <c r="SY135" s="132">
        <f t="shared" si="138"/>
        <v>0</v>
      </c>
      <c r="SZ135" s="132">
        <f t="shared" si="139"/>
        <v>0</v>
      </c>
      <c r="TA135" s="132">
        <f t="shared" si="140"/>
        <v>15000</v>
      </c>
      <c r="TB135" s="132">
        <f t="shared" si="141"/>
        <v>10000</v>
      </c>
      <c r="TC135" s="132">
        <f t="shared" si="142"/>
        <v>0</v>
      </c>
      <c r="TD135" s="132">
        <f t="shared" si="143"/>
        <v>0</v>
      </c>
      <c r="TE135" s="132">
        <f t="shared" si="144"/>
        <v>0</v>
      </c>
      <c r="TF135" s="132">
        <f t="shared" si="145"/>
        <v>0</v>
      </c>
      <c r="TG135" s="132">
        <f t="shared" si="146"/>
        <v>0</v>
      </c>
      <c r="TH135" s="132">
        <f t="shared" si="147"/>
        <v>0</v>
      </c>
      <c r="TI135" s="1"/>
      <c r="TJ135" s="131">
        <f t="shared" si="148"/>
        <v>150000</v>
      </c>
      <c r="TK135" s="131">
        <f t="shared" si="149"/>
        <v>150000</v>
      </c>
      <c r="TL135" s="131">
        <f t="shared" si="150"/>
        <v>150000</v>
      </c>
      <c r="TM135" s="132">
        <f t="shared" si="151"/>
        <v>150000</v>
      </c>
      <c r="TN135" s="132">
        <f t="shared" si="152"/>
        <v>0</v>
      </c>
      <c r="TO135" s="132">
        <f t="shared" si="153"/>
        <v>0</v>
      </c>
      <c r="TP135" s="132">
        <f t="shared" si="154"/>
        <v>0</v>
      </c>
      <c r="TQ135" s="131">
        <f t="shared" si="155"/>
        <v>0</v>
      </c>
      <c r="TR135" s="131">
        <f t="shared" si="156"/>
        <v>0</v>
      </c>
      <c r="TS135" s="132">
        <f t="shared" si="157"/>
        <v>0</v>
      </c>
      <c r="TT135" s="132">
        <f t="shared" si="158"/>
        <v>0</v>
      </c>
      <c r="TU135" s="132">
        <f t="shared" si="159"/>
        <v>0</v>
      </c>
      <c r="TV135" s="132">
        <f t="shared" si="160"/>
        <v>0</v>
      </c>
      <c r="TW135" s="132">
        <f t="shared" si="161"/>
        <v>0</v>
      </c>
      <c r="TX135" s="132">
        <f t="shared" si="162"/>
        <v>0</v>
      </c>
      <c r="TY135" s="131">
        <f t="shared" si="163"/>
        <v>0</v>
      </c>
      <c r="TZ135" s="132">
        <f t="shared" si="164"/>
        <v>0</v>
      </c>
      <c r="UA135" s="132">
        <f t="shared" si="165"/>
        <v>0</v>
      </c>
      <c r="UB135" s="132">
        <f t="shared" si="166"/>
        <v>0</v>
      </c>
      <c r="UC135" s="132">
        <f t="shared" si="167"/>
        <v>0</v>
      </c>
      <c r="UD135" s="132">
        <f t="shared" si="168"/>
        <v>0</v>
      </c>
      <c r="UE135" s="132">
        <f t="shared" si="169"/>
        <v>0</v>
      </c>
      <c r="UF135" s="132">
        <f t="shared" si="170"/>
        <v>0</v>
      </c>
      <c r="UG135" s="132">
        <f t="shared" si="171"/>
        <v>0</v>
      </c>
      <c r="UH135" s="132">
        <f t="shared" si="172"/>
        <v>0</v>
      </c>
      <c r="UI135" s="132">
        <f t="shared" si="173"/>
        <v>0</v>
      </c>
      <c r="UJ135" s="132">
        <f t="shared" si="174"/>
        <v>0</v>
      </c>
      <c r="UK135" s="132">
        <f t="shared" si="175"/>
        <v>0</v>
      </c>
      <c r="UL135" s="132">
        <f t="shared" si="210"/>
        <v>150000</v>
      </c>
      <c r="UM135" s="131">
        <f t="shared" si="176"/>
        <v>150000</v>
      </c>
      <c r="UN135" s="131">
        <f t="shared" si="177"/>
        <v>150000</v>
      </c>
      <c r="UO135" s="131">
        <f t="shared" si="178"/>
        <v>150000</v>
      </c>
      <c r="UP135" s="132">
        <f t="shared" si="179"/>
        <v>150000</v>
      </c>
      <c r="UQ135" s="132">
        <f t="shared" si="180"/>
        <v>0</v>
      </c>
      <c r="UR135" s="132">
        <f t="shared" si="181"/>
        <v>0</v>
      </c>
      <c r="US135" s="132">
        <f t="shared" si="182"/>
        <v>0</v>
      </c>
      <c r="UT135" s="131">
        <f t="shared" si="183"/>
        <v>0</v>
      </c>
      <c r="UU135" s="131">
        <f t="shared" si="184"/>
        <v>0</v>
      </c>
      <c r="UV135" s="132">
        <f t="shared" si="185"/>
        <v>0</v>
      </c>
      <c r="UW135" s="132">
        <f t="shared" si="186"/>
        <v>0</v>
      </c>
      <c r="UX135" s="132">
        <f t="shared" si="187"/>
        <v>0</v>
      </c>
      <c r="UY135" s="132">
        <f t="shared" si="188"/>
        <v>0</v>
      </c>
      <c r="UZ135" s="132">
        <f t="shared" si="189"/>
        <v>0</v>
      </c>
      <c r="VA135" s="132">
        <f t="shared" si="190"/>
        <v>0</v>
      </c>
      <c r="VB135" s="131">
        <f t="shared" si="191"/>
        <v>0</v>
      </c>
      <c r="VC135" s="132">
        <f t="shared" si="192"/>
        <v>0</v>
      </c>
      <c r="VD135" s="132">
        <f t="shared" si="193"/>
        <v>0</v>
      </c>
      <c r="VE135" s="132">
        <f t="shared" si="194"/>
        <v>0</v>
      </c>
      <c r="VF135" s="132">
        <f t="shared" si="195"/>
        <v>0</v>
      </c>
      <c r="VG135" s="132">
        <f t="shared" si="196"/>
        <v>0</v>
      </c>
      <c r="VH135" s="132">
        <f t="shared" si="197"/>
        <v>0</v>
      </c>
      <c r="VI135" s="132">
        <f t="shared" si="198"/>
        <v>0</v>
      </c>
      <c r="VJ135" s="132">
        <f t="shared" si="199"/>
        <v>0</v>
      </c>
      <c r="VK135" s="132">
        <f t="shared" si="200"/>
        <v>0</v>
      </c>
      <c r="VL135" s="132">
        <f t="shared" si="201"/>
        <v>0</v>
      </c>
      <c r="VM135" s="132">
        <f t="shared" si="202"/>
        <v>0</v>
      </c>
      <c r="VN135" s="132">
        <f t="shared" si="203"/>
        <v>0</v>
      </c>
      <c r="VP135" s="845" t="str">
        <f>IFERROR(HLOOKUP(F135,'Hodnocení '!$C$1:$JH$5,2,FALSE),0)</f>
        <v>Pečovatelská služba Teplice nad Metují</v>
      </c>
      <c r="VQ135" s="838"/>
      <c r="VR135" s="845" t="str">
        <f t="shared" si="211"/>
        <v>Obec</v>
      </c>
      <c r="VS135" s="845" t="str">
        <f>IFERROR(HLOOKUP(F135,'Hodnocení '!$C$1:$JH$5,5,FALSE),0)</f>
        <v>Obce</v>
      </c>
      <c r="VT135" s="838" t="str">
        <f t="shared" si="212"/>
        <v>Obec</v>
      </c>
      <c r="VU135" s="838">
        <f t="shared" si="213"/>
        <v>0</v>
      </c>
      <c r="VV135" s="838">
        <f t="shared" si="214"/>
        <v>95000</v>
      </c>
      <c r="VW135" s="838">
        <f t="shared" si="215"/>
        <v>0</v>
      </c>
      <c r="VX135" s="838"/>
      <c r="VY135" s="838">
        <f t="shared" si="216"/>
        <v>0</v>
      </c>
      <c r="VZ135" s="838">
        <f t="shared" si="217"/>
        <v>150000</v>
      </c>
      <c r="WA135" s="846">
        <f>IFERROR(HLOOKUP($F135,'Hodnocení '!$C$1:$JH$9,9,FALSE),0)</f>
        <v>150000</v>
      </c>
      <c r="WB135" s="846">
        <f>IF(IFERROR(HLOOKUP($F135,'Hodnocení '!$C$1:$JH$13,13,FALSE),0)&gt;WA135,WA135,IFERROR(HLOOKUP($F135,'Hodnocení '!$C$1:$JH$13,13,FALSE),0))</f>
        <v>150000</v>
      </c>
      <c r="WC135" s="846">
        <f>IFERROR(HLOOKUP($F135,'Hodnocení '!$C$1:$JH$155,155,FALSE),0)</f>
        <v>150000</v>
      </c>
      <c r="WD135" s="845"/>
      <c r="WE135" s="845"/>
      <c r="WF135" s="845" t="str">
        <f t="shared" si="204"/>
        <v>ANO</v>
      </c>
      <c r="WG135" s="849" t="str">
        <f t="shared" si="218"/>
        <v>Podpora služby je vyjádřena zařazením do sítě sociálních služeb v KHK a řešením financování služby</v>
      </c>
      <c r="WH135"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35" s="849" t="str">
        <f t="shared" si="218"/>
        <v>Návrh dotace je výsledkem projednání s ostatními zadavateli v rámci sítě služeb KHK</v>
      </c>
      <c r="WJ135" s="849" t="str">
        <f t="shared" si="218"/>
        <v>Bez komentáře</v>
      </c>
      <c r="WK135" s="31">
        <f t="shared" si="205"/>
        <v>0</v>
      </c>
      <c r="WL135" s="850">
        <f t="shared" si="206"/>
        <v>0</v>
      </c>
      <c r="WM135" s="849" t="str">
        <f t="shared" si="207"/>
        <v>V rámci sítě KHK se dlouhodobě řeší otázka navyšování úhrad a průběžně se monitoruje s vazbou na vykrytí vyrovnávací platby</v>
      </c>
      <c r="WN135" s="849">
        <f t="shared" si="208"/>
        <v>0</v>
      </c>
      <c r="WO135" s="849" t="str">
        <f t="shared" si="219"/>
        <v>bez komentáře</v>
      </c>
      <c r="WP135" s="849" t="str">
        <f t="shared" si="219"/>
        <v>bez komentáře</v>
      </c>
      <c r="WQ135" s="849" t="str">
        <f t="shared" si="219"/>
        <v>Konečná výše dotace z rozpočtu KHK bude řešena v návaznosti na řešení podílů jednotlivých zadavatelů.</v>
      </c>
      <c r="WR135" s="849" t="str">
        <f t="shared" si="219"/>
        <v>Konečná výše podpory ze stran obcí bude řešena v součinnosti s jednotlivými zadavateli v průběhu roku.</v>
      </c>
      <c r="WS135" s="849" t="str">
        <f t="shared" si="219"/>
        <v>bez komentáře</v>
      </c>
      <c r="WT135" s="849" t="str">
        <f t="shared" si="219"/>
        <v>bez komentáře</v>
      </c>
      <c r="WU135" s="845"/>
    </row>
    <row r="136" spans="1:619" s="128" customFormat="1" x14ac:dyDescent="0.25">
      <c r="A136" s="128" t="str">
        <f>VLOOKUP(F136,'Výpočet VP 2020'!$D$324:$I$588,6,FALSE)</f>
        <v>Je v síti</v>
      </c>
      <c r="B136" s="128" t="s">
        <v>666</v>
      </c>
      <c r="C136" s="128">
        <v>278386</v>
      </c>
      <c r="D136" s="128" t="s">
        <v>667</v>
      </c>
      <c r="E136" s="128" t="s">
        <v>604</v>
      </c>
      <c r="F136" s="128">
        <v>2813433</v>
      </c>
      <c r="G136" s="128" t="s">
        <v>286</v>
      </c>
      <c r="H136" s="128" t="s">
        <v>218</v>
      </c>
      <c r="I136" s="128" t="s">
        <v>668</v>
      </c>
      <c r="J136" s="129">
        <v>42065</v>
      </c>
      <c r="L136" s="128" t="s">
        <v>220</v>
      </c>
      <c r="X136" s="128" t="s">
        <v>232</v>
      </c>
      <c r="Z136" s="128">
        <v>10</v>
      </c>
      <c r="AA136" s="128">
        <v>10</v>
      </c>
      <c r="AB136" s="128">
        <v>11</v>
      </c>
      <c r="AC136" s="128">
        <v>11</v>
      </c>
      <c r="AD136" s="128">
        <v>11</v>
      </c>
      <c r="AN136" s="128">
        <v>2840</v>
      </c>
      <c r="BL136" s="128" t="s">
        <v>669</v>
      </c>
      <c r="BM136" s="128" t="s">
        <v>223</v>
      </c>
      <c r="BN136" s="128" t="s">
        <v>305</v>
      </c>
      <c r="BO136" s="128">
        <v>0</v>
      </c>
      <c r="BP136" s="128">
        <v>0</v>
      </c>
      <c r="BQ136" s="128">
        <v>0</v>
      </c>
      <c r="BR136" s="128">
        <v>0</v>
      </c>
      <c r="BS136" s="128">
        <v>0</v>
      </c>
      <c r="BT136" s="128">
        <v>1</v>
      </c>
      <c r="BU136" s="128">
        <v>4</v>
      </c>
      <c r="BV136" s="128">
        <v>0</v>
      </c>
      <c r="BW136" s="128">
        <v>3</v>
      </c>
      <c r="BX136" s="128">
        <v>1</v>
      </c>
      <c r="BY136" s="128">
        <v>1</v>
      </c>
      <c r="BZ136" s="128">
        <v>4</v>
      </c>
      <c r="CA136" s="128">
        <v>0</v>
      </c>
      <c r="CB136" s="128">
        <v>3</v>
      </c>
      <c r="CC136" s="128">
        <v>1</v>
      </c>
      <c r="CD136" s="128">
        <v>0</v>
      </c>
      <c r="CE136" s="128">
        <v>9</v>
      </c>
      <c r="CF136" s="128">
        <v>9</v>
      </c>
      <c r="CH136" s="128">
        <v>0</v>
      </c>
      <c r="CI136" s="128">
        <v>0</v>
      </c>
      <c r="CJ136" s="128">
        <v>0</v>
      </c>
      <c r="CK136" s="128">
        <v>0</v>
      </c>
      <c r="CL136" s="128">
        <v>0</v>
      </c>
      <c r="CM136" s="128">
        <v>1</v>
      </c>
      <c r="CN136" s="128">
        <v>4</v>
      </c>
      <c r="CO136" s="128">
        <v>1</v>
      </c>
      <c r="CP136" s="128">
        <v>4</v>
      </c>
      <c r="CQ136" s="128">
        <v>1</v>
      </c>
      <c r="CR136" s="128">
        <v>1</v>
      </c>
      <c r="CS136" s="128">
        <v>4</v>
      </c>
      <c r="CT136" s="128">
        <v>1</v>
      </c>
      <c r="CU136" s="128">
        <v>4</v>
      </c>
      <c r="CV136" s="128">
        <v>1</v>
      </c>
      <c r="CW136" s="128">
        <v>0</v>
      </c>
      <c r="CX136" s="128">
        <v>11</v>
      </c>
      <c r="CY136" s="128">
        <v>11</v>
      </c>
      <c r="EK136" s="128">
        <v>1</v>
      </c>
      <c r="EL136" s="128">
        <v>1</v>
      </c>
      <c r="EM136" s="128">
        <v>1</v>
      </c>
      <c r="EN136" s="128">
        <v>386952</v>
      </c>
      <c r="EO136" s="128">
        <v>250000</v>
      </c>
      <c r="EP136" s="128">
        <v>2</v>
      </c>
      <c r="EQ136" s="128">
        <v>1.7</v>
      </c>
      <c r="ER136" s="128">
        <v>1.7</v>
      </c>
      <c r="ES136" s="128">
        <v>645623</v>
      </c>
      <c r="ET136" s="128">
        <v>550000</v>
      </c>
      <c r="KG136" s="128">
        <v>0</v>
      </c>
      <c r="KI136" s="128">
        <v>2.7</v>
      </c>
      <c r="KJ136" s="128">
        <v>0</v>
      </c>
      <c r="KK136" s="128">
        <v>0</v>
      </c>
      <c r="KL136" s="128">
        <v>0</v>
      </c>
      <c r="KM136" s="128">
        <v>2.7</v>
      </c>
      <c r="KN136" s="128">
        <v>1032575</v>
      </c>
      <c r="KO136" s="128">
        <v>800000</v>
      </c>
      <c r="KP136" s="128">
        <v>800000</v>
      </c>
      <c r="KT136" s="128">
        <v>0</v>
      </c>
      <c r="KU136" s="128">
        <v>0</v>
      </c>
      <c r="KV136" s="128">
        <v>0</v>
      </c>
      <c r="KZ136" s="128">
        <v>0</v>
      </c>
      <c r="LA136" s="128">
        <v>0</v>
      </c>
      <c r="LB136" s="128">
        <v>0</v>
      </c>
      <c r="LF136" s="128">
        <v>22270</v>
      </c>
      <c r="LG136" s="128">
        <v>0</v>
      </c>
      <c r="LH136" s="128">
        <v>0</v>
      </c>
      <c r="LL136" s="128">
        <v>0</v>
      </c>
      <c r="LM136" s="128">
        <v>0</v>
      </c>
      <c r="LN136" s="128">
        <v>0</v>
      </c>
      <c r="LR136" s="128">
        <v>65000</v>
      </c>
      <c r="LS136" s="128">
        <v>65000</v>
      </c>
      <c r="LT136" s="128">
        <v>65000</v>
      </c>
      <c r="LX136" s="128">
        <v>500</v>
      </c>
      <c r="LY136" s="128">
        <v>0</v>
      </c>
      <c r="LZ136" s="128">
        <v>0</v>
      </c>
      <c r="MD136" s="128">
        <v>0</v>
      </c>
      <c r="ME136" s="128">
        <v>0</v>
      </c>
      <c r="MF136" s="128">
        <v>0</v>
      </c>
      <c r="MJ136" s="128">
        <v>0</v>
      </c>
      <c r="MK136" s="128">
        <v>0</v>
      </c>
      <c r="ML136" s="128">
        <v>0</v>
      </c>
      <c r="MP136" s="128">
        <v>10000</v>
      </c>
      <c r="MQ136" s="128">
        <v>0</v>
      </c>
      <c r="MR136" s="128">
        <v>0</v>
      </c>
      <c r="MV136" s="128">
        <v>30000</v>
      </c>
      <c r="MW136" s="128">
        <v>0</v>
      </c>
      <c r="MX136" s="128">
        <v>0</v>
      </c>
      <c r="NB136" s="128">
        <v>5870</v>
      </c>
      <c r="NC136" s="128">
        <v>0</v>
      </c>
      <c r="ND136" s="128">
        <v>0</v>
      </c>
      <c r="NH136" s="128">
        <v>0</v>
      </c>
      <c r="NI136" s="128">
        <v>0</v>
      </c>
      <c r="NJ136" s="128">
        <v>0</v>
      </c>
      <c r="NN136" s="128">
        <v>0</v>
      </c>
      <c r="NO136" s="128">
        <v>0</v>
      </c>
      <c r="NP136" s="128">
        <v>0</v>
      </c>
      <c r="NT136" s="128">
        <v>15000</v>
      </c>
      <c r="NU136" s="128">
        <v>0</v>
      </c>
      <c r="NV136" s="128">
        <v>0</v>
      </c>
      <c r="NZ136" s="128">
        <v>0</v>
      </c>
      <c r="OA136" s="128">
        <v>0</v>
      </c>
      <c r="OB136" s="128">
        <v>0</v>
      </c>
      <c r="OF136" s="128">
        <v>0</v>
      </c>
      <c r="OG136" s="128">
        <v>0</v>
      </c>
      <c r="OH136" s="128">
        <v>0</v>
      </c>
      <c r="OL136" s="128">
        <v>0</v>
      </c>
      <c r="OM136" s="128">
        <v>0</v>
      </c>
      <c r="ON136" s="128">
        <v>0</v>
      </c>
      <c r="OR136" s="128">
        <v>0</v>
      </c>
      <c r="OS136" s="128">
        <v>0</v>
      </c>
      <c r="OT136" s="128">
        <v>0</v>
      </c>
      <c r="OX136" s="128">
        <v>0</v>
      </c>
      <c r="OY136" s="128">
        <v>0</v>
      </c>
      <c r="OZ136" s="128">
        <v>0</v>
      </c>
      <c r="PD136" s="128">
        <v>0</v>
      </c>
      <c r="PE136" s="128">
        <v>0</v>
      </c>
      <c r="PF136" s="128">
        <v>0</v>
      </c>
      <c r="PJ136" s="128">
        <v>27950</v>
      </c>
      <c r="PK136" s="128">
        <v>0</v>
      </c>
      <c r="PL136" s="128">
        <v>0</v>
      </c>
      <c r="PP136" s="128">
        <v>1209165</v>
      </c>
      <c r="PQ136" s="128">
        <v>865000</v>
      </c>
      <c r="PR136" s="128">
        <v>865000</v>
      </c>
      <c r="PS136" s="128">
        <v>100</v>
      </c>
      <c r="PT136" s="128">
        <v>100</v>
      </c>
      <c r="PV136" s="128">
        <v>1102232</v>
      </c>
      <c r="PX136" s="128">
        <v>500000</v>
      </c>
      <c r="PY136" s="128">
        <v>518000</v>
      </c>
      <c r="PZ136" s="128">
        <v>865000</v>
      </c>
      <c r="QA136" s="128">
        <v>0</v>
      </c>
      <c r="QB136" s="128">
        <v>0</v>
      </c>
      <c r="QC136" s="128">
        <v>0</v>
      </c>
      <c r="QD136" s="128">
        <v>405927</v>
      </c>
      <c r="QE136" s="128">
        <v>198330</v>
      </c>
      <c r="QF136" s="128">
        <v>104165</v>
      </c>
      <c r="QG136" s="128">
        <v>0</v>
      </c>
      <c r="QH136" s="128">
        <v>0</v>
      </c>
      <c r="QI136" s="128">
        <v>0</v>
      </c>
      <c r="QJ136" s="128">
        <v>239387</v>
      </c>
      <c r="QK136" s="128">
        <v>242470</v>
      </c>
      <c r="QL136" s="128">
        <v>240000</v>
      </c>
      <c r="QN136" s="128">
        <v>0</v>
      </c>
      <c r="QO136" s="128">
        <v>0</v>
      </c>
      <c r="QP136" s="128">
        <v>0</v>
      </c>
      <c r="RH136" s="128">
        <f t="shared" si="209"/>
        <v>969165</v>
      </c>
      <c r="RI136" s="128">
        <v>0</v>
      </c>
      <c r="RM136" s="128" t="s">
        <v>220</v>
      </c>
      <c r="RU136" s="130"/>
      <c r="RV136" s="130"/>
      <c r="RW136" s="130"/>
      <c r="RX136" s="130"/>
      <c r="SF136" s="128">
        <f t="shared" ref="SF136:SF199" si="220">F136</f>
        <v>2813433</v>
      </c>
      <c r="SG136" s="131">
        <f t="shared" ref="SG136:SG199" si="221">PP136</f>
        <v>1209165</v>
      </c>
      <c r="SH136" s="131">
        <f t="shared" ref="SH136:SH199" si="222">SI136+SN136</f>
        <v>1209165</v>
      </c>
      <c r="SI136" s="131">
        <f t="shared" ref="SI136:SI199" si="223">SJ136+SK136+SL136+SM136</f>
        <v>1054845</v>
      </c>
      <c r="SJ136" s="132">
        <f t="shared" ref="SJ136:SJ199" si="224">KN136</f>
        <v>1032575</v>
      </c>
      <c r="SK136" s="132">
        <f t="shared" ref="SK136:SK199" si="225">KT136</f>
        <v>0</v>
      </c>
      <c r="SL136" s="132">
        <f t="shared" ref="SL136:SL199" si="226">KZ136</f>
        <v>0</v>
      </c>
      <c r="SM136" s="132">
        <f t="shared" ref="SM136:SM199" si="227">LF136</f>
        <v>22270</v>
      </c>
      <c r="SN136" s="131">
        <f t="shared" ref="SN136:SN199" si="228">SO136+SR136+SS136+ST136+SU136+SV136+TG136+TH136</f>
        <v>154320</v>
      </c>
      <c r="SO136" s="131">
        <f t="shared" ref="SO136:SO199" si="229">SP136+SQ136</f>
        <v>65000</v>
      </c>
      <c r="SP136" s="132">
        <f t="shared" ref="SP136:SP199" si="230">LL136</f>
        <v>0</v>
      </c>
      <c r="SQ136" s="132">
        <f t="shared" ref="SQ136:SQ199" si="231">LR136</f>
        <v>65000</v>
      </c>
      <c r="SR136" s="132">
        <f t="shared" ref="SR136:SR199" si="232">LX136</f>
        <v>500</v>
      </c>
      <c r="SS136" s="132">
        <f t="shared" ref="SS136:SS199" si="233">MD136</f>
        <v>0</v>
      </c>
      <c r="ST136" s="132">
        <f t="shared" ref="ST136:ST199" si="234">MJ136</f>
        <v>0</v>
      </c>
      <c r="SU136" s="132">
        <f t="shared" ref="SU136:SU199" si="235">MP136</f>
        <v>10000</v>
      </c>
      <c r="SV136" s="131">
        <f t="shared" ref="SV136:SV199" si="236">SUM(SW136:TF136)</f>
        <v>50870</v>
      </c>
      <c r="SW136" s="132">
        <f t="shared" ref="SW136:SW199" si="237">MV136</f>
        <v>30000</v>
      </c>
      <c r="SX136" s="132">
        <f t="shared" ref="SX136:SX199" si="238">NB136</f>
        <v>5870</v>
      </c>
      <c r="SY136" s="132">
        <f t="shared" ref="SY136:SY199" si="239">NH136</f>
        <v>0</v>
      </c>
      <c r="SZ136" s="132">
        <f t="shared" ref="SZ136:SZ199" si="240">NN136</f>
        <v>0</v>
      </c>
      <c r="TA136" s="132">
        <f t="shared" ref="TA136:TA199" si="241">NT136</f>
        <v>15000</v>
      </c>
      <c r="TB136" s="132">
        <f t="shared" ref="TB136:TB199" si="242">NZ136</f>
        <v>0</v>
      </c>
      <c r="TC136" s="132">
        <f t="shared" ref="TC136:TC199" si="243">OF136</f>
        <v>0</v>
      </c>
      <c r="TD136" s="132">
        <f t="shared" ref="TD136:TD199" si="244">OL136</f>
        <v>0</v>
      </c>
      <c r="TE136" s="132">
        <f t="shared" ref="TE136:TE199" si="245">OR136</f>
        <v>0</v>
      </c>
      <c r="TF136" s="132">
        <f t="shared" ref="TF136:TF199" si="246">OX136</f>
        <v>0</v>
      </c>
      <c r="TG136" s="132">
        <f t="shared" ref="TG136:TG199" si="247">PD136</f>
        <v>0</v>
      </c>
      <c r="TH136" s="132">
        <f t="shared" ref="TH136:TH199" si="248">PJ136</f>
        <v>27950</v>
      </c>
      <c r="TI136" s="1"/>
      <c r="TJ136" s="131">
        <f t="shared" ref="TJ136:TJ199" si="249">PQ136</f>
        <v>865000</v>
      </c>
      <c r="TK136" s="131">
        <f t="shared" ref="TK136:TK199" si="250">TL136+TQ136</f>
        <v>865000</v>
      </c>
      <c r="TL136" s="131">
        <f t="shared" ref="TL136:TL199" si="251">TM136+TN136+TO136+TP136</f>
        <v>800000</v>
      </c>
      <c r="TM136" s="132">
        <f t="shared" ref="TM136:TM199" si="252">KO136</f>
        <v>800000</v>
      </c>
      <c r="TN136" s="132">
        <f t="shared" ref="TN136:TN199" si="253">KU136</f>
        <v>0</v>
      </c>
      <c r="TO136" s="132">
        <f t="shared" ref="TO136:TO199" si="254">LA136</f>
        <v>0</v>
      </c>
      <c r="TP136" s="132">
        <f t="shared" ref="TP136:TP199" si="255">LG136</f>
        <v>0</v>
      </c>
      <c r="TQ136" s="131">
        <f t="shared" ref="TQ136:TQ199" si="256">TR136+TU136+TV136+TW136+TX136+TY136+UJ136+UK136</f>
        <v>65000</v>
      </c>
      <c r="TR136" s="131">
        <f t="shared" ref="TR136:TR199" si="257">TS136+TT136</f>
        <v>65000</v>
      </c>
      <c r="TS136" s="132">
        <f t="shared" ref="TS136:TS199" si="258">LM136</f>
        <v>0</v>
      </c>
      <c r="TT136" s="132">
        <f t="shared" ref="TT136:TT199" si="259">LS136</f>
        <v>65000</v>
      </c>
      <c r="TU136" s="132">
        <f t="shared" ref="TU136:TU199" si="260">LY136</f>
        <v>0</v>
      </c>
      <c r="TV136" s="132">
        <f t="shared" ref="TV136:TV199" si="261">ME136</f>
        <v>0</v>
      </c>
      <c r="TW136" s="132">
        <f t="shared" ref="TW136:TW199" si="262">MK136</f>
        <v>0</v>
      </c>
      <c r="TX136" s="132">
        <f t="shared" ref="TX136:TX199" si="263">MQ136</f>
        <v>0</v>
      </c>
      <c r="TY136" s="131">
        <f t="shared" ref="TY136:TY199" si="264">SUM(TZ136:UI136)</f>
        <v>0</v>
      </c>
      <c r="TZ136" s="132">
        <f t="shared" ref="TZ136:TZ199" si="265">MW136</f>
        <v>0</v>
      </c>
      <c r="UA136" s="132">
        <f t="shared" ref="UA136:UA199" si="266">NC136</f>
        <v>0</v>
      </c>
      <c r="UB136" s="132">
        <f t="shared" ref="UB136:UB199" si="267">NI136</f>
        <v>0</v>
      </c>
      <c r="UC136" s="132">
        <f t="shared" ref="UC136:UC199" si="268">NO136</f>
        <v>0</v>
      </c>
      <c r="UD136" s="132">
        <f t="shared" ref="UD136:UD199" si="269">NU136</f>
        <v>0</v>
      </c>
      <c r="UE136" s="132">
        <f t="shared" ref="UE136:UE199" si="270">OA136</f>
        <v>0</v>
      </c>
      <c r="UF136" s="132">
        <f t="shared" ref="UF136:UF199" si="271">OG136</f>
        <v>0</v>
      </c>
      <c r="UG136" s="132">
        <f t="shared" ref="UG136:UG199" si="272">OM136</f>
        <v>0</v>
      </c>
      <c r="UH136" s="132">
        <f t="shared" ref="UH136:UH199" si="273">OS136</f>
        <v>0</v>
      </c>
      <c r="UI136" s="132">
        <f t="shared" ref="UI136:UI199" si="274">OY136</f>
        <v>0</v>
      </c>
      <c r="UJ136" s="132">
        <f t="shared" ref="UJ136:UJ199" si="275">PE136</f>
        <v>0</v>
      </c>
      <c r="UK136" s="132">
        <f t="shared" ref="UK136:UK199" si="276">PK136</f>
        <v>0</v>
      </c>
      <c r="UL136" s="132">
        <f t="shared" si="210"/>
        <v>865000</v>
      </c>
      <c r="UM136" s="131">
        <f t="shared" ref="UM136:UM199" si="277">PR136</f>
        <v>865000</v>
      </c>
      <c r="UN136" s="131">
        <f t="shared" ref="UN136:UN199" si="278">UO136+UT136</f>
        <v>865000</v>
      </c>
      <c r="UO136" s="131">
        <f t="shared" ref="UO136:UO199" si="279">UP136+UQ136+UR136+US136</f>
        <v>800000</v>
      </c>
      <c r="UP136" s="132">
        <f t="shared" ref="UP136:UP199" si="280">KP136</f>
        <v>800000</v>
      </c>
      <c r="UQ136" s="132">
        <f t="shared" ref="UQ136:UQ199" si="281">KV136</f>
        <v>0</v>
      </c>
      <c r="UR136" s="132">
        <f t="shared" ref="UR136:UR199" si="282">LB136</f>
        <v>0</v>
      </c>
      <c r="US136" s="132">
        <f t="shared" ref="US136:US199" si="283">LH136</f>
        <v>0</v>
      </c>
      <c r="UT136" s="131">
        <f t="shared" ref="UT136:UT199" si="284">UU136+UX136+UY136+UZ136+VA136+VB136+VM136+VN136</f>
        <v>65000</v>
      </c>
      <c r="UU136" s="131">
        <f t="shared" ref="UU136:UU199" si="285">UV136+UW136</f>
        <v>65000</v>
      </c>
      <c r="UV136" s="132">
        <f t="shared" ref="UV136:UV199" si="286">LN136</f>
        <v>0</v>
      </c>
      <c r="UW136" s="132">
        <f t="shared" ref="UW136:UW199" si="287">LT136</f>
        <v>65000</v>
      </c>
      <c r="UX136" s="132">
        <f t="shared" ref="UX136:UX199" si="288">LZ136</f>
        <v>0</v>
      </c>
      <c r="UY136" s="132">
        <f t="shared" ref="UY136:UY199" si="289">MF136</f>
        <v>0</v>
      </c>
      <c r="UZ136" s="132">
        <f t="shared" ref="UZ136:UZ199" si="290">ML136</f>
        <v>0</v>
      </c>
      <c r="VA136" s="132">
        <f t="shared" ref="VA136:VA199" si="291">MR136</f>
        <v>0</v>
      </c>
      <c r="VB136" s="131">
        <f t="shared" ref="VB136:VB199" si="292">SUM(VC136:VL136)</f>
        <v>0</v>
      </c>
      <c r="VC136" s="132">
        <f t="shared" ref="VC136:VC199" si="293">MX136</f>
        <v>0</v>
      </c>
      <c r="VD136" s="132">
        <f t="shared" ref="VD136:VD199" si="294">ND136</f>
        <v>0</v>
      </c>
      <c r="VE136" s="132">
        <f t="shared" ref="VE136:VE199" si="295">NJ136</f>
        <v>0</v>
      </c>
      <c r="VF136" s="132">
        <f t="shared" ref="VF136:VF199" si="296">NP136</f>
        <v>0</v>
      </c>
      <c r="VG136" s="132">
        <f t="shared" ref="VG136:VG199" si="297">NV136</f>
        <v>0</v>
      </c>
      <c r="VH136" s="132">
        <f t="shared" ref="VH136:VH199" si="298">OB136</f>
        <v>0</v>
      </c>
      <c r="VI136" s="132">
        <f t="shared" ref="VI136:VI199" si="299">OH136</f>
        <v>0</v>
      </c>
      <c r="VJ136" s="132">
        <f t="shared" ref="VJ136:VJ199" si="300">ON136</f>
        <v>0</v>
      </c>
      <c r="VK136" s="132">
        <f t="shared" ref="VK136:VK199" si="301">OT136</f>
        <v>0</v>
      </c>
      <c r="VL136" s="132">
        <f t="shared" ref="VL136:VL199" si="302">OZ136</f>
        <v>0</v>
      </c>
      <c r="VM136" s="132">
        <f t="shared" ref="VM136:VM199" si="303">PF136</f>
        <v>0</v>
      </c>
      <c r="VN136" s="132">
        <f t="shared" ref="VN136:VN199" si="304">PL136</f>
        <v>0</v>
      </c>
      <c r="VP136" s="845" t="str">
        <f>IFERROR(HLOOKUP(F136,'Hodnocení '!$C$1:$JH$5,2,FALSE),0)</f>
        <v>Centrum denních služeb města Úpice</v>
      </c>
      <c r="VQ136" s="838"/>
      <c r="VR136" s="845" t="str">
        <f t="shared" si="211"/>
        <v>Obec</v>
      </c>
      <c r="VS136" s="845" t="str">
        <f>IFERROR(HLOOKUP(F136,'Hodnocení '!$C$1:$JH$5,5,FALSE),0)</f>
        <v>Obce</v>
      </c>
      <c r="VT136" s="838" t="str">
        <f t="shared" si="212"/>
        <v>Obec</v>
      </c>
      <c r="VU136" s="838">
        <f t="shared" si="213"/>
        <v>0</v>
      </c>
      <c r="VV136" s="838">
        <f t="shared" si="214"/>
        <v>240000</v>
      </c>
      <c r="VW136" s="838">
        <f t="shared" si="215"/>
        <v>0</v>
      </c>
      <c r="VX136" s="838"/>
      <c r="VY136" s="838">
        <f t="shared" si="216"/>
        <v>0</v>
      </c>
      <c r="VZ136" s="838">
        <f t="shared" si="217"/>
        <v>865000</v>
      </c>
      <c r="WA136" s="846">
        <f>IFERROR(HLOOKUP($F136,'Hodnocení '!$C$1:$JH$9,9,FALSE),0)</f>
        <v>865000</v>
      </c>
      <c r="WB136" s="846">
        <f>IF(IFERROR(HLOOKUP($F136,'Hodnocení '!$C$1:$JH$13,13,FALSE),0)&gt;WA136,WA136,IFERROR(HLOOKUP($F136,'Hodnocení '!$C$1:$JH$13,13,FALSE),0))</f>
        <v>865000</v>
      </c>
      <c r="WC136" s="846">
        <f>IFERROR(HLOOKUP($F136,'Hodnocení '!$C$1:$JH$155,155,FALSE),0)</f>
        <v>483760</v>
      </c>
      <c r="WD136" s="845"/>
      <c r="WE136" s="845"/>
      <c r="WF136" s="845" t="str">
        <f t="shared" ref="WF136:WF199" si="305">IF(VP136=0,"NE","ANO")</f>
        <v>ANO</v>
      </c>
      <c r="WG136" s="849" t="str">
        <f t="shared" si="218"/>
        <v>Podpora služby je vyjádřena zařazením do sítě sociálních služeb v KHK a řešením financování služby</v>
      </c>
      <c r="WH136"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36" s="849" t="str">
        <f t="shared" si="218"/>
        <v>Návrh dotace je výsledkem projednání s ostatními zadavateli v rámci sítě služeb KHK</v>
      </c>
      <c r="WJ136" s="849" t="str">
        <f t="shared" si="218"/>
        <v>Bez komentáře</v>
      </c>
      <c r="WK136" s="31">
        <f t="shared" ref="WK136:WK199" si="306">IF(VT136="Příspěvková organizace zřízená územním samosprávným celkem","Výše příspěvku ze strany zřizovatele bude řešen v návaznosti na řešení podílů jednotlivých zadavatelů",0)</f>
        <v>0</v>
      </c>
      <c r="WL136" s="850">
        <f t="shared" ref="WL136:WL199" si="307">IF(VU136="PO KHK",CONCATENATE("Případná úprava příspěvku zřizovatele bude řešena v návaznosti na vývoj služby"),0)</f>
        <v>0</v>
      </c>
      <c r="WM136" s="849" t="str">
        <f t="shared" ref="WM136:WM199" si="308">IF($WF136="NE","nehodnoceno",IF($VV136=0,0,WM$2))</f>
        <v>V rámci sítě KHK se dlouhodobě řeší otázka navyšování úhrad a průběžně se monitoruje s vazbou na vykrytí vyrovnávací platby</v>
      </c>
      <c r="WN136" s="849">
        <f t="shared" ref="WN136:WN199" si="309">IF($WF136="NE","nehodnoceno",IF(VW136=0,0,WN$2))</f>
        <v>0</v>
      </c>
      <c r="WO136" s="849" t="str">
        <f t="shared" si="219"/>
        <v>bez komentáře</v>
      </c>
      <c r="WP136" s="849" t="str">
        <f t="shared" si="219"/>
        <v>bez komentáře</v>
      </c>
      <c r="WQ136" s="849" t="str">
        <f t="shared" si="219"/>
        <v>Konečná výše dotace z rozpočtu KHK bude řešena v návaznosti na řešení podílů jednotlivých zadavatelů.</v>
      </c>
      <c r="WR136" s="849" t="str">
        <f t="shared" si="219"/>
        <v>Konečná výše podpory ze stran obcí bude řešena v součinnosti s jednotlivými zadavateli v průběhu roku.</v>
      </c>
      <c r="WS136" s="849" t="str">
        <f t="shared" si="219"/>
        <v>bez komentáře</v>
      </c>
      <c r="WT136" s="849" t="str">
        <f t="shared" si="219"/>
        <v>bez komentáře</v>
      </c>
      <c r="WU136" s="845"/>
    </row>
    <row r="137" spans="1:619" s="128" customFormat="1" x14ac:dyDescent="0.25">
      <c r="A137" s="128" t="str">
        <f>VLOOKUP(F137,'Výpočet VP 2020'!$D$324:$I$588,6,FALSE)</f>
        <v>Je v síti</v>
      </c>
      <c r="B137" s="128" t="s">
        <v>666</v>
      </c>
      <c r="C137" s="128">
        <v>278386</v>
      </c>
      <c r="D137" s="128" t="s">
        <v>667</v>
      </c>
      <c r="E137" s="128" t="s">
        <v>604</v>
      </c>
      <c r="F137" s="128">
        <v>5204562</v>
      </c>
      <c r="G137" s="128" t="s">
        <v>328</v>
      </c>
      <c r="H137" s="128" t="s">
        <v>218</v>
      </c>
      <c r="I137" s="128" t="s">
        <v>670</v>
      </c>
      <c r="J137" s="129">
        <v>39083</v>
      </c>
      <c r="L137" s="128" t="s">
        <v>220</v>
      </c>
      <c r="X137" s="128" t="s">
        <v>274</v>
      </c>
      <c r="Z137" s="128">
        <v>2</v>
      </c>
      <c r="AA137" s="128">
        <v>2</v>
      </c>
      <c r="AB137" s="128">
        <v>1</v>
      </c>
      <c r="AC137" s="128">
        <v>1</v>
      </c>
      <c r="AD137" s="128">
        <v>1</v>
      </c>
      <c r="AN137" s="128">
        <v>40</v>
      </c>
      <c r="AP137" s="128" t="s">
        <v>617</v>
      </c>
      <c r="AQ137" s="128">
        <v>5</v>
      </c>
      <c r="AR137" s="128">
        <v>160</v>
      </c>
      <c r="AS137" s="128">
        <v>117</v>
      </c>
      <c r="AT137" s="128">
        <v>124</v>
      </c>
      <c r="AU137" s="128">
        <v>106</v>
      </c>
      <c r="BJ137" s="128">
        <v>3000</v>
      </c>
      <c r="BL137" s="128" t="s">
        <v>579</v>
      </c>
      <c r="BM137" s="128" t="s">
        <v>325</v>
      </c>
      <c r="BN137" s="128" t="s">
        <v>326</v>
      </c>
      <c r="BO137" s="128">
        <v>0</v>
      </c>
      <c r="BP137" s="128">
        <v>0</v>
      </c>
      <c r="BQ137" s="128">
        <v>0</v>
      </c>
      <c r="BR137" s="128">
        <v>0</v>
      </c>
      <c r="BS137" s="128">
        <v>0</v>
      </c>
      <c r="BT137" s="128">
        <v>11</v>
      </c>
      <c r="BU137" s="128">
        <v>13</v>
      </c>
      <c r="BV137" s="128">
        <v>5</v>
      </c>
      <c r="BW137" s="128">
        <v>1</v>
      </c>
      <c r="BX137" s="128">
        <v>77</v>
      </c>
      <c r="BY137" s="128">
        <v>11</v>
      </c>
      <c r="BZ137" s="128">
        <v>13</v>
      </c>
      <c r="CA137" s="128">
        <v>5</v>
      </c>
      <c r="CB137" s="128">
        <v>1</v>
      </c>
      <c r="CC137" s="128">
        <v>77</v>
      </c>
      <c r="CD137" s="128">
        <v>0</v>
      </c>
      <c r="CE137" s="128">
        <v>107</v>
      </c>
      <c r="CF137" s="128">
        <v>107</v>
      </c>
      <c r="CG137" s="128">
        <v>0</v>
      </c>
      <c r="CH137" s="128">
        <v>0</v>
      </c>
      <c r="CI137" s="128">
        <v>0</v>
      </c>
      <c r="CJ137" s="128">
        <v>0</v>
      </c>
      <c r="CK137" s="128">
        <v>0</v>
      </c>
      <c r="CL137" s="128">
        <v>0</v>
      </c>
      <c r="CM137" s="128">
        <v>11</v>
      </c>
      <c r="CN137" s="128">
        <v>13</v>
      </c>
      <c r="CO137" s="128">
        <v>5</v>
      </c>
      <c r="CP137" s="128">
        <v>1</v>
      </c>
      <c r="CQ137" s="128">
        <v>77</v>
      </c>
      <c r="CR137" s="128">
        <v>11</v>
      </c>
      <c r="CS137" s="128">
        <v>13</v>
      </c>
      <c r="CT137" s="128">
        <v>5</v>
      </c>
      <c r="CU137" s="128">
        <v>1</v>
      </c>
      <c r="CV137" s="128">
        <v>77</v>
      </c>
      <c r="CW137" s="128">
        <v>0</v>
      </c>
      <c r="CX137" s="128">
        <v>107</v>
      </c>
      <c r="CY137" s="128">
        <v>107</v>
      </c>
      <c r="CZ137" s="128">
        <v>0</v>
      </c>
      <c r="EK137" s="128">
        <v>2</v>
      </c>
      <c r="EL137" s="128">
        <v>1</v>
      </c>
      <c r="EM137" s="128">
        <v>0.7</v>
      </c>
      <c r="EN137" s="128">
        <v>522952</v>
      </c>
      <c r="EO137" s="128">
        <v>300000</v>
      </c>
      <c r="EP137" s="128">
        <v>5</v>
      </c>
      <c r="EQ137" s="128">
        <v>5</v>
      </c>
      <c r="ER137" s="128">
        <v>5</v>
      </c>
      <c r="ES137" s="128">
        <v>1803365</v>
      </c>
      <c r="ET137" s="128">
        <v>600000</v>
      </c>
      <c r="KG137" s="128">
        <v>0</v>
      </c>
      <c r="KI137" s="128">
        <v>6</v>
      </c>
      <c r="KJ137" s="128">
        <v>0</v>
      </c>
      <c r="KK137" s="128">
        <v>0</v>
      </c>
      <c r="KL137" s="128">
        <v>0</v>
      </c>
      <c r="KM137" s="128">
        <v>6</v>
      </c>
      <c r="KN137" s="128">
        <v>2326317</v>
      </c>
      <c r="KO137" s="128">
        <v>900000</v>
      </c>
      <c r="KP137" s="128">
        <v>900000</v>
      </c>
      <c r="KT137" s="128">
        <v>0</v>
      </c>
      <c r="KU137" s="128">
        <v>0</v>
      </c>
      <c r="KV137" s="128">
        <v>0</v>
      </c>
      <c r="KZ137" s="128">
        <v>0</v>
      </c>
      <c r="LA137" s="128">
        <v>0</v>
      </c>
      <c r="LB137" s="128">
        <v>0</v>
      </c>
      <c r="LF137" s="128">
        <v>46950</v>
      </c>
      <c r="LG137" s="128">
        <v>0</v>
      </c>
      <c r="LH137" s="128">
        <v>0</v>
      </c>
      <c r="LL137" s="128">
        <v>0</v>
      </c>
      <c r="LM137" s="128">
        <v>0</v>
      </c>
      <c r="LN137" s="128">
        <v>0</v>
      </c>
      <c r="LR137" s="128">
        <v>130000</v>
      </c>
      <c r="LS137" s="128">
        <v>0</v>
      </c>
      <c r="LT137" s="128">
        <v>0</v>
      </c>
      <c r="LX137" s="128">
        <v>500</v>
      </c>
      <c r="LY137" s="128">
        <v>0</v>
      </c>
      <c r="LZ137" s="128">
        <v>0</v>
      </c>
      <c r="MD137" s="128">
        <v>0</v>
      </c>
      <c r="ME137" s="128">
        <v>0</v>
      </c>
      <c r="MF137" s="128">
        <v>0</v>
      </c>
      <c r="MJ137" s="128">
        <v>41120</v>
      </c>
      <c r="MK137" s="128">
        <v>0</v>
      </c>
      <c r="ML137" s="128">
        <v>0</v>
      </c>
      <c r="MP137" s="128">
        <v>25000</v>
      </c>
      <c r="MQ137" s="128">
        <v>0</v>
      </c>
      <c r="MR137" s="128">
        <v>0</v>
      </c>
      <c r="MV137" s="128">
        <v>95120</v>
      </c>
      <c r="MW137" s="128">
        <v>0</v>
      </c>
      <c r="MX137" s="128">
        <v>0</v>
      </c>
      <c r="NB137" s="128">
        <v>17000</v>
      </c>
      <c r="NC137" s="128">
        <v>0</v>
      </c>
      <c r="ND137" s="128">
        <v>0</v>
      </c>
      <c r="NH137" s="128">
        <v>0</v>
      </c>
      <c r="NI137" s="128">
        <v>0</v>
      </c>
      <c r="NJ137" s="128">
        <v>0</v>
      </c>
      <c r="NN137" s="128">
        <v>0</v>
      </c>
      <c r="NO137" s="128">
        <v>0</v>
      </c>
      <c r="NP137" s="128">
        <v>0</v>
      </c>
      <c r="NT137" s="128">
        <v>30000</v>
      </c>
      <c r="NU137" s="128">
        <v>0</v>
      </c>
      <c r="NV137" s="128">
        <v>0</v>
      </c>
      <c r="NZ137" s="128">
        <v>30000</v>
      </c>
      <c r="OA137" s="128">
        <v>0</v>
      </c>
      <c r="OB137" s="128">
        <v>0</v>
      </c>
      <c r="OF137" s="128">
        <v>2000</v>
      </c>
      <c r="OG137" s="128">
        <v>0</v>
      </c>
      <c r="OH137" s="128">
        <v>0</v>
      </c>
      <c r="OL137" s="128">
        <v>0</v>
      </c>
      <c r="OM137" s="128">
        <v>0</v>
      </c>
      <c r="ON137" s="128">
        <v>0</v>
      </c>
      <c r="OR137" s="128">
        <v>0</v>
      </c>
      <c r="OS137" s="128">
        <v>0</v>
      </c>
      <c r="OT137" s="128">
        <v>0</v>
      </c>
      <c r="OX137" s="128">
        <v>0</v>
      </c>
      <c r="OY137" s="128">
        <v>0</v>
      </c>
      <c r="OZ137" s="128">
        <v>0</v>
      </c>
      <c r="PD137" s="128">
        <v>0</v>
      </c>
      <c r="PE137" s="128">
        <v>0</v>
      </c>
      <c r="PF137" s="128">
        <v>0</v>
      </c>
      <c r="PJ137" s="128">
        <v>134900</v>
      </c>
      <c r="PK137" s="128">
        <v>0</v>
      </c>
      <c r="PL137" s="128">
        <v>0</v>
      </c>
      <c r="PP137" s="128">
        <v>2878907</v>
      </c>
      <c r="PQ137" s="128">
        <v>900000</v>
      </c>
      <c r="PR137" s="128">
        <v>900000</v>
      </c>
      <c r="PS137" s="128">
        <v>100</v>
      </c>
      <c r="PT137" s="128">
        <v>100</v>
      </c>
      <c r="PV137" s="128">
        <v>2098842</v>
      </c>
      <c r="PX137" s="128">
        <v>640000</v>
      </c>
      <c r="PY137" s="128">
        <v>707000</v>
      </c>
      <c r="PZ137" s="128">
        <v>900000</v>
      </c>
      <c r="QA137" s="128">
        <v>0</v>
      </c>
      <c r="QB137" s="128">
        <v>0</v>
      </c>
      <c r="QC137" s="128">
        <v>0</v>
      </c>
      <c r="QD137" s="128">
        <v>1230257</v>
      </c>
      <c r="QE137" s="128">
        <v>1316088</v>
      </c>
      <c r="QF137" s="128">
        <v>1552907</v>
      </c>
      <c r="QG137" s="128">
        <v>0</v>
      </c>
      <c r="QH137" s="128">
        <v>0</v>
      </c>
      <c r="QI137" s="128">
        <v>0</v>
      </c>
      <c r="QJ137" s="128">
        <v>425995</v>
      </c>
      <c r="QK137" s="128">
        <v>426000</v>
      </c>
      <c r="QL137" s="128">
        <v>426000</v>
      </c>
      <c r="QN137" s="128">
        <v>0</v>
      </c>
      <c r="QO137" s="128">
        <v>0</v>
      </c>
      <c r="QP137" s="128">
        <v>0</v>
      </c>
      <c r="RH137" s="128">
        <f t="shared" ref="RH137:RH200" si="310">PP137-QL137-QP137</f>
        <v>2452907</v>
      </c>
      <c r="RI137" s="128">
        <v>0</v>
      </c>
      <c r="RM137" s="128" t="s">
        <v>220</v>
      </c>
      <c r="RU137" s="130"/>
      <c r="RV137" s="130"/>
      <c r="RW137" s="130"/>
      <c r="RX137" s="130"/>
      <c r="SF137" s="128">
        <f t="shared" si="220"/>
        <v>5204562</v>
      </c>
      <c r="SG137" s="131">
        <f t="shared" si="221"/>
        <v>2878907</v>
      </c>
      <c r="SH137" s="131">
        <f t="shared" si="222"/>
        <v>2878907</v>
      </c>
      <c r="SI137" s="131">
        <f t="shared" si="223"/>
        <v>2373267</v>
      </c>
      <c r="SJ137" s="132">
        <f t="shared" si="224"/>
        <v>2326317</v>
      </c>
      <c r="SK137" s="132">
        <f t="shared" si="225"/>
        <v>0</v>
      </c>
      <c r="SL137" s="132">
        <f t="shared" si="226"/>
        <v>0</v>
      </c>
      <c r="SM137" s="132">
        <f t="shared" si="227"/>
        <v>46950</v>
      </c>
      <c r="SN137" s="131">
        <f t="shared" si="228"/>
        <v>505640</v>
      </c>
      <c r="SO137" s="131">
        <f t="shared" si="229"/>
        <v>130000</v>
      </c>
      <c r="SP137" s="132">
        <f t="shared" si="230"/>
        <v>0</v>
      </c>
      <c r="SQ137" s="132">
        <f t="shared" si="231"/>
        <v>130000</v>
      </c>
      <c r="SR137" s="132">
        <f t="shared" si="232"/>
        <v>500</v>
      </c>
      <c r="SS137" s="132">
        <f t="shared" si="233"/>
        <v>0</v>
      </c>
      <c r="ST137" s="132">
        <f t="shared" si="234"/>
        <v>41120</v>
      </c>
      <c r="SU137" s="132">
        <f t="shared" si="235"/>
        <v>25000</v>
      </c>
      <c r="SV137" s="131">
        <f t="shared" si="236"/>
        <v>174120</v>
      </c>
      <c r="SW137" s="132">
        <f t="shared" si="237"/>
        <v>95120</v>
      </c>
      <c r="SX137" s="132">
        <f t="shared" si="238"/>
        <v>17000</v>
      </c>
      <c r="SY137" s="132">
        <f t="shared" si="239"/>
        <v>0</v>
      </c>
      <c r="SZ137" s="132">
        <f t="shared" si="240"/>
        <v>0</v>
      </c>
      <c r="TA137" s="132">
        <f t="shared" si="241"/>
        <v>30000</v>
      </c>
      <c r="TB137" s="132">
        <f t="shared" si="242"/>
        <v>30000</v>
      </c>
      <c r="TC137" s="132">
        <f t="shared" si="243"/>
        <v>2000</v>
      </c>
      <c r="TD137" s="132">
        <f t="shared" si="244"/>
        <v>0</v>
      </c>
      <c r="TE137" s="132">
        <f t="shared" si="245"/>
        <v>0</v>
      </c>
      <c r="TF137" s="132">
        <f t="shared" si="246"/>
        <v>0</v>
      </c>
      <c r="TG137" s="132">
        <f t="shared" si="247"/>
        <v>0</v>
      </c>
      <c r="TH137" s="132">
        <f t="shared" si="248"/>
        <v>134900</v>
      </c>
      <c r="TI137" s="1"/>
      <c r="TJ137" s="131">
        <f t="shared" si="249"/>
        <v>900000</v>
      </c>
      <c r="TK137" s="131">
        <f t="shared" si="250"/>
        <v>900000</v>
      </c>
      <c r="TL137" s="131">
        <f t="shared" si="251"/>
        <v>900000</v>
      </c>
      <c r="TM137" s="132">
        <f t="shared" si="252"/>
        <v>900000</v>
      </c>
      <c r="TN137" s="132">
        <f t="shared" si="253"/>
        <v>0</v>
      </c>
      <c r="TO137" s="132">
        <f t="shared" si="254"/>
        <v>0</v>
      </c>
      <c r="TP137" s="132">
        <f t="shared" si="255"/>
        <v>0</v>
      </c>
      <c r="TQ137" s="131">
        <f t="shared" si="256"/>
        <v>0</v>
      </c>
      <c r="TR137" s="131">
        <f t="shared" si="257"/>
        <v>0</v>
      </c>
      <c r="TS137" s="132">
        <f t="shared" si="258"/>
        <v>0</v>
      </c>
      <c r="TT137" s="132">
        <f t="shared" si="259"/>
        <v>0</v>
      </c>
      <c r="TU137" s="132">
        <f t="shared" si="260"/>
        <v>0</v>
      </c>
      <c r="TV137" s="132">
        <f t="shared" si="261"/>
        <v>0</v>
      </c>
      <c r="TW137" s="132">
        <f t="shared" si="262"/>
        <v>0</v>
      </c>
      <c r="TX137" s="132">
        <f t="shared" si="263"/>
        <v>0</v>
      </c>
      <c r="TY137" s="131">
        <f t="shared" si="264"/>
        <v>0</v>
      </c>
      <c r="TZ137" s="132">
        <f t="shared" si="265"/>
        <v>0</v>
      </c>
      <c r="UA137" s="132">
        <f t="shared" si="266"/>
        <v>0</v>
      </c>
      <c r="UB137" s="132">
        <f t="shared" si="267"/>
        <v>0</v>
      </c>
      <c r="UC137" s="132">
        <f t="shared" si="268"/>
        <v>0</v>
      </c>
      <c r="UD137" s="132">
        <f t="shared" si="269"/>
        <v>0</v>
      </c>
      <c r="UE137" s="132">
        <f t="shared" si="270"/>
        <v>0</v>
      </c>
      <c r="UF137" s="132">
        <f t="shared" si="271"/>
        <v>0</v>
      </c>
      <c r="UG137" s="132">
        <f t="shared" si="272"/>
        <v>0</v>
      </c>
      <c r="UH137" s="132">
        <f t="shared" si="273"/>
        <v>0</v>
      </c>
      <c r="UI137" s="132">
        <f t="shared" si="274"/>
        <v>0</v>
      </c>
      <c r="UJ137" s="132">
        <f t="shared" si="275"/>
        <v>0</v>
      </c>
      <c r="UK137" s="132">
        <f t="shared" si="276"/>
        <v>0</v>
      </c>
      <c r="UL137" s="132">
        <f t="shared" ref="UL137:UL200" si="311">PR137</f>
        <v>900000</v>
      </c>
      <c r="UM137" s="131">
        <f t="shared" si="277"/>
        <v>900000</v>
      </c>
      <c r="UN137" s="131">
        <f t="shared" si="278"/>
        <v>900000</v>
      </c>
      <c r="UO137" s="131">
        <f t="shared" si="279"/>
        <v>900000</v>
      </c>
      <c r="UP137" s="132">
        <f t="shared" si="280"/>
        <v>900000</v>
      </c>
      <c r="UQ137" s="132">
        <f t="shared" si="281"/>
        <v>0</v>
      </c>
      <c r="UR137" s="132">
        <f t="shared" si="282"/>
        <v>0</v>
      </c>
      <c r="US137" s="132">
        <f t="shared" si="283"/>
        <v>0</v>
      </c>
      <c r="UT137" s="131">
        <f t="shared" si="284"/>
        <v>0</v>
      </c>
      <c r="UU137" s="131">
        <f t="shared" si="285"/>
        <v>0</v>
      </c>
      <c r="UV137" s="132">
        <f t="shared" si="286"/>
        <v>0</v>
      </c>
      <c r="UW137" s="132">
        <f t="shared" si="287"/>
        <v>0</v>
      </c>
      <c r="UX137" s="132">
        <f t="shared" si="288"/>
        <v>0</v>
      </c>
      <c r="UY137" s="132">
        <f t="shared" si="289"/>
        <v>0</v>
      </c>
      <c r="UZ137" s="132">
        <f t="shared" si="290"/>
        <v>0</v>
      </c>
      <c r="VA137" s="132">
        <f t="shared" si="291"/>
        <v>0</v>
      </c>
      <c r="VB137" s="131">
        <f t="shared" si="292"/>
        <v>0</v>
      </c>
      <c r="VC137" s="132">
        <f t="shared" si="293"/>
        <v>0</v>
      </c>
      <c r="VD137" s="132">
        <f t="shared" si="294"/>
        <v>0</v>
      </c>
      <c r="VE137" s="132">
        <f t="shared" si="295"/>
        <v>0</v>
      </c>
      <c r="VF137" s="132">
        <f t="shared" si="296"/>
        <v>0</v>
      </c>
      <c r="VG137" s="132">
        <f t="shared" si="297"/>
        <v>0</v>
      </c>
      <c r="VH137" s="132">
        <f t="shared" si="298"/>
        <v>0</v>
      </c>
      <c r="VI137" s="132">
        <f t="shared" si="299"/>
        <v>0</v>
      </c>
      <c r="VJ137" s="132">
        <f t="shared" si="300"/>
        <v>0</v>
      </c>
      <c r="VK137" s="132">
        <f t="shared" si="301"/>
        <v>0</v>
      </c>
      <c r="VL137" s="132">
        <f t="shared" si="302"/>
        <v>0</v>
      </c>
      <c r="VM137" s="132">
        <f t="shared" si="303"/>
        <v>0</v>
      </c>
      <c r="VN137" s="132">
        <f t="shared" si="304"/>
        <v>0</v>
      </c>
      <c r="VP137" s="845" t="str">
        <f>IFERROR(HLOOKUP(F137,'Hodnocení '!$C$1:$JH$5,2,FALSE),0)</f>
        <v>Pečovatelská služba města Úpice</v>
      </c>
      <c r="VQ137" s="838"/>
      <c r="VR137" s="845" t="str">
        <f t="shared" ref="VR137:VR200" si="312">E137</f>
        <v>Obec</v>
      </c>
      <c r="VS137" s="845" t="str">
        <f>IFERROR(HLOOKUP(F137,'Hodnocení '!$C$1:$JH$5,5,FALSE),0)</f>
        <v>Obce</v>
      </c>
      <c r="VT137" s="838" t="str">
        <f t="shared" ref="VT137:VT200" si="313">IF(VS137="obce",VR137,0)</f>
        <v>Obec</v>
      </c>
      <c r="VU137" s="838">
        <f t="shared" ref="VU137:VU200" si="314">IF(VS137="PO KHK",VS137,0)</f>
        <v>0</v>
      </c>
      <c r="VV137" s="838">
        <f t="shared" ref="VV137:VV200" si="315">QL137</f>
        <v>426000</v>
      </c>
      <c r="VW137" s="838">
        <f t="shared" ref="VW137:VW200" si="316">QP137</f>
        <v>0</v>
      </c>
      <c r="VX137" s="838"/>
      <c r="VY137" s="838">
        <f t="shared" si="216"/>
        <v>0</v>
      </c>
      <c r="VZ137" s="838">
        <f t="shared" si="217"/>
        <v>900000</v>
      </c>
      <c r="WA137" s="846">
        <f>IFERROR(HLOOKUP($F137,'Hodnocení '!$C$1:$JH$9,9,FALSE),0)</f>
        <v>900000</v>
      </c>
      <c r="WB137" s="846">
        <f>IF(IFERROR(HLOOKUP($F137,'Hodnocení '!$C$1:$JH$13,13,FALSE),0)&gt;WA137,WA137,IFERROR(HLOOKUP($F137,'Hodnocení '!$C$1:$JH$13,13,FALSE),0))</f>
        <v>900000</v>
      </c>
      <c r="WC137" s="846">
        <f>IFERROR(HLOOKUP($F137,'Hodnocení '!$C$1:$JH$155,155,FALSE),0)</f>
        <v>780920</v>
      </c>
      <c r="WD137" s="845"/>
      <c r="WE137" s="845"/>
      <c r="WF137" s="845" t="str">
        <f t="shared" si="305"/>
        <v>ANO</v>
      </c>
      <c r="WG137" s="849" t="str">
        <f t="shared" si="218"/>
        <v>Podpora služby je vyjádřena zařazením do sítě sociálních služeb v KHK a řešením financování služby</v>
      </c>
      <c r="WH137"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37" s="849" t="str">
        <f t="shared" si="218"/>
        <v>Návrh dotace je výsledkem projednání s ostatními zadavateli v rámci sítě služeb KHK</v>
      </c>
      <c r="WJ137" s="849" t="str">
        <f t="shared" si="218"/>
        <v>Bez komentáře</v>
      </c>
      <c r="WK137" s="31">
        <f t="shared" si="306"/>
        <v>0</v>
      </c>
      <c r="WL137" s="850">
        <f t="shared" si="307"/>
        <v>0</v>
      </c>
      <c r="WM137" s="849" t="str">
        <f t="shared" si="308"/>
        <v>V rámci sítě KHK se dlouhodobě řeší otázka navyšování úhrad a průběžně se monitoruje s vazbou na vykrytí vyrovnávací platby</v>
      </c>
      <c r="WN137" s="849">
        <f t="shared" si="309"/>
        <v>0</v>
      </c>
      <c r="WO137" s="849" t="str">
        <f t="shared" si="219"/>
        <v>bez komentáře</v>
      </c>
      <c r="WP137" s="849" t="str">
        <f t="shared" si="219"/>
        <v>bez komentáře</v>
      </c>
      <c r="WQ137" s="849" t="str">
        <f t="shared" si="219"/>
        <v>Konečná výše dotace z rozpočtu KHK bude řešena v návaznosti na řešení podílů jednotlivých zadavatelů.</v>
      </c>
      <c r="WR137" s="849" t="str">
        <f t="shared" si="219"/>
        <v>Konečná výše podpory ze stran obcí bude řešena v součinnosti s jednotlivými zadavateli v průběhu roku.</v>
      </c>
      <c r="WS137" s="849" t="str">
        <f t="shared" si="219"/>
        <v>bez komentáře</v>
      </c>
      <c r="WT137" s="849" t="str">
        <f t="shared" si="219"/>
        <v>bez komentáře</v>
      </c>
      <c r="WU137" s="845"/>
    </row>
    <row r="138" spans="1:619" s="128" customFormat="1" x14ac:dyDescent="0.25">
      <c r="A138" s="128" t="str">
        <f>VLOOKUP(F138,'Výpočet VP 2020'!$D$324:$I$588,6,FALSE)</f>
        <v>Je v síti</v>
      </c>
      <c r="B138" s="128" t="s">
        <v>671</v>
      </c>
      <c r="C138" s="128">
        <v>275492</v>
      </c>
      <c r="D138" s="128" t="s">
        <v>672</v>
      </c>
      <c r="E138" s="128" t="s">
        <v>604</v>
      </c>
      <c r="F138" s="128">
        <v>9666094</v>
      </c>
      <c r="G138" s="128" t="s">
        <v>328</v>
      </c>
      <c r="H138" s="128" t="s">
        <v>218</v>
      </c>
      <c r="I138" s="128" t="s">
        <v>386</v>
      </c>
      <c r="J138" s="129">
        <v>39083</v>
      </c>
      <c r="L138" s="128" t="s">
        <v>220</v>
      </c>
      <c r="X138" s="128" t="s">
        <v>322</v>
      </c>
      <c r="Z138" s="128">
        <v>2</v>
      </c>
      <c r="AA138" s="128">
        <v>20</v>
      </c>
      <c r="AB138" s="128">
        <v>12</v>
      </c>
      <c r="AC138" s="128">
        <v>20</v>
      </c>
      <c r="AD138" s="128">
        <v>20</v>
      </c>
      <c r="AN138" s="128">
        <v>300</v>
      </c>
      <c r="AP138" s="128" t="s">
        <v>673</v>
      </c>
      <c r="AQ138" s="128">
        <v>2</v>
      </c>
      <c r="AR138" s="128">
        <v>69</v>
      </c>
      <c r="AS138" s="128">
        <v>63</v>
      </c>
      <c r="AT138" s="128">
        <v>62</v>
      </c>
      <c r="AU138" s="128">
        <v>62</v>
      </c>
      <c r="BJ138" s="128">
        <v>4800</v>
      </c>
      <c r="BL138" s="128" t="s">
        <v>579</v>
      </c>
      <c r="BM138" s="128" t="s">
        <v>325</v>
      </c>
      <c r="BN138" s="128" t="s">
        <v>364</v>
      </c>
      <c r="BO138" s="128">
        <v>0</v>
      </c>
      <c r="BP138" s="128">
        <v>0</v>
      </c>
      <c r="BQ138" s="128">
        <v>0</v>
      </c>
      <c r="BR138" s="128">
        <v>0</v>
      </c>
      <c r="BS138" s="128">
        <v>0</v>
      </c>
      <c r="BT138" s="128">
        <v>8</v>
      </c>
      <c r="BU138" s="128">
        <v>4</v>
      </c>
      <c r="BV138" s="128">
        <v>3</v>
      </c>
      <c r="BW138" s="128">
        <v>2</v>
      </c>
      <c r="BX138" s="128">
        <v>48</v>
      </c>
      <c r="BY138" s="128">
        <v>8</v>
      </c>
      <c r="BZ138" s="128">
        <v>4</v>
      </c>
      <c r="CA138" s="128">
        <v>3</v>
      </c>
      <c r="CB138" s="128">
        <v>2</v>
      </c>
      <c r="CC138" s="128">
        <v>48</v>
      </c>
      <c r="CD138" s="128">
        <v>0</v>
      </c>
      <c r="CE138" s="128">
        <v>65</v>
      </c>
      <c r="CF138" s="128">
        <v>65</v>
      </c>
      <c r="CG138" s="128">
        <v>1</v>
      </c>
      <c r="CH138" s="128">
        <v>0</v>
      </c>
      <c r="CI138" s="128">
        <v>0</v>
      </c>
      <c r="CJ138" s="128">
        <v>0</v>
      </c>
      <c r="CK138" s="128">
        <v>0</v>
      </c>
      <c r="CL138" s="128">
        <v>0</v>
      </c>
      <c r="CM138" s="128">
        <v>8</v>
      </c>
      <c r="CN138" s="128">
        <v>6</v>
      </c>
      <c r="CO138" s="128">
        <v>5</v>
      </c>
      <c r="CP138" s="128">
        <v>4</v>
      </c>
      <c r="CQ138" s="128">
        <v>59</v>
      </c>
      <c r="CR138" s="128">
        <v>8</v>
      </c>
      <c r="CS138" s="128">
        <v>6</v>
      </c>
      <c r="CT138" s="128">
        <v>5</v>
      </c>
      <c r="CU138" s="128">
        <v>4</v>
      </c>
      <c r="CV138" s="128">
        <v>59</v>
      </c>
      <c r="CW138" s="128">
        <v>0</v>
      </c>
      <c r="CX138" s="128">
        <v>82</v>
      </c>
      <c r="CY138" s="128">
        <v>82</v>
      </c>
      <c r="CZ138" s="128">
        <v>1</v>
      </c>
      <c r="EK138" s="128">
        <v>1</v>
      </c>
      <c r="EL138" s="128">
        <v>0.9</v>
      </c>
      <c r="EM138" s="128">
        <v>0.9</v>
      </c>
      <c r="EN138" s="128">
        <v>940000</v>
      </c>
      <c r="EO138" s="128">
        <v>750000</v>
      </c>
      <c r="EP138" s="128">
        <v>6</v>
      </c>
      <c r="EQ138" s="128">
        <v>6</v>
      </c>
      <c r="ER138" s="128">
        <v>6</v>
      </c>
      <c r="ES138" s="128">
        <v>3600000</v>
      </c>
      <c r="ET138" s="128">
        <v>3200000</v>
      </c>
      <c r="FO138" s="128">
        <v>1</v>
      </c>
      <c r="FP138" s="128">
        <v>0.1</v>
      </c>
      <c r="FQ138" s="128">
        <v>0.1</v>
      </c>
      <c r="FR138" s="128">
        <v>60000</v>
      </c>
      <c r="FS138" s="128">
        <v>0</v>
      </c>
      <c r="KG138" s="128">
        <v>0</v>
      </c>
      <c r="KI138" s="128">
        <v>6.9</v>
      </c>
      <c r="KJ138" s="128">
        <v>0</v>
      </c>
      <c r="KK138" s="128">
        <v>0</v>
      </c>
      <c r="KL138" s="128">
        <v>0</v>
      </c>
      <c r="KM138" s="128">
        <v>6.9</v>
      </c>
      <c r="KN138" s="128">
        <v>4600000</v>
      </c>
      <c r="KO138" s="128">
        <v>3950000</v>
      </c>
      <c r="KP138" s="128">
        <v>3950000</v>
      </c>
      <c r="KT138" s="128">
        <v>0</v>
      </c>
      <c r="KU138" s="128">
        <v>0</v>
      </c>
      <c r="KV138" s="128">
        <v>0</v>
      </c>
      <c r="KZ138" s="128">
        <v>0</v>
      </c>
      <c r="LA138" s="128">
        <v>0</v>
      </c>
      <c r="LB138" s="128">
        <v>0</v>
      </c>
      <c r="LF138" s="128">
        <v>0</v>
      </c>
      <c r="LG138" s="128">
        <v>0</v>
      </c>
      <c r="LH138" s="128">
        <v>0</v>
      </c>
      <c r="LL138" s="128">
        <v>0</v>
      </c>
      <c r="LM138" s="128">
        <v>0</v>
      </c>
      <c r="LN138" s="128">
        <v>0</v>
      </c>
      <c r="LR138" s="128">
        <v>50000</v>
      </c>
      <c r="LS138" s="128">
        <v>0</v>
      </c>
      <c r="LT138" s="128">
        <v>0</v>
      </c>
      <c r="LX138" s="128">
        <v>0</v>
      </c>
      <c r="LY138" s="128">
        <v>0</v>
      </c>
      <c r="LZ138" s="128">
        <v>0</v>
      </c>
      <c r="MD138" s="128">
        <v>50000</v>
      </c>
      <c r="ME138" s="128">
        <v>0</v>
      </c>
      <c r="MF138" s="128">
        <v>0</v>
      </c>
      <c r="MJ138" s="128">
        <v>50000</v>
      </c>
      <c r="MK138" s="128">
        <v>0</v>
      </c>
      <c r="ML138" s="128">
        <v>0</v>
      </c>
      <c r="MP138" s="128">
        <v>42000</v>
      </c>
      <c r="MQ138" s="128">
        <v>0</v>
      </c>
      <c r="MR138" s="128">
        <v>0</v>
      </c>
      <c r="MV138" s="128">
        <v>180000</v>
      </c>
      <c r="MW138" s="128">
        <v>0</v>
      </c>
      <c r="MX138" s="128">
        <v>0</v>
      </c>
      <c r="NB138" s="128">
        <v>30000</v>
      </c>
      <c r="NC138" s="128">
        <v>0</v>
      </c>
      <c r="ND138" s="128">
        <v>0</v>
      </c>
      <c r="NH138" s="128">
        <v>0</v>
      </c>
      <c r="NI138" s="128">
        <v>0</v>
      </c>
      <c r="NJ138" s="128">
        <v>0</v>
      </c>
      <c r="NN138" s="128">
        <v>22000</v>
      </c>
      <c r="NO138" s="128">
        <v>0</v>
      </c>
      <c r="NP138" s="128">
        <v>0</v>
      </c>
      <c r="NT138" s="128">
        <v>60000</v>
      </c>
      <c r="NU138" s="128">
        <v>0</v>
      </c>
      <c r="NV138" s="128">
        <v>0</v>
      </c>
      <c r="NZ138" s="128">
        <v>30000</v>
      </c>
      <c r="OA138" s="128">
        <v>0</v>
      </c>
      <c r="OB138" s="128">
        <v>0</v>
      </c>
      <c r="OF138" s="128">
        <v>6000</v>
      </c>
      <c r="OG138" s="128">
        <v>0</v>
      </c>
      <c r="OH138" s="128">
        <v>0</v>
      </c>
      <c r="OL138" s="128">
        <v>0</v>
      </c>
      <c r="OM138" s="128">
        <v>0</v>
      </c>
      <c r="ON138" s="128">
        <v>0</v>
      </c>
      <c r="OR138" s="128">
        <v>0</v>
      </c>
      <c r="OS138" s="128">
        <v>0</v>
      </c>
      <c r="OT138" s="128">
        <v>0</v>
      </c>
      <c r="OX138" s="128">
        <v>40000</v>
      </c>
      <c r="OY138" s="128">
        <v>0</v>
      </c>
      <c r="OZ138" s="128">
        <v>0</v>
      </c>
      <c r="PD138" s="128">
        <v>0</v>
      </c>
      <c r="PE138" s="128">
        <v>0</v>
      </c>
      <c r="PF138" s="128">
        <v>0</v>
      </c>
      <c r="PJ138" s="128">
        <v>267000</v>
      </c>
      <c r="PK138" s="128">
        <v>0</v>
      </c>
      <c r="PL138" s="128">
        <v>0</v>
      </c>
      <c r="PP138" s="128">
        <v>5427000</v>
      </c>
      <c r="PQ138" s="128">
        <v>3950000</v>
      </c>
      <c r="PR138" s="128">
        <v>3950000</v>
      </c>
      <c r="PS138" s="128">
        <v>100</v>
      </c>
      <c r="PT138" s="128">
        <v>100</v>
      </c>
      <c r="PV138" s="128">
        <v>2476961</v>
      </c>
      <c r="PX138" s="128">
        <v>1294210</v>
      </c>
      <c r="PY138" s="128">
        <v>1985788</v>
      </c>
      <c r="PZ138" s="128">
        <v>3950000</v>
      </c>
      <c r="QA138" s="128">
        <v>0</v>
      </c>
      <c r="QB138" s="128">
        <v>0</v>
      </c>
      <c r="QC138" s="128">
        <v>0</v>
      </c>
      <c r="QD138" s="128">
        <v>1356086</v>
      </c>
      <c r="QE138" s="128">
        <v>2026222</v>
      </c>
      <c r="QF138" s="128">
        <v>577000</v>
      </c>
      <c r="QG138" s="128">
        <v>0</v>
      </c>
      <c r="QH138" s="128">
        <v>0</v>
      </c>
      <c r="QI138" s="128">
        <v>0</v>
      </c>
      <c r="QJ138" s="128">
        <v>582815</v>
      </c>
      <c r="QK138" s="128">
        <v>900000</v>
      </c>
      <c r="QL138" s="128">
        <v>900000</v>
      </c>
      <c r="QN138" s="128">
        <v>0</v>
      </c>
      <c r="QO138" s="128">
        <v>0</v>
      </c>
      <c r="QP138" s="128">
        <v>0</v>
      </c>
      <c r="RH138" s="128">
        <f t="shared" si="310"/>
        <v>4527000</v>
      </c>
      <c r="RI138" s="128">
        <v>0</v>
      </c>
      <c r="RM138" s="128" t="s">
        <v>220</v>
      </c>
      <c r="RU138" s="130"/>
      <c r="RV138" s="130"/>
      <c r="RW138" s="130"/>
      <c r="RX138" s="130"/>
      <c r="SF138" s="128">
        <f t="shared" si="220"/>
        <v>9666094</v>
      </c>
      <c r="SG138" s="131">
        <f t="shared" si="221"/>
        <v>5427000</v>
      </c>
      <c r="SH138" s="131">
        <f t="shared" si="222"/>
        <v>5427000</v>
      </c>
      <c r="SI138" s="131">
        <f t="shared" si="223"/>
        <v>4600000</v>
      </c>
      <c r="SJ138" s="132">
        <f t="shared" si="224"/>
        <v>4600000</v>
      </c>
      <c r="SK138" s="132">
        <f t="shared" si="225"/>
        <v>0</v>
      </c>
      <c r="SL138" s="132">
        <f t="shared" si="226"/>
        <v>0</v>
      </c>
      <c r="SM138" s="132">
        <f t="shared" si="227"/>
        <v>0</v>
      </c>
      <c r="SN138" s="131">
        <f t="shared" si="228"/>
        <v>827000</v>
      </c>
      <c r="SO138" s="131">
        <f t="shared" si="229"/>
        <v>50000</v>
      </c>
      <c r="SP138" s="132">
        <f t="shared" si="230"/>
        <v>0</v>
      </c>
      <c r="SQ138" s="132">
        <f t="shared" si="231"/>
        <v>50000</v>
      </c>
      <c r="SR138" s="132">
        <f t="shared" si="232"/>
        <v>0</v>
      </c>
      <c r="SS138" s="132">
        <f t="shared" si="233"/>
        <v>50000</v>
      </c>
      <c r="ST138" s="132">
        <f t="shared" si="234"/>
        <v>50000</v>
      </c>
      <c r="SU138" s="132">
        <f t="shared" si="235"/>
        <v>42000</v>
      </c>
      <c r="SV138" s="131">
        <f t="shared" si="236"/>
        <v>368000</v>
      </c>
      <c r="SW138" s="132">
        <f t="shared" si="237"/>
        <v>180000</v>
      </c>
      <c r="SX138" s="132">
        <f t="shared" si="238"/>
        <v>30000</v>
      </c>
      <c r="SY138" s="132">
        <f t="shared" si="239"/>
        <v>0</v>
      </c>
      <c r="SZ138" s="132">
        <f t="shared" si="240"/>
        <v>22000</v>
      </c>
      <c r="TA138" s="132">
        <f t="shared" si="241"/>
        <v>60000</v>
      </c>
      <c r="TB138" s="132">
        <f t="shared" si="242"/>
        <v>30000</v>
      </c>
      <c r="TC138" s="132">
        <f t="shared" si="243"/>
        <v>6000</v>
      </c>
      <c r="TD138" s="132">
        <f t="shared" si="244"/>
        <v>0</v>
      </c>
      <c r="TE138" s="132">
        <f t="shared" si="245"/>
        <v>0</v>
      </c>
      <c r="TF138" s="132">
        <f t="shared" si="246"/>
        <v>40000</v>
      </c>
      <c r="TG138" s="132">
        <f t="shared" si="247"/>
        <v>0</v>
      </c>
      <c r="TH138" s="132">
        <f t="shared" si="248"/>
        <v>267000</v>
      </c>
      <c r="TI138" s="1"/>
      <c r="TJ138" s="131">
        <f t="shared" si="249"/>
        <v>3950000</v>
      </c>
      <c r="TK138" s="131">
        <f t="shared" si="250"/>
        <v>3950000</v>
      </c>
      <c r="TL138" s="131">
        <f t="shared" si="251"/>
        <v>3950000</v>
      </c>
      <c r="TM138" s="132">
        <f t="shared" si="252"/>
        <v>3950000</v>
      </c>
      <c r="TN138" s="132">
        <f t="shared" si="253"/>
        <v>0</v>
      </c>
      <c r="TO138" s="132">
        <f t="shared" si="254"/>
        <v>0</v>
      </c>
      <c r="TP138" s="132">
        <f t="shared" si="255"/>
        <v>0</v>
      </c>
      <c r="TQ138" s="131">
        <f t="shared" si="256"/>
        <v>0</v>
      </c>
      <c r="TR138" s="131">
        <f t="shared" si="257"/>
        <v>0</v>
      </c>
      <c r="TS138" s="132">
        <f t="shared" si="258"/>
        <v>0</v>
      </c>
      <c r="TT138" s="132">
        <f t="shared" si="259"/>
        <v>0</v>
      </c>
      <c r="TU138" s="132">
        <f t="shared" si="260"/>
        <v>0</v>
      </c>
      <c r="TV138" s="132">
        <f t="shared" si="261"/>
        <v>0</v>
      </c>
      <c r="TW138" s="132">
        <f t="shared" si="262"/>
        <v>0</v>
      </c>
      <c r="TX138" s="132">
        <f t="shared" si="263"/>
        <v>0</v>
      </c>
      <c r="TY138" s="131">
        <f t="shared" si="264"/>
        <v>0</v>
      </c>
      <c r="TZ138" s="132">
        <f t="shared" si="265"/>
        <v>0</v>
      </c>
      <c r="UA138" s="132">
        <f t="shared" si="266"/>
        <v>0</v>
      </c>
      <c r="UB138" s="132">
        <f t="shared" si="267"/>
        <v>0</v>
      </c>
      <c r="UC138" s="132">
        <f t="shared" si="268"/>
        <v>0</v>
      </c>
      <c r="UD138" s="132">
        <f t="shared" si="269"/>
        <v>0</v>
      </c>
      <c r="UE138" s="132">
        <f t="shared" si="270"/>
        <v>0</v>
      </c>
      <c r="UF138" s="132">
        <f t="shared" si="271"/>
        <v>0</v>
      </c>
      <c r="UG138" s="132">
        <f t="shared" si="272"/>
        <v>0</v>
      </c>
      <c r="UH138" s="132">
        <f t="shared" si="273"/>
        <v>0</v>
      </c>
      <c r="UI138" s="132">
        <f t="shared" si="274"/>
        <v>0</v>
      </c>
      <c r="UJ138" s="132">
        <f t="shared" si="275"/>
        <v>0</v>
      </c>
      <c r="UK138" s="132">
        <f t="shared" si="276"/>
        <v>0</v>
      </c>
      <c r="UL138" s="132">
        <f t="shared" si="311"/>
        <v>3950000</v>
      </c>
      <c r="UM138" s="131">
        <f t="shared" si="277"/>
        <v>3950000</v>
      </c>
      <c r="UN138" s="131">
        <f t="shared" si="278"/>
        <v>3950000</v>
      </c>
      <c r="UO138" s="131">
        <f t="shared" si="279"/>
        <v>3950000</v>
      </c>
      <c r="UP138" s="132">
        <f t="shared" si="280"/>
        <v>3950000</v>
      </c>
      <c r="UQ138" s="132">
        <f t="shared" si="281"/>
        <v>0</v>
      </c>
      <c r="UR138" s="132">
        <f t="shared" si="282"/>
        <v>0</v>
      </c>
      <c r="US138" s="132">
        <f t="shared" si="283"/>
        <v>0</v>
      </c>
      <c r="UT138" s="131">
        <f t="shared" si="284"/>
        <v>0</v>
      </c>
      <c r="UU138" s="131">
        <f t="shared" si="285"/>
        <v>0</v>
      </c>
      <c r="UV138" s="132">
        <f t="shared" si="286"/>
        <v>0</v>
      </c>
      <c r="UW138" s="132">
        <f t="shared" si="287"/>
        <v>0</v>
      </c>
      <c r="UX138" s="132">
        <f t="shared" si="288"/>
        <v>0</v>
      </c>
      <c r="UY138" s="132">
        <f t="shared" si="289"/>
        <v>0</v>
      </c>
      <c r="UZ138" s="132">
        <f t="shared" si="290"/>
        <v>0</v>
      </c>
      <c r="VA138" s="132">
        <f t="shared" si="291"/>
        <v>0</v>
      </c>
      <c r="VB138" s="131">
        <f t="shared" si="292"/>
        <v>0</v>
      </c>
      <c r="VC138" s="132">
        <f t="shared" si="293"/>
        <v>0</v>
      </c>
      <c r="VD138" s="132">
        <f t="shared" si="294"/>
        <v>0</v>
      </c>
      <c r="VE138" s="132">
        <f t="shared" si="295"/>
        <v>0</v>
      </c>
      <c r="VF138" s="132">
        <f t="shared" si="296"/>
        <v>0</v>
      </c>
      <c r="VG138" s="132">
        <f t="shared" si="297"/>
        <v>0</v>
      </c>
      <c r="VH138" s="132">
        <f t="shared" si="298"/>
        <v>0</v>
      </c>
      <c r="VI138" s="132">
        <f t="shared" si="299"/>
        <v>0</v>
      </c>
      <c r="VJ138" s="132">
        <f t="shared" si="300"/>
        <v>0</v>
      </c>
      <c r="VK138" s="132">
        <f t="shared" si="301"/>
        <v>0</v>
      </c>
      <c r="VL138" s="132">
        <f t="shared" si="302"/>
        <v>0</v>
      </c>
      <c r="VM138" s="132">
        <f t="shared" si="303"/>
        <v>0</v>
      </c>
      <c r="VN138" s="132">
        <f t="shared" si="304"/>
        <v>0</v>
      </c>
      <c r="VP138" s="845" t="str">
        <f>IFERROR(HLOOKUP(F138,'Hodnocení '!$C$1:$JH$5,2,FALSE),0)</f>
        <v>Pečovatelská služba</v>
      </c>
      <c r="VQ138" s="838"/>
      <c r="VR138" s="845" t="str">
        <f t="shared" si="312"/>
        <v>Obec</v>
      </c>
      <c r="VS138" s="845" t="str">
        <f>IFERROR(HLOOKUP(F138,'Hodnocení '!$C$1:$JH$5,5,FALSE),0)</f>
        <v>Obce</v>
      </c>
      <c r="VT138" s="838" t="str">
        <f t="shared" si="313"/>
        <v>Obec</v>
      </c>
      <c r="VU138" s="838">
        <f t="shared" si="314"/>
        <v>0</v>
      </c>
      <c r="VV138" s="838">
        <f t="shared" si="315"/>
        <v>900000</v>
      </c>
      <c r="VW138" s="838">
        <f t="shared" si="316"/>
        <v>0</v>
      </c>
      <c r="VX138" s="838"/>
      <c r="VY138" s="838">
        <f t="shared" si="216"/>
        <v>0</v>
      </c>
      <c r="VZ138" s="838">
        <f t="shared" si="217"/>
        <v>3950000</v>
      </c>
      <c r="WA138" s="846">
        <f>IFERROR(HLOOKUP($F138,'Hodnocení '!$C$1:$JH$9,9,FALSE),0)</f>
        <v>3950000</v>
      </c>
      <c r="WB138" s="846">
        <f>IF(IFERROR(HLOOKUP($F138,'Hodnocení '!$C$1:$JH$13,13,FALSE),0)&gt;WA138,WA138,IFERROR(HLOOKUP($F138,'Hodnocení '!$C$1:$JH$13,13,FALSE),0))</f>
        <v>3510607.0288166855</v>
      </c>
      <c r="WC138" s="846">
        <f>IFERROR(HLOOKUP($F138,'Hodnocení '!$C$1:$JH$155,155,FALSE),0)</f>
        <v>1870580</v>
      </c>
      <c r="WD138" s="845"/>
      <c r="WE138" s="845"/>
      <c r="WF138" s="845" t="str">
        <f t="shared" si="305"/>
        <v>ANO</v>
      </c>
      <c r="WG138" s="849" t="str">
        <f t="shared" si="218"/>
        <v>Podpora služby je vyjádřena zařazením do sítě sociálních služeb v KHK a řešením financování služby</v>
      </c>
      <c r="WH138"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38" s="849" t="str">
        <f t="shared" si="218"/>
        <v>Návrh dotace je výsledkem projednání s ostatními zadavateli v rámci sítě služeb KHK</v>
      </c>
      <c r="WJ138" s="849" t="str">
        <f t="shared" si="218"/>
        <v>Bez komentáře</v>
      </c>
      <c r="WK138" s="31">
        <f t="shared" si="306"/>
        <v>0</v>
      </c>
      <c r="WL138" s="850">
        <f t="shared" si="307"/>
        <v>0</v>
      </c>
      <c r="WM138" s="849" t="str">
        <f t="shared" si="308"/>
        <v>V rámci sítě KHK se dlouhodobě řeší otázka navyšování úhrad a průběžně se monitoruje s vazbou na vykrytí vyrovnávací platby</v>
      </c>
      <c r="WN138" s="849">
        <f t="shared" si="309"/>
        <v>0</v>
      </c>
      <c r="WO138" s="849" t="str">
        <f t="shared" si="219"/>
        <v>bez komentáře</v>
      </c>
      <c r="WP138" s="849" t="str">
        <f t="shared" si="219"/>
        <v>bez komentáře</v>
      </c>
      <c r="WQ138" s="849" t="str">
        <f t="shared" si="219"/>
        <v>Konečná výše dotace z rozpočtu KHK bude řešena v návaznosti na řešení podílů jednotlivých zadavatelů.</v>
      </c>
      <c r="WR138" s="849" t="str">
        <f t="shared" si="219"/>
        <v>Konečná výše podpory ze stran obcí bude řešena v součinnosti s jednotlivými zadavateli v průběhu roku.</v>
      </c>
      <c r="WS138" s="849" t="str">
        <f t="shared" si="219"/>
        <v>bez komentáře</v>
      </c>
      <c r="WT138" s="849" t="str">
        <f t="shared" si="219"/>
        <v>bez komentáře</v>
      </c>
      <c r="WU138" s="845"/>
    </row>
    <row r="139" spans="1:619" s="128" customFormat="1" x14ac:dyDescent="0.25">
      <c r="A139" s="128" t="str">
        <f>VLOOKUP(F139,'Výpočet VP 2020'!$D$324:$I$588,6,FALSE)</f>
        <v>Je v síti</v>
      </c>
      <c r="B139" s="128" t="s">
        <v>674</v>
      </c>
      <c r="C139" s="128">
        <v>278475</v>
      </c>
      <c r="D139" s="128" t="s">
        <v>675</v>
      </c>
      <c r="E139" s="128" t="s">
        <v>604</v>
      </c>
      <c r="F139" s="128">
        <v>3810187</v>
      </c>
      <c r="G139" s="128" t="s">
        <v>328</v>
      </c>
      <c r="H139" s="128" t="s">
        <v>218</v>
      </c>
      <c r="I139" s="128" t="s">
        <v>676</v>
      </c>
      <c r="J139" s="129">
        <v>39083</v>
      </c>
      <c r="L139" s="128" t="s">
        <v>220</v>
      </c>
      <c r="X139" s="128" t="s">
        <v>232</v>
      </c>
      <c r="Z139" s="128">
        <v>1</v>
      </c>
      <c r="AA139" s="128">
        <v>10</v>
      </c>
      <c r="AB139" s="128">
        <v>70</v>
      </c>
      <c r="AC139" s="128">
        <v>75</v>
      </c>
      <c r="AD139" s="128">
        <v>75</v>
      </c>
      <c r="AN139" s="128">
        <v>1340</v>
      </c>
      <c r="AP139" s="128" t="s">
        <v>677</v>
      </c>
      <c r="AQ139" s="128">
        <v>9</v>
      </c>
      <c r="AR139" s="128">
        <v>132</v>
      </c>
      <c r="AS139" s="128">
        <v>120</v>
      </c>
      <c r="AT139" s="128">
        <v>125</v>
      </c>
      <c r="AU139" s="128">
        <v>130</v>
      </c>
      <c r="BJ139" s="128">
        <v>2350</v>
      </c>
      <c r="BL139" s="128" t="s">
        <v>579</v>
      </c>
      <c r="BM139" s="128" t="s">
        <v>325</v>
      </c>
      <c r="BN139" s="128" t="s">
        <v>326</v>
      </c>
      <c r="BO139" s="128">
        <v>0</v>
      </c>
      <c r="BP139" s="128">
        <v>0</v>
      </c>
      <c r="BQ139" s="128">
        <v>0</v>
      </c>
      <c r="BR139" s="128">
        <v>0</v>
      </c>
      <c r="BS139" s="128">
        <v>0</v>
      </c>
      <c r="BT139" s="128">
        <v>48</v>
      </c>
      <c r="BU139" s="128">
        <v>27</v>
      </c>
      <c r="BV139" s="128">
        <v>20</v>
      </c>
      <c r="BW139" s="128">
        <v>9</v>
      </c>
      <c r="BX139" s="128">
        <v>88</v>
      </c>
      <c r="BY139" s="128">
        <v>48</v>
      </c>
      <c r="BZ139" s="128">
        <v>27</v>
      </c>
      <c r="CA139" s="128">
        <v>20</v>
      </c>
      <c r="CB139" s="128">
        <v>9</v>
      </c>
      <c r="CC139" s="128">
        <v>88</v>
      </c>
      <c r="CD139" s="128">
        <v>0</v>
      </c>
      <c r="CE139" s="128">
        <v>192</v>
      </c>
      <c r="CF139" s="128">
        <v>192</v>
      </c>
      <c r="CG139" s="128">
        <v>2</v>
      </c>
      <c r="CH139" s="128">
        <v>0</v>
      </c>
      <c r="CI139" s="128">
        <v>0</v>
      </c>
      <c r="CJ139" s="128">
        <v>0</v>
      </c>
      <c r="CK139" s="128">
        <v>0</v>
      </c>
      <c r="CL139" s="128">
        <v>0</v>
      </c>
      <c r="CM139" s="128">
        <v>52</v>
      </c>
      <c r="CN139" s="128">
        <v>30</v>
      </c>
      <c r="CO139" s="128">
        <v>25</v>
      </c>
      <c r="CP139" s="128">
        <v>10</v>
      </c>
      <c r="CQ139" s="128">
        <v>88</v>
      </c>
      <c r="CR139" s="128">
        <v>52</v>
      </c>
      <c r="CS139" s="128">
        <v>30</v>
      </c>
      <c r="CT139" s="128">
        <v>25</v>
      </c>
      <c r="CU139" s="128">
        <v>10</v>
      </c>
      <c r="CV139" s="128">
        <v>88</v>
      </c>
      <c r="CW139" s="128">
        <v>0</v>
      </c>
      <c r="CX139" s="128">
        <v>205</v>
      </c>
      <c r="CY139" s="128">
        <v>205</v>
      </c>
      <c r="CZ139" s="128">
        <v>2</v>
      </c>
      <c r="EK139" s="128">
        <v>1</v>
      </c>
      <c r="EL139" s="128">
        <v>1</v>
      </c>
      <c r="EM139" s="128">
        <v>1</v>
      </c>
      <c r="EN139" s="128">
        <v>530110</v>
      </c>
      <c r="EO139" s="128">
        <v>250000</v>
      </c>
      <c r="EP139" s="128">
        <v>9</v>
      </c>
      <c r="EQ139" s="128">
        <v>9</v>
      </c>
      <c r="ER139" s="128">
        <v>9</v>
      </c>
      <c r="ES139" s="128">
        <v>3800000</v>
      </c>
      <c r="ET139" s="128">
        <v>1900000</v>
      </c>
      <c r="FO139" s="128">
        <v>5</v>
      </c>
      <c r="FP139" s="128">
        <v>1.05</v>
      </c>
      <c r="FQ139" s="128">
        <v>5</v>
      </c>
      <c r="FR139" s="128">
        <v>1076000</v>
      </c>
      <c r="FS139" s="128">
        <v>350000</v>
      </c>
      <c r="IS139" s="128">
        <v>2</v>
      </c>
      <c r="IT139" s="128">
        <v>600</v>
      </c>
      <c r="IU139" s="128">
        <v>0.28599999999999998</v>
      </c>
      <c r="IV139" s="128">
        <v>60000</v>
      </c>
      <c r="IW139" s="128">
        <v>0</v>
      </c>
      <c r="KG139" s="128">
        <v>0</v>
      </c>
      <c r="KI139" s="128">
        <v>10</v>
      </c>
      <c r="KJ139" s="128">
        <v>0</v>
      </c>
      <c r="KK139" s="128">
        <v>0</v>
      </c>
      <c r="KL139" s="128">
        <v>0</v>
      </c>
      <c r="KM139" s="128">
        <v>10</v>
      </c>
      <c r="KN139" s="128">
        <v>5406110</v>
      </c>
      <c r="KO139" s="128">
        <v>2500000</v>
      </c>
      <c r="KP139" s="128">
        <v>2500000</v>
      </c>
      <c r="KT139" s="128">
        <v>0</v>
      </c>
      <c r="KU139" s="128">
        <v>0</v>
      </c>
      <c r="KV139" s="128">
        <v>0</v>
      </c>
      <c r="KZ139" s="128">
        <v>60000</v>
      </c>
      <c r="LA139" s="128">
        <v>0</v>
      </c>
      <c r="LB139" s="128">
        <v>0</v>
      </c>
      <c r="LF139" s="128">
        <v>35000</v>
      </c>
      <c r="LG139" s="128">
        <v>0</v>
      </c>
      <c r="LH139" s="128">
        <v>0</v>
      </c>
      <c r="LL139" s="128">
        <v>0</v>
      </c>
      <c r="LM139" s="128">
        <v>0</v>
      </c>
      <c r="LN139" s="128">
        <v>0</v>
      </c>
      <c r="LR139" s="128">
        <v>14000</v>
      </c>
      <c r="LS139" s="128">
        <v>0</v>
      </c>
      <c r="LT139" s="128">
        <v>0</v>
      </c>
      <c r="LX139" s="128">
        <v>0</v>
      </c>
      <c r="LY139" s="128">
        <v>0</v>
      </c>
      <c r="LZ139" s="128">
        <v>0</v>
      </c>
      <c r="MD139" s="128">
        <v>10000</v>
      </c>
      <c r="ME139" s="128">
        <v>0</v>
      </c>
      <c r="MF139" s="128">
        <v>0</v>
      </c>
      <c r="MJ139" s="128">
        <v>180000</v>
      </c>
      <c r="MK139" s="128">
        <v>0</v>
      </c>
      <c r="ML139" s="128">
        <v>0</v>
      </c>
      <c r="MP139" s="128">
        <v>104500</v>
      </c>
      <c r="MQ139" s="128">
        <v>0</v>
      </c>
      <c r="MR139" s="128">
        <v>0</v>
      </c>
      <c r="MV139" s="128">
        <v>90000</v>
      </c>
      <c r="MW139" s="128">
        <v>0</v>
      </c>
      <c r="MX139" s="128">
        <v>0</v>
      </c>
      <c r="NB139" s="128">
        <v>180000</v>
      </c>
      <c r="NC139" s="128">
        <v>0</v>
      </c>
      <c r="ND139" s="128">
        <v>0</v>
      </c>
      <c r="NH139" s="128">
        <v>501050</v>
      </c>
      <c r="NI139" s="128">
        <v>0</v>
      </c>
      <c r="NJ139" s="128">
        <v>0</v>
      </c>
      <c r="NN139" s="128">
        <v>24000</v>
      </c>
      <c r="NO139" s="128">
        <v>0</v>
      </c>
      <c r="NP139" s="128">
        <v>0</v>
      </c>
      <c r="NT139" s="128">
        <v>25000</v>
      </c>
      <c r="NU139" s="128">
        <v>0</v>
      </c>
      <c r="NV139" s="128">
        <v>0</v>
      </c>
      <c r="NZ139" s="128">
        <v>80000</v>
      </c>
      <c r="OA139" s="128">
        <v>0</v>
      </c>
      <c r="OB139" s="128">
        <v>0</v>
      </c>
      <c r="OF139" s="128">
        <v>1500</v>
      </c>
      <c r="OG139" s="128">
        <v>0</v>
      </c>
      <c r="OH139" s="128">
        <v>0</v>
      </c>
      <c r="OL139" s="128">
        <v>0</v>
      </c>
      <c r="OM139" s="128">
        <v>0</v>
      </c>
      <c r="ON139" s="128">
        <v>0</v>
      </c>
      <c r="OR139" s="128">
        <v>0</v>
      </c>
      <c r="OS139" s="128">
        <v>0</v>
      </c>
      <c r="OT139" s="128">
        <v>0</v>
      </c>
      <c r="OX139" s="128">
        <v>396000</v>
      </c>
      <c r="OY139" s="128">
        <v>0</v>
      </c>
      <c r="OZ139" s="128">
        <v>0</v>
      </c>
      <c r="PD139" s="128">
        <v>0</v>
      </c>
      <c r="PE139" s="128">
        <v>0</v>
      </c>
      <c r="PF139" s="128">
        <v>0</v>
      </c>
      <c r="PJ139" s="128">
        <v>190000</v>
      </c>
      <c r="PK139" s="128">
        <v>0</v>
      </c>
      <c r="PL139" s="128">
        <v>0</v>
      </c>
      <c r="PP139" s="128">
        <v>7297160</v>
      </c>
      <c r="PQ139" s="128">
        <v>2500000</v>
      </c>
      <c r="PR139" s="128">
        <v>2500000</v>
      </c>
      <c r="PS139" s="128">
        <v>100</v>
      </c>
      <c r="PT139" s="128">
        <v>93</v>
      </c>
      <c r="PV139" s="128">
        <v>4008347</v>
      </c>
      <c r="PX139" s="128">
        <v>1426000</v>
      </c>
      <c r="PY139" s="128">
        <v>1514623</v>
      </c>
      <c r="PZ139" s="128">
        <v>2500000</v>
      </c>
      <c r="QA139" s="128">
        <v>0</v>
      </c>
      <c r="QB139" s="128">
        <v>0</v>
      </c>
      <c r="QC139" s="128">
        <v>0</v>
      </c>
      <c r="QD139" s="128">
        <v>2144779</v>
      </c>
      <c r="QE139" s="128">
        <v>3098327</v>
      </c>
      <c r="QF139" s="128">
        <v>2296110</v>
      </c>
      <c r="QG139" s="128">
        <v>0</v>
      </c>
      <c r="QH139" s="128">
        <v>0</v>
      </c>
      <c r="QI139" s="128">
        <v>0</v>
      </c>
      <c r="QJ139" s="128">
        <v>1248103</v>
      </c>
      <c r="QK139" s="128">
        <v>1350000</v>
      </c>
      <c r="QL139" s="128">
        <v>1350000</v>
      </c>
      <c r="QN139" s="128">
        <v>0</v>
      </c>
      <c r="QO139" s="128">
        <v>0</v>
      </c>
      <c r="QP139" s="128">
        <v>0</v>
      </c>
      <c r="RD139" s="128">
        <v>667583</v>
      </c>
      <c r="RE139" s="128">
        <v>1151050</v>
      </c>
      <c r="RF139" s="128">
        <v>1151050</v>
      </c>
      <c r="RH139" s="128">
        <f t="shared" si="310"/>
        <v>5947160</v>
      </c>
      <c r="RI139" s="128">
        <v>0</v>
      </c>
      <c r="RM139" s="128" t="s">
        <v>220</v>
      </c>
      <c r="RU139" s="130"/>
      <c r="RV139" s="130"/>
      <c r="RW139" s="130"/>
      <c r="RX139" s="130"/>
      <c r="SF139" s="128">
        <f t="shared" si="220"/>
        <v>3810187</v>
      </c>
      <c r="SG139" s="131">
        <f t="shared" si="221"/>
        <v>7297160</v>
      </c>
      <c r="SH139" s="131">
        <f t="shared" si="222"/>
        <v>7297160</v>
      </c>
      <c r="SI139" s="131">
        <f t="shared" si="223"/>
        <v>5501110</v>
      </c>
      <c r="SJ139" s="132">
        <f t="shared" si="224"/>
        <v>5406110</v>
      </c>
      <c r="SK139" s="132">
        <f t="shared" si="225"/>
        <v>0</v>
      </c>
      <c r="SL139" s="132">
        <f t="shared" si="226"/>
        <v>60000</v>
      </c>
      <c r="SM139" s="132">
        <f t="shared" si="227"/>
        <v>35000</v>
      </c>
      <c r="SN139" s="131">
        <f t="shared" si="228"/>
        <v>1796050</v>
      </c>
      <c r="SO139" s="131">
        <f t="shared" si="229"/>
        <v>14000</v>
      </c>
      <c r="SP139" s="132">
        <f t="shared" si="230"/>
        <v>0</v>
      </c>
      <c r="SQ139" s="132">
        <f t="shared" si="231"/>
        <v>14000</v>
      </c>
      <c r="SR139" s="132">
        <f t="shared" si="232"/>
        <v>0</v>
      </c>
      <c r="SS139" s="132">
        <f t="shared" si="233"/>
        <v>10000</v>
      </c>
      <c r="ST139" s="132">
        <f t="shared" si="234"/>
        <v>180000</v>
      </c>
      <c r="SU139" s="132">
        <f t="shared" si="235"/>
        <v>104500</v>
      </c>
      <c r="SV139" s="131">
        <f t="shared" si="236"/>
        <v>1297550</v>
      </c>
      <c r="SW139" s="132">
        <f t="shared" si="237"/>
        <v>90000</v>
      </c>
      <c r="SX139" s="132">
        <f t="shared" si="238"/>
        <v>180000</v>
      </c>
      <c r="SY139" s="132">
        <f t="shared" si="239"/>
        <v>501050</v>
      </c>
      <c r="SZ139" s="132">
        <f t="shared" si="240"/>
        <v>24000</v>
      </c>
      <c r="TA139" s="132">
        <f t="shared" si="241"/>
        <v>25000</v>
      </c>
      <c r="TB139" s="132">
        <f t="shared" si="242"/>
        <v>80000</v>
      </c>
      <c r="TC139" s="132">
        <f t="shared" si="243"/>
        <v>1500</v>
      </c>
      <c r="TD139" s="132">
        <f t="shared" si="244"/>
        <v>0</v>
      </c>
      <c r="TE139" s="132">
        <f t="shared" si="245"/>
        <v>0</v>
      </c>
      <c r="TF139" s="132">
        <f t="shared" si="246"/>
        <v>396000</v>
      </c>
      <c r="TG139" s="132">
        <f t="shared" si="247"/>
        <v>0</v>
      </c>
      <c r="TH139" s="132">
        <f t="shared" si="248"/>
        <v>190000</v>
      </c>
      <c r="TI139" s="1"/>
      <c r="TJ139" s="131">
        <f t="shared" si="249"/>
        <v>2500000</v>
      </c>
      <c r="TK139" s="131">
        <f t="shared" si="250"/>
        <v>2500000</v>
      </c>
      <c r="TL139" s="131">
        <f t="shared" si="251"/>
        <v>2500000</v>
      </c>
      <c r="TM139" s="132">
        <f t="shared" si="252"/>
        <v>2500000</v>
      </c>
      <c r="TN139" s="132">
        <f t="shared" si="253"/>
        <v>0</v>
      </c>
      <c r="TO139" s="132">
        <f t="shared" si="254"/>
        <v>0</v>
      </c>
      <c r="TP139" s="132">
        <f t="shared" si="255"/>
        <v>0</v>
      </c>
      <c r="TQ139" s="131">
        <f t="shared" si="256"/>
        <v>0</v>
      </c>
      <c r="TR139" s="131">
        <f t="shared" si="257"/>
        <v>0</v>
      </c>
      <c r="TS139" s="132">
        <f t="shared" si="258"/>
        <v>0</v>
      </c>
      <c r="TT139" s="132">
        <f t="shared" si="259"/>
        <v>0</v>
      </c>
      <c r="TU139" s="132">
        <f t="shared" si="260"/>
        <v>0</v>
      </c>
      <c r="TV139" s="132">
        <f t="shared" si="261"/>
        <v>0</v>
      </c>
      <c r="TW139" s="132">
        <f t="shared" si="262"/>
        <v>0</v>
      </c>
      <c r="TX139" s="132">
        <f t="shared" si="263"/>
        <v>0</v>
      </c>
      <c r="TY139" s="131">
        <f t="shared" si="264"/>
        <v>0</v>
      </c>
      <c r="TZ139" s="132">
        <f t="shared" si="265"/>
        <v>0</v>
      </c>
      <c r="UA139" s="132">
        <f t="shared" si="266"/>
        <v>0</v>
      </c>
      <c r="UB139" s="132">
        <f t="shared" si="267"/>
        <v>0</v>
      </c>
      <c r="UC139" s="132">
        <f t="shared" si="268"/>
        <v>0</v>
      </c>
      <c r="UD139" s="132">
        <f t="shared" si="269"/>
        <v>0</v>
      </c>
      <c r="UE139" s="132">
        <f t="shared" si="270"/>
        <v>0</v>
      </c>
      <c r="UF139" s="132">
        <f t="shared" si="271"/>
        <v>0</v>
      </c>
      <c r="UG139" s="132">
        <f t="shared" si="272"/>
        <v>0</v>
      </c>
      <c r="UH139" s="132">
        <f t="shared" si="273"/>
        <v>0</v>
      </c>
      <c r="UI139" s="132">
        <f t="shared" si="274"/>
        <v>0</v>
      </c>
      <c r="UJ139" s="132">
        <f t="shared" si="275"/>
        <v>0</v>
      </c>
      <c r="UK139" s="132">
        <f t="shared" si="276"/>
        <v>0</v>
      </c>
      <c r="UL139" s="132">
        <f t="shared" si="311"/>
        <v>2500000</v>
      </c>
      <c r="UM139" s="131">
        <f t="shared" si="277"/>
        <v>2500000</v>
      </c>
      <c r="UN139" s="131">
        <f t="shared" si="278"/>
        <v>2500000</v>
      </c>
      <c r="UO139" s="131">
        <f t="shared" si="279"/>
        <v>2500000</v>
      </c>
      <c r="UP139" s="132">
        <f t="shared" si="280"/>
        <v>2500000</v>
      </c>
      <c r="UQ139" s="132">
        <f t="shared" si="281"/>
        <v>0</v>
      </c>
      <c r="UR139" s="132">
        <f t="shared" si="282"/>
        <v>0</v>
      </c>
      <c r="US139" s="132">
        <f t="shared" si="283"/>
        <v>0</v>
      </c>
      <c r="UT139" s="131">
        <f t="shared" si="284"/>
        <v>0</v>
      </c>
      <c r="UU139" s="131">
        <f t="shared" si="285"/>
        <v>0</v>
      </c>
      <c r="UV139" s="132">
        <f t="shared" si="286"/>
        <v>0</v>
      </c>
      <c r="UW139" s="132">
        <f t="shared" si="287"/>
        <v>0</v>
      </c>
      <c r="UX139" s="132">
        <f t="shared" si="288"/>
        <v>0</v>
      </c>
      <c r="UY139" s="132">
        <f t="shared" si="289"/>
        <v>0</v>
      </c>
      <c r="UZ139" s="132">
        <f t="shared" si="290"/>
        <v>0</v>
      </c>
      <c r="VA139" s="132">
        <f t="shared" si="291"/>
        <v>0</v>
      </c>
      <c r="VB139" s="131">
        <f t="shared" si="292"/>
        <v>0</v>
      </c>
      <c r="VC139" s="132">
        <f t="shared" si="293"/>
        <v>0</v>
      </c>
      <c r="VD139" s="132">
        <f t="shared" si="294"/>
        <v>0</v>
      </c>
      <c r="VE139" s="132">
        <f t="shared" si="295"/>
        <v>0</v>
      </c>
      <c r="VF139" s="132">
        <f t="shared" si="296"/>
        <v>0</v>
      </c>
      <c r="VG139" s="132">
        <f t="shared" si="297"/>
        <v>0</v>
      </c>
      <c r="VH139" s="132">
        <f t="shared" si="298"/>
        <v>0</v>
      </c>
      <c r="VI139" s="132">
        <f t="shared" si="299"/>
        <v>0</v>
      </c>
      <c r="VJ139" s="132">
        <f t="shared" si="300"/>
        <v>0</v>
      </c>
      <c r="VK139" s="132">
        <f t="shared" si="301"/>
        <v>0</v>
      </c>
      <c r="VL139" s="132">
        <f t="shared" si="302"/>
        <v>0</v>
      </c>
      <c r="VM139" s="132">
        <f t="shared" si="303"/>
        <v>0</v>
      </c>
      <c r="VN139" s="132">
        <f t="shared" si="304"/>
        <v>0</v>
      </c>
      <c r="VP139" s="845" t="str">
        <f>IFERROR(HLOOKUP(F139,'Hodnocení '!$C$1:$JH$5,2,FALSE),0)</f>
        <v>Pečovatelská služba Vrchlabí</v>
      </c>
      <c r="VQ139" s="838"/>
      <c r="VR139" s="845" t="str">
        <f t="shared" si="312"/>
        <v>Obec</v>
      </c>
      <c r="VS139" s="845" t="str">
        <f>IFERROR(HLOOKUP(F139,'Hodnocení '!$C$1:$JH$5,5,FALSE),0)</f>
        <v>Obce</v>
      </c>
      <c r="VT139" s="838" t="str">
        <f t="shared" si="313"/>
        <v>Obec</v>
      </c>
      <c r="VU139" s="838">
        <f t="shared" si="314"/>
        <v>0</v>
      </c>
      <c r="VV139" s="838">
        <f t="shared" si="315"/>
        <v>1350000</v>
      </c>
      <c r="VW139" s="838">
        <f t="shared" si="316"/>
        <v>0</v>
      </c>
      <c r="VX139" s="838"/>
      <c r="VY139" s="838">
        <f t="shared" si="216"/>
        <v>0</v>
      </c>
      <c r="VZ139" s="838">
        <f t="shared" si="217"/>
        <v>2500000</v>
      </c>
      <c r="WA139" s="846">
        <f>IFERROR(HLOOKUP($F139,'Hodnocení '!$C$1:$JH$9,9,FALSE),0)</f>
        <v>2500000</v>
      </c>
      <c r="WB139" s="846">
        <f>IF(IFERROR(HLOOKUP($F139,'Hodnocení '!$C$1:$JH$13,13,FALSE),0)&gt;WA139,WA139,IFERROR(HLOOKUP($F139,'Hodnocení '!$C$1:$JH$13,13,FALSE),0))</f>
        <v>2500000</v>
      </c>
      <c r="WC139" s="846">
        <f>IFERROR(HLOOKUP($F139,'Hodnocení '!$C$1:$JH$155,155,FALSE),0)</f>
        <v>1243940</v>
      </c>
      <c r="WD139" s="845"/>
      <c r="WE139" s="845"/>
      <c r="WF139" s="845" t="str">
        <f t="shared" si="305"/>
        <v>ANO</v>
      </c>
      <c r="WG139" s="849" t="str">
        <f t="shared" si="218"/>
        <v>Podpora služby je vyjádřena zařazením do sítě sociálních služeb v KHK a řešením financování služby</v>
      </c>
      <c r="WH139"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39" s="849" t="str">
        <f t="shared" si="218"/>
        <v>Návrh dotace je výsledkem projednání s ostatními zadavateli v rámci sítě služeb KHK</v>
      </c>
      <c r="WJ139" s="849" t="str">
        <f t="shared" si="218"/>
        <v>Bez komentáře</v>
      </c>
      <c r="WK139" s="31">
        <f t="shared" si="306"/>
        <v>0</v>
      </c>
      <c r="WL139" s="850">
        <f t="shared" si="307"/>
        <v>0</v>
      </c>
      <c r="WM139" s="849" t="str">
        <f t="shared" si="308"/>
        <v>V rámci sítě KHK se dlouhodobě řeší otázka navyšování úhrad a průběžně se monitoruje s vazbou na vykrytí vyrovnávací platby</v>
      </c>
      <c r="WN139" s="849">
        <f t="shared" si="309"/>
        <v>0</v>
      </c>
      <c r="WO139" s="849" t="str">
        <f t="shared" si="219"/>
        <v>bez komentáře</v>
      </c>
      <c r="WP139" s="849" t="str">
        <f t="shared" si="219"/>
        <v>bez komentáře</v>
      </c>
      <c r="WQ139" s="849" t="str">
        <f t="shared" si="219"/>
        <v>Konečná výše dotace z rozpočtu KHK bude řešena v návaznosti na řešení podílů jednotlivých zadavatelů.</v>
      </c>
      <c r="WR139" s="849" t="str">
        <f t="shared" si="219"/>
        <v>Konečná výše podpory ze stran obcí bude řešena v součinnosti s jednotlivými zadavateli v průběhu roku.</v>
      </c>
      <c r="WS139" s="849" t="str">
        <f t="shared" si="219"/>
        <v>bez komentáře</v>
      </c>
      <c r="WT139" s="849" t="str">
        <f t="shared" si="219"/>
        <v>bez komentáře</v>
      </c>
      <c r="WU139" s="845"/>
    </row>
    <row r="140" spans="1:619" s="128" customFormat="1" x14ac:dyDescent="0.25">
      <c r="A140" s="128" t="str">
        <f>VLOOKUP(F140,'Výpočet VP 2020'!$D$324:$I$588,6,FALSE)</f>
        <v>Je v síti</v>
      </c>
      <c r="B140" s="128" t="s">
        <v>1526</v>
      </c>
      <c r="C140" s="128">
        <v>190217</v>
      </c>
      <c r="D140" s="128" t="s">
        <v>1888</v>
      </c>
      <c r="E140" s="128" t="s">
        <v>259</v>
      </c>
      <c r="F140" s="128">
        <v>9328941</v>
      </c>
      <c r="G140" s="128" t="s">
        <v>837</v>
      </c>
      <c r="H140" s="128" t="s">
        <v>218</v>
      </c>
      <c r="I140" s="128" t="s">
        <v>1364</v>
      </c>
      <c r="J140" s="129">
        <v>39995</v>
      </c>
      <c r="L140" s="128" t="s">
        <v>220</v>
      </c>
      <c r="M140" s="128" t="s">
        <v>537</v>
      </c>
      <c r="N140" s="128">
        <v>9</v>
      </c>
      <c r="P140" s="128">
        <v>26</v>
      </c>
      <c r="Q140" s="128">
        <v>38</v>
      </c>
      <c r="R140" s="128">
        <v>9</v>
      </c>
      <c r="W140" s="128" t="s">
        <v>1889</v>
      </c>
      <c r="BL140" s="128" t="s">
        <v>968</v>
      </c>
      <c r="BM140" s="128" t="s">
        <v>325</v>
      </c>
      <c r="BN140" s="128" t="s">
        <v>364</v>
      </c>
      <c r="DA140" s="128">
        <v>0</v>
      </c>
      <c r="DB140" s="128">
        <v>0</v>
      </c>
      <c r="DC140" s="128">
        <v>0</v>
      </c>
      <c r="DD140" s="128">
        <v>0</v>
      </c>
      <c r="DE140" s="128">
        <v>0</v>
      </c>
      <c r="DF140" s="128">
        <v>0</v>
      </c>
      <c r="DG140" s="128">
        <v>0</v>
      </c>
      <c r="DH140" s="128">
        <v>5</v>
      </c>
      <c r="DI140" s="128">
        <v>4</v>
      </c>
      <c r="DJ140" s="128">
        <v>0</v>
      </c>
      <c r="DK140" s="128">
        <v>0</v>
      </c>
      <c r="DL140" s="128">
        <v>0</v>
      </c>
      <c r="DM140" s="128">
        <v>5</v>
      </c>
      <c r="DN140" s="128">
        <v>4</v>
      </c>
      <c r="DO140" s="128">
        <v>0</v>
      </c>
      <c r="DP140" s="128">
        <v>0</v>
      </c>
      <c r="DQ140" s="128">
        <v>9</v>
      </c>
      <c r="DR140" s="128">
        <v>9</v>
      </c>
      <c r="DS140" s="128">
        <v>0</v>
      </c>
      <c r="DT140" s="128">
        <v>0</v>
      </c>
      <c r="DU140" s="128">
        <v>0</v>
      </c>
      <c r="DV140" s="128">
        <v>0</v>
      </c>
      <c r="DW140" s="128">
        <v>0</v>
      </c>
      <c r="DX140" s="128">
        <v>0</v>
      </c>
      <c r="DY140" s="128">
        <v>0</v>
      </c>
      <c r="DZ140" s="128">
        <v>5</v>
      </c>
      <c r="EA140" s="128">
        <v>4</v>
      </c>
      <c r="EB140" s="128">
        <v>0</v>
      </c>
      <c r="EC140" s="128">
        <v>0</v>
      </c>
      <c r="ED140" s="128">
        <v>0</v>
      </c>
      <c r="EE140" s="128">
        <v>5</v>
      </c>
      <c r="EF140" s="128">
        <v>4</v>
      </c>
      <c r="EG140" s="128">
        <v>0</v>
      </c>
      <c r="EH140" s="128">
        <v>0</v>
      </c>
      <c r="EI140" s="128">
        <v>9</v>
      </c>
      <c r="EJ140" s="128">
        <v>9</v>
      </c>
      <c r="EK140" s="128">
        <v>1</v>
      </c>
      <c r="EL140" s="128">
        <v>0.13</v>
      </c>
      <c r="EM140" s="128">
        <v>0.13</v>
      </c>
      <c r="EN140" s="128">
        <v>310000</v>
      </c>
      <c r="EO140" s="128">
        <v>70000</v>
      </c>
      <c r="EP140" s="128">
        <v>7</v>
      </c>
      <c r="EQ140" s="128">
        <v>4.5</v>
      </c>
      <c r="ER140" s="128">
        <v>4.5</v>
      </c>
      <c r="ES140" s="128">
        <v>1700000</v>
      </c>
      <c r="ET140" s="128">
        <v>1200000</v>
      </c>
      <c r="EU140" s="128">
        <v>3</v>
      </c>
      <c r="EV140" s="128">
        <v>2.4</v>
      </c>
      <c r="EW140" s="128">
        <v>0</v>
      </c>
      <c r="EX140" s="128">
        <v>1800000</v>
      </c>
      <c r="EY140" s="128">
        <v>0</v>
      </c>
      <c r="FO140" s="128">
        <v>1</v>
      </c>
      <c r="FP140" s="128">
        <v>1</v>
      </c>
      <c r="FQ140" s="128">
        <v>0</v>
      </c>
      <c r="FR140" s="128">
        <v>200000</v>
      </c>
      <c r="FS140" s="128">
        <v>0</v>
      </c>
      <c r="KG140" s="128">
        <v>0</v>
      </c>
      <c r="KI140" s="128">
        <v>7.03</v>
      </c>
      <c r="KJ140" s="128">
        <v>0</v>
      </c>
      <c r="KK140" s="128">
        <v>0</v>
      </c>
      <c r="KL140" s="128">
        <v>0</v>
      </c>
      <c r="KM140" s="128">
        <v>7.03</v>
      </c>
      <c r="KN140" s="128">
        <v>4010000</v>
      </c>
      <c r="KO140" s="128">
        <v>1270000</v>
      </c>
      <c r="KP140" s="128">
        <v>1270000</v>
      </c>
      <c r="KT140" s="128">
        <v>0</v>
      </c>
      <c r="KU140" s="128">
        <v>0</v>
      </c>
      <c r="KV140" s="128">
        <v>0</v>
      </c>
      <c r="KZ140" s="128">
        <v>0</v>
      </c>
      <c r="LA140" s="128">
        <v>0</v>
      </c>
      <c r="LB140" s="128">
        <v>0</v>
      </c>
      <c r="LF140" s="128">
        <v>0</v>
      </c>
      <c r="LG140" s="128">
        <v>0</v>
      </c>
      <c r="LH140" s="128">
        <v>0</v>
      </c>
      <c r="LL140" s="128">
        <v>0</v>
      </c>
      <c r="LM140" s="128">
        <v>0</v>
      </c>
      <c r="LN140" s="128">
        <v>0</v>
      </c>
      <c r="LR140" s="128">
        <v>0</v>
      </c>
      <c r="LS140" s="128">
        <v>0</v>
      </c>
      <c r="LT140" s="128">
        <v>0</v>
      </c>
      <c r="LX140" s="128">
        <v>200000</v>
      </c>
      <c r="LY140" s="128">
        <v>0</v>
      </c>
      <c r="LZ140" s="128">
        <v>0</v>
      </c>
      <c r="MD140" s="128">
        <v>7000</v>
      </c>
      <c r="ME140" s="128">
        <v>0</v>
      </c>
      <c r="MF140" s="128">
        <v>0</v>
      </c>
      <c r="MJ140" s="128">
        <v>0</v>
      </c>
      <c r="MK140" s="128">
        <v>0</v>
      </c>
      <c r="ML140" s="128">
        <v>0</v>
      </c>
      <c r="MP140" s="128">
        <v>0</v>
      </c>
      <c r="MQ140" s="128">
        <v>0</v>
      </c>
      <c r="MR140" s="128">
        <v>0</v>
      </c>
      <c r="MV140" s="128">
        <v>180000</v>
      </c>
      <c r="MW140" s="128">
        <v>0</v>
      </c>
      <c r="MX140" s="128">
        <v>0</v>
      </c>
      <c r="NB140" s="128">
        <v>7000</v>
      </c>
      <c r="NC140" s="128">
        <v>0</v>
      </c>
      <c r="ND140" s="128">
        <v>0</v>
      </c>
      <c r="NH140" s="128">
        <v>0</v>
      </c>
      <c r="NI140" s="128">
        <v>0</v>
      </c>
      <c r="NJ140" s="128">
        <v>0</v>
      </c>
      <c r="NN140" s="128">
        <v>0</v>
      </c>
      <c r="NO140" s="128">
        <v>0</v>
      </c>
      <c r="NP140" s="128">
        <v>0</v>
      </c>
      <c r="NT140" s="128">
        <v>0</v>
      </c>
      <c r="NU140" s="128">
        <v>0</v>
      </c>
      <c r="NV140" s="128">
        <v>0</v>
      </c>
      <c r="NZ140" s="128">
        <v>80000</v>
      </c>
      <c r="OA140" s="128">
        <v>0</v>
      </c>
      <c r="OB140" s="128">
        <v>0</v>
      </c>
      <c r="OF140" s="128">
        <v>0</v>
      </c>
      <c r="OG140" s="128">
        <v>0</v>
      </c>
      <c r="OH140" s="128">
        <v>0</v>
      </c>
      <c r="OL140" s="128">
        <v>0</v>
      </c>
      <c r="OM140" s="128">
        <v>0</v>
      </c>
      <c r="ON140" s="128">
        <v>0</v>
      </c>
      <c r="OR140" s="128">
        <v>0</v>
      </c>
      <c r="OS140" s="128">
        <v>0</v>
      </c>
      <c r="OT140" s="128">
        <v>0</v>
      </c>
      <c r="OX140" s="128">
        <v>0</v>
      </c>
      <c r="OY140" s="128">
        <v>0</v>
      </c>
      <c r="OZ140" s="128">
        <v>0</v>
      </c>
      <c r="PD140" s="128">
        <v>0</v>
      </c>
      <c r="PE140" s="128">
        <v>0</v>
      </c>
      <c r="PF140" s="128">
        <v>0</v>
      </c>
      <c r="PJ140" s="128">
        <v>150000</v>
      </c>
      <c r="PK140" s="128">
        <v>0</v>
      </c>
      <c r="PL140" s="128">
        <v>0</v>
      </c>
      <c r="PP140" s="128">
        <v>4634000</v>
      </c>
      <c r="PQ140" s="128">
        <v>1270000</v>
      </c>
      <c r="PR140" s="128">
        <v>1270000</v>
      </c>
      <c r="PS140" s="128">
        <v>100</v>
      </c>
      <c r="PT140" s="128">
        <v>100</v>
      </c>
      <c r="PX140" s="128">
        <v>1160000</v>
      </c>
      <c r="PY140" s="128">
        <v>1249077</v>
      </c>
      <c r="PZ140" s="128">
        <v>1270000</v>
      </c>
      <c r="QA140" s="128">
        <v>1072948</v>
      </c>
      <c r="QB140" s="128">
        <v>1100000</v>
      </c>
      <c r="QC140" s="128">
        <v>1100000</v>
      </c>
      <c r="QD140" s="128">
        <v>100000</v>
      </c>
      <c r="QE140" s="128">
        <v>100000</v>
      </c>
      <c r="QF140" s="128">
        <v>100000</v>
      </c>
      <c r="QG140" s="128">
        <v>150000</v>
      </c>
      <c r="QH140" s="128">
        <v>219023</v>
      </c>
      <c r="QI140" s="128">
        <v>0</v>
      </c>
      <c r="QJ140" s="128">
        <v>966337</v>
      </c>
      <c r="QK140" s="128">
        <v>950000</v>
      </c>
      <c r="QL140" s="128">
        <v>980000</v>
      </c>
      <c r="QN140" s="128">
        <v>1017023</v>
      </c>
      <c r="QO140" s="128">
        <v>1100000</v>
      </c>
      <c r="QP140" s="128">
        <v>1184000</v>
      </c>
      <c r="RH140" s="128">
        <f t="shared" si="310"/>
        <v>2470000</v>
      </c>
      <c r="RI140" s="128">
        <v>0</v>
      </c>
      <c r="RM140" s="128" t="s">
        <v>220</v>
      </c>
      <c r="RU140" s="130"/>
      <c r="RV140" s="130"/>
      <c r="RW140" s="130"/>
      <c r="RX140" s="130"/>
      <c r="SF140" s="128">
        <f t="shared" si="220"/>
        <v>9328941</v>
      </c>
      <c r="SG140" s="131">
        <f t="shared" si="221"/>
        <v>4634000</v>
      </c>
      <c r="SH140" s="131">
        <f t="shared" si="222"/>
        <v>4634000</v>
      </c>
      <c r="SI140" s="131">
        <f t="shared" si="223"/>
        <v>4010000</v>
      </c>
      <c r="SJ140" s="132">
        <f t="shared" si="224"/>
        <v>4010000</v>
      </c>
      <c r="SK140" s="132">
        <f t="shared" si="225"/>
        <v>0</v>
      </c>
      <c r="SL140" s="132">
        <f t="shared" si="226"/>
        <v>0</v>
      </c>
      <c r="SM140" s="132">
        <f t="shared" si="227"/>
        <v>0</v>
      </c>
      <c r="SN140" s="131">
        <f t="shared" si="228"/>
        <v>624000</v>
      </c>
      <c r="SO140" s="131">
        <f t="shared" si="229"/>
        <v>0</v>
      </c>
      <c r="SP140" s="132">
        <f t="shared" si="230"/>
        <v>0</v>
      </c>
      <c r="SQ140" s="132">
        <f t="shared" si="231"/>
        <v>0</v>
      </c>
      <c r="SR140" s="132">
        <f t="shared" si="232"/>
        <v>200000</v>
      </c>
      <c r="SS140" s="132">
        <f t="shared" si="233"/>
        <v>7000</v>
      </c>
      <c r="ST140" s="132">
        <f t="shared" si="234"/>
        <v>0</v>
      </c>
      <c r="SU140" s="132">
        <f t="shared" si="235"/>
        <v>0</v>
      </c>
      <c r="SV140" s="131">
        <f t="shared" si="236"/>
        <v>267000</v>
      </c>
      <c r="SW140" s="132">
        <f t="shared" si="237"/>
        <v>180000</v>
      </c>
      <c r="SX140" s="132">
        <f t="shared" si="238"/>
        <v>7000</v>
      </c>
      <c r="SY140" s="132">
        <f t="shared" si="239"/>
        <v>0</v>
      </c>
      <c r="SZ140" s="132">
        <f t="shared" si="240"/>
        <v>0</v>
      </c>
      <c r="TA140" s="132">
        <f t="shared" si="241"/>
        <v>0</v>
      </c>
      <c r="TB140" s="132">
        <f t="shared" si="242"/>
        <v>80000</v>
      </c>
      <c r="TC140" s="132">
        <f t="shared" si="243"/>
        <v>0</v>
      </c>
      <c r="TD140" s="132">
        <f t="shared" si="244"/>
        <v>0</v>
      </c>
      <c r="TE140" s="132">
        <f t="shared" si="245"/>
        <v>0</v>
      </c>
      <c r="TF140" s="132">
        <f t="shared" si="246"/>
        <v>0</v>
      </c>
      <c r="TG140" s="132">
        <f t="shared" si="247"/>
        <v>0</v>
      </c>
      <c r="TH140" s="132">
        <f t="shared" si="248"/>
        <v>150000</v>
      </c>
      <c r="TI140" s="1"/>
      <c r="TJ140" s="131">
        <f t="shared" si="249"/>
        <v>1270000</v>
      </c>
      <c r="TK140" s="131">
        <f t="shared" si="250"/>
        <v>1270000</v>
      </c>
      <c r="TL140" s="131">
        <f t="shared" si="251"/>
        <v>1270000</v>
      </c>
      <c r="TM140" s="132">
        <f t="shared" si="252"/>
        <v>1270000</v>
      </c>
      <c r="TN140" s="132">
        <f t="shared" si="253"/>
        <v>0</v>
      </c>
      <c r="TO140" s="132">
        <f t="shared" si="254"/>
        <v>0</v>
      </c>
      <c r="TP140" s="132">
        <f t="shared" si="255"/>
        <v>0</v>
      </c>
      <c r="TQ140" s="131">
        <f t="shared" si="256"/>
        <v>0</v>
      </c>
      <c r="TR140" s="131">
        <f t="shared" si="257"/>
        <v>0</v>
      </c>
      <c r="TS140" s="132">
        <f t="shared" si="258"/>
        <v>0</v>
      </c>
      <c r="TT140" s="132">
        <f t="shared" si="259"/>
        <v>0</v>
      </c>
      <c r="TU140" s="132">
        <f t="shared" si="260"/>
        <v>0</v>
      </c>
      <c r="TV140" s="132">
        <f t="shared" si="261"/>
        <v>0</v>
      </c>
      <c r="TW140" s="132">
        <f t="shared" si="262"/>
        <v>0</v>
      </c>
      <c r="TX140" s="132">
        <f t="shared" si="263"/>
        <v>0</v>
      </c>
      <c r="TY140" s="131">
        <f t="shared" si="264"/>
        <v>0</v>
      </c>
      <c r="TZ140" s="132">
        <f t="shared" si="265"/>
        <v>0</v>
      </c>
      <c r="UA140" s="132">
        <f t="shared" si="266"/>
        <v>0</v>
      </c>
      <c r="UB140" s="132">
        <f t="shared" si="267"/>
        <v>0</v>
      </c>
      <c r="UC140" s="132">
        <f t="shared" si="268"/>
        <v>0</v>
      </c>
      <c r="UD140" s="132">
        <f t="shared" si="269"/>
        <v>0</v>
      </c>
      <c r="UE140" s="132">
        <f t="shared" si="270"/>
        <v>0</v>
      </c>
      <c r="UF140" s="132">
        <f t="shared" si="271"/>
        <v>0</v>
      </c>
      <c r="UG140" s="132">
        <f t="shared" si="272"/>
        <v>0</v>
      </c>
      <c r="UH140" s="132">
        <f t="shared" si="273"/>
        <v>0</v>
      </c>
      <c r="UI140" s="132">
        <f t="shared" si="274"/>
        <v>0</v>
      </c>
      <c r="UJ140" s="132">
        <f t="shared" si="275"/>
        <v>0</v>
      </c>
      <c r="UK140" s="132">
        <f t="shared" si="276"/>
        <v>0</v>
      </c>
      <c r="UL140" s="132">
        <f t="shared" si="311"/>
        <v>1270000</v>
      </c>
      <c r="UM140" s="131">
        <f t="shared" si="277"/>
        <v>1270000</v>
      </c>
      <c r="UN140" s="131">
        <f t="shared" si="278"/>
        <v>1270000</v>
      </c>
      <c r="UO140" s="131">
        <f t="shared" si="279"/>
        <v>1270000</v>
      </c>
      <c r="UP140" s="132">
        <f t="shared" si="280"/>
        <v>1270000</v>
      </c>
      <c r="UQ140" s="132">
        <f t="shared" si="281"/>
        <v>0</v>
      </c>
      <c r="UR140" s="132">
        <f t="shared" si="282"/>
        <v>0</v>
      </c>
      <c r="US140" s="132">
        <f t="shared" si="283"/>
        <v>0</v>
      </c>
      <c r="UT140" s="131">
        <f t="shared" si="284"/>
        <v>0</v>
      </c>
      <c r="UU140" s="131">
        <f t="shared" si="285"/>
        <v>0</v>
      </c>
      <c r="UV140" s="132">
        <f t="shared" si="286"/>
        <v>0</v>
      </c>
      <c r="UW140" s="132">
        <f t="shared" si="287"/>
        <v>0</v>
      </c>
      <c r="UX140" s="132">
        <f t="shared" si="288"/>
        <v>0</v>
      </c>
      <c r="UY140" s="132">
        <f t="shared" si="289"/>
        <v>0</v>
      </c>
      <c r="UZ140" s="132">
        <f t="shared" si="290"/>
        <v>0</v>
      </c>
      <c r="VA140" s="132">
        <f t="shared" si="291"/>
        <v>0</v>
      </c>
      <c r="VB140" s="131">
        <f t="shared" si="292"/>
        <v>0</v>
      </c>
      <c r="VC140" s="132">
        <f t="shared" si="293"/>
        <v>0</v>
      </c>
      <c r="VD140" s="132">
        <f t="shared" si="294"/>
        <v>0</v>
      </c>
      <c r="VE140" s="132">
        <f t="shared" si="295"/>
        <v>0</v>
      </c>
      <c r="VF140" s="132">
        <f t="shared" si="296"/>
        <v>0</v>
      </c>
      <c r="VG140" s="132">
        <f t="shared" si="297"/>
        <v>0</v>
      </c>
      <c r="VH140" s="132">
        <f t="shared" si="298"/>
        <v>0</v>
      </c>
      <c r="VI140" s="132">
        <f t="shared" si="299"/>
        <v>0</v>
      </c>
      <c r="VJ140" s="132">
        <f t="shared" si="300"/>
        <v>0</v>
      </c>
      <c r="VK140" s="132">
        <f t="shared" si="301"/>
        <v>0</v>
      </c>
      <c r="VL140" s="132">
        <f t="shared" si="302"/>
        <v>0</v>
      </c>
      <c r="VM140" s="132">
        <f t="shared" si="303"/>
        <v>0</v>
      </c>
      <c r="VN140" s="132">
        <f t="shared" si="304"/>
        <v>0</v>
      </c>
      <c r="VP140" s="845" t="str">
        <f>IFERROR(HLOOKUP(F140,'Hodnocení '!$C$1:$JH$5,2,FALSE),0)</f>
        <v>Levitovo centrum následné péče</v>
      </c>
      <c r="VQ140" s="838"/>
      <c r="VR140" s="845" t="str">
        <f t="shared" si="312"/>
        <v>Příspěvková organizace zřízená územním samosprávným celkem</v>
      </c>
      <c r="VS140" s="845" t="str">
        <f>IFERROR(HLOOKUP(F140,'Hodnocení '!$C$1:$JH$5,5,FALSE),0)</f>
        <v>NZO</v>
      </c>
      <c r="VT140" s="838">
        <f t="shared" si="313"/>
        <v>0</v>
      </c>
      <c r="VU140" s="838">
        <f t="shared" si="314"/>
        <v>0</v>
      </c>
      <c r="VV140" s="838">
        <f t="shared" si="315"/>
        <v>980000</v>
      </c>
      <c r="VW140" s="838">
        <f t="shared" si="316"/>
        <v>1184000</v>
      </c>
      <c r="VX140" s="838"/>
      <c r="VY140" s="838">
        <f t="shared" si="216"/>
        <v>0</v>
      </c>
      <c r="VZ140" s="838">
        <f t="shared" si="217"/>
        <v>1270000</v>
      </c>
      <c r="WA140" s="846">
        <f>IFERROR(HLOOKUP($F140,'Hodnocení '!$C$1:$JH$9,9,FALSE),0)</f>
        <v>1270000</v>
      </c>
      <c r="WB140" s="846">
        <f>IF(IFERROR(HLOOKUP($F140,'Hodnocení '!$C$1:$JH$13,13,FALSE),0)&gt;WA140,WA140,IFERROR(HLOOKUP($F140,'Hodnocení '!$C$1:$JH$13,13,FALSE),0))</f>
        <v>1270000</v>
      </c>
      <c r="WC140" s="846">
        <f>IFERROR(HLOOKUP($F140,'Hodnocení '!$C$1:$JH$155,155,FALSE),0)</f>
        <v>1270000</v>
      </c>
      <c r="WD140" s="845"/>
      <c r="WE140" s="845"/>
      <c r="WF140" s="845" t="str">
        <f t="shared" si="305"/>
        <v>ANO</v>
      </c>
      <c r="WG140" s="849" t="str">
        <f t="shared" si="218"/>
        <v>Podpora služby je vyjádřena zařazením do sítě sociálních služeb v KHK a řešením financování služby</v>
      </c>
      <c r="WH140"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40" s="849" t="str">
        <f t="shared" si="218"/>
        <v>Návrh dotace je výsledkem projednání s ostatními zadavateli v rámci sítě služeb KHK</v>
      </c>
      <c r="WJ140" s="849" t="str">
        <f t="shared" si="218"/>
        <v>Bez komentáře</v>
      </c>
      <c r="WK140" s="31">
        <f t="shared" si="306"/>
        <v>0</v>
      </c>
      <c r="WL140" s="850">
        <f t="shared" si="307"/>
        <v>0</v>
      </c>
      <c r="WM140" s="849" t="str">
        <f t="shared" si="308"/>
        <v>V rámci sítě KHK se dlouhodobě řeší otázka navyšování úhrad a průběžně se monitoruje s vazbou na vykrytí vyrovnávací platby</v>
      </c>
      <c r="WN140" s="849" t="str">
        <f t="shared" si="309"/>
        <v>Otázka výběru od zdravotních pojišťoven je předmětem procesu, který probíhá ve formě jednání se ZP a organizacemi</v>
      </c>
      <c r="WO140" s="849" t="str">
        <f t="shared" si="219"/>
        <v>bez komentáře</v>
      </c>
      <c r="WP140" s="849" t="str">
        <f t="shared" si="219"/>
        <v>bez komentáře</v>
      </c>
      <c r="WQ140" s="849" t="str">
        <f t="shared" si="219"/>
        <v>Konečná výše dotace z rozpočtu KHK bude řešena v návaznosti na řešení podílů jednotlivých zadavatelů.</v>
      </c>
      <c r="WR140" s="849" t="str">
        <f t="shared" si="219"/>
        <v>Konečná výše podpory ze stran obcí bude řešena v součinnosti s jednotlivými zadavateli v průběhu roku.</v>
      </c>
      <c r="WS140" s="849" t="str">
        <f t="shared" si="219"/>
        <v>bez komentáře</v>
      </c>
      <c r="WT140" s="849" t="str">
        <f t="shared" si="219"/>
        <v>bez komentáře</v>
      </c>
      <c r="WU140" s="845"/>
    </row>
    <row r="141" spans="1:619" s="128" customFormat="1" x14ac:dyDescent="0.25">
      <c r="A141" s="128" t="str">
        <f>VLOOKUP(F141,'Výpočet VP 2020'!$D$324:$I$588,6,FALSE)</f>
        <v>Je v síti</v>
      </c>
      <c r="B141" s="128" t="s">
        <v>678</v>
      </c>
      <c r="C141" s="128">
        <v>70947589</v>
      </c>
      <c r="D141" s="128" t="s">
        <v>679</v>
      </c>
      <c r="E141" s="128" t="s">
        <v>259</v>
      </c>
      <c r="F141" s="128">
        <v>1817339</v>
      </c>
      <c r="G141" s="128" t="s">
        <v>348</v>
      </c>
      <c r="H141" s="128" t="s">
        <v>218</v>
      </c>
      <c r="I141" s="128" t="s">
        <v>680</v>
      </c>
      <c r="J141" s="129">
        <v>39083</v>
      </c>
      <c r="L141" s="128" t="s">
        <v>220</v>
      </c>
      <c r="M141" s="128" t="s">
        <v>262</v>
      </c>
      <c r="N141" s="128">
        <v>58</v>
      </c>
      <c r="P141" s="128">
        <v>57</v>
      </c>
      <c r="Q141" s="128">
        <v>58</v>
      </c>
      <c r="R141" s="128">
        <v>58</v>
      </c>
      <c r="BL141" s="128" t="s">
        <v>351</v>
      </c>
      <c r="BM141" s="128" t="s">
        <v>325</v>
      </c>
      <c r="BN141" s="128" t="s">
        <v>352</v>
      </c>
      <c r="DA141" s="128">
        <v>0</v>
      </c>
      <c r="DB141" s="128">
        <v>0</v>
      </c>
      <c r="DC141" s="128">
        <v>0</v>
      </c>
      <c r="DD141" s="128">
        <v>0</v>
      </c>
      <c r="DE141" s="128">
        <v>0</v>
      </c>
      <c r="DF141" s="128">
        <v>10</v>
      </c>
      <c r="DG141" s="128">
        <v>24</v>
      </c>
      <c r="DH141" s="128">
        <v>13</v>
      </c>
      <c r="DI141" s="128">
        <v>4</v>
      </c>
      <c r="DJ141" s="128">
        <v>5</v>
      </c>
      <c r="DK141" s="128">
        <v>10</v>
      </c>
      <c r="DL141" s="128">
        <v>24</v>
      </c>
      <c r="DM141" s="128">
        <v>13</v>
      </c>
      <c r="DN141" s="128">
        <v>4</v>
      </c>
      <c r="DO141" s="128">
        <v>5</v>
      </c>
      <c r="DP141" s="128">
        <v>0</v>
      </c>
      <c r="DQ141" s="128">
        <v>56</v>
      </c>
      <c r="DR141" s="128">
        <v>56</v>
      </c>
      <c r="DS141" s="128">
        <v>0</v>
      </c>
      <c r="DT141" s="128">
        <v>0</v>
      </c>
      <c r="DU141" s="128">
        <v>0</v>
      </c>
      <c r="DV141" s="128">
        <v>0</v>
      </c>
      <c r="DW141" s="128">
        <v>0</v>
      </c>
      <c r="DX141" s="128">
        <v>8</v>
      </c>
      <c r="DY141" s="128">
        <v>26</v>
      </c>
      <c r="DZ141" s="128">
        <v>15</v>
      </c>
      <c r="EA141" s="128">
        <v>6</v>
      </c>
      <c r="EB141" s="128">
        <v>3</v>
      </c>
      <c r="EC141" s="128">
        <v>8</v>
      </c>
      <c r="ED141" s="128">
        <v>26</v>
      </c>
      <c r="EE141" s="128">
        <v>15</v>
      </c>
      <c r="EF141" s="128">
        <v>6</v>
      </c>
      <c r="EG141" s="128">
        <v>3</v>
      </c>
      <c r="EH141" s="128">
        <v>0</v>
      </c>
      <c r="EI141" s="128">
        <v>58</v>
      </c>
      <c r="EJ141" s="128">
        <v>58</v>
      </c>
      <c r="EK141" s="128">
        <v>1</v>
      </c>
      <c r="EL141" s="128">
        <v>0.9</v>
      </c>
      <c r="EM141" s="128">
        <v>0.9</v>
      </c>
      <c r="EN141" s="128">
        <v>523154</v>
      </c>
      <c r="EO141" s="128">
        <v>261505</v>
      </c>
      <c r="EP141" s="128">
        <v>12</v>
      </c>
      <c r="EQ141" s="128">
        <v>10.8</v>
      </c>
      <c r="ER141" s="128">
        <v>10.34</v>
      </c>
      <c r="ES141" s="128">
        <v>5303479</v>
      </c>
      <c r="ET141" s="128">
        <v>2651008</v>
      </c>
      <c r="EU141" s="128">
        <v>7</v>
      </c>
      <c r="EV141" s="128">
        <v>6.3</v>
      </c>
      <c r="EW141" s="128">
        <v>6.3</v>
      </c>
      <c r="EX141" s="128">
        <v>4345738</v>
      </c>
      <c r="EY141" s="128">
        <v>0</v>
      </c>
      <c r="FO141" s="128">
        <v>8</v>
      </c>
      <c r="FP141" s="128">
        <v>5.85</v>
      </c>
      <c r="FQ141" s="128">
        <v>5.85</v>
      </c>
      <c r="FR141" s="128">
        <v>2381629</v>
      </c>
      <c r="FS141" s="128">
        <v>1190487</v>
      </c>
      <c r="KG141" s="128">
        <v>0</v>
      </c>
      <c r="KI141" s="128">
        <v>18</v>
      </c>
      <c r="KJ141" s="128">
        <v>0</v>
      </c>
      <c r="KK141" s="128">
        <v>0</v>
      </c>
      <c r="KL141" s="128">
        <v>0</v>
      </c>
      <c r="KM141" s="128">
        <v>18</v>
      </c>
      <c r="KN141" s="128">
        <v>12554000</v>
      </c>
      <c r="KO141" s="128">
        <v>4103000</v>
      </c>
      <c r="KP141" s="128">
        <v>4103000</v>
      </c>
      <c r="KT141" s="128">
        <v>0</v>
      </c>
      <c r="KU141" s="128">
        <v>0</v>
      </c>
      <c r="KV141" s="128">
        <v>0</v>
      </c>
      <c r="KZ141" s="128">
        <v>0</v>
      </c>
      <c r="LA141" s="128">
        <v>0</v>
      </c>
      <c r="LB141" s="128">
        <v>0</v>
      </c>
      <c r="LF141" s="128">
        <v>189000</v>
      </c>
      <c r="LG141" s="128">
        <v>0</v>
      </c>
      <c r="LH141" s="128">
        <v>0</v>
      </c>
      <c r="LL141" s="128">
        <v>0</v>
      </c>
      <c r="LM141" s="128">
        <v>0</v>
      </c>
      <c r="LN141" s="128">
        <v>0</v>
      </c>
      <c r="LR141" s="128">
        <v>140000</v>
      </c>
      <c r="LS141" s="128">
        <v>0</v>
      </c>
      <c r="LT141" s="128">
        <v>0</v>
      </c>
      <c r="LX141" s="128">
        <v>0</v>
      </c>
      <c r="LY141" s="128">
        <v>0</v>
      </c>
      <c r="LZ141" s="128">
        <v>0</v>
      </c>
      <c r="MD141" s="128">
        <v>35000</v>
      </c>
      <c r="ME141" s="128">
        <v>11000</v>
      </c>
      <c r="MF141" s="128">
        <v>11000</v>
      </c>
      <c r="MJ141" s="128">
        <v>23000</v>
      </c>
      <c r="MK141" s="128">
        <v>7000</v>
      </c>
      <c r="ML141" s="128">
        <v>7000</v>
      </c>
      <c r="MP141" s="128">
        <v>228000</v>
      </c>
      <c r="MQ141" s="128">
        <v>73000</v>
      </c>
      <c r="MR141" s="128">
        <v>73000</v>
      </c>
      <c r="MV141" s="128">
        <v>1690000</v>
      </c>
      <c r="MW141" s="128">
        <v>540000</v>
      </c>
      <c r="MX141" s="128">
        <v>540000</v>
      </c>
      <c r="NB141" s="128">
        <v>51000</v>
      </c>
      <c r="NC141" s="128">
        <v>12000</v>
      </c>
      <c r="ND141" s="128">
        <v>12000</v>
      </c>
      <c r="NH141" s="128">
        <v>0</v>
      </c>
      <c r="NI141" s="128">
        <v>0</v>
      </c>
      <c r="NJ141" s="128">
        <v>0</v>
      </c>
      <c r="NN141" s="128">
        <v>0</v>
      </c>
      <c r="NO141" s="128">
        <v>0</v>
      </c>
      <c r="NP141" s="128">
        <v>0</v>
      </c>
      <c r="NT141" s="128">
        <v>62000</v>
      </c>
      <c r="NU141" s="128">
        <v>0</v>
      </c>
      <c r="NV141" s="128">
        <v>0</v>
      </c>
      <c r="NZ141" s="128">
        <v>100000</v>
      </c>
      <c r="OA141" s="128">
        <v>0</v>
      </c>
      <c r="OB141" s="128">
        <v>0</v>
      </c>
      <c r="OF141" s="128">
        <v>5500</v>
      </c>
      <c r="OG141" s="128">
        <v>0</v>
      </c>
      <c r="OH141" s="128">
        <v>0</v>
      </c>
      <c r="OL141" s="128">
        <v>0</v>
      </c>
      <c r="OM141" s="128">
        <v>0</v>
      </c>
      <c r="ON141" s="128">
        <v>0</v>
      </c>
      <c r="OR141" s="128">
        <v>0</v>
      </c>
      <c r="OS141" s="128">
        <v>0</v>
      </c>
      <c r="OT141" s="128">
        <v>0</v>
      </c>
      <c r="OX141" s="128">
        <v>355500</v>
      </c>
      <c r="OY141" s="128">
        <v>0</v>
      </c>
      <c r="OZ141" s="128">
        <v>0</v>
      </c>
      <c r="PD141" s="128">
        <v>35000</v>
      </c>
      <c r="PE141" s="128">
        <v>0</v>
      </c>
      <c r="PF141" s="128">
        <v>0</v>
      </c>
      <c r="PJ141" s="128">
        <v>54000</v>
      </c>
      <c r="PK141" s="128">
        <v>0</v>
      </c>
      <c r="PL141" s="128">
        <v>0</v>
      </c>
      <c r="PP141" s="128">
        <v>15522000</v>
      </c>
      <c r="PQ141" s="128">
        <v>4746000</v>
      </c>
      <c r="PR141" s="128">
        <v>4746000</v>
      </c>
      <c r="PS141" s="128">
        <v>100</v>
      </c>
      <c r="PT141" s="128">
        <v>100</v>
      </c>
      <c r="PV141" s="128">
        <v>15923289</v>
      </c>
      <c r="PX141" s="128">
        <v>1752426</v>
      </c>
      <c r="PY141" s="128">
        <v>1751320</v>
      </c>
      <c r="PZ141" s="128">
        <v>4746000</v>
      </c>
      <c r="QA141" s="128">
        <v>4136587</v>
      </c>
      <c r="QB141" s="128">
        <v>3520000</v>
      </c>
      <c r="QC141" s="128">
        <v>3520000</v>
      </c>
      <c r="QD141" s="128">
        <v>1862794</v>
      </c>
      <c r="QE141" s="128">
        <v>4161580</v>
      </c>
      <c r="QF141" s="128">
        <v>2328000</v>
      </c>
      <c r="QG141" s="128">
        <v>0</v>
      </c>
      <c r="QH141" s="128">
        <v>0</v>
      </c>
      <c r="QI141" s="128">
        <v>0</v>
      </c>
      <c r="QJ141" s="128">
        <v>4075677</v>
      </c>
      <c r="QK141" s="128">
        <v>3924000</v>
      </c>
      <c r="QL141" s="128">
        <v>4128000</v>
      </c>
      <c r="QN141" s="128">
        <v>856729</v>
      </c>
      <c r="QO141" s="128">
        <v>700000</v>
      </c>
      <c r="QP141" s="128">
        <v>800000</v>
      </c>
      <c r="RD141" s="128">
        <v>46870</v>
      </c>
      <c r="RE141" s="128">
        <v>0</v>
      </c>
      <c r="RF141" s="128">
        <v>0</v>
      </c>
      <c r="RH141" s="128">
        <f t="shared" si="310"/>
        <v>10594000</v>
      </c>
      <c r="RI141" s="128">
        <v>0</v>
      </c>
      <c r="RM141" s="128" t="s">
        <v>220</v>
      </c>
      <c r="RU141" s="130"/>
      <c r="RV141" s="130"/>
      <c r="RW141" s="130"/>
      <c r="RX141" s="130"/>
      <c r="SF141" s="128">
        <f t="shared" si="220"/>
        <v>1817339</v>
      </c>
      <c r="SG141" s="131">
        <f t="shared" si="221"/>
        <v>15522000</v>
      </c>
      <c r="SH141" s="131">
        <f t="shared" si="222"/>
        <v>15522000</v>
      </c>
      <c r="SI141" s="131">
        <f t="shared" si="223"/>
        <v>12743000</v>
      </c>
      <c r="SJ141" s="132">
        <f t="shared" si="224"/>
        <v>12554000</v>
      </c>
      <c r="SK141" s="132">
        <f t="shared" si="225"/>
        <v>0</v>
      </c>
      <c r="SL141" s="132">
        <f t="shared" si="226"/>
        <v>0</v>
      </c>
      <c r="SM141" s="132">
        <f t="shared" si="227"/>
        <v>189000</v>
      </c>
      <c r="SN141" s="131">
        <f t="shared" si="228"/>
        <v>2779000</v>
      </c>
      <c r="SO141" s="131">
        <f t="shared" si="229"/>
        <v>140000</v>
      </c>
      <c r="SP141" s="132">
        <f t="shared" si="230"/>
        <v>0</v>
      </c>
      <c r="SQ141" s="132">
        <f t="shared" si="231"/>
        <v>140000</v>
      </c>
      <c r="SR141" s="132">
        <f t="shared" si="232"/>
        <v>0</v>
      </c>
      <c r="SS141" s="132">
        <f t="shared" si="233"/>
        <v>35000</v>
      </c>
      <c r="ST141" s="132">
        <f t="shared" si="234"/>
        <v>23000</v>
      </c>
      <c r="SU141" s="132">
        <f t="shared" si="235"/>
        <v>228000</v>
      </c>
      <c r="SV141" s="131">
        <f t="shared" si="236"/>
        <v>2264000</v>
      </c>
      <c r="SW141" s="132">
        <f t="shared" si="237"/>
        <v>1690000</v>
      </c>
      <c r="SX141" s="132">
        <f t="shared" si="238"/>
        <v>51000</v>
      </c>
      <c r="SY141" s="132">
        <f t="shared" si="239"/>
        <v>0</v>
      </c>
      <c r="SZ141" s="132">
        <f t="shared" si="240"/>
        <v>0</v>
      </c>
      <c r="TA141" s="132">
        <f t="shared" si="241"/>
        <v>62000</v>
      </c>
      <c r="TB141" s="132">
        <f t="shared" si="242"/>
        <v>100000</v>
      </c>
      <c r="TC141" s="132">
        <f t="shared" si="243"/>
        <v>5500</v>
      </c>
      <c r="TD141" s="132">
        <f t="shared" si="244"/>
        <v>0</v>
      </c>
      <c r="TE141" s="132">
        <f t="shared" si="245"/>
        <v>0</v>
      </c>
      <c r="TF141" s="132">
        <f t="shared" si="246"/>
        <v>355500</v>
      </c>
      <c r="TG141" s="132">
        <f t="shared" si="247"/>
        <v>35000</v>
      </c>
      <c r="TH141" s="132">
        <f t="shared" si="248"/>
        <v>54000</v>
      </c>
      <c r="TI141" s="1"/>
      <c r="TJ141" s="131">
        <f t="shared" si="249"/>
        <v>4746000</v>
      </c>
      <c r="TK141" s="131">
        <f t="shared" si="250"/>
        <v>4746000</v>
      </c>
      <c r="TL141" s="131">
        <f t="shared" si="251"/>
        <v>4103000</v>
      </c>
      <c r="TM141" s="132">
        <f t="shared" si="252"/>
        <v>4103000</v>
      </c>
      <c r="TN141" s="132">
        <f t="shared" si="253"/>
        <v>0</v>
      </c>
      <c r="TO141" s="132">
        <f t="shared" si="254"/>
        <v>0</v>
      </c>
      <c r="TP141" s="132">
        <f t="shared" si="255"/>
        <v>0</v>
      </c>
      <c r="TQ141" s="131">
        <f t="shared" si="256"/>
        <v>643000</v>
      </c>
      <c r="TR141" s="131">
        <f t="shared" si="257"/>
        <v>0</v>
      </c>
      <c r="TS141" s="132">
        <f t="shared" si="258"/>
        <v>0</v>
      </c>
      <c r="TT141" s="132">
        <f t="shared" si="259"/>
        <v>0</v>
      </c>
      <c r="TU141" s="132">
        <f t="shared" si="260"/>
        <v>0</v>
      </c>
      <c r="TV141" s="132">
        <f t="shared" si="261"/>
        <v>11000</v>
      </c>
      <c r="TW141" s="132">
        <f t="shared" si="262"/>
        <v>7000</v>
      </c>
      <c r="TX141" s="132">
        <f t="shared" si="263"/>
        <v>73000</v>
      </c>
      <c r="TY141" s="131">
        <f t="shared" si="264"/>
        <v>552000</v>
      </c>
      <c r="TZ141" s="132">
        <f t="shared" si="265"/>
        <v>540000</v>
      </c>
      <c r="UA141" s="132">
        <f t="shared" si="266"/>
        <v>12000</v>
      </c>
      <c r="UB141" s="132">
        <f t="shared" si="267"/>
        <v>0</v>
      </c>
      <c r="UC141" s="132">
        <f t="shared" si="268"/>
        <v>0</v>
      </c>
      <c r="UD141" s="132">
        <f t="shared" si="269"/>
        <v>0</v>
      </c>
      <c r="UE141" s="132">
        <f t="shared" si="270"/>
        <v>0</v>
      </c>
      <c r="UF141" s="132">
        <f t="shared" si="271"/>
        <v>0</v>
      </c>
      <c r="UG141" s="132">
        <f t="shared" si="272"/>
        <v>0</v>
      </c>
      <c r="UH141" s="132">
        <f t="shared" si="273"/>
        <v>0</v>
      </c>
      <c r="UI141" s="132">
        <f t="shared" si="274"/>
        <v>0</v>
      </c>
      <c r="UJ141" s="132">
        <f t="shared" si="275"/>
        <v>0</v>
      </c>
      <c r="UK141" s="132">
        <f t="shared" si="276"/>
        <v>0</v>
      </c>
      <c r="UL141" s="132">
        <f t="shared" si="311"/>
        <v>4746000</v>
      </c>
      <c r="UM141" s="131">
        <f t="shared" si="277"/>
        <v>4746000</v>
      </c>
      <c r="UN141" s="131">
        <f t="shared" si="278"/>
        <v>4746000</v>
      </c>
      <c r="UO141" s="131">
        <f t="shared" si="279"/>
        <v>4103000</v>
      </c>
      <c r="UP141" s="132">
        <f t="shared" si="280"/>
        <v>4103000</v>
      </c>
      <c r="UQ141" s="132">
        <f t="shared" si="281"/>
        <v>0</v>
      </c>
      <c r="UR141" s="132">
        <f t="shared" si="282"/>
        <v>0</v>
      </c>
      <c r="US141" s="132">
        <f t="shared" si="283"/>
        <v>0</v>
      </c>
      <c r="UT141" s="131">
        <f t="shared" si="284"/>
        <v>643000</v>
      </c>
      <c r="UU141" s="131">
        <f t="shared" si="285"/>
        <v>0</v>
      </c>
      <c r="UV141" s="132">
        <f t="shared" si="286"/>
        <v>0</v>
      </c>
      <c r="UW141" s="132">
        <f t="shared" si="287"/>
        <v>0</v>
      </c>
      <c r="UX141" s="132">
        <f t="shared" si="288"/>
        <v>0</v>
      </c>
      <c r="UY141" s="132">
        <f t="shared" si="289"/>
        <v>11000</v>
      </c>
      <c r="UZ141" s="132">
        <f t="shared" si="290"/>
        <v>7000</v>
      </c>
      <c r="VA141" s="132">
        <f t="shared" si="291"/>
        <v>73000</v>
      </c>
      <c r="VB141" s="131">
        <f t="shared" si="292"/>
        <v>552000</v>
      </c>
      <c r="VC141" s="132">
        <f t="shared" si="293"/>
        <v>540000</v>
      </c>
      <c r="VD141" s="132">
        <f t="shared" si="294"/>
        <v>12000</v>
      </c>
      <c r="VE141" s="132">
        <f t="shared" si="295"/>
        <v>0</v>
      </c>
      <c r="VF141" s="132">
        <f t="shared" si="296"/>
        <v>0</v>
      </c>
      <c r="VG141" s="132">
        <f t="shared" si="297"/>
        <v>0</v>
      </c>
      <c r="VH141" s="132">
        <f t="shared" si="298"/>
        <v>0</v>
      </c>
      <c r="VI141" s="132">
        <f t="shared" si="299"/>
        <v>0</v>
      </c>
      <c r="VJ141" s="132">
        <f t="shared" si="300"/>
        <v>0</v>
      </c>
      <c r="VK141" s="132">
        <f t="shared" si="301"/>
        <v>0</v>
      </c>
      <c r="VL141" s="132">
        <f t="shared" si="302"/>
        <v>0</v>
      </c>
      <c r="VM141" s="132">
        <f t="shared" si="303"/>
        <v>0</v>
      </c>
      <c r="VN141" s="132">
        <f t="shared" si="304"/>
        <v>0</v>
      </c>
      <c r="VP141" s="845" t="str">
        <f>IFERROR(HLOOKUP(F141,'Hodnocení '!$C$1:$JH$5,2,FALSE),0)</f>
        <v>Domov pro seniory Marie</v>
      </c>
      <c r="VQ141" s="838"/>
      <c r="VR141" s="845" t="str">
        <f t="shared" si="312"/>
        <v>Příspěvková organizace zřízená územním samosprávným celkem</v>
      </c>
      <c r="VS141" s="845" t="str">
        <f>IFERROR(HLOOKUP(F141,'Hodnocení '!$C$1:$JH$5,5,FALSE),0)</f>
        <v>Obce</v>
      </c>
      <c r="VT141" s="838" t="str">
        <f t="shared" si="313"/>
        <v>Příspěvková organizace zřízená územním samosprávným celkem</v>
      </c>
      <c r="VU141" s="838">
        <f t="shared" si="314"/>
        <v>0</v>
      </c>
      <c r="VV141" s="838">
        <f t="shared" si="315"/>
        <v>4128000</v>
      </c>
      <c r="VW141" s="838">
        <f t="shared" si="316"/>
        <v>800000</v>
      </c>
      <c r="VX141" s="838"/>
      <c r="VY141" s="838">
        <f t="shared" si="216"/>
        <v>0</v>
      </c>
      <c r="VZ141" s="838">
        <f t="shared" si="217"/>
        <v>4746000</v>
      </c>
      <c r="WA141" s="846">
        <f>IFERROR(HLOOKUP($F141,'Hodnocení '!$C$1:$JH$9,9,FALSE),0)</f>
        <v>4746000</v>
      </c>
      <c r="WB141" s="846">
        <f>IF(IFERROR(HLOOKUP($F141,'Hodnocení '!$C$1:$JH$13,13,FALSE),0)&gt;WA141,WA141,IFERROR(HLOOKUP($F141,'Hodnocení '!$C$1:$JH$13,13,FALSE),0))</f>
        <v>4746000</v>
      </c>
      <c r="WC141" s="846">
        <f>IFERROR(HLOOKUP($F141,'Hodnocení '!$C$1:$JH$155,155,FALSE),0)</f>
        <v>2245960</v>
      </c>
      <c r="WD141" s="845"/>
      <c r="WE141" s="845"/>
      <c r="WF141" s="845" t="str">
        <f t="shared" si="305"/>
        <v>ANO</v>
      </c>
      <c r="WG141" s="849" t="str">
        <f t="shared" si="218"/>
        <v>Podpora služby je vyjádřena zařazením do sítě sociálních služeb v KHK a řešením financování služby</v>
      </c>
      <c r="WH141"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41" s="849" t="str">
        <f t="shared" si="218"/>
        <v>Návrh dotace je výsledkem projednání s ostatními zadavateli v rámci sítě služeb KHK</v>
      </c>
      <c r="WJ141" s="849" t="str">
        <f t="shared" si="218"/>
        <v>Bez komentáře</v>
      </c>
      <c r="WK141" s="31" t="str">
        <f t="shared" si="306"/>
        <v>Výše příspěvku ze strany zřizovatele bude řešen v návaznosti na řešení podílů jednotlivých zadavatelů</v>
      </c>
      <c r="WL141" s="850">
        <f t="shared" si="307"/>
        <v>0</v>
      </c>
      <c r="WM141" s="849" t="str">
        <f t="shared" si="308"/>
        <v>V rámci sítě KHK se dlouhodobě řeší otázka navyšování úhrad a průběžně se monitoruje s vazbou na vykrytí vyrovnávací platby</v>
      </c>
      <c r="WN141" s="849" t="str">
        <f t="shared" si="309"/>
        <v>Otázka výběru od zdravotních pojišťoven je předmětem procesu, který probíhá ve formě jednání se ZP a organizacemi</v>
      </c>
      <c r="WO141" s="849" t="str">
        <f t="shared" si="219"/>
        <v>bez komentáře</v>
      </c>
      <c r="WP141" s="849" t="str">
        <f t="shared" si="219"/>
        <v>bez komentáře</v>
      </c>
      <c r="WQ141" s="849" t="str">
        <f t="shared" si="219"/>
        <v>Konečná výše dotace z rozpočtu KHK bude řešena v návaznosti na řešení podílů jednotlivých zadavatelů.</v>
      </c>
      <c r="WR141" s="849" t="str">
        <f t="shared" si="219"/>
        <v>Konečná výše podpory ze stran obcí bude řešena v součinnosti s jednotlivými zadavateli v průběhu roku.</v>
      </c>
      <c r="WS141" s="849" t="str">
        <f t="shared" si="219"/>
        <v>bez komentáře</v>
      </c>
      <c r="WT141" s="849" t="str">
        <f t="shared" si="219"/>
        <v>bez komentáře</v>
      </c>
      <c r="WU141" s="845"/>
    </row>
    <row r="142" spans="1:619" s="128" customFormat="1" x14ac:dyDescent="0.25">
      <c r="A142" s="128" t="str">
        <f>VLOOKUP(F142,'Výpočet VP 2020'!$D$324:$I$588,6,FALSE)</f>
        <v>Je v síti</v>
      </c>
      <c r="B142" s="128" t="s">
        <v>678</v>
      </c>
      <c r="C142" s="128">
        <v>70947589</v>
      </c>
      <c r="D142" s="128" t="s">
        <v>679</v>
      </c>
      <c r="E142" s="128" t="s">
        <v>259</v>
      </c>
      <c r="F142" s="128">
        <v>3357963</v>
      </c>
      <c r="G142" s="128" t="s">
        <v>361</v>
      </c>
      <c r="H142" s="128" t="s">
        <v>218</v>
      </c>
      <c r="I142" s="128" t="s">
        <v>680</v>
      </c>
      <c r="J142" s="129">
        <v>39083</v>
      </c>
      <c r="L142" s="128" t="s">
        <v>220</v>
      </c>
      <c r="M142" s="128" t="s">
        <v>362</v>
      </c>
      <c r="N142" s="128">
        <v>4</v>
      </c>
      <c r="O142" s="128">
        <v>4</v>
      </c>
      <c r="P142" s="128">
        <v>15</v>
      </c>
      <c r="Q142" s="128">
        <v>7</v>
      </c>
      <c r="R142" s="128">
        <v>17</v>
      </c>
      <c r="BL142" s="128" t="s">
        <v>579</v>
      </c>
      <c r="BM142" s="128" t="s">
        <v>325</v>
      </c>
      <c r="BN142" s="128" t="s">
        <v>326</v>
      </c>
      <c r="DA142" s="128">
        <v>0</v>
      </c>
      <c r="DB142" s="128">
        <v>0</v>
      </c>
      <c r="DC142" s="128">
        <v>0</v>
      </c>
      <c r="DD142" s="128">
        <v>0</v>
      </c>
      <c r="DE142" s="128">
        <v>0</v>
      </c>
      <c r="DF142" s="128">
        <v>0</v>
      </c>
      <c r="DG142" s="128">
        <v>2</v>
      </c>
      <c r="DH142" s="128">
        <v>2</v>
      </c>
      <c r="DI142" s="128">
        <v>0</v>
      </c>
      <c r="DJ142" s="128">
        <v>0</v>
      </c>
      <c r="DK142" s="128">
        <v>0</v>
      </c>
      <c r="DL142" s="128">
        <v>2</v>
      </c>
      <c r="DM142" s="128">
        <v>2</v>
      </c>
      <c r="DN142" s="128">
        <v>0</v>
      </c>
      <c r="DO142" s="128">
        <v>0</v>
      </c>
      <c r="DP142" s="128">
        <v>0</v>
      </c>
      <c r="DQ142" s="128">
        <v>4</v>
      </c>
      <c r="DR142" s="128">
        <v>4</v>
      </c>
      <c r="DS142" s="128">
        <v>0</v>
      </c>
      <c r="DT142" s="128">
        <v>0</v>
      </c>
      <c r="DU142" s="128">
        <v>0</v>
      </c>
      <c r="DV142" s="128">
        <v>0</v>
      </c>
      <c r="DW142" s="128">
        <v>0</v>
      </c>
      <c r="DX142" s="128">
        <v>0</v>
      </c>
      <c r="DY142" s="128">
        <v>0</v>
      </c>
      <c r="DZ142" s="128">
        <v>2</v>
      </c>
      <c r="EA142" s="128">
        <v>2</v>
      </c>
      <c r="EB142" s="128">
        <v>0</v>
      </c>
      <c r="EC142" s="128">
        <v>0</v>
      </c>
      <c r="ED142" s="128">
        <v>0</v>
      </c>
      <c r="EE142" s="128">
        <v>2</v>
      </c>
      <c r="EF142" s="128">
        <v>2</v>
      </c>
      <c r="EG142" s="128">
        <v>0</v>
      </c>
      <c r="EH142" s="128">
        <v>0</v>
      </c>
      <c r="EI142" s="128">
        <v>4</v>
      </c>
      <c r="EJ142" s="128">
        <v>4</v>
      </c>
      <c r="EK142" s="128">
        <v>1</v>
      </c>
      <c r="EL142" s="128">
        <v>0.1</v>
      </c>
      <c r="EM142" s="128">
        <v>0.1</v>
      </c>
      <c r="EN142" s="128">
        <v>58138</v>
      </c>
      <c r="EO142" s="128">
        <v>51066</v>
      </c>
      <c r="EP142" s="128">
        <v>12</v>
      </c>
      <c r="EQ142" s="128">
        <v>1.2</v>
      </c>
      <c r="ER142" s="128">
        <v>1.1499999999999999</v>
      </c>
      <c r="ES142" s="128">
        <v>589376</v>
      </c>
      <c r="ET142" s="128">
        <v>517685</v>
      </c>
      <c r="EU142" s="128">
        <v>7</v>
      </c>
      <c r="EV142" s="128">
        <v>0.7</v>
      </c>
      <c r="EW142" s="128">
        <v>0.7</v>
      </c>
      <c r="EX142" s="128">
        <v>482941</v>
      </c>
      <c r="EY142" s="128">
        <v>0</v>
      </c>
      <c r="FO142" s="128">
        <v>8</v>
      </c>
      <c r="FP142" s="128">
        <v>0.8</v>
      </c>
      <c r="FQ142" s="128">
        <v>0.8</v>
      </c>
      <c r="FR142" s="128">
        <v>360045</v>
      </c>
      <c r="FS142" s="128">
        <v>316249</v>
      </c>
      <c r="KG142" s="128">
        <v>0</v>
      </c>
      <c r="KI142" s="128">
        <v>2</v>
      </c>
      <c r="KJ142" s="128">
        <v>0</v>
      </c>
      <c r="KK142" s="128">
        <v>0</v>
      </c>
      <c r="KL142" s="128">
        <v>0</v>
      </c>
      <c r="KM142" s="128">
        <v>2</v>
      </c>
      <c r="KN142" s="128">
        <v>1490500</v>
      </c>
      <c r="KO142" s="128">
        <v>885000</v>
      </c>
      <c r="KP142" s="128">
        <v>885000</v>
      </c>
      <c r="KT142" s="128">
        <v>0</v>
      </c>
      <c r="KU142" s="128">
        <v>0</v>
      </c>
      <c r="KV142" s="128">
        <v>0</v>
      </c>
      <c r="KZ142" s="128">
        <v>0</v>
      </c>
      <c r="LA142" s="128">
        <v>0</v>
      </c>
      <c r="LB142" s="128">
        <v>0</v>
      </c>
      <c r="LF142" s="128">
        <v>20000</v>
      </c>
      <c r="LG142" s="128">
        <v>0</v>
      </c>
      <c r="LH142" s="128">
        <v>0</v>
      </c>
      <c r="LL142" s="128">
        <v>0</v>
      </c>
      <c r="LM142" s="128">
        <v>0</v>
      </c>
      <c r="LN142" s="128">
        <v>0</v>
      </c>
      <c r="LR142" s="128">
        <v>0</v>
      </c>
      <c r="LS142" s="128">
        <v>0</v>
      </c>
      <c r="LT142" s="128">
        <v>0</v>
      </c>
      <c r="LX142" s="128">
        <v>0</v>
      </c>
      <c r="LY142" s="128">
        <v>0</v>
      </c>
      <c r="LZ142" s="128">
        <v>0</v>
      </c>
      <c r="MD142" s="128">
        <v>1000</v>
      </c>
      <c r="ME142" s="128">
        <v>0</v>
      </c>
      <c r="MF142" s="128">
        <v>0</v>
      </c>
      <c r="MJ142" s="128">
        <v>7000</v>
      </c>
      <c r="MK142" s="128">
        <v>0</v>
      </c>
      <c r="ML142" s="128">
        <v>0</v>
      </c>
      <c r="MP142" s="128">
        <v>12000</v>
      </c>
      <c r="MQ142" s="128">
        <v>0</v>
      </c>
      <c r="MR142" s="128">
        <v>0</v>
      </c>
      <c r="MV142" s="128">
        <v>130000</v>
      </c>
      <c r="MW142" s="128">
        <v>93000</v>
      </c>
      <c r="MX142" s="128">
        <v>93000</v>
      </c>
      <c r="NB142" s="128">
        <v>3000</v>
      </c>
      <c r="NC142" s="128">
        <v>0</v>
      </c>
      <c r="ND142" s="128">
        <v>0</v>
      </c>
      <c r="NH142" s="128">
        <v>0</v>
      </c>
      <c r="NI142" s="128">
        <v>0</v>
      </c>
      <c r="NJ142" s="128">
        <v>0</v>
      </c>
      <c r="NN142" s="128">
        <v>0</v>
      </c>
      <c r="NO142" s="128">
        <v>0</v>
      </c>
      <c r="NP142" s="128">
        <v>0</v>
      </c>
      <c r="NT142" s="128">
        <v>2000</v>
      </c>
      <c r="NU142" s="128">
        <v>0</v>
      </c>
      <c r="NV142" s="128">
        <v>0</v>
      </c>
      <c r="NZ142" s="128">
        <v>0</v>
      </c>
      <c r="OA142" s="128">
        <v>0</v>
      </c>
      <c r="OB142" s="128">
        <v>0</v>
      </c>
      <c r="OF142" s="128">
        <v>500</v>
      </c>
      <c r="OG142" s="128">
        <v>0</v>
      </c>
      <c r="OH142" s="128">
        <v>0</v>
      </c>
      <c r="OL142" s="128">
        <v>0</v>
      </c>
      <c r="OM142" s="128">
        <v>0</v>
      </c>
      <c r="ON142" s="128">
        <v>0</v>
      </c>
      <c r="OR142" s="128">
        <v>0</v>
      </c>
      <c r="OS142" s="128">
        <v>0</v>
      </c>
      <c r="OT142" s="128">
        <v>0</v>
      </c>
      <c r="OX142" s="128">
        <v>11000</v>
      </c>
      <c r="OY142" s="128">
        <v>0</v>
      </c>
      <c r="OZ142" s="128">
        <v>0</v>
      </c>
      <c r="PD142" s="128">
        <v>0</v>
      </c>
      <c r="PE142" s="128">
        <v>0</v>
      </c>
      <c r="PF142" s="128">
        <v>0</v>
      </c>
      <c r="PJ142" s="128">
        <v>1000</v>
      </c>
      <c r="PK142" s="128">
        <v>0</v>
      </c>
      <c r="PL142" s="128">
        <v>0</v>
      </c>
      <c r="PP142" s="128">
        <v>1678000</v>
      </c>
      <c r="PQ142" s="128">
        <v>978000</v>
      </c>
      <c r="PR142" s="128">
        <v>978000</v>
      </c>
      <c r="PS142" s="128">
        <v>100</v>
      </c>
      <c r="PT142" s="128">
        <v>100</v>
      </c>
      <c r="PV142" s="128">
        <v>1210654</v>
      </c>
      <c r="PX142" s="128">
        <v>262468</v>
      </c>
      <c r="PY142" s="128">
        <v>234850</v>
      </c>
      <c r="PZ142" s="128">
        <v>978000</v>
      </c>
      <c r="QA142" s="128">
        <v>0</v>
      </c>
      <c r="QB142" s="128">
        <v>0</v>
      </c>
      <c r="QC142" s="128">
        <v>0</v>
      </c>
      <c r="QD142" s="128">
        <v>1067400</v>
      </c>
      <c r="QE142" s="128">
        <v>1110750</v>
      </c>
      <c r="QF142" s="128">
        <v>520000</v>
      </c>
      <c r="QG142" s="128">
        <v>0</v>
      </c>
      <c r="QH142" s="128">
        <v>0</v>
      </c>
      <c r="QI142" s="128">
        <v>0</v>
      </c>
      <c r="QJ142" s="128">
        <v>94141</v>
      </c>
      <c r="QK142" s="128">
        <v>180000</v>
      </c>
      <c r="QL142" s="128">
        <v>180000</v>
      </c>
      <c r="QN142" s="128">
        <v>0</v>
      </c>
      <c r="QO142" s="128">
        <v>0</v>
      </c>
      <c r="QP142" s="128">
        <v>0</v>
      </c>
      <c r="RH142" s="128">
        <f t="shared" si="310"/>
        <v>1498000</v>
      </c>
      <c r="RI142" s="128">
        <v>0</v>
      </c>
      <c r="RM142" s="128" t="s">
        <v>220</v>
      </c>
      <c r="RU142" s="130"/>
      <c r="RV142" s="130"/>
      <c r="RW142" s="130"/>
      <c r="RX142" s="130"/>
      <c r="SF142" s="128">
        <f t="shared" si="220"/>
        <v>3357963</v>
      </c>
      <c r="SG142" s="131">
        <f t="shared" si="221"/>
        <v>1678000</v>
      </c>
      <c r="SH142" s="131">
        <f t="shared" si="222"/>
        <v>1678000</v>
      </c>
      <c r="SI142" s="131">
        <f t="shared" si="223"/>
        <v>1510500</v>
      </c>
      <c r="SJ142" s="132">
        <f t="shared" si="224"/>
        <v>1490500</v>
      </c>
      <c r="SK142" s="132">
        <f t="shared" si="225"/>
        <v>0</v>
      </c>
      <c r="SL142" s="132">
        <f t="shared" si="226"/>
        <v>0</v>
      </c>
      <c r="SM142" s="132">
        <f t="shared" si="227"/>
        <v>20000</v>
      </c>
      <c r="SN142" s="131">
        <f t="shared" si="228"/>
        <v>167500</v>
      </c>
      <c r="SO142" s="131">
        <f t="shared" si="229"/>
        <v>0</v>
      </c>
      <c r="SP142" s="132">
        <f t="shared" si="230"/>
        <v>0</v>
      </c>
      <c r="SQ142" s="132">
        <f t="shared" si="231"/>
        <v>0</v>
      </c>
      <c r="SR142" s="132">
        <f t="shared" si="232"/>
        <v>0</v>
      </c>
      <c r="SS142" s="132">
        <f t="shared" si="233"/>
        <v>1000</v>
      </c>
      <c r="ST142" s="132">
        <f t="shared" si="234"/>
        <v>7000</v>
      </c>
      <c r="SU142" s="132">
        <f t="shared" si="235"/>
        <v>12000</v>
      </c>
      <c r="SV142" s="131">
        <f t="shared" si="236"/>
        <v>146500</v>
      </c>
      <c r="SW142" s="132">
        <f t="shared" si="237"/>
        <v>130000</v>
      </c>
      <c r="SX142" s="132">
        <f t="shared" si="238"/>
        <v>3000</v>
      </c>
      <c r="SY142" s="132">
        <f t="shared" si="239"/>
        <v>0</v>
      </c>
      <c r="SZ142" s="132">
        <f t="shared" si="240"/>
        <v>0</v>
      </c>
      <c r="TA142" s="132">
        <f t="shared" si="241"/>
        <v>2000</v>
      </c>
      <c r="TB142" s="132">
        <f t="shared" si="242"/>
        <v>0</v>
      </c>
      <c r="TC142" s="132">
        <f t="shared" si="243"/>
        <v>500</v>
      </c>
      <c r="TD142" s="132">
        <f t="shared" si="244"/>
        <v>0</v>
      </c>
      <c r="TE142" s="132">
        <f t="shared" si="245"/>
        <v>0</v>
      </c>
      <c r="TF142" s="132">
        <f t="shared" si="246"/>
        <v>11000</v>
      </c>
      <c r="TG142" s="132">
        <f t="shared" si="247"/>
        <v>0</v>
      </c>
      <c r="TH142" s="132">
        <f t="shared" si="248"/>
        <v>1000</v>
      </c>
      <c r="TI142" s="1"/>
      <c r="TJ142" s="131">
        <f t="shared" si="249"/>
        <v>978000</v>
      </c>
      <c r="TK142" s="131">
        <f t="shared" si="250"/>
        <v>978000</v>
      </c>
      <c r="TL142" s="131">
        <f t="shared" si="251"/>
        <v>885000</v>
      </c>
      <c r="TM142" s="132">
        <f t="shared" si="252"/>
        <v>885000</v>
      </c>
      <c r="TN142" s="132">
        <f t="shared" si="253"/>
        <v>0</v>
      </c>
      <c r="TO142" s="132">
        <f t="shared" si="254"/>
        <v>0</v>
      </c>
      <c r="TP142" s="132">
        <f t="shared" si="255"/>
        <v>0</v>
      </c>
      <c r="TQ142" s="131">
        <f t="shared" si="256"/>
        <v>93000</v>
      </c>
      <c r="TR142" s="131">
        <f t="shared" si="257"/>
        <v>0</v>
      </c>
      <c r="TS142" s="132">
        <f t="shared" si="258"/>
        <v>0</v>
      </c>
      <c r="TT142" s="132">
        <f t="shared" si="259"/>
        <v>0</v>
      </c>
      <c r="TU142" s="132">
        <f t="shared" si="260"/>
        <v>0</v>
      </c>
      <c r="TV142" s="132">
        <f t="shared" si="261"/>
        <v>0</v>
      </c>
      <c r="TW142" s="132">
        <f t="shared" si="262"/>
        <v>0</v>
      </c>
      <c r="TX142" s="132">
        <f t="shared" si="263"/>
        <v>0</v>
      </c>
      <c r="TY142" s="131">
        <f t="shared" si="264"/>
        <v>93000</v>
      </c>
      <c r="TZ142" s="132">
        <f t="shared" si="265"/>
        <v>93000</v>
      </c>
      <c r="UA142" s="132">
        <f t="shared" si="266"/>
        <v>0</v>
      </c>
      <c r="UB142" s="132">
        <f t="shared" si="267"/>
        <v>0</v>
      </c>
      <c r="UC142" s="132">
        <f t="shared" si="268"/>
        <v>0</v>
      </c>
      <c r="UD142" s="132">
        <f t="shared" si="269"/>
        <v>0</v>
      </c>
      <c r="UE142" s="132">
        <f t="shared" si="270"/>
        <v>0</v>
      </c>
      <c r="UF142" s="132">
        <f t="shared" si="271"/>
        <v>0</v>
      </c>
      <c r="UG142" s="132">
        <f t="shared" si="272"/>
        <v>0</v>
      </c>
      <c r="UH142" s="132">
        <f t="shared" si="273"/>
        <v>0</v>
      </c>
      <c r="UI142" s="132">
        <f t="shared" si="274"/>
        <v>0</v>
      </c>
      <c r="UJ142" s="132">
        <f t="shared" si="275"/>
        <v>0</v>
      </c>
      <c r="UK142" s="132">
        <f t="shared" si="276"/>
        <v>0</v>
      </c>
      <c r="UL142" s="132">
        <f t="shared" si="311"/>
        <v>978000</v>
      </c>
      <c r="UM142" s="131">
        <f t="shared" si="277"/>
        <v>978000</v>
      </c>
      <c r="UN142" s="131">
        <f t="shared" si="278"/>
        <v>978000</v>
      </c>
      <c r="UO142" s="131">
        <f t="shared" si="279"/>
        <v>885000</v>
      </c>
      <c r="UP142" s="132">
        <f t="shared" si="280"/>
        <v>885000</v>
      </c>
      <c r="UQ142" s="132">
        <f t="shared" si="281"/>
        <v>0</v>
      </c>
      <c r="UR142" s="132">
        <f t="shared" si="282"/>
        <v>0</v>
      </c>
      <c r="US142" s="132">
        <f t="shared" si="283"/>
        <v>0</v>
      </c>
      <c r="UT142" s="131">
        <f t="shared" si="284"/>
        <v>93000</v>
      </c>
      <c r="UU142" s="131">
        <f t="shared" si="285"/>
        <v>0</v>
      </c>
      <c r="UV142" s="132">
        <f t="shared" si="286"/>
        <v>0</v>
      </c>
      <c r="UW142" s="132">
        <f t="shared" si="287"/>
        <v>0</v>
      </c>
      <c r="UX142" s="132">
        <f t="shared" si="288"/>
        <v>0</v>
      </c>
      <c r="UY142" s="132">
        <f t="shared" si="289"/>
        <v>0</v>
      </c>
      <c r="UZ142" s="132">
        <f t="shared" si="290"/>
        <v>0</v>
      </c>
      <c r="VA142" s="132">
        <f t="shared" si="291"/>
        <v>0</v>
      </c>
      <c r="VB142" s="131">
        <f t="shared" si="292"/>
        <v>93000</v>
      </c>
      <c r="VC142" s="132">
        <f t="shared" si="293"/>
        <v>93000</v>
      </c>
      <c r="VD142" s="132">
        <f t="shared" si="294"/>
        <v>0</v>
      </c>
      <c r="VE142" s="132">
        <f t="shared" si="295"/>
        <v>0</v>
      </c>
      <c r="VF142" s="132">
        <f t="shared" si="296"/>
        <v>0</v>
      </c>
      <c r="VG142" s="132">
        <f t="shared" si="297"/>
        <v>0</v>
      </c>
      <c r="VH142" s="132">
        <f t="shared" si="298"/>
        <v>0</v>
      </c>
      <c r="VI142" s="132">
        <f t="shared" si="299"/>
        <v>0</v>
      </c>
      <c r="VJ142" s="132">
        <f t="shared" si="300"/>
        <v>0</v>
      </c>
      <c r="VK142" s="132">
        <f t="shared" si="301"/>
        <v>0</v>
      </c>
      <c r="VL142" s="132">
        <f t="shared" si="302"/>
        <v>0</v>
      </c>
      <c r="VM142" s="132">
        <f t="shared" si="303"/>
        <v>0</v>
      </c>
      <c r="VN142" s="132">
        <f t="shared" si="304"/>
        <v>0</v>
      </c>
      <c r="VP142" s="845" t="str">
        <f>IFERROR(HLOOKUP(F142,'Hodnocení '!$C$1:$JH$5,2,FALSE),0)</f>
        <v>Domov pro seniory Marie</v>
      </c>
      <c r="VQ142" s="838"/>
      <c r="VR142" s="845" t="str">
        <f t="shared" si="312"/>
        <v>Příspěvková organizace zřízená územním samosprávným celkem</v>
      </c>
      <c r="VS142" s="845" t="str">
        <f>IFERROR(HLOOKUP(F142,'Hodnocení '!$C$1:$JH$5,5,FALSE),0)</f>
        <v>Obce</v>
      </c>
      <c r="VT142" s="838" t="str">
        <f t="shared" si="313"/>
        <v>Příspěvková organizace zřízená územním samosprávným celkem</v>
      </c>
      <c r="VU142" s="838">
        <f t="shared" si="314"/>
        <v>0</v>
      </c>
      <c r="VV142" s="838">
        <f t="shared" si="315"/>
        <v>180000</v>
      </c>
      <c r="VW142" s="838">
        <f t="shared" si="316"/>
        <v>0</v>
      </c>
      <c r="VX142" s="838"/>
      <c r="VY142" s="838">
        <f t="shared" si="216"/>
        <v>0</v>
      </c>
      <c r="VZ142" s="838">
        <f t="shared" si="217"/>
        <v>978000</v>
      </c>
      <c r="WA142" s="846">
        <f>IFERROR(HLOOKUP($F142,'Hodnocení '!$C$1:$JH$9,9,FALSE),0)</f>
        <v>978000</v>
      </c>
      <c r="WB142" s="846">
        <f>IF(IFERROR(HLOOKUP($F142,'Hodnocení '!$C$1:$JH$13,13,FALSE),0)&gt;WA142,WA142,IFERROR(HLOOKUP($F142,'Hodnocení '!$C$1:$JH$13,13,FALSE),0))</f>
        <v>978000</v>
      </c>
      <c r="WC142" s="846">
        <f>IFERROR(HLOOKUP($F142,'Hodnocení '!$C$1:$JH$155,155,FALSE),0)</f>
        <v>235090</v>
      </c>
      <c r="WD142" s="845"/>
      <c r="WE142" s="845"/>
      <c r="WF142" s="845" t="str">
        <f t="shared" si="305"/>
        <v>ANO</v>
      </c>
      <c r="WG142" s="849" t="str">
        <f t="shared" si="218"/>
        <v>Podpora služby je vyjádřena zařazením do sítě sociálních služeb v KHK a řešením financování služby</v>
      </c>
      <c r="WH142"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42" s="849" t="str">
        <f t="shared" si="218"/>
        <v>Návrh dotace je výsledkem projednání s ostatními zadavateli v rámci sítě služeb KHK</v>
      </c>
      <c r="WJ142" s="849" t="str">
        <f t="shared" si="218"/>
        <v>Bez komentáře</v>
      </c>
      <c r="WK142" s="31" t="str">
        <f t="shared" si="306"/>
        <v>Výše příspěvku ze strany zřizovatele bude řešen v návaznosti na řešení podílů jednotlivých zadavatelů</v>
      </c>
      <c r="WL142" s="850">
        <f t="shared" si="307"/>
        <v>0</v>
      </c>
      <c r="WM142" s="849" t="str">
        <f t="shared" si="308"/>
        <v>V rámci sítě KHK se dlouhodobě řeší otázka navyšování úhrad a průběžně se monitoruje s vazbou na vykrytí vyrovnávací platby</v>
      </c>
      <c r="WN142" s="849">
        <f t="shared" si="309"/>
        <v>0</v>
      </c>
      <c r="WO142" s="849" t="str">
        <f t="shared" si="219"/>
        <v>bez komentáře</v>
      </c>
      <c r="WP142" s="849" t="str">
        <f t="shared" si="219"/>
        <v>bez komentáře</v>
      </c>
      <c r="WQ142" s="849" t="str">
        <f t="shared" si="219"/>
        <v>Konečná výše dotace z rozpočtu KHK bude řešena v návaznosti na řešení podílů jednotlivých zadavatelů.</v>
      </c>
      <c r="WR142" s="849" t="str">
        <f t="shared" si="219"/>
        <v>Konečná výše podpory ze stran obcí bude řešena v součinnosti s jednotlivými zadavateli v průběhu roku.</v>
      </c>
      <c r="WS142" s="849" t="str">
        <f t="shared" si="219"/>
        <v>bez komentáře</v>
      </c>
      <c r="WT142" s="849" t="str">
        <f t="shared" si="219"/>
        <v>bez komentáře</v>
      </c>
      <c r="WU142" s="845"/>
    </row>
    <row r="143" spans="1:619" s="128" customFormat="1" x14ac:dyDescent="0.25">
      <c r="A143" s="128" t="str">
        <f>VLOOKUP(F143,'Výpočet VP 2020'!$D$324:$I$588,6,FALSE)</f>
        <v>Je v síti</v>
      </c>
      <c r="B143" s="128" t="s">
        <v>678</v>
      </c>
      <c r="C143" s="128">
        <v>70947589</v>
      </c>
      <c r="D143" s="128" t="s">
        <v>679</v>
      </c>
      <c r="E143" s="128" t="s">
        <v>259</v>
      </c>
      <c r="F143" s="128">
        <v>7259548</v>
      </c>
      <c r="G143" s="128" t="s">
        <v>328</v>
      </c>
      <c r="H143" s="128" t="s">
        <v>218</v>
      </c>
      <c r="I143" s="128" t="s">
        <v>680</v>
      </c>
      <c r="J143" s="129">
        <v>39083</v>
      </c>
      <c r="L143" s="128" t="s">
        <v>220</v>
      </c>
      <c r="X143" s="128" t="s">
        <v>276</v>
      </c>
      <c r="Z143" s="128">
        <v>1</v>
      </c>
      <c r="AA143" s="128">
        <v>6</v>
      </c>
      <c r="AB143" s="128">
        <v>9</v>
      </c>
      <c r="AC143" s="128">
        <v>10</v>
      </c>
      <c r="AD143" s="128">
        <v>12</v>
      </c>
      <c r="AN143" s="128">
        <v>624</v>
      </c>
      <c r="AP143" s="128" t="s">
        <v>681</v>
      </c>
      <c r="AQ143" s="128">
        <v>12</v>
      </c>
      <c r="AR143" s="128">
        <v>254</v>
      </c>
      <c r="AS143" s="128">
        <v>284</v>
      </c>
      <c r="AT143" s="128">
        <v>259</v>
      </c>
      <c r="AU143" s="128">
        <v>248</v>
      </c>
      <c r="BJ143" s="128">
        <v>14247</v>
      </c>
      <c r="BL143" s="128" t="s">
        <v>634</v>
      </c>
      <c r="BM143" s="128" t="s">
        <v>325</v>
      </c>
      <c r="BN143" s="128" t="s">
        <v>326</v>
      </c>
      <c r="BO143" s="128">
        <v>0</v>
      </c>
      <c r="BP143" s="128">
        <v>0</v>
      </c>
      <c r="BQ143" s="128">
        <v>0</v>
      </c>
      <c r="BR143" s="128">
        <v>0</v>
      </c>
      <c r="BS143" s="128">
        <v>0</v>
      </c>
      <c r="BT143" s="128">
        <v>33</v>
      </c>
      <c r="BU143" s="128">
        <v>29</v>
      </c>
      <c r="BV143" s="128">
        <v>11</v>
      </c>
      <c r="BW143" s="128">
        <v>5</v>
      </c>
      <c r="BX143" s="128">
        <v>134</v>
      </c>
      <c r="BY143" s="128">
        <v>33</v>
      </c>
      <c r="BZ143" s="128">
        <v>29</v>
      </c>
      <c r="CA143" s="128">
        <v>11</v>
      </c>
      <c r="CB143" s="128">
        <v>5</v>
      </c>
      <c r="CC143" s="128">
        <v>134</v>
      </c>
      <c r="CD143" s="128">
        <v>0</v>
      </c>
      <c r="CE143" s="128">
        <v>212</v>
      </c>
      <c r="CF143" s="128">
        <v>212</v>
      </c>
      <c r="CG143" s="128">
        <v>1</v>
      </c>
      <c r="CH143" s="128">
        <v>0</v>
      </c>
      <c r="CI143" s="128">
        <v>0</v>
      </c>
      <c r="CJ143" s="128">
        <v>0</v>
      </c>
      <c r="CK143" s="128">
        <v>0</v>
      </c>
      <c r="CL143" s="128">
        <v>0</v>
      </c>
      <c r="CM143" s="128">
        <v>38</v>
      </c>
      <c r="CN143" s="128">
        <v>33</v>
      </c>
      <c r="CO143" s="128">
        <v>13</v>
      </c>
      <c r="CP143" s="128">
        <v>6</v>
      </c>
      <c r="CQ143" s="128">
        <v>170</v>
      </c>
      <c r="CR143" s="128">
        <v>38</v>
      </c>
      <c r="CS143" s="128">
        <v>33</v>
      </c>
      <c r="CT143" s="128">
        <v>13</v>
      </c>
      <c r="CU143" s="128">
        <v>6</v>
      </c>
      <c r="CV143" s="128">
        <v>170</v>
      </c>
      <c r="CW143" s="128">
        <v>0</v>
      </c>
      <c r="CX143" s="128">
        <v>260</v>
      </c>
      <c r="CY143" s="128">
        <v>260</v>
      </c>
      <c r="CZ143" s="128">
        <v>1</v>
      </c>
      <c r="EK143" s="128">
        <v>1</v>
      </c>
      <c r="EL143" s="128">
        <v>1</v>
      </c>
      <c r="EM143" s="128">
        <v>1</v>
      </c>
      <c r="EN143" s="128">
        <v>458849</v>
      </c>
      <c r="EO143" s="128">
        <v>347145</v>
      </c>
      <c r="EP143" s="128">
        <v>16</v>
      </c>
      <c r="EQ143" s="128">
        <v>16</v>
      </c>
      <c r="ER143" s="128">
        <v>15</v>
      </c>
      <c r="ES143" s="128">
        <v>7365779</v>
      </c>
      <c r="ET143" s="128">
        <v>5572628</v>
      </c>
      <c r="FO143" s="128">
        <v>6</v>
      </c>
      <c r="FP143" s="128">
        <v>3.75</v>
      </c>
      <c r="FQ143" s="128">
        <v>3.75</v>
      </c>
      <c r="FR143" s="128">
        <v>2031872</v>
      </c>
      <c r="FS143" s="128">
        <v>1537227</v>
      </c>
      <c r="KG143" s="128">
        <v>0</v>
      </c>
      <c r="KI143" s="128">
        <v>17</v>
      </c>
      <c r="KJ143" s="128">
        <v>0</v>
      </c>
      <c r="KK143" s="128">
        <v>0</v>
      </c>
      <c r="KL143" s="128">
        <v>0</v>
      </c>
      <c r="KM143" s="128">
        <v>17</v>
      </c>
      <c r="KN143" s="128">
        <v>9856500</v>
      </c>
      <c r="KO143" s="128">
        <v>7457000</v>
      </c>
      <c r="KP143" s="128">
        <v>7457000</v>
      </c>
      <c r="KT143" s="128">
        <v>0</v>
      </c>
      <c r="KU143" s="128">
        <v>0</v>
      </c>
      <c r="KV143" s="128">
        <v>0</v>
      </c>
      <c r="KZ143" s="128">
        <v>0</v>
      </c>
      <c r="LA143" s="128">
        <v>0</v>
      </c>
      <c r="LB143" s="128">
        <v>0</v>
      </c>
      <c r="LF143" s="128">
        <v>159000</v>
      </c>
      <c r="LG143" s="128">
        <v>0</v>
      </c>
      <c r="LH143" s="128">
        <v>0</v>
      </c>
      <c r="LL143" s="128">
        <v>0</v>
      </c>
      <c r="LM143" s="128">
        <v>0</v>
      </c>
      <c r="LN143" s="128">
        <v>0</v>
      </c>
      <c r="LR143" s="128">
        <v>40000</v>
      </c>
      <c r="LS143" s="128">
        <v>0</v>
      </c>
      <c r="LT143" s="128">
        <v>0</v>
      </c>
      <c r="LX143" s="128">
        <v>0</v>
      </c>
      <c r="LY143" s="128">
        <v>0</v>
      </c>
      <c r="LZ143" s="128">
        <v>0</v>
      </c>
      <c r="MD143" s="128">
        <v>4000</v>
      </c>
      <c r="ME143" s="128">
        <v>0</v>
      </c>
      <c r="MF143" s="128">
        <v>0</v>
      </c>
      <c r="MJ143" s="128">
        <v>210000</v>
      </c>
      <c r="MK143" s="128">
        <v>63000</v>
      </c>
      <c r="ML143" s="128">
        <v>63000</v>
      </c>
      <c r="MP143" s="128">
        <v>45000</v>
      </c>
      <c r="MQ143" s="128">
        <v>15000</v>
      </c>
      <c r="MR143" s="128">
        <v>15000</v>
      </c>
      <c r="MV143" s="128">
        <v>420000</v>
      </c>
      <c r="MW143" s="128">
        <v>134000</v>
      </c>
      <c r="MX143" s="128">
        <v>134000</v>
      </c>
      <c r="NB143" s="128">
        <v>28000</v>
      </c>
      <c r="NC143" s="128">
        <v>9000</v>
      </c>
      <c r="ND143" s="128">
        <v>9000</v>
      </c>
      <c r="NH143" s="128">
        <v>0</v>
      </c>
      <c r="NI143" s="128">
        <v>0</v>
      </c>
      <c r="NJ143" s="128">
        <v>0</v>
      </c>
      <c r="NN143" s="128">
        <v>0</v>
      </c>
      <c r="NO143" s="128">
        <v>0</v>
      </c>
      <c r="NP143" s="128">
        <v>0</v>
      </c>
      <c r="NT143" s="128">
        <v>36000</v>
      </c>
      <c r="NU143" s="128">
        <v>12000</v>
      </c>
      <c r="NV143" s="128">
        <v>12000</v>
      </c>
      <c r="NZ143" s="128">
        <v>70000</v>
      </c>
      <c r="OA143" s="128">
        <v>0</v>
      </c>
      <c r="OB143" s="128">
        <v>0</v>
      </c>
      <c r="OF143" s="128">
        <v>4000</v>
      </c>
      <c r="OG143" s="128">
        <v>0</v>
      </c>
      <c r="OH143" s="128">
        <v>0</v>
      </c>
      <c r="OL143" s="128">
        <v>0</v>
      </c>
      <c r="OM143" s="128">
        <v>0</v>
      </c>
      <c r="ON143" s="128">
        <v>0</v>
      </c>
      <c r="OR143" s="128">
        <v>0</v>
      </c>
      <c r="OS143" s="128">
        <v>0</v>
      </c>
      <c r="OT143" s="128">
        <v>0</v>
      </c>
      <c r="OX143" s="128">
        <v>33500</v>
      </c>
      <c r="OY143" s="128">
        <v>0</v>
      </c>
      <c r="OZ143" s="128">
        <v>0</v>
      </c>
      <c r="PD143" s="128">
        <v>112000</v>
      </c>
      <c r="PE143" s="128">
        <v>0</v>
      </c>
      <c r="PF143" s="128">
        <v>0</v>
      </c>
      <c r="PJ143" s="128">
        <v>135000</v>
      </c>
      <c r="PK143" s="128">
        <v>0</v>
      </c>
      <c r="PL143" s="128">
        <v>0</v>
      </c>
      <c r="PP143" s="128">
        <v>11153000</v>
      </c>
      <c r="PQ143" s="128">
        <v>7690000</v>
      </c>
      <c r="PR143" s="128">
        <v>7690000</v>
      </c>
      <c r="PS143" s="128">
        <v>100</v>
      </c>
      <c r="PT143" s="128">
        <v>100</v>
      </c>
      <c r="PV143" s="128">
        <v>7676111</v>
      </c>
      <c r="PX143" s="128">
        <v>2874944</v>
      </c>
      <c r="PY143" s="128">
        <v>2576210</v>
      </c>
      <c r="PZ143" s="128">
        <v>7690000</v>
      </c>
      <c r="QA143" s="128">
        <v>0</v>
      </c>
      <c r="QB143" s="128">
        <v>0</v>
      </c>
      <c r="QC143" s="128">
        <v>0</v>
      </c>
      <c r="QD143" s="128">
        <v>4108306</v>
      </c>
      <c r="QE143" s="128">
        <v>5408290</v>
      </c>
      <c r="QF143" s="128">
        <v>1673000</v>
      </c>
      <c r="QG143" s="128">
        <v>0</v>
      </c>
      <c r="QH143" s="128">
        <v>0</v>
      </c>
      <c r="QI143" s="128">
        <v>0</v>
      </c>
      <c r="QJ143" s="128">
        <v>1971969</v>
      </c>
      <c r="QK143" s="128">
        <v>1690000</v>
      </c>
      <c r="QL143" s="128">
        <v>1790000</v>
      </c>
      <c r="QN143" s="128">
        <v>0</v>
      </c>
      <c r="QO143" s="128">
        <v>0</v>
      </c>
      <c r="QP143" s="128">
        <v>0</v>
      </c>
      <c r="RD143" s="128">
        <v>702</v>
      </c>
      <c r="RE143" s="128">
        <v>0</v>
      </c>
      <c r="RF143" s="128">
        <v>0</v>
      </c>
      <c r="RH143" s="128">
        <f t="shared" si="310"/>
        <v>9363000</v>
      </c>
      <c r="RI143" s="128">
        <v>0</v>
      </c>
      <c r="RM143" s="128" t="s">
        <v>220</v>
      </c>
      <c r="RU143" s="130"/>
      <c r="RV143" s="130"/>
      <c r="RW143" s="130"/>
      <c r="RX143" s="130"/>
      <c r="SF143" s="128">
        <f t="shared" si="220"/>
        <v>7259548</v>
      </c>
      <c r="SG143" s="131">
        <f t="shared" si="221"/>
        <v>11153000</v>
      </c>
      <c r="SH143" s="131">
        <f t="shared" si="222"/>
        <v>11153000</v>
      </c>
      <c r="SI143" s="131">
        <f t="shared" si="223"/>
        <v>10015500</v>
      </c>
      <c r="SJ143" s="132">
        <f t="shared" si="224"/>
        <v>9856500</v>
      </c>
      <c r="SK143" s="132">
        <f t="shared" si="225"/>
        <v>0</v>
      </c>
      <c r="SL143" s="132">
        <f t="shared" si="226"/>
        <v>0</v>
      </c>
      <c r="SM143" s="132">
        <f t="shared" si="227"/>
        <v>159000</v>
      </c>
      <c r="SN143" s="131">
        <f t="shared" si="228"/>
        <v>1137500</v>
      </c>
      <c r="SO143" s="131">
        <f t="shared" si="229"/>
        <v>40000</v>
      </c>
      <c r="SP143" s="132">
        <f t="shared" si="230"/>
        <v>0</v>
      </c>
      <c r="SQ143" s="132">
        <f t="shared" si="231"/>
        <v>40000</v>
      </c>
      <c r="SR143" s="132">
        <f t="shared" si="232"/>
        <v>0</v>
      </c>
      <c r="SS143" s="132">
        <f t="shared" si="233"/>
        <v>4000</v>
      </c>
      <c r="ST143" s="132">
        <f t="shared" si="234"/>
        <v>210000</v>
      </c>
      <c r="SU143" s="132">
        <f t="shared" si="235"/>
        <v>45000</v>
      </c>
      <c r="SV143" s="131">
        <f t="shared" si="236"/>
        <v>591500</v>
      </c>
      <c r="SW143" s="132">
        <f t="shared" si="237"/>
        <v>420000</v>
      </c>
      <c r="SX143" s="132">
        <f t="shared" si="238"/>
        <v>28000</v>
      </c>
      <c r="SY143" s="132">
        <f t="shared" si="239"/>
        <v>0</v>
      </c>
      <c r="SZ143" s="132">
        <f t="shared" si="240"/>
        <v>0</v>
      </c>
      <c r="TA143" s="132">
        <f t="shared" si="241"/>
        <v>36000</v>
      </c>
      <c r="TB143" s="132">
        <f t="shared" si="242"/>
        <v>70000</v>
      </c>
      <c r="TC143" s="132">
        <f t="shared" si="243"/>
        <v>4000</v>
      </c>
      <c r="TD143" s="132">
        <f t="shared" si="244"/>
        <v>0</v>
      </c>
      <c r="TE143" s="132">
        <f t="shared" si="245"/>
        <v>0</v>
      </c>
      <c r="TF143" s="132">
        <f t="shared" si="246"/>
        <v>33500</v>
      </c>
      <c r="TG143" s="132">
        <f t="shared" si="247"/>
        <v>112000</v>
      </c>
      <c r="TH143" s="132">
        <f t="shared" si="248"/>
        <v>135000</v>
      </c>
      <c r="TI143" s="1"/>
      <c r="TJ143" s="131">
        <f t="shared" si="249"/>
        <v>7690000</v>
      </c>
      <c r="TK143" s="131">
        <f t="shared" si="250"/>
        <v>7690000</v>
      </c>
      <c r="TL143" s="131">
        <f t="shared" si="251"/>
        <v>7457000</v>
      </c>
      <c r="TM143" s="132">
        <f t="shared" si="252"/>
        <v>7457000</v>
      </c>
      <c r="TN143" s="132">
        <f t="shared" si="253"/>
        <v>0</v>
      </c>
      <c r="TO143" s="132">
        <f t="shared" si="254"/>
        <v>0</v>
      </c>
      <c r="TP143" s="132">
        <f t="shared" si="255"/>
        <v>0</v>
      </c>
      <c r="TQ143" s="131">
        <f t="shared" si="256"/>
        <v>233000</v>
      </c>
      <c r="TR143" s="131">
        <f t="shared" si="257"/>
        <v>0</v>
      </c>
      <c r="TS143" s="132">
        <f t="shared" si="258"/>
        <v>0</v>
      </c>
      <c r="TT143" s="132">
        <f t="shared" si="259"/>
        <v>0</v>
      </c>
      <c r="TU143" s="132">
        <f t="shared" si="260"/>
        <v>0</v>
      </c>
      <c r="TV143" s="132">
        <f t="shared" si="261"/>
        <v>0</v>
      </c>
      <c r="TW143" s="132">
        <f t="shared" si="262"/>
        <v>63000</v>
      </c>
      <c r="TX143" s="132">
        <f t="shared" si="263"/>
        <v>15000</v>
      </c>
      <c r="TY143" s="131">
        <f t="shared" si="264"/>
        <v>155000</v>
      </c>
      <c r="TZ143" s="132">
        <f t="shared" si="265"/>
        <v>134000</v>
      </c>
      <c r="UA143" s="132">
        <f t="shared" si="266"/>
        <v>9000</v>
      </c>
      <c r="UB143" s="132">
        <f t="shared" si="267"/>
        <v>0</v>
      </c>
      <c r="UC143" s="132">
        <f t="shared" si="268"/>
        <v>0</v>
      </c>
      <c r="UD143" s="132">
        <f t="shared" si="269"/>
        <v>12000</v>
      </c>
      <c r="UE143" s="132">
        <f t="shared" si="270"/>
        <v>0</v>
      </c>
      <c r="UF143" s="132">
        <f t="shared" si="271"/>
        <v>0</v>
      </c>
      <c r="UG143" s="132">
        <f t="shared" si="272"/>
        <v>0</v>
      </c>
      <c r="UH143" s="132">
        <f t="shared" si="273"/>
        <v>0</v>
      </c>
      <c r="UI143" s="132">
        <f t="shared" si="274"/>
        <v>0</v>
      </c>
      <c r="UJ143" s="132">
        <f t="shared" si="275"/>
        <v>0</v>
      </c>
      <c r="UK143" s="132">
        <f t="shared" si="276"/>
        <v>0</v>
      </c>
      <c r="UL143" s="132">
        <f t="shared" si="311"/>
        <v>7690000</v>
      </c>
      <c r="UM143" s="131">
        <f t="shared" si="277"/>
        <v>7690000</v>
      </c>
      <c r="UN143" s="131">
        <f t="shared" si="278"/>
        <v>7690000</v>
      </c>
      <c r="UO143" s="131">
        <f t="shared" si="279"/>
        <v>7457000</v>
      </c>
      <c r="UP143" s="132">
        <f t="shared" si="280"/>
        <v>7457000</v>
      </c>
      <c r="UQ143" s="132">
        <f t="shared" si="281"/>
        <v>0</v>
      </c>
      <c r="UR143" s="132">
        <f t="shared" si="282"/>
        <v>0</v>
      </c>
      <c r="US143" s="132">
        <f t="shared" si="283"/>
        <v>0</v>
      </c>
      <c r="UT143" s="131">
        <f t="shared" si="284"/>
        <v>233000</v>
      </c>
      <c r="UU143" s="131">
        <f t="shared" si="285"/>
        <v>0</v>
      </c>
      <c r="UV143" s="132">
        <f t="shared" si="286"/>
        <v>0</v>
      </c>
      <c r="UW143" s="132">
        <f t="shared" si="287"/>
        <v>0</v>
      </c>
      <c r="UX143" s="132">
        <f t="shared" si="288"/>
        <v>0</v>
      </c>
      <c r="UY143" s="132">
        <f t="shared" si="289"/>
        <v>0</v>
      </c>
      <c r="UZ143" s="132">
        <f t="shared" si="290"/>
        <v>63000</v>
      </c>
      <c r="VA143" s="132">
        <f t="shared" si="291"/>
        <v>15000</v>
      </c>
      <c r="VB143" s="131">
        <f t="shared" si="292"/>
        <v>155000</v>
      </c>
      <c r="VC143" s="132">
        <f t="shared" si="293"/>
        <v>134000</v>
      </c>
      <c r="VD143" s="132">
        <f t="shared" si="294"/>
        <v>9000</v>
      </c>
      <c r="VE143" s="132">
        <f t="shared" si="295"/>
        <v>0</v>
      </c>
      <c r="VF143" s="132">
        <f t="shared" si="296"/>
        <v>0</v>
      </c>
      <c r="VG143" s="132">
        <f t="shared" si="297"/>
        <v>12000</v>
      </c>
      <c r="VH143" s="132">
        <f t="shared" si="298"/>
        <v>0</v>
      </c>
      <c r="VI143" s="132">
        <f t="shared" si="299"/>
        <v>0</v>
      </c>
      <c r="VJ143" s="132">
        <f t="shared" si="300"/>
        <v>0</v>
      </c>
      <c r="VK143" s="132">
        <f t="shared" si="301"/>
        <v>0</v>
      </c>
      <c r="VL143" s="132">
        <f t="shared" si="302"/>
        <v>0</v>
      </c>
      <c r="VM143" s="132">
        <f t="shared" si="303"/>
        <v>0</v>
      </c>
      <c r="VN143" s="132">
        <f t="shared" si="304"/>
        <v>0</v>
      </c>
      <c r="VP143" s="845" t="str">
        <f>IFERROR(HLOOKUP(F143,'Hodnocení '!$C$1:$JH$5,2,FALSE),0)</f>
        <v>Pečovatelská služba</v>
      </c>
      <c r="VQ143" s="838"/>
      <c r="VR143" s="845" t="str">
        <f t="shared" si="312"/>
        <v>Příspěvková organizace zřízená územním samosprávným celkem</v>
      </c>
      <c r="VS143" s="845" t="str">
        <f>IFERROR(HLOOKUP(F143,'Hodnocení '!$C$1:$JH$5,5,FALSE),0)</f>
        <v>Obce</v>
      </c>
      <c r="VT143" s="838" t="str">
        <f t="shared" si="313"/>
        <v>Příspěvková organizace zřízená územním samosprávným celkem</v>
      </c>
      <c r="VU143" s="838">
        <f t="shared" si="314"/>
        <v>0</v>
      </c>
      <c r="VV143" s="838">
        <f t="shared" si="315"/>
        <v>1790000</v>
      </c>
      <c r="VW143" s="838">
        <f t="shared" si="316"/>
        <v>0</v>
      </c>
      <c r="VX143" s="838"/>
      <c r="VY143" s="838">
        <f t="shared" si="216"/>
        <v>0</v>
      </c>
      <c r="VZ143" s="838">
        <f t="shared" si="217"/>
        <v>7690000</v>
      </c>
      <c r="WA143" s="846">
        <f>IFERROR(HLOOKUP($F143,'Hodnocení '!$C$1:$JH$9,9,FALSE),0)</f>
        <v>7690000</v>
      </c>
      <c r="WB143" s="846">
        <f>IF(IFERROR(HLOOKUP($F143,'Hodnocení '!$C$1:$JH$13,13,FALSE),0)&gt;WA143,WA143,IFERROR(HLOOKUP($F143,'Hodnocení '!$C$1:$JH$13,13,FALSE),0))</f>
        <v>7690000</v>
      </c>
      <c r="WC143" s="846">
        <f>IFERROR(HLOOKUP($F143,'Hodnocení '!$C$1:$JH$155,155,FALSE),0)</f>
        <v>2571150</v>
      </c>
      <c r="WD143" s="845"/>
      <c r="WE143" s="845"/>
      <c r="WF143" s="845" t="str">
        <f t="shared" si="305"/>
        <v>ANO</v>
      </c>
      <c r="WG143" s="849" t="str">
        <f t="shared" si="218"/>
        <v>Podpora služby je vyjádřena zařazením do sítě sociálních služeb v KHK a řešením financování služby</v>
      </c>
      <c r="WH143"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43" s="849" t="str">
        <f t="shared" si="218"/>
        <v>Návrh dotace je výsledkem projednání s ostatními zadavateli v rámci sítě služeb KHK</v>
      </c>
      <c r="WJ143" s="849" t="str">
        <f t="shared" si="218"/>
        <v>Bez komentáře</v>
      </c>
      <c r="WK143" s="31" t="str">
        <f t="shared" si="306"/>
        <v>Výše příspěvku ze strany zřizovatele bude řešen v návaznosti na řešení podílů jednotlivých zadavatelů</v>
      </c>
      <c r="WL143" s="850">
        <f t="shared" si="307"/>
        <v>0</v>
      </c>
      <c r="WM143" s="849" t="str">
        <f t="shared" si="308"/>
        <v>V rámci sítě KHK se dlouhodobě řeší otázka navyšování úhrad a průběžně se monitoruje s vazbou na vykrytí vyrovnávací platby</v>
      </c>
      <c r="WN143" s="849">
        <f t="shared" si="309"/>
        <v>0</v>
      </c>
      <c r="WO143" s="849" t="str">
        <f t="shared" si="219"/>
        <v>bez komentáře</v>
      </c>
      <c r="WP143" s="849" t="str">
        <f t="shared" si="219"/>
        <v>bez komentáře</v>
      </c>
      <c r="WQ143" s="849" t="str">
        <f t="shared" si="219"/>
        <v>Konečná výše dotace z rozpočtu KHK bude řešena v návaznosti na řešení podílů jednotlivých zadavatelů.</v>
      </c>
      <c r="WR143" s="849" t="str">
        <f t="shared" si="219"/>
        <v>Konečná výše podpory ze stran obcí bude řešena v součinnosti s jednotlivými zadavateli v průběhu roku.</v>
      </c>
      <c r="WS143" s="849" t="str">
        <f t="shared" si="219"/>
        <v>bez komentáře</v>
      </c>
      <c r="WT143" s="849" t="str">
        <f t="shared" si="219"/>
        <v>bez komentáře</v>
      </c>
      <c r="WU143" s="845"/>
    </row>
    <row r="144" spans="1:619" s="128" customFormat="1" x14ac:dyDescent="0.25">
      <c r="A144" s="128" t="str">
        <f>VLOOKUP(F144,'Výpočet VP 2020'!$D$324:$I$588,6,FALSE)</f>
        <v>Je v síti</v>
      </c>
      <c r="B144" s="128" t="s">
        <v>682</v>
      </c>
      <c r="C144" s="128">
        <v>62730631</v>
      </c>
      <c r="D144" s="128" t="s">
        <v>683</v>
      </c>
      <c r="E144" s="128" t="s">
        <v>259</v>
      </c>
      <c r="F144" s="128">
        <v>2506443</v>
      </c>
      <c r="G144" s="128" t="s">
        <v>286</v>
      </c>
      <c r="H144" s="128" t="s">
        <v>218</v>
      </c>
      <c r="I144" s="128" t="s">
        <v>287</v>
      </c>
      <c r="J144" s="129">
        <v>39083</v>
      </c>
      <c r="L144" s="128" t="s">
        <v>220</v>
      </c>
      <c r="X144" s="128" t="s">
        <v>489</v>
      </c>
      <c r="Z144" s="128">
        <v>2</v>
      </c>
      <c r="AA144" s="128">
        <v>15</v>
      </c>
      <c r="AB144" s="128">
        <v>42</v>
      </c>
      <c r="AC144" s="128">
        <v>41</v>
      </c>
      <c r="AD144" s="128">
        <v>50</v>
      </c>
      <c r="AN144" s="128">
        <v>6650</v>
      </c>
      <c r="BL144" s="128" t="s">
        <v>419</v>
      </c>
      <c r="BM144" s="128" t="s">
        <v>325</v>
      </c>
      <c r="BN144" s="128" t="s">
        <v>326</v>
      </c>
      <c r="BO144" s="128">
        <v>0</v>
      </c>
      <c r="BP144" s="128">
        <v>0</v>
      </c>
      <c r="BQ144" s="128">
        <v>0</v>
      </c>
      <c r="BR144" s="128">
        <v>0</v>
      </c>
      <c r="BS144" s="128">
        <v>0</v>
      </c>
      <c r="BT144" s="128">
        <v>0</v>
      </c>
      <c r="BU144" s="128">
        <v>0</v>
      </c>
      <c r="BV144" s="128">
        <v>0</v>
      </c>
      <c r="BW144" s="128">
        <v>0</v>
      </c>
      <c r="BX144" s="128">
        <v>28</v>
      </c>
      <c r="BY144" s="128">
        <v>0</v>
      </c>
      <c r="BZ144" s="128">
        <v>0</v>
      </c>
      <c r="CA144" s="128">
        <v>0</v>
      </c>
      <c r="CB144" s="128">
        <v>0</v>
      </c>
      <c r="CC144" s="128">
        <v>28</v>
      </c>
      <c r="CD144" s="128">
        <v>0</v>
      </c>
      <c r="CE144" s="128">
        <v>28</v>
      </c>
      <c r="CF144" s="128">
        <v>28</v>
      </c>
      <c r="CH144" s="128">
        <v>0</v>
      </c>
      <c r="CI144" s="128">
        <v>0</v>
      </c>
      <c r="CJ144" s="128">
        <v>0</v>
      </c>
      <c r="CK144" s="128">
        <v>0</v>
      </c>
      <c r="CL144" s="128">
        <v>0</v>
      </c>
      <c r="CM144" s="128">
        <v>0</v>
      </c>
      <c r="CN144" s="128">
        <v>0</v>
      </c>
      <c r="CO144" s="128">
        <v>0</v>
      </c>
      <c r="CP144" s="128">
        <v>0</v>
      </c>
      <c r="CQ144" s="128">
        <v>50</v>
      </c>
      <c r="CR144" s="128">
        <v>0</v>
      </c>
      <c r="CS144" s="128">
        <v>0</v>
      </c>
      <c r="CT144" s="128">
        <v>0</v>
      </c>
      <c r="CU144" s="128">
        <v>0</v>
      </c>
      <c r="CV144" s="128">
        <v>50</v>
      </c>
      <c r="CW144" s="128">
        <v>0</v>
      </c>
      <c r="CX144" s="128">
        <v>50</v>
      </c>
      <c r="CY144" s="128">
        <v>50</v>
      </c>
      <c r="EK144" s="128">
        <v>2</v>
      </c>
      <c r="EL144" s="128">
        <v>0.34</v>
      </c>
      <c r="EM144" s="128">
        <v>0.34</v>
      </c>
      <c r="EN144" s="128">
        <v>194930</v>
      </c>
      <c r="EO144" s="128">
        <v>194930</v>
      </c>
      <c r="EP144" s="128">
        <v>2</v>
      </c>
      <c r="EQ144" s="128">
        <v>1.8</v>
      </c>
      <c r="ER144" s="128">
        <v>1.8080000000000001</v>
      </c>
      <c r="ES144" s="128">
        <v>859787</v>
      </c>
      <c r="ET144" s="128">
        <v>859787</v>
      </c>
      <c r="EU144" s="128">
        <v>2</v>
      </c>
      <c r="EV144" s="128">
        <v>0.06</v>
      </c>
      <c r="EW144" s="128">
        <v>0.06</v>
      </c>
      <c r="EX144" s="128">
        <v>37292</v>
      </c>
      <c r="EY144" s="128">
        <v>0</v>
      </c>
      <c r="FO144" s="128">
        <v>15</v>
      </c>
      <c r="FP144" s="128">
        <v>1.256</v>
      </c>
      <c r="FQ144" s="128">
        <v>1.228</v>
      </c>
      <c r="FR144" s="128">
        <v>677237</v>
      </c>
      <c r="FS144" s="128">
        <v>0</v>
      </c>
      <c r="FZ144" s="128">
        <v>1</v>
      </c>
      <c r="GA144" s="128">
        <v>0.2</v>
      </c>
      <c r="GB144" s="128">
        <v>12</v>
      </c>
      <c r="GC144" s="128">
        <v>0.2</v>
      </c>
      <c r="GD144" s="128">
        <v>33000</v>
      </c>
      <c r="GE144" s="128">
        <v>0</v>
      </c>
      <c r="IH144" s="128">
        <v>1</v>
      </c>
      <c r="II144" s="128">
        <v>0.2</v>
      </c>
      <c r="IJ144" s="128">
        <v>12</v>
      </c>
      <c r="IK144" s="128">
        <v>0.2</v>
      </c>
      <c r="IL144" s="128">
        <v>15000</v>
      </c>
      <c r="IM144" s="128">
        <v>0</v>
      </c>
      <c r="IN144" s="128">
        <v>2</v>
      </c>
      <c r="IO144" s="128">
        <v>500</v>
      </c>
      <c r="IP144" s="128">
        <v>0.23899999999999999</v>
      </c>
      <c r="IQ144" s="128">
        <v>47500</v>
      </c>
      <c r="IR144" s="128">
        <v>0</v>
      </c>
      <c r="IS144" s="128">
        <v>1</v>
      </c>
      <c r="IT144" s="128">
        <v>70</v>
      </c>
      <c r="IU144" s="128">
        <v>3.3000000000000002E-2</v>
      </c>
      <c r="IV144" s="128">
        <v>6650</v>
      </c>
      <c r="IW144" s="128">
        <v>0</v>
      </c>
      <c r="KG144" s="128">
        <v>0</v>
      </c>
      <c r="KI144" s="128">
        <v>2.2000000000000002</v>
      </c>
      <c r="KJ144" s="128">
        <v>0.2</v>
      </c>
      <c r="KK144" s="128">
        <v>0.23899999999999999</v>
      </c>
      <c r="KL144" s="128">
        <v>0</v>
      </c>
      <c r="KM144" s="128">
        <v>2.6389999999999998</v>
      </c>
      <c r="KN144" s="128">
        <v>1769246</v>
      </c>
      <c r="KO144" s="128">
        <v>1054717</v>
      </c>
      <c r="KP144" s="128">
        <v>1054717</v>
      </c>
      <c r="KT144" s="128">
        <v>48000</v>
      </c>
      <c r="KU144" s="128">
        <v>0</v>
      </c>
      <c r="KV144" s="128">
        <v>0</v>
      </c>
      <c r="KZ144" s="128">
        <v>54150</v>
      </c>
      <c r="LA144" s="128">
        <v>0</v>
      </c>
      <c r="LB144" s="128">
        <v>0</v>
      </c>
      <c r="LF144" s="128">
        <v>55190</v>
      </c>
      <c r="LG144" s="128">
        <v>0</v>
      </c>
      <c r="LH144" s="128">
        <v>0</v>
      </c>
      <c r="LL144" s="128">
        <v>0</v>
      </c>
      <c r="LM144" s="128">
        <v>0</v>
      </c>
      <c r="LN144" s="128">
        <v>0</v>
      </c>
      <c r="LR144" s="128">
        <v>30000</v>
      </c>
      <c r="LS144" s="128">
        <v>0</v>
      </c>
      <c r="LT144" s="128">
        <v>0</v>
      </c>
      <c r="LX144" s="128">
        <v>0</v>
      </c>
      <c r="LY144" s="128">
        <v>0</v>
      </c>
      <c r="LZ144" s="128">
        <v>0</v>
      </c>
      <c r="MD144" s="128">
        <v>7000</v>
      </c>
      <c r="ME144" s="128">
        <v>0</v>
      </c>
      <c r="MF144" s="128">
        <v>0</v>
      </c>
      <c r="MJ144" s="128">
        <v>18000</v>
      </c>
      <c r="MK144" s="128">
        <v>0</v>
      </c>
      <c r="ML144" s="128">
        <v>0</v>
      </c>
      <c r="MP144" s="128">
        <v>75000</v>
      </c>
      <c r="MQ144" s="128">
        <v>0</v>
      </c>
      <c r="MR144" s="128">
        <v>0</v>
      </c>
      <c r="MV144" s="128">
        <v>130000</v>
      </c>
      <c r="MW144" s="128">
        <v>0</v>
      </c>
      <c r="MX144" s="128">
        <v>0</v>
      </c>
      <c r="NB144" s="128">
        <v>4000</v>
      </c>
      <c r="NC144" s="128">
        <v>0</v>
      </c>
      <c r="ND144" s="128">
        <v>0</v>
      </c>
      <c r="NH144" s="128">
        <v>0</v>
      </c>
      <c r="NI144" s="128">
        <v>0</v>
      </c>
      <c r="NJ144" s="128">
        <v>0</v>
      </c>
      <c r="NN144" s="128">
        <v>0</v>
      </c>
      <c r="NO144" s="128">
        <v>0</v>
      </c>
      <c r="NP144" s="128">
        <v>0</v>
      </c>
      <c r="NT144" s="128">
        <v>15000</v>
      </c>
      <c r="NU144" s="128">
        <v>0</v>
      </c>
      <c r="NV144" s="128">
        <v>0</v>
      </c>
      <c r="NZ144" s="128">
        <v>30000</v>
      </c>
      <c r="OA144" s="128">
        <v>0</v>
      </c>
      <c r="OB144" s="128">
        <v>0</v>
      </c>
      <c r="OF144" s="128">
        <v>2000</v>
      </c>
      <c r="OG144" s="128">
        <v>0</v>
      </c>
      <c r="OH144" s="128">
        <v>0</v>
      </c>
      <c r="OL144" s="128">
        <v>0</v>
      </c>
      <c r="OM144" s="128">
        <v>0</v>
      </c>
      <c r="ON144" s="128">
        <v>0</v>
      </c>
      <c r="OR144" s="128">
        <v>0</v>
      </c>
      <c r="OS144" s="128">
        <v>0</v>
      </c>
      <c r="OT144" s="128">
        <v>0</v>
      </c>
      <c r="OX144" s="128">
        <v>224000</v>
      </c>
      <c r="OY144" s="128">
        <v>0</v>
      </c>
      <c r="OZ144" s="128">
        <v>0</v>
      </c>
      <c r="PD144" s="128">
        <v>0</v>
      </c>
      <c r="PE144" s="128">
        <v>0</v>
      </c>
      <c r="PF144" s="128">
        <v>0</v>
      </c>
      <c r="PJ144" s="128">
        <v>15000</v>
      </c>
      <c r="PK144" s="128">
        <v>0</v>
      </c>
      <c r="PL144" s="128">
        <v>0</v>
      </c>
      <c r="PP144" s="128">
        <v>2476586</v>
      </c>
      <c r="PQ144" s="128">
        <v>1054717</v>
      </c>
      <c r="PR144" s="128">
        <v>1054717</v>
      </c>
      <c r="PS144" s="128">
        <v>100</v>
      </c>
      <c r="PT144" s="128">
        <v>100</v>
      </c>
      <c r="PV144" s="128">
        <v>1606059</v>
      </c>
      <c r="PX144" s="128">
        <v>955386</v>
      </c>
      <c r="PY144" s="128">
        <v>1026112</v>
      </c>
      <c r="PZ144" s="128">
        <v>1054717</v>
      </c>
      <c r="QA144" s="128">
        <v>0</v>
      </c>
      <c r="QB144" s="128">
        <v>0</v>
      </c>
      <c r="QC144" s="128">
        <v>0</v>
      </c>
      <c r="QD144" s="128">
        <v>480000</v>
      </c>
      <c r="QE144" s="128">
        <v>475000</v>
      </c>
      <c r="QF144" s="128">
        <v>771869</v>
      </c>
      <c r="QG144" s="128">
        <v>0</v>
      </c>
      <c r="QH144" s="128">
        <v>0</v>
      </c>
      <c r="QI144" s="128">
        <v>0</v>
      </c>
      <c r="QJ144" s="128">
        <v>778055</v>
      </c>
      <c r="QK144" s="128">
        <v>658500</v>
      </c>
      <c r="QL144" s="128">
        <v>650000</v>
      </c>
      <c r="QN144" s="128">
        <v>0</v>
      </c>
      <c r="QO144" s="128">
        <v>0</v>
      </c>
      <c r="QP144" s="128">
        <v>0</v>
      </c>
      <c r="QU144" s="128">
        <v>0</v>
      </c>
      <c r="QV144" s="128">
        <v>63470</v>
      </c>
      <c r="QW144" s="128">
        <v>0</v>
      </c>
      <c r="RH144" s="128">
        <f t="shared" si="310"/>
        <v>1826586</v>
      </c>
      <c r="RI144" s="128">
        <v>0</v>
      </c>
      <c r="RM144" s="128" t="s">
        <v>220</v>
      </c>
      <c r="RU144" s="130"/>
      <c r="RV144" s="130"/>
      <c r="RW144" s="130"/>
      <c r="RX144" s="130"/>
      <c r="SF144" s="128">
        <f t="shared" si="220"/>
        <v>2506443</v>
      </c>
      <c r="SG144" s="131">
        <f t="shared" si="221"/>
        <v>2476586</v>
      </c>
      <c r="SH144" s="131">
        <f t="shared" si="222"/>
        <v>2476586</v>
      </c>
      <c r="SI144" s="131">
        <f t="shared" si="223"/>
        <v>1926586</v>
      </c>
      <c r="SJ144" s="132">
        <f t="shared" si="224"/>
        <v>1769246</v>
      </c>
      <c r="SK144" s="132">
        <f t="shared" si="225"/>
        <v>48000</v>
      </c>
      <c r="SL144" s="132">
        <f t="shared" si="226"/>
        <v>54150</v>
      </c>
      <c r="SM144" s="132">
        <f t="shared" si="227"/>
        <v>55190</v>
      </c>
      <c r="SN144" s="131">
        <f t="shared" si="228"/>
        <v>550000</v>
      </c>
      <c r="SO144" s="131">
        <f t="shared" si="229"/>
        <v>30000</v>
      </c>
      <c r="SP144" s="132">
        <f t="shared" si="230"/>
        <v>0</v>
      </c>
      <c r="SQ144" s="132">
        <f t="shared" si="231"/>
        <v>30000</v>
      </c>
      <c r="SR144" s="132">
        <f t="shared" si="232"/>
        <v>0</v>
      </c>
      <c r="SS144" s="132">
        <f t="shared" si="233"/>
        <v>7000</v>
      </c>
      <c r="ST144" s="132">
        <f t="shared" si="234"/>
        <v>18000</v>
      </c>
      <c r="SU144" s="132">
        <f t="shared" si="235"/>
        <v>75000</v>
      </c>
      <c r="SV144" s="131">
        <f t="shared" si="236"/>
        <v>405000</v>
      </c>
      <c r="SW144" s="132">
        <f t="shared" si="237"/>
        <v>130000</v>
      </c>
      <c r="SX144" s="132">
        <f t="shared" si="238"/>
        <v>4000</v>
      </c>
      <c r="SY144" s="132">
        <f t="shared" si="239"/>
        <v>0</v>
      </c>
      <c r="SZ144" s="132">
        <f t="shared" si="240"/>
        <v>0</v>
      </c>
      <c r="TA144" s="132">
        <f t="shared" si="241"/>
        <v>15000</v>
      </c>
      <c r="TB144" s="132">
        <f t="shared" si="242"/>
        <v>30000</v>
      </c>
      <c r="TC144" s="132">
        <f t="shared" si="243"/>
        <v>2000</v>
      </c>
      <c r="TD144" s="132">
        <f t="shared" si="244"/>
        <v>0</v>
      </c>
      <c r="TE144" s="132">
        <f t="shared" si="245"/>
        <v>0</v>
      </c>
      <c r="TF144" s="132">
        <f t="shared" si="246"/>
        <v>224000</v>
      </c>
      <c r="TG144" s="132">
        <f t="shared" si="247"/>
        <v>0</v>
      </c>
      <c r="TH144" s="132">
        <f t="shared" si="248"/>
        <v>15000</v>
      </c>
      <c r="TI144" s="1"/>
      <c r="TJ144" s="131">
        <f t="shared" si="249"/>
        <v>1054717</v>
      </c>
      <c r="TK144" s="131">
        <f t="shared" si="250"/>
        <v>1054717</v>
      </c>
      <c r="TL144" s="131">
        <f t="shared" si="251"/>
        <v>1054717</v>
      </c>
      <c r="TM144" s="132">
        <f t="shared" si="252"/>
        <v>1054717</v>
      </c>
      <c r="TN144" s="132">
        <f t="shared" si="253"/>
        <v>0</v>
      </c>
      <c r="TO144" s="132">
        <f t="shared" si="254"/>
        <v>0</v>
      </c>
      <c r="TP144" s="132">
        <f t="shared" si="255"/>
        <v>0</v>
      </c>
      <c r="TQ144" s="131">
        <f t="shared" si="256"/>
        <v>0</v>
      </c>
      <c r="TR144" s="131">
        <f t="shared" si="257"/>
        <v>0</v>
      </c>
      <c r="TS144" s="132">
        <f t="shared" si="258"/>
        <v>0</v>
      </c>
      <c r="TT144" s="132">
        <f t="shared" si="259"/>
        <v>0</v>
      </c>
      <c r="TU144" s="132">
        <f t="shared" si="260"/>
        <v>0</v>
      </c>
      <c r="TV144" s="132">
        <f t="shared" si="261"/>
        <v>0</v>
      </c>
      <c r="TW144" s="132">
        <f t="shared" si="262"/>
        <v>0</v>
      </c>
      <c r="TX144" s="132">
        <f t="shared" si="263"/>
        <v>0</v>
      </c>
      <c r="TY144" s="131">
        <f t="shared" si="264"/>
        <v>0</v>
      </c>
      <c r="TZ144" s="132">
        <f t="shared" si="265"/>
        <v>0</v>
      </c>
      <c r="UA144" s="132">
        <f t="shared" si="266"/>
        <v>0</v>
      </c>
      <c r="UB144" s="132">
        <f t="shared" si="267"/>
        <v>0</v>
      </c>
      <c r="UC144" s="132">
        <f t="shared" si="268"/>
        <v>0</v>
      </c>
      <c r="UD144" s="132">
        <f t="shared" si="269"/>
        <v>0</v>
      </c>
      <c r="UE144" s="132">
        <f t="shared" si="270"/>
        <v>0</v>
      </c>
      <c r="UF144" s="132">
        <f t="shared" si="271"/>
        <v>0</v>
      </c>
      <c r="UG144" s="132">
        <f t="shared" si="272"/>
        <v>0</v>
      </c>
      <c r="UH144" s="132">
        <f t="shared" si="273"/>
        <v>0</v>
      </c>
      <c r="UI144" s="132">
        <f t="shared" si="274"/>
        <v>0</v>
      </c>
      <c r="UJ144" s="132">
        <f t="shared" si="275"/>
        <v>0</v>
      </c>
      <c r="UK144" s="132">
        <f t="shared" si="276"/>
        <v>0</v>
      </c>
      <c r="UL144" s="132">
        <f t="shared" si="311"/>
        <v>1054717</v>
      </c>
      <c r="UM144" s="131">
        <f t="shared" si="277"/>
        <v>1054717</v>
      </c>
      <c r="UN144" s="131">
        <f t="shared" si="278"/>
        <v>1054717</v>
      </c>
      <c r="UO144" s="131">
        <f t="shared" si="279"/>
        <v>1054717</v>
      </c>
      <c r="UP144" s="132">
        <f t="shared" si="280"/>
        <v>1054717</v>
      </c>
      <c r="UQ144" s="132">
        <f t="shared" si="281"/>
        <v>0</v>
      </c>
      <c r="UR144" s="132">
        <f t="shared" si="282"/>
        <v>0</v>
      </c>
      <c r="US144" s="132">
        <f t="shared" si="283"/>
        <v>0</v>
      </c>
      <c r="UT144" s="131">
        <f t="shared" si="284"/>
        <v>0</v>
      </c>
      <c r="UU144" s="131">
        <f t="shared" si="285"/>
        <v>0</v>
      </c>
      <c r="UV144" s="132">
        <f t="shared" si="286"/>
        <v>0</v>
      </c>
      <c r="UW144" s="132">
        <f t="shared" si="287"/>
        <v>0</v>
      </c>
      <c r="UX144" s="132">
        <f t="shared" si="288"/>
        <v>0</v>
      </c>
      <c r="UY144" s="132">
        <f t="shared" si="289"/>
        <v>0</v>
      </c>
      <c r="UZ144" s="132">
        <f t="shared" si="290"/>
        <v>0</v>
      </c>
      <c r="VA144" s="132">
        <f t="shared" si="291"/>
        <v>0</v>
      </c>
      <c r="VB144" s="131">
        <f t="shared" si="292"/>
        <v>0</v>
      </c>
      <c r="VC144" s="132">
        <f t="shared" si="293"/>
        <v>0</v>
      </c>
      <c r="VD144" s="132">
        <f t="shared" si="294"/>
        <v>0</v>
      </c>
      <c r="VE144" s="132">
        <f t="shared" si="295"/>
        <v>0</v>
      </c>
      <c r="VF144" s="132">
        <f t="shared" si="296"/>
        <v>0</v>
      </c>
      <c r="VG144" s="132">
        <f t="shared" si="297"/>
        <v>0</v>
      </c>
      <c r="VH144" s="132">
        <f t="shared" si="298"/>
        <v>0</v>
      </c>
      <c r="VI144" s="132">
        <f t="shared" si="299"/>
        <v>0</v>
      </c>
      <c r="VJ144" s="132">
        <f t="shared" si="300"/>
        <v>0</v>
      </c>
      <c r="VK144" s="132">
        <f t="shared" si="301"/>
        <v>0</v>
      </c>
      <c r="VL144" s="132">
        <f t="shared" si="302"/>
        <v>0</v>
      </c>
      <c r="VM144" s="132">
        <f t="shared" si="303"/>
        <v>0</v>
      </c>
      <c r="VN144" s="132">
        <f t="shared" si="304"/>
        <v>0</v>
      </c>
      <c r="VP144" s="845" t="str">
        <f>IFERROR(HLOOKUP(F144,'Hodnocení '!$C$1:$JH$5,2,FALSE),0)</f>
        <v>Centrum denních služeb</v>
      </c>
      <c r="VQ144" s="838"/>
      <c r="VR144" s="845" t="str">
        <f t="shared" si="312"/>
        <v>Příspěvková organizace zřízená územním samosprávným celkem</v>
      </c>
      <c r="VS144" s="845" t="str">
        <f>IFERROR(HLOOKUP(F144,'Hodnocení '!$C$1:$JH$5,5,FALSE),0)</f>
        <v>Obce</v>
      </c>
      <c r="VT144" s="838" t="str">
        <f t="shared" si="313"/>
        <v>Příspěvková organizace zřízená územním samosprávným celkem</v>
      </c>
      <c r="VU144" s="838">
        <f t="shared" si="314"/>
        <v>0</v>
      </c>
      <c r="VV144" s="838">
        <f t="shared" si="315"/>
        <v>650000</v>
      </c>
      <c r="VW144" s="838">
        <f t="shared" si="316"/>
        <v>0</v>
      </c>
      <c r="VX144" s="838"/>
      <c r="VY144" s="838">
        <f t="shared" si="216"/>
        <v>0</v>
      </c>
      <c r="VZ144" s="838">
        <f t="shared" si="217"/>
        <v>1054717</v>
      </c>
      <c r="WA144" s="846">
        <f>IFERROR(HLOOKUP($F144,'Hodnocení '!$C$1:$JH$9,9,FALSE),0)</f>
        <v>1054717</v>
      </c>
      <c r="WB144" s="846">
        <f>IF(IFERROR(HLOOKUP($F144,'Hodnocení '!$C$1:$JH$13,13,FALSE),0)&gt;WA144,WA144,IFERROR(HLOOKUP($F144,'Hodnocení '!$C$1:$JH$13,13,FALSE),0))</f>
        <v>1054717</v>
      </c>
      <c r="WC144" s="846">
        <f>IFERROR(HLOOKUP($F144,'Hodnocení '!$C$1:$JH$155,155,FALSE),0)</f>
        <v>1054710</v>
      </c>
      <c r="WD144" s="845"/>
      <c r="WE144" s="845"/>
      <c r="WF144" s="845" t="str">
        <f t="shared" si="305"/>
        <v>ANO</v>
      </c>
      <c r="WG144" s="849" t="str">
        <f t="shared" si="218"/>
        <v>Podpora služby je vyjádřena zařazením do sítě sociálních služeb v KHK a řešením financování služby</v>
      </c>
      <c r="WH144"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44" s="849" t="str">
        <f t="shared" si="218"/>
        <v>Návrh dotace je výsledkem projednání s ostatními zadavateli v rámci sítě služeb KHK</v>
      </c>
      <c r="WJ144" s="849" t="str">
        <f t="shared" si="218"/>
        <v>Bez komentáře</v>
      </c>
      <c r="WK144" s="31" t="str">
        <f t="shared" si="306"/>
        <v>Výše příspěvku ze strany zřizovatele bude řešen v návaznosti na řešení podílů jednotlivých zadavatelů</v>
      </c>
      <c r="WL144" s="850">
        <f t="shared" si="307"/>
        <v>0</v>
      </c>
      <c r="WM144" s="849" t="str">
        <f t="shared" si="308"/>
        <v>V rámci sítě KHK se dlouhodobě řeší otázka navyšování úhrad a průběžně se monitoruje s vazbou na vykrytí vyrovnávací platby</v>
      </c>
      <c r="WN144" s="849">
        <f t="shared" si="309"/>
        <v>0</v>
      </c>
      <c r="WO144" s="849" t="str">
        <f t="shared" si="219"/>
        <v>bez komentáře</v>
      </c>
      <c r="WP144" s="849" t="str">
        <f t="shared" si="219"/>
        <v>bez komentáře</v>
      </c>
      <c r="WQ144" s="849" t="str">
        <f t="shared" si="219"/>
        <v>Konečná výše dotace z rozpočtu KHK bude řešena v návaznosti na řešení podílů jednotlivých zadavatelů.</v>
      </c>
      <c r="WR144" s="849" t="str">
        <f t="shared" si="219"/>
        <v>Konečná výše podpory ze stran obcí bude řešena v součinnosti s jednotlivými zadavateli v průběhu roku.</v>
      </c>
      <c r="WS144" s="849" t="str">
        <f t="shared" si="219"/>
        <v>bez komentáře</v>
      </c>
      <c r="WT144" s="849" t="str">
        <f t="shared" si="219"/>
        <v>bez komentáře</v>
      </c>
      <c r="WU144" s="845"/>
    </row>
    <row r="145" spans="1:619" s="128" customFormat="1" x14ac:dyDescent="0.25">
      <c r="A145" s="128" t="str">
        <f>VLOOKUP(F145,'Výpočet VP 2020'!$D$324:$I$588,6,FALSE)</f>
        <v>Je v síti</v>
      </c>
      <c r="B145" s="128" t="s">
        <v>682</v>
      </c>
      <c r="C145" s="128">
        <v>62730631</v>
      </c>
      <c r="D145" s="128" t="s">
        <v>683</v>
      </c>
      <c r="E145" s="128" t="s">
        <v>259</v>
      </c>
      <c r="F145" s="128">
        <v>4075651</v>
      </c>
      <c r="G145" s="128" t="s">
        <v>361</v>
      </c>
      <c r="H145" s="128" t="s">
        <v>218</v>
      </c>
      <c r="I145" s="128" t="s">
        <v>684</v>
      </c>
      <c r="J145" s="129">
        <v>39083</v>
      </c>
      <c r="L145" s="128" t="s">
        <v>220</v>
      </c>
      <c r="M145" s="128" t="s">
        <v>685</v>
      </c>
      <c r="N145" s="128">
        <v>56</v>
      </c>
      <c r="O145" s="128">
        <v>5</v>
      </c>
      <c r="P145" s="128">
        <v>64</v>
      </c>
      <c r="Q145" s="128">
        <v>47</v>
      </c>
      <c r="R145" s="128">
        <v>56</v>
      </c>
      <c r="W145" s="128" t="s">
        <v>686</v>
      </c>
      <c r="BL145" s="128" t="s">
        <v>419</v>
      </c>
      <c r="BM145" s="128" t="s">
        <v>325</v>
      </c>
      <c r="BN145" s="128" t="s">
        <v>352</v>
      </c>
      <c r="DA145" s="128">
        <v>0</v>
      </c>
      <c r="DB145" s="128">
        <v>0</v>
      </c>
      <c r="DC145" s="128">
        <v>0</v>
      </c>
      <c r="DD145" s="128">
        <v>0</v>
      </c>
      <c r="DE145" s="128">
        <v>0</v>
      </c>
      <c r="DF145" s="128">
        <v>0</v>
      </c>
      <c r="DG145" s="128">
        <v>0</v>
      </c>
      <c r="DH145" s="128">
        <v>0</v>
      </c>
      <c r="DI145" s="128">
        <v>0</v>
      </c>
      <c r="DJ145" s="128">
        <v>47</v>
      </c>
      <c r="DK145" s="128">
        <v>0</v>
      </c>
      <c r="DL145" s="128">
        <v>0</v>
      </c>
      <c r="DM145" s="128">
        <v>0</v>
      </c>
      <c r="DN145" s="128">
        <v>0</v>
      </c>
      <c r="DO145" s="128">
        <v>47</v>
      </c>
      <c r="DP145" s="128">
        <v>0</v>
      </c>
      <c r="DQ145" s="128">
        <v>47</v>
      </c>
      <c r="DR145" s="128">
        <v>47</v>
      </c>
      <c r="DS145" s="128">
        <v>0</v>
      </c>
      <c r="DT145" s="128">
        <v>0</v>
      </c>
      <c r="DU145" s="128">
        <v>0</v>
      </c>
      <c r="DV145" s="128">
        <v>0</v>
      </c>
      <c r="DW145" s="128">
        <v>0</v>
      </c>
      <c r="DX145" s="128">
        <v>0</v>
      </c>
      <c r="DY145" s="128">
        <v>0</v>
      </c>
      <c r="DZ145" s="128">
        <v>0</v>
      </c>
      <c r="EA145" s="128">
        <v>0</v>
      </c>
      <c r="EB145" s="128">
        <v>56</v>
      </c>
      <c r="EC145" s="128">
        <v>0</v>
      </c>
      <c r="ED145" s="128">
        <v>0</v>
      </c>
      <c r="EE145" s="128">
        <v>0</v>
      </c>
      <c r="EF145" s="128">
        <v>0</v>
      </c>
      <c r="EG145" s="128">
        <v>56</v>
      </c>
      <c r="EH145" s="128">
        <v>0</v>
      </c>
      <c r="EI145" s="128">
        <v>56</v>
      </c>
      <c r="EJ145" s="128">
        <v>56</v>
      </c>
      <c r="EK145" s="128">
        <v>2</v>
      </c>
      <c r="EL145" s="128">
        <v>0.35</v>
      </c>
      <c r="EM145" s="128">
        <v>0.34</v>
      </c>
      <c r="EN145" s="128">
        <v>201474</v>
      </c>
      <c r="EO145" s="128">
        <v>201474</v>
      </c>
      <c r="EP145" s="128">
        <v>20</v>
      </c>
      <c r="EQ145" s="128">
        <v>2</v>
      </c>
      <c r="ER145" s="128">
        <v>1.9890000000000001</v>
      </c>
      <c r="ES145" s="128">
        <v>1083381</v>
      </c>
      <c r="ET145" s="128">
        <v>1083381</v>
      </c>
      <c r="EU145" s="128">
        <v>10</v>
      </c>
      <c r="EV145" s="128">
        <v>0.85</v>
      </c>
      <c r="EW145" s="128">
        <v>0.81699999999999995</v>
      </c>
      <c r="EX145" s="128">
        <v>629544</v>
      </c>
      <c r="EY145" s="128">
        <v>0</v>
      </c>
      <c r="FO145" s="128">
        <v>17</v>
      </c>
      <c r="FP145" s="128">
        <v>1.55</v>
      </c>
      <c r="FQ145" s="128">
        <v>1.5169999999999999</v>
      </c>
      <c r="FR145" s="128">
        <v>808081</v>
      </c>
      <c r="FS145" s="128">
        <v>0</v>
      </c>
      <c r="HD145" s="128">
        <v>2</v>
      </c>
      <c r="HE145" s="128">
        <v>0.2</v>
      </c>
      <c r="HF145" s="128">
        <v>24</v>
      </c>
      <c r="HG145" s="128">
        <v>0.2</v>
      </c>
      <c r="HH145" s="128">
        <v>20000</v>
      </c>
      <c r="HI145" s="128">
        <v>0</v>
      </c>
      <c r="IH145" s="128">
        <v>4</v>
      </c>
      <c r="II145" s="128">
        <v>0.5</v>
      </c>
      <c r="IJ145" s="128">
        <v>48</v>
      </c>
      <c r="IK145" s="128">
        <v>0.5</v>
      </c>
      <c r="IL145" s="128">
        <v>28500</v>
      </c>
      <c r="IM145" s="128">
        <v>0</v>
      </c>
      <c r="IN145" s="128">
        <v>6</v>
      </c>
      <c r="IO145" s="128">
        <v>300</v>
      </c>
      <c r="IP145" s="128">
        <v>0.14299999999999999</v>
      </c>
      <c r="IQ145" s="128">
        <v>46800</v>
      </c>
      <c r="IR145" s="128">
        <v>0</v>
      </c>
      <c r="IS145" s="128">
        <v>3</v>
      </c>
      <c r="IT145" s="128">
        <v>90</v>
      </c>
      <c r="IU145" s="128">
        <v>4.2999999999999997E-2</v>
      </c>
      <c r="IV145" s="128">
        <v>8400</v>
      </c>
      <c r="IW145" s="128">
        <v>0</v>
      </c>
      <c r="KG145" s="128">
        <v>0</v>
      </c>
      <c r="KI145" s="128">
        <v>3.2</v>
      </c>
      <c r="KJ145" s="128">
        <v>0.2</v>
      </c>
      <c r="KK145" s="128">
        <v>0.14299999999999999</v>
      </c>
      <c r="KL145" s="128">
        <v>0</v>
      </c>
      <c r="KM145" s="128">
        <v>3.5430000000000001</v>
      </c>
      <c r="KN145" s="128">
        <v>2722480</v>
      </c>
      <c r="KO145" s="128">
        <v>1284855</v>
      </c>
      <c r="KP145" s="128">
        <v>1284855</v>
      </c>
      <c r="KT145" s="128">
        <v>48500</v>
      </c>
      <c r="KU145" s="128">
        <v>0</v>
      </c>
      <c r="KV145" s="128">
        <v>0</v>
      </c>
      <c r="KZ145" s="128">
        <v>55200</v>
      </c>
      <c r="LA145" s="128">
        <v>0</v>
      </c>
      <c r="LB145" s="128">
        <v>0</v>
      </c>
      <c r="LF145" s="128">
        <v>79857</v>
      </c>
      <c r="LG145" s="128">
        <v>0</v>
      </c>
      <c r="LH145" s="128">
        <v>0</v>
      </c>
      <c r="LL145" s="128">
        <v>0</v>
      </c>
      <c r="LM145" s="128">
        <v>0</v>
      </c>
      <c r="LN145" s="128">
        <v>0</v>
      </c>
      <c r="LR145" s="128">
        <v>40000</v>
      </c>
      <c r="LS145" s="128">
        <v>0</v>
      </c>
      <c r="LT145" s="128">
        <v>0</v>
      </c>
      <c r="LX145" s="128">
        <v>35000</v>
      </c>
      <c r="LY145" s="128">
        <v>0</v>
      </c>
      <c r="LZ145" s="128">
        <v>0</v>
      </c>
      <c r="MD145" s="128">
        <v>10000</v>
      </c>
      <c r="ME145" s="128">
        <v>0</v>
      </c>
      <c r="MF145" s="128">
        <v>0</v>
      </c>
      <c r="MJ145" s="128">
        <v>5000</v>
      </c>
      <c r="MK145" s="128">
        <v>0</v>
      </c>
      <c r="ML145" s="128">
        <v>0</v>
      </c>
      <c r="MP145" s="128">
        <v>50000</v>
      </c>
      <c r="MQ145" s="128">
        <v>0</v>
      </c>
      <c r="MR145" s="128">
        <v>0</v>
      </c>
      <c r="MV145" s="128">
        <v>140000</v>
      </c>
      <c r="MW145" s="128">
        <v>0</v>
      </c>
      <c r="MX145" s="128">
        <v>0</v>
      </c>
      <c r="NB145" s="128">
        <v>4000</v>
      </c>
      <c r="NC145" s="128">
        <v>0</v>
      </c>
      <c r="ND145" s="128">
        <v>0</v>
      </c>
      <c r="NH145" s="128">
        <v>0</v>
      </c>
      <c r="NI145" s="128">
        <v>0</v>
      </c>
      <c r="NJ145" s="128">
        <v>0</v>
      </c>
      <c r="NN145" s="128">
        <v>0</v>
      </c>
      <c r="NO145" s="128">
        <v>0</v>
      </c>
      <c r="NP145" s="128">
        <v>0</v>
      </c>
      <c r="NT145" s="128">
        <v>20000</v>
      </c>
      <c r="NU145" s="128">
        <v>0</v>
      </c>
      <c r="NV145" s="128">
        <v>0</v>
      </c>
      <c r="NZ145" s="128">
        <v>30000</v>
      </c>
      <c r="OA145" s="128">
        <v>0</v>
      </c>
      <c r="OB145" s="128">
        <v>0</v>
      </c>
      <c r="OF145" s="128">
        <v>2000</v>
      </c>
      <c r="OG145" s="128">
        <v>0</v>
      </c>
      <c r="OH145" s="128">
        <v>0</v>
      </c>
      <c r="OL145" s="128">
        <v>0</v>
      </c>
      <c r="OM145" s="128">
        <v>0</v>
      </c>
      <c r="ON145" s="128">
        <v>0</v>
      </c>
      <c r="OR145" s="128">
        <v>0</v>
      </c>
      <c r="OS145" s="128">
        <v>0</v>
      </c>
      <c r="OT145" s="128">
        <v>0</v>
      </c>
      <c r="OX145" s="128">
        <v>234000</v>
      </c>
      <c r="OY145" s="128">
        <v>0</v>
      </c>
      <c r="OZ145" s="128">
        <v>0</v>
      </c>
      <c r="PD145" s="128">
        <v>0</v>
      </c>
      <c r="PE145" s="128">
        <v>0</v>
      </c>
      <c r="PF145" s="128">
        <v>0</v>
      </c>
      <c r="PJ145" s="128">
        <v>13000</v>
      </c>
      <c r="PK145" s="128">
        <v>0</v>
      </c>
      <c r="PL145" s="128">
        <v>0</v>
      </c>
      <c r="PP145" s="128">
        <v>3489037</v>
      </c>
      <c r="PQ145" s="128">
        <v>1284855</v>
      </c>
      <c r="PR145" s="128">
        <v>1284855</v>
      </c>
      <c r="PS145" s="128">
        <v>100</v>
      </c>
      <c r="PT145" s="128">
        <v>100</v>
      </c>
      <c r="PV145" s="128">
        <v>23816526</v>
      </c>
      <c r="PX145" s="128">
        <v>1101341</v>
      </c>
      <c r="PY145" s="128">
        <v>1234654</v>
      </c>
      <c r="PZ145" s="128">
        <v>1284855</v>
      </c>
      <c r="QA145" s="128">
        <v>0</v>
      </c>
      <c r="QB145" s="128">
        <v>0</v>
      </c>
      <c r="QC145" s="128">
        <v>0</v>
      </c>
      <c r="QD145" s="128">
        <v>830000</v>
      </c>
      <c r="QE145" s="128">
        <v>900000</v>
      </c>
      <c r="QF145" s="128">
        <v>1324182</v>
      </c>
      <c r="QG145" s="128">
        <v>0</v>
      </c>
      <c r="QH145" s="128">
        <v>0</v>
      </c>
      <c r="QI145" s="128">
        <v>0</v>
      </c>
      <c r="QJ145" s="128">
        <v>972438</v>
      </c>
      <c r="QK145" s="128">
        <v>880000</v>
      </c>
      <c r="QL145" s="128">
        <v>880000</v>
      </c>
      <c r="QN145" s="128">
        <v>129615</v>
      </c>
      <c r="QO145" s="128">
        <v>0</v>
      </c>
      <c r="QP145" s="128">
        <v>0</v>
      </c>
      <c r="QU145" s="128">
        <v>0</v>
      </c>
      <c r="QV145" s="128">
        <v>55327</v>
      </c>
      <c r="QW145" s="128">
        <v>0</v>
      </c>
      <c r="RH145" s="128">
        <f t="shared" si="310"/>
        <v>2609037</v>
      </c>
      <c r="RI145" s="128">
        <v>0</v>
      </c>
      <c r="RM145" s="128" t="s">
        <v>220</v>
      </c>
      <c r="RU145" s="130"/>
      <c r="RV145" s="130"/>
      <c r="RW145" s="130"/>
      <c r="RX145" s="130"/>
      <c r="SF145" s="128">
        <f t="shared" si="220"/>
        <v>4075651</v>
      </c>
      <c r="SG145" s="131">
        <f t="shared" si="221"/>
        <v>3489037</v>
      </c>
      <c r="SH145" s="131">
        <f t="shared" si="222"/>
        <v>3489037</v>
      </c>
      <c r="SI145" s="131">
        <f t="shared" si="223"/>
        <v>2906037</v>
      </c>
      <c r="SJ145" s="132">
        <f t="shared" si="224"/>
        <v>2722480</v>
      </c>
      <c r="SK145" s="132">
        <f t="shared" si="225"/>
        <v>48500</v>
      </c>
      <c r="SL145" s="132">
        <f t="shared" si="226"/>
        <v>55200</v>
      </c>
      <c r="SM145" s="132">
        <f t="shared" si="227"/>
        <v>79857</v>
      </c>
      <c r="SN145" s="131">
        <f t="shared" si="228"/>
        <v>583000</v>
      </c>
      <c r="SO145" s="131">
        <f t="shared" si="229"/>
        <v>40000</v>
      </c>
      <c r="SP145" s="132">
        <f t="shared" si="230"/>
        <v>0</v>
      </c>
      <c r="SQ145" s="132">
        <f t="shared" si="231"/>
        <v>40000</v>
      </c>
      <c r="SR145" s="132">
        <f t="shared" si="232"/>
        <v>35000</v>
      </c>
      <c r="SS145" s="132">
        <f t="shared" si="233"/>
        <v>10000</v>
      </c>
      <c r="ST145" s="132">
        <f t="shared" si="234"/>
        <v>5000</v>
      </c>
      <c r="SU145" s="132">
        <f t="shared" si="235"/>
        <v>50000</v>
      </c>
      <c r="SV145" s="131">
        <f t="shared" si="236"/>
        <v>430000</v>
      </c>
      <c r="SW145" s="132">
        <f t="shared" si="237"/>
        <v>140000</v>
      </c>
      <c r="SX145" s="132">
        <f t="shared" si="238"/>
        <v>4000</v>
      </c>
      <c r="SY145" s="132">
        <f t="shared" si="239"/>
        <v>0</v>
      </c>
      <c r="SZ145" s="132">
        <f t="shared" si="240"/>
        <v>0</v>
      </c>
      <c r="TA145" s="132">
        <f t="shared" si="241"/>
        <v>20000</v>
      </c>
      <c r="TB145" s="132">
        <f t="shared" si="242"/>
        <v>30000</v>
      </c>
      <c r="TC145" s="132">
        <f t="shared" si="243"/>
        <v>2000</v>
      </c>
      <c r="TD145" s="132">
        <f t="shared" si="244"/>
        <v>0</v>
      </c>
      <c r="TE145" s="132">
        <f t="shared" si="245"/>
        <v>0</v>
      </c>
      <c r="TF145" s="132">
        <f t="shared" si="246"/>
        <v>234000</v>
      </c>
      <c r="TG145" s="132">
        <f t="shared" si="247"/>
        <v>0</v>
      </c>
      <c r="TH145" s="132">
        <f t="shared" si="248"/>
        <v>13000</v>
      </c>
      <c r="TI145" s="1"/>
      <c r="TJ145" s="131">
        <f t="shared" si="249"/>
        <v>1284855</v>
      </c>
      <c r="TK145" s="131">
        <f t="shared" si="250"/>
        <v>1284855</v>
      </c>
      <c r="TL145" s="131">
        <f t="shared" si="251"/>
        <v>1284855</v>
      </c>
      <c r="TM145" s="132">
        <f t="shared" si="252"/>
        <v>1284855</v>
      </c>
      <c r="TN145" s="132">
        <f t="shared" si="253"/>
        <v>0</v>
      </c>
      <c r="TO145" s="132">
        <f t="shared" si="254"/>
        <v>0</v>
      </c>
      <c r="TP145" s="132">
        <f t="shared" si="255"/>
        <v>0</v>
      </c>
      <c r="TQ145" s="131">
        <f t="shared" si="256"/>
        <v>0</v>
      </c>
      <c r="TR145" s="131">
        <f t="shared" si="257"/>
        <v>0</v>
      </c>
      <c r="TS145" s="132">
        <f t="shared" si="258"/>
        <v>0</v>
      </c>
      <c r="TT145" s="132">
        <f t="shared" si="259"/>
        <v>0</v>
      </c>
      <c r="TU145" s="132">
        <f t="shared" si="260"/>
        <v>0</v>
      </c>
      <c r="TV145" s="132">
        <f t="shared" si="261"/>
        <v>0</v>
      </c>
      <c r="TW145" s="132">
        <f t="shared" si="262"/>
        <v>0</v>
      </c>
      <c r="TX145" s="132">
        <f t="shared" si="263"/>
        <v>0</v>
      </c>
      <c r="TY145" s="131">
        <f t="shared" si="264"/>
        <v>0</v>
      </c>
      <c r="TZ145" s="132">
        <f t="shared" si="265"/>
        <v>0</v>
      </c>
      <c r="UA145" s="132">
        <f t="shared" si="266"/>
        <v>0</v>
      </c>
      <c r="UB145" s="132">
        <f t="shared" si="267"/>
        <v>0</v>
      </c>
      <c r="UC145" s="132">
        <f t="shared" si="268"/>
        <v>0</v>
      </c>
      <c r="UD145" s="132">
        <f t="shared" si="269"/>
        <v>0</v>
      </c>
      <c r="UE145" s="132">
        <f t="shared" si="270"/>
        <v>0</v>
      </c>
      <c r="UF145" s="132">
        <f t="shared" si="271"/>
        <v>0</v>
      </c>
      <c r="UG145" s="132">
        <f t="shared" si="272"/>
        <v>0</v>
      </c>
      <c r="UH145" s="132">
        <f t="shared" si="273"/>
        <v>0</v>
      </c>
      <c r="UI145" s="132">
        <f t="shared" si="274"/>
        <v>0</v>
      </c>
      <c r="UJ145" s="132">
        <f t="shared" si="275"/>
        <v>0</v>
      </c>
      <c r="UK145" s="132">
        <f t="shared" si="276"/>
        <v>0</v>
      </c>
      <c r="UL145" s="132">
        <f t="shared" si="311"/>
        <v>1284855</v>
      </c>
      <c r="UM145" s="131">
        <f t="shared" si="277"/>
        <v>1284855</v>
      </c>
      <c r="UN145" s="131">
        <f t="shared" si="278"/>
        <v>1284855</v>
      </c>
      <c r="UO145" s="131">
        <f t="shared" si="279"/>
        <v>1284855</v>
      </c>
      <c r="UP145" s="132">
        <f t="shared" si="280"/>
        <v>1284855</v>
      </c>
      <c r="UQ145" s="132">
        <f t="shared" si="281"/>
        <v>0</v>
      </c>
      <c r="UR145" s="132">
        <f t="shared" si="282"/>
        <v>0</v>
      </c>
      <c r="US145" s="132">
        <f t="shared" si="283"/>
        <v>0</v>
      </c>
      <c r="UT145" s="131">
        <f t="shared" si="284"/>
        <v>0</v>
      </c>
      <c r="UU145" s="131">
        <f t="shared" si="285"/>
        <v>0</v>
      </c>
      <c r="UV145" s="132">
        <f t="shared" si="286"/>
        <v>0</v>
      </c>
      <c r="UW145" s="132">
        <f t="shared" si="287"/>
        <v>0</v>
      </c>
      <c r="UX145" s="132">
        <f t="shared" si="288"/>
        <v>0</v>
      </c>
      <c r="UY145" s="132">
        <f t="shared" si="289"/>
        <v>0</v>
      </c>
      <c r="UZ145" s="132">
        <f t="shared" si="290"/>
        <v>0</v>
      </c>
      <c r="VA145" s="132">
        <f t="shared" si="291"/>
        <v>0</v>
      </c>
      <c r="VB145" s="131">
        <f t="shared" si="292"/>
        <v>0</v>
      </c>
      <c r="VC145" s="132">
        <f t="shared" si="293"/>
        <v>0</v>
      </c>
      <c r="VD145" s="132">
        <f t="shared" si="294"/>
        <v>0</v>
      </c>
      <c r="VE145" s="132">
        <f t="shared" si="295"/>
        <v>0</v>
      </c>
      <c r="VF145" s="132">
        <f t="shared" si="296"/>
        <v>0</v>
      </c>
      <c r="VG145" s="132">
        <f t="shared" si="297"/>
        <v>0</v>
      </c>
      <c r="VH145" s="132">
        <f t="shared" si="298"/>
        <v>0</v>
      </c>
      <c r="VI145" s="132">
        <f t="shared" si="299"/>
        <v>0</v>
      </c>
      <c r="VJ145" s="132">
        <f t="shared" si="300"/>
        <v>0</v>
      </c>
      <c r="VK145" s="132">
        <f t="shared" si="301"/>
        <v>0</v>
      </c>
      <c r="VL145" s="132">
        <f t="shared" si="302"/>
        <v>0</v>
      </c>
      <c r="VM145" s="132">
        <f t="shared" si="303"/>
        <v>0</v>
      </c>
      <c r="VN145" s="132">
        <f t="shared" si="304"/>
        <v>0</v>
      </c>
      <c r="VP145" s="845" t="str">
        <f>IFERROR(HLOOKUP(F145,'Hodnocení '!$C$1:$JH$5,2,FALSE),0)</f>
        <v>Odlehčovací služba</v>
      </c>
      <c r="VQ145" s="838"/>
      <c r="VR145" s="845" t="str">
        <f t="shared" si="312"/>
        <v>Příspěvková organizace zřízená územním samosprávným celkem</v>
      </c>
      <c r="VS145" s="845" t="str">
        <f>IFERROR(HLOOKUP(F145,'Hodnocení '!$C$1:$JH$5,5,FALSE),0)</f>
        <v>Obce</v>
      </c>
      <c r="VT145" s="838" t="str">
        <f t="shared" si="313"/>
        <v>Příspěvková organizace zřízená územním samosprávným celkem</v>
      </c>
      <c r="VU145" s="838">
        <f t="shared" si="314"/>
        <v>0</v>
      </c>
      <c r="VV145" s="838">
        <f t="shared" si="315"/>
        <v>880000</v>
      </c>
      <c r="VW145" s="838">
        <f t="shared" si="316"/>
        <v>0</v>
      </c>
      <c r="VX145" s="838"/>
      <c r="VY145" s="838">
        <f t="shared" si="216"/>
        <v>0</v>
      </c>
      <c r="VZ145" s="838">
        <f t="shared" si="217"/>
        <v>1284855</v>
      </c>
      <c r="WA145" s="846">
        <f>IFERROR(HLOOKUP($F145,'Hodnocení '!$C$1:$JH$9,9,FALSE),0)</f>
        <v>1284855</v>
      </c>
      <c r="WB145" s="846">
        <f>IF(IFERROR(HLOOKUP($F145,'Hodnocení '!$C$1:$JH$13,13,FALSE),0)&gt;WA145,WA145,IFERROR(HLOOKUP($F145,'Hodnocení '!$C$1:$JH$13,13,FALSE),0))</f>
        <v>1284855</v>
      </c>
      <c r="WC145" s="846">
        <f>IFERROR(HLOOKUP($F145,'Hodnocení '!$C$1:$JH$155,155,FALSE),0)</f>
        <v>1157420</v>
      </c>
      <c r="WD145" s="845"/>
      <c r="WE145" s="845"/>
      <c r="WF145" s="845" t="str">
        <f t="shared" si="305"/>
        <v>ANO</v>
      </c>
      <c r="WG145" s="849" t="str">
        <f t="shared" si="218"/>
        <v>Podpora služby je vyjádřena zařazením do sítě sociálních služeb v KHK a řešením financování služby</v>
      </c>
      <c r="WH145"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45" s="849" t="str">
        <f t="shared" si="218"/>
        <v>Návrh dotace je výsledkem projednání s ostatními zadavateli v rámci sítě služeb KHK</v>
      </c>
      <c r="WJ145" s="849" t="str">
        <f t="shared" si="218"/>
        <v>Bez komentáře</v>
      </c>
      <c r="WK145" s="31" t="str">
        <f t="shared" si="306"/>
        <v>Výše příspěvku ze strany zřizovatele bude řešen v návaznosti na řešení podílů jednotlivých zadavatelů</v>
      </c>
      <c r="WL145" s="850">
        <f t="shared" si="307"/>
        <v>0</v>
      </c>
      <c r="WM145" s="849" t="str">
        <f t="shared" si="308"/>
        <v>V rámci sítě KHK se dlouhodobě řeší otázka navyšování úhrad a průběžně se monitoruje s vazbou na vykrytí vyrovnávací platby</v>
      </c>
      <c r="WN145" s="849">
        <f t="shared" si="309"/>
        <v>0</v>
      </c>
      <c r="WO145" s="849" t="str">
        <f t="shared" si="219"/>
        <v>bez komentáře</v>
      </c>
      <c r="WP145" s="849" t="str">
        <f t="shared" si="219"/>
        <v>bez komentáře</v>
      </c>
      <c r="WQ145" s="849" t="str">
        <f t="shared" si="219"/>
        <v>Konečná výše dotace z rozpočtu KHK bude řešena v návaznosti na řešení podílů jednotlivých zadavatelů.</v>
      </c>
      <c r="WR145" s="849" t="str">
        <f t="shared" si="219"/>
        <v>Konečná výše podpory ze stran obcí bude řešena v součinnosti s jednotlivými zadavateli v průběhu roku.</v>
      </c>
      <c r="WS145" s="849" t="str">
        <f t="shared" si="219"/>
        <v>bez komentáře</v>
      </c>
      <c r="WT145" s="849" t="str">
        <f t="shared" si="219"/>
        <v>bez komentáře</v>
      </c>
      <c r="WU145" s="845"/>
    </row>
    <row r="146" spans="1:619" s="128" customFormat="1" x14ac:dyDescent="0.25">
      <c r="A146" s="128" t="str">
        <f>VLOOKUP(F146,'Výpočet VP 2020'!$D$324:$I$588,6,FALSE)</f>
        <v>Je v síti</v>
      </c>
      <c r="B146" s="128" t="s">
        <v>682</v>
      </c>
      <c r="C146" s="128">
        <v>62730631</v>
      </c>
      <c r="D146" s="128" t="s">
        <v>683</v>
      </c>
      <c r="E146" s="128" t="s">
        <v>259</v>
      </c>
      <c r="F146" s="128">
        <v>4782003</v>
      </c>
      <c r="G146" s="128" t="s">
        <v>348</v>
      </c>
      <c r="H146" s="128" t="s">
        <v>218</v>
      </c>
      <c r="I146" s="128" t="s">
        <v>687</v>
      </c>
      <c r="J146" s="129">
        <v>39083</v>
      </c>
      <c r="L146" s="128" t="s">
        <v>220</v>
      </c>
      <c r="M146" s="128" t="s">
        <v>688</v>
      </c>
      <c r="N146" s="128">
        <v>44</v>
      </c>
      <c r="P146" s="128">
        <v>54</v>
      </c>
      <c r="Q146" s="128">
        <v>57</v>
      </c>
      <c r="R146" s="128">
        <v>57</v>
      </c>
      <c r="BL146" s="128" t="s">
        <v>351</v>
      </c>
      <c r="BM146" s="128" t="s">
        <v>325</v>
      </c>
      <c r="BN146" s="128" t="s">
        <v>352</v>
      </c>
      <c r="DA146" s="128">
        <v>0</v>
      </c>
      <c r="DB146" s="128">
        <v>0</v>
      </c>
      <c r="DC146" s="128">
        <v>0</v>
      </c>
      <c r="DD146" s="128">
        <v>0</v>
      </c>
      <c r="DE146" s="128">
        <v>0</v>
      </c>
      <c r="DF146" s="128">
        <v>2</v>
      </c>
      <c r="DG146" s="128">
        <v>7</v>
      </c>
      <c r="DH146" s="128">
        <v>18</v>
      </c>
      <c r="DI146" s="128">
        <v>14</v>
      </c>
      <c r="DJ146" s="128">
        <v>3</v>
      </c>
      <c r="DK146" s="128">
        <v>2</v>
      </c>
      <c r="DL146" s="128">
        <v>7</v>
      </c>
      <c r="DM146" s="128">
        <v>18</v>
      </c>
      <c r="DN146" s="128">
        <v>14</v>
      </c>
      <c r="DO146" s="128">
        <v>3</v>
      </c>
      <c r="DP146" s="128">
        <v>0</v>
      </c>
      <c r="DQ146" s="128">
        <v>44</v>
      </c>
      <c r="DR146" s="128">
        <v>44</v>
      </c>
      <c r="DS146" s="128">
        <v>0</v>
      </c>
      <c r="DT146" s="128">
        <v>0</v>
      </c>
      <c r="DU146" s="128">
        <v>0</v>
      </c>
      <c r="DV146" s="128">
        <v>0</v>
      </c>
      <c r="DW146" s="128">
        <v>0</v>
      </c>
      <c r="DX146" s="128">
        <v>3</v>
      </c>
      <c r="DY146" s="128">
        <v>9</v>
      </c>
      <c r="DZ146" s="128">
        <v>18</v>
      </c>
      <c r="EA146" s="128">
        <v>14</v>
      </c>
      <c r="EB146" s="128">
        <v>0</v>
      </c>
      <c r="EC146" s="128">
        <v>3</v>
      </c>
      <c r="ED146" s="128">
        <v>9</v>
      </c>
      <c r="EE146" s="128">
        <v>18</v>
      </c>
      <c r="EF146" s="128">
        <v>14</v>
      </c>
      <c r="EG146" s="128">
        <v>0</v>
      </c>
      <c r="EH146" s="128">
        <v>0</v>
      </c>
      <c r="EI146" s="128">
        <v>44</v>
      </c>
      <c r="EJ146" s="128">
        <v>44</v>
      </c>
      <c r="EK146" s="128">
        <v>2</v>
      </c>
      <c r="EL146" s="128">
        <v>1.1499999999999999</v>
      </c>
      <c r="EM146" s="128">
        <v>1.1399999999999999</v>
      </c>
      <c r="EN146" s="128">
        <v>687991</v>
      </c>
      <c r="EO146" s="128">
        <v>687991</v>
      </c>
      <c r="EP146" s="128">
        <v>20</v>
      </c>
      <c r="EQ146" s="128">
        <v>18</v>
      </c>
      <c r="ER146" s="128">
        <v>17.899999999999999</v>
      </c>
      <c r="ES146" s="128">
        <v>9728983</v>
      </c>
      <c r="ET146" s="128">
        <v>9728983</v>
      </c>
      <c r="EU146" s="128">
        <v>10</v>
      </c>
      <c r="EV146" s="128">
        <v>7.59</v>
      </c>
      <c r="EW146" s="128">
        <v>7.298</v>
      </c>
      <c r="EX146" s="128">
        <v>5597787</v>
      </c>
      <c r="EY146" s="128">
        <v>0</v>
      </c>
      <c r="FO146" s="128">
        <v>17</v>
      </c>
      <c r="FP146" s="128">
        <v>10.587999999999999</v>
      </c>
      <c r="FQ146" s="128">
        <v>10.596</v>
      </c>
      <c r="FR146" s="128">
        <v>4817111</v>
      </c>
      <c r="FS146" s="128">
        <v>0</v>
      </c>
      <c r="FZ146" s="128">
        <v>2</v>
      </c>
      <c r="GA146" s="128">
        <v>0.2</v>
      </c>
      <c r="GB146" s="128">
        <v>24</v>
      </c>
      <c r="GC146" s="128">
        <v>0.2</v>
      </c>
      <c r="GD146" s="128">
        <v>50000</v>
      </c>
      <c r="GE146" s="128">
        <v>0</v>
      </c>
      <c r="HD146" s="128">
        <v>3</v>
      </c>
      <c r="HE146" s="128">
        <v>0.3</v>
      </c>
      <c r="HF146" s="128">
        <v>36</v>
      </c>
      <c r="HG146" s="128">
        <v>0.3</v>
      </c>
      <c r="HH146" s="128">
        <v>120000</v>
      </c>
      <c r="HI146" s="128">
        <v>0</v>
      </c>
      <c r="IH146" s="128">
        <v>3</v>
      </c>
      <c r="II146" s="128">
        <v>0.7</v>
      </c>
      <c r="IJ146" s="128">
        <v>36</v>
      </c>
      <c r="IK146" s="128">
        <v>0.7</v>
      </c>
      <c r="IL146" s="128">
        <v>70000</v>
      </c>
      <c r="IM146" s="128">
        <v>0</v>
      </c>
      <c r="IN146" s="128">
        <v>5</v>
      </c>
      <c r="IO146" s="128">
        <v>1350</v>
      </c>
      <c r="IP146" s="128">
        <v>0.64400000000000002</v>
      </c>
      <c r="IQ146" s="128">
        <v>191700</v>
      </c>
      <c r="IR146" s="128">
        <v>0</v>
      </c>
      <c r="IS146" s="128">
        <v>3</v>
      </c>
      <c r="IT146" s="128">
        <v>810</v>
      </c>
      <c r="IU146" s="128">
        <v>0.38600000000000001</v>
      </c>
      <c r="IV146" s="128">
        <v>75600</v>
      </c>
      <c r="IW146" s="128">
        <v>0</v>
      </c>
      <c r="KG146" s="128">
        <v>0</v>
      </c>
      <c r="KI146" s="128">
        <v>26.74</v>
      </c>
      <c r="KJ146" s="128">
        <v>0.5</v>
      </c>
      <c r="KK146" s="128">
        <v>0.64400000000000002</v>
      </c>
      <c r="KL146" s="128">
        <v>0</v>
      </c>
      <c r="KM146" s="128">
        <v>27.884</v>
      </c>
      <c r="KN146" s="128">
        <v>20831872</v>
      </c>
      <c r="KO146" s="128">
        <v>10416974</v>
      </c>
      <c r="KP146" s="128">
        <v>10416974</v>
      </c>
      <c r="KT146" s="128">
        <v>240000</v>
      </c>
      <c r="KU146" s="128">
        <v>0</v>
      </c>
      <c r="KV146" s="128">
        <v>0</v>
      </c>
      <c r="KZ146" s="128">
        <v>267300</v>
      </c>
      <c r="LA146" s="128">
        <v>0</v>
      </c>
      <c r="LB146" s="128">
        <v>0</v>
      </c>
      <c r="LF146" s="128">
        <v>690876</v>
      </c>
      <c r="LG146" s="128">
        <v>0</v>
      </c>
      <c r="LH146" s="128">
        <v>0</v>
      </c>
      <c r="LL146" s="128">
        <v>0</v>
      </c>
      <c r="LM146" s="128">
        <v>0</v>
      </c>
      <c r="LN146" s="128">
        <v>0</v>
      </c>
      <c r="LR146" s="128">
        <v>400000</v>
      </c>
      <c r="LS146" s="128">
        <v>0</v>
      </c>
      <c r="LT146" s="128">
        <v>0</v>
      </c>
      <c r="LX146" s="128">
        <v>300000</v>
      </c>
      <c r="LY146" s="128">
        <v>0</v>
      </c>
      <c r="LZ146" s="128">
        <v>0</v>
      </c>
      <c r="MD146" s="128">
        <v>45000</v>
      </c>
      <c r="ME146" s="128">
        <v>0</v>
      </c>
      <c r="MF146" s="128">
        <v>0</v>
      </c>
      <c r="MJ146" s="128">
        <v>10000</v>
      </c>
      <c r="MK146" s="128">
        <v>0</v>
      </c>
      <c r="ML146" s="128">
        <v>0</v>
      </c>
      <c r="MP146" s="128">
        <v>445000</v>
      </c>
      <c r="MQ146" s="128">
        <v>0</v>
      </c>
      <c r="MR146" s="128">
        <v>0</v>
      </c>
      <c r="MV146" s="128">
        <v>1100000</v>
      </c>
      <c r="MW146" s="128">
        <v>0</v>
      </c>
      <c r="MX146" s="128">
        <v>0</v>
      </c>
      <c r="NB146" s="128">
        <v>35000</v>
      </c>
      <c r="NC146" s="128">
        <v>0</v>
      </c>
      <c r="ND146" s="128">
        <v>0</v>
      </c>
      <c r="NH146" s="128">
        <v>0</v>
      </c>
      <c r="NI146" s="128">
        <v>0</v>
      </c>
      <c r="NJ146" s="128">
        <v>0</v>
      </c>
      <c r="NN146" s="128">
        <v>0</v>
      </c>
      <c r="NO146" s="128">
        <v>0</v>
      </c>
      <c r="NP146" s="128">
        <v>0</v>
      </c>
      <c r="NT146" s="128">
        <v>110000</v>
      </c>
      <c r="NU146" s="128">
        <v>0</v>
      </c>
      <c r="NV146" s="128">
        <v>0</v>
      </c>
      <c r="NZ146" s="128">
        <v>140000</v>
      </c>
      <c r="OA146" s="128">
        <v>0</v>
      </c>
      <c r="OB146" s="128">
        <v>0</v>
      </c>
      <c r="OF146" s="128">
        <v>10000</v>
      </c>
      <c r="OG146" s="128">
        <v>0</v>
      </c>
      <c r="OH146" s="128">
        <v>0</v>
      </c>
      <c r="OL146" s="128">
        <v>0</v>
      </c>
      <c r="OM146" s="128">
        <v>0</v>
      </c>
      <c r="ON146" s="128">
        <v>0</v>
      </c>
      <c r="OR146" s="128">
        <v>0</v>
      </c>
      <c r="OS146" s="128">
        <v>0</v>
      </c>
      <c r="OT146" s="128">
        <v>0</v>
      </c>
      <c r="OX146" s="128">
        <v>2055000</v>
      </c>
      <c r="OY146" s="128">
        <v>0</v>
      </c>
      <c r="OZ146" s="128">
        <v>0</v>
      </c>
      <c r="PD146" s="128">
        <v>150000</v>
      </c>
      <c r="PE146" s="128">
        <v>0</v>
      </c>
      <c r="PF146" s="128">
        <v>0</v>
      </c>
      <c r="PJ146" s="128">
        <v>40000</v>
      </c>
      <c r="PK146" s="128">
        <v>0</v>
      </c>
      <c r="PL146" s="128">
        <v>0</v>
      </c>
      <c r="PP146" s="128">
        <v>26870048</v>
      </c>
      <c r="PQ146" s="128">
        <v>10416974</v>
      </c>
      <c r="PR146" s="128">
        <v>10416974</v>
      </c>
      <c r="PS146" s="128">
        <v>100</v>
      </c>
      <c r="PT146" s="128">
        <v>100</v>
      </c>
      <c r="PV146" s="128">
        <v>12672988</v>
      </c>
      <c r="PX146" s="128">
        <v>6510061</v>
      </c>
      <c r="PY146" s="128">
        <v>6898917</v>
      </c>
      <c r="PZ146" s="128">
        <v>10416974</v>
      </c>
      <c r="QA146" s="128">
        <v>0</v>
      </c>
      <c r="QB146" s="128">
        <v>0</v>
      </c>
      <c r="QC146" s="128">
        <v>0</v>
      </c>
      <c r="QD146" s="128">
        <v>7152692</v>
      </c>
      <c r="QE146" s="128">
        <v>6924600</v>
      </c>
      <c r="QF146" s="128">
        <v>5278074</v>
      </c>
      <c r="QG146" s="128">
        <v>0</v>
      </c>
      <c r="QH146" s="128">
        <v>0</v>
      </c>
      <c r="QI146" s="128">
        <v>0</v>
      </c>
      <c r="QJ146" s="128">
        <v>9463783</v>
      </c>
      <c r="QK146" s="128">
        <v>9888400</v>
      </c>
      <c r="QL146" s="128">
        <v>9815000</v>
      </c>
      <c r="QN146" s="128">
        <v>1166536</v>
      </c>
      <c r="QO146" s="128">
        <v>1357000</v>
      </c>
      <c r="QP146" s="128">
        <v>1360000</v>
      </c>
      <c r="RH146" s="128">
        <f t="shared" si="310"/>
        <v>15695048</v>
      </c>
      <c r="RI146" s="128">
        <v>0</v>
      </c>
      <c r="RM146" s="128" t="s">
        <v>220</v>
      </c>
      <c r="RU146" s="130"/>
      <c r="RV146" s="130"/>
      <c r="RW146" s="130"/>
      <c r="RX146" s="130"/>
      <c r="SF146" s="128">
        <f t="shared" si="220"/>
        <v>4782003</v>
      </c>
      <c r="SG146" s="131">
        <f t="shared" si="221"/>
        <v>26870048</v>
      </c>
      <c r="SH146" s="131">
        <f t="shared" si="222"/>
        <v>26870048</v>
      </c>
      <c r="SI146" s="131">
        <f t="shared" si="223"/>
        <v>22030048</v>
      </c>
      <c r="SJ146" s="132">
        <f t="shared" si="224"/>
        <v>20831872</v>
      </c>
      <c r="SK146" s="132">
        <f t="shared" si="225"/>
        <v>240000</v>
      </c>
      <c r="SL146" s="132">
        <f t="shared" si="226"/>
        <v>267300</v>
      </c>
      <c r="SM146" s="132">
        <f t="shared" si="227"/>
        <v>690876</v>
      </c>
      <c r="SN146" s="131">
        <f t="shared" si="228"/>
        <v>4840000</v>
      </c>
      <c r="SO146" s="131">
        <f t="shared" si="229"/>
        <v>400000</v>
      </c>
      <c r="SP146" s="132">
        <f t="shared" si="230"/>
        <v>0</v>
      </c>
      <c r="SQ146" s="132">
        <f t="shared" si="231"/>
        <v>400000</v>
      </c>
      <c r="SR146" s="132">
        <f t="shared" si="232"/>
        <v>300000</v>
      </c>
      <c r="SS146" s="132">
        <f t="shared" si="233"/>
        <v>45000</v>
      </c>
      <c r="ST146" s="132">
        <f t="shared" si="234"/>
        <v>10000</v>
      </c>
      <c r="SU146" s="132">
        <f t="shared" si="235"/>
        <v>445000</v>
      </c>
      <c r="SV146" s="131">
        <f t="shared" si="236"/>
        <v>3450000</v>
      </c>
      <c r="SW146" s="132">
        <f t="shared" si="237"/>
        <v>1100000</v>
      </c>
      <c r="SX146" s="132">
        <f t="shared" si="238"/>
        <v>35000</v>
      </c>
      <c r="SY146" s="132">
        <f t="shared" si="239"/>
        <v>0</v>
      </c>
      <c r="SZ146" s="132">
        <f t="shared" si="240"/>
        <v>0</v>
      </c>
      <c r="TA146" s="132">
        <f t="shared" si="241"/>
        <v>110000</v>
      </c>
      <c r="TB146" s="132">
        <f t="shared" si="242"/>
        <v>140000</v>
      </c>
      <c r="TC146" s="132">
        <f t="shared" si="243"/>
        <v>10000</v>
      </c>
      <c r="TD146" s="132">
        <f t="shared" si="244"/>
        <v>0</v>
      </c>
      <c r="TE146" s="132">
        <f t="shared" si="245"/>
        <v>0</v>
      </c>
      <c r="TF146" s="132">
        <f t="shared" si="246"/>
        <v>2055000</v>
      </c>
      <c r="TG146" s="132">
        <f t="shared" si="247"/>
        <v>150000</v>
      </c>
      <c r="TH146" s="132">
        <f t="shared" si="248"/>
        <v>40000</v>
      </c>
      <c r="TI146" s="1"/>
      <c r="TJ146" s="131">
        <f t="shared" si="249"/>
        <v>10416974</v>
      </c>
      <c r="TK146" s="131">
        <f t="shared" si="250"/>
        <v>10416974</v>
      </c>
      <c r="TL146" s="131">
        <f t="shared" si="251"/>
        <v>10416974</v>
      </c>
      <c r="TM146" s="132">
        <f t="shared" si="252"/>
        <v>10416974</v>
      </c>
      <c r="TN146" s="132">
        <f t="shared" si="253"/>
        <v>0</v>
      </c>
      <c r="TO146" s="132">
        <f t="shared" si="254"/>
        <v>0</v>
      </c>
      <c r="TP146" s="132">
        <f t="shared" si="255"/>
        <v>0</v>
      </c>
      <c r="TQ146" s="131">
        <f t="shared" si="256"/>
        <v>0</v>
      </c>
      <c r="TR146" s="131">
        <f t="shared" si="257"/>
        <v>0</v>
      </c>
      <c r="TS146" s="132">
        <f t="shared" si="258"/>
        <v>0</v>
      </c>
      <c r="TT146" s="132">
        <f t="shared" si="259"/>
        <v>0</v>
      </c>
      <c r="TU146" s="132">
        <f t="shared" si="260"/>
        <v>0</v>
      </c>
      <c r="TV146" s="132">
        <f t="shared" si="261"/>
        <v>0</v>
      </c>
      <c r="TW146" s="132">
        <f t="shared" si="262"/>
        <v>0</v>
      </c>
      <c r="TX146" s="132">
        <f t="shared" si="263"/>
        <v>0</v>
      </c>
      <c r="TY146" s="131">
        <f t="shared" si="264"/>
        <v>0</v>
      </c>
      <c r="TZ146" s="132">
        <f t="shared" si="265"/>
        <v>0</v>
      </c>
      <c r="UA146" s="132">
        <f t="shared" si="266"/>
        <v>0</v>
      </c>
      <c r="UB146" s="132">
        <f t="shared" si="267"/>
        <v>0</v>
      </c>
      <c r="UC146" s="132">
        <f t="shared" si="268"/>
        <v>0</v>
      </c>
      <c r="UD146" s="132">
        <f t="shared" si="269"/>
        <v>0</v>
      </c>
      <c r="UE146" s="132">
        <f t="shared" si="270"/>
        <v>0</v>
      </c>
      <c r="UF146" s="132">
        <f t="shared" si="271"/>
        <v>0</v>
      </c>
      <c r="UG146" s="132">
        <f t="shared" si="272"/>
        <v>0</v>
      </c>
      <c r="UH146" s="132">
        <f t="shared" si="273"/>
        <v>0</v>
      </c>
      <c r="UI146" s="132">
        <f t="shared" si="274"/>
        <v>0</v>
      </c>
      <c r="UJ146" s="132">
        <f t="shared" si="275"/>
        <v>0</v>
      </c>
      <c r="UK146" s="132">
        <f t="shared" si="276"/>
        <v>0</v>
      </c>
      <c r="UL146" s="132">
        <f t="shared" si="311"/>
        <v>10416974</v>
      </c>
      <c r="UM146" s="131">
        <f t="shared" si="277"/>
        <v>10416974</v>
      </c>
      <c r="UN146" s="131">
        <f t="shared" si="278"/>
        <v>10416974</v>
      </c>
      <c r="UO146" s="131">
        <f t="shared" si="279"/>
        <v>10416974</v>
      </c>
      <c r="UP146" s="132">
        <f t="shared" si="280"/>
        <v>10416974</v>
      </c>
      <c r="UQ146" s="132">
        <f t="shared" si="281"/>
        <v>0</v>
      </c>
      <c r="UR146" s="132">
        <f t="shared" si="282"/>
        <v>0</v>
      </c>
      <c r="US146" s="132">
        <f t="shared" si="283"/>
        <v>0</v>
      </c>
      <c r="UT146" s="131">
        <f t="shared" si="284"/>
        <v>0</v>
      </c>
      <c r="UU146" s="131">
        <f t="shared" si="285"/>
        <v>0</v>
      </c>
      <c r="UV146" s="132">
        <f t="shared" si="286"/>
        <v>0</v>
      </c>
      <c r="UW146" s="132">
        <f t="shared" si="287"/>
        <v>0</v>
      </c>
      <c r="UX146" s="132">
        <f t="shared" si="288"/>
        <v>0</v>
      </c>
      <c r="UY146" s="132">
        <f t="shared" si="289"/>
        <v>0</v>
      </c>
      <c r="UZ146" s="132">
        <f t="shared" si="290"/>
        <v>0</v>
      </c>
      <c r="VA146" s="132">
        <f t="shared" si="291"/>
        <v>0</v>
      </c>
      <c r="VB146" s="131">
        <f t="shared" si="292"/>
        <v>0</v>
      </c>
      <c r="VC146" s="132">
        <f t="shared" si="293"/>
        <v>0</v>
      </c>
      <c r="VD146" s="132">
        <f t="shared" si="294"/>
        <v>0</v>
      </c>
      <c r="VE146" s="132">
        <f t="shared" si="295"/>
        <v>0</v>
      </c>
      <c r="VF146" s="132">
        <f t="shared" si="296"/>
        <v>0</v>
      </c>
      <c r="VG146" s="132">
        <f t="shared" si="297"/>
        <v>0</v>
      </c>
      <c r="VH146" s="132">
        <f t="shared" si="298"/>
        <v>0</v>
      </c>
      <c r="VI146" s="132">
        <f t="shared" si="299"/>
        <v>0</v>
      </c>
      <c r="VJ146" s="132">
        <f t="shared" si="300"/>
        <v>0</v>
      </c>
      <c r="VK146" s="132">
        <f t="shared" si="301"/>
        <v>0</v>
      </c>
      <c r="VL146" s="132">
        <f t="shared" si="302"/>
        <v>0</v>
      </c>
      <c r="VM146" s="132">
        <f t="shared" si="303"/>
        <v>0</v>
      </c>
      <c r="VN146" s="132">
        <f t="shared" si="304"/>
        <v>0</v>
      </c>
      <c r="VP146" s="845" t="str">
        <f>IFERROR(HLOOKUP(F146,'Hodnocení '!$C$1:$JH$5,2,FALSE),0)</f>
        <v>Domov pro seniory</v>
      </c>
      <c r="VQ146" s="838"/>
      <c r="VR146" s="845" t="str">
        <f t="shared" si="312"/>
        <v>Příspěvková organizace zřízená územním samosprávným celkem</v>
      </c>
      <c r="VS146" s="845" t="str">
        <f>IFERROR(HLOOKUP(F146,'Hodnocení '!$C$1:$JH$5,5,FALSE),0)</f>
        <v>Obce</v>
      </c>
      <c r="VT146" s="838" t="str">
        <f t="shared" si="313"/>
        <v>Příspěvková organizace zřízená územním samosprávným celkem</v>
      </c>
      <c r="VU146" s="838">
        <f t="shared" si="314"/>
        <v>0</v>
      </c>
      <c r="VV146" s="838">
        <f t="shared" si="315"/>
        <v>9815000</v>
      </c>
      <c r="VW146" s="838">
        <f t="shared" si="316"/>
        <v>1360000</v>
      </c>
      <c r="VX146" s="838"/>
      <c r="VY146" s="838">
        <f t="shared" si="216"/>
        <v>0</v>
      </c>
      <c r="VZ146" s="838">
        <f t="shared" si="217"/>
        <v>10416974</v>
      </c>
      <c r="WA146" s="846">
        <f>IFERROR(HLOOKUP($F146,'Hodnocení '!$C$1:$JH$9,9,FALSE),0)</f>
        <v>10416974</v>
      </c>
      <c r="WB146" s="846">
        <f>IF(IFERROR(HLOOKUP($F146,'Hodnocení '!$C$1:$JH$13,13,FALSE),0)&gt;WA146,WA146,IFERROR(HLOOKUP($F146,'Hodnocení '!$C$1:$JH$13,13,FALSE),0))</f>
        <v>10416974</v>
      </c>
      <c r="WC146" s="846">
        <f>IFERROR(HLOOKUP($F146,'Hodnocení '!$C$1:$JH$155,155,FALSE),0)</f>
        <v>7754400</v>
      </c>
      <c r="WD146" s="845"/>
      <c r="WE146" s="845"/>
      <c r="WF146" s="845" t="str">
        <f t="shared" si="305"/>
        <v>ANO</v>
      </c>
      <c r="WG146" s="849" t="str">
        <f t="shared" si="218"/>
        <v>Podpora služby je vyjádřena zařazením do sítě sociálních služeb v KHK a řešením financování služby</v>
      </c>
      <c r="WH146"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46" s="849" t="str">
        <f t="shared" si="218"/>
        <v>Návrh dotace je výsledkem projednání s ostatními zadavateli v rámci sítě služeb KHK</v>
      </c>
      <c r="WJ146" s="849" t="str">
        <f t="shared" si="218"/>
        <v>Bez komentáře</v>
      </c>
      <c r="WK146" s="31" t="str">
        <f t="shared" si="306"/>
        <v>Výše příspěvku ze strany zřizovatele bude řešen v návaznosti na řešení podílů jednotlivých zadavatelů</v>
      </c>
      <c r="WL146" s="850">
        <f t="shared" si="307"/>
        <v>0</v>
      </c>
      <c r="WM146" s="849" t="str">
        <f t="shared" si="308"/>
        <v>V rámci sítě KHK se dlouhodobě řeší otázka navyšování úhrad a průběžně se monitoruje s vazbou na vykrytí vyrovnávací platby</v>
      </c>
      <c r="WN146" s="849" t="str">
        <f t="shared" si="309"/>
        <v>Otázka výběru od zdravotních pojišťoven je předmětem procesu, který probíhá ve formě jednání se ZP a organizacemi</v>
      </c>
      <c r="WO146" s="849" t="str">
        <f t="shared" si="219"/>
        <v>bez komentáře</v>
      </c>
      <c r="WP146" s="849" t="str">
        <f t="shared" si="219"/>
        <v>bez komentáře</v>
      </c>
      <c r="WQ146" s="849" t="str">
        <f t="shared" si="219"/>
        <v>Konečná výše dotace z rozpočtu KHK bude řešena v návaznosti na řešení podílů jednotlivých zadavatelů.</v>
      </c>
      <c r="WR146" s="849" t="str">
        <f t="shared" si="219"/>
        <v>Konečná výše podpory ze stran obcí bude řešena v součinnosti s jednotlivými zadavateli v průběhu roku.</v>
      </c>
      <c r="WS146" s="849" t="str">
        <f t="shared" si="219"/>
        <v>bez komentáře</v>
      </c>
      <c r="WT146" s="849" t="str">
        <f t="shared" si="219"/>
        <v>bez komentáře</v>
      </c>
      <c r="WU146" s="845"/>
    </row>
    <row r="147" spans="1:619" s="128" customFormat="1" x14ac:dyDescent="0.25">
      <c r="A147" s="128" t="str">
        <f>VLOOKUP(F147,'Výpočet VP 2020'!$D$324:$I$588,6,FALSE)</f>
        <v>Je v síti</v>
      </c>
      <c r="B147" s="128" t="s">
        <v>682</v>
      </c>
      <c r="C147" s="128">
        <v>62730631</v>
      </c>
      <c r="D147" s="128" t="s">
        <v>683</v>
      </c>
      <c r="E147" s="128" t="s">
        <v>259</v>
      </c>
      <c r="F147" s="128">
        <v>9940787</v>
      </c>
      <c r="G147" s="128" t="s">
        <v>328</v>
      </c>
      <c r="H147" s="128" t="s">
        <v>218</v>
      </c>
      <c r="I147" s="128" t="s">
        <v>328</v>
      </c>
      <c r="J147" s="129">
        <v>39083</v>
      </c>
      <c r="L147" s="128" t="s">
        <v>220</v>
      </c>
      <c r="X147" s="128" t="s">
        <v>227</v>
      </c>
      <c r="Z147" s="128">
        <v>2</v>
      </c>
      <c r="AA147" s="128">
        <v>7</v>
      </c>
      <c r="AB147" s="128">
        <v>19</v>
      </c>
      <c r="AC147" s="128">
        <v>24</v>
      </c>
      <c r="AD147" s="128">
        <v>29</v>
      </c>
      <c r="AN147" s="128">
        <v>628</v>
      </c>
      <c r="AP147" s="128" t="s">
        <v>621</v>
      </c>
      <c r="AQ147" s="128">
        <v>6</v>
      </c>
      <c r="AR147" s="128">
        <v>120</v>
      </c>
      <c r="AS147" s="128">
        <v>145</v>
      </c>
      <c r="AT147" s="128">
        <v>161</v>
      </c>
      <c r="AU147" s="128">
        <v>170</v>
      </c>
      <c r="BJ147" s="128">
        <v>5800</v>
      </c>
      <c r="BL147" s="128" t="s">
        <v>689</v>
      </c>
      <c r="BM147" s="128" t="s">
        <v>325</v>
      </c>
      <c r="BN147" s="128" t="s">
        <v>341</v>
      </c>
      <c r="BO147" s="128">
        <v>0</v>
      </c>
      <c r="BP147" s="128">
        <v>0</v>
      </c>
      <c r="BQ147" s="128">
        <v>0</v>
      </c>
      <c r="BR147" s="128">
        <v>0</v>
      </c>
      <c r="BS147" s="128">
        <v>0</v>
      </c>
      <c r="BT147" s="128">
        <v>0</v>
      </c>
      <c r="BU147" s="128">
        <v>0</v>
      </c>
      <c r="BV147" s="128">
        <v>0</v>
      </c>
      <c r="BW147" s="128">
        <v>0</v>
      </c>
      <c r="BX147" s="128">
        <v>114</v>
      </c>
      <c r="BY147" s="128">
        <v>0</v>
      </c>
      <c r="BZ147" s="128">
        <v>0</v>
      </c>
      <c r="CA147" s="128">
        <v>0</v>
      </c>
      <c r="CB147" s="128">
        <v>0</v>
      </c>
      <c r="CC147" s="128">
        <v>114</v>
      </c>
      <c r="CD147" s="128">
        <v>0</v>
      </c>
      <c r="CE147" s="128">
        <v>114</v>
      </c>
      <c r="CF147" s="128">
        <v>114</v>
      </c>
      <c r="CG147" s="128">
        <v>3</v>
      </c>
      <c r="CH147" s="128">
        <v>0</v>
      </c>
      <c r="CI147" s="128">
        <v>0</v>
      </c>
      <c r="CJ147" s="128">
        <v>0</v>
      </c>
      <c r="CK147" s="128">
        <v>0</v>
      </c>
      <c r="CL147" s="128">
        <v>0</v>
      </c>
      <c r="CM147" s="128">
        <v>0</v>
      </c>
      <c r="CN147" s="128">
        <v>0</v>
      </c>
      <c r="CO147" s="128">
        <v>0</v>
      </c>
      <c r="CP147" s="128">
        <v>0</v>
      </c>
      <c r="CQ147" s="128">
        <v>199</v>
      </c>
      <c r="CR147" s="128">
        <v>0</v>
      </c>
      <c r="CS147" s="128">
        <v>0</v>
      </c>
      <c r="CT147" s="128">
        <v>0</v>
      </c>
      <c r="CU147" s="128">
        <v>0</v>
      </c>
      <c r="CV147" s="128">
        <v>199</v>
      </c>
      <c r="CW147" s="128">
        <v>0</v>
      </c>
      <c r="CX147" s="128">
        <v>199</v>
      </c>
      <c r="CY147" s="128">
        <v>199</v>
      </c>
      <c r="CZ147" s="128">
        <v>4</v>
      </c>
      <c r="EK147" s="128">
        <v>2</v>
      </c>
      <c r="EL147" s="128">
        <v>1.1499999999999999</v>
      </c>
      <c r="EM147" s="128">
        <v>1.1399999999999999</v>
      </c>
      <c r="EN147" s="128">
        <v>629090</v>
      </c>
      <c r="EO147" s="128">
        <v>629090</v>
      </c>
      <c r="EP147" s="128">
        <v>10</v>
      </c>
      <c r="EQ147" s="128">
        <v>9.5</v>
      </c>
      <c r="ER147" s="128">
        <v>8.6129999999999995</v>
      </c>
      <c r="ES147" s="128">
        <v>4660512</v>
      </c>
      <c r="ET147" s="128">
        <v>4660512</v>
      </c>
      <c r="FO147" s="128">
        <v>6</v>
      </c>
      <c r="FP147" s="128">
        <v>0.98099999999999998</v>
      </c>
      <c r="FQ147" s="128">
        <v>0.96499999999999997</v>
      </c>
      <c r="FR147" s="128">
        <v>633893</v>
      </c>
      <c r="FS147" s="128">
        <v>0</v>
      </c>
      <c r="FZ147" s="128">
        <v>3</v>
      </c>
      <c r="GA147" s="128">
        <v>0.6</v>
      </c>
      <c r="GB147" s="128">
        <v>36</v>
      </c>
      <c r="GC147" s="128">
        <v>0.6</v>
      </c>
      <c r="GD147" s="128">
        <v>120000</v>
      </c>
      <c r="GE147" s="128">
        <v>0</v>
      </c>
      <c r="IH147" s="128">
        <v>1</v>
      </c>
      <c r="II147" s="128">
        <v>0.3</v>
      </c>
      <c r="IJ147" s="128">
        <v>12</v>
      </c>
      <c r="IK147" s="128">
        <v>0.3</v>
      </c>
      <c r="IL147" s="128">
        <v>25000</v>
      </c>
      <c r="IM147" s="128">
        <v>0</v>
      </c>
      <c r="IN147" s="128">
        <v>4</v>
      </c>
      <c r="IO147" s="128">
        <v>1100</v>
      </c>
      <c r="IP147" s="128">
        <v>0.52500000000000002</v>
      </c>
      <c r="IQ147" s="128">
        <v>104500</v>
      </c>
      <c r="IR147" s="128">
        <v>0</v>
      </c>
      <c r="IS147" s="128">
        <v>2</v>
      </c>
      <c r="IT147" s="128">
        <v>600</v>
      </c>
      <c r="IU147" s="128">
        <v>0.28599999999999998</v>
      </c>
      <c r="IV147" s="128">
        <v>57000</v>
      </c>
      <c r="IW147" s="128">
        <v>0</v>
      </c>
      <c r="KG147" s="128">
        <v>0</v>
      </c>
      <c r="KI147" s="128">
        <v>10.65</v>
      </c>
      <c r="KJ147" s="128">
        <v>0.6</v>
      </c>
      <c r="KK147" s="128">
        <v>0.52500000000000002</v>
      </c>
      <c r="KL147" s="128">
        <v>0</v>
      </c>
      <c r="KM147" s="128">
        <v>11.775</v>
      </c>
      <c r="KN147" s="128">
        <v>5923495</v>
      </c>
      <c r="KO147" s="128">
        <v>5289602</v>
      </c>
      <c r="KP147" s="128">
        <v>5289602</v>
      </c>
      <c r="KT147" s="128">
        <v>145000</v>
      </c>
      <c r="KU147" s="128">
        <v>0</v>
      </c>
      <c r="KV147" s="128">
        <v>0</v>
      </c>
      <c r="KZ147" s="128">
        <v>161500</v>
      </c>
      <c r="LA147" s="128">
        <v>0</v>
      </c>
      <c r="LB147" s="128">
        <v>0</v>
      </c>
      <c r="LF147" s="128">
        <v>207650</v>
      </c>
      <c r="LG147" s="128">
        <v>0</v>
      </c>
      <c r="LH147" s="128">
        <v>0</v>
      </c>
      <c r="LL147" s="128">
        <v>0</v>
      </c>
      <c r="LM147" s="128">
        <v>0</v>
      </c>
      <c r="LN147" s="128">
        <v>0</v>
      </c>
      <c r="LR147" s="128">
        <v>30000</v>
      </c>
      <c r="LS147" s="128">
        <v>0</v>
      </c>
      <c r="LT147" s="128">
        <v>0</v>
      </c>
      <c r="LX147" s="128">
        <v>0</v>
      </c>
      <c r="LY147" s="128">
        <v>0</v>
      </c>
      <c r="LZ147" s="128">
        <v>0</v>
      </c>
      <c r="MD147" s="128">
        <v>10000</v>
      </c>
      <c r="ME147" s="128">
        <v>0</v>
      </c>
      <c r="MF147" s="128">
        <v>0</v>
      </c>
      <c r="MJ147" s="128">
        <v>130000</v>
      </c>
      <c r="MK147" s="128">
        <v>0</v>
      </c>
      <c r="ML147" s="128">
        <v>0</v>
      </c>
      <c r="MP147" s="128">
        <v>60000</v>
      </c>
      <c r="MQ147" s="128">
        <v>0</v>
      </c>
      <c r="MR147" s="128">
        <v>0</v>
      </c>
      <c r="MV147" s="128">
        <v>130000</v>
      </c>
      <c r="MW147" s="128">
        <v>0</v>
      </c>
      <c r="MX147" s="128">
        <v>0</v>
      </c>
      <c r="NB147" s="128">
        <v>14000</v>
      </c>
      <c r="NC147" s="128">
        <v>0</v>
      </c>
      <c r="ND147" s="128">
        <v>0</v>
      </c>
      <c r="NH147" s="128">
        <v>10000</v>
      </c>
      <c r="NI147" s="128">
        <v>0</v>
      </c>
      <c r="NJ147" s="128">
        <v>0</v>
      </c>
      <c r="NN147" s="128">
        <v>0</v>
      </c>
      <c r="NO147" s="128">
        <v>0</v>
      </c>
      <c r="NP147" s="128">
        <v>0</v>
      </c>
      <c r="NT147" s="128">
        <v>30000</v>
      </c>
      <c r="NU147" s="128">
        <v>0</v>
      </c>
      <c r="NV147" s="128">
        <v>0</v>
      </c>
      <c r="NZ147" s="128">
        <v>30000</v>
      </c>
      <c r="OA147" s="128">
        <v>0</v>
      </c>
      <c r="OB147" s="128">
        <v>0</v>
      </c>
      <c r="OF147" s="128">
        <v>2000</v>
      </c>
      <c r="OG147" s="128">
        <v>0</v>
      </c>
      <c r="OH147" s="128">
        <v>0</v>
      </c>
      <c r="OL147" s="128">
        <v>0</v>
      </c>
      <c r="OM147" s="128">
        <v>0</v>
      </c>
      <c r="ON147" s="128">
        <v>0</v>
      </c>
      <c r="OR147" s="128">
        <v>0</v>
      </c>
      <c r="OS147" s="128">
        <v>0</v>
      </c>
      <c r="OT147" s="128">
        <v>0</v>
      </c>
      <c r="OX147" s="128">
        <v>74000</v>
      </c>
      <c r="OY147" s="128">
        <v>0</v>
      </c>
      <c r="OZ147" s="128">
        <v>0</v>
      </c>
      <c r="PD147" s="128">
        <v>0</v>
      </c>
      <c r="PE147" s="128">
        <v>0</v>
      </c>
      <c r="PF147" s="128">
        <v>0</v>
      </c>
      <c r="PJ147" s="128">
        <v>42000</v>
      </c>
      <c r="PK147" s="128">
        <v>0</v>
      </c>
      <c r="PL147" s="128">
        <v>0</v>
      </c>
      <c r="PP147" s="128">
        <v>6999645</v>
      </c>
      <c r="PQ147" s="128">
        <v>5289602</v>
      </c>
      <c r="PR147" s="128">
        <v>5289602</v>
      </c>
      <c r="PS147" s="128">
        <v>100</v>
      </c>
      <c r="PT147" s="128">
        <v>100</v>
      </c>
      <c r="PV147" s="128">
        <v>4568343</v>
      </c>
      <c r="PX147" s="128">
        <v>3027756</v>
      </c>
      <c r="PY147" s="128">
        <v>3590557</v>
      </c>
      <c r="PZ147" s="128">
        <v>5289602</v>
      </c>
      <c r="QA147" s="128">
        <v>0</v>
      </c>
      <c r="QB147" s="128">
        <v>0</v>
      </c>
      <c r="QC147" s="128">
        <v>0</v>
      </c>
      <c r="QD147" s="128">
        <v>1345000</v>
      </c>
      <c r="QE147" s="128">
        <v>1505000</v>
      </c>
      <c r="QF147" s="128">
        <v>355043</v>
      </c>
      <c r="QG147" s="128">
        <v>0</v>
      </c>
      <c r="QH147" s="128">
        <v>0</v>
      </c>
      <c r="QI147" s="128">
        <v>0</v>
      </c>
      <c r="QJ147" s="128">
        <v>1208084</v>
      </c>
      <c r="QK147" s="128">
        <v>1356000</v>
      </c>
      <c r="QL147" s="128">
        <v>1355000</v>
      </c>
      <c r="QN147" s="128">
        <v>0</v>
      </c>
      <c r="QO147" s="128">
        <v>0</v>
      </c>
      <c r="QP147" s="128">
        <v>0</v>
      </c>
      <c r="RH147" s="128">
        <f t="shared" si="310"/>
        <v>5644645</v>
      </c>
      <c r="RI147" s="128">
        <v>0</v>
      </c>
      <c r="RM147" s="128" t="s">
        <v>220</v>
      </c>
      <c r="RU147" s="130"/>
      <c r="RV147" s="130"/>
      <c r="RW147" s="130"/>
      <c r="RX147" s="130"/>
      <c r="SF147" s="128">
        <f t="shared" si="220"/>
        <v>9940787</v>
      </c>
      <c r="SG147" s="131">
        <f t="shared" si="221"/>
        <v>6999645</v>
      </c>
      <c r="SH147" s="131">
        <f t="shared" si="222"/>
        <v>6999645</v>
      </c>
      <c r="SI147" s="131">
        <f t="shared" si="223"/>
        <v>6437645</v>
      </c>
      <c r="SJ147" s="132">
        <f t="shared" si="224"/>
        <v>5923495</v>
      </c>
      <c r="SK147" s="132">
        <f t="shared" si="225"/>
        <v>145000</v>
      </c>
      <c r="SL147" s="132">
        <f t="shared" si="226"/>
        <v>161500</v>
      </c>
      <c r="SM147" s="132">
        <f t="shared" si="227"/>
        <v>207650</v>
      </c>
      <c r="SN147" s="131">
        <f t="shared" si="228"/>
        <v>562000</v>
      </c>
      <c r="SO147" s="131">
        <f t="shared" si="229"/>
        <v>30000</v>
      </c>
      <c r="SP147" s="132">
        <f t="shared" si="230"/>
        <v>0</v>
      </c>
      <c r="SQ147" s="132">
        <f t="shared" si="231"/>
        <v>30000</v>
      </c>
      <c r="SR147" s="132">
        <f t="shared" si="232"/>
        <v>0</v>
      </c>
      <c r="SS147" s="132">
        <f t="shared" si="233"/>
        <v>10000</v>
      </c>
      <c r="ST147" s="132">
        <f t="shared" si="234"/>
        <v>130000</v>
      </c>
      <c r="SU147" s="132">
        <f t="shared" si="235"/>
        <v>60000</v>
      </c>
      <c r="SV147" s="131">
        <f t="shared" si="236"/>
        <v>290000</v>
      </c>
      <c r="SW147" s="132">
        <f t="shared" si="237"/>
        <v>130000</v>
      </c>
      <c r="SX147" s="132">
        <f t="shared" si="238"/>
        <v>14000</v>
      </c>
      <c r="SY147" s="132">
        <f t="shared" si="239"/>
        <v>10000</v>
      </c>
      <c r="SZ147" s="132">
        <f t="shared" si="240"/>
        <v>0</v>
      </c>
      <c r="TA147" s="132">
        <f t="shared" si="241"/>
        <v>30000</v>
      </c>
      <c r="TB147" s="132">
        <f t="shared" si="242"/>
        <v>30000</v>
      </c>
      <c r="TC147" s="132">
        <f t="shared" si="243"/>
        <v>2000</v>
      </c>
      <c r="TD147" s="132">
        <f t="shared" si="244"/>
        <v>0</v>
      </c>
      <c r="TE147" s="132">
        <f t="shared" si="245"/>
        <v>0</v>
      </c>
      <c r="TF147" s="132">
        <f t="shared" si="246"/>
        <v>74000</v>
      </c>
      <c r="TG147" s="132">
        <f t="shared" si="247"/>
        <v>0</v>
      </c>
      <c r="TH147" s="132">
        <f t="shared" si="248"/>
        <v>42000</v>
      </c>
      <c r="TI147" s="1"/>
      <c r="TJ147" s="131">
        <f t="shared" si="249"/>
        <v>5289602</v>
      </c>
      <c r="TK147" s="131">
        <f t="shared" si="250"/>
        <v>5289602</v>
      </c>
      <c r="TL147" s="131">
        <f t="shared" si="251"/>
        <v>5289602</v>
      </c>
      <c r="TM147" s="132">
        <f t="shared" si="252"/>
        <v>5289602</v>
      </c>
      <c r="TN147" s="132">
        <f t="shared" si="253"/>
        <v>0</v>
      </c>
      <c r="TO147" s="132">
        <f t="shared" si="254"/>
        <v>0</v>
      </c>
      <c r="TP147" s="132">
        <f t="shared" si="255"/>
        <v>0</v>
      </c>
      <c r="TQ147" s="131">
        <f t="shared" si="256"/>
        <v>0</v>
      </c>
      <c r="TR147" s="131">
        <f t="shared" si="257"/>
        <v>0</v>
      </c>
      <c r="TS147" s="132">
        <f t="shared" si="258"/>
        <v>0</v>
      </c>
      <c r="TT147" s="132">
        <f t="shared" si="259"/>
        <v>0</v>
      </c>
      <c r="TU147" s="132">
        <f t="shared" si="260"/>
        <v>0</v>
      </c>
      <c r="TV147" s="132">
        <f t="shared" si="261"/>
        <v>0</v>
      </c>
      <c r="TW147" s="132">
        <f t="shared" si="262"/>
        <v>0</v>
      </c>
      <c r="TX147" s="132">
        <f t="shared" si="263"/>
        <v>0</v>
      </c>
      <c r="TY147" s="131">
        <f t="shared" si="264"/>
        <v>0</v>
      </c>
      <c r="TZ147" s="132">
        <f t="shared" si="265"/>
        <v>0</v>
      </c>
      <c r="UA147" s="132">
        <f t="shared" si="266"/>
        <v>0</v>
      </c>
      <c r="UB147" s="132">
        <f t="shared" si="267"/>
        <v>0</v>
      </c>
      <c r="UC147" s="132">
        <f t="shared" si="268"/>
        <v>0</v>
      </c>
      <c r="UD147" s="132">
        <f t="shared" si="269"/>
        <v>0</v>
      </c>
      <c r="UE147" s="132">
        <f t="shared" si="270"/>
        <v>0</v>
      </c>
      <c r="UF147" s="132">
        <f t="shared" si="271"/>
        <v>0</v>
      </c>
      <c r="UG147" s="132">
        <f t="shared" si="272"/>
        <v>0</v>
      </c>
      <c r="UH147" s="132">
        <f t="shared" si="273"/>
        <v>0</v>
      </c>
      <c r="UI147" s="132">
        <f t="shared" si="274"/>
        <v>0</v>
      </c>
      <c r="UJ147" s="132">
        <f t="shared" si="275"/>
        <v>0</v>
      </c>
      <c r="UK147" s="132">
        <f t="shared" si="276"/>
        <v>0</v>
      </c>
      <c r="UL147" s="132">
        <f t="shared" si="311"/>
        <v>5289602</v>
      </c>
      <c r="UM147" s="131">
        <f t="shared" si="277"/>
        <v>5289602</v>
      </c>
      <c r="UN147" s="131">
        <f t="shared" si="278"/>
        <v>5289602</v>
      </c>
      <c r="UO147" s="131">
        <f t="shared" si="279"/>
        <v>5289602</v>
      </c>
      <c r="UP147" s="132">
        <f t="shared" si="280"/>
        <v>5289602</v>
      </c>
      <c r="UQ147" s="132">
        <f t="shared" si="281"/>
        <v>0</v>
      </c>
      <c r="UR147" s="132">
        <f t="shared" si="282"/>
        <v>0</v>
      </c>
      <c r="US147" s="132">
        <f t="shared" si="283"/>
        <v>0</v>
      </c>
      <c r="UT147" s="131">
        <f t="shared" si="284"/>
        <v>0</v>
      </c>
      <c r="UU147" s="131">
        <f t="shared" si="285"/>
        <v>0</v>
      </c>
      <c r="UV147" s="132">
        <f t="shared" si="286"/>
        <v>0</v>
      </c>
      <c r="UW147" s="132">
        <f t="shared" si="287"/>
        <v>0</v>
      </c>
      <c r="UX147" s="132">
        <f t="shared" si="288"/>
        <v>0</v>
      </c>
      <c r="UY147" s="132">
        <f t="shared" si="289"/>
        <v>0</v>
      </c>
      <c r="UZ147" s="132">
        <f t="shared" si="290"/>
        <v>0</v>
      </c>
      <c r="VA147" s="132">
        <f t="shared" si="291"/>
        <v>0</v>
      </c>
      <c r="VB147" s="131">
        <f t="shared" si="292"/>
        <v>0</v>
      </c>
      <c r="VC147" s="132">
        <f t="shared" si="293"/>
        <v>0</v>
      </c>
      <c r="VD147" s="132">
        <f t="shared" si="294"/>
        <v>0</v>
      </c>
      <c r="VE147" s="132">
        <f t="shared" si="295"/>
        <v>0</v>
      </c>
      <c r="VF147" s="132">
        <f t="shared" si="296"/>
        <v>0</v>
      </c>
      <c r="VG147" s="132">
        <f t="shared" si="297"/>
        <v>0</v>
      </c>
      <c r="VH147" s="132">
        <f t="shared" si="298"/>
        <v>0</v>
      </c>
      <c r="VI147" s="132">
        <f t="shared" si="299"/>
        <v>0</v>
      </c>
      <c r="VJ147" s="132">
        <f t="shared" si="300"/>
        <v>0</v>
      </c>
      <c r="VK147" s="132">
        <f t="shared" si="301"/>
        <v>0</v>
      </c>
      <c r="VL147" s="132">
        <f t="shared" si="302"/>
        <v>0</v>
      </c>
      <c r="VM147" s="132">
        <f t="shared" si="303"/>
        <v>0</v>
      </c>
      <c r="VN147" s="132">
        <f t="shared" si="304"/>
        <v>0</v>
      </c>
      <c r="VP147" s="845" t="str">
        <f>IFERROR(HLOOKUP(F147,'Hodnocení '!$C$1:$JH$5,2,FALSE),0)</f>
        <v>Pečovatelská služba</v>
      </c>
      <c r="VQ147" s="838"/>
      <c r="VR147" s="845" t="str">
        <f t="shared" si="312"/>
        <v>Příspěvková organizace zřízená územním samosprávným celkem</v>
      </c>
      <c r="VS147" s="845" t="str">
        <f>IFERROR(HLOOKUP(F147,'Hodnocení '!$C$1:$JH$5,5,FALSE),0)</f>
        <v>Obce</v>
      </c>
      <c r="VT147" s="838" t="str">
        <f t="shared" si="313"/>
        <v>Příspěvková organizace zřízená územním samosprávným celkem</v>
      </c>
      <c r="VU147" s="838">
        <f t="shared" si="314"/>
        <v>0</v>
      </c>
      <c r="VV147" s="838">
        <f t="shared" si="315"/>
        <v>1355000</v>
      </c>
      <c r="VW147" s="838">
        <f t="shared" si="316"/>
        <v>0</v>
      </c>
      <c r="VX147" s="838"/>
      <c r="VY147" s="838">
        <f t="shared" si="216"/>
        <v>0</v>
      </c>
      <c r="VZ147" s="838">
        <f t="shared" si="217"/>
        <v>5289602</v>
      </c>
      <c r="WA147" s="846">
        <f>IFERROR(HLOOKUP($F147,'Hodnocení '!$C$1:$JH$9,9,FALSE),0)</f>
        <v>5289602</v>
      </c>
      <c r="WB147" s="846">
        <f>IF(IFERROR(HLOOKUP($F147,'Hodnocení '!$C$1:$JH$13,13,FALSE),0)&gt;WA147,WA147,IFERROR(HLOOKUP($F147,'Hodnocení '!$C$1:$JH$13,13,FALSE),0))</f>
        <v>5289600.1778761428</v>
      </c>
      <c r="WC147" s="846">
        <f>IFERROR(HLOOKUP($F147,'Hodnocení '!$C$1:$JH$155,155,FALSE),0)</f>
        <v>3881580</v>
      </c>
      <c r="WD147" s="845"/>
      <c r="WE147" s="845"/>
      <c r="WF147" s="845" t="str">
        <f t="shared" si="305"/>
        <v>ANO</v>
      </c>
      <c r="WG147" s="849" t="str">
        <f t="shared" si="218"/>
        <v>Podpora služby je vyjádřena zařazením do sítě sociálních služeb v KHK a řešením financování služby</v>
      </c>
      <c r="WH147"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47" s="849" t="str">
        <f t="shared" si="218"/>
        <v>Návrh dotace je výsledkem projednání s ostatními zadavateli v rámci sítě služeb KHK</v>
      </c>
      <c r="WJ147" s="849" t="str">
        <f t="shared" si="218"/>
        <v>Bez komentáře</v>
      </c>
      <c r="WK147" s="31" t="str">
        <f t="shared" si="306"/>
        <v>Výše příspěvku ze strany zřizovatele bude řešen v návaznosti na řešení podílů jednotlivých zadavatelů</v>
      </c>
      <c r="WL147" s="850">
        <f t="shared" si="307"/>
        <v>0</v>
      </c>
      <c r="WM147" s="849" t="str">
        <f t="shared" si="308"/>
        <v>V rámci sítě KHK se dlouhodobě řeší otázka navyšování úhrad a průběžně se monitoruje s vazbou na vykrytí vyrovnávací platby</v>
      </c>
      <c r="WN147" s="849">
        <f t="shared" si="309"/>
        <v>0</v>
      </c>
      <c r="WO147" s="849" t="str">
        <f t="shared" si="219"/>
        <v>bez komentáře</v>
      </c>
      <c r="WP147" s="849" t="str">
        <f t="shared" si="219"/>
        <v>bez komentáře</v>
      </c>
      <c r="WQ147" s="849" t="str">
        <f t="shared" si="219"/>
        <v>Konečná výše dotace z rozpočtu KHK bude řešena v návaznosti na řešení podílů jednotlivých zadavatelů.</v>
      </c>
      <c r="WR147" s="849" t="str">
        <f t="shared" si="219"/>
        <v>Konečná výše podpory ze stran obcí bude řešena v součinnosti s jednotlivými zadavateli v průběhu roku.</v>
      </c>
      <c r="WS147" s="849" t="str">
        <f t="shared" si="219"/>
        <v>bez komentáře</v>
      </c>
      <c r="WT147" s="849" t="str">
        <f t="shared" si="219"/>
        <v>bez komentáře</v>
      </c>
      <c r="WU147" s="845"/>
    </row>
    <row r="148" spans="1:619" s="128" customFormat="1" x14ac:dyDescent="0.25">
      <c r="A148" s="128" t="str">
        <f>VLOOKUP(F148,'Výpočet VP 2020'!$D$324:$I$588,6,FALSE)</f>
        <v>Je v síti</v>
      </c>
      <c r="B148" s="128" t="s">
        <v>690</v>
      </c>
      <c r="C148" s="128">
        <v>271926</v>
      </c>
      <c r="D148" s="128" t="s">
        <v>691</v>
      </c>
      <c r="E148" s="128" t="s">
        <v>604</v>
      </c>
      <c r="F148" s="128">
        <v>9949795</v>
      </c>
      <c r="G148" s="128" t="s">
        <v>328</v>
      </c>
      <c r="H148" s="128" t="s">
        <v>218</v>
      </c>
      <c r="I148" s="128" t="s">
        <v>692</v>
      </c>
      <c r="J148" s="129">
        <v>39083</v>
      </c>
      <c r="L148" s="128" t="s">
        <v>220</v>
      </c>
      <c r="X148" s="128" t="s">
        <v>335</v>
      </c>
      <c r="Z148" s="128">
        <v>3</v>
      </c>
      <c r="AA148" s="128">
        <v>4</v>
      </c>
      <c r="AB148" s="128">
        <v>4</v>
      </c>
      <c r="AC148" s="128">
        <v>3</v>
      </c>
      <c r="AD148" s="128">
        <v>3</v>
      </c>
      <c r="AN148" s="128">
        <v>46</v>
      </c>
      <c r="AP148" s="128" t="s">
        <v>693</v>
      </c>
      <c r="AQ148" s="128">
        <v>27</v>
      </c>
      <c r="AR148" s="128">
        <v>27</v>
      </c>
      <c r="AS148" s="128">
        <v>44</v>
      </c>
      <c r="AT148" s="128">
        <v>46</v>
      </c>
      <c r="AU148" s="128">
        <v>50</v>
      </c>
      <c r="BJ148" s="128">
        <v>2920</v>
      </c>
      <c r="BL148" s="128" t="s">
        <v>419</v>
      </c>
      <c r="BM148" s="128" t="s">
        <v>325</v>
      </c>
      <c r="BN148" s="128" t="s">
        <v>326</v>
      </c>
      <c r="BO148" s="128">
        <v>0</v>
      </c>
      <c r="BP148" s="128">
        <v>0</v>
      </c>
      <c r="BQ148" s="128">
        <v>0</v>
      </c>
      <c r="BR148" s="128">
        <v>0</v>
      </c>
      <c r="BS148" s="128">
        <v>0</v>
      </c>
      <c r="BT148" s="128">
        <v>4</v>
      </c>
      <c r="BU148" s="128">
        <v>5</v>
      </c>
      <c r="BV148" s="128">
        <v>0</v>
      </c>
      <c r="BW148" s="128">
        <v>0</v>
      </c>
      <c r="BX148" s="128">
        <v>40</v>
      </c>
      <c r="BY148" s="128">
        <v>4</v>
      </c>
      <c r="BZ148" s="128">
        <v>5</v>
      </c>
      <c r="CA148" s="128">
        <v>0</v>
      </c>
      <c r="CB148" s="128">
        <v>0</v>
      </c>
      <c r="CC148" s="128">
        <v>40</v>
      </c>
      <c r="CD148" s="128">
        <v>0</v>
      </c>
      <c r="CE148" s="128">
        <v>49</v>
      </c>
      <c r="CF148" s="128">
        <v>49</v>
      </c>
      <c r="CG148" s="128">
        <v>0</v>
      </c>
      <c r="CH148" s="128">
        <v>0</v>
      </c>
      <c r="CI148" s="128">
        <v>0</v>
      </c>
      <c r="CJ148" s="128">
        <v>0</v>
      </c>
      <c r="CK148" s="128">
        <v>0</v>
      </c>
      <c r="CL148" s="128">
        <v>0</v>
      </c>
      <c r="CM148" s="128">
        <v>7</v>
      </c>
      <c r="CN148" s="128">
        <v>6</v>
      </c>
      <c r="CO148" s="128">
        <v>0</v>
      </c>
      <c r="CP148" s="128">
        <v>0</v>
      </c>
      <c r="CQ148" s="128">
        <v>40</v>
      </c>
      <c r="CR148" s="128">
        <v>7</v>
      </c>
      <c r="CS148" s="128">
        <v>6</v>
      </c>
      <c r="CT148" s="128">
        <v>0</v>
      </c>
      <c r="CU148" s="128">
        <v>0</v>
      </c>
      <c r="CV148" s="128">
        <v>40</v>
      </c>
      <c r="CW148" s="128">
        <v>0</v>
      </c>
      <c r="CX148" s="128">
        <v>53</v>
      </c>
      <c r="CY148" s="128">
        <v>53</v>
      </c>
      <c r="CZ148" s="128">
        <v>0</v>
      </c>
      <c r="EP148" s="128">
        <v>3</v>
      </c>
      <c r="EQ148" s="128">
        <v>2.25</v>
      </c>
      <c r="ER148" s="128">
        <v>2.25</v>
      </c>
      <c r="ES148" s="128">
        <v>980000</v>
      </c>
      <c r="ET148" s="128">
        <v>900000</v>
      </c>
      <c r="FO148" s="128">
        <v>3</v>
      </c>
      <c r="FP148" s="128">
        <v>1.25</v>
      </c>
      <c r="FQ148" s="128">
        <v>1</v>
      </c>
      <c r="FR148" s="128">
        <v>720000</v>
      </c>
      <c r="FS148" s="128">
        <v>590000</v>
      </c>
      <c r="IN148" s="128">
        <v>2</v>
      </c>
      <c r="IO148" s="128">
        <v>600</v>
      </c>
      <c r="IP148" s="128">
        <v>0.28599999999999998</v>
      </c>
      <c r="IQ148" s="128">
        <v>75000</v>
      </c>
      <c r="IR148" s="128">
        <v>35000</v>
      </c>
      <c r="IS148" s="128">
        <v>1</v>
      </c>
      <c r="IT148" s="128">
        <v>300</v>
      </c>
      <c r="IU148" s="128">
        <v>0.14299999999999999</v>
      </c>
      <c r="IV148" s="128">
        <v>25500</v>
      </c>
      <c r="IW148" s="128">
        <v>15000</v>
      </c>
      <c r="KG148" s="128">
        <v>0</v>
      </c>
      <c r="KI148" s="128">
        <v>2.25</v>
      </c>
      <c r="KJ148" s="128">
        <v>0</v>
      </c>
      <c r="KK148" s="128">
        <v>0.28599999999999998</v>
      </c>
      <c r="KL148" s="128">
        <v>0</v>
      </c>
      <c r="KM148" s="128">
        <v>2.536</v>
      </c>
      <c r="KN148" s="128">
        <v>1700000</v>
      </c>
      <c r="KO148" s="128">
        <v>1490000</v>
      </c>
      <c r="KP148" s="128">
        <v>1490000</v>
      </c>
      <c r="KT148" s="128">
        <v>0</v>
      </c>
      <c r="KU148" s="128">
        <v>0</v>
      </c>
      <c r="KV148" s="128">
        <v>0</v>
      </c>
      <c r="KZ148" s="128">
        <v>100500</v>
      </c>
      <c r="LA148" s="128">
        <v>50000</v>
      </c>
      <c r="LB148" s="128">
        <v>50000</v>
      </c>
      <c r="LF148" s="128">
        <v>0</v>
      </c>
      <c r="LG148" s="128">
        <v>0</v>
      </c>
      <c r="LH148" s="128">
        <v>0</v>
      </c>
      <c r="LL148" s="128">
        <v>0</v>
      </c>
      <c r="LM148" s="128">
        <v>0</v>
      </c>
      <c r="LN148" s="128">
        <v>0</v>
      </c>
      <c r="LR148" s="128">
        <v>40000</v>
      </c>
      <c r="LS148" s="128">
        <v>20000</v>
      </c>
      <c r="LT148" s="128">
        <v>20000</v>
      </c>
      <c r="LX148" s="128">
        <v>0</v>
      </c>
      <c r="LY148" s="128">
        <v>0</v>
      </c>
      <c r="LZ148" s="128">
        <v>0</v>
      </c>
      <c r="MD148" s="128">
        <v>30000</v>
      </c>
      <c r="ME148" s="128">
        <v>15000</v>
      </c>
      <c r="MF148" s="128">
        <v>15000</v>
      </c>
      <c r="MJ148" s="128">
        <v>45000</v>
      </c>
      <c r="MK148" s="128">
        <v>30000</v>
      </c>
      <c r="ML148" s="128">
        <v>30000</v>
      </c>
      <c r="MP148" s="128">
        <v>200000</v>
      </c>
      <c r="MQ148" s="128">
        <v>70000</v>
      </c>
      <c r="MR148" s="128">
        <v>70000</v>
      </c>
      <c r="MV148" s="128">
        <v>105000</v>
      </c>
      <c r="MW148" s="128">
        <v>75000</v>
      </c>
      <c r="MX148" s="128">
        <v>75000</v>
      </c>
      <c r="NB148" s="128">
        <v>50000</v>
      </c>
      <c r="NC148" s="128">
        <v>30000</v>
      </c>
      <c r="ND148" s="128">
        <v>30000</v>
      </c>
      <c r="NH148" s="128">
        <v>0</v>
      </c>
      <c r="NI148" s="128">
        <v>0</v>
      </c>
      <c r="NJ148" s="128">
        <v>0</v>
      </c>
      <c r="NN148" s="128">
        <v>0</v>
      </c>
      <c r="NO148" s="128">
        <v>0</v>
      </c>
      <c r="NP148" s="128">
        <v>0</v>
      </c>
      <c r="NT148" s="128">
        <v>20000</v>
      </c>
      <c r="NU148" s="128">
        <v>17000</v>
      </c>
      <c r="NV148" s="128">
        <v>17000</v>
      </c>
      <c r="NZ148" s="128">
        <v>150000</v>
      </c>
      <c r="OA148" s="128">
        <v>90000</v>
      </c>
      <c r="OB148" s="128">
        <v>90000</v>
      </c>
      <c r="OF148" s="128">
        <v>5000</v>
      </c>
      <c r="OG148" s="128">
        <v>2000</v>
      </c>
      <c r="OH148" s="128">
        <v>2000</v>
      </c>
      <c r="OL148" s="128">
        <v>0</v>
      </c>
      <c r="OM148" s="128">
        <v>0</v>
      </c>
      <c r="ON148" s="128">
        <v>0</v>
      </c>
      <c r="OR148" s="128">
        <v>0</v>
      </c>
      <c r="OS148" s="128">
        <v>0</v>
      </c>
      <c r="OT148" s="128">
        <v>0</v>
      </c>
      <c r="OX148" s="128">
        <v>0</v>
      </c>
      <c r="OY148" s="128">
        <v>0</v>
      </c>
      <c r="OZ148" s="128">
        <v>0</v>
      </c>
      <c r="PD148" s="128">
        <v>81000</v>
      </c>
      <c r="PE148" s="128">
        <v>0</v>
      </c>
      <c r="PF148" s="128">
        <v>0</v>
      </c>
      <c r="PJ148" s="128">
        <v>0</v>
      </c>
      <c r="PK148" s="128">
        <v>0</v>
      </c>
      <c r="PL148" s="128">
        <v>0</v>
      </c>
      <c r="PP148" s="128">
        <v>2526500</v>
      </c>
      <c r="PQ148" s="128">
        <v>1889000</v>
      </c>
      <c r="PR148" s="128">
        <v>1889000</v>
      </c>
      <c r="PS148" s="128">
        <v>100</v>
      </c>
      <c r="PT148" s="128">
        <v>100</v>
      </c>
      <c r="PV148" s="128">
        <v>1153542</v>
      </c>
      <c r="PX148" s="128">
        <v>553690</v>
      </c>
      <c r="PY148" s="128">
        <v>470270</v>
      </c>
      <c r="PZ148" s="128">
        <v>1889000</v>
      </c>
      <c r="QA148" s="128">
        <v>0</v>
      </c>
      <c r="QB148" s="128">
        <v>0</v>
      </c>
      <c r="QC148" s="128">
        <v>0</v>
      </c>
      <c r="QD148" s="128">
        <v>1078021</v>
      </c>
      <c r="QE148" s="128">
        <v>735410</v>
      </c>
      <c r="QF148" s="128">
        <v>287500</v>
      </c>
      <c r="QG148" s="128">
        <v>0</v>
      </c>
      <c r="QH148" s="128">
        <v>0</v>
      </c>
      <c r="QI148" s="128">
        <v>0</v>
      </c>
      <c r="QJ148" s="128">
        <v>328178</v>
      </c>
      <c r="QK148" s="128">
        <v>335000</v>
      </c>
      <c r="QL148" s="128">
        <v>350000</v>
      </c>
      <c r="QN148" s="128">
        <v>0</v>
      </c>
      <c r="QO148" s="128">
        <v>0</v>
      </c>
      <c r="QP148" s="128">
        <v>0</v>
      </c>
      <c r="QU148" s="128">
        <v>0</v>
      </c>
      <c r="QV148" s="128">
        <v>50000</v>
      </c>
      <c r="QW148" s="128">
        <v>0</v>
      </c>
      <c r="RH148" s="128">
        <f t="shared" si="310"/>
        <v>2176500</v>
      </c>
      <c r="RI148" s="128">
        <v>0</v>
      </c>
      <c r="RM148" s="128" t="s">
        <v>220</v>
      </c>
      <c r="RU148" s="130"/>
      <c r="RV148" s="130"/>
      <c r="RW148" s="130"/>
      <c r="RX148" s="130"/>
      <c r="SF148" s="128">
        <f t="shared" si="220"/>
        <v>9949795</v>
      </c>
      <c r="SG148" s="131">
        <f t="shared" si="221"/>
        <v>2526500</v>
      </c>
      <c r="SH148" s="131">
        <f t="shared" si="222"/>
        <v>2526500</v>
      </c>
      <c r="SI148" s="131">
        <f t="shared" si="223"/>
        <v>1800500</v>
      </c>
      <c r="SJ148" s="132">
        <f t="shared" si="224"/>
        <v>1700000</v>
      </c>
      <c r="SK148" s="132">
        <f t="shared" si="225"/>
        <v>0</v>
      </c>
      <c r="SL148" s="132">
        <f t="shared" si="226"/>
        <v>100500</v>
      </c>
      <c r="SM148" s="132">
        <f t="shared" si="227"/>
        <v>0</v>
      </c>
      <c r="SN148" s="131">
        <f t="shared" si="228"/>
        <v>726000</v>
      </c>
      <c r="SO148" s="131">
        <f t="shared" si="229"/>
        <v>40000</v>
      </c>
      <c r="SP148" s="132">
        <f t="shared" si="230"/>
        <v>0</v>
      </c>
      <c r="SQ148" s="132">
        <f t="shared" si="231"/>
        <v>40000</v>
      </c>
      <c r="SR148" s="132">
        <f t="shared" si="232"/>
        <v>0</v>
      </c>
      <c r="SS148" s="132">
        <f t="shared" si="233"/>
        <v>30000</v>
      </c>
      <c r="ST148" s="132">
        <f t="shared" si="234"/>
        <v>45000</v>
      </c>
      <c r="SU148" s="132">
        <f t="shared" si="235"/>
        <v>200000</v>
      </c>
      <c r="SV148" s="131">
        <f t="shared" si="236"/>
        <v>330000</v>
      </c>
      <c r="SW148" s="132">
        <f t="shared" si="237"/>
        <v>105000</v>
      </c>
      <c r="SX148" s="132">
        <f t="shared" si="238"/>
        <v>50000</v>
      </c>
      <c r="SY148" s="132">
        <f t="shared" si="239"/>
        <v>0</v>
      </c>
      <c r="SZ148" s="132">
        <f t="shared" si="240"/>
        <v>0</v>
      </c>
      <c r="TA148" s="132">
        <f t="shared" si="241"/>
        <v>20000</v>
      </c>
      <c r="TB148" s="132">
        <f t="shared" si="242"/>
        <v>150000</v>
      </c>
      <c r="TC148" s="132">
        <f t="shared" si="243"/>
        <v>5000</v>
      </c>
      <c r="TD148" s="132">
        <f t="shared" si="244"/>
        <v>0</v>
      </c>
      <c r="TE148" s="132">
        <f t="shared" si="245"/>
        <v>0</v>
      </c>
      <c r="TF148" s="132">
        <f t="shared" si="246"/>
        <v>0</v>
      </c>
      <c r="TG148" s="132">
        <f t="shared" si="247"/>
        <v>81000</v>
      </c>
      <c r="TH148" s="132">
        <f t="shared" si="248"/>
        <v>0</v>
      </c>
      <c r="TI148" s="1"/>
      <c r="TJ148" s="131">
        <f t="shared" si="249"/>
        <v>1889000</v>
      </c>
      <c r="TK148" s="131">
        <f t="shared" si="250"/>
        <v>1889000</v>
      </c>
      <c r="TL148" s="131">
        <f t="shared" si="251"/>
        <v>1540000</v>
      </c>
      <c r="TM148" s="132">
        <f t="shared" si="252"/>
        <v>1490000</v>
      </c>
      <c r="TN148" s="132">
        <f t="shared" si="253"/>
        <v>0</v>
      </c>
      <c r="TO148" s="132">
        <f t="shared" si="254"/>
        <v>50000</v>
      </c>
      <c r="TP148" s="132">
        <f t="shared" si="255"/>
        <v>0</v>
      </c>
      <c r="TQ148" s="131">
        <f t="shared" si="256"/>
        <v>349000</v>
      </c>
      <c r="TR148" s="131">
        <f t="shared" si="257"/>
        <v>20000</v>
      </c>
      <c r="TS148" s="132">
        <f t="shared" si="258"/>
        <v>0</v>
      </c>
      <c r="TT148" s="132">
        <f t="shared" si="259"/>
        <v>20000</v>
      </c>
      <c r="TU148" s="132">
        <f t="shared" si="260"/>
        <v>0</v>
      </c>
      <c r="TV148" s="132">
        <f t="shared" si="261"/>
        <v>15000</v>
      </c>
      <c r="TW148" s="132">
        <f t="shared" si="262"/>
        <v>30000</v>
      </c>
      <c r="TX148" s="132">
        <f t="shared" si="263"/>
        <v>70000</v>
      </c>
      <c r="TY148" s="131">
        <f t="shared" si="264"/>
        <v>214000</v>
      </c>
      <c r="TZ148" s="132">
        <f t="shared" si="265"/>
        <v>75000</v>
      </c>
      <c r="UA148" s="132">
        <f t="shared" si="266"/>
        <v>30000</v>
      </c>
      <c r="UB148" s="132">
        <f t="shared" si="267"/>
        <v>0</v>
      </c>
      <c r="UC148" s="132">
        <f t="shared" si="268"/>
        <v>0</v>
      </c>
      <c r="UD148" s="132">
        <f t="shared" si="269"/>
        <v>17000</v>
      </c>
      <c r="UE148" s="132">
        <f t="shared" si="270"/>
        <v>90000</v>
      </c>
      <c r="UF148" s="132">
        <f t="shared" si="271"/>
        <v>2000</v>
      </c>
      <c r="UG148" s="132">
        <f t="shared" si="272"/>
        <v>0</v>
      </c>
      <c r="UH148" s="132">
        <f t="shared" si="273"/>
        <v>0</v>
      </c>
      <c r="UI148" s="132">
        <f t="shared" si="274"/>
        <v>0</v>
      </c>
      <c r="UJ148" s="132">
        <f t="shared" si="275"/>
        <v>0</v>
      </c>
      <c r="UK148" s="132">
        <f t="shared" si="276"/>
        <v>0</v>
      </c>
      <c r="UL148" s="132">
        <f t="shared" si="311"/>
        <v>1889000</v>
      </c>
      <c r="UM148" s="131">
        <f t="shared" si="277"/>
        <v>1889000</v>
      </c>
      <c r="UN148" s="131">
        <f t="shared" si="278"/>
        <v>1889000</v>
      </c>
      <c r="UO148" s="131">
        <f t="shared" si="279"/>
        <v>1540000</v>
      </c>
      <c r="UP148" s="132">
        <f t="shared" si="280"/>
        <v>1490000</v>
      </c>
      <c r="UQ148" s="132">
        <f t="shared" si="281"/>
        <v>0</v>
      </c>
      <c r="UR148" s="132">
        <f t="shared" si="282"/>
        <v>50000</v>
      </c>
      <c r="US148" s="132">
        <f t="shared" si="283"/>
        <v>0</v>
      </c>
      <c r="UT148" s="131">
        <f t="shared" si="284"/>
        <v>349000</v>
      </c>
      <c r="UU148" s="131">
        <f t="shared" si="285"/>
        <v>20000</v>
      </c>
      <c r="UV148" s="132">
        <f t="shared" si="286"/>
        <v>0</v>
      </c>
      <c r="UW148" s="132">
        <f t="shared" si="287"/>
        <v>20000</v>
      </c>
      <c r="UX148" s="132">
        <f t="shared" si="288"/>
        <v>0</v>
      </c>
      <c r="UY148" s="132">
        <f t="shared" si="289"/>
        <v>15000</v>
      </c>
      <c r="UZ148" s="132">
        <f t="shared" si="290"/>
        <v>30000</v>
      </c>
      <c r="VA148" s="132">
        <f t="shared" si="291"/>
        <v>70000</v>
      </c>
      <c r="VB148" s="131">
        <f t="shared" si="292"/>
        <v>214000</v>
      </c>
      <c r="VC148" s="132">
        <f t="shared" si="293"/>
        <v>75000</v>
      </c>
      <c r="VD148" s="132">
        <f t="shared" si="294"/>
        <v>30000</v>
      </c>
      <c r="VE148" s="132">
        <f t="shared" si="295"/>
        <v>0</v>
      </c>
      <c r="VF148" s="132">
        <f t="shared" si="296"/>
        <v>0</v>
      </c>
      <c r="VG148" s="132">
        <f t="shared" si="297"/>
        <v>17000</v>
      </c>
      <c r="VH148" s="132">
        <f t="shared" si="298"/>
        <v>90000</v>
      </c>
      <c r="VI148" s="132">
        <f t="shared" si="299"/>
        <v>2000</v>
      </c>
      <c r="VJ148" s="132">
        <f t="shared" si="300"/>
        <v>0</v>
      </c>
      <c r="VK148" s="132">
        <f t="shared" si="301"/>
        <v>0</v>
      </c>
      <c r="VL148" s="132">
        <f t="shared" si="302"/>
        <v>0</v>
      </c>
      <c r="VM148" s="132">
        <f t="shared" si="303"/>
        <v>0</v>
      </c>
      <c r="VN148" s="132">
        <f t="shared" si="304"/>
        <v>0</v>
      </c>
      <c r="VP148" s="845" t="str">
        <f>IFERROR(HLOOKUP(F148,'Hodnocení '!$C$1:$JH$5,2,FALSE),0)</f>
        <v>Pečovatelská služba Pecka</v>
      </c>
      <c r="VQ148" s="838"/>
      <c r="VR148" s="845" t="str">
        <f t="shared" si="312"/>
        <v>Obec</v>
      </c>
      <c r="VS148" s="845" t="str">
        <f>IFERROR(HLOOKUP(F148,'Hodnocení '!$C$1:$JH$5,5,FALSE),0)</f>
        <v>Obce</v>
      </c>
      <c r="VT148" s="838" t="str">
        <f t="shared" si="313"/>
        <v>Obec</v>
      </c>
      <c r="VU148" s="838">
        <f t="shared" si="314"/>
        <v>0</v>
      </c>
      <c r="VV148" s="838">
        <f t="shared" si="315"/>
        <v>350000</v>
      </c>
      <c r="VW148" s="838">
        <f t="shared" si="316"/>
        <v>0</v>
      </c>
      <c r="VX148" s="838"/>
      <c r="VY148" s="838">
        <f t="shared" si="216"/>
        <v>0</v>
      </c>
      <c r="VZ148" s="838">
        <f t="shared" si="217"/>
        <v>1889000</v>
      </c>
      <c r="WA148" s="846">
        <f>IFERROR(HLOOKUP($F148,'Hodnocení '!$C$1:$JH$9,9,FALSE),0)</f>
        <v>1889000</v>
      </c>
      <c r="WB148" s="846">
        <f>IF(IFERROR(HLOOKUP($F148,'Hodnocení '!$C$1:$JH$13,13,FALSE),0)&gt;WA148,WA148,IFERROR(HLOOKUP($F148,'Hodnocení '!$C$1:$JH$13,13,FALSE),0))</f>
        <v>1324656.0617410089</v>
      </c>
      <c r="WC148" s="846">
        <f>IFERROR(HLOOKUP($F148,'Hodnocení '!$C$1:$JH$155,155,FALSE),0)</f>
        <v>484460</v>
      </c>
      <c r="WD148" s="845"/>
      <c r="WE148" s="845"/>
      <c r="WF148" s="845" t="str">
        <f t="shared" si="305"/>
        <v>ANO</v>
      </c>
      <c r="WG148" s="849" t="str">
        <f t="shared" si="218"/>
        <v>Podpora služby je vyjádřena zařazením do sítě sociálních služeb v KHK a řešením financování služby</v>
      </c>
      <c r="WH148"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48" s="849" t="str">
        <f t="shared" si="218"/>
        <v>Návrh dotace je výsledkem projednání s ostatními zadavateli v rámci sítě služeb KHK</v>
      </c>
      <c r="WJ148" s="849" t="str">
        <f t="shared" si="218"/>
        <v>Bez komentáře</v>
      </c>
      <c r="WK148" s="31">
        <f t="shared" si="306"/>
        <v>0</v>
      </c>
      <c r="WL148" s="850">
        <f t="shared" si="307"/>
        <v>0</v>
      </c>
      <c r="WM148" s="849" t="str">
        <f t="shared" si="308"/>
        <v>V rámci sítě KHK se dlouhodobě řeší otázka navyšování úhrad a průběžně se monitoruje s vazbou na vykrytí vyrovnávací platby</v>
      </c>
      <c r="WN148" s="849">
        <f t="shared" si="309"/>
        <v>0</v>
      </c>
      <c r="WO148" s="849" t="str">
        <f t="shared" si="219"/>
        <v>bez komentáře</v>
      </c>
      <c r="WP148" s="849" t="str">
        <f t="shared" si="219"/>
        <v>bez komentáře</v>
      </c>
      <c r="WQ148" s="849" t="str">
        <f t="shared" si="219"/>
        <v>Konečná výše dotace z rozpočtu KHK bude řešena v návaznosti na řešení podílů jednotlivých zadavatelů.</v>
      </c>
      <c r="WR148" s="849" t="str">
        <f t="shared" si="219"/>
        <v>Konečná výše podpory ze stran obcí bude řešena v součinnosti s jednotlivými zadavateli v průběhu roku.</v>
      </c>
      <c r="WS148" s="849" t="str">
        <f t="shared" si="219"/>
        <v>bez komentáře</v>
      </c>
      <c r="WT148" s="849" t="str">
        <f t="shared" si="219"/>
        <v>bez komentáře</v>
      </c>
      <c r="WU148" s="845"/>
    </row>
    <row r="149" spans="1:619" s="128" customFormat="1" x14ac:dyDescent="0.25">
      <c r="A149" s="128" t="str">
        <f>VLOOKUP(F149,'Výpočet VP 2020'!$D$324:$I$588,6,FALSE)</f>
        <v>Je v síti</v>
      </c>
      <c r="B149" s="128" t="s">
        <v>694</v>
      </c>
      <c r="C149" s="128">
        <v>63213206</v>
      </c>
      <c r="D149" s="128" t="s">
        <v>695</v>
      </c>
      <c r="E149" s="128" t="s">
        <v>696</v>
      </c>
      <c r="F149" s="128">
        <v>2540162</v>
      </c>
      <c r="G149" s="128" t="s">
        <v>328</v>
      </c>
      <c r="H149" s="128" t="s">
        <v>218</v>
      </c>
      <c r="I149" s="128" t="s">
        <v>694</v>
      </c>
      <c r="J149" s="129">
        <v>39083</v>
      </c>
      <c r="L149" s="128" t="s">
        <v>220</v>
      </c>
      <c r="AP149" s="128" t="s">
        <v>373</v>
      </c>
      <c r="AQ149" s="128">
        <v>18</v>
      </c>
      <c r="AR149" s="128">
        <v>90</v>
      </c>
      <c r="AS149" s="128">
        <v>190</v>
      </c>
      <c r="AT149" s="128">
        <v>200</v>
      </c>
      <c r="AU149" s="128">
        <v>220</v>
      </c>
      <c r="BJ149" s="128">
        <v>7500</v>
      </c>
      <c r="BL149" s="128" t="s">
        <v>697</v>
      </c>
      <c r="BM149" s="128" t="s">
        <v>325</v>
      </c>
      <c r="BN149" s="128" t="s">
        <v>424</v>
      </c>
      <c r="BO149" s="128">
        <v>0</v>
      </c>
      <c r="BP149" s="128">
        <v>0</v>
      </c>
      <c r="BQ149" s="128">
        <v>0</v>
      </c>
      <c r="BR149" s="128">
        <v>0</v>
      </c>
      <c r="BS149" s="128">
        <v>0</v>
      </c>
      <c r="BT149" s="128">
        <v>83</v>
      </c>
      <c r="BU149" s="128">
        <v>66</v>
      </c>
      <c r="BV149" s="128">
        <v>23</v>
      </c>
      <c r="BW149" s="128">
        <v>9</v>
      </c>
      <c r="BX149" s="128">
        <v>0</v>
      </c>
      <c r="BY149" s="128">
        <v>83</v>
      </c>
      <c r="BZ149" s="128">
        <v>66</v>
      </c>
      <c r="CA149" s="128">
        <v>23</v>
      </c>
      <c r="CB149" s="128">
        <v>9</v>
      </c>
      <c r="CC149" s="128">
        <v>0</v>
      </c>
      <c r="CD149" s="128">
        <v>0</v>
      </c>
      <c r="CE149" s="128">
        <v>181</v>
      </c>
      <c r="CF149" s="128">
        <v>181</v>
      </c>
      <c r="CG149" s="128">
        <v>0</v>
      </c>
      <c r="CH149" s="128">
        <v>0</v>
      </c>
      <c r="CI149" s="128">
        <v>0</v>
      </c>
      <c r="CJ149" s="128">
        <v>0</v>
      </c>
      <c r="CK149" s="128">
        <v>0</v>
      </c>
      <c r="CL149" s="128">
        <v>0</v>
      </c>
      <c r="CM149" s="128">
        <v>95</v>
      </c>
      <c r="CN149" s="128">
        <v>85</v>
      </c>
      <c r="CO149" s="128">
        <v>30</v>
      </c>
      <c r="CP149" s="128">
        <v>10</v>
      </c>
      <c r="CQ149" s="128">
        <v>0</v>
      </c>
      <c r="CR149" s="128">
        <v>95</v>
      </c>
      <c r="CS149" s="128">
        <v>85</v>
      </c>
      <c r="CT149" s="128">
        <v>30</v>
      </c>
      <c r="CU149" s="128">
        <v>10</v>
      </c>
      <c r="CV149" s="128">
        <v>0</v>
      </c>
      <c r="CW149" s="128">
        <v>0</v>
      </c>
      <c r="CX149" s="128">
        <v>220</v>
      </c>
      <c r="CY149" s="128">
        <v>220</v>
      </c>
      <c r="CZ149" s="128">
        <v>0</v>
      </c>
      <c r="EK149" s="128">
        <v>1</v>
      </c>
      <c r="EL149" s="128">
        <v>1</v>
      </c>
      <c r="EM149" s="128">
        <v>1</v>
      </c>
      <c r="EN149" s="128">
        <v>400000</v>
      </c>
      <c r="EO149" s="128">
        <v>400000</v>
      </c>
      <c r="EP149" s="128">
        <v>7</v>
      </c>
      <c r="EQ149" s="128">
        <v>6.5</v>
      </c>
      <c r="ER149" s="128">
        <v>7</v>
      </c>
      <c r="ES149" s="128">
        <v>1900000</v>
      </c>
      <c r="ET149" s="128">
        <v>1900000</v>
      </c>
      <c r="FO149" s="128">
        <v>2</v>
      </c>
      <c r="FP149" s="128">
        <v>2</v>
      </c>
      <c r="FQ149" s="128">
        <v>2</v>
      </c>
      <c r="FR149" s="128">
        <v>580000</v>
      </c>
      <c r="FS149" s="128">
        <v>580000</v>
      </c>
      <c r="IN149" s="128">
        <v>1</v>
      </c>
      <c r="IO149" s="128">
        <v>300</v>
      </c>
      <c r="IP149" s="128">
        <v>0.14299999999999999</v>
      </c>
      <c r="IQ149" s="128">
        <v>9000</v>
      </c>
      <c r="IR149" s="128">
        <v>9000</v>
      </c>
      <c r="KG149" s="128">
        <v>0</v>
      </c>
      <c r="KI149" s="128">
        <v>7.5</v>
      </c>
      <c r="KJ149" s="128">
        <v>0</v>
      </c>
      <c r="KK149" s="128">
        <v>0.14299999999999999</v>
      </c>
      <c r="KL149" s="128">
        <v>0</v>
      </c>
      <c r="KM149" s="128">
        <v>7.6429999999999998</v>
      </c>
      <c r="KN149" s="128">
        <v>2880000</v>
      </c>
      <c r="KO149" s="128">
        <v>2880000</v>
      </c>
      <c r="KP149" s="128">
        <v>2880000</v>
      </c>
      <c r="KT149" s="128">
        <v>0</v>
      </c>
      <c r="KU149" s="128">
        <v>0</v>
      </c>
      <c r="KV149" s="128">
        <v>0</v>
      </c>
      <c r="KZ149" s="128">
        <v>9000</v>
      </c>
      <c r="LA149" s="128">
        <v>9000</v>
      </c>
      <c r="LB149" s="128">
        <v>9000</v>
      </c>
      <c r="LF149" s="128">
        <v>0</v>
      </c>
      <c r="LG149" s="128">
        <v>0</v>
      </c>
      <c r="LH149" s="128">
        <v>0</v>
      </c>
      <c r="LL149" s="128">
        <v>0</v>
      </c>
      <c r="LM149" s="128">
        <v>0</v>
      </c>
      <c r="LN149" s="128">
        <v>0</v>
      </c>
      <c r="LR149" s="128">
        <v>200000</v>
      </c>
      <c r="LS149" s="128">
        <v>0</v>
      </c>
      <c r="LT149" s="128">
        <v>0</v>
      </c>
      <c r="LX149" s="128">
        <v>0</v>
      </c>
      <c r="LY149" s="128">
        <v>0</v>
      </c>
      <c r="LZ149" s="128">
        <v>0</v>
      </c>
      <c r="MD149" s="128">
        <v>100000</v>
      </c>
      <c r="ME149" s="128">
        <v>100000</v>
      </c>
      <c r="MF149" s="128">
        <v>100000</v>
      </c>
      <c r="MJ149" s="128">
        <v>300000</v>
      </c>
      <c r="MK149" s="128">
        <v>300000</v>
      </c>
      <c r="ML149" s="128">
        <v>300000</v>
      </c>
      <c r="MP149" s="128">
        <v>0</v>
      </c>
      <c r="MQ149" s="128">
        <v>0</v>
      </c>
      <c r="MR149" s="128">
        <v>0</v>
      </c>
      <c r="MV149" s="128">
        <v>80000</v>
      </c>
      <c r="MW149" s="128">
        <v>0</v>
      </c>
      <c r="MX149" s="128">
        <v>0</v>
      </c>
      <c r="NB149" s="128">
        <v>75000</v>
      </c>
      <c r="NC149" s="128">
        <v>0</v>
      </c>
      <c r="ND149" s="128">
        <v>0</v>
      </c>
      <c r="NH149" s="128">
        <v>450000</v>
      </c>
      <c r="NI149" s="128">
        <v>250000</v>
      </c>
      <c r="NJ149" s="128">
        <v>250000</v>
      </c>
      <c r="NN149" s="128">
        <v>100000</v>
      </c>
      <c r="NO149" s="128">
        <v>0</v>
      </c>
      <c r="NP149" s="128">
        <v>0</v>
      </c>
      <c r="NT149" s="128">
        <v>61000</v>
      </c>
      <c r="NU149" s="128">
        <v>0</v>
      </c>
      <c r="NV149" s="128">
        <v>0</v>
      </c>
      <c r="NZ149" s="128">
        <v>100000</v>
      </c>
      <c r="OA149" s="128">
        <v>0</v>
      </c>
      <c r="OB149" s="128">
        <v>0</v>
      </c>
      <c r="OF149" s="128">
        <v>0</v>
      </c>
      <c r="OG149" s="128">
        <v>0</v>
      </c>
      <c r="OH149" s="128">
        <v>0</v>
      </c>
      <c r="OL149" s="128">
        <v>0</v>
      </c>
      <c r="OM149" s="128">
        <v>0</v>
      </c>
      <c r="ON149" s="128">
        <v>0</v>
      </c>
      <c r="OR149" s="128">
        <v>0</v>
      </c>
      <c r="OS149" s="128">
        <v>0</v>
      </c>
      <c r="OT149" s="128">
        <v>0</v>
      </c>
      <c r="OX149" s="128">
        <v>300000</v>
      </c>
      <c r="OY149" s="128">
        <v>0</v>
      </c>
      <c r="OZ149" s="128">
        <v>0</v>
      </c>
      <c r="PD149" s="128">
        <v>0</v>
      </c>
      <c r="PE149" s="128">
        <v>0</v>
      </c>
      <c r="PF149" s="128">
        <v>0</v>
      </c>
      <c r="PJ149" s="128">
        <v>100000</v>
      </c>
      <c r="PK149" s="128">
        <v>0</v>
      </c>
      <c r="PL149" s="128">
        <v>0</v>
      </c>
      <c r="PP149" s="128">
        <v>4755000</v>
      </c>
      <c r="PQ149" s="128">
        <v>3539000</v>
      </c>
      <c r="PR149" s="128">
        <v>3539000</v>
      </c>
      <c r="PS149" s="128">
        <v>100</v>
      </c>
      <c r="PT149" s="128">
        <v>100</v>
      </c>
      <c r="PV149" s="128">
        <v>3422261</v>
      </c>
      <c r="PX149" s="128">
        <v>1900000</v>
      </c>
      <c r="PY149" s="128">
        <v>2582621</v>
      </c>
      <c r="PZ149" s="128">
        <v>3539000</v>
      </c>
      <c r="QA149" s="128">
        <v>0</v>
      </c>
      <c r="QB149" s="128">
        <v>0</v>
      </c>
      <c r="QC149" s="128">
        <v>0</v>
      </c>
      <c r="QD149" s="128">
        <v>0</v>
      </c>
      <c r="QE149" s="128">
        <v>0</v>
      </c>
      <c r="QF149" s="128">
        <v>0</v>
      </c>
      <c r="QG149" s="128">
        <v>0</v>
      </c>
      <c r="QH149" s="128">
        <v>0</v>
      </c>
      <c r="QI149" s="128">
        <v>0</v>
      </c>
      <c r="QJ149" s="128">
        <v>892059</v>
      </c>
      <c r="QK149" s="128">
        <v>900000</v>
      </c>
      <c r="QL149" s="128">
        <v>1000000</v>
      </c>
      <c r="QN149" s="128">
        <v>0</v>
      </c>
      <c r="QO149" s="128">
        <v>0</v>
      </c>
      <c r="QP149" s="128">
        <v>0</v>
      </c>
      <c r="QU149" s="128">
        <v>450540</v>
      </c>
      <c r="QV149" s="128">
        <v>0</v>
      </c>
      <c r="QW149" s="128">
        <v>70000</v>
      </c>
      <c r="QX149" s="128">
        <v>219000</v>
      </c>
      <c r="QY149" s="128">
        <v>146000</v>
      </c>
      <c r="QZ149" s="128">
        <v>146000</v>
      </c>
      <c r="RD149" s="128">
        <v>650000</v>
      </c>
      <c r="RE149" s="128">
        <v>650000</v>
      </c>
      <c r="RF149" s="128">
        <v>0</v>
      </c>
      <c r="RH149" s="128">
        <f t="shared" si="310"/>
        <v>3755000</v>
      </c>
      <c r="RI149" s="128">
        <v>0</v>
      </c>
      <c r="RM149" s="128" t="s">
        <v>220</v>
      </c>
      <c r="RU149" s="130"/>
      <c r="RV149" s="130"/>
      <c r="RW149" s="130"/>
      <c r="RX149" s="130"/>
      <c r="SF149" s="128">
        <f t="shared" si="220"/>
        <v>2540162</v>
      </c>
      <c r="SG149" s="131">
        <f t="shared" si="221"/>
        <v>4755000</v>
      </c>
      <c r="SH149" s="131">
        <f t="shared" si="222"/>
        <v>4755000</v>
      </c>
      <c r="SI149" s="131">
        <f t="shared" si="223"/>
        <v>2889000</v>
      </c>
      <c r="SJ149" s="132">
        <f t="shared" si="224"/>
        <v>2880000</v>
      </c>
      <c r="SK149" s="132">
        <f t="shared" si="225"/>
        <v>0</v>
      </c>
      <c r="SL149" s="132">
        <f t="shared" si="226"/>
        <v>9000</v>
      </c>
      <c r="SM149" s="132">
        <f t="shared" si="227"/>
        <v>0</v>
      </c>
      <c r="SN149" s="131">
        <f t="shared" si="228"/>
        <v>1866000</v>
      </c>
      <c r="SO149" s="131">
        <f t="shared" si="229"/>
        <v>200000</v>
      </c>
      <c r="SP149" s="132">
        <f t="shared" si="230"/>
        <v>0</v>
      </c>
      <c r="SQ149" s="132">
        <f t="shared" si="231"/>
        <v>200000</v>
      </c>
      <c r="SR149" s="132">
        <f t="shared" si="232"/>
        <v>0</v>
      </c>
      <c r="SS149" s="132">
        <f t="shared" si="233"/>
        <v>100000</v>
      </c>
      <c r="ST149" s="132">
        <f t="shared" si="234"/>
        <v>300000</v>
      </c>
      <c r="SU149" s="132">
        <f t="shared" si="235"/>
        <v>0</v>
      </c>
      <c r="SV149" s="131">
        <f t="shared" si="236"/>
        <v>1166000</v>
      </c>
      <c r="SW149" s="132">
        <f t="shared" si="237"/>
        <v>80000</v>
      </c>
      <c r="SX149" s="132">
        <f t="shared" si="238"/>
        <v>75000</v>
      </c>
      <c r="SY149" s="132">
        <f t="shared" si="239"/>
        <v>450000</v>
      </c>
      <c r="SZ149" s="132">
        <f t="shared" si="240"/>
        <v>100000</v>
      </c>
      <c r="TA149" s="132">
        <f t="shared" si="241"/>
        <v>61000</v>
      </c>
      <c r="TB149" s="132">
        <f t="shared" si="242"/>
        <v>100000</v>
      </c>
      <c r="TC149" s="132">
        <f t="shared" si="243"/>
        <v>0</v>
      </c>
      <c r="TD149" s="132">
        <f t="shared" si="244"/>
        <v>0</v>
      </c>
      <c r="TE149" s="132">
        <f t="shared" si="245"/>
        <v>0</v>
      </c>
      <c r="TF149" s="132">
        <f t="shared" si="246"/>
        <v>300000</v>
      </c>
      <c r="TG149" s="132">
        <f t="shared" si="247"/>
        <v>0</v>
      </c>
      <c r="TH149" s="132">
        <f t="shared" si="248"/>
        <v>100000</v>
      </c>
      <c r="TI149" s="1"/>
      <c r="TJ149" s="131">
        <f t="shared" si="249"/>
        <v>3539000</v>
      </c>
      <c r="TK149" s="131">
        <f t="shared" si="250"/>
        <v>3539000</v>
      </c>
      <c r="TL149" s="131">
        <f t="shared" si="251"/>
        <v>2889000</v>
      </c>
      <c r="TM149" s="132">
        <f t="shared" si="252"/>
        <v>2880000</v>
      </c>
      <c r="TN149" s="132">
        <f t="shared" si="253"/>
        <v>0</v>
      </c>
      <c r="TO149" s="132">
        <f t="shared" si="254"/>
        <v>9000</v>
      </c>
      <c r="TP149" s="132">
        <f t="shared" si="255"/>
        <v>0</v>
      </c>
      <c r="TQ149" s="131">
        <f t="shared" si="256"/>
        <v>650000</v>
      </c>
      <c r="TR149" s="131">
        <f t="shared" si="257"/>
        <v>0</v>
      </c>
      <c r="TS149" s="132">
        <f t="shared" si="258"/>
        <v>0</v>
      </c>
      <c r="TT149" s="132">
        <f t="shared" si="259"/>
        <v>0</v>
      </c>
      <c r="TU149" s="132">
        <f t="shared" si="260"/>
        <v>0</v>
      </c>
      <c r="TV149" s="132">
        <f t="shared" si="261"/>
        <v>100000</v>
      </c>
      <c r="TW149" s="132">
        <f t="shared" si="262"/>
        <v>300000</v>
      </c>
      <c r="TX149" s="132">
        <f t="shared" si="263"/>
        <v>0</v>
      </c>
      <c r="TY149" s="131">
        <f t="shared" si="264"/>
        <v>250000</v>
      </c>
      <c r="TZ149" s="132">
        <f t="shared" si="265"/>
        <v>0</v>
      </c>
      <c r="UA149" s="132">
        <f t="shared" si="266"/>
        <v>0</v>
      </c>
      <c r="UB149" s="132">
        <f t="shared" si="267"/>
        <v>250000</v>
      </c>
      <c r="UC149" s="132">
        <f t="shared" si="268"/>
        <v>0</v>
      </c>
      <c r="UD149" s="132">
        <f t="shared" si="269"/>
        <v>0</v>
      </c>
      <c r="UE149" s="132">
        <f t="shared" si="270"/>
        <v>0</v>
      </c>
      <c r="UF149" s="132">
        <f t="shared" si="271"/>
        <v>0</v>
      </c>
      <c r="UG149" s="132">
        <f t="shared" si="272"/>
        <v>0</v>
      </c>
      <c r="UH149" s="132">
        <f t="shared" si="273"/>
        <v>0</v>
      </c>
      <c r="UI149" s="132">
        <f t="shared" si="274"/>
        <v>0</v>
      </c>
      <c r="UJ149" s="132">
        <f t="shared" si="275"/>
        <v>0</v>
      </c>
      <c r="UK149" s="132">
        <f t="shared" si="276"/>
        <v>0</v>
      </c>
      <c r="UL149" s="132">
        <f t="shared" si="311"/>
        <v>3539000</v>
      </c>
      <c r="UM149" s="131">
        <f t="shared" si="277"/>
        <v>3539000</v>
      </c>
      <c r="UN149" s="131">
        <f t="shared" si="278"/>
        <v>3539000</v>
      </c>
      <c r="UO149" s="131">
        <f t="shared" si="279"/>
        <v>2889000</v>
      </c>
      <c r="UP149" s="132">
        <f t="shared" si="280"/>
        <v>2880000</v>
      </c>
      <c r="UQ149" s="132">
        <f t="shared" si="281"/>
        <v>0</v>
      </c>
      <c r="UR149" s="132">
        <f t="shared" si="282"/>
        <v>9000</v>
      </c>
      <c r="US149" s="132">
        <f t="shared" si="283"/>
        <v>0</v>
      </c>
      <c r="UT149" s="131">
        <f t="shared" si="284"/>
        <v>650000</v>
      </c>
      <c r="UU149" s="131">
        <f t="shared" si="285"/>
        <v>0</v>
      </c>
      <c r="UV149" s="132">
        <f t="shared" si="286"/>
        <v>0</v>
      </c>
      <c r="UW149" s="132">
        <f t="shared" si="287"/>
        <v>0</v>
      </c>
      <c r="UX149" s="132">
        <f t="shared" si="288"/>
        <v>0</v>
      </c>
      <c r="UY149" s="132">
        <f t="shared" si="289"/>
        <v>100000</v>
      </c>
      <c r="UZ149" s="132">
        <f t="shared" si="290"/>
        <v>300000</v>
      </c>
      <c r="VA149" s="132">
        <f t="shared" si="291"/>
        <v>0</v>
      </c>
      <c r="VB149" s="131">
        <f t="shared" si="292"/>
        <v>250000</v>
      </c>
      <c r="VC149" s="132">
        <f t="shared" si="293"/>
        <v>0</v>
      </c>
      <c r="VD149" s="132">
        <f t="shared" si="294"/>
        <v>0</v>
      </c>
      <c r="VE149" s="132">
        <f t="shared" si="295"/>
        <v>250000</v>
      </c>
      <c r="VF149" s="132">
        <f t="shared" si="296"/>
        <v>0</v>
      </c>
      <c r="VG149" s="132">
        <f t="shared" si="297"/>
        <v>0</v>
      </c>
      <c r="VH149" s="132">
        <f t="shared" si="298"/>
        <v>0</v>
      </c>
      <c r="VI149" s="132">
        <f t="shared" si="299"/>
        <v>0</v>
      </c>
      <c r="VJ149" s="132">
        <f t="shared" si="300"/>
        <v>0</v>
      </c>
      <c r="VK149" s="132">
        <f t="shared" si="301"/>
        <v>0</v>
      </c>
      <c r="VL149" s="132">
        <f t="shared" si="302"/>
        <v>0</v>
      </c>
      <c r="VM149" s="132">
        <f t="shared" si="303"/>
        <v>0</v>
      </c>
      <c r="VN149" s="132">
        <f t="shared" si="304"/>
        <v>0</v>
      </c>
      <c r="VP149" s="845" t="str">
        <f>IFERROR(HLOOKUP(F149,'Hodnocení '!$C$1:$JH$5,2,FALSE),0)</f>
        <v>Mgr. Zuzana Luňáková, Agentura domácí péče</v>
      </c>
      <c r="VQ149" s="838"/>
      <c r="VR149" s="845" t="str">
        <f t="shared" si="312"/>
        <v>Fyzická osoba podnikající dle živnostenského zákona nezapsaná v obchodním rejstříku</v>
      </c>
      <c r="VS149" s="845" t="str">
        <f>IFERROR(HLOOKUP(F149,'Hodnocení '!$C$1:$JH$5,5,FALSE),0)</f>
        <v>NZO</v>
      </c>
      <c r="VT149" s="838">
        <f t="shared" si="313"/>
        <v>0</v>
      </c>
      <c r="VU149" s="838">
        <f t="shared" si="314"/>
        <v>0</v>
      </c>
      <c r="VV149" s="838">
        <f t="shared" si="315"/>
        <v>1000000</v>
      </c>
      <c r="VW149" s="838">
        <f t="shared" si="316"/>
        <v>0</v>
      </c>
      <c r="VX149" s="838"/>
      <c r="VY149" s="838">
        <f t="shared" si="216"/>
        <v>0</v>
      </c>
      <c r="VZ149" s="838">
        <f t="shared" si="217"/>
        <v>3539000</v>
      </c>
      <c r="WA149" s="846">
        <f>IFERROR(HLOOKUP($F149,'Hodnocení '!$C$1:$JH$9,9,FALSE),0)</f>
        <v>3539000</v>
      </c>
      <c r="WB149" s="846">
        <f>IF(IFERROR(HLOOKUP($F149,'Hodnocení '!$C$1:$JH$13,13,FALSE),0)&gt;WA149,WA149,IFERROR(HLOOKUP($F149,'Hodnocení '!$C$1:$JH$13,13,FALSE),0))</f>
        <v>2836236.6701121721</v>
      </c>
      <c r="WC149" s="846">
        <f>IFERROR(HLOOKUP($F149,'Hodnocení '!$C$1:$JH$155,155,FALSE),0)</f>
        <v>2734460</v>
      </c>
      <c r="WD149" s="845"/>
      <c r="WE149" s="845"/>
      <c r="WF149" s="845" t="str">
        <f t="shared" si="305"/>
        <v>ANO</v>
      </c>
      <c r="WG149" s="849" t="str">
        <f t="shared" si="218"/>
        <v>Podpora služby je vyjádřena zařazením do sítě sociálních služeb v KHK a řešením financování služby</v>
      </c>
      <c r="WH149"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49" s="849" t="str">
        <f t="shared" si="218"/>
        <v>Návrh dotace je výsledkem projednání s ostatními zadavateli v rámci sítě služeb KHK</v>
      </c>
      <c r="WJ149" s="849" t="str">
        <f t="shared" si="218"/>
        <v>Bez komentáře</v>
      </c>
      <c r="WK149" s="31">
        <f t="shared" si="306"/>
        <v>0</v>
      </c>
      <c r="WL149" s="850">
        <f t="shared" si="307"/>
        <v>0</v>
      </c>
      <c r="WM149" s="849" t="str">
        <f t="shared" si="308"/>
        <v>V rámci sítě KHK se dlouhodobě řeší otázka navyšování úhrad a průběžně se monitoruje s vazbou na vykrytí vyrovnávací platby</v>
      </c>
      <c r="WN149" s="849">
        <f t="shared" si="309"/>
        <v>0</v>
      </c>
      <c r="WO149" s="849" t="str">
        <f t="shared" si="219"/>
        <v>bez komentáře</v>
      </c>
      <c r="WP149" s="849" t="str">
        <f t="shared" si="219"/>
        <v>bez komentáře</v>
      </c>
      <c r="WQ149" s="849" t="str">
        <f t="shared" si="219"/>
        <v>Konečná výše dotace z rozpočtu KHK bude řešena v návaznosti na řešení podílů jednotlivých zadavatelů.</v>
      </c>
      <c r="WR149" s="849" t="str">
        <f t="shared" si="219"/>
        <v>Konečná výše podpory ze stran obcí bude řešena v součinnosti s jednotlivými zadavateli v průběhu roku.</v>
      </c>
      <c r="WS149" s="849" t="str">
        <f t="shared" si="219"/>
        <v>bez komentáře</v>
      </c>
      <c r="WT149" s="849" t="str">
        <f t="shared" si="219"/>
        <v>bez komentáře</v>
      </c>
      <c r="WU149" s="845"/>
    </row>
    <row r="150" spans="1:619" s="128" customFormat="1" x14ac:dyDescent="0.25">
      <c r="A150" s="128" t="str">
        <f>VLOOKUP(F150,'Výpočet VP 2020'!$D$324:$I$588,6,FALSE)</f>
        <v>Je v síti</v>
      </c>
      <c r="B150" s="128" t="s">
        <v>698</v>
      </c>
      <c r="C150" s="128">
        <v>1875248</v>
      </c>
      <c r="D150" s="128" t="s">
        <v>699</v>
      </c>
      <c r="E150" s="128" t="s">
        <v>216</v>
      </c>
      <c r="F150" s="128">
        <v>2390992</v>
      </c>
      <c r="G150" s="128" t="s">
        <v>235</v>
      </c>
      <c r="H150" s="128" t="s">
        <v>230</v>
      </c>
      <c r="I150" s="128" t="s">
        <v>700</v>
      </c>
      <c r="J150" s="129">
        <v>41883</v>
      </c>
      <c r="L150" s="128" t="s">
        <v>220</v>
      </c>
      <c r="X150" s="128" t="s">
        <v>315</v>
      </c>
      <c r="Z150" s="128">
        <v>12</v>
      </c>
      <c r="AA150" s="128">
        <v>15</v>
      </c>
      <c r="AB150" s="128">
        <v>13</v>
      </c>
      <c r="AC150" s="128">
        <v>20</v>
      </c>
      <c r="AD150" s="128">
        <v>20</v>
      </c>
      <c r="AP150" s="128" t="s">
        <v>232</v>
      </c>
      <c r="AQ150" s="128">
        <v>3</v>
      </c>
      <c r="AR150" s="128">
        <v>10</v>
      </c>
      <c r="AS150" s="128">
        <v>2</v>
      </c>
      <c r="AT150" s="128">
        <v>10</v>
      </c>
      <c r="AU150" s="128">
        <v>10</v>
      </c>
      <c r="BL150" s="128" t="s">
        <v>701</v>
      </c>
      <c r="BM150" s="128" t="s">
        <v>702</v>
      </c>
      <c r="BN150" s="128" t="s">
        <v>424</v>
      </c>
      <c r="EK150" s="128">
        <v>1</v>
      </c>
      <c r="EL150" s="128">
        <v>1</v>
      </c>
      <c r="EM150" s="128">
        <v>1</v>
      </c>
      <c r="EN150" s="128">
        <v>450000</v>
      </c>
      <c r="EO150" s="128">
        <v>55000</v>
      </c>
      <c r="EP150" s="128">
        <v>1</v>
      </c>
      <c r="EQ150" s="128">
        <v>0.75</v>
      </c>
      <c r="ER150" s="128">
        <v>0.75</v>
      </c>
      <c r="ES150" s="128">
        <v>275000</v>
      </c>
      <c r="ET150" s="128">
        <v>35000</v>
      </c>
      <c r="IN150" s="128">
        <v>1</v>
      </c>
      <c r="IO150" s="128">
        <v>200</v>
      </c>
      <c r="IP150" s="128">
        <v>9.5000000000000001E-2</v>
      </c>
      <c r="IQ150" s="128">
        <v>27000</v>
      </c>
      <c r="IR150" s="128">
        <v>0</v>
      </c>
      <c r="IS150" s="128">
        <v>2</v>
      </c>
      <c r="IT150" s="128">
        <v>220</v>
      </c>
      <c r="IU150" s="128">
        <v>0.105</v>
      </c>
      <c r="IV150" s="128">
        <v>34100</v>
      </c>
      <c r="IW150" s="128">
        <v>10000</v>
      </c>
      <c r="KG150" s="128">
        <v>0</v>
      </c>
      <c r="KI150" s="128">
        <v>1.75</v>
      </c>
      <c r="KJ150" s="128">
        <v>0</v>
      </c>
      <c r="KK150" s="128">
        <v>9.5000000000000001E-2</v>
      </c>
      <c r="KL150" s="128">
        <v>0</v>
      </c>
      <c r="KM150" s="128">
        <v>1.845</v>
      </c>
      <c r="KN150" s="128">
        <v>725000</v>
      </c>
      <c r="KO150" s="128">
        <v>90000</v>
      </c>
      <c r="KP150" s="128">
        <v>90000</v>
      </c>
      <c r="KT150" s="128">
        <v>0</v>
      </c>
      <c r="KU150" s="128">
        <v>0</v>
      </c>
      <c r="KV150" s="128">
        <v>0</v>
      </c>
      <c r="KZ150" s="128">
        <v>61100</v>
      </c>
      <c r="LA150" s="128">
        <v>10000</v>
      </c>
      <c r="LB150" s="128">
        <v>10000</v>
      </c>
      <c r="LF150" s="128">
        <v>0</v>
      </c>
      <c r="LG150" s="128">
        <v>0</v>
      </c>
      <c r="LH150" s="128">
        <v>0</v>
      </c>
      <c r="LL150" s="128">
        <v>0</v>
      </c>
      <c r="LM150" s="128">
        <v>0</v>
      </c>
      <c r="LN150" s="128">
        <v>0</v>
      </c>
      <c r="LR150" s="128">
        <v>0</v>
      </c>
      <c r="LS150" s="128">
        <v>0</v>
      </c>
      <c r="LT150" s="128">
        <v>0</v>
      </c>
      <c r="LX150" s="128">
        <v>0</v>
      </c>
      <c r="LY150" s="128">
        <v>0</v>
      </c>
      <c r="LZ150" s="128">
        <v>0</v>
      </c>
      <c r="MD150" s="128">
        <v>14000</v>
      </c>
      <c r="ME150" s="128">
        <v>0</v>
      </c>
      <c r="MF150" s="128">
        <v>0</v>
      </c>
      <c r="MJ150" s="128">
        <v>6000</v>
      </c>
      <c r="MK150" s="128">
        <v>0</v>
      </c>
      <c r="ML150" s="128">
        <v>0</v>
      </c>
      <c r="MP150" s="128">
        <v>38900</v>
      </c>
      <c r="MQ150" s="128">
        <v>0</v>
      </c>
      <c r="MR150" s="128">
        <v>0</v>
      </c>
      <c r="MV150" s="128">
        <v>25000</v>
      </c>
      <c r="MW150" s="128">
        <v>0</v>
      </c>
      <c r="MX150" s="128">
        <v>0</v>
      </c>
      <c r="NB150" s="128">
        <v>7000</v>
      </c>
      <c r="NC150" s="128">
        <v>0</v>
      </c>
      <c r="ND150" s="128">
        <v>0</v>
      </c>
      <c r="NH150" s="128">
        <v>120000</v>
      </c>
      <c r="NI150" s="128">
        <v>0</v>
      </c>
      <c r="NJ150" s="128">
        <v>0</v>
      </c>
      <c r="NN150" s="128">
        <v>15000</v>
      </c>
      <c r="NO150" s="128">
        <v>0</v>
      </c>
      <c r="NP150" s="128">
        <v>0</v>
      </c>
      <c r="NT150" s="128">
        <v>20000</v>
      </c>
      <c r="NU150" s="128">
        <v>0</v>
      </c>
      <c r="NV150" s="128">
        <v>0</v>
      </c>
      <c r="NZ150" s="128">
        <v>2000</v>
      </c>
      <c r="OA150" s="128">
        <v>0</v>
      </c>
      <c r="OB150" s="128">
        <v>0</v>
      </c>
      <c r="OF150" s="128">
        <v>4000</v>
      </c>
      <c r="OG150" s="128">
        <v>0</v>
      </c>
      <c r="OH150" s="128">
        <v>0</v>
      </c>
      <c r="OL150" s="128">
        <v>0</v>
      </c>
      <c r="OM150" s="128">
        <v>0</v>
      </c>
      <c r="ON150" s="128">
        <v>0</v>
      </c>
      <c r="OR150" s="128">
        <v>0</v>
      </c>
      <c r="OS150" s="128">
        <v>0</v>
      </c>
      <c r="OT150" s="128">
        <v>0</v>
      </c>
      <c r="OX150" s="128">
        <v>15000</v>
      </c>
      <c r="OY150" s="128">
        <v>0</v>
      </c>
      <c r="OZ150" s="128">
        <v>0</v>
      </c>
      <c r="PD150" s="128">
        <v>0</v>
      </c>
      <c r="PE150" s="128">
        <v>0</v>
      </c>
      <c r="PF150" s="128">
        <v>0</v>
      </c>
      <c r="PJ150" s="128">
        <v>5000</v>
      </c>
      <c r="PK150" s="128">
        <v>0</v>
      </c>
      <c r="PL150" s="128">
        <v>0</v>
      </c>
      <c r="PP150" s="128">
        <v>1058000</v>
      </c>
      <c r="PQ150" s="128">
        <v>100000</v>
      </c>
      <c r="PR150" s="128">
        <v>100000</v>
      </c>
      <c r="PS150" s="128">
        <v>100</v>
      </c>
      <c r="PT150" s="128">
        <v>100</v>
      </c>
      <c r="PX150" s="128">
        <v>216286</v>
      </c>
      <c r="PY150" s="128">
        <v>0</v>
      </c>
      <c r="PZ150" s="128">
        <v>100000</v>
      </c>
      <c r="QA150" s="128">
        <v>0</v>
      </c>
      <c r="QB150" s="128">
        <v>0</v>
      </c>
      <c r="QC150" s="128">
        <v>0</v>
      </c>
      <c r="QD150" s="128">
        <v>0</v>
      </c>
      <c r="QE150" s="128">
        <v>0</v>
      </c>
      <c r="QF150" s="128">
        <v>0</v>
      </c>
      <c r="QG150" s="128">
        <v>0</v>
      </c>
      <c r="QH150" s="128">
        <v>0</v>
      </c>
      <c r="QI150" s="128">
        <v>0</v>
      </c>
      <c r="QJ150" s="128">
        <v>0</v>
      </c>
      <c r="QK150" s="128">
        <v>0</v>
      </c>
      <c r="QL150" s="128">
        <v>0</v>
      </c>
      <c r="QN150" s="128">
        <v>0</v>
      </c>
      <c r="QO150" s="128">
        <v>0</v>
      </c>
      <c r="QP150" s="128">
        <v>0</v>
      </c>
      <c r="QX150" s="128">
        <v>48000</v>
      </c>
      <c r="QY150" s="128">
        <v>54700</v>
      </c>
      <c r="QZ150" s="128">
        <v>70000</v>
      </c>
      <c r="RD150" s="128">
        <v>575712</v>
      </c>
      <c r="RE150" s="128">
        <v>852000</v>
      </c>
      <c r="RF150" s="128">
        <v>888000</v>
      </c>
      <c r="RH150" s="128">
        <f t="shared" si="310"/>
        <v>1058000</v>
      </c>
      <c r="RI150" s="128">
        <v>0</v>
      </c>
      <c r="RM150" s="128" t="s">
        <v>220</v>
      </c>
      <c r="RU150" s="130"/>
      <c r="RV150" s="130"/>
      <c r="RW150" s="130"/>
      <c r="RX150" s="130"/>
      <c r="SF150" s="128">
        <f t="shared" si="220"/>
        <v>2390992</v>
      </c>
      <c r="SG150" s="131">
        <f t="shared" si="221"/>
        <v>1058000</v>
      </c>
      <c r="SH150" s="131">
        <f t="shared" si="222"/>
        <v>1058000</v>
      </c>
      <c r="SI150" s="131">
        <f t="shared" si="223"/>
        <v>786100</v>
      </c>
      <c r="SJ150" s="132">
        <f t="shared" si="224"/>
        <v>725000</v>
      </c>
      <c r="SK150" s="132">
        <f t="shared" si="225"/>
        <v>0</v>
      </c>
      <c r="SL150" s="132">
        <f t="shared" si="226"/>
        <v>61100</v>
      </c>
      <c r="SM150" s="132">
        <f t="shared" si="227"/>
        <v>0</v>
      </c>
      <c r="SN150" s="131">
        <f t="shared" si="228"/>
        <v>271900</v>
      </c>
      <c r="SO150" s="131">
        <f t="shared" si="229"/>
        <v>0</v>
      </c>
      <c r="SP150" s="132">
        <f t="shared" si="230"/>
        <v>0</v>
      </c>
      <c r="SQ150" s="132">
        <f t="shared" si="231"/>
        <v>0</v>
      </c>
      <c r="SR150" s="132">
        <f t="shared" si="232"/>
        <v>0</v>
      </c>
      <c r="SS150" s="132">
        <f t="shared" si="233"/>
        <v>14000</v>
      </c>
      <c r="ST150" s="132">
        <f t="shared" si="234"/>
        <v>6000</v>
      </c>
      <c r="SU150" s="132">
        <f t="shared" si="235"/>
        <v>38900</v>
      </c>
      <c r="SV150" s="131">
        <f t="shared" si="236"/>
        <v>208000</v>
      </c>
      <c r="SW150" s="132">
        <f t="shared" si="237"/>
        <v>25000</v>
      </c>
      <c r="SX150" s="132">
        <f t="shared" si="238"/>
        <v>7000</v>
      </c>
      <c r="SY150" s="132">
        <f t="shared" si="239"/>
        <v>120000</v>
      </c>
      <c r="SZ150" s="132">
        <f t="shared" si="240"/>
        <v>15000</v>
      </c>
      <c r="TA150" s="132">
        <f t="shared" si="241"/>
        <v>20000</v>
      </c>
      <c r="TB150" s="132">
        <f t="shared" si="242"/>
        <v>2000</v>
      </c>
      <c r="TC150" s="132">
        <f t="shared" si="243"/>
        <v>4000</v>
      </c>
      <c r="TD150" s="132">
        <f t="shared" si="244"/>
        <v>0</v>
      </c>
      <c r="TE150" s="132">
        <f t="shared" si="245"/>
        <v>0</v>
      </c>
      <c r="TF150" s="132">
        <f t="shared" si="246"/>
        <v>15000</v>
      </c>
      <c r="TG150" s="132">
        <f t="shared" si="247"/>
        <v>0</v>
      </c>
      <c r="TH150" s="132">
        <f t="shared" si="248"/>
        <v>5000</v>
      </c>
      <c r="TI150" s="1"/>
      <c r="TJ150" s="131">
        <f t="shared" si="249"/>
        <v>100000</v>
      </c>
      <c r="TK150" s="131">
        <f t="shared" si="250"/>
        <v>100000</v>
      </c>
      <c r="TL150" s="131">
        <f t="shared" si="251"/>
        <v>100000</v>
      </c>
      <c r="TM150" s="132">
        <f t="shared" si="252"/>
        <v>90000</v>
      </c>
      <c r="TN150" s="132">
        <f t="shared" si="253"/>
        <v>0</v>
      </c>
      <c r="TO150" s="132">
        <f t="shared" si="254"/>
        <v>10000</v>
      </c>
      <c r="TP150" s="132">
        <f t="shared" si="255"/>
        <v>0</v>
      </c>
      <c r="TQ150" s="131">
        <f t="shared" si="256"/>
        <v>0</v>
      </c>
      <c r="TR150" s="131">
        <f t="shared" si="257"/>
        <v>0</v>
      </c>
      <c r="TS150" s="132">
        <f t="shared" si="258"/>
        <v>0</v>
      </c>
      <c r="TT150" s="132">
        <f t="shared" si="259"/>
        <v>0</v>
      </c>
      <c r="TU150" s="132">
        <f t="shared" si="260"/>
        <v>0</v>
      </c>
      <c r="TV150" s="132">
        <f t="shared" si="261"/>
        <v>0</v>
      </c>
      <c r="TW150" s="132">
        <f t="shared" si="262"/>
        <v>0</v>
      </c>
      <c r="TX150" s="132">
        <f t="shared" si="263"/>
        <v>0</v>
      </c>
      <c r="TY150" s="131">
        <f t="shared" si="264"/>
        <v>0</v>
      </c>
      <c r="TZ150" s="132">
        <f t="shared" si="265"/>
        <v>0</v>
      </c>
      <c r="UA150" s="132">
        <f t="shared" si="266"/>
        <v>0</v>
      </c>
      <c r="UB150" s="132">
        <f t="shared" si="267"/>
        <v>0</v>
      </c>
      <c r="UC150" s="132">
        <f t="shared" si="268"/>
        <v>0</v>
      </c>
      <c r="UD150" s="132">
        <f t="shared" si="269"/>
        <v>0</v>
      </c>
      <c r="UE150" s="132">
        <f t="shared" si="270"/>
        <v>0</v>
      </c>
      <c r="UF150" s="132">
        <f t="shared" si="271"/>
        <v>0</v>
      </c>
      <c r="UG150" s="132">
        <f t="shared" si="272"/>
        <v>0</v>
      </c>
      <c r="UH150" s="132">
        <f t="shared" si="273"/>
        <v>0</v>
      </c>
      <c r="UI150" s="132">
        <f t="shared" si="274"/>
        <v>0</v>
      </c>
      <c r="UJ150" s="132">
        <f t="shared" si="275"/>
        <v>0</v>
      </c>
      <c r="UK150" s="132">
        <f t="shared" si="276"/>
        <v>0</v>
      </c>
      <c r="UL150" s="132">
        <f t="shared" si="311"/>
        <v>100000</v>
      </c>
      <c r="UM150" s="131">
        <f t="shared" si="277"/>
        <v>100000</v>
      </c>
      <c r="UN150" s="131">
        <f t="shared" si="278"/>
        <v>100000</v>
      </c>
      <c r="UO150" s="131">
        <f t="shared" si="279"/>
        <v>100000</v>
      </c>
      <c r="UP150" s="132">
        <f t="shared" si="280"/>
        <v>90000</v>
      </c>
      <c r="UQ150" s="132">
        <f t="shared" si="281"/>
        <v>0</v>
      </c>
      <c r="UR150" s="132">
        <f t="shared" si="282"/>
        <v>10000</v>
      </c>
      <c r="US150" s="132">
        <f t="shared" si="283"/>
        <v>0</v>
      </c>
      <c r="UT150" s="131">
        <f t="shared" si="284"/>
        <v>0</v>
      </c>
      <c r="UU150" s="131">
        <f t="shared" si="285"/>
        <v>0</v>
      </c>
      <c r="UV150" s="132">
        <f t="shared" si="286"/>
        <v>0</v>
      </c>
      <c r="UW150" s="132">
        <f t="shared" si="287"/>
        <v>0</v>
      </c>
      <c r="UX150" s="132">
        <f t="shared" si="288"/>
        <v>0</v>
      </c>
      <c r="UY150" s="132">
        <f t="shared" si="289"/>
        <v>0</v>
      </c>
      <c r="UZ150" s="132">
        <f t="shared" si="290"/>
        <v>0</v>
      </c>
      <c r="VA150" s="132">
        <f t="shared" si="291"/>
        <v>0</v>
      </c>
      <c r="VB150" s="131">
        <f t="shared" si="292"/>
        <v>0</v>
      </c>
      <c r="VC150" s="132">
        <f t="shared" si="293"/>
        <v>0</v>
      </c>
      <c r="VD150" s="132">
        <f t="shared" si="294"/>
        <v>0</v>
      </c>
      <c r="VE150" s="132">
        <f t="shared" si="295"/>
        <v>0</v>
      </c>
      <c r="VF150" s="132">
        <f t="shared" si="296"/>
        <v>0</v>
      </c>
      <c r="VG150" s="132">
        <f t="shared" si="297"/>
        <v>0</v>
      </c>
      <c r="VH150" s="132">
        <f t="shared" si="298"/>
        <v>0</v>
      </c>
      <c r="VI150" s="132">
        <f t="shared" si="299"/>
        <v>0</v>
      </c>
      <c r="VJ150" s="132">
        <f t="shared" si="300"/>
        <v>0</v>
      </c>
      <c r="VK150" s="132">
        <f t="shared" si="301"/>
        <v>0</v>
      </c>
      <c r="VL150" s="132">
        <f t="shared" si="302"/>
        <v>0</v>
      </c>
      <c r="VM150" s="132">
        <f t="shared" si="303"/>
        <v>0</v>
      </c>
      <c r="VN150" s="132">
        <f t="shared" si="304"/>
        <v>0</v>
      </c>
      <c r="VP150" s="845" t="str">
        <f>IFERROR(HLOOKUP(F150,'Hodnocení '!$C$1:$JH$5,2,FALSE),0)</f>
        <v>Horizont</v>
      </c>
      <c r="VQ150" s="838"/>
      <c r="VR150" s="845" t="str">
        <f t="shared" si="312"/>
        <v>Obecně prospěšná společnost</v>
      </c>
      <c r="VS150" s="845" t="str">
        <f>IFERROR(HLOOKUP(F150,'Hodnocení '!$C$1:$JH$5,5,FALSE),0)</f>
        <v>NZO</v>
      </c>
      <c r="VT150" s="838">
        <f t="shared" si="313"/>
        <v>0</v>
      </c>
      <c r="VU150" s="838">
        <f t="shared" si="314"/>
        <v>0</v>
      </c>
      <c r="VV150" s="838">
        <f t="shared" si="315"/>
        <v>0</v>
      </c>
      <c r="VW150" s="838">
        <f t="shared" si="316"/>
        <v>0</v>
      </c>
      <c r="VX150" s="838"/>
      <c r="VY150" s="838">
        <f t="shared" ref="VY150:VY213" si="317">VZ150-WA150</f>
        <v>0</v>
      </c>
      <c r="VZ150" s="838">
        <f t="shared" ref="VZ150:VZ213" si="318">UM150-VM150</f>
        <v>100000</v>
      </c>
      <c r="WA150" s="846">
        <f>IFERROR(HLOOKUP($F150,'Hodnocení '!$C$1:$JH$9,9,FALSE),0)</f>
        <v>100000</v>
      </c>
      <c r="WB150" s="846">
        <f>IF(IFERROR(HLOOKUP($F150,'Hodnocení '!$C$1:$JH$13,13,FALSE),0)&gt;WA150,WA150,IFERROR(HLOOKUP($F150,'Hodnocení '!$C$1:$JH$13,13,FALSE),0))</f>
        <v>100000</v>
      </c>
      <c r="WC150" s="846">
        <f>IFERROR(HLOOKUP($F150,'Hodnocení '!$C$1:$JH$155,155,FALSE),0)</f>
        <v>100000</v>
      </c>
      <c r="WD150" s="845"/>
      <c r="WE150" s="845"/>
      <c r="WF150" s="845" t="str">
        <f t="shared" si="305"/>
        <v>ANO</v>
      </c>
      <c r="WG150" s="849" t="str">
        <f t="shared" si="218"/>
        <v>Podpora služby je vyjádřena zařazením do sítě sociálních služeb v KHK a řešením financování služby</v>
      </c>
      <c r="WH150"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50" s="849" t="str">
        <f t="shared" si="218"/>
        <v>Návrh dotace je výsledkem projednání s ostatními zadavateli v rámci sítě služeb KHK</v>
      </c>
      <c r="WJ150" s="849" t="str">
        <f t="shared" si="218"/>
        <v>Bez komentáře</v>
      </c>
      <c r="WK150" s="31">
        <f t="shared" si="306"/>
        <v>0</v>
      </c>
      <c r="WL150" s="850">
        <f t="shared" si="307"/>
        <v>0</v>
      </c>
      <c r="WM150" s="849">
        <f t="shared" si="308"/>
        <v>0</v>
      </c>
      <c r="WN150" s="849">
        <f t="shared" si="309"/>
        <v>0</v>
      </c>
      <c r="WO150" s="849" t="str">
        <f t="shared" si="219"/>
        <v>bez komentáře</v>
      </c>
      <c r="WP150" s="849" t="str">
        <f t="shared" si="219"/>
        <v>bez komentáře</v>
      </c>
      <c r="WQ150" s="849" t="str">
        <f t="shared" si="219"/>
        <v>Konečná výše dotace z rozpočtu KHK bude řešena v návaznosti na řešení podílů jednotlivých zadavatelů.</v>
      </c>
      <c r="WR150" s="849" t="str">
        <f t="shared" si="219"/>
        <v>Konečná výše podpory ze stran obcí bude řešena v součinnosti s jednotlivými zadavateli v průběhu roku.</v>
      </c>
      <c r="WS150" s="849" t="str">
        <f t="shared" si="219"/>
        <v>bez komentáře</v>
      </c>
      <c r="WT150" s="849" t="str">
        <f t="shared" si="219"/>
        <v>bez komentáře</v>
      </c>
      <c r="WU150" s="845"/>
    </row>
    <row r="151" spans="1:619" s="128" customFormat="1" x14ac:dyDescent="0.25">
      <c r="A151" s="128" t="str">
        <f>VLOOKUP(F151,'Výpočet VP 2020'!$D$324:$I$588,6,FALSE)</f>
        <v>Je v síti</v>
      </c>
      <c r="B151" s="128" t="s">
        <v>703</v>
      </c>
      <c r="C151" s="128">
        <v>7978863</v>
      </c>
      <c r="D151" s="128" t="s">
        <v>704</v>
      </c>
      <c r="E151" s="128" t="s">
        <v>259</v>
      </c>
      <c r="F151" s="128">
        <v>5755112</v>
      </c>
      <c r="G151" s="128" t="s">
        <v>705</v>
      </c>
      <c r="H151" s="128" t="s">
        <v>230</v>
      </c>
      <c r="I151" s="128" t="s">
        <v>703</v>
      </c>
      <c r="J151" s="129">
        <v>43831</v>
      </c>
      <c r="L151" s="128" t="s">
        <v>220</v>
      </c>
      <c r="M151" s="128" t="s">
        <v>706</v>
      </c>
      <c r="N151" s="128">
        <v>32</v>
      </c>
      <c r="P151" s="128">
        <v>0</v>
      </c>
      <c r="Q151" s="128">
        <v>0</v>
      </c>
      <c r="R151" s="128">
        <v>140</v>
      </c>
      <c r="BL151" s="128" t="s">
        <v>707</v>
      </c>
      <c r="BM151" s="128" t="s">
        <v>279</v>
      </c>
      <c r="BN151" s="128" t="s">
        <v>234</v>
      </c>
      <c r="EK151" s="128">
        <v>1</v>
      </c>
      <c r="EL151" s="128">
        <v>1</v>
      </c>
      <c r="EM151" s="128">
        <v>0</v>
      </c>
      <c r="EN151" s="128">
        <v>634902</v>
      </c>
      <c r="EO151" s="128">
        <v>634902</v>
      </c>
      <c r="EP151" s="128">
        <v>5</v>
      </c>
      <c r="EQ151" s="128">
        <v>5</v>
      </c>
      <c r="ER151" s="128">
        <v>0</v>
      </c>
      <c r="ES151" s="128">
        <v>2569345</v>
      </c>
      <c r="ET151" s="128">
        <v>1475919</v>
      </c>
      <c r="FO151" s="128">
        <v>3</v>
      </c>
      <c r="FP151" s="128">
        <v>2.5</v>
      </c>
      <c r="FQ151" s="128">
        <v>0</v>
      </c>
      <c r="FR151" s="128">
        <v>1378295</v>
      </c>
      <c r="FS151" s="128">
        <v>0</v>
      </c>
      <c r="IH151" s="128">
        <v>1</v>
      </c>
      <c r="II151" s="128">
        <v>0.5</v>
      </c>
      <c r="IJ151" s="128">
        <v>7</v>
      </c>
      <c r="IK151" s="128">
        <v>0.29199999999999998</v>
      </c>
      <c r="IL151" s="128">
        <v>94409</v>
      </c>
      <c r="IM151" s="128">
        <v>0</v>
      </c>
      <c r="IN151" s="128">
        <v>2</v>
      </c>
      <c r="IO151" s="128">
        <v>600</v>
      </c>
      <c r="IP151" s="128">
        <v>0.28599999999999998</v>
      </c>
      <c r="IQ151" s="128">
        <v>78000</v>
      </c>
      <c r="IR151" s="128">
        <v>0</v>
      </c>
      <c r="IS151" s="128">
        <v>2</v>
      </c>
      <c r="IT151" s="128">
        <v>435</v>
      </c>
      <c r="IU151" s="128">
        <v>0.20799999999999999</v>
      </c>
      <c r="IV151" s="128">
        <v>50025</v>
      </c>
      <c r="IW151" s="128">
        <v>0</v>
      </c>
      <c r="KG151" s="128">
        <v>5</v>
      </c>
      <c r="KH151" s="128">
        <v>40</v>
      </c>
      <c r="KI151" s="128">
        <v>6</v>
      </c>
      <c r="KJ151" s="128">
        <v>0</v>
      </c>
      <c r="KK151" s="128">
        <v>0.28599999999999998</v>
      </c>
      <c r="KL151" s="128">
        <v>0</v>
      </c>
      <c r="KM151" s="128">
        <v>6.2859999999999996</v>
      </c>
      <c r="KN151" s="128">
        <v>4582542</v>
      </c>
      <c r="KO151" s="128">
        <v>2110821</v>
      </c>
      <c r="KP151" s="128">
        <v>2110821</v>
      </c>
      <c r="KT151" s="128">
        <v>94409</v>
      </c>
      <c r="KU151" s="128">
        <v>0</v>
      </c>
      <c r="KV151" s="128">
        <v>0</v>
      </c>
      <c r="KZ151" s="128">
        <v>128025</v>
      </c>
      <c r="LA151" s="128">
        <v>0</v>
      </c>
      <c r="LB151" s="128">
        <v>0</v>
      </c>
      <c r="LF151" s="128">
        <v>108024</v>
      </c>
      <c r="LG151" s="128">
        <v>0</v>
      </c>
      <c r="LH151" s="128">
        <v>0</v>
      </c>
      <c r="LL151" s="128">
        <v>20000</v>
      </c>
      <c r="LM151" s="128">
        <v>0</v>
      </c>
      <c r="LN151" s="128">
        <v>0</v>
      </c>
      <c r="LR151" s="128">
        <v>260000</v>
      </c>
      <c r="LS151" s="128">
        <v>0</v>
      </c>
      <c r="LT151" s="128">
        <v>0</v>
      </c>
      <c r="LX151" s="128">
        <v>0</v>
      </c>
      <c r="LY151" s="128">
        <v>0</v>
      </c>
      <c r="LZ151" s="128">
        <v>0</v>
      </c>
      <c r="MD151" s="128">
        <v>39821</v>
      </c>
      <c r="ME151" s="128">
        <v>0</v>
      </c>
      <c r="MF151" s="128">
        <v>0</v>
      </c>
      <c r="MJ151" s="128">
        <v>35000</v>
      </c>
      <c r="MK151" s="128">
        <v>0</v>
      </c>
      <c r="ML151" s="128">
        <v>0</v>
      </c>
      <c r="MP151" s="128">
        <v>110000</v>
      </c>
      <c r="MQ151" s="128">
        <v>0</v>
      </c>
      <c r="MR151" s="128">
        <v>0</v>
      </c>
      <c r="MV151" s="128">
        <v>530000</v>
      </c>
      <c r="MW151" s="128">
        <v>0</v>
      </c>
      <c r="MX151" s="128">
        <v>0</v>
      </c>
      <c r="NB151" s="128">
        <v>42000</v>
      </c>
      <c r="NC151" s="128">
        <v>0</v>
      </c>
      <c r="ND151" s="128">
        <v>0</v>
      </c>
      <c r="NH151" s="128">
        <v>10000</v>
      </c>
      <c r="NI151" s="128">
        <v>0</v>
      </c>
      <c r="NJ151" s="128">
        <v>0</v>
      </c>
      <c r="NN151" s="128">
        <v>20000</v>
      </c>
      <c r="NO151" s="128">
        <v>0</v>
      </c>
      <c r="NP151" s="128">
        <v>0</v>
      </c>
      <c r="NT151" s="128">
        <v>40000</v>
      </c>
      <c r="NU151" s="128">
        <v>0</v>
      </c>
      <c r="NV151" s="128">
        <v>0</v>
      </c>
      <c r="NZ151" s="128">
        <v>285000</v>
      </c>
      <c r="OA151" s="128">
        <v>0</v>
      </c>
      <c r="OB151" s="128">
        <v>0</v>
      </c>
      <c r="OF151" s="128">
        <v>25000</v>
      </c>
      <c r="OG151" s="128">
        <v>0</v>
      </c>
      <c r="OH151" s="128">
        <v>0</v>
      </c>
      <c r="OL151" s="128">
        <v>0</v>
      </c>
      <c r="OM151" s="128">
        <v>0</v>
      </c>
      <c r="ON151" s="128">
        <v>0</v>
      </c>
      <c r="OR151" s="128">
        <v>0</v>
      </c>
      <c r="OS151" s="128">
        <v>0</v>
      </c>
      <c r="OT151" s="128">
        <v>0</v>
      </c>
      <c r="OX151" s="128">
        <v>192000</v>
      </c>
      <c r="OY151" s="128">
        <v>0</v>
      </c>
      <c r="OZ151" s="128">
        <v>0</v>
      </c>
      <c r="PD151" s="128">
        <v>34000</v>
      </c>
      <c r="PE151" s="128">
        <v>0</v>
      </c>
      <c r="PF151" s="128">
        <v>0</v>
      </c>
      <c r="PJ151" s="128">
        <v>15000</v>
      </c>
      <c r="PK151" s="128">
        <v>0</v>
      </c>
      <c r="PL151" s="128">
        <v>0</v>
      </c>
      <c r="PP151" s="128">
        <v>6570821</v>
      </c>
      <c r="PQ151" s="128">
        <v>2110821</v>
      </c>
      <c r="PR151" s="128">
        <v>2110821</v>
      </c>
      <c r="PS151" s="128">
        <v>100</v>
      </c>
      <c r="PT151" s="128">
        <v>100</v>
      </c>
      <c r="PZ151" s="128">
        <v>2110821</v>
      </c>
      <c r="QC151" s="128">
        <v>0</v>
      </c>
      <c r="QF151" s="128">
        <v>3050000</v>
      </c>
      <c r="QI151" s="128">
        <v>0</v>
      </c>
      <c r="QL151" s="128">
        <v>810000</v>
      </c>
      <c r="QP151" s="128">
        <v>0</v>
      </c>
      <c r="QW151" s="128">
        <v>600000</v>
      </c>
      <c r="RH151" s="128">
        <f t="shared" si="310"/>
        <v>5760821</v>
      </c>
      <c r="RI151" s="128">
        <v>0</v>
      </c>
      <c r="RM151" s="128" t="s">
        <v>220</v>
      </c>
      <c r="RU151" s="130"/>
      <c r="RV151" s="130"/>
      <c r="RW151" s="130"/>
      <c r="RX151" s="130"/>
      <c r="SF151" s="128">
        <f t="shared" si="220"/>
        <v>5755112</v>
      </c>
      <c r="SG151" s="131">
        <f t="shared" si="221"/>
        <v>6570821</v>
      </c>
      <c r="SH151" s="131">
        <f t="shared" si="222"/>
        <v>6570821</v>
      </c>
      <c r="SI151" s="131">
        <f t="shared" si="223"/>
        <v>4913000</v>
      </c>
      <c r="SJ151" s="132">
        <f t="shared" si="224"/>
        <v>4582542</v>
      </c>
      <c r="SK151" s="132">
        <f t="shared" si="225"/>
        <v>94409</v>
      </c>
      <c r="SL151" s="132">
        <f t="shared" si="226"/>
        <v>128025</v>
      </c>
      <c r="SM151" s="132">
        <f t="shared" si="227"/>
        <v>108024</v>
      </c>
      <c r="SN151" s="131">
        <f t="shared" si="228"/>
        <v>1657821</v>
      </c>
      <c r="SO151" s="131">
        <f t="shared" si="229"/>
        <v>280000</v>
      </c>
      <c r="SP151" s="132">
        <f t="shared" si="230"/>
        <v>20000</v>
      </c>
      <c r="SQ151" s="132">
        <f t="shared" si="231"/>
        <v>260000</v>
      </c>
      <c r="SR151" s="132">
        <f t="shared" si="232"/>
        <v>0</v>
      </c>
      <c r="SS151" s="132">
        <f t="shared" si="233"/>
        <v>39821</v>
      </c>
      <c r="ST151" s="132">
        <f t="shared" si="234"/>
        <v>35000</v>
      </c>
      <c r="SU151" s="132">
        <f t="shared" si="235"/>
        <v>110000</v>
      </c>
      <c r="SV151" s="131">
        <f t="shared" si="236"/>
        <v>1144000</v>
      </c>
      <c r="SW151" s="132">
        <f t="shared" si="237"/>
        <v>530000</v>
      </c>
      <c r="SX151" s="132">
        <f t="shared" si="238"/>
        <v>42000</v>
      </c>
      <c r="SY151" s="132">
        <f t="shared" si="239"/>
        <v>10000</v>
      </c>
      <c r="SZ151" s="132">
        <f t="shared" si="240"/>
        <v>20000</v>
      </c>
      <c r="TA151" s="132">
        <f t="shared" si="241"/>
        <v>40000</v>
      </c>
      <c r="TB151" s="132">
        <f t="shared" si="242"/>
        <v>285000</v>
      </c>
      <c r="TC151" s="132">
        <f t="shared" si="243"/>
        <v>25000</v>
      </c>
      <c r="TD151" s="132">
        <f t="shared" si="244"/>
        <v>0</v>
      </c>
      <c r="TE151" s="132">
        <f t="shared" si="245"/>
        <v>0</v>
      </c>
      <c r="TF151" s="132">
        <f t="shared" si="246"/>
        <v>192000</v>
      </c>
      <c r="TG151" s="132">
        <f t="shared" si="247"/>
        <v>34000</v>
      </c>
      <c r="TH151" s="132">
        <f t="shared" si="248"/>
        <v>15000</v>
      </c>
      <c r="TI151" s="1"/>
      <c r="TJ151" s="131">
        <f t="shared" si="249"/>
        <v>2110821</v>
      </c>
      <c r="TK151" s="131">
        <f t="shared" si="250"/>
        <v>2110821</v>
      </c>
      <c r="TL151" s="131">
        <f t="shared" si="251"/>
        <v>2110821</v>
      </c>
      <c r="TM151" s="132">
        <f t="shared" si="252"/>
        <v>2110821</v>
      </c>
      <c r="TN151" s="132">
        <f t="shared" si="253"/>
        <v>0</v>
      </c>
      <c r="TO151" s="132">
        <f t="shared" si="254"/>
        <v>0</v>
      </c>
      <c r="TP151" s="132">
        <f t="shared" si="255"/>
        <v>0</v>
      </c>
      <c r="TQ151" s="131">
        <f t="shared" si="256"/>
        <v>0</v>
      </c>
      <c r="TR151" s="131">
        <f t="shared" si="257"/>
        <v>0</v>
      </c>
      <c r="TS151" s="132">
        <f t="shared" si="258"/>
        <v>0</v>
      </c>
      <c r="TT151" s="132">
        <f t="shared" si="259"/>
        <v>0</v>
      </c>
      <c r="TU151" s="132">
        <f t="shared" si="260"/>
        <v>0</v>
      </c>
      <c r="TV151" s="132">
        <f t="shared" si="261"/>
        <v>0</v>
      </c>
      <c r="TW151" s="132">
        <f t="shared" si="262"/>
        <v>0</v>
      </c>
      <c r="TX151" s="132">
        <f t="shared" si="263"/>
        <v>0</v>
      </c>
      <c r="TY151" s="131">
        <f t="shared" si="264"/>
        <v>0</v>
      </c>
      <c r="TZ151" s="132">
        <f t="shared" si="265"/>
        <v>0</v>
      </c>
      <c r="UA151" s="132">
        <f t="shared" si="266"/>
        <v>0</v>
      </c>
      <c r="UB151" s="132">
        <f t="shared" si="267"/>
        <v>0</v>
      </c>
      <c r="UC151" s="132">
        <f t="shared" si="268"/>
        <v>0</v>
      </c>
      <c r="UD151" s="132">
        <f t="shared" si="269"/>
        <v>0</v>
      </c>
      <c r="UE151" s="132">
        <f t="shared" si="270"/>
        <v>0</v>
      </c>
      <c r="UF151" s="132">
        <f t="shared" si="271"/>
        <v>0</v>
      </c>
      <c r="UG151" s="132">
        <f t="shared" si="272"/>
        <v>0</v>
      </c>
      <c r="UH151" s="132">
        <f t="shared" si="273"/>
        <v>0</v>
      </c>
      <c r="UI151" s="132">
        <f t="shared" si="274"/>
        <v>0</v>
      </c>
      <c r="UJ151" s="132">
        <f t="shared" si="275"/>
        <v>0</v>
      </c>
      <c r="UK151" s="132">
        <f t="shared" si="276"/>
        <v>0</v>
      </c>
      <c r="UL151" s="132">
        <f t="shared" si="311"/>
        <v>2110821</v>
      </c>
      <c r="UM151" s="131">
        <f t="shared" si="277"/>
        <v>2110821</v>
      </c>
      <c r="UN151" s="131">
        <f t="shared" si="278"/>
        <v>2110821</v>
      </c>
      <c r="UO151" s="131">
        <f t="shared" si="279"/>
        <v>2110821</v>
      </c>
      <c r="UP151" s="132">
        <f t="shared" si="280"/>
        <v>2110821</v>
      </c>
      <c r="UQ151" s="132">
        <f t="shared" si="281"/>
        <v>0</v>
      </c>
      <c r="UR151" s="132">
        <f t="shared" si="282"/>
        <v>0</v>
      </c>
      <c r="US151" s="132">
        <f t="shared" si="283"/>
        <v>0</v>
      </c>
      <c r="UT151" s="131">
        <f t="shared" si="284"/>
        <v>0</v>
      </c>
      <c r="UU151" s="131">
        <f t="shared" si="285"/>
        <v>0</v>
      </c>
      <c r="UV151" s="132">
        <f t="shared" si="286"/>
        <v>0</v>
      </c>
      <c r="UW151" s="132">
        <f t="shared" si="287"/>
        <v>0</v>
      </c>
      <c r="UX151" s="132">
        <f t="shared" si="288"/>
        <v>0</v>
      </c>
      <c r="UY151" s="132">
        <f t="shared" si="289"/>
        <v>0</v>
      </c>
      <c r="UZ151" s="132">
        <f t="shared" si="290"/>
        <v>0</v>
      </c>
      <c r="VA151" s="132">
        <f t="shared" si="291"/>
        <v>0</v>
      </c>
      <c r="VB151" s="131">
        <f t="shared" si="292"/>
        <v>0</v>
      </c>
      <c r="VC151" s="132">
        <f t="shared" si="293"/>
        <v>0</v>
      </c>
      <c r="VD151" s="132">
        <f t="shared" si="294"/>
        <v>0</v>
      </c>
      <c r="VE151" s="132">
        <f t="shared" si="295"/>
        <v>0</v>
      </c>
      <c r="VF151" s="132">
        <f t="shared" si="296"/>
        <v>0</v>
      </c>
      <c r="VG151" s="132">
        <f t="shared" si="297"/>
        <v>0</v>
      </c>
      <c r="VH151" s="132">
        <f t="shared" si="298"/>
        <v>0</v>
      </c>
      <c r="VI151" s="132">
        <f t="shared" si="299"/>
        <v>0</v>
      </c>
      <c r="VJ151" s="132">
        <f t="shared" si="300"/>
        <v>0</v>
      </c>
      <c r="VK151" s="132">
        <f t="shared" si="301"/>
        <v>0</v>
      </c>
      <c r="VL151" s="132">
        <f t="shared" si="302"/>
        <v>0</v>
      </c>
      <c r="VM151" s="132">
        <f t="shared" si="303"/>
        <v>0</v>
      </c>
      <c r="VN151" s="132">
        <f t="shared" si="304"/>
        <v>0</v>
      </c>
      <c r="VP151" s="845" t="str">
        <f>IFERROR(HLOOKUP(F151,'Hodnocení '!$C$1:$JH$5,2,FALSE),0)</f>
        <v>Most k životu Trutnov</v>
      </c>
      <c r="VQ151" s="838"/>
      <c r="VR151" s="845" t="str">
        <f t="shared" si="312"/>
        <v>Příspěvková organizace zřízená územním samosprávným celkem</v>
      </c>
      <c r="VS151" s="845" t="str">
        <f>IFERROR(HLOOKUP(F151,'Hodnocení '!$C$1:$JH$5,5,FALSE),0)</f>
        <v>Obce</v>
      </c>
      <c r="VT151" s="838" t="str">
        <f t="shared" si="313"/>
        <v>Příspěvková organizace zřízená územním samosprávným celkem</v>
      </c>
      <c r="VU151" s="838">
        <f t="shared" si="314"/>
        <v>0</v>
      </c>
      <c r="VV151" s="838">
        <f t="shared" si="315"/>
        <v>810000</v>
      </c>
      <c r="VW151" s="838">
        <f t="shared" si="316"/>
        <v>0</v>
      </c>
      <c r="VX151" s="838"/>
      <c r="VY151" s="838">
        <f t="shared" si="317"/>
        <v>0</v>
      </c>
      <c r="VZ151" s="838">
        <f t="shared" si="318"/>
        <v>2110821</v>
      </c>
      <c r="WA151" s="846">
        <f>IFERROR(HLOOKUP($F151,'Hodnocení '!$C$1:$JH$9,9,FALSE),0)</f>
        <v>2110821</v>
      </c>
      <c r="WB151" s="846">
        <f>IF(IFERROR(HLOOKUP($F151,'Hodnocení '!$C$1:$JH$13,13,FALSE),0)&gt;WA151,WA151,IFERROR(HLOOKUP($F151,'Hodnocení '!$C$1:$JH$13,13,FALSE),0))</f>
        <v>2110821</v>
      </c>
      <c r="WC151" s="846">
        <f>IFERROR(HLOOKUP($F151,'Hodnocení '!$C$1:$JH$155,155,FALSE),0)</f>
        <v>0</v>
      </c>
      <c r="WD151" s="845"/>
      <c r="WE151" s="845"/>
      <c r="WF151" s="845" t="str">
        <f t="shared" si="305"/>
        <v>ANO</v>
      </c>
      <c r="WG151" s="849" t="str">
        <f t="shared" si="218"/>
        <v>Podpora služby je vyjádřena zařazením do sítě sociálních služeb v KHK a řešením financování služby</v>
      </c>
      <c r="WH151"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51" s="849" t="str">
        <f t="shared" si="218"/>
        <v>Návrh dotace je výsledkem projednání s ostatními zadavateli v rámci sítě služeb KHK</v>
      </c>
      <c r="WJ151" s="849" t="str">
        <f t="shared" si="218"/>
        <v>Bez komentáře</v>
      </c>
      <c r="WK151" s="31" t="str">
        <f t="shared" si="306"/>
        <v>Výše příspěvku ze strany zřizovatele bude řešen v návaznosti na řešení podílů jednotlivých zadavatelů</v>
      </c>
      <c r="WL151" s="850">
        <f t="shared" si="307"/>
        <v>0</v>
      </c>
      <c r="WM151" s="849" t="str">
        <f t="shared" si="308"/>
        <v>V rámci sítě KHK se dlouhodobě řeší otázka navyšování úhrad a průběžně se monitoruje s vazbou na vykrytí vyrovnávací platby</v>
      </c>
      <c r="WN151" s="849">
        <f t="shared" si="309"/>
        <v>0</v>
      </c>
      <c r="WO151" s="849" t="str">
        <f t="shared" si="219"/>
        <v>bez komentáře</v>
      </c>
      <c r="WP151" s="849" t="str">
        <f t="shared" si="219"/>
        <v>bez komentáře</v>
      </c>
      <c r="WQ151" s="849" t="str">
        <f t="shared" si="219"/>
        <v>Konečná výše dotace z rozpočtu KHK bude řešena v návaznosti na řešení podílů jednotlivých zadavatelů.</v>
      </c>
      <c r="WR151" s="849" t="str">
        <f t="shared" ref="WO151:WT193" si="319">IF($WF151="NE","nehodnoceno",WR$2)</f>
        <v>Konečná výše podpory ze stran obcí bude řešena v součinnosti s jednotlivými zadavateli v průběhu roku.</v>
      </c>
      <c r="WS151" s="849" t="str">
        <f t="shared" si="319"/>
        <v>bez komentáře</v>
      </c>
      <c r="WT151" s="849" t="str">
        <f t="shared" si="319"/>
        <v>bez komentáře</v>
      </c>
      <c r="WU151" s="845"/>
    </row>
    <row r="152" spans="1:619" s="128" customFormat="1" x14ac:dyDescent="0.25">
      <c r="A152" s="128" t="str">
        <f>VLOOKUP(F152,'Výpočet VP 2020'!$D$324:$I$588,6,FALSE)</f>
        <v>Je v síti</v>
      </c>
      <c r="B152" s="128" t="s">
        <v>708</v>
      </c>
      <c r="C152" s="128">
        <v>26623064</v>
      </c>
      <c r="D152" s="128" t="s">
        <v>709</v>
      </c>
      <c r="E152" s="128" t="s">
        <v>272</v>
      </c>
      <c r="F152" s="128">
        <v>4335979</v>
      </c>
      <c r="G152" s="128" t="s">
        <v>225</v>
      </c>
      <c r="H152" s="128" t="s">
        <v>218</v>
      </c>
      <c r="I152" s="128" t="s">
        <v>710</v>
      </c>
      <c r="J152" s="129">
        <v>43831</v>
      </c>
      <c r="L152" s="128" t="s">
        <v>220</v>
      </c>
      <c r="AP152" s="128" t="s">
        <v>322</v>
      </c>
      <c r="AQ152" s="128">
        <v>20</v>
      </c>
      <c r="AR152" s="128">
        <v>20</v>
      </c>
      <c r="AS152" s="128">
        <v>0</v>
      </c>
      <c r="AT152" s="128">
        <v>0</v>
      </c>
      <c r="AU152" s="128">
        <v>24</v>
      </c>
      <c r="BJ152" s="128">
        <v>3000</v>
      </c>
      <c r="BL152" s="128" t="s">
        <v>711</v>
      </c>
      <c r="BM152" s="128" t="s">
        <v>712</v>
      </c>
      <c r="BN152" s="128" t="s">
        <v>299</v>
      </c>
      <c r="BO152" s="128">
        <v>0</v>
      </c>
      <c r="BP152" s="128">
        <v>0</v>
      </c>
      <c r="BQ152" s="128">
        <v>0</v>
      </c>
      <c r="BR152" s="128">
        <v>0</v>
      </c>
      <c r="BS152" s="128">
        <v>0</v>
      </c>
      <c r="BT152" s="128">
        <v>0</v>
      </c>
      <c r="BU152" s="128">
        <v>0</v>
      </c>
      <c r="BV152" s="128">
        <v>0</v>
      </c>
      <c r="BW152" s="128">
        <v>0</v>
      </c>
      <c r="BX152" s="128">
        <v>0</v>
      </c>
      <c r="BY152" s="128">
        <v>0</v>
      </c>
      <c r="BZ152" s="128">
        <v>0</v>
      </c>
      <c r="CA152" s="128">
        <v>0</v>
      </c>
      <c r="CB152" s="128">
        <v>0</v>
      </c>
      <c r="CC152" s="128">
        <v>0</v>
      </c>
      <c r="CD152" s="128">
        <v>0</v>
      </c>
      <c r="CE152" s="128">
        <v>0</v>
      </c>
      <c r="CF152" s="128">
        <v>0</v>
      </c>
      <c r="CH152" s="128">
        <v>3</v>
      </c>
      <c r="CI152" s="128">
        <v>3</v>
      </c>
      <c r="CJ152" s="128">
        <v>3</v>
      </c>
      <c r="CK152" s="128">
        <v>3</v>
      </c>
      <c r="CL152" s="128">
        <v>0</v>
      </c>
      <c r="CM152" s="128">
        <v>3</v>
      </c>
      <c r="CN152" s="128">
        <v>3</v>
      </c>
      <c r="CO152" s="128">
        <v>3</v>
      </c>
      <c r="CP152" s="128">
        <v>3</v>
      </c>
      <c r="CQ152" s="128">
        <v>0</v>
      </c>
      <c r="CR152" s="128">
        <v>6</v>
      </c>
      <c r="CS152" s="128">
        <v>6</v>
      </c>
      <c r="CT152" s="128">
        <v>6</v>
      </c>
      <c r="CU152" s="128">
        <v>6</v>
      </c>
      <c r="CV152" s="128">
        <v>0</v>
      </c>
      <c r="CW152" s="128">
        <v>12</v>
      </c>
      <c r="CX152" s="128">
        <v>12</v>
      </c>
      <c r="CY152" s="128">
        <v>24</v>
      </c>
      <c r="EK152" s="128">
        <v>1</v>
      </c>
      <c r="EL152" s="128">
        <v>0.1</v>
      </c>
      <c r="EM152" s="128">
        <v>0</v>
      </c>
      <c r="EN152" s="128">
        <v>72252</v>
      </c>
      <c r="EO152" s="128">
        <v>60000</v>
      </c>
      <c r="EP152" s="128">
        <v>1</v>
      </c>
      <c r="EQ152" s="128">
        <v>1</v>
      </c>
      <c r="ER152" s="128">
        <v>0</v>
      </c>
      <c r="ES152" s="128">
        <v>449568</v>
      </c>
      <c r="ET152" s="128">
        <v>400000</v>
      </c>
      <c r="FO152" s="128">
        <v>3</v>
      </c>
      <c r="FP152" s="128">
        <v>0.3</v>
      </c>
      <c r="FQ152" s="128">
        <v>0</v>
      </c>
      <c r="FR152" s="128">
        <v>252080</v>
      </c>
      <c r="FS152" s="128">
        <v>149000</v>
      </c>
      <c r="IN152" s="128">
        <v>14</v>
      </c>
      <c r="IO152" s="128">
        <v>4000</v>
      </c>
      <c r="IP152" s="128">
        <v>1.9079999999999999</v>
      </c>
      <c r="IQ152" s="128">
        <v>600000</v>
      </c>
      <c r="IR152" s="128">
        <v>270000</v>
      </c>
      <c r="KG152" s="128">
        <v>0</v>
      </c>
      <c r="KI152" s="128">
        <v>1.1000000000000001</v>
      </c>
      <c r="KJ152" s="128">
        <v>0</v>
      </c>
      <c r="KK152" s="128">
        <v>1.9079999999999999</v>
      </c>
      <c r="KL152" s="128">
        <v>0</v>
      </c>
      <c r="KM152" s="128">
        <v>3.008</v>
      </c>
      <c r="KN152" s="128">
        <v>773900</v>
      </c>
      <c r="KO152" s="128">
        <v>609000</v>
      </c>
      <c r="KP152" s="128">
        <v>609000</v>
      </c>
      <c r="KT152" s="128">
        <v>0</v>
      </c>
      <c r="KU152" s="128">
        <v>0</v>
      </c>
      <c r="KV152" s="128">
        <v>0</v>
      </c>
      <c r="KZ152" s="128">
        <v>600000</v>
      </c>
      <c r="LA152" s="128">
        <v>270000</v>
      </c>
      <c r="LB152" s="128">
        <v>270000</v>
      </c>
      <c r="LF152" s="128">
        <v>3200</v>
      </c>
      <c r="LG152" s="128">
        <v>0</v>
      </c>
      <c r="LH152" s="128">
        <v>0</v>
      </c>
      <c r="LL152" s="128">
        <v>1000</v>
      </c>
      <c r="LM152" s="128">
        <v>0</v>
      </c>
      <c r="LN152" s="128">
        <v>0</v>
      </c>
      <c r="LR152" s="128">
        <v>10000</v>
      </c>
      <c r="LS152" s="128">
        <v>5000</v>
      </c>
      <c r="LT152" s="128">
        <v>5000</v>
      </c>
      <c r="LX152" s="128">
        <v>0</v>
      </c>
      <c r="LY152" s="128">
        <v>0</v>
      </c>
      <c r="LZ152" s="128">
        <v>0</v>
      </c>
      <c r="MD152" s="128">
        <v>10000</v>
      </c>
      <c r="ME152" s="128">
        <v>5000</v>
      </c>
      <c r="MF152" s="128">
        <v>5000</v>
      </c>
      <c r="MJ152" s="128">
        <v>2000</v>
      </c>
      <c r="MK152" s="128">
        <v>1000</v>
      </c>
      <c r="ML152" s="128">
        <v>1000</v>
      </c>
      <c r="MP152" s="128">
        <v>10000</v>
      </c>
      <c r="MQ152" s="128">
        <v>5000</v>
      </c>
      <c r="MR152" s="128">
        <v>5000</v>
      </c>
      <c r="MV152" s="128">
        <v>24000</v>
      </c>
      <c r="MW152" s="128">
        <v>10000</v>
      </c>
      <c r="MX152" s="128">
        <v>10000</v>
      </c>
      <c r="NB152" s="128">
        <v>11000</v>
      </c>
      <c r="NC152" s="128">
        <v>5000</v>
      </c>
      <c r="ND152" s="128">
        <v>5000</v>
      </c>
      <c r="NH152" s="128">
        <v>120000</v>
      </c>
      <c r="NI152" s="128">
        <v>60000</v>
      </c>
      <c r="NJ152" s="128">
        <v>60000</v>
      </c>
      <c r="NN152" s="128">
        <v>12000</v>
      </c>
      <c r="NO152" s="128">
        <v>6000</v>
      </c>
      <c r="NP152" s="128">
        <v>6000</v>
      </c>
      <c r="NT152" s="128">
        <v>8000</v>
      </c>
      <c r="NU152" s="128">
        <v>4000</v>
      </c>
      <c r="NV152" s="128">
        <v>4000</v>
      </c>
      <c r="NZ152" s="128">
        <v>3000</v>
      </c>
      <c r="OA152" s="128">
        <v>0</v>
      </c>
      <c r="OB152" s="128">
        <v>0</v>
      </c>
      <c r="OF152" s="128">
        <v>25000</v>
      </c>
      <c r="OG152" s="128">
        <v>15000</v>
      </c>
      <c r="OH152" s="128">
        <v>15000</v>
      </c>
      <c r="OL152" s="128">
        <v>0</v>
      </c>
      <c r="OM152" s="128">
        <v>0</v>
      </c>
      <c r="ON152" s="128">
        <v>0</v>
      </c>
      <c r="OR152" s="128">
        <v>0</v>
      </c>
      <c r="OS152" s="128">
        <v>0</v>
      </c>
      <c r="OT152" s="128">
        <v>0</v>
      </c>
      <c r="OX152" s="128">
        <v>10000</v>
      </c>
      <c r="OY152" s="128">
        <v>5000</v>
      </c>
      <c r="OZ152" s="128">
        <v>5000</v>
      </c>
      <c r="PD152" s="128">
        <v>0</v>
      </c>
      <c r="PE152" s="128">
        <v>0</v>
      </c>
      <c r="PF152" s="128">
        <v>0</v>
      </c>
      <c r="PJ152" s="128">
        <v>0</v>
      </c>
      <c r="PK152" s="128">
        <v>0</v>
      </c>
      <c r="PL152" s="128">
        <v>0</v>
      </c>
      <c r="PP152" s="128">
        <v>1623100</v>
      </c>
      <c r="PQ152" s="128">
        <v>1000000</v>
      </c>
      <c r="PR152" s="128">
        <v>1000000</v>
      </c>
      <c r="PS152" s="128">
        <v>100</v>
      </c>
      <c r="PT152" s="128">
        <v>100</v>
      </c>
      <c r="PZ152" s="128">
        <v>1000000</v>
      </c>
      <c r="QC152" s="128">
        <v>0</v>
      </c>
      <c r="QF152" s="128">
        <v>0</v>
      </c>
      <c r="QI152" s="128">
        <v>0</v>
      </c>
      <c r="QL152" s="128">
        <v>390000</v>
      </c>
      <c r="QP152" s="128">
        <v>0</v>
      </c>
      <c r="QW152" s="128">
        <v>110000</v>
      </c>
      <c r="QZ152" s="128">
        <v>110000</v>
      </c>
      <c r="RF152" s="128">
        <v>13100</v>
      </c>
      <c r="RH152" s="128">
        <f t="shared" si="310"/>
        <v>1233100</v>
      </c>
      <c r="RI152" s="128">
        <v>0</v>
      </c>
      <c r="RM152" s="128" t="s">
        <v>220</v>
      </c>
      <c r="RU152" s="130"/>
      <c r="RV152" s="130"/>
      <c r="RW152" s="130"/>
      <c r="RX152" s="130"/>
      <c r="SF152" s="128">
        <f t="shared" si="220"/>
        <v>4335979</v>
      </c>
      <c r="SG152" s="131">
        <f t="shared" si="221"/>
        <v>1623100</v>
      </c>
      <c r="SH152" s="131">
        <f t="shared" si="222"/>
        <v>1623100</v>
      </c>
      <c r="SI152" s="131">
        <f t="shared" si="223"/>
        <v>1377100</v>
      </c>
      <c r="SJ152" s="132">
        <f t="shared" si="224"/>
        <v>773900</v>
      </c>
      <c r="SK152" s="132">
        <f t="shared" si="225"/>
        <v>0</v>
      </c>
      <c r="SL152" s="132">
        <f t="shared" si="226"/>
        <v>600000</v>
      </c>
      <c r="SM152" s="132">
        <f t="shared" si="227"/>
        <v>3200</v>
      </c>
      <c r="SN152" s="131">
        <f t="shared" si="228"/>
        <v>246000</v>
      </c>
      <c r="SO152" s="131">
        <f t="shared" si="229"/>
        <v>11000</v>
      </c>
      <c r="SP152" s="132">
        <f t="shared" si="230"/>
        <v>1000</v>
      </c>
      <c r="SQ152" s="132">
        <f t="shared" si="231"/>
        <v>10000</v>
      </c>
      <c r="SR152" s="132">
        <f t="shared" si="232"/>
        <v>0</v>
      </c>
      <c r="SS152" s="132">
        <f t="shared" si="233"/>
        <v>10000</v>
      </c>
      <c r="ST152" s="132">
        <f t="shared" si="234"/>
        <v>2000</v>
      </c>
      <c r="SU152" s="132">
        <f t="shared" si="235"/>
        <v>10000</v>
      </c>
      <c r="SV152" s="131">
        <f t="shared" si="236"/>
        <v>213000</v>
      </c>
      <c r="SW152" s="132">
        <f t="shared" si="237"/>
        <v>24000</v>
      </c>
      <c r="SX152" s="132">
        <f t="shared" si="238"/>
        <v>11000</v>
      </c>
      <c r="SY152" s="132">
        <f t="shared" si="239"/>
        <v>120000</v>
      </c>
      <c r="SZ152" s="132">
        <f t="shared" si="240"/>
        <v>12000</v>
      </c>
      <c r="TA152" s="132">
        <f t="shared" si="241"/>
        <v>8000</v>
      </c>
      <c r="TB152" s="132">
        <f t="shared" si="242"/>
        <v>3000</v>
      </c>
      <c r="TC152" s="132">
        <f t="shared" si="243"/>
        <v>25000</v>
      </c>
      <c r="TD152" s="132">
        <f t="shared" si="244"/>
        <v>0</v>
      </c>
      <c r="TE152" s="132">
        <f t="shared" si="245"/>
        <v>0</v>
      </c>
      <c r="TF152" s="132">
        <f t="shared" si="246"/>
        <v>10000</v>
      </c>
      <c r="TG152" s="132">
        <f t="shared" si="247"/>
        <v>0</v>
      </c>
      <c r="TH152" s="132">
        <f t="shared" si="248"/>
        <v>0</v>
      </c>
      <c r="TI152" s="1"/>
      <c r="TJ152" s="131">
        <f t="shared" si="249"/>
        <v>1000000</v>
      </c>
      <c r="TK152" s="131">
        <f t="shared" si="250"/>
        <v>1000000</v>
      </c>
      <c r="TL152" s="131">
        <f t="shared" si="251"/>
        <v>879000</v>
      </c>
      <c r="TM152" s="132">
        <f t="shared" si="252"/>
        <v>609000</v>
      </c>
      <c r="TN152" s="132">
        <f t="shared" si="253"/>
        <v>0</v>
      </c>
      <c r="TO152" s="132">
        <f t="shared" si="254"/>
        <v>270000</v>
      </c>
      <c r="TP152" s="132">
        <f t="shared" si="255"/>
        <v>0</v>
      </c>
      <c r="TQ152" s="131">
        <f t="shared" si="256"/>
        <v>121000</v>
      </c>
      <c r="TR152" s="131">
        <f t="shared" si="257"/>
        <v>5000</v>
      </c>
      <c r="TS152" s="132">
        <f t="shared" si="258"/>
        <v>0</v>
      </c>
      <c r="TT152" s="132">
        <f t="shared" si="259"/>
        <v>5000</v>
      </c>
      <c r="TU152" s="132">
        <f t="shared" si="260"/>
        <v>0</v>
      </c>
      <c r="TV152" s="132">
        <f t="shared" si="261"/>
        <v>5000</v>
      </c>
      <c r="TW152" s="132">
        <f t="shared" si="262"/>
        <v>1000</v>
      </c>
      <c r="TX152" s="132">
        <f t="shared" si="263"/>
        <v>5000</v>
      </c>
      <c r="TY152" s="131">
        <f t="shared" si="264"/>
        <v>105000</v>
      </c>
      <c r="TZ152" s="132">
        <f t="shared" si="265"/>
        <v>10000</v>
      </c>
      <c r="UA152" s="132">
        <f t="shared" si="266"/>
        <v>5000</v>
      </c>
      <c r="UB152" s="132">
        <f t="shared" si="267"/>
        <v>60000</v>
      </c>
      <c r="UC152" s="132">
        <f t="shared" si="268"/>
        <v>6000</v>
      </c>
      <c r="UD152" s="132">
        <f t="shared" si="269"/>
        <v>4000</v>
      </c>
      <c r="UE152" s="132">
        <f t="shared" si="270"/>
        <v>0</v>
      </c>
      <c r="UF152" s="132">
        <f t="shared" si="271"/>
        <v>15000</v>
      </c>
      <c r="UG152" s="132">
        <f t="shared" si="272"/>
        <v>0</v>
      </c>
      <c r="UH152" s="132">
        <f t="shared" si="273"/>
        <v>0</v>
      </c>
      <c r="UI152" s="132">
        <f t="shared" si="274"/>
        <v>5000</v>
      </c>
      <c r="UJ152" s="132">
        <f t="shared" si="275"/>
        <v>0</v>
      </c>
      <c r="UK152" s="132">
        <f t="shared" si="276"/>
        <v>0</v>
      </c>
      <c r="UL152" s="132">
        <f t="shared" si="311"/>
        <v>1000000</v>
      </c>
      <c r="UM152" s="131">
        <f t="shared" si="277"/>
        <v>1000000</v>
      </c>
      <c r="UN152" s="131">
        <f t="shared" si="278"/>
        <v>1000000</v>
      </c>
      <c r="UO152" s="131">
        <f t="shared" si="279"/>
        <v>879000</v>
      </c>
      <c r="UP152" s="132">
        <f t="shared" si="280"/>
        <v>609000</v>
      </c>
      <c r="UQ152" s="132">
        <f t="shared" si="281"/>
        <v>0</v>
      </c>
      <c r="UR152" s="132">
        <f t="shared" si="282"/>
        <v>270000</v>
      </c>
      <c r="US152" s="132">
        <f t="shared" si="283"/>
        <v>0</v>
      </c>
      <c r="UT152" s="131">
        <f t="shared" si="284"/>
        <v>121000</v>
      </c>
      <c r="UU152" s="131">
        <f t="shared" si="285"/>
        <v>5000</v>
      </c>
      <c r="UV152" s="132">
        <f t="shared" si="286"/>
        <v>0</v>
      </c>
      <c r="UW152" s="132">
        <f t="shared" si="287"/>
        <v>5000</v>
      </c>
      <c r="UX152" s="132">
        <f t="shared" si="288"/>
        <v>0</v>
      </c>
      <c r="UY152" s="132">
        <f t="shared" si="289"/>
        <v>5000</v>
      </c>
      <c r="UZ152" s="132">
        <f t="shared" si="290"/>
        <v>1000</v>
      </c>
      <c r="VA152" s="132">
        <f t="shared" si="291"/>
        <v>5000</v>
      </c>
      <c r="VB152" s="131">
        <f t="shared" si="292"/>
        <v>105000</v>
      </c>
      <c r="VC152" s="132">
        <f t="shared" si="293"/>
        <v>10000</v>
      </c>
      <c r="VD152" s="132">
        <f t="shared" si="294"/>
        <v>5000</v>
      </c>
      <c r="VE152" s="132">
        <f t="shared" si="295"/>
        <v>60000</v>
      </c>
      <c r="VF152" s="132">
        <f t="shared" si="296"/>
        <v>6000</v>
      </c>
      <c r="VG152" s="132">
        <f t="shared" si="297"/>
        <v>4000</v>
      </c>
      <c r="VH152" s="132">
        <f t="shared" si="298"/>
        <v>0</v>
      </c>
      <c r="VI152" s="132">
        <f t="shared" si="299"/>
        <v>15000</v>
      </c>
      <c r="VJ152" s="132">
        <f t="shared" si="300"/>
        <v>0</v>
      </c>
      <c r="VK152" s="132">
        <f t="shared" si="301"/>
        <v>0</v>
      </c>
      <c r="VL152" s="132">
        <f t="shared" si="302"/>
        <v>5000</v>
      </c>
      <c r="VM152" s="132">
        <f t="shared" si="303"/>
        <v>0</v>
      </c>
      <c r="VN152" s="132">
        <f t="shared" si="304"/>
        <v>0</v>
      </c>
      <c r="VP152" s="845" t="str">
        <f>IFERROR(HLOOKUP(F152,'Hodnocení '!$C$1:$JH$5,2,FALSE),0)</f>
        <v>Osobní asistence Nautis</v>
      </c>
      <c r="VQ152" s="838"/>
      <c r="VR152" s="845" t="str">
        <f t="shared" si="312"/>
        <v>Ústav</v>
      </c>
      <c r="VS152" s="845" t="str">
        <f>IFERROR(HLOOKUP(F152,'Hodnocení '!$C$1:$JH$5,5,FALSE),0)</f>
        <v>NZO</v>
      </c>
      <c r="VT152" s="838">
        <f t="shared" si="313"/>
        <v>0</v>
      </c>
      <c r="VU152" s="838">
        <f t="shared" si="314"/>
        <v>0</v>
      </c>
      <c r="VV152" s="838">
        <f t="shared" si="315"/>
        <v>390000</v>
      </c>
      <c r="VW152" s="838">
        <f t="shared" si="316"/>
        <v>0</v>
      </c>
      <c r="VX152" s="838"/>
      <c r="VY152" s="838">
        <f t="shared" si="317"/>
        <v>0</v>
      </c>
      <c r="VZ152" s="838">
        <f t="shared" si="318"/>
        <v>1000000</v>
      </c>
      <c r="WA152" s="846">
        <f>IFERROR(HLOOKUP($F152,'Hodnocení '!$C$1:$JH$9,9,FALSE),0)</f>
        <v>1000000</v>
      </c>
      <c r="WB152" s="846">
        <f>IF(IFERROR(HLOOKUP($F152,'Hodnocení '!$C$1:$JH$13,13,FALSE),0)&gt;WA152,WA152,IFERROR(HLOOKUP($F152,'Hodnocení '!$C$1:$JH$13,13,FALSE),0))</f>
        <v>484189.8882988008</v>
      </c>
      <c r="WC152" s="846">
        <f>IFERROR(HLOOKUP($F152,'Hodnocení '!$C$1:$JH$155,155,FALSE),0)</f>
        <v>455140</v>
      </c>
      <c r="WD152" s="845"/>
      <c r="WE152" s="845"/>
      <c r="WF152" s="845" t="str">
        <f t="shared" si="305"/>
        <v>ANO</v>
      </c>
      <c r="WG152" s="849" t="str">
        <f t="shared" si="218"/>
        <v>Podpora služby je vyjádřena zařazením do sítě sociálních služeb v KHK a řešením financování služby</v>
      </c>
      <c r="WH152"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52" s="849" t="str">
        <f t="shared" si="218"/>
        <v>Návrh dotace je výsledkem projednání s ostatními zadavateli v rámci sítě služeb KHK</v>
      </c>
      <c r="WJ152" s="849" t="str">
        <f t="shared" si="218"/>
        <v>Bez komentáře</v>
      </c>
      <c r="WK152" s="31">
        <f t="shared" si="306"/>
        <v>0</v>
      </c>
      <c r="WL152" s="850">
        <f t="shared" si="307"/>
        <v>0</v>
      </c>
      <c r="WM152" s="849" t="str">
        <f t="shared" si="308"/>
        <v>V rámci sítě KHK se dlouhodobě řeší otázka navyšování úhrad a průběžně se monitoruje s vazbou na vykrytí vyrovnávací platby</v>
      </c>
      <c r="WN152" s="849">
        <f t="shared" si="309"/>
        <v>0</v>
      </c>
      <c r="WO152" s="849" t="str">
        <f t="shared" si="319"/>
        <v>bez komentáře</v>
      </c>
      <c r="WP152" s="849" t="str">
        <f t="shared" si="319"/>
        <v>bez komentáře</v>
      </c>
      <c r="WQ152" s="849" t="str">
        <f t="shared" si="319"/>
        <v>Konečná výše dotace z rozpočtu KHK bude řešena v návaznosti na řešení podílů jednotlivých zadavatelů.</v>
      </c>
      <c r="WR152" s="849" t="str">
        <f t="shared" si="319"/>
        <v>Konečná výše podpory ze stran obcí bude řešena v součinnosti s jednotlivými zadavateli v průběhu roku.</v>
      </c>
      <c r="WS152" s="849" t="str">
        <f t="shared" si="319"/>
        <v>bez komentáře</v>
      </c>
      <c r="WT152" s="849" t="str">
        <f t="shared" si="319"/>
        <v>bez komentáře</v>
      </c>
      <c r="WU152" s="845"/>
    </row>
    <row r="153" spans="1:619" s="128" customFormat="1" x14ac:dyDescent="0.25">
      <c r="A153" s="128" t="str">
        <f>VLOOKUP(F153,'Výpočet VP 2020'!$D$324:$I$588,6,FALSE)</f>
        <v>Je v síti</v>
      </c>
      <c r="B153" s="128" t="s">
        <v>713</v>
      </c>
      <c r="C153" s="128">
        <v>4224876</v>
      </c>
      <c r="D153" s="128" t="s">
        <v>714</v>
      </c>
      <c r="E153" s="128" t="s">
        <v>242</v>
      </c>
      <c r="F153" s="128">
        <v>3054253</v>
      </c>
      <c r="G153" s="128" t="s">
        <v>235</v>
      </c>
      <c r="H153" s="128" t="s">
        <v>230</v>
      </c>
      <c r="I153" s="128" t="s">
        <v>715</v>
      </c>
      <c r="J153" s="129">
        <v>43252</v>
      </c>
      <c r="L153" s="128" t="s">
        <v>220</v>
      </c>
      <c r="X153" s="128" t="s">
        <v>315</v>
      </c>
      <c r="Z153" s="128">
        <v>12</v>
      </c>
      <c r="AA153" s="128">
        <v>12</v>
      </c>
      <c r="AB153" s="128">
        <v>12</v>
      </c>
      <c r="AC153" s="128">
        <v>39</v>
      </c>
      <c r="AD153" s="128">
        <v>30</v>
      </c>
      <c r="AO153" s="128" t="s">
        <v>716</v>
      </c>
      <c r="BL153" s="128" t="s">
        <v>717</v>
      </c>
      <c r="BM153" s="128" t="s">
        <v>304</v>
      </c>
      <c r="BN153" s="128" t="s">
        <v>248</v>
      </c>
      <c r="EK153" s="128">
        <v>1</v>
      </c>
      <c r="EL153" s="128">
        <v>1</v>
      </c>
      <c r="EM153" s="128">
        <v>1</v>
      </c>
      <c r="EN153" s="128">
        <v>578839</v>
      </c>
      <c r="EO153" s="128">
        <v>532645</v>
      </c>
      <c r="EP153" s="128">
        <v>3</v>
      </c>
      <c r="EQ153" s="128">
        <v>2</v>
      </c>
      <c r="ER153" s="128">
        <v>2</v>
      </c>
      <c r="ES153" s="128">
        <v>1010087</v>
      </c>
      <c r="ET153" s="128">
        <v>604213</v>
      </c>
      <c r="FJ153" s="128">
        <v>1</v>
      </c>
      <c r="FK153" s="128">
        <v>0.2</v>
      </c>
      <c r="FL153" s="128">
        <v>0.2</v>
      </c>
      <c r="FM153" s="128">
        <v>140010</v>
      </c>
      <c r="FN153" s="128">
        <v>61158</v>
      </c>
      <c r="IN153" s="128">
        <v>1</v>
      </c>
      <c r="IO153" s="128">
        <v>300</v>
      </c>
      <c r="IP153" s="128">
        <v>0.14299999999999999</v>
      </c>
      <c r="IQ153" s="128">
        <v>60000</v>
      </c>
      <c r="IR153" s="128">
        <v>60000</v>
      </c>
      <c r="IS153" s="128">
        <v>1</v>
      </c>
      <c r="IT153" s="128">
        <v>300</v>
      </c>
      <c r="IU153" s="128">
        <v>0.14299999999999999</v>
      </c>
      <c r="IV153" s="128">
        <v>51600</v>
      </c>
      <c r="IW153" s="128">
        <v>51600</v>
      </c>
      <c r="KG153" s="128">
        <v>0</v>
      </c>
      <c r="KI153" s="128">
        <v>3.2</v>
      </c>
      <c r="KJ153" s="128">
        <v>0</v>
      </c>
      <c r="KK153" s="128">
        <v>0.14299999999999999</v>
      </c>
      <c r="KL153" s="128">
        <v>0</v>
      </c>
      <c r="KM153" s="128">
        <v>3.343</v>
      </c>
      <c r="KN153" s="128">
        <v>1728936</v>
      </c>
      <c r="KO153" s="128">
        <v>1198016</v>
      </c>
      <c r="KP153" s="128">
        <v>1198016</v>
      </c>
      <c r="KT153" s="128">
        <v>0</v>
      </c>
      <c r="KU153" s="128">
        <v>0</v>
      </c>
      <c r="KV153" s="128">
        <v>0</v>
      </c>
      <c r="KZ153" s="128">
        <v>111600</v>
      </c>
      <c r="LA153" s="128">
        <v>111600</v>
      </c>
      <c r="LB153" s="128">
        <v>111600</v>
      </c>
      <c r="LF153" s="128">
        <v>0</v>
      </c>
      <c r="LG153" s="128">
        <v>0</v>
      </c>
      <c r="LH153" s="128">
        <v>0</v>
      </c>
      <c r="LL153" s="128">
        <v>0</v>
      </c>
      <c r="LM153" s="128">
        <v>0</v>
      </c>
      <c r="LN153" s="128">
        <v>0</v>
      </c>
      <c r="LR153" s="128">
        <v>18000</v>
      </c>
      <c r="LS153" s="128">
        <v>12000</v>
      </c>
      <c r="LT153" s="128">
        <v>12000</v>
      </c>
      <c r="LX153" s="128">
        <v>6000</v>
      </c>
      <c r="LY153" s="128">
        <v>0</v>
      </c>
      <c r="LZ153" s="128">
        <v>0</v>
      </c>
      <c r="MD153" s="128">
        <v>25000</v>
      </c>
      <c r="ME153" s="128">
        <v>5450</v>
      </c>
      <c r="MF153" s="128">
        <v>5450</v>
      </c>
      <c r="MJ153" s="128">
        <v>0</v>
      </c>
      <c r="MK153" s="128">
        <v>0</v>
      </c>
      <c r="ML153" s="128">
        <v>0</v>
      </c>
      <c r="MP153" s="128">
        <v>41600</v>
      </c>
      <c r="MQ153" s="128">
        <v>13600</v>
      </c>
      <c r="MR153" s="128">
        <v>13600</v>
      </c>
      <c r="MV153" s="128">
        <v>50000</v>
      </c>
      <c r="MW153" s="128">
        <v>50000</v>
      </c>
      <c r="MX153" s="128">
        <v>50000</v>
      </c>
      <c r="NB153" s="128">
        <v>13000</v>
      </c>
      <c r="NC153" s="128">
        <v>13000</v>
      </c>
      <c r="ND153" s="128">
        <v>13000</v>
      </c>
      <c r="NH153" s="128">
        <v>45480</v>
      </c>
      <c r="NI153" s="128">
        <v>15160</v>
      </c>
      <c r="NJ153" s="128">
        <v>15160</v>
      </c>
      <c r="NN153" s="128">
        <v>30000</v>
      </c>
      <c r="NO153" s="128">
        <v>0</v>
      </c>
      <c r="NP153" s="128">
        <v>0</v>
      </c>
      <c r="NT153" s="128">
        <v>52000</v>
      </c>
      <c r="NU153" s="128">
        <v>24000</v>
      </c>
      <c r="NV153" s="128">
        <v>24000</v>
      </c>
      <c r="NZ153" s="128">
        <v>0</v>
      </c>
      <c r="OA153" s="128">
        <v>0</v>
      </c>
      <c r="OB153" s="128">
        <v>0</v>
      </c>
      <c r="OF153" s="128">
        <v>10000</v>
      </c>
      <c r="OG153" s="128">
        <v>10000</v>
      </c>
      <c r="OH153" s="128">
        <v>10000</v>
      </c>
      <c r="OL153" s="128">
        <v>0</v>
      </c>
      <c r="OM153" s="128">
        <v>0</v>
      </c>
      <c r="ON153" s="128">
        <v>0</v>
      </c>
      <c r="OR153" s="128">
        <v>0</v>
      </c>
      <c r="OS153" s="128">
        <v>0</v>
      </c>
      <c r="OT153" s="128">
        <v>0</v>
      </c>
      <c r="OX153" s="128">
        <v>32000</v>
      </c>
      <c r="OY153" s="128">
        <v>12000</v>
      </c>
      <c r="OZ153" s="128">
        <v>12000</v>
      </c>
      <c r="PD153" s="128">
        <v>0</v>
      </c>
      <c r="PE153" s="128">
        <v>0</v>
      </c>
      <c r="PF153" s="128">
        <v>0</v>
      </c>
      <c r="PJ153" s="128">
        <v>0</v>
      </c>
      <c r="PK153" s="128">
        <v>0</v>
      </c>
      <c r="PL153" s="128">
        <v>0</v>
      </c>
      <c r="PP153" s="128">
        <v>2163616</v>
      </c>
      <c r="PQ153" s="128">
        <v>1464826</v>
      </c>
      <c r="PR153" s="128">
        <v>1464826</v>
      </c>
      <c r="PS153" s="128">
        <v>100</v>
      </c>
      <c r="PT153" s="128">
        <v>100</v>
      </c>
      <c r="PX153" s="128">
        <v>0</v>
      </c>
      <c r="PY153" s="128">
        <v>615100</v>
      </c>
      <c r="PZ153" s="128">
        <v>1464826</v>
      </c>
      <c r="QA153" s="128">
        <v>0</v>
      </c>
      <c r="QB153" s="128">
        <v>0</v>
      </c>
      <c r="QC153" s="128">
        <v>0</v>
      </c>
      <c r="QD153" s="128">
        <v>0</v>
      </c>
      <c r="QE153" s="128">
        <v>0</v>
      </c>
      <c r="QF153" s="128">
        <v>0</v>
      </c>
      <c r="QG153" s="128">
        <v>0</v>
      </c>
      <c r="QH153" s="128">
        <v>0</v>
      </c>
      <c r="QI153" s="128">
        <v>0</v>
      </c>
      <c r="QJ153" s="128">
        <v>0</v>
      </c>
      <c r="QK153" s="128">
        <v>0</v>
      </c>
      <c r="QL153" s="128">
        <v>0</v>
      </c>
      <c r="QN153" s="128">
        <v>0</v>
      </c>
      <c r="QO153" s="128">
        <v>0</v>
      </c>
      <c r="QP153" s="128">
        <v>0</v>
      </c>
      <c r="QX153" s="128">
        <v>50000</v>
      </c>
      <c r="QY153" s="128">
        <v>50000</v>
      </c>
      <c r="QZ153" s="128">
        <v>50000</v>
      </c>
      <c r="RA153" s="128">
        <v>273528</v>
      </c>
      <c r="RB153" s="128">
        <v>935982</v>
      </c>
      <c r="RC153" s="128">
        <v>623790</v>
      </c>
      <c r="RD153" s="128">
        <v>12379</v>
      </c>
      <c r="RE153" s="128">
        <v>45000</v>
      </c>
      <c r="RF153" s="128">
        <v>25000</v>
      </c>
      <c r="RH153" s="128">
        <f t="shared" si="310"/>
        <v>2163616</v>
      </c>
      <c r="RI153" s="128">
        <v>0</v>
      </c>
      <c r="RM153" s="128" t="s">
        <v>220</v>
      </c>
      <c r="RU153" s="130"/>
      <c r="RV153" s="130"/>
      <c r="RW153" s="130"/>
      <c r="RX153" s="130"/>
      <c r="SF153" s="128">
        <f t="shared" si="220"/>
        <v>3054253</v>
      </c>
      <c r="SG153" s="131">
        <f t="shared" si="221"/>
        <v>2163616</v>
      </c>
      <c r="SH153" s="131">
        <f t="shared" si="222"/>
        <v>2163616</v>
      </c>
      <c r="SI153" s="131">
        <f t="shared" si="223"/>
        <v>1840536</v>
      </c>
      <c r="SJ153" s="132">
        <f t="shared" si="224"/>
        <v>1728936</v>
      </c>
      <c r="SK153" s="132">
        <f t="shared" si="225"/>
        <v>0</v>
      </c>
      <c r="SL153" s="132">
        <f t="shared" si="226"/>
        <v>111600</v>
      </c>
      <c r="SM153" s="132">
        <f t="shared" si="227"/>
        <v>0</v>
      </c>
      <c r="SN153" s="131">
        <f t="shared" si="228"/>
        <v>323080</v>
      </c>
      <c r="SO153" s="131">
        <f t="shared" si="229"/>
        <v>18000</v>
      </c>
      <c r="SP153" s="132">
        <f t="shared" si="230"/>
        <v>0</v>
      </c>
      <c r="SQ153" s="132">
        <f t="shared" si="231"/>
        <v>18000</v>
      </c>
      <c r="SR153" s="132">
        <f t="shared" si="232"/>
        <v>6000</v>
      </c>
      <c r="SS153" s="132">
        <f t="shared" si="233"/>
        <v>25000</v>
      </c>
      <c r="ST153" s="132">
        <f t="shared" si="234"/>
        <v>0</v>
      </c>
      <c r="SU153" s="132">
        <f t="shared" si="235"/>
        <v>41600</v>
      </c>
      <c r="SV153" s="131">
        <f t="shared" si="236"/>
        <v>232480</v>
      </c>
      <c r="SW153" s="132">
        <f t="shared" si="237"/>
        <v>50000</v>
      </c>
      <c r="SX153" s="132">
        <f t="shared" si="238"/>
        <v>13000</v>
      </c>
      <c r="SY153" s="132">
        <f t="shared" si="239"/>
        <v>45480</v>
      </c>
      <c r="SZ153" s="132">
        <f t="shared" si="240"/>
        <v>30000</v>
      </c>
      <c r="TA153" s="132">
        <f t="shared" si="241"/>
        <v>52000</v>
      </c>
      <c r="TB153" s="132">
        <f t="shared" si="242"/>
        <v>0</v>
      </c>
      <c r="TC153" s="132">
        <f t="shared" si="243"/>
        <v>10000</v>
      </c>
      <c r="TD153" s="132">
        <f t="shared" si="244"/>
        <v>0</v>
      </c>
      <c r="TE153" s="132">
        <f t="shared" si="245"/>
        <v>0</v>
      </c>
      <c r="TF153" s="132">
        <f t="shared" si="246"/>
        <v>32000</v>
      </c>
      <c r="TG153" s="132">
        <f t="shared" si="247"/>
        <v>0</v>
      </c>
      <c r="TH153" s="132">
        <f t="shared" si="248"/>
        <v>0</v>
      </c>
      <c r="TI153" s="1"/>
      <c r="TJ153" s="131">
        <f t="shared" si="249"/>
        <v>1464826</v>
      </c>
      <c r="TK153" s="131">
        <f t="shared" si="250"/>
        <v>1464826</v>
      </c>
      <c r="TL153" s="131">
        <f t="shared" si="251"/>
        <v>1309616</v>
      </c>
      <c r="TM153" s="132">
        <f t="shared" si="252"/>
        <v>1198016</v>
      </c>
      <c r="TN153" s="132">
        <f t="shared" si="253"/>
        <v>0</v>
      </c>
      <c r="TO153" s="132">
        <f t="shared" si="254"/>
        <v>111600</v>
      </c>
      <c r="TP153" s="132">
        <f t="shared" si="255"/>
        <v>0</v>
      </c>
      <c r="TQ153" s="131">
        <f t="shared" si="256"/>
        <v>155210</v>
      </c>
      <c r="TR153" s="131">
        <f t="shared" si="257"/>
        <v>12000</v>
      </c>
      <c r="TS153" s="132">
        <f t="shared" si="258"/>
        <v>0</v>
      </c>
      <c r="TT153" s="132">
        <f t="shared" si="259"/>
        <v>12000</v>
      </c>
      <c r="TU153" s="132">
        <f t="shared" si="260"/>
        <v>0</v>
      </c>
      <c r="TV153" s="132">
        <f t="shared" si="261"/>
        <v>5450</v>
      </c>
      <c r="TW153" s="132">
        <f t="shared" si="262"/>
        <v>0</v>
      </c>
      <c r="TX153" s="132">
        <f t="shared" si="263"/>
        <v>13600</v>
      </c>
      <c r="TY153" s="131">
        <f t="shared" si="264"/>
        <v>124160</v>
      </c>
      <c r="TZ153" s="132">
        <f t="shared" si="265"/>
        <v>50000</v>
      </c>
      <c r="UA153" s="132">
        <f t="shared" si="266"/>
        <v>13000</v>
      </c>
      <c r="UB153" s="132">
        <f t="shared" si="267"/>
        <v>15160</v>
      </c>
      <c r="UC153" s="132">
        <f t="shared" si="268"/>
        <v>0</v>
      </c>
      <c r="UD153" s="132">
        <f t="shared" si="269"/>
        <v>24000</v>
      </c>
      <c r="UE153" s="132">
        <f t="shared" si="270"/>
        <v>0</v>
      </c>
      <c r="UF153" s="132">
        <f t="shared" si="271"/>
        <v>10000</v>
      </c>
      <c r="UG153" s="132">
        <f t="shared" si="272"/>
        <v>0</v>
      </c>
      <c r="UH153" s="132">
        <f t="shared" si="273"/>
        <v>0</v>
      </c>
      <c r="UI153" s="132">
        <f t="shared" si="274"/>
        <v>12000</v>
      </c>
      <c r="UJ153" s="132">
        <f t="shared" si="275"/>
        <v>0</v>
      </c>
      <c r="UK153" s="132">
        <f t="shared" si="276"/>
        <v>0</v>
      </c>
      <c r="UL153" s="132">
        <f t="shared" si="311"/>
        <v>1464826</v>
      </c>
      <c r="UM153" s="131">
        <f t="shared" si="277"/>
        <v>1464826</v>
      </c>
      <c r="UN153" s="131">
        <f t="shared" si="278"/>
        <v>1464826</v>
      </c>
      <c r="UO153" s="131">
        <f t="shared" si="279"/>
        <v>1309616</v>
      </c>
      <c r="UP153" s="132">
        <f t="shared" si="280"/>
        <v>1198016</v>
      </c>
      <c r="UQ153" s="132">
        <f t="shared" si="281"/>
        <v>0</v>
      </c>
      <c r="UR153" s="132">
        <f t="shared" si="282"/>
        <v>111600</v>
      </c>
      <c r="US153" s="132">
        <f t="shared" si="283"/>
        <v>0</v>
      </c>
      <c r="UT153" s="131">
        <f t="shared" si="284"/>
        <v>155210</v>
      </c>
      <c r="UU153" s="131">
        <f t="shared" si="285"/>
        <v>12000</v>
      </c>
      <c r="UV153" s="132">
        <f t="shared" si="286"/>
        <v>0</v>
      </c>
      <c r="UW153" s="132">
        <f t="shared" si="287"/>
        <v>12000</v>
      </c>
      <c r="UX153" s="132">
        <f t="shared" si="288"/>
        <v>0</v>
      </c>
      <c r="UY153" s="132">
        <f t="shared" si="289"/>
        <v>5450</v>
      </c>
      <c r="UZ153" s="132">
        <f t="shared" si="290"/>
        <v>0</v>
      </c>
      <c r="VA153" s="132">
        <f t="shared" si="291"/>
        <v>13600</v>
      </c>
      <c r="VB153" s="131">
        <f t="shared" si="292"/>
        <v>124160</v>
      </c>
      <c r="VC153" s="132">
        <f t="shared" si="293"/>
        <v>50000</v>
      </c>
      <c r="VD153" s="132">
        <f t="shared" si="294"/>
        <v>13000</v>
      </c>
      <c r="VE153" s="132">
        <f t="shared" si="295"/>
        <v>15160</v>
      </c>
      <c r="VF153" s="132">
        <f t="shared" si="296"/>
        <v>0</v>
      </c>
      <c r="VG153" s="132">
        <f t="shared" si="297"/>
        <v>24000</v>
      </c>
      <c r="VH153" s="132">
        <f t="shared" si="298"/>
        <v>0</v>
      </c>
      <c r="VI153" s="132">
        <f t="shared" si="299"/>
        <v>10000</v>
      </c>
      <c r="VJ153" s="132">
        <f t="shared" si="300"/>
        <v>0</v>
      </c>
      <c r="VK153" s="132">
        <f t="shared" si="301"/>
        <v>0</v>
      </c>
      <c r="VL153" s="132">
        <f t="shared" si="302"/>
        <v>12000</v>
      </c>
      <c r="VM153" s="132">
        <f t="shared" si="303"/>
        <v>0</v>
      </c>
      <c r="VN153" s="132">
        <f t="shared" si="304"/>
        <v>0</v>
      </c>
      <c r="VP153" s="845" t="str">
        <f>IFERROR(HLOOKUP(F153,'Hodnocení '!$C$1:$JH$5,2,FALSE),0)</f>
        <v>Sociální rehabilitace Hořice</v>
      </c>
      <c r="VQ153" s="838"/>
      <c r="VR153" s="845" t="str">
        <f t="shared" si="312"/>
        <v>Spolek</v>
      </c>
      <c r="VS153" s="845" t="str">
        <f>IFERROR(HLOOKUP(F153,'Hodnocení '!$C$1:$JH$5,5,FALSE),0)</f>
        <v>NZO</v>
      </c>
      <c r="VT153" s="838">
        <f t="shared" si="313"/>
        <v>0</v>
      </c>
      <c r="VU153" s="838">
        <f t="shared" si="314"/>
        <v>0</v>
      </c>
      <c r="VV153" s="838">
        <f t="shared" si="315"/>
        <v>0</v>
      </c>
      <c r="VW153" s="838">
        <f t="shared" si="316"/>
        <v>0</v>
      </c>
      <c r="VX153" s="838"/>
      <c r="VY153" s="838">
        <f t="shared" si="317"/>
        <v>0</v>
      </c>
      <c r="VZ153" s="838">
        <f t="shared" si="318"/>
        <v>1464826</v>
      </c>
      <c r="WA153" s="846">
        <f>IFERROR(HLOOKUP($F153,'Hodnocení '!$C$1:$JH$9,9,FALSE),0)</f>
        <v>1464826</v>
      </c>
      <c r="WB153" s="846">
        <f>IF(IFERROR(HLOOKUP($F153,'Hodnocení '!$C$1:$JH$13,13,FALSE),0)&gt;WA153,WA153,IFERROR(HLOOKUP($F153,'Hodnocení '!$C$1:$JH$13,13,FALSE),0))</f>
        <v>1464826</v>
      </c>
      <c r="WC153" s="846">
        <f>IFERROR(HLOOKUP($F153,'Hodnocení '!$C$1:$JH$155,155,FALSE),0)</f>
        <v>1464820</v>
      </c>
      <c r="WD153" s="845"/>
      <c r="WE153" s="845"/>
      <c r="WF153" s="845" t="str">
        <f t="shared" si="305"/>
        <v>ANO</v>
      </c>
      <c r="WG153" s="849" t="str">
        <f t="shared" si="218"/>
        <v>Podpora služby je vyjádřena zařazením do sítě sociálních služeb v KHK a řešením financování služby</v>
      </c>
      <c r="WH153"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53" s="849" t="str">
        <f t="shared" si="218"/>
        <v>Návrh dotace je výsledkem projednání s ostatními zadavateli v rámci sítě služeb KHK</v>
      </c>
      <c r="WJ153" s="849" t="str">
        <f t="shared" si="218"/>
        <v>Bez komentáře</v>
      </c>
      <c r="WK153" s="31">
        <f t="shared" si="306"/>
        <v>0</v>
      </c>
      <c r="WL153" s="850">
        <f t="shared" si="307"/>
        <v>0</v>
      </c>
      <c r="WM153" s="849">
        <f t="shared" si="308"/>
        <v>0</v>
      </c>
      <c r="WN153" s="849">
        <f t="shared" si="309"/>
        <v>0</v>
      </c>
      <c r="WO153" s="849" t="str">
        <f t="shared" si="319"/>
        <v>bez komentáře</v>
      </c>
      <c r="WP153" s="849" t="str">
        <f t="shared" si="319"/>
        <v>bez komentáře</v>
      </c>
      <c r="WQ153" s="849" t="str">
        <f t="shared" si="319"/>
        <v>Konečná výše dotace z rozpočtu KHK bude řešena v návaznosti na řešení podílů jednotlivých zadavatelů.</v>
      </c>
      <c r="WR153" s="849" t="str">
        <f t="shared" si="319"/>
        <v>Konečná výše podpory ze stran obcí bude řešena v součinnosti s jednotlivými zadavateli v průběhu roku.</v>
      </c>
      <c r="WS153" s="849" t="str">
        <f t="shared" si="319"/>
        <v>bez komentáře</v>
      </c>
      <c r="WT153" s="849" t="str">
        <f t="shared" si="319"/>
        <v>bez komentáře</v>
      </c>
      <c r="WU153" s="845"/>
    </row>
    <row r="154" spans="1:619" s="128" customFormat="1" x14ac:dyDescent="0.25">
      <c r="A154" s="128" t="str">
        <f>VLOOKUP(F154,'Výpočet VP 2020'!$D$324:$I$588,6,FALSE)</f>
        <v>Je v síti</v>
      </c>
      <c r="B154" s="128" t="s">
        <v>718</v>
      </c>
      <c r="C154" s="128">
        <v>3087379</v>
      </c>
      <c r="D154" s="128" t="s">
        <v>719</v>
      </c>
      <c r="E154" s="128" t="s">
        <v>272</v>
      </c>
      <c r="F154" s="128">
        <v>2757263</v>
      </c>
      <c r="G154" s="128" t="s">
        <v>720</v>
      </c>
      <c r="H154" s="128" t="s">
        <v>230</v>
      </c>
      <c r="I154" s="128" t="s">
        <v>721</v>
      </c>
      <c r="J154" s="129">
        <v>42005</v>
      </c>
      <c r="L154" s="128" t="s">
        <v>220</v>
      </c>
      <c r="X154" s="128" t="s">
        <v>722</v>
      </c>
      <c r="Z154" s="128">
        <v>25</v>
      </c>
      <c r="AA154" s="128">
        <v>9</v>
      </c>
      <c r="AB154" s="128">
        <v>78</v>
      </c>
      <c r="AC154" s="128">
        <v>51</v>
      </c>
      <c r="AD154" s="128">
        <v>50</v>
      </c>
      <c r="AI154" s="128">
        <v>3</v>
      </c>
      <c r="AK154" s="128">
        <v>792</v>
      </c>
      <c r="AL154" s="128">
        <v>568</v>
      </c>
      <c r="AM154" s="128">
        <v>502</v>
      </c>
      <c r="AP154" s="128" t="s">
        <v>722</v>
      </c>
      <c r="AQ154" s="128">
        <v>25</v>
      </c>
      <c r="AR154" s="128">
        <v>9</v>
      </c>
      <c r="AS154" s="128">
        <v>78</v>
      </c>
      <c r="AT154" s="128">
        <v>51</v>
      </c>
      <c r="AU154" s="128">
        <v>50</v>
      </c>
      <c r="BE154" s="128">
        <v>3</v>
      </c>
      <c r="BG154" s="128">
        <v>792</v>
      </c>
      <c r="BH154" s="128">
        <v>568</v>
      </c>
      <c r="BI154" s="128">
        <v>430</v>
      </c>
      <c r="BK154" s="128" t="s">
        <v>723</v>
      </c>
      <c r="BL154" s="128" t="s">
        <v>724</v>
      </c>
      <c r="BM154" s="128" t="s">
        <v>340</v>
      </c>
      <c r="BN154" s="128" t="s">
        <v>347</v>
      </c>
      <c r="EK154" s="128">
        <v>1</v>
      </c>
      <c r="EL154" s="128">
        <v>0.2</v>
      </c>
      <c r="EM154" s="128">
        <v>0.3</v>
      </c>
      <c r="EN154" s="128">
        <v>93800</v>
      </c>
      <c r="EO154" s="128">
        <v>77800</v>
      </c>
      <c r="FE154" s="128">
        <v>1</v>
      </c>
      <c r="FF154" s="128">
        <v>0.3</v>
      </c>
      <c r="FG154" s="128">
        <v>0</v>
      </c>
      <c r="FH154" s="128">
        <v>159000</v>
      </c>
      <c r="FI154" s="128">
        <v>132000</v>
      </c>
      <c r="FJ154" s="128">
        <v>4</v>
      </c>
      <c r="FK154" s="128">
        <v>0.85</v>
      </c>
      <c r="FL154" s="128">
        <v>0.85</v>
      </c>
      <c r="FM154" s="128">
        <v>466400</v>
      </c>
      <c r="FN154" s="128">
        <v>387100</v>
      </c>
      <c r="FO154" s="128">
        <v>4</v>
      </c>
      <c r="FP154" s="128">
        <v>0.55000000000000004</v>
      </c>
      <c r="FQ154" s="128">
        <v>0</v>
      </c>
      <c r="FR154" s="128">
        <v>267200</v>
      </c>
      <c r="FS154" s="128">
        <v>216400</v>
      </c>
      <c r="IH154" s="128">
        <v>1</v>
      </c>
      <c r="II154" s="128">
        <v>0.11</v>
      </c>
      <c r="IJ154" s="128">
        <v>12</v>
      </c>
      <c r="IK154" s="128">
        <v>0.11</v>
      </c>
      <c r="IL154" s="128">
        <v>68000</v>
      </c>
      <c r="IM154" s="128">
        <v>54700</v>
      </c>
      <c r="IS154" s="128">
        <v>2</v>
      </c>
      <c r="IT154" s="128">
        <v>82</v>
      </c>
      <c r="IU154" s="128">
        <v>3.9E-2</v>
      </c>
      <c r="IV154" s="128">
        <v>7600</v>
      </c>
      <c r="IW154" s="128">
        <v>6200</v>
      </c>
      <c r="KG154" s="128">
        <v>0</v>
      </c>
      <c r="KI154" s="128">
        <v>1.35</v>
      </c>
      <c r="KJ154" s="128">
        <v>0</v>
      </c>
      <c r="KK154" s="128">
        <v>0</v>
      </c>
      <c r="KL154" s="128">
        <v>0</v>
      </c>
      <c r="KM154" s="128">
        <v>1.35</v>
      </c>
      <c r="KN154" s="128">
        <v>986400</v>
      </c>
      <c r="KO154" s="128">
        <v>813300</v>
      </c>
      <c r="KP154" s="128">
        <v>813300</v>
      </c>
      <c r="KT154" s="128">
        <v>68000</v>
      </c>
      <c r="KU154" s="128">
        <v>54700</v>
      </c>
      <c r="KV154" s="128">
        <v>54700</v>
      </c>
      <c r="KZ154" s="128">
        <v>7600</v>
      </c>
      <c r="LA154" s="128">
        <v>6200</v>
      </c>
      <c r="LB154" s="128">
        <v>6200</v>
      </c>
      <c r="LF154" s="128">
        <v>0</v>
      </c>
      <c r="LG154" s="128">
        <v>0</v>
      </c>
      <c r="LH154" s="128">
        <v>0</v>
      </c>
      <c r="LL154" s="128">
        <v>0</v>
      </c>
      <c r="LM154" s="128">
        <v>0</v>
      </c>
      <c r="LN154" s="128">
        <v>0</v>
      </c>
      <c r="LR154" s="128">
        <v>20000</v>
      </c>
      <c r="LS154" s="128">
        <v>16200</v>
      </c>
      <c r="LT154" s="128">
        <v>16200</v>
      </c>
      <c r="LX154" s="128">
        <v>3000</v>
      </c>
      <c r="LY154" s="128">
        <v>2400</v>
      </c>
      <c r="LZ154" s="128">
        <v>2400</v>
      </c>
      <c r="MD154" s="128">
        <v>5000</v>
      </c>
      <c r="ME154" s="128">
        <v>4100</v>
      </c>
      <c r="MF154" s="128">
        <v>4100</v>
      </c>
      <c r="MJ154" s="128">
        <v>0</v>
      </c>
      <c r="MK154" s="128">
        <v>0</v>
      </c>
      <c r="ML154" s="128">
        <v>0</v>
      </c>
      <c r="MP154" s="128">
        <v>10000</v>
      </c>
      <c r="MQ154" s="128">
        <v>8100</v>
      </c>
      <c r="MR154" s="128">
        <v>8100</v>
      </c>
      <c r="MV154" s="128">
        <v>30000</v>
      </c>
      <c r="MW154" s="128">
        <v>24800</v>
      </c>
      <c r="MX154" s="128">
        <v>24800</v>
      </c>
      <c r="NB154" s="128">
        <v>14000</v>
      </c>
      <c r="NC154" s="128">
        <v>11000</v>
      </c>
      <c r="ND154" s="128">
        <v>11000</v>
      </c>
      <c r="NH154" s="128">
        <v>44000</v>
      </c>
      <c r="NI154" s="128">
        <v>40300</v>
      </c>
      <c r="NJ154" s="128">
        <v>40300</v>
      </c>
      <c r="NN154" s="128">
        <v>40000</v>
      </c>
      <c r="NO154" s="128">
        <v>36000</v>
      </c>
      <c r="NP154" s="128">
        <v>36000</v>
      </c>
      <c r="NT154" s="128">
        <v>35000</v>
      </c>
      <c r="NU154" s="128">
        <v>29000</v>
      </c>
      <c r="NV154" s="128">
        <v>29000</v>
      </c>
      <c r="NZ154" s="128">
        <v>4000</v>
      </c>
      <c r="OA154" s="128">
        <v>3200</v>
      </c>
      <c r="OB154" s="128">
        <v>3200</v>
      </c>
      <c r="OF154" s="128">
        <v>15000</v>
      </c>
      <c r="OG154" s="128">
        <v>13100</v>
      </c>
      <c r="OH154" s="128">
        <v>13100</v>
      </c>
      <c r="OL154" s="128">
        <v>0</v>
      </c>
      <c r="OM154" s="128">
        <v>0</v>
      </c>
      <c r="ON154" s="128">
        <v>0</v>
      </c>
      <c r="OR154" s="128">
        <v>0</v>
      </c>
      <c r="OS154" s="128">
        <v>0</v>
      </c>
      <c r="OT154" s="128">
        <v>0</v>
      </c>
      <c r="OX154" s="128">
        <v>12000</v>
      </c>
      <c r="OY154" s="128">
        <v>9600</v>
      </c>
      <c r="OZ154" s="128">
        <v>9600</v>
      </c>
      <c r="PD154" s="128">
        <v>0</v>
      </c>
      <c r="PE154" s="128">
        <v>0</v>
      </c>
      <c r="PF154" s="128">
        <v>0</v>
      </c>
      <c r="PJ154" s="128">
        <v>0</v>
      </c>
      <c r="PK154" s="128">
        <v>0</v>
      </c>
      <c r="PL154" s="128">
        <v>0</v>
      </c>
      <c r="PP154" s="128">
        <v>1294000</v>
      </c>
      <c r="PQ154" s="128">
        <v>1072000</v>
      </c>
      <c r="PR154" s="128">
        <v>1072000</v>
      </c>
      <c r="PS154" s="128">
        <v>100</v>
      </c>
      <c r="PT154" s="128">
        <v>100</v>
      </c>
      <c r="PX154" s="128">
        <v>616752</v>
      </c>
      <c r="PY154" s="128">
        <v>762010</v>
      </c>
      <c r="PZ154" s="128">
        <v>1072000</v>
      </c>
      <c r="QA154" s="128">
        <v>0</v>
      </c>
      <c r="QB154" s="128">
        <v>0</v>
      </c>
      <c r="QC154" s="128">
        <v>0</v>
      </c>
      <c r="QD154" s="128">
        <v>0</v>
      </c>
      <c r="QE154" s="128">
        <v>0</v>
      </c>
      <c r="QF154" s="128">
        <v>0</v>
      </c>
      <c r="QG154" s="128">
        <v>0</v>
      </c>
      <c r="QH154" s="128">
        <v>0</v>
      </c>
      <c r="QI154" s="128">
        <v>0</v>
      </c>
      <c r="QJ154" s="128">
        <v>0</v>
      </c>
      <c r="QK154" s="128">
        <v>0</v>
      </c>
      <c r="QL154" s="128">
        <v>0</v>
      </c>
      <c r="QN154" s="128">
        <v>0</v>
      </c>
      <c r="QO154" s="128">
        <v>0</v>
      </c>
      <c r="QP154" s="128">
        <v>0</v>
      </c>
      <c r="QX154" s="128">
        <v>151000</v>
      </c>
      <c r="QY154" s="128">
        <v>140000</v>
      </c>
      <c r="QZ154" s="128">
        <v>222000</v>
      </c>
      <c r="RH154" s="128">
        <f t="shared" si="310"/>
        <v>1294000</v>
      </c>
      <c r="RI154" s="128">
        <v>0</v>
      </c>
      <c r="RM154" s="128" t="s">
        <v>220</v>
      </c>
      <c r="RU154" s="130"/>
      <c r="RV154" s="130"/>
      <c r="RW154" s="130"/>
      <c r="RX154" s="130"/>
      <c r="SF154" s="128">
        <f t="shared" si="220"/>
        <v>2757263</v>
      </c>
      <c r="SG154" s="131">
        <f t="shared" si="221"/>
        <v>1294000</v>
      </c>
      <c r="SH154" s="131">
        <f t="shared" si="222"/>
        <v>1294000</v>
      </c>
      <c r="SI154" s="131">
        <f t="shared" si="223"/>
        <v>1062000</v>
      </c>
      <c r="SJ154" s="132">
        <f t="shared" si="224"/>
        <v>986400</v>
      </c>
      <c r="SK154" s="132">
        <f t="shared" si="225"/>
        <v>68000</v>
      </c>
      <c r="SL154" s="132">
        <f t="shared" si="226"/>
        <v>7600</v>
      </c>
      <c r="SM154" s="132">
        <f t="shared" si="227"/>
        <v>0</v>
      </c>
      <c r="SN154" s="131">
        <f t="shared" si="228"/>
        <v>232000</v>
      </c>
      <c r="SO154" s="131">
        <f t="shared" si="229"/>
        <v>20000</v>
      </c>
      <c r="SP154" s="132">
        <f t="shared" si="230"/>
        <v>0</v>
      </c>
      <c r="SQ154" s="132">
        <f t="shared" si="231"/>
        <v>20000</v>
      </c>
      <c r="SR154" s="132">
        <f t="shared" si="232"/>
        <v>3000</v>
      </c>
      <c r="SS154" s="132">
        <f t="shared" si="233"/>
        <v>5000</v>
      </c>
      <c r="ST154" s="132">
        <f t="shared" si="234"/>
        <v>0</v>
      </c>
      <c r="SU154" s="132">
        <f t="shared" si="235"/>
        <v>10000</v>
      </c>
      <c r="SV154" s="131">
        <f t="shared" si="236"/>
        <v>194000</v>
      </c>
      <c r="SW154" s="132">
        <f t="shared" si="237"/>
        <v>30000</v>
      </c>
      <c r="SX154" s="132">
        <f t="shared" si="238"/>
        <v>14000</v>
      </c>
      <c r="SY154" s="132">
        <f t="shared" si="239"/>
        <v>44000</v>
      </c>
      <c r="SZ154" s="132">
        <f t="shared" si="240"/>
        <v>40000</v>
      </c>
      <c r="TA154" s="132">
        <f t="shared" si="241"/>
        <v>35000</v>
      </c>
      <c r="TB154" s="132">
        <f t="shared" si="242"/>
        <v>4000</v>
      </c>
      <c r="TC154" s="132">
        <f t="shared" si="243"/>
        <v>15000</v>
      </c>
      <c r="TD154" s="132">
        <f t="shared" si="244"/>
        <v>0</v>
      </c>
      <c r="TE154" s="132">
        <f t="shared" si="245"/>
        <v>0</v>
      </c>
      <c r="TF154" s="132">
        <f t="shared" si="246"/>
        <v>12000</v>
      </c>
      <c r="TG154" s="132">
        <f t="shared" si="247"/>
        <v>0</v>
      </c>
      <c r="TH154" s="132">
        <f t="shared" si="248"/>
        <v>0</v>
      </c>
      <c r="TI154" s="1"/>
      <c r="TJ154" s="131">
        <f t="shared" si="249"/>
        <v>1072000</v>
      </c>
      <c r="TK154" s="131">
        <f t="shared" si="250"/>
        <v>1072000</v>
      </c>
      <c r="TL154" s="131">
        <f t="shared" si="251"/>
        <v>874200</v>
      </c>
      <c r="TM154" s="132">
        <f t="shared" si="252"/>
        <v>813300</v>
      </c>
      <c r="TN154" s="132">
        <f t="shared" si="253"/>
        <v>54700</v>
      </c>
      <c r="TO154" s="132">
        <f t="shared" si="254"/>
        <v>6200</v>
      </c>
      <c r="TP154" s="132">
        <f t="shared" si="255"/>
        <v>0</v>
      </c>
      <c r="TQ154" s="131">
        <f t="shared" si="256"/>
        <v>197800</v>
      </c>
      <c r="TR154" s="131">
        <f t="shared" si="257"/>
        <v>16200</v>
      </c>
      <c r="TS154" s="132">
        <f t="shared" si="258"/>
        <v>0</v>
      </c>
      <c r="TT154" s="132">
        <f t="shared" si="259"/>
        <v>16200</v>
      </c>
      <c r="TU154" s="132">
        <f t="shared" si="260"/>
        <v>2400</v>
      </c>
      <c r="TV154" s="132">
        <f t="shared" si="261"/>
        <v>4100</v>
      </c>
      <c r="TW154" s="132">
        <f t="shared" si="262"/>
        <v>0</v>
      </c>
      <c r="TX154" s="132">
        <f t="shared" si="263"/>
        <v>8100</v>
      </c>
      <c r="TY154" s="131">
        <f t="shared" si="264"/>
        <v>167000</v>
      </c>
      <c r="TZ154" s="132">
        <f t="shared" si="265"/>
        <v>24800</v>
      </c>
      <c r="UA154" s="132">
        <f t="shared" si="266"/>
        <v>11000</v>
      </c>
      <c r="UB154" s="132">
        <f t="shared" si="267"/>
        <v>40300</v>
      </c>
      <c r="UC154" s="132">
        <f t="shared" si="268"/>
        <v>36000</v>
      </c>
      <c r="UD154" s="132">
        <f t="shared" si="269"/>
        <v>29000</v>
      </c>
      <c r="UE154" s="132">
        <f t="shared" si="270"/>
        <v>3200</v>
      </c>
      <c r="UF154" s="132">
        <f t="shared" si="271"/>
        <v>13100</v>
      </c>
      <c r="UG154" s="132">
        <f t="shared" si="272"/>
        <v>0</v>
      </c>
      <c r="UH154" s="132">
        <f t="shared" si="273"/>
        <v>0</v>
      </c>
      <c r="UI154" s="132">
        <f t="shared" si="274"/>
        <v>9600</v>
      </c>
      <c r="UJ154" s="132">
        <f t="shared" si="275"/>
        <v>0</v>
      </c>
      <c r="UK154" s="132">
        <f t="shared" si="276"/>
        <v>0</v>
      </c>
      <c r="UL154" s="132">
        <f t="shared" si="311"/>
        <v>1072000</v>
      </c>
      <c r="UM154" s="131">
        <f t="shared" si="277"/>
        <v>1072000</v>
      </c>
      <c r="UN154" s="131">
        <f t="shared" si="278"/>
        <v>1072000</v>
      </c>
      <c r="UO154" s="131">
        <f t="shared" si="279"/>
        <v>874200</v>
      </c>
      <c r="UP154" s="132">
        <f t="shared" si="280"/>
        <v>813300</v>
      </c>
      <c r="UQ154" s="132">
        <f t="shared" si="281"/>
        <v>54700</v>
      </c>
      <c r="UR154" s="132">
        <f t="shared" si="282"/>
        <v>6200</v>
      </c>
      <c r="US154" s="132">
        <f t="shared" si="283"/>
        <v>0</v>
      </c>
      <c r="UT154" s="131">
        <f t="shared" si="284"/>
        <v>197800</v>
      </c>
      <c r="UU154" s="131">
        <f t="shared" si="285"/>
        <v>16200</v>
      </c>
      <c r="UV154" s="132">
        <f t="shared" si="286"/>
        <v>0</v>
      </c>
      <c r="UW154" s="132">
        <f t="shared" si="287"/>
        <v>16200</v>
      </c>
      <c r="UX154" s="132">
        <f t="shared" si="288"/>
        <v>2400</v>
      </c>
      <c r="UY154" s="132">
        <f t="shared" si="289"/>
        <v>4100</v>
      </c>
      <c r="UZ154" s="132">
        <f t="shared" si="290"/>
        <v>0</v>
      </c>
      <c r="VA154" s="132">
        <f t="shared" si="291"/>
        <v>8100</v>
      </c>
      <c r="VB154" s="131">
        <f t="shared" si="292"/>
        <v>167000</v>
      </c>
      <c r="VC154" s="132">
        <f t="shared" si="293"/>
        <v>24800</v>
      </c>
      <c r="VD154" s="132">
        <f t="shared" si="294"/>
        <v>11000</v>
      </c>
      <c r="VE154" s="132">
        <f t="shared" si="295"/>
        <v>40300</v>
      </c>
      <c r="VF154" s="132">
        <f t="shared" si="296"/>
        <v>36000</v>
      </c>
      <c r="VG154" s="132">
        <f t="shared" si="297"/>
        <v>29000</v>
      </c>
      <c r="VH154" s="132">
        <f t="shared" si="298"/>
        <v>3200</v>
      </c>
      <c r="VI154" s="132">
        <f t="shared" si="299"/>
        <v>13100</v>
      </c>
      <c r="VJ154" s="132">
        <f t="shared" si="300"/>
        <v>0</v>
      </c>
      <c r="VK154" s="132">
        <f t="shared" si="301"/>
        <v>0</v>
      </c>
      <c r="VL154" s="132">
        <f t="shared" si="302"/>
        <v>9600</v>
      </c>
      <c r="VM154" s="132">
        <f t="shared" si="303"/>
        <v>0</v>
      </c>
      <c r="VN154" s="132">
        <f t="shared" si="304"/>
        <v>0</v>
      </c>
      <c r="VP154" s="845" t="str">
        <f>IFERROR(HLOOKUP(F154,'Hodnocení '!$C$1:$JH$5,2,FALSE),0)</f>
        <v>Dětské krizové centrum NOMIA</v>
      </c>
      <c r="VQ154" s="838"/>
      <c r="VR154" s="845" t="str">
        <f t="shared" si="312"/>
        <v>Ústav</v>
      </c>
      <c r="VS154" s="845" t="str">
        <f>IFERROR(HLOOKUP(F154,'Hodnocení '!$C$1:$JH$5,5,FALSE),0)</f>
        <v>NZO</v>
      </c>
      <c r="VT154" s="838">
        <f t="shared" si="313"/>
        <v>0</v>
      </c>
      <c r="VU154" s="838">
        <f t="shared" si="314"/>
        <v>0</v>
      </c>
      <c r="VV154" s="838">
        <f t="shared" si="315"/>
        <v>0</v>
      </c>
      <c r="VW154" s="838">
        <f t="shared" si="316"/>
        <v>0</v>
      </c>
      <c r="VX154" s="838"/>
      <c r="VY154" s="838">
        <f t="shared" si="317"/>
        <v>0</v>
      </c>
      <c r="VZ154" s="838">
        <f t="shared" si="318"/>
        <v>1072000</v>
      </c>
      <c r="WA154" s="846">
        <f>IFERROR(HLOOKUP($F154,'Hodnocení '!$C$1:$JH$9,9,FALSE),0)</f>
        <v>1072000</v>
      </c>
      <c r="WB154" s="846">
        <f>IF(IFERROR(HLOOKUP($F154,'Hodnocení '!$C$1:$JH$13,13,FALSE),0)&gt;WA154,WA154,IFERROR(HLOOKUP($F154,'Hodnocení '!$C$1:$JH$13,13,FALSE),0))</f>
        <v>1072000</v>
      </c>
      <c r="WC154" s="846">
        <f>IFERROR(HLOOKUP($F154,'Hodnocení '!$C$1:$JH$155,155,FALSE),0)</f>
        <v>979330</v>
      </c>
      <c r="WD154" s="845"/>
      <c r="WE154" s="845"/>
      <c r="WF154" s="845" t="str">
        <f t="shared" si="305"/>
        <v>ANO</v>
      </c>
      <c r="WG154" s="849" t="str">
        <f t="shared" si="218"/>
        <v>Podpora služby je vyjádřena zařazením do sítě sociálních služeb v KHK a řešením financování služby</v>
      </c>
      <c r="WH154" s="849" t="str">
        <f t="shared" si="218"/>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54" s="849" t="str">
        <f t="shared" si="218"/>
        <v>Návrh dotace je výsledkem projednání s ostatními zadavateli v rámci sítě služeb KHK</v>
      </c>
      <c r="WJ154" s="849" t="str">
        <f t="shared" si="218"/>
        <v>Bez komentáře</v>
      </c>
      <c r="WK154" s="31">
        <f t="shared" si="306"/>
        <v>0</v>
      </c>
      <c r="WL154" s="850">
        <f t="shared" si="307"/>
        <v>0</v>
      </c>
      <c r="WM154" s="849">
        <f t="shared" si="308"/>
        <v>0</v>
      </c>
      <c r="WN154" s="849">
        <f t="shared" si="309"/>
        <v>0</v>
      </c>
      <c r="WO154" s="849" t="str">
        <f t="shared" si="319"/>
        <v>bez komentáře</v>
      </c>
      <c r="WP154" s="849" t="str">
        <f t="shared" si="319"/>
        <v>bez komentáře</v>
      </c>
      <c r="WQ154" s="849" t="str">
        <f t="shared" si="319"/>
        <v>Konečná výše dotace z rozpočtu KHK bude řešena v návaznosti na řešení podílů jednotlivých zadavatelů.</v>
      </c>
      <c r="WR154" s="849" t="str">
        <f t="shared" si="319"/>
        <v>Konečná výše podpory ze stran obcí bude řešena v součinnosti s jednotlivými zadavateli v průběhu roku.</v>
      </c>
      <c r="WS154" s="849" t="str">
        <f t="shared" si="319"/>
        <v>bez komentáře</v>
      </c>
      <c r="WT154" s="849" t="str">
        <f t="shared" si="319"/>
        <v>bez komentáře</v>
      </c>
      <c r="WU154" s="845"/>
    </row>
    <row r="155" spans="1:619" s="128" customFormat="1" x14ac:dyDescent="0.25">
      <c r="A155" s="128" t="str">
        <f>VLOOKUP(F155,'Výpočet VP 2020'!$D$324:$I$588,6,FALSE)</f>
        <v>Je v síti</v>
      </c>
      <c r="B155" s="128" t="s">
        <v>718</v>
      </c>
      <c r="C155" s="128">
        <v>3087379</v>
      </c>
      <c r="D155" s="128" t="s">
        <v>719</v>
      </c>
      <c r="E155" s="128" t="s">
        <v>272</v>
      </c>
      <c r="F155" s="128">
        <v>5133257</v>
      </c>
      <c r="G155" s="128" t="s">
        <v>292</v>
      </c>
      <c r="H155" s="128" t="s">
        <v>293</v>
      </c>
      <c r="I155" s="128" t="s">
        <v>725</v>
      </c>
      <c r="J155" s="129">
        <v>42005</v>
      </c>
      <c r="L155" s="128" t="s">
        <v>220</v>
      </c>
      <c r="X155" s="128" t="s">
        <v>726</v>
      </c>
      <c r="AI155" s="128">
        <v>4</v>
      </c>
      <c r="AJ155" s="128">
        <v>36</v>
      </c>
      <c r="AK155" s="128">
        <v>683</v>
      </c>
      <c r="AL155" s="128">
        <v>697</v>
      </c>
      <c r="AM155" s="128">
        <v>2200</v>
      </c>
      <c r="AO155" s="128" t="s">
        <v>723</v>
      </c>
      <c r="AP155" s="128" t="s">
        <v>726</v>
      </c>
      <c r="BE155" s="128">
        <v>4</v>
      </c>
      <c r="BF155" s="128">
        <v>36</v>
      </c>
      <c r="BG155" s="128">
        <v>683</v>
      </c>
      <c r="BH155" s="128">
        <v>697</v>
      </c>
      <c r="BI155" s="128">
        <v>1257</v>
      </c>
      <c r="BL155" s="128" t="s">
        <v>727</v>
      </c>
      <c r="BM155" s="128" t="s">
        <v>279</v>
      </c>
      <c r="BN155" s="128" t="s">
        <v>299</v>
      </c>
      <c r="EK155" s="128">
        <v>1</v>
      </c>
      <c r="EL155" s="128">
        <v>0.3</v>
      </c>
      <c r="EM155" s="128">
        <v>1.3</v>
      </c>
      <c r="EN155" s="128">
        <v>140700</v>
      </c>
      <c r="EO155" s="128">
        <v>121000</v>
      </c>
      <c r="FE155" s="128">
        <v>1</v>
      </c>
      <c r="FF155" s="128">
        <v>0.3</v>
      </c>
      <c r="FG155" s="128">
        <v>0</v>
      </c>
      <c r="FH155" s="128">
        <v>159000</v>
      </c>
      <c r="FI155" s="128">
        <v>136700</v>
      </c>
      <c r="FJ155" s="128">
        <v>6</v>
      </c>
      <c r="FK155" s="128">
        <v>1.92</v>
      </c>
      <c r="FL155" s="128">
        <v>0.53</v>
      </c>
      <c r="FM155" s="128">
        <v>1043500</v>
      </c>
      <c r="FN155" s="128">
        <v>897400</v>
      </c>
      <c r="FO155" s="128">
        <v>4</v>
      </c>
      <c r="FP155" s="128">
        <v>0.65</v>
      </c>
      <c r="FQ155" s="128">
        <v>0</v>
      </c>
      <c r="FR155" s="128">
        <v>308200</v>
      </c>
      <c r="FS155" s="128">
        <v>265100</v>
      </c>
      <c r="GR155" s="128">
        <v>1</v>
      </c>
      <c r="GS155" s="128">
        <v>0.1</v>
      </c>
      <c r="GT155" s="128">
        <v>12</v>
      </c>
      <c r="GU155" s="128">
        <v>0.1</v>
      </c>
      <c r="GV155" s="128">
        <v>48200</v>
      </c>
      <c r="GW155" s="128">
        <v>41500</v>
      </c>
      <c r="IH155" s="128">
        <v>1</v>
      </c>
      <c r="II155" s="128">
        <v>0.2</v>
      </c>
      <c r="IJ155" s="128">
        <v>12</v>
      </c>
      <c r="IK155" s="128">
        <v>0.2</v>
      </c>
      <c r="IL155" s="128">
        <v>123600</v>
      </c>
      <c r="IM155" s="128">
        <v>106300</v>
      </c>
      <c r="IS155" s="128">
        <v>2</v>
      </c>
      <c r="IT155" s="128">
        <v>160</v>
      </c>
      <c r="IU155" s="128">
        <v>7.5999999999999998E-2</v>
      </c>
      <c r="IV155" s="128">
        <v>14800</v>
      </c>
      <c r="IW155" s="128">
        <v>12700</v>
      </c>
      <c r="KG155" s="128">
        <v>0</v>
      </c>
      <c r="KI155" s="128">
        <v>2.52</v>
      </c>
      <c r="KJ155" s="128">
        <v>0.1</v>
      </c>
      <c r="KK155" s="128">
        <v>0</v>
      </c>
      <c r="KL155" s="128">
        <v>0</v>
      </c>
      <c r="KM155" s="128">
        <v>2.62</v>
      </c>
      <c r="KN155" s="128">
        <v>1651400</v>
      </c>
      <c r="KO155" s="128">
        <v>1420200</v>
      </c>
      <c r="KP155" s="128">
        <v>1420200</v>
      </c>
      <c r="KT155" s="128">
        <v>171800</v>
      </c>
      <c r="KU155" s="128">
        <v>147800</v>
      </c>
      <c r="KV155" s="128">
        <v>147800</v>
      </c>
      <c r="KZ155" s="128">
        <v>14800</v>
      </c>
      <c r="LA155" s="128">
        <v>12700</v>
      </c>
      <c r="LB155" s="128">
        <v>12700</v>
      </c>
      <c r="LF155" s="128">
        <v>0</v>
      </c>
      <c r="LG155" s="128">
        <v>0</v>
      </c>
      <c r="LH155" s="128">
        <v>0</v>
      </c>
      <c r="LL155" s="128">
        <v>20000</v>
      </c>
      <c r="LM155" s="128">
        <v>16000</v>
      </c>
      <c r="LN155" s="128">
        <v>16000</v>
      </c>
      <c r="LR155" s="128">
        <v>0</v>
      </c>
      <c r="LS155" s="128">
        <v>0</v>
      </c>
      <c r="LT155" s="128">
        <v>0</v>
      </c>
      <c r="LX155" s="128">
        <v>4000</v>
      </c>
      <c r="LY155" s="128">
        <v>3200</v>
      </c>
      <c r="LZ155" s="128">
        <v>3200</v>
      </c>
      <c r="MD155" s="128">
        <v>7000</v>
      </c>
      <c r="ME155" s="128">
        <v>4800</v>
      </c>
      <c r="MF155" s="128">
        <v>4800</v>
      </c>
      <c r="MJ155" s="128">
        <v>0</v>
      </c>
      <c r="MK155" s="128">
        <v>0</v>
      </c>
      <c r="ML155" s="128">
        <v>0</v>
      </c>
      <c r="MP155" s="128">
        <v>24000</v>
      </c>
      <c r="MQ155" s="128">
        <v>20000</v>
      </c>
      <c r="MR155" s="128">
        <v>20000</v>
      </c>
      <c r="MV155" s="128">
        <v>46000</v>
      </c>
      <c r="MW155" s="128">
        <v>39000</v>
      </c>
      <c r="MX155" s="128">
        <v>39000</v>
      </c>
      <c r="NB155" s="128">
        <v>34000</v>
      </c>
      <c r="NC155" s="128">
        <v>28500</v>
      </c>
      <c r="ND155" s="128">
        <v>28500</v>
      </c>
      <c r="NH155" s="128">
        <v>95000</v>
      </c>
      <c r="NI155" s="128">
        <v>83000</v>
      </c>
      <c r="NJ155" s="128">
        <v>83000</v>
      </c>
      <c r="NN155" s="128">
        <v>70000</v>
      </c>
      <c r="NO155" s="128">
        <v>58000</v>
      </c>
      <c r="NP155" s="128">
        <v>58000</v>
      </c>
      <c r="NT155" s="128">
        <v>45000</v>
      </c>
      <c r="NU155" s="128">
        <v>38000</v>
      </c>
      <c r="NV155" s="128">
        <v>38000</v>
      </c>
      <c r="NZ155" s="128">
        <v>6000</v>
      </c>
      <c r="OA155" s="128">
        <v>4800</v>
      </c>
      <c r="OB155" s="128">
        <v>4800</v>
      </c>
      <c r="OF155" s="128">
        <v>20000</v>
      </c>
      <c r="OG155" s="128">
        <v>16000</v>
      </c>
      <c r="OH155" s="128">
        <v>16000</v>
      </c>
      <c r="OL155" s="128">
        <v>0</v>
      </c>
      <c r="OM155" s="128">
        <v>0</v>
      </c>
      <c r="ON155" s="128">
        <v>0</v>
      </c>
      <c r="OR155" s="128">
        <v>0</v>
      </c>
      <c r="OS155" s="128">
        <v>0</v>
      </c>
      <c r="OT155" s="128">
        <v>0</v>
      </c>
      <c r="OX155" s="128">
        <v>19000</v>
      </c>
      <c r="OY155" s="128">
        <v>10000</v>
      </c>
      <c r="OZ155" s="128">
        <v>10000</v>
      </c>
      <c r="PD155" s="128">
        <v>0</v>
      </c>
      <c r="PE155" s="128">
        <v>0</v>
      </c>
      <c r="PF155" s="128">
        <v>0</v>
      </c>
      <c r="PJ155" s="128">
        <v>0</v>
      </c>
      <c r="PK155" s="128">
        <v>0</v>
      </c>
      <c r="PL155" s="128">
        <v>0</v>
      </c>
      <c r="PP155" s="128">
        <v>2228000</v>
      </c>
      <c r="PQ155" s="128">
        <v>1902000</v>
      </c>
      <c r="PR155" s="128">
        <v>1902000</v>
      </c>
      <c r="PS155" s="128">
        <v>100</v>
      </c>
      <c r="PT155" s="128">
        <v>100</v>
      </c>
      <c r="PX155" s="128">
        <v>1089240</v>
      </c>
      <c r="PY155" s="128">
        <v>1582000</v>
      </c>
      <c r="PZ155" s="128">
        <v>1902000</v>
      </c>
      <c r="QA155" s="128">
        <v>0</v>
      </c>
      <c r="QB155" s="128">
        <v>0</v>
      </c>
      <c r="QC155" s="128">
        <v>0</v>
      </c>
      <c r="QD155" s="128">
        <v>0</v>
      </c>
      <c r="QE155" s="128">
        <v>0</v>
      </c>
      <c r="QF155" s="128">
        <v>0</v>
      </c>
      <c r="QG155" s="128">
        <v>0</v>
      </c>
      <c r="QH155" s="128">
        <v>0</v>
      </c>
      <c r="QI155" s="128">
        <v>0</v>
      </c>
      <c r="QJ155" s="128">
        <v>0</v>
      </c>
      <c r="QK155" s="128">
        <v>0</v>
      </c>
      <c r="QL155" s="128">
        <v>0</v>
      </c>
      <c r="QN155" s="128">
        <v>0</v>
      </c>
      <c r="QO155" s="128">
        <v>0</v>
      </c>
      <c r="QP155" s="128">
        <v>0</v>
      </c>
      <c r="QX155" s="128">
        <v>166000</v>
      </c>
      <c r="QY155" s="128">
        <v>150000</v>
      </c>
      <c r="QZ155" s="128">
        <v>326000</v>
      </c>
      <c r="RH155" s="128">
        <f t="shared" si="310"/>
        <v>2228000</v>
      </c>
      <c r="RI155" s="128">
        <v>0</v>
      </c>
      <c r="RM155" s="128" t="s">
        <v>220</v>
      </c>
      <c r="RU155" s="130"/>
      <c r="RV155" s="130"/>
      <c r="RW155" s="130"/>
      <c r="RX155" s="130"/>
      <c r="SF155" s="128">
        <f t="shared" si="220"/>
        <v>5133257</v>
      </c>
      <c r="SG155" s="131">
        <f t="shared" si="221"/>
        <v>2228000</v>
      </c>
      <c r="SH155" s="131">
        <f t="shared" si="222"/>
        <v>2228000</v>
      </c>
      <c r="SI155" s="131">
        <f t="shared" si="223"/>
        <v>1838000</v>
      </c>
      <c r="SJ155" s="132">
        <f t="shared" si="224"/>
        <v>1651400</v>
      </c>
      <c r="SK155" s="132">
        <f t="shared" si="225"/>
        <v>171800</v>
      </c>
      <c r="SL155" s="132">
        <f t="shared" si="226"/>
        <v>14800</v>
      </c>
      <c r="SM155" s="132">
        <f t="shared" si="227"/>
        <v>0</v>
      </c>
      <c r="SN155" s="131">
        <f t="shared" si="228"/>
        <v>390000</v>
      </c>
      <c r="SO155" s="131">
        <f t="shared" si="229"/>
        <v>20000</v>
      </c>
      <c r="SP155" s="132">
        <f t="shared" si="230"/>
        <v>20000</v>
      </c>
      <c r="SQ155" s="132">
        <f t="shared" si="231"/>
        <v>0</v>
      </c>
      <c r="SR155" s="132">
        <f t="shared" si="232"/>
        <v>4000</v>
      </c>
      <c r="SS155" s="132">
        <f t="shared" si="233"/>
        <v>7000</v>
      </c>
      <c r="ST155" s="132">
        <f t="shared" si="234"/>
        <v>0</v>
      </c>
      <c r="SU155" s="132">
        <f t="shared" si="235"/>
        <v>24000</v>
      </c>
      <c r="SV155" s="131">
        <f t="shared" si="236"/>
        <v>335000</v>
      </c>
      <c r="SW155" s="132">
        <f t="shared" si="237"/>
        <v>46000</v>
      </c>
      <c r="SX155" s="132">
        <f t="shared" si="238"/>
        <v>34000</v>
      </c>
      <c r="SY155" s="132">
        <f t="shared" si="239"/>
        <v>95000</v>
      </c>
      <c r="SZ155" s="132">
        <f t="shared" si="240"/>
        <v>70000</v>
      </c>
      <c r="TA155" s="132">
        <f t="shared" si="241"/>
        <v>45000</v>
      </c>
      <c r="TB155" s="132">
        <f t="shared" si="242"/>
        <v>6000</v>
      </c>
      <c r="TC155" s="132">
        <f t="shared" si="243"/>
        <v>20000</v>
      </c>
      <c r="TD155" s="132">
        <f t="shared" si="244"/>
        <v>0</v>
      </c>
      <c r="TE155" s="132">
        <f t="shared" si="245"/>
        <v>0</v>
      </c>
      <c r="TF155" s="132">
        <f t="shared" si="246"/>
        <v>19000</v>
      </c>
      <c r="TG155" s="132">
        <f t="shared" si="247"/>
        <v>0</v>
      </c>
      <c r="TH155" s="132">
        <f t="shared" si="248"/>
        <v>0</v>
      </c>
      <c r="TI155" s="1"/>
      <c r="TJ155" s="131">
        <f t="shared" si="249"/>
        <v>1902000</v>
      </c>
      <c r="TK155" s="131">
        <f t="shared" si="250"/>
        <v>1902000</v>
      </c>
      <c r="TL155" s="131">
        <f t="shared" si="251"/>
        <v>1580700</v>
      </c>
      <c r="TM155" s="132">
        <f t="shared" si="252"/>
        <v>1420200</v>
      </c>
      <c r="TN155" s="132">
        <f t="shared" si="253"/>
        <v>147800</v>
      </c>
      <c r="TO155" s="132">
        <f t="shared" si="254"/>
        <v>12700</v>
      </c>
      <c r="TP155" s="132">
        <f t="shared" si="255"/>
        <v>0</v>
      </c>
      <c r="TQ155" s="131">
        <f t="shared" si="256"/>
        <v>321300</v>
      </c>
      <c r="TR155" s="131">
        <f t="shared" si="257"/>
        <v>16000</v>
      </c>
      <c r="TS155" s="132">
        <f t="shared" si="258"/>
        <v>16000</v>
      </c>
      <c r="TT155" s="132">
        <f t="shared" si="259"/>
        <v>0</v>
      </c>
      <c r="TU155" s="132">
        <f t="shared" si="260"/>
        <v>3200</v>
      </c>
      <c r="TV155" s="132">
        <f t="shared" si="261"/>
        <v>4800</v>
      </c>
      <c r="TW155" s="132">
        <f t="shared" si="262"/>
        <v>0</v>
      </c>
      <c r="TX155" s="132">
        <f t="shared" si="263"/>
        <v>20000</v>
      </c>
      <c r="TY155" s="131">
        <f t="shared" si="264"/>
        <v>277300</v>
      </c>
      <c r="TZ155" s="132">
        <f t="shared" si="265"/>
        <v>39000</v>
      </c>
      <c r="UA155" s="132">
        <f t="shared" si="266"/>
        <v>28500</v>
      </c>
      <c r="UB155" s="132">
        <f t="shared" si="267"/>
        <v>83000</v>
      </c>
      <c r="UC155" s="132">
        <f t="shared" si="268"/>
        <v>58000</v>
      </c>
      <c r="UD155" s="132">
        <f t="shared" si="269"/>
        <v>38000</v>
      </c>
      <c r="UE155" s="132">
        <f t="shared" si="270"/>
        <v>4800</v>
      </c>
      <c r="UF155" s="132">
        <f t="shared" si="271"/>
        <v>16000</v>
      </c>
      <c r="UG155" s="132">
        <f t="shared" si="272"/>
        <v>0</v>
      </c>
      <c r="UH155" s="132">
        <f t="shared" si="273"/>
        <v>0</v>
      </c>
      <c r="UI155" s="132">
        <f t="shared" si="274"/>
        <v>10000</v>
      </c>
      <c r="UJ155" s="132">
        <f t="shared" si="275"/>
        <v>0</v>
      </c>
      <c r="UK155" s="132">
        <f t="shared" si="276"/>
        <v>0</v>
      </c>
      <c r="UL155" s="132">
        <f t="shared" si="311"/>
        <v>1902000</v>
      </c>
      <c r="UM155" s="131">
        <f t="shared" si="277"/>
        <v>1902000</v>
      </c>
      <c r="UN155" s="131">
        <f t="shared" si="278"/>
        <v>1902000</v>
      </c>
      <c r="UO155" s="131">
        <f t="shared" si="279"/>
        <v>1580700</v>
      </c>
      <c r="UP155" s="132">
        <f t="shared" si="280"/>
        <v>1420200</v>
      </c>
      <c r="UQ155" s="132">
        <f t="shared" si="281"/>
        <v>147800</v>
      </c>
      <c r="UR155" s="132">
        <f t="shared" si="282"/>
        <v>12700</v>
      </c>
      <c r="US155" s="132">
        <f t="shared" si="283"/>
        <v>0</v>
      </c>
      <c r="UT155" s="131">
        <f t="shared" si="284"/>
        <v>321300</v>
      </c>
      <c r="UU155" s="131">
        <f t="shared" si="285"/>
        <v>16000</v>
      </c>
      <c r="UV155" s="132">
        <f t="shared" si="286"/>
        <v>16000</v>
      </c>
      <c r="UW155" s="132">
        <f t="shared" si="287"/>
        <v>0</v>
      </c>
      <c r="UX155" s="132">
        <f t="shared" si="288"/>
        <v>3200</v>
      </c>
      <c r="UY155" s="132">
        <f t="shared" si="289"/>
        <v>4800</v>
      </c>
      <c r="UZ155" s="132">
        <f t="shared" si="290"/>
        <v>0</v>
      </c>
      <c r="VA155" s="132">
        <f t="shared" si="291"/>
        <v>20000</v>
      </c>
      <c r="VB155" s="131">
        <f t="shared" si="292"/>
        <v>277300</v>
      </c>
      <c r="VC155" s="132">
        <f t="shared" si="293"/>
        <v>39000</v>
      </c>
      <c r="VD155" s="132">
        <f t="shared" si="294"/>
        <v>28500</v>
      </c>
      <c r="VE155" s="132">
        <f t="shared" si="295"/>
        <v>83000</v>
      </c>
      <c r="VF155" s="132">
        <f t="shared" si="296"/>
        <v>58000</v>
      </c>
      <c r="VG155" s="132">
        <f t="shared" si="297"/>
        <v>38000</v>
      </c>
      <c r="VH155" s="132">
        <f t="shared" si="298"/>
        <v>4800</v>
      </c>
      <c r="VI155" s="132">
        <f t="shared" si="299"/>
        <v>16000</v>
      </c>
      <c r="VJ155" s="132">
        <f t="shared" si="300"/>
        <v>0</v>
      </c>
      <c r="VK155" s="132">
        <f t="shared" si="301"/>
        <v>0</v>
      </c>
      <c r="VL155" s="132">
        <f t="shared" si="302"/>
        <v>10000</v>
      </c>
      <c r="VM155" s="132">
        <f t="shared" si="303"/>
        <v>0</v>
      </c>
      <c r="VN155" s="132">
        <f t="shared" si="304"/>
        <v>0</v>
      </c>
      <c r="VP155" s="845" t="str">
        <f>IFERROR(HLOOKUP(F155,'Hodnocení '!$C$1:$JH$5,2,FALSE),0)</f>
        <v>Poradna pro oběti násilí a trestné činnosti NOMIA</v>
      </c>
      <c r="VQ155" s="838"/>
      <c r="VR155" s="845" t="str">
        <f t="shared" si="312"/>
        <v>Ústav</v>
      </c>
      <c r="VS155" s="845" t="str">
        <f>IFERROR(HLOOKUP(F155,'Hodnocení '!$C$1:$JH$5,5,FALSE),0)</f>
        <v>NZO</v>
      </c>
      <c r="VT155" s="838">
        <f t="shared" si="313"/>
        <v>0</v>
      </c>
      <c r="VU155" s="838">
        <f t="shared" si="314"/>
        <v>0</v>
      </c>
      <c r="VV155" s="838">
        <f t="shared" si="315"/>
        <v>0</v>
      </c>
      <c r="VW155" s="838">
        <f t="shared" si="316"/>
        <v>0</v>
      </c>
      <c r="VX155" s="838"/>
      <c r="VY155" s="838">
        <f t="shared" si="317"/>
        <v>0</v>
      </c>
      <c r="VZ155" s="838">
        <f t="shared" si="318"/>
        <v>1902000</v>
      </c>
      <c r="WA155" s="846">
        <f>IFERROR(HLOOKUP($F155,'Hodnocení '!$C$1:$JH$9,9,FALSE),0)</f>
        <v>1902000</v>
      </c>
      <c r="WB155" s="846">
        <f>IF(IFERROR(HLOOKUP($F155,'Hodnocení '!$C$1:$JH$13,13,FALSE),0)&gt;WA155,WA155,IFERROR(HLOOKUP($F155,'Hodnocení '!$C$1:$JH$13,13,FALSE),0))</f>
        <v>1902000</v>
      </c>
      <c r="WC155" s="846">
        <f>IFERROR(HLOOKUP($F155,'Hodnocení '!$C$1:$JH$155,155,FALSE),0)</f>
        <v>1641100</v>
      </c>
      <c r="WD155" s="845"/>
      <c r="WE155" s="845"/>
      <c r="WF155" s="845" t="str">
        <f t="shared" si="305"/>
        <v>ANO</v>
      </c>
      <c r="WG155" s="849" t="str">
        <f t="shared" ref="WG155:WJ218" si="320">IF($WF155="ANO",WG$2,WG$1)</f>
        <v>Podpora služby je vyjádřena zařazením do sítě sociálních služeb v KHK a řešením financování služby</v>
      </c>
      <c r="WH155"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55" s="849" t="str">
        <f t="shared" si="320"/>
        <v>Návrh dotace je výsledkem projednání s ostatními zadavateli v rámci sítě služeb KHK</v>
      </c>
      <c r="WJ155" s="849" t="str">
        <f t="shared" si="320"/>
        <v>Bez komentáře</v>
      </c>
      <c r="WK155" s="31">
        <f t="shared" si="306"/>
        <v>0</v>
      </c>
      <c r="WL155" s="850">
        <f t="shared" si="307"/>
        <v>0</v>
      </c>
      <c r="WM155" s="849">
        <f t="shared" si="308"/>
        <v>0</v>
      </c>
      <c r="WN155" s="849">
        <f t="shared" si="309"/>
        <v>0</v>
      </c>
      <c r="WO155" s="849" t="str">
        <f t="shared" si="319"/>
        <v>bez komentáře</v>
      </c>
      <c r="WP155" s="849" t="str">
        <f t="shared" si="319"/>
        <v>bez komentáře</v>
      </c>
      <c r="WQ155" s="849" t="str">
        <f t="shared" si="319"/>
        <v>Konečná výše dotace z rozpočtu KHK bude řešena v návaznosti na řešení podílů jednotlivých zadavatelů.</v>
      </c>
      <c r="WR155" s="849" t="str">
        <f t="shared" si="319"/>
        <v>Konečná výše podpory ze stran obcí bude řešena v součinnosti s jednotlivými zadavateli v průběhu roku.</v>
      </c>
      <c r="WS155" s="849" t="str">
        <f t="shared" si="319"/>
        <v>bez komentáře</v>
      </c>
      <c r="WT155" s="849" t="str">
        <f t="shared" si="319"/>
        <v>bez komentáře</v>
      </c>
      <c r="WU155" s="845"/>
    </row>
    <row r="156" spans="1:619" s="128" customFormat="1" x14ac:dyDescent="0.25">
      <c r="A156" s="128" t="str">
        <f>VLOOKUP(F156,'Výpočet VP 2020'!$D$324:$I$588,6,FALSE)</f>
        <v>Je v síti</v>
      </c>
      <c r="B156" s="128" t="s">
        <v>728</v>
      </c>
      <c r="C156" s="128">
        <v>46524339</v>
      </c>
      <c r="D156" s="128" t="s">
        <v>729</v>
      </c>
      <c r="E156" s="128" t="s">
        <v>216</v>
      </c>
      <c r="F156" s="128">
        <v>6684022</v>
      </c>
      <c r="G156" s="128" t="s">
        <v>217</v>
      </c>
      <c r="H156" s="128" t="s">
        <v>218</v>
      </c>
      <c r="I156" s="128" t="s">
        <v>730</v>
      </c>
      <c r="J156" s="129">
        <v>39083</v>
      </c>
      <c r="L156" s="128" t="s">
        <v>220</v>
      </c>
      <c r="X156" s="128" t="s">
        <v>564</v>
      </c>
      <c r="Z156" s="128">
        <v>25</v>
      </c>
      <c r="AA156" s="128">
        <v>25</v>
      </c>
      <c r="AB156" s="128">
        <v>30</v>
      </c>
      <c r="AC156" s="128">
        <v>29</v>
      </c>
      <c r="AD156" s="128">
        <v>29</v>
      </c>
      <c r="AN156" s="128">
        <v>1968</v>
      </c>
      <c r="BL156" s="128" t="s">
        <v>263</v>
      </c>
      <c r="BM156" s="128" t="s">
        <v>228</v>
      </c>
      <c r="BN156" s="128" t="s">
        <v>357</v>
      </c>
      <c r="BO156" s="128">
        <v>0</v>
      </c>
      <c r="BP156" s="128">
        <v>0</v>
      </c>
      <c r="BQ156" s="128">
        <v>0</v>
      </c>
      <c r="BR156" s="128">
        <v>0</v>
      </c>
      <c r="BS156" s="128">
        <v>0</v>
      </c>
      <c r="BT156" s="128">
        <v>2</v>
      </c>
      <c r="BU156" s="128">
        <v>8</v>
      </c>
      <c r="BV156" s="128">
        <v>11</v>
      </c>
      <c r="BW156" s="128">
        <v>7</v>
      </c>
      <c r="BX156" s="128">
        <v>0</v>
      </c>
      <c r="BY156" s="128">
        <v>2</v>
      </c>
      <c r="BZ156" s="128">
        <v>8</v>
      </c>
      <c r="CA156" s="128">
        <v>11</v>
      </c>
      <c r="CB156" s="128">
        <v>7</v>
      </c>
      <c r="CC156" s="128">
        <v>0</v>
      </c>
      <c r="CD156" s="128">
        <v>0</v>
      </c>
      <c r="CE156" s="128">
        <v>28</v>
      </c>
      <c r="CF156" s="128">
        <v>28</v>
      </c>
      <c r="CH156" s="128">
        <v>0</v>
      </c>
      <c r="CI156" s="128">
        <v>0</v>
      </c>
      <c r="CJ156" s="128">
        <v>0</v>
      </c>
      <c r="CK156" s="128">
        <v>0</v>
      </c>
      <c r="CL156" s="128">
        <v>0</v>
      </c>
      <c r="CM156" s="128">
        <v>2</v>
      </c>
      <c r="CN156" s="128">
        <v>8</v>
      </c>
      <c r="CO156" s="128">
        <v>11</v>
      </c>
      <c r="CP156" s="128">
        <v>8</v>
      </c>
      <c r="CQ156" s="128">
        <v>0</v>
      </c>
      <c r="CR156" s="128">
        <v>2</v>
      </c>
      <c r="CS156" s="128">
        <v>8</v>
      </c>
      <c r="CT156" s="128">
        <v>11</v>
      </c>
      <c r="CU156" s="128">
        <v>8</v>
      </c>
      <c r="CV156" s="128">
        <v>0</v>
      </c>
      <c r="CW156" s="128">
        <v>0</v>
      </c>
      <c r="CX156" s="128">
        <v>29</v>
      </c>
      <c r="CY156" s="128">
        <v>29</v>
      </c>
      <c r="EK156" s="128">
        <v>3</v>
      </c>
      <c r="EL156" s="128">
        <v>1</v>
      </c>
      <c r="EM156" s="128">
        <v>1</v>
      </c>
      <c r="EN156" s="128">
        <v>553299</v>
      </c>
      <c r="EO156" s="128">
        <v>492436</v>
      </c>
      <c r="EP156" s="128">
        <v>8</v>
      </c>
      <c r="EQ156" s="128">
        <v>6.95</v>
      </c>
      <c r="ER156" s="128">
        <v>6.95</v>
      </c>
      <c r="ES156" s="128">
        <v>3416826</v>
      </c>
      <c r="ET156" s="128">
        <v>3040975</v>
      </c>
      <c r="FO156" s="128">
        <v>4</v>
      </c>
      <c r="FP156" s="128">
        <v>2.59</v>
      </c>
      <c r="FQ156" s="128">
        <v>1.7150000000000001</v>
      </c>
      <c r="FR156" s="128">
        <v>1355055</v>
      </c>
      <c r="FS156" s="128">
        <v>1205669</v>
      </c>
      <c r="IS156" s="128">
        <v>2</v>
      </c>
      <c r="IT156" s="128">
        <v>50</v>
      </c>
      <c r="IU156" s="128">
        <v>2.4E-2</v>
      </c>
      <c r="IV156" s="128">
        <v>5000</v>
      </c>
      <c r="IW156" s="128">
        <v>0</v>
      </c>
      <c r="KG156" s="128">
        <v>0</v>
      </c>
      <c r="KI156" s="128">
        <v>7.95</v>
      </c>
      <c r="KJ156" s="128">
        <v>0</v>
      </c>
      <c r="KK156" s="128">
        <v>0</v>
      </c>
      <c r="KL156" s="128">
        <v>0</v>
      </c>
      <c r="KM156" s="128">
        <v>7.95</v>
      </c>
      <c r="KN156" s="128">
        <v>5325180</v>
      </c>
      <c r="KO156" s="128">
        <v>4739080</v>
      </c>
      <c r="KP156" s="128">
        <v>4739080</v>
      </c>
      <c r="KT156" s="128">
        <v>0</v>
      </c>
      <c r="KU156" s="128">
        <v>0</v>
      </c>
      <c r="KV156" s="128">
        <v>0</v>
      </c>
      <c r="KZ156" s="128">
        <v>5000</v>
      </c>
      <c r="LA156" s="128">
        <v>0</v>
      </c>
      <c r="LB156" s="128">
        <v>0</v>
      </c>
      <c r="LF156" s="128">
        <v>25000</v>
      </c>
      <c r="LG156" s="128">
        <v>0</v>
      </c>
      <c r="LH156" s="128">
        <v>0</v>
      </c>
      <c r="LL156" s="128">
        <v>0</v>
      </c>
      <c r="LM156" s="128">
        <v>0</v>
      </c>
      <c r="LN156" s="128">
        <v>0</v>
      </c>
      <c r="LR156" s="128">
        <v>30000</v>
      </c>
      <c r="LS156" s="128">
        <v>0</v>
      </c>
      <c r="LT156" s="128">
        <v>0</v>
      </c>
      <c r="LX156" s="128">
        <v>12000</v>
      </c>
      <c r="LY156" s="128">
        <v>0</v>
      </c>
      <c r="LZ156" s="128">
        <v>0</v>
      </c>
      <c r="MD156" s="128">
        <v>10000</v>
      </c>
      <c r="ME156" s="128">
        <v>0</v>
      </c>
      <c r="MF156" s="128">
        <v>0</v>
      </c>
      <c r="MJ156" s="128">
        <v>16000</v>
      </c>
      <c r="MK156" s="128">
        <v>0</v>
      </c>
      <c r="ML156" s="128">
        <v>0</v>
      </c>
      <c r="MP156" s="128">
        <v>90000</v>
      </c>
      <c r="MQ156" s="128">
        <v>0</v>
      </c>
      <c r="MR156" s="128">
        <v>0</v>
      </c>
      <c r="MV156" s="128">
        <v>257000</v>
      </c>
      <c r="MW156" s="128">
        <v>0</v>
      </c>
      <c r="MX156" s="128">
        <v>0</v>
      </c>
      <c r="NB156" s="128">
        <v>17000</v>
      </c>
      <c r="NC156" s="128">
        <v>0</v>
      </c>
      <c r="ND156" s="128">
        <v>0</v>
      </c>
      <c r="NH156" s="128">
        <v>139500</v>
      </c>
      <c r="NI156" s="128">
        <v>0</v>
      </c>
      <c r="NJ156" s="128">
        <v>0</v>
      </c>
      <c r="NN156" s="128">
        <v>40000</v>
      </c>
      <c r="NO156" s="128">
        <v>0</v>
      </c>
      <c r="NP156" s="128">
        <v>0</v>
      </c>
      <c r="NT156" s="128">
        <v>30000</v>
      </c>
      <c r="NU156" s="128">
        <v>0</v>
      </c>
      <c r="NV156" s="128">
        <v>0</v>
      </c>
      <c r="NZ156" s="128">
        <v>35000</v>
      </c>
      <c r="OA156" s="128">
        <v>0</v>
      </c>
      <c r="OB156" s="128">
        <v>0</v>
      </c>
      <c r="OF156" s="128">
        <v>1000</v>
      </c>
      <c r="OG156" s="128">
        <v>0</v>
      </c>
      <c r="OH156" s="128">
        <v>0</v>
      </c>
      <c r="OL156" s="128">
        <v>0</v>
      </c>
      <c r="OM156" s="128">
        <v>0</v>
      </c>
      <c r="ON156" s="128">
        <v>0</v>
      </c>
      <c r="OR156" s="128">
        <v>0</v>
      </c>
      <c r="OS156" s="128">
        <v>0</v>
      </c>
      <c r="OT156" s="128">
        <v>0</v>
      </c>
      <c r="OX156" s="128">
        <v>255000</v>
      </c>
      <c r="OY156" s="128">
        <v>0</v>
      </c>
      <c r="OZ156" s="128">
        <v>0</v>
      </c>
      <c r="PD156" s="128">
        <v>40500</v>
      </c>
      <c r="PE156" s="128">
        <v>0</v>
      </c>
      <c r="PF156" s="128">
        <v>0</v>
      </c>
      <c r="PJ156" s="128">
        <v>42900</v>
      </c>
      <c r="PK156" s="128">
        <v>0</v>
      </c>
      <c r="PL156" s="128">
        <v>0</v>
      </c>
      <c r="PP156" s="128">
        <v>6371080</v>
      </c>
      <c r="PQ156" s="128">
        <v>4739080</v>
      </c>
      <c r="PR156" s="128">
        <v>4739080</v>
      </c>
      <c r="PS156" s="128">
        <v>100</v>
      </c>
      <c r="PT156" s="128">
        <v>100</v>
      </c>
      <c r="PV156" s="128">
        <v>4296216</v>
      </c>
      <c r="PX156" s="128">
        <v>2044000</v>
      </c>
      <c r="PY156" s="128">
        <v>3360591</v>
      </c>
      <c r="PZ156" s="128">
        <v>4739080</v>
      </c>
      <c r="QA156" s="128">
        <v>0</v>
      </c>
      <c r="QB156" s="128">
        <v>0</v>
      </c>
      <c r="QC156" s="128">
        <v>0</v>
      </c>
      <c r="QD156" s="128">
        <v>0</v>
      </c>
      <c r="QE156" s="128">
        <v>0</v>
      </c>
      <c r="QF156" s="128">
        <v>0</v>
      </c>
      <c r="QG156" s="128">
        <v>0</v>
      </c>
      <c r="QH156" s="128">
        <v>0</v>
      </c>
      <c r="QI156" s="128">
        <v>0</v>
      </c>
      <c r="QJ156" s="128">
        <v>791940</v>
      </c>
      <c r="QK156" s="128">
        <v>940000</v>
      </c>
      <c r="QL156" s="128">
        <v>942000</v>
      </c>
      <c r="QN156" s="128">
        <v>0</v>
      </c>
      <c r="QO156" s="128">
        <v>0</v>
      </c>
      <c r="QP156" s="128">
        <v>0</v>
      </c>
      <c r="QU156" s="128">
        <v>1129340</v>
      </c>
      <c r="QV156" s="128">
        <v>458716</v>
      </c>
      <c r="QW156" s="128">
        <v>0</v>
      </c>
      <c r="QX156" s="128">
        <v>777000</v>
      </c>
      <c r="QY156" s="128">
        <v>602272</v>
      </c>
      <c r="QZ156" s="128">
        <v>600000</v>
      </c>
      <c r="RD156" s="128">
        <v>204191</v>
      </c>
      <c r="RE156" s="128">
        <v>141000</v>
      </c>
      <c r="RF156" s="128">
        <v>90000</v>
      </c>
      <c r="RH156" s="128">
        <f t="shared" si="310"/>
        <v>5429080</v>
      </c>
      <c r="RI156" s="128">
        <v>0</v>
      </c>
      <c r="RM156" s="128" t="s">
        <v>220</v>
      </c>
      <c r="RU156" s="130"/>
      <c r="RV156" s="130"/>
      <c r="RW156" s="130"/>
      <c r="RX156" s="130"/>
      <c r="SF156" s="128">
        <f t="shared" si="220"/>
        <v>6684022</v>
      </c>
      <c r="SG156" s="131">
        <f t="shared" si="221"/>
        <v>6371080</v>
      </c>
      <c r="SH156" s="131">
        <f t="shared" si="222"/>
        <v>6371080</v>
      </c>
      <c r="SI156" s="131">
        <f t="shared" si="223"/>
        <v>5355180</v>
      </c>
      <c r="SJ156" s="132">
        <f t="shared" si="224"/>
        <v>5325180</v>
      </c>
      <c r="SK156" s="132">
        <f t="shared" si="225"/>
        <v>0</v>
      </c>
      <c r="SL156" s="132">
        <f t="shared" si="226"/>
        <v>5000</v>
      </c>
      <c r="SM156" s="132">
        <f t="shared" si="227"/>
        <v>25000</v>
      </c>
      <c r="SN156" s="131">
        <f t="shared" si="228"/>
        <v>1015900</v>
      </c>
      <c r="SO156" s="131">
        <f t="shared" si="229"/>
        <v>30000</v>
      </c>
      <c r="SP156" s="132">
        <f t="shared" si="230"/>
        <v>0</v>
      </c>
      <c r="SQ156" s="132">
        <f t="shared" si="231"/>
        <v>30000</v>
      </c>
      <c r="SR156" s="132">
        <f t="shared" si="232"/>
        <v>12000</v>
      </c>
      <c r="SS156" s="132">
        <f t="shared" si="233"/>
        <v>10000</v>
      </c>
      <c r="ST156" s="132">
        <f t="shared" si="234"/>
        <v>16000</v>
      </c>
      <c r="SU156" s="132">
        <f t="shared" si="235"/>
        <v>90000</v>
      </c>
      <c r="SV156" s="131">
        <f t="shared" si="236"/>
        <v>774500</v>
      </c>
      <c r="SW156" s="132">
        <f t="shared" si="237"/>
        <v>257000</v>
      </c>
      <c r="SX156" s="132">
        <f t="shared" si="238"/>
        <v>17000</v>
      </c>
      <c r="SY156" s="132">
        <f t="shared" si="239"/>
        <v>139500</v>
      </c>
      <c r="SZ156" s="132">
        <f t="shared" si="240"/>
        <v>40000</v>
      </c>
      <c r="TA156" s="132">
        <f t="shared" si="241"/>
        <v>30000</v>
      </c>
      <c r="TB156" s="132">
        <f t="shared" si="242"/>
        <v>35000</v>
      </c>
      <c r="TC156" s="132">
        <f t="shared" si="243"/>
        <v>1000</v>
      </c>
      <c r="TD156" s="132">
        <f t="shared" si="244"/>
        <v>0</v>
      </c>
      <c r="TE156" s="132">
        <f t="shared" si="245"/>
        <v>0</v>
      </c>
      <c r="TF156" s="132">
        <f t="shared" si="246"/>
        <v>255000</v>
      </c>
      <c r="TG156" s="132">
        <f t="shared" si="247"/>
        <v>40500</v>
      </c>
      <c r="TH156" s="132">
        <f t="shared" si="248"/>
        <v>42900</v>
      </c>
      <c r="TI156" s="1"/>
      <c r="TJ156" s="131">
        <f t="shared" si="249"/>
        <v>4739080</v>
      </c>
      <c r="TK156" s="131">
        <f t="shared" si="250"/>
        <v>4739080</v>
      </c>
      <c r="TL156" s="131">
        <f t="shared" si="251"/>
        <v>4739080</v>
      </c>
      <c r="TM156" s="132">
        <f t="shared" si="252"/>
        <v>4739080</v>
      </c>
      <c r="TN156" s="132">
        <f t="shared" si="253"/>
        <v>0</v>
      </c>
      <c r="TO156" s="132">
        <f t="shared" si="254"/>
        <v>0</v>
      </c>
      <c r="TP156" s="132">
        <f t="shared" si="255"/>
        <v>0</v>
      </c>
      <c r="TQ156" s="131">
        <f t="shared" si="256"/>
        <v>0</v>
      </c>
      <c r="TR156" s="131">
        <f t="shared" si="257"/>
        <v>0</v>
      </c>
      <c r="TS156" s="132">
        <f t="shared" si="258"/>
        <v>0</v>
      </c>
      <c r="TT156" s="132">
        <f t="shared" si="259"/>
        <v>0</v>
      </c>
      <c r="TU156" s="132">
        <f t="shared" si="260"/>
        <v>0</v>
      </c>
      <c r="TV156" s="132">
        <f t="shared" si="261"/>
        <v>0</v>
      </c>
      <c r="TW156" s="132">
        <f t="shared" si="262"/>
        <v>0</v>
      </c>
      <c r="TX156" s="132">
        <f t="shared" si="263"/>
        <v>0</v>
      </c>
      <c r="TY156" s="131">
        <f t="shared" si="264"/>
        <v>0</v>
      </c>
      <c r="TZ156" s="132">
        <f t="shared" si="265"/>
        <v>0</v>
      </c>
      <c r="UA156" s="132">
        <f t="shared" si="266"/>
        <v>0</v>
      </c>
      <c r="UB156" s="132">
        <f t="shared" si="267"/>
        <v>0</v>
      </c>
      <c r="UC156" s="132">
        <f t="shared" si="268"/>
        <v>0</v>
      </c>
      <c r="UD156" s="132">
        <f t="shared" si="269"/>
        <v>0</v>
      </c>
      <c r="UE156" s="132">
        <f t="shared" si="270"/>
        <v>0</v>
      </c>
      <c r="UF156" s="132">
        <f t="shared" si="271"/>
        <v>0</v>
      </c>
      <c r="UG156" s="132">
        <f t="shared" si="272"/>
        <v>0</v>
      </c>
      <c r="UH156" s="132">
        <f t="shared" si="273"/>
        <v>0</v>
      </c>
      <c r="UI156" s="132">
        <f t="shared" si="274"/>
        <v>0</v>
      </c>
      <c r="UJ156" s="132">
        <f t="shared" si="275"/>
        <v>0</v>
      </c>
      <c r="UK156" s="132">
        <f t="shared" si="276"/>
        <v>0</v>
      </c>
      <c r="UL156" s="132">
        <f t="shared" si="311"/>
        <v>4739080</v>
      </c>
      <c r="UM156" s="131">
        <f t="shared" si="277"/>
        <v>4739080</v>
      </c>
      <c r="UN156" s="131">
        <f t="shared" si="278"/>
        <v>4739080</v>
      </c>
      <c r="UO156" s="131">
        <f t="shared" si="279"/>
        <v>4739080</v>
      </c>
      <c r="UP156" s="132">
        <f t="shared" si="280"/>
        <v>4739080</v>
      </c>
      <c r="UQ156" s="132">
        <f t="shared" si="281"/>
        <v>0</v>
      </c>
      <c r="UR156" s="132">
        <f t="shared" si="282"/>
        <v>0</v>
      </c>
      <c r="US156" s="132">
        <f t="shared" si="283"/>
        <v>0</v>
      </c>
      <c r="UT156" s="131">
        <f t="shared" si="284"/>
        <v>0</v>
      </c>
      <c r="UU156" s="131">
        <f t="shared" si="285"/>
        <v>0</v>
      </c>
      <c r="UV156" s="132">
        <f t="shared" si="286"/>
        <v>0</v>
      </c>
      <c r="UW156" s="132">
        <f t="shared" si="287"/>
        <v>0</v>
      </c>
      <c r="UX156" s="132">
        <f t="shared" si="288"/>
        <v>0</v>
      </c>
      <c r="UY156" s="132">
        <f t="shared" si="289"/>
        <v>0</v>
      </c>
      <c r="UZ156" s="132">
        <f t="shared" si="290"/>
        <v>0</v>
      </c>
      <c r="VA156" s="132">
        <f t="shared" si="291"/>
        <v>0</v>
      </c>
      <c r="VB156" s="131">
        <f t="shared" si="292"/>
        <v>0</v>
      </c>
      <c r="VC156" s="132">
        <f t="shared" si="293"/>
        <v>0</v>
      </c>
      <c r="VD156" s="132">
        <f t="shared" si="294"/>
        <v>0</v>
      </c>
      <c r="VE156" s="132">
        <f t="shared" si="295"/>
        <v>0</v>
      </c>
      <c r="VF156" s="132">
        <f t="shared" si="296"/>
        <v>0</v>
      </c>
      <c r="VG156" s="132">
        <f t="shared" si="297"/>
        <v>0</v>
      </c>
      <c r="VH156" s="132">
        <f t="shared" si="298"/>
        <v>0</v>
      </c>
      <c r="VI156" s="132">
        <f t="shared" si="299"/>
        <v>0</v>
      </c>
      <c r="VJ156" s="132">
        <f t="shared" si="300"/>
        <v>0</v>
      </c>
      <c r="VK156" s="132">
        <f t="shared" si="301"/>
        <v>0</v>
      </c>
      <c r="VL156" s="132">
        <f t="shared" si="302"/>
        <v>0</v>
      </c>
      <c r="VM156" s="132">
        <f t="shared" si="303"/>
        <v>0</v>
      </c>
      <c r="VN156" s="132">
        <f t="shared" si="304"/>
        <v>0</v>
      </c>
      <c r="VP156" s="845" t="str">
        <f>IFERROR(HLOOKUP(F156,'Hodnocení '!$C$1:$JH$5,2,FALSE),0)</f>
        <v>Stacionář NONA</v>
      </c>
      <c r="VQ156" s="838"/>
      <c r="VR156" s="845" t="str">
        <f t="shared" si="312"/>
        <v>Obecně prospěšná společnost</v>
      </c>
      <c r="VS156" s="845" t="str">
        <f>IFERROR(HLOOKUP(F156,'Hodnocení '!$C$1:$JH$5,5,FALSE),0)</f>
        <v>NZO</v>
      </c>
      <c r="VT156" s="838">
        <f t="shared" si="313"/>
        <v>0</v>
      </c>
      <c r="VU156" s="838">
        <f t="shared" si="314"/>
        <v>0</v>
      </c>
      <c r="VV156" s="838">
        <f t="shared" si="315"/>
        <v>942000</v>
      </c>
      <c r="VW156" s="838">
        <f t="shared" si="316"/>
        <v>0</v>
      </c>
      <c r="VX156" s="838"/>
      <c r="VY156" s="838">
        <f t="shared" si="317"/>
        <v>0</v>
      </c>
      <c r="VZ156" s="838">
        <f t="shared" si="318"/>
        <v>4739080</v>
      </c>
      <c r="WA156" s="846">
        <f>IFERROR(HLOOKUP($F156,'Hodnocení '!$C$1:$JH$9,9,FALSE),0)</f>
        <v>4739080</v>
      </c>
      <c r="WB156" s="846">
        <f>IF(IFERROR(HLOOKUP($F156,'Hodnocení '!$C$1:$JH$13,13,FALSE),0)&gt;WA156,WA156,IFERROR(HLOOKUP($F156,'Hodnocení '!$C$1:$JH$13,13,FALSE),0))</f>
        <v>4739080</v>
      </c>
      <c r="WC156" s="846">
        <f>IFERROR(HLOOKUP($F156,'Hodnocení '!$C$1:$JH$155,155,FALSE),0)</f>
        <v>4652080</v>
      </c>
      <c r="WD156" s="845"/>
      <c r="WE156" s="845"/>
      <c r="WF156" s="845" t="str">
        <f t="shared" si="305"/>
        <v>ANO</v>
      </c>
      <c r="WG156" s="849" t="str">
        <f t="shared" si="320"/>
        <v>Podpora služby je vyjádřena zařazením do sítě sociálních služeb v KHK a řešením financování služby</v>
      </c>
      <c r="WH156"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56" s="849" t="str">
        <f t="shared" si="320"/>
        <v>Návrh dotace je výsledkem projednání s ostatními zadavateli v rámci sítě služeb KHK</v>
      </c>
      <c r="WJ156" s="849" t="str">
        <f t="shared" si="320"/>
        <v>Bez komentáře</v>
      </c>
      <c r="WK156" s="31">
        <f t="shared" si="306"/>
        <v>0</v>
      </c>
      <c r="WL156" s="850">
        <f t="shared" si="307"/>
        <v>0</v>
      </c>
      <c r="WM156" s="849" t="str">
        <f t="shared" si="308"/>
        <v>V rámci sítě KHK se dlouhodobě řeší otázka navyšování úhrad a průběžně se monitoruje s vazbou na vykrytí vyrovnávací platby</v>
      </c>
      <c r="WN156" s="849">
        <f t="shared" si="309"/>
        <v>0</v>
      </c>
      <c r="WO156" s="849" t="str">
        <f t="shared" si="319"/>
        <v>bez komentáře</v>
      </c>
      <c r="WP156" s="849" t="str">
        <f t="shared" si="319"/>
        <v>bez komentáře</v>
      </c>
      <c r="WQ156" s="849" t="str">
        <f t="shared" si="319"/>
        <v>Konečná výše dotace z rozpočtu KHK bude řešena v návaznosti na řešení podílů jednotlivých zadavatelů.</v>
      </c>
      <c r="WR156" s="849" t="str">
        <f t="shared" si="319"/>
        <v>Konečná výše podpory ze stran obcí bude řešena v součinnosti s jednotlivými zadavateli v průběhu roku.</v>
      </c>
      <c r="WS156" s="849" t="str">
        <f t="shared" si="319"/>
        <v>bez komentáře</v>
      </c>
      <c r="WT156" s="849" t="str">
        <f t="shared" si="319"/>
        <v>bez komentáře</v>
      </c>
      <c r="WU156" s="845"/>
    </row>
    <row r="157" spans="1:619" s="128" customFormat="1" x14ac:dyDescent="0.25">
      <c r="A157" s="128" t="str">
        <f>VLOOKUP(F157,'Výpočet VP 2020'!$D$324:$I$588,6,FALSE)</f>
        <v>Je v síti</v>
      </c>
      <c r="B157" s="128" t="s">
        <v>728</v>
      </c>
      <c r="C157" s="128">
        <v>46524339</v>
      </c>
      <c r="D157" s="128" t="s">
        <v>729</v>
      </c>
      <c r="E157" s="128" t="s">
        <v>216</v>
      </c>
      <c r="F157" s="128">
        <v>7381195</v>
      </c>
      <c r="G157" s="128" t="s">
        <v>235</v>
      </c>
      <c r="H157" s="128" t="s">
        <v>230</v>
      </c>
      <c r="I157" s="128" t="s">
        <v>731</v>
      </c>
      <c r="J157" s="129">
        <v>41883</v>
      </c>
      <c r="L157" s="128" t="s">
        <v>220</v>
      </c>
      <c r="X157" s="128" t="s">
        <v>238</v>
      </c>
      <c r="Z157" s="128">
        <v>4</v>
      </c>
      <c r="AA157" s="128">
        <v>4</v>
      </c>
      <c r="AB157" s="128">
        <v>14</v>
      </c>
      <c r="AC157" s="128">
        <v>12</v>
      </c>
      <c r="AD157" s="128">
        <v>12</v>
      </c>
      <c r="BL157" s="128" t="s">
        <v>732</v>
      </c>
      <c r="BM157" s="128" t="s">
        <v>247</v>
      </c>
      <c r="BN157" s="128" t="s">
        <v>490</v>
      </c>
      <c r="EK157" s="128">
        <v>1</v>
      </c>
      <c r="EL157" s="128">
        <v>0.25</v>
      </c>
      <c r="EM157" s="128">
        <v>0.25</v>
      </c>
      <c r="EN157" s="128">
        <v>161279</v>
      </c>
      <c r="EO157" s="128">
        <v>22982</v>
      </c>
      <c r="EP157" s="128">
        <v>3</v>
      </c>
      <c r="EQ157" s="128">
        <v>0.9</v>
      </c>
      <c r="ER157" s="128">
        <v>0.9</v>
      </c>
      <c r="ES157" s="128">
        <v>501853</v>
      </c>
      <c r="ET157" s="128">
        <v>71514</v>
      </c>
      <c r="FO157" s="128">
        <v>2</v>
      </c>
      <c r="FP157" s="128">
        <v>0.185</v>
      </c>
      <c r="FQ157" s="128">
        <v>0.185</v>
      </c>
      <c r="FR157" s="128">
        <v>127768</v>
      </c>
      <c r="FS157" s="128">
        <v>18230</v>
      </c>
      <c r="IN157" s="128">
        <v>1</v>
      </c>
      <c r="IO157" s="128">
        <v>56</v>
      </c>
      <c r="IP157" s="128">
        <v>2.7E-2</v>
      </c>
      <c r="IQ157" s="128">
        <v>7560</v>
      </c>
      <c r="IR157" s="128">
        <v>0</v>
      </c>
      <c r="IS157" s="128">
        <v>1</v>
      </c>
      <c r="IT157" s="128">
        <v>10</v>
      </c>
      <c r="IU157" s="128">
        <v>5.0000000000000001E-3</v>
      </c>
      <c r="IV157" s="128">
        <v>1000</v>
      </c>
      <c r="IW157" s="128">
        <v>0</v>
      </c>
      <c r="KG157" s="128">
        <v>0</v>
      </c>
      <c r="KI157" s="128">
        <v>1.1499999999999999</v>
      </c>
      <c r="KJ157" s="128">
        <v>0</v>
      </c>
      <c r="KK157" s="128">
        <v>2.7E-2</v>
      </c>
      <c r="KL157" s="128">
        <v>0</v>
      </c>
      <c r="KM157" s="128">
        <v>1.177</v>
      </c>
      <c r="KN157" s="128">
        <v>790900</v>
      </c>
      <c r="KO157" s="128">
        <v>112726</v>
      </c>
      <c r="KP157" s="128">
        <v>112726</v>
      </c>
      <c r="KT157" s="128">
        <v>0</v>
      </c>
      <c r="KU157" s="128">
        <v>0</v>
      </c>
      <c r="KV157" s="128">
        <v>0</v>
      </c>
      <c r="KZ157" s="128">
        <v>8560</v>
      </c>
      <c r="LA157" s="128">
        <v>0</v>
      </c>
      <c r="LB157" s="128">
        <v>0</v>
      </c>
      <c r="LF157" s="128">
        <v>5100</v>
      </c>
      <c r="LG157" s="128">
        <v>0</v>
      </c>
      <c r="LH157" s="128">
        <v>0</v>
      </c>
      <c r="LL157" s="128">
        <v>0</v>
      </c>
      <c r="LM157" s="128">
        <v>0</v>
      </c>
      <c r="LN157" s="128">
        <v>0</v>
      </c>
      <c r="LR157" s="128">
        <v>15000</v>
      </c>
      <c r="LS157" s="128">
        <v>0</v>
      </c>
      <c r="LT157" s="128">
        <v>0</v>
      </c>
      <c r="LX157" s="128">
        <v>0</v>
      </c>
      <c r="LY157" s="128">
        <v>0</v>
      </c>
      <c r="LZ157" s="128">
        <v>0</v>
      </c>
      <c r="MD157" s="128">
        <v>3000</v>
      </c>
      <c r="ME157" s="128">
        <v>0</v>
      </c>
      <c r="MF157" s="128">
        <v>0</v>
      </c>
      <c r="MJ157" s="128">
        <v>500</v>
      </c>
      <c r="MK157" s="128">
        <v>0</v>
      </c>
      <c r="ML157" s="128">
        <v>0</v>
      </c>
      <c r="MP157" s="128">
        <v>23000</v>
      </c>
      <c r="MQ157" s="128">
        <v>0</v>
      </c>
      <c r="MR157" s="128">
        <v>0</v>
      </c>
      <c r="MV157" s="128">
        <v>39000</v>
      </c>
      <c r="MW157" s="128">
        <v>0</v>
      </c>
      <c r="MX157" s="128">
        <v>0</v>
      </c>
      <c r="NB157" s="128">
        <v>3100</v>
      </c>
      <c r="NC157" s="128">
        <v>0</v>
      </c>
      <c r="ND157" s="128">
        <v>0</v>
      </c>
      <c r="NH157" s="128">
        <v>32100</v>
      </c>
      <c r="NI157" s="128">
        <v>0</v>
      </c>
      <c r="NJ157" s="128">
        <v>0</v>
      </c>
      <c r="NN157" s="128">
        <v>7000</v>
      </c>
      <c r="NO157" s="128">
        <v>0</v>
      </c>
      <c r="NP157" s="128">
        <v>0</v>
      </c>
      <c r="NT157" s="128">
        <v>4000</v>
      </c>
      <c r="NU157" s="128">
        <v>0</v>
      </c>
      <c r="NV157" s="128">
        <v>0</v>
      </c>
      <c r="NZ157" s="128">
        <v>5000</v>
      </c>
      <c r="OA157" s="128">
        <v>0</v>
      </c>
      <c r="OB157" s="128">
        <v>0</v>
      </c>
      <c r="OF157" s="128">
        <v>0</v>
      </c>
      <c r="OG157" s="128">
        <v>0</v>
      </c>
      <c r="OH157" s="128">
        <v>0</v>
      </c>
      <c r="OL157" s="128">
        <v>0</v>
      </c>
      <c r="OM157" s="128">
        <v>0</v>
      </c>
      <c r="ON157" s="128">
        <v>0</v>
      </c>
      <c r="OR157" s="128">
        <v>0</v>
      </c>
      <c r="OS157" s="128">
        <v>0</v>
      </c>
      <c r="OT157" s="128">
        <v>0</v>
      </c>
      <c r="OX157" s="128">
        <v>18000</v>
      </c>
      <c r="OY157" s="128">
        <v>0</v>
      </c>
      <c r="OZ157" s="128">
        <v>0</v>
      </c>
      <c r="PD157" s="128">
        <v>0</v>
      </c>
      <c r="PE157" s="128">
        <v>0</v>
      </c>
      <c r="PF157" s="128">
        <v>0</v>
      </c>
      <c r="PJ157" s="128">
        <v>5700</v>
      </c>
      <c r="PK157" s="128">
        <v>0</v>
      </c>
      <c r="PL157" s="128">
        <v>0</v>
      </c>
      <c r="PP157" s="128">
        <v>959960</v>
      </c>
      <c r="PQ157" s="128">
        <v>112726</v>
      </c>
      <c r="PR157" s="128">
        <v>112726</v>
      </c>
      <c r="PS157" s="128">
        <v>100</v>
      </c>
      <c r="PT157" s="128">
        <v>100</v>
      </c>
      <c r="PX157" s="128">
        <v>136600</v>
      </c>
      <c r="PY157" s="128">
        <v>491755</v>
      </c>
      <c r="PZ157" s="128">
        <v>112726</v>
      </c>
      <c r="QA157" s="128">
        <v>0</v>
      </c>
      <c r="QB157" s="128">
        <v>0</v>
      </c>
      <c r="QC157" s="128">
        <v>0</v>
      </c>
      <c r="QD157" s="128">
        <v>0</v>
      </c>
      <c r="QE157" s="128">
        <v>0</v>
      </c>
      <c r="QF157" s="128">
        <v>0</v>
      </c>
      <c r="QG157" s="128">
        <v>0</v>
      </c>
      <c r="QH157" s="128">
        <v>0</v>
      </c>
      <c r="QI157" s="128">
        <v>0</v>
      </c>
      <c r="QJ157" s="128">
        <v>0</v>
      </c>
      <c r="QK157" s="128">
        <v>0</v>
      </c>
      <c r="QL157" s="128">
        <v>0</v>
      </c>
      <c r="QN157" s="128">
        <v>0</v>
      </c>
      <c r="QO157" s="128">
        <v>0</v>
      </c>
      <c r="QP157" s="128">
        <v>0</v>
      </c>
      <c r="QX157" s="128">
        <v>0</v>
      </c>
      <c r="QY157" s="128">
        <v>0</v>
      </c>
      <c r="QZ157" s="128">
        <v>27000</v>
      </c>
      <c r="RA157" s="128">
        <v>647340</v>
      </c>
      <c r="RB157" s="128">
        <v>323681</v>
      </c>
      <c r="RC157" s="128">
        <v>805234</v>
      </c>
      <c r="RD157" s="128">
        <v>0</v>
      </c>
      <c r="RE157" s="128">
        <v>0</v>
      </c>
      <c r="RF157" s="128">
        <v>15000</v>
      </c>
      <c r="RH157" s="128">
        <f t="shared" si="310"/>
        <v>959960</v>
      </c>
      <c r="RI157" s="128">
        <v>0</v>
      </c>
      <c r="RM157" s="128" t="s">
        <v>220</v>
      </c>
      <c r="RU157" s="130"/>
      <c r="RV157" s="130"/>
      <c r="RW157" s="130"/>
      <c r="RX157" s="130"/>
      <c r="SF157" s="128">
        <f t="shared" si="220"/>
        <v>7381195</v>
      </c>
      <c r="SG157" s="131">
        <f t="shared" si="221"/>
        <v>959960</v>
      </c>
      <c r="SH157" s="131">
        <f t="shared" si="222"/>
        <v>959960</v>
      </c>
      <c r="SI157" s="131">
        <f t="shared" si="223"/>
        <v>804560</v>
      </c>
      <c r="SJ157" s="132">
        <f t="shared" si="224"/>
        <v>790900</v>
      </c>
      <c r="SK157" s="132">
        <f t="shared" si="225"/>
        <v>0</v>
      </c>
      <c r="SL157" s="132">
        <f t="shared" si="226"/>
        <v>8560</v>
      </c>
      <c r="SM157" s="132">
        <f t="shared" si="227"/>
        <v>5100</v>
      </c>
      <c r="SN157" s="131">
        <f t="shared" si="228"/>
        <v>155400</v>
      </c>
      <c r="SO157" s="131">
        <f t="shared" si="229"/>
        <v>15000</v>
      </c>
      <c r="SP157" s="132">
        <f t="shared" si="230"/>
        <v>0</v>
      </c>
      <c r="SQ157" s="132">
        <f t="shared" si="231"/>
        <v>15000</v>
      </c>
      <c r="SR157" s="132">
        <f t="shared" si="232"/>
        <v>0</v>
      </c>
      <c r="SS157" s="132">
        <f t="shared" si="233"/>
        <v>3000</v>
      </c>
      <c r="ST157" s="132">
        <f t="shared" si="234"/>
        <v>500</v>
      </c>
      <c r="SU157" s="132">
        <f t="shared" si="235"/>
        <v>23000</v>
      </c>
      <c r="SV157" s="131">
        <f t="shared" si="236"/>
        <v>108200</v>
      </c>
      <c r="SW157" s="132">
        <f t="shared" si="237"/>
        <v>39000</v>
      </c>
      <c r="SX157" s="132">
        <f t="shared" si="238"/>
        <v>3100</v>
      </c>
      <c r="SY157" s="132">
        <f t="shared" si="239"/>
        <v>32100</v>
      </c>
      <c r="SZ157" s="132">
        <f t="shared" si="240"/>
        <v>7000</v>
      </c>
      <c r="TA157" s="132">
        <f t="shared" si="241"/>
        <v>4000</v>
      </c>
      <c r="TB157" s="132">
        <f t="shared" si="242"/>
        <v>5000</v>
      </c>
      <c r="TC157" s="132">
        <f t="shared" si="243"/>
        <v>0</v>
      </c>
      <c r="TD157" s="132">
        <f t="shared" si="244"/>
        <v>0</v>
      </c>
      <c r="TE157" s="132">
        <f t="shared" si="245"/>
        <v>0</v>
      </c>
      <c r="TF157" s="132">
        <f t="shared" si="246"/>
        <v>18000</v>
      </c>
      <c r="TG157" s="132">
        <f t="shared" si="247"/>
        <v>0</v>
      </c>
      <c r="TH157" s="132">
        <f t="shared" si="248"/>
        <v>5700</v>
      </c>
      <c r="TI157" s="1"/>
      <c r="TJ157" s="131">
        <f t="shared" si="249"/>
        <v>112726</v>
      </c>
      <c r="TK157" s="131">
        <f t="shared" si="250"/>
        <v>112726</v>
      </c>
      <c r="TL157" s="131">
        <f t="shared" si="251"/>
        <v>112726</v>
      </c>
      <c r="TM157" s="132">
        <f t="shared" si="252"/>
        <v>112726</v>
      </c>
      <c r="TN157" s="132">
        <f t="shared" si="253"/>
        <v>0</v>
      </c>
      <c r="TO157" s="132">
        <f t="shared" si="254"/>
        <v>0</v>
      </c>
      <c r="TP157" s="132">
        <f t="shared" si="255"/>
        <v>0</v>
      </c>
      <c r="TQ157" s="131">
        <f t="shared" si="256"/>
        <v>0</v>
      </c>
      <c r="TR157" s="131">
        <f t="shared" si="257"/>
        <v>0</v>
      </c>
      <c r="TS157" s="132">
        <f t="shared" si="258"/>
        <v>0</v>
      </c>
      <c r="TT157" s="132">
        <f t="shared" si="259"/>
        <v>0</v>
      </c>
      <c r="TU157" s="132">
        <f t="shared" si="260"/>
        <v>0</v>
      </c>
      <c r="TV157" s="132">
        <f t="shared" si="261"/>
        <v>0</v>
      </c>
      <c r="TW157" s="132">
        <f t="shared" si="262"/>
        <v>0</v>
      </c>
      <c r="TX157" s="132">
        <f t="shared" si="263"/>
        <v>0</v>
      </c>
      <c r="TY157" s="131">
        <f t="shared" si="264"/>
        <v>0</v>
      </c>
      <c r="TZ157" s="132">
        <f t="shared" si="265"/>
        <v>0</v>
      </c>
      <c r="UA157" s="132">
        <f t="shared" si="266"/>
        <v>0</v>
      </c>
      <c r="UB157" s="132">
        <f t="shared" si="267"/>
        <v>0</v>
      </c>
      <c r="UC157" s="132">
        <f t="shared" si="268"/>
        <v>0</v>
      </c>
      <c r="UD157" s="132">
        <f t="shared" si="269"/>
        <v>0</v>
      </c>
      <c r="UE157" s="132">
        <f t="shared" si="270"/>
        <v>0</v>
      </c>
      <c r="UF157" s="132">
        <f t="shared" si="271"/>
        <v>0</v>
      </c>
      <c r="UG157" s="132">
        <f t="shared" si="272"/>
        <v>0</v>
      </c>
      <c r="UH157" s="132">
        <f t="shared" si="273"/>
        <v>0</v>
      </c>
      <c r="UI157" s="132">
        <f t="shared" si="274"/>
        <v>0</v>
      </c>
      <c r="UJ157" s="132">
        <f t="shared" si="275"/>
        <v>0</v>
      </c>
      <c r="UK157" s="132">
        <f t="shared" si="276"/>
        <v>0</v>
      </c>
      <c r="UL157" s="132">
        <f t="shared" si="311"/>
        <v>112726</v>
      </c>
      <c r="UM157" s="131">
        <f t="shared" si="277"/>
        <v>112726</v>
      </c>
      <c r="UN157" s="131">
        <f t="shared" si="278"/>
        <v>112726</v>
      </c>
      <c r="UO157" s="131">
        <f t="shared" si="279"/>
        <v>112726</v>
      </c>
      <c r="UP157" s="132">
        <f t="shared" si="280"/>
        <v>112726</v>
      </c>
      <c r="UQ157" s="132">
        <f t="shared" si="281"/>
        <v>0</v>
      </c>
      <c r="UR157" s="132">
        <f t="shared" si="282"/>
        <v>0</v>
      </c>
      <c r="US157" s="132">
        <f t="shared" si="283"/>
        <v>0</v>
      </c>
      <c r="UT157" s="131">
        <f t="shared" si="284"/>
        <v>0</v>
      </c>
      <c r="UU157" s="131">
        <f t="shared" si="285"/>
        <v>0</v>
      </c>
      <c r="UV157" s="132">
        <f t="shared" si="286"/>
        <v>0</v>
      </c>
      <c r="UW157" s="132">
        <f t="shared" si="287"/>
        <v>0</v>
      </c>
      <c r="UX157" s="132">
        <f t="shared" si="288"/>
        <v>0</v>
      </c>
      <c r="UY157" s="132">
        <f t="shared" si="289"/>
        <v>0</v>
      </c>
      <c r="UZ157" s="132">
        <f t="shared" si="290"/>
        <v>0</v>
      </c>
      <c r="VA157" s="132">
        <f t="shared" si="291"/>
        <v>0</v>
      </c>
      <c r="VB157" s="131">
        <f t="shared" si="292"/>
        <v>0</v>
      </c>
      <c r="VC157" s="132">
        <f t="shared" si="293"/>
        <v>0</v>
      </c>
      <c r="VD157" s="132">
        <f t="shared" si="294"/>
        <v>0</v>
      </c>
      <c r="VE157" s="132">
        <f t="shared" si="295"/>
        <v>0</v>
      </c>
      <c r="VF157" s="132">
        <f t="shared" si="296"/>
        <v>0</v>
      </c>
      <c r="VG157" s="132">
        <f t="shared" si="297"/>
        <v>0</v>
      </c>
      <c r="VH157" s="132">
        <f t="shared" si="298"/>
        <v>0</v>
      </c>
      <c r="VI157" s="132">
        <f t="shared" si="299"/>
        <v>0</v>
      </c>
      <c r="VJ157" s="132">
        <f t="shared" si="300"/>
        <v>0</v>
      </c>
      <c r="VK157" s="132">
        <f t="shared" si="301"/>
        <v>0</v>
      </c>
      <c r="VL157" s="132">
        <f t="shared" si="302"/>
        <v>0</v>
      </c>
      <c r="VM157" s="132">
        <f t="shared" si="303"/>
        <v>0</v>
      </c>
      <c r="VN157" s="132">
        <f t="shared" si="304"/>
        <v>0</v>
      </c>
      <c r="VP157" s="845" t="str">
        <f>IFERROR(HLOOKUP(F157,'Hodnocení '!$C$1:$JH$5,2,FALSE),0)</f>
        <v>Sociální rehabilitace NONA</v>
      </c>
      <c r="VQ157" s="838"/>
      <c r="VR157" s="845" t="str">
        <f t="shared" si="312"/>
        <v>Obecně prospěšná společnost</v>
      </c>
      <c r="VS157" s="845" t="str">
        <f>IFERROR(HLOOKUP(F157,'Hodnocení '!$C$1:$JH$5,5,FALSE),0)</f>
        <v>NZO</v>
      </c>
      <c r="VT157" s="838">
        <f t="shared" si="313"/>
        <v>0</v>
      </c>
      <c r="VU157" s="838">
        <f t="shared" si="314"/>
        <v>0</v>
      </c>
      <c r="VV157" s="838">
        <f t="shared" si="315"/>
        <v>0</v>
      </c>
      <c r="VW157" s="838">
        <f t="shared" si="316"/>
        <v>0</v>
      </c>
      <c r="VX157" s="838"/>
      <c r="VY157" s="838">
        <f t="shared" si="317"/>
        <v>0</v>
      </c>
      <c r="VZ157" s="838">
        <f t="shared" si="318"/>
        <v>112726</v>
      </c>
      <c r="WA157" s="846">
        <f>IFERROR(HLOOKUP($F157,'Hodnocení '!$C$1:$JH$9,9,FALSE),0)</f>
        <v>112726</v>
      </c>
      <c r="WB157" s="846">
        <f>IF(IFERROR(HLOOKUP($F157,'Hodnocení '!$C$1:$JH$13,13,FALSE),0)&gt;WA157,WA157,IFERROR(HLOOKUP($F157,'Hodnocení '!$C$1:$JH$13,13,FALSE),0))</f>
        <v>112726</v>
      </c>
      <c r="WC157" s="846">
        <f>IFERROR(HLOOKUP($F157,'Hodnocení '!$C$1:$JH$155,155,FALSE),0)</f>
        <v>0</v>
      </c>
      <c r="WD157" s="845"/>
      <c r="WE157" s="845"/>
      <c r="WF157" s="845" t="str">
        <f t="shared" si="305"/>
        <v>ANO</v>
      </c>
      <c r="WG157" s="849" t="str">
        <f t="shared" si="320"/>
        <v>Podpora služby je vyjádřena zařazením do sítě sociálních služeb v KHK a řešením financování služby</v>
      </c>
      <c r="WH157"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57" s="849" t="str">
        <f t="shared" si="320"/>
        <v>Návrh dotace je výsledkem projednání s ostatními zadavateli v rámci sítě služeb KHK</v>
      </c>
      <c r="WJ157" s="849" t="str">
        <f t="shared" si="320"/>
        <v>Bez komentáře</v>
      </c>
      <c r="WK157" s="31">
        <f t="shared" si="306"/>
        <v>0</v>
      </c>
      <c r="WL157" s="850">
        <f t="shared" si="307"/>
        <v>0</v>
      </c>
      <c r="WM157" s="849">
        <f t="shared" si="308"/>
        <v>0</v>
      </c>
      <c r="WN157" s="849">
        <f t="shared" si="309"/>
        <v>0</v>
      </c>
      <c r="WO157" s="849" t="str">
        <f t="shared" si="319"/>
        <v>bez komentáře</v>
      </c>
      <c r="WP157" s="849" t="str">
        <f t="shared" si="319"/>
        <v>bez komentáře</v>
      </c>
      <c r="WQ157" s="849" t="str">
        <f t="shared" si="319"/>
        <v>Konečná výše dotace z rozpočtu KHK bude řešena v návaznosti na řešení podílů jednotlivých zadavatelů.</v>
      </c>
      <c r="WR157" s="849" t="str">
        <f t="shared" si="319"/>
        <v>Konečná výše podpory ze stran obcí bude řešena v součinnosti s jednotlivými zadavateli v průběhu roku.</v>
      </c>
      <c r="WS157" s="849" t="str">
        <f t="shared" si="319"/>
        <v>bez komentáře</v>
      </c>
      <c r="WT157" s="849" t="str">
        <f t="shared" si="319"/>
        <v>bez komentáře</v>
      </c>
      <c r="WU157" s="845"/>
    </row>
    <row r="158" spans="1:619" s="128" customFormat="1" x14ac:dyDescent="0.25">
      <c r="A158" s="128" t="str">
        <f>VLOOKUP(F158,'Výpočet VP 2020'!$D$324:$I$588,6,FALSE)</f>
        <v>Je v síti</v>
      </c>
      <c r="B158" s="128" t="s">
        <v>733</v>
      </c>
      <c r="C158" s="128">
        <v>25916360</v>
      </c>
      <c r="D158" s="128" t="s">
        <v>734</v>
      </c>
      <c r="E158" s="128" t="s">
        <v>216</v>
      </c>
      <c r="F158" s="128">
        <v>3040542</v>
      </c>
      <c r="G158" s="128" t="s">
        <v>292</v>
      </c>
      <c r="H158" s="128" t="s">
        <v>293</v>
      </c>
      <c r="I158" s="128" t="s">
        <v>735</v>
      </c>
      <c r="J158" s="129">
        <v>39083</v>
      </c>
      <c r="L158" s="128" t="s">
        <v>220</v>
      </c>
      <c r="X158" s="128" t="s">
        <v>649</v>
      </c>
      <c r="AI158" s="128">
        <v>1</v>
      </c>
      <c r="AJ158" s="128">
        <v>8</v>
      </c>
      <c r="AK158" s="128">
        <v>702</v>
      </c>
      <c r="AL158" s="128">
        <v>750</v>
      </c>
      <c r="AM158" s="128">
        <v>800</v>
      </c>
      <c r="AO158" s="128" t="s">
        <v>736</v>
      </c>
      <c r="AP158" s="128" t="s">
        <v>737</v>
      </c>
      <c r="BE158" s="128">
        <v>1</v>
      </c>
      <c r="BF158" s="128">
        <v>1</v>
      </c>
      <c r="BG158" s="128">
        <v>1</v>
      </c>
      <c r="BH158" s="128">
        <v>1</v>
      </c>
      <c r="BI158" s="128">
        <v>3</v>
      </c>
      <c r="BK158" s="128" t="s">
        <v>738</v>
      </c>
      <c r="BL158" s="128" t="s">
        <v>739</v>
      </c>
      <c r="BM158" s="128" t="s">
        <v>340</v>
      </c>
      <c r="BN158" s="128" t="s">
        <v>424</v>
      </c>
      <c r="EK158" s="128">
        <v>2</v>
      </c>
      <c r="EL158" s="128">
        <v>1.35</v>
      </c>
      <c r="EM158" s="128">
        <v>1.3</v>
      </c>
      <c r="EN158" s="128">
        <v>607500</v>
      </c>
      <c r="EO158" s="128">
        <v>557500</v>
      </c>
      <c r="FO158" s="128">
        <v>3</v>
      </c>
      <c r="FP158" s="128">
        <v>0.38</v>
      </c>
      <c r="FQ158" s="128">
        <v>0.5</v>
      </c>
      <c r="FR158" s="128">
        <v>180311</v>
      </c>
      <c r="FS158" s="128">
        <v>180311</v>
      </c>
      <c r="IS158" s="128">
        <v>2</v>
      </c>
      <c r="IT158" s="128">
        <v>162</v>
      </c>
      <c r="IU158" s="128">
        <v>7.6999999999999999E-2</v>
      </c>
      <c r="IV158" s="128">
        <v>33210</v>
      </c>
      <c r="IW158" s="128">
        <v>33210</v>
      </c>
      <c r="KG158" s="128">
        <v>0</v>
      </c>
      <c r="KI158" s="128">
        <v>1.35</v>
      </c>
      <c r="KJ158" s="128">
        <v>0</v>
      </c>
      <c r="KK158" s="128">
        <v>0</v>
      </c>
      <c r="KL158" s="128">
        <v>0</v>
      </c>
      <c r="KM158" s="128">
        <v>1.35</v>
      </c>
      <c r="KN158" s="128">
        <v>787811</v>
      </c>
      <c r="KO158" s="128">
        <v>737811</v>
      </c>
      <c r="KP158" s="128">
        <v>737811</v>
      </c>
      <c r="KT158" s="128">
        <v>0</v>
      </c>
      <c r="KU158" s="128">
        <v>0</v>
      </c>
      <c r="KV158" s="128">
        <v>0</v>
      </c>
      <c r="KZ158" s="128">
        <v>33210</v>
      </c>
      <c r="LA158" s="128">
        <v>33210</v>
      </c>
      <c r="LB158" s="128">
        <v>33210</v>
      </c>
      <c r="LF158" s="128">
        <v>4000</v>
      </c>
      <c r="LG158" s="128">
        <v>1000</v>
      </c>
      <c r="LH158" s="128">
        <v>1000</v>
      </c>
      <c r="LL158" s="128">
        <v>0</v>
      </c>
      <c r="LM158" s="128">
        <v>0</v>
      </c>
      <c r="LN158" s="128">
        <v>0</v>
      </c>
      <c r="LR158" s="128">
        <v>25000</v>
      </c>
      <c r="LS158" s="128">
        <v>25000</v>
      </c>
      <c r="LT158" s="128">
        <v>25000</v>
      </c>
      <c r="LX158" s="128">
        <v>0</v>
      </c>
      <c r="LY158" s="128">
        <v>0</v>
      </c>
      <c r="LZ158" s="128">
        <v>0</v>
      </c>
      <c r="MD158" s="128">
        <v>10000</v>
      </c>
      <c r="ME158" s="128">
        <v>10000</v>
      </c>
      <c r="MF158" s="128">
        <v>10000</v>
      </c>
      <c r="MJ158" s="128">
        <v>0</v>
      </c>
      <c r="MK158" s="128">
        <v>0</v>
      </c>
      <c r="ML158" s="128">
        <v>0</v>
      </c>
      <c r="MP158" s="128">
        <v>35000</v>
      </c>
      <c r="MQ158" s="128">
        <v>20000</v>
      </c>
      <c r="MR158" s="128">
        <v>20000</v>
      </c>
      <c r="MV158" s="128">
        <v>25000</v>
      </c>
      <c r="MW158" s="128">
        <v>12500</v>
      </c>
      <c r="MX158" s="128">
        <v>12500</v>
      </c>
      <c r="NB158" s="128">
        <v>20000</v>
      </c>
      <c r="NC158" s="128">
        <v>15000</v>
      </c>
      <c r="ND158" s="128">
        <v>15000</v>
      </c>
      <c r="NH158" s="128">
        <v>70000</v>
      </c>
      <c r="NI158" s="128">
        <v>60000</v>
      </c>
      <c r="NJ158" s="128">
        <v>60000</v>
      </c>
      <c r="NN158" s="128">
        <v>13000</v>
      </c>
      <c r="NO158" s="128">
        <v>13000</v>
      </c>
      <c r="NP158" s="128">
        <v>13000</v>
      </c>
      <c r="NT158" s="128">
        <v>6000</v>
      </c>
      <c r="NU158" s="128">
        <v>3000</v>
      </c>
      <c r="NV158" s="128">
        <v>3000</v>
      </c>
      <c r="NZ158" s="128">
        <v>3000</v>
      </c>
      <c r="OA158" s="128">
        <v>1500</v>
      </c>
      <c r="OB158" s="128">
        <v>1500</v>
      </c>
      <c r="OF158" s="128">
        <v>35000</v>
      </c>
      <c r="OG158" s="128">
        <v>35000</v>
      </c>
      <c r="OH158" s="128">
        <v>35000</v>
      </c>
      <c r="OL158" s="128">
        <v>0</v>
      </c>
      <c r="OM158" s="128">
        <v>0</v>
      </c>
      <c r="ON158" s="128">
        <v>0</v>
      </c>
      <c r="OR158" s="128">
        <v>0</v>
      </c>
      <c r="OS158" s="128">
        <v>0</v>
      </c>
      <c r="OT158" s="128">
        <v>0</v>
      </c>
      <c r="OX158" s="128">
        <v>40000</v>
      </c>
      <c r="OY158" s="128">
        <v>40000</v>
      </c>
      <c r="OZ158" s="128">
        <v>40000</v>
      </c>
      <c r="PD158" s="128">
        <v>0</v>
      </c>
      <c r="PE158" s="128">
        <v>0</v>
      </c>
      <c r="PF158" s="128">
        <v>0</v>
      </c>
      <c r="PJ158" s="128">
        <v>6000</v>
      </c>
      <c r="PK158" s="128">
        <v>6000</v>
      </c>
      <c r="PL158" s="128">
        <v>6000</v>
      </c>
      <c r="PP158" s="128">
        <v>1113021</v>
      </c>
      <c r="PQ158" s="128">
        <v>1013021</v>
      </c>
      <c r="PR158" s="128">
        <v>1013021</v>
      </c>
      <c r="PS158" s="128">
        <v>100</v>
      </c>
      <c r="PT158" s="128">
        <v>100</v>
      </c>
      <c r="PX158" s="128">
        <v>782340</v>
      </c>
      <c r="PY158" s="128">
        <v>809340</v>
      </c>
      <c r="PZ158" s="128">
        <v>1013021</v>
      </c>
      <c r="QA158" s="128">
        <v>0</v>
      </c>
      <c r="QB158" s="128">
        <v>0</v>
      </c>
      <c r="QC158" s="128">
        <v>0</v>
      </c>
      <c r="QD158" s="128">
        <v>0</v>
      </c>
      <c r="QE158" s="128">
        <v>0</v>
      </c>
      <c r="QF158" s="128">
        <v>0</v>
      </c>
      <c r="QG158" s="128">
        <v>0</v>
      </c>
      <c r="QH158" s="128">
        <v>0</v>
      </c>
      <c r="QI158" s="128">
        <v>0</v>
      </c>
      <c r="QJ158" s="128">
        <v>0</v>
      </c>
      <c r="QK158" s="128">
        <v>0</v>
      </c>
      <c r="QL158" s="128">
        <v>0</v>
      </c>
      <c r="QN158" s="128">
        <v>0</v>
      </c>
      <c r="QO158" s="128">
        <v>0</v>
      </c>
      <c r="QP158" s="128">
        <v>0</v>
      </c>
      <c r="QU158" s="128">
        <v>0</v>
      </c>
      <c r="QV158" s="128">
        <v>65000</v>
      </c>
      <c r="QW158" s="128">
        <v>0</v>
      </c>
      <c r="QX158" s="128">
        <v>80000</v>
      </c>
      <c r="QY158" s="128">
        <v>90000</v>
      </c>
      <c r="QZ158" s="128">
        <v>100000</v>
      </c>
      <c r="RH158" s="128">
        <f t="shared" si="310"/>
        <v>1113021</v>
      </c>
      <c r="RI158" s="128">
        <v>0</v>
      </c>
      <c r="RM158" s="128" t="s">
        <v>220</v>
      </c>
      <c r="RU158" s="130"/>
      <c r="RV158" s="130"/>
      <c r="RW158" s="130"/>
      <c r="RX158" s="130"/>
      <c r="SF158" s="128">
        <f t="shared" si="220"/>
        <v>3040542</v>
      </c>
      <c r="SG158" s="131">
        <f t="shared" si="221"/>
        <v>1113021</v>
      </c>
      <c r="SH158" s="131">
        <f t="shared" si="222"/>
        <v>1113021</v>
      </c>
      <c r="SI158" s="131">
        <f t="shared" si="223"/>
        <v>825021</v>
      </c>
      <c r="SJ158" s="132">
        <f t="shared" si="224"/>
        <v>787811</v>
      </c>
      <c r="SK158" s="132">
        <f t="shared" si="225"/>
        <v>0</v>
      </c>
      <c r="SL158" s="132">
        <f t="shared" si="226"/>
        <v>33210</v>
      </c>
      <c r="SM158" s="132">
        <f t="shared" si="227"/>
        <v>4000</v>
      </c>
      <c r="SN158" s="131">
        <f t="shared" si="228"/>
        <v>288000</v>
      </c>
      <c r="SO158" s="131">
        <f t="shared" si="229"/>
        <v>25000</v>
      </c>
      <c r="SP158" s="132">
        <f t="shared" si="230"/>
        <v>0</v>
      </c>
      <c r="SQ158" s="132">
        <f t="shared" si="231"/>
        <v>25000</v>
      </c>
      <c r="SR158" s="132">
        <f t="shared" si="232"/>
        <v>0</v>
      </c>
      <c r="SS158" s="132">
        <f t="shared" si="233"/>
        <v>10000</v>
      </c>
      <c r="ST158" s="132">
        <f t="shared" si="234"/>
        <v>0</v>
      </c>
      <c r="SU158" s="132">
        <f t="shared" si="235"/>
        <v>35000</v>
      </c>
      <c r="SV158" s="131">
        <f t="shared" si="236"/>
        <v>212000</v>
      </c>
      <c r="SW158" s="132">
        <f t="shared" si="237"/>
        <v>25000</v>
      </c>
      <c r="SX158" s="132">
        <f t="shared" si="238"/>
        <v>20000</v>
      </c>
      <c r="SY158" s="132">
        <f t="shared" si="239"/>
        <v>70000</v>
      </c>
      <c r="SZ158" s="132">
        <f t="shared" si="240"/>
        <v>13000</v>
      </c>
      <c r="TA158" s="132">
        <f t="shared" si="241"/>
        <v>6000</v>
      </c>
      <c r="TB158" s="132">
        <f t="shared" si="242"/>
        <v>3000</v>
      </c>
      <c r="TC158" s="132">
        <f t="shared" si="243"/>
        <v>35000</v>
      </c>
      <c r="TD158" s="132">
        <f t="shared" si="244"/>
        <v>0</v>
      </c>
      <c r="TE158" s="132">
        <f t="shared" si="245"/>
        <v>0</v>
      </c>
      <c r="TF158" s="132">
        <f t="shared" si="246"/>
        <v>40000</v>
      </c>
      <c r="TG158" s="132">
        <f t="shared" si="247"/>
        <v>0</v>
      </c>
      <c r="TH158" s="132">
        <f t="shared" si="248"/>
        <v>6000</v>
      </c>
      <c r="TI158" s="1"/>
      <c r="TJ158" s="131">
        <f t="shared" si="249"/>
        <v>1013021</v>
      </c>
      <c r="TK158" s="131">
        <f t="shared" si="250"/>
        <v>1013021</v>
      </c>
      <c r="TL158" s="131">
        <f t="shared" si="251"/>
        <v>772021</v>
      </c>
      <c r="TM158" s="132">
        <f t="shared" si="252"/>
        <v>737811</v>
      </c>
      <c r="TN158" s="132">
        <f t="shared" si="253"/>
        <v>0</v>
      </c>
      <c r="TO158" s="132">
        <f t="shared" si="254"/>
        <v>33210</v>
      </c>
      <c r="TP158" s="132">
        <f t="shared" si="255"/>
        <v>1000</v>
      </c>
      <c r="TQ158" s="131">
        <f t="shared" si="256"/>
        <v>241000</v>
      </c>
      <c r="TR158" s="131">
        <f t="shared" si="257"/>
        <v>25000</v>
      </c>
      <c r="TS158" s="132">
        <f t="shared" si="258"/>
        <v>0</v>
      </c>
      <c r="TT158" s="132">
        <f t="shared" si="259"/>
        <v>25000</v>
      </c>
      <c r="TU158" s="132">
        <f t="shared" si="260"/>
        <v>0</v>
      </c>
      <c r="TV158" s="132">
        <f t="shared" si="261"/>
        <v>10000</v>
      </c>
      <c r="TW158" s="132">
        <f t="shared" si="262"/>
        <v>0</v>
      </c>
      <c r="TX158" s="132">
        <f t="shared" si="263"/>
        <v>20000</v>
      </c>
      <c r="TY158" s="131">
        <f t="shared" si="264"/>
        <v>180000</v>
      </c>
      <c r="TZ158" s="132">
        <f t="shared" si="265"/>
        <v>12500</v>
      </c>
      <c r="UA158" s="132">
        <f t="shared" si="266"/>
        <v>15000</v>
      </c>
      <c r="UB158" s="132">
        <f t="shared" si="267"/>
        <v>60000</v>
      </c>
      <c r="UC158" s="132">
        <f t="shared" si="268"/>
        <v>13000</v>
      </c>
      <c r="UD158" s="132">
        <f t="shared" si="269"/>
        <v>3000</v>
      </c>
      <c r="UE158" s="132">
        <f t="shared" si="270"/>
        <v>1500</v>
      </c>
      <c r="UF158" s="132">
        <f t="shared" si="271"/>
        <v>35000</v>
      </c>
      <c r="UG158" s="132">
        <f t="shared" si="272"/>
        <v>0</v>
      </c>
      <c r="UH158" s="132">
        <f t="shared" si="273"/>
        <v>0</v>
      </c>
      <c r="UI158" s="132">
        <f t="shared" si="274"/>
        <v>40000</v>
      </c>
      <c r="UJ158" s="132">
        <f t="shared" si="275"/>
        <v>0</v>
      </c>
      <c r="UK158" s="132">
        <f t="shared" si="276"/>
        <v>6000</v>
      </c>
      <c r="UL158" s="132">
        <f t="shared" si="311"/>
        <v>1013021</v>
      </c>
      <c r="UM158" s="131">
        <f t="shared" si="277"/>
        <v>1013021</v>
      </c>
      <c r="UN158" s="131">
        <f t="shared" si="278"/>
        <v>1013021</v>
      </c>
      <c r="UO158" s="131">
        <f t="shared" si="279"/>
        <v>772021</v>
      </c>
      <c r="UP158" s="132">
        <f t="shared" si="280"/>
        <v>737811</v>
      </c>
      <c r="UQ158" s="132">
        <f t="shared" si="281"/>
        <v>0</v>
      </c>
      <c r="UR158" s="132">
        <f t="shared" si="282"/>
        <v>33210</v>
      </c>
      <c r="US158" s="132">
        <f t="shared" si="283"/>
        <v>1000</v>
      </c>
      <c r="UT158" s="131">
        <f t="shared" si="284"/>
        <v>241000</v>
      </c>
      <c r="UU158" s="131">
        <f t="shared" si="285"/>
        <v>25000</v>
      </c>
      <c r="UV158" s="132">
        <f t="shared" si="286"/>
        <v>0</v>
      </c>
      <c r="UW158" s="132">
        <f t="shared" si="287"/>
        <v>25000</v>
      </c>
      <c r="UX158" s="132">
        <f t="shared" si="288"/>
        <v>0</v>
      </c>
      <c r="UY158" s="132">
        <f t="shared" si="289"/>
        <v>10000</v>
      </c>
      <c r="UZ158" s="132">
        <f t="shared" si="290"/>
        <v>0</v>
      </c>
      <c r="VA158" s="132">
        <f t="shared" si="291"/>
        <v>20000</v>
      </c>
      <c r="VB158" s="131">
        <f t="shared" si="292"/>
        <v>180000</v>
      </c>
      <c r="VC158" s="132">
        <f t="shared" si="293"/>
        <v>12500</v>
      </c>
      <c r="VD158" s="132">
        <f t="shared" si="294"/>
        <v>15000</v>
      </c>
      <c r="VE158" s="132">
        <f t="shared" si="295"/>
        <v>60000</v>
      </c>
      <c r="VF158" s="132">
        <f t="shared" si="296"/>
        <v>13000</v>
      </c>
      <c r="VG158" s="132">
        <f t="shared" si="297"/>
        <v>3000</v>
      </c>
      <c r="VH158" s="132">
        <f t="shared" si="298"/>
        <v>1500</v>
      </c>
      <c r="VI158" s="132">
        <f t="shared" si="299"/>
        <v>35000</v>
      </c>
      <c r="VJ158" s="132">
        <f t="shared" si="300"/>
        <v>0</v>
      </c>
      <c r="VK158" s="132">
        <f t="shared" si="301"/>
        <v>0</v>
      </c>
      <c r="VL158" s="132">
        <f t="shared" si="302"/>
        <v>40000</v>
      </c>
      <c r="VM158" s="132">
        <f t="shared" si="303"/>
        <v>0</v>
      </c>
      <c r="VN158" s="132">
        <f t="shared" si="304"/>
        <v>6000</v>
      </c>
      <c r="VP158" s="845" t="str">
        <f>IFERROR(HLOOKUP(F158,'Hodnocení '!$C$1:$JH$5,2,FALSE),0)</f>
        <v>Občanská poradna Náchod</v>
      </c>
      <c r="VQ158" s="838"/>
      <c r="VR158" s="845" t="str">
        <f t="shared" si="312"/>
        <v>Obecně prospěšná společnost</v>
      </c>
      <c r="VS158" s="845" t="str">
        <f>IFERROR(HLOOKUP(F158,'Hodnocení '!$C$1:$JH$5,5,FALSE),0)</f>
        <v>NZO</v>
      </c>
      <c r="VT158" s="838">
        <f t="shared" si="313"/>
        <v>0</v>
      </c>
      <c r="VU158" s="838">
        <f t="shared" si="314"/>
        <v>0</v>
      </c>
      <c r="VV158" s="838">
        <f t="shared" si="315"/>
        <v>0</v>
      </c>
      <c r="VW158" s="838">
        <f t="shared" si="316"/>
        <v>0</v>
      </c>
      <c r="VX158" s="838"/>
      <c r="VY158" s="838">
        <f t="shared" si="317"/>
        <v>0</v>
      </c>
      <c r="VZ158" s="838">
        <f t="shared" si="318"/>
        <v>1013021</v>
      </c>
      <c r="WA158" s="846">
        <f>IFERROR(HLOOKUP($F158,'Hodnocení '!$C$1:$JH$9,9,FALSE),0)</f>
        <v>1013021</v>
      </c>
      <c r="WB158" s="846">
        <f>IF(IFERROR(HLOOKUP($F158,'Hodnocení '!$C$1:$JH$13,13,FALSE),0)&gt;WA158,WA158,IFERROR(HLOOKUP($F158,'Hodnocení '!$C$1:$JH$13,13,FALSE),0))</f>
        <v>1002744.2395505077</v>
      </c>
      <c r="WC158" s="846">
        <f>IFERROR(HLOOKUP($F158,'Hodnocení '!$C$1:$JH$155,155,FALSE),0)</f>
        <v>1013020</v>
      </c>
      <c r="WD158" s="845"/>
      <c r="WE158" s="845"/>
      <c r="WF158" s="845" t="str">
        <f t="shared" si="305"/>
        <v>ANO</v>
      </c>
      <c r="WG158" s="849" t="str">
        <f t="shared" si="320"/>
        <v>Podpora služby je vyjádřena zařazením do sítě sociálních služeb v KHK a řešením financování služby</v>
      </c>
      <c r="WH158"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58" s="849" t="str">
        <f t="shared" si="320"/>
        <v>Návrh dotace je výsledkem projednání s ostatními zadavateli v rámci sítě služeb KHK</v>
      </c>
      <c r="WJ158" s="849" t="str">
        <f t="shared" si="320"/>
        <v>Bez komentáře</v>
      </c>
      <c r="WK158" s="31">
        <f t="shared" si="306"/>
        <v>0</v>
      </c>
      <c r="WL158" s="850">
        <f t="shared" si="307"/>
        <v>0</v>
      </c>
      <c r="WM158" s="849">
        <f t="shared" si="308"/>
        <v>0</v>
      </c>
      <c r="WN158" s="849">
        <f t="shared" si="309"/>
        <v>0</v>
      </c>
      <c r="WO158" s="849" t="str">
        <f t="shared" si="319"/>
        <v>bez komentáře</v>
      </c>
      <c r="WP158" s="849" t="str">
        <f t="shared" si="319"/>
        <v>bez komentáře</v>
      </c>
      <c r="WQ158" s="849" t="str">
        <f t="shared" si="319"/>
        <v>Konečná výše dotace z rozpočtu KHK bude řešena v návaznosti na řešení podílů jednotlivých zadavatelů.</v>
      </c>
      <c r="WR158" s="849" t="str">
        <f t="shared" si="319"/>
        <v>Konečná výše podpory ze stran obcí bude řešena v součinnosti s jednotlivými zadavateli v průběhu roku.</v>
      </c>
      <c r="WS158" s="849" t="str">
        <f t="shared" si="319"/>
        <v>bez komentáře</v>
      </c>
      <c r="WT158" s="849" t="str">
        <f t="shared" si="319"/>
        <v>bez komentáře</v>
      </c>
      <c r="WU158" s="845"/>
    </row>
    <row r="159" spans="1:619" s="128" customFormat="1" x14ac:dyDescent="0.25">
      <c r="A159" s="128" t="str">
        <f>VLOOKUP(F159,'Výpočet VP 2020'!$D$324:$I$588,6,FALSE)</f>
        <v>Je v síti</v>
      </c>
      <c r="B159" s="128" t="s">
        <v>733</v>
      </c>
      <c r="C159" s="128">
        <v>25916360</v>
      </c>
      <c r="D159" s="128" t="s">
        <v>734</v>
      </c>
      <c r="E159" s="128" t="s">
        <v>216</v>
      </c>
      <c r="F159" s="128">
        <v>8849001</v>
      </c>
      <c r="G159" s="128" t="s">
        <v>292</v>
      </c>
      <c r="H159" s="128" t="s">
        <v>293</v>
      </c>
      <c r="I159" s="128" t="s">
        <v>740</v>
      </c>
      <c r="J159" s="129">
        <v>39083</v>
      </c>
      <c r="L159" s="128" t="s">
        <v>220</v>
      </c>
      <c r="X159" s="128" t="s">
        <v>741</v>
      </c>
      <c r="AI159" s="128">
        <v>2</v>
      </c>
      <c r="AJ159" s="128">
        <v>16</v>
      </c>
      <c r="AK159" s="128">
        <v>1533</v>
      </c>
      <c r="AL159" s="128">
        <v>1500</v>
      </c>
      <c r="AM159" s="128">
        <v>1500</v>
      </c>
      <c r="AO159" s="128" t="s">
        <v>736</v>
      </c>
      <c r="AP159" s="128" t="s">
        <v>742</v>
      </c>
      <c r="BE159" s="128">
        <v>1</v>
      </c>
      <c r="BF159" s="128">
        <v>1</v>
      </c>
      <c r="BG159" s="128">
        <v>1</v>
      </c>
      <c r="BH159" s="128">
        <v>1</v>
      </c>
      <c r="BI159" s="128">
        <v>3</v>
      </c>
      <c r="BK159" s="128" t="s">
        <v>738</v>
      </c>
      <c r="BL159" s="128" t="s">
        <v>743</v>
      </c>
      <c r="BM159" s="128" t="s">
        <v>340</v>
      </c>
      <c r="BN159" s="128" t="s">
        <v>299</v>
      </c>
      <c r="EK159" s="128">
        <v>4</v>
      </c>
      <c r="EL159" s="128">
        <v>1.8</v>
      </c>
      <c r="EM159" s="128">
        <v>1.8</v>
      </c>
      <c r="EN159" s="128">
        <v>814860</v>
      </c>
      <c r="EO159" s="128">
        <v>650000</v>
      </c>
      <c r="FO159" s="128">
        <v>3</v>
      </c>
      <c r="FP159" s="128">
        <v>0.6</v>
      </c>
      <c r="FQ159" s="128">
        <v>0.65</v>
      </c>
      <c r="FR159" s="128">
        <v>280307</v>
      </c>
      <c r="FS159" s="128">
        <v>280307</v>
      </c>
      <c r="IN159" s="128">
        <v>1</v>
      </c>
      <c r="IO159" s="128">
        <v>240</v>
      </c>
      <c r="IP159" s="128">
        <v>0.115</v>
      </c>
      <c r="IQ159" s="128">
        <v>79200</v>
      </c>
      <c r="IR159" s="128">
        <v>70000</v>
      </c>
      <c r="IS159" s="128">
        <v>2</v>
      </c>
      <c r="IT159" s="128">
        <v>252</v>
      </c>
      <c r="IU159" s="128">
        <v>0.12</v>
      </c>
      <c r="IV159" s="128">
        <v>51660</v>
      </c>
      <c r="IW159" s="128">
        <v>51660</v>
      </c>
      <c r="KG159" s="128">
        <v>0</v>
      </c>
      <c r="KI159" s="128">
        <v>1.8</v>
      </c>
      <c r="KJ159" s="128">
        <v>0</v>
      </c>
      <c r="KK159" s="128">
        <v>0.115</v>
      </c>
      <c r="KL159" s="128">
        <v>0</v>
      </c>
      <c r="KM159" s="128">
        <v>1.915</v>
      </c>
      <c r="KN159" s="128">
        <v>1095167</v>
      </c>
      <c r="KO159" s="128">
        <v>930307</v>
      </c>
      <c r="KP159" s="128">
        <v>930307</v>
      </c>
      <c r="KT159" s="128">
        <v>0</v>
      </c>
      <c r="KU159" s="128">
        <v>0</v>
      </c>
      <c r="KV159" s="128">
        <v>0</v>
      </c>
      <c r="KZ159" s="128">
        <v>130860</v>
      </c>
      <c r="LA159" s="128">
        <v>121660</v>
      </c>
      <c r="LB159" s="128">
        <v>121660</v>
      </c>
      <c r="LF159" s="128">
        <v>8000</v>
      </c>
      <c r="LG159" s="128">
        <v>0</v>
      </c>
      <c r="LH159" s="128">
        <v>0</v>
      </c>
      <c r="LL159" s="128">
        <v>0</v>
      </c>
      <c r="LM159" s="128">
        <v>0</v>
      </c>
      <c r="LN159" s="128">
        <v>0</v>
      </c>
      <c r="LR159" s="128">
        <v>25000</v>
      </c>
      <c r="LS159" s="128">
        <v>12500</v>
      </c>
      <c r="LT159" s="128">
        <v>12500</v>
      </c>
      <c r="LX159" s="128">
        <v>0</v>
      </c>
      <c r="LY159" s="128">
        <v>0</v>
      </c>
      <c r="LZ159" s="128">
        <v>0</v>
      </c>
      <c r="MD159" s="128">
        <v>15000</v>
      </c>
      <c r="ME159" s="128">
        <v>7500</v>
      </c>
      <c r="MF159" s="128">
        <v>7500</v>
      </c>
      <c r="MJ159" s="128">
        <v>0</v>
      </c>
      <c r="MK159" s="128">
        <v>0</v>
      </c>
      <c r="ML159" s="128">
        <v>0</v>
      </c>
      <c r="MP159" s="128">
        <v>35000</v>
      </c>
      <c r="MQ159" s="128">
        <v>18000</v>
      </c>
      <c r="MR159" s="128">
        <v>18000</v>
      </c>
      <c r="MV159" s="128">
        <v>65000</v>
      </c>
      <c r="MW159" s="128">
        <v>50000</v>
      </c>
      <c r="MX159" s="128">
        <v>50000</v>
      </c>
      <c r="NB159" s="128">
        <v>20000</v>
      </c>
      <c r="NC159" s="128">
        <v>10000</v>
      </c>
      <c r="ND159" s="128">
        <v>10000</v>
      </c>
      <c r="NH159" s="128">
        <v>240000</v>
      </c>
      <c r="NI159" s="128">
        <v>200000</v>
      </c>
      <c r="NJ159" s="128">
        <v>200000</v>
      </c>
      <c r="NN159" s="128">
        <v>19000</v>
      </c>
      <c r="NO159" s="128">
        <v>19000</v>
      </c>
      <c r="NP159" s="128">
        <v>19000</v>
      </c>
      <c r="NT159" s="128">
        <v>9000</v>
      </c>
      <c r="NU159" s="128">
        <v>4500</v>
      </c>
      <c r="NV159" s="128">
        <v>4500</v>
      </c>
      <c r="NZ159" s="128">
        <v>12000</v>
      </c>
      <c r="OA159" s="128">
        <v>6000</v>
      </c>
      <c r="OB159" s="128">
        <v>6000</v>
      </c>
      <c r="OF159" s="128">
        <v>9000</v>
      </c>
      <c r="OG159" s="128">
        <v>4500</v>
      </c>
      <c r="OH159" s="128">
        <v>4500</v>
      </c>
      <c r="OL159" s="128">
        <v>0</v>
      </c>
      <c r="OM159" s="128">
        <v>0</v>
      </c>
      <c r="ON159" s="128">
        <v>0</v>
      </c>
      <c r="OR159" s="128">
        <v>0</v>
      </c>
      <c r="OS159" s="128">
        <v>0</v>
      </c>
      <c r="OT159" s="128">
        <v>0</v>
      </c>
      <c r="OX159" s="128">
        <v>50000</v>
      </c>
      <c r="OY159" s="128">
        <v>24060</v>
      </c>
      <c r="OZ159" s="128">
        <v>24060</v>
      </c>
      <c r="PD159" s="128">
        <v>0</v>
      </c>
      <c r="PE159" s="128">
        <v>0</v>
      </c>
      <c r="PF159" s="128">
        <v>0</v>
      </c>
      <c r="PJ159" s="128">
        <v>10000</v>
      </c>
      <c r="PK159" s="128">
        <v>0</v>
      </c>
      <c r="PL159" s="128">
        <v>0</v>
      </c>
      <c r="PP159" s="128">
        <v>1743027</v>
      </c>
      <c r="PQ159" s="128">
        <v>1408027</v>
      </c>
      <c r="PR159" s="128">
        <v>1408027</v>
      </c>
      <c r="PS159" s="128">
        <v>100</v>
      </c>
      <c r="PT159" s="128">
        <v>100</v>
      </c>
      <c r="PX159" s="128">
        <v>1177900</v>
      </c>
      <c r="PY159" s="128">
        <v>1197900</v>
      </c>
      <c r="PZ159" s="128">
        <v>1408027</v>
      </c>
      <c r="QA159" s="128">
        <v>0</v>
      </c>
      <c r="QB159" s="128">
        <v>0</v>
      </c>
      <c r="QC159" s="128">
        <v>0</v>
      </c>
      <c r="QD159" s="128">
        <v>0</v>
      </c>
      <c r="QE159" s="128">
        <v>0</v>
      </c>
      <c r="QF159" s="128">
        <v>0</v>
      </c>
      <c r="QG159" s="128">
        <v>0</v>
      </c>
      <c r="QH159" s="128">
        <v>0</v>
      </c>
      <c r="QI159" s="128">
        <v>0</v>
      </c>
      <c r="QJ159" s="128">
        <v>0</v>
      </c>
      <c r="QK159" s="128">
        <v>0</v>
      </c>
      <c r="QL159" s="128">
        <v>0</v>
      </c>
      <c r="QN159" s="128">
        <v>0</v>
      </c>
      <c r="QO159" s="128">
        <v>0</v>
      </c>
      <c r="QP159" s="128">
        <v>0</v>
      </c>
      <c r="QU159" s="128">
        <v>0</v>
      </c>
      <c r="QV159" s="128">
        <v>100000</v>
      </c>
      <c r="QW159" s="128">
        <v>100000</v>
      </c>
      <c r="QX159" s="128">
        <v>169000</v>
      </c>
      <c r="QY159" s="128">
        <v>185000</v>
      </c>
      <c r="QZ159" s="128">
        <v>235000</v>
      </c>
      <c r="RH159" s="128">
        <f t="shared" si="310"/>
        <v>1743027</v>
      </c>
      <c r="RI159" s="128">
        <v>0</v>
      </c>
      <c r="RM159" s="128" t="s">
        <v>220</v>
      </c>
      <c r="RU159" s="130"/>
      <c r="RV159" s="130"/>
      <c r="RW159" s="130"/>
      <c r="RX159" s="130"/>
      <c r="SF159" s="128">
        <f t="shared" si="220"/>
        <v>8849001</v>
      </c>
      <c r="SG159" s="131">
        <f t="shared" si="221"/>
        <v>1743027</v>
      </c>
      <c r="SH159" s="131">
        <f t="shared" si="222"/>
        <v>1743027</v>
      </c>
      <c r="SI159" s="131">
        <f t="shared" si="223"/>
        <v>1234027</v>
      </c>
      <c r="SJ159" s="132">
        <f t="shared" si="224"/>
        <v>1095167</v>
      </c>
      <c r="SK159" s="132">
        <f t="shared" si="225"/>
        <v>0</v>
      </c>
      <c r="SL159" s="132">
        <f t="shared" si="226"/>
        <v>130860</v>
      </c>
      <c r="SM159" s="132">
        <f t="shared" si="227"/>
        <v>8000</v>
      </c>
      <c r="SN159" s="131">
        <f t="shared" si="228"/>
        <v>509000</v>
      </c>
      <c r="SO159" s="131">
        <f t="shared" si="229"/>
        <v>25000</v>
      </c>
      <c r="SP159" s="132">
        <f t="shared" si="230"/>
        <v>0</v>
      </c>
      <c r="SQ159" s="132">
        <f t="shared" si="231"/>
        <v>25000</v>
      </c>
      <c r="SR159" s="132">
        <f t="shared" si="232"/>
        <v>0</v>
      </c>
      <c r="SS159" s="132">
        <f t="shared" si="233"/>
        <v>15000</v>
      </c>
      <c r="ST159" s="132">
        <f t="shared" si="234"/>
        <v>0</v>
      </c>
      <c r="SU159" s="132">
        <f t="shared" si="235"/>
        <v>35000</v>
      </c>
      <c r="SV159" s="131">
        <f t="shared" si="236"/>
        <v>424000</v>
      </c>
      <c r="SW159" s="132">
        <f t="shared" si="237"/>
        <v>65000</v>
      </c>
      <c r="SX159" s="132">
        <f t="shared" si="238"/>
        <v>20000</v>
      </c>
      <c r="SY159" s="132">
        <f t="shared" si="239"/>
        <v>240000</v>
      </c>
      <c r="SZ159" s="132">
        <f t="shared" si="240"/>
        <v>19000</v>
      </c>
      <c r="TA159" s="132">
        <f t="shared" si="241"/>
        <v>9000</v>
      </c>
      <c r="TB159" s="132">
        <f t="shared" si="242"/>
        <v>12000</v>
      </c>
      <c r="TC159" s="132">
        <f t="shared" si="243"/>
        <v>9000</v>
      </c>
      <c r="TD159" s="132">
        <f t="shared" si="244"/>
        <v>0</v>
      </c>
      <c r="TE159" s="132">
        <f t="shared" si="245"/>
        <v>0</v>
      </c>
      <c r="TF159" s="132">
        <f t="shared" si="246"/>
        <v>50000</v>
      </c>
      <c r="TG159" s="132">
        <f t="shared" si="247"/>
        <v>0</v>
      </c>
      <c r="TH159" s="132">
        <f t="shared" si="248"/>
        <v>10000</v>
      </c>
      <c r="TI159" s="1"/>
      <c r="TJ159" s="131">
        <f t="shared" si="249"/>
        <v>1408027</v>
      </c>
      <c r="TK159" s="131">
        <f t="shared" si="250"/>
        <v>1408027</v>
      </c>
      <c r="TL159" s="131">
        <f t="shared" si="251"/>
        <v>1051967</v>
      </c>
      <c r="TM159" s="132">
        <f t="shared" si="252"/>
        <v>930307</v>
      </c>
      <c r="TN159" s="132">
        <f t="shared" si="253"/>
        <v>0</v>
      </c>
      <c r="TO159" s="132">
        <f t="shared" si="254"/>
        <v>121660</v>
      </c>
      <c r="TP159" s="132">
        <f t="shared" si="255"/>
        <v>0</v>
      </c>
      <c r="TQ159" s="131">
        <f t="shared" si="256"/>
        <v>356060</v>
      </c>
      <c r="TR159" s="131">
        <f t="shared" si="257"/>
        <v>12500</v>
      </c>
      <c r="TS159" s="132">
        <f t="shared" si="258"/>
        <v>0</v>
      </c>
      <c r="TT159" s="132">
        <f t="shared" si="259"/>
        <v>12500</v>
      </c>
      <c r="TU159" s="132">
        <f t="shared" si="260"/>
        <v>0</v>
      </c>
      <c r="TV159" s="132">
        <f t="shared" si="261"/>
        <v>7500</v>
      </c>
      <c r="TW159" s="132">
        <f t="shared" si="262"/>
        <v>0</v>
      </c>
      <c r="TX159" s="132">
        <f t="shared" si="263"/>
        <v>18000</v>
      </c>
      <c r="TY159" s="131">
        <f t="shared" si="264"/>
        <v>318060</v>
      </c>
      <c r="TZ159" s="132">
        <f t="shared" si="265"/>
        <v>50000</v>
      </c>
      <c r="UA159" s="132">
        <f t="shared" si="266"/>
        <v>10000</v>
      </c>
      <c r="UB159" s="132">
        <f t="shared" si="267"/>
        <v>200000</v>
      </c>
      <c r="UC159" s="132">
        <f t="shared" si="268"/>
        <v>19000</v>
      </c>
      <c r="UD159" s="132">
        <f t="shared" si="269"/>
        <v>4500</v>
      </c>
      <c r="UE159" s="132">
        <f t="shared" si="270"/>
        <v>6000</v>
      </c>
      <c r="UF159" s="132">
        <f t="shared" si="271"/>
        <v>4500</v>
      </c>
      <c r="UG159" s="132">
        <f t="shared" si="272"/>
        <v>0</v>
      </c>
      <c r="UH159" s="132">
        <f t="shared" si="273"/>
        <v>0</v>
      </c>
      <c r="UI159" s="132">
        <f t="shared" si="274"/>
        <v>24060</v>
      </c>
      <c r="UJ159" s="132">
        <f t="shared" si="275"/>
        <v>0</v>
      </c>
      <c r="UK159" s="132">
        <f t="shared" si="276"/>
        <v>0</v>
      </c>
      <c r="UL159" s="132">
        <f t="shared" si="311"/>
        <v>1408027</v>
      </c>
      <c r="UM159" s="131">
        <f t="shared" si="277"/>
        <v>1408027</v>
      </c>
      <c r="UN159" s="131">
        <f t="shared" si="278"/>
        <v>1408027</v>
      </c>
      <c r="UO159" s="131">
        <f t="shared" si="279"/>
        <v>1051967</v>
      </c>
      <c r="UP159" s="132">
        <f t="shared" si="280"/>
        <v>930307</v>
      </c>
      <c r="UQ159" s="132">
        <f t="shared" si="281"/>
        <v>0</v>
      </c>
      <c r="UR159" s="132">
        <f t="shared" si="282"/>
        <v>121660</v>
      </c>
      <c r="US159" s="132">
        <f t="shared" si="283"/>
        <v>0</v>
      </c>
      <c r="UT159" s="131">
        <f t="shared" si="284"/>
        <v>356060</v>
      </c>
      <c r="UU159" s="131">
        <f t="shared" si="285"/>
        <v>12500</v>
      </c>
      <c r="UV159" s="132">
        <f t="shared" si="286"/>
        <v>0</v>
      </c>
      <c r="UW159" s="132">
        <f t="shared" si="287"/>
        <v>12500</v>
      </c>
      <c r="UX159" s="132">
        <f t="shared" si="288"/>
        <v>0</v>
      </c>
      <c r="UY159" s="132">
        <f t="shared" si="289"/>
        <v>7500</v>
      </c>
      <c r="UZ159" s="132">
        <f t="shared" si="290"/>
        <v>0</v>
      </c>
      <c r="VA159" s="132">
        <f t="shared" si="291"/>
        <v>18000</v>
      </c>
      <c r="VB159" s="131">
        <f t="shared" si="292"/>
        <v>318060</v>
      </c>
      <c r="VC159" s="132">
        <f t="shared" si="293"/>
        <v>50000</v>
      </c>
      <c r="VD159" s="132">
        <f t="shared" si="294"/>
        <v>10000</v>
      </c>
      <c r="VE159" s="132">
        <f t="shared" si="295"/>
        <v>200000</v>
      </c>
      <c r="VF159" s="132">
        <f t="shared" si="296"/>
        <v>19000</v>
      </c>
      <c r="VG159" s="132">
        <f t="shared" si="297"/>
        <v>4500</v>
      </c>
      <c r="VH159" s="132">
        <f t="shared" si="298"/>
        <v>6000</v>
      </c>
      <c r="VI159" s="132">
        <f t="shared" si="299"/>
        <v>4500</v>
      </c>
      <c r="VJ159" s="132">
        <f t="shared" si="300"/>
        <v>0</v>
      </c>
      <c r="VK159" s="132">
        <f t="shared" si="301"/>
        <v>0</v>
      </c>
      <c r="VL159" s="132">
        <f t="shared" si="302"/>
        <v>24060</v>
      </c>
      <c r="VM159" s="132">
        <f t="shared" si="303"/>
        <v>0</v>
      </c>
      <c r="VN159" s="132">
        <f t="shared" si="304"/>
        <v>0</v>
      </c>
      <c r="VP159" s="845" t="str">
        <f>IFERROR(HLOOKUP(F159,'Hodnocení '!$C$1:$JH$5,2,FALSE),0)</f>
        <v>Občanská poradna Hradec Králové</v>
      </c>
      <c r="VQ159" s="838"/>
      <c r="VR159" s="845" t="str">
        <f t="shared" si="312"/>
        <v>Obecně prospěšná společnost</v>
      </c>
      <c r="VS159" s="845" t="str">
        <f>IFERROR(HLOOKUP(F159,'Hodnocení '!$C$1:$JH$5,5,FALSE),0)</f>
        <v>NZO</v>
      </c>
      <c r="VT159" s="838">
        <f t="shared" si="313"/>
        <v>0</v>
      </c>
      <c r="VU159" s="838">
        <f t="shared" si="314"/>
        <v>0</v>
      </c>
      <c r="VV159" s="838">
        <f t="shared" si="315"/>
        <v>0</v>
      </c>
      <c r="VW159" s="838">
        <f t="shared" si="316"/>
        <v>0</v>
      </c>
      <c r="VX159" s="838"/>
      <c r="VY159" s="838">
        <f t="shared" si="317"/>
        <v>0</v>
      </c>
      <c r="VZ159" s="838">
        <f t="shared" si="318"/>
        <v>1408027</v>
      </c>
      <c r="WA159" s="846">
        <f>IFERROR(HLOOKUP($F159,'Hodnocení '!$C$1:$JH$9,9,FALSE),0)</f>
        <v>1408027</v>
      </c>
      <c r="WB159" s="846">
        <f>IF(IFERROR(HLOOKUP($F159,'Hodnocení '!$C$1:$JH$13,13,FALSE),0)&gt;WA159,WA159,IFERROR(HLOOKUP($F159,'Hodnocení '!$C$1:$JH$13,13,FALSE),0))</f>
        <v>1336992.3194006768</v>
      </c>
      <c r="WC159" s="846">
        <f>IFERROR(HLOOKUP($F159,'Hodnocení '!$C$1:$JH$155,155,FALSE),0)</f>
        <v>1287900</v>
      </c>
      <c r="WD159" s="845"/>
      <c r="WE159" s="845"/>
      <c r="WF159" s="845" t="str">
        <f t="shared" si="305"/>
        <v>ANO</v>
      </c>
      <c r="WG159" s="849" t="str">
        <f t="shared" si="320"/>
        <v>Podpora služby je vyjádřena zařazením do sítě sociálních služeb v KHK a řešením financování služby</v>
      </c>
      <c r="WH159"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59" s="849" t="str">
        <f t="shared" si="320"/>
        <v>Návrh dotace je výsledkem projednání s ostatními zadavateli v rámci sítě služeb KHK</v>
      </c>
      <c r="WJ159" s="849" t="str">
        <f t="shared" si="320"/>
        <v>Bez komentáře</v>
      </c>
      <c r="WK159" s="31">
        <f t="shared" si="306"/>
        <v>0</v>
      </c>
      <c r="WL159" s="850">
        <f t="shared" si="307"/>
        <v>0</v>
      </c>
      <c r="WM159" s="849">
        <f t="shared" si="308"/>
        <v>0</v>
      </c>
      <c r="WN159" s="849">
        <f t="shared" si="309"/>
        <v>0</v>
      </c>
      <c r="WO159" s="849" t="str">
        <f t="shared" si="319"/>
        <v>bez komentáře</v>
      </c>
      <c r="WP159" s="849" t="str">
        <f t="shared" si="319"/>
        <v>bez komentáře</v>
      </c>
      <c r="WQ159" s="849" t="str">
        <f t="shared" si="319"/>
        <v>Konečná výše dotace z rozpočtu KHK bude řešena v návaznosti na řešení podílů jednotlivých zadavatelů.</v>
      </c>
      <c r="WR159" s="849" t="str">
        <f t="shared" si="319"/>
        <v>Konečná výše podpory ze stran obcí bude řešena v součinnosti s jednotlivými zadavateli v průběhu roku.</v>
      </c>
      <c r="WS159" s="849" t="str">
        <f t="shared" si="319"/>
        <v>bez komentáře</v>
      </c>
      <c r="WT159" s="849" t="str">
        <f t="shared" si="319"/>
        <v>bez komentáře</v>
      </c>
      <c r="WU159" s="845"/>
    </row>
    <row r="160" spans="1:619" s="128" customFormat="1" x14ac:dyDescent="0.25">
      <c r="A160" s="128" t="str">
        <f>VLOOKUP(F160,'Výpočet VP 2020'!$D$324:$I$588,6,FALSE)</f>
        <v>Je v síti</v>
      </c>
      <c r="B160" s="128" t="s">
        <v>733</v>
      </c>
      <c r="C160" s="128">
        <v>25916360</v>
      </c>
      <c r="D160" s="128" t="s">
        <v>734</v>
      </c>
      <c r="E160" s="128" t="s">
        <v>216</v>
      </c>
      <c r="F160" s="128">
        <v>8984742</v>
      </c>
      <c r="G160" s="128" t="s">
        <v>292</v>
      </c>
      <c r="H160" s="128" t="s">
        <v>293</v>
      </c>
      <c r="I160" s="128" t="s">
        <v>744</v>
      </c>
      <c r="J160" s="129">
        <v>39083</v>
      </c>
      <c r="L160" s="128" t="s">
        <v>220</v>
      </c>
      <c r="X160" s="128" t="s">
        <v>649</v>
      </c>
      <c r="AI160" s="128">
        <v>1</v>
      </c>
      <c r="AJ160" s="128">
        <v>8</v>
      </c>
      <c r="AK160" s="128">
        <v>1311</v>
      </c>
      <c r="AL160" s="128">
        <v>1320</v>
      </c>
      <c r="AM160" s="128">
        <v>1350</v>
      </c>
      <c r="AO160" s="128" t="s">
        <v>736</v>
      </c>
      <c r="AP160" s="128" t="s">
        <v>737</v>
      </c>
      <c r="BE160" s="128">
        <v>1</v>
      </c>
      <c r="BF160" s="128">
        <v>1</v>
      </c>
      <c r="BG160" s="128">
        <v>2</v>
      </c>
      <c r="BH160" s="128">
        <v>2</v>
      </c>
      <c r="BI160" s="128">
        <v>3</v>
      </c>
      <c r="BK160" s="128" t="s">
        <v>738</v>
      </c>
      <c r="BL160" s="128" t="s">
        <v>739</v>
      </c>
      <c r="BM160" s="128" t="s">
        <v>340</v>
      </c>
      <c r="BN160" s="128" t="s">
        <v>424</v>
      </c>
      <c r="EK160" s="128">
        <v>2</v>
      </c>
      <c r="EL160" s="128">
        <v>1.6</v>
      </c>
      <c r="EM160" s="128">
        <v>1.6</v>
      </c>
      <c r="EN160" s="128">
        <v>720000</v>
      </c>
      <c r="EO160" s="128">
        <v>581500</v>
      </c>
      <c r="FO160" s="128">
        <v>3</v>
      </c>
      <c r="FP160" s="128">
        <v>0.45</v>
      </c>
      <c r="FQ160" s="128">
        <v>0.5</v>
      </c>
      <c r="FR160" s="128">
        <v>207012</v>
      </c>
      <c r="FS160" s="128">
        <v>207012</v>
      </c>
      <c r="IS160" s="128">
        <v>2</v>
      </c>
      <c r="IT160" s="128">
        <v>186</v>
      </c>
      <c r="IU160" s="128">
        <v>8.8999999999999996E-2</v>
      </c>
      <c r="IV160" s="128">
        <v>38130</v>
      </c>
      <c r="IW160" s="128">
        <v>38130</v>
      </c>
      <c r="KG160" s="128">
        <v>0</v>
      </c>
      <c r="KI160" s="128">
        <v>1.6</v>
      </c>
      <c r="KJ160" s="128">
        <v>0</v>
      </c>
      <c r="KK160" s="128">
        <v>0</v>
      </c>
      <c r="KL160" s="128">
        <v>0</v>
      </c>
      <c r="KM160" s="128">
        <v>1.6</v>
      </c>
      <c r="KN160" s="128">
        <v>927012</v>
      </c>
      <c r="KO160" s="128">
        <v>788512</v>
      </c>
      <c r="KP160" s="128">
        <v>788512</v>
      </c>
      <c r="KT160" s="128">
        <v>0</v>
      </c>
      <c r="KU160" s="128">
        <v>0</v>
      </c>
      <c r="KV160" s="128">
        <v>0</v>
      </c>
      <c r="KZ160" s="128">
        <v>38130</v>
      </c>
      <c r="LA160" s="128">
        <v>38130</v>
      </c>
      <c r="LB160" s="128">
        <v>38130</v>
      </c>
      <c r="LF160" s="128">
        <v>4000</v>
      </c>
      <c r="LG160" s="128">
        <v>0</v>
      </c>
      <c r="LH160" s="128">
        <v>0</v>
      </c>
      <c r="LL160" s="128">
        <v>0</v>
      </c>
      <c r="LM160" s="128">
        <v>0</v>
      </c>
      <c r="LN160" s="128">
        <v>0</v>
      </c>
      <c r="LR160" s="128">
        <v>25000</v>
      </c>
      <c r="LS160" s="128">
        <v>12500</v>
      </c>
      <c r="LT160" s="128">
        <v>12500</v>
      </c>
      <c r="LX160" s="128">
        <v>0</v>
      </c>
      <c r="LY160" s="128">
        <v>0</v>
      </c>
      <c r="LZ160" s="128">
        <v>0</v>
      </c>
      <c r="MD160" s="128">
        <v>10000</v>
      </c>
      <c r="ME160" s="128">
        <v>5000</v>
      </c>
      <c r="MF160" s="128">
        <v>5000</v>
      </c>
      <c r="MJ160" s="128">
        <v>0</v>
      </c>
      <c r="MK160" s="128">
        <v>0</v>
      </c>
      <c r="ML160" s="128">
        <v>0</v>
      </c>
      <c r="MP160" s="128">
        <v>30000</v>
      </c>
      <c r="MQ160" s="128">
        <v>15000</v>
      </c>
      <c r="MR160" s="128">
        <v>15000</v>
      </c>
      <c r="MV160" s="128">
        <v>17500</v>
      </c>
      <c r="MW160" s="128">
        <v>9000</v>
      </c>
      <c r="MX160" s="128">
        <v>9000</v>
      </c>
      <c r="NB160" s="128">
        <v>12000</v>
      </c>
      <c r="NC160" s="128">
        <v>6000</v>
      </c>
      <c r="ND160" s="128">
        <v>6000</v>
      </c>
      <c r="NH160" s="128">
        <v>25000</v>
      </c>
      <c r="NI160" s="128">
        <v>12500</v>
      </c>
      <c r="NJ160" s="128">
        <v>12500</v>
      </c>
      <c r="NN160" s="128">
        <v>14000</v>
      </c>
      <c r="NO160" s="128">
        <v>14000</v>
      </c>
      <c r="NP160" s="128">
        <v>14000</v>
      </c>
      <c r="NT160" s="128">
        <v>6000</v>
      </c>
      <c r="NU160" s="128">
        <v>3000</v>
      </c>
      <c r="NV160" s="128">
        <v>3000</v>
      </c>
      <c r="NZ160" s="128">
        <v>3000</v>
      </c>
      <c r="OA160" s="128">
        <v>0</v>
      </c>
      <c r="OB160" s="128">
        <v>0</v>
      </c>
      <c r="OF160" s="128">
        <v>17000</v>
      </c>
      <c r="OG160" s="128">
        <v>9000</v>
      </c>
      <c r="OH160" s="128">
        <v>9000</v>
      </c>
      <c r="OL160" s="128">
        <v>0</v>
      </c>
      <c r="OM160" s="128">
        <v>0</v>
      </c>
      <c r="ON160" s="128">
        <v>0</v>
      </c>
      <c r="OR160" s="128">
        <v>0</v>
      </c>
      <c r="OS160" s="128">
        <v>0</v>
      </c>
      <c r="OT160" s="128">
        <v>0</v>
      </c>
      <c r="OX160" s="128">
        <v>40000</v>
      </c>
      <c r="OY160" s="128">
        <v>40000</v>
      </c>
      <c r="OZ160" s="128">
        <v>40000</v>
      </c>
      <c r="PD160" s="128">
        <v>0</v>
      </c>
      <c r="PE160" s="128">
        <v>0</v>
      </c>
      <c r="PF160" s="128">
        <v>0</v>
      </c>
      <c r="PJ160" s="128">
        <v>8000</v>
      </c>
      <c r="PK160" s="128">
        <v>4000</v>
      </c>
      <c r="PL160" s="128">
        <v>4000</v>
      </c>
      <c r="PP160" s="128">
        <v>1176642</v>
      </c>
      <c r="PQ160" s="128">
        <v>956642</v>
      </c>
      <c r="PR160" s="128">
        <v>956642</v>
      </c>
      <c r="PS160" s="128">
        <v>100</v>
      </c>
      <c r="PT160" s="128">
        <v>100</v>
      </c>
      <c r="PX160" s="128">
        <v>801100</v>
      </c>
      <c r="PY160" s="128">
        <v>781100</v>
      </c>
      <c r="PZ160" s="128">
        <v>956642</v>
      </c>
      <c r="QA160" s="128">
        <v>0</v>
      </c>
      <c r="QB160" s="128">
        <v>0</v>
      </c>
      <c r="QC160" s="128">
        <v>0</v>
      </c>
      <c r="QD160" s="128">
        <v>0</v>
      </c>
      <c r="QE160" s="128">
        <v>0</v>
      </c>
      <c r="QF160" s="128">
        <v>0</v>
      </c>
      <c r="QG160" s="128">
        <v>0</v>
      </c>
      <c r="QH160" s="128">
        <v>0</v>
      </c>
      <c r="QI160" s="128">
        <v>0</v>
      </c>
      <c r="QJ160" s="128">
        <v>0</v>
      </c>
      <c r="QK160" s="128">
        <v>0</v>
      </c>
      <c r="QL160" s="128">
        <v>0</v>
      </c>
      <c r="QN160" s="128">
        <v>0</v>
      </c>
      <c r="QO160" s="128">
        <v>0</v>
      </c>
      <c r="QP160" s="128">
        <v>0</v>
      </c>
      <c r="QU160" s="128">
        <v>0</v>
      </c>
      <c r="QV160" s="128">
        <v>79000</v>
      </c>
      <c r="QW160" s="128">
        <v>0</v>
      </c>
      <c r="QX160" s="128">
        <v>154000</v>
      </c>
      <c r="QY160" s="128">
        <v>200000</v>
      </c>
      <c r="QZ160" s="128">
        <v>220000</v>
      </c>
      <c r="RD160" s="128">
        <v>2000</v>
      </c>
      <c r="RE160" s="128">
        <v>0</v>
      </c>
      <c r="RF160" s="128">
        <v>0</v>
      </c>
      <c r="RH160" s="128">
        <f t="shared" si="310"/>
        <v>1176642</v>
      </c>
      <c r="RI160" s="128">
        <v>0</v>
      </c>
      <c r="RM160" s="128" t="s">
        <v>220</v>
      </c>
      <c r="RU160" s="130"/>
      <c r="RV160" s="130"/>
      <c r="RW160" s="130"/>
      <c r="RX160" s="130"/>
      <c r="SF160" s="128">
        <f t="shared" si="220"/>
        <v>8984742</v>
      </c>
      <c r="SG160" s="131">
        <f t="shared" si="221"/>
        <v>1176642</v>
      </c>
      <c r="SH160" s="131">
        <f t="shared" si="222"/>
        <v>1176642</v>
      </c>
      <c r="SI160" s="131">
        <f t="shared" si="223"/>
        <v>969142</v>
      </c>
      <c r="SJ160" s="132">
        <f t="shared" si="224"/>
        <v>927012</v>
      </c>
      <c r="SK160" s="132">
        <f t="shared" si="225"/>
        <v>0</v>
      </c>
      <c r="SL160" s="132">
        <f t="shared" si="226"/>
        <v>38130</v>
      </c>
      <c r="SM160" s="132">
        <f t="shared" si="227"/>
        <v>4000</v>
      </c>
      <c r="SN160" s="131">
        <f t="shared" si="228"/>
        <v>207500</v>
      </c>
      <c r="SO160" s="131">
        <f t="shared" si="229"/>
        <v>25000</v>
      </c>
      <c r="SP160" s="132">
        <f t="shared" si="230"/>
        <v>0</v>
      </c>
      <c r="SQ160" s="132">
        <f t="shared" si="231"/>
        <v>25000</v>
      </c>
      <c r="SR160" s="132">
        <f t="shared" si="232"/>
        <v>0</v>
      </c>
      <c r="SS160" s="132">
        <f t="shared" si="233"/>
        <v>10000</v>
      </c>
      <c r="ST160" s="132">
        <f t="shared" si="234"/>
        <v>0</v>
      </c>
      <c r="SU160" s="132">
        <f t="shared" si="235"/>
        <v>30000</v>
      </c>
      <c r="SV160" s="131">
        <f t="shared" si="236"/>
        <v>134500</v>
      </c>
      <c r="SW160" s="132">
        <f t="shared" si="237"/>
        <v>17500</v>
      </c>
      <c r="SX160" s="132">
        <f t="shared" si="238"/>
        <v>12000</v>
      </c>
      <c r="SY160" s="132">
        <f t="shared" si="239"/>
        <v>25000</v>
      </c>
      <c r="SZ160" s="132">
        <f t="shared" si="240"/>
        <v>14000</v>
      </c>
      <c r="TA160" s="132">
        <f t="shared" si="241"/>
        <v>6000</v>
      </c>
      <c r="TB160" s="132">
        <f t="shared" si="242"/>
        <v>3000</v>
      </c>
      <c r="TC160" s="132">
        <f t="shared" si="243"/>
        <v>17000</v>
      </c>
      <c r="TD160" s="132">
        <f t="shared" si="244"/>
        <v>0</v>
      </c>
      <c r="TE160" s="132">
        <f t="shared" si="245"/>
        <v>0</v>
      </c>
      <c r="TF160" s="132">
        <f t="shared" si="246"/>
        <v>40000</v>
      </c>
      <c r="TG160" s="132">
        <f t="shared" si="247"/>
        <v>0</v>
      </c>
      <c r="TH160" s="132">
        <f t="shared" si="248"/>
        <v>8000</v>
      </c>
      <c r="TI160" s="1"/>
      <c r="TJ160" s="131">
        <f t="shared" si="249"/>
        <v>956642</v>
      </c>
      <c r="TK160" s="131">
        <f t="shared" si="250"/>
        <v>956642</v>
      </c>
      <c r="TL160" s="131">
        <f t="shared" si="251"/>
        <v>826642</v>
      </c>
      <c r="TM160" s="132">
        <f t="shared" si="252"/>
        <v>788512</v>
      </c>
      <c r="TN160" s="132">
        <f t="shared" si="253"/>
        <v>0</v>
      </c>
      <c r="TO160" s="132">
        <f t="shared" si="254"/>
        <v>38130</v>
      </c>
      <c r="TP160" s="132">
        <f t="shared" si="255"/>
        <v>0</v>
      </c>
      <c r="TQ160" s="131">
        <f t="shared" si="256"/>
        <v>130000</v>
      </c>
      <c r="TR160" s="131">
        <f t="shared" si="257"/>
        <v>12500</v>
      </c>
      <c r="TS160" s="132">
        <f t="shared" si="258"/>
        <v>0</v>
      </c>
      <c r="TT160" s="132">
        <f t="shared" si="259"/>
        <v>12500</v>
      </c>
      <c r="TU160" s="132">
        <f t="shared" si="260"/>
        <v>0</v>
      </c>
      <c r="TV160" s="132">
        <f t="shared" si="261"/>
        <v>5000</v>
      </c>
      <c r="TW160" s="132">
        <f t="shared" si="262"/>
        <v>0</v>
      </c>
      <c r="TX160" s="132">
        <f t="shared" si="263"/>
        <v>15000</v>
      </c>
      <c r="TY160" s="131">
        <f t="shared" si="264"/>
        <v>93500</v>
      </c>
      <c r="TZ160" s="132">
        <f t="shared" si="265"/>
        <v>9000</v>
      </c>
      <c r="UA160" s="132">
        <f t="shared" si="266"/>
        <v>6000</v>
      </c>
      <c r="UB160" s="132">
        <f t="shared" si="267"/>
        <v>12500</v>
      </c>
      <c r="UC160" s="132">
        <f t="shared" si="268"/>
        <v>14000</v>
      </c>
      <c r="UD160" s="132">
        <f t="shared" si="269"/>
        <v>3000</v>
      </c>
      <c r="UE160" s="132">
        <f t="shared" si="270"/>
        <v>0</v>
      </c>
      <c r="UF160" s="132">
        <f t="shared" si="271"/>
        <v>9000</v>
      </c>
      <c r="UG160" s="132">
        <f t="shared" si="272"/>
        <v>0</v>
      </c>
      <c r="UH160" s="132">
        <f t="shared" si="273"/>
        <v>0</v>
      </c>
      <c r="UI160" s="132">
        <f t="shared" si="274"/>
        <v>40000</v>
      </c>
      <c r="UJ160" s="132">
        <f t="shared" si="275"/>
        <v>0</v>
      </c>
      <c r="UK160" s="132">
        <f t="shared" si="276"/>
        <v>4000</v>
      </c>
      <c r="UL160" s="132">
        <f t="shared" si="311"/>
        <v>956642</v>
      </c>
      <c r="UM160" s="131">
        <f t="shared" si="277"/>
        <v>956642</v>
      </c>
      <c r="UN160" s="131">
        <f t="shared" si="278"/>
        <v>956642</v>
      </c>
      <c r="UO160" s="131">
        <f t="shared" si="279"/>
        <v>826642</v>
      </c>
      <c r="UP160" s="132">
        <f t="shared" si="280"/>
        <v>788512</v>
      </c>
      <c r="UQ160" s="132">
        <f t="shared" si="281"/>
        <v>0</v>
      </c>
      <c r="UR160" s="132">
        <f t="shared" si="282"/>
        <v>38130</v>
      </c>
      <c r="US160" s="132">
        <f t="shared" si="283"/>
        <v>0</v>
      </c>
      <c r="UT160" s="131">
        <f t="shared" si="284"/>
        <v>130000</v>
      </c>
      <c r="UU160" s="131">
        <f t="shared" si="285"/>
        <v>12500</v>
      </c>
      <c r="UV160" s="132">
        <f t="shared" si="286"/>
        <v>0</v>
      </c>
      <c r="UW160" s="132">
        <f t="shared" si="287"/>
        <v>12500</v>
      </c>
      <c r="UX160" s="132">
        <f t="shared" si="288"/>
        <v>0</v>
      </c>
      <c r="UY160" s="132">
        <f t="shared" si="289"/>
        <v>5000</v>
      </c>
      <c r="UZ160" s="132">
        <f t="shared" si="290"/>
        <v>0</v>
      </c>
      <c r="VA160" s="132">
        <f t="shared" si="291"/>
        <v>15000</v>
      </c>
      <c r="VB160" s="131">
        <f t="shared" si="292"/>
        <v>93500</v>
      </c>
      <c r="VC160" s="132">
        <f t="shared" si="293"/>
        <v>9000</v>
      </c>
      <c r="VD160" s="132">
        <f t="shared" si="294"/>
        <v>6000</v>
      </c>
      <c r="VE160" s="132">
        <f t="shared" si="295"/>
        <v>12500</v>
      </c>
      <c r="VF160" s="132">
        <f t="shared" si="296"/>
        <v>14000</v>
      </c>
      <c r="VG160" s="132">
        <f t="shared" si="297"/>
        <v>3000</v>
      </c>
      <c r="VH160" s="132">
        <f t="shared" si="298"/>
        <v>0</v>
      </c>
      <c r="VI160" s="132">
        <f t="shared" si="299"/>
        <v>9000</v>
      </c>
      <c r="VJ160" s="132">
        <f t="shared" si="300"/>
        <v>0</v>
      </c>
      <c r="VK160" s="132">
        <f t="shared" si="301"/>
        <v>0</v>
      </c>
      <c r="VL160" s="132">
        <f t="shared" si="302"/>
        <v>40000</v>
      </c>
      <c r="VM160" s="132">
        <f t="shared" si="303"/>
        <v>0</v>
      </c>
      <c r="VN160" s="132">
        <f t="shared" si="304"/>
        <v>4000</v>
      </c>
      <c r="VP160" s="845" t="str">
        <f>IFERROR(HLOOKUP(F160,'Hodnocení '!$C$1:$JH$5,2,FALSE),0)</f>
        <v>Občanská poradna Jičín</v>
      </c>
      <c r="VQ160" s="838"/>
      <c r="VR160" s="845" t="str">
        <f t="shared" si="312"/>
        <v>Obecně prospěšná společnost</v>
      </c>
      <c r="VS160" s="845" t="str">
        <f>IFERROR(HLOOKUP(F160,'Hodnocení '!$C$1:$JH$5,5,FALSE),0)</f>
        <v>NZO</v>
      </c>
      <c r="VT160" s="838">
        <f t="shared" si="313"/>
        <v>0</v>
      </c>
      <c r="VU160" s="838">
        <f t="shared" si="314"/>
        <v>0</v>
      </c>
      <c r="VV160" s="838">
        <f t="shared" si="315"/>
        <v>0</v>
      </c>
      <c r="VW160" s="838">
        <f t="shared" si="316"/>
        <v>0</v>
      </c>
      <c r="VX160" s="838"/>
      <c r="VY160" s="838">
        <f t="shared" si="317"/>
        <v>0</v>
      </c>
      <c r="VZ160" s="838">
        <f t="shared" si="318"/>
        <v>956642</v>
      </c>
      <c r="WA160" s="846">
        <f>IFERROR(HLOOKUP($F160,'Hodnocení '!$C$1:$JH$9,9,FALSE),0)</f>
        <v>956642</v>
      </c>
      <c r="WB160" s="846">
        <f>IF(IFERROR(HLOOKUP($F160,'Hodnocení '!$C$1:$JH$13,13,FALSE),0)&gt;WA160,WA160,IFERROR(HLOOKUP($F160,'Hodnocení '!$C$1:$JH$13,13,FALSE),0))</f>
        <v>956642</v>
      </c>
      <c r="WC160" s="846">
        <f>IFERROR(HLOOKUP($F160,'Hodnocení '!$C$1:$JH$155,155,FALSE),0)</f>
        <v>914160</v>
      </c>
      <c r="WD160" s="845"/>
      <c r="WE160" s="845"/>
      <c r="WF160" s="845" t="str">
        <f t="shared" si="305"/>
        <v>ANO</v>
      </c>
      <c r="WG160" s="849" t="str">
        <f t="shared" si="320"/>
        <v>Podpora služby je vyjádřena zařazením do sítě sociálních služeb v KHK a řešením financování služby</v>
      </c>
      <c r="WH160"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60" s="849" t="str">
        <f t="shared" si="320"/>
        <v>Návrh dotace je výsledkem projednání s ostatními zadavateli v rámci sítě služeb KHK</v>
      </c>
      <c r="WJ160" s="849" t="str">
        <f t="shared" si="320"/>
        <v>Bez komentáře</v>
      </c>
      <c r="WK160" s="31">
        <f t="shared" si="306"/>
        <v>0</v>
      </c>
      <c r="WL160" s="850">
        <f t="shared" si="307"/>
        <v>0</v>
      </c>
      <c r="WM160" s="849">
        <f t="shared" si="308"/>
        <v>0</v>
      </c>
      <c r="WN160" s="849">
        <f t="shared" si="309"/>
        <v>0</v>
      </c>
      <c r="WO160" s="849" t="str">
        <f t="shared" si="319"/>
        <v>bez komentáře</v>
      </c>
      <c r="WP160" s="849" t="str">
        <f t="shared" si="319"/>
        <v>bez komentáře</v>
      </c>
      <c r="WQ160" s="849" t="str">
        <f t="shared" si="319"/>
        <v>Konečná výše dotace z rozpočtu KHK bude řešena v návaznosti na řešení podílů jednotlivých zadavatelů.</v>
      </c>
      <c r="WR160" s="849" t="str">
        <f t="shared" si="319"/>
        <v>Konečná výše podpory ze stran obcí bude řešena v součinnosti s jednotlivými zadavateli v průběhu roku.</v>
      </c>
      <c r="WS160" s="849" t="str">
        <f t="shared" si="319"/>
        <v>bez komentáře</v>
      </c>
      <c r="WT160" s="849" t="str">
        <f t="shared" si="319"/>
        <v>bez komentáře</v>
      </c>
      <c r="WU160" s="845"/>
    </row>
    <row r="161" spans="1:619" s="128" customFormat="1" x14ac:dyDescent="0.25">
      <c r="A161" s="128" t="e">
        <f>VLOOKUP(F161,'Výpočet VP 2020'!$D$324:$I$588,6,FALSE)</f>
        <v>#N/A</v>
      </c>
      <c r="B161" s="128" t="s">
        <v>733</v>
      </c>
      <c r="C161" s="128">
        <v>25916360</v>
      </c>
      <c r="D161" s="128" t="s">
        <v>734</v>
      </c>
      <c r="E161" s="128" t="s">
        <v>216</v>
      </c>
      <c r="F161" s="128">
        <v>9192436</v>
      </c>
      <c r="G161" s="128" t="s">
        <v>235</v>
      </c>
      <c r="H161" s="128" t="s">
        <v>230</v>
      </c>
      <c r="I161" s="128" t="s">
        <v>745</v>
      </c>
      <c r="J161" s="129">
        <v>43344</v>
      </c>
      <c r="L161" s="128" t="s">
        <v>220</v>
      </c>
      <c r="X161" s="128" t="s">
        <v>274</v>
      </c>
      <c r="Z161" s="128">
        <v>2</v>
      </c>
      <c r="AA161" s="128">
        <v>2</v>
      </c>
      <c r="AB161" s="128">
        <v>2</v>
      </c>
      <c r="AC161" s="128">
        <v>4</v>
      </c>
      <c r="AD161" s="128">
        <v>4</v>
      </c>
      <c r="BL161" s="128" t="s">
        <v>746</v>
      </c>
      <c r="BM161" s="128" t="s">
        <v>414</v>
      </c>
      <c r="BN161" s="128" t="s">
        <v>747</v>
      </c>
      <c r="EK161" s="128">
        <v>2</v>
      </c>
      <c r="EL161" s="128">
        <v>1</v>
      </c>
      <c r="EM161" s="128">
        <v>1</v>
      </c>
      <c r="EN161" s="128">
        <v>305520</v>
      </c>
      <c r="EO161" s="128">
        <v>80700</v>
      </c>
      <c r="FO161" s="128">
        <v>1</v>
      </c>
      <c r="FP161" s="128">
        <v>0.1</v>
      </c>
      <c r="FQ161" s="128">
        <v>0</v>
      </c>
      <c r="FR161" s="128">
        <v>48240</v>
      </c>
      <c r="FS161" s="128">
        <v>48240</v>
      </c>
      <c r="KG161" s="128">
        <v>0</v>
      </c>
      <c r="KI161" s="128">
        <v>1</v>
      </c>
      <c r="KJ161" s="128">
        <v>0</v>
      </c>
      <c r="KK161" s="128">
        <v>0</v>
      </c>
      <c r="KL161" s="128">
        <v>0</v>
      </c>
      <c r="KM161" s="128">
        <v>1</v>
      </c>
      <c r="KN161" s="128">
        <v>353760</v>
      </c>
      <c r="KO161" s="128">
        <v>128940</v>
      </c>
      <c r="KP161" s="128">
        <v>128940</v>
      </c>
      <c r="KT161" s="128">
        <v>0</v>
      </c>
      <c r="KU161" s="128">
        <v>0</v>
      </c>
      <c r="KV161" s="128">
        <v>0</v>
      </c>
      <c r="KZ161" s="128">
        <v>0</v>
      </c>
      <c r="LA161" s="128">
        <v>0</v>
      </c>
      <c r="LB161" s="128">
        <v>0</v>
      </c>
      <c r="LF161" s="128">
        <v>1000</v>
      </c>
      <c r="LG161" s="128">
        <v>700</v>
      </c>
      <c r="LH161" s="128">
        <v>700</v>
      </c>
      <c r="LL161" s="128">
        <v>0</v>
      </c>
      <c r="LM161" s="128">
        <v>0</v>
      </c>
      <c r="LN161" s="128">
        <v>0</v>
      </c>
      <c r="LR161" s="128">
        <v>0</v>
      </c>
      <c r="LS161" s="128">
        <v>0</v>
      </c>
      <c r="LT161" s="128">
        <v>0</v>
      </c>
      <c r="LX161" s="128">
        <v>0</v>
      </c>
      <c r="LY161" s="128">
        <v>0</v>
      </c>
      <c r="LZ161" s="128">
        <v>0</v>
      </c>
      <c r="MD161" s="128">
        <v>1500</v>
      </c>
      <c r="ME161" s="128">
        <v>1500</v>
      </c>
      <c r="MF161" s="128">
        <v>1500</v>
      </c>
      <c r="MJ161" s="128">
        <v>0</v>
      </c>
      <c r="MK161" s="128">
        <v>0</v>
      </c>
      <c r="ML161" s="128">
        <v>0</v>
      </c>
      <c r="MP161" s="128">
        <v>15000</v>
      </c>
      <c r="MQ161" s="128">
        <v>15000</v>
      </c>
      <c r="MR161" s="128">
        <v>15000</v>
      </c>
      <c r="MV161" s="128">
        <v>10000</v>
      </c>
      <c r="MW161" s="128">
        <v>10000</v>
      </c>
      <c r="MX161" s="128">
        <v>10000</v>
      </c>
      <c r="NB161" s="128">
        <v>3000</v>
      </c>
      <c r="NC161" s="128">
        <v>3000</v>
      </c>
      <c r="ND161" s="128">
        <v>3000</v>
      </c>
      <c r="NH161" s="128">
        <v>35000</v>
      </c>
      <c r="NI161" s="128">
        <v>35000</v>
      </c>
      <c r="NJ161" s="128">
        <v>35000</v>
      </c>
      <c r="NN161" s="128">
        <v>4500</v>
      </c>
      <c r="NO161" s="128">
        <v>4500</v>
      </c>
      <c r="NP161" s="128">
        <v>4500</v>
      </c>
      <c r="NT161" s="128">
        <v>0</v>
      </c>
      <c r="NU161" s="128">
        <v>0</v>
      </c>
      <c r="NV161" s="128">
        <v>0</v>
      </c>
      <c r="NZ161" s="128">
        <v>1500</v>
      </c>
      <c r="OA161" s="128">
        <v>1500</v>
      </c>
      <c r="OB161" s="128">
        <v>1500</v>
      </c>
      <c r="OF161" s="128">
        <v>0</v>
      </c>
      <c r="OG161" s="128">
        <v>0</v>
      </c>
      <c r="OH161" s="128">
        <v>0</v>
      </c>
      <c r="OL161" s="128">
        <v>0</v>
      </c>
      <c r="OM161" s="128">
        <v>0</v>
      </c>
      <c r="ON161" s="128">
        <v>0</v>
      </c>
      <c r="OR161" s="128">
        <v>0</v>
      </c>
      <c r="OS161" s="128">
        <v>0</v>
      </c>
      <c r="OT161" s="128">
        <v>0</v>
      </c>
      <c r="OX161" s="128">
        <v>8000</v>
      </c>
      <c r="OY161" s="128">
        <v>8000</v>
      </c>
      <c r="OZ161" s="128">
        <v>8000</v>
      </c>
      <c r="PD161" s="128">
        <v>0</v>
      </c>
      <c r="PE161" s="128">
        <v>0</v>
      </c>
      <c r="PF161" s="128">
        <v>0</v>
      </c>
      <c r="PJ161" s="128">
        <v>1700</v>
      </c>
      <c r="PK161" s="128">
        <v>1700</v>
      </c>
      <c r="PL161" s="128">
        <v>1700</v>
      </c>
      <c r="PP161" s="128">
        <v>434960</v>
      </c>
      <c r="PQ161" s="128">
        <v>209840</v>
      </c>
      <c r="PR161" s="128">
        <v>209840</v>
      </c>
      <c r="PS161" s="128">
        <v>100</v>
      </c>
      <c r="PT161" s="128">
        <v>100</v>
      </c>
      <c r="PX161" s="128">
        <v>0</v>
      </c>
      <c r="PY161" s="128">
        <v>0</v>
      </c>
      <c r="PZ161" s="128">
        <v>209840</v>
      </c>
      <c r="QA161" s="128">
        <v>0</v>
      </c>
      <c r="QB161" s="128">
        <v>0</v>
      </c>
      <c r="QC161" s="128">
        <v>0</v>
      </c>
      <c r="QD161" s="128">
        <v>0</v>
      </c>
      <c r="QE161" s="128">
        <v>0</v>
      </c>
      <c r="QF161" s="128">
        <v>0</v>
      </c>
      <c r="QG161" s="128">
        <v>0</v>
      </c>
      <c r="QH161" s="128">
        <v>0</v>
      </c>
      <c r="QI161" s="128">
        <v>0</v>
      </c>
      <c r="QJ161" s="128">
        <v>0</v>
      </c>
      <c r="QK161" s="128">
        <v>0</v>
      </c>
      <c r="QL161" s="128">
        <v>0</v>
      </c>
      <c r="QN161" s="128">
        <v>0</v>
      </c>
      <c r="QO161" s="128">
        <v>0</v>
      </c>
      <c r="QP161" s="128">
        <v>0</v>
      </c>
      <c r="RA161" s="128">
        <v>91078</v>
      </c>
      <c r="RB161" s="128">
        <v>225120</v>
      </c>
      <c r="RC161" s="128">
        <v>225120</v>
      </c>
      <c r="RH161" s="128">
        <f t="shared" si="310"/>
        <v>434960</v>
      </c>
      <c r="RI161" s="128">
        <v>0</v>
      </c>
      <c r="RM161" s="128" t="s">
        <v>220</v>
      </c>
      <c r="RU161" s="130"/>
      <c r="RV161" s="130"/>
      <c r="RW161" s="130"/>
      <c r="RX161" s="130"/>
      <c r="SF161" s="128">
        <f t="shared" si="220"/>
        <v>9192436</v>
      </c>
      <c r="SG161" s="131">
        <f t="shared" si="221"/>
        <v>434960</v>
      </c>
      <c r="SH161" s="131">
        <f t="shared" si="222"/>
        <v>434960</v>
      </c>
      <c r="SI161" s="131">
        <f t="shared" si="223"/>
        <v>354760</v>
      </c>
      <c r="SJ161" s="132">
        <f t="shared" si="224"/>
        <v>353760</v>
      </c>
      <c r="SK161" s="132">
        <f t="shared" si="225"/>
        <v>0</v>
      </c>
      <c r="SL161" s="132">
        <f t="shared" si="226"/>
        <v>0</v>
      </c>
      <c r="SM161" s="132">
        <f t="shared" si="227"/>
        <v>1000</v>
      </c>
      <c r="SN161" s="131">
        <f t="shared" si="228"/>
        <v>80200</v>
      </c>
      <c r="SO161" s="131">
        <f t="shared" si="229"/>
        <v>0</v>
      </c>
      <c r="SP161" s="132">
        <f t="shared" si="230"/>
        <v>0</v>
      </c>
      <c r="SQ161" s="132">
        <f t="shared" si="231"/>
        <v>0</v>
      </c>
      <c r="SR161" s="132">
        <f t="shared" si="232"/>
        <v>0</v>
      </c>
      <c r="SS161" s="132">
        <f t="shared" si="233"/>
        <v>1500</v>
      </c>
      <c r="ST161" s="132">
        <f t="shared" si="234"/>
        <v>0</v>
      </c>
      <c r="SU161" s="132">
        <f t="shared" si="235"/>
        <v>15000</v>
      </c>
      <c r="SV161" s="131">
        <f t="shared" si="236"/>
        <v>62000</v>
      </c>
      <c r="SW161" s="132">
        <f t="shared" si="237"/>
        <v>10000</v>
      </c>
      <c r="SX161" s="132">
        <f t="shared" si="238"/>
        <v>3000</v>
      </c>
      <c r="SY161" s="132">
        <f t="shared" si="239"/>
        <v>35000</v>
      </c>
      <c r="SZ161" s="132">
        <f t="shared" si="240"/>
        <v>4500</v>
      </c>
      <c r="TA161" s="132">
        <f t="shared" si="241"/>
        <v>0</v>
      </c>
      <c r="TB161" s="132">
        <f t="shared" si="242"/>
        <v>1500</v>
      </c>
      <c r="TC161" s="132">
        <f t="shared" si="243"/>
        <v>0</v>
      </c>
      <c r="TD161" s="132">
        <f t="shared" si="244"/>
        <v>0</v>
      </c>
      <c r="TE161" s="132">
        <f t="shared" si="245"/>
        <v>0</v>
      </c>
      <c r="TF161" s="132">
        <f t="shared" si="246"/>
        <v>8000</v>
      </c>
      <c r="TG161" s="132">
        <f t="shared" si="247"/>
        <v>0</v>
      </c>
      <c r="TH161" s="132">
        <f t="shared" si="248"/>
        <v>1700</v>
      </c>
      <c r="TI161" s="1"/>
      <c r="TJ161" s="131">
        <f t="shared" si="249"/>
        <v>209840</v>
      </c>
      <c r="TK161" s="131">
        <f t="shared" si="250"/>
        <v>209840</v>
      </c>
      <c r="TL161" s="131">
        <f t="shared" si="251"/>
        <v>129640</v>
      </c>
      <c r="TM161" s="132">
        <f t="shared" si="252"/>
        <v>128940</v>
      </c>
      <c r="TN161" s="132">
        <f t="shared" si="253"/>
        <v>0</v>
      </c>
      <c r="TO161" s="132">
        <f t="shared" si="254"/>
        <v>0</v>
      </c>
      <c r="TP161" s="132">
        <f t="shared" si="255"/>
        <v>700</v>
      </c>
      <c r="TQ161" s="131">
        <f t="shared" si="256"/>
        <v>80200</v>
      </c>
      <c r="TR161" s="131">
        <f t="shared" si="257"/>
        <v>0</v>
      </c>
      <c r="TS161" s="132">
        <f t="shared" si="258"/>
        <v>0</v>
      </c>
      <c r="TT161" s="132">
        <f t="shared" si="259"/>
        <v>0</v>
      </c>
      <c r="TU161" s="132">
        <f t="shared" si="260"/>
        <v>0</v>
      </c>
      <c r="TV161" s="132">
        <f t="shared" si="261"/>
        <v>1500</v>
      </c>
      <c r="TW161" s="132">
        <f t="shared" si="262"/>
        <v>0</v>
      </c>
      <c r="TX161" s="132">
        <f t="shared" si="263"/>
        <v>15000</v>
      </c>
      <c r="TY161" s="131">
        <f t="shared" si="264"/>
        <v>62000</v>
      </c>
      <c r="TZ161" s="132">
        <f t="shared" si="265"/>
        <v>10000</v>
      </c>
      <c r="UA161" s="132">
        <f t="shared" si="266"/>
        <v>3000</v>
      </c>
      <c r="UB161" s="132">
        <f t="shared" si="267"/>
        <v>35000</v>
      </c>
      <c r="UC161" s="132">
        <f t="shared" si="268"/>
        <v>4500</v>
      </c>
      <c r="UD161" s="132">
        <f t="shared" si="269"/>
        <v>0</v>
      </c>
      <c r="UE161" s="132">
        <f t="shared" si="270"/>
        <v>1500</v>
      </c>
      <c r="UF161" s="132">
        <f t="shared" si="271"/>
        <v>0</v>
      </c>
      <c r="UG161" s="132">
        <f t="shared" si="272"/>
        <v>0</v>
      </c>
      <c r="UH161" s="132">
        <f t="shared" si="273"/>
        <v>0</v>
      </c>
      <c r="UI161" s="132">
        <f t="shared" si="274"/>
        <v>8000</v>
      </c>
      <c r="UJ161" s="132">
        <f t="shared" si="275"/>
        <v>0</v>
      </c>
      <c r="UK161" s="132">
        <f t="shared" si="276"/>
        <v>1700</v>
      </c>
      <c r="UL161" s="132">
        <f t="shared" si="311"/>
        <v>209840</v>
      </c>
      <c r="UM161" s="131">
        <f t="shared" si="277"/>
        <v>209840</v>
      </c>
      <c r="UN161" s="131">
        <f t="shared" si="278"/>
        <v>209840</v>
      </c>
      <c r="UO161" s="131">
        <f t="shared" si="279"/>
        <v>129640</v>
      </c>
      <c r="UP161" s="132">
        <f t="shared" si="280"/>
        <v>128940</v>
      </c>
      <c r="UQ161" s="132">
        <f t="shared" si="281"/>
        <v>0</v>
      </c>
      <c r="UR161" s="132">
        <f t="shared" si="282"/>
        <v>0</v>
      </c>
      <c r="US161" s="132">
        <f t="shared" si="283"/>
        <v>700</v>
      </c>
      <c r="UT161" s="131">
        <f t="shared" si="284"/>
        <v>80200</v>
      </c>
      <c r="UU161" s="131">
        <f t="shared" si="285"/>
        <v>0</v>
      </c>
      <c r="UV161" s="132">
        <f t="shared" si="286"/>
        <v>0</v>
      </c>
      <c r="UW161" s="132">
        <f t="shared" si="287"/>
        <v>0</v>
      </c>
      <c r="UX161" s="132">
        <f t="shared" si="288"/>
        <v>0</v>
      </c>
      <c r="UY161" s="132">
        <f t="shared" si="289"/>
        <v>1500</v>
      </c>
      <c r="UZ161" s="132">
        <f t="shared" si="290"/>
        <v>0</v>
      </c>
      <c r="VA161" s="132">
        <f t="shared" si="291"/>
        <v>15000</v>
      </c>
      <c r="VB161" s="131">
        <f t="shared" si="292"/>
        <v>62000</v>
      </c>
      <c r="VC161" s="132">
        <f t="shared" si="293"/>
        <v>10000</v>
      </c>
      <c r="VD161" s="132">
        <f t="shared" si="294"/>
        <v>3000</v>
      </c>
      <c r="VE161" s="132">
        <f t="shared" si="295"/>
        <v>35000</v>
      </c>
      <c r="VF161" s="132">
        <f t="shared" si="296"/>
        <v>4500</v>
      </c>
      <c r="VG161" s="132">
        <f t="shared" si="297"/>
        <v>0</v>
      </c>
      <c r="VH161" s="132">
        <f t="shared" si="298"/>
        <v>1500</v>
      </c>
      <c r="VI161" s="132">
        <f t="shared" si="299"/>
        <v>0</v>
      </c>
      <c r="VJ161" s="132">
        <f t="shared" si="300"/>
        <v>0</v>
      </c>
      <c r="VK161" s="132">
        <f t="shared" si="301"/>
        <v>0</v>
      </c>
      <c r="VL161" s="132">
        <f t="shared" si="302"/>
        <v>8000</v>
      </c>
      <c r="VM161" s="132">
        <f t="shared" si="303"/>
        <v>0</v>
      </c>
      <c r="VN161" s="132">
        <f t="shared" si="304"/>
        <v>1700</v>
      </c>
      <c r="VP161" s="845">
        <f>IFERROR(HLOOKUP(F161,'Hodnocení '!$C$1:$JH$5,2,FALSE),0)</f>
        <v>0</v>
      </c>
      <c r="VQ161" s="838"/>
      <c r="VR161" s="845" t="str">
        <f t="shared" si="312"/>
        <v>Obecně prospěšná společnost</v>
      </c>
      <c r="VS161" s="845">
        <f>IFERROR(HLOOKUP(F161,'Hodnocení '!$C$1:$JH$5,5,FALSE),0)</f>
        <v>0</v>
      </c>
      <c r="VT161" s="838">
        <f t="shared" si="313"/>
        <v>0</v>
      </c>
      <c r="VU161" s="838">
        <f t="shared" si="314"/>
        <v>0</v>
      </c>
      <c r="VV161" s="838">
        <f t="shared" si="315"/>
        <v>0</v>
      </c>
      <c r="VW161" s="838">
        <f t="shared" si="316"/>
        <v>0</v>
      </c>
      <c r="VX161" s="838"/>
      <c r="VY161" s="838">
        <f t="shared" si="317"/>
        <v>209840</v>
      </c>
      <c r="VZ161" s="838">
        <f t="shared" si="318"/>
        <v>209840</v>
      </c>
      <c r="WA161" s="846">
        <f>IFERROR(HLOOKUP($F161,'Hodnocení '!$C$1:$JH$9,9,FALSE),0)</f>
        <v>0</v>
      </c>
      <c r="WB161" s="846">
        <f>IF(IFERROR(HLOOKUP($F161,'Hodnocení '!$C$1:$JH$13,13,FALSE),0)&gt;WA161,WA161,IFERROR(HLOOKUP($F161,'Hodnocení '!$C$1:$JH$13,13,FALSE),0))</f>
        <v>0</v>
      </c>
      <c r="WC161" s="846">
        <f>IFERROR(HLOOKUP($F161,'Hodnocení '!$C$1:$JH$155,155,FALSE),0)</f>
        <v>0</v>
      </c>
      <c r="WD161" s="845"/>
      <c r="WE161" s="845"/>
      <c r="WF161" s="845" t="str">
        <f t="shared" si="305"/>
        <v>NE</v>
      </c>
      <c r="WG161" s="849" t="str">
        <f t="shared" si="320"/>
        <v>Služba není zařazeno do sítě sociálních služeb</v>
      </c>
      <c r="WH161" s="849">
        <f t="shared" si="320"/>
        <v>0</v>
      </c>
      <c r="WI161" s="849" t="str">
        <f t="shared" si="320"/>
        <v>Služba není zařazena do sítě sociálních služeb v KHK</v>
      </c>
      <c r="WJ161" s="849">
        <f t="shared" si="320"/>
        <v>0</v>
      </c>
      <c r="WK161" s="31">
        <f t="shared" si="306"/>
        <v>0</v>
      </c>
      <c r="WL161" s="850">
        <f t="shared" si="307"/>
        <v>0</v>
      </c>
      <c r="WM161" s="849" t="str">
        <f t="shared" si="308"/>
        <v>nehodnoceno</v>
      </c>
      <c r="WN161" s="849" t="str">
        <f t="shared" si="309"/>
        <v>nehodnoceno</v>
      </c>
      <c r="WO161" s="849" t="str">
        <f t="shared" si="319"/>
        <v>nehodnoceno</v>
      </c>
      <c r="WP161" s="849" t="str">
        <f t="shared" si="319"/>
        <v>nehodnoceno</v>
      </c>
      <c r="WQ161" s="849" t="str">
        <f t="shared" si="319"/>
        <v>nehodnoceno</v>
      </c>
      <c r="WR161" s="849" t="str">
        <f t="shared" si="319"/>
        <v>nehodnoceno</v>
      </c>
      <c r="WS161" s="849" t="str">
        <f t="shared" si="319"/>
        <v>nehodnoceno</v>
      </c>
      <c r="WT161" s="849" t="str">
        <f t="shared" si="319"/>
        <v>nehodnoceno</v>
      </c>
      <c r="WU161" s="845"/>
    </row>
    <row r="162" spans="1:619" s="128" customFormat="1" x14ac:dyDescent="0.25">
      <c r="A162" s="128" t="str">
        <f>VLOOKUP(F162,'Výpočet VP 2020'!$D$324:$I$588,6,FALSE)</f>
        <v>Je v síti</v>
      </c>
      <c r="B162" s="128" t="s">
        <v>748</v>
      </c>
      <c r="C162" s="128">
        <v>275026</v>
      </c>
      <c r="D162" s="128" t="s">
        <v>749</v>
      </c>
      <c r="E162" s="128" t="s">
        <v>604</v>
      </c>
      <c r="F162" s="128">
        <v>9196018</v>
      </c>
      <c r="G162" s="128" t="s">
        <v>328</v>
      </c>
      <c r="H162" s="128" t="s">
        <v>218</v>
      </c>
      <c r="I162" s="128" t="s">
        <v>750</v>
      </c>
      <c r="J162" s="129">
        <v>39083</v>
      </c>
      <c r="L162" s="128" t="s">
        <v>220</v>
      </c>
      <c r="X162" s="128" t="s">
        <v>335</v>
      </c>
      <c r="Z162" s="128">
        <v>1</v>
      </c>
      <c r="AA162" s="128">
        <v>3</v>
      </c>
      <c r="AB162" s="128">
        <v>2</v>
      </c>
      <c r="AC162" s="128">
        <v>2</v>
      </c>
      <c r="AD162" s="128">
        <v>5</v>
      </c>
      <c r="AN162" s="128">
        <v>117</v>
      </c>
      <c r="AO162" s="128" t="s">
        <v>751</v>
      </c>
      <c r="AP162" s="128" t="s">
        <v>345</v>
      </c>
      <c r="AQ162" s="128">
        <v>60</v>
      </c>
      <c r="AR162" s="128">
        <v>60</v>
      </c>
      <c r="AS162" s="128">
        <v>66</v>
      </c>
      <c r="AT162" s="128">
        <v>64</v>
      </c>
      <c r="AU162" s="128">
        <v>65</v>
      </c>
      <c r="BJ162" s="128">
        <v>3000</v>
      </c>
      <c r="BL162" s="128" t="s">
        <v>752</v>
      </c>
      <c r="BM162" s="128" t="s">
        <v>325</v>
      </c>
      <c r="BN162" s="128" t="s">
        <v>364</v>
      </c>
      <c r="BO162" s="128">
        <v>0</v>
      </c>
      <c r="BP162" s="128">
        <v>0</v>
      </c>
      <c r="BQ162" s="128">
        <v>0</v>
      </c>
      <c r="BR162" s="128">
        <v>0</v>
      </c>
      <c r="BS162" s="128">
        <v>0</v>
      </c>
      <c r="BT162" s="128">
        <v>22</v>
      </c>
      <c r="BU162" s="128">
        <v>16</v>
      </c>
      <c r="BV162" s="128">
        <v>5</v>
      </c>
      <c r="BW162" s="128">
        <v>3</v>
      </c>
      <c r="BX162" s="128">
        <v>20</v>
      </c>
      <c r="BY162" s="128">
        <v>22</v>
      </c>
      <c r="BZ162" s="128">
        <v>16</v>
      </c>
      <c r="CA162" s="128">
        <v>5</v>
      </c>
      <c r="CB162" s="128">
        <v>3</v>
      </c>
      <c r="CC162" s="128">
        <v>20</v>
      </c>
      <c r="CD162" s="128">
        <v>0</v>
      </c>
      <c r="CE162" s="128">
        <v>66</v>
      </c>
      <c r="CF162" s="128">
        <v>66</v>
      </c>
      <c r="CG162" s="128">
        <v>0</v>
      </c>
      <c r="CH162" s="128">
        <v>0</v>
      </c>
      <c r="CI162" s="128">
        <v>0</v>
      </c>
      <c r="CJ162" s="128">
        <v>0</v>
      </c>
      <c r="CK162" s="128">
        <v>0</v>
      </c>
      <c r="CL162" s="128">
        <v>0</v>
      </c>
      <c r="CM162" s="128">
        <v>23</v>
      </c>
      <c r="CN162" s="128">
        <v>20</v>
      </c>
      <c r="CO162" s="128">
        <v>13</v>
      </c>
      <c r="CP162" s="128">
        <v>5</v>
      </c>
      <c r="CQ162" s="128">
        <v>9</v>
      </c>
      <c r="CR162" s="128">
        <v>23</v>
      </c>
      <c r="CS162" s="128">
        <v>20</v>
      </c>
      <c r="CT162" s="128">
        <v>13</v>
      </c>
      <c r="CU162" s="128">
        <v>5</v>
      </c>
      <c r="CV162" s="128">
        <v>9</v>
      </c>
      <c r="CW162" s="128">
        <v>0</v>
      </c>
      <c r="CX162" s="128">
        <v>70</v>
      </c>
      <c r="CY162" s="128">
        <v>70</v>
      </c>
      <c r="CZ162" s="128">
        <v>0</v>
      </c>
      <c r="EP162" s="128">
        <v>5</v>
      </c>
      <c r="EQ162" s="128">
        <v>4.5</v>
      </c>
      <c r="ER162" s="128">
        <v>0</v>
      </c>
      <c r="ES162" s="128">
        <v>1583915</v>
      </c>
      <c r="ET162" s="128">
        <v>900000</v>
      </c>
      <c r="FO162" s="128">
        <v>2</v>
      </c>
      <c r="FP162" s="128">
        <v>1.125</v>
      </c>
      <c r="FQ162" s="128">
        <v>0</v>
      </c>
      <c r="FR162" s="128">
        <v>371140</v>
      </c>
      <c r="FS162" s="128">
        <v>180000</v>
      </c>
      <c r="GL162" s="128">
        <v>1</v>
      </c>
      <c r="GM162" s="128">
        <v>0.5</v>
      </c>
      <c r="GN162" s="128">
        <v>12</v>
      </c>
      <c r="GO162" s="128">
        <v>0.5</v>
      </c>
      <c r="GP162" s="128">
        <v>150600</v>
      </c>
      <c r="GQ162" s="128">
        <v>15000</v>
      </c>
      <c r="IN162" s="128">
        <v>1</v>
      </c>
      <c r="IO162" s="128">
        <v>300</v>
      </c>
      <c r="IP162" s="128">
        <v>0.14299999999999999</v>
      </c>
      <c r="IQ162" s="128">
        <v>90000</v>
      </c>
      <c r="IR162" s="128">
        <v>10000</v>
      </c>
      <c r="KG162" s="128">
        <v>0</v>
      </c>
      <c r="KI162" s="128">
        <v>4.5</v>
      </c>
      <c r="KJ162" s="128">
        <v>0.5</v>
      </c>
      <c r="KK162" s="128">
        <v>0.14299999999999999</v>
      </c>
      <c r="KL162" s="128">
        <v>0</v>
      </c>
      <c r="KM162" s="128">
        <v>5.1429999999999998</v>
      </c>
      <c r="KN162" s="128">
        <v>1955055</v>
      </c>
      <c r="KO162" s="128">
        <v>1080000</v>
      </c>
      <c r="KP162" s="128">
        <v>1080000</v>
      </c>
      <c r="KT162" s="128">
        <v>150600</v>
      </c>
      <c r="KU162" s="128">
        <v>15000</v>
      </c>
      <c r="KV162" s="128">
        <v>15000</v>
      </c>
      <c r="KZ162" s="128">
        <v>90000</v>
      </c>
      <c r="LA162" s="128">
        <v>10000</v>
      </c>
      <c r="LB162" s="128">
        <v>10000</v>
      </c>
      <c r="LF162" s="128">
        <v>0</v>
      </c>
      <c r="LG162" s="128">
        <v>0</v>
      </c>
      <c r="LH162" s="128">
        <v>0</v>
      </c>
      <c r="LL162" s="128">
        <v>0</v>
      </c>
      <c r="LM162" s="128">
        <v>0</v>
      </c>
      <c r="LN162" s="128">
        <v>0</v>
      </c>
      <c r="LR162" s="128">
        <v>35000</v>
      </c>
      <c r="LS162" s="128">
        <v>0</v>
      </c>
      <c r="LT162" s="128">
        <v>0</v>
      </c>
      <c r="LX162" s="128">
        <v>0</v>
      </c>
      <c r="LY162" s="128">
        <v>0</v>
      </c>
      <c r="LZ162" s="128">
        <v>0</v>
      </c>
      <c r="MD162" s="128">
        <v>40000</v>
      </c>
      <c r="ME162" s="128">
        <v>0</v>
      </c>
      <c r="MF162" s="128">
        <v>0</v>
      </c>
      <c r="MJ162" s="128">
        <v>65000</v>
      </c>
      <c r="MK162" s="128">
        <v>0</v>
      </c>
      <c r="ML162" s="128">
        <v>0</v>
      </c>
      <c r="MP162" s="128">
        <v>66000</v>
      </c>
      <c r="MQ162" s="128">
        <v>0</v>
      </c>
      <c r="MR162" s="128">
        <v>0</v>
      </c>
      <c r="MV162" s="128">
        <v>35000</v>
      </c>
      <c r="MW162" s="128">
        <v>0</v>
      </c>
      <c r="MX162" s="128">
        <v>0</v>
      </c>
      <c r="NB162" s="128">
        <v>30000</v>
      </c>
      <c r="NC162" s="128">
        <v>0</v>
      </c>
      <c r="ND162" s="128">
        <v>0</v>
      </c>
      <c r="NH162" s="128">
        <v>45000</v>
      </c>
      <c r="NI162" s="128">
        <v>0</v>
      </c>
      <c r="NJ162" s="128">
        <v>0</v>
      </c>
      <c r="NN162" s="128">
        <v>0</v>
      </c>
      <c r="NO162" s="128">
        <v>0</v>
      </c>
      <c r="NP162" s="128">
        <v>0</v>
      </c>
      <c r="NT162" s="128">
        <v>35000</v>
      </c>
      <c r="NU162" s="128">
        <v>0</v>
      </c>
      <c r="NV162" s="128">
        <v>0</v>
      </c>
      <c r="NZ162" s="128">
        <v>12000</v>
      </c>
      <c r="OA162" s="128">
        <v>0</v>
      </c>
      <c r="OB162" s="128">
        <v>0</v>
      </c>
      <c r="OF162" s="128">
        <v>1000</v>
      </c>
      <c r="OG162" s="128">
        <v>0</v>
      </c>
      <c r="OH162" s="128">
        <v>0</v>
      </c>
      <c r="OL162" s="128">
        <v>0</v>
      </c>
      <c r="OM162" s="128">
        <v>0</v>
      </c>
      <c r="ON162" s="128">
        <v>0</v>
      </c>
      <c r="OR162" s="128">
        <v>0</v>
      </c>
      <c r="OS162" s="128">
        <v>0</v>
      </c>
      <c r="OT162" s="128">
        <v>0</v>
      </c>
      <c r="OX162" s="128">
        <v>75000</v>
      </c>
      <c r="OY162" s="128">
        <v>0</v>
      </c>
      <c r="OZ162" s="128">
        <v>0</v>
      </c>
      <c r="PD162" s="128">
        <v>11844</v>
      </c>
      <c r="PE162" s="128">
        <v>0</v>
      </c>
      <c r="PF162" s="128">
        <v>0</v>
      </c>
      <c r="PJ162" s="128">
        <v>2000</v>
      </c>
      <c r="PK162" s="128">
        <v>0</v>
      </c>
      <c r="PL162" s="128">
        <v>0</v>
      </c>
      <c r="PP162" s="128">
        <v>2648499</v>
      </c>
      <c r="PQ162" s="128">
        <v>1105000</v>
      </c>
      <c r="PR162" s="128">
        <v>1105000</v>
      </c>
      <c r="PS162" s="128">
        <v>100</v>
      </c>
      <c r="PT162" s="128">
        <v>100</v>
      </c>
      <c r="PV162" s="128">
        <v>2146107</v>
      </c>
      <c r="PX162" s="128">
        <v>408500</v>
      </c>
      <c r="PY162" s="128">
        <v>559074</v>
      </c>
      <c r="PZ162" s="128">
        <v>1105000</v>
      </c>
      <c r="QA162" s="128">
        <v>0</v>
      </c>
      <c r="QB162" s="128">
        <v>0</v>
      </c>
      <c r="QC162" s="128">
        <v>0</v>
      </c>
      <c r="QD162" s="128">
        <v>0</v>
      </c>
      <c r="QE162" s="128">
        <v>0</v>
      </c>
      <c r="QF162" s="128">
        <v>0</v>
      </c>
      <c r="QG162" s="128">
        <v>0</v>
      </c>
      <c r="QH162" s="128">
        <v>0</v>
      </c>
      <c r="QI162" s="128">
        <v>0</v>
      </c>
      <c r="QJ162" s="128">
        <v>393065</v>
      </c>
      <c r="QK162" s="128">
        <v>470500</v>
      </c>
      <c r="QL162" s="128">
        <v>500000</v>
      </c>
      <c r="QN162" s="128">
        <v>0</v>
      </c>
      <c r="QO162" s="128">
        <v>0</v>
      </c>
      <c r="QP162" s="128">
        <v>0</v>
      </c>
      <c r="QU162" s="128">
        <v>0</v>
      </c>
      <c r="QV162" s="128">
        <v>0</v>
      </c>
      <c r="QW162" s="128">
        <v>0</v>
      </c>
      <c r="RD162" s="128">
        <v>1227542</v>
      </c>
      <c r="RE162" s="128">
        <v>1542270</v>
      </c>
      <c r="RF162" s="128">
        <v>1043499</v>
      </c>
      <c r="RH162" s="128">
        <f t="shared" si="310"/>
        <v>2148499</v>
      </c>
      <c r="RI162" s="128">
        <v>0</v>
      </c>
      <c r="RM162" s="128" t="s">
        <v>220</v>
      </c>
      <c r="RU162" s="130"/>
      <c r="RV162" s="130"/>
      <c r="RW162" s="130"/>
      <c r="RX162" s="130"/>
      <c r="SF162" s="128">
        <f t="shared" si="220"/>
        <v>9196018</v>
      </c>
      <c r="SG162" s="131">
        <f t="shared" si="221"/>
        <v>2648499</v>
      </c>
      <c r="SH162" s="131">
        <f t="shared" si="222"/>
        <v>2648499</v>
      </c>
      <c r="SI162" s="131">
        <f t="shared" si="223"/>
        <v>2195655</v>
      </c>
      <c r="SJ162" s="132">
        <f t="shared" si="224"/>
        <v>1955055</v>
      </c>
      <c r="SK162" s="132">
        <f t="shared" si="225"/>
        <v>150600</v>
      </c>
      <c r="SL162" s="132">
        <f t="shared" si="226"/>
        <v>90000</v>
      </c>
      <c r="SM162" s="132">
        <f t="shared" si="227"/>
        <v>0</v>
      </c>
      <c r="SN162" s="131">
        <f t="shared" si="228"/>
        <v>452844</v>
      </c>
      <c r="SO162" s="131">
        <f t="shared" si="229"/>
        <v>35000</v>
      </c>
      <c r="SP162" s="132">
        <f t="shared" si="230"/>
        <v>0</v>
      </c>
      <c r="SQ162" s="132">
        <f t="shared" si="231"/>
        <v>35000</v>
      </c>
      <c r="SR162" s="132">
        <f t="shared" si="232"/>
        <v>0</v>
      </c>
      <c r="SS162" s="132">
        <f t="shared" si="233"/>
        <v>40000</v>
      </c>
      <c r="ST162" s="132">
        <f t="shared" si="234"/>
        <v>65000</v>
      </c>
      <c r="SU162" s="132">
        <f t="shared" si="235"/>
        <v>66000</v>
      </c>
      <c r="SV162" s="131">
        <f t="shared" si="236"/>
        <v>233000</v>
      </c>
      <c r="SW162" s="132">
        <f t="shared" si="237"/>
        <v>35000</v>
      </c>
      <c r="SX162" s="132">
        <f t="shared" si="238"/>
        <v>30000</v>
      </c>
      <c r="SY162" s="132">
        <f t="shared" si="239"/>
        <v>45000</v>
      </c>
      <c r="SZ162" s="132">
        <f t="shared" si="240"/>
        <v>0</v>
      </c>
      <c r="TA162" s="132">
        <f t="shared" si="241"/>
        <v>35000</v>
      </c>
      <c r="TB162" s="132">
        <f t="shared" si="242"/>
        <v>12000</v>
      </c>
      <c r="TC162" s="132">
        <f t="shared" si="243"/>
        <v>1000</v>
      </c>
      <c r="TD162" s="132">
        <f t="shared" si="244"/>
        <v>0</v>
      </c>
      <c r="TE162" s="132">
        <f t="shared" si="245"/>
        <v>0</v>
      </c>
      <c r="TF162" s="132">
        <f t="shared" si="246"/>
        <v>75000</v>
      </c>
      <c r="TG162" s="132">
        <f t="shared" si="247"/>
        <v>11844</v>
      </c>
      <c r="TH162" s="132">
        <f t="shared" si="248"/>
        <v>2000</v>
      </c>
      <c r="TI162" s="1"/>
      <c r="TJ162" s="131">
        <f t="shared" si="249"/>
        <v>1105000</v>
      </c>
      <c r="TK162" s="131">
        <f t="shared" si="250"/>
        <v>1105000</v>
      </c>
      <c r="TL162" s="131">
        <f t="shared" si="251"/>
        <v>1105000</v>
      </c>
      <c r="TM162" s="132">
        <f t="shared" si="252"/>
        <v>1080000</v>
      </c>
      <c r="TN162" s="132">
        <f t="shared" si="253"/>
        <v>15000</v>
      </c>
      <c r="TO162" s="132">
        <f t="shared" si="254"/>
        <v>10000</v>
      </c>
      <c r="TP162" s="132">
        <f t="shared" si="255"/>
        <v>0</v>
      </c>
      <c r="TQ162" s="131">
        <f t="shared" si="256"/>
        <v>0</v>
      </c>
      <c r="TR162" s="131">
        <f t="shared" si="257"/>
        <v>0</v>
      </c>
      <c r="TS162" s="132">
        <f t="shared" si="258"/>
        <v>0</v>
      </c>
      <c r="TT162" s="132">
        <f t="shared" si="259"/>
        <v>0</v>
      </c>
      <c r="TU162" s="132">
        <f t="shared" si="260"/>
        <v>0</v>
      </c>
      <c r="TV162" s="132">
        <f t="shared" si="261"/>
        <v>0</v>
      </c>
      <c r="TW162" s="132">
        <f t="shared" si="262"/>
        <v>0</v>
      </c>
      <c r="TX162" s="132">
        <f t="shared" si="263"/>
        <v>0</v>
      </c>
      <c r="TY162" s="131">
        <f t="shared" si="264"/>
        <v>0</v>
      </c>
      <c r="TZ162" s="132">
        <f t="shared" si="265"/>
        <v>0</v>
      </c>
      <c r="UA162" s="132">
        <f t="shared" si="266"/>
        <v>0</v>
      </c>
      <c r="UB162" s="132">
        <f t="shared" si="267"/>
        <v>0</v>
      </c>
      <c r="UC162" s="132">
        <f t="shared" si="268"/>
        <v>0</v>
      </c>
      <c r="UD162" s="132">
        <f t="shared" si="269"/>
        <v>0</v>
      </c>
      <c r="UE162" s="132">
        <f t="shared" si="270"/>
        <v>0</v>
      </c>
      <c r="UF162" s="132">
        <f t="shared" si="271"/>
        <v>0</v>
      </c>
      <c r="UG162" s="132">
        <f t="shared" si="272"/>
        <v>0</v>
      </c>
      <c r="UH162" s="132">
        <f t="shared" si="273"/>
        <v>0</v>
      </c>
      <c r="UI162" s="132">
        <f t="shared" si="274"/>
        <v>0</v>
      </c>
      <c r="UJ162" s="132">
        <f t="shared" si="275"/>
        <v>0</v>
      </c>
      <c r="UK162" s="132">
        <f t="shared" si="276"/>
        <v>0</v>
      </c>
      <c r="UL162" s="132">
        <f t="shared" si="311"/>
        <v>1105000</v>
      </c>
      <c r="UM162" s="131">
        <f t="shared" si="277"/>
        <v>1105000</v>
      </c>
      <c r="UN162" s="131">
        <f t="shared" si="278"/>
        <v>1105000</v>
      </c>
      <c r="UO162" s="131">
        <f t="shared" si="279"/>
        <v>1105000</v>
      </c>
      <c r="UP162" s="132">
        <f t="shared" si="280"/>
        <v>1080000</v>
      </c>
      <c r="UQ162" s="132">
        <f t="shared" si="281"/>
        <v>15000</v>
      </c>
      <c r="UR162" s="132">
        <f t="shared" si="282"/>
        <v>10000</v>
      </c>
      <c r="US162" s="132">
        <f t="shared" si="283"/>
        <v>0</v>
      </c>
      <c r="UT162" s="131">
        <f t="shared" si="284"/>
        <v>0</v>
      </c>
      <c r="UU162" s="131">
        <f t="shared" si="285"/>
        <v>0</v>
      </c>
      <c r="UV162" s="132">
        <f t="shared" si="286"/>
        <v>0</v>
      </c>
      <c r="UW162" s="132">
        <f t="shared" si="287"/>
        <v>0</v>
      </c>
      <c r="UX162" s="132">
        <f t="shared" si="288"/>
        <v>0</v>
      </c>
      <c r="UY162" s="132">
        <f t="shared" si="289"/>
        <v>0</v>
      </c>
      <c r="UZ162" s="132">
        <f t="shared" si="290"/>
        <v>0</v>
      </c>
      <c r="VA162" s="132">
        <f t="shared" si="291"/>
        <v>0</v>
      </c>
      <c r="VB162" s="131">
        <f t="shared" si="292"/>
        <v>0</v>
      </c>
      <c r="VC162" s="132">
        <f t="shared" si="293"/>
        <v>0</v>
      </c>
      <c r="VD162" s="132">
        <f t="shared" si="294"/>
        <v>0</v>
      </c>
      <c r="VE162" s="132">
        <f t="shared" si="295"/>
        <v>0</v>
      </c>
      <c r="VF162" s="132">
        <f t="shared" si="296"/>
        <v>0</v>
      </c>
      <c r="VG162" s="132">
        <f t="shared" si="297"/>
        <v>0</v>
      </c>
      <c r="VH162" s="132">
        <f t="shared" si="298"/>
        <v>0</v>
      </c>
      <c r="VI162" s="132">
        <f t="shared" si="299"/>
        <v>0</v>
      </c>
      <c r="VJ162" s="132">
        <f t="shared" si="300"/>
        <v>0</v>
      </c>
      <c r="VK162" s="132">
        <f t="shared" si="301"/>
        <v>0</v>
      </c>
      <c r="VL162" s="132">
        <f t="shared" si="302"/>
        <v>0</v>
      </c>
      <c r="VM162" s="132">
        <f t="shared" si="303"/>
        <v>0</v>
      </c>
      <c r="VN162" s="132">
        <f t="shared" si="304"/>
        <v>0</v>
      </c>
      <c r="VP162" s="845" t="str">
        <f>IFERROR(HLOOKUP(F162,'Hodnocení '!$C$1:$JH$5,2,FALSE),0)</f>
        <v>Pečovatelská služba Kvasiny</v>
      </c>
      <c r="VQ162" s="838"/>
      <c r="VR162" s="845" t="str">
        <f t="shared" si="312"/>
        <v>Obec</v>
      </c>
      <c r="VS162" s="845" t="str">
        <f>IFERROR(HLOOKUP(F162,'Hodnocení '!$C$1:$JH$5,5,FALSE),0)</f>
        <v>Obce</v>
      </c>
      <c r="VT162" s="838" t="str">
        <f t="shared" si="313"/>
        <v>Obec</v>
      </c>
      <c r="VU162" s="838">
        <f t="shared" si="314"/>
        <v>0</v>
      </c>
      <c r="VV162" s="838">
        <f t="shared" si="315"/>
        <v>500000</v>
      </c>
      <c r="VW162" s="838">
        <f t="shared" si="316"/>
        <v>0</v>
      </c>
      <c r="VX162" s="838"/>
      <c r="VY162" s="838">
        <f t="shared" si="317"/>
        <v>0</v>
      </c>
      <c r="VZ162" s="838">
        <f t="shared" si="318"/>
        <v>1105000</v>
      </c>
      <c r="WA162" s="846">
        <f>IFERROR(HLOOKUP($F162,'Hodnocení '!$C$1:$JH$9,9,FALSE),0)</f>
        <v>1105000</v>
      </c>
      <c r="WB162" s="846">
        <f>IF(IFERROR(HLOOKUP($F162,'Hodnocení '!$C$1:$JH$13,13,FALSE),0)&gt;WA162,WA162,IFERROR(HLOOKUP($F162,'Hodnocení '!$C$1:$JH$13,13,FALSE),0))</f>
        <v>1105000</v>
      </c>
      <c r="WC162" s="846">
        <f>IFERROR(HLOOKUP($F162,'Hodnocení '!$C$1:$JH$155,155,FALSE),0)</f>
        <v>559250</v>
      </c>
      <c r="WD162" s="845"/>
      <c r="WE162" s="845"/>
      <c r="WF162" s="845" t="str">
        <f t="shared" si="305"/>
        <v>ANO</v>
      </c>
      <c r="WG162" s="849" t="str">
        <f t="shared" si="320"/>
        <v>Podpora služby je vyjádřena zařazením do sítě sociálních služeb v KHK a řešením financování služby</v>
      </c>
      <c r="WH162"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62" s="849" t="str">
        <f t="shared" si="320"/>
        <v>Návrh dotace je výsledkem projednání s ostatními zadavateli v rámci sítě služeb KHK</v>
      </c>
      <c r="WJ162" s="849" t="str">
        <f t="shared" si="320"/>
        <v>Bez komentáře</v>
      </c>
      <c r="WK162" s="31">
        <f t="shared" si="306"/>
        <v>0</v>
      </c>
      <c r="WL162" s="850">
        <f t="shared" si="307"/>
        <v>0</v>
      </c>
      <c r="WM162" s="849" t="str">
        <f t="shared" si="308"/>
        <v>V rámci sítě KHK se dlouhodobě řeší otázka navyšování úhrad a průběžně se monitoruje s vazbou na vykrytí vyrovnávací platby</v>
      </c>
      <c r="WN162" s="849">
        <f t="shared" si="309"/>
        <v>0</v>
      </c>
      <c r="WO162" s="849" t="str">
        <f t="shared" si="319"/>
        <v>bez komentáře</v>
      </c>
      <c r="WP162" s="849" t="str">
        <f t="shared" si="319"/>
        <v>bez komentáře</v>
      </c>
      <c r="WQ162" s="849" t="str">
        <f t="shared" si="319"/>
        <v>Konečná výše dotace z rozpočtu KHK bude řešena v návaznosti na řešení podílů jednotlivých zadavatelů.</v>
      </c>
      <c r="WR162" s="849" t="str">
        <f t="shared" si="319"/>
        <v>Konečná výše podpory ze stran obcí bude řešena v součinnosti s jednotlivými zadavateli v průběhu roku.</v>
      </c>
      <c r="WS162" s="849" t="str">
        <f t="shared" si="319"/>
        <v>bez komentáře</v>
      </c>
      <c r="WT162" s="849" t="str">
        <f t="shared" si="319"/>
        <v>bez komentáře</v>
      </c>
      <c r="WU162" s="845"/>
    </row>
    <row r="163" spans="1:619" s="128" customFormat="1" x14ac:dyDescent="0.25">
      <c r="A163" s="128" t="str">
        <f>VLOOKUP(F163,'Výpočet VP 2020'!$D$324:$I$588,6,FALSE)</f>
        <v>Je v síti</v>
      </c>
      <c r="B163" s="128" t="s">
        <v>753</v>
      </c>
      <c r="C163" s="128">
        <v>26643715</v>
      </c>
      <c r="D163" s="128" t="s">
        <v>754</v>
      </c>
      <c r="E163" s="128" t="s">
        <v>272</v>
      </c>
      <c r="F163" s="128">
        <v>2189349</v>
      </c>
      <c r="G163" s="128" t="s">
        <v>361</v>
      </c>
      <c r="H163" s="128" t="s">
        <v>218</v>
      </c>
      <c r="I163" s="128" t="s">
        <v>755</v>
      </c>
      <c r="J163" s="129">
        <v>42979</v>
      </c>
      <c r="L163" s="128" t="s">
        <v>220</v>
      </c>
      <c r="AP163" s="128" t="s">
        <v>274</v>
      </c>
      <c r="AQ163" s="128">
        <v>2</v>
      </c>
      <c r="AR163" s="128">
        <v>2</v>
      </c>
      <c r="AS163" s="128">
        <v>25</v>
      </c>
      <c r="AT163" s="128">
        <v>25</v>
      </c>
      <c r="AU163" s="128">
        <v>25</v>
      </c>
      <c r="BJ163" s="128">
        <v>1600</v>
      </c>
      <c r="BK163" s="128" t="s">
        <v>756</v>
      </c>
      <c r="BL163" s="128" t="s">
        <v>757</v>
      </c>
      <c r="BM163" s="128" t="s">
        <v>712</v>
      </c>
      <c r="BN163" s="128" t="s">
        <v>424</v>
      </c>
      <c r="BO163" s="128">
        <v>0</v>
      </c>
      <c r="BP163" s="128">
        <v>0</v>
      </c>
      <c r="BQ163" s="128">
        <v>0</v>
      </c>
      <c r="BR163" s="128">
        <v>0</v>
      </c>
      <c r="BS163" s="128">
        <v>0</v>
      </c>
      <c r="BT163" s="128">
        <v>7</v>
      </c>
      <c r="BU163" s="128">
        <v>3</v>
      </c>
      <c r="BV163" s="128">
        <v>5</v>
      </c>
      <c r="BW163" s="128">
        <v>2</v>
      </c>
      <c r="BX163" s="128">
        <v>4</v>
      </c>
      <c r="BY163" s="128">
        <v>7</v>
      </c>
      <c r="BZ163" s="128">
        <v>3</v>
      </c>
      <c r="CA163" s="128">
        <v>5</v>
      </c>
      <c r="CB163" s="128">
        <v>2</v>
      </c>
      <c r="CC163" s="128">
        <v>4</v>
      </c>
      <c r="CD163" s="128">
        <v>0</v>
      </c>
      <c r="CE163" s="128">
        <v>21</v>
      </c>
      <c r="CF163" s="128">
        <v>21</v>
      </c>
      <c r="CH163" s="128">
        <v>0</v>
      </c>
      <c r="CI163" s="128">
        <v>0</v>
      </c>
      <c r="CJ163" s="128">
        <v>0</v>
      </c>
      <c r="CK163" s="128">
        <v>0</v>
      </c>
      <c r="CL163" s="128">
        <v>0</v>
      </c>
      <c r="CM163" s="128">
        <v>8</v>
      </c>
      <c r="CN163" s="128">
        <v>5</v>
      </c>
      <c r="CO163" s="128">
        <v>6</v>
      </c>
      <c r="CP163" s="128">
        <v>4</v>
      </c>
      <c r="CQ163" s="128">
        <v>2</v>
      </c>
      <c r="CR163" s="128">
        <v>8</v>
      </c>
      <c r="CS163" s="128">
        <v>5</v>
      </c>
      <c r="CT163" s="128">
        <v>6</v>
      </c>
      <c r="CU163" s="128">
        <v>4</v>
      </c>
      <c r="CV163" s="128">
        <v>2</v>
      </c>
      <c r="CW163" s="128">
        <v>0</v>
      </c>
      <c r="CX163" s="128">
        <v>25</v>
      </c>
      <c r="CY163" s="128">
        <v>25</v>
      </c>
      <c r="EK163" s="128">
        <v>1</v>
      </c>
      <c r="EL163" s="128">
        <v>0.25</v>
      </c>
      <c r="EM163" s="128">
        <v>0.25</v>
      </c>
      <c r="EN163" s="128">
        <v>184720</v>
      </c>
      <c r="EO163" s="128">
        <v>184720</v>
      </c>
      <c r="EP163" s="128">
        <v>3</v>
      </c>
      <c r="EQ163" s="128">
        <v>2.15</v>
      </c>
      <c r="ER163" s="128">
        <v>2</v>
      </c>
      <c r="ES163" s="128">
        <v>1037700</v>
      </c>
      <c r="ET163" s="128">
        <v>1037700</v>
      </c>
      <c r="FO163" s="128">
        <v>2</v>
      </c>
      <c r="FP163" s="128">
        <v>0.15</v>
      </c>
      <c r="FQ163" s="128">
        <v>0.15</v>
      </c>
      <c r="FR163" s="128">
        <v>88200</v>
      </c>
      <c r="FS163" s="128">
        <v>88200</v>
      </c>
      <c r="IS163" s="128">
        <v>1</v>
      </c>
      <c r="IT163" s="128">
        <v>35</v>
      </c>
      <c r="IU163" s="128">
        <v>1.7000000000000001E-2</v>
      </c>
      <c r="IV163" s="128">
        <v>5600</v>
      </c>
      <c r="IW163" s="128">
        <v>0</v>
      </c>
      <c r="KG163" s="128">
        <v>0</v>
      </c>
      <c r="KI163" s="128">
        <v>2.4</v>
      </c>
      <c r="KJ163" s="128">
        <v>0</v>
      </c>
      <c r="KK163" s="128">
        <v>0</v>
      </c>
      <c r="KL163" s="128">
        <v>0</v>
      </c>
      <c r="KM163" s="128">
        <v>2.4</v>
      </c>
      <c r="KN163" s="128">
        <v>1310620</v>
      </c>
      <c r="KO163" s="128">
        <v>1310620</v>
      </c>
      <c r="KP163" s="128">
        <v>1310620</v>
      </c>
      <c r="KT163" s="128">
        <v>0</v>
      </c>
      <c r="KU163" s="128">
        <v>0</v>
      </c>
      <c r="KV163" s="128">
        <v>0</v>
      </c>
      <c r="KZ163" s="128">
        <v>5600</v>
      </c>
      <c r="LA163" s="128">
        <v>0</v>
      </c>
      <c r="LB163" s="128">
        <v>0</v>
      </c>
      <c r="LF163" s="128">
        <v>0</v>
      </c>
      <c r="LG163" s="128">
        <v>0</v>
      </c>
      <c r="LH163" s="128">
        <v>0</v>
      </c>
      <c r="LL163" s="128">
        <v>0</v>
      </c>
      <c r="LM163" s="128">
        <v>0</v>
      </c>
      <c r="LN163" s="128">
        <v>0</v>
      </c>
      <c r="LR163" s="128">
        <v>10000</v>
      </c>
      <c r="LS163" s="128">
        <v>0</v>
      </c>
      <c r="LT163" s="128">
        <v>0</v>
      </c>
      <c r="LX163" s="128">
        <v>0</v>
      </c>
      <c r="LY163" s="128">
        <v>0</v>
      </c>
      <c r="LZ163" s="128">
        <v>0</v>
      </c>
      <c r="MD163" s="128">
        <v>20000</v>
      </c>
      <c r="ME163" s="128">
        <v>0</v>
      </c>
      <c r="MF163" s="128">
        <v>0</v>
      </c>
      <c r="MJ163" s="128">
        <v>25000</v>
      </c>
      <c r="MK163" s="128">
        <v>0</v>
      </c>
      <c r="ML163" s="128">
        <v>0</v>
      </c>
      <c r="MP163" s="128">
        <v>35000</v>
      </c>
      <c r="MQ163" s="128">
        <v>0</v>
      </c>
      <c r="MR163" s="128">
        <v>0</v>
      </c>
      <c r="MV163" s="128">
        <v>2000</v>
      </c>
      <c r="MW163" s="128">
        <v>0</v>
      </c>
      <c r="MX163" s="128">
        <v>0</v>
      </c>
      <c r="NB163" s="128">
        <v>10000</v>
      </c>
      <c r="NC163" s="128">
        <v>0</v>
      </c>
      <c r="ND163" s="128">
        <v>0</v>
      </c>
      <c r="NH163" s="128">
        <v>5000</v>
      </c>
      <c r="NI163" s="128">
        <v>0</v>
      </c>
      <c r="NJ163" s="128">
        <v>0</v>
      </c>
      <c r="NN163" s="128">
        <v>20000</v>
      </c>
      <c r="NO163" s="128">
        <v>0</v>
      </c>
      <c r="NP163" s="128">
        <v>0</v>
      </c>
      <c r="NT163" s="128">
        <v>5000</v>
      </c>
      <c r="NU163" s="128">
        <v>0</v>
      </c>
      <c r="NV163" s="128">
        <v>0</v>
      </c>
      <c r="NZ163" s="128">
        <v>7000</v>
      </c>
      <c r="OA163" s="128">
        <v>0</v>
      </c>
      <c r="OB163" s="128">
        <v>0</v>
      </c>
      <c r="OF163" s="128">
        <v>2500</v>
      </c>
      <c r="OG163" s="128">
        <v>0</v>
      </c>
      <c r="OH163" s="128">
        <v>0</v>
      </c>
      <c r="OL163" s="128">
        <v>0</v>
      </c>
      <c r="OM163" s="128">
        <v>0</v>
      </c>
      <c r="ON163" s="128">
        <v>0</v>
      </c>
      <c r="OR163" s="128">
        <v>0</v>
      </c>
      <c r="OS163" s="128">
        <v>0</v>
      </c>
      <c r="OT163" s="128">
        <v>0</v>
      </c>
      <c r="OX163" s="128">
        <v>25000</v>
      </c>
      <c r="OY163" s="128">
        <v>0</v>
      </c>
      <c r="OZ163" s="128">
        <v>0</v>
      </c>
      <c r="PD163" s="128">
        <v>20000</v>
      </c>
      <c r="PE163" s="128">
        <v>0</v>
      </c>
      <c r="PF163" s="128">
        <v>0</v>
      </c>
      <c r="PJ163" s="128">
        <v>20000</v>
      </c>
      <c r="PK163" s="128">
        <v>0</v>
      </c>
      <c r="PL163" s="128">
        <v>0</v>
      </c>
      <c r="PP163" s="128">
        <v>1522720</v>
      </c>
      <c r="PQ163" s="128">
        <v>1310620</v>
      </c>
      <c r="PR163" s="128">
        <v>1310620</v>
      </c>
      <c r="PS163" s="128">
        <v>100</v>
      </c>
      <c r="PT163" s="128">
        <v>100</v>
      </c>
      <c r="PV163" s="128">
        <v>0</v>
      </c>
      <c r="PX163" s="128">
        <v>0</v>
      </c>
      <c r="PY163" s="128">
        <v>138910</v>
      </c>
      <c r="PZ163" s="128">
        <v>1310620</v>
      </c>
      <c r="QA163" s="128">
        <v>0</v>
      </c>
      <c r="QB163" s="128">
        <v>0</v>
      </c>
      <c r="QC163" s="128">
        <v>0</v>
      </c>
      <c r="QD163" s="128">
        <v>0</v>
      </c>
      <c r="QE163" s="128">
        <v>0</v>
      </c>
      <c r="QF163" s="128">
        <v>0</v>
      </c>
      <c r="QG163" s="128">
        <v>0</v>
      </c>
      <c r="QH163" s="128">
        <v>0</v>
      </c>
      <c r="QI163" s="128">
        <v>0</v>
      </c>
      <c r="QJ163" s="128">
        <v>54371</v>
      </c>
      <c r="QK163" s="128">
        <v>70000</v>
      </c>
      <c r="QL163" s="128">
        <v>192100</v>
      </c>
      <c r="QN163" s="128">
        <v>0</v>
      </c>
      <c r="QO163" s="128">
        <v>0</v>
      </c>
      <c r="QP163" s="128">
        <v>0</v>
      </c>
      <c r="QU163" s="128">
        <v>0</v>
      </c>
      <c r="QV163" s="128">
        <v>450000</v>
      </c>
      <c r="QW163" s="128">
        <v>20000</v>
      </c>
      <c r="RD163" s="128">
        <v>779314</v>
      </c>
      <c r="RE163" s="128">
        <v>801918</v>
      </c>
      <c r="RF163" s="128">
        <v>0</v>
      </c>
      <c r="RH163" s="128">
        <f t="shared" si="310"/>
        <v>1330620</v>
      </c>
      <c r="RI163" s="128">
        <v>0</v>
      </c>
      <c r="RM163" s="128" t="s">
        <v>220</v>
      </c>
      <c r="RU163" s="130"/>
      <c r="RV163" s="130"/>
      <c r="RW163" s="130"/>
      <c r="RX163" s="130"/>
      <c r="SF163" s="128">
        <f t="shared" si="220"/>
        <v>2189349</v>
      </c>
      <c r="SG163" s="131">
        <f t="shared" si="221"/>
        <v>1522720</v>
      </c>
      <c r="SH163" s="131">
        <f t="shared" si="222"/>
        <v>1522720</v>
      </c>
      <c r="SI163" s="131">
        <f t="shared" si="223"/>
        <v>1316220</v>
      </c>
      <c r="SJ163" s="132">
        <f t="shared" si="224"/>
        <v>1310620</v>
      </c>
      <c r="SK163" s="132">
        <f t="shared" si="225"/>
        <v>0</v>
      </c>
      <c r="SL163" s="132">
        <f t="shared" si="226"/>
        <v>5600</v>
      </c>
      <c r="SM163" s="132">
        <f t="shared" si="227"/>
        <v>0</v>
      </c>
      <c r="SN163" s="131">
        <f t="shared" si="228"/>
        <v>206500</v>
      </c>
      <c r="SO163" s="131">
        <f t="shared" si="229"/>
        <v>10000</v>
      </c>
      <c r="SP163" s="132">
        <f t="shared" si="230"/>
        <v>0</v>
      </c>
      <c r="SQ163" s="132">
        <f t="shared" si="231"/>
        <v>10000</v>
      </c>
      <c r="SR163" s="132">
        <f t="shared" si="232"/>
        <v>0</v>
      </c>
      <c r="SS163" s="132">
        <f t="shared" si="233"/>
        <v>20000</v>
      </c>
      <c r="ST163" s="132">
        <f t="shared" si="234"/>
        <v>25000</v>
      </c>
      <c r="SU163" s="132">
        <f t="shared" si="235"/>
        <v>35000</v>
      </c>
      <c r="SV163" s="131">
        <f t="shared" si="236"/>
        <v>76500</v>
      </c>
      <c r="SW163" s="132">
        <f t="shared" si="237"/>
        <v>2000</v>
      </c>
      <c r="SX163" s="132">
        <f t="shared" si="238"/>
        <v>10000</v>
      </c>
      <c r="SY163" s="132">
        <f t="shared" si="239"/>
        <v>5000</v>
      </c>
      <c r="SZ163" s="132">
        <f t="shared" si="240"/>
        <v>20000</v>
      </c>
      <c r="TA163" s="132">
        <f t="shared" si="241"/>
        <v>5000</v>
      </c>
      <c r="TB163" s="132">
        <f t="shared" si="242"/>
        <v>7000</v>
      </c>
      <c r="TC163" s="132">
        <f t="shared" si="243"/>
        <v>2500</v>
      </c>
      <c r="TD163" s="132">
        <f t="shared" si="244"/>
        <v>0</v>
      </c>
      <c r="TE163" s="132">
        <f t="shared" si="245"/>
        <v>0</v>
      </c>
      <c r="TF163" s="132">
        <f t="shared" si="246"/>
        <v>25000</v>
      </c>
      <c r="TG163" s="132">
        <f t="shared" si="247"/>
        <v>20000</v>
      </c>
      <c r="TH163" s="132">
        <f t="shared" si="248"/>
        <v>20000</v>
      </c>
      <c r="TI163" s="1"/>
      <c r="TJ163" s="131">
        <f t="shared" si="249"/>
        <v>1310620</v>
      </c>
      <c r="TK163" s="131">
        <f t="shared" si="250"/>
        <v>1310620</v>
      </c>
      <c r="TL163" s="131">
        <f t="shared" si="251"/>
        <v>1310620</v>
      </c>
      <c r="TM163" s="132">
        <f t="shared" si="252"/>
        <v>1310620</v>
      </c>
      <c r="TN163" s="132">
        <f t="shared" si="253"/>
        <v>0</v>
      </c>
      <c r="TO163" s="132">
        <f t="shared" si="254"/>
        <v>0</v>
      </c>
      <c r="TP163" s="132">
        <f t="shared" si="255"/>
        <v>0</v>
      </c>
      <c r="TQ163" s="131">
        <f t="shared" si="256"/>
        <v>0</v>
      </c>
      <c r="TR163" s="131">
        <f t="shared" si="257"/>
        <v>0</v>
      </c>
      <c r="TS163" s="132">
        <f t="shared" si="258"/>
        <v>0</v>
      </c>
      <c r="TT163" s="132">
        <f t="shared" si="259"/>
        <v>0</v>
      </c>
      <c r="TU163" s="132">
        <f t="shared" si="260"/>
        <v>0</v>
      </c>
      <c r="TV163" s="132">
        <f t="shared" si="261"/>
        <v>0</v>
      </c>
      <c r="TW163" s="132">
        <f t="shared" si="262"/>
        <v>0</v>
      </c>
      <c r="TX163" s="132">
        <f t="shared" si="263"/>
        <v>0</v>
      </c>
      <c r="TY163" s="131">
        <f t="shared" si="264"/>
        <v>0</v>
      </c>
      <c r="TZ163" s="132">
        <f t="shared" si="265"/>
        <v>0</v>
      </c>
      <c r="UA163" s="132">
        <f t="shared" si="266"/>
        <v>0</v>
      </c>
      <c r="UB163" s="132">
        <f t="shared" si="267"/>
        <v>0</v>
      </c>
      <c r="UC163" s="132">
        <f t="shared" si="268"/>
        <v>0</v>
      </c>
      <c r="UD163" s="132">
        <f t="shared" si="269"/>
        <v>0</v>
      </c>
      <c r="UE163" s="132">
        <f t="shared" si="270"/>
        <v>0</v>
      </c>
      <c r="UF163" s="132">
        <f t="shared" si="271"/>
        <v>0</v>
      </c>
      <c r="UG163" s="132">
        <f t="shared" si="272"/>
        <v>0</v>
      </c>
      <c r="UH163" s="132">
        <f t="shared" si="273"/>
        <v>0</v>
      </c>
      <c r="UI163" s="132">
        <f t="shared" si="274"/>
        <v>0</v>
      </c>
      <c r="UJ163" s="132">
        <f t="shared" si="275"/>
        <v>0</v>
      </c>
      <c r="UK163" s="132">
        <f t="shared" si="276"/>
        <v>0</v>
      </c>
      <c r="UL163" s="132">
        <f t="shared" si="311"/>
        <v>1310620</v>
      </c>
      <c r="UM163" s="131">
        <f t="shared" si="277"/>
        <v>1310620</v>
      </c>
      <c r="UN163" s="131">
        <f t="shared" si="278"/>
        <v>1310620</v>
      </c>
      <c r="UO163" s="131">
        <f t="shared" si="279"/>
        <v>1310620</v>
      </c>
      <c r="UP163" s="132">
        <f t="shared" si="280"/>
        <v>1310620</v>
      </c>
      <c r="UQ163" s="132">
        <f t="shared" si="281"/>
        <v>0</v>
      </c>
      <c r="UR163" s="132">
        <f t="shared" si="282"/>
        <v>0</v>
      </c>
      <c r="US163" s="132">
        <f t="shared" si="283"/>
        <v>0</v>
      </c>
      <c r="UT163" s="131">
        <f t="shared" si="284"/>
        <v>0</v>
      </c>
      <c r="UU163" s="131">
        <f t="shared" si="285"/>
        <v>0</v>
      </c>
      <c r="UV163" s="132">
        <f t="shared" si="286"/>
        <v>0</v>
      </c>
      <c r="UW163" s="132">
        <f t="shared" si="287"/>
        <v>0</v>
      </c>
      <c r="UX163" s="132">
        <f t="shared" si="288"/>
        <v>0</v>
      </c>
      <c r="UY163" s="132">
        <f t="shared" si="289"/>
        <v>0</v>
      </c>
      <c r="UZ163" s="132">
        <f t="shared" si="290"/>
        <v>0</v>
      </c>
      <c r="VA163" s="132">
        <f t="shared" si="291"/>
        <v>0</v>
      </c>
      <c r="VB163" s="131">
        <f t="shared" si="292"/>
        <v>0</v>
      </c>
      <c r="VC163" s="132">
        <f t="shared" si="293"/>
        <v>0</v>
      </c>
      <c r="VD163" s="132">
        <f t="shared" si="294"/>
        <v>0</v>
      </c>
      <c r="VE163" s="132">
        <f t="shared" si="295"/>
        <v>0</v>
      </c>
      <c r="VF163" s="132">
        <f t="shared" si="296"/>
        <v>0</v>
      </c>
      <c r="VG163" s="132">
        <f t="shared" si="297"/>
        <v>0</v>
      </c>
      <c r="VH163" s="132">
        <f t="shared" si="298"/>
        <v>0</v>
      </c>
      <c r="VI163" s="132">
        <f t="shared" si="299"/>
        <v>0</v>
      </c>
      <c r="VJ163" s="132">
        <f t="shared" si="300"/>
        <v>0</v>
      </c>
      <c r="VK163" s="132">
        <f t="shared" si="301"/>
        <v>0</v>
      </c>
      <c r="VL163" s="132">
        <f t="shared" si="302"/>
        <v>0</v>
      </c>
      <c r="VM163" s="132">
        <f t="shared" si="303"/>
        <v>0</v>
      </c>
      <c r="VN163" s="132">
        <f t="shared" si="304"/>
        <v>0</v>
      </c>
      <c r="VP163" s="845" t="str">
        <f>IFERROR(HLOOKUP(F163,'Hodnocení '!$C$1:$JH$5,2,FALSE),0)</f>
        <v>Obecný zájem, z.ú.</v>
      </c>
      <c r="VQ163" s="838"/>
      <c r="VR163" s="845" t="str">
        <f t="shared" si="312"/>
        <v>Ústav</v>
      </c>
      <c r="VS163" s="845" t="str">
        <f>IFERROR(HLOOKUP(F163,'Hodnocení '!$C$1:$JH$5,5,FALSE),0)</f>
        <v>NZO</v>
      </c>
      <c r="VT163" s="838">
        <f t="shared" si="313"/>
        <v>0</v>
      </c>
      <c r="VU163" s="838">
        <f t="shared" si="314"/>
        <v>0</v>
      </c>
      <c r="VV163" s="838">
        <f t="shared" si="315"/>
        <v>192100</v>
      </c>
      <c r="VW163" s="838">
        <f t="shared" si="316"/>
        <v>0</v>
      </c>
      <c r="VX163" s="838"/>
      <c r="VY163" s="838">
        <f t="shared" si="317"/>
        <v>0</v>
      </c>
      <c r="VZ163" s="838">
        <f t="shared" si="318"/>
        <v>1310620</v>
      </c>
      <c r="WA163" s="846">
        <f>IFERROR(HLOOKUP($F163,'Hodnocení '!$C$1:$JH$9,9,FALSE),0)</f>
        <v>1310620</v>
      </c>
      <c r="WB163" s="846">
        <f>IF(IFERROR(HLOOKUP($F163,'Hodnocení '!$C$1:$JH$13,13,FALSE),0)&gt;WA163,WA163,IFERROR(HLOOKUP($F163,'Hodnocení '!$C$1:$JH$13,13,FALSE),0))</f>
        <v>1142294.6626007925</v>
      </c>
      <c r="WC163" s="846">
        <f>IFERROR(HLOOKUP($F163,'Hodnocení '!$C$1:$JH$155,155,FALSE),0)</f>
        <v>1177910</v>
      </c>
      <c r="WD163" s="845"/>
      <c r="WE163" s="845"/>
      <c r="WF163" s="845" t="str">
        <f t="shared" si="305"/>
        <v>ANO</v>
      </c>
      <c r="WG163" s="849" t="str">
        <f t="shared" si="320"/>
        <v>Podpora služby je vyjádřena zařazením do sítě sociálních služeb v KHK a řešením financování služby</v>
      </c>
      <c r="WH163"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63" s="849" t="str">
        <f t="shared" si="320"/>
        <v>Návrh dotace je výsledkem projednání s ostatními zadavateli v rámci sítě služeb KHK</v>
      </c>
      <c r="WJ163" s="849" t="str">
        <f t="shared" si="320"/>
        <v>Bez komentáře</v>
      </c>
      <c r="WK163" s="31">
        <f t="shared" si="306"/>
        <v>0</v>
      </c>
      <c r="WL163" s="850">
        <f t="shared" si="307"/>
        <v>0</v>
      </c>
      <c r="WM163" s="849" t="str">
        <f t="shared" si="308"/>
        <v>V rámci sítě KHK se dlouhodobě řeší otázka navyšování úhrad a průběžně se monitoruje s vazbou na vykrytí vyrovnávací platby</v>
      </c>
      <c r="WN163" s="849">
        <f t="shared" si="309"/>
        <v>0</v>
      </c>
      <c r="WO163" s="849" t="str">
        <f t="shared" si="319"/>
        <v>bez komentáře</v>
      </c>
      <c r="WP163" s="849" t="str">
        <f t="shared" si="319"/>
        <v>bez komentáře</v>
      </c>
      <c r="WQ163" s="849" t="str">
        <f t="shared" si="319"/>
        <v>Konečná výše dotace z rozpočtu KHK bude řešena v návaznosti na řešení podílů jednotlivých zadavatelů.</v>
      </c>
      <c r="WR163" s="849" t="str">
        <f t="shared" si="319"/>
        <v>Konečná výše podpory ze stran obcí bude řešena v součinnosti s jednotlivými zadavateli v průběhu roku.</v>
      </c>
      <c r="WS163" s="849" t="str">
        <f t="shared" si="319"/>
        <v>bez komentáře</v>
      </c>
      <c r="WT163" s="849" t="str">
        <f t="shared" si="319"/>
        <v>bez komentáře</v>
      </c>
      <c r="WU163" s="845"/>
    </row>
    <row r="164" spans="1:619" s="128" customFormat="1" x14ac:dyDescent="0.25">
      <c r="A164" s="128" t="str">
        <f>VLOOKUP(F164,'Výpočet VP 2020'!$D$324:$I$588,6,FALSE)</f>
        <v>Je v síti</v>
      </c>
      <c r="B164" s="128" t="s">
        <v>753</v>
      </c>
      <c r="C164" s="128">
        <v>26643715</v>
      </c>
      <c r="D164" s="128" t="s">
        <v>754</v>
      </c>
      <c r="E164" s="128" t="s">
        <v>272</v>
      </c>
      <c r="F164" s="128">
        <v>9097155</v>
      </c>
      <c r="G164" s="128" t="s">
        <v>328</v>
      </c>
      <c r="H164" s="128" t="s">
        <v>218</v>
      </c>
      <c r="I164" s="128" t="s">
        <v>758</v>
      </c>
      <c r="J164" s="129">
        <v>39083</v>
      </c>
      <c r="L164" s="128" t="s">
        <v>220</v>
      </c>
      <c r="AP164" s="128" t="s">
        <v>759</v>
      </c>
      <c r="AQ164" s="128">
        <v>13</v>
      </c>
      <c r="AR164" s="128">
        <v>85</v>
      </c>
      <c r="AS164" s="128">
        <v>108</v>
      </c>
      <c r="AT164" s="128">
        <v>90</v>
      </c>
      <c r="AU164" s="128">
        <v>95</v>
      </c>
      <c r="BJ164" s="128">
        <v>7000</v>
      </c>
      <c r="BL164" s="128" t="s">
        <v>579</v>
      </c>
      <c r="BM164" s="128" t="s">
        <v>325</v>
      </c>
      <c r="BN164" s="128" t="s">
        <v>364</v>
      </c>
      <c r="BO164" s="128">
        <v>0</v>
      </c>
      <c r="BP164" s="128">
        <v>0</v>
      </c>
      <c r="BQ164" s="128">
        <v>0</v>
      </c>
      <c r="BR164" s="128">
        <v>0</v>
      </c>
      <c r="BS164" s="128">
        <v>0</v>
      </c>
      <c r="BT164" s="128">
        <v>20</v>
      </c>
      <c r="BU164" s="128">
        <v>13</v>
      </c>
      <c r="BV164" s="128">
        <v>17</v>
      </c>
      <c r="BW164" s="128">
        <v>5</v>
      </c>
      <c r="BX164" s="128">
        <v>31</v>
      </c>
      <c r="BY164" s="128">
        <v>20</v>
      </c>
      <c r="BZ164" s="128">
        <v>13</v>
      </c>
      <c r="CA164" s="128">
        <v>17</v>
      </c>
      <c r="CB164" s="128">
        <v>5</v>
      </c>
      <c r="CC164" s="128">
        <v>31</v>
      </c>
      <c r="CD164" s="128">
        <v>0</v>
      </c>
      <c r="CE164" s="128">
        <v>86</v>
      </c>
      <c r="CF164" s="128">
        <v>86</v>
      </c>
      <c r="CG164" s="128">
        <v>0</v>
      </c>
      <c r="CH164" s="128">
        <v>0</v>
      </c>
      <c r="CI164" s="128">
        <v>0</v>
      </c>
      <c r="CJ164" s="128">
        <v>0</v>
      </c>
      <c r="CK164" s="128">
        <v>0</v>
      </c>
      <c r="CL164" s="128">
        <v>0</v>
      </c>
      <c r="CM164" s="128">
        <v>24</v>
      </c>
      <c r="CN164" s="128">
        <v>15</v>
      </c>
      <c r="CO164" s="128">
        <v>20</v>
      </c>
      <c r="CP164" s="128">
        <v>7</v>
      </c>
      <c r="CQ164" s="128">
        <v>29</v>
      </c>
      <c r="CR164" s="128">
        <v>24</v>
      </c>
      <c r="CS164" s="128">
        <v>15</v>
      </c>
      <c r="CT164" s="128">
        <v>20</v>
      </c>
      <c r="CU164" s="128">
        <v>7</v>
      </c>
      <c r="CV164" s="128">
        <v>29</v>
      </c>
      <c r="CW164" s="128">
        <v>0</v>
      </c>
      <c r="CX164" s="128">
        <v>95</v>
      </c>
      <c r="CY164" s="128">
        <v>95</v>
      </c>
      <c r="CZ164" s="128">
        <v>0</v>
      </c>
      <c r="EK164" s="128">
        <v>3</v>
      </c>
      <c r="EL164" s="128">
        <v>1.25</v>
      </c>
      <c r="EM164" s="128">
        <v>1</v>
      </c>
      <c r="EN164" s="128">
        <v>870750</v>
      </c>
      <c r="EO164" s="128">
        <v>870750</v>
      </c>
      <c r="EP164" s="128">
        <v>13</v>
      </c>
      <c r="EQ164" s="128">
        <v>8.6999999999999993</v>
      </c>
      <c r="ER164" s="128">
        <v>9.75</v>
      </c>
      <c r="ES164" s="128">
        <v>4228200</v>
      </c>
      <c r="ET164" s="128">
        <v>4228200</v>
      </c>
      <c r="FO164" s="128">
        <v>3</v>
      </c>
      <c r="FP164" s="128">
        <v>1.7</v>
      </c>
      <c r="FQ164" s="128">
        <v>1.5</v>
      </c>
      <c r="FR164" s="128">
        <v>1153000</v>
      </c>
      <c r="FS164" s="128">
        <v>456000</v>
      </c>
      <c r="IN164" s="128">
        <v>1</v>
      </c>
      <c r="IO164" s="128">
        <v>300</v>
      </c>
      <c r="IP164" s="128">
        <v>0.14299999999999999</v>
      </c>
      <c r="IQ164" s="128">
        <v>48000</v>
      </c>
      <c r="IR164" s="128">
        <v>0</v>
      </c>
      <c r="KG164" s="128">
        <v>0</v>
      </c>
      <c r="KI164" s="128">
        <v>9.9499999999999993</v>
      </c>
      <c r="KJ164" s="128">
        <v>0</v>
      </c>
      <c r="KK164" s="128">
        <v>0.14299999999999999</v>
      </c>
      <c r="KL164" s="128">
        <v>0</v>
      </c>
      <c r="KM164" s="128">
        <v>10.093</v>
      </c>
      <c r="KN164" s="128">
        <v>6251950</v>
      </c>
      <c r="KO164" s="128">
        <v>5554950</v>
      </c>
      <c r="KP164" s="128">
        <v>5554950</v>
      </c>
      <c r="KT164" s="128">
        <v>0</v>
      </c>
      <c r="KU164" s="128">
        <v>0</v>
      </c>
      <c r="KV164" s="128">
        <v>0</v>
      </c>
      <c r="KZ164" s="128">
        <v>48000</v>
      </c>
      <c r="LA164" s="128">
        <v>0</v>
      </c>
      <c r="LB164" s="128">
        <v>0</v>
      </c>
      <c r="LF164" s="128">
        <v>0</v>
      </c>
      <c r="LG164" s="128">
        <v>0</v>
      </c>
      <c r="LH164" s="128">
        <v>0</v>
      </c>
      <c r="LL164" s="128">
        <v>0</v>
      </c>
      <c r="LM164" s="128">
        <v>0</v>
      </c>
      <c r="LN164" s="128">
        <v>0</v>
      </c>
      <c r="LR164" s="128">
        <v>120000</v>
      </c>
      <c r="LS164" s="128">
        <v>0</v>
      </c>
      <c r="LT164" s="128">
        <v>0</v>
      </c>
      <c r="LX164" s="128">
        <v>700000</v>
      </c>
      <c r="LY164" s="128">
        <v>0</v>
      </c>
      <c r="LZ164" s="128">
        <v>0</v>
      </c>
      <c r="MD164" s="128">
        <v>60000</v>
      </c>
      <c r="ME164" s="128">
        <v>0</v>
      </c>
      <c r="MF164" s="128">
        <v>0</v>
      </c>
      <c r="MJ164" s="128">
        <v>200000</v>
      </c>
      <c r="MK164" s="128">
        <v>0</v>
      </c>
      <c r="ML164" s="128">
        <v>0</v>
      </c>
      <c r="MP164" s="128">
        <v>150000</v>
      </c>
      <c r="MQ164" s="128">
        <v>0</v>
      </c>
      <c r="MR164" s="128">
        <v>0</v>
      </c>
      <c r="MV164" s="128">
        <v>50000</v>
      </c>
      <c r="MW164" s="128">
        <v>0</v>
      </c>
      <c r="MX164" s="128">
        <v>0</v>
      </c>
      <c r="NB164" s="128">
        <v>95000</v>
      </c>
      <c r="NC164" s="128">
        <v>0</v>
      </c>
      <c r="ND164" s="128">
        <v>0</v>
      </c>
      <c r="NH164" s="128">
        <v>65000</v>
      </c>
      <c r="NI164" s="128">
        <v>0</v>
      </c>
      <c r="NJ164" s="128">
        <v>0</v>
      </c>
      <c r="NN164" s="128">
        <v>185000</v>
      </c>
      <c r="NO164" s="128">
        <v>0</v>
      </c>
      <c r="NP164" s="128">
        <v>0</v>
      </c>
      <c r="NT164" s="128">
        <v>50000</v>
      </c>
      <c r="NU164" s="128">
        <v>0</v>
      </c>
      <c r="NV164" s="128">
        <v>0</v>
      </c>
      <c r="NZ164" s="128">
        <v>115000</v>
      </c>
      <c r="OA164" s="128">
        <v>0</v>
      </c>
      <c r="OB164" s="128">
        <v>0</v>
      </c>
      <c r="OF164" s="128">
        <v>15000</v>
      </c>
      <c r="OG164" s="128">
        <v>0</v>
      </c>
      <c r="OH164" s="128">
        <v>0</v>
      </c>
      <c r="OL164" s="128">
        <v>0</v>
      </c>
      <c r="OM164" s="128">
        <v>0</v>
      </c>
      <c r="ON164" s="128">
        <v>0</v>
      </c>
      <c r="OR164" s="128">
        <v>0</v>
      </c>
      <c r="OS164" s="128">
        <v>0</v>
      </c>
      <c r="OT164" s="128">
        <v>0</v>
      </c>
      <c r="OX164" s="128">
        <v>290000</v>
      </c>
      <c r="OY164" s="128">
        <v>0</v>
      </c>
      <c r="OZ164" s="128">
        <v>0</v>
      </c>
      <c r="PD164" s="128">
        <v>160000</v>
      </c>
      <c r="PE164" s="128">
        <v>0</v>
      </c>
      <c r="PF164" s="128">
        <v>0</v>
      </c>
      <c r="PJ164" s="128">
        <v>120000</v>
      </c>
      <c r="PK164" s="128">
        <v>0</v>
      </c>
      <c r="PL164" s="128">
        <v>0</v>
      </c>
      <c r="PP164" s="128">
        <v>8674950</v>
      </c>
      <c r="PQ164" s="128">
        <v>5554950</v>
      </c>
      <c r="PR164" s="128">
        <v>5554950</v>
      </c>
      <c r="PS164" s="128">
        <v>100</v>
      </c>
      <c r="PT164" s="128">
        <v>100</v>
      </c>
      <c r="PV164" s="128">
        <v>4235219</v>
      </c>
      <c r="PX164" s="128">
        <v>2918000</v>
      </c>
      <c r="PY164" s="128">
        <v>3450082</v>
      </c>
      <c r="PZ164" s="128">
        <v>5554950</v>
      </c>
      <c r="QA164" s="128">
        <v>0</v>
      </c>
      <c r="QB164" s="128">
        <v>0</v>
      </c>
      <c r="QC164" s="128">
        <v>0</v>
      </c>
      <c r="QD164" s="128">
        <v>0</v>
      </c>
      <c r="QE164" s="128">
        <v>0</v>
      </c>
      <c r="QF164" s="128">
        <v>0</v>
      </c>
      <c r="QG164" s="128">
        <v>0</v>
      </c>
      <c r="QH164" s="128">
        <v>0</v>
      </c>
      <c r="QI164" s="128">
        <v>0</v>
      </c>
      <c r="QJ164" s="128">
        <v>1143198</v>
      </c>
      <c r="QK164" s="128">
        <v>1100000</v>
      </c>
      <c r="QL164" s="128">
        <v>1100000</v>
      </c>
      <c r="QN164" s="128">
        <v>0</v>
      </c>
      <c r="QO164" s="128">
        <v>0</v>
      </c>
      <c r="QP164" s="128">
        <v>0</v>
      </c>
      <c r="QU164" s="128">
        <v>613048</v>
      </c>
      <c r="QV164" s="128">
        <v>489256</v>
      </c>
      <c r="QW164" s="128">
        <v>200000</v>
      </c>
      <c r="QX164" s="128">
        <v>1100000</v>
      </c>
      <c r="QY164" s="128">
        <v>1070000</v>
      </c>
      <c r="QZ164" s="128">
        <v>1070000</v>
      </c>
      <c r="RD164" s="128">
        <v>932504</v>
      </c>
      <c r="RE164" s="128">
        <v>760000</v>
      </c>
      <c r="RF164" s="128">
        <v>750000</v>
      </c>
      <c r="RH164" s="128">
        <f t="shared" si="310"/>
        <v>7574950</v>
      </c>
      <c r="RI164" s="128">
        <v>0</v>
      </c>
      <c r="RM164" s="128" t="s">
        <v>220</v>
      </c>
      <c r="RU164" s="130"/>
      <c r="RV164" s="130"/>
      <c r="RW164" s="130"/>
      <c r="RX164" s="130"/>
      <c r="SF164" s="128">
        <f t="shared" si="220"/>
        <v>9097155</v>
      </c>
      <c r="SG164" s="131">
        <f t="shared" si="221"/>
        <v>8674950</v>
      </c>
      <c r="SH164" s="131">
        <f t="shared" si="222"/>
        <v>8674950</v>
      </c>
      <c r="SI164" s="131">
        <f t="shared" si="223"/>
        <v>6299950</v>
      </c>
      <c r="SJ164" s="132">
        <f t="shared" si="224"/>
        <v>6251950</v>
      </c>
      <c r="SK164" s="132">
        <f t="shared" si="225"/>
        <v>0</v>
      </c>
      <c r="SL164" s="132">
        <f t="shared" si="226"/>
        <v>48000</v>
      </c>
      <c r="SM164" s="132">
        <f t="shared" si="227"/>
        <v>0</v>
      </c>
      <c r="SN164" s="131">
        <f t="shared" si="228"/>
        <v>2375000</v>
      </c>
      <c r="SO164" s="131">
        <f t="shared" si="229"/>
        <v>120000</v>
      </c>
      <c r="SP164" s="132">
        <f t="shared" si="230"/>
        <v>0</v>
      </c>
      <c r="SQ164" s="132">
        <f t="shared" si="231"/>
        <v>120000</v>
      </c>
      <c r="SR164" s="132">
        <f t="shared" si="232"/>
        <v>700000</v>
      </c>
      <c r="SS164" s="132">
        <f t="shared" si="233"/>
        <v>60000</v>
      </c>
      <c r="ST164" s="132">
        <f t="shared" si="234"/>
        <v>200000</v>
      </c>
      <c r="SU164" s="132">
        <f t="shared" si="235"/>
        <v>150000</v>
      </c>
      <c r="SV164" s="131">
        <f t="shared" si="236"/>
        <v>865000</v>
      </c>
      <c r="SW164" s="132">
        <f t="shared" si="237"/>
        <v>50000</v>
      </c>
      <c r="SX164" s="132">
        <f t="shared" si="238"/>
        <v>95000</v>
      </c>
      <c r="SY164" s="132">
        <f t="shared" si="239"/>
        <v>65000</v>
      </c>
      <c r="SZ164" s="132">
        <f t="shared" si="240"/>
        <v>185000</v>
      </c>
      <c r="TA164" s="132">
        <f t="shared" si="241"/>
        <v>50000</v>
      </c>
      <c r="TB164" s="132">
        <f t="shared" si="242"/>
        <v>115000</v>
      </c>
      <c r="TC164" s="132">
        <f t="shared" si="243"/>
        <v>15000</v>
      </c>
      <c r="TD164" s="132">
        <f t="shared" si="244"/>
        <v>0</v>
      </c>
      <c r="TE164" s="132">
        <f t="shared" si="245"/>
        <v>0</v>
      </c>
      <c r="TF164" s="132">
        <f t="shared" si="246"/>
        <v>290000</v>
      </c>
      <c r="TG164" s="132">
        <f t="shared" si="247"/>
        <v>160000</v>
      </c>
      <c r="TH164" s="132">
        <f t="shared" si="248"/>
        <v>120000</v>
      </c>
      <c r="TI164" s="1"/>
      <c r="TJ164" s="131">
        <f t="shared" si="249"/>
        <v>5554950</v>
      </c>
      <c r="TK164" s="131">
        <f t="shared" si="250"/>
        <v>5554950</v>
      </c>
      <c r="TL164" s="131">
        <f t="shared" si="251"/>
        <v>5554950</v>
      </c>
      <c r="TM164" s="132">
        <f t="shared" si="252"/>
        <v>5554950</v>
      </c>
      <c r="TN164" s="132">
        <f t="shared" si="253"/>
        <v>0</v>
      </c>
      <c r="TO164" s="132">
        <f t="shared" si="254"/>
        <v>0</v>
      </c>
      <c r="TP164" s="132">
        <f t="shared" si="255"/>
        <v>0</v>
      </c>
      <c r="TQ164" s="131">
        <f t="shared" si="256"/>
        <v>0</v>
      </c>
      <c r="TR164" s="131">
        <f t="shared" si="257"/>
        <v>0</v>
      </c>
      <c r="TS164" s="132">
        <f t="shared" si="258"/>
        <v>0</v>
      </c>
      <c r="TT164" s="132">
        <f t="shared" si="259"/>
        <v>0</v>
      </c>
      <c r="TU164" s="132">
        <f t="shared" si="260"/>
        <v>0</v>
      </c>
      <c r="TV164" s="132">
        <f t="shared" si="261"/>
        <v>0</v>
      </c>
      <c r="TW164" s="132">
        <f t="shared" si="262"/>
        <v>0</v>
      </c>
      <c r="TX164" s="132">
        <f t="shared" si="263"/>
        <v>0</v>
      </c>
      <c r="TY164" s="131">
        <f t="shared" si="264"/>
        <v>0</v>
      </c>
      <c r="TZ164" s="132">
        <f t="shared" si="265"/>
        <v>0</v>
      </c>
      <c r="UA164" s="132">
        <f t="shared" si="266"/>
        <v>0</v>
      </c>
      <c r="UB164" s="132">
        <f t="shared" si="267"/>
        <v>0</v>
      </c>
      <c r="UC164" s="132">
        <f t="shared" si="268"/>
        <v>0</v>
      </c>
      <c r="UD164" s="132">
        <f t="shared" si="269"/>
        <v>0</v>
      </c>
      <c r="UE164" s="132">
        <f t="shared" si="270"/>
        <v>0</v>
      </c>
      <c r="UF164" s="132">
        <f t="shared" si="271"/>
        <v>0</v>
      </c>
      <c r="UG164" s="132">
        <f t="shared" si="272"/>
        <v>0</v>
      </c>
      <c r="UH164" s="132">
        <f t="shared" si="273"/>
        <v>0</v>
      </c>
      <c r="UI164" s="132">
        <f t="shared" si="274"/>
        <v>0</v>
      </c>
      <c r="UJ164" s="132">
        <f t="shared" si="275"/>
        <v>0</v>
      </c>
      <c r="UK164" s="132">
        <f t="shared" si="276"/>
        <v>0</v>
      </c>
      <c r="UL164" s="132">
        <f t="shared" si="311"/>
        <v>5554950</v>
      </c>
      <c r="UM164" s="131">
        <f t="shared" si="277"/>
        <v>5554950</v>
      </c>
      <c r="UN164" s="131">
        <f t="shared" si="278"/>
        <v>5554950</v>
      </c>
      <c r="UO164" s="131">
        <f t="shared" si="279"/>
        <v>5554950</v>
      </c>
      <c r="UP164" s="132">
        <f t="shared" si="280"/>
        <v>5554950</v>
      </c>
      <c r="UQ164" s="132">
        <f t="shared" si="281"/>
        <v>0</v>
      </c>
      <c r="UR164" s="132">
        <f t="shared" si="282"/>
        <v>0</v>
      </c>
      <c r="US164" s="132">
        <f t="shared" si="283"/>
        <v>0</v>
      </c>
      <c r="UT164" s="131">
        <f t="shared" si="284"/>
        <v>0</v>
      </c>
      <c r="UU164" s="131">
        <f t="shared" si="285"/>
        <v>0</v>
      </c>
      <c r="UV164" s="132">
        <f t="shared" si="286"/>
        <v>0</v>
      </c>
      <c r="UW164" s="132">
        <f t="shared" si="287"/>
        <v>0</v>
      </c>
      <c r="UX164" s="132">
        <f t="shared" si="288"/>
        <v>0</v>
      </c>
      <c r="UY164" s="132">
        <f t="shared" si="289"/>
        <v>0</v>
      </c>
      <c r="UZ164" s="132">
        <f t="shared" si="290"/>
        <v>0</v>
      </c>
      <c r="VA164" s="132">
        <f t="shared" si="291"/>
        <v>0</v>
      </c>
      <c r="VB164" s="131">
        <f t="shared" si="292"/>
        <v>0</v>
      </c>
      <c r="VC164" s="132">
        <f t="shared" si="293"/>
        <v>0</v>
      </c>
      <c r="VD164" s="132">
        <f t="shared" si="294"/>
        <v>0</v>
      </c>
      <c r="VE164" s="132">
        <f t="shared" si="295"/>
        <v>0</v>
      </c>
      <c r="VF164" s="132">
        <f t="shared" si="296"/>
        <v>0</v>
      </c>
      <c r="VG164" s="132">
        <f t="shared" si="297"/>
        <v>0</v>
      </c>
      <c r="VH164" s="132">
        <f t="shared" si="298"/>
        <v>0</v>
      </c>
      <c r="VI164" s="132">
        <f t="shared" si="299"/>
        <v>0</v>
      </c>
      <c r="VJ164" s="132">
        <f t="shared" si="300"/>
        <v>0</v>
      </c>
      <c r="VK164" s="132">
        <f t="shared" si="301"/>
        <v>0</v>
      </c>
      <c r="VL164" s="132">
        <f t="shared" si="302"/>
        <v>0</v>
      </c>
      <c r="VM164" s="132">
        <f t="shared" si="303"/>
        <v>0</v>
      </c>
      <c r="VN164" s="132">
        <f t="shared" si="304"/>
        <v>0</v>
      </c>
      <c r="VP164" s="845" t="str">
        <f>IFERROR(HLOOKUP(F164,'Hodnocení '!$C$1:$JH$5,2,FALSE),0)</f>
        <v>Obecný zájem, z. ú.</v>
      </c>
      <c r="VQ164" s="838"/>
      <c r="VR164" s="845" t="str">
        <f t="shared" si="312"/>
        <v>Ústav</v>
      </c>
      <c r="VS164" s="845" t="str">
        <f>IFERROR(HLOOKUP(F164,'Hodnocení '!$C$1:$JH$5,5,FALSE),0)</f>
        <v>NZO</v>
      </c>
      <c r="VT164" s="838">
        <f t="shared" si="313"/>
        <v>0</v>
      </c>
      <c r="VU164" s="838">
        <f t="shared" si="314"/>
        <v>0</v>
      </c>
      <c r="VV164" s="838">
        <f t="shared" si="315"/>
        <v>1100000</v>
      </c>
      <c r="VW164" s="838">
        <f t="shared" si="316"/>
        <v>0</v>
      </c>
      <c r="VX164" s="838"/>
      <c r="VY164" s="838">
        <f t="shared" si="317"/>
        <v>0</v>
      </c>
      <c r="VZ164" s="838">
        <f t="shared" si="318"/>
        <v>5554950</v>
      </c>
      <c r="WA164" s="846">
        <f>IFERROR(HLOOKUP($F164,'Hodnocení '!$C$1:$JH$9,9,FALSE),0)</f>
        <v>5554950</v>
      </c>
      <c r="WB164" s="846">
        <f>IF(IFERROR(HLOOKUP($F164,'Hodnocení '!$C$1:$JH$13,13,FALSE),0)&gt;WA164,WA164,IFERROR(HLOOKUP($F164,'Hodnocení '!$C$1:$JH$13,13,FALSE),0))</f>
        <v>4446637.2294955002</v>
      </c>
      <c r="WC164" s="846">
        <f>IFERROR(HLOOKUP($F164,'Hodnocení '!$C$1:$JH$155,155,FALSE),0)</f>
        <v>3939340</v>
      </c>
      <c r="WD164" s="845"/>
      <c r="WE164" s="845"/>
      <c r="WF164" s="845" t="str">
        <f t="shared" si="305"/>
        <v>ANO</v>
      </c>
      <c r="WG164" s="849" t="str">
        <f t="shared" si="320"/>
        <v>Podpora služby je vyjádřena zařazením do sítě sociálních služeb v KHK a řešením financování služby</v>
      </c>
      <c r="WH164"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64" s="849" t="str">
        <f t="shared" si="320"/>
        <v>Návrh dotace je výsledkem projednání s ostatními zadavateli v rámci sítě služeb KHK</v>
      </c>
      <c r="WJ164" s="849" t="str">
        <f t="shared" si="320"/>
        <v>Bez komentáře</v>
      </c>
      <c r="WK164" s="31">
        <f t="shared" si="306"/>
        <v>0</v>
      </c>
      <c r="WL164" s="850">
        <f t="shared" si="307"/>
        <v>0</v>
      </c>
      <c r="WM164" s="849" t="str">
        <f t="shared" si="308"/>
        <v>V rámci sítě KHK se dlouhodobě řeší otázka navyšování úhrad a průběžně se monitoruje s vazbou na vykrytí vyrovnávací platby</v>
      </c>
      <c r="WN164" s="849">
        <f t="shared" si="309"/>
        <v>0</v>
      </c>
      <c r="WO164" s="849" t="str">
        <f t="shared" si="319"/>
        <v>bez komentáře</v>
      </c>
      <c r="WP164" s="849" t="str">
        <f t="shared" si="319"/>
        <v>bez komentáře</v>
      </c>
      <c r="WQ164" s="849" t="str">
        <f t="shared" si="319"/>
        <v>Konečná výše dotace z rozpočtu KHK bude řešena v návaznosti na řešení podílů jednotlivých zadavatelů.</v>
      </c>
      <c r="WR164" s="849" t="str">
        <f t="shared" si="319"/>
        <v>Konečná výše podpory ze stran obcí bude řešena v součinnosti s jednotlivými zadavateli v průběhu roku.</v>
      </c>
      <c r="WS164" s="849" t="str">
        <f t="shared" si="319"/>
        <v>bez komentáře</v>
      </c>
      <c r="WT164" s="849" t="str">
        <f t="shared" si="319"/>
        <v>bez komentáře</v>
      </c>
      <c r="WU164" s="845"/>
    </row>
    <row r="165" spans="1:619" s="128" customFormat="1" x14ac:dyDescent="0.25">
      <c r="A165" s="128" t="str">
        <f>VLOOKUP(F165,'Výpočet VP 2020'!$D$324:$I$588,6,FALSE)</f>
        <v>Je v síti</v>
      </c>
      <c r="B165" s="128" t="s">
        <v>760</v>
      </c>
      <c r="C165" s="128">
        <v>48623814</v>
      </c>
      <c r="D165" s="128" t="s">
        <v>761</v>
      </c>
      <c r="E165" s="128" t="s">
        <v>360</v>
      </c>
      <c r="F165" s="128">
        <v>2028356</v>
      </c>
      <c r="G165" s="128" t="s">
        <v>328</v>
      </c>
      <c r="H165" s="128" t="s">
        <v>218</v>
      </c>
      <c r="I165" s="128" t="s">
        <v>762</v>
      </c>
      <c r="J165" s="129">
        <v>39083</v>
      </c>
      <c r="L165" s="128" t="s">
        <v>220</v>
      </c>
      <c r="AP165" s="128" t="s">
        <v>763</v>
      </c>
      <c r="AQ165" s="128">
        <v>10</v>
      </c>
      <c r="AR165" s="128">
        <v>200</v>
      </c>
      <c r="AS165" s="128">
        <v>254</v>
      </c>
      <c r="AT165" s="128">
        <v>250</v>
      </c>
      <c r="AU165" s="128">
        <v>260</v>
      </c>
      <c r="BJ165" s="128">
        <v>13458</v>
      </c>
      <c r="BL165" s="128" t="s">
        <v>752</v>
      </c>
      <c r="BM165" s="128" t="s">
        <v>325</v>
      </c>
      <c r="BN165" s="128" t="s">
        <v>326</v>
      </c>
      <c r="BO165" s="128">
        <v>0</v>
      </c>
      <c r="BP165" s="128">
        <v>0</v>
      </c>
      <c r="BQ165" s="128">
        <v>0</v>
      </c>
      <c r="BR165" s="128">
        <v>0</v>
      </c>
      <c r="BS165" s="128">
        <v>0</v>
      </c>
      <c r="BT165" s="128">
        <v>46</v>
      </c>
      <c r="BU165" s="128">
        <v>29</v>
      </c>
      <c r="BV165" s="128">
        <v>15</v>
      </c>
      <c r="BW165" s="128">
        <v>2</v>
      </c>
      <c r="BX165" s="128">
        <v>158</v>
      </c>
      <c r="BY165" s="128">
        <v>46</v>
      </c>
      <c r="BZ165" s="128">
        <v>29</v>
      </c>
      <c r="CA165" s="128">
        <v>15</v>
      </c>
      <c r="CB165" s="128">
        <v>2</v>
      </c>
      <c r="CC165" s="128">
        <v>158</v>
      </c>
      <c r="CD165" s="128">
        <v>0</v>
      </c>
      <c r="CE165" s="128">
        <v>250</v>
      </c>
      <c r="CF165" s="128">
        <v>250</v>
      </c>
      <c r="CG165" s="128">
        <v>0</v>
      </c>
      <c r="CH165" s="128">
        <v>0</v>
      </c>
      <c r="CI165" s="128">
        <v>0</v>
      </c>
      <c r="CJ165" s="128">
        <v>0</v>
      </c>
      <c r="CK165" s="128">
        <v>0</v>
      </c>
      <c r="CL165" s="128">
        <v>0</v>
      </c>
      <c r="CM165" s="128">
        <v>48</v>
      </c>
      <c r="CN165" s="128">
        <v>31</v>
      </c>
      <c r="CO165" s="128">
        <v>17</v>
      </c>
      <c r="CP165" s="128">
        <v>4</v>
      </c>
      <c r="CQ165" s="128">
        <v>160</v>
      </c>
      <c r="CR165" s="128">
        <v>48</v>
      </c>
      <c r="CS165" s="128">
        <v>31</v>
      </c>
      <c r="CT165" s="128">
        <v>17</v>
      </c>
      <c r="CU165" s="128">
        <v>4</v>
      </c>
      <c r="CV165" s="128">
        <v>160</v>
      </c>
      <c r="CW165" s="128">
        <v>0</v>
      </c>
      <c r="CX165" s="128">
        <v>260</v>
      </c>
      <c r="CY165" s="128">
        <v>260</v>
      </c>
      <c r="CZ165" s="128">
        <v>0</v>
      </c>
      <c r="EK165" s="128">
        <v>1</v>
      </c>
      <c r="EL165" s="128">
        <v>0.9</v>
      </c>
      <c r="EM165" s="128">
        <v>0.9</v>
      </c>
      <c r="EN165" s="128">
        <v>626000</v>
      </c>
      <c r="EO165" s="128">
        <v>436000</v>
      </c>
      <c r="EP165" s="128">
        <v>11</v>
      </c>
      <c r="EQ165" s="128">
        <v>10.47</v>
      </c>
      <c r="ER165" s="128">
        <v>10.47</v>
      </c>
      <c r="ES165" s="128">
        <v>4894000</v>
      </c>
      <c r="ET165" s="128">
        <v>4202000</v>
      </c>
      <c r="FO165" s="128">
        <v>10</v>
      </c>
      <c r="FP165" s="128">
        <v>1.52</v>
      </c>
      <c r="FQ165" s="128">
        <v>1.51</v>
      </c>
      <c r="FR165" s="128">
        <v>762000</v>
      </c>
      <c r="FS165" s="128">
        <v>340000</v>
      </c>
      <c r="IN165" s="128">
        <v>3</v>
      </c>
      <c r="IO165" s="128">
        <v>900</v>
      </c>
      <c r="IP165" s="128">
        <v>0.42899999999999999</v>
      </c>
      <c r="IQ165" s="128">
        <v>90000</v>
      </c>
      <c r="IR165" s="128">
        <v>0</v>
      </c>
      <c r="KG165" s="128">
        <v>0</v>
      </c>
      <c r="KI165" s="128">
        <v>11.37</v>
      </c>
      <c r="KJ165" s="128">
        <v>0</v>
      </c>
      <c r="KK165" s="128">
        <v>0.42899999999999999</v>
      </c>
      <c r="KL165" s="128">
        <v>0</v>
      </c>
      <c r="KM165" s="128">
        <v>11.798999999999999</v>
      </c>
      <c r="KN165" s="128">
        <v>6282000</v>
      </c>
      <c r="KO165" s="128">
        <v>4978000</v>
      </c>
      <c r="KP165" s="128">
        <v>4978000</v>
      </c>
      <c r="KT165" s="128">
        <v>0</v>
      </c>
      <c r="KU165" s="128">
        <v>0</v>
      </c>
      <c r="KV165" s="128">
        <v>0</v>
      </c>
      <c r="KZ165" s="128">
        <v>90000</v>
      </c>
      <c r="LA165" s="128">
        <v>0</v>
      </c>
      <c r="LB165" s="128">
        <v>0</v>
      </c>
      <c r="LF165" s="128">
        <v>170000</v>
      </c>
      <c r="LG165" s="128">
        <v>0</v>
      </c>
      <c r="LH165" s="128">
        <v>0</v>
      </c>
      <c r="LL165" s="128">
        <v>0</v>
      </c>
      <c r="LM165" s="128">
        <v>0</v>
      </c>
      <c r="LN165" s="128">
        <v>0</v>
      </c>
      <c r="LR165" s="128">
        <v>100000</v>
      </c>
      <c r="LS165" s="128">
        <v>60000</v>
      </c>
      <c r="LT165" s="128">
        <v>60000</v>
      </c>
      <c r="LX165" s="128">
        <v>0</v>
      </c>
      <c r="LY165" s="128">
        <v>0</v>
      </c>
      <c r="LZ165" s="128">
        <v>0</v>
      </c>
      <c r="MD165" s="128">
        <v>20000</v>
      </c>
      <c r="ME165" s="128">
        <v>10000</v>
      </c>
      <c r="MF165" s="128">
        <v>10000</v>
      </c>
      <c r="MJ165" s="128">
        <v>150000</v>
      </c>
      <c r="MK165" s="128">
        <v>50000</v>
      </c>
      <c r="ML165" s="128">
        <v>50000</v>
      </c>
      <c r="MP165" s="128">
        <v>50000</v>
      </c>
      <c r="MQ165" s="128">
        <v>0</v>
      </c>
      <c r="MR165" s="128">
        <v>0</v>
      </c>
      <c r="MV165" s="128">
        <v>90000</v>
      </c>
      <c r="MW165" s="128">
        <v>65000</v>
      </c>
      <c r="MX165" s="128">
        <v>65000</v>
      </c>
      <c r="NB165" s="128">
        <v>34500</v>
      </c>
      <c r="NC165" s="128">
        <v>20000</v>
      </c>
      <c r="ND165" s="128">
        <v>20000</v>
      </c>
      <c r="NH165" s="128">
        <v>180000</v>
      </c>
      <c r="NI165" s="128">
        <v>0</v>
      </c>
      <c r="NJ165" s="128">
        <v>0</v>
      </c>
      <c r="NN165" s="128">
        <v>0</v>
      </c>
      <c r="NO165" s="128">
        <v>0</v>
      </c>
      <c r="NP165" s="128">
        <v>0</v>
      </c>
      <c r="NT165" s="128">
        <v>7000</v>
      </c>
      <c r="NU165" s="128">
        <v>0</v>
      </c>
      <c r="NV165" s="128">
        <v>0</v>
      </c>
      <c r="NZ165" s="128">
        <v>50000</v>
      </c>
      <c r="OA165" s="128">
        <v>25000</v>
      </c>
      <c r="OB165" s="128">
        <v>25000</v>
      </c>
      <c r="OF165" s="128">
        <v>1000</v>
      </c>
      <c r="OG165" s="128">
        <v>0</v>
      </c>
      <c r="OH165" s="128">
        <v>0</v>
      </c>
      <c r="OL165" s="128">
        <v>0</v>
      </c>
      <c r="OM165" s="128">
        <v>0</v>
      </c>
      <c r="ON165" s="128">
        <v>0</v>
      </c>
      <c r="OR165" s="128">
        <v>0</v>
      </c>
      <c r="OS165" s="128">
        <v>0</v>
      </c>
      <c r="OT165" s="128">
        <v>0</v>
      </c>
      <c r="OX165" s="128">
        <v>2460000</v>
      </c>
      <c r="OY165" s="128">
        <v>20000</v>
      </c>
      <c r="OZ165" s="128">
        <v>20000</v>
      </c>
      <c r="PD165" s="128">
        <v>21000</v>
      </c>
      <c r="PE165" s="128">
        <v>0</v>
      </c>
      <c r="PF165" s="128">
        <v>0</v>
      </c>
      <c r="PJ165" s="128">
        <v>945000</v>
      </c>
      <c r="PK165" s="128">
        <v>0</v>
      </c>
      <c r="PL165" s="128">
        <v>0</v>
      </c>
      <c r="PP165" s="128">
        <v>10650500</v>
      </c>
      <c r="PQ165" s="128">
        <v>5228000</v>
      </c>
      <c r="PR165" s="128">
        <v>5228000</v>
      </c>
      <c r="PS165" s="128">
        <v>100</v>
      </c>
      <c r="PT165" s="128">
        <v>100</v>
      </c>
      <c r="PV165" s="128">
        <v>4704088</v>
      </c>
      <c r="PX165" s="128">
        <v>3050000</v>
      </c>
      <c r="PY165" s="128">
        <v>3898282</v>
      </c>
      <c r="PZ165" s="128">
        <v>5228000</v>
      </c>
      <c r="QA165" s="128">
        <v>0</v>
      </c>
      <c r="QB165" s="128">
        <v>0</v>
      </c>
      <c r="QC165" s="128">
        <v>0</v>
      </c>
      <c r="QD165" s="128">
        <v>0</v>
      </c>
      <c r="QE165" s="128">
        <v>0</v>
      </c>
      <c r="QF165" s="128">
        <v>0</v>
      </c>
      <c r="QG165" s="128">
        <v>0</v>
      </c>
      <c r="QH165" s="128">
        <v>0</v>
      </c>
      <c r="QI165" s="128">
        <v>0</v>
      </c>
      <c r="QJ165" s="128">
        <v>1522318</v>
      </c>
      <c r="QK165" s="128">
        <v>1661000</v>
      </c>
      <c r="QL165" s="128">
        <v>1705000</v>
      </c>
      <c r="QN165" s="128">
        <v>0</v>
      </c>
      <c r="QO165" s="128">
        <v>0</v>
      </c>
      <c r="QP165" s="128">
        <v>0</v>
      </c>
      <c r="QU165" s="128">
        <v>492253</v>
      </c>
      <c r="QV165" s="128">
        <v>156971</v>
      </c>
      <c r="QW165" s="128">
        <v>0</v>
      </c>
      <c r="QX165" s="128">
        <v>1250000</v>
      </c>
      <c r="QY165" s="128">
        <v>1350000</v>
      </c>
      <c r="QZ165" s="128">
        <v>1350000</v>
      </c>
      <c r="RD165" s="128">
        <v>2361100</v>
      </c>
      <c r="RE165" s="128">
        <v>2245261</v>
      </c>
      <c r="RF165" s="128">
        <v>2367500</v>
      </c>
      <c r="RH165" s="128">
        <f t="shared" si="310"/>
        <v>8945500</v>
      </c>
      <c r="RI165" s="128">
        <v>0</v>
      </c>
      <c r="RM165" s="128" t="s">
        <v>220</v>
      </c>
      <c r="RU165" s="130"/>
      <c r="RV165" s="130"/>
      <c r="RW165" s="130"/>
      <c r="RX165" s="130"/>
      <c r="SF165" s="128">
        <f t="shared" si="220"/>
        <v>2028356</v>
      </c>
      <c r="SG165" s="131">
        <f t="shared" si="221"/>
        <v>10650500</v>
      </c>
      <c r="SH165" s="131">
        <f t="shared" si="222"/>
        <v>10650500</v>
      </c>
      <c r="SI165" s="131">
        <f t="shared" si="223"/>
        <v>6542000</v>
      </c>
      <c r="SJ165" s="132">
        <f t="shared" si="224"/>
        <v>6282000</v>
      </c>
      <c r="SK165" s="132">
        <f t="shared" si="225"/>
        <v>0</v>
      </c>
      <c r="SL165" s="132">
        <f t="shared" si="226"/>
        <v>90000</v>
      </c>
      <c r="SM165" s="132">
        <f t="shared" si="227"/>
        <v>170000</v>
      </c>
      <c r="SN165" s="131">
        <f t="shared" si="228"/>
        <v>4108500</v>
      </c>
      <c r="SO165" s="131">
        <f t="shared" si="229"/>
        <v>100000</v>
      </c>
      <c r="SP165" s="132">
        <f t="shared" si="230"/>
        <v>0</v>
      </c>
      <c r="SQ165" s="132">
        <f t="shared" si="231"/>
        <v>100000</v>
      </c>
      <c r="SR165" s="132">
        <f t="shared" si="232"/>
        <v>0</v>
      </c>
      <c r="SS165" s="132">
        <f t="shared" si="233"/>
        <v>20000</v>
      </c>
      <c r="ST165" s="132">
        <f t="shared" si="234"/>
        <v>150000</v>
      </c>
      <c r="SU165" s="132">
        <f t="shared" si="235"/>
        <v>50000</v>
      </c>
      <c r="SV165" s="131">
        <f t="shared" si="236"/>
        <v>2822500</v>
      </c>
      <c r="SW165" s="132">
        <f t="shared" si="237"/>
        <v>90000</v>
      </c>
      <c r="SX165" s="132">
        <f t="shared" si="238"/>
        <v>34500</v>
      </c>
      <c r="SY165" s="132">
        <f t="shared" si="239"/>
        <v>180000</v>
      </c>
      <c r="SZ165" s="132">
        <f t="shared" si="240"/>
        <v>0</v>
      </c>
      <c r="TA165" s="132">
        <f t="shared" si="241"/>
        <v>7000</v>
      </c>
      <c r="TB165" s="132">
        <f t="shared" si="242"/>
        <v>50000</v>
      </c>
      <c r="TC165" s="132">
        <f t="shared" si="243"/>
        <v>1000</v>
      </c>
      <c r="TD165" s="132">
        <f t="shared" si="244"/>
        <v>0</v>
      </c>
      <c r="TE165" s="132">
        <f t="shared" si="245"/>
        <v>0</v>
      </c>
      <c r="TF165" s="132">
        <f t="shared" si="246"/>
        <v>2460000</v>
      </c>
      <c r="TG165" s="132">
        <f t="shared" si="247"/>
        <v>21000</v>
      </c>
      <c r="TH165" s="132">
        <f t="shared" si="248"/>
        <v>945000</v>
      </c>
      <c r="TI165" s="1"/>
      <c r="TJ165" s="131">
        <f t="shared" si="249"/>
        <v>5228000</v>
      </c>
      <c r="TK165" s="131">
        <f t="shared" si="250"/>
        <v>5228000</v>
      </c>
      <c r="TL165" s="131">
        <f t="shared" si="251"/>
        <v>4978000</v>
      </c>
      <c r="TM165" s="132">
        <f t="shared" si="252"/>
        <v>4978000</v>
      </c>
      <c r="TN165" s="132">
        <f t="shared" si="253"/>
        <v>0</v>
      </c>
      <c r="TO165" s="132">
        <f t="shared" si="254"/>
        <v>0</v>
      </c>
      <c r="TP165" s="132">
        <f t="shared" si="255"/>
        <v>0</v>
      </c>
      <c r="TQ165" s="131">
        <f t="shared" si="256"/>
        <v>250000</v>
      </c>
      <c r="TR165" s="131">
        <f t="shared" si="257"/>
        <v>60000</v>
      </c>
      <c r="TS165" s="132">
        <f t="shared" si="258"/>
        <v>0</v>
      </c>
      <c r="TT165" s="132">
        <f t="shared" si="259"/>
        <v>60000</v>
      </c>
      <c r="TU165" s="132">
        <f t="shared" si="260"/>
        <v>0</v>
      </c>
      <c r="TV165" s="132">
        <f t="shared" si="261"/>
        <v>10000</v>
      </c>
      <c r="TW165" s="132">
        <f t="shared" si="262"/>
        <v>50000</v>
      </c>
      <c r="TX165" s="132">
        <f t="shared" si="263"/>
        <v>0</v>
      </c>
      <c r="TY165" s="131">
        <f t="shared" si="264"/>
        <v>130000</v>
      </c>
      <c r="TZ165" s="132">
        <f t="shared" si="265"/>
        <v>65000</v>
      </c>
      <c r="UA165" s="132">
        <f t="shared" si="266"/>
        <v>20000</v>
      </c>
      <c r="UB165" s="132">
        <f t="shared" si="267"/>
        <v>0</v>
      </c>
      <c r="UC165" s="132">
        <f t="shared" si="268"/>
        <v>0</v>
      </c>
      <c r="UD165" s="132">
        <f t="shared" si="269"/>
        <v>0</v>
      </c>
      <c r="UE165" s="132">
        <f t="shared" si="270"/>
        <v>25000</v>
      </c>
      <c r="UF165" s="132">
        <f t="shared" si="271"/>
        <v>0</v>
      </c>
      <c r="UG165" s="132">
        <f t="shared" si="272"/>
        <v>0</v>
      </c>
      <c r="UH165" s="132">
        <f t="shared" si="273"/>
        <v>0</v>
      </c>
      <c r="UI165" s="132">
        <f t="shared" si="274"/>
        <v>20000</v>
      </c>
      <c r="UJ165" s="132">
        <f t="shared" si="275"/>
        <v>0</v>
      </c>
      <c r="UK165" s="132">
        <f t="shared" si="276"/>
        <v>0</v>
      </c>
      <c r="UL165" s="132">
        <f t="shared" si="311"/>
        <v>5228000</v>
      </c>
      <c r="UM165" s="131">
        <f t="shared" si="277"/>
        <v>5228000</v>
      </c>
      <c r="UN165" s="131">
        <f t="shared" si="278"/>
        <v>5228000</v>
      </c>
      <c r="UO165" s="131">
        <f t="shared" si="279"/>
        <v>4978000</v>
      </c>
      <c r="UP165" s="132">
        <f t="shared" si="280"/>
        <v>4978000</v>
      </c>
      <c r="UQ165" s="132">
        <f t="shared" si="281"/>
        <v>0</v>
      </c>
      <c r="UR165" s="132">
        <f t="shared" si="282"/>
        <v>0</v>
      </c>
      <c r="US165" s="132">
        <f t="shared" si="283"/>
        <v>0</v>
      </c>
      <c r="UT165" s="131">
        <f t="shared" si="284"/>
        <v>250000</v>
      </c>
      <c r="UU165" s="131">
        <f t="shared" si="285"/>
        <v>60000</v>
      </c>
      <c r="UV165" s="132">
        <f t="shared" si="286"/>
        <v>0</v>
      </c>
      <c r="UW165" s="132">
        <f t="shared" si="287"/>
        <v>60000</v>
      </c>
      <c r="UX165" s="132">
        <f t="shared" si="288"/>
        <v>0</v>
      </c>
      <c r="UY165" s="132">
        <f t="shared" si="289"/>
        <v>10000</v>
      </c>
      <c r="UZ165" s="132">
        <f t="shared" si="290"/>
        <v>50000</v>
      </c>
      <c r="VA165" s="132">
        <f t="shared" si="291"/>
        <v>0</v>
      </c>
      <c r="VB165" s="131">
        <f t="shared" si="292"/>
        <v>130000</v>
      </c>
      <c r="VC165" s="132">
        <f t="shared" si="293"/>
        <v>65000</v>
      </c>
      <c r="VD165" s="132">
        <f t="shared" si="294"/>
        <v>20000</v>
      </c>
      <c r="VE165" s="132">
        <f t="shared" si="295"/>
        <v>0</v>
      </c>
      <c r="VF165" s="132">
        <f t="shared" si="296"/>
        <v>0</v>
      </c>
      <c r="VG165" s="132">
        <f t="shared" si="297"/>
        <v>0</v>
      </c>
      <c r="VH165" s="132">
        <f t="shared" si="298"/>
        <v>25000</v>
      </c>
      <c r="VI165" s="132">
        <f t="shared" si="299"/>
        <v>0</v>
      </c>
      <c r="VJ165" s="132">
        <f t="shared" si="300"/>
        <v>0</v>
      </c>
      <c r="VK165" s="132">
        <f t="shared" si="301"/>
        <v>0</v>
      </c>
      <c r="VL165" s="132">
        <f t="shared" si="302"/>
        <v>20000</v>
      </c>
      <c r="VM165" s="132">
        <f t="shared" si="303"/>
        <v>0</v>
      </c>
      <c r="VN165" s="132">
        <f t="shared" si="304"/>
        <v>0</v>
      </c>
      <c r="VP165" s="845" t="str">
        <f>IFERROR(HLOOKUP(F165,'Hodnocení '!$C$1:$JH$5,2,FALSE),0)</f>
        <v>Charitní pečovatelská služba Červený Kostelec</v>
      </c>
      <c r="VQ165" s="838"/>
      <c r="VR165" s="845" t="str">
        <f t="shared" si="312"/>
        <v>Církve a náboženské společnosti</v>
      </c>
      <c r="VS165" s="845" t="str">
        <f>IFERROR(HLOOKUP(F165,'Hodnocení '!$C$1:$JH$5,5,FALSE),0)</f>
        <v>NZO</v>
      </c>
      <c r="VT165" s="838">
        <f t="shared" si="313"/>
        <v>0</v>
      </c>
      <c r="VU165" s="838">
        <f t="shared" si="314"/>
        <v>0</v>
      </c>
      <c r="VV165" s="838">
        <f t="shared" si="315"/>
        <v>1705000</v>
      </c>
      <c r="VW165" s="838">
        <f t="shared" si="316"/>
        <v>0</v>
      </c>
      <c r="VX165" s="838"/>
      <c r="VY165" s="838">
        <f t="shared" si="317"/>
        <v>0</v>
      </c>
      <c r="VZ165" s="838">
        <f t="shared" si="318"/>
        <v>5228000</v>
      </c>
      <c r="WA165" s="846">
        <f>IFERROR(HLOOKUP($F165,'Hodnocení '!$C$1:$JH$9,9,FALSE),0)</f>
        <v>5228000</v>
      </c>
      <c r="WB165" s="846">
        <f>IF(IFERROR(HLOOKUP($F165,'Hodnocení '!$C$1:$JH$13,13,FALSE),0)&gt;WA165,WA165,IFERROR(HLOOKUP($F165,'Hodnocení '!$C$1:$JH$13,13,FALSE),0))</f>
        <v>5062234.123708467</v>
      </c>
      <c r="WC165" s="846">
        <f>IFERROR(HLOOKUP($F165,'Hodnocení '!$C$1:$JH$155,155,FALSE),0)</f>
        <v>4758700</v>
      </c>
      <c r="WD165" s="845"/>
      <c r="WE165" s="845"/>
      <c r="WF165" s="845" t="str">
        <f t="shared" si="305"/>
        <v>ANO</v>
      </c>
      <c r="WG165" s="849" t="str">
        <f t="shared" si="320"/>
        <v>Podpora služby je vyjádřena zařazením do sítě sociálních služeb v KHK a řešením financování služby</v>
      </c>
      <c r="WH165"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65" s="849" t="str">
        <f t="shared" si="320"/>
        <v>Návrh dotace je výsledkem projednání s ostatními zadavateli v rámci sítě služeb KHK</v>
      </c>
      <c r="WJ165" s="849" t="str">
        <f t="shared" si="320"/>
        <v>Bez komentáře</v>
      </c>
      <c r="WK165" s="31">
        <f t="shared" si="306"/>
        <v>0</v>
      </c>
      <c r="WL165" s="850">
        <f t="shared" si="307"/>
        <v>0</v>
      </c>
      <c r="WM165" s="849" t="str">
        <f t="shared" si="308"/>
        <v>V rámci sítě KHK se dlouhodobě řeší otázka navyšování úhrad a průběžně se monitoruje s vazbou na vykrytí vyrovnávací platby</v>
      </c>
      <c r="WN165" s="849">
        <f t="shared" si="309"/>
        <v>0</v>
      </c>
      <c r="WO165" s="849" t="str">
        <f t="shared" si="319"/>
        <v>bez komentáře</v>
      </c>
      <c r="WP165" s="849" t="str">
        <f t="shared" si="319"/>
        <v>bez komentáře</v>
      </c>
      <c r="WQ165" s="849" t="str">
        <f t="shared" si="319"/>
        <v>Konečná výše dotace z rozpočtu KHK bude řešena v návaznosti na řešení podílů jednotlivých zadavatelů.</v>
      </c>
      <c r="WR165" s="849" t="str">
        <f t="shared" si="319"/>
        <v>Konečná výše podpory ze stran obcí bude řešena v součinnosti s jednotlivými zadavateli v průběhu roku.</v>
      </c>
      <c r="WS165" s="849" t="str">
        <f t="shared" si="319"/>
        <v>bez komentáře</v>
      </c>
      <c r="WT165" s="849" t="str">
        <f t="shared" si="319"/>
        <v>bez komentáře</v>
      </c>
      <c r="WU165" s="845"/>
    </row>
    <row r="166" spans="1:619" s="128" customFormat="1" x14ac:dyDescent="0.25">
      <c r="A166" s="128" t="str">
        <f>VLOOKUP(F166,'Výpočet VP 2020'!$D$324:$I$588,6,FALSE)</f>
        <v>Je v síti</v>
      </c>
      <c r="B166" s="128" t="s">
        <v>760</v>
      </c>
      <c r="C166" s="128">
        <v>48623814</v>
      </c>
      <c r="D166" s="128" t="s">
        <v>761</v>
      </c>
      <c r="E166" s="128" t="s">
        <v>360</v>
      </c>
      <c r="F166" s="128">
        <v>5947102</v>
      </c>
      <c r="G166" s="128" t="s">
        <v>764</v>
      </c>
      <c r="H166" s="128" t="s">
        <v>218</v>
      </c>
      <c r="I166" s="128" t="s">
        <v>765</v>
      </c>
      <c r="J166" s="129">
        <v>39083</v>
      </c>
      <c r="L166" s="128" t="s">
        <v>220</v>
      </c>
      <c r="AP166" s="128" t="s">
        <v>766</v>
      </c>
      <c r="AQ166" s="128">
        <v>4</v>
      </c>
      <c r="AR166" s="128">
        <v>78</v>
      </c>
      <c r="AS166" s="128">
        <v>61</v>
      </c>
      <c r="AT166" s="128">
        <v>58</v>
      </c>
      <c r="AU166" s="128">
        <v>61</v>
      </c>
      <c r="BL166" s="128" t="s">
        <v>752</v>
      </c>
      <c r="BM166" s="128" t="s">
        <v>325</v>
      </c>
      <c r="BN166" s="128" t="s">
        <v>326</v>
      </c>
      <c r="BO166" s="128">
        <v>0</v>
      </c>
      <c r="BP166" s="128">
        <v>0</v>
      </c>
      <c r="BQ166" s="128">
        <v>0</v>
      </c>
      <c r="BR166" s="128">
        <v>0</v>
      </c>
      <c r="BS166" s="128">
        <v>0</v>
      </c>
      <c r="BT166" s="128">
        <v>8</v>
      </c>
      <c r="BU166" s="128">
        <v>6</v>
      </c>
      <c r="BV166" s="128">
        <v>2</v>
      </c>
      <c r="BW166" s="128">
        <v>1</v>
      </c>
      <c r="BX166" s="128">
        <v>41</v>
      </c>
      <c r="BY166" s="128">
        <v>8</v>
      </c>
      <c r="BZ166" s="128">
        <v>6</v>
      </c>
      <c r="CA166" s="128">
        <v>2</v>
      </c>
      <c r="CB166" s="128">
        <v>1</v>
      </c>
      <c r="CC166" s="128">
        <v>41</v>
      </c>
      <c r="CD166" s="128">
        <v>0</v>
      </c>
      <c r="CE166" s="128">
        <v>58</v>
      </c>
      <c r="CF166" s="128">
        <v>58</v>
      </c>
      <c r="CH166" s="128">
        <v>0</v>
      </c>
      <c r="CI166" s="128">
        <v>0</v>
      </c>
      <c r="CJ166" s="128">
        <v>0</v>
      </c>
      <c r="CK166" s="128">
        <v>0</v>
      </c>
      <c r="CL166" s="128">
        <v>0</v>
      </c>
      <c r="CM166" s="128">
        <v>9</v>
      </c>
      <c r="CN166" s="128">
        <v>7</v>
      </c>
      <c r="CO166" s="128">
        <v>1</v>
      </c>
      <c r="CP166" s="128">
        <v>1</v>
      </c>
      <c r="CQ166" s="128">
        <v>43</v>
      </c>
      <c r="CR166" s="128">
        <v>9</v>
      </c>
      <c r="CS166" s="128">
        <v>7</v>
      </c>
      <c r="CT166" s="128">
        <v>1</v>
      </c>
      <c r="CU166" s="128">
        <v>1</v>
      </c>
      <c r="CV166" s="128">
        <v>43</v>
      </c>
      <c r="CW166" s="128">
        <v>0</v>
      </c>
      <c r="CX166" s="128">
        <v>61</v>
      </c>
      <c r="CY166" s="128">
        <v>61</v>
      </c>
      <c r="EK166" s="128">
        <v>1</v>
      </c>
      <c r="EL166" s="128">
        <v>0.1</v>
      </c>
      <c r="EM166" s="128">
        <v>0.1</v>
      </c>
      <c r="EN166" s="128">
        <v>84000</v>
      </c>
      <c r="EO166" s="128">
        <v>64000</v>
      </c>
      <c r="EP166" s="128">
        <v>9</v>
      </c>
      <c r="EQ166" s="128">
        <v>0.28000000000000003</v>
      </c>
      <c r="ER166" s="128">
        <v>0.28000000000000003</v>
      </c>
      <c r="ES166" s="128">
        <v>328000</v>
      </c>
      <c r="ET166" s="128">
        <v>304000</v>
      </c>
      <c r="FO166" s="128">
        <v>3</v>
      </c>
      <c r="FP166" s="128">
        <v>7.0000000000000007E-2</v>
      </c>
      <c r="FQ166" s="128">
        <v>7.0000000000000007E-2</v>
      </c>
      <c r="FR166" s="128">
        <v>46000</v>
      </c>
      <c r="FS166" s="128">
        <v>30000</v>
      </c>
      <c r="KG166" s="128">
        <v>0</v>
      </c>
      <c r="KI166" s="128">
        <v>0.38</v>
      </c>
      <c r="KJ166" s="128">
        <v>0</v>
      </c>
      <c r="KK166" s="128">
        <v>0</v>
      </c>
      <c r="KL166" s="128">
        <v>0</v>
      </c>
      <c r="KM166" s="128">
        <v>0.38</v>
      </c>
      <c r="KN166" s="128">
        <v>458000</v>
      </c>
      <c r="KO166" s="128">
        <v>398000</v>
      </c>
      <c r="KP166" s="128">
        <v>398000</v>
      </c>
      <c r="KT166" s="128">
        <v>0</v>
      </c>
      <c r="KU166" s="128">
        <v>0</v>
      </c>
      <c r="KV166" s="128">
        <v>0</v>
      </c>
      <c r="KZ166" s="128">
        <v>0</v>
      </c>
      <c r="LA166" s="128">
        <v>0</v>
      </c>
      <c r="LB166" s="128">
        <v>0</v>
      </c>
      <c r="LF166" s="128">
        <v>0</v>
      </c>
      <c r="LG166" s="128">
        <v>0</v>
      </c>
      <c r="LH166" s="128">
        <v>0</v>
      </c>
      <c r="LL166" s="128">
        <v>0</v>
      </c>
      <c r="LM166" s="128">
        <v>0</v>
      </c>
      <c r="LN166" s="128">
        <v>0</v>
      </c>
      <c r="LR166" s="128">
        <v>20000</v>
      </c>
      <c r="LS166" s="128">
        <v>0</v>
      </c>
      <c r="LT166" s="128">
        <v>0</v>
      </c>
      <c r="LX166" s="128">
        <v>0</v>
      </c>
      <c r="LY166" s="128">
        <v>0</v>
      </c>
      <c r="LZ166" s="128">
        <v>0</v>
      </c>
      <c r="MD166" s="128">
        <v>5000</v>
      </c>
      <c r="ME166" s="128">
        <v>0</v>
      </c>
      <c r="MF166" s="128">
        <v>0</v>
      </c>
      <c r="MJ166" s="128">
        <v>18000</v>
      </c>
      <c r="MK166" s="128">
        <v>0</v>
      </c>
      <c r="ML166" s="128">
        <v>0</v>
      </c>
      <c r="MP166" s="128">
        <v>4000</v>
      </c>
      <c r="MQ166" s="128">
        <v>0</v>
      </c>
      <c r="MR166" s="128">
        <v>0</v>
      </c>
      <c r="MV166" s="128">
        <v>11000</v>
      </c>
      <c r="MW166" s="128">
        <v>0</v>
      </c>
      <c r="MX166" s="128">
        <v>0</v>
      </c>
      <c r="NB166" s="128">
        <v>4000</v>
      </c>
      <c r="NC166" s="128">
        <v>0</v>
      </c>
      <c r="ND166" s="128">
        <v>0</v>
      </c>
      <c r="NH166" s="128">
        <v>20000</v>
      </c>
      <c r="NI166" s="128">
        <v>0</v>
      </c>
      <c r="NJ166" s="128">
        <v>0</v>
      </c>
      <c r="NN166" s="128">
        <v>0</v>
      </c>
      <c r="NO166" s="128">
        <v>0</v>
      </c>
      <c r="NP166" s="128">
        <v>0</v>
      </c>
      <c r="NT166" s="128">
        <v>1000</v>
      </c>
      <c r="NU166" s="128">
        <v>0</v>
      </c>
      <c r="NV166" s="128">
        <v>0</v>
      </c>
      <c r="NZ166" s="128">
        <v>12000</v>
      </c>
      <c r="OA166" s="128">
        <v>0</v>
      </c>
      <c r="OB166" s="128">
        <v>0</v>
      </c>
      <c r="OF166" s="128">
        <v>0</v>
      </c>
      <c r="OG166" s="128">
        <v>0</v>
      </c>
      <c r="OH166" s="128">
        <v>0</v>
      </c>
      <c r="OL166" s="128">
        <v>0</v>
      </c>
      <c r="OM166" s="128">
        <v>0</v>
      </c>
      <c r="ON166" s="128">
        <v>0</v>
      </c>
      <c r="OR166" s="128">
        <v>0</v>
      </c>
      <c r="OS166" s="128">
        <v>0</v>
      </c>
      <c r="OT166" s="128">
        <v>0</v>
      </c>
      <c r="OX166" s="128">
        <v>20000</v>
      </c>
      <c r="OY166" s="128">
        <v>0</v>
      </c>
      <c r="OZ166" s="128">
        <v>0</v>
      </c>
      <c r="PD166" s="128">
        <v>800</v>
      </c>
      <c r="PE166" s="128">
        <v>0</v>
      </c>
      <c r="PF166" s="128">
        <v>0</v>
      </c>
      <c r="PJ166" s="128">
        <v>77000</v>
      </c>
      <c r="PK166" s="128">
        <v>0</v>
      </c>
      <c r="PL166" s="128">
        <v>0</v>
      </c>
      <c r="PP166" s="128">
        <v>650800</v>
      </c>
      <c r="PQ166" s="128">
        <v>398000</v>
      </c>
      <c r="PR166" s="128">
        <v>398000</v>
      </c>
      <c r="PS166" s="128">
        <v>100</v>
      </c>
      <c r="PT166" s="128">
        <v>100</v>
      </c>
      <c r="PX166" s="128">
        <v>280552</v>
      </c>
      <c r="PY166" s="128">
        <v>288150</v>
      </c>
      <c r="PZ166" s="128">
        <v>398000</v>
      </c>
      <c r="QA166" s="128">
        <v>0</v>
      </c>
      <c r="QB166" s="128">
        <v>0</v>
      </c>
      <c r="QC166" s="128">
        <v>0</v>
      </c>
      <c r="QD166" s="128">
        <v>0</v>
      </c>
      <c r="QE166" s="128">
        <v>0</v>
      </c>
      <c r="QF166" s="128">
        <v>0</v>
      </c>
      <c r="QG166" s="128">
        <v>0</v>
      </c>
      <c r="QH166" s="128">
        <v>0</v>
      </c>
      <c r="QI166" s="128">
        <v>0</v>
      </c>
      <c r="QJ166" s="128">
        <v>98900</v>
      </c>
      <c r="QK166" s="128">
        <v>102000</v>
      </c>
      <c r="QL166" s="128">
        <v>102000</v>
      </c>
      <c r="QN166" s="128">
        <v>0</v>
      </c>
      <c r="QO166" s="128">
        <v>0</v>
      </c>
      <c r="QP166" s="128">
        <v>0</v>
      </c>
      <c r="QU166" s="128">
        <v>0</v>
      </c>
      <c r="QV166" s="128">
        <v>36000</v>
      </c>
      <c r="QW166" s="128">
        <v>0</v>
      </c>
      <c r="QX166" s="128">
        <v>150000</v>
      </c>
      <c r="QY166" s="128">
        <v>150000</v>
      </c>
      <c r="QZ166" s="128">
        <v>150000</v>
      </c>
      <c r="RD166" s="128">
        <v>0</v>
      </c>
      <c r="RE166" s="128">
        <v>800</v>
      </c>
      <c r="RF166" s="128">
        <v>800</v>
      </c>
      <c r="RH166" s="128">
        <f t="shared" si="310"/>
        <v>548800</v>
      </c>
      <c r="RI166" s="128">
        <v>0</v>
      </c>
      <c r="RM166" s="128" t="s">
        <v>220</v>
      </c>
      <c r="RU166" s="130"/>
      <c r="RV166" s="130"/>
      <c r="RW166" s="130"/>
      <c r="RX166" s="130"/>
      <c r="SF166" s="128">
        <f t="shared" si="220"/>
        <v>5947102</v>
      </c>
      <c r="SG166" s="131">
        <f t="shared" si="221"/>
        <v>650800</v>
      </c>
      <c r="SH166" s="131">
        <f t="shared" si="222"/>
        <v>650800</v>
      </c>
      <c r="SI166" s="131">
        <f t="shared" si="223"/>
        <v>458000</v>
      </c>
      <c r="SJ166" s="132">
        <f t="shared" si="224"/>
        <v>458000</v>
      </c>
      <c r="SK166" s="132">
        <f t="shared" si="225"/>
        <v>0</v>
      </c>
      <c r="SL166" s="132">
        <f t="shared" si="226"/>
        <v>0</v>
      </c>
      <c r="SM166" s="132">
        <f t="shared" si="227"/>
        <v>0</v>
      </c>
      <c r="SN166" s="131">
        <f t="shared" si="228"/>
        <v>192800</v>
      </c>
      <c r="SO166" s="131">
        <f t="shared" si="229"/>
        <v>20000</v>
      </c>
      <c r="SP166" s="132">
        <f t="shared" si="230"/>
        <v>0</v>
      </c>
      <c r="SQ166" s="132">
        <f t="shared" si="231"/>
        <v>20000</v>
      </c>
      <c r="SR166" s="132">
        <f t="shared" si="232"/>
        <v>0</v>
      </c>
      <c r="SS166" s="132">
        <f t="shared" si="233"/>
        <v>5000</v>
      </c>
      <c r="ST166" s="132">
        <f t="shared" si="234"/>
        <v>18000</v>
      </c>
      <c r="SU166" s="132">
        <f t="shared" si="235"/>
        <v>4000</v>
      </c>
      <c r="SV166" s="131">
        <f t="shared" si="236"/>
        <v>68000</v>
      </c>
      <c r="SW166" s="132">
        <f t="shared" si="237"/>
        <v>11000</v>
      </c>
      <c r="SX166" s="132">
        <f t="shared" si="238"/>
        <v>4000</v>
      </c>
      <c r="SY166" s="132">
        <f t="shared" si="239"/>
        <v>20000</v>
      </c>
      <c r="SZ166" s="132">
        <f t="shared" si="240"/>
        <v>0</v>
      </c>
      <c r="TA166" s="132">
        <f t="shared" si="241"/>
        <v>1000</v>
      </c>
      <c r="TB166" s="132">
        <f t="shared" si="242"/>
        <v>12000</v>
      </c>
      <c r="TC166" s="132">
        <f t="shared" si="243"/>
        <v>0</v>
      </c>
      <c r="TD166" s="132">
        <f t="shared" si="244"/>
        <v>0</v>
      </c>
      <c r="TE166" s="132">
        <f t="shared" si="245"/>
        <v>0</v>
      </c>
      <c r="TF166" s="132">
        <f t="shared" si="246"/>
        <v>20000</v>
      </c>
      <c r="TG166" s="132">
        <f t="shared" si="247"/>
        <v>800</v>
      </c>
      <c r="TH166" s="132">
        <f t="shared" si="248"/>
        <v>77000</v>
      </c>
      <c r="TI166" s="1"/>
      <c r="TJ166" s="131">
        <f t="shared" si="249"/>
        <v>398000</v>
      </c>
      <c r="TK166" s="131">
        <f t="shared" si="250"/>
        <v>398000</v>
      </c>
      <c r="TL166" s="131">
        <f t="shared" si="251"/>
        <v>398000</v>
      </c>
      <c r="TM166" s="132">
        <f t="shared" si="252"/>
        <v>398000</v>
      </c>
      <c r="TN166" s="132">
        <f t="shared" si="253"/>
        <v>0</v>
      </c>
      <c r="TO166" s="132">
        <f t="shared" si="254"/>
        <v>0</v>
      </c>
      <c r="TP166" s="132">
        <f t="shared" si="255"/>
        <v>0</v>
      </c>
      <c r="TQ166" s="131">
        <f t="shared" si="256"/>
        <v>0</v>
      </c>
      <c r="TR166" s="131">
        <f t="shared" si="257"/>
        <v>0</v>
      </c>
      <c r="TS166" s="132">
        <f t="shared" si="258"/>
        <v>0</v>
      </c>
      <c r="TT166" s="132">
        <f t="shared" si="259"/>
        <v>0</v>
      </c>
      <c r="TU166" s="132">
        <f t="shared" si="260"/>
        <v>0</v>
      </c>
      <c r="TV166" s="132">
        <f t="shared" si="261"/>
        <v>0</v>
      </c>
      <c r="TW166" s="132">
        <f t="shared" si="262"/>
        <v>0</v>
      </c>
      <c r="TX166" s="132">
        <f t="shared" si="263"/>
        <v>0</v>
      </c>
      <c r="TY166" s="131">
        <f t="shared" si="264"/>
        <v>0</v>
      </c>
      <c r="TZ166" s="132">
        <f t="shared" si="265"/>
        <v>0</v>
      </c>
      <c r="UA166" s="132">
        <f t="shared" si="266"/>
        <v>0</v>
      </c>
      <c r="UB166" s="132">
        <f t="shared" si="267"/>
        <v>0</v>
      </c>
      <c r="UC166" s="132">
        <f t="shared" si="268"/>
        <v>0</v>
      </c>
      <c r="UD166" s="132">
        <f t="shared" si="269"/>
        <v>0</v>
      </c>
      <c r="UE166" s="132">
        <f t="shared" si="270"/>
        <v>0</v>
      </c>
      <c r="UF166" s="132">
        <f t="shared" si="271"/>
        <v>0</v>
      </c>
      <c r="UG166" s="132">
        <f t="shared" si="272"/>
        <v>0</v>
      </c>
      <c r="UH166" s="132">
        <f t="shared" si="273"/>
        <v>0</v>
      </c>
      <c r="UI166" s="132">
        <f t="shared" si="274"/>
        <v>0</v>
      </c>
      <c r="UJ166" s="132">
        <f t="shared" si="275"/>
        <v>0</v>
      </c>
      <c r="UK166" s="132">
        <f t="shared" si="276"/>
        <v>0</v>
      </c>
      <c r="UL166" s="132">
        <f t="shared" si="311"/>
        <v>398000</v>
      </c>
      <c r="UM166" s="131">
        <f t="shared" si="277"/>
        <v>398000</v>
      </c>
      <c r="UN166" s="131">
        <f t="shared" si="278"/>
        <v>398000</v>
      </c>
      <c r="UO166" s="131">
        <f t="shared" si="279"/>
        <v>398000</v>
      </c>
      <c r="UP166" s="132">
        <f t="shared" si="280"/>
        <v>398000</v>
      </c>
      <c r="UQ166" s="132">
        <f t="shared" si="281"/>
        <v>0</v>
      </c>
      <c r="UR166" s="132">
        <f t="shared" si="282"/>
        <v>0</v>
      </c>
      <c r="US166" s="132">
        <f t="shared" si="283"/>
        <v>0</v>
      </c>
      <c r="UT166" s="131">
        <f t="shared" si="284"/>
        <v>0</v>
      </c>
      <c r="UU166" s="131">
        <f t="shared" si="285"/>
        <v>0</v>
      </c>
      <c r="UV166" s="132">
        <f t="shared" si="286"/>
        <v>0</v>
      </c>
      <c r="UW166" s="132">
        <f t="shared" si="287"/>
        <v>0</v>
      </c>
      <c r="UX166" s="132">
        <f t="shared" si="288"/>
        <v>0</v>
      </c>
      <c r="UY166" s="132">
        <f t="shared" si="289"/>
        <v>0</v>
      </c>
      <c r="UZ166" s="132">
        <f t="shared" si="290"/>
        <v>0</v>
      </c>
      <c r="VA166" s="132">
        <f t="shared" si="291"/>
        <v>0</v>
      </c>
      <c r="VB166" s="131">
        <f t="shared" si="292"/>
        <v>0</v>
      </c>
      <c r="VC166" s="132">
        <f t="shared" si="293"/>
        <v>0</v>
      </c>
      <c r="VD166" s="132">
        <f t="shared" si="294"/>
        <v>0</v>
      </c>
      <c r="VE166" s="132">
        <f t="shared" si="295"/>
        <v>0</v>
      </c>
      <c r="VF166" s="132">
        <f t="shared" si="296"/>
        <v>0</v>
      </c>
      <c r="VG166" s="132">
        <f t="shared" si="297"/>
        <v>0</v>
      </c>
      <c r="VH166" s="132">
        <f t="shared" si="298"/>
        <v>0</v>
      </c>
      <c r="VI166" s="132">
        <f t="shared" si="299"/>
        <v>0</v>
      </c>
      <c r="VJ166" s="132">
        <f t="shared" si="300"/>
        <v>0</v>
      </c>
      <c r="VK166" s="132">
        <f t="shared" si="301"/>
        <v>0</v>
      </c>
      <c r="VL166" s="132">
        <f t="shared" si="302"/>
        <v>0</v>
      </c>
      <c r="VM166" s="132">
        <f t="shared" si="303"/>
        <v>0</v>
      </c>
      <c r="VN166" s="132">
        <f t="shared" si="304"/>
        <v>0</v>
      </c>
      <c r="VP166" s="845" t="str">
        <f>IFERROR(HLOOKUP(F166,'Hodnocení '!$C$1:$JH$5,2,FALSE),0)</f>
        <v>Oblastní charita Červený Kostelec</v>
      </c>
      <c r="VQ166" s="838"/>
      <c r="VR166" s="845" t="str">
        <f t="shared" si="312"/>
        <v>Církve a náboženské společnosti</v>
      </c>
      <c r="VS166" s="845" t="str">
        <f>IFERROR(HLOOKUP(F166,'Hodnocení '!$C$1:$JH$5,5,FALSE),0)</f>
        <v>NZO</v>
      </c>
      <c r="VT166" s="838">
        <f t="shared" si="313"/>
        <v>0</v>
      </c>
      <c r="VU166" s="838">
        <f t="shared" si="314"/>
        <v>0</v>
      </c>
      <c r="VV166" s="838">
        <f t="shared" si="315"/>
        <v>102000</v>
      </c>
      <c r="VW166" s="838">
        <f t="shared" si="316"/>
        <v>0</v>
      </c>
      <c r="VX166" s="838"/>
      <c r="VY166" s="838">
        <f t="shared" si="317"/>
        <v>0</v>
      </c>
      <c r="VZ166" s="838">
        <f t="shared" si="318"/>
        <v>398000</v>
      </c>
      <c r="WA166" s="846">
        <f>IFERROR(HLOOKUP($F166,'Hodnocení '!$C$1:$JH$9,9,FALSE),0)</f>
        <v>398000</v>
      </c>
      <c r="WB166" s="846">
        <f>IF(IFERROR(HLOOKUP($F166,'Hodnocení '!$C$1:$JH$13,13,FALSE),0)&gt;WA166,WA166,IFERROR(HLOOKUP($F166,'Hodnocení '!$C$1:$JH$13,13,FALSE),0))</f>
        <v>249019.98755359586</v>
      </c>
      <c r="WC166" s="846">
        <f>IFERROR(HLOOKUP($F166,'Hodnocení '!$C$1:$JH$155,155,FALSE),0)</f>
        <v>324150</v>
      </c>
      <c r="WD166" s="845"/>
      <c r="WE166" s="845"/>
      <c r="WF166" s="845" t="str">
        <f t="shared" si="305"/>
        <v>ANO</v>
      </c>
      <c r="WG166" s="849" t="str">
        <f t="shared" si="320"/>
        <v>Podpora služby je vyjádřena zařazením do sítě sociálních služeb v KHK a řešením financování služby</v>
      </c>
      <c r="WH166"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66" s="849" t="str">
        <f t="shared" si="320"/>
        <v>Návrh dotace je výsledkem projednání s ostatními zadavateli v rámci sítě služeb KHK</v>
      </c>
      <c r="WJ166" s="849" t="str">
        <f t="shared" si="320"/>
        <v>Bez komentáře</v>
      </c>
      <c r="WK166" s="31">
        <f t="shared" si="306"/>
        <v>0</v>
      </c>
      <c r="WL166" s="850">
        <f t="shared" si="307"/>
        <v>0</v>
      </c>
      <c r="WM166" s="849" t="str">
        <f t="shared" si="308"/>
        <v>V rámci sítě KHK se dlouhodobě řeší otázka navyšování úhrad a průběžně se monitoruje s vazbou na vykrytí vyrovnávací platby</v>
      </c>
      <c r="WN166" s="849">
        <f t="shared" si="309"/>
        <v>0</v>
      </c>
      <c r="WO166" s="849" t="str">
        <f t="shared" si="319"/>
        <v>bez komentáře</v>
      </c>
      <c r="WP166" s="849" t="str">
        <f t="shared" si="319"/>
        <v>bez komentáře</v>
      </c>
      <c r="WQ166" s="849" t="str">
        <f t="shared" si="319"/>
        <v>Konečná výše dotace z rozpočtu KHK bude řešena v návaznosti na řešení podílů jednotlivých zadavatelů.</v>
      </c>
      <c r="WR166" s="849" t="str">
        <f t="shared" si="319"/>
        <v>Konečná výše podpory ze stran obcí bude řešena v součinnosti s jednotlivými zadavateli v průběhu roku.</v>
      </c>
      <c r="WS166" s="849" t="str">
        <f t="shared" si="319"/>
        <v>bez komentáře</v>
      </c>
      <c r="WT166" s="849" t="str">
        <f t="shared" si="319"/>
        <v>bez komentáře</v>
      </c>
      <c r="WU166" s="845"/>
    </row>
    <row r="167" spans="1:619" s="128" customFormat="1" x14ac:dyDescent="0.25">
      <c r="A167" s="128" t="str">
        <f>VLOOKUP(F167,'Výpočet VP 2020'!$D$324:$I$588,6,FALSE)</f>
        <v>Je v síti</v>
      </c>
      <c r="B167" s="128" t="s">
        <v>760</v>
      </c>
      <c r="C167" s="128">
        <v>48623814</v>
      </c>
      <c r="D167" s="128" t="s">
        <v>761</v>
      </c>
      <c r="E167" s="128" t="s">
        <v>360</v>
      </c>
      <c r="F167" s="128">
        <v>6466112</v>
      </c>
      <c r="G167" s="128" t="s">
        <v>292</v>
      </c>
      <c r="H167" s="128" t="s">
        <v>293</v>
      </c>
      <c r="I167" s="128" t="s">
        <v>767</v>
      </c>
      <c r="J167" s="129">
        <v>39083</v>
      </c>
      <c r="L167" s="128" t="s">
        <v>220</v>
      </c>
      <c r="X167" s="128" t="s">
        <v>768</v>
      </c>
      <c r="AI167" s="128">
        <v>2</v>
      </c>
      <c r="AJ167" s="128">
        <v>12</v>
      </c>
      <c r="AK167" s="128">
        <v>902</v>
      </c>
      <c r="AL167" s="128">
        <v>850</v>
      </c>
      <c r="AM167" s="128">
        <v>900</v>
      </c>
      <c r="AP167" s="128" t="s">
        <v>768</v>
      </c>
      <c r="BE167" s="128">
        <v>1</v>
      </c>
      <c r="BF167" s="128">
        <v>1</v>
      </c>
      <c r="BG167" s="128">
        <v>80</v>
      </c>
      <c r="BH167" s="128">
        <v>90</v>
      </c>
      <c r="BI167" s="128">
        <v>100</v>
      </c>
      <c r="BL167" s="128" t="s">
        <v>410</v>
      </c>
      <c r="BM167" s="128" t="s">
        <v>340</v>
      </c>
      <c r="BN167" s="128" t="s">
        <v>424</v>
      </c>
      <c r="EK167" s="128">
        <v>2</v>
      </c>
      <c r="EL167" s="128">
        <v>0.45</v>
      </c>
      <c r="EM167" s="128">
        <v>0.45</v>
      </c>
      <c r="EN167" s="128">
        <v>300000</v>
      </c>
      <c r="EO167" s="128">
        <v>300000</v>
      </c>
      <c r="FO167" s="128">
        <v>3</v>
      </c>
      <c r="FP167" s="128">
        <v>0.41</v>
      </c>
      <c r="FQ167" s="128">
        <v>0.41</v>
      </c>
      <c r="FR167" s="128">
        <v>270000</v>
      </c>
      <c r="FS167" s="128">
        <v>270000</v>
      </c>
      <c r="KG167" s="128">
        <v>0</v>
      </c>
      <c r="KI167" s="128">
        <v>0.45</v>
      </c>
      <c r="KJ167" s="128">
        <v>0</v>
      </c>
      <c r="KK167" s="128">
        <v>0</v>
      </c>
      <c r="KL167" s="128">
        <v>0</v>
      </c>
      <c r="KM167" s="128">
        <v>0.45</v>
      </c>
      <c r="KN167" s="128">
        <v>570000</v>
      </c>
      <c r="KO167" s="128">
        <v>570000</v>
      </c>
      <c r="KP167" s="128">
        <v>570000</v>
      </c>
      <c r="KT167" s="128">
        <v>0</v>
      </c>
      <c r="KU167" s="128">
        <v>0</v>
      </c>
      <c r="KV167" s="128">
        <v>0</v>
      </c>
      <c r="KZ167" s="128">
        <v>0</v>
      </c>
      <c r="LA167" s="128">
        <v>0</v>
      </c>
      <c r="LB167" s="128">
        <v>0</v>
      </c>
      <c r="LF167" s="128">
        <v>0</v>
      </c>
      <c r="LG167" s="128">
        <v>0</v>
      </c>
      <c r="LH167" s="128">
        <v>0</v>
      </c>
      <c r="LL167" s="128">
        <v>0</v>
      </c>
      <c r="LM167" s="128">
        <v>0</v>
      </c>
      <c r="LN167" s="128">
        <v>0</v>
      </c>
      <c r="LR167" s="128">
        <v>5000</v>
      </c>
      <c r="LS167" s="128">
        <v>5000</v>
      </c>
      <c r="LT167" s="128">
        <v>5000</v>
      </c>
      <c r="LX167" s="128">
        <v>0</v>
      </c>
      <c r="LY167" s="128">
        <v>0</v>
      </c>
      <c r="LZ167" s="128">
        <v>0</v>
      </c>
      <c r="MD167" s="128">
        <v>3000</v>
      </c>
      <c r="ME167" s="128">
        <v>2500</v>
      </c>
      <c r="MF167" s="128">
        <v>2500</v>
      </c>
      <c r="MJ167" s="128">
        <v>0</v>
      </c>
      <c r="MK167" s="128">
        <v>0</v>
      </c>
      <c r="ML167" s="128">
        <v>0</v>
      </c>
      <c r="MP167" s="128">
        <v>2500</v>
      </c>
      <c r="MQ167" s="128">
        <v>2000</v>
      </c>
      <c r="MR167" s="128">
        <v>2000</v>
      </c>
      <c r="MV167" s="128">
        <v>8400</v>
      </c>
      <c r="MW167" s="128">
        <v>8000</v>
      </c>
      <c r="MX167" s="128">
        <v>8000</v>
      </c>
      <c r="NB167" s="128">
        <v>1000</v>
      </c>
      <c r="NC167" s="128">
        <v>0</v>
      </c>
      <c r="ND167" s="128">
        <v>0</v>
      </c>
      <c r="NH167" s="128">
        <v>0</v>
      </c>
      <c r="NI167" s="128">
        <v>0</v>
      </c>
      <c r="NJ167" s="128">
        <v>0</v>
      </c>
      <c r="NN167" s="128">
        <v>0</v>
      </c>
      <c r="NO167" s="128">
        <v>0</v>
      </c>
      <c r="NP167" s="128">
        <v>0</v>
      </c>
      <c r="NT167" s="128">
        <v>0</v>
      </c>
      <c r="NU167" s="128">
        <v>0</v>
      </c>
      <c r="NV167" s="128">
        <v>0</v>
      </c>
      <c r="NZ167" s="128">
        <v>0</v>
      </c>
      <c r="OA167" s="128">
        <v>0</v>
      </c>
      <c r="OB167" s="128">
        <v>0</v>
      </c>
      <c r="OF167" s="128">
        <v>0</v>
      </c>
      <c r="OG167" s="128">
        <v>0</v>
      </c>
      <c r="OH167" s="128">
        <v>0</v>
      </c>
      <c r="OL167" s="128">
        <v>0</v>
      </c>
      <c r="OM167" s="128">
        <v>0</v>
      </c>
      <c r="ON167" s="128">
        <v>0</v>
      </c>
      <c r="OR167" s="128">
        <v>0</v>
      </c>
      <c r="OS167" s="128">
        <v>0</v>
      </c>
      <c r="OT167" s="128">
        <v>0</v>
      </c>
      <c r="OX167" s="128">
        <v>3000</v>
      </c>
      <c r="OY167" s="128">
        <v>2500</v>
      </c>
      <c r="OZ167" s="128">
        <v>2500</v>
      </c>
      <c r="PD167" s="128">
        <v>0</v>
      </c>
      <c r="PE167" s="128">
        <v>0</v>
      </c>
      <c r="PF167" s="128">
        <v>0</v>
      </c>
      <c r="PJ167" s="128">
        <v>30000</v>
      </c>
      <c r="PK167" s="128">
        <v>0</v>
      </c>
      <c r="PL167" s="128">
        <v>0</v>
      </c>
      <c r="PP167" s="128">
        <v>622900</v>
      </c>
      <c r="PQ167" s="128">
        <v>590000</v>
      </c>
      <c r="PR167" s="128">
        <v>590000</v>
      </c>
      <c r="PS167" s="128">
        <v>100</v>
      </c>
      <c r="PT167" s="128">
        <v>100</v>
      </c>
      <c r="PX167" s="128">
        <v>315000</v>
      </c>
      <c r="PY167" s="128">
        <v>522000</v>
      </c>
      <c r="PZ167" s="128">
        <v>590000</v>
      </c>
      <c r="QA167" s="128">
        <v>0</v>
      </c>
      <c r="QB167" s="128">
        <v>0</v>
      </c>
      <c r="QC167" s="128">
        <v>0</v>
      </c>
      <c r="QD167" s="128">
        <v>0</v>
      </c>
      <c r="QE167" s="128">
        <v>0</v>
      </c>
      <c r="QF167" s="128">
        <v>0</v>
      </c>
      <c r="QG167" s="128">
        <v>0</v>
      </c>
      <c r="QH167" s="128">
        <v>0</v>
      </c>
      <c r="QI167" s="128">
        <v>0</v>
      </c>
      <c r="QJ167" s="128">
        <v>0</v>
      </c>
      <c r="QK167" s="128">
        <v>0</v>
      </c>
      <c r="QL167" s="128">
        <v>0</v>
      </c>
      <c r="QN167" s="128">
        <v>0</v>
      </c>
      <c r="QO167" s="128">
        <v>0</v>
      </c>
      <c r="QP167" s="128">
        <v>0</v>
      </c>
      <c r="QU167" s="128">
        <v>206740</v>
      </c>
      <c r="QV167" s="128">
        <v>10683</v>
      </c>
      <c r="QW167" s="128">
        <v>0</v>
      </c>
      <c r="RD167" s="128">
        <v>14508</v>
      </c>
      <c r="RE167" s="128">
        <v>30000</v>
      </c>
      <c r="RF167" s="128">
        <v>32900</v>
      </c>
      <c r="RH167" s="128">
        <f t="shared" si="310"/>
        <v>622900</v>
      </c>
      <c r="RI167" s="128">
        <v>0</v>
      </c>
      <c r="RM167" s="128" t="s">
        <v>220</v>
      </c>
      <c r="RU167" s="130"/>
      <c r="RV167" s="130"/>
      <c r="RW167" s="130"/>
      <c r="RX167" s="130"/>
      <c r="SF167" s="128">
        <f t="shared" si="220"/>
        <v>6466112</v>
      </c>
      <c r="SG167" s="131">
        <f t="shared" si="221"/>
        <v>622900</v>
      </c>
      <c r="SH167" s="131">
        <f t="shared" si="222"/>
        <v>622900</v>
      </c>
      <c r="SI167" s="131">
        <f t="shared" si="223"/>
        <v>570000</v>
      </c>
      <c r="SJ167" s="132">
        <f t="shared" si="224"/>
        <v>570000</v>
      </c>
      <c r="SK167" s="132">
        <f t="shared" si="225"/>
        <v>0</v>
      </c>
      <c r="SL167" s="132">
        <f t="shared" si="226"/>
        <v>0</v>
      </c>
      <c r="SM167" s="132">
        <f t="shared" si="227"/>
        <v>0</v>
      </c>
      <c r="SN167" s="131">
        <f t="shared" si="228"/>
        <v>52900</v>
      </c>
      <c r="SO167" s="131">
        <f t="shared" si="229"/>
        <v>5000</v>
      </c>
      <c r="SP167" s="132">
        <f t="shared" si="230"/>
        <v>0</v>
      </c>
      <c r="SQ167" s="132">
        <f t="shared" si="231"/>
        <v>5000</v>
      </c>
      <c r="SR167" s="132">
        <f t="shared" si="232"/>
        <v>0</v>
      </c>
      <c r="SS167" s="132">
        <f t="shared" si="233"/>
        <v>3000</v>
      </c>
      <c r="ST167" s="132">
        <f t="shared" si="234"/>
        <v>0</v>
      </c>
      <c r="SU167" s="132">
        <f t="shared" si="235"/>
        <v>2500</v>
      </c>
      <c r="SV167" s="131">
        <f t="shared" si="236"/>
        <v>12400</v>
      </c>
      <c r="SW167" s="132">
        <f t="shared" si="237"/>
        <v>8400</v>
      </c>
      <c r="SX167" s="132">
        <f t="shared" si="238"/>
        <v>1000</v>
      </c>
      <c r="SY167" s="132">
        <f t="shared" si="239"/>
        <v>0</v>
      </c>
      <c r="SZ167" s="132">
        <f t="shared" si="240"/>
        <v>0</v>
      </c>
      <c r="TA167" s="132">
        <f t="shared" si="241"/>
        <v>0</v>
      </c>
      <c r="TB167" s="132">
        <f t="shared" si="242"/>
        <v>0</v>
      </c>
      <c r="TC167" s="132">
        <f t="shared" si="243"/>
        <v>0</v>
      </c>
      <c r="TD167" s="132">
        <f t="shared" si="244"/>
        <v>0</v>
      </c>
      <c r="TE167" s="132">
        <f t="shared" si="245"/>
        <v>0</v>
      </c>
      <c r="TF167" s="132">
        <f t="shared" si="246"/>
        <v>3000</v>
      </c>
      <c r="TG167" s="132">
        <f t="shared" si="247"/>
        <v>0</v>
      </c>
      <c r="TH167" s="132">
        <f t="shared" si="248"/>
        <v>30000</v>
      </c>
      <c r="TI167" s="1"/>
      <c r="TJ167" s="131">
        <f t="shared" si="249"/>
        <v>590000</v>
      </c>
      <c r="TK167" s="131">
        <f t="shared" si="250"/>
        <v>590000</v>
      </c>
      <c r="TL167" s="131">
        <f t="shared" si="251"/>
        <v>570000</v>
      </c>
      <c r="TM167" s="132">
        <f t="shared" si="252"/>
        <v>570000</v>
      </c>
      <c r="TN167" s="132">
        <f t="shared" si="253"/>
        <v>0</v>
      </c>
      <c r="TO167" s="132">
        <f t="shared" si="254"/>
        <v>0</v>
      </c>
      <c r="TP167" s="132">
        <f t="shared" si="255"/>
        <v>0</v>
      </c>
      <c r="TQ167" s="131">
        <f t="shared" si="256"/>
        <v>20000</v>
      </c>
      <c r="TR167" s="131">
        <f t="shared" si="257"/>
        <v>5000</v>
      </c>
      <c r="TS167" s="132">
        <f t="shared" si="258"/>
        <v>0</v>
      </c>
      <c r="TT167" s="132">
        <f t="shared" si="259"/>
        <v>5000</v>
      </c>
      <c r="TU167" s="132">
        <f t="shared" si="260"/>
        <v>0</v>
      </c>
      <c r="TV167" s="132">
        <f t="shared" si="261"/>
        <v>2500</v>
      </c>
      <c r="TW167" s="132">
        <f t="shared" si="262"/>
        <v>0</v>
      </c>
      <c r="TX167" s="132">
        <f t="shared" si="263"/>
        <v>2000</v>
      </c>
      <c r="TY167" s="131">
        <f t="shared" si="264"/>
        <v>10500</v>
      </c>
      <c r="TZ167" s="132">
        <f t="shared" si="265"/>
        <v>8000</v>
      </c>
      <c r="UA167" s="132">
        <f t="shared" si="266"/>
        <v>0</v>
      </c>
      <c r="UB167" s="132">
        <f t="shared" si="267"/>
        <v>0</v>
      </c>
      <c r="UC167" s="132">
        <f t="shared" si="268"/>
        <v>0</v>
      </c>
      <c r="UD167" s="132">
        <f t="shared" si="269"/>
        <v>0</v>
      </c>
      <c r="UE167" s="132">
        <f t="shared" si="270"/>
        <v>0</v>
      </c>
      <c r="UF167" s="132">
        <f t="shared" si="271"/>
        <v>0</v>
      </c>
      <c r="UG167" s="132">
        <f t="shared" si="272"/>
        <v>0</v>
      </c>
      <c r="UH167" s="132">
        <f t="shared" si="273"/>
        <v>0</v>
      </c>
      <c r="UI167" s="132">
        <f t="shared" si="274"/>
        <v>2500</v>
      </c>
      <c r="UJ167" s="132">
        <f t="shared" si="275"/>
        <v>0</v>
      </c>
      <c r="UK167" s="132">
        <f t="shared" si="276"/>
        <v>0</v>
      </c>
      <c r="UL167" s="132">
        <f t="shared" si="311"/>
        <v>590000</v>
      </c>
      <c r="UM167" s="131">
        <f t="shared" si="277"/>
        <v>590000</v>
      </c>
      <c r="UN167" s="131">
        <f t="shared" si="278"/>
        <v>590000</v>
      </c>
      <c r="UO167" s="131">
        <f t="shared" si="279"/>
        <v>570000</v>
      </c>
      <c r="UP167" s="132">
        <f t="shared" si="280"/>
        <v>570000</v>
      </c>
      <c r="UQ167" s="132">
        <f t="shared" si="281"/>
        <v>0</v>
      </c>
      <c r="UR167" s="132">
        <f t="shared" si="282"/>
        <v>0</v>
      </c>
      <c r="US167" s="132">
        <f t="shared" si="283"/>
        <v>0</v>
      </c>
      <c r="UT167" s="131">
        <f t="shared" si="284"/>
        <v>20000</v>
      </c>
      <c r="UU167" s="131">
        <f t="shared" si="285"/>
        <v>5000</v>
      </c>
      <c r="UV167" s="132">
        <f t="shared" si="286"/>
        <v>0</v>
      </c>
      <c r="UW167" s="132">
        <f t="shared" si="287"/>
        <v>5000</v>
      </c>
      <c r="UX167" s="132">
        <f t="shared" si="288"/>
        <v>0</v>
      </c>
      <c r="UY167" s="132">
        <f t="shared" si="289"/>
        <v>2500</v>
      </c>
      <c r="UZ167" s="132">
        <f t="shared" si="290"/>
        <v>0</v>
      </c>
      <c r="VA167" s="132">
        <f t="shared" si="291"/>
        <v>2000</v>
      </c>
      <c r="VB167" s="131">
        <f t="shared" si="292"/>
        <v>10500</v>
      </c>
      <c r="VC167" s="132">
        <f t="shared" si="293"/>
        <v>8000</v>
      </c>
      <c r="VD167" s="132">
        <f t="shared" si="294"/>
        <v>0</v>
      </c>
      <c r="VE167" s="132">
        <f t="shared" si="295"/>
        <v>0</v>
      </c>
      <c r="VF167" s="132">
        <f t="shared" si="296"/>
        <v>0</v>
      </c>
      <c r="VG167" s="132">
        <f t="shared" si="297"/>
        <v>0</v>
      </c>
      <c r="VH167" s="132">
        <f t="shared" si="298"/>
        <v>0</v>
      </c>
      <c r="VI167" s="132">
        <f t="shared" si="299"/>
        <v>0</v>
      </c>
      <c r="VJ167" s="132">
        <f t="shared" si="300"/>
        <v>0</v>
      </c>
      <c r="VK167" s="132">
        <f t="shared" si="301"/>
        <v>0</v>
      </c>
      <c r="VL167" s="132">
        <f t="shared" si="302"/>
        <v>2500</v>
      </c>
      <c r="VM167" s="132">
        <f t="shared" si="303"/>
        <v>0</v>
      </c>
      <c r="VN167" s="132">
        <f t="shared" si="304"/>
        <v>0</v>
      </c>
      <c r="VP167" s="845" t="str">
        <f>IFERROR(HLOOKUP(F167,'Hodnocení '!$C$1:$JH$5,2,FALSE),0)</f>
        <v>Oblastní charita Červený Kostelec</v>
      </c>
      <c r="VQ167" s="838"/>
      <c r="VR167" s="845" t="str">
        <f t="shared" si="312"/>
        <v>Církve a náboženské společnosti</v>
      </c>
      <c r="VS167" s="845" t="str">
        <f>IFERROR(HLOOKUP(F167,'Hodnocení '!$C$1:$JH$5,5,FALSE),0)</f>
        <v>NZO</v>
      </c>
      <c r="VT167" s="838">
        <f t="shared" si="313"/>
        <v>0</v>
      </c>
      <c r="VU167" s="838">
        <f t="shared" si="314"/>
        <v>0</v>
      </c>
      <c r="VV167" s="838">
        <f t="shared" si="315"/>
        <v>0</v>
      </c>
      <c r="VW167" s="838">
        <f t="shared" si="316"/>
        <v>0</v>
      </c>
      <c r="VX167" s="838"/>
      <c r="VY167" s="838">
        <f t="shared" si="317"/>
        <v>0</v>
      </c>
      <c r="VZ167" s="838">
        <f t="shared" si="318"/>
        <v>590000</v>
      </c>
      <c r="WA167" s="846">
        <f>IFERROR(HLOOKUP($F167,'Hodnocení '!$C$1:$JH$9,9,FALSE),0)</f>
        <v>590000</v>
      </c>
      <c r="WB167" s="846">
        <f>IF(IFERROR(HLOOKUP($F167,'Hodnocení '!$C$1:$JH$13,13,FALSE),0)&gt;WA167,WA167,IFERROR(HLOOKUP($F167,'Hodnocení '!$C$1:$JH$13,13,FALSE),0))</f>
        <v>297109.40431126149</v>
      </c>
      <c r="WC167" s="846">
        <f>IFERROR(HLOOKUP($F167,'Hodnocení '!$C$1:$JH$155,155,FALSE),0)</f>
        <v>532680</v>
      </c>
      <c r="WD167" s="845"/>
      <c r="WE167" s="845"/>
      <c r="WF167" s="845" t="str">
        <f t="shared" si="305"/>
        <v>ANO</v>
      </c>
      <c r="WG167" s="849" t="str">
        <f t="shared" si="320"/>
        <v>Podpora služby je vyjádřena zařazením do sítě sociálních služeb v KHK a řešením financování služby</v>
      </c>
      <c r="WH167"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67" s="849" t="str">
        <f t="shared" si="320"/>
        <v>Návrh dotace je výsledkem projednání s ostatními zadavateli v rámci sítě služeb KHK</v>
      </c>
      <c r="WJ167" s="849" t="str">
        <f t="shared" si="320"/>
        <v>Bez komentáře</v>
      </c>
      <c r="WK167" s="31">
        <f t="shared" si="306"/>
        <v>0</v>
      </c>
      <c r="WL167" s="850">
        <f t="shared" si="307"/>
        <v>0</v>
      </c>
      <c r="WM167" s="849">
        <f t="shared" si="308"/>
        <v>0</v>
      </c>
      <c r="WN167" s="849">
        <f t="shared" si="309"/>
        <v>0</v>
      </c>
      <c r="WO167" s="849" t="str">
        <f t="shared" si="319"/>
        <v>bez komentáře</v>
      </c>
      <c r="WP167" s="849" t="str">
        <f t="shared" si="319"/>
        <v>bez komentáře</v>
      </c>
      <c r="WQ167" s="849" t="str">
        <f t="shared" si="319"/>
        <v>Konečná výše dotace z rozpočtu KHK bude řešena v návaznosti na řešení podílů jednotlivých zadavatelů.</v>
      </c>
      <c r="WR167" s="849" t="str">
        <f t="shared" si="319"/>
        <v>Konečná výše podpory ze stran obcí bude řešena v součinnosti s jednotlivými zadavateli v průběhu roku.</v>
      </c>
      <c r="WS167" s="849" t="str">
        <f t="shared" si="319"/>
        <v>bez komentáře</v>
      </c>
      <c r="WT167" s="849" t="str">
        <f t="shared" si="319"/>
        <v>bez komentáře</v>
      </c>
      <c r="WU167" s="845"/>
    </row>
    <row r="168" spans="1:619" s="128" customFormat="1" x14ac:dyDescent="0.25">
      <c r="A168" s="128" t="str">
        <f>VLOOKUP(F168,'Výpočet VP 2020'!$D$324:$I$588,6,FALSE)</f>
        <v>Je v síti</v>
      </c>
      <c r="B168" s="128" t="s">
        <v>760</v>
      </c>
      <c r="C168" s="128">
        <v>48623814</v>
      </c>
      <c r="D168" s="128" t="s">
        <v>761</v>
      </c>
      <c r="E168" s="128" t="s">
        <v>360</v>
      </c>
      <c r="F168" s="128">
        <v>6627771</v>
      </c>
      <c r="G168" s="128" t="s">
        <v>267</v>
      </c>
      <c r="H168" s="128" t="s">
        <v>218</v>
      </c>
      <c r="I168" s="128" t="s">
        <v>769</v>
      </c>
      <c r="J168" s="129">
        <v>39083</v>
      </c>
      <c r="L168" s="128" t="s">
        <v>220</v>
      </c>
      <c r="M168" s="128" t="s">
        <v>770</v>
      </c>
      <c r="N168" s="128">
        <v>2</v>
      </c>
      <c r="P168" s="128">
        <v>2</v>
      </c>
      <c r="Q168" s="128">
        <v>2</v>
      </c>
      <c r="R168" s="128">
        <v>2</v>
      </c>
      <c r="BL168" s="128" t="s">
        <v>771</v>
      </c>
      <c r="BM168" s="128" t="s">
        <v>247</v>
      </c>
      <c r="BN168" s="128" t="s">
        <v>747</v>
      </c>
      <c r="DA168" s="128">
        <v>0</v>
      </c>
      <c r="DB168" s="128">
        <v>0</v>
      </c>
      <c r="DC168" s="128">
        <v>0</v>
      </c>
      <c r="DD168" s="128">
        <v>0</v>
      </c>
      <c r="DE168" s="128">
        <v>0</v>
      </c>
      <c r="DF168" s="128">
        <v>0</v>
      </c>
      <c r="DG168" s="128">
        <v>0</v>
      </c>
      <c r="DH168" s="128">
        <v>2</v>
      </c>
      <c r="DI168" s="128">
        <v>0</v>
      </c>
      <c r="DJ168" s="128">
        <v>0</v>
      </c>
      <c r="DK168" s="128">
        <v>0</v>
      </c>
      <c r="DL168" s="128">
        <v>0</v>
      </c>
      <c r="DM168" s="128">
        <v>2</v>
      </c>
      <c r="DN168" s="128">
        <v>0</v>
      </c>
      <c r="DO168" s="128">
        <v>0</v>
      </c>
      <c r="DP168" s="128">
        <v>0</v>
      </c>
      <c r="DQ168" s="128">
        <v>2</v>
      </c>
      <c r="DR168" s="128">
        <v>2</v>
      </c>
      <c r="DS168" s="128">
        <v>0</v>
      </c>
      <c r="DT168" s="128">
        <v>0</v>
      </c>
      <c r="DU168" s="128">
        <v>0</v>
      </c>
      <c r="DV168" s="128">
        <v>0</v>
      </c>
      <c r="DW168" s="128">
        <v>0</v>
      </c>
      <c r="DX168" s="128">
        <v>0</v>
      </c>
      <c r="DY168" s="128">
        <v>0</v>
      </c>
      <c r="DZ168" s="128">
        <v>2</v>
      </c>
      <c r="EA168" s="128">
        <v>0</v>
      </c>
      <c r="EB168" s="128">
        <v>0</v>
      </c>
      <c r="EC168" s="128">
        <v>0</v>
      </c>
      <c r="ED168" s="128">
        <v>0</v>
      </c>
      <c r="EE168" s="128">
        <v>2</v>
      </c>
      <c r="EF168" s="128">
        <v>0</v>
      </c>
      <c r="EG168" s="128">
        <v>0</v>
      </c>
      <c r="EH168" s="128">
        <v>0</v>
      </c>
      <c r="EI168" s="128">
        <v>2</v>
      </c>
      <c r="EJ168" s="128">
        <v>2</v>
      </c>
      <c r="EK168" s="128">
        <v>1</v>
      </c>
      <c r="EL168" s="128">
        <v>0.2</v>
      </c>
      <c r="EM168" s="128">
        <v>0.24</v>
      </c>
      <c r="EN168" s="128">
        <v>128000</v>
      </c>
      <c r="EO168" s="128">
        <v>128000</v>
      </c>
      <c r="EP168" s="128">
        <v>3</v>
      </c>
      <c r="EQ168" s="128">
        <v>0.4</v>
      </c>
      <c r="ER168" s="128">
        <v>0.39</v>
      </c>
      <c r="ES168" s="128">
        <v>227000</v>
      </c>
      <c r="ET168" s="128">
        <v>227000</v>
      </c>
      <c r="EU168" s="128">
        <v>1</v>
      </c>
      <c r="EV168" s="128">
        <v>0.1</v>
      </c>
      <c r="EW168" s="128">
        <v>0.05</v>
      </c>
      <c r="EX168" s="128">
        <v>68000</v>
      </c>
      <c r="EY168" s="128">
        <v>0</v>
      </c>
      <c r="FO168" s="128">
        <v>3</v>
      </c>
      <c r="FP168" s="128">
        <v>0.21</v>
      </c>
      <c r="FQ168" s="128">
        <v>0.21</v>
      </c>
      <c r="FR168" s="128">
        <v>155000</v>
      </c>
      <c r="FS168" s="128">
        <v>150000</v>
      </c>
      <c r="KG168" s="128">
        <v>0</v>
      </c>
      <c r="KI168" s="128">
        <v>0.7</v>
      </c>
      <c r="KJ168" s="128">
        <v>0</v>
      </c>
      <c r="KK168" s="128">
        <v>0</v>
      </c>
      <c r="KL168" s="128">
        <v>0</v>
      </c>
      <c r="KM168" s="128">
        <v>0.7</v>
      </c>
      <c r="KN168" s="128">
        <v>578000</v>
      </c>
      <c r="KO168" s="128">
        <v>505000</v>
      </c>
      <c r="KP168" s="128">
        <v>505000</v>
      </c>
      <c r="KT168" s="128">
        <v>0</v>
      </c>
      <c r="KU168" s="128">
        <v>0</v>
      </c>
      <c r="KV168" s="128">
        <v>0</v>
      </c>
      <c r="KZ168" s="128">
        <v>0</v>
      </c>
      <c r="LA168" s="128">
        <v>0</v>
      </c>
      <c r="LB168" s="128">
        <v>0</v>
      </c>
      <c r="LF168" s="128">
        <v>0</v>
      </c>
      <c r="LG168" s="128">
        <v>0</v>
      </c>
      <c r="LH168" s="128">
        <v>0</v>
      </c>
      <c r="LL168" s="128">
        <v>0</v>
      </c>
      <c r="LM168" s="128">
        <v>0</v>
      </c>
      <c r="LN168" s="128">
        <v>0</v>
      </c>
      <c r="LR168" s="128">
        <v>50000</v>
      </c>
      <c r="LS168" s="128">
        <v>30000</v>
      </c>
      <c r="LT168" s="128">
        <v>30000</v>
      </c>
      <c r="LX168" s="128">
        <v>0</v>
      </c>
      <c r="LY168" s="128">
        <v>0</v>
      </c>
      <c r="LZ168" s="128">
        <v>0</v>
      </c>
      <c r="MD168" s="128">
        <v>5000</v>
      </c>
      <c r="ME168" s="128">
        <v>3000</v>
      </c>
      <c r="MF168" s="128">
        <v>3000</v>
      </c>
      <c r="MJ168" s="128">
        <v>3000</v>
      </c>
      <c r="MK168" s="128">
        <v>1000</v>
      </c>
      <c r="ML168" s="128">
        <v>1000</v>
      </c>
      <c r="MP168" s="128">
        <v>20000</v>
      </c>
      <c r="MQ168" s="128">
        <v>10000</v>
      </c>
      <c r="MR168" s="128">
        <v>10000</v>
      </c>
      <c r="MV168" s="128">
        <v>30000</v>
      </c>
      <c r="MW168" s="128">
        <v>20000</v>
      </c>
      <c r="MX168" s="128">
        <v>20000</v>
      </c>
      <c r="NB168" s="128">
        <v>4000</v>
      </c>
      <c r="NC168" s="128">
        <v>2000</v>
      </c>
      <c r="ND168" s="128">
        <v>2000</v>
      </c>
      <c r="NH168" s="128">
        <v>0</v>
      </c>
      <c r="NI168" s="128">
        <v>0</v>
      </c>
      <c r="NJ168" s="128">
        <v>0</v>
      </c>
      <c r="NN168" s="128">
        <v>0</v>
      </c>
      <c r="NO168" s="128">
        <v>0</v>
      </c>
      <c r="NP168" s="128">
        <v>0</v>
      </c>
      <c r="NT168" s="128">
        <v>2000</v>
      </c>
      <c r="NU168" s="128">
        <v>0</v>
      </c>
      <c r="NV168" s="128">
        <v>0</v>
      </c>
      <c r="NZ168" s="128">
        <v>200000</v>
      </c>
      <c r="OA168" s="128">
        <v>100000</v>
      </c>
      <c r="OB168" s="128">
        <v>100000</v>
      </c>
      <c r="OF168" s="128">
        <v>1000</v>
      </c>
      <c r="OG168" s="128">
        <v>0</v>
      </c>
      <c r="OH168" s="128">
        <v>0</v>
      </c>
      <c r="OL168" s="128">
        <v>0</v>
      </c>
      <c r="OM168" s="128">
        <v>0</v>
      </c>
      <c r="ON168" s="128">
        <v>0</v>
      </c>
      <c r="OR168" s="128">
        <v>0</v>
      </c>
      <c r="OS168" s="128">
        <v>0</v>
      </c>
      <c r="OT168" s="128">
        <v>0</v>
      </c>
      <c r="OX168" s="128">
        <v>50000</v>
      </c>
      <c r="OY168" s="128">
        <v>24000</v>
      </c>
      <c r="OZ168" s="128">
        <v>24000</v>
      </c>
      <c r="PD168" s="128">
        <v>200000</v>
      </c>
      <c r="PE168" s="128">
        <v>0</v>
      </c>
      <c r="PF168" s="128">
        <v>0</v>
      </c>
      <c r="PJ168" s="128">
        <v>56000</v>
      </c>
      <c r="PK168" s="128">
        <v>0</v>
      </c>
      <c r="PL168" s="128">
        <v>0</v>
      </c>
      <c r="PP168" s="128">
        <v>1199000</v>
      </c>
      <c r="PQ168" s="128">
        <v>695000</v>
      </c>
      <c r="PR168" s="128">
        <v>695000</v>
      </c>
      <c r="PS168" s="128">
        <v>100</v>
      </c>
      <c r="PT168" s="128">
        <v>100</v>
      </c>
      <c r="PX168" s="128">
        <v>467300</v>
      </c>
      <c r="PY168" s="128">
        <v>532263</v>
      </c>
      <c r="PZ168" s="128">
        <v>695000</v>
      </c>
      <c r="QA168" s="128">
        <v>0</v>
      </c>
      <c r="QB168" s="128">
        <v>0</v>
      </c>
      <c r="QC168" s="128">
        <v>0</v>
      </c>
      <c r="QD168" s="128">
        <v>0</v>
      </c>
      <c r="QE168" s="128">
        <v>0</v>
      </c>
      <c r="QF168" s="128">
        <v>0</v>
      </c>
      <c r="QG168" s="128">
        <v>0</v>
      </c>
      <c r="QH168" s="128">
        <v>0</v>
      </c>
      <c r="QI168" s="128">
        <v>0</v>
      </c>
      <c r="QJ168" s="128">
        <v>121980</v>
      </c>
      <c r="QK168" s="128">
        <v>115000</v>
      </c>
      <c r="QL168" s="128">
        <v>125000</v>
      </c>
      <c r="QN168" s="128">
        <v>0</v>
      </c>
      <c r="QO168" s="128">
        <v>0</v>
      </c>
      <c r="QP168" s="128">
        <v>0</v>
      </c>
      <c r="QU168" s="128">
        <v>56763</v>
      </c>
      <c r="QV168" s="128">
        <v>0</v>
      </c>
      <c r="QW168" s="128">
        <v>0</v>
      </c>
      <c r="RD168" s="128">
        <v>262807</v>
      </c>
      <c r="RE168" s="128">
        <v>318000</v>
      </c>
      <c r="RF168" s="128">
        <v>379000</v>
      </c>
      <c r="RH168" s="128">
        <f t="shared" si="310"/>
        <v>1074000</v>
      </c>
      <c r="RI168" s="128">
        <v>0</v>
      </c>
      <c r="RM168" s="128" t="s">
        <v>220</v>
      </c>
      <c r="RU168" s="130"/>
      <c r="RV168" s="130"/>
      <c r="RW168" s="130"/>
      <c r="RX168" s="130"/>
      <c r="SF168" s="128">
        <f t="shared" si="220"/>
        <v>6627771</v>
      </c>
      <c r="SG168" s="131">
        <f t="shared" si="221"/>
        <v>1199000</v>
      </c>
      <c r="SH168" s="131">
        <f t="shared" si="222"/>
        <v>1199000</v>
      </c>
      <c r="SI168" s="131">
        <f t="shared" si="223"/>
        <v>578000</v>
      </c>
      <c r="SJ168" s="132">
        <f t="shared" si="224"/>
        <v>578000</v>
      </c>
      <c r="SK168" s="132">
        <f t="shared" si="225"/>
        <v>0</v>
      </c>
      <c r="SL168" s="132">
        <f t="shared" si="226"/>
        <v>0</v>
      </c>
      <c r="SM168" s="132">
        <f t="shared" si="227"/>
        <v>0</v>
      </c>
      <c r="SN168" s="131">
        <f t="shared" si="228"/>
        <v>621000</v>
      </c>
      <c r="SO168" s="131">
        <f t="shared" si="229"/>
        <v>50000</v>
      </c>
      <c r="SP168" s="132">
        <f t="shared" si="230"/>
        <v>0</v>
      </c>
      <c r="SQ168" s="132">
        <f t="shared" si="231"/>
        <v>50000</v>
      </c>
      <c r="SR168" s="132">
        <f t="shared" si="232"/>
        <v>0</v>
      </c>
      <c r="SS168" s="132">
        <f t="shared" si="233"/>
        <v>5000</v>
      </c>
      <c r="ST168" s="132">
        <f t="shared" si="234"/>
        <v>3000</v>
      </c>
      <c r="SU168" s="132">
        <f t="shared" si="235"/>
        <v>20000</v>
      </c>
      <c r="SV168" s="131">
        <f t="shared" si="236"/>
        <v>287000</v>
      </c>
      <c r="SW168" s="132">
        <f t="shared" si="237"/>
        <v>30000</v>
      </c>
      <c r="SX168" s="132">
        <f t="shared" si="238"/>
        <v>4000</v>
      </c>
      <c r="SY168" s="132">
        <f t="shared" si="239"/>
        <v>0</v>
      </c>
      <c r="SZ168" s="132">
        <f t="shared" si="240"/>
        <v>0</v>
      </c>
      <c r="TA168" s="132">
        <f t="shared" si="241"/>
        <v>2000</v>
      </c>
      <c r="TB168" s="132">
        <f t="shared" si="242"/>
        <v>200000</v>
      </c>
      <c r="TC168" s="132">
        <f t="shared" si="243"/>
        <v>1000</v>
      </c>
      <c r="TD168" s="132">
        <f t="shared" si="244"/>
        <v>0</v>
      </c>
      <c r="TE168" s="132">
        <f t="shared" si="245"/>
        <v>0</v>
      </c>
      <c r="TF168" s="132">
        <f t="shared" si="246"/>
        <v>50000</v>
      </c>
      <c r="TG168" s="132">
        <f t="shared" si="247"/>
        <v>200000</v>
      </c>
      <c r="TH168" s="132">
        <f t="shared" si="248"/>
        <v>56000</v>
      </c>
      <c r="TI168" s="1"/>
      <c r="TJ168" s="131">
        <f t="shared" si="249"/>
        <v>695000</v>
      </c>
      <c r="TK168" s="131">
        <f t="shared" si="250"/>
        <v>695000</v>
      </c>
      <c r="TL168" s="131">
        <f t="shared" si="251"/>
        <v>505000</v>
      </c>
      <c r="TM168" s="132">
        <f t="shared" si="252"/>
        <v>505000</v>
      </c>
      <c r="TN168" s="132">
        <f t="shared" si="253"/>
        <v>0</v>
      </c>
      <c r="TO168" s="132">
        <f t="shared" si="254"/>
        <v>0</v>
      </c>
      <c r="TP168" s="132">
        <f t="shared" si="255"/>
        <v>0</v>
      </c>
      <c r="TQ168" s="131">
        <f t="shared" si="256"/>
        <v>190000</v>
      </c>
      <c r="TR168" s="131">
        <f t="shared" si="257"/>
        <v>30000</v>
      </c>
      <c r="TS168" s="132">
        <f t="shared" si="258"/>
        <v>0</v>
      </c>
      <c r="TT168" s="132">
        <f t="shared" si="259"/>
        <v>30000</v>
      </c>
      <c r="TU168" s="132">
        <f t="shared" si="260"/>
        <v>0</v>
      </c>
      <c r="TV168" s="132">
        <f t="shared" si="261"/>
        <v>3000</v>
      </c>
      <c r="TW168" s="132">
        <f t="shared" si="262"/>
        <v>1000</v>
      </c>
      <c r="TX168" s="132">
        <f t="shared" si="263"/>
        <v>10000</v>
      </c>
      <c r="TY168" s="131">
        <f t="shared" si="264"/>
        <v>146000</v>
      </c>
      <c r="TZ168" s="132">
        <f t="shared" si="265"/>
        <v>20000</v>
      </c>
      <c r="UA168" s="132">
        <f t="shared" si="266"/>
        <v>2000</v>
      </c>
      <c r="UB168" s="132">
        <f t="shared" si="267"/>
        <v>0</v>
      </c>
      <c r="UC168" s="132">
        <f t="shared" si="268"/>
        <v>0</v>
      </c>
      <c r="UD168" s="132">
        <f t="shared" si="269"/>
        <v>0</v>
      </c>
      <c r="UE168" s="132">
        <f t="shared" si="270"/>
        <v>100000</v>
      </c>
      <c r="UF168" s="132">
        <f t="shared" si="271"/>
        <v>0</v>
      </c>
      <c r="UG168" s="132">
        <f t="shared" si="272"/>
        <v>0</v>
      </c>
      <c r="UH168" s="132">
        <f t="shared" si="273"/>
        <v>0</v>
      </c>
      <c r="UI168" s="132">
        <f t="shared" si="274"/>
        <v>24000</v>
      </c>
      <c r="UJ168" s="132">
        <f t="shared" si="275"/>
        <v>0</v>
      </c>
      <c r="UK168" s="132">
        <f t="shared" si="276"/>
        <v>0</v>
      </c>
      <c r="UL168" s="132">
        <f t="shared" si="311"/>
        <v>695000</v>
      </c>
      <c r="UM168" s="131">
        <f t="shared" si="277"/>
        <v>695000</v>
      </c>
      <c r="UN168" s="131">
        <f t="shared" si="278"/>
        <v>695000</v>
      </c>
      <c r="UO168" s="131">
        <f t="shared" si="279"/>
        <v>505000</v>
      </c>
      <c r="UP168" s="132">
        <f t="shared" si="280"/>
        <v>505000</v>
      </c>
      <c r="UQ168" s="132">
        <f t="shared" si="281"/>
        <v>0</v>
      </c>
      <c r="UR168" s="132">
        <f t="shared" si="282"/>
        <v>0</v>
      </c>
      <c r="US168" s="132">
        <f t="shared" si="283"/>
        <v>0</v>
      </c>
      <c r="UT168" s="131">
        <f t="shared" si="284"/>
        <v>190000</v>
      </c>
      <c r="UU168" s="131">
        <f t="shared" si="285"/>
        <v>30000</v>
      </c>
      <c r="UV168" s="132">
        <f t="shared" si="286"/>
        <v>0</v>
      </c>
      <c r="UW168" s="132">
        <f t="shared" si="287"/>
        <v>30000</v>
      </c>
      <c r="UX168" s="132">
        <f t="shared" si="288"/>
        <v>0</v>
      </c>
      <c r="UY168" s="132">
        <f t="shared" si="289"/>
        <v>3000</v>
      </c>
      <c r="UZ168" s="132">
        <f t="shared" si="290"/>
        <v>1000</v>
      </c>
      <c r="VA168" s="132">
        <f t="shared" si="291"/>
        <v>10000</v>
      </c>
      <c r="VB168" s="131">
        <f t="shared" si="292"/>
        <v>146000</v>
      </c>
      <c r="VC168" s="132">
        <f t="shared" si="293"/>
        <v>20000</v>
      </c>
      <c r="VD168" s="132">
        <f t="shared" si="294"/>
        <v>2000</v>
      </c>
      <c r="VE168" s="132">
        <f t="shared" si="295"/>
        <v>0</v>
      </c>
      <c r="VF168" s="132">
        <f t="shared" si="296"/>
        <v>0</v>
      </c>
      <c r="VG168" s="132">
        <f t="shared" si="297"/>
        <v>0</v>
      </c>
      <c r="VH168" s="132">
        <f t="shared" si="298"/>
        <v>100000</v>
      </c>
      <c r="VI168" s="132">
        <f t="shared" si="299"/>
        <v>0</v>
      </c>
      <c r="VJ168" s="132">
        <f t="shared" si="300"/>
        <v>0</v>
      </c>
      <c r="VK168" s="132">
        <f t="shared" si="301"/>
        <v>0</v>
      </c>
      <c r="VL168" s="132">
        <f t="shared" si="302"/>
        <v>24000</v>
      </c>
      <c r="VM168" s="132">
        <f t="shared" si="303"/>
        <v>0</v>
      </c>
      <c r="VN168" s="132">
        <f t="shared" si="304"/>
        <v>0</v>
      </c>
      <c r="VP168" s="845" t="str">
        <f>IFERROR(HLOOKUP(F168,'Hodnocení '!$C$1:$JH$5,2,FALSE),0)</f>
        <v>Domov sv. Josefa v Žirči u Dvora Králové n. Labem, středisko OCHČK</v>
      </c>
      <c r="VQ168" s="838"/>
      <c r="VR168" s="845" t="str">
        <f t="shared" si="312"/>
        <v>Církve a náboženské společnosti</v>
      </c>
      <c r="VS168" s="845" t="str">
        <f>IFERROR(HLOOKUP(F168,'Hodnocení '!$C$1:$JH$5,5,FALSE),0)</f>
        <v>NZO</v>
      </c>
      <c r="VT168" s="838">
        <f t="shared" si="313"/>
        <v>0</v>
      </c>
      <c r="VU168" s="838">
        <f t="shared" si="314"/>
        <v>0</v>
      </c>
      <c r="VV168" s="838">
        <f t="shared" si="315"/>
        <v>125000</v>
      </c>
      <c r="VW168" s="838">
        <f t="shared" si="316"/>
        <v>0</v>
      </c>
      <c r="VX168" s="838"/>
      <c r="VY168" s="838">
        <f t="shared" si="317"/>
        <v>0</v>
      </c>
      <c r="VZ168" s="838">
        <f t="shared" si="318"/>
        <v>695000</v>
      </c>
      <c r="WA168" s="846">
        <f>IFERROR(HLOOKUP($F168,'Hodnocení '!$C$1:$JH$9,9,FALSE),0)</f>
        <v>695000</v>
      </c>
      <c r="WB168" s="846">
        <f>IF(IFERROR(HLOOKUP($F168,'Hodnocení '!$C$1:$JH$13,13,FALSE),0)&gt;WA168,WA168,IFERROR(HLOOKUP($F168,'Hodnocení '!$C$1:$JH$13,13,FALSE),0))</f>
        <v>212096.63819068708</v>
      </c>
      <c r="WC168" s="846">
        <f>IFERROR(HLOOKUP($F168,'Hodnocení '!$C$1:$JH$155,155,FALSE),0)</f>
        <v>532260</v>
      </c>
      <c r="WD168" s="845"/>
      <c r="WE168" s="845"/>
      <c r="WF168" s="845" t="str">
        <f t="shared" si="305"/>
        <v>ANO</v>
      </c>
      <c r="WG168" s="849" t="str">
        <f t="shared" si="320"/>
        <v>Podpora služby je vyjádřena zařazením do sítě sociálních služeb v KHK a řešením financování služby</v>
      </c>
      <c r="WH168"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68" s="849" t="str">
        <f t="shared" si="320"/>
        <v>Návrh dotace je výsledkem projednání s ostatními zadavateli v rámci sítě služeb KHK</v>
      </c>
      <c r="WJ168" s="849" t="str">
        <f t="shared" si="320"/>
        <v>Bez komentáře</v>
      </c>
      <c r="WK168" s="31">
        <f t="shared" si="306"/>
        <v>0</v>
      </c>
      <c r="WL168" s="850">
        <f t="shared" si="307"/>
        <v>0</v>
      </c>
      <c r="WM168" s="849" t="str">
        <f t="shared" si="308"/>
        <v>V rámci sítě KHK se dlouhodobě řeší otázka navyšování úhrad a průběžně se monitoruje s vazbou na vykrytí vyrovnávací platby</v>
      </c>
      <c r="WN168" s="849">
        <f t="shared" si="309"/>
        <v>0</v>
      </c>
      <c r="WO168" s="849" t="str">
        <f t="shared" si="319"/>
        <v>bez komentáře</v>
      </c>
      <c r="WP168" s="849" t="str">
        <f t="shared" si="319"/>
        <v>bez komentáře</v>
      </c>
      <c r="WQ168" s="849" t="str">
        <f t="shared" si="319"/>
        <v>Konečná výše dotace z rozpočtu KHK bude řešena v návaznosti na řešení podílů jednotlivých zadavatelů.</v>
      </c>
      <c r="WR168" s="849" t="str">
        <f t="shared" si="319"/>
        <v>Konečná výše podpory ze stran obcí bude řešena v součinnosti s jednotlivými zadavateli v průběhu roku.</v>
      </c>
      <c r="WS168" s="849" t="str">
        <f t="shared" si="319"/>
        <v>bez komentáře</v>
      </c>
      <c r="WT168" s="849" t="str">
        <f t="shared" si="319"/>
        <v>bez komentáře</v>
      </c>
      <c r="WU168" s="845"/>
    </row>
    <row r="169" spans="1:619" s="128" customFormat="1" x14ac:dyDescent="0.25">
      <c r="A169" s="128" t="str">
        <f>VLOOKUP(F169,'Výpočet VP 2020'!$D$324:$I$588,6,FALSE)</f>
        <v>Je v síti</v>
      </c>
      <c r="B169" s="128" t="s">
        <v>760</v>
      </c>
      <c r="C169" s="128">
        <v>48623814</v>
      </c>
      <c r="D169" s="128" t="s">
        <v>761</v>
      </c>
      <c r="E169" s="128" t="s">
        <v>360</v>
      </c>
      <c r="F169" s="128">
        <v>7741294</v>
      </c>
      <c r="G169" s="128" t="s">
        <v>328</v>
      </c>
      <c r="H169" s="128" t="s">
        <v>218</v>
      </c>
      <c r="I169" s="128" t="s">
        <v>772</v>
      </c>
      <c r="J169" s="129">
        <v>40299</v>
      </c>
      <c r="L169" s="128" t="s">
        <v>220</v>
      </c>
      <c r="AP169" s="128" t="s">
        <v>773</v>
      </c>
      <c r="AQ169" s="128">
        <v>4</v>
      </c>
      <c r="AR169" s="128">
        <v>125</v>
      </c>
      <c r="AS169" s="128">
        <v>117</v>
      </c>
      <c r="AT169" s="128">
        <v>116</v>
      </c>
      <c r="AU169" s="128">
        <v>120</v>
      </c>
      <c r="BJ169" s="128">
        <v>3097</v>
      </c>
      <c r="BL169" s="128" t="s">
        <v>774</v>
      </c>
      <c r="BM169" s="128" t="s">
        <v>325</v>
      </c>
      <c r="BN169" s="128" t="s">
        <v>775</v>
      </c>
      <c r="BO169" s="128">
        <v>0</v>
      </c>
      <c r="BP169" s="128">
        <v>0</v>
      </c>
      <c r="BQ169" s="128">
        <v>0</v>
      </c>
      <c r="BR169" s="128">
        <v>0</v>
      </c>
      <c r="BS169" s="128">
        <v>0</v>
      </c>
      <c r="BT169" s="128">
        <v>14</v>
      </c>
      <c r="BU169" s="128">
        <v>29</v>
      </c>
      <c r="BV169" s="128">
        <v>2</v>
      </c>
      <c r="BW169" s="128">
        <v>0</v>
      </c>
      <c r="BX169" s="128">
        <v>71</v>
      </c>
      <c r="BY169" s="128">
        <v>14</v>
      </c>
      <c r="BZ169" s="128">
        <v>29</v>
      </c>
      <c r="CA169" s="128">
        <v>2</v>
      </c>
      <c r="CB169" s="128">
        <v>0</v>
      </c>
      <c r="CC169" s="128">
        <v>71</v>
      </c>
      <c r="CD169" s="128">
        <v>0</v>
      </c>
      <c r="CE169" s="128">
        <v>116</v>
      </c>
      <c r="CF169" s="128">
        <v>116</v>
      </c>
      <c r="CG169" s="128">
        <v>0</v>
      </c>
      <c r="CH169" s="128">
        <v>0</v>
      </c>
      <c r="CI169" s="128">
        <v>0</v>
      </c>
      <c r="CJ169" s="128">
        <v>0</v>
      </c>
      <c r="CK169" s="128">
        <v>0</v>
      </c>
      <c r="CL169" s="128">
        <v>0</v>
      </c>
      <c r="CM169" s="128">
        <v>16</v>
      </c>
      <c r="CN169" s="128">
        <v>31</v>
      </c>
      <c r="CO169" s="128">
        <v>2</v>
      </c>
      <c r="CP169" s="128">
        <v>1</v>
      </c>
      <c r="CQ169" s="128">
        <v>70</v>
      </c>
      <c r="CR169" s="128">
        <v>16</v>
      </c>
      <c r="CS169" s="128">
        <v>31</v>
      </c>
      <c r="CT169" s="128">
        <v>2</v>
      </c>
      <c r="CU169" s="128">
        <v>1</v>
      </c>
      <c r="CV169" s="128">
        <v>70</v>
      </c>
      <c r="CW169" s="128">
        <v>0</v>
      </c>
      <c r="CX169" s="128">
        <v>120</v>
      </c>
      <c r="CY169" s="128">
        <v>120</v>
      </c>
      <c r="CZ169" s="128">
        <v>0</v>
      </c>
      <c r="EK169" s="128">
        <v>1</v>
      </c>
      <c r="EL169" s="128">
        <v>1</v>
      </c>
      <c r="EM169" s="128">
        <v>1</v>
      </c>
      <c r="EN169" s="128">
        <v>652000</v>
      </c>
      <c r="EO169" s="128">
        <v>510000</v>
      </c>
      <c r="EP169" s="128">
        <v>4</v>
      </c>
      <c r="EQ169" s="128">
        <v>3.25</v>
      </c>
      <c r="ER169" s="128">
        <v>3.06</v>
      </c>
      <c r="ES169" s="128">
        <v>1255000</v>
      </c>
      <c r="ET169" s="128">
        <v>1035000</v>
      </c>
      <c r="FO169" s="128">
        <v>6</v>
      </c>
      <c r="FP169" s="128">
        <v>1.26</v>
      </c>
      <c r="FQ169" s="128">
        <v>1.26</v>
      </c>
      <c r="FR169" s="128">
        <v>465000</v>
      </c>
      <c r="FS169" s="128">
        <v>300000</v>
      </c>
      <c r="KG169" s="128">
        <v>0</v>
      </c>
      <c r="KI169" s="128">
        <v>4.25</v>
      </c>
      <c r="KJ169" s="128">
        <v>0</v>
      </c>
      <c r="KK169" s="128">
        <v>0</v>
      </c>
      <c r="KL169" s="128">
        <v>0</v>
      </c>
      <c r="KM169" s="128">
        <v>4.25</v>
      </c>
      <c r="KN169" s="128">
        <v>2372000</v>
      </c>
      <c r="KO169" s="128">
        <v>1845000</v>
      </c>
      <c r="KP169" s="128">
        <v>1845000</v>
      </c>
      <c r="KT169" s="128">
        <v>0</v>
      </c>
      <c r="KU169" s="128">
        <v>0</v>
      </c>
      <c r="KV169" s="128">
        <v>0</v>
      </c>
      <c r="KZ169" s="128">
        <v>0</v>
      </c>
      <c r="LA169" s="128">
        <v>0</v>
      </c>
      <c r="LB169" s="128">
        <v>0</v>
      </c>
      <c r="LF169" s="128">
        <v>55000</v>
      </c>
      <c r="LG169" s="128">
        <v>0</v>
      </c>
      <c r="LH169" s="128">
        <v>0</v>
      </c>
      <c r="LL169" s="128">
        <v>0</v>
      </c>
      <c r="LM169" s="128">
        <v>0</v>
      </c>
      <c r="LN169" s="128">
        <v>0</v>
      </c>
      <c r="LR169" s="128">
        <v>40000</v>
      </c>
      <c r="LS169" s="128">
        <v>10000</v>
      </c>
      <c r="LT169" s="128">
        <v>10000</v>
      </c>
      <c r="LX169" s="128">
        <v>0</v>
      </c>
      <c r="LY169" s="128">
        <v>0</v>
      </c>
      <c r="LZ169" s="128">
        <v>0</v>
      </c>
      <c r="MD169" s="128">
        <v>8000</v>
      </c>
      <c r="ME169" s="128">
        <v>0</v>
      </c>
      <c r="MF169" s="128">
        <v>0</v>
      </c>
      <c r="MJ169" s="128">
        <v>60000</v>
      </c>
      <c r="MK169" s="128">
        <v>30000</v>
      </c>
      <c r="ML169" s="128">
        <v>30000</v>
      </c>
      <c r="MP169" s="128">
        <v>20000</v>
      </c>
      <c r="MQ169" s="128">
        <v>10000</v>
      </c>
      <c r="MR169" s="128">
        <v>10000</v>
      </c>
      <c r="MV169" s="128">
        <v>92000</v>
      </c>
      <c r="MW169" s="128">
        <v>50000</v>
      </c>
      <c r="MX169" s="128">
        <v>50000</v>
      </c>
      <c r="NB169" s="128">
        <v>42000</v>
      </c>
      <c r="NC169" s="128">
        <v>0</v>
      </c>
      <c r="ND169" s="128">
        <v>0</v>
      </c>
      <c r="NH169" s="128">
        <v>73000</v>
      </c>
      <c r="NI169" s="128">
        <v>0</v>
      </c>
      <c r="NJ169" s="128">
        <v>0</v>
      </c>
      <c r="NN169" s="128">
        <v>0</v>
      </c>
      <c r="NO169" s="128">
        <v>0</v>
      </c>
      <c r="NP169" s="128">
        <v>0</v>
      </c>
      <c r="NT169" s="128">
        <v>5000</v>
      </c>
      <c r="NU169" s="128">
        <v>0</v>
      </c>
      <c r="NV169" s="128">
        <v>0</v>
      </c>
      <c r="NZ169" s="128">
        <v>30000</v>
      </c>
      <c r="OA169" s="128">
        <v>0</v>
      </c>
      <c r="OB169" s="128">
        <v>0</v>
      </c>
      <c r="OF169" s="128">
        <v>1000</v>
      </c>
      <c r="OG169" s="128">
        <v>0</v>
      </c>
      <c r="OH169" s="128">
        <v>0</v>
      </c>
      <c r="OL169" s="128">
        <v>0</v>
      </c>
      <c r="OM169" s="128">
        <v>0</v>
      </c>
      <c r="ON169" s="128">
        <v>0</v>
      </c>
      <c r="OR169" s="128">
        <v>0</v>
      </c>
      <c r="OS169" s="128">
        <v>0</v>
      </c>
      <c r="OT169" s="128">
        <v>0</v>
      </c>
      <c r="OX169" s="128">
        <v>40000</v>
      </c>
      <c r="OY169" s="128">
        <v>0</v>
      </c>
      <c r="OZ169" s="128">
        <v>0</v>
      </c>
      <c r="PD169" s="128">
        <v>60000</v>
      </c>
      <c r="PE169" s="128">
        <v>0</v>
      </c>
      <c r="PF169" s="128">
        <v>0</v>
      </c>
      <c r="PJ169" s="128">
        <v>361000</v>
      </c>
      <c r="PK169" s="128">
        <v>0</v>
      </c>
      <c r="PL169" s="128">
        <v>0</v>
      </c>
      <c r="PP169" s="128">
        <v>3259000</v>
      </c>
      <c r="PQ169" s="128">
        <v>1945000</v>
      </c>
      <c r="PR169" s="128">
        <v>1945000</v>
      </c>
      <c r="PS169" s="128">
        <v>100</v>
      </c>
      <c r="PT169" s="128">
        <v>100</v>
      </c>
      <c r="PV169" s="128">
        <v>1913563</v>
      </c>
      <c r="PX169" s="128">
        <v>1250000</v>
      </c>
      <c r="PY169" s="128">
        <v>1419144</v>
      </c>
      <c r="PZ169" s="128">
        <v>1945000</v>
      </c>
      <c r="QA169" s="128">
        <v>0</v>
      </c>
      <c r="QB169" s="128">
        <v>0</v>
      </c>
      <c r="QC169" s="128">
        <v>0</v>
      </c>
      <c r="QD169" s="128">
        <v>0</v>
      </c>
      <c r="QE169" s="128">
        <v>0</v>
      </c>
      <c r="QF169" s="128">
        <v>0</v>
      </c>
      <c r="QG169" s="128">
        <v>0</v>
      </c>
      <c r="QH169" s="128">
        <v>0</v>
      </c>
      <c r="QI169" s="128">
        <v>0</v>
      </c>
      <c r="QJ169" s="128">
        <v>431686</v>
      </c>
      <c r="QK169" s="128">
        <v>451000</v>
      </c>
      <c r="QL169" s="128">
        <v>455000</v>
      </c>
      <c r="QN169" s="128">
        <v>0</v>
      </c>
      <c r="QO169" s="128">
        <v>0</v>
      </c>
      <c r="QP169" s="128">
        <v>0</v>
      </c>
      <c r="QU169" s="128">
        <v>79800</v>
      </c>
      <c r="QV169" s="128">
        <v>101000</v>
      </c>
      <c r="QW169" s="128">
        <v>0</v>
      </c>
      <c r="QX169" s="128">
        <v>700000</v>
      </c>
      <c r="QY169" s="128">
        <v>720000</v>
      </c>
      <c r="QZ169" s="128">
        <v>720000</v>
      </c>
      <c r="RD169" s="128">
        <v>188793</v>
      </c>
      <c r="RE169" s="128">
        <v>111000</v>
      </c>
      <c r="RF169" s="128">
        <v>139000</v>
      </c>
      <c r="RH169" s="128">
        <f t="shared" si="310"/>
        <v>2804000</v>
      </c>
      <c r="RI169" s="128">
        <v>0</v>
      </c>
      <c r="RM169" s="128" t="s">
        <v>220</v>
      </c>
      <c r="RU169" s="130"/>
      <c r="RV169" s="130"/>
      <c r="RW169" s="130"/>
      <c r="RX169" s="130"/>
      <c r="SF169" s="128">
        <f t="shared" si="220"/>
        <v>7741294</v>
      </c>
      <c r="SG169" s="131">
        <f t="shared" si="221"/>
        <v>3259000</v>
      </c>
      <c r="SH169" s="131">
        <f t="shared" si="222"/>
        <v>3259000</v>
      </c>
      <c r="SI169" s="131">
        <f t="shared" si="223"/>
        <v>2427000</v>
      </c>
      <c r="SJ169" s="132">
        <f t="shared" si="224"/>
        <v>2372000</v>
      </c>
      <c r="SK169" s="132">
        <f t="shared" si="225"/>
        <v>0</v>
      </c>
      <c r="SL169" s="132">
        <f t="shared" si="226"/>
        <v>0</v>
      </c>
      <c r="SM169" s="132">
        <f t="shared" si="227"/>
        <v>55000</v>
      </c>
      <c r="SN169" s="131">
        <f t="shared" si="228"/>
        <v>832000</v>
      </c>
      <c r="SO169" s="131">
        <f t="shared" si="229"/>
        <v>40000</v>
      </c>
      <c r="SP169" s="132">
        <f t="shared" si="230"/>
        <v>0</v>
      </c>
      <c r="SQ169" s="132">
        <f t="shared" si="231"/>
        <v>40000</v>
      </c>
      <c r="SR169" s="132">
        <f t="shared" si="232"/>
        <v>0</v>
      </c>
      <c r="SS169" s="132">
        <f t="shared" si="233"/>
        <v>8000</v>
      </c>
      <c r="ST169" s="132">
        <f t="shared" si="234"/>
        <v>60000</v>
      </c>
      <c r="SU169" s="132">
        <f t="shared" si="235"/>
        <v>20000</v>
      </c>
      <c r="SV169" s="131">
        <f t="shared" si="236"/>
        <v>283000</v>
      </c>
      <c r="SW169" s="132">
        <f t="shared" si="237"/>
        <v>92000</v>
      </c>
      <c r="SX169" s="132">
        <f t="shared" si="238"/>
        <v>42000</v>
      </c>
      <c r="SY169" s="132">
        <f t="shared" si="239"/>
        <v>73000</v>
      </c>
      <c r="SZ169" s="132">
        <f t="shared" si="240"/>
        <v>0</v>
      </c>
      <c r="TA169" s="132">
        <f t="shared" si="241"/>
        <v>5000</v>
      </c>
      <c r="TB169" s="132">
        <f t="shared" si="242"/>
        <v>30000</v>
      </c>
      <c r="TC169" s="132">
        <f t="shared" si="243"/>
        <v>1000</v>
      </c>
      <c r="TD169" s="132">
        <f t="shared" si="244"/>
        <v>0</v>
      </c>
      <c r="TE169" s="132">
        <f t="shared" si="245"/>
        <v>0</v>
      </c>
      <c r="TF169" s="132">
        <f t="shared" si="246"/>
        <v>40000</v>
      </c>
      <c r="TG169" s="132">
        <f t="shared" si="247"/>
        <v>60000</v>
      </c>
      <c r="TH169" s="132">
        <f t="shared" si="248"/>
        <v>361000</v>
      </c>
      <c r="TI169" s="1"/>
      <c r="TJ169" s="131">
        <f t="shared" si="249"/>
        <v>1945000</v>
      </c>
      <c r="TK169" s="131">
        <f t="shared" si="250"/>
        <v>1945000</v>
      </c>
      <c r="TL169" s="131">
        <f t="shared" si="251"/>
        <v>1845000</v>
      </c>
      <c r="TM169" s="132">
        <f t="shared" si="252"/>
        <v>1845000</v>
      </c>
      <c r="TN169" s="132">
        <f t="shared" si="253"/>
        <v>0</v>
      </c>
      <c r="TO169" s="132">
        <f t="shared" si="254"/>
        <v>0</v>
      </c>
      <c r="TP169" s="132">
        <f t="shared" si="255"/>
        <v>0</v>
      </c>
      <c r="TQ169" s="131">
        <f t="shared" si="256"/>
        <v>100000</v>
      </c>
      <c r="TR169" s="131">
        <f t="shared" si="257"/>
        <v>10000</v>
      </c>
      <c r="TS169" s="132">
        <f t="shared" si="258"/>
        <v>0</v>
      </c>
      <c r="TT169" s="132">
        <f t="shared" si="259"/>
        <v>10000</v>
      </c>
      <c r="TU169" s="132">
        <f t="shared" si="260"/>
        <v>0</v>
      </c>
      <c r="TV169" s="132">
        <f t="shared" si="261"/>
        <v>0</v>
      </c>
      <c r="TW169" s="132">
        <f t="shared" si="262"/>
        <v>30000</v>
      </c>
      <c r="TX169" s="132">
        <f t="shared" si="263"/>
        <v>10000</v>
      </c>
      <c r="TY169" s="131">
        <f t="shared" si="264"/>
        <v>50000</v>
      </c>
      <c r="TZ169" s="132">
        <f t="shared" si="265"/>
        <v>50000</v>
      </c>
      <c r="UA169" s="132">
        <f t="shared" si="266"/>
        <v>0</v>
      </c>
      <c r="UB169" s="132">
        <f t="shared" si="267"/>
        <v>0</v>
      </c>
      <c r="UC169" s="132">
        <f t="shared" si="268"/>
        <v>0</v>
      </c>
      <c r="UD169" s="132">
        <f t="shared" si="269"/>
        <v>0</v>
      </c>
      <c r="UE169" s="132">
        <f t="shared" si="270"/>
        <v>0</v>
      </c>
      <c r="UF169" s="132">
        <f t="shared" si="271"/>
        <v>0</v>
      </c>
      <c r="UG169" s="132">
        <f t="shared" si="272"/>
        <v>0</v>
      </c>
      <c r="UH169" s="132">
        <f t="shared" si="273"/>
        <v>0</v>
      </c>
      <c r="UI169" s="132">
        <f t="shared" si="274"/>
        <v>0</v>
      </c>
      <c r="UJ169" s="132">
        <f t="shared" si="275"/>
        <v>0</v>
      </c>
      <c r="UK169" s="132">
        <f t="shared" si="276"/>
        <v>0</v>
      </c>
      <c r="UL169" s="132">
        <f t="shared" si="311"/>
        <v>1945000</v>
      </c>
      <c r="UM169" s="131">
        <f t="shared" si="277"/>
        <v>1945000</v>
      </c>
      <c r="UN169" s="131">
        <f t="shared" si="278"/>
        <v>1945000</v>
      </c>
      <c r="UO169" s="131">
        <f t="shared" si="279"/>
        <v>1845000</v>
      </c>
      <c r="UP169" s="132">
        <f t="shared" si="280"/>
        <v>1845000</v>
      </c>
      <c r="UQ169" s="132">
        <f t="shared" si="281"/>
        <v>0</v>
      </c>
      <c r="UR169" s="132">
        <f t="shared" si="282"/>
        <v>0</v>
      </c>
      <c r="US169" s="132">
        <f t="shared" si="283"/>
        <v>0</v>
      </c>
      <c r="UT169" s="131">
        <f t="shared" si="284"/>
        <v>100000</v>
      </c>
      <c r="UU169" s="131">
        <f t="shared" si="285"/>
        <v>10000</v>
      </c>
      <c r="UV169" s="132">
        <f t="shared" si="286"/>
        <v>0</v>
      </c>
      <c r="UW169" s="132">
        <f t="shared" si="287"/>
        <v>10000</v>
      </c>
      <c r="UX169" s="132">
        <f t="shared" si="288"/>
        <v>0</v>
      </c>
      <c r="UY169" s="132">
        <f t="shared" si="289"/>
        <v>0</v>
      </c>
      <c r="UZ169" s="132">
        <f t="shared" si="290"/>
        <v>30000</v>
      </c>
      <c r="VA169" s="132">
        <f t="shared" si="291"/>
        <v>10000</v>
      </c>
      <c r="VB169" s="131">
        <f t="shared" si="292"/>
        <v>50000</v>
      </c>
      <c r="VC169" s="132">
        <f t="shared" si="293"/>
        <v>50000</v>
      </c>
      <c r="VD169" s="132">
        <f t="shared" si="294"/>
        <v>0</v>
      </c>
      <c r="VE169" s="132">
        <f t="shared" si="295"/>
        <v>0</v>
      </c>
      <c r="VF169" s="132">
        <f t="shared" si="296"/>
        <v>0</v>
      </c>
      <c r="VG169" s="132">
        <f t="shared" si="297"/>
        <v>0</v>
      </c>
      <c r="VH169" s="132">
        <f t="shared" si="298"/>
        <v>0</v>
      </c>
      <c r="VI169" s="132">
        <f t="shared" si="299"/>
        <v>0</v>
      </c>
      <c r="VJ169" s="132">
        <f t="shared" si="300"/>
        <v>0</v>
      </c>
      <c r="VK169" s="132">
        <f t="shared" si="301"/>
        <v>0</v>
      </c>
      <c r="VL169" s="132">
        <f t="shared" si="302"/>
        <v>0</v>
      </c>
      <c r="VM169" s="132">
        <f t="shared" si="303"/>
        <v>0</v>
      </c>
      <c r="VN169" s="132">
        <f t="shared" si="304"/>
        <v>0</v>
      </c>
      <c r="VP169" s="845" t="str">
        <f>IFERROR(HLOOKUP(F169,'Hodnocení '!$C$1:$JH$5,2,FALSE),0)</f>
        <v>Charitní pečovatelská služba Hostinné</v>
      </c>
      <c r="VQ169" s="838"/>
      <c r="VR169" s="845" t="str">
        <f t="shared" si="312"/>
        <v>Církve a náboženské společnosti</v>
      </c>
      <c r="VS169" s="845" t="str">
        <f>IFERROR(HLOOKUP(F169,'Hodnocení '!$C$1:$JH$5,5,FALSE),0)</f>
        <v>NZO</v>
      </c>
      <c r="VT169" s="838">
        <f t="shared" si="313"/>
        <v>0</v>
      </c>
      <c r="VU169" s="838">
        <f t="shared" si="314"/>
        <v>0</v>
      </c>
      <c r="VV169" s="838">
        <f t="shared" si="315"/>
        <v>455000</v>
      </c>
      <c r="VW169" s="838">
        <f t="shared" si="316"/>
        <v>0</v>
      </c>
      <c r="VX169" s="838"/>
      <c r="VY169" s="838">
        <f t="shared" si="317"/>
        <v>0</v>
      </c>
      <c r="VZ169" s="838">
        <f t="shared" si="318"/>
        <v>1945000</v>
      </c>
      <c r="WA169" s="846">
        <f>IFERROR(HLOOKUP($F169,'Hodnocení '!$C$1:$JH$9,9,FALSE),0)</f>
        <v>1945000</v>
      </c>
      <c r="WB169" s="846">
        <f>IF(IFERROR(HLOOKUP($F169,'Hodnocení '!$C$1:$JH$13,13,FALSE),0)&gt;WA169,WA169,IFERROR(HLOOKUP($F169,'Hodnocení '!$C$1:$JH$13,13,FALSE),0))</f>
        <v>1945000</v>
      </c>
      <c r="WC169" s="846">
        <f>IFERROR(HLOOKUP($F169,'Hodnocení '!$C$1:$JH$155,155,FALSE),0)</f>
        <v>1520140</v>
      </c>
      <c r="WD169" s="845"/>
      <c r="WE169" s="845"/>
      <c r="WF169" s="845" t="str">
        <f t="shared" si="305"/>
        <v>ANO</v>
      </c>
      <c r="WG169" s="849" t="str">
        <f t="shared" si="320"/>
        <v>Podpora služby je vyjádřena zařazením do sítě sociálních služeb v KHK a řešením financování služby</v>
      </c>
      <c r="WH169"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69" s="849" t="str">
        <f t="shared" si="320"/>
        <v>Návrh dotace je výsledkem projednání s ostatními zadavateli v rámci sítě služeb KHK</v>
      </c>
      <c r="WJ169" s="849" t="str">
        <f t="shared" si="320"/>
        <v>Bez komentáře</v>
      </c>
      <c r="WK169" s="31">
        <f t="shared" si="306"/>
        <v>0</v>
      </c>
      <c r="WL169" s="850">
        <f t="shared" si="307"/>
        <v>0</v>
      </c>
      <c r="WM169" s="849" t="str">
        <f t="shared" si="308"/>
        <v>V rámci sítě KHK se dlouhodobě řeší otázka navyšování úhrad a průběžně se monitoruje s vazbou na vykrytí vyrovnávací platby</v>
      </c>
      <c r="WN169" s="849">
        <f t="shared" si="309"/>
        <v>0</v>
      </c>
      <c r="WO169" s="849" t="str">
        <f t="shared" si="319"/>
        <v>bez komentáře</v>
      </c>
      <c r="WP169" s="849" t="str">
        <f t="shared" si="319"/>
        <v>bez komentáře</v>
      </c>
      <c r="WQ169" s="849" t="str">
        <f t="shared" si="319"/>
        <v>Konečná výše dotace z rozpočtu KHK bude řešena v návaznosti na řešení podílů jednotlivých zadavatelů.</v>
      </c>
      <c r="WR169" s="849" t="str">
        <f t="shared" si="319"/>
        <v>Konečná výše podpory ze stran obcí bude řešena v součinnosti s jednotlivými zadavateli v průběhu roku.</v>
      </c>
      <c r="WS169" s="849" t="str">
        <f t="shared" si="319"/>
        <v>bez komentáře</v>
      </c>
      <c r="WT169" s="849" t="str">
        <f t="shared" si="319"/>
        <v>bez komentáře</v>
      </c>
      <c r="WU169" s="845"/>
    </row>
    <row r="170" spans="1:619" s="128" customFormat="1" x14ac:dyDescent="0.25">
      <c r="A170" s="128" t="str">
        <f>VLOOKUP(F170,'Výpočet VP 2020'!$D$324:$I$588,6,FALSE)</f>
        <v>Je v síti</v>
      </c>
      <c r="B170" s="128" t="s">
        <v>776</v>
      </c>
      <c r="C170" s="128">
        <v>45979855</v>
      </c>
      <c r="D170" s="128" t="s">
        <v>777</v>
      </c>
      <c r="E170" s="128" t="s">
        <v>360</v>
      </c>
      <c r="F170" s="128">
        <v>1236570</v>
      </c>
      <c r="G170" s="128" t="s">
        <v>705</v>
      </c>
      <c r="H170" s="128" t="s">
        <v>230</v>
      </c>
      <c r="I170" s="128" t="s">
        <v>778</v>
      </c>
      <c r="J170" s="129">
        <v>39083</v>
      </c>
      <c r="L170" s="128" t="s">
        <v>220</v>
      </c>
      <c r="M170" s="128" t="s">
        <v>479</v>
      </c>
      <c r="N170" s="128">
        <v>64</v>
      </c>
      <c r="P170" s="128">
        <v>120</v>
      </c>
      <c r="Q170" s="128">
        <v>128</v>
      </c>
      <c r="R170" s="128">
        <v>128</v>
      </c>
      <c r="BL170" s="128" t="s">
        <v>779</v>
      </c>
      <c r="BM170" s="128" t="s">
        <v>702</v>
      </c>
      <c r="BN170" s="128" t="s">
        <v>364</v>
      </c>
      <c r="EK170" s="128">
        <v>4</v>
      </c>
      <c r="EL170" s="128">
        <v>4</v>
      </c>
      <c r="EM170" s="128">
        <v>3.3580000000000001</v>
      </c>
      <c r="EN170" s="128">
        <v>2154720</v>
      </c>
      <c r="EO170" s="128">
        <v>500000</v>
      </c>
      <c r="EP170" s="128">
        <v>12</v>
      </c>
      <c r="EQ170" s="128">
        <v>12</v>
      </c>
      <c r="ER170" s="128">
        <v>10.51</v>
      </c>
      <c r="ES170" s="128">
        <v>5676240</v>
      </c>
      <c r="ET170" s="128">
        <v>890000</v>
      </c>
      <c r="FJ170" s="128">
        <v>1</v>
      </c>
      <c r="FK170" s="128">
        <v>1</v>
      </c>
      <c r="FL170" s="128">
        <v>1.5660000000000001</v>
      </c>
      <c r="FM170" s="128">
        <v>498480</v>
      </c>
      <c r="FN170" s="128">
        <v>0</v>
      </c>
      <c r="FO170" s="128">
        <v>14</v>
      </c>
      <c r="FP170" s="128">
        <v>3.3</v>
      </c>
      <c r="FQ170" s="128">
        <v>3.13</v>
      </c>
      <c r="FR170" s="128">
        <v>1956936</v>
      </c>
      <c r="FS170" s="128">
        <v>0</v>
      </c>
      <c r="IN170" s="128">
        <v>2</v>
      </c>
      <c r="IO170" s="128">
        <v>500</v>
      </c>
      <c r="IP170" s="128">
        <v>0.23899999999999999</v>
      </c>
      <c r="IQ170" s="128">
        <v>50000</v>
      </c>
      <c r="IR170" s="128">
        <v>0</v>
      </c>
      <c r="KG170" s="128">
        <v>24</v>
      </c>
      <c r="KH170" s="128">
        <v>318</v>
      </c>
      <c r="KI170" s="128">
        <v>17</v>
      </c>
      <c r="KJ170" s="128">
        <v>0</v>
      </c>
      <c r="KK170" s="128">
        <v>0.23899999999999999</v>
      </c>
      <c r="KL170" s="128">
        <v>0</v>
      </c>
      <c r="KM170" s="128">
        <v>17.239000000000001</v>
      </c>
      <c r="KN170" s="128">
        <v>10286376</v>
      </c>
      <c r="KO170" s="128">
        <v>1390000</v>
      </c>
      <c r="KP170" s="128">
        <v>1390000</v>
      </c>
      <c r="KT170" s="128">
        <v>0</v>
      </c>
      <c r="KU170" s="128">
        <v>0</v>
      </c>
      <c r="KV170" s="128">
        <v>0</v>
      </c>
      <c r="KZ170" s="128">
        <v>50000</v>
      </c>
      <c r="LA170" s="128">
        <v>0</v>
      </c>
      <c r="LB170" s="128">
        <v>0</v>
      </c>
      <c r="LF170" s="128">
        <v>305000</v>
      </c>
      <c r="LG170" s="128">
        <v>0</v>
      </c>
      <c r="LH170" s="128">
        <v>0</v>
      </c>
      <c r="LL170" s="128">
        <v>25000</v>
      </c>
      <c r="LM170" s="128">
        <v>0</v>
      </c>
      <c r="LN170" s="128">
        <v>0</v>
      </c>
      <c r="LR170" s="128">
        <v>75000</v>
      </c>
      <c r="LS170" s="128">
        <v>0</v>
      </c>
      <c r="LT170" s="128">
        <v>0</v>
      </c>
      <c r="LX170" s="128">
        <v>20000</v>
      </c>
      <c r="LY170" s="128">
        <v>0</v>
      </c>
      <c r="LZ170" s="128">
        <v>0</v>
      </c>
      <c r="MD170" s="128">
        <v>60000</v>
      </c>
      <c r="ME170" s="128">
        <v>0</v>
      </c>
      <c r="MF170" s="128">
        <v>0</v>
      </c>
      <c r="MJ170" s="128">
        <v>40000</v>
      </c>
      <c r="MK170" s="128">
        <v>0</v>
      </c>
      <c r="ML170" s="128">
        <v>0</v>
      </c>
      <c r="MP170" s="128">
        <v>165000</v>
      </c>
      <c r="MQ170" s="128">
        <v>0</v>
      </c>
      <c r="MR170" s="128">
        <v>0</v>
      </c>
      <c r="MV170" s="128">
        <v>870000</v>
      </c>
      <c r="MW170" s="128">
        <v>0</v>
      </c>
      <c r="MX170" s="128">
        <v>0</v>
      </c>
      <c r="NB170" s="128">
        <v>39000</v>
      </c>
      <c r="NC170" s="128">
        <v>0</v>
      </c>
      <c r="ND170" s="128">
        <v>0</v>
      </c>
      <c r="NH170" s="128">
        <v>708300</v>
      </c>
      <c r="NI170" s="128">
        <v>0</v>
      </c>
      <c r="NJ170" s="128">
        <v>0</v>
      </c>
      <c r="NN170" s="128">
        <v>440000</v>
      </c>
      <c r="NO170" s="128">
        <v>0</v>
      </c>
      <c r="NP170" s="128">
        <v>0</v>
      </c>
      <c r="NT170" s="128">
        <v>140000</v>
      </c>
      <c r="NU170" s="128">
        <v>0</v>
      </c>
      <c r="NV170" s="128">
        <v>0</v>
      </c>
      <c r="NZ170" s="128">
        <v>145000</v>
      </c>
      <c r="OA170" s="128">
        <v>0</v>
      </c>
      <c r="OB170" s="128">
        <v>0</v>
      </c>
      <c r="OF170" s="128">
        <v>10000</v>
      </c>
      <c r="OG170" s="128">
        <v>0</v>
      </c>
      <c r="OH170" s="128">
        <v>0</v>
      </c>
      <c r="OL170" s="128">
        <v>0</v>
      </c>
      <c r="OM170" s="128">
        <v>0</v>
      </c>
      <c r="ON170" s="128">
        <v>0</v>
      </c>
      <c r="OR170" s="128">
        <v>0</v>
      </c>
      <c r="OS170" s="128">
        <v>0</v>
      </c>
      <c r="OT170" s="128">
        <v>0</v>
      </c>
      <c r="OX170" s="128">
        <v>170000</v>
      </c>
      <c r="OY170" s="128">
        <v>0</v>
      </c>
      <c r="OZ170" s="128">
        <v>0</v>
      </c>
      <c r="PD170" s="128">
        <v>25000</v>
      </c>
      <c r="PE170" s="128">
        <v>0</v>
      </c>
      <c r="PF170" s="128">
        <v>0</v>
      </c>
      <c r="PJ170" s="128">
        <v>35324</v>
      </c>
      <c r="PK170" s="128">
        <v>0</v>
      </c>
      <c r="PL170" s="128">
        <v>0</v>
      </c>
      <c r="PP170" s="128">
        <v>13609000</v>
      </c>
      <c r="PQ170" s="128">
        <v>1390000</v>
      </c>
      <c r="PR170" s="128">
        <v>1390000</v>
      </c>
      <c r="PS170" s="128">
        <v>100</v>
      </c>
      <c r="PT170" s="128">
        <v>100</v>
      </c>
      <c r="PX170" s="128">
        <v>1953088</v>
      </c>
      <c r="PY170" s="128">
        <v>900000</v>
      </c>
      <c r="PZ170" s="128">
        <v>1390000</v>
      </c>
      <c r="QA170" s="128">
        <v>0</v>
      </c>
      <c r="QB170" s="128">
        <v>126000</v>
      </c>
      <c r="QC170" s="128">
        <v>90000</v>
      </c>
      <c r="QD170" s="128">
        <v>0</v>
      </c>
      <c r="QE170" s="128">
        <v>0</v>
      </c>
      <c r="QF170" s="128">
        <v>0</v>
      </c>
      <c r="QG170" s="128">
        <v>0</v>
      </c>
      <c r="QH170" s="128">
        <v>0</v>
      </c>
      <c r="QI170" s="128">
        <v>0</v>
      </c>
      <c r="QJ170" s="128">
        <v>1522040</v>
      </c>
      <c r="QK170" s="128">
        <v>1500000</v>
      </c>
      <c r="QL170" s="128">
        <v>1505256</v>
      </c>
      <c r="QN170" s="128">
        <v>0</v>
      </c>
      <c r="QO170" s="128">
        <v>0</v>
      </c>
      <c r="QP170" s="128">
        <v>0</v>
      </c>
      <c r="QX170" s="128">
        <v>1703000</v>
      </c>
      <c r="QY170" s="128">
        <v>1830000</v>
      </c>
      <c r="QZ170" s="128">
        <v>1930000</v>
      </c>
      <c r="RA170" s="128">
        <v>0</v>
      </c>
      <c r="RB170" s="128">
        <v>95382</v>
      </c>
      <c r="RC170" s="128">
        <v>156324</v>
      </c>
      <c r="RD170" s="128">
        <v>6111552</v>
      </c>
      <c r="RE170" s="128">
        <v>7324486</v>
      </c>
      <c r="RF170" s="128">
        <v>8537420</v>
      </c>
      <c r="RH170" s="128">
        <f t="shared" si="310"/>
        <v>12103744</v>
      </c>
      <c r="RI170" s="128">
        <v>0</v>
      </c>
      <c r="RM170" s="128" t="s">
        <v>220</v>
      </c>
      <c r="RU170" s="130"/>
      <c r="RV170" s="130"/>
      <c r="RW170" s="130"/>
      <c r="RX170" s="130"/>
      <c r="SF170" s="128">
        <f t="shared" si="220"/>
        <v>1236570</v>
      </c>
      <c r="SG170" s="131">
        <f t="shared" si="221"/>
        <v>13609000</v>
      </c>
      <c r="SH170" s="131">
        <f t="shared" si="222"/>
        <v>13609000</v>
      </c>
      <c r="SI170" s="131">
        <f t="shared" si="223"/>
        <v>10641376</v>
      </c>
      <c r="SJ170" s="132">
        <f t="shared" si="224"/>
        <v>10286376</v>
      </c>
      <c r="SK170" s="132">
        <f t="shared" si="225"/>
        <v>0</v>
      </c>
      <c r="SL170" s="132">
        <f t="shared" si="226"/>
        <v>50000</v>
      </c>
      <c r="SM170" s="132">
        <f t="shared" si="227"/>
        <v>305000</v>
      </c>
      <c r="SN170" s="131">
        <f t="shared" si="228"/>
        <v>2967624</v>
      </c>
      <c r="SO170" s="131">
        <f t="shared" si="229"/>
        <v>100000</v>
      </c>
      <c r="SP170" s="132">
        <f t="shared" si="230"/>
        <v>25000</v>
      </c>
      <c r="SQ170" s="132">
        <f t="shared" si="231"/>
        <v>75000</v>
      </c>
      <c r="SR170" s="132">
        <f t="shared" si="232"/>
        <v>20000</v>
      </c>
      <c r="SS170" s="132">
        <f t="shared" si="233"/>
        <v>60000</v>
      </c>
      <c r="ST170" s="132">
        <f t="shared" si="234"/>
        <v>40000</v>
      </c>
      <c r="SU170" s="132">
        <f t="shared" si="235"/>
        <v>165000</v>
      </c>
      <c r="SV170" s="131">
        <f t="shared" si="236"/>
        <v>2522300</v>
      </c>
      <c r="SW170" s="132">
        <f t="shared" si="237"/>
        <v>870000</v>
      </c>
      <c r="SX170" s="132">
        <f t="shared" si="238"/>
        <v>39000</v>
      </c>
      <c r="SY170" s="132">
        <f t="shared" si="239"/>
        <v>708300</v>
      </c>
      <c r="SZ170" s="132">
        <f t="shared" si="240"/>
        <v>440000</v>
      </c>
      <c r="TA170" s="132">
        <f t="shared" si="241"/>
        <v>140000</v>
      </c>
      <c r="TB170" s="132">
        <f t="shared" si="242"/>
        <v>145000</v>
      </c>
      <c r="TC170" s="132">
        <f t="shared" si="243"/>
        <v>10000</v>
      </c>
      <c r="TD170" s="132">
        <f t="shared" si="244"/>
        <v>0</v>
      </c>
      <c r="TE170" s="132">
        <f t="shared" si="245"/>
        <v>0</v>
      </c>
      <c r="TF170" s="132">
        <f t="shared" si="246"/>
        <v>170000</v>
      </c>
      <c r="TG170" s="132">
        <f t="shared" si="247"/>
        <v>25000</v>
      </c>
      <c r="TH170" s="132">
        <f t="shared" si="248"/>
        <v>35324</v>
      </c>
      <c r="TI170" s="1"/>
      <c r="TJ170" s="131">
        <f t="shared" si="249"/>
        <v>1390000</v>
      </c>
      <c r="TK170" s="131">
        <f t="shared" si="250"/>
        <v>1390000</v>
      </c>
      <c r="TL170" s="131">
        <f t="shared" si="251"/>
        <v>1390000</v>
      </c>
      <c r="TM170" s="132">
        <f t="shared" si="252"/>
        <v>1390000</v>
      </c>
      <c r="TN170" s="132">
        <f t="shared" si="253"/>
        <v>0</v>
      </c>
      <c r="TO170" s="132">
        <f t="shared" si="254"/>
        <v>0</v>
      </c>
      <c r="TP170" s="132">
        <f t="shared" si="255"/>
        <v>0</v>
      </c>
      <c r="TQ170" s="131">
        <f t="shared" si="256"/>
        <v>0</v>
      </c>
      <c r="TR170" s="131">
        <f t="shared" si="257"/>
        <v>0</v>
      </c>
      <c r="TS170" s="132">
        <f t="shared" si="258"/>
        <v>0</v>
      </c>
      <c r="TT170" s="132">
        <f t="shared" si="259"/>
        <v>0</v>
      </c>
      <c r="TU170" s="132">
        <f t="shared" si="260"/>
        <v>0</v>
      </c>
      <c r="TV170" s="132">
        <f t="shared" si="261"/>
        <v>0</v>
      </c>
      <c r="TW170" s="132">
        <f t="shared" si="262"/>
        <v>0</v>
      </c>
      <c r="TX170" s="132">
        <f t="shared" si="263"/>
        <v>0</v>
      </c>
      <c r="TY170" s="131">
        <f t="shared" si="264"/>
        <v>0</v>
      </c>
      <c r="TZ170" s="132">
        <f t="shared" si="265"/>
        <v>0</v>
      </c>
      <c r="UA170" s="132">
        <f t="shared" si="266"/>
        <v>0</v>
      </c>
      <c r="UB170" s="132">
        <f t="shared" si="267"/>
        <v>0</v>
      </c>
      <c r="UC170" s="132">
        <f t="shared" si="268"/>
        <v>0</v>
      </c>
      <c r="UD170" s="132">
        <f t="shared" si="269"/>
        <v>0</v>
      </c>
      <c r="UE170" s="132">
        <f t="shared" si="270"/>
        <v>0</v>
      </c>
      <c r="UF170" s="132">
        <f t="shared" si="271"/>
        <v>0</v>
      </c>
      <c r="UG170" s="132">
        <f t="shared" si="272"/>
        <v>0</v>
      </c>
      <c r="UH170" s="132">
        <f t="shared" si="273"/>
        <v>0</v>
      </c>
      <c r="UI170" s="132">
        <f t="shared" si="274"/>
        <v>0</v>
      </c>
      <c r="UJ170" s="132">
        <f t="shared" si="275"/>
        <v>0</v>
      </c>
      <c r="UK170" s="132">
        <f t="shared" si="276"/>
        <v>0</v>
      </c>
      <c r="UL170" s="132">
        <f t="shared" si="311"/>
        <v>1390000</v>
      </c>
      <c r="UM170" s="131">
        <f t="shared" si="277"/>
        <v>1390000</v>
      </c>
      <c r="UN170" s="131">
        <f t="shared" si="278"/>
        <v>1390000</v>
      </c>
      <c r="UO170" s="131">
        <f t="shared" si="279"/>
        <v>1390000</v>
      </c>
      <c r="UP170" s="132">
        <f t="shared" si="280"/>
        <v>1390000</v>
      </c>
      <c r="UQ170" s="132">
        <f t="shared" si="281"/>
        <v>0</v>
      </c>
      <c r="UR170" s="132">
        <f t="shared" si="282"/>
        <v>0</v>
      </c>
      <c r="US170" s="132">
        <f t="shared" si="283"/>
        <v>0</v>
      </c>
      <c r="UT170" s="131">
        <f t="shared" si="284"/>
        <v>0</v>
      </c>
      <c r="UU170" s="131">
        <f t="shared" si="285"/>
        <v>0</v>
      </c>
      <c r="UV170" s="132">
        <f t="shared" si="286"/>
        <v>0</v>
      </c>
      <c r="UW170" s="132">
        <f t="shared" si="287"/>
        <v>0</v>
      </c>
      <c r="UX170" s="132">
        <f t="shared" si="288"/>
        <v>0</v>
      </c>
      <c r="UY170" s="132">
        <f t="shared" si="289"/>
        <v>0</v>
      </c>
      <c r="UZ170" s="132">
        <f t="shared" si="290"/>
        <v>0</v>
      </c>
      <c r="VA170" s="132">
        <f t="shared" si="291"/>
        <v>0</v>
      </c>
      <c r="VB170" s="131">
        <f t="shared" si="292"/>
        <v>0</v>
      </c>
      <c r="VC170" s="132">
        <f t="shared" si="293"/>
        <v>0</v>
      </c>
      <c r="VD170" s="132">
        <f t="shared" si="294"/>
        <v>0</v>
      </c>
      <c r="VE170" s="132">
        <f t="shared" si="295"/>
        <v>0</v>
      </c>
      <c r="VF170" s="132">
        <f t="shared" si="296"/>
        <v>0</v>
      </c>
      <c r="VG170" s="132">
        <f t="shared" si="297"/>
        <v>0</v>
      </c>
      <c r="VH170" s="132">
        <f t="shared" si="298"/>
        <v>0</v>
      </c>
      <c r="VI170" s="132">
        <f t="shared" si="299"/>
        <v>0</v>
      </c>
      <c r="VJ170" s="132">
        <f t="shared" si="300"/>
        <v>0</v>
      </c>
      <c r="VK170" s="132">
        <f t="shared" si="301"/>
        <v>0</v>
      </c>
      <c r="VL170" s="132">
        <f t="shared" si="302"/>
        <v>0</v>
      </c>
      <c r="VM170" s="132">
        <f t="shared" si="303"/>
        <v>0</v>
      </c>
      <c r="VN170" s="132">
        <f t="shared" si="304"/>
        <v>0</v>
      </c>
      <c r="VP170" s="845" t="str">
        <f>IFERROR(HLOOKUP(F170,'Hodnocení '!$C$1:$JH$5,2,FALSE),0)</f>
        <v>Domov pro matky s dětmi Hradec Králové</v>
      </c>
      <c r="VQ170" s="838"/>
      <c r="VR170" s="845" t="str">
        <f t="shared" si="312"/>
        <v>Církve a náboženské společnosti</v>
      </c>
      <c r="VS170" s="845" t="str">
        <f>IFERROR(HLOOKUP(F170,'Hodnocení '!$C$1:$JH$5,5,FALSE),0)</f>
        <v>NZO</v>
      </c>
      <c r="VT170" s="838">
        <f t="shared" si="313"/>
        <v>0</v>
      </c>
      <c r="VU170" s="838">
        <f t="shared" si="314"/>
        <v>0</v>
      </c>
      <c r="VV170" s="838">
        <f t="shared" si="315"/>
        <v>1505256</v>
      </c>
      <c r="VW170" s="838">
        <f t="shared" si="316"/>
        <v>0</v>
      </c>
      <c r="VX170" s="838"/>
      <c r="VY170" s="838">
        <f t="shared" si="317"/>
        <v>0</v>
      </c>
      <c r="VZ170" s="838">
        <f t="shared" si="318"/>
        <v>1390000</v>
      </c>
      <c r="WA170" s="846">
        <f>IFERROR(HLOOKUP($F170,'Hodnocení '!$C$1:$JH$9,9,FALSE),0)</f>
        <v>1390000</v>
      </c>
      <c r="WB170" s="846">
        <f>IF(IFERROR(HLOOKUP($F170,'Hodnocení '!$C$1:$JH$13,13,FALSE),0)&gt;WA170,WA170,IFERROR(HLOOKUP($F170,'Hodnocení '!$C$1:$JH$13,13,FALSE),0))</f>
        <v>1390000</v>
      </c>
      <c r="WC170" s="846">
        <f>IFERROR(HLOOKUP($F170,'Hodnocení '!$C$1:$JH$155,155,FALSE),0)</f>
        <v>257160</v>
      </c>
      <c r="WD170" s="845"/>
      <c r="WE170" s="845"/>
      <c r="WF170" s="845" t="str">
        <f t="shared" si="305"/>
        <v>ANO</v>
      </c>
      <c r="WG170" s="849" t="str">
        <f t="shared" si="320"/>
        <v>Podpora služby je vyjádřena zařazením do sítě sociálních služeb v KHK a řešením financování služby</v>
      </c>
      <c r="WH170"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70" s="849" t="str">
        <f t="shared" si="320"/>
        <v>Návrh dotace je výsledkem projednání s ostatními zadavateli v rámci sítě služeb KHK</v>
      </c>
      <c r="WJ170" s="849" t="str">
        <f t="shared" si="320"/>
        <v>Bez komentáře</v>
      </c>
      <c r="WK170" s="31">
        <f t="shared" si="306"/>
        <v>0</v>
      </c>
      <c r="WL170" s="850">
        <f t="shared" si="307"/>
        <v>0</v>
      </c>
      <c r="WM170" s="849" t="str">
        <f t="shared" si="308"/>
        <v>V rámci sítě KHK se dlouhodobě řeší otázka navyšování úhrad a průběžně se monitoruje s vazbou na vykrytí vyrovnávací platby</v>
      </c>
      <c r="WN170" s="849">
        <f t="shared" si="309"/>
        <v>0</v>
      </c>
      <c r="WO170" s="849" t="str">
        <f t="shared" si="319"/>
        <v>bez komentáře</v>
      </c>
      <c r="WP170" s="849" t="str">
        <f t="shared" si="319"/>
        <v>bez komentáře</v>
      </c>
      <c r="WQ170" s="849" t="str">
        <f t="shared" si="319"/>
        <v>Konečná výše dotace z rozpočtu KHK bude řešena v návaznosti na řešení podílů jednotlivých zadavatelů.</v>
      </c>
      <c r="WR170" s="849" t="str">
        <f t="shared" si="319"/>
        <v>Konečná výše podpory ze stran obcí bude řešena v součinnosti s jednotlivými zadavateli v průběhu roku.</v>
      </c>
      <c r="WS170" s="849" t="str">
        <f t="shared" si="319"/>
        <v>bez komentáře</v>
      </c>
      <c r="WT170" s="849" t="str">
        <f t="shared" si="319"/>
        <v>bez komentáře</v>
      </c>
      <c r="WU170" s="845"/>
    </row>
    <row r="171" spans="1:619" s="128" customFormat="1" x14ac:dyDescent="0.25">
      <c r="A171" s="128" t="str">
        <f>VLOOKUP(F171,'Výpočet VP 2020'!$D$324:$I$588,6,FALSE)</f>
        <v>Je v síti</v>
      </c>
      <c r="B171" s="128" t="s">
        <v>776</v>
      </c>
      <c r="C171" s="128">
        <v>45979855</v>
      </c>
      <c r="D171" s="128" t="s">
        <v>777</v>
      </c>
      <c r="E171" s="128" t="s">
        <v>360</v>
      </c>
      <c r="F171" s="128">
        <v>1840658</v>
      </c>
      <c r="G171" s="128" t="s">
        <v>273</v>
      </c>
      <c r="H171" s="128" t="s">
        <v>230</v>
      </c>
      <c r="I171" s="128" t="s">
        <v>780</v>
      </c>
      <c r="J171" s="129">
        <v>39083</v>
      </c>
      <c r="L171" s="128" t="s">
        <v>220</v>
      </c>
      <c r="X171" s="128" t="s">
        <v>781</v>
      </c>
      <c r="Z171" s="128">
        <v>30</v>
      </c>
      <c r="AA171" s="128">
        <v>30</v>
      </c>
      <c r="AB171" s="128">
        <v>136</v>
      </c>
      <c r="AC171" s="128">
        <v>130</v>
      </c>
      <c r="AD171" s="128">
        <v>130</v>
      </c>
      <c r="AP171" s="128" t="s">
        <v>781</v>
      </c>
      <c r="AQ171" s="128">
        <v>6</v>
      </c>
      <c r="AR171" s="128">
        <v>12</v>
      </c>
      <c r="AS171" s="128">
        <v>136</v>
      </c>
      <c r="AT171" s="128">
        <v>130</v>
      </c>
      <c r="AU171" s="128">
        <v>130</v>
      </c>
      <c r="BL171" s="128" t="s">
        <v>782</v>
      </c>
      <c r="BM171" s="128" t="s">
        <v>279</v>
      </c>
      <c r="BN171" s="128" t="s">
        <v>299</v>
      </c>
      <c r="EK171" s="128">
        <v>1</v>
      </c>
      <c r="EL171" s="128">
        <v>1</v>
      </c>
      <c r="EM171" s="128">
        <v>1</v>
      </c>
      <c r="EN171" s="128">
        <v>538680</v>
      </c>
      <c r="EO171" s="128">
        <v>538600</v>
      </c>
      <c r="FJ171" s="128">
        <v>5</v>
      </c>
      <c r="FK171" s="128">
        <v>4.5</v>
      </c>
      <c r="FL171" s="128">
        <v>4.32</v>
      </c>
      <c r="FM171" s="128">
        <v>2524560</v>
      </c>
      <c r="FN171" s="128">
        <v>2524500</v>
      </c>
      <c r="FO171" s="128">
        <v>12</v>
      </c>
      <c r="FP171" s="128">
        <v>1.5</v>
      </c>
      <c r="FQ171" s="128">
        <v>1.48</v>
      </c>
      <c r="FR171" s="128">
        <v>860280</v>
      </c>
      <c r="FS171" s="128">
        <v>856690</v>
      </c>
      <c r="KG171" s="128">
        <v>45</v>
      </c>
      <c r="KH171" s="128">
        <v>1044</v>
      </c>
      <c r="KI171" s="128">
        <v>5.5</v>
      </c>
      <c r="KJ171" s="128">
        <v>0</v>
      </c>
      <c r="KK171" s="128">
        <v>0</v>
      </c>
      <c r="KL171" s="128">
        <v>0</v>
      </c>
      <c r="KM171" s="128">
        <v>5.5</v>
      </c>
      <c r="KN171" s="128">
        <v>3923520</v>
      </c>
      <c r="KO171" s="128">
        <v>3919790</v>
      </c>
      <c r="KP171" s="128">
        <v>3919790</v>
      </c>
      <c r="KT171" s="128">
        <v>0</v>
      </c>
      <c r="KU171" s="128">
        <v>0</v>
      </c>
      <c r="KV171" s="128">
        <v>0</v>
      </c>
      <c r="KZ171" s="128">
        <v>0</v>
      </c>
      <c r="LA171" s="128">
        <v>0</v>
      </c>
      <c r="LB171" s="128">
        <v>0</v>
      </c>
      <c r="LF171" s="128">
        <v>87000</v>
      </c>
      <c r="LG171" s="128">
        <v>15000</v>
      </c>
      <c r="LH171" s="128">
        <v>15000</v>
      </c>
      <c r="LL171" s="128">
        <v>15000</v>
      </c>
      <c r="LM171" s="128">
        <v>10000</v>
      </c>
      <c r="LN171" s="128">
        <v>10000</v>
      </c>
      <c r="LR171" s="128">
        <v>45000</v>
      </c>
      <c r="LS171" s="128">
        <v>35000</v>
      </c>
      <c r="LT171" s="128">
        <v>35000</v>
      </c>
      <c r="LX171" s="128">
        <v>2000</v>
      </c>
      <c r="LY171" s="128">
        <v>0</v>
      </c>
      <c r="LZ171" s="128">
        <v>0</v>
      </c>
      <c r="MD171" s="128">
        <v>15000</v>
      </c>
      <c r="ME171" s="128">
        <v>10000</v>
      </c>
      <c r="MF171" s="128">
        <v>10000</v>
      </c>
      <c r="MJ171" s="128">
        <v>100000</v>
      </c>
      <c r="MK171" s="128">
        <v>63000</v>
      </c>
      <c r="ML171" s="128">
        <v>63000</v>
      </c>
      <c r="MP171" s="128">
        <v>100000</v>
      </c>
      <c r="MQ171" s="128">
        <v>78000</v>
      </c>
      <c r="MR171" s="128">
        <v>78000</v>
      </c>
      <c r="MV171" s="128">
        <v>105000</v>
      </c>
      <c r="MW171" s="128">
        <v>100000</v>
      </c>
      <c r="MX171" s="128">
        <v>100000</v>
      </c>
      <c r="NB171" s="128">
        <v>24000</v>
      </c>
      <c r="NC171" s="128">
        <v>10000</v>
      </c>
      <c r="ND171" s="128">
        <v>10000</v>
      </c>
      <c r="NH171" s="128">
        <v>266000</v>
      </c>
      <c r="NI171" s="128">
        <v>200000</v>
      </c>
      <c r="NJ171" s="128">
        <v>200000</v>
      </c>
      <c r="NN171" s="128">
        <v>170000</v>
      </c>
      <c r="NO171" s="128">
        <v>100000</v>
      </c>
      <c r="NP171" s="128">
        <v>100000</v>
      </c>
      <c r="NT171" s="128">
        <v>40000</v>
      </c>
      <c r="NU171" s="128">
        <v>25000</v>
      </c>
      <c r="NV171" s="128">
        <v>25000</v>
      </c>
      <c r="NZ171" s="128">
        <v>98000</v>
      </c>
      <c r="OA171" s="128">
        <v>70000</v>
      </c>
      <c r="OB171" s="128">
        <v>70000</v>
      </c>
      <c r="OF171" s="128">
        <v>17000</v>
      </c>
      <c r="OG171" s="128">
        <v>5000</v>
      </c>
      <c r="OH171" s="128">
        <v>5000</v>
      </c>
      <c r="OL171" s="128">
        <v>0</v>
      </c>
      <c r="OM171" s="128">
        <v>0</v>
      </c>
      <c r="ON171" s="128">
        <v>0</v>
      </c>
      <c r="OR171" s="128">
        <v>0</v>
      </c>
      <c r="OS171" s="128">
        <v>0</v>
      </c>
      <c r="OT171" s="128">
        <v>0</v>
      </c>
      <c r="OX171" s="128">
        <v>183000</v>
      </c>
      <c r="OY171" s="128">
        <v>80000</v>
      </c>
      <c r="OZ171" s="128">
        <v>80000</v>
      </c>
      <c r="PD171" s="128">
        <v>138000</v>
      </c>
      <c r="PE171" s="128">
        <v>0</v>
      </c>
      <c r="PF171" s="128">
        <v>0</v>
      </c>
      <c r="PJ171" s="128">
        <v>58000</v>
      </c>
      <c r="PK171" s="128">
        <v>0</v>
      </c>
      <c r="PL171" s="128">
        <v>0</v>
      </c>
      <c r="PP171" s="128">
        <v>5386520</v>
      </c>
      <c r="PQ171" s="128">
        <v>4720790</v>
      </c>
      <c r="PR171" s="128">
        <v>4720790</v>
      </c>
      <c r="PS171" s="128">
        <v>100</v>
      </c>
      <c r="PT171" s="128">
        <v>100</v>
      </c>
      <c r="PX171" s="128">
        <v>3543470</v>
      </c>
      <c r="PY171" s="128">
        <v>4326000</v>
      </c>
      <c r="PZ171" s="128">
        <v>4720790</v>
      </c>
      <c r="QA171" s="128">
        <v>0</v>
      </c>
      <c r="QB171" s="128">
        <v>0</v>
      </c>
      <c r="QC171" s="128">
        <v>0</v>
      </c>
      <c r="QD171" s="128">
        <v>0</v>
      </c>
      <c r="QE171" s="128">
        <v>0</v>
      </c>
      <c r="QF171" s="128">
        <v>0</v>
      </c>
      <c r="QG171" s="128">
        <v>0</v>
      </c>
      <c r="QH171" s="128">
        <v>0</v>
      </c>
      <c r="QI171" s="128">
        <v>0</v>
      </c>
      <c r="QJ171" s="128">
        <v>0</v>
      </c>
      <c r="QK171" s="128">
        <v>0</v>
      </c>
      <c r="QL171" s="128">
        <v>0</v>
      </c>
      <c r="QN171" s="128">
        <v>0</v>
      </c>
      <c r="QO171" s="128">
        <v>0</v>
      </c>
      <c r="QP171" s="128">
        <v>0</v>
      </c>
      <c r="QU171" s="128">
        <v>196000</v>
      </c>
      <c r="QV171" s="128">
        <v>0</v>
      </c>
      <c r="QW171" s="128">
        <v>0</v>
      </c>
      <c r="QX171" s="128">
        <v>354000</v>
      </c>
      <c r="QY171" s="128">
        <v>366900</v>
      </c>
      <c r="QZ171" s="128">
        <v>365000</v>
      </c>
      <c r="RD171" s="128">
        <v>454354</v>
      </c>
      <c r="RE171" s="128">
        <v>416000</v>
      </c>
      <c r="RF171" s="128">
        <v>300730</v>
      </c>
      <c r="RH171" s="128">
        <f t="shared" si="310"/>
        <v>5386520</v>
      </c>
      <c r="RI171" s="128">
        <v>0</v>
      </c>
      <c r="RM171" s="128" t="s">
        <v>220</v>
      </c>
      <c r="RU171" s="130"/>
      <c r="RV171" s="130"/>
      <c r="RW171" s="130"/>
      <c r="RX171" s="130"/>
      <c r="SF171" s="128">
        <f t="shared" si="220"/>
        <v>1840658</v>
      </c>
      <c r="SG171" s="131">
        <f t="shared" si="221"/>
        <v>5386520</v>
      </c>
      <c r="SH171" s="131">
        <f t="shared" si="222"/>
        <v>5386520</v>
      </c>
      <c r="SI171" s="131">
        <f t="shared" si="223"/>
        <v>4010520</v>
      </c>
      <c r="SJ171" s="132">
        <f t="shared" si="224"/>
        <v>3923520</v>
      </c>
      <c r="SK171" s="132">
        <f t="shared" si="225"/>
        <v>0</v>
      </c>
      <c r="SL171" s="132">
        <f t="shared" si="226"/>
        <v>0</v>
      </c>
      <c r="SM171" s="132">
        <f t="shared" si="227"/>
        <v>87000</v>
      </c>
      <c r="SN171" s="131">
        <f t="shared" si="228"/>
        <v>1376000</v>
      </c>
      <c r="SO171" s="131">
        <f t="shared" si="229"/>
        <v>60000</v>
      </c>
      <c r="SP171" s="132">
        <f t="shared" si="230"/>
        <v>15000</v>
      </c>
      <c r="SQ171" s="132">
        <f t="shared" si="231"/>
        <v>45000</v>
      </c>
      <c r="SR171" s="132">
        <f t="shared" si="232"/>
        <v>2000</v>
      </c>
      <c r="SS171" s="132">
        <f t="shared" si="233"/>
        <v>15000</v>
      </c>
      <c r="ST171" s="132">
        <f t="shared" si="234"/>
        <v>100000</v>
      </c>
      <c r="SU171" s="132">
        <f t="shared" si="235"/>
        <v>100000</v>
      </c>
      <c r="SV171" s="131">
        <f t="shared" si="236"/>
        <v>903000</v>
      </c>
      <c r="SW171" s="132">
        <f t="shared" si="237"/>
        <v>105000</v>
      </c>
      <c r="SX171" s="132">
        <f t="shared" si="238"/>
        <v>24000</v>
      </c>
      <c r="SY171" s="132">
        <f t="shared" si="239"/>
        <v>266000</v>
      </c>
      <c r="SZ171" s="132">
        <f t="shared" si="240"/>
        <v>170000</v>
      </c>
      <c r="TA171" s="132">
        <f t="shared" si="241"/>
        <v>40000</v>
      </c>
      <c r="TB171" s="132">
        <f t="shared" si="242"/>
        <v>98000</v>
      </c>
      <c r="TC171" s="132">
        <f t="shared" si="243"/>
        <v>17000</v>
      </c>
      <c r="TD171" s="132">
        <f t="shared" si="244"/>
        <v>0</v>
      </c>
      <c r="TE171" s="132">
        <f t="shared" si="245"/>
        <v>0</v>
      </c>
      <c r="TF171" s="132">
        <f t="shared" si="246"/>
        <v>183000</v>
      </c>
      <c r="TG171" s="132">
        <f t="shared" si="247"/>
        <v>138000</v>
      </c>
      <c r="TH171" s="132">
        <f t="shared" si="248"/>
        <v>58000</v>
      </c>
      <c r="TI171" s="1"/>
      <c r="TJ171" s="131">
        <f t="shared" si="249"/>
        <v>4720790</v>
      </c>
      <c r="TK171" s="131">
        <f t="shared" si="250"/>
        <v>4720790</v>
      </c>
      <c r="TL171" s="131">
        <f t="shared" si="251"/>
        <v>3934790</v>
      </c>
      <c r="TM171" s="132">
        <f t="shared" si="252"/>
        <v>3919790</v>
      </c>
      <c r="TN171" s="132">
        <f t="shared" si="253"/>
        <v>0</v>
      </c>
      <c r="TO171" s="132">
        <f t="shared" si="254"/>
        <v>0</v>
      </c>
      <c r="TP171" s="132">
        <f t="shared" si="255"/>
        <v>15000</v>
      </c>
      <c r="TQ171" s="131">
        <f t="shared" si="256"/>
        <v>786000</v>
      </c>
      <c r="TR171" s="131">
        <f t="shared" si="257"/>
        <v>45000</v>
      </c>
      <c r="TS171" s="132">
        <f t="shared" si="258"/>
        <v>10000</v>
      </c>
      <c r="TT171" s="132">
        <f t="shared" si="259"/>
        <v>35000</v>
      </c>
      <c r="TU171" s="132">
        <f t="shared" si="260"/>
        <v>0</v>
      </c>
      <c r="TV171" s="132">
        <f t="shared" si="261"/>
        <v>10000</v>
      </c>
      <c r="TW171" s="132">
        <f t="shared" si="262"/>
        <v>63000</v>
      </c>
      <c r="TX171" s="132">
        <f t="shared" si="263"/>
        <v>78000</v>
      </c>
      <c r="TY171" s="131">
        <f t="shared" si="264"/>
        <v>590000</v>
      </c>
      <c r="TZ171" s="132">
        <f t="shared" si="265"/>
        <v>100000</v>
      </c>
      <c r="UA171" s="132">
        <f t="shared" si="266"/>
        <v>10000</v>
      </c>
      <c r="UB171" s="132">
        <f t="shared" si="267"/>
        <v>200000</v>
      </c>
      <c r="UC171" s="132">
        <f t="shared" si="268"/>
        <v>100000</v>
      </c>
      <c r="UD171" s="132">
        <f t="shared" si="269"/>
        <v>25000</v>
      </c>
      <c r="UE171" s="132">
        <f t="shared" si="270"/>
        <v>70000</v>
      </c>
      <c r="UF171" s="132">
        <f t="shared" si="271"/>
        <v>5000</v>
      </c>
      <c r="UG171" s="132">
        <f t="shared" si="272"/>
        <v>0</v>
      </c>
      <c r="UH171" s="132">
        <f t="shared" si="273"/>
        <v>0</v>
      </c>
      <c r="UI171" s="132">
        <f t="shared" si="274"/>
        <v>80000</v>
      </c>
      <c r="UJ171" s="132">
        <f t="shared" si="275"/>
        <v>0</v>
      </c>
      <c r="UK171" s="132">
        <f t="shared" si="276"/>
        <v>0</v>
      </c>
      <c r="UL171" s="132">
        <f t="shared" si="311"/>
        <v>4720790</v>
      </c>
      <c r="UM171" s="131">
        <f t="shared" si="277"/>
        <v>4720790</v>
      </c>
      <c r="UN171" s="131">
        <f t="shared" si="278"/>
        <v>4720790</v>
      </c>
      <c r="UO171" s="131">
        <f t="shared" si="279"/>
        <v>3934790</v>
      </c>
      <c r="UP171" s="132">
        <f t="shared" si="280"/>
        <v>3919790</v>
      </c>
      <c r="UQ171" s="132">
        <f t="shared" si="281"/>
        <v>0</v>
      </c>
      <c r="UR171" s="132">
        <f t="shared" si="282"/>
        <v>0</v>
      </c>
      <c r="US171" s="132">
        <f t="shared" si="283"/>
        <v>15000</v>
      </c>
      <c r="UT171" s="131">
        <f t="shared" si="284"/>
        <v>786000</v>
      </c>
      <c r="UU171" s="131">
        <f t="shared" si="285"/>
        <v>45000</v>
      </c>
      <c r="UV171" s="132">
        <f t="shared" si="286"/>
        <v>10000</v>
      </c>
      <c r="UW171" s="132">
        <f t="shared" si="287"/>
        <v>35000</v>
      </c>
      <c r="UX171" s="132">
        <f t="shared" si="288"/>
        <v>0</v>
      </c>
      <c r="UY171" s="132">
        <f t="shared" si="289"/>
        <v>10000</v>
      </c>
      <c r="UZ171" s="132">
        <f t="shared" si="290"/>
        <v>63000</v>
      </c>
      <c r="VA171" s="132">
        <f t="shared" si="291"/>
        <v>78000</v>
      </c>
      <c r="VB171" s="131">
        <f t="shared" si="292"/>
        <v>590000</v>
      </c>
      <c r="VC171" s="132">
        <f t="shared" si="293"/>
        <v>100000</v>
      </c>
      <c r="VD171" s="132">
        <f t="shared" si="294"/>
        <v>10000</v>
      </c>
      <c r="VE171" s="132">
        <f t="shared" si="295"/>
        <v>200000</v>
      </c>
      <c r="VF171" s="132">
        <f t="shared" si="296"/>
        <v>100000</v>
      </c>
      <c r="VG171" s="132">
        <f t="shared" si="297"/>
        <v>25000</v>
      </c>
      <c r="VH171" s="132">
        <f t="shared" si="298"/>
        <v>70000</v>
      </c>
      <c r="VI171" s="132">
        <f t="shared" si="299"/>
        <v>5000</v>
      </c>
      <c r="VJ171" s="132">
        <f t="shared" si="300"/>
        <v>0</v>
      </c>
      <c r="VK171" s="132">
        <f t="shared" si="301"/>
        <v>0</v>
      </c>
      <c r="VL171" s="132">
        <f t="shared" si="302"/>
        <v>80000</v>
      </c>
      <c r="VM171" s="132">
        <f t="shared" si="303"/>
        <v>0</v>
      </c>
      <c r="VN171" s="132">
        <f t="shared" si="304"/>
        <v>0</v>
      </c>
      <c r="VP171" s="845" t="str">
        <f>IFERROR(HLOOKUP(F171,'Hodnocení '!$C$1:$JH$5,2,FALSE),0)</f>
        <v>Středisko rané péče Sluníčko</v>
      </c>
      <c r="VQ171" s="838"/>
      <c r="VR171" s="845" t="str">
        <f t="shared" si="312"/>
        <v>Církve a náboženské společnosti</v>
      </c>
      <c r="VS171" s="845" t="str">
        <f>IFERROR(HLOOKUP(F171,'Hodnocení '!$C$1:$JH$5,5,FALSE),0)</f>
        <v>NZO</v>
      </c>
      <c r="VT171" s="838">
        <f t="shared" si="313"/>
        <v>0</v>
      </c>
      <c r="VU171" s="838">
        <f t="shared" si="314"/>
        <v>0</v>
      </c>
      <c r="VV171" s="838">
        <f t="shared" si="315"/>
        <v>0</v>
      </c>
      <c r="VW171" s="838">
        <f t="shared" si="316"/>
        <v>0</v>
      </c>
      <c r="VX171" s="838"/>
      <c r="VY171" s="838">
        <f t="shared" si="317"/>
        <v>0</v>
      </c>
      <c r="VZ171" s="838">
        <f t="shared" si="318"/>
        <v>4720790</v>
      </c>
      <c r="WA171" s="846">
        <f>IFERROR(HLOOKUP($F171,'Hodnocení '!$C$1:$JH$9,9,FALSE),0)</f>
        <v>4720790</v>
      </c>
      <c r="WB171" s="846">
        <f>IF(IFERROR(HLOOKUP($F171,'Hodnocení '!$C$1:$JH$13,13,FALSE),0)&gt;WA171,WA171,IFERROR(HLOOKUP($F171,'Hodnocení '!$C$1:$JH$13,13,FALSE),0))</f>
        <v>4720790</v>
      </c>
      <c r="WC171" s="846">
        <f>IFERROR(HLOOKUP($F171,'Hodnocení '!$C$1:$JH$155,155,FALSE),0)</f>
        <v>4453620</v>
      </c>
      <c r="WD171" s="845"/>
      <c r="WE171" s="845"/>
      <c r="WF171" s="845" t="str">
        <f t="shared" si="305"/>
        <v>ANO</v>
      </c>
      <c r="WG171" s="849" t="str">
        <f t="shared" si="320"/>
        <v>Podpora služby je vyjádřena zařazením do sítě sociálních služeb v KHK a řešením financování služby</v>
      </c>
      <c r="WH171"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71" s="849" t="str">
        <f t="shared" si="320"/>
        <v>Návrh dotace je výsledkem projednání s ostatními zadavateli v rámci sítě služeb KHK</v>
      </c>
      <c r="WJ171" s="849" t="str">
        <f t="shared" si="320"/>
        <v>Bez komentáře</v>
      </c>
      <c r="WK171" s="31">
        <f t="shared" si="306"/>
        <v>0</v>
      </c>
      <c r="WL171" s="850">
        <f t="shared" si="307"/>
        <v>0</v>
      </c>
      <c r="WM171" s="849">
        <f t="shared" si="308"/>
        <v>0</v>
      </c>
      <c r="WN171" s="849">
        <f t="shared" si="309"/>
        <v>0</v>
      </c>
      <c r="WO171" s="849" t="str">
        <f t="shared" si="319"/>
        <v>bez komentáře</v>
      </c>
      <c r="WP171" s="849" t="str">
        <f t="shared" si="319"/>
        <v>bez komentáře</v>
      </c>
      <c r="WQ171" s="849" t="str">
        <f t="shared" si="319"/>
        <v>Konečná výše dotace z rozpočtu KHK bude řešena v návaznosti na řešení podílů jednotlivých zadavatelů.</v>
      </c>
      <c r="WR171" s="849" t="str">
        <f t="shared" si="319"/>
        <v>Konečná výše podpory ze stran obcí bude řešena v součinnosti s jednotlivými zadavateli v průběhu roku.</v>
      </c>
      <c r="WS171" s="849" t="str">
        <f t="shared" si="319"/>
        <v>bez komentáře</v>
      </c>
      <c r="WT171" s="849" t="str">
        <f t="shared" si="319"/>
        <v>bez komentáře</v>
      </c>
      <c r="WU171" s="845"/>
    </row>
    <row r="172" spans="1:619" s="128" customFormat="1" x14ac:dyDescent="0.25">
      <c r="A172" s="128" t="str">
        <f>VLOOKUP(F172,'Výpočet VP 2020'!$D$324:$I$588,6,FALSE)</f>
        <v>Je v síti</v>
      </c>
      <c r="B172" s="128" t="s">
        <v>776</v>
      </c>
      <c r="C172" s="128">
        <v>45979855</v>
      </c>
      <c r="D172" s="128" t="s">
        <v>777</v>
      </c>
      <c r="E172" s="128" t="s">
        <v>360</v>
      </c>
      <c r="F172" s="128">
        <v>1968420</v>
      </c>
      <c r="G172" s="128" t="s">
        <v>783</v>
      </c>
      <c r="H172" s="128" t="s">
        <v>230</v>
      </c>
      <c r="I172" s="128" t="s">
        <v>784</v>
      </c>
      <c r="J172" s="129">
        <v>39083</v>
      </c>
      <c r="L172" s="128" t="s">
        <v>220</v>
      </c>
      <c r="X172" s="128" t="s">
        <v>488</v>
      </c>
      <c r="Y172" s="128">
        <v>40</v>
      </c>
      <c r="AB172" s="128">
        <v>320</v>
      </c>
      <c r="AC172" s="128">
        <v>330</v>
      </c>
      <c r="AD172" s="128">
        <v>330</v>
      </c>
      <c r="AO172" s="128" t="s">
        <v>785</v>
      </c>
      <c r="BL172" s="128" t="s">
        <v>786</v>
      </c>
      <c r="BM172" s="128" t="s">
        <v>702</v>
      </c>
      <c r="BN172" s="128" t="s">
        <v>364</v>
      </c>
      <c r="EK172" s="128">
        <v>2</v>
      </c>
      <c r="EL172" s="128">
        <v>0.25</v>
      </c>
      <c r="EM172" s="128">
        <v>0.23</v>
      </c>
      <c r="EN172" s="128">
        <v>140700</v>
      </c>
      <c r="EO172" s="128">
        <v>140000</v>
      </c>
      <c r="EP172" s="128">
        <v>10</v>
      </c>
      <c r="EQ172" s="128">
        <v>5.86</v>
      </c>
      <c r="ER172" s="128">
        <v>6.57</v>
      </c>
      <c r="ES172" s="128">
        <v>3029134</v>
      </c>
      <c r="ET172" s="128">
        <v>3000000</v>
      </c>
      <c r="FO172" s="128">
        <v>12</v>
      </c>
      <c r="FP172" s="128">
        <v>1.36</v>
      </c>
      <c r="FQ172" s="128">
        <v>1.66</v>
      </c>
      <c r="FR172" s="128">
        <v>740806</v>
      </c>
      <c r="FS172" s="128">
        <v>736000</v>
      </c>
      <c r="IH172" s="128">
        <v>1</v>
      </c>
      <c r="II172" s="128">
        <v>0.2</v>
      </c>
      <c r="IJ172" s="128">
        <v>12</v>
      </c>
      <c r="IK172" s="128">
        <v>0.2</v>
      </c>
      <c r="IL172" s="128">
        <v>72040</v>
      </c>
      <c r="IM172" s="128">
        <v>70000</v>
      </c>
      <c r="IS172" s="128">
        <v>2</v>
      </c>
      <c r="IT172" s="128">
        <v>480</v>
      </c>
      <c r="IU172" s="128">
        <v>0.22900000000000001</v>
      </c>
      <c r="IV172" s="128">
        <v>33600</v>
      </c>
      <c r="IW172" s="128">
        <v>24000</v>
      </c>
      <c r="KG172" s="128">
        <v>5</v>
      </c>
      <c r="KH172" s="128">
        <v>141</v>
      </c>
      <c r="KI172" s="128">
        <v>6.11</v>
      </c>
      <c r="KJ172" s="128">
        <v>0</v>
      </c>
      <c r="KK172" s="128">
        <v>0</v>
      </c>
      <c r="KL172" s="128">
        <v>0</v>
      </c>
      <c r="KM172" s="128">
        <v>6.11</v>
      </c>
      <c r="KN172" s="128">
        <v>3910640</v>
      </c>
      <c r="KO172" s="128">
        <v>3876000</v>
      </c>
      <c r="KP172" s="128">
        <v>3876000</v>
      </c>
      <c r="KT172" s="128">
        <v>72040</v>
      </c>
      <c r="KU172" s="128">
        <v>70000</v>
      </c>
      <c r="KV172" s="128">
        <v>70000</v>
      </c>
      <c r="KZ172" s="128">
        <v>33600</v>
      </c>
      <c r="LA172" s="128">
        <v>24000</v>
      </c>
      <c r="LB172" s="128">
        <v>24000</v>
      </c>
      <c r="LF172" s="128">
        <v>7000</v>
      </c>
      <c r="LG172" s="128">
        <v>0</v>
      </c>
      <c r="LH172" s="128">
        <v>0</v>
      </c>
      <c r="LL172" s="128">
        <v>7000</v>
      </c>
      <c r="LM172" s="128">
        <v>7000</v>
      </c>
      <c r="LN172" s="128">
        <v>7000</v>
      </c>
      <c r="LR172" s="128">
        <v>80000</v>
      </c>
      <c r="LS172" s="128">
        <v>35000</v>
      </c>
      <c r="LT172" s="128">
        <v>35000</v>
      </c>
      <c r="LX172" s="128">
        <v>85000</v>
      </c>
      <c r="LY172" s="128">
        <v>0</v>
      </c>
      <c r="LZ172" s="128">
        <v>0</v>
      </c>
      <c r="MD172" s="128">
        <v>10000</v>
      </c>
      <c r="ME172" s="128">
        <v>5000</v>
      </c>
      <c r="MF172" s="128">
        <v>5000</v>
      </c>
      <c r="MJ172" s="128">
        <v>30000</v>
      </c>
      <c r="MK172" s="128">
        <v>10000</v>
      </c>
      <c r="ML172" s="128">
        <v>10000</v>
      </c>
      <c r="MP172" s="128">
        <v>200000</v>
      </c>
      <c r="MQ172" s="128">
        <v>50000</v>
      </c>
      <c r="MR172" s="128">
        <v>50000</v>
      </c>
      <c r="MV172" s="128">
        <v>448000</v>
      </c>
      <c r="MW172" s="128">
        <v>256000</v>
      </c>
      <c r="MX172" s="128">
        <v>256000</v>
      </c>
      <c r="NB172" s="128">
        <v>12000</v>
      </c>
      <c r="NC172" s="128">
        <v>2000</v>
      </c>
      <c r="ND172" s="128">
        <v>2000</v>
      </c>
      <c r="NH172" s="128">
        <v>301000</v>
      </c>
      <c r="NI172" s="128">
        <v>45000</v>
      </c>
      <c r="NJ172" s="128">
        <v>45000</v>
      </c>
      <c r="NN172" s="128">
        <v>130000</v>
      </c>
      <c r="NO172" s="128">
        <v>100000</v>
      </c>
      <c r="NP172" s="128">
        <v>100000</v>
      </c>
      <c r="NT172" s="128">
        <v>40000</v>
      </c>
      <c r="NU172" s="128">
        <v>5000</v>
      </c>
      <c r="NV172" s="128">
        <v>5000</v>
      </c>
      <c r="NZ172" s="128">
        <v>64000</v>
      </c>
      <c r="OA172" s="128">
        <v>30000</v>
      </c>
      <c r="OB172" s="128">
        <v>30000</v>
      </c>
      <c r="OF172" s="128">
        <v>5000</v>
      </c>
      <c r="OG172" s="128">
        <v>2000</v>
      </c>
      <c r="OH172" s="128">
        <v>2000</v>
      </c>
      <c r="OL172" s="128">
        <v>0</v>
      </c>
      <c r="OM172" s="128">
        <v>0</v>
      </c>
      <c r="ON172" s="128">
        <v>0</v>
      </c>
      <c r="OR172" s="128">
        <v>0</v>
      </c>
      <c r="OS172" s="128">
        <v>0</v>
      </c>
      <c r="OT172" s="128">
        <v>0</v>
      </c>
      <c r="OX172" s="128">
        <v>187500</v>
      </c>
      <c r="OY172" s="128">
        <v>25000</v>
      </c>
      <c r="OZ172" s="128">
        <v>25000</v>
      </c>
      <c r="PD172" s="128">
        <v>22000</v>
      </c>
      <c r="PE172" s="128">
        <v>0</v>
      </c>
      <c r="PF172" s="128">
        <v>0</v>
      </c>
      <c r="PJ172" s="128">
        <v>46000</v>
      </c>
      <c r="PK172" s="128">
        <v>0</v>
      </c>
      <c r="PL172" s="128">
        <v>0</v>
      </c>
      <c r="PP172" s="128">
        <v>5690780</v>
      </c>
      <c r="PQ172" s="128">
        <v>4542000</v>
      </c>
      <c r="PR172" s="128">
        <v>4542000</v>
      </c>
      <c r="PS172" s="128">
        <v>100</v>
      </c>
      <c r="PT172" s="128">
        <v>100</v>
      </c>
      <c r="PX172" s="128">
        <v>4057000</v>
      </c>
      <c r="PY172" s="128">
        <v>4176623</v>
      </c>
      <c r="PZ172" s="128">
        <v>4542000</v>
      </c>
      <c r="QA172" s="128">
        <v>0</v>
      </c>
      <c r="QB172" s="128">
        <v>0</v>
      </c>
      <c r="QC172" s="128">
        <v>0</v>
      </c>
      <c r="QD172" s="128">
        <v>0</v>
      </c>
      <c r="QE172" s="128">
        <v>0</v>
      </c>
      <c r="QF172" s="128">
        <v>0</v>
      </c>
      <c r="QG172" s="128">
        <v>0</v>
      </c>
      <c r="QH172" s="128">
        <v>0</v>
      </c>
      <c r="QI172" s="128">
        <v>0</v>
      </c>
      <c r="QJ172" s="128">
        <v>515910</v>
      </c>
      <c r="QK172" s="128">
        <v>520000</v>
      </c>
      <c r="QL172" s="128">
        <v>520000</v>
      </c>
      <c r="QN172" s="128">
        <v>0</v>
      </c>
      <c r="QO172" s="128">
        <v>0</v>
      </c>
      <c r="QP172" s="128">
        <v>0</v>
      </c>
      <c r="QU172" s="128">
        <v>230000</v>
      </c>
      <c r="QV172" s="128">
        <v>0</v>
      </c>
      <c r="QW172" s="128">
        <v>0</v>
      </c>
      <c r="QX172" s="128">
        <v>575000</v>
      </c>
      <c r="QY172" s="128">
        <v>561000</v>
      </c>
      <c r="QZ172" s="128">
        <v>546000</v>
      </c>
      <c r="RA172" s="128">
        <v>39946</v>
      </c>
      <c r="RB172" s="128">
        <v>82800</v>
      </c>
      <c r="RC172" s="128">
        <v>32000</v>
      </c>
      <c r="RD172" s="128">
        <v>324337</v>
      </c>
      <c r="RE172" s="128">
        <v>260000</v>
      </c>
      <c r="RF172" s="128">
        <v>50780</v>
      </c>
      <c r="RH172" s="128">
        <f t="shared" si="310"/>
        <v>5170780</v>
      </c>
      <c r="RI172" s="128">
        <v>0</v>
      </c>
      <c r="RM172" s="128" t="s">
        <v>220</v>
      </c>
      <c r="RU172" s="130"/>
      <c r="RV172" s="130"/>
      <c r="RW172" s="130"/>
      <c r="RX172" s="130"/>
      <c r="SF172" s="128">
        <f t="shared" si="220"/>
        <v>1968420</v>
      </c>
      <c r="SG172" s="131">
        <f t="shared" si="221"/>
        <v>5690780</v>
      </c>
      <c r="SH172" s="131">
        <f t="shared" si="222"/>
        <v>5690780</v>
      </c>
      <c r="SI172" s="131">
        <f t="shared" si="223"/>
        <v>4023280</v>
      </c>
      <c r="SJ172" s="132">
        <f t="shared" si="224"/>
        <v>3910640</v>
      </c>
      <c r="SK172" s="132">
        <f t="shared" si="225"/>
        <v>72040</v>
      </c>
      <c r="SL172" s="132">
        <f t="shared" si="226"/>
        <v>33600</v>
      </c>
      <c r="SM172" s="132">
        <f t="shared" si="227"/>
        <v>7000</v>
      </c>
      <c r="SN172" s="131">
        <f t="shared" si="228"/>
        <v>1667500</v>
      </c>
      <c r="SO172" s="131">
        <f t="shared" si="229"/>
        <v>87000</v>
      </c>
      <c r="SP172" s="132">
        <f t="shared" si="230"/>
        <v>7000</v>
      </c>
      <c r="SQ172" s="132">
        <f t="shared" si="231"/>
        <v>80000</v>
      </c>
      <c r="SR172" s="132">
        <f t="shared" si="232"/>
        <v>85000</v>
      </c>
      <c r="SS172" s="132">
        <f t="shared" si="233"/>
        <v>10000</v>
      </c>
      <c r="ST172" s="132">
        <f t="shared" si="234"/>
        <v>30000</v>
      </c>
      <c r="SU172" s="132">
        <f t="shared" si="235"/>
        <v>200000</v>
      </c>
      <c r="SV172" s="131">
        <f t="shared" si="236"/>
        <v>1187500</v>
      </c>
      <c r="SW172" s="132">
        <f t="shared" si="237"/>
        <v>448000</v>
      </c>
      <c r="SX172" s="132">
        <f t="shared" si="238"/>
        <v>12000</v>
      </c>
      <c r="SY172" s="132">
        <f t="shared" si="239"/>
        <v>301000</v>
      </c>
      <c r="SZ172" s="132">
        <f t="shared" si="240"/>
        <v>130000</v>
      </c>
      <c r="TA172" s="132">
        <f t="shared" si="241"/>
        <v>40000</v>
      </c>
      <c r="TB172" s="132">
        <f t="shared" si="242"/>
        <v>64000</v>
      </c>
      <c r="TC172" s="132">
        <f t="shared" si="243"/>
        <v>5000</v>
      </c>
      <c r="TD172" s="132">
        <f t="shared" si="244"/>
        <v>0</v>
      </c>
      <c r="TE172" s="132">
        <f t="shared" si="245"/>
        <v>0</v>
      </c>
      <c r="TF172" s="132">
        <f t="shared" si="246"/>
        <v>187500</v>
      </c>
      <c r="TG172" s="132">
        <f t="shared" si="247"/>
        <v>22000</v>
      </c>
      <c r="TH172" s="132">
        <f t="shared" si="248"/>
        <v>46000</v>
      </c>
      <c r="TI172" s="1"/>
      <c r="TJ172" s="131">
        <f t="shared" si="249"/>
        <v>4542000</v>
      </c>
      <c r="TK172" s="131">
        <f t="shared" si="250"/>
        <v>4542000</v>
      </c>
      <c r="TL172" s="131">
        <f t="shared" si="251"/>
        <v>3970000</v>
      </c>
      <c r="TM172" s="132">
        <f t="shared" si="252"/>
        <v>3876000</v>
      </c>
      <c r="TN172" s="132">
        <f t="shared" si="253"/>
        <v>70000</v>
      </c>
      <c r="TO172" s="132">
        <f t="shared" si="254"/>
        <v>24000</v>
      </c>
      <c r="TP172" s="132">
        <f t="shared" si="255"/>
        <v>0</v>
      </c>
      <c r="TQ172" s="131">
        <f t="shared" si="256"/>
        <v>572000</v>
      </c>
      <c r="TR172" s="131">
        <f t="shared" si="257"/>
        <v>42000</v>
      </c>
      <c r="TS172" s="132">
        <f t="shared" si="258"/>
        <v>7000</v>
      </c>
      <c r="TT172" s="132">
        <f t="shared" si="259"/>
        <v>35000</v>
      </c>
      <c r="TU172" s="132">
        <f t="shared" si="260"/>
        <v>0</v>
      </c>
      <c r="TV172" s="132">
        <f t="shared" si="261"/>
        <v>5000</v>
      </c>
      <c r="TW172" s="132">
        <f t="shared" si="262"/>
        <v>10000</v>
      </c>
      <c r="TX172" s="132">
        <f t="shared" si="263"/>
        <v>50000</v>
      </c>
      <c r="TY172" s="131">
        <f t="shared" si="264"/>
        <v>465000</v>
      </c>
      <c r="TZ172" s="132">
        <f t="shared" si="265"/>
        <v>256000</v>
      </c>
      <c r="UA172" s="132">
        <f t="shared" si="266"/>
        <v>2000</v>
      </c>
      <c r="UB172" s="132">
        <f t="shared" si="267"/>
        <v>45000</v>
      </c>
      <c r="UC172" s="132">
        <f t="shared" si="268"/>
        <v>100000</v>
      </c>
      <c r="UD172" s="132">
        <f t="shared" si="269"/>
        <v>5000</v>
      </c>
      <c r="UE172" s="132">
        <f t="shared" si="270"/>
        <v>30000</v>
      </c>
      <c r="UF172" s="132">
        <f t="shared" si="271"/>
        <v>2000</v>
      </c>
      <c r="UG172" s="132">
        <f t="shared" si="272"/>
        <v>0</v>
      </c>
      <c r="UH172" s="132">
        <f t="shared" si="273"/>
        <v>0</v>
      </c>
      <c r="UI172" s="132">
        <f t="shared" si="274"/>
        <v>25000</v>
      </c>
      <c r="UJ172" s="132">
        <f t="shared" si="275"/>
        <v>0</v>
      </c>
      <c r="UK172" s="132">
        <f t="shared" si="276"/>
        <v>0</v>
      </c>
      <c r="UL172" s="132">
        <f t="shared" si="311"/>
        <v>4542000</v>
      </c>
      <c r="UM172" s="131">
        <f t="shared" si="277"/>
        <v>4542000</v>
      </c>
      <c r="UN172" s="131">
        <f t="shared" si="278"/>
        <v>4542000</v>
      </c>
      <c r="UO172" s="131">
        <f t="shared" si="279"/>
        <v>3970000</v>
      </c>
      <c r="UP172" s="132">
        <f t="shared" si="280"/>
        <v>3876000</v>
      </c>
      <c r="UQ172" s="132">
        <f t="shared" si="281"/>
        <v>70000</v>
      </c>
      <c r="UR172" s="132">
        <f t="shared" si="282"/>
        <v>24000</v>
      </c>
      <c r="US172" s="132">
        <f t="shared" si="283"/>
        <v>0</v>
      </c>
      <c r="UT172" s="131">
        <f t="shared" si="284"/>
        <v>572000</v>
      </c>
      <c r="UU172" s="131">
        <f t="shared" si="285"/>
        <v>42000</v>
      </c>
      <c r="UV172" s="132">
        <f t="shared" si="286"/>
        <v>7000</v>
      </c>
      <c r="UW172" s="132">
        <f t="shared" si="287"/>
        <v>35000</v>
      </c>
      <c r="UX172" s="132">
        <f t="shared" si="288"/>
        <v>0</v>
      </c>
      <c r="UY172" s="132">
        <f t="shared" si="289"/>
        <v>5000</v>
      </c>
      <c r="UZ172" s="132">
        <f t="shared" si="290"/>
        <v>10000</v>
      </c>
      <c r="VA172" s="132">
        <f t="shared" si="291"/>
        <v>50000</v>
      </c>
      <c r="VB172" s="131">
        <f t="shared" si="292"/>
        <v>465000</v>
      </c>
      <c r="VC172" s="132">
        <f t="shared" si="293"/>
        <v>256000</v>
      </c>
      <c r="VD172" s="132">
        <f t="shared" si="294"/>
        <v>2000</v>
      </c>
      <c r="VE172" s="132">
        <f t="shared" si="295"/>
        <v>45000</v>
      </c>
      <c r="VF172" s="132">
        <f t="shared" si="296"/>
        <v>100000</v>
      </c>
      <c r="VG172" s="132">
        <f t="shared" si="297"/>
        <v>5000</v>
      </c>
      <c r="VH172" s="132">
        <f t="shared" si="298"/>
        <v>30000</v>
      </c>
      <c r="VI172" s="132">
        <f t="shared" si="299"/>
        <v>2000</v>
      </c>
      <c r="VJ172" s="132">
        <f t="shared" si="300"/>
        <v>0</v>
      </c>
      <c r="VK172" s="132">
        <f t="shared" si="301"/>
        <v>0</v>
      </c>
      <c r="VL172" s="132">
        <f t="shared" si="302"/>
        <v>25000</v>
      </c>
      <c r="VM172" s="132">
        <f t="shared" si="303"/>
        <v>0</v>
      </c>
      <c r="VN172" s="132">
        <f t="shared" si="304"/>
        <v>0</v>
      </c>
      <c r="VP172" s="845" t="str">
        <f>IFERROR(HLOOKUP(F172,'Hodnocení '!$C$1:$JH$5,2,FALSE),0)</f>
        <v>Dům Matky Terezy Hradec Králové</v>
      </c>
      <c r="VQ172" s="838"/>
      <c r="VR172" s="845" t="str">
        <f t="shared" si="312"/>
        <v>Církve a náboženské společnosti</v>
      </c>
      <c r="VS172" s="845" t="str">
        <f>IFERROR(HLOOKUP(F172,'Hodnocení '!$C$1:$JH$5,5,FALSE),0)</f>
        <v>NZO</v>
      </c>
      <c r="VT172" s="838">
        <f t="shared" si="313"/>
        <v>0</v>
      </c>
      <c r="VU172" s="838">
        <f t="shared" si="314"/>
        <v>0</v>
      </c>
      <c r="VV172" s="838">
        <f t="shared" si="315"/>
        <v>520000</v>
      </c>
      <c r="VW172" s="838">
        <f t="shared" si="316"/>
        <v>0</v>
      </c>
      <c r="VX172" s="838"/>
      <c r="VY172" s="838">
        <f t="shared" si="317"/>
        <v>0</v>
      </c>
      <c r="VZ172" s="838">
        <f t="shared" si="318"/>
        <v>4542000</v>
      </c>
      <c r="WA172" s="846">
        <f>IFERROR(HLOOKUP($F172,'Hodnocení '!$C$1:$JH$9,9,FALSE),0)</f>
        <v>4542000</v>
      </c>
      <c r="WB172" s="846">
        <f>IF(IFERROR(HLOOKUP($F172,'Hodnocení '!$C$1:$JH$13,13,FALSE),0)&gt;WA172,WA172,IFERROR(HLOOKUP($F172,'Hodnocení '!$C$1:$JH$13,13,FALSE),0))</f>
        <v>4542000</v>
      </c>
      <c r="WC172" s="846">
        <f>IFERROR(HLOOKUP($F172,'Hodnocení '!$C$1:$JH$155,155,FALSE),0)</f>
        <v>4466000</v>
      </c>
      <c r="WD172" s="845"/>
      <c r="WE172" s="845"/>
      <c r="WF172" s="845" t="str">
        <f t="shared" si="305"/>
        <v>ANO</v>
      </c>
      <c r="WG172" s="849" t="str">
        <f t="shared" si="320"/>
        <v>Podpora služby je vyjádřena zařazením do sítě sociálních služeb v KHK a řešením financování služby</v>
      </c>
      <c r="WH172"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72" s="849" t="str">
        <f t="shared" si="320"/>
        <v>Návrh dotace je výsledkem projednání s ostatními zadavateli v rámci sítě služeb KHK</v>
      </c>
      <c r="WJ172" s="849" t="str">
        <f t="shared" si="320"/>
        <v>Bez komentáře</v>
      </c>
      <c r="WK172" s="31">
        <f t="shared" si="306"/>
        <v>0</v>
      </c>
      <c r="WL172" s="850">
        <f t="shared" si="307"/>
        <v>0</v>
      </c>
      <c r="WM172" s="849" t="str">
        <f t="shared" si="308"/>
        <v>V rámci sítě KHK se dlouhodobě řeší otázka navyšování úhrad a průběžně se monitoruje s vazbou na vykrytí vyrovnávací platby</v>
      </c>
      <c r="WN172" s="849">
        <f t="shared" si="309"/>
        <v>0</v>
      </c>
      <c r="WO172" s="849" t="str">
        <f t="shared" si="319"/>
        <v>bez komentáře</v>
      </c>
      <c r="WP172" s="849" t="str">
        <f t="shared" si="319"/>
        <v>bez komentáře</v>
      </c>
      <c r="WQ172" s="849" t="str">
        <f t="shared" si="319"/>
        <v>Konečná výše dotace z rozpočtu KHK bude řešena v návaznosti na řešení podílů jednotlivých zadavatelů.</v>
      </c>
      <c r="WR172" s="849" t="str">
        <f t="shared" si="319"/>
        <v>Konečná výše podpory ze stran obcí bude řešena v součinnosti s jednotlivými zadavateli v průběhu roku.</v>
      </c>
      <c r="WS172" s="849" t="str">
        <f t="shared" si="319"/>
        <v>bez komentáře</v>
      </c>
      <c r="WT172" s="849" t="str">
        <f t="shared" si="319"/>
        <v>bez komentáře</v>
      </c>
      <c r="WU172" s="845"/>
    </row>
    <row r="173" spans="1:619" s="128" customFormat="1" x14ac:dyDescent="0.25">
      <c r="A173" s="128" t="str">
        <f>VLOOKUP(F173,'Výpočet VP 2020'!$D$324:$I$588,6,FALSE)</f>
        <v>Je v síti</v>
      </c>
      <c r="B173" s="128" t="s">
        <v>776</v>
      </c>
      <c r="C173" s="128">
        <v>45979855</v>
      </c>
      <c r="D173" s="128" t="s">
        <v>777</v>
      </c>
      <c r="E173" s="128" t="s">
        <v>360</v>
      </c>
      <c r="F173" s="128">
        <v>2813024</v>
      </c>
      <c r="G173" s="128" t="s">
        <v>235</v>
      </c>
      <c r="H173" s="128" t="s">
        <v>230</v>
      </c>
      <c r="I173" s="128" t="s">
        <v>787</v>
      </c>
      <c r="J173" s="129">
        <v>39083</v>
      </c>
      <c r="L173" s="128" t="s">
        <v>220</v>
      </c>
      <c r="X173" s="128" t="s">
        <v>302</v>
      </c>
      <c r="Z173" s="128">
        <v>30</v>
      </c>
      <c r="AA173" s="128">
        <v>30</v>
      </c>
      <c r="AB173" s="128">
        <v>50</v>
      </c>
      <c r="AC173" s="128">
        <v>50</v>
      </c>
      <c r="AD173" s="128">
        <v>50</v>
      </c>
      <c r="BL173" s="128" t="s">
        <v>788</v>
      </c>
      <c r="BM173" s="128" t="s">
        <v>702</v>
      </c>
      <c r="BN173" s="128" t="s">
        <v>364</v>
      </c>
      <c r="EK173" s="128">
        <v>1</v>
      </c>
      <c r="EL173" s="128">
        <v>1</v>
      </c>
      <c r="EM173" s="128">
        <v>1</v>
      </c>
      <c r="EN173" s="128">
        <v>562800</v>
      </c>
      <c r="EO173" s="128">
        <v>560000</v>
      </c>
      <c r="EP173" s="128">
        <v>5</v>
      </c>
      <c r="EQ173" s="128">
        <v>3.2</v>
      </c>
      <c r="ER173" s="128">
        <v>2.931</v>
      </c>
      <c r="ES173" s="128">
        <v>1616326</v>
      </c>
      <c r="ET173" s="128">
        <v>1600000</v>
      </c>
      <c r="FO173" s="128">
        <v>12</v>
      </c>
      <c r="FP173" s="128">
        <v>1.04</v>
      </c>
      <c r="FQ173" s="128">
        <v>0.95399999999999996</v>
      </c>
      <c r="FR173" s="128">
        <v>571644</v>
      </c>
      <c r="FS173" s="128">
        <v>520000</v>
      </c>
      <c r="KG173" s="128">
        <v>3</v>
      </c>
      <c r="KH173" s="128">
        <v>312</v>
      </c>
      <c r="KI173" s="128">
        <v>4.2</v>
      </c>
      <c r="KJ173" s="128">
        <v>0</v>
      </c>
      <c r="KK173" s="128">
        <v>0</v>
      </c>
      <c r="KL173" s="128">
        <v>0</v>
      </c>
      <c r="KM173" s="128">
        <v>4.2</v>
      </c>
      <c r="KN173" s="128">
        <v>2750770</v>
      </c>
      <c r="KO173" s="128">
        <v>2680000</v>
      </c>
      <c r="KP173" s="128">
        <v>2680000</v>
      </c>
      <c r="KT173" s="128">
        <v>0</v>
      </c>
      <c r="KU173" s="128">
        <v>0</v>
      </c>
      <c r="KV173" s="128">
        <v>0</v>
      </c>
      <c r="KZ173" s="128">
        <v>0</v>
      </c>
      <c r="LA173" s="128">
        <v>0</v>
      </c>
      <c r="LB173" s="128">
        <v>0</v>
      </c>
      <c r="LF173" s="128">
        <v>5000</v>
      </c>
      <c r="LG173" s="128">
        <v>2000</v>
      </c>
      <c r="LH173" s="128">
        <v>2000</v>
      </c>
      <c r="LL173" s="128">
        <v>5000</v>
      </c>
      <c r="LM173" s="128">
        <v>2000</v>
      </c>
      <c r="LN173" s="128">
        <v>2000</v>
      </c>
      <c r="LR173" s="128">
        <v>45000</v>
      </c>
      <c r="LS173" s="128">
        <v>25000</v>
      </c>
      <c r="LT173" s="128">
        <v>25000</v>
      </c>
      <c r="LX173" s="128">
        <v>40000</v>
      </c>
      <c r="LY173" s="128">
        <v>0</v>
      </c>
      <c r="LZ173" s="128">
        <v>0</v>
      </c>
      <c r="MD173" s="128">
        <v>10000</v>
      </c>
      <c r="ME173" s="128">
        <v>5000</v>
      </c>
      <c r="MF173" s="128">
        <v>5000</v>
      </c>
      <c r="MJ173" s="128">
        <v>15000</v>
      </c>
      <c r="MK173" s="128">
        <v>5000</v>
      </c>
      <c r="ML173" s="128">
        <v>5000</v>
      </c>
      <c r="MP173" s="128">
        <v>120000</v>
      </c>
      <c r="MQ173" s="128">
        <v>30000</v>
      </c>
      <c r="MR173" s="128">
        <v>30000</v>
      </c>
      <c r="MV173" s="128">
        <v>212000</v>
      </c>
      <c r="MW173" s="128">
        <v>150000</v>
      </c>
      <c r="MX173" s="128">
        <v>150000</v>
      </c>
      <c r="NB173" s="128">
        <v>12000</v>
      </c>
      <c r="NC173" s="128">
        <v>2000</v>
      </c>
      <c r="ND173" s="128">
        <v>2000</v>
      </c>
      <c r="NH173" s="128">
        <v>250000</v>
      </c>
      <c r="NI173" s="128">
        <v>30000</v>
      </c>
      <c r="NJ173" s="128">
        <v>30000</v>
      </c>
      <c r="NN173" s="128">
        <v>70000</v>
      </c>
      <c r="NO173" s="128">
        <v>40000</v>
      </c>
      <c r="NP173" s="128">
        <v>40000</v>
      </c>
      <c r="NT173" s="128">
        <v>30000</v>
      </c>
      <c r="NU173" s="128">
        <v>5000</v>
      </c>
      <c r="NV173" s="128">
        <v>5000</v>
      </c>
      <c r="NZ173" s="128">
        <v>34000</v>
      </c>
      <c r="OA173" s="128">
        <v>7500</v>
      </c>
      <c r="OB173" s="128">
        <v>7500</v>
      </c>
      <c r="OF173" s="128">
        <v>3000</v>
      </c>
      <c r="OG173" s="128">
        <v>1500</v>
      </c>
      <c r="OH173" s="128">
        <v>1500</v>
      </c>
      <c r="OL173" s="128">
        <v>0</v>
      </c>
      <c r="OM173" s="128">
        <v>0</v>
      </c>
      <c r="ON173" s="128">
        <v>0</v>
      </c>
      <c r="OR173" s="128">
        <v>0</v>
      </c>
      <c r="OS173" s="128">
        <v>0</v>
      </c>
      <c r="OT173" s="128">
        <v>0</v>
      </c>
      <c r="OX173" s="128">
        <v>84500</v>
      </c>
      <c r="OY173" s="128">
        <v>30000</v>
      </c>
      <c r="OZ173" s="128">
        <v>30000</v>
      </c>
      <c r="PD173" s="128">
        <v>12000</v>
      </c>
      <c r="PE173" s="128">
        <v>0</v>
      </c>
      <c r="PF173" s="128">
        <v>0</v>
      </c>
      <c r="PJ173" s="128">
        <v>14000</v>
      </c>
      <c r="PK173" s="128">
        <v>0</v>
      </c>
      <c r="PL173" s="128">
        <v>0</v>
      </c>
      <c r="PP173" s="128">
        <v>3712270</v>
      </c>
      <c r="PQ173" s="128">
        <v>3015000</v>
      </c>
      <c r="PR173" s="128">
        <v>3015000</v>
      </c>
      <c r="PS173" s="128">
        <v>100</v>
      </c>
      <c r="PT173" s="128">
        <v>100</v>
      </c>
      <c r="PX173" s="128">
        <v>244804</v>
      </c>
      <c r="PY173" s="128">
        <v>1397371</v>
      </c>
      <c r="PZ173" s="128">
        <v>3015000</v>
      </c>
      <c r="QA173" s="128">
        <v>0</v>
      </c>
      <c r="QB173" s="128">
        <v>0</v>
      </c>
      <c r="QC173" s="128">
        <v>0</v>
      </c>
      <c r="QD173" s="128">
        <v>0</v>
      </c>
      <c r="QE173" s="128">
        <v>0</v>
      </c>
      <c r="QF173" s="128">
        <v>0</v>
      </c>
      <c r="QG173" s="128">
        <v>0</v>
      </c>
      <c r="QH173" s="128">
        <v>0</v>
      </c>
      <c r="QI173" s="128">
        <v>0</v>
      </c>
      <c r="QJ173" s="128">
        <v>0</v>
      </c>
      <c r="QK173" s="128">
        <v>0</v>
      </c>
      <c r="QL173" s="128">
        <v>0</v>
      </c>
      <c r="QN173" s="128">
        <v>0</v>
      </c>
      <c r="QO173" s="128">
        <v>0</v>
      </c>
      <c r="QP173" s="128">
        <v>0</v>
      </c>
      <c r="QX173" s="128">
        <v>521000</v>
      </c>
      <c r="QY173" s="128">
        <v>409000</v>
      </c>
      <c r="QZ173" s="128">
        <v>500000</v>
      </c>
      <c r="RA173" s="128">
        <v>2020392</v>
      </c>
      <c r="RB173" s="128">
        <v>1042067</v>
      </c>
      <c r="RC173" s="128">
        <v>53270</v>
      </c>
      <c r="RD173" s="128">
        <v>135384</v>
      </c>
      <c r="RE173" s="128">
        <v>130000</v>
      </c>
      <c r="RF173" s="128">
        <v>144000</v>
      </c>
      <c r="RH173" s="128">
        <f t="shared" si="310"/>
        <v>3712270</v>
      </c>
      <c r="RI173" s="128">
        <v>0</v>
      </c>
      <c r="RM173" s="128" t="s">
        <v>220</v>
      </c>
      <c r="RU173" s="130"/>
      <c r="RV173" s="130"/>
      <c r="RW173" s="130"/>
      <c r="RX173" s="130"/>
      <c r="SF173" s="128">
        <f t="shared" si="220"/>
        <v>2813024</v>
      </c>
      <c r="SG173" s="131">
        <f t="shared" si="221"/>
        <v>3712270</v>
      </c>
      <c r="SH173" s="131">
        <f t="shared" si="222"/>
        <v>3712270</v>
      </c>
      <c r="SI173" s="131">
        <f t="shared" si="223"/>
        <v>2755770</v>
      </c>
      <c r="SJ173" s="132">
        <f t="shared" si="224"/>
        <v>2750770</v>
      </c>
      <c r="SK173" s="132">
        <f t="shared" si="225"/>
        <v>0</v>
      </c>
      <c r="SL173" s="132">
        <f t="shared" si="226"/>
        <v>0</v>
      </c>
      <c r="SM173" s="132">
        <f t="shared" si="227"/>
        <v>5000</v>
      </c>
      <c r="SN173" s="131">
        <f t="shared" si="228"/>
        <v>956500</v>
      </c>
      <c r="SO173" s="131">
        <f t="shared" si="229"/>
        <v>50000</v>
      </c>
      <c r="SP173" s="132">
        <f t="shared" si="230"/>
        <v>5000</v>
      </c>
      <c r="SQ173" s="132">
        <f t="shared" si="231"/>
        <v>45000</v>
      </c>
      <c r="SR173" s="132">
        <f t="shared" si="232"/>
        <v>40000</v>
      </c>
      <c r="SS173" s="132">
        <f t="shared" si="233"/>
        <v>10000</v>
      </c>
      <c r="ST173" s="132">
        <f t="shared" si="234"/>
        <v>15000</v>
      </c>
      <c r="SU173" s="132">
        <f t="shared" si="235"/>
        <v>120000</v>
      </c>
      <c r="SV173" s="131">
        <f t="shared" si="236"/>
        <v>695500</v>
      </c>
      <c r="SW173" s="132">
        <f t="shared" si="237"/>
        <v>212000</v>
      </c>
      <c r="SX173" s="132">
        <f t="shared" si="238"/>
        <v>12000</v>
      </c>
      <c r="SY173" s="132">
        <f t="shared" si="239"/>
        <v>250000</v>
      </c>
      <c r="SZ173" s="132">
        <f t="shared" si="240"/>
        <v>70000</v>
      </c>
      <c r="TA173" s="132">
        <f t="shared" si="241"/>
        <v>30000</v>
      </c>
      <c r="TB173" s="132">
        <f t="shared" si="242"/>
        <v>34000</v>
      </c>
      <c r="TC173" s="132">
        <f t="shared" si="243"/>
        <v>3000</v>
      </c>
      <c r="TD173" s="132">
        <f t="shared" si="244"/>
        <v>0</v>
      </c>
      <c r="TE173" s="132">
        <f t="shared" si="245"/>
        <v>0</v>
      </c>
      <c r="TF173" s="132">
        <f t="shared" si="246"/>
        <v>84500</v>
      </c>
      <c r="TG173" s="132">
        <f t="shared" si="247"/>
        <v>12000</v>
      </c>
      <c r="TH173" s="132">
        <f t="shared" si="248"/>
        <v>14000</v>
      </c>
      <c r="TI173" s="1"/>
      <c r="TJ173" s="131">
        <f t="shared" si="249"/>
        <v>3015000</v>
      </c>
      <c r="TK173" s="131">
        <f t="shared" si="250"/>
        <v>3015000</v>
      </c>
      <c r="TL173" s="131">
        <f t="shared" si="251"/>
        <v>2682000</v>
      </c>
      <c r="TM173" s="132">
        <f t="shared" si="252"/>
        <v>2680000</v>
      </c>
      <c r="TN173" s="132">
        <f t="shared" si="253"/>
        <v>0</v>
      </c>
      <c r="TO173" s="132">
        <f t="shared" si="254"/>
        <v>0</v>
      </c>
      <c r="TP173" s="132">
        <f t="shared" si="255"/>
        <v>2000</v>
      </c>
      <c r="TQ173" s="131">
        <f t="shared" si="256"/>
        <v>333000</v>
      </c>
      <c r="TR173" s="131">
        <f t="shared" si="257"/>
        <v>27000</v>
      </c>
      <c r="TS173" s="132">
        <f t="shared" si="258"/>
        <v>2000</v>
      </c>
      <c r="TT173" s="132">
        <f t="shared" si="259"/>
        <v>25000</v>
      </c>
      <c r="TU173" s="132">
        <f t="shared" si="260"/>
        <v>0</v>
      </c>
      <c r="TV173" s="132">
        <f t="shared" si="261"/>
        <v>5000</v>
      </c>
      <c r="TW173" s="132">
        <f t="shared" si="262"/>
        <v>5000</v>
      </c>
      <c r="TX173" s="132">
        <f t="shared" si="263"/>
        <v>30000</v>
      </c>
      <c r="TY173" s="131">
        <f t="shared" si="264"/>
        <v>266000</v>
      </c>
      <c r="TZ173" s="132">
        <f t="shared" si="265"/>
        <v>150000</v>
      </c>
      <c r="UA173" s="132">
        <f t="shared" si="266"/>
        <v>2000</v>
      </c>
      <c r="UB173" s="132">
        <f t="shared" si="267"/>
        <v>30000</v>
      </c>
      <c r="UC173" s="132">
        <f t="shared" si="268"/>
        <v>40000</v>
      </c>
      <c r="UD173" s="132">
        <f t="shared" si="269"/>
        <v>5000</v>
      </c>
      <c r="UE173" s="132">
        <f t="shared" si="270"/>
        <v>7500</v>
      </c>
      <c r="UF173" s="132">
        <f t="shared" si="271"/>
        <v>1500</v>
      </c>
      <c r="UG173" s="132">
        <f t="shared" si="272"/>
        <v>0</v>
      </c>
      <c r="UH173" s="132">
        <f t="shared" si="273"/>
        <v>0</v>
      </c>
      <c r="UI173" s="132">
        <f t="shared" si="274"/>
        <v>30000</v>
      </c>
      <c r="UJ173" s="132">
        <f t="shared" si="275"/>
        <v>0</v>
      </c>
      <c r="UK173" s="132">
        <f t="shared" si="276"/>
        <v>0</v>
      </c>
      <c r="UL173" s="132">
        <f t="shared" si="311"/>
        <v>3015000</v>
      </c>
      <c r="UM173" s="131">
        <f t="shared" si="277"/>
        <v>3015000</v>
      </c>
      <c r="UN173" s="131">
        <f t="shared" si="278"/>
        <v>3015000</v>
      </c>
      <c r="UO173" s="131">
        <f t="shared" si="279"/>
        <v>2682000</v>
      </c>
      <c r="UP173" s="132">
        <f t="shared" si="280"/>
        <v>2680000</v>
      </c>
      <c r="UQ173" s="132">
        <f t="shared" si="281"/>
        <v>0</v>
      </c>
      <c r="UR173" s="132">
        <f t="shared" si="282"/>
        <v>0</v>
      </c>
      <c r="US173" s="132">
        <f t="shared" si="283"/>
        <v>2000</v>
      </c>
      <c r="UT173" s="131">
        <f t="shared" si="284"/>
        <v>333000</v>
      </c>
      <c r="UU173" s="131">
        <f t="shared" si="285"/>
        <v>27000</v>
      </c>
      <c r="UV173" s="132">
        <f t="shared" si="286"/>
        <v>2000</v>
      </c>
      <c r="UW173" s="132">
        <f t="shared" si="287"/>
        <v>25000</v>
      </c>
      <c r="UX173" s="132">
        <f t="shared" si="288"/>
        <v>0</v>
      </c>
      <c r="UY173" s="132">
        <f t="shared" si="289"/>
        <v>5000</v>
      </c>
      <c r="UZ173" s="132">
        <f t="shared" si="290"/>
        <v>5000</v>
      </c>
      <c r="VA173" s="132">
        <f t="shared" si="291"/>
        <v>30000</v>
      </c>
      <c r="VB173" s="131">
        <f t="shared" si="292"/>
        <v>266000</v>
      </c>
      <c r="VC173" s="132">
        <f t="shared" si="293"/>
        <v>150000</v>
      </c>
      <c r="VD173" s="132">
        <f t="shared" si="294"/>
        <v>2000</v>
      </c>
      <c r="VE173" s="132">
        <f t="shared" si="295"/>
        <v>30000</v>
      </c>
      <c r="VF173" s="132">
        <f t="shared" si="296"/>
        <v>40000</v>
      </c>
      <c r="VG173" s="132">
        <f t="shared" si="297"/>
        <v>5000</v>
      </c>
      <c r="VH173" s="132">
        <f t="shared" si="298"/>
        <v>7500</v>
      </c>
      <c r="VI173" s="132">
        <f t="shared" si="299"/>
        <v>1500</v>
      </c>
      <c r="VJ173" s="132">
        <f t="shared" si="300"/>
        <v>0</v>
      </c>
      <c r="VK173" s="132">
        <f t="shared" si="301"/>
        <v>0</v>
      </c>
      <c r="VL173" s="132">
        <f t="shared" si="302"/>
        <v>30000</v>
      </c>
      <c r="VM173" s="132">
        <f t="shared" si="303"/>
        <v>0</v>
      </c>
      <c r="VN173" s="132">
        <f t="shared" si="304"/>
        <v>0</v>
      </c>
      <c r="VP173" s="845" t="str">
        <f>IFERROR(HLOOKUP(F173,'Hodnocení '!$C$1:$JH$5,2,FALSE),0)</f>
        <v>Dům Matky Terezy Hradec Králové</v>
      </c>
      <c r="VQ173" s="838"/>
      <c r="VR173" s="845" t="str">
        <f t="shared" si="312"/>
        <v>Církve a náboženské společnosti</v>
      </c>
      <c r="VS173" s="845" t="str">
        <f>IFERROR(HLOOKUP(F173,'Hodnocení '!$C$1:$JH$5,5,FALSE),0)</f>
        <v>NZO</v>
      </c>
      <c r="VT173" s="838">
        <f t="shared" si="313"/>
        <v>0</v>
      </c>
      <c r="VU173" s="838">
        <f t="shared" si="314"/>
        <v>0</v>
      </c>
      <c r="VV173" s="838">
        <f t="shared" si="315"/>
        <v>0</v>
      </c>
      <c r="VW173" s="838">
        <f t="shared" si="316"/>
        <v>0</v>
      </c>
      <c r="VX173" s="838"/>
      <c r="VY173" s="838">
        <f t="shared" si="317"/>
        <v>0</v>
      </c>
      <c r="VZ173" s="838">
        <f t="shared" si="318"/>
        <v>3015000</v>
      </c>
      <c r="WA173" s="846">
        <f>IFERROR(HLOOKUP($F173,'Hodnocení '!$C$1:$JH$9,9,FALSE),0)</f>
        <v>3015000</v>
      </c>
      <c r="WB173" s="846">
        <f>IF(IFERROR(HLOOKUP($F173,'Hodnocení '!$C$1:$JH$13,13,FALSE),0)&gt;WA173,WA173,IFERROR(HLOOKUP($F173,'Hodnocení '!$C$1:$JH$13,13,FALSE),0))</f>
        <v>3015000</v>
      </c>
      <c r="WC173" s="846">
        <f>IFERROR(HLOOKUP($F173,'Hodnocení '!$C$1:$JH$155,155,FALSE),0)</f>
        <v>0</v>
      </c>
      <c r="WD173" s="845"/>
      <c r="WE173" s="845"/>
      <c r="WF173" s="845" t="str">
        <f t="shared" si="305"/>
        <v>ANO</v>
      </c>
      <c r="WG173" s="849" t="str">
        <f t="shared" si="320"/>
        <v>Podpora služby je vyjádřena zařazením do sítě sociálních služeb v KHK a řešením financování služby</v>
      </c>
      <c r="WH173"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73" s="849" t="str">
        <f t="shared" si="320"/>
        <v>Návrh dotace je výsledkem projednání s ostatními zadavateli v rámci sítě služeb KHK</v>
      </c>
      <c r="WJ173" s="849" t="str">
        <f t="shared" si="320"/>
        <v>Bez komentáře</v>
      </c>
      <c r="WK173" s="31">
        <f t="shared" si="306"/>
        <v>0</v>
      </c>
      <c r="WL173" s="850">
        <f t="shared" si="307"/>
        <v>0</v>
      </c>
      <c r="WM173" s="849">
        <f t="shared" si="308"/>
        <v>0</v>
      </c>
      <c r="WN173" s="849">
        <f t="shared" si="309"/>
        <v>0</v>
      </c>
      <c r="WO173" s="849" t="str">
        <f t="shared" si="319"/>
        <v>bez komentáře</v>
      </c>
      <c r="WP173" s="849" t="str">
        <f t="shared" si="319"/>
        <v>bez komentáře</v>
      </c>
      <c r="WQ173" s="849" t="str">
        <f t="shared" si="319"/>
        <v>Konečná výše dotace z rozpočtu KHK bude řešena v návaznosti na řešení podílů jednotlivých zadavatelů.</v>
      </c>
      <c r="WR173" s="849" t="str">
        <f t="shared" si="319"/>
        <v>Konečná výše podpory ze stran obcí bude řešena v součinnosti s jednotlivými zadavateli v průběhu roku.</v>
      </c>
      <c r="WS173" s="849" t="str">
        <f t="shared" si="319"/>
        <v>bez komentáře</v>
      </c>
      <c r="WT173" s="849" t="str">
        <f t="shared" si="319"/>
        <v>bez komentáře</v>
      </c>
      <c r="WU173" s="845"/>
    </row>
    <row r="174" spans="1:619" s="128" customFormat="1" x14ac:dyDescent="0.25">
      <c r="A174" s="128" t="str">
        <f>VLOOKUP(F174,'Výpočet VP 2020'!$D$324:$I$588,6,FALSE)</f>
        <v>Je v síti</v>
      </c>
      <c r="B174" s="128" t="s">
        <v>776</v>
      </c>
      <c r="C174" s="128">
        <v>45979855</v>
      </c>
      <c r="D174" s="128" t="s">
        <v>777</v>
      </c>
      <c r="E174" s="128" t="s">
        <v>360</v>
      </c>
      <c r="F174" s="128">
        <v>2886510</v>
      </c>
      <c r="G174" s="128" t="s">
        <v>292</v>
      </c>
      <c r="H174" s="128" t="s">
        <v>293</v>
      </c>
      <c r="I174" s="128" t="s">
        <v>789</v>
      </c>
      <c r="J174" s="129">
        <v>39083</v>
      </c>
      <c r="L174" s="128" t="s">
        <v>220</v>
      </c>
      <c r="X174" s="128" t="s">
        <v>335</v>
      </c>
      <c r="AI174" s="128">
        <v>3</v>
      </c>
      <c r="AJ174" s="128">
        <v>32</v>
      </c>
      <c r="AK174" s="128">
        <v>3839</v>
      </c>
      <c r="AL174" s="128">
        <v>3900</v>
      </c>
      <c r="AM174" s="128">
        <v>4000</v>
      </c>
      <c r="AP174" s="128" t="s">
        <v>266</v>
      </c>
      <c r="BE174" s="128">
        <v>1</v>
      </c>
      <c r="BF174" s="128">
        <v>4</v>
      </c>
      <c r="BG174" s="128">
        <v>39</v>
      </c>
      <c r="BH174" s="128">
        <v>35</v>
      </c>
      <c r="BI174" s="128">
        <v>40</v>
      </c>
      <c r="BL174" s="128" t="s">
        <v>790</v>
      </c>
      <c r="BM174" s="128" t="s">
        <v>340</v>
      </c>
      <c r="BN174" s="128" t="s">
        <v>364</v>
      </c>
      <c r="EK174" s="128">
        <v>4</v>
      </c>
      <c r="EL174" s="128">
        <v>2.35</v>
      </c>
      <c r="EM174" s="128">
        <v>2.4</v>
      </c>
      <c r="EN174" s="128">
        <v>1323778</v>
      </c>
      <c r="EO174" s="128">
        <v>1240000</v>
      </c>
      <c r="FJ174" s="128">
        <v>1</v>
      </c>
      <c r="FK174" s="128">
        <v>0.9</v>
      </c>
      <c r="FL174" s="128">
        <v>0.75</v>
      </c>
      <c r="FM174" s="128">
        <v>484812</v>
      </c>
      <c r="FN174" s="128">
        <v>390000</v>
      </c>
      <c r="FO174" s="128">
        <v>11</v>
      </c>
      <c r="FP174" s="128">
        <v>0.95</v>
      </c>
      <c r="FQ174" s="128">
        <v>0</v>
      </c>
      <c r="FR174" s="128">
        <v>581292</v>
      </c>
      <c r="FS174" s="128">
        <v>480000</v>
      </c>
      <c r="HV174" s="128">
        <v>1</v>
      </c>
      <c r="HW174" s="128">
        <v>0.15</v>
      </c>
      <c r="HX174" s="128">
        <v>12</v>
      </c>
      <c r="HY174" s="128">
        <v>0.15</v>
      </c>
      <c r="HZ174" s="128">
        <v>160800</v>
      </c>
      <c r="IA174" s="128">
        <v>150000</v>
      </c>
      <c r="IN174" s="128">
        <v>1</v>
      </c>
      <c r="IO174" s="128">
        <v>240</v>
      </c>
      <c r="IP174" s="128">
        <v>0.115</v>
      </c>
      <c r="IQ174" s="128">
        <v>96000</v>
      </c>
      <c r="IR174" s="128">
        <v>80000</v>
      </c>
      <c r="IS174" s="128">
        <v>1</v>
      </c>
      <c r="IT174" s="128">
        <v>260</v>
      </c>
      <c r="IU174" s="128">
        <v>0.124</v>
      </c>
      <c r="IV174" s="128">
        <v>26000</v>
      </c>
      <c r="IW174" s="128">
        <v>16000</v>
      </c>
      <c r="JW174" s="128">
        <v>1</v>
      </c>
      <c r="JX174" s="128">
        <v>0.09</v>
      </c>
      <c r="JY174" s="128">
        <v>0.06</v>
      </c>
      <c r="JZ174" s="128">
        <v>85000</v>
      </c>
      <c r="KA174" s="128">
        <v>80000</v>
      </c>
      <c r="KG174" s="128">
        <v>3</v>
      </c>
      <c r="KH174" s="128">
        <v>12</v>
      </c>
      <c r="KI174" s="128">
        <v>3.25</v>
      </c>
      <c r="KJ174" s="128">
        <v>0.15</v>
      </c>
      <c r="KK174" s="128">
        <v>0.115</v>
      </c>
      <c r="KL174" s="128">
        <v>0.09</v>
      </c>
      <c r="KM174" s="128">
        <v>3.605</v>
      </c>
      <c r="KN174" s="128">
        <v>2389882</v>
      </c>
      <c r="KO174" s="128">
        <v>2110000</v>
      </c>
      <c r="KP174" s="128">
        <v>2110000</v>
      </c>
      <c r="KT174" s="128">
        <v>160800</v>
      </c>
      <c r="KU174" s="128">
        <v>150000</v>
      </c>
      <c r="KV174" s="128">
        <v>150000</v>
      </c>
      <c r="KZ174" s="128">
        <v>122000</v>
      </c>
      <c r="LA174" s="128">
        <v>96000</v>
      </c>
      <c r="LB174" s="128">
        <v>96000</v>
      </c>
      <c r="LF174" s="128">
        <v>47000</v>
      </c>
      <c r="LG174" s="128">
        <v>2000</v>
      </c>
      <c r="LH174" s="128">
        <v>2000</v>
      </c>
      <c r="LL174" s="128">
        <v>7500</v>
      </c>
      <c r="LM174" s="128">
        <v>6000</v>
      </c>
      <c r="LN174" s="128">
        <v>6000</v>
      </c>
      <c r="LR174" s="128">
        <v>29000</v>
      </c>
      <c r="LS174" s="128">
        <v>16000</v>
      </c>
      <c r="LT174" s="128">
        <v>16000</v>
      </c>
      <c r="LX174" s="128">
        <v>5000</v>
      </c>
      <c r="LY174" s="128">
        <v>0</v>
      </c>
      <c r="LZ174" s="128">
        <v>0</v>
      </c>
      <c r="MD174" s="128">
        <v>6000</v>
      </c>
      <c r="ME174" s="128">
        <v>4000</v>
      </c>
      <c r="MF174" s="128">
        <v>4000</v>
      </c>
      <c r="MJ174" s="128">
        <v>0</v>
      </c>
      <c r="MK174" s="128">
        <v>0</v>
      </c>
      <c r="ML174" s="128">
        <v>0</v>
      </c>
      <c r="MP174" s="128">
        <v>20000</v>
      </c>
      <c r="MQ174" s="128">
        <v>10000</v>
      </c>
      <c r="MR174" s="128">
        <v>10000</v>
      </c>
      <c r="MV174" s="128">
        <v>37000</v>
      </c>
      <c r="MW174" s="128">
        <v>20000</v>
      </c>
      <c r="MX174" s="128">
        <v>20000</v>
      </c>
      <c r="NB174" s="128">
        <v>11018</v>
      </c>
      <c r="NC174" s="128">
        <v>10000</v>
      </c>
      <c r="ND174" s="128">
        <v>10000</v>
      </c>
      <c r="NH174" s="128">
        <v>100200</v>
      </c>
      <c r="NI174" s="128">
        <v>100000</v>
      </c>
      <c r="NJ174" s="128">
        <v>100000</v>
      </c>
      <c r="NN174" s="128">
        <v>120000</v>
      </c>
      <c r="NO174" s="128">
        <v>100000</v>
      </c>
      <c r="NP174" s="128">
        <v>100000</v>
      </c>
      <c r="NT174" s="128">
        <v>36000</v>
      </c>
      <c r="NU174" s="128">
        <v>20000</v>
      </c>
      <c r="NV174" s="128">
        <v>20000</v>
      </c>
      <c r="NZ174" s="128">
        <v>3000</v>
      </c>
      <c r="OA174" s="128">
        <v>0</v>
      </c>
      <c r="OB174" s="128">
        <v>0</v>
      </c>
      <c r="OF174" s="128">
        <v>5000</v>
      </c>
      <c r="OG174" s="128">
        <v>3000</v>
      </c>
      <c r="OH174" s="128">
        <v>3000</v>
      </c>
      <c r="OL174" s="128">
        <v>85000</v>
      </c>
      <c r="OM174" s="128">
        <v>80000</v>
      </c>
      <c r="ON174" s="128">
        <v>80000</v>
      </c>
      <c r="OR174" s="128">
        <v>0</v>
      </c>
      <c r="OS174" s="128">
        <v>0</v>
      </c>
      <c r="OT174" s="128">
        <v>0</v>
      </c>
      <c r="OX174" s="128">
        <v>38600</v>
      </c>
      <c r="OY174" s="128">
        <v>20000</v>
      </c>
      <c r="OZ174" s="128">
        <v>20000</v>
      </c>
      <c r="PD174" s="128">
        <v>0</v>
      </c>
      <c r="PE174" s="128">
        <v>0</v>
      </c>
      <c r="PF174" s="128">
        <v>0</v>
      </c>
      <c r="PJ174" s="128">
        <v>9000</v>
      </c>
      <c r="PK174" s="128">
        <v>0</v>
      </c>
      <c r="PL174" s="128">
        <v>0</v>
      </c>
      <c r="PP174" s="128">
        <v>3232000</v>
      </c>
      <c r="PQ174" s="128">
        <v>2747000</v>
      </c>
      <c r="PR174" s="128">
        <v>2747000</v>
      </c>
      <c r="PS174" s="128">
        <v>100</v>
      </c>
      <c r="PT174" s="128">
        <v>100</v>
      </c>
      <c r="PX174" s="128">
        <v>1984812</v>
      </c>
      <c r="PY174" s="128">
        <v>2120418</v>
      </c>
      <c r="PZ174" s="128">
        <v>2747000</v>
      </c>
      <c r="QA174" s="128">
        <v>0</v>
      </c>
      <c r="QB174" s="128">
        <v>0</v>
      </c>
      <c r="QC174" s="128">
        <v>0</v>
      </c>
      <c r="QD174" s="128">
        <v>0</v>
      </c>
      <c r="QE174" s="128">
        <v>0</v>
      </c>
      <c r="QF174" s="128">
        <v>0</v>
      </c>
      <c r="QG174" s="128">
        <v>0</v>
      </c>
      <c r="QH174" s="128">
        <v>0</v>
      </c>
      <c r="QI174" s="128">
        <v>0</v>
      </c>
      <c r="QJ174" s="128">
        <v>0</v>
      </c>
      <c r="QK174" s="128">
        <v>0</v>
      </c>
      <c r="QL174" s="128">
        <v>0</v>
      </c>
      <c r="QN174" s="128">
        <v>0</v>
      </c>
      <c r="QO174" s="128">
        <v>0</v>
      </c>
      <c r="QP174" s="128">
        <v>0</v>
      </c>
      <c r="QU174" s="128">
        <v>145000</v>
      </c>
      <c r="QV174" s="128">
        <v>0</v>
      </c>
      <c r="QW174" s="128">
        <v>93000</v>
      </c>
      <c r="QX174" s="128">
        <v>296000</v>
      </c>
      <c r="QY174" s="128">
        <v>290000</v>
      </c>
      <c r="QZ174" s="128">
        <v>300000</v>
      </c>
      <c r="RA174" s="128">
        <v>41896</v>
      </c>
      <c r="RB174" s="128">
        <v>104236</v>
      </c>
      <c r="RC174" s="128">
        <v>16324</v>
      </c>
      <c r="RD174" s="128">
        <v>54512</v>
      </c>
      <c r="RE174" s="128">
        <v>70000</v>
      </c>
      <c r="RF174" s="128">
        <v>75676</v>
      </c>
      <c r="RH174" s="128">
        <f t="shared" si="310"/>
        <v>3232000</v>
      </c>
      <c r="RI174" s="128">
        <v>0</v>
      </c>
      <c r="RM174" s="128" t="s">
        <v>220</v>
      </c>
      <c r="RU174" s="130"/>
      <c r="RV174" s="130"/>
      <c r="RW174" s="130"/>
      <c r="RX174" s="130"/>
      <c r="SF174" s="128">
        <f t="shared" si="220"/>
        <v>2886510</v>
      </c>
      <c r="SG174" s="131">
        <f t="shared" si="221"/>
        <v>3232000</v>
      </c>
      <c r="SH174" s="131">
        <f t="shared" si="222"/>
        <v>3232000</v>
      </c>
      <c r="SI174" s="131">
        <f t="shared" si="223"/>
        <v>2719682</v>
      </c>
      <c r="SJ174" s="132">
        <f t="shared" si="224"/>
        <v>2389882</v>
      </c>
      <c r="SK174" s="132">
        <f t="shared" si="225"/>
        <v>160800</v>
      </c>
      <c r="SL174" s="132">
        <f t="shared" si="226"/>
        <v>122000</v>
      </c>
      <c r="SM174" s="132">
        <f t="shared" si="227"/>
        <v>47000</v>
      </c>
      <c r="SN174" s="131">
        <f t="shared" si="228"/>
        <v>512318</v>
      </c>
      <c r="SO174" s="131">
        <f t="shared" si="229"/>
        <v>36500</v>
      </c>
      <c r="SP174" s="132">
        <f t="shared" si="230"/>
        <v>7500</v>
      </c>
      <c r="SQ174" s="132">
        <f t="shared" si="231"/>
        <v>29000</v>
      </c>
      <c r="SR174" s="132">
        <f t="shared" si="232"/>
        <v>5000</v>
      </c>
      <c r="SS174" s="132">
        <f t="shared" si="233"/>
        <v>6000</v>
      </c>
      <c r="ST174" s="132">
        <f t="shared" si="234"/>
        <v>0</v>
      </c>
      <c r="SU174" s="132">
        <f t="shared" si="235"/>
        <v>20000</v>
      </c>
      <c r="SV174" s="131">
        <f t="shared" si="236"/>
        <v>435818</v>
      </c>
      <c r="SW174" s="132">
        <f t="shared" si="237"/>
        <v>37000</v>
      </c>
      <c r="SX174" s="132">
        <f t="shared" si="238"/>
        <v>11018</v>
      </c>
      <c r="SY174" s="132">
        <f t="shared" si="239"/>
        <v>100200</v>
      </c>
      <c r="SZ174" s="132">
        <f t="shared" si="240"/>
        <v>120000</v>
      </c>
      <c r="TA174" s="132">
        <f t="shared" si="241"/>
        <v>36000</v>
      </c>
      <c r="TB174" s="132">
        <f t="shared" si="242"/>
        <v>3000</v>
      </c>
      <c r="TC174" s="132">
        <f t="shared" si="243"/>
        <v>5000</v>
      </c>
      <c r="TD174" s="132">
        <f t="shared" si="244"/>
        <v>85000</v>
      </c>
      <c r="TE174" s="132">
        <f t="shared" si="245"/>
        <v>0</v>
      </c>
      <c r="TF174" s="132">
        <f t="shared" si="246"/>
        <v>38600</v>
      </c>
      <c r="TG174" s="132">
        <f t="shared" si="247"/>
        <v>0</v>
      </c>
      <c r="TH174" s="132">
        <f t="shared" si="248"/>
        <v>9000</v>
      </c>
      <c r="TI174" s="1"/>
      <c r="TJ174" s="131">
        <f t="shared" si="249"/>
        <v>2747000</v>
      </c>
      <c r="TK174" s="131">
        <f t="shared" si="250"/>
        <v>2747000</v>
      </c>
      <c r="TL174" s="131">
        <f t="shared" si="251"/>
        <v>2358000</v>
      </c>
      <c r="TM174" s="132">
        <f t="shared" si="252"/>
        <v>2110000</v>
      </c>
      <c r="TN174" s="132">
        <f t="shared" si="253"/>
        <v>150000</v>
      </c>
      <c r="TO174" s="132">
        <f t="shared" si="254"/>
        <v>96000</v>
      </c>
      <c r="TP174" s="132">
        <f t="shared" si="255"/>
        <v>2000</v>
      </c>
      <c r="TQ174" s="131">
        <f t="shared" si="256"/>
        <v>389000</v>
      </c>
      <c r="TR174" s="131">
        <f t="shared" si="257"/>
        <v>22000</v>
      </c>
      <c r="TS174" s="132">
        <f t="shared" si="258"/>
        <v>6000</v>
      </c>
      <c r="TT174" s="132">
        <f t="shared" si="259"/>
        <v>16000</v>
      </c>
      <c r="TU174" s="132">
        <f t="shared" si="260"/>
        <v>0</v>
      </c>
      <c r="TV174" s="132">
        <f t="shared" si="261"/>
        <v>4000</v>
      </c>
      <c r="TW174" s="132">
        <f t="shared" si="262"/>
        <v>0</v>
      </c>
      <c r="TX174" s="132">
        <f t="shared" si="263"/>
        <v>10000</v>
      </c>
      <c r="TY174" s="131">
        <f t="shared" si="264"/>
        <v>353000</v>
      </c>
      <c r="TZ174" s="132">
        <f t="shared" si="265"/>
        <v>20000</v>
      </c>
      <c r="UA174" s="132">
        <f t="shared" si="266"/>
        <v>10000</v>
      </c>
      <c r="UB174" s="132">
        <f t="shared" si="267"/>
        <v>100000</v>
      </c>
      <c r="UC174" s="132">
        <f t="shared" si="268"/>
        <v>100000</v>
      </c>
      <c r="UD174" s="132">
        <f t="shared" si="269"/>
        <v>20000</v>
      </c>
      <c r="UE174" s="132">
        <f t="shared" si="270"/>
        <v>0</v>
      </c>
      <c r="UF174" s="132">
        <f t="shared" si="271"/>
        <v>3000</v>
      </c>
      <c r="UG174" s="132">
        <f t="shared" si="272"/>
        <v>80000</v>
      </c>
      <c r="UH174" s="132">
        <f t="shared" si="273"/>
        <v>0</v>
      </c>
      <c r="UI174" s="132">
        <f t="shared" si="274"/>
        <v>20000</v>
      </c>
      <c r="UJ174" s="132">
        <f t="shared" si="275"/>
        <v>0</v>
      </c>
      <c r="UK174" s="132">
        <f t="shared" si="276"/>
        <v>0</v>
      </c>
      <c r="UL174" s="132">
        <f t="shared" si="311"/>
        <v>2747000</v>
      </c>
      <c r="UM174" s="131">
        <f t="shared" si="277"/>
        <v>2747000</v>
      </c>
      <c r="UN174" s="131">
        <f t="shared" si="278"/>
        <v>2747000</v>
      </c>
      <c r="UO174" s="131">
        <f t="shared" si="279"/>
        <v>2358000</v>
      </c>
      <c r="UP174" s="132">
        <f t="shared" si="280"/>
        <v>2110000</v>
      </c>
      <c r="UQ174" s="132">
        <f t="shared" si="281"/>
        <v>150000</v>
      </c>
      <c r="UR174" s="132">
        <f t="shared" si="282"/>
        <v>96000</v>
      </c>
      <c r="US174" s="132">
        <f t="shared" si="283"/>
        <v>2000</v>
      </c>
      <c r="UT174" s="131">
        <f t="shared" si="284"/>
        <v>389000</v>
      </c>
      <c r="UU174" s="131">
        <f t="shared" si="285"/>
        <v>22000</v>
      </c>
      <c r="UV174" s="132">
        <f t="shared" si="286"/>
        <v>6000</v>
      </c>
      <c r="UW174" s="132">
        <f t="shared" si="287"/>
        <v>16000</v>
      </c>
      <c r="UX174" s="132">
        <f t="shared" si="288"/>
        <v>0</v>
      </c>
      <c r="UY174" s="132">
        <f t="shared" si="289"/>
        <v>4000</v>
      </c>
      <c r="UZ174" s="132">
        <f t="shared" si="290"/>
        <v>0</v>
      </c>
      <c r="VA174" s="132">
        <f t="shared" si="291"/>
        <v>10000</v>
      </c>
      <c r="VB174" s="131">
        <f t="shared" si="292"/>
        <v>353000</v>
      </c>
      <c r="VC174" s="132">
        <f t="shared" si="293"/>
        <v>20000</v>
      </c>
      <c r="VD174" s="132">
        <f t="shared" si="294"/>
        <v>10000</v>
      </c>
      <c r="VE174" s="132">
        <f t="shared" si="295"/>
        <v>100000</v>
      </c>
      <c r="VF174" s="132">
        <f t="shared" si="296"/>
        <v>100000</v>
      </c>
      <c r="VG174" s="132">
        <f t="shared" si="297"/>
        <v>20000</v>
      </c>
      <c r="VH174" s="132">
        <f t="shared" si="298"/>
        <v>0</v>
      </c>
      <c r="VI174" s="132">
        <f t="shared" si="299"/>
        <v>3000</v>
      </c>
      <c r="VJ174" s="132">
        <f t="shared" si="300"/>
        <v>80000</v>
      </c>
      <c r="VK174" s="132">
        <f t="shared" si="301"/>
        <v>0</v>
      </c>
      <c r="VL174" s="132">
        <f t="shared" si="302"/>
        <v>20000</v>
      </c>
      <c r="VM174" s="132">
        <f t="shared" si="303"/>
        <v>0</v>
      </c>
      <c r="VN174" s="132">
        <f t="shared" si="304"/>
        <v>0</v>
      </c>
      <c r="VP174" s="845" t="str">
        <f>IFERROR(HLOOKUP(F174,'Hodnocení '!$C$1:$JH$5,2,FALSE),0)</f>
        <v>Poradna pro lidi v tísni Hradec Králové</v>
      </c>
      <c r="VQ174" s="838"/>
      <c r="VR174" s="845" t="str">
        <f t="shared" si="312"/>
        <v>Církve a náboženské společnosti</v>
      </c>
      <c r="VS174" s="845" t="str">
        <f>IFERROR(HLOOKUP(F174,'Hodnocení '!$C$1:$JH$5,5,FALSE),0)</f>
        <v>NZO</v>
      </c>
      <c r="VT174" s="838">
        <f t="shared" si="313"/>
        <v>0</v>
      </c>
      <c r="VU174" s="838">
        <f t="shared" si="314"/>
        <v>0</v>
      </c>
      <c r="VV174" s="838">
        <f t="shared" si="315"/>
        <v>0</v>
      </c>
      <c r="VW174" s="838">
        <f t="shared" si="316"/>
        <v>0</v>
      </c>
      <c r="VX174" s="838"/>
      <c r="VY174" s="838">
        <f t="shared" si="317"/>
        <v>0</v>
      </c>
      <c r="VZ174" s="838">
        <f t="shared" si="318"/>
        <v>2747000</v>
      </c>
      <c r="WA174" s="846">
        <f>IFERROR(HLOOKUP($F174,'Hodnocení '!$C$1:$JH$9,9,FALSE),0)</f>
        <v>2747000</v>
      </c>
      <c r="WB174" s="846">
        <f>IF(IFERROR(HLOOKUP($F174,'Hodnocení '!$C$1:$JH$13,13,FALSE),0)&gt;WA174,WA174,IFERROR(HLOOKUP($F174,'Hodnocení '!$C$1:$JH$13,13,FALSE),0))</f>
        <v>2414013.9100289997</v>
      </c>
      <c r="WC174" s="846">
        <f>IFERROR(HLOOKUP($F174,'Hodnocení '!$C$1:$JH$155,155,FALSE),0)</f>
        <v>2238060</v>
      </c>
      <c r="WD174" s="845"/>
      <c r="WE174" s="845"/>
      <c r="WF174" s="845" t="str">
        <f t="shared" si="305"/>
        <v>ANO</v>
      </c>
      <c r="WG174" s="849" t="str">
        <f t="shared" si="320"/>
        <v>Podpora služby je vyjádřena zařazením do sítě sociálních služeb v KHK a řešením financování služby</v>
      </c>
      <c r="WH174"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74" s="849" t="str">
        <f t="shared" si="320"/>
        <v>Návrh dotace je výsledkem projednání s ostatními zadavateli v rámci sítě služeb KHK</v>
      </c>
      <c r="WJ174" s="849" t="str">
        <f t="shared" si="320"/>
        <v>Bez komentáře</v>
      </c>
      <c r="WK174" s="31">
        <f t="shared" si="306"/>
        <v>0</v>
      </c>
      <c r="WL174" s="850">
        <f t="shared" si="307"/>
        <v>0</v>
      </c>
      <c r="WM174" s="849">
        <f t="shared" si="308"/>
        <v>0</v>
      </c>
      <c r="WN174" s="849">
        <f t="shared" si="309"/>
        <v>0</v>
      </c>
      <c r="WO174" s="849" t="str">
        <f t="shared" si="319"/>
        <v>bez komentáře</v>
      </c>
      <c r="WP174" s="849" t="str">
        <f t="shared" si="319"/>
        <v>bez komentáře</v>
      </c>
      <c r="WQ174" s="849" t="str">
        <f t="shared" si="319"/>
        <v>Konečná výše dotace z rozpočtu KHK bude řešena v návaznosti na řešení podílů jednotlivých zadavatelů.</v>
      </c>
      <c r="WR174" s="849" t="str">
        <f t="shared" si="319"/>
        <v>Konečná výše podpory ze stran obcí bude řešena v součinnosti s jednotlivými zadavateli v průběhu roku.</v>
      </c>
      <c r="WS174" s="849" t="str">
        <f t="shared" si="319"/>
        <v>bez komentáře</v>
      </c>
      <c r="WT174" s="849" t="str">
        <f t="shared" si="319"/>
        <v>bez komentáře</v>
      </c>
      <c r="WU174" s="845"/>
    </row>
    <row r="175" spans="1:619" s="128" customFormat="1" x14ac:dyDescent="0.25">
      <c r="A175" s="128" t="str">
        <f>VLOOKUP(F175,'Výpočet VP 2020'!$D$324:$I$588,6,FALSE)</f>
        <v>Je v síti</v>
      </c>
      <c r="B175" s="128" t="s">
        <v>776</v>
      </c>
      <c r="C175" s="128">
        <v>45979855</v>
      </c>
      <c r="D175" s="128" t="s">
        <v>777</v>
      </c>
      <c r="E175" s="128" t="s">
        <v>360</v>
      </c>
      <c r="F175" s="128">
        <v>4699567</v>
      </c>
      <c r="G175" s="128" t="s">
        <v>705</v>
      </c>
      <c r="H175" s="128" t="s">
        <v>230</v>
      </c>
      <c r="I175" s="128" t="s">
        <v>791</v>
      </c>
      <c r="J175" s="129">
        <v>39083</v>
      </c>
      <c r="L175" s="128" t="s">
        <v>220</v>
      </c>
      <c r="M175" s="128" t="s">
        <v>706</v>
      </c>
      <c r="N175" s="128">
        <v>32</v>
      </c>
      <c r="P175" s="128">
        <v>76</v>
      </c>
      <c r="Q175" s="128">
        <v>75</v>
      </c>
      <c r="R175" s="128">
        <v>78</v>
      </c>
      <c r="BL175" s="128" t="s">
        <v>786</v>
      </c>
      <c r="BM175" s="128" t="s">
        <v>702</v>
      </c>
      <c r="BN175" s="128" t="s">
        <v>364</v>
      </c>
      <c r="EK175" s="128">
        <v>1</v>
      </c>
      <c r="EL175" s="128">
        <v>1</v>
      </c>
      <c r="EM175" s="128">
        <v>1</v>
      </c>
      <c r="EN175" s="128">
        <v>562800</v>
      </c>
      <c r="EO175" s="128">
        <v>250000</v>
      </c>
      <c r="EP175" s="128">
        <v>5</v>
      </c>
      <c r="EQ175" s="128">
        <v>5</v>
      </c>
      <c r="ER175" s="128">
        <v>5.8</v>
      </c>
      <c r="ES175" s="128">
        <v>3001954</v>
      </c>
      <c r="ET175" s="128">
        <v>2993000</v>
      </c>
      <c r="FO175" s="128">
        <v>10</v>
      </c>
      <c r="FP175" s="128">
        <v>1</v>
      </c>
      <c r="FQ175" s="128">
        <v>1.03</v>
      </c>
      <c r="FR175" s="128">
        <v>578076</v>
      </c>
      <c r="FS175" s="128">
        <v>240000</v>
      </c>
      <c r="KG175" s="128">
        <v>6</v>
      </c>
      <c r="KH175" s="128">
        <v>111</v>
      </c>
      <c r="KI175" s="128">
        <v>6</v>
      </c>
      <c r="KJ175" s="128">
        <v>0</v>
      </c>
      <c r="KK175" s="128">
        <v>0</v>
      </c>
      <c r="KL175" s="128">
        <v>0</v>
      </c>
      <c r="KM175" s="128">
        <v>6</v>
      </c>
      <c r="KN175" s="128">
        <v>4142830</v>
      </c>
      <c r="KO175" s="128">
        <v>3483000</v>
      </c>
      <c r="KP175" s="128">
        <v>3483000</v>
      </c>
      <c r="KT175" s="128">
        <v>0</v>
      </c>
      <c r="KU175" s="128">
        <v>0</v>
      </c>
      <c r="KV175" s="128">
        <v>0</v>
      </c>
      <c r="KZ175" s="128">
        <v>0</v>
      </c>
      <c r="LA175" s="128">
        <v>0</v>
      </c>
      <c r="LB175" s="128">
        <v>0</v>
      </c>
      <c r="LF175" s="128">
        <v>8000</v>
      </c>
      <c r="LG175" s="128">
        <v>0</v>
      </c>
      <c r="LH175" s="128">
        <v>0</v>
      </c>
      <c r="LL175" s="128">
        <v>9000</v>
      </c>
      <c r="LM175" s="128">
        <v>0</v>
      </c>
      <c r="LN175" s="128">
        <v>0</v>
      </c>
      <c r="LR175" s="128">
        <v>50000</v>
      </c>
      <c r="LS175" s="128">
        <v>20000</v>
      </c>
      <c r="LT175" s="128">
        <v>20000</v>
      </c>
      <c r="LX175" s="128">
        <v>20000</v>
      </c>
      <c r="LY175" s="128">
        <v>0</v>
      </c>
      <c r="LZ175" s="128">
        <v>0</v>
      </c>
      <c r="MD175" s="128">
        <v>10000</v>
      </c>
      <c r="ME175" s="128">
        <v>0</v>
      </c>
      <c r="MF175" s="128">
        <v>0</v>
      </c>
      <c r="MJ175" s="128">
        <v>30000</v>
      </c>
      <c r="MK175" s="128">
        <v>0</v>
      </c>
      <c r="ML175" s="128">
        <v>0</v>
      </c>
      <c r="MP175" s="128">
        <v>180000</v>
      </c>
      <c r="MQ175" s="128">
        <v>0</v>
      </c>
      <c r="MR175" s="128">
        <v>0</v>
      </c>
      <c r="MV175" s="128">
        <v>480000</v>
      </c>
      <c r="MW175" s="128">
        <v>200000</v>
      </c>
      <c r="MX175" s="128">
        <v>200000</v>
      </c>
      <c r="NB175" s="128">
        <v>17000</v>
      </c>
      <c r="NC175" s="128">
        <v>0</v>
      </c>
      <c r="ND175" s="128">
        <v>0</v>
      </c>
      <c r="NH175" s="128">
        <v>305000</v>
      </c>
      <c r="NI175" s="128">
        <v>0</v>
      </c>
      <c r="NJ175" s="128">
        <v>0</v>
      </c>
      <c r="NN175" s="128">
        <v>140000</v>
      </c>
      <c r="NO175" s="128">
        <v>0</v>
      </c>
      <c r="NP175" s="128">
        <v>0</v>
      </c>
      <c r="NT175" s="128">
        <v>40000</v>
      </c>
      <c r="NU175" s="128">
        <v>0</v>
      </c>
      <c r="NV175" s="128">
        <v>0</v>
      </c>
      <c r="NZ175" s="128">
        <v>72000</v>
      </c>
      <c r="OA175" s="128">
        <v>0</v>
      </c>
      <c r="OB175" s="128">
        <v>0</v>
      </c>
      <c r="OF175" s="128">
        <v>6000</v>
      </c>
      <c r="OG175" s="128">
        <v>0</v>
      </c>
      <c r="OH175" s="128">
        <v>0</v>
      </c>
      <c r="OL175" s="128">
        <v>0</v>
      </c>
      <c r="OM175" s="128">
        <v>0</v>
      </c>
      <c r="ON175" s="128">
        <v>0</v>
      </c>
      <c r="OR175" s="128">
        <v>0</v>
      </c>
      <c r="OS175" s="128">
        <v>0</v>
      </c>
      <c r="OT175" s="128">
        <v>0</v>
      </c>
      <c r="OX175" s="128">
        <v>147500</v>
      </c>
      <c r="OY175" s="128">
        <v>0</v>
      </c>
      <c r="OZ175" s="128">
        <v>0</v>
      </c>
      <c r="PD175" s="128">
        <v>28000</v>
      </c>
      <c r="PE175" s="128">
        <v>0</v>
      </c>
      <c r="PF175" s="128">
        <v>0</v>
      </c>
      <c r="PJ175" s="128">
        <v>48000</v>
      </c>
      <c r="PK175" s="128">
        <v>0</v>
      </c>
      <c r="PL175" s="128">
        <v>0</v>
      </c>
      <c r="PP175" s="128">
        <v>5733330</v>
      </c>
      <c r="PQ175" s="128">
        <v>3703000</v>
      </c>
      <c r="PR175" s="128">
        <v>3703000</v>
      </c>
      <c r="PS175" s="128">
        <v>100</v>
      </c>
      <c r="PT175" s="128">
        <v>100</v>
      </c>
      <c r="PX175" s="128">
        <v>974569</v>
      </c>
      <c r="PY175" s="128">
        <v>2319450</v>
      </c>
      <c r="PZ175" s="128">
        <v>3703000</v>
      </c>
      <c r="QA175" s="128">
        <v>0</v>
      </c>
      <c r="QB175" s="128">
        <v>0</v>
      </c>
      <c r="QC175" s="128">
        <v>0</v>
      </c>
      <c r="QD175" s="128">
        <v>0</v>
      </c>
      <c r="QE175" s="128">
        <v>0</v>
      </c>
      <c r="QF175" s="128">
        <v>0</v>
      </c>
      <c r="QG175" s="128">
        <v>0</v>
      </c>
      <c r="QH175" s="128">
        <v>0</v>
      </c>
      <c r="QI175" s="128">
        <v>0</v>
      </c>
      <c r="QJ175" s="128">
        <v>1293070</v>
      </c>
      <c r="QK175" s="128">
        <v>1200000</v>
      </c>
      <c r="QL175" s="128">
        <v>1200000</v>
      </c>
      <c r="QN175" s="128">
        <v>0</v>
      </c>
      <c r="QO175" s="128">
        <v>0</v>
      </c>
      <c r="QP175" s="128">
        <v>0</v>
      </c>
      <c r="QX175" s="128">
        <v>764000</v>
      </c>
      <c r="QY175" s="128">
        <v>890000</v>
      </c>
      <c r="QZ175" s="128">
        <v>800000</v>
      </c>
      <c r="RA175" s="128">
        <v>2704487</v>
      </c>
      <c r="RB175" s="128">
        <v>1406549</v>
      </c>
      <c r="RC175" s="128">
        <v>30330</v>
      </c>
      <c r="RH175" s="128">
        <f t="shared" si="310"/>
        <v>4533330</v>
      </c>
      <c r="RI175" s="128">
        <v>0</v>
      </c>
      <c r="RM175" s="128" t="s">
        <v>220</v>
      </c>
      <c r="RU175" s="130"/>
      <c r="RV175" s="130"/>
      <c r="RW175" s="130"/>
      <c r="RX175" s="130"/>
      <c r="SF175" s="128">
        <f t="shared" si="220"/>
        <v>4699567</v>
      </c>
      <c r="SG175" s="131">
        <f t="shared" si="221"/>
        <v>5733330</v>
      </c>
      <c r="SH175" s="131">
        <f t="shared" si="222"/>
        <v>5733330</v>
      </c>
      <c r="SI175" s="131">
        <f t="shared" si="223"/>
        <v>4150830</v>
      </c>
      <c r="SJ175" s="132">
        <f t="shared" si="224"/>
        <v>4142830</v>
      </c>
      <c r="SK175" s="132">
        <f t="shared" si="225"/>
        <v>0</v>
      </c>
      <c r="SL175" s="132">
        <f t="shared" si="226"/>
        <v>0</v>
      </c>
      <c r="SM175" s="132">
        <f t="shared" si="227"/>
        <v>8000</v>
      </c>
      <c r="SN175" s="131">
        <f t="shared" si="228"/>
        <v>1582500</v>
      </c>
      <c r="SO175" s="131">
        <f t="shared" si="229"/>
        <v>59000</v>
      </c>
      <c r="SP175" s="132">
        <f t="shared" si="230"/>
        <v>9000</v>
      </c>
      <c r="SQ175" s="132">
        <f t="shared" si="231"/>
        <v>50000</v>
      </c>
      <c r="SR175" s="132">
        <f t="shared" si="232"/>
        <v>20000</v>
      </c>
      <c r="SS175" s="132">
        <f t="shared" si="233"/>
        <v>10000</v>
      </c>
      <c r="ST175" s="132">
        <f t="shared" si="234"/>
        <v>30000</v>
      </c>
      <c r="SU175" s="132">
        <f t="shared" si="235"/>
        <v>180000</v>
      </c>
      <c r="SV175" s="131">
        <f t="shared" si="236"/>
        <v>1207500</v>
      </c>
      <c r="SW175" s="132">
        <f t="shared" si="237"/>
        <v>480000</v>
      </c>
      <c r="SX175" s="132">
        <f t="shared" si="238"/>
        <v>17000</v>
      </c>
      <c r="SY175" s="132">
        <f t="shared" si="239"/>
        <v>305000</v>
      </c>
      <c r="SZ175" s="132">
        <f t="shared" si="240"/>
        <v>140000</v>
      </c>
      <c r="TA175" s="132">
        <f t="shared" si="241"/>
        <v>40000</v>
      </c>
      <c r="TB175" s="132">
        <f t="shared" si="242"/>
        <v>72000</v>
      </c>
      <c r="TC175" s="132">
        <f t="shared" si="243"/>
        <v>6000</v>
      </c>
      <c r="TD175" s="132">
        <f t="shared" si="244"/>
        <v>0</v>
      </c>
      <c r="TE175" s="132">
        <f t="shared" si="245"/>
        <v>0</v>
      </c>
      <c r="TF175" s="132">
        <f t="shared" si="246"/>
        <v>147500</v>
      </c>
      <c r="TG175" s="132">
        <f t="shared" si="247"/>
        <v>28000</v>
      </c>
      <c r="TH175" s="132">
        <f t="shared" si="248"/>
        <v>48000</v>
      </c>
      <c r="TI175" s="1"/>
      <c r="TJ175" s="131">
        <f t="shared" si="249"/>
        <v>3703000</v>
      </c>
      <c r="TK175" s="131">
        <f t="shared" si="250"/>
        <v>3703000</v>
      </c>
      <c r="TL175" s="131">
        <f t="shared" si="251"/>
        <v>3483000</v>
      </c>
      <c r="TM175" s="132">
        <f t="shared" si="252"/>
        <v>3483000</v>
      </c>
      <c r="TN175" s="132">
        <f t="shared" si="253"/>
        <v>0</v>
      </c>
      <c r="TO175" s="132">
        <f t="shared" si="254"/>
        <v>0</v>
      </c>
      <c r="TP175" s="132">
        <f t="shared" si="255"/>
        <v>0</v>
      </c>
      <c r="TQ175" s="131">
        <f t="shared" si="256"/>
        <v>220000</v>
      </c>
      <c r="TR175" s="131">
        <f t="shared" si="257"/>
        <v>20000</v>
      </c>
      <c r="TS175" s="132">
        <f t="shared" si="258"/>
        <v>0</v>
      </c>
      <c r="TT175" s="132">
        <f t="shared" si="259"/>
        <v>20000</v>
      </c>
      <c r="TU175" s="132">
        <f t="shared" si="260"/>
        <v>0</v>
      </c>
      <c r="TV175" s="132">
        <f t="shared" si="261"/>
        <v>0</v>
      </c>
      <c r="TW175" s="132">
        <f t="shared" si="262"/>
        <v>0</v>
      </c>
      <c r="TX175" s="132">
        <f t="shared" si="263"/>
        <v>0</v>
      </c>
      <c r="TY175" s="131">
        <f t="shared" si="264"/>
        <v>200000</v>
      </c>
      <c r="TZ175" s="132">
        <f t="shared" si="265"/>
        <v>200000</v>
      </c>
      <c r="UA175" s="132">
        <f t="shared" si="266"/>
        <v>0</v>
      </c>
      <c r="UB175" s="132">
        <f t="shared" si="267"/>
        <v>0</v>
      </c>
      <c r="UC175" s="132">
        <f t="shared" si="268"/>
        <v>0</v>
      </c>
      <c r="UD175" s="132">
        <f t="shared" si="269"/>
        <v>0</v>
      </c>
      <c r="UE175" s="132">
        <f t="shared" si="270"/>
        <v>0</v>
      </c>
      <c r="UF175" s="132">
        <f t="shared" si="271"/>
        <v>0</v>
      </c>
      <c r="UG175" s="132">
        <f t="shared" si="272"/>
        <v>0</v>
      </c>
      <c r="UH175" s="132">
        <f t="shared" si="273"/>
        <v>0</v>
      </c>
      <c r="UI175" s="132">
        <f t="shared" si="274"/>
        <v>0</v>
      </c>
      <c r="UJ175" s="132">
        <f t="shared" si="275"/>
        <v>0</v>
      </c>
      <c r="UK175" s="132">
        <f t="shared" si="276"/>
        <v>0</v>
      </c>
      <c r="UL175" s="132">
        <f t="shared" si="311"/>
        <v>3703000</v>
      </c>
      <c r="UM175" s="131">
        <f t="shared" si="277"/>
        <v>3703000</v>
      </c>
      <c r="UN175" s="131">
        <f t="shared" si="278"/>
        <v>3703000</v>
      </c>
      <c r="UO175" s="131">
        <f t="shared" si="279"/>
        <v>3483000</v>
      </c>
      <c r="UP175" s="132">
        <f t="shared" si="280"/>
        <v>3483000</v>
      </c>
      <c r="UQ175" s="132">
        <f t="shared" si="281"/>
        <v>0</v>
      </c>
      <c r="UR175" s="132">
        <f t="shared" si="282"/>
        <v>0</v>
      </c>
      <c r="US175" s="132">
        <f t="shared" si="283"/>
        <v>0</v>
      </c>
      <c r="UT175" s="131">
        <f t="shared" si="284"/>
        <v>220000</v>
      </c>
      <c r="UU175" s="131">
        <f t="shared" si="285"/>
        <v>20000</v>
      </c>
      <c r="UV175" s="132">
        <f t="shared" si="286"/>
        <v>0</v>
      </c>
      <c r="UW175" s="132">
        <f t="shared" si="287"/>
        <v>20000</v>
      </c>
      <c r="UX175" s="132">
        <f t="shared" si="288"/>
        <v>0</v>
      </c>
      <c r="UY175" s="132">
        <f t="shared" si="289"/>
        <v>0</v>
      </c>
      <c r="UZ175" s="132">
        <f t="shared" si="290"/>
        <v>0</v>
      </c>
      <c r="VA175" s="132">
        <f t="shared" si="291"/>
        <v>0</v>
      </c>
      <c r="VB175" s="131">
        <f t="shared" si="292"/>
        <v>200000</v>
      </c>
      <c r="VC175" s="132">
        <f t="shared" si="293"/>
        <v>200000</v>
      </c>
      <c r="VD175" s="132">
        <f t="shared" si="294"/>
        <v>0</v>
      </c>
      <c r="VE175" s="132">
        <f t="shared" si="295"/>
        <v>0</v>
      </c>
      <c r="VF175" s="132">
        <f t="shared" si="296"/>
        <v>0</v>
      </c>
      <c r="VG175" s="132">
        <f t="shared" si="297"/>
        <v>0</v>
      </c>
      <c r="VH175" s="132">
        <f t="shared" si="298"/>
        <v>0</v>
      </c>
      <c r="VI175" s="132">
        <f t="shared" si="299"/>
        <v>0</v>
      </c>
      <c r="VJ175" s="132">
        <f t="shared" si="300"/>
        <v>0</v>
      </c>
      <c r="VK175" s="132">
        <f t="shared" si="301"/>
        <v>0</v>
      </c>
      <c r="VL175" s="132">
        <f t="shared" si="302"/>
        <v>0</v>
      </c>
      <c r="VM175" s="132">
        <f t="shared" si="303"/>
        <v>0</v>
      </c>
      <c r="VN175" s="132">
        <f t="shared" si="304"/>
        <v>0</v>
      </c>
      <c r="VP175" s="845" t="str">
        <f>IFERROR(HLOOKUP(F175,'Hodnocení '!$C$1:$JH$5,2,FALSE),0)</f>
        <v>Dům Matky Terezy Hradec Králové</v>
      </c>
      <c r="VQ175" s="838"/>
      <c r="VR175" s="845" t="str">
        <f t="shared" si="312"/>
        <v>Církve a náboženské společnosti</v>
      </c>
      <c r="VS175" s="845" t="str">
        <f>IFERROR(HLOOKUP(F175,'Hodnocení '!$C$1:$JH$5,5,FALSE),0)</f>
        <v>NZO</v>
      </c>
      <c r="VT175" s="838">
        <f t="shared" si="313"/>
        <v>0</v>
      </c>
      <c r="VU175" s="838">
        <f t="shared" si="314"/>
        <v>0</v>
      </c>
      <c r="VV175" s="838">
        <f t="shared" si="315"/>
        <v>1200000</v>
      </c>
      <c r="VW175" s="838">
        <f t="shared" si="316"/>
        <v>0</v>
      </c>
      <c r="VX175" s="838"/>
      <c r="VY175" s="838">
        <f t="shared" si="317"/>
        <v>0</v>
      </c>
      <c r="VZ175" s="838">
        <f t="shared" si="318"/>
        <v>3703000</v>
      </c>
      <c r="WA175" s="846">
        <f>IFERROR(HLOOKUP($F175,'Hodnocení '!$C$1:$JH$9,9,FALSE),0)</f>
        <v>3703000</v>
      </c>
      <c r="WB175" s="846">
        <f>IF(IFERROR(HLOOKUP($F175,'Hodnocení '!$C$1:$JH$13,13,FALSE),0)&gt;WA175,WA175,IFERROR(HLOOKUP($F175,'Hodnocení '!$C$1:$JH$13,13,FALSE),0))</f>
        <v>3703000</v>
      </c>
      <c r="WC175" s="846">
        <f>IFERROR(HLOOKUP($F175,'Hodnocení '!$C$1:$JH$155,155,FALSE),0)</f>
        <v>0</v>
      </c>
      <c r="WD175" s="845"/>
      <c r="WE175" s="845"/>
      <c r="WF175" s="845" t="str">
        <f t="shared" si="305"/>
        <v>ANO</v>
      </c>
      <c r="WG175" s="849" t="str">
        <f t="shared" si="320"/>
        <v>Podpora služby je vyjádřena zařazením do sítě sociálních služeb v KHK a řešením financování služby</v>
      </c>
      <c r="WH175"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75" s="849" t="str">
        <f t="shared" si="320"/>
        <v>Návrh dotace je výsledkem projednání s ostatními zadavateli v rámci sítě služeb KHK</v>
      </c>
      <c r="WJ175" s="849" t="str">
        <f t="shared" si="320"/>
        <v>Bez komentáře</v>
      </c>
      <c r="WK175" s="31">
        <f t="shared" si="306"/>
        <v>0</v>
      </c>
      <c r="WL175" s="850">
        <f t="shared" si="307"/>
        <v>0</v>
      </c>
      <c r="WM175" s="849" t="str">
        <f t="shared" si="308"/>
        <v>V rámci sítě KHK se dlouhodobě řeší otázka navyšování úhrad a průběžně se monitoruje s vazbou na vykrytí vyrovnávací platby</v>
      </c>
      <c r="WN175" s="849">
        <f t="shared" si="309"/>
        <v>0</v>
      </c>
      <c r="WO175" s="849" t="str">
        <f t="shared" si="319"/>
        <v>bez komentáře</v>
      </c>
      <c r="WP175" s="849" t="str">
        <f t="shared" si="319"/>
        <v>bez komentáře</v>
      </c>
      <c r="WQ175" s="849" t="str">
        <f t="shared" si="319"/>
        <v>Konečná výše dotace z rozpočtu KHK bude řešena v návaznosti na řešení podílů jednotlivých zadavatelů.</v>
      </c>
      <c r="WR175" s="849" t="str">
        <f t="shared" si="319"/>
        <v>Konečná výše podpory ze stran obcí bude řešena v součinnosti s jednotlivými zadavateli v průběhu roku.</v>
      </c>
      <c r="WS175" s="849" t="str">
        <f t="shared" si="319"/>
        <v>bez komentáře</v>
      </c>
      <c r="WT175" s="849" t="str">
        <f t="shared" si="319"/>
        <v>bez komentáře</v>
      </c>
      <c r="WU175" s="845"/>
    </row>
    <row r="176" spans="1:619" s="128" customFormat="1" x14ac:dyDescent="0.25">
      <c r="A176" s="128" t="str">
        <f>VLOOKUP(F176,'Výpočet VP 2020'!$D$324:$I$588,6,FALSE)</f>
        <v>Je v síti</v>
      </c>
      <c r="B176" s="128" t="s">
        <v>776</v>
      </c>
      <c r="C176" s="128">
        <v>45979855</v>
      </c>
      <c r="D176" s="128" t="s">
        <v>777</v>
      </c>
      <c r="E176" s="128" t="s">
        <v>360</v>
      </c>
      <c r="F176" s="128">
        <v>5376966</v>
      </c>
      <c r="G176" s="128" t="s">
        <v>328</v>
      </c>
      <c r="H176" s="128" t="s">
        <v>218</v>
      </c>
      <c r="I176" s="128" t="s">
        <v>792</v>
      </c>
      <c r="J176" s="129">
        <v>39083</v>
      </c>
      <c r="L176" s="128" t="s">
        <v>220</v>
      </c>
      <c r="AP176" s="128" t="s">
        <v>573</v>
      </c>
      <c r="AQ176" s="128">
        <v>26</v>
      </c>
      <c r="AR176" s="128">
        <v>210</v>
      </c>
      <c r="AS176" s="128">
        <v>386</v>
      </c>
      <c r="AT176" s="128">
        <v>380</v>
      </c>
      <c r="AU176" s="128">
        <v>390</v>
      </c>
      <c r="BJ176" s="128">
        <v>25700</v>
      </c>
      <c r="BL176" s="128" t="s">
        <v>793</v>
      </c>
      <c r="BM176" s="128" t="s">
        <v>325</v>
      </c>
      <c r="BN176" s="128" t="s">
        <v>364</v>
      </c>
      <c r="BO176" s="128">
        <v>0</v>
      </c>
      <c r="BP176" s="128">
        <v>0</v>
      </c>
      <c r="BQ176" s="128">
        <v>0</v>
      </c>
      <c r="BR176" s="128">
        <v>0</v>
      </c>
      <c r="BS176" s="128">
        <v>0</v>
      </c>
      <c r="BT176" s="128">
        <v>108</v>
      </c>
      <c r="BU176" s="128">
        <v>102</v>
      </c>
      <c r="BV176" s="128">
        <v>43</v>
      </c>
      <c r="BW176" s="128">
        <v>14</v>
      </c>
      <c r="BX176" s="128">
        <v>78</v>
      </c>
      <c r="BY176" s="128">
        <v>108</v>
      </c>
      <c r="BZ176" s="128">
        <v>102</v>
      </c>
      <c r="CA176" s="128">
        <v>43</v>
      </c>
      <c r="CB176" s="128">
        <v>14</v>
      </c>
      <c r="CC176" s="128">
        <v>78</v>
      </c>
      <c r="CD176" s="128">
        <v>0</v>
      </c>
      <c r="CE176" s="128">
        <v>345</v>
      </c>
      <c r="CF176" s="128">
        <v>345</v>
      </c>
      <c r="CG176" s="128">
        <v>0</v>
      </c>
      <c r="CH176" s="128">
        <v>0</v>
      </c>
      <c r="CI176" s="128">
        <v>0</v>
      </c>
      <c r="CJ176" s="128">
        <v>0</v>
      </c>
      <c r="CK176" s="128">
        <v>0</v>
      </c>
      <c r="CL176" s="128">
        <v>0</v>
      </c>
      <c r="CM176" s="128">
        <v>105</v>
      </c>
      <c r="CN176" s="128">
        <v>120</v>
      </c>
      <c r="CO176" s="128">
        <v>60</v>
      </c>
      <c r="CP176" s="128">
        <v>15</v>
      </c>
      <c r="CQ176" s="128">
        <v>90</v>
      </c>
      <c r="CR176" s="128">
        <v>105</v>
      </c>
      <c r="CS176" s="128">
        <v>120</v>
      </c>
      <c r="CT176" s="128">
        <v>60</v>
      </c>
      <c r="CU176" s="128">
        <v>15</v>
      </c>
      <c r="CV176" s="128">
        <v>90</v>
      </c>
      <c r="CW176" s="128">
        <v>0</v>
      </c>
      <c r="CX176" s="128">
        <v>390</v>
      </c>
      <c r="CY176" s="128">
        <v>390</v>
      </c>
      <c r="CZ176" s="128">
        <v>0</v>
      </c>
      <c r="EK176" s="128">
        <v>3</v>
      </c>
      <c r="EL176" s="128">
        <v>3</v>
      </c>
      <c r="EM176" s="128">
        <v>3.91</v>
      </c>
      <c r="EN176" s="128">
        <v>1656240</v>
      </c>
      <c r="EO176" s="128">
        <v>1000000</v>
      </c>
      <c r="EP176" s="128">
        <v>27</v>
      </c>
      <c r="EQ176" s="128">
        <v>26.7</v>
      </c>
      <c r="ER176" s="128">
        <v>26.99</v>
      </c>
      <c r="ES176" s="128">
        <v>11693931</v>
      </c>
      <c r="ET176" s="128">
        <v>9800000</v>
      </c>
      <c r="FO176" s="128">
        <v>11</v>
      </c>
      <c r="FP176" s="128">
        <v>2.75</v>
      </c>
      <c r="FQ176" s="128">
        <v>1.58</v>
      </c>
      <c r="FR176" s="128">
        <v>1620864</v>
      </c>
      <c r="FS176" s="128">
        <v>450000</v>
      </c>
      <c r="GL176" s="128">
        <v>1</v>
      </c>
      <c r="GM176" s="128">
        <v>0.45</v>
      </c>
      <c r="GN176" s="128">
        <v>12</v>
      </c>
      <c r="GO176" s="128">
        <v>0.45</v>
      </c>
      <c r="GP176" s="128">
        <v>102510</v>
      </c>
      <c r="GQ176" s="128">
        <v>0</v>
      </c>
      <c r="IH176" s="128">
        <v>1</v>
      </c>
      <c r="II176" s="128">
        <v>8.5000000000000006E-2</v>
      </c>
      <c r="IJ176" s="128">
        <v>12</v>
      </c>
      <c r="IK176" s="128">
        <v>8.5000000000000006E-2</v>
      </c>
      <c r="IL176" s="128">
        <v>19370</v>
      </c>
      <c r="IM176" s="128">
        <v>0</v>
      </c>
      <c r="IN176" s="128">
        <v>5</v>
      </c>
      <c r="IO176" s="128">
        <v>1265</v>
      </c>
      <c r="IP176" s="128">
        <v>0.60399999999999998</v>
      </c>
      <c r="IQ176" s="128">
        <v>107525</v>
      </c>
      <c r="IR176" s="128">
        <v>20000</v>
      </c>
      <c r="IS176" s="128">
        <v>1</v>
      </c>
      <c r="IT176" s="128">
        <v>300</v>
      </c>
      <c r="IU176" s="128">
        <v>0.14299999999999999</v>
      </c>
      <c r="IV176" s="128">
        <v>25500</v>
      </c>
      <c r="IW176" s="128">
        <v>0</v>
      </c>
      <c r="KG176" s="128">
        <v>24</v>
      </c>
      <c r="KH176" s="128">
        <v>470</v>
      </c>
      <c r="KI176" s="128">
        <v>29.7</v>
      </c>
      <c r="KJ176" s="128">
        <v>0.45</v>
      </c>
      <c r="KK176" s="128">
        <v>0.60399999999999998</v>
      </c>
      <c r="KL176" s="128">
        <v>0</v>
      </c>
      <c r="KM176" s="128">
        <v>30.754000000000001</v>
      </c>
      <c r="KN176" s="128">
        <v>14971035</v>
      </c>
      <c r="KO176" s="128">
        <v>11250000</v>
      </c>
      <c r="KP176" s="128">
        <v>11250000</v>
      </c>
      <c r="KT176" s="128">
        <v>121880</v>
      </c>
      <c r="KU176" s="128">
        <v>0</v>
      </c>
      <c r="KV176" s="128">
        <v>0</v>
      </c>
      <c r="KZ176" s="128">
        <v>133025</v>
      </c>
      <c r="LA176" s="128">
        <v>20000</v>
      </c>
      <c r="LB176" s="128">
        <v>20000</v>
      </c>
      <c r="LF176" s="128">
        <v>261060</v>
      </c>
      <c r="LG176" s="128">
        <v>0</v>
      </c>
      <c r="LH176" s="128">
        <v>0</v>
      </c>
      <c r="LL176" s="128">
        <v>70000</v>
      </c>
      <c r="LM176" s="128">
        <v>0</v>
      </c>
      <c r="LN176" s="128">
        <v>0</v>
      </c>
      <c r="LR176" s="128">
        <v>90000</v>
      </c>
      <c r="LS176" s="128">
        <v>0</v>
      </c>
      <c r="LT176" s="128">
        <v>0</v>
      </c>
      <c r="LX176" s="128">
        <v>3000</v>
      </c>
      <c r="LY176" s="128">
        <v>0</v>
      </c>
      <c r="LZ176" s="128">
        <v>0</v>
      </c>
      <c r="MD176" s="128">
        <v>42000</v>
      </c>
      <c r="ME176" s="128">
        <v>0</v>
      </c>
      <c r="MF176" s="128">
        <v>0</v>
      </c>
      <c r="MJ176" s="128">
        <v>490000</v>
      </c>
      <c r="MK176" s="128">
        <v>32000</v>
      </c>
      <c r="ML176" s="128">
        <v>32000</v>
      </c>
      <c r="MP176" s="128">
        <v>115000</v>
      </c>
      <c r="MQ176" s="128">
        <v>0</v>
      </c>
      <c r="MR176" s="128">
        <v>0</v>
      </c>
      <c r="MV176" s="128">
        <v>142000</v>
      </c>
      <c r="MW176" s="128">
        <v>0</v>
      </c>
      <c r="MX176" s="128">
        <v>0</v>
      </c>
      <c r="NB176" s="128">
        <v>62000</v>
      </c>
      <c r="NC176" s="128">
        <v>0</v>
      </c>
      <c r="ND176" s="128">
        <v>0</v>
      </c>
      <c r="NH176" s="128">
        <v>144000</v>
      </c>
      <c r="NI176" s="128">
        <v>70000</v>
      </c>
      <c r="NJ176" s="128">
        <v>70000</v>
      </c>
      <c r="NN176" s="128">
        <v>452000</v>
      </c>
      <c r="NO176" s="128">
        <v>0</v>
      </c>
      <c r="NP176" s="128">
        <v>0</v>
      </c>
      <c r="NT176" s="128">
        <v>80000</v>
      </c>
      <c r="NU176" s="128">
        <v>20000</v>
      </c>
      <c r="NV176" s="128">
        <v>20000</v>
      </c>
      <c r="NZ176" s="128">
        <v>270000</v>
      </c>
      <c r="OA176" s="128">
        <v>100000</v>
      </c>
      <c r="OB176" s="128">
        <v>100000</v>
      </c>
      <c r="OF176" s="128">
        <v>53000</v>
      </c>
      <c r="OG176" s="128">
        <v>0</v>
      </c>
      <c r="OH176" s="128">
        <v>0</v>
      </c>
      <c r="OL176" s="128">
        <v>0</v>
      </c>
      <c r="OM176" s="128">
        <v>0</v>
      </c>
      <c r="ON176" s="128">
        <v>0</v>
      </c>
      <c r="OR176" s="128">
        <v>0</v>
      </c>
      <c r="OS176" s="128">
        <v>0</v>
      </c>
      <c r="OT176" s="128">
        <v>0</v>
      </c>
      <c r="OX176" s="128">
        <v>265000</v>
      </c>
      <c r="OY176" s="128">
        <v>0</v>
      </c>
      <c r="OZ176" s="128">
        <v>0</v>
      </c>
      <c r="PD176" s="128">
        <v>262000</v>
      </c>
      <c r="PE176" s="128">
        <v>0</v>
      </c>
      <c r="PF176" s="128">
        <v>0</v>
      </c>
      <c r="PJ176" s="128">
        <v>313000</v>
      </c>
      <c r="PK176" s="128">
        <v>0</v>
      </c>
      <c r="PL176" s="128">
        <v>0</v>
      </c>
      <c r="PP176" s="128">
        <v>18340000</v>
      </c>
      <c r="PQ176" s="128">
        <v>11492000</v>
      </c>
      <c r="PR176" s="128">
        <v>11492000</v>
      </c>
      <c r="PS176" s="128">
        <v>100</v>
      </c>
      <c r="PT176" s="128">
        <v>100</v>
      </c>
      <c r="PV176" s="128">
        <v>12302408</v>
      </c>
      <c r="PX176" s="128">
        <v>7529531</v>
      </c>
      <c r="PY176" s="128">
        <v>8268855</v>
      </c>
      <c r="PZ176" s="128">
        <v>11492000</v>
      </c>
      <c r="QA176" s="128">
        <v>0</v>
      </c>
      <c r="QB176" s="128">
        <v>0</v>
      </c>
      <c r="QC176" s="128">
        <v>0</v>
      </c>
      <c r="QD176" s="128">
        <v>0</v>
      </c>
      <c r="QE176" s="128">
        <v>0</v>
      </c>
      <c r="QF176" s="128">
        <v>0</v>
      </c>
      <c r="QG176" s="128">
        <v>0</v>
      </c>
      <c r="QH176" s="128">
        <v>0</v>
      </c>
      <c r="QI176" s="128">
        <v>0</v>
      </c>
      <c r="QJ176" s="128">
        <v>2833783</v>
      </c>
      <c r="QK176" s="128">
        <v>3000000</v>
      </c>
      <c r="QL176" s="128">
        <v>3000000</v>
      </c>
      <c r="QN176" s="128">
        <v>0</v>
      </c>
      <c r="QO176" s="128">
        <v>0</v>
      </c>
      <c r="QP176" s="128">
        <v>0</v>
      </c>
      <c r="QU176" s="128">
        <v>800000</v>
      </c>
      <c r="QV176" s="128">
        <v>100000</v>
      </c>
      <c r="QW176" s="128">
        <v>100000</v>
      </c>
      <c r="QX176" s="128">
        <v>3787338</v>
      </c>
      <c r="QY176" s="128">
        <v>4382000</v>
      </c>
      <c r="QZ176" s="128">
        <v>3385000</v>
      </c>
      <c r="RA176" s="128">
        <v>64290</v>
      </c>
      <c r="RB176" s="128">
        <v>243056</v>
      </c>
      <c r="RC176" s="128">
        <v>0</v>
      </c>
      <c r="RD176" s="128">
        <v>652406</v>
      </c>
      <c r="RE176" s="128">
        <v>1121041</v>
      </c>
      <c r="RF176" s="128">
        <v>363000</v>
      </c>
      <c r="RH176" s="128">
        <f t="shared" si="310"/>
        <v>15340000</v>
      </c>
      <c r="RI176" s="128">
        <v>0</v>
      </c>
      <c r="RM176" s="128" t="s">
        <v>220</v>
      </c>
      <c r="RU176" s="130"/>
      <c r="RV176" s="130"/>
      <c r="RW176" s="130"/>
      <c r="RX176" s="130"/>
      <c r="SF176" s="128">
        <f t="shared" si="220"/>
        <v>5376966</v>
      </c>
      <c r="SG176" s="131">
        <f t="shared" si="221"/>
        <v>18340000</v>
      </c>
      <c r="SH176" s="131">
        <f t="shared" si="222"/>
        <v>18340000</v>
      </c>
      <c r="SI176" s="131">
        <f t="shared" si="223"/>
        <v>15487000</v>
      </c>
      <c r="SJ176" s="132">
        <f t="shared" si="224"/>
        <v>14971035</v>
      </c>
      <c r="SK176" s="132">
        <f t="shared" si="225"/>
        <v>121880</v>
      </c>
      <c r="SL176" s="132">
        <f t="shared" si="226"/>
        <v>133025</v>
      </c>
      <c r="SM176" s="132">
        <f t="shared" si="227"/>
        <v>261060</v>
      </c>
      <c r="SN176" s="131">
        <f t="shared" si="228"/>
        <v>2853000</v>
      </c>
      <c r="SO176" s="131">
        <f t="shared" si="229"/>
        <v>160000</v>
      </c>
      <c r="SP176" s="132">
        <f t="shared" si="230"/>
        <v>70000</v>
      </c>
      <c r="SQ176" s="132">
        <f t="shared" si="231"/>
        <v>90000</v>
      </c>
      <c r="SR176" s="132">
        <f t="shared" si="232"/>
        <v>3000</v>
      </c>
      <c r="SS176" s="132">
        <f t="shared" si="233"/>
        <v>42000</v>
      </c>
      <c r="ST176" s="132">
        <f t="shared" si="234"/>
        <v>490000</v>
      </c>
      <c r="SU176" s="132">
        <f t="shared" si="235"/>
        <v>115000</v>
      </c>
      <c r="SV176" s="131">
        <f t="shared" si="236"/>
        <v>1468000</v>
      </c>
      <c r="SW176" s="132">
        <f t="shared" si="237"/>
        <v>142000</v>
      </c>
      <c r="SX176" s="132">
        <f t="shared" si="238"/>
        <v>62000</v>
      </c>
      <c r="SY176" s="132">
        <f t="shared" si="239"/>
        <v>144000</v>
      </c>
      <c r="SZ176" s="132">
        <f t="shared" si="240"/>
        <v>452000</v>
      </c>
      <c r="TA176" s="132">
        <f t="shared" si="241"/>
        <v>80000</v>
      </c>
      <c r="TB176" s="132">
        <f t="shared" si="242"/>
        <v>270000</v>
      </c>
      <c r="TC176" s="132">
        <f t="shared" si="243"/>
        <v>53000</v>
      </c>
      <c r="TD176" s="132">
        <f t="shared" si="244"/>
        <v>0</v>
      </c>
      <c r="TE176" s="132">
        <f t="shared" si="245"/>
        <v>0</v>
      </c>
      <c r="TF176" s="132">
        <f t="shared" si="246"/>
        <v>265000</v>
      </c>
      <c r="TG176" s="132">
        <f t="shared" si="247"/>
        <v>262000</v>
      </c>
      <c r="TH176" s="132">
        <f t="shared" si="248"/>
        <v>313000</v>
      </c>
      <c r="TI176" s="1"/>
      <c r="TJ176" s="131">
        <f t="shared" si="249"/>
        <v>11492000</v>
      </c>
      <c r="TK176" s="131">
        <f t="shared" si="250"/>
        <v>11492000</v>
      </c>
      <c r="TL176" s="131">
        <f t="shared" si="251"/>
        <v>11270000</v>
      </c>
      <c r="TM176" s="132">
        <f t="shared" si="252"/>
        <v>11250000</v>
      </c>
      <c r="TN176" s="132">
        <f t="shared" si="253"/>
        <v>0</v>
      </c>
      <c r="TO176" s="132">
        <f t="shared" si="254"/>
        <v>20000</v>
      </c>
      <c r="TP176" s="132">
        <f t="shared" si="255"/>
        <v>0</v>
      </c>
      <c r="TQ176" s="131">
        <f t="shared" si="256"/>
        <v>222000</v>
      </c>
      <c r="TR176" s="131">
        <f t="shared" si="257"/>
        <v>0</v>
      </c>
      <c r="TS176" s="132">
        <f t="shared" si="258"/>
        <v>0</v>
      </c>
      <c r="TT176" s="132">
        <f t="shared" si="259"/>
        <v>0</v>
      </c>
      <c r="TU176" s="132">
        <f t="shared" si="260"/>
        <v>0</v>
      </c>
      <c r="TV176" s="132">
        <f t="shared" si="261"/>
        <v>0</v>
      </c>
      <c r="TW176" s="132">
        <f t="shared" si="262"/>
        <v>32000</v>
      </c>
      <c r="TX176" s="132">
        <f t="shared" si="263"/>
        <v>0</v>
      </c>
      <c r="TY176" s="131">
        <f t="shared" si="264"/>
        <v>190000</v>
      </c>
      <c r="TZ176" s="132">
        <f t="shared" si="265"/>
        <v>0</v>
      </c>
      <c r="UA176" s="132">
        <f t="shared" si="266"/>
        <v>0</v>
      </c>
      <c r="UB176" s="132">
        <f t="shared" si="267"/>
        <v>70000</v>
      </c>
      <c r="UC176" s="132">
        <f t="shared" si="268"/>
        <v>0</v>
      </c>
      <c r="UD176" s="132">
        <f t="shared" si="269"/>
        <v>20000</v>
      </c>
      <c r="UE176" s="132">
        <f t="shared" si="270"/>
        <v>100000</v>
      </c>
      <c r="UF176" s="132">
        <f t="shared" si="271"/>
        <v>0</v>
      </c>
      <c r="UG176" s="132">
        <f t="shared" si="272"/>
        <v>0</v>
      </c>
      <c r="UH176" s="132">
        <f t="shared" si="273"/>
        <v>0</v>
      </c>
      <c r="UI176" s="132">
        <f t="shared" si="274"/>
        <v>0</v>
      </c>
      <c r="UJ176" s="132">
        <f t="shared" si="275"/>
        <v>0</v>
      </c>
      <c r="UK176" s="132">
        <f t="shared" si="276"/>
        <v>0</v>
      </c>
      <c r="UL176" s="132">
        <f t="shared" si="311"/>
        <v>11492000</v>
      </c>
      <c r="UM176" s="131">
        <f t="shared" si="277"/>
        <v>11492000</v>
      </c>
      <c r="UN176" s="131">
        <f t="shared" si="278"/>
        <v>11492000</v>
      </c>
      <c r="UO176" s="131">
        <f t="shared" si="279"/>
        <v>11270000</v>
      </c>
      <c r="UP176" s="132">
        <f t="shared" si="280"/>
        <v>11250000</v>
      </c>
      <c r="UQ176" s="132">
        <f t="shared" si="281"/>
        <v>0</v>
      </c>
      <c r="UR176" s="132">
        <f t="shared" si="282"/>
        <v>20000</v>
      </c>
      <c r="US176" s="132">
        <f t="shared" si="283"/>
        <v>0</v>
      </c>
      <c r="UT176" s="131">
        <f t="shared" si="284"/>
        <v>222000</v>
      </c>
      <c r="UU176" s="131">
        <f t="shared" si="285"/>
        <v>0</v>
      </c>
      <c r="UV176" s="132">
        <f t="shared" si="286"/>
        <v>0</v>
      </c>
      <c r="UW176" s="132">
        <f t="shared" si="287"/>
        <v>0</v>
      </c>
      <c r="UX176" s="132">
        <f t="shared" si="288"/>
        <v>0</v>
      </c>
      <c r="UY176" s="132">
        <f t="shared" si="289"/>
        <v>0</v>
      </c>
      <c r="UZ176" s="132">
        <f t="shared" si="290"/>
        <v>32000</v>
      </c>
      <c r="VA176" s="132">
        <f t="shared" si="291"/>
        <v>0</v>
      </c>
      <c r="VB176" s="131">
        <f t="shared" si="292"/>
        <v>190000</v>
      </c>
      <c r="VC176" s="132">
        <f t="shared" si="293"/>
        <v>0</v>
      </c>
      <c r="VD176" s="132">
        <f t="shared" si="294"/>
        <v>0</v>
      </c>
      <c r="VE176" s="132">
        <f t="shared" si="295"/>
        <v>70000</v>
      </c>
      <c r="VF176" s="132">
        <f t="shared" si="296"/>
        <v>0</v>
      </c>
      <c r="VG176" s="132">
        <f t="shared" si="297"/>
        <v>20000</v>
      </c>
      <c r="VH176" s="132">
        <f t="shared" si="298"/>
        <v>100000</v>
      </c>
      <c r="VI176" s="132">
        <f t="shared" si="299"/>
        <v>0</v>
      </c>
      <c r="VJ176" s="132">
        <f t="shared" si="300"/>
        <v>0</v>
      </c>
      <c r="VK176" s="132">
        <f t="shared" si="301"/>
        <v>0</v>
      </c>
      <c r="VL176" s="132">
        <f t="shared" si="302"/>
        <v>0</v>
      </c>
      <c r="VM176" s="132">
        <f t="shared" si="303"/>
        <v>0</v>
      </c>
      <c r="VN176" s="132">
        <f t="shared" si="304"/>
        <v>0</v>
      </c>
      <c r="VP176" s="845" t="str">
        <f>IFERROR(HLOOKUP(F176,'Hodnocení '!$C$1:$JH$5,2,FALSE),0)</f>
        <v>Charitní pečovatelská služba Hradec Králové</v>
      </c>
      <c r="VQ176" s="838"/>
      <c r="VR176" s="845" t="str">
        <f t="shared" si="312"/>
        <v>Církve a náboženské společnosti</v>
      </c>
      <c r="VS176" s="845" t="str">
        <f>IFERROR(HLOOKUP(F176,'Hodnocení '!$C$1:$JH$5,5,FALSE),0)</f>
        <v>NZO</v>
      </c>
      <c r="VT176" s="838">
        <f t="shared" si="313"/>
        <v>0</v>
      </c>
      <c r="VU176" s="838">
        <f t="shared" si="314"/>
        <v>0</v>
      </c>
      <c r="VV176" s="838">
        <f t="shared" si="315"/>
        <v>3000000</v>
      </c>
      <c r="VW176" s="838">
        <f t="shared" si="316"/>
        <v>0</v>
      </c>
      <c r="VX176" s="838"/>
      <c r="VY176" s="838">
        <f t="shared" si="317"/>
        <v>0</v>
      </c>
      <c r="VZ176" s="838">
        <f t="shared" si="318"/>
        <v>11492000</v>
      </c>
      <c r="WA176" s="846">
        <f>IFERROR(HLOOKUP($F176,'Hodnocení '!$C$1:$JH$9,9,FALSE),0)</f>
        <v>11492000</v>
      </c>
      <c r="WB176" s="846">
        <f>IF(IFERROR(HLOOKUP($F176,'Hodnocení '!$C$1:$JH$13,13,FALSE),0)&gt;WA176,WA176,IFERROR(HLOOKUP($F176,'Hodnocení '!$C$1:$JH$13,13,FALSE),0))</f>
        <v>11492000</v>
      </c>
      <c r="WC176" s="846">
        <f>IFERROR(HLOOKUP($F176,'Hodnocení '!$C$1:$JH$155,155,FALSE),0)</f>
        <v>9715050</v>
      </c>
      <c r="WD176" s="845"/>
      <c r="WE176" s="845"/>
      <c r="WF176" s="845" t="str">
        <f t="shared" si="305"/>
        <v>ANO</v>
      </c>
      <c r="WG176" s="849" t="str">
        <f t="shared" si="320"/>
        <v>Podpora služby je vyjádřena zařazením do sítě sociálních služeb v KHK a řešením financování služby</v>
      </c>
      <c r="WH176"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76" s="849" t="str">
        <f t="shared" si="320"/>
        <v>Návrh dotace je výsledkem projednání s ostatními zadavateli v rámci sítě služeb KHK</v>
      </c>
      <c r="WJ176" s="849" t="str">
        <f t="shared" si="320"/>
        <v>Bez komentáře</v>
      </c>
      <c r="WK176" s="31">
        <f t="shared" si="306"/>
        <v>0</v>
      </c>
      <c r="WL176" s="850">
        <f t="shared" si="307"/>
        <v>0</v>
      </c>
      <c r="WM176" s="849" t="str">
        <f t="shared" si="308"/>
        <v>V rámci sítě KHK se dlouhodobě řeší otázka navyšování úhrad a průběžně se monitoruje s vazbou na vykrytí vyrovnávací platby</v>
      </c>
      <c r="WN176" s="849">
        <f t="shared" si="309"/>
        <v>0</v>
      </c>
      <c r="WO176" s="849" t="str">
        <f t="shared" si="319"/>
        <v>bez komentáře</v>
      </c>
      <c r="WP176" s="849" t="str">
        <f t="shared" si="319"/>
        <v>bez komentáře</v>
      </c>
      <c r="WQ176" s="849" t="str">
        <f t="shared" si="319"/>
        <v>Konečná výše dotace z rozpočtu KHK bude řešena v návaznosti na řešení podílů jednotlivých zadavatelů.</v>
      </c>
      <c r="WR176" s="849" t="str">
        <f t="shared" si="319"/>
        <v>Konečná výše podpory ze stran obcí bude řešena v součinnosti s jednotlivými zadavateli v průběhu roku.</v>
      </c>
      <c r="WS176" s="849" t="str">
        <f t="shared" si="319"/>
        <v>bez komentáře</v>
      </c>
      <c r="WT176" s="849" t="str">
        <f t="shared" si="319"/>
        <v>bez komentáře</v>
      </c>
      <c r="WU176" s="845"/>
    </row>
    <row r="177" spans="1:619" s="128" customFormat="1" x14ac:dyDescent="0.25">
      <c r="A177" s="128" t="str">
        <f>VLOOKUP(F177,'Výpočet VP 2020'!$D$324:$I$588,6,FALSE)</f>
        <v>Je v síti</v>
      </c>
      <c r="B177" s="128" t="s">
        <v>776</v>
      </c>
      <c r="C177" s="128">
        <v>45979855</v>
      </c>
      <c r="D177" s="128" t="s">
        <v>777</v>
      </c>
      <c r="E177" s="128" t="s">
        <v>360</v>
      </c>
      <c r="F177" s="128">
        <v>5903063</v>
      </c>
      <c r="G177" s="128" t="s">
        <v>292</v>
      </c>
      <c r="H177" s="128" t="s">
        <v>293</v>
      </c>
      <c r="I177" s="128" t="s">
        <v>794</v>
      </c>
      <c r="J177" s="129">
        <v>42491</v>
      </c>
      <c r="L177" s="128" t="s">
        <v>220</v>
      </c>
      <c r="X177" s="128" t="s">
        <v>266</v>
      </c>
      <c r="AI177" s="128">
        <v>1</v>
      </c>
      <c r="AJ177" s="128">
        <v>4</v>
      </c>
      <c r="AK177" s="128">
        <v>114</v>
      </c>
      <c r="AL177" s="128">
        <v>71</v>
      </c>
      <c r="AM177" s="128">
        <v>80</v>
      </c>
      <c r="AP177" s="128" t="s">
        <v>266</v>
      </c>
      <c r="BE177" s="128">
        <v>1</v>
      </c>
      <c r="BF177" s="128">
        <v>3</v>
      </c>
      <c r="BG177" s="128">
        <v>233</v>
      </c>
      <c r="BH177" s="128">
        <v>180</v>
      </c>
      <c r="BI177" s="128">
        <v>250</v>
      </c>
      <c r="BL177" s="128" t="s">
        <v>795</v>
      </c>
      <c r="BM177" s="128" t="s">
        <v>414</v>
      </c>
      <c r="BN177" s="128" t="s">
        <v>424</v>
      </c>
      <c r="EK177" s="128">
        <v>2</v>
      </c>
      <c r="EL177" s="128">
        <v>1.1000000000000001</v>
      </c>
      <c r="EM177" s="128">
        <v>0.91</v>
      </c>
      <c r="EN177" s="128">
        <v>592548</v>
      </c>
      <c r="EO177" s="128">
        <v>585000</v>
      </c>
      <c r="FJ177" s="128">
        <v>1</v>
      </c>
      <c r="FK177" s="128">
        <v>0.3</v>
      </c>
      <c r="FL177" s="128">
        <v>0.121</v>
      </c>
      <c r="FM177" s="128">
        <v>176880</v>
      </c>
      <c r="FN177" s="128">
        <v>150000</v>
      </c>
      <c r="FO177" s="128">
        <v>9</v>
      </c>
      <c r="FP177" s="128">
        <v>0.47</v>
      </c>
      <c r="FQ177" s="128">
        <v>0.23300000000000001</v>
      </c>
      <c r="FR177" s="128">
        <v>253421</v>
      </c>
      <c r="FS177" s="128">
        <v>231000</v>
      </c>
      <c r="KG177" s="128">
        <v>0</v>
      </c>
      <c r="KI177" s="128">
        <v>1.4</v>
      </c>
      <c r="KJ177" s="128">
        <v>0</v>
      </c>
      <c r="KK177" s="128">
        <v>0</v>
      </c>
      <c r="KL177" s="128">
        <v>0</v>
      </c>
      <c r="KM177" s="128">
        <v>1.4</v>
      </c>
      <c r="KN177" s="128">
        <v>1022849</v>
      </c>
      <c r="KO177" s="128">
        <v>966000</v>
      </c>
      <c r="KP177" s="128">
        <v>966000</v>
      </c>
      <c r="KT177" s="128">
        <v>0</v>
      </c>
      <c r="KU177" s="128">
        <v>0</v>
      </c>
      <c r="KV177" s="128">
        <v>0</v>
      </c>
      <c r="KZ177" s="128">
        <v>0</v>
      </c>
      <c r="LA177" s="128">
        <v>0</v>
      </c>
      <c r="LB177" s="128">
        <v>0</v>
      </c>
      <c r="LF177" s="128">
        <v>18151</v>
      </c>
      <c r="LG177" s="128">
        <v>0</v>
      </c>
      <c r="LH177" s="128">
        <v>0</v>
      </c>
      <c r="LL177" s="128">
        <v>6000</v>
      </c>
      <c r="LM177" s="128">
        <v>0</v>
      </c>
      <c r="LN177" s="128">
        <v>0</v>
      </c>
      <c r="LR177" s="128">
        <v>12000</v>
      </c>
      <c r="LS177" s="128">
        <v>2000</v>
      </c>
      <c r="LT177" s="128">
        <v>2000</v>
      </c>
      <c r="LX177" s="128">
        <v>0</v>
      </c>
      <c r="LY177" s="128">
        <v>0</v>
      </c>
      <c r="LZ177" s="128">
        <v>0</v>
      </c>
      <c r="MD177" s="128">
        <v>5000</v>
      </c>
      <c r="ME177" s="128">
        <v>2000</v>
      </c>
      <c r="MF177" s="128">
        <v>2000</v>
      </c>
      <c r="MJ177" s="128">
        <v>12000</v>
      </c>
      <c r="MK177" s="128">
        <v>0</v>
      </c>
      <c r="ML177" s="128">
        <v>0</v>
      </c>
      <c r="MP177" s="128">
        <v>13000</v>
      </c>
      <c r="MQ177" s="128">
        <v>3000</v>
      </c>
      <c r="MR177" s="128">
        <v>3000</v>
      </c>
      <c r="MV177" s="128">
        <v>8000</v>
      </c>
      <c r="MW177" s="128">
        <v>0</v>
      </c>
      <c r="MX177" s="128">
        <v>0</v>
      </c>
      <c r="NB177" s="128">
        <v>8000</v>
      </c>
      <c r="NC177" s="128">
        <v>0</v>
      </c>
      <c r="ND177" s="128">
        <v>0</v>
      </c>
      <c r="NH177" s="128">
        <v>27000</v>
      </c>
      <c r="NI177" s="128">
        <v>14000</v>
      </c>
      <c r="NJ177" s="128">
        <v>14000</v>
      </c>
      <c r="NN177" s="128">
        <v>27000</v>
      </c>
      <c r="NO177" s="128">
        <v>0</v>
      </c>
      <c r="NP177" s="128">
        <v>0</v>
      </c>
      <c r="NT177" s="128">
        <v>9000</v>
      </c>
      <c r="NU177" s="128">
        <v>2000</v>
      </c>
      <c r="NV177" s="128">
        <v>2000</v>
      </c>
      <c r="NZ177" s="128">
        <v>3000</v>
      </c>
      <c r="OA177" s="128">
        <v>2000</v>
      </c>
      <c r="OB177" s="128">
        <v>2000</v>
      </c>
      <c r="OF177" s="128">
        <v>3000</v>
      </c>
      <c r="OG177" s="128">
        <v>0</v>
      </c>
      <c r="OH177" s="128">
        <v>0</v>
      </c>
      <c r="OL177" s="128">
        <v>0</v>
      </c>
      <c r="OM177" s="128">
        <v>0</v>
      </c>
      <c r="ON177" s="128">
        <v>0</v>
      </c>
      <c r="OR177" s="128">
        <v>0</v>
      </c>
      <c r="OS177" s="128">
        <v>0</v>
      </c>
      <c r="OT177" s="128">
        <v>0</v>
      </c>
      <c r="OX177" s="128">
        <v>6000</v>
      </c>
      <c r="OY177" s="128">
        <v>0</v>
      </c>
      <c r="OZ177" s="128">
        <v>0</v>
      </c>
      <c r="PD177" s="128">
        <v>0</v>
      </c>
      <c r="PE177" s="128">
        <v>0</v>
      </c>
      <c r="PF177" s="128">
        <v>0</v>
      </c>
      <c r="PJ177" s="128">
        <v>15000</v>
      </c>
      <c r="PK177" s="128">
        <v>0</v>
      </c>
      <c r="PL177" s="128">
        <v>0</v>
      </c>
      <c r="PP177" s="128">
        <v>1195000</v>
      </c>
      <c r="PQ177" s="128">
        <v>991000</v>
      </c>
      <c r="PR177" s="128">
        <v>991000</v>
      </c>
      <c r="PS177" s="128">
        <v>100</v>
      </c>
      <c r="PT177" s="128">
        <v>100</v>
      </c>
      <c r="PX177" s="128">
        <v>572000</v>
      </c>
      <c r="PY177" s="128">
        <v>647336</v>
      </c>
      <c r="PZ177" s="128">
        <v>991000</v>
      </c>
      <c r="QA177" s="128">
        <v>0</v>
      </c>
      <c r="QB177" s="128">
        <v>0</v>
      </c>
      <c r="QC177" s="128">
        <v>0</v>
      </c>
      <c r="QD177" s="128">
        <v>0</v>
      </c>
      <c r="QE177" s="128">
        <v>0</v>
      </c>
      <c r="QF177" s="128">
        <v>0</v>
      </c>
      <c r="QG177" s="128">
        <v>0</v>
      </c>
      <c r="QH177" s="128">
        <v>0</v>
      </c>
      <c r="QI177" s="128">
        <v>0</v>
      </c>
      <c r="QJ177" s="128">
        <v>0</v>
      </c>
      <c r="QK177" s="128">
        <v>0</v>
      </c>
      <c r="QL177" s="128">
        <v>0</v>
      </c>
      <c r="QN177" s="128">
        <v>0</v>
      </c>
      <c r="QO177" s="128">
        <v>0</v>
      </c>
      <c r="QP177" s="128">
        <v>0</v>
      </c>
      <c r="QU177" s="128">
        <v>48000</v>
      </c>
      <c r="QV177" s="128">
        <v>0</v>
      </c>
      <c r="QW177" s="128">
        <v>35000</v>
      </c>
      <c r="QX177" s="128">
        <v>156000</v>
      </c>
      <c r="QY177" s="128">
        <v>130000</v>
      </c>
      <c r="QZ177" s="128">
        <v>120000</v>
      </c>
      <c r="RA177" s="128">
        <v>36385</v>
      </c>
      <c r="RB177" s="128">
        <v>26000</v>
      </c>
      <c r="RC177" s="128">
        <v>14000</v>
      </c>
      <c r="RD177" s="128">
        <v>35145</v>
      </c>
      <c r="RE177" s="128">
        <v>38664</v>
      </c>
      <c r="RF177" s="128">
        <v>35000</v>
      </c>
      <c r="RH177" s="128">
        <f t="shared" si="310"/>
        <v>1195000</v>
      </c>
      <c r="RI177" s="128">
        <v>0</v>
      </c>
      <c r="RM177" s="128" t="s">
        <v>220</v>
      </c>
      <c r="RU177" s="130"/>
      <c r="RV177" s="130"/>
      <c r="RW177" s="130"/>
      <c r="RX177" s="130"/>
      <c r="SF177" s="128">
        <f t="shared" si="220"/>
        <v>5903063</v>
      </c>
      <c r="SG177" s="131">
        <f t="shared" si="221"/>
        <v>1195000</v>
      </c>
      <c r="SH177" s="131">
        <f t="shared" si="222"/>
        <v>1195000</v>
      </c>
      <c r="SI177" s="131">
        <f t="shared" si="223"/>
        <v>1041000</v>
      </c>
      <c r="SJ177" s="132">
        <f t="shared" si="224"/>
        <v>1022849</v>
      </c>
      <c r="SK177" s="132">
        <f t="shared" si="225"/>
        <v>0</v>
      </c>
      <c r="SL177" s="132">
        <f t="shared" si="226"/>
        <v>0</v>
      </c>
      <c r="SM177" s="132">
        <f t="shared" si="227"/>
        <v>18151</v>
      </c>
      <c r="SN177" s="131">
        <f t="shared" si="228"/>
        <v>154000</v>
      </c>
      <c r="SO177" s="131">
        <f t="shared" si="229"/>
        <v>18000</v>
      </c>
      <c r="SP177" s="132">
        <f t="shared" si="230"/>
        <v>6000</v>
      </c>
      <c r="SQ177" s="132">
        <f t="shared" si="231"/>
        <v>12000</v>
      </c>
      <c r="SR177" s="132">
        <f t="shared" si="232"/>
        <v>0</v>
      </c>
      <c r="SS177" s="132">
        <f t="shared" si="233"/>
        <v>5000</v>
      </c>
      <c r="ST177" s="132">
        <f t="shared" si="234"/>
        <v>12000</v>
      </c>
      <c r="SU177" s="132">
        <f t="shared" si="235"/>
        <v>13000</v>
      </c>
      <c r="SV177" s="131">
        <f t="shared" si="236"/>
        <v>91000</v>
      </c>
      <c r="SW177" s="132">
        <f t="shared" si="237"/>
        <v>8000</v>
      </c>
      <c r="SX177" s="132">
        <f t="shared" si="238"/>
        <v>8000</v>
      </c>
      <c r="SY177" s="132">
        <f t="shared" si="239"/>
        <v>27000</v>
      </c>
      <c r="SZ177" s="132">
        <f t="shared" si="240"/>
        <v>27000</v>
      </c>
      <c r="TA177" s="132">
        <f t="shared" si="241"/>
        <v>9000</v>
      </c>
      <c r="TB177" s="132">
        <f t="shared" si="242"/>
        <v>3000</v>
      </c>
      <c r="TC177" s="132">
        <f t="shared" si="243"/>
        <v>3000</v>
      </c>
      <c r="TD177" s="132">
        <f t="shared" si="244"/>
        <v>0</v>
      </c>
      <c r="TE177" s="132">
        <f t="shared" si="245"/>
        <v>0</v>
      </c>
      <c r="TF177" s="132">
        <f t="shared" si="246"/>
        <v>6000</v>
      </c>
      <c r="TG177" s="132">
        <f t="shared" si="247"/>
        <v>0</v>
      </c>
      <c r="TH177" s="132">
        <f t="shared" si="248"/>
        <v>15000</v>
      </c>
      <c r="TI177" s="1"/>
      <c r="TJ177" s="131">
        <f t="shared" si="249"/>
        <v>991000</v>
      </c>
      <c r="TK177" s="131">
        <f t="shared" si="250"/>
        <v>991000</v>
      </c>
      <c r="TL177" s="131">
        <f t="shared" si="251"/>
        <v>966000</v>
      </c>
      <c r="TM177" s="132">
        <f t="shared" si="252"/>
        <v>966000</v>
      </c>
      <c r="TN177" s="132">
        <f t="shared" si="253"/>
        <v>0</v>
      </c>
      <c r="TO177" s="132">
        <f t="shared" si="254"/>
        <v>0</v>
      </c>
      <c r="TP177" s="132">
        <f t="shared" si="255"/>
        <v>0</v>
      </c>
      <c r="TQ177" s="131">
        <f t="shared" si="256"/>
        <v>25000</v>
      </c>
      <c r="TR177" s="131">
        <f t="shared" si="257"/>
        <v>2000</v>
      </c>
      <c r="TS177" s="132">
        <f t="shared" si="258"/>
        <v>0</v>
      </c>
      <c r="TT177" s="132">
        <f t="shared" si="259"/>
        <v>2000</v>
      </c>
      <c r="TU177" s="132">
        <f t="shared" si="260"/>
        <v>0</v>
      </c>
      <c r="TV177" s="132">
        <f t="shared" si="261"/>
        <v>2000</v>
      </c>
      <c r="TW177" s="132">
        <f t="shared" si="262"/>
        <v>0</v>
      </c>
      <c r="TX177" s="132">
        <f t="shared" si="263"/>
        <v>3000</v>
      </c>
      <c r="TY177" s="131">
        <f t="shared" si="264"/>
        <v>18000</v>
      </c>
      <c r="TZ177" s="132">
        <f t="shared" si="265"/>
        <v>0</v>
      </c>
      <c r="UA177" s="132">
        <f t="shared" si="266"/>
        <v>0</v>
      </c>
      <c r="UB177" s="132">
        <f t="shared" si="267"/>
        <v>14000</v>
      </c>
      <c r="UC177" s="132">
        <f t="shared" si="268"/>
        <v>0</v>
      </c>
      <c r="UD177" s="132">
        <f t="shared" si="269"/>
        <v>2000</v>
      </c>
      <c r="UE177" s="132">
        <f t="shared" si="270"/>
        <v>2000</v>
      </c>
      <c r="UF177" s="132">
        <f t="shared" si="271"/>
        <v>0</v>
      </c>
      <c r="UG177" s="132">
        <f t="shared" si="272"/>
        <v>0</v>
      </c>
      <c r="UH177" s="132">
        <f t="shared" si="273"/>
        <v>0</v>
      </c>
      <c r="UI177" s="132">
        <f t="shared" si="274"/>
        <v>0</v>
      </c>
      <c r="UJ177" s="132">
        <f t="shared" si="275"/>
        <v>0</v>
      </c>
      <c r="UK177" s="132">
        <f t="shared" si="276"/>
        <v>0</v>
      </c>
      <c r="UL177" s="132">
        <f t="shared" si="311"/>
        <v>991000</v>
      </c>
      <c r="UM177" s="131">
        <f t="shared" si="277"/>
        <v>991000</v>
      </c>
      <c r="UN177" s="131">
        <f t="shared" si="278"/>
        <v>991000</v>
      </c>
      <c r="UO177" s="131">
        <f t="shared" si="279"/>
        <v>966000</v>
      </c>
      <c r="UP177" s="132">
        <f t="shared" si="280"/>
        <v>966000</v>
      </c>
      <c r="UQ177" s="132">
        <f t="shared" si="281"/>
        <v>0</v>
      </c>
      <c r="UR177" s="132">
        <f t="shared" si="282"/>
        <v>0</v>
      </c>
      <c r="US177" s="132">
        <f t="shared" si="283"/>
        <v>0</v>
      </c>
      <c r="UT177" s="131">
        <f t="shared" si="284"/>
        <v>25000</v>
      </c>
      <c r="UU177" s="131">
        <f t="shared" si="285"/>
        <v>2000</v>
      </c>
      <c r="UV177" s="132">
        <f t="shared" si="286"/>
        <v>0</v>
      </c>
      <c r="UW177" s="132">
        <f t="shared" si="287"/>
        <v>2000</v>
      </c>
      <c r="UX177" s="132">
        <f t="shared" si="288"/>
        <v>0</v>
      </c>
      <c r="UY177" s="132">
        <f t="shared" si="289"/>
        <v>2000</v>
      </c>
      <c r="UZ177" s="132">
        <f t="shared" si="290"/>
        <v>0</v>
      </c>
      <c r="VA177" s="132">
        <f t="shared" si="291"/>
        <v>3000</v>
      </c>
      <c r="VB177" s="131">
        <f t="shared" si="292"/>
        <v>18000</v>
      </c>
      <c r="VC177" s="132">
        <f t="shared" si="293"/>
        <v>0</v>
      </c>
      <c r="VD177" s="132">
        <f t="shared" si="294"/>
        <v>0</v>
      </c>
      <c r="VE177" s="132">
        <f t="shared" si="295"/>
        <v>14000</v>
      </c>
      <c r="VF177" s="132">
        <f t="shared" si="296"/>
        <v>0</v>
      </c>
      <c r="VG177" s="132">
        <f t="shared" si="297"/>
        <v>2000</v>
      </c>
      <c r="VH177" s="132">
        <f t="shared" si="298"/>
        <v>2000</v>
      </c>
      <c r="VI177" s="132">
        <f t="shared" si="299"/>
        <v>0</v>
      </c>
      <c r="VJ177" s="132">
        <f t="shared" si="300"/>
        <v>0</v>
      </c>
      <c r="VK177" s="132">
        <f t="shared" si="301"/>
        <v>0</v>
      </c>
      <c r="VL177" s="132">
        <f t="shared" si="302"/>
        <v>0</v>
      </c>
      <c r="VM177" s="132">
        <f t="shared" si="303"/>
        <v>0</v>
      </c>
      <c r="VN177" s="132">
        <f t="shared" si="304"/>
        <v>0</v>
      </c>
      <c r="VP177" s="845" t="str">
        <f>IFERROR(HLOOKUP(F177,'Hodnocení '!$C$1:$JH$5,2,FALSE),0)</f>
        <v>Poradna Domácí hospicové péče Hradec Králové</v>
      </c>
      <c r="VQ177" s="838"/>
      <c r="VR177" s="845" t="str">
        <f t="shared" si="312"/>
        <v>Církve a náboženské společnosti</v>
      </c>
      <c r="VS177" s="845" t="str">
        <f>IFERROR(HLOOKUP(F177,'Hodnocení '!$C$1:$JH$5,5,FALSE),0)</f>
        <v>NZO</v>
      </c>
      <c r="VT177" s="838">
        <f t="shared" si="313"/>
        <v>0</v>
      </c>
      <c r="VU177" s="838">
        <f t="shared" si="314"/>
        <v>0</v>
      </c>
      <c r="VV177" s="838">
        <f t="shared" si="315"/>
        <v>0</v>
      </c>
      <c r="VW177" s="838">
        <f t="shared" si="316"/>
        <v>0</v>
      </c>
      <c r="VX177" s="838"/>
      <c r="VY177" s="838">
        <f t="shared" si="317"/>
        <v>0</v>
      </c>
      <c r="VZ177" s="838">
        <f t="shared" si="318"/>
        <v>991000</v>
      </c>
      <c r="WA177" s="846">
        <f>IFERROR(HLOOKUP($F177,'Hodnocení '!$C$1:$JH$9,9,FALSE),0)</f>
        <v>991000</v>
      </c>
      <c r="WB177" s="846">
        <f>IF(IFERROR(HLOOKUP($F177,'Hodnocení '!$C$1:$JH$13,13,FALSE),0)&gt;WA177,WA177,IFERROR(HLOOKUP($F177,'Hodnocení '!$C$1:$JH$13,13,FALSE),0))</f>
        <v>742773.51077815378</v>
      </c>
      <c r="WC177" s="846">
        <f>IFERROR(HLOOKUP($F177,'Hodnocení '!$C$1:$JH$155,155,FALSE),0)</f>
        <v>637850</v>
      </c>
      <c r="WD177" s="845"/>
      <c r="WE177" s="845"/>
      <c r="WF177" s="845" t="str">
        <f t="shared" si="305"/>
        <v>ANO</v>
      </c>
      <c r="WG177" s="849" t="str">
        <f t="shared" si="320"/>
        <v>Podpora služby je vyjádřena zařazením do sítě sociálních služeb v KHK a řešením financování služby</v>
      </c>
      <c r="WH177"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77" s="849" t="str">
        <f t="shared" si="320"/>
        <v>Návrh dotace je výsledkem projednání s ostatními zadavateli v rámci sítě služeb KHK</v>
      </c>
      <c r="WJ177" s="849" t="str">
        <f t="shared" si="320"/>
        <v>Bez komentáře</v>
      </c>
      <c r="WK177" s="31">
        <f t="shared" si="306"/>
        <v>0</v>
      </c>
      <c r="WL177" s="850">
        <f t="shared" si="307"/>
        <v>0</v>
      </c>
      <c r="WM177" s="849">
        <f t="shared" si="308"/>
        <v>0</v>
      </c>
      <c r="WN177" s="849">
        <f t="shared" si="309"/>
        <v>0</v>
      </c>
      <c r="WO177" s="849" t="str">
        <f t="shared" si="319"/>
        <v>bez komentáře</v>
      </c>
      <c r="WP177" s="849" t="str">
        <f t="shared" si="319"/>
        <v>bez komentáře</v>
      </c>
      <c r="WQ177" s="849" t="str">
        <f t="shared" si="319"/>
        <v>Konečná výše dotace z rozpočtu KHK bude řešena v návaznosti na řešení podílů jednotlivých zadavatelů.</v>
      </c>
      <c r="WR177" s="849" t="str">
        <f t="shared" si="319"/>
        <v>Konečná výše podpory ze stran obcí bude řešena v součinnosti s jednotlivými zadavateli v průběhu roku.</v>
      </c>
      <c r="WS177" s="849" t="str">
        <f t="shared" si="319"/>
        <v>bez komentáře</v>
      </c>
      <c r="WT177" s="849" t="str">
        <f t="shared" si="319"/>
        <v>bez komentáře</v>
      </c>
      <c r="WU177" s="845"/>
    </row>
    <row r="178" spans="1:619" s="128" customFormat="1" x14ac:dyDescent="0.25">
      <c r="A178" s="128" t="str">
        <f>VLOOKUP(F178,'Výpočet VP 2020'!$D$324:$I$588,6,FALSE)</f>
        <v>Je v síti</v>
      </c>
      <c r="B178" s="128" t="s">
        <v>776</v>
      </c>
      <c r="C178" s="128">
        <v>45979855</v>
      </c>
      <c r="D178" s="128" t="s">
        <v>777</v>
      </c>
      <c r="E178" s="128" t="s">
        <v>360</v>
      </c>
      <c r="F178" s="128">
        <v>6585534</v>
      </c>
      <c r="G178" s="128" t="s">
        <v>796</v>
      </c>
      <c r="H178" s="128" t="s">
        <v>230</v>
      </c>
      <c r="I178" s="128" t="s">
        <v>797</v>
      </c>
      <c r="J178" s="129">
        <v>39083</v>
      </c>
      <c r="L178" s="128" t="s">
        <v>220</v>
      </c>
      <c r="X178" s="128" t="s">
        <v>798</v>
      </c>
      <c r="Z178" s="128">
        <v>1</v>
      </c>
      <c r="AA178" s="128">
        <v>6</v>
      </c>
      <c r="AB178" s="128">
        <v>230</v>
      </c>
      <c r="AC178" s="128">
        <v>240</v>
      </c>
      <c r="AD178" s="128">
        <v>255</v>
      </c>
      <c r="AI178" s="128">
        <v>16</v>
      </c>
      <c r="AK178" s="128">
        <v>3000</v>
      </c>
      <c r="AL178" s="128">
        <v>3000</v>
      </c>
      <c r="AM178" s="128">
        <v>3100</v>
      </c>
      <c r="AP178" s="128" t="s">
        <v>768</v>
      </c>
      <c r="AQ178" s="128">
        <v>1</v>
      </c>
      <c r="AR178" s="128">
        <v>2</v>
      </c>
      <c r="AS178" s="128">
        <v>20</v>
      </c>
      <c r="AT178" s="128">
        <v>30</v>
      </c>
      <c r="AU178" s="128">
        <v>30</v>
      </c>
      <c r="BE178" s="128">
        <v>2</v>
      </c>
      <c r="BG178" s="128">
        <v>52</v>
      </c>
      <c r="BH178" s="128">
        <v>100</v>
      </c>
      <c r="BI178" s="128">
        <v>100</v>
      </c>
      <c r="BL178" s="128" t="s">
        <v>799</v>
      </c>
      <c r="BM178" s="128" t="s">
        <v>800</v>
      </c>
      <c r="BN178" s="128" t="s">
        <v>364</v>
      </c>
      <c r="EK178" s="128">
        <v>5</v>
      </c>
      <c r="EL178" s="128">
        <v>4</v>
      </c>
      <c r="EM178" s="128">
        <v>3.85</v>
      </c>
      <c r="EN178" s="128">
        <v>2226660</v>
      </c>
      <c r="EO178" s="128">
        <v>2170000</v>
      </c>
      <c r="FO178" s="128">
        <v>11</v>
      </c>
      <c r="FP178" s="128">
        <v>1.05</v>
      </c>
      <c r="FQ178" s="128">
        <v>1.1000000000000001</v>
      </c>
      <c r="FR178" s="128">
        <v>671340</v>
      </c>
      <c r="FS178" s="128">
        <v>594000</v>
      </c>
      <c r="IS178" s="128">
        <v>1</v>
      </c>
      <c r="IT178" s="128">
        <v>260</v>
      </c>
      <c r="IU178" s="128">
        <v>0.124</v>
      </c>
      <c r="IV178" s="128">
        <v>26000</v>
      </c>
      <c r="IW178" s="128">
        <v>20000</v>
      </c>
      <c r="KG178" s="128">
        <v>0</v>
      </c>
      <c r="KI178" s="128">
        <v>4</v>
      </c>
      <c r="KJ178" s="128">
        <v>0</v>
      </c>
      <c r="KK178" s="128">
        <v>0</v>
      </c>
      <c r="KL178" s="128">
        <v>0</v>
      </c>
      <c r="KM178" s="128">
        <v>4</v>
      </c>
      <c r="KN178" s="128">
        <v>2898000</v>
      </c>
      <c r="KO178" s="128">
        <v>2764000</v>
      </c>
      <c r="KP178" s="128">
        <v>2764000</v>
      </c>
      <c r="KT178" s="128">
        <v>0</v>
      </c>
      <c r="KU178" s="128">
        <v>0</v>
      </c>
      <c r="KV178" s="128">
        <v>0</v>
      </c>
      <c r="KZ178" s="128">
        <v>26000</v>
      </c>
      <c r="LA178" s="128">
        <v>20000</v>
      </c>
      <c r="LB178" s="128">
        <v>20000</v>
      </c>
      <c r="LF178" s="128">
        <v>51000</v>
      </c>
      <c r="LG178" s="128">
        <v>0</v>
      </c>
      <c r="LH178" s="128">
        <v>0</v>
      </c>
      <c r="LL178" s="128">
        <v>15000</v>
      </c>
      <c r="LM178" s="128">
        <v>15000</v>
      </c>
      <c r="LN178" s="128">
        <v>15000</v>
      </c>
      <c r="LR178" s="128">
        <v>30000</v>
      </c>
      <c r="LS178" s="128">
        <v>30000</v>
      </c>
      <c r="LT178" s="128">
        <v>30000</v>
      </c>
      <c r="LX178" s="128">
        <v>5000</v>
      </c>
      <c r="LY178" s="128">
        <v>0</v>
      </c>
      <c r="LZ178" s="128">
        <v>0</v>
      </c>
      <c r="MD178" s="128">
        <v>15000</v>
      </c>
      <c r="ME178" s="128">
        <v>15000</v>
      </c>
      <c r="MF178" s="128">
        <v>15000</v>
      </c>
      <c r="MJ178" s="128">
        <v>5000</v>
      </c>
      <c r="MK178" s="128">
        <v>0</v>
      </c>
      <c r="ML178" s="128">
        <v>0</v>
      </c>
      <c r="MP178" s="128">
        <v>15000</v>
      </c>
      <c r="MQ178" s="128">
        <v>15000</v>
      </c>
      <c r="MR178" s="128">
        <v>15000</v>
      </c>
      <c r="MV178" s="128">
        <v>50000</v>
      </c>
      <c r="MW178" s="128">
        <v>40000</v>
      </c>
      <c r="MX178" s="128">
        <v>40000</v>
      </c>
      <c r="NB178" s="128">
        <v>27100</v>
      </c>
      <c r="NC178" s="128">
        <v>24000</v>
      </c>
      <c r="ND178" s="128">
        <v>24000</v>
      </c>
      <c r="NH178" s="128">
        <v>122500</v>
      </c>
      <c r="NI178" s="128">
        <v>120000</v>
      </c>
      <c r="NJ178" s="128">
        <v>120000</v>
      </c>
      <c r="NN178" s="128">
        <v>160000</v>
      </c>
      <c r="NO178" s="128">
        <v>150000</v>
      </c>
      <c r="NP178" s="128">
        <v>150000</v>
      </c>
      <c r="NT178" s="128">
        <v>24000</v>
      </c>
      <c r="NU178" s="128">
        <v>0</v>
      </c>
      <c r="NV178" s="128">
        <v>0</v>
      </c>
      <c r="NZ178" s="128">
        <v>9000</v>
      </c>
      <c r="OA178" s="128">
        <v>9000</v>
      </c>
      <c r="OB178" s="128">
        <v>9000</v>
      </c>
      <c r="OF178" s="128">
        <v>12000</v>
      </c>
      <c r="OG178" s="128">
        <v>12000</v>
      </c>
      <c r="OH178" s="128">
        <v>12000</v>
      </c>
      <c r="OL178" s="128">
        <v>0</v>
      </c>
      <c r="OM178" s="128">
        <v>0</v>
      </c>
      <c r="ON178" s="128">
        <v>0</v>
      </c>
      <c r="OR178" s="128">
        <v>0</v>
      </c>
      <c r="OS178" s="128">
        <v>0</v>
      </c>
      <c r="OT178" s="128">
        <v>0</v>
      </c>
      <c r="OX178" s="128">
        <v>62400</v>
      </c>
      <c r="OY178" s="128">
        <v>56000</v>
      </c>
      <c r="OZ178" s="128">
        <v>56000</v>
      </c>
      <c r="PD178" s="128">
        <v>0</v>
      </c>
      <c r="PE178" s="128">
        <v>0</v>
      </c>
      <c r="PF178" s="128">
        <v>0</v>
      </c>
      <c r="PJ178" s="128">
        <v>17000</v>
      </c>
      <c r="PK178" s="128">
        <v>0</v>
      </c>
      <c r="PL178" s="128">
        <v>0</v>
      </c>
      <c r="PP178" s="128">
        <v>3544000</v>
      </c>
      <c r="PQ178" s="128">
        <v>3270000</v>
      </c>
      <c r="PR178" s="128">
        <v>3270000</v>
      </c>
      <c r="PS178" s="128">
        <v>100</v>
      </c>
      <c r="PT178" s="128">
        <v>100</v>
      </c>
      <c r="PX178" s="128">
        <v>469816</v>
      </c>
      <c r="PY178" s="128">
        <v>1690000</v>
      </c>
      <c r="PZ178" s="128">
        <v>3270000</v>
      </c>
      <c r="QA178" s="128">
        <v>0</v>
      </c>
      <c r="QB178" s="128">
        <v>0</v>
      </c>
      <c r="QC178" s="128">
        <v>0</v>
      </c>
      <c r="QD178" s="128">
        <v>0</v>
      </c>
      <c r="QE178" s="128">
        <v>0</v>
      </c>
      <c r="QF178" s="128">
        <v>0</v>
      </c>
      <c r="QG178" s="128">
        <v>0</v>
      </c>
      <c r="QH178" s="128">
        <v>0</v>
      </c>
      <c r="QI178" s="128">
        <v>0</v>
      </c>
      <c r="QJ178" s="128">
        <v>0</v>
      </c>
      <c r="QK178" s="128">
        <v>0</v>
      </c>
      <c r="QL178" s="128">
        <v>0</v>
      </c>
      <c r="QN178" s="128">
        <v>0</v>
      </c>
      <c r="QO178" s="128">
        <v>0</v>
      </c>
      <c r="QP178" s="128">
        <v>0</v>
      </c>
      <c r="QU178" s="128">
        <v>136866</v>
      </c>
      <c r="QV178" s="128">
        <v>47850</v>
      </c>
      <c r="QW178" s="128">
        <v>107676</v>
      </c>
      <c r="QX178" s="128">
        <v>112000</v>
      </c>
      <c r="QY178" s="128">
        <v>150000</v>
      </c>
      <c r="QZ178" s="128">
        <v>150000</v>
      </c>
      <c r="RA178" s="128">
        <v>0</v>
      </c>
      <c r="RB178" s="128">
        <v>85084</v>
      </c>
      <c r="RC178" s="128">
        <v>16324</v>
      </c>
      <c r="RD178" s="128">
        <v>2289824</v>
      </c>
      <c r="RE178" s="128">
        <v>1144916</v>
      </c>
      <c r="RF178" s="128">
        <v>0</v>
      </c>
      <c r="RH178" s="128">
        <f t="shared" si="310"/>
        <v>3544000</v>
      </c>
      <c r="RI178" s="128">
        <v>0</v>
      </c>
      <c r="RM178" s="128" t="s">
        <v>220</v>
      </c>
      <c r="RU178" s="130"/>
      <c r="RV178" s="130"/>
      <c r="RW178" s="130"/>
      <c r="RX178" s="130"/>
      <c r="SF178" s="128">
        <f t="shared" si="220"/>
        <v>6585534</v>
      </c>
      <c r="SG178" s="131">
        <f t="shared" si="221"/>
        <v>3544000</v>
      </c>
      <c r="SH178" s="131">
        <f t="shared" si="222"/>
        <v>3544000</v>
      </c>
      <c r="SI178" s="131">
        <f t="shared" si="223"/>
        <v>2975000</v>
      </c>
      <c r="SJ178" s="132">
        <f t="shared" si="224"/>
        <v>2898000</v>
      </c>
      <c r="SK178" s="132">
        <f t="shared" si="225"/>
        <v>0</v>
      </c>
      <c r="SL178" s="132">
        <f t="shared" si="226"/>
        <v>26000</v>
      </c>
      <c r="SM178" s="132">
        <f t="shared" si="227"/>
        <v>51000</v>
      </c>
      <c r="SN178" s="131">
        <f t="shared" si="228"/>
        <v>569000</v>
      </c>
      <c r="SO178" s="131">
        <f t="shared" si="229"/>
        <v>45000</v>
      </c>
      <c r="SP178" s="132">
        <f t="shared" si="230"/>
        <v>15000</v>
      </c>
      <c r="SQ178" s="132">
        <f t="shared" si="231"/>
        <v>30000</v>
      </c>
      <c r="SR178" s="132">
        <f t="shared" si="232"/>
        <v>5000</v>
      </c>
      <c r="SS178" s="132">
        <f t="shared" si="233"/>
        <v>15000</v>
      </c>
      <c r="ST178" s="132">
        <f t="shared" si="234"/>
        <v>5000</v>
      </c>
      <c r="SU178" s="132">
        <f t="shared" si="235"/>
        <v>15000</v>
      </c>
      <c r="SV178" s="131">
        <f t="shared" si="236"/>
        <v>467000</v>
      </c>
      <c r="SW178" s="132">
        <f t="shared" si="237"/>
        <v>50000</v>
      </c>
      <c r="SX178" s="132">
        <f t="shared" si="238"/>
        <v>27100</v>
      </c>
      <c r="SY178" s="132">
        <f t="shared" si="239"/>
        <v>122500</v>
      </c>
      <c r="SZ178" s="132">
        <f t="shared" si="240"/>
        <v>160000</v>
      </c>
      <c r="TA178" s="132">
        <f t="shared" si="241"/>
        <v>24000</v>
      </c>
      <c r="TB178" s="132">
        <f t="shared" si="242"/>
        <v>9000</v>
      </c>
      <c r="TC178" s="132">
        <f t="shared" si="243"/>
        <v>12000</v>
      </c>
      <c r="TD178" s="132">
        <f t="shared" si="244"/>
        <v>0</v>
      </c>
      <c r="TE178" s="132">
        <f t="shared" si="245"/>
        <v>0</v>
      </c>
      <c r="TF178" s="132">
        <f t="shared" si="246"/>
        <v>62400</v>
      </c>
      <c r="TG178" s="132">
        <f t="shared" si="247"/>
        <v>0</v>
      </c>
      <c r="TH178" s="132">
        <f t="shared" si="248"/>
        <v>17000</v>
      </c>
      <c r="TI178" s="1"/>
      <c r="TJ178" s="131">
        <f t="shared" si="249"/>
        <v>3270000</v>
      </c>
      <c r="TK178" s="131">
        <f t="shared" si="250"/>
        <v>3270000</v>
      </c>
      <c r="TL178" s="131">
        <f t="shared" si="251"/>
        <v>2784000</v>
      </c>
      <c r="TM178" s="132">
        <f t="shared" si="252"/>
        <v>2764000</v>
      </c>
      <c r="TN178" s="132">
        <f t="shared" si="253"/>
        <v>0</v>
      </c>
      <c r="TO178" s="132">
        <f t="shared" si="254"/>
        <v>20000</v>
      </c>
      <c r="TP178" s="132">
        <f t="shared" si="255"/>
        <v>0</v>
      </c>
      <c r="TQ178" s="131">
        <f t="shared" si="256"/>
        <v>486000</v>
      </c>
      <c r="TR178" s="131">
        <f t="shared" si="257"/>
        <v>45000</v>
      </c>
      <c r="TS178" s="132">
        <f t="shared" si="258"/>
        <v>15000</v>
      </c>
      <c r="TT178" s="132">
        <f t="shared" si="259"/>
        <v>30000</v>
      </c>
      <c r="TU178" s="132">
        <f t="shared" si="260"/>
        <v>0</v>
      </c>
      <c r="TV178" s="132">
        <f t="shared" si="261"/>
        <v>15000</v>
      </c>
      <c r="TW178" s="132">
        <f t="shared" si="262"/>
        <v>0</v>
      </c>
      <c r="TX178" s="132">
        <f t="shared" si="263"/>
        <v>15000</v>
      </c>
      <c r="TY178" s="131">
        <f t="shared" si="264"/>
        <v>411000</v>
      </c>
      <c r="TZ178" s="132">
        <f t="shared" si="265"/>
        <v>40000</v>
      </c>
      <c r="UA178" s="132">
        <f t="shared" si="266"/>
        <v>24000</v>
      </c>
      <c r="UB178" s="132">
        <f t="shared" si="267"/>
        <v>120000</v>
      </c>
      <c r="UC178" s="132">
        <f t="shared" si="268"/>
        <v>150000</v>
      </c>
      <c r="UD178" s="132">
        <f t="shared" si="269"/>
        <v>0</v>
      </c>
      <c r="UE178" s="132">
        <f t="shared" si="270"/>
        <v>9000</v>
      </c>
      <c r="UF178" s="132">
        <f t="shared" si="271"/>
        <v>12000</v>
      </c>
      <c r="UG178" s="132">
        <f t="shared" si="272"/>
        <v>0</v>
      </c>
      <c r="UH178" s="132">
        <f t="shared" si="273"/>
        <v>0</v>
      </c>
      <c r="UI178" s="132">
        <f t="shared" si="274"/>
        <v>56000</v>
      </c>
      <c r="UJ178" s="132">
        <f t="shared" si="275"/>
        <v>0</v>
      </c>
      <c r="UK178" s="132">
        <f t="shared" si="276"/>
        <v>0</v>
      </c>
      <c r="UL178" s="132">
        <f t="shared" si="311"/>
        <v>3270000</v>
      </c>
      <c r="UM178" s="131">
        <f t="shared" si="277"/>
        <v>3270000</v>
      </c>
      <c r="UN178" s="131">
        <f t="shared" si="278"/>
        <v>3270000</v>
      </c>
      <c r="UO178" s="131">
        <f t="shared" si="279"/>
        <v>2784000</v>
      </c>
      <c r="UP178" s="132">
        <f t="shared" si="280"/>
        <v>2764000</v>
      </c>
      <c r="UQ178" s="132">
        <f t="shared" si="281"/>
        <v>0</v>
      </c>
      <c r="UR178" s="132">
        <f t="shared" si="282"/>
        <v>20000</v>
      </c>
      <c r="US178" s="132">
        <f t="shared" si="283"/>
        <v>0</v>
      </c>
      <c r="UT178" s="131">
        <f t="shared" si="284"/>
        <v>486000</v>
      </c>
      <c r="UU178" s="131">
        <f t="shared" si="285"/>
        <v>45000</v>
      </c>
      <c r="UV178" s="132">
        <f t="shared" si="286"/>
        <v>15000</v>
      </c>
      <c r="UW178" s="132">
        <f t="shared" si="287"/>
        <v>30000</v>
      </c>
      <c r="UX178" s="132">
        <f t="shared" si="288"/>
        <v>0</v>
      </c>
      <c r="UY178" s="132">
        <f t="shared" si="289"/>
        <v>15000</v>
      </c>
      <c r="UZ178" s="132">
        <f t="shared" si="290"/>
        <v>0</v>
      </c>
      <c r="VA178" s="132">
        <f t="shared" si="291"/>
        <v>15000</v>
      </c>
      <c r="VB178" s="131">
        <f t="shared" si="292"/>
        <v>411000</v>
      </c>
      <c r="VC178" s="132">
        <f t="shared" si="293"/>
        <v>40000</v>
      </c>
      <c r="VD178" s="132">
        <f t="shared" si="294"/>
        <v>24000</v>
      </c>
      <c r="VE178" s="132">
        <f t="shared" si="295"/>
        <v>120000</v>
      </c>
      <c r="VF178" s="132">
        <f t="shared" si="296"/>
        <v>150000</v>
      </c>
      <c r="VG178" s="132">
        <f t="shared" si="297"/>
        <v>0</v>
      </c>
      <c r="VH178" s="132">
        <f t="shared" si="298"/>
        <v>9000</v>
      </c>
      <c r="VI178" s="132">
        <f t="shared" si="299"/>
        <v>12000</v>
      </c>
      <c r="VJ178" s="132">
        <f t="shared" si="300"/>
        <v>0</v>
      </c>
      <c r="VK178" s="132">
        <f t="shared" si="301"/>
        <v>0</v>
      </c>
      <c r="VL178" s="132">
        <f t="shared" si="302"/>
        <v>56000</v>
      </c>
      <c r="VM178" s="132">
        <f t="shared" si="303"/>
        <v>0</v>
      </c>
      <c r="VN178" s="132">
        <f t="shared" si="304"/>
        <v>0</v>
      </c>
      <c r="VP178" s="845" t="str">
        <f>IFERROR(HLOOKUP(F178,'Hodnocení '!$C$1:$JH$5,2,FALSE),0)</f>
        <v>Intervenční centrum Hradec Králové</v>
      </c>
      <c r="VQ178" s="838"/>
      <c r="VR178" s="845" t="str">
        <f t="shared" si="312"/>
        <v>Církve a náboženské společnosti</v>
      </c>
      <c r="VS178" s="845" t="str">
        <f>IFERROR(HLOOKUP(F178,'Hodnocení '!$C$1:$JH$5,5,FALSE),0)</f>
        <v>NZO</v>
      </c>
      <c r="VT178" s="838">
        <f t="shared" si="313"/>
        <v>0</v>
      </c>
      <c r="VU178" s="838">
        <f t="shared" si="314"/>
        <v>0</v>
      </c>
      <c r="VV178" s="838">
        <f t="shared" si="315"/>
        <v>0</v>
      </c>
      <c r="VW178" s="838">
        <f t="shared" si="316"/>
        <v>0</v>
      </c>
      <c r="VX178" s="838"/>
      <c r="VY178" s="838">
        <f t="shared" si="317"/>
        <v>0</v>
      </c>
      <c r="VZ178" s="838">
        <f t="shared" si="318"/>
        <v>3270000</v>
      </c>
      <c r="WA178" s="846">
        <f>IFERROR(HLOOKUP($F178,'Hodnocení '!$C$1:$JH$9,9,FALSE),0)</f>
        <v>3270000</v>
      </c>
      <c r="WB178" s="846">
        <f>IF(IFERROR(HLOOKUP($F178,'Hodnocení '!$C$1:$JH$13,13,FALSE),0)&gt;WA178,WA178,IFERROR(HLOOKUP($F178,'Hodnocení '!$C$1:$JH$13,13,FALSE),0))</f>
        <v>3270000</v>
      </c>
      <c r="WC178" s="846">
        <f>IFERROR(HLOOKUP($F178,'Hodnocení '!$C$1:$JH$155,155,FALSE),0)</f>
        <v>0</v>
      </c>
      <c r="WD178" s="845"/>
      <c r="WE178" s="845"/>
      <c r="WF178" s="845" t="str">
        <f t="shared" si="305"/>
        <v>ANO</v>
      </c>
      <c r="WG178" s="849" t="str">
        <f t="shared" si="320"/>
        <v>Podpora služby je vyjádřena zařazením do sítě sociálních služeb v KHK a řešením financování služby</v>
      </c>
      <c r="WH178"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78" s="849" t="str">
        <f t="shared" si="320"/>
        <v>Návrh dotace je výsledkem projednání s ostatními zadavateli v rámci sítě služeb KHK</v>
      </c>
      <c r="WJ178" s="849" t="str">
        <f t="shared" si="320"/>
        <v>Bez komentáře</v>
      </c>
      <c r="WK178" s="31">
        <f t="shared" si="306"/>
        <v>0</v>
      </c>
      <c r="WL178" s="850">
        <f t="shared" si="307"/>
        <v>0</v>
      </c>
      <c r="WM178" s="849">
        <f t="shared" si="308"/>
        <v>0</v>
      </c>
      <c r="WN178" s="849">
        <f t="shared" si="309"/>
        <v>0</v>
      </c>
      <c r="WO178" s="849" t="str">
        <f t="shared" si="319"/>
        <v>bez komentáře</v>
      </c>
      <c r="WP178" s="849" t="str">
        <f t="shared" si="319"/>
        <v>bez komentáře</v>
      </c>
      <c r="WQ178" s="849" t="str">
        <f t="shared" si="319"/>
        <v>Konečná výše dotace z rozpočtu KHK bude řešena v návaznosti na řešení podílů jednotlivých zadavatelů.</v>
      </c>
      <c r="WR178" s="849" t="str">
        <f t="shared" si="319"/>
        <v>Konečná výše podpory ze stran obcí bude řešena v součinnosti s jednotlivými zadavateli v průběhu roku.</v>
      </c>
      <c r="WS178" s="849" t="str">
        <f t="shared" si="319"/>
        <v>bez komentáře</v>
      </c>
      <c r="WT178" s="849" t="str">
        <f t="shared" si="319"/>
        <v>bez komentáře</v>
      </c>
      <c r="WU178" s="845"/>
    </row>
    <row r="179" spans="1:619" s="128" customFormat="1" x14ac:dyDescent="0.25">
      <c r="A179" s="128" t="str">
        <f>VLOOKUP(F179,'Výpočet VP 2020'!$D$324:$I$588,6,FALSE)</f>
        <v>Je v síti</v>
      </c>
      <c r="B179" s="128" t="s">
        <v>776</v>
      </c>
      <c r="C179" s="128">
        <v>45979855</v>
      </c>
      <c r="D179" s="128" t="s">
        <v>777</v>
      </c>
      <c r="E179" s="128" t="s">
        <v>360</v>
      </c>
      <c r="F179" s="128">
        <v>7832444</v>
      </c>
      <c r="G179" s="128" t="s">
        <v>801</v>
      </c>
      <c r="H179" s="128" t="s">
        <v>230</v>
      </c>
      <c r="I179" s="128" t="s">
        <v>802</v>
      </c>
      <c r="J179" s="129">
        <v>39083</v>
      </c>
      <c r="L179" s="128" t="s">
        <v>220</v>
      </c>
      <c r="X179" s="128" t="s">
        <v>302</v>
      </c>
      <c r="Z179" s="128">
        <v>30</v>
      </c>
      <c r="AA179" s="128">
        <v>60</v>
      </c>
      <c r="AB179" s="128">
        <v>424</v>
      </c>
      <c r="AC179" s="128">
        <v>420</v>
      </c>
      <c r="AD179" s="128">
        <v>420</v>
      </c>
      <c r="AO179" s="128" t="s">
        <v>803</v>
      </c>
      <c r="AP179" s="128" t="s">
        <v>232</v>
      </c>
      <c r="AQ179" s="128">
        <v>10</v>
      </c>
      <c r="AR179" s="128">
        <v>10</v>
      </c>
      <c r="AS179" s="128">
        <v>424</v>
      </c>
      <c r="AT179" s="128">
        <v>420</v>
      </c>
      <c r="AU179" s="128">
        <v>420</v>
      </c>
      <c r="BL179" s="128" t="s">
        <v>804</v>
      </c>
      <c r="BM179" s="128" t="s">
        <v>702</v>
      </c>
      <c r="BN179" s="128" t="s">
        <v>364</v>
      </c>
      <c r="EK179" s="128">
        <v>3</v>
      </c>
      <c r="EL179" s="128">
        <v>2.75</v>
      </c>
      <c r="EM179" s="128">
        <v>2.61</v>
      </c>
      <c r="EN179" s="128">
        <v>1547722</v>
      </c>
      <c r="EO179" s="128">
        <v>1500515</v>
      </c>
      <c r="EP179" s="128">
        <v>10</v>
      </c>
      <c r="EQ179" s="128">
        <v>4.1399999999999997</v>
      </c>
      <c r="ER179" s="128">
        <v>3.58</v>
      </c>
      <c r="ES179" s="128">
        <v>2101372</v>
      </c>
      <c r="ET179" s="128">
        <v>2100000</v>
      </c>
      <c r="FO179" s="128">
        <v>10</v>
      </c>
      <c r="FP179" s="128">
        <v>0.7</v>
      </c>
      <c r="FQ179" s="128">
        <v>0.5</v>
      </c>
      <c r="FR179" s="128">
        <v>425316</v>
      </c>
      <c r="FS179" s="128">
        <v>368000</v>
      </c>
      <c r="IH179" s="128">
        <v>1</v>
      </c>
      <c r="II179" s="128">
        <v>0.09</v>
      </c>
      <c r="IJ179" s="128">
        <v>12</v>
      </c>
      <c r="IK179" s="128">
        <v>0.09</v>
      </c>
      <c r="IL179" s="128">
        <v>18010</v>
      </c>
      <c r="IM179" s="128">
        <v>5000</v>
      </c>
      <c r="IS179" s="128">
        <v>1</v>
      </c>
      <c r="IT179" s="128">
        <v>93</v>
      </c>
      <c r="IU179" s="128">
        <v>4.3999999999999997E-2</v>
      </c>
      <c r="IV179" s="128">
        <v>8370</v>
      </c>
      <c r="IW179" s="128">
        <v>2000</v>
      </c>
      <c r="KG179" s="128">
        <v>14</v>
      </c>
      <c r="KH179" s="128">
        <v>134</v>
      </c>
      <c r="KI179" s="128">
        <v>6.89</v>
      </c>
      <c r="KJ179" s="128">
        <v>0</v>
      </c>
      <c r="KK179" s="128">
        <v>0</v>
      </c>
      <c r="KL179" s="128">
        <v>0</v>
      </c>
      <c r="KM179" s="128">
        <v>6.89</v>
      </c>
      <c r="KN179" s="128">
        <v>4074410</v>
      </c>
      <c r="KO179" s="128">
        <v>3968515</v>
      </c>
      <c r="KP179" s="128">
        <v>3968515</v>
      </c>
      <c r="KT179" s="128">
        <v>18010</v>
      </c>
      <c r="KU179" s="128">
        <v>5000</v>
      </c>
      <c r="KV179" s="128">
        <v>5000</v>
      </c>
      <c r="KZ179" s="128">
        <v>8370</v>
      </c>
      <c r="LA179" s="128">
        <v>2000</v>
      </c>
      <c r="LB179" s="128">
        <v>2000</v>
      </c>
      <c r="LF179" s="128">
        <v>6000</v>
      </c>
      <c r="LG179" s="128">
        <v>0</v>
      </c>
      <c r="LH179" s="128">
        <v>0</v>
      </c>
      <c r="LL179" s="128">
        <v>8000</v>
      </c>
      <c r="LM179" s="128">
        <v>5000</v>
      </c>
      <c r="LN179" s="128">
        <v>5000</v>
      </c>
      <c r="LR179" s="128">
        <v>50000</v>
      </c>
      <c r="LS179" s="128">
        <v>20000</v>
      </c>
      <c r="LT179" s="128">
        <v>20000</v>
      </c>
      <c r="LX179" s="128">
        <v>55000</v>
      </c>
      <c r="LY179" s="128">
        <v>0</v>
      </c>
      <c r="LZ179" s="128">
        <v>0</v>
      </c>
      <c r="MD179" s="128">
        <v>10000</v>
      </c>
      <c r="ME179" s="128">
        <v>3000</v>
      </c>
      <c r="MF179" s="128">
        <v>3000</v>
      </c>
      <c r="MJ179" s="128">
        <v>40000</v>
      </c>
      <c r="MK179" s="128">
        <v>20000</v>
      </c>
      <c r="ML179" s="128">
        <v>20000</v>
      </c>
      <c r="MP179" s="128">
        <v>200000</v>
      </c>
      <c r="MQ179" s="128">
        <v>120000</v>
      </c>
      <c r="MR179" s="128">
        <v>120000</v>
      </c>
      <c r="MV179" s="128">
        <v>250000</v>
      </c>
      <c r="MW179" s="128">
        <v>190000</v>
      </c>
      <c r="MX179" s="128">
        <v>190000</v>
      </c>
      <c r="NB179" s="128">
        <v>8000</v>
      </c>
      <c r="NC179" s="128">
        <v>3000</v>
      </c>
      <c r="ND179" s="128">
        <v>3000</v>
      </c>
      <c r="NH179" s="128">
        <v>205000</v>
      </c>
      <c r="NI179" s="128">
        <v>50000</v>
      </c>
      <c r="NJ179" s="128">
        <v>50000</v>
      </c>
      <c r="NN179" s="128">
        <v>100000</v>
      </c>
      <c r="NO179" s="128">
        <v>100000</v>
      </c>
      <c r="NP179" s="128">
        <v>100000</v>
      </c>
      <c r="NT179" s="128">
        <v>40000</v>
      </c>
      <c r="NU179" s="128">
        <v>5000</v>
      </c>
      <c r="NV179" s="128">
        <v>5000</v>
      </c>
      <c r="NZ179" s="128">
        <v>80000</v>
      </c>
      <c r="OA179" s="128">
        <v>20000</v>
      </c>
      <c r="OB179" s="128">
        <v>20000</v>
      </c>
      <c r="OF179" s="128">
        <v>6000</v>
      </c>
      <c r="OG179" s="128">
        <v>2000</v>
      </c>
      <c r="OH179" s="128">
        <v>2000</v>
      </c>
      <c r="OL179" s="128">
        <v>0</v>
      </c>
      <c r="OM179" s="128">
        <v>0</v>
      </c>
      <c r="ON179" s="128">
        <v>0</v>
      </c>
      <c r="OR179" s="128">
        <v>0</v>
      </c>
      <c r="OS179" s="128">
        <v>0</v>
      </c>
      <c r="OT179" s="128">
        <v>0</v>
      </c>
      <c r="OX179" s="128">
        <v>154500</v>
      </c>
      <c r="OY179" s="128">
        <v>0</v>
      </c>
      <c r="OZ179" s="128">
        <v>0</v>
      </c>
      <c r="PD179" s="128">
        <v>8000</v>
      </c>
      <c r="PE179" s="128">
        <v>0</v>
      </c>
      <c r="PF179" s="128">
        <v>0</v>
      </c>
      <c r="PJ179" s="128">
        <v>27000</v>
      </c>
      <c r="PK179" s="128">
        <v>0</v>
      </c>
      <c r="PL179" s="128">
        <v>0</v>
      </c>
      <c r="PP179" s="128">
        <v>5348290</v>
      </c>
      <c r="PQ179" s="128">
        <v>4513515</v>
      </c>
      <c r="PR179" s="128">
        <v>4513515</v>
      </c>
      <c r="PS179" s="128">
        <v>100</v>
      </c>
      <c r="PT179" s="128">
        <v>100</v>
      </c>
      <c r="PX179" s="128">
        <v>828800</v>
      </c>
      <c r="PY179" s="128">
        <v>2357340</v>
      </c>
      <c r="PZ179" s="128">
        <v>4513515</v>
      </c>
      <c r="QA179" s="128">
        <v>0</v>
      </c>
      <c r="QB179" s="128">
        <v>0</v>
      </c>
      <c r="QC179" s="128">
        <v>0</v>
      </c>
      <c r="QD179" s="128">
        <v>0</v>
      </c>
      <c r="QE179" s="128">
        <v>0</v>
      </c>
      <c r="QF179" s="128">
        <v>0</v>
      </c>
      <c r="QG179" s="128">
        <v>0</v>
      </c>
      <c r="QH179" s="128">
        <v>0</v>
      </c>
      <c r="QI179" s="128">
        <v>0</v>
      </c>
      <c r="QJ179" s="128">
        <v>44888</v>
      </c>
      <c r="QK179" s="128">
        <v>45000</v>
      </c>
      <c r="QL179" s="128">
        <v>55000</v>
      </c>
      <c r="QN179" s="128">
        <v>0</v>
      </c>
      <c r="QO179" s="128">
        <v>0</v>
      </c>
      <c r="QP179" s="128">
        <v>0</v>
      </c>
      <c r="QX179" s="128">
        <v>661000</v>
      </c>
      <c r="QY179" s="128">
        <v>710000</v>
      </c>
      <c r="QZ179" s="128">
        <v>720000</v>
      </c>
      <c r="RA179" s="128">
        <v>2244326</v>
      </c>
      <c r="RB179" s="128">
        <v>1134201</v>
      </c>
      <c r="RC179" s="128">
        <v>59775</v>
      </c>
      <c r="RH179" s="128">
        <f t="shared" si="310"/>
        <v>5293290</v>
      </c>
      <c r="RI179" s="128">
        <v>0</v>
      </c>
      <c r="RM179" s="128" t="s">
        <v>220</v>
      </c>
      <c r="RU179" s="130"/>
      <c r="RV179" s="130"/>
      <c r="RW179" s="130"/>
      <c r="RX179" s="130"/>
      <c r="SF179" s="128">
        <f t="shared" si="220"/>
        <v>7832444</v>
      </c>
      <c r="SG179" s="131">
        <f t="shared" si="221"/>
        <v>5348290</v>
      </c>
      <c r="SH179" s="131">
        <f t="shared" si="222"/>
        <v>5348290</v>
      </c>
      <c r="SI179" s="131">
        <f t="shared" si="223"/>
        <v>4106790</v>
      </c>
      <c r="SJ179" s="132">
        <f t="shared" si="224"/>
        <v>4074410</v>
      </c>
      <c r="SK179" s="132">
        <f t="shared" si="225"/>
        <v>18010</v>
      </c>
      <c r="SL179" s="132">
        <f t="shared" si="226"/>
        <v>8370</v>
      </c>
      <c r="SM179" s="132">
        <f t="shared" si="227"/>
        <v>6000</v>
      </c>
      <c r="SN179" s="131">
        <f t="shared" si="228"/>
        <v>1241500</v>
      </c>
      <c r="SO179" s="131">
        <f t="shared" si="229"/>
        <v>58000</v>
      </c>
      <c r="SP179" s="132">
        <f t="shared" si="230"/>
        <v>8000</v>
      </c>
      <c r="SQ179" s="132">
        <f t="shared" si="231"/>
        <v>50000</v>
      </c>
      <c r="SR179" s="132">
        <f t="shared" si="232"/>
        <v>55000</v>
      </c>
      <c r="SS179" s="132">
        <f t="shared" si="233"/>
        <v>10000</v>
      </c>
      <c r="ST179" s="132">
        <f t="shared" si="234"/>
        <v>40000</v>
      </c>
      <c r="SU179" s="132">
        <f t="shared" si="235"/>
        <v>200000</v>
      </c>
      <c r="SV179" s="131">
        <f t="shared" si="236"/>
        <v>843500</v>
      </c>
      <c r="SW179" s="132">
        <f t="shared" si="237"/>
        <v>250000</v>
      </c>
      <c r="SX179" s="132">
        <f t="shared" si="238"/>
        <v>8000</v>
      </c>
      <c r="SY179" s="132">
        <f t="shared" si="239"/>
        <v>205000</v>
      </c>
      <c r="SZ179" s="132">
        <f t="shared" si="240"/>
        <v>100000</v>
      </c>
      <c r="TA179" s="132">
        <f t="shared" si="241"/>
        <v>40000</v>
      </c>
      <c r="TB179" s="132">
        <f t="shared" si="242"/>
        <v>80000</v>
      </c>
      <c r="TC179" s="132">
        <f t="shared" si="243"/>
        <v>6000</v>
      </c>
      <c r="TD179" s="132">
        <f t="shared" si="244"/>
        <v>0</v>
      </c>
      <c r="TE179" s="132">
        <f t="shared" si="245"/>
        <v>0</v>
      </c>
      <c r="TF179" s="132">
        <f t="shared" si="246"/>
        <v>154500</v>
      </c>
      <c r="TG179" s="132">
        <f t="shared" si="247"/>
        <v>8000</v>
      </c>
      <c r="TH179" s="132">
        <f t="shared" si="248"/>
        <v>27000</v>
      </c>
      <c r="TI179" s="1"/>
      <c r="TJ179" s="131">
        <f t="shared" si="249"/>
        <v>4513515</v>
      </c>
      <c r="TK179" s="131">
        <f t="shared" si="250"/>
        <v>4513515</v>
      </c>
      <c r="TL179" s="131">
        <f t="shared" si="251"/>
        <v>3975515</v>
      </c>
      <c r="TM179" s="132">
        <f t="shared" si="252"/>
        <v>3968515</v>
      </c>
      <c r="TN179" s="132">
        <f t="shared" si="253"/>
        <v>5000</v>
      </c>
      <c r="TO179" s="132">
        <f t="shared" si="254"/>
        <v>2000</v>
      </c>
      <c r="TP179" s="132">
        <f t="shared" si="255"/>
        <v>0</v>
      </c>
      <c r="TQ179" s="131">
        <f t="shared" si="256"/>
        <v>538000</v>
      </c>
      <c r="TR179" s="131">
        <f t="shared" si="257"/>
        <v>25000</v>
      </c>
      <c r="TS179" s="132">
        <f t="shared" si="258"/>
        <v>5000</v>
      </c>
      <c r="TT179" s="132">
        <f t="shared" si="259"/>
        <v>20000</v>
      </c>
      <c r="TU179" s="132">
        <f t="shared" si="260"/>
        <v>0</v>
      </c>
      <c r="TV179" s="132">
        <f t="shared" si="261"/>
        <v>3000</v>
      </c>
      <c r="TW179" s="132">
        <f t="shared" si="262"/>
        <v>20000</v>
      </c>
      <c r="TX179" s="132">
        <f t="shared" si="263"/>
        <v>120000</v>
      </c>
      <c r="TY179" s="131">
        <f t="shared" si="264"/>
        <v>370000</v>
      </c>
      <c r="TZ179" s="132">
        <f t="shared" si="265"/>
        <v>190000</v>
      </c>
      <c r="UA179" s="132">
        <f t="shared" si="266"/>
        <v>3000</v>
      </c>
      <c r="UB179" s="132">
        <f t="shared" si="267"/>
        <v>50000</v>
      </c>
      <c r="UC179" s="132">
        <f t="shared" si="268"/>
        <v>100000</v>
      </c>
      <c r="UD179" s="132">
        <f t="shared" si="269"/>
        <v>5000</v>
      </c>
      <c r="UE179" s="132">
        <f t="shared" si="270"/>
        <v>20000</v>
      </c>
      <c r="UF179" s="132">
        <f t="shared" si="271"/>
        <v>2000</v>
      </c>
      <c r="UG179" s="132">
        <f t="shared" si="272"/>
        <v>0</v>
      </c>
      <c r="UH179" s="132">
        <f t="shared" si="273"/>
        <v>0</v>
      </c>
      <c r="UI179" s="132">
        <f t="shared" si="274"/>
        <v>0</v>
      </c>
      <c r="UJ179" s="132">
        <f t="shared" si="275"/>
        <v>0</v>
      </c>
      <c r="UK179" s="132">
        <f t="shared" si="276"/>
        <v>0</v>
      </c>
      <c r="UL179" s="132">
        <f t="shared" si="311"/>
        <v>4513515</v>
      </c>
      <c r="UM179" s="131">
        <f t="shared" si="277"/>
        <v>4513515</v>
      </c>
      <c r="UN179" s="131">
        <f t="shared" si="278"/>
        <v>4513515</v>
      </c>
      <c r="UO179" s="131">
        <f t="shared" si="279"/>
        <v>3975515</v>
      </c>
      <c r="UP179" s="132">
        <f t="shared" si="280"/>
        <v>3968515</v>
      </c>
      <c r="UQ179" s="132">
        <f t="shared" si="281"/>
        <v>5000</v>
      </c>
      <c r="UR179" s="132">
        <f t="shared" si="282"/>
        <v>2000</v>
      </c>
      <c r="US179" s="132">
        <f t="shared" si="283"/>
        <v>0</v>
      </c>
      <c r="UT179" s="131">
        <f t="shared" si="284"/>
        <v>538000</v>
      </c>
      <c r="UU179" s="131">
        <f t="shared" si="285"/>
        <v>25000</v>
      </c>
      <c r="UV179" s="132">
        <f t="shared" si="286"/>
        <v>5000</v>
      </c>
      <c r="UW179" s="132">
        <f t="shared" si="287"/>
        <v>20000</v>
      </c>
      <c r="UX179" s="132">
        <f t="shared" si="288"/>
        <v>0</v>
      </c>
      <c r="UY179" s="132">
        <f t="shared" si="289"/>
        <v>3000</v>
      </c>
      <c r="UZ179" s="132">
        <f t="shared" si="290"/>
        <v>20000</v>
      </c>
      <c r="VA179" s="132">
        <f t="shared" si="291"/>
        <v>120000</v>
      </c>
      <c r="VB179" s="131">
        <f t="shared" si="292"/>
        <v>370000</v>
      </c>
      <c r="VC179" s="132">
        <f t="shared" si="293"/>
        <v>190000</v>
      </c>
      <c r="VD179" s="132">
        <f t="shared" si="294"/>
        <v>3000</v>
      </c>
      <c r="VE179" s="132">
        <f t="shared" si="295"/>
        <v>50000</v>
      </c>
      <c r="VF179" s="132">
        <f t="shared" si="296"/>
        <v>100000</v>
      </c>
      <c r="VG179" s="132">
        <f t="shared" si="297"/>
        <v>5000</v>
      </c>
      <c r="VH179" s="132">
        <f t="shared" si="298"/>
        <v>20000</v>
      </c>
      <c r="VI179" s="132">
        <f t="shared" si="299"/>
        <v>2000</v>
      </c>
      <c r="VJ179" s="132">
        <f t="shared" si="300"/>
        <v>0</v>
      </c>
      <c r="VK179" s="132">
        <f t="shared" si="301"/>
        <v>0</v>
      </c>
      <c r="VL179" s="132">
        <f t="shared" si="302"/>
        <v>0</v>
      </c>
      <c r="VM179" s="132">
        <f t="shared" si="303"/>
        <v>0</v>
      </c>
      <c r="VN179" s="132">
        <f t="shared" si="304"/>
        <v>0</v>
      </c>
      <c r="VP179" s="845" t="str">
        <f>IFERROR(HLOOKUP(F179,'Hodnocení '!$C$1:$JH$5,2,FALSE),0)</f>
        <v>Dům Matky Terezy Hradec Králové</v>
      </c>
      <c r="VQ179" s="838"/>
      <c r="VR179" s="845" t="str">
        <f t="shared" si="312"/>
        <v>Církve a náboženské společnosti</v>
      </c>
      <c r="VS179" s="845" t="str">
        <f>IFERROR(HLOOKUP(F179,'Hodnocení '!$C$1:$JH$5,5,FALSE),0)</f>
        <v>NZO</v>
      </c>
      <c r="VT179" s="838">
        <f t="shared" si="313"/>
        <v>0</v>
      </c>
      <c r="VU179" s="838">
        <f t="shared" si="314"/>
        <v>0</v>
      </c>
      <c r="VV179" s="838">
        <f t="shared" si="315"/>
        <v>55000</v>
      </c>
      <c r="VW179" s="838">
        <f t="shared" si="316"/>
        <v>0</v>
      </c>
      <c r="VX179" s="838"/>
      <c r="VY179" s="838">
        <f t="shared" si="317"/>
        <v>0</v>
      </c>
      <c r="VZ179" s="838">
        <f t="shared" si="318"/>
        <v>4513515</v>
      </c>
      <c r="WA179" s="846">
        <f>IFERROR(HLOOKUP($F179,'Hodnocení '!$C$1:$JH$9,9,FALSE),0)</f>
        <v>4513515</v>
      </c>
      <c r="WB179" s="846">
        <f>IF(IFERROR(HLOOKUP($F179,'Hodnocení '!$C$1:$JH$13,13,FALSE),0)&gt;WA179,WA179,IFERROR(HLOOKUP($F179,'Hodnocení '!$C$1:$JH$13,13,FALSE),0))</f>
        <v>4513515</v>
      </c>
      <c r="WC179" s="846">
        <f>IFERROR(HLOOKUP($F179,'Hodnocení '!$C$1:$JH$155,155,FALSE),0)</f>
        <v>3854200</v>
      </c>
      <c r="WD179" s="845"/>
      <c r="WE179" s="845"/>
      <c r="WF179" s="845" t="str">
        <f t="shared" si="305"/>
        <v>ANO</v>
      </c>
      <c r="WG179" s="849" t="str">
        <f t="shared" si="320"/>
        <v>Podpora služby je vyjádřena zařazením do sítě sociálních služeb v KHK a řešením financování služby</v>
      </c>
      <c r="WH179"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79" s="849" t="str">
        <f t="shared" si="320"/>
        <v>Návrh dotace je výsledkem projednání s ostatními zadavateli v rámci sítě služeb KHK</v>
      </c>
      <c r="WJ179" s="849" t="str">
        <f t="shared" si="320"/>
        <v>Bez komentáře</v>
      </c>
      <c r="WK179" s="31">
        <f t="shared" si="306"/>
        <v>0</v>
      </c>
      <c r="WL179" s="850">
        <f t="shared" si="307"/>
        <v>0</v>
      </c>
      <c r="WM179" s="849" t="str">
        <f t="shared" si="308"/>
        <v>V rámci sítě KHK se dlouhodobě řeší otázka navyšování úhrad a průběžně se monitoruje s vazbou na vykrytí vyrovnávací platby</v>
      </c>
      <c r="WN179" s="849">
        <f t="shared" si="309"/>
        <v>0</v>
      </c>
      <c r="WO179" s="849" t="str">
        <f t="shared" si="319"/>
        <v>bez komentáře</v>
      </c>
      <c r="WP179" s="849" t="str">
        <f t="shared" si="319"/>
        <v>bez komentáře</v>
      </c>
      <c r="WQ179" s="849" t="str">
        <f t="shared" si="319"/>
        <v>Konečná výše dotace z rozpočtu KHK bude řešena v návaznosti na řešení podílů jednotlivých zadavatelů.</v>
      </c>
      <c r="WR179" s="849" t="str">
        <f t="shared" si="319"/>
        <v>Konečná výše podpory ze stran obcí bude řešena v součinnosti s jednotlivými zadavateli v průběhu roku.</v>
      </c>
      <c r="WS179" s="849" t="str">
        <f t="shared" si="319"/>
        <v>bez komentáře</v>
      </c>
      <c r="WT179" s="849" t="str">
        <f t="shared" si="319"/>
        <v>bez komentáře</v>
      </c>
      <c r="WU179" s="845"/>
    </row>
    <row r="180" spans="1:619" s="128" customFormat="1" x14ac:dyDescent="0.25">
      <c r="A180" s="128" t="str">
        <f>VLOOKUP(F180,'Výpočet VP 2020'!$D$324:$I$588,6,FALSE)</f>
        <v>Je v síti</v>
      </c>
      <c r="B180" s="128" t="s">
        <v>805</v>
      </c>
      <c r="C180" s="128">
        <v>73633755</v>
      </c>
      <c r="D180" s="128" t="s">
        <v>806</v>
      </c>
      <c r="E180" s="128" t="s">
        <v>360</v>
      </c>
      <c r="F180" s="128">
        <v>1738957</v>
      </c>
      <c r="G180" s="128" t="s">
        <v>538</v>
      </c>
      <c r="H180" s="128" t="s">
        <v>230</v>
      </c>
      <c r="I180" s="128" t="s">
        <v>807</v>
      </c>
      <c r="J180" s="129">
        <v>40001</v>
      </c>
      <c r="L180" s="128" t="s">
        <v>220</v>
      </c>
      <c r="X180" s="128" t="s">
        <v>322</v>
      </c>
      <c r="Z180" s="128">
        <v>20</v>
      </c>
      <c r="AA180" s="128">
        <v>40</v>
      </c>
      <c r="AB180" s="128">
        <v>49</v>
      </c>
      <c r="AC180" s="128">
        <v>50</v>
      </c>
      <c r="AD180" s="128">
        <v>50</v>
      </c>
      <c r="BL180" s="128" t="s">
        <v>566</v>
      </c>
      <c r="BM180" s="128" t="s">
        <v>542</v>
      </c>
      <c r="BN180" s="128" t="s">
        <v>567</v>
      </c>
      <c r="EK180" s="128">
        <v>2</v>
      </c>
      <c r="EL180" s="128">
        <v>2</v>
      </c>
      <c r="EM180" s="128">
        <v>1.1200000000000001</v>
      </c>
      <c r="EN180" s="128">
        <v>1062620</v>
      </c>
      <c r="EO180" s="128">
        <v>1062620</v>
      </c>
      <c r="FO180" s="128">
        <v>5</v>
      </c>
      <c r="FP180" s="128">
        <v>0.59299999999999997</v>
      </c>
      <c r="FQ180" s="128">
        <v>0.65</v>
      </c>
      <c r="FR180" s="128">
        <v>357892</v>
      </c>
      <c r="FS180" s="128">
        <v>357892</v>
      </c>
      <c r="IN180" s="128">
        <v>1</v>
      </c>
      <c r="IO180" s="128">
        <v>150</v>
      </c>
      <c r="IP180" s="128">
        <v>7.1999999999999995E-2</v>
      </c>
      <c r="IQ180" s="128">
        <v>18000</v>
      </c>
      <c r="IR180" s="128">
        <v>18000</v>
      </c>
      <c r="IS180" s="128">
        <v>1</v>
      </c>
      <c r="IT180" s="128">
        <v>21</v>
      </c>
      <c r="IU180" s="128">
        <v>0.01</v>
      </c>
      <c r="IV180" s="128">
        <v>4200</v>
      </c>
      <c r="IW180" s="128">
        <v>4200</v>
      </c>
      <c r="KG180" s="128">
        <v>2</v>
      </c>
      <c r="KH180" s="128">
        <v>80</v>
      </c>
      <c r="KI180" s="128">
        <v>2</v>
      </c>
      <c r="KJ180" s="128">
        <v>0</v>
      </c>
      <c r="KK180" s="128">
        <v>7.1999999999999995E-2</v>
      </c>
      <c r="KL180" s="128">
        <v>0</v>
      </c>
      <c r="KM180" s="128">
        <v>2.0720000000000001</v>
      </c>
      <c r="KN180" s="128">
        <v>1420512</v>
      </c>
      <c r="KO180" s="128">
        <v>1420512</v>
      </c>
      <c r="KP180" s="128">
        <v>1420512</v>
      </c>
      <c r="KT180" s="128">
        <v>0</v>
      </c>
      <c r="KU180" s="128">
        <v>0</v>
      </c>
      <c r="KV180" s="128">
        <v>0</v>
      </c>
      <c r="KZ180" s="128">
        <v>22200</v>
      </c>
      <c r="LA180" s="128">
        <v>22200</v>
      </c>
      <c r="LB180" s="128">
        <v>22200</v>
      </c>
      <c r="LF180" s="128">
        <v>5500</v>
      </c>
      <c r="LG180" s="128">
        <v>4000</v>
      </c>
      <c r="LH180" s="128">
        <v>4000</v>
      </c>
      <c r="LL180" s="128">
        <v>0</v>
      </c>
      <c r="LM180" s="128">
        <v>0</v>
      </c>
      <c r="LN180" s="128">
        <v>0</v>
      </c>
      <c r="LR180" s="128">
        <v>10000</v>
      </c>
      <c r="LS180" s="128">
        <v>5000</v>
      </c>
      <c r="LT180" s="128">
        <v>5000</v>
      </c>
      <c r="LX180" s="128">
        <v>1000</v>
      </c>
      <c r="LY180" s="128">
        <v>0</v>
      </c>
      <c r="LZ180" s="128">
        <v>0</v>
      </c>
      <c r="MD180" s="128">
        <v>18000</v>
      </c>
      <c r="ME180" s="128">
        <v>10000</v>
      </c>
      <c r="MF180" s="128">
        <v>10000</v>
      </c>
      <c r="MJ180" s="128">
        <v>0</v>
      </c>
      <c r="MK180" s="128">
        <v>0</v>
      </c>
      <c r="ML180" s="128">
        <v>0</v>
      </c>
      <c r="MP180" s="128">
        <v>13000</v>
      </c>
      <c r="MQ180" s="128">
        <v>10000</v>
      </c>
      <c r="MR180" s="128">
        <v>10000</v>
      </c>
      <c r="MV180" s="128">
        <v>60000</v>
      </c>
      <c r="MW180" s="128">
        <v>0</v>
      </c>
      <c r="MX180" s="128">
        <v>0</v>
      </c>
      <c r="NB180" s="128">
        <v>10310</v>
      </c>
      <c r="NC180" s="128">
        <v>3650</v>
      </c>
      <c r="ND180" s="128">
        <v>3650</v>
      </c>
      <c r="NH180" s="128">
        <v>33600</v>
      </c>
      <c r="NI180" s="128">
        <v>32000</v>
      </c>
      <c r="NJ180" s="128">
        <v>32000</v>
      </c>
      <c r="NN180" s="128">
        <v>4000</v>
      </c>
      <c r="NO180" s="128">
        <v>0</v>
      </c>
      <c r="NP180" s="128">
        <v>0</v>
      </c>
      <c r="NT180" s="128">
        <v>15000</v>
      </c>
      <c r="NU180" s="128">
        <v>0</v>
      </c>
      <c r="NV180" s="128">
        <v>0</v>
      </c>
      <c r="NZ180" s="128">
        <v>1000</v>
      </c>
      <c r="OA180" s="128">
        <v>0</v>
      </c>
      <c r="OB180" s="128">
        <v>0</v>
      </c>
      <c r="OF180" s="128">
        <v>12000</v>
      </c>
      <c r="OG180" s="128">
        <v>0</v>
      </c>
      <c r="OH180" s="128">
        <v>0</v>
      </c>
      <c r="OL180" s="128">
        <v>0</v>
      </c>
      <c r="OM180" s="128">
        <v>0</v>
      </c>
      <c r="ON180" s="128">
        <v>0</v>
      </c>
      <c r="OR180" s="128">
        <v>0</v>
      </c>
      <c r="OS180" s="128">
        <v>0</v>
      </c>
      <c r="OT180" s="128">
        <v>0</v>
      </c>
      <c r="OX180" s="128">
        <v>40700</v>
      </c>
      <c r="OY180" s="128">
        <v>0</v>
      </c>
      <c r="OZ180" s="128">
        <v>0</v>
      </c>
      <c r="PD180" s="128">
        <v>0</v>
      </c>
      <c r="PE180" s="128">
        <v>0</v>
      </c>
      <c r="PF180" s="128">
        <v>0</v>
      </c>
      <c r="PJ180" s="128">
        <v>540</v>
      </c>
      <c r="PK180" s="128">
        <v>0</v>
      </c>
      <c r="PL180" s="128">
        <v>0</v>
      </c>
      <c r="PP180" s="128">
        <v>1667362</v>
      </c>
      <c r="PQ180" s="128">
        <v>1507362</v>
      </c>
      <c r="PR180" s="128">
        <v>1507362</v>
      </c>
      <c r="PS180" s="128">
        <v>100</v>
      </c>
      <c r="PT180" s="128">
        <v>100</v>
      </c>
      <c r="PX180" s="128">
        <v>1189970</v>
      </c>
      <c r="PY180" s="128">
        <v>1229970</v>
      </c>
      <c r="PZ180" s="128">
        <v>1507362</v>
      </c>
      <c r="QA180" s="128">
        <v>0</v>
      </c>
      <c r="QB180" s="128">
        <v>0</v>
      </c>
      <c r="QC180" s="128">
        <v>0</v>
      </c>
      <c r="QD180" s="128">
        <v>0</v>
      </c>
      <c r="QE180" s="128">
        <v>0</v>
      </c>
      <c r="QF180" s="128">
        <v>0</v>
      </c>
      <c r="QG180" s="128">
        <v>0</v>
      </c>
      <c r="QH180" s="128">
        <v>0</v>
      </c>
      <c r="QI180" s="128">
        <v>0</v>
      </c>
      <c r="QJ180" s="128">
        <v>0</v>
      </c>
      <c r="QK180" s="128">
        <v>0</v>
      </c>
      <c r="QL180" s="128">
        <v>0</v>
      </c>
      <c r="QN180" s="128">
        <v>0</v>
      </c>
      <c r="QO180" s="128">
        <v>0</v>
      </c>
      <c r="QP180" s="128">
        <v>0</v>
      </c>
      <c r="QU180" s="128">
        <v>30751</v>
      </c>
      <c r="QV180" s="128">
        <v>52605</v>
      </c>
      <c r="QW180" s="128">
        <v>0</v>
      </c>
      <c r="QX180" s="128">
        <v>165000</v>
      </c>
      <c r="QY180" s="128">
        <v>164850</v>
      </c>
      <c r="QZ180" s="128">
        <v>160000</v>
      </c>
      <c r="RD180" s="128">
        <v>21524</v>
      </c>
      <c r="RE180" s="128">
        <v>1796</v>
      </c>
      <c r="RF180" s="128">
        <v>0</v>
      </c>
      <c r="RH180" s="128">
        <f t="shared" si="310"/>
        <v>1667362</v>
      </c>
      <c r="RI180" s="128">
        <v>0</v>
      </c>
      <c r="RM180" s="128" t="s">
        <v>220</v>
      </c>
      <c r="RU180" s="130"/>
      <c r="RV180" s="130"/>
      <c r="RW180" s="130"/>
      <c r="RX180" s="130"/>
      <c r="SF180" s="128">
        <f t="shared" si="220"/>
        <v>1738957</v>
      </c>
      <c r="SG180" s="131">
        <f t="shared" si="221"/>
        <v>1667362</v>
      </c>
      <c r="SH180" s="131">
        <f t="shared" si="222"/>
        <v>1667362</v>
      </c>
      <c r="SI180" s="131">
        <f t="shared" si="223"/>
        <v>1448212</v>
      </c>
      <c r="SJ180" s="132">
        <f t="shared" si="224"/>
        <v>1420512</v>
      </c>
      <c r="SK180" s="132">
        <f t="shared" si="225"/>
        <v>0</v>
      </c>
      <c r="SL180" s="132">
        <f t="shared" si="226"/>
        <v>22200</v>
      </c>
      <c r="SM180" s="132">
        <f t="shared" si="227"/>
        <v>5500</v>
      </c>
      <c r="SN180" s="131">
        <f t="shared" si="228"/>
        <v>219150</v>
      </c>
      <c r="SO180" s="131">
        <f t="shared" si="229"/>
        <v>10000</v>
      </c>
      <c r="SP180" s="132">
        <f t="shared" si="230"/>
        <v>0</v>
      </c>
      <c r="SQ180" s="132">
        <f t="shared" si="231"/>
        <v>10000</v>
      </c>
      <c r="SR180" s="132">
        <f t="shared" si="232"/>
        <v>1000</v>
      </c>
      <c r="SS180" s="132">
        <f t="shared" si="233"/>
        <v>18000</v>
      </c>
      <c r="ST180" s="132">
        <f t="shared" si="234"/>
        <v>0</v>
      </c>
      <c r="SU180" s="132">
        <f t="shared" si="235"/>
        <v>13000</v>
      </c>
      <c r="SV180" s="131">
        <f t="shared" si="236"/>
        <v>176610</v>
      </c>
      <c r="SW180" s="132">
        <f t="shared" si="237"/>
        <v>60000</v>
      </c>
      <c r="SX180" s="132">
        <f t="shared" si="238"/>
        <v>10310</v>
      </c>
      <c r="SY180" s="132">
        <f t="shared" si="239"/>
        <v>33600</v>
      </c>
      <c r="SZ180" s="132">
        <f t="shared" si="240"/>
        <v>4000</v>
      </c>
      <c r="TA180" s="132">
        <f t="shared" si="241"/>
        <v>15000</v>
      </c>
      <c r="TB180" s="132">
        <f t="shared" si="242"/>
        <v>1000</v>
      </c>
      <c r="TC180" s="132">
        <f t="shared" si="243"/>
        <v>12000</v>
      </c>
      <c r="TD180" s="132">
        <f t="shared" si="244"/>
        <v>0</v>
      </c>
      <c r="TE180" s="132">
        <f t="shared" si="245"/>
        <v>0</v>
      </c>
      <c r="TF180" s="132">
        <f t="shared" si="246"/>
        <v>40700</v>
      </c>
      <c r="TG180" s="132">
        <f t="shared" si="247"/>
        <v>0</v>
      </c>
      <c r="TH180" s="132">
        <f t="shared" si="248"/>
        <v>540</v>
      </c>
      <c r="TI180" s="1"/>
      <c r="TJ180" s="131">
        <f t="shared" si="249"/>
        <v>1507362</v>
      </c>
      <c r="TK180" s="131">
        <f t="shared" si="250"/>
        <v>1507362</v>
      </c>
      <c r="TL180" s="131">
        <f t="shared" si="251"/>
        <v>1446712</v>
      </c>
      <c r="TM180" s="132">
        <f t="shared" si="252"/>
        <v>1420512</v>
      </c>
      <c r="TN180" s="132">
        <f t="shared" si="253"/>
        <v>0</v>
      </c>
      <c r="TO180" s="132">
        <f t="shared" si="254"/>
        <v>22200</v>
      </c>
      <c r="TP180" s="132">
        <f t="shared" si="255"/>
        <v>4000</v>
      </c>
      <c r="TQ180" s="131">
        <f t="shared" si="256"/>
        <v>60650</v>
      </c>
      <c r="TR180" s="131">
        <f t="shared" si="257"/>
        <v>5000</v>
      </c>
      <c r="TS180" s="132">
        <f t="shared" si="258"/>
        <v>0</v>
      </c>
      <c r="TT180" s="132">
        <f t="shared" si="259"/>
        <v>5000</v>
      </c>
      <c r="TU180" s="132">
        <f t="shared" si="260"/>
        <v>0</v>
      </c>
      <c r="TV180" s="132">
        <f t="shared" si="261"/>
        <v>10000</v>
      </c>
      <c r="TW180" s="132">
        <f t="shared" si="262"/>
        <v>0</v>
      </c>
      <c r="TX180" s="132">
        <f t="shared" si="263"/>
        <v>10000</v>
      </c>
      <c r="TY180" s="131">
        <f t="shared" si="264"/>
        <v>35650</v>
      </c>
      <c r="TZ180" s="132">
        <f t="shared" si="265"/>
        <v>0</v>
      </c>
      <c r="UA180" s="132">
        <f t="shared" si="266"/>
        <v>3650</v>
      </c>
      <c r="UB180" s="132">
        <f t="shared" si="267"/>
        <v>32000</v>
      </c>
      <c r="UC180" s="132">
        <f t="shared" si="268"/>
        <v>0</v>
      </c>
      <c r="UD180" s="132">
        <f t="shared" si="269"/>
        <v>0</v>
      </c>
      <c r="UE180" s="132">
        <f t="shared" si="270"/>
        <v>0</v>
      </c>
      <c r="UF180" s="132">
        <f t="shared" si="271"/>
        <v>0</v>
      </c>
      <c r="UG180" s="132">
        <f t="shared" si="272"/>
        <v>0</v>
      </c>
      <c r="UH180" s="132">
        <f t="shared" si="273"/>
        <v>0</v>
      </c>
      <c r="UI180" s="132">
        <f t="shared" si="274"/>
        <v>0</v>
      </c>
      <c r="UJ180" s="132">
        <f t="shared" si="275"/>
        <v>0</v>
      </c>
      <c r="UK180" s="132">
        <f t="shared" si="276"/>
        <v>0</v>
      </c>
      <c r="UL180" s="132">
        <f t="shared" si="311"/>
        <v>1507362</v>
      </c>
      <c r="UM180" s="131">
        <f t="shared" si="277"/>
        <v>1507362</v>
      </c>
      <c r="UN180" s="131">
        <f t="shared" si="278"/>
        <v>1507362</v>
      </c>
      <c r="UO180" s="131">
        <f t="shared" si="279"/>
        <v>1446712</v>
      </c>
      <c r="UP180" s="132">
        <f t="shared" si="280"/>
        <v>1420512</v>
      </c>
      <c r="UQ180" s="132">
        <f t="shared" si="281"/>
        <v>0</v>
      </c>
      <c r="UR180" s="132">
        <f t="shared" si="282"/>
        <v>22200</v>
      </c>
      <c r="US180" s="132">
        <f t="shared" si="283"/>
        <v>4000</v>
      </c>
      <c r="UT180" s="131">
        <f t="shared" si="284"/>
        <v>60650</v>
      </c>
      <c r="UU180" s="131">
        <f t="shared" si="285"/>
        <v>5000</v>
      </c>
      <c r="UV180" s="132">
        <f t="shared" si="286"/>
        <v>0</v>
      </c>
      <c r="UW180" s="132">
        <f t="shared" si="287"/>
        <v>5000</v>
      </c>
      <c r="UX180" s="132">
        <f t="shared" si="288"/>
        <v>0</v>
      </c>
      <c r="UY180" s="132">
        <f t="shared" si="289"/>
        <v>10000</v>
      </c>
      <c r="UZ180" s="132">
        <f t="shared" si="290"/>
        <v>0</v>
      </c>
      <c r="VA180" s="132">
        <f t="shared" si="291"/>
        <v>10000</v>
      </c>
      <c r="VB180" s="131">
        <f t="shared" si="292"/>
        <v>35650</v>
      </c>
      <c r="VC180" s="132">
        <f t="shared" si="293"/>
        <v>0</v>
      </c>
      <c r="VD180" s="132">
        <f t="shared" si="294"/>
        <v>3650</v>
      </c>
      <c r="VE180" s="132">
        <f t="shared" si="295"/>
        <v>32000</v>
      </c>
      <c r="VF180" s="132">
        <f t="shared" si="296"/>
        <v>0</v>
      </c>
      <c r="VG180" s="132">
        <f t="shared" si="297"/>
        <v>0</v>
      </c>
      <c r="VH180" s="132">
        <f t="shared" si="298"/>
        <v>0</v>
      </c>
      <c r="VI180" s="132">
        <f t="shared" si="299"/>
        <v>0</v>
      </c>
      <c r="VJ180" s="132">
        <f t="shared" si="300"/>
        <v>0</v>
      </c>
      <c r="VK180" s="132">
        <f t="shared" si="301"/>
        <v>0</v>
      </c>
      <c r="VL180" s="132">
        <f t="shared" si="302"/>
        <v>0</v>
      </c>
      <c r="VM180" s="132">
        <f t="shared" si="303"/>
        <v>0</v>
      </c>
      <c r="VN180" s="132">
        <f t="shared" si="304"/>
        <v>0</v>
      </c>
      <c r="VP180" s="845" t="str">
        <f>IFERROR(HLOOKUP(F180,'Hodnocení '!$C$1:$JH$5,2,FALSE),0)</f>
        <v>Nízkoprahový klub PoHoDa</v>
      </c>
      <c r="VQ180" s="838"/>
      <c r="VR180" s="845" t="str">
        <f t="shared" si="312"/>
        <v>Církve a náboženské společnosti</v>
      </c>
      <c r="VS180" s="845" t="str">
        <f>IFERROR(HLOOKUP(F180,'Hodnocení '!$C$1:$JH$5,5,FALSE),0)</f>
        <v>NZO</v>
      </c>
      <c r="VT180" s="838">
        <f t="shared" si="313"/>
        <v>0</v>
      </c>
      <c r="VU180" s="838">
        <f t="shared" si="314"/>
        <v>0</v>
      </c>
      <c r="VV180" s="838">
        <f t="shared" si="315"/>
        <v>0</v>
      </c>
      <c r="VW180" s="838">
        <f t="shared" si="316"/>
        <v>0</v>
      </c>
      <c r="VX180" s="838"/>
      <c r="VY180" s="838">
        <f t="shared" si="317"/>
        <v>0</v>
      </c>
      <c r="VZ180" s="838">
        <f t="shared" si="318"/>
        <v>1507362</v>
      </c>
      <c r="WA180" s="846">
        <f>IFERROR(HLOOKUP($F180,'Hodnocení '!$C$1:$JH$9,9,FALSE),0)</f>
        <v>1507362</v>
      </c>
      <c r="WB180" s="846">
        <f>IF(IFERROR(HLOOKUP($F180,'Hodnocení '!$C$1:$JH$13,13,FALSE),0)&gt;WA180,WA180,IFERROR(HLOOKUP($F180,'Hodnocení '!$C$1:$JH$13,13,FALSE),0))</f>
        <v>1314857.8541530101</v>
      </c>
      <c r="WC180" s="846">
        <f>IFERROR(HLOOKUP($F180,'Hodnocení '!$C$1:$JH$155,155,FALSE),0)</f>
        <v>1282580</v>
      </c>
      <c r="WD180" s="845"/>
      <c r="WE180" s="845"/>
      <c r="WF180" s="845" t="str">
        <f t="shared" si="305"/>
        <v>ANO</v>
      </c>
      <c r="WG180" s="849" t="str">
        <f t="shared" si="320"/>
        <v>Podpora služby je vyjádřena zařazením do sítě sociálních služeb v KHK a řešením financování služby</v>
      </c>
      <c r="WH180"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80" s="849" t="str">
        <f t="shared" si="320"/>
        <v>Návrh dotace je výsledkem projednání s ostatními zadavateli v rámci sítě služeb KHK</v>
      </c>
      <c r="WJ180" s="849" t="str">
        <f t="shared" si="320"/>
        <v>Bez komentáře</v>
      </c>
      <c r="WK180" s="31">
        <f t="shared" si="306"/>
        <v>0</v>
      </c>
      <c r="WL180" s="850">
        <f t="shared" si="307"/>
        <v>0</v>
      </c>
      <c r="WM180" s="849">
        <f t="shared" si="308"/>
        <v>0</v>
      </c>
      <c r="WN180" s="849">
        <f t="shared" si="309"/>
        <v>0</v>
      </c>
      <c r="WO180" s="849" t="str">
        <f t="shared" si="319"/>
        <v>bez komentáře</v>
      </c>
      <c r="WP180" s="849" t="str">
        <f t="shared" si="319"/>
        <v>bez komentáře</v>
      </c>
      <c r="WQ180" s="849" t="str">
        <f t="shared" si="319"/>
        <v>Konečná výše dotace z rozpočtu KHK bude řešena v návaznosti na řešení podílů jednotlivých zadavatelů.</v>
      </c>
      <c r="WR180" s="849" t="str">
        <f t="shared" si="319"/>
        <v>Konečná výše podpory ze stran obcí bude řešena v součinnosti s jednotlivými zadavateli v průběhu roku.</v>
      </c>
      <c r="WS180" s="849" t="str">
        <f t="shared" si="319"/>
        <v>bez komentáře</v>
      </c>
      <c r="WT180" s="849" t="str">
        <f t="shared" si="319"/>
        <v>bez komentáře</v>
      </c>
      <c r="WU180" s="845"/>
    </row>
    <row r="181" spans="1:619" s="128" customFormat="1" x14ac:dyDescent="0.25">
      <c r="A181" s="128" t="str">
        <f>VLOOKUP(F181,'Výpočet VP 2020'!$D$324:$I$588,6,FALSE)</f>
        <v>Je v síti</v>
      </c>
      <c r="B181" s="128" t="s">
        <v>805</v>
      </c>
      <c r="C181" s="128">
        <v>73633755</v>
      </c>
      <c r="D181" s="128" t="s">
        <v>806</v>
      </c>
      <c r="E181" s="128" t="s">
        <v>360</v>
      </c>
      <c r="F181" s="128">
        <v>1907533</v>
      </c>
      <c r="G181" s="128" t="s">
        <v>342</v>
      </c>
      <c r="H181" s="128" t="s">
        <v>230</v>
      </c>
      <c r="I181" s="128" t="s">
        <v>808</v>
      </c>
      <c r="J181" s="129">
        <v>41275</v>
      </c>
      <c r="L181" s="128" t="s">
        <v>220</v>
      </c>
      <c r="X181" s="128" t="s">
        <v>288</v>
      </c>
      <c r="Z181" s="128">
        <v>8</v>
      </c>
      <c r="AA181" s="128">
        <v>40</v>
      </c>
      <c r="AB181" s="128">
        <v>183</v>
      </c>
      <c r="AC181" s="128">
        <v>190</v>
      </c>
      <c r="AD181" s="128">
        <v>190</v>
      </c>
      <c r="AP181" s="128" t="s">
        <v>302</v>
      </c>
      <c r="AQ181" s="128">
        <v>8</v>
      </c>
      <c r="AR181" s="128">
        <v>30</v>
      </c>
      <c r="AS181" s="128">
        <v>425</v>
      </c>
      <c r="AT181" s="128">
        <v>445</v>
      </c>
      <c r="AU181" s="128">
        <v>445</v>
      </c>
      <c r="BL181" s="128" t="s">
        <v>278</v>
      </c>
      <c r="BM181" s="128" t="s">
        <v>279</v>
      </c>
      <c r="BN181" s="128" t="s">
        <v>651</v>
      </c>
      <c r="EK181" s="128">
        <v>9</v>
      </c>
      <c r="EL181" s="128">
        <v>7.7</v>
      </c>
      <c r="EM181" s="128">
        <v>3.35</v>
      </c>
      <c r="EN181" s="128">
        <v>3933436</v>
      </c>
      <c r="EO181" s="128">
        <v>3933436</v>
      </c>
      <c r="FE181" s="128">
        <v>2</v>
      </c>
      <c r="FF181" s="128">
        <v>1.3</v>
      </c>
      <c r="FG181" s="128">
        <v>0.65</v>
      </c>
      <c r="FH181" s="128">
        <v>679380</v>
      </c>
      <c r="FI181" s="128">
        <v>679380</v>
      </c>
      <c r="FO181" s="128">
        <v>6</v>
      </c>
      <c r="FP181" s="128">
        <v>2.29</v>
      </c>
      <c r="FQ181" s="128">
        <v>2.2799999999999998</v>
      </c>
      <c r="FR181" s="128">
        <v>1281256</v>
      </c>
      <c r="FS181" s="128">
        <v>1281256</v>
      </c>
      <c r="IN181" s="128">
        <v>4</v>
      </c>
      <c r="IO181" s="128">
        <v>711</v>
      </c>
      <c r="IP181" s="128">
        <v>0.33900000000000002</v>
      </c>
      <c r="IQ181" s="128">
        <v>302600</v>
      </c>
      <c r="IR181" s="128">
        <v>302600</v>
      </c>
      <c r="IS181" s="128">
        <v>1</v>
      </c>
      <c r="IT181" s="128">
        <v>84</v>
      </c>
      <c r="IU181" s="128">
        <v>0.04</v>
      </c>
      <c r="IV181" s="128">
        <v>16800</v>
      </c>
      <c r="IW181" s="128">
        <v>16800</v>
      </c>
      <c r="KG181" s="128">
        <v>3</v>
      </c>
      <c r="KH181" s="128">
        <v>120</v>
      </c>
      <c r="KI181" s="128">
        <v>9</v>
      </c>
      <c r="KJ181" s="128">
        <v>0</v>
      </c>
      <c r="KK181" s="128">
        <v>0.33900000000000002</v>
      </c>
      <c r="KL181" s="128">
        <v>0</v>
      </c>
      <c r="KM181" s="128">
        <v>9.3390000000000004</v>
      </c>
      <c r="KN181" s="128">
        <v>5894072</v>
      </c>
      <c r="KO181" s="128">
        <v>5894072</v>
      </c>
      <c r="KP181" s="128">
        <v>5894072</v>
      </c>
      <c r="KT181" s="128">
        <v>0</v>
      </c>
      <c r="KU181" s="128">
        <v>0</v>
      </c>
      <c r="KV181" s="128">
        <v>0</v>
      </c>
      <c r="KZ181" s="128">
        <v>319400</v>
      </c>
      <c r="LA181" s="128">
        <v>319400</v>
      </c>
      <c r="LB181" s="128">
        <v>319400</v>
      </c>
      <c r="LF181" s="128">
        <v>20400</v>
      </c>
      <c r="LG181" s="128">
        <v>15000</v>
      </c>
      <c r="LH181" s="128">
        <v>15000</v>
      </c>
      <c r="LL181" s="128">
        <v>0</v>
      </c>
      <c r="LM181" s="128">
        <v>0</v>
      </c>
      <c r="LN181" s="128">
        <v>0</v>
      </c>
      <c r="LR181" s="128">
        <v>40000</v>
      </c>
      <c r="LS181" s="128">
        <v>20000</v>
      </c>
      <c r="LT181" s="128">
        <v>20000</v>
      </c>
      <c r="LX181" s="128">
        <v>0</v>
      </c>
      <c r="LY181" s="128">
        <v>0</v>
      </c>
      <c r="LZ181" s="128">
        <v>0</v>
      </c>
      <c r="MD181" s="128">
        <v>45000</v>
      </c>
      <c r="ME181" s="128">
        <v>20000</v>
      </c>
      <c r="MF181" s="128">
        <v>20000</v>
      </c>
      <c r="MJ181" s="128">
        <v>60000</v>
      </c>
      <c r="MK181" s="128">
        <v>40000</v>
      </c>
      <c r="ML181" s="128">
        <v>40000</v>
      </c>
      <c r="MP181" s="128">
        <v>45000</v>
      </c>
      <c r="MQ181" s="128">
        <v>20000</v>
      </c>
      <c r="MR181" s="128">
        <v>20000</v>
      </c>
      <c r="MV181" s="128">
        <v>100000</v>
      </c>
      <c r="MW181" s="128">
        <v>0</v>
      </c>
      <c r="MX181" s="128">
        <v>0</v>
      </c>
      <c r="NB181" s="128">
        <v>40000</v>
      </c>
      <c r="NC181" s="128">
        <v>15000</v>
      </c>
      <c r="ND181" s="128">
        <v>15000</v>
      </c>
      <c r="NH181" s="128">
        <v>220000</v>
      </c>
      <c r="NI181" s="128">
        <v>92292</v>
      </c>
      <c r="NJ181" s="128">
        <v>92292</v>
      </c>
      <c r="NN181" s="128">
        <v>38000</v>
      </c>
      <c r="NO181" s="128">
        <v>0</v>
      </c>
      <c r="NP181" s="128">
        <v>0</v>
      </c>
      <c r="NT181" s="128">
        <v>45000</v>
      </c>
      <c r="NU181" s="128">
        <v>0</v>
      </c>
      <c r="NV181" s="128">
        <v>0</v>
      </c>
      <c r="NZ181" s="128">
        <v>5000</v>
      </c>
      <c r="OA181" s="128">
        <v>0</v>
      </c>
      <c r="OB181" s="128">
        <v>0</v>
      </c>
      <c r="OF181" s="128">
        <v>50000</v>
      </c>
      <c r="OG181" s="128">
        <v>15000</v>
      </c>
      <c r="OH181" s="128">
        <v>15000</v>
      </c>
      <c r="OL181" s="128">
        <v>0</v>
      </c>
      <c r="OM181" s="128">
        <v>0</v>
      </c>
      <c r="ON181" s="128">
        <v>0</v>
      </c>
      <c r="OR181" s="128">
        <v>0</v>
      </c>
      <c r="OS181" s="128">
        <v>0</v>
      </c>
      <c r="OT181" s="128">
        <v>0</v>
      </c>
      <c r="OX181" s="128">
        <v>180000</v>
      </c>
      <c r="OY181" s="128">
        <v>20000</v>
      </c>
      <c r="OZ181" s="128">
        <v>20000</v>
      </c>
      <c r="PD181" s="128">
        <v>74500</v>
      </c>
      <c r="PE181" s="128">
        <v>0</v>
      </c>
      <c r="PF181" s="128">
        <v>0</v>
      </c>
      <c r="PJ181" s="128">
        <v>7000</v>
      </c>
      <c r="PK181" s="128">
        <v>0</v>
      </c>
      <c r="PL181" s="128">
        <v>0</v>
      </c>
      <c r="PP181" s="128">
        <v>7183372</v>
      </c>
      <c r="PQ181" s="128">
        <v>6470764</v>
      </c>
      <c r="PR181" s="128">
        <v>6470764</v>
      </c>
      <c r="PS181" s="128">
        <v>100</v>
      </c>
      <c r="PT181" s="128">
        <v>100</v>
      </c>
      <c r="PX181" s="128">
        <v>336818</v>
      </c>
      <c r="PY181" s="128">
        <v>2784980</v>
      </c>
      <c r="PZ181" s="128">
        <v>6470764</v>
      </c>
      <c r="QA181" s="128">
        <v>30000</v>
      </c>
      <c r="QB181" s="128">
        <v>0</v>
      </c>
      <c r="QC181" s="128">
        <v>0</v>
      </c>
      <c r="QD181" s="128">
        <v>0</v>
      </c>
      <c r="QE181" s="128">
        <v>0</v>
      </c>
      <c r="QF181" s="128">
        <v>0</v>
      </c>
      <c r="QG181" s="128">
        <v>0</v>
      </c>
      <c r="QH181" s="128">
        <v>0</v>
      </c>
      <c r="QI181" s="128">
        <v>0</v>
      </c>
      <c r="QJ181" s="128">
        <v>0</v>
      </c>
      <c r="QK181" s="128">
        <v>0</v>
      </c>
      <c r="QL181" s="128">
        <v>0</v>
      </c>
      <c r="QN181" s="128">
        <v>0</v>
      </c>
      <c r="QO181" s="128">
        <v>0</v>
      </c>
      <c r="QP181" s="128">
        <v>0</v>
      </c>
      <c r="QX181" s="128">
        <v>552705</v>
      </c>
      <c r="QY181" s="128">
        <v>740000</v>
      </c>
      <c r="QZ181" s="128">
        <v>690000</v>
      </c>
      <c r="RA181" s="128">
        <v>3706068</v>
      </c>
      <c r="RB181" s="128">
        <v>2032163</v>
      </c>
      <c r="RC181" s="128">
        <v>0</v>
      </c>
      <c r="RD181" s="128">
        <v>26508</v>
      </c>
      <c r="RE181" s="128">
        <v>24377</v>
      </c>
      <c r="RF181" s="128">
        <v>22608</v>
      </c>
      <c r="RH181" s="128">
        <f t="shared" si="310"/>
        <v>7183372</v>
      </c>
      <c r="RI181" s="128">
        <v>0</v>
      </c>
      <c r="RM181" s="128" t="s">
        <v>220</v>
      </c>
      <c r="RU181" s="130"/>
      <c r="RV181" s="130"/>
      <c r="RW181" s="130"/>
      <c r="RX181" s="130"/>
      <c r="SF181" s="128">
        <f t="shared" si="220"/>
        <v>1907533</v>
      </c>
      <c r="SG181" s="131">
        <f t="shared" si="221"/>
        <v>7183372</v>
      </c>
      <c r="SH181" s="131">
        <f t="shared" si="222"/>
        <v>7183372</v>
      </c>
      <c r="SI181" s="131">
        <f t="shared" si="223"/>
        <v>6233872</v>
      </c>
      <c r="SJ181" s="132">
        <f t="shared" si="224"/>
        <v>5894072</v>
      </c>
      <c r="SK181" s="132">
        <f t="shared" si="225"/>
        <v>0</v>
      </c>
      <c r="SL181" s="132">
        <f t="shared" si="226"/>
        <v>319400</v>
      </c>
      <c r="SM181" s="132">
        <f t="shared" si="227"/>
        <v>20400</v>
      </c>
      <c r="SN181" s="131">
        <f t="shared" si="228"/>
        <v>949500</v>
      </c>
      <c r="SO181" s="131">
        <f t="shared" si="229"/>
        <v>40000</v>
      </c>
      <c r="SP181" s="132">
        <f t="shared" si="230"/>
        <v>0</v>
      </c>
      <c r="SQ181" s="132">
        <f t="shared" si="231"/>
        <v>40000</v>
      </c>
      <c r="SR181" s="132">
        <f t="shared" si="232"/>
        <v>0</v>
      </c>
      <c r="SS181" s="132">
        <f t="shared" si="233"/>
        <v>45000</v>
      </c>
      <c r="ST181" s="132">
        <f t="shared" si="234"/>
        <v>60000</v>
      </c>
      <c r="SU181" s="132">
        <f t="shared" si="235"/>
        <v>45000</v>
      </c>
      <c r="SV181" s="131">
        <f t="shared" si="236"/>
        <v>678000</v>
      </c>
      <c r="SW181" s="132">
        <f t="shared" si="237"/>
        <v>100000</v>
      </c>
      <c r="SX181" s="132">
        <f t="shared" si="238"/>
        <v>40000</v>
      </c>
      <c r="SY181" s="132">
        <f t="shared" si="239"/>
        <v>220000</v>
      </c>
      <c r="SZ181" s="132">
        <f t="shared" si="240"/>
        <v>38000</v>
      </c>
      <c r="TA181" s="132">
        <f t="shared" si="241"/>
        <v>45000</v>
      </c>
      <c r="TB181" s="132">
        <f t="shared" si="242"/>
        <v>5000</v>
      </c>
      <c r="TC181" s="132">
        <f t="shared" si="243"/>
        <v>50000</v>
      </c>
      <c r="TD181" s="132">
        <f t="shared" si="244"/>
        <v>0</v>
      </c>
      <c r="TE181" s="132">
        <f t="shared" si="245"/>
        <v>0</v>
      </c>
      <c r="TF181" s="132">
        <f t="shared" si="246"/>
        <v>180000</v>
      </c>
      <c r="TG181" s="132">
        <f t="shared" si="247"/>
        <v>74500</v>
      </c>
      <c r="TH181" s="132">
        <f t="shared" si="248"/>
        <v>7000</v>
      </c>
      <c r="TI181" s="1"/>
      <c r="TJ181" s="131">
        <f t="shared" si="249"/>
        <v>6470764</v>
      </c>
      <c r="TK181" s="131">
        <f t="shared" si="250"/>
        <v>6470764</v>
      </c>
      <c r="TL181" s="131">
        <f t="shared" si="251"/>
        <v>6228472</v>
      </c>
      <c r="TM181" s="132">
        <f t="shared" si="252"/>
        <v>5894072</v>
      </c>
      <c r="TN181" s="132">
        <f t="shared" si="253"/>
        <v>0</v>
      </c>
      <c r="TO181" s="132">
        <f t="shared" si="254"/>
        <v>319400</v>
      </c>
      <c r="TP181" s="132">
        <f t="shared" si="255"/>
        <v>15000</v>
      </c>
      <c r="TQ181" s="131">
        <f t="shared" si="256"/>
        <v>242292</v>
      </c>
      <c r="TR181" s="131">
        <f t="shared" si="257"/>
        <v>20000</v>
      </c>
      <c r="TS181" s="132">
        <f t="shared" si="258"/>
        <v>0</v>
      </c>
      <c r="TT181" s="132">
        <f t="shared" si="259"/>
        <v>20000</v>
      </c>
      <c r="TU181" s="132">
        <f t="shared" si="260"/>
        <v>0</v>
      </c>
      <c r="TV181" s="132">
        <f t="shared" si="261"/>
        <v>20000</v>
      </c>
      <c r="TW181" s="132">
        <f t="shared" si="262"/>
        <v>40000</v>
      </c>
      <c r="TX181" s="132">
        <f t="shared" si="263"/>
        <v>20000</v>
      </c>
      <c r="TY181" s="131">
        <f t="shared" si="264"/>
        <v>142292</v>
      </c>
      <c r="TZ181" s="132">
        <f t="shared" si="265"/>
        <v>0</v>
      </c>
      <c r="UA181" s="132">
        <f t="shared" si="266"/>
        <v>15000</v>
      </c>
      <c r="UB181" s="132">
        <f t="shared" si="267"/>
        <v>92292</v>
      </c>
      <c r="UC181" s="132">
        <f t="shared" si="268"/>
        <v>0</v>
      </c>
      <c r="UD181" s="132">
        <f t="shared" si="269"/>
        <v>0</v>
      </c>
      <c r="UE181" s="132">
        <f t="shared" si="270"/>
        <v>0</v>
      </c>
      <c r="UF181" s="132">
        <f t="shared" si="271"/>
        <v>15000</v>
      </c>
      <c r="UG181" s="132">
        <f t="shared" si="272"/>
        <v>0</v>
      </c>
      <c r="UH181" s="132">
        <f t="shared" si="273"/>
        <v>0</v>
      </c>
      <c r="UI181" s="132">
        <f t="shared" si="274"/>
        <v>20000</v>
      </c>
      <c r="UJ181" s="132">
        <f t="shared" si="275"/>
        <v>0</v>
      </c>
      <c r="UK181" s="132">
        <f t="shared" si="276"/>
        <v>0</v>
      </c>
      <c r="UL181" s="132">
        <f t="shared" si="311"/>
        <v>6470764</v>
      </c>
      <c r="UM181" s="131">
        <f t="shared" si="277"/>
        <v>6470764</v>
      </c>
      <c r="UN181" s="131">
        <f t="shared" si="278"/>
        <v>6470764</v>
      </c>
      <c r="UO181" s="131">
        <f t="shared" si="279"/>
        <v>6228472</v>
      </c>
      <c r="UP181" s="132">
        <f t="shared" si="280"/>
        <v>5894072</v>
      </c>
      <c r="UQ181" s="132">
        <f t="shared" si="281"/>
        <v>0</v>
      </c>
      <c r="UR181" s="132">
        <f t="shared" si="282"/>
        <v>319400</v>
      </c>
      <c r="US181" s="132">
        <f t="shared" si="283"/>
        <v>15000</v>
      </c>
      <c r="UT181" s="131">
        <f t="shared" si="284"/>
        <v>242292</v>
      </c>
      <c r="UU181" s="131">
        <f t="shared" si="285"/>
        <v>20000</v>
      </c>
      <c r="UV181" s="132">
        <f t="shared" si="286"/>
        <v>0</v>
      </c>
      <c r="UW181" s="132">
        <f t="shared" si="287"/>
        <v>20000</v>
      </c>
      <c r="UX181" s="132">
        <f t="shared" si="288"/>
        <v>0</v>
      </c>
      <c r="UY181" s="132">
        <f t="shared" si="289"/>
        <v>20000</v>
      </c>
      <c r="UZ181" s="132">
        <f t="shared" si="290"/>
        <v>40000</v>
      </c>
      <c r="VA181" s="132">
        <f t="shared" si="291"/>
        <v>20000</v>
      </c>
      <c r="VB181" s="131">
        <f t="shared" si="292"/>
        <v>142292</v>
      </c>
      <c r="VC181" s="132">
        <f t="shared" si="293"/>
        <v>0</v>
      </c>
      <c r="VD181" s="132">
        <f t="shared" si="294"/>
        <v>15000</v>
      </c>
      <c r="VE181" s="132">
        <f t="shared" si="295"/>
        <v>92292</v>
      </c>
      <c r="VF181" s="132">
        <f t="shared" si="296"/>
        <v>0</v>
      </c>
      <c r="VG181" s="132">
        <f t="shared" si="297"/>
        <v>0</v>
      </c>
      <c r="VH181" s="132">
        <f t="shared" si="298"/>
        <v>0</v>
      </c>
      <c r="VI181" s="132">
        <f t="shared" si="299"/>
        <v>15000</v>
      </c>
      <c r="VJ181" s="132">
        <f t="shared" si="300"/>
        <v>0</v>
      </c>
      <c r="VK181" s="132">
        <f t="shared" si="301"/>
        <v>0</v>
      </c>
      <c r="VL181" s="132">
        <f t="shared" si="302"/>
        <v>20000</v>
      </c>
      <c r="VM181" s="132">
        <f t="shared" si="303"/>
        <v>0</v>
      </c>
      <c r="VN181" s="132">
        <f t="shared" si="304"/>
        <v>0</v>
      </c>
      <c r="VP181" s="845" t="str">
        <f>IFERROR(HLOOKUP(F181,'Hodnocení '!$C$1:$JH$5,2,FALSE),0)</f>
        <v>Sociálně aktivizační služby pro rodiny s dětmi</v>
      </c>
      <c r="VQ181" s="838"/>
      <c r="VR181" s="845" t="str">
        <f t="shared" si="312"/>
        <v>Církve a náboženské společnosti</v>
      </c>
      <c r="VS181" s="845" t="str">
        <f>IFERROR(HLOOKUP(F181,'Hodnocení '!$C$1:$JH$5,5,FALSE),0)</f>
        <v>NZO</v>
      </c>
      <c r="VT181" s="838">
        <f t="shared" si="313"/>
        <v>0</v>
      </c>
      <c r="VU181" s="838">
        <f t="shared" si="314"/>
        <v>0</v>
      </c>
      <c r="VV181" s="838">
        <f t="shared" si="315"/>
        <v>0</v>
      </c>
      <c r="VW181" s="838">
        <f t="shared" si="316"/>
        <v>0</v>
      </c>
      <c r="VX181" s="838"/>
      <c r="VY181" s="838">
        <f t="shared" si="317"/>
        <v>0</v>
      </c>
      <c r="VZ181" s="838">
        <f t="shared" si="318"/>
        <v>6470764</v>
      </c>
      <c r="WA181" s="846">
        <f>IFERROR(HLOOKUP($F181,'Hodnocení '!$C$1:$JH$9,9,FALSE),0)</f>
        <v>6470764</v>
      </c>
      <c r="WB181" s="846">
        <f>IF(IFERROR(HLOOKUP($F181,'Hodnocení '!$C$1:$JH$13,13,FALSE),0)&gt;WA181,WA181,IFERROR(HLOOKUP($F181,'Hodnocení '!$C$1:$JH$13,13,FALSE),0))</f>
        <v>6255036.573718125</v>
      </c>
      <c r="WC181" s="846">
        <f>IFERROR(HLOOKUP($F181,'Hodnocení '!$C$1:$JH$155,155,FALSE),0)</f>
        <v>5515040</v>
      </c>
      <c r="WD181" s="845"/>
      <c r="WE181" s="845"/>
      <c r="WF181" s="845" t="str">
        <f t="shared" si="305"/>
        <v>ANO</v>
      </c>
      <c r="WG181" s="849" t="str">
        <f t="shared" si="320"/>
        <v>Podpora služby je vyjádřena zařazením do sítě sociálních služeb v KHK a řešením financování služby</v>
      </c>
      <c r="WH181"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81" s="849" t="str">
        <f t="shared" si="320"/>
        <v>Návrh dotace je výsledkem projednání s ostatními zadavateli v rámci sítě služeb KHK</v>
      </c>
      <c r="WJ181" s="849" t="str">
        <f t="shared" si="320"/>
        <v>Bez komentáře</v>
      </c>
      <c r="WK181" s="31">
        <f t="shared" si="306"/>
        <v>0</v>
      </c>
      <c r="WL181" s="850">
        <f t="shared" si="307"/>
        <v>0</v>
      </c>
      <c r="WM181" s="849">
        <f t="shared" si="308"/>
        <v>0</v>
      </c>
      <c r="WN181" s="849">
        <f t="shared" si="309"/>
        <v>0</v>
      </c>
      <c r="WO181" s="849" t="str">
        <f t="shared" si="319"/>
        <v>bez komentáře</v>
      </c>
      <c r="WP181" s="849" t="str">
        <f t="shared" si="319"/>
        <v>bez komentáře</v>
      </c>
      <c r="WQ181" s="849" t="str">
        <f t="shared" si="319"/>
        <v>Konečná výše dotace z rozpočtu KHK bude řešena v návaznosti na řešení podílů jednotlivých zadavatelů.</v>
      </c>
      <c r="WR181" s="849" t="str">
        <f t="shared" si="319"/>
        <v>Konečná výše podpory ze stran obcí bude řešena v součinnosti s jednotlivými zadavateli v průběhu roku.</v>
      </c>
      <c r="WS181" s="849" t="str">
        <f t="shared" si="319"/>
        <v>bez komentáře</v>
      </c>
      <c r="WT181" s="849" t="str">
        <f t="shared" si="319"/>
        <v>bez komentáře</v>
      </c>
      <c r="WU181" s="845"/>
    </row>
    <row r="182" spans="1:619" s="128" customFormat="1" x14ac:dyDescent="0.25">
      <c r="A182" s="128" t="str">
        <f>VLOOKUP(F182,'Výpočet VP 2020'!$D$324:$I$588,6,FALSE)</f>
        <v>Je v síti</v>
      </c>
      <c r="B182" s="128" t="s">
        <v>805</v>
      </c>
      <c r="C182" s="128">
        <v>73633755</v>
      </c>
      <c r="D182" s="128" t="s">
        <v>806</v>
      </c>
      <c r="E182" s="128" t="s">
        <v>360</v>
      </c>
      <c r="F182" s="128">
        <v>2315315</v>
      </c>
      <c r="G182" s="128" t="s">
        <v>538</v>
      </c>
      <c r="H182" s="128" t="s">
        <v>230</v>
      </c>
      <c r="I182" s="128" t="s">
        <v>809</v>
      </c>
      <c r="J182" s="129">
        <v>39083</v>
      </c>
      <c r="L182" s="128" t="s">
        <v>220</v>
      </c>
      <c r="X182" s="128" t="s">
        <v>322</v>
      </c>
      <c r="Z182" s="128">
        <v>20</v>
      </c>
      <c r="AA182" s="128">
        <v>40</v>
      </c>
      <c r="AB182" s="128">
        <v>51</v>
      </c>
      <c r="AC182" s="128">
        <v>50</v>
      </c>
      <c r="AD182" s="128">
        <v>50</v>
      </c>
      <c r="BL182" s="128" t="s">
        <v>566</v>
      </c>
      <c r="BM182" s="128" t="s">
        <v>542</v>
      </c>
      <c r="BN182" s="128" t="s">
        <v>567</v>
      </c>
      <c r="EK182" s="128">
        <v>2</v>
      </c>
      <c r="EL182" s="128">
        <v>2</v>
      </c>
      <c r="EM182" s="128">
        <v>1.62</v>
      </c>
      <c r="EN182" s="128">
        <v>1062620</v>
      </c>
      <c r="EO182" s="128">
        <v>1062620</v>
      </c>
      <c r="FO182" s="128">
        <v>5</v>
      </c>
      <c r="FP182" s="128">
        <v>0.60299999999999998</v>
      </c>
      <c r="FQ182" s="128">
        <v>0.65</v>
      </c>
      <c r="FR182" s="128">
        <v>363814</v>
      </c>
      <c r="FS182" s="128">
        <v>363814</v>
      </c>
      <c r="IN182" s="128">
        <v>1</v>
      </c>
      <c r="IO182" s="128">
        <v>150</v>
      </c>
      <c r="IP182" s="128">
        <v>7.1999999999999995E-2</v>
      </c>
      <c r="IQ182" s="128">
        <v>18000</v>
      </c>
      <c r="IR182" s="128">
        <v>18000</v>
      </c>
      <c r="IS182" s="128">
        <v>1</v>
      </c>
      <c r="IT182" s="128">
        <v>21</v>
      </c>
      <c r="IU182" s="128">
        <v>0.01</v>
      </c>
      <c r="IV182" s="128">
        <v>4200</v>
      </c>
      <c r="IW182" s="128">
        <v>4200</v>
      </c>
      <c r="KG182" s="128">
        <v>3</v>
      </c>
      <c r="KH182" s="128">
        <v>120</v>
      </c>
      <c r="KI182" s="128">
        <v>2</v>
      </c>
      <c r="KJ182" s="128">
        <v>0</v>
      </c>
      <c r="KK182" s="128">
        <v>7.1999999999999995E-2</v>
      </c>
      <c r="KL182" s="128">
        <v>0</v>
      </c>
      <c r="KM182" s="128">
        <v>2.0720000000000001</v>
      </c>
      <c r="KN182" s="128">
        <v>1426434</v>
      </c>
      <c r="KO182" s="128">
        <v>1426434</v>
      </c>
      <c r="KP182" s="128">
        <v>1426434</v>
      </c>
      <c r="KT182" s="128">
        <v>0</v>
      </c>
      <c r="KU182" s="128">
        <v>0</v>
      </c>
      <c r="KV182" s="128">
        <v>0</v>
      </c>
      <c r="KZ182" s="128">
        <v>22200</v>
      </c>
      <c r="LA182" s="128">
        <v>22200</v>
      </c>
      <c r="LB182" s="128">
        <v>22200</v>
      </c>
      <c r="LF182" s="128">
        <v>5500</v>
      </c>
      <c r="LG182" s="128">
        <v>4134</v>
      </c>
      <c r="LH182" s="128">
        <v>4134</v>
      </c>
      <c r="LL182" s="128">
        <v>0</v>
      </c>
      <c r="LM182" s="128">
        <v>0</v>
      </c>
      <c r="LN182" s="128">
        <v>0</v>
      </c>
      <c r="LR182" s="128">
        <v>15000</v>
      </c>
      <c r="LS182" s="128">
        <v>5000</v>
      </c>
      <c r="LT182" s="128">
        <v>5000</v>
      </c>
      <c r="LX182" s="128">
        <v>1000</v>
      </c>
      <c r="LY182" s="128">
        <v>0</v>
      </c>
      <c r="LZ182" s="128">
        <v>0</v>
      </c>
      <c r="MD182" s="128">
        <v>15000</v>
      </c>
      <c r="ME182" s="128">
        <v>10000</v>
      </c>
      <c r="MF182" s="128">
        <v>10000</v>
      </c>
      <c r="MJ182" s="128">
        <v>0</v>
      </c>
      <c r="MK182" s="128">
        <v>0</v>
      </c>
      <c r="ML182" s="128">
        <v>0</v>
      </c>
      <c r="MP182" s="128">
        <v>18000</v>
      </c>
      <c r="MQ182" s="128">
        <v>10000</v>
      </c>
      <c r="MR182" s="128">
        <v>10000</v>
      </c>
      <c r="MV182" s="128">
        <v>67000</v>
      </c>
      <c r="MW182" s="128">
        <v>0</v>
      </c>
      <c r="MX182" s="128">
        <v>0</v>
      </c>
      <c r="NB182" s="128">
        <v>11094</v>
      </c>
      <c r="NC182" s="128">
        <v>5000</v>
      </c>
      <c r="ND182" s="128">
        <v>5000</v>
      </c>
      <c r="NH182" s="128">
        <v>105000</v>
      </c>
      <c r="NI182" s="128">
        <v>54000</v>
      </c>
      <c r="NJ182" s="128">
        <v>54000</v>
      </c>
      <c r="NN182" s="128">
        <v>4000</v>
      </c>
      <c r="NO182" s="128">
        <v>0</v>
      </c>
      <c r="NP182" s="128">
        <v>0</v>
      </c>
      <c r="NT182" s="128">
        <v>12000</v>
      </c>
      <c r="NU182" s="128">
        <v>0</v>
      </c>
      <c r="NV182" s="128">
        <v>0</v>
      </c>
      <c r="NZ182" s="128">
        <v>2000</v>
      </c>
      <c r="OA182" s="128">
        <v>0</v>
      </c>
      <c r="OB182" s="128">
        <v>0</v>
      </c>
      <c r="OF182" s="128">
        <v>12000</v>
      </c>
      <c r="OG182" s="128">
        <v>0</v>
      </c>
      <c r="OH182" s="128">
        <v>0</v>
      </c>
      <c r="OL182" s="128">
        <v>0</v>
      </c>
      <c r="OM182" s="128">
        <v>0</v>
      </c>
      <c r="ON182" s="128">
        <v>0</v>
      </c>
      <c r="OR182" s="128">
        <v>0</v>
      </c>
      <c r="OS182" s="128">
        <v>0</v>
      </c>
      <c r="OT182" s="128">
        <v>0</v>
      </c>
      <c r="OX182" s="128">
        <v>80000</v>
      </c>
      <c r="OY182" s="128">
        <v>10000</v>
      </c>
      <c r="OZ182" s="128">
        <v>10000</v>
      </c>
      <c r="PD182" s="128">
        <v>0</v>
      </c>
      <c r="PE182" s="128">
        <v>0</v>
      </c>
      <c r="PF182" s="128">
        <v>0</v>
      </c>
      <c r="PJ182" s="128">
        <v>540</v>
      </c>
      <c r="PK182" s="128">
        <v>0</v>
      </c>
      <c r="PL182" s="128">
        <v>0</v>
      </c>
      <c r="PP182" s="128">
        <v>1796768</v>
      </c>
      <c r="PQ182" s="128">
        <v>1546768</v>
      </c>
      <c r="PR182" s="128">
        <v>1546768</v>
      </c>
      <c r="PS182" s="128">
        <v>100</v>
      </c>
      <c r="PT182" s="128">
        <v>100</v>
      </c>
      <c r="PX182" s="128">
        <v>1174500</v>
      </c>
      <c r="PY182" s="128">
        <v>1214500</v>
      </c>
      <c r="PZ182" s="128">
        <v>1546768</v>
      </c>
      <c r="QA182" s="128">
        <v>0</v>
      </c>
      <c r="QB182" s="128">
        <v>0</v>
      </c>
      <c r="QC182" s="128">
        <v>0</v>
      </c>
      <c r="QD182" s="128">
        <v>0</v>
      </c>
      <c r="QE182" s="128">
        <v>0</v>
      </c>
      <c r="QF182" s="128">
        <v>0</v>
      </c>
      <c r="QG182" s="128">
        <v>0</v>
      </c>
      <c r="QH182" s="128">
        <v>0</v>
      </c>
      <c r="QI182" s="128">
        <v>0</v>
      </c>
      <c r="QJ182" s="128">
        <v>0</v>
      </c>
      <c r="QK182" s="128">
        <v>0</v>
      </c>
      <c r="QL182" s="128">
        <v>0</v>
      </c>
      <c r="QN182" s="128">
        <v>0</v>
      </c>
      <c r="QO182" s="128">
        <v>0</v>
      </c>
      <c r="QP182" s="128">
        <v>0</v>
      </c>
      <c r="QX182" s="128">
        <v>250000</v>
      </c>
      <c r="QY182" s="128">
        <v>250000</v>
      </c>
      <c r="QZ182" s="128">
        <v>250000</v>
      </c>
      <c r="RD182" s="128">
        <v>13106</v>
      </c>
      <c r="RE182" s="128">
        <v>15000</v>
      </c>
      <c r="RF182" s="128">
        <v>0</v>
      </c>
      <c r="RH182" s="128">
        <f t="shared" si="310"/>
        <v>1796768</v>
      </c>
      <c r="RI182" s="128">
        <v>0</v>
      </c>
      <c r="RM182" s="128" t="s">
        <v>220</v>
      </c>
      <c r="RU182" s="130"/>
      <c r="RV182" s="130"/>
      <c r="RW182" s="130"/>
      <c r="RX182" s="130"/>
      <c r="SF182" s="128">
        <f t="shared" si="220"/>
        <v>2315315</v>
      </c>
      <c r="SG182" s="131">
        <f t="shared" si="221"/>
        <v>1796768</v>
      </c>
      <c r="SH182" s="131">
        <f t="shared" si="222"/>
        <v>1796768</v>
      </c>
      <c r="SI182" s="131">
        <f t="shared" si="223"/>
        <v>1454134</v>
      </c>
      <c r="SJ182" s="132">
        <f t="shared" si="224"/>
        <v>1426434</v>
      </c>
      <c r="SK182" s="132">
        <f t="shared" si="225"/>
        <v>0</v>
      </c>
      <c r="SL182" s="132">
        <f t="shared" si="226"/>
        <v>22200</v>
      </c>
      <c r="SM182" s="132">
        <f t="shared" si="227"/>
        <v>5500</v>
      </c>
      <c r="SN182" s="131">
        <f t="shared" si="228"/>
        <v>342634</v>
      </c>
      <c r="SO182" s="131">
        <f t="shared" si="229"/>
        <v>15000</v>
      </c>
      <c r="SP182" s="132">
        <f t="shared" si="230"/>
        <v>0</v>
      </c>
      <c r="SQ182" s="132">
        <f t="shared" si="231"/>
        <v>15000</v>
      </c>
      <c r="SR182" s="132">
        <f t="shared" si="232"/>
        <v>1000</v>
      </c>
      <c r="SS182" s="132">
        <f t="shared" si="233"/>
        <v>15000</v>
      </c>
      <c r="ST182" s="132">
        <f t="shared" si="234"/>
        <v>0</v>
      </c>
      <c r="SU182" s="132">
        <f t="shared" si="235"/>
        <v>18000</v>
      </c>
      <c r="SV182" s="131">
        <f t="shared" si="236"/>
        <v>293094</v>
      </c>
      <c r="SW182" s="132">
        <f t="shared" si="237"/>
        <v>67000</v>
      </c>
      <c r="SX182" s="132">
        <f t="shared" si="238"/>
        <v>11094</v>
      </c>
      <c r="SY182" s="132">
        <f t="shared" si="239"/>
        <v>105000</v>
      </c>
      <c r="SZ182" s="132">
        <f t="shared" si="240"/>
        <v>4000</v>
      </c>
      <c r="TA182" s="132">
        <f t="shared" si="241"/>
        <v>12000</v>
      </c>
      <c r="TB182" s="132">
        <f t="shared" si="242"/>
        <v>2000</v>
      </c>
      <c r="TC182" s="132">
        <f t="shared" si="243"/>
        <v>12000</v>
      </c>
      <c r="TD182" s="132">
        <f t="shared" si="244"/>
        <v>0</v>
      </c>
      <c r="TE182" s="132">
        <f t="shared" si="245"/>
        <v>0</v>
      </c>
      <c r="TF182" s="132">
        <f t="shared" si="246"/>
        <v>80000</v>
      </c>
      <c r="TG182" s="132">
        <f t="shared" si="247"/>
        <v>0</v>
      </c>
      <c r="TH182" s="132">
        <f t="shared" si="248"/>
        <v>540</v>
      </c>
      <c r="TI182" s="1"/>
      <c r="TJ182" s="131">
        <f t="shared" si="249"/>
        <v>1546768</v>
      </c>
      <c r="TK182" s="131">
        <f t="shared" si="250"/>
        <v>1546768</v>
      </c>
      <c r="TL182" s="131">
        <f t="shared" si="251"/>
        <v>1452768</v>
      </c>
      <c r="TM182" s="132">
        <f t="shared" si="252"/>
        <v>1426434</v>
      </c>
      <c r="TN182" s="132">
        <f t="shared" si="253"/>
        <v>0</v>
      </c>
      <c r="TO182" s="132">
        <f t="shared" si="254"/>
        <v>22200</v>
      </c>
      <c r="TP182" s="132">
        <f t="shared" si="255"/>
        <v>4134</v>
      </c>
      <c r="TQ182" s="131">
        <f t="shared" si="256"/>
        <v>94000</v>
      </c>
      <c r="TR182" s="131">
        <f t="shared" si="257"/>
        <v>5000</v>
      </c>
      <c r="TS182" s="132">
        <f t="shared" si="258"/>
        <v>0</v>
      </c>
      <c r="TT182" s="132">
        <f t="shared" si="259"/>
        <v>5000</v>
      </c>
      <c r="TU182" s="132">
        <f t="shared" si="260"/>
        <v>0</v>
      </c>
      <c r="TV182" s="132">
        <f t="shared" si="261"/>
        <v>10000</v>
      </c>
      <c r="TW182" s="132">
        <f t="shared" si="262"/>
        <v>0</v>
      </c>
      <c r="TX182" s="132">
        <f t="shared" si="263"/>
        <v>10000</v>
      </c>
      <c r="TY182" s="131">
        <f t="shared" si="264"/>
        <v>69000</v>
      </c>
      <c r="TZ182" s="132">
        <f t="shared" si="265"/>
        <v>0</v>
      </c>
      <c r="UA182" s="132">
        <f t="shared" si="266"/>
        <v>5000</v>
      </c>
      <c r="UB182" s="132">
        <f t="shared" si="267"/>
        <v>54000</v>
      </c>
      <c r="UC182" s="132">
        <f t="shared" si="268"/>
        <v>0</v>
      </c>
      <c r="UD182" s="132">
        <f t="shared" si="269"/>
        <v>0</v>
      </c>
      <c r="UE182" s="132">
        <f t="shared" si="270"/>
        <v>0</v>
      </c>
      <c r="UF182" s="132">
        <f t="shared" si="271"/>
        <v>0</v>
      </c>
      <c r="UG182" s="132">
        <f t="shared" si="272"/>
        <v>0</v>
      </c>
      <c r="UH182" s="132">
        <f t="shared" si="273"/>
        <v>0</v>
      </c>
      <c r="UI182" s="132">
        <f t="shared" si="274"/>
        <v>10000</v>
      </c>
      <c r="UJ182" s="132">
        <f t="shared" si="275"/>
        <v>0</v>
      </c>
      <c r="UK182" s="132">
        <f t="shared" si="276"/>
        <v>0</v>
      </c>
      <c r="UL182" s="132">
        <f t="shared" si="311"/>
        <v>1546768</v>
      </c>
      <c r="UM182" s="131">
        <f t="shared" si="277"/>
        <v>1546768</v>
      </c>
      <c r="UN182" s="131">
        <f t="shared" si="278"/>
        <v>1546768</v>
      </c>
      <c r="UO182" s="131">
        <f t="shared" si="279"/>
        <v>1452768</v>
      </c>
      <c r="UP182" s="132">
        <f t="shared" si="280"/>
        <v>1426434</v>
      </c>
      <c r="UQ182" s="132">
        <f t="shared" si="281"/>
        <v>0</v>
      </c>
      <c r="UR182" s="132">
        <f t="shared" si="282"/>
        <v>22200</v>
      </c>
      <c r="US182" s="132">
        <f t="shared" si="283"/>
        <v>4134</v>
      </c>
      <c r="UT182" s="131">
        <f t="shared" si="284"/>
        <v>94000</v>
      </c>
      <c r="UU182" s="131">
        <f t="shared" si="285"/>
        <v>5000</v>
      </c>
      <c r="UV182" s="132">
        <f t="shared" si="286"/>
        <v>0</v>
      </c>
      <c r="UW182" s="132">
        <f t="shared" si="287"/>
        <v>5000</v>
      </c>
      <c r="UX182" s="132">
        <f t="shared" si="288"/>
        <v>0</v>
      </c>
      <c r="UY182" s="132">
        <f t="shared" si="289"/>
        <v>10000</v>
      </c>
      <c r="UZ182" s="132">
        <f t="shared" si="290"/>
        <v>0</v>
      </c>
      <c r="VA182" s="132">
        <f t="shared" si="291"/>
        <v>10000</v>
      </c>
      <c r="VB182" s="131">
        <f t="shared" si="292"/>
        <v>69000</v>
      </c>
      <c r="VC182" s="132">
        <f t="shared" si="293"/>
        <v>0</v>
      </c>
      <c r="VD182" s="132">
        <f t="shared" si="294"/>
        <v>5000</v>
      </c>
      <c r="VE182" s="132">
        <f t="shared" si="295"/>
        <v>54000</v>
      </c>
      <c r="VF182" s="132">
        <f t="shared" si="296"/>
        <v>0</v>
      </c>
      <c r="VG182" s="132">
        <f t="shared" si="297"/>
        <v>0</v>
      </c>
      <c r="VH182" s="132">
        <f t="shared" si="298"/>
        <v>0</v>
      </c>
      <c r="VI182" s="132">
        <f t="shared" si="299"/>
        <v>0</v>
      </c>
      <c r="VJ182" s="132">
        <f t="shared" si="300"/>
        <v>0</v>
      </c>
      <c r="VK182" s="132">
        <f t="shared" si="301"/>
        <v>0</v>
      </c>
      <c r="VL182" s="132">
        <f t="shared" si="302"/>
        <v>10000</v>
      </c>
      <c r="VM182" s="132">
        <f t="shared" si="303"/>
        <v>0</v>
      </c>
      <c r="VN182" s="132">
        <f t="shared" si="304"/>
        <v>0</v>
      </c>
      <c r="VP182" s="845" t="str">
        <f>IFERROR(HLOOKUP(F182,'Hodnocení '!$C$1:$JH$5,2,FALSE),0)</f>
        <v>Nízkoprahový klub EXIT</v>
      </c>
      <c r="VQ182" s="838"/>
      <c r="VR182" s="845" t="str">
        <f t="shared" si="312"/>
        <v>Církve a náboženské společnosti</v>
      </c>
      <c r="VS182" s="845" t="str">
        <f>IFERROR(HLOOKUP(F182,'Hodnocení '!$C$1:$JH$5,5,FALSE),0)</f>
        <v>NZO</v>
      </c>
      <c r="VT182" s="838">
        <f t="shared" si="313"/>
        <v>0</v>
      </c>
      <c r="VU182" s="838">
        <f t="shared" si="314"/>
        <v>0</v>
      </c>
      <c r="VV182" s="838">
        <f t="shared" si="315"/>
        <v>0</v>
      </c>
      <c r="VW182" s="838">
        <f t="shared" si="316"/>
        <v>0</v>
      </c>
      <c r="VX182" s="838"/>
      <c r="VY182" s="838">
        <f t="shared" si="317"/>
        <v>0</v>
      </c>
      <c r="VZ182" s="838">
        <f t="shared" si="318"/>
        <v>1546768</v>
      </c>
      <c r="WA182" s="846">
        <f>IFERROR(HLOOKUP($F182,'Hodnocení '!$C$1:$JH$9,9,FALSE),0)</f>
        <v>1546768</v>
      </c>
      <c r="WB182" s="846">
        <f>IF(IFERROR(HLOOKUP($F182,'Hodnocení '!$C$1:$JH$13,13,FALSE),0)&gt;WA182,WA182,IFERROR(HLOOKUP($F182,'Hodnocení '!$C$1:$JH$13,13,FALSE),0))</f>
        <v>1314857.8541530101</v>
      </c>
      <c r="WC182" s="846">
        <f>IFERROR(HLOOKUP($F182,'Hodnocení '!$C$1:$JH$155,155,FALSE),0)</f>
        <v>1214500</v>
      </c>
      <c r="WD182" s="845"/>
      <c r="WE182" s="845"/>
      <c r="WF182" s="845" t="str">
        <f t="shared" si="305"/>
        <v>ANO</v>
      </c>
      <c r="WG182" s="849" t="str">
        <f t="shared" si="320"/>
        <v>Podpora služby je vyjádřena zařazením do sítě sociálních služeb v KHK a řešením financování služby</v>
      </c>
      <c r="WH182"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82" s="849" t="str">
        <f t="shared" si="320"/>
        <v>Návrh dotace je výsledkem projednání s ostatními zadavateli v rámci sítě služeb KHK</v>
      </c>
      <c r="WJ182" s="849" t="str">
        <f t="shared" si="320"/>
        <v>Bez komentáře</v>
      </c>
      <c r="WK182" s="31">
        <f t="shared" si="306"/>
        <v>0</v>
      </c>
      <c r="WL182" s="850">
        <f t="shared" si="307"/>
        <v>0</v>
      </c>
      <c r="WM182" s="849">
        <f t="shared" si="308"/>
        <v>0</v>
      </c>
      <c r="WN182" s="849">
        <f t="shared" si="309"/>
        <v>0</v>
      </c>
      <c r="WO182" s="849" t="str">
        <f t="shared" si="319"/>
        <v>bez komentáře</v>
      </c>
      <c r="WP182" s="849" t="str">
        <f t="shared" si="319"/>
        <v>bez komentáře</v>
      </c>
      <c r="WQ182" s="849" t="str">
        <f t="shared" si="319"/>
        <v>Konečná výše dotace z rozpočtu KHK bude řešena v návaznosti na řešení podílů jednotlivých zadavatelů.</v>
      </c>
      <c r="WR182" s="849" t="str">
        <f t="shared" si="319"/>
        <v>Konečná výše podpory ze stran obcí bude řešena v součinnosti s jednotlivými zadavateli v průběhu roku.</v>
      </c>
      <c r="WS182" s="849" t="str">
        <f t="shared" si="319"/>
        <v>bez komentáře</v>
      </c>
      <c r="WT182" s="849" t="str">
        <f t="shared" si="319"/>
        <v>bez komentáře</v>
      </c>
      <c r="WU182" s="845"/>
    </row>
    <row r="183" spans="1:619" s="128" customFormat="1" x14ac:dyDescent="0.25">
      <c r="A183" s="128" t="str">
        <f>VLOOKUP(F183,'Výpočet VP 2020'!$D$324:$I$588,6,FALSE)</f>
        <v>Je v síti</v>
      </c>
      <c r="B183" s="128" t="s">
        <v>805</v>
      </c>
      <c r="C183" s="128">
        <v>73633755</v>
      </c>
      <c r="D183" s="128" t="s">
        <v>806</v>
      </c>
      <c r="E183" s="128" t="s">
        <v>360</v>
      </c>
      <c r="F183" s="128">
        <v>6607461</v>
      </c>
      <c r="G183" s="128" t="s">
        <v>538</v>
      </c>
      <c r="H183" s="128" t="s">
        <v>230</v>
      </c>
      <c r="I183" s="128" t="s">
        <v>810</v>
      </c>
      <c r="J183" s="129">
        <v>42370</v>
      </c>
      <c r="L183" s="128" t="s">
        <v>220</v>
      </c>
      <c r="X183" s="128" t="s">
        <v>489</v>
      </c>
      <c r="Z183" s="128">
        <v>15</v>
      </c>
      <c r="AA183" s="128">
        <v>30</v>
      </c>
      <c r="AB183" s="128">
        <v>31</v>
      </c>
      <c r="AC183" s="128">
        <v>40</v>
      </c>
      <c r="AD183" s="128">
        <v>40</v>
      </c>
      <c r="BL183" s="128" t="s">
        <v>566</v>
      </c>
      <c r="BM183" s="128" t="s">
        <v>542</v>
      </c>
      <c r="BN183" s="128" t="s">
        <v>567</v>
      </c>
      <c r="EK183" s="128">
        <v>2</v>
      </c>
      <c r="EL183" s="128">
        <v>2</v>
      </c>
      <c r="EM183" s="128">
        <v>1.61</v>
      </c>
      <c r="EN183" s="128">
        <v>1062620</v>
      </c>
      <c r="EO183" s="128">
        <v>1062620</v>
      </c>
      <c r="FO183" s="128">
        <v>5</v>
      </c>
      <c r="FP183" s="128">
        <v>0.59299999999999997</v>
      </c>
      <c r="FQ183" s="128">
        <v>0.66</v>
      </c>
      <c r="FR183" s="128">
        <v>357892</v>
      </c>
      <c r="FS183" s="128">
        <v>357862</v>
      </c>
      <c r="IN183" s="128">
        <v>1</v>
      </c>
      <c r="IO183" s="128">
        <v>150</v>
      </c>
      <c r="IP183" s="128">
        <v>7.1999999999999995E-2</v>
      </c>
      <c r="IQ183" s="128">
        <v>18000</v>
      </c>
      <c r="IR183" s="128">
        <v>18000</v>
      </c>
      <c r="IS183" s="128">
        <v>1</v>
      </c>
      <c r="IT183" s="128">
        <v>21</v>
      </c>
      <c r="IU183" s="128">
        <v>0.01</v>
      </c>
      <c r="IV183" s="128">
        <v>4200</v>
      </c>
      <c r="IW183" s="128">
        <v>4200</v>
      </c>
      <c r="KG183" s="128">
        <v>2</v>
      </c>
      <c r="KH183" s="128">
        <v>80</v>
      </c>
      <c r="KI183" s="128">
        <v>2</v>
      </c>
      <c r="KJ183" s="128">
        <v>0</v>
      </c>
      <c r="KK183" s="128">
        <v>7.1999999999999995E-2</v>
      </c>
      <c r="KL183" s="128">
        <v>0</v>
      </c>
      <c r="KM183" s="128">
        <v>2.0720000000000001</v>
      </c>
      <c r="KN183" s="128">
        <v>1420512</v>
      </c>
      <c r="KO183" s="128">
        <v>1420482</v>
      </c>
      <c r="KP183" s="128">
        <v>1420482</v>
      </c>
      <c r="KT183" s="128">
        <v>0</v>
      </c>
      <c r="KU183" s="128">
        <v>0</v>
      </c>
      <c r="KV183" s="128">
        <v>0</v>
      </c>
      <c r="KZ183" s="128">
        <v>22200</v>
      </c>
      <c r="LA183" s="128">
        <v>22200</v>
      </c>
      <c r="LB183" s="128">
        <v>22200</v>
      </c>
      <c r="LF183" s="128">
        <v>5500</v>
      </c>
      <c r="LG183" s="128">
        <v>4000</v>
      </c>
      <c r="LH183" s="128">
        <v>4000</v>
      </c>
      <c r="LL183" s="128">
        <v>0</v>
      </c>
      <c r="LM183" s="128">
        <v>0</v>
      </c>
      <c r="LN183" s="128">
        <v>0</v>
      </c>
      <c r="LR183" s="128">
        <v>10000</v>
      </c>
      <c r="LS183" s="128">
        <v>0</v>
      </c>
      <c r="LT183" s="128">
        <v>0</v>
      </c>
      <c r="LX183" s="128">
        <v>1000</v>
      </c>
      <c r="LY183" s="128">
        <v>0</v>
      </c>
      <c r="LZ183" s="128">
        <v>0</v>
      </c>
      <c r="MD183" s="128">
        <v>15000</v>
      </c>
      <c r="ME183" s="128">
        <v>8000</v>
      </c>
      <c r="MF183" s="128">
        <v>8000</v>
      </c>
      <c r="MJ183" s="128">
        <v>0</v>
      </c>
      <c r="MK183" s="128">
        <v>0</v>
      </c>
      <c r="ML183" s="128">
        <v>0</v>
      </c>
      <c r="MP183" s="128">
        <v>15000</v>
      </c>
      <c r="MQ183" s="128">
        <v>8000</v>
      </c>
      <c r="MR183" s="128">
        <v>8000</v>
      </c>
      <c r="MV183" s="128">
        <v>70000</v>
      </c>
      <c r="MW183" s="128">
        <v>0</v>
      </c>
      <c r="MX183" s="128">
        <v>0</v>
      </c>
      <c r="NB183" s="128">
        <v>5100</v>
      </c>
      <c r="NC183" s="128">
        <v>0</v>
      </c>
      <c r="ND183" s="128">
        <v>0</v>
      </c>
      <c r="NH183" s="128">
        <v>48000</v>
      </c>
      <c r="NI183" s="128">
        <v>11170</v>
      </c>
      <c r="NJ183" s="128">
        <v>11170</v>
      </c>
      <c r="NN183" s="128">
        <v>5000</v>
      </c>
      <c r="NO183" s="128">
        <v>0</v>
      </c>
      <c r="NP183" s="128">
        <v>0</v>
      </c>
      <c r="NT183" s="128">
        <v>15000</v>
      </c>
      <c r="NU183" s="128">
        <v>0</v>
      </c>
      <c r="NV183" s="128">
        <v>0</v>
      </c>
      <c r="NZ183" s="128">
        <v>1000</v>
      </c>
      <c r="OA183" s="128">
        <v>0</v>
      </c>
      <c r="OB183" s="128">
        <v>0</v>
      </c>
      <c r="OF183" s="128">
        <v>15000</v>
      </c>
      <c r="OG183" s="128">
        <v>5000</v>
      </c>
      <c r="OH183" s="128">
        <v>5000</v>
      </c>
      <c r="OL183" s="128">
        <v>0</v>
      </c>
      <c r="OM183" s="128">
        <v>0</v>
      </c>
      <c r="ON183" s="128">
        <v>0</v>
      </c>
      <c r="OR183" s="128">
        <v>0</v>
      </c>
      <c r="OS183" s="128">
        <v>0</v>
      </c>
      <c r="OT183" s="128">
        <v>0</v>
      </c>
      <c r="OX183" s="128">
        <v>45000</v>
      </c>
      <c r="OY183" s="128">
        <v>0</v>
      </c>
      <c r="OZ183" s="128">
        <v>0</v>
      </c>
      <c r="PD183" s="128">
        <v>0</v>
      </c>
      <c r="PE183" s="128">
        <v>0</v>
      </c>
      <c r="PF183" s="128">
        <v>0</v>
      </c>
      <c r="PJ183" s="128">
        <v>540</v>
      </c>
      <c r="PK183" s="128">
        <v>0</v>
      </c>
      <c r="PL183" s="128">
        <v>0</v>
      </c>
      <c r="PP183" s="128">
        <v>1693852</v>
      </c>
      <c r="PQ183" s="128">
        <v>1478852</v>
      </c>
      <c r="PR183" s="128">
        <v>1478852</v>
      </c>
      <c r="PS183" s="128">
        <v>100</v>
      </c>
      <c r="PT183" s="128">
        <v>100</v>
      </c>
      <c r="PX183" s="128">
        <v>1142600</v>
      </c>
      <c r="PY183" s="128">
        <v>1182600</v>
      </c>
      <c r="PZ183" s="128">
        <v>1478852</v>
      </c>
      <c r="QA183" s="128">
        <v>0</v>
      </c>
      <c r="QB183" s="128">
        <v>0</v>
      </c>
      <c r="QC183" s="128">
        <v>0</v>
      </c>
      <c r="QD183" s="128">
        <v>0</v>
      </c>
      <c r="QE183" s="128">
        <v>0</v>
      </c>
      <c r="QF183" s="128">
        <v>0</v>
      </c>
      <c r="QG183" s="128">
        <v>0</v>
      </c>
      <c r="QH183" s="128">
        <v>0</v>
      </c>
      <c r="QI183" s="128">
        <v>0</v>
      </c>
      <c r="QJ183" s="128">
        <v>0</v>
      </c>
      <c r="QK183" s="128">
        <v>0</v>
      </c>
      <c r="QL183" s="128">
        <v>0</v>
      </c>
      <c r="QN183" s="128">
        <v>0</v>
      </c>
      <c r="QO183" s="128">
        <v>0</v>
      </c>
      <c r="QP183" s="128">
        <v>0</v>
      </c>
      <c r="QU183" s="128">
        <v>30567</v>
      </c>
      <c r="QV183" s="128">
        <v>55825</v>
      </c>
      <c r="QW183" s="128">
        <v>0</v>
      </c>
      <c r="QX183" s="128">
        <v>215000</v>
      </c>
      <c r="QY183" s="128">
        <v>215000</v>
      </c>
      <c r="QZ183" s="128">
        <v>215000</v>
      </c>
      <c r="RH183" s="128">
        <f t="shared" si="310"/>
        <v>1693852</v>
      </c>
      <c r="RI183" s="128">
        <v>0</v>
      </c>
      <c r="RM183" s="128" t="s">
        <v>220</v>
      </c>
      <c r="RU183" s="130"/>
      <c r="RV183" s="130"/>
      <c r="RW183" s="130"/>
      <c r="RX183" s="130"/>
      <c r="SF183" s="128">
        <f t="shared" si="220"/>
        <v>6607461</v>
      </c>
      <c r="SG183" s="131">
        <f t="shared" si="221"/>
        <v>1693852</v>
      </c>
      <c r="SH183" s="131">
        <f t="shared" si="222"/>
        <v>1693852</v>
      </c>
      <c r="SI183" s="131">
        <f t="shared" si="223"/>
        <v>1448212</v>
      </c>
      <c r="SJ183" s="132">
        <f t="shared" si="224"/>
        <v>1420512</v>
      </c>
      <c r="SK183" s="132">
        <f t="shared" si="225"/>
        <v>0</v>
      </c>
      <c r="SL183" s="132">
        <f t="shared" si="226"/>
        <v>22200</v>
      </c>
      <c r="SM183" s="132">
        <f t="shared" si="227"/>
        <v>5500</v>
      </c>
      <c r="SN183" s="131">
        <f t="shared" si="228"/>
        <v>245640</v>
      </c>
      <c r="SO183" s="131">
        <f t="shared" si="229"/>
        <v>10000</v>
      </c>
      <c r="SP183" s="132">
        <f t="shared" si="230"/>
        <v>0</v>
      </c>
      <c r="SQ183" s="132">
        <f t="shared" si="231"/>
        <v>10000</v>
      </c>
      <c r="SR183" s="132">
        <f t="shared" si="232"/>
        <v>1000</v>
      </c>
      <c r="SS183" s="132">
        <f t="shared" si="233"/>
        <v>15000</v>
      </c>
      <c r="ST183" s="132">
        <f t="shared" si="234"/>
        <v>0</v>
      </c>
      <c r="SU183" s="132">
        <f t="shared" si="235"/>
        <v>15000</v>
      </c>
      <c r="SV183" s="131">
        <f t="shared" si="236"/>
        <v>204100</v>
      </c>
      <c r="SW183" s="132">
        <f t="shared" si="237"/>
        <v>70000</v>
      </c>
      <c r="SX183" s="132">
        <f t="shared" si="238"/>
        <v>5100</v>
      </c>
      <c r="SY183" s="132">
        <f t="shared" si="239"/>
        <v>48000</v>
      </c>
      <c r="SZ183" s="132">
        <f t="shared" si="240"/>
        <v>5000</v>
      </c>
      <c r="TA183" s="132">
        <f t="shared" si="241"/>
        <v>15000</v>
      </c>
      <c r="TB183" s="132">
        <f t="shared" si="242"/>
        <v>1000</v>
      </c>
      <c r="TC183" s="132">
        <f t="shared" si="243"/>
        <v>15000</v>
      </c>
      <c r="TD183" s="132">
        <f t="shared" si="244"/>
        <v>0</v>
      </c>
      <c r="TE183" s="132">
        <f t="shared" si="245"/>
        <v>0</v>
      </c>
      <c r="TF183" s="132">
        <f t="shared" si="246"/>
        <v>45000</v>
      </c>
      <c r="TG183" s="132">
        <f t="shared" si="247"/>
        <v>0</v>
      </c>
      <c r="TH183" s="132">
        <f t="shared" si="248"/>
        <v>540</v>
      </c>
      <c r="TI183" s="1"/>
      <c r="TJ183" s="131">
        <f t="shared" si="249"/>
        <v>1478852</v>
      </c>
      <c r="TK183" s="131">
        <f t="shared" si="250"/>
        <v>1478852</v>
      </c>
      <c r="TL183" s="131">
        <f t="shared" si="251"/>
        <v>1446682</v>
      </c>
      <c r="TM183" s="132">
        <f t="shared" si="252"/>
        <v>1420482</v>
      </c>
      <c r="TN183" s="132">
        <f t="shared" si="253"/>
        <v>0</v>
      </c>
      <c r="TO183" s="132">
        <f t="shared" si="254"/>
        <v>22200</v>
      </c>
      <c r="TP183" s="132">
        <f t="shared" si="255"/>
        <v>4000</v>
      </c>
      <c r="TQ183" s="131">
        <f t="shared" si="256"/>
        <v>32170</v>
      </c>
      <c r="TR183" s="131">
        <f t="shared" si="257"/>
        <v>0</v>
      </c>
      <c r="TS183" s="132">
        <f t="shared" si="258"/>
        <v>0</v>
      </c>
      <c r="TT183" s="132">
        <f t="shared" si="259"/>
        <v>0</v>
      </c>
      <c r="TU183" s="132">
        <f t="shared" si="260"/>
        <v>0</v>
      </c>
      <c r="TV183" s="132">
        <f t="shared" si="261"/>
        <v>8000</v>
      </c>
      <c r="TW183" s="132">
        <f t="shared" si="262"/>
        <v>0</v>
      </c>
      <c r="TX183" s="132">
        <f t="shared" si="263"/>
        <v>8000</v>
      </c>
      <c r="TY183" s="131">
        <f t="shared" si="264"/>
        <v>16170</v>
      </c>
      <c r="TZ183" s="132">
        <f t="shared" si="265"/>
        <v>0</v>
      </c>
      <c r="UA183" s="132">
        <f t="shared" si="266"/>
        <v>0</v>
      </c>
      <c r="UB183" s="132">
        <f t="shared" si="267"/>
        <v>11170</v>
      </c>
      <c r="UC183" s="132">
        <f t="shared" si="268"/>
        <v>0</v>
      </c>
      <c r="UD183" s="132">
        <f t="shared" si="269"/>
        <v>0</v>
      </c>
      <c r="UE183" s="132">
        <f t="shared" si="270"/>
        <v>0</v>
      </c>
      <c r="UF183" s="132">
        <f t="shared" si="271"/>
        <v>5000</v>
      </c>
      <c r="UG183" s="132">
        <f t="shared" si="272"/>
        <v>0</v>
      </c>
      <c r="UH183" s="132">
        <f t="shared" si="273"/>
        <v>0</v>
      </c>
      <c r="UI183" s="132">
        <f t="shared" si="274"/>
        <v>0</v>
      </c>
      <c r="UJ183" s="132">
        <f t="shared" si="275"/>
        <v>0</v>
      </c>
      <c r="UK183" s="132">
        <f t="shared" si="276"/>
        <v>0</v>
      </c>
      <c r="UL183" s="132">
        <f t="shared" si="311"/>
        <v>1478852</v>
      </c>
      <c r="UM183" s="131">
        <f t="shared" si="277"/>
        <v>1478852</v>
      </c>
      <c r="UN183" s="131">
        <f t="shared" si="278"/>
        <v>1478852</v>
      </c>
      <c r="UO183" s="131">
        <f t="shared" si="279"/>
        <v>1446682</v>
      </c>
      <c r="UP183" s="132">
        <f t="shared" si="280"/>
        <v>1420482</v>
      </c>
      <c r="UQ183" s="132">
        <f t="shared" si="281"/>
        <v>0</v>
      </c>
      <c r="UR183" s="132">
        <f t="shared" si="282"/>
        <v>22200</v>
      </c>
      <c r="US183" s="132">
        <f t="shared" si="283"/>
        <v>4000</v>
      </c>
      <c r="UT183" s="131">
        <f t="shared" si="284"/>
        <v>32170</v>
      </c>
      <c r="UU183" s="131">
        <f t="shared" si="285"/>
        <v>0</v>
      </c>
      <c r="UV183" s="132">
        <f t="shared" si="286"/>
        <v>0</v>
      </c>
      <c r="UW183" s="132">
        <f t="shared" si="287"/>
        <v>0</v>
      </c>
      <c r="UX183" s="132">
        <f t="shared" si="288"/>
        <v>0</v>
      </c>
      <c r="UY183" s="132">
        <f t="shared" si="289"/>
        <v>8000</v>
      </c>
      <c r="UZ183" s="132">
        <f t="shared" si="290"/>
        <v>0</v>
      </c>
      <c r="VA183" s="132">
        <f t="shared" si="291"/>
        <v>8000</v>
      </c>
      <c r="VB183" s="131">
        <f t="shared" si="292"/>
        <v>16170</v>
      </c>
      <c r="VC183" s="132">
        <f t="shared" si="293"/>
        <v>0</v>
      </c>
      <c r="VD183" s="132">
        <f t="shared" si="294"/>
        <v>0</v>
      </c>
      <c r="VE183" s="132">
        <f t="shared" si="295"/>
        <v>11170</v>
      </c>
      <c r="VF183" s="132">
        <f t="shared" si="296"/>
        <v>0</v>
      </c>
      <c r="VG183" s="132">
        <f t="shared" si="297"/>
        <v>0</v>
      </c>
      <c r="VH183" s="132">
        <f t="shared" si="298"/>
        <v>0</v>
      </c>
      <c r="VI183" s="132">
        <f t="shared" si="299"/>
        <v>5000</v>
      </c>
      <c r="VJ183" s="132">
        <f t="shared" si="300"/>
        <v>0</v>
      </c>
      <c r="VK183" s="132">
        <f t="shared" si="301"/>
        <v>0</v>
      </c>
      <c r="VL183" s="132">
        <f t="shared" si="302"/>
        <v>0</v>
      </c>
      <c r="VM183" s="132">
        <f t="shared" si="303"/>
        <v>0</v>
      </c>
      <c r="VN183" s="132">
        <f t="shared" si="304"/>
        <v>0</v>
      </c>
      <c r="VP183" s="845" t="str">
        <f>IFERROR(HLOOKUP(F183,'Hodnocení '!$C$1:$JH$5,2,FALSE),0)</f>
        <v>Nízkoprahový klub Nová Paka</v>
      </c>
      <c r="VQ183" s="838"/>
      <c r="VR183" s="845" t="str">
        <f t="shared" si="312"/>
        <v>Církve a náboženské společnosti</v>
      </c>
      <c r="VS183" s="845" t="str">
        <f>IFERROR(HLOOKUP(F183,'Hodnocení '!$C$1:$JH$5,5,FALSE),0)</f>
        <v>NZO</v>
      </c>
      <c r="VT183" s="838">
        <f t="shared" si="313"/>
        <v>0</v>
      </c>
      <c r="VU183" s="838">
        <f t="shared" si="314"/>
        <v>0</v>
      </c>
      <c r="VV183" s="838">
        <f t="shared" si="315"/>
        <v>0</v>
      </c>
      <c r="VW183" s="838">
        <f t="shared" si="316"/>
        <v>0</v>
      </c>
      <c r="VX183" s="838"/>
      <c r="VY183" s="838">
        <f t="shared" si="317"/>
        <v>0</v>
      </c>
      <c r="VZ183" s="838">
        <f t="shared" si="318"/>
        <v>1478852</v>
      </c>
      <c r="WA183" s="846">
        <f>IFERROR(HLOOKUP($F183,'Hodnocení '!$C$1:$JH$9,9,FALSE),0)</f>
        <v>1478852</v>
      </c>
      <c r="WB183" s="846">
        <f>IF(IFERROR(HLOOKUP($F183,'Hodnocení '!$C$1:$JH$13,13,FALSE),0)&gt;WA183,WA183,IFERROR(HLOOKUP($F183,'Hodnocení '!$C$1:$JH$13,13,FALSE),0))</f>
        <v>1314857.8541530101</v>
      </c>
      <c r="WC183" s="846">
        <f>IFERROR(HLOOKUP($F183,'Hodnocení '!$C$1:$JH$155,155,FALSE),0)</f>
        <v>1238430</v>
      </c>
      <c r="WD183" s="845"/>
      <c r="WE183" s="845"/>
      <c r="WF183" s="845" t="str">
        <f t="shared" si="305"/>
        <v>ANO</v>
      </c>
      <c r="WG183" s="849" t="str">
        <f t="shared" si="320"/>
        <v>Podpora služby je vyjádřena zařazením do sítě sociálních služeb v KHK a řešením financování služby</v>
      </c>
      <c r="WH183"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83" s="849" t="str">
        <f t="shared" si="320"/>
        <v>Návrh dotace je výsledkem projednání s ostatními zadavateli v rámci sítě služeb KHK</v>
      </c>
      <c r="WJ183" s="849" t="str">
        <f t="shared" si="320"/>
        <v>Bez komentáře</v>
      </c>
      <c r="WK183" s="31">
        <f t="shared" si="306"/>
        <v>0</v>
      </c>
      <c r="WL183" s="850">
        <f t="shared" si="307"/>
        <v>0</v>
      </c>
      <c r="WM183" s="849">
        <f t="shared" si="308"/>
        <v>0</v>
      </c>
      <c r="WN183" s="849">
        <f t="shared" si="309"/>
        <v>0</v>
      </c>
      <c r="WO183" s="849" t="str">
        <f t="shared" si="319"/>
        <v>bez komentáře</v>
      </c>
      <c r="WP183" s="849" t="str">
        <f t="shared" si="319"/>
        <v>bez komentáře</v>
      </c>
      <c r="WQ183" s="849" t="str">
        <f t="shared" si="319"/>
        <v>Konečná výše dotace z rozpočtu KHK bude řešena v návaznosti na řešení podílů jednotlivých zadavatelů.</v>
      </c>
      <c r="WR183" s="849" t="str">
        <f t="shared" si="319"/>
        <v>Konečná výše podpory ze stran obcí bude řešena v součinnosti s jednotlivými zadavateli v průběhu roku.</v>
      </c>
      <c r="WS183" s="849" t="str">
        <f t="shared" si="319"/>
        <v>bez komentáře</v>
      </c>
      <c r="WT183" s="849" t="str">
        <f t="shared" si="319"/>
        <v>bez komentáře</v>
      </c>
      <c r="WU183" s="845"/>
    </row>
    <row r="184" spans="1:619" s="128" customFormat="1" x14ac:dyDescent="0.25">
      <c r="A184" s="128" t="str">
        <f>VLOOKUP(F184,'Výpočet VP 2020'!$D$324:$I$588,6,FALSE)</f>
        <v>Je v síti</v>
      </c>
      <c r="B184" s="128" t="s">
        <v>805</v>
      </c>
      <c r="C184" s="128">
        <v>73633755</v>
      </c>
      <c r="D184" s="128" t="s">
        <v>806</v>
      </c>
      <c r="E184" s="128" t="s">
        <v>360</v>
      </c>
      <c r="F184" s="128">
        <v>9554713</v>
      </c>
      <c r="G184" s="128" t="s">
        <v>328</v>
      </c>
      <c r="H184" s="128" t="s">
        <v>218</v>
      </c>
      <c r="I184" s="128" t="s">
        <v>792</v>
      </c>
      <c r="J184" s="129">
        <v>39448</v>
      </c>
      <c r="L184" s="128" t="s">
        <v>220</v>
      </c>
      <c r="AP184" s="128" t="s">
        <v>811</v>
      </c>
      <c r="AQ184" s="128">
        <v>13</v>
      </c>
      <c r="AR184" s="128">
        <v>84</v>
      </c>
      <c r="AS184" s="128">
        <v>127</v>
      </c>
      <c r="AT184" s="128">
        <v>135</v>
      </c>
      <c r="AU184" s="128">
        <v>140</v>
      </c>
      <c r="BJ184" s="128">
        <v>15800</v>
      </c>
      <c r="BL184" s="128" t="s">
        <v>579</v>
      </c>
      <c r="BM184" s="128" t="s">
        <v>325</v>
      </c>
      <c r="BN184" s="128" t="s">
        <v>326</v>
      </c>
      <c r="BO184" s="128">
        <v>0</v>
      </c>
      <c r="BP184" s="128">
        <v>0</v>
      </c>
      <c r="BQ184" s="128">
        <v>0</v>
      </c>
      <c r="BR184" s="128">
        <v>0</v>
      </c>
      <c r="BS184" s="128">
        <v>0</v>
      </c>
      <c r="BT184" s="128">
        <v>20</v>
      </c>
      <c r="BU184" s="128">
        <v>16</v>
      </c>
      <c r="BV184" s="128">
        <v>9</v>
      </c>
      <c r="BW184" s="128">
        <v>8</v>
      </c>
      <c r="BX184" s="128">
        <v>34</v>
      </c>
      <c r="BY184" s="128">
        <v>20</v>
      </c>
      <c r="BZ184" s="128">
        <v>16</v>
      </c>
      <c r="CA184" s="128">
        <v>9</v>
      </c>
      <c r="CB184" s="128">
        <v>8</v>
      </c>
      <c r="CC184" s="128">
        <v>34</v>
      </c>
      <c r="CD184" s="128">
        <v>0</v>
      </c>
      <c r="CE184" s="128">
        <v>87</v>
      </c>
      <c r="CF184" s="128">
        <v>87</v>
      </c>
      <c r="CG184" s="128">
        <v>0</v>
      </c>
      <c r="CH184" s="128">
        <v>0</v>
      </c>
      <c r="CI184" s="128">
        <v>0</v>
      </c>
      <c r="CJ184" s="128">
        <v>0</v>
      </c>
      <c r="CK184" s="128">
        <v>0</v>
      </c>
      <c r="CL184" s="128">
        <v>0</v>
      </c>
      <c r="CM184" s="128">
        <v>35</v>
      </c>
      <c r="CN184" s="128">
        <v>25</v>
      </c>
      <c r="CO184" s="128">
        <v>10</v>
      </c>
      <c r="CP184" s="128">
        <v>5</v>
      </c>
      <c r="CQ184" s="128">
        <v>65</v>
      </c>
      <c r="CR184" s="128">
        <v>35</v>
      </c>
      <c r="CS184" s="128">
        <v>25</v>
      </c>
      <c r="CT184" s="128">
        <v>10</v>
      </c>
      <c r="CU184" s="128">
        <v>5</v>
      </c>
      <c r="CV184" s="128">
        <v>65</v>
      </c>
      <c r="CW184" s="128">
        <v>0</v>
      </c>
      <c r="CX184" s="128">
        <v>140</v>
      </c>
      <c r="CY184" s="128">
        <v>140</v>
      </c>
      <c r="CZ184" s="128">
        <v>0</v>
      </c>
      <c r="EK184" s="128">
        <v>2</v>
      </c>
      <c r="EL184" s="128">
        <v>1.5</v>
      </c>
      <c r="EM184" s="128">
        <v>1.5</v>
      </c>
      <c r="EN184" s="128">
        <v>783900</v>
      </c>
      <c r="EO184" s="128">
        <v>583900</v>
      </c>
      <c r="EP184" s="128">
        <v>13</v>
      </c>
      <c r="EQ184" s="128">
        <v>12.5</v>
      </c>
      <c r="ER184" s="128">
        <v>11.73</v>
      </c>
      <c r="ES184" s="128">
        <v>6131840</v>
      </c>
      <c r="ET184" s="128">
        <v>6003320</v>
      </c>
      <c r="FO184" s="128">
        <v>5</v>
      </c>
      <c r="FP184" s="128">
        <v>2.4700000000000002</v>
      </c>
      <c r="FQ184" s="128">
        <v>2.0299999999999998</v>
      </c>
      <c r="FR184" s="128">
        <v>1497294</v>
      </c>
      <c r="FS184" s="128">
        <v>997294</v>
      </c>
      <c r="IN184" s="128">
        <v>5</v>
      </c>
      <c r="IO184" s="128">
        <v>1500</v>
      </c>
      <c r="IP184" s="128">
        <v>0.71599999999999997</v>
      </c>
      <c r="IQ184" s="128">
        <v>195000</v>
      </c>
      <c r="IR184" s="128">
        <v>0</v>
      </c>
      <c r="IS184" s="128">
        <v>1</v>
      </c>
      <c r="IT184" s="128">
        <v>113</v>
      </c>
      <c r="IU184" s="128">
        <v>5.3999999999999999E-2</v>
      </c>
      <c r="IV184" s="128">
        <v>22600</v>
      </c>
      <c r="IW184" s="128">
        <v>0</v>
      </c>
      <c r="KG184" s="128">
        <v>2</v>
      </c>
      <c r="KH184" s="128">
        <v>80</v>
      </c>
      <c r="KI184" s="128">
        <v>14</v>
      </c>
      <c r="KJ184" s="128">
        <v>0</v>
      </c>
      <c r="KK184" s="128">
        <v>0.71599999999999997</v>
      </c>
      <c r="KL184" s="128">
        <v>0</v>
      </c>
      <c r="KM184" s="128">
        <v>14.715999999999999</v>
      </c>
      <c r="KN184" s="128">
        <v>8413034</v>
      </c>
      <c r="KO184" s="128">
        <v>7584514</v>
      </c>
      <c r="KP184" s="128">
        <v>7584514</v>
      </c>
      <c r="KT184" s="128">
        <v>0</v>
      </c>
      <c r="KU184" s="128">
        <v>0</v>
      </c>
      <c r="KV184" s="128">
        <v>0</v>
      </c>
      <c r="KZ184" s="128">
        <v>217600</v>
      </c>
      <c r="LA184" s="128">
        <v>0</v>
      </c>
      <c r="LB184" s="128">
        <v>0</v>
      </c>
      <c r="LF184" s="128">
        <v>28500</v>
      </c>
      <c r="LG184" s="128">
        <v>20000</v>
      </c>
      <c r="LH184" s="128">
        <v>20000</v>
      </c>
      <c r="LL184" s="128">
        <v>0</v>
      </c>
      <c r="LM184" s="128">
        <v>0</v>
      </c>
      <c r="LN184" s="128">
        <v>0</v>
      </c>
      <c r="LR184" s="128">
        <v>60000</v>
      </c>
      <c r="LS184" s="128">
        <v>0</v>
      </c>
      <c r="LT184" s="128">
        <v>0</v>
      </c>
      <c r="LX184" s="128">
        <v>0</v>
      </c>
      <c r="LY184" s="128">
        <v>0</v>
      </c>
      <c r="LZ184" s="128">
        <v>0</v>
      </c>
      <c r="MD184" s="128">
        <v>48400</v>
      </c>
      <c r="ME184" s="128">
        <v>0</v>
      </c>
      <c r="MF184" s="128">
        <v>0</v>
      </c>
      <c r="MJ184" s="128">
        <v>320000</v>
      </c>
      <c r="MK184" s="128">
        <v>0</v>
      </c>
      <c r="ML184" s="128">
        <v>0</v>
      </c>
      <c r="MP184" s="128">
        <v>90200</v>
      </c>
      <c r="MQ184" s="128">
        <v>0</v>
      </c>
      <c r="MR184" s="128">
        <v>0</v>
      </c>
      <c r="MV184" s="128">
        <v>121730</v>
      </c>
      <c r="MW184" s="128">
        <v>0</v>
      </c>
      <c r="MX184" s="128">
        <v>0</v>
      </c>
      <c r="NB184" s="128">
        <v>37250</v>
      </c>
      <c r="NC184" s="128">
        <v>0</v>
      </c>
      <c r="ND184" s="128">
        <v>0</v>
      </c>
      <c r="NH184" s="128">
        <v>122900</v>
      </c>
      <c r="NI184" s="128">
        <v>0</v>
      </c>
      <c r="NJ184" s="128">
        <v>0</v>
      </c>
      <c r="NN184" s="128">
        <v>123400</v>
      </c>
      <c r="NO184" s="128">
        <v>0</v>
      </c>
      <c r="NP184" s="128">
        <v>0</v>
      </c>
      <c r="NT184" s="128">
        <v>40000</v>
      </c>
      <c r="NU184" s="128">
        <v>0</v>
      </c>
      <c r="NV184" s="128">
        <v>0</v>
      </c>
      <c r="NZ184" s="128">
        <v>50000</v>
      </c>
      <c r="OA184" s="128">
        <v>0</v>
      </c>
      <c r="OB184" s="128">
        <v>0</v>
      </c>
      <c r="OF184" s="128">
        <v>115000</v>
      </c>
      <c r="OG184" s="128">
        <v>0</v>
      </c>
      <c r="OH184" s="128">
        <v>0</v>
      </c>
      <c r="OL184" s="128">
        <v>0</v>
      </c>
      <c r="OM184" s="128">
        <v>0</v>
      </c>
      <c r="ON184" s="128">
        <v>0</v>
      </c>
      <c r="OR184" s="128">
        <v>0</v>
      </c>
      <c r="OS184" s="128">
        <v>0</v>
      </c>
      <c r="OT184" s="128">
        <v>0</v>
      </c>
      <c r="OX184" s="128">
        <v>205000</v>
      </c>
      <c r="OY184" s="128">
        <v>0</v>
      </c>
      <c r="OZ184" s="128">
        <v>0</v>
      </c>
      <c r="PD184" s="128">
        <v>200000</v>
      </c>
      <c r="PE184" s="128">
        <v>0</v>
      </c>
      <c r="PF184" s="128">
        <v>0</v>
      </c>
      <c r="PJ184" s="128">
        <v>30000</v>
      </c>
      <c r="PK184" s="128">
        <v>0</v>
      </c>
      <c r="PL184" s="128">
        <v>0</v>
      </c>
      <c r="PP184" s="128">
        <v>10223014</v>
      </c>
      <c r="PQ184" s="128">
        <v>7604514</v>
      </c>
      <c r="PR184" s="128">
        <v>7604514</v>
      </c>
      <c r="PS184" s="128">
        <v>100</v>
      </c>
      <c r="PT184" s="128">
        <v>100</v>
      </c>
      <c r="PV184" s="128">
        <v>6057757</v>
      </c>
      <c r="PX184" s="128">
        <v>3851513</v>
      </c>
      <c r="PY184" s="128">
        <v>5320660</v>
      </c>
      <c r="PZ184" s="128">
        <v>7604514</v>
      </c>
      <c r="QA184" s="128">
        <v>0</v>
      </c>
      <c r="QB184" s="128">
        <v>0</v>
      </c>
      <c r="QC184" s="128">
        <v>0</v>
      </c>
      <c r="QD184" s="128">
        <v>0</v>
      </c>
      <c r="QE184" s="128">
        <v>0</v>
      </c>
      <c r="QF184" s="128">
        <v>0</v>
      </c>
      <c r="QG184" s="128">
        <v>0</v>
      </c>
      <c r="QH184" s="128">
        <v>0</v>
      </c>
      <c r="QI184" s="128">
        <v>0</v>
      </c>
      <c r="QJ184" s="128">
        <v>1770213</v>
      </c>
      <c r="QK184" s="128">
        <v>1870000</v>
      </c>
      <c r="QL184" s="128">
        <v>1770000</v>
      </c>
      <c r="QN184" s="128">
        <v>0</v>
      </c>
      <c r="QO184" s="128">
        <v>0</v>
      </c>
      <c r="QP184" s="128">
        <v>0</v>
      </c>
      <c r="QU184" s="128">
        <v>829100</v>
      </c>
      <c r="QV184" s="128">
        <v>0</v>
      </c>
      <c r="QW184" s="128">
        <v>0</v>
      </c>
      <c r="QX184" s="128">
        <v>939500</v>
      </c>
      <c r="QY184" s="128">
        <v>912500</v>
      </c>
      <c r="QZ184" s="128">
        <v>848500</v>
      </c>
      <c r="RD184" s="128">
        <v>103794</v>
      </c>
      <c r="RE184" s="128">
        <v>0</v>
      </c>
      <c r="RF184" s="128">
        <v>0</v>
      </c>
      <c r="RH184" s="128">
        <f t="shared" si="310"/>
        <v>8453014</v>
      </c>
      <c r="RI184" s="128">
        <v>0</v>
      </c>
      <c r="RM184" s="128" t="s">
        <v>220</v>
      </c>
      <c r="RU184" s="130"/>
      <c r="RV184" s="130"/>
      <c r="RW184" s="130"/>
      <c r="RX184" s="130"/>
      <c r="SF184" s="128">
        <f t="shared" si="220"/>
        <v>9554713</v>
      </c>
      <c r="SG184" s="131">
        <f t="shared" si="221"/>
        <v>10223014</v>
      </c>
      <c r="SH184" s="131">
        <f t="shared" si="222"/>
        <v>10223014</v>
      </c>
      <c r="SI184" s="131">
        <f t="shared" si="223"/>
        <v>8659134</v>
      </c>
      <c r="SJ184" s="132">
        <f t="shared" si="224"/>
        <v>8413034</v>
      </c>
      <c r="SK184" s="132">
        <f t="shared" si="225"/>
        <v>0</v>
      </c>
      <c r="SL184" s="132">
        <f t="shared" si="226"/>
        <v>217600</v>
      </c>
      <c r="SM184" s="132">
        <f t="shared" si="227"/>
        <v>28500</v>
      </c>
      <c r="SN184" s="131">
        <f t="shared" si="228"/>
        <v>1563880</v>
      </c>
      <c r="SO184" s="131">
        <f t="shared" si="229"/>
        <v>60000</v>
      </c>
      <c r="SP184" s="132">
        <f t="shared" si="230"/>
        <v>0</v>
      </c>
      <c r="SQ184" s="132">
        <f t="shared" si="231"/>
        <v>60000</v>
      </c>
      <c r="SR184" s="132">
        <f t="shared" si="232"/>
        <v>0</v>
      </c>
      <c r="SS184" s="132">
        <f t="shared" si="233"/>
        <v>48400</v>
      </c>
      <c r="ST184" s="132">
        <f t="shared" si="234"/>
        <v>320000</v>
      </c>
      <c r="SU184" s="132">
        <f t="shared" si="235"/>
        <v>90200</v>
      </c>
      <c r="SV184" s="131">
        <f t="shared" si="236"/>
        <v>815280</v>
      </c>
      <c r="SW184" s="132">
        <f t="shared" si="237"/>
        <v>121730</v>
      </c>
      <c r="SX184" s="132">
        <f t="shared" si="238"/>
        <v>37250</v>
      </c>
      <c r="SY184" s="132">
        <f t="shared" si="239"/>
        <v>122900</v>
      </c>
      <c r="SZ184" s="132">
        <f t="shared" si="240"/>
        <v>123400</v>
      </c>
      <c r="TA184" s="132">
        <f t="shared" si="241"/>
        <v>40000</v>
      </c>
      <c r="TB184" s="132">
        <f t="shared" si="242"/>
        <v>50000</v>
      </c>
      <c r="TC184" s="132">
        <f t="shared" si="243"/>
        <v>115000</v>
      </c>
      <c r="TD184" s="132">
        <f t="shared" si="244"/>
        <v>0</v>
      </c>
      <c r="TE184" s="132">
        <f t="shared" si="245"/>
        <v>0</v>
      </c>
      <c r="TF184" s="132">
        <f t="shared" si="246"/>
        <v>205000</v>
      </c>
      <c r="TG184" s="132">
        <f t="shared" si="247"/>
        <v>200000</v>
      </c>
      <c r="TH184" s="132">
        <f t="shared" si="248"/>
        <v>30000</v>
      </c>
      <c r="TI184" s="1"/>
      <c r="TJ184" s="131">
        <f t="shared" si="249"/>
        <v>7604514</v>
      </c>
      <c r="TK184" s="131">
        <f t="shared" si="250"/>
        <v>7604514</v>
      </c>
      <c r="TL184" s="131">
        <f t="shared" si="251"/>
        <v>7604514</v>
      </c>
      <c r="TM184" s="132">
        <f t="shared" si="252"/>
        <v>7584514</v>
      </c>
      <c r="TN184" s="132">
        <f t="shared" si="253"/>
        <v>0</v>
      </c>
      <c r="TO184" s="132">
        <f t="shared" si="254"/>
        <v>0</v>
      </c>
      <c r="TP184" s="132">
        <f t="shared" si="255"/>
        <v>20000</v>
      </c>
      <c r="TQ184" s="131">
        <f t="shared" si="256"/>
        <v>0</v>
      </c>
      <c r="TR184" s="131">
        <f t="shared" si="257"/>
        <v>0</v>
      </c>
      <c r="TS184" s="132">
        <f t="shared" si="258"/>
        <v>0</v>
      </c>
      <c r="TT184" s="132">
        <f t="shared" si="259"/>
        <v>0</v>
      </c>
      <c r="TU184" s="132">
        <f t="shared" si="260"/>
        <v>0</v>
      </c>
      <c r="TV184" s="132">
        <f t="shared" si="261"/>
        <v>0</v>
      </c>
      <c r="TW184" s="132">
        <f t="shared" si="262"/>
        <v>0</v>
      </c>
      <c r="TX184" s="132">
        <f t="shared" si="263"/>
        <v>0</v>
      </c>
      <c r="TY184" s="131">
        <f t="shared" si="264"/>
        <v>0</v>
      </c>
      <c r="TZ184" s="132">
        <f t="shared" si="265"/>
        <v>0</v>
      </c>
      <c r="UA184" s="132">
        <f t="shared" si="266"/>
        <v>0</v>
      </c>
      <c r="UB184" s="132">
        <f t="shared" si="267"/>
        <v>0</v>
      </c>
      <c r="UC184" s="132">
        <f t="shared" si="268"/>
        <v>0</v>
      </c>
      <c r="UD184" s="132">
        <f t="shared" si="269"/>
        <v>0</v>
      </c>
      <c r="UE184" s="132">
        <f t="shared" si="270"/>
        <v>0</v>
      </c>
      <c r="UF184" s="132">
        <f t="shared" si="271"/>
        <v>0</v>
      </c>
      <c r="UG184" s="132">
        <f t="shared" si="272"/>
        <v>0</v>
      </c>
      <c r="UH184" s="132">
        <f t="shared" si="273"/>
        <v>0</v>
      </c>
      <c r="UI184" s="132">
        <f t="shared" si="274"/>
        <v>0</v>
      </c>
      <c r="UJ184" s="132">
        <f t="shared" si="275"/>
        <v>0</v>
      </c>
      <c r="UK184" s="132">
        <f t="shared" si="276"/>
        <v>0</v>
      </c>
      <c r="UL184" s="132">
        <f t="shared" si="311"/>
        <v>7604514</v>
      </c>
      <c r="UM184" s="131">
        <f t="shared" si="277"/>
        <v>7604514</v>
      </c>
      <c r="UN184" s="131">
        <f t="shared" si="278"/>
        <v>7604514</v>
      </c>
      <c r="UO184" s="131">
        <f t="shared" si="279"/>
        <v>7604514</v>
      </c>
      <c r="UP184" s="132">
        <f t="shared" si="280"/>
        <v>7584514</v>
      </c>
      <c r="UQ184" s="132">
        <f t="shared" si="281"/>
        <v>0</v>
      </c>
      <c r="UR184" s="132">
        <f t="shared" si="282"/>
        <v>0</v>
      </c>
      <c r="US184" s="132">
        <f t="shared" si="283"/>
        <v>20000</v>
      </c>
      <c r="UT184" s="131">
        <f t="shared" si="284"/>
        <v>0</v>
      </c>
      <c r="UU184" s="131">
        <f t="shared" si="285"/>
        <v>0</v>
      </c>
      <c r="UV184" s="132">
        <f t="shared" si="286"/>
        <v>0</v>
      </c>
      <c r="UW184" s="132">
        <f t="shared" si="287"/>
        <v>0</v>
      </c>
      <c r="UX184" s="132">
        <f t="shared" si="288"/>
        <v>0</v>
      </c>
      <c r="UY184" s="132">
        <f t="shared" si="289"/>
        <v>0</v>
      </c>
      <c r="UZ184" s="132">
        <f t="shared" si="290"/>
        <v>0</v>
      </c>
      <c r="VA184" s="132">
        <f t="shared" si="291"/>
        <v>0</v>
      </c>
      <c r="VB184" s="131">
        <f t="shared" si="292"/>
        <v>0</v>
      </c>
      <c r="VC184" s="132">
        <f t="shared" si="293"/>
        <v>0</v>
      </c>
      <c r="VD184" s="132">
        <f t="shared" si="294"/>
        <v>0</v>
      </c>
      <c r="VE184" s="132">
        <f t="shared" si="295"/>
        <v>0</v>
      </c>
      <c r="VF184" s="132">
        <f t="shared" si="296"/>
        <v>0</v>
      </c>
      <c r="VG184" s="132">
        <f t="shared" si="297"/>
        <v>0</v>
      </c>
      <c r="VH184" s="132">
        <f t="shared" si="298"/>
        <v>0</v>
      </c>
      <c r="VI184" s="132">
        <f t="shared" si="299"/>
        <v>0</v>
      </c>
      <c r="VJ184" s="132">
        <f t="shared" si="300"/>
        <v>0</v>
      </c>
      <c r="VK184" s="132">
        <f t="shared" si="301"/>
        <v>0</v>
      </c>
      <c r="VL184" s="132">
        <f t="shared" si="302"/>
        <v>0</v>
      </c>
      <c r="VM184" s="132">
        <f t="shared" si="303"/>
        <v>0</v>
      </c>
      <c r="VN184" s="132">
        <f t="shared" si="304"/>
        <v>0</v>
      </c>
      <c r="VP184" s="845" t="str">
        <f>IFERROR(HLOOKUP(F184,'Hodnocení '!$C$1:$JH$5,2,FALSE),0)</f>
        <v>Charitní pečovatelská služba</v>
      </c>
      <c r="VQ184" s="838"/>
      <c r="VR184" s="845" t="str">
        <f t="shared" si="312"/>
        <v>Církve a náboženské společnosti</v>
      </c>
      <c r="VS184" s="845" t="str">
        <f>IFERROR(HLOOKUP(F184,'Hodnocení '!$C$1:$JH$5,5,FALSE),0)</f>
        <v>NZO</v>
      </c>
      <c r="VT184" s="838">
        <f t="shared" si="313"/>
        <v>0</v>
      </c>
      <c r="VU184" s="838">
        <f t="shared" si="314"/>
        <v>0</v>
      </c>
      <c r="VV184" s="838">
        <f t="shared" si="315"/>
        <v>1770000</v>
      </c>
      <c r="VW184" s="838">
        <f t="shared" si="316"/>
        <v>0</v>
      </c>
      <c r="VX184" s="838"/>
      <c r="VY184" s="838">
        <f t="shared" si="317"/>
        <v>0</v>
      </c>
      <c r="VZ184" s="838">
        <f t="shared" si="318"/>
        <v>7604514</v>
      </c>
      <c r="WA184" s="846">
        <f>IFERROR(HLOOKUP($F184,'Hodnocení '!$C$1:$JH$9,9,FALSE),0)</f>
        <v>7604514</v>
      </c>
      <c r="WB184" s="846">
        <f>IF(IFERROR(HLOOKUP($F184,'Hodnocení '!$C$1:$JH$13,13,FALSE),0)&gt;WA184,WA184,IFERROR(HLOOKUP($F184,'Hodnocení '!$C$1:$JH$13,13,FALSE),0))</f>
        <v>6951836.4399863137</v>
      </c>
      <c r="WC184" s="846">
        <f>IFERROR(HLOOKUP($F184,'Hodnocení '!$C$1:$JH$155,155,FALSE),0)</f>
        <v>6012340</v>
      </c>
      <c r="WD184" s="845"/>
      <c r="WE184" s="845"/>
      <c r="WF184" s="845" t="str">
        <f t="shared" si="305"/>
        <v>ANO</v>
      </c>
      <c r="WG184" s="849" t="str">
        <f t="shared" si="320"/>
        <v>Podpora služby je vyjádřena zařazením do sítě sociálních služeb v KHK a řešením financování služby</v>
      </c>
      <c r="WH184"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84" s="849" t="str">
        <f t="shared" si="320"/>
        <v>Návrh dotace je výsledkem projednání s ostatními zadavateli v rámci sítě služeb KHK</v>
      </c>
      <c r="WJ184" s="849" t="str">
        <f t="shared" si="320"/>
        <v>Bez komentáře</v>
      </c>
      <c r="WK184" s="31">
        <f t="shared" si="306"/>
        <v>0</v>
      </c>
      <c r="WL184" s="850">
        <f t="shared" si="307"/>
        <v>0</v>
      </c>
      <c r="WM184" s="849" t="str">
        <f t="shared" si="308"/>
        <v>V rámci sítě KHK se dlouhodobě řeší otázka navyšování úhrad a průběžně se monitoruje s vazbou na vykrytí vyrovnávací platby</v>
      </c>
      <c r="WN184" s="849">
        <f t="shared" si="309"/>
        <v>0</v>
      </c>
      <c r="WO184" s="849" t="str">
        <f t="shared" si="319"/>
        <v>bez komentáře</v>
      </c>
      <c r="WP184" s="849" t="str">
        <f t="shared" si="319"/>
        <v>bez komentáře</v>
      </c>
      <c r="WQ184" s="849" t="str">
        <f t="shared" si="319"/>
        <v>Konečná výše dotace z rozpočtu KHK bude řešena v návaznosti na řešení podílů jednotlivých zadavatelů.</v>
      </c>
      <c r="WR184" s="849" t="str">
        <f t="shared" si="319"/>
        <v>Konečná výše podpory ze stran obcí bude řešena v součinnosti s jednotlivými zadavateli v průběhu roku.</v>
      </c>
      <c r="WS184" s="849" t="str">
        <f t="shared" si="319"/>
        <v>bez komentáře</v>
      </c>
      <c r="WT184" s="849" t="str">
        <f t="shared" si="319"/>
        <v>bez komentáře</v>
      </c>
      <c r="WU184" s="845"/>
    </row>
    <row r="185" spans="1:619" s="128" customFormat="1" x14ac:dyDescent="0.25">
      <c r="A185" s="128" t="str">
        <f>VLOOKUP(F185,'Výpočet VP 2020'!$D$324:$I$588,6,FALSE)</f>
        <v>Je v síti</v>
      </c>
      <c r="B185" s="128" t="s">
        <v>812</v>
      </c>
      <c r="C185" s="128">
        <v>46524282</v>
      </c>
      <c r="D185" s="128" t="s">
        <v>813</v>
      </c>
      <c r="E185" s="128" t="s">
        <v>360</v>
      </c>
      <c r="F185" s="128">
        <v>6161785</v>
      </c>
      <c r="G185" s="128" t="s">
        <v>328</v>
      </c>
      <c r="H185" s="128" t="s">
        <v>218</v>
      </c>
      <c r="I185" s="128" t="s">
        <v>792</v>
      </c>
      <c r="J185" s="129">
        <v>33756</v>
      </c>
      <c r="L185" s="128" t="s">
        <v>220</v>
      </c>
      <c r="AP185" s="128" t="s">
        <v>628</v>
      </c>
      <c r="AQ185" s="128">
        <v>5</v>
      </c>
      <c r="AR185" s="128">
        <v>25</v>
      </c>
      <c r="AS185" s="128">
        <v>55</v>
      </c>
      <c r="AT185" s="128">
        <v>85</v>
      </c>
      <c r="AU185" s="128">
        <v>86</v>
      </c>
      <c r="BJ185" s="128">
        <v>4200</v>
      </c>
      <c r="BL185" s="128" t="s">
        <v>752</v>
      </c>
      <c r="BM185" s="128" t="s">
        <v>325</v>
      </c>
      <c r="BN185" s="128" t="s">
        <v>326</v>
      </c>
      <c r="BO185" s="128">
        <v>0</v>
      </c>
      <c r="BP185" s="128">
        <v>0</v>
      </c>
      <c r="BQ185" s="128">
        <v>0</v>
      </c>
      <c r="BR185" s="128">
        <v>0</v>
      </c>
      <c r="BS185" s="128">
        <v>0</v>
      </c>
      <c r="BT185" s="128">
        <v>1</v>
      </c>
      <c r="BU185" s="128">
        <v>29</v>
      </c>
      <c r="BV185" s="128">
        <v>18</v>
      </c>
      <c r="BW185" s="128">
        <v>5</v>
      </c>
      <c r="BX185" s="128">
        <v>28</v>
      </c>
      <c r="BY185" s="128">
        <v>1</v>
      </c>
      <c r="BZ185" s="128">
        <v>29</v>
      </c>
      <c r="CA185" s="128">
        <v>18</v>
      </c>
      <c r="CB185" s="128">
        <v>5</v>
      </c>
      <c r="CC185" s="128">
        <v>28</v>
      </c>
      <c r="CD185" s="128">
        <v>0</v>
      </c>
      <c r="CE185" s="128">
        <v>81</v>
      </c>
      <c r="CF185" s="128">
        <v>81</v>
      </c>
      <c r="CG185" s="128">
        <v>0</v>
      </c>
      <c r="CH185" s="128">
        <v>0</v>
      </c>
      <c r="CI185" s="128">
        <v>0</v>
      </c>
      <c r="CJ185" s="128">
        <v>0</v>
      </c>
      <c r="CK185" s="128">
        <v>0</v>
      </c>
      <c r="CL185" s="128">
        <v>0</v>
      </c>
      <c r="CM185" s="128">
        <v>3</v>
      </c>
      <c r="CN185" s="128">
        <v>32</v>
      </c>
      <c r="CO185" s="128">
        <v>20</v>
      </c>
      <c r="CP185" s="128">
        <v>7</v>
      </c>
      <c r="CQ185" s="128">
        <v>24</v>
      </c>
      <c r="CR185" s="128">
        <v>3</v>
      </c>
      <c r="CS185" s="128">
        <v>32</v>
      </c>
      <c r="CT185" s="128">
        <v>20</v>
      </c>
      <c r="CU185" s="128">
        <v>7</v>
      </c>
      <c r="CV185" s="128">
        <v>24</v>
      </c>
      <c r="CW185" s="128">
        <v>0</v>
      </c>
      <c r="CX185" s="128">
        <v>86</v>
      </c>
      <c r="CY185" s="128">
        <v>86</v>
      </c>
      <c r="CZ185" s="128">
        <v>0</v>
      </c>
      <c r="EK185" s="128">
        <v>2</v>
      </c>
      <c r="EL185" s="128">
        <v>0.5</v>
      </c>
      <c r="EM185" s="128">
        <v>0.3</v>
      </c>
      <c r="EN185" s="128">
        <v>278184</v>
      </c>
      <c r="EO185" s="128">
        <v>254184</v>
      </c>
      <c r="EP185" s="128">
        <v>6</v>
      </c>
      <c r="EQ185" s="128">
        <v>5</v>
      </c>
      <c r="ER185" s="128">
        <v>4.04</v>
      </c>
      <c r="ES185" s="128">
        <v>2071910</v>
      </c>
      <c r="ET185" s="128">
        <v>2026910</v>
      </c>
      <c r="FO185" s="128">
        <v>2</v>
      </c>
      <c r="FP185" s="128">
        <v>0.1</v>
      </c>
      <c r="FQ185" s="128">
        <v>0.1</v>
      </c>
      <c r="FR185" s="128">
        <v>43416</v>
      </c>
      <c r="FS185" s="128">
        <v>0</v>
      </c>
      <c r="IS185" s="128">
        <v>2</v>
      </c>
      <c r="IT185" s="128">
        <v>60</v>
      </c>
      <c r="IU185" s="128">
        <v>2.9000000000000001E-2</v>
      </c>
      <c r="IV185" s="128">
        <v>16800</v>
      </c>
      <c r="IW185" s="128">
        <v>0</v>
      </c>
      <c r="KG185" s="128">
        <v>2</v>
      </c>
      <c r="KH185" s="128">
        <v>58</v>
      </c>
      <c r="KI185" s="128">
        <v>5.5</v>
      </c>
      <c r="KJ185" s="128">
        <v>0</v>
      </c>
      <c r="KK185" s="128">
        <v>0</v>
      </c>
      <c r="KL185" s="128">
        <v>0</v>
      </c>
      <c r="KM185" s="128">
        <v>5.5</v>
      </c>
      <c r="KN185" s="128">
        <v>2393510</v>
      </c>
      <c r="KO185" s="128">
        <v>2281094</v>
      </c>
      <c r="KP185" s="128">
        <v>2281094</v>
      </c>
      <c r="KT185" s="128">
        <v>0</v>
      </c>
      <c r="KU185" s="128">
        <v>0</v>
      </c>
      <c r="KV185" s="128">
        <v>0</v>
      </c>
      <c r="KZ185" s="128">
        <v>16800</v>
      </c>
      <c r="LA185" s="128">
        <v>0</v>
      </c>
      <c r="LB185" s="128">
        <v>0</v>
      </c>
      <c r="LF185" s="128">
        <v>106299</v>
      </c>
      <c r="LG185" s="128">
        <v>0</v>
      </c>
      <c r="LH185" s="128">
        <v>0</v>
      </c>
      <c r="LL185" s="128">
        <v>0</v>
      </c>
      <c r="LM185" s="128">
        <v>0</v>
      </c>
      <c r="LN185" s="128">
        <v>0</v>
      </c>
      <c r="LR185" s="128">
        <v>38000</v>
      </c>
      <c r="LS185" s="128">
        <v>0</v>
      </c>
      <c r="LT185" s="128">
        <v>0</v>
      </c>
      <c r="LX185" s="128">
        <v>0</v>
      </c>
      <c r="LY185" s="128">
        <v>0</v>
      </c>
      <c r="LZ185" s="128">
        <v>0</v>
      </c>
      <c r="MD185" s="128">
        <v>10000</v>
      </c>
      <c r="ME185" s="128">
        <v>0</v>
      </c>
      <c r="MF185" s="128">
        <v>0</v>
      </c>
      <c r="MJ185" s="128">
        <v>80000</v>
      </c>
      <c r="MK185" s="128">
        <v>45000</v>
      </c>
      <c r="ML185" s="128">
        <v>45000</v>
      </c>
      <c r="MP185" s="128">
        <v>25000</v>
      </c>
      <c r="MQ185" s="128">
        <v>0</v>
      </c>
      <c r="MR185" s="128">
        <v>0</v>
      </c>
      <c r="MV185" s="128">
        <v>15000</v>
      </c>
      <c r="MW185" s="128">
        <v>0</v>
      </c>
      <c r="MX185" s="128">
        <v>0</v>
      </c>
      <c r="NB185" s="128">
        <v>20000</v>
      </c>
      <c r="NC185" s="128">
        <v>5000</v>
      </c>
      <c r="ND185" s="128">
        <v>5000</v>
      </c>
      <c r="NH185" s="128">
        <v>30000</v>
      </c>
      <c r="NI185" s="128">
        <v>0</v>
      </c>
      <c r="NJ185" s="128">
        <v>0</v>
      </c>
      <c r="NN185" s="128">
        <v>8000</v>
      </c>
      <c r="NO185" s="128">
        <v>0</v>
      </c>
      <c r="NP185" s="128">
        <v>0</v>
      </c>
      <c r="NT185" s="128">
        <v>15000</v>
      </c>
      <c r="NU185" s="128">
        <v>0</v>
      </c>
      <c r="NV185" s="128">
        <v>0</v>
      </c>
      <c r="NZ185" s="128">
        <v>35000</v>
      </c>
      <c r="OA185" s="128">
        <v>0</v>
      </c>
      <c r="OB185" s="128">
        <v>0</v>
      </c>
      <c r="OF185" s="128">
        <v>0</v>
      </c>
      <c r="OG185" s="128">
        <v>0</v>
      </c>
      <c r="OH185" s="128">
        <v>0</v>
      </c>
      <c r="OL185" s="128">
        <v>0</v>
      </c>
      <c r="OM185" s="128">
        <v>0</v>
      </c>
      <c r="ON185" s="128">
        <v>0</v>
      </c>
      <c r="OR185" s="128">
        <v>0</v>
      </c>
      <c r="OS185" s="128">
        <v>0</v>
      </c>
      <c r="OT185" s="128">
        <v>0</v>
      </c>
      <c r="OX185" s="128">
        <v>32000</v>
      </c>
      <c r="OY185" s="128">
        <v>0</v>
      </c>
      <c r="OZ185" s="128">
        <v>0</v>
      </c>
      <c r="PD185" s="128">
        <v>158208</v>
      </c>
      <c r="PE185" s="128">
        <v>0</v>
      </c>
      <c r="PF185" s="128">
        <v>0</v>
      </c>
      <c r="PJ185" s="128">
        <v>35000</v>
      </c>
      <c r="PK185" s="128">
        <v>0</v>
      </c>
      <c r="PL185" s="128">
        <v>0</v>
      </c>
      <c r="PP185" s="128">
        <v>3017817</v>
      </c>
      <c r="PQ185" s="128">
        <v>2331094</v>
      </c>
      <c r="PR185" s="128">
        <v>2331094</v>
      </c>
      <c r="PS185" s="128">
        <v>100</v>
      </c>
      <c r="PT185" s="128">
        <v>100</v>
      </c>
      <c r="PV185" s="128">
        <v>1947594</v>
      </c>
      <c r="PX185" s="128">
        <v>0</v>
      </c>
      <c r="PY185" s="128">
        <v>1492330</v>
      </c>
      <c r="PZ185" s="128">
        <v>2331094</v>
      </c>
      <c r="QA185" s="128">
        <v>0</v>
      </c>
      <c r="QB185" s="128">
        <v>0</v>
      </c>
      <c r="QC185" s="128">
        <v>0</v>
      </c>
      <c r="QD185" s="128">
        <v>0</v>
      </c>
      <c r="QE185" s="128">
        <v>0</v>
      </c>
      <c r="QF185" s="128">
        <v>0</v>
      </c>
      <c r="QG185" s="128">
        <v>0</v>
      </c>
      <c r="QH185" s="128">
        <v>0</v>
      </c>
      <c r="QI185" s="128">
        <v>0</v>
      </c>
      <c r="QJ185" s="128">
        <v>201425</v>
      </c>
      <c r="QK185" s="128">
        <v>555000</v>
      </c>
      <c r="QL185" s="128">
        <v>600000</v>
      </c>
      <c r="QN185" s="128">
        <v>0</v>
      </c>
      <c r="QO185" s="128">
        <v>0</v>
      </c>
      <c r="QP185" s="128">
        <v>0</v>
      </c>
      <c r="QU185" s="128">
        <v>0</v>
      </c>
      <c r="QV185" s="128">
        <v>124470</v>
      </c>
      <c r="QW185" s="128">
        <v>0</v>
      </c>
      <c r="QX185" s="128">
        <v>50000</v>
      </c>
      <c r="QY185" s="128">
        <v>50000</v>
      </c>
      <c r="QZ185" s="128">
        <v>50000</v>
      </c>
      <c r="RD185" s="128">
        <v>245153</v>
      </c>
      <c r="RE185" s="128">
        <v>20000</v>
      </c>
      <c r="RF185" s="128">
        <v>36723</v>
      </c>
      <c r="RH185" s="128">
        <f t="shared" si="310"/>
        <v>2417817</v>
      </c>
      <c r="RI185" s="128">
        <v>0</v>
      </c>
      <c r="RM185" s="128" t="s">
        <v>220</v>
      </c>
      <c r="RU185" s="130"/>
      <c r="RV185" s="130"/>
      <c r="RW185" s="130"/>
      <c r="RX185" s="130"/>
      <c r="SF185" s="128">
        <f t="shared" si="220"/>
        <v>6161785</v>
      </c>
      <c r="SG185" s="131">
        <f t="shared" si="221"/>
        <v>3017817</v>
      </c>
      <c r="SH185" s="131">
        <f t="shared" si="222"/>
        <v>3017817</v>
      </c>
      <c r="SI185" s="131">
        <f t="shared" si="223"/>
        <v>2516609</v>
      </c>
      <c r="SJ185" s="132">
        <f t="shared" si="224"/>
        <v>2393510</v>
      </c>
      <c r="SK185" s="132">
        <f t="shared" si="225"/>
        <v>0</v>
      </c>
      <c r="SL185" s="132">
        <f t="shared" si="226"/>
        <v>16800</v>
      </c>
      <c r="SM185" s="132">
        <f t="shared" si="227"/>
        <v>106299</v>
      </c>
      <c r="SN185" s="131">
        <f t="shared" si="228"/>
        <v>501208</v>
      </c>
      <c r="SO185" s="131">
        <f t="shared" si="229"/>
        <v>38000</v>
      </c>
      <c r="SP185" s="132">
        <f t="shared" si="230"/>
        <v>0</v>
      </c>
      <c r="SQ185" s="132">
        <f t="shared" si="231"/>
        <v>38000</v>
      </c>
      <c r="SR185" s="132">
        <f t="shared" si="232"/>
        <v>0</v>
      </c>
      <c r="SS185" s="132">
        <f t="shared" si="233"/>
        <v>10000</v>
      </c>
      <c r="ST185" s="132">
        <f t="shared" si="234"/>
        <v>80000</v>
      </c>
      <c r="SU185" s="132">
        <f t="shared" si="235"/>
        <v>25000</v>
      </c>
      <c r="SV185" s="131">
        <f t="shared" si="236"/>
        <v>155000</v>
      </c>
      <c r="SW185" s="132">
        <f t="shared" si="237"/>
        <v>15000</v>
      </c>
      <c r="SX185" s="132">
        <f t="shared" si="238"/>
        <v>20000</v>
      </c>
      <c r="SY185" s="132">
        <f t="shared" si="239"/>
        <v>30000</v>
      </c>
      <c r="SZ185" s="132">
        <f t="shared" si="240"/>
        <v>8000</v>
      </c>
      <c r="TA185" s="132">
        <f t="shared" si="241"/>
        <v>15000</v>
      </c>
      <c r="TB185" s="132">
        <f t="shared" si="242"/>
        <v>35000</v>
      </c>
      <c r="TC185" s="132">
        <f t="shared" si="243"/>
        <v>0</v>
      </c>
      <c r="TD185" s="132">
        <f t="shared" si="244"/>
        <v>0</v>
      </c>
      <c r="TE185" s="132">
        <f t="shared" si="245"/>
        <v>0</v>
      </c>
      <c r="TF185" s="132">
        <f t="shared" si="246"/>
        <v>32000</v>
      </c>
      <c r="TG185" s="132">
        <f t="shared" si="247"/>
        <v>158208</v>
      </c>
      <c r="TH185" s="132">
        <f t="shared" si="248"/>
        <v>35000</v>
      </c>
      <c r="TI185" s="1"/>
      <c r="TJ185" s="131">
        <f t="shared" si="249"/>
        <v>2331094</v>
      </c>
      <c r="TK185" s="131">
        <f t="shared" si="250"/>
        <v>2331094</v>
      </c>
      <c r="TL185" s="131">
        <f t="shared" si="251"/>
        <v>2281094</v>
      </c>
      <c r="TM185" s="132">
        <f t="shared" si="252"/>
        <v>2281094</v>
      </c>
      <c r="TN185" s="132">
        <f t="shared" si="253"/>
        <v>0</v>
      </c>
      <c r="TO185" s="132">
        <f t="shared" si="254"/>
        <v>0</v>
      </c>
      <c r="TP185" s="132">
        <f t="shared" si="255"/>
        <v>0</v>
      </c>
      <c r="TQ185" s="131">
        <f t="shared" si="256"/>
        <v>50000</v>
      </c>
      <c r="TR185" s="131">
        <f t="shared" si="257"/>
        <v>0</v>
      </c>
      <c r="TS185" s="132">
        <f t="shared" si="258"/>
        <v>0</v>
      </c>
      <c r="TT185" s="132">
        <f t="shared" si="259"/>
        <v>0</v>
      </c>
      <c r="TU185" s="132">
        <f t="shared" si="260"/>
        <v>0</v>
      </c>
      <c r="TV185" s="132">
        <f t="shared" si="261"/>
        <v>0</v>
      </c>
      <c r="TW185" s="132">
        <f t="shared" si="262"/>
        <v>45000</v>
      </c>
      <c r="TX185" s="132">
        <f t="shared" si="263"/>
        <v>0</v>
      </c>
      <c r="TY185" s="131">
        <f t="shared" si="264"/>
        <v>5000</v>
      </c>
      <c r="TZ185" s="132">
        <f t="shared" si="265"/>
        <v>0</v>
      </c>
      <c r="UA185" s="132">
        <f t="shared" si="266"/>
        <v>5000</v>
      </c>
      <c r="UB185" s="132">
        <f t="shared" si="267"/>
        <v>0</v>
      </c>
      <c r="UC185" s="132">
        <f t="shared" si="268"/>
        <v>0</v>
      </c>
      <c r="UD185" s="132">
        <f t="shared" si="269"/>
        <v>0</v>
      </c>
      <c r="UE185" s="132">
        <f t="shared" si="270"/>
        <v>0</v>
      </c>
      <c r="UF185" s="132">
        <f t="shared" si="271"/>
        <v>0</v>
      </c>
      <c r="UG185" s="132">
        <f t="shared" si="272"/>
        <v>0</v>
      </c>
      <c r="UH185" s="132">
        <f t="shared" si="273"/>
        <v>0</v>
      </c>
      <c r="UI185" s="132">
        <f t="shared" si="274"/>
        <v>0</v>
      </c>
      <c r="UJ185" s="132">
        <f t="shared" si="275"/>
        <v>0</v>
      </c>
      <c r="UK185" s="132">
        <f t="shared" si="276"/>
        <v>0</v>
      </c>
      <c r="UL185" s="132">
        <f t="shared" si="311"/>
        <v>2331094</v>
      </c>
      <c r="UM185" s="131">
        <f t="shared" si="277"/>
        <v>2331094</v>
      </c>
      <c r="UN185" s="131">
        <f t="shared" si="278"/>
        <v>2331094</v>
      </c>
      <c r="UO185" s="131">
        <f t="shared" si="279"/>
        <v>2281094</v>
      </c>
      <c r="UP185" s="132">
        <f t="shared" si="280"/>
        <v>2281094</v>
      </c>
      <c r="UQ185" s="132">
        <f t="shared" si="281"/>
        <v>0</v>
      </c>
      <c r="UR185" s="132">
        <f t="shared" si="282"/>
        <v>0</v>
      </c>
      <c r="US185" s="132">
        <f t="shared" si="283"/>
        <v>0</v>
      </c>
      <c r="UT185" s="131">
        <f t="shared" si="284"/>
        <v>50000</v>
      </c>
      <c r="UU185" s="131">
        <f t="shared" si="285"/>
        <v>0</v>
      </c>
      <c r="UV185" s="132">
        <f t="shared" si="286"/>
        <v>0</v>
      </c>
      <c r="UW185" s="132">
        <f t="shared" si="287"/>
        <v>0</v>
      </c>
      <c r="UX185" s="132">
        <f t="shared" si="288"/>
        <v>0</v>
      </c>
      <c r="UY185" s="132">
        <f t="shared" si="289"/>
        <v>0</v>
      </c>
      <c r="UZ185" s="132">
        <f t="shared" si="290"/>
        <v>45000</v>
      </c>
      <c r="VA185" s="132">
        <f t="shared" si="291"/>
        <v>0</v>
      </c>
      <c r="VB185" s="131">
        <f t="shared" si="292"/>
        <v>5000</v>
      </c>
      <c r="VC185" s="132">
        <f t="shared" si="293"/>
        <v>0</v>
      </c>
      <c r="VD185" s="132">
        <f t="shared" si="294"/>
        <v>5000</v>
      </c>
      <c r="VE185" s="132">
        <f t="shared" si="295"/>
        <v>0</v>
      </c>
      <c r="VF185" s="132">
        <f t="shared" si="296"/>
        <v>0</v>
      </c>
      <c r="VG185" s="132">
        <f t="shared" si="297"/>
        <v>0</v>
      </c>
      <c r="VH185" s="132">
        <f t="shared" si="298"/>
        <v>0</v>
      </c>
      <c r="VI185" s="132">
        <f t="shared" si="299"/>
        <v>0</v>
      </c>
      <c r="VJ185" s="132">
        <f t="shared" si="300"/>
        <v>0</v>
      </c>
      <c r="VK185" s="132">
        <f t="shared" si="301"/>
        <v>0</v>
      </c>
      <c r="VL185" s="132">
        <f t="shared" si="302"/>
        <v>0</v>
      </c>
      <c r="VM185" s="132">
        <f t="shared" si="303"/>
        <v>0</v>
      </c>
      <c r="VN185" s="132">
        <f t="shared" si="304"/>
        <v>0</v>
      </c>
      <c r="VP185" s="845" t="str">
        <f>IFERROR(HLOOKUP(F185,'Hodnocení '!$C$1:$JH$5,2,FALSE),0)</f>
        <v>Charitní pečovatelská služba Náchod</v>
      </c>
      <c r="VQ185" s="838"/>
      <c r="VR185" s="845" t="str">
        <f t="shared" si="312"/>
        <v>Církve a náboženské společnosti</v>
      </c>
      <c r="VS185" s="845" t="str">
        <f>IFERROR(HLOOKUP(F185,'Hodnocení '!$C$1:$JH$5,5,FALSE),0)</f>
        <v>NZO</v>
      </c>
      <c r="VT185" s="838">
        <f t="shared" si="313"/>
        <v>0</v>
      </c>
      <c r="VU185" s="838">
        <f t="shared" si="314"/>
        <v>0</v>
      </c>
      <c r="VV185" s="838">
        <f t="shared" si="315"/>
        <v>600000</v>
      </c>
      <c r="VW185" s="838">
        <f t="shared" si="316"/>
        <v>0</v>
      </c>
      <c r="VX185" s="838"/>
      <c r="VY185" s="838">
        <f t="shared" si="317"/>
        <v>0</v>
      </c>
      <c r="VZ185" s="838">
        <f t="shared" si="318"/>
        <v>2331094</v>
      </c>
      <c r="WA185" s="846">
        <f>IFERROR(HLOOKUP($F185,'Hodnocení '!$C$1:$JH$9,9,FALSE),0)</f>
        <v>2331094</v>
      </c>
      <c r="WB185" s="846">
        <f>IF(IFERROR(HLOOKUP($F185,'Hodnocení '!$C$1:$JH$13,13,FALSE),0)&gt;WA185,WA185,IFERROR(HLOOKUP($F185,'Hodnocení '!$C$1:$JH$13,13,FALSE),0))</f>
        <v>2331094</v>
      </c>
      <c r="WC185" s="846">
        <f>IFERROR(HLOOKUP($F185,'Hodnocení '!$C$1:$JH$155,155,FALSE),0)</f>
        <v>2331090</v>
      </c>
      <c r="WD185" s="845"/>
      <c r="WE185" s="845"/>
      <c r="WF185" s="845" t="str">
        <f t="shared" si="305"/>
        <v>ANO</v>
      </c>
      <c r="WG185" s="849" t="str">
        <f t="shared" si="320"/>
        <v>Podpora služby je vyjádřena zařazením do sítě sociálních služeb v KHK a řešením financování služby</v>
      </c>
      <c r="WH185"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85" s="849" t="str">
        <f t="shared" si="320"/>
        <v>Návrh dotace je výsledkem projednání s ostatními zadavateli v rámci sítě služeb KHK</v>
      </c>
      <c r="WJ185" s="849" t="str">
        <f t="shared" si="320"/>
        <v>Bez komentáře</v>
      </c>
      <c r="WK185" s="31">
        <f t="shared" si="306"/>
        <v>0</v>
      </c>
      <c r="WL185" s="850">
        <f t="shared" si="307"/>
        <v>0</v>
      </c>
      <c r="WM185" s="849" t="str">
        <f t="shared" si="308"/>
        <v>V rámci sítě KHK se dlouhodobě řeší otázka navyšování úhrad a průběžně se monitoruje s vazbou na vykrytí vyrovnávací platby</v>
      </c>
      <c r="WN185" s="849">
        <f t="shared" si="309"/>
        <v>0</v>
      </c>
      <c r="WO185" s="849" t="str">
        <f t="shared" si="319"/>
        <v>bez komentáře</v>
      </c>
      <c r="WP185" s="849" t="str">
        <f t="shared" si="319"/>
        <v>bez komentáře</v>
      </c>
      <c r="WQ185" s="849" t="str">
        <f t="shared" si="319"/>
        <v>Konečná výše dotace z rozpočtu KHK bude řešena v návaznosti na řešení podílů jednotlivých zadavatelů.</v>
      </c>
      <c r="WR185" s="849" t="str">
        <f t="shared" si="319"/>
        <v>Konečná výše podpory ze stran obcí bude řešena v součinnosti s jednotlivými zadavateli v průběhu roku.</v>
      </c>
      <c r="WS185" s="849" t="str">
        <f t="shared" si="319"/>
        <v>bez komentáře</v>
      </c>
      <c r="WT185" s="849" t="str">
        <f t="shared" si="319"/>
        <v>bez komentáře</v>
      </c>
      <c r="WU185" s="845"/>
    </row>
    <row r="186" spans="1:619" s="128" customFormat="1" x14ac:dyDescent="0.25">
      <c r="A186" s="128" t="str">
        <f>VLOOKUP(F186,'Výpočet VP 2020'!$D$324:$I$588,6,FALSE)</f>
        <v>Je v síti</v>
      </c>
      <c r="B186" s="128" t="s">
        <v>812</v>
      </c>
      <c r="C186" s="128">
        <v>46524282</v>
      </c>
      <c r="D186" s="128" t="s">
        <v>813</v>
      </c>
      <c r="E186" s="128" t="s">
        <v>360</v>
      </c>
      <c r="F186" s="128">
        <v>8891712</v>
      </c>
      <c r="G186" s="128" t="s">
        <v>705</v>
      </c>
      <c r="H186" s="128" t="s">
        <v>230</v>
      </c>
      <c r="I186" s="128" t="s">
        <v>814</v>
      </c>
      <c r="J186" s="129">
        <v>43770</v>
      </c>
      <c r="L186" s="128" t="s">
        <v>220</v>
      </c>
      <c r="M186" s="128" t="s">
        <v>815</v>
      </c>
      <c r="N186" s="128">
        <v>11</v>
      </c>
      <c r="P186" s="128">
        <v>0</v>
      </c>
      <c r="Q186" s="128">
        <v>0</v>
      </c>
      <c r="R186" s="128">
        <v>14</v>
      </c>
      <c r="BL186" s="128" t="s">
        <v>816</v>
      </c>
      <c r="BM186" s="128" t="s">
        <v>702</v>
      </c>
      <c r="BN186" s="128" t="s">
        <v>817</v>
      </c>
      <c r="EK186" s="128">
        <v>2</v>
      </c>
      <c r="EL186" s="128">
        <v>1</v>
      </c>
      <c r="EM186" s="128">
        <v>1</v>
      </c>
      <c r="EN186" s="128">
        <v>556368</v>
      </c>
      <c r="EO186" s="128">
        <v>550000</v>
      </c>
      <c r="EP186" s="128">
        <v>6</v>
      </c>
      <c r="EQ186" s="128">
        <v>5.5</v>
      </c>
      <c r="ER186" s="128">
        <v>5.03</v>
      </c>
      <c r="ES186" s="128">
        <v>2507274</v>
      </c>
      <c r="ET186" s="128">
        <v>2450000</v>
      </c>
      <c r="FO186" s="128">
        <v>2</v>
      </c>
      <c r="FP186" s="128">
        <v>0.34</v>
      </c>
      <c r="FQ186" s="128">
        <v>0.35</v>
      </c>
      <c r="FR186" s="128">
        <v>147615</v>
      </c>
      <c r="FS186" s="128">
        <v>0</v>
      </c>
      <c r="IN186" s="128">
        <v>1</v>
      </c>
      <c r="IO186" s="128">
        <v>300</v>
      </c>
      <c r="IP186" s="128">
        <v>0.14299999999999999</v>
      </c>
      <c r="IQ186" s="128">
        <v>84000</v>
      </c>
      <c r="IR186" s="128">
        <v>50000</v>
      </c>
      <c r="IS186" s="128">
        <v>1</v>
      </c>
      <c r="IT186" s="128">
        <v>100</v>
      </c>
      <c r="IU186" s="128">
        <v>4.8000000000000001E-2</v>
      </c>
      <c r="IV186" s="128">
        <v>28000</v>
      </c>
      <c r="IW186" s="128">
        <v>0</v>
      </c>
      <c r="KG186" s="128">
        <v>0</v>
      </c>
      <c r="KI186" s="128">
        <v>6.5</v>
      </c>
      <c r="KJ186" s="128">
        <v>0</v>
      </c>
      <c r="KK186" s="128">
        <v>0.14299999999999999</v>
      </c>
      <c r="KL186" s="128">
        <v>0</v>
      </c>
      <c r="KM186" s="128">
        <v>6.6429999999999998</v>
      </c>
      <c r="KN186" s="128">
        <v>3211257</v>
      </c>
      <c r="KO186" s="128">
        <v>3000000</v>
      </c>
      <c r="KP186" s="128">
        <v>3000000</v>
      </c>
      <c r="KT186" s="128">
        <v>0</v>
      </c>
      <c r="KU186" s="128">
        <v>0</v>
      </c>
      <c r="KV186" s="128">
        <v>0</v>
      </c>
      <c r="KZ186" s="128">
        <v>112000</v>
      </c>
      <c r="LA186" s="128">
        <v>50000</v>
      </c>
      <c r="LB186" s="128">
        <v>50000</v>
      </c>
      <c r="LF186" s="128">
        <v>100672</v>
      </c>
      <c r="LG186" s="128">
        <v>0</v>
      </c>
      <c r="LH186" s="128">
        <v>0</v>
      </c>
      <c r="LL186" s="128">
        <v>10000</v>
      </c>
      <c r="LM186" s="128">
        <v>0</v>
      </c>
      <c r="LN186" s="128">
        <v>0</v>
      </c>
      <c r="LR186" s="128">
        <v>70000</v>
      </c>
      <c r="LS186" s="128">
        <v>60000</v>
      </c>
      <c r="LT186" s="128">
        <v>60000</v>
      </c>
      <c r="LX186" s="128">
        <v>3000</v>
      </c>
      <c r="LY186" s="128">
        <v>0</v>
      </c>
      <c r="LZ186" s="128">
        <v>0</v>
      </c>
      <c r="MD186" s="128">
        <v>25000</v>
      </c>
      <c r="ME186" s="128">
        <v>10000</v>
      </c>
      <c r="MF186" s="128">
        <v>10000</v>
      </c>
      <c r="MJ186" s="128">
        <v>9000</v>
      </c>
      <c r="MK186" s="128">
        <v>0</v>
      </c>
      <c r="ML186" s="128">
        <v>0</v>
      </c>
      <c r="MP186" s="128">
        <v>70000</v>
      </c>
      <c r="MQ186" s="128">
        <v>40000</v>
      </c>
      <c r="MR186" s="128">
        <v>40000</v>
      </c>
      <c r="MV186" s="128">
        <v>170000</v>
      </c>
      <c r="MW186" s="128">
        <v>100000</v>
      </c>
      <c r="MX186" s="128">
        <v>100000</v>
      </c>
      <c r="NB186" s="128">
        <v>25000</v>
      </c>
      <c r="NC186" s="128">
        <v>10000</v>
      </c>
      <c r="ND186" s="128">
        <v>10000</v>
      </c>
      <c r="NH186" s="128">
        <v>0</v>
      </c>
      <c r="NI186" s="128">
        <v>0</v>
      </c>
      <c r="NJ186" s="128">
        <v>0</v>
      </c>
      <c r="NN186" s="128">
        <v>10000</v>
      </c>
      <c r="NO186" s="128">
        <v>0</v>
      </c>
      <c r="NP186" s="128">
        <v>0</v>
      </c>
      <c r="NT186" s="128">
        <v>18000</v>
      </c>
      <c r="NU186" s="128">
        <v>0</v>
      </c>
      <c r="NV186" s="128">
        <v>0</v>
      </c>
      <c r="NZ186" s="128">
        <v>55000</v>
      </c>
      <c r="OA186" s="128">
        <v>0</v>
      </c>
      <c r="OB186" s="128">
        <v>0</v>
      </c>
      <c r="OF186" s="128">
        <v>0</v>
      </c>
      <c r="OG186" s="128">
        <v>0</v>
      </c>
      <c r="OH186" s="128">
        <v>0</v>
      </c>
      <c r="OL186" s="128">
        <v>0</v>
      </c>
      <c r="OM186" s="128">
        <v>0</v>
      </c>
      <c r="ON186" s="128">
        <v>0</v>
      </c>
      <c r="OR186" s="128">
        <v>0</v>
      </c>
      <c r="OS186" s="128">
        <v>0</v>
      </c>
      <c r="OT186" s="128">
        <v>0</v>
      </c>
      <c r="OX186" s="128">
        <v>35000</v>
      </c>
      <c r="OY186" s="128">
        <v>0</v>
      </c>
      <c r="OZ186" s="128">
        <v>0</v>
      </c>
      <c r="PD186" s="128">
        <v>25000</v>
      </c>
      <c r="PE186" s="128">
        <v>0</v>
      </c>
      <c r="PF186" s="128">
        <v>0</v>
      </c>
      <c r="PJ186" s="128">
        <v>40000</v>
      </c>
      <c r="PK186" s="128">
        <v>28929</v>
      </c>
      <c r="PL186" s="128">
        <v>28929</v>
      </c>
      <c r="PP186" s="128">
        <v>3988929</v>
      </c>
      <c r="PQ186" s="128">
        <v>3298929</v>
      </c>
      <c r="PR186" s="128">
        <v>3298929</v>
      </c>
      <c r="PS186" s="128">
        <v>100</v>
      </c>
      <c r="PT186" s="128">
        <v>100</v>
      </c>
      <c r="PY186" s="128">
        <v>1531310</v>
      </c>
      <c r="PZ186" s="128">
        <v>3298929</v>
      </c>
      <c r="QB186" s="128">
        <v>0</v>
      </c>
      <c r="QC186" s="128">
        <v>0</v>
      </c>
      <c r="QE186" s="128">
        <v>0</v>
      </c>
      <c r="QF186" s="128">
        <v>0</v>
      </c>
      <c r="QH186" s="128">
        <v>0</v>
      </c>
      <c r="QI186" s="128">
        <v>0</v>
      </c>
      <c r="QK186" s="128">
        <v>1491335</v>
      </c>
      <c r="QL186" s="128">
        <v>170000</v>
      </c>
      <c r="QO186" s="128">
        <v>0</v>
      </c>
      <c r="QP186" s="128">
        <v>0</v>
      </c>
      <c r="QV186" s="128">
        <v>197355</v>
      </c>
      <c r="QW186" s="128">
        <v>0</v>
      </c>
      <c r="QY186" s="128">
        <v>150000</v>
      </c>
      <c r="QZ186" s="128">
        <v>150000</v>
      </c>
      <c r="RE186" s="128">
        <v>390000</v>
      </c>
      <c r="RF186" s="128">
        <v>370000</v>
      </c>
      <c r="RH186" s="128">
        <f t="shared" si="310"/>
        <v>3818929</v>
      </c>
      <c r="RI186" s="128">
        <v>0</v>
      </c>
      <c r="RM186" s="128" t="s">
        <v>220</v>
      </c>
      <c r="RU186" s="130"/>
      <c r="RV186" s="130"/>
      <c r="RW186" s="130"/>
      <c r="RX186" s="130"/>
      <c r="SF186" s="128">
        <f t="shared" si="220"/>
        <v>8891712</v>
      </c>
      <c r="SG186" s="131">
        <f t="shared" si="221"/>
        <v>3988929</v>
      </c>
      <c r="SH186" s="131">
        <f t="shared" si="222"/>
        <v>3988929</v>
      </c>
      <c r="SI186" s="131">
        <f t="shared" si="223"/>
        <v>3423929</v>
      </c>
      <c r="SJ186" s="132">
        <f t="shared" si="224"/>
        <v>3211257</v>
      </c>
      <c r="SK186" s="132">
        <f t="shared" si="225"/>
        <v>0</v>
      </c>
      <c r="SL186" s="132">
        <f t="shared" si="226"/>
        <v>112000</v>
      </c>
      <c r="SM186" s="132">
        <f t="shared" si="227"/>
        <v>100672</v>
      </c>
      <c r="SN186" s="131">
        <f t="shared" si="228"/>
        <v>565000</v>
      </c>
      <c r="SO186" s="131">
        <f t="shared" si="229"/>
        <v>80000</v>
      </c>
      <c r="SP186" s="132">
        <f t="shared" si="230"/>
        <v>10000</v>
      </c>
      <c r="SQ186" s="132">
        <f t="shared" si="231"/>
        <v>70000</v>
      </c>
      <c r="SR186" s="132">
        <f t="shared" si="232"/>
        <v>3000</v>
      </c>
      <c r="SS186" s="132">
        <f t="shared" si="233"/>
        <v>25000</v>
      </c>
      <c r="ST186" s="132">
        <f t="shared" si="234"/>
        <v>9000</v>
      </c>
      <c r="SU186" s="132">
        <f t="shared" si="235"/>
        <v>70000</v>
      </c>
      <c r="SV186" s="131">
        <f t="shared" si="236"/>
        <v>313000</v>
      </c>
      <c r="SW186" s="132">
        <f t="shared" si="237"/>
        <v>170000</v>
      </c>
      <c r="SX186" s="132">
        <f t="shared" si="238"/>
        <v>25000</v>
      </c>
      <c r="SY186" s="132">
        <f t="shared" si="239"/>
        <v>0</v>
      </c>
      <c r="SZ186" s="132">
        <f t="shared" si="240"/>
        <v>10000</v>
      </c>
      <c r="TA186" s="132">
        <f t="shared" si="241"/>
        <v>18000</v>
      </c>
      <c r="TB186" s="132">
        <f t="shared" si="242"/>
        <v>55000</v>
      </c>
      <c r="TC186" s="132">
        <f t="shared" si="243"/>
        <v>0</v>
      </c>
      <c r="TD186" s="132">
        <f t="shared" si="244"/>
        <v>0</v>
      </c>
      <c r="TE186" s="132">
        <f t="shared" si="245"/>
        <v>0</v>
      </c>
      <c r="TF186" s="132">
        <f t="shared" si="246"/>
        <v>35000</v>
      </c>
      <c r="TG186" s="132">
        <f t="shared" si="247"/>
        <v>25000</v>
      </c>
      <c r="TH186" s="132">
        <f t="shared" si="248"/>
        <v>40000</v>
      </c>
      <c r="TI186" s="1"/>
      <c r="TJ186" s="131">
        <f t="shared" si="249"/>
        <v>3298929</v>
      </c>
      <c r="TK186" s="131">
        <f t="shared" si="250"/>
        <v>3298929</v>
      </c>
      <c r="TL186" s="131">
        <f t="shared" si="251"/>
        <v>3050000</v>
      </c>
      <c r="TM186" s="132">
        <f t="shared" si="252"/>
        <v>3000000</v>
      </c>
      <c r="TN186" s="132">
        <f t="shared" si="253"/>
        <v>0</v>
      </c>
      <c r="TO186" s="132">
        <f t="shared" si="254"/>
        <v>50000</v>
      </c>
      <c r="TP186" s="132">
        <f t="shared" si="255"/>
        <v>0</v>
      </c>
      <c r="TQ186" s="131">
        <f t="shared" si="256"/>
        <v>248929</v>
      </c>
      <c r="TR186" s="131">
        <f t="shared" si="257"/>
        <v>60000</v>
      </c>
      <c r="TS186" s="132">
        <f t="shared" si="258"/>
        <v>0</v>
      </c>
      <c r="TT186" s="132">
        <f t="shared" si="259"/>
        <v>60000</v>
      </c>
      <c r="TU186" s="132">
        <f t="shared" si="260"/>
        <v>0</v>
      </c>
      <c r="TV186" s="132">
        <f t="shared" si="261"/>
        <v>10000</v>
      </c>
      <c r="TW186" s="132">
        <f t="shared" si="262"/>
        <v>0</v>
      </c>
      <c r="TX186" s="132">
        <f t="shared" si="263"/>
        <v>40000</v>
      </c>
      <c r="TY186" s="131">
        <f t="shared" si="264"/>
        <v>110000</v>
      </c>
      <c r="TZ186" s="132">
        <f t="shared" si="265"/>
        <v>100000</v>
      </c>
      <c r="UA186" s="132">
        <f t="shared" si="266"/>
        <v>10000</v>
      </c>
      <c r="UB186" s="132">
        <f t="shared" si="267"/>
        <v>0</v>
      </c>
      <c r="UC186" s="132">
        <f t="shared" si="268"/>
        <v>0</v>
      </c>
      <c r="UD186" s="132">
        <f t="shared" si="269"/>
        <v>0</v>
      </c>
      <c r="UE186" s="132">
        <f t="shared" si="270"/>
        <v>0</v>
      </c>
      <c r="UF186" s="132">
        <f t="shared" si="271"/>
        <v>0</v>
      </c>
      <c r="UG186" s="132">
        <f t="shared" si="272"/>
        <v>0</v>
      </c>
      <c r="UH186" s="132">
        <f t="shared" si="273"/>
        <v>0</v>
      </c>
      <c r="UI186" s="132">
        <f t="shared" si="274"/>
        <v>0</v>
      </c>
      <c r="UJ186" s="132">
        <f t="shared" si="275"/>
        <v>0</v>
      </c>
      <c r="UK186" s="132">
        <f t="shared" si="276"/>
        <v>28929</v>
      </c>
      <c r="UL186" s="132">
        <f t="shared" si="311"/>
        <v>3298929</v>
      </c>
      <c r="UM186" s="131">
        <f t="shared" si="277"/>
        <v>3298929</v>
      </c>
      <c r="UN186" s="131">
        <f t="shared" si="278"/>
        <v>3298929</v>
      </c>
      <c r="UO186" s="131">
        <f t="shared" si="279"/>
        <v>3050000</v>
      </c>
      <c r="UP186" s="132">
        <f t="shared" si="280"/>
        <v>3000000</v>
      </c>
      <c r="UQ186" s="132">
        <f t="shared" si="281"/>
        <v>0</v>
      </c>
      <c r="UR186" s="132">
        <f t="shared" si="282"/>
        <v>50000</v>
      </c>
      <c r="US186" s="132">
        <f t="shared" si="283"/>
        <v>0</v>
      </c>
      <c r="UT186" s="131">
        <f t="shared" si="284"/>
        <v>248929</v>
      </c>
      <c r="UU186" s="131">
        <f t="shared" si="285"/>
        <v>60000</v>
      </c>
      <c r="UV186" s="132">
        <f t="shared" si="286"/>
        <v>0</v>
      </c>
      <c r="UW186" s="132">
        <f t="shared" si="287"/>
        <v>60000</v>
      </c>
      <c r="UX186" s="132">
        <f t="shared" si="288"/>
        <v>0</v>
      </c>
      <c r="UY186" s="132">
        <f t="shared" si="289"/>
        <v>10000</v>
      </c>
      <c r="UZ186" s="132">
        <f t="shared" si="290"/>
        <v>0</v>
      </c>
      <c r="VA186" s="132">
        <f t="shared" si="291"/>
        <v>40000</v>
      </c>
      <c r="VB186" s="131">
        <f t="shared" si="292"/>
        <v>110000</v>
      </c>
      <c r="VC186" s="132">
        <f t="shared" si="293"/>
        <v>100000</v>
      </c>
      <c r="VD186" s="132">
        <f t="shared" si="294"/>
        <v>10000</v>
      </c>
      <c r="VE186" s="132">
        <f t="shared" si="295"/>
        <v>0</v>
      </c>
      <c r="VF186" s="132">
        <f t="shared" si="296"/>
        <v>0</v>
      </c>
      <c r="VG186" s="132">
        <f t="shared" si="297"/>
        <v>0</v>
      </c>
      <c r="VH186" s="132">
        <f t="shared" si="298"/>
        <v>0</v>
      </c>
      <c r="VI186" s="132">
        <f t="shared" si="299"/>
        <v>0</v>
      </c>
      <c r="VJ186" s="132">
        <f t="shared" si="300"/>
        <v>0</v>
      </c>
      <c r="VK186" s="132">
        <f t="shared" si="301"/>
        <v>0</v>
      </c>
      <c r="VL186" s="132">
        <f t="shared" si="302"/>
        <v>0</v>
      </c>
      <c r="VM186" s="132">
        <f t="shared" si="303"/>
        <v>0</v>
      </c>
      <c r="VN186" s="132">
        <f t="shared" si="304"/>
        <v>28929</v>
      </c>
      <c r="VP186" s="845" t="str">
        <f>IFERROR(HLOOKUP(F186,'Hodnocení '!$C$1:$JH$5,2,FALSE),0)</f>
        <v>Dům na půli cesty</v>
      </c>
      <c r="VQ186" s="838"/>
      <c r="VR186" s="845" t="str">
        <f t="shared" si="312"/>
        <v>Církve a náboženské společnosti</v>
      </c>
      <c r="VS186" s="845" t="str">
        <f>IFERROR(HLOOKUP(F186,'Hodnocení '!$C$1:$JH$5,5,FALSE),0)</f>
        <v>NZO</v>
      </c>
      <c r="VT186" s="838">
        <f t="shared" si="313"/>
        <v>0</v>
      </c>
      <c r="VU186" s="838">
        <f t="shared" si="314"/>
        <v>0</v>
      </c>
      <c r="VV186" s="838">
        <f t="shared" si="315"/>
        <v>170000</v>
      </c>
      <c r="VW186" s="838">
        <f t="shared" si="316"/>
        <v>0</v>
      </c>
      <c r="VX186" s="838"/>
      <c r="VY186" s="838">
        <f t="shared" si="317"/>
        <v>0</v>
      </c>
      <c r="VZ186" s="838">
        <f t="shared" si="318"/>
        <v>3298929</v>
      </c>
      <c r="WA186" s="846">
        <f>IFERROR(HLOOKUP($F186,'Hodnocení '!$C$1:$JH$9,9,FALSE),0)</f>
        <v>3298929</v>
      </c>
      <c r="WB186" s="846">
        <f>IF(IFERROR(HLOOKUP($F186,'Hodnocení '!$C$1:$JH$13,13,FALSE),0)&gt;WA186,WA186,IFERROR(HLOOKUP($F186,'Hodnocení '!$C$1:$JH$13,13,FALSE),0))</f>
        <v>3298929</v>
      </c>
      <c r="WC186" s="846">
        <f>IFERROR(HLOOKUP($F186,'Hodnocení '!$C$1:$JH$155,155,FALSE),0)</f>
        <v>0</v>
      </c>
      <c r="WD186" s="845"/>
      <c r="WE186" s="845"/>
      <c r="WF186" s="845" t="str">
        <f t="shared" si="305"/>
        <v>ANO</v>
      </c>
      <c r="WG186" s="849" t="str">
        <f t="shared" si="320"/>
        <v>Podpora služby je vyjádřena zařazením do sítě sociálních služeb v KHK a řešením financování služby</v>
      </c>
      <c r="WH186"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86" s="849" t="str">
        <f t="shared" si="320"/>
        <v>Návrh dotace je výsledkem projednání s ostatními zadavateli v rámci sítě služeb KHK</v>
      </c>
      <c r="WJ186" s="849" t="str">
        <f t="shared" si="320"/>
        <v>Bez komentáře</v>
      </c>
      <c r="WK186" s="31">
        <f t="shared" si="306"/>
        <v>0</v>
      </c>
      <c r="WL186" s="850">
        <f t="shared" si="307"/>
        <v>0</v>
      </c>
      <c r="WM186" s="849" t="str">
        <f t="shared" si="308"/>
        <v>V rámci sítě KHK se dlouhodobě řeší otázka navyšování úhrad a průběžně se monitoruje s vazbou na vykrytí vyrovnávací platby</v>
      </c>
      <c r="WN186" s="849">
        <f t="shared" si="309"/>
        <v>0</v>
      </c>
      <c r="WO186" s="849" t="str">
        <f t="shared" si="319"/>
        <v>bez komentáře</v>
      </c>
      <c r="WP186" s="849" t="str">
        <f t="shared" si="319"/>
        <v>bez komentáře</v>
      </c>
      <c r="WQ186" s="849" t="str">
        <f t="shared" si="319"/>
        <v>Konečná výše dotace z rozpočtu KHK bude řešena v návaznosti na řešení podílů jednotlivých zadavatelů.</v>
      </c>
      <c r="WR186" s="849" t="str">
        <f t="shared" si="319"/>
        <v>Konečná výše podpory ze stran obcí bude řešena v součinnosti s jednotlivými zadavateli v průběhu roku.</v>
      </c>
      <c r="WS186" s="849" t="str">
        <f t="shared" si="319"/>
        <v>bez komentáře</v>
      </c>
      <c r="WT186" s="849" t="str">
        <f t="shared" si="319"/>
        <v>bez komentáře</v>
      </c>
      <c r="WU186" s="845"/>
    </row>
    <row r="187" spans="1:619" s="128" customFormat="1" x14ac:dyDescent="0.25">
      <c r="A187" s="128" t="str">
        <f>VLOOKUP(F187,'Výpočet VP 2020'!$D$324:$I$588,6,FALSE)</f>
        <v>Je v síti</v>
      </c>
      <c r="B187" s="128" t="s">
        <v>812</v>
      </c>
      <c r="C187" s="128">
        <v>46524282</v>
      </c>
      <c r="D187" s="128" t="s">
        <v>813</v>
      </c>
      <c r="E187" s="128" t="s">
        <v>360</v>
      </c>
      <c r="F187" s="128">
        <v>9064643</v>
      </c>
      <c r="G187" s="128" t="s">
        <v>705</v>
      </c>
      <c r="H187" s="128" t="s">
        <v>230</v>
      </c>
      <c r="I187" s="128" t="s">
        <v>818</v>
      </c>
      <c r="J187" s="129">
        <v>37803</v>
      </c>
      <c r="L187" s="128" t="s">
        <v>220</v>
      </c>
      <c r="M187" s="128" t="s">
        <v>819</v>
      </c>
      <c r="N187" s="128">
        <v>72</v>
      </c>
      <c r="P187" s="128">
        <v>164</v>
      </c>
      <c r="Q187" s="128">
        <v>152</v>
      </c>
      <c r="R187" s="128">
        <v>77</v>
      </c>
      <c r="W187" s="128" t="s">
        <v>820</v>
      </c>
      <c r="BL187" s="128" t="s">
        <v>779</v>
      </c>
      <c r="BM187" s="128" t="s">
        <v>702</v>
      </c>
      <c r="BN187" s="128" t="s">
        <v>424</v>
      </c>
      <c r="EK187" s="128">
        <v>2</v>
      </c>
      <c r="EL187" s="128">
        <v>1.5</v>
      </c>
      <c r="EM187" s="128">
        <v>1.64</v>
      </c>
      <c r="EN187" s="128">
        <v>834552</v>
      </c>
      <c r="EO187" s="128">
        <v>834552</v>
      </c>
      <c r="EP187" s="128">
        <v>8</v>
      </c>
      <c r="EQ187" s="128">
        <v>6</v>
      </c>
      <c r="ER187" s="128">
        <v>5.36</v>
      </c>
      <c r="ES187" s="128">
        <v>2735208</v>
      </c>
      <c r="ET187" s="128">
        <v>2377090</v>
      </c>
      <c r="EZ187" s="128">
        <v>1</v>
      </c>
      <c r="FA187" s="128">
        <v>0.75</v>
      </c>
      <c r="FB187" s="128">
        <v>0.26</v>
      </c>
      <c r="FC187" s="128">
        <v>417276</v>
      </c>
      <c r="FD187" s="128">
        <v>379276</v>
      </c>
      <c r="FO187" s="128">
        <v>2</v>
      </c>
      <c r="FP187" s="128">
        <v>0.66</v>
      </c>
      <c r="FQ187" s="128">
        <v>0.6</v>
      </c>
      <c r="FR187" s="128">
        <v>286546</v>
      </c>
      <c r="FS187" s="128">
        <v>0</v>
      </c>
      <c r="IS187" s="128">
        <v>2</v>
      </c>
      <c r="IT187" s="128">
        <v>520</v>
      </c>
      <c r="IU187" s="128">
        <v>0.248</v>
      </c>
      <c r="IV187" s="128">
        <v>145600</v>
      </c>
      <c r="IW187" s="128">
        <v>0</v>
      </c>
      <c r="KG187" s="128">
        <v>12</v>
      </c>
      <c r="KH187" s="128">
        <v>154</v>
      </c>
      <c r="KI187" s="128">
        <v>8.25</v>
      </c>
      <c r="KJ187" s="128">
        <v>0</v>
      </c>
      <c r="KK187" s="128">
        <v>0</v>
      </c>
      <c r="KL187" s="128">
        <v>0</v>
      </c>
      <c r="KM187" s="128">
        <v>8.25</v>
      </c>
      <c r="KN187" s="128">
        <v>4273582</v>
      </c>
      <c r="KO187" s="128">
        <v>3590918</v>
      </c>
      <c r="KP187" s="128">
        <v>3590918</v>
      </c>
      <c r="KT187" s="128">
        <v>0</v>
      </c>
      <c r="KU187" s="128">
        <v>0</v>
      </c>
      <c r="KV187" s="128">
        <v>0</v>
      </c>
      <c r="KZ187" s="128">
        <v>145600</v>
      </c>
      <c r="LA187" s="128">
        <v>0</v>
      </c>
      <c r="LB187" s="128">
        <v>0</v>
      </c>
      <c r="LF187" s="128">
        <v>121736</v>
      </c>
      <c r="LG187" s="128">
        <v>0</v>
      </c>
      <c r="LH187" s="128">
        <v>0</v>
      </c>
      <c r="LL187" s="128">
        <v>20000</v>
      </c>
      <c r="LM187" s="128">
        <v>15000</v>
      </c>
      <c r="LN187" s="128">
        <v>15000</v>
      </c>
      <c r="LR187" s="128">
        <v>342000</v>
      </c>
      <c r="LS187" s="128">
        <v>300000</v>
      </c>
      <c r="LT187" s="128">
        <v>300000</v>
      </c>
      <c r="LX187" s="128">
        <v>12000</v>
      </c>
      <c r="LY187" s="128">
        <v>0</v>
      </c>
      <c r="LZ187" s="128">
        <v>0</v>
      </c>
      <c r="MD187" s="128">
        <v>65000</v>
      </c>
      <c r="ME187" s="128">
        <v>65000</v>
      </c>
      <c r="MF187" s="128">
        <v>65000</v>
      </c>
      <c r="MJ187" s="128">
        <v>18000</v>
      </c>
      <c r="MK187" s="128">
        <v>15000</v>
      </c>
      <c r="ML187" s="128">
        <v>15000</v>
      </c>
      <c r="MP187" s="128">
        <v>155000</v>
      </c>
      <c r="MQ187" s="128">
        <v>150000</v>
      </c>
      <c r="MR187" s="128">
        <v>150000</v>
      </c>
      <c r="MV187" s="128">
        <v>1250000</v>
      </c>
      <c r="MW187" s="128">
        <v>1200000</v>
      </c>
      <c r="MX187" s="128">
        <v>1200000</v>
      </c>
      <c r="NB187" s="128">
        <v>30000</v>
      </c>
      <c r="NC187" s="128">
        <v>25000</v>
      </c>
      <c r="ND187" s="128">
        <v>25000</v>
      </c>
      <c r="NH187" s="128">
        <v>0</v>
      </c>
      <c r="NI187" s="128">
        <v>0</v>
      </c>
      <c r="NJ187" s="128">
        <v>0</v>
      </c>
      <c r="NN187" s="128">
        <v>45000</v>
      </c>
      <c r="NO187" s="128">
        <v>35000</v>
      </c>
      <c r="NP187" s="128">
        <v>35000</v>
      </c>
      <c r="NT187" s="128">
        <v>35000</v>
      </c>
      <c r="NU187" s="128">
        <v>30000</v>
      </c>
      <c r="NV187" s="128">
        <v>30000</v>
      </c>
      <c r="NZ187" s="128">
        <v>195000</v>
      </c>
      <c r="OA187" s="128">
        <v>100000</v>
      </c>
      <c r="OB187" s="128">
        <v>100000</v>
      </c>
      <c r="OF187" s="128">
        <v>3000</v>
      </c>
      <c r="OG187" s="128">
        <v>0</v>
      </c>
      <c r="OH187" s="128">
        <v>0</v>
      </c>
      <c r="OL187" s="128">
        <v>0</v>
      </c>
      <c r="OM187" s="128">
        <v>0</v>
      </c>
      <c r="ON187" s="128">
        <v>0</v>
      </c>
      <c r="OR187" s="128">
        <v>0</v>
      </c>
      <c r="OS187" s="128">
        <v>0</v>
      </c>
      <c r="OT187" s="128">
        <v>0</v>
      </c>
      <c r="OX187" s="128">
        <v>115000</v>
      </c>
      <c r="OY187" s="128">
        <v>110000</v>
      </c>
      <c r="OZ187" s="128">
        <v>110000</v>
      </c>
      <c r="PD187" s="128">
        <v>50000</v>
      </c>
      <c r="PE187" s="128">
        <v>0</v>
      </c>
      <c r="PF187" s="128">
        <v>0</v>
      </c>
      <c r="PJ187" s="128">
        <v>75000</v>
      </c>
      <c r="PK187" s="128">
        <v>70000</v>
      </c>
      <c r="PL187" s="128">
        <v>70000</v>
      </c>
      <c r="PP187" s="128">
        <v>6950918</v>
      </c>
      <c r="PQ187" s="128">
        <v>5705918</v>
      </c>
      <c r="PR187" s="128">
        <v>5705918</v>
      </c>
      <c r="PS187" s="128">
        <v>100</v>
      </c>
      <c r="PT187" s="128">
        <v>100</v>
      </c>
      <c r="PX187" s="128">
        <v>0</v>
      </c>
      <c r="PY187" s="128">
        <v>2665670</v>
      </c>
      <c r="PZ187" s="128">
        <v>5705918</v>
      </c>
      <c r="QA187" s="128">
        <v>0</v>
      </c>
      <c r="QB187" s="128">
        <v>0</v>
      </c>
      <c r="QC187" s="128">
        <v>0</v>
      </c>
      <c r="QD187" s="128">
        <v>0</v>
      </c>
      <c r="QE187" s="128">
        <v>0</v>
      </c>
      <c r="QF187" s="128">
        <v>0</v>
      </c>
      <c r="QG187" s="128">
        <v>0</v>
      </c>
      <c r="QH187" s="128">
        <v>0</v>
      </c>
      <c r="QI187" s="128">
        <v>0</v>
      </c>
      <c r="QJ187" s="128">
        <v>4904338</v>
      </c>
      <c r="QK187" s="128">
        <v>590000</v>
      </c>
      <c r="QL187" s="128">
        <v>600000</v>
      </c>
      <c r="QN187" s="128">
        <v>0</v>
      </c>
      <c r="QO187" s="128">
        <v>0</v>
      </c>
      <c r="QP187" s="128">
        <v>0</v>
      </c>
      <c r="QU187" s="128">
        <v>383086</v>
      </c>
      <c r="QV187" s="128">
        <v>196918</v>
      </c>
      <c r="QW187" s="128">
        <v>0</v>
      </c>
      <c r="QX187" s="128">
        <v>600000</v>
      </c>
      <c r="QY187" s="128">
        <v>600000</v>
      </c>
      <c r="QZ187" s="128">
        <v>600000</v>
      </c>
      <c r="RD187" s="128">
        <v>42888</v>
      </c>
      <c r="RE187" s="128">
        <v>43000</v>
      </c>
      <c r="RF187" s="128">
        <v>45000</v>
      </c>
      <c r="RH187" s="128">
        <f t="shared" si="310"/>
        <v>6350918</v>
      </c>
      <c r="RI187" s="128">
        <v>0</v>
      </c>
      <c r="RM187" s="128" t="s">
        <v>220</v>
      </c>
      <c r="RU187" s="130"/>
      <c r="RV187" s="130"/>
      <c r="RW187" s="130"/>
      <c r="RX187" s="130"/>
      <c r="SF187" s="128">
        <f t="shared" si="220"/>
        <v>9064643</v>
      </c>
      <c r="SG187" s="131">
        <f t="shared" si="221"/>
        <v>6950918</v>
      </c>
      <c r="SH187" s="131">
        <f t="shared" si="222"/>
        <v>6950918</v>
      </c>
      <c r="SI187" s="131">
        <f t="shared" si="223"/>
        <v>4540918</v>
      </c>
      <c r="SJ187" s="132">
        <f t="shared" si="224"/>
        <v>4273582</v>
      </c>
      <c r="SK187" s="132">
        <f t="shared" si="225"/>
        <v>0</v>
      </c>
      <c r="SL187" s="132">
        <f t="shared" si="226"/>
        <v>145600</v>
      </c>
      <c r="SM187" s="132">
        <f t="shared" si="227"/>
        <v>121736</v>
      </c>
      <c r="SN187" s="131">
        <f t="shared" si="228"/>
        <v>2410000</v>
      </c>
      <c r="SO187" s="131">
        <f t="shared" si="229"/>
        <v>362000</v>
      </c>
      <c r="SP187" s="132">
        <f t="shared" si="230"/>
        <v>20000</v>
      </c>
      <c r="SQ187" s="132">
        <f t="shared" si="231"/>
        <v>342000</v>
      </c>
      <c r="SR187" s="132">
        <f t="shared" si="232"/>
        <v>12000</v>
      </c>
      <c r="SS187" s="132">
        <f t="shared" si="233"/>
        <v>65000</v>
      </c>
      <c r="ST187" s="132">
        <f t="shared" si="234"/>
        <v>18000</v>
      </c>
      <c r="SU187" s="132">
        <f t="shared" si="235"/>
        <v>155000</v>
      </c>
      <c r="SV187" s="131">
        <f t="shared" si="236"/>
        <v>1673000</v>
      </c>
      <c r="SW187" s="132">
        <f t="shared" si="237"/>
        <v>1250000</v>
      </c>
      <c r="SX187" s="132">
        <f t="shared" si="238"/>
        <v>30000</v>
      </c>
      <c r="SY187" s="132">
        <f t="shared" si="239"/>
        <v>0</v>
      </c>
      <c r="SZ187" s="132">
        <f t="shared" si="240"/>
        <v>45000</v>
      </c>
      <c r="TA187" s="132">
        <f t="shared" si="241"/>
        <v>35000</v>
      </c>
      <c r="TB187" s="132">
        <f t="shared" si="242"/>
        <v>195000</v>
      </c>
      <c r="TC187" s="132">
        <f t="shared" si="243"/>
        <v>3000</v>
      </c>
      <c r="TD187" s="132">
        <f t="shared" si="244"/>
        <v>0</v>
      </c>
      <c r="TE187" s="132">
        <f t="shared" si="245"/>
        <v>0</v>
      </c>
      <c r="TF187" s="132">
        <f t="shared" si="246"/>
        <v>115000</v>
      </c>
      <c r="TG187" s="132">
        <f t="shared" si="247"/>
        <v>50000</v>
      </c>
      <c r="TH187" s="132">
        <f t="shared" si="248"/>
        <v>75000</v>
      </c>
      <c r="TI187" s="1"/>
      <c r="TJ187" s="131">
        <f t="shared" si="249"/>
        <v>5705918</v>
      </c>
      <c r="TK187" s="131">
        <f t="shared" si="250"/>
        <v>5705918</v>
      </c>
      <c r="TL187" s="131">
        <f t="shared" si="251"/>
        <v>3590918</v>
      </c>
      <c r="TM187" s="132">
        <f t="shared" si="252"/>
        <v>3590918</v>
      </c>
      <c r="TN187" s="132">
        <f t="shared" si="253"/>
        <v>0</v>
      </c>
      <c r="TO187" s="132">
        <f t="shared" si="254"/>
        <v>0</v>
      </c>
      <c r="TP187" s="132">
        <f t="shared" si="255"/>
        <v>0</v>
      </c>
      <c r="TQ187" s="131">
        <f t="shared" si="256"/>
        <v>2115000</v>
      </c>
      <c r="TR187" s="131">
        <f t="shared" si="257"/>
        <v>315000</v>
      </c>
      <c r="TS187" s="132">
        <f t="shared" si="258"/>
        <v>15000</v>
      </c>
      <c r="TT187" s="132">
        <f t="shared" si="259"/>
        <v>300000</v>
      </c>
      <c r="TU187" s="132">
        <f t="shared" si="260"/>
        <v>0</v>
      </c>
      <c r="TV187" s="132">
        <f t="shared" si="261"/>
        <v>65000</v>
      </c>
      <c r="TW187" s="132">
        <f t="shared" si="262"/>
        <v>15000</v>
      </c>
      <c r="TX187" s="132">
        <f t="shared" si="263"/>
        <v>150000</v>
      </c>
      <c r="TY187" s="131">
        <f t="shared" si="264"/>
        <v>1500000</v>
      </c>
      <c r="TZ187" s="132">
        <f t="shared" si="265"/>
        <v>1200000</v>
      </c>
      <c r="UA187" s="132">
        <f t="shared" si="266"/>
        <v>25000</v>
      </c>
      <c r="UB187" s="132">
        <f t="shared" si="267"/>
        <v>0</v>
      </c>
      <c r="UC187" s="132">
        <f t="shared" si="268"/>
        <v>35000</v>
      </c>
      <c r="UD187" s="132">
        <f t="shared" si="269"/>
        <v>30000</v>
      </c>
      <c r="UE187" s="132">
        <f t="shared" si="270"/>
        <v>100000</v>
      </c>
      <c r="UF187" s="132">
        <f t="shared" si="271"/>
        <v>0</v>
      </c>
      <c r="UG187" s="132">
        <f t="shared" si="272"/>
        <v>0</v>
      </c>
      <c r="UH187" s="132">
        <f t="shared" si="273"/>
        <v>0</v>
      </c>
      <c r="UI187" s="132">
        <f t="shared" si="274"/>
        <v>110000</v>
      </c>
      <c r="UJ187" s="132">
        <f t="shared" si="275"/>
        <v>0</v>
      </c>
      <c r="UK187" s="132">
        <f t="shared" si="276"/>
        <v>70000</v>
      </c>
      <c r="UL187" s="132">
        <f t="shared" si="311"/>
        <v>5705918</v>
      </c>
      <c r="UM187" s="131">
        <f t="shared" si="277"/>
        <v>5705918</v>
      </c>
      <c r="UN187" s="131">
        <f t="shared" si="278"/>
        <v>5705918</v>
      </c>
      <c r="UO187" s="131">
        <f t="shared" si="279"/>
        <v>3590918</v>
      </c>
      <c r="UP187" s="132">
        <f t="shared" si="280"/>
        <v>3590918</v>
      </c>
      <c r="UQ187" s="132">
        <f t="shared" si="281"/>
        <v>0</v>
      </c>
      <c r="UR187" s="132">
        <f t="shared" si="282"/>
        <v>0</v>
      </c>
      <c r="US187" s="132">
        <f t="shared" si="283"/>
        <v>0</v>
      </c>
      <c r="UT187" s="131">
        <f t="shared" si="284"/>
        <v>2115000</v>
      </c>
      <c r="UU187" s="131">
        <f t="shared" si="285"/>
        <v>315000</v>
      </c>
      <c r="UV187" s="132">
        <f t="shared" si="286"/>
        <v>15000</v>
      </c>
      <c r="UW187" s="132">
        <f t="shared" si="287"/>
        <v>300000</v>
      </c>
      <c r="UX187" s="132">
        <f t="shared" si="288"/>
        <v>0</v>
      </c>
      <c r="UY187" s="132">
        <f t="shared" si="289"/>
        <v>65000</v>
      </c>
      <c r="UZ187" s="132">
        <f t="shared" si="290"/>
        <v>15000</v>
      </c>
      <c r="VA187" s="132">
        <f t="shared" si="291"/>
        <v>150000</v>
      </c>
      <c r="VB187" s="131">
        <f t="shared" si="292"/>
        <v>1500000</v>
      </c>
      <c r="VC187" s="132">
        <f t="shared" si="293"/>
        <v>1200000</v>
      </c>
      <c r="VD187" s="132">
        <f t="shared" si="294"/>
        <v>25000</v>
      </c>
      <c r="VE187" s="132">
        <f t="shared" si="295"/>
        <v>0</v>
      </c>
      <c r="VF187" s="132">
        <f t="shared" si="296"/>
        <v>35000</v>
      </c>
      <c r="VG187" s="132">
        <f t="shared" si="297"/>
        <v>30000</v>
      </c>
      <c r="VH187" s="132">
        <f t="shared" si="298"/>
        <v>100000</v>
      </c>
      <c r="VI187" s="132">
        <f t="shared" si="299"/>
        <v>0</v>
      </c>
      <c r="VJ187" s="132">
        <f t="shared" si="300"/>
        <v>0</v>
      </c>
      <c r="VK187" s="132">
        <f t="shared" si="301"/>
        <v>0</v>
      </c>
      <c r="VL187" s="132">
        <f t="shared" si="302"/>
        <v>110000</v>
      </c>
      <c r="VM187" s="132">
        <f t="shared" si="303"/>
        <v>0</v>
      </c>
      <c r="VN187" s="132">
        <f t="shared" si="304"/>
        <v>70000</v>
      </c>
      <c r="VP187" s="845" t="str">
        <f>IFERROR(HLOOKUP(F187,'Hodnocení '!$C$1:$JH$5,2,FALSE),0)</f>
        <v>SV. ANNA Domov pro matky s dětmi Náchod</v>
      </c>
      <c r="VQ187" s="838"/>
      <c r="VR187" s="845" t="str">
        <f t="shared" si="312"/>
        <v>Církve a náboženské společnosti</v>
      </c>
      <c r="VS187" s="845" t="str">
        <f>IFERROR(HLOOKUP(F187,'Hodnocení '!$C$1:$JH$5,5,FALSE),0)</f>
        <v>NZO</v>
      </c>
      <c r="VT187" s="838">
        <f t="shared" si="313"/>
        <v>0</v>
      </c>
      <c r="VU187" s="838">
        <f t="shared" si="314"/>
        <v>0</v>
      </c>
      <c r="VV187" s="838">
        <f t="shared" si="315"/>
        <v>600000</v>
      </c>
      <c r="VW187" s="838">
        <f t="shared" si="316"/>
        <v>0</v>
      </c>
      <c r="VX187" s="838"/>
      <c r="VY187" s="838">
        <f t="shared" si="317"/>
        <v>0</v>
      </c>
      <c r="VZ187" s="838">
        <f t="shared" si="318"/>
        <v>5705918</v>
      </c>
      <c r="WA187" s="846">
        <f>IFERROR(HLOOKUP($F187,'Hodnocení '!$C$1:$JH$9,9,FALSE),0)</f>
        <v>5705918</v>
      </c>
      <c r="WB187" s="846">
        <f>IF(IFERROR(HLOOKUP($F187,'Hodnocení '!$C$1:$JH$13,13,FALSE),0)&gt;WA187,WA187,IFERROR(HLOOKUP($F187,'Hodnocení '!$C$1:$JH$13,13,FALSE),0))</f>
        <v>4823200.6433408242</v>
      </c>
      <c r="WC187" s="846">
        <f>IFERROR(HLOOKUP($F187,'Hodnocení '!$C$1:$JH$155,155,FALSE),0)</f>
        <v>0</v>
      </c>
      <c r="WD187" s="845"/>
      <c r="WE187" s="845"/>
      <c r="WF187" s="845" t="str">
        <f t="shared" si="305"/>
        <v>ANO</v>
      </c>
      <c r="WG187" s="849" t="str">
        <f t="shared" si="320"/>
        <v>Podpora služby je vyjádřena zařazením do sítě sociálních služeb v KHK a řešením financování služby</v>
      </c>
      <c r="WH187"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87" s="849" t="str">
        <f t="shared" si="320"/>
        <v>Návrh dotace je výsledkem projednání s ostatními zadavateli v rámci sítě služeb KHK</v>
      </c>
      <c r="WJ187" s="849" t="str">
        <f t="shared" si="320"/>
        <v>Bez komentáře</v>
      </c>
      <c r="WK187" s="31">
        <f t="shared" si="306"/>
        <v>0</v>
      </c>
      <c r="WL187" s="850">
        <f t="shared" si="307"/>
        <v>0</v>
      </c>
      <c r="WM187" s="849" t="str">
        <f t="shared" si="308"/>
        <v>V rámci sítě KHK se dlouhodobě řeší otázka navyšování úhrad a průběžně se monitoruje s vazbou na vykrytí vyrovnávací platby</v>
      </c>
      <c r="WN187" s="849">
        <f t="shared" si="309"/>
        <v>0</v>
      </c>
      <c r="WO187" s="849" t="str">
        <f t="shared" si="319"/>
        <v>bez komentáře</v>
      </c>
      <c r="WP187" s="849" t="str">
        <f t="shared" si="319"/>
        <v>bez komentáře</v>
      </c>
      <c r="WQ187" s="849" t="str">
        <f t="shared" si="319"/>
        <v>Konečná výše dotace z rozpočtu KHK bude řešena v návaznosti na řešení podílů jednotlivých zadavatelů.</v>
      </c>
      <c r="WR187" s="849" t="str">
        <f t="shared" si="319"/>
        <v>Konečná výše podpory ze stran obcí bude řešena v součinnosti s jednotlivými zadavateli v průběhu roku.</v>
      </c>
      <c r="WS187" s="849" t="str">
        <f t="shared" si="319"/>
        <v>bez komentáře</v>
      </c>
      <c r="WT187" s="849" t="str">
        <f t="shared" si="319"/>
        <v>bez komentáře</v>
      </c>
      <c r="WU187" s="845"/>
    </row>
    <row r="188" spans="1:619" s="128" customFormat="1" x14ac:dyDescent="0.25">
      <c r="A188" s="128" t="str">
        <f>VLOOKUP(F188,'Výpočet VP 2020'!$D$324:$I$588,6,FALSE)</f>
        <v>Je v síti</v>
      </c>
      <c r="B188" s="128" t="s">
        <v>821</v>
      </c>
      <c r="C188" s="128">
        <v>44477309</v>
      </c>
      <c r="D188" s="128" t="s">
        <v>822</v>
      </c>
      <c r="E188" s="128" t="s">
        <v>360</v>
      </c>
      <c r="F188" s="128">
        <v>1356155</v>
      </c>
      <c r="G188" s="128" t="s">
        <v>328</v>
      </c>
      <c r="H188" s="128" t="s">
        <v>218</v>
      </c>
      <c r="I188" s="128" t="s">
        <v>823</v>
      </c>
      <c r="J188" s="129">
        <v>39083</v>
      </c>
      <c r="L188" s="128" t="s">
        <v>220</v>
      </c>
      <c r="AP188" s="128" t="s">
        <v>659</v>
      </c>
      <c r="AQ188" s="128">
        <v>3</v>
      </c>
      <c r="AR188" s="128">
        <v>13</v>
      </c>
      <c r="AS188" s="128">
        <v>45</v>
      </c>
      <c r="AT188" s="128">
        <v>46</v>
      </c>
      <c r="AU188" s="128">
        <v>35</v>
      </c>
      <c r="BJ188" s="128">
        <v>4015</v>
      </c>
      <c r="BL188" s="128" t="s">
        <v>535</v>
      </c>
      <c r="BM188" s="128" t="s">
        <v>325</v>
      </c>
      <c r="BN188" s="128" t="s">
        <v>352</v>
      </c>
      <c r="BO188" s="128">
        <v>0</v>
      </c>
      <c r="BP188" s="128">
        <v>0</v>
      </c>
      <c r="BQ188" s="128">
        <v>0</v>
      </c>
      <c r="BR188" s="128">
        <v>0</v>
      </c>
      <c r="BS188" s="128">
        <v>0</v>
      </c>
      <c r="BT188" s="128">
        <v>4</v>
      </c>
      <c r="BU188" s="128">
        <v>2</v>
      </c>
      <c r="BV188" s="128">
        <v>2</v>
      </c>
      <c r="BW188" s="128">
        <v>1</v>
      </c>
      <c r="BX188" s="128">
        <v>26</v>
      </c>
      <c r="BY188" s="128">
        <v>4</v>
      </c>
      <c r="BZ188" s="128">
        <v>2</v>
      </c>
      <c r="CA188" s="128">
        <v>2</v>
      </c>
      <c r="CB188" s="128">
        <v>1</v>
      </c>
      <c r="CC188" s="128">
        <v>26</v>
      </c>
      <c r="CD188" s="128">
        <v>0</v>
      </c>
      <c r="CE188" s="128">
        <v>35</v>
      </c>
      <c r="CF188" s="128">
        <v>35</v>
      </c>
      <c r="CG188" s="128">
        <v>0</v>
      </c>
      <c r="CH188" s="128">
        <v>0</v>
      </c>
      <c r="CI188" s="128">
        <v>0</v>
      </c>
      <c r="CJ188" s="128">
        <v>0</v>
      </c>
      <c r="CK188" s="128">
        <v>0</v>
      </c>
      <c r="CL188" s="128">
        <v>0</v>
      </c>
      <c r="CM188" s="128">
        <v>6</v>
      </c>
      <c r="CN188" s="128">
        <v>4</v>
      </c>
      <c r="CO188" s="128">
        <v>3</v>
      </c>
      <c r="CP188" s="128">
        <v>2</v>
      </c>
      <c r="CQ188" s="128">
        <v>20</v>
      </c>
      <c r="CR188" s="128">
        <v>6</v>
      </c>
      <c r="CS188" s="128">
        <v>4</v>
      </c>
      <c r="CT188" s="128">
        <v>3</v>
      </c>
      <c r="CU188" s="128">
        <v>2</v>
      </c>
      <c r="CV188" s="128">
        <v>20</v>
      </c>
      <c r="CW188" s="128">
        <v>0</v>
      </c>
      <c r="CX188" s="128">
        <v>35</v>
      </c>
      <c r="CY188" s="128">
        <v>35</v>
      </c>
      <c r="CZ188" s="128">
        <v>0</v>
      </c>
      <c r="EK188" s="128">
        <v>1</v>
      </c>
      <c r="EL188" s="128">
        <v>1</v>
      </c>
      <c r="EM188" s="128">
        <v>1</v>
      </c>
      <c r="EN188" s="128">
        <v>585000</v>
      </c>
      <c r="EO188" s="128">
        <v>450000</v>
      </c>
      <c r="EP188" s="128">
        <v>4</v>
      </c>
      <c r="EQ188" s="128">
        <v>3.75</v>
      </c>
      <c r="ER188" s="128">
        <v>3.75</v>
      </c>
      <c r="ES188" s="128">
        <v>1600000</v>
      </c>
      <c r="ET188" s="128">
        <v>1275000</v>
      </c>
      <c r="KG188" s="128">
        <v>0</v>
      </c>
      <c r="KI188" s="128">
        <v>4.75</v>
      </c>
      <c r="KJ188" s="128">
        <v>0</v>
      </c>
      <c r="KK188" s="128">
        <v>0</v>
      </c>
      <c r="KL188" s="128">
        <v>0</v>
      </c>
      <c r="KM188" s="128">
        <v>4.75</v>
      </c>
      <c r="KN188" s="128">
        <v>2185000</v>
      </c>
      <c r="KO188" s="128">
        <v>1725000</v>
      </c>
      <c r="KP188" s="128">
        <v>1725000</v>
      </c>
      <c r="KT188" s="128">
        <v>0</v>
      </c>
      <c r="KU188" s="128">
        <v>0</v>
      </c>
      <c r="KV188" s="128">
        <v>0</v>
      </c>
      <c r="KZ188" s="128">
        <v>0</v>
      </c>
      <c r="LA188" s="128">
        <v>0</v>
      </c>
      <c r="LB188" s="128">
        <v>0</v>
      </c>
      <c r="LF188" s="128">
        <v>20000</v>
      </c>
      <c r="LG188" s="128">
        <v>0</v>
      </c>
      <c r="LH188" s="128">
        <v>0</v>
      </c>
      <c r="LL188" s="128">
        <v>0</v>
      </c>
      <c r="LM188" s="128">
        <v>0</v>
      </c>
      <c r="LN188" s="128">
        <v>0</v>
      </c>
      <c r="LR188" s="128">
        <v>0</v>
      </c>
      <c r="LS188" s="128">
        <v>0</v>
      </c>
      <c r="LT188" s="128">
        <v>0</v>
      </c>
      <c r="LX188" s="128">
        <v>0</v>
      </c>
      <c r="LY188" s="128">
        <v>0</v>
      </c>
      <c r="LZ188" s="128">
        <v>0</v>
      </c>
      <c r="MD188" s="128">
        <v>10000</v>
      </c>
      <c r="ME188" s="128">
        <v>0</v>
      </c>
      <c r="MF188" s="128">
        <v>0</v>
      </c>
      <c r="MJ188" s="128">
        <v>100000</v>
      </c>
      <c r="MK188" s="128">
        <v>80000</v>
      </c>
      <c r="ML188" s="128">
        <v>80000</v>
      </c>
      <c r="MP188" s="128">
        <v>36000</v>
      </c>
      <c r="MQ188" s="128">
        <v>5000</v>
      </c>
      <c r="MR188" s="128">
        <v>5000</v>
      </c>
      <c r="MV188" s="128">
        <v>55000</v>
      </c>
      <c r="MW188" s="128">
        <v>40000</v>
      </c>
      <c r="MX188" s="128">
        <v>40000</v>
      </c>
      <c r="NB188" s="128">
        <v>6000</v>
      </c>
      <c r="NC188" s="128">
        <v>0</v>
      </c>
      <c r="ND188" s="128">
        <v>0</v>
      </c>
      <c r="NH188" s="128">
        <v>9000</v>
      </c>
      <c r="NI188" s="128">
        <v>0</v>
      </c>
      <c r="NJ188" s="128">
        <v>0</v>
      </c>
      <c r="NN188" s="128">
        <v>10000</v>
      </c>
      <c r="NO188" s="128">
        <v>5000</v>
      </c>
      <c r="NP188" s="128">
        <v>5000</v>
      </c>
      <c r="NT188" s="128">
        <v>14000</v>
      </c>
      <c r="NU188" s="128">
        <v>0</v>
      </c>
      <c r="NV188" s="128">
        <v>0</v>
      </c>
      <c r="NZ188" s="128">
        <v>35000</v>
      </c>
      <c r="OA188" s="128">
        <v>20000</v>
      </c>
      <c r="OB188" s="128">
        <v>20000</v>
      </c>
      <c r="OF188" s="128">
        <v>1000</v>
      </c>
      <c r="OG188" s="128">
        <v>0</v>
      </c>
      <c r="OH188" s="128">
        <v>0</v>
      </c>
      <c r="OL188" s="128">
        <v>0</v>
      </c>
      <c r="OM188" s="128">
        <v>0</v>
      </c>
      <c r="ON188" s="128">
        <v>0</v>
      </c>
      <c r="OR188" s="128">
        <v>0</v>
      </c>
      <c r="OS188" s="128">
        <v>0</v>
      </c>
      <c r="OT188" s="128">
        <v>0</v>
      </c>
      <c r="OX188" s="128">
        <v>27000</v>
      </c>
      <c r="OY188" s="128">
        <v>0</v>
      </c>
      <c r="OZ188" s="128">
        <v>0</v>
      </c>
      <c r="PD188" s="128">
        <v>0</v>
      </c>
      <c r="PE188" s="128">
        <v>0</v>
      </c>
      <c r="PF188" s="128">
        <v>0</v>
      </c>
      <c r="PJ188" s="128">
        <v>687000</v>
      </c>
      <c r="PK188" s="128">
        <v>0</v>
      </c>
      <c r="PL188" s="128">
        <v>0</v>
      </c>
      <c r="PP188" s="128">
        <v>3195000</v>
      </c>
      <c r="PQ188" s="128">
        <v>1875000</v>
      </c>
      <c r="PR188" s="128">
        <v>1875000</v>
      </c>
      <c r="PS188" s="128">
        <v>100</v>
      </c>
      <c r="PT188" s="128">
        <v>100</v>
      </c>
      <c r="PV188" s="128">
        <v>1626192</v>
      </c>
      <c r="PX188" s="128">
        <v>1100000</v>
      </c>
      <c r="PY188" s="128">
        <v>1100000</v>
      </c>
      <c r="PZ188" s="128">
        <v>1875000</v>
      </c>
      <c r="QA188" s="128">
        <v>0</v>
      </c>
      <c r="QB188" s="128">
        <v>0</v>
      </c>
      <c r="QC188" s="128">
        <v>0</v>
      </c>
      <c r="QD188" s="128">
        <v>0</v>
      </c>
      <c r="QE188" s="128">
        <v>0</v>
      </c>
      <c r="QF188" s="128">
        <v>0</v>
      </c>
      <c r="QG188" s="128">
        <v>0</v>
      </c>
      <c r="QH188" s="128">
        <v>0</v>
      </c>
      <c r="QI188" s="128">
        <v>0</v>
      </c>
      <c r="QJ188" s="128">
        <v>308929</v>
      </c>
      <c r="QK188" s="128">
        <v>390000</v>
      </c>
      <c r="QL188" s="128">
        <v>433000</v>
      </c>
      <c r="QN188" s="128">
        <v>0</v>
      </c>
      <c r="QO188" s="128">
        <v>0</v>
      </c>
      <c r="QP188" s="128">
        <v>0</v>
      </c>
      <c r="QU188" s="128">
        <v>350000</v>
      </c>
      <c r="QV188" s="128">
        <v>300500</v>
      </c>
      <c r="QW188" s="128">
        <v>200000</v>
      </c>
      <c r="QX188" s="128">
        <v>75000</v>
      </c>
      <c r="QY188" s="128">
        <v>75000</v>
      </c>
      <c r="QZ188" s="128">
        <v>95000</v>
      </c>
      <c r="RD188" s="128">
        <v>435461</v>
      </c>
      <c r="RE188" s="128">
        <v>636500</v>
      </c>
      <c r="RF188" s="128">
        <v>592000</v>
      </c>
      <c r="RH188" s="128">
        <f t="shared" si="310"/>
        <v>2762000</v>
      </c>
      <c r="RI188" s="128">
        <v>0</v>
      </c>
      <c r="RM188" s="128" t="s">
        <v>220</v>
      </c>
      <c r="RU188" s="130"/>
      <c r="RV188" s="130"/>
      <c r="RW188" s="130"/>
      <c r="RX188" s="130"/>
      <c r="SF188" s="128">
        <f t="shared" si="220"/>
        <v>1356155</v>
      </c>
      <c r="SG188" s="131">
        <f t="shared" si="221"/>
        <v>3195000</v>
      </c>
      <c r="SH188" s="131">
        <f t="shared" si="222"/>
        <v>3195000</v>
      </c>
      <c r="SI188" s="131">
        <f t="shared" si="223"/>
        <v>2205000</v>
      </c>
      <c r="SJ188" s="132">
        <f t="shared" si="224"/>
        <v>2185000</v>
      </c>
      <c r="SK188" s="132">
        <f t="shared" si="225"/>
        <v>0</v>
      </c>
      <c r="SL188" s="132">
        <f t="shared" si="226"/>
        <v>0</v>
      </c>
      <c r="SM188" s="132">
        <f t="shared" si="227"/>
        <v>20000</v>
      </c>
      <c r="SN188" s="131">
        <f t="shared" si="228"/>
        <v>990000</v>
      </c>
      <c r="SO188" s="131">
        <f t="shared" si="229"/>
        <v>0</v>
      </c>
      <c r="SP188" s="132">
        <f t="shared" si="230"/>
        <v>0</v>
      </c>
      <c r="SQ188" s="132">
        <f t="shared" si="231"/>
        <v>0</v>
      </c>
      <c r="SR188" s="132">
        <f t="shared" si="232"/>
        <v>0</v>
      </c>
      <c r="SS188" s="132">
        <f t="shared" si="233"/>
        <v>10000</v>
      </c>
      <c r="ST188" s="132">
        <f t="shared" si="234"/>
        <v>100000</v>
      </c>
      <c r="SU188" s="132">
        <f t="shared" si="235"/>
        <v>36000</v>
      </c>
      <c r="SV188" s="131">
        <f t="shared" si="236"/>
        <v>157000</v>
      </c>
      <c r="SW188" s="132">
        <f t="shared" si="237"/>
        <v>55000</v>
      </c>
      <c r="SX188" s="132">
        <f t="shared" si="238"/>
        <v>6000</v>
      </c>
      <c r="SY188" s="132">
        <f t="shared" si="239"/>
        <v>9000</v>
      </c>
      <c r="SZ188" s="132">
        <f t="shared" si="240"/>
        <v>10000</v>
      </c>
      <c r="TA188" s="132">
        <f t="shared" si="241"/>
        <v>14000</v>
      </c>
      <c r="TB188" s="132">
        <f t="shared" si="242"/>
        <v>35000</v>
      </c>
      <c r="TC188" s="132">
        <f t="shared" si="243"/>
        <v>1000</v>
      </c>
      <c r="TD188" s="132">
        <f t="shared" si="244"/>
        <v>0</v>
      </c>
      <c r="TE188" s="132">
        <f t="shared" si="245"/>
        <v>0</v>
      </c>
      <c r="TF188" s="132">
        <f t="shared" si="246"/>
        <v>27000</v>
      </c>
      <c r="TG188" s="132">
        <f t="shared" si="247"/>
        <v>0</v>
      </c>
      <c r="TH188" s="132">
        <f t="shared" si="248"/>
        <v>687000</v>
      </c>
      <c r="TI188" s="1"/>
      <c r="TJ188" s="131">
        <f t="shared" si="249"/>
        <v>1875000</v>
      </c>
      <c r="TK188" s="131">
        <f t="shared" si="250"/>
        <v>1875000</v>
      </c>
      <c r="TL188" s="131">
        <f t="shared" si="251"/>
        <v>1725000</v>
      </c>
      <c r="TM188" s="132">
        <f t="shared" si="252"/>
        <v>1725000</v>
      </c>
      <c r="TN188" s="132">
        <f t="shared" si="253"/>
        <v>0</v>
      </c>
      <c r="TO188" s="132">
        <f t="shared" si="254"/>
        <v>0</v>
      </c>
      <c r="TP188" s="132">
        <f t="shared" si="255"/>
        <v>0</v>
      </c>
      <c r="TQ188" s="131">
        <f t="shared" si="256"/>
        <v>150000</v>
      </c>
      <c r="TR188" s="131">
        <f t="shared" si="257"/>
        <v>0</v>
      </c>
      <c r="TS188" s="132">
        <f t="shared" si="258"/>
        <v>0</v>
      </c>
      <c r="TT188" s="132">
        <f t="shared" si="259"/>
        <v>0</v>
      </c>
      <c r="TU188" s="132">
        <f t="shared" si="260"/>
        <v>0</v>
      </c>
      <c r="TV188" s="132">
        <f t="shared" si="261"/>
        <v>0</v>
      </c>
      <c r="TW188" s="132">
        <f t="shared" si="262"/>
        <v>80000</v>
      </c>
      <c r="TX188" s="132">
        <f t="shared" si="263"/>
        <v>5000</v>
      </c>
      <c r="TY188" s="131">
        <f t="shared" si="264"/>
        <v>65000</v>
      </c>
      <c r="TZ188" s="132">
        <f t="shared" si="265"/>
        <v>40000</v>
      </c>
      <c r="UA188" s="132">
        <f t="shared" si="266"/>
        <v>0</v>
      </c>
      <c r="UB188" s="132">
        <f t="shared" si="267"/>
        <v>0</v>
      </c>
      <c r="UC188" s="132">
        <f t="shared" si="268"/>
        <v>5000</v>
      </c>
      <c r="UD188" s="132">
        <f t="shared" si="269"/>
        <v>0</v>
      </c>
      <c r="UE188" s="132">
        <f t="shared" si="270"/>
        <v>20000</v>
      </c>
      <c r="UF188" s="132">
        <f t="shared" si="271"/>
        <v>0</v>
      </c>
      <c r="UG188" s="132">
        <f t="shared" si="272"/>
        <v>0</v>
      </c>
      <c r="UH188" s="132">
        <f t="shared" si="273"/>
        <v>0</v>
      </c>
      <c r="UI188" s="132">
        <f t="shared" si="274"/>
        <v>0</v>
      </c>
      <c r="UJ188" s="132">
        <f t="shared" si="275"/>
        <v>0</v>
      </c>
      <c r="UK188" s="132">
        <f t="shared" si="276"/>
        <v>0</v>
      </c>
      <c r="UL188" s="132">
        <f t="shared" si="311"/>
        <v>1875000</v>
      </c>
      <c r="UM188" s="131">
        <f t="shared" si="277"/>
        <v>1875000</v>
      </c>
      <c r="UN188" s="131">
        <f t="shared" si="278"/>
        <v>1875000</v>
      </c>
      <c r="UO188" s="131">
        <f t="shared" si="279"/>
        <v>1725000</v>
      </c>
      <c r="UP188" s="132">
        <f t="shared" si="280"/>
        <v>1725000</v>
      </c>
      <c r="UQ188" s="132">
        <f t="shared" si="281"/>
        <v>0</v>
      </c>
      <c r="UR188" s="132">
        <f t="shared" si="282"/>
        <v>0</v>
      </c>
      <c r="US188" s="132">
        <f t="shared" si="283"/>
        <v>0</v>
      </c>
      <c r="UT188" s="131">
        <f t="shared" si="284"/>
        <v>150000</v>
      </c>
      <c r="UU188" s="131">
        <f t="shared" si="285"/>
        <v>0</v>
      </c>
      <c r="UV188" s="132">
        <f t="shared" si="286"/>
        <v>0</v>
      </c>
      <c r="UW188" s="132">
        <f t="shared" si="287"/>
        <v>0</v>
      </c>
      <c r="UX188" s="132">
        <f t="shared" si="288"/>
        <v>0</v>
      </c>
      <c r="UY188" s="132">
        <f t="shared" si="289"/>
        <v>0</v>
      </c>
      <c r="UZ188" s="132">
        <f t="shared" si="290"/>
        <v>80000</v>
      </c>
      <c r="VA188" s="132">
        <f t="shared" si="291"/>
        <v>5000</v>
      </c>
      <c r="VB188" s="131">
        <f t="shared" si="292"/>
        <v>65000</v>
      </c>
      <c r="VC188" s="132">
        <f t="shared" si="293"/>
        <v>40000</v>
      </c>
      <c r="VD188" s="132">
        <f t="shared" si="294"/>
        <v>0</v>
      </c>
      <c r="VE188" s="132">
        <f t="shared" si="295"/>
        <v>0</v>
      </c>
      <c r="VF188" s="132">
        <f t="shared" si="296"/>
        <v>5000</v>
      </c>
      <c r="VG188" s="132">
        <f t="shared" si="297"/>
        <v>0</v>
      </c>
      <c r="VH188" s="132">
        <f t="shared" si="298"/>
        <v>20000</v>
      </c>
      <c r="VI188" s="132">
        <f t="shared" si="299"/>
        <v>0</v>
      </c>
      <c r="VJ188" s="132">
        <f t="shared" si="300"/>
        <v>0</v>
      </c>
      <c r="VK188" s="132">
        <f t="shared" si="301"/>
        <v>0</v>
      </c>
      <c r="VL188" s="132">
        <f t="shared" si="302"/>
        <v>0</v>
      </c>
      <c r="VM188" s="132">
        <f t="shared" si="303"/>
        <v>0</v>
      </c>
      <c r="VN188" s="132">
        <f t="shared" si="304"/>
        <v>0</v>
      </c>
      <c r="VP188" s="845" t="str">
        <f>IFERROR(HLOOKUP(F188,'Hodnocení '!$C$1:$JH$5,2,FALSE),0)</f>
        <v>Oblastní charita Sobotka - Charitní pečovatelská služba</v>
      </c>
      <c r="VQ188" s="838"/>
      <c r="VR188" s="845" t="str">
        <f t="shared" si="312"/>
        <v>Církve a náboženské společnosti</v>
      </c>
      <c r="VS188" s="845" t="str">
        <f>IFERROR(HLOOKUP(F188,'Hodnocení '!$C$1:$JH$5,5,FALSE),0)</f>
        <v>NZO</v>
      </c>
      <c r="VT188" s="838">
        <f t="shared" si="313"/>
        <v>0</v>
      </c>
      <c r="VU188" s="838">
        <f t="shared" si="314"/>
        <v>0</v>
      </c>
      <c r="VV188" s="838">
        <f t="shared" si="315"/>
        <v>433000</v>
      </c>
      <c r="VW188" s="838">
        <f t="shared" si="316"/>
        <v>0</v>
      </c>
      <c r="VX188" s="838"/>
      <c r="VY188" s="838">
        <f t="shared" si="317"/>
        <v>0</v>
      </c>
      <c r="VZ188" s="838">
        <f t="shared" si="318"/>
        <v>1875000</v>
      </c>
      <c r="WA188" s="846">
        <f>IFERROR(HLOOKUP($F188,'Hodnocení '!$C$1:$JH$9,9,FALSE),0)</f>
        <v>1875000</v>
      </c>
      <c r="WB188" s="846">
        <f>IF(IFERROR(HLOOKUP($F188,'Hodnocení '!$C$1:$JH$13,13,FALSE),0)&gt;WA188,WA188,IFERROR(HLOOKUP($F188,'Hodnocení '!$C$1:$JH$13,13,FALSE),0))</f>
        <v>1875000</v>
      </c>
      <c r="WC188" s="846">
        <f>IFERROR(HLOOKUP($F188,'Hodnocení '!$C$1:$JH$155,155,FALSE),0)</f>
        <v>1875000</v>
      </c>
      <c r="WD188" s="845"/>
      <c r="WE188" s="845"/>
      <c r="WF188" s="845" t="str">
        <f t="shared" si="305"/>
        <v>ANO</v>
      </c>
      <c r="WG188" s="849" t="str">
        <f t="shared" si="320"/>
        <v>Podpora služby je vyjádřena zařazením do sítě sociálních služeb v KHK a řešením financování služby</v>
      </c>
      <c r="WH188"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88" s="849" t="str">
        <f t="shared" si="320"/>
        <v>Návrh dotace je výsledkem projednání s ostatními zadavateli v rámci sítě služeb KHK</v>
      </c>
      <c r="WJ188" s="849" t="str">
        <f t="shared" si="320"/>
        <v>Bez komentáře</v>
      </c>
      <c r="WK188" s="31">
        <f t="shared" si="306"/>
        <v>0</v>
      </c>
      <c r="WL188" s="850">
        <f t="shared" si="307"/>
        <v>0</v>
      </c>
      <c r="WM188" s="849" t="str">
        <f t="shared" si="308"/>
        <v>V rámci sítě KHK se dlouhodobě řeší otázka navyšování úhrad a průběžně se monitoruje s vazbou na vykrytí vyrovnávací platby</v>
      </c>
      <c r="WN188" s="849">
        <f t="shared" si="309"/>
        <v>0</v>
      </c>
      <c r="WO188" s="849" t="str">
        <f t="shared" si="319"/>
        <v>bez komentáře</v>
      </c>
      <c r="WP188" s="849" t="str">
        <f t="shared" si="319"/>
        <v>bez komentáře</v>
      </c>
      <c r="WQ188" s="849" t="str">
        <f t="shared" si="319"/>
        <v>Konečná výše dotace z rozpočtu KHK bude řešena v návaznosti na řešení podílů jednotlivých zadavatelů.</v>
      </c>
      <c r="WR188" s="849" t="str">
        <f t="shared" si="319"/>
        <v>Konečná výše podpory ze stran obcí bude řešena v součinnosti s jednotlivými zadavateli v průběhu roku.</v>
      </c>
      <c r="WS188" s="849" t="str">
        <f t="shared" si="319"/>
        <v>bez komentáře</v>
      </c>
      <c r="WT188" s="849" t="str">
        <f t="shared" si="319"/>
        <v>bez komentáře</v>
      </c>
      <c r="WU188" s="845"/>
    </row>
    <row r="189" spans="1:619" s="128" customFormat="1" x14ac:dyDescent="0.25">
      <c r="A189" s="128" t="str">
        <f>VLOOKUP(F189,'Výpočet VP 2020'!$D$324:$I$588,6,FALSE)</f>
        <v>Je v síti</v>
      </c>
      <c r="B189" s="128" t="s">
        <v>821</v>
      </c>
      <c r="C189" s="128">
        <v>44477309</v>
      </c>
      <c r="D189" s="128" t="s">
        <v>822</v>
      </c>
      <c r="E189" s="128" t="s">
        <v>360</v>
      </c>
      <c r="F189" s="128">
        <v>5894253</v>
      </c>
      <c r="G189" s="128" t="s">
        <v>348</v>
      </c>
      <c r="H189" s="128" t="s">
        <v>218</v>
      </c>
      <c r="I189" s="128" t="s">
        <v>824</v>
      </c>
      <c r="J189" s="129">
        <v>39083</v>
      </c>
      <c r="L189" s="128" t="s">
        <v>220</v>
      </c>
      <c r="M189" s="128" t="s">
        <v>825</v>
      </c>
      <c r="N189" s="128">
        <v>25</v>
      </c>
      <c r="P189" s="128">
        <v>30</v>
      </c>
      <c r="Q189" s="128">
        <v>37</v>
      </c>
      <c r="R189" s="128">
        <v>35</v>
      </c>
      <c r="BL189" s="128" t="s">
        <v>351</v>
      </c>
      <c r="BM189" s="128" t="s">
        <v>325</v>
      </c>
      <c r="BN189" s="128" t="s">
        <v>352</v>
      </c>
      <c r="DA189" s="128">
        <v>0</v>
      </c>
      <c r="DB189" s="128">
        <v>0</v>
      </c>
      <c r="DC189" s="128">
        <v>0</v>
      </c>
      <c r="DD189" s="128">
        <v>0</v>
      </c>
      <c r="DE189" s="128">
        <v>0</v>
      </c>
      <c r="DF189" s="128">
        <v>3</v>
      </c>
      <c r="DG189" s="128">
        <v>7</v>
      </c>
      <c r="DH189" s="128">
        <v>9</v>
      </c>
      <c r="DI189" s="128">
        <v>6</v>
      </c>
      <c r="DJ189" s="128">
        <v>0</v>
      </c>
      <c r="DK189" s="128">
        <v>3</v>
      </c>
      <c r="DL189" s="128">
        <v>7</v>
      </c>
      <c r="DM189" s="128">
        <v>9</v>
      </c>
      <c r="DN189" s="128">
        <v>6</v>
      </c>
      <c r="DO189" s="128">
        <v>0</v>
      </c>
      <c r="DP189" s="128">
        <v>0</v>
      </c>
      <c r="DQ189" s="128">
        <v>25</v>
      </c>
      <c r="DR189" s="128">
        <v>25</v>
      </c>
      <c r="DS189" s="128">
        <v>0</v>
      </c>
      <c r="DT189" s="128">
        <v>0</v>
      </c>
      <c r="DU189" s="128">
        <v>0</v>
      </c>
      <c r="DV189" s="128">
        <v>0</v>
      </c>
      <c r="DW189" s="128">
        <v>0</v>
      </c>
      <c r="DX189" s="128">
        <v>0</v>
      </c>
      <c r="DY189" s="128">
        <v>4</v>
      </c>
      <c r="DZ189" s="128">
        <v>11</v>
      </c>
      <c r="EA189" s="128">
        <v>10</v>
      </c>
      <c r="EB189" s="128">
        <v>0</v>
      </c>
      <c r="EC189" s="128">
        <v>0</v>
      </c>
      <c r="ED189" s="128">
        <v>4</v>
      </c>
      <c r="EE189" s="128">
        <v>11</v>
      </c>
      <c r="EF189" s="128">
        <v>10</v>
      </c>
      <c r="EG189" s="128">
        <v>0</v>
      </c>
      <c r="EH189" s="128">
        <v>0</v>
      </c>
      <c r="EI189" s="128">
        <v>25</v>
      </c>
      <c r="EJ189" s="128">
        <v>25</v>
      </c>
      <c r="EK189" s="128">
        <v>1</v>
      </c>
      <c r="EL189" s="128">
        <v>1</v>
      </c>
      <c r="EM189" s="128">
        <v>1</v>
      </c>
      <c r="EN189" s="128">
        <v>585000</v>
      </c>
      <c r="EO189" s="128">
        <v>400000</v>
      </c>
      <c r="EP189" s="128">
        <v>10</v>
      </c>
      <c r="EQ189" s="128">
        <v>10</v>
      </c>
      <c r="ER189" s="128">
        <v>10</v>
      </c>
      <c r="ES189" s="128">
        <v>4600000</v>
      </c>
      <c r="ET189" s="128">
        <v>4200000</v>
      </c>
      <c r="EU189" s="128">
        <v>4</v>
      </c>
      <c r="EV189" s="128">
        <v>3.5</v>
      </c>
      <c r="EW189" s="128">
        <v>2.8</v>
      </c>
      <c r="EX189" s="128">
        <v>1680000</v>
      </c>
      <c r="EY189" s="128">
        <v>0</v>
      </c>
      <c r="FO189" s="128">
        <v>15</v>
      </c>
      <c r="FP189" s="128">
        <v>14.75</v>
      </c>
      <c r="FQ189" s="128">
        <v>14</v>
      </c>
      <c r="FR189" s="128">
        <v>5166000</v>
      </c>
      <c r="FS189" s="128">
        <v>1588000</v>
      </c>
      <c r="IN189" s="128">
        <v>2</v>
      </c>
      <c r="IO189" s="128">
        <v>600</v>
      </c>
      <c r="IP189" s="128">
        <v>0.28599999999999998</v>
      </c>
      <c r="IQ189" s="128">
        <v>105000</v>
      </c>
      <c r="IR189" s="128">
        <v>0</v>
      </c>
      <c r="KG189" s="128">
        <v>0</v>
      </c>
      <c r="KI189" s="128">
        <v>14.5</v>
      </c>
      <c r="KJ189" s="128">
        <v>0</v>
      </c>
      <c r="KK189" s="128">
        <v>0.28599999999999998</v>
      </c>
      <c r="KL189" s="128">
        <v>0</v>
      </c>
      <c r="KM189" s="128">
        <v>14.786</v>
      </c>
      <c r="KN189" s="128">
        <v>12031000</v>
      </c>
      <c r="KO189" s="128">
        <v>6188000</v>
      </c>
      <c r="KP189" s="128">
        <v>6188000</v>
      </c>
      <c r="KT189" s="128">
        <v>0</v>
      </c>
      <c r="KU189" s="128">
        <v>0</v>
      </c>
      <c r="KV189" s="128">
        <v>0</v>
      </c>
      <c r="KZ189" s="128">
        <v>105000</v>
      </c>
      <c r="LA189" s="128">
        <v>0</v>
      </c>
      <c r="LB189" s="128">
        <v>0</v>
      </c>
      <c r="LF189" s="128">
        <v>120000</v>
      </c>
      <c r="LG189" s="128">
        <v>0</v>
      </c>
      <c r="LH189" s="128">
        <v>0</v>
      </c>
      <c r="LL189" s="128">
        <v>0</v>
      </c>
      <c r="LM189" s="128">
        <v>0</v>
      </c>
      <c r="LN189" s="128">
        <v>0</v>
      </c>
      <c r="LR189" s="128">
        <v>240000</v>
      </c>
      <c r="LS189" s="128">
        <v>0</v>
      </c>
      <c r="LT189" s="128">
        <v>0</v>
      </c>
      <c r="LX189" s="128">
        <v>1600000</v>
      </c>
      <c r="LY189" s="128">
        <v>0</v>
      </c>
      <c r="LZ189" s="128">
        <v>0</v>
      </c>
      <c r="MD189" s="128">
        <v>20000</v>
      </c>
      <c r="ME189" s="128">
        <v>0</v>
      </c>
      <c r="MF189" s="128">
        <v>0</v>
      </c>
      <c r="MJ189" s="128">
        <v>60000</v>
      </c>
      <c r="MK189" s="128">
        <v>0</v>
      </c>
      <c r="ML189" s="128">
        <v>0</v>
      </c>
      <c r="MP189" s="128">
        <v>285000</v>
      </c>
      <c r="MQ189" s="128">
        <v>42000</v>
      </c>
      <c r="MR189" s="128">
        <v>42000</v>
      </c>
      <c r="MV189" s="128">
        <v>1040000</v>
      </c>
      <c r="MW189" s="128">
        <v>730000</v>
      </c>
      <c r="MX189" s="128">
        <v>730000</v>
      </c>
      <c r="NB189" s="128">
        <v>60000</v>
      </c>
      <c r="NC189" s="128">
        <v>0</v>
      </c>
      <c r="ND189" s="128">
        <v>0</v>
      </c>
      <c r="NH189" s="128">
        <v>80000</v>
      </c>
      <c r="NI189" s="128">
        <v>0</v>
      </c>
      <c r="NJ189" s="128">
        <v>0</v>
      </c>
      <c r="NN189" s="128">
        <v>30000</v>
      </c>
      <c r="NO189" s="128">
        <v>0</v>
      </c>
      <c r="NP189" s="128">
        <v>0</v>
      </c>
      <c r="NT189" s="128">
        <v>50000</v>
      </c>
      <c r="NU189" s="128">
        <v>0</v>
      </c>
      <c r="NV189" s="128">
        <v>0</v>
      </c>
      <c r="NZ189" s="128">
        <v>360000</v>
      </c>
      <c r="OA189" s="128">
        <v>0</v>
      </c>
      <c r="OB189" s="128">
        <v>0</v>
      </c>
      <c r="OF189" s="128">
        <v>4000</v>
      </c>
      <c r="OG189" s="128">
        <v>0</v>
      </c>
      <c r="OH189" s="128">
        <v>0</v>
      </c>
      <c r="OL189" s="128">
        <v>0</v>
      </c>
      <c r="OM189" s="128">
        <v>0</v>
      </c>
      <c r="ON189" s="128">
        <v>0</v>
      </c>
      <c r="OR189" s="128">
        <v>0</v>
      </c>
      <c r="OS189" s="128">
        <v>0</v>
      </c>
      <c r="OT189" s="128">
        <v>0</v>
      </c>
      <c r="OX189" s="128">
        <v>230000</v>
      </c>
      <c r="OY189" s="128">
        <v>0</v>
      </c>
      <c r="OZ189" s="128">
        <v>0</v>
      </c>
      <c r="PD189" s="128">
        <v>300000</v>
      </c>
      <c r="PE189" s="128">
        <v>0</v>
      </c>
      <c r="PF189" s="128">
        <v>0</v>
      </c>
      <c r="PJ189" s="128">
        <v>403000</v>
      </c>
      <c r="PK189" s="128">
        <v>0</v>
      </c>
      <c r="PL189" s="128">
        <v>0</v>
      </c>
      <c r="PP189" s="128">
        <v>17018000</v>
      </c>
      <c r="PQ189" s="128">
        <v>6960000</v>
      </c>
      <c r="PR189" s="128">
        <v>6960000</v>
      </c>
      <c r="PS189" s="128">
        <v>100</v>
      </c>
      <c r="PT189" s="128">
        <v>100</v>
      </c>
      <c r="PV189" s="128">
        <v>8261866</v>
      </c>
      <c r="PX189" s="128">
        <v>3600000</v>
      </c>
      <c r="PY189" s="128">
        <v>3600000</v>
      </c>
      <c r="PZ189" s="128">
        <v>6960000</v>
      </c>
      <c r="QA189" s="128">
        <v>0</v>
      </c>
      <c r="QB189" s="128">
        <v>0</v>
      </c>
      <c r="QC189" s="128">
        <v>0</v>
      </c>
      <c r="QD189" s="128">
        <v>0</v>
      </c>
      <c r="QE189" s="128">
        <v>0</v>
      </c>
      <c r="QF189" s="128">
        <v>0</v>
      </c>
      <c r="QG189" s="128">
        <v>0</v>
      </c>
      <c r="QH189" s="128">
        <v>0</v>
      </c>
      <c r="QI189" s="128">
        <v>0</v>
      </c>
      <c r="QJ189" s="128">
        <v>5362627</v>
      </c>
      <c r="QK189" s="128">
        <v>5700000</v>
      </c>
      <c r="QL189" s="128">
        <v>5835000</v>
      </c>
      <c r="QN189" s="128">
        <v>967205</v>
      </c>
      <c r="QO189" s="128">
        <v>1100000</v>
      </c>
      <c r="QP189" s="128">
        <v>1100000</v>
      </c>
      <c r="QU189" s="128">
        <v>1500000</v>
      </c>
      <c r="QV189" s="128">
        <v>1431500</v>
      </c>
      <c r="QW189" s="128">
        <v>1000000</v>
      </c>
      <c r="QX189" s="128">
        <v>29000</v>
      </c>
      <c r="QY189" s="128">
        <v>30000</v>
      </c>
      <c r="QZ189" s="128">
        <v>30000</v>
      </c>
      <c r="RD189" s="128">
        <v>1936922</v>
      </c>
      <c r="RE189" s="128">
        <v>1865500</v>
      </c>
      <c r="RF189" s="128">
        <v>2093000</v>
      </c>
      <c r="RH189" s="128">
        <f t="shared" si="310"/>
        <v>10083000</v>
      </c>
      <c r="RI189" s="128">
        <v>0</v>
      </c>
      <c r="RM189" s="128" t="s">
        <v>220</v>
      </c>
      <c r="RU189" s="130"/>
      <c r="RV189" s="130"/>
      <c r="RW189" s="130"/>
      <c r="RX189" s="130"/>
      <c r="SF189" s="128">
        <f t="shared" si="220"/>
        <v>5894253</v>
      </c>
      <c r="SG189" s="131">
        <f t="shared" si="221"/>
        <v>17018000</v>
      </c>
      <c r="SH189" s="131">
        <f t="shared" si="222"/>
        <v>17018000</v>
      </c>
      <c r="SI189" s="131">
        <f t="shared" si="223"/>
        <v>12256000</v>
      </c>
      <c r="SJ189" s="132">
        <f t="shared" si="224"/>
        <v>12031000</v>
      </c>
      <c r="SK189" s="132">
        <f t="shared" si="225"/>
        <v>0</v>
      </c>
      <c r="SL189" s="132">
        <f t="shared" si="226"/>
        <v>105000</v>
      </c>
      <c r="SM189" s="132">
        <f t="shared" si="227"/>
        <v>120000</v>
      </c>
      <c r="SN189" s="131">
        <f t="shared" si="228"/>
        <v>4762000</v>
      </c>
      <c r="SO189" s="131">
        <f t="shared" si="229"/>
        <v>240000</v>
      </c>
      <c r="SP189" s="132">
        <f t="shared" si="230"/>
        <v>0</v>
      </c>
      <c r="SQ189" s="132">
        <f t="shared" si="231"/>
        <v>240000</v>
      </c>
      <c r="SR189" s="132">
        <f t="shared" si="232"/>
        <v>1600000</v>
      </c>
      <c r="SS189" s="132">
        <f t="shared" si="233"/>
        <v>20000</v>
      </c>
      <c r="ST189" s="132">
        <f t="shared" si="234"/>
        <v>60000</v>
      </c>
      <c r="SU189" s="132">
        <f t="shared" si="235"/>
        <v>285000</v>
      </c>
      <c r="SV189" s="131">
        <f t="shared" si="236"/>
        <v>1854000</v>
      </c>
      <c r="SW189" s="132">
        <f t="shared" si="237"/>
        <v>1040000</v>
      </c>
      <c r="SX189" s="132">
        <f t="shared" si="238"/>
        <v>60000</v>
      </c>
      <c r="SY189" s="132">
        <f t="shared" si="239"/>
        <v>80000</v>
      </c>
      <c r="SZ189" s="132">
        <f t="shared" si="240"/>
        <v>30000</v>
      </c>
      <c r="TA189" s="132">
        <f t="shared" si="241"/>
        <v>50000</v>
      </c>
      <c r="TB189" s="132">
        <f t="shared" si="242"/>
        <v>360000</v>
      </c>
      <c r="TC189" s="132">
        <f t="shared" si="243"/>
        <v>4000</v>
      </c>
      <c r="TD189" s="132">
        <f t="shared" si="244"/>
        <v>0</v>
      </c>
      <c r="TE189" s="132">
        <f t="shared" si="245"/>
        <v>0</v>
      </c>
      <c r="TF189" s="132">
        <f t="shared" si="246"/>
        <v>230000</v>
      </c>
      <c r="TG189" s="132">
        <f t="shared" si="247"/>
        <v>300000</v>
      </c>
      <c r="TH189" s="132">
        <f t="shared" si="248"/>
        <v>403000</v>
      </c>
      <c r="TI189" s="1"/>
      <c r="TJ189" s="131">
        <f t="shared" si="249"/>
        <v>6960000</v>
      </c>
      <c r="TK189" s="131">
        <f t="shared" si="250"/>
        <v>6960000</v>
      </c>
      <c r="TL189" s="131">
        <f t="shared" si="251"/>
        <v>6188000</v>
      </c>
      <c r="TM189" s="132">
        <f t="shared" si="252"/>
        <v>6188000</v>
      </c>
      <c r="TN189" s="132">
        <f t="shared" si="253"/>
        <v>0</v>
      </c>
      <c r="TO189" s="132">
        <f t="shared" si="254"/>
        <v>0</v>
      </c>
      <c r="TP189" s="132">
        <f t="shared" si="255"/>
        <v>0</v>
      </c>
      <c r="TQ189" s="131">
        <f t="shared" si="256"/>
        <v>772000</v>
      </c>
      <c r="TR189" s="131">
        <f t="shared" si="257"/>
        <v>0</v>
      </c>
      <c r="TS189" s="132">
        <f t="shared" si="258"/>
        <v>0</v>
      </c>
      <c r="TT189" s="132">
        <f t="shared" si="259"/>
        <v>0</v>
      </c>
      <c r="TU189" s="132">
        <f t="shared" si="260"/>
        <v>0</v>
      </c>
      <c r="TV189" s="132">
        <f t="shared" si="261"/>
        <v>0</v>
      </c>
      <c r="TW189" s="132">
        <f t="shared" si="262"/>
        <v>0</v>
      </c>
      <c r="TX189" s="132">
        <f t="shared" si="263"/>
        <v>42000</v>
      </c>
      <c r="TY189" s="131">
        <f t="shared" si="264"/>
        <v>730000</v>
      </c>
      <c r="TZ189" s="132">
        <f t="shared" si="265"/>
        <v>730000</v>
      </c>
      <c r="UA189" s="132">
        <f t="shared" si="266"/>
        <v>0</v>
      </c>
      <c r="UB189" s="132">
        <f t="shared" si="267"/>
        <v>0</v>
      </c>
      <c r="UC189" s="132">
        <f t="shared" si="268"/>
        <v>0</v>
      </c>
      <c r="UD189" s="132">
        <f t="shared" si="269"/>
        <v>0</v>
      </c>
      <c r="UE189" s="132">
        <f t="shared" si="270"/>
        <v>0</v>
      </c>
      <c r="UF189" s="132">
        <f t="shared" si="271"/>
        <v>0</v>
      </c>
      <c r="UG189" s="132">
        <f t="shared" si="272"/>
        <v>0</v>
      </c>
      <c r="UH189" s="132">
        <f t="shared" si="273"/>
        <v>0</v>
      </c>
      <c r="UI189" s="132">
        <f t="shared" si="274"/>
        <v>0</v>
      </c>
      <c r="UJ189" s="132">
        <f t="shared" si="275"/>
        <v>0</v>
      </c>
      <c r="UK189" s="132">
        <f t="shared" si="276"/>
        <v>0</v>
      </c>
      <c r="UL189" s="132">
        <f t="shared" si="311"/>
        <v>6960000</v>
      </c>
      <c r="UM189" s="131">
        <f t="shared" si="277"/>
        <v>6960000</v>
      </c>
      <c r="UN189" s="131">
        <f t="shared" si="278"/>
        <v>6960000</v>
      </c>
      <c r="UO189" s="131">
        <f t="shared" si="279"/>
        <v>6188000</v>
      </c>
      <c r="UP189" s="132">
        <f t="shared" si="280"/>
        <v>6188000</v>
      </c>
      <c r="UQ189" s="132">
        <f t="shared" si="281"/>
        <v>0</v>
      </c>
      <c r="UR189" s="132">
        <f t="shared" si="282"/>
        <v>0</v>
      </c>
      <c r="US189" s="132">
        <f t="shared" si="283"/>
        <v>0</v>
      </c>
      <c r="UT189" s="131">
        <f t="shared" si="284"/>
        <v>772000</v>
      </c>
      <c r="UU189" s="131">
        <f t="shared" si="285"/>
        <v>0</v>
      </c>
      <c r="UV189" s="132">
        <f t="shared" si="286"/>
        <v>0</v>
      </c>
      <c r="UW189" s="132">
        <f t="shared" si="287"/>
        <v>0</v>
      </c>
      <c r="UX189" s="132">
        <f t="shared" si="288"/>
        <v>0</v>
      </c>
      <c r="UY189" s="132">
        <f t="shared" si="289"/>
        <v>0</v>
      </c>
      <c r="UZ189" s="132">
        <f t="shared" si="290"/>
        <v>0</v>
      </c>
      <c r="VA189" s="132">
        <f t="shared" si="291"/>
        <v>42000</v>
      </c>
      <c r="VB189" s="131">
        <f t="shared" si="292"/>
        <v>730000</v>
      </c>
      <c r="VC189" s="132">
        <f t="shared" si="293"/>
        <v>730000</v>
      </c>
      <c r="VD189" s="132">
        <f t="shared" si="294"/>
        <v>0</v>
      </c>
      <c r="VE189" s="132">
        <f t="shared" si="295"/>
        <v>0</v>
      </c>
      <c r="VF189" s="132">
        <f t="shared" si="296"/>
        <v>0</v>
      </c>
      <c r="VG189" s="132">
        <f t="shared" si="297"/>
        <v>0</v>
      </c>
      <c r="VH189" s="132">
        <f t="shared" si="298"/>
        <v>0</v>
      </c>
      <c r="VI189" s="132">
        <f t="shared" si="299"/>
        <v>0</v>
      </c>
      <c r="VJ189" s="132">
        <f t="shared" si="300"/>
        <v>0</v>
      </c>
      <c r="VK189" s="132">
        <f t="shared" si="301"/>
        <v>0</v>
      </c>
      <c r="VL189" s="132">
        <f t="shared" si="302"/>
        <v>0</v>
      </c>
      <c r="VM189" s="132">
        <f t="shared" si="303"/>
        <v>0</v>
      </c>
      <c r="VN189" s="132">
        <f t="shared" si="304"/>
        <v>0</v>
      </c>
      <c r="VP189" s="845" t="str">
        <f>IFERROR(HLOOKUP(F189,'Hodnocení '!$C$1:$JH$5,2,FALSE),0)</f>
        <v>Oblastní charita Sobotka - Domov pokojného stáří Libošovice</v>
      </c>
      <c r="VQ189" s="838"/>
      <c r="VR189" s="845" t="str">
        <f t="shared" si="312"/>
        <v>Církve a náboženské společnosti</v>
      </c>
      <c r="VS189" s="845" t="str">
        <f>IFERROR(HLOOKUP(F189,'Hodnocení '!$C$1:$JH$5,5,FALSE),0)</f>
        <v>NZO</v>
      </c>
      <c r="VT189" s="838">
        <f t="shared" si="313"/>
        <v>0</v>
      </c>
      <c r="VU189" s="838">
        <f t="shared" si="314"/>
        <v>0</v>
      </c>
      <c r="VV189" s="838">
        <f t="shared" si="315"/>
        <v>5835000</v>
      </c>
      <c r="VW189" s="838">
        <f t="shared" si="316"/>
        <v>1100000</v>
      </c>
      <c r="VX189" s="838"/>
      <c r="VY189" s="838">
        <f t="shared" si="317"/>
        <v>0</v>
      </c>
      <c r="VZ189" s="838">
        <f t="shared" si="318"/>
        <v>6960000</v>
      </c>
      <c r="WA189" s="846">
        <f>IFERROR(HLOOKUP($F189,'Hodnocení '!$C$1:$JH$9,9,FALSE),0)</f>
        <v>6960000</v>
      </c>
      <c r="WB189" s="846">
        <f>IF(IFERROR(HLOOKUP($F189,'Hodnocení '!$C$1:$JH$13,13,FALSE),0)&gt;WA189,WA189,IFERROR(HLOOKUP($F189,'Hodnocení '!$C$1:$JH$13,13,FALSE),0))</f>
        <v>5572023.830386878</v>
      </c>
      <c r="WC189" s="846">
        <f>IFERROR(HLOOKUP($F189,'Hodnocení '!$C$1:$JH$155,155,FALSE),0)</f>
        <v>5644990</v>
      </c>
      <c r="WD189" s="845"/>
      <c r="WE189" s="845"/>
      <c r="WF189" s="845" t="str">
        <f t="shared" si="305"/>
        <v>ANO</v>
      </c>
      <c r="WG189" s="849" t="str">
        <f t="shared" si="320"/>
        <v>Podpora služby je vyjádřena zařazením do sítě sociálních služeb v KHK a řešením financování služby</v>
      </c>
      <c r="WH189"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89" s="849" t="str">
        <f t="shared" si="320"/>
        <v>Návrh dotace je výsledkem projednání s ostatními zadavateli v rámci sítě služeb KHK</v>
      </c>
      <c r="WJ189" s="849" t="str">
        <f t="shared" si="320"/>
        <v>Bez komentáře</v>
      </c>
      <c r="WK189" s="31">
        <f t="shared" si="306"/>
        <v>0</v>
      </c>
      <c r="WL189" s="850">
        <f t="shared" si="307"/>
        <v>0</v>
      </c>
      <c r="WM189" s="849" t="str">
        <f t="shared" si="308"/>
        <v>V rámci sítě KHK se dlouhodobě řeší otázka navyšování úhrad a průběžně se monitoruje s vazbou na vykrytí vyrovnávací platby</v>
      </c>
      <c r="WN189" s="849" t="str">
        <f t="shared" si="309"/>
        <v>Otázka výběru od zdravotních pojišťoven je předmětem procesu, který probíhá ve formě jednání se ZP a organizacemi</v>
      </c>
      <c r="WO189" s="849" t="str">
        <f t="shared" si="319"/>
        <v>bez komentáře</v>
      </c>
      <c r="WP189" s="849" t="str">
        <f t="shared" si="319"/>
        <v>bez komentáře</v>
      </c>
      <c r="WQ189" s="849" t="str">
        <f t="shared" si="319"/>
        <v>Konečná výše dotace z rozpočtu KHK bude řešena v návaznosti na řešení podílů jednotlivých zadavatelů.</v>
      </c>
      <c r="WR189" s="849" t="str">
        <f t="shared" si="319"/>
        <v>Konečná výše podpory ze stran obcí bude řešena v součinnosti s jednotlivými zadavateli v průběhu roku.</v>
      </c>
      <c r="WS189" s="849" t="str">
        <f t="shared" si="319"/>
        <v>bez komentáře</v>
      </c>
      <c r="WT189" s="849" t="str">
        <f t="shared" si="319"/>
        <v>bez komentáře</v>
      </c>
      <c r="WU189" s="845"/>
    </row>
    <row r="190" spans="1:619" s="128" customFormat="1" x14ac:dyDescent="0.25">
      <c r="A190" s="128" t="str">
        <f>VLOOKUP(F190,'Výpočet VP 2020'!$D$324:$I$588,6,FALSE)</f>
        <v>Je v síti</v>
      </c>
      <c r="B190" s="128" t="s">
        <v>826</v>
      </c>
      <c r="C190" s="128">
        <v>43465439</v>
      </c>
      <c r="D190" s="128" t="s">
        <v>827</v>
      </c>
      <c r="E190" s="128" t="s">
        <v>360</v>
      </c>
      <c r="F190" s="128">
        <v>2788586</v>
      </c>
      <c r="G190" s="128" t="s">
        <v>342</v>
      </c>
      <c r="H190" s="128" t="s">
        <v>230</v>
      </c>
      <c r="I190" s="128" t="s">
        <v>828</v>
      </c>
      <c r="J190" s="129">
        <v>42186</v>
      </c>
      <c r="L190" s="128" t="s">
        <v>220</v>
      </c>
      <c r="X190" s="128" t="s">
        <v>266</v>
      </c>
      <c r="Z190" s="128">
        <v>1</v>
      </c>
      <c r="AA190" s="128">
        <v>2</v>
      </c>
      <c r="AB190" s="128">
        <v>29</v>
      </c>
      <c r="AC190" s="128">
        <v>30</v>
      </c>
      <c r="AD190" s="128">
        <v>35</v>
      </c>
      <c r="AP190" s="128" t="s">
        <v>274</v>
      </c>
      <c r="AQ190" s="128">
        <v>2</v>
      </c>
      <c r="AR190" s="128">
        <v>8</v>
      </c>
      <c r="AS190" s="128">
        <v>29</v>
      </c>
      <c r="AT190" s="128">
        <v>30</v>
      </c>
      <c r="AU190" s="128">
        <v>35</v>
      </c>
      <c r="BL190" s="128" t="s">
        <v>278</v>
      </c>
      <c r="BM190" s="128" t="s">
        <v>279</v>
      </c>
      <c r="BN190" s="128" t="s">
        <v>347</v>
      </c>
      <c r="EK190" s="128">
        <v>3</v>
      </c>
      <c r="EL190" s="128">
        <v>2.2999999999999998</v>
      </c>
      <c r="EM190" s="128">
        <v>1.78</v>
      </c>
      <c r="EN190" s="128">
        <v>1035000</v>
      </c>
      <c r="EO190" s="128">
        <v>289000</v>
      </c>
      <c r="FO190" s="128">
        <v>2</v>
      </c>
      <c r="FP190" s="128">
        <v>0.21</v>
      </c>
      <c r="FQ190" s="128">
        <v>0.23</v>
      </c>
      <c r="FR190" s="128">
        <v>116000</v>
      </c>
      <c r="FS190" s="128">
        <v>50000</v>
      </c>
      <c r="IH190" s="128">
        <v>1</v>
      </c>
      <c r="II190" s="128">
        <v>0.01</v>
      </c>
      <c r="IJ190" s="128">
        <v>12</v>
      </c>
      <c r="IK190" s="128">
        <v>0.01</v>
      </c>
      <c r="IL190" s="128">
        <v>6000</v>
      </c>
      <c r="IM190" s="128">
        <v>0</v>
      </c>
      <c r="KG190" s="128">
        <v>0</v>
      </c>
      <c r="KI190" s="128">
        <v>2.2999999999999998</v>
      </c>
      <c r="KJ190" s="128">
        <v>0</v>
      </c>
      <c r="KK190" s="128">
        <v>0</v>
      </c>
      <c r="KL190" s="128">
        <v>0</v>
      </c>
      <c r="KM190" s="128">
        <v>2.2999999999999998</v>
      </c>
      <c r="KN190" s="128">
        <v>1151000</v>
      </c>
      <c r="KO190" s="128">
        <v>339000</v>
      </c>
      <c r="KP190" s="128">
        <v>339000</v>
      </c>
      <c r="KT190" s="128">
        <v>6000</v>
      </c>
      <c r="KU190" s="128">
        <v>0</v>
      </c>
      <c r="KV190" s="128">
        <v>0</v>
      </c>
      <c r="KZ190" s="128">
        <v>0</v>
      </c>
      <c r="LA190" s="128">
        <v>0</v>
      </c>
      <c r="LB190" s="128">
        <v>0</v>
      </c>
      <c r="LF190" s="128">
        <v>18000</v>
      </c>
      <c r="LG190" s="128">
        <v>0</v>
      </c>
      <c r="LH190" s="128">
        <v>0</v>
      </c>
      <c r="LL190" s="128">
        <v>0</v>
      </c>
      <c r="LM190" s="128">
        <v>0</v>
      </c>
      <c r="LN190" s="128">
        <v>0</v>
      </c>
      <c r="LR190" s="128">
        <v>3000</v>
      </c>
      <c r="LS190" s="128">
        <v>0</v>
      </c>
      <c r="LT190" s="128">
        <v>0</v>
      </c>
      <c r="LX190" s="128">
        <v>0</v>
      </c>
      <c r="LY190" s="128">
        <v>0</v>
      </c>
      <c r="LZ190" s="128">
        <v>0</v>
      </c>
      <c r="MD190" s="128">
        <v>4000</v>
      </c>
      <c r="ME190" s="128">
        <v>0</v>
      </c>
      <c r="MF190" s="128">
        <v>0</v>
      </c>
      <c r="MJ190" s="128">
        <v>16000</v>
      </c>
      <c r="MK190" s="128">
        <v>8000</v>
      </c>
      <c r="ML190" s="128">
        <v>8000</v>
      </c>
      <c r="MP190" s="128">
        <v>4000</v>
      </c>
      <c r="MQ190" s="128">
        <v>0</v>
      </c>
      <c r="MR190" s="128">
        <v>0</v>
      </c>
      <c r="MV190" s="128">
        <v>12000</v>
      </c>
      <c r="MW190" s="128">
        <v>6000</v>
      </c>
      <c r="MX190" s="128">
        <v>6000</v>
      </c>
      <c r="NB190" s="128">
        <v>18000</v>
      </c>
      <c r="NC190" s="128">
        <v>0</v>
      </c>
      <c r="ND190" s="128">
        <v>0</v>
      </c>
      <c r="NH190" s="128">
        <v>64800</v>
      </c>
      <c r="NI190" s="128">
        <v>18000</v>
      </c>
      <c r="NJ190" s="128">
        <v>18000</v>
      </c>
      <c r="NN190" s="128">
        <v>15000</v>
      </c>
      <c r="NO190" s="128">
        <v>0</v>
      </c>
      <c r="NP190" s="128">
        <v>0</v>
      </c>
      <c r="NT190" s="128">
        <v>45000</v>
      </c>
      <c r="NU190" s="128">
        <v>0</v>
      </c>
      <c r="NV190" s="128">
        <v>0</v>
      </c>
      <c r="NZ190" s="128">
        <v>2000</v>
      </c>
      <c r="OA190" s="128">
        <v>0</v>
      </c>
      <c r="OB190" s="128">
        <v>0</v>
      </c>
      <c r="OF190" s="128">
        <v>1000</v>
      </c>
      <c r="OG190" s="128">
        <v>0</v>
      </c>
      <c r="OH190" s="128">
        <v>0</v>
      </c>
      <c r="OL190" s="128">
        <v>0</v>
      </c>
      <c r="OM190" s="128">
        <v>0</v>
      </c>
      <c r="ON190" s="128">
        <v>0</v>
      </c>
      <c r="OR190" s="128">
        <v>0</v>
      </c>
      <c r="OS190" s="128">
        <v>0</v>
      </c>
      <c r="OT190" s="128">
        <v>0</v>
      </c>
      <c r="OX190" s="128">
        <v>30000</v>
      </c>
      <c r="OY190" s="128">
        <v>0</v>
      </c>
      <c r="OZ190" s="128">
        <v>0</v>
      </c>
      <c r="PD190" s="128">
        <v>90000</v>
      </c>
      <c r="PE190" s="128">
        <v>0</v>
      </c>
      <c r="PF190" s="128">
        <v>0</v>
      </c>
      <c r="PJ190" s="128">
        <v>20000</v>
      </c>
      <c r="PK190" s="128">
        <v>0</v>
      </c>
      <c r="PL190" s="128">
        <v>0</v>
      </c>
      <c r="PP190" s="128">
        <v>1499800</v>
      </c>
      <c r="PQ190" s="128">
        <v>371000</v>
      </c>
      <c r="PR190" s="128">
        <v>371000</v>
      </c>
      <c r="PS190" s="128">
        <v>100</v>
      </c>
      <c r="PT190" s="128">
        <v>100</v>
      </c>
      <c r="PX190" s="128">
        <v>260604</v>
      </c>
      <c r="PY190" s="128">
        <v>0</v>
      </c>
      <c r="PZ190" s="128">
        <v>371000</v>
      </c>
      <c r="QA190" s="128">
        <v>0</v>
      </c>
      <c r="QB190" s="128">
        <v>0</v>
      </c>
      <c r="QC190" s="128">
        <v>0</v>
      </c>
      <c r="QD190" s="128">
        <v>0</v>
      </c>
      <c r="QE190" s="128">
        <v>0</v>
      </c>
      <c r="QF190" s="128">
        <v>0</v>
      </c>
      <c r="QG190" s="128">
        <v>0</v>
      </c>
      <c r="QH190" s="128">
        <v>0</v>
      </c>
      <c r="QI190" s="128">
        <v>0</v>
      </c>
      <c r="QJ190" s="128">
        <v>0</v>
      </c>
      <c r="QK190" s="128">
        <v>0</v>
      </c>
      <c r="QL190" s="128">
        <v>0</v>
      </c>
      <c r="QN190" s="128">
        <v>0</v>
      </c>
      <c r="QO190" s="128">
        <v>0</v>
      </c>
      <c r="QP190" s="128">
        <v>0</v>
      </c>
      <c r="QX190" s="128">
        <v>50000</v>
      </c>
      <c r="QY190" s="128">
        <v>52000</v>
      </c>
      <c r="QZ190" s="128">
        <v>42000</v>
      </c>
      <c r="RD190" s="128">
        <v>919304</v>
      </c>
      <c r="RE190" s="128">
        <v>1404085</v>
      </c>
      <c r="RF190" s="128">
        <v>1086800</v>
      </c>
      <c r="RH190" s="128">
        <f t="shared" si="310"/>
        <v>1499800</v>
      </c>
      <c r="RI190" s="128">
        <v>0</v>
      </c>
      <c r="RM190" s="128" t="s">
        <v>220</v>
      </c>
      <c r="RU190" s="130"/>
      <c r="RV190" s="130"/>
      <c r="RW190" s="130"/>
      <c r="RX190" s="130"/>
      <c r="SF190" s="128">
        <f t="shared" si="220"/>
        <v>2788586</v>
      </c>
      <c r="SG190" s="131">
        <f t="shared" si="221"/>
        <v>1499800</v>
      </c>
      <c r="SH190" s="131">
        <f t="shared" si="222"/>
        <v>1499800</v>
      </c>
      <c r="SI190" s="131">
        <f t="shared" si="223"/>
        <v>1175000</v>
      </c>
      <c r="SJ190" s="132">
        <f t="shared" si="224"/>
        <v>1151000</v>
      </c>
      <c r="SK190" s="132">
        <f t="shared" si="225"/>
        <v>6000</v>
      </c>
      <c r="SL190" s="132">
        <f t="shared" si="226"/>
        <v>0</v>
      </c>
      <c r="SM190" s="132">
        <f t="shared" si="227"/>
        <v>18000</v>
      </c>
      <c r="SN190" s="131">
        <f t="shared" si="228"/>
        <v>324800</v>
      </c>
      <c r="SO190" s="131">
        <f t="shared" si="229"/>
        <v>3000</v>
      </c>
      <c r="SP190" s="132">
        <f t="shared" si="230"/>
        <v>0</v>
      </c>
      <c r="SQ190" s="132">
        <f t="shared" si="231"/>
        <v>3000</v>
      </c>
      <c r="SR190" s="132">
        <f t="shared" si="232"/>
        <v>0</v>
      </c>
      <c r="SS190" s="132">
        <f t="shared" si="233"/>
        <v>4000</v>
      </c>
      <c r="ST190" s="132">
        <f t="shared" si="234"/>
        <v>16000</v>
      </c>
      <c r="SU190" s="132">
        <f t="shared" si="235"/>
        <v>4000</v>
      </c>
      <c r="SV190" s="131">
        <f t="shared" si="236"/>
        <v>187800</v>
      </c>
      <c r="SW190" s="132">
        <f t="shared" si="237"/>
        <v>12000</v>
      </c>
      <c r="SX190" s="132">
        <f t="shared" si="238"/>
        <v>18000</v>
      </c>
      <c r="SY190" s="132">
        <f t="shared" si="239"/>
        <v>64800</v>
      </c>
      <c r="SZ190" s="132">
        <f t="shared" si="240"/>
        <v>15000</v>
      </c>
      <c r="TA190" s="132">
        <f t="shared" si="241"/>
        <v>45000</v>
      </c>
      <c r="TB190" s="132">
        <f t="shared" si="242"/>
        <v>2000</v>
      </c>
      <c r="TC190" s="132">
        <f t="shared" si="243"/>
        <v>1000</v>
      </c>
      <c r="TD190" s="132">
        <f t="shared" si="244"/>
        <v>0</v>
      </c>
      <c r="TE190" s="132">
        <f t="shared" si="245"/>
        <v>0</v>
      </c>
      <c r="TF190" s="132">
        <f t="shared" si="246"/>
        <v>30000</v>
      </c>
      <c r="TG190" s="132">
        <f t="shared" si="247"/>
        <v>90000</v>
      </c>
      <c r="TH190" s="132">
        <f t="shared" si="248"/>
        <v>20000</v>
      </c>
      <c r="TI190" s="1"/>
      <c r="TJ190" s="131">
        <f t="shared" si="249"/>
        <v>371000</v>
      </c>
      <c r="TK190" s="131">
        <f t="shared" si="250"/>
        <v>371000</v>
      </c>
      <c r="TL190" s="131">
        <f t="shared" si="251"/>
        <v>339000</v>
      </c>
      <c r="TM190" s="132">
        <f t="shared" si="252"/>
        <v>339000</v>
      </c>
      <c r="TN190" s="132">
        <f t="shared" si="253"/>
        <v>0</v>
      </c>
      <c r="TO190" s="132">
        <f t="shared" si="254"/>
        <v>0</v>
      </c>
      <c r="TP190" s="132">
        <f t="shared" si="255"/>
        <v>0</v>
      </c>
      <c r="TQ190" s="131">
        <f t="shared" si="256"/>
        <v>32000</v>
      </c>
      <c r="TR190" s="131">
        <f t="shared" si="257"/>
        <v>0</v>
      </c>
      <c r="TS190" s="132">
        <f t="shared" si="258"/>
        <v>0</v>
      </c>
      <c r="TT190" s="132">
        <f t="shared" si="259"/>
        <v>0</v>
      </c>
      <c r="TU190" s="132">
        <f t="shared" si="260"/>
        <v>0</v>
      </c>
      <c r="TV190" s="132">
        <f t="shared" si="261"/>
        <v>0</v>
      </c>
      <c r="TW190" s="132">
        <f t="shared" si="262"/>
        <v>8000</v>
      </c>
      <c r="TX190" s="132">
        <f t="shared" si="263"/>
        <v>0</v>
      </c>
      <c r="TY190" s="131">
        <f t="shared" si="264"/>
        <v>24000</v>
      </c>
      <c r="TZ190" s="132">
        <f t="shared" si="265"/>
        <v>6000</v>
      </c>
      <c r="UA190" s="132">
        <f t="shared" si="266"/>
        <v>0</v>
      </c>
      <c r="UB190" s="132">
        <f t="shared" si="267"/>
        <v>18000</v>
      </c>
      <c r="UC190" s="132">
        <f t="shared" si="268"/>
        <v>0</v>
      </c>
      <c r="UD190" s="132">
        <f t="shared" si="269"/>
        <v>0</v>
      </c>
      <c r="UE190" s="132">
        <f t="shared" si="270"/>
        <v>0</v>
      </c>
      <c r="UF190" s="132">
        <f t="shared" si="271"/>
        <v>0</v>
      </c>
      <c r="UG190" s="132">
        <f t="shared" si="272"/>
        <v>0</v>
      </c>
      <c r="UH190" s="132">
        <f t="shared" si="273"/>
        <v>0</v>
      </c>
      <c r="UI190" s="132">
        <f t="shared" si="274"/>
        <v>0</v>
      </c>
      <c r="UJ190" s="132">
        <f t="shared" si="275"/>
        <v>0</v>
      </c>
      <c r="UK190" s="132">
        <f t="shared" si="276"/>
        <v>0</v>
      </c>
      <c r="UL190" s="132">
        <f t="shared" si="311"/>
        <v>371000</v>
      </c>
      <c r="UM190" s="131">
        <f t="shared" si="277"/>
        <v>371000</v>
      </c>
      <c r="UN190" s="131">
        <f t="shared" si="278"/>
        <v>371000</v>
      </c>
      <c r="UO190" s="131">
        <f t="shared" si="279"/>
        <v>339000</v>
      </c>
      <c r="UP190" s="132">
        <f t="shared" si="280"/>
        <v>339000</v>
      </c>
      <c r="UQ190" s="132">
        <f t="shared" si="281"/>
        <v>0</v>
      </c>
      <c r="UR190" s="132">
        <f t="shared" si="282"/>
        <v>0</v>
      </c>
      <c r="US190" s="132">
        <f t="shared" si="283"/>
        <v>0</v>
      </c>
      <c r="UT190" s="131">
        <f t="shared" si="284"/>
        <v>32000</v>
      </c>
      <c r="UU190" s="131">
        <f t="shared" si="285"/>
        <v>0</v>
      </c>
      <c r="UV190" s="132">
        <f t="shared" si="286"/>
        <v>0</v>
      </c>
      <c r="UW190" s="132">
        <f t="shared" si="287"/>
        <v>0</v>
      </c>
      <c r="UX190" s="132">
        <f t="shared" si="288"/>
        <v>0</v>
      </c>
      <c r="UY190" s="132">
        <f t="shared" si="289"/>
        <v>0</v>
      </c>
      <c r="UZ190" s="132">
        <f t="shared" si="290"/>
        <v>8000</v>
      </c>
      <c r="VA190" s="132">
        <f t="shared" si="291"/>
        <v>0</v>
      </c>
      <c r="VB190" s="131">
        <f t="shared" si="292"/>
        <v>24000</v>
      </c>
      <c r="VC190" s="132">
        <f t="shared" si="293"/>
        <v>6000</v>
      </c>
      <c r="VD190" s="132">
        <f t="shared" si="294"/>
        <v>0</v>
      </c>
      <c r="VE190" s="132">
        <f t="shared" si="295"/>
        <v>18000</v>
      </c>
      <c r="VF190" s="132">
        <f t="shared" si="296"/>
        <v>0</v>
      </c>
      <c r="VG190" s="132">
        <f t="shared" si="297"/>
        <v>0</v>
      </c>
      <c r="VH190" s="132">
        <f t="shared" si="298"/>
        <v>0</v>
      </c>
      <c r="VI190" s="132">
        <f t="shared" si="299"/>
        <v>0</v>
      </c>
      <c r="VJ190" s="132">
        <f t="shared" si="300"/>
        <v>0</v>
      </c>
      <c r="VK190" s="132">
        <f t="shared" si="301"/>
        <v>0</v>
      </c>
      <c r="VL190" s="132">
        <f t="shared" si="302"/>
        <v>0</v>
      </c>
      <c r="VM190" s="132">
        <f t="shared" si="303"/>
        <v>0</v>
      </c>
      <c r="VN190" s="132">
        <f t="shared" si="304"/>
        <v>0</v>
      </c>
      <c r="VP190" s="845" t="str">
        <f>IFERROR(HLOOKUP(F190,'Hodnocení '!$C$1:$JH$5,2,FALSE),0)</f>
        <v>ZVONEK pro rodinu</v>
      </c>
      <c r="VQ190" s="838"/>
      <c r="VR190" s="845" t="str">
        <f t="shared" si="312"/>
        <v>Církve a náboženské společnosti</v>
      </c>
      <c r="VS190" s="845" t="str">
        <f>IFERROR(HLOOKUP(F190,'Hodnocení '!$C$1:$JH$5,5,FALSE),0)</f>
        <v>NZO</v>
      </c>
      <c r="VT190" s="838">
        <f t="shared" si="313"/>
        <v>0</v>
      </c>
      <c r="VU190" s="838">
        <f t="shared" si="314"/>
        <v>0</v>
      </c>
      <c r="VV190" s="838">
        <f t="shared" si="315"/>
        <v>0</v>
      </c>
      <c r="VW190" s="838">
        <f t="shared" si="316"/>
        <v>0</v>
      </c>
      <c r="VX190" s="838"/>
      <c r="VY190" s="838">
        <f t="shared" si="317"/>
        <v>0</v>
      </c>
      <c r="VZ190" s="838">
        <f t="shared" si="318"/>
        <v>371000</v>
      </c>
      <c r="WA190" s="846">
        <f>IFERROR(HLOOKUP($F190,'Hodnocení '!$C$1:$JH$9,9,FALSE),0)</f>
        <v>371000</v>
      </c>
      <c r="WB190" s="846">
        <f>IF(IFERROR(HLOOKUP($F190,'Hodnocení '!$C$1:$JH$13,13,FALSE),0)&gt;WA190,WA190,IFERROR(HLOOKUP($F190,'Hodnocení '!$C$1:$JH$13,13,FALSE),0))</f>
        <v>371000</v>
      </c>
      <c r="WC190" s="846">
        <f>IFERROR(HLOOKUP($F190,'Hodnocení '!$C$1:$JH$155,155,FALSE),0)</f>
        <v>371000</v>
      </c>
      <c r="WD190" s="845"/>
      <c r="WE190" s="845"/>
      <c r="WF190" s="845" t="str">
        <f t="shared" si="305"/>
        <v>ANO</v>
      </c>
      <c r="WG190" s="849" t="str">
        <f t="shared" si="320"/>
        <v>Podpora služby je vyjádřena zařazením do sítě sociálních služeb v KHK a řešením financování služby</v>
      </c>
      <c r="WH190"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90" s="849" t="str">
        <f t="shared" si="320"/>
        <v>Návrh dotace je výsledkem projednání s ostatními zadavateli v rámci sítě služeb KHK</v>
      </c>
      <c r="WJ190" s="849" t="str">
        <f t="shared" si="320"/>
        <v>Bez komentáře</v>
      </c>
      <c r="WK190" s="31">
        <f t="shared" si="306"/>
        <v>0</v>
      </c>
      <c r="WL190" s="850">
        <f t="shared" si="307"/>
        <v>0</v>
      </c>
      <c r="WM190" s="849">
        <f t="shared" si="308"/>
        <v>0</v>
      </c>
      <c r="WN190" s="849">
        <f t="shared" si="309"/>
        <v>0</v>
      </c>
      <c r="WO190" s="849" t="str">
        <f t="shared" si="319"/>
        <v>bez komentáře</v>
      </c>
      <c r="WP190" s="849" t="str">
        <f t="shared" si="319"/>
        <v>bez komentáře</v>
      </c>
      <c r="WQ190" s="849" t="str">
        <f t="shared" si="319"/>
        <v>Konečná výše dotace z rozpočtu KHK bude řešena v návaznosti na řešení podílů jednotlivých zadavatelů.</v>
      </c>
      <c r="WR190" s="849" t="str">
        <f t="shared" si="319"/>
        <v>Konečná výše podpory ze stran obcí bude řešena v součinnosti s jednotlivými zadavateli v průběhu roku.</v>
      </c>
      <c r="WS190" s="849" t="str">
        <f t="shared" si="319"/>
        <v>bez komentáře</v>
      </c>
      <c r="WT190" s="849" t="str">
        <f t="shared" si="319"/>
        <v>bez komentáře</v>
      </c>
      <c r="WU190" s="845"/>
    </row>
    <row r="191" spans="1:619" s="128" customFormat="1" x14ac:dyDescent="0.25">
      <c r="A191" s="128" t="str">
        <f>VLOOKUP(F191,'Výpočet VP 2020'!$D$324:$I$588,6,FALSE)</f>
        <v>Je v síti</v>
      </c>
      <c r="B191" s="128" t="s">
        <v>826</v>
      </c>
      <c r="C191" s="128">
        <v>43465439</v>
      </c>
      <c r="D191" s="128" t="s">
        <v>827</v>
      </c>
      <c r="E191" s="128" t="s">
        <v>360</v>
      </c>
      <c r="F191" s="128">
        <v>3110951</v>
      </c>
      <c r="G191" s="128" t="s">
        <v>328</v>
      </c>
      <c r="H191" s="128" t="s">
        <v>218</v>
      </c>
      <c r="I191" s="128" t="s">
        <v>829</v>
      </c>
      <c r="J191" s="129">
        <v>33848</v>
      </c>
      <c r="L191" s="128" t="s">
        <v>220</v>
      </c>
      <c r="AP191" s="128" t="s">
        <v>830</v>
      </c>
      <c r="AQ191" s="128">
        <v>11</v>
      </c>
      <c r="AR191" s="128">
        <v>39</v>
      </c>
      <c r="AS191" s="128">
        <v>91</v>
      </c>
      <c r="AT191" s="128">
        <v>84</v>
      </c>
      <c r="AU191" s="128">
        <v>85</v>
      </c>
      <c r="BJ191" s="128">
        <v>7596</v>
      </c>
      <c r="BL191" s="128" t="s">
        <v>463</v>
      </c>
      <c r="BM191" s="128" t="s">
        <v>247</v>
      </c>
      <c r="BN191" s="128" t="s">
        <v>299</v>
      </c>
      <c r="BO191" s="128">
        <v>0</v>
      </c>
      <c r="BP191" s="128">
        <v>0</v>
      </c>
      <c r="BQ191" s="128">
        <v>0</v>
      </c>
      <c r="BR191" s="128">
        <v>0</v>
      </c>
      <c r="BS191" s="128">
        <v>0</v>
      </c>
      <c r="BT191" s="128">
        <v>16</v>
      </c>
      <c r="BU191" s="128">
        <v>28</v>
      </c>
      <c r="BV191" s="128">
        <v>18</v>
      </c>
      <c r="BW191" s="128">
        <v>13</v>
      </c>
      <c r="BX191" s="128">
        <v>0</v>
      </c>
      <c r="BY191" s="128">
        <v>16</v>
      </c>
      <c r="BZ191" s="128">
        <v>28</v>
      </c>
      <c r="CA191" s="128">
        <v>18</v>
      </c>
      <c r="CB191" s="128">
        <v>13</v>
      </c>
      <c r="CC191" s="128">
        <v>0</v>
      </c>
      <c r="CD191" s="128">
        <v>0</v>
      </c>
      <c r="CE191" s="128">
        <v>75</v>
      </c>
      <c r="CF191" s="128">
        <v>75</v>
      </c>
      <c r="CG191" s="128">
        <v>0</v>
      </c>
      <c r="CH191" s="128">
        <v>0</v>
      </c>
      <c r="CI191" s="128">
        <v>0</v>
      </c>
      <c r="CJ191" s="128">
        <v>0</v>
      </c>
      <c r="CK191" s="128">
        <v>0</v>
      </c>
      <c r="CL191" s="128">
        <v>0</v>
      </c>
      <c r="CM191" s="128">
        <v>18</v>
      </c>
      <c r="CN191" s="128">
        <v>31</v>
      </c>
      <c r="CO191" s="128">
        <v>23</v>
      </c>
      <c r="CP191" s="128">
        <v>13</v>
      </c>
      <c r="CQ191" s="128">
        <v>0</v>
      </c>
      <c r="CR191" s="128">
        <v>18</v>
      </c>
      <c r="CS191" s="128">
        <v>31</v>
      </c>
      <c r="CT191" s="128">
        <v>23</v>
      </c>
      <c r="CU191" s="128">
        <v>13</v>
      </c>
      <c r="CV191" s="128">
        <v>0</v>
      </c>
      <c r="CW191" s="128">
        <v>0</v>
      </c>
      <c r="CX191" s="128">
        <v>85</v>
      </c>
      <c r="CY191" s="128">
        <v>85</v>
      </c>
      <c r="CZ191" s="128">
        <v>0</v>
      </c>
      <c r="EK191" s="128">
        <v>1</v>
      </c>
      <c r="EL191" s="128">
        <v>0.2</v>
      </c>
      <c r="EM191" s="128">
        <v>0.2</v>
      </c>
      <c r="EN191" s="128">
        <v>135000</v>
      </c>
      <c r="EO191" s="128">
        <v>90000</v>
      </c>
      <c r="EP191" s="128">
        <v>10</v>
      </c>
      <c r="EQ191" s="128">
        <v>7.35</v>
      </c>
      <c r="ER191" s="128">
        <v>7.35</v>
      </c>
      <c r="ES191" s="128">
        <v>3275000</v>
      </c>
      <c r="ET191" s="128">
        <v>2800000</v>
      </c>
      <c r="FO191" s="128">
        <v>3</v>
      </c>
      <c r="FP191" s="128">
        <v>1.2</v>
      </c>
      <c r="FQ191" s="128">
        <v>1.2</v>
      </c>
      <c r="FR191" s="128">
        <v>625000</v>
      </c>
      <c r="FS191" s="128">
        <v>250000</v>
      </c>
      <c r="IH191" s="128">
        <v>1</v>
      </c>
      <c r="II191" s="128">
        <v>0.1</v>
      </c>
      <c r="IJ191" s="128">
        <v>12</v>
      </c>
      <c r="IK191" s="128">
        <v>0.1</v>
      </c>
      <c r="IL191" s="128">
        <v>50000</v>
      </c>
      <c r="IM191" s="128">
        <v>0</v>
      </c>
      <c r="IN191" s="128">
        <v>1</v>
      </c>
      <c r="IO191" s="128">
        <v>200</v>
      </c>
      <c r="IP191" s="128">
        <v>9.5000000000000001E-2</v>
      </c>
      <c r="IQ191" s="128">
        <v>25000</v>
      </c>
      <c r="IR191" s="128">
        <v>0</v>
      </c>
      <c r="KG191" s="128">
        <v>0</v>
      </c>
      <c r="KI191" s="128">
        <v>7.55</v>
      </c>
      <c r="KJ191" s="128">
        <v>0</v>
      </c>
      <c r="KK191" s="128">
        <v>9.5000000000000001E-2</v>
      </c>
      <c r="KL191" s="128">
        <v>0</v>
      </c>
      <c r="KM191" s="128">
        <v>7.6449999999999996</v>
      </c>
      <c r="KN191" s="128">
        <v>4035000</v>
      </c>
      <c r="KO191" s="128">
        <v>3140000</v>
      </c>
      <c r="KP191" s="128">
        <v>3140000</v>
      </c>
      <c r="KT191" s="128">
        <v>50000</v>
      </c>
      <c r="KU191" s="128">
        <v>0</v>
      </c>
      <c r="KV191" s="128">
        <v>0</v>
      </c>
      <c r="KZ191" s="128">
        <v>25000</v>
      </c>
      <c r="LA191" s="128">
        <v>0</v>
      </c>
      <c r="LB191" s="128">
        <v>0</v>
      </c>
      <c r="LF191" s="128">
        <v>68000</v>
      </c>
      <c r="LG191" s="128">
        <v>0</v>
      </c>
      <c r="LH191" s="128">
        <v>0</v>
      </c>
      <c r="LL191" s="128">
        <v>0</v>
      </c>
      <c r="LM191" s="128">
        <v>0</v>
      </c>
      <c r="LN191" s="128">
        <v>0</v>
      </c>
      <c r="LR191" s="128">
        <v>12000</v>
      </c>
      <c r="LS191" s="128">
        <v>0</v>
      </c>
      <c r="LT191" s="128">
        <v>0</v>
      </c>
      <c r="LX191" s="128">
        <v>0</v>
      </c>
      <c r="LY191" s="128">
        <v>0</v>
      </c>
      <c r="LZ191" s="128">
        <v>0</v>
      </c>
      <c r="MD191" s="128">
        <v>5000</v>
      </c>
      <c r="ME191" s="128">
        <v>0</v>
      </c>
      <c r="MF191" s="128">
        <v>0</v>
      </c>
      <c r="MJ191" s="128">
        <v>150000</v>
      </c>
      <c r="MK191" s="128">
        <v>80000</v>
      </c>
      <c r="ML191" s="128">
        <v>80000</v>
      </c>
      <c r="MP191" s="128">
        <v>12000</v>
      </c>
      <c r="MQ191" s="128">
        <v>0</v>
      </c>
      <c r="MR191" s="128">
        <v>0</v>
      </c>
      <c r="MV191" s="128">
        <v>6000</v>
      </c>
      <c r="MW191" s="128">
        <v>0</v>
      </c>
      <c r="MX191" s="128">
        <v>0</v>
      </c>
      <c r="NB191" s="128">
        <v>18000</v>
      </c>
      <c r="NC191" s="128">
        <v>0</v>
      </c>
      <c r="ND191" s="128">
        <v>0</v>
      </c>
      <c r="NH191" s="128">
        <v>0</v>
      </c>
      <c r="NI191" s="128">
        <v>0</v>
      </c>
      <c r="NJ191" s="128">
        <v>0</v>
      </c>
      <c r="NN191" s="128">
        <v>12000</v>
      </c>
      <c r="NO191" s="128">
        <v>0</v>
      </c>
      <c r="NP191" s="128">
        <v>0</v>
      </c>
      <c r="NT191" s="128">
        <v>8000</v>
      </c>
      <c r="NU191" s="128">
        <v>0</v>
      </c>
      <c r="NV191" s="128">
        <v>0</v>
      </c>
      <c r="NZ191" s="128">
        <v>35000</v>
      </c>
      <c r="OA191" s="128">
        <v>0</v>
      </c>
      <c r="OB191" s="128">
        <v>0</v>
      </c>
      <c r="OF191" s="128">
        <v>2000</v>
      </c>
      <c r="OG191" s="128">
        <v>0</v>
      </c>
      <c r="OH191" s="128">
        <v>0</v>
      </c>
      <c r="OL191" s="128">
        <v>0</v>
      </c>
      <c r="OM191" s="128">
        <v>0</v>
      </c>
      <c r="ON191" s="128">
        <v>0</v>
      </c>
      <c r="OR191" s="128">
        <v>0</v>
      </c>
      <c r="OS191" s="128">
        <v>0</v>
      </c>
      <c r="OT191" s="128">
        <v>0</v>
      </c>
      <c r="OX191" s="128">
        <v>24000</v>
      </c>
      <c r="OY191" s="128">
        <v>0</v>
      </c>
      <c r="OZ191" s="128">
        <v>0</v>
      </c>
      <c r="PD191" s="128">
        <v>654000</v>
      </c>
      <c r="PE191" s="128">
        <v>0</v>
      </c>
      <c r="PF191" s="128">
        <v>0</v>
      </c>
      <c r="PJ191" s="128">
        <v>96000</v>
      </c>
      <c r="PK191" s="128">
        <v>20000</v>
      </c>
      <c r="PL191" s="128">
        <v>20000</v>
      </c>
      <c r="PP191" s="128">
        <v>5212000</v>
      </c>
      <c r="PQ191" s="128">
        <v>3240000</v>
      </c>
      <c r="PR191" s="128">
        <v>3240000</v>
      </c>
      <c r="PS191" s="128">
        <v>100</v>
      </c>
      <c r="PT191" s="128">
        <v>100</v>
      </c>
      <c r="PV191" s="128">
        <v>3176483</v>
      </c>
      <c r="PX191" s="128">
        <v>2297000</v>
      </c>
      <c r="PY191" s="128">
        <v>2748954</v>
      </c>
      <c r="PZ191" s="128">
        <v>3240000</v>
      </c>
      <c r="QA191" s="128">
        <v>0</v>
      </c>
      <c r="QB191" s="128">
        <v>0</v>
      </c>
      <c r="QC191" s="128">
        <v>0</v>
      </c>
      <c r="QD191" s="128">
        <v>0</v>
      </c>
      <c r="QE191" s="128">
        <v>0</v>
      </c>
      <c r="QF191" s="128">
        <v>0</v>
      </c>
      <c r="QG191" s="128">
        <v>0</v>
      </c>
      <c r="QH191" s="128">
        <v>0</v>
      </c>
      <c r="QI191" s="128">
        <v>0</v>
      </c>
      <c r="QJ191" s="128">
        <v>923880</v>
      </c>
      <c r="QK191" s="128">
        <v>1075000</v>
      </c>
      <c r="QL191" s="128">
        <v>1100000</v>
      </c>
      <c r="QN191" s="128">
        <v>0</v>
      </c>
      <c r="QO191" s="128">
        <v>0</v>
      </c>
      <c r="QP191" s="128">
        <v>0</v>
      </c>
      <c r="QU191" s="128">
        <v>99205</v>
      </c>
      <c r="QV191" s="128">
        <v>0</v>
      </c>
      <c r="QW191" s="128">
        <v>0</v>
      </c>
      <c r="QX191" s="128">
        <v>277673</v>
      </c>
      <c r="QY191" s="128">
        <v>290527</v>
      </c>
      <c r="QZ191" s="128">
        <v>278000</v>
      </c>
      <c r="RD191" s="128">
        <v>767969</v>
      </c>
      <c r="RE191" s="128">
        <v>802039</v>
      </c>
      <c r="RF191" s="128">
        <v>594000</v>
      </c>
      <c r="RH191" s="128">
        <f t="shared" si="310"/>
        <v>4112000</v>
      </c>
      <c r="RI191" s="128">
        <v>0</v>
      </c>
      <c r="RM191" s="128" t="s">
        <v>220</v>
      </c>
      <c r="RU191" s="130"/>
      <c r="RV191" s="130"/>
      <c r="RW191" s="130"/>
      <c r="RX191" s="130"/>
      <c r="SF191" s="128">
        <f t="shared" si="220"/>
        <v>3110951</v>
      </c>
      <c r="SG191" s="131">
        <f t="shared" si="221"/>
        <v>5212000</v>
      </c>
      <c r="SH191" s="131">
        <f t="shared" si="222"/>
        <v>5212000</v>
      </c>
      <c r="SI191" s="131">
        <f t="shared" si="223"/>
        <v>4178000</v>
      </c>
      <c r="SJ191" s="132">
        <f t="shared" si="224"/>
        <v>4035000</v>
      </c>
      <c r="SK191" s="132">
        <f t="shared" si="225"/>
        <v>50000</v>
      </c>
      <c r="SL191" s="132">
        <f t="shared" si="226"/>
        <v>25000</v>
      </c>
      <c r="SM191" s="132">
        <f t="shared" si="227"/>
        <v>68000</v>
      </c>
      <c r="SN191" s="131">
        <f t="shared" si="228"/>
        <v>1034000</v>
      </c>
      <c r="SO191" s="131">
        <f t="shared" si="229"/>
        <v>12000</v>
      </c>
      <c r="SP191" s="132">
        <f t="shared" si="230"/>
        <v>0</v>
      </c>
      <c r="SQ191" s="132">
        <f t="shared" si="231"/>
        <v>12000</v>
      </c>
      <c r="SR191" s="132">
        <f t="shared" si="232"/>
        <v>0</v>
      </c>
      <c r="SS191" s="132">
        <f t="shared" si="233"/>
        <v>5000</v>
      </c>
      <c r="ST191" s="132">
        <f t="shared" si="234"/>
        <v>150000</v>
      </c>
      <c r="SU191" s="132">
        <f t="shared" si="235"/>
        <v>12000</v>
      </c>
      <c r="SV191" s="131">
        <f t="shared" si="236"/>
        <v>105000</v>
      </c>
      <c r="SW191" s="132">
        <f t="shared" si="237"/>
        <v>6000</v>
      </c>
      <c r="SX191" s="132">
        <f t="shared" si="238"/>
        <v>18000</v>
      </c>
      <c r="SY191" s="132">
        <f t="shared" si="239"/>
        <v>0</v>
      </c>
      <c r="SZ191" s="132">
        <f t="shared" si="240"/>
        <v>12000</v>
      </c>
      <c r="TA191" s="132">
        <f t="shared" si="241"/>
        <v>8000</v>
      </c>
      <c r="TB191" s="132">
        <f t="shared" si="242"/>
        <v>35000</v>
      </c>
      <c r="TC191" s="132">
        <f t="shared" si="243"/>
        <v>2000</v>
      </c>
      <c r="TD191" s="132">
        <f t="shared" si="244"/>
        <v>0</v>
      </c>
      <c r="TE191" s="132">
        <f t="shared" si="245"/>
        <v>0</v>
      </c>
      <c r="TF191" s="132">
        <f t="shared" si="246"/>
        <v>24000</v>
      </c>
      <c r="TG191" s="132">
        <f t="shared" si="247"/>
        <v>654000</v>
      </c>
      <c r="TH191" s="132">
        <f t="shared" si="248"/>
        <v>96000</v>
      </c>
      <c r="TI191" s="1"/>
      <c r="TJ191" s="131">
        <f t="shared" si="249"/>
        <v>3240000</v>
      </c>
      <c r="TK191" s="131">
        <f t="shared" si="250"/>
        <v>3240000</v>
      </c>
      <c r="TL191" s="131">
        <f t="shared" si="251"/>
        <v>3140000</v>
      </c>
      <c r="TM191" s="132">
        <f t="shared" si="252"/>
        <v>3140000</v>
      </c>
      <c r="TN191" s="132">
        <f t="shared" si="253"/>
        <v>0</v>
      </c>
      <c r="TO191" s="132">
        <f t="shared" si="254"/>
        <v>0</v>
      </c>
      <c r="TP191" s="132">
        <f t="shared" si="255"/>
        <v>0</v>
      </c>
      <c r="TQ191" s="131">
        <f t="shared" si="256"/>
        <v>100000</v>
      </c>
      <c r="TR191" s="131">
        <f t="shared" si="257"/>
        <v>0</v>
      </c>
      <c r="TS191" s="132">
        <f t="shared" si="258"/>
        <v>0</v>
      </c>
      <c r="TT191" s="132">
        <f t="shared" si="259"/>
        <v>0</v>
      </c>
      <c r="TU191" s="132">
        <f t="shared" si="260"/>
        <v>0</v>
      </c>
      <c r="TV191" s="132">
        <f t="shared" si="261"/>
        <v>0</v>
      </c>
      <c r="TW191" s="132">
        <f t="shared" si="262"/>
        <v>80000</v>
      </c>
      <c r="TX191" s="132">
        <f t="shared" si="263"/>
        <v>0</v>
      </c>
      <c r="TY191" s="131">
        <f t="shared" si="264"/>
        <v>0</v>
      </c>
      <c r="TZ191" s="132">
        <f t="shared" si="265"/>
        <v>0</v>
      </c>
      <c r="UA191" s="132">
        <f t="shared" si="266"/>
        <v>0</v>
      </c>
      <c r="UB191" s="132">
        <f t="shared" si="267"/>
        <v>0</v>
      </c>
      <c r="UC191" s="132">
        <f t="shared" si="268"/>
        <v>0</v>
      </c>
      <c r="UD191" s="132">
        <f t="shared" si="269"/>
        <v>0</v>
      </c>
      <c r="UE191" s="132">
        <f t="shared" si="270"/>
        <v>0</v>
      </c>
      <c r="UF191" s="132">
        <f t="shared" si="271"/>
        <v>0</v>
      </c>
      <c r="UG191" s="132">
        <f t="shared" si="272"/>
        <v>0</v>
      </c>
      <c r="UH191" s="132">
        <f t="shared" si="273"/>
        <v>0</v>
      </c>
      <c r="UI191" s="132">
        <f t="shared" si="274"/>
        <v>0</v>
      </c>
      <c r="UJ191" s="132">
        <f t="shared" si="275"/>
        <v>0</v>
      </c>
      <c r="UK191" s="132">
        <f t="shared" si="276"/>
        <v>20000</v>
      </c>
      <c r="UL191" s="132">
        <f t="shared" si="311"/>
        <v>3240000</v>
      </c>
      <c r="UM191" s="131">
        <f t="shared" si="277"/>
        <v>3240000</v>
      </c>
      <c r="UN191" s="131">
        <f t="shared" si="278"/>
        <v>3240000</v>
      </c>
      <c r="UO191" s="131">
        <f t="shared" si="279"/>
        <v>3140000</v>
      </c>
      <c r="UP191" s="132">
        <f t="shared" si="280"/>
        <v>3140000</v>
      </c>
      <c r="UQ191" s="132">
        <f t="shared" si="281"/>
        <v>0</v>
      </c>
      <c r="UR191" s="132">
        <f t="shared" si="282"/>
        <v>0</v>
      </c>
      <c r="US191" s="132">
        <f t="shared" si="283"/>
        <v>0</v>
      </c>
      <c r="UT191" s="131">
        <f t="shared" si="284"/>
        <v>100000</v>
      </c>
      <c r="UU191" s="131">
        <f t="shared" si="285"/>
        <v>0</v>
      </c>
      <c r="UV191" s="132">
        <f t="shared" si="286"/>
        <v>0</v>
      </c>
      <c r="UW191" s="132">
        <f t="shared" si="287"/>
        <v>0</v>
      </c>
      <c r="UX191" s="132">
        <f t="shared" si="288"/>
        <v>0</v>
      </c>
      <c r="UY191" s="132">
        <f t="shared" si="289"/>
        <v>0</v>
      </c>
      <c r="UZ191" s="132">
        <f t="shared" si="290"/>
        <v>80000</v>
      </c>
      <c r="VA191" s="132">
        <f t="shared" si="291"/>
        <v>0</v>
      </c>
      <c r="VB191" s="131">
        <f t="shared" si="292"/>
        <v>0</v>
      </c>
      <c r="VC191" s="132">
        <f t="shared" si="293"/>
        <v>0</v>
      </c>
      <c r="VD191" s="132">
        <f t="shared" si="294"/>
        <v>0</v>
      </c>
      <c r="VE191" s="132">
        <f t="shared" si="295"/>
        <v>0</v>
      </c>
      <c r="VF191" s="132">
        <f t="shared" si="296"/>
        <v>0</v>
      </c>
      <c r="VG191" s="132">
        <f t="shared" si="297"/>
        <v>0</v>
      </c>
      <c r="VH191" s="132">
        <f t="shared" si="298"/>
        <v>0</v>
      </c>
      <c r="VI191" s="132">
        <f t="shared" si="299"/>
        <v>0</v>
      </c>
      <c r="VJ191" s="132">
        <f t="shared" si="300"/>
        <v>0</v>
      </c>
      <c r="VK191" s="132">
        <f t="shared" si="301"/>
        <v>0</v>
      </c>
      <c r="VL191" s="132">
        <f t="shared" si="302"/>
        <v>0</v>
      </c>
      <c r="VM191" s="132">
        <f t="shared" si="303"/>
        <v>0</v>
      </c>
      <c r="VN191" s="132">
        <f t="shared" si="304"/>
        <v>20000</v>
      </c>
      <c r="VP191" s="845" t="str">
        <f>IFERROR(HLOOKUP(F191,'Hodnocení '!$C$1:$JH$5,2,FALSE),0)</f>
        <v>Charitní ošetřovatelská a pečovatelská služba Trutnov</v>
      </c>
      <c r="VQ191" s="838"/>
      <c r="VR191" s="845" t="str">
        <f t="shared" si="312"/>
        <v>Církve a náboženské společnosti</v>
      </c>
      <c r="VS191" s="845" t="str">
        <f>IFERROR(HLOOKUP(F191,'Hodnocení '!$C$1:$JH$5,5,FALSE),0)</f>
        <v>NZO</v>
      </c>
      <c r="VT191" s="838">
        <f t="shared" si="313"/>
        <v>0</v>
      </c>
      <c r="VU191" s="838">
        <f t="shared" si="314"/>
        <v>0</v>
      </c>
      <c r="VV191" s="838">
        <f t="shared" si="315"/>
        <v>1100000</v>
      </c>
      <c r="VW191" s="838">
        <f t="shared" si="316"/>
        <v>0</v>
      </c>
      <c r="VX191" s="838"/>
      <c r="VY191" s="838">
        <f t="shared" si="317"/>
        <v>0</v>
      </c>
      <c r="VZ191" s="838">
        <f t="shared" si="318"/>
        <v>3240000</v>
      </c>
      <c r="WA191" s="846">
        <f>IFERROR(HLOOKUP($F191,'Hodnocení '!$C$1:$JH$9,9,FALSE),0)</f>
        <v>3240000</v>
      </c>
      <c r="WB191" s="846">
        <f>IF(IFERROR(HLOOKUP($F191,'Hodnocení '!$C$1:$JH$13,13,FALSE),0)&gt;WA191,WA191,IFERROR(HLOOKUP($F191,'Hodnocení '!$C$1:$JH$13,13,FALSE),0))</f>
        <v>3158756.2839012085</v>
      </c>
      <c r="WC191" s="846">
        <f>IFERROR(HLOOKUP($F191,'Hodnocení '!$C$1:$JH$155,155,FALSE),0)</f>
        <v>2881080</v>
      </c>
      <c r="WD191" s="845"/>
      <c r="WE191" s="845"/>
      <c r="WF191" s="845" t="str">
        <f t="shared" si="305"/>
        <v>ANO</v>
      </c>
      <c r="WG191" s="849" t="str">
        <f t="shared" si="320"/>
        <v>Podpora služby je vyjádřena zařazením do sítě sociálních služeb v KHK a řešením financování služby</v>
      </c>
      <c r="WH191"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91" s="849" t="str">
        <f t="shared" si="320"/>
        <v>Návrh dotace je výsledkem projednání s ostatními zadavateli v rámci sítě služeb KHK</v>
      </c>
      <c r="WJ191" s="849" t="str">
        <f t="shared" si="320"/>
        <v>Bez komentáře</v>
      </c>
      <c r="WK191" s="31">
        <f t="shared" si="306"/>
        <v>0</v>
      </c>
      <c r="WL191" s="850">
        <f t="shared" si="307"/>
        <v>0</v>
      </c>
      <c r="WM191" s="849" t="str">
        <f t="shared" si="308"/>
        <v>V rámci sítě KHK se dlouhodobě řeší otázka navyšování úhrad a průběžně se monitoruje s vazbou na vykrytí vyrovnávací platby</v>
      </c>
      <c r="WN191" s="849">
        <f t="shared" si="309"/>
        <v>0</v>
      </c>
      <c r="WO191" s="849" t="str">
        <f t="shared" si="319"/>
        <v>bez komentáře</v>
      </c>
      <c r="WP191" s="849" t="str">
        <f t="shared" si="319"/>
        <v>bez komentáře</v>
      </c>
      <c r="WQ191" s="849" t="str">
        <f t="shared" si="319"/>
        <v>Konečná výše dotace z rozpočtu KHK bude řešena v návaznosti na řešení podílů jednotlivých zadavatelů.</v>
      </c>
      <c r="WR191" s="849" t="str">
        <f t="shared" si="319"/>
        <v>Konečná výše podpory ze stran obcí bude řešena v součinnosti s jednotlivými zadavateli v průběhu roku.</v>
      </c>
      <c r="WS191" s="849" t="str">
        <f t="shared" si="319"/>
        <v>bez komentáře</v>
      </c>
      <c r="WT191" s="849" t="str">
        <f t="shared" si="319"/>
        <v>bez komentáře</v>
      </c>
      <c r="WU191" s="845"/>
    </row>
    <row r="192" spans="1:619" s="128" customFormat="1" x14ac:dyDescent="0.25">
      <c r="A192" s="128" t="str">
        <f>VLOOKUP(F192,'Výpočet VP 2020'!$D$324:$I$588,6,FALSE)</f>
        <v>Je v síti</v>
      </c>
      <c r="B192" s="128" t="s">
        <v>826</v>
      </c>
      <c r="C192" s="128">
        <v>43465439</v>
      </c>
      <c r="D192" s="128" t="s">
        <v>827</v>
      </c>
      <c r="E192" s="128" t="s">
        <v>360</v>
      </c>
      <c r="F192" s="128">
        <v>7235281</v>
      </c>
      <c r="G192" s="128" t="s">
        <v>292</v>
      </c>
      <c r="H192" s="128" t="s">
        <v>293</v>
      </c>
      <c r="I192" s="128" t="s">
        <v>831</v>
      </c>
      <c r="J192" s="129">
        <v>43525</v>
      </c>
      <c r="L192" s="128" t="s">
        <v>220</v>
      </c>
      <c r="AP192" s="128" t="s">
        <v>266</v>
      </c>
      <c r="BE192" s="128">
        <v>2</v>
      </c>
      <c r="BF192" s="128">
        <v>5</v>
      </c>
      <c r="BG192" s="128">
        <v>0</v>
      </c>
      <c r="BH192" s="128">
        <v>45</v>
      </c>
      <c r="BI192" s="128">
        <v>60</v>
      </c>
      <c r="BK192" s="128" t="s">
        <v>832</v>
      </c>
      <c r="BL192" s="128" t="s">
        <v>410</v>
      </c>
      <c r="BM192" s="128" t="s">
        <v>340</v>
      </c>
      <c r="BN192" s="128" t="s">
        <v>341</v>
      </c>
      <c r="EK192" s="128">
        <v>1</v>
      </c>
      <c r="EL192" s="128">
        <v>0.1</v>
      </c>
      <c r="EM192" s="128">
        <v>0.08</v>
      </c>
      <c r="EN192" s="128">
        <v>80000</v>
      </c>
      <c r="EO192" s="128">
        <v>75000</v>
      </c>
      <c r="EP192" s="128">
        <v>1</v>
      </c>
      <c r="EQ192" s="128">
        <v>0.2</v>
      </c>
      <c r="ER192" s="128">
        <v>0.16</v>
      </c>
      <c r="ES192" s="128">
        <v>115000</v>
      </c>
      <c r="ET192" s="128">
        <v>110000</v>
      </c>
      <c r="FO192" s="128">
        <v>2</v>
      </c>
      <c r="FP192" s="128">
        <v>0.2</v>
      </c>
      <c r="FQ192" s="128">
        <v>0.18</v>
      </c>
      <c r="FR192" s="128">
        <v>135000</v>
      </c>
      <c r="FS192" s="128">
        <v>95000</v>
      </c>
      <c r="HV192" s="128">
        <v>1</v>
      </c>
      <c r="HW192" s="128">
        <v>0.1</v>
      </c>
      <c r="HX192" s="128">
        <v>12</v>
      </c>
      <c r="HY192" s="128">
        <v>0.1</v>
      </c>
      <c r="HZ192" s="128">
        <v>75000</v>
      </c>
      <c r="IA192" s="128">
        <v>70000</v>
      </c>
      <c r="KG192" s="128">
        <v>0</v>
      </c>
      <c r="KI192" s="128">
        <v>0.3</v>
      </c>
      <c r="KJ192" s="128">
        <v>0.1</v>
      </c>
      <c r="KK192" s="128">
        <v>0</v>
      </c>
      <c r="KL192" s="128">
        <v>0</v>
      </c>
      <c r="KM192" s="128">
        <v>0.4</v>
      </c>
      <c r="KN192" s="128">
        <v>330000</v>
      </c>
      <c r="KO192" s="128">
        <v>280000</v>
      </c>
      <c r="KP192" s="128">
        <v>280000</v>
      </c>
      <c r="KT192" s="128">
        <v>75000</v>
      </c>
      <c r="KU192" s="128">
        <v>70000</v>
      </c>
      <c r="KV192" s="128">
        <v>70000</v>
      </c>
      <c r="KZ192" s="128">
        <v>0</v>
      </c>
      <c r="LA192" s="128">
        <v>0</v>
      </c>
      <c r="LB192" s="128">
        <v>0</v>
      </c>
      <c r="LF192" s="128">
        <v>7500</v>
      </c>
      <c r="LG192" s="128">
        <v>0</v>
      </c>
      <c r="LH192" s="128">
        <v>0</v>
      </c>
      <c r="LL192" s="128">
        <v>0</v>
      </c>
      <c r="LM192" s="128">
        <v>0</v>
      </c>
      <c r="LN192" s="128">
        <v>0</v>
      </c>
      <c r="LR192" s="128">
        <v>25000</v>
      </c>
      <c r="LS192" s="128">
        <v>18000</v>
      </c>
      <c r="LT192" s="128">
        <v>18000</v>
      </c>
      <c r="LX192" s="128">
        <v>0</v>
      </c>
      <c r="LY192" s="128">
        <v>0</v>
      </c>
      <c r="LZ192" s="128">
        <v>0</v>
      </c>
      <c r="MD192" s="128">
        <v>1500</v>
      </c>
      <c r="ME192" s="128">
        <v>0</v>
      </c>
      <c r="MF192" s="128">
        <v>0</v>
      </c>
      <c r="MJ192" s="128">
        <v>20000</v>
      </c>
      <c r="MK192" s="128">
        <v>14000</v>
      </c>
      <c r="ML192" s="128">
        <v>14000</v>
      </c>
      <c r="MP192" s="128">
        <v>2500</v>
      </c>
      <c r="MQ192" s="128">
        <v>0</v>
      </c>
      <c r="MR192" s="128">
        <v>0</v>
      </c>
      <c r="MV192" s="128">
        <v>4000</v>
      </c>
      <c r="MW192" s="128">
        <v>2000</v>
      </c>
      <c r="MX192" s="128">
        <v>2000</v>
      </c>
      <c r="NB192" s="128">
        <v>8000</v>
      </c>
      <c r="NC192" s="128">
        <v>4000</v>
      </c>
      <c r="ND192" s="128">
        <v>4000</v>
      </c>
      <c r="NH192" s="128">
        <v>0</v>
      </c>
      <c r="NI192" s="128">
        <v>0</v>
      </c>
      <c r="NJ192" s="128">
        <v>0</v>
      </c>
      <c r="NN192" s="128">
        <v>2500</v>
      </c>
      <c r="NO192" s="128">
        <v>0</v>
      </c>
      <c r="NP192" s="128">
        <v>0</v>
      </c>
      <c r="NT192" s="128">
        <v>15000</v>
      </c>
      <c r="NU192" s="128">
        <v>9000</v>
      </c>
      <c r="NV192" s="128">
        <v>9000</v>
      </c>
      <c r="NZ192" s="128">
        <v>2000</v>
      </c>
      <c r="OA192" s="128">
        <v>0</v>
      </c>
      <c r="OB192" s="128">
        <v>0</v>
      </c>
      <c r="OF192" s="128">
        <v>1000</v>
      </c>
      <c r="OG192" s="128">
        <v>0</v>
      </c>
      <c r="OH192" s="128">
        <v>0</v>
      </c>
      <c r="OL192" s="128">
        <v>0</v>
      </c>
      <c r="OM192" s="128">
        <v>0</v>
      </c>
      <c r="ON192" s="128">
        <v>0</v>
      </c>
      <c r="OR192" s="128">
        <v>0</v>
      </c>
      <c r="OS192" s="128">
        <v>0</v>
      </c>
      <c r="OT192" s="128">
        <v>0</v>
      </c>
      <c r="OX192" s="128">
        <v>1500</v>
      </c>
      <c r="OY192" s="128">
        <v>0</v>
      </c>
      <c r="OZ192" s="128">
        <v>0</v>
      </c>
      <c r="PD192" s="128">
        <v>0</v>
      </c>
      <c r="PE192" s="128">
        <v>0</v>
      </c>
      <c r="PF192" s="128">
        <v>0</v>
      </c>
      <c r="PJ192" s="128">
        <v>4500</v>
      </c>
      <c r="PK192" s="128">
        <v>3000</v>
      </c>
      <c r="PL192" s="128">
        <v>3000</v>
      </c>
      <c r="PP192" s="128">
        <v>500000</v>
      </c>
      <c r="PQ192" s="128">
        <v>400000</v>
      </c>
      <c r="PR192" s="128">
        <v>400000</v>
      </c>
      <c r="PS192" s="128">
        <v>100</v>
      </c>
      <c r="PT192" s="128">
        <v>100</v>
      </c>
      <c r="PY192" s="128">
        <v>0</v>
      </c>
      <c r="PZ192" s="128">
        <v>400000</v>
      </c>
      <c r="QB192" s="128">
        <v>0</v>
      </c>
      <c r="QC192" s="128">
        <v>0</v>
      </c>
      <c r="QE192" s="128">
        <v>0</v>
      </c>
      <c r="QF192" s="128">
        <v>0</v>
      </c>
      <c r="QH192" s="128">
        <v>0</v>
      </c>
      <c r="QI192" s="128">
        <v>0</v>
      </c>
      <c r="QK192" s="128">
        <v>0</v>
      </c>
      <c r="QL192" s="128">
        <v>0</v>
      </c>
      <c r="QO192" s="128">
        <v>0</v>
      </c>
      <c r="QP192" s="128">
        <v>0</v>
      </c>
      <c r="QV192" s="128">
        <v>271401</v>
      </c>
      <c r="QW192" s="128">
        <v>0</v>
      </c>
      <c r="QY192" s="128">
        <v>30000</v>
      </c>
      <c r="QZ192" s="128">
        <v>40000</v>
      </c>
      <c r="RE192" s="128">
        <v>30000</v>
      </c>
      <c r="RF192" s="128">
        <v>60000</v>
      </c>
      <c r="RH192" s="128">
        <f t="shared" si="310"/>
        <v>500000</v>
      </c>
      <c r="RI192" s="128">
        <v>0</v>
      </c>
      <c r="RM192" s="128" t="s">
        <v>220</v>
      </c>
      <c r="RU192" s="130"/>
      <c r="RV192" s="130"/>
      <c r="RW192" s="130"/>
      <c r="RX192" s="130"/>
      <c r="SF192" s="128">
        <f t="shared" si="220"/>
        <v>7235281</v>
      </c>
      <c r="SG192" s="131">
        <f t="shared" si="221"/>
        <v>500000</v>
      </c>
      <c r="SH192" s="131">
        <f t="shared" si="222"/>
        <v>500000</v>
      </c>
      <c r="SI192" s="131">
        <f t="shared" si="223"/>
        <v>412500</v>
      </c>
      <c r="SJ192" s="132">
        <f t="shared" si="224"/>
        <v>330000</v>
      </c>
      <c r="SK192" s="132">
        <f t="shared" si="225"/>
        <v>75000</v>
      </c>
      <c r="SL192" s="132">
        <f t="shared" si="226"/>
        <v>0</v>
      </c>
      <c r="SM192" s="132">
        <f t="shared" si="227"/>
        <v>7500</v>
      </c>
      <c r="SN192" s="131">
        <f t="shared" si="228"/>
        <v>87500</v>
      </c>
      <c r="SO192" s="131">
        <f t="shared" si="229"/>
        <v>25000</v>
      </c>
      <c r="SP192" s="132">
        <f t="shared" si="230"/>
        <v>0</v>
      </c>
      <c r="SQ192" s="132">
        <f t="shared" si="231"/>
        <v>25000</v>
      </c>
      <c r="SR192" s="132">
        <f t="shared" si="232"/>
        <v>0</v>
      </c>
      <c r="SS192" s="132">
        <f t="shared" si="233"/>
        <v>1500</v>
      </c>
      <c r="ST192" s="132">
        <f t="shared" si="234"/>
        <v>20000</v>
      </c>
      <c r="SU192" s="132">
        <f t="shared" si="235"/>
        <v>2500</v>
      </c>
      <c r="SV192" s="131">
        <f t="shared" si="236"/>
        <v>34000</v>
      </c>
      <c r="SW192" s="132">
        <f t="shared" si="237"/>
        <v>4000</v>
      </c>
      <c r="SX192" s="132">
        <f t="shared" si="238"/>
        <v>8000</v>
      </c>
      <c r="SY192" s="132">
        <f t="shared" si="239"/>
        <v>0</v>
      </c>
      <c r="SZ192" s="132">
        <f t="shared" si="240"/>
        <v>2500</v>
      </c>
      <c r="TA192" s="132">
        <f t="shared" si="241"/>
        <v>15000</v>
      </c>
      <c r="TB192" s="132">
        <f t="shared" si="242"/>
        <v>2000</v>
      </c>
      <c r="TC192" s="132">
        <f t="shared" si="243"/>
        <v>1000</v>
      </c>
      <c r="TD192" s="132">
        <f t="shared" si="244"/>
        <v>0</v>
      </c>
      <c r="TE192" s="132">
        <f t="shared" si="245"/>
        <v>0</v>
      </c>
      <c r="TF192" s="132">
        <f t="shared" si="246"/>
        <v>1500</v>
      </c>
      <c r="TG192" s="132">
        <f t="shared" si="247"/>
        <v>0</v>
      </c>
      <c r="TH192" s="132">
        <f t="shared" si="248"/>
        <v>4500</v>
      </c>
      <c r="TI192" s="1"/>
      <c r="TJ192" s="131">
        <f t="shared" si="249"/>
        <v>400000</v>
      </c>
      <c r="TK192" s="131">
        <f t="shared" si="250"/>
        <v>400000</v>
      </c>
      <c r="TL192" s="131">
        <f t="shared" si="251"/>
        <v>350000</v>
      </c>
      <c r="TM192" s="132">
        <f t="shared" si="252"/>
        <v>280000</v>
      </c>
      <c r="TN192" s="132">
        <f t="shared" si="253"/>
        <v>70000</v>
      </c>
      <c r="TO192" s="132">
        <f t="shared" si="254"/>
        <v>0</v>
      </c>
      <c r="TP192" s="132">
        <f t="shared" si="255"/>
        <v>0</v>
      </c>
      <c r="TQ192" s="131">
        <f t="shared" si="256"/>
        <v>50000</v>
      </c>
      <c r="TR192" s="131">
        <f t="shared" si="257"/>
        <v>18000</v>
      </c>
      <c r="TS192" s="132">
        <f t="shared" si="258"/>
        <v>0</v>
      </c>
      <c r="TT192" s="132">
        <f t="shared" si="259"/>
        <v>18000</v>
      </c>
      <c r="TU192" s="132">
        <f t="shared" si="260"/>
        <v>0</v>
      </c>
      <c r="TV192" s="132">
        <f t="shared" si="261"/>
        <v>0</v>
      </c>
      <c r="TW192" s="132">
        <f t="shared" si="262"/>
        <v>14000</v>
      </c>
      <c r="TX192" s="132">
        <f t="shared" si="263"/>
        <v>0</v>
      </c>
      <c r="TY192" s="131">
        <f t="shared" si="264"/>
        <v>15000</v>
      </c>
      <c r="TZ192" s="132">
        <f t="shared" si="265"/>
        <v>2000</v>
      </c>
      <c r="UA192" s="132">
        <f t="shared" si="266"/>
        <v>4000</v>
      </c>
      <c r="UB192" s="132">
        <f t="shared" si="267"/>
        <v>0</v>
      </c>
      <c r="UC192" s="132">
        <f t="shared" si="268"/>
        <v>0</v>
      </c>
      <c r="UD192" s="132">
        <f t="shared" si="269"/>
        <v>9000</v>
      </c>
      <c r="UE192" s="132">
        <f t="shared" si="270"/>
        <v>0</v>
      </c>
      <c r="UF192" s="132">
        <f t="shared" si="271"/>
        <v>0</v>
      </c>
      <c r="UG192" s="132">
        <f t="shared" si="272"/>
        <v>0</v>
      </c>
      <c r="UH192" s="132">
        <f t="shared" si="273"/>
        <v>0</v>
      </c>
      <c r="UI192" s="132">
        <f t="shared" si="274"/>
        <v>0</v>
      </c>
      <c r="UJ192" s="132">
        <f t="shared" si="275"/>
        <v>0</v>
      </c>
      <c r="UK192" s="132">
        <f t="shared" si="276"/>
        <v>3000</v>
      </c>
      <c r="UL192" s="132">
        <f t="shared" si="311"/>
        <v>400000</v>
      </c>
      <c r="UM192" s="131">
        <f t="shared" si="277"/>
        <v>400000</v>
      </c>
      <c r="UN192" s="131">
        <f t="shared" si="278"/>
        <v>400000</v>
      </c>
      <c r="UO192" s="131">
        <f t="shared" si="279"/>
        <v>350000</v>
      </c>
      <c r="UP192" s="132">
        <f t="shared" si="280"/>
        <v>280000</v>
      </c>
      <c r="UQ192" s="132">
        <f t="shared" si="281"/>
        <v>70000</v>
      </c>
      <c r="UR192" s="132">
        <f t="shared" si="282"/>
        <v>0</v>
      </c>
      <c r="US192" s="132">
        <f t="shared" si="283"/>
        <v>0</v>
      </c>
      <c r="UT192" s="131">
        <f t="shared" si="284"/>
        <v>50000</v>
      </c>
      <c r="UU192" s="131">
        <f t="shared" si="285"/>
        <v>18000</v>
      </c>
      <c r="UV192" s="132">
        <f t="shared" si="286"/>
        <v>0</v>
      </c>
      <c r="UW192" s="132">
        <f t="shared" si="287"/>
        <v>18000</v>
      </c>
      <c r="UX192" s="132">
        <f t="shared" si="288"/>
        <v>0</v>
      </c>
      <c r="UY192" s="132">
        <f t="shared" si="289"/>
        <v>0</v>
      </c>
      <c r="UZ192" s="132">
        <f t="shared" si="290"/>
        <v>14000</v>
      </c>
      <c r="VA192" s="132">
        <f t="shared" si="291"/>
        <v>0</v>
      </c>
      <c r="VB192" s="131">
        <f t="shared" si="292"/>
        <v>15000</v>
      </c>
      <c r="VC192" s="132">
        <f t="shared" si="293"/>
        <v>2000</v>
      </c>
      <c r="VD192" s="132">
        <f t="shared" si="294"/>
        <v>4000</v>
      </c>
      <c r="VE192" s="132">
        <f t="shared" si="295"/>
        <v>0</v>
      </c>
      <c r="VF192" s="132">
        <f t="shared" si="296"/>
        <v>0</v>
      </c>
      <c r="VG192" s="132">
        <f t="shared" si="297"/>
        <v>9000</v>
      </c>
      <c r="VH192" s="132">
        <f t="shared" si="298"/>
        <v>0</v>
      </c>
      <c r="VI192" s="132">
        <f t="shared" si="299"/>
        <v>0</v>
      </c>
      <c r="VJ192" s="132">
        <f t="shared" si="300"/>
        <v>0</v>
      </c>
      <c r="VK192" s="132">
        <f t="shared" si="301"/>
        <v>0</v>
      </c>
      <c r="VL192" s="132">
        <f t="shared" si="302"/>
        <v>0</v>
      </c>
      <c r="VM192" s="132">
        <f t="shared" si="303"/>
        <v>0</v>
      </c>
      <c r="VN192" s="132">
        <f t="shared" si="304"/>
        <v>3000</v>
      </c>
      <c r="VP192" s="845" t="str">
        <f>IFERROR(HLOOKUP(F192,'Hodnocení '!$C$1:$JH$5,2,FALSE),0)</f>
        <v>Poradna paliativní a hospicové péče</v>
      </c>
      <c r="VQ192" s="838"/>
      <c r="VR192" s="845" t="str">
        <f t="shared" si="312"/>
        <v>Církve a náboženské společnosti</v>
      </c>
      <c r="VS192" s="845" t="str">
        <f>IFERROR(HLOOKUP(F192,'Hodnocení '!$C$1:$JH$5,5,FALSE),0)</f>
        <v>NZO</v>
      </c>
      <c r="VT192" s="838">
        <f t="shared" si="313"/>
        <v>0</v>
      </c>
      <c r="VU192" s="838">
        <f t="shared" si="314"/>
        <v>0</v>
      </c>
      <c r="VV192" s="838">
        <f t="shared" si="315"/>
        <v>0</v>
      </c>
      <c r="VW192" s="838">
        <f t="shared" si="316"/>
        <v>0</v>
      </c>
      <c r="VX192" s="838"/>
      <c r="VY192" s="838">
        <f t="shared" si="317"/>
        <v>0</v>
      </c>
      <c r="VZ192" s="838">
        <f t="shared" si="318"/>
        <v>400000</v>
      </c>
      <c r="WA192" s="846">
        <f>IFERROR(HLOOKUP($F192,'Hodnocení '!$C$1:$JH$9,9,FALSE),0)</f>
        <v>400000</v>
      </c>
      <c r="WB192" s="846">
        <f>IF(IFERROR(HLOOKUP($F192,'Hodnocení '!$C$1:$JH$13,13,FALSE),0)&gt;WA192,WA192,IFERROR(HLOOKUP($F192,'Hodnocení '!$C$1:$JH$13,13,FALSE),0))</f>
        <v>400000</v>
      </c>
      <c r="WC192" s="846">
        <f>IFERROR(HLOOKUP($F192,'Hodnocení '!$C$1:$JH$155,155,FALSE),0)</f>
        <v>400000</v>
      </c>
      <c r="WD192" s="845"/>
      <c r="WE192" s="845"/>
      <c r="WF192" s="845" t="str">
        <f t="shared" si="305"/>
        <v>ANO</v>
      </c>
      <c r="WG192" s="849" t="str">
        <f t="shared" si="320"/>
        <v>Podpora služby je vyjádřena zařazením do sítě sociálních služeb v KHK a řešením financování služby</v>
      </c>
      <c r="WH192"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92" s="849" t="str">
        <f t="shared" si="320"/>
        <v>Návrh dotace je výsledkem projednání s ostatními zadavateli v rámci sítě služeb KHK</v>
      </c>
      <c r="WJ192" s="849" t="str">
        <f t="shared" si="320"/>
        <v>Bez komentáře</v>
      </c>
      <c r="WK192" s="31">
        <f t="shared" si="306"/>
        <v>0</v>
      </c>
      <c r="WL192" s="850">
        <f t="shared" si="307"/>
        <v>0</v>
      </c>
      <c r="WM192" s="849">
        <f t="shared" si="308"/>
        <v>0</v>
      </c>
      <c r="WN192" s="849">
        <f t="shared" si="309"/>
        <v>0</v>
      </c>
      <c r="WO192" s="849" t="str">
        <f t="shared" si="319"/>
        <v>bez komentáře</v>
      </c>
      <c r="WP192" s="849" t="str">
        <f t="shared" si="319"/>
        <v>bez komentáře</v>
      </c>
      <c r="WQ192" s="849" t="str">
        <f t="shared" si="319"/>
        <v>Konečná výše dotace z rozpočtu KHK bude řešena v návaznosti na řešení podílů jednotlivých zadavatelů.</v>
      </c>
      <c r="WR192" s="849" t="str">
        <f t="shared" si="319"/>
        <v>Konečná výše podpory ze stran obcí bude řešena v součinnosti s jednotlivými zadavateli v průběhu roku.</v>
      </c>
      <c r="WS192" s="849" t="str">
        <f t="shared" si="319"/>
        <v>bez komentáře</v>
      </c>
      <c r="WT192" s="849" t="str">
        <f t="shared" si="319"/>
        <v>bez komentáře</v>
      </c>
      <c r="WU192" s="845"/>
    </row>
    <row r="193" spans="1:619" s="128" customFormat="1" x14ac:dyDescent="0.25">
      <c r="A193" s="128" t="str">
        <f>VLOOKUP(F193,'Výpočet VP 2020'!$D$324:$I$588,6,FALSE)</f>
        <v>Je v síti</v>
      </c>
      <c r="B193" s="128" t="s">
        <v>826</v>
      </c>
      <c r="C193" s="128">
        <v>43465439</v>
      </c>
      <c r="D193" s="128" t="s">
        <v>827</v>
      </c>
      <c r="E193" s="128" t="s">
        <v>360</v>
      </c>
      <c r="F193" s="128">
        <v>7459230</v>
      </c>
      <c r="G193" s="128" t="s">
        <v>225</v>
      </c>
      <c r="H193" s="128" t="s">
        <v>218</v>
      </c>
      <c r="I193" s="128" t="s">
        <v>377</v>
      </c>
      <c r="J193" s="129">
        <v>37834</v>
      </c>
      <c r="L193" s="128" t="s">
        <v>220</v>
      </c>
      <c r="AP193" s="128" t="s">
        <v>544</v>
      </c>
      <c r="AQ193" s="128">
        <v>21</v>
      </c>
      <c r="AR193" s="128">
        <v>80</v>
      </c>
      <c r="AS193" s="128">
        <v>92</v>
      </c>
      <c r="AT193" s="128">
        <v>94</v>
      </c>
      <c r="AU193" s="128">
        <v>47</v>
      </c>
      <c r="BJ193" s="128">
        <v>16133</v>
      </c>
      <c r="BL193" s="128" t="s">
        <v>833</v>
      </c>
      <c r="BM193" s="128" t="s">
        <v>247</v>
      </c>
      <c r="BN193" s="128" t="s">
        <v>299</v>
      </c>
      <c r="BO193" s="128">
        <v>2</v>
      </c>
      <c r="BP193" s="128">
        <v>10</v>
      </c>
      <c r="BQ193" s="128">
        <v>21</v>
      </c>
      <c r="BR193" s="128">
        <v>5</v>
      </c>
      <c r="BS193" s="128">
        <v>0</v>
      </c>
      <c r="BT193" s="128">
        <v>0</v>
      </c>
      <c r="BU193" s="128">
        <v>9</v>
      </c>
      <c r="BV193" s="128">
        <v>15</v>
      </c>
      <c r="BW193" s="128">
        <v>11</v>
      </c>
      <c r="BX193" s="128">
        <v>0</v>
      </c>
      <c r="BY193" s="128">
        <v>2</v>
      </c>
      <c r="BZ193" s="128">
        <v>19</v>
      </c>
      <c r="CA193" s="128">
        <v>36</v>
      </c>
      <c r="CB193" s="128">
        <v>16</v>
      </c>
      <c r="CC193" s="128">
        <v>0</v>
      </c>
      <c r="CD193" s="128">
        <v>38</v>
      </c>
      <c r="CE193" s="128">
        <v>35</v>
      </c>
      <c r="CF193" s="128">
        <v>73</v>
      </c>
      <c r="CH193" s="128">
        <v>1</v>
      </c>
      <c r="CI193" s="128">
        <v>4</v>
      </c>
      <c r="CJ193" s="128">
        <v>5</v>
      </c>
      <c r="CK193" s="128">
        <v>3</v>
      </c>
      <c r="CL193" s="128">
        <v>0</v>
      </c>
      <c r="CM193" s="128">
        <v>0</v>
      </c>
      <c r="CN193" s="128">
        <v>14</v>
      </c>
      <c r="CO193" s="128">
        <v>13</v>
      </c>
      <c r="CP193" s="128">
        <v>7</v>
      </c>
      <c r="CQ193" s="128">
        <v>0</v>
      </c>
      <c r="CR193" s="128">
        <v>1</v>
      </c>
      <c r="CS193" s="128">
        <v>18</v>
      </c>
      <c r="CT193" s="128">
        <v>18</v>
      </c>
      <c r="CU193" s="128">
        <v>10</v>
      </c>
      <c r="CV193" s="128">
        <v>0</v>
      </c>
      <c r="CW193" s="128">
        <v>13</v>
      </c>
      <c r="CX193" s="128">
        <v>34</v>
      </c>
      <c r="CY193" s="128">
        <v>47</v>
      </c>
      <c r="EK193" s="128">
        <v>1</v>
      </c>
      <c r="EL193" s="128">
        <v>0.2</v>
      </c>
      <c r="EM193" s="128">
        <v>0.2</v>
      </c>
      <c r="EN193" s="128">
        <v>135000</v>
      </c>
      <c r="EO193" s="128">
        <v>100000</v>
      </c>
      <c r="EP193" s="128">
        <v>11</v>
      </c>
      <c r="EQ193" s="128">
        <v>8.5</v>
      </c>
      <c r="ER193" s="128">
        <v>10</v>
      </c>
      <c r="ES193" s="128">
        <v>3835000</v>
      </c>
      <c r="ET193" s="128">
        <v>3000000</v>
      </c>
      <c r="FO193" s="128">
        <v>3</v>
      </c>
      <c r="FP193" s="128">
        <v>1.2</v>
      </c>
      <c r="FQ193" s="128">
        <v>0.8</v>
      </c>
      <c r="FR193" s="128">
        <v>625000</v>
      </c>
      <c r="FS193" s="128">
        <v>252000</v>
      </c>
      <c r="FZ193" s="128">
        <v>3</v>
      </c>
      <c r="GA193" s="128">
        <v>1.3</v>
      </c>
      <c r="GB193" s="128">
        <v>16</v>
      </c>
      <c r="GC193" s="128">
        <v>0.58299999999999996</v>
      </c>
      <c r="GD193" s="128">
        <v>196000</v>
      </c>
      <c r="GE193" s="128">
        <v>35000</v>
      </c>
      <c r="IH193" s="128">
        <v>1</v>
      </c>
      <c r="II193" s="128">
        <v>0.1</v>
      </c>
      <c r="IJ193" s="128">
        <v>12</v>
      </c>
      <c r="IK193" s="128">
        <v>0.1</v>
      </c>
      <c r="IL193" s="128">
        <v>50000</v>
      </c>
      <c r="IM193" s="128">
        <v>0</v>
      </c>
      <c r="IN193" s="128">
        <v>10</v>
      </c>
      <c r="IO193" s="128">
        <v>2330</v>
      </c>
      <c r="IP193" s="128">
        <v>1.1120000000000001</v>
      </c>
      <c r="IQ193" s="128">
        <v>291250</v>
      </c>
      <c r="IR193" s="128">
        <v>32000</v>
      </c>
      <c r="KG193" s="128">
        <v>0</v>
      </c>
      <c r="KI193" s="128">
        <v>8.6999999999999993</v>
      </c>
      <c r="KJ193" s="128">
        <v>0.58299999999999996</v>
      </c>
      <c r="KK193" s="128">
        <v>1.1120000000000001</v>
      </c>
      <c r="KL193" s="128">
        <v>0</v>
      </c>
      <c r="KM193" s="128">
        <v>10.395</v>
      </c>
      <c r="KN193" s="128">
        <v>4595000</v>
      </c>
      <c r="KO193" s="128">
        <v>3352000</v>
      </c>
      <c r="KP193" s="128">
        <v>3352000</v>
      </c>
      <c r="KT193" s="128">
        <v>246000</v>
      </c>
      <c r="KU193" s="128">
        <v>35000</v>
      </c>
      <c r="KV193" s="128">
        <v>35000</v>
      </c>
      <c r="KZ193" s="128">
        <v>291250</v>
      </c>
      <c r="LA193" s="128">
        <v>32000</v>
      </c>
      <c r="LB193" s="128">
        <v>32000</v>
      </c>
      <c r="LF193" s="128">
        <v>110250</v>
      </c>
      <c r="LG193" s="128">
        <v>0</v>
      </c>
      <c r="LH193" s="128">
        <v>0</v>
      </c>
      <c r="LL193" s="128">
        <v>0</v>
      </c>
      <c r="LM193" s="128">
        <v>0</v>
      </c>
      <c r="LN193" s="128">
        <v>0</v>
      </c>
      <c r="LR193" s="128">
        <v>18000</v>
      </c>
      <c r="LS193" s="128">
        <v>0</v>
      </c>
      <c r="LT193" s="128">
        <v>0</v>
      </c>
      <c r="LX193" s="128">
        <v>0</v>
      </c>
      <c r="LY193" s="128">
        <v>0</v>
      </c>
      <c r="LZ193" s="128">
        <v>0</v>
      </c>
      <c r="MD193" s="128">
        <v>5000</v>
      </c>
      <c r="ME193" s="128">
        <v>0</v>
      </c>
      <c r="MF193" s="128">
        <v>0</v>
      </c>
      <c r="MJ193" s="128">
        <v>60000</v>
      </c>
      <c r="MK193" s="128">
        <v>30000</v>
      </c>
      <c r="ML193" s="128">
        <v>30000</v>
      </c>
      <c r="MP193" s="128">
        <v>12000</v>
      </c>
      <c r="MQ193" s="128">
        <v>0</v>
      </c>
      <c r="MR193" s="128">
        <v>0</v>
      </c>
      <c r="MV193" s="128">
        <v>6000</v>
      </c>
      <c r="MW193" s="128">
        <v>0</v>
      </c>
      <c r="MX193" s="128">
        <v>0</v>
      </c>
      <c r="NB193" s="128">
        <v>18000</v>
      </c>
      <c r="NC193" s="128">
        <v>0</v>
      </c>
      <c r="ND193" s="128">
        <v>0</v>
      </c>
      <c r="NH193" s="128">
        <v>0</v>
      </c>
      <c r="NI193" s="128">
        <v>0</v>
      </c>
      <c r="NJ193" s="128">
        <v>0</v>
      </c>
      <c r="NN193" s="128">
        <v>12000</v>
      </c>
      <c r="NO193" s="128">
        <v>0</v>
      </c>
      <c r="NP193" s="128">
        <v>0</v>
      </c>
      <c r="NT193" s="128">
        <v>10000</v>
      </c>
      <c r="NU193" s="128">
        <v>0</v>
      </c>
      <c r="NV193" s="128">
        <v>0</v>
      </c>
      <c r="NZ193" s="128">
        <v>18000</v>
      </c>
      <c r="OA193" s="128">
        <v>0</v>
      </c>
      <c r="OB193" s="128">
        <v>0</v>
      </c>
      <c r="OF193" s="128">
        <v>40000</v>
      </c>
      <c r="OG193" s="128">
        <v>0</v>
      </c>
      <c r="OH193" s="128">
        <v>0</v>
      </c>
      <c r="OL193" s="128">
        <v>0</v>
      </c>
      <c r="OM193" s="128">
        <v>0</v>
      </c>
      <c r="ON193" s="128">
        <v>0</v>
      </c>
      <c r="OR193" s="128">
        <v>0</v>
      </c>
      <c r="OS193" s="128">
        <v>0</v>
      </c>
      <c r="OT193" s="128">
        <v>0</v>
      </c>
      <c r="OX193" s="128">
        <v>30000</v>
      </c>
      <c r="OY193" s="128">
        <v>0</v>
      </c>
      <c r="OZ193" s="128">
        <v>0</v>
      </c>
      <c r="PD193" s="128">
        <v>288500</v>
      </c>
      <c r="PE193" s="128">
        <v>0</v>
      </c>
      <c r="PF193" s="128">
        <v>0</v>
      </c>
      <c r="PJ193" s="128">
        <v>50000</v>
      </c>
      <c r="PK193" s="128">
        <v>8000</v>
      </c>
      <c r="PL193" s="128">
        <v>8000</v>
      </c>
      <c r="PP193" s="128">
        <v>5810000</v>
      </c>
      <c r="PQ193" s="128">
        <v>3457000</v>
      </c>
      <c r="PR193" s="128">
        <v>3457000</v>
      </c>
      <c r="PS193" s="128">
        <v>100</v>
      </c>
      <c r="PT193" s="128">
        <v>100</v>
      </c>
      <c r="PX193" s="128">
        <v>2543000</v>
      </c>
      <c r="PY193" s="128">
        <v>2778000</v>
      </c>
      <c r="PZ193" s="128">
        <v>3457000</v>
      </c>
      <c r="QA193" s="128">
        <v>0</v>
      </c>
      <c r="QB193" s="128">
        <v>0</v>
      </c>
      <c r="QC193" s="128">
        <v>0</v>
      </c>
      <c r="QD193" s="128">
        <v>0</v>
      </c>
      <c r="QE193" s="128">
        <v>0</v>
      </c>
      <c r="QF193" s="128">
        <v>0</v>
      </c>
      <c r="QG193" s="128">
        <v>0</v>
      </c>
      <c r="QH193" s="128">
        <v>0</v>
      </c>
      <c r="QI193" s="128">
        <v>0</v>
      </c>
      <c r="QJ193" s="128">
        <v>2154695</v>
      </c>
      <c r="QK193" s="128">
        <v>1850000</v>
      </c>
      <c r="QL193" s="128">
        <v>1750000</v>
      </c>
      <c r="QN193" s="128">
        <v>0</v>
      </c>
      <c r="QO193" s="128">
        <v>0</v>
      </c>
      <c r="QP193" s="128">
        <v>0</v>
      </c>
      <c r="QU193" s="128">
        <v>50000</v>
      </c>
      <c r="QV193" s="128">
        <v>350000</v>
      </c>
      <c r="QW193" s="128">
        <v>0</v>
      </c>
      <c r="QX193" s="128">
        <v>373468</v>
      </c>
      <c r="QY193" s="128">
        <v>380441</v>
      </c>
      <c r="QZ193" s="128">
        <v>343000</v>
      </c>
      <c r="RD193" s="128">
        <v>214436</v>
      </c>
      <c r="RE193" s="128">
        <v>446880</v>
      </c>
      <c r="RF193" s="128">
        <v>260000</v>
      </c>
      <c r="RH193" s="128">
        <f t="shared" si="310"/>
        <v>4060000</v>
      </c>
      <c r="RI193" s="128">
        <v>0</v>
      </c>
      <c r="RM193" s="128" t="s">
        <v>220</v>
      </c>
      <c r="RU193" s="130"/>
      <c r="RV193" s="130"/>
      <c r="RW193" s="130"/>
      <c r="RX193" s="130"/>
      <c r="SF193" s="128">
        <f t="shared" si="220"/>
        <v>7459230</v>
      </c>
      <c r="SG193" s="131">
        <f t="shared" si="221"/>
        <v>5810000</v>
      </c>
      <c r="SH193" s="131">
        <f t="shared" si="222"/>
        <v>5810000</v>
      </c>
      <c r="SI193" s="131">
        <f t="shared" si="223"/>
        <v>5242500</v>
      </c>
      <c r="SJ193" s="132">
        <f t="shared" si="224"/>
        <v>4595000</v>
      </c>
      <c r="SK193" s="132">
        <f t="shared" si="225"/>
        <v>246000</v>
      </c>
      <c r="SL193" s="132">
        <f t="shared" si="226"/>
        <v>291250</v>
      </c>
      <c r="SM193" s="132">
        <f t="shared" si="227"/>
        <v>110250</v>
      </c>
      <c r="SN193" s="131">
        <f t="shared" si="228"/>
        <v>567500</v>
      </c>
      <c r="SO193" s="131">
        <f t="shared" si="229"/>
        <v>18000</v>
      </c>
      <c r="SP193" s="132">
        <f t="shared" si="230"/>
        <v>0</v>
      </c>
      <c r="SQ193" s="132">
        <f t="shared" si="231"/>
        <v>18000</v>
      </c>
      <c r="SR193" s="132">
        <f t="shared" si="232"/>
        <v>0</v>
      </c>
      <c r="SS193" s="132">
        <f t="shared" si="233"/>
        <v>5000</v>
      </c>
      <c r="ST193" s="132">
        <f t="shared" si="234"/>
        <v>60000</v>
      </c>
      <c r="SU193" s="132">
        <f t="shared" si="235"/>
        <v>12000</v>
      </c>
      <c r="SV193" s="131">
        <f t="shared" si="236"/>
        <v>134000</v>
      </c>
      <c r="SW193" s="132">
        <f t="shared" si="237"/>
        <v>6000</v>
      </c>
      <c r="SX193" s="132">
        <f t="shared" si="238"/>
        <v>18000</v>
      </c>
      <c r="SY193" s="132">
        <f t="shared" si="239"/>
        <v>0</v>
      </c>
      <c r="SZ193" s="132">
        <f t="shared" si="240"/>
        <v>12000</v>
      </c>
      <c r="TA193" s="132">
        <f t="shared" si="241"/>
        <v>10000</v>
      </c>
      <c r="TB193" s="132">
        <f t="shared" si="242"/>
        <v>18000</v>
      </c>
      <c r="TC193" s="132">
        <f t="shared" si="243"/>
        <v>40000</v>
      </c>
      <c r="TD193" s="132">
        <f t="shared" si="244"/>
        <v>0</v>
      </c>
      <c r="TE193" s="132">
        <f t="shared" si="245"/>
        <v>0</v>
      </c>
      <c r="TF193" s="132">
        <f t="shared" si="246"/>
        <v>30000</v>
      </c>
      <c r="TG193" s="132">
        <f t="shared" si="247"/>
        <v>288500</v>
      </c>
      <c r="TH193" s="132">
        <f t="shared" si="248"/>
        <v>50000</v>
      </c>
      <c r="TI193" s="1"/>
      <c r="TJ193" s="131">
        <f t="shared" si="249"/>
        <v>3457000</v>
      </c>
      <c r="TK193" s="131">
        <f t="shared" si="250"/>
        <v>3457000</v>
      </c>
      <c r="TL193" s="131">
        <f t="shared" si="251"/>
        <v>3419000</v>
      </c>
      <c r="TM193" s="132">
        <f t="shared" si="252"/>
        <v>3352000</v>
      </c>
      <c r="TN193" s="132">
        <f t="shared" si="253"/>
        <v>35000</v>
      </c>
      <c r="TO193" s="132">
        <f t="shared" si="254"/>
        <v>32000</v>
      </c>
      <c r="TP193" s="132">
        <f t="shared" si="255"/>
        <v>0</v>
      </c>
      <c r="TQ193" s="131">
        <f t="shared" si="256"/>
        <v>38000</v>
      </c>
      <c r="TR193" s="131">
        <f t="shared" si="257"/>
        <v>0</v>
      </c>
      <c r="TS193" s="132">
        <f t="shared" si="258"/>
        <v>0</v>
      </c>
      <c r="TT193" s="132">
        <f t="shared" si="259"/>
        <v>0</v>
      </c>
      <c r="TU193" s="132">
        <f t="shared" si="260"/>
        <v>0</v>
      </c>
      <c r="TV193" s="132">
        <f t="shared" si="261"/>
        <v>0</v>
      </c>
      <c r="TW193" s="132">
        <f t="shared" si="262"/>
        <v>30000</v>
      </c>
      <c r="TX193" s="132">
        <f t="shared" si="263"/>
        <v>0</v>
      </c>
      <c r="TY193" s="131">
        <f t="shared" si="264"/>
        <v>0</v>
      </c>
      <c r="TZ193" s="132">
        <f t="shared" si="265"/>
        <v>0</v>
      </c>
      <c r="UA193" s="132">
        <f t="shared" si="266"/>
        <v>0</v>
      </c>
      <c r="UB193" s="132">
        <f t="shared" si="267"/>
        <v>0</v>
      </c>
      <c r="UC193" s="132">
        <f t="shared" si="268"/>
        <v>0</v>
      </c>
      <c r="UD193" s="132">
        <f t="shared" si="269"/>
        <v>0</v>
      </c>
      <c r="UE193" s="132">
        <f t="shared" si="270"/>
        <v>0</v>
      </c>
      <c r="UF193" s="132">
        <f t="shared" si="271"/>
        <v>0</v>
      </c>
      <c r="UG193" s="132">
        <f t="shared" si="272"/>
        <v>0</v>
      </c>
      <c r="UH193" s="132">
        <f t="shared" si="273"/>
        <v>0</v>
      </c>
      <c r="UI193" s="132">
        <f t="shared" si="274"/>
        <v>0</v>
      </c>
      <c r="UJ193" s="132">
        <f t="shared" si="275"/>
        <v>0</v>
      </c>
      <c r="UK193" s="132">
        <f t="shared" si="276"/>
        <v>8000</v>
      </c>
      <c r="UL193" s="132">
        <f t="shared" si="311"/>
        <v>3457000</v>
      </c>
      <c r="UM193" s="131">
        <f t="shared" si="277"/>
        <v>3457000</v>
      </c>
      <c r="UN193" s="131">
        <f t="shared" si="278"/>
        <v>3457000</v>
      </c>
      <c r="UO193" s="131">
        <f t="shared" si="279"/>
        <v>3419000</v>
      </c>
      <c r="UP193" s="132">
        <f t="shared" si="280"/>
        <v>3352000</v>
      </c>
      <c r="UQ193" s="132">
        <f t="shared" si="281"/>
        <v>35000</v>
      </c>
      <c r="UR193" s="132">
        <f t="shared" si="282"/>
        <v>32000</v>
      </c>
      <c r="US193" s="132">
        <f t="shared" si="283"/>
        <v>0</v>
      </c>
      <c r="UT193" s="131">
        <f t="shared" si="284"/>
        <v>38000</v>
      </c>
      <c r="UU193" s="131">
        <f t="shared" si="285"/>
        <v>0</v>
      </c>
      <c r="UV193" s="132">
        <f t="shared" si="286"/>
        <v>0</v>
      </c>
      <c r="UW193" s="132">
        <f t="shared" si="287"/>
        <v>0</v>
      </c>
      <c r="UX193" s="132">
        <f t="shared" si="288"/>
        <v>0</v>
      </c>
      <c r="UY193" s="132">
        <f t="shared" si="289"/>
        <v>0</v>
      </c>
      <c r="UZ193" s="132">
        <f t="shared" si="290"/>
        <v>30000</v>
      </c>
      <c r="VA193" s="132">
        <f t="shared" si="291"/>
        <v>0</v>
      </c>
      <c r="VB193" s="131">
        <f t="shared" si="292"/>
        <v>0</v>
      </c>
      <c r="VC193" s="132">
        <f t="shared" si="293"/>
        <v>0</v>
      </c>
      <c r="VD193" s="132">
        <f t="shared" si="294"/>
        <v>0</v>
      </c>
      <c r="VE193" s="132">
        <f t="shared" si="295"/>
        <v>0</v>
      </c>
      <c r="VF193" s="132">
        <f t="shared" si="296"/>
        <v>0</v>
      </c>
      <c r="VG193" s="132">
        <f t="shared" si="297"/>
        <v>0</v>
      </c>
      <c r="VH193" s="132">
        <f t="shared" si="298"/>
        <v>0</v>
      </c>
      <c r="VI193" s="132">
        <f t="shared" si="299"/>
        <v>0</v>
      </c>
      <c r="VJ193" s="132">
        <f t="shared" si="300"/>
        <v>0</v>
      </c>
      <c r="VK193" s="132">
        <f t="shared" si="301"/>
        <v>0</v>
      </c>
      <c r="VL193" s="132">
        <f t="shared" si="302"/>
        <v>0</v>
      </c>
      <c r="VM193" s="132">
        <f t="shared" si="303"/>
        <v>0</v>
      </c>
      <c r="VN193" s="132">
        <f t="shared" si="304"/>
        <v>8000</v>
      </c>
      <c r="VP193" s="845" t="str">
        <f>IFERROR(HLOOKUP(F193,'Hodnocení '!$C$1:$JH$5,2,FALSE),0)</f>
        <v>Osobní asistence</v>
      </c>
      <c r="VQ193" s="838"/>
      <c r="VR193" s="845" t="str">
        <f t="shared" si="312"/>
        <v>Církve a náboženské společnosti</v>
      </c>
      <c r="VS193" s="845" t="str">
        <f>IFERROR(HLOOKUP(F193,'Hodnocení '!$C$1:$JH$5,5,FALSE),0)</f>
        <v>NZO</v>
      </c>
      <c r="VT193" s="838">
        <f t="shared" si="313"/>
        <v>0</v>
      </c>
      <c r="VU193" s="838">
        <f t="shared" si="314"/>
        <v>0</v>
      </c>
      <c r="VV193" s="838">
        <f t="shared" si="315"/>
        <v>1750000</v>
      </c>
      <c r="VW193" s="838">
        <f t="shared" si="316"/>
        <v>0</v>
      </c>
      <c r="VX193" s="838"/>
      <c r="VY193" s="838">
        <f t="shared" si="317"/>
        <v>0</v>
      </c>
      <c r="VZ193" s="838">
        <f t="shared" si="318"/>
        <v>3457000</v>
      </c>
      <c r="WA193" s="846">
        <f>IFERROR(HLOOKUP($F193,'Hodnocení '!$C$1:$JH$9,9,FALSE),0)</f>
        <v>3457000</v>
      </c>
      <c r="WB193" s="846">
        <f>IF(IFERROR(HLOOKUP($F193,'Hodnocení '!$C$1:$JH$13,13,FALSE),0)&gt;WA193,WA193,IFERROR(HLOOKUP($F193,'Hodnocení '!$C$1:$JH$13,13,FALSE),0))</f>
        <v>3457000</v>
      </c>
      <c r="WC193" s="846">
        <f>IFERROR(HLOOKUP($F193,'Hodnocení '!$C$1:$JH$155,155,FALSE),0)</f>
        <v>3457000</v>
      </c>
      <c r="WD193" s="845"/>
      <c r="WE193" s="845"/>
      <c r="WF193" s="845" t="str">
        <f t="shared" si="305"/>
        <v>ANO</v>
      </c>
      <c r="WG193" s="849" t="str">
        <f t="shared" si="320"/>
        <v>Podpora služby je vyjádřena zařazením do sítě sociálních služeb v KHK a řešením financování služby</v>
      </c>
      <c r="WH193"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93" s="849" t="str">
        <f t="shared" si="320"/>
        <v>Návrh dotace je výsledkem projednání s ostatními zadavateli v rámci sítě služeb KHK</v>
      </c>
      <c r="WJ193" s="849" t="str">
        <f t="shared" si="320"/>
        <v>Bez komentáře</v>
      </c>
      <c r="WK193" s="31">
        <f t="shared" si="306"/>
        <v>0</v>
      </c>
      <c r="WL193" s="850">
        <f t="shared" si="307"/>
        <v>0</v>
      </c>
      <c r="WM193" s="849" t="str">
        <f t="shared" si="308"/>
        <v>V rámci sítě KHK se dlouhodobě řeší otázka navyšování úhrad a průběžně se monitoruje s vazbou na vykrytí vyrovnávací platby</v>
      </c>
      <c r="WN193" s="849">
        <f t="shared" si="309"/>
        <v>0</v>
      </c>
      <c r="WO193" s="849" t="str">
        <f t="shared" si="319"/>
        <v>bez komentáře</v>
      </c>
      <c r="WP193" s="849" t="str">
        <f t="shared" si="319"/>
        <v>bez komentáře</v>
      </c>
      <c r="WQ193" s="849" t="str">
        <f t="shared" si="319"/>
        <v>Konečná výše dotace z rozpočtu KHK bude řešena v návaznosti na řešení podílů jednotlivých zadavatelů.</v>
      </c>
      <c r="WR193" s="849" t="str">
        <f t="shared" si="319"/>
        <v>Konečná výše podpory ze stran obcí bude řešena v součinnosti s jednotlivými zadavateli v průběhu roku.</v>
      </c>
      <c r="WS193" s="849" t="str">
        <f t="shared" si="319"/>
        <v>bez komentáře</v>
      </c>
      <c r="WT193" s="849" t="str">
        <f t="shared" si="319"/>
        <v>bez komentáře</v>
      </c>
      <c r="WU193" s="845"/>
    </row>
    <row r="194" spans="1:619" s="128" customFormat="1" x14ac:dyDescent="0.25">
      <c r="A194" s="128" t="str">
        <f>VLOOKUP(F194,'Výpočet VP 2020'!$D$324:$I$588,6,FALSE)</f>
        <v>Je v síti</v>
      </c>
      <c r="B194" s="128" t="s">
        <v>834</v>
      </c>
      <c r="C194" s="128">
        <v>26000202</v>
      </c>
      <c r="D194" s="128" t="s">
        <v>835</v>
      </c>
      <c r="E194" s="128" t="s">
        <v>836</v>
      </c>
      <c r="F194" s="128">
        <v>9142033</v>
      </c>
      <c r="G194" s="128" t="s">
        <v>837</v>
      </c>
      <c r="H194" s="128" t="s">
        <v>218</v>
      </c>
      <c r="I194" s="128" t="s">
        <v>838</v>
      </c>
      <c r="J194" s="129">
        <v>43374</v>
      </c>
      <c r="L194" s="128" t="s">
        <v>220</v>
      </c>
      <c r="M194" s="128" t="s">
        <v>839</v>
      </c>
      <c r="N194" s="128">
        <v>30</v>
      </c>
      <c r="P194" s="128">
        <v>8</v>
      </c>
      <c r="Q194" s="128">
        <v>60</v>
      </c>
      <c r="R194" s="128">
        <v>90</v>
      </c>
      <c r="W194" s="128" t="s">
        <v>840</v>
      </c>
      <c r="BL194" s="128" t="s">
        <v>841</v>
      </c>
      <c r="BM194" s="128" t="s">
        <v>414</v>
      </c>
      <c r="BN194" s="128" t="s">
        <v>326</v>
      </c>
      <c r="DA194" s="128">
        <v>0</v>
      </c>
      <c r="DB194" s="128">
        <v>0</v>
      </c>
      <c r="DC194" s="128">
        <v>0</v>
      </c>
      <c r="DD194" s="128">
        <v>0</v>
      </c>
      <c r="DE194" s="128">
        <v>0</v>
      </c>
      <c r="DF194" s="128">
        <v>3</v>
      </c>
      <c r="DG194" s="128">
        <v>5</v>
      </c>
      <c r="DH194" s="128">
        <v>13</v>
      </c>
      <c r="DI194" s="128">
        <v>1</v>
      </c>
      <c r="DJ194" s="128">
        <v>3</v>
      </c>
      <c r="DK194" s="128">
        <v>3</v>
      </c>
      <c r="DL194" s="128">
        <v>5</v>
      </c>
      <c r="DM194" s="128">
        <v>13</v>
      </c>
      <c r="DN194" s="128">
        <v>1</v>
      </c>
      <c r="DO194" s="128">
        <v>3</v>
      </c>
      <c r="DP194" s="128">
        <v>0</v>
      </c>
      <c r="DQ194" s="128">
        <v>25</v>
      </c>
      <c r="DR194" s="128">
        <v>25</v>
      </c>
      <c r="DS194" s="128">
        <v>0</v>
      </c>
      <c r="DT194" s="128">
        <v>0</v>
      </c>
      <c r="DU194" s="128">
        <v>0</v>
      </c>
      <c r="DV194" s="128">
        <v>0</v>
      </c>
      <c r="DW194" s="128">
        <v>0</v>
      </c>
      <c r="DX194" s="128">
        <v>4</v>
      </c>
      <c r="DY194" s="128">
        <v>8</v>
      </c>
      <c r="DZ194" s="128">
        <v>8</v>
      </c>
      <c r="EA194" s="128">
        <v>8</v>
      </c>
      <c r="EB194" s="128">
        <v>2</v>
      </c>
      <c r="EC194" s="128">
        <v>4</v>
      </c>
      <c r="ED194" s="128">
        <v>8</v>
      </c>
      <c r="EE194" s="128">
        <v>8</v>
      </c>
      <c r="EF194" s="128">
        <v>8</v>
      </c>
      <c r="EG194" s="128">
        <v>2</v>
      </c>
      <c r="EH194" s="128">
        <v>0</v>
      </c>
      <c r="EI194" s="128">
        <v>30</v>
      </c>
      <c r="EJ194" s="128">
        <v>30</v>
      </c>
      <c r="EK194" s="128">
        <v>2</v>
      </c>
      <c r="EL194" s="128">
        <v>1.5</v>
      </c>
      <c r="EM194" s="128">
        <v>1.44</v>
      </c>
      <c r="EN194" s="128">
        <v>820000</v>
      </c>
      <c r="EO194" s="128">
        <v>600000</v>
      </c>
      <c r="EP194" s="128">
        <v>20</v>
      </c>
      <c r="EQ194" s="128">
        <v>15</v>
      </c>
      <c r="ER194" s="128">
        <v>14.61</v>
      </c>
      <c r="ES194" s="128">
        <v>6450000</v>
      </c>
      <c r="ET194" s="128">
        <v>6000000</v>
      </c>
      <c r="EU194" s="128">
        <v>2</v>
      </c>
      <c r="EV194" s="128">
        <v>1.5</v>
      </c>
      <c r="EW194" s="128">
        <v>1.5</v>
      </c>
      <c r="EX194" s="128">
        <v>1010000</v>
      </c>
      <c r="EY194" s="128">
        <v>0</v>
      </c>
      <c r="FO194" s="128">
        <v>7</v>
      </c>
      <c r="FP194" s="128">
        <v>1.2</v>
      </c>
      <c r="FQ194" s="128">
        <v>1.2</v>
      </c>
      <c r="FR194" s="128">
        <v>950000</v>
      </c>
      <c r="FS194" s="128">
        <v>550000</v>
      </c>
      <c r="KG194" s="128">
        <v>0</v>
      </c>
      <c r="KI194" s="128">
        <v>18</v>
      </c>
      <c r="KJ194" s="128">
        <v>0</v>
      </c>
      <c r="KK194" s="128">
        <v>0</v>
      </c>
      <c r="KL194" s="128">
        <v>0</v>
      </c>
      <c r="KM194" s="128">
        <v>18</v>
      </c>
      <c r="KN194" s="128">
        <v>9230000</v>
      </c>
      <c r="KO194" s="128">
        <v>7150000</v>
      </c>
      <c r="KP194" s="128">
        <v>7150000</v>
      </c>
      <c r="KT194" s="128">
        <v>0</v>
      </c>
      <c r="KU194" s="128">
        <v>0</v>
      </c>
      <c r="KV194" s="128">
        <v>0</v>
      </c>
      <c r="KZ194" s="128">
        <v>0</v>
      </c>
      <c r="LA194" s="128">
        <v>0</v>
      </c>
      <c r="LB194" s="128">
        <v>0</v>
      </c>
      <c r="LF194" s="128">
        <v>200000</v>
      </c>
      <c r="LG194" s="128">
        <v>0</v>
      </c>
      <c r="LH194" s="128">
        <v>0</v>
      </c>
      <c r="LL194" s="128">
        <v>0</v>
      </c>
      <c r="LM194" s="128">
        <v>0</v>
      </c>
      <c r="LN194" s="128">
        <v>0</v>
      </c>
      <c r="LR194" s="128">
        <v>700000</v>
      </c>
      <c r="LS194" s="128">
        <v>500000</v>
      </c>
      <c r="LT194" s="128">
        <v>500000</v>
      </c>
      <c r="LX194" s="128">
        <v>0</v>
      </c>
      <c r="LY194" s="128">
        <v>0</v>
      </c>
      <c r="LZ194" s="128">
        <v>0</v>
      </c>
      <c r="MD194" s="128">
        <v>15000</v>
      </c>
      <c r="ME194" s="128">
        <v>0</v>
      </c>
      <c r="MF194" s="128">
        <v>0</v>
      </c>
      <c r="MJ194" s="128">
        <v>0</v>
      </c>
      <c r="MK194" s="128">
        <v>0</v>
      </c>
      <c r="ML194" s="128">
        <v>0</v>
      </c>
      <c r="MP194" s="128">
        <v>320000</v>
      </c>
      <c r="MQ194" s="128">
        <v>0</v>
      </c>
      <c r="MR194" s="128">
        <v>0</v>
      </c>
      <c r="MV194" s="128">
        <v>395000</v>
      </c>
      <c r="MW194" s="128">
        <v>0</v>
      </c>
      <c r="MX194" s="128">
        <v>0</v>
      </c>
      <c r="NB194" s="128">
        <v>3000</v>
      </c>
      <c r="NC194" s="128">
        <v>0</v>
      </c>
      <c r="ND194" s="128">
        <v>0</v>
      </c>
      <c r="NH194" s="128">
        <v>321000</v>
      </c>
      <c r="NI194" s="128">
        <v>0</v>
      </c>
      <c r="NJ194" s="128">
        <v>0</v>
      </c>
      <c r="NN194" s="128">
        <v>0</v>
      </c>
      <c r="NO194" s="128">
        <v>0</v>
      </c>
      <c r="NP194" s="128">
        <v>0</v>
      </c>
      <c r="NT194" s="128">
        <v>50000</v>
      </c>
      <c r="NU194" s="128">
        <v>0</v>
      </c>
      <c r="NV194" s="128">
        <v>0</v>
      </c>
      <c r="NZ194" s="128">
        <v>50000</v>
      </c>
      <c r="OA194" s="128">
        <v>0</v>
      </c>
      <c r="OB194" s="128">
        <v>0</v>
      </c>
      <c r="OF194" s="128">
        <v>10000</v>
      </c>
      <c r="OG194" s="128">
        <v>0</v>
      </c>
      <c r="OH194" s="128">
        <v>0</v>
      </c>
      <c r="OL194" s="128">
        <v>0</v>
      </c>
      <c r="OM194" s="128">
        <v>0</v>
      </c>
      <c r="ON194" s="128">
        <v>0</v>
      </c>
      <c r="OR194" s="128">
        <v>0</v>
      </c>
      <c r="OS194" s="128">
        <v>0</v>
      </c>
      <c r="OT194" s="128">
        <v>0</v>
      </c>
      <c r="OX194" s="128">
        <v>3096000</v>
      </c>
      <c r="OY194" s="128">
        <v>0</v>
      </c>
      <c r="OZ194" s="128">
        <v>0</v>
      </c>
      <c r="PD194" s="128">
        <v>29000</v>
      </c>
      <c r="PE194" s="128">
        <v>0</v>
      </c>
      <c r="PF194" s="128">
        <v>0</v>
      </c>
      <c r="PJ194" s="128">
        <v>0</v>
      </c>
      <c r="PK194" s="128">
        <v>0</v>
      </c>
      <c r="PL194" s="128">
        <v>0</v>
      </c>
      <c r="PP194" s="128">
        <v>14419000</v>
      </c>
      <c r="PQ194" s="128">
        <v>7650000</v>
      </c>
      <c r="PR194" s="128">
        <v>7650000</v>
      </c>
      <c r="PS194" s="128">
        <v>100</v>
      </c>
      <c r="PT194" s="128">
        <v>100</v>
      </c>
      <c r="PX194" s="128">
        <v>0</v>
      </c>
      <c r="PY194" s="128">
        <v>5580860</v>
      </c>
      <c r="PZ194" s="128">
        <v>7650000</v>
      </c>
      <c r="QA194" s="128">
        <v>127941</v>
      </c>
      <c r="QB194" s="128">
        <v>2100000</v>
      </c>
      <c r="QC194" s="128">
        <v>2513000</v>
      </c>
      <c r="QD194" s="128">
        <v>0</v>
      </c>
      <c r="QE194" s="128">
        <v>0</v>
      </c>
      <c r="QF194" s="128">
        <v>0</v>
      </c>
      <c r="QG194" s="128">
        <v>231308</v>
      </c>
      <c r="QH194" s="128">
        <v>0</v>
      </c>
      <c r="QI194" s="128">
        <v>0</v>
      </c>
      <c r="QJ194" s="128">
        <v>139065</v>
      </c>
      <c r="QK194" s="128">
        <v>2297540</v>
      </c>
      <c r="QL194" s="128">
        <v>3089000</v>
      </c>
      <c r="QN194" s="128">
        <v>234045</v>
      </c>
      <c r="QO194" s="128">
        <v>900000</v>
      </c>
      <c r="QP194" s="128">
        <v>1167000</v>
      </c>
      <c r="RH194" s="128">
        <f t="shared" si="310"/>
        <v>10163000</v>
      </c>
      <c r="RI194" s="128">
        <v>0</v>
      </c>
      <c r="RM194" s="128" t="s">
        <v>220</v>
      </c>
      <c r="RU194" s="130"/>
      <c r="RV194" s="130"/>
      <c r="RW194" s="130"/>
      <c r="RX194" s="130"/>
      <c r="SF194" s="128">
        <f t="shared" si="220"/>
        <v>9142033</v>
      </c>
      <c r="SG194" s="131">
        <f t="shared" si="221"/>
        <v>14419000</v>
      </c>
      <c r="SH194" s="131">
        <f t="shared" si="222"/>
        <v>14419000</v>
      </c>
      <c r="SI194" s="131">
        <f t="shared" si="223"/>
        <v>9430000</v>
      </c>
      <c r="SJ194" s="132">
        <f t="shared" si="224"/>
        <v>9230000</v>
      </c>
      <c r="SK194" s="132">
        <f t="shared" si="225"/>
        <v>0</v>
      </c>
      <c r="SL194" s="132">
        <f t="shared" si="226"/>
        <v>0</v>
      </c>
      <c r="SM194" s="132">
        <f t="shared" si="227"/>
        <v>200000</v>
      </c>
      <c r="SN194" s="131">
        <f t="shared" si="228"/>
        <v>4989000</v>
      </c>
      <c r="SO194" s="131">
        <f t="shared" si="229"/>
        <v>700000</v>
      </c>
      <c r="SP194" s="132">
        <f t="shared" si="230"/>
        <v>0</v>
      </c>
      <c r="SQ194" s="132">
        <f t="shared" si="231"/>
        <v>700000</v>
      </c>
      <c r="SR194" s="132">
        <f t="shared" si="232"/>
        <v>0</v>
      </c>
      <c r="SS194" s="132">
        <f t="shared" si="233"/>
        <v>15000</v>
      </c>
      <c r="ST194" s="132">
        <f t="shared" si="234"/>
        <v>0</v>
      </c>
      <c r="SU194" s="132">
        <f t="shared" si="235"/>
        <v>320000</v>
      </c>
      <c r="SV194" s="131">
        <f t="shared" si="236"/>
        <v>3925000</v>
      </c>
      <c r="SW194" s="132">
        <f t="shared" si="237"/>
        <v>395000</v>
      </c>
      <c r="SX194" s="132">
        <f t="shared" si="238"/>
        <v>3000</v>
      </c>
      <c r="SY194" s="132">
        <f t="shared" si="239"/>
        <v>321000</v>
      </c>
      <c r="SZ194" s="132">
        <f t="shared" si="240"/>
        <v>0</v>
      </c>
      <c r="TA194" s="132">
        <f t="shared" si="241"/>
        <v>50000</v>
      </c>
      <c r="TB194" s="132">
        <f t="shared" si="242"/>
        <v>50000</v>
      </c>
      <c r="TC194" s="132">
        <f t="shared" si="243"/>
        <v>10000</v>
      </c>
      <c r="TD194" s="132">
        <f t="shared" si="244"/>
        <v>0</v>
      </c>
      <c r="TE194" s="132">
        <f t="shared" si="245"/>
        <v>0</v>
      </c>
      <c r="TF194" s="132">
        <f t="shared" si="246"/>
        <v>3096000</v>
      </c>
      <c r="TG194" s="132">
        <f t="shared" si="247"/>
        <v>29000</v>
      </c>
      <c r="TH194" s="132">
        <f t="shared" si="248"/>
        <v>0</v>
      </c>
      <c r="TI194" s="1"/>
      <c r="TJ194" s="131">
        <f t="shared" si="249"/>
        <v>7650000</v>
      </c>
      <c r="TK194" s="131">
        <f t="shared" si="250"/>
        <v>7650000</v>
      </c>
      <c r="TL194" s="131">
        <f t="shared" si="251"/>
        <v>7150000</v>
      </c>
      <c r="TM194" s="132">
        <f t="shared" si="252"/>
        <v>7150000</v>
      </c>
      <c r="TN194" s="132">
        <f t="shared" si="253"/>
        <v>0</v>
      </c>
      <c r="TO194" s="132">
        <f t="shared" si="254"/>
        <v>0</v>
      </c>
      <c r="TP194" s="132">
        <f t="shared" si="255"/>
        <v>0</v>
      </c>
      <c r="TQ194" s="131">
        <f t="shared" si="256"/>
        <v>500000</v>
      </c>
      <c r="TR194" s="131">
        <f t="shared" si="257"/>
        <v>500000</v>
      </c>
      <c r="TS194" s="132">
        <f t="shared" si="258"/>
        <v>0</v>
      </c>
      <c r="TT194" s="132">
        <f t="shared" si="259"/>
        <v>500000</v>
      </c>
      <c r="TU194" s="132">
        <f t="shared" si="260"/>
        <v>0</v>
      </c>
      <c r="TV194" s="132">
        <f t="shared" si="261"/>
        <v>0</v>
      </c>
      <c r="TW194" s="132">
        <f t="shared" si="262"/>
        <v>0</v>
      </c>
      <c r="TX194" s="132">
        <f t="shared" si="263"/>
        <v>0</v>
      </c>
      <c r="TY194" s="131">
        <f t="shared" si="264"/>
        <v>0</v>
      </c>
      <c r="TZ194" s="132">
        <f t="shared" si="265"/>
        <v>0</v>
      </c>
      <c r="UA194" s="132">
        <f t="shared" si="266"/>
        <v>0</v>
      </c>
      <c r="UB194" s="132">
        <f t="shared" si="267"/>
        <v>0</v>
      </c>
      <c r="UC194" s="132">
        <f t="shared" si="268"/>
        <v>0</v>
      </c>
      <c r="UD194" s="132">
        <f t="shared" si="269"/>
        <v>0</v>
      </c>
      <c r="UE194" s="132">
        <f t="shared" si="270"/>
        <v>0</v>
      </c>
      <c r="UF194" s="132">
        <f t="shared" si="271"/>
        <v>0</v>
      </c>
      <c r="UG194" s="132">
        <f t="shared" si="272"/>
        <v>0</v>
      </c>
      <c r="UH194" s="132">
        <f t="shared" si="273"/>
        <v>0</v>
      </c>
      <c r="UI194" s="132">
        <f t="shared" si="274"/>
        <v>0</v>
      </c>
      <c r="UJ194" s="132">
        <f t="shared" si="275"/>
        <v>0</v>
      </c>
      <c r="UK194" s="132">
        <f t="shared" si="276"/>
        <v>0</v>
      </c>
      <c r="UL194" s="132">
        <f t="shared" si="311"/>
        <v>7650000</v>
      </c>
      <c r="UM194" s="131">
        <f t="shared" si="277"/>
        <v>7650000</v>
      </c>
      <c r="UN194" s="131">
        <f t="shared" si="278"/>
        <v>7650000</v>
      </c>
      <c r="UO194" s="131">
        <f t="shared" si="279"/>
        <v>7150000</v>
      </c>
      <c r="UP194" s="132">
        <f t="shared" si="280"/>
        <v>7150000</v>
      </c>
      <c r="UQ194" s="132">
        <f t="shared" si="281"/>
        <v>0</v>
      </c>
      <c r="UR194" s="132">
        <f t="shared" si="282"/>
        <v>0</v>
      </c>
      <c r="US194" s="132">
        <f t="shared" si="283"/>
        <v>0</v>
      </c>
      <c r="UT194" s="131">
        <f t="shared" si="284"/>
        <v>500000</v>
      </c>
      <c r="UU194" s="131">
        <f t="shared" si="285"/>
        <v>500000</v>
      </c>
      <c r="UV194" s="132">
        <f t="shared" si="286"/>
        <v>0</v>
      </c>
      <c r="UW194" s="132">
        <f t="shared" si="287"/>
        <v>500000</v>
      </c>
      <c r="UX194" s="132">
        <f t="shared" si="288"/>
        <v>0</v>
      </c>
      <c r="UY194" s="132">
        <f t="shared" si="289"/>
        <v>0</v>
      </c>
      <c r="UZ194" s="132">
        <f t="shared" si="290"/>
        <v>0</v>
      </c>
      <c r="VA194" s="132">
        <f t="shared" si="291"/>
        <v>0</v>
      </c>
      <c r="VB194" s="131">
        <f t="shared" si="292"/>
        <v>0</v>
      </c>
      <c r="VC194" s="132">
        <f t="shared" si="293"/>
        <v>0</v>
      </c>
      <c r="VD194" s="132">
        <f t="shared" si="294"/>
        <v>0</v>
      </c>
      <c r="VE194" s="132">
        <f t="shared" si="295"/>
        <v>0</v>
      </c>
      <c r="VF194" s="132">
        <f t="shared" si="296"/>
        <v>0</v>
      </c>
      <c r="VG194" s="132">
        <f t="shared" si="297"/>
        <v>0</v>
      </c>
      <c r="VH194" s="132">
        <f t="shared" si="298"/>
        <v>0</v>
      </c>
      <c r="VI194" s="132">
        <f t="shared" si="299"/>
        <v>0</v>
      </c>
      <c r="VJ194" s="132">
        <f t="shared" si="300"/>
        <v>0</v>
      </c>
      <c r="VK194" s="132">
        <f t="shared" si="301"/>
        <v>0</v>
      </c>
      <c r="VL194" s="132">
        <f t="shared" si="302"/>
        <v>0</v>
      </c>
      <c r="VM194" s="132">
        <f t="shared" si="303"/>
        <v>0</v>
      </c>
      <c r="VN194" s="132">
        <f t="shared" si="304"/>
        <v>0</v>
      </c>
      <c r="VP194" s="845" t="str">
        <f>IFERROR(HLOOKUP(F194,'Hodnocení '!$C$1:$JH$5,2,FALSE),0)</f>
        <v>Oblastní nemocnice Náchod a.s.</v>
      </c>
      <c r="VQ194" s="838"/>
      <c r="VR194" s="845" t="str">
        <f t="shared" si="312"/>
        <v>Akciová společnost</v>
      </c>
      <c r="VS194" s="845" t="str">
        <f>IFERROR(HLOOKUP(F194,'Hodnocení '!$C$1:$JH$5,5,FALSE),0)</f>
        <v>NZO</v>
      </c>
      <c r="VT194" s="838">
        <f t="shared" si="313"/>
        <v>0</v>
      </c>
      <c r="VU194" s="838">
        <f t="shared" si="314"/>
        <v>0</v>
      </c>
      <c r="VV194" s="838">
        <f t="shared" si="315"/>
        <v>3089000</v>
      </c>
      <c r="VW194" s="838">
        <f t="shared" si="316"/>
        <v>1167000</v>
      </c>
      <c r="VX194" s="838"/>
      <c r="VY194" s="838">
        <f t="shared" si="317"/>
        <v>0</v>
      </c>
      <c r="VZ194" s="838">
        <f t="shared" si="318"/>
        <v>7650000</v>
      </c>
      <c r="WA194" s="846">
        <f>IFERROR(HLOOKUP($F194,'Hodnocení '!$C$1:$JH$9,9,FALSE),0)</f>
        <v>7650000</v>
      </c>
      <c r="WB194" s="846">
        <f>IF(IFERROR(HLOOKUP($F194,'Hodnocení '!$C$1:$JH$13,13,FALSE),0)&gt;WA194,WA194,IFERROR(HLOOKUP($F194,'Hodnocení '!$C$1:$JH$13,13,FALSE),0))</f>
        <v>7650000</v>
      </c>
      <c r="WC194" s="846">
        <f>IFERROR(HLOOKUP($F194,'Hodnocení '!$C$1:$JH$155,155,FALSE),0)</f>
        <v>7650000</v>
      </c>
      <c r="WD194" s="845"/>
      <c r="WE194" s="845"/>
      <c r="WF194" s="845" t="str">
        <f t="shared" si="305"/>
        <v>ANO</v>
      </c>
      <c r="WG194" s="849" t="str">
        <f t="shared" si="320"/>
        <v>Podpora služby je vyjádřena zařazením do sítě sociálních služeb v KHK a řešením financování služby</v>
      </c>
      <c r="WH194"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94" s="849" t="str">
        <f t="shared" si="320"/>
        <v>Návrh dotace je výsledkem projednání s ostatními zadavateli v rámci sítě služeb KHK</v>
      </c>
      <c r="WJ194" s="849" t="str">
        <f t="shared" si="320"/>
        <v>Bez komentáře</v>
      </c>
      <c r="WK194" s="31">
        <f t="shared" si="306"/>
        <v>0</v>
      </c>
      <c r="WL194" s="850">
        <f t="shared" si="307"/>
        <v>0</v>
      </c>
      <c r="WM194" s="849" t="str">
        <f t="shared" si="308"/>
        <v>V rámci sítě KHK se dlouhodobě řeší otázka navyšování úhrad a průběžně se monitoruje s vazbou na vykrytí vyrovnávací platby</v>
      </c>
      <c r="WN194" s="849" t="str">
        <f t="shared" si="309"/>
        <v>Otázka výběru od zdravotních pojišťoven je předmětem procesu, který probíhá ve formě jednání se ZP a organizacemi</v>
      </c>
      <c r="WO194" s="849" t="str">
        <f t="shared" ref="WO194:WT236" si="321">IF($WF194="NE","nehodnoceno",WO$2)</f>
        <v>bez komentáře</v>
      </c>
      <c r="WP194" s="849" t="str">
        <f t="shared" si="321"/>
        <v>bez komentáře</v>
      </c>
      <c r="WQ194" s="849" t="str">
        <f t="shared" si="321"/>
        <v>Konečná výše dotace z rozpočtu KHK bude řešena v návaznosti na řešení podílů jednotlivých zadavatelů.</v>
      </c>
      <c r="WR194" s="849" t="str">
        <f t="shared" si="321"/>
        <v>Konečná výše podpory ze stran obcí bude řešena v součinnosti s jednotlivými zadavateli v průběhu roku.</v>
      </c>
      <c r="WS194" s="849" t="str">
        <f t="shared" si="321"/>
        <v>bez komentáře</v>
      </c>
      <c r="WT194" s="849" t="str">
        <f t="shared" si="321"/>
        <v>bez komentáře</v>
      </c>
      <c r="WU194" s="845"/>
    </row>
    <row r="195" spans="1:619" s="128" customFormat="1" x14ac:dyDescent="0.25">
      <c r="A195" s="128" t="str">
        <f>VLOOKUP(F195,'Výpočet VP 2020'!$D$324:$I$588,6,FALSE)</f>
        <v>Je v síti</v>
      </c>
      <c r="B195" s="128" t="s">
        <v>842</v>
      </c>
      <c r="C195" s="128">
        <v>22690361</v>
      </c>
      <c r="D195" s="128" t="s">
        <v>843</v>
      </c>
      <c r="E195" s="128" t="s">
        <v>242</v>
      </c>
      <c r="F195" s="128">
        <v>6698987</v>
      </c>
      <c r="G195" s="128" t="s">
        <v>292</v>
      </c>
      <c r="H195" s="128" t="s">
        <v>293</v>
      </c>
      <c r="I195" s="128" t="s">
        <v>844</v>
      </c>
      <c r="J195" s="129">
        <v>41640</v>
      </c>
      <c r="L195" s="128" t="s">
        <v>220</v>
      </c>
      <c r="X195" s="128" t="s">
        <v>845</v>
      </c>
      <c r="AI195" s="128">
        <v>5</v>
      </c>
      <c r="AJ195" s="128">
        <v>5</v>
      </c>
      <c r="AK195" s="128">
        <v>255</v>
      </c>
      <c r="AL195" s="128">
        <v>300</v>
      </c>
      <c r="AM195" s="128">
        <v>300</v>
      </c>
      <c r="BL195" s="128" t="s">
        <v>743</v>
      </c>
      <c r="BM195" s="128" t="s">
        <v>340</v>
      </c>
      <c r="BN195" s="128" t="s">
        <v>299</v>
      </c>
      <c r="EK195" s="128">
        <v>1</v>
      </c>
      <c r="EL195" s="128">
        <v>1</v>
      </c>
      <c r="EM195" s="128">
        <v>1</v>
      </c>
      <c r="EN195" s="128">
        <v>496968</v>
      </c>
      <c r="EO195" s="128">
        <v>496968</v>
      </c>
      <c r="FO195" s="128">
        <v>1</v>
      </c>
      <c r="FP195" s="128">
        <v>0.15</v>
      </c>
      <c r="FQ195" s="128">
        <v>0.15</v>
      </c>
      <c r="FR195" s="128">
        <v>73070</v>
      </c>
      <c r="FS195" s="128">
        <v>73070</v>
      </c>
      <c r="GR195" s="128">
        <v>1</v>
      </c>
      <c r="GS195" s="128">
        <v>0.15</v>
      </c>
      <c r="GT195" s="128">
        <v>12</v>
      </c>
      <c r="GU195" s="128">
        <v>0.15</v>
      </c>
      <c r="GV195" s="128">
        <v>20000</v>
      </c>
      <c r="GW195" s="128">
        <v>20000</v>
      </c>
      <c r="IS195" s="128">
        <v>4</v>
      </c>
      <c r="IT195" s="128">
        <v>391</v>
      </c>
      <c r="IU195" s="128">
        <v>0.187</v>
      </c>
      <c r="IV195" s="128">
        <v>112465</v>
      </c>
      <c r="IW195" s="128">
        <v>49970</v>
      </c>
      <c r="KG195" s="128">
        <v>1</v>
      </c>
      <c r="KH195" s="128">
        <v>100</v>
      </c>
      <c r="KI195" s="128">
        <v>1</v>
      </c>
      <c r="KJ195" s="128">
        <v>0.15</v>
      </c>
      <c r="KK195" s="128">
        <v>0</v>
      </c>
      <c r="KL195" s="128">
        <v>0</v>
      </c>
      <c r="KM195" s="128">
        <v>1.1499999999999999</v>
      </c>
      <c r="KN195" s="128">
        <v>570038</v>
      </c>
      <c r="KO195" s="128">
        <v>570038</v>
      </c>
      <c r="KP195" s="128">
        <v>570038</v>
      </c>
      <c r="KT195" s="128">
        <v>20000</v>
      </c>
      <c r="KU195" s="128">
        <v>20000</v>
      </c>
      <c r="KV195" s="128">
        <v>20000</v>
      </c>
      <c r="KZ195" s="128">
        <v>112465</v>
      </c>
      <c r="LA195" s="128">
        <v>49970</v>
      </c>
      <c r="LB195" s="128">
        <v>49970</v>
      </c>
      <c r="LF195" s="128">
        <v>15700</v>
      </c>
      <c r="LG195" s="128">
        <v>1700</v>
      </c>
      <c r="LH195" s="128">
        <v>1700</v>
      </c>
      <c r="LL195" s="128">
        <v>0</v>
      </c>
      <c r="LM195" s="128">
        <v>0</v>
      </c>
      <c r="LN195" s="128">
        <v>0</v>
      </c>
      <c r="LR195" s="128">
        <v>38000</v>
      </c>
      <c r="LS195" s="128">
        <v>30000</v>
      </c>
      <c r="LT195" s="128">
        <v>30000</v>
      </c>
      <c r="LX195" s="128">
        <v>0</v>
      </c>
      <c r="LY195" s="128">
        <v>0</v>
      </c>
      <c r="LZ195" s="128">
        <v>0</v>
      </c>
      <c r="MD195" s="128">
        <v>4000</v>
      </c>
      <c r="ME195" s="128">
        <v>0</v>
      </c>
      <c r="MF195" s="128">
        <v>0</v>
      </c>
      <c r="MJ195" s="128">
        <v>0</v>
      </c>
      <c r="MK195" s="128">
        <v>0</v>
      </c>
      <c r="ML195" s="128">
        <v>0</v>
      </c>
      <c r="MP195" s="128">
        <v>3478</v>
      </c>
      <c r="MQ195" s="128">
        <v>0</v>
      </c>
      <c r="MR195" s="128">
        <v>0</v>
      </c>
      <c r="MV195" s="128">
        <v>42000</v>
      </c>
      <c r="MW195" s="128">
        <v>20000</v>
      </c>
      <c r="MX195" s="128">
        <v>20000</v>
      </c>
      <c r="NB195" s="128">
        <v>2600</v>
      </c>
      <c r="NC195" s="128">
        <v>2000</v>
      </c>
      <c r="ND195" s="128">
        <v>2000</v>
      </c>
      <c r="NH195" s="128">
        <v>79500</v>
      </c>
      <c r="NI195" s="128">
        <v>24500</v>
      </c>
      <c r="NJ195" s="128">
        <v>24500</v>
      </c>
      <c r="NN195" s="128">
        <v>0</v>
      </c>
      <c r="NO195" s="128">
        <v>0</v>
      </c>
      <c r="NP195" s="128">
        <v>0</v>
      </c>
      <c r="NT195" s="128">
        <v>10000</v>
      </c>
      <c r="NU195" s="128">
        <v>8000</v>
      </c>
      <c r="NV195" s="128">
        <v>8000</v>
      </c>
      <c r="NZ195" s="128">
        <v>5000</v>
      </c>
      <c r="OA195" s="128">
        <v>0</v>
      </c>
      <c r="OB195" s="128">
        <v>0</v>
      </c>
      <c r="OF195" s="128">
        <v>4000</v>
      </c>
      <c r="OG195" s="128">
        <v>2000</v>
      </c>
      <c r="OH195" s="128">
        <v>2000</v>
      </c>
      <c r="OL195" s="128">
        <v>0</v>
      </c>
      <c r="OM195" s="128">
        <v>0</v>
      </c>
      <c r="ON195" s="128">
        <v>0</v>
      </c>
      <c r="OR195" s="128">
        <v>0</v>
      </c>
      <c r="OS195" s="128">
        <v>0</v>
      </c>
      <c r="OT195" s="128">
        <v>0</v>
      </c>
      <c r="OX195" s="128">
        <v>50200</v>
      </c>
      <c r="OY195" s="128">
        <v>26600</v>
      </c>
      <c r="OZ195" s="128">
        <v>26600</v>
      </c>
      <c r="PD195" s="128">
        <v>0</v>
      </c>
      <c r="PE195" s="128">
        <v>0</v>
      </c>
      <c r="PF195" s="128">
        <v>0</v>
      </c>
      <c r="PJ195" s="128">
        <v>10100</v>
      </c>
      <c r="PK195" s="128">
        <v>6000</v>
      </c>
      <c r="PL195" s="128">
        <v>6000</v>
      </c>
      <c r="PP195" s="128">
        <v>967081</v>
      </c>
      <c r="PQ195" s="128">
        <v>760808</v>
      </c>
      <c r="PR195" s="128">
        <v>760808</v>
      </c>
      <c r="PS195" s="128">
        <v>100</v>
      </c>
      <c r="PT195" s="128">
        <v>100</v>
      </c>
      <c r="PX195" s="128">
        <v>621400</v>
      </c>
      <c r="PY195" s="128">
        <v>665328</v>
      </c>
      <c r="PZ195" s="128">
        <v>760808</v>
      </c>
      <c r="QA195" s="128">
        <v>0</v>
      </c>
      <c r="QB195" s="128">
        <v>0</v>
      </c>
      <c r="QC195" s="128">
        <v>0</v>
      </c>
      <c r="QD195" s="128">
        <v>0</v>
      </c>
      <c r="QE195" s="128">
        <v>0</v>
      </c>
      <c r="QF195" s="128">
        <v>0</v>
      </c>
      <c r="QG195" s="128">
        <v>0</v>
      </c>
      <c r="QH195" s="128">
        <v>0</v>
      </c>
      <c r="QI195" s="128">
        <v>0</v>
      </c>
      <c r="QJ195" s="128">
        <v>0</v>
      </c>
      <c r="QK195" s="128">
        <v>0</v>
      </c>
      <c r="QL195" s="128">
        <v>0</v>
      </c>
      <c r="QN195" s="128">
        <v>0</v>
      </c>
      <c r="QO195" s="128">
        <v>0</v>
      </c>
      <c r="QP195" s="128">
        <v>0</v>
      </c>
      <c r="QX195" s="128">
        <v>200000</v>
      </c>
      <c r="QY195" s="128">
        <v>200000</v>
      </c>
      <c r="QZ195" s="128">
        <v>200000</v>
      </c>
      <c r="RD195" s="128">
        <v>40410</v>
      </c>
      <c r="RE195" s="128">
        <v>21751</v>
      </c>
      <c r="RF195" s="128">
        <v>6273</v>
      </c>
      <c r="RH195" s="128">
        <f t="shared" si="310"/>
        <v>967081</v>
      </c>
      <c r="RI195" s="128">
        <v>0</v>
      </c>
      <c r="RM195" s="128" t="s">
        <v>220</v>
      </c>
      <c r="RU195" s="130"/>
      <c r="RV195" s="130"/>
      <c r="RW195" s="130"/>
      <c r="RX195" s="130"/>
      <c r="SF195" s="128">
        <f t="shared" si="220"/>
        <v>6698987</v>
      </c>
      <c r="SG195" s="131">
        <f t="shared" si="221"/>
        <v>967081</v>
      </c>
      <c r="SH195" s="131">
        <f t="shared" si="222"/>
        <v>967081</v>
      </c>
      <c r="SI195" s="131">
        <f t="shared" si="223"/>
        <v>718203</v>
      </c>
      <c r="SJ195" s="132">
        <f t="shared" si="224"/>
        <v>570038</v>
      </c>
      <c r="SK195" s="132">
        <f t="shared" si="225"/>
        <v>20000</v>
      </c>
      <c r="SL195" s="132">
        <f t="shared" si="226"/>
        <v>112465</v>
      </c>
      <c r="SM195" s="132">
        <f t="shared" si="227"/>
        <v>15700</v>
      </c>
      <c r="SN195" s="131">
        <f t="shared" si="228"/>
        <v>248878</v>
      </c>
      <c r="SO195" s="131">
        <f t="shared" si="229"/>
        <v>38000</v>
      </c>
      <c r="SP195" s="132">
        <f t="shared" si="230"/>
        <v>0</v>
      </c>
      <c r="SQ195" s="132">
        <f t="shared" si="231"/>
        <v>38000</v>
      </c>
      <c r="SR195" s="132">
        <f t="shared" si="232"/>
        <v>0</v>
      </c>
      <c r="SS195" s="132">
        <f t="shared" si="233"/>
        <v>4000</v>
      </c>
      <c r="ST195" s="132">
        <f t="shared" si="234"/>
        <v>0</v>
      </c>
      <c r="SU195" s="132">
        <f t="shared" si="235"/>
        <v>3478</v>
      </c>
      <c r="SV195" s="131">
        <f t="shared" si="236"/>
        <v>193300</v>
      </c>
      <c r="SW195" s="132">
        <f t="shared" si="237"/>
        <v>42000</v>
      </c>
      <c r="SX195" s="132">
        <f t="shared" si="238"/>
        <v>2600</v>
      </c>
      <c r="SY195" s="132">
        <f t="shared" si="239"/>
        <v>79500</v>
      </c>
      <c r="SZ195" s="132">
        <f t="shared" si="240"/>
        <v>0</v>
      </c>
      <c r="TA195" s="132">
        <f t="shared" si="241"/>
        <v>10000</v>
      </c>
      <c r="TB195" s="132">
        <f t="shared" si="242"/>
        <v>5000</v>
      </c>
      <c r="TC195" s="132">
        <f t="shared" si="243"/>
        <v>4000</v>
      </c>
      <c r="TD195" s="132">
        <f t="shared" si="244"/>
        <v>0</v>
      </c>
      <c r="TE195" s="132">
        <f t="shared" si="245"/>
        <v>0</v>
      </c>
      <c r="TF195" s="132">
        <f t="shared" si="246"/>
        <v>50200</v>
      </c>
      <c r="TG195" s="132">
        <f t="shared" si="247"/>
        <v>0</v>
      </c>
      <c r="TH195" s="132">
        <f t="shared" si="248"/>
        <v>10100</v>
      </c>
      <c r="TI195" s="1"/>
      <c r="TJ195" s="131">
        <f t="shared" si="249"/>
        <v>760808</v>
      </c>
      <c r="TK195" s="131">
        <f t="shared" si="250"/>
        <v>760808</v>
      </c>
      <c r="TL195" s="131">
        <f t="shared" si="251"/>
        <v>641708</v>
      </c>
      <c r="TM195" s="132">
        <f t="shared" si="252"/>
        <v>570038</v>
      </c>
      <c r="TN195" s="132">
        <f t="shared" si="253"/>
        <v>20000</v>
      </c>
      <c r="TO195" s="132">
        <f t="shared" si="254"/>
        <v>49970</v>
      </c>
      <c r="TP195" s="132">
        <f t="shared" si="255"/>
        <v>1700</v>
      </c>
      <c r="TQ195" s="131">
        <f t="shared" si="256"/>
        <v>119100</v>
      </c>
      <c r="TR195" s="131">
        <f t="shared" si="257"/>
        <v>30000</v>
      </c>
      <c r="TS195" s="132">
        <f t="shared" si="258"/>
        <v>0</v>
      </c>
      <c r="TT195" s="132">
        <f t="shared" si="259"/>
        <v>30000</v>
      </c>
      <c r="TU195" s="132">
        <f t="shared" si="260"/>
        <v>0</v>
      </c>
      <c r="TV195" s="132">
        <f t="shared" si="261"/>
        <v>0</v>
      </c>
      <c r="TW195" s="132">
        <f t="shared" si="262"/>
        <v>0</v>
      </c>
      <c r="TX195" s="132">
        <f t="shared" si="263"/>
        <v>0</v>
      </c>
      <c r="TY195" s="131">
        <f t="shared" si="264"/>
        <v>83100</v>
      </c>
      <c r="TZ195" s="132">
        <f t="shared" si="265"/>
        <v>20000</v>
      </c>
      <c r="UA195" s="132">
        <f t="shared" si="266"/>
        <v>2000</v>
      </c>
      <c r="UB195" s="132">
        <f t="shared" si="267"/>
        <v>24500</v>
      </c>
      <c r="UC195" s="132">
        <f t="shared" si="268"/>
        <v>0</v>
      </c>
      <c r="UD195" s="132">
        <f t="shared" si="269"/>
        <v>8000</v>
      </c>
      <c r="UE195" s="132">
        <f t="shared" si="270"/>
        <v>0</v>
      </c>
      <c r="UF195" s="132">
        <f t="shared" si="271"/>
        <v>2000</v>
      </c>
      <c r="UG195" s="132">
        <f t="shared" si="272"/>
        <v>0</v>
      </c>
      <c r="UH195" s="132">
        <f t="shared" si="273"/>
        <v>0</v>
      </c>
      <c r="UI195" s="132">
        <f t="shared" si="274"/>
        <v>26600</v>
      </c>
      <c r="UJ195" s="132">
        <f t="shared" si="275"/>
        <v>0</v>
      </c>
      <c r="UK195" s="132">
        <f t="shared" si="276"/>
        <v>6000</v>
      </c>
      <c r="UL195" s="132">
        <f t="shared" si="311"/>
        <v>760808</v>
      </c>
      <c r="UM195" s="131">
        <f t="shared" si="277"/>
        <v>760808</v>
      </c>
      <c r="UN195" s="131">
        <f t="shared" si="278"/>
        <v>760808</v>
      </c>
      <c r="UO195" s="131">
        <f t="shared" si="279"/>
        <v>641708</v>
      </c>
      <c r="UP195" s="132">
        <f t="shared" si="280"/>
        <v>570038</v>
      </c>
      <c r="UQ195" s="132">
        <f t="shared" si="281"/>
        <v>20000</v>
      </c>
      <c r="UR195" s="132">
        <f t="shared" si="282"/>
        <v>49970</v>
      </c>
      <c r="US195" s="132">
        <f t="shared" si="283"/>
        <v>1700</v>
      </c>
      <c r="UT195" s="131">
        <f t="shared" si="284"/>
        <v>119100</v>
      </c>
      <c r="UU195" s="131">
        <f t="shared" si="285"/>
        <v>30000</v>
      </c>
      <c r="UV195" s="132">
        <f t="shared" si="286"/>
        <v>0</v>
      </c>
      <c r="UW195" s="132">
        <f t="shared" si="287"/>
        <v>30000</v>
      </c>
      <c r="UX195" s="132">
        <f t="shared" si="288"/>
        <v>0</v>
      </c>
      <c r="UY195" s="132">
        <f t="shared" si="289"/>
        <v>0</v>
      </c>
      <c r="UZ195" s="132">
        <f t="shared" si="290"/>
        <v>0</v>
      </c>
      <c r="VA195" s="132">
        <f t="shared" si="291"/>
        <v>0</v>
      </c>
      <c r="VB195" s="131">
        <f t="shared" si="292"/>
        <v>83100</v>
      </c>
      <c r="VC195" s="132">
        <f t="shared" si="293"/>
        <v>20000</v>
      </c>
      <c r="VD195" s="132">
        <f t="shared" si="294"/>
        <v>2000</v>
      </c>
      <c r="VE195" s="132">
        <f t="shared" si="295"/>
        <v>24500</v>
      </c>
      <c r="VF195" s="132">
        <f t="shared" si="296"/>
        <v>0</v>
      </c>
      <c r="VG195" s="132">
        <f t="shared" si="297"/>
        <v>8000</v>
      </c>
      <c r="VH195" s="132">
        <f t="shared" si="298"/>
        <v>0</v>
      </c>
      <c r="VI195" s="132">
        <f t="shared" si="299"/>
        <v>2000</v>
      </c>
      <c r="VJ195" s="132">
        <f t="shared" si="300"/>
        <v>0</v>
      </c>
      <c r="VK195" s="132">
        <f t="shared" si="301"/>
        <v>0</v>
      </c>
      <c r="VL195" s="132">
        <f t="shared" si="302"/>
        <v>26600</v>
      </c>
      <c r="VM195" s="132">
        <f t="shared" si="303"/>
        <v>0</v>
      </c>
      <c r="VN195" s="132">
        <f t="shared" si="304"/>
        <v>6000</v>
      </c>
      <c r="VP195" s="845" t="str">
        <f>IFERROR(HLOOKUP(F195,'Hodnocení '!$C$1:$JH$5,2,FALSE),0)</f>
        <v>Občanská poradna Rychnov nad Kněžnou</v>
      </c>
      <c r="VQ195" s="838"/>
      <c r="VR195" s="845" t="str">
        <f t="shared" si="312"/>
        <v>Spolek</v>
      </c>
      <c r="VS195" s="845" t="str">
        <f>IFERROR(HLOOKUP(F195,'Hodnocení '!$C$1:$JH$5,5,FALSE),0)</f>
        <v>NZO</v>
      </c>
      <c r="VT195" s="838">
        <f t="shared" si="313"/>
        <v>0</v>
      </c>
      <c r="VU195" s="838">
        <f t="shared" si="314"/>
        <v>0</v>
      </c>
      <c r="VV195" s="838">
        <f t="shared" si="315"/>
        <v>0</v>
      </c>
      <c r="VW195" s="838">
        <f t="shared" si="316"/>
        <v>0</v>
      </c>
      <c r="VX195" s="838"/>
      <c r="VY195" s="838">
        <f t="shared" si="317"/>
        <v>0</v>
      </c>
      <c r="VZ195" s="838">
        <f t="shared" si="318"/>
        <v>760808</v>
      </c>
      <c r="WA195" s="846">
        <f>IFERROR(HLOOKUP($F195,'Hodnocení '!$C$1:$JH$9,9,FALSE),0)</f>
        <v>760808</v>
      </c>
      <c r="WB195" s="846">
        <f>IF(IFERROR(HLOOKUP($F195,'Hodnocení '!$C$1:$JH$13,13,FALSE),0)&gt;WA195,WA195,IFERROR(HLOOKUP($F195,'Hodnocení '!$C$1:$JH$13,13,FALSE),0))</f>
        <v>760808</v>
      </c>
      <c r="WC195" s="846">
        <f>IFERROR(HLOOKUP($F195,'Hodnocení '!$C$1:$JH$155,155,FALSE),0)</f>
        <v>739610</v>
      </c>
      <c r="WD195" s="845"/>
      <c r="WE195" s="845"/>
      <c r="WF195" s="845" t="str">
        <f t="shared" si="305"/>
        <v>ANO</v>
      </c>
      <c r="WG195" s="849" t="str">
        <f t="shared" si="320"/>
        <v>Podpora služby je vyjádřena zařazením do sítě sociálních služeb v KHK a řešením financování služby</v>
      </c>
      <c r="WH195"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95" s="849" t="str">
        <f t="shared" si="320"/>
        <v>Návrh dotace je výsledkem projednání s ostatními zadavateli v rámci sítě služeb KHK</v>
      </c>
      <c r="WJ195" s="849" t="str">
        <f t="shared" si="320"/>
        <v>Bez komentáře</v>
      </c>
      <c r="WK195" s="31">
        <f t="shared" si="306"/>
        <v>0</v>
      </c>
      <c r="WL195" s="850">
        <f t="shared" si="307"/>
        <v>0</v>
      </c>
      <c r="WM195" s="849">
        <f t="shared" si="308"/>
        <v>0</v>
      </c>
      <c r="WN195" s="849">
        <f t="shared" si="309"/>
        <v>0</v>
      </c>
      <c r="WO195" s="849" t="str">
        <f t="shared" si="321"/>
        <v>bez komentáře</v>
      </c>
      <c r="WP195" s="849" t="str">
        <f t="shared" si="321"/>
        <v>bez komentáře</v>
      </c>
      <c r="WQ195" s="849" t="str">
        <f t="shared" si="321"/>
        <v>Konečná výše dotace z rozpočtu KHK bude řešena v návaznosti na řešení podílů jednotlivých zadavatelů.</v>
      </c>
      <c r="WR195" s="849" t="str">
        <f t="shared" si="321"/>
        <v>Konečná výše podpory ze stran obcí bude řešena v součinnosti s jednotlivými zadavateli v průběhu roku.</v>
      </c>
      <c r="WS195" s="849" t="str">
        <f t="shared" si="321"/>
        <v>bez komentáře</v>
      </c>
      <c r="WT195" s="849" t="str">
        <f t="shared" si="321"/>
        <v>bez komentáře</v>
      </c>
      <c r="WU195" s="845"/>
    </row>
    <row r="196" spans="1:619" s="128" customFormat="1" x14ac:dyDescent="0.25">
      <c r="A196" s="128" t="str">
        <f>VLOOKUP(F196,'Výpočet VP 2020'!$D$324:$I$588,6,FALSE)</f>
        <v>Je v síti</v>
      </c>
      <c r="B196" s="128" t="s">
        <v>842</v>
      </c>
      <c r="C196" s="128">
        <v>22690361</v>
      </c>
      <c r="D196" s="128" t="s">
        <v>843</v>
      </c>
      <c r="E196" s="128" t="s">
        <v>242</v>
      </c>
      <c r="F196" s="128">
        <v>8350990</v>
      </c>
      <c r="G196" s="128" t="s">
        <v>538</v>
      </c>
      <c r="H196" s="128" t="s">
        <v>230</v>
      </c>
      <c r="I196" s="128" t="s">
        <v>846</v>
      </c>
      <c r="J196" s="129">
        <v>40179</v>
      </c>
      <c r="L196" s="128" t="s">
        <v>220</v>
      </c>
      <c r="X196" s="128" t="s">
        <v>302</v>
      </c>
      <c r="Z196" s="128">
        <v>30</v>
      </c>
      <c r="AA196" s="128">
        <v>40</v>
      </c>
      <c r="AB196" s="128">
        <v>67</v>
      </c>
      <c r="AC196" s="128">
        <v>60</v>
      </c>
      <c r="AD196" s="128">
        <v>80</v>
      </c>
      <c r="AP196" s="128" t="s">
        <v>232</v>
      </c>
      <c r="AQ196" s="128">
        <v>10</v>
      </c>
      <c r="AR196" s="128">
        <v>40</v>
      </c>
      <c r="AS196" s="128">
        <v>17</v>
      </c>
      <c r="AT196" s="128">
        <v>22</v>
      </c>
      <c r="AU196" s="128">
        <v>30</v>
      </c>
      <c r="BL196" s="128" t="s">
        <v>847</v>
      </c>
      <c r="BM196" s="128" t="s">
        <v>542</v>
      </c>
      <c r="BN196" s="128" t="s">
        <v>848</v>
      </c>
      <c r="EK196" s="128">
        <v>2</v>
      </c>
      <c r="EL196" s="128">
        <v>1.5</v>
      </c>
      <c r="EM196" s="128">
        <v>1.5</v>
      </c>
      <c r="EN196" s="128">
        <v>714000</v>
      </c>
      <c r="EO196" s="128">
        <v>700000</v>
      </c>
      <c r="EP196" s="128">
        <v>2</v>
      </c>
      <c r="EQ196" s="128">
        <v>1.35</v>
      </c>
      <c r="ER196" s="128">
        <v>0.85</v>
      </c>
      <c r="ES196" s="128">
        <v>608000</v>
      </c>
      <c r="ET196" s="128">
        <v>600000</v>
      </c>
      <c r="FO196" s="128">
        <v>2</v>
      </c>
      <c r="FP196" s="128">
        <v>0.85</v>
      </c>
      <c r="FQ196" s="128">
        <v>1.6</v>
      </c>
      <c r="FR196" s="128">
        <v>428405</v>
      </c>
      <c r="FS196" s="128">
        <v>420000</v>
      </c>
      <c r="IN196" s="128">
        <v>1</v>
      </c>
      <c r="IO196" s="128">
        <v>300</v>
      </c>
      <c r="IP196" s="128">
        <v>0.14299999999999999</v>
      </c>
      <c r="IQ196" s="128">
        <v>57000</v>
      </c>
      <c r="IR196" s="128">
        <v>52000</v>
      </c>
      <c r="IS196" s="128">
        <v>2</v>
      </c>
      <c r="IT196" s="128">
        <v>219</v>
      </c>
      <c r="IU196" s="128">
        <v>0.104</v>
      </c>
      <c r="IV196" s="128">
        <v>66595</v>
      </c>
      <c r="IW196" s="128">
        <v>0</v>
      </c>
      <c r="KG196" s="128">
        <v>5</v>
      </c>
      <c r="KH196" s="128">
        <v>500</v>
      </c>
      <c r="KI196" s="128">
        <v>2.85</v>
      </c>
      <c r="KJ196" s="128">
        <v>0</v>
      </c>
      <c r="KK196" s="128">
        <v>0.14299999999999999</v>
      </c>
      <c r="KL196" s="128">
        <v>0</v>
      </c>
      <c r="KM196" s="128">
        <v>2.9929999999999999</v>
      </c>
      <c r="KN196" s="128">
        <v>1750405</v>
      </c>
      <c r="KO196" s="128">
        <v>1720000</v>
      </c>
      <c r="KP196" s="128">
        <v>1720000</v>
      </c>
      <c r="KT196" s="128">
        <v>0</v>
      </c>
      <c r="KU196" s="128">
        <v>0</v>
      </c>
      <c r="KV196" s="128">
        <v>0</v>
      </c>
      <c r="KZ196" s="128">
        <v>123595</v>
      </c>
      <c r="LA196" s="128">
        <v>52000</v>
      </c>
      <c r="LB196" s="128">
        <v>52000</v>
      </c>
      <c r="LF196" s="128">
        <v>56000</v>
      </c>
      <c r="LG196" s="128">
        <v>0</v>
      </c>
      <c r="LH196" s="128">
        <v>0</v>
      </c>
      <c r="LL196" s="128">
        <v>0</v>
      </c>
      <c r="LM196" s="128">
        <v>0</v>
      </c>
      <c r="LN196" s="128">
        <v>0</v>
      </c>
      <c r="LR196" s="128">
        <v>22500</v>
      </c>
      <c r="LS196" s="128">
        <v>22500</v>
      </c>
      <c r="LT196" s="128">
        <v>22500</v>
      </c>
      <c r="LX196" s="128">
        <v>0</v>
      </c>
      <c r="LY196" s="128">
        <v>0</v>
      </c>
      <c r="LZ196" s="128">
        <v>0</v>
      </c>
      <c r="MD196" s="128">
        <v>15000</v>
      </c>
      <c r="ME196" s="128">
        <v>0</v>
      </c>
      <c r="MF196" s="128">
        <v>0</v>
      </c>
      <c r="MJ196" s="128">
        <v>0</v>
      </c>
      <c r="MK196" s="128">
        <v>0</v>
      </c>
      <c r="ML196" s="128">
        <v>0</v>
      </c>
      <c r="MP196" s="128">
        <v>0</v>
      </c>
      <c r="MQ196" s="128">
        <v>0</v>
      </c>
      <c r="MR196" s="128">
        <v>0</v>
      </c>
      <c r="MV196" s="128">
        <v>78000</v>
      </c>
      <c r="MW196" s="128">
        <v>70000</v>
      </c>
      <c r="MX196" s="128">
        <v>70000</v>
      </c>
      <c r="NB196" s="128">
        <v>6500</v>
      </c>
      <c r="NC196" s="128">
        <v>0</v>
      </c>
      <c r="ND196" s="128">
        <v>0</v>
      </c>
      <c r="NH196" s="128">
        <v>145500</v>
      </c>
      <c r="NI196" s="128">
        <v>145500</v>
      </c>
      <c r="NJ196" s="128">
        <v>145500</v>
      </c>
      <c r="NN196" s="128">
        <v>0</v>
      </c>
      <c r="NO196" s="128">
        <v>0</v>
      </c>
      <c r="NP196" s="128">
        <v>0</v>
      </c>
      <c r="NT196" s="128">
        <v>25000</v>
      </c>
      <c r="NU196" s="128">
        <v>20000</v>
      </c>
      <c r="NV196" s="128">
        <v>20000</v>
      </c>
      <c r="NZ196" s="128">
        <v>4000</v>
      </c>
      <c r="OA196" s="128">
        <v>0</v>
      </c>
      <c r="OB196" s="128">
        <v>0</v>
      </c>
      <c r="OF196" s="128">
        <v>15000</v>
      </c>
      <c r="OG196" s="128">
        <v>0</v>
      </c>
      <c r="OH196" s="128">
        <v>0</v>
      </c>
      <c r="OL196" s="128">
        <v>0</v>
      </c>
      <c r="OM196" s="128">
        <v>0</v>
      </c>
      <c r="ON196" s="128">
        <v>0</v>
      </c>
      <c r="OR196" s="128">
        <v>0</v>
      </c>
      <c r="OS196" s="128">
        <v>0</v>
      </c>
      <c r="OT196" s="128">
        <v>0</v>
      </c>
      <c r="OX196" s="128">
        <v>83500</v>
      </c>
      <c r="OY196" s="128">
        <v>0</v>
      </c>
      <c r="OZ196" s="128">
        <v>0</v>
      </c>
      <c r="PD196" s="128">
        <v>0</v>
      </c>
      <c r="PE196" s="128">
        <v>0</v>
      </c>
      <c r="PF196" s="128">
        <v>0</v>
      </c>
      <c r="PJ196" s="128">
        <v>15000</v>
      </c>
      <c r="PK196" s="128">
        <v>0</v>
      </c>
      <c r="PL196" s="128">
        <v>0</v>
      </c>
      <c r="PP196" s="128">
        <v>2340000</v>
      </c>
      <c r="PQ196" s="128">
        <v>2030000</v>
      </c>
      <c r="PR196" s="128">
        <v>2030000</v>
      </c>
      <c r="PS196" s="128">
        <v>100</v>
      </c>
      <c r="PT196" s="128">
        <v>100</v>
      </c>
      <c r="PX196" s="128">
        <v>1449000</v>
      </c>
      <c r="PY196" s="128">
        <v>1623500</v>
      </c>
      <c r="PZ196" s="128">
        <v>2030000</v>
      </c>
      <c r="QA196" s="128">
        <v>188868</v>
      </c>
      <c r="QB196" s="128">
        <v>120000</v>
      </c>
      <c r="QC196" s="128">
        <v>0</v>
      </c>
      <c r="QD196" s="128">
        <v>0</v>
      </c>
      <c r="QE196" s="128">
        <v>0</v>
      </c>
      <c r="QF196" s="128">
        <v>0</v>
      </c>
      <c r="QG196" s="128">
        <v>0</v>
      </c>
      <c r="QH196" s="128">
        <v>0</v>
      </c>
      <c r="QI196" s="128">
        <v>0</v>
      </c>
      <c r="QJ196" s="128">
        <v>0</v>
      </c>
      <c r="QK196" s="128">
        <v>0</v>
      </c>
      <c r="QL196" s="128">
        <v>0</v>
      </c>
      <c r="QN196" s="128">
        <v>0</v>
      </c>
      <c r="QO196" s="128">
        <v>0</v>
      </c>
      <c r="QP196" s="128">
        <v>0</v>
      </c>
      <c r="QU196" s="128">
        <v>148000</v>
      </c>
      <c r="QV196" s="128">
        <v>0</v>
      </c>
      <c r="QW196" s="128">
        <v>0</v>
      </c>
      <c r="QX196" s="128">
        <v>265000</v>
      </c>
      <c r="QY196" s="128">
        <v>250000</v>
      </c>
      <c r="QZ196" s="128">
        <v>310000</v>
      </c>
      <c r="RD196" s="128">
        <v>26184</v>
      </c>
      <c r="RE196" s="128">
        <v>0</v>
      </c>
      <c r="RF196" s="128">
        <v>0</v>
      </c>
      <c r="RH196" s="128">
        <f t="shared" si="310"/>
        <v>2340000</v>
      </c>
      <c r="RI196" s="128">
        <v>0</v>
      </c>
      <c r="RM196" s="128" t="s">
        <v>220</v>
      </c>
      <c r="RU196" s="130"/>
      <c r="RV196" s="130"/>
      <c r="RW196" s="130"/>
      <c r="RX196" s="130"/>
      <c r="SF196" s="128">
        <f t="shared" si="220"/>
        <v>8350990</v>
      </c>
      <c r="SG196" s="131">
        <f t="shared" si="221"/>
        <v>2340000</v>
      </c>
      <c r="SH196" s="131">
        <f t="shared" si="222"/>
        <v>2340000</v>
      </c>
      <c r="SI196" s="131">
        <f t="shared" si="223"/>
        <v>1930000</v>
      </c>
      <c r="SJ196" s="132">
        <f t="shared" si="224"/>
        <v>1750405</v>
      </c>
      <c r="SK196" s="132">
        <f t="shared" si="225"/>
        <v>0</v>
      </c>
      <c r="SL196" s="132">
        <f t="shared" si="226"/>
        <v>123595</v>
      </c>
      <c r="SM196" s="132">
        <f t="shared" si="227"/>
        <v>56000</v>
      </c>
      <c r="SN196" s="131">
        <f t="shared" si="228"/>
        <v>410000</v>
      </c>
      <c r="SO196" s="131">
        <f t="shared" si="229"/>
        <v>22500</v>
      </c>
      <c r="SP196" s="132">
        <f t="shared" si="230"/>
        <v>0</v>
      </c>
      <c r="SQ196" s="132">
        <f t="shared" si="231"/>
        <v>22500</v>
      </c>
      <c r="SR196" s="132">
        <f t="shared" si="232"/>
        <v>0</v>
      </c>
      <c r="SS196" s="132">
        <f t="shared" si="233"/>
        <v>15000</v>
      </c>
      <c r="ST196" s="132">
        <f t="shared" si="234"/>
        <v>0</v>
      </c>
      <c r="SU196" s="132">
        <f t="shared" si="235"/>
        <v>0</v>
      </c>
      <c r="SV196" s="131">
        <f t="shared" si="236"/>
        <v>357500</v>
      </c>
      <c r="SW196" s="132">
        <f t="shared" si="237"/>
        <v>78000</v>
      </c>
      <c r="SX196" s="132">
        <f t="shared" si="238"/>
        <v>6500</v>
      </c>
      <c r="SY196" s="132">
        <f t="shared" si="239"/>
        <v>145500</v>
      </c>
      <c r="SZ196" s="132">
        <f t="shared" si="240"/>
        <v>0</v>
      </c>
      <c r="TA196" s="132">
        <f t="shared" si="241"/>
        <v>25000</v>
      </c>
      <c r="TB196" s="132">
        <f t="shared" si="242"/>
        <v>4000</v>
      </c>
      <c r="TC196" s="132">
        <f t="shared" si="243"/>
        <v>15000</v>
      </c>
      <c r="TD196" s="132">
        <f t="shared" si="244"/>
        <v>0</v>
      </c>
      <c r="TE196" s="132">
        <f t="shared" si="245"/>
        <v>0</v>
      </c>
      <c r="TF196" s="132">
        <f t="shared" si="246"/>
        <v>83500</v>
      </c>
      <c r="TG196" s="132">
        <f t="shared" si="247"/>
        <v>0</v>
      </c>
      <c r="TH196" s="132">
        <f t="shared" si="248"/>
        <v>15000</v>
      </c>
      <c r="TI196" s="1"/>
      <c r="TJ196" s="131">
        <f t="shared" si="249"/>
        <v>2030000</v>
      </c>
      <c r="TK196" s="131">
        <f t="shared" si="250"/>
        <v>2030000</v>
      </c>
      <c r="TL196" s="131">
        <f t="shared" si="251"/>
        <v>1772000</v>
      </c>
      <c r="TM196" s="132">
        <f t="shared" si="252"/>
        <v>1720000</v>
      </c>
      <c r="TN196" s="132">
        <f t="shared" si="253"/>
        <v>0</v>
      </c>
      <c r="TO196" s="132">
        <f t="shared" si="254"/>
        <v>52000</v>
      </c>
      <c r="TP196" s="132">
        <f t="shared" si="255"/>
        <v>0</v>
      </c>
      <c r="TQ196" s="131">
        <f t="shared" si="256"/>
        <v>258000</v>
      </c>
      <c r="TR196" s="131">
        <f t="shared" si="257"/>
        <v>22500</v>
      </c>
      <c r="TS196" s="132">
        <f t="shared" si="258"/>
        <v>0</v>
      </c>
      <c r="TT196" s="132">
        <f t="shared" si="259"/>
        <v>22500</v>
      </c>
      <c r="TU196" s="132">
        <f t="shared" si="260"/>
        <v>0</v>
      </c>
      <c r="TV196" s="132">
        <f t="shared" si="261"/>
        <v>0</v>
      </c>
      <c r="TW196" s="132">
        <f t="shared" si="262"/>
        <v>0</v>
      </c>
      <c r="TX196" s="132">
        <f t="shared" si="263"/>
        <v>0</v>
      </c>
      <c r="TY196" s="131">
        <f t="shared" si="264"/>
        <v>235500</v>
      </c>
      <c r="TZ196" s="132">
        <f t="shared" si="265"/>
        <v>70000</v>
      </c>
      <c r="UA196" s="132">
        <f t="shared" si="266"/>
        <v>0</v>
      </c>
      <c r="UB196" s="132">
        <f t="shared" si="267"/>
        <v>145500</v>
      </c>
      <c r="UC196" s="132">
        <f t="shared" si="268"/>
        <v>0</v>
      </c>
      <c r="UD196" s="132">
        <f t="shared" si="269"/>
        <v>20000</v>
      </c>
      <c r="UE196" s="132">
        <f t="shared" si="270"/>
        <v>0</v>
      </c>
      <c r="UF196" s="132">
        <f t="shared" si="271"/>
        <v>0</v>
      </c>
      <c r="UG196" s="132">
        <f t="shared" si="272"/>
        <v>0</v>
      </c>
      <c r="UH196" s="132">
        <f t="shared" si="273"/>
        <v>0</v>
      </c>
      <c r="UI196" s="132">
        <f t="shared" si="274"/>
        <v>0</v>
      </c>
      <c r="UJ196" s="132">
        <f t="shared" si="275"/>
        <v>0</v>
      </c>
      <c r="UK196" s="132">
        <f t="shared" si="276"/>
        <v>0</v>
      </c>
      <c r="UL196" s="132">
        <f t="shared" si="311"/>
        <v>2030000</v>
      </c>
      <c r="UM196" s="131">
        <f t="shared" si="277"/>
        <v>2030000</v>
      </c>
      <c r="UN196" s="131">
        <f t="shared" si="278"/>
        <v>2030000</v>
      </c>
      <c r="UO196" s="131">
        <f t="shared" si="279"/>
        <v>1772000</v>
      </c>
      <c r="UP196" s="132">
        <f t="shared" si="280"/>
        <v>1720000</v>
      </c>
      <c r="UQ196" s="132">
        <f t="shared" si="281"/>
        <v>0</v>
      </c>
      <c r="UR196" s="132">
        <f t="shared" si="282"/>
        <v>52000</v>
      </c>
      <c r="US196" s="132">
        <f t="shared" si="283"/>
        <v>0</v>
      </c>
      <c r="UT196" s="131">
        <f t="shared" si="284"/>
        <v>258000</v>
      </c>
      <c r="UU196" s="131">
        <f t="shared" si="285"/>
        <v>22500</v>
      </c>
      <c r="UV196" s="132">
        <f t="shared" si="286"/>
        <v>0</v>
      </c>
      <c r="UW196" s="132">
        <f t="shared" si="287"/>
        <v>22500</v>
      </c>
      <c r="UX196" s="132">
        <f t="shared" si="288"/>
        <v>0</v>
      </c>
      <c r="UY196" s="132">
        <f t="shared" si="289"/>
        <v>0</v>
      </c>
      <c r="UZ196" s="132">
        <f t="shared" si="290"/>
        <v>0</v>
      </c>
      <c r="VA196" s="132">
        <f t="shared" si="291"/>
        <v>0</v>
      </c>
      <c r="VB196" s="131">
        <f t="shared" si="292"/>
        <v>235500</v>
      </c>
      <c r="VC196" s="132">
        <f t="shared" si="293"/>
        <v>70000</v>
      </c>
      <c r="VD196" s="132">
        <f t="shared" si="294"/>
        <v>0</v>
      </c>
      <c r="VE196" s="132">
        <f t="shared" si="295"/>
        <v>145500</v>
      </c>
      <c r="VF196" s="132">
        <f t="shared" si="296"/>
        <v>0</v>
      </c>
      <c r="VG196" s="132">
        <f t="shared" si="297"/>
        <v>20000</v>
      </c>
      <c r="VH196" s="132">
        <f t="shared" si="298"/>
        <v>0</v>
      </c>
      <c r="VI196" s="132">
        <f t="shared" si="299"/>
        <v>0</v>
      </c>
      <c r="VJ196" s="132">
        <f t="shared" si="300"/>
        <v>0</v>
      </c>
      <c r="VK196" s="132">
        <f t="shared" si="301"/>
        <v>0</v>
      </c>
      <c r="VL196" s="132">
        <f t="shared" si="302"/>
        <v>0</v>
      </c>
      <c r="VM196" s="132">
        <f t="shared" si="303"/>
        <v>0</v>
      </c>
      <c r="VN196" s="132">
        <f t="shared" si="304"/>
        <v>0</v>
      </c>
      <c r="VP196" s="845" t="str">
        <f>IFERROR(HLOOKUP(F196,'Hodnocení '!$C$1:$JH$5,2,FALSE),0)</f>
        <v>Centrum 5KA</v>
      </c>
      <c r="VQ196" s="838"/>
      <c r="VR196" s="845" t="str">
        <f t="shared" si="312"/>
        <v>Spolek</v>
      </c>
      <c r="VS196" s="845" t="str">
        <f>IFERROR(HLOOKUP(F196,'Hodnocení '!$C$1:$JH$5,5,FALSE),0)</f>
        <v>NZO</v>
      </c>
      <c r="VT196" s="838">
        <f t="shared" si="313"/>
        <v>0</v>
      </c>
      <c r="VU196" s="838">
        <f t="shared" si="314"/>
        <v>0</v>
      </c>
      <c r="VV196" s="838">
        <f t="shared" si="315"/>
        <v>0</v>
      </c>
      <c r="VW196" s="838">
        <f t="shared" si="316"/>
        <v>0</v>
      </c>
      <c r="VX196" s="838"/>
      <c r="VY196" s="838">
        <f t="shared" si="317"/>
        <v>0</v>
      </c>
      <c r="VZ196" s="838">
        <f t="shared" si="318"/>
        <v>2030000</v>
      </c>
      <c r="WA196" s="846">
        <f>IFERROR(HLOOKUP($F196,'Hodnocení '!$C$1:$JH$9,9,FALSE),0)</f>
        <v>2030000</v>
      </c>
      <c r="WB196" s="846">
        <f>IF(IFERROR(HLOOKUP($F196,'Hodnocení '!$C$1:$JH$13,13,FALSE),0)&gt;WA196,WA196,IFERROR(HLOOKUP($F196,'Hodnocení '!$C$1:$JH$13,13,FALSE),0))</f>
        <v>1972286.7812295151</v>
      </c>
      <c r="WC196" s="846">
        <f>IFERROR(HLOOKUP($F196,'Hodnocení '!$C$1:$JH$155,155,FALSE),0)</f>
        <v>1904520</v>
      </c>
      <c r="WD196" s="845"/>
      <c r="WE196" s="845"/>
      <c r="WF196" s="845" t="str">
        <f t="shared" si="305"/>
        <v>ANO</v>
      </c>
      <c r="WG196" s="849" t="str">
        <f t="shared" si="320"/>
        <v>Podpora služby je vyjádřena zařazením do sítě sociálních služeb v KHK a řešením financování služby</v>
      </c>
      <c r="WH196"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96" s="849" t="str">
        <f t="shared" si="320"/>
        <v>Návrh dotace je výsledkem projednání s ostatními zadavateli v rámci sítě služeb KHK</v>
      </c>
      <c r="WJ196" s="849" t="str">
        <f t="shared" si="320"/>
        <v>Bez komentáře</v>
      </c>
      <c r="WK196" s="31">
        <f t="shared" si="306"/>
        <v>0</v>
      </c>
      <c r="WL196" s="850">
        <f t="shared" si="307"/>
        <v>0</v>
      </c>
      <c r="WM196" s="849">
        <f t="shared" si="308"/>
        <v>0</v>
      </c>
      <c r="WN196" s="849">
        <f t="shared" si="309"/>
        <v>0</v>
      </c>
      <c r="WO196" s="849" t="str">
        <f t="shared" si="321"/>
        <v>bez komentáře</v>
      </c>
      <c r="WP196" s="849" t="str">
        <f t="shared" si="321"/>
        <v>bez komentáře</v>
      </c>
      <c r="WQ196" s="849" t="str">
        <f t="shared" si="321"/>
        <v>Konečná výše dotace z rozpočtu KHK bude řešena v návaznosti na řešení podílů jednotlivých zadavatelů.</v>
      </c>
      <c r="WR196" s="849" t="str">
        <f t="shared" si="321"/>
        <v>Konečná výše podpory ze stran obcí bude řešena v součinnosti s jednotlivými zadavateli v průběhu roku.</v>
      </c>
      <c r="WS196" s="849" t="str">
        <f t="shared" si="321"/>
        <v>bez komentáře</v>
      </c>
      <c r="WT196" s="849" t="str">
        <f t="shared" si="321"/>
        <v>bez komentáře</v>
      </c>
      <c r="WU196" s="845"/>
    </row>
    <row r="197" spans="1:619" s="128" customFormat="1" x14ac:dyDescent="0.25">
      <c r="A197" s="128" t="str">
        <f>VLOOKUP(F197,'Výpočet VP 2020'!$D$324:$I$588,6,FALSE)</f>
        <v>Je v síti</v>
      </c>
      <c r="B197" s="128" t="s">
        <v>849</v>
      </c>
      <c r="C197" s="128">
        <v>64242218</v>
      </c>
      <c r="D197" s="128" t="s">
        <v>850</v>
      </c>
      <c r="E197" s="128" t="s">
        <v>242</v>
      </c>
      <c r="F197" s="128">
        <v>3741470</v>
      </c>
      <c r="G197" s="128" t="s">
        <v>235</v>
      </c>
      <c r="H197" s="128" t="s">
        <v>230</v>
      </c>
      <c r="I197" s="128" t="s">
        <v>851</v>
      </c>
      <c r="J197" s="129">
        <v>40028</v>
      </c>
      <c r="L197" s="128" t="s">
        <v>220</v>
      </c>
      <c r="X197" s="128" t="s">
        <v>302</v>
      </c>
      <c r="Z197" s="128">
        <v>8</v>
      </c>
      <c r="AA197" s="128">
        <v>32</v>
      </c>
      <c r="AB197" s="128">
        <v>85</v>
      </c>
      <c r="AC197" s="128">
        <v>80</v>
      </c>
      <c r="AD197" s="128">
        <v>80</v>
      </c>
      <c r="AO197" s="128" t="s">
        <v>852</v>
      </c>
      <c r="AP197" s="128" t="s">
        <v>302</v>
      </c>
      <c r="AQ197" s="128">
        <v>8</v>
      </c>
      <c r="AR197" s="128">
        <v>16</v>
      </c>
      <c r="AS197" s="128">
        <v>77</v>
      </c>
      <c r="AT197" s="128">
        <v>80</v>
      </c>
      <c r="AU197" s="128">
        <v>80</v>
      </c>
      <c r="BK197" s="128" t="s">
        <v>853</v>
      </c>
      <c r="BL197" s="128" t="s">
        <v>434</v>
      </c>
      <c r="BM197" s="128" t="s">
        <v>304</v>
      </c>
      <c r="BN197" s="128" t="s">
        <v>364</v>
      </c>
      <c r="EK197" s="128">
        <v>7</v>
      </c>
      <c r="EL197" s="128">
        <v>6.5</v>
      </c>
      <c r="EM197" s="128">
        <v>6.26</v>
      </c>
      <c r="EN197" s="128">
        <v>3373000</v>
      </c>
      <c r="EO197" s="128">
        <v>3219000</v>
      </c>
      <c r="EP197" s="128">
        <v>1</v>
      </c>
      <c r="EQ197" s="128">
        <v>1</v>
      </c>
      <c r="ER197" s="128">
        <v>1.25</v>
      </c>
      <c r="ES197" s="128">
        <v>405000</v>
      </c>
      <c r="ET197" s="128">
        <v>390000</v>
      </c>
      <c r="FO197" s="128">
        <v>12</v>
      </c>
      <c r="FP197" s="128">
        <v>1.45</v>
      </c>
      <c r="FQ197" s="128">
        <v>1.22</v>
      </c>
      <c r="FR197" s="128">
        <v>844000</v>
      </c>
      <c r="FS197" s="128">
        <v>690000</v>
      </c>
      <c r="IN197" s="128">
        <v>1</v>
      </c>
      <c r="IO197" s="128">
        <v>288</v>
      </c>
      <c r="IP197" s="128">
        <v>0.13700000000000001</v>
      </c>
      <c r="IQ197" s="128">
        <v>51840</v>
      </c>
      <c r="IR197" s="128">
        <v>51840</v>
      </c>
      <c r="IS197" s="128">
        <v>3</v>
      </c>
      <c r="IT197" s="128">
        <v>158</v>
      </c>
      <c r="IU197" s="128">
        <v>7.4999999999999997E-2</v>
      </c>
      <c r="IV197" s="128">
        <v>22700</v>
      </c>
      <c r="IW197" s="128">
        <v>22700</v>
      </c>
      <c r="KG197" s="128">
        <v>3</v>
      </c>
      <c r="KH197" s="128">
        <v>20</v>
      </c>
      <c r="KI197" s="128">
        <v>7.5</v>
      </c>
      <c r="KJ197" s="128">
        <v>0</v>
      </c>
      <c r="KK197" s="128">
        <v>0.13700000000000001</v>
      </c>
      <c r="KL197" s="128">
        <v>0</v>
      </c>
      <c r="KM197" s="128">
        <v>7.6369999999999996</v>
      </c>
      <c r="KN197" s="128">
        <v>4622000</v>
      </c>
      <c r="KO197" s="128">
        <v>4299000</v>
      </c>
      <c r="KP197" s="128">
        <v>4299000</v>
      </c>
      <c r="KT197" s="128">
        <v>0</v>
      </c>
      <c r="KU197" s="128">
        <v>0</v>
      </c>
      <c r="KV197" s="128">
        <v>0</v>
      </c>
      <c r="KZ197" s="128">
        <v>74540</v>
      </c>
      <c r="LA197" s="128">
        <v>74540</v>
      </c>
      <c r="LB197" s="128">
        <v>74540</v>
      </c>
      <c r="LF197" s="128">
        <v>5460</v>
      </c>
      <c r="LG197" s="128">
        <v>5460</v>
      </c>
      <c r="LH197" s="128">
        <v>5460</v>
      </c>
      <c r="LL197" s="128">
        <v>7000</v>
      </c>
      <c r="LM197" s="128">
        <v>4000</v>
      </c>
      <c r="LN197" s="128">
        <v>4000</v>
      </c>
      <c r="LR197" s="128">
        <v>45000</v>
      </c>
      <c r="LS197" s="128">
        <v>35000</v>
      </c>
      <c r="LT197" s="128">
        <v>35000</v>
      </c>
      <c r="LX197" s="128">
        <v>0</v>
      </c>
      <c r="LY197" s="128">
        <v>0</v>
      </c>
      <c r="LZ197" s="128">
        <v>0</v>
      </c>
      <c r="MD197" s="128">
        <v>19000</v>
      </c>
      <c r="ME197" s="128">
        <v>19000</v>
      </c>
      <c r="MF197" s="128">
        <v>19000</v>
      </c>
      <c r="MJ197" s="128">
        <v>70000</v>
      </c>
      <c r="MK197" s="128">
        <v>70000</v>
      </c>
      <c r="ML197" s="128">
        <v>70000</v>
      </c>
      <c r="MP197" s="128">
        <v>21000</v>
      </c>
      <c r="MQ197" s="128">
        <v>21000</v>
      </c>
      <c r="MR197" s="128">
        <v>21000</v>
      </c>
      <c r="MV197" s="128">
        <v>63000</v>
      </c>
      <c r="MW197" s="128">
        <v>63000</v>
      </c>
      <c r="MX197" s="128">
        <v>63000</v>
      </c>
      <c r="NB197" s="128">
        <v>61000</v>
      </c>
      <c r="NC197" s="128">
        <v>61000</v>
      </c>
      <c r="ND197" s="128">
        <v>61000</v>
      </c>
      <c r="NH197" s="128">
        <v>238000</v>
      </c>
      <c r="NI197" s="128">
        <v>213000</v>
      </c>
      <c r="NJ197" s="128">
        <v>213000</v>
      </c>
      <c r="NN197" s="128">
        <v>7000</v>
      </c>
      <c r="NO197" s="128">
        <v>7000</v>
      </c>
      <c r="NP197" s="128">
        <v>7000</v>
      </c>
      <c r="NT197" s="128">
        <v>88000</v>
      </c>
      <c r="NU197" s="128">
        <v>88000</v>
      </c>
      <c r="NV197" s="128">
        <v>88000</v>
      </c>
      <c r="NZ197" s="128">
        <v>30000</v>
      </c>
      <c r="OA197" s="128">
        <v>30000</v>
      </c>
      <c r="OB197" s="128">
        <v>30000</v>
      </c>
      <c r="OF197" s="128">
        <v>58000</v>
      </c>
      <c r="OG197" s="128">
        <v>58000</v>
      </c>
      <c r="OH197" s="128">
        <v>58000</v>
      </c>
      <c r="OL197" s="128">
        <v>0</v>
      </c>
      <c r="OM197" s="128">
        <v>0</v>
      </c>
      <c r="ON197" s="128">
        <v>0</v>
      </c>
      <c r="OR197" s="128">
        <v>0</v>
      </c>
      <c r="OS197" s="128">
        <v>0</v>
      </c>
      <c r="OT197" s="128">
        <v>0</v>
      </c>
      <c r="OX197" s="128">
        <v>233000</v>
      </c>
      <c r="OY197" s="128">
        <v>233000</v>
      </c>
      <c r="OZ197" s="128">
        <v>233000</v>
      </c>
      <c r="PD197" s="128">
        <v>10000</v>
      </c>
      <c r="PE197" s="128">
        <v>0</v>
      </c>
      <c r="PF197" s="128">
        <v>0</v>
      </c>
      <c r="PJ197" s="128">
        <v>25000</v>
      </c>
      <c r="PK197" s="128">
        <v>19000</v>
      </c>
      <c r="PL197" s="128">
        <v>19000</v>
      </c>
      <c r="PP197" s="128">
        <v>5677000</v>
      </c>
      <c r="PQ197" s="128">
        <v>5300000</v>
      </c>
      <c r="PR197" s="128">
        <v>5300000</v>
      </c>
      <c r="PS197" s="128">
        <v>100</v>
      </c>
      <c r="PT197" s="128">
        <v>100</v>
      </c>
      <c r="PX197" s="128">
        <v>0</v>
      </c>
      <c r="PY197" s="128">
        <v>0</v>
      </c>
      <c r="PZ197" s="128">
        <v>5300000</v>
      </c>
      <c r="QA197" s="128">
        <v>0</v>
      </c>
      <c r="QB197" s="128">
        <v>0</v>
      </c>
      <c r="QC197" s="128">
        <v>0</v>
      </c>
      <c r="QD197" s="128">
        <v>0</v>
      </c>
      <c r="QE197" s="128">
        <v>0</v>
      </c>
      <c r="QF197" s="128">
        <v>0</v>
      </c>
      <c r="QG197" s="128">
        <v>0</v>
      </c>
      <c r="QH197" s="128">
        <v>0</v>
      </c>
      <c r="QI197" s="128">
        <v>0</v>
      </c>
      <c r="QJ197" s="128">
        <v>0</v>
      </c>
      <c r="QK197" s="128">
        <v>0</v>
      </c>
      <c r="QL197" s="128">
        <v>0</v>
      </c>
      <c r="QN197" s="128">
        <v>0</v>
      </c>
      <c r="QO197" s="128">
        <v>0</v>
      </c>
      <c r="QP197" s="128">
        <v>0</v>
      </c>
      <c r="QR197" s="128">
        <v>65353</v>
      </c>
      <c r="QS197" s="128">
        <v>0</v>
      </c>
      <c r="QT197" s="128">
        <v>0</v>
      </c>
      <c r="QU197" s="128">
        <v>561000</v>
      </c>
      <c r="QV197" s="128">
        <v>0</v>
      </c>
      <c r="QW197" s="128">
        <v>121000</v>
      </c>
      <c r="QX197" s="128">
        <v>90000</v>
      </c>
      <c r="QY197" s="128">
        <v>215000</v>
      </c>
      <c r="QZ197" s="128">
        <v>240000</v>
      </c>
      <c r="RD197" s="128">
        <v>0</v>
      </c>
      <c r="RE197" s="128">
        <v>0</v>
      </c>
      <c r="RF197" s="128">
        <v>16000</v>
      </c>
      <c r="RH197" s="128">
        <f t="shared" si="310"/>
        <v>5677000</v>
      </c>
      <c r="RI197" s="128">
        <v>0</v>
      </c>
      <c r="RM197" s="128" t="s">
        <v>220</v>
      </c>
      <c r="RU197" s="130"/>
      <c r="RV197" s="130"/>
      <c r="RW197" s="130"/>
      <c r="RX197" s="130"/>
      <c r="SF197" s="128">
        <f t="shared" si="220"/>
        <v>3741470</v>
      </c>
      <c r="SG197" s="131">
        <f t="shared" si="221"/>
        <v>5677000</v>
      </c>
      <c r="SH197" s="131">
        <f t="shared" si="222"/>
        <v>5677000</v>
      </c>
      <c r="SI197" s="131">
        <f t="shared" si="223"/>
        <v>4702000</v>
      </c>
      <c r="SJ197" s="132">
        <f t="shared" si="224"/>
        <v>4622000</v>
      </c>
      <c r="SK197" s="132">
        <f t="shared" si="225"/>
        <v>0</v>
      </c>
      <c r="SL197" s="132">
        <f t="shared" si="226"/>
        <v>74540</v>
      </c>
      <c r="SM197" s="132">
        <f t="shared" si="227"/>
        <v>5460</v>
      </c>
      <c r="SN197" s="131">
        <f t="shared" si="228"/>
        <v>975000</v>
      </c>
      <c r="SO197" s="131">
        <f t="shared" si="229"/>
        <v>52000</v>
      </c>
      <c r="SP197" s="132">
        <f t="shared" si="230"/>
        <v>7000</v>
      </c>
      <c r="SQ197" s="132">
        <f t="shared" si="231"/>
        <v>45000</v>
      </c>
      <c r="SR197" s="132">
        <f t="shared" si="232"/>
        <v>0</v>
      </c>
      <c r="SS197" s="132">
        <f t="shared" si="233"/>
        <v>19000</v>
      </c>
      <c r="ST197" s="132">
        <f t="shared" si="234"/>
        <v>70000</v>
      </c>
      <c r="SU197" s="132">
        <f t="shared" si="235"/>
        <v>21000</v>
      </c>
      <c r="SV197" s="131">
        <f t="shared" si="236"/>
        <v>778000</v>
      </c>
      <c r="SW197" s="132">
        <f t="shared" si="237"/>
        <v>63000</v>
      </c>
      <c r="SX197" s="132">
        <f t="shared" si="238"/>
        <v>61000</v>
      </c>
      <c r="SY197" s="132">
        <f t="shared" si="239"/>
        <v>238000</v>
      </c>
      <c r="SZ197" s="132">
        <f t="shared" si="240"/>
        <v>7000</v>
      </c>
      <c r="TA197" s="132">
        <f t="shared" si="241"/>
        <v>88000</v>
      </c>
      <c r="TB197" s="132">
        <f t="shared" si="242"/>
        <v>30000</v>
      </c>
      <c r="TC197" s="132">
        <f t="shared" si="243"/>
        <v>58000</v>
      </c>
      <c r="TD197" s="132">
        <f t="shared" si="244"/>
        <v>0</v>
      </c>
      <c r="TE197" s="132">
        <f t="shared" si="245"/>
        <v>0</v>
      </c>
      <c r="TF197" s="132">
        <f t="shared" si="246"/>
        <v>233000</v>
      </c>
      <c r="TG197" s="132">
        <f t="shared" si="247"/>
        <v>10000</v>
      </c>
      <c r="TH197" s="132">
        <f t="shared" si="248"/>
        <v>25000</v>
      </c>
      <c r="TI197" s="1"/>
      <c r="TJ197" s="131">
        <f t="shared" si="249"/>
        <v>5300000</v>
      </c>
      <c r="TK197" s="131">
        <f t="shared" si="250"/>
        <v>5300000</v>
      </c>
      <c r="TL197" s="131">
        <f t="shared" si="251"/>
        <v>4379000</v>
      </c>
      <c r="TM197" s="132">
        <f t="shared" si="252"/>
        <v>4299000</v>
      </c>
      <c r="TN197" s="132">
        <f t="shared" si="253"/>
        <v>0</v>
      </c>
      <c r="TO197" s="132">
        <f t="shared" si="254"/>
        <v>74540</v>
      </c>
      <c r="TP197" s="132">
        <f t="shared" si="255"/>
        <v>5460</v>
      </c>
      <c r="TQ197" s="131">
        <f t="shared" si="256"/>
        <v>921000</v>
      </c>
      <c r="TR197" s="131">
        <f t="shared" si="257"/>
        <v>39000</v>
      </c>
      <c r="TS197" s="132">
        <f t="shared" si="258"/>
        <v>4000</v>
      </c>
      <c r="TT197" s="132">
        <f t="shared" si="259"/>
        <v>35000</v>
      </c>
      <c r="TU197" s="132">
        <f t="shared" si="260"/>
        <v>0</v>
      </c>
      <c r="TV197" s="132">
        <f t="shared" si="261"/>
        <v>19000</v>
      </c>
      <c r="TW197" s="132">
        <f t="shared" si="262"/>
        <v>70000</v>
      </c>
      <c r="TX197" s="132">
        <f t="shared" si="263"/>
        <v>21000</v>
      </c>
      <c r="TY197" s="131">
        <f t="shared" si="264"/>
        <v>753000</v>
      </c>
      <c r="TZ197" s="132">
        <f t="shared" si="265"/>
        <v>63000</v>
      </c>
      <c r="UA197" s="132">
        <f t="shared" si="266"/>
        <v>61000</v>
      </c>
      <c r="UB197" s="132">
        <f t="shared" si="267"/>
        <v>213000</v>
      </c>
      <c r="UC197" s="132">
        <f t="shared" si="268"/>
        <v>7000</v>
      </c>
      <c r="UD197" s="132">
        <f t="shared" si="269"/>
        <v>88000</v>
      </c>
      <c r="UE197" s="132">
        <f t="shared" si="270"/>
        <v>30000</v>
      </c>
      <c r="UF197" s="132">
        <f t="shared" si="271"/>
        <v>58000</v>
      </c>
      <c r="UG197" s="132">
        <f t="shared" si="272"/>
        <v>0</v>
      </c>
      <c r="UH197" s="132">
        <f t="shared" si="273"/>
        <v>0</v>
      </c>
      <c r="UI197" s="132">
        <f t="shared" si="274"/>
        <v>233000</v>
      </c>
      <c r="UJ197" s="132">
        <f t="shared" si="275"/>
        <v>0</v>
      </c>
      <c r="UK197" s="132">
        <f t="shared" si="276"/>
        <v>19000</v>
      </c>
      <c r="UL197" s="132">
        <f t="shared" si="311"/>
        <v>5300000</v>
      </c>
      <c r="UM197" s="131">
        <f t="shared" si="277"/>
        <v>5300000</v>
      </c>
      <c r="UN197" s="131">
        <f t="shared" si="278"/>
        <v>5300000</v>
      </c>
      <c r="UO197" s="131">
        <f t="shared" si="279"/>
        <v>4379000</v>
      </c>
      <c r="UP197" s="132">
        <f t="shared" si="280"/>
        <v>4299000</v>
      </c>
      <c r="UQ197" s="132">
        <f t="shared" si="281"/>
        <v>0</v>
      </c>
      <c r="UR197" s="132">
        <f t="shared" si="282"/>
        <v>74540</v>
      </c>
      <c r="US197" s="132">
        <f t="shared" si="283"/>
        <v>5460</v>
      </c>
      <c r="UT197" s="131">
        <f t="shared" si="284"/>
        <v>921000</v>
      </c>
      <c r="UU197" s="131">
        <f t="shared" si="285"/>
        <v>39000</v>
      </c>
      <c r="UV197" s="132">
        <f t="shared" si="286"/>
        <v>4000</v>
      </c>
      <c r="UW197" s="132">
        <f t="shared" si="287"/>
        <v>35000</v>
      </c>
      <c r="UX197" s="132">
        <f t="shared" si="288"/>
        <v>0</v>
      </c>
      <c r="UY197" s="132">
        <f t="shared" si="289"/>
        <v>19000</v>
      </c>
      <c r="UZ197" s="132">
        <f t="shared" si="290"/>
        <v>70000</v>
      </c>
      <c r="VA197" s="132">
        <f t="shared" si="291"/>
        <v>21000</v>
      </c>
      <c r="VB197" s="131">
        <f t="shared" si="292"/>
        <v>753000</v>
      </c>
      <c r="VC197" s="132">
        <f t="shared" si="293"/>
        <v>63000</v>
      </c>
      <c r="VD197" s="132">
        <f t="shared" si="294"/>
        <v>61000</v>
      </c>
      <c r="VE197" s="132">
        <f t="shared" si="295"/>
        <v>213000</v>
      </c>
      <c r="VF197" s="132">
        <f t="shared" si="296"/>
        <v>7000</v>
      </c>
      <c r="VG197" s="132">
        <f t="shared" si="297"/>
        <v>88000</v>
      </c>
      <c r="VH197" s="132">
        <f t="shared" si="298"/>
        <v>30000</v>
      </c>
      <c r="VI197" s="132">
        <f t="shared" si="299"/>
        <v>58000</v>
      </c>
      <c r="VJ197" s="132">
        <f t="shared" si="300"/>
        <v>0</v>
      </c>
      <c r="VK197" s="132">
        <f t="shared" si="301"/>
        <v>0</v>
      </c>
      <c r="VL197" s="132">
        <f t="shared" si="302"/>
        <v>233000</v>
      </c>
      <c r="VM197" s="132">
        <f t="shared" si="303"/>
        <v>0</v>
      </c>
      <c r="VN197" s="132">
        <f t="shared" si="304"/>
        <v>19000</v>
      </c>
      <c r="VP197" s="845" t="str">
        <f>IFERROR(HLOOKUP(F197,'Hodnocení '!$C$1:$JH$5,2,FALSE),0)</f>
        <v>Sociální rehabilitace - středisko Jičín</v>
      </c>
      <c r="VQ197" s="838"/>
      <c r="VR197" s="845" t="str">
        <f t="shared" si="312"/>
        <v>Spolek</v>
      </c>
      <c r="VS197" s="845" t="str">
        <f>IFERROR(HLOOKUP(F197,'Hodnocení '!$C$1:$JH$5,5,FALSE),0)</f>
        <v>NZO</v>
      </c>
      <c r="VT197" s="838">
        <f t="shared" si="313"/>
        <v>0</v>
      </c>
      <c r="VU197" s="838">
        <f t="shared" si="314"/>
        <v>0</v>
      </c>
      <c r="VV197" s="838">
        <f t="shared" si="315"/>
        <v>0</v>
      </c>
      <c r="VW197" s="838">
        <f t="shared" si="316"/>
        <v>0</v>
      </c>
      <c r="VX197" s="838"/>
      <c r="VY197" s="838">
        <f t="shared" si="317"/>
        <v>0</v>
      </c>
      <c r="VZ197" s="838">
        <f t="shared" si="318"/>
        <v>5300000</v>
      </c>
      <c r="WA197" s="846">
        <f>IFERROR(HLOOKUP($F197,'Hodnocení '!$C$1:$JH$9,9,FALSE),0)</f>
        <v>5300000</v>
      </c>
      <c r="WB197" s="846">
        <f>IF(IFERROR(HLOOKUP($F197,'Hodnocení '!$C$1:$JH$13,13,FALSE),0)&gt;WA197,WA197,IFERROR(HLOOKUP($F197,'Hodnocení '!$C$1:$JH$13,13,FALSE),0))</f>
        <v>5300000</v>
      </c>
      <c r="WC197" s="846">
        <f>IFERROR(HLOOKUP($F197,'Hodnocení '!$C$1:$JH$155,155,FALSE),0)</f>
        <v>0</v>
      </c>
      <c r="WD197" s="845"/>
      <c r="WE197" s="845"/>
      <c r="WF197" s="845" t="str">
        <f t="shared" si="305"/>
        <v>ANO</v>
      </c>
      <c r="WG197" s="849" t="str">
        <f t="shared" si="320"/>
        <v>Podpora služby je vyjádřena zařazením do sítě sociálních služeb v KHK a řešením financování služby</v>
      </c>
      <c r="WH197"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97" s="849" t="str">
        <f t="shared" si="320"/>
        <v>Návrh dotace je výsledkem projednání s ostatními zadavateli v rámci sítě služeb KHK</v>
      </c>
      <c r="WJ197" s="849" t="str">
        <f t="shared" si="320"/>
        <v>Bez komentáře</v>
      </c>
      <c r="WK197" s="31">
        <f t="shared" si="306"/>
        <v>0</v>
      </c>
      <c r="WL197" s="850">
        <f t="shared" si="307"/>
        <v>0</v>
      </c>
      <c r="WM197" s="849">
        <f t="shared" si="308"/>
        <v>0</v>
      </c>
      <c r="WN197" s="849">
        <f t="shared" si="309"/>
        <v>0</v>
      </c>
      <c r="WO197" s="849" t="str">
        <f t="shared" si="321"/>
        <v>bez komentáře</v>
      </c>
      <c r="WP197" s="849" t="str">
        <f t="shared" si="321"/>
        <v>bez komentáře</v>
      </c>
      <c r="WQ197" s="849" t="str">
        <f t="shared" si="321"/>
        <v>Konečná výše dotace z rozpočtu KHK bude řešena v návaznosti na řešení podílů jednotlivých zadavatelů.</v>
      </c>
      <c r="WR197" s="849" t="str">
        <f t="shared" si="321"/>
        <v>Konečná výše podpory ze stran obcí bude řešena v součinnosti s jednotlivými zadavateli v průběhu roku.</v>
      </c>
      <c r="WS197" s="849" t="str">
        <f t="shared" si="321"/>
        <v>bez komentáře</v>
      </c>
      <c r="WT197" s="849" t="str">
        <f t="shared" si="321"/>
        <v>bez komentáře</v>
      </c>
      <c r="WU197" s="845"/>
    </row>
    <row r="198" spans="1:619" s="128" customFormat="1" x14ac:dyDescent="0.25">
      <c r="A198" s="128" t="str">
        <f>VLOOKUP(F198,'Výpočet VP 2020'!$D$324:$I$588,6,FALSE)</f>
        <v>Je v síti</v>
      </c>
      <c r="B198" s="128" t="s">
        <v>849</v>
      </c>
      <c r="C198" s="128">
        <v>64242218</v>
      </c>
      <c r="D198" s="128" t="s">
        <v>850</v>
      </c>
      <c r="E198" s="128" t="s">
        <v>242</v>
      </c>
      <c r="F198" s="128">
        <v>6948137</v>
      </c>
      <c r="G198" s="128" t="s">
        <v>235</v>
      </c>
      <c r="H198" s="128" t="s">
        <v>230</v>
      </c>
      <c r="I198" s="128" t="s">
        <v>854</v>
      </c>
      <c r="J198" s="129">
        <v>40028</v>
      </c>
      <c r="L198" s="128" t="s">
        <v>220</v>
      </c>
      <c r="X198" s="128" t="s">
        <v>628</v>
      </c>
      <c r="Z198" s="128">
        <v>10</v>
      </c>
      <c r="AA198" s="128">
        <v>40</v>
      </c>
      <c r="AB198" s="128">
        <v>92</v>
      </c>
      <c r="AC198" s="128">
        <v>90</v>
      </c>
      <c r="AD198" s="128">
        <v>90</v>
      </c>
      <c r="AO198" s="128" t="s">
        <v>852</v>
      </c>
      <c r="AP198" s="128" t="s">
        <v>628</v>
      </c>
      <c r="AQ198" s="128">
        <v>10</v>
      </c>
      <c r="AR198" s="128">
        <v>20</v>
      </c>
      <c r="AS198" s="128">
        <v>99</v>
      </c>
      <c r="AT198" s="128">
        <v>92</v>
      </c>
      <c r="AU198" s="128">
        <v>90</v>
      </c>
      <c r="BK198" s="128" t="s">
        <v>853</v>
      </c>
      <c r="BL198" s="128" t="s">
        <v>443</v>
      </c>
      <c r="BM198" s="128" t="s">
        <v>304</v>
      </c>
      <c r="BN198" s="128" t="s">
        <v>364</v>
      </c>
      <c r="EK198" s="128">
        <v>11</v>
      </c>
      <c r="EL198" s="128">
        <v>10</v>
      </c>
      <c r="EM198" s="128">
        <v>10.6</v>
      </c>
      <c r="EN198" s="128">
        <v>5637000</v>
      </c>
      <c r="EO198" s="128">
        <v>1449000</v>
      </c>
      <c r="EP198" s="128">
        <v>2</v>
      </c>
      <c r="EQ198" s="128">
        <v>1.5</v>
      </c>
      <c r="ER198" s="128">
        <v>0.81</v>
      </c>
      <c r="ES198" s="128">
        <v>600000</v>
      </c>
      <c r="ET198" s="128">
        <v>300000</v>
      </c>
      <c r="FO198" s="128">
        <v>13</v>
      </c>
      <c r="FP198" s="128">
        <v>3.1</v>
      </c>
      <c r="FQ198" s="128">
        <v>1.93</v>
      </c>
      <c r="FR198" s="128">
        <v>1958000</v>
      </c>
      <c r="FS198" s="128">
        <v>540000</v>
      </c>
      <c r="IS198" s="128">
        <v>3</v>
      </c>
      <c r="IT198" s="128">
        <v>209</v>
      </c>
      <c r="IU198" s="128">
        <v>0.1</v>
      </c>
      <c r="IV198" s="128">
        <v>35450</v>
      </c>
      <c r="IW198" s="128">
        <v>22000</v>
      </c>
      <c r="KG198" s="128">
        <v>3</v>
      </c>
      <c r="KH198" s="128">
        <v>20</v>
      </c>
      <c r="KI198" s="128">
        <v>11.5</v>
      </c>
      <c r="KJ198" s="128">
        <v>0</v>
      </c>
      <c r="KK198" s="128">
        <v>0</v>
      </c>
      <c r="KL198" s="128">
        <v>0</v>
      </c>
      <c r="KM198" s="128">
        <v>11.5</v>
      </c>
      <c r="KN198" s="128">
        <v>8195000</v>
      </c>
      <c r="KO198" s="128">
        <v>2289000</v>
      </c>
      <c r="KP198" s="128">
        <v>2289000</v>
      </c>
      <c r="KT198" s="128">
        <v>0</v>
      </c>
      <c r="KU198" s="128">
        <v>0</v>
      </c>
      <c r="KV198" s="128">
        <v>0</v>
      </c>
      <c r="KZ198" s="128">
        <v>35450</v>
      </c>
      <c r="LA198" s="128">
        <v>22000</v>
      </c>
      <c r="LB198" s="128">
        <v>22000</v>
      </c>
      <c r="LF198" s="128">
        <v>12000</v>
      </c>
      <c r="LG198" s="128">
        <v>0</v>
      </c>
      <c r="LH198" s="128">
        <v>0</v>
      </c>
      <c r="LL198" s="128">
        <v>12000</v>
      </c>
      <c r="LM198" s="128">
        <v>10000</v>
      </c>
      <c r="LN198" s="128">
        <v>10000</v>
      </c>
      <c r="LR198" s="128">
        <v>190000</v>
      </c>
      <c r="LS198" s="128">
        <v>110000</v>
      </c>
      <c r="LT198" s="128">
        <v>110000</v>
      </c>
      <c r="LX198" s="128">
        <v>0</v>
      </c>
      <c r="LY198" s="128">
        <v>0</v>
      </c>
      <c r="LZ198" s="128">
        <v>0</v>
      </c>
      <c r="MD198" s="128">
        <v>34000</v>
      </c>
      <c r="ME198" s="128">
        <v>12000</v>
      </c>
      <c r="MF198" s="128">
        <v>12000</v>
      </c>
      <c r="MJ198" s="128">
        <v>110000</v>
      </c>
      <c r="MK198" s="128">
        <v>25000</v>
      </c>
      <c r="ML198" s="128">
        <v>25000</v>
      </c>
      <c r="MP198" s="128">
        <v>43000</v>
      </c>
      <c r="MQ198" s="128">
        <v>0</v>
      </c>
      <c r="MR198" s="128">
        <v>0</v>
      </c>
      <c r="MV198" s="128">
        <v>160000</v>
      </c>
      <c r="MW198" s="128">
        <v>38000</v>
      </c>
      <c r="MX198" s="128">
        <v>38000</v>
      </c>
      <c r="NB198" s="128">
        <v>113000</v>
      </c>
      <c r="NC198" s="128">
        <v>20000</v>
      </c>
      <c r="ND198" s="128">
        <v>20000</v>
      </c>
      <c r="NH198" s="128">
        <v>245000</v>
      </c>
      <c r="NI198" s="128">
        <v>15000</v>
      </c>
      <c r="NJ198" s="128">
        <v>15000</v>
      </c>
      <c r="NN198" s="128">
        <v>17000</v>
      </c>
      <c r="NO198" s="128">
        <v>0</v>
      </c>
      <c r="NP198" s="128">
        <v>0</v>
      </c>
      <c r="NT198" s="128">
        <v>142000</v>
      </c>
      <c r="NU198" s="128">
        <v>40000</v>
      </c>
      <c r="NV198" s="128">
        <v>40000</v>
      </c>
      <c r="NZ198" s="128">
        <v>48000</v>
      </c>
      <c r="OA198" s="128">
        <v>0</v>
      </c>
      <c r="OB198" s="128">
        <v>0</v>
      </c>
      <c r="OF198" s="128">
        <v>127000</v>
      </c>
      <c r="OG198" s="128">
        <v>47000</v>
      </c>
      <c r="OH198" s="128">
        <v>47000</v>
      </c>
      <c r="OL198" s="128">
        <v>0</v>
      </c>
      <c r="OM198" s="128">
        <v>0</v>
      </c>
      <c r="ON198" s="128">
        <v>0</v>
      </c>
      <c r="OR198" s="128">
        <v>0</v>
      </c>
      <c r="OS198" s="128">
        <v>0</v>
      </c>
      <c r="OT198" s="128">
        <v>0</v>
      </c>
      <c r="OX198" s="128">
        <v>420000</v>
      </c>
      <c r="OY198" s="128">
        <v>182000</v>
      </c>
      <c r="OZ198" s="128">
        <v>182000</v>
      </c>
      <c r="PD198" s="128">
        <v>62000</v>
      </c>
      <c r="PE198" s="128">
        <v>0</v>
      </c>
      <c r="PF198" s="128">
        <v>0</v>
      </c>
      <c r="PJ198" s="128">
        <v>37000</v>
      </c>
      <c r="PK198" s="128">
        <v>0</v>
      </c>
      <c r="PL198" s="128">
        <v>0</v>
      </c>
      <c r="PP198" s="128">
        <v>10002450</v>
      </c>
      <c r="PQ198" s="128">
        <v>2810000</v>
      </c>
      <c r="PR198" s="128">
        <v>2810000</v>
      </c>
      <c r="PS198" s="128">
        <v>100</v>
      </c>
      <c r="PT198" s="128">
        <v>100</v>
      </c>
      <c r="PX198" s="128">
        <v>0</v>
      </c>
      <c r="PY198" s="128">
        <v>0</v>
      </c>
      <c r="PZ198" s="128">
        <v>2810000</v>
      </c>
      <c r="QA198" s="128">
        <v>0</v>
      </c>
      <c r="QB198" s="128">
        <v>0</v>
      </c>
      <c r="QC198" s="128">
        <v>0</v>
      </c>
      <c r="QD198" s="128">
        <v>0</v>
      </c>
      <c r="QE198" s="128">
        <v>0</v>
      </c>
      <c r="QF198" s="128">
        <v>0</v>
      </c>
      <c r="QG198" s="128">
        <v>0</v>
      </c>
      <c r="QH198" s="128">
        <v>0</v>
      </c>
      <c r="QI198" s="128">
        <v>0</v>
      </c>
      <c r="QJ198" s="128">
        <v>0</v>
      </c>
      <c r="QK198" s="128">
        <v>0</v>
      </c>
      <c r="QL198" s="128">
        <v>0</v>
      </c>
      <c r="QN198" s="128">
        <v>0</v>
      </c>
      <c r="QO198" s="128">
        <v>0</v>
      </c>
      <c r="QP198" s="128">
        <v>0</v>
      </c>
      <c r="QR198" s="128">
        <v>155903</v>
      </c>
      <c r="QS198" s="128">
        <v>0</v>
      </c>
      <c r="QT198" s="128">
        <v>0</v>
      </c>
      <c r="QU198" s="128">
        <v>1090000</v>
      </c>
      <c r="QV198" s="128">
        <v>3154070</v>
      </c>
      <c r="QW198" s="128">
        <v>6501592</v>
      </c>
      <c r="QX198" s="128">
        <v>201800</v>
      </c>
      <c r="QY198" s="128">
        <v>250000</v>
      </c>
      <c r="QZ198" s="128">
        <v>590000</v>
      </c>
      <c r="RD198" s="128">
        <v>0</v>
      </c>
      <c r="RE198" s="128">
        <v>100000</v>
      </c>
      <c r="RF198" s="128">
        <v>100858</v>
      </c>
      <c r="RH198" s="128">
        <f t="shared" si="310"/>
        <v>10002450</v>
      </c>
      <c r="RI198" s="128">
        <v>0</v>
      </c>
      <c r="RM198" s="128" t="s">
        <v>220</v>
      </c>
      <c r="RU198" s="130"/>
      <c r="RV198" s="130"/>
      <c r="RW198" s="130"/>
      <c r="RX198" s="130"/>
      <c r="SF198" s="128">
        <f t="shared" si="220"/>
        <v>6948137</v>
      </c>
      <c r="SG198" s="131">
        <f t="shared" si="221"/>
        <v>10002450</v>
      </c>
      <c r="SH198" s="131">
        <f t="shared" si="222"/>
        <v>10002450</v>
      </c>
      <c r="SI198" s="131">
        <f t="shared" si="223"/>
        <v>8242450</v>
      </c>
      <c r="SJ198" s="132">
        <f t="shared" si="224"/>
        <v>8195000</v>
      </c>
      <c r="SK198" s="132">
        <f t="shared" si="225"/>
        <v>0</v>
      </c>
      <c r="SL198" s="132">
        <f t="shared" si="226"/>
        <v>35450</v>
      </c>
      <c r="SM198" s="132">
        <f t="shared" si="227"/>
        <v>12000</v>
      </c>
      <c r="SN198" s="131">
        <f t="shared" si="228"/>
        <v>1760000</v>
      </c>
      <c r="SO198" s="131">
        <f t="shared" si="229"/>
        <v>202000</v>
      </c>
      <c r="SP198" s="132">
        <f t="shared" si="230"/>
        <v>12000</v>
      </c>
      <c r="SQ198" s="132">
        <f t="shared" si="231"/>
        <v>190000</v>
      </c>
      <c r="SR198" s="132">
        <f t="shared" si="232"/>
        <v>0</v>
      </c>
      <c r="SS198" s="132">
        <f t="shared" si="233"/>
        <v>34000</v>
      </c>
      <c r="ST198" s="132">
        <f t="shared" si="234"/>
        <v>110000</v>
      </c>
      <c r="SU198" s="132">
        <f t="shared" si="235"/>
        <v>43000</v>
      </c>
      <c r="SV198" s="131">
        <f t="shared" si="236"/>
        <v>1272000</v>
      </c>
      <c r="SW198" s="132">
        <f t="shared" si="237"/>
        <v>160000</v>
      </c>
      <c r="SX198" s="132">
        <f t="shared" si="238"/>
        <v>113000</v>
      </c>
      <c r="SY198" s="132">
        <f t="shared" si="239"/>
        <v>245000</v>
      </c>
      <c r="SZ198" s="132">
        <f t="shared" si="240"/>
        <v>17000</v>
      </c>
      <c r="TA198" s="132">
        <f t="shared" si="241"/>
        <v>142000</v>
      </c>
      <c r="TB198" s="132">
        <f t="shared" si="242"/>
        <v>48000</v>
      </c>
      <c r="TC198" s="132">
        <f t="shared" si="243"/>
        <v>127000</v>
      </c>
      <c r="TD198" s="132">
        <f t="shared" si="244"/>
        <v>0</v>
      </c>
      <c r="TE198" s="132">
        <f t="shared" si="245"/>
        <v>0</v>
      </c>
      <c r="TF198" s="132">
        <f t="shared" si="246"/>
        <v>420000</v>
      </c>
      <c r="TG198" s="132">
        <f t="shared" si="247"/>
        <v>62000</v>
      </c>
      <c r="TH198" s="132">
        <f t="shared" si="248"/>
        <v>37000</v>
      </c>
      <c r="TI198" s="1"/>
      <c r="TJ198" s="131">
        <f t="shared" si="249"/>
        <v>2810000</v>
      </c>
      <c r="TK198" s="131">
        <f t="shared" si="250"/>
        <v>2810000</v>
      </c>
      <c r="TL198" s="131">
        <f t="shared" si="251"/>
        <v>2311000</v>
      </c>
      <c r="TM198" s="132">
        <f t="shared" si="252"/>
        <v>2289000</v>
      </c>
      <c r="TN198" s="132">
        <f t="shared" si="253"/>
        <v>0</v>
      </c>
      <c r="TO198" s="132">
        <f t="shared" si="254"/>
        <v>22000</v>
      </c>
      <c r="TP198" s="132">
        <f t="shared" si="255"/>
        <v>0</v>
      </c>
      <c r="TQ198" s="131">
        <f t="shared" si="256"/>
        <v>499000</v>
      </c>
      <c r="TR198" s="131">
        <f t="shared" si="257"/>
        <v>120000</v>
      </c>
      <c r="TS198" s="132">
        <f t="shared" si="258"/>
        <v>10000</v>
      </c>
      <c r="TT198" s="132">
        <f t="shared" si="259"/>
        <v>110000</v>
      </c>
      <c r="TU198" s="132">
        <f t="shared" si="260"/>
        <v>0</v>
      </c>
      <c r="TV198" s="132">
        <f t="shared" si="261"/>
        <v>12000</v>
      </c>
      <c r="TW198" s="132">
        <f t="shared" si="262"/>
        <v>25000</v>
      </c>
      <c r="TX198" s="132">
        <f t="shared" si="263"/>
        <v>0</v>
      </c>
      <c r="TY198" s="131">
        <f t="shared" si="264"/>
        <v>342000</v>
      </c>
      <c r="TZ198" s="132">
        <f t="shared" si="265"/>
        <v>38000</v>
      </c>
      <c r="UA198" s="132">
        <f t="shared" si="266"/>
        <v>20000</v>
      </c>
      <c r="UB198" s="132">
        <f t="shared" si="267"/>
        <v>15000</v>
      </c>
      <c r="UC198" s="132">
        <f t="shared" si="268"/>
        <v>0</v>
      </c>
      <c r="UD198" s="132">
        <f t="shared" si="269"/>
        <v>40000</v>
      </c>
      <c r="UE198" s="132">
        <f t="shared" si="270"/>
        <v>0</v>
      </c>
      <c r="UF198" s="132">
        <f t="shared" si="271"/>
        <v>47000</v>
      </c>
      <c r="UG198" s="132">
        <f t="shared" si="272"/>
        <v>0</v>
      </c>
      <c r="UH198" s="132">
        <f t="shared" si="273"/>
        <v>0</v>
      </c>
      <c r="UI198" s="132">
        <f t="shared" si="274"/>
        <v>182000</v>
      </c>
      <c r="UJ198" s="132">
        <f t="shared" si="275"/>
        <v>0</v>
      </c>
      <c r="UK198" s="132">
        <f t="shared" si="276"/>
        <v>0</v>
      </c>
      <c r="UL198" s="132">
        <f t="shared" si="311"/>
        <v>2810000</v>
      </c>
      <c r="UM198" s="131">
        <f t="shared" si="277"/>
        <v>2810000</v>
      </c>
      <c r="UN198" s="131">
        <f t="shared" si="278"/>
        <v>2810000</v>
      </c>
      <c r="UO198" s="131">
        <f t="shared" si="279"/>
        <v>2311000</v>
      </c>
      <c r="UP198" s="132">
        <f t="shared" si="280"/>
        <v>2289000</v>
      </c>
      <c r="UQ198" s="132">
        <f t="shared" si="281"/>
        <v>0</v>
      </c>
      <c r="UR198" s="132">
        <f t="shared" si="282"/>
        <v>22000</v>
      </c>
      <c r="US198" s="132">
        <f t="shared" si="283"/>
        <v>0</v>
      </c>
      <c r="UT198" s="131">
        <f t="shared" si="284"/>
        <v>499000</v>
      </c>
      <c r="UU198" s="131">
        <f t="shared" si="285"/>
        <v>120000</v>
      </c>
      <c r="UV198" s="132">
        <f t="shared" si="286"/>
        <v>10000</v>
      </c>
      <c r="UW198" s="132">
        <f t="shared" si="287"/>
        <v>110000</v>
      </c>
      <c r="UX198" s="132">
        <f t="shared" si="288"/>
        <v>0</v>
      </c>
      <c r="UY198" s="132">
        <f t="shared" si="289"/>
        <v>12000</v>
      </c>
      <c r="UZ198" s="132">
        <f t="shared" si="290"/>
        <v>25000</v>
      </c>
      <c r="VA198" s="132">
        <f t="shared" si="291"/>
        <v>0</v>
      </c>
      <c r="VB198" s="131">
        <f t="shared" si="292"/>
        <v>342000</v>
      </c>
      <c r="VC198" s="132">
        <f t="shared" si="293"/>
        <v>38000</v>
      </c>
      <c r="VD198" s="132">
        <f t="shared" si="294"/>
        <v>20000</v>
      </c>
      <c r="VE198" s="132">
        <f t="shared" si="295"/>
        <v>15000</v>
      </c>
      <c r="VF198" s="132">
        <f t="shared" si="296"/>
        <v>0</v>
      </c>
      <c r="VG198" s="132">
        <f t="shared" si="297"/>
        <v>40000</v>
      </c>
      <c r="VH198" s="132">
        <f t="shared" si="298"/>
        <v>0</v>
      </c>
      <c r="VI198" s="132">
        <f t="shared" si="299"/>
        <v>47000</v>
      </c>
      <c r="VJ198" s="132">
        <f t="shared" si="300"/>
        <v>0</v>
      </c>
      <c r="VK198" s="132">
        <f t="shared" si="301"/>
        <v>0</v>
      </c>
      <c r="VL198" s="132">
        <f t="shared" si="302"/>
        <v>182000</v>
      </c>
      <c r="VM198" s="132">
        <f t="shared" si="303"/>
        <v>0</v>
      </c>
      <c r="VN198" s="132">
        <f t="shared" si="304"/>
        <v>0</v>
      </c>
      <c r="VP198" s="845" t="str">
        <f>IFERROR(HLOOKUP(F198,'Hodnocení '!$C$1:$JH$5,2,FALSE),0)</f>
        <v>Sociální rehabilitace - středisko Rychnov nad Kněžnou</v>
      </c>
      <c r="VQ198" s="838"/>
      <c r="VR198" s="845" t="str">
        <f t="shared" si="312"/>
        <v>Spolek</v>
      </c>
      <c r="VS198" s="845" t="str">
        <f>IFERROR(HLOOKUP(F198,'Hodnocení '!$C$1:$JH$5,5,FALSE),0)</f>
        <v>NZO</v>
      </c>
      <c r="VT198" s="838">
        <f t="shared" si="313"/>
        <v>0</v>
      </c>
      <c r="VU198" s="838">
        <f t="shared" si="314"/>
        <v>0</v>
      </c>
      <c r="VV198" s="838">
        <f t="shared" si="315"/>
        <v>0</v>
      </c>
      <c r="VW198" s="838">
        <f t="shared" si="316"/>
        <v>0</v>
      </c>
      <c r="VX198" s="838"/>
      <c r="VY198" s="838">
        <f t="shared" si="317"/>
        <v>0</v>
      </c>
      <c r="VZ198" s="838">
        <f t="shared" si="318"/>
        <v>2810000</v>
      </c>
      <c r="WA198" s="846">
        <f>IFERROR(HLOOKUP($F198,'Hodnocení '!$C$1:$JH$9,9,FALSE),0)</f>
        <v>2810000</v>
      </c>
      <c r="WB198" s="846">
        <f>IF(IFERROR(HLOOKUP($F198,'Hodnocení '!$C$1:$JH$13,13,FALSE),0)&gt;WA198,WA198,IFERROR(HLOOKUP($F198,'Hodnocení '!$C$1:$JH$13,13,FALSE),0))</f>
        <v>2810000</v>
      </c>
      <c r="WC198" s="846">
        <f>IFERROR(HLOOKUP($F198,'Hodnocení '!$C$1:$JH$155,155,FALSE),0)</f>
        <v>1595400</v>
      </c>
      <c r="WD198" s="845"/>
      <c r="WE198" s="845"/>
      <c r="WF198" s="845" t="str">
        <f t="shared" si="305"/>
        <v>ANO</v>
      </c>
      <c r="WG198" s="849" t="str">
        <f t="shared" si="320"/>
        <v>Podpora služby je vyjádřena zařazením do sítě sociálních služeb v KHK a řešením financování služby</v>
      </c>
      <c r="WH198"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98" s="849" t="str">
        <f t="shared" si="320"/>
        <v>Návrh dotace je výsledkem projednání s ostatními zadavateli v rámci sítě služeb KHK</v>
      </c>
      <c r="WJ198" s="849" t="str">
        <f t="shared" si="320"/>
        <v>Bez komentáře</v>
      </c>
      <c r="WK198" s="31">
        <f t="shared" si="306"/>
        <v>0</v>
      </c>
      <c r="WL198" s="850">
        <f t="shared" si="307"/>
        <v>0</v>
      </c>
      <c r="WM198" s="849">
        <f t="shared" si="308"/>
        <v>0</v>
      </c>
      <c r="WN198" s="849">
        <f t="shared" si="309"/>
        <v>0</v>
      </c>
      <c r="WO198" s="849" t="str">
        <f t="shared" si="321"/>
        <v>bez komentáře</v>
      </c>
      <c r="WP198" s="849" t="str">
        <f t="shared" si="321"/>
        <v>bez komentáře</v>
      </c>
      <c r="WQ198" s="849" t="str">
        <f t="shared" si="321"/>
        <v>Konečná výše dotace z rozpočtu KHK bude řešena v návaznosti na řešení podílů jednotlivých zadavatelů.</v>
      </c>
      <c r="WR198" s="849" t="str">
        <f t="shared" si="321"/>
        <v>Konečná výše podpory ze stran obcí bude řešena v součinnosti s jednotlivými zadavateli v průběhu roku.</v>
      </c>
      <c r="WS198" s="849" t="str">
        <f t="shared" si="321"/>
        <v>bez komentáře</v>
      </c>
      <c r="WT198" s="849" t="str">
        <f t="shared" si="321"/>
        <v>bez komentáře</v>
      </c>
      <c r="WU198" s="845"/>
    </row>
    <row r="199" spans="1:619" s="128" customFormat="1" x14ac:dyDescent="0.25">
      <c r="A199" s="128" t="str">
        <f>VLOOKUP(F199,'Výpočet VP 2020'!$D$324:$I$588,6,FALSE)</f>
        <v>Je v síti</v>
      </c>
      <c r="B199" s="128" t="s">
        <v>849</v>
      </c>
      <c r="C199" s="128">
        <v>64242218</v>
      </c>
      <c r="D199" s="128" t="s">
        <v>850</v>
      </c>
      <c r="E199" s="128" t="s">
        <v>242</v>
      </c>
      <c r="F199" s="128">
        <v>8172268</v>
      </c>
      <c r="G199" s="128" t="s">
        <v>235</v>
      </c>
      <c r="H199" s="128" t="s">
        <v>230</v>
      </c>
      <c r="I199" s="128" t="s">
        <v>855</v>
      </c>
      <c r="J199" s="129">
        <v>39356</v>
      </c>
      <c r="L199" s="128" t="s">
        <v>220</v>
      </c>
      <c r="X199" s="128" t="s">
        <v>221</v>
      </c>
      <c r="Z199" s="128">
        <v>12</v>
      </c>
      <c r="AA199" s="128">
        <v>48</v>
      </c>
      <c r="AB199" s="128">
        <v>89</v>
      </c>
      <c r="AC199" s="128">
        <v>95</v>
      </c>
      <c r="AD199" s="128">
        <v>90</v>
      </c>
      <c r="AO199" s="128" t="s">
        <v>856</v>
      </c>
      <c r="AP199" s="128" t="s">
        <v>221</v>
      </c>
      <c r="AQ199" s="128">
        <v>12</v>
      </c>
      <c r="AR199" s="128">
        <v>24</v>
      </c>
      <c r="AS199" s="128">
        <v>88</v>
      </c>
      <c r="AT199" s="128">
        <v>90</v>
      </c>
      <c r="AU199" s="128">
        <v>90</v>
      </c>
      <c r="BK199" s="128" t="s">
        <v>853</v>
      </c>
      <c r="BL199" s="128" t="s">
        <v>443</v>
      </c>
      <c r="BM199" s="128" t="s">
        <v>304</v>
      </c>
      <c r="BN199" s="128" t="s">
        <v>364</v>
      </c>
      <c r="EK199" s="128">
        <v>10</v>
      </c>
      <c r="EL199" s="128">
        <v>10</v>
      </c>
      <c r="EM199" s="128">
        <v>7.71</v>
      </c>
      <c r="EN199" s="128">
        <v>5454000</v>
      </c>
      <c r="EO199" s="128">
        <v>2046000</v>
      </c>
      <c r="EP199" s="128">
        <v>1</v>
      </c>
      <c r="EQ199" s="128">
        <v>0.5</v>
      </c>
      <c r="ER199" s="128">
        <v>1.17</v>
      </c>
      <c r="ES199" s="128">
        <v>225000</v>
      </c>
      <c r="ET199" s="128">
        <v>0</v>
      </c>
      <c r="FO199" s="128">
        <v>13</v>
      </c>
      <c r="FP199" s="128">
        <v>3.08</v>
      </c>
      <c r="FQ199" s="128">
        <v>1.49</v>
      </c>
      <c r="FR199" s="128">
        <v>2122000</v>
      </c>
      <c r="FS199" s="128">
        <v>1637000</v>
      </c>
      <c r="IN199" s="128">
        <v>1</v>
      </c>
      <c r="IO199" s="128">
        <v>240</v>
      </c>
      <c r="IP199" s="128">
        <v>0.115</v>
      </c>
      <c r="IQ199" s="128">
        <v>60000</v>
      </c>
      <c r="IR199" s="128">
        <v>60000</v>
      </c>
      <c r="IS199" s="128">
        <v>3</v>
      </c>
      <c r="IT199" s="128">
        <v>314</v>
      </c>
      <c r="IU199" s="128">
        <v>0.15</v>
      </c>
      <c r="IV199" s="128">
        <v>48260</v>
      </c>
      <c r="IW199" s="128">
        <v>48260</v>
      </c>
      <c r="KG199" s="128">
        <v>3</v>
      </c>
      <c r="KH199" s="128">
        <v>20</v>
      </c>
      <c r="KI199" s="128">
        <v>10.5</v>
      </c>
      <c r="KJ199" s="128">
        <v>0</v>
      </c>
      <c r="KK199" s="128">
        <v>0.115</v>
      </c>
      <c r="KL199" s="128">
        <v>0</v>
      </c>
      <c r="KM199" s="128">
        <v>10.615</v>
      </c>
      <c r="KN199" s="128">
        <v>7801000</v>
      </c>
      <c r="KO199" s="128">
        <v>3683000</v>
      </c>
      <c r="KP199" s="128">
        <v>3683000</v>
      </c>
      <c r="KT199" s="128">
        <v>0</v>
      </c>
      <c r="KU199" s="128">
        <v>0</v>
      </c>
      <c r="KV199" s="128">
        <v>0</v>
      </c>
      <c r="KZ199" s="128">
        <v>108260</v>
      </c>
      <c r="LA199" s="128">
        <v>108260</v>
      </c>
      <c r="LB199" s="128">
        <v>108260</v>
      </c>
      <c r="LF199" s="128">
        <v>20500</v>
      </c>
      <c r="LG199" s="128">
        <v>16500</v>
      </c>
      <c r="LH199" s="128">
        <v>16500</v>
      </c>
      <c r="LL199" s="128">
        <v>10000</v>
      </c>
      <c r="LM199" s="128">
        <v>1000</v>
      </c>
      <c r="LN199" s="128">
        <v>1000</v>
      </c>
      <c r="LR199" s="128">
        <v>65000</v>
      </c>
      <c r="LS199" s="128">
        <v>64000</v>
      </c>
      <c r="LT199" s="128">
        <v>64000</v>
      </c>
      <c r="LX199" s="128">
        <v>0</v>
      </c>
      <c r="LY199" s="128">
        <v>0</v>
      </c>
      <c r="LZ199" s="128">
        <v>0</v>
      </c>
      <c r="MD199" s="128">
        <v>43000</v>
      </c>
      <c r="ME199" s="128">
        <v>29000</v>
      </c>
      <c r="MF199" s="128">
        <v>29000</v>
      </c>
      <c r="MJ199" s="128">
        <v>57000</v>
      </c>
      <c r="MK199" s="128">
        <v>27000</v>
      </c>
      <c r="ML199" s="128">
        <v>27000</v>
      </c>
      <c r="MP199" s="128">
        <v>57000</v>
      </c>
      <c r="MQ199" s="128">
        <v>47000</v>
      </c>
      <c r="MR199" s="128">
        <v>47000</v>
      </c>
      <c r="MV199" s="128">
        <v>139000</v>
      </c>
      <c r="MW199" s="128">
        <v>74000</v>
      </c>
      <c r="MX199" s="128">
        <v>74000</v>
      </c>
      <c r="NB199" s="128">
        <v>84000</v>
      </c>
      <c r="NC199" s="128">
        <v>53500</v>
      </c>
      <c r="ND199" s="128">
        <v>53500</v>
      </c>
      <c r="NH199" s="128">
        <v>258000</v>
      </c>
      <c r="NI199" s="128">
        <v>158000</v>
      </c>
      <c r="NJ199" s="128">
        <v>158000</v>
      </c>
      <c r="NN199" s="128">
        <v>32000</v>
      </c>
      <c r="NO199" s="128">
        <v>24000</v>
      </c>
      <c r="NP199" s="128">
        <v>24000</v>
      </c>
      <c r="NT199" s="128">
        <v>97000</v>
      </c>
      <c r="NU199" s="128">
        <v>27000</v>
      </c>
      <c r="NV199" s="128">
        <v>27000</v>
      </c>
      <c r="NZ199" s="128">
        <v>19000</v>
      </c>
      <c r="OA199" s="128">
        <v>16000</v>
      </c>
      <c r="OB199" s="128">
        <v>16000</v>
      </c>
      <c r="OF199" s="128">
        <v>71000</v>
      </c>
      <c r="OG199" s="128">
        <v>38000</v>
      </c>
      <c r="OH199" s="128">
        <v>38000</v>
      </c>
      <c r="OL199" s="128">
        <v>0</v>
      </c>
      <c r="OM199" s="128">
        <v>0</v>
      </c>
      <c r="ON199" s="128">
        <v>0</v>
      </c>
      <c r="OR199" s="128">
        <v>0</v>
      </c>
      <c r="OS199" s="128">
        <v>0</v>
      </c>
      <c r="OT199" s="128">
        <v>0</v>
      </c>
      <c r="OX199" s="128">
        <v>613000</v>
      </c>
      <c r="OY199" s="128">
        <v>285500</v>
      </c>
      <c r="OZ199" s="128">
        <v>285500</v>
      </c>
      <c r="PD199" s="128">
        <v>54000</v>
      </c>
      <c r="PE199" s="128">
        <v>0</v>
      </c>
      <c r="PF199" s="128">
        <v>0</v>
      </c>
      <c r="PJ199" s="128">
        <v>47000</v>
      </c>
      <c r="PK199" s="128">
        <v>9000</v>
      </c>
      <c r="PL199" s="128">
        <v>9000</v>
      </c>
      <c r="PP199" s="128">
        <v>9575760</v>
      </c>
      <c r="PQ199" s="128">
        <v>4660760</v>
      </c>
      <c r="PR199" s="128">
        <v>4660760</v>
      </c>
      <c r="PS199" s="128">
        <v>100</v>
      </c>
      <c r="PT199" s="128">
        <v>100</v>
      </c>
      <c r="PX199" s="128">
        <v>0</v>
      </c>
      <c r="PY199" s="128">
        <v>0</v>
      </c>
      <c r="PZ199" s="128">
        <v>4660760</v>
      </c>
      <c r="QA199" s="128">
        <v>0</v>
      </c>
      <c r="QB199" s="128">
        <v>0</v>
      </c>
      <c r="QC199" s="128">
        <v>0</v>
      </c>
      <c r="QD199" s="128">
        <v>0</v>
      </c>
      <c r="QE199" s="128">
        <v>0</v>
      </c>
      <c r="QF199" s="128">
        <v>0</v>
      </c>
      <c r="QG199" s="128">
        <v>0</v>
      </c>
      <c r="QH199" s="128">
        <v>0</v>
      </c>
      <c r="QI199" s="128">
        <v>0</v>
      </c>
      <c r="QJ199" s="128">
        <v>0</v>
      </c>
      <c r="QK199" s="128">
        <v>0</v>
      </c>
      <c r="QL199" s="128">
        <v>0</v>
      </c>
      <c r="QN199" s="128">
        <v>0</v>
      </c>
      <c r="QO199" s="128">
        <v>0</v>
      </c>
      <c r="QP199" s="128">
        <v>0</v>
      </c>
      <c r="QR199" s="128">
        <v>77329</v>
      </c>
      <c r="QS199" s="128">
        <v>1789112</v>
      </c>
      <c r="QT199" s="128">
        <v>3578225</v>
      </c>
      <c r="QU199" s="128">
        <v>740000</v>
      </c>
      <c r="QV199" s="128">
        <v>3413420</v>
      </c>
      <c r="QW199" s="128">
        <v>821000</v>
      </c>
      <c r="QX199" s="128">
        <v>250000</v>
      </c>
      <c r="QY199" s="128">
        <v>360000</v>
      </c>
      <c r="QZ199" s="128">
        <v>450000</v>
      </c>
      <c r="RD199" s="128">
        <v>0</v>
      </c>
      <c r="RE199" s="128">
        <v>0</v>
      </c>
      <c r="RF199" s="128">
        <v>65775</v>
      </c>
      <c r="RH199" s="128">
        <f t="shared" si="310"/>
        <v>9575760</v>
      </c>
      <c r="RI199" s="128">
        <v>0</v>
      </c>
      <c r="RM199" s="128" t="s">
        <v>220</v>
      </c>
      <c r="RU199" s="130"/>
      <c r="RV199" s="130"/>
      <c r="RW199" s="130"/>
      <c r="RX199" s="130"/>
      <c r="SF199" s="128">
        <f t="shared" si="220"/>
        <v>8172268</v>
      </c>
      <c r="SG199" s="131">
        <f t="shared" si="221"/>
        <v>9575760</v>
      </c>
      <c r="SH199" s="131">
        <f t="shared" si="222"/>
        <v>9575760</v>
      </c>
      <c r="SI199" s="131">
        <f t="shared" si="223"/>
        <v>7929760</v>
      </c>
      <c r="SJ199" s="132">
        <f t="shared" si="224"/>
        <v>7801000</v>
      </c>
      <c r="SK199" s="132">
        <f t="shared" si="225"/>
        <v>0</v>
      </c>
      <c r="SL199" s="132">
        <f t="shared" si="226"/>
        <v>108260</v>
      </c>
      <c r="SM199" s="132">
        <f t="shared" si="227"/>
        <v>20500</v>
      </c>
      <c r="SN199" s="131">
        <f t="shared" si="228"/>
        <v>1646000</v>
      </c>
      <c r="SO199" s="131">
        <f t="shared" si="229"/>
        <v>75000</v>
      </c>
      <c r="SP199" s="132">
        <f t="shared" si="230"/>
        <v>10000</v>
      </c>
      <c r="SQ199" s="132">
        <f t="shared" si="231"/>
        <v>65000</v>
      </c>
      <c r="SR199" s="132">
        <f t="shared" si="232"/>
        <v>0</v>
      </c>
      <c r="SS199" s="132">
        <f t="shared" si="233"/>
        <v>43000</v>
      </c>
      <c r="ST199" s="132">
        <f t="shared" si="234"/>
        <v>57000</v>
      </c>
      <c r="SU199" s="132">
        <f t="shared" si="235"/>
        <v>57000</v>
      </c>
      <c r="SV199" s="131">
        <f t="shared" si="236"/>
        <v>1313000</v>
      </c>
      <c r="SW199" s="132">
        <f t="shared" si="237"/>
        <v>139000</v>
      </c>
      <c r="SX199" s="132">
        <f t="shared" si="238"/>
        <v>84000</v>
      </c>
      <c r="SY199" s="132">
        <f t="shared" si="239"/>
        <v>258000</v>
      </c>
      <c r="SZ199" s="132">
        <f t="shared" si="240"/>
        <v>32000</v>
      </c>
      <c r="TA199" s="132">
        <f t="shared" si="241"/>
        <v>97000</v>
      </c>
      <c r="TB199" s="132">
        <f t="shared" si="242"/>
        <v>19000</v>
      </c>
      <c r="TC199" s="132">
        <f t="shared" si="243"/>
        <v>71000</v>
      </c>
      <c r="TD199" s="132">
        <f t="shared" si="244"/>
        <v>0</v>
      </c>
      <c r="TE199" s="132">
        <f t="shared" si="245"/>
        <v>0</v>
      </c>
      <c r="TF199" s="132">
        <f t="shared" si="246"/>
        <v>613000</v>
      </c>
      <c r="TG199" s="132">
        <f t="shared" si="247"/>
        <v>54000</v>
      </c>
      <c r="TH199" s="132">
        <f t="shared" si="248"/>
        <v>47000</v>
      </c>
      <c r="TI199" s="1"/>
      <c r="TJ199" s="131">
        <f t="shared" si="249"/>
        <v>4660760</v>
      </c>
      <c r="TK199" s="131">
        <f t="shared" si="250"/>
        <v>4660760</v>
      </c>
      <c r="TL199" s="131">
        <f t="shared" si="251"/>
        <v>3807760</v>
      </c>
      <c r="TM199" s="132">
        <f t="shared" si="252"/>
        <v>3683000</v>
      </c>
      <c r="TN199" s="132">
        <f t="shared" si="253"/>
        <v>0</v>
      </c>
      <c r="TO199" s="132">
        <f t="shared" si="254"/>
        <v>108260</v>
      </c>
      <c r="TP199" s="132">
        <f t="shared" si="255"/>
        <v>16500</v>
      </c>
      <c r="TQ199" s="131">
        <f t="shared" si="256"/>
        <v>853000</v>
      </c>
      <c r="TR199" s="131">
        <f t="shared" si="257"/>
        <v>65000</v>
      </c>
      <c r="TS199" s="132">
        <f t="shared" si="258"/>
        <v>1000</v>
      </c>
      <c r="TT199" s="132">
        <f t="shared" si="259"/>
        <v>64000</v>
      </c>
      <c r="TU199" s="132">
        <f t="shared" si="260"/>
        <v>0</v>
      </c>
      <c r="TV199" s="132">
        <f t="shared" si="261"/>
        <v>29000</v>
      </c>
      <c r="TW199" s="132">
        <f t="shared" si="262"/>
        <v>27000</v>
      </c>
      <c r="TX199" s="132">
        <f t="shared" si="263"/>
        <v>47000</v>
      </c>
      <c r="TY199" s="131">
        <f t="shared" si="264"/>
        <v>676000</v>
      </c>
      <c r="TZ199" s="132">
        <f t="shared" si="265"/>
        <v>74000</v>
      </c>
      <c r="UA199" s="132">
        <f t="shared" si="266"/>
        <v>53500</v>
      </c>
      <c r="UB199" s="132">
        <f t="shared" si="267"/>
        <v>158000</v>
      </c>
      <c r="UC199" s="132">
        <f t="shared" si="268"/>
        <v>24000</v>
      </c>
      <c r="UD199" s="132">
        <f t="shared" si="269"/>
        <v>27000</v>
      </c>
      <c r="UE199" s="132">
        <f t="shared" si="270"/>
        <v>16000</v>
      </c>
      <c r="UF199" s="132">
        <f t="shared" si="271"/>
        <v>38000</v>
      </c>
      <c r="UG199" s="132">
        <f t="shared" si="272"/>
        <v>0</v>
      </c>
      <c r="UH199" s="132">
        <f t="shared" si="273"/>
        <v>0</v>
      </c>
      <c r="UI199" s="132">
        <f t="shared" si="274"/>
        <v>285500</v>
      </c>
      <c r="UJ199" s="132">
        <f t="shared" si="275"/>
        <v>0</v>
      </c>
      <c r="UK199" s="132">
        <f t="shared" si="276"/>
        <v>9000</v>
      </c>
      <c r="UL199" s="132">
        <f t="shared" si="311"/>
        <v>4660760</v>
      </c>
      <c r="UM199" s="131">
        <f t="shared" si="277"/>
        <v>4660760</v>
      </c>
      <c r="UN199" s="131">
        <f t="shared" si="278"/>
        <v>4660760</v>
      </c>
      <c r="UO199" s="131">
        <f t="shared" si="279"/>
        <v>3807760</v>
      </c>
      <c r="UP199" s="132">
        <f t="shared" si="280"/>
        <v>3683000</v>
      </c>
      <c r="UQ199" s="132">
        <f t="shared" si="281"/>
        <v>0</v>
      </c>
      <c r="UR199" s="132">
        <f t="shared" si="282"/>
        <v>108260</v>
      </c>
      <c r="US199" s="132">
        <f t="shared" si="283"/>
        <v>16500</v>
      </c>
      <c r="UT199" s="131">
        <f t="shared" si="284"/>
        <v>853000</v>
      </c>
      <c r="UU199" s="131">
        <f t="shared" si="285"/>
        <v>65000</v>
      </c>
      <c r="UV199" s="132">
        <f t="shared" si="286"/>
        <v>1000</v>
      </c>
      <c r="UW199" s="132">
        <f t="shared" si="287"/>
        <v>64000</v>
      </c>
      <c r="UX199" s="132">
        <f t="shared" si="288"/>
        <v>0</v>
      </c>
      <c r="UY199" s="132">
        <f t="shared" si="289"/>
        <v>29000</v>
      </c>
      <c r="UZ199" s="132">
        <f t="shared" si="290"/>
        <v>27000</v>
      </c>
      <c r="VA199" s="132">
        <f t="shared" si="291"/>
        <v>47000</v>
      </c>
      <c r="VB199" s="131">
        <f t="shared" si="292"/>
        <v>676000</v>
      </c>
      <c r="VC199" s="132">
        <f t="shared" si="293"/>
        <v>74000</v>
      </c>
      <c r="VD199" s="132">
        <f t="shared" si="294"/>
        <v>53500</v>
      </c>
      <c r="VE199" s="132">
        <f t="shared" si="295"/>
        <v>158000</v>
      </c>
      <c r="VF199" s="132">
        <f t="shared" si="296"/>
        <v>24000</v>
      </c>
      <c r="VG199" s="132">
        <f t="shared" si="297"/>
        <v>27000</v>
      </c>
      <c r="VH199" s="132">
        <f t="shared" si="298"/>
        <v>16000</v>
      </c>
      <c r="VI199" s="132">
        <f t="shared" si="299"/>
        <v>38000</v>
      </c>
      <c r="VJ199" s="132">
        <f t="shared" si="300"/>
        <v>0</v>
      </c>
      <c r="VK199" s="132">
        <f t="shared" si="301"/>
        <v>0</v>
      </c>
      <c r="VL199" s="132">
        <f t="shared" si="302"/>
        <v>285500</v>
      </c>
      <c r="VM199" s="132">
        <f t="shared" si="303"/>
        <v>0</v>
      </c>
      <c r="VN199" s="132">
        <f t="shared" si="304"/>
        <v>9000</v>
      </c>
      <c r="VP199" s="845" t="str">
        <f>IFERROR(HLOOKUP(F199,'Hodnocení '!$C$1:$JH$5,2,FALSE),0)</f>
        <v>Sociální rehabilitace - středisko Hradec Králové</v>
      </c>
      <c r="VQ199" s="838"/>
      <c r="VR199" s="845" t="str">
        <f t="shared" si="312"/>
        <v>Spolek</v>
      </c>
      <c r="VS199" s="845" t="str">
        <f>IFERROR(HLOOKUP(F199,'Hodnocení '!$C$1:$JH$5,5,FALSE),0)</f>
        <v>NZO</v>
      </c>
      <c r="VT199" s="838">
        <f t="shared" si="313"/>
        <v>0</v>
      </c>
      <c r="VU199" s="838">
        <f t="shared" si="314"/>
        <v>0</v>
      </c>
      <c r="VV199" s="838">
        <f t="shared" si="315"/>
        <v>0</v>
      </c>
      <c r="VW199" s="838">
        <f t="shared" si="316"/>
        <v>0</v>
      </c>
      <c r="VX199" s="838"/>
      <c r="VY199" s="838">
        <f t="shared" si="317"/>
        <v>0</v>
      </c>
      <c r="VZ199" s="838">
        <f t="shared" si="318"/>
        <v>4660760</v>
      </c>
      <c r="WA199" s="846">
        <f>IFERROR(HLOOKUP($F199,'Hodnocení '!$C$1:$JH$9,9,FALSE),0)</f>
        <v>4660760</v>
      </c>
      <c r="WB199" s="846">
        <f>IF(IFERROR(HLOOKUP($F199,'Hodnocení '!$C$1:$JH$13,13,FALSE),0)&gt;WA199,WA199,IFERROR(HLOOKUP($F199,'Hodnocení '!$C$1:$JH$13,13,FALSE),0))</f>
        <v>4660760</v>
      </c>
      <c r="WC199" s="846">
        <f>IFERROR(HLOOKUP($F199,'Hodnocení '!$C$1:$JH$155,155,FALSE),0)</f>
        <v>4660760</v>
      </c>
      <c r="WD199" s="845"/>
      <c r="WE199" s="845"/>
      <c r="WF199" s="845" t="str">
        <f t="shared" si="305"/>
        <v>ANO</v>
      </c>
      <c r="WG199" s="849" t="str">
        <f t="shared" si="320"/>
        <v>Podpora služby je vyjádřena zařazením do sítě sociálních služeb v KHK a řešením financování služby</v>
      </c>
      <c r="WH199"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199" s="849" t="str">
        <f t="shared" si="320"/>
        <v>Návrh dotace je výsledkem projednání s ostatními zadavateli v rámci sítě služeb KHK</v>
      </c>
      <c r="WJ199" s="849" t="str">
        <f t="shared" si="320"/>
        <v>Bez komentáře</v>
      </c>
      <c r="WK199" s="31">
        <f t="shared" si="306"/>
        <v>0</v>
      </c>
      <c r="WL199" s="850">
        <f t="shared" si="307"/>
        <v>0</v>
      </c>
      <c r="WM199" s="849">
        <f t="shared" si="308"/>
        <v>0</v>
      </c>
      <c r="WN199" s="849">
        <f t="shared" si="309"/>
        <v>0</v>
      </c>
      <c r="WO199" s="849" t="str">
        <f t="shared" si="321"/>
        <v>bez komentáře</v>
      </c>
      <c r="WP199" s="849" t="str">
        <f t="shared" si="321"/>
        <v>bez komentáře</v>
      </c>
      <c r="WQ199" s="849" t="str">
        <f t="shared" si="321"/>
        <v>Konečná výše dotace z rozpočtu KHK bude řešena v návaznosti na řešení podílů jednotlivých zadavatelů.</v>
      </c>
      <c r="WR199" s="849" t="str">
        <f t="shared" si="321"/>
        <v>Konečná výše podpory ze stran obcí bude řešena v součinnosti s jednotlivými zadavateli v průběhu roku.</v>
      </c>
      <c r="WS199" s="849" t="str">
        <f t="shared" si="321"/>
        <v>bez komentáře</v>
      </c>
      <c r="WT199" s="849" t="str">
        <f t="shared" si="321"/>
        <v>bez komentáře</v>
      </c>
      <c r="WU199" s="845"/>
    </row>
    <row r="200" spans="1:619" s="128" customFormat="1" x14ac:dyDescent="0.25">
      <c r="A200" s="128" t="str">
        <f>VLOOKUP(F200,'Výpočet VP 2020'!$D$324:$I$588,6,FALSE)</f>
        <v>Je v síti</v>
      </c>
      <c r="B200" s="128" t="s">
        <v>857</v>
      </c>
      <c r="C200" s="128">
        <v>75065649</v>
      </c>
      <c r="D200" s="128" t="s">
        <v>858</v>
      </c>
      <c r="E200" s="128" t="s">
        <v>259</v>
      </c>
      <c r="F200" s="128">
        <v>1696009</v>
      </c>
      <c r="G200" s="128" t="s">
        <v>783</v>
      </c>
      <c r="H200" s="128" t="s">
        <v>230</v>
      </c>
      <c r="I200" s="128" t="s">
        <v>859</v>
      </c>
      <c r="J200" s="129">
        <v>41579</v>
      </c>
      <c r="L200" s="128" t="s">
        <v>220</v>
      </c>
      <c r="X200" s="128" t="s">
        <v>237</v>
      </c>
      <c r="Y200" s="128">
        <v>7</v>
      </c>
      <c r="AB200" s="128">
        <v>22</v>
      </c>
      <c r="AC200" s="128">
        <v>16</v>
      </c>
      <c r="AD200" s="128">
        <v>15</v>
      </c>
      <c r="BL200" s="128" t="s">
        <v>786</v>
      </c>
      <c r="BM200" s="128" t="s">
        <v>702</v>
      </c>
      <c r="BN200" s="128" t="s">
        <v>424</v>
      </c>
      <c r="EK200" s="128">
        <v>2</v>
      </c>
      <c r="EL200" s="128">
        <v>0.26</v>
      </c>
      <c r="EM200" s="128">
        <v>0.26</v>
      </c>
      <c r="EN200" s="128">
        <v>187000</v>
      </c>
      <c r="EO200" s="128">
        <v>120000</v>
      </c>
      <c r="EP200" s="128">
        <v>1</v>
      </c>
      <c r="EQ200" s="128">
        <v>0.16</v>
      </c>
      <c r="ER200" s="128">
        <v>0.16</v>
      </c>
      <c r="ES200" s="128">
        <v>78000</v>
      </c>
      <c r="ET200" s="128">
        <v>45000</v>
      </c>
      <c r="FO200" s="128">
        <v>8</v>
      </c>
      <c r="FP200" s="128">
        <v>0.35</v>
      </c>
      <c r="FQ200" s="128">
        <v>0.35</v>
      </c>
      <c r="FR200" s="128">
        <v>234000</v>
      </c>
      <c r="FS200" s="128">
        <v>0</v>
      </c>
      <c r="FZ200" s="128">
        <v>5</v>
      </c>
      <c r="GA200" s="128">
        <v>0.85</v>
      </c>
      <c r="GB200" s="128">
        <v>60</v>
      </c>
      <c r="GC200" s="128">
        <v>0.85</v>
      </c>
      <c r="GD200" s="128">
        <v>405000</v>
      </c>
      <c r="GE200" s="128">
        <v>225000</v>
      </c>
      <c r="IH200" s="128">
        <v>1</v>
      </c>
      <c r="II200" s="128">
        <v>0.1</v>
      </c>
      <c r="IJ200" s="128">
        <v>12</v>
      </c>
      <c r="IK200" s="128">
        <v>0.1</v>
      </c>
      <c r="IL200" s="128">
        <v>36000</v>
      </c>
      <c r="IM200" s="128">
        <v>0</v>
      </c>
      <c r="IS200" s="128">
        <v>1</v>
      </c>
      <c r="IT200" s="128">
        <v>300</v>
      </c>
      <c r="IU200" s="128">
        <v>0.14299999999999999</v>
      </c>
      <c r="IV200" s="128">
        <v>27000</v>
      </c>
      <c r="IW200" s="128">
        <v>0</v>
      </c>
      <c r="KG200" s="128">
        <v>0</v>
      </c>
      <c r="KI200" s="128">
        <v>0.42</v>
      </c>
      <c r="KJ200" s="128">
        <v>0.85</v>
      </c>
      <c r="KK200" s="128">
        <v>0</v>
      </c>
      <c r="KL200" s="128">
        <v>0</v>
      </c>
      <c r="KM200" s="128">
        <v>1.27</v>
      </c>
      <c r="KN200" s="128">
        <v>499000</v>
      </c>
      <c r="KO200" s="128">
        <v>165000</v>
      </c>
      <c r="KP200" s="128">
        <v>165000</v>
      </c>
      <c r="KT200" s="128">
        <v>441000</v>
      </c>
      <c r="KU200" s="128">
        <v>225000</v>
      </c>
      <c r="KV200" s="128">
        <v>225000</v>
      </c>
      <c r="KZ200" s="128">
        <v>27000</v>
      </c>
      <c r="LA200" s="128">
        <v>0</v>
      </c>
      <c r="LB200" s="128">
        <v>0</v>
      </c>
      <c r="LF200" s="128">
        <v>0</v>
      </c>
      <c r="LG200" s="128">
        <v>0</v>
      </c>
      <c r="LH200" s="128">
        <v>0</v>
      </c>
      <c r="LL200" s="128">
        <v>0</v>
      </c>
      <c r="LM200" s="128">
        <v>0</v>
      </c>
      <c r="LN200" s="128">
        <v>0</v>
      </c>
      <c r="LR200" s="128">
        <v>50000</v>
      </c>
      <c r="LS200" s="128">
        <v>0</v>
      </c>
      <c r="LT200" s="128">
        <v>0</v>
      </c>
      <c r="LX200" s="128">
        <v>0</v>
      </c>
      <c r="LY200" s="128">
        <v>0</v>
      </c>
      <c r="LZ200" s="128">
        <v>0</v>
      </c>
      <c r="MD200" s="128">
        <v>2000</v>
      </c>
      <c r="ME200" s="128">
        <v>0</v>
      </c>
      <c r="MF200" s="128">
        <v>0</v>
      </c>
      <c r="MJ200" s="128">
        <v>4000</v>
      </c>
      <c r="MK200" s="128">
        <v>0</v>
      </c>
      <c r="ML200" s="128">
        <v>0</v>
      </c>
      <c r="MP200" s="128">
        <v>10500</v>
      </c>
      <c r="MQ200" s="128">
        <v>0</v>
      </c>
      <c r="MR200" s="128">
        <v>0</v>
      </c>
      <c r="MV200" s="128">
        <v>123000</v>
      </c>
      <c r="MW200" s="128">
        <v>0</v>
      </c>
      <c r="MX200" s="128">
        <v>0</v>
      </c>
      <c r="NB200" s="128">
        <v>22500</v>
      </c>
      <c r="NC200" s="128">
        <v>0</v>
      </c>
      <c r="ND200" s="128">
        <v>0</v>
      </c>
      <c r="NH200" s="128">
        <v>0</v>
      </c>
      <c r="NI200" s="128">
        <v>0</v>
      </c>
      <c r="NJ200" s="128">
        <v>0</v>
      </c>
      <c r="NN200" s="128">
        <v>2000</v>
      </c>
      <c r="NO200" s="128">
        <v>0</v>
      </c>
      <c r="NP200" s="128">
        <v>0</v>
      </c>
      <c r="NT200" s="128">
        <v>9000</v>
      </c>
      <c r="NU200" s="128">
        <v>0</v>
      </c>
      <c r="NV200" s="128">
        <v>0</v>
      </c>
      <c r="NZ200" s="128">
        <v>20000</v>
      </c>
      <c r="OA200" s="128">
        <v>0</v>
      </c>
      <c r="OB200" s="128">
        <v>0</v>
      </c>
      <c r="OF200" s="128">
        <v>2000</v>
      </c>
      <c r="OG200" s="128">
        <v>0</v>
      </c>
      <c r="OH200" s="128">
        <v>0</v>
      </c>
      <c r="OL200" s="128">
        <v>0</v>
      </c>
      <c r="OM200" s="128">
        <v>0</v>
      </c>
      <c r="ON200" s="128">
        <v>0</v>
      </c>
      <c r="OR200" s="128">
        <v>0</v>
      </c>
      <c r="OS200" s="128">
        <v>0</v>
      </c>
      <c r="OT200" s="128">
        <v>0</v>
      </c>
      <c r="OX200" s="128">
        <v>0</v>
      </c>
      <c r="OY200" s="128">
        <v>0</v>
      </c>
      <c r="OZ200" s="128">
        <v>0</v>
      </c>
      <c r="PD200" s="128">
        <v>9000</v>
      </c>
      <c r="PE200" s="128">
        <v>0</v>
      </c>
      <c r="PF200" s="128">
        <v>0</v>
      </c>
      <c r="PJ200" s="128">
        <v>14000</v>
      </c>
      <c r="PK200" s="128">
        <v>0</v>
      </c>
      <c r="PL200" s="128">
        <v>0</v>
      </c>
      <c r="PP200" s="128">
        <v>1235000</v>
      </c>
      <c r="PQ200" s="128">
        <v>390000</v>
      </c>
      <c r="PR200" s="128">
        <v>390000</v>
      </c>
      <c r="PS200" s="128">
        <v>100</v>
      </c>
      <c r="PT200" s="128">
        <v>100</v>
      </c>
      <c r="PX200" s="128">
        <v>326000</v>
      </c>
      <c r="PY200" s="128">
        <v>262500</v>
      </c>
      <c r="PZ200" s="128">
        <v>390000</v>
      </c>
      <c r="QA200" s="128">
        <v>0</v>
      </c>
      <c r="QB200" s="128">
        <v>0</v>
      </c>
      <c r="QC200" s="128">
        <v>0</v>
      </c>
      <c r="QD200" s="128">
        <v>668000</v>
      </c>
      <c r="QE200" s="128">
        <v>832200</v>
      </c>
      <c r="QF200" s="128">
        <v>833000</v>
      </c>
      <c r="QG200" s="128">
        <v>0</v>
      </c>
      <c r="QH200" s="128">
        <v>0</v>
      </c>
      <c r="QI200" s="128">
        <v>0</v>
      </c>
      <c r="QJ200" s="128">
        <v>23790</v>
      </c>
      <c r="QK200" s="128">
        <v>15800</v>
      </c>
      <c r="QL200" s="128">
        <v>12000</v>
      </c>
      <c r="QN200" s="128">
        <v>0</v>
      </c>
      <c r="QO200" s="128">
        <v>0</v>
      </c>
      <c r="QP200" s="128">
        <v>0</v>
      </c>
      <c r="RH200" s="128">
        <f t="shared" si="310"/>
        <v>1223000</v>
      </c>
      <c r="RI200" s="128">
        <v>0</v>
      </c>
      <c r="RM200" s="128" t="s">
        <v>220</v>
      </c>
      <c r="RU200" s="130"/>
      <c r="RV200" s="130"/>
      <c r="RW200" s="130"/>
      <c r="RX200" s="130"/>
      <c r="SF200" s="128">
        <f t="shared" ref="SF200:SF262" si="322">F200</f>
        <v>1696009</v>
      </c>
      <c r="SG200" s="131">
        <f t="shared" ref="SG200:SG263" si="323">PP200</f>
        <v>1235000</v>
      </c>
      <c r="SH200" s="131">
        <f t="shared" ref="SH200:SH263" si="324">SI200+SN200</f>
        <v>1235000</v>
      </c>
      <c r="SI200" s="131">
        <f t="shared" ref="SI200:SI263" si="325">SJ200+SK200+SL200+SM200</f>
        <v>967000</v>
      </c>
      <c r="SJ200" s="132">
        <f t="shared" ref="SJ200:SJ263" si="326">KN200</f>
        <v>499000</v>
      </c>
      <c r="SK200" s="132">
        <f t="shared" ref="SK200:SK263" si="327">KT200</f>
        <v>441000</v>
      </c>
      <c r="SL200" s="132">
        <f t="shared" ref="SL200:SL263" si="328">KZ200</f>
        <v>27000</v>
      </c>
      <c r="SM200" s="132">
        <f t="shared" ref="SM200:SM263" si="329">LF200</f>
        <v>0</v>
      </c>
      <c r="SN200" s="131">
        <f t="shared" ref="SN200:SN263" si="330">SO200+SR200+SS200+ST200+SU200+SV200+TG200+TH200</f>
        <v>268000</v>
      </c>
      <c r="SO200" s="131">
        <f t="shared" ref="SO200:SO263" si="331">SP200+SQ200</f>
        <v>50000</v>
      </c>
      <c r="SP200" s="132">
        <f t="shared" ref="SP200:SP263" si="332">LL200</f>
        <v>0</v>
      </c>
      <c r="SQ200" s="132">
        <f t="shared" ref="SQ200:SQ263" si="333">LR200</f>
        <v>50000</v>
      </c>
      <c r="SR200" s="132">
        <f t="shared" ref="SR200:SR263" si="334">LX200</f>
        <v>0</v>
      </c>
      <c r="SS200" s="132">
        <f t="shared" ref="SS200:SS263" si="335">MD200</f>
        <v>2000</v>
      </c>
      <c r="ST200" s="132">
        <f t="shared" ref="ST200:ST263" si="336">MJ200</f>
        <v>4000</v>
      </c>
      <c r="SU200" s="132">
        <f t="shared" ref="SU200:SU263" si="337">MP200</f>
        <v>10500</v>
      </c>
      <c r="SV200" s="131">
        <f t="shared" ref="SV200:SV263" si="338">SUM(SW200:TF200)</f>
        <v>178500</v>
      </c>
      <c r="SW200" s="132">
        <f t="shared" ref="SW200:SW263" si="339">MV200</f>
        <v>123000</v>
      </c>
      <c r="SX200" s="132">
        <f t="shared" ref="SX200:SX263" si="340">NB200</f>
        <v>22500</v>
      </c>
      <c r="SY200" s="132">
        <f t="shared" ref="SY200:SY263" si="341">NH200</f>
        <v>0</v>
      </c>
      <c r="SZ200" s="132">
        <f t="shared" ref="SZ200:SZ263" si="342">NN200</f>
        <v>2000</v>
      </c>
      <c r="TA200" s="132">
        <f t="shared" ref="TA200:TA263" si="343">NT200</f>
        <v>9000</v>
      </c>
      <c r="TB200" s="132">
        <f t="shared" ref="TB200:TB263" si="344">NZ200</f>
        <v>20000</v>
      </c>
      <c r="TC200" s="132">
        <f t="shared" ref="TC200:TC263" si="345">OF200</f>
        <v>2000</v>
      </c>
      <c r="TD200" s="132">
        <f t="shared" ref="TD200:TD263" si="346">OL200</f>
        <v>0</v>
      </c>
      <c r="TE200" s="132">
        <f t="shared" ref="TE200:TE263" si="347">OR200</f>
        <v>0</v>
      </c>
      <c r="TF200" s="132">
        <f t="shared" ref="TF200:TF263" si="348">OX200</f>
        <v>0</v>
      </c>
      <c r="TG200" s="132">
        <f t="shared" ref="TG200:TG263" si="349">PD200</f>
        <v>9000</v>
      </c>
      <c r="TH200" s="132">
        <f t="shared" ref="TH200:TH263" si="350">PJ200</f>
        <v>14000</v>
      </c>
      <c r="TI200" s="1"/>
      <c r="TJ200" s="131">
        <f t="shared" ref="TJ200:TJ263" si="351">PQ200</f>
        <v>390000</v>
      </c>
      <c r="TK200" s="131">
        <f t="shared" ref="TK200:TK263" si="352">TL200+TQ200</f>
        <v>390000</v>
      </c>
      <c r="TL200" s="131">
        <f t="shared" ref="TL200:TL263" si="353">TM200+TN200+TO200+TP200</f>
        <v>390000</v>
      </c>
      <c r="TM200" s="132">
        <f t="shared" ref="TM200:TM263" si="354">KO200</f>
        <v>165000</v>
      </c>
      <c r="TN200" s="132">
        <f t="shared" ref="TN200:TN263" si="355">KU200</f>
        <v>225000</v>
      </c>
      <c r="TO200" s="132">
        <f t="shared" ref="TO200:TO263" si="356">LA200</f>
        <v>0</v>
      </c>
      <c r="TP200" s="132">
        <f t="shared" ref="TP200:TP263" si="357">LG200</f>
        <v>0</v>
      </c>
      <c r="TQ200" s="131">
        <f t="shared" ref="TQ200:TQ263" si="358">TR200+TU200+TV200+TW200+TX200+TY200+UJ200+UK200</f>
        <v>0</v>
      </c>
      <c r="TR200" s="131">
        <f t="shared" ref="TR200:TR263" si="359">TS200+TT200</f>
        <v>0</v>
      </c>
      <c r="TS200" s="132">
        <f t="shared" ref="TS200:TS263" si="360">LM200</f>
        <v>0</v>
      </c>
      <c r="TT200" s="132">
        <f t="shared" ref="TT200:TT263" si="361">LS200</f>
        <v>0</v>
      </c>
      <c r="TU200" s="132">
        <f t="shared" ref="TU200:TU263" si="362">LY200</f>
        <v>0</v>
      </c>
      <c r="TV200" s="132">
        <f t="shared" ref="TV200:TV263" si="363">ME200</f>
        <v>0</v>
      </c>
      <c r="TW200" s="132">
        <f t="shared" ref="TW200:TW263" si="364">MK200</f>
        <v>0</v>
      </c>
      <c r="TX200" s="132">
        <f t="shared" ref="TX200:TX263" si="365">MQ200</f>
        <v>0</v>
      </c>
      <c r="TY200" s="131">
        <f t="shared" ref="TY200:TY263" si="366">SUM(TZ200:UI200)</f>
        <v>0</v>
      </c>
      <c r="TZ200" s="132">
        <f t="shared" ref="TZ200:TZ263" si="367">MW200</f>
        <v>0</v>
      </c>
      <c r="UA200" s="132">
        <f t="shared" ref="UA200:UA263" si="368">NC200</f>
        <v>0</v>
      </c>
      <c r="UB200" s="132">
        <f t="shared" ref="UB200:UB263" si="369">NI200</f>
        <v>0</v>
      </c>
      <c r="UC200" s="132">
        <f t="shared" ref="UC200:UC263" si="370">NO200</f>
        <v>0</v>
      </c>
      <c r="UD200" s="132">
        <f t="shared" ref="UD200:UD263" si="371">NU200</f>
        <v>0</v>
      </c>
      <c r="UE200" s="132">
        <f t="shared" ref="UE200:UE263" si="372">OA200</f>
        <v>0</v>
      </c>
      <c r="UF200" s="132">
        <f t="shared" ref="UF200:UF263" si="373">OG200</f>
        <v>0</v>
      </c>
      <c r="UG200" s="132">
        <f t="shared" ref="UG200:UG263" si="374">OM200</f>
        <v>0</v>
      </c>
      <c r="UH200" s="132">
        <f t="shared" ref="UH200:UH263" si="375">OS200</f>
        <v>0</v>
      </c>
      <c r="UI200" s="132">
        <f t="shared" ref="UI200:UI263" si="376">OY200</f>
        <v>0</v>
      </c>
      <c r="UJ200" s="132">
        <f t="shared" ref="UJ200:UJ263" si="377">PE200</f>
        <v>0</v>
      </c>
      <c r="UK200" s="132">
        <f t="shared" ref="UK200:UK263" si="378">PK200</f>
        <v>0</v>
      </c>
      <c r="UL200" s="132">
        <f t="shared" si="311"/>
        <v>390000</v>
      </c>
      <c r="UM200" s="131">
        <f t="shared" ref="UM200:UM263" si="379">PR200</f>
        <v>390000</v>
      </c>
      <c r="UN200" s="131">
        <f t="shared" ref="UN200:UN263" si="380">UO200+UT200</f>
        <v>390000</v>
      </c>
      <c r="UO200" s="131">
        <f t="shared" ref="UO200:UO263" si="381">UP200+UQ200+UR200+US200</f>
        <v>390000</v>
      </c>
      <c r="UP200" s="132">
        <f t="shared" ref="UP200:UP263" si="382">KP200</f>
        <v>165000</v>
      </c>
      <c r="UQ200" s="132">
        <f t="shared" ref="UQ200:UQ263" si="383">KV200</f>
        <v>225000</v>
      </c>
      <c r="UR200" s="132">
        <f t="shared" ref="UR200:UR263" si="384">LB200</f>
        <v>0</v>
      </c>
      <c r="US200" s="132">
        <f t="shared" ref="US200:US263" si="385">LH200</f>
        <v>0</v>
      </c>
      <c r="UT200" s="131">
        <f t="shared" ref="UT200:UT263" si="386">UU200+UX200+UY200+UZ200+VA200+VB200+VM200+VN200</f>
        <v>0</v>
      </c>
      <c r="UU200" s="131">
        <f t="shared" ref="UU200:UU263" si="387">UV200+UW200</f>
        <v>0</v>
      </c>
      <c r="UV200" s="132">
        <f t="shared" ref="UV200:UV263" si="388">LN200</f>
        <v>0</v>
      </c>
      <c r="UW200" s="132">
        <f t="shared" ref="UW200:UW263" si="389">LT200</f>
        <v>0</v>
      </c>
      <c r="UX200" s="132">
        <f t="shared" ref="UX200:UX263" si="390">LZ200</f>
        <v>0</v>
      </c>
      <c r="UY200" s="132">
        <f t="shared" ref="UY200:UY263" si="391">MF200</f>
        <v>0</v>
      </c>
      <c r="UZ200" s="132">
        <f t="shared" ref="UZ200:UZ263" si="392">ML200</f>
        <v>0</v>
      </c>
      <c r="VA200" s="132">
        <f t="shared" ref="VA200:VA263" si="393">MR200</f>
        <v>0</v>
      </c>
      <c r="VB200" s="131">
        <f t="shared" ref="VB200:VB263" si="394">SUM(VC200:VL200)</f>
        <v>0</v>
      </c>
      <c r="VC200" s="132">
        <f t="shared" ref="VC200:VC263" si="395">MX200</f>
        <v>0</v>
      </c>
      <c r="VD200" s="132">
        <f t="shared" ref="VD200:VD263" si="396">ND200</f>
        <v>0</v>
      </c>
      <c r="VE200" s="132">
        <f t="shared" ref="VE200:VE263" si="397">NJ200</f>
        <v>0</v>
      </c>
      <c r="VF200" s="132">
        <f t="shared" ref="VF200:VF263" si="398">NP200</f>
        <v>0</v>
      </c>
      <c r="VG200" s="132">
        <f t="shared" ref="VG200:VG263" si="399">NV200</f>
        <v>0</v>
      </c>
      <c r="VH200" s="132">
        <f t="shared" ref="VH200:VH263" si="400">OB200</f>
        <v>0</v>
      </c>
      <c r="VI200" s="132">
        <f t="shared" ref="VI200:VI263" si="401">OH200</f>
        <v>0</v>
      </c>
      <c r="VJ200" s="132">
        <f t="shared" ref="VJ200:VJ263" si="402">ON200</f>
        <v>0</v>
      </c>
      <c r="VK200" s="132">
        <f t="shared" ref="VK200:VK263" si="403">OT200</f>
        <v>0</v>
      </c>
      <c r="VL200" s="132">
        <f t="shared" ref="VL200:VL263" si="404">OZ200</f>
        <v>0</v>
      </c>
      <c r="VM200" s="132">
        <f t="shared" ref="VM200:VM263" si="405">PF200</f>
        <v>0</v>
      </c>
      <c r="VN200" s="132">
        <f t="shared" ref="VN200:VN263" si="406">PL200</f>
        <v>0</v>
      </c>
      <c r="VP200" s="845" t="str">
        <f>IFERROR(HLOOKUP(F200,'Hodnocení '!$C$1:$JH$5,2,FALSE),0)</f>
        <v>Noclehárna</v>
      </c>
      <c r="VQ200" s="838"/>
      <c r="VR200" s="845" t="str">
        <f t="shared" si="312"/>
        <v>Příspěvková organizace zřízená územním samosprávným celkem</v>
      </c>
      <c r="VS200" s="845" t="str">
        <f>IFERROR(HLOOKUP(F200,'Hodnocení '!$C$1:$JH$5,5,FALSE),0)</f>
        <v>Obce</v>
      </c>
      <c r="VT200" s="838" t="str">
        <f t="shared" si="313"/>
        <v>Příspěvková organizace zřízená územním samosprávným celkem</v>
      </c>
      <c r="VU200" s="838">
        <f t="shared" si="314"/>
        <v>0</v>
      </c>
      <c r="VV200" s="838">
        <f t="shared" si="315"/>
        <v>12000</v>
      </c>
      <c r="VW200" s="838">
        <f t="shared" si="316"/>
        <v>0</v>
      </c>
      <c r="VX200" s="838"/>
      <c r="VY200" s="838">
        <f t="shared" si="317"/>
        <v>0</v>
      </c>
      <c r="VZ200" s="838">
        <f t="shared" si="318"/>
        <v>390000</v>
      </c>
      <c r="WA200" s="846">
        <f>IFERROR(HLOOKUP($F200,'Hodnocení '!$C$1:$JH$9,9,FALSE),0)</f>
        <v>390000</v>
      </c>
      <c r="WB200" s="846">
        <f>IF(IFERROR(HLOOKUP($F200,'Hodnocení '!$C$1:$JH$13,13,FALSE),0)&gt;WA200,WA200,IFERROR(HLOOKUP($F200,'Hodnocení '!$C$1:$JH$13,13,FALSE),0))</f>
        <v>390000</v>
      </c>
      <c r="WC200" s="846">
        <f>IFERROR(HLOOKUP($F200,'Hodnocení '!$C$1:$JH$155,155,FALSE),0)</f>
        <v>343250</v>
      </c>
      <c r="WD200" s="845"/>
      <c r="WE200" s="845"/>
      <c r="WF200" s="845" t="str">
        <f t="shared" ref="WF200:WF263" si="407">IF(VP200=0,"NE","ANO")</f>
        <v>ANO</v>
      </c>
      <c r="WG200" s="849" t="str">
        <f t="shared" si="320"/>
        <v>Podpora služby je vyjádřena zařazením do sítě sociálních služeb v KHK a řešením financování služby</v>
      </c>
      <c r="WH200"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00" s="849" t="str">
        <f t="shared" si="320"/>
        <v>Návrh dotace je výsledkem projednání s ostatními zadavateli v rámci sítě služeb KHK</v>
      </c>
      <c r="WJ200" s="849" t="str">
        <f t="shared" si="320"/>
        <v>Bez komentáře</v>
      </c>
      <c r="WK200" s="31" t="str">
        <f t="shared" ref="WK200:WK263" si="408">IF(VT200="Příspěvková organizace zřízená územním samosprávným celkem","Výše příspěvku ze strany zřizovatele bude řešen v návaznosti na řešení podílů jednotlivých zadavatelů",0)</f>
        <v>Výše příspěvku ze strany zřizovatele bude řešen v návaznosti na řešení podílů jednotlivých zadavatelů</v>
      </c>
      <c r="WL200" s="850">
        <f t="shared" ref="WL200:WL263" si="409">IF(VU200="PO KHK",CONCATENATE("Případná úprava příspěvku zřizovatele bude řešena v návaznosti na vývoj služby"),0)</f>
        <v>0</v>
      </c>
      <c r="WM200" s="849" t="str">
        <f t="shared" ref="WM200:WM263" si="410">IF($WF200="NE","nehodnoceno",IF($VV200=0,0,WM$2))</f>
        <v>V rámci sítě KHK se dlouhodobě řeší otázka navyšování úhrad a průběžně se monitoruje s vazbou na vykrytí vyrovnávací platby</v>
      </c>
      <c r="WN200" s="849">
        <f t="shared" ref="WN200:WN263" si="411">IF($WF200="NE","nehodnoceno",IF(VW200=0,0,WN$2))</f>
        <v>0</v>
      </c>
      <c r="WO200" s="849" t="str">
        <f t="shared" si="321"/>
        <v>bez komentáře</v>
      </c>
      <c r="WP200" s="849" t="str">
        <f t="shared" si="321"/>
        <v>bez komentáře</v>
      </c>
      <c r="WQ200" s="849" t="str">
        <f t="shared" si="321"/>
        <v>Konečná výše dotace z rozpočtu KHK bude řešena v návaznosti na řešení podílů jednotlivých zadavatelů.</v>
      </c>
      <c r="WR200" s="849" t="str">
        <f t="shared" si="321"/>
        <v>Konečná výše podpory ze stran obcí bude řešena v součinnosti s jednotlivými zadavateli v průběhu roku.</v>
      </c>
      <c r="WS200" s="849" t="str">
        <f t="shared" si="321"/>
        <v>bez komentáře</v>
      </c>
      <c r="WT200" s="849" t="str">
        <f t="shared" si="321"/>
        <v>bez komentáře</v>
      </c>
      <c r="WU200" s="845"/>
    </row>
    <row r="201" spans="1:619" s="128" customFormat="1" x14ac:dyDescent="0.25">
      <c r="A201" s="128" t="str">
        <f>VLOOKUP(F201,'Výpočet VP 2020'!$D$324:$I$588,6,FALSE)</f>
        <v>Je v síti</v>
      </c>
      <c r="B201" s="128" t="s">
        <v>857</v>
      </c>
      <c r="C201" s="128">
        <v>75065649</v>
      </c>
      <c r="D201" s="128" t="s">
        <v>858</v>
      </c>
      <c r="E201" s="128" t="s">
        <v>259</v>
      </c>
      <c r="F201" s="128">
        <v>2514714</v>
      </c>
      <c r="G201" s="128" t="s">
        <v>705</v>
      </c>
      <c r="H201" s="128" t="s">
        <v>230</v>
      </c>
      <c r="I201" s="128" t="s">
        <v>860</v>
      </c>
      <c r="J201" s="129">
        <v>40634</v>
      </c>
      <c r="L201" s="128" t="s">
        <v>220</v>
      </c>
      <c r="M201" s="128" t="s">
        <v>815</v>
      </c>
      <c r="N201" s="128">
        <v>11</v>
      </c>
      <c r="P201" s="128">
        <v>27</v>
      </c>
      <c r="Q201" s="128">
        <v>20</v>
      </c>
      <c r="R201" s="128">
        <v>25</v>
      </c>
      <c r="BL201" s="128" t="s">
        <v>786</v>
      </c>
      <c r="BM201" s="128" t="s">
        <v>702</v>
      </c>
      <c r="BN201" s="128" t="s">
        <v>424</v>
      </c>
      <c r="EK201" s="128">
        <v>2</v>
      </c>
      <c r="EL201" s="128">
        <v>1</v>
      </c>
      <c r="EM201" s="128">
        <v>0.84</v>
      </c>
      <c r="EN201" s="128">
        <v>563000</v>
      </c>
      <c r="EO201" s="128">
        <v>560000</v>
      </c>
      <c r="EP201" s="128">
        <v>1</v>
      </c>
      <c r="EQ201" s="128">
        <v>0.59</v>
      </c>
      <c r="ER201" s="128">
        <v>0.59</v>
      </c>
      <c r="ES201" s="128">
        <v>286000</v>
      </c>
      <c r="ET201" s="128">
        <v>280000</v>
      </c>
      <c r="FO201" s="128">
        <v>8</v>
      </c>
      <c r="FP201" s="128">
        <v>0.82</v>
      </c>
      <c r="FQ201" s="128">
        <v>0.82</v>
      </c>
      <c r="FR201" s="128">
        <v>628000</v>
      </c>
      <c r="FS201" s="128">
        <v>0</v>
      </c>
      <c r="FZ201" s="128">
        <v>5</v>
      </c>
      <c r="GA201" s="128">
        <v>1</v>
      </c>
      <c r="GB201" s="128">
        <v>60</v>
      </c>
      <c r="GC201" s="128">
        <v>1</v>
      </c>
      <c r="GD201" s="128">
        <v>464000</v>
      </c>
      <c r="GE201" s="128">
        <v>360000</v>
      </c>
      <c r="IH201" s="128">
        <v>1</v>
      </c>
      <c r="II201" s="128">
        <v>0.05</v>
      </c>
      <c r="IJ201" s="128">
        <v>12</v>
      </c>
      <c r="IK201" s="128">
        <v>0.05</v>
      </c>
      <c r="IL201" s="128">
        <v>12000</v>
      </c>
      <c r="IM201" s="128">
        <v>0</v>
      </c>
      <c r="KG201" s="128">
        <v>0</v>
      </c>
      <c r="KI201" s="128">
        <v>1.59</v>
      </c>
      <c r="KJ201" s="128">
        <v>1</v>
      </c>
      <c r="KK201" s="128">
        <v>0</v>
      </c>
      <c r="KL201" s="128">
        <v>0</v>
      </c>
      <c r="KM201" s="128">
        <v>2.59</v>
      </c>
      <c r="KN201" s="128">
        <v>1477000</v>
      </c>
      <c r="KO201" s="128">
        <v>840000</v>
      </c>
      <c r="KP201" s="128">
        <v>840000</v>
      </c>
      <c r="KT201" s="128">
        <v>476000</v>
      </c>
      <c r="KU201" s="128">
        <v>360000</v>
      </c>
      <c r="KV201" s="128">
        <v>360000</v>
      </c>
      <c r="KZ201" s="128">
        <v>0</v>
      </c>
      <c r="LA201" s="128">
        <v>0</v>
      </c>
      <c r="LB201" s="128">
        <v>0</v>
      </c>
      <c r="LF201" s="128">
        <v>0</v>
      </c>
      <c r="LG201" s="128">
        <v>0</v>
      </c>
      <c r="LH201" s="128">
        <v>0</v>
      </c>
      <c r="LL201" s="128">
        <v>0</v>
      </c>
      <c r="LM201" s="128">
        <v>0</v>
      </c>
      <c r="LN201" s="128">
        <v>0</v>
      </c>
      <c r="LR201" s="128">
        <v>50000</v>
      </c>
      <c r="LS201" s="128">
        <v>0</v>
      </c>
      <c r="LT201" s="128">
        <v>0</v>
      </c>
      <c r="LX201" s="128">
        <v>0</v>
      </c>
      <c r="LY201" s="128">
        <v>0</v>
      </c>
      <c r="LZ201" s="128">
        <v>0</v>
      </c>
      <c r="MD201" s="128">
        <v>5000</v>
      </c>
      <c r="ME201" s="128">
        <v>0</v>
      </c>
      <c r="MF201" s="128">
        <v>0</v>
      </c>
      <c r="MJ201" s="128">
        <v>8000</v>
      </c>
      <c r="MK201" s="128">
        <v>0</v>
      </c>
      <c r="ML201" s="128">
        <v>0</v>
      </c>
      <c r="MP201" s="128">
        <v>34000</v>
      </c>
      <c r="MQ201" s="128">
        <v>0</v>
      </c>
      <c r="MR201" s="128">
        <v>0</v>
      </c>
      <c r="MV201" s="128">
        <v>350000</v>
      </c>
      <c r="MW201" s="128">
        <v>0</v>
      </c>
      <c r="MX201" s="128">
        <v>0</v>
      </c>
      <c r="NB201" s="128">
        <v>60000</v>
      </c>
      <c r="NC201" s="128">
        <v>0</v>
      </c>
      <c r="ND201" s="128">
        <v>0</v>
      </c>
      <c r="NH201" s="128">
        <v>0</v>
      </c>
      <c r="NI201" s="128">
        <v>0</v>
      </c>
      <c r="NJ201" s="128">
        <v>0</v>
      </c>
      <c r="NN201" s="128">
        <v>4000</v>
      </c>
      <c r="NO201" s="128">
        <v>0</v>
      </c>
      <c r="NP201" s="128">
        <v>0</v>
      </c>
      <c r="NT201" s="128">
        <v>19000</v>
      </c>
      <c r="NU201" s="128">
        <v>0</v>
      </c>
      <c r="NV201" s="128">
        <v>0</v>
      </c>
      <c r="NZ201" s="128">
        <v>20000</v>
      </c>
      <c r="OA201" s="128">
        <v>0</v>
      </c>
      <c r="OB201" s="128">
        <v>0</v>
      </c>
      <c r="OF201" s="128">
        <v>4000</v>
      </c>
      <c r="OG201" s="128">
        <v>0</v>
      </c>
      <c r="OH201" s="128">
        <v>0</v>
      </c>
      <c r="OL201" s="128">
        <v>0</v>
      </c>
      <c r="OM201" s="128">
        <v>0</v>
      </c>
      <c r="ON201" s="128">
        <v>0</v>
      </c>
      <c r="OR201" s="128">
        <v>0</v>
      </c>
      <c r="OS201" s="128">
        <v>0</v>
      </c>
      <c r="OT201" s="128">
        <v>0</v>
      </c>
      <c r="OX201" s="128">
        <v>0</v>
      </c>
      <c r="OY201" s="128">
        <v>0</v>
      </c>
      <c r="OZ201" s="128">
        <v>0</v>
      </c>
      <c r="PD201" s="128">
        <v>25000</v>
      </c>
      <c r="PE201" s="128">
        <v>0</v>
      </c>
      <c r="PF201" s="128">
        <v>0</v>
      </c>
      <c r="PJ201" s="128">
        <v>18000</v>
      </c>
      <c r="PK201" s="128">
        <v>0</v>
      </c>
      <c r="PL201" s="128">
        <v>0</v>
      </c>
      <c r="PP201" s="128">
        <v>2550000</v>
      </c>
      <c r="PQ201" s="128">
        <v>1200000</v>
      </c>
      <c r="PR201" s="128">
        <v>1200000</v>
      </c>
      <c r="PS201" s="128">
        <v>100</v>
      </c>
      <c r="PT201" s="128">
        <v>100</v>
      </c>
      <c r="PX201" s="128">
        <v>92460</v>
      </c>
      <c r="PY201" s="128">
        <v>370380</v>
      </c>
      <c r="PZ201" s="128">
        <v>1200000</v>
      </c>
      <c r="QA201" s="128">
        <v>0</v>
      </c>
      <c r="QB201" s="128">
        <v>0</v>
      </c>
      <c r="QC201" s="128">
        <v>0</v>
      </c>
      <c r="QD201" s="128">
        <v>1162000</v>
      </c>
      <c r="QE201" s="128">
        <v>1162000</v>
      </c>
      <c r="QF201" s="128">
        <v>1000000</v>
      </c>
      <c r="QG201" s="128">
        <v>0</v>
      </c>
      <c r="QH201" s="128">
        <v>0</v>
      </c>
      <c r="QI201" s="128">
        <v>0</v>
      </c>
      <c r="QJ201" s="128">
        <v>369340</v>
      </c>
      <c r="QK201" s="128">
        <v>335000</v>
      </c>
      <c r="QL201" s="128">
        <v>350000</v>
      </c>
      <c r="QN201" s="128">
        <v>0</v>
      </c>
      <c r="QO201" s="128">
        <v>0</v>
      </c>
      <c r="QP201" s="128">
        <v>0</v>
      </c>
      <c r="RA201" s="128">
        <v>804148</v>
      </c>
      <c r="RB201" s="128">
        <v>402081</v>
      </c>
      <c r="RC201" s="128">
        <v>0</v>
      </c>
      <c r="RH201" s="128">
        <f t="shared" ref="RH201:RH264" si="412">PP201-QL201-QP201</f>
        <v>2200000</v>
      </c>
      <c r="RI201" s="128">
        <v>0</v>
      </c>
      <c r="RM201" s="128" t="s">
        <v>220</v>
      </c>
      <c r="RU201" s="130"/>
      <c r="RV201" s="130"/>
      <c r="RW201" s="130"/>
      <c r="RX201" s="130"/>
      <c r="SF201" s="128">
        <f t="shared" si="322"/>
        <v>2514714</v>
      </c>
      <c r="SG201" s="131">
        <f t="shared" si="323"/>
        <v>2550000</v>
      </c>
      <c r="SH201" s="131">
        <f t="shared" si="324"/>
        <v>2550000</v>
      </c>
      <c r="SI201" s="131">
        <f t="shared" si="325"/>
        <v>1953000</v>
      </c>
      <c r="SJ201" s="132">
        <f t="shared" si="326"/>
        <v>1477000</v>
      </c>
      <c r="SK201" s="132">
        <f t="shared" si="327"/>
        <v>476000</v>
      </c>
      <c r="SL201" s="132">
        <f t="shared" si="328"/>
        <v>0</v>
      </c>
      <c r="SM201" s="132">
        <f t="shared" si="329"/>
        <v>0</v>
      </c>
      <c r="SN201" s="131">
        <f t="shared" si="330"/>
        <v>597000</v>
      </c>
      <c r="SO201" s="131">
        <f t="shared" si="331"/>
        <v>50000</v>
      </c>
      <c r="SP201" s="132">
        <f t="shared" si="332"/>
        <v>0</v>
      </c>
      <c r="SQ201" s="132">
        <f t="shared" si="333"/>
        <v>50000</v>
      </c>
      <c r="SR201" s="132">
        <f t="shared" si="334"/>
        <v>0</v>
      </c>
      <c r="SS201" s="132">
        <f t="shared" si="335"/>
        <v>5000</v>
      </c>
      <c r="ST201" s="132">
        <f t="shared" si="336"/>
        <v>8000</v>
      </c>
      <c r="SU201" s="132">
        <f t="shared" si="337"/>
        <v>34000</v>
      </c>
      <c r="SV201" s="131">
        <f t="shared" si="338"/>
        <v>457000</v>
      </c>
      <c r="SW201" s="132">
        <f t="shared" si="339"/>
        <v>350000</v>
      </c>
      <c r="SX201" s="132">
        <f t="shared" si="340"/>
        <v>60000</v>
      </c>
      <c r="SY201" s="132">
        <f t="shared" si="341"/>
        <v>0</v>
      </c>
      <c r="SZ201" s="132">
        <f t="shared" si="342"/>
        <v>4000</v>
      </c>
      <c r="TA201" s="132">
        <f t="shared" si="343"/>
        <v>19000</v>
      </c>
      <c r="TB201" s="132">
        <f t="shared" si="344"/>
        <v>20000</v>
      </c>
      <c r="TC201" s="132">
        <f t="shared" si="345"/>
        <v>4000</v>
      </c>
      <c r="TD201" s="132">
        <f t="shared" si="346"/>
        <v>0</v>
      </c>
      <c r="TE201" s="132">
        <f t="shared" si="347"/>
        <v>0</v>
      </c>
      <c r="TF201" s="132">
        <f t="shared" si="348"/>
        <v>0</v>
      </c>
      <c r="TG201" s="132">
        <f t="shared" si="349"/>
        <v>25000</v>
      </c>
      <c r="TH201" s="132">
        <f t="shared" si="350"/>
        <v>18000</v>
      </c>
      <c r="TI201" s="1"/>
      <c r="TJ201" s="131">
        <f t="shared" si="351"/>
        <v>1200000</v>
      </c>
      <c r="TK201" s="131">
        <f t="shared" si="352"/>
        <v>1200000</v>
      </c>
      <c r="TL201" s="131">
        <f t="shared" si="353"/>
        <v>1200000</v>
      </c>
      <c r="TM201" s="132">
        <f t="shared" si="354"/>
        <v>840000</v>
      </c>
      <c r="TN201" s="132">
        <f t="shared" si="355"/>
        <v>360000</v>
      </c>
      <c r="TO201" s="132">
        <f t="shared" si="356"/>
        <v>0</v>
      </c>
      <c r="TP201" s="132">
        <f t="shared" si="357"/>
        <v>0</v>
      </c>
      <c r="TQ201" s="131">
        <f t="shared" si="358"/>
        <v>0</v>
      </c>
      <c r="TR201" s="131">
        <f t="shared" si="359"/>
        <v>0</v>
      </c>
      <c r="TS201" s="132">
        <f t="shared" si="360"/>
        <v>0</v>
      </c>
      <c r="TT201" s="132">
        <f t="shared" si="361"/>
        <v>0</v>
      </c>
      <c r="TU201" s="132">
        <f t="shared" si="362"/>
        <v>0</v>
      </c>
      <c r="TV201" s="132">
        <f t="shared" si="363"/>
        <v>0</v>
      </c>
      <c r="TW201" s="132">
        <f t="shared" si="364"/>
        <v>0</v>
      </c>
      <c r="TX201" s="132">
        <f t="shared" si="365"/>
        <v>0</v>
      </c>
      <c r="TY201" s="131">
        <f t="shared" si="366"/>
        <v>0</v>
      </c>
      <c r="TZ201" s="132">
        <f t="shared" si="367"/>
        <v>0</v>
      </c>
      <c r="UA201" s="132">
        <f t="shared" si="368"/>
        <v>0</v>
      </c>
      <c r="UB201" s="132">
        <f t="shared" si="369"/>
        <v>0</v>
      </c>
      <c r="UC201" s="132">
        <f t="shared" si="370"/>
        <v>0</v>
      </c>
      <c r="UD201" s="132">
        <f t="shared" si="371"/>
        <v>0</v>
      </c>
      <c r="UE201" s="132">
        <f t="shared" si="372"/>
        <v>0</v>
      </c>
      <c r="UF201" s="132">
        <f t="shared" si="373"/>
        <v>0</v>
      </c>
      <c r="UG201" s="132">
        <f t="shared" si="374"/>
        <v>0</v>
      </c>
      <c r="UH201" s="132">
        <f t="shared" si="375"/>
        <v>0</v>
      </c>
      <c r="UI201" s="132">
        <f t="shared" si="376"/>
        <v>0</v>
      </c>
      <c r="UJ201" s="132">
        <f t="shared" si="377"/>
        <v>0</v>
      </c>
      <c r="UK201" s="132">
        <f t="shared" si="378"/>
        <v>0</v>
      </c>
      <c r="UL201" s="132">
        <f t="shared" ref="UL201:UL263" si="413">PR201</f>
        <v>1200000</v>
      </c>
      <c r="UM201" s="131">
        <f t="shared" si="379"/>
        <v>1200000</v>
      </c>
      <c r="UN201" s="131">
        <f t="shared" si="380"/>
        <v>1200000</v>
      </c>
      <c r="UO201" s="131">
        <f t="shared" si="381"/>
        <v>1200000</v>
      </c>
      <c r="UP201" s="132">
        <f t="shared" si="382"/>
        <v>840000</v>
      </c>
      <c r="UQ201" s="132">
        <f t="shared" si="383"/>
        <v>360000</v>
      </c>
      <c r="UR201" s="132">
        <f t="shared" si="384"/>
        <v>0</v>
      </c>
      <c r="US201" s="132">
        <f t="shared" si="385"/>
        <v>0</v>
      </c>
      <c r="UT201" s="131">
        <f t="shared" si="386"/>
        <v>0</v>
      </c>
      <c r="UU201" s="131">
        <f t="shared" si="387"/>
        <v>0</v>
      </c>
      <c r="UV201" s="132">
        <f t="shared" si="388"/>
        <v>0</v>
      </c>
      <c r="UW201" s="132">
        <f t="shared" si="389"/>
        <v>0</v>
      </c>
      <c r="UX201" s="132">
        <f t="shared" si="390"/>
        <v>0</v>
      </c>
      <c r="UY201" s="132">
        <f t="shared" si="391"/>
        <v>0</v>
      </c>
      <c r="UZ201" s="132">
        <f t="shared" si="392"/>
        <v>0</v>
      </c>
      <c r="VA201" s="132">
        <f t="shared" si="393"/>
        <v>0</v>
      </c>
      <c r="VB201" s="131">
        <f t="shared" si="394"/>
        <v>0</v>
      </c>
      <c r="VC201" s="132">
        <f t="shared" si="395"/>
        <v>0</v>
      </c>
      <c r="VD201" s="132">
        <f t="shared" si="396"/>
        <v>0</v>
      </c>
      <c r="VE201" s="132">
        <f t="shared" si="397"/>
        <v>0</v>
      </c>
      <c r="VF201" s="132">
        <f t="shared" si="398"/>
        <v>0</v>
      </c>
      <c r="VG201" s="132">
        <f t="shared" si="399"/>
        <v>0</v>
      </c>
      <c r="VH201" s="132">
        <f t="shared" si="400"/>
        <v>0</v>
      </c>
      <c r="VI201" s="132">
        <f t="shared" si="401"/>
        <v>0</v>
      </c>
      <c r="VJ201" s="132">
        <f t="shared" si="402"/>
        <v>0</v>
      </c>
      <c r="VK201" s="132">
        <f t="shared" si="403"/>
        <v>0</v>
      </c>
      <c r="VL201" s="132">
        <f t="shared" si="404"/>
        <v>0</v>
      </c>
      <c r="VM201" s="132">
        <f t="shared" si="405"/>
        <v>0</v>
      </c>
      <c r="VN201" s="132">
        <f t="shared" si="406"/>
        <v>0</v>
      </c>
      <c r="VP201" s="845" t="str">
        <f>IFERROR(HLOOKUP(F201,'Hodnocení '!$C$1:$JH$5,2,FALSE),0)</f>
        <v>Dům Žofie</v>
      </c>
      <c r="VQ201" s="838"/>
      <c r="VR201" s="845" t="str">
        <f t="shared" ref="VR201:VR264" si="414">E201</f>
        <v>Příspěvková organizace zřízená územním samosprávným celkem</v>
      </c>
      <c r="VS201" s="845" t="str">
        <f>IFERROR(HLOOKUP(F201,'Hodnocení '!$C$1:$JH$5,5,FALSE),0)</f>
        <v>Obce</v>
      </c>
      <c r="VT201" s="838" t="str">
        <f t="shared" ref="VT201:VT264" si="415">IF(VS201="obce",VR201,0)</f>
        <v>Příspěvková organizace zřízená územním samosprávným celkem</v>
      </c>
      <c r="VU201" s="838">
        <f t="shared" ref="VU201:VU264" si="416">IF(VS201="PO KHK",VS201,0)</f>
        <v>0</v>
      </c>
      <c r="VV201" s="838">
        <f t="shared" ref="VV201:VV264" si="417">QL201</f>
        <v>350000</v>
      </c>
      <c r="VW201" s="838">
        <f t="shared" ref="VW201:VW264" si="418">QP201</f>
        <v>0</v>
      </c>
      <c r="VX201" s="838"/>
      <c r="VY201" s="838">
        <f t="shared" si="317"/>
        <v>0</v>
      </c>
      <c r="VZ201" s="838">
        <f t="shared" si="318"/>
        <v>1200000</v>
      </c>
      <c r="WA201" s="846">
        <f>IFERROR(HLOOKUP($F201,'Hodnocení '!$C$1:$JH$9,9,FALSE),0)</f>
        <v>1200000</v>
      </c>
      <c r="WB201" s="846">
        <f>IF(IFERROR(HLOOKUP($F201,'Hodnocení '!$C$1:$JH$13,13,FALSE),0)&gt;WA201,WA201,IFERROR(HLOOKUP($F201,'Hodnocení '!$C$1:$JH$13,13,FALSE),0))</f>
        <v>1200000</v>
      </c>
      <c r="WC201" s="846">
        <f>IFERROR(HLOOKUP($F201,'Hodnocení '!$C$1:$JH$155,155,FALSE),0)</f>
        <v>0</v>
      </c>
      <c r="WD201" s="845"/>
      <c r="WE201" s="845"/>
      <c r="WF201" s="845" t="str">
        <f t="shared" si="407"/>
        <v>ANO</v>
      </c>
      <c r="WG201" s="849" t="str">
        <f t="shared" si="320"/>
        <v>Podpora služby je vyjádřena zařazením do sítě sociálních služeb v KHK a řešením financování služby</v>
      </c>
      <c r="WH201"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01" s="849" t="str">
        <f t="shared" si="320"/>
        <v>Návrh dotace je výsledkem projednání s ostatními zadavateli v rámci sítě služeb KHK</v>
      </c>
      <c r="WJ201" s="849" t="str">
        <f t="shared" si="320"/>
        <v>Bez komentáře</v>
      </c>
      <c r="WK201" s="31" t="str">
        <f t="shared" si="408"/>
        <v>Výše příspěvku ze strany zřizovatele bude řešen v návaznosti na řešení podílů jednotlivých zadavatelů</v>
      </c>
      <c r="WL201" s="850">
        <f t="shared" si="409"/>
        <v>0</v>
      </c>
      <c r="WM201" s="849" t="str">
        <f t="shared" si="410"/>
        <v>V rámci sítě KHK se dlouhodobě řeší otázka navyšování úhrad a průběžně se monitoruje s vazbou na vykrytí vyrovnávací platby</v>
      </c>
      <c r="WN201" s="849">
        <f t="shared" si="411"/>
        <v>0</v>
      </c>
      <c r="WO201" s="849" t="str">
        <f t="shared" si="321"/>
        <v>bez komentáře</v>
      </c>
      <c r="WP201" s="849" t="str">
        <f t="shared" si="321"/>
        <v>bez komentáře</v>
      </c>
      <c r="WQ201" s="849" t="str">
        <f t="shared" si="321"/>
        <v>Konečná výše dotace z rozpočtu KHK bude řešena v návaznosti na řešení podílů jednotlivých zadavatelů.</v>
      </c>
      <c r="WR201" s="849" t="str">
        <f t="shared" si="321"/>
        <v>Konečná výše podpory ze stran obcí bude řešena v součinnosti s jednotlivými zadavateli v průběhu roku.</v>
      </c>
      <c r="WS201" s="849" t="str">
        <f t="shared" si="321"/>
        <v>bez komentáře</v>
      </c>
      <c r="WT201" s="849" t="str">
        <f t="shared" si="321"/>
        <v>bez komentáře</v>
      </c>
      <c r="WU201" s="845"/>
    </row>
    <row r="202" spans="1:619" s="128" customFormat="1" x14ac:dyDescent="0.25">
      <c r="A202" s="128" t="str">
        <f>VLOOKUP(F202,'Výpočet VP 2020'!$D$324:$I$588,6,FALSE)</f>
        <v>Je v síti</v>
      </c>
      <c r="B202" s="128" t="s">
        <v>857</v>
      </c>
      <c r="C202" s="128">
        <v>75065649</v>
      </c>
      <c r="D202" s="128" t="s">
        <v>858</v>
      </c>
      <c r="E202" s="128" t="s">
        <v>259</v>
      </c>
      <c r="F202" s="128">
        <v>9924639</v>
      </c>
      <c r="G202" s="128" t="s">
        <v>328</v>
      </c>
      <c r="H202" s="128" t="s">
        <v>218</v>
      </c>
      <c r="I202" s="128" t="s">
        <v>857</v>
      </c>
      <c r="J202" s="129">
        <v>39083</v>
      </c>
      <c r="L202" s="128" t="s">
        <v>220</v>
      </c>
      <c r="X202" s="128" t="s">
        <v>237</v>
      </c>
      <c r="Z202" s="128">
        <v>1</v>
      </c>
      <c r="AA202" s="128">
        <v>7</v>
      </c>
      <c r="AB202" s="128">
        <v>42</v>
      </c>
      <c r="AC202" s="128">
        <v>33</v>
      </c>
      <c r="AD202" s="128">
        <v>34</v>
      </c>
      <c r="AN202" s="128">
        <v>516</v>
      </c>
      <c r="AO202" s="128" t="s">
        <v>861</v>
      </c>
      <c r="AP202" s="128" t="s">
        <v>862</v>
      </c>
      <c r="AQ202" s="128">
        <v>13</v>
      </c>
      <c r="AR202" s="128">
        <v>190</v>
      </c>
      <c r="AS202" s="128">
        <v>209</v>
      </c>
      <c r="AT202" s="128">
        <v>201</v>
      </c>
      <c r="AU202" s="128">
        <v>200</v>
      </c>
      <c r="BJ202" s="128">
        <v>9662</v>
      </c>
      <c r="BK202" s="128" t="s">
        <v>863</v>
      </c>
      <c r="BL202" s="128" t="s">
        <v>634</v>
      </c>
      <c r="BM202" s="128" t="s">
        <v>325</v>
      </c>
      <c r="BN202" s="128" t="s">
        <v>424</v>
      </c>
      <c r="BO202" s="128">
        <v>0</v>
      </c>
      <c r="BP202" s="128">
        <v>0</v>
      </c>
      <c r="BQ202" s="128">
        <v>0</v>
      </c>
      <c r="BR202" s="128">
        <v>0</v>
      </c>
      <c r="BS202" s="128">
        <v>0</v>
      </c>
      <c r="BT202" s="128">
        <v>91</v>
      </c>
      <c r="BU202" s="128">
        <v>26</v>
      </c>
      <c r="BV202" s="128">
        <v>26</v>
      </c>
      <c r="BW202" s="128">
        <v>12</v>
      </c>
      <c r="BX202" s="128">
        <v>72</v>
      </c>
      <c r="BY202" s="128">
        <v>91</v>
      </c>
      <c r="BZ202" s="128">
        <v>26</v>
      </c>
      <c r="CA202" s="128">
        <v>26</v>
      </c>
      <c r="CB202" s="128">
        <v>12</v>
      </c>
      <c r="CC202" s="128">
        <v>72</v>
      </c>
      <c r="CD202" s="128">
        <v>0</v>
      </c>
      <c r="CE202" s="128">
        <v>227</v>
      </c>
      <c r="CF202" s="128">
        <v>227</v>
      </c>
      <c r="CG202" s="128">
        <v>4</v>
      </c>
      <c r="CH202" s="128">
        <v>0</v>
      </c>
      <c r="CI202" s="128">
        <v>0</v>
      </c>
      <c r="CJ202" s="128">
        <v>0</v>
      </c>
      <c r="CK202" s="128">
        <v>0</v>
      </c>
      <c r="CL202" s="128">
        <v>0</v>
      </c>
      <c r="CM202" s="128">
        <v>93</v>
      </c>
      <c r="CN202" s="128">
        <v>28</v>
      </c>
      <c r="CO202" s="128">
        <v>29</v>
      </c>
      <c r="CP202" s="128">
        <v>12</v>
      </c>
      <c r="CQ202" s="128">
        <v>72</v>
      </c>
      <c r="CR202" s="128">
        <v>93</v>
      </c>
      <c r="CS202" s="128">
        <v>28</v>
      </c>
      <c r="CT202" s="128">
        <v>29</v>
      </c>
      <c r="CU202" s="128">
        <v>12</v>
      </c>
      <c r="CV202" s="128">
        <v>72</v>
      </c>
      <c r="CW202" s="128">
        <v>0</v>
      </c>
      <c r="CX202" s="128">
        <v>234</v>
      </c>
      <c r="CY202" s="128">
        <v>234</v>
      </c>
      <c r="CZ202" s="128">
        <v>4</v>
      </c>
      <c r="EK202" s="128">
        <v>2</v>
      </c>
      <c r="EL202" s="128">
        <v>1.38</v>
      </c>
      <c r="EM202" s="128">
        <v>1.25</v>
      </c>
      <c r="EN202" s="128">
        <v>912000</v>
      </c>
      <c r="EO202" s="128">
        <v>480000</v>
      </c>
      <c r="EP202" s="128">
        <v>17</v>
      </c>
      <c r="EQ202" s="128">
        <v>15</v>
      </c>
      <c r="ER202" s="128">
        <v>14</v>
      </c>
      <c r="ES202" s="128">
        <v>7330000</v>
      </c>
      <c r="ET202" s="128">
        <v>4500000</v>
      </c>
      <c r="FJ202" s="128">
        <v>1</v>
      </c>
      <c r="FK202" s="128">
        <v>0.25</v>
      </c>
      <c r="FL202" s="128">
        <v>0.25</v>
      </c>
      <c r="FM202" s="128">
        <v>165000</v>
      </c>
      <c r="FN202" s="128">
        <v>0</v>
      </c>
      <c r="FO202" s="128">
        <v>8</v>
      </c>
      <c r="FP202" s="128">
        <v>2.2599999999999998</v>
      </c>
      <c r="FQ202" s="128">
        <v>2.2599999999999998</v>
      </c>
      <c r="FR202" s="128">
        <v>1847000</v>
      </c>
      <c r="FS202" s="128">
        <v>0</v>
      </c>
      <c r="GL202" s="128">
        <v>2</v>
      </c>
      <c r="GM202" s="128">
        <v>0.5</v>
      </c>
      <c r="GN202" s="128">
        <v>24</v>
      </c>
      <c r="GO202" s="128">
        <v>0.5</v>
      </c>
      <c r="GP202" s="128">
        <v>48000</v>
      </c>
      <c r="GQ202" s="128">
        <v>10000</v>
      </c>
      <c r="IN202" s="128">
        <v>1</v>
      </c>
      <c r="IO202" s="128">
        <v>300</v>
      </c>
      <c r="IP202" s="128">
        <v>0.14299999999999999</v>
      </c>
      <c r="IQ202" s="128">
        <v>36000</v>
      </c>
      <c r="IR202" s="128">
        <v>10000</v>
      </c>
      <c r="KG202" s="128">
        <v>0</v>
      </c>
      <c r="KI202" s="128">
        <v>16.63</v>
      </c>
      <c r="KJ202" s="128">
        <v>0.5</v>
      </c>
      <c r="KK202" s="128">
        <v>0.14299999999999999</v>
      </c>
      <c r="KL202" s="128">
        <v>0</v>
      </c>
      <c r="KM202" s="128">
        <v>17.273</v>
      </c>
      <c r="KN202" s="128">
        <v>10254000</v>
      </c>
      <c r="KO202" s="128">
        <v>4980000</v>
      </c>
      <c r="KP202" s="128">
        <v>4980000</v>
      </c>
      <c r="KT202" s="128">
        <v>48000</v>
      </c>
      <c r="KU202" s="128">
        <v>10000</v>
      </c>
      <c r="KV202" s="128">
        <v>10000</v>
      </c>
      <c r="KZ202" s="128">
        <v>36000</v>
      </c>
      <c r="LA202" s="128">
        <v>10000</v>
      </c>
      <c r="LB202" s="128">
        <v>10000</v>
      </c>
      <c r="LF202" s="128">
        <v>0</v>
      </c>
      <c r="LG202" s="128">
        <v>0</v>
      </c>
      <c r="LH202" s="128">
        <v>0</v>
      </c>
      <c r="LL202" s="128">
        <v>16000</v>
      </c>
      <c r="LM202" s="128">
        <v>0</v>
      </c>
      <c r="LN202" s="128">
        <v>0</v>
      </c>
      <c r="LR202" s="128">
        <v>100000</v>
      </c>
      <c r="LS202" s="128">
        <v>0</v>
      </c>
      <c r="LT202" s="128">
        <v>0</v>
      </c>
      <c r="LX202" s="128">
        <v>0</v>
      </c>
      <c r="LY202" s="128">
        <v>0</v>
      </c>
      <c r="LZ202" s="128">
        <v>0</v>
      </c>
      <c r="MD202" s="128">
        <v>30000</v>
      </c>
      <c r="ME202" s="128">
        <v>0</v>
      </c>
      <c r="MF202" s="128">
        <v>0</v>
      </c>
      <c r="MJ202" s="128">
        <v>300000</v>
      </c>
      <c r="MK202" s="128">
        <v>0</v>
      </c>
      <c r="ML202" s="128">
        <v>0</v>
      </c>
      <c r="MP202" s="128">
        <v>69000</v>
      </c>
      <c r="MQ202" s="128">
        <v>0</v>
      </c>
      <c r="MR202" s="128">
        <v>0</v>
      </c>
      <c r="MV202" s="128">
        <v>260000</v>
      </c>
      <c r="MW202" s="128">
        <v>0</v>
      </c>
      <c r="MX202" s="128">
        <v>0</v>
      </c>
      <c r="NB202" s="128">
        <v>284000</v>
      </c>
      <c r="NC202" s="128">
        <v>0</v>
      </c>
      <c r="ND202" s="128">
        <v>0</v>
      </c>
      <c r="NH202" s="128">
        <v>3000</v>
      </c>
      <c r="NI202" s="128">
        <v>0</v>
      </c>
      <c r="NJ202" s="128">
        <v>0</v>
      </c>
      <c r="NN202" s="128">
        <v>20000</v>
      </c>
      <c r="NO202" s="128">
        <v>0</v>
      </c>
      <c r="NP202" s="128">
        <v>0</v>
      </c>
      <c r="NT202" s="128">
        <v>120000</v>
      </c>
      <c r="NU202" s="128">
        <v>0</v>
      </c>
      <c r="NV202" s="128">
        <v>0</v>
      </c>
      <c r="NZ202" s="128">
        <v>160000</v>
      </c>
      <c r="OA202" s="128">
        <v>0</v>
      </c>
      <c r="OB202" s="128">
        <v>0</v>
      </c>
      <c r="OF202" s="128">
        <v>40000</v>
      </c>
      <c r="OG202" s="128">
        <v>0</v>
      </c>
      <c r="OH202" s="128">
        <v>0</v>
      </c>
      <c r="OL202" s="128">
        <v>0</v>
      </c>
      <c r="OM202" s="128">
        <v>0</v>
      </c>
      <c r="ON202" s="128">
        <v>0</v>
      </c>
      <c r="OR202" s="128">
        <v>0</v>
      </c>
      <c r="OS202" s="128">
        <v>0</v>
      </c>
      <c r="OT202" s="128">
        <v>0</v>
      </c>
      <c r="OX202" s="128">
        <v>650000</v>
      </c>
      <c r="OY202" s="128">
        <v>0</v>
      </c>
      <c r="OZ202" s="128">
        <v>0</v>
      </c>
      <c r="PD202" s="128">
        <v>230000</v>
      </c>
      <c r="PE202" s="128">
        <v>0</v>
      </c>
      <c r="PF202" s="128">
        <v>0</v>
      </c>
      <c r="PJ202" s="128">
        <v>170000</v>
      </c>
      <c r="PK202" s="128">
        <v>0</v>
      </c>
      <c r="PL202" s="128">
        <v>0</v>
      </c>
      <c r="PP202" s="128">
        <v>12790000</v>
      </c>
      <c r="PQ202" s="128">
        <v>5000000</v>
      </c>
      <c r="PR202" s="128">
        <v>5000000</v>
      </c>
      <c r="PS202" s="128">
        <v>100</v>
      </c>
      <c r="PT202" s="128">
        <v>100</v>
      </c>
      <c r="PV202" s="128">
        <v>7161868</v>
      </c>
      <c r="PX202" s="128">
        <v>2200000</v>
      </c>
      <c r="PY202" s="128">
        <v>3000000</v>
      </c>
      <c r="PZ202" s="128">
        <v>5000000</v>
      </c>
      <c r="QA202" s="128">
        <v>0</v>
      </c>
      <c r="QB202" s="128">
        <v>0</v>
      </c>
      <c r="QC202" s="128">
        <v>0</v>
      </c>
      <c r="QD202" s="128">
        <v>5405000</v>
      </c>
      <c r="QE202" s="128">
        <v>5200000</v>
      </c>
      <c r="QF202" s="128">
        <v>5300000</v>
      </c>
      <c r="QG202" s="128">
        <v>0</v>
      </c>
      <c r="QH202" s="128">
        <v>0</v>
      </c>
      <c r="QI202" s="128">
        <v>0</v>
      </c>
      <c r="QJ202" s="128">
        <v>2273005</v>
      </c>
      <c r="QK202" s="128">
        <v>2300000</v>
      </c>
      <c r="QL202" s="128">
        <v>2400000</v>
      </c>
      <c r="QN202" s="128">
        <v>0</v>
      </c>
      <c r="QO202" s="128">
        <v>0</v>
      </c>
      <c r="QP202" s="128">
        <v>0</v>
      </c>
      <c r="QU202" s="128">
        <v>101500</v>
      </c>
      <c r="QV202" s="128">
        <v>0</v>
      </c>
      <c r="QW202" s="128">
        <v>0</v>
      </c>
      <c r="QX202" s="128">
        <v>11500</v>
      </c>
      <c r="QY202" s="128">
        <v>10000</v>
      </c>
      <c r="QZ202" s="128">
        <v>10000</v>
      </c>
      <c r="RD202" s="128">
        <v>36000</v>
      </c>
      <c r="RE202" s="128">
        <v>89000</v>
      </c>
      <c r="RF202" s="128">
        <v>80000</v>
      </c>
      <c r="RH202" s="128">
        <f t="shared" si="412"/>
        <v>10390000</v>
      </c>
      <c r="RI202" s="128">
        <v>0</v>
      </c>
      <c r="RM202" s="128" t="s">
        <v>220</v>
      </c>
      <c r="RU202" s="130"/>
      <c r="RV202" s="130"/>
      <c r="RW202" s="130"/>
      <c r="RX202" s="130"/>
      <c r="SF202" s="128">
        <f t="shared" si="322"/>
        <v>9924639</v>
      </c>
      <c r="SG202" s="131">
        <f t="shared" si="323"/>
        <v>12790000</v>
      </c>
      <c r="SH202" s="131">
        <f t="shared" si="324"/>
        <v>12790000</v>
      </c>
      <c r="SI202" s="131">
        <f t="shared" si="325"/>
        <v>10338000</v>
      </c>
      <c r="SJ202" s="132">
        <f t="shared" si="326"/>
        <v>10254000</v>
      </c>
      <c r="SK202" s="132">
        <f t="shared" si="327"/>
        <v>48000</v>
      </c>
      <c r="SL202" s="132">
        <f t="shared" si="328"/>
        <v>36000</v>
      </c>
      <c r="SM202" s="132">
        <f t="shared" si="329"/>
        <v>0</v>
      </c>
      <c r="SN202" s="131">
        <f t="shared" si="330"/>
        <v>2452000</v>
      </c>
      <c r="SO202" s="131">
        <f t="shared" si="331"/>
        <v>116000</v>
      </c>
      <c r="SP202" s="132">
        <f t="shared" si="332"/>
        <v>16000</v>
      </c>
      <c r="SQ202" s="132">
        <f t="shared" si="333"/>
        <v>100000</v>
      </c>
      <c r="SR202" s="132">
        <f t="shared" si="334"/>
        <v>0</v>
      </c>
      <c r="SS202" s="132">
        <f t="shared" si="335"/>
        <v>30000</v>
      </c>
      <c r="ST202" s="132">
        <f t="shared" si="336"/>
        <v>300000</v>
      </c>
      <c r="SU202" s="132">
        <f t="shared" si="337"/>
        <v>69000</v>
      </c>
      <c r="SV202" s="131">
        <f t="shared" si="338"/>
        <v>1537000</v>
      </c>
      <c r="SW202" s="132">
        <f t="shared" si="339"/>
        <v>260000</v>
      </c>
      <c r="SX202" s="132">
        <f t="shared" si="340"/>
        <v>284000</v>
      </c>
      <c r="SY202" s="132">
        <f t="shared" si="341"/>
        <v>3000</v>
      </c>
      <c r="SZ202" s="132">
        <f t="shared" si="342"/>
        <v>20000</v>
      </c>
      <c r="TA202" s="132">
        <f t="shared" si="343"/>
        <v>120000</v>
      </c>
      <c r="TB202" s="132">
        <f t="shared" si="344"/>
        <v>160000</v>
      </c>
      <c r="TC202" s="132">
        <f t="shared" si="345"/>
        <v>40000</v>
      </c>
      <c r="TD202" s="132">
        <f t="shared" si="346"/>
        <v>0</v>
      </c>
      <c r="TE202" s="132">
        <f t="shared" si="347"/>
        <v>0</v>
      </c>
      <c r="TF202" s="132">
        <f t="shared" si="348"/>
        <v>650000</v>
      </c>
      <c r="TG202" s="132">
        <f t="shared" si="349"/>
        <v>230000</v>
      </c>
      <c r="TH202" s="132">
        <f t="shared" si="350"/>
        <v>170000</v>
      </c>
      <c r="TI202" s="1"/>
      <c r="TJ202" s="131">
        <f t="shared" si="351"/>
        <v>5000000</v>
      </c>
      <c r="TK202" s="131">
        <f t="shared" si="352"/>
        <v>5000000</v>
      </c>
      <c r="TL202" s="131">
        <f t="shared" si="353"/>
        <v>5000000</v>
      </c>
      <c r="TM202" s="132">
        <f t="shared" si="354"/>
        <v>4980000</v>
      </c>
      <c r="TN202" s="132">
        <f t="shared" si="355"/>
        <v>10000</v>
      </c>
      <c r="TO202" s="132">
        <f t="shared" si="356"/>
        <v>10000</v>
      </c>
      <c r="TP202" s="132">
        <f t="shared" si="357"/>
        <v>0</v>
      </c>
      <c r="TQ202" s="131">
        <f t="shared" si="358"/>
        <v>0</v>
      </c>
      <c r="TR202" s="131">
        <f t="shared" si="359"/>
        <v>0</v>
      </c>
      <c r="TS202" s="132">
        <f t="shared" si="360"/>
        <v>0</v>
      </c>
      <c r="TT202" s="132">
        <f t="shared" si="361"/>
        <v>0</v>
      </c>
      <c r="TU202" s="132">
        <f t="shared" si="362"/>
        <v>0</v>
      </c>
      <c r="TV202" s="132">
        <f t="shared" si="363"/>
        <v>0</v>
      </c>
      <c r="TW202" s="132">
        <f t="shared" si="364"/>
        <v>0</v>
      </c>
      <c r="TX202" s="132">
        <f t="shared" si="365"/>
        <v>0</v>
      </c>
      <c r="TY202" s="131">
        <f t="shared" si="366"/>
        <v>0</v>
      </c>
      <c r="TZ202" s="132">
        <f t="shared" si="367"/>
        <v>0</v>
      </c>
      <c r="UA202" s="132">
        <f t="shared" si="368"/>
        <v>0</v>
      </c>
      <c r="UB202" s="132">
        <f t="shared" si="369"/>
        <v>0</v>
      </c>
      <c r="UC202" s="132">
        <f t="shared" si="370"/>
        <v>0</v>
      </c>
      <c r="UD202" s="132">
        <f t="shared" si="371"/>
        <v>0</v>
      </c>
      <c r="UE202" s="132">
        <f t="shared" si="372"/>
        <v>0</v>
      </c>
      <c r="UF202" s="132">
        <f t="shared" si="373"/>
        <v>0</v>
      </c>
      <c r="UG202" s="132">
        <f t="shared" si="374"/>
        <v>0</v>
      </c>
      <c r="UH202" s="132">
        <f t="shared" si="375"/>
        <v>0</v>
      </c>
      <c r="UI202" s="132">
        <f t="shared" si="376"/>
        <v>0</v>
      </c>
      <c r="UJ202" s="132">
        <f t="shared" si="377"/>
        <v>0</v>
      </c>
      <c r="UK202" s="132">
        <f t="shared" si="378"/>
        <v>0</v>
      </c>
      <c r="UL202" s="132">
        <f t="shared" si="413"/>
        <v>5000000</v>
      </c>
      <c r="UM202" s="131">
        <f t="shared" si="379"/>
        <v>5000000</v>
      </c>
      <c r="UN202" s="131">
        <f t="shared" si="380"/>
        <v>5000000</v>
      </c>
      <c r="UO202" s="131">
        <f t="shared" si="381"/>
        <v>5000000</v>
      </c>
      <c r="UP202" s="132">
        <f t="shared" si="382"/>
        <v>4980000</v>
      </c>
      <c r="UQ202" s="132">
        <f t="shared" si="383"/>
        <v>10000</v>
      </c>
      <c r="UR202" s="132">
        <f t="shared" si="384"/>
        <v>10000</v>
      </c>
      <c r="US202" s="132">
        <f t="shared" si="385"/>
        <v>0</v>
      </c>
      <c r="UT202" s="131">
        <f t="shared" si="386"/>
        <v>0</v>
      </c>
      <c r="UU202" s="131">
        <f t="shared" si="387"/>
        <v>0</v>
      </c>
      <c r="UV202" s="132">
        <f t="shared" si="388"/>
        <v>0</v>
      </c>
      <c r="UW202" s="132">
        <f t="shared" si="389"/>
        <v>0</v>
      </c>
      <c r="UX202" s="132">
        <f t="shared" si="390"/>
        <v>0</v>
      </c>
      <c r="UY202" s="132">
        <f t="shared" si="391"/>
        <v>0</v>
      </c>
      <c r="UZ202" s="132">
        <f t="shared" si="392"/>
        <v>0</v>
      </c>
      <c r="VA202" s="132">
        <f t="shared" si="393"/>
        <v>0</v>
      </c>
      <c r="VB202" s="131">
        <f t="shared" si="394"/>
        <v>0</v>
      </c>
      <c r="VC202" s="132">
        <f t="shared" si="395"/>
        <v>0</v>
      </c>
      <c r="VD202" s="132">
        <f t="shared" si="396"/>
        <v>0</v>
      </c>
      <c r="VE202" s="132">
        <f t="shared" si="397"/>
        <v>0</v>
      </c>
      <c r="VF202" s="132">
        <f t="shared" si="398"/>
        <v>0</v>
      </c>
      <c r="VG202" s="132">
        <f t="shared" si="399"/>
        <v>0</v>
      </c>
      <c r="VH202" s="132">
        <f t="shared" si="400"/>
        <v>0</v>
      </c>
      <c r="VI202" s="132">
        <f t="shared" si="401"/>
        <v>0</v>
      </c>
      <c r="VJ202" s="132">
        <f t="shared" si="402"/>
        <v>0</v>
      </c>
      <c r="VK202" s="132">
        <f t="shared" si="403"/>
        <v>0</v>
      </c>
      <c r="VL202" s="132">
        <f t="shared" si="404"/>
        <v>0</v>
      </c>
      <c r="VM202" s="132">
        <f t="shared" si="405"/>
        <v>0</v>
      </c>
      <c r="VN202" s="132">
        <f t="shared" si="406"/>
        <v>0</v>
      </c>
      <c r="VP202" s="845" t="str">
        <f>IFERROR(HLOOKUP(F202,'Hodnocení '!$C$1:$JH$5,2,FALSE),0)</f>
        <v>Pečovatelská služba Města Dvůr Králové nad Labem</v>
      </c>
      <c r="VQ202" s="838"/>
      <c r="VR202" s="845" t="str">
        <f t="shared" si="414"/>
        <v>Příspěvková organizace zřízená územním samosprávným celkem</v>
      </c>
      <c r="VS202" s="845" t="str">
        <f>IFERROR(HLOOKUP(F202,'Hodnocení '!$C$1:$JH$5,5,FALSE),0)</f>
        <v>Obce</v>
      </c>
      <c r="VT202" s="838" t="str">
        <f t="shared" si="415"/>
        <v>Příspěvková organizace zřízená územním samosprávným celkem</v>
      </c>
      <c r="VU202" s="838">
        <f t="shared" si="416"/>
        <v>0</v>
      </c>
      <c r="VV202" s="838">
        <f t="shared" si="417"/>
        <v>2400000</v>
      </c>
      <c r="VW202" s="838">
        <f t="shared" si="418"/>
        <v>0</v>
      </c>
      <c r="VX202" s="838"/>
      <c r="VY202" s="838">
        <f t="shared" si="317"/>
        <v>0</v>
      </c>
      <c r="VZ202" s="838">
        <f t="shared" si="318"/>
        <v>5000000</v>
      </c>
      <c r="WA202" s="846">
        <f>IFERROR(HLOOKUP($F202,'Hodnocení '!$C$1:$JH$9,9,FALSE),0)</f>
        <v>5000000</v>
      </c>
      <c r="WB202" s="846">
        <f>IF(IFERROR(HLOOKUP($F202,'Hodnocení '!$C$1:$JH$13,13,FALSE),0)&gt;WA202,WA202,IFERROR(HLOOKUP($F202,'Hodnocení '!$C$1:$JH$13,13,FALSE),0))</f>
        <v>5000000</v>
      </c>
      <c r="WC202" s="846">
        <f>IFERROR(HLOOKUP($F202,'Hodnocení '!$C$1:$JH$155,155,FALSE),0)</f>
        <v>3042200</v>
      </c>
      <c r="WD202" s="845"/>
      <c r="WE202" s="845"/>
      <c r="WF202" s="845" t="str">
        <f t="shared" si="407"/>
        <v>ANO</v>
      </c>
      <c r="WG202" s="849" t="str">
        <f t="shared" si="320"/>
        <v>Podpora služby je vyjádřena zařazením do sítě sociálních služeb v KHK a řešením financování služby</v>
      </c>
      <c r="WH202"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02" s="849" t="str">
        <f t="shared" si="320"/>
        <v>Návrh dotace je výsledkem projednání s ostatními zadavateli v rámci sítě služeb KHK</v>
      </c>
      <c r="WJ202" s="849" t="str">
        <f t="shared" si="320"/>
        <v>Bez komentáře</v>
      </c>
      <c r="WK202" s="31" t="str">
        <f t="shared" si="408"/>
        <v>Výše příspěvku ze strany zřizovatele bude řešen v návaznosti na řešení podílů jednotlivých zadavatelů</v>
      </c>
      <c r="WL202" s="850">
        <f t="shared" si="409"/>
        <v>0</v>
      </c>
      <c r="WM202" s="849" t="str">
        <f t="shared" si="410"/>
        <v>V rámci sítě KHK se dlouhodobě řeší otázka navyšování úhrad a průběžně se monitoruje s vazbou na vykrytí vyrovnávací platby</v>
      </c>
      <c r="WN202" s="849">
        <f t="shared" si="411"/>
        <v>0</v>
      </c>
      <c r="WO202" s="849" t="str">
        <f t="shared" si="321"/>
        <v>bez komentáře</v>
      </c>
      <c r="WP202" s="849" t="str">
        <f t="shared" si="321"/>
        <v>bez komentáře</v>
      </c>
      <c r="WQ202" s="849" t="str">
        <f t="shared" si="321"/>
        <v>Konečná výše dotace z rozpočtu KHK bude řešena v návaznosti na řešení podílů jednotlivých zadavatelů.</v>
      </c>
      <c r="WR202" s="849" t="str">
        <f t="shared" si="321"/>
        <v>Konečná výše podpory ze stran obcí bude řešena v součinnosti s jednotlivými zadavateli v průběhu roku.</v>
      </c>
      <c r="WS202" s="849" t="str">
        <f t="shared" si="321"/>
        <v>bez komentáře</v>
      </c>
      <c r="WT202" s="849" t="str">
        <f t="shared" si="321"/>
        <v>bez komentáře</v>
      </c>
      <c r="WU202" s="845"/>
    </row>
    <row r="203" spans="1:619" s="128" customFormat="1" x14ac:dyDescent="0.25">
      <c r="A203" s="128" t="str">
        <f>VLOOKUP(F203,'Výpočet VP 2020'!$D$324:$I$588,6,FALSE)</f>
        <v>Je v síti</v>
      </c>
      <c r="B203" s="128" t="s">
        <v>864</v>
      </c>
      <c r="C203" s="128">
        <v>70153876</v>
      </c>
      <c r="D203" s="128" t="s">
        <v>865</v>
      </c>
      <c r="E203" s="128" t="s">
        <v>259</v>
      </c>
      <c r="F203" s="128">
        <v>4383860</v>
      </c>
      <c r="G203" s="128" t="s">
        <v>328</v>
      </c>
      <c r="H203" s="128" t="s">
        <v>218</v>
      </c>
      <c r="I203" s="128" t="s">
        <v>864</v>
      </c>
      <c r="J203" s="129">
        <v>36526</v>
      </c>
      <c r="L203" s="128" t="s">
        <v>220</v>
      </c>
      <c r="X203" s="128" t="s">
        <v>227</v>
      </c>
      <c r="Z203" s="128">
        <v>2</v>
      </c>
      <c r="AA203" s="128">
        <v>8</v>
      </c>
      <c r="AB203" s="128">
        <v>0</v>
      </c>
      <c r="AC203" s="128">
        <v>5</v>
      </c>
      <c r="AD203" s="128">
        <v>10</v>
      </c>
      <c r="AN203" s="128">
        <v>260</v>
      </c>
      <c r="AO203" s="128" t="s">
        <v>866</v>
      </c>
      <c r="AP203" s="128" t="s">
        <v>867</v>
      </c>
      <c r="AQ203" s="128">
        <v>26</v>
      </c>
      <c r="AR203" s="128">
        <v>350</v>
      </c>
      <c r="AS203" s="128">
        <v>363</v>
      </c>
      <c r="AT203" s="128">
        <v>370</v>
      </c>
      <c r="AU203" s="128">
        <v>400</v>
      </c>
      <c r="BJ203" s="128">
        <v>25000</v>
      </c>
      <c r="BL203" s="128" t="s">
        <v>634</v>
      </c>
      <c r="BM203" s="128" t="s">
        <v>325</v>
      </c>
      <c r="BN203" s="128" t="s">
        <v>635</v>
      </c>
      <c r="BO203" s="128">
        <v>1</v>
      </c>
      <c r="BP203" s="128">
        <v>0</v>
      </c>
      <c r="BQ203" s="128">
        <v>0</v>
      </c>
      <c r="BR203" s="128">
        <v>0</v>
      </c>
      <c r="BS203" s="128">
        <v>0</v>
      </c>
      <c r="BT203" s="128">
        <v>241</v>
      </c>
      <c r="BU203" s="128">
        <v>63</v>
      </c>
      <c r="BV203" s="128">
        <v>38</v>
      </c>
      <c r="BW203" s="128">
        <v>8</v>
      </c>
      <c r="BX203" s="128">
        <v>0</v>
      </c>
      <c r="BY203" s="128">
        <v>242</v>
      </c>
      <c r="BZ203" s="128">
        <v>63</v>
      </c>
      <c r="CA203" s="128">
        <v>38</v>
      </c>
      <c r="CB203" s="128">
        <v>8</v>
      </c>
      <c r="CC203" s="128">
        <v>0</v>
      </c>
      <c r="CD203" s="128">
        <v>1</v>
      </c>
      <c r="CE203" s="128">
        <v>350</v>
      </c>
      <c r="CF203" s="128">
        <v>351</v>
      </c>
      <c r="CG203" s="128">
        <v>2</v>
      </c>
      <c r="CH203" s="128">
        <v>1</v>
      </c>
      <c r="CI203" s="128">
        <v>0</v>
      </c>
      <c r="CJ203" s="128">
        <v>0</v>
      </c>
      <c r="CK203" s="128">
        <v>0</v>
      </c>
      <c r="CL203" s="128">
        <v>0</v>
      </c>
      <c r="CM203" s="128">
        <v>256</v>
      </c>
      <c r="CN203" s="128">
        <v>78</v>
      </c>
      <c r="CO203" s="128">
        <v>57</v>
      </c>
      <c r="CP203" s="128">
        <v>18</v>
      </c>
      <c r="CQ203" s="128">
        <v>0</v>
      </c>
      <c r="CR203" s="128">
        <v>257</v>
      </c>
      <c r="CS203" s="128">
        <v>78</v>
      </c>
      <c r="CT203" s="128">
        <v>57</v>
      </c>
      <c r="CU203" s="128">
        <v>18</v>
      </c>
      <c r="CV203" s="128">
        <v>0</v>
      </c>
      <c r="CW203" s="128">
        <v>1</v>
      </c>
      <c r="CX203" s="128">
        <v>409</v>
      </c>
      <c r="CY203" s="128">
        <v>410</v>
      </c>
      <c r="CZ203" s="128">
        <v>2</v>
      </c>
      <c r="EK203" s="128">
        <v>2</v>
      </c>
      <c r="EL203" s="128">
        <v>2</v>
      </c>
      <c r="EM203" s="128">
        <v>1</v>
      </c>
      <c r="EN203" s="128">
        <v>1390278</v>
      </c>
      <c r="EO203" s="128">
        <v>600000</v>
      </c>
      <c r="EP203" s="128">
        <v>22</v>
      </c>
      <c r="EQ203" s="128">
        <v>21.75</v>
      </c>
      <c r="ER203" s="128">
        <v>20.75</v>
      </c>
      <c r="ES203" s="128">
        <v>10453572</v>
      </c>
      <c r="ET203" s="128">
        <v>4600000</v>
      </c>
      <c r="FO203" s="128">
        <v>4</v>
      </c>
      <c r="FP203" s="128">
        <v>4</v>
      </c>
      <c r="FQ203" s="128">
        <v>4</v>
      </c>
      <c r="FR203" s="128">
        <v>2474150</v>
      </c>
      <c r="FS203" s="128">
        <v>0</v>
      </c>
      <c r="GL203" s="128">
        <v>3</v>
      </c>
      <c r="GM203" s="128">
        <v>1</v>
      </c>
      <c r="GN203" s="128">
        <v>19</v>
      </c>
      <c r="GO203" s="128">
        <v>0.57099999999999995</v>
      </c>
      <c r="GP203" s="128">
        <v>131500</v>
      </c>
      <c r="GQ203" s="128">
        <v>0</v>
      </c>
      <c r="IN203" s="128">
        <v>6</v>
      </c>
      <c r="IO203" s="128">
        <v>1800</v>
      </c>
      <c r="IP203" s="128">
        <v>0.85899999999999999</v>
      </c>
      <c r="IQ203" s="128">
        <v>177000</v>
      </c>
      <c r="IR203" s="128">
        <v>0</v>
      </c>
      <c r="KG203" s="128">
        <v>0</v>
      </c>
      <c r="KI203" s="128">
        <v>23.75</v>
      </c>
      <c r="KJ203" s="128">
        <v>0.57099999999999995</v>
      </c>
      <c r="KK203" s="128">
        <v>0.85899999999999999</v>
      </c>
      <c r="KL203" s="128">
        <v>0</v>
      </c>
      <c r="KM203" s="128">
        <v>25.18</v>
      </c>
      <c r="KN203" s="128">
        <v>14318000</v>
      </c>
      <c r="KO203" s="128">
        <v>5200000</v>
      </c>
      <c r="KP203" s="128">
        <v>5200000</v>
      </c>
      <c r="KT203" s="128">
        <v>131500</v>
      </c>
      <c r="KU203" s="128">
        <v>0</v>
      </c>
      <c r="KV203" s="128">
        <v>0</v>
      </c>
      <c r="KZ203" s="128">
        <v>177000</v>
      </c>
      <c r="LA203" s="128">
        <v>0</v>
      </c>
      <c r="LB203" s="128">
        <v>0</v>
      </c>
      <c r="LF203" s="128">
        <v>0</v>
      </c>
      <c r="LG203" s="128">
        <v>0</v>
      </c>
      <c r="LH203" s="128">
        <v>0</v>
      </c>
      <c r="LL203" s="128">
        <v>0</v>
      </c>
      <c r="LM203" s="128">
        <v>0</v>
      </c>
      <c r="LN203" s="128">
        <v>0</v>
      </c>
      <c r="LR203" s="128">
        <v>110000</v>
      </c>
      <c r="LS203" s="128">
        <v>0</v>
      </c>
      <c r="LT203" s="128">
        <v>0</v>
      </c>
      <c r="LX203" s="128">
        <v>0</v>
      </c>
      <c r="LY203" s="128">
        <v>0</v>
      </c>
      <c r="LZ203" s="128">
        <v>0</v>
      </c>
      <c r="MD203" s="128">
        <v>15000</v>
      </c>
      <c r="ME203" s="128">
        <v>0</v>
      </c>
      <c r="MF203" s="128">
        <v>0</v>
      </c>
      <c r="MJ203" s="128">
        <v>220000</v>
      </c>
      <c r="MK203" s="128">
        <v>0</v>
      </c>
      <c r="ML203" s="128">
        <v>0</v>
      </c>
      <c r="MP203" s="128">
        <v>165000</v>
      </c>
      <c r="MQ203" s="128">
        <v>0</v>
      </c>
      <c r="MR203" s="128">
        <v>0</v>
      </c>
      <c r="MV203" s="128">
        <v>550000</v>
      </c>
      <c r="MW203" s="128">
        <v>0</v>
      </c>
      <c r="MX203" s="128">
        <v>0</v>
      </c>
      <c r="NB203" s="128">
        <v>36000</v>
      </c>
      <c r="NC203" s="128">
        <v>0</v>
      </c>
      <c r="ND203" s="128">
        <v>0</v>
      </c>
      <c r="NH203" s="128">
        <v>0</v>
      </c>
      <c r="NI203" s="128">
        <v>0</v>
      </c>
      <c r="NJ203" s="128">
        <v>0</v>
      </c>
      <c r="NN203" s="128">
        <v>220000</v>
      </c>
      <c r="NO203" s="128">
        <v>0</v>
      </c>
      <c r="NP203" s="128">
        <v>0</v>
      </c>
      <c r="NT203" s="128">
        <v>100000</v>
      </c>
      <c r="NU203" s="128">
        <v>0</v>
      </c>
      <c r="NV203" s="128">
        <v>0</v>
      </c>
      <c r="NZ203" s="128">
        <v>160000</v>
      </c>
      <c r="OA203" s="128">
        <v>0</v>
      </c>
      <c r="OB203" s="128">
        <v>0</v>
      </c>
      <c r="OF203" s="128">
        <v>20000</v>
      </c>
      <c r="OG203" s="128">
        <v>0</v>
      </c>
      <c r="OH203" s="128">
        <v>0</v>
      </c>
      <c r="OL203" s="128">
        <v>0</v>
      </c>
      <c r="OM203" s="128">
        <v>0</v>
      </c>
      <c r="ON203" s="128">
        <v>0</v>
      </c>
      <c r="OR203" s="128">
        <v>0</v>
      </c>
      <c r="OS203" s="128">
        <v>0</v>
      </c>
      <c r="OT203" s="128">
        <v>0</v>
      </c>
      <c r="OX203" s="128">
        <v>190500</v>
      </c>
      <c r="OY203" s="128">
        <v>0</v>
      </c>
      <c r="OZ203" s="128">
        <v>0</v>
      </c>
      <c r="PD203" s="128">
        <v>188500</v>
      </c>
      <c r="PE203" s="128">
        <v>0</v>
      </c>
      <c r="PF203" s="128">
        <v>0</v>
      </c>
      <c r="PJ203" s="128">
        <v>127000</v>
      </c>
      <c r="PK203" s="128">
        <v>0</v>
      </c>
      <c r="PL203" s="128">
        <v>0</v>
      </c>
      <c r="PP203" s="128">
        <v>16728500</v>
      </c>
      <c r="PQ203" s="128">
        <v>5200000</v>
      </c>
      <c r="PR203" s="128">
        <v>5200000</v>
      </c>
      <c r="PS203" s="128">
        <v>100</v>
      </c>
      <c r="PT203" s="128">
        <v>100</v>
      </c>
      <c r="PV203" s="128">
        <v>10701070</v>
      </c>
      <c r="PX203" s="128">
        <v>4424742</v>
      </c>
      <c r="PY203" s="128">
        <v>3864560</v>
      </c>
      <c r="PZ203" s="128">
        <v>5200000</v>
      </c>
      <c r="QA203" s="128">
        <v>0</v>
      </c>
      <c r="QB203" s="128">
        <v>0</v>
      </c>
      <c r="QC203" s="128">
        <v>0</v>
      </c>
      <c r="QD203" s="128">
        <v>7000000</v>
      </c>
      <c r="QE203" s="128">
        <v>7300000</v>
      </c>
      <c r="QF203" s="128">
        <v>8348500</v>
      </c>
      <c r="QG203" s="128">
        <v>0</v>
      </c>
      <c r="QH203" s="128">
        <v>0</v>
      </c>
      <c r="QI203" s="128">
        <v>0</v>
      </c>
      <c r="QJ203" s="128">
        <v>3006310</v>
      </c>
      <c r="QK203" s="128">
        <v>3000000</v>
      </c>
      <c r="QL203" s="128">
        <v>3000000</v>
      </c>
      <c r="QN203" s="128">
        <v>0</v>
      </c>
      <c r="QO203" s="128">
        <v>0</v>
      </c>
      <c r="QP203" s="128">
        <v>0</v>
      </c>
      <c r="QU203" s="128">
        <v>0</v>
      </c>
      <c r="QV203" s="128">
        <v>1012000</v>
      </c>
      <c r="QW203" s="128">
        <v>0</v>
      </c>
      <c r="RD203" s="128">
        <v>173000</v>
      </c>
      <c r="RE203" s="128">
        <v>75000</v>
      </c>
      <c r="RF203" s="128">
        <v>180000</v>
      </c>
      <c r="RH203" s="128">
        <f t="shared" si="412"/>
        <v>13728500</v>
      </c>
      <c r="RI203" s="128">
        <v>0</v>
      </c>
      <c r="RM203" s="128" t="s">
        <v>220</v>
      </c>
      <c r="RU203" s="130"/>
      <c r="RV203" s="130"/>
      <c r="RW203" s="130"/>
      <c r="RX203" s="130"/>
      <c r="SF203" s="128">
        <f t="shared" si="322"/>
        <v>4383860</v>
      </c>
      <c r="SG203" s="131">
        <f t="shared" si="323"/>
        <v>16728500</v>
      </c>
      <c r="SH203" s="131">
        <f t="shared" si="324"/>
        <v>16728500</v>
      </c>
      <c r="SI203" s="131">
        <f t="shared" si="325"/>
        <v>14626500</v>
      </c>
      <c r="SJ203" s="132">
        <f t="shared" si="326"/>
        <v>14318000</v>
      </c>
      <c r="SK203" s="132">
        <f t="shared" si="327"/>
        <v>131500</v>
      </c>
      <c r="SL203" s="132">
        <f t="shared" si="328"/>
        <v>177000</v>
      </c>
      <c r="SM203" s="132">
        <f t="shared" si="329"/>
        <v>0</v>
      </c>
      <c r="SN203" s="131">
        <f t="shared" si="330"/>
        <v>2102000</v>
      </c>
      <c r="SO203" s="131">
        <f t="shared" si="331"/>
        <v>110000</v>
      </c>
      <c r="SP203" s="132">
        <f t="shared" si="332"/>
        <v>0</v>
      </c>
      <c r="SQ203" s="132">
        <f t="shared" si="333"/>
        <v>110000</v>
      </c>
      <c r="SR203" s="132">
        <f t="shared" si="334"/>
        <v>0</v>
      </c>
      <c r="SS203" s="132">
        <f t="shared" si="335"/>
        <v>15000</v>
      </c>
      <c r="ST203" s="132">
        <f t="shared" si="336"/>
        <v>220000</v>
      </c>
      <c r="SU203" s="132">
        <f t="shared" si="337"/>
        <v>165000</v>
      </c>
      <c r="SV203" s="131">
        <f t="shared" si="338"/>
        <v>1276500</v>
      </c>
      <c r="SW203" s="132">
        <f t="shared" si="339"/>
        <v>550000</v>
      </c>
      <c r="SX203" s="132">
        <f t="shared" si="340"/>
        <v>36000</v>
      </c>
      <c r="SY203" s="132">
        <f t="shared" si="341"/>
        <v>0</v>
      </c>
      <c r="SZ203" s="132">
        <f t="shared" si="342"/>
        <v>220000</v>
      </c>
      <c r="TA203" s="132">
        <f t="shared" si="343"/>
        <v>100000</v>
      </c>
      <c r="TB203" s="132">
        <f t="shared" si="344"/>
        <v>160000</v>
      </c>
      <c r="TC203" s="132">
        <f t="shared" si="345"/>
        <v>20000</v>
      </c>
      <c r="TD203" s="132">
        <f t="shared" si="346"/>
        <v>0</v>
      </c>
      <c r="TE203" s="132">
        <f t="shared" si="347"/>
        <v>0</v>
      </c>
      <c r="TF203" s="132">
        <f t="shared" si="348"/>
        <v>190500</v>
      </c>
      <c r="TG203" s="132">
        <f t="shared" si="349"/>
        <v>188500</v>
      </c>
      <c r="TH203" s="132">
        <f t="shared" si="350"/>
        <v>127000</v>
      </c>
      <c r="TI203" s="1"/>
      <c r="TJ203" s="131">
        <f t="shared" si="351"/>
        <v>5200000</v>
      </c>
      <c r="TK203" s="131">
        <f t="shared" si="352"/>
        <v>5200000</v>
      </c>
      <c r="TL203" s="131">
        <f t="shared" si="353"/>
        <v>5200000</v>
      </c>
      <c r="TM203" s="132">
        <f t="shared" si="354"/>
        <v>5200000</v>
      </c>
      <c r="TN203" s="132">
        <f t="shared" si="355"/>
        <v>0</v>
      </c>
      <c r="TO203" s="132">
        <f t="shared" si="356"/>
        <v>0</v>
      </c>
      <c r="TP203" s="132">
        <f t="shared" si="357"/>
        <v>0</v>
      </c>
      <c r="TQ203" s="131">
        <f t="shared" si="358"/>
        <v>0</v>
      </c>
      <c r="TR203" s="131">
        <f t="shared" si="359"/>
        <v>0</v>
      </c>
      <c r="TS203" s="132">
        <f t="shared" si="360"/>
        <v>0</v>
      </c>
      <c r="TT203" s="132">
        <f t="shared" si="361"/>
        <v>0</v>
      </c>
      <c r="TU203" s="132">
        <f t="shared" si="362"/>
        <v>0</v>
      </c>
      <c r="TV203" s="132">
        <f t="shared" si="363"/>
        <v>0</v>
      </c>
      <c r="TW203" s="132">
        <f t="shared" si="364"/>
        <v>0</v>
      </c>
      <c r="TX203" s="132">
        <f t="shared" si="365"/>
        <v>0</v>
      </c>
      <c r="TY203" s="131">
        <f t="shared" si="366"/>
        <v>0</v>
      </c>
      <c r="TZ203" s="132">
        <f t="shared" si="367"/>
        <v>0</v>
      </c>
      <c r="UA203" s="132">
        <f t="shared" si="368"/>
        <v>0</v>
      </c>
      <c r="UB203" s="132">
        <f t="shared" si="369"/>
        <v>0</v>
      </c>
      <c r="UC203" s="132">
        <f t="shared" si="370"/>
        <v>0</v>
      </c>
      <c r="UD203" s="132">
        <f t="shared" si="371"/>
        <v>0</v>
      </c>
      <c r="UE203" s="132">
        <f t="shared" si="372"/>
        <v>0</v>
      </c>
      <c r="UF203" s="132">
        <f t="shared" si="373"/>
        <v>0</v>
      </c>
      <c r="UG203" s="132">
        <f t="shared" si="374"/>
        <v>0</v>
      </c>
      <c r="UH203" s="132">
        <f t="shared" si="375"/>
        <v>0</v>
      </c>
      <c r="UI203" s="132">
        <f t="shared" si="376"/>
        <v>0</v>
      </c>
      <c r="UJ203" s="132">
        <f t="shared" si="377"/>
        <v>0</v>
      </c>
      <c r="UK203" s="132">
        <f t="shared" si="378"/>
        <v>0</v>
      </c>
      <c r="UL203" s="132">
        <f t="shared" si="413"/>
        <v>5200000</v>
      </c>
      <c r="UM203" s="131">
        <f t="shared" si="379"/>
        <v>5200000</v>
      </c>
      <c r="UN203" s="131">
        <f t="shared" si="380"/>
        <v>5200000</v>
      </c>
      <c r="UO203" s="131">
        <f t="shared" si="381"/>
        <v>5200000</v>
      </c>
      <c r="UP203" s="132">
        <f t="shared" si="382"/>
        <v>5200000</v>
      </c>
      <c r="UQ203" s="132">
        <f t="shared" si="383"/>
        <v>0</v>
      </c>
      <c r="UR203" s="132">
        <f t="shared" si="384"/>
        <v>0</v>
      </c>
      <c r="US203" s="132">
        <f t="shared" si="385"/>
        <v>0</v>
      </c>
      <c r="UT203" s="131">
        <f t="shared" si="386"/>
        <v>0</v>
      </c>
      <c r="UU203" s="131">
        <f t="shared" si="387"/>
        <v>0</v>
      </c>
      <c r="UV203" s="132">
        <f t="shared" si="388"/>
        <v>0</v>
      </c>
      <c r="UW203" s="132">
        <f t="shared" si="389"/>
        <v>0</v>
      </c>
      <c r="UX203" s="132">
        <f t="shared" si="390"/>
        <v>0</v>
      </c>
      <c r="UY203" s="132">
        <f t="shared" si="391"/>
        <v>0</v>
      </c>
      <c r="UZ203" s="132">
        <f t="shared" si="392"/>
        <v>0</v>
      </c>
      <c r="VA203" s="132">
        <f t="shared" si="393"/>
        <v>0</v>
      </c>
      <c r="VB203" s="131">
        <f t="shared" si="394"/>
        <v>0</v>
      </c>
      <c r="VC203" s="132">
        <f t="shared" si="395"/>
        <v>0</v>
      </c>
      <c r="VD203" s="132">
        <f t="shared" si="396"/>
        <v>0</v>
      </c>
      <c r="VE203" s="132">
        <f t="shared" si="397"/>
        <v>0</v>
      </c>
      <c r="VF203" s="132">
        <f t="shared" si="398"/>
        <v>0</v>
      </c>
      <c r="VG203" s="132">
        <f t="shared" si="399"/>
        <v>0</v>
      </c>
      <c r="VH203" s="132">
        <f t="shared" si="400"/>
        <v>0</v>
      </c>
      <c r="VI203" s="132">
        <f t="shared" si="401"/>
        <v>0</v>
      </c>
      <c r="VJ203" s="132">
        <f t="shared" si="402"/>
        <v>0</v>
      </c>
      <c r="VK203" s="132">
        <f t="shared" si="403"/>
        <v>0</v>
      </c>
      <c r="VL203" s="132">
        <f t="shared" si="404"/>
        <v>0</v>
      </c>
      <c r="VM203" s="132">
        <f t="shared" si="405"/>
        <v>0</v>
      </c>
      <c r="VN203" s="132">
        <f t="shared" si="406"/>
        <v>0</v>
      </c>
      <c r="VP203" s="845" t="str">
        <f>IFERROR(HLOOKUP(F203,'Hodnocení '!$C$1:$JH$5,2,FALSE),0)</f>
        <v>Pečovatelská služba Trutnov</v>
      </c>
      <c r="VQ203" s="838"/>
      <c r="VR203" s="845" t="str">
        <f t="shared" si="414"/>
        <v>Příspěvková organizace zřízená územním samosprávným celkem</v>
      </c>
      <c r="VS203" s="845" t="str">
        <f>IFERROR(HLOOKUP(F203,'Hodnocení '!$C$1:$JH$5,5,FALSE),0)</f>
        <v>Obce</v>
      </c>
      <c r="VT203" s="838" t="str">
        <f t="shared" si="415"/>
        <v>Příspěvková organizace zřízená územním samosprávným celkem</v>
      </c>
      <c r="VU203" s="838">
        <f t="shared" si="416"/>
        <v>0</v>
      </c>
      <c r="VV203" s="838">
        <f t="shared" si="417"/>
        <v>3000000</v>
      </c>
      <c r="VW203" s="838">
        <f t="shared" si="418"/>
        <v>0</v>
      </c>
      <c r="VX203" s="838"/>
      <c r="VY203" s="838">
        <f t="shared" si="317"/>
        <v>0</v>
      </c>
      <c r="VZ203" s="838">
        <f t="shared" si="318"/>
        <v>5200000</v>
      </c>
      <c r="WA203" s="846">
        <f>IFERROR(HLOOKUP($F203,'Hodnocení '!$C$1:$JH$9,9,FALSE),0)</f>
        <v>5200000</v>
      </c>
      <c r="WB203" s="846">
        <f>IF(IFERROR(HLOOKUP($F203,'Hodnocení '!$C$1:$JH$13,13,FALSE),0)&gt;WA203,WA203,IFERROR(HLOOKUP($F203,'Hodnocení '!$C$1:$JH$13,13,FALSE),0))</f>
        <v>5200000</v>
      </c>
      <c r="WC203" s="846">
        <f>IFERROR(HLOOKUP($F203,'Hodnocení '!$C$1:$JH$155,155,FALSE),0)</f>
        <v>5200000</v>
      </c>
      <c r="WD203" s="845"/>
      <c r="WE203" s="845"/>
      <c r="WF203" s="845" t="str">
        <f t="shared" si="407"/>
        <v>ANO</v>
      </c>
      <c r="WG203" s="849" t="str">
        <f t="shared" si="320"/>
        <v>Podpora služby je vyjádřena zařazením do sítě sociálních služeb v KHK a řešením financování služby</v>
      </c>
      <c r="WH203"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03" s="849" t="str">
        <f t="shared" si="320"/>
        <v>Návrh dotace je výsledkem projednání s ostatními zadavateli v rámci sítě služeb KHK</v>
      </c>
      <c r="WJ203" s="849" t="str">
        <f t="shared" si="320"/>
        <v>Bez komentáře</v>
      </c>
      <c r="WK203" s="31" t="str">
        <f t="shared" si="408"/>
        <v>Výše příspěvku ze strany zřizovatele bude řešen v návaznosti na řešení podílů jednotlivých zadavatelů</v>
      </c>
      <c r="WL203" s="850">
        <f t="shared" si="409"/>
        <v>0</v>
      </c>
      <c r="WM203" s="849" t="str">
        <f t="shared" si="410"/>
        <v>V rámci sítě KHK se dlouhodobě řeší otázka navyšování úhrad a průběžně se monitoruje s vazbou na vykrytí vyrovnávací platby</v>
      </c>
      <c r="WN203" s="849">
        <f t="shared" si="411"/>
        <v>0</v>
      </c>
      <c r="WO203" s="849" t="str">
        <f t="shared" si="321"/>
        <v>bez komentáře</v>
      </c>
      <c r="WP203" s="849" t="str">
        <f t="shared" si="321"/>
        <v>bez komentáře</v>
      </c>
      <c r="WQ203" s="849" t="str">
        <f t="shared" si="321"/>
        <v>Konečná výše dotace z rozpočtu KHK bude řešena v návaznosti na řešení podílů jednotlivých zadavatelů.</v>
      </c>
      <c r="WR203" s="849" t="str">
        <f t="shared" si="321"/>
        <v>Konečná výše podpory ze stran obcí bude řešena v součinnosti s jednotlivými zadavateli v průběhu roku.</v>
      </c>
      <c r="WS203" s="849" t="str">
        <f t="shared" si="321"/>
        <v>bez komentáře</v>
      </c>
      <c r="WT203" s="849" t="str">
        <f t="shared" si="321"/>
        <v>bez komentáře</v>
      </c>
      <c r="WU203" s="845"/>
    </row>
    <row r="204" spans="1:619" s="128" customFormat="1" x14ac:dyDescent="0.25">
      <c r="A204" s="128" t="str">
        <f>VLOOKUP(F204,'Výpočet VP 2020'!$D$324:$I$588,6,FALSE)</f>
        <v>Je v síti</v>
      </c>
      <c r="B204" s="128" t="s">
        <v>868</v>
      </c>
      <c r="C204" s="128">
        <v>64203450</v>
      </c>
      <c r="D204" s="128" t="s">
        <v>869</v>
      </c>
      <c r="E204" s="128" t="s">
        <v>259</v>
      </c>
      <c r="F204" s="128">
        <v>9583114</v>
      </c>
      <c r="G204" s="128" t="s">
        <v>328</v>
      </c>
      <c r="H204" s="128" t="s">
        <v>218</v>
      </c>
      <c r="I204" s="128" t="s">
        <v>868</v>
      </c>
      <c r="J204" s="129">
        <v>41458</v>
      </c>
      <c r="L204" s="128" t="s">
        <v>220</v>
      </c>
      <c r="X204" s="128" t="s">
        <v>320</v>
      </c>
      <c r="Z204" s="128">
        <v>2</v>
      </c>
      <c r="AA204" s="128">
        <v>5</v>
      </c>
      <c r="AB204" s="128">
        <v>0</v>
      </c>
      <c r="AC204" s="128">
        <v>2</v>
      </c>
      <c r="AD204" s="128">
        <v>2</v>
      </c>
      <c r="AN204" s="128">
        <v>50</v>
      </c>
      <c r="AO204" s="128" t="s">
        <v>870</v>
      </c>
      <c r="AP204" s="128" t="s">
        <v>373</v>
      </c>
      <c r="AQ204" s="128">
        <v>3</v>
      </c>
      <c r="AR204" s="128">
        <v>90</v>
      </c>
      <c r="AS204" s="128">
        <v>77</v>
      </c>
      <c r="AT204" s="128">
        <v>70</v>
      </c>
      <c r="AU204" s="128">
        <v>80</v>
      </c>
      <c r="BJ204" s="128">
        <v>900</v>
      </c>
      <c r="BL204" s="128" t="s">
        <v>419</v>
      </c>
      <c r="BM204" s="128" t="s">
        <v>325</v>
      </c>
      <c r="BN204" s="128" t="s">
        <v>424</v>
      </c>
      <c r="BO204" s="128">
        <v>0</v>
      </c>
      <c r="BP204" s="128">
        <v>0</v>
      </c>
      <c r="BQ204" s="128">
        <v>0</v>
      </c>
      <c r="BR204" s="128">
        <v>0</v>
      </c>
      <c r="BS204" s="128">
        <v>0</v>
      </c>
      <c r="BT204" s="128">
        <v>11</v>
      </c>
      <c r="BU204" s="128">
        <v>12</v>
      </c>
      <c r="BV204" s="128">
        <v>2</v>
      </c>
      <c r="BW204" s="128">
        <v>0</v>
      </c>
      <c r="BX204" s="128">
        <v>26</v>
      </c>
      <c r="BY204" s="128">
        <v>11</v>
      </c>
      <c r="BZ204" s="128">
        <v>12</v>
      </c>
      <c r="CA204" s="128">
        <v>2</v>
      </c>
      <c r="CB204" s="128">
        <v>0</v>
      </c>
      <c r="CC204" s="128">
        <v>26</v>
      </c>
      <c r="CD204" s="128">
        <v>0</v>
      </c>
      <c r="CE204" s="128">
        <v>51</v>
      </c>
      <c r="CF204" s="128">
        <v>51</v>
      </c>
      <c r="CG204" s="128">
        <v>0</v>
      </c>
      <c r="CH204" s="128">
        <v>0</v>
      </c>
      <c r="CI204" s="128">
        <v>0</v>
      </c>
      <c r="CJ204" s="128">
        <v>0</v>
      </c>
      <c r="CK204" s="128">
        <v>0</v>
      </c>
      <c r="CL204" s="128">
        <v>0</v>
      </c>
      <c r="CM204" s="128">
        <v>13</v>
      </c>
      <c r="CN204" s="128">
        <v>12</v>
      </c>
      <c r="CO204" s="128">
        <v>4</v>
      </c>
      <c r="CP204" s="128">
        <v>2</v>
      </c>
      <c r="CQ204" s="128">
        <v>51</v>
      </c>
      <c r="CR204" s="128">
        <v>13</v>
      </c>
      <c r="CS204" s="128">
        <v>12</v>
      </c>
      <c r="CT204" s="128">
        <v>4</v>
      </c>
      <c r="CU204" s="128">
        <v>2</v>
      </c>
      <c r="CV204" s="128">
        <v>51</v>
      </c>
      <c r="CW204" s="128">
        <v>0</v>
      </c>
      <c r="CX204" s="128">
        <v>82</v>
      </c>
      <c r="CY204" s="128">
        <v>82</v>
      </c>
      <c r="CZ204" s="128">
        <v>0</v>
      </c>
      <c r="EK204" s="128">
        <v>1</v>
      </c>
      <c r="EL204" s="128">
        <v>0.1</v>
      </c>
      <c r="EM204" s="128">
        <v>0.1</v>
      </c>
      <c r="EN204" s="128">
        <v>70500</v>
      </c>
      <c r="EO204" s="128">
        <v>35250</v>
      </c>
      <c r="EP204" s="128">
        <v>3</v>
      </c>
      <c r="EQ204" s="128">
        <v>2.5</v>
      </c>
      <c r="ER204" s="128">
        <v>2.5</v>
      </c>
      <c r="ES204" s="128">
        <v>1149000</v>
      </c>
      <c r="ET204" s="128">
        <v>138800</v>
      </c>
      <c r="FO204" s="128">
        <v>1</v>
      </c>
      <c r="FP204" s="128">
        <v>0.1</v>
      </c>
      <c r="FQ204" s="128">
        <v>0.1</v>
      </c>
      <c r="FR204" s="128">
        <v>70500</v>
      </c>
      <c r="FS204" s="128">
        <v>35250</v>
      </c>
      <c r="KB204" s="128">
        <v>2</v>
      </c>
      <c r="KC204" s="128">
        <v>0.2</v>
      </c>
      <c r="KD204" s="128">
        <v>0</v>
      </c>
      <c r="KE204" s="128">
        <v>27000</v>
      </c>
      <c r="KF204" s="128">
        <v>0</v>
      </c>
      <c r="KG204" s="128">
        <v>0</v>
      </c>
      <c r="KI204" s="128">
        <v>2.6</v>
      </c>
      <c r="KJ204" s="128">
        <v>0</v>
      </c>
      <c r="KK204" s="128">
        <v>0</v>
      </c>
      <c r="KL204" s="128">
        <v>0</v>
      </c>
      <c r="KM204" s="128">
        <v>2.6</v>
      </c>
      <c r="KN204" s="128">
        <v>1290000</v>
      </c>
      <c r="KO204" s="128">
        <v>209300</v>
      </c>
      <c r="KP204" s="128">
        <v>209300</v>
      </c>
      <c r="KT204" s="128">
        <v>0</v>
      </c>
      <c r="KU204" s="128">
        <v>0</v>
      </c>
      <c r="KV204" s="128">
        <v>0</v>
      </c>
      <c r="KZ204" s="128">
        <v>0</v>
      </c>
      <c r="LA204" s="128">
        <v>0</v>
      </c>
      <c r="LB204" s="128">
        <v>0</v>
      </c>
      <c r="LF204" s="128">
        <v>0</v>
      </c>
      <c r="LG204" s="128">
        <v>0</v>
      </c>
      <c r="LH204" s="128">
        <v>0</v>
      </c>
      <c r="LL204" s="128">
        <v>0</v>
      </c>
      <c r="LM204" s="128">
        <v>0</v>
      </c>
      <c r="LN204" s="128">
        <v>0</v>
      </c>
      <c r="LR204" s="128">
        <v>0</v>
      </c>
      <c r="LS204" s="128">
        <v>0</v>
      </c>
      <c r="LT204" s="128">
        <v>0</v>
      </c>
      <c r="LX204" s="128">
        <v>0</v>
      </c>
      <c r="LY204" s="128">
        <v>0</v>
      </c>
      <c r="LZ204" s="128">
        <v>0</v>
      </c>
      <c r="MD204" s="128">
        <v>1800</v>
      </c>
      <c r="ME204" s="128">
        <v>0</v>
      </c>
      <c r="MF204" s="128">
        <v>0</v>
      </c>
      <c r="MJ204" s="128">
        <v>35000</v>
      </c>
      <c r="MK204" s="128">
        <v>0</v>
      </c>
      <c r="ML204" s="128">
        <v>0</v>
      </c>
      <c r="MP204" s="128">
        <v>15500</v>
      </c>
      <c r="MQ204" s="128">
        <v>0</v>
      </c>
      <c r="MR204" s="128">
        <v>0</v>
      </c>
      <c r="MV204" s="128">
        <v>0</v>
      </c>
      <c r="MW204" s="128">
        <v>0</v>
      </c>
      <c r="MX204" s="128">
        <v>0</v>
      </c>
      <c r="NB204" s="128">
        <v>6500</v>
      </c>
      <c r="NC204" s="128">
        <v>0</v>
      </c>
      <c r="ND204" s="128">
        <v>0</v>
      </c>
      <c r="NH204" s="128">
        <v>36000</v>
      </c>
      <c r="NI204" s="128">
        <v>0</v>
      </c>
      <c r="NJ204" s="128">
        <v>0</v>
      </c>
      <c r="NN204" s="128">
        <v>0</v>
      </c>
      <c r="NO204" s="128">
        <v>0</v>
      </c>
      <c r="NP204" s="128">
        <v>0</v>
      </c>
      <c r="NT204" s="128">
        <v>4000</v>
      </c>
      <c r="NU204" s="128">
        <v>0</v>
      </c>
      <c r="NV204" s="128">
        <v>0</v>
      </c>
      <c r="NZ204" s="128">
        <v>16000</v>
      </c>
      <c r="OA204" s="128">
        <v>0</v>
      </c>
      <c r="OB204" s="128">
        <v>0</v>
      </c>
      <c r="OF204" s="128">
        <v>4000</v>
      </c>
      <c r="OG204" s="128">
        <v>0</v>
      </c>
      <c r="OH204" s="128">
        <v>0</v>
      </c>
      <c r="OL204" s="128">
        <v>0</v>
      </c>
      <c r="OM204" s="128">
        <v>0</v>
      </c>
      <c r="ON204" s="128">
        <v>0</v>
      </c>
      <c r="OR204" s="128">
        <v>27000</v>
      </c>
      <c r="OS204" s="128">
        <v>0</v>
      </c>
      <c r="OT204" s="128">
        <v>0</v>
      </c>
      <c r="OX204" s="128">
        <v>13000</v>
      </c>
      <c r="OY204" s="128">
        <v>0</v>
      </c>
      <c r="OZ204" s="128">
        <v>0</v>
      </c>
      <c r="PD204" s="128">
        <v>13000</v>
      </c>
      <c r="PE204" s="128">
        <v>0</v>
      </c>
      <c r="PF204" s="128">
        <v>0</v>
      </c>
      <c r="PJ204" s="128">
        <v>0</v>
      </c>
      <c r="PK204" s="128">
        <v>0</v>
      </c>
      <c r="PL204" s="128">
        <v>0</v>
      </c>
      <c r="PP204" s="128">
        <v>1461800</v>
      </c>
      <c r="PQ204" s="128">
        <v>209300</v>
      </c>
      <c r="PR204" s="128">
        <v>209300</v>
      </c>
      <c r="PS204" s="128">
        <v>100</v>
      </c>
      <c r="PT204" s="128">
        <v>100</v>
      </c>
      <c r="PV204" s="128">
        <v>851046</v>
      </c>
      <c r="PX204" s="128">
        <v>192000</v>
      </c>
      <c r="PY204" s="128">
        <v>144000</v>
      </c>
      <c r="PZ204" s="128">
        <v>209300</v>
      </c>
      <c r="QA204" s="128">
        <v>0</v>
      </c>
      <c r="QB204" s="128">
        <v>0</v>
      </c>
      <c r="QC204" s="128">
        <v>0</v>
      </c>
      <c r="QD204" s="128">
        <v>700000</v>
      </c>
      <c r="QE204" s="128">
        <v>992500</v>
      </c>
      <c r="QF204" s="128">
        <v>992500</v>
      </c>
      <c r="QG204" s="128">
        <v>0</v>
      </c>
      <c r="QH204" s="128">
        <v>0</v>
      </c>
      <c r="QI204" s="128">
        <v>0</v>
      </c>
      <c r="QJ204" s="128">
        <v>266062</v>
      </c>
      <c r="QK204" s="128">
        <v>260000</v>
      </c>
      <c r="QL204" s="128">
        <v>260000</v>
      </c>
      <c r="QN204" s="128">
        <v>0</v>
      </c>
      <c r="QO204" s="128">
        <v>0</v>
      </c>
      <c r="QP204" s="128">
        <v>0</v>
      </c>
      <c r="RH204" s="128">
        <f t="shared" si="412"/>
        <v>1201800</v>
      </c>
      <c r="RI204" s="128">
        <v>0</v>
      </c>
      <c r="RM204" s="128" t="s">
        <v>220</v>
      </c>
      <c r="RU204" s="130"/>
      <c r="RV204" s="130"/>
      <c r="RW204" s="130"/>
      <c r="RX204" s="130"/>
      <c r="SF204" s="128">
        <f t="shared" si="322"/>
        <v>9583114</v>
      </c>
      <c r="SG204" s="131">
        <f t="shared" si="323"/>
        <v>1461800</v>
      </c>
      <c r="SH204" s="131">
        <f t="shared" si="324"/>
        <v>1461800</v>
      </c>
      <c r="SI204" s="131">
        <f t="shared" si="325"/>
        <v>1290000</v>
      </c>
      <c r="SJ204" s="132">
        <f t="shared" si="326"/>
        <v>1290000</v>
      </c>
      <c r="SK204" s="132">
        <f t="shared" si="327"/>
        <v>0</v>
      </c>
      <c r="SL204" s="132">
        <f t="shared" si="328"/>
        <v>0</v>
      </c>
      <c r="SM204" s="132">
        <f t="shared" si="329"/>
        <v>0</v>
      </c>
      <c r="SN204" s="131">
        <f t="shared" si="330"/>
        <v>171800</v>
      </c>
      <c r="SO204" s="131">
        <f t="shared" si="331"/>
        <v>0</v>
      </c>
      <c r="SP204" s="132">
        <f t="shared" si="332"/>
        <v>0</v>
      </c>
      <c r="SQ204" s="132">
        <f t="shared" si="333"/>
        <v>0</v>
      </c>
      <c r="SR204" s="132">
        <f t="shared" si="334"/>
        <v>0</v>
      </c>
      <c r="SS204" s="132">
        <f t="shared" si="335"/>
        <v>1800</v>
      </c>
      <c r="ST204" s="132">
        <f t="shared" si="336"/>
        <v>35000</v>
      </c>
      <c r="SU204" s="132">
        <f t="shared" si="337"/>
        <v>15500</v>
      </c>
      <c r="SV204" s="131">
        <f t="shared" si="338"/>
        <v>106500</v>
      </c>
      <c r="SW204" s="132">
        <f t="shared" si="339"/>
        <v>0</v>
      </c>
      <c r="SX204" s="132">
        <f t="shared" si="340"/>
        <v>6500</v>
      </c>
      <c r="SY204" s="132">
        <f t="shared" si="341"/>
        <v>36000</v>
      </c>
      <c r="SZ204" s="132">
        <f t="shared" si="342"/>
        <v>0</v>
      </c>
      <c r="TA204" s="132">
        <f t="shared" si="343"/>
        <v>4000</v>
      </c>
      <c r="TB204" s="132">
        <f t="shared" si="344"/>
        <v>16000</v>
      </c>
      <c r="TC204" s="132">
        <f t="shared" si="345"/>
        <v>4000</v>
      </c>
      <c r="TD204" s="132">
        <f t="shared" si="346"/>
        <v>0</v>
      </c>
      <c r="TE204" s="132">
        <f t="shared" si="347"/>
        <v>27000</v>
      </c>
      <c r="TF204" s="132">
        <f t="shared" si="348"/>
        <v>13000</v>
      </c>
      <c r="TG204" s="132">
        <f t="shared" si="349"/>
        <v>13000</v>
      </c>
      <c r="TH204" s="132">
        <f t="shared" si="350"/>
        <v>0</v>
      </c>
      <c r="TI204" s="1"/>
      <c r="TJ204" s="131">
        <f t="shared" si="351"/>
        <v>209300</v>
      </c>
      <c r="TK204" s="131">
        <f t="shared" si="352"/>
        <v>209300</v>
      </c>
      <c r="TL204" s="131">
        <f t="shared" si="353"/>
        <v>209300</v>
      </c>
      <c r="TM204" s="132">
        <f t="shared" si="354"/>
        <v>209300</v>
      </c>
      <c r="TN204" s="132">
        <f t="shared" si="355"/>
        <v>0</v>
      </c>
      <c r="TO204" s="132">
        <f t="shared" si="356"/>
        <v>0</v>
      </c>
      <c r="TP204" s="132">
        <f t="shared" si="357"/>
        <v>0</v>
      </c>
      <c r="TQ204" s="131">
        <f t="shared" si="358"/>
        <v>0</v>
      </c>
      <c r="TR204" s="131">
        <f t="shared" si="359"/>
        <v>0</v>
      </c>
      <c r="TS204" s="132">
        <f t="shared" si="360"/>
        <v>0</v>
      </c>
      <c r="TT204" s="132">
        <f t="shared" si="361"/>
        <v>0</v>
      </c>
      <c r="TU204" s="132">
        <f t="shared" si="362"/>
        <v>0</v>
      </c>
      <c r="TV204" s="132">
        <f t="shared" si="363"/>
        <v>0</v>
      </c>
      <c r="TW204" s="132">
        <f t="shared" si="364"/>
        <v>0</v>
      </c>
      <c r="TX204" s="132">
        <f t="shared" si="365"/>
        <v>0</v>
      </c>
      <c r="TY204" s="131">
        <f t="shared" si="366"/>
        <v>0</v>
      </c>
      <c r="TZ204" s="132">
        <f t="shared" si="367"/>
        <v>0</v>
      </c>
      <c r="UA204" s="132">
        <f t="shared" si="368"/>
        <v>0</v>
      </c>
      <c r="UB204" s="132">
        <f t="shared" si="369"/>
        <v>0</v>
      </c>
      <c r="UC204" s="132">
        <f t="shared" si="370"/>
        <v>0</v>
      </c>
      <c r="UD204" s="132">
        <f t="shared" si="371"/>
        <v>0</v>
      </c>
      <c r="UE204" s="132">
        <f t="shared" si="372"/>
        <v>0</v>
      </c>
      <c r="UF204" s="132">
        <f t="shared" si="373"/>
        <v>0</v>
      </c>
      <c r="UG204" s="132">
        <f t="shared" si="374"/>
        <v>0</v>
      </c>
      <c r="UH204" s="132">
        <f t="shared" si="375"/>
        <v>0</v>
      </c>
      <c r="UI204" s="132">
        <f t="shared" si="376"/>
        <v>0</v>
      </c>
      <c r="UJ204" s="132">
        <f t="shared" si="377"/>
        <v>0</v>
      </c>
      <c r="UK204" s="132">
        <f t="shared" si="378"/>
        <v>0</v>
      </c>
      <c r="UL204" s="132">
        <f t="shared" si="413"/>
        <v>209300</v>
      </c>
      <c r="UM204" s="131">
        <f t="shared" si="379"/>
        <v>209300</v>
      </c>
      <c r="UN204" s="131">
        <f t="shared" si="380"/>
        <v>209300</v>
      </c>
      <c r="UO204" s="131">
        <f t="shared" si="381"/>
        <v>209300</v>
      </c>
      <c r="UP204" s="132">
        <f t="shared" si="382"/>
        <v>209300</v>
      </c>
      <c r="UQ204" s="132">
        <f t="shared" si="383"/>
        <v>0</v>
      </c>
      <c r="UR204" s="132">
        <f t="shared" si="384"/>
        <v>0</v>
      </c>
      <c r="US204" s="132">
        <f t="shared" si="385"/>
        <v>0</v>
      </c>
      <c r="UT204" s="131">
        <f t="shared" si="386"/>
        <v>0</v>
      </c>
      <c r="UU204" s="131">
        <f t="shared" si="387"/>
        <v>0</v>
      </c>
      <c r="UV204" s="132">
        <f t="shared" si="388"/>
        <v>0</v>
      </c>
      <c r="UW204" s="132">
        <f t="shared" si="389"/>
        <v>0</v>
      </c>
      <c r="UX204" s="132">
        <f t="shared" si="390"/>
        <v>0</v>
      </c>
      <c r="UY204" s="132">
        <f t="shared" si="391"/>
        <v>0</v>
      </c>
      <c r="UZ204" s="132">
        <f t="shared" si="392"/>
        <v>0</v>
      </c>
      <c r="VA204" s="132">
        <f t="shared" si="393"/>
        <v>0</v>
      </c>
      <c r="VB204" s="131">
        <f t="shared" si="394"/>
        <v>0</v>
      </c>
      <c r="VC204" s="132">
        <f t="shared" si="395"/>
        <v>0</v>
      </c>
      <c r="VD204" s="132">
        <f t="shared" si="396"/>
        <v>0</v>
      </c>
      <c r="VE204" s="132">
        <f t="shared" si="397"/>
        <v>0</v>
      </c>
      <c r="VF204" s="132">
        <f t="shared" si="398"/>
        <v>0</v>
      </c>
      <c r="VG204" s="132">
        <f t="shared" si="399"/>
        <v>0</v>
      </c>
      <c r="VH204" s="132">
        <f t="shared" si="400"/>
        <v>0</v>
      </c>
      <c r="VI204" s="132">
        <f t="shared" si="401"/>
        <v>0</v>
      </c>
      <c r="VJ204" s="132">
        <f t="shared" si="402"/>
        <v>0</v>
      </c>
      <c r="VK204" s="132">
        <f t="shared" si="403"/>
        <v>0</v>
      </c>
      <c r="VL204" s="132">
        <f t="shared" si="404"/>
        <v>0</v>
      </c>
      <c r="VM204" s="132">
        <f t="shared" si="405"/>
        <v>0</v>
      </c>
      <c r="VN204" s="132">
        <f t="shared" si="406"/>
        <v>0</v>
      </c>
      <c r="VP204" s="845" t="str">
        <f>IFERROR(HLOOKUP(F204,'Hodnocení '!$C$1:$JH$5,2,FALSE),0)</f>
        <v>Pečovatelská služba Žacléř</v>
      </c>
      <c r="VQ204" s="838"/>
      <c r="VR204" s="845" t="str">
        <f t="shared" si="414"/>
        <v>Příspěvková organizace zřízená územním samosprávným celkem</v>
      </c>
      <c r="VS204" s="845" t="str">
        <f>IFERROR(HLOOKUP(F204,'Hodnocení '!$C$1:$JH$5,5,FALSE),0)</f>
        <v>Obce</v>
      </c>
      <c r="VT204" s="838" t="str">
        <f t="shared" si="415"/>
        <v>Příspěvková organizace zřízená územním samosprávným celkem</v>
      </c>
      <c r="VU204" s="838">
        <f t="shared" si="416"/>
        <v>0</v>
      </c>
      <c r="VV204" s="838">
        <f t="shared" si="417"/>
        <v>260000</v>
      </c>
      <c r="VW204" s="838">
        <f t="shared" si="418"/>
        <v>0</v>
      </c>
      <c r="VX204" s="838"/>
      <c r="VY204" s="838">
        <f t="shared" si="317"/>
        <v>0</v>
      </c>
      <c r="VZ204" s="838">
        <f t="shared" si="318"/>
        <v>209300</v>
      </c>
      <c r="WA204" s="846">
        <f>IFERROR(HLOOKUP($F204,'Hodnocení '!$C$1:$JH$9,9,FALSE),0)</f>
        <v>209300</v>
      </c>
      <c r="WB204" s="846">
        <f>IF(IFERROR(HLOOKUP($F204,'Hodnocení '!$C$1:$JH$13,13,FALSE),0)&gt;WA204,WA204,IFERROR(HLOOKUP($F204,'Hodnocení '!$C$1:$JH$13,13,FALSE),0))</f>
        <v>209300</v>
      </c>
      <c r="WC204" s="846">
        <f>IFERROR(HLOOKUP($F204,'Hodnocení '!$C$1:$JH$155,155,FALSE),0)</f>
        <v>0</v>
      </c>
      <c r="WD204" s="845"/>
      <c r="WE204" s="845"/>
      <c r="WF204" s="845" t="str">
        <f t="shared" si="407"/>
        <v>ANO</v>
      </c>
      <c r="WG204" s="849" t="str">
        <f t="shared" si="320"/>
        <v>Podpora služby je vyjádřena zařazením do sítě sociálních služeb v KHK a řešením financování služby</v>
      </c>
      <c r="WH204"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04" s="849" t="str">
        <f t="shared" si="320"/>
        <v>Návrh dotace je výsledkem projednání s ostatními zadavateli v rámci sítě služeb KHK</v>
      </c>
      <c r="WJ204" s="849" t="str">
        <f t="shared" si="320"/>
        <v>Bez komentáře</v>
      </c>
      <c r="WK204" s="31" t="str">
        <f t="shared" si="408"/>
        <v>Výše příspěvku ze strany zřizovatele bude řešen v návaznosti na řešení podílů jednotlivých zadavatelů</v>
      </c>
      <c r="WL204" s="850">
        <f t="shared" si="409"/>
        <v>0</v>
      </c>
      <c r="WM204" s="849" t="str">
        <f t="shared" si="410"/>
        <v>V rámci sítě KHK se dlouhodobě řeší otázka navyšování úhrad a průběžně se monitoruje s vazbou na vykrytí vyrovnávací platby</v>
      </c>
      <c r="WN204" s="849">
        <f t="shared" si="411"/>
        <v>0</v>
      </c>
      <c r="WO204" s="849" t="str">
        <f t="shared" si="321"/>
        <v>bez komentáře</v>
      </c>
      <c r="WP204" s="849" t="str">
        <f t="shared" si="321"/>
        <v>bez komentáře</v>
      </c>
      <c r="WQ204" s="849" t="str">
        <f t="shared" si="321"/>
        <v>Konečná výše dotace z rozpočtu KHK bude řešena v návaznosti na řešení podílů jednotlivých zadavatelů.</v>
      </c>
      <c r="WR204" s="849" t="str">
        <f t="shared" si="321"/>
        <v>Konečná výše podpory ze stran obcí bude řešena v součinnosti s jednotlivými zadavateli v průběhu roku.</v>
      </c>
      <c r="WS204" s="849" t="str">
        <f t="shared" si="321"/>
        <v>bez komentáře</v>
      </c>
      <c r="WT204" s="849" t="str">
        <f t="shared" si="321"/>
        <v>bez komentáře</v>
      </c>
      <c r="WU204" s="845"/>
    </row>
    <row r="205" spans="1:619" s="128" customFormat="1" x14ac:dyDescent="0.25">
      <c r="A205" s="128" t="str">
        <f>VLOOKUP(F205,'Výpočet VP 2020'!$D$324:$I$588,6,FALSE)</f>
        <v>Je v síti</v>
      </c>
      <c r="B205" s="128" t="s">
        <v>871</v>
      </c>
      <c r="C205" s="128">
        <v>3503747</v>
      </c>
      <c r="D205" s="128" t="s">
        <v>872</v>
      </c>
      <c r="E205" s="128" t="s">
        <v>242</v>
      </c>
      <c r="F205" s="128">
        <v>9775815</v>
      </c>
      <c r="G205" s="128" t="s">
        <v>292</v>
      </c>
      <c r="H205" s="128" t="s">
        <v>293</v>
      </c>
      <c r="I205" s="128" t="s">
        <v>873</v>
      </c>
      <c r="J205" s="129">
        <v>43466</v>
      </c>
      <c r="L205" s="128" t="s">
        <v>220</v>
      </c>
      <c r="AP205" s="128" t="s">
        <v>237</v>
      </c>
      <c r="BE205" s="128">
        <v>1750</v>
      </c>
      <c r="BF205" s="128">
        <v>12</v>
      </c>
      <c r="BG205" s="128">
        <v>300</v>
      </c>
      <c r="BH205" s="128">
        <v>800</v>
      </c>
      <c r="BI205" s="128">
        <v>1750</v>
      </c>
      <c r="BL205" s="128" t="s">
        <v>724</v>
      </c>
      <c r="BM205" s="128" t="s">
        <v>340</v>
      </c>
      <c r="BN205" s="128" t="s">
        <v>248</v>
      </c>
      <c r="EK205" s="128">
        <v>2</v>
      </c>
      <c r="EL205" s="128">
        <v>1</v>
      </c>
      <c r="EM205" s="128">
        <v>0.75</v>
      </c>
      <c r="EN205" s="128">
        <v>564000</v>
      </c>
      <c r="EO205" s="128">
        <v>564000</v>
      </c>
      <c r="EZ205" s="128">
        <v>1</v>
      </c>
      <c r="FA205" s="128">
        <v>0.2</v>
      </c>
      <c r="FB205" s="128">
        <v>0.2</v>
      </c>
      <c r="FC205" s="128">
        <v>196000</v>
      </c>
      <c r="FD205" s="128">
        <v>196000</v>
      </c>
      <c r="FE205" s="128">
        <v>2</v>
      </c>
      <c r="FF205" s="128">
        <v>0.2</v>
      </c>
      <c r="FG205" s="128">
        <v>0</v>
      </c>
      <c r="FH205" s="128">
        <v>196000</v>
      </c>
      <c r="FI205" s="128">
        <v>196000</v>
      </c>
      <c r="FJ205" s="128">
        <v>1</v>
      </c>
      <c r="FK205" s="128">
        <v>0.2</v>
      </c>
      <c r="FL205" s="128">
        <v>0</v>
      </c>
      <c r="FM205" s="128">
        <v>196000</v>
      </c>
      <c r="FN205" s="128">
        <v>196000</v>
      </c>
      <c r="IN205" s="128">
        <v>3</v>
      </c>
      <c r="IO205" s="128">
        <v>900</v>
      </c>
      <c r="IP205" s="128">
        <v>0.42899999999999999</v>
      </c>
      <c r="IQ205" s="128">
        <v>360000</v>
      </c>
      <c r="IR205" s="128">
        <v>360000</v>
      </c>
      <c r="KB205" s="128">
        <v>2</v>
      </c>
      <c r="KC205" s="128">
        <v>0.2</v>
      </c>
      <c r="KD205" s="128">
        <v>0</v>
      </c>
      <c r="KE205" s="128">
        <v>60000</v>
      </c>
      <c r="KF205" s="128">
        <v>60000</v>
      </c>
      <c r="KG205" s="128">
        <v>5</v>
      </c>
      <c r="KH205" s="128">
        <v>100</v>
      </c>
      <c r="KI205" s="128">
        <v>1.6</v>
      </c>
      <c r="KJ205" s="128">
        <v>0</v>
      </c>
      <c r="KK205" s="128">
        <v>0.42899999999999999</v>
      </c>
      <c r="KL205" s="128">
        <v>0</v>
      </c>
      <c r="KM205" s="128">
        <v>2.0289999999999999</v>
      </c>
      <c r="KN205" s="128">
        <v>1152000</v>
      </c>
      <c r="KO205" s="128">
        <v>1152000</v>
      </c>
      <c r="KP205" s="128">
        <v>1146240</v>
      </c>
      <c r="KT205" s="128">
        <v>0</v>
      </c>
      <c r="KU205" s="128">
        <v>0</v>
      </c>
      <c r="KV205" s="128">
        <v>0</v>
      </c>
      <c r="KZ205" s="128">
        <v>360000</v>
      </c>
      <c r="LA205" s="128">
        <v>360000</v>
      </c>
      <c r="LB205" s="128">
        <v>358200</v>
      </c>
      <c r="LF205" s="128">
        <v>0</v>
      </c>
      <c r="LG205" s="128">
        <v>0</v>
      </c>
      <c r="LH205" s="128">
        <v>0</v>
      </c>
      <c r="LL205" s="128">
        <v>0</v>
      </c>
      <c r="LM205" s="128">
        <v>0</v>
      </c>
      <c r="LN205" s="128">
        <v>0</v>
      </c>
      <c r="LR205" s="128">
        <v>82000</v>
      </c>
      <c r="LS205" s="128">
        <v>60000</v>
      </c>
      <c r="LT205" s="128">
        <v>59700</v>
      </c>
      <c r="LX205" s="128">
        <v>0</v>
      </c>
      <c r="LY205" s="128">
        <v>0</v>
      </c>
      <c r="LZ205" s="128">
        <v>0</v>
      </c>
      <c r="MD205" s="128">
        <v>28000</v>
      </c>
      <c r="ME205" s="128">
        <v>6000</v>
      </c>
      <c r="MF205" s="128">
        <v>5970</v>
      </c>
      <c r="MJ205" s="128">
        <v>0</v>
      </c>
      <c r="MK205" s="128">
        <v>0</v>
      </c>
      <c r="ML205" s="128">
        <v>0</v>
      </c>
      <c r="MP205" s="128">
        <v>62000</v>
      </c>
      <c r="MQ205" s="128">
        <v>62000</v>
      </c>
      <c r="MR205" s="128">
        <v>61690</v>
      </c>
      <c r="MV205" s="128">
        <v>3000</v>
      </c>
      <c r="MW205" s="128">
        <v>0</v>
      </c>
      <c r="MX205" s="128">
        <v>0</v>
      </c>
      <c r="NB205" s="128">
        <v>34000</v>
      </c>
      <c r="NC205" s="128">
        <v>34000</v>
      </c>
      <c r="ND205" s="128">
        <v>33830</v>
      </c>
      <c r="NH205" s="128">
        <v>28800</v>
      </c>
      <c r="NI205" s="128">
        <v>18800</v>
      </c>
      <c r="NJ205" s="128">
        <v>18706</v>
      </c>
      <c r="NN205" s="128">
        <v>0</v>
      </c>
      <c r="NO205" s="128">
        <v>0</v>
      </c>
      <c r="NP205" s="128">
        <v>0</v>
      </c>
      <c r="NT205" s="128">
        <v>75000</v>
      </c>
      <c r="NU205" s="128">
        <v>60000</v>
      </c>
      <c r="NV205" s="128">
        <v>59700</v>
      </c>
      <c r="NZ205" s="128">
        <v>0</v>
      </c>
      <c r="OA205" s="128">
        <v>0</v>
      </c>
      <c r="OB205" s="128">
        <v>0</v>
      </c>
      <c r="OF205" s="128">
        <v>180000</v>
      </c>
      <c r="OG205" s="128">
        <v>62000</v>
      </c>
      <c r="OH205" s="128">
        <v>61690</v>
      </c>
      <c r="OL205" s="128">
        <v>0</v>
      </c>
      <c r="OM205" s="128">
        <v>0</v>
      </c>
      <c r="ON205" s="128">
        <v>0</v>
      </c>
      <c r="OR205" s="128">
        <v>60000</v>
      </c>
      <c r="OS205" s="128">
        <v>60000</v>
      </c>
      <c r="OT205" s="128">
        <v>59700</v>
      </c>
      <c r="OX205" s="128">
        <v>0</v>
      </c>
      <c r="OY205" s="128">
        <v>0</v>
      </c>
      <c r="OZ205" s="128">
        <v>0</v>
      </c>
      <c r="PD205" s="128">
        <v>0</v>
      </c>
      <c r="PE205" s="128">
        <v>0</v>
      </c>
      <c r="PF205" s="128">
        <v>0</v>
      </c>
      <c r="PJ205" s="128">
        <v>0</v>
      </c>
      <c r="PK205" s="128">
        <v>0</v>
      </c>
      <c r="PL205" s="128">
        <v>0</v>
      </c>
      <c r="PP205" s="128">
        <v>2064800</v>
      </c>
      <c r="PQ205" s="128">
        <v>1874800</v>
      </c>
      <c r="PR205" s="128">
        <v>1865426</v>
      </c>
      <c r="PS205" s="128">
        <v>99.5</v>
      </c>
      <c r="PT205" s="128">
        <v>72</v>
      </c>
      <c r="PU205" s="128">
        <v>5</v>
      </c>
      <c r="PY205" s="128">
        <v>605740</v>
      </c>
      <c r="PZ205" s="128">
        <v>1874800</v>
      </c>
      <c r="QB205" s="128">
        <v>0</v>
      </c>
      <c r="QC205" s="128">
        <v>0</v>
      </c>
      <c r="QE205" s="128">
        <v>0</v>
      </c>
      <c r="QF205" s="128">
        <v>0</v>
      </c>
      <c r="QH205" s="128">
        <v>0</v>
      </c>
      <c r="QI205" s="128">
        <v>0</v>
      </c>
      <c r="QK205" s="128">
        <v>0</v>
      </c>
      <c r="QL205" s="128">
        <v>0</v>
      </c>
      <c r="QO205" s="128">
        <v>0</v>
      </c>
      <c r="QP205" s="128">
        <v>0</v>
      </c>
      <c r="QY205" s="128">
        <v>10000</v>
      </c>
      <c r="QZ205" s="128">
        <v>10000</v>
      </c>
      <c r="RE205" s="128">
        <v>0</v>
      </c>
      <c r="RF205" s="128">
        <v>180000</v>
      </c>
      <c r="RH205" s="128">
        <f t="shared" si="412"/>
        <v>2064800</v>
      </c>
      <c r="RI205" s="128">
        <v>0</v>
      </c>
      <c r="RM205" s="128" t="s">
        <v>220</v>
      </c>
      <c r="RU205" s="130"/>
      <c r="RV205" s="130"/>
      <c r="RW205" s="130"/>
      <c r="RX205" s="130"/>
      <c r="SF205" s="128">
        <f t="shared" si="322"/>
        <v>9775815</v>
      </c>
      <c r="SG205" s="131">
        <f t="shared" si="323"/>
        <v>2064800</v>
      </c>
      <c r="SH205" s="131">
        <f t="shared" si="324"/>
        <v>2064800</v>
      </c>
      <c r="SI205" s="131">
        <f t="shared" si="325"/>
        <v>1512000</v>
      </c>
      <c r="SJ205" s="132">
        <f t="shared" si="326"/>
        <v>1152000</v>
      </c>
      <c r="SK205" s="132">
        <f t="shared" si="327"/>
        <v>0</v>
      </c>
      <c r="SL205" s="132">
        <f t="shared" si="328"/>
        <v>360000</v>
      </c>
      <c r="SM205" s="132">
        <f t="shared" si="329"/>
        <v>0</v>
      </c>
      <c r="SN205" s="131">
        <f t="shared" si="330"/>
        <v>552800</v>
      </c>
      <c r="SO205" s="131">
        <f t="shared" si="331"/>
        <v>82000</v>
      </c>
      <c r="SP205" s="132">
        <f t="shared" si="332"/>
        <v>0</v>
      </c>
      <c r="SQ205" s="132">
        <f t="shared" si="333"/>
        <v>82000</v>
      </c>
      <c r="SR205" s="132">
        <f t="shared" si="334"/>
        <v>0</v>
      </c>
      <c r="SS205" s="132">
        <f t="shared" si="335"/>
        <v>28000</v>
      </c>
      <c r="ST205" s="132">
        <f t="shared" si="336"/>
        <v>0</v>
      </c>
      <c r="SU205" s="132">
        <f t="shared" si="337"/>
        <v>62000</v>
      </c>
      <c r="SV205" s="131">
        <f t="shared" si="338"/>
        <v>380800</v>
      </c>
      <c r="SW205" s="132">
        <f t="shared" si="339"/>
        <v>3000</v>
      </c>
      <c r="SX205" s="132">
        <f t="shared" si="340"/>
        <v>34000</v>
      </c>
      <c r="SY205" s="132">
        <f t="shared" si="341"/>
        <v>28800</v>
      </c>
      <c r="SZ205" s="132">
        <f t="shared" si="342"/>
        <v>0</v>
      </c>
      <c r="TA205" s="132">
        <f t="shared" si="343"/>
        <v>75000</v>
      </c>
      <c r="TB205" s="132">
        <f t="shared" si="344"/>
        <v>0</v>
      </c>
      <c r="TC205" s="132">
        <f t="shared" si="345"/>
        <v>180000</v>
      </c>
      <c r="TD205" s="132">
        <f t="shared" si="346"/>
        <v>0</v>
      </c>
      <c r="TE205" s="132">
        <f t="shared" si="347"/>
        <v>60000</v>
      </c>
      <c r="TF205" s="132">
        <f t="shared" si="348"/>
        <v>0</v>
      </c>
      <c r="TG205" s="132">
        <f t="shared" si="349"/>
        <v>0</v>
      </c>
      <c r="TH205" s="132">
        <f t="shared" si="350"/>
        <v>0</v>
      </c>
      <c r="TI205" s="1"/>
      <c r="TJ205" s="131">
        <f t="shared" si="351"/>
        <v>1874800</v>
      </c>
      <c r="TK205" s="131">
        <f t="shared" si="352"/>
        <v>1874800</v>
      </c>
      <c r="TL205" s="131">
        <f t="shared" si="353"/>
        <v>1512000</v>
      </c>
      <c r="TM205" s="132">
        <f t="shared" si="354"/>
        <v>1152000</v>
      </c>
      <c r="TN205" s="132">
        <f t="shared" si="355"/>
        <v>0</v>
      </c>
      <c r="TO205" s="132">
        <f t="shared" si="356"/>
        <v>360000</v>
      </c>
      <c r="TP205" s="132">
        <f t="shared" si="357"/>
        <v>0</v>
      </c>
      <c r="TQ205" s="131">
        <f t="shared" si="358"/>
        <v>362800</v>
      </c>
      <c r="TR205" s="131">
        <f t="shared" si="359"/>
        <v>60000</v>
      </c>
      <c r="TS205" s="132">
        <f t="shared" si="360"/>
        <v>0</v>
      </c>
      <c r="TT205" s="132">
        <f t="shared" si="361"/>
        <v>60000</v>
      </c>
      <c r="TU205" s="132">
        <f t="shared" si="362"/>
        <v>0</v>
      </c>
      <c r="TV205" s="132">
        <f t="shared" si="363"/>
        <v>6000</v>
      </c>
      <c r="TW205" s="132">
        <f t="shared" si="364"/>
        <v>0</v>
      </c>
      <c r="TX205" s="132">
        <f t="shared" si="365"/>
        <v>62000</v>
      </c>
      <c r="TY205" s="131">
        <f t="shared" si="366"/>
        <v>234800</v>
      </c>
      <c r="TZ205" s="132">
        <f t="shared" si="367"/>
        <v>0</v>
      </c>
      <c r="UA205" s="132">
        <f t="shared" si="368"/>
        <v>34000</v>
      </c>
      <c r="UB205" s="132">
        <f t="shared" si="369"/>
        <v>18800</v>
      </c>
      <c r="UC205" s="132">
        <f t="shared" si="370"/>
        <v>0</v>
      </c>
      <c r="UD205" s="132">
        <f t="shared" si="371"/>
        <v>60000</v>
      </c>
      <c r="UE205" s="132">
        <f t="shared" si="372"/>
        <v>0</v>
      </c>
      <c r="UF205" s="132">
        <f t="shared" si="373"/>
        <v>62000</v>
      </c>
      <c r="UG205" s="132">
        <f t="shared" si="374"/>
        <v>0</v>
      </c>
      <c r="UH205" s="132">
        <f t="shared" si="375"/>
        <v>60000</v>
      </c>
      <c r="UI205" s="132">
        <f t="shared" si="376"/>
        <v>0</v>
      </c>
      <c r="UJ205" s="132">
        <f t="shared" si="377"/>
        <v>0</v>
      </c>
      <c r="UK205" s="132">
        <f t="shared" si="378"/>
        <v>0</v>
      </c>
      <c r="UL205" s="132">
        <f t="shared" si="413"/>
        <v>1865426</v>
      </c>
      <c r="UM205" s="131">
        <f t="shared" si="379"/>
        <v>1865426</v>
      </c>
      <c r="UN205" s="131">
        <f t="shared" si="380"/>
        <v>1865426</v>
      </c>
      <c r="UO205" s="131">
        <f t="shared" si="381"/>
        <v>1504440</v>
      </c>
      <c r="UP205" s="132">
        <f t="shared" si="382"/>
        <v>1146240</v>
      </c>
      <c r="UQ205" s="132">
        <f t="shared" si="383"/>
        <v>0</v>
      </c>
      <c r="UR205" s="132">
        <f t="shared" si="384"/>
        <v>358200</v>
      </c>
      <c r="US205" s="132">
        <f t="shared" si="385"/>
        <v>0</v>
      </c>
      <c r="UT205" s="131">
        <f t="shared" si="386"/>
        <v>360986</v>
      </c>
      <c r="UU205" s="131">
        <f t="shared" si="387"/>
        <v>59700</v>
      </c>
      <c r="UV205" s="132">
        <f t="shared" si="388"/>
        <v>0</v>
      </c>
      <c r="UW205" s="132">
        <f t="shared" si="389"/>
        <v>59700</v>
      </c>
      <c r="UX205" s="132">
        <f t="shared" si="390"/>
        <v>0</v>
      </c>
      <c r="UY205" s="132">
        <f t="shared" si="391"/>
        <v>5970</v>
      </c>
      <c r="UZ205" s="132">
        <f t="shared" si="392"/>
        <v>0</v>
      </c>
      <c r="VA205" s="132">
        <f t="shared" si="393"/>
        <v>61690</v>
      </c>
      <c r="VB205" s="131">
        <f t="shared" si="394"/>
        <v>233626</v>
      </c>
      <c r="VC205" s="132">
        <f t="shared" si="395"/>
        <v>0</v>
      </c>
      <c r="VD205" s="132">
        <f t="shared" si="396"/>
        <v>33830</v>
      </c>
      <c r="VE205" s="132">
        <f t="shared" si="397"/>
        <v>18706</v>
      </c>
      <c r="VF205" s="132">
        <f t="shared" si="398"/>
        <v>0</v>
      </c>
      <c r="VG205" s="132">
        <f t="shared" si="399"/>
        <v>59700</v>
      </c>
      <c r="VH205" s="132">
        <f t="shared" si="400"/>
        <v>0</v>
      </c>
      <c r="VI205" s="132">
        <f t="shared" si="401"/>
        <v>61690</v>
      </c>
      <c r="VJ205" s="132">
        <f t="shared" si="402"/>
        <v>0</v>
      </c>
      <c r="VK205" s="132">
        <f t="shared" si="403"/>
        <v>59700</v>
      </c>
      <c r="VL205" s="132">
        <f t="shared" si="404"/>
        <v>0</v>
      </c>
      <c r="VM205" s="132">
        <f t="shared" si="405"/>
        <v>0</v>
      </c>
      <c r="VN205" s="132">
        <f t="shared" si="406"/>
        <v>0</v>
      </c>
      <c r="VP205" s="845" t="str">
        <f>IFERROR(HLOOKUP(F205,'Hodnocení '!$C$1:$JH$5,2,FALSE),0)</f>
        <v>Perinatální hospic</v>
      </c>
      <c r="VQ205" s="838"/>
      <c r="VR205" s="845" t="str">
        <f t="shared" si="414"/>
        <v>Spolek</v>
      </c>
      <c r="VS205" s="845" t="str">
        <f>IFERROR(HLOOKUP(F205,'Hodnocení '!$C$1:$JH$5,5,FALSE),0)</f>
        <v>NZO</v>
      </c>
      <c r="VT205" s="838">
        <f t="shared" si="415"/>
        <v>0</v>
      </c>
      <c r="VU205" s="838">
        <f t="shared" si="416"/>
        <v>0</v>
      </c>
      <c r="VV205" s="838">
        <f t="shared" si="417"/>
        <v>0</v>
      </c>
      <c r="VW205" s="838">
        <f t="shared" si="418"/>
        <v>0</v>
      </c>
      <c r="VX205" s="838"/>
      <c r="VY205" s="838">
        <f t="shared" si="317"/>
        <v>0</v>
      </c>
      <c r="VZ205" s="838">
        <f t="shared" si="318"/>
        <v>1865426</v>
      </c>
      <c r="WA205" s="846">
        <f>IFERROR(HLOOKUP($F205,'Hodnocení '!$C$1:$JH$9,9,FALSE),0)</f>
        <v>1865426</v>
      </c>
      <c r="WB205" s="846">
        <f>IF(IFERROR(HLOOKUP($F205,'Hodnocení '!$C$1:$JH$13,13,FALSE),0)&gt;WA205,WA205,IFERROR(HLOOKUP($F205,'Hodnocení '!$C$1:$JH$13,13,FALSE),0))</f>
        <v>854189.53739487671</v>
      </c>
      <c r="WC205" s="846">
        <f>IFERROR(HLOOKUP($F205,'Hodnocení '!$C$1:$JH$155,155,FALSE),0)</f>
        <v>802940</v>
      </c>
      <c r="WD205" s="845"/>
      <c r="WE205" s="845"/>
      <c r="WF205" s="845" t="str">
        <f t="shared" si="407"/>
        <v>ANO</v>
      </c>
      <c r="WG205" s="849" t="str">
        <f t="shared" si="320"/>
        <v>Podpora služby je vyjádřena zařazením do sítě sociálních služeb v KHK a řešením financování služby</v>
      </c>
      <c r="WH205"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05" s="849" t="str">
        <f t="shared" si="320"/>
        <v>Návrh dotace je výsledkem projednání s ostatními zadavateli v rámci sítě služeb KHK</v>
      </c>
      <c r="WJ205" s="849" t="str">
        <f t="shared" si="320"/>
        <v>Bez komentáře</v>
      </c>
      <c r="WK205" s="31">
        <f t="shared" si="408"/>
        <v>0</v>
      </c>
      <c r="WL205" s="850">
        <f t="shared" si="409"/>
        <v>0</v>
      </c>
      <c r="WM205" s="849">
        <f t="shared" si="410"/>
        <v>0</v>
      </c>
      <c r="WN205" s="849">
        <f t="shared" si="411"/>
        <v>0</v>
      </c>
      <c r="WO205" s="849" t="str">
        <f t="shared" si="321"/>
        <v>bez komentáře</v>
      </c>
      <c r="WP205" s="849" t="str">
        <f t="shared" si="321"/>
        <v>bez komentáře</v>
      </c>
      <c r="WQ205" s="849" t="str">
        <f t="shared" si="321"/>
        <v>Konečná výše dotace z rozpočtu KHK bude řešena v návaznosti na řešení podílů jednotlivých zadavatelů.</v>
      </c>
      <c r="WR205" s="849" t="str">
        <f t="shared" si="321"/>
        <v>Konečná výše podpory ze stran obcí bude řešena v součinnosti s jednotlivými zadavateli v průběhu roku.</v>
      </c>
      <c r="WS205" s="849" t="str">
        <f t="shared" si="321"/>
        <v>bez komentáře</v>
      </c>
      <c r="WT205" s="849" t="str">
        <f t="shared" si="321"/>
        <v>bez komentáře</v>
      </c>
      <c r="WU205" s="845"/>
    </row>
    <row r="206" spans="1:619" s="128" customFormat="1" x14ac:dyDescent="0.25">
      <c r="A206" s="128" t="str">
        <f>VLOOKUP(F206,'Výpočet VP 2020'!$D$324:$I$588,6,FALSE)</f>
        <v>Je v síti</v>
      </c>
      <c r="B206" s="128" t="s">
        <v>874</v>
      </c>
      <c r="C206" s="128">
        <v>26657431</v>
      </c>
      <c r="D206" s="128" t="s">
        <v>875</v>
      </c>
      <c r="E206" s="128" t="s">
        <v>272</v>
      </c>
      <c r="F206" s="128">
        <v>1378201</v>
      </c>
      <c r="G206" s="128" t="s">
        <v>876</v>
      </c>
      <c r="H206" s="128" t="s">
        <v>218</v>
      </c>
      <c r="I206" s="128" t="s">
        <v>877</v>
      </c>
      <c r="J206" s="129">
        <v>40330</v>
      </c>
      <c r="L206" s="128" t="s">
        <v>220</v>
      </c>
      <c r="AP206" s="128" t="s">
        <v>302</v>
      </c>
      <c r="AQ206" s="128">
        <v>30</v>
      </c>
      <c r="AR206" s="128">
        <v>30</v>
      </c>
      <c r="AS206" s="128">
        <v>17</v>
      </c>
      <c r="AT206" s="128">
        <v>17</v>
      </c>
      <c r="AU206" s="128">
        <v>25</v>
      </c>
      <c r="BJ206" s="128">
        <v>190</v>
      </c>
      <c r="BL206" s="128" t="s">
        <v>434</v>
      </c>
      <c r="BM206" s="128" t="s">
        <v>228</v>
      </c>
      <c r="BN206" s="128" t="s">
        <v>256</v>
      </c>
      <c r="BO206" s="128">
        <v>0</v>
      </c>
      <c r="BP206" s="128">
        <v>0</v>
      </c>
      <c r="BQ206" s="128">
        <v>0</v>
      </c>
      <c r="BR206" s="128">
        <v>0</v>
      </c>
      <c r="BS206" s="128">
        <v>0</v>
      </c>
      <c r="BT206" s="128">
        <v>9</v>
      </c>
      <c r="BU206" s="128">
        <v>3</v>
      </c>
      <c r="BV206" s="128">
        <v>0</v>
      </c>
      <c r="BW206" s="128">
        <v>0</v>
      </c>
      <c r="BX206" s="128">
        <v>5</v>
      </c>
      <c r="BY206" s="128">
        <v>9</v>
      </c>
      <c r="BZ206" s="128">
        <v>3</v>
      </c>
      <c r="CA206" s="128">
        <v>0</v>
      </c>
      <c r="CB206" s="128">
        <v>0</v>
      </c>
      <c r="CC206" s="128">
        <v>5</v>
      </c>
      <c r="CD206" s="128">
        <v>0</v>
      </c>
      <c r="CE206" s="128">
        <v>17</v>
      </c>
      <c r="CF206" s="128">
        <v>17</v>
      </c>
      <c r="CH206" s="128">
        <v>0</v>
      </c>
      <c r="CI206" s="128">
        <v>0</v>
      </c>
      <c r="CJ206" s="128">
        <v>0</v>
      </c>
      <c r="CK206" s="128">
        <v>0</v>
      </c>
      <c r="CL206" s="128">
        <v>0</v>
      </c>
      <c r="CM206" s="128">
        <v>14</v>
      </c>
      <c r="CN206" s="128">
        <v>4</v>
      </c>
      <c r="CO206" s="128">
        <v>0</v>
      </c>
      <c r="CP206" s="128">
        <v>0</v>
      </c>
      <c r="CQ206" s="128">
        <v>7</v>
      </c>
      <c r="CR206" s="128">
        <v>14</v>
      </c>
      <c r="CS206" s="128">
        <v>4</v>
      </c>
      <c r="CT206" s="128">
        <v>0</v>
      </c>
      <c r="CU206" s="128">
        <v>0</v>
      </c>
      <c r="CV206" s="128">
        <v>7</v>
      </c>
      <c r="CW206" s="128">
        <v>0</v>
      </c>
      <c r="CX206" s="128">
        <v>25</v>
      </c>
      <c r="CY206" s="128">
        <v>25</v>
      </c>
      <c r="EK206" s="128">
        <v>2</v>
      </c>
      <c r="EL206" s="128">
        <v>1.75</v>
      </c>
      <c r="EM206" s="128">
        <v>1.4</v>
      </c>
      <c r="EN206" s="128">
        <v>948620</v>
      </c>
      <c r="EO206" s="128">
        <v>675088</v>
      </c>
      <c r="EP206" s="128">
        <v>5</v>
      </c>
      <c r="EQ206" s="128">
        <v>3</v>
      </c>
      <c r="ER206" s="128">
        <v>3</v>
      </c>
      <c r="ES206" s="128">
        <v>1374240</v>
      </c>
      <c r="ET206" s="128">
        <v>1161280</v>
      </c>
      <c r="FO206" s="128">
        <v>6</v>
      </c>
      <c r="FP206" s="128">
        <v>0.59299999999999997</v>
      </c>
      <c r="FQ206" s="128">
        <v>0.27</v>
      </c>
      <c r="FR206" s="128">
        <v>306099</v>
      </c>
      <c r="FS206" s="128">
        <v>204066</v>
      </c>
      <c r="KG206" s="128">
        <v>0</v>
      </c>
      <c r="KI206" s="128">
        <v>4.75</v>
      </c>
      <c r="KJ206" s="128">
        <v>0</v>
      </c>
      <c r="KK206" s="128">
        <v>0</v>
      </c>
      <c r="KL206" s="128">
        <v>0</v>
      </c>
      <c r="KM206" s="128">
        <v>4.75</v>
      </c>
      <c r="KN206" s="128">
        <v>2628959</v>
      </c>
      <c r="KO206" s="128">
        <v>2040434</v>
      </c>
      <c r="KP206" s="128">
        <v>2040434</v>
      </c>
      <c r="KT206" s="128">
        <v>0</v>
      </c>
      <c r="KU206" s="128">
        <v>0</v>
      </c>
      <c r="KV206" s="128">
        <v>0</v>
      </c>
      <c r="KZ206" s="128">
        <v>0</v>
      </c>
      <c r="LA206" s="128">
        <v>0</v>
      </c>
      <c r="LB206" s="128">
        <v>0</v>
      </c>
      <c r="LF206" s="128">
        <v>8000</v>
      </c>
      <c r="LG206" s="128">
        <v>8000</v>
      </c>
      <c r="LH206" s="128">
        <v>8000</v>
      </c>
      <c r="LL206" s="128">
        <v>0</v>
      </c>
      <c r="LM206" s="128">
        <v>0</v>
      </c>
      <c r="LN206" s="128">
        <v>0</v>
      </c>
      <c r="LR206" s="128">
        <v>40000</v>
      </c>
      <c r="LS206" s="128">
        <v>40000</v>
      </c>
      <c r="LT206" s="128">
        <v>40000</v>
      </c>
      <c r="LX206" s="128">
        <v>0</v>
      </c>
      <c r="LY206" s="128">
        <v>0</v>
      </c>
      <c r="LZ206" s="128">
        <v>0</v>
      </c>
      <c r="MD206" s="128">
        <v>29000</v>
      </c>
      <c r="ME206" s="128">
        <v>29000</v>
      </c>
      <c r="MF206" s="128">
        <v>29000</v>
      </c>
      <c r="MJ206" s="128">
        <v>8000</v>
      </c>
      <c r="MK206" s="128">
        <v>8000</v>
      </c>
      <c r="ML206" s="128">
        <v>8000</v>
      </c>
      <c r="MP206" s="128">
        <v>12000</v>
      </c>
      <c r="MQ206" s="128">
        <v>12000</v>
      </c>
      <c r="MR206" s="128">
        <v>12000</v>
      </c>
      <c r="MV206" s="128">
        <v>50000</v>
      </c>
      <c r="MW206" s="128">
        <v>50000</v>
      </c>
      <c r="MX206" s="128">
        <v>50000</v>
      </c>
      <c r="NB206" s="128">
        <v>50000</v>
      </c>
      <c r="NC206" s="128">
        <v>50000</v>
      </c>
      <c r="ND206" s="128">
        <v>50000</v>
      </c>
      <c r="NH206" s="128">
        <v>49821</v>
      </c>
      <c r="NI206" s="128">
        <v>45500</v>
      </c>
      <c r="NJ206" s="128">
        <v>45500</v>
      </c>
      <c r="NN206" s="128">
        <v>50000</v>
      </c>
      <c r="NO206" s="128">
        <v>50000</v>
      </c>
      <c r="NP206" s="128">
        <v>50000</v>
      </c>
      <c r="NT206" s="128">
        <v>31500</v>
      </c>
      <c r="NU206" s="128">
        <v>31500</v>
      </c>
      <c r="NV206" s="128">
        <v>31500</v>
      </c>
      <c r="NZ206" s="128">
        <v>6000</v>
      </c>
      <c r="OA206" s="128">
        <v>6000</v>
      </c>
      <c r="OB206" s="128">
        <v>6000</v>
      </c>
      <c r="OF206" s="128">
        <v>38000</v>
      </c>
      <c r="OG206" s="128">
        <v>38000</v>
      </c>
      <c r="OH206" s="128">
        <v>38000</v>
      </c>
      <c r="OL206" s="128">
        <v>0</v>
      </c>
      <c r="OM206" s="128">
        <v>0</v>
      </c>
      <c r="ON206" s="128">
        <v>0</v>
      </c>
      <c r="OR206" s="128">
        <v>0</v>
      </c>
      <c r="OS206" s="128">
        <v>0</v>
      </c>
      <c r="OT206" s="128">
        <v>0</v>
      </c>
      <c r="OX206" s="128">
        <v>13000</v>
      </c>
      <c r="OY206" s="128">
        <v>13000</v>
      </c>
      <c r="OZ206" s="128">
        <v>13000</v>
      </c>
      <c r="PD206" s="128">
        <v>0</v>
      </c>
      <c r="PE206" s="128">
        <v>0</v>
      </c>
      <c r="PF206" s="128">
        <v>0</v>
      </c>
      <c r="PJ206" s="128">
        <v>4000</v>
      </c>
      <c r="PK206" s="128">
        <v>4000</v>
      </c>
      <c r="PL206" s="128">
        <v>4000</v>
      </c>
      <c r="PP206" s="128">
        <v>3018280</v>
      </c>
      <c r="PQ206" s="128">
        <v>2425434</v>
      </c>
      <c r="PR206" s="128">
        <v>2425434</v>
      </c>
      <c r="PS206" s="128">
        <v>100</v>
      </c>
      <c r="PT206" s="128">
        <v>100</v>
      </c>
      <c r="PX206" s="128">
        <v>357790</v>
      </c>
      <c r="PY206" s="128">
        <v>541897</v>
      </c>
      <c r="PZ206" s="128">
        <v>2425434</v>
      </c>
      <c r="QA206" s="128">
        <v>0</v>
      </c>
      <c r="QB206" s="128">
        <v>0</v>
      </c>
      <c r="QC206" s="128">
        <v>0</v>
      </c>
      <c r="QD206" s="128">
        <v>0</v>
      </c>
      <c r="QE206" s="128">
        <v>0</v>
      </c>
      <c r="QF206" s="128">
        <v>0</v>
      </c>
      <c r="QG206" s="128">
        <v>0</v>
      </c>
      <c r="QH206" s="128">
        <v>0</v>
      </c>
      <c r="QI206" s="128">
        <v>0</v>
      </c>
      <c r="QJ206" s="128">
        <v>97283</v>
      </c>
      <c r="QK206" s="128">
        <v>98000</v>
      </c>
      <c r="QL206" s="128">
        <v>120000</v>
      </c>
      <c r="QN206" s="128">
        <v>0</v>
      </c>
      <c r="QO206" s="128">
        <v>0</v>
      </c>
      <c r="QP206" s="128">
        <v>0</v>
      </c>
      <c r="QU206" s="128">
        <v>0</v>
      </c>
      <c r="QV206" s="128">
        <v>376078</v>
      </c>
      <c r="QW206" s="128">
        <v>0</v>
      </c>
      <c r="QX206" s="128">
        <v>100000</v>
      </c>
      <c r="QY206" s="128">
        <v>105200</v>
      </c>
      <c r="QZ206" s="128">
        <v>155200</v>
      </c>
      <c r="RA206" s="128">
        <v>791404</v>
      </c>
      <c r="RB206" s="128">
        <v>620979</v>
      </c>
      <c r="RC206" s="128">
        <v>317574</v>
      </c>
      <c r="RD206" s="128">
        <v>51051</v>
      </c>
      <c r="RE206" s="128">
        <v>0</v>
      </c>
      <c r="RF206" s="128">
        <v>72</v>
      </c>
      <c r="RH206" s="128">
        <f t="shared" si="412"/>
        <v>2898280</v>
      </c>
      <c r="RI206" s="128">
        <v>0</v>
      </c>
      <c r="RM206" s="128" t="s">
        <v>220</v>
      </c>
      <c r="RU206" s="130"/>
      <c r="RV206" s="130"/>
      <c r="RW206" s="130"/>
      <c r="RX206" s="130"/>
      <c r="SF206" s="128">
        <f t="shared" si="322"/>
        <v>1378201</v>
      </c>
      <c r="SG206" s="131">
        <f t="shared" si="323"/>
        <v>3018280</v>
      </c>
      <c r="SH206" s="131">
        <f t="shared" si="324"/>
        <v>3018280</v>
      </c>
      <c r="SI206" s="131">
        <f t="shared" si="325"/>
        <v>2636959</v>
      </c>
      <c r="SJ206" s="132">
        <f t="shared" si="326"/>
        <v>2628959</v>
      </c>
      <c r="SK206" s="132">
        <f t="shared" si="327"/>
        <v>0</v>
      </c>
      <c r="SL206" s="132">
        <f t="shared" si="328"/>
        <v>0</v>
      </c>
      <c r="SM206" s="132">
        <f t="shared" si="329"/>
        <v>8000</v>
      </c>
      <c r="SN206" s="131">
        <f t="shared" si="330"/>
        <v>381321</v>
      </c>
      <c r="SO206" s="131">
        <f t="shared" si="331"/>
        <v>40000</v>
      </c>
      <c r="SP206" s="132">
        <f t="shared" si="332"/>
        <v>0</v>
      </c>
      <c r="SQ206" s="132">
        <f t="shared" si="333"/>
        <v>40000</v>
      </c>
      <c r="SR206" s="132">
        <f t="shared" si="334"/>
        <v>0</v>
      </c>
      <c r="SS206" s="132">
        <f t="shared" si="335"/>
        <v>29000</v>
      </c>
      <c r="ST206" s="132">
        <f t="shared" si="336"/>
        <v>8000</v>
      </c>
      <c r="SU206" s="132">
        <f t="shared" si="337"/>
        <v>12000</v>
      </c>
      <c r="SV206" s="131">
        <f t="shared" si="338"/>
        <v>288321</v>
      </c>
      <c r="SW206" s="132">
        <f t="shared" si="339"/>
        <v>50000</v>
      </c>
      <c r="SX206" s="132">
        <f t="shared" si="340"/>
        <v>50000</v>
      </c>
      <c r="SY206" s="132">
        <f t="shared" si="341"/>
        <v>49821</v>
      </c>
      <c r="SZ206" s="132">
        <f t="shared" si="342"/>
        <v>50000</v>
      </c>
      <c r="TA206" s="132">
        <f t="shared" si="343"/>
        <v>31500</v>
      </c>
      <c r="TB206" s="132">
        <f t="shared" si="344"/>
        <v>6000</v>
      </c>
      <c r="TC206" s="132">
        <f t="shared" si="345"/>
        <v>38000</v>
      </c>
      <c r="TD206" s="132">
        <f t="shared" si="346"/>
        <v>0</v>
      </c>
      <c r="TE206" s="132">
        <f t="shared" si="347"/>
        <v>0</v>
      </c>
      <c r="TF206" s="132">
        <f t="shared" si="348"/>
        <v>13000</v>
      </c>
      <c r="TG206" s="132">
        <f t="shared" si="349"/>
        <v>0</v>
      </c>
      <c r="TH206" s="132">
        <f t="shared" si="350"/>
        <v>4000</v>
      </c>
      <c r="TI206" s="1"/>
      <c r="TJ206" s="131">
        <f t="shared" si="351"/>
        <v>2425434</v>
      </c>
      <c r="TK206" s="131">
        <f t="shared" si="352"/>
        <v>2425434</v>
      </c>
      <c r="TL206" s="131">
        <f t="shared" si="353"/>
        <v>2048434</v>
      </c>
      <c r="TM206" s="132">
        <f t="shared" si="354"/>
        <v>2040434</v>
      </c>
      <c r="TN206" s="132">
        <f t="shared" si="355"/>
        <v>0</v>
      </c>
      <c r="TO206" s="132">
        <f t="shared" si="356"/>
        <v>0</v>
      </c>
      <c r="TP206" s="132">
        <f t="shared" si="357"/>
        <v>8000</v>
      </c>
      <c r="TQ206" s="131">
        <f t="shared" si="358"/>
        <v>377000</v>
      </c>
      <c r="TR206" s="131">
        <f t="shared" si="359"/>
        <v>40000</v>
      </c>
      <c r="TS206" s="132">
        <f t="shared" si="360"/>
        <v>0</v>
      </c>
      <c r="TT206" s="132">
        <f t="shared" si="361"/>
        <v>40000</v>
      </c>
      <c r="TU206" s="132">
        <f t="shared" si="362"/>
        <v>0</v>
      </c>
      <c r="TV206" s="132">
        <f t="shared" si="363"/>
        <v>29000</v>
      </c>
      <c r="TW206" s="132">
        <f t="shared" si="364"/>
        <v>8000</v>
      </c>
      <c r="TX206" s="132">
        <f t="shared" si="365"/>
        <v>12000</v>
      </c>
      <c r="TY206" s="131">
        <f t="shared" si="366"/>
        <v>284000</v>
      </c>
      <c r="TZ206" s="132">
        <f t="shared" si="367"/>
        <v>50000</v>
      </c>
      <c r="UA206" s="132">
        <f t="shared" si="368"/>
        <v>50000</v>
      </c>
      <c r="UB206" s="132">
        <f t="shared" si="369"/>
        <v>45500</v>
      </c>
      <c r="UC206" s="132">
        <f t="shared" si="370"/>
        <v>50000</v>
      </c>
      <c r="UD206" s="132">
        <f t="shared" si="371"/>
        <v>31500</v>
      </c>
      <c r="UE206" s="132">
        <f t="shared" si="372"/>
        <v>6000</v>
      </c>
      <c r="UF206" s="132">
        <f t="shared" si="373"/>
        <v>38000</v>
      </c>
      <c r="UG206" s="132">
        <f t="shared" si="374"/>
        <v>0</v>
      </c>
      <c r="UH206" s="132">
        <f t="shared" si="375"/>
        <v>0</v>
      </c>
      <c r="UI206" s="132">
        <f t="shared" si="376"/>
        <v>13000</v>
      </c>
      <c r="UJ206" s="132">
        <f t="shared" si="377"/>
        <v>0</v>
      </c>
      <c r="UK206" s="132">
        <f t="shared" si="378"/>
        <v>4000</v>
      </c>
      <c r="UL206" s="132">
        <f t="shared" si="413"/>
        <v>2425434</v>
      </c>
      <c r="UM206" s="131">
        <f t="shared" si="379"/>
        <v>2425434</v>
      </c>
      <c r="UN206" s="131">
        <f t="shared" si="380"/>
        <v>2425434</v>
      </c>
      <c r="UO206" s="131">
        <f t="shared" si="381"/>
        <v>2048434</v>
      </c>
      <c r="UP206" s="132">
        <f t="shared" si="382"/>
        <v>2040434</v>
      </c>
      <c r="UQ206" s="132">
        <f t="shared" si="383"/>
        <v>0</v>
      </c>
      <c r="UR206" s="132">
        <f t="shared" si="384"/>
        <v>0</v>
      </c>
      <c r="US206" s="132">
        <f t="shared" si="385"/>
        <v>8000</v>
      </c>
      <c r="UT206" s="131">
        <f t="shared" si="386"/>
        <v>377000</v>
      </c>
      <c r="UU206" s="131">
        <f t="shared" si="387"/>
        <v>40000</v>
      </c>
      <c r="UV206" s="132">
        <f t="shared" si="388"/>
        <v>0</v>
      </c>
      <c r="UW206" s="132">
        <f t="shared" si="389"/>
        <v>40000</v>
      </c>
      <c r="UX206" s="132">
        <f t="shared" si="390"/>
        <v>0</v>
      </c>
      <c r="UY206" s="132">
        <f t="shared" si="391"/>
        <v>29000</v>
      </c>
      <c r="UZ206" s="132">
        <f t="shared" si="392"/>
        <v>8000</v>
      </c>
      <c r="VA206" s="132">
        <f t="shared" si="393"/>
        <v>12000</v>
      </c>
      <c r="VB206" s="131">
        <f t="shared" si="394"/>
        <v>284000</v>
      </c>
      <c r="VC206" s="132">
        <f t="shared" si="395"/>
        <v>50000</v>
      </c>
      <c r="VD206" s="132">
        <f t="shared" si="396"/>
        <v>50000</v>
      </c>
      <c r="VE206" s="132">
        <f t="shared" si="397"/>
        <v>45500</v>
      </c>
      <c r="VF206" s="132">
        <f t="shared" si="398"/>
        <v>50000</v>
      </c>
      <c r="VG206" s="132">
        <f t="shared" si="399"/>
        <v>31500</v>
      </c>
      <c r="VH206" s="132">
        <f t="shared" si="400"/>
        <v>6000</v>
      </c>
      <c r="VI206" s="132">
        <f t="shared" si="401"/>
        <v>38000</v>
      </c>
      <c r="VJ206" s="132">
        <f t="shared" si="402"/>
        <v>0</v>
      </c>
      <c r="VK206" s="132">
        <f t="shared" si="403"/>
        <v>0</v>
      </c>
      <c r="VL206" s="132">
        <f t="shared" si="404"/>
        <v>13000</v>
      </c>
      <c r="VM206" s="132">
        <f t="shared" si="405"/>
        <v>0</v>
      </c>
      <c r="VN206" s="132">
        <f t="shared" si="406"/>
        <v>4000</v>
      </c>
      <c r="VP206" s="845" t="str">
        <f>IFERROR(HLOOKUP(F206,'Hodnocení '!$C$1:$JH$5,2,FALSE),0)</f>
        <v>Takový normální život</v>
      </c>
      <c r="VQ206" s="838"/>
      <c r="VR206" s="845" t="str">
        <f t="shared" si="414"/>
        <v>Ústav</v>
      </c>
      <c r="VS206" s="845" t="str">
        <f>IFERROR(HLOOKUP(F206,'Hodnocení '!$C$1:$JH$5,5,FALSE),0)</f>
        <v>NZO</v>
      </c>
      <c r="VT206" s="838">
        <f t="shared" si="415"/>
        <v>0</v>
      </c>
      <c r="VU206" s="838">
        <f t="shared" si="416"/>
        <v>0</v>
      </c>
      <c r="VV206" s="838">
        <f t="shared" si="417"/>
        <v>120000</v>
      </c>
      <c r="VW206" s="838">
        <f t="shared" si="418"/>
        <v>0</v>
      </c>
      <c r="VX206" s="838"/>
      <c r="VY206" s="838">
        <f t="shared" si="317"/>
        <v>0</v>
      </c>
      <c r="VZ206" s="838">
        <f t="shared" si="318"/>
        <v>2425434</v>
      </c>
      <c r="WA206" s="846">
        <f>IFERROR(HLOOKUP($F206,'Hodnocení '!$C$1:$JH$9,9,FALSE),0)</f>
        <v>2425434</v>
      </c>
      <c r="WB206" s="846">
        <f>IF(IFERROR(HLOOKUP($F206,'Hodnocení '!$C$1:$JH$13,13,FALSE),0)&gt;WA206,WA206,IFERROR(HLOOKUP($F206,'Hodnocení '!$C$1:$JH$13,13,FALSE),0))</f>
        <v>2425434</v>
      </c>
      <c r="WC206" s="846">
        <f>IFERROR(HLOOKUP($F206,'Hodnocení '!$C$1:$JH$155,155,FALSE),0)</f>
        <v>908240</v>
      </c>
      <c r="WD206" s="845"/>
      <c r="WE206" s="845"/>
      <c r="WF206" s="845" t="str">
        <f t="shared" si="407"/>
        <v>ANO</v>
      </c>
      <c r="WG206" s="849" t="str">
        <f t="shared" si="320"/>
        <v>Podpora služby je vyjádřena zařazením do sítě sociálních služeb v KHK a řešením financování služby</v>
      </c>
      <c r="WH206"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06" s="849" t="str">
        <f t="shared" si="320"/>
        <v>Návrh dotace je výsledkem projednání s ostatními zadavateli v rámci sítě služeb KHK</v>
      </c>
      <c r="WJ206" s="849" t="str">
        <f t="shared" si="320"/>
        <v>Bez komentáře</v>
      </c>
      <c r="WK206" s="31">
        <f t="shared" si="408"/>
        <v>0</v>
      </c>
      <c r="WL206" s="850">
        <f t="shared" si="409"/>
        <v>0</v>
      </c>
      <c r="WM206" s="849" t="str">
        <f t="shared" si="410"/>
        <v>V rámci sítě KHK se dlouhodobě řeší otázka navyšování úhrad a průběžně se monitoruje s vazbou na vykrytí vyrovnávací platby</v>
      </c>
      <c r="WN206" s="849">
        <f t="shared" si="411"/>
        <v>0</v>
      </c>
      <c r="WO206" s="849" t="str">
        <f t="shared" si="321"/>
        <v>bez komentáře</v>
      </c>
      <c r="WP206" s="849" t="str">
        <f t="shared" si="321"/>
        <v>bez komentáře</v>
      </c>
      <c r="WQ206" s="849" t="str">
        <f t="shared" si="321"/>
        <v>Konečná výše dotace z rozpočtu KHK bude řešena v návaznosti na řešení podílů jednotlivých zadavatelů.</v>
      </c>
      <c r="WR206" s="849" t="str">
        <f t="shared" si="321"/>
        <v>Konečná výše podpory ze stran obcí bude řešena v součinnosti s jednotlivými zadavateli v průběhu roku.</v>
      </c>
      <c r="WS206" s="849" t="str">
        <f t="shared" si="321"/>
        <v>bez komentáře</v>
      </c>
      <c r="WT206" s="849" t="str">
        <f t="shared" si="321"/>
        <v>bez komentáře</v>
      </c>
      <c r="WU206" s="845"/>
    </row>
    <row r="207" spans="1:619" s="128" customFormat="1" x14ac:dyDescent="0.25">
      <c r="A207" s="128" t="str">
        <f>VLOOKUP(F207,'Výpočet VP 2020'!$D$324:$I$588,6,FALSE)</f>
        <v>Je v síti</v>
      </c>
      <c r="B207" s="128" t="s">
        <v>874</v>
      </c>
      <c r="C207" s="128">
        <v>26657431</v>
      </c>
      <c r="D207" s="128" t="s">
        <v>875</v>
      </c>
      <c r="E207" s="128" t="s">
        <v>272</v>
      </c>
      <c r="F207" s="128">
        <v>1552469</v>
      </c>
      <c r="G207" s="128" t="s">
        <v>229</v>
      </c>
      <c r="H207" s="128" t="s">
        <v>230</v>
      </c>
      <c r="I207" s="128" t="s">
        <v>878</v>
      </c>
      <c r="J207" s="129">
        <v>40455</v>
      </c>
      <c r="L207" s="128" t="s">
        <v>220</v>
      </c>
      <c r="X207" s="128" t="s">
        <v>489</v>
      </c>
      <c r="Z207" s="128">
        <v>3</v>
      </c>
      <c r="AA207" s="128">
        <v>6</v>
      </c>
      <c r="AB207" s="128">
        <v>15</v>
      </c>
      <c r="AC207" s="128">
        <v>15</v>
      </c>
      <c r="AD207" s="128">
        <v>15</v>
      </c>
      <c r="BL207" s="128" t="s">
        <v>434</v>
      </c>
      <c r="BM207" s="128" t="s">
        <v>228</v>
      </c>
      <c r="BN207" s="128" t="s">
        <v>256</v>
      </c>
      <c r="EK207" s="128">
        <v>2</v>
      </c>
      <c r="EL207" s="128">
        <v>0.55000000000000004</v>
      </c>
      <c r="EM207" s="128">
        <v>1</v>
      </c>
      <c r="EN207" s="128">
        <v>313460</v>
      </c>
      <c r="EO207" s="128">
        <v>313460</v>
      </c>
      <c r="EP207" s="128">
        <v>3</v>
      </c>
      <c r="EQ207" s="128">
        <v>1.1000000000000001</v>
      </c>
      <c r="ER207" s="128">
        <v>0.63</v>
      </c>
      <c r="ES207" s="128">
        <v>509888</v>
      </c>
      <c r="ET207" s="128">
        <v>509888</v>
      </c>
      <c r="FO207" s="128">
        <v>6</v>
      </c>
      <c r="FP207" s="128">
        <v>2.2109999999999999</v>
      </c>
      <c r="FQ207" s="128">
        <v>0</v>
      </c>
      <c r="FR207" s="128">
        <v>272926</v>
      </c>
      <c r="FS207" s="128">
        <v>238126</v>
      </c>
      <c r="KG207" s="128">
        <v>0</v>
      </c>
      <c r="KI207" s="128">
        <v>1.65</v>
      </c>
      <c r="KJ207" s="128">
        <v>0</v>
      </c>
      <c r="KK207" s="128">
        <v>0</v>
      </c>
      <c r="KL207" s="128">
        <v>0</v>
      </c>
      <c r="KM207" s="128">
        <v>1.65</v>
      </c>
      <c r="KN207" s="128">
        <v>1096274</v>
      </c>
      <c r="KO207" s="128">
        <v>1061474</v>
      </c>
      <c r="KP207" s="128">
        <v>1061474</v>
      </c>
      <c r="KT207" s="128">
        <v>0</v>
      </c>
      <c r="KU207" s="128">
        <v>0</v>
      </c>
      <c r="KV207" s="128">
        <v>0</v>
      </c>
      <c r="KZ207" s="128">
        <v>0</v>
      </c>
      <c r="LA207" s="128">
        <v>0</v>
      </c>
      <c r="LB207" s="128">
        <v>0</v>
      </c>
      <c r="LF207" s="128">
        <v>1000</v>
      </c>
      <c r="LG207" s="128">
        <v>1000</v>
      </c>
      <c r="LH207" s="128">
        <v>1000</v>
      </c>
      <c r="LL207" s="128">
        <v>0</v>
      </c>
      <c r="LM207" s="128">
        <v>0</v>
      </c>
      <c r="LN207" s="128">
        <v>0</v>
      </c>
      <c r="LR207" s="128">
        <v>60000</v>
      </c>
      <c r="LS207" s="128">
        <v>60000</v>
      </c>
      <c r="LT207" s="128">
        <v>60000</v>
      </c>
      <c r="LX207" s="128">
        <v>0</v>
      </c>
      <c r="LY207" s="128">
        <v>0</v>
      </c>
      <c r="LZ207" s="128">
        <v>0</v>
      </c>
      <c r="MD207" s="128">
        <v>9000</v>
      </c>
      <c r="ME207" s="128">
        <v>9000</v>
      </c>
      <c r="MF207" s="128">
        <v>9000</v>
      </c>
      <c r="MJ207" s="128">
        <v>0</v>
      </c>
      <c r="MK207" s="128">
        <v>0</v>
      </c>
      <c r="ML207" s="128">
        <v>0</v>
      </c>
      <c r="MP207" s="128">
        <v>54500</v>
      </c>
      <c r="MQ207" s="128">
        <v>54500</v>
      </c>
      <c r="MR207" s="128">
        <v>54500</v>
      </c>
      <c r="MV207" s="128">
        <v>56000</v>
      </c>
      <c r="MW207" s="128">
        <v>56000</v>
      </c>
      <c r="MX207" s="128">
        <v>56000</v>
      </c>
      <c r="NB207" s="128">
        <v>25000</v>
      </c>
      <c r="NC207" s="128">
        <v>25000</v>
      </c>
      <c r="ND207" s="128">
        <v>25000</v>
      </c>
      <c r="NH207" s="128">
        <v>27000</v>
      </c>
      <c r="NI207" s="128">
        <v>27000</v>
      </c>
      <c r="NJ207" s="128">
        <v>27000</v>
      </c>
      <c r="NN207" s="128">
        <v>55000</v>
      </c>
      <c r="NO207" s="128">
        <v>55000</v>
      </c>
      <c r="NP207" s="128">
        <v>55000</v>
      </c>
      <c r="NT207" s="128">
        <v>15000</v>
      </c>
      <c r="NU207" s="128">
        <v>15000</v>
      </c>
      <c r="NV207" s="128">
        <v>15000</v>
      </c>
      <c r="NZ207" s="128">
        <v>3000</v>
      </c>
      <c r="OA207" s="128">
        <v>3000</v>
      </c>
      <c r="OB207" s="128">
        <v>3000</v>
      </c>
      <c r="OF207" s="128">
        <v>6000</v>
      </c>
      <c r="OG207" s="128">
        <v>6000</v>
      </c>
      <c r="OH207" s="128">
        <v>6000</v>
      </c>
      <c r="OL207" s="128">
        <v>0</v>
      </c>
      <c r="OM207" s="128">
        <v>0</v>
      </c>
      <c r="ON207" s="128">
        <v>0</v>
      </c>
      <c r="OR207" s="128">
        <v>0</v>
      </c>
      <c r="OS207" s="128">
        <v>0</v>
      </c>
      <c r="OT207" s="128">
        <v>0</v>
      </c>
      <c r="OX207" s="128">
        <v>10100</v>
      </c>
      <c r="OY207" s="128">
        <v>10100</v>
      </c>
      <c r="OZ207" s="128">
        <v>10100</v>
      </c>
      <c r="PD207" s="128">
        <v>0</v>
      </c>
      <c r="PE207" s="128">
        <v>0</v>
      </c>
      <c r="PF207" s="128">
        <v>0</v>
      </c>
      <c r="PJ207" s="128">
        <v>10000</v>
      </c>
      <c r="PK207" s="128">
        <v>10000</v>
      </c>
      <c r="PL207" s="128">
        <v>10000</v>
      </c>
      <c r="PP207" s="128">
        <v>1427874</v>
      </c>
      <c r="PQ207" s="128">
        <v>1393074</v>
      </c>
      <c r="PR207" s="128">
        <v>1393074</v>
      </c>
      <c r="PS207" s="128">
        <v>100</v>
      </c>
      <c r="PT207" s="128">
        <v>100</v>
      </c>
      <c r="PX207" s="128">
        <v>145826</v>
      </c>
      <c r="PY207" s="128">
        <v>626030</v>
      </c>
      <c r="PZ207" s="128">
        <v>1393074</v>
      </c>
      <c r="QA207" s="128">
        <v>0</v>
      </c>
      <c r="QB207" s="128">
        <v>0</v>
      </c>
      <c r="QC207" s="128">
        <v>0</v>
      </c>
      <c r="QD207" s="128">
        <v>0</v>
      </c>
      <c r="QE207" s="128">
        <v>0</v>
      </c>
      <c r="QF207" s="128">
        <v>0</v>
      </c>
      <c r="QG207" s="128">
        <v>0</v>
      </c>
      <c r="QH207" s="128">
        <v>0</v>
      </c>
      <c r="QI207" s="128">
        <v>0</v>
      </c>
      <c r="QJ207" s="128">
        <v>0</v>
      </c>
      <c r="QK207" s="128">
        <v>0</v>
      </c>
      <c r="QL207" s="128">
        <v>0</v>
      </c>
      <c r="QN207" s="128">
        <v>0</v>
      </c>
      <c r="QO207" s="128">
        <v>0</v>
      </c>
      <c r="QP207" s="128">
        <v>0</v>
      </c>
      <c r="QX207" s="128">
        <v>31480</v>
      </c>
      <c r="QY207" s="128">
        <v>31800</v>
      </c>
      <c r="QZ207" s="128">
        <v>31800</v>
      </c>
      <c r="RA207" s="128">
        <v>895624</v>
      </c>
      <c r="RB207" s="128">
        <v>447816</v>
      </c>
      <c r="RC207" s="128">
        <v>0</v>
      </c>
      <c r="RD207" s="128">
        <v>143994</v>
      </c>
      <c r="RE207" s="128">
        <v>87198</v>
      </c>
      <c r="RF207" s="128">
        <v>3000</v>
      </c>
      <c r="RH207" s="128">
        <f t="shared" si="412"/>
        <v>1427874</v>
      </c>
      <c r="RI207" s="128">
        <v>0</v>
      </c>
      <c r="RM207" s="128" t="s">
        <v>220</v>
      </c>
      <c r="RU207" s="130"/>
      <c r="RV207" s="130"/>
      <c r="RW207" s="130"/>
      <c r="RX207" s="130"/>
      <c r="SF207" s="128">
        <f t="shared" si="322"/>
        <v>1552469</v>
      </c>
      <c r="SG207" s="131">
        <f t="shared" si="323"/>
        <v>1427874</v>
      </c>
      <c r="SH207" s="131">
        <f t="shared" si="324"/>
        <v>1427874</v>
      </c>
      <c r="SI207" s="131">
        <f t="shared" si="325"/>
        <v>1097274</v>
      </c>
      <c r="SJ207" s="132">
        <f t="shared" si="326"/>
        <v>1096274</v>
      </c>
      <c r="SK207" s="132">
        <f t="shared" si="327"/>
        <v>0</v>
      </c>
      <c r="SL207" s="132">
        <f t="shared" si="328"/>
        <v>0</v>
      </c>
      <c r="SM207" s="132">
        <f t="shared" si="329"/>
        <v>1000</v>
      </c>
      <c r="SN207" s="131">
        <f t="shared" si="330"/>
        <v>330600</v>
      </c>
      <c r="SO207" s="131">
        <f t="shared" si="331"/>
        <v>60000</v>
      </c>
      <c r="SP207" s="132">
        <f t="shared" si="332"/>
        <v>0</v>
      </c>
      <c r="SQ207" s="132">
        <f t="shared" si="333"/>
        <v>60000</v>
      </c>
      <c r="SR207" s="132">
        <f t="shared" si="334"/>
        <v>0</v>
      </c>
      <c r="SS207" s="132">
        <f t="shared" si="335"/>
        <v>9000</v>
      </c>
      <c r="ST207" s="132">
        <f t="shared" si="336"/>
        <v>0</v>
      </c>
      <c r="SU207" s="132">
        <f t="shared" si="337"/>
        <v>54500</v>
      </c>
      <c r="SV207" s="131">
        <f t="shared" si="338"/>
        <v>197100</v>
      </c>
      <c r="SW207" s="132">
        <f t="shared" si="339"/>
        <v>56000</v>
      </c>
      <c r="SX207" s="132">
        <f t="shared" si="340"/>
        <v>25000</v>
      </c>
      <c r="SY207" s="132">
        <f t="shared" si="341"/>
        <v>27000</v>
      </c>
      <c r="SZ207" s="132">
        <f t="shared" si="342"/>
        <v>55000</v>
      </c>
      <c r="TA207" s="132">
        <f t="shared" si="343"/>
        <v>15000</v>
      </c>
      <c r="TB207" s="132">
        <f t="shared" si="344"/>
        <v>3000</v>
      </c>
      <c r="TC207" s="132">
        <f t="shared" si="345"/>
        <v>6000</v>
      </c>
      <c r="TD207" s="132">
        <f t="shared" si="346"/>
        <v>0</v>
      </c>
      <c r="TE207" s="132">
        <f t="shared" si="347"/>
        <v>0</v>
      </c>
      <c r="TF207" s="132">
        <f t="shared" si="348"/>
        <v>10100</v>
      </c>
      <c r="TG207" s="132">
        <f t="shared" si="349"/>
        <v>0</v>
      </c>
      <c r="TH207" s="132">
        <f t="shared" si="350"/>
        <v>10000</v>
      </c>
      <c r="TI207" s="1"/>
      <c r="TJ207" s="131">
        <f t="shared" si="351"/>
        <v>1393074</v>
      </c>
      <c r="TK207" s="131">
        <f t="shared" si="352"/>
        <v>1393074</v>
      </c>
      <c r="TL207" s="131">
        <f t="shared" si="353"/>
        <v>1062474</v>
      </c>
      <c r="TM207" s="132">
        <f t="shared" si="354"/>
        <v>1061474</v>
      </c>
      <c r="TN207" s="132">
        <f t="shared" si="355"/>
        <v>0</v>
      </c>
      <c r="TO207" s="132">
        <f t="shared" si="356"/>
        <v>0</v>
      </c>
      <c r="TP207" s="132">
        <f t="shared" si="357"/>
        <v>1000</v>
      </c>
      <c r="TQ207" s="131">
        <f t="shared" si="358"/>
        <v>330600</v>
      </c>
      <c r="TR207" s="131">
        <f t="shared" si="359"/>
        <v>60000</v>
      </c>
      <c r="TS207" s="132">
        <f t="shared" si="360"/>
        <v>0</v>
      </c>
      <c r="TT207" s="132">
        <f t="shared" si="361"/>
        <v>60000</v>
      </c>
      <c r="TU207" s="132">
        <f t="shared" si="362"/>
        <v>0</v>
      </c>
      <c r="TV207" s="132">
        <f t="shared" si="363"/>
        <v>9000</v>
      </c>
      <c r="TW207" s="132">
        <f t="shared" si="364"/>
        <v>0</v>
      </c>
      <c r="TX207" s="132">
        <f t="shared" si="365"/>
        <v>54500</v>
      </c>
      <c r="TY207" s="131">
        <f t="shared" si="366"/>
        <v>197100</v>
      </c>
      <c r="TZ207" s="132">
        <f t="shared" si="367"/>
        <v>56000</v>
      </c>
      <c r="UA207" s="132">
        <f t="shared" si="368"/>
        <v>25000</v>
      </c>
      <c r="UB207" s="132">
        <f t="shared" si="369"/>
        <v>27000</v>
      </c>
      <c r="UC207" s="132">
        <f t="shared" si="370"/>
        <v>55000</v>
      </c>
      <c r="UD207" s="132">
        <f t="shared" si="371"/>
        <v>15000</v>
      </c>
      <c r="UE207" s="132">
        <f t="shared" si="372"/>
        <v>3000</v>
      </c>
      <c r="UF207" s="132">
        <f t="shared" si="373"/>
        <v>6000</v>
      </c>
      <c r="UG207" s="132">
        <f t="shared" si="374"/>
        <v>0</v>
      </c>
      <c r="UH207" s="132">
        <f t="shared" si="375"/>
        <v>0</v>
      </c>
      <c r="UI207" s="132">
        <f t="shared" si="376"/>
        <v>10100</v>
      </c>
      <c r="UJ207" s="132">
        <f t="shared" si="377"/>
        <v>0</v>
      </c>
      <c r="UK207" s="132">
        <f t="shared" si="378"/>
        <v>10000</v>
      </c>
      <c r="UL207" s="132">
        <f t="shared" si="413"/>
        <v>1393074</v>
      </c>
      <c r="UM207" s="131">
        <f t="shared" si="379"/>
        <v>1393074</v>
      </c>
      <c r="UN207" s="131">
        <f t="shared" si="380"/>
        <v>1393074</v>
      </c>
      <c r="UO207" s="131">
        <f t="shared" si="381"/>
        <v>1062474</v>
      </c>
      <c r="UP207" s="132">
        <f t="shared" si="382"/>
        <v>1061474</v>
      </c>
      <c r="UQ207" s="132">
        <f t="shared" si="383"/>
        <v>0</v>
      </c>
      <c r="UR207" s="132">
        <f t="shared" si="384"/>
        <v>0</v>
      </c>
      <c r="US207" s="132">
        <f t="shared" si="385"/>
        <v>1000</v>
      </c>
      <c r="UT207" s="131">
        <f t="shared" si="386"/>
        <v>330600</v>
      </c>
      <c r="UU207" s="131">
        <f t="shared" si="387"/>
        <v>60000</v>
      </c>
      <c r="UV207" s="132">
        <f t="shared" si="388"/>
        <v>0</v>
      </c>
      <c r="UW207" s="132">
        <f t="shared" si="389"/>
        <v>60000</v>
      </c>
      <c r="UX207" s="132">
        <f t="shared" si="390"/>
        <v>0</v>
      </c>
      <c r="UY207" s="132">
        <f t="shared" si="391"/>
        <v>9000</v>
      </c>
      <c r="UZ207" s="132">
        <f t="shared" si="392"/>
        <v>0</v>
      </c>
      <c r="VA207" s="132">
        <f t="shared" si="393"/>
        <v>54500</v>
      </c>
      <c r="VB207" s="131">
        <f t="shared" si="394"/>
        <v>197100</v>
      </c>
      <c r="VC207" s="132">
        <f t="shared" si="395"/>
        <v>56000</v>
      </c>
      <c r="VD207" s="132">
        <f t="shared" si="396"/>
        <v>25000</v>
      </c>
      <c r="VE207" s="132">
        <f t="shared" si="397"/>
        <v>27000</v>
      </c>
      <c r="VF207" s="132">
        <f t="shared" si="398"/>
        <v>55000</v>
      </c>
      <c r="VG207" s="132">
        <f t="shared" si="399"/>
        <v>15000</v>
      </c>
      <c r="VH207" s="132">
        <f t="shared" si="400"/>
        <v>3000</v>
      </c>
      <c r="VI207" s="132">
        <f t="shared" si="401"/>
        <v>6000</v>
      </c>
      <c r="VJ207" s="132">
        <f t="shared" si="402"/>
        <v>0</v>
      </c>
      <c r="VK207" s="132">
        <f t="shared" si="403"/>
        <v>0</v>
      </c>
      <c r="VL207" s="132">
        <f t="shared" si="404"/>
        <v>10100</v>
      </c>
      <c r="VM207" s="132">
        <f t="shared" si="405"/>
        <v>0</v>
      </c>
      <c r="VN207" s="132">
        <f t="shared" si="406"/>
        <v>10000</v>
      </c>
      <c r="VP207" s="845" t="str">
        <f>IFERROR(HLOOKUP(F207,'Hodnocení '!$C$1:$JH$5,2,FALSE),0)</f>
        <v>Tréninková pekárna Láry Fáry</v>
      </c>
      <c r="VQ207" s="838"/>
      <c r="VR207" s="845" t="str">
        <f t="shared" si="414"/>
        <v>Ústav</v>
      </c>
      <c r="VS207" s="845" t="str">
        <f>IFERROR(HLOOKUP(F207,'Hodnocení '!$C$1:$JH$5,5,FALSE),0)</f>
        <v>NZO</v>
      </c>
      <c r="VT207" s="838">
        <f t="shared" si="415"/>
        <v>0</v>
      </c>
      <c r="VU207" s="838">
        <f t="shared" si="416"/>
        <v>0</v>
      </c>
      <c r="VV207" s="838">
        <f t="shared" si="417"/>
        <v>0</v>
      </c>
      <c r="VW207" s="838">
        <f t="shared" si="418"/>
        <v>0</v>
      </c>
      <c r="VX207" s="838"/>
      <c r="VY207" s="838">
        <f t="shared" si="317"/>
        <v>0</v>
      </c>
      <c r="VZ207" s="838">
        <f t="shared" si="318"/>
        <v>1393074</v>
      </c>
      <c r="WA207" s="846">
        <f>IFERROR(HLOOKUP($F207,'Hodnocení '!$C$1:$JH$9,9,FALSE),0)</f>
        <v>1393074</v>
      </c>
      <c r="WB207" s="846">
        <f>IF(IFERROR(HLOOKUP($F207,'Hodnocení '!$C$1:$JH$13,13,FALSE),0)&gt;WA207,WA207,IFERROR(HLOOKUP($F207,'Hodnocení '!$C$1:$JH$13,13,FALSE),0))</f>
        <v>1139158.9078340724</v>
      </c>
      <c r="WC207" s="846">
        <f>IFERROR(HLOOKUP($F207,'Hodnocení '!$C$1:$JH$155,155,FALSE),0)</f>
        <v>0</v>
      </c>
      <c r="WD207" s="845"/>
      <c r="WE207" s="845"/>
      <c r="WF207" s="845" t="str">
        <f t="shared" si="407"/>
        <v>ANO</v>
      </c>
      <c r="WG207" s="849" t="str">
        <f t="shared" si="320"/>
        <v>Podpora služby je vyjádřena zařazením do sítě sociálních služeb v KHK a řešením financování služby</v>
      </c>
      <c r="WH207"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07" s="849" t="str">
        <f t="shared" si="320"/>
        <v>Návrh dotace je výsledkem projednání s ostatními zadavateli v rámci sítě služeb KHK</v>
      </c>
      <c r="WJ207" s="849" t="str">
        <f t="shared" si="320"/>
        <v>Bez komentáře</v>
      </c>
      <c r="WK207" s="31">
        <f t="shared" si="408"/>
        <v>0</v>
      </c>
      <c r="WL207" s="850">
        <f t="shared" si="409"/>
        <v>0</v>
      </c>
      <c r="WM207" s="849">
        <f t="shared" si="410"/>
        <v>0</v>
      </c>
      <c r="WN207" s="849">
        <f t="shared" si="411"/>
        <v>0</v>
      </c>
      <c r="WO207" s="849" t="str">
        <f t="shared" si="321"/>
        <v>bez komentáře</v>
      </c>
      <c r="WP207" s="849" t="str">
        <f t="shared" si="321"/>
        <v>bez komentáře</v>
      </c>
      <c r="WQ207" s="849" t="str">
        <f t="shared" si="321"/>
        <v>Konečná výše dotace z rozpočtu KHK bude řešena v návaznosti na řešení podílů jednotlivých zadavatelů.</v>
      </c>
      <c r="WR207" s="849" t="str">
        <f t="shared" si="321"/>
        <v>Konečná výše podpory ze stran obcí bude řešena v součinnosti s jednotlivými zadavateli v průběhu roku.</v>
      </c>
      <c r="WS207" s="849" t="str">
        <f t="shared" si="321"/>
        <v>bez komentáře</v>
      </c>
      <c r="WT207" s="849" t="str">
        <f t="shared" si="321"/>
        <v>bez komentáře</v>
      </c>
      <c r="WU207" s="845"/>
    </row>
    <row r="208" spans="1:619" s="128" customFormat="1" x14ac:dyDescent="0.25">
      <c r="A208" s="128" t="str">
        <f>VLOOKUP(F208,'Výpočet VP 2020'!$D$324:$I$588,6,FALSE)</f>
        <v>Je v síti</v>
      </c>
      <c r="B208" s="128" t="s">
        <v>874</v>
      </c>
      <c r="C208" s="128">
        <v>26657431</v>
      </c>
      <c r="D208" s="128" t="s">
        <v>875</v>
      </c>
      <c r="E208" s="128" t="s">
        <v>272</v>
      </c>
      <c r="F208" s="128">
        <v>6473703</v>
      </c>
      <c r="G208" s="128" t="s">
        <v>235</v>
      </c>
      <c r="H208" s="128" t="s">
        <v>230</v>
      </c>
      <c r="I208" s="128" t="s">
        <v>879</v>
      </c>
      <c r="J208" s="129">
        <v>40581</v>
      </c>
      <c r="L208" s="128" t="s">
        <v>220</v>
      </c>
      <c r="X208" s="128" t="s">
        <v>322</v>
      </c>
      <c r="Z208" s="128">
        <v>20</v>
      </c>
      <c r="AA208" s="128">
        <v>5</v>
      </c>
      <c r="AB208" s="128">
        <v>17</v>
      </c>
      <c r="AC208" s="128">
        <v>17</v>
      </c>
      <c r="AD208" s="128">
        <v>20</v>
      </c>
      <c r="AO208" s="128" t="s">
        <v>880</v>
      </c>
      <c r="BL208" s="128" t="s">
        <v>434</v>
      </c>
      <c r="BM208" s="128" t="s">
        <v>228</v>
      </c>
      <c r="BN208" s="128" t="s">
        <v>256</v>
      </c>
      <c r="EK208" s="128">
        <v>2</v>
      </c>
      <c r="EL208" s="128">
        <v>0.6</v>
      </c>
      <c r="EM208" s="128">
        <v>0.5</v>
      </c>
      <c r="EN208" s="128">
        <v>317580</v>
      </c>
      <c r="EO208" s="128">
        <v>317580</v>
      </c>
      <c r="EP208" s="128">
        <v>3</v>
      </c>
      <c r="EQ208" s="128">
        <v>2.4</v>
      </c>
      <c r="ER208" s="128">
        <v>2.75</v>
      </c>
      <c r="ES208" s="128">
        <v>1093392</v>
      </c>
      <c r="ET208" s="128">
        <v>1003392</v>
      </c>
      <c r="FO208" s="128">
        <v>6</v>
      </c>
      <c r="FP208" s="128">
        <v>0.53200000000000003</v>
      </c>
      <c r="FQ208" s="128">
        <v>0.3</v>
      </c>
      <c r="FR208" s="128">
        <v>278554</v>
      </c>
      <c r="FS208" s="128">
        <v>278554</v>
      </c>
      <c r="KG208" s="128">
        <v>3</v>
      </c>
      <c r="KH208" s="128">
        <v>60</v>
      </c>
      <c r="KI208" s="128">
        <v>3</v>
      </c>
      <c r="KJ208" s="128">
        <v>0</v>
      </c>
      <c r="KK208" s="128">
        <v>0</v>
      </c>
      <c r="KL208" s="128">
        <v>0</v>
      </c>
      <c r="KM208" s="128">
        <v>3</v>
      </c>
      <c r="KN208" s="128">
        <v>1689526</v>
      </c>
      <c r="KO208" s="128">
        <v>1599526</v>
      </c>
      <c r="KP208" s="128">
        <v>1599526</v>
      </c>
      <c r="KT208" s="128">
        <v>0</v>
      </c>
      <c r="KU208" s="128">
        <v>0</v>
      </c>
      <c r="KV208" s="128">
        <v>0</v>
      </c>
      <c r="KZ208" s="128">
        <v>0</v>
      </c>
      <c r="LA208" s="128">
        <v>0</v>
      </c>
      <c r="LB208" s="128">
        <v>0</v>
      </c>
      <c r="LF208" s="128">
        <v>8000</v>
      </c>
      <c r="LG208" s="128">
        <v>8000</v>
      </c>
      <c r="LH208" s="128">
        <v>8000</v>
      </c>
      <c r="LL208" s="128">
        <v>0</v>
      </c>
      <c r="LM208" s="128">
        <v>0</v>
      </c>
      <c r="LN208" s="128">
        <v>0</v>
      </c>
      <c r="LR208" s="128">
        <v>36000</v>
      </c>
      <c r="LS208" s="128">
        <v>36000</v>
      </c>
      <c r="LT208" s="128">
        <v>36000</v>
      </c>
      <c r="LX208" s="128">
        <v>0</v>
      </c>
      <c r="LY208" s="128">
        <v>0</v>
      </c>
      <c r="LZ208" s="128">
        <v>0</v>
      </c>
      <c r="MD208" s="128">
        <v>22000</v>
      </c>
      <c r="ME208" s="128">
        <v>22000</v>
      </c>
      <c r="MF208" s="128">
        <v>22000</v>
      </c>
      <c r="MJ208" s="128">
        <v>0</v>
      </c>
      <c r="MK208" s="128">
        <v>0</v>
      </c>
      <c r="ML208" s="128">
        <v>0</v>
      </c>
      <c r="MP208" s="128">
        <v>19000</v>
      </c>
      <c r="MQ208" s="128">
        <v>19000</v>
      </c>
      <c r="MR208" s="128">
        <v>19000</v>
      </c>
      <c r="MV208" s="128">
        <v>63500</v>
      </c>
      <c r="MW208" s="128">
        <v>63500</v>
      </c>
      <c r="MX208" s="128">
        <v>63500</v>
      </c>
      <c r="NB208" s="128">
        <v>24000</v>
      </c>
      <c r="NC208" s="128">
        <v>24000</v>
      </c>
      <c r="ND208" s="128">
        <v>24000</v>
      </c>
      <c r="NH208" s="128">
        <v>44000</v>
      </c>
      <c r="NI208" s="128">
        <v>44000</v>
      </c>
      <c r="NJ208" s="128">
        <v>44000</v>
      </c>
      <c r="NN208" s="128">
        <v>45000</v>
      </c>
      <c r="NO208" s="128">
        <v>45000</v>
      </c>
      <c r="NP208" s="128">
        <v>45000</v>
      </c>
      <c r="NT208" s="128">
        <v>20000</v>
      </c>
      <c r="NU208" s="128">
        <v>20000</v>
      </c>
      <c r="NV208" s="128">
        <v>20000</v>
      </c>
      <c r="NZ208" s="128">
        <v>2000</v>
      </c>
      <c r="OA208" s="128">
        <v>2000</v>
      </c>
      <c r="OB208" s="128">
        <v>2000</v>
      </c>
      <c r="OF208" s="128">
        <v>6000</v>
      </c>
      <c r="OG208" s="128">
        <v>6000</v>
      </c>
      <c r="OH208" s="128">
        <v>6000</v>
      </c>
      <c r="OL208" s="128">
        <v>0</v>
      </c>
      <c r="OM208" s="128">
        <v>0</v>
      </c>
      <c r="ON208" s="128">
        <v>0</v>
      </c>
      <c r="OR208" s="128">
        <v>0</v>
      </c>
      <c r="OS208" s="128">
        <v>0</v>
      </c>
      <c r="OT208" s="128">
        <v>0</v>
      </c>
      <c r="OX208" s="128">
        <v>18800</v>
      </c>
      <c r="OY208" s="128">
        <v>18800</v>
      </c>
      <c r="OZ208" s="128">
        <v>18800</v>
      </c>
      <c r="PD208" s="128">
        <v>0</v>
      </c>
      <c r="PE208" s="128">
        <v>0</v>
      </c>
      <c r="PF208" s="128">
        <v>0</v>
      </c>
      <c r="PJ208" s="128">
        <v>13000</v>
      </c>
      <c r="PK208" s="128">
        <v>13000</v>
      </c>
      <c r="PL208" s="128">
        <v>13000</v>
      </c>
      <c r="PP208" s="128">
        <v>2010826</v>
      </c>
      <c r="PQ208" s="128">
        <v>1920826</v>
      </c>
      <c r="PR208" s="128">
        <v>1920826</v>
      </c>
      <c r="PS208" s="128">
        <v>100</v>
      </c>
      <c r="PT208" s="128">
        <v>100</v>
      </c>
      <c r="PX208" s="128">
        <v>0</v>
      </c>
      <c r="PY208" s="128">
        <v>844040</v>
      </c>
      <c r="PZ208" s="128">
        <v>1920826</v>
      </c>
      <c r="QA208" s="128">
        <v>0</v>
      </c>
      <c r="QB208" s="128">
        <v>0</v>
      </c>
      <c r="QC208" s="128">
        <v>0</v>
      </c>
      <c r="QD208" s="128">
        <v>0</v>
      </c>
      <c r="QE208" s="128">
        <v>0</v>
      </c>
      <c r="QF208" s="128">
        <v>0</v>
      </c>
      <c r="QG208" s="128">
        <v>0</v>
      </c>
      <c r="QH208" s="128">
        <v>0</v>
      </c>
      <c r="QI208" s="128">
        <v>0</v>
      </c>
      <c r="QJ208" s="128">
        <v>0</v>
      </c>
      <c r="QK208" s="128">
        <v>0</v>
      </c>
      <c r="QL208" s="128">
        <v>0</v>
      </c>
      <c r="QN208" s="128">
        <v>0</v>
      </c>
      <c r="QO208" s="128">
        <v>0</v>
      </c>
      <c r="QP208" s="128">
        <v>0</v>
      </c>
      <c r="QX208" s="128">
        <v>90000</v>
      </c>
      <c r="QY208" s="128">
        <v>90000</v>
      </c>
      <c r="QZ208" s="128">
        <v>90000</v>
      </c>
      <c r="RA208" s="128">
        <v>1635567</v>
      </c>
      <c r="RB208" s="128">
        <v>996540</v>
      </c>
      <c r="RC208" s="128">
        <v>0</v>
      </c>
      <c r="RD208" s="128">
        <v>87584</v>
      </c>
      <c r="RE208" s="128">
        <v>113528</v>
      </c>
      <c r="RF208" s="128">
        <v>0</v>
      </c>
      <c r="RH208" s="128">
        <f t="shared" si="412"/>
        <v>2010826</v>
      </c>
      <c r="RI208" s="128">
        <v>0</v>
      </c>
      <c r="RM208" s="128" t="s">
        <v>220</v>
      </c>
      <c r="RU208" s="130"/>
      <c r="RV208" s="130"/>
      <c r="RW208" s="130"/>
      <c r="RX208" s="130"/>
      <c r="SF208" s="128">
        <f t="shared" si="322"/>
        <v>6473703</v>
      </c>
      <c r="SG208" s="131">
        <f t="shared" si="323"/>
        <v>2010826</v>
      </c>
      <c r="SH208" s="131">
        <f t="shared" si="324"/>
        <v>2010826</v>
      </c>
      <c r="SI208" s="131">
        <f t="shared" si="325"/>
        <v>1697526</v>
      </c>
      <c r="SJ208" s="132">
        <f t="shared" si="326"/>
        <v>1689526</v>
      </c>
      <c r="SK208" s="132">
        <f t="shared" si="327"/>
        <v>0</v>
      </c>
      <c r="SL208" s="132">
        <f t="shared" si="328"/>
        <v>0</v>
      </c>
      <c r="SM208" s="132">
        <f t="shared" si="329"/>
        <v>8000</v>
      </c>
      <c r="SN208" s="131">
        <f t="shared" si="330"/>
        <v>313300</v>
      </c>
      <c r="SO208" s="131">
        <f t="shared" si="331"/>
        <v>36000</v>
      </c>
      <c r="SP208" s="132">
        <f t="shared" si="332"/>
        <v>0</v>
      </c>
      <c r="SQ208" s="132">
        <f t="shared" si="333"/>
        <v>36000</v>
      </c>
      <c r="SR208" s="132">
        <f t="shared" si="334"/>
        <v>0</v>
      </c>
      <c r="SS208" s="132">
        <f t="shared" si="335"/>
        <v>22000</v>
      </c>
      <c r="ST208" s="132">
        <f t="shared" si="336"/>
        <v>0</v>
      </c>
      <c r="SU208" s="132">
        <f t="shared" si="337"/>
        <v>19000</v>
      </c>
      <c r="SV208" s="131">
        <f t="shared" si="338"/>
        <v>223300</v>
      </c>
      <c r="SW208" s="132">
        <f t="shared" si="339"/>
        <v>63500</v>
      </c>
      <c r="SX208" s="132">
        <f t="shared" si="340"/>
        <v>24000</v>
      </c>
      <c r="SY208" s="132">
        <f t="shared" si="341"/>
        <v>44000</v>
      </c>
      <c r="SZ208" s="132">
        <f t="shared" si="342"/>
        <v>45000</v>
      </c>
      <c r="TA208" s="132">
        <f t="shared" si="343"/>
        <v>20000</v>
      </c>
      <c r="TB208" s="132">
        <f t="shared" si="344"/>
        <v>2000</v>
      </c>
      <c r="TC208" s="132">
        <f t="shared" si="345"/>
        <v>6000</v>
      </c>
      <c r="TD208" s="132">
        <f t="shared" si="346"/>
        <v>0</v>
      </c>
      <c r="TE208" s="132">
        <f t="shared" si="347"/>
        <v>0</v>
      </c>
      <c r="TF208" s="132">
        <f t="shared" si="348"/>
        <v>18800</v>
      </c>
      <c r="TG208" s="132">
        <f t="shared" si="349"/>
        <v>0</v>
      </c>
      <c r="TH208" s="132">
        <f t="shared" si="350"/>
        <v>13000</v>
      </c>
      <c r="TI208" s="1"/>
      <c r="TJ208" s="131">
        <f t="shared" si="351"/>
        <v>1920826</v>
      </c>
      <c r="TK208" s="131">
        <f t="shared" si="352"/>
        <v>1920826</v>
      </c>
      <c r="TL208" s="131">
        <f t="shared" si="353"/>
        <v>1607526</v>
      </c>
      <c r="TM208" s="132">
        <f t="shared" si="354"/>
        <v>1599526</v>
      </c>
      <c r="TN208" s="132">
        <f t="shared" si="355"/>
        <v>0</v>
      </c>
      <c r="TO208" s="132">
        <f t="shared" si="356"/>
        <v>0</v>
      </c>
      <c r="TP208" s="132">
        <f t="shared" si="357"/>
        <v>8000</v>
      </c>
      <c r="TQ208" s="131">
        <f t="shared" si="358"/>
        <v>313300</v>
      </c>
      <c r="TR208" s="131">
        <f t="shared" si="359"/>
        <v>36000</v>
      </c>
      <c r="TS208" s="132">
        <f t="shared" si="360"/>
        <v>0</v>
      </c>
      <c r="TT208" s="132">
        <f t="shared" si="361"/>
        <v>36000</v>
      </c>
      <c r="TU208" s="132">
        <f t="shared" si="362"/>
        <v>0</v>
      </c>
      <c r="TV208" s="132">
        <f t="shared" si="363"/>
        <v>22000</v>
      </c>
      <c r="TW208" s="132">
        <f t="shared" si="364"/>
        <v>0</v>
      </c>
      <c r="TX208" s="132">
        <f t="shared" si="365"/>
        <v>19000</v>
      </c>
      <c r="TY208" s="131">
        <f t="shared" si="366"/>
        <v>223300</v>
      </c>
      <c r="TZ208" s="132">
        <f t="shared" si="367"/>
        <v>63500</v>
      </c>
      <c r="UA208" s="132">
        <f t="shared" si="368"/>
        <v>24000</v>
      </c>
      <c r="UB208" s="132">
        <f t="shared" si="369"/>
        <v>44000</v>
      </c>
      <c r="UC208" s="132">
        <f t="shared" si="370"/>
        <v>45000</v>
      </c>
      <c r="UD208" s="132">
        <f t="shared" si="371"/>
        <v>20000</v>
      </c>
      <c r="UE208" s="132">
        <f t="shared" si="372"/>
        <v>2000</v>
      </c>
      <c r="UF208" s="132">
        <f t="shared" si="373"/>
        <v>6000</v>
      </c>
      <c r="UG208" s="132">
        <f t="shared" si="374"/>
        <v>0</v>
      </c>
      <c r="UH208" s="132">
        <f t="shared" si="375"/>
        <v>0</v>
      </c>
      <c r="UI208" s="132">
        <f t="shared" si="376"/>
        <v>18800</v>
      </c>
      <c r="UJ208" s="132">
        <f t="shared" si="377"/>
        <v>0</v>
      </c>
      <c r="UK208" s="132">
        <f t="shared" si="378"/>
        <v>13000</v>
      </c>
      <c r="UL208" s="132">
        <f t="shared" si="413"/>
        <v>1920826</v>
      </c>
      <c r="UM208" s="131">
        <f t="shared" si="379"/>
        <v>1920826</v>
      </c>
      <c r="UN208" s="131">
        <f t="shared" si="380"/>
        <v>1920826</v>
      </c>
      <c r="UO208" s="131">
        <f t="shared" si="381"/>
        <v>1607526</v>
      </c>
      <c r="UP208" s="132">
        <f t="shared" si="382"/>
        <v>1599526</v>
      </c>
      <c r="UQ208" s="132">
        <f t="shared" si="383"/>
        <v>0</v>
      </c>
      <c r="UR208" s="132">
        <f t="shared" si="384"/>
        <v>0</v>
      </c>
      <c r="US208" s="132">
        <f t="shared" si="385"/>
        <v>8000</v>
      </c>
      <c r="UT208" s="131">
        <f t="shared" si="386"/>
        <v>313300</v>
      </c>
      <c r="UU208" s="131">
        <f t="shared" si="387"/>
        <v>36000</v>
      </c>
      <c r="UV208" s="132">
        <f t="shared" si="388"/>
        <v>0</v>
      </c>
      <c r="UW208" s="132">
        <f t="shared" si="389"/>
        <v>36000</v>
      </c>
      <c r="UX208" s="132">
        <f t="shared" si="390"/>
        <v>0</v>
      </c>
      <c r="UY208" s="132">
        <f t="shared" si="391"/>
        <v>22000</v>
      </c>
      <c r="UZ208" s="132">
        <f t="shared" si="392"/>
        <v>0</v>
      </c>
      <c r="VA208" s="132">
        <f t="shared" si="393"/>
        <v>19000</v>
      </c>
      <c r="VB208" s="131">
        <f t="shared" si="394"/>
        <v>223300</v>
      </c>
      <c r="VC208" s="132">
        <f t="shared" si="395"/>
        <v>63500</v>
      </c>
      <c r="VD208" s="132">
        <f t="shared" si="396"/>
        <v>24000</v>
      </c>
      <c r="VE208" s="132">
        <f t="shared" si="397"/>
        <v>44000</v>
      </c>
      <c r="VF208" s="132">
        <f t="shared" si="398"/>
        <v>45000</v>
      </c>
      <c r="VG208" s="132">
        <f t="shared" si="399"/>
        <v>20000</v>
      </c>
      <c r="VH208" s="132">
        <f t="shared" si="400"/>
        <v>2000</v>
      </c>
      <c r="VI208" s="132">
        <f t="shared" si="401"/>
        <v>6000</v>
      </c>
      <c r="VJ208" s="132">
        <f t="shared" si="402"/>
        <v>0</v>
      </c>
      <c r="VK208" s="132">
        <f t="shared" si="403"/>
        <v>0</v>
      </c>
      <c r="VL208" s="132">
        <f t="shared" si="404"/>
        <v>18800</v>
      </c>
      <c r="VM208" s="132">
        <f t="shared" si="405"/>
        <v>0</v>
      </c>
      <c r="VN208" s="132">
        <f t="shared" si="406"/>
        <v>13000</v>
      </c>
      <c r="VP208" s="845" t="str">
        <f>IFERROR(HLOOKUP(F208,'Hodnocení '!$C$1:$JH$5,2,FALSE),0)</f>
        <v>Pferdí trénink Náchod</v>
      </c>
      <c r="VQ208" s="838"/>
      <c r="VR208" s="845" t="str">
        <f t="shared" si="414"/>
        <v>Ústav</v>
      </c>
      <c r="VS208" s="845" t="str">
        <f>IFERROR(HLOOKUP(F208,'Hodnocení '!$C$1:$JH$5,5,FALSE),0)</f>
        <v>NZO</v>
      </c>
      <c r="VT208" s="838">
        <f t="shared" si="415"/>
        <v>0</v>
      </c>
      <c r="VU208" s="838">
        <f t="shared" si="416"/>
        <v>0</v>
      </c>
      <c r="VV208" s="838">
        <f t="shared" si="417"/>
        <v>0</v>
      </c>
      <c r="VW208" s="838">
        <f t="shared" si="418"/>
        <v>0</v>
      </c>
      <c r="VX208" s="838"/>
      <c r="VY208" s="838">
        <f t="shared" si="317"/>
        <v>0</v>
      </c>
      <c r="VZ208" s="838">
        <f t="shared" si="318"/>
        <v>1920826</v>
      </c>
      <c r="WA208" s="846">
        <f>IFERROR(HLOOKUP($F208,'Hodnocení '!$C$1:$JH$9,9,FALSE),0)</f>
        <v>1920826</v>
      </c>
      <c r="WB208" s="846">
        <f>IF(IFERROR(HLOOKUP($F208,'Hodnocení '!$C$1:$JH$13,13,FALSE),0)&gt;WA208,WA208,IFERROR(HLOOKUP($F208,'Hodnocení '!$C$1:$JH$13,13,FALSE),0))</f>
        <v>1920826</v>
      </c>
      <c r="WC208" s="846">
        <f>IFERROR(HLOOKUP($F208,'Hodnocení '!$C$1:$JH$155,155,FALSE),0)</f>
        <v>0</v>
      </c>
      <c r="WD208" s="845"/>
      <c r="WE208" s="845"/>
      <c r="WF208" s="845" t="str">
        <f t="shared" si="407"/>
        <v>ANO</v>
      </c>
      <c r="WG208" s="849" t="str">
        <f t="shared" si="320"/>
        <v>Podpora služby je vyjádřena zařazením do sítě sociálních služeb v KHK a řešením financování služby</v>
      </c>
      <c r="WH208"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08" s="849" t="str">
        <f t="shared" si="320"/>
        <v>Návrh dotace je výsledkem projednání s ostatními zadavateli v rámci sítě služeb KHK</v>
      </c>
      <c r="WJ208" s="849" t="str">
        <f t="shared" si="320"/>
        <v>Bez komentáře</v>
      </c>
      <c r="WK208" s="31">
        <f t="shared" si="408"/>
        <v>0</v>
      </c>
      <c r="WL208" s="850">
        <f t="shared" si="409"/>
        <v>0</v>
      </c>
      <c r="WM208" s="849">
        <f t="shared" si="410"/>
        <v>0</v>
      </c>
      <c r="WN208" s="849">
        <f t="shared" si="411"/>
        <v>0</v>
      </c>
      <c r="WO208" s="849" t="str">
        <f t="shared" si="321"/>
        <v>bez komentáře</v>
      </c>
      <c r="WP208" s="849" t="str">
        <f t="shared" si="321"/>
        <v>bez komentáře</v>
      </c>
      <c r="WQ208" s="849" t="str">
        <f t="shared" si="321"/>
        <v>Konečná výše dotace z rozpočtu KHK bude řešena v návaznosti na řešení podílů jednotlivých zadavatelů.</v>
      </c>
      <c r="WR208" s="849" t="str">
        <f t="shared" si="321"/>
        <v>Konečná výše podpory ze stran obcí bude řešena v součinnosti s jednotlivými zadavateli v průběhu roku.</v>
      </c>
      <c r="WS208" s="849" t="str">
        <f t="shared" si="321"/>
        <v>bez komentáře</v>
      </c>
      <c r="WT208" s="849" t="str">
        <f t="shared" si="321"/>
        <v>bez komentáře</v>
      </c>
      <c r="WU208" s="845"/>
    </row>
    <row r="209" spans="1:619" s="128" customFormat="1" x14ac:dyDescent="0.25">
      <c r="A209" s="128" t="str">
        <f>VLOOKUP(F209,'Výpočet VP 2020'!$D$324:$I$588,6,FALSE)</f>
        <v>Je v síti</v>
      </c>
      <c r="B209" s="128" t="s">
        <v>874</v>
      </c>
      <c r="C209" s="128">
        <v>26657431</v>
      </c>
      <c r="D209" s="128" t="s">
        <v>875</v>
      </c>
      <c r="E209" s="128" t="s">
        <v>272</v>
      </c>
      <c r="F209" s="128">
        <v>7805491</v>
      </c>
      <c r="G209" s="128" t="s">
        <v>235</v>
      </c>
      <c r="H209" s="128" t="s">
        <v>230</v>
      </c>
      <c r="I209" s="128" t="s">
        <v>881</v>
      </c>
      <c r="J209" s="129">
        <v>39725</v>
      </c>
      <c r="L209" s="128" t="s">
        <v>220</v>
      </c>
      <c r="X209" s="128" t="s">
        <v>276</v>
      </c>
      <c r="Z209" s="128">
        <v>20</v>
      </c>
      <c r="AA209" s="128">
        <v>6</v>
      </c>
      <c r="AB209" s="128">
        <v>6</v>
      </c>
      <c r="AC209" s="128">
        <v>6</v>
      </c>
      <c r="AD209" s="128">
        <v>20</v>
      </c>
      <c r="AO209" s="128" t="s">
        <v>882</v>
      </c>
      <c r="AP209" s="128" t="s">
        <v>276</v>
      </c>
      <c r="AQ209" s="128">
        <v>20</v>
      </c>
      <c r="AR209" s="128">
        <v>6</v>
      </c>
      <c r="AS209" s="128">
        <v>6</v>
      </c>
      <c r="AT209" s="128">
        <v>6</v>
      </c>
      <c r="AU209" s="128">
        <v>20</v>
      </c>
      <c r="BL209" s="128" t="s">
        <v>434</v>
      </c>
      <c r="BM209" s="128" t="s">
        <v>228</v>
      </c>
      <c r="BN209" s="128" t="s">
        <v>256</v>
      </c>
      <c r="EK209" s="128">
        <v>2</v>
      </c>
      <c r="EL209" s="128">
        <v>0.6</v>
      </c>
      <c r="EM209" s="128">
        <v>0.35</v>
      </c>
      <c r="EN209" s="128">
        <v>337580</v>
      </c>
      <c r="EO209" s="128">
        <v>317580</v>
      </c>
      <c r="EP209" s="128">
        <v>3</v>
      </c>
      <c r="EQ209" s="128">
        <v>2.9</v>
      </c>
      <c r="ER209" s="128">
        <v>1</v>
      </c>
      <c r="ES209" s="128">
        <v>1286232</v>
      </c>
      <c r="ET209" s="128">
        <v>1212432</v>
      </c>
      <c r="FO209" s="128">
        <v>6</v>
      </c>
      <c r="FP209" s="128">
        <v>0.53200000000000003</v>
      </c>
      <c r="FQ209" s="128">
        <v>0.3</v>
      </c>
      <c r="FR209" s="128">
        <v>278779</v>
      </c>
      <c r="FS209" s="128">
        <v>278779</v>
      </c>
      <c r="KG209" s="128">
        <v>3</v>
      </c>
      <c r="KH209" s="128">
        <v>60</v>
      </c>
      <c r="KI209" s="128">
        <v>3.5</v>
      </c>
      <c r="KJ209" s="128">
        <v>0</v>
      </c>
      <c r="KK209" s="128">
        <v>0</v>
      </c>
      <c r="KL209" s="128">
        <v>0</v>
      </c>
      <c r="KM209" s="128">
        <v>3.5</v>
      </c>
      <c r="KN209" s="128">
        <v>1902591</v>
      </c>
      <c r="KO209" s="128">
        <v>1808791</v>
      </c>
      <c r="KP209" s="128">
        <v>1808791</v>
      </c>
      <c r="KT209" s="128">
        <v>0</v>
      </c>
      <c r="KU209" s="128">
        <v>0</v>
      </c>
      <c r="KV209" s="128">
        <v>0</v>
      </c>
      <c r="KZ209" s="128">
        <v>0</v>
      </c>
      <c r="LA209" s="128">
        <v>0</v>
      </c>
      <c r="LB209" s="128">
        <v>0</v>
      </c>
      <c r="LF209" s="128">
        <v>8000</v>
      </c>
      <c r="LG209" s="128">
        <v>8000</v>
      </c>
      <c r="LH209" s="128">
        <v>8000</v>
      </c>
      <c r="LL209" s="128">
        <v>0</v>
      </c>
      <c r="LM209" s="128">
        <v>0</v>
      </c>
      <c r="LN209" s="128">
        <v>0</v>
      </c>
      <c r="LR209" s="128">
        <v>150000</v>
      </c>
      <c r="LS209" s="128">
        <v>150000</v>
      </c>
      <c r="LT209" s="128">
        <v>150000</v>
      </c>
      <c r="LX209" s="128">
        <v>0</v>
      </c>
      <c r="LY209" s="128">
        <v>0</v>
      </c>
      <c r="LZ209" s="128">
        <v>0</v>
      </c>
      <c r="MD209" s="128">
        <v>36000</v>
      </c>
      <c r="ME209" s="128">
        <v>36000</v>
      </c>
      <c r="MF209" s="128">
        <v>36000</v>
      </c>
      <c r="MJ209" s="128">
        <v>0</v>
      </c>
      <c r="MK209" s="128">
        <v>0</v>
      </c>
      <c r="ML209" s="128">
        <v>0</v>
      </c>
      <c r="MP209" s="128">
        <v>34000</v>
      </c>
      <c r="MQ209" s="128">
        <v>34000</v>
      </c>
      <c r="MR209" s="128">
        <v>34000</v>
      </c>
      <c r="MV209" s="128">
        <v>120000</v>
      </c>
      <c r="MW209" s="128">
        <v>120000</v>
      </c>
      <c r="MX209" s="128">
        <v>120000</v>
      </c>
      <c r="NB209" s="128">
        <v>30000</v>
      </c>
      <c r="NC209" s="128">
        <v>30000</v>
      </c>
      <c r="ND209" s="128">
        <v>30000</v>
      </c>
      <c r="NH209" s="128">
        <v>100000</v>
      </c>
      <c r="NI209" s="128">
        <v>100000</v>
      </c>
      <c r="NJ209" s="128">
        <v>100000</v>
      </c>
      <c r="NN209" s="128">
        <v>55000</v>
      </c>
      <c r="NO209" s="128">
        <v>55000</v>
      </c>
      <c r="NP209" s="128">
        <v>55000</v>
      </c>
      <c r="NT209" s="128">
        <v>25555</v>
      </c>
      <c r="NU209" s="128">
        <v>25555</v>
      </c>
      <c r="NV209" s="128">
        <v>25555</v>
      </c>
      <c r="NZ209" s="128">
        <v>15000</v>
      </c>
      <c r="OA209" s="128">
        <v>15000</v>
      </c>
      <c r="OB209" s="128">
        <v>15000</v>
      </c>
      <c r="OF209" s="128">
        <v>6000</v>
      </c>
      <c r="OG209" s="128">
        <v>6000</v>
      </c>
      <c r="OH209" s="128">
        <v>6000</v>
      </c>
      <c r="OL209" s="128">
        <v>0</v>
      </c>
      <c r="OM209" s="128">
        <v>0</v>
      </c>
      <c r="ON209" s="128">
        <v>0</v>
      </c>
      <c r="OR209" s="128">
        <v>0</v>
      </c>
      <c r="OS209" s="128">
        <v>0</v>
      </c>
      <c r="OT209" s="128">
        <v>0</v>
      </c>
      <c r="OX209" s="128">
        <v>15000</v>
      </c>
      <c r="OY209" s="128">
        <v>15000</v>
      </c>
      <c r="OZ209" s="128">
        <v>15000</v>
      </c>
      <c r="PD209" s="128">
        <v>0</v>
      </c>
      <c r="PE209" s="128">
        <v>0</v>
      </c>
      <c r="PF209" s="128">
        <v>0</v>
      </c>
      <c r="PJ209" s="128">
        <v>14000</v>
      </c>
      <c r="PK209" s="128">
        <v>14000</v>
      </c>
      <c r="PL209" s="128">
        <v>14000</v>
      </c>
      <c r="PP209" s="128">
        <v>2511146</v>
      </c>
      <c r="PQ209" s="128">
        <v>2417346</v>
      </c>
      <c r="PR209" s="128">
        <v>2417346</v>
      </c>
      <c r="PS209" s="128">
        <v>100</v>
      </c>
      <c r="PT209" s="128">
        <v>100</v>
      </c>
      <c r="PX209" s="128">
        <v>129000</v>
      </c>
      <c r="PY209" s="128">
        <v>506700</v>
      </c>
      <c r="PZ209" s="128">
        <v>2417346</v>
      </c>
      <c r="QA209" s="128">
        <v>0</v>
      </c>
      <c r="QB209" s="128">
        <v>0</v>
      </c>
      <c r="QC209" s="128">
        <v>0</v>
      </c>
      <c r="QD209" s="128">
        <v>0</v>
      </c>
      <c r="QE209" s="128">
        <v>0</v>
      </c>
      <c r="QF209" s="128">
        <v>0</v>
      </c>
      <c r="QG209" s="128">
        <v>0</v>
      </c>
      <c r="QH209" s="128">
        <v>0</v>
      </c>
      <c r="QI209" s="128">
        <v>0</v>
      </c>
      <c r="QJ209" s="128">
        <v>0</v>
      </c>
      <c r="QK209" s="128">
        <v>0</v>
      </c>
      <c r="QL209" s="128">
        <v>0</v>
      </c>
      <c r="QN209" s="128">
        <v>0</v>
      </c>
      <c r="QO209" s="128">
        <v>0</v>
      </c>
      <c r="QP209" s="128">
        <v>0</v>
      </c>
      <c r="QU209" s="128">
        <v>0</v>
      </c>
      <c r="QV209" s="128">
        <v>10236</v>
      </c>
      <c r="QW209" s="128">
        <v>0</v>
      </c>
      <c r="QX209" s="128">
        <v>42480</v>
      </c>
      <c r="QY209" s="128">
        <v>40200</v>
      </c>
      <c r="QZ209" s="128">
        <v>93800</v>
      </c>
      <c r="RA209" s="128">
        <v>781595</v>
      </c>
      <c r="RB209" s="128">
        <v>399004</v>
      </c>
      <c r="RC209" s="128">
        <v>0</v>
      </c>
      <c r="RD209" s="128">
        <v>30825</v>
      </c>
      <c r="RE209" s="128">
        <v>0</v>
      </c>
      <c r="RF209" s="128">
        <v>0</v>
      </c>
      <c r="RH209" s="128">
        <f t="shared" si="412"/>
        <v>2511146</v>
      </c>
      <c r="RI209" s="128">
        <v>0</v>
      </c>
      <c r="RM209" s="128" t="s">
        <v>220</v>
      </c>
      <c r="RU209" s="130"/>
      <c r="RV209" s="130"/>
      <c r="RW209" s="130"/>
      <c r="RX209" s="130"/>
      <c r="SF209" s="128">
        <f t="shared" si="322"/>
        <v>7805491</v>
      </c>
      <c r="SG209" s="131">
        <f t="shared" si="323"/>
        <v>2511146</v>
      </c>
      <c r="SH209" s="131">
        <f t="shared" si="324"/>
        <v>2511146</v>
      </c>
      <c r="SI209" s="131">
        <f t="shared" si="325"/>
        <v>1910591</v>
      </c>
      <c r="SJ209" s="132">
        <f t="shared" si="326"/>
        <v>1902591</v>
      </c>
      <c r="SK209" s="132">
        <f t="shared" si="327"/>
        <v>0</v>
      </c>
      <c r="SL209" s="132">
        <f t="shared" si="328"/>
        <v>0</v>
      </c>
      <c r="SM209" s="132">
        <f t="shared" si="329"/>
        <v>8000</v>
      </c>
      <c r="SN209" s="131">
        <f t="shared" si="330"/>
        <v>600555</v>
      </c>
      <c r="SO209" s="131">
        <f t="shared" si="331"/>
        <v>150000</v>
      </c>
      <c r="SP209" s="132">
        <f t="shared" si="332"/>
        <v>0</v>
      </c>
      <c r="SQ209" s="132">
        <f t="shared" si="333"/>
        <v>150000</v>
      </c>
      <c r="SR209" s="132">
        <f t="shared" si="334"/>
        <v>0</v>
      </c>
      <c r="SS209" s="132">
        <f t="shared" si="335"/>
        <v>36000</v>
      </c>
      <c r="ST209" s="132">
        <f t="shared" si="336"/>
        <v>0</v>
      </c>
      <c r="SU209" s="132">
        <f t="shared" si="337"/>
        <v>34000</v>
      </c>
      <c r="SV209" s="131">
        <f t="shared" si="338"/>
        <v>366555</v>
      </c>
      <c r="SW209" s="132">
        <f t="shared" si="339"/>
        <v>120000</v>
      </c>
      <c r="SX209" s="132">
        <f t="shared" si="340"/>
        <v>30000</v>
      </c>
      <c r="SY209" s="132">
        <f t="shared" si="341"/>
        <v>100000</v>
      </c>
      <c r="SZ209" s="132">
        <f t="shared" si="342"/>
        <v>55000</v>
      </c>
      <c r="TA209" s="132">
        <f t="shared" si="343"/>
        <v>25555</v>
      </c>
      <c r="TB209" s="132">
        <f t="shared" si="344"/>
        <v>15000</v>
      </c>
      <c r="TC209" s="132">
        <f t="shared" si="345"/>
        <v>6000</v>
      </c>
      <c r="TD209" s="132">
        <f t="shared" si="346"/>
        <v>0</v>
      </c>
      <c r="TE209" s="132">
        <f t="shared" si="347"/>
        <v>0</v>
      </c>
      <c r="TF209" s="132">
        <f t="shared" si="348"/>
        <v>15000</v>
      </c>
      <c r="TG209" s="132">
        <f t="shared" si="349"/>
        <v>0</v>
      </c>
      <c r="TH209" s="132">
        <f t="shared" si="350"/>
        <v>14000</v>
      </c>
      <c r="TI209" s="1"/>
      <c r="TJ209" s="131">
        <f t="shared" si="351"/>
        <v>2417346</v>
      </c>
      <c r="TK209" s="131">
        <f t="shared" si="352"/>
        <v>2417346</v>
      </c>
      <c r="TL209" s="131">
        <f t="shared" si="353"/>
        <v>1816791</v>
      </c>
      <c r="TM209" s="132">
        <f t="shared" si="354"/>
        <v>1808791</v>
      </c>
      <c r="TN209" s="132">
        <f t="shared" si="355"/>
        <v>0</v>
      </c>
      <c r="TO209" s="132">
        <f t="shared" si="356"/>
        <v>0</v>
      </c>
      <c r="TP209" s="132">
        <f t="shared" si="357"/>
        <v>8000</v>
      </c>
      <c r="TQ209" s="131">
        <f t="shared" si="358"/>
        <v>600555</v>
      </c>
      <c r="TR209" s="131">
        <f t="shared" si="359"/>
        <v>150000</v>
      </c>
      <c r="TS209" s="132">
        <f t="shared" si="360"/>
        <v>0</v>
      </c>
      <c r="TT209" s="132">
        <f t="shared" si="361"/>
        <v>150000</v>
      </c>
      <c r="TU209" s="132">
        <f t="shared" si="362"/>
        <v>0</v>
      </c>
      <c r="TV209" s="132">
        <f t="shared" si="363"/>
        <v>36000</v>
      </c>
      <c r="TW209" s="132">
        <f t="shared" si="364"/>
        <v>0</v>
      </c>
      <c r="TX209" s="132">
        <f t="shared" si="365"/>
        <v>34000</v>
      </c>
      <c r="TY209" s="131">
        <f t="shared" si="366"/>
        <v>366555</v>
      </c>
      <c r="TZ209" s="132">
        <f t="shared" si="367"/>
        <v>120000</v>
      </c>
      <c r="UA209" s="132">
        <f t="shared" si="368"/>
        <v>30000</v>
      </c>
      <c r="UB209" s="132">
        <f t="shared" si="369"/>
        <v>100000</v>
      </c>
      <c r="UC209" s="132">
        <f t="shared" si="370"/>
        <v>55000</v>
      </c>
      <c r="UD209" s="132">
        <f t="shared" si="371"/>
        <v>25555</v>
      </c>
      <c r="UE209" s="132">
        <f t="shared" si="372"/>
        <v>15000</v>
      </c>
      <c r="UF209" s="132">
        <f t="shared" si="373"/>
        <v>6000</v>
      </c>
      <c r="UG209" s="132">
        <f t="shared" si="374"/>
        <v>0</v>
      </c>
      <c r="UH209" s="132">
        <f t="shared" si="375"/>
        <v>0</v>
      </c>
      <c r="UI209" s="132">
        <f t="shared" si="376"/>
        <v>15000</v>
      </c>
      <c r="UJ209" s="132">
        <f t="shared" si="377"/>
        <v>0</v>
      </c>
      <c r="UK209" s="132">
        <f t="shared" si="378"/>
        <v>14000</v>
      </c>
      <c r="UL209" s="132">
        <f t="shared" si="413"/>
        <v>2417346</v>
      </c>
      <c r="UM209" s="131">
        <f t="shared" si="379"/>
        <v>2417346</v>
      </c>
      <c r="UN209" s="131">
        <f t="shared" si="380"/>
        <v>2417346</v>
      </c>
      <c r="UO209" s="131">
        <f t="shared" si="381"/>
        <v>1816791</v>
      </c>
      <c r="UP209" s="132">
        <f t="shared" si="382"/>
        <v>1808791</v>
      </c>
      <c r="UQ209" s="132">
        <f t="shared" si="383"/>
        <v>0</v>
      </c>
      <c r="UR209" s="132">
        <f t="shared" si="384"/>
        <v>0</v>
      </c>
      <c r="US209" s="132">
        <f t="shared" si="385"/>
        <v>8000</v>
      </c>
      <c r="UT209" s="131">
        <f t="shared" si="386"/>
        <v>600555</v>
      </c>
      <c r="UU209" s="131">
        <f t="shared" si="387"/>
        <v>150000</v>
      </c>
      <c r="UV209" s="132">
        <f t="shared" si="388"/>
        <v>0</v>
      </c>
      <c r="UW209" s="132">
        <f t="shared" si="389"/>
        <v>150000</v>
      </c>
      <c r="UX209" s="132">
        <f t="shared" si="390"/>
        <v>0</v>
      </c>
      <c r="UY209" s="132">
        <f t="shared" si="391"/>
        <v>36000</v>
      </c>
      <c r="UZ209" s="132">
        <f t="shared" si="392"/>
        <v>0</v>
      </c>
      <c r="VA209" s="132">
        <f t="shared" si="393"/>
        <v>34000</v>
      </c>
      <c r="VB209" s="131">
        <f t="shared" si="394"/>
        <v>366555</v>
      </c>
      <c r="VC209" s="132">
        <f t="shared" si="395"/>
        <v>120000</v>
      </c>
      <c r="VD209" s="132">
        <f t="shared" si="396"/>
        <v>30000</v>
      </c>
      <c r="VE209" s="132">
        <f t="shared" si="397"/>
        <v>100000</v>
      </c>
      <c r="VF209" s="132">
        <f t="shared" si="398"/>
        <v>55000</v>
      </c>
      <c r="VG209" s="132">
        <f t="shared" si="399"/>
        <v>25555</v>
      </c>
      <c r="VH209" s="132">
        <f t="shared" si="400"/>
        <v>15000</v>
      </c>
      <c r="VI209" s="132">
        <f t="shared" si="401"/>
        <v>6000</v>
      </c>
      <c r="VJ209" s="132">
        <f t="shared" si="402"/>
        <v>0</v>
      </c>
      <c r="VK209" s="132">
        <f t="shared" si="403"/>
        <v>0</v>
      </c>
      <c r="VL209" s="132">
        <f t="shared" si="404"/>
        <v>15000</v>
      </c>
      <c r="VM209" s="132">
        <f t="shared" si="405"/>
        <v>0</v>
      </c>
      <c r="VN209" s="132">
        <f t="shared" si="406"/>
        <v>14000</v>
      </c>
      <c r="VP209" s="845" t="str">
        <f>IFERROR(HLOOKUP(F209,'Hodnocení '!$C$1:$JH$5,2,FALSE),0)</f>
        <v>Pferdí trénink Rychnov</v>
      </c>
      <c r="VQ209" s="838"/>
      <c r="VR209" s="845" t="str">
        <f t="shared" si="414"/>
        <v>Ústav</v>
      </c>
      <c r="VS209" s="845" t="str">
        <f>IFERROR(HLOOKUP(F209,'Hodnocení '!$C$1:$JH$5,5,FALSE),0)</f>
        <v>NZO</v>
      </c>
      <c r="VT209" s="838">
        <f t="shared" si="415"/>
        <v>0</v>
      </c>
      <c r="VU209" s="838">
        <f t="shared" si="416"/>
        <v>0</v>
      </c>
      <c r="VV209" s="838">
        <f t="shared" si="417"/>
        <v>0</v>
      </c>
      <c r="VW209" s="838">
        <f t="shared" si="418"/>
        <v>0</v>
      </c>
      <c r="VX209" s="838"/>
      <c r="VY209" s="838">
        <f t="shared" si="317"/>
        <v>0</v>
      </c>
      <c r="VZ209" s="838">
        <f t="shared" si="318"/>
        <v>2417346</v>
      </c>
      <c r="WA209" s="846">
        <f>IFERROR(HLOOKUP($F209,'Hodnocení '!$C$1:$JH$9,9,FALSE),0)</f>
        <v>2417346</v>
      </c>
      <c r="WB209" s="846">
        <f>IF(IFERROR(HLOOKUP($F209,'Hodnocení '!$C$1:$JH$13,13,FALSE),0)&gt;WA209,WA209,IFERROR(HLOOKUP($F209,'Hodnocení '!$C$1:$JH$13,13,FALSE),0))</f>
        <v>2417346</v>
      </c>
      <c r="WC209" s="846">
        <f>IFERROR(HLOOKUP($F209,'Hodnocení '!$C$1:$JH$155,155,FALSE),0)</f>
        <v>0</v>
      </c>
      <c r="WD209" s="845"/>
      <c r="WE209" s="845"/>
      <c r="WF209" s="845" t="str">
        <f t="shared" si="407"/>
        <v>ANO</v>
      </c>
      <c r="WG209" s="849" t="str">
        <f t="shared" si="320"/>
        <v>Podpora služby je vyjádřena zařazením do sítě sociálních služeb v KHK a řešením financování služby</v>
      </c>
      <c r="WH209"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09" s="849" t="str">
        <f t="shared" si="320"/>
        <v>Návrh dotace je výsledkem projednání s ostatními zadavateli v rámci sítě služeb KHK</v>
      </c>
      <c r="WJ209" s="849" t="str">
        <f t="shared" si="320"/>
        <v>Bez komentáře</v>
      </c>
      <c r="WK209" s="31">
        <f t="shared" si="408"/>
        <v>0</v>
      </c>
      <c r="WL209" s="850">
        <f t="shared" si="409"/>
        <v>0</v>
      </c>
      <c r="WM209" s="849">
        <f t="shared" si="410"/>
        <v>0</v>
      </c>
      <c r="WN209" s="849">
        <f t="shared" si="411"/>
        <v>0</v>
      </c>
      <c r="WO209" s="849" t="str">
        <f t="shared" si="321"/>
        <v>bez komentáře</v>
      </c>
      <c r="WP209" s="849" t="str">
        <f t="shared" si="321"/>
        <v>bez komentáře</v>
      </c>
      <c r="WQ209" s="849" t="str">
        <f t="shared" si="321"/>
        <v>Konečná výše dotace z rozpočtu KHK bude řešena v návaznosti na řešení podílů jednotlivých zadavatelů.</v>
      </c>
      <c r="WR209" s="849" t="str">
        <f t="shared" si="321"/>
        <v>Konečná výše podpory ze stran obcí bude řešena v součinnosti s jednotlivými zadavateli v průběhu roku.</v>
      </c>
      <c r="WS209" s="849" t="str">
        <f t="shared" si="321"/>
        <v>bez komentáře</v>
      </c>
      <c r="WT209" s="849" t="str">
        <f t="shared" si="321"/>
        <v>bez komentáře</v>
      </c>
      <c r="WU209" s="845"/>
    </row>
    <row r="210" spans="1:619" s="128" customFormat="1" x14ac:dyDescent="0.25">
      <c r="A210" s="128" t="str">
        <f>VLOOKUP(F210,'Výpočet VP 2020'!$D$324:$I$588,6,FALSE)</f>
        <v>Je v síti</v>
      </c>
      <c r="B210" s="128" t="s">
        <v>883</v>
      </c>
      <c r="C210" s="128">
        <v>2405661</v>
      </c>
      <c r="D210" s="128" t="s">
        <v>884</v>
      </c>
      <c r="E210" s="128" t="s">
        <v>216</v>
      </c>
      <c r="F210" s="128">
        <v>1826777</v>
      </c>
      <c r="G210" s="128" t="s">
        <v>328</v>
      </c>
      <c r="H210" s="128" t="s">
        <v>218</v>
      </c>
      <c r="I210" s="128" t="s">
        <v>885</v>
      </c>
      <c r="J210" s="129">
        <v>41689</v>
      </c>
      <c r="L210" s="128" t="s">
        <v>220</v>
      </c>
      <c r="AP210" s="128" t="s">
        <v>886</v>
      </c>
      <c r="AQ210" s="128">
        <v>11</v>
      </c>
      <c r="AR210" s="128">
        <v>25</v>
      </c>
      <c r="AS210" s="128">
        <v>167</v>
      </c>
      <c r="AT210" s="128">
        <v>190</v>
      </c>
      <c r="AU210" s="128">
        <v>200</v>
      </c>
      <c r="BJ210" s="128">
        <v>25350</v>
      </c>
      <c r="BL210" s="128" t="s">
        <v>419</v>
      </c>
      <c r="BM210" s="128" t="s">
        <v>325</v>
      </c>
      <c r="BN210" s="128" t="s">
        <v>299</v>
      </c>
      <c r="BO210" s="128">
        <v>0</v>
      </c>
      <c r="BP210" s="128">
        <v>0</v>
      </c>
      <c r="BQ210" s="128">
        <v>0</v>
      </c>
      <c r="BR210" s="128">
        <v>0</v>
      </c>
      <c r="BS210" s="128">
        <v>0</v>
      </c>
      <c r="BT210" s="128">
        <v>16</v>
      </c>
      <c r="BU210" s="128">
        <v>55</v>
      </c>
      <c r="BV210" s="128">
        <v>70</v>
      </c>
      <c r="BW210" s="128">
        <v>30</v>
      </c>
      <c r="BX210" s="128">
        <v>10</v>
      </c>
      <c r="BY210" s="128">
        <v>16</v>
      </c>
      <c r="BZ210" s="128">
        <v>55</v>
      </c>
      <c r="CA210" s="128">
        <v>70</v>
      </c>
      <c r="CB210" s="128">
        <v>30</v>
      </c>
      <c r="CC210" s="128">
        <v>10</v>
      </c>
      <c r="CD210" s="128">
        <v>0</v>
      </c>
      <c r="CE210" s="128">
        <v>181</v>
      </c>
      <c r="CF210" s="128">
        <v>181</v>
      </c>
      <c r="CG210" s="128">
        <v>1</v>
      </c>
      <c r="CH210" s="128">
        <v>0</v>
      </c>
      <c r="CI210" s="128">
        <v>0</v>
      </c>
      <c r="CJ210" s="128">
        <v>0</v>
      </c>
      <c r="CK210" s="128">
        <v>0</v>
      </c>
      <c r="CL210" s="128">
        <v>0</v>
      </c>
      <c r="CM210" s="128">
        <v>20</v>
      </c>
      <c r="CN210" s="128">
        <v>55</v>
      </c>
      <c r="CO210" s="128">
        <v>85</v>
      </c>
      <c r="CP210" s="128">
        <v>35</v>
      </c>
      <c r="CQ210" s="128">
        <v>5</v>
      </c>
      <c r="CR210" s="128">
        <v>20</v>
      </c>
      <c r="CS210" s="128">
        <v>55</v>
      </c>
      <c r="CT210" s="128">
        <v>85</v>
      </c>
      <c r="CU210" s="128">
        <v>35</v>
      </c>
      <c r="CV210" s="128">
        <v>5</v>
      </c>
      <c r="CW210" s="128">
        <v>0</v>
      </c>
      <c r="CX210" s="128">
        <v>200</v>
      </c>
      <c r="CY210" s="128">
        <v>200</v>
      </c>
      <c r="CZ210" s="128">
        <v>1</v>
      </c>
      <c r="EK210" s="128">
        <v>1</v>
      </c>
      <c r="EL210" s="128">
        <v>1</v>
      </c>
      <c r="EM210" s="128">
        <v>1</v>
      </c>
      <c r="EN210" s="128">
        <v>601150</v>
      </c>
      <c r="EO210" s="128">
        <v>601150</v>
      </c>
      <c r="EP210" s="128">
        <v>14</v>
      </c>
      <c r="EQ210" s="128">
        <v>14</v>
      </c>
      <c r="ER210" s="128">
        <v>14</v>
      </c>
      <c r="ES210" s="128">
        <v>8064495</v>
      </c>
      <c r="ET210" s="128">
        <v>6017328</v>
      </c>
      <c r="FO210" s="128">
        <v>1</v>
      </c>
      <c r="FP210" s="128">
        <v>1</v>
      </c>
      <c r="FQ210" s="128">
        <v>1</v>
      </c>
      <c r="FR210" s="128">
        <v>576205</v>
      </c>
      <c r="FS210" s="128">
        <v>576205</v>
      </c>
      <c r="IH210" s="128">
        <v>1</v>
      </c>
      <c r="II210" s="128">
        <v>0.5</v>
      </c>
      <c r="IJ210" s="128">
        <v>12</v>
      </c>
      <c r="IK210" s="128">
        <v>0.5</v>
      </c>
      <c r="IL210" s="128">
        <v>602390</v>
      </c>
      <c r="IM210" s="128">
        <v>0</v>
      </c>
      <c r="IN210" s="128">
        <v>1</v>
      </c>
      <c r="IO210" s="128">
        <v>22</v>
      </c>
      <c r="IP210" s="128">
        <v>0.01</v>
      </c>
      <c r="IQ210" s="128">
        <v>19800</v>
      </c>
      <c r="IR210" s="128">
        <v>8000</v>
      </c>
      <c r="KG210" s="128">
        <v>0</v>
      </c>
      <c r="KI210" s="128">
        <v>15</v>
      </c>
      <c r="KJ210" s="128">
        <v>0</v>
      </c>
      <c r="KK210" s="128">
        <v>0.01</v>
      </c>
      <c r="KL210" s="128">
        <v>0</v>
      </c>
      <c r="KM210" s="128">
        <v>15.01</v>
      </c>
      <c r="KN210" s="128">
        <v>9241850</v>
      </c>
      <c r="KO210" s="128">
        <v>7194683</v>
      </c>
      <c r="KP210" s="128">
        <v>7194683</v>
      </c>
      <c r="KT210" s="128">
        <v>602390</v>
      </c>
      <c r="KU210" s="128">
        <v>0</v>
      </c>
      <c r="KV210" s="128">
        <v>0</v>
      </c>
      <c r="KZ210" s="128">
        <v>19800</v>
      </c>
      <c r="LA210" s="128">
        <v>8000</v>
      </c>
      <c r="LB210" s="128">
        <v>8000</v>
      </c>
      <c r="LF210" s="128">
        <v>3850</v>
      </c>
      <c r="LG210" s="128">
        <v>3850</v>
      </c>
      <c r="LH210" s="128">
        <v>3850</v>
      </c>
      <c r="LL210" s="128">
        <v>10000</v>
      </c>
      <c r="LM210" s="128">
        <v>0</v>
      </c>
      <c r="LN210" s="128">
        <v>0</v>
      </c>
      <c r="LR210" s="128">
        <v>170000</v>
      </c>
      <c r="LS210" s="128">
        <v>0</v>
      </c>
      <c r="LT210" s="128">
        <v>0</v>
      </c>
      <c r="LX210" s="128">
        <v>0</v>
      </c>
      <c r="LY210" s="128">
        <v>0</v>
      </c>
      <c r="LZ210" s="128">
        <v>0</v>
      </c>
      <c r="MD210" s="128">
        <v>20000</v>
      </c>
      <c r="ME210" s="128">
        <v>0</v>
      </c>
      <c r="MF210" s="128">
        <v>0</v>
      </c>
      <c r="MJ210" s="128">
        <v>564000</v>
      </c>
      <c r="MK210" s="128">
        <v>100000</v>
      </c>
      <c r="ML210" s="128">
        <v>100000</v>
      </c>
      <c r="MP210" s="128">
        <v>0</v>
      </c>
      <c r="MQ210" s="128">
        <v>0</v>
      </c>
      <c r="MR210" s="128">
        <v>0</v>
      </c>
      <c r="MV210" s="128">
        <v>0</v>
      </c>
      <c r="MW210" s="128">
        <v>0</v>
      </c>
      <c r="MX210" s="128">
        <v>0</v>
      </c>
      <c r="NB210" s="128">
        <v>55000</v>
      </c>
      <c r="NC210" s="128">
        <v>0</v>
      </c>
      <c r="ND210" s="128">
        <v>0</v>
      </c>
      <c r="NH210" s="128">
        <v>50000</v>
      </c>
      <c r="NI210" s="128">
        <v>0</v>
      </c>
      <c r="NJ210" s="128">
        <v>0</v>
      </c>
      <c r="NN210" s="128">
        <v>70000</v>
      </c>
      <c r="NO210" s="128">
        <v>0</v>
      </c>
      <c r="NP210" s="128">
        <v>0</v>
      </c>
      <c r="NT210" s="128">
        <v>45000</v>
      </c>
      <c r="NU210" s="128">
        <v>0</v>
      </c>
      <c r="NV210" s="128">
        <v>0</v>
      </c>
      <c r="NZ210" s="128">
        <v>100000</v>
      </c>
      <c r="OA210" s="128">
        <v>0</v>
      </c>
      <c r="OB210" s="128">
        <v>0</v>
      </c>
      <c r="OF210" s="128">
        <v>365100</v>
      </c>
      <c r="OG210" s="128">
        <v>0</v>
      </c>
      <c r="OH210" s="128">
        <v>0</v>
      </c>
      <c r="OL210" s="128">
        <v>0</v>
      </c>
      <c r="OM210" s="128">
        <v>0</v>
      </c>
      <c r="ON210" s="128">
        <v>0</v>
      </c>
      <c r="OR210" s="128">
        <v>0</v>
      </c>
      <c r="OS210" s="128">
        <v>0</v>
      </c>
      <c r="OT210" s="128">
        <v>0</v>
      </c>
      <c r="OX210" s="128">
        <v>105103</v>
      </c>
      <c r="OY210" s="128">
        <v>0</v>
      </c>
      <c r="OZ210" s="128">
        <v>0</v>
      </c>
      <c r="PD210" s="128">
        <v>80000</v>
      </c>
      <c r="PE210" s="128">
        <v>0</v>
      </c>
      <c r="PF210" s="128">
        <v>0</v>
      </c>
      <c r="PJ210" s="128">
        <v>94000</v>
      </c>
      <c r="PK210" s="128">
        <v>0</v>
      </c>
      <c r="PL210" s="128">
        <v>0</v>
      </c>
      <c r="PP210" s="128">
        <v>11596093</v>
      </c>
      <c r="PQ210" s="128">
        <v>7306533</v>
      </c>
      <c r="PR210" s="128">
        <v>7306533</v>
      </c>
      <c r="PS210" s="128">
        <v>100</v>
      </c>
      <c r="PT210" s="128">
        <v>100</v>
      </c>
      <c r="PV210" s="128">
        <v>6069101</v>
      </c>
      <c r="PX210" s="128">
        <v>2891200</v>
      </c>
      <c r="PY210" s="128">
        <v>3337224</v>
      </c>
      <c r="PZ210" s="128">
        <v>7306533</v>
      </c>
      <c r="QA210" s="128">
        <v>0</v>
      </c>
      <c r="QB210" s="128">
        <v>0</v>
      </c>
      <c r="QC210" s="128">
        <v>0</v>
      </c>
      <c r="QD210" s="128">
        <v>370000</v>
      </c>
      <c r="QE210" s="128">
        <v>1452000</v>
      </c>
      <c r="QF210" s="128">
        <v>2000000</v>
      </c>
      <c r="QG210" s="128">
        <v>200000</v>
      </c>
      <c r="QH210" s="128">
        <v>0</v>
      </c>
      <c r="QI210" s="128">
        <v>0</v>
      </c>
      <c r="QJ210" s="128">
        <v>1802773</v>
      </c>
      <c r="QK210" s="128">
        <v>2053000</v>
      </c>
      <c r="QL210" s="128">
        <v>2289560</v>
      </c>
      <c r="QN210" s="128">
        <v>0</v>
      </c>
      <c r="QO210" s="128">
        <v>0</v>
      </c>
      <c r="QP210" s="128">
        <v>0</v>
      </c>
      <c r="RH210" s="128">
        <f t="shared" si="412"/>
        <v>9306533</v>
      </c>
      <c r="RI210" s="128">
        <v>0</v>
      </c>
      <c r="RM210" s="128" t="s">
        <v>220</v>
      </c>
      <c r="RU210" s="130"/>
      <c r="RV210" s="130"/>
      <c r="RW210" s="130"/>
      <c r="RX210" s="130"/>
      <c r="SF210" s="128">
        <f t="shared" si="322"/>
        <v>1826777</v>
      </c>
      <c r="SG210" s="131">
        <f t="shared" si="323"/>
        <v>11596093</v>
      </c>
      <c r="SH210" s="131">
        <f t="shared" si="324"/>
        <v>11596093</v>
      </c>
      <c r="SI210" s="131">
        <f t="shared" si="325"/>
        <v>9867890</v>
      </c>
      <c r="SJ210" s="132">
        <f t="shared" si="326"/>
        <v>9241850</v>
      </c>
      <c r="SK210" s="132">
        <f t="shared" si="327"/>
        <v>602390</v>
      </c>
      <c r="SL210" s="132">
        <f t="shared" si="328"/>
        <v>19800</v>
      </c>
      <c r="SM210" s="132">
        <f t="shared" si="329"/>
        <v>3850</v>
      </c>
      <c r="SN210" s="131">
        <f t="shared" si="330"/>
        <v>1728203</v>
      </c>
      <c r="SO210" s="131">
        <f t="shared" si="331"/>
        <v>180000</v>
      </c>
      <c r="SP210" s="132">
        <f t="shared" si="332"/>
        <v>10000</v>
      </c>
      <c r="SQ210" s="132">
        <f t="shared" si="333"/>
        <v>170000</v>
      </c>
      <c r="SR210" s="132">
        <f t="shared" si="334"/>
        <v>0</v>
      </c>
      <c r="SS210" s="132">
        <f t="shared" si="335"/>
        <v>20000</v>
      </c>
      <c r="ST210" s="132">
        <f t="shared" si="336"/>
        <v>564000</v>
      </c>
      <c r="SU210" s="132">
        <f t="shared" si="337"/>
        <v>0</v>
      </c>
      <c r="SV210" s="131">
        <f t="shared" si="338"/>
        <v>790203</v>
      </c>
      <c r="SW210" s="132">
        <f t="shared" si="339"/>
        <v>0</v>
      </c>
      <c r="SX210" s="132">
        <f t="shared" si="340"/>
        <v>55000</v>
      </c>
      <c r="SY210" s="132">
        <f t="shared" si="341"/>
        <v>50000</v>
      </c>
      <c r="SZ210" s="132">
        <f t="shared" si="342"/>
        <v>70000</v>
      </c>
      <c r="TA210" s="132">
        <f t="shared" si="343"/>
        <v>45000</v>
      </c>
      <c r="TB210" s="132">
        <f t="shared" si="344"/>
        <v>100000</v>
      </c>
      <c r="TC210" s="132">
        <f t="shared" si="345"/>
        <v>365100</v>
      </c>
      <c r="TD210" s="132">
        <f t="shared" si="346"/>
        <v>0</v>
      </c>
      <c r="TE210" s="132">
        <f t="shared" si="347"/>
        <v>0</v>
      </c>
      <c r="TF210" s="132">
        <f t="shared" si="348"/>
        <v>105103</v>
      </c>
      <c r="TG210" s="132">
        <f t="shared" si="349"/>
        <v>80000</v>
      </c>
      <c r="TH210" s="132">
        <f t="shared" si="350"/>
        <v>94000</v>
      </c>
      <c r="TI210" s="1"/>
      <c r="TJ210" s="131">
        <f t="shared" si="351"/>
        <v>7306533</v>
      </c>
      <c r="TK210" s="131">
        <f t="shared" si="352"/>
        <v>7306533</v>
      </c>
      <c r="TL210" s="131">
        <f t="shared" si="353"/>
        <v>7206533</v>
      </c>
      <c r="TM210" s="132">
        <f t="shared" si="354"/>
        <v>7194683</v>
      </c>
      <c r="TN210" s="132">
        <f t="shared" si="355"/>
        <v>0</v>
      </c>
      <c r="TO210" s="132">
        <f t="shared" si="356"/>
        <v>8000</v>
      </c>
      <c r="TP210" s="132">
        <f t="shared" si="357"/>
        <v>3850</v>
      </c>
      <c r="TQ210" s="131">
        <f t="shared" si="358"/>
        <v>100000</v>
      </c>
      <c r="TR210" s="131">
        <f t="shared" si="359"/>
        <v>0</v>
      </c>
      <c r="TS210" s="132">
        <f t="shared" si="360"/>
        <v>0</v>
      </c>
      <c r="TT210" s="132">
        <f t="shared" si="361"/>
        <v>0</v>
      </c>
      <c r="TU210" s="132">
        <f t="shared" si="362"/>
        <v>0</v>
      </c>
      <c r="TV210" s="132">
        <f t="shared" si="363"/>
        <v>0</v>
      </c>
      <c r="TW210" s="132">
        <f t="shared" si="364"/>
        <v>100000</v>
      </c>
      <c r="TX210" s="132">
        <f t="shared" si="365"/>
        <v>0</v>
      </c>
      <c r="TY210" s="131">
        <f t="shared" si="366"/>
        <v>0</v>
      </c>
      <c r="TZ210" s="132">
        <f t="shared" si="367"/>
        <v>0</v>
      </c>
      <c r="UA210" s="132">
        <f t="shared" si="368"/>
        <v>0</v>
      </c>
      <c r="UB210" s="132">
        <f t="shared" si="369"/>
        <v>0</v>
      </c>
      <c r="UC210" s="132">
        <f t="shared" si="370"/>
        <v>0</v>
      </c>
      <c r="UD210" s="132">
        <f t="shared" si="371"/>
        <v>0</v>
      </c>
      <c r="UE210" s="132">
        <f t="shared" si="372"/>
        <v>0</v>
      </c>
      <c r="UF210" s="132">
        <f t="shared" si="373"/>
        <v>0</v>
      </c>
      <c r="UG210" s="132">
        <f t="shared" si="374"/>
        <v>0</v>
      </c>
      <c r="UH210" s="132">
        <f t="shared" si="375"/>
        <v>0</v>
      </c>
      <c r="UI210" s="132">
        <f t="shared" si="376"/>
        <v>0</v>
      </c>
      <c r="UJ210" s="132">
        <f t="shared" si="377"/>
        <v>0</v>
      </c>
      <c r="UK210" s="132">
        <f t="shared" si="378"/>
        <v>0</v>
      </c>
      <c r="UL210" s="132">
        <f t="shared" si="413"/>
        <v>7306533</v>
      </c>
      <c r="UM210" s="131">
        <f t="shared" si="379"/>
        <v>7306533</v>
      </c>
      <c r="UN210" s="131">
        <f t="shared" si="380"/>
        <v>7306533</v>
      </c>
      <c r="UO210" s="131">
        <f t="shared" si="381"/>
        <v>7206533</v>
      </c>
      <c r="UP210" s="132">
        <f t="shared" si="382"/>
        <v>7194683</v>
      </c>
      <c r="UQ210" s="132">
        <f t="shared" si="383"/>
        <v>0</v>
      </c>
      <c r="UR210" s="132">
        <f t="shared" si="384"/>
        <v>8000</v>
      </c>
      <c r="US210" s="132">
        <f t="shared" si="385"/>
        <v>3850</v>
      </c>
      <c r="UT210" s="131">
        <f t="shared" si="386"/>
        <v>100000</v>
      </c>
      <c r="UU210" s="131">
        <f t="shared" si="387"/>
        <v>0</v>
      </c>
      <c r="UV210" s="132">
        <f t="shared" si="388"/>
        <v>0</v>
      </c>
      <c r="UW210" s="132">
        <f t="shared" si="389"/>
        <v>0</v>
      </c>
      <c r="UX210" s="132">
        <f t="shared" si="390"/>
        <v>0</v>
      </c>
      <c r="UY210" s="132">
        <f t="shared" si="391"/>
        <v>0</v>
      </c>
      <c r="UZ210" s="132">
        <f t="shared" si="392"/>
        <v>100000</v>
      </c>
      <c r="VA210" s="132">
        <f t="shared" si="393"/>
        <v>0</v>
      </c>
      <c r="VB210" s="131">
        <f t="shared" si="394"/>
        <v>0</v>
      </c>
      <c r="VC210" s="132">
        <f t="shared" si="395"/>
        <v>0</v>
      </c>
      <c r="VD210" s="132">
        <f t="shared" si="396"/>
        <v>0</v>
      </c>
      <c r="VE210" s="132">
        <f t="shared" si="397"/>
        <v>0</v>
      </c>
      <c r="VF210" s="132">
        <f t="shared" si="398"/>
        <v>0</v>
      </c>
      <c r="VG210" s="132">
        <f t="shared" si="399"/>
        <v>0</v>
      </c>
      <c r="VH210" s="132">
        <f t="shared" si="400"/>
        <v>0</v>
      </c>
      <c r="VI210" s="132">
        <f t="shared" si="401"/>
        <v>0</v>
      </c>
      <c r="VJ210" s="132">
        <f t="shared" si="402"/>
        <v>0</v>
      </c>
      <c r="VK210" s="132">
        <f t="shared" si="403"/>
        <v>0</v>
      </c>
      <c r="VL210" s="132">
        <f t="shared" si="404"/>
        <v>0</v>
      </c>
      <c r="VM210" s="132">
        <f t="shared" si="405"/>
        <v>0</v>
      </c>
      <c r="VN210" s="132">
        <f t="shared" si="406"/>
        <v>0</v>
      </c>
      <c r="VP210" s="845" t="str">
        <f>IFERROR(HLOOKUP(F210,'Hodnocení '!$C$1:$JH$5,2,FALSE),0)</f>
        <v>Pracoviště pečovatelské péče, o. p. s.</v>
      </c>
      <c r="VQ210" s="838"/>
      <c r="VR210" s="845" t="str">
        <f t="shared" si="414"/>
        <v>Obecně prospěšná společnost</v>
      </c>
      <c r="VS210" s="845" t="str">
        <f>IFERROR(HLOOKUP(F210,'Hodnocení '!$C$1:$JH$5,5,FALSE),0)</f>
        <v>NZO</v>
      </c>
      <c r="VT210" s="838">
        <f t="shared" si="415"/>
        <v>0</v>
      </c>
      <c r="VU210" s="838">
        <f t="shared" si="416"/>
        <v>0</v>
      </c>
      <c r="VV210" s="838">
        <f t="shared" si="417"/>
        <v>2289560</v>
      </c>
      <c r="VW210" s="838">
        <f t="shared" si="418"/>
        <v>0</v>
      </c>
      <c r="VX210" s="838"/>
      <c r="VY210" s="838">
        <f t="shared" si="317"/>
        <v>0</v>
      </c>
      <c r="VZ210" s="838">
        <f t="shared" si="318"/>
        <v>7306533</v>
      </c>
      <c r="WA210" s="846">
        <f>IFERROR(HLOOKUP($F210,'Hodnocení '!$C$1:$JH$9,9,FALSE),0)</f>
        <v>7306533</v>
      </c>
      <c r="WB210" s="846">
        <f>IF(IFERROR(HLOOKUP($F210,'Hodnocení '!$C$1:$JH$13,13,FALSE),0)&gt;WA210,WA210,IFERROR(HLOOKUP($F210,'Hodnocení '!$C$1:$JH$13,13,FALSE),0))</f>
        <v>4473993.2555374205</v>
      </c>
      <c r="WC210" s="846">
        <f>IFERROR(HLOOKUP($F210,'Hodnocení '!$C$1:$JH$155,155,FALSE),0)</f>
        <v>3817220</v>
      </c>
      <c r="WD210" s="845"/>
      <c r="WE210" s="845"/>
      <c r="WF210" s="845" t="str">
        <f t="shared" si="407"/>
        <v>ANO</v>
      </c>
      <c r="WG210" s="849" t="str">
        <f t="shared" si="320"/>
        <v>Podpora služby je vyjádřena zařazením do sítě sociálních služeb v KHK a řešením financování služby</v>
      </c>
      <c r="WH210"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10" s="849" t="str">
        <f t="shared" si="320"/>
        <v>Návrh dotace je výsledkem projednání s ostatními zadavateli v rámci sítě služeb KHK</v>
      </c>
      <c r="WJ210" s="849" t="str">
        <f t="shared" si="320"/>
        <v>Bez komentáře</v>
      </c>
      <c r="WK210" s="31">
        <f t="shared" si="408"/>
        <v>0</v>
      </c>
      <c r="WL210" s="850">
        <f t="shared" si="409"/>
        <v>0</v>
      </c>
      <c r="WM210" s="849" t="str">
        <f t="shared" si="410"/>
        <v>V rámci sítě KHK se dlouhodobě řeší otázka navyšování úhrad a průběžně se monitoruje s vazbou na vykrytí vyrovnávací platby</v>
      </c>
      <c r="WN210" s="849">
        <f t="shared" si="411"/>
        <v>0</v>
      </c>
      <c r="WO210" s="849" t="str">
        <f t="shared" si="321"/>
        <v>bez komentáře</v>
      </c>
      <c r="WP210" s="849" t="str">
        <f t="shared" si="321"/>
        <v>bez komentáře</v>
      </c>
      <c r="WQ210" s="849" t="str">
        <f t="shared" si="321"/>
        <v>Konečná výše dotace z rozpočtu KHK bude řešena v návaznosti na řešení podílů jednotlivých zadavatelů.</v>
      </c>
      <c r="WR210" s="849" t="str">
        <f t="shared" si="321"/>
        <v>Konečná výše podpory ze stran obcí bude řešena v součinnosti s jednotlivými zadavateli v průběhu roku.</v>
      </c>
      <c r="WS210" s="849" t="str">
        <f t="shared" si="321"/>
        <v>bez komentáře</v>
      </c>
      <c r="WT210" s="849" t="str">
        <f t="shared" si="321"/>
        <v>bez komentáře</v>
      </c>
      <c r="WU210" s="845"/>
    </row>
    <row r="211" spans="1:619" s="128" customFormat="1" x14ac:dyDescent="0.25">
      <c r="A211" s="128" t="str">
        <f>VLOOKUP(F211,'Výpočet VP 2020'!$D$324:$I$588,6,FALSE)</f>
        <v>Je v síti</v>
      </c>
      <c r="B211" s="128" t="s">
        <v>887</v>
      </c>
      <c r="C211" s="128">
        <v>25263633</v>
      </c>
      <c r="D211" s="128" t="s">
        <v>888</v>
      </c>
      <c r="E211" s="128" t="s">
        <v>889</v>
      </c>
      <c r="F211" s="128">
        <v>5991938</v>
      </c>
      <c r="G211" s="128" t="s">
        <v>225</v>
      </c>
      <c r="H211" s="128" t="s">
        <v>218</v>
      </c>
      <c r="I211" s="128" t="s">
        <v>377</v>
      </c>
      <c r="J211" s="129">
        <v>39083</v>
      </c>
      <c r="L211" s="128" t="s">
        <v>220</v>
      </c>
      <c r="AP211" s="128" t="s">
        <v>564</v>
      </c>
      <c r="AQ211" s="128">
        <v>25</v>
      </c>
      <c r="AR211" s="128">
        <v>25</v>
      </c>
      <c r="AS211" s="128">
        <v>30</v>
      </c>
      <c r="AT211" s="128">
        <v>28</v>
      </c>
      <c r="AU211" s="128">
        <v>25</v>
      </c>
      <c r="BJ211" s="128">
        <v>5862</v>
      </c>
      <c r="BL211" s="128" t="s">
        <v>890</v>
      </c>
      <c r="BM211" s="128" t="s">
        <v>223</v>
      </c>
      <c r="BN211" s="128" t="s">
        <v>311</v>
      </c>
      <c r="BO211" s="128">
        <v>2</v>
      </c>
      <c r="BP211" s="128">
        <v>4</v>
      </c>
      <c r="BQ211" s="128">
        <v>4</v>
      </c>
      <c r="BR211" s="128">
        <v>4</v>
      </c>
      <c r="BS211" s="128">
        <v>1</v>
      </c>
      <c r="BT211" s="128">
        <v>0</v>
      </c>
      <c r="BU211" s="128">
        <v>0</v>
      </c>
      <c r="BV211" s="128">
        <v>4</v>
      </c>
      <c r="BW211" s="128">
        <v>4</v>
      </c>
      <c r="BX211" s="128">
        <v>0</v>
      </c>
      <c r="BY211" s="128">
        <v>2</v>
      </c>
      <c r="BZ211" s="128">
        <v>4</v>
      </c>
      <c r="CA211" s="128">
        <v>8</v>
      </c>
      <c r="CB211" s="128">
        <v>8</v>
      </c>
      <c r="CC211" s="128">
        <v>1</v>
      </c>
      <c r="CD211" s="128">
        <v>15</v>
      </c>
      <c r="CE211" s="128">
        <v>8</v>
      </c>
      <c r="CF211" s="128">
        <v>23</v>
      </c>
      <c r="CH211" s="128">
        <v>4</v>
      </c>
      <c r="CI211" s="128">
        <v>4</v>
      </c>
      <c r="CJ211" s="128">
        <v>4</v>
      </c>
      <c r="CK211" s="128">
        <v>4</v>
      </c>
      <c r="CL211" s="128">
        <v>1</v>
      </c>
      <c r="CM211" s="128">
        <v>0</v>
      </c>
      <c r="CN211" s="128">
        <v>0</v>
      </c>
      <c r="CO211" s="128">
        <v>4</v>
      </c>
      <c r="CP211" s="128">
        <v>4</v>
      </c>
      <c r="CQ211" s="128">
        <v>0</v>
      </c>
      <c r="CR211" s="128">
        <v>4</v>
      </c>
      <c r="CS211" s="128">
        <v>4</v>
      </c>
      <c r="CT211" s="128">
        <v>8</v>
      </c>
      <c r="CU211" s="128">
        <v>8</v>
      </c>
      <c r="CV211" s="128">
        <v>1</v>
      </c>
      <c r="CW211" s="128">
        <v>17</v>
      </c>
      <c r="CX211" s="128">
        <v>8</v>
      </c>
      <c r="CY211" s="128">
        <v>25</v>
      </c>
      <c r="EK211" s="128">
        <v>1</v>
      </c>
      <c r="EL211" s="128">
        <v>0.5</v>
      </c>
      <c r="EM211" s="128">
        <v>0.5</v>
      </c>
      <c r="EN211" s="128">
        <v>230000</v>
      </c>
      <c r="EO211" s="128">
        <v>150000</v>
      </c>
      <c r="EP211" s="128">
        <v>14</v>
      </c>
      <c r="EQ211" s="128">
        <v>6.2</v>
      </c>
      <c r="ER211" s="128">
        <v>6.2</v>
      </c>
      <c r="ES211" s="128">
        <v>2920000</v>
      </c>
      <c r="ET211" s="128">
        <v>2035000</v>
      </c>
      <c r="FO211" s="128">
        <v>2</v>
      </c>
      <c r="FP211" s="128">
        <v>0.7</v>
      </c>
      <c r="FQ211" s="128">
        <v>0.7</v>
      </c>
      <c r="FR211" s="128">
        <v>335000</v>
      </c>
      <c r="FS211" s="128">
        <v>210000</v>
      </c>
      <c r="KG211" s="128">
        <v>0</v>
      </c>
      <c r="KI211" s="128">
        <v>6.7</v>
      </c>
      <c r="KJ211" s="128">
        <v>0</v>
      </c>
      <c r="KK211" s="128">
        <v>0</v>
      </c>
      <c r="KL211" s="128">
        <v>0</v>
      </c>
      <c r="KM211" s="128">
        <v>6.7</v>
      </c>
      <c r="KN211" s="128">
        <v>3485000</v>
      </c>
      <c r="KO211" s="128">
        <v>2395000</v>
      </c>
      <c r="KP211" s="128">
        <v>2395000</v>
      </c>
      <c r="KT211" s="128">
        <v>0</v>
      </c>
      <c r="KU211" s="128">
        <v>0</v>
      </c>
      <c r="KV211" s="128">
        <v>0</v>
      </c>
      <c r="KZ211" s="128">
        <v>0</v>
      </c>
      <c r="LA211" s="128">
        <v>0</v>
      </c>
      <c r="LB211" s="128">
        <v>0</v>
      </c>
      <c r="LF211" s="128">
        <v>50000</v>
      </c>
      <c r="LG211" s="128">
        <v>0</v>
      </c>
      <c r="LH211" s="128">
        <v>0</v>
      </c>
      <c r="LL211" s="128">
        <v>0</v>
      </c>
      <c r="LM211" s="128">
        <v>0</v>
      </c>
      <c r="LN211" s="128">
        <v>0</v>
      </c>
      <c r="LR211" s="128">
        <v>0</v>
      </c>
      <c r="LS211" s="128">
        <v>0</v>
      </c>
      <c r="LT211" s="128">
        <v>0</v>
      </c>
      <c r="LX211" s="128">
        <v>0</v>
      </c>
      <c r="LY211" s="128">
        <v>0</v>
      </c>
      <c r="LZ211" s="128">
        <v>0</v>
      </c>
      <c r="MD211" s="128">
        <v>70000</v>
      </c>
      <c r="ME211" s="128">
        <v>0</v>
      </c>
      <c r="MF211" s="128">
        <v>0</v>
      </c>
      <c r="MJ211" s="128">
        <v>0</v>
      </c>
      <c r="MK211" s="128">
        <v>0</v>
      </c>
      <c r="ML211" s="128">
        <v>0</v>
      </c>
      <c r="MP211" s="128">
        <v>0</v>
      </c>
      <c r="MQ211" s="128">
        <v>0</v>
      </c>
      <c r="MR211" s="128">
        <v>0</v>
      </c>
      <c r="MV211" s="128">
        <v>200000</v>
      </c>
      <c r="MW211" s="128">
        <v>0</v>
      </c>
      <c r="MX211" s="128">
        <v>0</v>
      </c>
      <c r="NB211" s="128">
        <v>85000</v>
      </c>
      <c r="NC211" s="128">
        <v>0</v>
      </c>
      <c r="ND211" s="128">
        <v>0</v>
      </c>
      <c r="NH211" s="128">
        <v>80000</v>
      </c>
      <c r="NI211" s="128">
        <v>0</v>
      </c>
      <c r="NJ211" s="128">
        <v>0</v>
      </c>
      <c r="NN211" s="128">
        <v>100000</v>
      </c>
      <c r="NO211" s="128">
        <v>0</v>
      </c>
      <c r="NP211" s="128">
        <v>0</v>
      </c>
      <c r="NT211" s="128">
        <v>35000</v>
      </c>
      <c r="NU211" s="128">
        <v>0</v>
      </c>
      <c r="NV211" s="128">
        <v>0</v>
      </c>
      <c r="NZ211" s="128">
        <v>90000</v>
      </c>
      <c r="OA211" s="128">
        <v>0</v>
      </c>
      <c r="OB211" s="128">
        <v>0</v>
      </c>
      <c r="OF211" s="128">
        <v>0</v>
      </c>
      <c r="OG211" s="128">
        <v>0</v>
      </c>
      <c r="OH211" s="128">
        <v>0</v>
      </c>
      <c r="OL211" s="128">
        <v>0</v>
      </c>
      <c r="OM211" s="128">
        <v>0</v>
      </c>
      <c r="ON211" s="128">
        <v>0</v>
      </c>
      <c r="OR211" s="128">
        <v>0</v>
      </c>
      <c r="OS211" s="128">
        <v>0</v>
      </c>
      <c r="OT211" s="128">
        <v>0</v>
      </c>
      <c r="OX211" s="128">
        <v>0</v>
      </c>
      <c r="OY211" s="128">
        <v>0</v>
      </c>
      <c r="OZ211" s="128">
        <v>0</v>
      </c>
      <c r="PD211" s="128">
        <v>0</v>
      </c>
      <c r="PE211" s="128">
        <v>0</v>
      </c>
      <c r="PF211" s="128">
        <v>0</v>
      </c>
      <c r="PJ211" s="128">
        <v>0</v>
      </c>
      <c r="PK211" s="128">
        <v>0</v>
      </c>
      <c r="PL211" s="128">
        <v>0</v>
      </c>
      <c r="PP211" s="128">
        <v>4195000</v>
      </c>
      <c r="PQ211" s="128">
        <v>2395000</v>
      </c>
      <c r="PR211" s="128">
        <v>2395000</v>
      </c>
      <c r="PS211" s="128">
        <v>100</v>
      </c>
      <c r="PT211" s="128">
        <v>100</v>
      </c>
      <c r="PX211" s="128">
        <v>1351000</v>
      </c>
      <c r="PY211" s="128">
        <v>1734348</v>
      </c>
      <c r="PZ211" s="128">
        <v>2395000</v>
      </c>
      <c r="QA211" s="128">
        <v>0</v>
      </c>
      <c r="QB211" s="128">
        <v>0</v>
      </c>
      <c r="QC211" s="128">
        <v>0</v>
      </c>
      <c r="QD211" s="128">
        <v>0</v>
      </c>
      <c r="QE211" s="128">
        <v>0</v>
      </c>
      <c r="QF211" s="128">
        <v>0</v>
      </c>
      <c r="QG211" s="128">
        <v>0</v>
      </c>
      <c r="QH211" s="128">
        <v>0</v>
      </c>
      <c r="QI211" s="128">
        <v>0</v>
      </c>
      <c r="QJ211" s="128">
        <v>762189</v>
      </c>
      <c r="QK211" s="128">
        <v>730000</v>
      </c>
      <c r="QL211" s="128">
        <v>700000</v>
      </c>
      <c r="QN211" s="128">
        <v>0</v>
      </c>
      <c r="QO211" s="128">
        <v>0</v>
      </c>
      <c r="QP211" s="128">
        <v>0</v>
      </c>
      <c r="QU211" s="128">
        <v>92000</v>
      </c>
      <c r="QV211" s="128">
        <v>0</v>
      </c>
      <c r="QW211" s="128">
        <v>300000</v>
      </c>
      <c r="QX211" s="128">
        <v>508000</v>
      </c>
      <c r="QY211" s="128">
        <v>367000</v>
      </c>
      <c r="QZ211" s="128">
        <v>800000</v>
      </c>
      <c r="RH211" s="128">
        <f t="shared" si="412"/>
        <v>3495000</v>
      </c>
      <c r="RI211" s="128">
        <v>0</v>
      </c>
      <c r="RM211" s="128" t="s">
        <v>220</v>
      </c>
      <c r="RU211" s="130"/>
      <c r="RV211" s="130"/>
      <c r="RW211" s="130"/>
      <c r="RX211" s="130"/>
      <c r="SF211" s="128">
        <f t="shared" si="322"/>
        <v>5991938</v>
      </c>
      <c r="SG211" s="131">
        <f t="shared" si="323"/>
        <v>4195000</v>
      </c>
      <c r="SH211" s="131">
        <f t="shared" si="324"/>
        <v>4195000</v>
      </c>
      <c r="SI211" s="131">
        <f t="shared" si="325"/>
        <v>3535000</v>
      </c>
      <c r="SJ211" s="132">
        <f t="shared" si="326"/>
        <v>3485000</v>
      </c>
      <c r="SK211" s="132">
        <f t="shared" si="327"/>
        <v>0</v>
      </c>
      <c r="SL211" s="132">
        <f t="shared" si="328"/>
        <v>0</v>
      </c>
      <c r="SM211" s="132">
        <f t="shared" si="329"/>
        <v>50000</v>
      </c>
      <c r="SN211" s="131">
        <f t="shared" si="330"/>
        <v>660000</v>
      </c>
      <c r="SO211" s="131">
        <f t="shared" si="331"/>
        <v>0</v>
      </c>
      <c r="SP211" s="132">
        <f t="shared" si="332"/>
        <v>0</v>
      </c>
      <c r="SQ211" s="132">
        <f t="shared" si="333"/>
        <v>0</v>
      </c>
      <c r="SR211" s="132">
        <f t="shared" si="334"/>
        <v>0</v>
      </c>
      <c r="SS211" s="132">
        <f t="shared" si="335"/>
        <v>70000</v>
      </c>
      <c r="ST211" s="132">
        <f t="shared" si="336"/>
        <v>0</v>
      </c>
      <c r="SU211" s="132">
        <f t="shared" si="337"/>
        <v>0</v>
      </c>
      <c r="SV211" s="131">
        <f t="shared" si="338"/>
        <v>590000</v>
      </c>
      <c r="SW211" s="132">
        <f t="shared" si="339"/>
        <v>200000</v>
      </c>
      <c r="SX211" s="132">
        <f t="shared" si="340"/>
        <v>85000</v>
      </c>
      <c r="SY211" s="132">
        <f t="shared" si="341"/>
        <v>80000</v>
      </c>
      <c r="SZ211" s="132">
        <f t="shared" si="342"/>
        <v>100000</v>
      </c>
      <c r="TA211" s="132">
        <f t="shared" si="343"/>
        <v>35000</v>
      </c>
      <c r="TB211" s="132">
        <f t="shared" si="344"/>
        <v>90000</v>
      </c>
      <c r="TC211" s="132">
        <f t="shared" si="345"/>
        <v>0</v>
      </c>
      <c r="TD211" s="132">
        <f t="shared" si="346"/>
        <v>0</v>
      </c>
      <c r="TE211" s="132">
        <f t="shared" si="347"/>
        <v>0</v>
      </c>
      <c r="TF211" s="132">
        <f t="shared" si="348"/>
        <v>0</v>
      </c>
      <c r="TG211" s="132">
        <f t="shared" si="349"/>
        <v>0</v>
      </c>
      <c r="TH211" s="132">
        <f t="shared" si="350"/>
        <v>0</v>
      </c>
      <c r="TI211" s="1"/>
      <c r="TJ211" s="131">
        <f t="shared" si="351"/>
        <v>2395000</v>
      </c>
      <c r="TK211" s="131">
        <f t="shared" si="352"/>
        <v>2395000</v>
      </c>
      <c r="TL211" s="131">
        <f t="shared" si="353"/>
        <v>2395000</v>
      </c>
      <c r="TM211" s="132">
        <f t="shared" si="354"/>
        <v>2395000</v>
      </c>
      <c r="TN211" s="132">
        <f t="shared" si="355"/>
        <v>0</v>
      </c>
      <c r="TO211" s="132">
        <f t="shared" si="356"/>
        <v>0</v>
      </c>
      <c r="TP211" s="132">
        <f t="shared" si="357"/>
        <v>0</v>
      </c>
      <c r="TQ211" s="131">
        <f t="shared" si="358"/>
        <v>0</v>
      </c>
      <c r="TR211" s="131">
        <f t="shared" si="359"/>
        <v>0</v>
      </c>
      <c r="TS211" s="132">
        <f t="shared" si="360"/>
        <v>0</v>
      </c>
      <c r="TT211" s="132">
        <f t="shared" si="361"/>
        <v>0</v>
      </c>
      <c r="TU211" s="132">
        <f t="shared" si="362"/>
        <v>0</v>
      </c>
      <c r="TV211" s="132">
        <f t="shared" si="363"/>
        <v>0</v>
      </c>
      <c r="TW211" s="132">
        <f t="shared" si="364"/>
        <v>0</v>
      </c>
      <c r="TX211" s="132">
        <f t="shared" si="365"/>
        <v>0</v>
      </c>
      <c r="TY211" s="131">
        <f t="shared" si="366"/>
        <v>0</v>
      </c>
      <c r="TZ211" s="132">
        <f t="shared" si="367"/>
        <v>0</v>
      </c>
      <c r="UA211" s="132">
        <f t="shared" si="368"/>
        <v>0</v>
      </c>
      <c r="UB211" s="132">
        <f t="shared" si="369"/>
        <v>0</v>
      </c>
      <c r="UC211" s="132">
        <f t="shared" si="370"/>
        <v>0</v>
      </c>
      <c r="UD211" s="132">
        <f t="shared" si="371"/>
        <v>0</v>
      </c>
      <c r="UE211" s="132">
        <f t="shared" si="372"/>
        <v>0</v>
      </c>
      <c r="UF211" s="132">
        <f t="shared" si="373"/>
        <v>0</v>
      </c>
      <c r="UG211" s="132">
        <f t="shared" si="374"/>
        <v>0</v>
      </c>
      <c r="UH211" s="132">
        <f t="shared" si="375"/>
        <v>0</v>
      </c>
      <c r="UI211" s="132">
        <f t="shared" si="376"/>
        <v>0</v>
      </c>
      <c r="UJ211" s="132">
        <f t="shared" si="377"/>
        <v>0</v>
      </c>
      <c r="UK211" s="132">
        <f t="shared" si="378"/>
        <v>0</v>
      </c>
      <c r="UL211" s="132">
        <f t="shared" si="413"/>
        <v>2395000</v>
      </c>
      <c r="UM211" s="131">
        <f t="shared" si="379"/>
        <v>2395000</v>
      </c>
      <c r="UN211" s="131">
        <f t="shared" si="380"/>
        <v>2395000</v>
      </c>
      <c r="UO211" s="131">
        <f t="shared" si="381"/>
        <v>2395000</v>
      </c>
      <c r="UP211" s="132">
        <f t="shared" si="382"/>
        <v>2395000</v>
      </c>
      <c r="UQ211" s="132">
        <f t="shared" si="383"/>
        <v>0</v>
      </c>
      <c r="UR211" s="132">
        <f t="shared" si="384"/>
        <v>0</v>
      </c>
      <c r="US211" s="132">
        <f t="shared" si="385"/>
        <v>0</v>
      </c>
      <c r="UT211" s="131">
        <f t="shared" si="386"/>
        <v>0</v>
      </c>
      <c r="UU211" s="131">
        <f t="shared" si="387"/>
        <v>0</v>
      </c>
      <c r="UV211" s="132">
        <f t="shared" si="388"/>
        <v>0</v>
      </c>
      <c r="UW211" s="132">
        <f t="shared" si="389"/>
        <v>0</v>
      </c>
      <c r="UX211" s="132">
        <f t="shared" si="390"/>
        <v>0</v>
      </c>
      <c r="UY211" s="132">
        <f t="shared" si="391"/>
        <v>0</v>
      </c>
      <c r="UZ211" s="132">
        <f t="shared" si="392"/>
        <v>0</v>
      </c>
      <c r="VA211" s="132">
        <f t="shared" si="393"/>
        <v>0</v>
      </c>
      <c r="VB211" s="131">
        <f t="shared" si="394"/>
        <v>0</v>
      </c>
      <c r="VC211" s="132">
        <f t="shared" si="395"/>
        <v>0</v>
      </c>
      <c r="VD211" s="132">
        <f t="shared" si="396"/>
        <v>0</v>
      </c>
      <c r="VE211" s="132">
        <f t="shared" si="397"/>
        <v>0</v>
      </c>
      <c r="VF211" s="132">
        <f t="shared" si="398"/>
        <v>0</v>
      </c>
      <c r="VG211" s="132">
        <f t="shared" si="399"/>
        <v>0</v>
      </c>
      <c r="VH211" s="132">
        <f t="shared" si="400"/>
        <v>0</v>
      </c>
      <c r="VI211" s="132">
        <f t="shared" si="401"/>
        <v>0</v>
      </c>
      <c r="VJ211" s="132">
        <f t="shared" si="402"/>
        <v>0</v>
      </c>
      <c r="VK211" s="132">
        <f t="shared" si="403"/>
        <v>0</v>
      </c>
      <c r="VL211" s="132">
        <f t="shared" si="404"/>
        <v>0</v>
      </c>
      <c r="VM211" s="132">
        <f t="shared" si="405"/>
        <v>0</v>
      </c>
      <c r="VN211" s="132">
        <f t="shared" si="406"/>
        <v>0</v>
      </c>
      <c r="VP211" s="845" t="str">
        <f>IFERROR(HLOOKUP(F211,'Hodnocení '!$C$1:$JH$5,2,FALSE),0)</f>
        <v>Osobní asistence</v>
      </c>
      <c r="VQ211" s="838"/>
      <c r="VR211" s="845" t="str">
        <f t="shared" si="414"/>
        <v>Společnost s ručením omezeným</v>
      </c>
      <c r="VS211" s="845" t="str">
        <f>IFERROR(HLOOKUP(F211,'Hodnocení '!$C$1:$JH$5,5,FALSE),0)</f>
        <v>NZO</v>
      </c>
      <c r="VT211" s="838">
        <f t="shared" si="415"/>
        <v>0</v>
      </c>
      <c r="VU211" s="838">
        <f t="shared" si="416"/>
        <v>0</v>
      </c>
      <c r="VV211" s="838">
        <f t="shared" si="417"/>
        <v>700000</v>
      </c>
      <c r="VW211" s="838">
        <f t="shared" si="418"/>
        <v>0</v>
      </c>
      <c r="VX211" s="838"/>
      <c r="VY211" s="838">
        <f t="shared" si="317"/>
        <v>0</v>
      </c>
      <c r="VZ211" s="838">
        <f t="shared" si="318"/>
        <v>2395000</v>
      </c>
      <c r="WA211" s="846">
        <f>IFERROR(HLOOKUP($F211,'Hodnocení '!$C$1:$JH$9,9,FALSE),0)</f>
        <v>2395000</v>
      </c>
      <c r="WB211" s="846">
        <f>IF(IFERROR(HLOOKUP($F211,'Hodnocení '!$C$1:$JH$13,13,FALSE),0)&gt;WA211,WA211,IFERROR(HLOOKUP($F211,'Hodnocení '!$C$1:$JH$13,13,FALSE),0))</f>
        <v>2395000</v>
      </c>
      <c r="WC211" s="846">
        <f>IFERROR(HLOOKUP($F211,'Hodnocení '!$C$1:$JH$155,155,FALSE),0)</f>
        <v>1905500</v>
      </c>
      <c r="WD211" s="845"/>
      <c r="WE211" s="845"/>
      <c r="WF211" s="845" t="str">
        <f t="shared" si="407"/>
        <v>ANO</v>
      </c>
      <c r="WG211" s="849" t="str">
        <f t="shared" si="320"/>
        <v>Podpora služby je vyjádřena zařazením do sítě sociálních služeb v KHK a řešením financování služby</v>
      </c>
      <c r="WH211"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11" s="849" t="str">
        <f t="shared" si="320"/>
        <v>Návrh dotace je výsledkem projednání s ostatními zadavateli v rámci sítě služeb KHK</v>
      </c>
      <c r="WJ211" s="849" t="str">
        <f t="shared" si="320"/>
        <v>Bez komentáře</v>
      </c>
      <c r="WK211" s="31">
        <f t="shared" si="408"/>
        <v>0</v>
      </c>
      <c r="WL211" s="850">
        <f t="shared" si="409"/>
        <v>0</v>
      </c>
      <c r="WM211" s="849" t="str">
        <f t="shared" si="410"/>
        <v>V rámci sítě KHK se dlouhodobě řeší otázka navyšování úhrad a průběžně se monitoruje s vazbou na vykrytí vyrovnávací platby</v>
      </c>
      <c r="WN211" s="849">
        <f t="shared" si="411"/>
        <v>0</v>
      </c>
      <c r="WO211" s="849" t="str">
        <f t="shared" si="321"/>
        <v>bez komentáře</v>
      </c>
      <c r="WP211" s="849" t="str">
        <f t="shared" si="321"/>
        <v>bez komentáře</v>
      </c>
      <c r="WQ211" s="849" t="str">
        <f t="shared" si="321"/>
        <v>Konečná výše dotace z rozpočtu KHK bude řešena v návaznosti na řešení podílů jednotlivých zadavatelů.</v>
      </c>
      <c r="WR211" s="849" t="str">
        <f t="shared" si="321"/>
        <v>Konečná výše podpory ze stran obcí bude řešena v součinnosti s jednotlivými zadavateli v průběhu roku.</v>
      </c>
      <c r="WS211" s="849" t="str">
        <f t="shared" si="321"/>
        <v>bez komentáře</v>
      </c>
      <c r="WT211" s="849" t="str">
        <f t="shared" si="321"/>
        <v>bez komentáře</v>
      </c>
      <c r="WU211" s="845"/>
    </row>
    <row r="212" spans="1:619" s="128" customFormat="1" x14ac:dyDescent="0.25">
      <c r="A212" s="128" t="str">
        <f>VLOOKUP(F212,'Výpočet VP 2020'!$D$324:$I$588,6,FALSE)</f>
        <v>Je v síti</v>
      </c>
      <c r="B212" s="128" t="s">
        <v>891</v>
      </c>
      <c r="C212" s="128">
        <v>27467686</v>
      </c>
      <c r="D212" s="128" t="s">
        <v>892</v>
      </c>
      <c r="E212" s="128" t="s">
        <v>216</v>
      </c>
      <c r="F212" s="128">
        <v>4396482</v>
      </c>
      <c r="G212" s="128" t="s">
        <v>348</v>
      </c>
      <c r="H212" s="128" t="s">
        <v>218</v>
      </c>
      <c r="I212" s="128" t="s">
        <v>390</v>
      </c>
      <c r="J212" s="129">
        <v>43466</v>
      </c>
      <c r="L212" s="128" t="s">
        <v>220</v>
      </c>
      <c r="M212" s="128" t="s">
        <v>839</v>
      </c>
      <c r="N212" s="128">
        <v>30</v>
      </c>
      <c r="P212" s="128">
        <v>0</v>
      </c>
      <c r="Q212" s="128">
        <v>45</v>
      </c>
      <c r="R212" s="128">
        <v>40</v>
      </c>
      <c r="BL212" s="128" t="s">
        <v>351</v>
      </c>
      <c r="BM212" s="128" t="s">
        <v>325</v>
      </c>
      <c r="BN212" s="128" t="s">
        <v>326</v>
      </c>
      <c r="DA212" s="128">
        <v>0</v>
      </c>
      <c r="DB212" s="128">
        <v>0</v>
      </c>
      <c r="DC212" s="128">
        <v>0</v>
      </c>
      <c r="DD212" s="128">
        <v>0</v>
      </c>
      <c r="DE212" s="128">
        <v>0</v>
      </c>
      <c r="DF212" s="128">
        <v>0</v>
      </c>
      <c r="DG212" s="128">
        <v>0</v>
      </c>
      <c r="DH212" s="128">
        <v>18</v>
      </c>
      <c r="DI212" s="128">
        <v>12</v>
      </c>
      <c r="DJ212" s="128">
        <v>0</v>
      </c>
      <c r="DK212" s="128">
        <v>0</v>
      </c>
      <c r="DL212" s="128">
        <v>0</v>
      </c>
      <c r="DM212" s="128">
        <v>18</v>
      </c>
      <c r="DN212" s="128">
        <v>12</v>
      </c>
      <c r="DO212" s="128">
        <v>0</v>
      </c>
      <c r="DP212" s="128">
        <v>0</v>
      </c>
      <c r="DQ212" s="128">
        <v>30</v>
      </c>
      <c r="DR212" s="128">
        <v>30</v>
      </c>
      <c r="DS212" s="128">
        <v>0</v>
      </c>
      <c r="DT212" s="128">
        <v>0</v>
      </c>
      <c r="DU212" s="128">
        <v>0</v>
      </c>
      <c r="DV212" s="128">
        <v>0</v>
      </c>
      <c r="DW212" s="128">
        <v>0</v>
      </c>
      <c r="DX212" s="128">
        <v>0</v>
      </c>
      <c r="DY212" s="128">
        <v>0</v>
      </c>
      <c r="DZ212" s="128">
        <v>18</v>
      </c>
      <c r="EA212" s="128">
        <v>12</v>
      </c>
      <c r="EB212" s="128">
        <v>0</v>
      </c>
      <c r="EC212" s="128">
        <v>0</v>
      </c>
      <c r="ED212" s="128">
        <v>0</v>
      </c>
      <c r="EE212" s="128">
        <v>18</v>
      </c>
      <c r="EF212" s="128">
        <v>12</v>
      </c>
      <c r="EG212" s="128">
        <v>0</v>
      </c>
      <c r="EH212" s="128">
        <v>0</v>
      </c>
      <c r="EI212" s="128">
        <v>30</v>
      </c>
      <c r="EJ212" s="128">
        <v>30</v>
      </c>
      <c r="EK212" s="128">
        <v>3</v>
      </c>
      <c r="EL212" s="128">
        <v>1</v>
      </c>
      <c r="EM212" s="128">
        <v>1</v>
      </c>
      <c r="EN212" s="128">
        <v>568000</v>
      </c>
      <c r="EO212" s="128">
        <v>300000</v>
      </c>
      <c r="EP212" s="128">
        <v>8</v>
      </c>
      <c r="EQ212" s="128">
        <v>8</v>
      </c>
      <c r="ER212" s="128">
        <v>8</v>
      </c>
      <c r="ES212" s="128">
        <v>4809000</v>
      </c>
      <c r="ET212" s="128">
        <v>4000000</v>
      </c>
      <c r="EU212" s="128">
        <v>6</v>
      </c>
      <c r="EV212" s="128">
        <v>6</v>
      </c>
      <c r="EW212" s="128">
        <v>6</v>
      </c>
      <c r="EX212" s="128">
        <v>3230000</v>
      </c>
      <c r="EY212" s="128">
        <v>0</v>
      </c>
      <c r="FO212" s="128">
        <v>18</v>
      </c>
      <c r="FP212" s="128">
        <v>13.11</v>
      </c>
      <c r="FQ212" s="128">
        <v>11</v>
      </c>
      <c r="FR212" s="128">
        <v>5405000</v>
      </c>
      <c r="FS212" s="128">
        <v>700000</v>
      </c>
      <c r="KG212" s="128">
        <v>0</v>
      </c>
      <c r="KI212" s="128">
        <v>15</v>
      </c>
      <c r="KJ212" s="128">
        <v>0</v>
      </c>
      <c r="KK212" s="128">
        <v>0</v>
      </c>
      <c r="KL212" s="128">
        <v>0</v>
      </c>
      <c r="KM212" s="128">
        <v>15</v>
      </c>
      <c r="KN212" s="128">
        <v>14012000</v>
      </c>
      <c r="KO212" s="128">
        <v>5000000</v>
      </c>
      <c r="KP212" s="128">
        <v>5000000</v>
      </c>
      <c r="KT212" s="128">
        <v>0</v>
      </c>
      <c r="KU212" s="128">
        <v>0</v>
      </c>
      <c r="KV212" s="128">
        <v>0</v>
      </c>
      <c r="KZ212" s="128">
        <v>0</v>
      </c>
      <c r="LA212" s="128">
        <v>0</v>
      </c>
      <c r="LB212" s="128">
        <v>0</v>
      </c>
      <c r="LF212" s="128">
        <v>10000</v>
      </c>
      <c r="LG212" s="128">
        <v>0</v>
      </c>
      <c r="LH212" s="128">
        <v>0</v>
      </c>
      <c r="LL212" s="128">
        <v>0</v>
      </c>
      <c r="LM212" s="128">
        <v>0</v>
      </c>
      <c r="LN212" s="128">
        <v>0</v>
      </c>
      <c r="LR212" s="128">
        <v>150000</v>
      </c>
      <c r="LS212" s="128">
        <v>0</v>
      </c>
      <c r="LT212" s="128">
        <v>0</v>
      </c>
      <c r="LX212" s="128">
        <v>1900000</v>
      </c>
      <c r="LY212" s="128">
        <v>0</v>
      </c>
      <c r="LZ212" s="128">
        <v>0</v>
      </c>
      <c r="MD212" s="128">
        <v>60000</v>
      </c>
      <c r="ME212" s="128">
        <v>0</v>
      </c>
      <c r="MF212" s="128">
        <v>0</v>
      </c>
      <c r="MJ212" s="128">
        <v>0</v>
      </c>
      <c r="MK212" s="128">
        <v>0</v>
      </c>
      <c r="ML212" s="128">
        <v>0</v>
      </c>
      <c r="MP212" s="128">
        <v>413000</v>
      </c>
      <c r="MQ212" s="128">
        <v>0</v>
      </c>
      <c r="MR212" s="128">
        <v>0</v>
      </c>
      <c r="MV212" s="128">
        <v>1070000</v>
      </c>
      <c r="MW212" s="128">
        <v>0</v>
      </c>
      <c r="MX212" s="128">
        <v>0</v>
      </c>
      <c r="NB212" s="128">
        <v>15000</v>
      </c>
      <c r="NC212" s="128">
        <v>0</v>
      </c>
      <c r="ND212" s="128">
        <v>0</v>
      </c>
      <c r="NH212" s="128">
        <v>0</v>
      </c>
      <c r="NI212" s="128">
        <v>0</v>
      </c>
      <c r="NJ212" s="128">
        <v>0</v>
      </c>
      <c r="NN212" s="128">
        <v>150000</v>
      </c>
      <c r="NO212" s="128">
        <v>0</v>
      </c>
      <c r="NP212" s="128">
        <v>0</v>
      </c>
      <c r="NT212" s="128">
        <v>80000</v>
      </c>
      <c r="NU212" s="128">
        <v>0</v>
      </c>
      <c r="NV212" s="128">
        <v>0</v>
      </c>
      <c r="NZ212" s="128">
        <v>100000</v>
      </c>
      <c r="OA212" s="128">
        <v>0</v>
      </c>
      <c r="OB212" s="128">
        <v>0</v>
      </c>
      <c r="OF212" s="128">
        <v>4000</v>
      </c>
      <c r="OG212" s="128">
        <v>0</v>
      </c>
      <c r="OH212" s="128">
        <v>0</v>
      </c>
      <c r="OL212" s="128">
        <v>0</v>
      </c>
      <c r="OM212" s="128">
        <v>0</v>
      </c>
      <c r="ON212" s="128">
        <v>0</v>
      </c>
      <c r="OR212" s="128">
        <v>0</v>
      </c>
      <c r="OS212" s="128">
        <v>0</v>
      </c>
      <c r="OT212" s="128">
        <v>0</v>
      </c>
      <c r="OX212" s="128">
        <v>387000</v>
      </c>
      <c r="OY212" s="128">
        <v>0</v>
      </c>
      <c r="OZ212" s="128">
        <v>0</v>
      </c>
      <c r="PD212" s="128">
        <v>2860000</v>
      </c>
      <c r="PE212" s="128">
        <v>0</v>
      </c>
      <c r="PF212" s="128">
        <v>0</v>
      </c>
      <c r="PJ212" s="128">
        <v>100000</v>
      </c>
      <c r="PK212" s="128">
        <v>0</v>
      </c>
      <c r="PL212" s="128">
        <v>0</v>
      </c>
      <c r="PP212" s="128">
        <v>21311000</v>
      </c>
      <c r="PQ212" s="128">
        <v>5000000</v>
      </c>
      <c r="PR212" s="128">
        <v>5000000</v>
      </c>
      <c r="PS212" s="128">
        <v>100</v>
      </c>
      <c r="PT212" s="128">
        <v>100</v>
      </c>
      <c r="PV212" s="128">
        <v>9422688</v>
      </c>
      <c r="PY212" s="128">
        <v>4959810</v>
      </c>
      <c r="PZ212" s="128">
        <v>5000000</v>
      </c>
      <c r="QB212" s="128">
        <v>0</v>
      </c>
      <c r="QC212" s="128">
        <v>0</v>
      </c>
      <c r="QE212" s="128">
        <v>2500000</v>
      </c>
      <c r="QF212" s="128">
        <v>2500000</v>
      </c>
      <c r="QH212" s="128">
        <v>0</v>
      </c>
      <c r="QI212" s="128">
        <v>0</v>
      </c>
      <c r="QK212" s="128">
        <v>6100000</v>
      </c>
      <c r="QL212" s="128">
        <v>6100000</v>
      </c>
      <c r="QO212" s="128">
        <v>2000000</v>
      </c>
      <c r="QP212" s="128">
        <v>2011000</v>
      </c>
      <c r="QY212" s="128">
        <v>390000</v>
      </c>
      <c r="QZ212" s="128">
        <v>0</v>
      </c>
      <c r="RE212" s="128">
        <v>5772515</v>
      </c>
      <c r="RF212" s="128">
        <v>5700000</v>
      </c>
      <c r="RH212" s="128">
        <f t="shared" si="412"/>
        <v>13200000</v>
      </c>
      <c r="RI212" s="128">
        <v>0</v>
      </c>
      <c r="RM212" s="128" t="s">
        <v>220</v>
      </c>
      <c r="RU212" s="130"/>
      <c r="RV212" s="130"/>
      <c r="RW212" s="130"/>
      <c r="RX212" s="130"/>
      <c r="SF212" s="128">
        <f t="shared" si="322"/>
        <v>4396482</v>
      </c>
      <c r="SG212" s="131">
        <f t="shared" si="323"/>
        <v>21311000</v>
      </c>
      <c r="SH212" s="131">
        <f t="shared" si="324"/>
        <v>21311000</v>
      </c>
      <c r="SI212" s="131">
        <f t="shared" si="325"/>
        <v>14022000</v>
      </c>
      <c r="SJ212" s="132">
        <f t="shared" si="326"/>
        <v>14012000</v>
      </c>
      <c r="SK212" s="132">
        <f t="shared" si="327"/>
        <v>0</v>
      </c>
      <c r="SL212" s="132">
        <f t="shared" si="328"/>
        <v>0</v>
      </c>
      <c r="SM212" s="132">
        <f t="shared" si="329"/>
        <v>10000</v>
      </c>
      <c r="SN212" s="131">
        <f t="shared" si="330"/>
        <v>7289000</v>
      </c>
      <c r="SO212" s="131">
        <f t="shared" si="331"/>
        <v>150000</v>
      </c>
      <c r="SP212" s="132">
        <f t="shared" si="332"/>
        <v>0</v>
      </c>
      <c r="SQ212" s="132">
        <f t="shared" si="333"/>
        <v>150000</v>
      </c>
      <c r="SR212" s="132">
        <f t="shared" si="334"/>
        <v>1900000</v>
      </c>
      <c r="SS212" s="132">
        <f t="shared" si="335"/>
        <v>60000</v>
      </c>
      <c r="ST212" s="132">
        <f t="shared" si="336"/>
        <v>0</v>
      </c>
      <c r="SU212" s="132">
        <f t="shared" si="337"/>
        <v>413000</v>
      </c>
      <c r="SV212" s="131">
        <f t="shared" si="338"/>
        <v>1806000</v>
      </c>
      <c r="SW212" s="132">
        <f t="shared" si="339"/>
        <v>1070000</v>
      </c>
      <c r="SX212" s="132">
        <f t="shared" si="340"/>
        <v>15000</v>
      </c>
      <c r="SY212" s="132">
        <f t="shared" si="341"/>
        <v>0</v>
      </c>
      <c r="SZ212" s="132">
        <f t="shared" si="342"/>
        <v>150000</v>
      </c>
      <c r="TA212" s="132">
        <f t="shared" si="343"/>
        <v>80000</v>
      </c>
      <c r="TB212" s="132">
        <f t="shared" si="344"/>
        <v>100000</v>
      </c>
      <c r="TC212" s="132">
        <f t="shared" si="345"/>
        <v>4000</v>
      </c>
      <c r="TD212" s="132">
        <f t="shared" si="346"/>
        <v>0</v>
      </c>
      <c r="TE212" s="132">
        <f t="shared" si="347"/>
        <v>0</v>
      </c>
      <c r="TF212" s="132">
        <f t="shared" si="348"/>
        <v>387000</v>
      </c>
      <c r="TG212" s="132">
        <f t="shared" si="349"/>
        <v>2860000</v>
      </c>
      <c r="TH212" s="132">
        <f t="shared" si="350"/>
        <v>100000</v>
      </c>
      <c r="TI212" s="1"/>
      <c r="TJ212" s="131">
        <f t="shared" si="351"/>
        <v>5000000</v>
      </c>
      <c r="TK212" s="131">
        <f t="shared" si="352"/>
        <v>5000000</v>
      </c>
      <c r="TL212" s="131">
        <f t="shared" si="353"/>
        <v>5000000</v>
      </c>
      <c r="TM212" s="132">
        <f t="shared" si="354"/>
        <v>5000000</v>
      </c>
      <c r="TN212" s="132">
        <f t="shared" si="355"/>
        <v>0</v>
      </c>
      <c r="TO212" s="132">
        <f t="shared" si="356"/>
        <v>0</v>
      </c>
      <c r="TP212" s="132">
        <f t="shared" si="357"/>
        <v>0</v>
      </c>
      <c r="TQ212" s="131">
        <f t="shared" si="358"/>
        <v>0</v>
      </c>
      <c r="TR212" s="131">
        <f t="shared" si="359"/>
        <v>0</v>
      </c>
      <c r="TS212" s="132">
        <f t="shared" si="360"/>
        <v>0</v>
      </c>
      <c r="TT212" s="132">
        <f t="shared" si="361"/>
        <v>0</v>
      </c>
      <c r="TU212" s="132">
        <f t="shared" si="362"/>
        <v>0</v>
      </c>
      <c r="TV212" s="132">
        <f t="shared" si="363"/>
        <v>0</v>
      </c>
      <c r="TW212" s="132">
        <f t="shared" si="364"/>
        <v>0</v>
      </c>
      <c r="TX212" s="132">
        <f t="shared" si="365"/>
        <v>0</v>
      </c>
      <c r="TY212" s="131">
        <f t="shared" si="366"/>
        <v>0</v>
      </c>
      <c r="TZ212" s="132">
        <f t="shared" si="367"/>
        <v>0</v>
      </c>
      <c r="UA212" s="132">
        <f t="shared" si="368"/>
        <v>0</v>
      </c>
      <c r="UB212" s="132">
        <f t="shared" si="369"/>
        <v>0</v>
      </c>
      <c r="UC212" s="132">
        <f t="shared" si="370"/>
        <v>0</v>
      </c>
      <c r="UD212" s="132">
        <f t="shared" si="371"/>
        <v>0</v>
      </c>
      <c r="UE212" s="132">
        <f t="shared" si="372"/>
        <v>0</v>
      </c>
      <c r="UF212" s="132">
        <f t="shared" si="373"/>
        <v>0</v>
      </c>
      <c r="UG212" s="132">
        <f t="shared" si="374"/>
        <v>0</v>
      </c>
      <c r="UH212" s="132">
        <f t="shared" si="375"/>
        <v>0</v>
      </c>
      <c r="UI212" s="132">
        <f t="shared" si="376"/>
        <v>0</v>
      </c>
      <c r="UJ212" s="132">
        <f t="shared" si="377"/>
        <v>0</v>
      </c>
      <c r="UK212" s="132">
        <f t="shared" si="378"/>
        <v>0</v>
      </c>
      <c r="UL212" s="132">
        <f t="shared" si="413"/>
        <v>5000000</v>
      </c>
      <c r="UM212" s="131">
        <f t="shared" si="379"/>
        <v>5000000</v>
      </c>
      <c r="UN212" s="131">
        <f t="shared" si="380"/>
        <v>5000000</v>
      </c>
      <c r="UO212" s="131">
        <f t="shared" si="381"/>
        <v>5000000</v>
      </c>
      <c r="UP212" s="132">
        <f t="shared" si="382"/>
        <v>5000000</v>
      </c>
      <c r="UQ212" s="132">
        <f t="shared" si="383"/>
        <v>0</v>
      </c>
      <c r="UR212" s="132">
        <f t="shared" si="384"/>
        <v>0</v>
      </c>
      <c r="US212" s="132">
        <f t="shared" si="385"/>
        <v>0</v>
      </c>
      <c r="UT212" s="131">
        <f t="shared" si="386"/>
        <v>0</v>
      </c>
      <c r="UU212" s="131">
        <f t="shared" si="387"/>
        <v>0</v>
      </c>
      <c r="UV212" s="132">
        <f t="shared" si="388"/>
        <v>0</v>
      </c>
      <c r="UW212" s="132">
        <f t="shared" si="389"/>
        <v>0</v>
      </c>
      <c r="UX212" s="132">
        <f t="shared" si="390"/>
        <v>0</v>
      </c>
      <c r="UY212" s="132">
        <f t="shared" si="391"/>
        <v>0</v>
      </c>
      <c r="UZ212" s="132">
        <f t="shared" si="392"/>
        <v>0</v>
      </c>
      <c r="VA212" s="132">
        <f t="shared" si="393"/>
        <v>0</v>
      </c>
      <c r="VB212" s="131">
        <f t="shared" si="394"/>
        <v>0</v>
      </c>
      <c r="VC212" s="132">
        <f t="shared" si="395"/>
        <v>0</v>
      </c>
      <c r="VD212" s="132">
        <f t="shared" si="396"/>
        <v>0</v>
      </c>
      <c r="VE212" s="132">
        <f t="shared" si="397"/>
        <v>0</v>
      </c>
      <c r="VF212" s="132">
        <f t="shared" si="398"/>
        <v>0</v>
      </c>
      <c r="VG212" s="132">
        <f t="shared" si="399"/>
        <v>0</v>
      </c>
      <c r="VH212" s="132">
        <f t="shared" si="400"/>
        <v>0</v>
      </c>
      <c r="VI212" s="132">
        <f t="shared" si="401"/>
        <v>0</v>
      </c>
      <c r="VJ212" s="132">
        <f t="shared" si="402"/>
        <v>0</v>
      </c>
      <c r="VK212" s="132">
        <f t="shared" si="403"/>
        <v>0</v>
      </c>
      <c r="VL212" s="132">
        <f t="shared" si="404"/>
        <v>0</v>
      </c>
      <c r="VM212" s="132">
        <f t="shared" si="405"/>
        <v>0</v>
      </c>
      <c r="VN212" s="132">
        <f t="shared" si="406"/>
        <v>0</v>
      </c>
      <c r="VP212" s="845" t="str">
        <f>IFERROR(HLOOKUP(F212,'Hodnocení '!$C$1:$JH$5,2,FALSE),0)</f>
        <v>Domov pro seniory</v>
      </c>
      <c r="VQ212" s="838"/>
      <c r="VR212" s="845" t="str">
        <f t="shared" si="414"/>
        <v>Obecně prospěšná společnost</v>
      </c>
      <c r="VS212" s="845" t="str">
        <f>IFERROR(HLOOKUP(F212,'Hodnocení '!$C$1:$JH$5,5,FALSE),0)</f>
        <v>Obce</v>
      </c>
      <c r="VT212" s="838" t="str">
        <f t="shared" si="415"/>
        <v>Obecně prospěšná společnost</v>
      </c>
      <c r="VU212" s="838">
        <f t="shared" si="416"/>
        <v>0</v>
      </c>
      <c r="VV212" s="838">
        <f t="shared" si="417"/>
        <v>6100000</v>
      </c>
      <c r="VW212" s="838">
        <f t="shared" si="418"/>
        <v>2011000</v>
      </c>
      <c r="VX212" s="838"/>
      <c r="VY212" s="838">
        <f t="shared" si="317"/>
        <v>0</v>
      </c>
      <c r="VZ212" s="838">
        <f t="shared" si="318"/>
        <v>5000000</v>
      </c>
      <c r="WA212" s="846">
        <f>IFERROR(HLOOKUP($F212,'Hodnocení '!$C$1:$JH$9,9,FALSE),0)</f>
        <v>5000000</v>
      </c>
      <c r="WB212" s="846">
        <f>IF(IFERROR(HLOOKUP($F212,'Hodnocení '!$C$1:$JH$13,13,FALSE),0)&gt;WA212,WA212,IFERROR(HLOOKUP($F212,'Hodnocení '!$C$1:$JH$13,13,FALSE),0))</f>
        <v>5000000</v>
      </c>
      <c r="WC212" s="846">
        <f>IFERROR(HLOOKUP($F212,'Hodnocení '!$C$1:$JH$155,155,FALSE),0)</f>
        <v>5000000</v>
      </c>
      <c r="WD212" s="845"/>
      <c r="WE212" s="845"/>
      <c r="WF212" s="845" t="str">
        <f t="shared" si="407"/>
        <v>ANO</v>
      </c>
      <c r="WG212" s="849" t="str">
        <f t="shared" si="320"/>
        <v>Podpora služby je vyjádřena zařazením do sítě sociálních služeb v KHK a řešením financování služby</v>
      </c>
      <c r="WH212"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12" s="849" t="str">
        <f t="shared" si="320"/>
        <v>Návrh dotace je výsledkem projednání s ostatními zadavateli v rámci sítě služeb KHK</v>
      </c>
      <c r="WJ212" s="849" t="str">
        <f t="shared" si="320"/>
        <v>Bez komentáře</v>
      </c>
      <c r="WK212" s="31">
        <f t="shared" si="408"/>
        <v>0</v>
      </c>
      <c r="WL212" s="850">
        <f t="shared" si="409"/>
        <v>0</v>
      </c>
      <c r="WM212" s="849" t="str">
        <f t="shared" si="410"/>
        <v>V rámci sítě KHK se dlouhodobě řeší otázka navyšování úhrad a průběžně se monitoruje s vazbou na vykrytí vyrovnávací platby</v>
      </c>
      <c r="WN212" s="849" t="str">
        <f t="shared" si="411"/>
        <v>Otázka výběru od zdravotních pojišťoven je předmětem procesu, který probíhá ve formě jednání se ZP a organizacemi</v>
      </c>
      <c r="WO212" s="849" t="str">
        <f t="shared" si="321"/>
        <v>bez komentáře</v>
      </c>
      <c r="WP212" s="849" t="str">
        <f t="shared" si="321"/>
        <v>bez komentáře</v>
      </c>
      <c r="WQ212" s="849" t="str">
        <f t="shared" si="321"/>
        <v>Konečná výše dotace z rozpočtu KHK bude řešena v návaznosti na řešení podílů jednotlivých zadavatelů.</v>
      </c>
      <c r="WR212" s="849" t="str">
        <f t="shared" si="321"/>
        <v>Konečná výše podpory ze stran obcí bude řešena v součinnosti s jednotlivými zadavateli v průběhu roku.</v>
      </c>
      <c r="WS212" s="849" t="str">
        <f t="shared" si="321"/>
        <v>bez komentáře</v>
      </c>
      <c r="WT212" s="849" t="str">
        <f t="shared" si="321"/>
        <v>bez komentáře</v>
      </c>
      <c r="WU212" s="845"/>
    </row>
    <row r="213" spans="1:619" s="128" customFormat="1" x14ac:dyDescent="0.25">
      <c r="A213" s="128" t="str">
        <f>VLOOKUP(F213,'Výpočet VP 2020'!$D$324:$I$588,6,FALSE)</f>
        <v>Je v síti</v>
      </c>
      <c r="B213" s="128" t="s">
        <v>891</v>
      </c>
      <c r="C213" s="128">
        <v>27467686</v>
      </c>
      <c r="D213" s="128" t="s">
        <v>892</v>
      </c>
      <c r="E213" s="128" t="s">
        <v>216</v>
      </c>
      <c r="F213" s="128">
        <v>5599785</v>
      </c>
      <c r="G213" s="128" t="s">
        <v>217</v>
      </c>
      <c r="H213" s="128" t="s">
        <v>218</v>
      </c>
      <c r="I213" s="128" t="s">
        <v>893</v>
      </c>
      <c r="J213" s="129">
        <v>39083</v>
      </c>
      <c r="L213" s="128" t="s">
        <v>220</v>
      </c>
      <c r="X213" s="128" t="s">
        <v>322</v>
      </c>
      <c r="Z213" s="128">
        <v>20</v>
      </c>
      <c r="AA213" s="128">
        <v>20</v>
      </c>
      <c r="AB213" s="128">
        <v>16</v>
      </c>
      <c r="AC213" s="128">
        <v>18</v>
      </c>
      <c r="AD213" s="128">
        <v>18</v>
      </c>
      <c r="AN213" s="128">
        <v>2500</v>
      </c>
      <c r="BL213" s="128" t="s">
        <v>894</v>
      </c>
      <c r="BM213" s="128" t="s">
        <v>325</v>
      </c>
      <c r="BN213" s="128" t="s">
        <v>364</v>
      </c>
      <c r="BO213" s="128">
        <v>0</v>
      </c>
      <c r="BP213" s="128">
        <v>0</v>
      </c>
      <c r="BQ213" s="128">
        <v>0</v>
      </c>
      <c r="BR213" s="128">
        <v>0</v>
      </c>
      <c r="BS213" s="128">
        <v>0</v>
      </c>
      <c r="BT213" s="128">
        <v>2</v>
      </c>
      <c r="BU213" s="128">
        <v>6</v>
      </c>
      <c r="BV213" s="128">
        <v>8</v>
      </c>
      <c r="BW213" s="128">
        <v>2</v>
      </c>
      <c r="BX213" s="128">
        <v>0</v>
      </c>
      <c r="BY213" s="128">
        <v>2</v>
      </c>
      <c r="BZ213" s="128">
        <v>6</v>
      </c>
      <c r="CA213" s="128">
        <v>8</v>
      </c>
      <c r="CB213" s="128">
        <v>2</v>
      </c>
      <c r="CC213" s="128">
        <v>0</v>
      </c>
      <c r="CD213" s="128">
        <v>0</v>
      </c>
      <c r="CE213" s="128">
        <v>18</v>
      </c>
      <c r="CF213" s="128">
        <v>18</v>
      </c>
      <c r="CH213" s="128">
        <v>0</v>
      </c>
      <c r="CI213" s="128">
        <v>0</v>
      </c>
      <c r="CJ213" s="128">
        <v>0</v>
      </c>
      <c r="CK213" s="128">
        <v>0</v>
      </c>
      <c r="CL213" s="128">
        <v>0</v>
      </c>
      <c r="CM213" s="128">
        <v>2</v>
      </c>
      <c r="CN213" s="128">
        <v>5</v>
      </c>
      <c r="CO213" s="128">
        <v>9</v>
      </c>
      <c r="CP213" s="128">
        <v>2</v>
      </c>
      <c r="CQ213" s="128">
        <v>0</v>
      </c>
      <c r="CR213" s="128">
        <v>2</v>
      </c>
      <c r="CS213" s="128">
        <v>5</v>
      </c>
      <c r="CT213" s="128">
        <v>9</v>
      </c>
      <c r="CU213" s="128">
        <v>2</v>
      </c>
      <c r="CV213" s="128">
        <v>0</v>
      </c>
      <c r="CW213" s="128">
        <v>0</v>
      </c>
      <c r="CX213" s="128">
        <v>18</v>
      </c>
      <c r="CY213" s="128">
        <v>18</v>
      </c>
      <c r="EK213" s="128">
        <v>3</v>
      </c>
      <c r="EL213" s="128">
        <v>0.11</v>
      </c>
      <c r="EM213" s="128">
        <v>0.11</v>
      </c>
      <c r="EN213" s="128">
        <v>72000</v>
      </c>
      <c r="EO213" s="128">
        <v>0</v>
      </c>
      <c r="EP213" s="128">
        <v>3</v>
      </c>
      <c r="EQ213" s="128">
        <v>2.5</v>
      </c>
      <c r="ER213" s="128">
        <v>2.5</v>
      </c>
      <c r="ES213" s="128">
        <v>1047740</v>
      </c>
      <c r="ET213" s="128">
        <v>807440</v>
      </c>
      <c r="FO213" s="128">
        <v>5</v>
      </c>
      <c r="FP213" s="128">
        <v>0.31</v>
      </c>
      <c r="FQ213" s="128">
        <v>0.41</v>
      </c>
      <c r="FR213" s="128">
        <v>216000</v>
      </c>
      <c r="FS213" s="128">
        <v>0</v>
      </c>
      <c r="KG213" s="128">
        <v>0</v>
      </c>
      <c r="KI213" s="128">
        <v>2.61</v>
      </c>
      <c r="KJ213" s="128">
        <v>0</v>
      </c>
      <c r="KK213" s="128">
        <v>0</v>
      </c>
      <c r="KL213" s="128">
        <v>0</v>
      </c>
      <c r="KM213" s="128">
        <v>2.61</v>
      </c>
      <c r="KN213" s="128">
        <v>1335740</v>
      </c>
      <c r="KO213" s="128">
        <v>807440</v>
      </c>
      <c r="KP213" s="128">
        <v>807440</v>
      </c>
      <c r="KT213" s="128">
        <v>0</v>
      </c>
      <c r="KU213" s="128">
        <v>0</v>
      </c>
      <c r="KV213" s="128">
        <v>0</v>
      </c>
      <c r="KZ213" s="128">
        <v>0</v>
      </c>
      <c r="LA213" s="128">
        <v>0</v>
      </c>
      <c r="LB213" s="128">
        <v>0</v>
      </c>
      <c r="LF213" s="128">
        <v>0</v>
      </c>
      <c r="LG213" s="128">
        <v>0</v>
      </c>
      <c r="LH213" s="128">
        <v>0</v>
      </c>
      <c r="LL213" s="128">
        <v>0</v>
      </c>
      <c r="LM213" s="128">
        <v>0</v>
      </c>
      <c r="LN213" s="128">
        <v>0</v>
      </c>
      <c r="LR213" s="128">
        <v>10000</v>
      </c>
      <c r="LS213" s="128">
        <v>0</v>
      </c>
      <c r="LT213" s="128">
        <v>0</v>
      </c>
      <c r="LX213" s="128">
        <v>0</v>
      </c>
      <c r="LY213" s="128">
        <v>0</v>
      </c>
      <c r="LZ213" s="128">
        <v>0</v>
      </c>
      <c r="MD213" s="128">
        <v>14000</v>
      </c>
      <c r="ME213" s="128">
        <v>0</v>
      </c>
      <c r="MF213" s="128">
        <v>0</v>
      </c>
      <c r="MJ213" s="128">
        <v>0</v>
      </c>
      <c r="MK213" s="128">
        <v>0</v>
      </c>
      <c r="ML213" s="128">
        <v>0</v>
      </c>
      <c r="MP213" s="128">
        <v>26500</v>
      </c>
      <c r="MQ213" s="128">
        <v>0</v>
      </c>
      <c r="MR213" s="128">
        <v>0</v>
      </c>
      <c r="MV213" s="128">
        <v>80000</v>
      </c>
      <c r="MW213" s="128">
        <v>0</v>
      </c>
      <c r="MX213" s="128">
        <v>0</v>
      </c>
      <c r="NB213" s="128">
        <v>3600</v>
      </c>
      <c r="NC213" s="128">
        <v>0</v>
      </c>
      <c r="ND213" s="128">
        <v>0</v>
      </c>
      <c r="NH213" s="128">
        <v>0</v>
      </c>
      <c r="NI213" s="128">
        <v>0</v>
      </c>
      <c r="NJ213" s="128">
        <v>0</v>
      </c>
      <c r="NN213" s="128">
        <v>21000</v>
      </c>
      <c r="NO213" s="128">
        <v>0</v>
      </c>
      <c r="NP213" s="128">
        <v>0</v>
      </c>
      <c r="NT213" s="128">
        <v>7000</v>
      </c>
      <c r="NU213" s="128">
        <v>0</v>
      </c>
      <c r="NV213" s="128">
        <v>0</v>
      </c>
      <c r="NZ213" s="128">
        <v>5000</v>
      </c>
      <c r="OA213" s="128">
        <v>0</v>
      </c>
      <c r="OB213" s="128">
        <v>0</v>
      </c>
      <c r="OF213" s="128">
        <v>50</v>
      </c>
      <c r="OG213" s="128">
        <v>0</v>
      </c>
      <c r="OH213" s="128">
        <v>0</v>
      </c>
      <c r="OL213" s="128">
        <v>0</v>
      </c>
      <c r="OM213" s="128">
        <v>0</v>
      </c>
      <c r="ON213" s="128">
        <v>0</v>
      </c>
      <c r="OR213" s="128">
        <v>0</v>
      </c>
      <c r="OS213" s="128">
        <v>0</v>
      </c>
      <c r="OT213" s="128">
        <v>0</v>
      </c>
      <c r="OX213" s="128">
        <v>21550</v>
      </c>
      <c r="OY213" s="128">
        <v>0</v>
      </c>
      <c r="OZ213" s="128">
        <v>0</v>
      </c>
      <c r="PD213" s="128">
        <v>330000</v>
      </c>
      <c r="PE213" s="128">
        <v>0</v>
      </c>
      <c r="PF213" s="128">
        <v>0</v>
      </c>
      <c r="PJ213" s="128">
        <v>20000</v>
      </c>
      <c r="PK213" s="128">
        <v>0</v>
      </c>
      <c r="PL213" s="128">
        <v>0</v>
      </c>
      <c r="PP213" s="128">
        <v>1874440</v>
      </c>
      <c r="PQ213" s="128">
        <v>807440</v>
      </c>
      <c r="PR213" s="128">
        <v>807440</v>
      </c>
      <c r="PS213" s="128">
        <v>100</v>
      </c>
      <c r="PT213" s="128">
        <v>100</v>
      </c>
      <c r="PV213" s="128">
        <v>1155810</v>
      </c>
      <c r="PX213" s="128">
        <v>549300</v>
      </c>
      <c r="PY213" s="128">
        <v>761571</v>
      </c>
      <c r="PZ213" s="128">
        <v>807440</v>
      </c>
      <c r="QA213" s="128">
        <v>0</v>
      </c>
      <c r="QB213" s="128">
        <v>0</v>
      </c>
      <c r="QC213" s="128">
        <v>0</v>
      </c>
      <c r="QD213" s="128">
        <v>384000</v>
      </c>
      <c r="QE213" s="128">
        <v>480000</v>
      </c>
      <c r="QF213" s="128">
        <v>480000</v>
      </c>
      <c r="QG213" s="128">
        <v>0</v>
      </c>
      <c r="QH213" s="128">
        <v>0</v>
      </c>
      <c r="QI213" s="128">
        <v>0</v>
      </c>
      <c r="QJ213" s="128">
        <v>265488</v>
      </c>
      <c r="QK213" s="128">
        <v>285299</v>
      </c>
      <c r="QL213" s="128">
        <v>270000</v>
      </c>
      <c r="QN213" s="128">
        <v>0</v>
      </c>
      <c r="QO213" s="128">
        <v>0</v>
      </c>
      <c r="QP213" s="128">
        <v>0</v>
      </c>
      <c r="QR213" s="128">
        <v>1081209</v>
      </c>
      <c r="QS213" s="128">
        <v>0</v>
      </c>
      <c r="QT213" s="128">
        <v>0</v>
      </c>
      <c r="QU213" s="128">
        <v>140925</v>
      </c>
      <c r="QV213" s="128">
        <v>0</v>
      </c>
      <c r="QW213" s="128">
        <v>0</v>
      </c>
      <c r="RD213" s="128">
        <v>24386</v>
      </c>
      <c r="RE213" s="128">
        <v>388817</v>
      </c>
      <c r="RF213" s="128">
        <v>317000</v>
      </c>
      <c r="RH213" s="128">
        <f t="shared" si="412"/>
        <v>1604440</v>
      </c>
      <c r="RI213" s="128">
        <v>0</v>
      </c>
      <c r="RM213" s="128" t="s">
        <v>220</v>
      </c>
      <c r="RU213" s="130"/>
      <c r="RV213" s="130"/>
      <c r="RW213" s="130"/>
      <c r="RX213" s="130"/>
      <c r="SF213" s="128">
        <f t="shared" si="322"/>
        <v>5599785</v>
      </c>
      <c r="SG213" s="131">
        <f t="shared" si="323"/>
        <v>1874440</v>
      </c>
      <c r="SH213" s="131">
        <f t="shared" si="324"/>
        <v>1874440</v>
      </c>
      <c r="SI213" s="131">
        <f t="shared" si="325"/>
        <v>1335740</v>
      </c>
      <c r="SJ213" s="132">
        <f t="shared" si="326"/>
        <v>1335740</v>
      </c>
      <c r="SK213" s="132">
        <f t="shared" si="327"/>
        <v>0</v>
      </c>
      <c r="SL213" s="132">
        <f t="shared" si="328"/>
        <v>0</v>
      </c>
      <c r="SM213" s="132">
        <f t="shared" si="329"/>
        <v>0</v>
      </c>
      <c r="SN213" s="131">
        <f t="shared" si="330"/>
        <v>538700</v>
      </c>
      <c r="SO213" s="131">
        <f t="shared" si="331"/>
        <v>10000</v>
      </c>
      <c r="SP213" s="132">
        <f t="shared" si="332"/>
        <v>0</v>
      </c>
      <c r="SQ213" s="132">
        <f t="shared" si="333"/>
        <v>10000</v>
      </c>
      <c r="SR213" s="132">
        <f t="shared" si="334"/>
        <v>0</v>
      </c>
      <c r="SS213" s="132">
        <f t="shared" si="335"/>
        <v>14000</v>
      </c>
      <c r="ST213" s="132">
        <f t="shared" si="336"/>
        <v>0</v>
      </c>
      <c r="SU213" s="132">
        <f t="shared" si="337"/>
        <v>26500</v>
      </c>
      <c r="SV213" s="131">
        <f t="shared" si="338"/>
        <v>138200</v>
      </c>
      <c r="SW213" s="132">
        <f t="shared" si="339"/>
        <v>80000</v>
      </c>
      <c r="SX213" s="132">
        <f t="shared" si="340"/>
        <v>3600</v>
      </c>
      <c r="SY213" s="132">
        <f t="shared" si="341"/>
        <v>0</v>
      </c>
      <c r="SZ213" s="132">
        <f t="shared" si="342"/>
        <v>21000</v>
      </c>
      <c r="TA213" s="132">
        <f t="shared" si="343"/>
        <v>7000</v>
      </c>
      <c r="TB213" s="132">
        <f t="shared" si="344"/>
        <v>5000</v>
      </c>
      <c r="TC213" s="132">
        <f t="shared" si="345"/>
        <v>50</v>
      </c>
      <c r="TD213" s="132">
        <f t="shared" si="346"/>
        <v>0</v>
      </c>
      <c r="TE213" s="132">
        <f t="shared" si="347"/>
        <v>0</v>
      </c>
      <c r="TF213" s="132">
        <f t="shared" si="348"/>
        <v>21550</v>
      </c>
      <c r="TG213" s="132">
        <f t="shared" si="349"/>
        <v>330000</v>
      </c>
      <c r="TH213" s="132">
        <f t="shared" si="350"/>
        <v>20000</v>
      </c>
      <c r="TI213" s="1"/>
      <c r="TJ213" s="131">
        <f t="shared" si="351"/>
        <v>807440</v>
      </c>
      <c r="TK213" s="131">
        <f t="shared" si="352"/>
        <v>807440</v>
      </c>
      <c r="TL213" s="131">
        <f t="shared" si="353"/>
        <v>807440</v>
      </c>
      <c r="TM213" s="132">
        <f t="shared" si="354"/>
        <v>807440</v>
      </c>
      <c r="TN213" s="132">
        <f t="shared" si="355"/>
        <v>0</v>
      </c>
      <c r="TO213" s="132">
        <f t="shared" si="356"/>
        <v>0</v>
      </c>
      <c r="TP213" s="132">
        <f t="shared" si="357"/>
        <v>0</v>
      </c>
      <c r="TQ213" s="131">
        <f t="shared" si="358"/>
        <v>0</v>
      </c>
      <c r="TR213" s="131">
        <f t="shared" si="359"/>
        <v>0</v>
      </c>
      <c r="TS213" s="132">
        <f t="shared" si="360"/>
        <v>0</v>
      </c>
      <c r="TT213" s="132">
        <f t="shared" si="361"/>
        <v>0</v>
      </c>
      <c r="TU213" s="132">
        <f t="shared" si="362"/>
        <v>0</v>
      </c>
      <c r="TV213" s="132">
        <f t="shared" si="363"/>
        <v>0</v>
      </c>
      <c r="TW213" s="132">
        <f t="shared" si="364"/>
        <v>0</v>
      </c>
      <c r="TX213" s="132">
        <f t="shared" si="365"/>
        <v>0</v>
      </c>
      <c r="TY213" s="131">
        <f t="shared" si="366"/>
        <v>0</v>
      </c>
      <c r="TZ213" s="132">
        <f t="shared" si="367"/>
        <v>0</v>
      </c>
      <c r="UA213" s="132">
        <f t="shared" si="368"/>
        <v>0</v>
      </c>
      <c r="UB213" s="132">
        <f t="shared" si="369"/>
        <v>0</v>
      </c>
      <c r="UC213" s="132">
        <f t="shared" si="370"/>
        <v>0</v>
      </c>
      <c r="UD213" s="132">
        <f t="shared" si="371"/>
        <v>0</v>
      </c>
      <c r="UE213" s="132">
        <f t="shared" si="372"/>
        <v>0</v>
      </c>
      <c r="UF213" s="132">
        <f t="shared" si="373"/>
        <v>0</v>
      </c>
      <c r="UG213" s="132">
        <f t="shared" si="374"/>
        <v>0</v>
      </c>
      <c r="UH213" s="132">
        <f t="shared" si="375"/>
        <v>0</v>
      </c>
      <c r="UI213" s="132">
        <f t="shared" si="376"/>
        <v>0</v>
      </c>
      <c r="UJ213" s="132">
        <f t="shared" si="377"/>
        <v>0</v>
      </c>
      <c r="UK213" s="132">
        <f t="shared" si="378"/>
        <v>0</v>
      </c>
      <c r="UL213" s="132">
        <f t="shared" si="413"/>
        <v>807440</v>
      </c>
      <c r="UM213" s="131">
        <f t="shared" si="379"/>
        <v>807440</v>
      </c>
      <c r="UN213" s="131">
        <f t="shared" si="380"/>
        <v>807440</v>
      </c>
      <c r="UO213" s="131">
        <f t="shared" si="381"/>
        <v>807440</v>
      </c>
      <c r="UP213" s="132">
        <f t="shared" si="382"/>
        <v>807440</v>
      </c>
      <c r="UQ213" s="132">
        <f t="shared" si="383"/>
        <v>0</v>
      </c>
      <c r="UR213" s="132">
        <f t="shared" si="384"/>
        <v>0</v>
      </c>
      <c r="US213" s="132">
        <f t="shared" si="385"/>
        <v>0</v>
      </c>
      <c r="UT213" s="131">
        <f t="shared" si="386"/>
        <v>0</v>
      </c>
      <c r="UU213" s="131">
        <f t="shared" si="387"/>
        <v>0</v>
      </c>
      <c r="UV213" s="132">
        <f t="shared" si="388"/>
        <v>0</v>
      </c>
      <c r="UW213" s="132">
        <f t="shared" si="389"/>
        <v>0</v>
      </c>
      <c r="UX213" s="132">
        <f t="shared" si="390"/>
        <v>0</v>
      </c>
      <c r="UY213" s="132">
        <f t="shared" si="391"/>
        <v>0</v>
      </c>
      <c r="UZ213" s="132">
        <f t="shared" si="392"/>
        <v>0</v>
      </c>
      <c r="VA213" s="132">
        <f t="shared" si="393"/>
        <v>0</v>
      </c>
      <c r="VB213" s="131">
        <f t="shared" si="394"/>
        <v>0</v>
      </c>
      <c r="VC213" s="132">
        <f t="shared" si="395"/>
        <v>0</v>
      </c>
      <c r="VD213" s="132">
        <f t="shared" si="396"/>
        <v>0</v>
      </c>
      <c r="VE213" s="132">
        <f t="shared" si="397"/>
        <v>0</v>
      </c>
      <c r="VF213" s="132">
        <f t="shared" si="398"/>
        <v>0</v>
      </c>
      <c r="VG213" s="132">
        <f t="shared" si="399"/>
        <v>0</v>
      </c>
      <c r="VH213" s="132">
        <f t="shared" si="400"/>
        <v>0</v>
      </c>
      <c r="VI213" s="132">
        <f t="shared" si="401"/>
        <v>0</v>
      </c>
      <c r="VJ213" s="132">
        <f t="shared" si="402"/>
        <v>0</v>
      </c>
      <c r="VK213" s="132">
        <f t="shared" si="403"/>
        <v>0</v>
      </c>
      <c r="VL213" s="132">
        <f t="shared" si="404"/>
        <v>0</v>
      </c>
      <c r="VM213" s="132">
        <f t="shared" si="405"/>
        <v>0</v>
      </c>
      <c r="VN213" s="132">
        <f t="shared" si="406"/>
        <v>0</v>
      </c>
      <c r="VP213" s="845" t="str">
        <f>IFERROR(HLOOKUP(F213,'Hodnocení '!$C$1:$JH$5,2,FALSE),0)</f>
        <v>Sociální služby města Rychnov nad Kněžnou, o. p. s.</v>
      </c>
      <c r="VQ213" s="838"/>
      <c r="VR213" s="845" t="str">
        <f t="shared" si="414"/>
        <v>Obecně prospěšná společnost</v>
      </c>
      <c r="VS213" s="845" t="str">
        <f>IFERROR(HLOOKUP(F213,'Hodnocení '!$C$1:$JH$5,5,FALSE),0)</f>
        <v>Obce</v>
      </c>
      <c r="VT213" s="838" t="str">
        <f t="shared" si="415"/>
        <v>Obecně prospěšná společnost</v>
      </c>
      <c r="VU213" s="838">
        <f t="shared" si="416"/>
        <v>0</v>
      </c>
      <c r="VV213" s="838">
        <f t="shared" si="417"/>
        <v>270000</v>
      </c>
      <c r="VW213" s="838">
        <f t="shared" si="418"/>
        <v>0</v>
      </c>
      <c r="VX213" s="838"/>
      <c r="VY213" s="838">
        <f t="shared" si="317"/>
        <v>0</v>
      </c>
      <c r="VZ213" s="838">
        <f t="shared" si="318"/>
        <v>807440</v>
      </c>
      <c r="WA213" s="846">
        <f>IFERROR(HLOOKUP($F213,'Hodnocení '!$C$1:$JH$9,9,FALSE),0)</f>
        <v>807440</v>
      </c>
      <c r="WB213" s="846">
        <f>IF(IFERROR(HLOOKUP($F213,'Hodnocení '!$C$1:$JH$13,13,FALSE),0)&gt;WA213,WA213,IFERROR(HLOOKUP($F213,'Hodnocení '!$C$1:$JH$13,13,FALSE),0))</f>
        <v>807440</v>
      </c>
      <c r="WC213" s="846">
        <f>IFERROR(HLOOKUP($F213,'Hodnocení '!$C$1:$JH$155,155,FALSE),0)</f>
        <v>807440</v>
      </c>
      <c r="WD213" s="845"/>
      <c r="WE213" s="845"/>
      <c r="WF213" s="845" t="str">
        <f t="shared" si="407"/>
        <v>ANO</v>
      </c>
      <c r="WG213" s="849" t="str">
        <f t="shared" si="320"/>
        <v>Podpora služby je vyjádřena zařazením do sítě sociálních služeb v KHK a řešením financování služby</v>
      </c>
      <c r="WH213"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13" s="849" t="str">
        <f t="shared" si="320"/>
        <v>Návrh dotace je výsledkem projednání s ostatními zadavateli v rámci sítě služeb KHK</v>
      </c>
      <c r="WJ213" s="849" t="str">
        <f t="shared" si="320"/>
        <v>Bez komentáře</v>
      </c>
      <c r="WK213" s="31">
        <f t="shared" si="408"/>
        <v>0</v>
      </c>
      <c r="WL213" s="850">
        <f t="shared" si="409"/>
        <v>0</v>
      </c>
      <c r="WM213" s="849" t="str">
        <f t="shared" si="410"/>
        <v>V rámci sítě KHK se dlouhodobě řeší otázka navyšování úhrad a průběžně se monitoruje s vazbou na vykrytí vyrovnávací platby</v>
      </c>
      <c r="WN213" s="849">
        <f t="shared" si="411"/>
        <v>0</v>
      </c>
      <c r="WO213" s="849" t="str">
        <f t="shared" si="321"/>
        <v>bez komentáře</v>
      </c>
      <c r="WP213" s="849" t="str">
        <f t="shared" si="321"/>
        <v>bez komentáře</v>
      </c>
      <c r="WQ213" s="849" t="str">
        <f t="shared" si="321"/>
        <v>Konečná výše dotace z rozpočtu KHK bude řešena v návaznosti na řešení podílů jednotlivých zadavatelů.</v>
      </c>
      <c r="WR213" s="849" t="str">
        <f t="shared" si="321"/>
        <v>Konečná výše podpory ze stran obcí bude řešena v součinnosti s jednotlivými zadavateli v průběhu roku.</v>
      </c>
      <c r="WS213" s="849" t="str">
        <f t="shared" si="321"/>
        <v>bez komentáře</v>
      </c>
      <c r="WT213" s="849" t="str">
        <f t="shared" si="321"/>
        <v>bez komentáře</v>
      </c>
      <c r="WU213" s="845"/>
    </row>
    <row r="214" spans="1:619" s="128" customFormat="1" x14ac:dyDescent="0.25">
      <c r="A214" s="128" t="str">
        <f>VLOOKUP(F214,'Výpočet VP 2020'!$D$324:$I$588,6,FALSE)</f>
        <v>Je v síti</v>
      </c>
      <c r="B214" s="128" t="s">
        <v>891</v>
      </c>
      <c r="C214" s="128">
        <v>27467686</v>
      </c>
      <c r="D214" s="128" t="s">
        <v>892</v>
      </c>
      <c r="E214" s="128" t="s">
        <v>216</v>
      </c>
      <c r="F214" s="128">
        <v>7201840</v>
      </c>
      <c r="G214" s="128" t="s">
        <v>328</v>
      </c>
      <c r="H214" s="128" t="s">
        <v>218</v>
      </c>
      <c r="I214" s="128" t="s">
        <v>328</v>
      </c>
      <c r="J214" s="129">
        <v>39083</v>
      </c>
      <c r="L214" s="128" t="s">
        <v>220</v>
      </c>
      <c r="X214" s="128" t="s">
        <v>895</v>
      </c>
      <c r="Z214" s="128">
        <v>3</v>
      </c>
      <c r="AA214" s="128">
        <v>24</v>
      </c>
      <c r="AB214" s="128">
        <v>54</v>
      </c>
      <c r="AC214" s="128">
        <v>57</v>
      </c>
      <c r="AD214" s="128">
        <v>60</v>
      </c>
      <c r="AN214" s="128">
        <v>2010</v>
      </c>
      <c r="AP214" s="128" t="s">
        <v>896</v>
      </c>
      <c r="AQ214" s="128">
        <v>24</v>
      </c>
      <c r="AR214" s="128">
        <v>370</v>
      </c>
      <c r="AS214" s="128">
        <v>265</v>
      </c>
      <c r="AT214" s="128">
        <v>240</v>
      </c>
      <c r="AU214" s="128">
        <v>250</v>
      </c>
      <c r="BJ214" s="128">
        <v>48500</v>
      </c>
      <c r="BL214" s="128" t="s">
        <v>689</v>
      </c>
      <c r="BM214" s="128" t="s">
        <v>325</v>
      </c>
      <c r="BN214" s="128" t="s">
        <v>299</v>
      </c>
      <c r="BO214" s="128">
        <v>0</v>
      </c>
      <c r="BP214" s="128">
        <v>0</v>
      </c>
      <c r="BQ214" s="128">
        <v>0</v>
      </c>
      <c r="BR214" s="128">
        <v>0</v>
      </c>
      <c r="BS214" s="128">
        <v>0</v>
      </c>
      <c r="BT214" s="128">
        <v>35</v>
      </c>
      <c r="BU214" s="128">
        <v>48</v>
      </c>
      <c r="BV214" s="128">
        <v>48</v>
      </c>
      <c r="BW214" s="128">
        <v>25</v>
      </c>
      <c r="BX214" s="128">
        <v>141</v>
      </c>
      <c r="BY214" s="128">
        <v>35</v>
      </c>
      <c r="BZ214" s="128">
        <v>48</v>
      </c>
      <c r="CA214" s="128">
        <v>48</v>
      </c>
      <c r="CB214" s="128">
        <v>25</v>
      </c>
      <c r="CC214" s="128">
        <v>141</v>
      </c>
      <c r="CD214" s="128">
        <v>0</v>
      </c>
      <c r="CE214" s="128">
        <v>297</v>
      </c>
      <c r="CF214" s="128">
        <v>297</v>
      </c>
      <c r="CG214" s="128">
        <v>3</v>
      </c>
      <c r="CH214" s="128">
        <v>0</v>
      </c>
      <c r="CI214" s="128">
        <v>0</v>
      </c>
      <c r="CJ214" s="128">
        <v>0</v>
      </c>
      <c r="CK214" s="128">
        <v>0</v>
      </c>
      <c r="CL214" s="128">
        <v>0</v>
      </c>
      <c r="CM214" s="128">
        <v>35</v>
      </c>
      <c r="CN214" s="128">
        <v>55</v>
      </c>
      <c r="CO214" s="128">
        <v>50</v>
      </c>
      <c r="CP214" s="128">
        <v>30</v>
      </c>
      <c r="CQ214" s="128">
        <v>140</v>
      </c>
      <c r="CR214" s="128">
        <v>35</v>
      </c>
      <c r="CS214" s="128">
        <v>55</v>
      </c>
      <c r="CT214" s="128">
        <v>50</v>
      </c>
      <c r="CU214" s="128">
        <v>30</v>
      </c>
      <c r="CV214" s="128">
        <v>140</v>
      </c>
      <c r="CW214" s="128">
        <v>0</v>
      </c>
      <c r="CX214" s="128">
        <v>310</v>
      </c>
      <c r="CY214" s="128">
        <v>310</v>
      </c>
      <c r="CZ214" s="128">
        <v>3</v>
      </c>
      <c r="EK214" s="128">
        <v>3</v>
      </c>
      <c r="EL214" s="128">
        <v>1.5</v>
      </c>
      <c r="EM214" s="128">
        <v>1.5</v>
      </c>
      <c r="EN214" s="128">
        <v>836000</v>
      </c>
      <c r="EO214" s="128">
        <v>0</v>
      </c>
      <c r="EP214" s="128">
        <v>30</v>
      </c>
      <c r="EQ214" s="128">
        <v>28.75</v>
      </c>
      <c r="ER214" s="128">
        <v>28.75</v>
      </c>
      <c r="ES214" s="128">
        <v>14735000</v>
      </c>
      <c r="ET214" s="128">
        <v>8922000</v>
      </c>
      <c r="FO214" s="128">
        <v>14</v>
      </c>
      <c r="FP214" s="128">
        <v>8.85</v>
      </c>
      <c r="FQ214" s="128">
        <v>11.59</v>
      </c>
      <c r="FR214" s="128">
        <v>3024000</v>
      </c>
      <c r="FS214" s="128">
        <v>0</v>
      </c>
      <c r="IH214" s="128">
        <v>4</v>
      </c>
      <c r="II214" s="128">
        <v>1.7</v>
      </c>
      <c r="IJ214" s="128">
        <v>48</v>
      </c>
      <c r="IK214" s="128">
        <v>1.7</v>
      </c>
      <c r="IL214" s="128">
        <v>490000</v>
      </c>
      <c r="IM214" s="128">
        <v>0</v>
      </c>
      <c r="IS214" s="128">
        <v>6</v>
      </c>
      <c r="IT214" s="128">
        <v>1800</v>
      </c>
      <c r="IU214" s="128">
        <v>0.85899999999999999</v>
      </c>
      <c r="IV214" s="128">
        <v>198000</v>
      </c>
      <c r="IW214" s="128">
        <v>0</v>
      </c>
      <c r="KG214" s="128">
        <v>0</v>
      </c>
      <c r="KI214" s="128">
        <v>30.25</v>
      </c>
      <c r="KJ214" s="128">
        <v>0</v>
      </c>
      <c r="KK214" s="128">
        <v>0</v>
      </c>
      <c r="KL214" s="128">
        <v>0</v>
      </c>
      <c r="KM214" s="128">
        <v>30.25</v>
      </c>
      <c r="KN214" s="128">
        <v>18595000</v>
      </c>
      <c r="KO214" s="128">
        <v>8922000</v>
      </c>
      <c r="KP214" s="128">
        <v>8922000</v>
      </c>
      <c r="KT214" s="128">
        <v>490000</v>
      </c>
      <c r="KU214" s="128">
        <v>0</v>
      </c>
      <c r="KV214" s="128">
        <v>0</v>
      </c>
      <c r="KZ214" s="128">
        <v>198000</v>
      </c>
      <c r="LA214" s="128">
        <v>0</v>
      </c>
      <c r="LB214" s="128">
        <v>0</v>
      </c>
      <c r="LF214" s="128">
        <v>5000</v>
      </c>
      <c r="LG214" s="128">
        <v>0</v>
      </c>
      <c r="LH214" s="128">
        <v>0</v>
      </c>
      <c r="LL214" s="128">
        <v>0</v>
      </c>
      <c r="LM214" s="128">
        <v>0</v>
      </c>
      <c r="LN214" s="128">
        <v>0</v>
      </c>
      <c r="LR214" s="128">
        <v>80000</v>
      </c>
      <c r="LS214" s="128">
        <v>0</v>
      </c>
      <c r="LT214" s="128">
        <v>0</v>
      </c>
      <c r="LX214" s="128">
        <v>0</v>
      </c>
      <c r="LY214" s="128">
        <v>0</v>
      </c>
      <c r="LZ214" s="128">
        <v>0</v>
      </c>
      <c r="MD214" s="128">
        <v>68000</v>
      </c>
      <c r="ME214" s="128">
        <v>0</v>
      </c>
      <c r="MF214" s="128">
        <v>0</v>
      </c>
      <c r="MJ214" s="128">
        <v>160000</v>
      </c>
      <c r="MK214" s="128">
        <v>0</v>
      </c>
      <c r="ML214" s="128">
        <v>0</v>
      </c>
      <c r="MP214" s="128">
        <v>164000</v>
      </c>
      <c r="MQ214" s="128">
        <v>0</v>
      </c>
      <c r="MR214" s="128">
        <v>0</v>
      </c>
      <c r="MV214" s="128">
        <v>590000</v>
      </c>
      <c r="MW214" s="128">
        <v>0</v>
      </c>
      <c r="MX214" s="128">
        <v>0</v>
      </c>
      <c r="NB214" s="128">
        <v>60000</v>
      </c>
      <c r="NC214" s="128">
        <v>0</v>
      </c>
      <c r="ND214" s="128">
        <v>0</v>
      </c>
      <c r="NH214" s="128">
        <v>150000</v>
      </c>
      <c r="NI214" s="128">
        <v>0</v>
      </c>
      <c r="NJ214" s="128">
        <v>0</v>
      </c>
      <c r="NN214" s="128">
        <v>250000</v>
      </c>
      <c r="NO214" s="128">
        <v>0</v>
      </c>
      <c r="NP214" s="128">
        <v>0</v>
      </c>
      <c r="NT214" s="128">
        <v>120000</v>
      </c>
      <c r="NU214" s="128">
        <v>0</v>
      </c>
      <c r="NV214" s="128">
        <v>0</v>
      </c>
      <c r="NZ214" s="128">
        <v>150000</v>
      </c>
      <c r="OA214" s="128">
        <v>0</v>
      </c>
      <c r="OB214" s="128">
        <v>0</v>
      </c>
      <c r="OF214" s="128">
        <v>4000</v>
      </c>
      <c r="OG214" s="128">
        <v>0</v>
      </c>
      <c r="OH214" s="128">
        <v>0</v>
      </c>
      <c r="OL214" s="128">
        <v>0</v>
      </c>
      <c r="OM214" s="128">
        <v>0</v>
      </c>
      <c r="ON214" s="128">
        <v>0</v>
      </c>
      <c r="OR214" s="128">
        <v>0</v>
      </c>
      <c r="OS214" s="128">
        <v>0</v>
      </c>
      <c r="OT214" s="128">
        <v>0</v>
      </c>
      <c r="OX214" s="128">
        <v>543000</v>
      </c>
      <c r="OY214" s="128">
        <v>0</v>
      </c>
      <c r="OZ214" s="128">
        <v>0</v>
      </c>
      <c r="PD214" s="128">
        <v>1500000</v>
      </c>
      <c r="PE214" s="128">
        <v>0</v>
      </c>
      <c r="PF214" s="128">
        <v>0</v>
      </c>
      <c r="PJ214" s="128">
        <v>300000</v>
      </c>
      <c r="PK214" s="128">
        <v>0</v>
      </c>
      <c r="PL214" s="128">
        <v>0</v>
      </c>
      <c r="PP214" s="128">
        <v>23427000</v>
      </c>
      <c r="PQ214" s="128">
        <v>8922000</v>
      </c>
      <c r="PR214" s="128">
        <v>8922000</v>
      </c>
      <c r="PS214" s="128">
        <v>100</v>
      </c>
      <c r="PT214" s="128">
        <v>100</v>
      </c>
      <c r="PV214" s="128">
        <v>15257416</v>
      </c>
      <c r="PX214" s="128">
        <v>6450600</v>
      </c>
      <c r="PY214" s="128">
        <v>5724000</v>
      </c>
      <c r="PZ214" s="128">
        <v>8922000</v>
      </c>
      <c r="QA214" s="128">
        <v>175941</v>
      </c>
      <c r="QB214" s="128">
        <v>0</v>
      </c>
      <c r="QC214" s="128">
        <v>0</v>
      </c>
      <c r="QD214" s="128">
        <v>4028000</v>
      </c>
      <c r="QE214" s="128">
        <v>5428000</v>
      </c>
      <c r="QF214" s="128">
        <v>5428000</v>
      </c>
      <c r="QG214" s="128">
        <v>0</v>
      </c>
      <c r="QH214" s="128">
        <v>0</v>
      </c>
      <c r="QI214" s="128">
        <v>0</v>
      </c>
      <c r="QJ214" s="128">
        <v>7133294</v>
      </c>
      <c r="QK214" s="128">
        <v>7070000</v>
      </c>
      <c r="QL214" s="128">
        <v>7300000</v>
      </c>
      <c r="QN214" s="128">
        <v>0</v>
      </c>
      <c r="QO214" s="128">
        <v>0</v>
      </c>
      <c r="QP214" s="128">
        <v>0</v>
      </c>
      <c r="QU214" s="128">
        <v>1041400</v>
      </c>
      <c r="QV214" s="128">
        <v>2621502</v>
      </c>
      <c r="QW214" s="128">
        <v>0</v>
      </c>
      <c r="QX214" s="128">
        <v>831603</v>
      </c>
      <c r="QY214" s="128">
        <v>750000</v>
      </c>
      <c r="QZ214" s="128">
        <v>750000</v>
      </c>
      <c r="RD214" s="128">
        <v>548543</v>
      </c>
      <c r="RE214" s="128">
        <v>1070000</v>
      </c>
      <c r="RF214" s="128">
        <v>1027000</v>
      </c>
      <c r="RH214" s="128">
        <f t="shared" si="412"/>
        <v>16127000</v>
      </c>
      <c r="RI214" s="128">
        <v>0</v>
      </c>
      <c r="RM214" s="128" t="s">
        <v>220</v>
      </c>
      <c r="RU214" s="130"/>
      <c r="RV214" s="130"/>
      <c r="RW214" s="130"/>
      <c r="RX214" s="130"/>
      <c r="SF214" s="128">
        <f t="shared" si="322"/>
        <v>7201840</v>
      </c>
      <c r="SG214" s="131">
        <f t="shared" si="323"/>
        <v>23427000</v>
      </c>
      <c r="SH214" s="131">
        <f t="shared" si="324"/>
        <v>23427000</v>
      </c>
      <c r="SI214" s="131">
        <f t="shared" si="325"/>
        <v>19288000</v>
      </c>
      <c r="SJ214" s="132">
        <f t="shared" si="326"/>
        <v>18595000</v>
      </c>
      <c r="SK214" s="132">
        <f t="shared" si="327"/>
        <v>490000</v>
      </c>
      <c r="SL214" s="132">
        <f t="shared" si="328"/>
        <v>198000</v>
      </c>
      <c r="SM214" s="132">
        <f t="shared" si="329"/>
        <v>5000</v>
      </c>
      <c r="SN214" s="131">
        <f t="shared" si="330"/>
        <v>4139000</v>
      </c>
      <c r="SO214" s="131">
        <f t="shared" si="331"/>
        <v>80000</v>
      </c>
      <c r="SP214" s="132">
        <f t="shared" si="332"/>
        <v>0</v>
      </c>
      <c r="SQ214" s="132">
        <f t="shared" si="333"/>
        <v>80000</v>
      </c>
      <c r="SR214" s="132">
        <f t="shared" si="334"/>
        <v>0</v>
      </c>
      <c r="SS214" s="132">
        <f t="shared" si="335"/>
        <v>68000</v>
      </c>
      <c r="ST214" s="132">
        <f t="shared" si="336"/>
        <v>160000</v>
      </c>
      <c r="SU214" s="132">
        <f t="shared" si="337"/>
        <v>164000</v>
      </c>
      <c r="SV214" s="131">
        <f t="shared" si="338"/>
        <v>1867000</v>
      </c>
      <c r="SW214" s="132">
        <f t="shared" si="339"/>
        <v>590000</v>
      </c>
      <c r="SX214" s="132">
        <f t="shared" si="340"/>
        <v>60000</v>
      </c>
      <c r="SY214" s="132">
        <f t="shared" si="341"/>
        <v>150000</v>
      </c>
      <c r="SZ214" s="132">
        <f t="shared" si="342"/>
        <v>250000</v>
      </c>
      <c r="TA214" s="132">
        <f t="shared" si="343"/>
        <v>120000</v>
      </c>
      <c r="TB214" s="132">
        <f t="shared" si="344"/>
        <v>150000</v>
      </c>
      <c r="TC214" s="132">
        <f t="shared" si="345"/>
        <v>4000</v>
      </c>
      <c r="TD214" s="132">
        <f t="shared" si="346"/>
        <v>0</v>
      </c>
      <c r="TE214" s="132">
        <f t="shared" si="347"/>
        <v>0</v>
      </c>
      <c r="TF214" s="132">
        <f t="shared" si="348"/>
        <v>543000</v>
      </c>
      <c r="TG214" s="132">
        <f t="shared" si="349"/>
        <v>1500000</v>
      </c>
      <c r="TH214" s="132">
        <f t="shared" si="350"/>
        <v>300000</v>
      </c>
      <c r="TI214" s="1"/>
      <c r="TJ214" s="131">
        <f t="shared" si="351"/>
        <v>8922000</v>
      </c>
      <c r="TK214" s="131">
        <f t="shared" si="352"/>
        <v>8922000</v>
      </c>
      <c r="TL214" s="131">
        <f t="shared" si="353"/>
        <v>8922000</v>
      </c>
      <c r="TM214" s="132">
        <f t="shared" si="354"/>
        <v>8922000</v>
      </c>
      <c r="TN214" s="132">
        <f t="shared" si="355"/>
        <v>0</v>
      </c>
      <c r="TO214" s="132">
        <f t="shared" si="356"/>
        <v>0</v>
      </c>
      <c r="TP214" s="132">
        <f t="shared" si="357"/>
        <v>0</v>
      </c>
      <c r="TQ214" s="131">
        <f t="shared" si="358"/>
        <v>0</v>
      </c>
      <c r="TR214" s="131">
        <f t="shared" si="359"/>
        <v>0</v>
      </c>
      <c r="TS214" s="132">
        <f t="shared" si="360"/>
        <v>0</v>
      </c>
      <c r="TT214" s="132">
        <f t="shared" si="361"/>
        <v>0</v>
      </c>
      <c r="TU214" s="132">
        <f t="shared" si="362"/>
        <v>0</v>
      </c>
      <c r="TV214" s="132">
        <f t="shared" si="363"/>
        <v>0</v>
      </c>
      <c r="TW214" s="132">
        <f t="shared" si="364"/>
        <v>0</v>
      </c>
      <c r="TX214" s="132">
        <f t="shared" si="365"/>
        <v>0</v>
      </c>
      <c r="TY214" s="131">
        <f t="shared" si="366"/>
        <v>0</v>
      </c>
      <c r="TZ214" s="132">
        <f t="shared" si="367"/>
        <v>0</v>
      </c>
      <c r="UA214" s="132">
        <f t="shared" si="368"/>
        <v>0</v>
      </c>
      <c r="UB214" s="132">
        <f t="shared" si="369"/>
        <v>0</v>
      </c>
      <c r="UC214" s="132">
        <f t="shared" si="370"/>
        <v>0</v>
      </c>
      <c r="UD214" s="132">
        <f t="shared" si="371"/>
        <v>0</v>
      </c>
      <c r="UE214" s="132">
        <f t="shared" si="372"/>
        <v>0</v>
      </c>
      <c r="UF214" s="132">
        <f t="shared" si="373"/>
        <v>0</v>
      </c>
      <c r="UG214" s="132">
        <f t="shared" si="374"/>
        <v>0</v>
      </c>
      <c r="UH214" s="132">
        <f t="shared" si="375"/>
        <v>0</v>
      </c>
      <c r="UI214" s="132">
        <f t="shared" si="376"/>
        <v>0</v>
      </c>
      <c r="UJ214" s="132">
        <f t="shared" si="377"/>
        <v>0</v>
      </c>
      <c r="UK214" s="132">
        <f t="shared" si="378"/>
        <v>0</v>
      </c>
      <c r="UL214" s="132">
        <f t="shared" si="413"/>
        <v>8922000</v>
      </c>
      <c r="UM214" s="131">
        <f t="shared" si="379"/>
        <v>8922000</v>
      </c>
      <c r="UN214" s="131">
        <f t="shared" si="380"/>
        <v>8922000</v>
      </c>
      <c r="UO214" s="131">
        <f t="shared" si="381"/>
        <v>8922000</v>
      </c>
      <c r="UP214" s="132">
        <f t="shared" si="382"/>
        <v>8922000</v>
      </c>
      <c r="UQ214" s="132">
        <f t="shared" si="383"/>
        <v>0</v>
      </c>
      <c r="UR214" s="132">
        <f t="shared" si="384"/>
        <v>0</v>
      </c>
      <c r="US214" s="132">
        <f t="shared" si="385"/>
        <v>0</v>
      </c>
      <c r="UT214" s="131">
        <f t="shared" si="386"/>
        <v>0</v>
      </c>
      <c r="UU214" s="131">
        <f t="shared" si="387"/>
        <v>0</v>
      </c>
      <c r="UV214" s="132">
        <f t="shared" si="388"/>
        <v>0</v>
      </c>
      <c r="UW214" s="132">
        <f t="shared" si="389"/>
        <v>0</v>
      </c>
      <c r="UX214" s="132">
        <f t="shared" si="390"/>
        <v>0</v>
      </c>
      <c r="UY214" s="132">
        <f t="shared" si="391"/>
        <v>0</v>
      </c>
      <c r="UZ214" s="132">
        <f t="shared" si="392"/>
        <v>0</v>
      </c>
      <c r="VA214" s="132">
        <f t="shared" si="393"/>
        <v>0</v>
      </c>
      <c r="VB214" s="131">
        <f t="shared" si="394"/>
        <v>0</v>
      </c>
      <c r="VC214" s="132">
        <f t="shared" si="395"/>
        <v>0</v>
      </c>
      <c r="VD214" s="132">
        <f t="shared" si="396"/>
        <v>0</v>
      </c>
      <c r="VE214" s="132">
        <f t="shared" si="397"/>
        <v>0</v>
      </c>
      <c r="VF214" s="132">
        <f t="shared" si="398"/>
        <v>0</v>
      </c>
      <c r="VG214" s="132">
        <f t="shared" si="399"/>
        <v>0</v>
      </c>
      <c r="VH214" s="132">
        <f t="shared" si="400"/>
        <v>0</v>
      </c>
      <c r="VI214" s="132">
        <f t="shared" si="401"/>
        <v>0</v>
      </c>
      <c r="VJ214" s="132">
        <f t="shared" si="402"/>
        <v>0</v>
      </c>
      <c r="VK214" s="132">
        <f t="shared" si="403"/>
        <v>0</v>
      </c>
      <c r="VL214" s="132">
        <f t="shared" si="404"/>
        <v>0</v>
      </c>
      <c r="VM214" s="132">
        <f t="shared" si="405"/>
        <v>0</v>
      </c>
      <c r="VN214" s="132">
        <f t="shared" si="406"/>
        <v>0</v>
      </c>
      <c r="VP214" s="845" t="str">
        <f>IFERROR(HLOOKUP(F214,'Hodnocení '!$C$1:$JH$5,2,FALSE),0)</f>
        <v>Sociální služby města Rychnov nad Kněžnou o. p. s.</v>
      </c>
      <c r="VQ214" s="838"/>
      <c r="VR214" s="845" t="str">
        <f t="shared" si="414"/>
        <v>Obecně prospěšná společnost</v>
      </c>
      <c r="VS214" s="845" t="str">
        <f>IFERROR(HLOOKUP(F214,'Hodnocení '!$C$1:$JH$5,5,FALSE),0)</f>
        <v>Obce</v>
      </c>
      <c r="VT214" s="838" t="str">
        <f t="shared" si="415"/>
        <v>Obecně prospěšná společnost</v>
      </c>
      <c r="VU214" s="838">
        <f t="shared" si="416"/>
        <v>0</v>
      </c>
      <c r="VV214" s="838">
        <f t="shared" si="417"/>
        <v>7300000</v>
      </c>
      <c r="VW214" s="838">
        <f t="shared" si="418"/>
        <v>0</v>
      </c>
      <c r="VX214" s="838"/>
      <c r="VY214" s="838">
        <f t="shared" ref="VY214:VY271" si="419">VZ214-WA214</f>
        <v>0</v>
      </c>
      <c r="VZ214" s="838">
        <f t="shared" ref="VZ214:VZ271" si="420">UM214-VM214</f>
        <v>8922000</v>
      </c>
      <c r="WA214" s="846">
        <f>IFERROR(HLOOKUP($F214,'Hodnocení '!$C$1:$JH$9,9,FALSE),0)</f>
        <v>8922000</v>
      </c>
      <c r="WB214" s="846">
        <f>IF(IFERROR(HLOOKUP($F214,'Hodnocení '!$C$1:$JH$13,13,FALSE),0)&gt;WA214,WA214,IFERROR(HLOOKUP($F214,'Hodnocení '!$C$1:$JH$13,13,FALSE),0))</f>
        <v>8922000</v>
      </c>
      <c r="WC214" s="846">
        <f>IFERROR(HLOOKUP($F214,'Hodnocení '!$C$1:$JH$155,155,FALSE),0)</f>
        <v>8684790</v>
      </c>
      <c r="WD214" s="845"/>
      <c r="WE214" s="845"/>
      <c r="WF214" s="845" t="str">
        <f t="shared" si="407"/>
        <v>ANO</v>
      </c>
      <c r="WG214" s="849" t="str">
        <f t="shared" si="320"/>
        <v>Podpora služby je vyjádřena zařazením do sítě sociálních služeb v KHK a řešením financování služby</v>
      </c>
      <c r="WH214"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14" s="849" t="str">
        <f t="shared" si="320"/>
        <v>Návrh dotace je výsledkem projednání s ostatními zadavateli v rámci sítě služeb KHK</v>
      </c>
      <c r="WJ214" s="849" t="str">
        <f t="shared" si="320"/>
        <v>Bez komentáře</v>
      </c>
      <c r="WK214" s="31">
        <f t="shared" si="408"/>
        <v>0</v>
      </c>
      <c r="WL214" s="850">
        <f t="shared" si="409"/>
        <v>0</v>
      </c>
      <c r="WM214" s="849" t="str">
        <f t="shared" si="410"/>
        <v>V rámci sítě KHK se dlouhodobě řeší otázka navyšování úhrad a průběžně se monitoruje s vazbou na vykrytí vyrovnávací platby</v>
      </c>
      <c r="WN214" s="849">
        <f t="shared" si="411"/>
        <v>0</v>
      </c>
      <c r="WO214" s="849" t="str">
        <f t="shared" si="321"/>
        <v>bez komentáře</v>
      </c>
      <c r="WP214" s="849" t="str">
        <f t="shared" si="321"/>
        <v>bez komentáře</v>
      </c>
      <c r="WQ214" s="849" t="str">
        <f t="shared" si="321"/>
        <v>Konečná výše dotace z rozpočtu KHK bude řešena v návaznosti na řešení podílů jednotlivých zadavatelů.</v>
      </c>
      <c r="WR214" s="849" t="str">
        <f t="shared" si="321"/>
        <v>Konečná výše podpory ze stran obcí bude řešena v součinnosti s jednotlivými zadavateli v průběhu roku.</v>
      </c>
      <c r="WS214" s="849" t="str">
        <f t="shared" si="321"/>
        <v>bez komentáře</v>
      </c>
      <c r="WT214" s="849" t="str">
        <f t="shared" si="321"/>
        <v>bez komentáře</v>
      </c>
      <c r="WU214" s="845"/>
    </row>
    <row r="215" spans="1:619" s="128" customFormat="1" x14ac:dyDescent="0.25">
      <c r="A215" s="128" t="str">
        <f>VLOOKUP(F215,'Výpočet VP 2020'!$D$324:$I$588,6,FALSE)</f>
        <v>Je v síti</v>
      </c>
      <c r="B215" s="128" t="s">
        <v>897</v>
      </c>
      <c r="C215" s="128">
        <v>70155577</v>
      </c>
      <c r="D215" s="128" t="s">
        <v>898</v>
      </c>
      <c r="E215" s="128" t="s">
        <v>216</v>
      </c>
      <c r="F215" s="128">
        <v>2174839</v>
      </c>
      <c r="G215" s="128" t="s">
        <v>538</v>
      </c>
      <c r="H215" s="128" t="s">
        <v>230</v>
      </c>
      <c r="I215" s="128" t="s">
        <v>899</v>
      </c>
      <c r="J215" s="129">
        <v>37798</v>
      </c>
      <c r="L215" s="128" t="s">
        <v>220</v>
      </c>
      <c r="X215" s="128" t="s">
        <v>564</v>
      </c>
      <c r="Z215" s="128">
        <v>25</v>
      </c>
      <c r="AA215" s="128">
        <v>0</v>
      </c>
      <c r="AB215" s="128">
        <v>120</v>
      </c>
      <c r="AC215" s="128">
        <v>245</v>
      </c>
      <c r="AD215" s="128">
        <v>240</v>
      </c>
      <c r="AO215" s="128" t="s">
        <v>900</v>
      </c>
      <c r="AP215" s="128" t="s">
        <v>489</v>
      </c>
      <c r="AQ215" s="128">
        <v>15</v>
      </c>
      <c r="AR215" s="128">
        <v>0</v>
      </c>
      <c r="AS215" s="128">
        <v>155</v>
      </c>
      <c r="AT215" s="128">
        <v>290</v>
      </c>
      <c r="AU215" s="128">
        <v>270</v>
      </c>
      <c r="BK215" s="128" t="s">
        <v>900</v>
      </c>
      <c r="BL215" s="128" t="s">
        <v>901</v>
      </c>
      <c r="BM215" s="128" t="s">
        <v>645</v>
      </c>
      <c r="BN215" s="128" t="s">
        <v>848</v>
      </c>
      <c r="EK215" s="128">
        <v>6</v>
      </c>
      <c r="EL215" s="128">
        <v>5</v>
      </c>
      <c r="EM215" s="128">
        <v>3.5</v>
      </c>
      <c r="EN215" s="128">
        <v>2047140</v>
      </c>
      <c r="EO215" s="128">
        <v>1721964</v>
      </c>
      <c r="EP215" s="128">
        <v>2</v>
      </c>
      <c r="EQ215" s="128">
        <v>1</v>
      </c>
      <c r="ER215" s="128">
        <v>1.5</v>
      </c>
      <c r="ES215" s="128">
        <v>404611</v>
      </c>
      <c r="ET215" s="128">
        <v>353919</v>
      </c>
      <c r="FO215" s="128">
        <v>4</v>
      </c>
      <c r="FP215" s="128">
        <v>2.7</v>
      </c>
      <c r="FQ215" s="128">
        <v>0</v>
      </c>
      <c r="FR215" s="128">
        <v>1358760</v>
      </c>
      <c r="FS215" s="128">
        <v>1087008</v>
      </c>
      <c r="IN215" s="128">
        <v>1</v>
      </c>
      <c r="IO215" s="128">
        <v>100</v>
      </c>
      <c r="IP215" s="128">
        <v>4.8000000000000001E-2</v>
      </c>
      <c r="IQ215" s="128">
        <v>15000</v>
      </c>
      <c r="IR215" s="128">
        <v>12000</v>
      </c>
      <c r="KB215" s="128">
        <v>1</v>
      </c>
      <c r="KC215" s="128">
        <v>0.5</v>
      </c>
      <c r="KD215" s="128">
        <v>0</v>
      </c>
      <c r="KE215" s="128">
        <v>225456</v>
      </c>
      <c r="KF215" s="128">
        <v>186216</v>
      </c>
      <c r="KG215" s="128">
        <v>0</v>
      </c>
      <c r="KI215" s="128">
        <v>6</v>
      </c>
      <c r="KJ215" s="128">
        <v>0</v>
      </c>
      <c r="KK215" s="128">
        <v>4.8000000000000001E-2</v>
      </c>
      <c r="KL215" s="128">
        <v>0</v>
      </c>
      <c r="KM215" s="128">
        <v>6.048</v>
      </c>
      <c r="KN215" s="128">
        <v>3810511</v>
      </c>
      <c r="KO215" s="128">
        <v>3162891</v>
      </c>
      <c r="KP215" s="128">
        <v>3162891</v>
      </c>
      <c r="KT215" s="128">
        <v>0</v>
      </c>
      <c r="KU215" s="128">
        <v>0</v>
      </c>
      <c r="KV215" s="128">
        <v>0</v>
      </c>
      <c r="KZ215" s="128">
        <v>15000</v>
      </c>
      <c r="LA215" s="128">
        <v>12000</v>
      </c>
      <c r="LB215" s="128">
        <v>12000</v>
      </c>
      <c r="LF215" s="128">
        <v>6500</v>
      </c>
      <c r="LG215" s="128">
        <v>5200</v>
      </c>
      <c r="LH215" s="128">
        <v>5200</v>
      </c>
      <c r="LL215" s="128">
        <v>0</v>
      </c>
      <c r="LM215" s="128">
        <v>0</v>
      </c>
      <c r="LN215" s="128">
        <v>0</v>
      </c>
      <c r="LR215" s="128">
        <v>0</v>
      </c>
      <c r="LS215" s="128">
        <v>0</v>
      </c>
      <c r="LT215" s="128">
        <v>0</v>
      </c>
      <c r="LX215" s="128">
        <v>0</v>
      </c>
      <c r="LY215" s="128">
        <v>0</v>
      </c>
      <c r="LZ215" s="128">
        <v>0</v>
      </c>
      <c r="MD215" s="128">
        <v>0</v>
      </c>
      <c r="ME215" s="128">
        <v>0</v>
      </c>
      <c r="MF215" s="128">
        <v>0</v>
      </c>
      <c r="MJ215" s="128">
        <v>10000</v>
      </c>
      <c r="MK215" s="128">
        <v>8000</v>
      </c>
      <c r="ML215" s="128">
        <v>8000</v>
      </c>
      <c r="MP215" s="128">
        <v>60000</v>
      </c>
      <c r="MQ215" s="128">
        <v>48000</v>
      </c>
      <c r="MR215" s="128">
        <v>48000</v>
      </c>
      <c r="MV215" s="128">
        <v>108000</v>
      </c>
      <c r="MW215" s="128">
        <v>86400</v>
      </c>
      <c r="MX215" s="128">
        <v>86400</v>
      </c>
      <c r="NB215" s="128">
        <v>36000</v>
      </c>
      <c r="NC215" s="128">
        <v>28800</v>
      </c>
      <c r="ND215" s="128">
        <v>28800</v>
      </c>
      <c r="NH215" s="128">
        <v>12000</v>
      </c>
      <c r="NI215" s="128">
        <v>9600</v>
      </c>
      <c r="NJ215" s="128">
        <v>9600</v>
      </c>
      <c r="NN215" s="128">
        <v>54200</v>
      </c>
      <c r="NO215" s="128">
        <v>43360</v>
      </c>
      <c r="NP215" s="128">
        <v>43360</v>
      </c>
      <c r="NT215" s="128">
        <v>40000</v>
      </c>
      <c r="NU215" s="128">
        <v>32000</v>
      </c>
      <c r="NV215" s="128">
        <v>32000</v>
      </c>
      <c r="NZ215" s="128">
        <v>15000</v>
      </c>
      <c r="OA215" s="128">
        <v>12000</v>
      </c>
      <c r="OB215" s="128">
        <v>12000</v>
      </c>
      <c r="OF215" s="128">
        <v>6000</v>
      </c>
      <c r="OG215" s="128">
        <v>4800</v>
      </c>
      <c r="OH215" s="128">
        <v>4800</v>
      </c>
      <c r="OL215" s="128">
        <v>0</v>
      </c>
      <c r="OM215" s="128">
        <v>0</v>
      </c>
      <c r="ON215" s="128">
        <v>0</v>
      </c>
      <c r="OR215" s="128">
        <v>225456</v>
      </c>
      <c r="OS215" s="128">
        <v>186216</v>
      </c>
      <c r="OT215" s="128">
        <v>186216</v>
      </c>
      <c r="OX215" s="128">
        <v>45000</v>
      </c>
      <c r="OY215" s="128">
        <v>36000</v>
      </c>
      <c r="OZ215" s="128">
        <v>36000</v>
      </c>
      <c r="PD215" s="128">
        <v>0</v>
      </c>
      <c r="PE215" s="128">
        <v>0</v>
      </c>
      <c r="PF215" s="128">
        <v>0</v>
      </c>
      <c r="PJ215" s="128">
        <v>18000</v>
      </c>
      <c r="PK215" s="128">
        <v>14400</v>
      </c>
      <c r="PL215" s="128">
        <v>14400</v>
      </c>
      <c r="PP215" s="128">
        <v>4461667</v>
      </c>
      <c r="PQ215" s="128">
        <v>3689667</v>
      </c>
      <c r="PR215" s="128">
        <v>3689667</v>
      </c>
      <c r="PS215" s="128">
        <v>100</v>
      </c>
      <c r="PT215" s="128">
        <v>100</v>
      </c>
      <c r="PX215" s="128">
        <v>2408085</v>
      </c>
      <c r="PY215" s="128">
        <v>2728440</v>
      </c>
      <c r="PZ215" s="128">
        <v>3689667</v>
      </c>
      <c r="QA215" s="128">
        <v>0</v>
      </c>
      <c r="QB215" s="128">
        <v>0</v>
      </c>
      <c r="QC215" s="128">
        <v>0</v>
      </c>
      <c r="QD215" s="128">
        <v>0</v>
      </c>
      <c r="QE215" s="128">
        <v>0</v>
      </c>
      <c r="QF215" s="128">
        <v>0</v>
      </c>
      <c r="QG215" s="128">
        <v>0</v>
      </c>
      <c r="QH215" s="128">
        <v>0</v>
      </c>
      <c r="QI215" s="128">
        <v>0</v>
      </c>
      <c r="QJ215" s="128">
        <v>0</v>
      </c>
      <c r="QK215" s="128">
        <v>0</v>
      </c>
      <c r="QL215" s="128">
        <v>0</v>
      </c>
      <c r="QN215" s="128">
        <v>0</v>
      </c>
      <c r="QO215" s="128">
        <v>0</v>
      </c>
      <c r="QP215" s="128">
        <v>0</v>
      </c>
      <c r="QU215" s="128">
        <v>11000</v>
      </c>
      <c r="QV215" s="128">
        <v>252325</v>
      </c>
      <c r="QW215" s="128">
        <v>140000</v>
      </c>
      <c r="QX215" s="128">
        <v>455000</v>
      </c>
      <c r="QY215" s="128">
        <v>370000</v>
      </c>
      <c r="QZ215" s="128">
        <v>632000</v>
      </c>
      <c r="RH215" s="128">
        <f t="shared" si="412"/>
        <v>4461667</v>
      </c>
      <c r="RI215" s="128">
        <v>0</v>
      </c>
      <c r="RM215" s="128" t="s">
        <v>220</v>
      </c>
      <c r="RU215" s="130"/>
      <c r="RV215" s="130"/>
      <c r="RW215" s="130"/>
      <c r="RX215" s="130"/>
      <c r="SF215" s="128">
        <f t="shared" si="322"/>
        <v>2174839</v>
      </c>
      <c r="SG215" s="131">
        <f t="shared" si="323"/>
        <v>4461667</v>
      </c>
      <c r="SH215" s="131">
        <f t="shared" si="324"/>
        <v>4461667</v>
      </c>
      <c r="SI215" s="131">
        <f t="shared" si="325"/>
        <v>3832011</v>
      </c>
      <c r="SJ215" s="132">
        <f t="shared" si="326"/>
        <v>3810511</v>
      </c>
      <c r="SK215" s="132">
        <f t="shared" si="327"/>
        <v>0</v>
      </c>
      <c r="SL215" s="132">
        <f t="shared" si="328"/>
        <v>15000</v>
      </c>
      <c r="SM215" s="132">
        <f t="shared" si="329"/>
        <v>6500</v>
      </c>
      <c r="SN215" s="131">
        <f t="shared" si="330"/>
        <v>629656</v>
      </c>
      <c r="SO215" s="131">
        <f t="shared" si="331"/>
        <v>0</v>
      </c>
      <c r="SP215" s="132">
        <f t="shared" si="332"/>
        <v>0</v>
      </c>
      <c r="SQ215" s="132">
        <f t="shared" si="333"/>
        <v>0</v>
      </c>
      <c r="SR215" s="132">
        <f t="shared" si="334"/>
        <v>0</v>
      </c>
      <c r="SS215" s="132">
        <f t="shared" si="335"/>
        <v>0</v>
      </c>
      <c r="ST215" s="132">
        <f t="shared" si="336"/>
        <v>10000</v>
      </c>
      <c r="SU215" s="132">
        <f t="shared" si="337"/>
        <v>60000</v>
      </c>
      <c r="SV215" s="131">
        <f t="shared" si="338"/>
        <v>541656</v>
      </c>
      <c r="SW215" s="132">
        <f t="shared" si="339"/>
        <v>108000</v>
      </c>
      <c r="SX215" s="132">
        <f t="shared" si="340"/>
        <v>36000</v>
      </c>
      <c r="SY215" s="132">
        <f t="shared" si="341"/>
        <v>12000</v>
      </c>
      <c r="SZ215" s="132">
        <f t="shared" si="342"/>
        <v>54200</v>
      </c>
      <c r="TA215" s="132">
        <f t="shared" si="343"/>
        <v>40000</v>
      </c>
      <c r="TB215" s="132">
        <f t="shared" si="344"/>
        <v>15000</v>
      </c>
      <c r="TC215" s="132">
        <f t="shared" si="345"/>
        <v>6000</v>
      </c>
      <c r="TD215" s="132">
        <f t="shared" si="346"/>
        <v>0</v>
      </c>
      <c r="TE215" s="132">
        <f t="shared" si="347"/>
        <v>225456</v>
      </c>
      <c r="TF215" s="132">
        <f t="shared" si="348"/>
        <v>45000</v>
      </c>
      <c r="TG215" s="132">
        <f t="shared" si="349"/>
        <v>0</v>
      </c>
      <c r="TH215" s="132">
        <f t="shared" si="350"/>
        <v>18000</v>
      </c>
      <c r="TI215" s="1"/>
      <c r="TJ215" s="131">
        <f t="shared" si="351"/>
        <v>3689667</v>
      </c>
      <c r="TK215" s="131">
        <f t="shared" si="352"/>
        <v>3689667</v>
      </c>
      <c r="TL215" s="131">
        <f t="shared" si="353"/>
        <v>3180091</v>
      </c>
      <c r="TM215" s="132">
        <f t="shared" si="354"/>
        <v>3162891</v>
      </c>
      <c r="TN215" s="132">
        <f t="shared" si="355"/>
        <v>0</v>
      </c>
      <c r="TO215" s="132">
        <f t="shared" si="356"/>
        <v>12000</v>
      </c>
      <c r="TP215" s="132">
        <f t="shared" si="357"/>
        <v>5200</v>
      </c>
      <c r="TQ215" s="131">
        <f t="shared" si="358"/>
        <v>509576</v>
      </c>
      <c r="TR215" s="131">
        <f t="shared" si="359"/>
        <v>0</v>
      </c>
      <c r="TS215" s="132">
        <f t="shared" si="360"/>
        <v>0</v>
      </c>
      <c r="TT215" s="132">
        <f t="shared" si="361"/>
        <v>0</v>
      </c>
      <c r="TU215" s="132">
        <f t="shared" si="362"/>
        <v>0</v>
      </c>
      <c r="TV215" s="132">
        <f t="shared" si="363"/>
        <v>0</v>
      </c>
      <c r="TW215" s="132">
        <f t="shared" si="364"/>
        <v>8000</v>
      </c>
      <c r="TX215" s="132">
        <f t="shared" si="365"/>
        <v>48000</v>
      </c>
      <c r="TY215" s="131">
        <f t="shared" si="366"/>
        <v>439176</v>
      </c>
      <c r="TZ215" s="132">
        <f t="shared" si="367"/>
        <v>86400</v>
      </c>
      <c r="UA215" s="132">
        <f t="shared" si="368"/>
        <v>28800</v>
      </c>
      <c r="UB215" s="132">
        <f t="shared" si="369"/>
        <v>9600</v>
      </c>
      <c r="UC215" s="132">
        <f t="shared" si="370"/>
        <v>43360</v>
      </c>
      <c r="UD215" s="132">
        <f t="shared" si="371"/>
        <v>32000</v>
      </c>
      <c r="UE215" s="132">
        <f t="shared" si="372"/>
        <v>12000</v>
      </c>
      <c r="UF215" s="132">
        <f t="shared" si="373"/>
        <v>4800</v>
      </c>
      <c r="UG215" s="132">
        <f t="shared" si="374"/>
        <v>0</v>
      </c>
      <c r="UH215" s="132">
        <f t="shared" si="375"/>
        <v>186216</v>
      </c>
      <c r="UI215" s="132">
        <f t="shared" si="376"/>
        <v>36000</v>
      </c>
      <c r="UJ215" s="132">
        <f t="shared" si="377"/>
        <v>0</v>
      </c>
      <c r="UK215" s="132">
        <f t="shared" si="378"/>
        <v>14400</v>
      </c>
      <c r="UL215" s="132">
        <f t="shared" si="413"/>
        <v>3689667</v>
      </c>
      <c r="UM215" s="131">
        <f t="shared" si="379"/>
        <v>3689667</v>
      </c>
      <c r="UN215" s="131">
        <f t="shared" si="380"/>
        <v>3689667</v>
      </c>
      <c r="UO215" s="131">
        <f t="shared" si="381"/>
        <v>3180091</v>
      </c>
      <c r="UP215" s="132">
        <f t="shared" si="382"/>
        <v>3162891</v>
      </c>
      <c r="UQ215" s="132">
        <f t="shared" si="383"/>
        <v>0</v>
      </c>
      <c r="UR215" s="132">
        <f t="shared" si="384"/>
        <v>12000</v>
      </c>
      <c r="US215" s="132">
        <f t="shared" si="385"/>
        <v>5200</v>
      </c>
      <c r="UT215" s="131">
        <f t="shared" si="386"/>
        <v>509576</v>
      </c>
      <c r="UU215" s="131">
        <f t="shared" si="387"/>
        <v>0</v>
      </c>
      <c r="UV215" s="132">
        <f t="shared" si="388"/>
        <v>0</v>
      </c>
      <c r="UW215" s="132">
        <f t="shared" si="389"/>
        <v>0</v>
      </c>
      <c r="UX215" s="132">
        <f t="shared" si="390"/>
        <v>0</v>
      </c>
      <c r="UY215" s="132">
        <f t="shared" si="391"/>
        <v>0</v>
      </c>
      <c r="UZ215" s="132">
        <f t="shared" si="392"/>
        <v>8000</v>
      </c>
      <c r="VA215" s="132">
        <f t="shared" si="393"/>
        <v>48000</v>
      </c>
      <c r="VB215" s="131">
        <f t="shared" si="394"/>
        <v>439176</v>
      </c>
      <c r="VC215" s="132">
        <f t="shared" si="395"/>
        <v>86400</v>
      </c>
      <c r="VD215" s="132">
        <f t="shared" si="396"/>
        <v>28800</v>
      </c>
      <c r="VE215" s="132">
        <f t="shared" si="397"/>
        <v>9600</v>
      </c>
      <c r="VF215" s="132">
        <f t="shared" si="398"/>
        <v>43360</v>
      </c>
      <c r="VG215" s="132">
        <f t="shared" si="399"/>
        <v>32000</v>
      </c>
      <c r="VH215" s="132">
        <f t="shared" si="400"/>
        <v>12000</v>
      </c>
      <c r="VI215" s="132">
        <f t="shared" si="401"/>
        <v>4800</v>
      </c>
      <c r="VJ215" s="132">
        <f t="shared" si="402"/>
        <v>0</v>
      </c>
      <c r="VK215" s="132">
        <f t="shared" si="403"/>
        <v>186216</v>
      </c>
      <c r="VL215" s="132">
        <f t="shared" si="404"/>
        <v>36000</v>
      </c>
      <c r="VM215" s="132">
        <f t="shared" si="405"/>
        <v>0</v>
      </c>
      <c r="VN215" s="132">
        <f t="shared" si="406"/>
        <v>14400</v>
      </c>
      <c r="VP215" s="845" t="str">
        <f>IFERROR(HLOOKUP(F215,'Hodnocení '!$C$1:$JH$5,2,FALSE),0)</f>
        <v>NZDM KLÍDEK</v>
      </c>
      <c r="VQ215" s="838"/>
      <c r="VR215" s="845" t="str">
        <f t="shared" si="414"/>
        <v>Obecně prospěšná společnost</v>
      </c>
      <c r="VS215" s="845" t="str">
        <f>IFERROR(HLOOKUP(F215,'Hodnocení '!$C$1:$JH$5,5,FALSE),0)</f>
        <v>NZO</v>
      </c>
      <c r="VT215" s="838">
        <f t="shared" si="415"/>
        <v>0</v>
      </c>
      <c r="VU215" s="838">
        <f t="shared" si="416"/>
        <v>0</v>
      </c>
      <c r="VV215" s="838">
        <f t="shared" si="417"/>
        <v>0</v>
      </c>
      <c r="VW215" s="838">
        <f t="shared" si="418"/>
        <v>0</v>
      </c>
      <c r="VX215" s="838"/>
      <c r="VY215" s="838">
        <f t="shared" si="419"/>
        <v>0</v>
      </c>
      <c r="VZ215" s="838">
        <f t="shared" si="420"/>
        <v>3689667</v>
      </c>
      <c r="WA215" s="846">
        <f>IFERROR(HLOOKUP($F215,'Hodnocení '!$C$1:$JH$9,9,FALSE),0)</f>
        <v>3689667</v>
      </c>
      <c r="WB215" s="846">
        <f>IF(IFERROR(HLOOKUP($F215,'Hodnocení '!$C$1:$JH$13,13,FALSE),0)&gt;WA215,WA215,IFERROR(HLOOKUP($F215,'Hodnocení '!$C$1:$JH$13,13,FALSE),0))</f>
        <v>3689667</v>
      </c>
      <c r="WC215" s="846">
        <f>IFERROR(HLOOKUP($F215,'Hodnocení '!$C$1:$JH$155,155,FALSE),0)</f>
        <v>3604670</v>
      </c>
      <c r="WD215" s="845"/>
      <c r="WE215" s="845"/>
      <c r="WF215" s="845" t="str">
        <f t="shared" si="407"/>
        <v>ANO</v>
      </c>
      <c r="WG215" s="849" t="str">
        <f t="shared" si="320"/>
        <v>Podpora služby je vyjádřena zařazením do sítě sociálních služeb v KHK a řešením financování služby</v>
      </c>
      <c r="WH215"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15" s="849" t="str">
        <f t="shared" si="320"/>
        <v>Návrh dotace je výsledkem projednání s ostatními zadavateli v rámci sítě služeb KHK</v>
      </c>
      <c r="WJ215" s="849" t="str">
        <f t="shared" si="320"/>
        <v>Bez komentáře</v>
      </c>
      <c r="WK215" s="31">
        <f t="shared" si="408"/>
        <v>0</v>
      </c>
      <c r="WL215" s="850">
        <f t="shared" si="409"/>
        <v>0</v>
      </c>
      <c r="WM215" s="849">
        <f t="shared" si="410"/>
        <v>0</v>
      </c>
      <c r="WN215" s="849">
        <f t="shared" si="411"/>
        <v>0</v>
      </c>
      <c r="WO215" s="849" t="str">
        <f t="shared" si="321"/>
        <v>bez komentáře</v>
      </c>
      <c r="WP215" s="849" t="str">
        <f t="shared" si="321"/>
        <v>bez komentáře</v>
      </c>
      <c r="WQ215" s="849" t="str">
        <f t="shared" si="321"/>
        <v>Konečná výše dotace z rozpočtu KHK bude řešena v návaznosti na řešení podílů jednotlivých zadavatelů.</v>
      </c>
      <c r="WR215" s="849" t="str">
        <f t="shared" si="321"/>
        <v>Konečná výše podpory ze stran obcí bude řešena v součinnosti s jednotlivými zadavateli v průběhu roku.</v>
      </c>
      <c r="WS215" s="849" t="str">
        <f t="shared" si="321"/>
        <v>bez komentáře</v>
      </c>
      <c r="WT215" s="849" t="str">
        <f t="shared" si="321"/>
        <v>bez komentáře</v>
      </c>
      <c r="WU215" s="845"/>
    </row>
    <row r="216" spans="1:619" s="128" customFormat="1" x14ac:dyDescent="0.25">
      <c r="A216" s="128" t="str">
        <f>VLOOKUP(F216,'Výpočet VP 2020'!$D$324:$I$588,6,FALSE)</f>
        <v>Je v síti</v>
      </c>
      <c r="B216" s="128" t="s">
        <v>902</v>
      </c>
      <c r="C216" s="128">
        <v>75045907</v>
      </c>
      <c r="D216" s="128" t="s">
        <v>903</v>
      </c>
      <c r="E216" s="128" t="s">
        <v>904</v>
      </c>
      <c r="F216" s="128">
        <v>4659873</v>
      </c>
      <c r="G216" s="128" t="s">
        <v>235</v>
      </c>
      <c r="H216" s="128" t="s">
        <v>230</v>
      </c>
      <c r="I216" s="128" t="s">
        <v>905</v>
      </c>
      <c r="J216" s="129">
        <v>41275</v>
      </c>
      <c r="L216" s="128" t="s">
        <v>220</v>
      </c>
      <c r="X216" s="128" t="s">
        <v>284</v>
      </c>
      <c r="Z216" s="128">
        <v>8</v>
      </c>
      <c r="AA216" s="128">
        <v>18</v>
      </c>
      <c r="AB216" s="128">
        <v>50</v>
      </c>
      <c r="AC216" s="128">
        <v>50</v>
      </c>
      <c r="AD216" s="128">
        <v>65</v>
      </c>
      <c r="AO216" s="128" t="s">
        <v>906</v>
      </c>
      <c r="AP216" s="128" t="s">
        <v>284</v>
      </c>
      <c r="AQ216" s="128">
        <v>8</v>
      </c>
      <c r="AR216" s="128">
        <v>18</v>
      </c>
      <c r="AS216" s="128">
        <v>50</v>
      </c>
      <c r="AT216" s="128">
        <v>50</v>
      </c>
      <c r="AU216" s="128">
        <v>65</v>
      </c>
      <c r="BK216" s="128" t="s">
        <v>906</v>
      </c>
      <c r="BL216" s="128" t="s">
        <v>907</v>
      </c>
      <c r="BM216" s="128" t="s">
        <v>908</v>
      </c>
      <c r="BN216" s="128" t="s">
        <v>357</v>
      </c>
      <c r="EK216" s="128">
        <v>8</v>
      </c>
      <c r="EL216" s="128">
        <v>6.5</v>
      </c>
      <c r="EM216" s="128">
        <v>5.57</v>
      </c>
      <c r="EN216" s="128">
        <v>3445000</v>
      </c>
      <c r="EO216" s="128">
        <v>3298000</v>
      </c>
      <c r="FO216" s="128">
        <v>6</v>
      </c>
      <c r="FP216" s="128">
        <v>2.2000000000000002</v>
      </c>
      <c r="FQ216" s="128">
        <v>1.8</v>
      </c>
      <c r="FR216" s="128">
        <v>1166000</v>
      </c>
      <c r="FS216" s="128">
        <v>1112000</v>
      </c>
      <c r="KG216" s="128">
        <v>0</v>
      </c>
      <c r="KI216" s="128">
        <v>6.5</v>
      </c>
      <c r="KJ216" s="128">
        <v>0</v>
      </c>
      <c r="KK216" s="128">
        <v>0</v>
      </c>
      <c r="KL216" s="128">
        <v>0</v>
      </c>
      <c r="KM216" s="128">
        <v>6.5</v>
      </c>
      <c r="KN216" s="128">
        <v>4611000</v>
      </c>
      <c r="KO216" s="128">
        <v>4410000</v>
      </c>
      <c r="KP216" s="128">
        <v>1368000</v>
      </c>
      <c r="KT216" s="128">
        <v>0</v>
      </c>
      <c r="KU216" s="128">
        <v>0</v>
      </c>
      <c r="KV216" s="128">
        <v>0</v>
      </c>
      <c r="KZ216" s="128">
        <v>0</v>
      </c>
      <c r="LA216" s="128">
        <v>0</v>
      </c>
      <c r="LB216" s="128">
        <v>0</v>
      </c>
      <c r="LF216" s="128">
        <v>0</v>
      </c>
      <c r="LG216" s="128">
        <v>0</v>
      </c>
      <c r="LH216" s="128">
        <v>0</v>
      </c>
      <c r="LL216" s="128">
        <v>10000</v>
      </c>
      <c r="LM216" s="128">
        <v>9000</v>
      </c>
      <c r="LN216" s="128">
        <v>3000</v>
      </c>
      <c r="LR216" s="128">
        <v>75000</v>
      </c>
      <c r="LS216" s="128">
        <v>73000</v>
      </c>
      <c r="LT216" s="128">
        <v>24000</v>
      </c>
      <c r="LX216" s="128">
        <v>0</v>
      </c>
      <c r="LY216" s="128">
        <v>0</v>
      </c>
      <c r="LZ216" s="128">
        <v>0</v>
      </c>
      <c r="MD216" s="128">
        <v>18000</v>
      </c>
      <c r="ME216" s="128">
        <v>17000</v>
      </c>
      <c r="MF216" s="128">
        <v>5000</v>
      </c>
      <c r="MJ216" s="128">
        <v>95000</v>
      </c>
      <c r="MK216" s="128">
        <v>92000</v>
      </c>
      <c r="ML216" s="128">
        <v>30000</v>
      </c>
      <c r="MP216" s="128">
        <v>20000</v>
      </c>
      <c r="MQ216" s="128">
        <v>19000</v>
      </c>
      <c r="MR216" s="128">
        <v>7000</v>
      </c>
      <c r="MV216" s="128">
        <v>0</v>
      </c>
      <c r="MW216" s="128">
        <v>0</v>
      </c>
      <c r="MX216" s="128">
        <v>0</v>
      </c>
      <c r="NB216" s="128">
        <v>80000</v>
      </c>
      <c r="NC216" s="128">
        <v>76000</v>
      </c>
      <c r="ND216" s="128">
        <v>25000</v>
      </c>
      <c r="NH216" s="128">
        <v>185000</v>
      </c>
      <c r="NI216" s="128">
        <v>175000</v>
      </c>
      <c r="NJ216" s="128">
        <v>58000</v>
      </c>
      <c r="NN216" s="128">
        <v>200000</v>
      </c>
      <c r="NO216" s="128">
        <v>188000</v>
      </c>
      <c r="NP216" s="128">
        <v>62000</v>
      </c>
      <c r="NT216" s="128">
        <v>90000</v>
      </c>
      <c r="NU216" s="128">
        <v>87000</v>
      </c>
      <c r="NV216" s="128">
        <v>29000</v>
      </c>
      <c r="NZ216" s="128">
        <v>49000</v>
      </c>
      <c r="OA216" s="128">
        <v>47000</v>
      </c>
      <c r="OB216" s="128">
        <v>16000</v>
      </c>
      <c r="OF216" s="128">
        <v>55000</v>
      </c>
      <c r="OG216" s="128">
        <v>54000</v>
      </c>
      <c r="OH216" s="128">
        <v>18000</v>
      </c>
      <c r="OL216" s="128">
        <v>0</v>
      </c>
      <c r="OM216" s="128">
        <v>0</v>
      </c>
      <c r="ON216" s="128">
        <v>0</v>
      </c>
      <c r="OR216" s="128">
        <v>0</v>
      </c>
      <c r="OS216" s="128">
        <v>0</v>
      </c>
      <c r="OT216" s="128">
        <v>0</v>
      </c>
      <c r="OX216" s="128">
        <v>0</v>
      </c>
      <c r="OY216" s="128">
        <v>0</v>
      </c>
      <c r="OZ216" s="128">
        <v>0</v>
      </c>
      <c r="PD216" s="128">
        <v>0</v>
      </c>
      <c r="PE216" s="128">
        <v>0</v>
      </c>
      <c r="PF216" s="128">
        <v>0</v>
      </c>
      <c r="PJ216" s="128">
        <v>275000</v>
      </c>
      <c r="PK216" s="128">
        <v>263000</v>
      </c>
      <c r="PL216" s="128">
        <v>89000</v>
      </c>
      <c r="PP216" s="128">
        <v>5763000</v>
      </c>
      <c r="PQ216" s="128">
        <v>5510000</v>
      </c>
      <c r="PR216" s="128">
        <v>1734000</v>
      </c>
      <c r="PS216" s="128">
        <v>31.47</v>
      </c>
      <c r="PT216" s="128">
        <v>30</v>
      </c>
      <c r="PU216" s="128">
        <v>1</v>
      </c>
      <c r="PX216" s="128">
        <v>3366366</v>
      </c>
      <c r="PY216" s="128">
        <v>3814810</v>
      </c>
      <c r="PZ216" s="128">
        <v>5510000</v>
      </c>
      <c r="QA216" s="128">
        <v>0</v>
      </c>
      <c r="QB216" s="128">
        <v>0</v>
      </c>
      <c r="QC216" s="128">
        <v>0</v>
      </c>
      <c r="QD216" s="128">
        <v>0</v>
      </c>
      <c r="QE216" s="128">
        <v>0</v>
      </c>
      <c r="QF216" s="128">
        <v>0</v>
      </c>
      <c r="QG216" s="128">
        <v>0</v>
      </c>
      <c r="QH216" s="128">
        <v>0</v>
      </c>
      <c r="QI216" s="128">
        <v>0</v>
      </c>
      <c r="QJ216" s="128">
        <v>0</v>
      </c>
      <c r="QK216" s="128">
        <v>0</v>
      </c>
      <c r="QL216" s="128">
        <v>0</v>
      </c>
      <c r="QN216" s="128">
        <v>0</v>
      </c>
      <c r="QO216" s="128">
        <v>0</v>
      </c>
      <c r="QP216" s="128">
        <v>0</v>
      </c>
      <c r="QU216" s="128">
        <v>332000</v>
      </c>
      <c r="QV216" s="128">
        <v>314965</v>
      </c>
      <c r="QW216" s="128">
        <v>153000</v>
      </c>
      <c r="RD216" s="128">
        <v>361753</v>
      </c>
      <c r="RE216" s="128">
        <v>296225</v>
      </c>
      <c r="RF216" s="128">
        <v>100000</v>
      </c>
      <c r="RH216" s="128">
        <f t="shared" si="412"/>
        <v>5763000</v>
      </c>
      <c r="RI216" s="128">
        <v>0</v>
      </c>
      <c r="RM216" s="128" t="s">
        <v>220</v>
      </c>
      <c r="RU216" s="130"/>
      <c r="RV216" s="130"/>
      <c r="RW216" s="130"/>
      <c r="RX216" s="130"/>
      <c r="SF216" s="128">
        <f t="shared" si="322"/>
        <v>4659873</v>
      </c>
      <c r="SG216" s="131">
        <f t="shared" si="323"/>
        <v>5763000</v>
      </c>
      <c r="SH216" s="131">
        <f t="shared" si="324"/>
        <v>5763000</v>
      </c>
      <c r="SI216" s="131">
        <f t="shared" si="325"/>
        <v>4611000</v>
      </c>
      <c r="SJ216" s="132">
        <f t="shared" si="326"/>
        <v>4611000</v>
      </c>
      <c r="SK216" s="132">
        <f t="shared" si="327"/>
        <v>0</v>
      </c>
      <c r="SL216" s="132">
        <f t="shared" si="328"/>
        <v>0</v>
      </c>
      <c r="SM216" s="132">
        <f t="shared" si="329"/>
        <v>0</v>
      </c>
      <c r="SN216" s="131">
        <f t="shared" si="330"/>
        <v>1152000</v>
      </c>
      <c r="SO216" s="131">
        <f t="shared" si="331"/>
        <v>85000</v>
      </c>
      <c r="SP216" s="132">
        <f t="shared" si="332"/>
        <v>10000</v>
      </c>
      <c r="SQ216" s="132">
        <f t="shared" si="333"/>
        <v>75000</v>
      </c>
      <c r="SR216" s="132">
        <f t="shared" si="334"/>
        <v>0</v>
      </c>
      <c r="SS216" s="132">
        <f t="shared" si="335"/>
        <v>18000</v>
      </c>
      <c r="ST216" s="132">
        <f t="shared" si="336"/>
        <v>95000</v>
      </c>
      <c r="SU216" s="132">
        <f t="shared" si="337"/>
        <v>20000</v>
      </c>
      <c r="SV216" s="131">
        <f t="shared" si="338"/>
        <v>659000</v>
      </c>
      <c r="SW216" s="132">
        <f t="shared" si="339"/>
        <v>0</v>
      </c>
      <c r="SX216" s="132">
        <f t="shared" si="340"/>
        <v>80000</v>
      </c>
      <c r="SY216" s="132">
        <f t="shared" si="341"/>
        <v>185000</v>
      </c>
      <c r="SZ216" s="132">
        <f t="shared" si="342"/>
        <v>200000</v>
      </c>
      <c r="TA216" s="132">
        <f t="shared" si="343"/>
        <v>90000</v>
      </c>
      <c r="TB216" s="132">
        <f t="shared" si="344"/>
        <v>49000</v>
      </c>
      <c r="TC216" s="132">
        <f t="shared" si="345"/>
        <v>55000</v>
      </c>
      <c r="TD216" s="132">
        <f t="shared" si="346"/>
        <v>0</v>
      </c>
      <c r="TE216" s="132">
        <f t="shared" si="347"/>
        <v>0</v>
      </c>
      <c r="TF216" s="132">
        <f t="shared" si="348"/>
        <v>0</v>
      </c>
      <c r="TG216" s="132">
        <f t="shared" si="349"/>
        <v>0</v>
      </c>
      <c r="TH216" s="132">
        <f t="shared" si="350"/>
        <v>275000</v>
      </c>
      <c r="TI216" s="1"/>
      <c r="TJ216" s="131">
        <f t="shared" si="351"/>
        <v>5510000</v>
      </c>
      <c r="TK216" s="131">
        <f t="shared" si="352"/>
        <v>5510000</v>
      </c>
      <c r="TL216" s="131">
        <f t="shared" si="353"/>
        <v>4410000</v>
      </c>
      <c r="TM216" s="132">
        <f t="shared" si="354"/>
        <v>4410000</v>
      </c>
      <c r="TN216" s="132">
        <f t="shared" si="355"/>
        <v>0</v>
      </c>
      <c r="TO216" s="132">
        <f t="shared" si="356"/>
        <v>0</v>
      </c>
      <c r="TP216" s="132">
        <f t="shared" si="357"/>
        <v>0</v>
      </c>
      <c r="TQ216" s="131">
        <f t="shared" si="358"/>
        <v>1100000</v>
      </c>
      <c r="TR216" s="131">
        <f t="shared" si="359"/>
        <v>82000</v>
      </c>
      <c r="TS216" s="132">
        <f t="shared" si="360"/>
        <v>9000</v>
      </c>
      <c r="TT216" s="132">
        <f t="shared" si="361"/>
        <v>73000</v>
      </c>
      <c r="TU216" s="132">
        <f t="shared" si="362"/>
        <v>0</v>
      </c>
      <c r="TV216" s="132">
        <f t="shared" si="363"/>
        <v>17000</v>
      </c>
      <c r="TW216" s="132">
        <f t="shared" si="364"/>
        <v>92000</v>
      </c>
      <c r="TX216" s="132">
        <f t="shared" si="365"/>
        <v>19000</v>
      </c>
      <c r="TY216" s="131">
        <f t="shared" si="366"/>
        <v>627000</v>
      </c>
      <c r="TZ216" s="132">
        <f t="shared" si="367"/>
        <v>0</v>
      </c>
      <c r="UA216" s="132">
        <f t="shared" si="368"/>
        <v>76000</v>
      </c>
      <c r="UB216" s="132">
        <f t="shared" si="369"/>
        <v>175000</v>
      </c>
      <c r="UC216" s="132">
        <f t="shared" si="370"/>
        <v>188000</v>
      </c>
      <c r="UD216" s="132">
        <f t="shared" si="371"/>
        <v>87000</v>
      </c>
      <c r="UE216" s="132">
        <f t="shared" si="372"/>
        <v>47000</v>
      </c>
      <c r="UF216" s="132">
        <f t="shared" si="373"/>
        <v>54000</v>
      </c>
      <c r="UG216" s="132">
        <f t="shared" si="374"/>
        <v>0</v>
      </c>
      <c r="UH216" s="132">
        <f t="shared" si="375"/>
        <v>0</v>
      </c>
      <c r="UI216" s="132">
        <f t="shared" si="376"/>
        <v>0</v>
      </c>
      <c r="UJ216" s="132">
        <f t="shared" si="377"/>
        <v>0</v>
      </c>
      <c r="UK216" s="132">
        <f t="shared" si="378"/>
        <v>263000</v>
      </c>
      <c r="UL216" s="132">
        <f t="shared" si="413"/>
        <v>1734000</v>
      </c>
      <c r="UM216" s="131">
        <f t="shared" si="379"/>
        <v>1734000</v>
      </c>
      <c r="UN216" s="131">
        <f t="shared" si="380"/>
        <v>1734000</v>
      </c>
      <c r="UO216" s="131">
        <f t="shared" si="381"/>
        <v>1368000</v>
      </c>
      <c r="UP216" s="132">
        <f t="shared" si="382"/>
        <v>1368000</v>
      </c>
      <c r="UQ216" s="132">
        <f t="shared" si="383"/>
        <v>0</v>
      </c>
      <c r="UR216" s="132">
        <f t="shared" si="384"/>
        <v>0</v>
      </c>
      <c r="US216" s="132">
        <f t="shared" si="385"/>
        <v>0</v>
      </c>
      <c r="UT216" s="131">
        <f t="shared" si="386"/>
        <v>366000</v>
      </c>
      <c r="UU216" s="131">
        <f t="shared" si="387"/>
        <v>27000</v>
      </c>
      <c r="UV216" s="132">
        <f t="shared" si="388"/>
        <v>3000</v>
      </c>
      <c r="UW216" s="132">
        <f t="shared" si="389"/>
        <v>24000</v>
      </c>
      <c r="UX216" s="132">
        <f t="shared" si="390"/>
        <v>0</v>
      </c>
      <c r="UY216" s="132">
        <f t="shared" si="391"/>
        <v>5000</v>
      </c>
      <c r="UZ216" s="132">
        <f t="shared" si="392"/>
        <v>30000</v>
      </c>
      <c r="VA216" s="132">
        <f t="shared" si="393"/>
        <v>7000</v>
      </c>
      <c r="VB216" s="131">
        <f t="shared" si="394"/>
        <v>208000</v>
      </c>
      <c r="VC216" s="132">
        <f t="shared" si="395"/>
        <v>0</v>
      </c>
      <c r="VD216" s="132">
        <f t="shared" si="396"/>
        <v>25000</v>
      </c>
      <c r="VE216" s="132">
        <f t="shared" si="397"/>
        <v>58000</v>
      </c>
      <c r="VF216" s="132">
        <f t="shared" si="398"/>
        <v>62000</v>
      </c>
      <c r="VG216" s="132">
        <f t="shared" si="399"/>
        <v>29000</v>
      </c>
      <c r="VH216" s="132">
        <f t="shared" si="400"/>
        <v>16000</v>
      </c>
      <c r="VI216" s="132">
        <f t="shared" si="401"/>
        <v>18000</v>
      </c>
      <c r="VJ216" s="132">
        <f t="shared" si="402"/>
        <v>0</v>
      </c>
      <c r="VK216" s="132">
        <f t="shared" si="403"/>
        <v>0</v>
      </c>
      <c r="VL216" s="132">
        <f t="shared" si="404"/>
        <v>0</v>
      </c>
      <c r="VM216" s="132">
        <f t="shared" si="405"/>
        <v>0</v>
      </c>
      <c r="VN216" s="132">
        <f t="shared" si="406"/>
        <v>89000</v>
      </c>
      <c r="VP216" s="845" t="str">
        <f>IFERROR(HLOOKUP(F216,'Hodnocení '!$C$1:$JH$5,2,FALSE),0)</f>
        <v>Sociální rehabilitace Doprovázení</v>
      </c>
      <c r="VQ216" s="838"/>
      <c r="VR216" s="845" t="str">
        <f t="shared" si="414"/>
        <v>Pobočný spolek</v>
      </c>
      <c r="VS216" s="845" t="str">
        <f>IFERROR(HLOOKUP(F216,'Hodnocení '!$C$1:$JH$5,5,FALSE),0)</f>
        <v>NZO</v>
      </c>
      <c r="VT216" s="838">
        <f t="shared" si="415"/>
        <v>0</v>
      </c>
      <c r="VU216" s="838">
        <f t="shared" si="416"/>
        <v>0</v>
      </c>
      <c r="VV216" s="838">
        <f t="shared" si="417"/>
        <v>0</v>
      </c>
      <c r="VW216" s="838">
        <f t="shared" si="418"/>
        <v>0</v>
      </c>
      <c r="VX216" s="838"/>
      <c r="VY216" s="838">
        <f t="shared" si="419"/>
        <v>0</v>
      </c>
      <c r="VZ216" s="838">
        <f t="shared" si="420"/>
        <v>1734000</v>
      </c>
      <c r="WA216" s="846">
        <f>IFERROR(HLOOKUP($F216,'Hodnocení '!$C$1:$JH$9,9,FALSE),0)</f>
        <v>1734000</v>
      </c>
      <c r="WB216" s="846">
        <f>IF(IFERROR(HLOOKUP($F216,'Hodnocení '!$C$1:$JH$13,13,FALSE),0)&gt;WA216,WA216,IFERROR(HLOOKUP($F216,'Hodnocení '!$C$1:$JH$13,13,FALSE),0))</f>
        <v>1491808.9278830946</v>
      </c>
      <c r="WC216" s="846">
        <f>IFERROR(HLOOKUP($F216,'Hodnocení '!$C$1:$JH$155,155,FALSE),0)</f>
        <v>1402300</v>
      </c>
      <c r="WD216" s="845"/>
      <c r="WE216" s="845"/>
      <c r="WF216" s="845" t="str">
        <f t="shared" si="407"/>
        <v>ANO</v>
      </c>
      <c r="WG216" s="849" t="str">
        <f t="shared" si="320"/>
        <v>Podpora služby je vyjádřena zařazením do sítě sociálních služeb v KHK a řešením financování služby</v>
      </c>
      <c r="WH216"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16" s="849" t="str">
        <f t="shared" si="320"/>
        <v>Návrh dotace je výsledkem projednání s ostatními zadavateli v rámci sítě služeb KHK</v>
      </c>
      <c r="WJ216" s="849" t="str">
        <f t="shared" si="320"/>
        <v>Bez komentáře</v>
      </c>
      <c r="WK216" s="31">
        <f t="shared" si="408"/>
        <v>0</v>
      </c>
      <c r="WL216" s="850">
        <f t="shared" si="409"/>
        <v>0</v>
      </c>
      <c r="WM216" s="849">
        <f t="shared" si="410"/>
        <v>0</v>
      </c>
      <c r="WN216" s="849">
        <f t="shared" si="411"/>
        <v>0</v>
      </c>
      <c r="WO216" s="849" t="str">
        <f t="shared" si="321"/>
        <v>bez komentáře</v>
      </c>
      <c r="WP216" s="849" t="str">
        <f t="shared" si="321"/>
        <v>bez komentáře</v>
      </c>
      <c r="WQ216" s="849" t="str">
        <f t="shared" si="321"/>
        <v>Konečná výše dotace z rozpočtu KHK bude řešena v návaznosti na řešení podílů jednotlivých zadavatelů.</v>
      </c>
      <c r="WR216" s="849" t="str">
        <f t="shared" si="321"/>
        <v>Konečná výše podpory ze stran obcí bude řešena v součinnosti s jednotlivými zadavateli v průběhu roku.</v>
      </c>
      <c r="WS216" s="849" t="str">
        <f t="shared" si="321"/>
        <v>bez komentáře</v>
      </c>
      <c r="WT216" s="849" t="str">
        <f t="shared" si="321"/>
        <v>bez komentáře</v>
      </c>
      <c r="WU216" s="845"/>
    </row>
    <row r="217" spans="1:619" s="128" customFormat="1" x14ac:dyDescent="0.25">
      <c r="A217" s="128" t="str">
        <f>VLOOKUP(F217,'Výpočet VP 2020'!$D$324:$I$588,6,FALSE)</f>
        <v>Je v síti</v>
      </c>
      <c r="B217" s="128" t="s">
        <v>909</v>
      </c>
      <c r="C217" s="128">
        <v>67440185</v>
      </c>
      <c r="D217" s="128" t="s">
        <v>910</v>
      </c>
      <c r="E217" s="128" t="s">
        <v>242</v>
      </c>
      <c r="F217" s="128">
        <v>4533728</v>
      </c>
      <c r="G217" s="128" t="s">
        <v>342</v>
      </c>
      <c r="H217" s="128" t="s">
        <v>230</v>
      </c>
      <c r="I217" s="128" t="s">
        <v>911</v>
      </c>
      <c r="J217" s="129">
        <v>38450</v>
      </c>
      <c r="L217" s="128" t="s">
        <v>220</v>
      </c>
      <c r="X217" s="128" t="s">
        <v>912</v>
      </c>
      <c r="Z217" s="128">
        <v>2</v>
      </c>
      <c r="AA217" s="128">
        <v>6</v>
      </c>
      <c r="AB217" s="128">
        <v>97</v>
      </c>
      <c r="AC217" s="128">
        <v>130</v>
      </c>
      <c r="AD217" s="128">
        <v>145</v>
      </c>
      <c r="AP217" s="128" t="s">
        <v>913</v>
      </c>
      <c r="AQ217" s="128">
        <v>7</v>
      </c>
      <c r="AR217" s="128">
        <v>20</v>
      </c>
      <c r="AS217" s="128">
        <v>69</v>
      </c>
      <c r="AT217" s="128">
        <v>125</v>
      </c>
      <c r="AU217" s="128">
        <v>134</v>
      </c>
      <c r="BL217" s="128" t="s">
        <v>278</v>
      </c>
      <c r="BM217" s="128" t="s">
        <v>279</v>
      </c>
      <c r="BN217" s="128" t="s">
        <v>347</v>
      </c>
      <c r="EK217" s="128">
        <v>5</v>
      </c>
      <c r="EL217" s="128">
        <v>4.25</v>
      </c>
      <c r="EM217" s="128">
        <v>5.13</v>
      </c>
      <c r="EN217" s="128">
        <v>2291065</v>
      </c>
      <c r="EO217" s="128">
        <v>1891065</v>
      </c>
      <c r="EP217" s="128">
        <v>1</v>
      </c>
      <c r="EQ217" s="128">
        <v>1</v>
      </c>
      <c r="ER217" s="128">
        <v>0.74</v>
      </c>
      <c r="ES217" s="128">
        <v>424780</v>
      </c>
      <c r="ET217" s="128">
        <v>424780</v>
      </c>
      <c r="FO217" s="128">
        <v>5</v>
      </c>
      <c r="FP217" s="128">
        <v>1.73</v>
      </c>
      <c r="FQ217" s="128">
        <v>1.53</v>
      </c>
      <c r="FR217" s="128">
        <v>935400</v>
      </c>
      <c r="FS217" s="128">
        <v>935400</v>
      </c>
      <c r="IN217" s="128">
        <v>2</v>
      </c>
      <c r="IO217" s="128">
        <v>600</v>
      </c>
      <c r="IP217" s="128">
        <v>0.28599999999999998</v>
      </c>
      <c r="IQ217" s="128">
        <v>84000</v>
      </c>
      <c r="IR217" s="128">
        <v>84000</v>
      </c>
      <c r="IS217" s="128">
        <v>1</v>
      </c>
      <c r="IT217" s="128">
        <v>30</v>
      </c>
      <c r="IU217" s="128">
        <v>1.4E-2</v>
      </c>
      <c r="IV217" s="128">
        <v>15000</v>
      </c>
      <c r="IW217" s="128">
        <v>15000</v>
      </c>
      <c r="KG217" s="128">
        <v>0</v>
      </c>
      <c r="KI217" s="128">
        <v>5.25</v>
      </c>
      <c r="KJ217" s="128">
        <v>0</v>
      </c>
      <c r="KK217" s="128">
        <v>0.28599999999999998</v>
      </c>
      <c r="KL217" s="128">
        <v>0</v>
      </c>
      <c r="KM217" s="128">
        <v>5.5359999999999996</v>
      </c>
      <c r="KN217" s="128">
        <v>3651245</v>
      </c>
      <c r="KO217" s="128">
        <v>3251245</v>
      </c>
      <c r="KP217" s="128">
        <v>3251245</v>
      </c>
      <c r="KT217" s="128">
        <v>0</v>
      </c>
      <c r="KU217" s="128">
        <v>0</v>
      </c>
      <c r="KV217" s="128">
        <v>0</v>
      </c>
      <c r="KZ217" s="128">
        <v>99000</v>
      </c>
      <c r="LA217" s="128">
        <v>99000</v>
      </c>
      <c r="LB217" s="128">
        <v>99000</v>
      </c>
      <c r="LF217" s="128">
        <v>7000</v>
      </c>
      <c r="LG217" s="128">
        <v>7000</v>
      </c>
      <c r="LH217" s="128">
        <v>7000</v>
      </c>
      <c r="LL217" s="128">
        <v>15000</v>
      </c>
      <c r="LM217" s="128">
        <v>15000</v>
      </c>
      <c r="LN217" s="128">
        <v>15000</v>
      </c>
      <c r="LR217" s="128">
        <v>20000</v>
      </c>
      <c r="LS217" s="128">
        <v>20000</v>
      </c>
      <c r="LT217" s="128">
        <v>20000</v>
      </c>
      <c r="LX217" s="128">
        <v>1000</v>
      </c>
      <c r="LY217" s="128">
        <v>0</v>
      </c>
      <c r="LZ217" s="128">
        <v>0</v>
      </c>
      <c r="MD217" s="128">
        <v>28400</v>
      </c>
      <c r="ME217" s="128">
        <v>28400</v>
      </c>
      <c r="MF217" s="128">
        <v>28400</v>
      </c>
      <c r="MJ217" s="128">
        <v>1500</v>
      </c>
      <c r="MK217" s="128">
        <v>0</v>
      </c>
      <c r="ML217" s="128">
        <v>0</v>
      </c>
      <c r="MP217" s="128">
        <v>79000</v>
      </c>
      <c r="MQ217" s="128">
        <v>79000</v>
      </c>
      <c r="MR217" s="128">
        <v>79000</v>
      </c>
      <c r="MV217" s="128">
        <v>77000</v>
      </c>
      <c r="MW217" s="128">
        <v>77000</v>
      </c>
      <c r="MX217" s="128">
        <v>77000</v>
      </c>
      <c r="NB217" s="128">
        <v>64500</v>
      </c>
      <c r="NC217" s="128">
        <v>64500</v>
      </c>
      <c r="ND217" s="128">
        <v>64500</v>
      </c>
      <c r="NH217" s="128">
        <v>199300</v>
      </c>
      <c r="NI217" s="128">
        <v>135800</v>
      </c>
      <c r="NJ217" s="128">
        <v>135800</v>
      </c>
      <c r="NN217" s="128">
        <v>142800</v>
      </c>
      <c r="NO217" s="128">
        <v>69100</v>
      </c>
      <c r="NP217" s="128">
        <v>69100</v>
      </c>
      <c r="NT217" s="128">
        <v>41400</v>
      </c>
      <c r="NU217" s="128">
        <v>35000</v>
      </c>
      <c r="NV217" s="128">
        <v>35000</v>
      </c>
      <c r="NZ217" s="128">
        <v>2400</v>
      </c>
      <c r="OA217" s="128">
        <v>0</v>
      </c>
      <c r="OB217" s="128">
        <v>0</v>
      </c>
      <c r="OF217" s="128">
        <v>15000</v>
      </c>
      <c r="OG217" s="128">
        <v>0</v>
      </c>
      <c r="OH217" s="128">
        <v>0</v>
      </c>
      <c r="OL217" s="128">
        <v>0</v>
      </c>
      <c r="OM217" s="128">
        <v>0</v>
      </c>
      <c r="ON217" s="128">
        <v>0</v>
      </c>
      <c r="OR217" s="128">
        <v>0</v>
      </c>
      <c r="OS217" s="128">
        <v>0</v>
      </c>
      <c r="OT217" s="128">
        <v>0</v>
      </c>
      <c r="OX217" s="128">
        <v>183500</v>
      </c>
      <c r="OY217" s="128">
        <v>100850</v>
      </c>
      <c r="OZ217" s="128">
        <v>100850</v>
      </c>
      <c r="PD217" s="128">
        <v>0</v>
      </c>
      <c r="PE217" s="128">
        <v>0</v>
      </c>
      <c r="PF217" s="128">
        <v>0</v>
      </c>
      <c r="PJ217" s="128">
        <v>31750</v>
      </c>
      <c r="PK217" s="128">
        <v>31750</v>
      </c>
      <c r="PL217" s="128">
        <v>31750</v>
      </c>
      <c r="PP217" s="128">
        <v>4659795</v>
      </c>
      <c r="PQ217" s="128">
        <v>4013645</v>
      </c>
      <c r="PR217" s="128">
        <v>4013645</v>
      </c>
      <c r="PS217" s="128">
        <v>100</v>
      </c>
      <c r="PT217" s="128">
        <v>100</v>
      </c>
      <c r="PX217" s="128">
        <v>435108</v>
      </c>
      <c r="PY217" s="128">
        <v>2167520</v>
      </c>
      <c r="PZ217" s="128">
        <v>4013645</v>
      </c>
      <c r="QA217" s="128">
        <v>0</v>
      </c>
      <c r="QB217" s="128">
        <v>0</v>
      </c>
      <c r="QC217" s="128">
        <v>0</v>
      </c>
      <c r="QD217" s="128">
        <v>0</v>
      </c>
      <c r="QE217" s="128">
        <v>0</v>
      </c>
      <c r="QF217" s="128">
        <v>0</v>
      </c>
      <c r="QG217" s="128">
        <v>0</v>
      </c>
      <c r="QH217" s="128">
        <v>0</v>
      </c>
      <c r="QI217" s="128">
        <v>0</v>
      </c>
      <c r="QJ217" s="128">
        <v>0</v>
      </c>
      <c r="QK217" s="128">
        <v>0</v>
      </c>
      <c r="QL217" s="128">
        <v>0</v>
      </c>
      <c r="QN217" s="128">
        <v>0</v>
      </c>
      <c r="QO217" s="128">
        <v>0</v>
      </c>
      <c r="QP217" s="128">
        <v>0</v>
      </c>
      <c r="QU217" s="128">
        <v>0</v>
      </c>
      <c r="QV217" s="128">
        <v>137043</v>
      </c>
      <c r="QW217" s="128">
        <v>300000</v>
      </c>
      <c r="QX217" s="128">
        <v>274000</v>
      </c>
      <c r="QY217" s="128">
        <v>212400</v>
      </c>
      <c r="QZ217" s="128">
        <v>342000</v>
      </c>
      <c r="RA217" s="128">
        <v>3105000</v>
      </c>
      <c r="RB217" s="128">
        <v>1721401</v>
      </c>
      <c r="RC217" s="128">
        <v>0</v>
      </c>
      <c r="RD217" s="128">
        <v>7121</v>
      </c>
      <c r="RE217" s="128">
        <v>4150</v>
      </c>
      <c r="RF217" s="128">
        <v>4150</v>
      </c>
      <c r="RH217" s="128">
        <f t="shared" si="412"/>
        <v>4659795</v>
      </c>
      <c r="RI217" s="128">
        <v>0</v>
      </c>
      <c r="RM217" s="128" t="s">
        <v>220</v>
      </c>
      <c r="RU217" s="130"/>
      <c r="RV217" s="130"/>
      <c r="RW217" s="130"/>
      <c r="RX217" s="130"/>
      <c r="SF217" s="128">
        <f t="shared" si="322"/>
        <v>4533728</v>
      </c>
      <c r="SG217" s="131">
        <f t="shared" si="323"/>
        <v>4659795</v>
      </c>
      <c r="SH217" s="131">
        <f t="shared" si="324"/>
        <v>4659795</v>
      </c>
      <c r="SI217" s="131">
        <f t="shared" si="325"/>
        <v>3757245</v>
      </c>
      <c r="SJ217" s="132">
        <f t="shared" si="326"/>
        <v>3651245</v>
      </c>
      <c r="SK217" s="132">
        <f t="shared" si="327"/>
        <v>0</v>
      </c>
      <c r="SL217" s="132">
        <f t="shared" si="328"/>
        <v>99000</v>
      </c>
      <c r="SM217" s="132">
        <f t="shared" si="329"/>
        <v>7000</v>
      </c>
      <c r="SN217" s="131">
        <f t="shared" si="330"/>
        <v>902550</v>
      </c>
      <c r="SO217" s="131">
        <f t="shared" si="331"/>
        <v>35000</v>
      </c>
      <c r="SP217" s="132">
        <f t="shared" si="332"/>
        <v>15000</v>
      </c>
      <c r="SQ217" s="132">
        <f t="shared" si="333"/>
        <v>20000</v>
      </c>
      <c r="SR217" s="132">
        <f t="shared" si="334"/>
        <v>1000</v>
      </c>
      <c r="SS217" s="132">
        <f t="shared" si="335"/>
        <v>28400</v>
      </c>
      <c r="ST217" s="132">
        <f t="shared" si="336"/>
        <v>1500</v>
      </c>
      <c r="SU217" s="132">
        <f t="shared" si="337"/>
        <v>79000</v>
      </c>
      <c r="SV217" s="131">
        <f t="shared" si="338"/>
        <v>725900</v>
      </c>
      <c r="SW217" s="132">
        <f t="shared" si="339"/>
        <v>77000</v>
      </c>
      <c r="SX217" s="132">
        <f t="shared" si="340"/>
        <v>64500</v>
      </c>
      <c r="SY217" s="132">
        <f t="shared" si="341"/>
        <v>199300</v>
      </c>
      <c r="SZ217" s="132">
        <f t="shared" si="342"/>
        <v>142800</v>
      </c>
      <c r="TA217" s="132">
        <f t="shared" si="343"/>
        <v>41400</v>
      </c>
      <c r="TB217" s="132">
        <f t="shared" si="344"/>
        <v>2400</v>
      </c>
      <c r="TC217" s="132">
        <f t="shared" si="345"/>
        <v>15000</v>
      </c>
      <c r="TD217" s="132">
        <f t="shared" si="346"/>
        <v>0</v>
      </c>
      <c r="TE217" s="132">
        <f t="shared" si="347"/>
        <v>0</v>
      </c>
      <c r="TF217" s="132">
        <f t="shared" si="348"/>
        <v>183500</v>
      </c>
      <c r="TG217" s="132">
        <f t="shared" si="349"/>
        <v>0</v>
      </c>
      <c r="TH217" s="132">
        <f t="shared" si="350"/>
        <v>31750</v>
      </c>
      <c r="TI217" s="1"/>
      <c r="TJ217" s="131">
        <f t="shared" si="351"/>
        <v>4013645</v>
      </c>
      <c r="TK217" s="131">
        <f t="shared" si="352"/>
        <v>4013645</v>
      </c>
      <c r="TL217" s="131">
        <f t="shared" si="353"/>
        <v>3357245</v>
      </c>
      <c r="TM217" s="132">
        <f t="shared" si="354"/>
        <v>3251245</v>
      </c>
      <c r="TN217" s="132">
        <f t="shared" si="355"/>
        <v>0</v>
      </c>
      <c r="TO217" s="132">
        <f t="shared" si="356"/>
        <v>99000</v>
      </c>
      <c r="TP217" s="132">
        <f t="shared" si="357"/>
        <v>7000</v>
      </c>
      <c r="TQ217" s="131">
        <f t="shared" si="358"/>
        <v>656400</v>
      </c>
      <c r="TR217" s="131">
        <f t="shared" si="359"/>
        <v>35000</v>
      </c>
      <c r="TS217" s="132">
        <f t="shared" si="360"/>
        <v>15000</v>
      </c>
      <c r="TT217" s="132">
        <f t="shared" si="361"/>
        <v>20000</v>
      </c>
      <c r="TU217" s="132">
        <f t="shared" si="362"/>
        <v>0</v>
      </c>
      <c r="TV217" s="132">
        <f t="shared" si="363"/>
        <v>28400</v>
      </c>
      <c r="TW217" s="132">
        <f t="shared" si="364"/>
        <v>0</v>
      </c>
      <c r="TX217" s="132">
        <f t="shared" si="365"/>
        <v>79000</v>
      </c>
      <c r="TY217" s="131">
        <f t="shared" si="366"/>
        <v>482250</v>
      </c>
      <c r="TZ217" s="132">
        <f t="shared" si="367"/>
        <v>77000</v>
      </c>
      <c r="UA217" s="132">
        <f t="shared" si="368"/>
        <v>64500</v>
      </c>
      <c r="UB217" s="132">
        <f t="shared" si="369"/>
        <v>135800</v>
      </c>
      <c r="UC217" s="132">
        <f t="shared" si="370"/>
        <v>69100</v>
      </c>
      <c r="UD217" s="132">
        <f t="shared" si="371"/>
        <v>35000</v>
      </c>
      <c r="UE217" s="132">
        <f t="shared" si="372"/>
        <v>0</v>
      </c>
      <c r="UF217" s="132">
        <f t="shared" si="373"/>
        <v>0</v>
      </c>
      <c r="UG217" s="132">
        <f t="shared" si="374"/>
        <v>0</v>
      </c>
      <c r="UH217" s="132">
        <f t="shared" si="375"/>
        <v>0</v>
      </c>
      <c r="UI217" s="132">
        <f t="shared" si="376"/>
        <v>100850</v>
      </c>
      <c r="UJ217" s="132">
        <f t="shared" si="377"/>
        <v>0</v>
      </c>
      <c r="UK217" s="132">
        <f t="shared" si="378"/>
        <v>31750</v>
      </c>
      <c r="UL217" s="132">
        <f t="shared" si="413"/>
        <v>4013645</v>
      </c>
      <c r="UM217" s="131">
        <f t="shared" si="379"/>
        <v>4013645</v>
      </c>
      <c r="UN217" s="131">
        <f t="shared" si="380"/>
        <v>4013645</v>
      </c>
      <c r="UO217" s="131">
        <f t="shared" si="381"/>
        <v>3357245</v>
      </c>
      <c r="UP217" s="132">
        <f t="shared" si="382"/>
        <v>3251245</v>
      </c>
      <c r="UQ217" s="132">
        <f t="shared" si="383"/>
        <v>0</v>
      </c>
      <c r="UR217" s="132">
        <f t="shared" si="384"/>
        <v>99000</v>
      </c>
      <c r="US217" s="132">
        <f t="shared" si="385"/>
        <v>7000</v>
      </c>
      <c r="UT217" s="131">
        <f t="shared" si="386"/>
        <v>656400</v>
      </c>
      <c r="UU217" s="131">
        <f t="shared" si="387"/>
        <v>35000</v>
      </c>
      <c r="UV217" s="132">
        <f t="shared" si="388"/>
        <v>15000</v>
      </c>
      <c r="UW217" s="132">
        <f t="shared" si="389"/>
        <v>20000</v>
      </c>
      <c r="UX217" s="132">
        <f t="shared" si="390"/>
        <v>0</v>
      </c>
      <c r="UY217" s="132">
        <f t="shared" si="391"/>
        <v>28400</v>
      </c>
      <c r="UZ217" s="132">
        <f t="shared" si="392"/>
        <v>0</v>
      </c>
      <c r="VA217" s="132">
        <f t="shared" si="393"/>
        <v>79000</v>
      </c>
      <c r="VB217" s="131">
        <f t="shared" si="394"/>
        <v>482250</v>
      </c>
      <c r="VC217" s="132">
        <f t="shared" si="395"/>
        <v>77000</v>
      </c>
      <c r="VD217" s="132">
        <f t="shared" si="396"/>
        <v>64500</v>
      </c>
      <c r="VE217" s="132">
        <f t="shared" si="397"/>
        <v>135800</v>
      </c>
      <c r="VF217" s="132">
        <f t="shared" si="398"/>
        <v>69100</v>
      </c>
      <c r="VG217" s="132">
        <f t="shared" si="399"/>
        <v>35000</v>
      </c>
      <c r="VH217" s="132">
        <f t="shared" si="400"/>
        <v>0</v>
      </c>
      <c r="VI217" s="132">
        <f t="shared" si="401"/>
        <v>0</v>
      </c>
      <c r="VJ217" s="132">
        <f t="shared" si="402"/>
        <v>0</v>
      </c>
      <c r="VK217" s="132">
        <f t="shared" si="403"/>
        <v>0</v>
      </c>
      <c r="VL217" s="132">
        <f t="shared" si="404"/>
        <v>100850</v>
      </c>
      <c r="VM217" s="132">
        <f t="shared" si="405"/>
        <v>0</v>
      </c>
      <c r="VN217" s="132">
        <f t="shared" si="406"/>
        <v>31750</v>
      </c>
      <c r="VP217" s="845" t="str">
        <f>IFERROR(HLOOKUP(F217,'Hodnocení '!$C$1:$JH$5,2,FALSE),0)</f>
        <v>Centrum Semafor</v>
      </c>
      <c r="VQ217" s="838"/>
      <c r="VR217" s="845" t="str">
        <f t="shared" si="414"/>
        <v>Spolek</v>
      </c>
      <c r="VS217" s="845" t="str">
        <f>IFERROR(HLOOKUP(F217,'Hodnocení '!$C$1:$JH$5,5,FALSE),0)</f>
        <v>NZO</v>
      </c>
      <c r="VT217" s="838">
        <f t="shared" si="415"/>
        <v>0</v>
      </c>
      <c r="VU217" s="838">
        <f t="shared" si="416"/>
        <v>0</v>
      </c>
      <c r="VV217" s="838">
        <f t="shared" si="417"/>
        <v>0</v>
      </c>
      <c r="VW217" s="838">
        <f t="shared" si="418"/>
        <v>0</v>
      </c>
      <c r="VX217" s="838"/>
      <c r="VY217" s="838">
        <f t="shared" si="419"/>
        <v>0</v>
      </c>
      <c r="VZ217" s="838">
        <f t="shared" si="420"/>
        <v>4013645</v>
      </c>
      <c r="WA217" s="846">
        <f>IFERROR(HLOOKUP($F217,'Hodnocení '!$C$1:$JH$9,9,FALSE),0)</f>
        <v>4013645</v>
      </c>
      <c r="WB217" s="846">
        <f>IF(IFERROR(HLOOKUP($F217,'Hodnocení '!$C$1:$JH$13,13,FALSE),0)&gt;WA217,WA217,IFERROR(HLOOKUP($F217,'Hodnocení '!$C$1:$JH$13,13,FALSE),0))</f>
        <v>4013645</v>
      </c>
      <c r="WC217" s="846">
        <f>IFERROR(HLOOKUP($F217,'Hodnocení '!$C$1:$JH$155,155,FALSE),0)</f>
        <v>3939650</v>
      </c>
      <c r="WD217" s="845"/>
      <c r="WE217" s="845"/>
      <c r="WF217" s="845" t="str">
        <f t="shared" si="407"/>
        <v>ANO</v>
      </c>
      <c r="WG217" s="849" t="str">
        <f t="shared" si="320"/>
        <v>Podpora služby je vyjádřena zařazením do sítě sociálních služeb v KHK a řešením financování služby</v>
      </c>
      <c r="WH217"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17" s="849" t="str">
        <f t="shared" si="320"/>
        <v>Návrh dotace je výsledkem projednání s ostatními zadavateli v rámci sítě služeb KHK</v>
      </c>
      <c r="WJ217" s="849" t="str">
        <f t="shared" si="320"/>
        <v>Bez komentáře</v>
      </c>
      <c r="WK217" s="31">
        <f t="shared" si="408"/>
        <v>0</v>
      </c>
      <c r="WL217" s="850">
        <f t="shared" si="409"/>
        <v>0</v>
      </c>
      <c r="WM217" s="849">
        <f t="shared" si="410"/>
        <v>0</v>
      </c>
      <c r="WN217" s="849">
        <f t="shared" si="411"/>
        <v>0</v>
      </c>
      <c r="WO217" s="849" t="str">
        <f t="shared" si="321"/>
        <v>bez komentáře</v>
      </c>
      <c r="WP217" s="849" t="str">
        <f t="shared" si="321"/>
        <v>bez komentáře</v>
      </c>
      <c r="WQ217" s="849" t="str">
        <f t="shared" si="321"/>
        <v>Konečná výše dotace z rozpočtu KHK bude řešena v návaznosti na řešení podílů jednotlivých zadavatelů.</v>
      </c>
      <c r="WR217" s="849" t="str">
        <f t="shared" si="321"/>
        <v>Konečná výše podpory ze stran obcí bude řešena v součinnosti s jednotlivými zadavateli v průběhu roku.</v>
      </c>
      <c r="WS217" s="849" t="str">
        <f t="shared" si="321"/>
        <v>bez komentáře</v>
      </c>
      <c r="WT217" s="849" t="str">
        <f t="shared" si="321"/>
        <v>bez komentáře</v>
      </c>
      <c r="WU217" s="845"/>
    </row>
    <row r="218" spans="1:619" s="128" customFormat="1" x14ac:dyDescent="0.25">
      <c r="A218" s="128" t="str">
        <f>VLOOKUP(F218,'Výpočet VP 2020'!$D$324:$I$588,6,FALSE)</f>
        <v>Je v síti</v>
      </c>
      <c r="B218" s="128" t="s">
        <v>909</v>
      </c>
      <c r="C218" s="128">
        <v>67440185</v>
      </c>
      <c r="D218" s="128" t="s">
        <v>910</v>
      </c>
      <c r="E218" s="128" t="s">
        <v>242</v>
      </c>
      <c r="F218" s="128">
        <v>8411392</v>
      </c>
      <c r="G218" s="128" t="s">
        <v>538</v>
      </c>
      <c r="H218" s="128" t="s">
        <v>230</v>
      </c>
      <c r="I218" s="128" t="s">
        <v>914</v>
      </c>
      <c r="J218" s="129">
        <v>36927</v>
      </c>
      <c r="L218" s="128" t="s">
        <v>220</v>
      </c>
      <c r="X218" s="128" t="s">
        <v>915</v>
      </c>
      <c r="Z218" s="128">
        <v>57</v>
      </c>
      <c r="AA218" s="128">
        <v>90</v>
      </c>
      <c r="AB218" s="128">
        <v>309</v>
      </c>
      <c r="AC218" s="128">
        <v>400</v>
      </c>
      <c r="AD218" s="128">
        <v>380</v>
      </c>
      <c r="AP218" s="128" t="s">
        <v>916</v>
      </c>
      <c r="AQ218" s="128">
        <v>15</v>
      </c>
      <c r="AR218" s="128">
        <v>24</v>
      </c>
      <c r="AS218" s="128">
        <v>309</v>
      </c>
      <c r="AT218" s="128">
        <v>400</v>
      </c>
      <c r="AU218" s="128">
        <v>380</v>
      </c>
      <c r="BL218" s="128" t="s">
        <v>917</v>
      </c>
      <c r="BM218" s="128" t="s">
        <v>542</v>
      </c>
      <c r="BN218" s="128" t="s">
        <v>567</v>
      </c>
      <c r="EK218" s="128">
        <v>7</v>
      </c>
      <c r="EL218" s="128">
        <v>6.25</v>
      </c>
      <c r="EM218" s="128">
        <v>5.45</v>
      </c>
      <c r="EN218" s="128">
        <v>2719865</v>
      </c>
      <c r="EO218" s="128">
        <v>2336865</v>
      </c>
      <c r="FO218" s="128">
        <v>5</v>
      </c>
      <c r="FP218" s="128">
        <v>1.6</v>
      </c>
      <c r="FQ218" s="128">
        <v>1.52</v>
      </c>
      <c r="FR218" s="128">
        <v>908808</v>
      </c>
      <c r="FS218" s="128">
        <v>908808</v>
      </c>
      <c r="IN218" s="128">
        <v>2</v>
      </c>
      <c r="IO218" s="128">
        <v>600</v>
      </c>
      <c r="IP218" s="128">
        <v>0.28599999999999998</v>
      </c>
      <c r="IQ218" s="128">
        <v>78000</v>
      </c>
      <c r="IR218" s="128">
        <v>78000</v>
      </c>
      <c r="IS218" s="128">
        <v>4</v>
      </c>
      <c r="IT218" s="128">
        <v>686</v>
      </c>
      <c r="IU218" s="128">
        <v>0.32700000000000001</v>
      </c>
      <c r="IV218" s="128">
        <v>57800</v>
      </c>
      <c r="IW218" s="128">
        <v>57800</v>
      </c>
      <c r="KG218" s="128">
        <v>3</v>
      </c>
      <c r="KH218" s="128">
        <v>80</v>
      </c>
      <c r="KI218" s="128">
        <v>6.25</v>
      </c>
      <c r="KJ218" s="128">
        <v>0</v>
      </c>
      <c r="KK218" s="128">
        <v>0.28599999999999998</v>
      </c>
      <c r="KL218" s="128">
        <v>0</v>
      </c>
      <c r="KM218" s="128">
        <v>6.5359999999999996</v>
      </c>
      <c r="KN218" s="128">
        <v>3628673</v>
      </c>
      <c r="KO218" s="128">
        <v>3245673</v>
      </c>
      <c r="KP218" s="128">
        <v>3245673</v>
      </c>
      <c r="KT218" s="128">
        <v>0</v>
      </c>
      <c r="KU218" s="128">
        <v>0</v>
      </c>
      <c r="KV218" s="128">
        <v>0</v>
      </c>
      <c r="KZ218" s="128">
        <v>135800</v>
      </c>
      <c r="LA218" s="128">
        <v>135800</v>
      </c>
      <c r="LB218" s="128">
        <v>135800</v>
      </c>
      <c r="LF218" s="128">
        <v>7000</v>
      </c>
      <c r="LG218" s="128">
        <v>7000</v>
      </c>
      <c r="LH218" s="128">
        <v>7000</v>
      </c>
      <c r="LL218" s="128">
        <v>15000</v>
      </c>
      <c r="LM218" s="128">
        <v>15000</v>
      </c>
      <c r="LN218" s="128">
        <v>15000</v>
      </c>
      <c r="LR218" s="128">
        <v>18900</v>
      </c>
      <c r="LS218" s="128">
        <v>18900</v>
      </c>
      <c r="LT218" s="128">
        <v>18900</v>
      </c>
      <c r="LX218" s="128">
        <v>5000</v>
      </c>
      <c r="LY218" s="128">
        <v>5000</v>
      </c>
      <c r="LZ218" s="128">
        <v>5000</v>
      </c>
      <c r="MD218" s="128">
        <v>27800</v>
      </c>
      <c r="ME218" s="128">
        <v>27800</v>
      </c>
      <c r="MF218" s="128">
        <v>27800</v>
      </c>
      <c r="MJ218" s="128">
        <v>1200</v>
      </c>
      <c r="MK218" s="128">
        <v>1200</v>
      </c>
      <c r="ML218" s="128">
        <v>1200</v>
      </c>
      <c r="MP218" s="128">
        <v>77500</v>
      </c>
      <c r="MQ218" s="128">
        <v>77500</v>
      </c>
      <c r="MR218" s="128">
        <v>77500</v>
      </c>
      <c r="MV218" s="128">
        <v>121990</v>
      </c>
      <c r="MW218" s="128">
        <v>121990</v>
      </c>
      <c r="MX218" s="128">
        <v>121990</v>
      </c>
      <c r="NB218" s="128">
        <v>34000</v>
      </c>
      <c r="NC218" s="128">
        <v>34000</v>
      </c>
      <c r="ND218" s="128">
        <v>34000</v>
      </c>
      <c r="NH218" s="128">
        <v>258800</v>
      </c>
      <c r="NI218" s="128">
        <v>250000</v>
      </c>
      <c r="NJ218" s="128">
        <v>250000</v>
      </c>
      <c r="NN218" s="128">
        <v>132600</v>
      </c>
      <c r="NO218" s="128">
        <v>102400</v>
      </c>
      <c r="NP218" s="128">
        <v>102400</v>
      </c>
      <c r="NT218" s="128">
        <v>35000</v>
      </c>
      <c r="NU218" s="128">
        <v>35000</v>
      </c>
      <c r="NV218" s="128">
        <v>35000</v>
      </c>
      <c r="NZ218" s="128">
        <v>15000</v>
      </c>
      <c r="OA218" s="128">
        <v>15000</v>
      </c>
      <c r="OB218" s="128">
        <v>15000</v>
      </c>
      <c r="OF218" s="128">
        <v>22600</v>
      </c>
      <c r="OG218" s="128">
        <v>22600</v>
      </c>
      <c r="OH218" s="128">
        <v>22600</v>
      </c>
      <c r="OL218" s="128">
        <v>0</v>
      </c>
      <c r="OM218" s="128">
        <v>0</v>
      </c>
      <c r="ON218" s="128">
        <v>0</v>
      </c>
      <c r="OR218" s="128">
        <v>0</v>
      </c>
      <c r="OS218" s="128">
        <v>0</v>
      </c>
      <c r="OT218" s="128">
        <v>0</v>
      </c>
      <c r="OX218" s="128">
        <v>168400</v>
      </c>
      <c r="OY218" s="128">
        <v>168400</v>
      </c>
      <c r="OZ218" s="128">
        <v>168400</v>
      </c>
      <c r="PD218" s="128">
        <v>0</v>
      </c>
      <c r="PE218" s="128">
        <v>0</v>
      </c>
      <c r="PF218" s="128">
        <v>0</v>
      </c>
      <c r="PJ218" s="128">
        <v>32500</v>
      </c>
      <c r="PK218" s="128">
        <v>32500</v>
      </c>
      <c r="PL218" s="128">
        <v>32500</v>
      </c>
      <c r="PP218" s="128">
        <v>4737763</v>
      </c>
      <c r="PQ218" s="128">
        <v>4315763</v>
      </c>
      <c r="PR218" s="128">
        <v>4315763</v>
      </c>
      <c r="PS218" s="128">
        <v>100</v>
      </c>
      <c r="PT218" s="128">
        <v>100</v>
      </c>
      <c r="PX218" s="128">
        <v>3608180</v>
      </c>
      <c r="PY218" s="128">
        <v>3871189</v>
      </c>
      <c r="PZ218" s="128">
        <v>4315763</v>
      </c>
      <c r="QA218" s="128">
        <v>0</v>
      </c>
      <c r="QB218" s="128">
        <v>0</v>
      </c>
      <c r="QC218" s="128">
        <v>0</v>
      </c>
      <c r="QD218" s="128">
        <v>0</v>
      </c>
      <c r="QE218" s="128">
        <v>0</v>
      </c>
      <c r="QF218" s="128">
        <v>0</v>
      </c>
      <c r="QG218" s="128">
        <v>0</v>
      </c>
      <c r="QH218" s="128">
        <v>0</v>
      </c>
      <c r="QI218" s="128">
        <v>0</v>
      </c>
      <c r="QJ218" s="128">
        <v>0</v>
      </c>
      <c r="QK218" s="128">
        <v>0</v>
      </c>
      <c r="QL218" s="128">
        <v>0</v>
      </c>
      <c r="QN218" s="128">
        <v>0</v>
      </c>
      <c r="QO218" s="128">
        <v>0</v>
      </c>
      <c r="QP218" s="128">
        <v>0</v>
      </c>
      <c r="QU218" s="128">
        <v>35553</v>
      </c>
      <c r="QV218" s="128">
        <v>174175</v>
      </c>
      <c r="QW218" s="128">
        <v>0</v>
      </c>
      <c r="QX218" s="128">
        <v>383000</v>
      </c>
      <c r="QY218" s="128">
        <v>383000</v>
      </c>
      <c r="QZ218" s="128">
        <v>415000</v>
      </c>
      <c r="RD218" s="128">
        <v>6400</v>
      </c>
      <c r="RE218" s="128">
        <v>7000</v>
      </c>
      <c r="RF218" s="128">
        <v>7000</v>
      </c>
      <c r="RH218" s="128">
        <f t="shared" si="412"/>
        <v>4737763</v>
      </c>
      <c r="RI218" s="128">
        <v>0</v>
      </c>
      <c r="RM218" s="128" t="s">
        <v>220</v>
      </c>
      <c r="RU218" s="130"/>
      <c r="RV218" s="130"/>
      <c r="RW218" s="130"/>
      <c r="RX218" s="130"/>
      <c r="SF218" s="128">
        <f t="shared" si="322"/>
        <v>8411392</v>
      </c>
      <c r="SG218" s="131">
        <f t="shared" si="323"/>
        <v>4737763</v>
      </c>
      <c r="SH218" s="131">
        <f t="shared" si="324"/>
        <v>4737763</v>
      </c>
      <c r="SI218" s="131">
        <f t="shared" si="325"/>
        <v>3771473</v>
      </c>
      <c r="SJ218" s="132">
        <f t="shared" si="326"/>
        <v>3628673</v>
      </c>
      <c r="SK218" s="132">
        <f t="shared" si="327"/>
        <v>0</v>
      </c>
      <c r="SL218" s="132">
        <f t="shared" si="328"/>
        <v>135800</v>
      </c>
      <c r="SM218" s="132">
        <f t="shared" si="329"/>
        <v>7000</v>
      </c>
      <c r="SN218" s="131">
        <f t="shared" si="330"/>
        <v>966290</v>
      </c>
      <c r="SO218" s="131">
        <f t="shared" si="331"/>
        <v>33900</v>
      </c>
      <c r="SP218" s="132">
        <f t="shared" si="332"/>
        <v>15000</v>
      </c>
      <c r="SQ218" s="132">
        <f t="shared" si="333"/>
        <v>18900</v>
      </c>
      <c r="SR218" s="132">
        <f t="shared" si="334"/>
        <v>5000</v>
      </c>
      <c r="SS218" s="132">
        <f t="shared" si="335"/>
        <v>27800</v>
      </c>
      <c r="ST218" s="132">
        <f t="shared" si="336"/>
        <v>1200</v>
      </c>
      <c r="SU218" s="132">
        <f t="shared" si="337"/>
        <v>77500</v>
      </c>
      <c r="SV218" s="131">
        <f t="shared" si="338"/>
        <v>788390</v>
      </c>
      <c r="SW218" s="132">
        <f t="shared" si="339"/>
        <v>121990</v>
      </c>
      <c r="SX218" s="132">
        <f t="shared" si="340"/>
        <v>34000</v>
      </c>
      <c r="SY218" s="132">
        <f t="shared" si="341"/>
        <v>258800</v>
      </c>
      <c r="SZ218" s="132">
        <f t="shared" si="342"/>
        <v>132600</v>
      </c>
      <c r="TA218" s="132">
        <f t="shared" si="343"/>
        <v>35000</v>
      </c>
      <c r="TB218" s="132">
        <f t="shared" si="344"/>
        <v>15000</v>
      </c>
      <c r="TC218" s="132">
        <f t="shared" si="345"/>
        <v>22600</v>
      </c>
      <c r="TD218" s="132">
        <f t="shared" si="346"/>
        <v>0</v>
      </c>
      <c r="TE218" s="132">
        <f t="shared" si="347"/>
        <v>0</v>
      </c>
      <c r="TF218" s="132">
        <f t="shared" si="348"/>
        <v>168400</v>
      </c>
      <c r="TG218" s="132">
        <f t="shared" si="349"/>
        <v>0</v>
      </c>
      <c r="TH218" s="132">
        <f t="shared" si="350"/>
        <v>32500</v>
      </c>
      <c r="TI218" s="1"/>
      <c r="TJ218" s="131">
        <f t="shared" si="351"/>
        <v>4315763</v>
      </c>
      <c r="TK218" s="131">
        <f t="shared" si="352"/>
        <v>4315763</v>
      </c>
      <c r="TL218" s="131">
        <f t="shared" si="353"/>
        <v>3388473</v>
      </c>
      <c r="TM218" s="132">
        <f t="shared" si="354"/>
        <v>3245673</v>
      </c>
      <c r="TN218" s="132">
        <f t="shared" si="355"/>
        <v>0</v>
      </c>
      <c r="TO218" s="132">
        <f t="shared" si="356"/>
        <v>135800</v>
      </c>
      <c r="TP218" s="132">
        <f t="shared" si="357"/>
        <v>7000</v>
      </c>
      <c r="TQ218" s="131">
        <f t="shared" si="358"/>
        <v>927290</v>
      </c>
      <c r="TR218" s="131">
        <f t="shared" si="359"/>
        <v>33900</v>
      </c>
      <c r="TS218" s="132">
        <f t="shared" si="360"/>
        <v>15000</v>
      </c>
      <c r="TT218" s="132">
        <f t="shared" si="361"/>
        <v>18900</v>
      </c>
      <c r="TU218" s="132">
        <f t="shared" si="362"/>
        <v>5000</v>
      </c>
      <c r="TV218" s="132">
        <f t="shared" si="363"/>
        <v>27800</v>
      </c>
      <c r="TW218" s="132">
        <f t="shared" si="364"/>
        <v>1200</v>
      </c>
      <c r="TX218" s="132">
        <f t="shared" si="365"/>
        <v>77500</v>
      </c>
      <c r="TY218" s="131">
        <f t="shared" si="366"/>
        <v>749390</v>
      </c>
      <c r="TZ218" s="132">
        <f t="shared" si="367"/>
        <v>121990</v>
      </c>
      <c r="UA218" s="132">
        <f t="shared" si="368"/>
        <v>34000</v>
      </c>
      <c r="UB218" s="132">
        <f t="shared" si="369"/>
        <v>250000</v>
      </c>
      <c r="UC218" s="132">
        <f t="shared" si="370"/>
        <v>102400</v>
      </c>
      <c r="UD218" s="132">
        <f t="shared" si="371"/>
        <v>35000</v>
      </c>
      <c r="UE218" s="132">
        <f t="shared" si="372"/>
        <v>15000</v>
      </c>
      <c r="UF218" s="132">
        <f t="shared" si="373"/>
        <v>22600</v>
      </c>
      <c r="UG218" s="132">
        <f t="shared" si="374"/>
        <v>0</v>
      </c>
      <c r="UH218" s="132">
        <f t="shared" si="375"/>
        <v>0</v>
      </c>
      <c r="UI218" s="132">
        <f t="shared" si="376"/>
        <v>168400</v>
      </c>
      <c r="UJ218" s="132">
        <f t="shared" si="377"/>
        <v>0</v>
      </c>
      <c r="UK218" s="132">
        <f t="shared" si="378"/>
        <v>32500</v>
      </c>
      <c r="UL218" s="132">
        <f t="shared" si="413"/>
        <v>4315763</v>
      </c>
      <c r="UM218" s="131">
        <f t="shared" si="379"/>
        <v>4315763</v>
      </c>
      <c r="UN218" s="131">
        <f t="shared" si="380"/>
        <v>4315763</v>
      </c>
      <c r="UO218" s="131">
        <f t="shared" si="381"/>
        <v>3388473</v>
      </c>
      <c r="UP218" s="132">
        <f t="shared" si="382"/>
        <v>3245673</v>
      </c>
      <c r="UQ218" s="132">
        <f t="shared" si="383"/>
        <v>0</v>
      </c>
      <c r="UR218" s="132">
        <f t="shared" si="384"/>
        <v>135800</v>
      </c>
      <c r="US218" s="132">
        <f t="shared" si="385"/>
        <v>7000</v>
      </c>
      <c r="UT218" s="131">
        <f t="shared" si="386"/>
        <v>927290</v>
      </c>
      <c r="UU218" s="131">
        <f t="shared" si="387"/>
        <v>33900</v>
      </c>
      <c r="UV218" s="132">
        <f t="shared" si="388"/>
        <v>15000</v>
      </c>
      <c r="UW218" s="132">
        <f t="shared" si="389"/>
        <v>18900</v>
      </c>
      <c r="UX218" s="132">
        <f t="shared" si="390"/>
        <v>5000</v>
      </c>
      <c r="UY218" s="132">
        <f t="shared" si="391"/>
        <v>27800</v>
      </c>
      <c r="UZ218" s="132">
        <f t="shared" si="392"/>
        <v>1200</v>
      </c>
      <c r="VA218" s="132">
        <f t="shared" si="393"/>
        <v>77500</v>
      </c>
      <c r="VB218" s="131">
        <f t="shared" si="394"/>
        <v>749390</v>
      </c>
      <c r="VC218" s="132">
        <f t="shared" si="395"/>
        <v>121990</v>
      </c>
      <c r="VD218" s="132">
        <f t="shared" si="396"/>
        <v>34000</v>
      </c>
      <c r="VE218" s="132">
        <f t="shared" si="397"/>
        <v>250000</v>
      </c>
      <c r="VF218" s="132">
        <f t="shared" si="398"/>
        <v>102400</v>
      </c>
      <c r="VG218" s="132">
        <f t="shared" si="399"/>
        <v>35000</v>
      </c>
      <c r="VH218" s="132">
        <f t="shared" si="400"/>
        <v>15000</v>
      </c>
      <c r="VI218" s="132">
        <f t="shared" si="401"/>
        <v>22600</v>
      </c>
      <c r="VJ218" s="132">
        <f t="shared" si="402"/>
        <v>0</v>
      </c>
      <c r="VK218" s="132">
        <f t="shared" si="403"/>
        <v>0</v>
      </c>
      <c r="VL218" s="132">
        <f t="shared" si="404"/>
        <v>168400</v>
      </c>
      <c r="VM218" s="132">
        <f t="shared" si="405"/>
        <v>0</v>
      </c>
      <c r="VN218" s="132">
        <f t="shared" si="406"/>
        <v>32500</v>
      </c>
      <c r="VP218" s="845" t="str">
        <f>IFERROR(HLOOKUP(F218,'Hodnocení '!$C$1:$JH$5,2,FALSE),0)</f>
        <v>Nízkoprahové zařízení pro děti a mládež Modrý pomeranč</v>
      </c>
      <c r="VQ218" s="838"/>
      <c r="VR218" s="845" t="str">
        <f t="shared" si="414"/>
        <v>Spolek</v>
      </c>
      <c r="VS218" s="845" t="str">
        <f>IFERROR(HLOOKUP(F218,'Hodnocení '!$C$1:$JH$5,5,FALSE),0)</f>
        <v>NZO</v>
      </c>
      <c r="VT218" s="838">
        <f t="shared" si="415"/>
        <v>0</v>
      </c>
      <c r="VU218" s="838">
        <f t="shared" si="416"/>
        <v>0</v>
      </c>
      <c r="VV218" s="838">
        <f t="shared" si="417"/>
        <v>0</v>
      </c>
      <c r="VW218" s="838">
        <f t="shared" si="418"/>
        <v>0</v>
      </c>
      <c r="VX218" s="838"/>
      <c r="VY218" s="838">
        <f t="shared" si="419"/>
        <v>0</v>
      </c>
      <c r="VZ218" s="838">
        <f t="shared" si="420"/>
        <v>4315763</v>
      </c>
      <c r="WA218" s="846">
        <f>IFERROR(HLOOKUP($F218,'Hodnocení '!$C$1:$JH$9,9,FALSE),0)</f>
        <v>4315763</v>
      </c>
      <c r="WB218" s="846">
        <f>IF(IFERROR(HLOOKUP($F218,'Hodnocení '!$C$1:$JH$13,13,FALSE),0)&gt;WA218,WA218,IFERROR(HLOOKUP($F218,'Hodnocení '!$C$1:$JH$13,13,FALSE),0))</f>
        <v>4273288.0259972829</v>
      </c>
      <c r="WC218" s="846">
        <f>IFERROR(HLOOKUP($F218,'Hodnocení '!$C$1:$JH$155,155,FALSE),0)</f>
        <v>4045360</v>
      </c>
      <c r="WD218" s="845"/>
      <c r="WE218" s="845"/>
      <c r="WF218" s="845" t="str">
        <f t="shared" si="407"/>
        <v>ANO</v>
      </c>
      <c r="WG218" s="849" t="str">
        <f t="shared" si="320"/>
        <v>Podpora služby je vyjádřena zařazením do sítě sociálních služeb v KHK a řešením financování služby</v>
      </c>
      <c r="WH218" s="849" t="str">
        <f t="shared" si="320"/>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18" s="849" t="str">
        <f t="shared" si="320"/>
        <v>Návrh dotace je výsledkem projednání s ostatními zadavateli v rámci sítě služeb KHK</v>
      </c>
      <c r="WJ218" s="849" t="str">
        <f t="shared" ref="WG218:WJ271" si="421">IF($WF218="ANO",WJ$2,WJ$1)</f>
        <v>Bez komentáře</v>
      </c>
      <c r="WK218" s="31">
        <f t="shared" si="408"/>
        <v>0</v>
      </c>
      <c r="WL218" s="850">
        <f t="shared" si="409"/>
        <v>0</v>
      </c>
      <c r="WM218" s="849">
        <f t="shared" si="410"/>
        <v>0</v>
      </c>
      <c r="WN218" s="849">
        <f t="shared" si="411"/>
        <v>0</v>
      </c>
      <c r="WO218" s="849" t="str">
        <f t="shared" si="321"/>
        <v>bez komentáře</v>
      </c>
      <c r="WP218" s="849" t="str">
        <f t="shared" si="321"/>
        <v>bez komentáře</v>
      </c>
      <c r="WQ218" s="849" t="str">
        <f t="shared" si="321"/>
        <v>Konečná výše dotace z rozpočtu KHK bude řešena v návaznosti na řešení podílů jednotlivých zadavatelů.</v>
      </c>
      <c r="WR218" s="849" t="str">
        <f t="shared" si="321"/>
        <v>Konečná výše podpory ze stran obcí bude řešena v součinnosti s jednotlivými zadavateli v průběhu roku.</v>
      </c>
      <c r="WS218" s="849" t="str">
        <f t="shared" si="321"/>
        <v>bez komentáře</v>
      </c>
      <c r="WT218" s="849" t="str">
        <f t="shared" si="321"/>
        <v>bez komentáře</v>
      </c>
      <c r="WU218" s="845"/>
    </row>
    <row r="219" spans="1:619" s="128" customFormat="1" x14ac:dyDescent="0.25">
      <c r="A219" s="128" t="str">
        <f>VLOOKUP(F219,'Výpočet VP 2020'!$D$324:$I$588,6,FALSE)</f>
        <v>Je v síti</v>
      </c>
      <c r="B219" s="128" t="s">
        <v>909</v>
      </c>
      <c r="C219" s="128">
        <v>67440185</v>
      </c>
      <c r="D219" s="128" t="s">
        <v>910</v>
      </c>
      <c r="E219" s="128" t="s">
        <v>242</v>
      </c>
      <c r="F219" s="128">
        <v>9659243</v>
      </c>
      <c r="G219" s="128" t="s">
        <v>342</v>
      </c>
      <c r="H219" s="128" t="s">
        <v>230</v>
      </c>
      <c r="I219" s="128" t="s">
        <v>918</v>
      </c>
      <c r="J219" s="129">
        <v>36433</v>
      </c>
      <c r="L219" s="128" t="s">
        <v>220</v>
      </c>
      <c r="X219" s="128" t="s">
        <v>399</v>
      </c>
      <c r="Z219" s="128">
        <v>17</v>
      </c>
      <c r="AA219" s="128">
        <v>60</v>
      </c>
      <c r="AB219" s="128">
        <v>9</v>
      </c>
      <c r="AC219" s="128">
        <v>40</v>
      </c>
      <c r="AD219" s="128">
        <v>40</v>
      </c>
      <c r="AO219" s="128" t="s">
        <v>919</v>
      </c>
      <c r="AP219" s="128" t="s">
        <v>920</v>
      </c>
      <c r="AQ219" s="128">
        <v>35</v>
      </c>
      <c r="AR219" s="128">
        <v>160</v>
      </c>
      <c r="AS219" s="128">
        <v>230</v>
      </c>
      <c r="AT219" s="128">
        <v>250</v>
      </c>
      <c r="AU219" s="128">
        <v>300</v>
      </c>
      <c r="BK219" s="128" t="s">
        <v>921</v>
      </c>
      <c r="BL219" s="128" t="s">
        <v>278</v>
      </c>
      <c r="BM219" s="128" t="s">
        <v>279</v>
      </c>
      <c r="BN219" s="128" t="s">
        <v>374</v>
      </c>
      <c r="EK219" s="128">
        <v>6</v>
      </c>
      <c r="EL219" s="128">
        <v>5.5</v>
      </c>
      <c r="EM219" s="128">
        <v>4.08</v>
      </c>
      <c r="EN219" s="128">
        <v>2449051</v>
      </c>
      <c r="EO219" s="128">
        <v>2449051</v>
      </c>
      <c r="EP219" s="128">
        <v>1</v>
      </c>
      <c r="EQ219" s="128">
        <v>1</v>
      </c>
      <c r="ER219" s="128">
        <v>1.07</v>
      </c>
      <c r="ES219" s="128">
        <v>424780</v>
      </c>
      <c r="ET219" s="128">
        <v>424780</v>
      </c>
      <c r="FO219" s="128">
        <v>5</v>
      </c>
      <c r="FP219" s="128">
        <v>1.38</v>
      </c>
      <c r="FQ219" s="128">
        <v>1.19</v>
      </c>
      <c r="FR219" s="128">
        <v>810694</v>
      </c>
      <c r="FS219" s="128">
        <v>810694</v>
      </c>
      <c r="FT219" s="128">
        <v>1</v>
      </c>
      <c r="FU219" s="128">
        <v>1</v>
      </c>
      <c r="FV219" s="128">
        <v>12</v>
      </c>
      <c r="FW219" s="128">
        <v>1</v>
      </c>
      <c r="FX219" s="128">
        <v>383400</v>
      </c>
      <c r="FY219" s="128">
        <v>383400</v>
      </c>
      <c r="IS219" s="128">
        <v>2</v>
      </c>
      <c r="IT219" s="128">
        <v>100</v>
      </c>
      <c r="IU219" s="128">
        <v>4.8000000000000001E-2</v>
      </c>
      <c r="IV219" s="128">
        <v>11600</v>
      </c>
      <c r="IW219" s="128">
        <v>0</v>
      </c>
      <c r="KG219" s="128">
        <v>1</v>
      </c>
      <c r="KH219" s="128">
        <v>20</v>
      </c>
      <c r="KI219" s="128">
        <v>6.5</v>
      </c>
      <c r="KJ219" s="128">
        <v>1</v>
      </c>
      <c r="KK219" s="128">
        <v>0</v>
      </c>
      <c r="KL219" s="128">
        <v>0</v>
      </c>
      <c r="KM219" s="128">
        <v>7.5</v>
      </c>
      <c r="KN219" s="128">
        <v>3684525</v>
      </c>
      <c r="KO219" s="128">
        <v>3684525</v>
      </c>
      <c r="KP219" s="128">
        <v>3684525</v>
      </c>
      <c r="KT219" s="128">
        <v>383400</v>
      </c>
      <c r="KU219" s="128">
        <v>383400</v>
      </c>
      <c r="KV219" s="128">
        <v>383400</v>
      </c>
      <c r="KZ219" s="128">
        <v>11600</v>
      </c>
      <c r="LA219" s="128">
        <v>0</v>
      </c>
      <c r="LB219" s="128">
        <v>0</v>
      </c>
      <c r="LF219" s="128">
        <v>5700</v>
      </c>
      <c r="LG219" s="128">
        <v>0</v>
      </c>
      <c r="LH219" s="128">
        <v>0</v>
      </c>
      <c r="LL219" s="128">
        <v>16000</v>
      </c>
      <c r="LM219" s="128">
        <v>16000</v>
      </c>
      <c r="LN219" s="128">
        <v>16000</v>
      </c>
      <c r="LR219" s="128">
        <v>19500</v>
      </c>
      <c r="LS219" s="128">
        <v>0</v>
      </c>
      <c r="LT219" s="128">
        <v>0</v>
      </c>
      <c r="LX219" s="128">
        <v>0</v>
      </c>
      <c r="LY219" s="128">
        <v>0</v>
      </c>
      <c r="LZ219" s="128">
        <v>0</v>
      </c>
      <c r="MD219" s="128">
        <v>29000</v>
      </c>
      <c r="ME219" s="128">
        <v>5000</v>
      </c>
      <c r="MF219" s="128">
        <v>5000</v>
      </c>
      <c r="MJ219" s="128">
        <v>68800</v>
      </c>
      <c r="MK219" s="128">
        <v>5000</v>
      </c>
      <c r="ML219" s="128">
        <v>5000</v>
      </c>
      <c r="MP219" s="128">
        <v>100500</v>
      </c>
      <c r="MQ219" s="128">
        <v>10000</v>
      </c>
      <c r="MR219" s="128">
        <v>10000</v>
      </c>
      <c r="MV219" s="128">
        <v>76200</v>
      </c>
      <c r="MW219" s="128">
        <v>25000</v>
      </c>
      <c r="MX219" s="128">
        <v>25000</v>
      </c>
      <c r="NB219" s="128">
        <v>53200</v>
      </c>
      <c r="NC219" s="128">
        <v>24100</v>
      </c>
      <c r="ND219" s="128">
        <v>24100</v>
      </c>
      <c r="NH219" s="128">
        <v>213000</v>
      </c>
      <c r="NI219" s="128">
        <v>200000</v>
      </c>
      <c r="NJ219" s="128">
        <v>200000</v>
      </c>
      <c r="NN219" s="128">
        <v>153000</v>
      </c>
      <c r="NO219" s="128">
        <v>0</v>
      </c>
      <c r="NP219" s="128">
        <v>0</v>
      </c>
      <c r="NT219" s="128">
        <v>41500</v>
      </c>
      <c r="NU219" s="128">
        <v>20000</v>
      </c>
      <c r="NV219" s="128">
        <v>20000</v>
      </c>
      <c r="NZ219" s="128">
        <v>2500</v>
      </c>
      <c r="OA219" s="128">
        <v>0</v>
      </c>
      <c r="OB219" s="128">
        <v>0</v>
      </c>
      <c r="OF219" s="128">
        <v>153000</v>
      </c>
      <c r="OG219" s="128">
        <v>50000</v>
      </c>
      <c r="OH219" s="128">
        <v>50000</v>
      </c>
      <c r="OL219" s="128">
        <v>0</v>
      </c>
      <c r="OM219" s="128">
        <v>0</v>
      </c>
      <c r="ON219" s="128">
        <v>0</v>
      </c>
      <c r="OR219" s="128">
        <v>0</v>
      </c>
      <c r="OS219" s="128">
        <v>0</v>
      </c>
      <c r="OT219" s="128">
        <v>0</v>
      </c>
      <c r="OX219" s="128">
        <v>246100</v>
      </c>
      <c r="OY219" s="128">
        <v>0</v>
      </c>
      <c r="OZ219" s="128">
        <v>0</v>
      </c>
      <c r="PD219" s="128">
        <v>0</v>
      </c>
      <c r="PE219" s="128">
        <v>0</v>
      </c>
      <c r="PF219" s="128">
        <v>0</v>
      </c>
      <c r="PJ219" s="128">
        <v>46000</v>
      </c>
      <c r="PK219" s="128">
        <v>0</v>
      </c>
      <c r="PL219" s="128">
        <v>0</v>
      </c>
      <c r="PP219" s="128">
        <v>5303525</v>
      </c>
      <c r="PQ219" s="128">
        <v>4423025</v>
      </c>
      <c r="PR219" s="128">
        <v>4423025</v>
      </c>
      <c r="PS219" s="128">
        <v>100</v>
      </c>
      <c r="PT219" s="128">
        <v>100</v>
      </c>
      <c r="PX219" s="128">
        <v>396000</v>
      </c>
      <c r="PY219" s="128">
        <v>2348410</v>
      </c>
      <c r="PZ219" s="128">
        <v>4423025</v>
      </c>
      <c r="QA219" s="128">
        <v>0</v>
      </c>
      <c r="QB219" s="128">
        <v>0</v>
      </c>
      <c r="QC219" s="128">
        <v>0</v>
      </c>
      <c r="QD219" s="128">
        <v>0</v>
      </c>
      <c r="QE219" s="128">
        <v>0</v>
      </c>
      <c r="QF219" s="128">
        <v>0</v>
      </c>
      <c r="QG219" s="128">
        <v>0</v>
      </c>
      <c r="QH219" s="128">
        <v>0</v>
      </c>
      <c r="QI219" s="128">
        <v>0</v>
      </c>
      <c r="QJ219" s="128">
        <v>0</v>
      </c>
      <c r="QK219" s="128">
        <v>0</v>
      </c>
      <c r="QL219" s="128">
        <v>0</v>
      </c>
      <c r="QN219" s="128">
        <v>0</v>
      </c>
      <c r="QO219" s="128">
        <v>0</v>
      </c>
      <c r="QP219" s="128">
        <v>0</v>
      </c>
      <c r="QU219" s="128">
        <v>0</v>
      </c>
      <c r="QV219" s="128">
        <v>603228</v>
      </c>
      <c r="QW219" s="128">
        <v>600000</v>
      </c>
      <c r="QX219" s="128">
        <v>46000</v>
      </c>
      <c r="QY219" s="128">
        <v>28000</v>
      </c>
      <c r="QZ219" s="128">
        <v>280000</v>
      </c>
      <c r="RA219" s="128">
        <v>3480000</v>
      </c>
      <c r="RB219" s="128">
        <v>1723418</v>
      </c>
      <c r="RC219" s="128">
        <v>0</v>
      </c>
      <c r="RD219" s="128">
        <v>533</v>
      </c>
      <c r="RE219" s="128">
        <v>500</v>
      </c>
      <c r="RF219" s="128">
        <v>500</v>
      </c>
      <c r="RH219" s="128">
        <f t="shared" si="412"/>
        <v>5303525</v>
      </c>
      <c r="RI219" s="128">
        <v>0</v>
      </c>
      <c r="RM219" s="128" t="s">
        <v>220</v>
      </c>
      <c r="RU219" s="130"/>
      <c r="RV219" s="130"/>
      <c r="RW219" s="130"/>
      <c r="RX219" s="130"/>
      <c r="SF219" s="128">
        <f t="shared" si="322"/>
        <v>9659243</v>
      </c>
      <c r="SG219" s="131">
        <f t="shared" si="323"/>
        <v>5303525</v>
      </c>
      <c r="SH219" s="131">
        <f t="shared" si="324"/>
        <v>5303525</v>
      </c>
      <c r="SI219" s="131">
        <f t="shared" si="325"/>
        <v>4085225</v>
      </c>
      <c r="SJ219" s="132">
        <f t="shared" si="326"/>
        <v>3684525</v>
      </c>
      <c r="SK219" s="132">
        <f t="shared" si="327"/>
        <v>383400</v>
      </c>
      <c r="SL219" s="132">
        <f t="shared" si="328"/>
        <v>11600</v>
      </c>
      <c r="SM219" s="132">
        <f t="shared" si="329"/>
        <v>5700</v>
      </c>
      <c r="SN219" s="131">
        <f t="shared" si="330"/>
        <v>1218300</v>
      </c>
      <c r="SO219" s="131">
        <f t="shared" si="331"/>
        <v>35500</v>
      </c>
      <c r="SP219" s="132">
        <f t="shared" si="332"/>
        <v>16000</v>
      </c>
      <c r="SQ219" s="132">
        <f t="shared" si="333"/>
        <v>19500</v>
      </c>
      <c r="SR219" s="132">
        <f t="shared" si="334"/>
        <v>0</v>
      </c>
      <c r="SS219" s="132">
        <f t="shared" si="335"/>
        <v>29000</v>
      </c>
      <c r="ST219" s="132">
        <f t="shared" si="336"/>
        <v>68800</v>
      </c>
      <c r="SU219" s="132">
        <f t="shared" si="337"/>
        <v>100500</v>
      </c>
      <c r="SV219" s="131">
        <f t="shared" si="338"/>
        <v>938500</v>
      </c>
      <c r="SW219" s="132">
        <f t="shared" si="339"/>
        <v>76200</v>
      </c>
      <c r="SX219" s="132">
        <f t="shared" si="340"/>
        <v>53200</v>
      </c>
      <c r="SY219" s="132">
        <f t="shared" si="341"/>
        <v>213000</v>
      </c>
      <c r="SZ219" s="132">
        <f t="shared" si="342"/>
        <v>153000</v>
      </c>
      <c r="TA219" s="132">
        <f t="shared" si="343"/>
        <v>41500</v>
      </c>
      <c r="TB219" s="132">
        <f t="shared" si="344"/>
        <v>2500</v>
      </c>
      <c r="TC219" s="132">
        <f t="shared" si="345"/>
        <v>153000</v>
      </c>
      <c r="TD219" s="132">
        <f t="shared" si="346"/>
        <v>0</v>
      </c>
      <c r="TE219" s="132">
        <f t="shared" si="347"/>
        <v>0</v>
      </c>
      <c r="TF219" s="132">
        <f t="shared" si="348"/>
        <v>246100</v>
      </c>
      <c r="TG219" s="132">
        <f t="shared" si="349"/>
        <v>0</v>
      </c>
      <c r="TH219" s="132">
        <f t="shared" si="350"/>
        <v>46000</v>
      </c>
      <c r="TI219" s="1"/>
      <c r="TJ219" s="131">
        <f t="shared" si="351"/>
        <v>4423025</v>
      </c>
      <c r="TK219" s="131">
        <f t="shared" si="352"/>
        <v>4423025</v>
      </c>
      <c r="TL219" s="131">
        <f t="shared" si="353"/>
        <v>4067925</v>
      </c>
      <c r="TM219" s="132">
        <f t="shared" si="354"/>
        <v>3684525</v>
      </c>
      <c r="TN219" s="132">
        <f t="shared" si="355"/>
        <v>383400</v>
      </c>
      <c r="TO219" s="132">
        <f t="shared" si="356"/>
        <v>0</v>
      </c>
      <c r="TP219" s="132">
        <f t="shared" si="357"/>
        <v>0</v>
      </c>
      <c r="TQ219" s="131">
        <f t="shared" si="358"/>
        <v>355100</v>
      </c>
      <c r="TR219" s="131">
        <f t="shared" si="359"/>
        <v>16000</v>
      </c>
      <c r="TS219" s="132">
        <f t="shared" si="360"/>
        <v>16000</v>
      </c>
      <c r="TT219" s="132">
        <f t="shared" si="361"/>
        <v>0</v>
      </c>
      <c r="TU219" s="132">
        <f t="shared" si="362"/>
        <v>0</v>
      </c>
      <c r="TV219" s="132">
        <f t="shared" si="363"/>
        <v>5000</v>
      </c>
      <c r="TW219" s="132">
        <f t="shared" si="364"/>
        <v>5000</v>
      </c>
      <c r="TX219" s="132">
        <f t="shared" si="365"/>
        <v>10000</v>
      </c>
      <c r="TY219" s="131">
        <f t="shared" si="366"/>
        <v>319100</v>
      </c>
      <c r="TZ219" s="132">
        <f t="shared" si="367"/>
        <v>25000</v>
      </c>
      <c r="UA219" s="132">
        <f t="shared" si="368"/>
        <v>24100</v>
      </c>
      <c r="UB219" s="132">
        <f t="shared" si="369"/>
        <v>200000</v>
      </c>
      <c r="UC219" s="132">
        <f t="shared" si="370"/>
        <v>0</v>
      </c>
      <c r="UD219" s="132">
        <f t="shared" si="371"/>
        <v>20000</v>
      </c>
      <c r="UE219" s="132">
        <f t="shared" si="372"/>
        <v>0</v>
      </c>
      <c r="UF219" s="132">
        <f t="shared" si="373"/>
        <v>50000</v>
      </c>
      <c r="UG219" s="132">
        <f t="shared" si="374"/>
        <v>0</v>
      </c>
      <c r="UH219" s="132">
        <f t="shared" si="375"/>
        <v>0</v>
      </c>
      <c r="UI219" s="132">
        <f t="shared" si="376"/>
        <v>0</v>
      </c>
      <c r="UJ219" s="132">
        <f t="shared" si="377"/>
        <v>0</v>
      </c>
      <c r="UK219" s="132">
        <f t="shared" si="378"/>
        <v>0</v>
      </c>
      <c r="UL219" s="132">
        <f t="shared" si="413"/>
        <v>4423025</v>
      </c>
      <c r="UM219" s="131">
        <f t="shared" si="379"/>
        <v>4423025</v>
      </c>
      <c r="UN219" s="131">
        <f t="shared" si="380"/>
        <v>4423025</v>
      </c>
      <c r="UO219" s="131">
        <f t="shared" si="381"/>
        <v>4067925</v>
      </c>
      <c r="UP219" s="132">
        <f t="shared" si="382"/>
        <v>3684525</v>
      </c>
      <c r="UQ219" s="132">
        <f t="shared" si="383"/>
        <v>383400</v>
      </c>
      <c r="UR219" s="132">
        <f t="shared" si="384"/>
        <v>0</v>
      </c>
      <c r="US219" s="132">
        <f t="shared" si="385"/>
        <v>0</v>
      </c>
      <c r="UT219" s="131">
        <f t="shared" si="386"/>
        <v>355100</v>
      </c>
      <c r="UU219" s="131">
        <f t="shared" si="387"/>
        <v>16000</v>
      </c>
      <c r="UV219" s="132">
        <f t="shared" si="388"/>
        <v>16000</v>
      </c>
      <c r="UW219" s="132">
        <f t="shared" si="389"/>
        <v>0</v>
      </c>
      <c r="UX219" s="132">
        <f t="shared" si="390"/>
        <v>0</v>
      </c>
      <c r="UY219" s="132">
        <f t="shared" si="391"/>
        <v>5000</v>
      </c>
      <c r="UZ219" s="132">
        <f t="shared" si="392"/>
        <v>5000</v>
      </c>
      <c r="VA219" s="132">
        <f t="shared" si="393"/>
        <v>10000</v>
      </c>
      <c r="VB219" s="131">
        <f t="shared" si="394"/>
        <v>319100</v>
      </c>
      <c r="VC219" s="132">
        <f t="shared" si="395"/>
        <v>25000</v>
      </c>
      <c r="VD219" s="132">
        <f t="shared" si="396"/>
        <v>24100</v>
      </c>
      <c r="VE219" s="132">
        <f t="shared" si="397"/>
        <v>200000</v>
      </c>
      <c r="VF219" s="132">
        <f t="shared" si="398"/>
        <v>0</v>
      </c>
      <c r="VG219" s="132">
        <f t="shared" si="399"/>
        <v>20000</v>
      </c>
      <c r="VH219" s="132">
        <f t="shared" si="400"/>
        <v>0</v>
      </c>
      <c r="VI219" s="132">
        <f t="shared" si="401"/>
        <v>50000</v>
      </c>
      <c r="VJ219" s="132">
        <f t="shared" si="402"/>
        <v>0</v>
      </c>
      <c r="VK219" s="132">
        <f t="shared" si="403"/>
        <v>0</v>
      </c>
      <c r="VL219" s="132">
        <f t="shared" si="404"/>
        <v>0</v>
      </c>
      <c r="VM219" s="132">
        <f t="shared" si="405"/>
        <v>0</v>
      </c>
      <c r="VN219" s="132">
        <f t="shared" si="406"/>
        <v>0</v>
      </c>
      <c r="VP219" s="845" t="str">
        <f>IFERROR(HLOOKUP(F219,'Hodnocení '!$C$1:$JH$5,2,FALSE),0)</f>
        <v>Triangl</v>
      </c>
      <c r="VQ219" s="838"/>
      <c r="VR219" s="845" t="str">
        <f t="shared" si="414"/>
        <v>Spolek</v>
      </c>
      <c r="VS219" s="845" t="str">
        <f>IFERROR(HLOOKUP(F219,'Hodnocení '!$C$1:$JH$5,5,FALSE),0)</f>
        <v>NZO</v>
      </c>
      <c r="VT219" s="838">
        <f t="shared" si="415"/>
        <v>0</v>
      </c>
      <c r="VU219" s="838">
        <f t="shared" si="416"/>
        <v>0</v>
      </c>
      <c r="VV219" s="838">
        <f t="shared" si="417"/>
        <v>0</v>
      </c>
      <c r="VW219" s="838">
        <f t="shared" si="418"/>
        <v>0</v>
      </c>
      <c r="VX219" s="838"/>
      <c r="VY219" s="838">
        <f t="shared" si="419"/>
        <v>0</v>
      </c>
      <c r="VZ219" s="838">
        <f t="shared" si="420"/>
        <v>4423025</v>
      </c>
      <c r="WA219" s="846">
        <f>IFERROR(HLOOKUP($F219,'Hodnocení '!$C$1:$JH$9,9,FALSE),0)</f>
        <v>4423025</v>
      </c>
      <c r="WB219" s="846">
        <f>IF(IFERROR(HLOOKUP($F219,'Hodnocení '!$C$1:$JH$13,13,FALSE),0)&gt;WA219,WA219,IFERROR(HLOOKUP($F219,'Hodnocení '!$C$1:$JH$13,13,FALSE),0))</f>
        <v>4423025</v>
      </c>
      <c r="WC219" s="846">
        <f>IFERROR(HLOOKUP($F219,'Hodnocení '!$C$1:$JH$155,155,FALSE),0)</f>
        <v>4423020</v>
      </c>
      <c r="WD219" s="845"/>
      <c r="WE219" s="845"/>
      <c r="WF219" s="845" t="str">
        <f t="shared" si="407"/>
        <v>ANO</v>
      </c>
      <c r="WG219" s="849" t="str">
        <f t="shared" si="421"/>
        <v>Podpora služby je vyjádřena zařazením do sítě sociálních služeb v KHK a řešením financování služby</v>
      </c>
      <c r="WH219"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19" s="849" t="str">
        <f t="shared" si="421"/>
        <v>Návrh dotace je výsledkem projednání s ostatními zadavateli v rámci sítě služeb KHK</v>
      </c>
      <c r="WJ219" s="849" t="str">
        <f t="shared" si="421"/>
        <v>Bez komentáře</v>
      </c>
      <c r="WK219" s="31">
        <f t="shared" si="408"/>
        <v>0</v>
      </c>
      <c r="WL219" s="850">
        <f t="shared" si="409"/>
        <v>0</v>
      </c>
      <c r="WM219" s="849">
        <f t="shared" si="410"/>
        <v>0</v>
      </c>
      <c r="WN219" s="849">
        <f t="shared" si="411"/>
        <v>0</v>
      </c>
      <c r="WO219" s="849" t="str">
        <f t="shared" si="321"/>
        <v>bez komentáře</v>
      </c>
      <c r="WP219" s="849" t="str">
        <f t="shared" si="321"/>
        <v>bez komentáře</v>
      </c>
      <c r="WQ219" s="849" t="str">
        <f t="shared" si="321"/>
        <v>Konečná výše dotace z rozpočtu KHK bude řešena v návaznosti na řešení podílů jednotlivých zadavatelů.</v>
      </c>
      <c r="WR219" s="849" t="str">
        <f t="shared" si="321"/>
        <v>Konečná výše podpory ze stran obcí bude řešena v součinnosti s jednotlivými zadavateli v průběhu roku.</v>
      </c>
      <c r="WS219" s="849" t="str">
        <f t="shared" si="321"/>
        <v>bez komentáře</v>
      </c>
      <c r="WT219" s="849" t="str">
        <f t="shared" si="321"/>
        <v>bez komentáře</v>
      </c>
      <c r="WU219" s="845"/>
    </row>
    <row r="220" spans="1:619" s="128" customFormat="1" x14ac:dyDescent="0.25">
      <c r="A220" s="128" t="str">
        <f>VLOOKUP(F220,'Výpočet VP 2020'!$D$324:$I$588,6,FALSE)</f>
        <v>Je v síti</v>
      </c>
      <c r="B220" s="128" t="s">
        <v>922</v>
      </c>
      <c r="C220" s="128">
        <v>46456970</v>
      </c>
      <c r="D220" s="128" t="s">
        <v>923</v>
      </c>
      <c r="E220" s="128" t="s">
        <v>242</v>
      </c>
      <c r="F220" s="128">
        <v>6041962</v>
      </c>
      <c r="G220" s="128" t="s">
        <v>217</v>
      </c>
      <c r="H220" s="128" t="s">
        <v>218</v>
      </c>
      <c r="I220" s="128" t="s">
        <v>924</v>
      </c>
      <c r="J220" s="129">
        <v>43709</v>
      </c>
      <c r="L220" s="128" t="s">
        <v>220</v>
      </c>
      <c r="X220" s="128" t="s">
        <v>232</v>
      </c>
      <c r="Z220" s="128">
        <v>10</v>
      </c>
      <c r="AA220" s="128">
        <v>10</v>
      </c>
      <c r="AB220" s="128">
        <v>0</v>
      </c>
      <c r="AC220" s="128">
        <v>3</v>
      </c>
      <c r="AD220" s="128">
        <v>10</v>
      </c>
      <c r="AN220" s="128">
        <v>900</v>
      </c>
      <c r="AO220" s="128" t="s">
        <v>925</v>
      </c>
      <c r="BL220" s="128" t="s">
        <v>926</v>
      </c>
      <c r="BM220" s="128" t="s">
        <v>223</v>
      </c>
      <c r="BN220" s="128" t="s">
        <v>256</v>
      </c>
      <c r="BO220" s="128">
        <v>0</v>
      </c>
      <c r="BP220" s="128">
        <v>0</v>
      </c>
      <c r="BQ220" s="128">
        <v>0</v>
      </c>
      <c r="BR220" s="128">
        <v>0</v>
      </c>
      <c r="BS220" s="128">
        <v>0</v>
      </c>
      <c r="BT220" s="128">
        <v>0</v>
      </c>
      <c r="BU220" s="128">
        <v>0</v>
      </c>
      <c r="BV220" s="128">
        <v>2</v>
      </c>
      <c r="BW220" s="128">
        <v>1</v>
      </c>
      <c r="BX220" s="128">
        <v>0</v>
      </c>
      <c r="BY220" s="128">
        <v>0</v>
      </c>
      <c r="BZ220" s="128">
        <v>0</v>
      </c>
      <c r="CA220" s="128">
        <v>2</v>
      </c>
      <c r="CB220" s="128">
        <v>1</v>
      </c>
      <c r="CC220" s="128">
        <v>0</v>
      </c>
      <c r="CD220" s="128">
        <v>0</v>
      </c>
      <c r="CE220" s="128">
        <v>3</v>
      </c>
      <c r="CF220" s="128">
        <v>3</v>
      </c>
      <c r="CH220" s="128">
        <v>0</v>
      </c>
      <c r="CI220" s="128">
        <v>0</v>
      </c>
      <c r="CJ220" s="128">
        <v>0</v>
      </c>
      <c r="CK220" s="128">
        <v>0</v>
      </c>
      <c r="CL220" s="128">
        <v>0</v>
      </c>
      <c r="CM220" s="128">
        <v>0</v>
      </c>
      <c r="CN220" s="128">
        <v>0</v>
      </c>
      <c r="CO220" s="128">
        <v>8</v>
      </c>
      <c r="CP220" s="128">
        <v>2</v>
      </c>
      <c r="CQ220" s="128">
        <v>0</v>
      </c>
      <c r="CR220" s="128">
        <v>0</v>
      </c>
      <c r="CS220" s="128">
        <v>0</v>
      </c>
      <c r="CT220" s="128">
        <v>8</v>
      </c>
      <c r="CU220" s="128">
        <v>2</v>
      </c>
      <c r="CV220" s="128">
        <v>0</v>
      </c>
      <c r="CW220" s="128">
        <v>0</v>
      </c>
      <c r="CX220" s="128">
        <v>10</v>
      </c>
      <c r="CY220" s="128">
        <v>10</v>
      </c>
      <c r="EK220" s="128">
        <v>1</v>
      </c>
      <c r="EL220" s="128">
        <v>0.5</v>
      </c>
      <c r="EM220" s="128">
        <v>0.5</v>
      </c>
      <c r="EN220" s="128">
        <v>250000</v>
      </c>
      <c r="EO220" s="128">
        <v>200000</v>
      </c>
      <c r="EP220" s="128">
        <v>3</v>
      </c>
      <c r="EQ220" s="128">
        <v>3</v>
      </c>
      <c r="ER220" s="128">
        <v>2</v>
      </c>
      <c r="ES220" s="128">
        <v>990000</v>
      </c>
      <c r="ET220" s="128">
        <v>740000</v>
      </c>
      <c r="FO220" s="128">
        <v>4</v>
      </c>
      <c r="FP220" s="128">
        <v>1.1000000000000001</v>
      </c>
      <c r="FQ220" s="128">
        <v>0.5</v>
      </c>
      <c r="FR220" s="128">
        <v>400000</v>
      </c>
      <c r="FS220" s="128">
        <v>300000</v>
      </c>
      <c r="IN220" s="128">
        <v>2</v>
      </c>
      <c r="IO220" s="128">
        <v>600</v>
      </c>
      <c r="IP220" s="128">
        <v>0.28599999999999998</v>
      </c>
      <c r="IQ220" s="128">
        <v>99000</v>
      </c>
      <c r="IR220" s="128">
        <v>99000</v>
      </c>
      <c r="IS220" s="128">
        <v>1</v>
      </c>
      <c r="IT220" s="128">
        <v>150</v>
      </c>
      <c r="IU220" s="128">
        <v>7.1999999999999995E-2</v>
      </c>
      <c r="IV220" s="128">
        <v>30000</v>
      </c>
      <c r="IW220" s="128">
        <v>30000</v>
      </c>
      <c r="KG220" s="128">
        <v>50</v>
      </c>
      <c r="KH220" s="128">
        <v>300</v>
      </c>
      <c r="KI220" s="128">
        <v>3.5</v>
      </c>
      <c r="KJ220" s="128">
        <v>0</v>
      </c>
      <c r="KK220" s="128">
        <v>0.28599999999999998</v>
      </c>
      <c r="KL220" s="128">
        <v>0</v>
      </c>
      <c r="KM220" s="128">
        <v>3.786</v>
      </c>
      <c r="KN220" s="128">
        <v>1640000</v>
      </c>
      <c r="KO220" s="128">
        <v>1240000</v>
      </c>
      <c r="KP220" s="128">
        <v>620000</v>
      </c>
      <c r="KT220" s="128">
        <v>0</v>
      </c>
      <c r="KU220" s="128">
        <v>0</v>
      </c>
      <c r="KV220" s="128">
        <v>0</v>
      </c>
      <c r="KZ220" s="128">
        <v>129000</v>
      </c>
      <c r="LA220" s="128">
        <v>129000</v>
      </c>
      <c r="LB220" s="128">
        <v>64500</v>
      </c>
      <c r="LF220" s="128">
        <v>0</v>
      </c>
      <c r="LG220" s="128">
        <v>0</v>
      </c>
      <c r="LH220" s="128">
        <v>0</v>
      </c>
      <c r="LL220" s="128">
        <v>0</v>
      </c>
      <c r="LM220" s="128">
        <v>0</v>
      </c>
      <c r="LN220" s="128">
        <v>0</v>
      </c>
      <c r="LR220" s="128">
        <v>290000</v>
      </c>
      <c r="LS220" s="128">
        <v>90000</v>
      </c>
      <c r="LT220" s="128">
        <v>45000</v>
      </c>
      <c r="LX220" s="128">
        <v>0</v>
      </c>
      <c r="LY220" s="128">
        <v>0</v>
      </c>
      <c r="LZ220" s="128">
        <v>0</v>
      </c>
      <c r="MD220" s="128">
        <v>20000</v>
      </c>
      <c r="ME220" s="128">
        <v>20000</v>
      </c>
      <c r="MF220" s="128">
        <v>10000</v>
      </c>
      <c r="MJ220" s="128">
        <v>12000</v>
      </c>
      <c r="MK220" s="128">
        <v>12000</v>
      </c>
      <c r="ML220" s="128">
        <v>6000</v>
      </c>
      <c r="MP220" s="128">
        <v>30000</v>
      </c>
      <c r="MQ220" s="128">
        <v>30000</v>
      </c>
      <c r="MR220" s="128">
        <v>15000</v>
      </c>
      <c r="MV220" s="128">
        <v>90000</v>
      </c>
      <c r="MW220" s="128">
        <v>90000</v>
      </c>
      <c r="MX220" s="128">
        <v>45000</v>
      </c>
      <c r="NB220" s="128">
        <v>10000</v>
      </c>
      <c r="NC220" s="128">
        <v>10000</v>
      </c>
      <c r="ND220" s="128">
        <v>5000</v>
      </c>
      <c r="NH220" s="128">
        <v>80000</v>
      </c>
      <c r="NI220" s="128">
        <v>80000</v>
      </c>
      <c r="NJ220" s="128">
        <v>40000</v>
      </c>
      <c r="NN220" s="128">
        <v>10000</v>
      </c>
      <c r="NO220" s="128">
        <v>10000</v>
      </c>
      <c r="NP220" s="128">
        <v>5000</v>
      </c>
      <c r="NT220" s="128">
        <v>30000</v>
      </c>
      <c r="NU220" s="128">
        <v>30000</v>
      </c>
      <c r="NV220" s="128">
        <v>15000</v>
      </c>
      <c r="NZ220" s="128">
        <v>10000</v>
      </c>
      <c r="OA220" s="128">
        <v>10000</v>
      </c>
      <c r="OB220" s="128">
        <v>5000</v>
      </c>
      <c r="OF220" s="128">
        <v>5000</v>
      </c>
      <c r="OG220" s="128">
        <v>5000</v>
      </c>
      <c r="OH220" s="128">
        <v>2500</v>
      </c>
      <c r="OL220" s="128">
        <v>0</v>
      </c>
      <c r="OM220" s="128">
        <v>0</v>
      </c>
      <c r="ON220" s="128">
        <v>0</v>
      </c>
      <c r="OR220" s="128">
        <v>0</v>
      </c>
      <c r="OS220" s="128">
        <v>0</v>
      </c>
      <c r="OT220" s="128">
        <v>0</v>
      </c>
      <c r="OX220" s="128">
        <v>0</v>
      </c>
      <c r="OY220" s="128">
        <v>0</v>
      </c>
      <c r="OZ220" s="128">
        <v>0</v>
      </c>
      <c r="PD220" s="128">
        <v>0</v>
      </c>
      <c r="PE220" s="128">
        <v>0</v>
      </c>
      <c r="PF220" s="128">
        <v>0</v>
      </c>
      <c r="PJ220" s="128">
        <v>0</v>
      </c>
      <c r="PK220" s="128">
        <v>0</v>
      </c>
      <c r="PL220" s="128">
        <v>0</v>
      </c>
      <c r="PP220" s="128">
        <v>2356000</v>
      </c>
      <c r="PQ220" s="128">
        <v>1756000</v>
      </c>
      <c r="PR220" s="128">
        <v>878000</v>
      </c>
      <c r="PS220" s="128">
        <v>50</v>
      </c>
      <c r="PT220" s="128">
        <v>50</v>
      </c>
      <c r="PU220" s="128">
        <v>1</v>
      </c>
      <c r="PV220" s="128">
        <v>1848183</v>
      </c>
      <c r="PY220" s="128">
        <v>331000</v>
      </c>
      <c r="PZ220" s="128">
        <v>1756000</v>
      </c>
      <c r="QB220" s="128">
        <v>0</v>
      </c>
      <c r="QC220" s="128">
        <v>0</v>
      </c>
      <c r="QE220" s="128">
        <v>0</v>
      </c>
      <c r="QF220" s="128">
        <v>0</v>
      </c>
      <c r="QH220" s="128">
        <v>0</v>
      </c>
      <c r="QI220" s="128">
        <v>400000</v>
      </c>
      <c r="QK220" s="128">
        <v>54000</v>
      </c>
      <c r="QL220" s="128">
        <v>200000</v>
      </c>
      <c r="QO220" s="128">
        <v>0</v>
      </c>
      <c r="QP220" s="128">
        <v>0</v>
      </c>
      <c r="RH220" s="128">
        <f t="shared" si="412"/>
        <v>2156000</v>
      </c>
      <c r="RI220" s="128">
        <v>0</v>
      </c>
      <c r="RM220" s="128" t="s">
        <v>220</v>
      </c>
      <c r="RU220" s="130"/>
      <c r="RV220" s="130"/>
      <c r="RW220" s="130"/>
      <c r="RX220" s="130"/>
      <c r="SF220" s="128">
        <f t="shared" si="322"/>
        <v>6041962</v>
      </c>
      <c r="SG220" s="131">
        <f t="shared" si="323"/>
        <v>2356000</v>
      </c>
      <c r="SH220" s="131">
        <f t="shared" si="324"/>
        <v>2356000</v>
      </c>
      <c r="SI220" s="131">
        <f t="shared" si="325"/>
        <v>1769000</v>
      </c>
      <c r="SJ220" s="132">
        <f t="shared" si="326"/>
        <v>1640000</v>
      </c>
      <c r="SK220" s="132">
        <f t="shared" si="327"/>
        <v>0</v>
      </c>
      <c r="SL220" s="132">
        <f t="shared" si="328"/>
        <v>129000</v>
      </c>
      <c r="SM220" s="132">
        <f t="shared" si="329"/>
        <v>0</v>
      </c>
      <c r="SN220" s="131">
        <f t="shared" si="330"/>
        <v>587000</v>
      </c>
      <c r="SO220" s="131">
        <f t="shared" si="331"/>
        <v>290000</v>
      </c>
      <c r="SP220" s="132">
        <f t="shared" si="332"/>
        <v>0</v>
      </c>
      <c r="SQ220" s="132">
        <f t="shared" si="333"/>
        <v>290000</v>
      </c>
      <c r="SR220" s="132">
        <f t="shared" si="334"/>
        <v>0</v>
      </c>
      <c r="SS220" s="132">
        <f t="shared" si="335"/>
        <v>20000</v>
      </c>
      <c r="ST220" s="132">
        <f t="shared" si="336"/>
        <v>12000</v>
      </c>
      <c r="SU220" s="132">
        <f t="shared" si="337"/>
        <v>30000</v>
      </c>
      <c r="SV220" s="131">
        <f t="shared" si="338"/>
        <v>235000</v>
      </c>
      <c r="SW220" s="132">
        <f t="shared" si="339"/>
        <v>90000</v>
      </c>
      <c r="SX220" s="132">
        <f t="shared" si="340"/>
        <v>10000</v>
      </c>
      <c r="SY220" s="132">
        <f t="shared" si="341"/>
        <v>80000</v>
      </c>
      <c r="SZ220" s="132">
        <f t="shared" si="342"/>
        <v>10000</v>
      </c>
      <c r="TA220" s="132">
        <f t="shared" si="343"/>
        <v>30000</v>
      </c>
      <c r="TB220" s="132">
        <f t="shared" si="344"/>
        <v>10000</v>
      </c>
      <c r="TC220" s="132">
        <f t="shared" si="345"/>
        <v>5000</v>
      </c>
      <c r="TD220" s="132">
        <f t="shared" si="346"/>
        <v>0</v>
      </c>
      <c r="TE220" s="132">
        <f t="shared" si="347"/>
        <v>0</v>
      </c>
      <c r="TF220" s="132">
        <f t="shared" si="348"/>
        <v>0</v>
      </c>
      <c r="TG220" s="132">
        <f t="shared" si="349"/>
        <v>0</v>
      </c>
      <c r="TH220" s="132">
        <f t="shared" si="350"/>
        <v>0</v>
      </c>
      <c r="TI220" s="1"/>
      <c r="TJ220" s="131">
        <f t="shared" si="351"/>
        <v>1756000</v>
      </c>
      <c r="TK220" s="131">
        <f t="shared" si="352"/>
        <v>1756000</v>
      </c>
      <c r="TL220" s="131">
        <f t="shared" si="353"/>
        <v>1369000</v>
      </c>
      <c r="TM220" s="132">
        <f t="shared" si="354"/>
        <v>1240000</v>
      </c>
      <c r="TN220" s="132">
        <f t="shared" si="355"/>
        <v>0</v>
      </c>
      <c r="TO220" s="132">
        <f t="shared" si="356"/>
        <v>129000</v>
      </c>
      <c r="TP220" s="132">
        <f t="shared" si="357"/>
        <v>0</v>
      </c>
      <c r="TQ220" s="131">
        <f t="shared" si="358"/>
        <v>387000</v>
      </c>
      <c r="TR220" s="131">
        <f t="shared" si="359"/>
        <v>90000</v>
      </c>
      <c r="TS220" s="132">
        <f t="shared" si="360"/>
        <v>0</v>
      </c>
      <c r="TT220" s="132">
        <f t="shared" si="361"/>
        <v>90000</v>
      </c>
      <c r="TU220" s="132">
        <f t="shared" si="362"/>
        <v>0</v>
      </c>
      <c r="TV220" s="132">
        <f t="shared" si="363"/>
        <v>20000</v>
      </c>
      <c r="TW220" s="132">
        <f t="shared" si="364"/>
        <v>12000</v>
      </c>
      <c r="TX220" s="132">
        <f t="shared" si="365"/>
        <v>30000</v>
      </c>
      <c r="TY220" s="131">
        <f t="shared" si="366"/>
        <v>235000</v>
      </c>
      <c r="TZ220" s="132">
        <f t="shared" si="367"/>
        <v>90000</v>
      </c>
      <c r="UA220" s="132">
        <f t="shared" si="368"/>
        <v>10000</v>
      </c>
      <c r="UB220" s="132">
        <f t="shared" si="369"/>
        <v>80000</v>
      </c>
      <c r="UC220" s="132">
        <f t="shared" si="370"/>
        <v>10000</v>
      </c>
      <c r="UD220" s="132">
        <f t="shared" si="371"/>
        <v>30000</v>
      </c>
      <c r="UE220" s="132">
        <f t="shared" si="372"/>
        <v>10000</v>
      </c>
      <c r="UF220" s="132">
        <f t="shared" si="373"/>
        <v>5000</v>
      </c>
      <c r="UG220" s="132">
        <f t="shared" si="374"/>
        <v>0</v>
      </c>
      <c r="UH220" s="132">
        <f t="shared" si="375"/>
        <v>0</v>
      </c>
      <c r="UI220" s="132">
        <f t="shared" si="376"/>
        <v>0</v>
      </c>
      <c r="UJ220" s="132">
        <f t="shared" si="377"/>
        <v>0</v>
      </c>
      <c r="UK220" s="132">
        <f t="shared" si="378"/>
        <v>0</v>
      </c>
      <c r="UL220" s="132">
        <f t="shared" si="413"/>
        <v>878000</v>
      </c>
      <c r="UM220" s="131">
        <f t="shared" si="379"/>
        <v>878000</v>
      </c>
      <c r="UN220" s="131">
        <f t="shared" si="380"/>
        <v>878000</v>
      </c>
      <c r="UO220" s="131">
        <f t="shared" si="381"/>
        <v>684500</v>
      </c>
      <c r="UP220" s="132">
        <f t="shared" si="382"/>
        <v>620000</v>
      </c>
      <c r="UQ220" s="132">
        <f t="shared" si="383"/>
        <v>0</v>
      </c>
      <c r="UR220" s="132">
        <f t="shared" si="384"/>
        <v>64500</v>
      </c>
      <c r="US220" s="132">
        <f t="shared" si="385"/>
        <v>0</v>
      </c>
      <c r="UT220" s="131">
        <f t="shared" si="386"/>
        <v>193500</v>
      </c>
      <c r="UU220" s="131">
        <f t="shared" si="387"/>
        <v>45000</v>
      </c>
      <c r="UV220" s="132">
        <f t="shared" si="388"/>
        <v>0</v>
      </c>
      <c r="UW220" s="132">
        <f t="shared" si="389"/>
        <v>45000</v>
      </c>
      <c r="UX220" s="132">
        <f t="shared" si="390"/>
        <v>0</v>
      </c>
      <c r="UY220" s="132">
        <f t="shared" si="391"/>
        <v>10000</v>
      </c>
      <c r="UZ220" s="132">
        <f t="shared" si="392"/>
        <v>6000</v>
      </c>
      <c r="VA220" s="132">
        <f t="shared" si="393"/>
        <v>15000</v>
      </c>
      <c r="VB220" s="131">
        <f t="shared" si="394"/>
        <v>117500</v>
      </c>
      <c r="VC220" s="132">
        <f t="shared" si="395"/>
        <v>45000</v>
      </c>
      <c r="VD220" s="132">
        <f t="shared" si="396"/>
        <v>5000</v>
      </c>
      <c r="VE220" s="132">
        <f t="shared" si="397"/>
        <v>40000</v>
      </c>
      <c r="VF220" s="132">
        <f t="shared" si="398"/>
        <v>5000</v>
      </c>
      <c r="VG220" s="132">
        <f t="shared" si="399"/>
        <v>15000</v>
      </c>
      <c r="VH220" s="132">
        <f t="shared" si="400"/>
        <v>5000</v>
      </c>
      <c r="VI220" s="132">
        <f t="shared" si="401"/>
        <v>2500</v>
      </c>
      <c r="VJ220" s="132">
        <f t="shared" si="402"/>
        <v>0</v>
      </c>
      <c r="VK220" s="132">
        <f t="shared" si="403"/>
        <v>0</v>
      </c>
      <c r="VL220" s="132">
        <f t="shared" si="404"/>
        <v>0</v>
      </c>
      <c r="VM220" s="132">
        <f t="shared" si="405"/>
        <v>0</v>
      </c>
      <c r="VN220" s="132">
        <f t="shared" si="406"/>
        <v>0</v>
      </c>
      <c r="VP220" s="845" t="str">
        <f>IFERROR(HLOOKUP(F220,'Hodnocení '!$C$1:$JH$5,2,FALSE),0)</f>
        <v>Denní stacionář Lávka</v>
      </c>
      <c r="VQ220" s="838"/>
      <c r="VR220" s="845" t="str">
        <f t="shared" si="414"/>
        <v>Spolek</v>
      </c>
      <c r="VS220" s="845" t="str">
        <f>IFERROR(HLOOKUP(F220,'Hodnocení '!$C$1:$JH$5,5,FALSE),0)</f>
        <v>NZO</v>
      </c>
      <c r="VT220" s="838">
        <f t="shared" si="415"/>
        <v>0</v>
      </c>
      <c r="VU220" s="838">
        <f t="shared" si="416"/>
        <v>0</v>
      </c>
      <c r="VV220" s="838">
        <f t="shared" si="417"/>
        <v>200000</v>
      </c>
      <c r="VW220" s="838">
        <f t="shared" si="418"/>
        <v>0</v>
      </c>
      <c r="VX220" s="838"/>
      <c r="VY220" s="838">
        <f t="shared" si="419"/>
        <v>0</v>
      </c>
      <c r="VZ220" s="838">
        <f t="shared" si="420"/>
        <v>878000</v>
      </c>
      <c r="WA220" s="846">
        <f>IFERROR(HLOOKUP($F220,'Hodnocení '!$C$1:$JH$9,9,FALSE),0)</f>
        <v>878000</v>
      </c>
      <c r="WB220" s="846">
        <f>IF(IFERROR(HLOOKUP($F220,'Hodnocení '!$C$1:$JH$13,13,FALSE),0)&gt;WA220,WA220,IFERROR(HLOOKUP($F220,'Hodnocení '!$C$1:$JH$13,13,FALSE),0))</f>
        <v>878000</v>
      </c>
      <c r="WC220" s="846">
        <f>IFERROR(HLOOKUP($F220,'Hodnocení '!$C$1:$JH$155,155,FALSE),0)</f>
        <v>878000</v>
      </c>
      <c r="WD220" s="845"/>
      <c r="WE220" s="845"/>
      <c r="WF220" s="845" t="str">
        <f t="shared" si="407"/>
        <v>ANO</v>
      </c>
      <c r="WG220" s="849" t="str">
        <f t="shared" si="421"/>
        <v>Podpora služby je vyjádřena zařazením do sítě sociálních služeb v KHK a řešením financování služby</v>
      </c>
      <c r="WH220"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20" s="849" t="str">
        <f t="shared" si="421"/>
        <v>Návrh dotace je výsledkem projednání s ostatními zadavateli v rámci sítě služeb KHK</v>
      </c>
      <c r="WJ220" s="849" t="str">
        <f t="shared" si="421"/>
        <v>Bez komentáře</v>
      </c>
      <c r="WK220" s="31">
        <f t="shared" si="408"/>
        <v>0</v>
      </c>
      <c r="WL220" s="850">
        <f t="shared" si="409"/>
        <v>0</v>
      </c>
      <c r="WM220" s="849" t="str">
        <f t="shared" si="410"/>
        <v>V rámci sítě KHK se dlouhodobě řeší otázka navyšování úhrad a průběžně se monitoruje s vazbou na vykrytí vyrovnávací platby</v>
      </c>
      <c r="WN220" s="849">
        <f t="shared" si="411"/>
        <v>0</v>
      </c>
      <c r="WO220" s="849" t="str">
        <f t="shared" si="321"/>
        <v>bez komentáře</v>
      </c>
      <c r="WP220" s="849" t="str">
        <f t="shared" si="321"/>
        <v>bez komentáře</v>
      </c>
      <c r="WQ220" s="849" t="str">
        <f t="shared" si="321"/>
        <v>Konečná výše dotace z rozpočtu KHK bude řešena v návaznosti na řešení podílů jednotlivých zadavatelů.</v>
      </c>
      <c r="WR220" s="849" t="str">
        <f t="shared" si="321"/>
        <v>Konečná výše podpory ze stran obcí bude řešena v součinnosti s jednotlivými zadavateli v průběhu roku.</v>
      </c>
      <c r="WS220" s="849" t="str">
        <f t="shared" si="321"/>
        <v>bez komentáře</v>
      </c>
      <c r="WT220" s="849" t="str">
        <f t="shared" si="321"/>
        <v>bez komentáře</v>
      </c>
      <c r="WU220" s="845"/>
    </row>
    <row r="221" spans="1:619" s="128" customFormat="1" x14ac:dyDescent="0.25">
      <c r="A221" s="128" t="str">
        <f>VLOOKUP(F221,'Výpočet VP 2020'!$D$324:$I$588,6,FALSE)</f>
        <v>Je v síti</v>
      </c>
      <c r="B221" s="128" t="s">
        <v>922</v>
      </c>
      <c r="C221" s="128">
        <v>46456970</v>
      </c>
      <c r="D221" s="128" t="s">
        <v>923</v>
      </c>
      <c r="E221" s="128" t="s">
        <v>242</v>
      </c>
      <c r="F221" s="128">
        <v>8051895</v>
      </c>
      <c r="G221" s="128" t="s">
        <v>267</v>
      </c>
      <c r="H221" s="128" t="s">
        <v>218</v>
      </c>
      <c r="I221" s="128" t="s">
        <v>927</v>
      </c>
      <c r="J221" s="129">
        <v>35796</v>
      </c>
      <c r="L221" s="128" t="s">
        <v>220</v>
      </c>
      <c r="M221" s="128" t="s">
        <v>825</v>
      </c>
      <c r="N221" s="128">
        <v>25</v>
      </c>
      <c r="P221" s="128">
        <v>26</v>
      </c>
      <c r="Q221" s="128">
        <v>28</v>
      </c>
      <c r="R221" s="128">
        <v>30</v>
      </c>
      <c r="BL221" s="128" t="s">
        <v>356</v>
      </c>
      <c r="BM221" s="128" t="s">
        <v>228</v>
      </c>
      <c r="BN221" s="128" t="s">
        <v>364</v>
      </c>
      <c r="DA221" s="128">
        <v>0</v>
      </c>
      <c r="DB221" s="128">
        <v>0</v>
      </c>
      <c r="DC221" s="128">
        <v>0</v>
      </c>
      <c r="DD221" s="128">
        <v>0</v>
      </c>
      <c r="DE221" s="128">
        <v>0</v>
      </c>
      <c r="DF221" s="128">
        <v>5</v>
      </c>
      <c r="DG221" s="128">
        <v>9</v>
      </c>
      <c r="DH221" s="128">
        <v>1</v>
      </c>
      <c r="DI221" s="128">
        <v>0</v>
      </c>
      <c r="DJ221" s="128">
        <v>4</v>
      </c>
      <c r="DK221" s="128">
        <v>5</v>
      </c>
      <c r="DL221" s="128">
        <v>9</v>
      </c>
      <c r="DM221" s="128">
        <v>1</v>
      </c>
      <c r="DN221" s="128">
        <v>0</v>
      </c>
      <c r="DO221" s="128">
        <v>4</v>
      </c>
      <c r="DP221" s="128">
        <v>0</v>
      </c>
      <c r="DQ221" s="128">
        <v>19</v>
      </c>
      <c r="DR221" s="128">
        <v>19</v>
      </c>
      <c r="DS221" s="128">
        <v>0</v>
      </c>
      <c r="DT221" s="128">
        <v>0</v>
      </c>
      <c r="DU221" s="128">
        <v>0</v>
      </c>
      <c r="DV221" s="128">
        <v>0</v>
      </c>
      <c r="DW221" s="128">
        <v>0</v>
      </c>
      <c r="DX221" s="128">
        <v>7</v>
      </c>
      <c r="DY221" s="128">
        <v>7</v>
      </c>
      <c r="DZ221" s="128">
        <v>1</v>
      </c>
      <c r="EA221" s="128">
        <v>0</v>
      </c>
      <c r="EB221" s="128">
        <v>10</v>
      </c>
      <c r="EC221" s="128">
        <v>7</v>
      </c>
      <c r="ED221" s="128">
        <v>7</v>
      </c>
      <c r="EE221" s="128">
        <v>1</v>
      </c>
      <c r="EF221" s="128">
        <v>0</v>
      </c>
      <c r="EG221" s="128">
        <v>10</v>
      </c>
      <c r="EH221" s="128">
        <v>0</v>
      </c>
      <c r="EI221" s="128">
        <v>25</v>
      </c>
      <c r="EJ221" s="128">
        <v>25</v>
      </c>
      <c r="EK221" s="128">
        <v>1</v>
      </c>
      <c r="EL221" s="128">
        <v>1</v>
      </c>
      <c r="EM221" s="128">
        <v>1</v>
      </c>
      <c r="EN221" s="128">
        <v>470000</v>
      </c>
      <c r="EO221" s="128">
        <v>320000</v>
      </c>
      <c r="EP221" s="128">
        <v>7</v>
      </c>
      <c r="EQ221" s="128">
        <v>6</v>
      </c>
      <c r="ER221" s="128">
        <v>4.45</v>
      </c>
      <c r="ES221" s="128">
        <v>2350000</v>
      </c>
      <c r="ET221" s="128">
        <v>1650000</v>
      </c>
      <c r="FO221" s="128">
        <v>1</v>
      </c>
      <c r="FP221" s="128">
        <v>0.75</v>
      </c>
      <c r="FQ221" s="128">
        <v>0.75</v>
      </c>
      <c r="FR221" s="128">
        <v>420000</v>
      </c>
      <c r="FS221" s="128">
        <v>270000</v>
      </c>
      <c r="IN221" s="128">
        <v>2</v>
      </c>
      <c r="IO221" s="128">
        <v>400</v>
      </c>
      <c r="IP221" s="128">
        <v>0.191</v>
      </c>
      <c r="IQ221" s="128">
        <v>80000</v>
      </c>
      <c r="IR221" s="128">
        <v>80000</v>
      </c>
      <c r="IS221" s="128">
        <v>1</v>
      </c>
      <c r="IT221" s="128">
        <v>150</v>
      </c>
      <c r="IU221" s="128">
        <v>7.1999999999999995E-2</v>
      </c>
      <c r="IV221" s="128">
        <v>30000</v>
      </c>
      <c r="IW221" s="128">
        <v>30000</v>
      </c>
      <c r="KG221" s="128">
        <v>50</v>
      </c>
      <c r="KH221" s="128">
        <v>300</v>
      </c>
      <c r="KI221" s="128">
        <v>7</v>
      </c>
      <c r="KJ221" s="128">
        <v>0</v>
      </c>
      <c r="KK221" s="128">
        <v>0.191</v>
      </c>
      <c r="KL221" s="128">
        <v>0</v>
      </c>
      <c r="KM221" s="128">
        <v>7.1909999999999998</v>
      </c>
      <c r="KN221" s="128">
        <v>3240000</v>
      </c>
      <c r="KO221" s="128">
        <v>2240000</v>
      </c>
      <c r="KP221" s="128">
        <v>2240000</v>
      </c>
      <c r="KT221" s="128">
        <v>0</v>
      </c>
      <c r="KU221" s="128">
        <v>0</v>
      </c>
      <c r="KV221" s="128">
        <v>0</v>
      </c>
      <c r="KZ221" s="128">
        <v>110000</v>
      </c>
      <c r="LA221" s="128">
        <v>110000</v>
      </c>
      <c r="LB221" s="128">
        <v>110000</v>
      </c>
      <c r="LF221" s="128">
        <v>0</v>
      </c>
      <c r="LG221" s="128">
        <v>0</v>
      </c>
      <c r="LH221" s="128">
        <v>0</v>
      </c>
      <c r="LL221" s="128">
        <v>0</v>
      </c>
      <c r="LM221" s="128">
        <v>0</v>
      </c>
      <c r="LN221" s="128">
        <v>0</v>
      </c>
      <c r="LR221" s="128">
        <v>0</v>
      </c>
      <c r="LS221" s="128">
        <v>0</v>
      </c>
      <c r="LT221" s="128">
        <v>0</v>
      </c>
      <c r="LX221" s="128">
        <v>0</v>
      </c>
      <c r="LY221" s="128">
        <v>0</v>
      </c>
      <c r="LZ221" s="128">
        <v>0</v>
      </c>
      <c r="MD221" s="128">
        <v>50000</v>
      </c>
      <c r="ME221" s="128">
        <v>50000</v>
      </c>
      <c r="MF221" s="128">
        <v>50000</v>
      </c>
      <c r="MJ221" s="128">
        <v>65000</v>
      </c>
      <c r="MK221" s="128">
        <v>65000</v>
      </c>
      <c r="ML221" s="128">
        <v>65000</v>
      </c>
      <c r="MP221" s="128">
        <v>100000</v>
      </c>
      <c r="MQ221" s="128">
        <v>50000</v>
      </c>
      <c r="MR221" s="128">
        <v>50000</v>
      </c>
      <c r="MV221" s="128">
        <v>670000</v>
      </c>
      <c r="MW221" s="128">
        <v>310000</v>
      </c>
      <c r="MX221" s="128">
        <v>310000</v>
      </c>
      <c r="NB221" s="128">
        <v>270000</v>
      </c>
      <c r="NC221" s="128">
        <v>70000</v>
      </c>
      <c r="ND221" s="128">
        <v>70000</v>
      </c>
      <c r="NH221" s="128">
        <v>0</v>
      </c>
      <c r="NI221" s="128">
        <v>0</v>
      </c>
      <c r="NJ221" s="128">
        <v>0</v>
      </c>
      <c r="NN221" s="128">
        <v>28000</v>
      </c>
      <c r="NO221" s="128">
        <v>28000</v>
      </c>
      <c r="NP221" s="128">
        <v>28000</v>
      </c>
      <c r="NT221" s="128">
        <v>42000</v>
      </c>
      <c r="NU221" s="128">
        <v>42000</v>
      </c>
      <c r="NV221" s="128">
        <v>42000</v>
      </c>
      <c r="NZ221" s="128">
        <v>80000</v>
      </c>
      <c r="OA221" s="128">
        <v>30000</v>
      </c>
      <c r="OB221" s="128">
        <v>30000</v>
      </c>
      <c r="OF221" s="128">
        <v>20000</v>
      </c>
      <c r="OG221" s="128">
        <v>20000</v>
      </c>
      <c r="OH221" s="128">
        <v>20000</v>
      </c>
      <c r="OL221" s="128">
        <v>0</v>
      </c>
      <c r="OM221" s="128">
        <v>0</v>
      </c>
      <c r="ON221" s="128">
        <v>0</v>
      </c>
      <c r="OR221" s="128">
        <v>0</v>
      </c>
      <c r="OS221" s="128">
        <v>0</v>
      </c>
      <c r="OT221" s="128">
        <v>0</v>
      </c>
      <c r="OX221" s="128">
        <v>0</v>
      </c>
      <c r="OY221" s="128">
        <v>0</v>
      </c>
      <c r="OZ221" s="128">
        <v>0</v>
      </c>
      <c r="PD221" s="128">
        <v>600000</v>
      </c>
      <c r="PE221" s="128">
        <v>500000</v>
      </c>
      <c r="PF221" s="128">
        <v>500000</v>
      </c>
      <c r="PJ221" s="128">
        <v>0</v>
      </c>
      <c r="PK221" s="128">
        <v>0</v>
      </c>
      <c r="PL221" s="128">
        <v>0</v>
      </c>
      <c r="PP221" s="128">
        <v>5275000</v>
      </c>
      <c r="PQ221" s="128">
        <v>3515000</v>
      </c>
      <c r="PR221" s="128">
        <v>3515000</v>
      </c>
      <c r="PS221" s="128">
        <v>100</v>
      </c>
      <c r="PT221" s="128">
        <v>100</v>
      </c>
      <c r="PX221" s="128">
        <v>2719040</v>
      </c>
      <c r="PY221" s="128">
        <v>2906291</v>
      </c>
      <c r="PZ221" s="128">
        <v>3515000</v>
      </c>
      <c r="QA221" s="128">
        <v>0</v>
      </c>
      <c r="QB221" s="128">
        <v>0</v>
      </c>
      <c r="QC221" s="128">
        <v>0</v>
      </c>
      <c r="QD221" s="128">
        <v>0</v>
      </c>
      <c r="QE221" s="128">
        <v>50000</v>
      </c>
      <c r="QF221" s="128">
        <v>60000</v>
      </c>
      <c r="QG221" s="128">
        <v>0</v>
      </c>
      <c r="QH221" s="128">
        <v>0</v>
      </c>
      <c r="QI221" s="128">
        <v>0</v>
      </c>
      <c r="QJ221" s="128">
        <v>1814900</v>
      </c>
      <c r="QK221" s="128">
        <v>1600000</v>
      </c>
      <c r="QL221" s="128">
        <v>1700000</v>
      </c>
      <c r="QN221" s="128">
        <v>0</v>
      </c>
      <c r="QO221" s="128">
        <v>0</v>
      </c>
      <c r="QP221" s="128">
        <v>0</v>
      </c>
      <c r="RH221" s="128">
        <f t="shared" si="412"/>
        <v>3575000</v>
      </c>
      <c r="RI221" s="128">
        <v>0</v>
      </c>
      <c r="RM221" s="128" t="s">
        <v>220</v>
      </c>
      <c r="RU221" s="130"/>
      <c r="RV221" s="130"/>
      <c r="RW221" s="130"/>
      <c r="RX221" s="130"/>
      <c r="SF221" s="128">
        <f t="shared" si="322"/>
        <v>8051895</v>
      </c>
      <c r="SG221" s="131">
        <f t="shared" si="323"/>
        <v>5275000</v>
      </c>
      <c r="SH221" s="131">
        <f t="shared" si="324"/>
        <v>5275000</v>
      </c>
      <c r="SI221" s="131">
        <f t="shared" si="325"/>
        <v>3350000</v>
      </c>
      <c r="SJ221" s="132">
        <f t="shared" si="326"/>
        <v>3240000</v>
      </c>
      <c r="SK221" s="132">
        <f t="shared" si="327"/>
        <v>0</v>
      </c>
      <c r="SL221" s="132">
        <f t="shared" si="328"/>
        <v>110000</v>
      </c>
      <c r="SM221" s="132">
        <f t="shared" si="329"/>
        <v>0</v>
      </c>
      <c r="SN221" s="131">
        <f t="shared" si="330"/>
        <v>1925000</v>
      </c>
      <c r="SO221" s="131">
        <f t="shared" si="331"/>
        <v>0</v>
      </c>
      <c r="SP221" s="132">
        <f t="shared" si="332"/>
        <v>0</v>
      </c>
      <c r="SQ221" s="132">
        <f t="shared" si="333"/>
        <v>0</v>
      </c>
      <c r="SR221" s="132">
        <f t="shared" si="334"/>
        <v>0</v>
      </c>
      <c r="SS221" s="132">
        <f t="shared" si="335"/>
        <v>50000</v>
      </c>
      <c r="ST221" s="132">
        <f t="shared" si="336"/>
        <v>65000</v>
      </c>
      <c r="SU221" s="132">
        <f t="shared" si="337"/>
        <v>100000</v>
      </c>
      <c r="SV221" s="131">
        <f t="shared" si="338"/>
        <v>1110000</v>
      </c>
      <c r="SW221" s="132">
        <f t="shared" si="339"/>
        <v>670000</v>
      </c>
      <c r="SX221" s="132">
        <f t="shared" si="340"/>
        <v>270000</v>
      </c>
      <c r="SY221" s="132">
        <f t="shared" si="341"/>
        <v>0</v>
      </c>
      <c r="SZ221" s="132">
        <f t="shared" si="342"/>
        <v>28000</v>
      </c>
      <c r="TA221" s="132">
        <f t="shared" si="343"/>
        <v>42000</v>
      </c>
      <c r="TB221" s="132">
        <f t="shared" si="344"/>
        <v>80000</v>
      </c>
      <c r="TC221" s="132">
        <f t="shared" si="345"/>
        <v>20000</v>
      </c>
      <c r="TD221" s="132">
        <f t="shared" si="346"/>
        <v>0</v>
      </c>
      <c r="TE221" s="132">
        <f t="shared" si="347"/>
        <v>0</v>
      </c>
      <c r="TF221" s="132">
        <f t="shared" si="348"/>
        <v>0</v>
      </c>
      <c r="TG221" s="132">
        <f t="shared" si="349"/>
        <v>600000</v>
      </c>
      <c r="TH221" s="132">
        <f t="shared" si="350"/>
        <v>0</v>
      </c>
      <c r="TI221" s="1"/>
      <c r="TJ221" s="131">
        <f t="shared" si="351"/>
        <v>3515000</v>
      </c>
      <c r="TK221" s="131">
        <f t="shared" si="352"/>
        <v>3515000</v>
      </c>
      <c r="TL221" s="131">
        <f t="shared" si="353"/>
        <v>2350000</v>
      </c>
      <c r="TM221" s="132">
        <f t="shared" si="354"/>
        <v>2240000</v>
      </c>
      <c r="TN221" s="132">
        <f t="shared" si="355"/>
        <v>0</v>
      </c>
      <c r="TO221" s="132">
        <f t="shared" si="356"/>
        <v>110000</v>
      </c>
      <c r="TP221" s="132">
        <f t="shared" si="357"/>
        <v>0</v>
      </c>
      <c r="TQ221" s="131">
        <f t="shared" si="358"/>
        <v>1165000</v>
      </c>
      <c r="TR221" s="131">
        <f t="shared" si="359"/>
        <v>0</v>
      </c>
      <c r="TS221" s="132">
        <f t="shared" si="360"/>
        <v>0</v>
      </c>
      <c r="TT221" s="132">
        <f t="shared" si="361"/>
        <v>0</v>
      </c>
      <c r="TU221" s="132">
        <f t="shared" si="362"/>
        <v>0</v>
      </c>
      <c r="TV221" s="132">
        <f t="shared" si="363"/>
        <v>50000</v>
      </c>
      <c r="TW221" s="132">
        <f t="shared" si="364"/>
        <v>65000</v>
      </c>
      <c r="TX221" s="132">
        <f t="shared" si="365"/>
        <v>50000</v>
      </c>
      <c r="TY221" s="131">
        <f t="shared" si="366"/>
        <v>500000</v>
      </c>
      <c r="TZ221" s="132">
        <f t="shared" si="367"/>
        <v>310000</v>
      </c>
      <c r="UA221" s="132">
        <f t="shared" si="368"/>
        <v>70000</v>
      </c>
      <c r="UB221" s="132">
        <f t="shared" si="369"/>
        <v>0</v>
      </c>
      <c r="UC221" s="132">
        <f t="shared" si="370"/>
        <v>28000</v>
      </c>
      <c r="UD221" s="132">
        <f t="shared" si="371"/>
        <v>42000</v>
      </c>
      <c r="UE221" s="132">
        <f t="shared" si="372"/>
        <v>30000</v>
      </c>
      <c r="UF221" s="132">
        <f t="shared" si="373"/>
        <v>20000</v>
      </c>
      <c r="UG221" s="132">
        <f t="shared" si="374"/>
        <v>0</v>
      </c>
      <c r="UH221" s="132">
        <f t="shared" si="375"/>
        <v>0</v>
      </c>
      <c r="UI221" s="132">
        <f t="shared" si="376"/>
        <v>0</v>
      </c>
      <c r="UJ221" s="132">
        <f t="shared" si="377"/>
        <v>500000</v>
      </c>
      <c r="UK221" s="132">
        <f t="shared" si="378"/>
        <v>0</v>
      </c>
      <c r="UL221" s="132">
        <f t="shared" si="413"/>
        <v>3515000</v>
      </c>
      <c r="UM221" s="131">
        <f t="shared" si="379"/>
        <v>3515000</v>
      </c>
      <c r="UN221" s="131">
        <f t="shared" si="380"/>
        <v>3515000</v>
      </c>
      <c r="UO221" s="131">
        <f t="shared" si="381"/>
        <v>2350000</v>
      </c>
      <c r="UP221" s="132">
        <f t="shared" si="382"/>
        <v>2240000</v>
      </c>
      <c r="UQ221" s="132">
        <f t="shared" si="383"/>
        <v>0</v>
      </c>
      <c r="UR221" s="132">
        <f t="shared" si="384"/>
        <v>110000</v>
      </c>
      <c r="US221" s="132">
        <f t="shared" si="385"/>
        <v>0</v>
      </c>
      <c r="UT221" s="131">
        <f t="shared" si="386"/>
        <v>1165000</v>
      </c>
      <c r="UU221" s="131">
        <f t="shared" si="387"/>
        <v>0</v>
      </c>
      <c r="UV221" s="132">
        <f t="shared" si="388"/>
        <v>0</v>
      </c>
      <c r="UW221" s="132">
        <f t="shared" si="389"/>
        <v>0</v>
      </c>
      <c r="UX221" s="132">
        <f t="shared" si="390"/>
        <v>0</v>
      </c>
      <c r="UY221" s="132">
        <f t="shared" si="391"/>
        <v>50000</v>
      </c>
      <c r="UZ221" s="132">
        <f t="shared" si="392"/>
        <v>65000</v>
      </c>
      <c r="VA221" s="132">
        <f t="shared" si="393"/>
        <v>50000</v>
      </c>
      <c r="VB221" s="131">
        <f t="shared" si="394"/>
        <v>500000</v>
      </c>
      <c r="VC221" s="132">
        <f t="shared" si="395"/>
        <v>310000</v>
      </c>
      <c r="VD221" s="132">
        <f t="shared" si="396"/>
        <v>70000</v>
      </c>
      <c r="VE221" s="132">
        <f t="shared" si="397"/>
        <v>0</v>
      </c>
      <c r="VF221" s="132">
        <f t="shared" si="398"/>
        <v>28000</v>
      </c>
      <c r="VG221" s="132">
        <f t="shared" si="399"/>
        <v>42000</v>
      </c>
      <c r="VH221" s="132">
        <f t="shared" si="400"/>
        <v>30000</v>
      </c>
      <c r="VI221" s="132">
        <f t="shared" si="401"/>
        <v>20000</v>
      </c>
      <c r="VJ221" s="132">
        <f t="shared" si="402"/>
        <v>0</v>
      </c>
      <c r="VK221" s="132">
        <f t="shared" si="403"/>
        <v>0</v>
      </c>
      <c r="VL221" s="132">
        <f t="shared" si="404"/>
        <v>0</v>
      </c>
      <c r="VM221" s="132">
        <f t="shared" si="405"/>
        <v>500000</v>
      </c>
      <c r="VN221" s="132">
        <f t="shared" si="406"/>
        <v>0</v>
      </c>
      <c r="VP221" s="845" t="str">
        <f>IFERROR(HLOOKUP(F221,'Hodnocení '!$C$1:$JH$5,2,FALSE),0)</f>
        <v>Chráněné bydlení Domov</v>
      </c>
      <c r="VQ221" s="838"/>
      <c r="VR221" s="845" t="str">
        <f t="shared" si="414"/>
        <v>Spolek</v>
      </c>
      <c r="VS221" s="845" t="str">
        <f>IFERROR(HLOOKUP(F221,'Hodnocení '!$C$1:$JH$5,5,FALSE),0)</f>
        <v>NZO</v>
      </c>
      <c r="VT221" s="838">
        <f t="shared" si="415"/>
        <v>0</v>
      </c>
      <c r="VU221" s="838">
        <f t="shared" si="416"/>
        <v>0</v>
      </c>
      <c r="VV221" s="838">
        <f t="shared" si="417"/>
        <v>1700000</v>
      </c>
      <c r="VW221" s="838">
        <f t="shared" si="418"/>
        <v>0</v>
      </c>
      <c r="VX221" s="838"/>
      <c r="VY221" s="838">
        <f t="shared" si="419"/>
        <v>0</v>
      </c>
      <c r="VZ221" s="838">
        <f t="shared" si="420"/>
        <v>3015000</v>
      </c>
      <c r="WA221" s="846">
        <f>IFERROR(HLOOKUP($F221,'Hodnocení '!$C$1:$JH$9,9,FALSE),0)</f>
        <v>3015000</v>
      </c>
      <c r="WB221" s="846">
        <f>IF(IFERROR(HLOOKUP($F221,'Hodnocení '!$C$1:$JH$13,13,FALSE),0)&gt;WA221,WA221,IFERROR(HLOOKUP($F221,'Hodnocení '!$C$1:$JH$13,13,FALSE),0))</f>
        <v>3015000</v>
      </c>
      <c r="WC221" s="846">
        <f>IFERROR(HLOOKUP($F221,'Hodnocení '!$C$1:$JH$155,155,FALSE),0)</f>
        <v>3015000</v>
      </c>
      <c r="WD221" s="845"/>
      <c r="WE221" s="845"/>
      <c r="WF221" s="845" t="str">
        <f t="shared" si="407"/>
        <v>ANO</v>
      </c>
      <c r="WG221" s="849" t="str">
        <f t="shared" si="421"/>
        <v>Podpora služby je vyjádřena zařazením do sítě sociálních služeb v KHK a řešením financování služby</v>
      </c>
      <c r="WH221"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21" s="849" t="str">
        <f t="shared" si="421"/>
        <v>Návrh dotace je výsledkem projednání s ostatními zadavateli v rámci sítě služeb KHK</v>
      </c>
      <c r="WJ221" s="849" t="str">
        <f t="shared" si="421"/>
        <v>Bez komentáře</v>
      </c>
      <c r="WK221" s="31">
        <f t="shared" si="408"/>
        <v>0</v>
      </c>
      <c r="WL221" s="850">
        <f t="shared" si="409"/>
        <v>0</v>
      </c>
      <c r="WM221" s="849" t="str">
        <f t="shared" si="410"/>
        <v>V rámci sítě KHK se dlouhodobě řeší otázka navyšování úhrad a průběžně se monitoruje s vazbou na vykrytí vyrovnávací platby</v>
      </c>
      <c r="WN221" s="849">
        <f t="shared" si="411"/>
        <v>0</v>
      </c>
      <c r="WO221" s="849" t="str">
        <f t="shared" si="321"/>
        <v>bez komentáře</v>
      </c>
      <c r="WP221" s="849" t="str">
        <f t="shared" si="321"/>
        <v>bez komentáře</v>
      </c>
      <c r="WQ221" s="849" t="str">
        <f t="shared" si="321"/>
        <v>Konečná výše dotace z rozpočtu KHK bude řešena v návaznosti na řešení podílů jednotlivých zadavatelů.</v>
      </c>
      <c r="WR221" s="849" t="str">
        <f t="shared" si="321"/>
        <v>Konečná výše podpory ze stran obcí bude řešena v součinnosti s jednotlivými zadavateli v průběhu roku.</v>
      </c>
      <c r="WS221" s="849" t="str">
        <f t="shared" si="321"/>
        <v>bez komentáře</v>
      </c>
      <c r="WT221" s="849" t="str">
        <f t="shared" si="321"/>
        <v>bez komentáře</v>
      </c>
      <c r="WU221" s="845"/>
    </row>
    <row r="222" spans="1:619" s="128" customFormat="1" x14ac:dyDescent="0.25">
      <c r="A222" s="128" t="str">
        <f>VLOOKUP(F222,'Výpočet VP 2020'!$D$324:$I$588,6,FALSE)</f>
        <v>Je v síti</v>
      </c>
      <c r="B222" s="128" t="s">
        <v>928</v>
      </c>
      <c r="C222" s="128">
        <v>195201</v>
      </c>
      <c r="D222" s="128" t="s">
        <v>929</v>
      </c>
      <c r="E222" s="128" t="s">
        <v>259</v>
      </c>
      <c r="F222" s="128">
        <v>5922905</v>
      </c>
      <c r="G222" s="128" t="s">
        <v>538</v>
      </c>
      <c r="H222" s="128" t="s">
        <v>230</v>
      </c>
      <c r="I222" s="128" t="s">
        <v>930</v>
      </c>
      <c r="J222" s="129">
        <v>36892</v>
      </c>
      <c r="L222" s="128" t="s">
        <v>220</v>
      </c>
      <c r="X222" s="128" t="s">
        <v>302</v>
      </c>
      <c r="Z222" s="128">
        <v>30</v>
      </c>
      <c r="AA222" s="128">
        <v>0</v>
      </c>
      <c r="AB222" s="128">
        <v>140</v>
      </c>
      <c r="AC222" s="128">
        <v>160</v>
      </c>
      <c r="AD222" s="128">
        <v>180</v>
      </c>
      <c r="BL222" s="128" t="s">
        <v>566</v>
      </c>
      <c r="BM222" s="128" t="s">
        <v>542</v>
      </c>
      <c r="BN222" s="128" t="s">
        <v>567</v>
      </c>
      <c r="EK222" s="128">
        <v>4</v>
      </c>
      <c r="EL222" s="128">
        <v>3.3</v>
      </c>
      <c r="EM222" s="128">
        <v>3.3</v>
      </c>
      <c r="EN222" s="128">
        <v>1952000</v>
      </c>
      <c r="EO222" s="128">
        <v>1860000</v>
      </c>
      <c r="FO222" s="128">
        <v>4</v>
      </c>
      <c r="FP222" s="128">
        <v>0.65</v>
      </c>
      <c r="FQ222" s="128">
        <v>0.55000000000000004</v>
      </c>
      <c r="FR222" s="128">
        <v>414000</v>
      </c>
      <c r="FS222" s="128">
        <v>200000</v>
      </c>
      <c r="IH222" s="128">
        <v>2</v>
      </c>
      <c r="II222" s="128">
        <v>0.5</v>
      </c>
      <c r="IJ222" s="128">
        <v>24</v>
      </c>
      <c r="IK222" s="128">
        <v>0.5</v>
      </c>
      <c r="IL222" s="128">
        <v>118456</v>
      </c>
      <c r="IM222" s="128">
        <v>0</v>
      </c>
      <c r="KG222" s="128">
        <v>4</v>
      </c>
      <c r="KH222" s="128">
        <v>98</v>
      </c>
      <c r="KI222" s="128">
        <v>3.3</v>
      </c>
      <c r="KJ222" s="128">
        <v>0</v>
      </c>
      <c r="KK222" s="128">
        <v>0</v>
      </c>
      <c r="KL222" s="128">
        <v>0</v>
      </c>
      <c r="KM222" s="128">
        <v>3.3</v>
      </c>
      <c r="KN222" s="128">
        <v>2366000</v>
      </c>
      <c r="KO222" s="128">
        <v>2060000</v>
      </c>
      <c r="KP222" s="128">
        <v>2060000</v>
      </c>
      <c r="KT222" s="128">
        <v>118456</v>
      </c>
      <c r="KU222" s="128">
        <v>0</v>
      </c>
      <c r="KV222" s="128">
        <v>0</v>
      </c>
      <c r="KZ222" s="128">
        <v>0</v>
      </c>
      <c r="LA222" s="128">
        <v>0</v>
      </c>
      <c r="LB222" s="128">
        <v>0</v>
      </c>
      <c r="LF222" s="128">
        <v>100000</v>
      </c>
      <c r="LG222" s="128">
        <v>0</v>
      </c>
      <c r="LH222" s="128">
        <v>0</v>
      </c>
      <c r="LL222" s="128">
        <v>0</v>
      </c>
      <c r="LM222" s="128">
        <v>0</v>
      </c>
      <c r="LN222" s="128">
        <v>0</v>
      </c>
      <c r="LR222" s="128">
        <v>0</v>
      </c>
      <c r="LS222" s="128">
        <v>0</v>
      </c>
      <c r="LT222" s="128">
        <v>0</v>
      </c>
      <c r="LX222" s="128">
        <v>3500</v>
      </c>
      <c r="LY222" s="128">
        <v>0</v>
      </c>
      <c r="LZ222" s="128">
        <v>0</v>
      </c>
      <c r="MD222" s="128">
        <v>22000</v>
      </c>
      <c r="ME222" s="128">
        <v>15000</v>
      </c>
      <c r="MF222" s="128">
        <v>15000</v>
      </c>
      <c r="MJ222" s="128">
        <v>1000</v>
      </c>
      <c r="MK222" s="128">
        <v>0</v>
      </c>
      <c r="ML222" s="128">
        <v>0</v>
      </c>
      <c r="MP222" s="128">
        <v>30000</v>
      </c>
      <c r="MQ222" s="128">
        <v>20000</v>
      </c>
      <c r="MR222" s="128">
        <v>20000</v>
      </c>
      <c r="MV222" s="128">
        <v>40000</v>
      </c>
      <c r="MW222" s="128">
        <v>0</v>
      </c>
      <c r="MX222" s="128">
        <v>0</v>
      </c>
      <c r="NB222" s="128">
        <v>6000</v>
      </c>
      <c r="NC222" s="128">
        <v>0</v>
      </c>
      <c r="ND222" s="128">
        <v>0</v>
      </c>
      <c r="NH222" s="128">
        <v>150000</v>
      </c>
      <c r="NI222" s="128">
        <v>120000</v>
      </c>
      <c r="NJ222" s="128">
        <v>120000</v>
      </c>
      <c r="NN222" s="128">
        <v>0</v>
      </c>
      <c r="NO222" s="128">
        <v>0</v>
      </c>
      <c r="NP222" s="128">
        <v>0</v>
      </c>
      <c r="NT222" s="128">
        <v>60000</v>
      </c>
      <c r="NU222" s="128">
        <v>45000</v>
      </c>
      <c r="NV222" s="128">
        <v>45000</v>
      </c>
      <c r="NZ222" s="128">
        <v>7000</v>
      </c>
      <c r="OA222" s="128">
        <v>0</v>
      </c>
      <c r="OB222" s="128">
        <v>0</v>
      </c>
      <c r="OF222" s="128">
        <v>10000</v>
      </c>
      <c r="OG222" s="128">
        <v>0</v>
      </c>
      <c r="OH222" s="128">
        <v>0</v>
      </c>
      <c r="OL222" s="128">
        <v>0</v>
      </c>
      <c r="OM222" s="128">
        <v>0</v>
      </c>
      <c r="ON222" s="128">
        <v>0</v>
      </c>
      <c r="OR222" s="128">
        <v>0</v>
      </c>
      <c r="OS222" s="128">
        <v>0</v>
      </c>
      <c r="OT222" s="128">
        <v>0</v>
      </c>
      <c r="OX222" s="128">
        <v>80000</v>
      </c>
      <c r="OY222" s="128">
        <v>30000</v>
      </c>
      <c r="OZ222" s="128">
        <v>30000</v>
      </c>
      <c r="PD222" s="128">
        <v>0</v>
      </c>
      <c r="PE222" s="128">
        <v>0</v>
      </c>
      <c r="PF222" s="128">
        <v>0</v>
      </c>
      <c r="PJ222" s="128">
        <v>210000</v>
      </c>
      <c r="PK222" s="128">
        <v>0</v>
      </c>
      <c r="PL222" s="128">
        <v>0</v>
      </c>
      <c r="PP222" s="128">
        <v>3203956</v>
      </c>
      <c r="PQ222" s="128">
        <v>2290000</v>
      </c>
      <c r="PR222" s="128">
        <v>2290000</v>
      </c>
      <c r="PS222" s="128">
        <v>100</v>
      </c>
      <c r="PT222" s="128">
        <v>100</v>
      </c>
      <c r="PX222" s="128">
        <v>1465046</v>
      </c>
      <c r="PY222" s="128">
        <v>1625000</v>
      </c>
      <c r="PZ222" s="128">
        <v>2290000</v>
      </c>
      <c r="QA222" s="128">
        <v>0</v>
      </c>
      <c r="QB222" s="128">
        <v>0</v>
      </c>
      <c r="QC222" s="128">
        <v>0</v>
      </c>
      <c r="QD222" s="128">
        <v>0</v>
      </c>
      <c r="QE222" s="128">
        <v>0</v>
      </c>
      <c r="QF222" s="128">
        <v>0</v>
      </c>
      <c r="QG222" s="128">
        <v>678023</v>
      </c>
      <c r="QH222" s="128">
        <v>1111000</v>
      </c>
      <c r="QI222" s="128">
        <v>813956</v>
      </c>
      <c r="QJ222" s="128">
        <v>0</v>
      </c>
      <c r="QK222" s="128">
        <v>0</v>
      </c>
      <c r="QL222" s="128">
        <v>0</v>
      </c>
      <c r="QN222" s="128">
        <v>0</v>
      </c>
      <c r="QO222" s="128">
        <v>0</v>
      </c>
      <c r="QP222" s="128">
        <v>0</v>
      </c>
      <c r="QX222" s="128">
        <v>80000</v>
      </c>
      <c r="QY222" s="128">
        <v>80000</v>
      </c>
      <c r="QZ222" s="128">
        <v>100000</v>
      </c>
      <c r="RH222" s="128">
        <f t="shared" si="412"/>
        <v>3203956</v>
      </c>
      <c r="RI222" s="128">
        <v>0</v>
      </c>
      <c r="RM222" s="128" t="s">
        <v>220</v>
      </c>
      <c r="RU222" s="130"/>
      <c r="RV222" s="130"/>
      <c r="RW222" s="130"/>
      <c r="RX222" s="130"/>
      <c r="SF222" s="128">
        <f t="shared" si="322"/>
        <v>5922905</v>
      </c>
      <c r="SG222" s="131">
        <f t="shared" si="323"/>
        <v>3203956</v>
      </c>
      <c r="SH222" s="131">
        <f t="shared" si="324"/>
        <v>3203956</v>
      </c>
      <c r="SI222" s="131">
        <f t="shared" si="325"/>
        <v>2584456</v>
      </c>
      <c r="SJ222" s="132">
        <f t="shared" si="326"/>
        <v>2366000</v>
      </c>
      <c r="SK222" s="132">
        <f t="shared" si="327"/>
        <v>118456</v>
      </c>
      <c r="SL222" s="132">
        <f t="shared" si="328"/>
        <v>0</v>
      </c>
      <c r="SM222" s="132">
        <f t="shared" si="329"/>
        <v>100000</v>
      </c>
      <c r="SN222" s="131">
        <f t="shared" si="330"/>
        <v>619500</v>
      </c>
      <c r="SO222" s="131">
        <f t="shared" si="331"/>
        <v>0</v>
      </c>
      <c r="SP222" s="132">
        <f t="shared" si="332"/>
        <v>0</v>
      </c>
      <c r="SQ222" s="132">
        <f t="shared" si="333"/>
        <v>0</v>
      </c>
      <c r="SR222" s="132">
        <f t="shared" si="334"/>
        <v>3500</v>
      </c>
      <c r="SS222" s="132">
        <f t="shared" si="335"/>
        <v>22000</v>
      </c>
      <c r="ST222" s="132">
        <f t="shared" si="336"/>
        <v>1000</v>
      </c>
      <c r="SU222" s="132">
        <f t="shared" si="337"/>
        <v>30000</v>
      </c>
      <c r="SV222" s="131">
        <f t="shared" si="338"/>
        <v>353000</v>
      </c>
      <c r="SW222" s="132">
        <f t="shared" si="339"/>
        <v>40000</v>
      </c>
      <c r="SX222" s="132">
        <f t="shared" si="340"/>
        <v>6000</v>
      </c>
      <c r="SY222" s="132">
        <f t="shared" si="341"/>
        <v>150000</v>
      </c>
      <c r="SZ222" s="132">
        <f t="shared" si="342"/>
        <v>0</v>
      </c>
      <c r="TA222" s="132">
        <f t="shared" si="343"/>
        <v>60000</v>
      </c>
      <c r="TB222" s="132">
        <f t="shared" si="344"/>
        <v>7000</v>
      </c>
      <c r="TC222" s="132">
        <f t="shared" si="345"/>
        <v>10000</v>
      </c>
      <c r="TD222" s="132">
        <f t="shared" si="346"/>
        <v>0</v>
      </c>
      <c r="TE222" s="132">
        <f t="shared" si="347"/>
        <v>0</v>
      </c>
      <c r="TF222" s="132">
        <f t="shared" si="348"/>
        <v>80000</v>
      </c>
      <c r="TG222" s="132">
        <f t="shared" si="349"/>
        <v>0</v>
      </c>
      <c r="TH222" s="132">
        <f t="shared" si="350"/>
        <v>210000</v>
      </c>
      <c r="TI222" s="1"/>
      <c r="TJ222" s="131">
        <f t="shared" si="351"/>
        <v>2290000</v>
      </c>
      <c r="TK222" s="131">
        <f t="shared" si="352"/>
        <v>2290000</v>
      </c>
      <c r="TL222" s="131">
        <f t="shared" si="353"/>
        <v>2060000</v>
      </c>
      <c r="TM222" s="132">
        <f t="shared" si="354"/>
        <v>2060000</v>
      </c>
      <c r="TN222" s="132">
        <f t="shared" si="355"/>
        <v>0</v>
      </c>
      <c r="TO222" s="132">
        <f t="shared" si="356"/>
        <v>0</v>
      </c>
      <c r="TP222" s="132">
        <f t="shared" si="357"/>
        <v>0</v>
      </c>
      <c r="TQ222" s="131">
        <f t="shared" si="358"/>
        <v>230000</v>
      </c>
      <c r="TR222" s="131">
        <f t="shared" si="359"/>
        <v>0</v>
      </c>
      <c r="TS222" s="132">
        <f t="shared" si="360"/>
        <v>0</v>
      </c>
      <c r="TT222" s="132">
        <f t="shared" si="361"/>
        <v>0</v>
      </c>
      <c r="TU222" s="132">
        <f t="shared" si="362"/>
        <v>0</v>
      </c>
      <c r="TV222" s="132">
        <f t="shared" si="363"/>
        <v>15000</v>
      </c>
      <c r="TW222" s="132">
        <f t="shared" si="364"/>
        <v>0</v>
      </c>
      <c r="TX222" s="132">
        <f t="shared" si="365"/>
        <v>20000</v>
      </c>
      <c r="TY222" s="131">
        <f t="shared" si="366"/>
        <v>195000</v>
      </c>
      <c r="TZ222" s="132">
        <f t="shared" si="367"/>
        <v>0</v>
      </c>
      <c r="UA222" s="132">
        <f t="shared" si="368"/>
        <v>0</v>
      </c>
      <c r="UB222" s="132">
        <f t="shared" si="369"/>
        <v>120000</v>
      </c>
      <c r="UC222" s="132">
        <f t="shared" si="370"/>
        <v>0</v>
      </c>
      <c r="UD222" s="132">
        <f t="shared" si="371"/>
        <v>45000</v>
      </c>
      <c r="UE222" s="132">
        <f t="shared" si="372"/>
        <v>0</v>
      </c>
      <c r="UF222" s="132">
        <f t="shared" si="373"/>
        <v>0</v>
      </c>
      <c r="UG222" s="132">
        <f t="shared" si="374"/>
        <v>0</v>
      </c>
      <c r="UH222" s="132">
        <f t="shared" si="375"/>
        <v>0</v>
      </c>
      <c r="UI222" s="132">
        <f t="shared" si="376"/>
        <v>30000</v>
      </c>
      <c r="UJ222" s="132">
        <f t="shared" si="377"/>
        <v>0</v>
      </c>
      <c r="UK222" s="132">
        <f t="shared" si="378"/>
        <v>0</v>
      </c>
      <c r="UL222" s="132">
        <f t="shared" si="413"/>
        <v>2290000</v>
      </c>
      <c r="UM222" s="131">
        <f t="shared" si="379"/>
        <v>2290000</v>
      </c>
      <c r="UN222" s="131">
        <f t="shared" si="380"/>
        <v>2290000</v>
      </c>
      <c r="UO222" s="131">
        <f t="shared" si="381"/>
        <v>2060000</v>
      </c>
      <c r="UP222" s="132">
        <f t="shared" si="382"/>
        <v>2060000</v>
      </c>
      <c r="UQ222" s="132">
        <f t="shared" si="383"/>
        <v>0</v>
      </c>
      <c r="UR222" s="132">
        <f t="shared" si="384"/>
        <v>0</v>
      </c>
      <c r="US222" s="132">
        <f t="shared" si="385"/>
        <v>0</v>
      </c>
      <c r="UT222" s="131">
        <f t="shared" si="386"/>
        <v>230000</v>
      </c>
      <c r="UU222" s="131">
        <f t="shared" si="387"/>
        <v>0</v>
      </c>
      <c r="UV222" s="132">
        <f t="shared" si="388"/>
        <v>0</v>
      </c>
      <c r="UW222" s="132">
        <f t="shared" si="389"/>
        <v>0</v>
      </c>
      <c r="UX222" s="132">
        <f t="shared" si="390"/>
        <v>0</v>
      </c>
      <c r="UY222" s="132">
        <f t="shared" si="391"/>
        <v>15000</v>
      </c>
      <c r="UZ222" s="132">
        <f t="shared" si="392"/>
        <v>0</v>
      </c>
      <c r="VA222" s="132">
        <f t="shared" si="393"/>
        <v>20000</v>
      </c>
      <c r="VB222" s="131">
        <f t="shared" si="394"/>
        <v>195000</v>
      </c>
      <c r="VC222" s="132">
        <f t="shared" si="395"/>
        <v>0</v>
      </c>
      <c r="VD222" s="132">
        <f t="shared" si="396"/>
        <v>0</v>
      </c>
      <c r="VE222" s="132">
        <f t="shared" si="397"/>
        <v>120000</v>
      </c>
      <c r="VF222" s="132">
        <f t="shared" si="398"/>
        <v>0</v>
      </c>
      <c r="VG222" s="132">
        <f t="shared" si="399"/>
        <v>45000</v>
      </c>
      <c r="VH222" s="132">
        <f t="shared" si="400"/>
        <v>0</v>
      </c>
      <c r="VI222" s="132">
        <f t="shared" si="401"/>
        <v>0</v>
      </c>
      <c r="VJ222" s="132">
        <f t="shared" si="402"/>
        <v>0</v>
      </c>
      <c r="VK222" s="132">
        <f t="shared" si="403"/>
        <v>0</v>
      </c>
      <c r="VL222" s="132">
        <f t="shared" si="404"/>
        <v>30000</v>
      </c>
      <c r="VM222" s="132">
        <f t="shared" si="405"/>
        <v>0</v>
      </c>
      <c r="VN222" s="132">
        <f t="shared" si="406"/>
        <v>0</v>
      </c>
      <c r="VP222" s="845" t="str">
        <f>IFERROR(HLOOKUP(F222,'Hodnocení '!$C$1:$JH$5,2,FALSE),0)</f>
        <v>Nízkoprahové zařízení pro děti a mládež - RIAPS - Shelter</v>
      </c>
      <c r="VQ222" s="838"/>
      <c r="VR222" s="845" t="str">
        <f t="shared" si="414"/>
        <v>Příspěvková organizace zřízená územním samosprávným celkem</v>
      </c>
      <c r="VS222" s="845" t="str">
        <f>IFERROR(HLOOKUP(F222,'Hodnocení '!$C$1:$JH$5,5,FALSE),0)</f>
        <v>PO KHK</v>
      </c>
      <c r="VT222" s="838">
        <f t="shared" si="415"/>
        <v>0</v>
      </c>
      <c r="VU222" s="838" t="str">
        <f t="shared" si="416"/>
        <v>PO KHK</v>
      </c>
      <c r="VV222" s="838">
        <f t="shared" si="417"/>
        <v>0</v>
      </c>
      <c r="VW222" s="838">
        <f t="shared" si="418"/>
        <v>0</v>
      </c>
      <c r="VX222" s="838"/>
      <c r="VY222" s="838">
        <f t="shared" si="419"/>
        <v>0</v>
      </c>
      <c r="VZ222" s="838">
        <f t="shared" si="420"/>
        <v>2290000</v>
      </c>
      <c r="WA222" s="846">
        <f>IFERROR(HLOOKUP($F222,'Hodnocení '!$C$1:$JH$9,9,FALSE),0)</f>
        <v>2290000</v>
      </c>
      <c r="WB222" s="846">
        <f>IF(IFERROR(HLOOKUP($F222,'Hodnocení '!$C$1:$JH$13,13,FALSE),0)&gt;WA222,WA222,IFERROR(HLOOKUP($F222,'Hodnocení '!$C$1:$JH$13,13,FALSE),0))</f>
        <v>2169515.4593524667</v>
      </c>
      <c r="WC222" s="846">
        <f>IFERROR(HLOOKUP($F222,'Hodnocení '!$C$1:$JH$155,155,FALSE),0)</f>
        <v>1625000</v>
      </c>
      <c r="WD222" s="845"/>
      <c r="WE222" s="845"/>
      <c r="WF222" s="845" t="str">
        <f t="shared" si="407"/>
        <v>ANO</v>
      </c>
      <c r="WG222" s="849" t="str">
        <f t="shared" si="421"/>
        <v>Podpora služby je vyjádřena zařazením do sítě sociálních služeb v KHK a řešením financování služby</v>
      </c>
      <c r="WH222"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22" s="849" t="str">
        <f t="shared" si="421"/>
        <v>Návrh dotace je výsledkem projednání s ostatními zadavateli v rámci sítě služeb KHK</v>
      </c>
      <c r="WJ222" s="849" t="str">
        <f t="shared" si="421"/>
        <v>Bez komentáře</v>
      </c>
      <c r="WK222" s="31">
        <f t="shared" si="408"/>
        <v>0</v>
      </c>
      <c r="WL222" s="850" t="str">
        <f t="shared" si="409"/>
        <v>Případná úprava příspěvku zřizovatele bude řešena v návaznosti na vývoj služby</v>
      </c>
      <c r="WM222" s="849">
        <f t="shared" si="410"/>
        <v>0</v>
      </c>
      <c r="WN222" s="849">
        <f t="shared" si="411"/>
        <v>0</v>
      </c>
      <c r="WO222" s="849" t="str">
        <f t="shared" si="321"/>
        <v>bez komentáře</v>
      </c>
      <c r="WP222" s="849" t="str">
        <f t="shared" si="321"/>
        <v>bez komentáře</v>
      </c>
      <c r="WQ222" s="849" t="str">
        <f t="shared" si="321"/>
        <v>Konečná výše dotace z rozpočtu KHK bude řešena v návaznosti na řešení podílů jednotlivých zadavatelů.</v>
      </c>
      <c r="WR222" s="849" t="str">
        <f t="shared" si="321"/>
        <v>Konečná výše podpory ze stran obcí bude řešena v součinnosti s jednotlivými zadavateli v průběhu roku.</v>
      </c>
      <c r="WS222" s="849" t="str">
        <f t="shared" si="321"/>
        <v>bez komentáře</v>
      </c>
      <c r="WT222" s="849" t="str">
        <f t="shared" si="321"/>
        <v>bez komentáře</v>
      </c>
      <c r="WU222" s="845"/>
    </row>
    <row r="223" spans="1:619" s="128" customFormat="1" x14ac:dyDescent="0.25">
      <c r="A223" s="128" t="str">
        <f>VLOOKUP(F223,'Výpočet VP 2020'!$D$324:$I$588,6,FALSE)</f>
        <v>Je v síti</v>
      </c>
      <c r="B223" s="128" t="s">
        <v>928</v>
      </c>
      <c r="C223" s="128">
        <v>195201</v>
      </c>
      <c r="D223" s="128" t="s">
        <v>929</v>
      </c>
      <c r="E223" s="128" t="s">
        <v>259</v>
      </c>
      <c r="F223" s="128">
        <v>8314639</v>
      </c>
      <c r="G223" s="128" t="s">
        <v>292</v>
      </c>
      <c r="H223" s="128" t="s">
        <v>293</v>
      </c>
      <c r="I223" s="128" t="s">
        <v>931</v>
      </c>
      <c r="J223" s="129">
        <v>34029</v>
      </c>
      <c r="L223" s="128" t="s">
        <v>220</v>
      </c>
      <c r="X223" s="128" t="s">
        <v>238</v>
      </c>
      <c r="AI223" s="128">
        <v>4</v>
      </c>
      <c r="AJ223" s="128">
        <v>0</v>
      </c>
      <c r="AK223" s="128">
        <v>5926</v>
      </c>
      <c r="AL223" s="128">
        <v>5300</v>
      </c>
      <c r="AM223" s="128">
        <v>6200</v>
      </c>
      <c r="AO223" s="128" t="s">
        <v>932</v>
      </c>
      <c r="BL223" s="128" t="s">
        <v>317</v>
      </c>
      <c r="BM223" s="128" t="s">
        <v>279</v>
      </c>
      <c r="BN223" s="128" t="s">
        <v>299</v>
      </c>
      <c r="EK223" s="128">
        <v>1</v>
      </c>
      <c r="EL223" s="128">
        <v>1</v>
      </c>
      <c r="EM223" s="128">
        <v>1</v>
      </c>
      <c r="EN223" s="128">
        <v>588000</v>
      </c>
      <c r="EO223" s="128">
        <v>588000</v>
      </c>
      <c r="FJ223" s="128">
        <v>4</v>
      </c>
      <c r="FK223" s="128">
        <v>3.15</v>
      </c>
      <c r="FL223" s="128">
        <v>3.15</v>
      </c>
      <c r="FM223" s="128">
        <v>1983000</v>
      </c>
      <c r="FN223" s="128">
        <v>1900000</v>
      </c>
      <c r="FO223" s="128">
        <v>4</v>
      </c>
      <c r="FP223" s="128">
        <v>0.7</v>
      </c>
      <c r="FQ223" s="128">
        <v>0.4</v>
      </c>
      <c r="FR223" s="128">
        <v>436700</v>
      </c>
      <c r="FS223" s="128">
        <v>250000</v>
      </c>
      <c r="IH223" s="128">
        <v>1</v>
      </c>
      <c r="II223" s="128">
        <v>0.5</v>
      </c>
      <c r="IJ223" s="128">
        <v>12</v>
      </c>
      <c r="IK223" s="128">
        <v>0.5</v>
      </c>
      <c r="IL223" s="128">
        <v>118000</v>
      </c>
      <c r="IM223" s="128">
        <v>60000</v>
      </c>
      <c r="IS223" s="128">
        <v>1</v>
      </c>
      <c r="IT223" s="128">
        <v>12</v>
      </c>
      <c r="IU223" s="128">
        <v>6.0000000000000001E-3</v>
      </c>
      <c r="IV223" s="128">
        <v>6000</v>
      </c>
      <c r="IW223" s="128">
        <v>6000</v>
      </c>
      <c r="KG223" s="128">
        <v>0</v>
      </c>
      <c r="KI223" s="128">
        <v>4.1500000000000004</v>
      </c>
      <c r="KJ223" s="128">
        <v>0</v>
      </c>
      <c r="KK223" s="128">
        <v>0</v>
      </c>
      <c r="KL223" s="128">
        <v>0</v>
      </c>
      <c r="KM223" s="128">
        <v>4.1500000000000004</v>
      </c>
      <c r="KN223" s="128">
        <v>3007700</v>
      </c>
      <c r="KO223" s="128">
        <v>2738000</v>
      </c>
      <c r="KP223" s="128">
        <v>2738000</v>
      </c>
      <c r="KT223" s="128">
        <v>118000</v>
      </c>
      <c r="KU223" s="128">
        <v>60000</v>
      </c>
      <c r="KV223" s="128">
        <v>60000</v>
      </c>
      <c r="KZ223" s="128">
        <v>6000</v>
      </c>
      <c r="LA223" s="128">
        <v>6000</v>
      </c>
      <c r="LB223" s="128">
        <v>6000</v>
      </c>
      <c r="LF223" s="128">
        <v>75000</v>
      </c>
      <c r="LG223" s="128">
        <v>0</v>
      </c>
      <c r="LH223" s="128">
        <v>0</v>
      </c>
      <c r="LL223" s="128">
        <v>0</v>
      </c>
      <c r="LM223" s="128">
        <v>0</v>
      </c>
      <c r="LN223" s="128">
        <v>0</v>
      </c>
      <c r="LR223" s="128">
        <v>25000</v>
      </c>
      <c r="LS223" s="128">
        <v>0</v>
      </c>
      <c r="LT223" s="128">
        <v>0</v>
      </c>
      <c r="LX223" s="128">
        <v>1000</v>
      </c>
      <c r="LY223" s="128">
        <v>0</v>
      </c>
      <c r="LZ223" s="128">
        <v>0</v>
      </c>
      <c r="MD223" s="128">
        <v>4000</v>
      </c>
      <c r="ME223" s="128">
        <v>4000</v>
      </c>
      <c r="MF223" s="128">
        <v>4000</v>
      </c>
      <c r="MJ223" s="128">
        <v>500</v>
      </c>
      <c r="MK223" s="128">
        <v>0</v>
      </c>
      <c r="ML223" s="128">
        <v>0</v>
      </c>
      <c r="MP223" s="128">
        <v>15000</v>
      </c>
      <c r="MQ223" s="128">
        <v>10000</v>
      </c>
      <c r="MR223" s="128">
        <v>10000</v>
      </c>
      <c r="MV223" s="128">
        <v>70000</v>
      </c>
      <c r="MW223" s="128">
        <v>0</v>
      </c>
      <c r="MX223" s="128">
        <v>0</v>
      </c>
      <c r="NB223" s="128">
        <v>15000</v>
      </c>
      <c r="NC223" s="128">
        <v>10000</v>
      </c>
      <c r="ND223" s="128">
        <v>10000</v>
      </c>
      <c r="NH223" s="128">
        <v>0</v>
      </c>
      <c r="NI223" s="128">
        <v>0</v>
      </c>
      <c r="NJ223" s="128">
        <v>0</v>
      </c>
      <c r="NN223" s="128">
        <v>0</v>
      </c>
      <c r="NO223" s="128">
        <v>0</v>
      </c>
      <c r="NP223" s="128">
        <v>0</v>
      </c>
      <c r="NT223" s="128">
        <v>25000</v>
      </c>
      <c r="NU223" s="128">
        <v>15000</v>
      </c>
      <c r="NV223" s="128">
        <v>15000</v>
      </c>
      <c r="NZ223" s="128">
        <v>15000</v>
      </c>
      <c r="OA223" s="128">
        <v>0</v>
      </c>
      <c r="OB223" s="128">
        <v>0</v>
      </c>
      <c r="OF223" s="128">
        <v>7000</v>
      </c>
      <c r="OG223" s="128">
        <v>0</v>
      </c>
      <c r="OH223" s="128">
        <v>0</v>
      </c>
      <c r="OL223" s="128">
        <v>0</v>
      </c>
      <c r="OM223" s="128">
        <v>0</v>
      </c>
      <c r="ON223" s="128">
        <v>0</v>
      </c>
      <c r="OR223" s="128">
        <v>0</v>
      </c>
      <c r="OS223" s="128">
        <v>0</v>
      </c>
      <c r="OT223" s="128">
        <v>0</v>
      </c>
      <c r="OX223" s="128">
        <v>45000</v>
      </c>
      <c r="OY223" s="128">
        <v>25000</v>
      </c>
      <c r="OZ223" s="128">
        <v>25000</v>
      </c>
      <c r="PD223" s="128">
        <v>134000</v>
      </c>
      <c r="PE223" s="128">
        <v>0</v>
      </c>
      <c r="PF223" s="128">
        <v>0</v>
      </c>
      <c r="PJ223" s="128">
        <v>223000</v>
      </c>
      <c r="PK223" s="128">
        <v>0</v>
      </c>
      <c r="PL223" s="128">
        <v>0</v>
      </c>
      <c r="PP223" s="128">
        <v>3786200</v>
      </c>
      <c r="PQ223" s="128">
        <v>2868000</v>
      </c>
      <c r="PR223" s="128">
        <v>2868000</v>
      </c>
      <c r="PS223" s="128">
        <v>100</v>
      </c>
      <c r="PT223" s="128">
        <v>100</v>
      </c>
      <c r="PX223" s="128">
        <v>1297702</v>
      </c>
      <c r="PY223" s="128">
        <v>2298510</v>
      </c>
      <c r="PZ223" s="128">
        <v>2868000</v>
      </c>
      <c r="QA223" s="128">
        <v>0</v>
      </c>
      <c r="QB223" s="128">
        <v>0</v>
      </c>
      <c r="QC223" s="128">
        <v>0</v>
      </c>
      <c r="QD223" s="128">
        <v>0</v>
      </c>
      <c r="QE223" s="128">
        <v>0</v>
      </c>
      <c r="QF223" s="128">
        <v>0</v>
      </c>
      <c r="QG223" s="128">
        <v>1905232</v>
      </c>
      <c r="QH223" s="128">
        <v>738642</v>
      </c>
      <c r="QI223" s="128">
        <v>848200</v>
      </c>
      <c r="QJ223" s="128">
        <v>0</v>
      </c>
      <c r="QK223" s="128">
        <v>0</v>
      </c>
      <c r="QL223" s="128">
        <v>0</v>
      </c>
      <c r="QN223" s="128">
        <v>0</v>
      </c>
      <c r="QO223" s="128">
        <v>0</v>
      </c>
      <c r="QP223" s="128">
        <v>0</v>
      </c>
      <c r="QX223" s="128">
        <v>78000</v>
      </c>
      <c r="QY223" s="128">
        <v>69500</v>
      </c>
      <c r="QZ223" s="128">
        <v>70000</v>
      </c>
      <c r="RH223" s="128">
        <f t="shared" si="412"/>
        <v>3786200</v>
      </c>
      <c r="RI223" s="128">
        <v>0</v>
      </c>
      <c r="RM223" s="128" t="s">
        <v>220</v>
      </c>
      <c r="RU223" s="130"/>
      <c r="RV223" s="130"/>
      <c r="RW223" s="130"/>
      <c r="RX223" s="130"/>
      <c r="SF223" s="128">
        <f t="shared" si="322"/>
        <v>8314639</v>
      </c>
      <c r="SG223" s="131">
        <f t="shared" si="323"/>
        <v>3786200</v>
      </c>
      <c r="SH223" s="131">
        <f t="shared" si="324"/>
        <v>3786200</v>
      </c>
      <c r="SI223" s="131">
        <f t="shared" si="325"/>
        <v>3206700</v>
      </c>
      <c r="SJ223" s="132">
        <f t="shared" si="326"/>
        <v>3007700</v>
      </c>
      <c r="SK223" s="132">
        <f t="shared" si="327"/>
        <v>118000</v>
      </c>
      <c r="SL223" s="132">
        <f t="shared" si="328"/>
        <v>6000</v>
      </c>
      <c r="SM223" s="132">
        <f t="shared" si="329"/>
        <v>75000</v>
      </c>
      <c r="SN223" s="131">
        <f t="shared" si="330"/>
        <v>579500</v>
      </c>
      <c r="SO223" s="131">
        <f t="shared" si="331"/>
        <v>25000</v>
      </c>
      <c r="SP223" s="132">
        <f t="shared" si="332"/>
        <v>0</v>
      </c>
      <c r="SQ223" s="132">
        <f t="shared" si="333"/>
        <v>25000</v>
      </c>
      <c r="SR223" s="132">
        <f t="shared" si="334"/>
        <v>1000</v>
      </c>
      <c r="SS223" s="132">
        <f t="shared" si="335"/>
        <v>4000</v>
      </c>
      <c r="ST223" s="132">
        <f t="shared" si="336"/>
        <v>500</v>
      </c>
      <c r="SU223" s="132">
        <f t="shared" si="337"/>
        <v>15000</v>
      </c>
      <c r="SV223" s="131">
        <f t="shared" si="338"/>
        <v>177000</v>
      </c>
      <c r="SW223" s="132">
        <f t="shared" si="339"/>
        <v>70000</v>
      </c>
      <c r="SX223" s="132">
        <f t="shared" si="340"/>
        <v>15000</v>
      </c>
      <c r="SY223" s="132">
        <f t="shared" si="341"/>
        <v>0</v>
      </c>
      <c r="SZ223" s="132">
        <f t="shared" si="342"/>
        <v>0</v>
      </c>
      <c r="TA223" s="132">
        <f t="shared" si="343"/>
        <v>25000</v>
      </c>
      <c r="TB223" s="132">
        <f t="shared" si="344"/>
        <v>15000</v>
      </c>
      <c r="TC223" s="132">
        <f t="shared" si="345"/>
        <v>7000</v>
      </c>
      <c r="TD223" s="132">
        <f t="shared" si="346"/>
        <v>0</v>
      </c>
      <c r="TE223" s="132">
        <f t="shared" si="347"/>
        <v>0</v>
      </c>
      <c r="TF223" s="132">
        <f t="shared" si="348"/>
        <v>45000</v>
      </c>
      <c r="TG223" s="132">
        <f t="shared" si="349"/>
        <v>134000</v>
      </c>
      <c r="TH223" s="132">
        <f t="shared" si="350"/>
        <v>223000</v>
      </c>
      <c r="TI223" s="1"/>
      <c r="TJ223" s="131">
        <f t="shared" si="351"/>
        <v>2868000</v>
      </c>
      <c r="TK223" s="131">
        <f t="shared" si="352"/>
        <v>2868000</v>
      </c>
      <c r="TL223" s="131">
        <f t="shared" si="353"/>
        <v>2804000</v>
      </c>
      <c r="TM223" s="132">
        <f t="shared" si="354"/>
        <v>2738000</v>
      </c>
      <c r="TN223" s="132">
        <f t="shared" si="355"/>
        <v>60000</v>
      </c>
      <c r="TO223" s="132">
        <f t="shared" si="356"/>
        <v>6000</v>
      </c>
      <c r="TP223" s="132">
        <f t="shared" si="357"/>
        <v>0</v>
      </c>
      <c r="TQ223" s="131">
        <f t="shared" si="358"/>
        <v>64000</v>
      </c>
      <c r="TR223" s="131">
        <f t="shared" si="359"/>
        <v>0</v>
      </c>
      <c r="TS223" s="132">
        <f t="shared" si="360"/>
        <v>0</v>
      </c>
      <c r="TT223" s="132">
        <f t="shared" si="361"/>
        <v>0</v>
      </c>
      <c r="TU223" s="132">
        <f t="shared" si="362"/>
        <v>0</v>
      </c>
      <c r="TV223" s="132">
        <f t="shared" si="363"/>
        <v>4000</v>
      </c>
      <c r="TW223" s="132">
        <f t="shared" si="364"/>
        <v>0</v>
      </c>
      <c r="TX223" s="132">
        <f t="shared" si="365"/>
        <v>10000</v>
      </c>
      <c r="TY223" s="131">
        <f t="shared" si="366"/>
        <v>50000</v>
      </c>
      <c r="TZ223" s="132">
        <f t="shared" si="367"/>
        <v>0</v>
      </c>
      <c r="UA223" s="132">
        <f t="shared" si="368"/>
        <v>10000</v>
      </c>
      <c r="UB223" s="132">
        <f t="shared" si="369"/>
        <v>0</v>
      </c>
      <c r="UC223" s="132">
        <f t="shared" si="370"/>
        <v>0</v>
      </c>
      <c r="UD223" s="132">
        <f t="shared" si="371"/>
        <v>15000</v>
      </c>
      <c r="UE223" s="132">
        <f t="shared" si="372"/>
        <v>0</v>
      </c>
      <c r="UF223" s="132">
        <f t="shared" si="373"/>
        <v>0</v>
      </c>
      <c r="UG223" s="132">
        <f t="shared" si="374"/>
        <v>0</v>
      </c>
      <c r="UH223" s="132">
        <f t="shared" si="375"/>
        <v>0</v>
      </c>
      <c r="UI223" s="132">
        <f t="shared" si="376"/>
        <v>25000</v>
      </c>
      <c r="UJ223" s="132">
        <f t="shared" si="377"/>
        <v>0</v>
      </c>
      <c r="UK223" s="132">
        <f t="shared" si="378"/>
        <v>0</v>
      </c>
      <c r="UL223" s="132">
        <f t="shared" si="413"/>
        <v>2868000</v>
      </c>
      <c r="UM223" s="131">
        <f t="shared" si="379"/>
        <v>2868000</v>
      </c>
      <c r="UN223" s="131">
        <f t="shared" si="380"/>
        <v>2868000</v>
      </c>
      <c r="UO223" s="131">
        <f t="shared" si="381"/>
        <v>2804000</v>
      </c>
      <c r="UP223" s="132">
        <f t="shared" si="382"/>
        <v>2738000</v>
      </c>
      <c r="UQ223" s="132">
        <f t="shared" si="383"/>
        <v>60000</v>
      </c>
      <c r="UR223" s="132">
        <f t="shared" si="384"/>
        <v>6000</v>
      </c>
      <c r="US223" s="132">
        <f t="shared" si="385"/>
        <v>0</v>
      </c>
      <c r="UT223" s="131">
        <f t="shared" si="386"/>
        <v>64000</v>
      </c>
      <c r="UU223" s="131">
        <f t="shared" si="387"/>
        <v>0</v>
      </c>
      <c r="UV223" s="132">
        <f t="shared" si="388"/>
        <v>0</v>
      </c>
      <c r="UW223" s="132">
        <f t="shared" si="389"/>
        <v>0</v>
      </c>
      <c r="UX223" s="132">
        <f t="shared" si="390"/>
        <v>0</v>
      </c>
      <c r="UY223" s="132">
        <f t="shared" si="391"/>
        <v>4000</v>
      </c>
      <c r="UZ223" s="132">
        <f t="shared" si="392"/>
        <v>0</v>
      </c>
      <c r="VA223" s="132">
        <f t="shared" si="393"/>
        <v>10000</v>
      </c>
      <c r="VB223" s="131">
        <f t="shared" si="394"/>
        <v>50000</v>
      </c>
      <c r="VC223" s="132">
        <f t="shared" si="395"/>
        <v>0</v>
      </c>
      <c r="VD223" s="132">
        <f t="shared" si="396"/>
        <v>10000</v>
      </c>
      <c r="VE223" s="132">
        <f t="shared" si="397"/>
        <v>0</v>
      </c>
      <c r="VF223" s="132">
        <f t="shared" si="398"/>
        <v>0</v>
      </c>
      <c r="VG223" s="132">
        <f t="shared" si="399"/>
        <v>15000</v>
      </c>
      <c r="VH223" s="132">
        <f t="shared" si="400"/>
        <v>0</v>
      </c>
      <c r="VI223" s="132">
        <f t="shared" si="401"/>
        <v>0</v>
      </c>
      <c r="VJ223" s="132">
        <f t="shared" si="402"/>
        <v>0</v>
      </c>
      <c r="VK223" s="132">
        <f t="shared" si="403"/>
        <v>0</v>
      </c>
      <c r="VL223" s="132">
        <f t="shared" si="404"/>
        <v>25000</v>
      </c>
      <c r="VM223" s="132">
        <f t="shared" si="405"/>
        <v>0</v>
      </c>
      <c r="VN223" s="132">
        <f t="shared" si="406"/>
        <v>0</v>
      </c>
      <c r="VP223" s="845" t="str">
        <f>IFERROR(HLOOKUP(F223,'Hodnocení '!$C$1:$JH$5,2,FALSE),0)</f>
        <v>Manželská a rodinná poradna</v>
      </c>
      <c r="VQ223" s="838"/>
      <c r="VR223" s="845" t="str">
        <f t="shared" si="414"/>
        <v>Příspěvková organizace zřízená územním samosprávným celkem</v>
      </c>
      <c r="VS223" s="845" t="str">
        <f>IFERROR(HLOOKUP(F223,'Hodnocení '!$C$1:$JH$5,5,FALSE),0)</f>
        <v>PO KHK</v>
      </c>
      <c r="VT223" s="838">
        <f t="shared" si="415"/>
        <v>0</v>
      </c>
      <c r="VU223" s="838" t="str">
        <f t="shared" si="416"/>
        <v>PO KHK</v>
      </c>
      <c r="VV223" s="838">
        <f t="shared" si="417"/>
        <v>0</v>
      </c>
      <c r="VW223" s="838">
        <f t="shared" si="418"/>
        <v>0</v>
      </c>
      <c r="VX223" s="838"/>
      <c r="VY223" s="838">
        <f t="shared" si="419"/>
        <v>0</v>
      </c>
      <c r="VZ223" s="838">
        <f t="shared" si="420"/>
        <v>2868000</v>
      </c>
      <c r="WA223" s="846">
        <f>IFERROR(HLOOKUP($F223,'Hodnocení '!$C$1:$JH$9,9,FALSE),0)</f>
        <v>2868000</v>
      </c>
      <c r="WB223" s="846">
        <f>IF(IFERROR(HLOOKUP($F223,'Hodnocení '!$C$1:$JH$13,13,FALSE),0)&gt;WA223,WA223,IFERROR(HLOOKUP($F223,'Hodnocení '!$C$1:$JH$13,13,FALSE),0))</f>
        <v>2868000</v>
      </c>
      <c r="WC223" s="846">
        <f>IFERROR(HLOOKUP($F223,'Hodnocení '!$C$1:$JH$155,155,FALSE),0)</f>
        <v>2298510</v>
      </c>
      <c r="WD223" s="845"/>
      <c r="WE223" s="845"/>
      <c r="WF223" s="845" t="str">
        <f t="shared" si="407"/>
        <v>ANO</v>
      </c>
      <c r="WG223" s="849" t="str">
        <f t="shared" si="421"/>
        <v>Podpora služby je vyjádřena zařazením do sítě sociálních služeb v KHK a řešením financování služby</v>
      </c>
      <c r="WH223"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23" s="849" t="str">
        <f t="shared" si="421"/>
        <v>Návrh dotace je výsledkem projednání s ostatními zadavateli v rámci sítě služeb KHK</v>
      </c>
      <c r="WJ223" s="849" t="str">
        <f t="shared" si="421"/>
        <v>Bez komentáře</v>
      </c>
      <c r="WK223" s="31">
        <f t="shared" si="408"/>
        <v>0</v>
      </c>
      <c r="WL223" s="850" t="str">
        <f t="shared" si="409"/>
        <v>Případná úprava příspěvku zřizovatele bude řešena v návaznosti na vývoj služby</v>
      </c>
      <c r="WM223" s="849">
        <f t="shared" si="410"/>
        <v>0</v>
      </c>
      <c r="WN223" s="849">
        <f t="shared" si="411"/>
        <v>0</v>
      </c>
      <c r="WO223" s="849" t="str">
        <f t="shared" si="321"/>
        <v>bez komentáře</v>
      </c>
      <c r="WP223" s="849" t="str">
        <f t="shared" si="321"/>
        <v>bez komentáře</v>
      </c>
      <c r="WQ223" s="849" t="str">
        <f t="shared" si="321"/>
        <v>Konečná výše dotace z rozpočtu KHK bude řešena v návaznosti na řešení podílů jednotlivých zadavatelů.</v>
      </c>
      <c r="WR223" s="849" t="str">
        <f t="shared" si="321"/>
        <v>Konečná výše podpory ze stran obcí bude řešena v součinnosti s jednotlivými zadavateli v průběhu roku.</v>
      </c>
      <c r="WS223" s="849" t="str">
        <f t="shared" si="321"/>
        <v>bez komentáře</v>
      </c>
      <c r="WT223" s="849" t="str">
        <f t="shared" si="321"/>
        <v>bez komentáře</v>
      </c>
      <c r="WU223" s="845"/>
    </row>
    <row r="224" spans="1:619" s="128" customFormat="1" x14ac:dyDescent="0.25">
      <c r="A224" s="128" t="str">
        <f>VLOOKUP(F224,'Výpočet VP 2020'!$D$324:$I$588,6,FALSE)</f>
        <v>Je v síti</v>
      </c>
      <c r="B224" s="128" t="s">
        <v>928</v>
      </c>
      <c r="C224" s="128">
        <v>195201</v>
      </c>
      <c r="D224" s="128" t="s">
        <v>929</v>
      </c>
      <c r="E224" s="128" t="s">
        <v>259</v>
      </c>
      <c r="F224" s="128">
        <v>9379121</v>
      </c>
      <c r="G224" s="128" t="s">
        <v>235</v>
      </c>
      <c r="H224" s="128" t="s">
        <v>230</v>
      </c>
      <c r="I224" s="128" t="s">
        <v>933</v>
      </c>
      <c r="J224" s="129">
        <v>40969</v>
      </c>
      <c r="L224" s="128" t="s">
        <v>220</v>
      </c>
      <c r="X224" s="128" t="s">
        <v>489</v>
      </c>
      <c r="Z224" s="128">
        <v>15</v>
      </c>
      <c r="AA224" s="128">
        <v>15</v>
      </c>
      <c r="AB224" s="128">
        <v>139</v>
      </c>
      <c r="AC224" s="128">
        <v>140</v>
      </c>
      <c r="AD224" s="128">
        <v>142</v>
      </c>
      <c r="AO224" s="128" t="s">
        <v>934</v>
      </c>
      <c r="AP224" s="128" t="s">
        <v>489</v>
      </c>
      <c r="AQ224" s="128">
        <v>15</v>
      </c>
      <c r="AR224" s="128">
        <v>15</v>
      </c>
      <c r="AS224" s="128">
        <v>139</v>
      </c>
      <c r="AT224" s="128">
        <v>140</v>
      </c>
      <c r="AU224" s="128">
        <v>142</v>
      </c>
      <c r="BK224" s="128" t="s">
        <v>934</v>
      </c>
      <c r="BL224" s="128" t="s">
        <v>443</v>
      </c>
      <c r="BM224" s="128" t="s">
        <v>304</v>
      </c>
      <c r="BN224" s="128" t="s">
        <v>234</v>
      </c>
      <c r="EK224" s="128">
        <v>10</v>
      </c>
      <c r="EL224" s="128">
        <v>9.75</v>
      </c>
      <c r="EM224" s="128">
        <v>9.75</v>
      </c>
      <c r="EN224" s="128">
        <v>5550000</v>
      </c>
      <c r="EO224" s="128">
        <v>2600000</v>
      </c>
      <c r="EP224" s="128">
        <v>2</v>
      </c>
      <c r="EQ224" s="128">
        <v>0.5</v>
      </c>
      <c r="ER224" s="128">
        <v>0.5</v>
      </c>
      <c r="ES224" s="128">
        <v>200000</v>
      </c>
      <c r="ET224" s="128">
        <v>100000</v>
      </c>
      <c r="FO224" s="128">
        <v>4</v>
      </c>
      <c r="FP224" s="128">
        <v>0.77</v>
      </c>
      <c r="FQ224" s="128">
        <v>0.67</v>
      </c>
      <c r="FR224" s="128">
        <v>469390</v>
      </c>
      <c r="FS224" s="128">
        <v>200000</v>
      </c>
      <c r="IH224" s="128">
        <v>1</v>
      </c>
      <c r="II224" s="128">
        <v>0.125</v>
      </c>
      <c r="IJ224" s="128">
        <v>12</v>
      </c>
      <c r="IK224" s="128">
        <v>0.125</v>
      </c>
      <c r="IL224" s="128">
        <v>30000</v>
      </c>
      <c r="IM224" s="128">
        <v>0</v>
      </c>
      <c r="IS224" s="128">
        <v>2</v>
      </c>
      <c r="IT224" s="128">
        <v>450</v>
      </c>
      <c r="IU224" s="128">
        <v>0.215</v>
      </c>
      <c r="IV224" s="128">
        <v>102750</v>
      </c>
      <c r="IW224" s="128">
        <v>0</v>
      </c>
      <c r="KG224" s="128">
        <v>2</v>
      </c>
      <c r="KH224" s="128">
        <v>45</v>
      </c>
      <c r="KI224" s="128">
        <v>10.25</v>
      </c>
      <c r="KJ224" s="128">
        <v>0</v>
      </c>
      <c r="KK224" s="128">
        <v>0</v>
      </c>
      <c r="KL224" s="128">
        <v>0</v>
      </c>
      <c r="KM224" s="128">
        <v>10.25</v>
      </c>
      <c r="KN224" s="128">
        <v>6219390</v>
      </c>
      <c r="KO224" s="128">
        <v>2900000</v>
      </c>
      <c r="KP224" s="128">
        <v>2900000</v>
      </c>
      <c r="KT224" s="128">
        <v>30000</v>
      </c>
      <c r="KU224" s="128">
        <v>0</v>
      </c>
      <c r="KV224" s="128">
        <v>0</v>
      </c>
      <c r="KZ224" s="128">
        <v>102750</v>
      </c>
      <c r="LA224" s="128">
        <v>0</v>
      </c>
      <c r="LB224" s="128">
        <v>0</v>
      </c>
      <c r="LF224" s="128">
        <v>102000</v>
      </c>
      <c r="LG224" s="128">
        <v>0</v>
      </c>
      <c r="LH224" s="128">
        <v>0</v>
      </c>
      <c r="LL224" s="128">
        <v>0</v>
      </c>
      <c r="LM224" s="128">
        <v>0</v>
      </c>
      <c r="LN224" s="128">
        <v>0</v>
      </c>
      <c r="LR224" s="128">
        <v>50000</v>
      </c>
      <c r="LS224" s="128">
        <v>25000</v>
      </c>
      <c r="LT224" s="128">
        <v>25000</v>
      </c>
      <c r="LX224" s="128">
        <v>30000</v>
      </c>
      <c r="LY224" s="128">
        <v>0</v>
      </c>
      <c r="LZ224" s="128">
        <v>0</v>
      </c>
      <c r="MD224" s="128">
        <v>40000</v>
      </c>
      <c r="ME224" s="128">
        <v>5000</v>
      </c>
      <c r="MF224" s="128">
        <v>5000</v>
      </c>
      <c r="MJ224" s="128">
        <v>145000</v>
      </c>
      <c r="MK224" s="128">
        <v>0</v>
      </c>
      <c r="ML224" s="128">
        <v>0</v>
      </c>
      <c r="MP224" s="128">
        <v>100000</v>
      </c>
      <c r="MQ224" s="128">
        <v>0</v>
      </c>
      <c r="MR224" s="128">
        <v>0</v>
      </c>
      <c r="MV224" s="128">
        <v>60000</v>
      </c>
      <c r="MW224" s="128">
        <v>0</v>
      </c>
      <c r="MX224" s="128">
        <v>0</v>
      </c>
      <c r="NB224" s="128">
        <v>60000</v>
      </c>
      <c r="NC224" s="128">
        <v>0</v>
      </c>
      <c r="ND224" s="128">
        <v>0</v>
      </c>
      <c r="NH224" s="128">
        <v>34000</v>
      </c>
      <c r="NI224" s="128">
        <v>0</v>
      </c>
      <c r="NJ224" s="128">
        <v>0</v>
      </c>
      <c r="NN224" s="128">
        <v>2000</v>
      </c>
      <c r="NO224" s="128">
        <v>0</v>
      </c>
      <c r="NP224" s="128">
        <v>0</v>
      </c>
      <c r="NT224" s="128">
        <v>120000</v>
      </c>
      <c r="NU224" s="128">
        <v>20000</v>
      </c>
      <c r="NV224" s="128">
        <v>20000</v>
      </c>
      <c r="NZ224" s="128">
        <v>25000</v>
      </c>
      <c r="OA224" s="128">
        <v>0</v>
      </c>
      <c r="OB224" s="128">
        <v>0</v>
      </c>
      <c r="OF224" s="128">
        <v>200000</v>
      </c>
      <c r="OG224" s="128">
        <v>0</v>
      </c>
      <c r="OH224" s="128">
        <v>0</v>
      </c>
      <c r="OL224" s="128">
        <v>0</v>
      </c>
      <c r="OM224" s="128">
        <v>0</v>
      </c>
      <c r="ON224" s="128">
        <v>0</v>
      </c>
      <c r="OR224" s="128">
        <v>0</v>
      </c>
      <c r="OS224" s="128">
        <v>0</v>
      </c>
      <c r="OT224" s="128">
        <v>0</v>
      </c>
      <c r="OX224" s="128">
        <v>200000</v>
      </c>
      <c r="OY224" s="128">
        <v>50000</v>
      </c>
      <c r="OZ224" s="128">
        <v>50000</v>
      </c>
      <c r="PD224" s="128">
        <v>242000</v>
      </c>
      <c r="PE224" s="128">
        <v>0</v>
      </c>
      <c r="PF224" s="128">
        <v>0</v>
      </c>
      <c r="PJ224" s="128">
        <v>350000</v>
      </c>
      <c r="PK224" s="128">
        <v>0</v>
      </c>
      <c r="PL224" s="128">
        <v>0</v>
      </c>
      <c r="PP224" s="128">
        <v>8112140</v>
      </c>
      <c r="PQ224" s="128">
        <v>3000000</v>
      </c>
      <c r="PR224" s="128">
        <v>3000000</v>
      </c>
      <c r="PS224" s="128">
        <v>100</v>
      </c>
      <c r="PT224" s="128">
        <v>100</v>
      </c>
      <c r="PX224" s="128">
        <v>1424000</v>
      </c>
      <c r="PY224" s="128">
        <v>1200000</v>
      </c>
      <c r="PZ224" s="128">
        <v>3000000</v>
      </c>
      <c r="QA224" s="128">
        <v>0</v>
      </c>
      <c r="QB224" s="128">
        <v>0</v>
      </c>
      <c r="QC224" s="128">
        <v>0</v>
      </c>
      <c r="QD224" s="128">
        <v>0</v>
      </c>
      <c r="QE224" s="128">
        <v>0</v>
      </c>
      <c r="QF224" s="128">
        <v>0</v>
      </c>
      <c r="QG224" s="128">
        <v>1000588</v>
      </c>
      <c r="QH224" s="128">
        <v>950000</v>
      </c>
      <c r="QI224" s="128">
        <v>1098701</v>
      </c>
      <c r="QJ224" s="128">
        <v>0</v>
      </c>
      <c r="QK224" s="128">
        <v>0</v>
      </c>
      <c r="QL224" s="128">
        <v>0</v>
      </c>
      <c r="QN224" s="128">
        <v>0</v>
      </c>
      <c r="QO224" s="128">
        <v>0</v>
      </c>
      <c r="QP224" s="128">
        <v>0</v>
      </c>
      <c r="QR224" s="128">
        <v>0</v>
      </c>
      <c r="QS224" s="128">
        <v>1600000</v>
      </c>
      <c r="QT224" s="128">
        <v>3908439</v>
      </c>
      <c r="QX224" s="128">
        <v>90000</v>
      </c>
      <c r="QY224" s="128">
        <v>101900</v>
      </c>
      <c r="QZ224" s="128">
        <v>105000</v>
      </c>
      <c r="RA224" s="128">
        <v>2820564</v>
      </c>
      <c r="RB224" s="128">
        <v>1410292</v>
      </c>
      <c r="RC224" s="128">
        <v>0</v>
      </c>
      <c r="RH224" s="128">
        <f t="shared" si="412"/>
        <v>8112140</v>
      </c>
      <c r="RI224" s="128">
        <v>0</v>
      </c>
      <c r="RM224" s="128" t="s">
        <v>220</v>
      </c>
      <c r="RU224" s="130"/>
      <c r="RV224" s="130"/>
      <c r="RW224" s="130"/>
      <c r="RX224" s="130"/>
      <c r="SF224" s="128">
        <f t="shared" si="322"/>
        <v>9379121</v>
      </c>
      <c r="SG224" s="131">
        <f t="shared" si="323"/>
        <v>8112140</v>
      </c>
      <c r="SH224" s="131">
        <f t="shared" si="324"/>
        <v>8112140</v>
      </c>
      <c r="SI224" s="131">
        <f t="shared" si="325"/>
        <v>6454140</v>
      </c>
      <c r="SJ224" s="132">
        <f t="shared" si="326"/>
        <v>6219390</v>
      </c>
      <c r="SK224" s="132">
        <f t="shared" si="327"/>
        <v>30000</v>
      </c>
      <c r="SL224" s="132">
        <f t="shared" si="328"/>
        <v>102750</v>
      </c>
      <c r="SM224" s="132">
        <f t="shared" si="329"/>
        <v>102000</v>
      </c>
      <c r="SN224" s="131">
        <f t="shared" si="330"/>
        <v>1658000</v>
      </c>
      <c r="SO224" s="131">
        <f t="shared" si="331"/>
        <v>50000</v>
      </c>
      <c r="SP224" s="132">
        <f t="shared" si="332"/>
        <v>0</v>
      </c>
      <c r="SQ224" s="132">
        <f t="shared" si="333"/>
        <v>50000</v>
      </c>
      <c r="SR224" s="132">
        <f t="shared" si="334"/>
        <v>30000</v>
      </c>
      <c r="SS224" s="132">
        <f t="shared" si="335"/>
        <v>40000</v>
      </c>
      <c r="ST224" s="132">
        <f t="shared" si="336"/>
        <v>145000</v>
      </c>
      <c r="SU224" s="132">
        <f t="shared" si="337"/>
        <v>100000</v>
      </c>
      <c r="SV224" s="131">
        <f t="shared" si="338"/>
        <v>701000</v>
      </c>
      <c r="SW224" s="132">
        <f t="shared" si="339"/>
        <v>60000</v>
      </c>
      <c r="SX224" s="132">
        <f t="shared" si="340"/>
        <v>60000</v>
      </c>
      <c r="SY224" s="132">
        <f t="shared" si="341"/>
        <v>34000</v>
      </c>
      <c r="SZ224" s="132">
        <f t="shared" si="342"/>
        <v>2000</v>
      </c>
      <c r="TA224" s="132">
        <f t="shared" si="343"/>
        <v>120000</v>
      </c>
      <c r="TB224" s="132">
        <f t="shared" si="344"/>
        <v>25000</v>
      </c>
      <c r="TC224" s="132">
        <f t="shared" si="345"/>
        <v>200000</v>
      </c>
      <c r="TD224" s="132">
        <f t="shared" si="346"/>
        <v>0</v>
      </c>
      <c r="TE224" s="132">
        <f t="shared" si="347"/>
        <v>0</v>
      </c>
      <c r="TF224" s="132">
        <f t="shared" si="348"/>
        <v>200000</v>
      </c>
      <c r="TG224" s="132">
        <f t="shared" si="349"/>
        <v>242000</v>
      </c>
      <c r="TH224" s="132">
        <f t="shared" si="350"/>
        <v>350000</v>
      </c>
      <c r="TI224" s="1"/>
      <c r="TJ224" s="131">
        <f t="shared" si="351"/>
        <v>3000000</v>
      </c>
      <c r="TK224" s="131">
        <f t="shared" si="352"/>
        <v>3000000</v>
      </c>
      <c r="TL224" s="131">
        <f t="shared" si="353"/>
        <v>2900000</v>
      </c>
      <c r="TM224" s="132">
        <f t="shared" si="354"/>
        <v>2900000</v>
      </c>
      <c r="TN224" s="132">
        <f t="shared" si="355"/>
        <v>0</v>
      </c>
      <c r="TO224" s="132">
        <f t="shared" si="356"/>
        <v>0</v>
      </c>
      <c r="TP224" s="132">
        <f t="shared" si="357"/>
        <v>0</v>
      </c>
      <c r="TQ224" s="131">
        <f t="shared" si="358"/>
        <v>100000</v>
      </c>
      <c r="TR224" s="131">
        <f t="shared" si="359"/>
        <v>25000</v>
      </c>
      <c r="TS224" s="132">
        <f t="shared" si="360"/>
        <v>0</v>
      </c>
      <c r="TT224" s="132">
        <f t="shared" si="361"/>
        <v>25000</v>
      </c>
      <c r="TU224" s="132">
        <f t="shared" si="362"/>
        <v>0</v>
      </c>
      <c r="TV224" s="132">
        <f t="shared" si="363"/>
        <v>5000</v>
      </c>
      <c r="TW224" s="132">
        <f t="shared" si="364"/>
        <v>0</v>
      </c>
      <c r="TX224" s="132">
        <f t="shared" si="365"/>
        <v>0</v>
      </c>
      <c r="TY224" s="131">
        <f t="shared" si="366"/>
        <v>70000</v>
      </c>
      <c r="TZ224" s="132">
        <f t="shared" si="367"/>
        <v>0</v>
      </c>
      <c r="UA224" s="132">
        <f t="shared" si="368"/>
        <v>0</v>
      </c>
      <c r="UB224" s="132">
        <f t="shared" si="369"/>
        <v>0</v>
      </c>
      <c r="UC224" s="132">
        <f t="shared" si="370"/>
        <v>0</v>
      </c>
      <c r="UD224" s="132">
        <f t="shared" si="371"/>
        <v>20000</v>
      </c>
      <c r="UE224" s="132">
        <f t="shared" si="372"/>
        <v>0</v>
      </c>
      <c r="UF224" s="132">
        <f t="shared" si="373"/>
        <v>0</v>
      </c>
      <c r="UG224" s="132">
        <f t="shared" si="374"/>
        <v>0</v>
      </c>
      <c r="UH224" s="132">
        <f t="shared" si="375"/>
        <v>0</v>
      </c>
      <c r="UI224" s="132">
        <f t="shared" si="376"/>
        <v>50000</v>
      </c>
      <c r="UJ224" s="132">
        <f t="shared" si="377"/>
        <v>0</v>
      </c>
      <c r="UK224" s="132">
        <f t="shared" si="378"/>
        <v>0</v>
      </c>
      <c r="UL224" s="132">
        <f t="shared" si="413"/>
        <v>3000000</v>
      </c>
      <c r="UM224" s="131">
        <f t="shared" si="379"/>
        <v>3000000</v>
      </c>
      <c r="UN224" s="131">
        <f t="shared" si="380"/>
        <v>3000000</v>
      </c>
      <c r="UO224" s="131">
        <f t="shared" si="381"/>
        <v>2900000</v>
      </c>
      <c r="UP224" s="132">
        <f t="shared" si="382"/>
        <v>2900000</v>
      </c>
      <c r="UQ224" s="132">
        <f t="shared" si="383"/>
        <v>0</v>
      </c>
      <c r="UR224" s="132">
        <f t="shared" si="384"/>
        <v>0</v>
      </c>
      <c r="US224" s="132">
        <f t="shared" si="385"/>
        <v>0</v>
      </c>
      <c r="UT224" s="131">
        <f t="shared" si="386"/>
        <v>100000</v>
      </c>
      <c r="UU224" s="131">
        <f t="shared" si="387"/>
        <v>25000</v>
      </c>
      <c r="UV224" s="132">
        <f t="shared" si="388"/>
        <v>0</v>
      </c>
      <c r="UW224" s="132">
        <f t="shared" si="389"/>
        <v>25000</v>
      </c>
      <c r="UX224" s="132">
        <f t="shared" si="390"/>
        <v>0</v>
      </c>
      <c r="UY224" s="132">
        <f t="shared" si="391"/>
        <v>5000</v>
      </c>
      <c r="UZ224" s="132">
        <f t="shared" si="392"/>
        <v>0</v>
      </c>
      <c r="VA224" s="132">
        <f t="shared" si="393"/>
        <v>0</v>
      </c>
      <c r="VB224" s="131">
        <f t="shared" si="394"/>
        <v>70000</v>
      </c>
      <c r="VC224" s="132">
        <f t="shared" si="395"/>
        <v>0</v>
      </c>
      <c r="VD224" s="132">
        <f t="shared" si="396"/>
        <v>0</v>
      </c>
      <c r="VE224" s="132">
        <f t="shared" si="397"/>
        <v>0</v>
      </c>
      <c r="VF224" s="132">
        <f t="shared" si="398"/>
        <v>0</v>
      </c>
      <c r="VG224" s="132">
        <f t="shared" si="399"/>
        <v>20000</v>
      </c>
      <c r="VH224" s="132">
        <f t="shared" si="400"/>
        <v>0</v>
      </c>
      <c r="VI224" s="132">
        <f t="shared" si="401"/>
        <v>0</v>
      </c>
      <c r="VJ224" s="132">
        <f t="shared" si="402"/>
        <v>0</v>
      </c>
      <c r="VK224" s="132">
        <f t="shared" si="403"/>
        <v>0</v>
      </c>
      <c r="VL224" s="132">
        <f t="shared" si="404"/>
        <v>50000</v>
      </c>
      <c r="VM224" s="132">
        <f t="shared" si="405"/>
        <v>0</v>
      </c>
      <c r="VN224" s="132">
        <f t="shared" si="406"/>
        <v>0</v>
      </c>
      <c r="VP224" s="845" t="str">
        <f>IFERROR(HLOOKUP(F224,'Hodnocení '!$C$1:$JH$5,2,FALSE),0)</f>
        <v>Stacionář RIAPS</v>
      </c>
      <c r="VQ224" s="838"/>
      <c r="VR224" s="845" t="str">
        <f t="shared" si="414"/>
        <v>Příspěvková organizace zřízená územním samosprávným celkem</v>
      </c>
      <c r="VS224" s="845" t="str">
        <f>IFERROR(HLOOKUP(F224,'Hodnocení '!$C$1:$JH$5,5,FALSE),0)</f>
        <v>PO KHK</v>
      </c>
      <c r="VT224" s="838">
        <f t="shared" si="415"/>
        <v>0</v>
      </c>
      <c r="VU224" s="838" t="str">
        <f t="shared" si="416"/>
        <v>PO KHK</v>
      </c>
      <c r="VV224" s="838">
        <f t="shared" si="417"/>
        <v>0</v>
      </c>
      <c r="VW224" s="838">
        <f t="shared" si="418"/>
        <v>0</v>
      </c>
      <c r="VX224" s="838"/>
      <c r="VY224" s="838">
        <f t="shared" si="419"/>
        <v>0</v>
      </c>
      <c r="VZ224" s="838">
        <f t="shared" si="420"/>
        <v>3000000</v>
      </c>
      <c r="WA224" s="846">
        <f>IFERROR(HLOOKUP($F224,'Hodnocení '!$C$1:$JH$9,9,FALSE),0)</f>
        <v>3000000</v>
      </c>
      <c r="WB224" s="846">
        <f>IF(IFERROR(HLOOKUP($F224,'Hodnocení '!$C$1:$JH$13,13,FALSE),0)&gt;WA224,WA224,IFERROR(HLOOKUP($F224,'Hodnocení '!$C$1:$JH$13,13,FALSE),0))</f>
        <v>3000000</v>
      </c>
      <c r="WC224" s="846">
        <f>IFERROR(HLOOKUP($F224,'Hodnocení '!$C$1:$JH$155,155,FALSE),0)</f>
        <v>3000000</v>
      </c>
      <c r="WD224" s="845"/>
      <c r="WE224" s="845"/>
      <c r="WF224" s="845" t="str">
        <f t="shared" si="407"/>
        <v>ANO</v>
      </c>
      <c r="WG224" s="849" t="str">
        <f t="shared" si="421"/>
        <v>Podpora služby je vyjádřena zařazením do sítě sociálních služeb v KHK a řešením financování služby</v>
      </c>
      <c r="WH224"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24" s="849" t="str">
        <f t="shared" si="421"/>
        <v>Návrh dotace je výsledkem projednání s ostatními zadavateli v rámci sítě služeb KHK</v>
      </c>
      <c r="WJ224" s="849" t="str">
        <f t="shared" si="421"/>
        <v>Bez komentáře</v>
      </c>
      <c r="WK224" s="31">
        <f t="shared" si="408"/>
        <v>0</v>
      </c>
      <c r="WL224" s="850" t="str">
        <f t="shared" si="409"/>
        <v>Případná úprava příspěvku zřizovatele bude řešena v návaznosti na vývoj služby</v>
      </c>
      <c r="WM224" s="849">
        <f t="shared" si="410"/>
        <v>0</v>
      </c>
      <c r="WN224" s="849">
        <f t="shared" si="411"/>
        <v>0</v>
      </c>
      <c r="WO224" s="849" t="str">
        <f t="shared" si="321"/>
        <v>bez komentáře</v>
      </c>
      <c r="WP224" s="849" t="str">
        <f t="shared" si="321"/>
        <v>bez komentáře</v>
      </c>
      <c r="WQ224" s="849" t="str">
        <f t="shared" si="321"/>
        <v>Konečná výše dotace z rozpočtu KHK bude řešena v návaznosti na řešení podílů jednotlivých zadavatelů.</v>
      </c>
      <c r="WR224" s="849" t="str">
        <f t="shared" si="321"/>
        <v>Konečná výše podpory ze stran obcí bude řešena v součinnosti s jednotlivými zadavateli v průběhu roku.</v>
      </c>
      <c r="WS224" s="849" t="str">
        <f t="shared" si="321"/>
        <v>bez komentáře</v>
      </c>
      <c r="WT224" s="849" t="str">
        <f t="shared" si="321"/>
        <v>bez komentáře</v>
      </c>
      <c r="WU224" s="845"/>
    </row>
    <row r="225" spans="1:619" s="128" customFormat="1" x14ac:dyDescent="0.25">
      <c r="A225" s="128" t="str">
        <f>VLOOKUP(F225,'Výpočet VP 2020'!$D$324:$I$588,6,FALSE)</f>
        <v>Je v síti</v>
      </c>
      <c r="B225" s="128" t="s">
        <v>928</v>
      </c>
      <c r="C225" s="128">
        <v>195201</v>
      </c>
      <c r="D225" s="128" t="s">
        <v>929</v>
      </c>
      <c r="E225" s="128" t="s">
        <v>259</v>
      </c>
      <c r="F225" s="128">
        <v>9870958</v>
      </c>
      <c r="G225" s="128" t="s">
        <v>599</v>
      </c>
      <c r="H225" s="128" t="s">
        <v>230</v>
      </c>
      <c r="I225" s="128" t="s">
        <v>935</v>
      </c>
      <c r="J225" s="129">
        <v>35796</v>
      </c>
      <c r="L225" s="128" t="s">
        <v>220</v>
      </c>
      <c r="X225" s="128" t="s">
        <v>227</v>
      </c>
      <c r="Z225" s="128">
        <v>8</v>
      </c>
      <c r="AA225" s="128">
        <v>30</v>
      </c>
      <c r="AB225" s="128">
        <v>287</v>
      </c>
      <c r="AC225" s="128">
        <v>280</v>
      </c>
      <c r="AD225" s="128">
        <v>290</v>
      </c>
      <c r="AE225" s="128">
        <v>2900</v>
      </c>
      <c r="AF225" s="128">
        <v>2802</v>
      </c>
      <c r="AG225" s="128">
        <v>2600</v>
      </c>
      <c r="AH225" s="128">
        <v>2800</v>
      </c>
      <c r="AP225" s="128" t="s">
        <v>266</v>
      </c>
      <c r="AQ225" s="128">
        <v>1</v>
      </c>
      <c r="AR225" s="128">
        <v>10</v>
      </c>
      <c r="AS225" s="128">
        <v>63</v>
      </c>
      <c r="AT225" s="128">
        <v>60</v>
      </c>
      <c r="AU225" s="128">
        <v>60</v>
      </c>
      <c r="BA225" s="128">
        <v>280</v>
      </c>
      <c r="BB225" s="128">
        <v>298</v>
      </c>
      <c r="BC225" s="128">
        <v>300</v>
      </c>
      <c r="BD225" s="128">
        <v>300</v>
      </c>
      <c r="BL225" s="128" t="s">
        <v>438</v>
      </c>
      <c r="BM225" s="128" t="s">
        <v>439</v>
      </c>
      <c r="BN225" s="128" t="s">
        <v>357</v>
      </c>
      <c r="EK225" s="128">
        <v>4</v>
      </c>
      <c r="EL225" s="128">
        <v>3.1</v>
      </c>
      <c r="EM225" s="128">
        <v>3.1</v>
      </c>
      <c r="EN225" s="128">
        <v>2003415</v>
      </c>
      <c r="EO225" s="128">
        <v>2000000</v>
      </c>
      <c r="EU225" s="128">
        <v>1</v>
      </c>
      <c r="EV225" s="128">
        <v>0.2</v>
      </c>
      <c r="EW225" s="128">
        <v>0.2</v>
      </c>
      <c r="EX225" s="128">
        <v>81000</v>
      </c>
      <c r="EY225" s="128">
        <v>0</v>
      </c>
      <c r="FO225" s="128">
        <v>4</v>
      </c>
      <c r="FP225" s="128">
        <v>0.74</v>
      </c>
      <c r="FQ225" s="128">
        <v>0.67</v>
      </c>
      <c r="FR225" s="128">
        <v>440000</v>
      </c>
      <c r="FS225" s="128">
        <v>240000</v>
      </c>
      <c r="IN225" s="128">
        <v>2</v>
      </c>
      <c r="IO225" s="128">
        <v>350</v>
      </c>
      <c r="IP225" s="128">
        <v>0.16700000000000001</v>
      </c>
      <c r="IQ225" s="128">
        <v>56000</v>
      </c>
      <c r="IR225" s="128">
        <v>0</v>
      </c>
      <c r="KG225" s="128">
        <v>0</v>
      </c>
      <c r="KI225" s="128">
        <v>3.3</v>
      </c>
      <c r="KJ225" s="128">
        <v>0</v>
      </c>
      <c r="KK225" s="128">
        <v>0.16700000000000001</v>
      </c>
      <c r="KL225" s="128">
        <v>0</v>
      </c>
      <c r="KM225" s="128">
        <v>3.4670000000000001</v>
      </c>
      <c r="KN225" s="128">
        <v>2524415</v>
      </c>
      <c r="KO225" s="128">
        <v>2240000</v>
      </c>
      <c r="KP225" s="128">
        <v>2240000</v>
      </c>
      <c r="KT225" s="128">
        <v>0</v>
      </c>
      <c r="KU225" s="128">
        <v>0</v>
      </c>
      <c r="KV225" s="128">
        <v>0</v>
      </c>
      <c r="KZ225" s="128">
        <v>56000</v>
      </c>
      <c r="LA225" s="128">
        <v>0</v>
      </c>
      <c r="LB225" s="128">
        <v>0</v>
      </c>
      <c r="LF225" s="128">
        <v>100000</v>
      </c>
      <c r="LG225" s="128">
        <v>0</v>
      </c>
      <c r="LH225" s="128">
        <v>0</v>
      </c>
      <c r="LL225" s="128">
        <v>0</v>
      </c>
      <c r="LM225" s="128">
        <v>0</v>
      </c>
      <c r="LN225" s="128">
        <v>0</v>
      </c>
      <c r="LR225" s="128">
        <v>40000</v>
      </c>
      <c r="LS225" s="128">
        <v>0</v>
      </c>
      <c r="LT225" s="128">
        <v>0</v>
      </c>
      <c r="LX225" s="128">
        <v>9500</v>
      </c>
      <c r="LY225" s="128">
        <v>0</v>
      </c>
      <c r="LZ225" s="128">
        <v>0</v>
      </c>
      <c r="MD225" s="128">
        <v>10000</v>
      </c>
      <c r="ME225" s="128">
        <v>0</v>
      </c>
      <c r="MF225" s="128">
        <v>0</v>
      </c>
      <c r="MJ225" s="128">
        <v>20000</v>
      </c>
      <c r="MK225" s="128">
        <v>0</v>
      </c>
      <c r="ML225" s="128">
        <v>0</v>
      </c>
      <c r="MP225" s="128">
        <v>425000</v>
      </c>
      <c r="MQ225" s="128">
        <v>60000</v>
      </c>
      <c r="MR225" s="128">
        <v>60000</v>
      </c>
      <c r="MV225" s="128">
        <v>82000</v>
      </c>
      <c r="MW225" s="128">
        <v>0</v>
      </c>
      <c r="MX225" s="128">
        <v>0</v>
      </c>
      <c r="NB225" s="128">
        <v>9000</v>
      </c>
      <c r="NC225" s="128">
        <v>0</v>
      </c>
      <c r="ND225" s="128">
        <v>0</v>
      </c>
      <c r="NH225" s="128">
        <v>0</v>
      </c>
      <c r="NI225" s="128">
        <v>0</v>
      </c>
      <c r="NJ225" s="128">
        <v>0</v>
      </c>
      <c r="NN225" s="128">
        <v>0</v>
      </c>
      <c r="NO225" s="128">
        <v>0</v>
      </c>
      <c r="NP225" s="128">
        <v>0</v>
      </c>
      <c r="NT225" s="128">
        <v>45000</v>
      </c>
      <c r="NU225" s="128">
        <v>10000</v>
      </c>
      <c r="NV225" s="128">
        <v>10000</v>
      </c>
      <c r="NZ225" s="128">
        <v>0</v>
      </c>
      <c r="OA225" s="128">
        <v>0</v>
      </c>
      <c r="OB225" s="128">
        <v>0</v>
      </c>
      <c r="OF225" s="128">
        <v>55000</v>
      </c>
      <c r="OG225" s="128">
        <v>0</v>
      </c>
      <c r="OH225" s="128">
        <v>0</v>
      </c>
      <c r="OL225" s="128">
        <v>0</v>
      </c>
      <c r="OM225" s="128">
        <v>0</v>
      </c>
      <c r="ON225" s="128">
        <v>0</v>
      </c>
      <c r="OR225" s="128">
        <v>0</v>
      </c>
      <c r="OS225" s="128">
        <v>0</v>
      </c>
      <c r="OT225" s="128">
        <v>0</v>
      </c>
      <c r="OX225" s="128">
        <v>75000</v>
      </c>
      <c r="OY225" s="128">
        <v>30000</v>
      </c>
      <c r="OZ225" s="128">
        <v>30000</v>
      </c>
      <c r="PD225" s="128">
        <v>208000</v>
      </c>
      <c r="PE225" s="128">
        <v>0</v>
      </c>
      <c r="PF225" s="128">
        <v>0</v>
      </c>
      <c r="PJ225" s="128">
        <v>255000</v>
      </c>
      <c r="PK225" s="128">
        <v>0</v>
      </c>
      <c r="PL225" s="128">
        <v>0</v>
      </c>
      <c r="PP225" s="128">
        <v>3913915</v>
      </c>
      <c r="PQ225" s="128">
        <v>2340000</v>
      </c>
      <c r="PR225" s="128">
        <v>2340000</v>
      </c>
      <c r="PS225" s="128">
        <v>100</v>
      </c>
      <c r="PT225" s="128">
        <v>100</v>
      </c>
      <c r="PX225" s="128">
        <v>1006056</v>
      </c>
      <c r="PY225" s="128">
        <v>2067000</v>
      </c>
      <c r="PZ225" s="128">
        <v>2340000</v>
      </c>
      <c r="QA225" s="128">
        <v>0</v>
      </c>
      <c r="QB225" s="128">
        <v>0</v>
      </c>
      <c r="QC225" s="128">
        <v>0</v>
      </c>
      <c r="QD225" s="128">
        <v>0</v>
      </c>
      <c r="QE225" s="128">
        <v>0</v>
      </c>
      <c r="QF225" s="128">
        <v>0</v>
      </c>
      <c r="QG225" s="128">
        <v>2186033</v>
      </c>
      <c r="QH225" s="128">
        <v>1193025</v>
      </c>
      <c r="QI225" s="128">
        <v>974015</v>
      </c>
      <c r="QJ225" s="128">
        <v>0</v>
      </c>
      <c r="QK225" s="128">
        <v>0</v>
      </c>
      <c r="QL225" s="128">
        <v>0</v>
      </c>
      <c r="QN225" s="128">
        <v>0</v>
      </c>
      <c r="QO225" s="128">
        <v>0</v>
      </c>
      <c r="QP225" s="128">
        <v>0</v>
      </c>
      <c r="QR225" s="128">
        <v>296000</v>
      </c>
      <c r="QS225" s="128">
        <v>280000</v>
      </c>
      <c r="QT225" s="128">
        <v>465400</v>
      </c>
      <c r="QX225" s="128">
        <v>160000</v>
      </c>
      <c r="QY225" s="128">
        <v>129800</v>
      </c>
      <c r="QZ225" s="128">
        <v>130000</v>
      </c>
      <c r="RD225" s="128">
        <v>8455</v>
      </c>
      <c r="RE225" s="128">
        <v>39700</v>
      </c>
      <c r="RF225" s="128">
        <v>4500</v>
      </c>
      <c r="RH225" s="128">
        <f t="shared" si="412"/>
        <v>3913915</v>
      </c>
      <c r="RI225" s="128">
        <v>0</v>
      </c>
      <c r="RM225" s="128" t="s">
        <v>220</v>
      </c>
      <c r="RU225" s="130"/>
      <c r="RV225" s="130"/>
      <c r="RW225" s="130"/>
      <c r="RX225" s="130"/>
      <c r="SF225" s="128">
        <f t="shared" si="322"/>
        <v>9870958</v>
      </c>
      <c r="SG225" s="131">
        <f t="shared" si="323"/>
        <v>3913915</v>
      </c>
      <c r="SH225" s="131">
        <f t="shared" si="324"/>
        <v>3913915</v>
      </c>
      <c r="SI225" s="131">
        <f t="shared" si="325"/>
        <v>2680415</v>
      </c>
      <c r="SJ225" s="132">
        <f t="shared" si="326"/>
        <v>2524415</v>
      </c>
      <c r="SK225" s="132">
        <f t="shared" si="327"/>
        <v>0</v>
      </c>
      <c r="SL225" s="132">
        <f t="shared" si="328"/>
        <v>56000</v>
      </c>
      <c r="SM225" s="132">
        <f t="shared" si="329"/>
        <v>100000</v>
      </c>
      <c r="SN225" s="131">
        <f t="shared" si="330"/>
        <v>1233500</v>
      </c>
      <c r="SO225" s="131">
        <f t="shared" si="331"/>
        <v>40000</v>
      </c>
      <c r="SP225" s="132">
        <f t="shared" si="332"/>
        <v>0</v>
      </c>
      <c r="SQ225" s="132">
        <f t="shared" si="333"/>
        <v>40000</v>
      </c>
      <c r="SR225" s="132">
        <f t="shared" si="334"/>
        <v>9500</v>
      </c>
      <c r="SS225" s="132">
        <f t="shared" si="335"/>
        <v>10000</v>
      </c>
      <c r="ST225" s="132">
        <f t="shared" si="336"/>
        <v>20000</v>
      </c>
      <c r="SU225" s="132">
        <f t="shared" si="337"/>
        <v>425000</v>
      </c>
      <c r="SV225" s="131">
        <f t="shared" si="338"/>
        <v>266000</v>
      </c>
      <c r="SW225" s="132">
        <f t="shared" si="339"/>
        <v>82000</v>
      </c>
      <c r="SX225" s="132">
        <f t="shared" si="340"/>
        <v>9000</v>
      </c>
      <c r="SY225" s="132">
        <f t="shared" si="341"/>
        <v>0</v>
      </c>
      <c r="SZ225" s="132">
        <f t="shared" si="342"/>
        <v>0</v>
      </c>
      <c r="TA225" s="132">
        <f t="shared" si="343"/>
        <v>45000</v>
      </c>
      <c r="TB225" s="132">
        <f t="shared" si="344"/>
        <v>0</v>
      </c>
      <c r="TC225" s="132">
        <f t="shared" si="345"/>
        <v>55000</v>
      </c>
      <c r="TD225" s="132">
        <f t="shared" si="346"/>
        <v>0</v>
      </c>
      <c r="TE225" s="132">
        <f t="shared" si="347"/>
        <v>0</v>
      </c>
      <c r="TF225" s="132">
        <f t="shared" si="348"/>
        <v>75000</v>
      </c>
      <c r="TG225" s="132">
        <f t="shared" si="349"/>
        <v>208000</v>
      </c>
      <c r="TH225" s="132">
        <f t="shared" si="350"/>
        <v>255000</v>
      </c>
      <c r="TI225" s="1"/>
      <c r="TJ225" s="131">
        <f t="shared" si="351"/>
        <v>2340000</v>
      </c>
      <c r="TK225" s="131">
        <f t="shared" si="352"/>
        <v>2340000</v>
      </c>
      <c r="TL225" s="131">
        <f t="shared" si="353"/>
        <v>2240000</v>
      </c>
      <c r="TM225" s="132">
        <f t="shared" si="354"/>
        <v>2240000</v>
      </c>
      <c r="TN225" s="132">
        <f t="shared" si="355"/>
        <v>0</v>
      </c>
      <c r="TO225" s="132">
        <f t="shared" si="356"/>
        <v>0</v>
      </c>
      <c r="TP225" s="132">
        <f t="shared" si="357"/>
        <v>0</v>
      </c>
      <c r="TQ225" s="131">
        <f t="shared" si="358"/>
        <v>100000</v>
      </c>
      <c r="TR225" s="131">
        <f t="shared" si="359"/>
        <v>0</v>
      </c>
      <c r="TS225" s="132">
        <f t="shared" si="360"/>
        <v>0</v>
      </c>
      <c r="TT225" s="132">
        <f t="shared" si="361"/>
        <v>0</v>
      </c>
      <c r="TU225" s="132">
        <f t="shared" si="362"/>
        <v>0</v>
      </c>
      <c r="TV225" s="132">
        <f t="shared" si="363"/>
        <v>0</v>
      </c>
      <c r="TW225" s="132">
        <f t="shared" si="364"/>
        <v>0</v>
      </c>
      <c r="TX225" s="132">
        <f t="shared" si="365"/>
        <v>60000</v>
      </c>
      <c r="TY225" s="131">
        <f t="shared" si="366"/>
        <v>40000</v>
      </c>
      <c r="TZ225" s="132">
        <f t="shared" si="367"/>
        <v>0</v>
      </c>
      <c r="UA225" s="132">
        <f t="shared" si="368"/>
        <v>0</v>
      </c>
      <c r="UB225" s="132">
        <f t="shared" si="369"/>
        <v>0</v>
      </c>
      <c r="UC225" s="132">
        <f t="shared" si="370"/>
        <v>0</v>
      </c>
      <c r="UD225" s="132">
        <f t="shared" si="371"/>
        <v>10000</v>
      </c>
      <c r="UE225" s="132">
        <f t="shared" si="372"/>
        <v>0</v>
      </c>
      <c r="UF225" s="132">
        <f t="shared" si="373"/>
        <v>0</v>
      </c>
      <c r="UG225" s="132">
        <f t="shared" si="374"/>
        <v>0</v>
      </c>
      <c r="UH225" s="132">
        <f t="shared" si="375"/>
        <v>0</v>
      </c>
      <c r="UI225" s="132">
        <f t="shared" si="376"/>
        <v>30000</v>
      </c>
      <c r="UJ225" s="132">
        <f t="shared" si="377"/>
        <v>0</v>
      </c>
      <c r="UK225" s="132">
        <f t="shared" si="378"/>
        <v>0</v>
      </c>
      <c r="UL225" s="132">
        <f t="shared" si="413"/>
        <v>2340000</v>
      </c>
      <c r="UM225" s="131">
        <f t="shared" si="379"/>
        <v>2340000</v>
      </c>
      <c r="UN225" s="131">
        <f t="shared" si="380"/>
        <v>2340000</v>
      </c>
      <c r="UO225" s="131">
        <f t="shared" si="381"/>
        <v>2240000</v>
      </c>
      <c r="UP225" s="132">
        <f t="shared" si="382"/>
        <v>2240000</v>
      </c>
      <c r="UQ225" s="132">
        <f t="shared" si="383"/>
        <v>0</v>
      </c>
      <c r="UR225" s="132">
        <f t="shared" si="384"/>
        <v>0</v>
      </c>
      <c r="US225" s="132">
        <f t="shared" si="385"/>
        <v>0</v>
      </c>
      <c r="UT225" s="131">
        <f t="shared" si="386"/>
        <v>100000</v>
      </c>
      <c r="UU225" s="131">
        <f t="shared" si="387"/>
        <v>0</v>
      </c>
      <c r="UV225" s="132">
        <f t="shared" si="388"/>
        <v>0</v>
      </c>
      <c r="UW225" s="132">
        <f t="shared" si="389"/>
        <v>0</v>
      </c>
      <c r="UX225" s="132">
        <f t="shared" si="390"/>
        <v>0</v>
      </c>
      <c r="UY225" s="132">
        <f t="shared" si="391"/>
        <v>0</v>
      </c>
      <c r="UZ225" s="132">
        <f t="shared" si="392"/>
        <v>0</v>
      </c>
      <c r="VA225" s="132">
        <f t="shared" si="393"/>
        <v>60000</v>
      </c>
      <c r="VB225" s="131">
        <f t="shared" si="394"/>
        <v>40000</v>
      </c>
      <c r="VC225" s="132">
        <f t="shared" si="395"/>
        <v>0</v>
      </c>
      <c r="VD225" s="132">
        <f t="shared" si="396"/>
        <v>0</v>
      </c>
      <c r="VE225" s="132">
        <f t="shared" si="397"/>
        <v>0</v>
      </c>
      <c r="VF225" s="132">
        <f t="shared" si="398"/>
        <v>0</v>
      </c>
      <c r="VG225" s="132">
        <f t="shared" si="399"/>
        <v>10000</v>
      </c>
      <c r="VH225" s="132">
        <f t="shared" si="400"/>
        <v>0</v>
      </c>
      <c r="VI225" s="132">
        <f t="shared" si="401"/>
        <v>0</v>
      </c>
      <c r="VJ225" s="132">
        <f t="shared" si="402"/>
        <v>0</v>
      </c>
      <c r="VK225" s="132">
        <f t="shared" si="403"/>
        <v>0</v>
      </c>
      <c r="VL225" s="132">
        <f t="shared" si="404"/>
        <v>30000</v>
      </c>
      <c r="VM225" s="132">
        <f t="shared" si="405"/>
        <v>0</v>
      </c>
      <c r="VN225" s="132">
        <f t="shared" si="406"/>
        <v>0</v>
      </c>
      <c r="VP225" s="845" t="str">
        <f>IFERROR(HLOOKUP(F225,'Hodnocení '!$C$1:$JH$5,2,FALSE),0)</f>
        <v>Kontaktní centrum</v>
      </c>
      <c r="VQ225" s="838"/>
      <c r="VR225" s="845" t="str">
        <f t="shared" si="414"/>
        <v>Příspěvková organizace zřízená územním samosprávným celkem</v>
      </c>
      <c r="VS225" s="845" t="str">
        <f>IFERROR(HLOOKUP(F225,'Hodnocení '!$C$1:$JH$5,5,FALSE),0)</f>
        <v>PO KHK</v>
      </c>
      <c r="VT225" s="838">
        <f t="shared" si="415"/>
        <v>0</v>
      </c>
      <c r="VU225" s="838" t="str">
        <f t="shared" si="416"/>
        <v>PO KHK</v>
      </c>
      <c r="VV225" s="838">
        <f t="shared" si="417"/>
        <v>0</v>
      </c>
      <c r="VW225" s="838">
        <f t="shared" si="418"/>
        <v>0</v>
      </c>
      <c r="VX225" s="838"/>
      <c r="VY225" s="838">
        <f t="shared" si="419"/>
        <v>0</v>
      </c>
      <c r="VZ225" s="838">
        <f t="shared" si="420"/>
        <v>2340000</v>
      </c>
      <c r="WA225" s="846">
        <f>IFERROR(HLOOKUP($F225,'Hodnocení '!$C$1:$JH$9,9,FALSE),0)</f>
        <v>2340000</v>
      </c>
      <c r="WB225" s="846">
        <f>IF(IFERROR(HLOOKUP($F225,'Hodnocení '!$C$1:$JH$13,13,FALSE),0)&gt;WA225,WA225,IFERROR(HLOOKUP($F225,'Hodnocení '!$C$1:$JH$13,13,FALSE),0))</f>
        <v>2340000</v>
      </c>
      <c r="WC225" s="846">
        <f>IFERROR(HLOOKUP($F225,'Hodnocení '!$C$1:$JH$155,155,FALSE),0)</f>
        <v>2067000</v>
      </c>
      <c r="WD225" s="845"/>
      <c r="WE225" s="845"/>
      <c r="WF225" s="845" t="str">
        <f t="shared" si="407"/>
        <v>ANO</v>
      </c>
      <c r="WG225" s="849" t="str">
        <f t="shared" si="421"/>
        <v>Podpora služby je vyjádřena zařazením do sítě sociálních služeb v KHK a řešením financování služby</v>
      </c>
      <c r="WH225"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25" s="849" t="str">
        <f t="shared" si="421"/>
        <v>Návrh dotace je výsledkem projednání s ostatními zadavateli v rámci sítě služeb KHK</v>
      </c>
      <c r="WJ225" s="849" t="str">
        <f t="shared" si="421"/>
        <v>Bez komentáře</v>
      </c>
      <c r="WK225" s="31">
        <f t="shared" si="408"/>
        <v>0</v>
      </c>
      <c r="WL225" s="850" t="str">
        <f t="shared" si="409"/>
        <v>Případná úprava příspěvku zřizovatele bude řešena v návaznosti na vývoj služby</v>
      </c>
      <c r="WM225" s="849">
        <f t="shared" si="410"/>
        <v>0</v>
      </c>
      <c r="WN225" s="849">
        <f t="shared" si="411"/>
        <v>0</v>
      </c>
      <c r="WO225" s="849" t="str">
        <f t="shared" si="321"/>
        <v>bez komentáře</v>
      </c>
      <c r="WP225" s="849" t="str">
        <f t="shared" si="321"/>
        <v>bez komentáře</v>
      </c>
      <c r="WQ225" s="849" t="str">
        <f t="shared" si="321"/>
        <v>Konečná výše dotace z rozpočtu KHK bude řešena v návaznosti na řešení podílů jednotlivých zadavatelů.</v>
      </c>
      <c r="WR225" s="849" t="str">
        <f t="shared" si="321"/>
        <v>Konečná výše podpory ze stran obcí bude řešena v součinnosti s jednotlivými zadavateli v průběhu roku.</v>
      </c>
      <c r="WS225" s="849" t="str">
        <f t="shared" si="321"/>
        <v>bez komentáře</v>
      </c>
      <c r="WT225" s="849" t="str">
        <f t="shared" si="321"/>
        <v>bez komentáře</v>
      </c>
      <c r="WU225" s="845"/>
    </row>
    <row r="226" spans="1:619" s="128" customFormat="1" x14ac:dyDescent="0.25">
      <c r="A226" s="128" t="e">
        <f>VLOOKUP(F226,'Výpočet VP 2020'!$D$324:$I$588,6,FALSE)</f>
        <v>#N/A</v>
      </c>
      <c r="B226" s="128" t="s">
        <v>936</v>
      </c>
      <c r="C226" s="128">
        <v>3588122</v>
      </c>
      <c r="D226" s="128" t="s">
        <v>937</v>
      </c>
      <c r="E226" s="128" t="s">
        <v>836</v>
      </c>
      <c r="F226" s="128">
        <v>5600030</v>
      </c>
      <c r="G226" s="128" t="s">
        <v>348</v>
      </c>
      <c r="H226" s="128" t="s">
        <v>218</v>
      </c>
      <c r="I226" s="128" t="s">
        <v>390</v>
      </c>
      <c r="J226" s="129">
        <v>42485</v>
      </c>
      <c r="L226" s="128" t="s">
        <v>220</v>
      </c>
      <c r="M226" s="128" t="s">
        <v>522</v>
      </c>
      <c r="N226" s="128">
        <v>76</v>
      </c>
      <c r="P226" s="128">
        <v>59</v>
      </c>
      <c r="Q226" s="128">
        <v>65</v>
      </c>
      <c r="R226" s="128">
        <v>76</v>
      </c>
      <c r="BL226" s="128" t="s">
        <v>938</v>
      </c>
      <c r="BM226" s="128" t="s">
        <v>325</v>
      </c>
      <c r="BN226" s="128" t="s">
        <v>326</v>
      </c>
      <c r="DA226" s="128">
        <v>0</v>
      </c>
      <c r="DB226" s="128">
        <v>0</v>
      </c>
      <c r="DC226" s="128">
        <v>0</v>
      </c>
      <c r="DD226" s="128">
        <v>0</v>
      </c>
      <c r="DE226" s="128">
        <v>0</v>
      </c>
      <c r="DF226" s="128">
        <v>5</v>
      </c>
      <c r="DG226" s="128">
        <v>11</v>
      </c>
      <c r="DH226" s="128">
        <v>27</v>
      </c>
      <c r="DI226" s="128">
        <v>7</v>
      </c>
      <c r="DJ226" s="128">
        <v>7</v>
      </c>
      <c r="DK226" s="128">
        <v>5</v>
      </c>
      <c r="DL226" s="128">
        <v>11</v>
      </c>
      <c r="DM226" s="128">
        <v>27</v>
      </c>
      <c r="DN226" s="128">
        <v>7</v>
      </c>
      <c r="DO226" s="128">
        <v>7</v>
      </c>
      <c r="DP226" s="128">
        <v>0</v>
      </c>
      <c r="DQ226" s="128">
        <v>57</v>
      </c>
      <c r="DR226" s="128">
        <v>57</v>
      </c>
      <c r="DS226" s="128">
        <v>0</v>
      </c>
      <c r="DT226" s="128">
        <v>0</v>
      </c>
      <c r="DU226" s="128">
        <v>0</v>
      </c>
      <c r="DV226" s="128">
        <v>0</v>
      </c>
      <c r="DW226" s="128">
        <v>0</v>
      </c>
      <c r="DX226" s="128">
        <v>6</v>
      </c>
      <c r="DY226" s="128">
        <v>19</v>
      </c>
      <c r="DZ226" s="128">
        <v>33</v>
      </c>
      <c r="EA226" s="128">
        <v>8</v>
      </c>
      <c r="EB226" s="128">
        <v>10</v>
      </c>
      <c r="EC226" s="128">
        <v>6</v>
      </c>
      <c r="ED226" s="128">
        <v>19</v>
      </c>
      <c r="EE226" s="128">
        <v>33</v>
      </c>
      <c r="EF226" s="128">
        <v>8</v>
      </c>
      <c r="EG226" s="128">
        <v>10</v>
      </c>
      <c r="EH226" s="128">
        <v>0</v>
      </c>
      <c r="EI226" s="128">
        <v>76</v>
      </c>
      <c r="EJ226" s="128">
        <v>76</v>
      </c>
      <c r="EK226" s="128">
        <v>2</v>
      </c>
      <c r="EL226" s="128">
        <v>1</v>
      </c>
      <c r="EM226" s="128">
        <v>1.1399999999999999</v>
      </c>
      <c r="EN226" s="128">
        <v>456000</v>
      </c>
      <c r="EO226" s="128">
        <v>0</v>
      </c>
      <c r="EP226" s="128">
        <v>30</v>
      </c>
      <c r="EQ226" s="128">
        <v>13</v>
      </c>
      <c r="ER226" s="128">
        <v>13.72</v>
      </c>
      <c r="ES226" s="128">
        <v>5616000</v>
      </c>
      <c r="ET226" s="128">
        <v>1802129</v>
      </c>
      <c r="FJ226" s="128">
        <v>10</v>
      </c>
      <c r="FK226" s="128">
        <v>4.0999999999999996</v>
      </c>
      <c r="FL226" s="128">
        <v>0</v>
      </c>
      <c r="FM226" s="128">
        <v>1869600</v>
      </c>
      <c r="FN226" s="128">
        <v>0</v>
      </c>
      <c r="FO226" s="128">
        <v>17</v>
      </c>
      <c r="FP226" s="128">
        <v>7.59</v>
      </c>
      <c r="FQ226" s="128">
        <v>11.64</v>
      </c>
      <c r="FR226" s="128">
        <v>5071200</v>
      </c>
      <c r="FS226" s="128">
        <v>0</v>
      </c>
      <c r="FZ226" s="128">
        <v>1</v>
      </c>
      <c r="GA226" s="128">
        <v>1</v>
      </c>
      <c r="GB226" s="128">
        <v>12</v>
      </c>
      <c r="GC226" s="128">
        <v>1</v>
      </c>
      <c r="GD226" s="128">
        <v>320000</v>
      </c>
      <c r="GE226" s="128">
        <v>320000</v>
      </c>
      <c r="IN226" s="128">
        <v>10</v>
      </c>
      <c r="IO226" s="128">
        <v>3000</v>
      </c>
      <c r="IP226" s="128">
        <v>1.431</v>
      </c>
      <c r="IQ226" s="128">
        <v>537000</v>
      </c>
      <c r="IR226" s="128">
        <v>537000</v>
      </c>
      <c r="JC226" s="128">
        <v>1</v>
      </c>
      <c r="JD226" s="128">
        <v>1</v>
      </c>
      <c r="JE226" s="128">
        <v>0</v>
      </c>
      <c r="JF226" s="128">
        <v>300000</v>
      </c>
      <c r="JG226" s="128">
        <v>300000</v>
      </c>
      <c r="KG226" s="128">
        <v>2</v>
      </c>
      <c r="KH226" s="128">
        <v>200</v>
      </c>
      <c r="KI226" s="128">
        <v>18.100000000000001</v>
      </c>
      <c r="KJ226" s="128">
        <v>1</v>
      </c>
      <c r="KK226" s="128">
        <v>1.431</v>
      </c>
      <c r="KL226" s="128">
        <v>1</v>
      </c>
      <c r="KM226" s="128">
        <v>21.530999999999999</v>
      </c>
      <c r="KN226" s="128">
        <v>13012800</v>
      </c>
      <c r="KO226" s="128">
        <v>1802129</v>
      </c>
      <c r="KP226" s="128">
        <v>1802129</v>
      </c>
      <c r="KT226" s="128">
        <v>320000</v>
      </c>
      <c r="KU226" s="128">
        <v>320000</v>
      </c>
      <c r="KV226" s="128">
        <v>320000</v>
      </c>
      <c r="KZ226" s="128">
        <v>537000</v>
      </c>
      <c r="LA226" s="128">
        <v>537000</v>
      </c>
      <c r="LB226" s="128">
        <v>537000</v>
      </c>
      <c r="LF226" s="128">
        <v>0</v>
      </c>
      <c r="LG226" s="128">
        <v>0</v>
      </c>
      <c r="LH226" s="128">
        <v>0</v>
      </c>
      <c r="LL226" s="128">
        <v>0</v>
      </c>
      <c r="LM226" s="128">
        <v>0</v>
      </c>
      <c r="LN226" s="128">
        <v>0</v>
      </c>
      <c r="LR226" s="128">
        <v>0</v>
      </c>
      <c r="LS226" s="128">
        <v>0</v>
      </c>
      <c r="LT226" s="128">
        <v>0</v>
      </c>
      <c r="LX226" s="128">
        <v>1564331</v>
      </c>
      <c r="LY226" s="128">
        <v>0</v>
      </c>
      <c r="LZ226" s="128">
        <v>0</v>
      </c>
      <c r="MD226" s="128">
        <v>43942</v>
      </c>
      <c r="ME226" s="128">
        <v>0</v>
      </c>
      <c r="MF226" s="128">
        <v>0</v>
      </c>
      <c r="MJ226" s="128">
        <v>17126</v>
      </c>
      <c r="MK226" s="128">
        <v>0</v>
      </c>
      <c r="ML226" s="128">
        <v>0</v>
      </c>
      <c r="MP226" s="128">
        <v>619146</v>
      </c>
      <c r="MQ226" s="128">
        <v>0</v>
      </c>
      <c r="MR226" s="128">
        <v>0</v>
      </c>
      <c r="MV226" s="128">
        <v>1416123</v>
      </c>
      <c r="MW226" s="128">
        <v>0</v>
      </c>
      <c r="MX226" s="128">
        <v>0</v>
      </c>
      <c r="NB226" s="128">
        <v>123724</v>
      </c>
      <c r="NC226" s="128">
        <v>0</v>
      </c>
      <c r="ND226" s="128">
        <v>0</v>
      </c>
      <c r="NH226" s="128">
        <v>6705374</v>
      </c>
      <c r="NI226" s="128">
        <v>0</v>
      </c>
      <c r="NJ226" s="128">
        <v>0</v>
      </c>
      <c r="NN226" s="128">
        <v>616924</v>
      </c>
      <c r="NO226" s="128">
        <v>0</v>
      </c>
      <c r="NP226" s="128">
        <v>0</v>
      </c>
      <c r="NT226" s="128">
        <v>32470</v>
      </c>
      <c r="NU226" s="128">
        <v>0</v>
      </c>
      <c r="NV226" s="128">
        <v>0</v>
      </c>
      <c r="NZ226" s="128">
        <v>126888</v>
      </c>
      <c r="OA226" s="128">
        <v>0</v>
      </c>
      <c r="OB226" s="128">
        <v>0</v>
      </c>
      <c r="OF226" s="128">
        <v>10275</v>
      </c>
      <c r="OG226" s="128">
        <v>0</v>
      </c>
      <c r="OH226" s="128">
        <v>0</v>
      </c>
      <c r="OL226" s="128">
        <v>300000</v>
      </c>
      <c r="OM226" s="128">
        <v>300000</v>
      </c>
      <c r="ON226" s="128">
        <v>300000</v>
      </c>
      <c r="OR226" s="128">
        <v>0</v>
      </c>
      <c r="OS226" s="128">
        <v>0</v>
      </c>
      <c r="OT226" s="128">
        <v>0</v>
      </c>
      <c r="OX226" s="128">
        <v>355055</v>
      </c>
      <c r="OY226" s="128">
        <v>0</v>
      </c>
      <c r="OZ226" s="128">
        <v>0</v>
      </c>
      <c r="PD226" s="128">
        <v>392067</v>
      </c>
      <c r="PE226" s="128">
        <v>0</v>
      </c>
      <c r="PF226" s="128">
        <v>0</v>
      </c>
      <c r="PJ226" s="128">
        <v>111734</v>
      </c>
      <c r="PK226" s="128">
        <v>0</v>
      </c>
      <c r="PL226" s="128">
        <v>0</v>
      </c>
      <c r="PP226" s="128">
        <v>26304979</v>
      </c>
      <c r="PQ226" s="128">
        <v>2959129</v>
      </c>
      <c r="PR226" s="128">
        <v>2959129</v>
      </c>
      <c r="PS226" s="128">
        <v>100</v>
      </c>
      <c r="PT226" s="128">
        <v>100</v>
      </c>
      <c r="PV226" s="128">
        <v>20102247</v>
      </c>
      <c r="PX226" s="128">
        <v>0</v>
      </c>
      <c r="PY226" s="128">
        <v>0</v>
      </c>
      <c r="PZ226" s="128">
        <v>2959129</v>
      </c>
      <c r="QA226" s="128">
        <v>0</v>
      </c>
      <c r="QB226" s="128">
        <v>0</v>
      </c>
      <c r="QC226" s="128">
        <v>0</v>
      </c>
      <c r="QD226" s="128">
        <v>0</v>
      </c>
      <c r="QE226" s="128">
        <v>0</v>
      </c>
      <c r="QF226" s="128">
        <v>0</v>
      </c>
      <c r="QG226" s="128">
        <v>0</v>
      </c>
      <c r="QH226" s="128">
        <v>0</v>
      </c>
      <c r="QI226" s="128">
        <v>0</v>
      </c>
      <c r="QJ226" s="128">
        <v>12106126</v>
      </c>
      <c r="QK226" s="128">
        <v>15200000</v>
      </c>
      <c r="QL226" s="128">
        <v>19000000</v>
      </c>
      <c r="QN226" s="128">
        <v>2647640</v>
      </c>
      <c r="QO226" s="128">
        <v>3779000</v>
      </c>
      <c r="QP226" s="128">
        <v>4345850</v>
      </c>
      <c r="RH226" s="128">
        <f t="shared" si="412"/>
        <v>2959129</v>
      </c>
      <c r="RI226" s="128">
        <v>0</v>
      </c>
      <c r="RM226" s="128" t="s">
        <v>220</v>
      </c>
      <c r="RU226" s="130"/>
      <c r="RV226" s="130"/>
      <c r="RW226" s="130"/>
      <c r="RX226" s="130"/>
      <c r="SF226" s="128">
        <f t="shared" si="322"/>
        <v>5600030</v>
      </c>
      <c r="SG226" s="131">
        <f t="shared" si="323"/>
        <v>26304979</v>
      </c>
      <c r="SH226" s="131">
        <f t="shared" si="324"/>
        <v>26304979</v>
      </c>
      <c r="SI226" s="131">
        <f t="shared" si="325"/>
        <v>13869800</v>
      </c>
      <c r="SJ226" s="132">
        <f t="shared" si="326"/>
        <v>13012800</v>
      </c>
      <c r="SK226" s="132">
        <f t="shared" si="327"/>
        <v>320000</v>
      </c>
      <c r="SL226" s="132">
        <f t="shared" si="328"/>
        <v>537000</v>
      </c>
      <c r="SM226" s="132">
        <f t="shared" si="329"/>
        <v>0</v>
      </c>
      <c r="SN226" s="131">
        <f t="shared" si="330"/>
        <v>12435179</v>
      </c>
      <c r="SO226" s="131">
        <f t="shared" si="331"/>
        <v>0</v>
      </c>
      <c r="SP226" s="132">
        <f t="shared" si="332"/>
        <v>0</v>
      </c>
      <c r="SQ226" s="132">
        <f t="shared" si="333"/>
        <v>0</v>
      </c>
      <c r="SR226" s="132">
        <f t="shared" si="334"/>
        <v>1564331</v>
      </c>
      <c r="SS226" s="132">
        <f t="shared" si="335"/>
        <v>43942</v>
      </c>
      <c r="ST226" s="132">
        <f t="shared" si="336"/>
        <v>17126</v>
      </c>
      <c r="SU226" s="132">
        <f t="shared" si="337"/>
        <v>619146</v>
      </c>
      <c r="SV226" s="131">
        <f t="shared" si="338"/>
        <v>9686833</v>
      </c>
      <c r="SW226" s="132">
        <f t="shared" si="339"/>
        <v>1416123</v>
      </c>
      <c r="SX226" s="132">
        <f t="shared" si="340"/>
        <v>123724</v>
      </c>
      <c r="SY226" s="132">
        <f t="shared" si="341"/>
        <v>6705374</v>
      </c>
      <c r="SZ226" s="132">
        <f t="shared" si="342"/>
        <v>616924</v>
      </c>
      <c r="TA226" s="132">
        <f t="shared" si="343"/>
        <v>32470</v>
      </c>
      <c r="TB226" s="132">
        <f t="shared" si="344"/>
        <v>126888</v>
      </c>
      <c r="TC226" s="132">
        <f t="shared" si="345"/>
        <v>10275</v>
      </c>
      <c r="TD226" s="132">
        <f t="shared" si="346"/>
        <v>300000</v>
      </c>
      <c r="TE226" s="132">
        <f t="shared" si="347"/>
        <v>0</v>
      </c>
      <c r="TF226" s="132">
        <f t="shared" si="348"/>
        <v>355055</v>
      </c>
      <c r="TG226" s="132">
        <f t="shared" si="349"/>
        <v>392067</v>
      </c>
      <c r="TH226" s="132">
        <f t="shared" si="350"/>
        <v>111734</v>
      </c>
      <c r="TI226" s="1"/>
      <c r="TJ226" s="131">
        <f t="shared" si="351"/>
        <v>2959129</v>
      </c>
      <c r="TK226" s="131">
        <f t="shared" si="352"/>
        <v>2959129</v>
      </c>
      <c r="TL226" s="131">
        <f t="shared" si="353"/>
        <v>2659129</v>
      </c>
      <c r="TM226" s="132">
        <f t="shared" si="354"/>
        <v>1802129</v>
      </c>
      <c r="TN226" s="132">
        <f t="shared" si="355"/>
        <v>320000</v>
      </c>
      <c r="TO226" s="132">
        <f t="shared" si="356"/>
        <v>537000</v>
      </c>
      <c r="TP226" s="132">
        <f t="shared" si="357"/>
        <v>0</v>
      </c>
      <c r="TQ226" s="131">
        <f t="shared" si="358"/>
        <v>300000</v>
      </c>
      <c r="TR226" s="131">
        <f t="shared" si="359"/>
        <v>0</v>
      </c>
      <c r="TS226" s="132">
        <f t="shared" si="360"/>
        <v>0</v>
      </c>
      <c r="TT226" s="132">
        <f t="shared" si="361"/>
        <v>0</v>
      </c>
      <c r="TU226" s="132">
        <f t="shared" si="362"/>
        <v>0</v>
      </c>
      <c r="TV226" s="132">
        <f t="shared" si="363"/>
        <v>0</v>
      </c>
      <c r="TW226" s="132">
        <f t="shared" si="364"/>
        <v>0</v>
      </c>
      <c r="TX226" s="132">
        <f t="shared" si="365"/>
        <v>0</v>
      </c>
      <c r="TY226" s="131">
        <f t="shared" si="366"/>
        <v>300000</v>
      </c>
      <c r="TZ226" s="132">
        <f t="shared" si="367"/>
        <v>0</v>
      </c>
      <c r="UA226" s="132">
        <f t="shared" si="368"/>
        <v>0</v>
      </c>
      <c r="UB226" s="132">
        <f t="shared" si="369"/>
        <v>0</v>
      </c>
      <c r="UC226" s="132">
        <f t="shared" si="370"/>
        <v>0</v>
      </c>
      <c r="UD226" s="132">
        <f t="shared" si="371"/>
        <v>0</v>
      </c>
      <c r="UE226" s="132">
        <f t="shared" si="372"/>
        <v>0</v>
      </c>
      <c r="UF226" s="132">
        <f t="shared" si="373"/>
        <v>0</v>
      </c>
      <c r="UG226" s="132">
        <f t="shared" si="374"/>
        <v>300000</v>
      </c>
      <c r="UH226" s="132">
        <f t="shared" si="375"/>
        <v>0</v>
      </c>
      <c r="UI226" s="132">
        <f t="shared" si="376"/>
        <v>0</v>
      </c>
      <c r="UJ226" s="132">
        <f t="shared" si="377"/>
        <v>0</v>
      </c>
      <c r="UK226" s="132">
        <f t="shared" si="378"/>
        <v>0</v>
      </c>
      <c r="UL226" s="132">
        <f t="shared" si="413"/>
        <v>2959129</v>
      </c>
      <c r="UM226" s="131">
        <f t="shared" si="379"/>
        <v>2959129</v>
      </c>
      <c r="UN226" s="131">
        <f t="shared" si="380"/>
        <v>2959129</v>
      </c>
      <c r="UO226" s="131">
        <f t="shared" si="381"/>
        <v>2659129</v>
      </c>
      <c r="UP226" s="132">
        <f t="shared" si="382"/>
        <v>1802129</v>
      </c>
      <c r="UQ226" s="132">
        <f t="shared" si="383"/>
        <v>320000</v>
      </c>
      <c r="UR226" s="132">
        <f t="shared" si="384"/>
        <v>537000</v>
      </c>
      <c r="US226" s="132">
        <f t="shared" si="385"/>
        <v>0</v>
      </c>
      <c r="UT226" s="131">
        <f t="shared" si="386"/>
        <v>300000</v>
      </c>
      <c r="UU226" s="131">
        <f t="shared" si="387"/>
        <v>0</v>
      </c>
      <c r="UV226" s="132">
        <f t="shared" si="388"/>
        <v>0</v>
      </c>
      <c r="UW226" s="132">
        <f t="shared" si="389"/>
        <v>0</v>
      </c>
      <c r="UX226" s="132">
        <f t="shared" si="390"/>
        <v>0</v>
      </c>
      <c r="UY226" s="132">
        <f t="shared" si="391"/>
        <v>0</v>
      </c>
      <c r="UZ226" s="132">
        <f t="shared" si="392"/>
        <v>0</v>
      </c>
      <c r="VA226" s="132">
        <f t="shared" si="393"/>
        <v>0</v>
      </c>
      <c r="VB226" s="131">
        <f t="shared" si="394"/>
        <v>300000</v>
      </c>
      <c r="VC226" s="132">
        <f t="shared" si="395"/>
        <v>0</v>
      </c>
      <c r="VD226" s="132">
        <f t="shared" si="396"/>
        <v>0</v>
      </c>
      <c r="VE226" s="132">
        <f t="shared" si="397"/>
        <v>0</v>
      </c>
      <c r="VF226" s="132">
        <f t="shared" si="398"/>
        <v>0</v>
      </c>
      <c r="VG226" s="132">
        <f t="shared" si="399"/>
        <v>0</v>
      </c>
      <c r="VH226" s="132">
        <f t="shared" si="400"/>
        <v>0</v>
      </c>
      <c r="VI226" s="132">
        <f t="shared" si="401"/>
        <v>0</v>
      </c>
      <c r="VJ226" s="132">
        <f t="shared" si="402"/>
        <v>300000</v>
      </c>
      <c r="VK226" s="132">
        <f t="shared" si="403"/>
        <v>0</v>
      </c>
      <c r="VL226" s="132">
        <f t="shared" si="404"/>
        <v>0</v>
      </c>
      <c r="VM226" s="132">
        <f t="shared" si="405"/>
        <v>0</v>
      </c>
      <c r="VN226" s="132">
        <f t="shared" si="406"/>
        <v>0</v>
      </c>
      <c r="VP226" s="845">
        <f>IFERROR(HLOOKUP(F226,'Hodnocení '!$C$1:$JH$5,2,FALSE),0)</f>
        <v>0</v>
      </c>
      <c r="VQ226" s="838"/>
      <c r="VR226" s="845" t="str">
        <f t="shared" si="414"/>
        <v>Akciová společnost</v>
      </c>
      <c r="VS226" s="845">
        <f>IFERROR(HLOOKUP(F226,'Hodnocení '!$C$1:$JH$5,5,FALSE),0)</f>
        <v>0</v>
      </c>
      <c r="VT226" s="838">
        <f t="shared" si="415"/>
        <v>0</v>
      </c>
      <c r="VU226" s="838">
        <f t="shared" si="416"/>
        <v>0</v>
      </c>
      <c r="VV226" s="838">
        <f t="shared" si="417"/>
        <v>19000000</v>
      </c>
      <c r="VW226" s="838">
        <f t="shared" si="418"/>
        <v>4345850</v>
      </c>
      <c r="VX226" s="838"/>
      <c r="VY226" s="838">
        <f t="shared" si="419"/>
        <v>2959129</v>
      </c>
      <c r="VZ226" s="838">
        <f t="shared" si="420"/>
        <v>2959129</v>
      </c>
      <c r="WA226" s="846">
        <f>IFERROR(HLOOKUP($F226,'Hodnocení '!$C$1:$JH$9,9,FALSE),0)</f>
        <v>0</v>
      </c>
      <c r="WB226" s="846">
        <f>IF(IFERROR(HLOOKUP($F226,'Hodnocení '!$C$1:$JH$13,13,FALSE),0)&gt;WA226,WA226,IFERROR(HLOOKUP($F226,'Hodnocení '!$C$1:$JH$13,13,FALSE),0))</f>
        <v>0</v>
      </c>
      <c r="WC226" s="846">
        <f>IFERROR(HLOOKUP($F226,'Hodnocení '!$C$1:$JH$155,155,FALSE),0)</f>
        <v>0</v>
      </c>
      <c r="WD226" s="845"/>
      <c r="WE226" s="845"/>
      <c r="WF226" s="845" t="str">
        <f t="shared" si="407"/>
        <v>NE</v>
      </c>
      <c r="WG226" s="849" t="str">
        <f t="shared" si="421"/>
        <v>Služba není zařazeno do sítě sociálních služeb</v>
      </c>
      <c r="WH226" s="849">
        <f t="shared" si="421"/>
        <v>0</v>
      </c>
      <c r="WI226" s="849" t="str">
        <f t="shared" si="421"/>
        <v>Služba není zařazena do sítě sociálních služeb v KHK</v>
      </c>
      <c r="WJ226" s="849">
        <f t="shared" si="421"/>
        <v>0</v>
      </c>
      <c r="WK226" s="31">
        <f t="shared" si="408"/>
        <v>0</v>
      </c>
      <c r="WL226" s="850">
        <f t="shared" si="409"/>
        <v>0</v>
      </c>
      <c r="WM226" s="849" t="str">
        <f t="shared" si="410"/>
        <v>nehodnoceno</v>
      </c>
      <c r="WN226" s="849" t="str">
        <f t="shared" si="411"/>
        <v>nehodnoceno</v>
      </c>
      <c r="WO226" s="849" t="str">
        <f t="shared" si="321"/>
        <v>nehodnoceno</v>
      </c>
      <c r="WP226" s="849" t="str">
        <f t="shared" si="321"/>
        <v>nehodnoceno</v>
      </c>
      <c r="WQ226" s="849" t="str">
        <f t="shared" si="321"/>
        <v>nehodnoceno</v>
      </c>
      <c r="WR226" s="849" t="str">
        <f t="shared" si="321"/>
        <v>nehodnoceno</v>
      </c>
      <c r="WS226" s="849" t="str">
        <f t="shared" si="321"/>
        <v>nehodnoceno</v>
      </c>
      <c r="WT226" s="849" t="str">
        <f t="shared" si="321"/>
        <v>nehodnoceno</v>
      </c>
      <c r="WU226" s="845"/>
    </row>
    <row r="227" spans="1:619" s="128" customFormat="1" x14ac:dyDescent="0.25">
      <c r="A227" s="128" t="e">
        <f>VLOOKUP(F227,'Výpočet VP 2020'!$D$324:$I$588,6,FALSE)</f>
        <v>#N/A</v>
      </c>
      <c r="B227" s="128" t="s">
        <v>936</v>
      </c>
      <c r="C227" s="128">
        <v>3588122</v>
      </c>
      <c r="D227" s="128" t="s">
        <v>937</v>
      </c>
      <c r="E227" s="128" t="s">
        <v>836</v>
      </c>
      <c r="F227" s="128">
        <v>6984692</v>
      </c>
      <c r="G227" s="128" t="s">
        <v>392</v>
      </c>
      <c r="H227" s="128" t="s">
        <v>218</v>
      </c>
      <c r="I227" s="128" t="s">
        <v>393</v>
      </c>
      <c r="J227" s="129">
        <v>42485</v>
      </c>
      <c r="L227" s="128" t="s">
        <v>220</v>
      </c>
      <c r="M227" s="128" t="s">
        <v>939</v>
      </c>
      <c r="N227" s="128">
        <v>73</v>
      </c>
      <c r="P227" s="128">
        <v>73</v>
      </c>
      <c r="Q227" s="128">
        <v>55</v>
      </c>
      <c r="R227" s="128">
        <v>73</v>
      </c>
      <c r="BL227" s="128" t="s">
        <v>395</v>
      </c>
      <c r="BM227" s="128" t="s">
        <v>304</v>
      </c>
      <c r="BN227" s="128" t="s">
        <v>326</v>
      </c>
      <c r="DA227" s="128">
        <v>0</v>
      </c>
      <c r="DB227" s="128">
        <v>0</v>
      </c>
      <c r="DC227" s="128">
        <v>0</v>
      </c>
      <c r="DD227" s="128">
        <v>0</v>
      </c>
      <c r="DE227" s="128">
        <v>0</v>
      </c>
      <c r="DF227" s="128">
        <v>2</v>
      </c>
      <c r="DG227" s="128">
        <v>9</v>
      </c>
      <c r="DH227" s="128">
        <v>17</v>
      </c>
      <c r="DI227" s="128">
        <v>19</v>
      </c>
      <c r="DJ227" s="128">
        <v>10</v>
      </c>
      <c r="DK227" s="128">
        <v>2</v>
      </c>
      <c r="DL227" s="128">
        <v>9</v>
      </c>
      <c r="DM227" s="128">
        <v>17</v>
      </c>
      <c r="DN227" s="128">
        <v>19</v>
      </c>
      <c r="DO227" s="128">
        <v>10</v>
      </c>
      <c r="DP227" s="128">
        <v>0</v>
      </c>
      <c r="DQ227" s="128">
        <v>57</v>
      </c>
      <c r="DR227" s="128">
        <v>57</v>
      </c>
      <c r="DS227" s="128">
        <v>0</v>
      </c>
      <c r="DT227" s="128">
        <v>0</v>
      </c>
      <c r="DU227" s="128">
        <v>0</v>
      </c>
      <c r="DV227" s="128">
        <v>0</v>
      </c>
      <c r="DW227" s="128">
        <v>0</v>
      </c>
      <c r="DX227" s="128">
        <v>6</v>
      </c>
      <c r="DY227" s="128">
        <v>16</v>
      </c>
      <c r="DZ227" s="128">
        <v>23</v>
      </c>
      <c r="EA227" s="128">
        <v>23</v>
      </c>
      <c r="EB227" s="128">
        <v>5</v>
      </c>
      <c r="EC227" s="128">
        <v>6</v>
      </c>
      <c r="ED227" s="128">
        <v>16</v>
      </c>
      <c r="EE227" s="128">
        <v>23</v>
      </c>
      <c r="EF227" s="128">
        <v>23</v>
      </c>
      <c r="EG227" s="128">
        <v>5</v>
      </c>
      <c r="EH227" s="128">
        <v>0</v>
      </c>
      <c r="EI227" s="128">
        <v>73</v>
      </c>
      <c r="EJ227" s="128">
        <v>73</v>
      </c>
      <c r="EK227" s="128">
        <v>2</v>
      </c>
      <c r="EL227" s="128">
        <v>1</v>
      </c>
      <c r="EM227" s="128">
        <v>1.1399999999999999</v>
      </c>
      <c r="EN227" s="128">
        <v>456000</v>
      </c>
      <c r="EO227" s="128">
        <v>0</v>
      </c>
      <c r="EP227" s="128">
        <v>30</v>
      </c>
      <c r="EQ227" s="128">
        <v>14</v>
      </c>
      <c r="ER227" s="128">
        <v>14.18</v>
      </c>
      <c r="ES227" s="128">
        <v>6384000</v>
      </c>
      <c r="ET227" s="128">
        <v>857229</v>
      </c>
      <c r="FJ227" s="128">
        <v>10</v>
      </c>
      <c r="FK227" s="128">
        <v>4</v>
      </c>
      <c r="FL227" s="128">
        <v>4.0999999999999996</v>
      </c>
      <c r="FM227" s="128">
        <v>2400000</v>
      </c>
      <c r="FN227" s="128">
        <v>0</v>
      </c>
      <c r="FO227" s="128">
        <v>17</v>
      </c>
      <c r="FP227" s="128">
        <v>7.1</v>
      </c>
      <c r="FQ227" s="128">
        <v>7.35</v>
      </c>
      <c r="FR227" s="128">
        <v>3720000</v>
      </c>
      <c r="FS227" s="128">
        <v>0</v>
      </c>
      <c r="FZ227" s="128">
        <v>1</v>
      </c>
      <c r="GA227" s="128">
        <v>1</v>
      </c>
      <c r="GB227" s="128">
        <v>12</v>
      </c>
      <c r="GC227" s="128">
        <v>1</v>
      </c>
      <c r="GD227" s="128">
        <v>320000</v>
      </c>
      <c r="GE227" s="128">
        <v>320000</v>
      </c>
      <c r="IN227" s="128">
        <v>10</v>
      </c>
      <c r="IO227" s="128">
        <v>3000</v>
      </c>
      <c r="IP227" s="128">
        <v>1.431</v>
      </c>
      <c r="IQ227" s="128">
        <v>600000</v>
      </c>
      <c r="IR227" s="128">
        <v>600000</v>
      </c>
      <c r="JC227" s="128">
        <v>1</v>
      </c>
      <c r="JD227" s="128">
        <v>1</v>
      </c>
      <c r="JE227" s="128">
        <v>0</v>
      </c>
      <c r="JF227" s="128">
        <v>200000</v>
      </c>
      <c r="JG227" s="128">
        <v>200000</v>
      </c>
      <c r="KG227" s="128">
        <v>2</v>
      </c>
      <c r="KH227" s="128">
        <v>150</v>
      </c>
      <c r="KI227" s="128">
        <v>19</v>
      </c>
      <c r="KJ227" s="128">
        <v>1</v>
      </c>
      <c r="KK227" s="128">
        <v>1.431</v>
      </c>
      <c r="KL227" s="128">
        <v>1</v>
      </c>
      <c r="KM227" s="128">
        <v>22.431000000000001</v>
      </c>
      <c r="KN227" s="128">
        <v>12960000</v>
      </c>
      <c r="KO227" s="128">
        <v>857229</v>
      </c>
      <c r="KP227" s="128">
        <v>857229</v>
      </c>
      <c r="KT227" s="128">
        <v>320000</v>
      </c>
      <c r="KU227" s="128">
        <v>320000</v>
      </c>
      <c r="KV227" s="128">
        <v>320000</v>
      </c>
      <c r="KZ227" s="128">
        <v>600000</v>
      </c>
      <c r="LA227" s="128">
        <v>600000</v>
      </c>
      <c r="LB227" s="128">
        <v>600000</v>
      </c>
      <c r="LF227" s="128">
        <v>0</v>
      </c>
      <c r="LG227" s="128">
        <v>0</v>
      </c>
      <c r="LH227" s="128">
        <v>0</v>
      </c>
      <c r="LL227" s="128">
        <v>0</v>
      </c>
      <c r="LM227" s="128">
        <v>0</v>
      </c>
      <c r="LN227" s="128">
        <v>0</v>
      </c>
      <c r="LR227" s="128">
        <v>0</v>
      </c>
      <c r="LS227" s="128">
        <v>0</v>
      </c>
      <c r="LT227" s="128">
        <v>0</v>
      </c>
      <c r="LX227" s="128">
        <v>1564331</v>
      </c>
      <c r="LY227" s="128">
        <v>0</v>
      </c>
      <c r="LZ227" s="128">
        <v>0</v>
      </c>
      <c r="MD227" s="128">
        <v>43942</v>
      </c>
      <c r="ME227" s="128">
        <v>0</v>
      </c>
      <c r="MF227" s="128">
        <v>0</v>
      </c>
      <c r="MJ227" s="128">
        <v>17126</v>
      </c>
      <c r="MK227" s="128">
        <v>0</v>
      </c>
      <c r="ML227" s="128">
        <v>0</v>
      </c>
      <c r="MP227" s="128">
        <v>619146</v>
      </c>
      <c r="MQ227" s="128">
        <v>0</v>
      </c>
      <c r="MR227" s="128">
        <v>0</v>
      </c>
      <c r="MV227" s="128">
        <v>1416123</v>
      </c>
      <c r="MW227" s="128">
        <v>0</v>
      </c>
      <c r="MX227" s="128">
        <v>0</v>
      </c>
      <c r="NB227" s="128">
        <v>123724</v>
      </c>
      <c r="NC227" s="128">
        <v>0</v>
      </c>
      <c r="ND227" s="128">
        <v>0</v>
      </c>
      <c r="NH227" s="128">
        <v>6705374</v>
      </c>
      <c r="NI227" s="128">
        <v>0</v>
      </c>
      <c r="NJ227" s="128">
        <v>0</v>
      </c>
      <c r="NN227" s="128">
        <v>616924</v>
      </c>
      <c r="NO227" s="128">
        <v>0</v>
      </c>
      <c r="NP227" s="128">
        <v>0</v>
      </c>
      <c r="NT227" s="128">
        <v>32470</v>
      </c>
      <c r="NU227" s="128">
        <v>0</v>
      </c>
      <c r="NV227" s="128">
        <v>0</v>
      </c>
      <c r="NZ227" s="128">
        <v>126888</v>
      </c>
      <c r="OA227" s="128">
        <v>0</v>
      </c>
      <c r="OB227" s="128">
        <v>0</v>
      </c>
      <c r="OF227" s="128">
        <v>10275</v>
      </c>
      <c r="OG227" s="128">
        <v>0</v>
      </c>
      <c r="OH227" s="128">
        <v>0</v>
      </c>
      <c r="OL227" s="128">
        <v>200000</v>
      </c>
      <c r="OM227" s="128">
        <v>200000</v>
      </c>
      <c r="ON227" s="128">
        <v>200000</v>
      </c>
      <c r="OR227" s="128">
        <v>0</v>
      </c>
      <c r="OS227" s="128">
        <v>0</v>
      </c>
      <c r="OT227" s="128">
        <v>0</v>
      </c>
      <c r="OX227" s="128">
        <v>355055</v>
      </c>
      <c r="OY227" s="128">
        <v>0</v>
      </c>
      <c r="OZ227" s="128">
        <v>0</v>
      </c>
      <c r="PD227" s="128">
        <v>392067</v>
      </c>
      <c r="PE227" s="128">
        <v>0</v>
      </c>
      <c r="PF227" s="128">
        <v>0</v>
      </c>
      <c r="PJ227" s="128">
        <v>111734</v>
      </c>
      <c r="PK227" s="128">
        <v>0</v>
      </c>
      <c r="PL227" s="128">
        <v>0</v>
      </c>
      <c r="PP227" s="128">
        <v>26215179</v>
      </c>
      <c r="PQ227" s="128">
        <v>1977229</v>
      </c>
      <c r="PR227" s="128">
        <v>1977229</v>
      </c>
      <c r="PS227" s="128">
        <v>100</v>
      </c>
      <c r="PT227" s="128">
        <v>100</v>
      </c>
      <c r="PV227" s="128">
        <v>22637869</v>
      </c>
      <c r="PX227" s="128">
        <v>0</v>
      </c>
      <c r="PY227" s="128">
        <v>0</v>
      </c>
      <c r="PZ227" s="128">
        <v>1977229</v>
      </c>
      <c r="QA227" s="128">
        <v>0</v>
      </c>
      <c r="QB227" s="128">
        <v>0</v>
      </c>
      <c r="QC227" s="128">
        <v>0</v>
      </c>
      <c r="QD227" s="128">
        <v>0</v>
      </c>
      <c r="QE227" s="128">
        <v>0</v>
      </c>
      <c r="QF227" s="128">
        <v>0</v>
      </c>
      <c r="QG227" s="128">
        <v>0</v>
      </c>
      <c r="QH227" s="128">
        <v>0</v>
      </c>
      <c r="QI227" s="128">
        <v>0</v>
      </c>
      <c r="QJ227" s="128">
        <v>9925136</v>
      </c>
      <c r="QK227" s="128">
        <v>15924284</v>
      </c>
      <c r="QL227" s="128">
        <v>20064600</v>
      </c>
      <c r="QN227" s="128">
        <v>2243762</v>
      </c>
      <c r="QO227" s="128">
        <v>3629000</v>
      </c>
      <c r="QP227" s="128">
        <v>4173350</v>
      </c>
      <c r="RH227" s="128">
        <f t="shared" si="412"/>
        <v>1977229</v>
      </c>
      <c r="RI227" s="128">
        <v>0</v>
      </c>
      <c r="RM227" s="128" t="s">
        <v>220</v>
      </c>
      <c r="RU227" s="130"/>
      <c r="RV227" s="130"/>
      <c r="RW227" s="130"/>
      <c r="RX227" s="130"/>
      <c r="SF227" s="128">
        <f t="shared" si="322"/>
        <v>6984692</v>
      </c>
      <c r="SG227" s="131">
        <f t="shared" si="323"/>
        <v>26215179</v>
      </c>
      <c r="SH227" s="131">
        <f t="shared" si="324"/>
        <v>26215179</v>
      </c>
      <c r="SI227" s="131">
        <f t="shared" si="325"/>
        <v>13880000</v>
      </c>
      <c r="SJ227" s="132">
        <f t="shared" si="326"/>
        <v>12960000</v>
      </c>
      <c r="SK227" s="132">
        <f t="shared" si="327"/>
        <v>320000</v>
      </c>
      <c r="SL227" s="132">
        <f t="shared" si="328"/>
        <v>600000</v>
      </c>
      <c r="SM227" s="132">
        <f t="shared" si="329"/>
        <v>0</v>
      </c>
      <c r="SN227" s="131">
        <f t="shared" si="330"/>
        <v>12335179</v>
      </c>
      <c r="SO227" s="131">
        <f t="shared" si="331"/>
        <v>0</v>
      </c>
      <c r="SP227" s="132">
        <f t="shared" si="332"/>
        <v>0</v>
      </c>
      <c r="SQ227" s="132">
        <f t="shared" si="333"/>
        <v>0</v>
      </c>
      <c r="SR227" s="132">
        <f t="shared" si="334"/>
        <v>1564331</v>
      </c>
      <c r="SS227" s="132">
        <f t="shared" si="335"/>
        <v>43942</v>
      </c>
      <c r="ST227" s="132">
        <f t="shared" si="336"/>
        <v>17126</v>
      </c>
      <c r="SU227" s="132">
        <f t="shared" si="337"/>
        <v>619146</v>
      </c>
      <c r="SV227" s="131">
        <f t="shared" si="338"/>
        <v>9586833</v>
      </c>
      <c r="SW227" s="132">
        <f t="shared" si="339"/>
        <v>1416123</v>
      </c>
      <c r="SX227" s="132">
        <f t="shared" si="340"/>
        <v>123724</v>
      </c>
      <c r="SY227" s="132">
        <f t="shared" si="341"/>
        <v>6705374</v>
      </c>
      <c r="SZ227" s="132">
        <f t="shared" si="342"/>
        <v>616924</v>
      </c>
      <c r="TA227" s="132">
        <f t="shared" si="343"/>
        <v>32470</v>
      </c>
      <c r="TB227" s="132">
        <f t="shared" si="344"/>
        <v>126888</v>
      </c>
      <c r="TC227" s="132">
        <f t="shared" si="345"/>
        <v>10275</v>
      </c>
      <c r="TD227" s="132">
        <f t="shared" si="346"/>
        <v>200000</v>
      </c>
      <c r="TE227" s="132">
        <f t="shared" si="347"/>
        <v>0</v>
      </c>
      <c r="TF227" s="132">
        <f t="shared" si="348"/>
        <v>355055</v>
      </c>
      <c r="TG227" s="132">
        <f t="shared" si="349"/>
        <v>392067</v>
      </c>
      <c r="TH227" s="132">
        <f t="shared" si="350"/>
        <v>111734</v>
      </c>
      <c r="TI227" s="1"/>
      <c r="TJ227" s="131">
        <f t="shared" si="351"/>
        <v>1977229</v>
      </c>
      <c r="TK227" s="131">
        <f t="shared" si="352"/>
        <v>1977229</v>
      </c>
      <c r="TL227" s="131">
        <f t="shared" si="353"/>
        <v>1777229</v>
      </c>
      <c r="TM227" s="132">
        <f t="shared" si="354"/>
        <v>857229</v>
      </c>
      <c r="TN227" s="132">
        <f t="shared" si="355"/>
        <v>320000</v>
      </c>
      <c r="TO227" s="132">
        <f t="shared" si="356"/>
        <v>600000</v>
      </c>
      <c r="TP227" s="132">
        <f t="shared" si="357"/>
        <v>0</v>
      </c>
      <c r="TQ227" s="131">
        <f t="shared" si="358"/>
        <v>200000</v>
      </c>
      <c r="TR227" s="131">
        <f t="shared" si="359"/>
        <v>0</v>
      </c>
      <c r="TS227" s="132">
        <f t="shared" si="360"/>
        <v>0</v>
      </c>
      <c r="TT227" s="132">
        <f t="shared" si="361"/>
        <v>0</v>
      </c>
      <c r="TU227" s="132">
        <f t="shared" si="362"/>
        <v>0</v>
      </c>
      <c r="TV227" s="132">
        <f t="shared" si="363"/>
        <v>0</v>
      </c>
      <c r="TW227" s="132">
        <f t="shared" si="364"/>
        <v>0</v>
      </c>
      <c r="TX227" s="132">
        <f t="shared" si="365"/>
        <v>0</v>
      </c>
      <c r="TY227" s="131">
        <f t="shared" si="366"/>
        <v>200000</v>
      </c>
      <c r="TZ227" s="132">
        <f t="shared" si="367"/>
        <v>0</v>
      </c>
      <c r="UA227" s="132">
        <f t="shared" si="368"/>
        <v>0</v>
      </c>
      <c r="UB227" s="132">
        <f t="shared" si="369"/>
        <v>0</v>
      </c>
      <c r="UC227" s="132">
        <f t="shared" si="370"/>
        <v>0</v>
      </c>
      <c r="UD227" s="132">
        <f t="shared" si="371"/>
        <v>0</v>
      </c>
      <c r="UE227" s="132">
        <f t="shared" si="372"/>
        <v>0</v>
      </c>
      <c r="UF227" s="132">
        <f t="shared" si="373"/>
        <v>0</v>
      </c>
      <c r="UG227" s="132">
        <f t="shared" si="374"/>
        <v>200000</v>
      </c>
      <c r="UH227" s="132">
        <f t="shared" si="375"/>
        <v>0</v>
      </c>
      <c r="UI227" s="132">
        <f t="shared" si="376"/>
        <v>0</v>
      </c>
      <c r="UJ227" s="132">
        <f t="shared" si="377"/>
        <v>0</v>
      </c>
      <c r="UK227" s="132">
        <f t="shared" si="378"/>
        <v>0</v>
      </c>
      <c r="UL227" s="132">
        <f t="shared" si="413"/>
        <v>1977229</v>
      </c>
      <c r="UM227" s="131">
        <f t="shared" si="379"/>
        <v>1977229</v>
      </c>
      <c r="UN227" s="131">
        <f t="shared" si="380"/>
        <v>1977229</v>
      </c>
      <c r="UO227" s="131">
        <f t="shared" si="381"/>
        <v>1777229</v>
      </c>
      <c r="UP227" s="132">
        <f t="shared" si="382"/>
        <v>857229</v>
      </c>
      <c r="UQ227" s="132">
        <f t="shared" si="383"/>
        <v>320000</v>
      </c>
      <c r="UR227" s="132">
        <f t="shared" si="384"/>
        <v>600000</v>
      </c>
      <c r="US227" s="132">
        <f t="shared" si="385"/>
        <v>0</v>
      </c>
      <c r="UT227" s="131">
        <f t="shared" si="386"/>
        <v>200000</v>
      </c>
      <c r="UU227" s="131">
        <f t="shared" si="387"/>
        <v>0</v>
      </c>
      <c r="UV227" s="132">
        <f t="shared" si="388"/>
        <v>0</v>
      </c>
      <c r="UW227" s="132">
        <f t="shared" si="389"/>
        <v>0</v>
      </c>
      <c r="UX227" s="132">
        <f t="shared" si="390"/>
        <v>0</v>
      </c>
      <c r="UY227" s="132">
        <f t="shared" si="391"/>
        <v>0</v>
      </c>
      <c r="UZ227" s="132">
        <f t="shared" si="392"/>
        <v>0</v>
      </c>
      <c r="VA227" s="132">
        <f t="shared" si="393"/>
        <v>0</v>
      </c>
      <c r="VB227" s="131">
        <f t="shared" si="394"/>
        <v>200000</v>
      </c>
      <c r="VC227" s="132">
        <f t="shared" si="395"/>
        <v>0</v>
      </c>
      <c r="VD227" s="132">
        <f t="shared" si="396"/>
        <v>0</v>
      </c>
      <c r="VE227" s="132">
        <f t="shared" si="397"/>
        <v>0</v>
      </c>
      <c r="VF227" s="132">
        <f t="shared" si="398"/>
        <v>0</v>
      </c>
      <c r="VG227" s="132">
        <f t="shared" si="399"/>
        <v>0</v>
      </c>
      <c r="VH227" s="132">
        <f t="shared" si="400"/>
        <v>0</v>
      </c>
      <c r="VI227" s="132">
        <f t="shared" si="401"/>
        <v>0</v>
      </c>
      <c r="VJ227" s="132">
        <f t="shared" si="402"/>
        <v>200000</v>
      </c>
      <c r="VK227" s="132">
        <f t="shared" si="403"/>
        <v>0</v>
      </c>
      <c r="VL227" s="132">
        <f t="shared" si="404"/>
        <v>0</v>
      </c>
      <c r="VM227" s="132">
        <f t="shared" si="405"/>
        <v>0</v>
      </c>
      <c r="VN227" s="132">
        <f t="shared" si="406"/>
        <v>0</v>
      </c>
      <c r="VP227" s="845">
        <f>IFERROR(HLOOKUP(F227,'Hodnocení '!$C$1:$JH$5,2,FALSE),0)</f>
        <v>0</v>
      </c>
      <c r="VQ227" s="838"/>
      <c r="VR227" s="845" t="str">
        <f t="shared" si="414"/>
        <v>Akciová společnost</v>
      </c>
      <c r="VS227" s="845">
        <f>IFERROR(HLOOKUP(F227,'Hodnocení '!$C$1:$JH$5,5,FALSE),0)</f>
        <v>0</v>
      </c>
      <c r="VT227" s="838">
        <f t="shared" si="415"/>
        <v>0</v>
      </c>
      <c r="VU227" s="838">
        <f t="shared" si="416"/>
        <v>0</v>
      </c>
      <c r="VV227" s="838">
        <f t="shared" si="417"/>
        <v>20064600</v>
      </c>
      <c r="VW227" s="838">
        <f t="shared" si="418"/>
        <v>4173350</v>
      </c>
      <c r="VX227" s="838"/>
      <c r="VY227" s="838">
        <f t="shared" si="419"/>
        <v>1977229</v>
      </c>
      <c r="VZ227" s="838">
        <f t="shared" si="420"/>
        <v>1977229</v>
      </c>
      <c r="WA227" s="846">
        <f>IFERROR(HLOOKUP($F227,'Hodnocení '!$C$1:$JH$9,9,FALSE),0)</f>
        <v>0</v>
      </c>
      <c r="WB227" s="846">
        <f>IF(IFERROR(HLOOKUP($F227,'Hodnocení '!$C$1:$JH$13,13,FALSE),0)&gt;WA227,WA227,IFERROR(HLOOKUP($F227,'Hodnocení '!$C$1:$JH$13,13,FALSE),0))</f>
        <v>0</v>
      </c>
      <c r="WC227" s="846">
        <f>IFERROR(HLOOKUP($F227,'Hodnocení '!$C$1:$JH$155,155,FALSE),0)</f>
        <v>0</v>
      </c>
      <c r="WD227" s="845"/>
      <c r="WE227" s="845"/>
      <c r="WF227" s="845" t="str">
        <f t="shared" si="407"/>
        <v>NE</v>
      </c>
      <c r="WG227" s="849" t="str">
        <f t="shared" si="421"/>
        <v>Služba není zařazeno do sítě sociálních služeb</v>
      </c>
      <c r="WH227" s="849">
        <f t="shared" si="421"/>
        <v>0</v>
      </c>
      <c r="WI227" s="849" t="str">
        <f t="shared" si="421"/>
        <v>Služba není zařazena do sítě sociálních služeb v KHK</v>
      </c>
      <c r="WJ227" s="849">
        <f t="shared" si="421"/>
        <v>0</v>
      </c>
      <c r="WK227" s="31">
        <f t="shared" si="408"/>
        <v>0</v>
      </c>
      <c r="WL227" s="850">
        <f t="shared" si="409"/>
        <v>0</v>
      </c>
      <c r="WM227" s="849" t="str">
        <f t="shared" si="410"/>
        <v>nehodnoceno</v>
      </c>
      <c r="WN227" s="849" t="str">
        <f t="shared" si="411"/>
        <v>nehodnoceno</v>
      </c>
      <c r="WO227" s="849" t="str">
        <f t="shared" si="321"/>
        <v>nehodnoceno</v>
      </c>
      <c r="WP227" s="849" t="str">
        <f t="shared" si="321"/>
        <v>nehodnoceno</v>
      </c>
      <c r="WQ227" s="849" t="str">
        <f t="shared" si="321"/>
        <v>nehodnoceno</v>
      </c>
      <c r="WR227" s="849" t="str">
        <f t="shared" si="321"/>
        <v>nehodnoceno</v>
      </c>
      <c r="WS227" s="849" t="str">
        <f t="shared" si="321"/>
        <v>nehodnoceno</v>
      </c>
      <c r="WT227" s="849" t="str">
        <f t="shared" si="321"/>
        <v>nehodnoceno</v>
      </c>
      <c r="WU227" s="845"/>
    </row>
    <row r="228" spans="1:619" s="128" customFormat="1" x14ac:dyDescent="0.25">
      <c r="A228" s="128" t="str">
        <f>VLOOKUP(F228,'Výpočet VP 2020'!$D$324:$I$588,6,FALSE)</f>
        <v>Je v síti</v>
      </c>
      <c r="B228" s="128" t="s">
        <v>2439</v>
      </c>
      <c r="C228" s="128">
        <v>27521753</v>
      </c>
      <c r="D228" s="128" t="s">
        <v>2574</v>
      </c>
      <c r="E228" s="128" t="s">
        <v>216</v>
      </c>
      <c r="F228" s="128">
        <v>5871375</v>
      </c>
      <c r="G228" s="128" t="s">
        <v>267</v>
      </c>
      <c r="H228" s="128" t="s">
        <v>218</v>
      </c>
      <c r="I228" s="128" t="s">
        <v>2575</v>
      </c>
      <c r="J228" s="129">
        <v>42339</v>
      </c>
      <c r="L228" s="128" t="s">
        <v>220</v>
      </c>
      <c r="M228" s="128" t="s">
        <v>432</v>
      </c>
      <c r="N228" s="128">
        <v>17</v>
      </c>
      <c r="P228" s="128">
        <v>17</v>
      </c>
      <c r="Q228" s="128">
        <v>17</v>
      </c>
      <c r="R228" s="128">
        <v>17</v>
      </c>
      <c r="BL228" s="128" t="s">
        <v>356</v>
      </c>
      <c r="BM228" s="128" t="s">
        <v>228</v>
      </c>
      <c r="BN228" s="128" t="s">
        <v>256</v>
      </c>
      <c r="DA228" s="128">
        <v>0</v>
      </c>
      <c r="DB228" s="128">
        <v>0</v>
      </c>
      <c r="DC228" s="128">
        <v>0</v>
      </c>
      <c r="DD228" s="128">
        <v>0</v>
      </c>
      <c r="DE228" s="128">
        <v>0</v>
      </c>
      <c r="DF228" s="128">
        <v>2</v>
      </c>
      <c r="DG228" s="128">
        <v>6</v>
      </c>
      <c r="DH228" s="128">
        <v>8</v>
      </c>
      <c r="DI228" s="128">
        <v>0</v>
      </c>
      <c r="DJ228" s="128">
        <v>1</v>
      </c>
      <c r="DK228" s="128">
        <v>2</v>
      </c>
      <c r="DL228" s="128">
        <v>6</v>
      </c>
      <c r="DM228" s="128">
        <v>8</v>
      </c>
      <c r="DN228" s="128">
        <v>0</v>
      </c>
      <c r="DO228" s="128">
        <v>1</v>
      </c>
      <c r="DP228" s="128">
        <v>0</v>
      </c>
      <c r="DQ228" s="128">
        <v>17</v>
      </c>
      <c r="DR228" s="128">
        <v>17</v>
      </c>
      <c r="DS228" s="128">
        <v>0</v>
      </c>
      <c r="DT228" s="128">
        <v>0</v>
      </c>
      <c r="DU228" s="128">
        <v>0</v>
      </c>
      <c r="DV228" s="128">
        <v>0</v>
      </c>
      <c r="DW228" s="128">
        <v>0</v>
      </c>
      <c r="DX228" s="128">
        <v>2</v>
      </c>
      <c r="DY228" s="128">
        <v>7</v>
      </c>
      <c r="DZ228" s="128">
        <v>8</v>
      </c>
      <c r="EA228" s="128">
        <v>0</v>
      </c>
      <c r="EB228" s="128">
        <v>0</v>
      </c>
      <c r="EC228" s="128">
        <v>2</v>
      </c>
      <c r="ED228" s="128">
        <v>7</v>
      </c>
      <c r="EE228" s="128">
        <v>8</v>
      </c>
      <c r="EF228" s="128">
        <v>0</v>
      </c>
      <c r="EG228" s="128">
        <v>0</v>
      </c>
      <c r="EH228" s="128">
        <v>0</v>
      </c>
      <c r="EI228" s="128">
        <v>17</v>
      </c>
      <c r="EJ228" s="128">
        <v>17</v>
      </c>
      <c r="EK228" s="128">
        <v>5</v>
      </c>
      <c r="EL228" s="128">
        <v>4.5</v>
      </c>
      <c r="EM228" s="128">
        <v>4.5</v>
      </c>
      <c r="EN228" s="128">
        <v>1889280</v>
      </c>
      <c r="EO228" s="128">
        <v>1000000</v>
      </c>
      <c r="EP228" s="128">
        <v>19</v>
      </c>
      <c r="EQ228" s="128">
        <v>9.5</v>
      </c>
      <c r="ER228" s="128">
        <v>8</v>
      </c>
      <c r="ES228" s="128">
        <v>3430720</v>
      </c>
      <c r="ET228" s="128">
        <v>2135833</v>
      </c>
      <c r="FO228" s="128">
        <v>9</v>
      </c>
      <c r="FP228" s="128">
        <v>0.97499999999999998</v>
      </c>
      <c r="FQ228" s="128">
        <v>1.8</v>
      </c>
      <c r="FR228" s="128">
        <v>600000</v>
      </c>
      <c r="FS228" s="128">
        <v>300000</v>
      </c>
      <c r="IN228" s="128">
        <v>10</v>
      </c>
      <c r="IO228" s="128">
        <v>3000</v>
      </c>
      <c r="IP228" s="128">
        <v>1.431</v>
      </c>
      <c r="IQ228" s="128">
        <v>330000</v>
      </c>
      <c r="IR228" s="128">
        <v>330000</v>
      </c>
      <c r="KG228" s="128">
        <v>0</v>
      </c>
      <c r="KI228" s="128">
        <v>14</v>
      </c>
      <c r="KJ228" s="128">
        <v>0</v>
      </c>
      <c r="KK228" s="128">
        <v>1.431</v>
      </c>
      <c r="KL228" s="128">
        <v>0</v>
      </c>
      <c r="KM228" s="128">
        <v>15.430999999999999</v>
      </c>
      <c r="KN228" s="128">
        <v>5920000</v>
      </c>
      <c r="KO228" s="128">
        <v>3435833</v>
      </c>
      <c r="KP228" s="128">
        <v>3435833</v>
      </c>
      <c r="KT228" s="128">
        <v>0</v>
      </c>
      <c r="KU228" s="128">
        <v>0</v>
      </c>
      <c r="KV228" s="128">
        <v>0</v>
      </c>
      <c r="KZ228" s="128">
        <v>330000</v>
      </c>
      <c r="LA228" s="128">
        <v>330000</v>
      </c>
      <c r="LB228" s="128">
        <v>330000</v>
      </c>
      <c r="LF228" s="128">
        <v>0</v>
      </c>
      <c r="LG228" s="128">
        <v>0</v>
      </c>
      <c r="LH228" s="128">
        <v>0</v>
      </c>
      <c r="LL228" s="128">
        <v>0</v>
      </c>
      <c r="LM228" s="128">
        <v>0</v>
      </c>
      <c r="LN228" s="128">
        <v>0</v>
      </c>
      <c r="LR228" s="128">
        <v>300000</v>
      </c>
      <c r="LS228" s="128">
        <v>217500</v>
      </c>
      <c r="LT228" s="128">
        <v>217500</v>
      </c>
      <c r="LX228" s="128">
        <v>1200000</v>
      </c>
      <c r="LY228" s="128">
        <v>0</v>
      </c>
      <c r="LZ228" s="128">
        <v>0</v>
      </c>
      <c r="MD228" s="128">
        <v>50000</v>
      </c>
      <c r="ME228" s="128">
        <v>50000</v>
      </c>
      <c r="MF228" s="128">
        <v>50000</v>
      </c>
      <c r="MJ228" s="128">
        <v>100000</v>
      </c>
      <c r="MK228" s="128">
        <v>100000</v>
      </c>
      <c r="ML228" s="128">
        <v>100000</v>
      </c>
      <c r="MP228" s="128">
        <v>0</v>
      </c>
      <c r="MQ228" s="128">
        <v>0</v>
      </c>
      <c r="MR228" s="128">
        <v>0</v>
      </c>
      <c r="MV228" s="128">
        <v>410000</v>
      </c>
      <c r="MW228" s="128">
        <v>0</v>
      </c>
      <c r="MX228" s="128">
        <v>0</v>
      </c>
      <c r="NB228" s="128">
        <v>160000</v>
      </c>
      <c r="NC228" s="128">
        <v>130000</v>
      </c>
      <c r="ND228" s="128">
        <v>130000</v>
      </c>
      <c r="NH228" s="128">
        <v>600000</v>
      </c>
      <c r="NI228" s="128">
        <v>0</v>
      </c>
      <c r="NJ228" s="128">
        <v>0</v>
      </c>
      <c r="NN228" s="128">
        <v>20000</v>
      </c>
      <c r="NO228" s="128">
        <v>20000</v>
      </c>
      <c r="NP228" s="128">
        <v>20000</v>
      </c>
      <c r="NT228" s="128">
        <v>60000</v>
      </c>
      <c r="NU228" s="128">
        <v>50000</v>
      </c>
      <c r="NV228" s="128">
        <v>50000</v>
      </c>
      <c r="NZ228" s="128">
        <v>50000</v>
      </c>
      <c r="OA228" s="128">
        <v>50000</v>
      </c>
      <c r="OB228" s="128">
        <v>50000</v>
      </c>
      <c r="OF228" s="128">
        <v>40000</v>
      </c>
      <c r="OG228" s="128">
        <v>40000</v>
      </c>
      <c r="OH228" s="128">
        <v>40000</v>
      </c>
      <c r="OL228" s="128">
        <v>0</v>
      </c>
      <c r="OM228" s="128">
        <v>0</v>
      </c>
      <c r="ON228" s="128">
        <v>0</v>
      </c>
      <c r="OR228" s="128">
        <v>0</v>
      </c>
      <c r="OS228" s="128">
        <v>0</v>
      </c>
      <c r="OT228" s="128">
        <v>0</v>
      </c>
      <c r="OX228" s="128">
        <v>0</v>
      </c>
      <c r="OY228" s="128">
        <v>0</v>
      </c>
      <c r="OZ228" s="128">
        <v>0</v>
      </c>
      <c r="PD228" s="128">
        <v>0</v>
      </c>
      <c r="PE228" s="128">
        <v>0</v>
      </c>
      <c r="PF228" s="128">
        <v>0</v>
      </c>
      <c r="PJ228" s="128">
        <v>0</v>
      </c>
      <c r="PK228" s="128">
        <v>0</v>
      </c>
      <c r="PL228" s="128">
        <v>0</v>
      </c>
      <c r="PP228" s="128">
        <v>9240000</v>
      </c>
      <c r="PQ228" s="128">
        <v>4423333</v>
      </c>
      <c r="PR228" s="128">
        <v>4423333</v>
      </c>
      <c r="PS228" s="128">
        <v>100</v>
      </c>
      <c r="PT228" s="128">
        <v>100</v>
      </c>
      <c r="PX228" s="128">
        <v>2814712</v>
      </c>
      <c r="PY228" s="128">
        <v>3016720</v>
      </c>
      <c r="PZ228" s="128">
        <v>4423333</v>
      </c>
      <c r="QA228" s="128">
        <v>1198850</v>
      </c>
      <c r="QB228" s="128">
        <v>1000000</v>
      </c>
      <c r="QC228" s="128">
        <v>0</v>
      </c>
      <c r="QD228" s="128">
        <v>0</v>
      </c>
      <c r="QE228" s="128">
        <v>0</v>
      </c>
      <c r="QF228" s="128">
        <v>0</v>
      </c>
      <c r="QG228" s="128">
        <v>0</v>
      </c>
      <c r="QH228" s="128">
        <v>0</v>
      </c>
      <c r="QI228" s="128">
        <v>0</v>
      </c>
      <c r="QJ228" s="128">
        <v>2177761</v>
      </c>
      <c r="QK228" s="128">
        <v>2200000</v>
      </c>
      <c r="QL228" s="128">
        <v>2200000</v>
      </c>
      <c r="QN228" s="128">
        <v>0</v>
      </c>
      <c r="QO228" s="128">
        <v>0</v>
      </c>
      <c r="QP228" s="128">
        <v>0</v>
      </c>
      <c r="QU228" s="128">
        <v>0</v>
      </c>
      <c r="QV228" s="128">
        <v>128757</v>
      </c>
      <c r="QW228" s="128">
        <v>0</v>
      </c>
      <c r="QX228" s="128">
        <v>300000</v>
      </c>
      <c r="QY228" s="128">
        <v>0</v>
      </c>
      <c r="QZ228" s="128">
        <v>600000</v>
      </c>
      <c r="RD228" s="128">
        <v>2200000</v>
      </c>
      <c r="RE228" s="128">
        <v>2200000</v>
      </c>
      <c r="RF228" s="128">
        <v>2016667</v>
      </c>
      <c r="RH228" s="128">
        <f t="shared" si="412"/>
        <v>7040000</v>
      </c>
      <c r="RI228" s="128">
        <v>0</v>
      </c>
      <c r="RM228" s="128" t="s">
        <v>220</v>
      </c>
      <c r="RU228" s="130"/>
      <c r="RV228" s="130"/>
      <c r="RW228" s="130"/>
      <c r="RX228" s="130"/>
      <c r="SF228" s="128">
        <f t="shared" si="322"/>
        <v>5871375</v>
      </c>
      <c r="SG228" s="131">
        <f t="shared" si="323"/>
        <v>9240000</v>
      </c>
      <c r="SH228" s="131">
        <f t="shared" si="324"/>
        <v>9240000</v>
      </c>
      <c r="SI228" s="131">
        <f t="shared" si="325"/>
        <v>6250000</v>
      </c>
      <c r="SJ228" s="132">
        <f t="shared" si="326"/>
        <v>5920000</v>
      </c>
      <c r="SK228" s="132">
        <f t="shared" si="327"/>
        <v>0</v>
      </c>
      <c r="SL228" s="132">
        <f t="shared" si="328"/>
        <v>330000</v>
      </c>
      <c r="SM228" s="132">
        <f t="shared" si="329"/>
        <v>0</v>
      </c>
      <c r="SN228" s="131">
        <f t="shared" si="330"/>
        <v>2990000</v>
      </c>
      <c r="SO228" s="131">
        <f t="shared" si="331"/>
        <v>300000</v>
      </c>
      <c r="SP228" s="132">
        <f t="shared" si="332"/>
        <v>0</v>
      </c>
      <c r="SQ228" s="132">
        <f t="shared" si="333"/>
        <v>300000</v>
      </c>
      <c r="SR228" s="132">
        <f t="shared" si="334"/>
        <v>1200000</v>
      </c>
      <c r="SS228" s="132">
        <f t="shared" si="335"/>
        <v>50000</v>
      </c>
      <c r="ST228" s="132">
        <f t="shared" si="336"/>
        <v>100000</v>
      </c>
      <c r="SU228" s="132">
        <f t="shared" si="337"/>
        <v>0</v>
      </c>
      <c r="SV228" s="131">
        <f t="shared" si="338"/>
        <v>1340000</v>
      </c>
      <c r="SW228" s="132">
        <f t="shared" si="339"/>
        <v>410000</v>
      </c>
      <c r="SX228" s="132">
        <f t="shared" si="340"/>
        <v>160000</v>
      </c>
      <c r="SY228" s="132">
        <f t="shared" si="341"/>
        <v>600000</v>
      </c>
      <c r="SZ228" s="132">
        <f t="shared" si="342"/>
        <v>20000</v>
      </c>
      <c r="TA228" s="132">
        <f t="shared" si="343"/>
        <v>60000</v>
      </c>
      <c r="TB228" s="132">
        <f t="shared" si="344"/>
        <v>50000</v>
      </c>
      <c r="TC228" s="132">
        <f t="shared" si="345"/>
        <v>40000</v>
      </c>
      <c r="TD228" s="132">
        <f t="shared" si="346"/>
        <v>0</v>
      </c>
      <c r="TE228" s="132">
        <f t="shared" si="347"/>
        <v>0</v>
      </c>
      <c r="TF228" s="132">
        <f t="shared" si="348"/>
        <v>0</v>
      </c>
      <c r="TG228" s="132">
        <f t="shared" si="349"/>
        <v>0</v>
      </c>
      <c r="TH228" s="132">
        <f t="shared" si="350"/>
        <v>0</v>
      </c>
      <c r="TI228" s="1"/>
      <c r="TJ228" s="131">
        <f t="shared" si="351"/>
        <v>4423333</v>
      </c>
      <c r="TK228" s="131">
        <f t="shared" si="352"/>
        <v>4423333</v>
      </c>
      <c r="TL228" s="131">
        <f t="shared" si="353"/>
        <v>3765833</v>
      </c>
      <c r="TM228" s="132">
        <f t="shared" si="354"/>
        <v>3435833</v>
      </c>
      <c r="TN228" s="132">
        <f t="shared" si="355"/>
        <v>0</v>
      </c>
      <c r="TO228" s="132">
        <f t="shared" si="356"/>
        <v>330000</v>
      </c>
      <c r="TP228" s="132">
        <f t="shared" si="357"/>
        <v>0</v>
      </c>
      <c r="TQ228" s="131">
        <f t="shared" si="358"/>
        <v>657500</v>
      </c>
      <c r="TR228" s="131">
        <f t="shared" si="359"/>
        <v>217500</v>
      </c>
      <c r="TS228" s="132">
        <f t="shared" si="360"/>
        <v>0</v>
      </c>
      <c r="TT228" s="132">
        <f t="shared" si="361"/>
        <v>217500</v>
      </c>
      <c r="TU228" s="132">
        <f t="shared" si="362"/>
        <v>0</v>
      </c>
      <c r="TV228" s="132">
        <f t="shared" si="363"/>
        <v>50000</v>
      </c>
      <c r="TW228" s="132">
        <f t="shared" si="364"/>
        <v>100000</v>
      </c>
      <c r="TX228" s="132">
        <f t="shared" si="365"/>
        <v>0</v>
      </c>
      <c r="TY228" s="131">
        <f t="shared" si="366"/>
        <v>290000</v>
      </c>
      <c r="TZ228" s="132">
        <f t="shared" si="367"/>
        <v>0</v>
      </c>
      <c r="UA228" s="132">
        <f t="shared" si="368"/>
        <v>130000</v>
      </c>
      <c r="UB228" s="132">
        <f t="shared" si="369"/>
        <v>0</v>
      </c>
      <c r="UC228" s="132">
        <f t="shared" si="370"/>
        <v>20000</v>
      </c>
      <c r="UD228" s="132">
        <f t="shared" si="371"/>
        <v>50000</v>
      </c>
      <c r="UE228" s="132">
        <f t="shared" si="372"/>
        <v>50000</v>
      </c>
      <c r="UF228" s="132">
        <f t="shared" si="373"/>
        <v>40000</v>
      </c>
      <c r="UG228" s="132">
        <f t="shared" si="374"/>
        <v>0</v>
      </c>
      <c r="UH228" s="132">
        <f t="shared" si="375"/>
        <v>0</v>
      </c>
      <c r="UI228" s="132">
        <f t="shared" si="376"/>
        <v>0</v>
      </c>
      <c r="UJ228" s="132">
        <f t="shared" si="377"/>
        <v>0</v>
      </c>
      <c r="UK228" s="132">
        <f t="shared" si="378"/>
        <v>0</v>
      </c>
      <c r="UL228" s="132">
        <f t="shared" si="413"/>
        <v>4423333</v>
      </c>
      <c r="UM228" s="131">
        <f t="shared" si="379"/>
        <v>4423333</v>
      </c>
      <c r="UN228" s="131">
        <f t="shared" si="380"/>
        <v>4423333</v>
      </c>
      <c r="UO228" s="131">
        <f t="shared" si="381"/>
        <v>3765833</v>
      </c>
      <c r="UP228" s="132">
        <f t="shared" si="382"/>
        <v>3435833</v>
      </c>
      <c r="UQ228" s="132">
        <f t="shared" si="383"/>
        <v>0</v>
      </c>
      <c r="UR228" s="132">
        <f t="shared" si="384"/>
        <v>330000</v>
      </c>
      <c r="US228" s="132">
        <f t="shared" si="385"/>
        <v>0</v>
      </c>
      <c r="UT228" s="131">
        <f t="shared" si="386"/>
        <v>657500</v>
      </c>
      <c r="UU228" s="131">
        <f t="shared" si="387"/>
        <v>217500</v>
      </c>
      <c r="UV228" s="132">
        <f t="shared" si="388"/>
        <v>0</v>
      </c>
      <c r="UW228" s="132">
        <f t="shared" si="389"/>
        <v>217500</v>
      </c>
      <c r="UX228" s="132">
        <f t="shared" si="390"/>
        <v>0</v>
      </c>
      <c r="UY228" s="132">
        <f t="shared" si="391"/>
        <v>50000</v>
      </c>
      <c r="UZ228" s="132">
        <f t="shared" si="392"/>
        <v>100000</v>
      </c>
      <c r="VA228" s="132">
        <f t="shared" si="393"/>
        <v>0</v>
      </c>
      <c r="VB228" s="131">
        <f t="shared" si="394"/>
        <v>290000</v>
      </c>
      <c r="VC228" s="132">
        <f t="shared" si="395"/>
        <v>0</v>
      </c>
      <c r="VD228" s="132">
        <f t="shared" si="396"/>
        <v>130000</v>
      </c>
      <c r="VE228" s="132">
        <f t="shared" si="397"/>
        <v>0</v>
      </c>
      <c r="VF228" s="132">
        <f t="shared" si="398"/>
        <v>20000</v>
      </c>
      <c r="VG228" s="132">
        <f t="shared" si="399"/>
        <v>50000</v>
      </c>
      <c r="VH228" s="132">
        <f t="shared" si="400"/>
        <v>50000</v>
      </c>
      <c r="VI228" s="132">
        <f t="shared" si="401"/>
        <v>40000</v>
      </c>
      <c r="VJ228" s="132">
        <f t="shared" si="402"/>
        <v>0</v>
      </c>
      <c r="VK228" s="132">
        <f t="shared" si="403"/>
        <v>0</v>
      </c>
      <c r="VL228" s="132">
        <f t="shared" si="404"/>
        <v>0</v>
      </c>
      <c r="VM228" s="132">
        <f t="shared" si="405"/>
        <v>0</v>
      </c>
      <c r="VN228" s="132">
        <f t="shared" si="406"/>
        <v>0</v>
      </c>
      <c r="VP228" s="845" t="str">
        <f>IFERROR(HLOOKUP(F228,'Hodnocení '!$C$1:$JH$5,2,FALSE),0)</f>
        <v>Chráněné BYDLENÍ v síti</v>
      </c>
      <c r="VQ228" s="838"/>
      <c r="VR228" s="845" t="str">
        <f t="shared" si="414"/>
        <v>Obecně prospěšná společnost</v>
      </c>
      <c r="VS228" s="845" t="str">
        <f>IFERROR(HLOOKUP(F228,'Hodnocení '!$C$1:$JH$5,5,FALSE),0)</f>
        <v>NZO</v>
      </c>
      <c r="VT228" s="838">
        <f t="shared" si="415"/>
        <v>0</v>
      </c>
      <c r="VU228" s="838">
        <f t="shared" si="416"/>
        <v>0</v>
      </c>
      <c r="VV228" s="838">
        <f t="shared" si="417"/>
        <v>2200000</v>
      </c>
      <c r="VW228" s="838">
        <f t="shared" si="418"/>
        <v>0</v>
      </c>
      <c r="VX228" s="838"/>
      <c r="VY228" s="838">
        <f t="shared" si="419"/>
        <v>0</v>
      </c>
      <c r="VZ228" s="838">
        <f t="shared" si="420"/>
        <v>4423333</v>
      </c>
      <c r="WA228" s="846">
        <f>IFERROR(HLOOKUP($F228,'Hodnocení '!$C$1:$JH$9,9,FALSE),0)</f>
        <v>4423333</v>
      </c>
      <c r="WB228" s="846">
        <f>IF(IFERROR(HLOOKUP($F228,'Hodnocení '!$C$1:$JH$13,13,FALSE),0)&gt;WA228,WA228,IFERROR(HLOOKUP($F228,'Hodnocení '!$C$1:$JH$13,13,FALSE),0))</f>
        <v>4423333</v>
      </c>
      <c r="WC228" s="846">
        <f>IFERROR(HLOOKUP($F228,'Hodnocení '!$C$1:$JH$155,155,FALSE),0)</f>
        <v>4423330</v>
      </c>
      <c r="WD228" s="845"/>
      <c r="WE228" s="845"/>
      <c r="WF228" s="845" t="str">
        <f t="shared" si="407"/>
        <v>ANO</v>
      </c>
      <c r="WG228" s="849" t="str">
        <f t="shared" si="421"/>
        <v>Podpora služby je vyjádřena zařazením do sítě sociálních služeb v KHK a řešením financování služby</v>
      </c>
      <c r="WH228"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28" s="849" t="str">
        <f t="shared" si="421"/>
        <v>Návrh dotace je výsledkem projednání s ostatními zadavateli v rámci sítě služeb KHK</v>
      </c>
      <c r="WJ228" s="849" t="str">
        <f t="shared" si="421"/>
        <v>Bez komentáře</v>
      </c>
      <c r="WK228" s="31">
        <f t="shared" si="408"/>
        <v>0</v>
      </c>
      <c r="WL228" s="850">
        <f t="shared" si="409"/>
        <v>0</v>
      </c>
      <c r="WM228" s="849" t="str">
        <f t="shared" si="410"/>
        <v>V rámci sítě KHK se dlouhodobě řeší otázka navyšování úhrad a průběžně se monitoruje s vazbou na vykrytí vyrovnávací platby</v>
      </c>
      <c r="WN228" s="849">
        <f t="shared" si="411"/>
        <v>0</v>
      </c>
      <c r="WO228" s="849" t="str">
        <f t="shared" si="321"/>
        <v>bez komentáře</v>
      </c>
      <c r="WP228" s="849" t="str">
        <f t="shared" si="321"/>
        <v>bez komentáře</v>
      </c>
      <c r="WQ228" s="849" t="str">
        <f t="shared" si="321"/>
        <v>Konečná výše dotace z rozpočtu KHK bude řešena v návaznosti na řešení podílů jednotlivých zadavatelů.</v>
      </c>
      <c r="WR228" s="849" t="str">
        <f t="shared" si="321"/>
        <v>Konečná výše podpory ze stran obcí bude řešena v součinnosti s jednotlivými zadavateli v průběhu roku.</v>
      </c>
      <c r="WS228" s="849" t="str">
        <f t="shared" si="321"/>
        <v>bez komentáře</v>
      </c>
      <c r="WT228" s="849" t="str">
        <f t="shared" si="321"/>
        <v>bez komentáře</v>
      </c>
      <c r="WU228" s="845"/>
    </row>
    <row r="229" spans="1:619" s="128" customFormat="1" x14ac:dyDescent="0.25">
      <c r="A229" s="128" t="str">
        <f>VLOOKUP(F229,'Výpočet VP 2020'!$D$324:$I$588,6,FALSE)</f>
        <v>Je v síti</v>
      </c>
      <c r="B229" s="128" t="s">
        <v>940</v>
      </c>
      <c r="C229" s="128">
        <v>75126711</v>
      </c>
      <c r="D229" s="128" t="s">
        <v>941</v>
      </c>
      <c r="E229" s="128" t="s">
        <v>259</v>
      </c>
      <c r="F229" s="128">
        <v>9478716</v>
      </c>
      <c r="G229" s="128" t="s">
        <v>328</v>
      </c>
      <c r="H229" s="128" t="s">
        <v>218</v>
      </c>
      <c r="I229" s="128" t="s">
        <v>940</v>
      </c>
      <c r="J229" s="129">
        <v>39569</v>
      </c>
      <c r="L229" s="128" t="s">
        <v>220</v>
      </c>
      <c r="AP229" s="128" t="s">
        <v>302</v>
      </c>
      <c r="AQ229" s="128">
        <v>5</v>
      </c>
      <c r="AR229" s="128">
        <v>8</v>
      </c>
      <c r="AS229" s="128">
        <v>27</v>
      </c>
      <c r="AT229" s="128">
        <v>29</v>
      </c>
      <c r="AU229" s="128">
        <v>26</v>
      </c>
      <c r="BJ229" s="128">
        <v>680</v>
      </c>
      <c r="BL229" s="128" t="s">
        <v>579</v>
      </c>
      <c r="BM229" s="128" t="s">
        <v>325</v>
      </c>
      <c r="BN229" s="128" t="s">
        <v>264</v>
      </c>
      <c r="BO229" s="128">
        <v>0</v>
      </c>
      <c r="BP229" s="128">
        <v>0</v>
      </c>
      <c r="BQ229" s="128">
        <v>0</v>
      </c>
      <c r="BR229" s="128">
        <v>0</v>
      </c>
      <c r="BS229" s="128">
        <v>0</v>
      </c>
      <c r="BT229" s="128">
        <v>4</v>
      </c>
      <c r="BU229" s="128">
        <v>3</v>
      </c>
      <c r="BV229" s="128">
        <v>6</v>
      </c>
      <c r="BW229" s="128">
        <v>4</v>
      </c>
      <c r="BX229" s="128">
        <v>2</v>
      </c>
      <c r="BY229" s="128">
        <v>4</v>
      </c>
      <c r="BZ229" s="128">
        <v>3</v>
      </c>
      <c r="CA229" s="128">
        <v>6</v>
      </c>
      <c r="CB229" s="128">
        <v>4</v>
      </c>
      <c r="CC229" s="128">
        <v>2</v>
      </c>
      <c r="CD229" s="128">
        <v>0</v>
      </c>
      <c r="CE229" s="128">
        <v>19</v>
      </c>
      <c r="CF229" s="128">
        <v>19</v>
      </c>
      <c r="CG229" s="128">
        <v>0</v>
      </c>
      <c r="CH229" s="128">
        <v>0</v>
      </c>
      <c r="CI229" s="128">
        <v>0</v>
      </c>
      <c r="CJ229" s="128">
        <v>0</v>
      </c>
      <c r="CK229" s="128">
        <v>0</v>
      </c>
      <c r="CL229" s="128">
        <v>0</v>
      </c>
      <c r="CM229" s="128">
        <v>5</v>
      </c>
      <c r="CN229" s="128">
        <v>5</v>
      </c>
      <c r="CO229" s="128">
        <v>8</v>
      </c>
      <c r="CP229" s="128">
        <v>6</v>
      </c>
      <c r="CQ229" s="128">
        <v>2</v>
      </c>
      <c r="CR229" s="128">
        <v>5</v>
      </c>
      <c r="CS229" s="128">
        <v>5</v>
      </c>
      <c r="CT229" s="128">
        <v>8</v>
      </c>
      <c r="CU229" s="128">
        <v>6</v>
      </c>
      <c r="CV229" s="128">
        <v>2</v>
      </c>
      <c r="CW229" s="128">
        <v>0</v>
      </c>
      <c r="CX229" s="128">
        <v>26</v>
      </c>
      <c r="CY229" s="128">
        <v>26</v>
      </c>
      <c r="CZ229" s="128">
        <v>0</v>
      </c>
      <c r="GL229" s="128">
        <v>1</v>
      </c>
      <c r="GM229" s="128">
        <v>0.5</v>
      </c>
      <c r="GN229" s="128">
        <v>12</v>
      </c>
      <c r="GO229" s="128">
        <v>0.5</v>
      </c>
      <c r="GP229" s="128">
        <v>167232</v>
      </c>
      <c r="GQ229" s="128">
        <v>64374</v>
      </c>
      <c r="IN229" s="128">
        <v>4</v>
      </c>
      <c r="IO229" s="128">
        <v>1000</v>
      </c>
      <c r="IP229" s="128">
        <v>0.47699999999999998</v>
      </c>
      <c r="IQ229" s="128">
        <v>130000</v>
      </c>
      <c r="IR229" s="128">
        <v>49000</v>
      </c>
      <c r="IS229" s="128">
        <v>3</v>
      </c>
      <c r="IT229" s="128">
        <v>432</v>
      </c>
      <c r="IU229" s="128">
        <v>0.20599999999999999</v>
      </c>
      <c r="IV229" s="128">
        <v>60480</v>
      </c>
      <c r="IW229" s="128">
        <v>60480</v>
      </c>
      <c r="KG229" s="128">
        <v>0</v>
      </c>
      <c r="KI229" s="128">
        <v>0</v>
      </c>
      <c r="KJ229" s="128">
        <v>0.5</v>
      </c>
      <c r="KK229" s="128">
        <v>0.47699999999999998</v>
      </c>
      <c r="KL229" s="128">
        <v>0</v>
      </c>
      <c r="KM229" s="128">
        <v>0.97699999999999998</v>
      </c>
      <c r="KN229" s="128">
        <v>0</v>
      </c>
      <c r="KO229" s="128">
        <v>0</v>
      </c>
      <c r="KP229" s="128">
        <v>0</v>
      </c>
      <c r="KT229" s="128">
        <v>167232</v>
      </c>
      <c r="KU229" s="128">
        <v>64374</v>
      </c>
      <c r="KV229" s="128">
        <v>64368</v>
      </c>
      <c r="KZ229" s="128">
        <v>190480</v>
      </c>
      <c r="LA229" s="128">
        <v>109480</v>
      </c>
      <c r="LB229" s="128">
        <v>109469</v>
      </c>
      <c r="LF229" s="128">
        <v>0</v>
      </c>
      <c r="LG229" s="128">
        <v>0</v>
      </c>
      <c r="LH229" s="128">
        <v>0</v>
      </c>
      <c r="LL229" s="128">
        <v>0</v>
      </c>
      <c r="LM229" s="128">
        <v>0</v>
      </c>
      <c r="LN229" s="128">
        <v>0</v>
      </c>
      <c r="LR229" s="128">
        <v>0</v>
      </c>
      <c r="LS229" s="128">
        <v>0</v>
      </c>
      <c r="LT229" s="128">
        <v>0</v>
      </c>
      <c r="LX229" s="128">
        <v>0</v>
      </c>
      <c r="LY229" s="128">
        <v>0</v>
      </c>
      <c r="LZ229" s="128">
        <v>0</v>
      </c>
      <c r="MD229" s="128">
        <v>5000</v>
      </c>
      <c r="ME229" s="128">
        <v>1000</v>
      </c>
      <c r="MF229" s="128">
        <v>1000</v>
      </c>
      <c r="MJ229" s="128">
        <v>0</v>
      </c>
      <c r="MK229" s="128">
        <v>0</v>
      </c>
      <c r="ML229" s="128">
        <v>0</v>
      </c>
      <c r="MP229" s="128">
        <v>0</v>
      </c>
      <c r="MQ229" s="128">
        <v>0</v>
      </c>
      <c r="MR229" s="128">
        <v>0</v>
      </c>
      <c r="MV229" s="128">
        <v>0</v>
      </c>
      <c r="MW229" s="128">
        <v>0</v>
      </c>
      <c r="MX229" s="128">
        <v>0</v>
      </c>
      <c r="NB229" s="128">
        <v>2000</v>
      </c>
      <c r="NC229" s="128">
        <v>1000</v>
      </c>
      <c r="ND229" s="128">
        <v>1000</v>
      </c>
      <c r="NH229" s="128">
        <v>0</v>
      </c>
      <c r="NI229" s="128">
        <v>0</v>
      </c>
      <c r="NJ229" s="128">
        <v>0</v>
      </c>
      <c r="NN229" s="128">
        <v>0</v>
      </c>
      <c r="NO229" s="128">
        <v>0</v>
      </c>
      <c r="NP229" s="128">
        <v>0</v>
      </c>
      <c r="NT229" s="128">
        <v>10000</v>
      </c>
      <c r="NU229" s="128">
        <v>3000</v>
      </c>
      <c r="NV229" s="128">
        <v>3000</v>
      </c>
      <c r="NZ229" s="128">
        <v>0</v>
      </c>
      <c r="OA229" s="128">
        <v>0</v>
      </c>
      <c r="OB229" s="128">
        <v>0</v>
      </c>
      <c r="OF229" s="128">
        <v>65000</v>
      </c>
      <c r="OG229" s="128">
        <v>50000</v>
      </c>
      <c r="OH229" s="128">
        <v>49995</v>
      </c>
      <c r="OL229" s="128">
        <v>0</v>
      </c>
      <c r="OM229" s="128">
        <v>0</v>
      </c>
      <c r="ON229" s="128">
        <v>0</v>
      </c>
      <c r="OR229" s="128">
        <v>0</v>
      </c>
      <c r="OS229" s="128">
        <v>0</v>
      </c>
      <c r="OT229" s="128">
        <v>0</v>
      </c>
      <c r="OX229" s="128">
        <v>0</v>
      </c>
      <c r="OY229" s="128">
        <v>0</v>
      </c>
      <c r="OZ229" s="128">
        <v>0</v>
      </c>
      <c r="PD229" s="128">
        <v>0</v>
      </c>
      <c r="PE229" s="128">
        <v>0</v>
      </c>
      <c r="PF229" s="128">
        <v>0</v>
      </c>
      <c r="PJ229" s="128">
        <v>5000</v>
      </c>
      <c r="PK229" s="128">
        <v>4850</v>
      </c>
      <c r="PL229" s="128">
        <v>4850</v>
      </c>
      <c r="PP229" s="128">
        <v>444712</v>
      </c>
      <c r="PQ229" s="128">
        <v>233704</v>
      </c>
      <c r="PR229" s="128">
        <v>233682</v>
      </c>
      <c r="PS229" s="128">
        <v>99.99</v>
      </c>
      <c r="PT229" s="128">
        <v>68</v>
      </c>
      <c r="PU229" s="128">
        <v>1</v>
      </c>
      <c r="PV229" s="128">
        <v>19182</v>
      </c>
      <c r="PX229" s="128">
        <v>125000</v>
      </c>
      <c r="PY229" s="128">
        <v>93750</v>
      </c>
      <c r="PZ229" s="128">
        <v>233704</v>
      </c>
      <c r="QA229" s="128">
        <v>0</v>
      </c>
      <c r="QB229" s="128">
        <v>0</v>
      </c>
      <c r="QC229" s="128">
        <v>0</v>
      </c>
      <c r="QD229" s="128">
        <v>50000</v>
      </c>
      <c r="QE229" s="128">
        <v>50000</v>
      </c>
      <c r="QF229" s="128">
        <v>50000</v>
      </c>
      <c r="QG229" s="128">
        <v>0</v>
      </c>
      <c r="QH229" s="128">
        <v>0</v>
      </c>
      <c r="QI229" s="128">
        <v>0</v>
      </c>
      <c r="QJ229" s="128">
        <v>65905</v>
      </c>
      <c r="QK229" s="128">
        <v>130000</v>
      </c>
      <c r="QL229" s="128">
        <v>100000</v>
      </c>
      <c r="QN229" s="128">
        <v>0</v>
      </c>
      <c r="QO229" s="128">
        <v>0</v>
      </c>
      <c r="QP229" s="128">
        <v>0</v>
      </c>
      <c r="QU229" s="128">
        <v>0</v>
      </c>
      <c r="QV229" s="128">
        <v>46011</v>
      </c>
      <c r="QW229" s="128">
        <v>0</v>
      </c>
      <c r="RD229" s="128">
        <v>90010</v>
      </c>
      <c r="RE229" s="128">
        <v>69508</v>
      </c>
      <c r="RF229" s="128">
        <v>61008</v>
      </c>
      <c r="RH229" s="128">
        <f t="shared" si="412"/>
        <v>344712</v>
      </c>
      <c r="RI229" s="128">
        <v>0</v>
      </c>
      <c r="RM229" s="128" t="s">
        <v>220</v>
      </c>
      <c r="RU229" s="130"/>
      <c r="RV229" s="130"/>
      <c r="RW229" s="130"/>
      <c r="RX229" s="130"/>
      <c r="SF229" s="128">
        <f t="shared" si="322"/>
        <v>9478716</v>
      </c>
      <c r="SG229" s="131">
        <f t="shared" si="323"/>
        <v>444712</v>
      </c>
      <c r="SH229" s="131">
        <f t="shared" si="324"/>
        <v>444712</v>
      </c>
      <c r="SI229" s="131">
        <f t="shared" si="325"/>
        <v>357712</v>
      </c>
      <c r="SJ229" s="132">
        <f t="shared" si="326"/>
        <v>0</v>
      </c>
      <c r="SK229" s="132">
        <f t="shared" si="327"/>
        <v>167232</v>
      </c>
      <c r="SL229" s="132">
        <f t="shared" si="328"/>
        <v>190480</v>
      </c>
      <c r="SM229" s="132">
        <f t="shared" si="329"/>
        <v>0</v>
      </c>
      <c r="SN229" s="131">
        <f t="shared" si="330"/>
        <v>87000</v>
      </c>
      <c r="SO229" s="131">
        <f t="shared" si="331"/>
        <v>0</v>
      </c>
      <c r="SP229" s="132">
        <f t="shared" si="332"/>
        <v>0</v>
      </c>
      <c r="SQ229" s="132">
        <f t="shared" si="333"/>
        <v>0</v>
      </c>
      <c r="SR229" s="132">
        <f t="shared" si="334"/>
        <v>0</v>
      </c>
      <c r="SS229" s="132">
        <f t="shared" si="335"/>
        <v>5000</v>
      </c>
      <c r="ST229" s="132">
        <f t="shared" si="336"/>
        <v>0</v>
      </c>
      <c r="SU229" s="132">
        <f t="shared" si="337"/>
        <v>0</v>
      </c>
      <c r="SV229" s="131">
        <f t="shared" si="338"/>
        <v>77000</v>
      </c>
      <c r="SW229" s="132">
        <f t="shared" si="339"/>
        <v>0</v>
      </c>
      <c r="SX229" s="132">
        <f t="shared" si="340"/>
        <v>2000</v>
      </c>
      <c r="SY229" s="132">
        <f t="shared" si="341"/>
        <v>0</v>
      </c>
      <c r="SZ229" s="132">
        <f t="shared" si="342"/>
        <v>0</v>
      </c>
      <c r="TA229" s="132">
        <f t="shared" si="343"/>
        <v>10000</v>
      </c>
      <c r="TB229" s="132">
        <f t="shared" si="344"/>
        <v>0</v>
      </c>
      <c r="TC229" s="132">
        <f t="shared" si="345"/>
        <v>65000</v>
      </c>
      <c r="TD229" s="132">
        <f t="shared" si="346"/>
        <v>0</v>
      </c>
      <c r="TE229" s="132">
        <f t="shared" si="347"/>
        <v>0</v>
      </c>
      <c r="TF229" s="132">
        <f t="shared" si="348"/>
        <v>0</v>
      </c>
      <c r="TG229" s="132">
        <f t="shared" si="349"/>
        <v>0</v>
      </c>
      <c r="TH229" s="132">
        <f t="shared" si="350"/>
        <v>5000</v>
      </c>
      <c r="TI229" s="1"/>
      <c r="TJ229" s="131">
        <f t="shared" si="351"/>
        <v>233704</v>
      </c>
      <c r="TK229" s="131">
        <f t="shared" si="352"/>
        <v>233704</v>
      </c>
      <c r="TL229" s="131">
        <f t="shared" si="353"/>
        <v>173854</v>
      </c>
      <c r="TM229" s="132">
        <f t="shared" si="354"/>
        <v>0</v>
      </c>
      <c r="TN229" s="132">
        <f t="shared" si="355"/>
        <v>64374</v>
      </c>
      <c r="TO229" s="132">
        <f t="shared" si="356"/>
        <v>109480</v>
      </c>
      <c r="TP229" s="132">
        <f t="shared" si="357"/>
        <v>0</v>
      </c>
      <c r="TQ229" s="131">
        <f t="shared" si="358"/>
        <v>59850</v>
      </c>
      <c r="TR229" s="131">
        <f t="shared" si="359"/>
        <v>0</v>
      </c>
      <c r="TS229" s="132">
        <f t="shared" si="360"/>
        <v>0</v>
      </c>
      <c r="TT229" s="132">
        <f t="shared" si="361"/>
        <v>0</v>
      </c>
      <c r="TU229" s="132">
        <f t="shared" si="362"/>
        <v>0</v>
      </c>
      <c r="TV229" s="132">
        <f t="shared" si="363"/>
        <v>1000</v>
      </c>
      <c r="TW229" s="132">
        <f t="shared" si="364"/>
        <v>0</v>
      </c>
      <c r="TX229" s="132">
        <f t="shared" si="365"/>
        <v>0</v>
      </c>
      <c r="TY229" s="131">
        <f t="shared" si="366"/>
        <v>54000</v>
      </c>
      <c r="TZ229" s="132">
        <f t="shared" si="367"/>
        <v>0</v>
      </c>
      <c r="UA229" s="132">
        <f t="shared" si="368"/>
        <v>1000</v>
      </c>
      <c r="UB229" s="132">
        <f t="shared" si="369"/>
        <v>0</v>
      </c>
      <c r="UC229" s="132">
        <f t="shared" si="370"/>
        <v>0</v>
      </c>
      <c r="UD229" s="132">
        <f t="shared" si="371"/>
        <v>3000</v>
      </c>
      <c r="UE229" s="132">
        <f t="shared" si="372"/>
        <v>0</v>
      </c>
      <c r="UF229" s="132">
        <f t="shared" si="373"/>
        <v>50000</v>
      </c>
      <c r="UG229" s="132">
        <f t="shared" si="374"/>
        <v>0</v>
      </c>
      <c r="UH229" s="132">
        <f t="shared" si="375"/>
        <v>0</v>
      </c>
      <c r="UI229" s="132">
        <f t="shared" si="376"/>
        <v>0</v>
      </c>
      <c r="UJ229" s="132">
        <f t="shared" si="377"/>
        <v>0</v>
      </c>
      <c r="UK229" s="132">
        <f t="shared" si="378"/>
        <v>4850</v>
      </c>
      <c r="UL229" s="132">
        <f t="shared" si="413"/>
        <v>233682</v>
      </c>
      <c r="UM229" s="131">
        <f t="shared" si="379"/>
        <v>233682</v>
      </c>
      <c r="UN229" s="131">
        <f t="shared" si="380"/>
        <v>233682</v>
      </c>
      <c r="UO229" s="131">
        <f t="shared" si="381"/>
        <v>173837</v>
      </c>
      <c r="UP229" s="132">
        <f t="shared" si="382"/>
        <v>0</v>
      </c>
      <c r="UQ229" s="132">
        <f t="shared" si="383"/>
        <v>64368</v>
      </c>
      <c r="UR229" s="132">
        <f t="shared" si="384"/>
        <v>109469</v>
      </c>
      <c r="US229" s="132">
        <f t="shared" si="385"/>
        <v>0</v>
      </c>
      <c r="UT229" s="131">
        <f t="shared" si="386"/>
        <v>59845</v>
      </c>
      <c r="UU229" s="131">
        <f t="shared" si="387"/>
        <v>0</v>
      </c>
      <c r="UV229" s="132">
        <f t="shared" si="388"/>
        <v>0</v>
      </c>
      <c r="UW229" s="132">
        <f t="shared" si="389"/>
        <v>0</v>
      </c>
      <c r="UX229" s="132">
        <f t="shared" si="390"/>
        <v>0</v>
      </c>
      <c r="UY229" s="132">
        <f t="shared" si="391"/>
        <v>1000</v>
      </c>
      <c r="UZ229" s="132">
        <f t="shared" si="392"/>
        <v>0</v>
      </c>
      <c r="VA229" s="132">
        <f t="shared" si="393"/>
        <v>0</v>
      </c>
      <c r="VB229" s="131">
        <f t="shared" si="394"/>
        <v>53995</v>
      </c>
      <c r="VC229" s="132">
        <f t="shared" si="395"/>
        <v>0</v>
      </c>
      <c r="VD229" s="132">
        <f t="shared" si="396"/>
        <v>1000</v>
      </c>
      <c r="VE229" s="132">
        <f t="shared" si="397"/>
        <v>0</v>
      </c>
      <c r="VF229" s="132">
        <f t="shared" si="398"/>
        <v>0</v>
      </c>
      <c r="VG229" s="132">
        <f t="shared" si="399"/>
        <v>3000</v>
      </c>
      <c r="VH229" s="132">
        <f t="shared" si="400"/>
        <v>0</v>
      </c>
      <c r="VI229" s="132">
        <f t="shared" si="401"/>
        <v>49995</v>
      </c>
      <c r="VJ229" s="132">
        <f t="shared" si="402"/>
        <v>0</v>
      </c>
      <c r="VK229" s="132">
        <f t="shared" si="403"/>
        <v>0</v>
      </c>
      <c r="VL229" s="132">
        <f t="shared" si="404"/>
        <v>0</v>
      </c>
      <c r="VM229" s="132">
        <f t="shared" si="405"/>
        <v>0</v>
      </c>
      <c r="VN229" s="132">
        <f t="shared" si="406"/>
        <v>4850</v>
      </c>
      <c r="VP229" s="845" t="str">
        <f>IFERROR(HLOOKUP(F229,'Hodnocení '!$C$1:$JH$5,2,FALSE),0)</f>
        <v>Služby Dolní Kalná, okres Trutnov</v>
      </c>
      <c r="VQ229" s="838"/>
      <c r="VR229" s="845" t="str">
        <f t="shared" si="414"/>
        <v>Příspěvková organizace zřízená územním samosprávným celkem</v>
      </c>
      <c r="VS229" s="845" t="str">
        <f>IFERROR(HLOOKUP(F229,'Hodnocení '!$C$1:$JH$5,5,FALSE),0)</f>
        <v>Obce</v>
      </c>
      <c r="VT229" s="838" t="str">
        <f t="shared" si="415"/>
        <v>Příspěvková organizace zřízená územním samosprávným celkem</v>
      </c>
      <c r="VU229" s="838">
        <f t="shared" si="416"/>
        <v>0</v>
      </c>
      <c r="VV229" s="838">
        <f t="shared" si="417"/>
        <v>100000</v>
      </c>
      <c r="VW229" s="838">
        <f t="shared" si="418"/>
        <v>0</v>
      </c>
      <c r="VX229" s="838"/>
      <c r="VY229" s="838">
        <f t="shared" si="419"/>
        <v>0</v>
      </c>
      <c r="VZ229" s="838">
        <f t="shared" si="420"/>
        <v>233682</v>
      </c>
      <c r="WA229" s="846">
        <f>IFERROR(HLOOKUP($F229,'Hodnocení '!$C$1:$JH$9,9,FALSE),0)</f>
        <v>233682</v>
      </c>
      <c r="WB229" s="846">
        <f>IF(IFERROR(HLOOKUP($F229,'Hodnocení '!$C$1:$JH$13,13,FALSE),0)&gt;WA229,WA229,IFERROR(HLOOKUP($F229,'Hodnocení '!$C$1:$JH$13,13,FALSE),0))</f>
        <v>233682</v>
      </c>
      <c r="WC229" s="846">
        <f>IFERROR(HLOOKUP($F229,'Hodnocení '!$C$1:$JH$155,155,FALSE),0)</f>
        <v>177810</v>
      </c>
      <c r="WD229" s="845"/>
      <c r="WE229" s="845"/>
      <c r="WF229" s="845" t="str">
        <f t="shared" si="407"/>
        <v>ANO</v>
      </c>
      <c r="WG229" s="849" t="str">
        <f t="shared" si="421"/>
        <v>Podpora služby je vyjádřena zařazením do sítě sociálních služeb v KHK a řešením financování služby</v>
      </c>
      <c r="WH229"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29" s="849" t="str">
        <f t="shared" si="421"/>
        <v>Návrh dotace je výsledkem projednání s ostatními zadavateli v rámci sítě služeb KHK</v>
      </c>
      <c r="WJ229" s="849" t="str">
        <f t="shared" si="421"/>
        <v>Bez komentáře</v>
      </c>
      <c r="WK229" s="31" t="str">
        <f t="shared" si="408"/>
        <v>Výše příspěvku ze strany zřizovatele bude řešen v návaznosti na řešení podílů jednotlivých zadavatelů</v>
      </c>
      <c r="WL229" s="850">
        <f t="shared" si="409"/>
        <v>0</v>
      </c>
      <c r="WM229" s="849" t="str">
        <f t="shared" si="410"/>
        <v>V rámci sítě KHK se dlouhodobě řeší otázka navyšování úhrad a průběžně se monitoruje s vazbou na vykrytí vyrovnávací platby</v>
      </c>
      <c r="WN229" s="849">
        <f t="shared" si="411"/>
        <v>0</v>
      </c>
      <c r="WO229" s="849" t="str">
        <f t="shared" si="321"/>
        <v>bez komentáře</v>
      </c>
      <c r="WP229" s="849" t="str">
        <f t="shared" si="321"/>
        <v>bez komentáře</v>
      </c>
      <c r="WQ229" s="849" t="str">
        <f t="shared" si="321"/>
        <v>Konečná výše dotace z rozpočtu KHK bude řešena v návaznosti na řešení podílů jednotlivých zadavatelů.</v>
      </c>
      <c r="WR229" s="849" t="str">
        <f t="shared" si="321"/>
        <v>Konečná výše podpory ze stran obcí bude řešena v součinnosti s jednotlivými zadavateli v průběhu roku.</v>
      </c>
      <c r="WS229" s="849" t="str">
        <f t="shared" si="321"/>
        <v>bez komentáře</v>
      </c>
      <c r="WT229" s="849" t="str">
        <f t="shared" si="321"/>
        <v>bez komentáře</v>
      </c>
      <c r="WU229" s="845"/>
    </row>
    <row r="230" spans="1:619" s="128" customFormat="1" x14ac:dyDescent="0.25">
      <c r="A230" s="128" t="str">
        <f>VLOOKUP(F230,'Výpočet VP 2020'!$D$324:$I$588,6,FALSE)</f>
        <v>Je v síti</v>
      </c>
      <c r="B230" s="128" t="s">
        <v>942</v>
      </c>
      <c r="C230" s="128">
        <v>70889961</v>
      </c>
      <c r="D230" s="128" t="s">
        <v>943</v>
      </c>
      <c r="E230" s="128" t="s">
        <v>259</v>
      </c>
      <c r="F230" s="128">
        <v>1642854</v>
      </c>
      <c r="G230" s="128" t="s">
        <v>392</v>
      </c>
      <c r="H230" s="128" t="s">
        <v>218</v>
      </c>
      <c r="I230" s="128" t="s">
        <v>944</v>
      </c>
      <c r="J230" s="129">
        <v>41699</v>
      </c>
      <c r="L230" s="128" t="s">
        <v>220</v>
      </c>
      <c r="M230" s="128" t="s">
        <v>945</v>
      </c>
      <c r="N230" s="128">
        <v>50</v>
      </c>
      <c r="P230" s="128">
        <v>50</v>
      </c>
      <c r="Q230" s="128">
        <v>50</v>
      </c>
      <c r="R230" s="128">
        <v>50</v>
      </c>
      <c r="BL230" s="128" t="s">
        <v>395</v>
      </c>
      <c r="BM230" s="128" t="s">
        <v>304</v>
      </c>
      <c r="BN230" s="128" t="s">
        <v>326</v>
      </c>
      <c r="DA230" s="128">
        <v>0</v>
      </c>
      <c r="DB230" s="128">
        <v>0</v>
      </c>
      <c r="DC230" s="128">
        <v>0</v>
      </c>
      <c r="DD230" s="128">
        <v>0</v>
      </c>
      <c r="DE230" s="128">
        <v>0</v>
      </c>
      <c r="DF230" s="128">
        <v>1</v>
      </c>
      <c r="DG230" s="128">
        <v>14</v>
      </c>
      <c r="DH230" s="128">
        <v>18</v>
      </c>
      <c r="DI230" s="128">
        <v>14</v>
      </c>
      <c r="DJ230" s="128">
        <v>0</v>
      </c>
      <c r="DK230" s="128">
        <v>1</v>
      </c>
      <c r="DL230" s="128">
        <v>14</v>
      </c>
      <c r="DM230" s="128">
        <v>18</v>
      </c>
      <c r="DN230" s="128">
        <v>14</v>
      </c>
      <c r="DO230" s="128">
        <v>0</v>
      </c>
      <c r="DP230" s="128">
        <v>0</v>
      </c>
      <c r="DQ230" s="128">
        <v>47</v>
      </c>
      <c r="DR230" s="128">
        <v>47</v>
      </c>
      <c r="DS230" s="128">
        <v>0</v>
      </c>
      <c r="DT230" s="128">
        <v>0</v>
      </c>
      <c r="DU230" s="128">
        <v>0</v>
      </c>
      <c r="DV230" s="128">
        <v>0</v>
      </c>
      <c r="DW230" s="128">
        <v>0</v>
      </c>
      <c r="DX230" s="128">
        <v>0</v>
      </c>
      <c r="DY230" s="128">
        <v>10</v>
      </c>
      <c r="DZ230" s="128">
        <v>20</v>
      </c>
      <c r="EA230" s="128">
        <v>20</v>
      </c>
      <c r="EB230" s="128">
        <v>0</v>
      </c>
      <c r="EC230" s="128">
        <v>0</v>
      </c>
      <c r="ED230" s="128">
        <v>10</v>
      </c>
      <c r="EE230" s="128">
        <v>20</v>
      </c>
      <c r="EF230" s="128">
        <v>20</v>
      </c>
      <c r="EG230" s="128">
        <v>0</v>
      </c>
      <c r="EH230" s="128">
        <v>0</v>
      </c>
      <c r="EI230" s="128">
        <v>50</v>
      </c>
      <c r="EJ230" s="128">
        <v>50</v>
      </c>
      <c r="EK230" s="128">
        <v>1</v>
      </c>
      <c r="EL230" s="128">
        <v>1</v>
      </c>
      <c r="EM230" s="128">
        <v>0.8</v>
      </c>
      <c r="EN230" s="128">
        <v>570243</v>
      </c>
      <c r="EO230" s="128">
        <v>570243</v>
      </c>
      <c r="EP230" s="128">
        <v>21</v>
      </c>
      <c r="EQ230" s="128">
        <v>20.5</v>
      </c>
      <c r="ER230" s="128">
        <v>20</v>
      </c>
      <c r="ES230" s="128">
        <v>10094264</v>
      </c>
      <c r="ET230" s="128">
        <v>4874360</v>
      </c>
      <c r="EU230" s="128">
        <v>3</v>
      </c>
      <c r="EV230" s="128">
        <v>1.5</v>
      </c>
      <c r="EW230" s="128">
        <v>1.5</v>
      </c>
      <c r="EX230" s="128">
        <v>816757</v>
      </c>
      <c r="EY230" s="128">
        <v>0</v>
      </c>
      <c r="FO230" s="128">
        <v>13</v>
      </c>
      <c r="FP230" s="128">
        <v>10.3</v>
      </c>
      <c r="FQ230" s="128">
        <v>2.2000000000000002</v>
      </c>
      <c r="FR230" s="128">
        <v>4026638</v>
      </c>
      <c r="FS230" s="128">
        <v>1150000</v>
      </c>
      <c r="FZ230" s="128">
        <v>1</v>
      </c>
      <c r="GA230" s="128">
        <v>1</v>
      </c>
      <c r="GB230" s="128">
        <v>3</v>
      </c>
      <c r="GC230" s="128">
        <v>0.25</v>
      </c>
      <c r="GD230" s="128">
        <v>52800</v>
      </c>
      <c r="GE230" s="128">
        <v>0</v>
      </c>
      <c r="IS230" s="128">
        <v>1</v>
      </c>
      <c r="IT230" s="128">
        <v>200</v>
      </c>
      <c r="IU230" s="128">
        <v>9.5000000000000001E-2</v>
      </c>
      <c r="IV230" s="128">
        <v>60000</v>
      </c>
      <c r="IW230" s="128">
        <v>0</v>
      </c>
      <c r="KG230" s="128">
        <v>1</v>
      </c>
      <c r="KH230" s="128">
        <v>20</v>
      </c>
      <c r="KI230" s="128">
        <v>23</v>
      </c>
      <c r="KJ230" s="128">
        <v>0.25</v>
      </c>
      <c r="KK230" s="128">
        <v>0</v>
      </c>
      <c r="KL230" s="128">
        <v>0</v>
      </c>
      <c r="KM230" s="128">
        <v>23.25</v>
      </c>
      <c r="KN230" s="128">
        <v>15507902</v>
      </c>
      <c r="KO230" s="128">
        <v>6594603</v>
      </c>
      <c r="KP230" s="128">
        <v>6594603</v>
      </c>
      <c r="KT230" s="128">
        <v>52800</v>
      </c>
      <c r="KU230" s="128">
        <v>0</v>
      </c>
      <c r="KV230" s="128">
        <v>0</v>
      </c>
      <c r="KZ230" s="128">
        <v>60000</v>
      </c>
      <c r="LA230" s="128">
        <v>0</v>
      </c>
      <c r="LB230" s="128">
        <v>0</v>
      </c>
      <c r="LF230" s="128">
        <v>0</v>
      </c>
      <c r="LG230" s="128">
        <v>0</v>
      </c>
      <c r="LH230" s="128">
        <v>0</v>
      </c>
      <c r="LL230" s="128">
        <v>0</v>
      </c>
      <c r="LM230" s="128">
        <v>0</v>
      </c>
      <c r="LN230" s="128">
        <v>0</v>
      </c>
      <c r="LR230" s="128">
        <v>450000</v>
      </c>
      <c r="LS230" s="128">
        <v>0</v>
      </c>
      <c r="LT230" s="128">
        <v>0</v>
      </c>
      <c r="LX230" s="128">
        <v>10000</v>
      </c>
      <c r="LY230" s="128">
        <v>0</v>
      </c>
      <c r="LZ230" s="128">
        <v>0</v>
      </c>
      <c r="MD230" s="128">
        <v>40000</v>
      </c>
      <c r="ME230" s="128">
        <v>0</v>
      </c>
      <c r="MF230" s="128">
        <v>0</v>
      </c>
      <c r="MJ230" s="128">
        <v>16000</v>
      </c>
      <c r="MK230" s="128">
        <v>0</v>
      </c>
      <c r="ML230" s="128">
        <v>0</v>
      </c>
      <c r="MP230" s="128">
        <v>2800000</v>
      </c>
      <c r="MQ230" s="128">
        <v>0</v>
      </c>
      <c r="MR230" s="128">
        <v>0</v>
      </c>
      <c r="MV230" s="128">
        <v>828958</v>
      </c>
      <c r="MW230" s="128">
        <v>0</v>
      </c>
      <c r="MX230" s="128">
        <v>0</v>
      </c>
      <c r="NB230" s="128">
        <v>23000</v>
      </c>
      <c r="NC230" s="128">
        <v>0</v>
      </c>
      <c r="ND230" s="128">
        <v>0</v>
      </c>
      <c r="NH230" s="128">
        <v>0</v>
      </c>
      <c r="NI230" s="128">
        <v>0</v>
      </c>
      <c r="NJ230" s="128">
        <v>0</v>
      </c>
      <c r="NN230" s="128">
        <v>38500</v>
      </c>
      <c r="NO230" s="128">
        <v>0</v>
      </c>
      <c r="NP230" s="128">
        <v>0</v>
      </c>
      <c r="NT230" s="128">
        <v>30000</v>
      </c>
      <c r="NU230" s="128">
        <v>0</v>
      </c>
      <c r="NV230" s="128">
        <v>0</v>
      </c>
      <c r="NZ230" s="128">
        <v>60000</v>
      </c>
      <c r="OA230" s="128">
        <v>0</v>
      </c>
      <c r="OB230" s="128">
        <v>0</v>
      </c>
      <c r="OF230" s="128">
        <v>5000</v>
      </c>
      <c r="OG230" s="128">
        <v>0</v>
      </c>
      <c r="OH230" s="128">
        <v>0</v>
      </c>
      <c r="OL230" s="128">
        <v>0</v>
      </c>
      <c r="OM230" s="128">
        <v>0</v>
      </c>
      <c r="ON230" s="128">
        <v>0</v>
      </c>
      <c r="OR230" s="128">
        <v>0</v>
      </c>
      <c r="OS230" s="128">
        <v>0</v>
      </c>
      <c r="OT230" s="128">
        <v>0</v>
      </c>
      <c r="OX230" s="128">
        <v>5</v>
      </c>
      <c r="OY230" s="128">
        <v>0</v>
      </c>
      <c r="OZ230" s="128">
        <v>0</v>
      </c>
      <c r="PD230" s="128">
        <v>162000</v>
      </c>
      <c r="PE230" s="128">
        <v>0</v>
      </c>
      <c r="PF230" s="128">
        <v>0</v>
      </c>
      <c r="PJ230" s="128">
        <v>80000</v>
      </c>
      <c r="PK230" s="128">
        <v>0</v>
      </c>
      <c r="PL230" s="128">
        <v>0</v>
      </c>
      <c r="PP230" s="128">
        <v>20164165</v>
      </c>
      <c r="PQ230" s="128">
        <v>6594603</v>
      </c>
      <c r="PR230" s="128">
        <v>6594603</v>
      </c>
      <c r="PS230" s="128">
        <v>100</v>
      </c>
      <c r="PT230" s="128">
        <v>100</v>
      </c>
      <c r="PV230" s="128">
        <v>15834730</v>
      </c>
      <c r="PX230" s="128">
        <v>5106108</v>
      </c>
      <c r="PY230" s="128">
        <v>5519580</v>
      </c>
      <c r="PZ230" s="128">
        <v>6594603</v>
      </c>
      <c r="QA230" s="128">
        <v>0</v>
      </c>
      <c r="QB230" s="128">
        <v>0</v>
      </c>
      <c r="QC230" s="128">
        <v>0</v>
      </c>
      <c r="QD230" s="128">
        <v>1600000</v>
      </c>
      <c r="QE230" s="128">
        <v>1600000</v>
      </c>
      <c r="QF230" s="128">
        <v>1600000</v>
      </c>
      <c r="QG230" s="128">
        <v>0</v>
      </c>
      <c r="QH230" s="128">
        <v>0</v>
      </c>
      <c r="QI230" s="128">
        <v>0</v>
      </c>
      <c r="QJ230" s="128">
        <v>11092050</v>
      </c>
      <c r="QK230" s="128">
        <v>11100000</v>
      </c>
      <c r="QL230" s="128">
        <v>11100000</v>
      </c>
      <c r="QN230" s="128">
        <v>669562</v>
      </c>
      <c r="QO230" s="128">
        <v>869562</v>
      </c>
      <c r="QP230" s="128">
        <v>869562</v>
      </c>
      <c r="RH230" s="128">
        <f t="shared" si="412"/>
        <v>8194603</v>
      </c>
      <c r="RI230" s="128">
        <v>0</v>
      </c>
      <c r="RM230" s="128" t="s">
        <v>220</v>
      </c>
      <c r="RU230" s="130"/>
      <c r="RV230" s="130"/>
      <c r="RW230" s="130"/>
      <c r="RX230" s="130"/>
      <c r="SF230" s="128">
        <f t="shared" si="322"/>
        <v>1642854</v>
      </c>
      <c r="SG230" s="131">
        <f t="shared" si="323"/>
        <v>20164165</v>
      </c>
      <c r="SH230" s="131">
        <f t="shared" si="324"/>
        <v>20164165</v>
      </c>
      <c r="SI230" s="131">
        <f t="shared" si="325"/>
        <v>15620702</v>
      </c>
      <c r="SJ230" s="132">
        <f t="shared" si="326"/>
        <v>15507902</v>
      </c>
      <c r="SK230" s="132">
        <f t="shared" si="327"/>
        <v>52800</v>
      </c>
      <c r="SL230" s="132">
        <f t="shared" si="328"/>
        <v>60000</v>
      </c>
      <c r="SM230" s="132">
        <f t="shared" si="329"/>
        <v>0</v>
      </c>
      <c r="SN230" s="131">
        <f t="shared" si="330"/>
        <v>4543463</v>
      </c>
      <c r="SO230" s="131">
        <f t="shared" si="331"/>
        <v>450000</v>
      </c>
      <c r="SP230" s="132">
        <f t="shared" si="332"/>
        <v>0</v>
      </c>
      <c r="SQ230" s="132">
        <f t="shared" si="333"/>
        <v>450000</v>
      </c>
      <c r="SR230" s="132">
        <f t="shared" si="334"/>
        <v>10000</v>
      </c>
      <c r="SS230" s="132">
        <f t="shared" si="335"/>
        <v>40000</v>
      </c>
      <c r="ST230" s="132">
        <f t="shared" si="336"/>
        <v>16000</v>
      </c>
      <c r="SU230" s="132">
        <f t="shared" si="337"/>
        <v>2800000</v>
      </c>
      <c r="SV230" s="131">
        <f t="shared" si="338"/>
        <v>985463</v>
      </c>
      <c r="SW230" s="132">
        <f t="shared" si="339"/>
        <v>828958</v>
      </c>
      <c r="SX230" s="132">
        <f t="shared" si="340"/>
        <v>23000</v>
      </c>
      <c r="SY230" s="132">
        <f t="shared" si="341"/>
        <v>0</v>
      </c>
      <c r="SZ230" s="132">
        <f t="shared" si="342"/>
        <v>38500</v>
      </c>
      <c r="TA230" s="132">
        <f t="shared" si="343"/>
        <v>30000</v>
      </c>
      <c r="TB230" s="132">
        <f t="shared" si="344"/>
        <v>60000</v>
      </c>
      <c r="TC230" s="132">
        <f t="shared" si="345"/>
        <v>5000</v>
      </c>
      <c r="TD230" s="132">
        <f t="shared" si="346"/>
        <v>0</v>
      </c>
      <c r="TE230" s="132">
        <f t="shared" si="347"/>
        <v>0</v>
      </c>
      <c r="TF230" s="132">
        <f t="shared" si="348"/>
        <v>5</v>
      </c>
      <c r="TG230" s="132">
        <f t="shared" si="349"/>
        <v>162000</v>
      </c>
      <c r="TH230" s="132">
        <f t="shared" si="350"/>
        <v>80000</v>
      </c>
      <c r="TI230" s="1"/>
      <c r="TJ230" s="131">
        <f t="shared" si="351"/>
        <v>6594603</v>
      </c>
      <c r="TK230" s="131">
        <f t="shared" si="352"/>
        <v>6594603</v>
      </c>
      <c r="TL230" s="131">
        <f t="shared" si="353"/>
        <v>6594603</v>
      </c>
      <c r="TM230" s="132">
        <f t="shared" si="354"/>
        <v>6594603</v>
      </c>
      <c r="TN230" s="132">
        <f t="shared" si="355"/>
        <v>0</v>
      </c>
      <c r="TO230" s="132">
        <f t="shared" si="356"/>
        <v>0</v>
      </c>
      <c r="TP230" s="132">
        <f t="shared" si="357"/>
        <v>0</v>
      </c>
      <c r="TQ230" s="131">
        <f t="shared" si="358"/>
        <v>0</v>
      </c>
      <c r="TR230" s="131">
        <f t="shared" si="359"/>
        <v>0</v>
      </c>
      <c r="TS230" s="132">
        <f t="shared" si="360"/>
        <v>0</v>
      </c>
      <c r="TT230" s="132">
        <f t="shared" si="361"/>
        <v>0</v>
      </c>
      <c r="TU230" s="132">
        <f t="shared" si="362"/>
        <v>0</v>
      </c>
      <c r="TV230" s="132">
        <f t="shared" si="363"/>
        <v>0</v>
      </c>
      <c r="TW230" s="132">
        <f t="shared" si="364"/>
        <v>0</v>
      </c>
      <c r="TX230" s="132">
        <f t="shared" si="365"/>
        <v>0</v>
      </c>
      <c r="TY230" s="131">
        <f t="shared" si="366"/>
        <v>0</v>
      </c>
      <c r="TZ230" s="132">
        <f t="shared" si="367"/>
        <v>0</v>
      </c>
      <c r="UA230" s="132">
        <f t="shared" si="368"/>
        <v>0</v>
      </c>
      <c r="UB230" s="132">
        <f t="shared" si="369"/>
        <v>0</v>
      </c>
      <c r="UC230" s="132">
        <f t="shared" si="370"/>
        <v>0</v>
      </c>
      <c r="UD230" s="132">
        <f t="shared" si="371"/>
        <v>0</v>
      </c>
      <c r="UE230" s="132">
        <f t="shared" si="372"/>
        <v>0</v>
      </c>
      <c r="UF230" s="132">
        <f t="shared" si="373"/>
        <v>0</v>
      </c>
      <c r="UG230" s="132">
        <f t="shared" si="374"/>
        <v>0</v>
      </c>
      <c r="UH230" s="132">
        <f t="shared" si="375"/>
        <v>0</v>
      </c>
      <c r="UI230" s="132">
        <f t="shared" si="376"/>
        <v>0</v>
      </c>
      <c r="UJ230" s="132">
        <f t="shared" si="377"/>
        <v>0</v>
      </c>
      <c r="UK230" s="132">
        <f t="shared" si="378"/>
        <v>0</v>
      </c>
      <c r="UL230" s="132">
        <f t="shared" si="413"/>
        <v>6594603</v>
      </c>
      <c r="UM230" s="131">
        <f t="shared" si="379"/>
        <v>6594603</v>
      </c>
      <c r="UN230" s="131">
        <f t="shared" si="380"/>
        <v>6594603</v>
      </c>
      <c r="UO230" s="131">
        <f t="shared" si="381"/>
        <v>6594603</v>
      </c>
      <c r="UP230" s="132">
        <f t="shared" si="382"/>
        <v>6594603</v>
      </c>
      <c r="UQ230" s="132">
        <f t="shared" si="383"/>
        <v>0</v>
      </c>
      <c r="UR230" s="132">
        <f t="shared" si="384"/>
        <v>0</v>
      </c>
      <c r="US230" s="132">
        <f t="shared" si="385"/>
        <v>0</v>
      </c>
      <c r="UT230" s="131">
        <f t="shared" si="386"/>
        <v>0</v>
      </c>
      <c r="UU230" s="131">
        <f t="shared" si="387"/>
        <v>0</v>
      </c>
      <c r="UV230" s="132">
        <f t="shared" si="388"/>
        <v>0</v>
      </c>
      <c r="UW230" s="132">
        <f t="shared" si="389"/>
        <v>0</v>
      </c>
      <c r="UX230" s="132">
        <f t="shared" si="390"/>
        <v>0</v>
      </c>
      <c r="UY230" s="132">
        <f t="shared" si="391"/>
        <v>0</v>
      </c>
      <c r="UZ230" s="132">
        <f t="shared" si="392"/>
        <v>0</v>
      </c>
      <c r="VA230" s="132">
        <f t="shared" si="393"/>
        <v>0</v>
      </c>
      <c r="VB230" s="131">
        <f t="shared" si="394"/>
        <v>0</v>
      </c>
      <c r="VC230" s="132">
        <f t="shared" si="395"/>
        <v>0</v>
      </c>
      <c r="VD230" s="132">
        <f t="shared" si="396"/>
        <v>0</v>
      </c>
      <c r="VE230" s="132">
        <f t="shared" si="397"/>
        <v>0</v>
      </c>
      <c r="VF230" s="132">
        <f t="shared" si="398"/>
        <v>0</v>
      </c>
      <c r="VG230" s="132">
        <f t="shared" si="399"/>
        <v>0</v>
      </c>
      <c r="VH230" s="132">
        <f t="shared" si="400"/>
        <v>0</v>
      </c>
      <c r="VI230" s="132">
        <f t="shared" si="401"/>
        <v>0</v>
      </c>
      <c r="VJ230" s="132">
        <f t="shared" si="402"/>
        <v>0</v>
      </c>
      <c r="VK230" s="132">
        <f t="shared" si="403"/>
        <v>0</v>
      </c>
      <c r="VL230" s="132">
        <f t="shared" si="404"/>
        <v>0</v>
      </c>
      <c r="VM230" s="132">
        <f t="shared" si="405"/>
        <v>0</v>
      </c>
      <c r="VN230" s="132">
        <f t="shared" si="406"/>
        <v>0</v>
      </c>
      <c r="VP230" s="845" t="str">
        <f>IFERROR(HLOOKUP(F230,'Hodnocení '!$C$1:$JH$5,2,FALSE),0)</f>
        <v>Sociální služby města Hořice</v>
      </c>
      <c r="VQ230" s="838"/>
      <c r="VR230" s="845" t="str">
        <f t="shared" si="414"/>
        <v>Příspěvková organizace zřízená územním samosprávným celkem</v>
      </c>
      <c r="VS230" s="845" t="str">
        <f>IFERROR(HLOOKUP(F230,'Hodnocení '!$C$1:$JH$5,5,FALSE),0)</f>
        <v>Obce</v>
      </c>
      <c r="VT230" s="838" t="str">
        <f t="shared" si="415"/>
        <v>Příspěvková organizace zřízená územním samosprávným celkem</v>
      </c>
      <c r="VU230" s="838">
        <f t="shared" si="416"/>
        <v>0</v>
      </c>
      <c r="VV230" s="838">
        <f t="shared" si="417"/>
        <v>11100000</v>
      </c>
      <c r="VW230" s="838">
        <f t="shared" si="418"/>
        <v>869562</v>
      </c>
      <c r="VX230" s="838"/>
      <c r="VY230" s="838">
        <f t="shared" si="419"/>
        <v>0</v>
      </c>
      <c r="VZ230" s="838">
        <f t="shared" si="420"/>
        <v>6594603</v>
      </c>
      <c r="WA230" s="846">
        <f>IFERROR(HLOOKUP($F230,'Hodnocení '!$C$1:$JH$9,9,FALSE),0)</f>
        <v>6594603</v>
      </c>
      <c r="WB230" s="846">
        <f>IF(IFERROR(HLOOKUP($F230,'Hodnocení '!$C$1:$JH$13,13,FALSE),0)&gt;WA230,WA230,IFERROR(HLOOKUP($F230,'Hodnocení '!$C$1:$JH$13,13,FALSE),0))</f>
        <v>6594603</v>
      </c>
      <c r="WC230" s="846">
        <f>IFERROR(HLOOKUP($F230,'Hodnocení '!$C$1:$JH$155,155,FALSE),0)</f>
        <v>5790610</v>
      </c>
      <c r="WD230" s="845"/>
      <c r="WE230" s="845"/>
      <c r="WF230" s="845" t="str">
        <f t="shared" si="407"/>
        <v>ANO</v>
      </c>
      <c r="WG230" s="849" t="str">
        <f t="shared" si="421"/>
        <v>Podpora služby je vyjádřena zařazením do sítě sociálních služeb v KHK a řešením financování služby</v>
      </c>
      <c r="WH230"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30" s="849" t="str">
        <f t="shared" si="421"/>
        <v>Návrh dotace je výsledkem projednání s ostatními zadavateli v rámci sítě služeb KHK</v>
      </c>
      <c r="WJ230" s="849" t="str">
        <f t="shared" si="421"/>
        <v>Bez komentáře</v>
      </c>
      <c r="WK230" s="31" t="str">
        <f t="shared" si="408"/>
        <v>Výše příspěvku ze strany zřizovatele bude řešen v návaznosti na řešení podílů jednotlivých zadavatelů</v>
      </c>
      <c r="WL230" s="850">
        <f t="shared" si="409"/>
        <v>0</v>
      </c>
      <c r="WM230" s="849" t="str">
        <f t="shared" si="410"/>
        <v>V rámci sítě KHK se dlouhodobě řeší otázka navyšování úhrad a průběžně se monitoruje s vazbou na vykrytí vyrovnávací platby</v>
      </c>
      <c r="WN230" s="849" t="str">
        <f t="shared" si="411"/>
        <v>Otázka výběru od zdravotních pojišťoven je předmětem procesu, který probíhá ve formě jednání se ZP a organizacemi</v>
      </c>
      <c r="WO230" s="849" t="str">
        <f t="shared" si="321"/>
        <v>bez komentáře</v>
      </c>
      <c r="WP230" s="849" t="str">
        <f t="shared" si="321"/>
        <v>bez komentáře</v>
      </c>
      <c r="WQ230" s="849" t="str">
        <f t="shared" si="321"/>
        <v>Konečná výše dotace z rozpočtu KHK bude řešena v návaznosti na řešení podílů jednotlivých zadavatelů.</v>
      </c>
      <c r="WR230" s="849" t="str">
        <f t="shared" si="321"/>
        <v>Konečná výše podpory ze stran obcí bude řešena v součinnosti s jednotlivými zadavateli v průběhu roku.</v>
      </c>
      <c r="WS230" s="849" t="str">
        <f t="shared" si="321"/>
        <v>bez komentáře</v>
      </c>
      <c r="WT230" s="849" t="str">
        <f t="shared" si="321"/>
        <v>bez komentáře</v>
      </c>
      <c r="WU230" s="845"/>
    </row>
    <row r="231" spans="1:619" s="128" customFormat="1" x14ac:dyDescent="0.25">
      <c r="A231" s="128" t="str">
        <f>VLOOKUP(F231,'Výpočet VP 2020'!$D$324:$I$588,6,FALSE)</f>
        <v>Je v síti</v>
      </c>
      <c r="B231" s="128" t="s">
        <v>942</v>
      </c>
      <c r="C231" s="128">
        <v>70889961</v>
      </c>
      <c r="D231" s="128" t="s">
        <v>943</v>
      </c>
      <c r="E231" s="128" t="s">
        <v>259</v>
      </c>
      <c r="F231" s="128">
        <v>4878719</v>
      </c>
      <c r="G231" s="128" t="s">
        <v>328</v>
      </c>
      <c r="H231" s="128" t="s">
        <v>218</v>
      </c>
      <c r="I231" s="128" t="s">
        <v>328</v>
      </c>
      <c r="J231" s="129">
        <v>39083</v>
      </c>
      <c r="L231" s="128" t="s">
        <v>220</v>
      </c>
      <c r="AP231" s="128" t="s">
        <v>759</v>
      </c>
      <c r="AQ231" s="128">
        <v>6</v>
      </c>
      <c r="AR231" s="128">
        <v>20</v>
      </c>
      <c r="AS231" s="128">
        <v>121</v>
      </c>
      <c r="AT231" s="128">
        <v>125</v>
      </c>
      <c r="AU231" s="128">
        <v>130</v>
      </c>
      <c r="BJ231" s="128">
        <v>6200</v>
      </c>
      <c r="BK231" s="128" t="s">
        <v>946</v>
      </c>
      <c r="BL231" s="128" t="s">
        <v>535</v>
      </c>
      <c r="BM231" s="128" t="s">
        <v>325</v>
      </c>
      <c r="BN231" s="128" t="s">
        <v>364</v>
      </c>
      <c r="BO231" s="128">
        <v>0</v>
      </c>
      <c r="BP231" s="128">
        <v>0</v>
      </c>
      <c r="BQ231" s="128">
        <v>0</v>
      </c>
      <c r="BR231" s="128">
        <v>0</v>
      </c>
      <c r="BS231" s="128">
        <v>0</v>
      </c>
      <c r="BT231" s="128">
        <v>84</v>
      </c>
      <c r="BU231" s="128">
        <v>18</v>
      </c>
      <c r="BV231" s="128">
        <v>11</v>
      </c>
      <c r="BW231" s="128">
        <v>0</v>
      </c>
      <c r="BX231" s="128">
        <v>5</v>
      </c>
      <c r="BY231" s="128">
        <v>84</v>
      </c>
      <c r="BZ231" s="128">
        <v>18</v>
      </c>
      <c r="CA231" s="128">
        <v>11</v>
      </c>
      <c r="CB231" s="128">
        <v>0</v>
      </c>
      <c r="CC231" s="128">
        <v>5</v>
      </c>
      <c r="CD231" s="128">
        <v>0</v>
      </c>
      <c r="CE231" s="128">
        <v>118</v>
      </c>
      <c r="CF231" s="128">
        <v>118</v>
      </c>
      <c r="CG231" s="128">
        <v>2</v>
      </c>
      <c r="CH231" s="128">
        <v>0</v>
      </c>
      <c r="CI231" s="128">
        <v>0</v>
      </c>
      <c r="CJ231" s="128">
        <v>0</v>
      </c>
      <c r="CK231" s="128">
        <v>0</v>
      </c>
      <c r="CL231" s="128">
        <v>0</v>
      </c>
      <c r="CM231" s="128">
        <v>86</v>
      </c>
      <c r="CN231" s="128">
        <v>25</v>
      </c>
      <c r="CO231" s="128">
        <v>14</v>
      </c>
      <c r="CP231" s="128">
        <v>0</v>
      </c>
      <c r="CQ231" s="128">
        <v>5</v>
      </c>
      <c r="CR231" s="128">
        <v>86</v>
      </c>
      <c r="CS231" s="128">
        <v>25</v>
      </c>
      <c r="CT231" s="128">
        <v>14</v>
      </c>
      <c r="CU231" s="128">
        <v>0</v>
      </c>
      <c r="CV231" s="128">
        <v>5</v>
      </c>
      <c r="CW231" s="128">
        <v>0</v>
      </c>
      <c r="CX231" s="128">
        <v>130</v>
      </c>
      <c r="CY231" s="128">
        <v>130</v>
      </c>
      <c r="CZ231" s="128">
        <v>2</v>
      </c>
      <c r="EK231" s="128">
        <v>1</v>
      </c>
      <c r="EL231" s="128">
        <v>0.2</v>
      </c>
      <c r="EM231" s="128">
        <v>0.2</v>
      </c>
      <c r="EN231" s="128">
        <v>180000</v>
      </c>
      <c r="EO231" s="128">
        <v>180000</v>
      </c>
      <c r="EP231" s="128">
        <v>6</v>
      </c>
      <c r="EQ231" s="128">
        <v>6</v>
      </c>
      <c r="ER231" s="128">
        <v>5</v>
      </c>
      <c r="ES231" s="128">
        <v>2630000</v>
      </c>
      <c r="ET231" s="128">
        <v>1381200</v>
      </c>
      <c r="FO231" s="128">
        <v>2</v>
      </c>
      <c r="FP231" s="128">
        <v>0.3</v>
      </c>
      <c r="FQ231" s="128">
        <v>0.3</v>
      </c>
      <c r="FR231" s="128">
        <v>210000</v>
      </c>
      <c r="FS231" s="128">
        <v>0</v>
      </c>
      <c r="IN231" s="128">
        <v>1</v>
      </c>
      <c r="IO231" s="128">
        <v>60</v>
      </c>
      <c r="IP231" s="128">
        <v>2.9000000000000001E-2</v>
      </c>
      <c r="IQ231" s="128">
        <v>7200</v>
      </c>
      <c r="IR231" s="128">
        <v>0</v>
      </c>
      <c r="KG231" s="128">
        <v>0</v>
      </c>
      <c r="KI231" s="128">
        <v>6.2</v>
      </c>
      <c r="KJ231" s="128">
        <v>0</v>
      </c>
      <c r="KK231" s="128">
        <v>2.9000000000000001E-2</v>
      </c>
      <c r="KL231" s="128">
        <v>0</v>
      </c>
      <c r="KM231" s="128">
        <v>6.2290000000000001</v>
      </c>
      <c r="KN231" s="128">
        <v>3020000</v>
      </c>
      <c r="KO231" s="128">
        <v>1561200</v>
      </c>
      <c r="KP231" s="128">
        <v>1561200</v>
      </c>
      <c r="KT231" s="128">
        <v>0</v>
      </c>
      <c r="KU231" s="128">
        <v>0</v>
      </c>
      <c r="KV231" s="128">
        <v>0</v>
      </c>
      <c r="KZ231" s="128">
        <v>7200</v>
      </c>
      <c r="LA231" s="128">
        <v>0</v>
      </c>
      <c r="LB231" s="128">
        <v>0</v>
      </c>
      <c r="LF231" s="128">
        <v>0</v>
      </c>
      <c r="LG231" s="128">
        <v>0</v>
      </c>
      <c r="LH231" s="128">
        <v>0</v>
      </c>
      <c r="LL231" s="128">
        <v>0</v>
      </c>
      <c r="LM231" s="128">
        <v>0</v>
      </c>
      <c r="LN231" s="128">
        <v>0</v>
      </c>
      <c r="LR231" s="128">
        <v>20000</v>
      </c>
      <c r="LS231" s="128">
        <v>0</v>
      </c>
      <c r="LT231" s="128">
        <v>0</v>
      </c>
      <c r="LX231" s="128">
        <v>0</v>
      </c>
      <c r="LY231" s="128">
        <v>0</v>
      </c>
      <c r="LZ231" s="128">
        <v>0</v>
      </c>
      <c r="MD231" s="128">
        <v>8000</v>
      </c>
      <c r="ME231" s="128">
        <v>0</v>
      </c>
      <c r="MF231" s="128">
        <v>0</v>
      </c>
      <c r="MJ231" s="128">
        <v>80000</v>
      </c>
      <c r="MK231" s="128">
        <v>0</v>
      </c>
      <c r="ML231" s="128">
        <v>0</v>
      </c>
      <c r="MP231" s="128">
        <v>80000</v>
      </c>
      <c r="MQ231" s="128">
        <v>0</v>
      </c>
      <c r="MR231" s="128">
        <v>0</v>
      </c>
      <c r="MV231" s="128">
        <v>0</v>
      </c>
      <c r="MW231" s="128">
        <v>0</v>
      </c>
      <c r="MX231" s="128">
        <v>0</v>
      </c>
      <c r="NB231" s="128">
        <v>20000</v>
      </c>
      <c r="NC231" s="128">
        <v>0</v>
      </c>
      <c r="ND231" s="128">
        <v>0</v>
      </c>
      <c r="NH231" s="128">
        <v>50000</v>
      </c>
      <c r="NI231" s="128">
        <v>0</v>
      </c>
      <c r="NJ231" s="128">
        <v>0</v>
      </c>
      <c r="NN231" s="128">
        <v>7000</v>
      </c>
      <c r="NO231" s="128">
        <v>0</v>
      </c>
      <c r="NP231" s="128">
        <v>0</v>
      </c>
      <c r="NT231" s="128">
        <v>5000</v>
      </c>
      <c r="NU231" s="128">
        <v>0</v>
      </c>
      <c r="NV231" s="128">
        <v>0</v>
      </c>
      <c r="NZ231" s="128">
        <v>30000</v>
      </c>
      <c r="OA231" s="128">
        <v>0</v>
      </c>
      <c r="OB231" s="128">
        <v>0</v>
      </c>
      <c r="OF231" s="128">
        <v>2000</v>
      </c>
      <c r="OG231" s="128">
        <v>0</v>
      </c>
      <c r="OH231" s="128">
        <v>0</v>
      </c>
      <c r="OL231" s="128">
        <v>0</v>
      </c>
      <c r="OM231" s="128">
        <v>0</v>
      </c>
      <c r="ON231" s="128">
        <v>0</v>
      </c>
      <c r="OR231" s="128">
        <v>0</v>
      </c>
      <c r="OS231" s="128">
        <v>0</v>
      </c>
      <c r="OT231" s="128">
        <v>0</v>
      </c>
      <c r="OX231" s="128">
        <v>0</v>
      </c>
      <c r="OY231" s="128">
        <v>0</v>
      </c>
      <c r="OZ231" s="128">
        <v>0</v>
      </c>
      <c r="PD231" s="128">
        <v>22000</v>
      </c>
      <c r="PE231" s="128">
        <v>0</v>
      </c>
      <c r="PF231" s="128">
        <v>0</v>
      </c>
      <c r="PJ231" s="128">
        <v>10000</v>
      </c>
      <c r="PK231" s="128">
        <v>0</v>
      </c>
      <c r="PL231" s="128">
        <v>0</v>
      </c>
      <c r="PP231" s="128">
        <v>3361200</v>
      </c>
      <c r="PQ231" s="128">
        <v>1561200</v>
      </c>
      <c r="PR231" s="128">
        <v>1561200</v>
      </c>
      <c r="PS231" s="128">
        <v>100</v>
      </c>
      <c r="PT231" s="128">
        <v>100</v>
      </c>
      <c r="PV231" s="128">
        <v>2287902</v>
      </c>
      <c r="PX231" s="128">
        <v>826428</v>
      </c>
      <c r="PY231" s="128">
        <v>1117120</v>
      </c>
      <c r="PZ231" s="128">
        <v>1561200</v>
      </c>
      <c r="QA231" s="128">
        <v>0</v>
      </c>
      <c r="QB231" s="128">
        <v>0</v>
      </c>
      <c r="QC231" s="128">
        <v>0</v>
      </c>
      <c r="QD231" s="128">
        <v>1000000</v>
      </c>
      <c r="QE231" s="128">
        <v>1000000</v>
      </c>
      <c r="QF231" s="128">
        <v>1000000</v>
      </c>
      <c r="QG231" s="128">
        <v>0</v>
      </c>
      <c r="QH231" s="128">
        <v>0</v>
      </c>
      <c r="QI231" s="128">
        <v>0</v>
      </c>
      <c r="QJ231" s="128">
        <v>756424</v>
      </c>
      <c r="QK231" s="128">
        <v>770000</v>
      </c>
      <c r="QL231" s="128">
        <v>800000</v>
      </c>
      <c r="QN231" s="128">
        <v>0</v>
      </c>
      <c r="QO231" s="128">
        <v>0</v>
      </c>
      <c r="QP231" s="128">
        <v>0</v>
      </c>
      <c r="RH231" s="128">
        <f t="shared" si="412"/>
        <v>2561200</v>
      </c>
      <c r="RI231" s="128">
        <v>0</v>
      </c>
      <c r="RM231" s="128" t="s">
        <v>220</v>
      </c>
      <c r="RU231" s="130"/>
      <c r="RV231" s="130"/>
      <c r="RW231" s="130"/>
      <c r="RX231" s="130"/>
      <c r="SF231" s="128">
        <f t="shared" si="322"/>
        <v>4878719</v>
      </c>
      <c r="SG231" s="131">
        <f t="shared" si="323"/>
        <v>3361200</v>
      </c>
      <c r="SH231" s="131">
        <f t="shared" si="324"/>
        <v>3361200</v>
      </c>
      <c r="SI231" s="131">
        <f t="shared" si="325"/>
        <v>3027200</v>
      </c>
      <c r="SJ231" s="132">
        <f t="shared" si="326"/>
        <v>3020000</v>
      </c>
      <c r="SK231" s="132">
        <f t="shared" si="327"/>
        <v>0</v>
      </c>
      <c r="SL231" s="132">
        <f t="shared" si="328"/>
        <v>7200</v>
      </c>
      <c r="SM231" s="132">
        <f t="shared" si="329"/>
        <v>0</v>
      </c>
      <c r="SN231" s="131">
        <f t="shared" si="330"/>
        <v>334000</v>
      </c>
      <c r="SO231" s="131">
        <f t="shared" si="331"/>
        <v>20000</v>
      </c>
      <c r="SP231" s="132">
        <f t="shared" si="332"/>
        <v>0</v>
      </c>
      <c r="SQ231" s="132">
        <f t="shared" si="333"/>
        <v>20000</v>
      </c>
      <c r="SR231" s="132">
        <f t="shared" si="334"/>
        <v>0</v>
      </c>
      <c r="SS231" s="132">
        <f t="shared" si="335"/>
        <v>8000</v>
      </c>
      <c r="ST231" s="132">
        <f t="shared" si="336"/>
        <v>80000</v>
      </c>
      <c r="SU231" s="132">
        <f t="shared" si="337"/>
        <v>80000</v>
      </c>
      <c r="SV231" s="131">
        <f t="shared" si="338"/>
        <v>114000</v>
      </c>
      <c r="SW231" s="132">
        <f t="shared" si="339"/>
        <v>0</v>
      </c>
      <c r="SX231" s="132">
        <f t="shared" si="340"/>
        <v>20000</v>
      </c>
      <c r="SY231" s="132">
        <f t="shared" si="341"/>
        <v>50000</v>
      </c>
      <c r="SZ231" s="132">
        <f t="shared" si="342"/>
        <v>7000</v>
      </c>
      <c r="TA231" s="132">
        <f t="shared" si="343"/>
        <v>5000</v>
      </c>
      <c r="TB231" s="132">
        <f t="shared" si="344"/>
        <v>30000</v>
      </c>
      <c r="TC231" s="132">
        <f t="shared" si="345"/>
        <v>2000</v>
      </c>
      <c r="TD231" s="132">
        <f t="shared" si="346"/>
        <v>0</v>
      </c>
      <c r="TE231" s="132">
        <f t="shared" si="347"/>
        <v>0</v>
      </c>
      <c r="TF231" s="132">
        <f t="shared" si="348"/>
        <v>0</v>
      </c>
      <c r="TG231" s="132">
        <f t="shared" si="349"/>
        <v>22000</v>
      </c>
      <c r="TH231" s="132">
        <f t="shared" si="350"/>
        <v>10000</v>
      </c>
      <c r="TI231" s="1"/>
      <c r="TJ231" s="131">
        <f t="shared" si="351"/>
        <v>1561200</v>
      </c>
      <c r="TK231" s="131">
        <f t="shared" si="352"/>
        <v>1561200</v>
      </c>
      <c r="TL231" s="131">
        <f t="shared" si="353"/>
        <v>1561200</v>
      </c>
      <c r="TM231" s="132">
        <f t="shared" si="354"/>
        <v>1561200</v>
      </c>
      <c r="TN231" s="132">
        <f t="shared" si="355"/>
        <v>0</v>
      </c>
      <c r="TO231" s="132">
        <f t="shared" si="356"/>
        <v>0</v>
      </c>
      <c r="TP231" s="132">
        <f t="shared" si="357"/>
        <v>0</v>
      </c>
      <c r="TQ231" s="131">
        <f t="shared" si="358"/>
        <v>0</v>
      </c>
      <c r="TR231" s="131">
        <f t="shared" si="359"/>
        <v>0</v>
      </c>
      <c r="TS231" s="132">
        <f t="shared" si="360"/>
        <v>0</v>
      </c>
      <c r="TT231" s="132">
        <f t="shared" si="361"/>
        <v>0</v>
      </c>
      <c r="TU231" s="132">
        <f t="shared" si="362"/>
        <v>0</v>
      </c>
      <c r="TV231" s="132">
        <f t="shared" si="363"/>
        <v>0</v>
      </c>
      <c r="TW231" s="132">
        <f t="shared" si="364"/>
        <v>0</v>
      </c>
      <c r="TX231" s="132">
        <f t="shared" si="365"/>
        <v>0</v>
      </c>
      <c r="TY231" s="131">
        <f t="shared" si="366"/>
        <v>0</v>
      </c>
      <c r="TZ231" s="132">
        <f t="shared" si="367"/>
        <v>0</v>
      </c>
      <c r="UA231" s="132">
        <f t="shared" si="368"/>
        <v>0</v>
      </c>
      <c r="UB231" s="132">
        <f t="shared" si="369"/>
        <v>0</v>
      </c>
      <c r="UC231" s="132">
        <f t="shared" si="370"/>
        <v>0</v>
      </c>
      <c r="UD231" s="132">
        <f t="shared" si="371"/>
        <v>0</v>
      </c>
      <c r="UE231" s="132">
        <f t="shared" si="372"/>
        <v>0</v>
      </c>
      <c r="UF231" s="132">
        <f t="shared" si="373"/>
        <v>0</v>
      </c>
      <c r="UG231" s="132">
        <f t="shared" si="374"/>
        <v>0</v>
      </c>
      <c r="UH231" s="132">
        <f t="shared" si="375"/>
        <v>0</v>
      </c>
      <c r="UI231" s="132">
        <f t="shared" si="376"/>
        <v>0</v>
      </c>
      <c r="UJ231" s="132">
        <f t="shared" si="377"/>
        <v>0</v>
      </c>
      <c r="UK231" s="132">
        <f t="shared" si="378"/>
        <v>0</v>
      </c>
      <c r="UL231" s="132">
        <f t="shared" si="413"/>
        <v>1561200</v>
      </c>
      <c r="UM231" s="131">
        <f t="shared" si="379"/>
        <v>1561200</v>
      </c>
      <c r="UN231" s="131">
        <f t="shared" si="380"/>
        <v>1561200</v>
      </c>
      <c r="UO231" s="131">
        <f t="shared" si="381"/>
        <v>1561200</v>
      </c>
      <c r="UP231" s="132">
        <f t="shared" si="382"/>
        <v>1561200</v>
      </c>
      <c r="UQ231" s="132">
        <f t="shared" si="383"/>
        <v>0</v>
      </c>
      <c r="UR231" s="132">
        <f t="shared" si="384"/>
        <v>0</v>
      </c>
      <c r="US231" s="132">
        <f t="shared" si="385"/>
        <v>0</v>
      </c>
      <c r="UT231" s="131">
        <f t="shared" si="386"/>
        <v>0</v>
      </c>
      <c r="UU231" s="131">
        <f t="shared" si="387"/>
        <v>0</v>
      </c>
      <c r="UV231" s="132">
        <f t="shared" si="388"/>
        <v>0</v>
      </c>
      <c r="UW231" s="132">
        <f t="shared" si="389"/>
        <v>0</v>
      </c>
      <c r="UX231" s="132">
        <f t="shared" si="390"/>
        <v>0</v>
      </c>
      <c r="UY231" s="132">
        <f t="shared" si="391"/>
        <v>0</v>
      </c>
      <c r="UZ231" s="132">
        <f t="shared" si="392"/>
        <v>0</v>
      </c>
      <c r="VA231" s="132">
        <f t="shared" si="393"/>
        <v>0</v>
      </c>
      <c r="VB231" s="131">
        <f t="shared" si="394"/>
        <v>0</v>
      </c>
      <c r="VC231" s="132">
        <f t="shared" si="395"/>
        <v>0</v>
      </c>
      <c r="VD231" s="132">
        <f t="shared" si="396"/>
        <v>0</v>
      </c>
      <c r="VE231" s="132">
        <f t="shared" si="397"/>
        <v>0</v>
      </c>
      <c r="VF231" s="132">
        <f t="shared" si="398"/>
        <v>0</v>
      </c>
      <c r="VG231" s="132">
        <f t="shared" si="399"/>
        <v>0</v>
      </c>
      <c r="VH231" s="132">
        <f t="shared" si="400"/>
        <v>0</v>
      </c>
      <c r="VI231" s="132">
        <f t="shared" si="401"/>
        <v>0</v>
      </c>
      <c r="VJ231" s="132">
        <f t="shared" si="402"/>
        <v>0</v>
      </c>
      <c r="VK231" s="132">
        <f t="shared" si="403"/>
        <v>0</v>
      </c>
      <c r="VL231" s="132">
        <f t="shared" si="404"/>
        <v>0</v>
      </c>
      <c r="VM231" s="132">
        <f t="shared" si="405"/>
        <v>0</v>
      </c>
      <c r="VN231" s="132">
        <f t="shared" si="406"/>
        <v>0</v>
      </c>
      <c r="VP231" s="845" t="str">
        <f>IFERROR(HLOOKUP(F231,'Hodnocení '!$C$1:$JH$5,2,FALSE),0)</f>
        <v>Sociální služby města Hořice</v>
      </c>
      <c r="VQ231" s="838"/>
      <c r="VR231" s="845" t="str">
        <f t="shared" si="414"/>
        <v>Příspěvková organizace zřízená územním samosprávným celkem</v>
      </c>
      <c r="VS231" s="845" t="str">
        <f>IFERROR(HLOOKUP(F231,'Hodnocení '!$C$1:$JH$5,5,FALSE),0)</f>
        <v>Obce</v>
      </c>
      <c r="VT231" s="838" t="str">
        <f t="shared" si="415"/>
        <v>Příspěvková organizace zřízená územním samosprávným celkem</v>
      </c>
      <c r="VU231" s="838">
        <f t="shared" si="416"/>
        <v>0</v>
      </c>
      <c r="VV231" s="838">
        <f t="shared" si="417"/>
        <v>800000</v>
      </c>
      <c r="VW231" s="838">
        <f t="shared" si="418"/>
        <v>0</v>
      </c>
      <c r="VX231" s="838"/>
      <c r="VY231" s="838">
        <f t="shared" si="419"/>
        <v>0</v>
      </c>
      <c r="VZ231" s="838">
        <f t="shared" si="420"/>
        <v>1561200</v>
      </c>
      <c r="WA231" s="846">
        <f>IFERROR(HLOOKUP($F231,'Hodnocení '!$C$1:$JH$9,9,FALSE),0)</f>
        <v>1561200</v>
      </c>
      <c r="WB231" s="846">
        <f>IF(IFERROR(HLOOKUP($F231,'Hodnocení '!$C$1:$JH$13,13,FALSE),0)&gt;WA231,WA231,IFERROR(HLOOKUP($F231,'Hodnocení '!$C$1:$JH$13,13,FALSE),0))</f>
        <v>1561200</v>
      </c>
      <c r="WC231" s="846">
        <f>IFERROR(HLOOKUP($F231,'Hodnocení '!$C$1:$JH$155,155,FALSE),0)</f>
        <v>1441590</v>
      </c>
      <c r="WD231" s="845"/>
      <c r="WE231" s="845"/>
      <c r="WF231" s="845" t="str">
        <f t="shared" si="407"/>
        <v>ANO</v>
      </c>
      <c r="WG231" s="849" t="str">
        <f t="shared" si="421"/>
        <v>Podpora služby je vyjádřena zařazením do sítě sociálních služeb v KHK a řešením financování služby</v>
      </c>
      <c r="WH231"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31" s="849" t="str">
        <f t="shared" si="421"/>
        <v>Návrh dotace je výsledkem projednání s ostatními zadavateli v rámci sítě služeb KHK</v>
      </c>
      <c r="WJ231" s="849" t="str">
        <f t="shared" si="421"/>
        <v>Bez komentáře</v>
      </c>
      <c r="WK231" s="31" t="str">
        <f t="shared" si="408"/>
        <v>Výše příspěvku ze strany zřizovatele bude řešen v návaznosti na řešení podílů jednotlivých zadavatelů</v>
      </c>
      <c r="WL231" s="850">
        <f t="shared" si="409"/>
        <v>0</v>
      </c>
      <c r="WM231" s="849" t="str">
        <f t="shared" si="410"/>
        <v>V rámci sítě KHK se dlouhodobě řeší otázka navyšování úhrad a průběžně se monitoruje s vazbou na vykrytí vyrovnávací platby</v>
      </c>
      <c r="WN231" s="849">
        <f t="shared" si="411"/>
        <v>0</v>
      </c>
      <c r="WO231" s="849" t="str">
        <f t="shared" si="321"/>
        <v>bez komentáře</v>
      </c>
      <c r="WP231" s="849" t="str">
        <f t="shared" si="321"/>
        <v>bez komentáře</v>
      </c>
      <c r="WQ231" s="849" t="str">
        <f t="shared" si="321"/>
        <v>Konečná výše dotace z rozpočtu KHK bude řešena v návaznosti na řešení podílů jednotlivých zadavatelů.</v>
      </c>
      <c r="WR231" s="849" t="str">
        <f t="shared" si="321"/>
        <v>Konečná výše podpory ze stran obcí bude řešena v součinnosti s jednotlivými zadavateli v průběhu roku.</v>
      </c>
      <c r="WS231" s="849" t="str">
        <f t="shared" si="321"/>
        <v>bez komentáře</v>
      </c>
      <c r="WT231" s="849" t="str">
        <f t="shared" si="321"/>
        <v>bez komentáře</v>
      </c>
      <c r="WU231" s="845"/>
    </row>
    <row r="232" spans="1:619" s="128" customFormat="1" x14ac:dyDescent="0.25">
      <c r="A232" s="128" t="str">
        <f>VLOOKUP(F232,'Výpočet VP 2020'!$D$324:$I$588,6,FALSE)</f>
        <v>Je v síti</v>
      </c>
      <c r="B232" s="128" t="s">
        <v>942</v>
      </c>
      <c r="C232" s="128">
        <v>70889961</v>
      </c>
      <c r="D232" s="128" t="s">
        <v>943</v>
      </c>
      <c r="E232" s="128" t="s">
        <v>259</v>
      </c>
      <c r="F232" s="128">
        <v>5344327</v>
      </c>
      <c r="G232" s="128" t="s">
        <v>348</v>
      </c>
      <c r="H232" s="128" t="s">
        <v>218</v>
      </c>
      <c r="I232" s="128" t="s">
        <v>525</v>
      </c>
      <c r="J232" s="129">
        <v>39083</v>
      </c>
      <c r="L232" s="128" t="s">
        <v>220</v>
      </c>
      <c r="M232" s="128" t="s">
        <v>474</v>
      </c>
      <c r="N232" s="128">
        <v>60</v>
      </c>
      <c r="P232" s="128">
        <v>60</v>
      </c>
      <c r="Q232" s="128">
        <v>60</v>
      </c>
      <c r="R232" s="128">
        <v>60</v>
      </c>
      <c r="BL232" s="128" t="s">
        <v>579</v>
      </c>
      <c r="BM232" s="128" t="s">
        <v>325</v>
      </c>
      <c r="BN232" s="128" t="s">
        <v>326</v>
      </c>
      <c r="DA232" s="128">
        <v>0</v>
      </c>
      <c r="DB232" s="128">
        <v>0</v>
      </c>
      <c r="DC232" s="128">
        <v>0</v>
      </c>
      <c r="DD232" s="128">
        <v>0</v>
      </c>
      <c r="DE232" s="128">
        <v>0</v>
      </c>
      <c r="DF232" s="128">
        <v>23</v>
      </c>
      <c r="DG232" s="128">
        <v>24</v>
      </c>
      <c r="DH232" s="128">
        <v>12</v>
      </c>
      <c r="DI232" s="128">
        <v>1</v>
      </c>
      <c r="DJ232" s="128">
        <v>0</v>
      </c>
      <c r="DK232" s="128">
        <v>23</v>
      </c>
      <c r="DL232" s="128">
        <v>24</v>
      </c>
      <c r="DM232" s="128">
        <v>12</v>
      </c>
      <c r="DN232" s="128">
        <v>1</v>
      </c>
      <c r="DO232" s="128">
        <v>0</v>
      </c>
      <c r="DP232" s="128">
        <v>0</v>
      </c>
      <c r="DQ232" s="128">
        <v>60</v>
      </c>
      <c r="DR232" s="128">
        <v>60</v>
      </c>
      <c r="DS232" s="128">
        <v>0</v>
      </c>
      <c r="DT232" s="128">
        <v>0</v>
      </c>
      <c r="DU232" s="128">
        <v>0</v>
      </c>
      <c r="DV232" s="128">
        <v>0</v>
      </c>
      <c r="DW232" s="128">
        <v>0</v>
      </c>
      <c r="DX232" s="128">
        <v>17</v>
      </c>
      <c r="DY232" s="128">
        <v>27</v>
      </c>
      <c r="DZ232" s="128">
        <v>15</v>
      </c>
      <c r="EA232" s="128">
        <v>1</v>
      </c>
      <c r="EB232" s="128">
        <v>0</v>
      </c>
      <c r="EC232" s="128">
        <v>17</v>
      </c>
      <c r="ED232" s="128">
        <v>27</v>
      </c>
      <c r="EE232" s="128">
        <v>15</v>
      </c>
      <c r="EF232" s="128">
        <v>1</v>
      </c>
      <c r="EG232" s="128">
        <v>0</v>
      </c>
      <c r="EH232" s="128">
        <v>0</v>
      </c>
      <c r="EI232" s="128">
        <v>60</v>
      </c>
      <c r="EJ232" s="128">
        <v>60</v>
      </c>
      <c r="EK232" s="128">
        <v>1</v>
      </c>
      <c r="EL232" s="128">
        <v>1</v>
      </c>
      <c r="EM232" s="128">
        <v>1</v>
      </c>
      <c r="EN232" s="128">
        <v>661200</v>
      </c>
      <c r="EO232" s="128">
        <v>661200</v>
      </c>
      <c r="EP232" s="128">
        <v>16</v>
      </c>
      <c r="EQ232" s="128">
        <v>15.5</v>
      </c>
      <c r="ER232" s="128">
        <v>17</v>
      </c>
      <c r="ES232" s="128">
        <v>8766775</v>
      </c>
      <c r="ET232" s="128">
        <v>4200000</v>
      </c>
      <c r="EU232" s="128">
        <v>4</v>
      </c>
      <c r="EV232" s="128">
        <v>2</v>
      </c>
      <c r="EW232" s="128">
        <v>2</v>
      </c>
      <c r="EX232" s="128">
        <v>1016870</v>
      </c>
      <c r="EY232" s="128">
        <v>0</v>
      </c>
      <c r="FO232" s="128">
        <v>13</v>
      </c>
      <c r="FP232" s="128">
        <v>10.4</v>
      </c>
      <c r="FQ232" s="128">
        <v>12</v>
      </c>
      <c r="FR232" s="128">
        <v>4126638</v>
      </c>
      <c r="FS232" s="128">
        <v>830000</v>
      </c>
      <c r="IS232" s="128">
        <v>1</v>
      </c>
      <c r="IT232" s="128">
        <v>200</v>
      </c>
      <c r="IU232" s="128">
        <v>9.5000000000000001E-2</v>
      </c>
      <c r="IV232" s="128">
        <v>60000</v>
      </c>
      <c r="IW232" s="128">
        <v>0</v>
      </c>
      <c r="KG232" s="128">
        <v>1</v>
      </c>
      <c r="KH232" s="128">
        <v>20</v>
      </c>
      <c r="KI232" s="128">
        <v>18.5</v>
      </c>
      <c r="KJ232" s="128">
        <v>0</v>
      </c>
      <c r="KK232" s="128">
        <v>0</v>
      </c>
      <c r="KL232" s="128">
        <v>0</v>
      </c>
      <c r="KM232" s="128">
        <v>18.5</v>
      </c>
      <c r="KN232" s="128">
        <v>14571483</v>
      </c>
      <c r="KO232" s="128">
        <v>5691200</v>
      </c>
      <c r="KP232" s="128">
        <v>5691200</v>
      </c>
      <c r="KT232" s="128">
        <v>0</v>
      </c>
      <c r="KU232" s="128">
        <v>0</v>
      </c>
      <c r="KV232" s="128">
        <v>0</v>
      </c>
      <c r="KZ232" s="128">
        <v>60000</v>
      </c>
      <c r="LA232" s="128">
        <v>0</v>
      </c>
      <c r="LB232" s="128">
        <v>0</v>
      </c>
      <c r="LF232" s="128">
        <v>0</v>
      </c>
      <c r="LG232" s="128">
        <v>0</v>
      </c>
      <c r="LH232" s="128">
        <v>0</v>
      </c>
      <c r="LL232" s="128">
        <v>0</v>
      </c>
      <c r="LM232" s="128">
        <v>0</v>
      </c>
      <c r="LN232" s="128">
        <v>0</v>
      </c>
      <c r="LR232" s="128">
        <v>400000</v>
      </c>
      <c r="LS232" s="128">
        <v>0</v>
      </c>
      <c r="LT232" s="128">
        <v>0</v>
      </c>
      <c r="LX232" s="128">
        <v>20000</v>
      </c>
      <c r="LY232" s="128">
        <v>0</v>
      </c>
      <c r="LZ232" s="128">
        <v>0</v>
      </c>
      <c r="MD232" s="128">
        <v>60000</v>
      </c>
      <c r="ME232" s="128">
        <v>0</v>
      </c>
      <c r="MF232" s="128">
        <v>0</v>
      </c>
      <c r="MJ232" s="128">
        <v>20000</v>
      </c>
      <c r="MK232" s="128">
        <v>12000</v>
      </c>
      <c r="ML232" s="128">
        <v>12000</v>
      </c>
      <c r="MP232" s="128">
        <v>3635252</v>
      </c>
      <c r="MQ232" s="128">
        <v>0</v>
      </c>
      <c r="MR232" s="128">
        <v>0</v>
      </c>
      <c r="MV232" s="128">
        <v>1800000</v>
      </c>
      <c r="MW232" s="128">
        <v>0</v>
      </c>
      <c r="MX232" s="128">
        <v>0</v>
      </c>
      <c r="NB232" s="128">
        <v>21000</v>
      </c>
      <c r="NC232" s="128">
        <v>0</v>
      </c>
      <c r="ND232" s="128">
        <v>0</v>
      </c>
      <c r="NH232" s="128">
        <v>0</v>
      </c>
      <c r="NI232" s="128">
        <v>0</v>
      </c>
      <c r="NJ232" s="128">
        <v>0</v>
      </c>
      <c r="NN232" s="128">
        <v>40000</v>
      </c>
      <c r="NO232" s="128">
        <v>0</v>
      </c>
      <c r="NP232" s="128">
        <v>0</v>
      </c>
      <c r="NT232" s="128">
        <v>35000</v>
      </c>
      <c r="NU232" s="128">
        <v>0</v>
      </c>
      <c r="NV232" s="128">
        <v>0</v>
      </c>
      <c r="NZ232" s="128">
        <v>70000</v>
      </c>
      <c r="OA232" s="128">
        <v>0</v>
      </c>
      <c r="OB232" s="128">
        <v>0</v>
      </c>
      <c r="OF232" s="128">
        <v>4000</v>
      </c>
      <c r="OG232" s="128">
        <v>0</v>
      </c>
      <c r="OH232" s="128">
        <v>0</v>
      </c>
      <c r="OL232" s="128">
        <v>0</v>
      </c>
      <c r="OM232" s="128">
        <v>0</v>
      </c>
      <c r="ON232" s="128">
        <v>0</v>
      </c>
      <c r="OR232" s="128">
        <v>0</v>
      </c>
      <c r="OS232" s="128">
        <v>0</v>
      </c>
      <c r="OT232" s="128">
        <v>0</v>
      </c>
      <c r="OX232" s="128">
        <v>50000</v>
      </c>
      <c r="OY232" s="128">
        <v>0</v>
      </c>
      <c r="OZ232" s="128">
        <v>0</v>
      </c>
      <c r="PD232" s="128">
        <v>136000</v>
      </c>
      <c r="PE232" s="128">
        <v>0</v>
      </c>
      <c r="PF232" s="128">
        <v>0</v>
      </c>
      <c r="PJ232" s="128">
        <v>50000</v>
      </c>
      <c r="PK232" s="128">
        <v>0</v>
      </c>
      <c r="PL232" s="128">
        <v>0</v>
      </c>
      <c r="PP232" s="128">
        <v>20972735</v>
      </c>
      <c r="PQ232" s="128">
        <v>5703200</v>
      </c>
      <c r="PR232" s="128">
        <v>5703200</v>
      </c>
      <c r="PS232" s="128">
        <v>100</v>
      </c>
      <c r="PT232" s="128">
        <v>100</v>
      </c>
      <c r="PV232" s="128">
        <v>16387618</v>
      </c>
      <c r="PX232" s="128">
        <v>3938600</v>
      </c>
      <c r="PY232" s="128">
        <v>4683650</v>
      </c>
      <c r="PZ232" s="128">
        <v>5703200</v>
      </c>
      <c r="QA232" s="128">
        <v>0</v>
      </c>
      <c r="QB232" s="128">
        <v>0</v>
      </c>
      <c r="QC232" s="128">
        <v>0</v>
      </c>
      <c r="QD232" s="128">
        <v>2400000</v>
      </c>
      <c r="QE232" s="128">
        <v>2400000</v>
      </c>
      <c r="QF232" s="128">
        <v>3900000</v>
      </c>
      <c r="QG232" s="128">
        <v>0</v>
      </c>
      <c r="QH232" s="128">
        <v>0</v>
      </c>
      <c r="QI232" s="128">
        <v>0</v>
      </c>
      <c r="QJ232" s="128">
        <v>10369623</v>
      </c>
      <c r="QK232" s="128">
        <v>9900000</v>
      </c>
      <c r="QL232" s="128">
        <v>9978000</v>
      </c>
      <c r="QN232" s="128">
        <v>669535</v>
      </c>
      <c r="QO232" s="128">
        <v>669535</v>
      </c>
      <c r="QP232" s="128">
        <v>669535</v>
      </c>
      <c r="QU232" s="128">
        <v>500936</v>
      </c>
      <c r="QV232" s="128">
        <v>0</v>
      </c>
      <c r="QW232" s="128">
        <v>500000</v>
      </c>
      <c r="RD232" s="128">
        <v>361685</v>
      </c>
      <c r="RE232" s="128">
        <v>205000</v>
      </c>
      <c r="RF232" s="128">
        <v>222000</v>
      </c>
      <c r="RH232" s="128">
        <f t="shared" si="412"/>
        <v>10325200</v>
      </c>
      <c r="RI232" s="128">
        <v>0</v>
      </c>
      <c r="RM232" s="128" t="s">
        <v>220</v>
      </c>
      <c r="RU232" s="130"/>
      <c r="RV232" s="130"/>
      <c r="RW232" s="130"/>
      <c r="RX232" s="130"/>
      <c r="SF232" s="128">
        <f t="shared" si="322"/>
        <v>5344327</v>
      </c>
      <c r="SG232" s="131">
        <f t="shared" si="323"/>
        <v>20972735</v>
      </c>
      <c r="SH232" s="131">
        <f t="shared" si="324"/>
        <v>20972735</v>
      </c>
      <c r="SI232" s="131">
        <f t="shared" si="325"/>
        <v>14631483</v>
      </c>
      <c r="SJ232" s="132">
        <f t="shared" si="326"/>
        <v>14571483</v>
      </c>
      <c r="SK232" s="132">
        <f t="shared" si="327"/>
        <v>0</v>
      </c>
      <c r="SL232" s="132">
        <f t="shared" si="328"/>
        <v>60000</v>
      </c>
      <c r="SM232" s="132">
        <f t="shared" si="329"/>
        <v>0</v>
      </c>
      <c r="SN232" s="131">
        <f t="shared" si="330"/>
        <v>6341252</v>
      </c>
      <c r="SO232" s="131">
        <f t="shared" si="331"/>
        <v>400000</v>
      </c>
      <c r="SP232" s="132">
        <f t="shared" si="332"/>
        <v>0</v>
      </c>
      <c r="SQ232" s="132">
        <f t="shared" si="333"/>
        <v>400000</v>
      </c>
      <c r="SR232" s="132">
        <f t="shared" si="334"/>
        <v>20000</v>
      </c>
      <c r="SS232" s="132">
        <f t="shared" si="335"/>
        <v>60000</v>
      </c>
      <c r="ST232" s="132">
        <f t="shared" si="336"/>
        <v>20000</v>
      </c>
      <c r="SU232" s="132">
        <f t="shared" si="337"/>
        <v>3635252</v>
      </c>
      <c r="SV232" s="131">
        <f t="shared" si="338"/>
        <v>2020000</v>
      </c>
      <c r="SW232" s="132">
        <f t="shared" si="339"/>
        <v>1800000</v>
      </c>
      <c r="SX232" s="132">
        <f t="shared" si="340"/>
        <v>21000</v>
      </c>
      <c r="SY232" s="132">
        <f t="shared" si="341"/>
        <v>0</v>
      </c>
      <c r="SZ232" s="132">
        <f t="shared" si="342"/>
        <v>40000</v>
      </c>
      <c r="TA232" s="132">
        <f t="shared" si="343"/>
        <v>35000</v>
      </c>
      <c r="TB232" s="132">
        <f t="shared" si="344"/>
        <v>70000</v>
      </c>
      <c r="TC232" s="132">
        <f t="shared" si="345"/>
        <v>4000</v>
      </c>
      <c r="TD232" s="132">
        <f t="shared" si="346"/>
        <v>0</v>
      </c>
      <c r="TE232" s="132">
        <f t="shared" si="347"/>
        <v>0</v>
      </c>
      <c r="TF232" s="132">
        <f t="shared" si="348"/>
        <v>50000</v>
      </c>
      <c r="TG232" s="132">
        <f t="shared" si="349"/>
        <v>136000</v>
      </c>
      <c r="TH232" s="132">
        <f t="shared" si="350"/>
        <v>50000</v>
      </c>
      <c r="TI232" s="1"/>
      <c r="TJ232" s="131">
        <f t="shared" si="351"/>
        <v>5703200</v>
      </c>
      <c r="TK232" s="131">
        <f t="shared" si="352"/>
        <v>5703200</v>
      </c>
      <c r="TL232" s="131">
        <f t="shared" si="353"/>
        <v>5691200</v>
      </c>
      <c r="TM232" s="132">
        <f t="shared" si="354"/>
        <v>5691200</v>
      </c>
      <c r="TN232" s="132">
        <f t="shared" si="355"/>
        <v>0</v>
      </c>
      <c r="TO232" s="132">
        <f t="shared" si="356"/>
        <v>0</v>
      </c>
      <c r="TP232" s="132">
        <f t="shared" si="357"/>
        <v>0</v>
      </c>
      <c r="TQ232" s="131">
        <f t="shared" si="358"/>
        <v>12000</v>
      </c>
      <c r="TR232" s="131">
        <f t="shared" si="359"/>
        <v>0</v>
      </c>
      <c r="TS232" s="132">
        <f t="shared" si="360"/>
        <v>0</v>
      </c>
      <c r="TT232" s="132">
        <f t="shared" si="361"/>
        <v>0</v>
      </c>
      <c r="TU232" s="132">
        <f t="shared" si="362"/>
        <v>0</v>
      </c>
      <c r="TV232" s="132">
        <f t="shared" si="363"/>
        <v>0</v>
      </c>
      <c r="TW232" s="132">
        <f t="shared" si="364"/>
        <v>12000</v>
      </c>
      <c r="TX232" s="132">
        <f t="shared" si="365"/>
        <v>0</v>
      </c>
      <c r="TY232" s="131">
        <f t="shared" si="366"/>
        <v>0</v>
      </c>
      <c r="TZ232" s="132">
        <f t="shared" si="367"/>
        <v>0</v>
      </c>
      <c r="UA232" s="132">
        <f t="shared" si="368"/>
        <v>0</v>
      </c>
      <c r="UB232" s="132">
        <f t="shared" si="369"/>
        <v>0</v>
      </c>
      <c r="UC232" s="132">
        <f t="shared" si="370"/>
        <v>0</v>
      </c>
      <c r="UD232" s="132">
        <f t="shared" si="371"/>
        <v>0</v>
      </c>
      <c r="UE232" s="132">
        <f t="shared" si="372"/>
        <v>0</v>
      </c>
      <c r="UF232" s="132">
        <f t="shared" si="373"/>
        <v>0</v>
      </c>
      <c r="UG232" s="132">
        <f t="shared" si="374"/>
        <v>0</v>
      </c>
      <c r="UH232" s="132">
        <f t="shared" si="375"/>
        <v>0</v>
      </c>
      <c r="UI232" s="132">
        <f t="shared" si="376"/>
        <v>0</v>
      </c>
      <c r="UJ232" s="132">
        <f t="shared" si="377"/>
        <v>0</v>
      </c>
      <c r="UK232" s="132">
        <f t="shared" si="378"/>
        <v>0</v>
      </c>
      <c r="UL232" s="132">
        <f t="shared" si="413"/>
        <v>5703200</v>
      </c>
      <c r="UM232" s="131">
        <f t="shared" si="379"/>
        <v>5703200</v>
      </c>
      <c r="UN232" s="131">
        <f t="shared" si="380"/>
        <v>5703200</v>
      </c>
      <c r="UO232" s="131">
        <f t="shared" si="381"/>
        <v>5691200</v>
      </c>
      <c r="UP232" s="132">
        <f t="shared" si="382"/>
        <v>5691200</v>
      </c>
      <c r="UQ232" s="132">
        <f t="shared" si="383"/>
        <v>0</v>
      </c>
      <c r="UR232" s="132">
        <f t="shared" si="384"/>
        <v>0</v>
      </c>
      <c r="US232" s="132">
        <f t="shared" si="385"/>
        <v>0</v>
      </c>
      <c r="UT232" s="131">
        <f t="shared" si="386"/>
        <v>12000</v>
      </c>
      <c r="UU232" s="131">
        <f t="shared" si="387"/>
        <v>0</v>
      </c>
      <c r="UV232" s="132">
        <f t="shared" si="388"/>
        <v>0</v>
      </c>
      <c r="UW232" s="132">
        <f t="shared" si="389"/>
        <v>0</v>
      </c>
      <c r="UX232" s="132">
        <f t="shared" si="390"/>
        <v>0</v>
      </c>
      <c r="UY232" s="132">
        <f t="shared" si="391"/>
        <v>0</v>
      </c>
      <c r="UZ232" s="132">
        <f t="shared" si="392"/>
        <v>12000</v>
      </c>
      <c r="VA232" s="132">
        <f t="shared" si="393"/>
        <v>0</v>
      </c>
      <c r="VB232" s="131">
        <f t="shared" si="394"/>
        <v>0</v>
      </c>
      <c r="VC232" s="132">
        <f t="shared" si="395"/>
        <v>0</v>
      </c>
      <c r="VD232" s="132">
        <f t="shared" si="396"/>
        <v>0</v>
      </c>
      <c r="VE232" s="132">
        <f t="shared" si="397"/>
        <v>0</v>
      </c>
      <c r="VF232" s="132">
        <f t="shared" si="398"/>
        <v>0</v>
      </c>
      <c r="VG232" s="132">
        <f t="shared" si="399"/>
        <v>0</v>
      </c>
      <c r="VH232" s="132">
        <f t="shared" si="400"/>
        <v>0</v>
      </c>
      <c r="VI232" s="132">
        <f t="shared" si="401"/>
        <v>0</v>
      </c>
      <c r="VJ232" s="132">
        <f t="shared" si="402"/>
        <v>0</v>
      </c>
      <c r="VK232" s="132">
        <f t="shared" si="403"/>
        <v>0</v>
      </c>
      <c r="VL232" s="132">
        <f t="shared" si="404"/>
        <v>0</v>
      </c>
      <c r="VM232" s="132">
        <f t="shared" si="405"/>
        <v>0</v>
      </c>
      <c r="VN232" s="132">
        <f t="shared" si="406"/>
        <v>0</v>
      </c>
      <c r="VP232" s="845" t="str">
        <f>IFERROR(HLOOKUP(F232,'Hodnocení '!$C$1:$JH$5,2,FALSE),0)</f>
        <v>Sociální služby města Hořice</v>
      </c>
      <c r="VQ232" s="838"/>
      <c r="VR232" s="845" t="str">
        <f t="shared" si="414"/>
        <v>Příspěvková organizace zřízená územním samosprávným celkem</v>
      </c>
      <c r="VS232" s="845" t="str">
        <f>IFERROR(HLOOKUP(F232,'Hodnocení '!$C$1:$JH$5,5,FALSE),0)</f>
        <v>Obce</v>
      </c>
      <c r="VT232" s="838" t="str">
        <f t="shared" si="415"/>
        <v>Příspěvková organizace zřízená územním samosprávným celkem</v>
      </c>
      <c r="VU232" s="838">
        <f t="shared" si="416"/>
        <v>0</v>
      </c>
      <c r="VV232" s="838">
        <f t="shared" si="417"/>
        <v>9978000</v>
      </c>
      <c r="VW232" s="838">
        <f t="shared" si="418"/>
        <v>669535</v>
      </c>
      <c r="VX232" s="838"/>
      <c r="VY232" s="838">
        <f t="shared" si="419"/>
        <v>0</v>
      </c>
      <c r="VZ232" s="838">
        <f t="shared" si="420"/>
        <v>5703200</v>
      </c>
      <c r="WA232" s="846">
        <f>IFERROR(HLOOKUP($F232,'Hodnocení '!$C$1:$JH$9,9,FALSE),0)</f>
        <v>5703200</v>
      </c>
      <c r="WB232" s="846">
        <f>IF(IFERROR(HLOOKUP($F232,'Hodnocení '!$C$1:$JH$13,13,FALSE),0)&gt;WA232,WA232,IFERROR(HLOOKUP($F232,'Hodnocení '!$C$1:$JH$13,13,FALSE),0))</f>
        <v>5703200</v>
      </c>
      <c r="WC232" s="846">
        <f>IFERROR(HLOOKUP($F232,'Hodnocení '!$C$1:$JH$155,155,FALSE),0)</f>
        <v>5703200</v>
      </c>
      <c r="WD232" s="845"/>
      <c r="WE232" s="845"/>
      <c r="WF232" s="845" t="str">
        <f t="shared" si="407"/>
        <v>ANO</v>
      </c>
      <c r="WG232" s="849" t="str">
        <f t="shared" si="421"/>
        <v>Podpora služby je vyjádřena zařazením do sítě sociálních služeb v KHK a řešením financování služby</v>
      </c>
      <c r="WH232"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32" s="849" t="str">
        <f t="shared" si="421"/>
        <v>Návrh dotace je výsledkem projednání s ostatními zadavateli v rámci sítě služeb KHK</v>
      </c>
      <c r="WJ232" s="849" t="str">
        <f t="shared" si="421"/>
        <v>Bez komentáře</v>
      </c>
      <c r="WK232" s="31" t="str">
        <f t="shared" si="408"/>
        <v>Výše příspěvku ze strany zřizovatele bude řešen v návaznosti na řešení podílů jednotlivých zadavatelů</v>
      </c>
      <c r="WL232" s="850">
        <f t="shared" si="409"/>
        <v>0</v>
      </c>
      <c r="WM232" s="849" t="str">
        <f t="shared" si="410"/>
        <v>V rámci sítě KHK se dlouhodobě řeší otázka navyšování úhrad a průběžně se monitoruje s vazbou na vykrytí vyrovnávací platby</v>
      </c>
      <c r="WN232" s="849" t="str">
        <f t="shared" si="411"/>
        <v>Otázka výběru od zdravotních pojišťoven je předmětem procesu, který probíhá ve formě jednání se ZP a organizacemi</v>
      </c>
      <c r="WO232" s="849" t="str">
        <f t="shared" si="321"/>
        <v>bez komentáře</v>
      </c>
      <c r="WP232" s="849" t="str">
        <f t="shared" si="321"/>
        <v>bez komentáře</v>
      </c>
      <c r="WQ232" s="849" t="str">
        <f t="shared" si="321"/>
        <v>Konečná výše dotace z rozpočtu KHK bude řešena v návaznosti na řešení podílů jednotlivých zadavatelů.</v>
      </c>
      <c r="WR232" s="849" t="str">
        <f t="shared" si="321"/>
        <v>Konečná výše podpory ze stran obcí bude řešena v součinnosti s jednotlivými zadavateli v průběhu roku.</v>
      </c>
      <c r="WS232" s="849" t="str">
        <f t="shared" si="321"/>
        <v>bez komentáře</v>
      </c>
      <c r="WT232" s="849" t="str">
        <f t="shared" si="321"/>
        <v>bez komentáře</v>
      </c>
      <c r="WU232" s="845"/>
    </row>
    <row r="233" spans="1:619" s="128" customFormat="1" x14ac:dyDescent="0.25">
      <c r="A233" s="128" t="str">
        <f>VLOOKUP(F233,'Výpočet VP 2020'!$D$324:$I$588,6,FALSE)</f>
        <v>Je v síti</v>
      </c>
      <c r="B233" s="128" t="s">
        <v>947</v>
      </c>
      <c r="C233" s="128">
        <v>70888167</v>
      </c>
      <c r="D233" s="128" t="s">
        <v>948</v>
      </c>
      <c r="E233" s="128" t="s">
        <v>259</v>
      </c>
      <c r="F233" s="128">
        <v>1225073</v>
      </c>
      <c r="G233" s="128" t="s">
        <v>328</v>
      </c>
      <c r="H233" s="128" t="s">
        <v>218</v>
      </c>
      <c r="I233" s="128" t="s">
        <v>386</v>
      </c>
      <c r="J233" s="129">
        <v>39083</v>
      </c>
      <c r="L233" s="128" t="s">
        <v>220</v>
      </c>
      <c r="X233" s="128" t="s">
        <v>322</v>
      </c>
      <c r="Z233" s="128">
        <v>3</v>
      </c>
      <c r="AA233" s="128">
        <v>20</v>
      </c>
      <c r="AB233" s="128">
        <v>41</v>
      </c>
      <c r="AC233" s="128">
        <v>45</v>
      </c>
      <c r="AD233" s="128">
        <v>50</v>
      </c>
      <c r="AN233" s="128">
        <v>2000</v>
      </c>
      <c r="AP233" s="128" t="s">
        <v>949</v>
      </c>
      <c r="AQ233" s="128">
        <v>12</v>
      </c>
      <c r="AR233" s="128">
        <v>150</v>
      </c>
      <c r="AS233" s="128">
        <v>223</v>
      </c>
      <c r="AT233" s="128">
        <v>225</v>
      </c>
      <c r="AU233" s="128">
        <v>220</v>
      </c>
      <c r="BJ233" s="128">
        <v>16000</v>
      </c>
      <c r="BL233" s="128" t="s">
        <v>634</v>
      </c>
      <c r="BM233" s="128" t="s">
        <v>325</v>
      </c>
      <c r="BN233" s="128" t="s">
        <v>299</v>
      </c>
      <c r="BO233" s="128">
        <v>0</v>
      </c>
      <c r="BP233" s="128">
        <v>1</v>
      </c>
      <c r="BQ233" s="128">
        <v>0</v>
      </c>
      <c r="BR233" s="128">
        <v>0</v>
      </c>
      <c r="BS233" s="128">
        <v>0</v>
      </c>
      <c r="BT233" s="128">
        <v>59</v>
      </c>
      <c r="BU233" s="128">
        <v>62</v>
      </c>
      <c r="BV233" s="128">
        <v>46</v>
      </c>
      <c r="BW233" s="128">
        <v>11</v>
      </c>
      <c r="BX233" s="128">
        <v>9</v>
      </c>
      <c r="BY233" s="128">
        <v>59</v>
      </c>
      <c r="BZ233" s="128">
        <v>63</v>
      </c>
      <c r="CA233" s="128">
        <v>46</v>
      </c>
      <c r="CB233" s="128">
        <v>11</v>
      </c>
      <c r="CC233" s="128">
        <v>9</v>
      </c>
      <c r="CD233" s="128">
        <v>1</v>
      </c>
      <c r="CE233" s="128">
        <v>187</v>
      </c>
      <c r="CF233" s="128">
        <v>188</v>
      </c>
      <c r="CG233" s="128">
        <v>2</v>
      </c>
      <c r="CH233" s="128">
        <v>0</v>
      </c>
      <c r="CI233" s="128">
        <v>1</v>
      </c>
      <c r="CJ233" s="128">
        <v>0</v>
      </c>
      <c r="CK233" s="128">
        <v>0</v>
      </c>
      <c r="CL233" s="128">
        <v>0</v>
      </c>
      <c r="CM233" s="128">
        <v>85</v>
      </c>
      <c r="CN233" s="128">
        <v>104</v>
      </c>
      <c r="CO233" s="128">
        <v>55</v>
      </c>
      <c r="CP233" s="128">
        <v>15</v>
      </c>
      <c r="CQ233" s="128">
        <v>10</v>
      </c>
      <c r="CR233" s="128">
        <v>85</v>
      </c>
      <c r="CS233" s="128">
        <v>105</v>
      </c>
      <c r="CT233" s="128">
        <v>55</v>
      </c>
      <c r="CU233" s="128">
        <v>15</v>
      </c>
      <c r="CV233" s="128">
        <v>10</v>
      </c>
      <c r="CW233" s="128">
        <v>1</v>
      </c>
      <c r="CX233" s="128">
        <v>269</v>
      </c>
      <c r="CY233" s="128">
        <v>270</v>
      </c>
      <c r="CZ233" s="128">
        <v>2</v>
      </c>
      <c r="EK233" s="128">
        <v>2</v>
      </c>
      <c r="EL233" s="128">
        <v>1.2</v>
      </c>
      <c r="EM233" s="128">
        <v>1.2</v>
      </c>
      <c r="EN233" s="128">
        <v>784230</v>
      </c>
      <c r="EO233" s="128">
        <v>740000</v>
      </c>
      <c r="EP233" s="128">
        <v>15</v>
      </c>
      <c r="EQ233" s="128">
        <v>15</v>
      </c>
      <c r="ER233" s="128">
        <v>15</v>
      </c>
      <c r="ES233" s="128">
        <v>6124300</v>
      </c>
      <c r="ET233" s="128">
        <v>5900000</v>
      </c>
      <c r="FO233" s="128">
        <v>8</v>
      </c>
      <c r="FP233" s="128">
        <v>2.46</v>
      </c>
      <c r="FQ233" s="128">
        <v>0</v>
      </c>
      <c r="FR233" s="128">
        <v>1672970</v>
      </c>
      <c r="FS233" s="128">
        <v>1442419</v>
      </c>
      <c r="KG233" s="128">
        <v>0</v>
      </c>
      <c r="KI233" s="128">
        <v>16.2</v>
      </c>
      <c r="KJ233" s="128">
        <v>0</v>
      </c>
      <c r="KK233" s="128">
        <v>0</v>
      </c>
      <c r="KL233" s="128">
        <v>0</v>
      </c>
      <c r="KM233" s="128">
        <v>16.2</v>
      </c>
      <c r="KN233" s="128">
        <v>8581500</v>
      </c>
      <c r="KO233" s="128">
        <v>8082419</v>
      </c>
      <c r="KP233" s="128">
        <v>8082419</v>
      </c>
      <c r="KT233" s="128">
        <v>0</v>
      </c>
      <c r="KU233" s="128">
        <v>0</v>
      </c>
      <c r="KV233" s="128">
        <v>0</v>
      </c>
      <c r="KZ233" s="128">
        <v>0</v>
      </c>
      <c r="LA233" s="128">
        <v>0</v>
      </c>
      <c r="LB233" s="128">
        <v>0</v>
      </c>
      <c r="LF233" s="128">
        <v>0</v>
      </c>
      <c r="LG233" s="128">
        <v>0</v>
      </c>
      <c r="LH233" s="128">
        <v>0</v>
      </c>
      <c r="LL233" s="128">
        <v>0</v>
      </c>
      <c r="LM233" s="128">
        <v>0</v>
      </c>
      <c r="LN233" s="128">
        <v>0</v>
      </c>
      <c r="LR233" s="128">
        <v>74000</v>
      </c>
      <c r="LS233" s="128">
        <v>0</v>
      </c>
      <c r="LT233" s="128">
        <v>0</v>
      </c>
      <c r="LX233" s="128">
        <v>450000</v>
      </c>
      <c r="LY233" s="128">
        <v>0</v>
      </c>
      <c r="LZ233" s="128">
        <v>0</v>
      </c>
      <c r="MD233" s="128">
        <v>10000</v>
      </c>
      <c r="ME233" s="128">
        <v>0</v>
      </c>
      <c r="MF233" s="128">
        <v>0</v>
      </c>
      <c r="MJ233" s="128">
        <v>100000</v>
      </c>
      <c r="MK233" s="128">
        <v>0</v>
      </c>
      <c r="ML233" s="128">
        <v>0</v>
      </c>
      <c r="MP233" s="128">
        <v>220000</v>
      </c>
      <c r="MQ233" s="128">
        <v>0</v>
      </c>
      <c r="MR233" s="128">
        <v>0</v>
      </c>
      <c r="MV233" s="128">
        <v>258000</v>
      </c>
      <c r="MW233" s="128">
        <v>0</v>
      </c>
      <c r="MX233" s="128">
        <v>0</v>
      </c>
      <c r="NB233" s="128">
        <v>24000</v>
      </c>
      <c r="NC233" s="128">
        <v>0</v>
      </c>
      <c r="ND233" s="128">
        <v>0</v>
      </c>
      <c r="NH233" s="128">
        <v>194869</v>
      </c>
      <c r="NI233" s="128">
        <v>0</v>
      </c>
      <c r="NJ233" s="128">
        <v>0</v>
      </c>
      <c r="NN233" s="128">
        <v>0</v>
      </c>
      <c r="NO233" s="128">
        <v>0</v>
      </c>
      <c r="NP233" s="128">
        <v>0</v>
      </c>
      <c r="NT233" s="128">
        <v>35000</v>
      </c>
      <c r="NU233" s="128">
        <v>0</v>
      </c>
      <c r="NV233" s="128">
        <v>0</v>
      </c>
      <c r="NZ233" s="128">
        <v>158000</v>
      </c>
      <c r="OA233" s="128">
        <v>0</v>
      </c>
      <c r="OB233" s="128">
        <v>0</v>
      </c>
      <c r="OF233" s="128">
        <v>8000</v>
      </c>
      <c r="OG233" s="128">
        <v>0</v>
      </c>
      <c r="OH233" s="128">
        <v>0</v>
      </c>
      <c r="OL233" s="128">
        <v>0</v>
      </c>
      <c r="OM233" s="128">
        <v>0</v>
      </c>
      <c r="ON233" s="128">
        <v>0</v>
      </c>
      <c r="OR233" s="128">
        <v>0</v>
      </c>
      <c r="OS233" s="128">
        <v>0</v>
      </c>
      <c r="OT233" s="128">
        <v>0</v>
      </c>
      <c r="OX233" s="128">
        <v>98350</v>
      </c>
      <c r="OY233" s="128">
        <v>0</v>
      </c>
      <c r="OZ233" s="128">
        <v>0</v>
      </c>
      <c r="PD233" s="128">
        <v>132000</v>
      </c>
      <c r="PE233" s="128">
        <v>0</v>
      </c>
      <c r="PF233" s="128">
        <v>0</v>
      </c>
      <c r="PJ233" s="128">
        <v>56700</v>
      </c>
      <c r="PK233" s="128">
        <v>0</v>
      </c>
      <c r="PL233" s="128">
        <v>0</v>
      </c>
      <c r="PP233" s="128">
        <v>10400419</v>
      </c>
      <c r="PQ233" s="128">
        <v>8082419</v>
      </c>
      <c r="PR233" s="128">
        <v>8082419</v>
      </c>
      <c r="PS233" s="128">
        <v>100</v>
      </c>
      <c r="PT233" s="128">
        <v>100</v>
      </c>
      <c r="PV233" s="128">
        <v>6885840</v>
      </c>
      <c r="PX233" s="128">
        <v>6012710</v>
      </c>
      <c r="PY233" s="128">
        <v>6459380</v>
      </c>
      <c r="PZ233" s="128">
        <v>8082419</v>
      </c>
      <c r="QA233" s="128">
        <v>0</v>
      </c>
      <c r="QB233" s="128">
        <v>0</v>
      </c>
      <c r="QC233" s="128">
        <v>0</v>
      </c>
      <c r="QD233" s="128">
        <v>575850</v>
      </c>
      <c r="QE233" s="128">
        <v>1300000</v>
      </c>
      <c r="QF233" s="128">
        <v>200000</v>
      </c>
      <c r="QG233" s="128">
        <v>0</v>
      </c>
      <c r="QH233" s="128">
        <v>0</v>
      </c>
      <c r="QI233" s="128">
        <v>0</v>
      </c>
      <c r="QJ233" s="128">
        <v>2283698</v>
      </c>
      <c r="QK233" s="128">
        <v>2300000</v>
      </c>
      <c r="QL233" s="128">
        <v>2115000</v>
      </c>
      <c r="QN233" s="128">
        <v>0</v>
      </c>
      <c r="QO233" s="128">
        <v>0</v>
      </c>
      <c r="QP233" s="128">
        <v>0</v>
      </c>
      <c r="QX233" s="128">
        <v>4000</v>
      </c>
      <c r="QY233" s="128">
        <v>3000</v>
      </c>
      <c r="QZ233" s="128">
        <v>3000</v>
      </c>
      <c r="RH233" s="128">
        <f t="shared" si="412"/>
        <v>8285419</v>
      </c>
      <c r="RI233" s="128">
        <v>0</v>
      </c>
      <c r="RM233" s="128" t="s">
        <v>220</v>
      </c>
      <c r="RU233" s="130"/>
      <c r="RV233" s="130"/>
      <c r="RW233" s="130"/>
      <c r="RX233" s="130"/>
      <c r="SF233" s="128">
        <f t="shared" si="322"/>
        <v>1225073</v>
      </c>
      <c r="SG233" s="131">
        <f t="shared" si="323"/>
        <v>10400419</v>
      </c>
      <c r="SH233" s="131">
        <f t="shared" si="324"/>
        <v>10400419</v>
      </c>
      <c r="SI233" s="131">
        <f t="shared" si="325"/>
        <v>8581500</v>
      </c>
      <c r="SJ233" s="132">
        <f t="shared" si="326"/>
        <v>8581500</v>
      </c>
      <c r="SK233" s="132">
        <f t="shared" si="327"/>
        <v>0</v>
      </c>
      <c r="SL233" s="132">
        <f t="shared" si="328"/>
        <v>0</v>
      </c>
      <c r="SM233" s="132">
        <f t="shared" si="329"/>
        <v>0</v>
      </c>
      <c r="SN233" s="131">
        <f t="shared" si="330"/>
        <v>1818919</v>
      </c>
      <c r="SO233" s="131">
        <f t="shared" si="331"/>
        <v>74000</v>
      </c>
      <c r="SP233" s="132">
        <f t="shared" si="332"/>
        <v>0</v>
      </c>
      <c r="SQ233" s="132">
        <f t="shared" si="333"/>
        <v>74000</v>
      </c>
      <c r="SR233" s="132">
        <f t="shared" si="334"/>
        <v>450000</v>
      </c>
      <c r="SS233" s="132">
        <f t="shared" si="335"/>
        <v>10000</v>
      </c>
      <c r="ST233" s="132">
        <f t="shared" si="336"/>
        <v>100000</v>
      </c>
      <c r="SU233" s="132">
        <f t="shared" si="337"/>
        <v>220000</v>
      </c>
      <c r="SV233" s="131">
        <f t="shared" si="338"/>
        <v>776219</v>
      </c>
      <c r="SW233" s="132">
        <f t="shared" si="339"/>
        <v>258000</v>
      </c>
      <c r="SX233" s="132">
        <f t="shared" si="340"/>
        <v>24000</v>
      </c>
      <c r="SY233" s="132">
        <f t="shared" si="341"/>
        <v>194869</v>
      </c>
      <c r="SZ233" s="132">
        <f t="shared" si="342"/>
        <v>0</v>
      </c>
      <c r="TA233" s="132">
        <f t="shared" si="343"/>
        <v>35000</v>
      </c>
      <c r="TB233" s="132">
        <f t="shared" si="344"/>
        <v>158000</v>
      </c>
      <c r="TC233" s="132">
        <f t="shared" si="345"/>
        <v>8000</v>
      </c>
      <c r="TD233" s="132">
        <f t="shared" si="346"/>
        <v>0</v>
      </c>
      <c r="TE233" s="132">
        <f t="shared" si="347"/>
        <v>0</v>
      </c>
      <c r="TF233" s="132">
        <f t="shared" si="348"/>
        <v>98350</v>
      </c>
      <c r="TG233" s="132">
        <f t="shared" si="349"/>
        <v>132000</v>
      </c>
      <c r="TH233" s="132">
        <f t="shared" si="350"/>
        <v>56700</v>
      </c>
      <c r="TI233" s="1"/>
      <c r="TJ233" s="131">
        <f t="shared" si="351"/>
        <v>8082419</v>
      </c>
      <c r="TK233" s="131">
        <f t="shared" si="352"/>
        <v>8082419</v>
      </c>
      <c r="TL233" s="131">
        <f t="shared" si="353"/>
        <v>8082419</v>
      </c>
      <c r="TM233" s="132">
        <f t="shared" si="354"/>
        <v>8082419</v>
      </c>
      <c r="TN233" s="132">
        <f t="shared" si="355"/>
        <v>0</v>
      </c>
      <c r="TO233" s="132">
        <f t="shared" si="356"/>
        <v>0</v>
      </c>
      <c r="TP233" s="132">
        <f t="shared" si="357"/>
        <v>0</v>
      </c>
      <c r="TQ233" s="131">
        <f t="shared" si="358"/>
        <v>0</v>
      </c>
      <c r="TR233" s="131">
        <f t="shared" si="359"/>
        <v>0</v>
      </c>
      <c r="TS233" s="132">
        <f t="shared" si="360"/>
        <v>0</v>
      </c>
      <c r="TT233" s="132">
        <f t="shared" si="361"/>
        <v>0</v>
      </c>
      <c r="TU233" s="132">
        <f t="shared" si="362"/>
        <v>0</v>
      </c>
      <c r="TV233" s="132">
        <f t="shared" si="363"/>
        <v>0</v>
      </c>
      <c r="TW233" s="132">
        <f t="shared" si="364"/>
        <v>0</v>
      </c>
      <c r="TX233" s="132">
        <f t="shared" si="365"/>
        <v>0</v>
      </c>
      <c r="TY233" s="131">
        <f t="shared" si="366"/>
        <v>0</v>
      </c>
      <c r="TZ233" s="132">
        <f t="shared" si="367"/>
        <v>0</v>
      </c>
      <c r="UA233" s="132">
        <f t="shared" si="368"/>
        <v>0</v>
      </c>
      <c r="UB233" s="132">
        <f t="shared" si="369"/>
        <v>0</v>
      </c>
      <c r="UC233" s="132">
        <f t="shared" si="370"/>
        <v>0</v>
      </c>
      <c r="UD233" s="132">
        <f t="shared" si="371"/>
        <v>0</v>
      </c>
      <c r="UE233" s="132">
        <f t="shared" si="372"/>
        <v>0</v>
      </c>
      <c r="UF233" s="132">
        <f t="shared" si="373"/>
        <v>0</v>
      </c>
      <c r="UG233" s="132">
        <f t="shared" si="374"/>
        <v>0</v>
      </c>
      <c r="UH233" s="132">
        <f t="shared" si="375"/>
        <v>0</v>
      </c>
      <c r="UI233" s="132">
        <f t="shared" si="376"/>
        <v>0</v>
      </c>
      <c r="UJ233" s="132">
        <f t="shared" si="377"/>
        <v>0</v>
      </c>
      <c r="UK233" s="132">
        <f t="shared" si="378"/>
        <v>0</v>
      </c>
      <c r="UL233" s="132">
        <f t="shared" si="413"/>
        <v>8082419</v>
      </c>
      <c r="UM233" s="131">
        <f t="shared" si="379"/>
        <v>8082419</v>
      </c>
      <c r="UN233" s="131">
        <f t="shared" si="380"/>
        <v>8082419</v>
      </c>
      <c r="UO233" s="131">
        <f t="shared" si="381"/>
        <v>8082419</v>
      </c>
      <c r="UP233" s="132">
        <f t="shared" si="382"/>
        <v>8082419</v>
      </c>
      <c r="UQ233" s="132">
        <f t="shared" si="383"/>
        <v>0</v>
      </c>
      <c r="UR233" s="132">
        <f t="shared" si="384"/>
        <v>0</v>
      </c>
      <c r="US233" s="132">
        <f t="shared" si="385"/>
        <v>0</v>
      </c>
      <c r="UT233" s="131">
        <f t="shared" si="386"/>
        <v>0</v>
      </c>
      <c r="UU233" s="131">
        <f t="shared" si="387"/>
        <v>0</v>
      </c>
      <c r="UV233" s="132">
        <f t="shared" si="388"/>
        <v>0</v>
      </c>
      <c r="UW233" s="132">
        <f t="shared" si="389"/>
        <v>0</v>
      </c>
      <c r="UX233" s="132">
        <f t="shared" si="390"/>
        <v>0</v>
      </c>
      <c r="UY233" s="132">
        <f t="shared" si="391"/>
        <v>0</v>
      </c>
      <c r="UZ233" s="132">
        <f t="shared" si="392"/>
        <v>0</v>
      </c>
      <c r="VA233" s="132">
        <f t="shared" si="393"/>
        <v>0</v>
      </c>
      <c r="VB233" s="131">
        <f t="shared" si="394"/>
        <v>0</v>
      </c>
      <c r="VC233" s="132">
        <f t="shared" si="395"/>
        <v>0</v>
      </c>
      <c r="VD233" s="132">
        <f t="shared" si="396"/>
        <v>0</v>
      </c>
      <c r="VE233" s="132">
        <f t="shared" si="397"/>
        <v>0</v>
      </c>
      <c r="VF233" s="132">
        <f t="shared" si="398"/>
        <v>0</v>
      </c>
      <c r="VG233" s="132">
        <f t="shared" si="399"/>
        <v>0</v>
      </c>
      <c r="VH233" s="132">
        <f t="shared" si="400"/>
        <v>0</v>
      </c>
      <c r="VI233" s="132">
        <f t="shared" si="401"/>
        <v>0</v>
      </c>
      <c r="VJ233" s="132">
        <f t="shared" si="402"/>
        <v>0</v>
      </c>
      <c r="VK233" s="132">
        <f t="shared" si="403"/>
        <v>0</v>
      </c>
      <c r="VL233" s="132">
        <f t="shared" si="404"/>
        <v>0</v>
      </c>
      <c r="VM233" s="132">
        <f t="shared" si="405"/>
        <v>0</v>
      </c>
      <c r="VN233" s="132">
        <f t="shared" si="406"/>
        <v>0</v>
      </c>
      <c r="VP233" s="845" t="str">
        <f>IFERROR(HLOOKUP(F233,'Hodnocení '!$C$1:$JH$5,2,FALSE),0)</f>
        <v>Sociální služby města Jičína, Pečovatelská služba</v>
      </c>
      <c r="VQ233" s="838"/>
      <c r="VR233" s="845" t="str">
        <f t="shared" si="414"/>
        <v>Příspěvková organizace zřízená územním samosprávným celkem</v>
      </c>
      <c r="VS233" s="845" t="str">
        <f>IFERROR(HLOOKUP(F233,'Hodnocení '!$C$1:$JH$5,5,FALSE),0)</f>
        <v>Obce</v>
      </c>
      <c r="VT233" s="838" t="str">
        <f t="shared" si="415"/>
        <v>Příspěvková organizace zřízená územním samosprávným celkem</v>
      </c>
      <c r="VU233" s="838">
        <f t="shared" si="416"/>
        <v>0</v>
      </c>
      <c r="VV233" s="838">
        <f t="shared" si="417"/>
        <v>2115000</v>
      </c>
      <c r="VW233" s="838">
        <f t="shared" si="418"/>
        <v>0</v>
      </c>
      <c r="VX233" s="838"/>
      <c r="VY233" s="838">
        <f t="shared" si="419"/>
        <v>0</v>
      </c>
      <c r="VZ233" s="838">
        <f t="shared" si="420"/>
        <v>8082419</v>
      </c>
      <c r="WA233" s="846">
        <f>IFERROR(HLOOKUP($F233,'Hodnocení '!$C$1:$JH$9,9,FALSE),0)</f>
        <v>8082419</v>
      </c>
      <c r="WB233" s="846">
        <f>IF(IFERROR(HLOOKUP($F233,'Hodnocení '!$C$1:$JH$13,13,FALSE),0)&gt;WA233,WA233,IFERROR(HLOOKUP($F233,'Hodnocení '!$C$1:$JH$13,13,FALSE),0))</f>
        <v>7963831.4799554544</v>
      </c>
      <c r="WC233" s="846">
        <f>IFERROR(HLOOKUP($F233,'Hodnocení '!$C$1:$JH$155,155,FALSE),0)</f>
        <v>7003030</v>
      </c>
      <c r="WD233" s="845"/>
      <c r="WE233" s="845"/>
      <c r="WF233" s="845" t="str">
        <f t="shared" si="407"/>
        <v>ANO</v>
      </c>
      <c r="WG233" s="849" t="str">
        <f t="shared" si="421"/>
        <v>Podpora služby je vyjádřena zařazením do sítě sociálních služeb v KHK a řešením financování služby</v>
      </c>
      <c r="WH233"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33" s="849" t="str">
        <f t="shared" si="421"/>
        <v>Návrh dotace je výsledkem projednání s ostatními zadavateli v rámci sítě služeb KHK</v>
      </c>
      <c r="WJ233" s="849" t="str">
        <f t="shared" si="421"/>
        <v>Bez komentáře</v>
      </c>
      <c r="WK233" s="31" t="str">
        <f t="shared" si="408"/>
        <v>Výše příspěvku ze strany zřizovatele bude řešen v návaznosti na řešení podílů jednotlivých zadavatelů</v>
      </c>
      <c r="WL233" s="850">
        <f t="shared" si="409"/>
        <v>0</v>
      </c>
      <c r="WM233" s="849" t="str">
        <f t="shared" si="410"/>
        <v>V rámci sítě KHK se dlouhodobě řeší otázka navyšování úhrad a průběžně se monitoruje s vazbou na vykrytí vyrovnávací platby</v>
      </c>
      <c r="WN233" s="849">
        <f t="shared" si="411"/>
        <v>0</v>
      </c>
      <c r="WO233" s="849" t="str">
        <f t="shared" si="321"/>
        <v>bez komentáře</v>
      </c>
      <c r="WP233" s="849" t="str">
        <f t="shared" si="321"/>
        <v>bez komentáře</v>
      </c>
      <c r="WQ233" s="849" t="str">
        <f t="shared" si="321"/>
        <v>Konečná výše dotace z rozpočtu KHK bude řešena v návaznosti na řešení podílů jednotlivých zadavatelů.</v>
      </c>
      <c r="WR233" s="849" t="str">
        <f t="shared" si="321"/>
        <v>Konečná výše podpory ze stran obcí bude řešena v součinnosti s jednotlivými zadavateli v průběhu roku.</v>
      </c>
      <c r="WS233" s="849" t="str">
        <f t="shared" si="321"/>
        <v>bez komentáře</v>
      </c>
      <c r="WT233" s="849" t="str">
        <f t="shared" si="321"/>
        <v>bez komentáře</v>
      </c>
      <c r="WU233" s="845"/>
    </row>
    <row r="234" spans="1:619" s="128" customFormat="1" x14ac:dyDescent="0.25">
      <c r="A234" s="128" t="str">
        <f>VLOOKUP(F234,'Výpočet VP 2020'!$D$324:$I$588,6,FALSE)</f>
        <v>Je v síti</v>
      </c>
      <c r="B234" s="128" t="s">
        <v>947</v>
      </c>
      <c r="C234" s="128">
        <v>70888167</v>
      </c>
      <c r="D234" s="128" t="s">
        <v>948</v>
      </c>
      <c r="E234" s="128" t="s">
        <v>259</v>
      </c>
      <c r="F234" s="128">
        <v>4381530</v>
      </c>
      <c r="G234" s="128" t="s">
        <v>348</v>
      </c>
      <c r="H234" s="128" t="s">
        <v>218</v>
      </c>
      <c r="I234" s="128" t="s">
        <v>390</v>
      </c>
      <c r="J234" s="129">
        <v>39083</v>
      </c>
      <c r="L234" s="128" t="s">
        <v>220</v>
      </c>
      <c r="M234" s="128" t="s">
        <v>950</v>
      </c>
      <c r="N234" s="128">
        <v>61</v>
      </c>
      <c r="P234" s="128">
        <v>83</v>
      </c>
      <c r="Q234" s="128">
        <v>76</v>
      </c>
      <c r="R234" s="128">
        <v>79</v>
      </c>
      <c r="BL234" s="128" t="s">
        <v>351</v>
      </c>
      <c r="BM234" s="128" t="s">
        <v>325</v>
      </c>
      <c r="BN234" s="128" t="s">
        <v>326</v>
      </c>
      <c r="DA234" s="128">
        <v>0</v>
      </c>
      <c r="DB234" s="128">
        <v>0</v>
      </c>
      <c r="DC234" s="128">
        <v>0</v>
      </c>
      <c r="DD234" s="128">
        <v>0</v>
      </c>
      <c r="DE234" s="128">
        <v>0</v>
      </c>
      <c r="DF234" s="128">
        <v>1</v>
      </c>
      <c r="DG234" s="128">
        <v>2</v>
      </c>
      <c r="DH234" s="128">
        <v>15</v>
      </c>
      <c r="DI234" s="128">
        <v>43</v>
      </c>
      <c r="DJ234" s="128">
        <v>0</v>
      </c>
      <c r="DK234" s="128">
        <v>1</v>
      </c>
      <c r="DL234" s="128">
        <v>2</v>
      </c>
      <c r="DM234" s="128">
        <v>15</v>
      </c>
      <c r="DN234" s="128">
        <v>43</v>
      </c>
      <c r="DO234" s="128">
        <v>0</v>
      </c>
      <c r="DP234" s="128">
        <v>0</v>
      </c>
      <c r="DQ234" s="128">
        <v>61</v>
      </c>
      <c r="DR234" s="128">
        <v>61</v>
      </c>
      <c r="DS234" s="128">
        <v>0</v>
      </c>
      <c r="DT234" s="128">
        <v>0</v>
      </c>
      <c r="DU234" s="128">
        <v>0</v>
      </c>
      <c r="DV234" s="128">
        <v>0</v>
      </c>
      <c r="DW234" s="128">
        <v>0</v>
      </c>
      <c r="DX234" s="128">
        <v>1</v>
      </c>
      <c r="DY234" s="128">
        <v>1</v>
      </c>
      <c r="DZ234" s="128">
        <v>13</v>
      </c>
      <c r="EA234" s="128">
        <v>46</v>
      </c>
      <c r="EB234" s="128">
        <v>0</v>
      </c>
      <c r="EC234" s="128">
        <v>1</v>
      </c>
      <c r="ED234" s="128">
        <v>1</v>
      </c>
      <c r="EE234" s="128">
        <v>13</v>
      </c>
      <c r="EF234" s="128">
        <v>46</v>
      </c>
      <c r="EG234" s="128">
        <v>0</v>
      </c>
      <c r="EH234" s="128">
        <v>0</v>
      </c>
      <c r="EI234" s="128">
        <v>61</v>
      </c>
      <c r="EJ234" s="128">
        <v>61</v>
      </c>
      <c r="EK234" s="128">
        <v>4</v>
      </c>
      <c r="EL234" s="128">
        <v>4</v>
      </c>
      <c r="EM234" s="128">
        <v>4</v>
      </c>
      <c r="EN234" s="128">
        <v>2415050</v>
      </c>
      <c r="EO234" s="128">
        <v>2300000</v>
      </c>
      <c r="EP234" s="128">
        <v>21</v>
      </c>
      <c r="EQ234" s="128">
        <v>21</v>
      </c>
      <c r="ER234" s="128">
        <v>21</v>
      </c>
      <c r="ES234" s="128">
        <v>9593520</v>
      </c>
      <c r="ET234" s="128">
        <v>8300000</v>
      </c>
      <c r="EU234" s="128">
        <v>9</v>
      </c>
      <c r="EV234" s="128">
        <v>8</v>
      </c>
      <c r="EW234" s="128">
        <v>0</v>
      </c>
      <c r="EX234" s="128">
        <v>6204720</v>
      </c>
      <c r="EY234" s="128">
        <v>0</v>
      </c>
      <c r="FO234" s="128">
        <v>24</v>
      </c>
      <c r="FP234" s="128">
        <v>20.6</v>
      </c>
      <c r="FQ234" s="128">
        <v>0</v>
      </c>
      <c r="FR234" s="128">
        <v>10132510</v>
      </c>
      <c r="FS234" s="128">
        <v>6158000</v>
      </c>
      <c r="FZ234" s="128">
        <v>1</v>
      </c>
      <c r="GA234" s="128">
        <v>0.5</v>
      </c>
      <c r="GB234" s="128">
        <v>12</v>
      </c>
      <c r="GC234" s="128">
        <v>0.5</v>
      </c>
      <c r="GD234" s="128">
        <v>50000</v>
      </c>
      <c r="GE234" s="128">
        <v>0</v>
      </c>
      <c r="HD234" s="128">
        <v>1</v>
      </c>
      <c r="HE234" s="128">
        <v>0.5</v>
      </c>
      <c r="HF234" s="128">
        <v>12</v>
      </c>
      <c r="HG234" s="128">
        <v>0.5</v>
      </c>
      <c r="HH234" s="128">
        <v>50000</v>
      </c>
      <c r="HI234" s="128">
        <v>0</v>
      </c>
      <c r="IH234" s="128">
        <v>1</v>
      </c>
      <c r="II234" s="128">
        <v>0.5</v>
      </c>
      <c r="IJ234" s="128">
        <v>12</v>
      </c>
      <c r="IK234" s="128">
        <v>0.5</v>
      </c>
      <c r="IL234" s="128">
        <v>46000</v>
      </c>
      <c r="IM234" s="128">
        <v>0</v>
      </c>
      <c r="IN234" s="128">
        <v>2</v>
      </c>
      <c r="IO234" s="128">
        <v>400</v>
      </c>
      <c r="IP234" s="128">
        <v>0.191</v>
      </c>
      <c r="IQ234" s="128">
        <v>72000</v>
      </c>
      <c r="IR234" s="128">
        <v>0</v>
      </c>
      <c r="IS234" s="128">
        <v>3</v>
      </c>
      <c r="IT234" s="128">
        <v>800</v>
      </c>
      <c r="IU234" s="128">
        <v>0.38200000000000001</v>
      </c>
      <c r="IV234" s="128">
        <v>82000</v>
      </c>
      <c r="IW234" s="128">
        <v>0</v>
      </c>
      <c r="KG234" s="128">
        <v>0</v>
      </c>
      <c r="KI234" s="128">
        <v>33</v>
      </c>
      <c r="KJ234" s="128">
        <v>1</v>
      </c>
      <c r="KK234" s="128">
        <v>0.191</v>
      </c>
      <c r="KL234" s="128">
        <v>0</v>
      </c>
      <c r="KM234" s="128">
        <v>34.191000000000003</v>
      </c>
      <c r="KN234" s="128">
        <v>28345800</v>
      </c>
      <c r="KO234" s="128">
        <v>16758000</v>
      </c>
      <c r="KP234" s="128">
        <v>16758000</v>
      </c>
      <c r="KT234" s="128">
        <v>146000</v>
      </c>
      <c r="KU234" s="128">
        <v>0</v>
      </c>
      <c r="KV234" s="128">
        <v>0</v>
      </c>
      <c r="KZ234" s="128">
        <v>154000</v>
      </c>
      <c r="LA234" s="128">
        <v>0</v>
      </c>
      <c r="LB234" s="128">
        <v>0</v>
      </c>
      <c r="LF234" s="128">
        <v>0</v>
      </c>
      <c r="LG234" s="128">
        <v>0</v>
      </c>
      <c r="LH234" s="128">
        <v>0</v>
      </c>
      <c r="LL234" s="128">
        <v>0</v>
      </c>
      <c r="LM234" s="128">
        <v>0</v>
      </c>
      <c r="LN234" s="128">
        <v>0</v>
      </c>
      <c r="LR234" s="128">
        <v>275000</v>
      </c>
      <c r="LS234" s="128">
        <v>0</v>
      </c>
      <c r="LT234" s="128">
        <v>0</v>
      </c>
      <c r="LX234" s="128">
        <v>2300000</v>
      </c>
      <c r="LY234" s="128">
        <v>0</v>
      </c>
      <c r="LZ234" s="128">
        <v>0</v>
      </c>
      <c r="MD234" s="128">
        <v>45000</v>
      </c>
      <c r="ME234" s="128">
        <v>0</v>
      </c>
      <c r="MF234" s="128">
        <v>0</v>
      </c>
      <c r="MJ234" s="128">
        <v>30000</v>
      </c>
      <c r="MK234" s="128">
        <v>0</v>
      </c>
      <c r="ML234" s="128">
        <v>0</v>
      </c>
      <c r="MP234" s="128">
        <v>842000</v>
      </c>
      <c r="MQ234" s="128">
        <v>0</v>
      </c>
      <c r="MR234" s="128">
        <v>0</v>
      </c>
      <c r="MV234" s="128">
        <v>2120000</v>
      </c>
      <c r="MW234" s="128">
        <v>0</v>
      </c>
      <c r="MX234" s="128">
        <v>0</v>
      </c>
      <c r="NB234" s="128">
        <v>53000</v>
      </c>
      <c r="NC234" s="128">
        <v>0</v>
      </c>
      <c r="ND234" s="128">
        <v>0</v>
      </c>
      <c r="NH234" s="128">
        <v>0</v>
      </c>
      <c r="NI234" s="128">
        <v>0</v>
      </c>
      <c r="NJ234" s="128">
        <v>0</v>
      </c>
      <c r="NN234" s="128">
        <v>0</v>
      </c>
      <c r="NO234" s="128">
        <v>0</v>
      </c>
      <c r="NP234" s="128">
        <v>0</v>
      </c>
      <c r="NT234" s="128">
        <v>90000</v>
      </c>
      <c r="NU234" s="128">
        <v>0</v>
      </c>
      <c r="NV234" s="128">
        <v>0</v>
      </c>
      <c r="NZ234" s="128">
        <v>465000</v>
      </c>
      <c r="OA234" s="128">
        <v>0</v>
      </c>
      <c r="OB234" s="128">
        <v>0</v>
      </c>
      <c r="OF234" s="128">
        <v>18000</v>
      </c>
      <c r="OG234" s="128">
        <v>0</v>
      </c>
      <c r="OH234" s="128">
        <v>0</v>
      </c>
      <c r="OL234" s="128">
        <v>0</v>
      </c>
      <c r="OM234" s="128">
        <v>0</v>
      </c>
      <c r="ON234" s="128">
        <v>0</v>
      </c>
      <c r="OR234" s="128">
        <v>0</v>
      </c>
      <c r="OS234" s="128">
        <v>0</v>
      </c>
      <c r="OT234" s="128">
        <v>0</v>
      </c>
      <c r="OX234" s="128">
        <v>636200</v>
      </c>
      <c r="OY234" s="128">
        <v>0</v>
      </c>
      <c r="OZ234" s="128">
        <v>0</v>
      </c>
      <c r="PD234" s="128">
        <v>430000</v>
      </c>
      <c r="PE234" s="128">
        <v>0</v>
      </c>
      <c r="PF234" s="128">
        <v>0</v>
      </c>
      <c r="PJ234" s="128">
        <v>173000</v>
      </c>
      <c r="PK234" s="128">
        <v>0</v>
      </c>
      <c r="PL234" s="128">
        <v>0</v>
      </c>
      <c r="PP234" s="128">
        <v>36123000</v>
      </c>
      <c r="PQ234" s="128">
        <v>16758000</v>
      </c>
      <c r="PR234" s="128">
        <v>16758000</v>
      </c>
      <c r="PS234" s="128">
        <v>100</v>
      </c>
      <c r="PT234" s="128">
        <v>100</v>
      </c>
      <c r="PV234" s="128">
        <v>16619782</v>
      </c>
      <c r="PX234" s="128">
        <v>10672100</v>
      </c>
      <c r="PY234" s="128">
        <v>12144452</v>
      </c>
      <c r="PZ234" s="128">
        <v>16758000</v>
      </c>
      <c r="QA234" s="128">
        <v>0</v>
      </c>
      <c r="QB234" s="128">
        <v>0</v>
      </c>
      <c r="QC234" s="128">
        <v>0</v>
      </c>
      <c r="QD234" s="128">
        <v>4118200</v>
      </c>
      <c r="QE234" s="128">
        <v>4385400</v>
      </c>
      <c r="QF234" s="128">
        <v>200000</v>
      </c>
      <c r="QG234" s="128">
        <v>0</v>
      </c>
      <c r="QH234" s="128">
        <v>0</v>
      </c>
      <c r="QI234" s="128">
        <v>0</v>
      </c>
      <c r="QJ234" s="128">
        <v>16897078</v>
      </c>
      <c r="QK234" s="128">
        <v>17061912</v>
      </c>
      <c r="QL234" s="128">
        <v>16915000</v>
      </c>
      <c r="QN234" s="128">
        <v>2179523</v>
      </c>
      <c r="QO234" s="128">
        <v>2300000</v>
      </c>
      <c r="QP234" s="128">
        <v>2200000</v>
      </c>
      <c r="RD234" s="128">
        <v>74630</v>
      </c>
      <c r="RE234" s="128">
        <v>61000</v>
      </c>
      <c r="RF234" s="128">
        <v>50000</v>
      </c>
      <c r="RH234" s="128">
        <f t="shared" si="412"/>
        <v>17008000</v>
      </c>
      <c r="RI234" s="128">
        <v>0</v>
      </c>
      <c r="RM234" s="128" t="s">
        <v>220</v>
      </c>
      <c r="RU234" s="130"/>
      <c r="RV234" s="130"/>
      <c r="RW234" s="130"/>
      <c r="RX234" s="130"/>
      <c r="SF234" s="128">
        <f t="shared" si="322"/>
        <v>4381530</v>
      </c>
      <c r="SG234" s="131">
        <f t="shared" si="323"/>
        <v>36123000</v>
      </c>
      <c r="SH234" s="131">
        <f t="shared" si="324"/>
        <v>36123000</v>
      </c>
      <c r="SI234" s="131">
        <f t="shared" si="325"/>
        <v>28645800</v>
      </c>
      <c r="SJ234" s="132">
        <f t="shared" si="326"/>
        <v>28345800</v>
      </c>
      <c r="SK234" s="132">
        <f t="shared" si="327"/>
        <v>146000</v>
      </c>
      <c r="SL234" s="132">
        <f t="shared" si="328"/>
        <v>154000</v>
      </c>
      <c r="SM234" s="132">
        <f t="shared" si="329"/>
        <v>0</v>
      </c>
      <c r="SN234" s="131">
        <f t="shared" si="330"/>
        <v>7477200</v>
      </c>
      <c r="SO234" s="131">
        <f t="shared" si="331"/>
        <v>275000</v>
      </c>
      <c r="SP234" s="132">
        <f t="shared" si="332"/>
        <v>0</v>
      </c>
      <c r="SQ234" s="132">
        <f t="shared" si="333"/>
        <v>275000</v>
      </c>
      <c r="SR234" s="132">
        <f t="shared" si="334"/>
        <v>2300000</v>
      </c>
      <c r="SS234" s="132">
        <f t="shared" si="335"/>
        <v>45000</v>
      </c>
      <c r="ST234" s="132">
        <f t="shared" si="336"/>
        <v>30000</v>
      </c>
      <c r="SU234" s="132">
        <f t="shared" si="337"/>
        <v>842000</v>
      </c>
      <c r="SV234" s="131">
        <f t="shared" si="338"/>
        <v>3382200</v>
      </c>
      <c r="SW234" s="132">
        <f t="shared" si="339"/>
        <v>2120000</v>
      </c>
      <c r="SX234" s="132">
        <f t="shared" si="340"/>
        <v>53000</v>
      </c>
      <c r="SY234" s="132">
        <f t="shared" si="341"/>
        <v>0</v>
      </c>
      <c r="SZ234" s="132">
        <f t="shared" si="342"/>
        <v>0</v>
      </c>
      <c r="TA234" s="132">
        <f t="shared" si="343"/>
        <v>90000</v>
      </c>
      <c r="TB234" s="132">
        <f t="shared" si="344"/>
        <v>465000</v>
      </c>
      <c r="TC234" s="132">
        <f t="shared" si="345"/>
        <v>18000</v>
      </c>
      <c r="TD234" s="132">
        <f t="shared" si="346"/>
        <v>0</v>
      </c>
      <c r="TE234" s="132">
        <f t="shared" si="347"/>
        <v>0</v>
      </c>
      <c r="TF234" s="132">
        <f t="shared" si="348"/>
        <v>636200</v>
      </c>
      <c r="TG234" s="132">
        <f t="shared" si="349"/>
        <v>430000</v>
      </c>
      <c r="TH234" s="132">
        <f t="shared" si="350"/>
        <v>173000</v>
      </c>
      <c r="TI234" s="1"/>
      <c r="TJ234" s="131">
        <f t="shared" si="351"/>
        <v>16758000</v>
      </c>
      <c r="TK234" s="131">
        <f t="shared" si="352"/>
        <v>16758000</v>
      </c>
      <c r="TL234" s="131">
        <f t="shared" si="353"/>
        <v>16758000</v>
      </c>
      <c r="TM234" s="132">
        <f t="shared" si="354"/>
        <v>16758000</v>
      </c>
      <c r="TN234" s="132">
        <f t="shared" si="355"/>
        <v>0</v>
      </c>
      <c r="TO234" s="132">
        <f t="shared" si="356"/>
        <v>0</v>
      </c>
      <c r="TP234" s="132">
        <f t="shared" si="357"/>
        <v>0</v>
      </c>
      <c r="TQ234" s="131">
        <f t="shared" si="358"/>
        <v>0</v>
      </c>
      <c r="TR234" s="131">
        <f t="shared" si="359"/>
        <v>0</v>
      </c>
      <c r="TS234" s="132">
        <f t="shared" si="360"/>
        <v>0</v>
      </c>
      <c r="TT234" s="132">
        <f t="shared" si="361"/>
        <v>0</v>
      </c>
      <c r="TU234" s="132">
        <f t="shared" si="362"/>
        <v>0</v>
      </c>
      <c r="TV234" s="132">
        <f t="shared" si="363"/>
        <v>0</v>
      </c>
      <c r="TW234" s="132">
        <f t="shared" si="364"/>
        <v>0</v>
      </c>
      <c r="TX234" s="132">
        <f t="shared" si="365"/>
        <v>0</v>
      </c>
      <c r="TY234" s="131">
        <f t="shared" si="366"/>
        <v>0</v>
      </c>
      <c r="TZ234" s="132">
        <f t="shared" si="367"/>
        <v>0</v>
      </c>
      <c r="UA234" s="132">
        <f t="shared" si="368"/>
        <v>0</v>
      </c>
      <c r="UB234" s="132">
        <f t="shared" si="369"/>
        <v>0</v>
      </c>
      <c r="UC234" s="132">
        <f t="shared" si="370"/>
        <v>0</v>
      </c>
      <c r="UD234" s="132">
        <f t="shared" si="371"/>
        <v>0</v>
      </c>
      <c r="UE234" s="132">
        <f t="shared" si="372"/>
        <v>0</v>
      </c>
      <c r="UF234" s="132">
        <f t="shared" si="373"/>
        <v>0</v>
      </c>
      <c r="UG234" s="132">
        <f t="shared" si="374"/>
        <v>0</v>
      </c>
      <c r="UH234" s="132">
        <f t="shared" si="375"/>
        <v>0</v>
      </c>
      <c r="UI234" s="132">
        <f t="shared" si="376"/>
        <v>0</v>
      </c>
      <c r="UJ234" s="132">
        <f t="shared" si="377"/>
        <v>0</v>
      </c>
      <c r="UK234" s="132">
        <f t="shared" si="378"/>
        <v>0</v>
      </c>
      <c r="UL234" s="132">
        <f t="shared" si="413"/>
        <v>16758000</v>
      </c>
      <c r="UM234" s="131">
        <f t="shared" si="379"/>
        <v>16758000</v>
      </c>
      <c r="UN234" s="131">
        <f t="shared" si="380"/>
        <v>16758000</v>
      </c>
      <c r="UO234" s="131">
        <f t="shared" si="381"/>
        <v>16758000</v>
      </c>
      <c r="UP234" s="132">
        <f t="shared" si="382"/>
        <v>16758000</v>
      </c>
      <c r="UQ234" s="132">
        <f t="shared" si="383"/>
        <v>0</v>
      </c>
      <c r="UR234" s="132">
        <f t="shared" si="384"/>
        <v>0</v>
      </c>
      <c r="US234" s="132">
        <f t="shared" si="385"/>
        <v>0</v>
      </c>
      <c r="UT234" s="131">
        <f t="shared" si="386"/>
        <v>0</v>
      </c>
      <c r="UU234" s="131">
        <f t="shared" si="387"/>
        <v>0</v>
      </c>
      <c r="UV234" s="132">
        <f t="shared" si="388"/>
        <v>0</v>
      </c>
      <c r="UW234" s="132">
        <f t="shared" si="389"/>
        <v>0</v>
      </c>
      <c r="UX234" s="132">
        <f t="shared" si="390"/>
        <v>0</v>
      </c>
      <c r="UY234" s="132">
        <f t="shared" si="391"/>
        <v>0</v>
      </c>
      <c r="UZ234" s="132">
        <f t="shared" si="392"/>
        <v>0</v>
      </c>
      <c r="VA234" s="132">
        <f t="shared" si="393"/>
        <v>0</v>
      </c>
      <c r="VB234" s="131">
        <f t="shared" si="394"/>
        <v>0</v>
      </c>
      <c r="VC234" s="132">
        <f t="shared" si="395"/>
        <v>0</v>
      </c>
      <c r="VD234" s="132">
        <f t="shared" si="396"/>
        <v>0</v>
      </c>
      <c r="VE234" s="132">
        <f t="shared" si="397"/>
        <v>0</v>
      </c>
      <c r="VF234" s="132">
        <f t="shared" si="398"/>
        <v>0</v>
      </c>
      <c r="VG234" s="132">
        <f t="shared" si="399"/>
        <v>0</v>
      </c>
      <c r="VH234" s="132">
        <f t="shared" si="400"/>
        <v>0</v>
      </c>
      <c r="VI234" s="132">
        <f t="shared" si="401"/>
        <v>0</v>
      </c>
      <c r="VJ234" s="132">
        <f t="shared" si="402"/>
        <v>0</v>
      </c>
      <c r="VK234" s="132">
        <f t="shared" si="403"/>
        <v>0</v>
      </c>
      <c r="VL234" s="132">
        <f t="shared" si="404"/>
        <v>0</v>
      </c>
      <c r="VM234" s="132">
        <f t="shared" si="405"/>
        <v>0</v>
      </c>
      <c r="VN234" s="132">
        <f t="shared" si="406"/>
        <v>0</v>
      </c>
      <c r="VP234" s="845" t="str">
        <f>IFERROR(HLOOKUP(F234,'Hodnocení '!$C$1:$JH$5,2,FALSE),0)</f>
        <v>Domov pro seniory</v>
      </c>
      <c r="VQ234" s="838"/>
      <c r="VR234" s="845" t="str">
        <f t="shared" si="414"/>
        <v>Příspěvková organizace zřízená územním samosprávným celkem</v>
      </c>
      <c r="VS234" s="845" t="str">
        <f>IFERROR(HLOOKUP(F234,'Hodnocení '!$C$1:$JH$5,5,FALSE),0)</f>
        <v>Obce</v>
      </c>
      <c r="VT234" s="838" t="str">
        <f t="shared" si="415"/>
        <v>Příspěvková organizace zřízená územním samosprávným celkem</v>
      </c>
      <c r="VU234" s="838">
        <f t="shared" si="416"/>
        <v>0</v>
      </c>
      <c r="VV234" s="838">
        <f t="shared" si="417"/>
        <v>16915000</v>
      </c>
      <c r="VW234" s="838">
        <f t="shared" si="418"/>
        <v>2200000</v>
      </c>
      <c r="VX234" s="838"/>
      <c r="VY234" s="838">
        <f t="shared" si="419"/>
        <v>0</v>
      </c>
      <c r="VZ234" s="838">
        <f t="shared" si="420"/>
        <v>16758000</v>
      </c>
      <c r="WA234" s="846">
        <f>IFERROR(HLOOKUP($F234,'Hodnocení '!$C$1:$JH$9,9,FALSE),0)</f>
        <v>16758000</v>
      </c>
      <c r="WB234" s="846">
        <f>IF(IFERROR(HLOOKUP($F234,'Hodnocení '!$C$1:$JH$13,13,FALSE),0)&gt;WA234,WA234,IFERROR(HLOOKUP($F234,'Hodnocení '!$C$1:$JH$13,13,FALSE),0))</f>
        <v>16758000</v>
      </c>
      <c r="WC234" s="846">
        <f>IFERROR(HLOOKUP($F234,'Hodnocení '!$C$1:$JH$155,155,FALSE),0)</f>
        <v>12351200</v>
      </c>
      <c r="WD234" s="845"/>
      <c r="WE234" s="845"/>
      <c r="WF234" s="845" t="str">
        <f t="shared" si="407"/>
        <v>ANO</v>
      </c>
      <c r="WG234" s="849" t="str">
        <f t="shared" si="421"/>
        <v>Podpora služby je vyjádřena zařazením do sítě sociálních služeb v KHK a řešením financování služby</v>
      </c>
      <c r="WH234"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34" s="849" t="str">
        <f t="shared" si="421"/>
        <v>Návrh dotace je výsledkem projednání s ostatními zadavateli v rámci sítě služeb KHK</v>
      </c>
      <c r="WJ234" s="849" t="str">
        <f t="shared" si="421"/>
        <v>Bez komentáře</v>
      </c>
      <c r="WK234" s="31" t="str">
        <f t="shared" si="408"/>
        <v>Výše příspěvku ze strany zřizovatele bude řešen v návaznosti na řešení podílů jednotlivých zadavatelů</v>
      </c>
      <c r="WL234" s="850">
        <f t="shared" si="409"/>
        <v>0</v>
      </c>
      <c r="WM234" s="849" t="str">
        <f t="shared" si="410"/>
        <v>V rámci sítě KHK se dlouhodobě řeší otázka navyšování úhrad a průběžně se monitoruje s vazbou na vykrytí vyrovnávací platby</v>
      </c>
      <c r="WN234" s="849" t="str">
        <f t="shared" si="411"/>
        <v>Otázka výběru od zdravotních pojišťoven je předmětem procesu, který probíhá ve formě jednání se ZP a organizacemi</v>
      </c>
      <c r="WO234" s="849" t="str">
        <f t="shared" si="321"/>
        <v>bez komentáře</v>
      </c>
      <c r="WP234" s="849" t="str">
        <f t="shared" si="321"/>
        <v>bez komentáře</v>
      </c>
      <c r="WQ234" s="849" t="str">
        <f t="shared" si="321"/>
        <v>Konečná výše dotace z rozpočtu KHK bude řešena v návaznosti na řešení podílů jednotlivých zadavatelů.</v>
      </c>
      <c r="WR234" s="849" t="str">
        <f t="shared" si="321"/>
        <v>Konečná výše podpory ze stran obcí bude řešena v součinnosti s jednotlivými zadavateli v průběhu roku.</v>
      </c>
      <c r="WS234" s="849" t="str">
        <f t="shared" si="321"/>
        <v>bez komentáře</v>
      </c>
      <c r="WT234" s="849" t="str">
        <f t="shared" si="321"/>
        <v>bez komentáře</v>
      </c>
      <c r="WU234" s="845"/>
    </row>
    <row r="235" spans="1:619" s="128" customFormat="1" x14ac:dyDescent="0.25">
      <c r="A235" s="128" t="str">
        <f>VLOOKUP(F235,'Výpočet VP 2020'!$D$324:$I$588,6,FALSE)</f>
        <v>Je v síti</v>
      </c>
      <c r="B235" s="128" t="s">
        <v>947</v>
      </c>
      <c r="C235" s="128">
        <v>70888167</v>
      </c>
      <c r="D235" s="128" t="s">
        <v>948</v>
      </c>
      <c r="E235" s="128" t="s">
        <v>259</v>
      </c>
      <c r="F235" s="128">
        <v>4720531</v>
      </c>
      <c r="G235" s="128" t="s">
        <v>783</v>
      </c>
      <c r="H235" s="128" t="s">
        <v>230</v>
      </c>
      <c r="I235" s="128" t="s">
        <v>859</v>
      </c>
      <c r="J235" s="129">
        <v>43040</v>
      </c>
      <c r="L235" s="128" t="s">
        <v>220</v>
      </c>
      <c r="X235" s="128" t="s">
        <v>491</v>
      </c>
      <c r="Y235" s="128">
        <v>6</v>
      </c>
      <c r="AB235" s="128">
        <v>21</v>
      </c>
      <c r="AC235" s="128">
        <v>29</v>
      </c>
      <c r="AD235" s="128">
        <v>30</v>
      </c>
      <c r="BL235" s="128" t="s">
        <v>786</v>
      </c>
      <c r="BM235" s="128" t="s">
        <v>702</v>
      </c>
      <c r="BN235" s="128" t="s">
        <v>424</v>
      </c>
      <c r="EK235" s="128">
        <v>1</v>
      </c>
      <c r="EL235" s="128">
        <v>0.1</v>
      </c>
      <c r="EM235" s="128">
        <v>0.1</v>
      </c>
      <c r="EN235" s="128">
        <v>34000</v>
      </c>
      <c r="EO235" s="128">
        <v>30000</v>
      </c>
      <c r="EP235" s="128">
        <v>1</v>
      </c>
      <c r="EQ235" s="128">
        <v>1</v>
      </c>
      <c r="ER235" s="128">
        <v>1</v>
      </c>
      <c r="ES235" s="128">
        <v>215000</v>
      </c>
      <c r="ET235" s="128">
        <v>200000</v>
      </c>
      <c r="FO235" s="128">
        <v>7</v>
      </c>
      <c r="FP235" s="128">
        <v>0.26</v>
      </c>
      <c r="FQ235" s="128">
        <v>0</v>
      </c>
      <c r="FR235" s="128">
        <v>91120</v>
      </c>
      <c r="FS235" s="128">
        <v>90000</v>
      </c>
      <c r="FZ235" s="128">
        <v>3</v>
      </c>
      <c r="GA235" s="128">
        <v>1.5</v>
      </c>
      <c r="GB235" s="128">
        <v>6</v>
      </c>
      <c r="GC235" s="128">
        <v>0.25</v>
      </c>
      <c r="GD235" s="128">
        <v>92000</v>
      </c>
      <c r="GE235" s="128">
        <v>90000</v>
      </c>
      <c r="IN235" s="128">
        <v>3</v>
      </c>
      <c r="IO235" s="128">
        <v>900</v>
      </c>
      <c r="IP235" s="128">
        <v>0.42899999999999999</v>
      </c>
      <c r="IQ235" s="128">
        <v>108000</v>
      </c>
      <c r="IR235" s="128">
        <v>105000</v>
      </c>
      <c r="KG235" s="128">
        <v>0</v>
      </c>
      <c r="KI235" s="128">
        <v>1.1000000000000001</v>
      </c>
      <c r="KJ235" s="128">
        <v>0.25</v>
      </c>
      <c r="KK235" s="128">
        <v>0.42899999999999999</v>
      </c>
      <c r="KL235" s="128">
        <v>0</v>
      </c>
      <c r="KM235" s="128">
        <v>1.7789999999999999</v>
      </c>
      <c r="KN235" s="128">
        <v>340120</v>
      </c>
      <c r="KO235" s="128">
        <v>320000</v>
      </c>
      <c r="KP235" s="128">
        <v>320000</v>
      </c>
      <c r="KT235" s="128">
        <v>92000</v>
      </c>
      <c r="KU235" s="128">
        <v>90000</v>
      </c>
      <c r="KV235" s="128">
        <v>90000</v>
      </c>
      <c r="KZ235" s="128">
        <v>108000</v>
      </c>
      <c r="LA235" s="128">
        <v>105000</v>
      </c>
      <c r="LB235" s="128">
        <v>105000</v>
      </c>
      <c r="LF235" s="128">
        <v>0</v>
      </c>
      <c r="LG235" s="128">
        <v>0</v>
      </c>
      <c r="LH235" s="128">
        <v>0</v>
      </c>
      <c r="LL235" s="128">
        <v>0</v>
      </c>
      <c r="LM235" s="128">
        <v>0</v>
      </c>
      <c r="LN235" s="128">
        <v>0</v>
      </c>
      <c r="LR235" s="128">
        <v>12000</v>
      </c>
      <c r="LS235" s="128">
        <v>6000</v>
      </c>
      <c r="LT235" s="128">
        <v>6000</v>
      </c>
      <c r="LX235" s="128">
        <v>0</v>
      </c>
      <c r="LY235" s="128">
        <v>0</v>
      </c>
      <c r="LZ235" s="128">
        <v>0</v>
      </c>
      <c r="MD235" s="128">
        <v>1000</v>
      </c>
      <c r="ME235" s="128">
        <v>0</v>
      </c>
      <c r="MF235" s="128">
        <v>0</v>
      </c>
      <c r="MJ235" s="128">
        <v>500</v>
      </c>
      <c r="MK235" s="128">
        <v>0</v>
      </c>
      <c r="ML235" s="128">
        <v>0</v>
      </c>
      <c r="MP235" s="128">
        <v>15500</v>
      </c>
      <c r="MQ235" s="128">
        <v>5500</v>
      </c>
      <c r="MR235" s="128">
        <v>5500</v>
      </c>
      <c r="MV235" s="128">
        <v>0</v>
      </c>
      <c r="MW235" s="128">
        <v>0</v>
      </c>
      <c r="MX235" s="128">
        <v>0</v>
      </c>
      <c r="NB235" s="128">
        <v>600</v>
      </c>
      <c r="NC235" s="128">
        <v>0</v>
      </c>
      <c r="ND235" s="128">
        <v>0</v>
      </c>
      <c r="NH235" s="128">
        <v>81900</v>
      </c>
      <c r="NI235" s="128">
        <v>75000</v>
      </c>
      <c r="NJ235" s="128">
        <v>75000</v>
      </c>
      <c r="NN235" s="128">
        <v>0</v>
      </c>
      <c r="NO235" s="128">
        <v>0</v>
      </c>
      <c r="NP235" s="128">
        <v>0</v>
      </c>
      <c r="NT235" s="128">
        <v>500</v>
      </c>
      <c r="NU235" s="128">
        <v>0</v>
      </c>
      <c r="NV235" s="128">
        <v>0</v>
      </c>
      <c r="NZ235" s="128">
        <v>2730</v>
      </c>
      <c r="OA235" s="128">
        <v>0</v>
      </c>
      <c r="OB235" s="128">
        <v>0</v>
      </c>
      <c r="OF235" s="128">
        <v>300</v>
      </c>
      <c r="OG235" s="128">
        <v>0</v>
      </c>
      <c r="OH235" s="128">
        <v>0</v>
      </c>
      <c r="OL235" s="128">
        <v>0</v>
      </c>
      <c r="OM235" s="128">
        <v>0</v>
      </c>
      <c r="ON235" s="128">
        <v>0</v>
      </c>
      <c r="OR235" s="128">
        <v>0</v>
      </c>
      <c r="OS235" s="128">
        <v>0</v>
      </c>
      <c r="OT235" s="128">
        <v>0</v>
      </c>
      <c r="OX235" s="128">
        <v>4150</v>
      </c>
      <c r="OY235" s="128">
        <v>0</v>
      </c>
      <c r="OZ235" s="128">
        <v>0</v>
      </c>
      <c r="PD235" s="128">
        <v>0</v>
      </c>
      <c r="PE235" s="128">
        <v>0</v>
      </c>
      <c r="PF235" s="128">
        <v>0</v>
      </c>
      <c r="PJ235" s="128">
        <v>4200</v>
      </c>
      <c r="PK235" s="128">
        <v>0</v>
      </c>
      <c r="PL235" s="128">
        <v>0</v>
      </c>
      <c r="PP235" s="128">
        <v>663500</v>
      </c>
      <c r="PQ235" s="128">
        <v>601500</v>
      </c>
      <c r="PR235" s="128">
        <v>601500</v>
      </c>
      <c r="PS235" s="128">
        <v>100</v>
      </c>
      <c r="PT235" s="128">
        <v>100</v>
      </c>
      <c r="PX235" s="128">
        <v>443400</v>
      </c>
      <c r="PY235" s="128">
        <v>477570</v>
      </c>
      <c r="PZ235" s="128">
        <v>601500</v>
      </c>
      <c r="QA235" s="128">
        <v>0</v>
      </c>
      <c r="QB235" s="128">
        <v>0</v>
      </c>
      <c r="QC235" s="128">
        <v>0</v>
      </c>
      <c r="QD235" s="128">
        <v>205800</v>
      </c>
      <c r="QE235" s="128">
        <v>190000</v>
      </c>
      <c r="QF235" s="128">
        <v>50000</v>
      </c>
      <c r="QG235" s="128">
        <v>0</v>
      </c>
      <c r="QH235" s="128">
        <v>0</v>
      </c>
      <c r="QI235" s="128">
        <v>0</v>
      </c>
      <c r="QJ235" s="128">
        <v>15680</v>
      </c>
      <c r="QK235" s="128">
        <v>12000</v>
      </c>
      <c r="QL235" s="128">
        <v>12000</v>
      </c>
      <c r="QN235" s="128">
        <v>0</v>
      </c>
      <c r="QO235" s="128">
        <v>0</v>
      </c>
      <c r="QP235" s="128">
        <v>0</v>
      </c>
      <c r="RH235" s="128">
        <f t="shared" si="412"/>
        <v>651500</v>
      </c>
      <c r="RI235" s="128">
        <v>0</v>
      </c>
      <c r="RM235" s="128" t="s">
        <v>220</v>
      </c>
      <c r="RU235" s="130"/>
      <c r="RV235" s="130"/>
      <c r="RW235" s="130"/>
      <c r="RX235" s="130"/>
      <c r="SF235" s="128">
        <f t="shared" si="322"/>
        <v>4720531</v>
      </c>
      <c r="SG235" s="131">
        <f t="shared" si="323"/>
        <v>663500</v>
      </c>
      <c r="SH235" s="131">
        <f t="shared" si="324"/>
        <v>663500</v>
      </c>
      <c r="SI235" s="131">
        <f t="shared" si="325"/>
        <v>540120</v>
      </c>
      <c r="SJ235" s="132">
        <f t="shared" si="326"/>
        <v>340120</v>
      </c>
      <c r="SK235" s="132">
        <f t="shared" si="327"/>
        <v>92000</v>
      </c>
      <c r="SL235" s="132">
        <f t="shared" si="328"/>
        <v>108000</v>
      </c>
      <c r="SM235" s="132">
        <f t="shared" si="329"/>
        <v>0</v>
      </c>
      <c r="SN235" s="131">
        <f t="shared" si="330"/>
        <v>123380</v>
      </c>
      <c r="SO235" s="131">
        <f t="shared" si="331"/>
        <v>12000</v>
      </c>
      <c r="SP235" s="132">
        <f t="shared" si="332"/>
        <v>0</v>
      </c>
      <c r="SQ235" s="132">
        <f t="shared" si="333"/>
        <v>12000</v>
      </c>
      <c r="SR235" s="132">
        <f t="shared" si="334"/>
        <v>0</v>
      </c>
      <c r="SS235" s="132">
        <f t="shared" si="335"/>
        <v>1000</v>
      </c>
      <c r="ST235" s="132">
        <f t="shared" si="336"/>
        <v>500</v>
      </c>
      <c r="SU235" s="132">
        <f t="shared" si="337"/>
        <v>15500</v>
      </c>
      <c r="SV235" s="131">
        <f t="shared" si="338"/>
        <v>90180</v>
      </c>
      <c r="SW235" s="132">
        <f t="shared" si="339"/>
        <v>0</v>
      </c>
      <c r="SX235" s="132">
        <f t="shared" si="340"/>
        <v>600</v>
      </c>
      <c r="SY235" s="132">
        <f t="shared" si="341"/>
        <v>81900</v>
      </c>
      <c r="SZ235" s="132">
        <f t="shared" si="342"/>
        <v>0</v>
      </c>
      <c r="TA235" s="132">
        <f t="shared" si="343"/>
        <v>500</v>
      </c>
      <c r="TB235" s="132">
        <f t="shared" si="344"/>
        <v>2730</v>
      </c>
      <c r="TC235" s="132">
        <f t="shared" si="345"/>
        <v>300</v>
      </c>
      <c r="TD235" s="132">
        <f t="shared" si="346"/>
        <v>0</v>
      </c>
      <c r="TE235" s="132">
        <f t="shared" si="347"/>
        <v>0</v>
      </c>
      <c r="TF235" s="132">
        <f t="shared" si="348"/>
        <v>4150</v>
      </c>
      <c r="TG235" s="132">
        <f t="shared" si="349"/>
        <v>0</v>
      </c>
      <c r="TH235" s="132">
        <f t="shared" si="350"/>
        <v>4200</v>
      </c>
      <c r="TI235" s="1"/>
      <c r="TJ235" s="131">
        <f t="shared" si="351"/>
        <v>601500</v>
      </c>
      <c r="TK235" s="131">
        <f t="shared" si="352"/>
        <v>601500</v>
      </c>
      <c r="TL235" s="131">
        <f t="shared" si="353"/>
        <v>515000</v>
      </c>
      <c r="TM235" s="132">
        <f t="shared" si="354"/>
        <v>320000</v>
      </c>
      <c r="TN235" s="132">
        <f t="shared" si="355"/>
        <v>90000</v>
      </c>
      <c r="TO235" s="132">
        <f t="shared" si="356"/>
        <v>105000</v>
      </c>
      <c r="TP235" s="132">
        <f t="shared" si="357"/>
        <v>0</v>
      </c>
      <c r="TQ235" s="131">
        <f t="shared" si="358"/>
        <v>86500</v>
      </c>
      <c r="TR235" s="131">
        <f t="shared" si="359"/>
        <v>6000</v>
      </c>
      <c r="TS235" s="132">
        <f t="shared" si="360"/>
        <v>0</v>
      </c>
      <c r="TT235" s="132">
        <f t="shared" si="361"/>
        <v>6000</v>
      </c>
      <c r="TU235" s="132">
        <f t="shared" si="362"/>
        <v>0</v>
      </c>
      <c r="TV235" s="132">
        <f t="shared" si="363"/>
        <v>0</v>
      </c>
      <c r="TW235" s="132">
        <f t="shared" si="364"/>
        <v>0</v>
      </c>
      <c r="TX235" s="132">
        <f t="shared" si="365"/>
        <v>5500</v>
      </c>
      <c r="TY235" s="131">
        <f t="shared" si="366"/>
        <v>75000</v>
      </c>
      <c r="TZ235" s="132">
        <f t="shared" si="367"/>
        <v>0</v>
      </c>
      <c r="UA235" s="132">
        <f t="shared" si="368"/>
        <v>0</v>
      </c>
      <c r="UB235" s="132">
        <f t="shared" si="369"/>
        <v>75000</v>
      </c>
      <c r="UC235" s="132">
        <f t="shared" si="370"/>
        <v>0</v>
      </c>
      <c r="UD235" s="132">
        <f t="shared" si="371"/>
        <v>0</v>
      </c>
      <c r="UE235" s="132">
        <f t="shared" si="372"/>
        <v>0</v>
      </c>
      <c r="UF235" s="132">
        <f t="shared" si="373"/>
        <v>0</v>
      </c>
      <c r="UG235" s="132">
        <f t="shared" si="374"/>
        <v>0</v>
      </c>
      <c r="UH235" s="132">
        <f t="shared" si="375"/>
        <v>0</v>
      </c>
      <c r="UI235" s="132">
        <f t="shared" si="376"/>
        <v>0</v>
      </c>
      <c r="UJ235" s="132">
        <f t="shared" si="377"/>
        <v>0</v>
      </c>
      <c r="UK235" s="132">
        <f t="shared" si="378"/>
        <v>0</v>
      </c>
      <c r="UL235" s="132">
        <f t="shared" si="413"/>
        <v>601500</v>
      </c>
      <c r="UM235" s="131">
        <f t="shared" si="379"/>
        <v>601500</v>
      </c>
      <c r="UN235" s="131">
        <f t="shared" si="380"/>
        <v>601500</v>
      </c>
      <c r="UO235" s="131">
        <f t="shared" si="381"/>
        <v>515000</v>
      </c>
      <c r="UP235" s="132">
        <f t="shared" si="382"/>
        <v>320000</v>
      </c>
      <c r="UQ235" s="132">
        <f t="shared" si="383"/>
        <v>90000</v>
      </c>
      <c r="UR235" s="132">
        <f t="shared" si="384"/>
        <v>105000</v>
      </c>
      <c r="US235" s="132">
        <f t="shared" si="385"/>
        <v>0</v>
      </c>
      <c r="UT235" s="131">
        <f t="shared" si="386"/>
        <v>86500</v>
      </c>
      <c r="UU235" s="131">
        <f t="shared" si="387"/>
        <v>6000</v>
      </c>
      <c r="UV235" s="132">
        <f t="shared" si="388"/>
        <v>0</v>
      </c>
      <c r="UW235" s="132">
        <f t="shared" si="389"/>
        <v>6000</v>
      </c>
      <c r="UX235" s="132">
        <f t="shared" si="390"/>
        <v>0</v>
      </c>
      <c r="UY235" s="132">
        <f t="shared" si="391"/>
        <v>0</v>
      </c>
      <c r="UZ235" s="132">
        <f t="shared" si="392"/>
        <v>0</v>
      </c>
      <c r="VA235" s="132">
        <f t="shared" si="393"/>
        <v>5500</v>
      </c>
      <c r="VB235" s="131">
        <f t="shared" si="394"/>
        <v>75000</v>
      </c>
      <c r="VC235" s="132">
        <f t="shared" si="395"/>
        <v>0</v>
      </c>
      <c r="VD235" s="132">
        <f t="shared" si="396"/>
        <v>0</v>
      </c>
      <c r="VE235" s="132">
        <f t="shared" si="397"/>
        <v>75000</v>
      </c>
      <c r="VF235" s="132">
        <f t="shared" si="398"/>
        <v>0</v>
      </c>
      <c r="VG235" s="132">
        <f t="shared" si="399"/>
        <v>0</v>
      </c>
      <c r="VH235" s="132">
        <f t="shared" si="400"/>
        <v>0</v>
      </c>
      <c r="VI235" s="132">
        <f t="shared" si="401"/>
        <v>0</v>
      </c>
      <c r="VJ235" s="132">
        <f t="shared" si="402"/>
        <v>0</v>
      </c>
      <c r="VK235" s="132">
        <f t="shared" si="403"/>
        <v>0</v>
      </c>
      <c r="VL235" s="132">
        <f t="shared" si="404"/>
        <v>0</v>
      </c>
      <c r="VM235" s="132">
        <f t="shared" si="405"/>
        <v>0</v>
      </c>
      <c r="VN235" s="132">
        <f t="shared" si="406"/>
        <v>0</v>
      </c>
      <c r="VP235" s="845" t="str">
        <f>IFERROR(HLOOKUP(F235,'Hodnocení '!$C$1:$JH$5,2,FALSE),0)</f>
        <v>Noclehárna</v>
      </c>
      <c r="VQ235" s="838"/>
      <c r="VR235" s="845" t="str">
        <f t="shared" si="414"/>
        <v>Příspěvková organizace zřízená územním samosprávným celkem</v>
      </c>
      <c r="VS235" s="845" t="str">
        <f>IFERROR(HLOOKUP(F235,'Hodnocení '!$C$1:$JH$5,5,FALSE),0)</f>
        <v>Obce</v>
      </c>
      <c r="VT235" s="838" t="str">
        <f t="shared" si="415"/>
        <v>Příspěvková organizace zřízená územním samosprávným celkem</v>
      </c>
      <c r="VU235" s="838">
        <f t="shared" si="416"/>
        <v>0</v>
      </c>
      <c r="VV235" s="838">
        <f t="shared" si="417"/>
        <v>12000</v>
      </c>
      <c r="VW235" s="838">
        <f t="shared" si="418"/>
        <v>0</v>
      </c>
      <c r="VX235" s="838"/>
      <c r="VY235" s="838">
        <f t="shared" si="419"/>
        <v>0</v>
      </c>
      <c r="VZ235" s="838">
        <f t="shared" si="420"/>
        <v>601500</v>
      </c>
      <c r="WA235" s="846">
        <f>IFERROR(HLOOKUP($F235,'Hodnocení '!$C$1:$JH$9,9,FALSE),0)</f>
        <v>601500</v>
      </c>
      <c r="WB235" s="846">
        <f>IF(IFERROR(HLOOKUP($F235,'Hodnocení '!$C$1:$JH$13,13,FALSE),0)&gt;WA235,WA235,IFERROR(HLOOKUP($F235,'Hodnocení '!$C$1:$JH$13,13,FALSE),0))</f>
        <v>601500</v>
      </c>
      <c r="WC235" s="846">
        <f>IFERROR(HLOOKUP($F235,'Hodnocení '!$C$1:$JH$155,155,FALSE),0)</f>
        <v>464010</v>
      </c>
      <c r="WD235" s="845"/>
      <c r="WE235" s="845"/>
      <c r="WF235" s="845" t="str">
        <f t="shared" si="407"/>
        <v>ANO</v>
      </c>
      <c r="WG235" s="849" t="str">
        <f t="shared" si="421"/>
        <v>Podpora služby je vyjádřena zařazením do sítě sociálních služeb v KHK a řešením financování služby</v>
      </c>
      <c r="WH235"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35" s="849" t="str">
        <f t="shared" si="421"/>
        <v>Návrh dotace je výsledkem projednání s ostatními zadavateli v rámci sítě služeb KHK</v>
      </c>
      <c r="WJ235" s="849" t="str">
        <f t="shared" si="421"/>
        <v>Bez komentáře</v>
      </c>
      <c r="WK235" s="31" t="str">
        <f t="shared" si="408"/>
        <v>Výše příspěvku ze strany zřizovatele bude řešen v návaznosti na řešení podílů jednotlivých zadavatelů</v>
      </c>
      <c r="WL235" s="850">
        <f t="shared" si="409"/>
        <v>0</v>
      </c>
      <c r="WM235" s="849" t="str">
        <f t="shared" si="410"/>
        <v>V rámci sítě KHK se dlouhodobě řeší otázka navyšování úhrad a průběžně se monitoruje s vazbou na vykrytí vyrovnávací platby</v>
      </c>
      <c r="WN235" s="849">
        <f t="shared" si="411"/>
        <v>0</v>
      </c>
      <c r="WO235" s="849" t="str">
        <f t="shared" si="321"/>
        <v>bez komentáře</v>
      </c>
      <c r="WP235" s="849" t="str">
        <f t="shared" si="321"/>
        <v>bez komentáře</v>
      </c>
      <c r="WQ235" s="849" t="str">
        <f t="shared" si="321"/>
        <v>Konečná výše dotace z rozpočtu KHK bude řešena v návaznosti na řešení podílů jednotlivých zadavatelů.</v>
      </c>
      <c r="WR235" s="849" t="str">
        <f t="shared" si="321"/>
        <v>Konečná výše podpory ze stran obcí bude řešena v součinnosti s jednotlivými zadavateli v průběhu roku.</v>
      </c>
      <c r="WS235" s="849" t="str">
        <f t="shared" si="321"/>
        <v>bez komentáře</v>
      </c>
      <c r="WT235" s="849" t="str">
        <f t="shared" si="321"/>
        <v>bez komentáře</v>
      </c>
      <c r="WU235" s="845"/>
    </row>
    <row r="236" spans="1:619" s="128" customFormat="1" x14ac:dyDescent="0.25">
      <c r="A236" s="128" t="str">
        <f>VLOOKUP(F236,'Výpočet VP 2020'!$D$324:$I$588,6,FALSE)</f>
        <v>Je v síti</v>
      </c>
      <c r="B236" s="128" t="s">
        <v>947</v>
      </c>
      <c r="C236" s="128">
        <v>70888167</v>
      </c>
      <c r="D236" s="128" t="s">
        <v>948</v>
      </c>
      <c r="E236" s="128" t="s">
        <v>259</v>
      </c>
      <c r="F236" s="128">
        <v>5703553</v>
      </c>
      <c r="G236" s="128" t="s">
        <v>267</v>
      </c>
      <c r="H236" s="128" t="s">
        <v>218</v>
      </c>
      <c r="I236" s="128" t="s">
        <v>769</v>
      </c>
      <c r="J236" s="129">
        <v>41974</v>
      </c>
      <c r="L236" s="128" t="s">
        <v>220</v>
      </c>
      <c r="M236" s="128" t="s">
        <v>951</v>
      </c>
      <c r="N236" s="128">
        <v>12</v>
      </c>
      <c r="P236" s="128">
        <v>12</v>
      </c>
      <c r="Q236" s="128">
        <v>15</v>
      </c>
      <c r="R236" s="128">
        <v>14</v>
      </c>
      <c r="BL236" s="128" t="s">
        <v>434</v>
      </c>
      <c r="BM236" s="128" t="s">
        <v>304</v>
      </c>
      <c r="BN236" s="128" t="s">
        <v>424</v>
      </c>
      <c r="DA236" s="128">
        <v>0</v>
      </c>
      <c r="DB236" s="128">
        <v>0</v>
      </c>
      <c r="DC236" s="128">
        <v>0</v>
      </c>
      <c r="DD236" s="128">
        <v>0</v>
      </c>
      <c r="DE236" s="128">
        <v>0</v>
      </c>
      <c r="DF236" s="128">
        <v>6</v>
      </c>
      <c r="DG236" s="128">
        <v>3</v>
      </c>
      <c r="DH236" s="128">
        <v>2</v>
      </c>
      <c r="DI236" s="128">
        <v>0</v>
      </c>
      <c r="DJ236" s="128">
        <v>1</v>
      </c>
      <c r="DK236" s="128">
        <v>6</v>
      </c>
      <c r="DL236" s="128">
        <v>3</v>
      </c>
      <c r="DM236" s="128">
        <v>2</v>
      </c>
      <c r="DN236" s="128">
        <v>0</v>
      </c>
      <c r="DO236" s="128">
        <v>1</v>
      </c>
      <c r="DP236" s="128">
        <v>0</v>
      </c>
      <c r="DQ236" s="128">
        <v>12</v>
      </c>
      <c r="DR236" s="128">
        <v>12</v>
      </c>
      <c r="DS236" s="128">
        <v>0</v>
      </c>
      <c r="DT236" s="128">
        <v>0</v>
      </c>
      <c r="DU236" s="128">
        <v>0</v>
      </c>
      <c r="DV236" s="128">
        <v>0</v>
      </c>
      <c r="DW236" s="128">
        <v>0</v>
      </c>
      <c r="DX236" s="128">
        <v>5</v>
      </c>
      <c r="DY236" s="128">
        <v>4</v>
      </c>
      <c r="DZ236" s="128">
        <v>2</v>
      </c>
      <c r="EA236" s="128">
        <v>0</v>
      </c>
      <c r="EB236" s="128">
        <v>1</v>
      </c>
      <c r="EC236" s="128">
        <v>5</v>
      </c>
      <c r="ED236" s="128">
        <v>4</v>
      </c>
      <c r="EE236" s="128">
        <v>2</v>
      </c>
      <c r="EF236" s="128">
        <v>0</v>
      </c>
      <c r="EG236" s="128">
        <v>1</v>
      </c>
      <c r="EH236" s="128">
        <v>0</v>
      </c>
      <c r="EI236" s="128">
        <v>12</v>
      </c>
      <c r="EJ236" s="128">
        <v>12</v>
      </c>
      <c r="EK236" s="128">
        <v>1</v>
      </c>
      <c r="EL236" s="128">
        <v>0.3</v>
      </c>
      <c r="EM236" s="128">
        <v>0.3</v>
      </c>
      <c r="EN236" s="128">
        <v>195300</v>
      </c>
      <c r="EO236" s="128">
        <v>190000</v>
      </c>
      <c r="EP236" s="128">
        <v>4</v>
      </c>
      <c r="EQ236" s="128">
        <v>3.5</v>
      </c>
      <c r="ER236" s="128">
        <v>3.5</v>
      </c>
      <c r="ES236" s="128">
        <v>1592031</v>
      </c>
      <c r="ET236" s="128">
        <v>1550000</v>
      </c>
      <c r="FO236" s="128">
        <v>6</v>
      </c>
      <c r="FP236" s="128">
        <v>0.36</v>
      </c>
      <c r="FQ236" s="128">
        <v>0.36</v>
      </c>
      <c r="FR236" s="128">
        <v>245269</v>
      </c>
      <c r="FS236" s="128">
        <v>230000</v>
      </c>
      <c r="KG236" s="128">
        <v>0</v>
      </c>
      <c r="KI236" s="128">
        <v>3.8</v>
      </c>
      <c r="KJ236" s="128">
        <v>0</v>
      </c>
      <c r="KK236" s="128">
        <v>0</v>
      </c>
      <c r="KL236" s="128">
        <v>0</v>
      </c>
      <c r="KM236" s="128">
        <v>3.8</v>
      </c>
      <c r="KN236" s="128">
        <v>2032600</v>
      </c>
      <c r="KO236" s="128">
        <v>1970000</v>
      </c>
      <c r="KP236" s="128">
        <v>1970000</v>
      </c>
      <c r="KT236" s="128">
        <v>0</v>
      </c>
      <c r="KU236" s="128">
        <v>0</v>
      </c>
      <c r="KV236" s="128">
        <v>0</v>
      </c>
      <c r="KZ236" s="128">
        <v>0</v>
      </c>
      <c r="LA236" s="128">
        <v>0</v>
      </c>
      <c r="LB236" s="128">
        <v>0</v>
      </c>
      <c r="LF236" s="128">
        <v>0</v>
      </c>
      <c r="LG236" s="128">
        <v>0</v>
      </c>
      <c r="LH236" s="128">
        <v>0</v>
      </c>
      <c r="LL236" s="128">
        <v>0</v>
      </c>
      <c r="LM236" s="128">
        <v>0</v>
      </c>
      <c r="LN236" s="128">
        <v>0</v>
      </c>
      <c r="LR236" s="128">
        <v>22000</v>
      </c>
      <c r="LS236" s="128">
        <v>0</v>
      </c>
      <c r="LT236" s="128">
        <v>0</v>
      </c>
      <c r="LX236" s="128">
        <v>4000</v>
      </c>
      <c r="LY236" s="128">
        <v>0</v>
      </c>
      <c r="LZ236" s="128">
        <v>0</v>
      </c>
      <c r="MD236" s="128">
        <v>4000</v>
      </c>
      <c r="ME236" s="128">
        <v>0</v>
      </c>
      <c r="MF236" s="128">
        <v>0</v>
      </c>
      <c r="MJ236" s="128">
        <v>2000</v>
      </c>
      <c r="MK236" s="128">
        <v>0</v>
      </c>
      <c r="ML236" s="128">
        <v>0</v>
      </c>
      <c r="MP236" s="128">
        <v>53000</v>
      </c>
      <c r="MQ236" s="128">
        <v>0</v>
      </c>
      <c r="MR236" s="128">
        <v>0</v>
      </c>
      <c r="MV236" s="128">
        <v>375000</v>
      </c>
      <c r="MW236" s="128">
        <v>0</v>
      </c>
      <c r="MX236" s="128">
        <v>0</v>
      </c>
      <c r="NB236" s="128">
        <v>5450</v>
      </c>
      <c r="NC236" s="128">
        <v>0</v>
      </c>
      <c r="ND236" s="128">
        <v>0</v>
      </c>
      <c r="NH236" s="128">
        <v>230636</v>
      </c>
      <c r="NI236" s="128">
        <v>172886</v>
      </c>
      <c r="NJ236" s="128">
        <v>172886</v>
      </c>
      <c r="NN236" s="128">
        <v>0</v>
      </c>
      <c r="NO236" s="128">
        <v>0</v>
      </c>
      <c r="NP236" s="128">
        <v>0</v>
      </c>
      <c r="NT236" s="128">
        <v>14000</v>
      </c>
      <c r="NU236" s="128">
        <v>0</v>
      </c>
      <c r="NV236" s="128">
        <v>0</v>
      </c>
      <c r="NZ236" s="128">
        <v>26000</v>
      </c>
      <c r="OA236" s="128">
        <v>0</v>
      </c>
      <c r="OB236" s="128">
        <v>0</v>
      </c>
      <c r="OF236" s="128">
        <v>4000</v>
      </c>
      <c r="OG236" s="128">
        <v>0</v>
      </c>
      <c r="OH236" s="128">
        <v>0</v>
      </c>
      <c r="OL236" s="128">
        <v>0</v>
      </c>
      <c r="OM236" s="128">
        <v>0</v>
      </c>
      <c r="ON236" s="128">
        <v>0</v>
      </c>
      <c r="OR236" s="128">
        <v>0</v>
      </c>
      <c r="OS236" s="128">
        <v>0</v>
      </c>
      <c r="OT236" s="128">
        <v>0</v>
      </c>
      <c r="OX236" s="128">
        <v>44600</v>
      </c>
      <c r="OY236" s="128">
        <v>0</v>
      </c>
      <c r="OZ236" s="128">
        <v>0</v>
      </c>
      <c r="PD236" s="128">
        <v>30000</v>
      </c>
      <c r="PE236" s="128">
        <v>0</v>
      </c>
      <c r="PF236" s="128">
        <v>0</v>
      </c>
      <c r="PJ236" s="128">
        <v>12700</v>
      </c>
      <c r="PK236" s="128">
        <v>0</v>
      </c>
      <c r="PL236" s="128">
        <v>0</v>
      </c>
      <c r="PP236" s="128">
        <v>2859986</v>
      </c>
      <c r="PQ236" s="128">
        <v>2142886</v>
      </c>
      <c r="PR236" s="128">
        <v>2142886</v>
      </c>
      <c r="PS236" s="128">
        <v>100</v>
      </c>
      <c r="PT236" s="128">
        <v>100</v>
      </c>
      <c r="PX236" s="128">
        <v>1805000</v>
      </c>
      <c r="PY236" s="128">
        <v>1909423</v>
      </c>
      <c r="PZ236" s="128">
        <v>2142886</v>
      </c>
      <c r="QA236" s="128">
        <v>0</v>
      </c>
      <c r="QB236" s="128">
        <v>0</v>
      </c>
      <c r="QC236" s="128">
        <v>0</v>
      </c>
      <c r="QD236" s="128">
        <v>118200</v>
      </c>
      <c r="QE236" s="128">
        <v>259000</v>
      </c>
      <c r="QF236" s="128">
        <v>50000</v>
      </c>
      <c r="QG236" s="128">
        <v>0</v>
      </c>
      <c r="QH236" s="128">
        <v>0</v>
      </c>
      <c r="QI236" s="128">
        <v>0</v>
      </c>
      <c r="QJ236" s="128">
        <v>599848</v>
      </c>
      <c r="QK236" s="128">
        <v>667100</v>
      </c>
      <c r="QL236" s="128">
        <v>667100</v>
      </c>
      <c r="QN236" s="128">
        <v>0</v>
      </c>
      <c r="QO236" s="128">
        <v>0</v>
      </c>
      <c r="QP236" s="128">
        <v>0</v>
      </c>
      <c r="RH236" s="128">
        <f t="shared" si="412"/>
        <v>2192886</v>
      </c>
      <c r="RI236" s="128">
        <v>0</v>
      </c>
      <c r="RM236" s="128" t="s">
        <v>220</v>
      </c>
      <c r="RU236" s="130"/>
      <c r="RV236" s="130"/>
      <c r="RW236" s="130"/>
      <c r="RX236" s="130"/>
      <c r="SF236" s="128">
        <f t="shared" si="322"/>
        <v>5703553</v>
      </c>
      <c r="SG236" s="131">
        <f t="shared" si="323"/>
        <v>2859986</v>
      </c>
      <c r="SH236" s="131">
        <f t="shared" si="324"/>
        <v>2859986</v>
      </c>
      <c r="SI236" s="131">
        <f t="shared" si="325"/>
        <v>2032600</v>
      </c>
      <c r="SJ236" s="132">
        <f t="shared" si="326"/>
        <v>2032600</v>
      </c>
      <c r="SK236" s="132">
        <f t="shared" si="327"/>
        <v>0</v>
      </c>
      <c r="SL236" s="132">
        <f t="shared" si="328"/>
        <v>0</v>
      </c>
      <c r="SM236" s="132">
        <f t="shared" si="329"/>
        <v>0</v>
      </c>
      <c r="SN236" s="131">
        <f t="shared" si="330"/>
        <v>827386</v>
      </c>
      <c r="SO236" s="131">
        <f t="shared" si="331"/>
        <v>22000</v>
      </c>
      <c r="SP236" s="132">
        <f t="shared" si="332"/>
        <v>0</v>
      </c>
      <c r="SQ236" s="132">
        <f t="shared" si="333"/>
        <v>22000</v>
      </c>
      <c r="SR236" s="132">
        <f t="shared" si="334"/>
        <v>4000</v>
      </c>
      <c r="SS236" s="132">
        <f t="shared" si="335"/>
        <v>4000</v>
      </c>
      <c r="ST236" s="132">
        <f t="shared" si="336"/>
        <v>2000</v>
      </c>
      <c r="SU236" s="132">
        <f t="shared" si="337"/>
        <v>53000</v>
      </c>
      <c r="SV236" s="131">
        <f t="shared" si="338"/>
        <v>699686</v>
      </c>
      <c r="SW236" s="132">
        <f t="shared" si="339"/>
        <v>375000</v>
      </c>
      <c r="SX236" s="132">
        <f t="shared" si="340"/>
        <v>5450</v>
      </c>
      <c r="SY236" s="132">
        <f t="shared" si="341"/>
        <v>230636</v>
      </c>
      <c r="SZ236" s="132">
        <f t="shared" si="342"/>
        <v>0</v>
      </c>
      <c r="TA236" s="132">
        <f t="shared" si="343"/>
        <v>14000</v>
      </c>
      <c r="TB236" s="132">
        <f t="shared" si="344"/>
        <v>26000</v>
      </c>
      <c r="TC236" s="132">
        <f t="shared" si="345"/>
        <v>4000</v>
      </c>
      <c r="TD236" s="132">
        <f t="shared" si="346"/>
        <v>0</v>
      </c>
      <c r="TE236" s="132">
        <f t="shared" si="347"/>
        <v>0</v>
      </c>
      <c r="TF236" s="132">
        <f t="shared" si="348"/>
        <v>44600</v>
      </c>
      <c r="TG236" s="132">
        <f t="shared" si="349"/>
        <v>30000</v>
      </c>
      <c r="TH236" s="132">
        <f t="shared" si="350"/>
        <v>12700</v>
      </c>
      <c r="TI236" s="1"/>
      <c r="TJ236" s="131">
        <f t="shared" si="351"/>
        <v>2142886</v>
      </c>
      <c r="TK236" s="131">
        <f t="shared" si="352"/>
        <v>2142886</v>
      </c>
      <c r="TL236" s="131">
        <f t="shared" si="353"/>
        <v>1970000</v>
      </c>
      <c r="TM236" s="132">
        <f t="shared" si="354"/>
        <v>1970000</v>
      </c>
      <c r="TN236" s="132">
        <f t="shared" si="355"/>
        <v>0</v>
      </c>
      <c r="TO236" s="132">
        <f t="shared" si="356"/>
        <v>0</v>
      </c>
      <c r="TP236" s="132">
        <f t="shared" si="357"/>
        <v>0</v>
      </c>
      <c r="TQ236" s="131">
        <f t="shared" si="358"/>
        <v>172886</v>
      </c>
      <c r="TR236" s="131">
        <f t="shared" si="359"/>
        <v>0</v>
      </c>
      <c r="TS236" s="132">
        <f t="shared" si="360"/>
        <v>0</v>
      </c>
      <c r="TT236" s="132">
        <f t="shared" si="361"/>
        <v>0</v>
      </c>
      <c r="TU236" s="132">
        <f t="shared" si="362"/>
        <v>0</v>
      </c>
      <c r="TV236" s="132">
        <f t="shared" si="363"/>
        <v>0</v>
      </c>
      <c r="TW236" s="132">
        <f t="shared" si="364"/>
        <v>0</v>
      </c>
      <c r="TX236" s="132">
        <f t="shared" si="365"/>
        <v>0</v>
      </c>
      <c r="TY236" s="131">
        <f t="shared" si="366"/>
        <v>172886</v>
      </c>
      <c r="TZ236" s="132">
        <f t="shared" si="367"/>
        <v>0</v>
      </c>
      <c r="UA236" s="132">
        <f t="shared" si="368"/>
        <v>0</v>
      </c>
      <c r="UB236" s="132">
        <f t="shared" si="369"/>
        <v>172886</v>
      </c>
      <c r="UC236" s="132">
        <f t="shared" si="370"/>
        <v>0</v>
      </c>
      <c r="UD236" s="132">
        <f t="shared" si="371"/>
        <v>0</v>
      </c>
      <c r="UE236" s="132">
        <f t="shared" si="372"/>
        <v>0</v>
      </c>
      <c r="UF236" s="132">
        <f t="shared" si="373"/>
        <v>0</v>
      </c>
      <c r="UG236" s="132">
        <f t="shared" si="374"/>
        <v>0</v>
      </c>
      <c r="UH236" s="132">
        <f t="shared" si="375"/>
        <v>0</v>
      </c>
      <c r="UI236" s="132">
        <f t="shared" si="376"/>
        <v>0</v>
      </c>
      <c r="UJ236" s="132">
        <f t="shared" si="377"/>
        <v>0</v>
      </c>
      <c r="UK236" s="132">
        <f t="shared" si="378"/>
        <v>0</v>
      </c>
      <c r="UL236" s="132">
        <f t="shared" si="413"/>
        <v>2142886</v>
      </c>
      <c r="UM236" s="131">
        <f t="shared" si="379"/>
        <v>2142886</v>
      </c>
      <c r="UN236" s="131">
        <f t="shared" si="380"/>
        <v>2142886</v>
      </c>
      <c r="UO236" s="131">
        <f t="shared" si="381"/>
        <v>1970000</v>
      </c>
      <c r="UP236" s="132">
        <f t="shared" si="382"/>
        <v>1970000</v>
      </c>
      <c r="UQ236" s="132">
        <f t="shared" si="383"/>
        <v>0</v>
      </c>
      <c r="UR236" s="132">
        <f t="shared" si="384"/>
        <v>0</v>
      </c>
      <c r="US236" s="132">
        <f t="shared" si="385"/>
        <v>0</v>
      </c>
      <c r="UT236" s="131">
        <f t="shared" si="386"/>
        <v>172886</v>
      </c>
      <c r="UU236" s="131">
        <f t="shared" si="387"/>
        <v>0</v>
      </c>
      <c r="UV236" s="132">
        <f t="shared" si="388"/>
        <v>0</v>
      </c>
      <c r="UW236" s="132">
        <f t="shared" si="389"/>
        <v>0</v>
      </c>
      <c r="UX236" s="132">
        <f t="shared" si="390"/>
        <v>0</v>
      </c>
      <c r="UY236" s="132">
        <f t="shared" si="391"/>
        <v>0</v>
      </c>
      <c r="UZ236" s="132">
        <f t="shared" si="392"/>
        <v>0</v>
      </c>
      <c r="VA236" s="132">
        <f t="shared" si="393"/>
        <v>0</v>
      </c>
      <c r="VB236" s="131">
        <f t="shared" si="394"/>
        <v>172886</v>
      </c>
      <c r="VC236" s="132">
        <f t="shared" si="395"/>
        <v>0</v>
      </c>
      <c r="VD236" s="132">
        <f t="shared" si="396"/>
        <v>0</v>
      </c>
      <c r="VE236" s="132">
        <f t="shared" si="397"/>
        <v>172886</v>
      </c>
      <c r="VF236" s="132">
        <f t="shared" si="398"/>
        <v>0</v>
      </c>
      <c r="VG236" s="132">
        <f t="shared" si="399"/>
        <v>0</v>
      </c>
      <c r="VH236" s="132">
        <f t="shared" si="400"/>
        <v>0</v>
      </c>
      <c r="VI236" s="132">
        <f t="shared" si="401"/>
        <v>0</v>
      </c>
      <c r="VJ236" s="132">
        <f t="shared" si="402"/>
        <v>0</v>
      </c>
      <c r="VK236" s="132">
        <f t="shared" si="403"/>
        <v>0</v>
      </c>
      <c r="VL236" s="132">
        <f t="shared" si="404"/>
        <v>0</v>
      </c>
      <c r="VM236" s="132">
        <f t="shared" si="405"/>
        <v>0</v>
      </c>
      <c r="VN236" s="132">
        <f t="shared" si="406"/>
        <v>0</v>
      </c>
      <c r="VP236" s="845" t="str">
        <f>IFERROR(HLOOKUP(F236,'Hodnocení '!$C$1:$JH$5,2,FALSE),0)</f>
        <v>Chráněné bydlení</v>
      </c>
      <c r="VQ236" s="838"/>
      <c r="VR236" s="845" t="str">
        <f t="shared" si="414"/>
        <v>Příspěvková organizace zřízená územním samosprávným celkem</v>
      </c>
      <c r="VS236" s="845" t="str">
        <f>IFERROR(HLOOKUP(F236,'Hodnocení '!$C$1:$JH$5,5,FALSE),0)</f>
        <v>Obce</v>
      </c>
      <c r="VT236" s="838" t="str">
        <f t="shared" si="415"/>
        <v>Příspěvková organizace zřízená územním samosprávným celkem</v>
      </c>
      <c r="VU236" s="838">
        <f t="shared" si="416"/>
        <v>0</v>
      </c>
      <c r="VV236" s="838">
        <f t="shared" si="417"/>
        <v>667100</v>
      </c>
      <c r="VW236" s="838">
        <f t="shared" si="418"/>
        <v>0</v>
      </c>
      <c r="VX236" s="838"/>
      <c r="VY236" s="838">
        <f t="shared" si="419"/>
        <v>0</v>
      </c>
      <c r="VZ236" s="838">
        <f t="shared" si="420"/>
        <v>2142886</v>
      </c>
      <c r="WA236" s="846">
        <f>IFERROR(HLOOKUP($F236,'Hodnocení '!$C$1:$JH$9,9,FALSE),0)</f>
        <v>2142886</v>
      </c>
      <c r="WB236" s="846">
        <f>IF(IFERROR(HLOOKUP($F236,'Hodnocení '!$C$1:$JH$13,13,FALSE),0)&gt;WA236,WA236,IFERROR(HLOOKUP($F236,'Hodnocení '!$C$1:$JH$13,13,FALSE),0))</f>
        <v>2142886</v>
      </c>
      <c r="WC236" s="846">
        <f>IFERROR(HLOOKUP($F236,'Hodnocení '!$C$1:$JH$155,155,FALSE),0)</f>
        <v>1972280</v>
      </c>
      <c r="WD236" s="845"/>
      <c r="WE236" s="845"/>
      <c r="WF236" s="845" t="str">
        <f t="shared" si="407"/>
        <v>ANO</v>
      </c>
      <c r="WG236" s="849" t="str">
        <f t="shared" si="421"/>
        <v>Podpora služby je vyjádřena zařazením do sítě sociálních služeb v KHK a řešením financování služby</v>
      </c>
      <c r="WH236"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36" s="849" t="str">
        <f t="shared" si="421"/>
        <v>Návrh dotace je výsledkem projednání s ostatními zadavateli v rámci sítě služeb KHK</v>
      </c>
      <c r="WJ236" s="849" t="str">
        <f t="shared" si="421"/>
        <v>Bez komentáře</v>
      </c>
      <c r="WK236" s="31" t="str">
        <f t="shared" si="408"/>
        <v>Výše příspěvku ze strany zřizovatele bude řešen v návaznosti na řešení podílů jednotlivých zadavatelů</v>
      </c>
      <c r="WL236" s="850">
        <f t="shared" si="409"/>
        <v>0</v>
      </c>
      <c r="WM236" s="849" t="str">
        <f t="shared" si="410"/>
        <v>V rámci sítě KHK se dlouhodobě řeší otázka navyšování úhrad a průběžně se monitoruje s vazbou na vykrytí vyrovnávací platby</v>
      </c>
      <c r="WN236" s="849">
        <f t="shared" si="411"/>
        <v>0</v>
      </c>
      <c r="WO236" s="849" t="str">
        <f t="shared" si="321"/>
        <v>bez komentáře</v>
      </c>
      <c r="WP236" s="849" t="str">
        <f t="shared" si="321"/>
        <v>bez komentáře</v>
      </c>
      <c r="WQ236" s="849" t="str">
        <f t="shared" si="321"/>
        <v>Konečná výše dotace z rozpočtu KHK bude řešena v návaznosti na řešení podílů jednotlivých zadavatelů.</v>
      </c>
      <c r="WR236" s="849" t="str">
        <f t="shared" ref="WO236:WT271" si="422">IF($WF236="NE","nehodnoceno",WR$2)</f>
        <v>Konečná výše podpory ze stran obcí bude řešena v součinnosti s jednotlivými zadavateli v průběhu roku.</v>
      </c>
      <c r="WS236" s="849" t="str">
        <f t="shared" si="422"/>
        <v>bez komentáře</v>
      </c>
      <c r="WT236" s="849" t="str">
        <f t="shared" si="422"/>
        <v>bez komentáře</v>
      </c>
      <c r="WU236" s="845"/>
    </row>
    <row r="237" spans="1:619" s="128" customFormat="1" x14ac:dyDescent="0.25">
      <c r="A237" s="128" t="str">
        <f>VLOOKUP(F237,'Výpočet VP 2020'!$D$324:$I$588,6,FALSE)</f>
        <v>Je v síti</v>
      </c>
      <c r="B237" s="128" t="s">
        <v>947</v>
      </c>
      <c r="C237" s="128">
        <v>70888167</v>
      </c>
      <c r="D237" s="128" t="s">
        <v>948</v>
      </c>
      <c r="E237" s="128" t="s">
        <v>259</v>
      </c>
      <c r="F237" s="128">
        <v>7190506</v>
      </c>
      <c r="G237" s="128" t="s">
        <v>705</v>
      </c>
      <c r="H237" s="128" t="s">
        <v>230</v>
      </c>
      <c r="I237" s="128" t="s">
        <v>952</v>
      </c>
      <c r="J237" s="129">
        <v>43831</v>
      </c>
      <c r="L237" s="128" t="s">
        <v>220</v>
      </c>
      <c r="M237" s="128" t="s">
        <v>953</v>
      </c>
      <c r="N237" s="128">
        <v>14</v>
      </c>
      <c r="P237" s="128">
        <v>0</v>
      </c>
      <c r="Q237" s="128">
        <v>0</v>
      </c>
      <c r="R237" s="128">
        <v>17</v>
      </c>
      <c r="BL237" s="128" t="s">
        <v>786</v>
      </c>
      <c r="BM237" s="128" t="s">
        <v>702</v>
      </c>
      <c r="BN237" s="128" t="s">
        <v>234</v>
      </c>
      <c r="EK237" s="128">
        <v>1</v>
      </c>
      <c r="EL237" s="128">
        <v>1</v>
      </c>
      <c r="EM237" s="128">
        <v>0</v>
      </c>
      <c r="EN237" s="128">
        <v>571320</v>
      </c>
      <c r="EO237" s="128">
        <v>570000</v>
      </c>
      <c r="EP237" s="128">
        <v>5</v>
      </c>
      <c r="EQ237" s="128">
        <v>4.5</v>
      </c>
      <c r="ER237" s="128">
        <v>0</v>
      </c>
      <c r="ES237" s="128">
        <v>2259000</v>
      </c>
      <c r="ET237" s="128">
        <v>2200000</v>
      </c>
      <c r="FO237" s="128">
        <v>7</v>
      </c>
      <c r="FP237" s="128">
        <v>1.36</v>
      </c>
      <c r="FQ237" s="128">
        <v>0</v>
      </c>
      <c r="FR237" s="128">
        <v>888460</v>
      </c>
      <c r="FS237" s="128">
        <v>885000</v>
      </c>
      <c r="FZ237" s="128">
        <v>1</v>
      </c>
      <c r="GA237" s="128">
        <v>0.5</v>
      </c>
      <c r="GB237" s="128">
        <v>12</v>
      </c>
      <c r="GC237" s="128">
        <v>0.5</v>
      </c>
      <c r="GD237" s="128">
        <v>50000</v>
      </c>
      <c r="GE237" s="128">
        <v>0</v>
      </c>
      <c r="KG237" s="128">
        <v>0</v>
      </c>
      <c r="KI237" s="128">
        <v>5.5</v>
      </c>
      <c r="KJ237" s="128">
        <v>0.5</v>
      </c>
      <c r="KK237" s="128">
        <v>0</v>
      </c>
      <c r="KL237" s="128">
        <v>0</v>
      </c>
      <c r="KM237" s="128">
        <v>6</v>
      </c>
      <c r="KN237" s="128">
        <v>3718780</v>
      </c>
      <c r="KO237" s="128">
        <v>3655000</v>
      </c>
      <c r="KP237" s="128">
        <v>3655000</v>
      </c>
      <c r="KT237" s="128">
        <v>50000</v>
      </c>
      <c r="KU237" s="128">
        <v>0</v>
      </c>
      <c r="KV237" s="128">
        <v>0</v>
      </c>
      <c r="KZ237" s="128">
        <v>0</v>
      </c>
      <c r="LA237" s="128">
        <v>0</v>
      </c>
      <c r="LB237" s="128">
        <v>0</v>
      </c>
      <c r="LF237" s="128">
        <v>0</v>
      </c>
      <c r="LG237" s="128">
        <v>0</v>
      </c>
      <c r="LH237" s="128">
        <v>0</v>
      </c>
      <c r="LL237" s="128">
        <v>0</v>
      </c>
      <c r="LM237" s="128">
        <v>0</v>
      </c>
      <c r="LN237" s="128">
        <v>0</v>
      </c>
      <c r="LR237" s="128">
        <v>22000</v>
      </c>
      <c r="LS237" s="128">
        <v>0</v>
      </c>
      <c r="LT237" s="128">
        <v>0</v>
      </c>
      <c r="LX237" s="128">
        <v>0</v>
      </c>
      <c r="LY237" s="128">
        <v>0</v>
      </c>
      <c r="LZ237" s="128">
        <v>0</v>
      </c>
      <c r="MD237" s="128">
        <v>1000</v>
      </c>
      <c r="ME237" s="128">
        <v>0</v>
      </c>
      <c r="MF237" s="128">
        <v>0</v>
      </c>
      <c r="MJ237" s="128">
        <v>1000</v>
      </c>
      <c r="MK237" s="128">
        <v>0</v>
      </c>
      <c r="ML237" s="128">
        <v>0</v>
      </c>
      <c r="MP237" s="128">
        <v>25000</v>
      </c>
      <c r="MQ237" s="128">
        <v>0</v>
      </c>
      <c r="MR237" s="128">
        <v>0</v>
      </c>
      <c r="MV237" s="128">
        <v>205000</v>
      </c>
      <c r="MW237" s="128">
        <v>180708</v>
      </c>
      <c r="MX237" s="128">
        <v>180708</v>
      </c>
      <c r="NB237" s="128">
        <v>27900</v>
      </c>
      <c r="NC237" s="128">
        <v>0</v>
      </c>
      <c r="ND237" s="128">
        <v>0</v>
      </c>
      <c r="NH237" s="128">
        <v>151728</v>
      </c>
      <c r="NI237" s="128">
        <v>151000</v>
      </c>
      <c r="NJ237" s="128">
        <v>151000</v>
      </c>
      <c r="NN237" s="128">
        <v>0</v>
      </c>
      <c r="NO237" s="128">
        <v>0</v>
      </c>
      <c r="NP237" s="128">
        <v>0</v>
      </c>
      <c r="NT237" s="128">
        <v>25000</v>
      </c>
      <c r="NU237" s="128">
        <v>0</v>
      </c>
      <c r="NV237" s="128">
        <v>0</v>
      </c>
      <c r="NZ237" s="128">
        <v>30000</v>
      </c>
      <c r="OA237" s="128">
        <v>0</v>
      </c>
      <c r="OB237" s="128">
        <v>0</v>
      </c>
      <c r="OF237" s="128">
        <v>3000</v>
      </c>
      <c r="OG237" s="128">
        <v>0</v>
      </c>
      <c r="OH237" s="128">
        <v>0</v>
      </c>
      <c r="OL237" s="128">
        <v>0</v>
      </c>
      <c r="OM237" s="128">
        <v>0</v>
      </c>
      <c r="ON237" s="128">
        <v>0</v>
      </c>
      <c r="OR237" s="128">
        <v>0</v>
      </c>
      <c r="OS237" s="128">
        <v>0</v>
      </c>
      <c r="OT237" s="128">
        <v>0</v>
      </c>
      <c r="OX237" s="128">
        <v>34100</v>
      </c>
      <c r="OY237" s="128">
        <v>0</v>
      </c>
      <c r="OZ237" s="128">
        <v>0</v>
      </c>
      <c r="PD237" s="128">
        <v>0</v>
      </c>
      <c r="PE237" s="128">
        <v>0</v>
      </c>
      <c r="PF237" s="128">
        <v>0</v>
      </c>
      <c r="PJ237" s="128">
        <v>12200</v>
      </c>
      <c r="PK237" s="128">
        <v>0</v>
      </c>
      <c r="PL237" s="128">
        <v>0</v>
      </c>
      <c r="PP237" s="128">
        <v>4306708</v>
      </c>
      <c r="PQ237" s="128">
        <v>3986708</v>
      </c>
      <c r="PR237" s="128">
        <v>3986708</v>
      </c>
      <c r="PS237" s="128">
        <v>100</v>
      </c>
      <c r="PT237" s="128">
        <v>100</v>
      </c>
      <c r="PZ237" s="128">
        <v>3986708</v>
      </c>
      <c r="QC237" s="128">
        <v>0</v>
      </c>
      <c r="QF237" s="128">
        <v>100000</v>
      </c>
      <c r="QI237" s="128">
        <v>0</v>
      </c>
      <c r="QL237" s="128">
        <v>220000</v>
      </c>
      <c r="QP237" s="128">
        <v>0</v>
      </c>
      <c r="RH237" s="128">
        <f t="shared" si="412"/>
        <v>4086708</v>
      </c>
      <c r="RI237" s="128">
        <v>0</v>
      </c>
      <c r="RM237" s="128" t="s">
        <v>220</v>
      </c>
      <c r="RU237" s="130"/>
      <c r="RV237" s="130"/>
      <c r="RW237" s="130"/>
      <c r="RX237" s="130"/>
      <c r="SF237" s="128">
        <f t="shared" si="322"/>
        <v>7190506</v>
      </c>
      <c r="SG237" s="131">
        <f t="shared" si="323"/>
        <v>4306708</v>
      </c>
      <c r="SH237" s="131">
        <f t="shared" si="324"/>
        <v>4306708</v>
      </c>
      <c r="SI237" s="131">
        <f t="shared" si="325"/>
        <v>3768780</v>
      </c>
      <c r="SJ237" s="132">
        <f t="shared" si="326"/>
        <v>3718780</v>
      </c>
      <c r="SK237" s="132">
        <f t="shared" si="327"/>
        <v>50000</v>
      </c>
      <c r="SL237" s="132">
        <f t="shared" si="328"/>
        <v>0</v>
      </c>
      <c r="SM237" s="132">
        <f t="shared" si="329"/>
        <v>0</v>
      </c>
      <c r="SN237" s="131">
        <f t="shared" si="330"/>
        <v>537928</v>
      </c>
      <c r="SO237" s="131">
        <f t="shared" si="331"/>
        <v>22000</v>
      </c>
      <c r="SP237" s="132">
        <f t="shared" si="332"/>
        <v>0</v>
      </c>
      <c r="SQ237" s="132">
        <f t="shared" si="333"/>
        <v>22000</v>
      </c>
      <c r="SR237" s="132">
        <f t="shared" si="334"/>
        <v>0</v>
      </c>
      <c r="SS237" s="132">
        <f t="shared" si="335"/>
        <v>1000</v>
      </c>
      <c r="ST237" s="132">
        <f t="shared" si="336"/>
        <v>1000</v>
      </c>
      <c r="SU237" s="132">
        <f t="shared" si="337"/>
        <v>25000</v>
      </c>
      <c r="SV237" s="131">
        <f t="shared" si="338"/>
        <v>476728</v>
      </c>
      <c r="SW237" s="132">
        <f t="shared" si="339"/>
        <v>205000</v>
      </c>
      <c r="SX237" s="132">
        <f t="shared" si="340"/>
        <v>27900</v>
      </c>
      <c r="SY237" s="132">
        <f t="shared" si="341"/>
        <v>151728</v>
      </c>
      <c r="SZ237" s="132">
        <f t="shared" si="342"/>
        <v>0</v>
      </c>
      <c r="TA237" s="132">
        <f t="shared" si="343"/>
        <v>25000</v>
      </c>
      <c r="TB237" s="132">
        <f t="shared" si="344"/>
        <v>30000</v>
      </c>
      <c r="TC237" s="132">
        <f t="shared" si="345"/>
        <v>3000</v>
      </c>
      <c r="TD237" s="132">
        <f t="shared" si="346"/>
        <v>0</v>
      </c>
      <c r="TE237" s="132">
        <f t="shared" si="347"/>
        <v>0</v>
      </c>
      <c r="TF237" s="132">
        <f t="shared" si="348"/>
        <v>34100</v>
      </c>
      <c r="TG237" s="132">
        <f t="shared" si="349"/>
        <v>0</v>
      </c>
      <c r="TH237" s="132">
        <f t="shared" si="350"/>
        <v>12200</v>
      </c>
      <c r="TI237" s="1"/>
      <c r="TJ237" s="131">
        <f t="shared" si="351"/>
        <v>3986708</v>
      </c>
      <c r="TK237" s="131">
        <f t="shared" si="352"/>
        <v>3986708</v>
      </c>
      <c r="TL237" s="131">
        <f t="shared" si="353"/>
        <v>3655000</v>
      </c>
      <c r="TM237" s="132">
        <f t="shared" si="354"/>
        <v>3655000</v>
      </c>
      <c r="TN237" s="132">
        <f t="shared" si="355"/>
        <v>0</v>
      </c>
      <c r="TO237" s="132">
        <f t="shared" si="356"/>
        <v>0</v>
      </c>
      <c r="TP237" s="132">
        <f t="shared" si="357"/>
        <v>0</v>
      </c>
      <c r="TQ237" s="131">
        <f t="shared" si="358"/>
        <v>331708</v>
      </c>
      <c r="TR237" s="131">
        <f t="shared" si="359"/>
        <v>0</v>
      </c>
      <c r="TS237" s="132">
        <f t="shared" si="360"/>
        <v>0</v>
      </c>
      <c r="TT237" s="132">
        <f t="shared" si="361"/>
        <v>0</v>
      </c>
      <c r="TU237" s="132">
        <f t="shared" si="362"/>
        <v>0</v>
      </c>
      <c r="TV237" s="132">
        <f t="shared" si="363"/>
        <v>0</v>
      </c>
      <c r="TW237" s="132">
        <f t="shared" si="364"/>
        <v>0</v>
      </c>
      <c r="TX237" s="132">
        <f t="shared" si="365"/>
        <v>0</v>
      </c>
      <c r="TY237" s="131">
        <f t="shared" si="366"/>
        <v>331708</v>
      </c>
      <c r="TZ237" s="132">
        <f t="shared" si="367"/>
        <v>180708</v>
      </c>
      <c r="UA237" s="132">
        <f t="shared" si="368"/>
        <v>0</v>
      </c>
      <c r="UB237" s="132">
        <f t="shared" si="369"/>
        <v>151000</v>
      </c>
      <c r="UC237" s="132">
        <f t="shared" si="370"/>
        <v>0</v>
      </c>
      <c r="UD237" s="132">
        <f t="shared" si="371"/>
        <v>0</v>
      </c>
      <c r="UE237" s="132">
        <f t="shared" si="372"/>
        <v>0</v>
      </c>
      <c r="UF237" s="132">
        <f t="shared" si="373"/>
        <v>0</v>
      </c>
      <c r="UG237" s="132">
        <f t="shared" si="374"/>
        <v>0</v>
      </c>
      <c r="UH237" s="132">
        <f t="shared" si="375"/>
        <v>0</v>
      </c>
      <c r="UI237" s="132">
        <f t="shared" si="376"/>
        <v>0</v>
      </c>
      <c r="UJ237" s="132">
        <f t="shared" si="377"/>
        <v>0</v>
      </c>
      <c r="UK237" s="132">
        <f t="shared" si="378"/>
        <v>0</v>
      </c>
      <c r="UL237" s="132">
        <f t="shared" si="413"/>
        <v>3986708</v>
      </c>
      <c r="UM237" s="131">
        <f t="shared" si="379"/>
        <v>3986708</v>
      </c>
      <c r="UN237" s="131">
        <f t="shared" si="380"/>
        <v>3986708</v>
      </c>
      <c r="UO237" s="131">
        <f t="shared" si="381"/>
        <v>3655000</v>
      </c>
      <c r="UP237" s="132">
        <f t="shared" si="382"/>
        <v>3655000</v>
      </c>
      <c r="UQ237" s="132">
        <f t="shared" si="383"/>
        <v>0</v>
      </c>
      <c r="UR237" s="132">
        <f t="shared" si="384"/>
        <v>0</v>
      </c>
      <c r="US237" s="132">
        <f t="shared" si="385"/>
        <v>0</v>
      </c>
      <c r="UT237" s="131">
        <f t="shared" si="386"/>
        <v>331708</v>
      </c>
      <c r="UU237" s="131">
        <f t="shared" si="387"/>
        <v>0</v>
      </c>
      <c r="UV237" s="132">
        <f t="shared" si="388"/>
        <v>0</v>
      </c>
      <c r="UW237" s="132">
        <f t="shared" si="389"/>
        <v>0</v>
      </c>
      <c r="UX237" s="132">
        <f t="shared" si="390"/>
        <v>0</v>
      </c>
      <c r="UY237" s="132">
        <f t="shared" si="391"/>
        <v>0</v>
      </c>
      <c r="UZ237" s="132">
        <f t="shared" si="392"/>
        <v>0</v>
      </c>
      <c r="VA237" s="132">
        <f t="shared" si="393"/>
        <v>0</v>
      </c>
      <c r="VB237" s="131">
        <f t="shared" si="394"/>
        <v>331708</v>
      </c>
      <c r="VC237" s="132">
        <f t="shared" si="395"/>
        <v>180708</v>
      </c>
      <c r="VD237" s="132">
        <f t="shared" si="396"/>
        <v>0</v>
      </c>
      <c r="VE237" s="132">
        <f t="shared" si="397"/>
        <v>151000</v>
      </c>
      <c r="VF237" s="132">
        <f t="shared" si="398"/>
        <v>0</v>
      </c>
      <c r="VG237" s="132">
        <f t="shared" si="399"/>
        <v>0</v>
      </c>
      <c r="VH237" s="132">
        <f t="shared" si="400"/>
        <v>0</v>
      </c>
      <c r="VI237" s="132">
        <f t="shared" si="401"/>
        <v>0</v>
      </c>
      <c r="VJ237" s="132">
        <f t="shared" si="402"/>
        <v>0</v>
      </c>
      <c r="VK237" s="132">
        <f t="shared" si="403"/>
        <v>0</v>
      </c>
      <c r="VL237" s="132">
        <f t="shared" si="404"/>
        <v>0</v>
      </c>
      <c r="VM237" s="132">
        <f t="shared" si="405"/>
        <v>0</v>
      </c>
      <c r="VN237" s="132">
        <f t="shared" si="406"/>
        <v>0</v>
      </c>
      <c r="VP237" s="845" t="str">
        <f>IFERROR(HLOOKUP(F237,'Hodnocení '!$C$1:$JH$5,2,FALSE),0)</f>
        <v>Azylový dům Jičín</v>
      </c>
      <c r="VQ237" s="838"/>
      <c r="VR237" s="845" t="str">
        <f t="shared" si="414"/>
        <v>Příspěvková organizace zřízená územním samosprávným celkem</v>
      </c>
      <c r="VS237" s="845" t="str">
        <f>IFERROR(HLOOKUP(F237,'Hodnocení '!$C$1:$JH$5,5,FALSE),0)</f>
        <v>Obce</v>
      </c>
      <c r="VT237" s="838" t="str">
        <f t="shared" si="415"/>
        <v>Příspěvková organizace zřízená územním samosprávným celkem</v>
      </c>
      <c r="VU237" s="838">
        <f t="shared" si="416"/>
        <v>0</v>
      </c>
      <c r="VV237" s="838">
        <f t="shared" si="417"/>
        <v>220000</v>
      </c>
      <c r="VW237" s="838">
        <f t="shared" si="418"/>
        <v>0</v>
      </c>
      <c r="VX237" s="838"/>
      <c r="VY237" s="838">
        <f t="shared" si="419"/>
        <v>0</v>
      </c>
      <c r="VZ237" s="838">
        <f t="shared" si="420"/>
        <v>3986708</v>
      </c>
      <c r="WA237" s="846">
        <f>IFERROR(HLOOKUP($F237,'Hodnocení '!$C$1:$JH$9,9,FALSE),0)</f>
        <v>3986708</v>
      </c>
      <c r="WB237" s="846">
        <f>IF(IFERROR(HLOOKUP($F237,'Hodnocení '!$C$1:$JH$13,13,FALSE),0)&gt;WA237,WA237,IFERROR(HLOOKUP($F237,'Hodnocení '!$C$1:$JH$13,13,FALSE),0))</f>
        <v>3847203.2896098206</v>
      </c>
      <c r="WC237" s="846">
        <f>IFERROR(HLOOKUP($F237,'Hodnocení '!$C$1:$JH$155,155,FALSE),0)</f>
        <v>0</v>
      </c>
      <c r="WD237" s="845"/>
      <c r="WE237" s="845"/>
      <c r="WF237" s="845" t="str">
        <f t="shared" si="407"/>
        <v>ANO</v>
      </c>
      <c r="WG237" s="849" t="str">
        <f t="shared" si="421"/>
        <v>Podpora služby je vyjádřena zařazením do sítě sociálních služeb v KHK a řešením financování služby</v>
      </c>
      <c r="WH237"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37" s="849" t="str">
        <f t="shared" si="421"/>
        <v>Návrh dotace je výsledkem projednání s ostatními zadavateli v rámci sítě služeb KHK</v>
      </c>
      <c r="WJ237" s="849" t="str">
        <f t="shared" si="421"/>
        <v>Bez komentáře</v>
      </c>
      <c r="WK237" s="31" t="str">
        <f t="shared" si="408"/>
        <v>Výše příspěvku ze strany zřizovatele bude řešen v návaznosti na řešení podílů jednotlivých zadavatelů</v>
      </c>
      <c r="WL237" s="850">
        <f t="shared" si="409"/>
        <v>0</v>
      </c>
      <c r="WM237" s="849" t="str">
        <f t="shared" si="410"/>
        <v>V rámci sítě KHK se dlouhodobě řeší otázka navyšování úhrad a průběžně se monitoruje s vazbou na vykrytí vyrovnávací platby</v>
      </c>
      <c r="WN237" s="849">
        <f t="shared" si="411"/>
        <v>0</v>
      </c>
      <c r="WO237" s="849" t="str">
        <f t="shared" si="422"/>
        <v>bez komentáře</v>
      </c>
      <c r="WP237" s="849" t="str">
        <f t="shared" si="422"/>
        <v>bez komentáře</v>
      </c>
      <c r="WQ237" s="849" t="str">
        <f t="shared" si="422"/>
        <v>Konečná výše dotace z rozpočtu KHK bude řešena v návaznosti na řešení podílů jednotlivých zadavatelů.</v>
      </c>
      <c r="WR237" s="849" t="str">
        <f t="shared" si="422"/>
        <v>Konečná výše podpory ze stran obcí bude řešena v součinnosti s jednotlivými zadavateli v průběhu roku.</v>
      </c>
      <c r="WS237" s="849" t="str">
        <f t="shared" si="422"/>
        <v>bez komentáře</v>
      </c>
      <c r="WT237" s="849" t="str">
        <f t="shared" si="422"/>
        <v>bez komentáře</v>
      </c>
      <c r="WU237" s="845"/>
    </row>
    <row r="238" spans="1:619" s="128" customFormat="1" x14ac:dyDescent="0.25">
      <c r="A238" s="128" t="str">
        <f>VLOOKUP(F238,'Výpočet VP 2020'!$D$324:$I$588,6,FALSE)</f>
        <v>Je v síti</v>
      </c>
      <c r="B238" s="128" t="s">
        <v>947</v>
      </c>
      <c r="C238" s="128">
        <v>70888167</v>
      </c>
      <c r="D238" s="128" t="s">
        <v>948</v>
      </c>
      <c r="E238" s="128" t="s">
        <v>259</v>
      </c>
      <c r="F238" s="128">
        <v>9459250</v>
      </c>
      <c r="G238" s="128" t="s">
        <v>217</v>
      </c>
      <c r="H238" s="128" t="s">
        <v>218</v>
      </c>
      <c r="I238" s="128" t="s">
        <v>954</v>
      </c>
      <c r="J238" s="129">
        <v>39083</v>
      </c>
      <c r="L238" s="128" t="s">
        <v>220</v>
      </c>
      <c r="X238" s="128" t="s">
        <v>322</v>
      </c>
      <c r="Z238" s="128">
        <v>20</v>
      </c>
      <c r="AA238" s="128">
        <v>20</v>
      </c>
      <c r="AB238" s="128">
        <v>29</v>
      </c>
      <c r="AC238" s="128">
        <v>30</v>
      </c>
      <c r="AD238" s="128">
        <v>32</v>
      </c>
      <c r="AN238" s="128">
        <v>5600</v>
      </c>
      <c r="BL238" s="128" t="s">
        <v>579</v>
      </c>
      <c r="BM238" s="128" t="s">
        <v>325</v>
      </c>
      <c r="BN238" s="128" t="s">
        <v>326</v>
      </c>
      <c r="BO238" s="128">
        <v>0</v>
      </c>
      <c r="BP238" s="128">
        <v>0</v>
      </c>
      <c r="BQ238" s="128">
        <v>0</v>
      </c>
      <c r="BR238" s="128">
        <v>0</v>
      </c>
      <c r="BS238" s="128">
        <v>0</v>
      </c>
      <c r="BT238" s="128">
        <v>4</v>
      </c>
      <c r="BU238" s="128">
        <v>7</v>
      </c>
      <c r="BV238" s="128">
        <v>7</v>
      </c>
      <c r="BW238" s="128">
        <v>1</v>
      </c>
      <c r="BX238" s="128">
        <v>2</v>
      </c>
      <c r="BY238" s="128">
        <v>4</v>
      </c>
      <c r="BZ238" s="128">
        <v>7</v>
      </c>
      <c r="CA238" s="128">
        <v>7</v>
      </c>
      <c r="CB238" s="128">
        <v>1</v>
      </c>
      <c r="CC238" s="128">
        <v>2</v>
      </c>
      <c r="CD238" s="128">
        <v>0</v>
      </c>
      <c r="CE238" s="128">
        <v>21</v>
      </c>
      <c r="CF238" s="128">
        <v>21</v>
      </c>
      <c r="CH238" s="128">
        <v>0</v>
      </c>
      <c r="CI238" s="128">
        <v>0</v>
      </c>
      <c r="CJ238" s="128">
        <v>0</v>
      </c>
      <c r="CK238" s="128">
        <v>0</v>
      </c>
      <c r="CL238" s="128">
        <v>0</v>
      </c>
      <c r="CM238" s="128">
        <v>6</v>
      </c>
      <c r="CN238" s="128">
        <v>12</v>
      </c>
      <c r="CO238" s="128">
        <v>10</v>
      </c>
      <c r="CP238" s="128">
        <v>2</v>
      </c>
      <c r="CQ238" s="128">
        <v>2</v>
      </c>
      <c r="CR238" s="128">
        <v>6</v>
      </c>
      <c r="CS238" s="128">
        <v>12</v>
      </c>
      <c r="CT238" s="128">
        <v>10</v>
      </c>
      <c r="CU238" s="128">
        <v>2</v>
      </c>
      <c r="CV238" s="128">
        <v>2</v>
      </c>
      <c r="CW238" s="128">
        <v>0</v>
      </c>
      <c r="CX238" s="128">
        <v>32</v>
      </c>
      <c r="CY238" s="128">
        <v>32</v>
      </c>
      <c r="EK238" s="128">
        <v>2</v>
      </c>
      <c r="EL238" s="128">
        <v>0.4</v>
      </c>
      <c r="EM238" s="128">
        <v>0.4</v>
      </c>
      <c r="EN238" s="128">
        <v>277900</v>
      </c>
      <c r="EO238" s="128">
        <v>270000</v>
      </c>
      <c r="EP238" s="128">
        <v>5</v>
      </c>
      <c r="EQ238" s="128">
        <v>4.3</v>
      </c>
      <c r="ER238" s="128">
        <v>4.3</v>
      </c>
      <c r="ES238" s="128">
        <v>1744548</v>
      </c>
      <c r="ET238" s="128">
        <v>1736678</v>
      </c>
      <c r="FO238" s="128">
        <v>8</v>
      </c>
      <c r="FP238" s="128">
        <v>0.66</v>
      </c>
      <c r="FQ238" s="128">
        <v>0.66</v>
      </c>
      <c r="FR238" s="128">
        <v>605650</v>
      </c>
      <c r="FS238" s="128">
        <v>560000</v>
      </c>
      <c r="KG238" s="128">
        <v>0</v>
      </c>
      <c r="KI238" s="128">
        <v>4.7</v>
      </c>
      <c r="KJ238" s="128">
        <v>0</v>
      </c>
      <c r="KK238" s="128">
        <v>0</v>
      </c>
      <c r="KL238" s="128">
        <v>0</v>
      </c>
      <c r="KM238" s="128">
        <v>4.7</v>
      </c>
      <c r="KN238" s="128">
        <v>2628098</v>
      </c>
      <c r="KO238" s="128">
        <v>2566678</v>
      </c>
      <c r="KP238" s="128">
        <v>2566678</v>
      </c>
      <c r="KT238" s="128">
        <v>0</v>
      </c>
      <c r="KU238" s="128">
        <v>0</v>
      </c>
      <c r="KV238" s="128">
        <v>0</v>
      </c>
      <c r="KZ238" s="128">
        <v>0</v>
      </c>
      <c r="LA238" s="128">
        <v>0</v>
      </c>
      <c r="LB238" s="128">
        <v>0</v>
      </c>
      <c r="LF238" s="128">
        <v>0</v>
      </c>
      <c r="LG238" s="128">
        <v>0</v>
      </c>
      <c r="LH238" s="128">
        <v>0</v>
      </c>
      <c r="LL238" s="128">
        <v>0</v>
      </c>
      <c r="LM238" s="128">
        <v>0</v>
      </c>
      <c r="LN238" s="128">
        <v>0</v>
      </c>
      <c r="LR238" s="128">
        <v>56000</v>
      </c>
      <c r="LS238" s="128">
        <v>0</v>
      </c>
      <c r="LT238" s="128">
        <v>0</v>
      </c>
      <c r="LX238" s="128">
        <v>70000</v>
      </c>
      <c r="LY238" s="128">
        <v>0</v>
      </c>
      <c r="LZ238" s="128">
        <v>0</v>
      </c>
      <c r="MD238" s="128">
        <v>7000</v>
      </c>
      <c r="ME238" s="128">
        <v>0</v>
      </c>
      <c r="MF238" s="128">
        <v>0</v>
      </c>
      <c r="MJ238" s="128">
        <v>20000</v>
      </c>
      <c r="MK238" s="128">
        <v>0</v>
      </c>
      <c r="ML238" s="128">
        <v>0</v>
      </c>
      <c r="MP238" s="128">
        <v>80000</v>
      </c>
      <c r="MQ238" s="128">
        <v>0</v>
      </c>
      <c r="MR238" s="128">
        <v>0</v>
      </c>
      <c r="MV238" s="128">
        <v>182000</v>
      </c>
      <c r="MW238" s="128">
        <v>70000</v>
      </c>
      <c r="MX238" s="128">
        <v>70000</v>
      </c>
      <c r="NB238" s="128">
        <v>13100</v>
      </c>
      <c r="NC238" s="128">
        <v>0</v>
      </c>
      <c r="ND238" s="128">
        <v>0</v>
      </c>
      <c r="NH238" s="128">
        <v>37180</v>
      </c>
      <c r="NI238" s="128">
        <v>30000</v>
      </c>
      <c r="NJ238" s="128">
        <v>30000</v>
      </c>
      <c r="NN238" s="128">
        <v>0</v>
      </c>
      <c r="NO238" s="128">
        <v>0</v>
      </c>
      <c r="NP238" s="128">
        <v>0</v>
      </c>
      <c r="NT238" s="128">
        <v>14000</v>
      </c>
      <c r="NU238" s="128">
        <v>0</v>
      </c>
      <c r="NV238" s="128">
        <v>0</v>
      </c>
      <c r="NZ238" s="128">
        <v>35000</v>
      </c>
      <c r="OA238" s="128">
        <v>0</v>
      </c>
      <c r="OB238" s="128">
        <v>0</v>
      </c>
      <c r="OF238" s="128">
        <v>3000</v>
      </c>
      <c r="OG238" s="128">
        <v>0</v>
      </c>
      <c r="OH238" s="128">
        <v>0</v>
      </c>
      <c r="OL238" s="128">
        <v>0</v>
      </c>
      <c r="OM238" s="128">
        <v>0</v>
      </c>
      <c r="ON238" s="128">
        <v>0</v>
      </c>
      <c r="OR238" s="128">
        <v>0</v>
      </c>
      <c r="OS238" s="128">
        <v>0</v>
      </c>
      <c r="OT238" s="128">
        <v>0</v>
      </c>
      <c r="OX238" s="128">
        <v>45100</v>
      </c>
      <c r="OY238" s="128">
        <v>0</v>
      </c>
      <c r="OZ238" s="128">
        <v>0</v>
      </c>
      <c r="PD238" s="128">
        <v>18000</v>
      </c>
      <c r="PE238" s="128">
        <v>0</v>
      </c>
      <c r="PF238" s="128">
        <v>0</v>
      </c>
      <c r="PJ238" s="128">
        <v>28200</v>
      </c>
      <c r="PK238" s="128">
        <v>0</v>
      </c>
      <c r="PL238" s="128">
        <v>0</v>
      </c>
      <c r="PP238" s="128">
        <v>3236678</v>
      </c>
      <c r="PQ238" s="128">
        <v>2666678</v>
      </c>
      <c r="PR238" s="128">
        <v>2666678</v>
      </c>
      <c r="PS238" s="128">
        <v>100</v>
      </c>
      <c r="PT238" s="128">
        <v>100</v>
      </c>
      <c r="PV238" s="128">
        <v>2161399</v>
      </c>
      <c r="PX238" s="128">
        <v>1544300</v>
      </c>
      <c r="PY238" s="128">
        <v>1659657</v>
      </c>
      <c r="PZ238" s="128">
        <v>2666678</v>
      </c>
      <c r="QA238" s="128">
        <v>0</v>
      </c>
      <c r="QB238" s="128">
        <v>0</v>
      </c>
      <c r="QC238" s="128">
        <v>0</v>
      </c>
      <c r="QD238" s="128">
        <v>775300</v>
      </c>
      <c r="QE238" s="128">
        <v>986000</v>
      </c>
      <c r="QF238" s="128">
        <v>200000</v>
      </c>
      <c r="QG238" s="128">
        <v>0</v>
      </c>
      <c r="QH238" s="128">
        <v>0</v>
      </c>
      <c r="QI238" s="128">
        <v>0</v>
      </c>
      <c r="QJ238" s="128">
        <v>378252</v>
      </c>
      <c r="QK238" s="128">
        <v>370000</v>
      </c>
      <c r="QL238" s="128">
        <v>370000</v>
      </c>
      <c r="QN238" s="128">
        <v>0</v>
      </c>
      <c r="QO238" s="128">
        <v>0</v>
      </c>
      <c r="QP238" s="128">
        <v>0</v>
      </c>
      <c r="RH238" s="128">
        <f t="shared" si="412"/>
        <v>2866678</v>
      </c>
      <c r="RI238" s="128">
        <v>0</v>
      </c>
      <c r="RM238" s="128" t="s">
        <v>220</v>
      </c>
      <c r="RU238" s="130"/>
      <c r="RV238" s="130"/>
      <c r="RW238" s="130"/>
      <c r="RX238" s="130"/>
      <c r="SF238" s="128">
        <f t="shared" si="322"/>
        <v>9459250</v>
      </c>
      <c r="SG238" s="131">
        <f t="shared" si="323"/>
        <v>3236678</v>
      </c>
      <c r="SH238" s="131">
        <f t="shared" si="324"/>
        <v>3236678</v>
      </c>
      <c r="SI238" s="131">
        <f t="shared" si="325"/>
        <v>2628098</v>
      </c>
      <c r="SJ238" s="132">
        <f t="shared" si="326"/>
        <v>2628098</v>
      </c>
      <c r="SK238" s="132">
        <f t="shared" si="327"/>
        <v>0</v>
      </c>
      <c r="SL238" s="132">
        <f t="shared" si="328"/>
        <v>0</v>
      </c>
      <c r="SM238" s="132">
        <f t="shared" si="329"/>
        <v>0</v>
      </c>
      <c r="SN238" s="131">
        <f t="shared" si="330"/>
        <v>608580</v>
      </c>
      <c r="SO238" s="131">
        <f t="shared" si="331"/>
        <v>56000</v>
      </c>
      <c r="SP238" s="132">
        <f t="shared" si="332"/>
        <v>0</v>
      </c>
      <c r="SQ238" s="132">
        <f t="shared" si="333"/>
        <v>56000</v>
      </c>
      <c r="SR238" s="132">
        <f t="shared" si="334"/>
        <v>70000</v>
      </c>
      <c r="SS238" s="132">
        <f t="shared" si="335"/>
        <v>7000</v>
      </c>
      <c r="ST238" s="132">
        <f t="shared" si="336"/>
        <v>20000</v>
      </c>
      <c r="SU238" s="132">
        <f t="shared" si="337"/>
        <v>80000</v>
      </c>
      <c r="SV238" s="131">
        <f t="shared" si="338"/>
        <v>329380</v>
      </c>
      <c r="SW238" s="132">
        <f t="shared" si="339"/>
        <v>182000</v>
      </c>
      <c r="SX238" s="132">
        <f t="shared" si="340"/>
        <v>13100</v>
      </c>
      <c r="SY238" s="132">
        <f t="shared" si="341"/>
        <v>37180</v>
      </c>
      <c r="SZ238" s="132">
        <f t="shared" si="342"/>
        <v>0</v>
      </c>
      <c r="TA238" s="132">
        <f t="shared" si="343"/>
        <v>14000</v>
      </c>
      <c r="TB238" s="132">
        <f t="shared" si="344"/>
        <v>35000</v>
      </c>
      <c r="TC238" s="132">
        <f t="shared" si="345"/>
        <v>3000</v>
      </c>
      <c r="TD238" s="132">
        <f t="shared" si="346"/>
        <v>0</v>
      </c>
      <c r="TE238" s="132">
        <f t="shared" si="347"/>
        <v>0</v>
      </c>
      <c r="TF238" s="132">
        <f t="shared" si="348"/>
        <v>45100</v>
      </c>
      <c r="TG238" s="132">
        <f t="shared" si="349"/>
        <v>18000</v>
      </c>
      <c r="TH238" s="132">
        <f t="shared" si="350"/>
        <v>28200</v>
      </c>
      <c r="TI238" s="1"/>
      <c r="TJ238" s="131">
        <f t="shared" si="351"/>
        <v>2666678</v>
      </c>
      <c r="TK238" s="131">
        <f t="shared" si="352"/>
        <v>2666678</v>
      </c>
      <c r="TL238" s="131">
        <f t="shared" si="353"/>
        <v>2566678</v>
      </c>
      <c r="TM238" s="132">
        <f t="shared" si="354"/>
        <v>2566678</v>
      </c>
      <c r="TN238" s="132">
        <f t="shared" si="355"/>
        <v>0</v>
      </c>
      <c r="TO238" s="132">
        <f t="shared" si="356"/>
        <v>0</v>
      </c>
      <c r="TP238" s="132">
        <f t="shared" si="357"/>
        <v>0</v>
      </c>
      <c r="TQ238" s="131">
        <f t="shared" si="358"/>
        <v>100000</v>
      </c>
      <c r="TR238" s="131">
        <f t="shared" si="359"/>
        <v>0</v>
      </c>
      <c r="TS238" s="132">
        <f t="shared" si="360"/>
        <v>0</v>
      </c>
      <c r="TT238" s="132">
        <f t="shared" si="361"/>
        <v>0</v>
      </c>
      <c r="TU238" s="132">
        <f t="shared" si="362"/>
        <v>0</v>
      </c>
      <c r="TV238" s="132">
        <f t="shared" si="363"/>
        <v>0</v>
      </c>
      <c r="TW238" s="132">
        <f t="shared" si="364"/>
        <v>0</v>
      </c>
      <c r="TX238" s="132">
        <f t="shared" si="365"/>
        <v>0</v>
      </c>
      <c r="TY238" s="131">
        <f t="shared" si="366"/>
        <v>100000</v>
      </c>
      <c r="TZ238" s="132">
        <f t="shared" si="367"/>
        <v>70000</v>
      </c>
      <c r="UA238" s="132">
        <f t="shared" si="368"/>
        <v>0</v>
      </c>
      <c r="UB238" s="132">
        <f t="shared" si="369"/>
        <v>30000</v>
      </c>
      <c r="UC238" s="132">
        <f t="shared" si="370"/>
        <v>0</v>
      </c>
      <c r="UD238" s="132">
        <f t="shared" si="371"/>
        <v>0</v>
      </c>
      <c r="UE238" s="132">
        <f t="shared" si="372"/>
        <v>0</v>
      </c>
      <c r="UF238" s="132">
        <f t="shared" si="373"/>
        <v>0</v>
      </c>
      <c r="UG238" s="132">
        <f t="shared" si="374"/>
        <v>0</v>
      </c>
      <c r="UH238" s="132">
        <f t="shared" si="375"/>
        <v>0</v>
      </c>
      <c r="UI238" s="132">
        <f t="shared" si="376"/>
        <v>0</v>
      </c>
      <c r="UJ238" s="132">
        <f t="shared" si="377"/>
        <v>0</v>
      </c>
      <c r="UK238" s="132">
        <f t="shared" si="378"/>
        <v>0</v>
      </c>
      <c r="UL238" s="132">
        <f t="shared" si="413"/>
        <v>2666678</v>
      </c>
      <c r="UM238" s="131">
        <f t="shared" si="379"/>
        <v>2666678</v>
      </c>
      <c r="UN238" s="131">
        <f t="shared" si="380"/>
        <v>2666678</v>
      </c>
      <c r="UO238" s="131">
        <f t="shared" si="381"/>
        <v>2566678</v>
      </c>
      <c r="UP238" s="132">
        <f t="shared" si="382"/>
        <v>2566678</v>
      </c>
      <c r="UQ238" s="132">
        <f t="shared" si="383"/>
        <v>0</v>
      </c>
      <c r="UR238" s="132">
        <f t="shared" si="384"/>
        <v>0</v>
      </c>
      <c r="US238" s="132">
        <f t="shared" si="385"/>
        <v>0</v>
      </c>
      <c r="UT238" s="131">
        <f t="shared" si="386"/>
        <v>100000</v>
      </c>
      <c r="UU238" s="131">
        <f t="shared" si="387"/>
        <v>0</v>
      </c>
      <c r="UV238" s="132">
        <f t="shared" si="388"/>
        <v>0</v>
      </c>
      <c r="UW238" s="132">
        <f t="shared" si="389"/>
        <v>0</v>
      </c>
      <c r="UX238" s="132">
        <f t="shared" si="390"/>
        <v>0</v>
      </c>
      <c r="UY238" s="132">
        <f t="shared" si="391"/>
        <v>0</v>
      </c>
      <c r="UZ238" s="132">
        <f t="shared" si="392"/>
        <v>0</v>
      </c>
      <c r="VA238" s="132">
        <f t="shared" si="393"/>
        <v>0</v>
      </c>
      <c r="VB238" s="131">
        <f t="shared" si="394"/>
        <v>100000</v>
      </c>
      <c r="VC238" s="132">
        <f t="shared" si="395"/>
        <v>70000</v>
      </c>
      <c r="VD238" s="132">
        <f t="shared" si="396"/>
        <v>0</v>
      </c>
      <c r="VE238" s="132">
        <f t="shared" si="397"/>
        <v>30000</v>
      </c>
      <c r="VF238" s="132">
        <f t="shared" si="398"/>
        <v>0</v>
      </c>
      <c r="VG238" s="132">
        <f t="shared" si="399"/>
        <v>0</v>
      </c>
      <c r="VH238" s="132">
        <f t="shared" si="400"/>
        <v>0</v>
      </c>
      <c r="VI238" s="132">
        <f t="shared" si="401"/>
        <v>0</v>
      </c>
      <c r="VJ238" s="132">
        <f t="shared" si="402"/>
        <v>0</v>
      </c>
      <c r="VK238" s="132">
        <f t="shared" si="403"/>
        <v>0</v>
      </c>
      <c r="VL238" s="132">
        <f t="shared" si="404"/>
        <v>0</v>
      </c>
      <c r="VM238" s="132">
        <f t="shared" si="405"/>
        <v>0</v>
      </c>
      <c r="VN238" s="132">
        <f t="shared" si="406"/>
        <v>0</v>
      </c>
      <c r="VP238" s="845" t="str">
        <f>IFERROR(HLOOKUP(F238,'Hodnocení '!$C$1:$JH$5,2,FALSE),0)</f>
        <v>Sociální služby města Jičína, Denní stacionář Domovinka</v>
      </c>
      <c r="VQ238" s="838"/>
      <c r="VR238" s="845" t="str">
        <f t="shared" si="414"/>
        <v>Příspěvková organizace zřízená územním samosprávným celkem</v>
      </c>
      <c r="VS238" s="845" t="str">
        <f>IFERROR(HLOOKUP(F238,'Hodnocení '!$C$1:$JH$5,5,FALSE),0)</f>
        <v>Obce</v>
      </c>
      <c r="VT238" s="838" t="str">
        <f t="shared" si="415"/>
        <v>Příspěvková organizace zřízená územním samosprávným celkem</v>
      </c>
      <c r="VU238" s="838">
        <f t="shared" si="416"/>
        <v>0</v>
      </c>
      <c r="VV238" s="838">
        <f t="shared" si="417"/>
        <v>370000</v>
      </c>
      <c r="VW238" s="838">
        <f t="shared" si="418"/>
        <v>0</v>
      </c>
      <c r="VX238" s="838"/>
      <c r="VY238" s="838">
        <f t="shared" si="419"/>
        <v>0</v>
      </c>
      <c r="VZ238" s="838">
        <f t="shared" si="420"/>
        <v>2666678</v>
      </c>
      <c r="WA238" s="846">
        <f>IFERROR(HLOOKUP($F238,'Hodnocení '!$C$1:$JH$9,9,FALSE),0)</f>
        <v>2666678</v>
      </c>
      <c r="WB238" s="846">
        <f>IF(IFERROR(HLOOKUP($F238,'Hodnocení '!$C$1:$JH$13,13,FALSE),0)&gt;WA238,WA238,IFERROR(HLOOKUP($F238,'Hodnocení '!$C$1:$JH$13,13,FALSE),0))</f>
        <v>2666678</v>
      </c>
      <c r="WC238" s="846">
        <f>IFERROR(HLOOKUP($F238,'Hodnocení '!$C$1:$JH$155,155,FALSE),0)</f>
        <v>1654620</v>
      </c>
      <c r="WD238" s="845"/>
      <c r="WE238" s="845"/>
      <c r="WF238" s="845" t="str">
        <f t="shared" si="407"/>
        <v>ANO</v>
      </c>
      <c r="WG238" s="849" t="str">
        <f t="shared" si="421"/>
        <v>Podpora služby je vyjádřena zařazením do sítě sociálních služeb v KHK a řešením financování služby</v>
      </c>
      <c r="WH238"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38" s="849" t="str">
        <f t="shared" si="421"/>
        <v>Návrh dotace je výsledkem projednání s ostatními zadavateli v rámci sítě služeb KHK</v>
      </c>
      <c r="WJ238" s="849" t="str">
        <f t="shared" si="421"/>
        <v>Bez komentáře</v>
      </c>
      <c r="WK238" s="31" t="str">
        <f t="shared" si="408"/>
        <v>Výše příspěvku ze strany zřizovatele bude řešen v návaznosti na řešení podílů jednotlivých zadavatelů</v>
      </c>
      <c r="WL238" s="850">
        <f t="shared" si="409"/>
        <v>0</v>
      </c>
      <c r="WM238" s="849" t="str">
        <f t="shared" si="410"/>
        <v>V rámci sítě KHK se dlouhodobě řeší otázka navyšování úhrad a průběžně se monitoruje s vazbou na vykrytí vyrovnávací platby</v>
      </c>
      <c r="WN238" s="849">
        <f t="shared" si="411"/>
        <v>0</v>
      </c>
      <c r="WO238" s="849" t="str">
        <f t="shared" si="422"/>
        <v>bez komentáře</v>
      </c>
      <c r="WP238" s="849" t="str">
        <f t="shared" si="422"/>
        <v>bez komentáře</v>
      </c>
      <c r="WQ238" s="849" t="str">
        <f t="shared" si="422"/>
        <v>Konečná výše dotace z rozpočtu KHK bude řešena v návaznosti na řešení podílů jednotlivých zadavatelů.</v>
      </c>
      <c r="WR238" s="849" t="str">
        <f t="shared" si="422"/>
        <v>Konečná výše podpory ze stran obcí bude řešena v součinnosti s jednotlivými zadavateli v průběhu roku.</v>
      </c>
      <c r="WS238" s="849" t="str">
        <f t="shared" si="422"/>
        <v>bez komentáře</v>
      </c>
      <c r="WT238" s="849" t="str">
        <f t="shared" si="422"/>
        <v>bez komentáře</v>
      </c>
      <c r="WU238" s="845"/>
    </row>
    <row r="239" spans="1:619" s="128" customFormat="1" x14ac:dyDescent="0.25">
      <c r="A239" s="128" t="str">
        <f>VLOOKUP(F239,'Výpočet VP 2020'!$D$324:$I$588,6,FALSE)</f>
        <v>Je v síti</v>
      </c>
      <c r="B239" s="128" t="s">
        <v>955</v>
      </c>
      <c r="C239" s="128">
        <v>27525279</v>
      </c>
      <c r="D239" s="128" t="s">
        <v>956</v>
      </c>
      <c r="E239" s="128" t="s">
        <v>259</v>
      </c>
      <c r="F239" s="128">
        <v>3619533</v>
      </c>
      <c r="G239" s="128" t="s">
        <v>348</v>
      </c>
      <c r="H239" s="128" t="s">
        <v>218</v>
      </c>
      <c r="I239" s="128" t="s">
        <v>957</v>
      </c>
      <c r="J239" s="129">
        <v>39448</v>
      </c>
      <c r="L239" s="128" t="s">
        <v>220</v>
      </c>
      <c r="M239" s="128" t="s">
        <v>958</v>
      </c>
      <c r="N239" s="128">
        <v>35</v>
      </c>
      <c r="P239" s="128">
        <v>47</v>
      </c>
      <c r="Q239" s="128">
        <v>50</v>
      </c>
      <c r="R239" s="128">
        <v>45</v>
      </c>
      <c r="BL239" s="128" t="s">
        <v>535</v>
      </c>
      <c r="BM239" s="128" t="s">
        <v>325</v>
      </c>
      <c r="BN239" s="128" t="s">
        <v>352</v>
      </c>
      <c r="DA239" s="128">
        <v>0</v>
      </c>
      <c r="DB239" s="128">
        <v>0</v>
      </c>
      <c r="DC239" s="128">
        <v>0</v>
      </c>
      <c r="DD239" s="128">
        <v>0</v>
      </c>
      <c r="DE239" s="128">
        <v>0</v>
      </c>
      <c r="DF239" s="128">
        <v>1</v>
      </c>
      <c r="DG239" s="128">
        <v>5</v>
      </c>
      <c r="DH239" s="128">
        <v>21</v>
      </c>
      <c r="DI239" s="128">
        <v>8</v>
      </c>
      <c r="DJ239" s="128">
        <v>0</v>
      </c>
      <c r="DK239" s="128">
        <v>1</v>
      </c>
      <c r="DL239" s="128">
        <v>5</v>
      </c>
      <c r="DM239" s="128">
        <v>21</v>
      </c>
      <c r="DN239" s="128">
        <v>8</v>
      </c>
      <c r="DO239" s="128">
        <v>0</v>
      </c>
      <c r="DP239" s="128">
        <v>0</v>
      </c>
      <c r="DQ239" s="128">
        <v>35</v>
      </c>
      <c r="DR239" s="128">
        <v>35</v>
      </c>
      <c r="DS239" s="128">
        <v>0</v>
      </c>
      <c r="DT239" s="128">
        <v>0</v>
      </c>
      <c r="DU239" s="128">
        <v>0</v>
      </c>
      <c r="DV239" s="128">
        <v>0</v>
      </c>
      <c r="DW239" s="128">
        <v>0</v>
      </c>
      <c r="DX239" s="128">
        <v>1</v>
      </c>
      <c r="DY239" s="128">
        <v>5</v>
      </c>
      <c r="DZ239" s="128">
        <v>21</v>
      </c>
      <c r="EA239" s="128">
        <v>8</v>
      </c>
      <c r="EB239" s="128">
        <v>0</v>
      </c>
      <c r="EC239" s="128">
        <v>1</v>
      </c>
      <c r="ED239" s="128">
        <v>5</v>
      </c>
      <c r="EE239" s="128">
        <v>21</v>
      </c>
      <c r="EF239" s="128">
        <v>8</v>
      </c>
      <c r="EG239" s="128">
        <v>0</v>
      </c>
      <c r="EH239" s="128">
        <v>0</v>
      </c>
      <c r="EI239" s="128">
        <v>35</v>
      </c>
      <c r="EJ239" s="128">
        <v>35</v>
      </c>
      <c r="EK239" s="128">
        <v>1</v>
      </c>
      <c r="EL239" s="128">
        <v>1</v>
      </c>
      <c r="EM239" s="128">
        <v>1</v>
      </c>
      <c r="EN239" s="128">
        <v>770000</v>
      </c>
      <c r="EO239" s="128">
        <v>500000</v>
      </c>
      <c r="EP239" s="128">
        <v>10</v>
      </c>
      <c r="EQ239" s="128">
        <v>9</v>
      </c>
      <c r="ER239" s="128">
        <v>8</v>
      </c>
      <c r="ES239" s="128">
        <v>4077000</v>
      </c>
      <c r="ET239" s="128">
        <v>4077000</v>
      </c>
      <c r="EU239" s="128">
        <v>8</v>
      </c>
      <c r="EV239" s="128">
        <v>6.5</v>
      </c>
      <c r="EW239" s="128">
        <v>5.75</v>
      </c>
      <c r="EX239" s="128">
        <v>4690000</v>
      </c>
      <c r="EY239" s="128">
        <v>0</v>
      </c>
      <c r="FO239" s="128">
        <v>5</v>
      </c>
      <c r="FP239" s="128">
        <v>4.5</v>
      </c>
      <c r="FQ239" s="128">
        <v>4.75</v>
      </c>
      <c r="FR239" s="128">
        <v>2088113</v>
      </c>
      <c r="FS239" s="128">
        <v>150000</v>
      </c>
      <c r="FZ239" s="128">
        <v>3</v>
      </c>
      <c r="GA239" s="128">
        <v>0.75</v>
      </c>
      <c r="GB239" s="128">
        <v>36</v>
      </c>
      <c r="GC239" s="128">
        <v>0.75</v>
      </c>
      <c r="GD239" s="128">
        <v>254000</v>
      </c>
      <c r="GE239" s="128">
        <v>0</v>
      </c>
      <c r="IN239" s="128">
        <v>7</v>
      </c>
      <c r="IO239" s="128">
        <v>2100</v>
      </c>
      <c r="IP239" s="128">
        <v>1.002</v>
      </c>
      <c r="IQ239" s="128">
        <v>294000</v>
      </c>
      <c r="IR239" s="128">
        <v>0</v>
      </c>
      <c r="IS239" s="128">
        <v>7</v>
      </c>
      <c r="IT239" s="128">
        <v>1750</v>
      </c>
      <c r="IU239" s="128">
        <v>0.83499999999999996</v>
      </c>
      <c r="IV239" s="128">
        <v>256500</v>
      </c>
      <c r="IW239" s="128">
        <v>0</v>
      </c>
      <c r="KG239" s="128">
        <v>0</v>
      </c>
      <c r="KI239" s="128">
        <v>16.5</v>
      </c>
      <c r="KJ239" s="128">
        <v>0.75</v>
      </c>
      <c r="KK239" s="128">
        <v>1.002</v>
      </c>
      <c r="KL239" s="128">
        <v>0</v>
      </c>
      <c r="KM239" s="128">
        <v>18.251999999999999</v>
      </c>
      <c r="KN239" s="128">
        <v>11625113</v>
      </c>
      <c r="KO239" s="128">
        <v>4727000</v>
      </c>
      <c r="KP239" s="128">
        <v>4727000</v>
      </c>
      <c r="KT239" s="128">
        <v>254000</v>
      </c>
      <c r="KU239" s="128">
        <v>0</v>
      </c>
      <c r="KV239" s="128">
        <v>0</v>
      </c>
      <c r="KZ239" s="128">
        <v>550500</v>
      </c>
      <c r="LA239" s="128">
        <v>0</v>
      </c>
      <c r="LB239" s="128">
        <v>0</v>
      </c>
      <c r="LF239" s="128">
        <v>232500</v>
      </c>
      <c r="LG239" s="128">
        <v>0</v>
      </c>
      <c r="LH239" s="128">
        <v>0</v>
      </c>
      <c r="LL239" s="128">
        <v>0</v>
      </c>
      <c r="LM239" s="128">
        <v>0</v>
      </c>
      <c r="LN239" s="128">
        <v>0</v>
      </c>
      <c r="LR239" s="128">
        <v>250000</v>
      </c>
      <c r="LS239" s="128">
        <v>0</v>
      </c>
      <c r="LT239" s="128">
        <v>0</v>
      </c>
      <c r="LX239" s="128">
        <v>0</v>
      </c>
      <c r="LY239" s="128">
        <v>0</v>
      </c>
      <c r="LZ239" s="128">
        <v>0</v>
      </c>
      <c r="MD239" s="128">
        <v>48000</v>
      </c>
      <c r="ME239" s="128">
        <v>0</v>
      </c>
      <c r="MF239" s="128">
        <v>0</v>
      </c>
      <c r="MJ239" s="128">
        <v>12000</v>
      </c>
      <c r="MK239" s="128">
        <v>0</v>
      </c>
      <c r="ML239" s="128">
        <v>0</v>
      </c>
      <c r="MP239" s="128">
        <v>245000</v>
      </c>
      <c r="MQ239" s="128">
        <v>0</v>
      </c>
      <c r="MR239" s="128">
        <v>0</v>
      </c>
      <c r="MV239" s="128">
        <v>430000</v>
      </c>
      <c r="MW239" s="128">
        <v>0</v>
      </c>
      <c r="MX239" s="128">
        <v>0</v>
      </c>
      <c r="NB239" s="128">
        <v>236000</v>
      </c>
      <c r="NC239" s="128">
        <v>5000</v>
      </c>
      <c r="ND239" s="128">
        <v>5000</v>
      </c>
      <c r="NH239" s="128">
        <v>0</v>
      </c>
      <c r="NI239" s="128">
        <v>0</v>
      </c>
      <c r="NJ239" s="128">
        <v>0</v>
      </c>
      <c r="NN239" s="128">
        <v>145000</v>
      </c>
      <c r="NO239" s="128">
        <v>0</v>
      </c>
      <c r="NP239" s="128">
        <v>0</v>
      </c>
      <c r="NT239" s="128">
        <v>40000</v>
      </c>
      <c r="NU239" s="128">
        <v>40000</v>
      </c>
      <c r="NV239" s="128">
        <v>40000</v>
      </c>
      <c r="NZ239" s="128">
        <v>75000</v>
      </c>
      <c r="OA239" s="128">
        <v>0</v>
      </c>
      <c r="OB239" s="128">
        <v>0</v>
      </c>
      <c r="OF239" s="128">
        <v>20000</v>
      </c>
      <c r="OG239" s="128">
        <v>0</v>
      </c>
      <c r="OH239" s="128">
        <v>0</v>
      </c>
      <c r="OL239" s="128">
        <v>0</v>
      </c>
      <c r="OM239" s="128">
        <v>0</v>
      </c>
      <c r="ON239" s="128">
        <v>0</v>
      </c>
      <c r="OR239" s="128">
        <v>0</v>
      </c>
      <c r="OS239" s="128">
        <v>0</v>
      </c>
      <c r="OT239" s="128">
        <v>0</v>
      </c>
      <c r="OX239" s="128">
        <v>1600000</v>
      </c>
      <c r="OY239" s="128">
        <v>0</v>
      </c>
      <c r="OZ239" s="128">
        <v>0</v>
      </c>
      <c r="PD239" s="128">
        <v>13968</v>
      </c>
      <c r="PE239" s="128">
        <v>0</v>
      </c>
      <c r="PF239" s="128">
        <v>0</v>
      </c>
      <c r="PJ239" s="128">
        <v>40000</v>
      </c>
      <c r="PK239" s="128">
        <v>5941</v>
      </c>
      <c r="PL239" s="128">
        <v>5941</v>
      </c>
      <c r="PP239" s="128">
        <v>15817081</v>
      </c>
      <c r="PQ239" s="128">
        <v>4777941</v>
      </c>
      <c r="PR239" s="128">
        <v>4777941</v>
      </c>
      <c r="PS239" s="128">
        <v>100</v>
      </c>
      <c r="PT239" s="128">
        <v>100</v>
      </c>
      <c r="PV239" s="128">
        <v>10583509</v>
      </c>
      <c r="PX239" s="128">
        <v>2880000</v>
      </c>
      <c r="PY239" s="128">
        <v>3471471</v>
      </c>
      <c r="PZ239" s="128">
        <v>4777941</v>
      </c>
      <c r="QA239" s="128">
        <v>15000</v>
      </c>
      <c r="QB239" s="128">
        <v>0</v>
      </c>
      <c r="QC239" s="128">
        <v>0</v>
      </c>
      <c r="QD239" s="128">
        <v>1247400</v>
      </c>
      <c r="QE239" s="128">
        <v>1534000</v>
      </c>
      <c r="QF239" s="128">
        <v>1737000</v>
      </c>
      <c r="QG239" s="128">
        <v>0</v>
      </c>
      <c r="QH239" s="128">
        <v>0</v>
      </c>
      <c r="QI239" s="128">
        <v>0</v>
      </c>
      <c r="QJ239" s="128">
        <v>7825560</v>
      </c>
      <c r="QK239" s="128">
        <v>7920440</v>
      </c>
      <c r="QL239" s="128">
        <v>8047440</v>
      </c>
      <c r="QN239" s="128">
        <v>950642</v>
      </c>
      <c r="QO239" s="128">
        <v>1000000</v>
      </c>
      <c r="QP239" s="128">
        <v>1050000</v>
      </c>
      <c r="QU239" s="128">
        <v>40000</v>
      </c>
      <c r="QV239" s="128">
        <v>110078</v>
      </c>
      <c r="QW239" s="128">
        <v>150000</v>
      </c>
      <c r="QX239" s="128">
        <v>120000</v>
      </c>
      <c r="QY239" s="128">
        <v>150000</v>
      </c>
      <c r="QZ239" s="128">
        <v>0</v>
      </c>
      <c r="RD239" s="128">
        <v>179089</v>
      </c>
      <c r="RE239" s="128">
        <v>52700</v>
      </c>
      <c r="RF239" s="128">
        <v>54700</v>
      </c>
      <c r="RH239" s="128">
        <f t="shared" si="412"/>
        <v>6719641</v>
      </c>
      <c r="RI239" s="128">
        <v>0</v>
      </c>
      <c r="RM239" s="128" t="s">
        <v>220</v>
      </c>
      <c r="RU239" s="130"/>
      <c r="RV239" s="130"/>
      <c r="RW239" s="130"/>
      <c r="RX239" s="130"/>
      <c r="SF239" s="128">
        <f t="shared" si="322"/>
        <v>3619533</v>
      </c>
      <c r="SG239" s="131">
        <f t="shared" si="323"/>
        <v>15817081</v>
      </c>
      <c r="SH239" s="131">
        <f t="shared" si="324"/>
        <v>15817081</v>
      </c>
      <c r="SI239" s="131">
        <f t="shared" si="325"/>
        <v>12662113</v>
      </c>
      <c r="SJ239" s="132">
        <f t="shared" si="326"/>
        <v>11625113</v>
      </c>
      <c r="SK239" s="132">
        <f t="shared" si="327"/>
        <v>254000</v>
      </c>
      <c r="SL239" s="132">
        <f t="shared" si="328"/>
        <v>550500</v>
      </c>
      <c r="SM239" s="132">
        <f t="shared" si="329"/>
        <v>232500</v>
      </c>
      <c r="SN239" s="131">
        <f t="shared" si="330"/>
        <v>3154968</v>
      </c>
      <c r="SO239" s="131">
        <f t="shared" si="331"/>
        <v>250000</v>
      </c>
      <c r="SP239" s="132">
        <f t="shared" si="332"/>
        <v>0</v>
      </c>
      <c r="SQ239" s="132">
        <f t="shared" si="333"/>
        <v>250000</v>
      </c>
      <c r="SR239" s="132">
        <f t="shared" si="334"/>
        <v>0</v>
      </c>
      <c r="SS239" s="132">
        <f t="shared" si="335"/>
        <v>48000</v>
      </c>
      <c r="ST239" s="132">
        <f t="shared" si="336"/>
        <v>12000</v>
      </c>
      <c r="SU239" s="132">
        <f t="shared" si="337"/>
        <v>245000</v>
      </c>
      <c r="SV239" s="131">
        <f t="shared" si="338"/>
        <v>2546000</v>
      </c>
      <c r="SW239" s="132">
        <f t="shared" si="339"/>
        <v>430000</v>
      </c>
      <c r="SX239" s="132">
        <f t="shared" si="340"/>
        <v>236000</v>
      </c>
      <c r="SY239" s="132">
        <f t="shared" si="341"/>
        <v>0</v>
      </c>
      <c r="SZ239" s="132">
        <f t="shared" si="342"/>
        <v>145000</v>
      </c>
      <c r="TA239" s="132">
        <f t="shared" si="343"/>
        <v>40000</v>
      </c>
      <c r="TB239" s="132">
        <f t="shared" si="344"/>
        <v>75000</v>
      </c>
      <c r="TC239" s="132">
        <f t="shared" si="345"/>
        <v>20000</v>
      </c>
      <c r="TD239" s="132">
        <f t="shared" si="346"/>
        <v>0</v>
      </c>
      <c r="TE239" s="132">
        <f t="shared" si="347"/>
        <v>0</v>
      </c>
      <c r="TF239" s="132">
        <f t="shared" si="348"/>
        <v>1600000</v>
      </c>
      <c r="TG239" s="132">
        <f t="shared" si="349"/>
        <v>13968</v>
      </c>
      <c r="TH239" s="132">
        <f t="shared" si="350"/>
        <v>40000</v>
      </c>
      <c r="TI239" s="1"/>
      <c r="TJ239" s="131">
        <f t="shared" si="351"/>
        <v>4777941</v>
      </c>
      <c r="TK239" s="131">
        <f t="shared" si="352"/>
        <v>4777941</v>
      </c>
      <c r="TL239" s="131">
        <f t="shared" si="353"/>
        <v>4727000</v>
      </c>
      <c r="TM239" s="132">
        <f t="shared" si="354"/>
        <v>4727000</v>
      </c>
      <c r="TN239" s="132">
        <f t="shared" si="355"/>
        <v>0</v>
      </c>
      <c r="TO239" s="132">
        <f t="shared" si="356"/>
        <v>0</v>
      </c>
      <c r="TP239" s="132">
        <f t="shared" si="357"/>
        <v>0</v>
      </c>
      <c r="TQ239" s="131">
        <f t="shared" si="358"/>
        <v>50941</v>
      </c>
      <c r="TR239" s="131">
        <f t="shared" si="359"/>
        <v>0</v>
      </c>
      <c r="TS239" s="132">
        <f t="shared" si="360"/>
        <v>0</v>
      </c>
      <c r="TT239" s="132">
        <f t="shared" si="361"/>
        <v>0</v>
      </c>
      <c r="TU239" s="132">
        <f t="shared" si="362"/>
        <v>0</v>
      </c>
      <c r="TV239" s="132">
        <f t="shared" si="363"/>
        <v>0</v>
      </c>
      <c r="TW239" s="132">
        <f t="shared" si="364"/>
        <v>0</v>
      </c>
      <c r="TX239" s="132">
        <f t="shared" si="365"/>
        <v>0</v>
      </c>
      <c r="TY239" s="131">
        <f t="shared" si="366"/>
        <v>45000</v>
      </c>
      <c r="TZ239" s="132">
        <f t="shared" si="367"/>
        <v>0</v>
      </c>
      <c r="UA239" s="132">
        <f t="shared" si="368"/>
        <v>5000</v>
      </c>
      <c r="UB239" s="132">
        <f t="shared" si="369"/>
        <v>0</v>
      </c>
      <c r="UC239" s="132">
        <f t="shared" si="370"/>
        <v>0</v>
      </c>
      <c r="UD239" s="132">
        <f t="shared" si="371"/>
        <v>40000</v>
      </c>
      <c r="UE239" s="132">
        <f t="shared" si="372"/>
        <v>0</v>
      </c>
      <c r="UF239" s="132">
        <f t="shared" si="373"/>
        <v>0</v>
      </c>
      <c r="UG239" s="132">
        <f t="shared" si="374"/>
        <v>0</v>
      </c>
      <c r="UH239" s="132">
        <f t="shared" si="375"/>
        <v>0</v>
      </c>
      <c r="UI239" s="132">
        <f t="shared" si="376"/>
        <v>0</v>
      </c>
      <c r="UJ239" s="132">
        <f t="shared" si="377"/>
        <v>0</v>
      </c>
      <c r="UK239" s="132">
        <f t="shared" si="378"/>
        <v>5941</v>
      </c>
      <c r="UL239" s="132">
        <f t="shared" si="413"/>
        <v>4777941</v>
      </c>
      <c r="UM239" s="131">
        <f t="shared" si="379"/>
        <v>4777941</v>
      </c>
      <c r="UN239" s="131">
        <f t="shared" si="380"/>
        <v>4777941</v>
      </c>
      <c r="UO239" s="131">
        <f t="shared" si="381"/>
        <v>4727000</v>
      </c>
      <c r="UP239" s="132">
        <f t="shared" si="382"/>
        <v>4727000</v>
      </c>
      <c r="UQ239" s="132">
        <f t="shared" si="383"/>
        <v>0</v>
      </c>
      <c r="UR239" s="132">
        <f t="shared" si="384"/>
        <v>0</v>
      </c>
      <c r="US239" s="132">
        <f t="shared" si="385"/>
        <v>0</v>
      </c>
      <c r="UT239" s="131">
        <f t="shared" si="386"/>
        <v>50941</v>
      </c>
      <c r="UU239" s="131">
        <f t="shared" si="387"/>
        <v>0</v>
      </c>
      <c r="UV239" s="132">
        <f t="shared" si="388"/>
        <v>0</v>
      </c>
      <c r="UW239" s="132">
        <f t="shared" si="389"/>
        <v>0</v>
      </c>
      <c r="UX239" s="132">
        <f t="shared" si="390"/>
        <v>0</v>
      </c>
      <c r="UY239" s="132">
        <f t="shared" si="391"/>
        <v>0</v>
      </c>
      <c r="UZ239" s="132">
        <f t="shared" si="392"/>
        <v>0</v>
      </c>
      <c r="VA239" s="132">
        <f t="shared" si="393"/>
        <v>0</v>
      </c>
      <c r="VB239" s="131">
        <f t="shared" si="394"/>
        <v>45000</v>
      </c>
      <c r="VC239" s="132">
        <f t="shared" si="395"/>
        <v>0</v>
      </c>
      <c r="VD239" s="132">
        <f t="shared" si="396"/>
        <v>5000</v>
      </c>
      <c r="VE239" s="132">
        <f t="shared" si="397"/>
        <v>0</v>
      </c>
      <c r="VF239" s="132">
        <f t="shared" si="398"/>
        <v>0</v>
      </c>
      <c r="VG239" s="132">
        <f t="shared" si="399"/>
        <v>40000</v>
      </c>
      <c r="VH239" s="132">
        <f t="shared" si="400"/>
        <v>0</v>
      </c>
      <c r="VI239" s="132">
        <f t="shared" si="401"/>
        <v>0</v>
      </c>
      <c r="VJ239" s="132">
        <f t="shared" si="402"/>
        <v>0</v>
      </c>
      <c r="VK239" s="132">
        <f t="shared" si="403"/>
        <v>0</v>
      </c>
      <c r="VL239" s="132">
        <f t="shared" si="404"/>
        <v>0</v>
      </c>
      <c r="VM239" s="132">
        <f t="shared" si="405"/>
        <v>0</v>
      </c>
      <c r="VN239" s="132">
        <f t="shared" si="406"/>
        <v>5941</v>
      </c>
      <c r="VP239" s="845" t="str">
        <f>IFERROR(HLOOKUP(F239,'Hodnocení '!$C$1:$JH$5,2,FALSE),0)</f>
        <v>Domov pro seniory Jitřenka</v>
      </c>
      <c r="VQ239" s="838"/>
      <c r="VR239" s="845" t="str">
        <f t="shared" si="414"/>
        <v>Příspěvková organizace zřízená územním samosprávným celkem</v>
      </c>
      <c r="VS239" s="845" t="str">
        <f>IFERROR(HLOOKUP(F239,'Hodnocení '!$C$1:$JH$5,5,FALSE),0)</f>
        <v>Obce</v>
      </c>
      <c r="VT239" s="838" t="str">
        <f t="shared" si="415"/>
        <v>Příspěvková organizace zřízená územním samosprávným celkem</v>
      </c>
      <c r="VU239" s="838">
        <f t="shared" si="416"/>
        <v>0</v>
      </c>
      <c r="VV239" s="838">
        <f t="shared" si="417"/>
        <v>8047440</v>
      </c>
      <c r="VW239" s="838">
        <f t="shared" si="418"/>
        <v>1050000</v>
      </c>
      <c r="VX239" s="838"/>
      <c r="VY239" s="838">
        <f t="shared" si="419"/>
        <v>0</v>
      </c>
      <c r="VZ239" s="838">
        <f t="shared" si="420"/>
        <v>4777941</v>
      </c>
      <c r="WA239" s="846">
        <f>IFERROR(HLOOKUP($F239,'Hodnocení '!$C$1:$JH$9,9,FALSE),0)</f>
        <v>4777941</v>
      </c>
      <c r="WB239" s="846">
        <f>IF(IFERROR(HLOOKUP($F239,'Hodnocení '!$C$1:$JH$13,13,FALSE),0)&gt;WA239,WA239,IFERROR(HLOOKUP($F239,'Hodnocení '!$C$1:$JH$13,13,FALSE),0))</f>
        <v>4777941</v>
      </c>
      <c r="WC239" s="846">
        <f>IFERROR(HLOOKUP($F239,'Hodnocení '!$C$1:$JH$155,155,FALSE),0)</f>
        <v>4468800</v>
      </c>
      <c r="WD239" s="845"/>
      <c r="WE239" s="845"/>
      <c r="WF239" s="845" t="str">
        <f t="shared" si="407"/>
        <v>ANO</v>
      </c>
      <c r="WG239" s="849" t="str">
        <f t="shared" si="421"/>
        <v>Podpora služby je vyjádřena zařazením do sítě sociálních služeb v KHK a řešením financování služby</v>
      </c>
      <c r="WH239"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39" s="849" t="str">
        <f t="shared" si="421"/>
        <v>Návrh dotace je výsledkem projednání s ostatními zadavateli v rámci sítě služeb KHK</v>
      </c>
      <c r="WJ239" s="849" t="str">
        <f t="shared" si="421"/>
        <v>Bez komentáře</v>
      </c>
      <c r="WK239" s="31" t="str">
        <f t="shared" si="408"/>
        <v>Výše příspěvku ze strany zřizovatele bude řešen v návaznosti na řešení podílů jednotlivých zadavatelů</v>
      </c>
      <c r="WL239" s="850">
        <f t="shared" si="409"/>
        <v>0</v>
      </c>
      <c r="WM239" s="849" t="str">
        <f t="shared" si="410"/>
        <v>V rámci sítě KHK se dlouhodobě řeší otázka navyšování úhrad a průběžně se monitoruje s vazbou na vykrytí vyrovnávací platby</v>
      </c>
      <c r="WN239" s="849" t="str">
        <f t="shared" si="411"/>
        <v>Otázka výběru od zdravotních pojišťoven je předmětem procesu, který probíhá ve formě jednání se ZP a organizacemi</v>
      </c>
      <c r="WO239" s="849" t="str">
        <f t="shared" si="422"/>
        <v>bez komentáře</v>
      </c>
      <c r="WP239" s="849" t="str">
        <f t="shared" si="422"/>
        <v>bez komentáře</v>
      </c>
      <c r="WQ239" s="849" t="str">
        <f t="shared" si="422"/>
        <v>Konečná výše dotace z rozpočtu KHK bude řešena v návaznosti na řešení podílů jednotlivých zadavatelů.</v>
      </c>
      <c r="WR239" s="849" t="str">
        <f t="shared" si="422"/>
        <v>Konečná výše podpory ze stran obcí bude řešena v součinnosti s jednotlivými zadavateli v průběhu roku.</v>
      </c>
      <c r="WS239" s="849" t="str">
        <f t="shared" si="422"/>
        <v>bez komentáře</v>
      </c>
      <c r="WT239" s="849" t="str">
        <f t="shared" si="422"/>
        <v>bez komentáře</v>
      </c>
      <c r="WU239" s="845"/>
    </row>
    <row r="240" spans="1:619" s="128" customFormat="1" x14ac:dyDescent="0.25">
      <c r="A240" s="128" t="str">
        <f>VLOOKUP(F240,'Výpočet VP 2020'!$D$324:$I$588,6,FALSE)</f>
        <v>Je v síti</v>
      </c>
      <c r="B240" s="128" t="s">
        <v>959</v>
      </c>
      <c r="C240" s="128">
        <v>70891940</v>
      </c>
      <c r="D240" s="128" t="s">
        <v>960</v>
      </c>
      <c r="E240" s="128" t="s">
        <v>259</v>
      </c>
      <c r="F240" s="128">
        <v>8982230</v>
      </c>
      <c r="G240" s="128" t="s">
        <v>348</v>
      </c>
      <c r="H240" s="128" t="s">
        <v>218</v>
      </c>
      <c r="I240" s="128" t="s">
        <v>959</v>
      </c>
      <c r="J240" s="129">
        <v>39083</v>
      </c>
      <c r="L240" s="128" t="s">
        <v>220</v>
      </c>
      <c r="M240" s="128" t="s">
        <v>961</v>
      </c>
      <c r="N240" s="128">
        <v>37</v>
      </c>
      <c r="P240" s="128">
        <v>46</v>
      </c>
      <c r="Q240" s="128">
        <v>46</v>
      </c>
      <c r="R240" s="128">
        <v>47</v>
      </c>
      <c r="BL240" s="128" t="s">
        <v>351</v>
      </c>
      <c r="BM240" s="128" t="s">
        <v>325</v>
      </c>
      <c r="BN240" s="128" t="s">
        <v>326</v>
      </c>
      <c r="DA240" s="128">
        <v>0</v>
      </c>
      <c r="DB240" s="128">
        <v>0</v>
      </c>
      <c r="DC240" s="128">
        <v>0</v>
      </c>
      <c r="DD240" s="128">
        <v>0</v>
      </c>
      <c r="DE240" s="128">
        <v>0</v>
      </c>
      <c r="DF240" s="128">
        <v>0</v>
      </c>
      <c r="DG240" s="128">
        <v>4</v>
      </c>
      <c r="DH240" s="128">
        <v>16</v>
      </c>
      <c r="DI240" s="128">
        <v>17</v>
      </c>
      <c r="DJ240" s="128">
        <v>0</v>
      </c>
      <c r="DK240" s="128">
        <v>0</v>
      </c>
      <c r="DL240" s="128">
        <v>4</v>
      </c>
      <c r="DM240" s="128">
        <v>16</v>
      </c>
      <c r="DN240" s="128">
        <v>17</v>
      </c>
      <c r="DO240" s="128">
        <v>0</v>
      </c>
      <c r="DP240" s="128">
        <v>0</v>
      </c>
      <c r="DQ240" s="128">
        <v>37</v>
      </c>
      <c r="DR240" s="128">
        <v>37</v>
      </c>
      <c r="DS240" s="128">
        <v>0</v>
      </c>
      <c r="DT240" s="128">
        <v>0</v>
      </c>
      <c r="DU240" s="128">
        <v>0</v>
      </c>
      <c r="DV240" s="128">
        <v>0</v>
      </c>
      <c r="DW240" s="128">
        <v>0</v>
      </c>
      <c r="DX240" s="128">
        <v>0</v>
      </c>
      <c r="DY240" s="128">
        <v>2</v>
      </c>
      <c r="DZ240" s="128">
        <v>16</v>
      </c>
      <c r="EA240" s="128">
        <v>19</v>
      </c>
      <c r="EB240" s="128">
        <v>0</v>
      </c>
      <c r="EC240" s="128">
        <v>0</v>
      </c>
      <c r="ED240" s="128">
        <v>2</v>
      </c>
      <c r="EE240" s="128">
        <v>16</v>
      </c>
      <c r="EF240" s="128">
        <v>19</v>
      </c>
      <c r="EG240" s="128">
        <v>0</v>
      </c>
      <c r="EH240" s="128">
        <v>0</v>
      </c>
      <c r="EI240" s="128">
        <v>37</v>
      </c>
      <c r="EJ240" s="128">
        <v>37</v>
      </c>
      <c r="EK240" s="128">
        <v>1</v>
      </c>
      <c r="EL240" s="128">
        <v>1</v>
      </c>
      <c r="EM240" s="128">
        <v>1</v>
      </c>
      <c r="EN240" s="128">
        <v>510000</v>
      </c>
      <c r="EO240" s="128">
        <v>480000</v>
      </c>
      <c r="EP240" s="128">
        <v>12</v>
      </c>
      <c r="EQ240" s="128">
        <v>11.5</v>
      </c>
      <c r="ER240" s="128">
        <v>11.5</v>
      </c>
      <c r="ES240" s="128">
        <v>5950000</v>
      </c>
      <c r="ET240" s="128">
        <v>5650000</v>
      </c>
      <c r="EU240" s="128">
        <v>5</v>
      </c>
      <c r="EV240" s="128">
        <v>4</v>
      </c>
      <c r="EW240" s="128">
        <v>3.5</v>
      </c>
      <c r="EX240" s="128">
        <v>1990000</v>
      </c>
      <c r="EY240" s="128">
        <v>0</v>
      </c>
      <c r="FO240" s="128">
        <v>11</v>
      </c>
      <c r="FP240" s="128">
        <v>9</v>
      </c>
      <c r="FQ240" s="128">
        <v>9</v>
      </c>
      <c r="FR240" s="128">
        <v>4260000</v>
      </c>
      <c r="FS240" s="128">
        <v>1600000</v>
      </c>
      <c r="IS240" s="128">
        <v>2</v>
      </c>
      <c r="IT240" s="128">
        <v>600</v>
      </c>
      <c r="IU240" s="128">
        <v>0.28599999999999998</v>
      </c>
      <c r="IV240" s="128">
        <v>55500</v>
      </c>
      <c r="IW240" s="128">
        <v>0</v>
      </c>
      <c r="KG240" s="128">
        <v>1</v>
      </c>
      <c r="KH240" s="128">
        <v>36</v>
      </c>
      <c r="KI240" s="128">
        <v>16.5</v>
      </c>
      <c r="KJ240" s="128">
        <v>0</v>
      </c>
      <c r="KK240" s="128">
        <v>0</v>
      </c>
      <c r="KL240" s="128">
        <v>0</v>
      </c>
      <c r="KM240" s="128">
        <v>16.5</v>
      </c>
      <c r="KN240" s="128">
        <v>12710000</v>
      </c>
      <c r="KO240" s="128">
        <v>7730000</v>
      </c>
      <c r="KP240" s="128">
        <v>7730000</v>
      </c>
      <c r="KT240" s="128">
        <v>0</v>
      </c>
      <c r="KU240" s="128">
        <v>0</v>
      </c>
      <c r="KV240" s="128">
        <v>0</v>
      </c>
      <c r="KZ240" s="128">
        <v>55500</v>
      </c>
      <c r="LA240" s="128">
        <v>0</v>
      </c>
      <c r="LB240" s="128">
        <v>0</v>
      </c>
      <c r="LF240" s="128">
        <v>45000</v>
      </c>
      <c r="LG240" s="128">
        <v>0</v>
      </c>
      <c r="LH240" s="128">
        <v>0</v>
      </c>
      <c r="LL240" s="128">
        <v>0</v>
      </c>
      <c r="LM240" s="128">
        <v>0</v>
      </c>
      <c r="LN240" s="128">
        <v>0</v>
      </c>
      <c r="LR240" s="128">
        <v>450000</v>
      </c>
      <c r="LS240" s="128">
        <v>0</v>
      </c>
      <c r="LT240" s="128">
        <v>0</v>
      </c>
      <c r="LX240" s="128">
        <v>1300000</v>
      </c>
      <c r="LY240" s="128">
        <v>0</v>
      </c>
      <c r="LZ240" s="128">
        <v>0</v>
      </c>
      <c r="MD240" s="128">
        <v>150000</v>
      </c>
      <c r="ME240" s="128">
        <v>0</v>
      </c>
      <c r="MF240" s="128">
        <v>0</v>
      </c>
      <c r="MJ240" s="128">
        <v>20000</v>
      </c>
      <c r="MK240" s="128">
        <v>0</v>
      </c>
      <c r="ML240" s="128">
        <v>0</v>
      </c>
      <c r="MP240" s="128">
        <v>450000</v>
      </c>
      <c r="MQ240" s="128">
        <v>0</v>
      </c>
      <c r="MR240" s="128">
        <v>0</v>
      </c>
      <c r="MV240" s="128">
        <v>1100000</v>
      </c>
      <c r="MW240" s="128">
        <v>0</v>
      </c>
      <c r="MX240" s="128">
        <v>0</v>
      </c>
      <c r="NB240" s="128">
        <v>89500</v>
      </c>
      <c r="NC240" s="128">
        <v>0</v>
      </c>
      <c r="ND240" s="128">
        <v>0</v>
      </c>
      <c r="NH240" s="128">
        <v>0</v>
      </c>
      <c r="NI240" s="128">
        <v>0</v>
      </c>
      <c r="NJ240" s="128">
        <v>0</v>
      </c>
      <c r="NN240" s="128">
        <v>360000</v>
      </c>
      <c r="NO240" s="128">
        <v>0</v>
      </c>
      <c r="NP240" s="128">
        <v>0</v>
      </c>
      <c r="NT240" s="128">
        <v>130000</v>
      </c>
      <c r="NU240" s="128">
        <v>0</v>
      </c>
      <c r="NV240" s="128">
        <v>0</v>
      </c>
      <c r="NZ240" s="128">
        <v>450000</v>
      </c>
      <c r="OA240" s="128">
        <v>0</v>
      </c>
      <c r="OB240" s="128">
        <v>0</v>
      </c>
      <c r="OF240" s="128">
        <v>20000</v>
      </c>
      <c r="OG240" s="128">
        <v>0</v>
      </c>
      <c r="OH240" s="128">
        <v>0</v>
      </c>
      <c r="OL240" s="128">
        <v>0</v>
      </c>
      <c r="OM240" s="128">
        <v>0</v>
      </c>
      <c r="ON240" s="128">
        <v>0</v>
      </c>
      <c r="OR240" s="128">
        <v>0</v>
      </c>
      <c r="OS240" s="128">
        <v>0</v>
      </c>
      <c r="OT240" s="128">
        <v>0</v>
      </c>
      <c r="OX240" s="128">
        <v>425000</v>
      </c>
      <c r="OY240" s="128">
        <v>0</v>
      </c>
      <c r="OZ240" s="128">
        <v>0</v>
      </c>
      <c r="PD240" s="128">
        <v>240000</v>
      </c>
      <c r="PE240" s="128">
        <v>0</v>
      </c>
      <c r="PF240" s="128">
        <v>0</v>
      </c>
      <c r="PJ240" s="128">
        <v>0</v>
      </c>
      <c r="PK240" s="128">
        <v>0</v>
      </c>
      <c r="PL240" s="128">
        <v>0</v>
      </c>
      <c r="PP240" s="128">
        <v>17995000</v>
      </c>
      <c r="PQ240" s="128">
        <v>7730000</v>
      </c>
      <c r="PR240" s="128">
        <v>7730000</v>
      </c>
      <c r="PS240" s="128">
        <v>100</v>
      </c>
      <c r="PT240" s="128">
        <v>100</v>
      </c>
      <c r="PV240" s="128">
        <v>11047838</v>
      </c>
      <c r="PX240" s="128">
        <v>5370000</v>
      </c>
      <c r="PY240" s="128">
        <v>6200000</v>
      </c>
      <c r="PZ240" s="128">
        <v>7730000</v>
      </c>
      <c r="QA240" s="128">
        <v>0</v>
      </c>
      <c r="QB240" s="128">
        <v>0</v>
      </c>
      <c r="QC240" s="128">
        <v>0</v>
      </c>
      <c r="QD240" s="128">
        <v>200000</v>
      </c>
      <c r="QE240" s="128">
        <v>300000</v>
      </c>
      <c r="QF240" s="128">
        <v>300000</v>
      </c>
      <c r="QG240" s="128">
        <v>0</v>
      </c>
      <c r="QH240" s="128">
        <v>0</v>
      </c>
      <c r="QI240" s="128">
        <v>0</v>
      </c>
      <c r="QJ240" s="128">
        <v>8956387</v>
      </c>
      <c r="QK240" s="128">
        <v>9200000</v>
      </c>
      <c r="QL240" s="128">
        <v>9330000</v>
      </c>
      <c r="QN240" s="128">
        <v>294082</v>
      </c>
      <c r="QO240" s="128">
        <v>270000</v>
      </c>
      <c r="QP240" s="128">
        <v>285000</v>
      </c>
      <c r="QU240" s="128">
        <v>330000</v>
      </c>
      <c r="QV240" s="128">
        <v>123100</v>
      </c>
      <c r="QW240" s="128">
        <v>350000</v>
      </c>
      <c r="RH240" s="128">
        <f t="shared" si="412"/>
        <v>8380000</v>
      </c>
      <c r="RI240" s="128">
        <v>0</v>
      </c>
      <c r="RM240" s="128" t="s">
        <v>220</v>
      </c>
      <c r="RU240" s="130"/>
      <c r="RV240" s="130"/>
      <c r="RW240" s="130"/>
      <c r="RX240" s="130"/>
      <c r="SF240" s="128">
        <f t="shared" si="322"/>
        <v>8982230</v>
      </c>
      <c r="SG240" s="131">
        <f t="shared" si="323"/>
        <v>17995000</v>
      </c>
      <c r="SH240" s="131">
        <f t="shared" si="324"/>
        <v>17995000</v>
      </c>
      <c r="SI240" s="131">
        <f t="shared" si="325"/>
        <v>12810500</v>
      </c>
      <c r="SJ240" s="132">
        <f t="shared" si="326"/>
        <v>12710000</v>
      </c>
      <c r="SK240" s="132">
        <f t="shared" si="327"/>
        <v>0</v>
      </c>
      <c r="SL240" s="132">
        <f t="shared" si="328"/>
        <v>55500</v>
      </c>
      <c r="SM240" s="132">
        <f t="shared" si="329"/>
        <v>45000</v>
      </c>
      <c r="SN240" s="131">
        <f t="shared" si="330"/>
        <v>5184500</v>
      </c>
      <c r="SO240" s="131">
        <f t="shared" si="331"/>
        <v>450000</v>
      </c>
      <c r="SP240" s="132">
        <f t="shared" si="332"/>
        <v>0</v>
      </c>
      <c r="SQ240" s="132">
        <f t="shared" si="333"/>
        <v>450000</v>
      </c>
      <c r="SR240" s="132">
        <f t="shared" si="334"/>
        <v>1300000</v>
      </c>
      <c r="SS240" s="132">
        <f t="shared" si="335"/>
        <v>150000</v>
      </c>
      <c r="ST240" s="132">
        <f t="shared" si="336"/>
        <v>20000</v>
      </c>
      <c r="SU240" s="132">
        <f t="shared" si="337"/>
        <v>450000</v>
      </c>
      <c r="SV240" s="131">
        <f t="shared" si="338"/>
        <v>2574500</v>
      </c>
      <c r="SW240" s="132">
        <f t="shared" si="339"/>
        <v>1100000</v>
      </c>
      <c r="SX240" s="132">
        <f t="shared" si="340"/>
        <v>89500</v>
      </c>
      <c r="SY240" s="132">
        <f t="shared" si="341"/>
        <v>0</v>
      </c>
      <c r="SZ240" s="132">
        <f t="shared" si="342"/>
        <v>360000</v>
      </c>
      <c r="TA240" s="132">
        <f t="shared" si="343"/>
        <v>130000</v>
      </c>
      <c r="TB240" s="132">
        <f t="shared" si="344"/>
        <v>450000</v>
      </c>
      <c r="TC240" s="132">
        <f t="shared" si="345"/>
        <v>20000</v>
      </c>
      <c r="TD240" s="132">
        <f t="shared" si="346"/>
        <v>0</v>
      </c>
      <c r="TE240" s="132">
        <f t="shared" si="347"/>
        <v>0</v>
      </c>
      <c r="TF240" s="132">
        <f t="shared" si="348"/>
        <v>425000</v>
      </c>
      <c r="TG240" s="132">
        <f t="shared" si="349"/>
        <v>240000</v>
      </c>
      <c r="TH240" s="132">
        <f t="shared" si="350"/>
        <v>0</v>
      </c>
      <c r="TI240" s="1"/>
      <c r="TJ240" s="131">
        <f t="shared" si="351"/>
        <v>7730000</v>
      </c>
      <c r="TK240" s="131">
        <f t="shared" si="352"/>
        <v>7730000</v>
      </c>
      <c r="TL240" s="131">
        <f t="shared" si="353"/>
        <v>7730000</v>
      </c>
      <c r="TM240" s="132">
        <f t="shared" si="354"/>
        <v>7730000</v>
      </c>
      <c r="TN240" s="132">
        <f t="shared" si="355"/>
        <v>0</v>
      </c>
      <c r="TO240" s="132">
        <f t="shared" si="356"/>
        <v>0</v>
      </c>
      <c r="TP240" s="132">
        <f t="shared" si="357"/>
        <v>0</v>
      </c>
      <c r="TQ240" s="131">
        <f t="shared" si="358"/>
        <v>0</v>
      </c>
      <c r="TR240" s="131">
        <f t="shared" si="359"/>
        <v>0</v>
      </c>
      <c r="TS240" s="132">
        <f t="shared" si="360"/>
        <v>0</v>
      </c>
      <c r="TT240" s="132">
        <f t="shared" si="361"/>
        <v>0</v>
      </c>
      <c r="TU240" s="132">
        <f t="shared" si="362"/>
        <v>0</v>
      </c>
      <c r="TV240" s="132">
        <f t="shared" si="363"/>
        <v>0</v>
      </c>
      <c r="TW240" s="132">
        <f t="shared" si="364"/>
        <v>0</v>
      </c>
      <c r="TX240" s="132">
        <f t="shared" si="365"/>
        <v>0</v>
      </c>
      <c r="TY240" s="131">
        <f t="shared" si="366"/>
        <v>0</v>
      </c>
      <c r="TZ240" s="132">
        <f t="shared" si="367"/>
        <v>0</v>
      </c>
      <c r="UA240" s="132">
        <f t="shared" si="368"/>
        <v>0</v>
      </c>
      <c r="UB240" s="132">
        <f t="shared" si="369"/>
        <v>0</v>
      </c>
      <c r="UC240" s="132">
        <f t="shared" si="370"/>
        <v>0</v>
      </c>
      <c r="UD240" s="132">
        <f t="shared" si="371"/>
        <v>0</v>
      </c>
      <c r="UE240" s="132">
        <f t="shared" si="372"/>
        <v>0</v>
      </c>
      <c r="UF240" s="132">
        <f t="shared" si="373"/>
        <v>0</v>
      </c>
      <c r="UG240" s="132">
        <f t="shared" si="374"/>
        <v>0</v>
      </c>
      <c r="UH240" s="132">
        <f t="shared" si="375"/>
        <v>0</v>
      </c>
      <c r="UI240" s="132">
        <f t="shared" si="376"/>
        <v>0</v>
      </c>
      <c r="UJ240" s="132">
        <f t="shared" si="377"/>
        <v>0</v>
      </c>
      <c r="UK240" s="132">
        <f t="shared" si="378"/>
        <v>0</v>
      </c>
      <c r="UL240" s="132">
        <f t="shared" si="413"/>
        <v>7730000</v>
      </c>
      <c r="UM240" s="131">
        <f t="shared" si="379"/>
        <v>7730000</v>
      </c>
      <c r="UN240" s="131">
        <f t="shared" si="380"/>
        <v>7730000</v>
      </c>
      <c r="UO240" s="131">
        <f t="shared" si="381"/>
        <v>7730000</v>
      </c>
      <c r="UP240" s="132">
        <f t="shared" si="382"/>
        <v>7730000</v>
      </c>
      <c r="UQ240" s="132">
        <f t="shared" si="383"/>
        <v>0</v>
      </c>
      <c r="UR240" s="132">
        <f t="shared" si="384"/>
        <v>0</v>
      </c>
      <c r="US240" s="132">
        <f t="shared" si="385"/>
        <v>0</v>
      </c>
      <c r="UT240" s="131">
        <f t="shared" si="386"/>
        <v>0</v>
      </c>
      <c r="UU240" s="131">
        <f t="shared" si="387"/>
        <v>0</v>
      </c>
      <c r="UV240" s="132">
        <f t="shared" si="388"/>
        <v>0</v>
      </c>
      <c r="UW240" s="132">
        <f t="shared" si="389"/>
        <v>0</v>
      </c>
      <c r="UX240" s="132">
        <f t="shared" si="390"/>
        <v>0</v>
      </c>
      <c r="UY240" s="132">
        <f t="shared" si="391"/>
        <v>0</v>
      </c>
      <c r="UZ240" s="132">
        <f t="shared" si="392"/>
        <v>0</v>
      </c>
      <c r="VA240" s="132">
        <f t="shared" si="393"/>
        <v>0</v>
      </c>
      <c r="VB240" s="131">
        <f t="shared" si="394"/>
        <v>0</v>
      </c>
      <c r="VC240" s="132">
        <f t="shared" si="395"/>
        <v>0</v>
      </c>
      <c r="VD240" s="132">
        <f t="shared" si="396"/>
        <v>0</v>
      </c>
      <c r="VE240" s="132">
        <f t="shared" si="397"/>
        <v>0</v>
      </c>
      <c r="VF240" s="132">
        <f t="shared" si="398"/>
        <v>0</v>
      </c>
      <c r="VG240" s="132">
        <f t="shared" si="399"/>
        <v>0</v>
      </c>
      <c r="VH240" s="132">
        <f t="shared" si="400"/>
        <v>0</v>
      </c>
      <c r="VI240" s="132">
        <f t="shared" si="401"/>
        <v>0</v>
      </c>
      <c r="VJ240" s="132">
        <f t="shared" si="402"/>
        <v>0</v>
      </c>
      <c r="VK240" s="132">
        <f t="shared" si="403"/>
        <v>0</v>
      </c>
      <c r="VL240" s="132">
        <f t="shared" si="404"/>
        <v>0</v>
      </c>
      <c r="VM240" s="132">
        <f t="shared" si="405"/>
        <v>0</v>
      </c>
      <c r="VN240" s="132">
        <f t="shared" si="406"/>
        <v>0</v>
      </c>
      <c r="VP240" s="845" t="str">
        <f>IFERROR(HLOOKUP(F240,'Hodnocení '!$C$1:$JH$5,2,FALSE),0)</f>
        <v>Sociální služby obce Chomutice - Domov pro seniory</v>
      </c>
      <c r="VQ240" s="838"/>
      <c r="VR240" s="845" t="str">
        <f t="shared" si="414"/>
        <v>Příspěvková organizace zřízená územním samosprávným celkem</v>
      </c>
      <c r="VS240" s="845" t="str">
        <f>IFERROR(HLOOKUP(F240,'Hodnocení '!$C$1:$JH$5,5,FALSE),0)</f>
        <v>KHK</v>
      </c>
      <c r="VT240" s="838">
        <f t="shared" si="415"/>
        <v>0</v>
      </c>
      <c r="VU240" s="838">
        <f t="shared" si="416"/>
        <v>0</v>
      </c>
      <c r="VV240" s="838">
        <f t="shared" si="417"/>
        <v>9330000</v>
      </c>
      <c r="VW240" s="838">
        <f t="shared" si="418"/>
        <v>285000</v>
      </c>
      <c r="VX240" s="838"/>
      <c r="VY240" s="838">
        <f t="shared" si="419"/>
        <v>0</v>
      </c>
      <c r="VZ240" s="838">
        <f t="shared" si="420"/>
        <v>7730000</v>
      </c>
      <c r="WA240" s="846">
        <f>IFERROR(HLOOKUP($F240,'Hodnocení '!$C$1:$JH$9,9,FALSE),0)</f>
        <v>7730000</v>
      </c>
      <c r="WB240" s="846">
        <f>IF(IFERROR(HLOOKUP($F240,'Hodnocení '!$C$1:$JH$13,13,FALSE),0)&gt;WA240,WA240,IFERROR(HLOOKUP($F240,'Hodnocení '!$C$1:$JH$13,13,FALSE),0))</f>
        <v>7730000</v>
      </c>
      <c r="WC240" s="846">
        <f>IFERROR(HLOOKUP($F240,'Hodnocení '!$C$1:$JH$155,155,FALSE),0)</f>
        <v>7730000</v>
      </c>
      <c r="WD240" s="845"/>
      <c r="WE240" s="845"/>
      <c r="WF240" s="845" t="str">
        <f t="shared" si="407"/>
        <v>ANO</v>
      </c>
      <c r="WG240" s="849" t="str">
        <f t="shared" si="421"/>
        <v>Podpora služby je vyjádřena zařazením do sítě sociálních služeb v KHK a řešením financování služby</v>
      </c>
      <c r="WH240"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40" s="849" t="str">
        <f t="shared" si="421"/>
        <v>Návrh dotace je výsledkem projednání s ostatními zadavateli v rámci sítě služeb KHK</v>
      </c>
      <c r="WJ240" s="849" t="str">
        <f t="shared" si="421"/>
        <v>Bez komentáře</v>
      </c>
      <c r="WK240" s="31">
        <f t="shared" si="408"/>
        <v>0</v>
      </c>
      <c r="WL240" s="850">
        <f t="shared" si="409"/>
        <v>0</v>
      </c>
      <c r="WM240" s="849" t="str">
        <f t="shared" si="410"/>
        <v>V rámci sítě KHK se dlouhodobě řeší otázka navyšování úhrad a průběžně se monitoruje s vazbou na vykrytí vyrovnávací platby</v>
      </c>
      <c r="WN240" s="849" t="str">
        <f t="shared" si="411"/>
        <v>Otázka výběru od zdravotních pojišťoven je předmětem procesu, který probíhá ve formě jednání se ZP a organizacemi</v>
      </c>
      <c r="WO240" s="849" t="str">
        <f t="shared" si="422"/>
        <v>bez komentáře</v>
      </c>
      <c r="WP240" s="849" t="str">
        <f t="shared" si="422"/>
        <v>bez komentáře</v>
      </c>
      <c r="WQ240" s="849" t="str">
        <f t="shared" si="422"/>
        <v>Konečná výše dotace z rozpočtu KHK bude řešena v návaznosti na řešení podílů jednotlivých zadavatelů.</v>
      </c>
      <c r="WR240" s="849" t="str">
        <f t="shared" si="422"/>
        <v>Konečná výše podpory ze stran obcí bude řešena v součinnosti s jednotlivými zadavateli v průběhu roku.</v>
      </c>
      <c r="WS240" s="849" t="str">
        <f t="shared" si="422"/>
        <v>bez komentáře</v>
      </c>
      <c r="WT240" s="849" t="str">
        <f t="shared" si="422"/>
        <v>bez komentáře</v>
      </c>
      <c r="WU240" s="845"/>
    </row>
    <row r="241" spans="1:619" s="128" customFormat="1" x14ac:dyDescent="0.25">
      <c r="A241" s="128" t="str">
        <f>VLOOKUP(F241,'Výpočet VP 2020'!$D$324:$I$588,6,FALSE)</f>
        <v>Je v síti</v>
      </c>
      <c r="B241" s="128" t="s">
        <v>962</v>
      </c>
      <c r="C241" s="128">
        <v>29043913</v>
      </c>
      <c r="D241" s="128" t="s">
        <v>963</v>
      </c>
      <c r="E241" s="128" t="s">
        <v>216</v>
      </c>
      <c r="F241" s="128">
        <v>1715626</v>
      </c>
      <c r="G241" s="128" t="s">
        <v>225</v>
      </c>
      <c r="H241" s="128" t="s">
        <v>218</v>
      </c>
      <c r="I241" s="128" t="s">
        <v>377</v>
      </c>
      <c r="J241" s="129">
        <v>42370</v>
      </c>
      <c r="L241" s="128" t="s">
        <v>220</v>
      </c>
      <c r="AP241" s="128" t="s">
        <v>320</v>
      </c>
      <c r="AQ241" s="128">
        <v>5</v>
      </c>
      <c r="AR241" s="128">
        <v>36</v>
      </c>
      <c r="AS241" s="128">
        <v>25</v>
      </c>
      <c r="AT241" s="128">
        <v>41</v>
      </c>
      <c r="AU241" s="128">
        <v>50</v>
      </c>
      <c r="BJ241" s="128">
        <v>14265</v>
      </c>
      <c r="BL241" s="128" t="s">
        <v>964</v>
      </c>
      <c r="BM241" s="128" t="s">
        <v>247</v>
      </c>
      <c r="BN241" s="128" t="s">
        <v>558</v>
      </c>
      <c r="BO241" s="128">
        <v>0</v>
      </c>
      <c r="BP241" s="128">
        <v>0</v>
      </c>
      <c r="BQ241" s="128">
        <v>2</v>
      </c>
      <c r="BR241" s="128">
        <v>0</v>
      </c>
      <c r="BS241" s="128">
        <v>0</v>
      </c>
      <c r="BT241" s="128">
        <v>2</v>
      </c>
      <c r="BU241" s="128">
        <v>11</v>
      </c>
      <c r="BV241" s="128">
        <v>13</v>
      </c>
      <c r="BW241" s="128">
        <v>8</v>
      </c>
      <c r="BX241" s="128">
        <v>0</v>
      </c>
      <c r="BY241" s="128">
        <v>2</v>
      </c>
      <c r="BZ241" s="128">
        <v>11</v>
      </c>
      <c r="CA241" s="128">
        <v>15</v>
      </c>
      <c r="CB241" s="128">
        <v>8</v>
      </c>
      <c r="CC241" s="128">
        <v>0</v>
      </c>
      <c r="CD241" s="128">
        <v>2</v>
      </c>
      <c r="CE241" s="128">
        <v>34</v>
      </c>
      <c r="CF241" s="128">
        <v>36</v>
      </c>
      <c r="CH241" s="128">
        <v>0</v>
      </c>
      <c r="CI241" s="128">
        <v>0</v>
      </c>
      <c r="CJ241" s="128">
        <v>2</v>
      </c>
      <c r="CK241" s="128">
        <v>0</v>
      </c>
      <c r="CL241" s="128">
        <v>0</v>
      </c>
      <c r="CM241" s="128">
        <v>3</v>
      </c>
      <c r="CN241" s="128">
        <v>15</v>
      </c>
      <c r="CO241" s="128">
        <v>17</v>
      </c>
      <c r="CP241" s="128">
        <v>13</v>
      </c>
      <c r="CQ241" s="128">
        <v>0</v>
      </c>
      <c r="CR241" s="128">
        <v>3</v>
      </c>
      <c r="CS241" s="128">
        <v>15</v>
      </c>
      <c r="CT241" s="128">
        <v>19</v>
      </c>
      <c r="CU241" s="128">
        <v>13</v>
      </c>
      <c r="CV241" s="128">
        <v>0</v>
      </c>
      <c r="CW241" s="128">
        <v>2</v>
      </c>
      <c r="CX241" s="128">
        <v>48</v>
      </c>
      <c r="CY241" s="128">
        <v>50</v>
      </c>
      <c r="EK241" s="128">
        <v>2</v>
      </c>
      <c r="EL241" s="128">
        <v>1</v>
      </c>
      <c r="EM241" s="128">
        <v>0.54</v>
      </c>
      <c r="EN241" s="128">
        <v>672660</v>
      </c>
      <c r="EO241" s="128">
        <v>517000</v>
      </c>
      <c r="EP241" s="128">
        <v>10</v>
      </c>
      <c r="EQ241" s="128">
        <v>9.26</v>
      </c>
      <c r="ER241" s="128">
        <v>6.9</v>
      </c>
      <c r="ES241" s="128">
        <v>4785082</v>
      </c>
      <c r="ET241" s="128">
        <v>3760000</v>
      </c>
      <c r="FO241" s="128">
        <v>10</v>
      </c>
      <c r="FP241" s="128">
        <v>3.24</v>
      </c>
      <c r="FQ241" s="128">
        <v>1.7</v>
      </c>
      <c r="FR241" s="128">
        <v>1874249</v>
      </c>
      <c r="FS241" s="128">
        <v>1200000</v>
      </c>
      <c r="GL241" s="128">
        <v>1</v>
      </c>
      <c r="GM241" s="128">
        <v>0.5</v>
      </c>
      <c r="GN241" s="128">
        <v>6</v>
      </c>
      <c r="GO241" s="128">
        <v>0.25</v>
      </c>
      <c r="GP241" s="128">
        <v>129150</v>
      </c>
      <c r="GQ241" s="128">
        <v>100000</v>
      </c>
      <c r="IN241" s="128">
        <v>2</v>
      </c>
      <c r="IO241" s="128">
        <v>600</v>
      </c>
      <c r="IP241" s="128">
        <v>0.28599999999999998</v>
      </c>
      <c r="IQ241" s="128">
        <v>136200</v>
      </c>
      <c r="IR241" s="128">
        <v>104000</v>
      </c>
      <c r="KG241" s="128">
        <v>0</v>
      </c>
      <c r="KI241" s="128">
        <v>10.26</v>
      </c>
      <c r="KJ241" s="128">
        <v>0.25</v>
      </c>
      <c r="KK241" s="128">
        <v>0.28599999999999998</v>
      </c>
      <c r="KL241" s="128">
        <v>0</v>
      </c>
      <c r="KM241" s="128">
        <v>10.795999999999999</v>
      </c>
      <c r="KN241" s="128">
        <v>7331991</v>
      </c>
      <c r="KO241" s="128">
        <v>5477000</v>
      </c>
      <c r="KP241" s="128">
        <v>5477000</v>
      </c>
      <c r="KT241" s="128">
        <v>129150</v>
      </c>
      <c r="KU241" s="128">
        <v>100000</v>
      </c>
      <c r="KV241" s="128">
        <v>100000</v>
      </c>
      <c r="KZ241" s="128">
        <v>136200</v>
      </c>
      <c r="LA241" s="128">
        <v>104000</v>
      </c>
      <c r="LB241" s="128">
        <v>104000</v>
      </c>
      <c r="LF241" s="128">
        <v>0</v>
      </c>
      <c r="LG241" s="128">
        <v>0</v>
      </c>
      <c r="LH241" s="128">
        <v>0</v>
      </c>
      <c r="LL241" s="128">
        <v>12500</v>
      </c>
      <c r="LM241" s="128">
        <v>4000</v>
      </c>
      <c r="LN241" s="128">
        <v>4000</v>
      </c>
      <c r="LR241" s="128">
        <v>115000</v>
      </c>
      <c r="LS241" s="128">
        <v>42000</v>
      </c>
      <c r="LT241" s="128">
        <v>42000</v>
      </c>
      <c r="LX241" s="128">
        <v>0</v>
      </c>
      <c r="LY241" s="128">
        <v>0</v>
      </c>
      <c r="LZ241" s="128">
        <v>0</v>
      </c>
      <c r="MD241" s="128">
        <v>19800</v>
      </c>
      <c r="ME241" s="128">
        <v>6000</v>
      </c>
      <c r="MF241" s="128">
        <v>6000</v>
      </c>
      <c r="MJ241" s="128">
        <v>194000</v>
      </c>
      <c r="MK241" s="128">
        <v>68000</v>
      </c>
      <c r="ML241" s="128">
        <v>68000</v>
      </c>
      <c r="MP241" s="128">
        <v>25000</v>
      </c>
      <c r="MQ241" s="128">
        <v>8000</v>
      </c>
      <c r="MR241" s="128">
        <v>8000</v>
      </c>
      <c r="MV241" s="128">
        <v>14000</v>
      </c>
      <c r="MW241" s="128">
        <v>5000</v>
      </c>
      <c r="MX241" s="128">
        <v>5000</v>
      </c>
      <c r="NB241" s="128">
        <v>71000</v>
      </c>
      <c r="NC241" s="128">
        <v>37000</v>
      </c>
      <c r="ND241" s="128">
        <v>37000</v>
      </c>
      <c r="NH241" s="128">
        <v>74000</v>
      </c>
      <c r="NI241" s="128">
        <v>42000</v>
      </c>
      <c r="NJ241" s="128">
        <v>42000</v>
      </c>
      <c r="NN241" s="128">
        <v>89000</v>
      </c>
      <c r="NO241" s="128">
        <v>54000</v>
      </c>
      <c r="NP241" s="128">
        <v>54000</v>
      </c>
      <c r="NT241" s="128">
        <v>52000</v>
      </c>
      <c r="NU241" s="128">
        <v>30000</v>
      </c>
      <c r="NV241" s="128">
        <v>30000</v>
      </c>
      <c r="NZ241" s="128">
        <v>88000</v>
      </c>
      <c r="OA241" s="128">
        <v>32000</v>
      </c>
      <c r="OB241" s="128">
        <v>32000</v>
      </c>
      <c r="OF241" s="128">
        <v>82000</v>
      </c>
      <c r="OG241" s="128">
        <v>61000</v>
      </c>
      <c r="OH241" s="128">
        <v>61000</v>
      </c>
      <c r="OL241" s="128">
        <v>0</v>
      </c>
      <c r="OM241" s="128">
        <v>0</v>
      </c>
      <c r="ON241" s="128">
        <v>0</v>
      </c>
      <c r="OR241" s="128">
        <v>0</v>
      </c>
      <c r="OS241" s="128">
        <v>0</v>
      </c>
      <c r="OT241" s="128">
        <v>0</v>
      </c>
      <c r="OX241" s="128">
        <v>0</v>
      </c>
      <c r="OY241" s="128">
        <v>0</v>
      </c>
      <c r="OZ241" s="128">
        <v>0</v>
      </c>
      <c r="PD241" s="128">
        <v>24000</v>
      </c>
      <c r="PE241" s="128">
        <v>0</v>
      </c>
      <c r="PF241" s="128">
        <v>0</v>
      </c>
      <c r="PJ241" s="128">
        <v>12000</v>
      </c>
      <c r="PK241" s="128">
        <v>0</v>
      </c>
      <c r="PL241" s="128">
        <v>0</v>
      </c>
      <c r="PP241" s="128">
        <v>8469641</v>
      </c>
      <c r="PQ241" s="128">
        <v>6070000</v>
      </c>
      <c r="PR241" s="128">
        <v>6070000</v>
      </c>
      <c r="PS241" s="128">
        <v>100</v>
      </c>
      <c r="PT241" s="128">
        <v>100</v>
      </c>
      <c r="PX241" s="128">
        <v>3098820</v>
      </c>
      <c r="PY241" s="128">
        <v>3597150</v>
      </c>
      <c r="PZ241" s="128">
        <v>6070000</v>
      </c>
      <c r="QA241" s="128">
        <v>0</v>
      </c>
      <c r="QB241" s="128">
        <v>0</v>
      </c>
      <c r="QC241" s="128">
        <v>0</v>
      </c>
      <c r="QD241" s="128">
        <v>0</v>
      </c>
      <c r="QE241" s="128">
        <v>0</v>
      </c>
      <c r="QF241" s="128">
        <v>0</v>
      </c>
      <c r="QG241" s="128">
        <v>0</v>
      </c>
      <c r="QH241" s="128">
        <v>0</v>
      </c>
      <c r="QI241" s="128">
        <v>0</v>
      </c>
      <c r="QJ241" s="128">
        <v>978254</v>
      </c>
      <c r="QK241" s="128">
        <v>1200000</v>
      </c>
      <c r="QL241" s="128">
        <v>1490641</v>
      </c>
      <c r="QN241" s="128">
        <v>0</v>
      </c>
      <c r="QO241" s="128">
        <v>0</v>
      </c>
      <c r="QP241" s="128">
        <v>0</v>
      </c>
      <c r="QU241" s="128">
        <v>0</v>
      </c>
      <c r="QV241" s="128">
        <v>158000</v>
      </c>
      <c r="QW241" s="128">
        <v>300000</v>
      </c>
      <c r="QX241" s="128">
        <v>100000</v>
      </c>
      <c r="QY241" s="128">
        <v>182000</v>
      </c>
      <c r="QZ241" s="128">
        <v>182000</v>
      </c>
      <c r="RD241" s="128">
        <v>0</v>
      </c>
      <c r="RE241" s="128">
        <v>300000</v>
      </c>
      <c r="RF241" s="128">
        <v>427000</v>
      </c>
      <c r="RH241" s="128">
        <f t="shared" si="412"/>
        <v>6979000</v>
      </c>
      <c r="RI241" s="128">
        <v>0</v>
      </c>
      <c r="RM241" s="128" t="s">
        <v>220</v>
      </c>
      <c r="RU241" s="130"/>
      <c r="RV241" s="130"/>
      <c r="RW241" s="130"/>
      <c r="RX241" s="130"/>
      <c r="SF241" s="128">
        <f t="shared" si="322"/>
        <v>1715626</v>
      </c>
      <c r="SG241" s="131">
        <f t="shared" si="323"/>
        <v>8469641</v>
      </c>
      <c r="SH241" s="131">
        <f t="shared" si="324"/>
        <v>8469641</v>
      </c>
      <c r="SI241" s="131">
        <f t="shared" si="325"/>
        <v>7597341</v>
      </c>
      <c r="SJ241" s="132">
        <f t="shared" si="326"/>
        <v>7331991</v>
      </c>
      <c r="SK241" s="132">
        <f t="shared" si="327"/>
        <v>129150</v>
      </c>
      <c r="SL241" s="132">
        <f t="shared" si="328"/>
        <v>136200</v>
      </c>
      <c r="SM241" s="132">
        <f t="shared" si="329"/>
        <v>0</v>
      </c>
      <c r="SN241" s="131">
        <f t="shared" si="330"/>
        <v>872300</v>
      </c>
      <c r="SO241" s="131">
        <f t="shared" si="331"/>
        <v>127500</v>
      </c>
      <c r="SP241" s="132">
        <f t="shared" si="332"/>
        <v>12500</v>
      </c>
      <c r="SQ241" s="132">
        <f t="shared" si="333"/>
        <v>115000</v>
      </c>
      <c r="SR241" s="132">
        <f t="shared" si="334"/>
        <v>0</v>
      </c>
      <c r="SS241" s="132">
        <f t="shared" si="335"/>
        <v>19800</v>
      </c>
      <c r="ST241" s="132">
        <f t="shared" si="336"/>
        <v>194000</v>
      </c>
      <c r="SU241" s="132">
        <f t="shared" si="337"/>
        <v>25000</v>
      </c>
      <c r="SV241" s="131">
        <f t="shared" si="338"/>
        <v>470000</v>
      </c>
      <c r="SW241" s="132">
        <f t="shared" si="339"/>
        <v>14000</v>
      </c>
      <c r="SX241" s="132">
        <f t="shared" si="340"/>
        <v>71000</v>
      </c>
      <c r="SY241" s="132">
        <f t="shared" si="341"/>
        <v>74000</v>
      </c>
      <c r="SZ241" s="132">
        <f t="shared" si="342"/>
        <v>89000</v>
      </c>
      <c r="TA241" s="132">
        <f t="shared" si="343"/>
        <v>52000</v>
      </c>
      <c r="TB241" s="132">
        <f t="shared" si="344"/>
        <v>88000</v>
      </c>
      <c r="TC241" s="132">
        <f t="shared" si="345"/>
        <v>82000</v>
      </c>
      <c r="TD241" s="132">
        <f t="shared" si="346"/>
        <v>0</v>
      </c>
      <c r="TE241" s="132">
        <f t="shared" si="347"/>
        <v>0</v>
      </c>
      <c r="TF241" s="132">
        <f t="shared" si="348"/>
        <v>0</v>
      </c>
      <c r="TG241" s="132">
        <f t="shared" si="349"/>
        <v>24000</v>
      </c>
      <c r="TH241" s="132">
        <f t="shared" si="350"/>
        <v>12000</v>
      </c>
      <c r="TI241" s="1"/>
      <c r="TJ241" s="131">
        <f t="shared" si="351"/>
        <v>6070000</v>
      </c>
      <c r="TK241" s="131">
        <f t="shared" si="352"/>
        <v>6070000</v>
      </c>
      <c r="TL241" s="131">
        <f t="shared" si="353"/>
        <v>5681000</v>
      </c>
      <c r="TM241" s="132">
        <f t="shared" si="354"/>
        <v>5477000</v>
      </c>
      <c r="TN241" s="132">
        <f t="shared" si="355"/>
        <v>100000</v>
      </c>
      <c r="TO241" s="132">
        <f t="shared" si="356"/>
        <v>104000</v>
      </c>
      <c r="TP241" s="132">
        <f t="shared" si="357"/>
        <v>0</v>
      </c>
      <c r="TQ241" s="131">
        <f t="shared" si="358"/>
        <v>389000</v>
      </c>
      <c r="TR241" s="131">
        <f t="shared" si="359"/>
        <v>46000</v>
      </c>
      <c r="TS241" s="132">
        <f t="shared" si="360"/>
        <v>4000</v>
      </c>
      <c r="TT241" s="132">
        <f t="shared" si="361"/>
        <v>42000</v>
      </c>
      <c r="TU241" s="132">
        <f t="shared" si="362"/>
        <v>0</v>
      </c>
      <c r="TV241" s="132">
        <f t="shared" si="363"/>
        <v>6000</v>
      </c>
      <c r="TW241" s="132">
        <f t="shared" si="364"/>
        <v>68000</v>
      </c>
      <c r="TX241" s="132">
        <f t="shared" si="365"/>
        <v>8000</v>
      </c>
      <c r="TY241" s="131">
        <f t="shared" si="366"/>
        <v>261000</v>
      </c>
      <c r="TZ241" s="132">
        <f t="shared" si="367"/>
        <v>5000</v>
      </c>
      <c r="UA241" s="132">
        <f t="shared" si="368"/>
        <v>37000</v>
      </c>
      <c r="UB241" s="132">
        <f t="shared" si="369"/>
        <v>42000</v>
      </c>
      <c r="UC241" s="132">
        <f t="shared" si="370"/>
        <v>54000</v>
      </c>
      <c r="UD241" s="132">
        <f t="shared" si="371"/>
        <v>30000</v>
      </c>
      <c r="UE241" s="132">
        <f t="shared" si="372"/>
        <v>32000</v>
      </c>
      <c r="UF241" s="132">
        <f t="shared" si="373"/>
        <v>61000</v>
      </c>
      <c r="UG241" s="132">
        <f t="shared" si="374"/>
        <v>0</v>
      </c>
      <c r="UH241" s="132">
        <f t="shared" si="375"/>
        <v>0</v>
      </c>
      <c r="UI241" s="132">
        <f t="shared" si="376"/>
        <v>0</v>
      </c>
      <c r="UJ241" s="132">
        <f t="shared" si="377"/>
        <v>0</v>
      </c>
      <c r="UK241" s="132">
        <f t="shared" si="378"/>
        <v>0</v>
      </c>
      <c r="UL241" s="132">
        <f t="shared" si="413"/>
        <v>6070000</v>
      </c>
      <c r="UM241" s="131">
        <f t="shared" si="379"/>
        <v>6070000</v>
      </c>
      <c r="UN241" s="131">
        <f t="shared" si="380"/>
        <v>6070000</v>
      </c>
      <c r="UO241" s="131">
        <f t="shared" si="381"/>
        <v>5681000</v>
      </c>
      <c r="UP241" s="132">
        <f t="shared" si="382"/>
        <v>5477000</v>
      </c>
      <c r="UQ241" s="132">
        <f t="shared" si="383"/>
        <v>100000</v>
      </c>
      <c r="UR241" s="132">
        <f t="shared" si="384"/>
        <v>104000</v>
      </c>
      <c r="US241" s="132">
        <f t="shared" si="385"/>
        <v>0</v>
      </c>
      <c r="UT241" s="131">
        <f t="shared" si="386"/>
        <v>389000</v>
      </c>
      <c r="UU241" s="131">
        <f t="shared" si="387"/>
        <v>46000</v>
      </c>
      <c r="UV241" s="132">
        <f t="shared" si="388"/>
        <v>4000</v>
      </c>
      <c r="UW241" s="132">
        <f t="shared" si="389"/>
        <v>42000</v>
      </c>
      <c r="UX241" s="132">
        <f t="shared" si="390"/>
        <v>0</v>
      </c>
      <c r="UY241" s="132">
        <f t="shared" si="391"/>
        <v>6000</v>
      </c>
      <c r="UZ241" s="132">
        <f t="shared" si="392"/>
        <v>68000</v>
      </c>
      <c r="VA241" s="132">
        <f t="shared" si="393"/>
        <v>8000</v>
      </c>
      <c r="VB241" s="131">
        <f t="shared" si="394"/>
        <v>261000</v>
      </c>
      <c r="VC241" s="132">
        <f t="shared" si="395"/>
        <v>5000</v>
      </c>
      <c r="VD241" s="132">
        <f t="shared" si="396"/>
        <v>37000</v>
      </c>
      <c r="VE241" s="132">
        <f t="shared" si="397"/>
        <v>42000</v>
      </c>
      <c r="VF241" s="132">
        <f t="shared" si="398"/>
        <v>54000</v>
      </c>
      <c r="VG241" s="132">
        <f t="shared" si="399"/>
        <v>30000</v>
      </c>
      <c r="VH241" s="132">
        <f t="shared" si="400"/>
        <v>32000</v>
      </c>
      <c r="VI241" s="132">
        <f t="shared" si="401"/>
        <v>61000</v>
      </c>
      <c r="VJ241" s="132">
        <f t="shared" si="402"/>
        <v>0</v>
      </c>
      <c r="VK241" s="132">
        <f t="shared" si="403"/>
        <v>0</v>
      </c>
      <c r="VL241" s="132">
        <f t="shared" si="404"/>
        <v>0</v>
      </c>
      <c r="VM241" s="132">
        <f t="shared" si="405"/>
        <v>0</v>
      </c>
      <c r="VN241" s="132">
        <f t="shared" si="406"/>
        <v>0</v>
      </c>
      <c r="VP241" s="845" t="str">
        <f>IFERROR(HLOOKUP(F241,'Hodnocení '!$C$1:$JH$5,2,FALSE),0)</f>
        <v>Spokojený domov, o.p.s.</v>
      </c>
      <c r="VQ241" s="838"/>
      <c r="VR241" s="845" t="str">
        <f t="shared" si="414"/>
        <v>Obecně prospěšná společnost</v>
      </c>
      <c r="VS241" s="845" t="str">
        <f>IFERROR(HLOOKUP(F241,'Hodnocení '!$C$1:$JH$5,5,FALSE),0)</f>
        <v>NZO</v>
      </c>
      <c r="VT241" s="838">
        <f t="shared" si="415"/>
        <v>0</v>
      </c>
      <c r="VU241" s="838">
        <f t="shared" si="416"/>
        <v>0</v>
      </c>
      <c r="VV241" s="838">
        <f t="shared" si="417"/>
        <v>1490641</v>
      </c>
      <c r="VW241" s="838">
        <f t="shared" si="418"/>
        <v>0</v>
      </c>
      <c r="VX241" s="838"/>
      <c r="VY241" s="838">
        <f t="shared" si="419"/>
        <v>0</v>
      </c>
      <c r="VZ241" s="838">
        <f t="shared" si="420"/>
        <v>6070000</v>
      </c>
      <c r="WA241" s="846">
        <f>IFERROR(HLOOKUP($F241,'Hodnocení '!$C$1:$JH$9,9,FALSE),0)</f>
        <v>6070000</v>
      </c>
      <c r="WB241" s="846">
        <f>IF(IFERROR(HLOOKUP($F241,'Hodnocení '!$C$1:$JH$13,13,FALSE),0)&gt;WA241,WA241,IFERROR(HLOOKUP($F241,'Hodnocení '!$C$1:$JH$13,13,FALSE),0))</f>
        <v>4731142.7504826486</v>
      </c>
      <c r="WC241" s="846">
        <f>IFERROR(HLOOKUP($F241,'Hodnocení '!$C$1:$JH$155,155,FALSE),0)</f>
        <v>4581140</v>
      </c>
      <c r="WD241" s="845"/>
      <c r="WE241" s="845"/>
      <c r="WF241" s="845" t="str">
        <f t="shared" si="407"/>
        <v>ANO</v>
      </c>
      <c r="WG241" s="849" t="str">
        <f t="shared" si="421"/>
        <v>Podpora služby je vyjádřena zařazením do sítě sociálních služeb v KHK a řešením financování služby</v>
      </c>
      <c r="WH241"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41" s="849" t="str">
        <f t="shared" si="421"/>
        <v>Návrh dotace je výsledkem projednání s ostatními zadavateli v rámci sítě služeb KHK</v>
      </c>
      <c r="WJ241" s="849" t="str">
        <f t="shared" si="421"/>
        <v>Bez komentáře</v>
      </c>
      <c r="WK241" s="31">
        <f t="shared" si="408"/>
        <v>0</v>
      </c>
      <c r="WL241" s="850">
        <f t="shared" si="409"/>
        <v>0</v>
      </c>
      <c r="WM241" s="849" t="str">
        <f t="shared" si="410"/>
        <v>V rámci sítě KHK se dlouhodobě řeší otázka navyšování úhrad a průběžně se monitoruje s vazbou na vykrytí vyrovnávací platby</v>
      </c>
      <c r="WN241" s="849">
        <f t="shared" si="411"/>
        <v>0</v>
      </c>
      <c r="WO241" s="849" t="str">
        <f t="shared" si="422"/>
        <v>bez komentáře</v>
      </c>
      <c r="WP241" s="849" t="str">
        <f t="shared" si="422"/>
        <v>bez komentáře</v>
      </c>
      <c r="WQ241" s="849" t="str">
        <f t="shared" si="422"/>
        <v>Konečná výše dotace z rozpočtu KHK bude řešena v návaznosti na řešení podílů jednotlivých zadavatelů.</v>
      </c>
      <c r="WR241" s="849" t="str">
        <f t="shared" si="422"/>
        <v>Konečná výše podpory ze stran obcí bude řešena v součinnosti s jednotlivými zadavateli v průběhu roku.</v>
      </c>
      <c r="WS241" s="849" t="str">
        <f t="shared" si="422"/>
        <v>bez komentáře</v>
      </c>
      <c r="WT241" s="849" t="str">
        <f t="shared" si="422"/>
        <v>bez komentáře</v>
      </c>
      <c r="WU241" s="845"/>
    </row>
    <row r="242" spans="1:619" s="128" customFormat="1" x14ac:dyDescent="0.25">
      <c r="A242" s="128" t="str">
        <f>VLOOKUP(F242,'Výpočet VP 2020'!$D$324:$I$588,6,FALSE)</f>
        <v>Je v síti</v>
      </c>
      <c r="B242" s="128" t="s">
        <v>962</v>
      </c>
      <c r="C242" s="128">
        <v>29043913</v>
      </c>
      <c r="D242" s="128" t="s">
        <v>963</v>
      </c>
      <c r="E242" s="128" t="s">
        <v>216</v>
      </c>
      <c r="F242" s="128">
        <v>3921078</v>
      </c>
      <c r="G242" s="128" t="s">
        <v>328</v>
      </c>
      <c r="H242" s="128" t="s">
        <v>218</v>
      </c>
      <c r="I242" s="128" t="s">
        <v>386</v>
      </c>
      <c r="J242" s="129">
        <v>42370</v>
      </c>
      <c r="L242" s="128" t="s">
        <v>220</v>
      </c>
      <c r="AP242" s="128" t="s">
        <v>335</v>
      </c>
      <c r="AQ242" s="128">
        <v>1</v>
      </c>
      <c r="AR242" s="128">
        <v>3</v>
      </c>
      <c r="AS242" s="128">
        <v>10</v>
      </c>
      <c r="AT242" s="128">
        <v>1347</v>
      </c>
      <c r="AU242" s="128">
        <v>11</v>
      </c>
      <c r="BJ242" s="128">
        <v>2130</v>
      </c>
      <c r="BL242" s="128" t="s">
        <v>579</v>
      </c>
      <c r="BM242" s="128" t="s">
        <v>325</v>
      </c>
      <c r="BN242" s="128" t="s">
        <v>364</v>
      </c>
      <c r="BO242" s="128">
        <v>0</v>
      </c>
      <c r="BP242" s="128">
        <v>0</v>
      </c>
      <c r="BQ242" s="128">
        <v>0</v>
      </c>
      <c r="BR242" s="128">
        <v>0</v>
      </c>
      <c r="BS242" s="128">
        <v>0</v>
      </c>
      <c r="BT242" s="128">
        <v>4</v>
      </c>
      <c r="BU242" s="128">
        <v>2</v>
      </c>
      <c r="BV242" s="128">
        <v>3</v>
      </c>
      <c r="BW242" s="128">
        <v>1</v>
      </c>
      <c r="BX242" s="128">
        <v>0</v>
      </c>
      <c r="BY242" s="128">
        <v>4</v>
      </c>
      <c r="BZ242" s="128">
        <v>2</v>
      </c>
      <c r="CA242" s="128">
        <v>3</v>
      </c>
      <c r="CB242" s="128">
        <v>1</v>
      </c>
      <c r="CC242" s="128">
        <v>0</v>
      </c>
      <c r="CD242" s="128">
        <v>0</v>
      </c>
      <c r="CE242" s="128">
        <v>10</v>
      </c>
      <c r="CF242" s="128">
        <v>10</v>
      </c>
      <c r="CG242" s="128">
        <v>0</v>
      </c>
      <c r="CH242" s="128">
        <v>0</v>
      </c>
      <c r="CI242" s="128">
        <v>0</v>
      </c>
      <c r="CJ242" s="128">
        <v>0</v>
      </c>
      <c r="CK242" s="128">
        <v>0</v>
      </c>
      <c r="CL242" s="128">
        <v>0</v>
      </c>
      <c r="CM242" s="128">
        <v>4</v>
      </c>
      <c r="CN242" s="128">
        <v>4</v>
      </c>
      <c r="CO242" s="128">
        <v>2</v>
      </c>
      <c r="CP242" s="128">
        <v>1</v>
      </c>
      <c r="CQ242" s="128">
        <v>0</v>
      </c>
      <c r="CR242" s="128">
        <v>4</v>
      </c>
      <c r="CS242" s="128">
        <v>4</v>
      </c>
      <c r="CT242" s="128">
        <v>2</v>
      </c>
      <c r="CU242" s="128">
        <v>1</v>
      </c>
      <c r="CV242" s="128">
        <v>0</v>
      </c>
      <c r="CW242" s="128">
        <v>0</v>
      </c>
      <c r="CX242" s="128">
        <v>11</v>
      </c>
      <c r="CY242" s="128">
        <v>11</v>
      </c>
      <c r="CZ242" s="128">
        <v>0</v>
      </c>
      <c r="EK242" s="128">
        <v>1</v>
      </c>
      <c r="EL242" s="128">
        <v>0.2</v>
      </c>
      <c r="EM242" s="128">
        <v>0.06</v>
      </c>
      <c r="EN242" s="128">
        <v>134532</v>
      </c>
      <c r="EO242" s="128">
        <v>103000</v>
      </c>
      <c r="EP242" s="128">
        <v>2</v>
      </c>
      <c r="EQ242" s="128">
        <v>0.83</v>
      </c>
      <c r="ER242" s="128">
        <v>0.73</v>
      </c>
      <c r="ES242" s="128">
        <v>430144</v>
      </c>
      <c r="ET242" s="128">
        <v>340000</v>
      </c>
      <c r="FO242" s="128">
        <v>10</v>
      </c>
      <c r="FP242" s="128">
        <v>0.47</v>
      </c>
      <c r="FQ242" s="128">
        <v>0</v>
      </c>
      <c r="FR242" s="128">
        <v>272460</v>
      </c>
      <c r="FS242" s="128">
        <v>185000</v>
      </c>
      <c r="GL242" s="128">
        <v>1</v>
      </c>
      <c r="GM242" s="128">
        <v>0.5</v>
      </c>
      <c r="GN242" s="128">
        <v>6</v>
      </c>
      <c r="GO242" s="128">
        <v>0.25</v>
      </c>
      <c r="GP242" s="128">
        <v>129150</v>
      </c>
      <c r="GQ242" s="128">
        <v>60000</v>
      </c>
      <c r="IN242" s="128">
        <v>2</v>
      </c>
      <c r="IO242" s="128">
        <v>600</v>
      </c>
      <c r="IP242" s="128">
        <v>0.28599999999999998</v>
      </c>
      <c r="IQ242" s="128">
        <v>136200</v>
      </c>
      <c r="IR242" s="128">
        <v>104000</v>
      </c>
      <c r="KG242" s="128">
        <v>0</v>
      </c>
      <c r="KI242" s="128">
        <v>1.03</v>
      </c>
      <c r="KJ242" s="128">
        <v>0.25</v>
      </c>
      <c r="KK242" s="128">
        <v>0.28599999999999998</v>
      </c>
      <c r="KL242" s="128">
        <v>0</v>
      </c>
      <c r="KM242" s="128">
        <v>1.5660000000000001</v>
      </c>
      <c r="KN242" s="128">
        <v>837136</v>
      </c>
      <c r="KO242" s="128">
        <v>628000</v>
      </c>
      <c r="KP242" s="128">
        <v>628000</v>
      </c>
      <c r="KT242" s="128">
        <v>129150</v>
      </c>
      <c r="KU242" s="128">
        <v>60000</v>
      </c>
      <c r="KV242" s="128">
        <v>60000</v>
      </c>
      <c r="KZ242" s="128">
        <v>136200</v>
      </c>
      <c r="LA242" s="128">
        <v>104000</v>
      </c>
      <c r="LB242" s="128">
        <v>104000</v>
      </c>
      <c r="LF242" s="128">
        <v>0</v>
      </c>
      <c r="LG242" s="128">
        <v>0</v>
      </c>
      <c r="LH242" s="128">
        <v>0</v>
      </c>
      <c r="LL242" s="128">
        <v>4000</v>
      </c>
      <c r="LM242" s="128">
        <v>2000</v>
      </c>
      <c r="LN242" s="128">
        <v>2000</v>
      </c>
      <c r="LR242" s="128">
        <v>20000</v>
      </c>
      <c r="LS242" s="128">
        <v>10000</v>
      </c>
      <c r="LT242" s="128">
        <v>10000</v>
      </c>
      <c r="LX242" s="128">
        <v>0</v>
      </c>
      <c r="LY242" s="128">
        <v>0</v>
      </c>
      <c r="LZ242" s="128">
        <v>0</v>
      </c>
      <c r="MD242" s="128">
        <v>6200</v>
      </c>
      <c r="ME242" s="128">
        <v>3800</v>
      </c>
      <c r="MF242" s="128">
        <v>3800</v>
      </c>
      <c r="MJ242" s="128">
        <v>34000</v>
      </c>
      <c r="MK242" s="128">
        <v>24000</v>
      </c>
      <c r="ML242" s="128">
        <v>24000</v>
      </c>
      <c r="MP242" s="128">
        <v>8000</v>
      </c>
      <c r="MQ242" s="128">
        <v>6000</v>
      </c>
      <c r="MR242" s="128">
        <v>6000</v>
      </c>
      <c r="MV242" s="128">
        <v>4000</v>
      </c>
      <c r="MW242" s="128">
        <v>2000</v>
      </c>
      <c r="MX242" s="128">
        <v>2000</v>
      </c>
      <c r="NB242" s="128">
        <v>21000</v>
      </c>
      <c r="NC242" s="128">
        <v>18000</v>
      </c>
      <c r="ND242" s="128">
        <v>18000</v>
      </c>
      <c r="NH242" s="128">
        <v>22000</v>
      </c>
      <c r="NI242" s="128">
        <v>12000</v>
      </c>
      <c r="NJ242" s="128">
        <v>12000</v>
      </c>
      <c r="NN242" s="128">
        <v>38000</v>
      </c>
      <c r="NO242" s="128">
        <v>17000</v>
      </c>
      <c r="NP242" s="128">
        <v>17000</v>
      </c>
      <c r="NT242" s="128">
        <v>6000</v>
      </c>
      <c r="NU242" s="128">
        <v>3000</v>
      </c>
      <c r="NV242" s="128">
        <v>3000</v>
      </c>
      <c r="NZ242" s="128">
        <v>24000</v>
      </c>
      <c r="OA242" s="128">
        <v>12000</v>
      </c>
      <c r="OB242" s="128">
        <v>12000</v>
      </c>
      <c r="OF242" s="128">
        <v>20000</v>
      </c>
      <c r="OG242" s="128">
        <v>17000</v>
      </c>
      <c r="OH242" s="128">
        <v>17000</v>
      </c>
      <c r="OL242" s="128">
        <v>0</v>
      </c>
      <c r="OM242" s="128">
        <v>0</v>
      </c>
      <c r="ON242" s="128">
        <v>0</v>
      </c>
      <c r="OR242" s="128">
        <v>0</v>
      </c>
      <c r="OS242" s="128">
        <v>0</v>
      </c>
      <c r="OT242" s="128">
        <v>0</v>
      </c>
      <c r="OX242" s="128">
        <v>0</v>
      </c>
      <c r="OY242" s="128">
        <v>0</v>
      </c>
      <c r="OZ242" s="128">
        <v>0</v>
      </c>
      <c r="PD242" s="128">
        <v>12000</v>
      </c>
      <c r="PE242" s="128">
        <v>0</v>
      </c>
      <c r="PF242" s="128">
        <v>0</v>
      </c>
      <c r="PJ242" s="128">
        <v>13600</v>
      </c>
      <c r="PK242" s="128">
        <v>5200</v>
      </c>
      <c r="PL242" s="128">
        <v>5200</v>
      </c>
      <c r="PP242" s="128">
        <v>1335286</v>
      </c>
      <c r="PQ242" s="128">
        <v>924000</v>
      </c>
      <c r="PR242" s="128">
        <v>924000</v>
      </c>
      <c r="PS242" s="128">
        <v>100</v>
      </c>
      <c r="PT242" s="128">
        <v>100</v>
      </c>
      <c r="PV242" s="128">
        <v>586362</v>
      </c>
      <c r="PX242" s="128">
        <v>432300</v>
      </c>
      <c r="PY242" s="128">
        <v>716300</v>
      </c>
      <c r="PZ242" s="128">
        <v>924000</v>
      </c>
      <c r="QA242" s="128">
        <v>0</v>
      </c>
      <c r="QB242" s="128">
        <v>0</v>
      </c>
      <c r="QC242" s="128">
        <v>0</v>
      </c>
      <c r="QD242" s="128">
        <v>0</v>
      </c>
      <c r="QE242" s="128">
        <v>0</v>
      </c>
      <c r="QF242" s="128">
        <v>0</v>
      </c>
      <c r="QG242" s="128">
        <v>0</v>
      </c>
      <c r="QH242" s="128">
        <v>0</v>
      </c>
      <c r="QI242" s="128">
        <v>0</v>
      </c>
      <c r="QJ242" s="128">
        <v>142784</v>
      </c>
      <c r="QK242" s="128">
        <v>234627</v>
      </c>
      <c r="QL242" s="128">
        <v>240286</v>
      </c>
      <c r="QN242" s="128">
        <v>0</v>
      </c>
      <c r="QO242" s="128">
        <v>0</v>
      </c>
      <c r="QP242" s="128">
        <v>0</v>
      </c>
      <c r="QU242" s="128">
        <v>0</v>
      </c>
      <c r="QV242" s="128">
        <v>40000</v>
      </c>
      <c r="QW242" s="128">
        <v>40000</v>
      </c>
      <c r="QX242" s="128">
        <v>0</v>
      </c>
      <c r="QY242" s="128">
        <v>3000</v>
      </c>
      <c r="QZ242" s="128">
        <v>10000</v>
      </c>
      <c r="RD242" s="128">
        <v>0</v>
      </c>
      <c r="RE242" s="128">
        <v>0</v>
      </c>
      <c r="RF242" s="128">
        <v>121000</v>
      </c>
      <c r="RH242" s="128">
        <f t="shared" si="412"/>
        <v>1095000</v>
      </c>
      <c r="RI242" s="128">
        <v>0</v>
      </c>
      <c r="RM242" s="128" t="s">
        <v>220</v>
      </c>
      <c r="RU242" s="130"/>
      <c r="RV242" s="130"/>
      <c r="RW242" s="130"/>
      <c r="RX242" s="130"/>
      <c r="SF242" s="128">
        <f t="shared" si="322"/>
        <v>3921078</v>
      </c>
      <c r="SG242" s="131">
        <f t="shared" si="323"/>
        <v>1335286</v>
      </c>
      <c r="SH242" s="131">
        <f t="shared" si="324"/>
        <v>1335286</v>
      </c>
      <c r="SI242" s="131">
        <f t="shared" si="325"/>
        <v>1102486</v>
      </c>
      <c r="SJ242" s="132">
        <f t="shared" si="326"/>
        <v>837136</v>
      </c>
      <c r="SK242" s="132">
        <f t="shared" si="327"/>
        <v>129150</v>
      </c>
      <c r="SL242" s="132">
        <f t="shared" si="328"/>
        <v>136200</v>
      </c>
      <c r="SM242" s="132">
        <f t="shared" si="329"/>
        <v>0</v>
      </c>
      <c r="SN242" s="131">
        <f t="shared" si="330"/>
        <v>232800</v>
      </c>
      <c r="SO242" s="131">
        <f t="shared" si="331"/>
        <v>24000</v>
      </c>
      <c r="SP242" s="132">
        <f t="shared" si="332"/>
        <v>4000</v>
      </c>
      <c r="SQ242" s="132">
        <f t="shared" si="333"/>
        <v>20000</v>
      </c>
      <c r="SR242" s="132">
        <f t="shared" si="334"/>
        <v>0</v>
      </c>
      <c r="SS242" s="132">
        <f t="shared" si="335"/>
        <v>6200</v>
      </c>
      <c r="ST242" s="132">
        <f t="shared" si="336"/>
        <v>34000</v>
      </c>
      <c r="SU242" s="132">
        <f t="shared" si="337"/>
        <v>8000</v>
      </c>
      <c r="SV242" s="131">
        <f t="shared" si="338"/>
        <v>135000</v>
      </c>
      <c r="SW242" s="132">
        <f t="shared" si="339"/>
        <v>4000</v>
      </c>
      <c r="SX242" s="132">
        <f t="shared" si="340"/>
        <v>21000</v>
      </c>
      <c r="SY242" s="132">
        <f t="shared" si="341"/>
        <v>22000</v>
      </c>
      <c r="SZ242" s="132">
        <f t="shared" si="342"/>
        <v>38000</v>
      </c>
      <c r="TA242" s="132">
        <f t="shared" si="343"/>
        <v>6000</v>
      </c>
      <c r="TB242" s="132">
        <f t="shared" si="344"/>
        <v>24000</v>
      </c>
      <c r="TC242" s="132">
        <f t="shared" si="345"/>
        <v>20000</v>
      </c>
      <c r="TD242" s="132">
        <f t="shared" si="346"/>
        <v>0</v>
      </c>
      <c r="TE242" s="132">
        <f t="shared" si="347"/>
        <v>0</v>
      </c>
      <c r="TF242" s="132">
        <f t="shared" si="348"/>
        <v>0</v>
      </c>
      <c r="TG242" s="132">
        <f t="shared" si="349"/>
        <v>12000</v>
      </c>
      <c r="TH242" s="132">
        <f t="shared" si="350"/>
        <v>13600</v>
      </c>
      <c r="TI242" s="1"/>
      <c r="TJ242" s="131">
        <f t="shared" si="351"/>
        <v>924000</v>
      </c>
      <c r="TK242" s="131">
        <f t="shared" si="352"/>
        <v>924000</v>
      </c>
      <c r="TL242" s="131">
        <f t="shared" si="353"/>
        <v>792000</v>
      </c>
      <c r="TM242" s="132">
        <f t="shared" si="354"/>
        <v>628000</v>
      </c>
      <c r="TN242" s="132">
        <f t="shared" si="355"/>
        <v>60000</v>
      </c>
      <c r="TO242" s="132">
        <f t="shared" si="356"/>
        <v>104000</v>
      </c>
      <c r="TP242" s="132">
        <f t="shared" si="357"/>
        <v>0</v>
      </c>
      <c r="TQ242" s="131">
        <f t="shared" si="358"/>
        <v>132000</v>
      </c>
      <c r="TR242" s="131">
        <f t="shared" si="359"/>
        <v>12000</v>
      </c>
      <c r="TS242" s="132">
        <f t="shared" si="360"/>
        <v>2000</v>
      </c>
      <c r="TT242" s="132">
        <f t="shared" si="361"/>
        <v>10000</v>
      </c>
      <c r="TU242" s="132">
        <f t="shared" si="362"/>
        <v>0</v>
      </c>
      <c r="TV242" s="132">
        <f t="shared" si="363"/>
        <v>3800</v>
      </c>
      <c r="TW242" s="132">
        <f t="shared" si="364"/>
        <v>24000</v>
      </c>
      <c r="TX242" s="132">
        <f t="shared" si="365"/>
        <v>6000</v>
      </c>
      <c r="TY242" s="131">
        <f t="shared" si="366"/>
        <v>81000</v>
      </c>
      <c r="TZ242" s="132">
        <f t="shared" si="367"/>
        <v>2000</v>
      </c>
      <c r="UA242" s="132">
        <f t="shared" si="368"/>
        <v>18000</v>
      </c>
      <c r="UB242" s="132">
        <f t="shared" si="369"/>
        <v>12000</v>
      </c>
      <c r="UC242" s="132">
        <f t="shared" si="370"/>
        <v>17000</v>
      </c>
      <c r="UD242" s="132">
        <f t="shared" si="371"/>
        <v>3000</v>
      </c>
      <c r="UE242" s="132">
        <f t="shared" si="372"/>
        <v>12000</v>
      </c>
      <c r="UF242" s="132">
        <f t="shared" si="373"/>
        <v>17000</v>
      </c>
      <c r="UG242" s="132">
        <f t="shared" si="374"/>
        <v>0</v>
      </c>
      <c r="UH242" s="132">
        <f t="shared" si="375"/>
        <v>0</v>
      </c>
      <c r="UI242" s="132">
        <f t="shared" si="376"/>
        <v>0</v>
      </c>
      <c r="UJ242" s="132">
        <f t="shared" si="377"/>
        <v>0</v>
      </c>
      <c r="UK242" s="132">
        <f t="shared" si="378"/>
        <v>5200</v>
      </c>
      <c r="UL242" s="132">
        <f t="shared" si="413"/>
        <v>924000</v>
      </c>
      <c r="UM242" s="131">
        <f t="shared" si="379"/>
        <v>924000</v>
      </c>
      <c r="UN242" s="131">
        <f t="shared" si="380"/>
        <v>924000</v>
      </c>
      <c r="UO242" s="131">
        <f t="shared" si="381"/>
        <v>792000</v>
      </c>
      <c r="UP242" s="132">
        <f t="shared" si="382"/>
        <v>628000</v>
      </c>
      <c r="UQ242" s="132">
        <f t="shared" si="383"/>
        <v>60000</v>
      </c>
      <c r="UR242" s="132">
        <f t="shared" si="384"/>
        <v>104000</v>
      </c>
      <c r="US242" s="132">
        <f t="shared" si="385"/>
        <v>0</v>
      </c>
      <c r="UT242" s="131">
        <f t="shared" si="386"/>
        <v>132000</v>
      </c>
      <c r="UU242" s="131">
        <f t="shared" si="387"/>
        <v>12000</v>
      </c>
      <c r="UV242" s="132">
        <f t="shared" si="388"/>
        <v>2000</v>
      </c>
      <c r="UW242" s="132">
        <f t="shared" si="389"/>
        <v>10000</v>
      </c>
      <c r="UX242" s="132">
        <f t="shared" si="390"/>
        <v>0</v>
      </c>
      <c r="UY242" s="132">
        <f t="shared" si="391"/>
        <v>3800</v>
      </c>
      <c r="UZ242" s="132">
        <f t="shared" si="392"/>
        <v>24000</v>
      </c>
      <c r="VA242" s="132">
        <f t="shared" si="393"/>
        <v>6000</v>
      </c>
      <c r="VB242" s="131">
        <f t="shared" si="394"/>
        <v>81000</v>
      </c>
      <c r="VC242" s="132">
        <f t="shared" si="395"/>
        <v>2000</v>
      </c>
      <c r="VD242" s="132">
        <f t="shared" si="396"/>
        <v>18000</v>
      </c>
      <c r="VE242" s="132">
        <f t="shared" si="397"/>
        <v>12000</v>
      </c>
      <c r="VF242" s="132">
        <f t="shared" si="398"/>
        <v>17000</v>
      </c>
      <c r="VG242" s="132">
        <f t="shared" si="399"/>
        <v>3000</v>
      </c>
      <c r="VH242" s="132">
        <f t="shared" si="400"/>
        <v>12000</v>
      </c>
      <c r="VI242" s="132">
        <f t="shared" si="401"/>
        <v>17000</v>
      </c>
      <c r="VJ242" s="132">
        <f t="shared" si="402"/>
        <v>0</v>
      </c>
      <c r="VK242" s="132">
        <f t="shared" si="403"/>
        <v>0</v>
      </c>
      <c r="VL242" s="132">
        <f t="shared" si="404"/>
        <v>0</v>
      </c>
      <c r="VM242" s="132">
        <f t="shared" si="405"/>
        <v>0</v>
      </c>
      <c r="VN242" s="132">
        <f t="shared" si="406"/>
        <v>5200</v>
      </c>
      <c r="VP242" s="845" t="str">
        <f>IFERROR(HLOOKUP(F242,'Hodnocení '!$C$1:$JH$5,2,FALSE),0)</f>
        <v>Spokojený domov, o.p.s.</v>
      </c>
      <c r="VQ242" s="838"/>
      <c r="VR242" s="845" t="str">
        <f t="shared" si="414"/>
        <v>Obecně prospěšná společnost</v>
      </c>
      <c r="VS242" s="845" t="str">
        <f>IFERROR(HLOOKUP(F242,'Hodnocení '!$C$1:$JH$5,5,FALSE),0)</f>
        <v>NZO</v>
      </c>
      <c r="VT242" s="838">
        <f t="shared" si="415"/>
        <v>0</v>
      </c>
      <c r="VU242" s="838">
        <f t="shared" si="416"/>
        <v>0</v>
      </c>
      <c r="VV242" s="838">
        <f t="shared" si="417"/>
        <v>240286</v>
      </c>
      <c r="VW242" s="838">
        <f t="shared" si="418"/>
        <v>0</v>
      </c>
      <c r="VX242" s="838"/>
      <c r="VY242" s="838">
        <f t="shared" si="419"/>
        <v>0</v>
      </c>
      <c r="VZ242" s="838">
        <f t="shared" si="420"/>
        <v>924000</v>
      </c>
      <c r="WA242" s="846">
        <f>IFERROR(HLOOKUP($F242,'Hodnocení '!$C$1:$JH$9,9,FALSE),0)</f>
        <v>924000</v>
      </c>
      <c r="WB242" s="846">
        <f>IF(IFERROR(HLOOKUP($F242,'Hodnocení '!$C$1:$JH$13,13,FALSE),0)&gt;WA242,WA242,IFERROR(HLOOKUP($F242,'Hodnocení '!$C$1:$JH$13,13,FALSE),0))</f>
        <v>770133.71150518791</v>
      </c>
      <c r="WC242" s="846">
        <f>IFERROR(HLOOKUP($F242,'Hodnocení '!$C$1:$JH$155,155,FALSE),0)</f>
        <v>723930</v>
      </c>
      <c r="WD242" s="845"/>
      <c r="WE242" s="845"/>
      <c r="WF242" s="845" t="str">
        <f t="shared" si="407"/>
        <v>ANO</v>
      </c>
      <c r="WG242" s="849" t="str">
        <f t="shared" si="421"/>
        <v>Podpora služby je vyjádřena zařazením do sítě sociálních služeb v KHK a řešením financování služby</v>
      </c>
      <c r="WH242"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42" s="849" t="str">
        <f t="shared" si="421"/>
        <v>Návrh dotace je výsledkem projednání s ostatními zadavateli v rámci sítě služeb KHK</v>
      </c>
      <c r="WJ242" s="849" t="str">
        <f t="shared" si="421"/>
        <v>Bez komentáře</v>
      </c>
      <c r="WK242" s="31">
        <f t="shared" si="408"/>
        <v>0</v>
      </c>
      <c r="WL242" s="850">
        <f t="shared" si="409"/>
        <v>0</v>
      </c>
      <c r="WM242" s="849" t="str">
        <f t="shared" si="410"/>
        <v>V rámci sítě KHK se dlouhodobě řeší otázka navyšování úhrad a průběžně se monitoruje s vazbou na vykrytí vyrovnávací platby</v>
      </c>
      <c r="WN242" s="849">
        <f t="shared" si="411"/>
        <v>0</v>
      </c>
      <c r="WO242" s="849" t="str">
        <f t="shared" si="422"/>
        <v>bez komentáře</v>
      </c>
      <c r="WP242" s="849" t="str">
        <f t="shared" si="422"/>
        <v>bez komentáře</v>
      </c>
      <c r="WQ242" s="849" t="str">
        <f t="shared" si="422"/>
        <v>Konečná výše dotace z rozpočtu KHK bude řešena v návaznosti na řešení podílů jednotlivých zadavatelů.</v>
      </c>
      <c r="WR242" s="849" t="str">
        <f t="shared" si="422"/>
        <v>Konečná výše podpory ze stran obcí bude řešena v součinnosti s jednotlivými zadavateli v průběhu roku.</v>
      </c>
      <c r="WS242" s="849" t="str">
        <f t="shared" si="422"/>
        <v>bez komentáře</v>
      </c>
      <c r="WT242" s="849" t="str">
        <f t="shared" si="422"/>
        <v>bez komentáře</v>
      </c>
      <c r="WU242" s="845"/>
    </row>
    <row r="243" spans="1:619" s="128" customFormat="1" x14ac:dyDescent="0.25">
      <c r="A243" s="128" t="str">
        <f>VLOOKUP(F243,'Výpočet VP 2020'!$D$324:$I$588,6,FALSE)</f>
        <v>Je v síti</v>
      </c>
      <c r="B243" s="128" t="s">
        <v>965</v>
      </c>
      <c r="C243" s="128">
        <v>26597063</v>
      </c>
      <c r="D243" s="128" t="s">
        <v>966</v>
      </c>
      <c r="E243" s="128" t="s">
        <v>967</v>
      </c>
      <c r="F243" s="128">
        <v>3198258</v>
      </c>
      <c r="G243" s="128" t="s">
        <v>225</v>
      </c>
      <c r="H243" s="128" t="s">
        <v>218</v>
      </c>
      <c r="I243" s="128" t="s">
        <v>225</v>
      </c>
      <c r="J243" s="129">
        <v>39083</v>
      </c>
      <c r="L243" s="128" t="s">
        <v>220</v>
      </c>
      <c r="AP243" s="128" t="s">
        <v>336</v>
      </c>
      <c r="AQ243" s="128">
        <v>6</v>
      </c>
      <c r="AR243" s="128">
        <v>15</v>
      </c>
      <c r="AS243" s="128">
        <v>53</v>
      </c>
      <c r="AT243" s="128">
        <v>47</v>
      </c>
      <c r="AU243" s="128">
        <v>48</v>
      </c>
      <c r="BJ243" s="128">
        <v>6800</v>
      </c>
      <c r="BL243" s="128" t="s">
        <v>968</v>
      </c>
      <c r="BM243" s="128" t="s">
        <v>325</v>
      </c>
      <c r="BN243" s="128" t="s">
        <v>299</v>
      </c>
      <c r="BO243" s="128">
        <v>0</v>
      </c>
      <c r="BP243" s="128">
        <v>1</v>
      </c>
      <c r="BQ243" s="128">
        <v>0</v>
      </c>
      <c r="BR243" s="128">
        <v>1</v>
      </c>
      <c r="BS243" s="128">
        <v>0</v>
      </c>
      <c r="BT243" s="128">
        <v>7</v>
      </c>
      <c r="BU243" s="128">
        <v>7</v>
      </c>
      <c r="BV243" s="128">
        <v>10</v>
      </c>
      <c r="BW243" s="128">
        <v>6</v>
      </c>
      <c r="BX243" s="128">
        <v>0</v>
      </c>
      <c r="BY243" s="128">
        <v>7</v>
      </c>
      <c r="BZ243" s="128">
        <v>8</v>
      </c>
      <c r="CA243" s="128">
        <v>10</v>
      </c>
      <c r="CB243" s="128">
        <v>7</v>
      </c>
      <c r="CC243" s="128">
        <v>0</v>
      </c>
      <c r="CD243" s="128">
        <v>2</v>
      </c>
      <c r="CE243" s="128">
        <v>30</v>
      </c>
      <c r="CF243" s="128">
        <v>32</v>
      </c>
      <c r="CH243" s="128">
        <v>1</v>
      </c>
      <c r="CI243" s="128">
        <v>1</v>
      </c>
      <c r="CJ243" s="128">
        <v>0</v>
      </c>
      <c r="CK243" s="128">
        <v>1</v>
      </c>
      <c r="CL243" s="128">
        <v>0</v>
      </c>
      <c r="CM243" s="128">
        <v>10</v>
      </c>
      <c r="CN243" s="128">
        <v>10</v>
      </c>
      <c r="CO243" s="128">
        <v>12</v>
      </c>
      <c r="CP243" s="128">
        <v>10</v>
      </c>
      <c r="CQ243" s="128">
        <v>3</v>
      </c>
      <c r="CR243" s="128">
        <v>11</v>
      </c>
      <c r="CS243" s="128">
        <v>11</v>
      </c>
      <c r="CT243" s="128">
        <v>12</v>
      </c>
      <c r="CU243" s="128">
        <v>11</v>
      </c>
      <c r="CV243" s="128">
        <v>3</v>
      </c>
      <c r="CW243" s="128">
        <v>3</v>
      </c>
      <c r="CX243" s="128">
        <v>45</v>
      </c>
      <c r="CY243" s="128">
        <v>48</v>
      </c>
      <c r="EK243" s="128">
        <v>2</v>
      </c>
      <c r="EL243" s="128">
        <v>1</v>
      </c>
      <c r="EM243" s="128">
        <v>0.7</v>
      </c>
      <c r="EN243" s="128">
        <v>535400</v>
      </c>
      <c r="EO243" s="128">
        <v>515400</v>
      </c>
      <c r="EP243" s="128">
        <v>7</v>
      </c>
      <c r="EQ243" s="128">
        <v>6.43</v>
      </c>
      <c r="ER243" s="128">
        <v>6.43</v>
      </c>
      <c r="ES243" s="128">
        <v>2520800</v>
      </c>
      <c r="ET243" s="128">
        <v>2451300</v>
      </c>
      <c r="FO243" s="128">
        <v>3</v>
      </c>
      <c r="FP243" s="128">
        <v>1.6</v>
      </c>
      <c r="FQ243" s="128">
        <v>1.6</v>
      </c>
      <c r="FR243" s="128">
        <v>1081300</v>
      </c>
      <c r="FS243" s="128">
        <v>490800</v>
      </c>
      <c r="IN243" s="128">
        <v>1</v>
      </c>
      <c r="IO243" s="128">
        <v>300</v>
      </c>
      <c r="IP243" s="128">
        <v>0.14299999999999999</v>
      </c>
      <c r="IQ243" s="128">
        <v>33000</v>
      </c>
      <c r="IR243" s="128">
        <v>33000</v>
      </c>
      <c r="KG243" s="128">
        <v>0</v>
      </c>
      <c r="KI243" s="128">
        <v>7.43</v>
      </c>
      <c r="KJ243" s="128">
        <v>0</v>
      </c>
      <c r="KK243" s="128">
        <v>0.14299999999999999</v>
      </c>
      <c r="KL243" s="128">
        <v>0</v>
      </c>
      <c r="KM243" s="128">
        <v>7.5730000000000004</v>
      </c>
      <c r="KN243" s="128">
        <v>4137500</v>
      </c>
      <c r="KO243" s="128">
        <v>3457500</v>
      </c>
      <c r="KP243" s="128">
        <v>3457500</v>
      </c>
      <c r="KT243" s="128">
        <v>0</v>
      </c>
      <c r="KU243" s="128">
        <v>0</v>
      </c>
      <c r="KV243" s="128">
        <v>0</v>
      </c>
      <c r="KZ243" s="128">
        <v>33000</v>
      </c>
      <c r="LA243" s="128">
        <v>33000</v>
      </c>
      <c r="LB243" s="128">
        <v>33000</v>
      </c>
      <c r="LF243" s="128">
        <v>10000</v>
      </c>
      <c r="LG243" s="128">
        <v>10000</v>
      </c>
      <c r="LH243" s="128">
        <v>10000</v>
      </c>
      <c r="LL243" s="128">
        <v>0</v>
      </c>
      <c r="LM243" s="128">
        <v>0</v>
      </c>
      <c r="LN243" s="128">
        <v>0</v>
      </c>
      <c r="LR243" s="128">
        <v>0</v>
      </c>
      <c r="LS243" s="128">
        <v>0</v>
      </c>
      <c r="LT243" s="128">
        <v>0</v>
      </c>
      <c r="LX243" s="128">
        <v>0</v>
      </c>
      <c r="LY243" s="128">
        <v>0</v>
      </c>
      <c r="LZ243" s="128">
        <v>0</v>
      </c>
      <c r="MD243" s="128">
        <v>20000</v>
      </c>
      <c r="ME243" s="128">
        <v>0</v>
      </c>
      <c r="MF243" s="128">
        <v>0</v>
      </c>
      <c r="MJ243" s="128">
        <v>0</v>
      </c>
      <c r="MK243" s="128">
        <v>0</v>
      </c>
      <c r="ML243" s="128">
        <v>0</v>
      </c>
      <c r="MP243" s="128">
        <v>0</v>
      </c>
      <c r="MQ243" s="128">
        <v>0</v>
      </c>
      <c r="MR243" s="128">
        <v>0</v>
      </c>
      <c r="MV243" s="128">
        <v>60000</v>
      </c>
      <c r="MW243" s="128">
        <v>0</v>
      </c>
      <c r="MX243" s="128">
        <v>0</v>
      </c>
      <c r="NB243" s="128">
        <v>70000</v>
      </c>
      <c r="NC243" s="128">
        <v>0</v>
      </c>
      <c r="ND243" s="128">
        <v>0</v>
      </c>
      <c r="NH243" s="128">
        <v>100000</v>
      </c>
      <c r="NI243" s="128">
        <v>0</v>
      </c>
      <c r="NJ243" s="128">
        <v>0</v>
      </c>
      <c r="NN243" s="128">
        <v>0</v>
      </c>
      <c r="NO243" s="128">
        <v>0</v>
      </c>
      <c r="NP243" s="128">
        <v>0</v>
      </c>
      <c r="NT243" s="128">
        <v>40000</v>
      </c>
      <c r="NU243" s="128">
        <v>30000</v>
      </c>
      <c r="NV243" s="128">
        <v>30000</v>
      </c>
      <c r="NZ243" s="128">
        <v>0</v>
      </c>
      <c r="OA243" s="128">
        <v>0</v>
      </c>
      <c r="OB243" s="128">
        <v>0</v>
      </c>
      <c r="OF243" s="128">
        <v>390000</v>
      </c>
      <c r="OG243" s="128">
        <v>380000</v>
      </c>
      <c r="OH243" s="128">
        <v>380000</v>
      </c>
      <c r="OL243" s="128">
        <v>0</v>
      </c>
      <c r="OM243" s="128">
        <v>0</v>
      </c>
      <c r="ON243" s="128">
        <v>0</v>
      </c>
      <c r="OR243" s="128">
        <v>0</v>
      </c>
      <c r="OS243" s="128">
        <v>0</v>
      </c>
      <c r="OT243" s="128">
        <v>0</v>
      </c>
      <c r="OX243" s="128">
        <v>0</v>
      </c>
      <c r="OY243" s="128">
        <v>0</v>
      </c>
      <c r="OZ243" s="128">
        <v>0</v>
      </c>
      <c r="PD243" s="128">
        <v>0</v>
      </c>
      <c r="PE243" s="128">
        <v>0</v>
      </c>
      <c r="PF243" s="128">
        <v>0</v>
      </c>
      <c r="PJ243" s="128">
        <v>0</v>
      </c>
      <c r="PK243" s="128">
        <v>0</v>
      </c>
      <c r="PL243" s="128">
        <v>0</v>
      </c>
      <c r="PP243" s="128">
        <v>4860500</v>
      </c>
      <c r="PQ243" s="128">
        <v>3910500</v>
      </c>
      <c r="PR243" s="128">
        <v>3910500</v>
      </c>
      <c r="PS243" s="128">
        <v>100</v>
      </c>
      <c r="PT243" s="128">
        <v>100</v>
      </c>
      <c r="PX243" s="128">
        <v>3325154</v>
      </c>
      <c r="PY243" s="128">
        <v>3633000</v>
      </c>
      <c r="PZ243" s="128">
        <v>3910500</v>
      </c>
      <c r="QA243" s="128">
        <v>0</v>
      </c>
      <c r="QB243" s="128">
        <v>0</v>
      </c>
      <c r="QC243" s="128">
        <v>0</v>
      </c>
      <c r="QD243" s="128">
        <v>0</v>
      </c>
      <c r="QE243" s="128">
        <v>0</v>
      </c>
      <c r="QF243" s="128">
        <v>0</v>
      </c>
      <c r="QG243" s="128">
        <v>0</v>
      </c>
      <c r="QH243" s="128">
        <v>0</v>
      </c>
      <c r="QI243" s="128">
        <v>0</v>
      </c>
      <c r="QJ243" s="128">
        <v>731158</v>
      </c>
      <c r="QK243" s="128">
        <v>695000</v>
      </c>
      <c r="QL243" s="128">
        <v>720000</v>
      </c>
      <c r="QN243" s="128">
        <v>0</v>
      </c>
      <c r="QO243" s="128">
        <v>0</v>
      </c>
      <c r="QP243" s="128">
        <v>0</v>
      </c>
      <c r="QU243" s="128">
        <v>0</v>
      </c>
      <c r="QV243" s="128">
        <v>262188</v>
      </c>
      <c r="QW243" s="128">
        <v>100000</v>
      </c>
      <c r="QX243" s="128">
        <v>115000</v>
      </c>
      <c r="QY243" s="128">
        <v>130000</v>
      </c>
      <c r="QZ243" s="128">
        <v>130000</v>
      </c>
      <c r="RH243" s="128">
        <f t="shared" si="412"/>
        <v>4140500</v>
      </c>
      <c r="RI243" s="128">
        <v>0</v>
      </c>
      <c r="RM243" s="128" t="s">
        <v>220</v>
      </c>
      <c r="RU243" s="130"/>
      <c r="RV243" s="130"/>
      <c r="RW243" s="130"/>
      <c r="RX243" s="130"/>
      <c r="SF243" s="128">
        <f t="shared" si="322"/>
        <v>3198258</v>
      </c>
      <c r="SG243" s="131">
        <f t="shared" si="323"/>
        <v>4860500</v>
      </c>
      <c r="SH243" s="131">
        <f t="shared" si="324"/>
        <v>4860500</v>
      </c>
      <c r="SI243" s="131">
        <f t="shared" si="325"/>
        <v>4180500</v>
      </c>
      <c r="SJ243" s="132">
        <f t="shared" si="326"/>
        <v>4137500</v>
      </c>
      <c r="SK243" s="132">
        <f t="shared" si="327"/>
        <v>0</v>
      </c>
      <c r="SL243" s="132">
        <f t="shared" si="328"/>
        <v>33000</v>
      </c>
      <c r="SM243" s="132">
        <f t="shared" si="329"/>
        <v>10000</v>
      </c>
      <c r="SN243" s="131">
        <f t="shared" si="330"/>
        <v>680000</v>
      </c>
      <c r="SO243" s="131">
        <f t="shared" si="331"/>
        <v>0</v>
      </c>
      <c r="SP243" s="132">
        <f t="shared" si="332"/>
        <v>0</v>
      </c>
      <c r="SQ243" s="132">
        <f t="shared" si="333"/>
        <v>0</v>
      </c>
      <c r="SR243" s="132">
        <f t="shared" si="334"/>
        <v>0</v>
      </c>
      <c r="SS243" s="132">
        <f t="shared" si="335"/>
        <v>20000</v>
      </c>
      <c r="ST243" s="132">
        <f t="shared" si="336"/>
        <v>0</v>
      </c>
      <c r="SU243" s="132">
        <f t="shared" si="337"/>
        <v>0</v>
      </c>
      <c r="SV243" s="131">
        <f t="shared" si="338"/>
        <v>660000</v>
      </c>
      <c r="SW243" s="132">
        <f t="shared" si="339"/>
        <v>60000</v>
      </c>
      <c r="SX243" s="132">
        <f t="shared" si="340"/>
        <v>70000</v>
      </c>
      <c r="SY243" s="132">
        <f t="shared" si="341"/>
        <v>100000</v>
      </c>
      <c r="SZ243" s="132">
        <f t="shared" si="342"/>
        <v>0</v>
      </c>
      <c r="TA243" s="132">
        <f t="shared" si="343"/>
        <v>40000</v>
      </c>
      <c r="TB243" s="132">
        <f t="shared" si="344"/>
        <v>0</v>
      </c>
      <c r="TC243" s="132">
        <f t="shared" si="345"/>
        <v>390000</v>
      </c>
      <c r="TD243" s="132">
        <f t="shared" si="346"/>
        <v>0</v>
      </c>
      <c r="TE243" s="132">
        <f t="shared" si="347"/>
        <v>0</v>
      </c>
      <c r="TF243" s="132">
        <f t="shared" si="348"/>
        <v>0</v>
      </c>
      <c r="TG243" s="132">
        <f t="shared" si="349"/>
        <v>0</v>
      </c>
      <c r="TH243" s="132">
        <f t="shared" si="350"/>
        <v>0</v>
      </c>
      <c r="TI243" s="1"/>
      <c r="TJ243" s="131">
        <f t="shared" si="351"/>
        <v>3910500</v>
      </c>
      <c r="TK243" s="131">
        <f t="shared" si="352"/>
        <v>3910500</v>
      </c>
      <c r="TL243" s="131">
        <f t="shared" si="353"/>
        <v>3500500</v>
      </c>
      <c r="TM243" s="132">
        <f t="shared" si="354"/>
        <v>3457500</v>
      </c>
      <c r="TN243" s="132">
        <f t="shared" si="355"/>
        <v>0</v>
      </c>
      <c r="TO243" s="132">
        <f t="shared" si="356"/>
        <v>33000</v>
      </c>
      <c r="TP243" s="132">
        <f t="shared" si="357"/>
        <v>10000</v>
      </c>
      <c r="TQ243" s="131">
        <f t="shared" si="358"/>
        <v>410000</v>
      </c>
      <c r="TR243" s="131">
        <f t="shared" si="359"/>
        <v>0</v>
      </c>
      <c r="TS243" s="132">
        <f t="shared" si="360"/>
        <v>0</v>
      </c>
      <c r="TT243" s="132">
        <f t="shared" si="361"/>
        <v>0</v>
      </c>
      <c r="TU243" s="132">
        <f t="shared" si="362"/>
        <v>0</v>
      </c>
      <c r="TV243" s="132">
        <f t="shared" si="363"/>
        <v>0</v>
      </c>
      <c r="TW243" s="132">
        <f t="shared" si="364"/>
        <v>0</v>
      </c>
      <c r="TX243" s="132">
        <f t="shared" si="365"/>
        <v>0</v>
      </c>
      <c r="TY243" s="131">
        <f t="shared" si="366"/>
        <v>410000</v>
      </c>
      <c r="TZ243" s="132">
        <f t="shared" si="367"/>
        <v>0</v>
      </c>
      <c r="UA243" s="132">
        <f t="shared" si="368"/>
        <v>0</v>
      </c>
      <c r="UB243" s="132">
        <f t="shared" si="369"/>
        <v>0</v>
      </c>
      <c r="UC243" s="132">
        <f t="shared" si="370"/>
        <v>0</v>
      </c>
      <c r="UD243" s="132">
        <f t="shared" si="371"/>
        <v>30000</v>
      </c>
      <c r="UE243" s="132">
        <f t="shared" si="372"/>
        <v>0</v>
      </c>
      <c r="UF243" s="132">
        <f t="shared" si="373"/>
        <v>380000</v>
      </c>
      <c r="UG243" s="132">
        <f t="shared" si="374"/>
        <v>0</v>
      </c>
      <c r="UH243" s="132">
        <f t="shared" si="375"/>
        <v>0</v>
      </c>
      <c r="UI243" s="132">
        <f t="shared" si="376"/>
        <v>0</v>
      </c>
      <c r="UJ243" s="132">
        <f t="shared" si="377"/>
        <v>0</v>
      </c>
      <c r="UK243" s="132">
        <f t="shared" si="378"/>
        <v>0</v>
      </c>
      <c r="UL243" s="132">
        <f t="shared" si="413"/>
        <v>3910500</v>
      </c>
      <c r="UM243" s="131">
        <f t="shared" si="379"/>
        <v>3910500</v>
      </c>
      <c r="UN243" s="131">
        <f t="shared" si="380"/>
        <v>3910500</v>
      </c>
      <c r="UO243" s="131">
        <f t="shared" si="381"/>
        <v>3500500</v>
      </c>
      <c r="UP243" s="132">
        <f t="shared" si="382"/>
        <v>3457500</v>
      </c>
      <c r="UQ243" s="132">
        <f t="shared" si="383"/>
        <v>0</v>
      </c>
      <c r="UR243" s="132">
        <f t="shared" si="384"/>
        <v>33000</v>
      </c>
      <c r="US243" s="132">
        <f t="shared" si="385"/>
        <v>10000</v>
      </c>
      <c r="UT243" s="131">
        <f t="shared" si="386"/>
        <v>410000</v>
      </c>
      <c r="UU243" s="131">
        <f t="shared" si="387"/>
        <v>0</v>
      </c>
      <c r="UV243" s="132">
        <f t="shared" si="388"/>
        <v>0</v>
      </c>
      <c r="UW243" s="132">
        <f t="shared" si="389"/>
        <v>0</v>
      </c>
      <c r="UX243" s="132">
        <f t="shared" si="390"/>
        <v>0</v>
      </c>
      <c r="UY243" s="132">
        <f t="shared" si="391"/>
        <v>0</v>
      </c>
      <c r="UZ243" s="132">
        <f t="shared" si="392"/>
        <v>0</v>
      </c>
      <c r="VA243" s="132">
        <f t="shared" si="393"/>
        <v>0</v>
      </c>
      <c r="VB243" s="131">
        <f t="shared" si="394"/>
        <v>410000</v>
      </c>
      <c r="VC243" s="132">
        <f t="shared" si="395"/>
        <v>0</v>
      </c>
      <c r="VD243" s="132">
        <f t="shared" si="396"/>
        <v>0</v>
      </c>
      <c r="VE243" s="132">
        <f t="shared" si="397"/>
        <v>0</v>
      </c>
      <c r="VF243" s="132">
        <f t="shared" si="398"/>
        <v>0</v>
      </c>
      <c r="VG243" s="132">
        <f t="shared" si="399"/>
        <v>30000</v>
      </c>
      <c r="VH243" s="132">
        <f t="shared" si="400"/>
        <v>0</v>
      </c>
      <c r="VI243" s="132">
        <f t="shared" si="401"/>
        <v>380000</v>
      </c>
      <c r="VJ243" s="132">
        <f t="shared" si="402"/>
        <v>0</v>
      </c>
      <c r="VK243" s="132">
        <f t="shared" si="403"/>
        <v>0</v>
      </c>
      <c r="VL243" s="132">
        <f t="shared" si="404"/>
        <v>0</v>
      </c>
      <c r="VM243" s="132">
        <f t="shared" si="405"/>
        <v>0</v>
      </c>
      <c r="VN243" s="132">
        <f t="shared" si="406"/>
        <v>0</v>
      </c>
      <c r="VP243" s="845" t="str">
        <f>IFERROR(HLOOKUP(F243,'Hodnocení '!$C$1:$JH$5,2,FALSE),0)</f>
        <v>Společné cesty - z.s.</v>
      </c>
      <c r="VQ243" s="838"/>
      <c r="VR243" s="845" t="str">
        <f t="shared" si="414"/>
        <v>Občanské sdružení</v>
      </c>
      <c r="VS243" s="845" t="str">
        <f>IFERROR(HLOOKUP(F243,'Hodnocení '!$C$1:$JH$5,5,FALSE),0)</f>
        <v>NZO</v>
      </c>
      <c r="VT243" s="838">
        <f t="shared" si="415"/>
        <v>0</v>
      </c>
      <c r="VU243" s="838">
        <f t="shared" si="416"/>
        <v>0</v>
      </c>
      <c r="VV243" s="838">
        <f t="shared" si="417"/>
        <v>720000</v>
      </c>
      <c r="VW243" s="838">
        <f t="shared" si="418"/>
        <v>0</v>
      </c>
      <c r="VX243" s="838"/>
      <c r="VY243" s="838">
        <f t="shared" si="419"/>
        <v>0</v>
      </c>
      <c r="VZ243" s="838">
        <f t="shared" si="420"/>
        <v>3910500</v>
      </c>
      <c r="WA243" s="846">
        <f>IFERROR(HLOOKUP($F243,'Hodnocení '!$C$1:$JH$9,9,FALSE),0)</f>
        <v>3910500</v>
      </c>
      <c r="WB243" s="846">
        <f>IF(IFERROR(HLOOKUP($F243,'Hodnocení '!$C$1:$JH$13,13,FALSE),0)&gt;WA243,WA243,IFERROR(HLOOKUP($F243,'Hodnocení '!$C$1:$JH$13,13,FALSE),0))</f>
        <v>3517972.7647054419</v>
      </c>
      <c r="WC243" s="846">
        <f>IFERROR(HLOOKUP($F243,'Hodnocení '!$C$1:$JH$155,155,FALSE),0)</f>
        <v>3895190</v>
      </c>
      <c r="WD243" s="845"/>
      <c r="WE243" s="845"/>
      <c r="WF243" s="845" t="str">
        <f t="shared" si="407"/>
        <v>ANO</v>
      </c>
      <c r="WG243" s="849" t="str">
        <f t="shared" si="421"/>
        <v>Podpora služby je vyjádřena zařazením do sítě sociálních služeb v KHK a řešením financování služby</v>
      </c>
      <c r="WH243"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43" s="849" t="str">
        <f t="shared" si="421"/>
        <v>Návrh dotace je výsledkem projednání s ostatními zadavateli v rámci sítě služeb KHK</v>
      </c>
      <c r="WJ243" s="849" t="str">
        <f t="shared" si="421"/>
        <v>Bez komentáře</v>
      </c>
      <c r="WK243" s="31">
        <f t="shared" si="408"/>
        <v>0</v>
      </c>
      <c r="WL243" s="850">
        <f t="shared" si="409"/>
        <v>0</v>
      </c>
      <c r="WM243" s="849" t="str">
        <f t="shared" si="410"/>
        <v>V rámci sítě KHK se dlouhodobě řeší otázka navyšování úhrad a průběžně se monitoruje s vazbou na vykrytí vyrovnávací platby</v>
      </c>
      <c r="WN243" s="849">
        <f t="shared" si="411"/>
        <v>0</v>
      </c>
      <c r="WO243" s="849" t="str">
        <f t="shared" si="422"/>
        <v>bez komentáře</v>
      </c>
      <c r="WP243" s="849" t="str">
        <f t="shared" si="422"/>
        <v>bez komentáře</v>
      </c>
      <c r="WQ243" s="849" t="str">
        <f t="shared" si="422"/>
        <v>Konečná výše dotace z rozpočtu KHK bude řešena v návaznosti na řešení podílů jednotlivých zadavatelů.</v>
      </c>
      <c r="WR243" s="849" t="str">
        <f t="shared" si="422"/>
        <v>Konečná výše podpory ze stran obcí bude řešena v součinnosti s jednotlivými zadavateli v průběhu roku.</v>
      </c>
      <c r="WS243" s="849" t="str">
        <f t="shared" si="422"/>
        <v>bez komentáře</v>
      </c>
      <c r="WT243" s="849" t="str">
        <f t="shared" si="422"/>
        <v>bez komentáře</v>
      </c>
      <c r="WU243" s="845"/>
    </row>
    <row r="244" spans="1:619" s="128" customFormat="1" x14ac:dyDescent="0.25">
      <c r="A244" s="128" t="str">
        <f>VLOOKUP(F244,'Výpočet VP 2020'!$D$324:$I$588,6,FALSE)</f>
        <v>Je v síti</v>
      </c>
      <c r="B244" s="128" t="s">
        <v>1141</v>
      </c>
      <c r="C244" s="128">
        <v>27031161</v>
      </c>
      <c r="D244" s="128" t="s">
        <v>1890</v>
      </c>
      <c r="E244" s="128" t="s">
        <v>242</v>
      </c>
      <c r="F244" s="128">
        <v>4271738</v>
      </c>
      <c r="G244" s="128" t="s">
        <v>225</v>
      </c>
      <c r="H244" s="128" t="s">
        <v>218</v>
      </c>
      <c r="I244" s="128" t="s">
        <v>225</v>
      </c>
      <c r="J244" s="129">
        <v>39083</v>
      </c>
      <c r="L244" s="128" t="s">
        <v>220</v>
      </c>
      <c r="AP244" s="128" t="s">
        <v>288</v>
      </c>
      <c r="AQ244" s="128">
        <v>6</v>
      </c>
      <c r="AR244" s="128">
        <v>35</v>
      </c>
      <c r="AS244" s="128">
        <v>32</v>
      </c>
      <c r="AT244" s="128">
        <v>48</v>
      </c>
      <c r="AU244" s="128">
        <v>65</v>
      </c>
      <c r="BJ244" s="128">
        <v>9158</v>
      </c>
      <c r="BL244" s="128" t="s">
        <v>774</v>
      </c>
      <c r="BM244" s="128" t="s">
        <v>325</v>
      </c>
      <c r="BN244" s="128" t="s">
        <v>1891</v>
      </c>
      <c r="BO244" s="128">
        <v>0</v>
      </c>
      <c r="BP244" s="128">
        <v>0</v>
      </c>
      <c r="BQ244" s="128">
        <v>0</v>
      </c>
      <c r="BR244" s="128">
        <v>0</v>
      </c>
      <c r="BS244" s="128">
        <v>0</v>
      </c>
      <c r="BT244" s="128">
        <v>2</v>
      </c>
      <c r="BU244" s="128">
        <v>14</v>
      </c>
      <c r="BV244" s="128">
        <v>24</v>
      </c>
      <c r="BW244" s="128">
        <v>8</v>
      </c>
      <c r="BX244" s="128">
        <v>0</v>
      </c>
      <c r="BY244" s="128">
        <v>2</v>
      </c>
      <c r="BZ244" s="128">
        <v>14</v>
      </c>
      <c r="CA244" s="128">
        <v>24</v>
      </c>
      <c r="CB244" s="128">
        <v>8</v>
      </c>
      <c r="CC244" s="128">
        <v>0</v>
      </c>
      <c r="CD244" s="128">
        <v>0</v>
      </c>
      <c r="CE244" s="128">
        <v>48</v>
      </c>
      <c r="CF244" s="128">
        <v>48</v>
      </c>
      <c r="CH244" s="128">
        <v>0</v>
      </c>
      <c r="CI244" s="128">
        <v>0</v>
      </c>
      <c r="CJ244" s="128">
        <v>0</v>
      </c>
      <c r="CK244" s="128">
        <v>0</v>
      </c>
      <c r="CL244" s="128">
        <v>0</v>
      </c>
      <c r="CM244" s="128">
        <v>2</v>
      </c>
      <c r="CN244" s="128">
        <v>22</v>
      </c>
      <c r="CO244" s="128">
        <v>28</v>
      </c>
      <c r="CP244" s="128">
        <v>13</v>
      </c>
      <c r="CQ244" s="128">
        <v>0</v>
      </c>
      <c r="CR244" s="128">
        <v>2</v>
      </c>
      <c r="CS244" s="128">
        <v>22</v>
      </c>
      <c r="CT244" s="128">
        <v>28</v>
      </c>
      <c r="CU244" s="128">
        <v>13</v>
      </c>
      <c r="CV244" s="128">
        <v>0</v>
      </c>
      <c r="CW244" s="128">
        <v>0</v>
      </c>
      <c r="CX244" s="128">
        <v>65</v>
      </c>
      <c r="CY244" s="128">
        <v>65</v>
      </c>
      <c r="EK244" s="128">
        <v>2</v>
      </c>
      <c r="EL244" s="128">
        <v>1.3</v>
      </c>
      <c r="EM244" s="128">
        <v>1.3</v>
      </c>
      <c r="EN244" s="128">
        <v>551772</v>
      </c>
      <c r="EO244" s="128">
        <v>386240</v>
      </c>
      <c r="EP244" s="128">
        <v>14</v>
      </c>
      <c r="EQ244" s="128">
        <v>13.5</v>
      </c>
      <c r="ER244" s="128">
        <v>13.5</v>
      </c>
      <c r="ES244" s="128">
        <v>5216400</v>
      </c>
      <c r="ET244" s="128">
        <v>4151480</v>
      </c>
      <c r="FO244" s="128">
        <v>1</v>
      </c>
      <c r="FP244" s="128">
        <v>1</v>
      </c>
      <c r="FQ244" s="128">
        <v>1</v>
      </c>
      <c r="FR244" s="128">
        <v>453600</v>
      </c>
      <c r="FS244" s="128">
        <v>317520</v>
      </c>
      <c r="KG244" s="128">
        <v>11</v>
      </c>
      <c r="KH244" s="128">
        <v>30</v>
      </c>
      <c r="KI244" s="128">
        <v>14.8</v>
      </c>
      <c r="KJ244" s="128">
        <v>0</v>
      </c>
      <c r="KK244" s="128">
        <v>0</v>
      </c>
      <c r="KL244" s="128">
        <v>0</v>
      </c>
      <c r="KM244" s="128">
        <v>14.8</v>
      </c>
      <c r="KN244" s="128">
        <v>6221772</v>
      </c>
      <c r="KO244" s="128">
        <v>4855240</v>
      </c>
      <c r="KP244" s="128">
        <v>4855240</v>
      </c>
      <c r="KT244" s="128">
        <v>0</v>
      </c>
      <c r="KU244" s="128">
        <v>0</v>
      </c>
      <c r="KV244" s="128">
        <v>0</v>
      </c>
      <c r="KZ244" s="128">
        <v>0</v>
      </c>
      <c r="LA244" s="128">
        <v>0</v>
      </c>
      <c r="LB244" s="128">
        <v>0</v>
      </c>
      <c r="LF244" s="128">
        <v>0</v>
      </c>
      <c r="LG244" s="128">
        <v>0</v>
      </c>
      <c r="LH244" s="128">
        <v>0</v>
      </c>
      <c r="LL244" s="128">
        <v>0</v>
      </c>
      <c r="LM244" s="128">
        <v>0</v>
      </c>
      <c r="LN244" s="128">
        <v>0</v>
      </c>
      <c r="LR244" s="128">
        <v>60000</v>
      </c>
      <c r="LS244" s="128">
        <v>60000</v>
      </c>
      <c r="LT244" s="128">
        <v>60000</v>
      </c>
      <c r="LX244" s="128">
        <v>0</v>
      </c>
      <c r="LY244" s="128">
        <v>0</v>
      </c>
      <c r="LZ244" s="128">
        <v>0</v>
      </c>
      <c r="MD244" s="128">
        <v>15000</v>
      </c>
      <c r="ME244" s="128">
        <v>10500</v>
      </c>
      <c r="MF244" s="128">
        <v>10500</v>
      </c>
      <c r="MJ244" s="128">
        <v>459000</v>
      </c>
      <c r="MK244" s="128">
        <v>378032</v>
      </c>
      <c r="ML244" s="128">
        <v>378032</v>
      </c>
      <c r="MP244" s="128">
        <v>0</v>
      </c>
      <c r="MQ244" s="128">
        <v>0</v>
      </c>
      <c r="MR244" s="128">
        <v>0</v>
      </c>
      <c r="MV244" s="128">
        <v>180000</v>
      </c>
      <c r="MW244" s="128">
        <v>126000</v>
      </c>
      <c r="MX244" s="128">
        <v>126000</v>
      </c>
      <c r="NB244" s="128">
        <v>13000</v>
      </c>
      <c r="NC244" s="128">
        <v>9100</v>
      </c>
      <c r="ND244" s="128">
        <v>9100</v>
      </c>
      <c r="NH244" s="128">
        <v>16000</v>
      </c>
      <c r="NI244" s="128">
        <v>11200</v>
      </c>
      <c r="NJ244" s="128">
        <v>11200</v>
      </c>
      <c r="NN244" s="128">
        <v>0</v>
      </c>
      <c r="NO244" s="128">
        <v>0</v>
      </c>
      <c r="NP244" s="128">
        <v>0</v>
      </c>
      <c r="NT244" s="128">
        <v>46000</v>
      </c>
      <c r="NU244" s="128">
        <v>32200</v>
      </c>
      <c r="NV244" s="128">
        <v>32200</v>
      </c>
      <c r="NZ244" s="128">
        <v>130000</v>
      </c>
      <c r="OA244" s="128">
        <v>91000</v>
      </c>
      <c r="OB244" s="128">
        <v>91000</v>
      </c>
      <c r="OF244" s="128">
        <v>13000</v>
      </c>
      <c r="OG244" s="128">
        <v>9100</v>
      </c>
      <c r="OH244" s="128">
        <v>9100</v>
      </c>
      <c r="OL244" s="128">
        <v>0</v>
      </c>
      <c r="OM244" s="128">
        <v>0</v>
      </c>
      <c r="ON244" s="128">
        <v>0</v>
      </c>
      <c r="OR244" s="128">
        <v>0</v>
      </c>
      <c r="OS244" s="128">
        <v>0</v>
      </c>
      <c r="OT244" s="128">
        <v>0</v>
      </c>
      <c r="OX244" s="128">
        <v>132000</v>
      </c>
      <c r="OY244" s="128">
        <v>92400</v>
      </c>
      <c r="OZ244" s="128">
        <v>92400</v>
      </c>
      <c r="PD244" s="128">
        <v>730000</v>
      </c>
      <c r="PE244" s="128">
        <v>511000</v>
      </c>
      <c r="PF244" s="128">
        <v>511000</v>
      </c>
      <c r="PJ244" s="128">
        <v>0</v>
      </c>
      <c r="PK244" s="128">
        <v>0</v>
      </c>
      <c r="PL244" s="128">
        <v>0</v>
      </c>
      <c r="PP244" s="128">
        <v>8015772</v>
      </c>
      <c r="PQ244" s="128">
        <v>6185772</v>
      </c>
      <c r="PR244" s="128">
        <v>6185772</v>
      </c>
      <c r="PS244" s="128">
        <v>100</v>
      </c>
      <c r="PT244" s="128">
        <v>100</v>
      </c>
      <c r="PX244" s="128">
        <v>2890154</v>
      </c>
      <c r="PY244" s="128">
        <v>3882690</v>
      </c>
      <c r="PZ244" s="128">
        <v>6185772</v>
      </c>
      <c r="QA244" s="128">
        <v>0</v>
      </c>
      <c r="QB244" s="128">
        <v>0</v>
      </c>
      <c r="QC244" s="128">
        <v>0</v>
      </c>
      <c r="QD244" s="128">
        <v>0</v>
      </c>
      <c r="QE244" s="128">
        <v>0</v>
      </c>
      <c r="QF244" s="128">
        <v>0</v>
      </c>
      <c r="QG244" s="128">
        <v>0</v>
      </c>
      <c r="QH244" s="128">
        <v>0</v>
      </c>
      <c r="QI244" s="128">
        <v>0</v>
      </c>
      <c r="QJ244" s="128">
        <v>1132615</v>
      </c>
      <c r="QK244" s="128">
        <v>1420041</v>
      </c>
      <c r="QL244" s="128">
        <v>1500000</v>
      </c>
      <c r="QN244" s="128">
        <v>0</v>
      </c>
      <c r="QO244" s="128">
        <v>0</v>
      </c>
      <c r="QP244" s="128">
        <v>0</v>
      </c>
      <c r="QX244" s="128">
        <v>225000</v>
      </c>
      <c r="QY244" s="128">
        <v>135730</v>
      </c>
      <c r="QZ244" s="128">
        <v>330000</v>
      </c>
      <c r="RH244" s="128">
        <f t="shared" si="412"/>
        <v>6515772</v>
      </c>
      <c r="RI244" s="128">
        <v>0</v>
      </c>
      <c r="RM244" s="128" t="s">
        <v>220</v>
      </c>
      <c r="RU244" s="130"/>
      <c r="RV244" s="130"/>
      <c r="RW244" s="130"/>
      <c r="RX244" s="130"/>
      <c r="SF244" s="128">
        <f t="shared" si="322"/>
        <v>4271738</v>
      </c>
      <c r="SG244" s="131">
        <f t="shared" si="323"/>
        <v>8015772</v>
      </c>
      <c r="SH244" s="131">
        <f t="shared" si="324"/>
        <v>8015772</v>
      </c>
      <c r="SI244" s="131">
        <f t="shared" si="325"/>
        <v>6221772</v>
      </c>
      <c r="SJ244" s="132">
        <f t="shared" si="326"/>
        <v>6221772</v>
      </c>
      <c r="SK244" s="132">
        <f t="shared" si="327"/>
        <v>0</v>
      </c>
      <c r="SL244" s="132">
        <f t="shared" si="328"/>
        <v>0</v>
      </c>
      <c r="SM244" s="132">
        <f t="shared" si="329"/>
        <v>0</v>
      </c>
      <c r="SN244" s="131">
        <f t="shared" si="330"/>
        <v>1794000</v>
      </c>
      <c r="SO244" s="131">
        <f t="shared" si="331"/>
        <v>60000</v>
      </c>
      <c r="SP244" s="132">
        <f t="shared" si="332"/>
        <v>0</v>
      </c>
      <c r="SQ244" s="132">
        <f t="shared" si="333"/>
        <v>60000</v>
      </c>
      <c r="SR244" s="132">
        <f t="shared" si="334"/>
        <v>0</v>
      </c>
      <c r="SS244" s="132">
        <f t="shared" si="335"/>
        <v>15000</v>
      </c>
      <c r="ST244" s="132">
        <f t="shared" si="336"/>
        <v>459000</v>
      </c>
      <c r="SU244" s="132">
        <f t="shared" si="337"/>
        <v>0</v>
      </c>
      <c r="SV244" s="131">
        <f t="shared" si="338"/>
        <v>530000</v>
      </c>
      <c r="SW244" s="132">
        <f t="shared" si="339"/>
        <v>180000</v>
      </c>
      <c r="SX244" s="132">
        <f t="shared" si="340"/>
        <v>13000</v>
      </c>
      <c r="SY244" s="132">
        <f t="shared" si="341"/>
        <v>16000</v>
      </c>
      <c r="SZ244" s="132">
        <f t="shared" si="342"/>
        <v>0</v>
      </c>
      <c r="TA244" s="132">
        <f t="shared" si="343"/>
        <v>46000</v>
      </c>
      <c r="TB244" s="132">
        <f t="shared" si="344"/>
        <v>130000</v>
      </c>
      <c r="TC244" s="132">
        <f t="shared" si="345"/>
        <v>13000</v>
      </c>
      <c r="TD244" s="132">
        <f t="shared" si="346"/>
        <v>0</v>
      </c>
      <c r="TE244" s="132">
        <f t="shared" si="347"/>
        <v>0</v>
      </c>
      <c r="TF244" s="132">
        <f t="shared" si="348"/>
        <v>132000</v>
      </c>
      <c r="TG244" s="132">
        <f t="shared" si="349"/>
        <v>730000</v>
      </c>
      <c r="TH244" s="132">
        <f t="shared" si="350"/>
        <v>0</v>
      </c>
      <c r="TI244" s="1"/>
      <c r="TJ244" s="131">
        <f t="shared" si="351"/>
        <v>6185772</v>
      </c>
      <c r="TK244" s="131">
        <f t="shared" si="352"/>
        <v>6185772</v>
      </c>
      <c r="TL244" s="131">
        <f t="shared" si="353"/>
        <v>4855240</v>
      </c>
      <c r="TM244" s="132">
        <f t="shared" si="354"/>
        <v>4855240</v>
      </c>
      <c r="TN244" s="132">
        <f t="shared" si="355"/>
        <v>0</v>
      </c>
      <c r="TO244" s="132">
        <f t="shared" si="356"/>
        <v>0</v>
      </c>
      <c r="TP244" s="132">
        <f t="shared" si="357"/>
        <v>0</v>
      </c>
      <c r="TQ244" s="131">
        <f t="shared" si="358"/>
        <v>1330532</v>
      </c>
      <c r="TR244" s="131">
        <f t="shared" si="359"/>
        <v>60000</v>
      </c>
      <c r="TS244" s="132">
        <f t="shared" si="360"/>
        <v>0</v>
      </c>
      <c r="TT244" s="132">
        <f t="shared" si="361"/>
        <v>60000</v>
      </c>
      <c r="TU244" s="132">
        <f t="shared" si="362"/>
        <v>0</v>
      </c>
      <c r="TV244" s="132">
        <f t="shared" si="363"/>
        <v>10500</v>
      </c>
      <c r="TW244" s="132">
        <f t="shared" si="364"/>
        <v>378032</v>
      </c>
      <c r="TX244" s="132">
        <f t="shared" si="365"/>
        <v>0</v>
      </c>
      <c r="TY244" s="131">
        <f t="shared" si="366"/>
        <v>371000</v>
      </c>
      <c r="TZ244" s="132">
        <f t="shared" si="367"/>
        <v>126000</v>
      </c>
      <c r="UA244" s="132">
        <f t="shared" si="368"/>
        <v>9100</v>
      </c>
      <c r="UB244" s="132">
        <f t="shared" si="369"/>
        <v>11200</v>
      </c>
      <c r="UC244" s="132">
        <f t="shared" si="370"/>
        <v>0</v>
      </c>
      <c r="UD244" s="132">
        <f t="shared" si="371"/>
        <v>32200</v>
      </c>
      <c r="UE244" s="132">
        <f t="shared" si="372"/>
        <v>91000</v>
      </c>
      <c r="UF244" s="132">
        <f t="shared" si="373"/>
        <v>9100</v>
      </c>
      <c r="UG244" s="132">
        <f t="shared" si="374"/>
        <v>0</v>
      </c>
      <c r="UH244" s="132">
        <f t="shared" si="375"/>
        <v>0</v>
      </c>
      <c r="UI244" s="132">
        <f t="shared" si="376"/>
        <v>92400</v>
      </c>
      <c r="UJ244" s="132">
        <f t="shared" si="377"/>
        <v>511000</v>
      </c>
      <c r="UK244" s="132">
        <f t="shared" si="378"/>
        <v>0</v>
      </c>
      <c r="UL244" s="132">
        <f t="shared" si="413"/>
        <v>6185772</v>
      </c>
      <c r="UM244" s="131">
        <f t="shared" si="379"/>
        <v>6185772</v>
      </c>
      <c r="UN244" s="131">
        <f t="shared" si="380"/>
        <v>6185772</v>
      </c>
      <c r="UO244" s="131">
        <f t="shared" si="381"/>
        <v>4855240</v>
      </c>
      <c r="UP244" s="132">
        <f t="shared" si="382"/>
        <v>4855240</v>
      </c>
      <c r="UQ244" s="132">
        <f t="shared" si="383"/>
        <v>0</v>
      </c>
      <c r="UR244" s="132">
        <f t="shared" si="384"/>
        <v>0</v>
      </c>
      <c r="US244" s="132">
        <f t="shared" si="385"/>
        <v>0</v>
      </c>
      <c r="UT244" s="131">
        <f t="shared" si="386"/>
        <v>1330532</v>
      </c>
      <c r="UU244" s="131">
        <f t="shared" si="387"/>
        <v>60000</v>
      </c>
      <c r="UV244" s="132">
        <f t="shared" si="388"/>
        <v>0</v>
      </c>
      <c r="UW244" s="132">
        <f t="shared" si="389"/>
        <v>60000</v>
      </c>
      <c r="UX244" s="132">
        <f t="shared" si="390"/>
        <v>0</v>
      </c>
      <c r="UY244" s="132">
        <f t="shared" si="391"/>
        <v>10500</v>
      </c>
      <c r="UZ244" s="132">
        <f t="shared" si="392"/>
        <v>378032</v>
      </c>
      <c r="VA244" s="132">
        <f t="shared" si="393"/>
        <v>0</v>
      </c>
      <c r="VB244" s="131">
        <f t="shared" si="394"/>
        <v>371000</v>
      </c>
      <c r="VC244" s="132">
        <f t="shared" si="395"/>
        <v>126000</v>
      </c>
      <c r="VD244" s="132">
        <f t="shared" si="396"/>
        <v>9100</v>
      </c>
      <c r="VE244" s="132">
        <f t="shared" si="397"/>
        <v>11200</v>
      </c>
      <c r="VF244" s="132">
        <f t="shared" si="398"/>
        <v>0</v>
      </c>
      <c r="VG244" s="132">
        <f t="shared" si="399"/>
        <v>32200</v>
      </c>
      <c r="VH244" s="132">
        <f t="shared" si="400"/>
        <v>91000</v>
      </c>
      <c r="VI244" s="132">
        <f t="shared" si="401"/>
        <v>9100</v>
      </c>
      <c r="VJ244" s="132">
        <f t="shared" si="402"/>
        <v>0</v>
      </c>
      <c r="VK244" s="132">
        <f t="shared" si="403"/>
        <v>0</v>
      </c>
      <c r="VL244" s="132">
        <f t="shared" si="404"/>
        <v>92400</v>
      </c>
      <c r="VM244" s="132">
        <f t="shared" si="405"/>
        <v>511000</v>
      </c>
      <c r="VN244" s="132">
        <f t="shared" si="406"/>
        <v>0</v>
      </c>
      <c r="VP244" s="845" t="str">
        <f>IFERROR(HLOOKUP(F244,'Hodnocení '!$C$1:$JH$5,2,FALSE),0)</f>
        <v>Sportem proti bariérám, z.s.</v>
      </c>
      <c r="VQ244" s="838"/>
      <c r="VR244" s="845" t="str">
        <f t="shared" si="414"/>
        <v>Spolek</v>
      </c>
      <c r="VS244" s="845" t="str">
        <f>IFERROR(HLOOKUP(F244,'Hodnocení '!$C$1:$JH$5,5,FALSE),0)</f>
        <v>NZO</v>
      </c>
      <c r="VT244" s="838">
        <f t="shared" si="415"/>
        <v>0</v>
      </c>
      <c r="VU244" s="838">
        <f t="shared" si="416"/>
        <v>0</v>
      </c>
      <c r="VV244" s="838">
        <f t="shared" si="417"/>
        <v>1500000</v>
      </c>
      <c r="VW244" s="838">
        <f t="shared" si="418"/>
        <v>0</v>
      </c>
      <c r="VX244" s="838"/>
      <c r="VY244" s="838">
        <f t="shared" si="419"/>
        <v>0</v>
      </c>
      <c r="VZ244" s="838">
        <f t="shared" si="420"/>
        <v>5674772</v>
      </c>
      <c r="WA244" s="846">
        <f>IFERROR(HLOOKUP($F244,'Hodnocení '!$C$1:$JH$9,9,FALSE),0)</f>
        <v>5674772</v>
      </c>
      <c r="WB244" s="846">
        <f>IF(IFERROR(HLOOKUP($F244,'Hodnocení '!$C$1:$JH$13,13,FALSE),0)&gt;WA244,WA244,IFERROR(HLOOKUP($F244,'Hodnocení '!$C$1:$JH$13,13,FALSE),0))</f>
        <v>5674772</v>
      </c>
      <c r="WC244" s="846">
        <f>IFERROR(HLOOKUP($F244,'Hodnocení '!$C$1:$JH$155,155,FALSE),0)</f>
        <v>4071610</v>
      </c>
      <c r="WD244" s="845"/>
      <c r="WE244" s="845"/>
      <c r="WF244" s="845" t="str">
        <f t="shared" si="407"/>
        <v>ANO</v>
      </c>
      <c r="WG244" s="849" t="str">
        <f t="shared" si="421"/>
        <v>Podpora služby je vyjádřena zařazením do sítě sociálních služeb v KHK a řešením financování služby</v>
      </c>
      <c r="WH244"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44" s="849" t="str">
        <f t="shared" si="421"/>
        <v>Návrh dotace je výsledkem projednání s ostatními zadavateli v rámci sítě služeb KHK</v>
      </c>
      <c r="WJ244" s="849" t="str">
        <f t="shared" si="421"/>
        <v>Bez komentáře</v>
      </c>
      <c r="WK244" s="31">
        <f t="shared" si="408"/>
        <v>0</v>
      </c>
      <c r="WL244" s="850">
        <f t="shared" si="409"/>
        <v>0</v>
      </c>
      <c r="WM244" s="849" t="str">
        <f t="shared" si="410"/>
        <v>V rámci sítě KHK se dlouhodobě řeší otázka navyšování úhrad a průběžně se monitoruje s vazbou na vykrytí vyrovnávací platby</v>
      </c>
      <c r="WN244" s="849">
        <f t="shared" si="411"/>
        <v>0</v>
      </c>
      <c r="WO244" s="849" t="str">
        <f t="shared" si="422"/>
        <v>bez komentáře</v>
      </c>
      <c r="WP244" s="849" t="str">
        <f t="shared" si="422"/>
        <v>bez komentáře</v>
      </c>
      <c r="WQ244" s="849" t="str">
        <f t="shared" si="422"/>
        <v>Konečná výše dotace z rozpočtu KHK bude řešena v návaznosti na řešení podílů jednotlivých zadavatelů.</v>
      </c>
      <c r="WR244" s="849" t="str">
        <f t="shared" si="422"/>
        <v>Konečná výše podpory ze stran obcí bude řešena v součinnosti s jednotlivými zadavateli v průběhu roku.</v>
      </c>
      <c r="WS244" s="849" t="str">
        <f t="shared" si="422"/>
        <v>bez komentáře</v>
      </c>
      <c r="WT244" s="849" t="str">
        <f t="shared" si="422"/>
        <v>bez komentáře</v>
      </c>
      <c r="WU244" s="845"/>
    </row>
    <row r="245" spans="1:619" s="128" customFormat="1" x14ac:dyDescent="0.25">
      <c r="A245" s="128" t="str">
        <f>VLOOKUP(F245,'Výpočet VP 2020'!$D$324:$I$588,6,FALSE)</f>
        <v>Je v síti</v>
      </c>
      <c r="B245" s="128" t="s">
        <v>969</v>
      </c>
      <c r="C245" s="128">
        <v>48653292</v>
      </c>
      <c r="D245" s="128" t="s">
        <v>970</v>
      </c>
      <c r="E245" s="128" t="s">
        <v>272</v>
      </c>
      <c r="F245" s="128">
        <v>1622964</v>
      </c>
      <c r="G245" s="128" t="s">
        <v>361</v>
      </c>
      <c r="H245" s="128" t="s">
        <v>218</v>
      </c>
      <c r="I245" s="128" t="s">
        <v>417</v>
      </c>
      <c r="J245" s="129">
        <v>38718</v>
      </c>
      <c r="L245" s="128" t="s">
        <v>220</v>
      </c>
      <c r="M245" s="128" t="s">
        <v>685</v>
      </c>
      <c r="N245" s="128">
        <v>5</v>
      </c>
      <c r="O245" s="128">
        <v>5</v>
      </c>
      <c r="P245" s="128">
        <v>50</v>
      </c>
      <c r="Q245" s="128">
        <v>42</v>
      </c>
      <c r="R245" s="128">
        <v>45</v>
      </c>
      <c r="X245" s="128" t="s">
        <v>320</v>
      </c>
      <c r="Z245" s="128">
        <v>5</v>
      </c>
      <c r="AA245" s="128">
        <v>10</v>
      </c>
      <c r="AB245" s="128">
        <v>10</v>
      </c>
      <c r="AC245" s="128">
        <v>10</v>
      </c>
      <c r="AD245" s="128">
        <v>10</v>
      </c>
      <c r="AN245" s="128">
        <v>2700</v>
      </c>
      <c r="BL245" s="128" t="s">
        <v>971</v>
      </c>
      <c r="BM245" s="128" t="s">
        <v>223</v>
      </c>
      <c r="BN245" s="128" t="s">
        <v>289</v>
      </c>
      <c r="BO245" s="128">
        <v>0</v>
      </c>
      <c r="BP245" s="128">
        <v>0</v>
      </c>
      <c r="BQ245" s="128">
        <v>0</v>
      </c>
      <c r="BR245" s="128">
        <v>0</v>
      </c>
      <c r="BS245" s="128">
        <v>0</v>
      </c>
      <c r="BT245" s="128">
        <v>0</v>
      </c>
      <c r="BU245" s="128">
        <v>0</v>
      </c>
      <c r="BV245" s="128">
        <v>1</v>
      </c>
      <c r="BW245" s="128">
        <v>9</v>
      </c>
      <c r="BX245" s="128">
        <v>0</v>
      </c>
      <c r="BY245" s="128">
        <v>0</v>
      </c>
      <c r="BZ245" s="128">
        <v>0</v>
      </c>
      <c r="CA245" s="128">
        <v>1</v>
      </c>
      <c r="CB245" s="128">
        <v>9</v>
      </c>
      <c r="CC245" s="128">
        <v>0</v>
      </c>
      <c r="CD245" s="128">
        <v>0</v>
      </c>
      <c r="CE245" s="128">
        <v>10</v>
      </c>
      <c r="CF245" s="128">
        <v>10</v>
      </c>
      <c r="CH245" s="128">
        <v>0</v>
      </c>
      <c r="CI245" s="128">
        <v>0</v>
      </c>
      <c r="CJ245" s="128">
        <v>1</v>
      </c>
      <c r="CK245" s="128">
        <v>0</v>
      </c>
      <c r="CL245" s="128">
        <v>0</v>
      </c>
      <c r="CM245" s="128">
        <v>0</v>
      </c>
      <c r="CN245" s="128">
        <v>0</v>
      </c>
      <c r="CO245" s="128">
        <v>1</v>
      </c>
      <c r="CP245" s="128">
        <v>8</v>
      </c>
      <c r="CQ245" s="128">
        <v>0</v>
      </c>
      <c r="CR245" s="128">
        <v>0</v>
      </c>
      <c r="CS245" s="128">
        <v>0</v>
      </c>
      <c r="CT245" s="128">
        <v>2</v>
      </c>
      <c r="CU245" s="128">
        <v>8</v>
      </c>
      <c r="CV245" s="128">
        <v>0</v>
      </c>
      <c r="CW245" s="128">
        <v>1</v>
      </c>
      <c r="CX245" s="128">
        <v>9</v>
      </c>
      <c r="CY245" s="128">
        <v>10</v>
      </c>
      <c r="DA245" s="128">
        <v>0</v>
      </c>
      <c r="DB245" s="128">
        <v>0</v>
      </c>
      <c r="DC245" s="128">
        <v>1</v>
      </c>
      <c r="DD245" s="128">
        <v>1</v>
      </c>
      <c r="DE245" s="128">
        <v>0</v>
      </c>
      <c r="DF245" s="128">
        <v>0</v>
      </c>
      <c r="DG245" s="128">
        <v>0</v>
      </c>
      <c r="DH245" s="128">
        <v>1</v>
      </c>
      <c r="DI245" s="128">
        <v>2</v>
      </c>
      <c r="DJ245" s="128">
        <v>0</v>
      </c>
      <c r="DK245" s="128">
        <v>0</v>
      </c>
      <c r="DL245" s="128">
        <v>0</v>
      </c>
      <c r="DM245" s="128">
        <v>2</v>
      </c>
      <c r="DN245" s="128">
        <v>3</v>
      </c>
      <c r="DO245" s="128">
        <v>0</v>
      </c>
      <c r="DP245" s="128">
        <v>2</v>
      </c>
      <c r="DQ245" s="128">
        <v>3</v>
      </c>
      <c r="DR245" s="128">
        <v>5</v>
      </c>
      <c r="DS245" s="128">
        <v>0</v>
      </c>
      <c r="DT245" s="128">
        <v>0</v>
      </c>
      <c r="DU245" s="128">
        <v>1</v>
      </c>
      <c r="DV245" s="128">
        <v>1</v>
      </c>
      <c r="DW245" s="128">
        <v>0</v>
      </c>
      <c r="DX245" s="128">
        <v>0</v>
      </c>
      <c r="DY245" s="128">
        <v>0</v>
      </c>
      <c r="DZ245" s="128">
        <v>1</v>
      </c>
      <c r="EA245" s="128">
        <v>2</v>
      </c>
      <c r="EB245" s="128">
        <v>0</v>
      </c>
      <c r="EC245" s="128">
        <v>0</v>
      </c>
      <c r="ED245" s="128">
        <v>0</v>
      </c>
      <c r="EE245" s="128">
        <v>2</v>
      </c>
      <c r="EF245" s="128">
        <v>3</v>
      </c>
      <c r="EG245" s="128">
        <v>0</v>
      </c>
      <c r="EH245" s="128">
        <v>2</v>
      </c>
      <c r="EI245" s="128">
        <v>3</v>
      </c>
      <c r="EJ245" s="128">
        <v>5</v>
      </c>
      <c r="EK245" s="128">
        <v>1</v>
      </c>
      <c r="EL245" s="128">
        <v>0.5</v>
      </c>
      <c r="EM245" s="128">
        <v>0.5</v>
      </c>
      <c r="EN245" s="128">
        <v>297500</v>
      </c>
      <c r="EO245" s="128">
        <v>297500</v>
      </c>
      <c r="EP245" s="128">
        <v>8</v>
      </c>
      <c r="EQ245" s="128">
        <v>6.75</v>
      </c>
      <c r="ER245" s="128">
        <v>6.48</v>
      </c>
      <c r="ES245" s="128">
        <v>3521520</v>
      </c>
      <c r="ET245" s="128">
        <v>3521520</v>
      </c>
      <c r="FO245" s="128">
        <v>2</v>
      </c>
      <c r="FP245" s="128">
        <v>1</v>
      </c>
      <c r="FQ245" s="128">
        <v>0.17</v>
      </c>
      <c r="FR245" s="128">
        <v>531600</v>
      </c>
      <c r="FS245" s="128">
        <v>531600</v>
      </c>
      <c r="IN245" s="128">
        <v>3</v>
      </c>
      <c r="IO245" s="128">
        <v>900</v>
      </c>
      <c r="IP245" s="128">
        <v>0.42899999999999999</v>
      </c>
      <c r="IQ245" s="128">
        <v>126000</v>
      </c>
      <c r="IR245" s="128">
        <v>126000</v>
      </c>
      <c r="IS245" s="128">
        <v>1</v>
      </c>
      <c r="IT245" s="128">
        <v>300</v>
      </c>
      <c r="IU245" s="128">
        <v>0.14299999999999999</v>
      </c>
      <c r="IV245" s="128">
        <v>33000</v>
      </c>
      <c r="IW245" s="128">
        <v>33000</v>
      </c>
      <c r="KG245" s="128">
        <v>2</v>
      </c>
      <c r="KH245" s="128">
        <v>30</v>
      </c>
      <c r="KI245" s="128">
        <v>7.25</v>
      </c>
      <c r="KJ245" s="128">
        <v>0</v>
      </c>
      <c r="KK245" s="128">
        <v>0.42899999999999999</v>
      </c>
      <c r="KL245" s="128">
        <v>0</v>
      </c>
      <c r="KM245" s="128">
        <v>7.6790000000000003</v>
      </c>
      <c r="KN245" s="128">
        <v>4350620</v>
      </c>
      <c r="KO245" s="128">
        <v>4350620</v>
      </c>
      <c r="KP245" s="128">
        <v>4350620</v>
      </c>
      <c r="KT245" s="128">
        <v>0</v>
      </c>
      <c r="KU245" s="128">
        <v>0</v>
      </c>
      <c r="KV245" s="128">
        <v>0</v>
      </c>
      <c r="KZ245" s="128">
        <v>159000</v>
      </c>
      <c r="LA245" s="128">
        <v>159000</v>
      </c>
      <c r="LB245" s="128">
        <v>159000</v>
      </c>
      <c r="LF245" s="128">
        <v>0</v>
      </c>
      <c r="LG245" s="128">
        <v>0</v>
      </c>
      <c r="LH245" s="128">
        <v>0</v>
      </c>
      <c r="LL245" s="128">
        <v>0</v>
      </c>
      <c r="LM245" s="128">
        <v>0</v>
      </c>
      <c r="LN245" s="128">
        <v>0</v>
      </c>
      <c r="LR245" s="128">
        <v>0</v>
      </c>
      <c r="LS245" s="128">
        <v>0</v>
      </c>
      <c r="LT245" s="128">
        <v>0</v>
      </c>
      <c r="LX245" s="128">
        <v>240000</v>
      </c>
      <c r="LY245" s="128">
        <v>0</v>
      </c>
      <c r="LZ245" s="128">
        <v>0</v>
      </c>
      <c r="MD245" s="128">
        <v>15000</v>
      </c>
      <c r="ME245" s="128">
        <v>0</v>
      </c>
      <c r="MF245" s="128">
        <v>0</v>
      </c>
      <c r="MJ245" s="128">
        <v>15000</v>
      </c>
      <c r="MK245" s="128">
        <v>0</v>
      </c>
      <c r="ML245" s="128">
        <v>0</v>
      </c>
      <c r="MP245" s="128">
        <v>70000</v>
      </c>
      <c r="MQ245" s="128">
        <v>0</v>
      </c>
      <c r="MR245" s="128">
        <v>0</v>
      </c>
      <c r="MV245" s="128">
        <v>170000</v>
      </c>
      <c r="MW245" s="128">
        <v>0</v>
      </c>
      <c r="MX245" s="128">
        <v>0</v>
      </c>
      <c r="NB245" s="128">
        <v>40000</v>
      </c>
      <c r="NC245" s="128">
        <v>0</v>
      </c>
      <c r="ND245" s="128">
        <v>0</v>
      </c>
      <c r="NH245" s="128">
        <v>120796</v>
      </c>
      <c r="NI245" s="128">
        <v>0</v>
      </c>
      <c r="NJ245" s="128">
        <v>0</v>
      </c>
      <c r="NN245" s="128">
        <v>180000</v>
      </c>
      <c r="NO245" s="128">
        <v>0</v>
      </c>
      <c r="NP245" s="128">
        <v>0</v>
      </c>
      <c r="NT245" s="128">
        <v>20000</v>
      </c>
      <c r="NU245" s="128">
        <v>0</v>
      </c>
      <c r="NV245" s="128">
        <v>0</v>
      </c>
      <c r="NZ245" s="128">
        <v>30000</v>
      </c>
      <c r="OA245" s="128">
        <v>0</v>
      </c>
      <c r="OB245" s="128">
        <v>0</v>
      </c>
      <c r="OF245" s="128">
        <v>5000</v>
      </c>
      <c r="OG245" s="128">
        <v>0</v>
      </c>
      <c r="OH245" s="128">
        <v>0</v>
      </c>
      <c r="OL245" s="128">
        <v>0</v>
      </c>
      <c r="OM245" s="128">
        <v>0</v>
      </c>
      <c r="ON245" s="128">
        <v>0</v>
      </c>
      <c r="OR245" s="128">
        <v>0</v>
      </c>
      <c r="OS245" s="128">
        <v>0</v>
      </c>
      <c r="OT245" s="128">
        <v>0</v>
      </c>
      <c r="OX245" s="128">
        <v>40000</v>
      </c>
      <c r="OY245" s="128">
        <v>0</v>
      </c>
      <c r="OZ245" s="128">
        <v>0</v>
      </c>
      <c r="PD245" s="128">
        <v>0</v>
      </c>
      <c r="PE245" s="128">
        <v>0</v>
      </c>
      <c r="PF245" s="128">
        <v>0</v>
      </c>
      <c r="PJ245" s="128">
        <v>50000</v>
      </c>
      <c r="PK245" s="128">
        <v>0</v>
      </c>
      <c r="PL245" s="128">
        <v>0</v>
      </c>
      <c r="PP245" s="128">
        <v>5505416</v>
      </c>
      <c r="PQ245" s="128">
        <v>4509620</v>
      </c>
      <c r="PR245" s="128">
        <v>4509620</v>
      </c>
      <c r="PS245" s="128">
        <v>100</v>
      </c>
      <c r="PT245" s="128">
        <v>100</v>
      </c>
      <c r="PV245" s="128">
        <v>1645383</v>
      </c>
      <c r="PX245" s="128">
        <v>2664270</v>
      </c>
      <c r="PY245" s="128">
        <v>3345254</v>
      </c>
      <c r="PZ245" s="128">
        <v>4509620</v>
      </c>
      <c r="QA245" s="128">
        <v>108000</v>
      </c>
      <c r="QB245" s="128">
        <v>108000</v>
      </c>
      <c r="QC245" s="128">
        <v>0</v>
      </c>
      <c r="QD245" s="128">
        <v>0</v>
      </c>
      <c r="QE245" s="128">
        <v>0</v>
      </c>
      <c r="QF245" s="128">
        <v>0</v>
      </c>
      <c r="QG245" s="128">
        <v>409430</v>
      </c>
      <c r="QH245" s="128">
        <v>0</v>
      </c>
      <c r="QI245" s="128">
        <v>0</v>
      </c>
      <c r="QJ245" s="128">
        <v>885991</v>
      </c>
      <c r="QK245" s="128">
        <v>1000000</v>
      </c>
      <c r="QL245" s="128">
        <v>995796</v>
      </c>
      <c r="QN245" s="128">
        <v>0</v>
      </c>
      <c r="QO245" s="128">
        <v>0</v>
      </c>
      <c r="QP245" s="128">
        <v>0</v>
      </c>
      <c r="RH245" s="128">
        <f t="shared" si="412"/>
        <v>4509620</v>
      </c>
      <c r="RI245" s="128">
        <v>0</v>
      </c>
      <c r="RM245" s="128" t="s">
        <v>220</v>
      </c>
      <c r="RU245" s="130"/>
      <c r="RV245" s="130"/>
      <c r="RW245" s="130"/>
      <c r="RX245" s="130"/>
      <c r="SF245" s="128">
        <f t="shared" si="322"/>
        <v>1622964</v>
      </c>
      <c r="SG245" s="131">
        <f t="shared" si="323"/>
        <v>5505416</v>
      </c>
      <c r="SH245" s="131">
        <f t="shared" si="324"/>
        <v>5505416</v>
      </c>
      <c r="SI245" s="131">
        <f t="shared" si="325"/>
        <v>4509620</v>
      </c>
      <c r="SJ245" s="132">
        <f t="shared" si="326"/>
        <v>4350620</v>
      </c>
      <c r="SK245" s="132">
        <f t="shared" si="327"/>
        <v>0</v>
      </c>
      <c r="SL245" s="132">
        <f t="shared" si="328"/>
        <v>159000</v>
      </c>
      <c r="SM245" s="132">
        <f t="shared" si="329"/>
        <v>0</v>
      </c>
      <c r="SN245" s="131">
        <f t="shared" si="330"/>
        <v>995796</v>
      </c>
      <c r="SO245" s="131">
        <f t="shared" si="331"/>
        <v>0</v>
      </c>
      <c r="SP245" s="132">
        <f t="shared" si="332"/>
        <v>0</v>
      </c>
      <c r="SQ245" s="132">
        <f t="shared" si="333"/>
        <v>0</v>
      </c>
      <c r="SR245" s="132">
        <f t="shared" si="334"/>
        <v>240000</v>
      </c>
      <c r="SS245" s="132">
        <f t="shared" si="335"/>
        <v>15000</v>
      </c>
      <c r="ST245" s="132">
        <f t="shared" si="336"/>
        <v>15000</v>
      </c>
      <c r="SU245" s="132">
        <f t="shared" si="337"/>
        <v>70000</v>
      </c>
      <c r="SV245" s="131">
        <f t="shared" si="338"/>
        <v>605796</v>
      </c>
      <c r="SW245" s="132">
        <f t="shared" si="339"/>
        <v>170000</v>
      </c>
      <c r="SX245" s="132">
        <f t="shared" si="340"/>
        <v>40000</v>
      </c>
      <c r="SY245" s="132">
        <f t="shared" si="341"/>
        <v>120796</v>
      </c>
      <c r="SZ245" s="132">
        <f t="shared" si="342"/>
        <v>180000</v>
      </c>
      <c r="TA245" s="132">
        <f t="shared" si="343"/>
        <v>20000</v>
      </c>
      <c r="TB245" s="132">
        <f t="shared" si="344"/>
        <v>30000</v>
      </c>
      <c r="TC245" s="132">
        <f t="shared" si="345"/>
        <v>5000</v>
      </c>
      <c r="TD245" s="132">
        <f t="shared" si="346"/>
        <v>0</v>
      </c>
      <c r="TE245" s="132">
        <f t="shared" si="347"/>
        <v>0</v>
      </c>
      <c r="TF245" s="132">
        <f t="shared" si="348"/>
        <v>40000</v>
      </c>
      <c r="TG245" s="132">
        <f t="shared" si="349"/>
        <v>0</v>
      </c>
      <c r="TH245" s="132">
        <f t="shared" si="350"/>
        <v>50000</v>
      </c>
      <c r="TI245" s="1"/>
      <c r="TJ245" s="131">
        <f t="shared" si="351"/>
        <v>4509620</v>
      </c>
      <c r="TK245" s="131">
        <f t="shared" si="352"/>
        <v>4509620</v>
      </c>
      <c r="TL245" s="131">
        <f t="shared" si="353"/>
        <v>4509620</v>
      </c>
      <c r="TM245" s="132">
        <f t="shared" si="354"/>
        <v>4350620</v>
      </c>
      <c r="TN245" s="132">
        <f t="shared" si="355"/>
        <v>0</v>
      </c>
      <c r="TO245" s="132">
        <f t="shared" si="356"/>
        <v>159000</v>
      </c>
      <c r="TP245" s="132">
        <f t="shared" si="357"/>
        <v>0</v>
      </c>
      <c r="TQ245" s="131">
        <f t="shared" si="358"/>
        <v>0</v>
      </c>
      <c r="TR245" s="131">
        <f t="shared" si="359"/>
        <v>0</v>
      </c>
      <c r="TS245" s="132">
        <f t="shared" si="360"/>
        <v>0</v>
      </c>
      <c r="TT245" s="132">
        <f t="shared" si="361"/>
        <v>0</v>
      </c>
      <c r="TU245" s="132">
        <f t="shared" si="362"/>
        <v>0</v>
      </c>
      <c r="TV245" s="132">
        <f t="shared" si="363"/>
        <v>0</v>
      </c>
      <c r="TW245" s="132">
        <f t="shared" si="364"/>
        <v>0</v>
      </c>
      <c r="TX245" s="132">
        <f t="shared" si="365"/>
        <v>0</v>
      </c>
      <c r="TY245" s="131">
        <f t="shared" si="366"/>
        <v>0</v>
      </c>
      <c r="TZ245" s="132">
        <f t="shared" si="367"/>
        <v>0</v>
      </c>
      <c r="UA245" s="132">
        <f t="shared" si="368"/>
        <v>0</v>
      </c>
      <c r="UB245" s="132">
        <f t="shared" si="369"/>
        <v>0</v>
      </c>
      <c r="UC245" s="132">
        <f t="shared" si="370"/>
        <v>0</v>
      </c>
      <c r="UD245" s="132">
        <f t="shared" si="371"/>
        <v>0</v>
      </c>
      <c r="UE245" s="132">
        <f t="shared" si="372"/>
        <v>0</v>
      </c>
      <c r="UF245" s="132">
        <f t="shared" si="373"/>
        <v>0</v>
      </c>
      <c r="UG245" s="132">
        <f t="shared" si="374"/>
        <v>0</v>
      </c>
      <c r="UH245" s="132">
        <f t="shared" si="375"/>
        <v>0</v>
      </c>
      <c r="UI245" s="132">
        <f t="shared" si="376"/>
        <v>0</v>
      </c>
      <c r="UJ245" s="132">
        <f t="shared" si="377"/>
        <v>0</v>
      </c>
      <c r="UK245" s="132">
        <f t="shared" si="378"/>
        <v>0</v>
      </c>
      <c r="UL245" s="132">
        <f t="shared" si="413"/>
        <v>4509620</v>
      </c>
      <c r="UM245" s="131">
        <f t="shared" si="379"/>
        <v>4509620</v>
      </c>
      <c r="UN245" s="131">
        <f t="shared" si="380"/>
        <v>4509620</v>
      </c>
      <c r="UO245" s="131">
        <f t="shared" si="381"/>
        <v>4509620</v>
      </c>
      <c r="UP245" s="132">
        <f t="shared" si="382"/>
        <v>4350620</v>
      </c>
      <c r="UQ245" s="132">
        <f t="shared" si="383"/>
        <v>0</v>
      </c>
      <c r="UR245" s="132">
        <f t="shared" si="384"/>
        <v>159000</v>
      </c>
      <c r="US245" s="132">
        <f t="shared" si="385"/>
        <v>0</v>
      </c>
      <c r="UT245" s="131">
        <f t="shared" si="386"/>
        <v>0</v>
      </c>
      <c r="UU245" s="131">
        <f t="shared" si="387"/>
        <v>0</v>
      </c>
      <c r="UV245" s="132">
        <f t="shared" si="388"/>
        <v>0</v>
      </c>
      <c r="UW245" s="132">
        <f t="shared" si="389"/>
        <v>0</v>
      </c>
      <c r="UX245" s="132">
        <f t="shared" si="390"/>
        <v>0</v>
      </c>
      <c r="UY245" s="132">
        <f t="shared" si="391"/>
        <v>0</v>
      </c>
      <c r="UZ245" s="132">
        <f t="shared" si="392"/>
        <v>0</v>
      </c>
      <c r="VA245" s="132">
        <f t="shared" si="393"/>
        <v>0</v>
      </c>
      <c r="VB245" s="131">
        <f t="shared" si="394"/>
        <v>0</v>
      </c>
      <c r="VC245" s="132">
        <f t="shared" si="395"/>
        <v>0</v>
      </c>
      <c r="VD245" s="132">
        <f t="shared" si="396"/>
        <v>0</v>
      </c>
      <c r="VE245" s="132">
        <f t="shared" si="397"/>
        <v>0</v>
      </c>
      <c r="VF245" s="132">
        <f t="shared" si="398"/>
        <v>0</v>
      </c>
      <c r="VG245" s="132">
        <f t="shared" si="399"/>
        <v>0</v>
      </c>
      <c r="VH245" s="132">
        <f t="shared" si="400"/>
        <v>0</v>
      </c>
      <c r="VI245" s="132">
        <f t="shared" si="401"/>
        <v>0</v>
      </c>
      <c r="VJ245" s="132">
        <f t="shared" si="402"/>
        <v>0</v>
      </c>
      <c r="VK245" s="132">
        <f t="shared" si="403"/>
        <v>0</v>
      </c>
      <c r="VL245" s="132">
        <f t="shared" si="404"/>
        <v>0</v>
      </c>
      <c r="VM245" s="132">
        <f t="shared" si="405"/>
        <v>0</v>
      </c>
      <c r="VN245" s="132">
        <f t="shared" si="406"/>
        <v>0</v>
      </c>
      <c r="VP245" s="845" t="str">
        <f>IFERROR(HLOOKUP(F245,'Hodnocení '!$C$1:$JH$5,2,FALSE),0)</f>
        <v>Odlehčovací služba</v>
      </c>
      <c r="VQ245" s="838"/>
      <c r="VR245" s="845" t="str">
        <f t="shared" si="414"/>
        <v>Ústav</v>
      </c>
      <c r="VS245" s="845" t="str">
        <f>IFERROR(HLOOKUP(F245,'Hodnocení '!$C$1:$JH$5,5,FALSE),0)</f>
        <v>NZO</v>
      </c>
      <c r="VT245" s="838">
        <f t="shared" si="415"/>
        <v>0</v>
      </c>
      <c r="VU245" s="838">
        <f t="shared" si="416"/>
        <v>0</v>
      </c>
      <c r="VV245" s="838">
        <f t="shared" si="417"/>
        <v>995796</v>
      </c>
      <c r="VW245" s="838">
        <f t="shared" si="418"/>
        <v>0</v>
      </c>
      <c r="VX245" s="838"/>
      <c r="VY245" s="838">
        <f t="shared" si="419"/>
        <v>0</v>
      </c>
      <c r="VZ245" s="838">
        <f t="shared" si="420"/>
        <v>4509620</v>
      </c>
      <c r="WA245" s="846">
        <f>IFERROR(HLOOKUP($F245,'Hodnocení '!$C$1:$JH$9,9,FALSE),0)</f>
        <v>4509620</v>
      </c>
      <c r="WB245" s="846">
        <f>IF(IFERROR(HLOOKUP($F245,'Hodnocení '!$C$1:$JH$13,13,FALSE),0)&gt;WA245,WA245,IFERROR(HLOOKUP($F245,'Hodnocení '!$C$1:$JH$13,13,FALSE),0))</f>
        <v>3312237.7834975314</v>
      </c>
      <c r="WC245" s="846">
        <f>IFERROR(HLOOKUP($F245,'Hodnocení '!$C$1:$JH$155,155,FALSE),0)</f>
        <v>3507640</v>
      </c>
      <c r="WD245" s="845"/>
      <c r="WE245" s="845"/>
      <c r="WF245" s="845" t="str">
        <f t="shared" si="407"/>
        <v>ANO</v>
      </c>
      <c r="WG245" s="849" t="str">
        <f t="shared" si="421"/>
        <v>Podpora služby je vyjádřena zařazením do sítě sociálních služeb v KHK a řešením financování služby</v>
      </c>
      <c r="WH245"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45" s="849" t="str">
        <f t="shared" si="421"/>
        <v>Návrh dotace je výsledkem projednání s ostatními zadavateli v rámci sítě služeb KHK</v>
      </c>
      <c r="WJ245" s="849" t="str">
        <f t="shared" si="421"/>
        <v>Bez komentáře</v>
      </c>
      <c r="WK245" s="31">
        <f t="shared" si="408"/>
        <v>0</v>
      </c>
      <c r="WL245" s="850">
        <f t="shared" si="409"/>
        <v>0</v>
      </c>
      <c r="WM245" s="849" t="str">
        <f t="shared" si="410"/>
        <v>V rámci sítě KHK se dlouhodobě řeší otázka navyšování úhrad a průběžně se monitoruje s vazbou na vykrytí vyrovnávací platby</v>
      </c>
      <c r="WN245" s="849">
        <f t="shared" si="411"/>
        <v>0</v>
      </c>
      <c r="WO245" s="849" t="str">
        <f t="shared" si="422"/>
        <v>bez komentáře</v>
      </c>
      <c r="WP245" s="849" t="str">
        <f t="shared" si="422"/>
        <v>bez komentáře</v>
      </c>
      <c r="WQ245" s="849" t="str">
        <f t="shared" si="422"/>
        <v>Konečná výše dotace z rozpočtu KHK bude řešena v návaznosti na řešení podílů jednotlivých zadavatelů.</v>
      </c>
      <c r="WR245" s="849" t="str">
        <f t="shared" si="422"/>
        <v>Konečná výše podpory ze stran obcí bude řešena v součinnosti s jednotlivými zadavateli v průběhu roku.</v>
      </c>
      <c r="WS245" s="849" t="str">
        <f t="shared" si="422"/>
        <v>bez komentáře</v>
      </c>
      <c r="WT245" s="849" t="str">
        <f t="shared" si="422"/>
        <v>bez komentáře</v>
      </c>
      <c r="WU245" s="845"/>
    </row>
    <row r="246" spans="1:619" s="128" customFormat="1" x14ac:dyDescent="0.25">
      <c r="A246" s="128" t="str">
        <f>VLOOKUP(F246,'Výpočet VP 2020'!$D$324:$I$588,6,FALSE)</f>
        <v>Je v síti</v>
      </c>
      <c r="B246" s="128" t="s">
        <v>969</v>
      </c>
      <c r="C246" s="128">
        <v>48653292</v>
      </c>
      <c r="D246" s="128" t="s">
        <v>970</v>
      </c>
      <c r="E246" s="128" t="s">
        <v>272</v>
      </c>
      <c r="F246" s="128">
        <v>8979890</v>
      </c>
      <c r="G246" s="128" t="s">
        <v>217</v>
      </c>
      <c r="H246" s="128" t="s">
        <v>218</v>
      </c>
      <c r="I246" s="128" t="s">
        <v>972</v>
      </c>
      <c r="J246" s="129">
        <v>34323</v>
      </c>
      <c r="L246" s="128" t="s">
        <v>220</v>
      </c>
      <c r="X246" s="128" t="s">
        <v>973</v>
      </c>
      <c r="Z246" s="128">
        <v>17</v>
      </c>
      <c r="AA246" s="128">
        <v>17</v>
      </c>
      <c r="AB246" s="128">
        <v>49</v>
      </c>
      <c r="AC246" s="128">
        <v>44</v>
      </c>
      <c r="AD246" s="128">
        <v>45</v>
      </c>
      <c r="AN246" s="128">
        <v>13000</v>
      </c>
      <c r="BL246" s="128" t="s">
        <v>971</v>
      </c>
      <c r="BM246" s="128" t="s">
        <v>223</v>
      </c>
      <c r="BN246" s="128" t="s">
        <v>289</v>
      </c>
      <c r="BO246" s="128">
        <v>3</v>
      </c>
      <c r="BP246" s="128">
        <v>6</v>
      </c>
      <c r="BQ246" s="128">
        <v>3</v>
      </c>
      <c r="BR246" s="128">
        <v>2</v>
      </c>
      <c r="BS246" s="128">
        <v>0</v>
      </c>
      <c r="BT246" s="128">
        <v>1</v>
      </c>
      <c r="BU246" s="128">
        <v>5</v>
      </c>
      <c r="BV246" s="128">
        <v>16</v>
      </c>
      <c r="BW246" s="128">
        <v>8</v>
      </c>
      <c r="BX246" s="128">
        <v>0</v>
      </c>
      <c r="BY246" s="128">
        <v>4</v>
      </c>
      <c r="BZ246" s="128">
        <v>11</v>
      </c>
      <c r="CA246" s="128">
        <v>19</v>
      </c>
      <c r="CB246" s="128">
        <v>10</v>
      </c>
      <c r="CC246" s="128">
        <v>0</v>
      </c>
      <c r="CD246" s="128">
        <v>14</v>
      </c>
      <c r="CE246" s="128">
        <v>30</v>
      </c>
      <c r="CF246" s="128">
        <v>44</v>
      </c>
      <c r="CH246" s="128">
        <v>3</v>
      </c>
      <c r="CI246" s="128">
        <v>6</v>
      </c>
      <c r="CJ246" s="128">
        <v>3</v>
      </c>
      <c r="CK246" s="128">
        <v>2</v>
      </c>
      <c r="CL246" s="128">
        <v>0</v>
      </c>
      <c r="CM246" s="128">
        <v>1</v>
      </c>
      <c r="CN246" s="128">
        <v>5</v>
      </c>
      <c r="CO246" s="128">
        <v>17</v>
      </c>
      <c r="CP246" s="128">
        <v>8</v>
      </c>
      <c r="CQ246" s="128">
        <v>0</v>
      </c>
      <c r="CR246" s="128">
        <v>4</v>
      </c>
      <c r="CS246" s="128">
        <v>11</v>
      </c>
      <c r="CT246" s="128">
        <v>20</v>
      </c>
      <c r="CU246" s="128">
        <v>10</v>
      </c>
      <c r="CV246" s="128">
        <v>0</v>
      </c>
      <c r="CW246" s="128">
        <v>14</v>
      </c>
      <c r="CX246" s="128">
        <v>31</v>
      </c>
      <c r="CY246" s="128">
        <v>45</v>
      </c>
      <c r="EK246" s="128">
        <v>1</v>
      </c>
      <c r="EL246" s="128">
        <v>0.5</v>
      </c>
      <c r="EM246" s="128">
        <v>0.5</v>
      </c>
      <c r="EN246" s="128">
        <v>297500</v>
      </c>
      <c r="EO246" s="128">
        <v>297500</v>
      </c>
      <c r="EP246" s="128">
        <v>6</v>
      </c>
      <c r="EQ246" s="128">
        <v>5</v>
      </c>
      <c r="ER246" s="128">
        <v>5.25</v>
      </c>
      <c r="ES246" s="128">
        <v>2319000</v>
      </c>
      <c r="ET246" s="128">
        <v>2319000</v>
      </c>
      <c r="FO246" s="128">
        <v>5</v>
      </c>
      <c r="FP246" s="128">
        <v>3.5</v>
      </c>
      <c r="FQ246" s="128">
        <v>1.88</v>
      </c>
      <c r="FR246" s="128">
        <v>1604000</v>
      </c>
      <c r="FS246" s="128">
        <v>1202000</v>
      </c>
      <c r="IN246" s="128">
        <v>1</v>
      </c>
      <c r="IO246" s="128">
        <v>300</v>
      </c>
      <c r="IP246" s="128">
        <v>0.14299999999999999</v>
      </c>
      <c r="IQ246" s="128">
        <v>36000</v>
      </c>
      <c r="IR246" s="128">
        <v>36000</v>
      </c>
      <c r="IS246" s="128">
        <v>3</v>
      </c>
      <c r="IT246" s="128">
        <v>585</v>
      </c>
      <c r="IU246" s="128">
        <v>0.27900000000000003</v>
      </c>
      <c r="IV246" s="128">
        <v>90850</v>
      </c>
      <c r="IW246" s="128">
        <v>90850</v>
      </c>
      <c r="KG246" s="128">
        <v>0</v>
      </c>
      <c r="KI246" s="128">
        <v>5.5</v>
      </c>
      <c r="KJ246" s="128">
        <v>0</v>
      </c>
      <c r="KK246" s="128">
        <v>0.14299999999999999</v>
      </c>
      <c r="KL246" s="128">
        <v>0</v>
      </c>
      <c r="KM246" s="128">
        <v>5.6429999999999998</v>
      </c>
      <c r="KN246" s="128">
        <v>4220500</v>
      </c>
      <c r="KO246" s="128">
        <v>3818500</v>
      </c>
      <c r="KP246" s="128">
        <v>3818500</v>
      </c>
      <c r="KT246" s="128">
        <v>0</v>
      </c>
      <c r="KU246" s="128">
        <v>0</v>
      </c>
      <c r="KV246" s="128">
        <v>0</v>
      </c>
      <c r="KZ246" s="128">
        <v>126850</v>
      </c>
      <c r="LA246" s="128">
        <v>126850</v>
      </c>
      <c r="LB246" s="128">
        <v>126850</v>
      </c>
      <c r="LF246" s="128">
        <v>0</v>
      </c>
      <c r="LG246" s="128">
        <v>0</v>
      </c>
      <c r="LH246" s="128">
        <v>0</v>
      </c>
      <c r="LL246" s="128">
        <v>0</v>
      </c>
      <c r="LM246" s="128">
        <v>0</v>
      </c>
      <c r="LN246" s="128">
        <v>0</v>
      </c>
      <c r="LR246" s="128">
        <v>0</v>
      </c>
      <c r="LS246" s="128">
        <v>0</v>
      </c>
      <c r="LT246" s="128">
        <v>0</v>
      </c>
      <c r="LX246" s="128">
        <v>200000</v>
      </c>
      <c r="LY246" s="128">
        <v>0</v>
      </c>
      <c r="LZ246" s="128">
        <v>0</v>
      </c>
      <c r="MD246" s="128">
        <v>40000</v>
      </c>
      <c r="ME246" s="128">
        <v>0</v>
      </c>
      <c r="MF246" s="128">
        <v>0</v>
      </c>
      <c r="MJ246" s="128">
        <v>40000</v>
      </c>
      <c r="MK246" s="128">
        <v>0</v>
      </c>
      <c r="ML246" s="128">
        <v>0</v>
      </c>
      <c r="MP246" s="128">
        <v>70000</v>
      </c>
      <c r="MQ246" s="128">
        <v>0</v>
      </c>
      <c r="MR246" s="128">
        <v>0</v>
      </c>
      <c r="MV246" s="128">
        <v>260000</v>
      </c>
      <c r="MW246" s="128">
        <v>0</v>
      </c>
      <c r="MX246" s="128">
        <v>0</v>
      </c>
      <c r="NB246" s="128">
        <v>65000</v>
      </c>
      <c r="NC246" s="128">
        <v>0</v>
      </c>
      <c r="ND246" s="128">
        <v>0</v>
      </c>
      <c r="NH246" s="128">
        <v>35000</v>
      </c>
      <c r="NI246" s="128">
        <v>0</v>
      </c>
      <c r="NJ246" s="128">
        <v>0</v>
      </c>
      <c r="NN246" s="128">
        <v>180000</v>
      </c>
      <c r="NO246" s="128">
        <v>0</v>
      </c>
      <c r="NP246" s="128">
        <v>0</v>
      </c>
      <c r="NT246" s="128">
        <v>30000</v>
      </c>
      <c r="NU246" s="128">
        <v>0</v>
      </c>
      <c r="NV246" s="128">
        <v>0</v>
      </c>
      <c r="NZ246" s="128">
        <v>30000</v>
      </c>
      <c r="OA246" s="128">
        <v>0</v>
      </c>
      <c r="OB246" s="128">
        <v>0</v>
      </c>
      <c r="OF246" s="128">
        <v>10000</v>
      </c>
      <c r="OG246" s="128">
        <v>0</v>
      </c>
      <c r="OH246" s="128">
        <v>0</v>
      </c>
      <c r="OL246" s="128">
        <v>0</v>
      </c>
      <c r="OM246" s="128">
        <v>0</v>
      </c>
      <c r="ON246" s="128">
        <v>0</v>
      </c>
      <c r="OR246" s="128">
        <v>0</v>
      </c>
      <c r="OS246" s="128">
        <v>0</v>
      </c>
      <c r="OT246" s="128">
        <v>0</v>
      </c>
      <c r="OX246" s="128">
        <v>240000</v>
      </c>
      <c r="OY246" s="128">
        <v>0</v>
      </c>
      <c r="OZ246" s="128">
        <v>0</v>
      </c>
      <c r="PD246" s="128">
        <v>15000</v>
      </c>
      <c r="PE246" s="128">
        <v>0</v>
      </c>
      <c r="PF246" s="128">
        <v>0</v>
      </c>
      <c r="PJ246" s="128">
        <v>10000</v>
      </c>
      <c r="PK246" s="128">
        <v>0</v>
      </c>
      <c r="PL246" s="128">
        <v>0</v>
      </c>
      <c r="PP246" s="128">
        <v>5572350</v>
      </c>
      <c r="PQ246" s="128">
        <v>3945350</v>
      </c>
      <c r="PR246" s="128">
        <v>3945350</v>
      </c>
      <c r="PS246" s="128">
        <v>100</v>
      </c>
      <c r="PT246" s="128">
        <v>100</v>
      </c>
      <c r="PV246" s="128">
        <v>3661541</v>
      </c>
      <c r="PX246" s="128">
        <v>2762210</v>
      </c>
      <c r="PY246" s="128">
        <v>3199460</v>
      </c>
      <c r="PZ246" s="128">
        <v>3945350</v>
      </c>
      <c r="QA246" s="128">
        <v>0</v>
      </c>
      <c r="QB246" s="128">
        <v>0</v>
      </c>
      <c r="QC246" s="128">
        <v>0</v>
      </c>
      <c r="QD246" s="128">
        <v>0</v>
      </c>
      <c r="QE246" s="128">
        <v>0</v>
      </c>
      <c r="QF246" s="128">
        <v>0</v>
      </c>
      <c r="QG246" s="128">
        <v>519250</v>
      </c>
      <c r="QH246" s="128">
        <v>257540</v>
      </c>
      <c r="QI246" s="128">
        <v>0</v>
      </c>
      <c r="QJ246" s="128">
        <v>1037508</v>
      </c>
      <c r="QK246" s="128">
        <v>1037508</v>
      </c>
      <c r="QL246" s="128">
        <v>1277000</v>
      </c>
      <c r="QN246" s="128">
        <v>0</v>
      </c>
      <c r="QO246" s="128">
        <v>0</v>
      </c>
      <c r="QP246" s="128">
        <v>0</v>
      </c>
      <c r="QX246" s="128">
        <v>350000</v>
      </c>
      <c r="QY246" s="128">
        <v>350000</v>
      </c>
      <c r="QZ246" s="128">
        <v>350000</v>
      </c>
      <c r="RH246" s="128">
        <f t="shared" si="412"/>
        <v>4295350</v>
      </c>
      <c r="RI246" s="128">
        <v>0</v>
      </c>
      <c r="RM246" s="128" t="s">
        <v>220</v>
      </c>
      <c r="RU246" s="130"/>
      <c r="RV246" s="130"/>
      <c r="RW246" s="130"/>
      <c r="RX246" s="130"/>
      <c r="SF246" s="128">
        <f t="shared" si="322"/>
        <v>8979890</v>
      </c>
      <c r="SG246" s="131">
        <f t="shared" si="323"/>
        <v>5572350</v>
      </c>
      <c r="SH246" s="131">
        <f t="shared" si="324"/>
        <v>5572350</v>
      </c>
      <c r="SI246" s="131">
        <f t="shared" si="325"/>
        <v>4347350</v>
      </c>
      <c r="SJ246" s="132">
        <f t="shared" si="326"/>
        <v>4220500</v>
      </c>
      <c r="SK246" s="132">
        <f t="shared" si="327"/>
        <v>0</v>
      </c>
      <c r="SL246" s="132">
        <f t="shared" si="328"/>
        <v>126850</v>
      </c>
      <c r="SM246" s="132">
        <f t="shared" si="329"/>
        <v>0</v>
      </c>
      <c r="SN246" s="131">
        <f t="shared" si="330"/>
        <v>1225000</v>
      </c>
      <c r="SO246" s="131">
        <f t="shared" si="331"/>
        <v>0</v>
      </c>
      <c r="SP246" s="132">
        <f t="shared" si="332"/>
        <v>0</v>
      </c>
      <c r="SQ246" s="132">
        <f t="shared" si="333"/>
        <v>0</v>
      </c>
      <c r="SR246" s="132">
        <f t="shared" si="334"/>
        <v>200000</v>
      </c>
      <c r="SS246" s="132">
        <f t="shared" si="335"/>
        <v>40000</v>
      </c>
      <c r="ST246" s="132">
        <f t="shared" si="336"/>
        <v>40000</v>
      </c>
      <c r="SU246" s="132">
        <f t="shared" si="337"/>
        <v>70000</v>
      </c>
      <c r="SV246" s="131">
        <f t="shared" si="338"/>
        <v>850000</v>
      </c>
      <c r="SW246" s="132">
        <f t="shared" si="339"/>
        <v>260000</v>
      </c>
      <c r="SX246" s="132">
        <f t="shared" si="340"/>
        <v>65000</v>
      </c>
      <c r="SY246" s="132">
        <f t="shared" si="341"/>
        <v>35000</v>
      </c>
      <c r="SZ246" s="132">
        <f t="shared" si="342"/>
        <v>180000</v>
      </c>
      <c r="TA246" s="132">
        <f t="shared" si="343"/>
        <v>30000</v>
      </c>
      <c r="TB246" s="132">
        <f t="shared" si="344"/>
        <v>30000</v>
      </c>
      <c r="TC246" s="132">
        <f t="shared" si="345"/>
        <v>10000</v>
      </c>
      <c r="TD246" s="132">
        <f t="shared" si="346"/>
        <v>0</v>
      </c>
      <c r="TE246" s="132">
        <f t="shared" si="347"/>
        <v>0</v>
      </c>
      <c r="TF246" s="132">
        <f t="shared" si="348"/>
        <v>240000</v>
      </c>
      <c r="TG246" s="132">
        <f t="shared" si="349"/>
        <v>15000</v>
      </c>
      <c r="TH246" s="132">
        <f t="shared" si="350"/>
        <v>10000</v>
      </c>
      <c r="TI246" s="1"/>
      <c r="TJ246" s="131">
        <f t="shared" si="351"/>
        <v>3945350</v>
      </c>
      <c r="TK246" s="131">
        <f t="shared" si="352"/>
        <v>3945350</v>
      </c>
      <c r="TL246" s="131">
        <f t="shared" si="353"/>
        <v>3945350</v>
      </c>
      <c r="TM246" s="132">
        <f t="shared" si="354"/>
        <v>3818500</v>
      </c>
      <c r="TN246" s="132">
        <f t="shared" si="355"/>
        <v>0</v>
      </c>
      <c r="TO246" s="132">
        <f t="shared" si="356"/>
        <v>126850</v>
      </c>
      <c r="TP246" s="132">
        <f t="shared" si="357"/>
        <v>0</v>
      </c>
      <c r="TQ246" s="131">
        <f t="shared" si="358"/>
        <v>0</v>
      </c>
      <c r="TR246" s="131">
        <f t="shared" si="359"/>
        <v>0</v>
      </c>
      <c r="TS246" s="132">
        <f t="shared" si="360"/>
        <v>0</v>
      </c>
      <c r="TT246" s="132">
        <f t="shared" si="361"/>
        <v>0</v>
      </c>
      <c r="TU246" s="132">
        <f t="shared" si="362"/>
        <v>0</v>
      </c>
      <c r="TV246" s="132">
        <f t="shared" si="363"/>
        <v>0</v>
      </c>
      <c r="TW246" s="132">
        <f t="shared" si="364"/>
        <v>0</v>
      </c>
      <c r="TX246" s="132">
        <f t="shared" si="365"/>
        <v>0</v>
      </c>
      <c r="TY246" s="131">
        <f t="shared" si="366"/>
        <v>0</v>
      </c>
      <c r="TZ246" s="132">
        <f t="shared" si="367"/>
        <v>0</v>
      </c>
      <c r="UA246" s="132">
        <f t="shared" si="368"/>
        <v>0</v>
      </c>
      <c r="UB246" s="132">
        <f t="shared" si="369"/>
        <v>0</v>
      </c>
      <c r="UC246" s="132">
        <f t="shared" si="370"/>
        <v>0</v>
      </c>
      <c r="UD246" s="132">
        <f t="shared" si="371"/>
        <v>0</v>
      </c>
      <c r="UE246" s="132">
        <f t="shared" si="372"/>
        <v>0</v>
      </c>
      <c r="UF246" s="132">
        <f t="shared" si="373"/>
        <v>0</v>
      </c>
      <c r="UG246" s="132">
        <f t="shared" si="374"/>
        <v>0</v>
      </c>
      <c r="UH246" s="132">
        <f t="shared" si="375"/>
        <v>0</v>
      </c>
      <c r="UI246" s="132">
        <f t="shared" si="376"/>
        <v>0</v>
      </c>
      <c r="UJ246" s="132">
        <f t="shared" si="377"/>
        <v>0</v>
      </c>
      <c r="UK246" s="132">
        <f t="shared" si="378"/>
        <v>0</v>
      </c>
      <c r="UL246" s="132">
        <f t="shared" si="413"/>
        <v>3945350</v>
      </c>
      <c r="UM246" s="131">
        <f t="shared" si="379"/>
        <v>3945350</v>
      </c>
      <c r="UN246" s="131">
        <f t="shared" si="380"/>
        <v>3945350</v>
      </c>
      <c r="UO246" s="131">
        <f t="shared" si="381"/>
        <v>3945350</v>
      </c>
      <c r="UP246" s="132">
        <f t="shared" si="382"/>
        <v>3818500</v>
      </c>
      <c r="UQ246" s="132">
        <f t="shared" si="383"/>
        <v>0</v>
      </c>
      <c r="UR246" s="132">
        <f t="shared" si="384"/>
        <v>126850</v>
      </c>
      <c r="US246" s="132">
        <f t="shared" si="385"/>
        <v>0</v>
      </c>
      <c r="UT246" s="131">
        <f t="shared" si="386"/>
        <v>0</v>
      </c>
      <c r="UU246" s="131">
        <f t="shared" si="387"/>
        <v>0</v>
      </c>
      <c r="UV246" s="132">
        <f t="shared" si="388"/>
        <v>0</v>
      </c>
      <c r="UW246" s="132">
        <f t="shared" si="389"/>
        <v>0</v>
      </c>
      <c r="UX246" s="132">
        <f t="shared" si="390"/>
        <v>0</v>
      </c>
      <c r="UY246" s="132">
        <f t="shared" si="391"/>
        <v>0</v>
      </c>
      <c r="UZ246" s="132">
        <f t="shared" si="392"/>
        <v>0</v>
      </c>
      <c r="VA246" s="132">
        <f t="shared" si="393"/>
        <v>0</v>
      </c>
      <c r="VB246" s="131">
        <f t="shared" si="394"/>
        <v>0</v>
      </c>
      <c r="VC246" s="132">
        <f t="shared" si="395"/>
        <v>0</v>
      </c>
      <c r="VD246" s="132">
        <f t="shared" si="396"/>
        <v>0</v>
      </c>
      <c r="VE246" s="132">
        <f t="shared" si="397"/>
        <v>0</v>
      </c>
      <c r="VF246" s="132">
        <f t="shared" si="398"/>
        <v>0</v>
      </c>
      <c r="VG246" s="132">
        <f t="shared" si="399"/>
        <v>0</v>
      </c>
      <c r="VH246" s="132">
        <f t="shared" si="400"/>
        <v>0</v>
      </c>
      <c r="VI246" s="132">
        <f t="shared" si="401"/>
        <v>0</v>
      </c>
      <c r="VJ246" s="132">
        <f t="shared" si="402"/>
        <v>0</v>
      </c>
      <c r="VK246" s="132">
        <f t="shared" si="403"/>
        <v>0</v>
      </c>
      <c r="VL246" s="132">
        <f t="shared" si="404"/>
        <v>0</v>
      </c>
      <c r="VM246" s="132">
        <f t="shared" si="405"/>
        <v>0</v>
      </c>
      <c r="VN246" s="132">
        <f t="shared" si="406"/>
        <v>0</v>
      </c>
      <c r="VP246" s="845" t="str">
        <f>IFERROR(HLOOKUP(F246,'Hodnocení '!$C$1:$JH$5,2,FALSE),0)</f>
        <v>Denní stacionář</v>
      </c>
      <c r="VQ246" s="838"/>
      <c r="VR246" s="845" t="str">
        <f t="shared" si="414"/>
        <v>Ústav</v>
      </c>
      <c r="VS246" s="845" t="str">
        <f>IFERROR(HLOOKUP(F246,'Hodnocení '!$C$1:$JH$5,5,FALSE),0)</f>
        <v>NZO</v>
      </c>
      <c r="VT246" s="838">
        <f t="shared" si="415"/>
        <v>0</v>
      </c>
      <c r="VU246" s="838">
        <f t="shared" si="416"/>
        <v>0</v>
      </c>
      <c r="VV246" s="838">
        <f t="shared" si="417"/>
        <v>1277000</v>
      </c>
      <c r="VW246" s="838">
        <f t="shared" si="418"/>
        <v>0</v>
      </c>
      <c r="VX246" s="838"/>
      <c r="VY246" s="838">
        <f t="shared" si="419"/>
        <v>0</v>
      </c>
      <c r="VZ246" s="838">
        <f t="shared" si="420"/>
        <v>3945350</v>
      </c>
      <c r="WA246" s="846">
        <f>IFERROR(HLOOKUP($F246,'Hodnocení '!$C$1:$JH$9,9,FALSE),0)</f>
        <v>3945350</v>
      </c>
      <c r="WB246" s="846">
        <f>IF(IFERROR(HLOOKUP($F246,'Hodnocení '!$C$1:$JH$13,13,FALSE),0)&gt;WA246,WA246,IFERROR(HLOOKUP($F246,'Hodnocení '!$C$1:$JH$13,13,FALSE),0))</f>
        <v>3891133.2612115145</v>
      </c>
      <c r="WC246" s="846">
        <f>IFERROR(HLOOKUP($F246,'Hodnocení '!$C$1:$JH$155,155,FALSE),0)</f>
        <v>3789860</v>
      </c>
      <c r="WD246" s="845"/>
      <c r="WE246" s="845"/>
      <c r="WF246" s="845" t="str">
        <f t="shared" si="407"/>
        <v>ANO</v>
      </c>
      <c r="WG246" s="849" t="str">
        <f t="shared" si="421"/>
        <v>Podpora služby je vyjádřena zařazením do sítě sociálních služeb v KHK a řešením financování služby</v>
      </c>
      <c r="WH246"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46" s="849" t="str">
        <f t="shared" si="421"/>
        <v>Návrh dotace je výsledkem projednání s ostatními zadavateli v rámci sítě služeb KHK</v>
      </c>
      <c r="WJ246" s="849" t="str">
        <f t="shared" si="421"/>
        <v>Bez komentáře</v>
      </c>
      <c r="WK246" s="31">
        <f t="shared" si="408"/>
        <v>0</v>
      </c>
      <c r="WL246" s="850">
        <f t="shared" si="409"/>
        <v>0</v>
      </c>
      <c r="WM246" s="849" t="str">
        <f t="shared" si="410"/>
        <v>V rámci sítě KHK se dlouhodobě řeší otázka navyšování úhrad a průběžně se monitoruje s vazbou na vykrytí vyrovnávací platby</v>
      </c>
      <c r="WN246" s="849">
        <f t="shared" si="411"/>
        <v>0</v>
      </c>
      <c r="WO246" s="849" t="str">
        <f t="shared" si="422"/>
        <v>bez komentáře</v>
      </c>
      <c r="WP246" s="849" t="str">
        <f t="shared" si="422"/>
        <v>bez komentáře</v>
      </c>
      <c r="WQ246" s="849" t="str">
        <f t="shared" si="422"/>
        <v>Konečná výše dotace z rozpočtu KHK bude řešena v návaznosti na řešení podílů jednotlivých zadavatelů.</v>
      </c>
      <c r="WR246" s="849" t="str">
        <f t="shared" si="422"/>
        <v>Konečná výše podpory ze stran obcí bude řešena v součinnosti s jednotlivými zadavateli v průběhu roku.</v>
      </c>
      <c r="WS246" s="849" t="str">
        <f t="shared" si="422"/>
        <v>bez komentáře</v>
      </c>
      <c r="WT246" s="849" t="str">
        <f t="shared" si="422"/>
        <v>bez komentáře</v>
      </c>
      <c r="WU246" s="845"/>
    </row>
    <row r="247" spans="1:619" s="128" customFormat="1" x14ac:dyDescent="0.25">
      <c r="A247" s="128" t="str">
        <f>VLOOKUP(F247,'Výpočet VP 2020'!$D$324:$I$588,6,FALSE)</f>
        <v>Je v síti</v>
      </c>
      <c r="B247" s="128" t="s">
        <v>974</v>
      </c>
      <c r="C247" s="128">
        <v>70153884</v>
      </c>
      <c r="D247" s="128" t="s">
        <v>975</v>
      </c>
      <c r="E247" s="128" t="s">
        <v>259</v>
      </c>
      <c r="F247" s="128">
        <v>5173305</v>
      </c>
      <c r="G247" s="128" t="s">
        <v>217</v>
      </c>
      <c r="H247" s="128" t="s">
        <v>218</v>
      </c>
      <c r="I247" s="128" t="s">
        <v>974</v>
      </c>
      <c r="J247" s="129">
        <v>39083</v>
      </c>
      <c r="L247" s="128" t="s">
        <v>220</v>
      </c>
      <c r="X247" s="128" t="s">
        <v>633</v>
      </c>
      <c r="Z247" s="128">
        <v>65</v>
      </c>
      <c r="AA247" s="128">
        <v>65</v>
      </c>
      <c r="AB247" s="128">
        <v>57</v>
      </c>
      <c r="AC247" s="128">
        <v>65</v>
      </c>
      <c r="AD247" s="128">
        <v>65</v>
      </c>
      <c r="AN247" s="128">
        <v>1800</v>
      </c>
      <c r="BL247" s="128" t="s">
        <v>976</v>
      </c>
      <c r="BM247" s="128" t="s">
        <v>228</v>
      </c>
      <c r="BN247" s="128" t="s">
        <v>364</v>
      </c>
      <c r="BO247" s="128">
        <v>0</v>
      </c>
      <c r="BP247" s="128">
        <v>0</v>
      </c>
      <c r="BQ247" s="128">
        <v>0</v>
      </c>
      <c r="BR247" s="128">
        <v>0</v>
      </c>
      <c r="BS247" s="128">
        <v>0</v>
      </c>
      <c r="BT247" s="128">
        <v>5</v>
      </c>
      <c r="BU247" s="128">
        <v>16</v>
      </c>
      <c r="BV247" s="128">
        <v>23</v>
      </c>
      <c r="BW247" s="128">
        <v>13</v>
      </c>
      <c r="BX247" s="128">
        <v>6</v>
      </c>
      <c r="BY247" s="128">
        <v>5</v>
      </c>
      <c r="BZ247" s="128">
        <v>16</v>
      </c>
      <c r="CA247" s="128">
        <v>23</v>
      </c>
      <c r="CB247" s="128">
        <v>13</v>
      </c>
      <c r="CC247" s="128">
        <v>6</v>
      </c>
      <c r="CD247" s="128">
        <v>0</v>
      </c>
      <c r="CE247" s="128">
        <v>63</v>
      </c>
      <c r="CF247" s="128">
        <v>63</v>
      </c>
      <c r="CH247" s="128">
        <v>0</v>
      </c>
      <c r="CI247" s="128">
        <v>0</v>
      </c>
      <c r="CJ247" s="128">
        <v>0</v>
      </c>
      <c r="CK247" s="128">
        <v>0</v>
      </c>
      <c r="CL247" s="128">
        <v>0</v>
      </c>
      <c r="CM247" s="128">
        <v>5</v>
      </c>
      <c r="CN247" s="128">
        <v>18</v>
      </c>
      <c r="CO247" s="128">
        <v>24</v>
      </c>
      <c r="CP247" s="128">
        <v>12</v>
      </c>
      <c r="CQ247" s="128">
        <v>6</v>
      </c>
      <c r="CR247" s="128">
        <v>5</v>
      </c>
      <c r="CS247" s="128">
        <v>18</v>
      </c>
      <c r="CT247" s="128">
        <v>24</v>
      </c>
      <c r="CU247" s="128">
        <v>12</v>
      </c>
      <c r="CV247" s="128">
        <v>6</v>
      </c>
      <c r="CW247" s="128">
        <v>0</v>
      </c>
      <c r="CX247" s="128">
        <v>65</v>
      </c>
      <c r="CY247" s="128">
        <v>65</v>
      </c>
      <c r="EK247" s="128">
        <v>2</v>
      </c>
      <c r="EL247" s="128">
        <v>1.75</v>
      </c>
      <c r="EM247" s="128">
        <v>1.75</v>
      </c>
      <c r="EN247" s="128">
        <v>1423900</v>
      </c>
      <c r="EO247" s="128">
        <v>1000000</v>
      </c>
      <c r="EP247" s="128">
        <v>11</v>
      </c>
      <c r="EQ247" s="128">
        <v>9.25</v>
      </c>
      <c r="ER247" s="128">
        <v>8.25</v>
      </c>
      <c r="ES247" s="128">
        <v>4376600</v>
      </c>
      <c r="ET247" s="128">
        <v>2200000</v>
      </c>
      <c r="EU247" s="128">
        <v>2</v>
      </c>
      <c r="EV247" s="128">
        <v>0.75</v>
      </c>
      <c r="EW247" s="128">
        <v>0.75</v>
      </c>
      <c r="EX247" s="128">
        <v>600000</v>
      </c>
      <c r="EY247" s="128">
        <v>0</v>
      </c>
      <c r="EZ247" s="128">
        <v>2</v>
      </c>
      <c r="FA247" s="128">
        <v>1.25</v>
      </c>
      <c r="FB247" s="128">
        <v>1.25</v>
      </c>
      <c r="FC247" s="128">
        <v>890000</v>
      </c>
      <c r="FD247" s="128">
        <v>400000</v>
      </c>
      <c r="FO247" s="128">
        <v>7</v>
      </c>
      <c r="FP247" s="128">
        <v>6.5</v>
      </c>
      <c r="FQ247" s="128">
        <v>6.5</v>
      </c>
      <c r="FR247" s="128">
        <v>3263000</v>
      </c>
      <c r="FS247" s="128">
        <v>1600000</v>
      </c>
      <c r="IH247" s="128">
        <v>1</v>
      </c>
      <c r="II247" s="128">
        <v>0.1</v>
      </c>
      <c r="IJ247" s="128">
        <v>12</v>
      </c>
      <c r="IK247" s="128">
        <v>0.1</v>
      </c>
      <c r="IL247" s="128">
        <v>6000</v>
      </c>
      <c r="IM247" s="128">
        <v>0</v>
      </c>
      <c r="IN247" s="128">
        <v>2</v>
      </c>
      <c r="IO247" s="128">
        <v>320</v>
      </c>
      <c r="IP247" s="128">
        <v>0.153</v>
      </c>
      <c r="IQ247" s="128">
        <v>30500</v>
      </c>
      <c r="IR247" s="128">
        <v>0</v>
      </c>
      <c r="IS247" s="128">
        <v>1</v>
      </c>
      <c r="IT247" s="128">
        <v>100</v>
      </c>
      <c r="IU247" s="128">
        <v>4.8000000000000001E-2</v>
      </c>
      <c r="IV247" s="128">
        <v>15000</v>
      </c>
      <c r="IW247" s="128">
        <v>0</v>
      </c>
      <c r="KG247" s="128">
        <v>0</v>
      </c>
      <c r="KI247" s="128">
        <v>13</v>
      </c>
      <c r="KJ247" s="128">
        <v>0</v>
      </c>
      <c r="KK247" s="128">
        <v>0.153</v>
      </c>
      <c r="KL247" s="128">
        <v>0</v>
      </c>
      <c r="KM247" s="128">
        <v>13.153</v>
      </c>
      <c r="KN247" s="128">
        <v>10553500</v>
      </c>
      <c r="KO247" s="128">
        <v>5200000</v>
      </c>
      <c r="KP247" s="128">
        <v>5200000</v>
      </c>
      <c r="KT247" s="128">
        <v>6000</v>
      </c>
      <c r="KU247" s="128">
        <v>0</v>
      </c>
      <c r="KV247" s="128">
        <v>0</v>
      </c>
      <c r="KZ247" s="128">
        <v>45500</v>
      </c>
      <c r="LA247" s="128">
        <v>0</v>
      </c>
      <c r="LB247" s="128">
        <v>0</v>
      </c>
      <c r="LF247" s="128">
        <v>0</v>
      </c>
      <c r="LG247" s="128">
        <v>0</v>
      </c>
      <c r="LH247" s="128">
        <v>0</v>
      </c>
      <c r="LL247" s="128">
        <v>0</v>
      </c>
      <c r="LM247" s="128">
        <v>0</v>
      </c>
      <c r="LN247" s="128">
        <v>0</v>
      </c>
      <c r="LR247" s="128">
        <v>100000</v>
      </c>
      <c r="LS247" s="128">
        <v>0</v>
      </c>
      <c r="LT247" s="128">
        <v>0</v>
      </c>
      <c r="LX247" s="128">
        <v>470000</v>
      </c>
      <c r="LY247" s="128">
        <v>0</v>
      </c>
      <c r="LZ247" s="128">
        <v>0</v>
      </c>
      <c r="MD247" s="128">
        <v>20000</v>
      </c>
      <c r="ME247" s="128">
        <v>0</v>
      </c>
      <c r="MF247" s="128">
        <v>0</v>
      </c>
      <c r="MJ247" s="128">
        <v>30000</v>
      </c>
      <c r="MK247" s="128">
        <v>0</v>
      </c>
      <c r="ML247" s="128">
        <v>0</v>
      </c>
      <c r="MP247" s="128">
        <v>110000</v>
      </c>
      <c r="MQ247" s="128">
        <v>0</v>
      </c>
      <c r="MR247" s="128">
        <v>0</v>
      </c>
      <c r="MV247" s="128">
        <v>800000</v>
      </c>
      <c r="MW247" s="128">
        <v>400000</v>
      </c>
      <c r="MX247" s="128">
        <v>400000</v>
      </c>
      <c r="NB247" s="128">
        <v>50000</v>
      </c>
      <c r="NC247" s="128">
        <v>0</v>
      </c>
      <c r="ND247" s="128">
        <v>0</v>
      </c>
      <c r="NH247" s="128">
        <v>75000</v>
      </c>
      <c r="NI247" s="128">
        <v>0</v>
      </c>
      <c r="NJ247" s="128">
        <v>0</v>
      </c>
      <c r="NN247" s="128">
        <v>120000</v>
      </c>
      <c r="NO247" s="128">
        <v>0</v>
      </c>
      <c r="NP247" s="128">
        <v>0</v>
      </c>
      <c r="NT247" s="128">
        <v>35000</v>
      </c>
      <c r="NU247" s="128">
        <v>0</v>
      </c>
      <c r="NV247" s="128">
        <v>0</v>
      </c>
      <c r="NZ247" s="128">
        <v>120000</v>
      </c>
      <c r="OA247" s="128">
        <v>0</v>
      </c>
      <c r="OB247" s="128">
        <v>0</v>
      </c>
      <c r="OF247" s="128">
        <v>15000</v>
      </c>
      <c r="OG247" s="128">
        <v>0</v>
      </c>
      <c r="OH247" s="128">
        <v>0</v>
      </c>
      <c r="OL247" s="128">
        <v>0</v>
      </c>
      <c r="OM247" s="128">
        <v>0</v>
      </c>
      <c r="ON247" s="128">
        <v>0</v>
      </c>
      <c r="OR247" s="128">
        <v>0</v>
      </c>
      <c r="OS247" s="128">
        <v>0</v>
      </c>
      <c r="OT247" s="128">
        <v>0</v>
      </c>
      <c r="OX247" s="128">
        <v>150000</v>
      </c>
      <c r="OY247" s="128">
        <v>0</v>
      </c>
      <c r="OZ247" s="128">
        <v>0</v>
      </c>
      <c r="PD247" s="128">
        <v>350000</v>
      </c>
      <c r="PE247" s="128">
        <v>0</v>
      </c>
      <c r="PF247" s="128">
        <v>0</v>
      </c>
      <c r="PJ247" s="128">
        <v>270000</v>
      </c>
      <c r="PK247" s="128">
        <v>0</v>
      </c>
      <c r="PL247" s="128">
        <v>0</v>
      </c>
      <c r="PP247" s="128">
        <v>13320000</v>
      </c>
      <c r="PQ247" s="128">
        <v>5600000</v>
      </c>
      <c r="PR247" s="128">
        <v>5600000</v>
      </c>
      <c r="PS247" s="128">
        <v>100</v>
      </c>
      <c r="PT247" s="128">
        <v>100</v>
      </c>
      <c r="PV247" s="128">
        <v>8030084</v>
      </c>
      <c r="PX247" s="128">
        <v>2295284</v>
      </c>
      <c r="PY247" s="128">
        <v>1991460</v>
      </c>
      <c r="PZ247" s="128">
        <v>5600000</v>
      </c>
      <c r="QA247" s="128">
        <v>0</v>
      </c>
      <c r="QB247" s="128">
        <v>0</v>
      </c>
      <c r="QC247" s="128">
        <v>0</v>
      </c>
      <c r="QD247" s="128">
        <v>9050000</v>
      </c>
      <c r="QE247" s="128">
        <v>8800000</v>
      </c>
      <c r="QF247" s="128">
        <v>6400000</v>
      </c>
      <c r="QG247" s="128">
        <v>0</v>
      </c>
      <c r="QH247" s="128">
        <v>0</v>
      </c>
      <c r="QI247" s="128">
        <v>0</v>
      </c>
      <c r="QJ247" s="128">
        <v>1291400</v>
      </c>
      <c r="QK247" s="128">
        <v>1300000</v>
      </c>
      <c r="QL247" s="128">
        <v>1320000</v>
      </c>
      <c r="QN247" s="128">
        <v>0</v>
      </c>
      <c r="QO247" s="128">
        <v>0</v>
      </c>
      <c r="QP247" s="128">
        <v>0</v>
      </c>
      <c r="RH247" s="128">
        <f t="shared" si="412"/>
        <v>12000000</v>
      </c>
      <c r="RI247" s="128">
        <v>0</v>
      </c>
      <c r="RM247" s="128" t="s">
        <v>220</v>
      </c>
      <c r="RU247" s="130"/>
      <c r="RV247" s="130"/>
      <c r="RW247" s="130"/>
      <c r="RX247" s="130"/>
      <c r="SF247" s="128">
        <f t="shared" si="322"/>
        <v>5173305</v>
      </c>
      <c r="SG247" s="131">
        <f t="shared" si="323"/>
        <v>13320000</v>
      </c>
      <c r="SH247" s="131">
        <f t="shared" si="324"/>
        <v>13320000</v>
      </c>
      <c r="SI247" s="131">
        <f t="shared" si="325"/>
        <v>10605000</v>
      </c>
      <c r="SJ247" s="132">
        <f t="shared" si="326"/>
        <v>10553500</v>
      </c>
      <c r="SK247" s="132">
        <f t="shared" si="327"/>
        <v>6000</v>
      </c>
      <c r="SL247" s="132">
        <f t="shared" si="328"/>
        <v>45500</v>
      </c>
      <c r="SM247" s="132">
        <f t="shared" si="329"/>
        <v>0</v>
      </c>
      <c r="SN247" s="131">
        <f t="shared" si="330"/>
        <v>2715000</v>
      </c>
      <c r="SO247" s="131">
        <f t="shared" si="331"/>
        <v>100000</v>
      </c>
      <c r="SP247" s="132">
        <f t="shared" si="332"/>
        <v>0</v>
      </c>
      <c r="SQ247" s="132">
        <f t="shared" si="333"/>
        <v>100000</v>
      </c>
      <c r="SR247" s="132">
        <f t="shared" si="334"/>
        <v>470000</v>
      </c>
      <c r="SS247" s="132">
        <f t="shared" si="335"/>
        <v>20000</v>
      </c>
      <c r="ST247" s="132">
        <f t="shared" si="336"/>
        <v>30000</v>
      </c>
      <c r="SU247" s="132">
        <f t="shared" si="337"/>
        <v>110000</v>
      </c>
      <c r="SV247" s="131">
        <f t="shared" si="338"/>
        <v>1365000</v>
      </c>
      <c r="SW247" s="132">
        <f t="shared" si="339"/>
        <v>800000</v>
      </c>
      <c r="SX247" s="132">
        <f t="shared" si="340"/>
        <v>50000</v>
      </c>
      <c r="SY247" s="132">
        <f t="shared" si="341"/>
        <v>75000</v>
      </c>
      <c r="SZ247" s="132">
        <f t="shared" si="342"/>
        <v>120000</v>
      </c>
      <c r="TA247" s="132">
        <f t="shared" si="343"/>
        <v>35000</v>
      </c>
      <c r="TB247" s="132">
        <f t="shared" si="344"/>
        <v>120000</v>
      </c>
      <c r="TC247" s="132">
        <f t="shared" si="345"/>
        <v>15000</v>
      </c>
      <c r="TD247" s="132">
        <f t="shared" si="346"/>
        <v>0</v>
      </c>
      <c r="TE247" s="132">
        <f t="shared" si="347"/>
        <v>0</v>
      </c>
      <c r="TF247" s="132">
        <f t="shared" si="348"/>
        <v>150000</v>
      </c>
      <c r="TG247" s="132">
        <f t="shared" si="349"/>
        <v>350000</v>
      </c>
      <c r="TH247" s="132">
        <f t="shared" si="350"/>
        <v>270000</v>
      </c>
      <c r="TI247" s="1"/>
      <c r="TJ247" s="131">
        <f t="shared" si="351"/>
        <v>5600000</v>
      </c>
      <c r="TK247" s="131">
        <f t="shared" si="352"/>
        <v>5600000</v>
      </c>
      <c r="TL247" s="131">
        <f t="shared" si="353"/>
        <v>5200000</v>
      </c>
      <c r="TM247" s="132">
        <f t="shared" si="354"/>
        <v>5200000</v>
      </c>
      <c r="TN247" s="132">
        <f t="shared" si="355"/>
        <v>0</v>
      </c>
      <c r="TO247" s="132">
        <f t="shared" si="356"/>
        <v>0</v>
      </c>
      <c r="TP247" s="132">
        <f t="shared" si="357"/>
        <v>0</v>
      </c>
      <c r="TQ247" s="131">
        <f t="shared" si="358"/>
        <v>400000</v>
      </c>
      <c r="TR247" s="131">
        <f t="shared" si="359"/>
        <v>0</v>
      </c>
      <c r="TS247" s="132">
        <f t="shared" si="360"/>
        <v>0</v>
      </c>
      <c r="TT247" s="132">
        <f t="shared" si="361"/>
        <v>0</v>
      </c>
      <c r="TU247" s="132">
        <f t="shared" si="362"/>
        <v>0</v>
      </c>
      <c r="TV247" s="132">
        <f t="shared" si="363"/>
        <v>0</v>
      </c>
      <c r="TW247" s="132">
        <f t="shared" si="364"/>
        <v>0</v>
      </c>
      <c r="TX247" s="132">
        <f t="shared" si="365"/>
        <v>0</v>
      </c>
      <c r="TY247" s="131">
        <f t="shared" si="366"/>
        <v>400000</v>
      </c>
      <c r="TZ247" s="132">
        <f t="shared" si="367"/>
        <v>400000</v>
      </c>
      <c r="UA247" s="132">
        <f t="shared" si="368"/>
        <v>0</v>
      </c>
      <c r="UB247" s="132">
        <f t="shared" si="369"/>
        <v>0</v>
      </c>
      <c r="UC247" s="132">
        <f t="shared" si="370"/>
        <v>0</v>
      </c>
      <c r="UD247" s="132">
        <f t="shared" si="371"/>
        <v>0</v>
      </c>
      <c r="UE247" s="132">
        <f t="shared" si="372"/>
        <v>0</v>
      </c>
      <c r="UF247" s="132">
        <f t="shared" si="373"/>
        <v>0</v>
      </c>
      <c r="UG247" s="132">
        <f t="shared" si="374"/>
        <v>0</v>
      </c>
      <c r="UH247" s="132">
        <f t="shared" si="375"/>
        <v>0</v>
      </c>
      <c r="UI247" s="132">
        <f t="shared" si="376"/>
        <v>0</v>
      </c>
      <c r="UJ247" s="132">
        <f t="shared" si="377"/>
        <v>0</v>
      </c>
      <c r="UK247" s="132">
        <f t="shared" si="378"/>
        <v>0</v>
      </c>
      <c r="UL247" s="132">
        <f t="shared" si="413"/>
        <v>5600000</v>
      </c>
      <c r="UM247" s="131">
        <f t="shared" si="379"/>
        <v>5600000</v>
      </c>
      <c r="UN247" s="131">
        <f t="shared" si="380"/>
        <v>5600000</v>
      </c>
      <c r="UO247" s="131">
        <f t="shared" si="381"/>
        <v>5200000</v>
      </c>
      <c r="UP247" s="132">
        <f t="shared" si="382"/>
        <v>5200000</v>
      </c>
      <c r="UQ247" s="132">
        <f t="shared" si="383"/>
        <v>0</v>
      </c>
      <c r="UR247" s="132">
        <f t="shared" si="384"/>
        <v>0</v>
      </c>
      <c r="US247" s="132">
        <f t="shared" si="385"/>
        <v>0</v>
      </c>
      <c r="UT247" s="131">
        <f t="shared" si="386"/>
        <v>400000</v>
      </c>
      <c r="UU247" s="131">
        <f t="shared" si="387"/>
        <v>0</v>
      </c>
      <c r="UV247" s="132">
        <f t="shared" si="388"/>
        <v>0</v>
      </c>
      <c r="UW247" s="132">
        <f t="shared" si="389"/>
        <v>0</v>
      </c>
      <c r="UX247" s="132">
        <f t="shared" si="390"/>
        <v>0</v>
      </c>
      <c r="UY247" s="132">
        <f t="shared" si="391"/>
        <v>0</v>
      </c>
      <c r="UZ247" s="132">
        <f t="shared" si="392"/>
        <v>0</v>
      </c>
      <c r="VA247" s="132">
        <f t="shared" si="393"/>
        <v>0</v>
      </c>
      <c r="VB247" s="131">
        <f t="shared" si="394"/>
        <v>400000</v>
      </c>
      <c r="VC247" s="132">
        <f t="shared" si="395"/>
        <v>400000</v>
      </c>
      <c r="VD247" s="132">
        <f t="shared" si="396"/>
        <v>0</v>
      </c>
      <c r="VE247" s="132">
        <f t="shared" si="397"/>
        <v>0</v>
      </c>
      <c r="VF247" s="132">
        <f t="shared" si="398"/>
        <v>0</v>
      </c>
      <c r="VG247" s="132">
        <f t="shared" si="399"/>
        <v>0</v>
      </c>
      <c r="VH247" s="132">
        <f t="shared" si="400"/>
        <v>0</v>
      </c>
      <c r="VI247" s="132">
        <f t="shared" si="401"/>
        <v>0</v>
      </c>
      <c r="VJ247" s="132">
        <f t="shared" si="402"/>
        <v>0</v>
      </c>
      <c r="VK247" s="132">
        <f t="shared" si="403"/>
        <v>0</v>
      </c>
      <c r="VL247" s="132">
        <f t="shared" si="404"/>
        <v>0</v>
      </c>
      <c r="VM247" s="132">
        <f t="shared" si="405"/>
        <v>0</v>
      </c>
      <c r="VN247" s="132">
        <f t="shared" si="406"/>
        <v>0</v>
      </c>
      <c r="VP247" s="845" t="str">
        <f>IFERROR(HLOOKUP(F247,'Hodnocení '!$C$1:$JH$5,2,FALSE),0)</f>
        <v>Stacionář mezi mosty Trutnov</v>
      </c>
      <c r="VQ247" s="838"/>
      <c r="VR247" s="845" t="str">
        <f t="shared" si="414"/>
        <v>Příspěvková organizace zřízená územním samosprávným celkem</v>
      </c>
      <c r="VS247" s="845" t="str">
        <f>IFERROR(HLOOKUP(F247,'Hodnocení '!$C$1:$JH$5,5,FALSE),0)</f>
        <v>Obce</v>
      </c>
      <c r="VT247" s="838" t="str">
        <f t="shared" si="415"/>
        <v>Příspěvková organizace zřízená územním samosprávným celkem</v>
      </c>
      <c r="VU247" s="838">
        <f t="shared" si="416"/>
        <v>0</v>
      </c>
      <c r="VV247" s="838">
        <f t="shared" si="417"/>
        <v>1320000</v>
      </c>
      <c r="VW247" s="838">
        <f t="shared" si="418"/>
        <v>0</v>
      </c>
      <c r="VX247" s="838"/>
      <c r="VY247" s="838">
        <f t="shared" si="419"/>
        <v>0</v>
      </c>
      <c r="VZ247" s="838">
        <f t="shared" si="420"/>
        <v>5600000</v>
      </c>
      <c r="WA247" s="846">
        <f>IFERROR(HLOOKUP($F247,'Hodnocení '!$C$1:$JH$9,9,FALSE),0)</f>
        <v>5600000</v>
      </c>
      <c r="WB247" s="846">
        <f>IF(IFERROR(HLOOKUP($F247,'Hodnocení '!$C$1:$JH$13,13,FALSE),0)&gt;WA247,WA247,IFERROR(HLOOKUP($F247,'Hodnocení '!$C$1:$JH$13,13,FALSE),0))</f>
        <v>5600000</v>
      </c>
      <c r="WC247" s="846">
        <f>IFERROR(HLOOKUP($F247,'Hodnocení '!$C$1:$JH$155,155,FALSE),0)</f>
        <v>2241820</v>
      </c>
      <c r="WD247" s="845"/>
      <c r="WE247" s="845"/>
      <c r="WF247" s="845" t="str">
        <f t="shared" si="407"/>
        <v>ANO</v>
      </c>
      <c r="WG247" s="849" t="str">
        <f t="shared" si="421"/>
        <v>Podpora služby je vyjádřena zařazením do sítě sociálních služeb v KHK a řešením financování služby</v>
      </c>
      <c r="WH247"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47" s="849" t="str">
        <f t="shared" si="421"/>
        <v>Návrh dotace je výsledkem projednání s ostatními zadavateli v rámci sítě služeb KHK</v>
      </c>
      <c r="WJ247" s="849" t="str">
        <f t="shared" si="421"/>
        <v>Bez komentáře</v>
      </c>
      <c r="WK247" s="31" t="str">
        <f t="shared" si="408"/>
        <v>Výše příspěvku ze strany zřizovatele bude řešen v návaznosti na řešení podílů jednotlivých zadavatelů</v>
      </c>
      <c r="WL247" s="850">
        <f t="shared" si="409"/>
        <v>0</v>
      </c>
      <c r="WM247" s="849" t="str">
        <f t="shared" si="410"/>
        <v>V rámci sítě KHK se dlouhodobě řeší otázka navyšování úhrad a průběžně se monitoruje s vazbou na vykrytí vyrovnávací platby</v>
      </c>
      <c r="WN247" s="849">
        <f t="shared" si="411"/>
        <v>0</v>
      </c>
      <c r="WO247" s="849" t="str">
        <f t="shared" si="422"/>
        <v>bez komentáře</v>
      </c>
      <c r="WP247" s="849" t="str">
        <f t="shared" si="422"/>
        <v>bez komentáře</v>
      </c>
      <c r="WQ247" s="849" t="str">
        <f t="shared" si="422"/>
        <v>Konečná výše dotace z rozpočtu KHK bude řešena v návaznosti na řešení podílů jednotlivých zadavatelů.</v>
      </c>
      <c r="WR247" s="849" t="str">
        <f t="shared" si="422"/>
        <v>Konečná výše podpory ze stran obcí bude řešena v součinnosti s jednotlivými zadavateli v průběhu roku.</v>
      </c>
      <c r="WS247" s="849" t="str">
        <f t="shared" si="422"/>
        <v>bez komentáře</v>
      </c>
      <c r="WT247" s="849" t="str">
        <f t="shared" si="422"/>
        <v>bez komentáře</v>
      </c>
      <c r="WU247" s="845"/>
    </row>
    <row r="248" spans="1:619" s="128" customFormat="1" x14ac:dyDescent="0.25">
      <c r="A248" s="128" t="str">
        <f>VLOOKUP(F248,'Výpočet VP 2020'!$D$324:$I$588,6,FALSE)</f>
        <v>Je v síti</v>
      </c>
      <c r="B248" s="128" t="s">
        <v>977</v>
      </c>
      <c r="C248" s="128">
        <v>25998846</v>
      </c>
      <c r="D248" s="128" t="s">
        <v>978</v>
      </c>
      <c r="E248" s="128" t="s">
        <v>216</v>
      </c>
      <c r="F248" s="128">
        <v>2015983</v>
      </c>
      <c r="G248" s="128" t="s">
        <v>286</v>
      </c>
      <c r="H248" s="128" t="s">
        <v>218</v>
      </c>
      <c r="I248" s="128" t="s">
        <v>977</v>
      </c>
      <c r="J248" s="129">
        <v>39083</v>
      </c>
      <c r="L248" s="128" t="s">
        <v>220</v>
      </c>
      <c r="X248" s="128" t="s">
        <v>315</v>
      </c>
      <c r="Z248" s="128">
        <v>12</v>
      </c>
      <c r="AA248" s="128">
        <v>12</v>
      </c>
      <c r="AB248" s="128">
        <v>24</v>
      </c>
      <c r="AC248" s="128">
        <v>20</v>
      </c>
      <c r="AD248" s="128">
        <v>20</v>
      </c>
      <c r="AN248" s="128">
        <v>1500</v>
      </c>
      <c r="BL248" s="128" t="s">
        <v>535</v>
      </c>
      <c r="BM248" s="128" t="s">
        <v>325</v>
      </c>
      <c r="BN248" s="128" t="s">
        <v>364</v>
      </c>
      <c r="BO248" s="128">
        <v>0</v>
      </c>
      <c r="BP248" s="128">
        <v>0</v>
      </c>
      <c r="BQ248" s="128">
        <v>0</v>
      </c>
      <c r="BR248" s="128">
        <v>0</v>
      </c>
      <c r="BS248" s="128">
        <v>0</v>
      </c>
      <c r="BT248" s="128">
        <v>7</v>
      </c>
      <c r="BU248" s="128">
        <v>4</v>
      </c>
      <c r="BV248" s="128">
        <v>0</v>
      </c>
      <c r="BW248" s="128">
        <v>0</v>
      </c>
      <c r="BX248" s="128">
        <v>9</v>
      </c>
      <c r="BY248" s="128">
        <v>7</v>
      </c>
      <c r="BZ248" s="128">
        <v>4</v>
      </c>
      <c r="CA248" s="128">
        <v>0</v>
      </c>
      <c r="CB248" s="128">
        <v>0</v>
      </c>
      <c r="CC248" s="128">
        <v>9</v>
      </c>
      <c r="CD248" s="128">
        <v>0</v>
      </c>
      <c r="CE248" s="128">
        <v>20</v>
      </c>
      <c r="CF248" s="128">
        <v>20</v>
      </c>
      <c r="CH248" s="128">
        <v>0</v>
      </c>
      <c r="CI248" s="128">
        <v>0</v>
      </c>
      <c r="CJ248" s="128">
        <v>0</v>
      </c>
      <c r="CK248" s="128">
        <v>0</v>
      </c>
      <c r="CL248" s="128">
        <v>0</v>
      </c>
      <c r="CM248" s="128">
        <v>6</v>
      </c>
      <c r="CN248" s="128">
        <v>3</v>
      </c>
      <c r="CO248" s="128">
        <v>1</v>
      </c>
      <c r="CP248" s="128">
        <v>0</v>
      </c>
      <c r="CQ248" s="128">
        <v>10</v>
      </c>
      <c r="CR248" s="128">
        <v>6</v>
      </c>
      <c r="CS248" s="128">
        <v>3</v>
      </c>
      <c r="CT248" s="128">
        <v>1</v>
      </c>
      <c r="CU248" s="128">
        <v>0</v>
      </c>
      <c r="CV248" s="128">
        <v>10</v>
      </c>
      <c r="CW248" s="128">
        <v>0</v>
      </c>
      <c r="CX248" s="128">
        <v>20</v>
      </c>
      <c r="CY248" s="128">
        <v>20</v>
      </c>
      <c r="EK248" s="128">
        <v>1</v>
      </c>
      <c r="EL248" s="128">
        <v>0.25</v>
      </c>
      <c r="EM248" s="128">
        <v>0.25</v>
      </c>
      <c r="EN248" s="128">
        <v>145000</v>
      </c>
      <c r="EO248" s="128">
        <v>120000</v>
      </c>
      <c r="EP248" s="128">
        <v>4</v>
      </c>
      <c r="EQ248" s="128">
        <v>2</v>
      </c>
      <c r="ER248" s="128">
        <v>2</v>
      </c>
      <c r="ES248" s="128">
        <v>760000</v>
      </c>
      <c r="ET248" s="128">
        <v>620000</v>
      </c>
      <c r="FO248" s="128">
        <v>1</v>
      </c>
      <c r="FP248" s="128">
        <v>0.25</v>
      </c>
      <c r="FQ248" s="128">
        <v>0.25</v>
      </c>
      <c r="FR248" s="128">
        <v>145000</v>
      </c>
      <c r="FS248" s="128">
        <v>120000</v>
      </c>
      <c r="KG248" s="128">
        <v>2</v>
      </c>
      <c r="KH248" s="128">
        <v>1120</v>
      </c>
      <c r="KI248" s="128">
        <v>2.25</v>
      </c>
      <c r="KJ248" s="128">
        <v>0</v>
      </c>
      <c r="KK248" s="128">
        <v>0</v>
      </c>
      <c r="KL248" s="128">
        <v>0</v>
      </c>
      <c r="KM248" s="128">
        <v>2.25</v>
      </c>
      <c r="KN248" s="128">
        <v>1050000</v>
      </c>
      <c r="KO248" s="128">
        <v>860000</v>
      </c>
      <c r="KP248" s="128">
        <v>860000</v>
      </c>
      <c r="KT248" s="128">
        <v>0</v>
      </c>
      <c r="KU248" s="128">
        <v>0</v>
      </c>
      <c r="KV248" s="128">
        <v>0</v>
      </c>
      <c r="KZ248" s="128">
        <v>0</v>
      </c>
      <c r="LA248" s="128">
        <v>0</v>
      </c>
      <c r="LB248" s="128">
        <v>0</v>
      </c>
      <c r="LF248" s="128">
        <v>56000</v>
      </c>
      <c r="LG248" s="128">
        <v>0</v>
      </c>
      <c r="LH248" s="128">
        <v>0</v>
      </c>
      <c r="LL248" s="128">
        <v>0</v>
      </c>
      <c r="LM248" s="128">
        <v>0</v>
      </c>
      <c r="LN248" s="128">
        <v>0</v>
      </c>
      <c r="LR248" s="128">
        <v>15000</v>
      </c>
      <c r="LS248" s="128">
        <v>0</v>
      </c>
      <c r="LT248" s="128">
        <v>0</v>
      </c>
      <c r="LX248" s="128">
        <v>0</v>
      </c>
      <c r="LY248" s="128">
        <v>0</v>
      </c>
      <c r="LZ248" s="128">
        <v>0</v>
      </c>
      <c r="MD248" s="128">
        <v>1500</v>
      </c>
      <c r="ME248" s="128">
        <v>0</v>
      </c>
      <c r="MF248" s="128">
        <v>0</v>
      </c>
      <c r="MJ248" s="128">
        <v>7500</v>
      </c>
      <c r="MK248" s="128">
        <v>5000</v>
      </c>
      <c r="ML248" s="128">
        <v>5000</v>
      </c>
      <c r="MP248" s="128">
        <v>15000</v>
      </c>
      <c r="MQ248" s="128">
        <v>0</v>
      </c>
      <c r="MR248" s="128">
        <v>0</v>
      </c>
      <c r="MV248" s="128">
        <v>86400</v>
      </c>
      <c r="MW248" s="128">
        <v>70000</v>
      </c>
      <c r="MX248" s="128">
        <v>70000</v>
      </c>
      <c r="NB248" s="128">
        <v>12000</v>
      </c>
      <c r="NC248" s="128">
        <v>0</v>
      </c>
      <c r="ND248" s="128">
        <v>0</v>
      </c>
      <c r="NH248" s="128">
        <v>40000</v>
      </c>
      <c r="NI248" s="128">
        <v>30000</v>
      </c>
      <c r="NJ248" s="128">
        <v>30000</v>
      </c>
      <c r="NN248" s="128">
        <v>36500</v>
      </c>
      <c r="NO248" s="128">
        <v>0</v>
      </c>
      <c r="NP248" s="128">
        <v>0</v>
      </c>
      <c r="NT248" s="128">
        <v>7500</v>
      </c>
      <c r="NU248" s="128">
        <v>0</v>
      </c>
      <c r="NV248" s="128">
        <v>0</v>
      </c>
      <c r="NZ248" s="128">
        <v>10000</v>
      </c>
      <c r="OA248" s="128">
        <v>0</v>
      </c>
      <c r="OB248" s="128">
        <v>0</v>
      </c>
      <c r="OF248" s="128">
        <v>500</v>
      </c>
      <c r="OG248" s="128">
        <v>0</v>
      </c>
      <c r="OH248" s="128">
        <v>0</v>
      </c>
      <c r="OL248" s="128">
        <v>0</v>
      </c>
      <c r="OM248" s="128">
        <v>0</v>
      </c>
      <c r="ON248" s="128">
        <v>0</v>
      </c>
      <c r="OR248" s="128">
        <v>0</v>
      </c>
      <c r="OS248" s="128">
        <v>0</v>
      </c>
      <c r="OT248" s="128">
        <v>0</v>
      </c>
      <c r="OX248" s="128">
        <v>0</v>
      </c>
      <c r="OY248" s="128">
        <v>0</v>
      </c>
      <c r="OZ248" s="128">
        <v>0</v>
      </c>
      <c r="PD248" s="128">
        <v>2000</v>
      </c>
      <c r="PE248" s="128">
        <v>0</v>
      </c>
      <c r="PF248" s="128">
        <v>0</v>
      </c>
      <c r="PJ248" s="128">
        <v>11000</v>
      </c>
      <c r="PK248" s="128">
        <v>0</v>
      </c>
      <c r="PL248" s="128">
        <v>0</v>
      </c>
      <c r="PP248" s="128">
        <v>1350900</v>
      </c>
      <c r="PQ248" s="128">
        <v>965000</v>
      </c>
      <c r="PR248" s="128">
        <v>965000</v>
      </c>
      <c r="PS248" s="128">
        <v>100</v>
      </c>
      <c r="PT248" s="128">
        <v>100</v>
      </c>
      <c r="PV248" s="128">
        <v>1015065</v>
      </c>
      <c r="PX248" s="128">
        <v>604800</v>
      </c>
      <c r="PY248" s="128">
        <v>601762</v>
      </c>
      <c r="PZ248" s="128">
        <v>965000</v>
      </c>
      <c r="QA248" s="128">
        <v>0</v>
      </c>
      <c r="QB248" s="128">
        <v>0</v>
      </c>
      <c r="QC248" s="128">
        <v>0</v>
      </c>
      <c r="QD248" s="128">
        <v>431804</v>
      </c>
      <c r="QE248" s="128">
        <v>500000</v>
      </c>
      <c r="QF248" s="128">
        <v>305900</v>
      </c>
      <c r="QG248" s="128">
        <v>0</v>
      </c>
      <c r="QH248" s="128">
        <v>0</v>
      </c>
      <c r="QI248" s="128">
        <v>0</v>
      </c>
      <c r="QJ248" s="128">
        <v>87895</v>
      </c>
      <c r="QK248" s="128">
        <v>65000</v>
      </c>
      <c r="QL248" s="128">
        <v>80000</v>
      </c>
      <c r="QN248" s="128">
        <v>0</v>
      </c>
      <c r="QO248" s="128">
        <v>0</v>
      </c>
      <c r="QP248" s="128">
        <v>0</v>
      </c>
      <c r="RH248" s="128">
        <f t="shared" si="412"/>
        <v>1270900</v>
      </c>
      <c r="RI248" s="128">
        <v>0</v>
      </c>
      <c r="RM248" s="128" t="s">
        <v>220</v>
      </c>
      <c r="RU248" s="130"/>
      <c r="RV248" s="130"/>
      <c r="RW248" s="130"/>
      <c r="RX248" s="130"/>
      <c r="SF248" s="128">
        <f t="shared" si="322"/>
        <v>2015983</v>
      </c>
      <c r="SG248" s="131">
        <f t="shared" si="323"/>
        <v>1350900</v>
      </c>
      <c r="SH248" s="131">
        <f t="shared" si="324"/>
        <v>1350900</v>
      </c>
      <c r="SI248" s="131">
        <f t="shared" si="325"/>
        <v>1106000</v>
      </c>
      <c r="SJ248" s="132">
        <f t="shared" si="326"/>
        <v>1050000</v>
      </c>
      <c r="SK248" s="132">
        <f t="shared" si="327"/>
        <v>0</v>
      </c>
      <c r="SL248" s="132">
        <f t="shared" si="328"/>
        <v>0</v>
      </c>
      <c r="SM248" s="132">
        <f t="shared" si="329"/>
        <v>56000</v>
      </c>
      <c r="SN248" s="131">
        <f t="shared" si="330"/>
        <v>244900</v>
      </c>
      <c r="SO248" s="131">
        <f t="shared" si="331"/>
        <v>15000</v>
      </c>
      <c r="SP248" s="132">
        <f t="shared" si="332"/>
        <v>0</v>
      </c>
      <c r="SQ248" s="132">
        <f t="shared" si="333"/>
        <v>15000</v>
      </c>
      <c r="SR248" s="132">
        <f t="shared" si="334"/>
        <v>0</v>
      </c>
      <c r="SS248" s="132">
        <f t="shared" si="335"/>
        <v>1500</v>
      </c>
      <c r="ST248" s="132">
        <f t="shared" si="336"/>
        <v>7500</v>
      </c>
      <c r="SU248" s="132">
        <f t="shared" si="337"/>
        <v>15000</v>
      </c>
      <c r="SV248" s="131">
        <f t="shared" si="338"/>
        <v>192900</v>
      </c>
      <c r="SW248" s="132">
        <f t="shared" si="339"/>
        <v>86400</v>
      </c>
      <c r="SX248" s="132">
        <f t="shared" si="340"/>
        <v>12000</v>
      </c>
      <c r="SY248" s="132">
        <f t="shared" si="341"/>
        <v>40000</v>
      </c>
      <c r="SZ248" s="132">
        <f t="shared" si="342"/>
        <v>36500</v>
      </c>
      <c r="TA248" s="132">
        <f t="shared" si="343"/>
        <v>7500</v>
      </c>
      <c r="TB248" s="132">
        <f t="shared" si="344"/>
        <v>10000</v>
      </c>
      <c r="TC248" s="132">
        <f t="shared" si="345"/>
        <v>500</v>
      </c>
      <c r="TD248" s="132">
        <f t="shared" si="346"/>
        <v>0</v>
      </c>
      <c r="TE248" s="132">
        <f t="shared" si="347"/>
        <v>0</v>
      </c>
      <c r="TF248" s="132">
        <f t="shared" si="348"/>
        <v>0</v>
      </c>
      <c r="TG248" s="132">
        <f t="shared" si="349"/>
        <v>2000</v>
      </c>
      <c r="TH248" s="132">
        <f t="shared" si="350"/>
        <v>11000</v>
      </c>
      <c r="TI248" s="1"/>
      <c r="TJ248" s="131">
        <f t="shared" si="351"/>
        <v>965000</v>
      </c>
      <c r="TK248" s="131">
        <f t="shared" si="352"/>
        <v>965000</v>
      </c>
      <c r="TL248" s="131">
        <f t="shared" si="353"/>
        <v>860000</v>
      </c>
      <c r="TM248" s="132">
        <f t="shared" si="354"/>
        <v>860000</v>
      </c>
      <c r="TN248" s="132">
        <f t="shared" si="355"/>
        <v>0</v>
      </c>
      <c r="TO248" s="132">
        <f t="shared" si="356"/>
        <v>0</v>
      </c>
      <c r="TP248" s="132">
        <f t="shared" si="357"/>
        <v>0</v>
      </c>
      <c r="TQ248" s="131">
        <f t="shared" si="358"/>
        <v>105000</v>
      </c>
      <c r="TR248" s="131">
        <f t="shared" si="359"/>
        <v>0</v>
      </c>
      <c r="TS248" s="132">
        <f t="shared" si="360"/>
        <v>0</v>
      </c>
      <c r="TT248" s="132">
        <f t="shared" si="361"/>
        <v>0</v>
      </c>
      <c r="TU248" s="132">
        <f t="shared" si="362"/>
        <v>0</v>
      </c>
      <c r="TV248" s="132">
        <f t="shared" si="363"/>
        <v>0</v>
      </c>
      <c r="TW248" s="132">
        <f t="shared" si="364"/>
        <v>5000</v>
      </c>
      <c r="TX248" s="132">
        <f t="shared" si="365"/>
        <v>0</v>
      </c>
      <c r="TY248" s="131">
        <f t="shared" si="366"/>
        <v>100000</v>
      </c>
      <c r="TZ248" s="132">
        <f t="shared" si="367"/>
        <v>70000</v>
      </c>
      <c r="UA248" s="132">
        <f t="shared" si="368"/>
        <v>0</v>
      </c>
      <c r="UB248" s="132">
        <f t="shared" si="369"/>
        <v>30000</v>
      </c>
      <c r="UC248" s="132">
        <f t="shared" si="370"/>
        <v>0</v>
      </c>
      <c r="UD248" s="132">
        <f t="shared" si="371"/>
        <v>0</v>
      </c>
      <c r="UE248" s="132">
        <f t="shared" si="372"/>
        <v>0</v>
      </c>
      <c r="UF248" s="132">
        <f t="shared" si="373"/>
        <v>0</v>
      </c>
      <c r="UG248" s="132">
        <f t="shared" si="374"/>
        <v>0</v>
      </c>
      <c r="UH248" s="132">
        <f t="shared" si="375"/>
        <v>0</v>
      </c>
      <c r="UI248" s="132">
        <f t="shared" si="376"/>
        <v>0</v>
      </c>
      <c r="UJ248" s="132">
        <f t="shared" si="377"/>
        <v>0</v>
      </c>
      <c r="UK248" s="132">
        <f t="shared" si="378"/>
        <v>0</v>
      </c>
      <c r="UL248" s="132">
        <f t="shared" si="413"/>
        <v>965000</v>
      </c>
      <c r="UM248" s="131">
        <f t="shared" si="379"/>
        <v>965000</v>
      </c>
      <c r="UN248" s="131">
        <f t="shared" si="380"/>
        <v>965000</v>
      </c>
      <c r="UO248" s="131">
        <f t="shared" si="381"/>
        <v>860000</v>
      </c>
      <c r="UP248" s="132">
        <f t="shared" si="382"/>
        <v>860000</v>
      </c>
      <c r="UQ248" s="132">
        <f t="shared" si="383"/>
        <v>0</v>
      </c>
      <c r="UR248" s="132">
        <f t="shared" si="384"/>
        <v>0</v>
      </c>
      <c r="US248" s="132">
        <f t="shared" si="385"/>
        <v>0</v>
      </c>
      <c r="UT248" s="131">
        <f t="shared" si="386"/>
        <v>105000</v>
      </c>
      <c r="UU248" s="131">
        <f t="shared" si="387"/>
        <v>0</v>
      </c>
      <c r="UV248" s="132">
        <f t="shared" si="388"/>
        <v>0</v>
      </c>
      <c r="UW248" s="132">
        <f t="shared" si="389"/>
        <v>0</v>
      </c>
      <c r="UX248" s="132">
        <f t="shared" si="390"/>
        <v>0</v>
      </c>
      <c r="UY248" s="132">
        <f t="shared" si="391"/>
        <v>0</v>
      </c>
      <c r="UZ248" s="132">
        <f t="shared" si="392"/>
        <v>5000</v>
      </c>
      <c r="VA248" s="132">
        <f t="shared" si="393"/>
        <v>0</v>
      </c>
      <c r="VB248" s="131">
        <f t="shared" si="394"/>
        <v>100000</v>
      </c>
      <c r="VC248" s="132">
        <f t="shared" si="395"/>
        <v>70000</v>
      </c>
      <c r="VD248" s="132">
        <f t="shared" si="396"/>
        <v>0</v>
      </c>
      <c r="VE248" s="132">
        <f t="shared" si="397"/>
        <v>30000</v>
      </c>
      <c r="VF248" s="132">
        <f t="shared" si="398"/>
        <v>0</v>
      </c>
      <c r="VG248" s="132">
        <f t="shared" si="399"/>
        <v>0</v>
      </c>
      <c r="VH248" s="132">
        <f t="shared" si="400"/>
        <v>0</v>
      </c>
      <c r="VI248" s="132">
        <f t="shared" si="401"/>
        <v>0</v>
      </c>
      <c r="VJ248" s="132">
        <f t="shared" si="402"/>
        <v>0</v>
      </c>
      <c r="VK248" s="132">
        <f t="shared" si="403"/>
        <v>0</v>
      </c>
      <c r="VL248" s="132">
        <f t="shared" si="404"/>
        <v>0</v>
      </c>
      <c r="VM248" s="132">
        <f t="shared" si="405"/>
        <v>0</v>
      </c>
      <c r="VN248" s="132">
        <f t="shared" si="406"/>
        <v>0</v>
      </c>
      <c r="VP248" s="845" t="str">
        <f>IFERROR(HLOOKUP(F248,'Hodnocení '!$C$1:$JH$5,2,FALSE),0)</f>
        <v>Středisko sociálních služeb Chlumec nad Cidlinou o.p.s.</v>
      </c>
      <c r="VQ248" s="838"/>
      <c r="VR248" s="845" t="str">
        <f t="shared" si="414"/>
        <v>Obecně prospěšná společnost</v>
      </c>
      <c r="VS248" s="845" t="str">
        <f>IFERROR(HLOOKUP(F248,'Hodnocení '!$C$1:$JH$5,5,FALSE),0)</f>
        <v>Obce</v>
      </c>
      <c r="VT248" s="838" t="str">
        <f t="shared" si="415"/>
        <v>Obecně prospěšná společnost</v>
      </c>
      <c r="VU248" s="838">
        <f t="shared" si="416"/>
        <v>0</v>
      </c>
      <c r="VV248" s="838">
        <f t="shared" si="417"/>
        <v>80000</v>
      </c>
      <c r="VW248" s="838">
        <f t="shared" si="418"/>
        <v>0</v>
      </c>
      <c r="VX248" s="838"/>
      <c r="VY248" s="838">
        <f t="shared" si="419"/>
        <v>0</v>
      </c>
      <c r="VZ248" s="838">
        <f t="shared" si="420"/>
        <v>965000</v>
      </c>
      <c r="WA248" s="846">
        <f>IFERROR(HLOOKUP($F248,'Hodnocení '!$C$1:$JH$9,9,FALSE),0)</f>
        <v>965000</v>
      </c>
      <c r="WB248" s="846">
        <f>IF(IFERROR(HLOOKUP($F248,'Hodnocení '!$C$1:$JH$13,13,FALSE),0)&gt;WA248,WA248,IFERROR(HLOOKUP($F248,'Hodnocení '!$C$1:$JH$13,13,FALSE),0))</f>
        <v>965000</v>
      </c>
      <c r="WC248" s="846">
        <f>IFERROR(HLOOKUP($F248,'Hodnocení '!$C$1:$JH$155,155,FALSE),0)</f>
        <v>289530</v>
      </c>
      <c r="WD248" s="845"/>
      <c r="WE248" s="845"/>
      <c r="WF248" s="845" t="str">
        <f t="shared" si="407"/>
        <v>ANO</v>
      </c>
      <c r="WG248" s="849" t="str">
        <f t="shared" si="421"/>
        <v>Podpora služby je vyjádřena zařazením do sítě sociálních služeb v KHK a řešením financování služby</v>
      </c>
      <c r="WH248"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48" s="849" t="str">
        <f t="shared" si="421"/>
        <v>Návrh dotace je výsledkem projednání s ostatními zadavateli v rámci sítě služeb KHK</v>
      </c>
      <c r="WJ248" s="849" t="str">
        <f t="shared" si="421"/>
        <v>Bez komentáře</v>
      </c>
      <c r="WK248" s="31">
        <f t="shared" si="408"/>
        <v>0</v>
      </c>
      <c r="WL248" s="850">
        <f t="shared" si="409"/>
        <v>0</v>
      </c>
      <c r="WM248" s="849" t="str">
        <f t="shared" si="410"/>
        <v>V rámci sítě KHK se dlouhodobě řeší otázka navyšování úhrad a průběžně se monitoruje s vazbou na vykrytí vyrovnávací platby</v>
      </c>
      <c r="WN248" s="849">
        <f t="shared" si="411"/>
        <v>0</v>
      </c>
      <c r="WO248" s="849" t="str">
        <f t="shared" si="422"/>
        <v>bez komentáře</v>
      </c>
      <c r="WP248" s="849" t="str">
        <f t="shared" si="422"/>
        <v>bez komentáře</v>
      </c>
      <c r="WQ248" s="849" t="str">
        <f t="shared" si="422"/>
        <v>Konečná výše dotace z rozpočtu KHK bude řešena v návaznosti na řešení podílů jednotlivých zadavatelů.</v>
      </c>
      <c r="WR248" s="849" t="str">
        <f t="shared" si="422"/>
        <v>Konečná výše podpory ze stran obcí bude řešena v součinnosti s jednotlivými zadavateli v průběhu roku.</v>
      </c>
      <c r="WS248" s="849" t="str">
        <f t="shared" si="422"/>
        <v>bez komentáře</v>
      </c>
      <c r="WT248" s="849" t="str">
        <f t="shared" si="422"/>
        <v>bez komentáře</v>
      </c>
      <c r="WU248" s="845"/>
    </row>
    <row r="249" spans="1:619" s="128" customFormat="1" x14ac:dyDescent="0.25">
      <c r="A249" s="128" t="str">
        <f>VLOOKUP(F249,'Výpočet VP 2020'!$D$324:$I$588,6,FALSE)</f>
        <v>Je v síti</v>
      </c>
      <c r="B249" s="128" t="s">
        <v>977</v>
      </c>
      <c r="C249" s="128">
        <v>25998846</v>
      </c>
      <c r="D249" s="128" t="s">
        <v>978</v>
      </c>
      <c r="E249" s="128" t="s">
        <v>216</v>
      </c>
      <c r="F249" s="128">
        <v>5175408</v>
      </c>
      <c r="G249" s="128" t="s">
        <v>328</v>
      </c>
      <c r="H249" s="128" t="s">
        <v>218</v>
      </c>
      <c r="I249" s="128" t="s">
        <v>977</v>
      </c>
      <c r="J249" s="129">
        <v>39083</v>
      </c>
      <c r="L249" s="128" t="s">
        <v>220</v>
      </c>
      <c r="AP249" s="128" t="s">
        <v>336</v>
      </c>
      <c r="AQ249" s="128">
        <v>70</v>
      </c>
      <c r="AR249" s="128">
        <v>70</v>
      </c>
      <c r="AS249" s="128">
        <v>91</v>
      </c>
      <c r="AT249" s="128">
        <v>85</v>
      </c>
      <c r="AU249" s="128">
        <v>90</v>
      </c>
      <c r="BJ249" s="128">
        <v>2700</v>
      </c>
      <c r="BL249" s="128" t="s">
        <v>545</v>
      </c>
      <c r="BM249" s="128" t="s">
        <v>325</v>
      </c>
      <c r="BN249" s="128" t="s">
        <v>364</v>
      </c>
      <c r="BO249" s="128">
        <v>0</v>
      </c>
      <c r="BP249" s="128">
        <v>0</v>
      </c>
      <c r="BQ249" s="128">
        <v>0</v>
      </c>
      <c r="BR249" s="128">
        <v>0</v>
      </c>
      <c r="BS249" s="128">
        <v>0</v>
      </c>
      <c r="BT249" s="128">
        <v>21</v>
      </c>
      <c r="BU249" s="128">
        <v>28</v>
      </c>
      <c r="BV249" s="128">
        <v>6</v>
      </c>
      <c r="BW249" s="128">
        <v>0</v>
      </c>
      <c r="BX249" s="128">
        <v>30</v>
      </c>
      <c r="BY249" s="128">
        <v>21</v>
      </c>
      <c r="BZ249" s="128">
        <v>28</v>
      </c>
      <c r="CA249" s="128">
        <v>6</v>
      </c>
      <c r="CB249" s="128">
        <v>0</v>
      </c>
      <c r="CC249" s="128">
        <v>30</v>
      </c>
      <c r="CD249" s="128">
        <v>0</v>
      </c>
      <c r="CE249" s="128">
        <v>85</v>
      </c>
      <c r="CF249" s="128">
        <v>85</v>
      </c>
      <c r="CG249" s="128">
        <v>0</v>
      </c>
      <c r="CH249" s="128">
        <v>0</v>
      </c>
      <c r="CI249" s="128">
        <v>0</v>
      </c>
      <c r="CJ249" s="128">
        <v>0</v>
      </c>
      <c r="CK249" s="128">
        <v>0</v>
      </c>
      <c r="CL249" s="128">
        <v>0</v>
      </c>
      <c r="CM249" s="128">
        <v>23</v>
      </c>
      <c r="CN249" s="128">
        <v>25</v>
      </c>
      <c r="CO249" s="128">
        <v>7</v>
      </c>
      <c r="CP249" s="128">
        <v>0</v>
      </c>
      <c r="CQ249" s="128">
        <v>35</v>
      </c>
      <c r="CR249" s="128">
        <v>23</v>
      </c>
      <c r="CS249" s="128">
        <v>25</v>
      </c>
      <c r="CT249" s="128">
        <v>7</v>
      </c>
      <c r="CU249" s="128">
        <v>0</v>
      </c>
      <c r="CV249" s="128">
        <v>35</v>
      </c>
      <c r="CW249" s="128">
        <v>0</v>
      </c>
      <c r="CX249" s="128">
        <v>90</v>
      </c>
      <c r="CY249" s="128">
        <v>90</v>
      </c>
      <c r="CZ249" s="128">
        <v>0</v>
      </c>
      <c r="EK249" s="128">
        <v>1</v>
      </c>
      <c r="EL249" s="128">
        <v>0.25</v>
      </c>
      <c r="EM249" s="128">
        <v>0.25</v>
      </c>
      <c r="EN249" s="128">
        <v>145000</v>
      </c>
      <c r="EO249" s="128">
        <v>120000</v>
      </c>
      <c r="EP249" s="128">
        <v>4</v>
      </c>
      <c r="EQ249" s="128">
        <v>2</v>
      </c>
      <c r="ER249" s="128">
        <v>2</v>
      </c>
      <c r="ES249" s="128">
        <v>760000</v>
      </c>
      <c r="ET249" s="128">
        <v>620000</v>
      </c>
      <c r="FO249" s="128">
        <v>1</v>
      </c>
      <c r="FP249" s="128">
        <v>0.25</v>
      </c>
      <c r="FQ249" s="128">
        <v>0.25</v>
      </c>
      <c r="FR249" s="128">
        <v>145000</v>
      </c>
      <c r="FS249" s="128">
        <v>120000</v>
      </c>
      <c r="KG249" s="128">
        <v>0</v>
      </c>
      <c r="KI249" s="128">
        <v>2.25</v>
      </c>
      <c r="KJ249" s="128">
        <v>0</v>
      </c>
      <c r="KK249" s="128">
        <v>0</v>
      </c>
      <c r="KL249" s="128">
        <v>0</v>
      </c>
      <c r="KM249" s="128">
        <v>2.25</v>
      </c>
      <c r="KN249" s="128">
        <v>1050000</v>
      </c>
      <c r="KO249" s="128">
        <v>860000</v>
      </c>
      <c r="KP249" s="128">
        <v>860000</v>
      </c>
      <c r="KT249" s="128">
        <v>0</v>
      </c>
      <c r="KU249" s="128">
        <v>0</v>
      </c>
      <c r="KV249" s="128">
        <v>0</v>
      </c>
      <c r="KZ249" s="128">
        <v>0</v>
      </c>
      <c r="LA249" s="128">
        <v>0</v>
      </c>
      <c r="LB249" s="128">
        <v>0</v>
      </c>
      <c r="LF249" s="128">
        <v>56000</v>
      </c>
      <c r="LG249" s="128">
        <v>0</v>
      </c>
      <c r="LH249" s="128">
        <v>0</v>
      </c>
      <c r="LL249" s="128">
        <v>0</v>
      </c>
      <c r="LM249" s="128">
        <v>0</v>
      </c>
      <c r="LN249" s="128">
        <v>0</v>
      </c>
      <c r="LR249" s="128">
        <v>10000</v>
      </c>
      <c r="LS249" s="128">
        <v>0</v>
      </c>
      <c r="LT249" s="128">
        <v>0</v>
      </c>
      <c r="LX249" s="128">
        <v>0</v>
      </c>
      <c r="LY249" s="128">
        <v>0</v>
      </c>
      <c r="LZ249" s="128">
        <v>0</v>
      </c>
      <c r="MD249" s="128">
        <v>1500</v>
      </c>
      <c r="ME249" s="128">
        <v>0</v>
      </c>
      <c r="MF249" s="128">
        <v>0</v>
      </c>
      <c r="MJ249" s="128">
        <v>67500</v>
      </c>
      <c r="MK249" s="128">
        <v>40000</v>
      </c>
      <c r="ML249" s="128">
        <v>40000</v>
      </c>
      <c r="MP249" s="128">
        <v>10000</v>
      </c>
      <c r="MQ249" s="128">
        <v>0</v>
      </c>
      <c r="MR249" s="128">
        <v>0</v>
      </c>
      <c r="MV249" s="128">
        <v>9600</v>
      </c>
      <c r="MW249" s="128">
        <v>7000</v>
      </c>
      <c r="MX249" s="128">
        <v>7000</v>
      </c>
      <c r="NB249" s="128">
        <v>12000</v>
      </c>
      <c r="NC249" s="128">
        <v>0</v>
      </c>
      <c r="ND249" s="128">
        <v>0</v>
      </c>
      <c r="NH249" s="128">
        <v>40000</v>
      </c>
      <c r="NI249" s="128">
        <v>30000</v>
      </c>
      <c r="NJ249" s="128">
        <v>30000</v>
      </c>
      <c r="NN249" s="128">
        <v>36500</v>
      </c>
      <c r="NO249" s="128">
        <v>0</v>
      </c>
      <c r="NP249" s="128">
        <v>0</v>
      </c>
      <c r="NT249" s="128">
        <v>7500</v>
      </c>
      <c r="NU249" s="128">
        <v>0</v>
      </c>
      <c r="NV249" s="128">
        <v>0</v>
      </c>
      <c r="NZ249" s="128">
        <v>10000</v>
      </c>
      <c r="OA249" s="128">
        <v>0</v>
      </c>
      <c r="OB249" s="128">
        <v>0</v>
      </c>
      <c r="OF249" s="128">
        <v>500</v>
      </c>
      <c r="OG249" s="128">
        <v>0</v>
      </c>
      <c r="OH249" s="128">
        <v>0</v>
      </c>
      <c r="OL249" s="128">
        <v>0</v>
      </c>
      <c r="OM249" s="128">
        <v>0</v>
      </c>
      <c r="ON249" s="128">
        <v>0</v>
      </c>
      <c r="OR249" s="128">
        <v>0</v>
      </c>
      <c r="OS249" s="128">
        <v>0</v>
      </c>
      <c r="OT249" s="128">
        <v>0</v>
      </c>
      <c r="OX249" s="128">
        <v>0</v>
      </c>
      <c r="OY249" s="128">
        <v>0</v>
      </c>
      <c r="OZ249" s="128">
        <v>0</v>
      </c>
      <c r="PD249" s="128">
        <v>2000</v>
      </c>
      <c r="PE249" s="128">
        <v>0</v>
      </c>
      <c r="PF249" s="128">
        <v>0</v>
      </c>
      <c r="PJ249" s="128">
        <v>11000</v>
      </c>
      <c r="PK249" s="128">
        <v>0</v>
      </c>
      <c r="PL249" s="128">
        <v>0</v>
      </c>
      <c r="PP249" s="128">
        <v>1324100</v>
      </c>
      <c r="PQ249" s="128">
        <v>937000</v>
      </c>
      <c r="PR249" s="128">
        <v>937000</v>
      </c>
      <c r="PS249" s="128">
        <v>100</v>
      </c>
      <c r="PT249" s="128">
        <v>100</v>
      </c>
      <c r="PV249" s="128">
        <v>775422</v>
      </c>
      <c r="PX249" s="128">
        <v>260780</v>
      </c>
      <c r="PY249" s="128">
        <v>601762</v>
      </c>
      <c r="PZ249" s="128">
        <v>937000</v>
      </c>
      <c r="QA249" s="128">
        <v>0</v>
      </c>
      <c r="QB249" s="128">
        <v>0</v>
      </c>
      <c r="QC249" s="128">
        <v>0</v>
      </c>
      <c r="QD249" s="128">
        <v>545902</v>
      </c>
      <c r="QE249" s="128">
        <v>500000</v>
      </c>
      <c r="QF249" s="128">
        <v>102100</v>
      </c>
      <c r="QG249" s="128">
        <v>0</v>
      </c>
      <c r="QH249" s="128">
        <v>0</v>
      </c>
      <c r="QI249" s="128">
        <v>0</v>
      </c>
      <c r="QJ249" s="128">
        <v>278352</v>
      </c>
      <c r="QK249" s="128">
        <v>275000</v>
      </c>
      <c r="QL249" s="128">
        <v>285000</v>
      </c>
      <c r="QN249" s="128">
        <v>0</v>
      </c>
      <c r="QO249" s="128">
        <v>0</v>
      </c>
      <c r="QP249" s="128">
        <v>0</v>
      </c>
      <c r="RH249" s="128">
        <f t="shared" si="412"/>
        <v>1039100</v>
      </c>
      <c r="RI249" s="128">
        <v>0</v>
      </c>
      <c r="RM249" s="128" t="s">
        <v>220</v>
      </c>
      <c r="RU249" s="130"/>
      <c r="RV249" s="130"/>
      <c r="RW249" s="130"/>
      <c r="RX249" s="130"/>
      <c r="SF249" s="128">
        <f t="shared" si="322"/>
        <v>5175408</v>
      </c>
      <c r="SG249" s="131">
        <f t="shared" si="323"/>
        <v>1324100</v>
      </c>
      <c r="SH249" s="131">
        <f t="shared" si="324"/>
        <v>1324100</v>
      </c>
      <c r="SI249" s="131">
        <f t="shared" si="325"/>
        <v>1106000</v>
      </c>
      <c r="SJ249" s="132">
        <f t="shared" si="326"/>
        <v>1050000</v>
      </c>
      <c r="SK249" s="132">
        <f t="shared" si="327"/>
        <v>0</v>
      </c>
      <c r="SL249" s="132">
        <f t="shared" si="328"/>
        <v>0</v>
      </c>
      <c r="SM249" s="132">
        <f t="shared" si="329"/>
        <v>56000</v>
      </c>
      <c r="SN249" s="131">
        <f t="shared" si="330"/>
        <v>218100</v>
      </c>
      <c r="SO249" s="131">
        <f t="shared" si="331"/>
        <v>10000</v>
      </c>
      <c r="SP249" s="132">
        <f t="shared" si="332"/>
        <v>0</v>
      </c>
      <c r="SQ249" s="132">
        <f t="shared" si="333"/>
        <v>10000</v>
      </c>
      <c r="SR249" s="132">
        <f t="shared" si="334"/>
        <v>0</v>
      </c>
      <c r="SS249" s="132">
        <f t="shared" si="335"/>
        <v>1500</v>
      </c>
      <c r="ST249" s="132">
        <f t="shared" si="336"/>
        <v>67500</v>
      </c>
      <c r="SU249" s="132">
        <f t="shared" si="337"/>
        <v>10000</v>
      </c>
      <c r="SV249" s="131">
        <f t="shared" si="338"/>
        <v>116100</v>
      </c>
      <c r="SW249" s="132">
        <f t="shared" si="339"/>
        <v>9600</v>
      </c>
      <c r="SX249" s="132">
        <f t="shared" si="340"/>
        <v>12000</v>
      </c>
      <c r="SY249" s="132">
        <f t="shared" si="341"/>
        <v>40000</v>
      </c>
      <c r="SZ249" s="132">
        <f t="shared" si="342"/>
        <v>36500</v>
      </c>
      <c r="TA249" s="132">
        <f t="shared" si="343"/>
        <v>7500</v>
      </c>
      <c r="TB249" s="132">
        <f t="shared" si="344"/>
        <v>10000</v>
      </c>
      <c r="TC249" s="132">
        <f t="shared" si="345"/>
        <v>500</v>
      </c>
      <c r="TD249" s="132">
        <f t="shared" si="346"/>
        <v>0</v>
      </c>
      <c r="TE249" s="132">
        <f t="shared" si="347"/>
        <v>0</v>
      </c>
      <c r="TF249" s="132">
        <f t="shared" si="348"/>
        <v>0</v>
      </c>
      <c r="TG249" s="132">
        <f t="shared" si="349"/>
        <v>2000</v>
      </c>
      <c r="TH249" s="132">
        <f t="shared" si="350"/>
        <v>11000</v>
      </c>
      <c r="TI249" s="1"/>
      <c r="TJ249" s="131">
        <f t="shared" si="351"/>
        <v>937000</v>
      </c>
      <c r="TK249" s="131">
        <f t="shared" si="352"/>
        <v>937000</v>
      </c>
      <c r="TL249" s="131">
        <f t="shared" si="353"/>
        <v>860000</v>
      </c>
      <c r="TM249" s="132">
        <f t="shared" si="354"/>
        <v>860000</v>
      </c>
      <c r="TN249" s="132">
        <f t="shared" si="355"/>
        <v>0</v>
      </c>
      <c r="TO249" s="132">
        <f t="shared" si="356"/>
        <v>0</v>
      </c>
      <c r="TP249" s="132">
        <f t="shared" si="357"/>
        <v>0</v>
      </c>
      <c r="TQ249" s="131">
        <f t="shared" si="358"/>
        <v>77000</v>
      </c>
      <c r="TR249" s="131">
        <f t="shared" si="359"/>
        <v>0</v>
      </c>
      <c r="TS249" s="132">
        <f t="shared" si="360"/>
        <v>0</v>
      </c>
      <c r="TT249" s="132">
        <f t="shared" si="361"/>
        <v>0</v>
      </c>
      <c r="TU249" s="132">
        <f t="shared" si="362"/>
        <v>0</v>
      </c>
      <c r="TV249" s="132">
        <f t="shared" si="363"/>
        <v>0</v>
      </c>
      <c r="TW249" s="132">
        <f t="shared" si="364"/>
        <v>40000</v>
      </c>
      <c r="TX249" s="132">
        <f t="shared" si="365"/>
        <v>0</v>
      </c>
      <c r="TY249" s="131">
        <f t="shared" si="366"/>
        <v>37000</v>
      </c>
      <c r="TZ249" s="132">
        <f t="shared" si="367"/>
        <v>7000</v>
      </c>
      <c r="UA249" s="132">
        <f t="shared" si="368"/>
        <v>0</v>
      </c>
      <c r="UB249" s="132">
        <f t="shared" si="369"/>
        <v>30000</v>
      </c>
      <c r="UC249" s="132">
        <f t="shared" si="370"/>
        <v>0</v>
      </c>
      <c r="UD249" s="132">
        <f t="shared" si="371"/>
        <v>0</v>
      </c>
      <c r="UE249" s="132">
        <f t="shared" si="372"/>
        <v>0</v>
      </c>
      <c r="UF249" s="132">
        <f t="shared" si="373"/>
        <v>0</v>
      </c>
      <c r="UG249" s="132">
        <f t="shared" si="374"/>
        <v>0</v>
      </c>
      <c r="UH249" s="132">
        <f t="shared" si="375"/>
        <v>0</v>
      </c>
      <c r="UI249" s="132">
        <f t="shared" si="376"/>
        <v>0</v>
      </c>
      <c r="UJ249" s="132">
        <f t="shared" si="377"/>
        <v>0</v>
      </c>
      <c r="UK249" s="132">
        <f t="shared" si="378"/>
        <v>0</v>
      </c>
      <c r="UL249" s="132">
        <f t="shared" si="413"/>
        <v>937000</v>
      </c>
      <c r="UM249" s="131">
        <f t="shared" si="379"/>
        <v>937000</v>
      </c>
      <c r="UN249" s="131">
        <f t="shared" si="380"/>
        <v>937000</v>
      </c>
      <c r="UO249" s="131">
        <f t="shared" si="381"/>
        <v>860000</v>
      </c>
      <c r="UP249" s="132">
        <f t="shared" si="382"/>
        <v>860000</v>
      </c>
      <c r="UQ249" s="132">
        <f t="shared" si="383"/>
        <v>0</v>
      </c>
      <c r="UR249" s="132">
        <f t="shared" si="384"/>
        <v>0</v>
      </c>
      <c r="US249" s="132">
        <f t="shared" si="385"/>
        <v>0</v>
      </c>
      <c r="UT249" s="131">
        <f t="shared" si="386"/>
        <v>77000</v>
      </c>
      <c r="UU249" s="131">
        <f t="shared" si="387"/>
        <v>0</v>
      </c>
      <c r="UV249" s="132">
        <f t="shared" si="388"/>
        <v>0</v>
      </c>
      <c r="UW249" s="132">
        <f t="shared" si="389"/>
        <v>0</v>
      </c>
      <c r="UX249" s="132">
        <f t="shared" si="390"/>
        <v>0</v>
      </c>
      <c r="UY249" s="132">
        <f t="shared" si="391"/>
        <v>0</v>
      </c>
      <c r="UZ249" s="132">
        <f t="shared" si="392"/>
        <v>40000</v>
      </c>
      <c r="VA249" s="132">
        <f t="shared" si="393"/>
        <v>0</v>
      </c>
      <c r="VB249" s="131">
        <f t="shared" si="394"/>
        <v>37000</v>
      </c>
      <c r="VC249" s="132">
        <f t="shared" si="395"/>
        <v>7000</v>
      </c>
      <c r="VD249" s="132">
        <f t="shared" si="396"/>
        <v>0</v>
      </c>
      <c r="VE249" s="132">
        <f t="shared" si="397"/>
        <v>30000</v>
      </c>
      <c r="VF249" s="132">
        <f t="shared" si="398"/>
        <v>0</v>
      </c>
      <c r="VG249" s="132">
        <f t="shared" si="399"/>
        <v>0</v>
      </c>
      <c r="VH249" s="132">
        <f t="shared" si="400"/>
        <v>0</v>
      </c>
      <c r="VI249" s="132">
        <f t="shared" si="401"/>
        <v>0</v>
      </c>
      <c r="VJ249" s="132">
        <f t="shared" si="402"/>
        <v>0</v>
      </c>
      <c r="VK249" s="132">
        <f t="shared" si="403"/>
        <v>0</v>
      </c>
      <c r="VL249" s="132">
        <f t="shared" si="404"/>
        <v>0</v>
      </c>
      <c r="VM249" s="132">
        <f t="shared" si="405"/>
        <v>0</v>
      </c>
      <c r="VN249" s="132">
        <f t="shared" si="406"/>
        <v>0</v>
      </c>
      <c r="VP249" s="845" t="str">
        <f>IFERROR(HLOOKUP(F249,'Hodnocení '!$C$1:$JH$5,2,FALSE),0)</f>
        <v>Středisko sociálních služeb Chlumec nad Cidlinou o.p.s.</v>
      </c>
      <c r="VQ249" s="838"/>
      <c r="VR249" s="845" t="str">
        <f t="shared" si="414"/>
        <v>Obecně prospěšná společnost</v>
      </c>
      <c r="VS249" s="845" t="str">
        <f>IFERROR(HLOOKUP(F249,'Hodnocení '!$C$1:$JH$5,5,FALSE),0)</f>
        <v>Obce</v>
      </c>
      <c r="VT249" s="838" t="str">
        <f t="shared" si="415"/>
        <v>Obecně prospěšná společnost</v>
      </c>
      <c r="VU249" s="838">
        <f t="shared" si="416"/>
        <v>0</v>
      </c>
      <c r="VV249" s="838">
        <f t="shared" si="417"/>
        <v>285000</v>
      </c>
      <c r="VW249" s="838">
        <f t="shared" si="418"/>
        <v>0</v>
      </c>
      <c r="VX249" s="838"/>
      <c r="VY249" s="838">
        <f t="shared" si="419"/>
        <v>0</v>
      </c>
      <c r="VZ249" s="838">
        <f t="shared" si="420"/>
        <v>937000</v>
      </c>
      <c r="WA249" s="846">
        <f>IFERROR(HLOOKUP($F249,'Hodnocení '!$C$1:$JH$9,9,FALSE),0)</f>
        <v>937000</v>
      </c>
      <c r="WB249" s="846">
        <f>IF(IFERROR(HLOOKUP($F249,'Hodnocení '!$C$1:$JH$13,13,FALSE),0)&gt;WA249,WA249,IFERROR(HLOOKUP($F249,'Hodnocení '!$C$1:$JH$13,13,FALSE),0))</f>
        <v>937000</v>
      </c>
      <c r="WC249" s="846">
        <f>IFERROR(HLOOKUP($F249,'Hodnocení '!$C$1:$JH$155,155,FALSE),0)</f>
        <v>117160</v>
      </c>
      <c r="WD249" s="845"/>
      <c r="WE249" s="845"/>
      <c r="WF249" s="845" t="str">
        <f t="shared" si="407"/>
        <v>ANO</v>
      </c>
      <c r="WG249" s="849" t="str">
        <f t="shared" si="421"/>
        <v>Podpora služby je vyjádřena zařazením do sítě sociálních služeb v KHK a řešením financování služby</v>
      </c>
      <c r="WH249"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49" s="849" t="str">
        <f t="shared" si="421"/>
        <v>Návrh dotace je výsledkem projednání s ostatními zadavateli v rámci sítě služeb KHK</v>
      </c>
      <c r="WJ249" s="849" t="str">
        <f t="shared" si="421"/>
        <v>Bez komentáře</v>
      </c>
      <c r="WK249" s="31">
        <f t="shared" si="408"/>
        <v>0</v>
      </c>
      <c r="WL249" s="850">
        <f t="shared" si="409"/>
        <v>0</v>
      </c>
      <c r="WM249" s="849" t="str">
        <f t="shared" si="410"/>
        <v>V rámci sítě KHK se dlouhodobě řeší otázka navyšování úhrad a průběžně se monitoruje s vazbou na vykrytí vyrovnávací platby</v>
      </c>
      <c r="WN249" s="849">
        <f t="shared" si="411"/>
        <v>0</v>
      </c>
      <c r="WO249" s="849" t="str">
        <f t="shared" si="422"/>
        <v>bez komentáře</v>
      </c>
      <c r="WP249" s="849" t="str">
        <f t="shared" si="422"/>
        <v>bez komentáře</v>
      </c>
      <c r="WQ249" s="849" t="str">
        <f t="shared" si="422"/>
        <v>Konečná výše dotace z rozpočtu KHK bude řešena v návaznosti na řešení podílů jednotlivých zadavatelů.</v>
      </c>
      <c r="WR249" s="849" t="str">
        <f t="shared" si="422"/>
        <v>Konečná výše podpory ze stran obcí bude řešena v součinnosti s jednotlivými zadavateli v průběhu roku.</v>
      </c>
      <c r="WS249" s="849" t="str">
        <f t="shared" si="422"/>
        <v>bez komentáře</v>
      </c>
      <c r="WT249" s="849" t="str">
        <f t="shared" si="422"/>
        <v>bez komentáře</v>
      </c>
      <c r="WU249" s="845"/>
    </row>
    <row r="250" spans="1:619" s="128" customFormat="1" x14ac:dyDescent="0.25">
      <c r="A250" s="128" t="str">
        <f>VLOOKUP(F250,'Výpočet VP 2020'!$D$324:$I$588,6,FALSE)</f>
        <v>Je v síti</v>
      </c>
      <c r="B250" s="128" t="s">
        <v>979</v>
      </c>
      <c r="C250" s="128">
        <v>25975498</v>
      </c>
      <c r="D250" s="128" t="s">
        <v>980</v>
      </c>
      <c r="E250" s="128" t="s">
        <v>216</v>
      </c>
      <c r="F250" s="128">
        <v>1792038</v>
      </c>
      <c r="G250" s="128" t="s">
        <v>300</v>
      </c>
      <c r="H250" s="128" t="s">
        <v>230</v>
      </c>
      <c r="I250" s="128" t="s">
        <v>981</v>
      </c>
      <c r="J250" s="129">
        <v>39083</v>
      </c>
      <c r="L250" s="128" t="s">
        <v>220</v>
      </c>
      <c r="X250" s="128" t="s">
        <v>320</v>
      </c>
      <c r="Z250" s="128">
        <v>5</v>
      </c>
      <c r="AA250" s="128">
        <v>12</v>
      </c>
      <c r="AB250" s="128">
        <v>60</v>
      </c>
      <c r="AC250" s="128">
        <v>50</v>
      </c>
      <c r="AD250" s="128">
        <v>50</v>
      </c>
      <c r="AO250" s="128" t="s">
        <v>982</v>
      </c>
      <c r="AP250" s="128" t="s">
        <v>320</v>
      </c>
      <c r="AQ250" s="128">
        <v>5</v>
      </c>
      <c r="AR250" s="128">
        <v>30</v>
      </c>
      <c r="AS250" s="128">
        <v>38</v>
      </c>
      <c r="AT250" s="128">
        <v>40</v>
      </c>
      <c r="AU250" s="128">
        <v>40</v>
      </c>
      <c r="BK250" s="128" t="s">
        <v>982</v>
      </c>
      <c r="BL250" s="128" t="s">
        <v>983</v>
      </c>
      <c r="BM250" s="128" t="s">
        <v>984</v>
      </c>
      <c r="BN250" s="128" t="s">
        <v>341</v>
      </c>
      <c r="EK250" s="128">
        <v>3</v>
      </c>
      <c r="EL250" s="128">
        <v>1</v>
      </c>
      <c r="EM250" s="128">
        <v>1</v>
      </c>
      <c r="EN250" s="128">
        <v>520000</v>
      </c>
      <c r="EO250" s="128">
        <v>455000</v>
      </c>
      <c r="EP250" s="128">
        <v>2</v>
      </c>
      <c r="EQ250" s="128">
        <v>0.75</v>
      </c>
      <c r="ER250" s="128">
        <v>0.75</v>
      </c>
      <c r="ES250" s="128">
        <v>355000</v>
      </c>
      <c r="ET250" s="128">
        <v>280000</v>
      </c>
      <c r="FO250" s="128">
        <v>2</v>
      </c>
      <c r="FP250" s="128">
        <v>0.3</v>
      </c>
      <c r="FQ250" s="128">
        <v>0</v>
      </c>
      <c r="FR250" s="128">
        <v>182000</v>
      </c>
      <c r="FS250" s="128">
        <v>182000</v>
      </c>
      <c r="KG250" s="128">
        <v>0</v>
      </c>
      <c r="KI250" s="128">
        <v>1.75</v>
      </c>
      <c r="KJ250" s="128">
        <v>0</v>
      </c>
      <c r="KK250" s="128">
        <v>0</v>
      </c>
      <c r="KL250" s="128">
        <v>0</v>
      </c>
      <c r="KM250" s="128">
        <v>1.75</v>
      </c>
      <c r="KN250" s="128">
        <v>1057000</v>
      </c>
      <c r="KO250" s="128">
        <v>917000</v>
      </c>
      <c r="KP250" s="128">
        <v>917000</v>
      </c>
      <c r="KT250" s="128">
        <v>0</v>
      </c>
      <c r="KU250" s="128">
        <v>0</v>
      </c>
      <c r="KV250" s="128">
        <v>0</v>
      </c>
      <c r="KZ250" s="128">
        <v>0</v>
      </c>
      <c r="LA250" s="128">
        <v>0</v>
      </c>
      <c r="LB250" s="128">
        <v>0</v>
      </c>
      <c r="LF250" s="128">
        <v>0</v>
      </c>
      <c r="LG250" s="128">
        <v>0</v>
      </c>
      <c r="LH250" s="128">
        <v>0</v>
      </c>
      <c r="LL250" s="128">
        <v>3000</v>
      </c>
      <c r="LM250" s="128">
        <v>2000</v>
      </c>
      <c r="LN250" s="128">
        <v>2000</v>
      </c>
      <c r="LR250" s="128">
        <v>10000</v>
      </c>
      <c r="LS250" s="128">
        <v>5000</v>
      </c>
      <c r="LT250" s="128">
        <v>5000</v>
      </c>
      <c r="LX250" s="128">
        <v>0</v>
      </c>
      <c r="LY250" s="128">
        <v>0</v>
      </c>
      <c r="LZ250" s="128">
        <v>0</v>
      </c>
      <c r="MD250" s="128">
        <v>7000</v>
      </c>
      <c r="ME250" s="128">
        <v>7000</v>
      </c>
      <c r="MF250" s="128">
        <v>7000</v>
      </c>
      <c r="MJ250" s="128">
        <v>0</v>
      </c>
      <c r="MK250" s="128">
        <v>0</v>
      </c>
      <c r="ML250" s="128">
        <v>0</v>
      </c>
      <c r="MP250" s="128">
        <v>5000</v>
      </c>
      <c r="MQ250" s="128">
        <v>2000</v>
      </c>
      <c r="MR250" s="128">
        <v>2000</v>
      </c>
      <c r="MV250" s="128">
        <v>8000</v>
      </c>
      <c r="MW250" s="128">
        <v>8000</v>
      </c>
      <c r="MX250" s="128">
        <v>8000</v>
      </c>
      <c r="NB250" s="128">
        <v>10000</v>
      </c>
      <c r="NC250" s="128">
        <v>5000</v>
      </c>
      <c r="ND250" s="128">
        <v>5000</v>
      </c>
      <c r="NH250" s="128">
        <v>21000</v>
      </c>
      <c r="NI250" s="128">
        <v>14000</v>
      </c>
      <c r="NJ250" s="128">
        <v>14000</v>
      </c>
      <c r="NN250" s="128">
        <v>40000</v>
      </c>
      <c r="NO250" s="128">
        <v>25000</v>
      </c>
      <c r="NP250" s="128">
        <v>25000</v>
      </c>
      <c r="NT250" s="128">
        <v>16000</v>
      </c>
      <c r="NU250" s="128">
        <v>5000</v>
      </c>
      <c r="NV250" s="128">
        <v>5000</v>
      </c>
      <c r="NZ250" s="128">
        <v>5000</v>
      </c>
      <c r="OA250" s="128">
        <v>3000</v>
      </c>
      <c r="OB250" s="128">
        <v>3000</v>
      </c>
      <c r="OF250" s="128">
        <v>10000</v>
      </c>
      <c r="OG250" s="128">
        <v>5000</v>
      </c>
      <c r="OH250" s="128">
        <v>5000</v>
      </c>
      <c r="OL250" s="128">
        <v>0</v>
      </c>
      <c r="OM250" s="128">
        <v>0</v>
      </c>
      <c r="ON250" s="128">
        <v>0</v>
      </c>
      <c r="OR250" s="128">
        <v>0</v>
      </c>
      <c r="OS250" s="128">
        <v>0</v>
      </c>
      <c r="OT250" s="128">
        <v>0</v>
      </c>
      <c r="OX250" s="128">
        <v>105000</v>
      </c>
      <c r="OY250" s="128">
        <v>27000</v>
      </c>
      <c r="OZ250" s="128">
        <v>27000</v>
      </c>
      <c r="PD250" s="128">
        <v>0</v>
      </c>
      <c r="PE250" s="128">
        <v>0</v>
      </c>
      <c r="PF250" s="128">
        <v>0</v>
      </c>
      <c r="PJ250" s="128">
        <v>3000</v>
      </c>
      <c r="PK250" s="128">
        <v>0</v>
      </c>
      <c r="PL250" s="128">
        <v>0</v>
      </c>
      <c r="PP250" s="128">
        <v>1300000</v>
      </c>
      <c r="PQ250" s="128">
        <v>1025000</v>
      </c>
      <c r="PR250" s="128">
        <v>1025000</v>
      </c>
      <c r="PS250" s="128">
        <v>100</v>
      </c>
      <c r="PT250" s="128">
        <v>100</v>
      </c>
      <c r="PX250" s="128">
        <v>847644</v>
      </c>
      <c r="PY250" s="128">
        <v>880000</v>
      </c>
      <c r="PZ250" s="128">
        <v>1025000</v>
      </c>
      <c r="QA250" s="128">
        <v>118790</v>
      </c>
      <c r="QB250" s="128">
        <v>116247</v>
      </c>
      <c r="QC250" s="128">
        <v>30000</v>
      </c>
      <c r="QD250" s="128">
        <v>0</v>
      </c>
      <c r="QE250" s="128">
        <v>0</v>
      </c>
      <c r="QF250" s="128">
        <v>0</v>
      </c>
      <c r="QG250" s="128">
        <v>0</v>
      </c>
      <c r="QH250" s="128">
        <v>0</v>
      </c>
      <c r="QI250" s="128">
        <v>0</v>
      </c>
      <c r="QJ250" s="128">
        <v>0</v>
      </c>
      <c r="QK250" s="128">
        <v>0</v>
      </c>
      <c r="QL250" s="128">
        <v>0</v>
      </c>
      <c r="QN250" s="128">
        <v>0</v>
      </c>
      <c r="QO250" s="128">
        <v>0</v>
      </c>
      <c r="QP250" s="128">
        <v>0</v>
      </c>
      <c r="QU250" s="128">
        <v>0</v>
      </c>
      <c r="QV250" s="128">
        <v>30753</v>
      </c>
      <c r="QW250" s="128">
        <v>60000</v>
      </c>
      <c r="QX250" s="128">
        <v>110000</v>
      </c>
      <c r="QY250" s="128">
        <v>110000</v>
      </c>
      <c r="QZ250" s="128">
        <v>125000</v>
      </c>
      <c r="RD250" s="128">
        <v>66271</v>
      </c>
      <c r="RE250" s="128">
        <v>60000</v>
      </c>
      <c r="RF250" s="128">
        <v>60000</v>
      </c>
      <c r="RH250" s="128">
        <f t="shared" si="412"/>
        <v>1300000</v>
      </c>
      <c r="RI250" s="128">
        <v>0</v>
      </c>
      <c r="RM250" s="128" t="s">
        <v>220</v>
      </c>
      <c r="RU250" s="130"/>
      <c r="RV250" s="130"/>
      <c r="RW250" s="130"/>
      <c r="RX250" s="130"/>
      <c r="SF250" s="128">
        <f t="shared" si="322"/>
        <v>1792038</v>
      </c>
      <c r="SG250" s="131">
        <f t="shared" si="323"/>
        <v>1300000</v>
      </c>
      <c r="SH250" s="131">
        <f t="shared" si="324"/>
        <v>1300000</v>
      </c>
      <c r="SI250" s="131">
        <f t="shared" si="325"/>
        <v>1057000</v>
      </c>
      <c r="SJ250" s="132">
        <f t="shared" si="326"/>
        <v>1057000</v>
      </c>
      <c r="SK250" s="132">
        <f t="shared" si="327"/>
        <v>0</v>
      </c>
      <c r="SL250" s="132">
        <f t="shared" si="328"/>
        <v>0</v>
      </c>
      <c r="SM250" s="132">
        <f t="shared" si="329"/>
        <v>0</v>
      </c>
      <c r="SN250" s="131">
        <f t="shared" si="330"/>
        <v>243000</v>
      </c>
      <c r="SO250" s="131">
        <f t="shared" si="331"/>
        <v>13000</v>
      </c>
      <c r="SP250" s="132">
        <f t="shared" si="332"/>
        <v>3000</v>
      </c>
      <c r="SQ250" s="132">
        <f t="shared" si="333"/>
        <v>10000</v>
      </c>
      <c r="SR250" s="132">
        <f t="shared" si="334"/>
        <v>0</v>
      </c>
      <c r="SS250" s="132">
        <f t="shared" si="335"/>
        <v>7000</v>
      </c>
      <c r="ST250" s="132">
        <f t="shared" si="336"/>
        <v>0</v>
      </c>
      <c r="SU250" s="132">
        <f t="shared" si="337"/>
        <v>5000</v>
      </c>
      <c r="SV250" s="131">
        <f t="shared" si="338"/>
        <v>215000</v>
      </c>
      <c r="SW250" s="132">
        <f t="shared" si="339"/>
        <v>8000</v>
      </c>
      <c r="SX250" s="132">
        <f t="shared" si="340"/>
        <v>10000</v>
      </c>
      <c r="SY250" s="132">
        <f t="shared" si="341"/>
        <v>21000</v>
      </c>
      <c r="SZ250" s="132">
        <f t="shared" si="342"/>
        <v>40000</v>
      </c>
      <c r="TA250" s="132">
        <f t="shared" si="343"/>
        <v>16000</v>
      </c>
      <c r="TB250" s="132">
        <f t="shared" si="344"/>
        <v>5000</v>
      </c>
      <c r="TC250" s="132">
        <f t="shared" si="345"/>
        <v>10000</v>
      </c>
      <c r="TD250" s="132">
        <f t="shared" si="346"/>
        <v>0</v>
      </c>
      <c r="TE250" s="132">
        <f t="shared" si="347"/>
        <v>0</v>
      </c>
      <c r="TF250" s="132">
        <f t="shared" si="348"/>
        <v>105000</v>
      </c>
      <c r="TG250" s="132">
        <f t="shared" si="349"/>
        <v>0</v>
      </c>
      <c r="TH250" s="132">
        <f t="shared" si="350"/>
        <v>3000</v>
      </c>
      <c r="TI250" s="1"/>
      <c r="TJ250" s="131">
        <f t="shared" si="351"/>
        <v>1025000</v>
      </c>
      <c r="TK250" s="131">
        <f t="shared" si="352"/>
        <v>1025000</v>
      </c>
      <c r="TL250" s="131">
        <f t="shared" si="353"/>
        <v>917000</v>
      </c>
      <c r="TM250" s="132">
        <f t="shared" si="354"/>
        <v>917000</v>
      </c>
      <c r="TN250" s="132">
        <f t="shared" si="355"/>
        <v>0</v>
      </c>
      <c r="TO250" s="132">
        <f t="shared" si="356"/>
        <v>0</v>
      </c>
      <c r="TP250" s="132">
        <f t="shared" si="357"/>
        <v>0</v>
      </c>
      <c r="TQ250" s="131">
        <f t="shared" si="358"/>
        <v>108000</v>
      </c>
      <c r="TR250" s="131">
        <f t="shared" si="359"/>
        <v>7000</v>
      </c>
      <c r="TS250" s="132">
        <f t="shared" si="360"/>
        <v>2000</v>
      </c>
      <c r="TT250" s="132">
        <f t="shared" si="361"/>
        <v>5000</v>
      </c>
      <c r="TU250" s="132">
        <f t="shared" si="362"/>
        <v>0</v>
      </c>
      <c r="TV250" s="132">
        <f t="shared" si="363"/>
        <v>7000</v>
      </c>
      <c r="TW250" s="132">
        <f t="shared" si="364"/>
        <v>0</v>
      </c>
      <c r="TX250" s="132">
        <f t="shared" si="365"/>
        <v>2000</v>
      </c>
      <c r="TY250" s="131">
        <f t="shared" si="366"/>
        <v>92000</v>
      </c>
      <c r="TZ250" s="132">
        <f t="shared" si="367"/>
        <v>8000</v>
      </c>
      <c r="UA250" s="132">
        <f t="shared" si="368"/>
        <v>5000</v>
      </c>
      <c r="UB250" s="132">
        <f t="shared" si="369"/>
        <v>14000</v>
      </c>
      <c r="UC250" s="132">
        <f t="shared" si="370"/>
        <v>25000</v>
      </c>
      <c r="UD250" s="132">
        <f t="shared" si="371"/>
        <v>5000</v>
      </c>
      <c r="UE250" s="132">
        <f t="shared" si="372"/>
        <v>3000</v>
      </c>
      <c r="UF250" s="132">
        <f t="shared" si="373"/>
        <v>5000</v>
      </c>
      <c r="UG250" s="132">
        <f t="shared" si="374"/>
        <v>0</v>
      </c>
      <c r="UH250" s="132">
        <f t="shared" si="375"/>
        <v>0</v>
      </c>
      <c r="UI250" s="132">
        <f t="shared" si="376"/>
        <v>27000</v>
      </c>
      <c r="UJ250" s="132">
        <f t="shared" si="377"/>
        <v>0</v>
      </c>
      <c r="UK250" s="132">
        <f t="shared" si="378"/>
        <v>0</v>
      </c>
      <c r="UL250" s="132">
        <f t="shared" si="413"/>
        <v>1025000</v>
      </c>
      <c r="UM250" s="131">
        <f t="shared" si="379"/>
        <v>1025000</v>
      </c>
      <c r="UN250" s="131">
        <f t="shared" si="380"/>
        <v>1025000</v>
      </c>
      <c r="UO250" s="131">
        <f t="shared" si="381"/>
        <v>917000</v>
      </c>
      <c r="UP250" s="132">
        <f t="shared" si="382"/>
        <v>917000</v>
      </c>
      <c r="UQ250" s="132">
        <f t="shared" si="383"/>
        <v>0</v>
      </c>
      <c r="UR250" s="132">
        <f t="shared" si="384"/>
        <v>0</v>
      </c>
      <c r="US250" s="132">
        <f t="shared" si="385"/>
        <v>0</v>
      </c>
      <c r="UT250" s="131">
        <f t="shared" si="386"/>
        <v>108000</v>
      </c>
      <c r="UU250" s="131">
        <f t="shared" si="387"/>
        <v>7000</v>
      </c>
      <c r="UV250" s="132">
        <f t="shared" si="388"/>
        <v>2000</v>
      </c>
      <c r="UW250" s="132">
        <f t="shared" si="389"/>
        <v>5000</v>
      </c>
      <c r="UX250" s="132">
        <f t="shared" si="390"/>
        <v>0</v>
      </c>
      <c r="UY250" s="132">
        <f t="shared" si="391"/>
        <v>7000</v>
      </c>
      <c r="UZ250" s="132">
        <f t="shared" si="392"/>
        <v>0</v>
      </c>
      <c r="VA250" s="132">
        <f t="shared" si="393"/>
        <v>2000</v>
      </c>
      <c r="VB250" s="131">
        <f t="shared" si="394"/>
        <v>92000</v>
      </c>
      <c r="VC250" s="132">
        <f t="shared" si="395"/>
        <v>8000</v>
      </c>
      <c r="VD250" s="132">
        <f t="shared" si="396"/>
        <v>5000</v>
      </c>
      <c r="VE250" s="132">
        <f t="shared" si="397"/>
        <v>14000</v>
      </c>
      <c r="VF250" s="132">
        <f t="shared" si="398"/>
        <v>25000</v>
      </c>
      <c r="VG250" s="132">
        <f t="shared" si="399"/>
        <v>5000</v>
      </c>
      <c r="VH250" s="132">
        <f t="shared" si="400"/>
        <v>3000</v>
      </c>
      <c r="VI250" s="132">
        <f t="shared" si="401"/>
        <v>5000</v>
      </c>
      <c r="VJ250" s="132">
        <f t="shared" si="402"/>
        <v>0</v>
      </c>
      <c r="VK250" s="132">
        <f t="shared" si="403"/>
        <v>0</v>
      </c>
      <c r="VL250" s="132">
        <f t="shared" si="404"/>
        <v>27000</v>
      </c>
      <c r="VM250" s="132">
        <f t="shared" si="405"/>
        <v>0</v>
      </c>
      <c r="VN250" s="132">
        <f t="shared" si="406"/>
        <v>0</v>
      </c>
      <c r="VP250" s="845" t="str">
        <f>IFERROR(HLOOKUP(F250,'Hodnocení '!$C$1:$JH$5,2,FALSE),0)</f>
        <v>Sociálně aktivizační služby pro zrakově postižené</v>
      </c>
      <c r="VQ250" s="838"/>
      <c r="VR250" s="845" t="str">
        <f t="shared" si="414"/>
        <v>Obecně prospěšná společnost</v>
      </c>
      <c r="VS250" s="845" t="str">
        <f>IFERROR(HLOOKUP(F250,'Hodnocení '!$C$1:$JH$5,5,FALSE),0)</f>
        <v>NZO</v>
      </c>
      <c r="VT250" s="838">
        <f t="shared" si="415"/>
        <v>0</v>
      </c>
      <c r="VU250" s="838">
        <f t="shared" si="416"/>
        <v>0</v>
      </c>
      <c r="VV250" s="838">
        <f t="shared" si="417"/>
        <v>0</v>
      </c>
      <c r="VW250" s="838">
        <f t="shared" si="418"/>
        <v>0</v>
      </c>
      <c r="VX250" s="838"/>
      <c r="VY250" s="838">
        <f t="shared" si="419"/>
        <v>0</v>
      </c>
      <c r="VZ250" s="838">
        <f t="shared" si="420"/>
        <v>1025000</v>
      </c>
      <c r="WA250" s="846">
        <f>IFERROR(HLOOKUP($F250,'Hodnocení '!$C$1:$JH$9,9,FALSE),0)</f>
        <v>1025000</v>
      </c>
      <c r="WB250" s="846">
        <f>IF(IFERROR(HLOOKUP($F250,'Hodnocení '!$C$1:$JH$13,13,FALSE),0)&gt;WA250,WA250,IFERROR(HLOOKUP($F250,'Hodnocení '!$C$1:$JH$13,13,FALSE),0))</f>
        <v>1025000</v>
      </c>
      <c r="WC250" s="846">
        <f>IFERROR(HLOOKUP($F250,'Hodnocení '!$C$1:$JH$155,155,FALSE),0)</f>
        <v>1025000</v>
      </c>
      <c r="WD250" s="845"/>
      <c r="WE250" s="845"/>
      <c r="WF250" s="845" t="str">
        <f t="shared" si="407"/>
        <v>ANO</v>
      </c>
      <c r="WG250" s="849" t="str">
        <f t="shared" si="421"/>
        <v>Podpora služby je vyjádřena zařazením do sítě sociálních služeb v KHK a řešením financování služby</v>
      </c>
      <c r="WH250"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50" s="849" t="str">
        <f t="shared" si="421"/>
        <v>Návrh dotace je výsledkem projednání s ostatními zadavateli v rámci sítě služeb KHK</v>
      </c>
      <c r="WJ250" s="849" t="str">
        <f t="shared" si="421"/>
        <v>Bez komentáře</v>
      </c>
      <c r="WK250" s="31">
        <f t="shared" si="408"/>
        <v>0</v>
      </c>
      <c r="WL250" s="850">
        <f t="shared" si="409"/>
        <v>0</v>
      </c>
      <c r="WM250" s="849">
        <f t="shared" si="410"/>
        <v>0</v>
      </c>
      <c r="WN250" s="849">
        <f t="shared" si="411"/>
        <v>0</v>
      </c>
      <c r="WO250" s="849" t="str">
        <f t="shared" si="422"/>
        <v>bez komentáře</v>
      </c>
      <c r="WP250" s="849" t="str">
        <f t="shared" si="422"/>
        <v>bez komentáře</v>
      </c>
      <c r="WQ250" s="849" t="str">
        <f t="shared" si="422"/>
        <v>Konečná výše dotace z rozpočtu KHK bude řešena v návaznosti na řešení podílů jednotlivých zadavatelů.</v>
      </c>
      <c r="WR250" s="849" t="str">
        <f t="shared" si="422"/>
        <v>Konečná výše podpory ze stran obcí bude řešena v součinnosti s jednotlivými zadavateli v průběhu roku.</v>
      </c>
      <c r="WS250" s="849" t="str">
        <f t="shared" si="422"/>
        <v>bez komentáře</v>
      </c>
      <c r="WT250" s="849" t="str">
        <f t="shared" si="422"/>
        <v>bez komentáře</v>
      </c>
      <c r="WU250" s="845"/>
    </row>
    <row r="251" spans="1:619" s="128" customFormat="1" x14ac:dyDescent="0.25">
      <c r="A251" s="128" t="str">
        <f>VLOOKUP(F251,'Výpočet VP 2020'!$D$324:$I$588,6,FALSE)</f>
        <v>Je v síti</v>
      </c>
      <c r="B251" s="128" t="s">
        <v>979</v>
      </c>
      <c r="C251" s="128">
        <v>25975498</v>
      </c>
      <c r="D251" s="128" t="s">
        <v>980</v>
      </c>
      <c r="E251" s="128" t="s">
        <v>216</v>
      </c>
      <c r="F251" s="128">
        <v>2093343</v>
      </c>
      <c r="G251" s="128" t="s">
        <v>292</v>
      </c>
      <c r="H251" s="128" t="s">
        <v>293</v>
      </c>
      <c r="I251" s="128" t="s">
        <v>985</v>
      </c>
      <c r="J251" s="129">
        <v>39083</v>
      </c>
      <c r="L251" s="128" t="s">
        <v>220</v>
      </c>
      <c r="X251" s="128" t="s">
        <v>986</v>
      </c>
      <c r="AI251" s="128">
        <v>4</v>
      </c>
      <c r="AJ251" s="128">
        <v>4</v>
      </c>
      <c r="AK251" s="128">
        <v>1004</v>
      </c>
      <c r="AL251" s="128">
        <v>800</v>
      </c>
      <c r="AM251" s="128">
        <v>800</v>
      </c>
      <c r="AO251" s="128" t="s">
        <v>987</v>
      </c>
      <c r="AP251" s="128" t="s">
        <v>986</v>
      </c>
      <c r="BE251" s="128">
        <v>4</v>
      </c>
      <c r="BF251" s="128">
        <v>4</v>
      </c>
      <c r="BG251" s="128">
        <v>152</v>
      </c>
      <c r="BH251" s="128">
        <v>150</v>
      </c>
      <c r="BI251" s="128">
        <v>150</v>
      </c>
      <c r="BK251" s="128" t="s">
        <v>988</v>
      </c>
      <c r="BL251" s="128" t="s">
        <v>983</v>
      </c>
      <c r="BM251" s="128" t="s">
        <v>984</v>
      </c>
      <c r="BN251" s="128" t="s">
        <v>264</v>
      </c>
      <c r="EK251" s="128">
        <v>2</v>
      </c>
      <c r="EL251" s="128">
        <v>1.1499999999999999</v>
      </c>
      <c r="EM251" s="128">
        <v>1.1499999999999999</v>
      </c>
      <c r="EN251" s="128">
        <v>577000</v>
      </c>
      <c r="EO251" s="128">
        <v>433000</v>
      </c>
      <c r="FO251" s="128">
        <v>2</v>
      </c>
      <c r="FP251" s="128">
        <v>0.25</v>
      </c>
      <c r="FQ251" s="128">
        <v>0.25</v>
      </c>
      <c r="FR251" s="128">
        <v>156000</v>
      </c>
      <c r="FS251" s="128">
        <v>156000</v>
      </c>
      <c r="KG251" s="128">
        <v>0</v>
      </c>
      <c r="KI251" s="128">
        <v>1.1499999999999999</v>
      </c>
      <c r="KJ251" s="128">
        <v>0</v>
      </c>
      <c r="KK251" s="128">
        <v>0</v>
      </c>
      <c r="KL251" s="128">
        <v>0</v>
      </c>
      <c r="KM251" s="128">
        <v>1.1499999999999999</v>
      </c>
      <c r="KN251" s="128">
        <v>733000</v>
      </c>
      <c r="KO251" s="128">
        <v>589000</v>
      </c>
      <c r="KP251" s="128">
        <v>589000</v>
      </c>
      <c r="KT251" s="128">
        <v>0</v>
      </c>
      <c r="KU251" s="128">
        <v>0</v>
      </c>
      <c r="KV251" s="128">
        <v>0</v>
      </c>
      <c r="KZ251" s="128">
        <v>0</v>
      </c>
      <c r="LA251" s="128">
        <v>0</v>
      </c>
      <c r="LB251" s="128">
        <v>0</v>
      </c>
      <c r="LF251" s="128">
        <v>0</v>
      </c>
      <c r="LG251" s="128">
        <v>0</v>
      </c>
      <c r="LH251" s="128">
        <v>0</v>
      </c>
      <c r="LL251" s="128">
        <v>4000</v>
      </c>
      <c r="LM251" s="128">
        <v>0</v>
      </c>
      <c r="LN251" s="128">
        <v>0</v>
      </c>
      <c r="LR251" s="128">
        <v>25000</v>
      </c>
      <c r="LS251" s="128">
        <v>0</v>
      </c>
      <c r="LT251" s="128">
        <v>0</v>
      </c>
      <c r="LX251" s="128">
        <v>0</v>
      </c>
      <c r="LY251" s="128">
        <v>0</v>
      </c>
      <c r="LZ251" s="128">
        <v>0</v>
      </c>
      <c r="MD251" s="128">
        <v>6000</v>
      </c>
      <c r="ME251" s="128">
        <v>4000</v>
      </c>
      <c r="MF251" s="128">
        <v>4000</v>
      </c>
      <c r="MJ251" s="128">
        <v>0</v>
      </c>
      <c r="MK251" s="128">
        <v>0</v>
      </c>
      <c r="ML251" s="128">
        <v>0</v>
      </c>
      <c r="MP251" s="128">
        <v>5000</v>
      </c>
      <c r="MQ251" s="128">
        <v>0</v>
      </c>
      <c r="MR251" s="128">
        <v>0</v>
      </c>
      <c r="MV251" s="128">
        <v>0</v>
      </c>
      <c r="MW251" s="128">
        <v>0</v>
      </c>
      <c r="MX251" s="128">
        <v>0</v>
      </c>
      <c r="NB251" s="128">
        <v>15000</v>
      </c>
      <c r="NC251" s="128">
        <v>5000</v>
      </c>
      <c r="ND251" s="128">
        <v>5000</v>
      </c>
      <c r="NH251" s="128">
        <v>16000</v>
      </c>
      <c r="NI251" s="128">
        <v>0</v>
      </c>
      <c r="NJ251" s="128">
        <v>0</v>
      </c>
      <c r="NN251" s="128">
        <v>35000</v>
      </c>
      <c r="NO251" s="128">
        <v>5000</v>
      </c>
      <c r="NP251" s="128">
        <v>5000</v>
      </c>
      <c r="NT251" s="128">
        <v>10000</v>
      </c>
      <c r="NU251" s="128">
        <v>3000</v>
      </c>
      <c r="NV251" s="128">
        <v>3000</v>
      </c>
      <c r="NZ251" s="128">
        <v>2000</v>
      </c>
      <c r="OA251" s="128">
        <v>0</v>
      </c>
      <c r="OB251" s="128">
        <v>0</v>
      </c>
      <c r="OF251" s="128">
        <v>8000</v>
      </c>
      <c r="OG251" s="128">
        <v>3000</v>
      </c>
      <c r="OH251" s="128">
        <v>3000</v>
      </c>
      <c r="OL251" s="128">
        <v>0</v>
      </c>
      <c r="OM251" s="128">
        <v>0</v>
      </c>
      <c r="ON251" s="128">
        <v>0</v>
      </c>
      <c r="OR251" s="128">
        <v>0</v>
      </c>
      <c r="OS251" s="128">
        <v>0</v>
      </c>
      <c r="OT251" s="128">
        <v>0</v>
      </c>
      <c r="OX251" s="128">
        <v>25000</v>
      </c>
      <c r="OY251" s="128">
        <v>1000</v>
      </c>
      <c r="OZ251" s="128">
        <v>1000</v>
      </c>
      <c r="PD251" s="128">
        <v>0</v>
      </c>
      <c r="PE251" s="128">
        <v>0</v>
      </c>
      <c r="PF251" s="128">
        <v>0</v>
      </c>
      <c r="PJ251" s="128">
        <v>2000</v>
      </c>
      <c r="PK251" s="128">
        <v>0</v>
      </c>
      <c r="PL251" s="128">
        <v>0</v>
      </c>
      <c r="PP251" s="128">
        <v>886000</v>
      </c>
      <c r="PQ251" s="128">
        <v>610000</v>
      </c>
      <c r="PR251" s="128">
        <v>610000</v>
      </c>
      <c r="PS251" s="128">
        <v>100</v>
      </c>
      <c r="PT251" s="128">
        <v>100</v>
      </c>
      <c r="PX251" s="128">
        <v>570000</v>
      </c>
      <c r="PY251" s="128">
        <v>563624</v>
      </c>
      <c r="PZ251" s="128">
        <v>610000</v>
      </c>
      <c r="QA251" s="128">
        <v>134112</v>
      </c>
      <c r="QB251" s="128">
        <v>157376</v>
      </c>
      <c r="QC251" s="128">
        <v>144000</v>
      </c>
      <c r="QD251" s="128">
        <v>0</v>
      </c>
      <c r="QE251" s="128">
        <v>0</v>
      </c>
      <c r="QF251" s="128">
        <v>0</v>
      </c>
      <c r="QG251" s="128">
        <v>0</v>
      </c>
      <c r="QH251" s="128">
        <v>0</v>
      </c>
      <c r="QI251" s="128">
        <v>0</v>
      </c>
      <c r="QJ251" s="128">
        <v>0</v>
      </c>
      <c r="QK251" s="128">
        <v>0</v>
      </c>
      <c r="QL251" s="128">
        <v>0</v>
      </c>
      <c r="QN251" s="128">
        <v>0</v>
      </c>
      <c r="QO251" s="128">
        <v>0</v>
      </c>
      <c r="QP251" s="128">
        <v>0</v>
      </c>
      <c r="QU251" s="128">
        <v>0</v>
      </c>
      <c r="QV251" s="128">
        <v>0</v>
      </c>
      <c r="QW251" s="128">
        <v>10000</v>
      </c>
      <c r="QX251" s="128">
        <v>70000</v>
      </c>
      <c r="QY251" s="128">
        <v>110000</v>
      </c>
      <c r="QZ251" s="128">
        <v>118000</v>
      </c>
      <c r="RD251" s="128">
        <v>2188</v>
      </c>
      <c r="RE251" s="128">
        <v>4000</v>
      </c>
      <c r="RF251" s="128">
        <v>4000</v>
      </c>
      <c r="RH251" s="128">
        <f t="shared" si="412"/>
        <v>886000</v>
      </c>
      <c r="RI251" s="128">
        <v>0</v>
      </c>
      <c r="RM251" s="128" t="s">
        <v>220</v>
      </c>
      <c r="RU251" s="130"/>
      <c r="RV251" s="130"/>
      <c r="RW251" s="130"/>
      <c r="RX251" s="130"/>
      <c r="SF251" s="128">
        <f t="shared" si="322"/>
        <v>2093343</v>
      </c>
      <c r="SG251" s="131">
        <f t="shared" si="323"/>
        <v>886000</v>
      </c>
      <c r="SH251" s="131">
        <f t="shared" si="324"/>
        <v>886000</v>
      </c>
      <c r="SI251" s="131">
        <f t="shared" si="325"/>
        <v>733000</v>
      </c>
      <c r="SJ251" s="132">
        <f t="shared" si="326"/>
        <v>733000</v>
      </c>
      <c r="SK251" s="132">
        <f t="shared" si="327"/>
        <v>0</v>
      </c>
      <c r="SL251" s="132">
        <f t="shared" si="328"/>
        <v>0</v>
      </c>
      <c r="SM251" s="132">
        <f t="shared" si="329"/>
        <v>0</v>
      </c>
      <c r="SN251" s="131">
        <f t="shared" si="330"/>
        <v>153000</v>
      </c>
      <c r="SO251" s="131">
        <f t="shared" si="331"/>
        <v>29000</v>
      </c>
      <c r="SP251" s="132">
        <f t="shared" si="332"/>
        <v>4000</v>
      </c>
      <c r="SQ251" s="132">
        <f t="shared" si="333"/>
        <v>25000</v>
      </c>
      <c r="SR251" s="132">
        <f t="shared" si="334"/>
        <v>0</v>
      </c>
      <c r="SS251" s="132">
        <f t="shared" si="335"/>
        <v>6000</v>
      </c>
      <c r="ST251" s="132">
        <f t="shared" si="336"/>
        <v>0</v>
      </c>
      <c r="SU251" s="132">
        <f t="shared" si="337"/>
        <v>5000</v>
      </c>
      <c r="SV251" s="131">
        <f t="shared" si="338"/>
        <v>111000</v>
      </c>
      <c r="SW251" s="132">
        <f t="shared" si="339"/>
        <v>0</v>
      </c>
      <c r="SX251" s="132">
        <f t="shared" si="340"/>
        <v>15000</v>
      </c>
      <c r="SY251" s="132">
        <f t="shared" si="341"/>
        <v>16000</v>
      </c>
      <c r="SZ251" s="132">
        <f t="shared" si="342"/>
        <v>35000</v>
      </c>
      <c r="TA251" s="132">
        <f t="shared" si="343"/>
        <v>10000</v>
      </c>
      <c r="TB251" s="132">
        <f t="shared" si="344"/>
        <v>2000</v>
      </c>
      <c r="TC251" s="132">
        <f t="shared" si="345"/>
        <v>8000</v>
      </c>
      <c r="TD251" s="132">
        <f t="shared" si="346"/>
        <v>0</v>
      </c>
      <c r="TE251" s="132">
        <f t="shared" si="347"/>
        <v>0</v>
      </c>
      <c r="TF251" s="132">
        <f t="shared" si="348"/>
        <v>25000</v>
      </c>
      <c r="TG251" s="132">
        <f t="shared" si="349"/>
        <v>0</v>
      </c>
      <c r="TH251" s="132">
        <f t="shared" si="350"/>
        <v>2000</v>
      </c>
      <c r="TI251" s="1"/>
      <c r="TJ251" s="131">
        <f t="shared" si="351"/>
        <v>610000</v>
      </c>
      <c r="TK251" s="131">
        <f t="shared" si="352"/>
        <v>610000</v>
      </c>
      <c r="TL251" s="131">
        <f t="shared" si="353"/>
        <v>589000</v>
      </c>
      <c r="TM251" s="132">
        <f t="shared" si="354"/>
        <v>589000</v>
      </c>
      <c r="TN251" s="132">
        <f t="shared" si="355"/>
        <v>0</v>
      </c>
      <c r="TO251" s="132">
        <f t="shared" si="356"/>
        <v>0</v>
      </c>
      <c r="TP251" s="132">
        <f t="shared" si="357"/>
        <v>0</v>
      </c>
      <c r="TQ251" s="131">
        <f t="shared" si="358"/>
        <v>21000</v>
      </c>
      <c r="TR251" s="131">
        <f t="shared" si="359"/>
        <v>0</v>
      </c>
      <c r="TS251" s="132">
        <f t="shared" si="360"/>
        <v>0</v>
      </c>
      <c r="TT251" s="132">
        <f t="shared" si="361"/>
        <v>0</v>
      </c>
      <c r="TU251" s="132">
        <f t="shared" si="362"/>
        <v>0</v>
      </c>
      <c r="TV251" s="132">
        <f t="shared" si="363"/>
        <v>4000</v>
      </c>
      <c r="TW251" s="132">
        <f t="shared" si="364"/>
        <v>0</v>
      </c>
      <c r="TX251" s="132">
        <f t="shared" si="365"/>
        <v>0</v>
      </c>
      <c r="TY251" s="131">
        <f t="shared" si="366"/>
        <v>17000</v>
      </c>
      <c r="TZ251" s="132">
        <f t="shared" si="367"/>
        <v>0</v>
      </c>
      <c r="UA251" s="132">
        <f t="shared" si="368"/>
        <v>5000</v>
      </c>
      <c r="UB251" s="132">
        <f t="shared" si="369"/>
        <v>0</v>
      </c>
      <c r="UC251" s="132">
        <f t="shared" si="370"/>
        <v>5000</v>
      </c>
      <c r="UD251" s="132">
        <f t="shared" si="371"/>
        <v>3000</v>
      </c>
      <c r="UE251" s="132">
        <f t="shared" si="372"/>
        <v>0</v>
      </c>
      <c r="UF251" s="132">
        <f t="shared" si="373"/>
        <v>3000</v>
      </c>
      <c r="UG251" s="132">
        <f t="shared" si="374"/>
        <v>0</v>
      </c>
      <c r="UH251" s="132">
        <f t="shared" si="375"/>
        <v>0</v>
      </c>
      <c r="UI251" s="132">
        <f t="shared" si="376"/>
        <v>1000</v>
      </c>
      <c r="UJ251" s="132">
        <f t="shared" si="377"/>
        <v>0</v>
      </c>
      <c r="UK251" s="132">
        <f t="shared" si="378"/>
        <v>0</v>
      </c>
      <c r="UL251" s="132">
        <f t="shared" si="413"/>
        <v>610000</v>
      </c>
      <c r="UM251" s="131">
        <f t="shared" si="379"/>
        <v>610000</v>
      </c>
      <c r="UN251" s="131">
        <f t="shared" si="380"/>
        <v>610000</v>
      </c>
      <c r="UO251" s="131">
        <f t="shared" si="381"/>
        <v>589000</v>
      </c>
      <c r="UP251" s="132">
        <f t="shared" si="382"/>
        <v>589000</v>
      </c>
      <c r="UQ251" s="132">
        <f t="shared" si="383"/>
        <v>0</v>
      </c>
      <c r="UR251" s="132">
        <f t="shared" si="384"/>
        <v>0</v>
      </c>
      <c r="US251" s="132">
        <f t="shared" si="385"/>
        <v>0</v>
      </c>
      <c r="UT251" s="131">
        <f t="shared" si="386"/>
        <v>21000</v>
      </c>
      <c r="UU251" s="131">
        <f t="shared" si="387"/>
        <v>0</v>
      </c>
      <c r="UV251" s="132">
        <f t="shared" si="388"/>
        <v>0</v>
      </c>
      <c r="UW251" s="132">
        <f t="shared" si="389"/>
        <v>0</v>
      </c>
      <c r="UX251" s="132">
        <f t="shared" si="390"/>
        <v>0</v>
      </c>
      <c r="UY251" s="132">
        <f t="shared" si="391"/>
        <v>4000</v>
      </c>
      <c r="UZ251" s="132">
        <f t="shared" si="392"/>
        <v>0</v>
      </c>
      <c r="VA251" s="132">
        <f t="shared" si="393"/>
        <v>0</v>
      </c>
      <c r="VB251" s="131">
        <f t="shared" si="394"/>
        <v>17000</v>
      </c>
      <c r="VC251" s="132">
        <f t="shared" si="395"/>
        <v>0</v>
      </c>
      <c r="VD251" s="132">
        <f t="shared" si="396"/>
        <v>5000</v>
      </c>
      <c r="VE251" s="132">
        <f t="shared" si="397"/>
        <v>0</v>
      </c>
      <c r="VF251" s="132">
        <f t="shared" si="398"/>
        <v>5000</v>
      </c>
      <c r="VG251" s="132">
        <f t="shared" si="399"/>
        <v>3000</v>
      </c>
      <c r="VH251" s="132">
        <f t="shared" si="400"/>
        <v>0</v>
      </c>
      <c r="VI251" s="132">
        <f t="shared" si="401"/>
        <v>3000</v>
      </c>
      <c r="VJ251" s="132">
        <f t="shared" si="402"/>
        <v>0</v>
      </c>
      <c r="VK251" s="132">
        <f t="shared" si="403"/>
        <v>0</v>
      </c>
      <c r="VL251" s="132">
        <f t="shared" si="404"/>
        <v>1000</v>
      </c>
      <c r="VM251" s="132">
        <f t="shared" si="405"/>
        <v>0</v>
      </c>
      <c r="VN251" s="132">
        <f t="shared" si="406"/>
        <v>0</v>
      </c>
      <c r="VP251" s="845" t="str">
        <f>IFERROR(HLOOKUP(F251,'Hodnocení '!$C$1:$JH$5,2,FALSE),0)</f>
        <v>Základní a odborné poradenství pro zrakově postižené</v>
      </c>
      <c r="VQ251" s="838"/>
      <c r="VR251" s="845" t="str">
        <f t="shared" si="414"/>
        <v>Obecně prospěšná společnost</v>
      </c>
      <c r="VS251" s="845" t="str">
        <f>IFERROR(HLOOKUP(F251,'Hodnocení '!$C$1:$JH$5,5,FALSE),0)</f>
        <v>NZO</v>
      </c>
      <c r="VT251" s="838">
        <f t="shared" si="415"/>
        <v>0</v>
      </c>
      <c r="VU251" s="838">
        <f t="shared" si="416"/>
        <v>0</v>
      </c>
      <c r="VV251" s="838">
        <f t="shared" si="417"/>
        <v>0</v>
      </c>
      <c r="VW251" s="838">
        <f t="shared" si="418"/>
        <v>0</v>
      </c>
      <c r="VX251" s="838"/>
      <c r="VY251" s="838">
        <f t="shared" si="419"/>
        <v>0</v>
      </c>
      <c r="VZ251" s="838">
        <f t="shared" si="420"/>
        <v>610000</v>
      </c>
      <c r="WA251" s="846">
        <f>IFERROR(HLOOKUP($F251,'Hodnocení '!$C$1:$JH$9,9,FALSE),0)</f>
        <v>610000</v>
      </c>
      <c r="WB251" s="846">
        <f>IF(IFERROR(HLOOKUP($F251,'Hodnocení '!$C$1:$JH$13,13,FALSE),0)&gt;WA251,WA251,IFERROR(HLOOKUP($F251,'Hodnocení '!$C$1:$JH$13,13,FALSE),0))</f>
        <v>610000</v>
      </c>
      <c r="WC251" s="846">
        <f>IFERROR(HLOOKUP($F251,'Hodnocení '!$C$1:$JH$155,155,FALSE),0)</f>
        <v>610000</v>
      </c>
      <c r="WD251" s="845"/>
      <c r="WE251" s="845"/>
      <c r="WF251" s="845" t="str">
        <f t="shared" si="407"/>
        <v>ANO</v>
      </c>
      <c r="WG251" s="849" t="str">
        <f t="shared" si="421"/>
        <v>Podpora služby je vyjádřena zařazením do sítě sociálních služeb v KHK a řešením financování služby</v>
      </c>
      <c r="WH251"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51" s="849" t="str">
        <f t="shared" si="421"/>
        <v>Návrh dotace je výsledkem projednání s ostatními zadavateli v rámci sítě služeb KHK</v>
      </c>
      <c r="WJ251" s="849" t="str">
        <f t="shared" si="421"/>
        <v>Bez komentáře</v>
      </c>
      <c r="WK251" s="31">
        <f t="shared" si="408"/>
        <v>0</v>
      </c>
      <c r="WL251" s="850">
        <f t="shared" si="409"/>
        <v>0</v>
      </c>
      <c r="WM251" s="849">
        <f t="shared" si="410"/>
        <v>0</v>
      </c>
      <c r="WN251" s="849">
        <f t="shared" si="411"/>
        <v>0</v>
      </c>
      <c r="WO251" s="849" t="str">
        <f t="shared" si="422"/>
        <v>bez komentáře</v>
      </c>
      <c r="WP251" s="849" t="str">
        <f t="shared" si="422"/>
        <v>bez komentáře</v>
      </c>
      <c r="WQ251" s="849" t="str">
        <f t="shared" si="422"/>
        <v>Konečná výše dotace z rozpočtu KHK bude řešena v návaznosti na řešení podílů jednotlivých zadavatelů.</v>
      </c>
      <c r="WR251" s="849" t="str">
        <f t="shared" si="422"/>
        <v>Konečná výše podpory ze stran obcí bude řešena v součinnosti s jednotlivými zadavateli v průběhu roku.</v>
      </c>
      <c r="WS251" s="849" t="str">
        <f t="shared" si="422"/>
        <v>bez komentáře</v>
      </c>
      <c r="WT251" s="849" t="str">
        <f t="shared" si="422"/>
        <v>bez komentáře</v>
      </c>
      <c r="WU251" s="845"/>
    </row>
    <row r="252" spans="1:619" s="128" customFormat="1" x14ac:dyDescent="0.25">
      <c r="A252" s="128" t="str">
        <f>VLOOKUP(F252,'Výpočet VP 2020'!$D$324:$I$588,6,FALSE)</f>
        <v>Je v síti</v>
      </c>
      <c r="B252" s="128" t="s">
        <v>979</v>
      </c>
      <c r="C252" s="128">
        <v>25975498</v>
      </c>
      <c r="D252" s="128" t="s">
        <v>980</v>
      </c>
      <c r="E252" s="128" t="s">
        <v>216</v>
      </c>
      <c r="F252" s="128">
        <v>3736692</v>
      </c>
      <c r="G252" s="128" t="s">
        <v>989</v>
      </c>
      <c r="H252" s="128" t="s">
        <v>218</v>
      </c>
      <c r="I252" s="128" t="s">
        <v>989</v>
      </c>
      <c r="J252" s="129">
        <v>39083</v>
      </c>
      <c r="L252" s="128" t="s">
        <v>220</v>
      </c>
      <c r="X252" s="128" t="s">
        <v>274</v>
      </c>
      <c r="Z252" s="128">
        <v>2</v>
      </c>
      <c r="AA252" s="128">
        <v>2</v>
      </c>
      <c r="AB252" s="128">
        <v>24</v>
      </c>
      <c r="AC252" s="128">
        <v>22</v>
      </c>
      <c r="AD252" s="128">
        <v>15</v>
      </c>
      <c r="AN252" s="128">
        <v>50</v>
      </c>
      <c r="AO252" s="128" t="s">
        <v>990</v>
      </c>
      <c r="AP252" s="128" t="s">
        <v>274</v>
      </c>
      <c r="AQ252" s="128">
        <v>2</v>
      </c>
      <c r="AR252" s="128">
        <v>2</v>
      </c>
      <c r="AS252" s="128">
        <v>26</v>
      </c>
      <c r="AT252" s="128">
        <v>28</v>
      </c>
      <c r="AU252" s="128">
        <v>20</v>
      </c>
      <c r="BJ252" s="128">
        <v>1100</v>
      </c>
      <c r="BK252" s="128" t="s">
        <v>990</v>
      </c>
      <c r="BL252" s="128" t="s">
        <v>983</v>
      </c>
      <c r="BM252" s="128" t="s">
        <v>984</v>
      </c>
      <c r="BN252" s="128" t="s">
        <v>341</v>
      </c>
      <c r="BO252" s="128">
        <v>0</v>
      </c>
      <c r="BP252" s="128">
        <v>0</v>
      </c>
      <c r="BQ252" s="128">
        <v>0</v>
      </c>
      <c r="BR252" s="128">
        <v>0</v>
      </c>
      <c r="BS252" s="128">
        <v>0</v>
      </c>
      <c r="BT252" s="128">
        <v>5</v>
      </c>
      <c r="BU252" s="128">
        <v>15</v>
      </c>
      <c r="BV252" s="128">
        <v>7</v>
      </c>
      <c r="BW252" s="128">
        <v>0</v>
      </c>
      <c r="BX252" s="128">
        <v>4</v>
      </c>
      <c r="BY252" s="128">
        <v>5</v>
      </c>
      <c r="BZ252" s="128">
        <v>15</v>
      </c>
      <c r="CA252" s="128">
        <v>7</v>
      </c>
      <c r="CB252" s="128">
        <v>0</v>
      </c>
      <c r="CC252" s="128">
        <v>4</v>
      </c>
      <c r="CD252" s="128">
        <v>0</v>
      </c>
      <c r="CE252" s="128">
        <v>31</v>
      </c>
      <c r="CF252" s="128">
        <v>31</v>
      </c>
      <c r="CH252" s="128">
        <v>0</v>
      </c>
      <c r="CI252" s="128">
        <v>0</v>
      </c>
      <c r="CJ252" s="128">
        <v>0</v>
      </c>
      <c r="CK252" s="128">
        <v>0</v>
      </c>
      <c r="CL252" s="128">
        <v>0</v>
      </c>
      <c r="CM252" s="128">
        <v>5</v>
      </c>
      <c r="CN252" s="128">
        <v>15</v>
      </c>
      <c r="CO252" s="128">
        <v>10</v>
      </c>
      <c r="CP252" s="128">
        <v>0</v>
      </c>
      <c r="CQ252" s="128">
        <v>5</v>
      </c>
      <c r="CR252" s="128">
        <v>5</v>
      </c>
      <c r="CS252" s="128">
        <v>15</v>
      </c>
      <c r="CT252" s="128">
        <v>10</v>
      </c>
      <c r="CU252" s="128">
        <v>0</v>
      </c>
      <c r="CV252" s="128">
        <v>5</v>
      </c>
      <c r="CW252" s="128">
        <v>0</v>
      </c>
      <c r="CX252" s="128">
        <v>35</v>
      </c>
      <c r="CY252" s="128">
        <v>35</v>
      </c>
      <c r="EK252" s="128">
        <v>3</v>
      </c>
      <c r="EL252" s="128">
        <v>0.5</v>
      </c>
      <c r="EM252" s="128">
        <v>0.5</v>
      </c>
      <c r="EN252" s="128">
        <v>259000</v>
      </c>
      <c r="EO252" s="128">
        <v>205000</v>
      </c>
      <c r="EP252" s="128">
        <v>3</v>
      </c>
      <c r="EQ252" s="128">
        <v>0.75</v>
      </c>
      <c r="ER252" s="128">
        <v>0.75</v>
      </c>
      <c r="ES252" s="128">
        <v>353000</v>
      </c>
      <c r="ET252" s="128">
        <v>199000</v>
      </c>
      <c r="FO252" s="128">
        <v>2</v>
      </c>
      <c r="FP252" s="128">
        <v>0.2</v>
      </c>
      <c r="FQ252" s="128">
        <v>0.2</v>
      </c>
      <c r="FR252" s="128">
        <v>117000</v>
      </c>
      <c r="FS252" s="128">
        <v>117000</v>
      </c>
      <c r="KG252" s="128">
        <v>0</v>
      </c>
      <c r="KI252" s="128">
        <v>1.25</v>
      </c>
      <c r="KJ252" s="128">
        <v>0</v>
      </c>
      <c r="KK252" s="128">
        <v>0</v>
      </c>
      <c r="KL252" s="128">
        <v>0</v>
      </c>
      <c r="KM252" s="128">
        <v>1.25</v>
      </c>
      <c r="KN252" s="128">
        <v>729000</v>
      </c>
      <c r="KO252" s="128">
        <v>521000</v>
      </c>
      <c r="KP252" s="128">
        <v>521000</v>
      </c>
      <c r="KT252" s="128">
        <v>0</v>
      </c>
      <c r="KU252" s="128">
        <v>0</v>
      </c>
      <c r="KV252" s="128">
        <v>0</v>
      </c>
      <c r="KZ252" s="128">
        <v>0</v>
      </c>
      <c r="LA252" s="128">
        <v>0</v>
      </c>
      <c r="LB252" s="128">
        <v>0</v>
      </c>
      <c r="LF252" s="128">
        <v>0</v>
      </c>
      <c r="LG252" s="128">
        <v>0</v>
      </c>
      <c r="LH252" s="128">
        <v>0</v>
      </c>
      <c r="LL252" s="128">
        <v>2000</v>
      </c>
      <c r="LM252" s="128">
        <v>2000</v>
      </c>
      <c r="LN252" s="128">
        <v>2000</v>
      </c>
      <c r="LR252" s="128">
        <v>10000</v>
      </c>
      <c r="LS252" s="128">
        <v>5000</v>
      </c>
      <c r="LT252" s="128">
        <v>5000</v>
      </c>
      <c r="LX252" s="128">
        <v>0</v>
      </c>
      <c r="LY252" s="128">
        <v>0</v>
      </c>
      <c r="LZ252" s="128">
        <v>0</v>
      </c>
      <c r="MD252" s="128">
        <v>5000</v>
      </c>
      <c r="ME252" s="128">
        <v>5000</v>
      </c>
      <c r="MF252" s="128">
        <v>5000</v>
      </c>
      <c r="MJ252" s="128">
        <v>0</v>
      </c>
      <c r="MK252" s="128">
        <v>0</v>
      </c>
      <c r="ML252" s="128">
        <v>0</v>
      </c>
      <c r="MP252" s="128">
        <v>3000</v>
      </c>
      <c r="MQ252" s="128">
        <v>2000</v>
      </c>
      <c r="MR252" s="128">
        <v>2000</v>
      </c>
      <c r="MV252" s="128">
        <v>8000</v>
      </c>
      <c r="MW252" s="128">
        <v>8000</v>
      </c>
      <c r="MX252" s="128">
        <v>8000</v>
      </c>
      <c r="NB252" s="128">
        <v>10000</v>
      </c>
      <c r="NC252" s="128">
        <v>5000</v>
      </c>
      <c r="ND252" s="128">
        <v>5000</v>
      </c>
      <c r="NH252" s="128">
        <v>21000</v>
      </c>
      <c r="NI252" s="128">
        <v>14000</v>
      </c>
      <c r="NJ252" s="128">
        <v>14000</v>
      </c>
      <c r="NN252" s="128">
        <v>34000</v>
      </c>
      <c r="NO252" s="128">
        <v>15000</v>
      </c>
      <c r="NP252" s="128">
        <v>15000</v>
      </c>
      <c r="NT252" s="128">
        <v>15000</v>
      </c>
      <c r="NU252" s="128">
        <v>5000</v>
      </c>
      <c r="NV252" s="128">
        <v>5000</v>
      </c>
      <c r="NZ252" s="128">
        <v>5000</v>
      </c>
      <c r="OA252" s="128">
        <v>3000</v>
      </c>
      <c r="OB252" s="128">
        <v>3000</v>
      </c>
      <c r="OF252" s="128">
        <v>7000</v>
      </c>
      <c r="OG252" s="128">
        <v>2000</v>
      </c>
      <c r="OH252" s="128">
        <v>2000</v>
      </c>
      <c r="OL252" s="128">
        <v>0</v>
      </c>
      <c r="OM252" s="128">
        <v>0</v>
      </c>
      <c r="ON252" s="128">
        <v>0</v>
      </c>
      <c r="OR252" s="128">
        <v>0</v>
      </c>
      <c r="OS252" s="128">
        <v>0</v>
      </c>
      <c r="OT252" s="128">
        <v>0</v>
      </c>
      <c r="OX252" s="128">
        <v>30000</v>
      </c>
      <c r="OY252" s="128">
        <v>8000</v>
      </c>
      <c r="OZ252" s="128">
        <v>8000</v>
      </c>
      <c r="PD252" s="128">
        <v>0</v>
      </c>
      <c r="PE252" s="128">
        <v>0</v>
      </c>
      <c r="PF252" s="128">
        <v>0</v>
      </c>
      <c r="PJ252" s="128">
        <v>3000</v>
      </c>
      <c r="PK252" s="128">
        <v>0</v>
      </c>
      <c r="PL252" s="128">
        <v>0</v>
      </c>
      <c r="PP252" s="128">
        <v>882000</v>
      </c>
      <c r="PQ252" s="128">
        <v>595000</v>
      </c>
      <c r="PR252" s="128">
        <v>595000</v>
      </c>
      <c r="PS252" s="128">
        <v>100</v>
      </c>
      <c r="PT252" s="128">
        <v>100</v>
      </c>
      <c r="PX252" s="128">
        <v>513500</v>
      </c>
      <c r="PY252" s="128">
        <v>537670</v>
      </c>
      <c r="PZ252" s="128">
        <v>595000</v>
      </c>
      <c r="QA252" s="128">
        <v>155796</v>
      </c>
      <c r="QB252" s="128">
        <v>165000</v>
      </c>
      <c r="QC252" s="128">
        <v>154000</v>
      </c>
      <c r="QD252" s="128">
        <v>0</v>
      </c>
      <c r="QE252" s="128">
        <v>0</v>
      </c>
      <c r="QF252" s="128">
        <v>0</v>
      </c>
      <c r="QG252" s="128">
        <v>0</v>
      </c>
      <c r="QH252" s="128">
        <v>0</v>
      </c>
      <c r="QI252" s="128">
        <v>0</v>
      </c>
      <c r="QJ252" s="128">
        <v>0</v>
      </c>
      <c r="QK252" s="128">
        <v>0</v>
      </c>
      <c r="QL252" s="128">
        <v>0</v>
      </c>
      <c r="QN252" s="128">
        <v>0</v>
      </c>
      <c r="QO252" s="128">
        <v>0</v>
      </c>
      <c r="QP252" s="128">
        <v>0</v>
      </c>
      <c r="QU252" s="128">
        <v>22000</v>
      </c>
      <c r="QV252" s="128">
        <v>22000</v>
      </c>
      <c r="QW252" s="128">
        <v>17000</v>
      </c>
      <c r="QX252" s="128">
        <v>70000</v>
      </c>
      <c r="QY252" s="128">
        <v>80000</v>
      </c>
      <c r="QZ252" s="128">
        <v>80000</v>
      </c>
      <c r="RD252" s="128">
        <v>36180</v>
      </c>
      <c r="RE252" s="128">
        <v>51330</v>
      </c>
      <c r="RF252" s="128">
        <v>36000</v>
      </c>
      <c r="RH252" s="128">
        <f t="shared" si="412"/>
        <v>882000</v>
      </c>
      <c r="RI252" s="128">
        <v>0</v>
      </c>
      <c r="RM252" s="128" t="s">
        <v>220</v>
      </c>
      <c r="RU252" s="130"/>
      <c r="RV252" s="130"/>
      <c r="RW252" s="130"/>
      <c r="RX252" s="130"/>
      <c r="SF252" s="128">
        <f t="shared" si="322"/>
        <v>3736692</v>
      </c>
      <c r="SG252" s="131">
        <f t="shared" si="323"/>
        <v>882000</v>
      </c>
      <c r="SH252" s="131">
        <f t="shared" si="324"/>
        <v>882000</v>
      </c>
      <c r="SI252" s="131">
        <f t="shared" si="325"/>
        <v>729000</v>
      </c>
      <c r="SJ252" s="132">
        <f t="shared" si="326"/>
        <v>729000</v>
      </c>
      <c r="SK252" s="132">
        <f t="shared" si="327"/>
        <v>0</v>
      </c>
      <c r="SL252" s="132">
        <f t="shared" si="328"/>
        <v>0</v>
      </c>
      <c r="SM252" s="132">
        <f t="shared" si="329"/>
        <v>0</v>
      </c>
      <c r="SN252" s="131">
        <f t="shared" si="330"/>
        <v>153000</v>
      </c>
      <c r="SO252" s="131">
        <f t="shared" si="331"/>
        <v>12000</v>
      </c>
      <c r="SP252" s="132">
        <f t="shared" si="332"/>
        <v>2000</v>
      </c>
      <c r="SQ252" s="132">
        <f t="shared" si="333"/>
        <v>10000</v>
      </c>
      <c r="SR252" s="132">
        <f t="shared" si="334"/>
        <v>0</v>
      </c>
      <c r="SS252" s="132">
        <f t="shared" si="335"/>
        <v>5000</v>
      </c>
      <c r="ST252" s="132">
        <f t="shared" si="336"/>
        <v>0</v>
      </c>
      <c r="SU252" s="132">
        <f t="shared" si="337"/>
        <v>3000</v>
      </c>
      <c r="SV252" s="131">
        <f t="shared" si="338"/>
        <v>130000</v>
      </c>
      <c r="SW252" s="132">
        <f t="shared" si="339"/>
        <v>8000</v>
      </c>
      <c r="SX252" s="132">
        <f t="shared" si="340"/>
        <v>10000</v>
      </c>
      <c r="SY252" s="132">
        <f t="shared" si="341"/>
        <v>21000</v>
      </c>
      <c r="SZ252" s="132">
        <f t="shared" si="342"/>
        <v>34000</v>
      </c>
      <c r="TA252" s="132">
        <f t="shared" si="343"/>
        <v>15000</v>
      </c>
      <c r="TB252" s="132">
        <f t="shared" si="344"/>
        <v>5000</v>
      </c>
      <c r="TC252" s="132">
        <f t="shared" si="345"/>
        <v>7000</v>
      </c>
      <c r="TD252" s="132">
        <f t="shared" si="346"/>
        <v>0</v>
      </c>
      <c r="TE252" s="132">
        <f t="shared" si="347"/>
        <v>0</v>
      </c>
      <c r="TF252" s="132">
        <f t="shared" si="348"/>
        <v>30000</v>
      </c>
      <c r="TG252" s="132">
        <f t="shared" si="349"/>
        <v>0</v>
      </c>
      <c r="TH252" s="132">
        <f t="shared" si="350"/>
        <v>3000</v>
      </c>
      <c r="TI252" s="1"/>
      <c r="TJ252" s="131">
        <f t="shared" si="351"/>
        <v>595000</v>
      </c>
      <c r="TK252" s="131">
        <f t="shared" si="352"/>
        <v>595000</v>
      </c>
      <c r="TL252" s="131">
        <f t="shared" si="353"/>
        <v>521000</v>
      </c>
      <c r="TM252" s="132">
        <f t="shared" si="354"/>
        <v>521000</v>
      </c>
      <c r="TN252" s="132">
        <f t="shared" si="355"/>
        <v>0</v>
      </c>
      <c r="TO252" s="132">
        <f t="shared" si="356"/>
        <v>0</v>
      </c>
      <c r="TP252" s="132">
        <f t="shared" si="357"/>
        <v>0</v>
      </c>
      <c r="TQ252" s="131">
        <f t="shared" si="358"/>
        <v>74000</v>
      </c>
      <c r="TR252" s="131">
        <f t="shared" si="359"/>
        <v>7000</v>
      </c>
      <c r="TS252" s="132">
        <f t="shared" si="360"/>
        <v>2000</v>
      </c>
      <c r="TT252" s="132">
        <f t="shared" si="361"/>
        <v>5000</v>
      </c>
      <c r="TU252" s="132">
        <f t="shared" si="362"/>
        <v>0</v>
      </c>
      <c r="TV252" s="132">
        <f t="shared" si="363"/>
        <v>5000</v>
      </c>
      <c r="TW252" s="132">
        <f t="shared" si="364"/>
        <v>0</v>
      </c>
      <c r="TX252" s="132">
        <f t="shared" si="365"/>
        <v>2000</v>
      </c>
      <c r="TY252" s="131">
        <f t="shared" si="366"/>
        <v>60000</v>
      </c>
      <c r="TZ252" s="132">
        <f t="shared" si="367"/>
        <v>8000</v>
      </c>
      <c r="UA252" s="132">
        <f t="shared" si="368"/>
        <v>5000</v>
      </c>
      <c r="UB252" s="132">
        <f t="shared" si="369"/>
        <v>14000</v>
      </c>
      <c r="UC252" s="132">
        <f t="shared" si="370"/>
        <v>15000</v>
      </c>
      <c r="UD252" s="132">
        <f t="shared" si="371"/>
        <v>5000</v>
      </c>
      <c r="UE252" s="132">
        <f t="shared" si="372"/>
        <v>3000</v>
      </c>
      <c r="UF252" s="132">
        <f t="shared" si="373"/>
        <v>2000</v>
      </c>
      <c r="UG252" s="132">
        <f t="shared" si="374"/>
        <v>0</v>
      </c>
      <c r="UH252" s="132">
        <f t="shared" si="375"/>
        <v>0</v>
      </c>
      <c r="UI252" s="132">
        <f t="shared" si="376"/>
        <v>8000</v>
      </c>
      <c r="UJ252" s="132">
        <f t="shared" si="377"/>
        <v>0</v>
      </c>
      <c r="UK252" s="132">
        <f t="shared" si="378"/>
        <v>0</v>
      </c>
      <c r="UL252" s="132">
        <f t="shared" si="413"/>
        <v>595000</v>
      </c>
      <c r="UM252" s="131">
        <f t="shared" si="379"/>
        <v>595000</v>
      </c>
      <c r="UN252" s="131">
        <f t="shared" si="380"/>
        <v>595000</v>
      </c>
      <c r="UO252" s="131">
        <f t="shared" si="381"/>
        <v>521000</v>
      </c>
      <c r="UP252" s="132">
        <f t="shared" si="382"/>
        <v>521000</v>
      </c>
      <c r="UQ252" s="132">
        <f t="shared" si="383"/>
        <v>0</v>
      </c>
      <c r="UR252" s="132">
        <f t="shared" si="384"/>
        <v>0</v>
      </c>
      <c r="US252" s="132">
        <f t="shared" si="385"/>
        <v>0</v>
      </c>
      <c r="UT252" s="131">
        <f t="shared" si="386"/>
        <v>74000</v>
      </c>
      <c r="UU252" s="131">
        <f t="shared" si="387"/>
        <v>7000</v>
      </c>
      <c r="UV252" s="132">
        <f t="shared" si="388"/>
        <v>2000</v>
      </c>
      <c r="UW252" s="132">
        <f t="shared" si="389"/>
        <v>5000</v>
      </c>
      <c r="UX252" s="132">
        <f t="shared" si="390"/>
        <v>0</v>
      </c>
      <c r="UY252" s="132">
        <f t="shared" si="391"/>
        <v>5000</v>
      </c>
      <c r="UZ252" s="132">
        <f t="shared" si="392"/>
        <v>0</v>
      </c>
      <c r="VA252" s="132">
        <f t="shared" si="393"/>
        <v>2000</v>
      </c>
      <c r="VB252" s="131">
        <f t="shared" si="394"/>
        <v>60000</v>
      </c>
      <c r="VC252" s="132">
        <f t="shared" si="395"/>
        <v>8000</v>
      </c>
      <c r="VD252" s="132">
        <f t="shared" si="396"/>
        <v>5000</v>
      </c>
      <c r="VE252" s="132">
        <f t="shared" si="397"/>
        <v>14000</v>
      </c>
      <c r="VF252" s="132">
        <f t="shared" si="398"/>
        <v>15000</v>
      </c>
      <c r="VG252" s="132">
        <f t="shared" si="399"/>
        <v>5000</v>
      </c>
      <c r="VH252" s="132">
        <f t="shared" si="400"/>
        <v>3000</v>
      </c>
      <c r="VI252" s="132">
        <f t="shared" si="401"/>
        <v>2000</v>
      </c>
      <c r="VJ252" s="132">
        <f t="shared" si="402"/>
        <v>0</v>
      </c>
      <c r="VK252" s="132">
        <f t="shared" si="403"/>
        <v>0</v>
      </c>
      <c r="VL252" s="132">
        <f t="shared" si="404"/>
        <v>8000</v>
      </c>
      <c r="VM252" s="132">
        <f t="shared" si="405"/>
        <v>0</v>
      </c>
      <c r="VN252" s="132">
        <f t="shared" si="406"/>
        <v>0</v>
      </c>
      <c r="VP252" s="845" t="str">
        <f>IFERROR(HLOOKUP(F252,'Hodnocení '!$C$1:$JH$5,2,FALSE),0)</f>
        <v>Průvodcovské a předčitatelské služby</v>
      </c>
      <c r="VQ252" s="838"/>
      <c r="VR252" s="845" t="str">
        <f t="shared" si="414"/>
        <v>Obecně prospěšná společnost</v>
      </c>
      <c r="VS252" s="845" t="str">
        <f>IFERROR(HLOOKUP(F252,'Hodnocení '!$C$1:$JH$5,5,FALSE),0)</f>
        <v>NZO</v>
      </c>
      <c r="VT252" s="838">
        <f t="shared" si="415"/>
        <v>0</v>
      </c>
      <c r="VU252" s="838">
        <f t="shared" si="416"/>
        <v>0</v>
      </c>
      <c r="VV252" s="838">
        <f t="shared" si="417"/>
        <v>0</v>
      </c>
      <c r="VW252" s="838">
        <f t="shared" si="418"/>
        <v>0</v>
      </c>
      <c r="VX252" s="838"/>
      <c r="VY252" s="838">
        <f t="shared" si="419"/>
        <v>0</v>
      </c>
      <c r="VZ252" s="838">
        <f t="shared" si="420"/>
        <v>595000</v>
      </c>
      <c r="WA252" s="846">
        <f>IFERROR(HLOOKUP($F252,'Hodnocení '!$C$1:$JH$9,9,FALSE),0)</f>
        <v>595000</v>
      </c>
      <c r="WB252" s="846">
        <f>IF(IFERROR(HLOOKUP($F252,'Hodnocení '!$C$1:$JH$13,13,FALSE),0)&gt;WA252,WA252,IFERROR(HLOOKUP($F252,'Hodnocení '!$C$1:$JH$13,13,FALSE),0))</f>
        <v>595000</v>
      </c>
      <c r="WC252" s="846">
        <f>IFERROR(HLOOKUP($F252,'Hodnocení '!$C$1:$JH$155,155,FALSE),0)</f>
        <v>595000</v>
      </c>
      <c r="WD252" s="845"/>
      <c r="WE252" s="845"/>
      <c r="WF252" s="845" t="str">
        <f t="shared" si="407"/>
        <v>ANO</v>
      </c>
      <c r="WG252" s="849" t="str">
        <f t="shared" si="421"/>
        <v>Podpora služby je vyjádřena zařazením do sítě sociálních služeb v KHK a řešením financování služby</v>
      </c>
      <c r="WH252"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52" s="849" t="str">
        <f t="shared" si="421"/>
        <v>Návrh dotace je výsledkem projednání s ostatními zadavateli v rámci sítě služeb KHK</v>
      </c>
      <c r="WJ252" s="849" t="str">
        <f t="shared" si="421"/>
        <v>Bez komentáře</v>
      </c>
      <c r="WK252" s="31">
        <f t="shared" si="408"/>
        <v>0</v>
      </c>
      <c r="WL252" s="850">
        <f t="shared" si="409"/>
        <v>0</v>
      </c>
      <c r="WM252" s="849">
        <f t="shared" si="410"/>
        <v>0</v>
      </c>
      <c r="WN252" s="849">
        <f t="shared" si="411"/>
        <v>0</v>
      </c>
      <c r="WO252" s="849" t="str">
        <f t="shared" si="422"/>
        <v>bez komentáře</v>
      </c>
      <c r="WP252" s="849" t="str">
        <f t="shared" si="422"/>
        <v>bez komentáře</v>
      </c>
      <c r="WQ252" s="849" t="str">
        <f t="shared" si="422"/>
        <v>Konečná výše dotace z rozpočtu KHK bude řešena v návaznosti na řešení podílů jednotlivých zadavatelů.</v>
      </c>
      <c r="WR252" s="849" t="str">
        <f t="shared" si="422"/>
        <v>Konečná výše podpory ze stran obcí bude řešena v součinnosti s jednotlivými zadavateli v průběhu roku.</v>
      </c>
      <c r="WS252" s="849" t="str">
        <f t="shared" si="422"/>
        <v>bez komentáře</v>
      </c>
      <c r="WT252" s="849" t="str">
        <f t="shared" si="422"/>
        <v>bez komentáře</v>
      </c>
      <c r="WU252" s="845"/>
    </row>
    <row r="253" spans="1:619" s="128" customFormat="1" x14ac:dyDescent="0.25">
      <c r="A253" s="128" t="str">
        <f>VLOOKUP(F253,'Výpočet VP 2020'!$D$324:$I$588,6,FALSE)</f>
        <v>Je v síti</v>
      </c>
      <c r="B253" s="128" t="s">
        <v>979</v>
      </c>
      <c r="C253" s="128">
        <v>25975498</v>
      </c>
      <c r="D253" s="128" t="s">
        <v>980</v>
      </c>
      <c r="E253" s="128" t="s">
        <v>216</v>
      </c>
      <c r="F253" s="128">
        <v>4373225</v>
      </c>
      <c r="G253" s="128" t="s">
        <v>235</v>
      </c>
      <c r="H253" s="128" t="s">
        <v>230</v>
      </c>
      <c r="I253" s="128" t="s">
        <v>991</v>
      </c>
      <c r="J253" s="129">
        <v>39083</v>
      </c>
      <c r="L253" s="128" t="s">
        <v>220</v>
      </c>
      <c r="X253" s="128" t="s">
        <v>274</v>
      </c>
      <c r="Z253" s="128">
        <v>2</v>
      </c>
      <c r="AA253" s="128">
        <v>2</v>
      </c>
      <c r="AB253" s="128">
        <v>31</v>
      </c>
      <c r="AC253" s="128">
        <v>30</v>
      </c>
      <c r="AD253" s="128">
        <v>30</v>
      </c>
      <c r="AO253" s="128" t="s">
        <v>992</v>
      </c>
      <c r="AP253" s="128" t="s">
        <v>274</v>
      </c>
      <c r="AQ253" s="128">
        <v>2</v>
      </c>
      <c r="AR253" s="128">
        <v>2</v>
      </c>
      <c r="AS253" s="128">
        <v>16</v>
      </c>
      <c r="AT253" s="128">
        <v>10</v>
      </c>
      <c r="AU253" s="128">
        <v>10</v>
      </c>
      <c r="BK253" s="128" t="s">
        <v>992</v>
      </c>
      <c r="BL253" s="128" t="s">
        <v>983</v>
      </c>
      <c r="BM253" s="128" t="s">
        <v>984</v>
      </c>
      <c r="BN253" s="128" t="s">
        <v>264</v>
      </c>
      <c r="EK253" s="128">
        <v>2</v>
      </c>
      <c r="EL253" s="128">
        <v>1.1000000000000001</v>
      </c>
      <c r="EM253" s="128">
        <v>1.1000000000000001</v>
      </c>
      <c r="EN253" s="128">
        <v>607000</v>
      </c>
      <c r="EO253" s="128">
        <v>607000</v>
      </c>
      <c r="FJ253" s="128">
        <v>1</v>
      </c>
      <c r="FK253" s="128">
        <v>0.5</v>
      </c>
      <c r="FL253" s="128">
        <v>0.5</v>
      </c>
      <c r="FM253" s="128">
        <v>352000</v>
      </c>
      <c r="FN253" s="128">
        <v>208000</v>
      </c>
      <c r="FO253" s="128">
        <v>2</v>
      </c>
      <c r="FP253" s="128">
        <v>0.2</v>
      </c>
      <c r="FQ253" s="128">
        <v>0.2</v>
      </c>
      <c r="FR253" s="128">
        <v>117000</v>
      </c>
      <c r="FS253" s="128">
        <v>117000</v>
      </c>
      <c r="IH253" s="128">
        <v>1</v>
      </c>
      <c r="II253" s="128">
        <v>0.2</v>
      </c>
      <c r="IJ253" s="128">
        <v>12</v>
      </c>
      <c r="IK253" s="128">
        <v>0.2</v>
      </c>
      <c r="IL253" s="128">
        <v>133000</v>
      </c>
      <c r="IM253" s="128">
        <v>133000</v>
      </c>
      <c r="KG253" s="128">
        <v>0</v>
      </c>
      <c r="KI253" s="128">
        <v>1.6</v>
      </c>
      <c r="KJ253" s="128">
        <v>0</v>
      </c>
      <c r="KK253" s="128">
        <v>0</v>
      </c>
      <c r="KL253" s="128">
        <v>0</v>
      </c>
      <c r="KM253" s="128">
        <v>1.6</v>
      </c>
      <c r="KN253" s="128">
        <v>1076000</v>
      </c>
      <c r="KO253" s="128">
        <v>932000</v>
      </c>
      <c r="KP253" s="128">
        <v>932000</v>
      </c>
      <c r="KT253" s="128">
        <v>133000</v>
      </c>
      <c r="KU253" s="128">
        <v>133000</v>
      </c>
      <c r="KV253" s="128">
        <v>133000</v>
      </c>
      <c r="KZ253" s="128">
        <v>0</v>
      </c>
      <c r="LA253" s="128">
        <v>0</v>
      </c>
      <c r="LB253" s="128">
        <v>0</v>
      </c>
      <c r="LF253" s="128">
        <v>0</v>
      </c>
      <c r="LG253" s="128">
        <v>0</v>
      </c>
      <c r="LH253" s="128">
        <v>0</v>
      </c>
      <c r="LL253" s="128">
        <v>50000</v>
      </c>
      <c r="LM253" s="128">
        <v>50000</v>
      </c>
      <c r="LN253" s="128">
        <v>50000</v>
      </c>
      <c r="LR253" s="128">
        <v>4000</v>
      </c>
      <c r="LS253" s="128">
        <v>4000</v>
      </c>
      <c r="LT253" s="128">
        <v>4000</v>
      </c>
      <c r="LX253" s="128">
        <v>0</v>
      </c>
      <c r="LY253" s="128">
        <v>0</v>
      </c>
      <c r="LZ253" s="128">
        <v>0</v>
      </c>
      <c r="MD253" s="128">
        <v>6000</v>
      </c>
      <c r="ME253" s="128">
        <v>6000</v>
      </c>
      <c r="MF253" s="128">
        <v>6000</v>
      </c>
      <c r="MJ253" s="128">
        <v>0</v>
      </c>
      <c r="MK253" s="128">
        <v>0</v>
      </c>
      <c r="ML253" s="128">
        <v>0</v>
      </c>
      <c r="MP253" s="128">
        <v>4000</v>
      </c>
      <c r="MQ253" s="128">
        <v>4000</v>
      </c>
      <c r="MR253" s="128">
        <v>4000</v>
      </c>
      <c r="MV253" s="128">
        <v>8000</v>
      </c>
      <c r="MW253" s="128">
        <v>8000</v>
      </c>
      <c r="MX253" s="128">
        <v>8000</v>
      </c>
      <c r="NB253" s="128">
        <v>15000</v>
      </c>
      <c r="NC253" s="128">
        <v>15000</v>
      </c>
      <c r="ND253" s="128">
        <v>15000</v>
      </c>
      <c r="NH253" s="128">
        <v>21000</v>
      </c>
      <c r="NI253" s="128">
        <v>14000</v>
      </c>
      <c r="NJ253" s="128">
        <v>14000</v>
      </c>
      <c r="NN253" s="128">
        <v>45000</v>
      </c>
      <c r="NO253" s="128">
        <v>30000</v>
      </c>
      <c r="NP253" s="128">
        <v>30000</v>
      </c>
      <c r="NT253" s="128">
        <v>15000</v>
      </c>
      <c r="NU253" s="128">
        <v>10000</v>
      </c>
      <c r="NV253" s="128">
        <v>10000</v>
      </c>
      <c r="NZ253" s="128">
        <v>10000</v>
      </c>
      <c r="OA253" s="128">
        <v>5000</v>
      </c>
      <c r="OB253" s="128">
        <v>5000</v>
      </c>
      <c r="OF253" s="128">
        <v>20000</v>
      </c>
      <c r="OG253" s="128">
        <v>20000</v>
      </c>
      <c r="OH253" s="128">
        <v>20000</v>
      </c>
      <c r="OL253" s="128">
        <v>0</v>
      </c>
      <c r="OM253" s="128">
        <v>0</v>
      </c>
      <c r="ON253" s="128">
        <v>0</v>
      </c>
      <c r="OR253" s="128">
        <v>0</v>
      </c>
      <c r="OS253" s="128">
        <v>0</v>
      </c>
      <c r="OT253" s="128">
        <v>0</v>
      </c>
      <c r="OX253" s="128">
        <v>30500</v>
      </c>
      <c r="OY253" s="128">
        <v>20497</v>
      </c>
      <c r="OZ253" s="128">
        <v>20497</v>
      </c>
      <c r="PD253" s="128">
        <v>0</v>
      </c>
      <c r="PE253" s="128">
        <v>0</v>
      </c>
      <c r="PF253" s="128">
        <v>0</v>
      </c>
      <c r="PJ253" s="128">
        <v>6000</v>
      </c>
      <c r="PK253" s="128">
        <v>3000</v>
      </c>
      <c r="PL253" s="128">
        <v>3000</v>
      </c>
      <c r="PP253" s="128">
        <v>1443500</v>
      </c>
      <c r="PQ253" s="128">
        <v>1254497</v>
      </c>
      <c r="PR253" s="128">
        <v>1254497</v>
      </c>
      <c r="PS253" s="128">
        <v>100</v>
      </c>
      <c r="PT253" s="128">
        <v>100</v>
      </c>
      <c r="PX253" s="128">
        <v>85000</v>
      </c>
      <c r="PY253" s="128">
        <v>531000</v>
      </c>
      <c r="PZ253" s="128">
        <v>1254497</v>
      </c>
      <c r="QA253" s="128">
        <v>144004</v>
      </c>
      <c r="QB253" s="128">
        <v>174460</v>
      </c>
      <c r="QC253" s="128">
        <v>144000</v>
      </c>
      <c r="QD253" s="128">
        <v>0</v>
      </c>
      <c r="QE253" s="128">
        <v>0</v>
      </c>
      <c r="QF253" s="128">
        <v>0</v>
      </c>
      <c r="QG253" s="128">
        <v>0</v>
      </c>
      <c r="QH253" s="128">
        <v>0</v>
      </c>
      <c r="QI253" s="128">
        <v>0</v>
      </c>
      <c r="QJ253" s="128">
        <v>0</v>
      </c>
      <c r="QK253" s="128">
        <v>0</v>
      </c>
      <c r="QL253" s="128">
        <v>0</v>
      </c>
      <c r="QN253" s="128">
        <v>0</v>
      </c>
      <c r="QO253" s="128">
        <v>0</v>
      </c>
      <c r="QP253" s="128">
        <v>0</v>
      </c>
      <c r="QU253" s="128">
        <v>10000</v>
      </c>
      <c r="QV253" s="128">
        <v>45000</v>
      </c>
      <c r="QW253" s="128">
        <v>0</v>
      </c>
      <c r="QX253" s="128">
        <v>25000</v>
      </c>
      <c r="QY253" s="128">
        <v>48000</v>
      </c>
      <c r="QZ253" s="128">
        <v>40000</v>
      </c>
      <c r="RA253" s="128">
        <v>916732</v>
      </c>
      <c r="RB253" s="128">
        <v>492000</v>
      </c>
      <c r="RC253" s="128">
        <v>0</v>
      </c>
      <c r="RD253" s="128">
        <v>377</v>
      </c>
      <c r="RE253" s="128">
        <v>4540</v>
      </c>
      <c r="RF253" s="128">
        <v>5003</v>
      </c>
      <c r="RH253" s="128">
        <f t="shared" si="412"/>
        <v>1443500</v>
      </c>
      <c r="RI253" s="128">
        <v>0</v>
      </c>
      <c r="RM253" s="128" t="s">
        <v>220</v>
      </c>
      <c r="RU253" s="130"/>
      <c r="RV253" s="130"/>
      <c r="RW253" s="130"/>
      <c r="RX253" s="130"/>
      <c r="SF253" s="128">
        <f t="shared" si="322"/>
        <v>4373225</v>
      </c>
      <c r="SG253" s="131">
        <f t="shared" si="323"/>
        <v>1443500</v>
      </c>
      <c r="SH253" s="131">
        <f t="shared" si="324"/>
        <v>1443500</v>
      </c>
      <c r="SI253" s="131">
        <f t="shared" si="325"/>
        <v>1209000</v>
      </c>
      <c r="SJ253" s="132">
        <f t="shared" si="326"/>
        <v>1076000</v>
      </c>
      <c r="SK253" s="132">
        <f t="shared" si="327"/>
        <v>133000</v>
      </c>
      <c r="SL253" s="132">
        <f t="shared" si="328"/>
        <v>0</v>
      </c>
      <c r="SM253" s="132">
        <f t="shared" si="329"/>
        <v>0</v>
      </c>
      <c r="SN253" s="131">
        <f t="shared" si="330"/>
        <v>234500</v>
      </c>
      <c r="SO253" s="131">
        <f t="shared" si="331"/>
        <v>54000</v>
      </c>
      <c r="SP253" s="132">
        <f t="shared" si="332"/>
        <v>50000</v>
      </c>
      <c r="SQ253" s="132">
        <f t="shared" si="333"/>
        <v>4000</v>
      </c>
      <c r="SR253" s="132">
        <f t="shared" si="334"/>
        <v>0</v>
      </c>
      <c r="SS253" s="132">
        <f t="shared" si="335"/>
        <v>6000</v>
      </c>
      <c r="ST253" s="132">
        <f t="shared" si="336"/>
        <v>0</v>
      </c>
      <c r="SU253" s="132">
        <f t="shared" si="337"/>
        <v>4000</v>
      </c>
      <c r="SV253" s="131">
        <f t="shared" si="338"/>
        <v>164500</v>
      </c>
      <c r="SW253" s="132">
        <f t="shared" si="339"/>
        <v>8000</v>
      </c>
      <c r="SX253" s="132">
        <f t="shared" si="340"/>
        <v>15000</v>
      </c>
      <c r="SY253" s="132">
        <f t="shared" si="341"/>
        <v>21000</v>
      </c>
      <c r="SZ253" s="132">
        <f t="shared" si="342"/>
        <v>45000</v>
      </c>
      <c r="TA253" s="132">
        <f t="shared" si="343"/>
        <v>15000</v>
      </c>
      <c r="TB253" s="132">
        <f t="shared" si="344"/>
        <v>10000</v>
      </c>
      <c r="TC253" s="132">
        <f t="shared" si="345"/>
        <v>20000</v>
      </c>
      <c r="TD253" s="132">
        <f t="shared" si="346"/>
        <v>0</v>
      </c>
      <c r="TE253" s="132">
        <f t="shared" si="347"/>
        <v>0</v>
      </c>
      <c r="TF253" s="132">
        <f t="shared" si="348"/>
        <v>30500</v>
      </c>
      <c r="TG253" s="132">
        <f t="shared" si="349"/>
        <v>0</v>
      </c>
      <c r="TH253" s="132">
        <f t="shared" si="350"/>
        <v>6000</v>
      </c>
      <c r="TI253" s="1"/>
      <c r="TJ253" s="131">
        <f t="shared" si="351"/>
        <v>1254497</v>
      </c>
      <c r="TK253" s="131">
        <f t="shared" si="352"/>
        <v>1254497</v>
      </c>
      <c r="TL253" s="131">
        <f t="shared" si="353"/>
        <v>1065000</v>
      </c>
      <c r="TM253" s="132">
        <f t="shared" si="354"/>
        <v>932000</v>
      </c>
      <c r="TN253" s="132">
        <f t="shared" si="355"/>
        <v>133000</v>
      </c>
      <c r="TO253" s="132">
        <f t="shared" si="356"/>
        <v>0</v>
      </c>
      <c r="TP253" s="132">
        <f t="shared" si="357"/>
        <v>0</v>
      </c>
      <c r="TQ253" s="131">
        <f t="shared" si="358"/>
        <v>189497</v>
      </c>
      <c r="TR253" s="131">
        <f t="shared" si="359"/>
        <v>54000</v>
      </c>
      <c r="TS253" s="132">
        <f t="shared" si="360"/>
        <v>50000</v>
      </c>
      <c r="TT253" s="132">
        <f t="shared" si="361"/>
        <v>4000</v>
      </c>
      <c r="TU253" s="132">
        <f t="shared" si="362"/>
        <v>0</v>
      </c>
      <c r="TV253" s="132">
        <f t="shared" si="363"/>
        <v>6000</v>
      </c>
      <c r="TW253" s="132">
        <f t="shared" si="364"/>
        <v>0</v>
      </c>
      <c r="TX253" s="132">
        <f t="shared" si="365"/>
        <v>4000</v>
      </c>
      <c r="TY253" s="131">
        <f t="shared" si="366"/>
        <v>122497</v>
      </c>
      <c r="TZ253" s="132">
        <f t="shared" si="367"/>
        <v>8000</v>
      </c>
      <c r="UA253" s="132">
        <f t="shared" si="368"/>
        <v>15000</v>
      </c>
      <c r="UB253" s="132">
        <f t="shared" si="369"/>
        <v>14000</v>
      </c>
      <c r="UC253" s="132">
        <f t="shared" si="370"/>
        <v>30000</v>
      </c>
      <c r="UD253" s="132">
        <f t="shared" si="371"/>
        <v>10000</v>
      </c>
      <c r="UE253" s="132">
        <f t="shared" si="372"/>
        <v>5000</v>
      </c>
      <c r="UF253" s="132">
        <f t="shared" si="373"/>
        <v>20000</v>
      </c>
      <c r="UG253" s="132">
        <f t="shared" si="374"/>
        <v>0</v>
      </c>
      <c r="UH253" s="132">
        <f t="shared" si="375"/>
        <v>0</v>
      </c>
      <c r="UI253" s="132">
        <f t="shared" si="376"/>
        <v>20497</v>
      </c>
      <c r="UJ253" s="132">
        <f t="shared" si="377"/>
        <v>0</v>
      </c>
      <c r="UK253" s="132">
        <f t="shared" si="378"/>
        <v>3000</v>
      </c>
      <c r="UL253" s="132">
        <f t="shared" si="413"/>
        <v>1254497</v>
      </c>
      <c r="UM253" s="131">
        <f t="shared" si="379"/>
        <v>1254497</v>
      </c>
      <c r="UN253" s="131">
        <f t="shared" si="380"/>
        <v>1254497</v>
      </c>
      <c r="UO253" s="131">
        <f t="shared" si="381"/>
        <v>1065000</v>
      </c>
      <c r="UP253" s="132">
        <f t="shared" si="382"/>
        <v>932000</v>
      </c>
      <c r="UQ253" s="132">
        <f t="shared" si="383"/>
        <v>133000</v>
      </c>
      <c r="UR253" s="132">
        <f t="shared" si="384"/>
        <v>0</v>
      </c>
      <c r="US253" s="132">
        <f t="shared" si="385"/>
        <v>0</v>
      </c>
      <c r="UT253" s="131">
        <f t="shared" si="386"/>
        <v>189497</v>
      </c>
      <c r="UU253" s="131">
        <f t="shared" si="387"/>
        <v>54000</v>
      </c>
      <c r="UV253" s="132">
        <f t="shared" si="388"/>
        <v>50000</v>
      </c>
      <c r="UW253" s="132">
        <f t="shared" si="389"/>
        <v>4000</v>
      </c>
      <c r="UX253" s="132">
        <f t="shared" si="390"/>
        <v>0</v>
      </c>
      <c r="UY253" s="132">
        <f t="shared" si="391"/>
        <v>6000</v>
      </c>
      <c r="UZ253" s="132">
        <f t="shared" si="392"/>
        <v>0</v>
      </c>
      <c r="VA253" s="132">
        <f t="shared" si="393"/>
        <v>4000</v>
      </c>
      <c r="VB253" s="131">
        <f t="shared" si="394"/>
        <v>122497</v>
      </c>
      <c r="VC253" s="132">
        <f t="shared" si="395"/>
        <v>8000</v>
      </c>
      <c r="VD253" s="132">
        <f t="shared" si="396"/>
        <v>15000</v>
      </c>
      <c r="VE253" s="132">
        <f t="shared" si="397"/>
        <v>14000</v>
      </c>
      <c r="VF253" s="132">
        <f t="shared" si="398"/>
        <v>30000</v>
      </c>
      <c r="VG253" s="132">
        <f t="shared" si="399"/>
        <v>10000</v>
      </c>
      <c r="VH253" s="132">
        <f t="shared" si="400"/>
        <v>5000</v>
      </c>
      <c r="VI253" s="132">
        <f t="shared" si="401"/>
        <v>20000</v>
      </c>
      <c r="VJ253" s="132">
        <f t="shared" si="402"/>
        <v>0</v>
      </c>
      <c r="VK253" s="132">
        <f t="shared" si="403"/>
        <v>0</v>
      </c>
      <c r="VL253" s="132">
        <f t="shared" si="404"/>
        <v>20497</v>
      </c>
      <c r="VM253" s="132">
        <f t="shared" si="405"/>
        <v>0</v>
      </c>
      <c r="VN253" s="132">
        <f t="shared" si="406"/>
        <v>3000</v>
      </c>
      <c r="VP253" s="845" t="str">
        <f>IFERROR(HLOOKUP(F253,'Hodnocení '!$C$1:$JH$5,2,FALSE),0)</f>
        <v>Sociální rehabilitace pro zrakově postižené</v>
      </c>
      <c r="VQ253" s="838"/>
      <c r="VR253" s="845" t="str">
        <f t="shared" si="414"/>
        <v>Obecně prospěšná společnost</v>
      </c>
      <c r="VS253" s="845" t="str">
        <f>IFERROR(HLOOKUP(F253,'Hodnocení '!$C$1:$JH$5,5,FALSE),0)</f>
        <v>NZO</v>
      </c>
      <c r="VT253" s="838">
        <f t="shared" si="415"/>
        <v>0</v>
      </c>
      <c r="VU253" s="838">
        <f t="shared" si="416"/>
        <v>0</v>
      </c>
      <c r="VV253" s="838">
        <f t="shared" si="417"/>
        <v>0</v>
      </c>
      <c r="VW253" s="838">
        <f t="shared" si="418"/>
        <v>0</v>
      </c>
      <c r="VX253" s="838"/>
      <c r="VY253" s="838">
        <f t="shared" si="419"/>
        <v>0</v>
      </c>
      <c r="VZ253" s="838">
        <f t="shared" si="420"/>
        <v>1254497</v>
      </c>
      <c r="WA253" s="846">
        <f>IFERROR(HLOOKUP($F253,'Hodnocení '!$C$1:$JH$9,9,FALSE),0)</f>
        <v>1254497</v>
      </c>
      <c r="WB253" s="846">
        <f>IF(IFERROR(HLOOKUP($F253,'Hodnocení '!$C$1:$JH$13,13,FALSE),0)&gt;WA253,WA253,IFERROR(HLOOKUP($F253,'Hodnocení '!$C$1:$JH$13,13,FALSE),0))</f>
        <v>1193447.1423064759</v>
      </c>
      <c r="WC253" s="846">
        <f>IFERROR(HLOOKUP($F253,'Hodnocení '!$C$1:$JH$155,155,FALSE),0)</f>
        <v>0</v>
      </c>
      <c r="WD253" s="845"/>
      <c r="WE253" s="845"/>
      <c r="WF253" s="845" t="str">
        <f t="shared" si="407"/>
        <v>ANO</v>
      </c>
      <c r="WG253" s="849" t="str">
        <f t="shared" si="421"/>
        <v>Podpora služby je vyjádřena zařazením do sítě sociálních služeb v KHK a řešením financování služby</v>
      </c>
      <c r="WH253"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53" s="849" t="str">
        <f t="shared" si="421"/>
        <v>Návrh dotace je výsledkem projednání s ostatními zadavateli v rámci sítě služeb KHK</v>
      </c>
      <c r="WJ253" s="849" t="str">
        <f t="shared" si="421"/>
        <v>Bez komentáře</v>
      </c>
      <c r="WK253" s="31">
        <f t="shared" si="408"/>
        <v>0</v>
      </c>
      <c r="WL253" s="850">
        <f t="shared" si="409"/>
        <v>0</v>
      </c>
      <c r="WM253" s="849">
        <f t="shared" si="410"/>
        <v>0</v>
      </c>
      <c r="WN253" s="849">
        <f t="shared" si="411"/>
        <v>0</v>
      </c>
      <c r="WO253" s="849" t="str">
        <f t="shared" si="422"/>
        <v>bez komentáře</v>
      </c>
      <c r="WP253" s="849" t="str">
        <f t="shared" si="422"/>
        <v>bez komentáře</v>
      </c>
      <c r="WQ253" s="849" t="str">
        <f t="shared" si="422"/>
        <v>Konečná výše dotace z rozpočtu KHK bude řešena v návaznosti na řešení podílů jednotlivých zadavatelů.</v>
      </c>
      <c r="WR253" s="849" t="str">
        <f t="shared" si="422"/>
        <v>Konečná výše podpory ze stran obcí bude řešena v součinnosti s jednotlivými zadavateli v průběhu roku.</v>
      </c>
      <c r="WS253" s="849" t="str">
        <f t="shared" si="422"/>
        <v>bez komentáře</v>
      </c>
      <c r="WT253" s="849" t="str">
        <f t="shared" si="422"/>
        <v>bez komentáře</v>
      </c>
      <c r="WU253" s="845"/>
    </row>
    <row r="254" spans="1:619" s="128" customFormat="1" x14ac:dyDescent="0.25">
      <c r="A254" s="128" t="str">
        <f>VLOOKUP(F254,'Výpočet VP 2020'!$D$324:$I$588,6,FALSE)</f>
        <v>Je v síti</v>
      </c>
      <c r="B254" s="128" t="s">
        <v>979</v>
      </c>
      <c r="C254" s="128">
        <v>25975498</v>
      </c>
      <c r="D254" s="128" t="s">
        <v>980</v>
      </c>
      <c r="E254" s="128" t="s">
        <v>216</v>
      </c>
      <c r="F254" s="128">
        <v>5700178</v>
      </c>
      <c r="G254" s="128" t="s">
        <v>292</v>
      </c>
      <c r="H254" s="128" t="s">
        <v>293</v>
      </c>
      <c r="I254" s="128" t="s">
        <v>985</v>
      </c>
      <c r="J254" s="129">
        <v>39083</v>
      </c>
      <c r="L254" s="128" t="s">
        <v>220</v>
      </c>
      <c r="X254" s="128" t="s">
        <v>768</v>
      </c>
      <c r="AI254" s="128">
        <v>2</v>
      </c>
      <c r="AJ254" s="128">
        <v>2</v>
      </c>
      <c r="AK254" s="128">
        <v>184</v>
      </c>
      <c r="AL254" s="128">
        <v>150</v>
      </c>
      <c r="AM254" s="128">
        <v>150</v>
      </c>
      <c r="AO254" s="128" t="s">
        <v>993</v>
      </c>
      <c r="AP254" s="128" t="s">
        <v>768</v>
      </c>
      <c r="BE254" s="128">
        <v>2</v>
      </c>
      <c r="BF254" s="128">
        <v>2</v>
      </c>
      <c r="BG254" s="128">
        <v>231</v>
      </c>
      <c r="BH254" s="128">
        <v>200</v>
      </c>
      <c r="BI254" s="128">
        <v>200</v>
      </c>
      <c r="BK254" s="128" t="s">
        <v>994</v>
      </c>
      <c r="BL254" s="128" t="s">
        <v>983</v>
      </c>
      <c r="BM254" s="128" t="s">
        <v>984</v>
      </c>
      <c r="BN254" s="128" t="s">
        <v>264</v>
      </c>
      <c r="EK254" s="128">
        <v>3</v>
      </c>
      <c r="EL254" s="128">
        <v>0.75</v>
      </c>
      <c r="EM254" s="128">
        <v>0.75</v>
      </c>
      <c r="EN254" s="128">
        <v>383000</v>
      </c>
      <c r="EO254" s="128">
        <v>293000</v>
      </c>
      <c r="FJ254" s="128">
        <v>1</v>
      </c>
      <c r="FK254" s="128">
        <v>0.5</v>
      </c>
      <c r="FL254" s="128">
        <v>0.5</v>
      </c>
      <c r="FM254" s="128">
        <v>252000</v>
      </c>
      <c r="FN254" s="128">
        <v>108000</v>
      </c>
      <c r="FO254" s="128">
        <v>2</v>
      </c>
      <c r="FP254" s="128">
        <v>0.3</v>
      </c>
      <c r="FQ254" s="128">
        <v>0.3</v>
      </c>
      <c r="FR254" s="128">
        <v>182000</v>
      </c>
      <c r="FS254" s="128">
        <v>182000</v>
      </c>
      <c r="KG254" s="128">
        <v>0</v>
      </c>
      <c r="KI254" s="128">
        <v>1.25</v>
      </c>
      <c r="KJ254" s="128">
        <v>0</v>
      </c>
      <c r="KK254" s="128">
        <v>0</v>
      </c>
      <c r="KL254" s="128">
        <v>0</v>
      </c>
      <c r="KM254" s="128">
        <v>1.25</v>
      </c>
      <c r="KN254" s="128">
        <v>817000</v>
      </c>
      <c r="KO254" s="128">
        <v>583000</v>
      </c>
      <c r="KP254" s="128">
        <v>583000</v>
      </c>
      <c r="KT254" s="128">
        <v>0</v>
      </c>
      <c r="KU254" s="128">
        <v>0</v>
      </c>
      <c r="KV254" s="128">
        <v>0</v>
      </c>
      <c r="KZ254" s="128">
        <v>0</v>
      </c>
      <c r="LA254" s="128">
        <v>0</v>
      </c>
      <c r="LB254" s="128">
        <v>0</v>
      </c>
      <c r="LF254" s="128">
        <v>0</v>
      </c>
      <c r="LG254" s="128">
        <v>0</v>
      </c>
      <c r="LH254" s="128">
        <v>0</v>
      </c>
      <c r="LL254" s="128">
        <v>1000</v>
      </c>
      <c r="LM254" s="128">
        <v>1000</v>
      </c>
      <c r="LN254" s="128">
        <v>1000</v>
      </c>
      <c r="LR254" s="128">
        <v>6000</v>
      </c>
      <c r="LS254" s="128">
        <v>6000</v>
      </c>
      <c r="LT254" s="128">
        <v>6000</v>
      </c>
      <c r="LX254" s="128">
        <v>0</v>
      </c>
      <c r="LY254" s="128">
        <v>0</v>
      </c>
      <c r="LZ254" s="128">
        <v>0</v>
      </c>
      <c r="MD254" s="128">
        <v>5000</v>
      </c>
      <c r="ME254" s="128">
        <v>5000</v>
      </c>
      <c r="MF254" s="128">
        <v>5000</v>
      </c>
      <c r="MJ254" s="128">
        <v>0</v>
      </c>
      <c r="MK254" s="128">
        <v>0</v>
      </c>
      <c r="ML254" s="128">
        <v>0</v>
      </c>
      <c r="MP254" s="128">
        <v>3000</v>
      </c>
      <c r="MQ254" s="128">
        <v>3000</v>
      </c>
      <c r="MR254" s="128">
        <v>3000</v>
      </c>
      <c r="MV254" s="128">
        <v>8000</v>
      </c>
      <c r="MW254" s="128">
        <v>8000</v>
      </c>
      <c r="MX254" s="128">
        <v>8000</v>
      </c>
      <c r="NB254" s="128">
        <v>8000</v>
      </c>
      <c r="NC254" s="128">
        <v>8000</v>
      </c>
      <c r="ND254" s="128">
        <v>8000</v>
      </c>
      <c r="NH254" s="128">
        <v>21000</v>
      </c>
      <c r="NI254" s="128">
        <v>14000</v>
      </c>
      <c r="NJ254" s="128">
        <v>14000</v>
      </c>
      <c r="NN254" s="128">
        <v>33000</v>
      </c>
      <c r="NO254" s="128">
        <v>23000</v>
      </c>
      <c r="NP254" s="128">
        <v>23000</v>
      </c>
      <c r="NT254" s="128">
        <v>6000</v>
      </c>
      <c r="NU254" s="128">
        <v>1000</v>
      </c>
      <c r="NV254" s="128">
        <v>1000</v>
      </c>
      <c r="NZ254" s="128">
        <v>5000</v>
      </c>
      <c r="OA254" s="128">
        <v>3000</v>
      </c>
      <c r="OB254" s="128">
        <v>3000</v>
      </c>
      <c r="OF254" s="128">
        <v>4000</v>
      </c>
      <c r="OG254" s="128">
        <v>2000</v>
      </c>
      <c r="OH254" s="128">
        <v>2000</v>
      </c>
      <c r="OL254" s="128">
        <v>0</v>
      </c>
      <c r="OM254" s="128">
        <v>0</v>
      </c>
      <c r="ON254" s="128">
        <v>0</v>
      </c>
      <c r="OR254" s="128">
        <v>0</v>
      </c>
      <c r="OS254" s="128">
        <v>0</v>
      </c>
      <c r="OT254" s="128">
        <v>0</v>
      </c>
      <c r="OX254" s="128">
        <v>29000</v>
      </c>
      <c r="OY254" s="128">
        <v>9000</v>
      </c>
      <c r="OZ254" s="128">
        <v>9000</v>
      </c>
      <c r="PD254" s="128">
        <v>0</v>
      </c>
      <c r="PE254" s="128">
        <v>0</v>
      </c>
      <c r="PF254" s="128">
        <v>0</v>
      </c>
      <c r="PJ254" s="128">
        <v>4000</v>
      </c>
      <c r="PK254" s="128">
        <v>0</v>
      </c>
      <c r="PL254" s="128">
        <v>0</v>
      </c>
      <c r="PP254" s="128">
        <v>950000</v>
      </c>
      <c r="PQ254" s="128">
        <v>666000</v>
      </c>
      <c r="PR254" s="128">
        <v>666000</v>
      </c>
      <c r="PS254" s="128">
        <v>100</v>
      </c>
      <c r="PT254" s="128">
        <v>100</v>
      </c>
      <c r="PX254" s="128">
        <v>600000</v>
      </c>
      <c r="PY254" s="128">
        <v>640486</v>
      </c>
      <c r="PZ254" s="128">
        <v>666000</v>
      </c>
      <c r="QA254" s="128">
        <v>141385</v>
      </c>
      <c r="QB254" s="128">
        <v>145000</v>
      </c>
      <c r="QC254" s="128">
        <v>144000</v>
      </c>
      <c r="QD254" s="128">
        <v>0</v>
      </c>
      <c r="QE254" s="128">
        <v>0</v>
      </c>
      <c r="QF254" s="128">
        <v>0</v>
      </c>
      <c r="QG254" s="128">
        <v>0</v>
      </c>
      <c r="QH254" s="128">
        <v>0</v>
      </c>
      <c r="QI254" s="128">
        <v>0</v>
      </c>
      <c r="QJ254" s="128">
        <v>0</v>
      </c>
      <c r="QK254" s="128">
        <v>0</v>
      </c>
      <c r="QL254" s="128">
        <v>0</v>
      </c>
      <c r="QN254" s="128">
        <v>0</v>
      </c>
      <c r="QO254" s="128">
        <v>0</v>
      </c>
      <c r="QP254" s="128">
        <v>0</v>
      </c>
      <c r="QU254" s="128">
        <v>32500</v>
      </c>
      <c r="QV254" s="128">
        <v>28601</v>
      </c>
      <c r="QW254" s="128">
        <v>19000</v>
      </c>
      <c r="QX254" s="128">
        <v>100000</v>
      </c>
      <c r="QY254" s="128">
        <v>100000</v>
      </c>
      <c r="QZ254" s="128">
        <v>115000</v>
      </c>
      <c r="RD254" s="128">
        <v>2418</v>
      </c>
      <c r="RE254" s="128">
        <v>5913</v>
      </c>
      <c r="RF254" s="128">
        <v>6000</v>
      </c>
      <c r="RH254" s="128">
        <f t="shared" si="412"/>
        <v>950000</v>
      </c>
      <c r="RI254" s="128">
        <v>0</v>
      </c>
      <c r="RM254" s="128" t="s">
        <v>220</v>
      </c>
      <c r="RU254" s="130"/>
      <c r="RV254" s="130"/>
      <c r="RW254" s="130"/>
      <c r="RX254" s="130"/>
      <c r="SF254" s="128">
        <f t="shared" si="322"/>
        <v>5700178</v>
      </c>
      <c r="SG254" s="131">
        <f t="shared" si="323"/>
        <v>950000</v>
      </c>
      <c r="SH254" s="131">
        <f t="shared" si="324"/>
        <v>950000</v>
      </c>
      <c r="SI254" s="131">
        <f t="shared" si="325"/>
        <v>817000</v>
      </c>
      <c r="SJ254" s="132">
        <f t="shared" si="326"/>
        <v>817000</v>
      </c>
      <c r="SK254" s="132">
        <f t="shared" si="327"/>
        <v>0</v>
      </c>
      <c r="SL254" s="132">
        <f t="shared" si="328"/>
        <v>0</v>
      </c>
      <c r="SM254" s="132">
        <f t="shared" si="329"/>
        <v>0</v>
      </c>
      <c r="SN254" s="131">
        <f t="shared" si="330"/>
        <v>133000</v>
      </c>
      <c r="SO254" s="131">
        <f t="shared" si="331"/>
        <v>7000</v>
      </c>
      <c r="SP254" s="132">
        <f t="shared" si="332"/>
        <v>1000</v>
      </c>
      <c r="SQ254" s="132">
        <f t="shared" si="333"/>
        <v>6000</v>
      </c>
      <c r="SR254" s="132">
        <f t="shared" si="334"/>
        <v>0</v>
      </c>
      <c r="SS254" s="132">
        <f t="shared" si="335"/>
        <v>5000</v>
      </c>
      <c r="ST254" s="132">
        <f t="shared" si="336"/>
        <v>0</v>
      </c>
      <c r="SU254" s="132">
        <f t="shared" si="337"/>
        <v>3000</v>
      </c>
      <c r="SV254" s="131">
        <f t="shared" si="338"/>
        <v>114000</v>
      </c>
      <c r="SW254" s="132">
        <f t="shared" si="339"/>
        <v>8000</v>
      </c>
      <c r="SX254" s="132">
        <f t="shared" si="340"/>
        <v>8000</v>
      </c>
      <c r="SY254" s="132">
        <f t="shared" si="341"/>
        <v>21000</v>
      </c>
      <c r="SZ254" s="132">
        <f t="shared" si="342"/>
        <v>33000</v>
      </c>
      <c r="TA254" s="132">
        <f t="shared" si="343"/>
        <v>6000</v>
      </c>
      <c r="TB254" s="132">
        <f t="shared" si="344"/>
        <v>5000</v>
      </c>
      <c r="TC254" s="132">
        <f t="shared" si="345"/>
        <v>4000</v>
      </c>
      <c r="TD254" s="132">
        <f t="shared" si="346"/>
        <v>0</v>
      </c>
      <c r="TE254" s="132">
        <f t="shared" si="347"/>
        <v>0</v>
      </c>
      <c r="TF254" s="132">
        <f t="shared" si="348"/>
        <v>29000</v>
      </c>
      <c r="TG254" s="132">
        <f t="shared" si="349"/>
        <v>0</v>
      </c>
      <c r="TH254" s="132">
        <f t="shared" si="350"/>
        <v>4000</v>
      </c>
      <c r="TI254" s="1"/>
      <c r="TJ254" s="131">
        <f t="shared" si="351"/>
        <v>666000</v>
      </c>
      <c r="TK254" s="131">
        <f t="shared" si="352"/>
        <v>666000</v>
      </c>
      <c r="TL254" s="131">
        <f t="shared" si="353"/>
        <v>583000</v>
      </c>
      <c r="TM254" s="132">
        <f t="shared" si="354"/>
        <v>583000</v>
      </c>
      <c r="TN254" s="132">
        <f t="shared" si="355"/>
        <v>0</v>
      </c>
      <c r="TO254" s="132">
        <f t="shared" si="356"/>
        <v>0</v>
      </c>
      <c r="TP254" s="132">
        <f t="shared" si="357"/>
        <v>0</v>
      </c>
      <c r="TQ254" s="131">
        <f t="shared" si="358"/>
        <v>83000</v>
      </c>
      <c r="TR254" s="131">
        <f t="shared" si="359"/>
        <v>7000</v>
      </c>
      <c r="TS254" s="132">
        <f t="shared" si="360"/>
        <v>1000</v>
      </c>
      <c r="TT254" s="132">
        <f t="shared" si="361"/>
        <v>6000</v>
      </c>
      <c r="TU254" s="132">
        <f t="shared" si="362"/>
        <v>0</v>
      </c>
      <c r="TV254" s="132">
        <f t="shared" si="363"/>
        <v>5000</v>
      </c>
      <c r="TW254" s="132">
        <f t="shared" si="364"/>
        <v>0</v>
      </c>
      <c r="TX254" s="132">
        <f t="shared" si="365"/>
        <v>3000</v>
      </c>
      <c r="TY254" s="131">
        <f t="shared" si="366"/>
        <v>68000</v>
      </c>
      <c r="TZ254" s="132">
        <f t="shared" si="367"/>
        <v>8000</v>
      </c>
      <c r="UA254" s="132">
        <f t="shared" si="368"/>
        <v>8000</v>
      </c>
      <c r="UB254" s="132">
        <f t="shared" si="369"/>
        <v>14000</v>
      </c>
      <c r="UC254" s="132">
        <f t="shared" si="370"/>
        <v>23000</v>
      </c>
      <c r="UD254" s="132">
        <f t="shared" si="371"/>
        <v>1000</v>
      </c>
      <c r="UE254" s="132">
        <f t="shared" si="372"/>
        <v>3000</v>
      </c>
      <c r="UF254" s="132">
        <f t="shared" si="373"/>
        <v>2000</v>
      </c>
      <c r="UG254" s="132">
        <f t="shared" si="374"/>
        <v>0</v>
      </c>
      <c r="UH254" s="132">
        <f t="shared" si="375"/>
        <v>0</v>
      </c>
      <c r="UI254" s="132">
        <f t="shared" si="376"/>
        <v>9000</v>
      </c>
      <c r="UJ254" s="132">
        <f t="shared" si="377"/>
        <v>0</v>
      </c>
      <c r="UK254" s="132">
        <f t="shared" si="378"/>
        <v>0</v>
      </c>
      <c r="UL254" s="132">
        <f t="shared" si="413"/>
        <v>666000</v>
      </c>
      <c r="UM254" s="131">
        <f t="shared" si="379"/>
        <v>666000</v>
      </c>
      <c r="UN254" s="131">
        <f t="shared" si="380"/>
        <v>666000</v>
      </c>
      <c r="UO254" s="131">
        <f t="shared" si="381"/>
        <v>583000</v>
      </c>
      <c r="UP254" s="132">
        <f t="shared" si="382"/>
        <v>583000</v>
      </c>
      <c r="UQ254" s="132">
        <f t="shared" si="383"/>
        <v>0</v>
      </c>
      <c r="UR254" s="132">
        <f t="shared" si="384"/>
        <v>0</v>
      </c>
      <c r="US254" s="132">
        <f t="shared" si="385"/>
        <v>0</v>
      </c>
      <c r="UT254" s="131">
        <f t="shared" si="386"/>
        <v>83000</v>
      </c>
      <c r="UU254" s="131">
        <f t="shared" si="387"/>
        <v>7000</v>
      </c>
      <c r="UV254" s="132">
        <f t="shared" si="388"/>
        <v>1000</v>
      </c>
      <c r="UW254" s="132">
        <f t="shared" si="389"/>
        <v>6000</v>
      </c>
      <c r="UX254" s="132">
        <f t="shared" si="390"/>
        <v>0</v>
      </c>
      <c r="UY254" s="132">
        <f t="shared" si="391"/>
        <v>5000</v>
      </c>
      <c r="UZ254" s="132">
        <f t="shared" si="392"/>
        <v>0</v>
      </c>
      <c r="VA254" s="132">
        <f t="shared" si="393"/>
        <v>3000</v>
      </c>
      <c r="VB254" s="131">
        <f t="shared" si="394"/>
        <v>68000</v>
      </c>
      <c r="VC254" s="132">
        <f t="shared" si="395"/>
        <v>8000</v>
      </c>
      <c r="VD254" s="132">
        <f t="shared" si="396"/>
        <v>8000</v>
      </c>
      <c r="VE254" s="132">
        <f t="shared" si="397"/>
        <v>14000</v>
      </c>
      <c r="VF254" s="132">
        <f t="shared" si="398"/>
        <v>23000</v>
      </c>
      <c r="VG254" s="132">
        <f t="shared" si="399"/>
        <v>1000</v>
      </c>
      <c r="VH254" s="132">
        <f t="shared" si="400"/>
        <v>3000</v>
      </c>
      <c r="VI254" s="132">
        <f t="shared" si="401"/>
        <v>2000</v>
      </c>
      <c r="VJ254" s="132">
        <f t="shared" si="402"/>
        <v>0</v>
      </c>
      <c r="VK254" s="132">
        <f t="shared" si="403"/>
        <v>0</v>
      </c>
      <c r="VL254" s="132">
        <f t="shared" si="404"/>
        <v>9000</v>
      </c>
      <c r="VM254" s="132">
        <f t="shared" si="405"/>
        <v>0</v>
      </c>
      <c r="VN254" s="132">
        <f t="shared" si="406"/>
        <v>0</v>
      </c>
      <c r="VP254" s="845" t="str">
        <f>IFERROR(HLOOKUP(F254,'Hodnocení '!$C$1:$JH$5,2,FALSE),0)</f>
        <v>Základní a odborné poradenství pro zrakově postižené</v>
      </c>
      <c r="VQ254" s="838"/>
      <c r="VR254" s="845" t="str">
        <f t="shared" si="414"/>
        <v>Obecně prospěšná společnost</v>
      </c>
      <c r="VS254" s="845" t="str">
        <f>IFERROR(HLOOKUP(F254,'Hodnocení '!$C$1:$JH$5,5,FALSE),0)</f>
        <v>NZO</v>
      </c>
      <c r="VT254" s="838">
        <f t="shared" si="415"/>
        <v>0</v>
      </c>
      <c r="VU254" s="838">
        <f t="shared" si="416"/>
        <v>0</v>
      </c>
      <c r="VV254" s="838">
        <f t="shared" si="417"/>
        <v>0</v>
      </c>
      <c r="VW254" s="838">
        <f t="shared" si="418"/>
        <v>0</v>
      </c>
      <c r="VX254" s="838"/>
      <c r="VY254" s="838">
        <f t="shared" si="419"/>
        <v>0</v>
      </c>
      <c r="VZ254" s="838">
        <f t="shared" si="420"/>
        <v>666000</v>
      </c>
      <c r="WA254" s="846">
        <f>IFERROR(HLOOKUP($F254,'Hodnocení '!$C$1:$JH$9,9,FALSE),0)</f>
        <v>666000</v>
      </c>
      <c r="WB254" s="846">
        <f>IF(IFERROR(HLOOKUP($F254,'Hodnocení '!$C$1:$JH$13,13,FALSE),0)&gt;WA254,WA254,IFERROR(HLOOKUP($F254,'Hodnocení '!$C$1:$JH$13,13,FALSE),0))</f>
        <v>666000</v>
      </c>
      <c r="WC254" s="846">
        <f>IFERROR(HLOOKUP($F254,'Hodnocení '!$C$1:$JH$155,155,FALSE),0)</f>
        <v>666000</v>
      </c>
      <c r="WD254" s="845"/>
      <c r="WE254" s="845"/>
      <c r="WF254" s="845" t="str">
        <f t="shared" si="407"/>
        <v>ANO</v>
      </c>
      <c r="WG254" s="849" t="str">
        <f t="shared" si="421"/>
        <v>Podpora služby je vyjádřena zařazením do sítě sociálních služeb v KHK a řešením financování služby</v>
      </c>
      <c r="WH254"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54" s="849" t="str">
        <f t="shared" si="421"/>
        <v>Návrh dotace je výsledkem projednání s ostatními zadavateli v rámci sítě služeb KHK</v>
      </c>
      <c r="WJ254" s="849" t="str">
        <f t="shared" si="421"/>
        <v>Bez komentáře</v>
      </c>
      <c r="WK254" s="31">
        <f t="shared" si="408"/>
        <v>0</v>
      </c>
      <c r="WL254" s="850">
        <f t="shared" si="409"/>
        <v>0</v>
      </c>
      <c r="WM254" s="849">
        <f t="shared" si="410"/>
        <v>0</v>
      </c>
      <c r="WN254" s="849">
        <f t="shared" si="411"/>
        <v>0</v>
      </c>
      <c r="WO254" s="849" t="str">
        <f t="shared" si="422"/>
        <v>bez komentáře</v>
      </c>
      <c r="WP254" s="849" t="str">
        <f t="shared" si="422"/>
        <v>bez komentáře</v>
      </c>
      <c r="WQ254" s="849" t="str">
        <f t="shared" si="422"/>
        <v>Konečná výše dotace z rozpočtu KHK bude řešena v návaznosti na řešení podílů jednotlivých zadavatelů.</v>
      </c>
      <c r="WR254" s="849" t="str">
        <f t="shared" si="422"/>
        <v>Konečná výše podpory ze stran obcí bude řešena v součinnosti s jednotlivými zadavateli v průběhu roku.</v>
      </c>
      <c r="WS254" s="849" t="str">
        <f t="shared" si="422"/>
        <v>bez komentáře</v>
      </c>
      <c r="WT254" s="849" t="str">
        <f t="shared" si="422"/>
        <v>bez komentáře</v>
      </c>
      <c r="WU254" s="845"/>
    </row>
    <row r="255" spans="1:619" s="128" customFormat="1" x14ac:dyDescent="0.25">
      <c r="A255" s="128" t="str">
        <f>VLOOKUP(F255,'Výpočet VP 2020'!$D$324:$I$588,6,FALSE)</f>
        <v>Je v síti</v>
      </c>
      <c r="B255" s="128" t="s">
        <v>979</v>
      </c>
      <c r="C255" s="128">
        <v>25975498</v>
      </c>
      <c r="D255" s="128" t="s">
        <v>980</v>
      </c>
      <c r="E255" s="128" t="s">
        <v>216</v>
      </c>
      <c r="F255" s="128">
        <v>6811251</v>
      </c>
      <c r="G255" s="128" t="s">
        <v>292</v>
      </c>
      <c r="H255" s="128" t="s">
        <v>293</v>
      </c>
      <c r="I255" s="128" t="s">
        <v>985</v>
      </c>
      <c r="J255" s="129">
        <v>39083</v>
      </c>
      <c r="L255" s="128" t="s">
        <v>220</v>
      </c>
      <c r="X255" s="128" t="s">
        <v>768</v>
      </c>
      <c r="AI255" s="128">
        <v>2</v>
      </c>
      <c r="AJ255" s="128">
        <v>2</v>
      </c>
      <c r="AK255" s="128">
        <v>124</v>
      </c>
      <c r="AL255" s="128">
        <v>150</v>
      </c>
      <c r="AM255" s="128">
        <v>150</v>
      </c>
      <c r="AO255" s="128" t="s">
        <v>995</v>
      </c>
      <c r="AP255" s="128" t="s">
        <v>768</v>
      </c>
      <c r="BE255" s="128">
        <v>2</v>
      </c>
      <c r="BF255" s="128">
        <v>2</v>
      </c>
      <c r="BG255" s="128">
        <v>6</v>
      </c>
      <c r="BH255" s="128">
        <v>20</v>
      </c>
      <c r="BI255" s="128">
        <v>20</v>
      </c>
      <c r="BK255" s="128" t="s">
        <v>996</v>
      </c>
      <c r="BL255" s="128" t="s">
        <v>983</v>
      </c>
      <c r="BM255" s="128" t="s">
        <v>984</v>
      </c>
      <c r="BN255" s="128" t="s">
        <v>264</v>
      </c>
      <c r="EK255" s="128">
        <v>2</v>
      </c>
      <c r="EL255" s="128">
        <v>0.6</v>
      </c>
      <c r="EM255" s="128">
        <v>0.6</v>
      </c>
      <c r="EN255" s="128">
        <v>298000</v>
      </c>
      <c r="EO255" s="128">
        <v>298000</v>
      </c>
      <c r="FO255" s="128">
        <v>2</v>
      </c>
      <c r="FP255" s="128">
        <v>0.15</v>
      </c>
      <c r="FQ255" s="128">
        <v>0.15</v>
      </c>
      <c r="FR255" s="128">
        <v>91000</v>
      </c>
      <c r="FS255" s="128">
        <v>91000</v>
      </c>
      <c r="KG255" s="128">
        <v>0</v>
      </c>
      <c r="KI255" s="128">
        <v>0.6</v>
      </c>
      <c r="KJ255" s="128">
        <v>0</v>
      </c>
      <c r="KK255" s="128">
        <v>0</v>
      </c>
      <c r="KL255" s="128">
        <v>0</v>
      </c>
      <c r="KM255" s="128">
        <v>0.6</v>
      </c>
      <c r="KN255" s="128">
        <v>389000</v>
      </c>
      <c r="KO255" s="128">
        <v>389000</v>
      </c>
      <c r="KP255" s="128">
        <v>389000</v>
      </c>
      <c r="KT255" s="128">
        <v>0</v>
      </c>
      <c r="KU255" s="128">
        <v>0</v>
      </c>
      <c r="KV255" s="128">
        <v>0</v>
      </c>
      <c r="KZ255" s="128">
        <v>0</v>
      </c>
      <c r="LA255" s="128">
        <v>0</v>
      </c>
      <c r="LB255" s="128">
        <v>0</v>
      </c>
      <c r="LF255" s="128">
        <v>0</v>
      </c>
      <c r="LG255" s="128">
        <v>0</v>
      </c>
      <c r="LH255" s="128">
        <v>0</v>
      </c>
      <c r="LL255" s="128">
        <v>1000</v>
      </c>
      <c r="LM255" s="128">
        <v>0</v>
      </c>
      <c r="LN255" s="128">
        <v>0</v>
      </c>
      <c r="LR255" s="128">
        <v>5000</v>
      </c>
      <c r="LS255" s="128">
        <v>3000</v>
      </c>
      <c r="LT255" s="128">
        <v>3000</v>
      </c>
      <c r="LX255" s="128">
        <v>0</v>
      </c>
      <c r="LY255" s="128">
        <v>0</v>
      </c>
      <c r="LZ255" s="128">
        <v>0</v>
      </c>
      <c r="MD255" s="128">
        <v>2000</v>
      </c>
      <c r="ME255" s="128">
        <v>2000</v>
      </c>
      <c r="MF255" s="128">
        <v>2000</v>
      </c>
      <c r="MJ255" s="128">
        <v>0</v>
      </c>
      <c r="MK255" s="128">
        <v>0</v>
      </c>
      <c r="ML255" s="128">
        <v>0</v>
      </c>
      <c r="MP255" s="128">
        <v>2000</v>
      </c>
      <c r="MQ255" s="128">
        <v>0</v>
      </c>
      <c r="MR255" s="128">
        <v>0</v>
      </c>
      <c r="MV255" s="128">
        <v>1500</v>
      </c>
      <c r="MW255" s="128">
        <v>0</v>
      </c>
      <c r="MX255" s="128">
        <v>0</v>
      </c>
      <c r="NB255" s="128">
        <v>10000</v>
      </c>
      <c r="NC255" s="128">
        <v>5000</v>
      </c>
      <c r="ND255" s="128">
        <v>5000</v>
      </c>
      <c r="NH255" s="128">
        <v>0</v>
      </c>
      <c r="NI255" s="128">
        <v>0</v>
      </c>
      <c r="NJ255" s="128">
        <v>0</v>
      </c>
      <c r="NN255" s="128">
        <v>18000</v>
      </c>
      <c r="NO255" s="128">
        <v>10000</v>
      </c>
      <c r="NP255" s="128">
        <v>10000</v>
      </c>
      <c r="NT255" s="128">
        <v>5000</v>
      </c>
      <c r="NU255" s="128">
        <v>5000</v>
      </c>
      <c r="NV255" s="128">
        <v>5000</v>
      </c>
      <c r="NZ255" s="128">
        <v>1000</v>
      </c>
      <c r="OA255" s="128">
        <v>0</v>
      </c>
      <c r="OB255" s="128">
        <v>0</v>
      </c>
      <c r="OF255" s="128">
        <v>6000</v>
      </c>
      <c r="OG255" s="128">
        <v>5000</v>
      </c>
      <c r="OH255" s="128">
        <v>5000</v>
      </c>
      <c r="OL255" s="128">
        <v>0</v>
      </c>
      <c r="OM255" s="128">
        <v>0</v>
      </c>
      <c r="ON255" s="128">
        <v>0</v>
      </c>
      <c r="OR255" s="128">
        <v>0</v>
      </c>
      <c r="OS255" s="128">
        <v>0</v>
      </c>
      <c r="OT255" s="128">
        <v>0</v>
      </c>
      <c r="OX255" s="128">
        <v>18500</v>
      </c>
      <c r="OY255" s="128">
        <v>6000</v>
      </c>
      <c r="OZ255" s="128">
        <v>6000</v>
      </c>
      <c r="PD255" s="128">
        <v>0</v>
      </c>
      <c r="PE255" s="128">
        <v>0</v>
      </c>
      <c r="PF255" s="128">
        <v>0</v>
      </c>
      <c r="PJ255" s="128">
        <v>2000</v>
      </c>
      <c r="PK255" s="128">
        <v>0</v>
      </c>
      <c r="PL255" s="128">
        <v>0</v>
      </c>
      <c r="PP255" s="128">
        <v>461000</v>
      </c>
      <c r="PQ255" s="128">
        <v>425000</v>
      </c>
      <c r="PR255" s="128">
        <v>425000</v>
      </c>
      <c r="PS255" s="128">
        <v>100</v>
      </c>
      <c r="PT255" s="128">
        <v>100</v>
      </c>
      <c r="PX255" s="128">
        <v>370000</v>
      </c>
      <c r="PY255" s="128">
        <v>392240</v>
      </c>
      <c r="PZ255" s="128">
        <v>425000</v>
      </c>
      <c r="QA255" s="128">
        <v>0</v>
      </c>
      <c r="QB255" s="128">
        <v>0</v>
      </c>
      <c r="QC255" s="128">
        <v>0</v>
      </c>
      <c r="QD255" s="128">
        <v>0</v>
      </c>
      <c r="QE255" s="128">
        <v>0</v>
      </c>
      <c r="QF255" s="128">
        <v>0</v>
      </c>
      <c r="QG255" s="128">
        <v>0</v>
      </c>
      <c r="QH255" s="128">
        <v>0</v>
      </c>
      <c r="QI255" s="128">
        <v>0</v>
      </c>
      <c r="QJ255" s="128">
        <v>0</v>
      </c>
      <c r="QK255" s="128">
        <v>0</v>
      </c>
      <c r="QL255" s="128">
        <v>0</v>
      </c>
      <c r="QN255" s="128">
        <v>0</v>
      </c>
      <c r="QO255" s="128">
        <v>0</v>
      </c>
      <c r="QP255" s="128">
        <v>0</v>
      </c>
      <c r="QU255" s="128">
        <v>40240</v>
      </c>
      <c r="QV255" s="128">
        <v>35589</v>
      </c>
      <c r="QW255" s="128">
        <v>22000</v>
      </c>
      <c r="QX255" s="128">
        <v>10000</v>
      </c>
      <c r="QY255" s="128">
        <v>10000</v>
      </c>
      <c r="QZ255" s="128">
        <v>10000</v>
      </c>
      <c r="RD255" s="128">
        <v>1188</v>
      </c>
      <c r="RE255" s="128">
        <v>10171</v>
      </c>
      <c r="RF255" s="128">
        <v>4000</v>
      </c>
      <c r="RH255" s="128">
        <f t="shared" si="412"/>
        <v>461000</v>
      </c>
      <c r="RI255" s="128">
        <v>0</v>
      </c>
      <c r="RM255" s="128" t="s">
        <v>220</v>
      </c>
      <c r="RU255" s="130"/>
      <c r="RV255" s="130"/>
      <c r="RW255" s="130"/>
      <c r="RX255" s="130"/>
      <c r="SF255" s="128">
        <f t="shared" si="322"/>
        <v>6811251</v>
      </c>
      <c r="SG255" s="131">
        <f t="shared" si="323"/>
        <v>461000</v>
      </c>
      <c r="SH255" s="131">
        <f t="shared" si="324"/>
        <v>461000</v>
      </c>
      <c r="SI255" s="131">
        <f t="shared" si="325"/>
        <v>389000</v>
      </c>
      <c r="SJ255" s="132">
        <f t="shared" si="326"/>
        <v>389000</v>
      </c>
      <c r="SK255" s="132">
        <f t="shared" si="327"/>
        <v>0</v>
      </c>
      <c r="SL255" s="132">
        <f t="shared" si="328"/>
        <v>0</v>
      </c>
      <c r="SM255" s="132">
        <f t="shared" si="329"/>
        <v>0</v>
      </c>
      <c r="SN255" s="131">
        <f t="shared" si="330"/>
        <v>72000</v>
      </c>
      <c r="SO255" s="131">
        <f t="shared" si="331"/>
        <v>6000</v>
      </c>
      <c r="SP255" s="132">
        <f t="shared" si="332"/>
        <v>1000</v>
      </c>
      <c r="SQ255" s="132">
        <f t="shared" si="333"/>
        <v>5000</v>
      </c>
      <c r="SR255" s="132">
        <f t="shared" si="334"/>
        <v>0</v>
      </c>
      <c r="SS255" s="132">
        <f t="shared" si="335"/>
        <v>2000</v>
      </c>
      <c r="ST255" s="132">
        <f t="shared" si="336"/>
        <v>0</v>
      </c>
      <c r="SU255" s="132">
        <f t="shared" si="337"/>
        <v>2000</v>
      </c>
      <c r="SV255" s="131">
        <f t="shared" si="338"/>
        <v>60000</v>
      </c>
      <c r="SW255" s="132">
        <f t="shared" si="339"/>
        <v>1500</v>
      </c>
      <c r="SX255" s="132">
        <f t="shared" si="340"/>
        <v>10000</v>
      </c>
      <c r="SY255" s="132">
        <f t="shared" si="341"/>
        <v>0</v>
      </c>
      <c r="SZ255" s="132">
        <f t="shared" si="342"/>
        <v>18000</v>
      </c>
      <c r="TA255" s="132">
        <f t="shared" si="343"/>
        <v>5000</v>
      </c>
      <c r="TB255" s="132">
        <f t="shared" si="344"/>
        <v>1000</v>
      </c>
      <c r="TC255" s="132">
        <f t="shared" si="345"/>
        <v>6000</v>
      </c>
      <c r="TD255" s="132">
        <f t="shared" si="346"/>
        <v>0</v>
      </c>
      <c r="TE255" s="132">
        <f t="shared" si="347"/>
        <v>0</v>
      </c>
      <c r="TF255" s="132">
        <f t="shared" si="348"/>
        <v>18500</v>
      </c>
      <c r="TG255" s="132">
        <f t="shared" si="349"/>
        <v>0</v>
      </c>
      <c r="TH255" s="132">
        <f t="shared" si="350"/>
        <v>2000</v>
      </c>
      <c r="TI255" s="1"/>
      <c r="TJ255" s="131">
        <f t="shared" si="351"/>
        <v>425000</v>
      </c>
      <c r="TK255" s="131">
        <f t="shared" si="352"/>
        <v>425000</v>
      </c>
      <c r="TL255" s="131">
        <f t="shared" si="353"/>
        <v>389000</v>
      </c>
      <c r="TM255" s="132">
        <f t="shared" si="354"/>
        <v>389000</v>
      </c>
      <c r="TN255" s="132">
        <f t="shared" si="355"/>
        <v>0</v>
      </c>
      <c r="TO255" s="132">
        <f t="shared" si="356"/>
        <v>0</v>
      </c>
      <c r="TP255" s="132">
        <f t="shared" si="357"/>
        <v>0</v>
      </c>
      <c r="TQ255" s="131">
        <f t="shared" si="358"/>
        <v>36000</v>
      </c>
      <c r="TR255" s="131">
        <f t="shared" si="359"/>
        <v>3000</v>
      </c>
      <c r="TS255" s="132">
        <f t="shared" si="360"/>
        <v>0</v>
      </c>
      <c r="TT255" s="132">
        <f t="shared" si="361"/>
        <v>3000</v>
      </c>
      <c r="TU255" s="132">
        <f t="shared" si="362"/>
        <v>0</v>
      </c>
      <c r="TV255" s="132">
        <f t="shared" si="363"/>
        <v>2000</v>
      </c>
      <c r="TW255" s="132">
        <f t="shared" si="364"/>
        <v>0</v>
      </c>
      <c r="TX255" s="132">
        <f t="shared" si="365"/>
        <v>0</v>
      </c>
      <c r="TY255" s="131">
        <f t="shared" si="366"/>
        <v>31000</v>
      </c>
      <c r="TZ255" s="132">
        <f t="shared" si="367"/>
        <v>0</v>
      </c>
      <c r="UA255" s="132">
        <f t="shared" si="368"/>
        <v>5000</v>
      </c>
      <c r="UB255" s="132">
        <f t="shared" si="369"/>
        <v>0</v>
      </c>
      <c r="UC255" s="132">
        <f t="shared" si="370"/>
        <v>10000</v>
      </c>
      <c r="UD255" s="132">
        <f t="shared" si="371"/>
        <v>5000</v>
      </c>
      <c r="UE255" s="132">
        <f t="shared" si="372"/>
        <v>0</v>
      </c>
      <c r="UF255" s="132">
        <f t="shared" si="373"/>
        <v>5000</v>
      </c>
      <c r="UG255" s="132">
        <f t="shared" si="374"/>
        <v>0</v>
      </c>
      <c r="UH255" s="132">
        <f t="shared" si="375"/>
        <v>0</v>
      </c>
      <c r="UI255" s="132">
        <f t="shared" si="376"/>
        <v>6000</v>
      </c>
      <c r="UJ255" s="132">
        <f t="shared" si="377"/>
        <v>0</v>
      </c>
      <c r="UK255" s="132">
        <f t="shared" si="378"/>
        <v>0</v>
      </c>
      <c r="UL255" s="132">
        <f t="shared" si="413"/>
        <v>425000</v>
      </c>
      <c r="UM255" s="131">
        <f t="shared" si="379"/>
        <v>425000</v>
      </c>
      <c r="UN255" s="131">
        <f t="shared" si="380"/>
        <v>425000</v>
      </c>
      <c r="UO255" s="131">
        <f t="shared" si="381"/>
        <v>389000</v>
      </c>
      <c r="UP255" s="132">
        <f t="shared" si="382"/>
        <v>389000</v>
      </c>
      <c r="UQ255" s="132">
        <f t="shared" si="383"/>
        <v>0</v>
      </c>
      <c r="UR255" s="132">
        <f t="shared" si="384"/>
        <v>0</v>
      </c>
      <c r="US255" s="132">
        <f t="shared" si="385"/>
        <v>0</v>
      </c>
      <c r="UT255" s="131">
        <f t="shared" si="386"/>
        <v>36000</v>
      </c>
      <c r="UU255" s="131">
        <f t="shared" si="387"/>
        <v>3000</v>
      </c>
      <c r="UV255" s="132">
        <f t="shared" si="388"/>
        <v>0</v>
      </c>
      <c r="UW255" s="132">
        <f t="shared" si="389"/>
        <v>3000</v>
      </c>
      <c r="UX255" s="132">
        <f t="shared" si="390"/>
        <v>0</v>
      </c>
      <c r="UY255" s="132">
        <f t="shared" si="391"/>
        <v>2000</v>
      </c>
      <c r="UZ255" s="132">
        <f t="shared" si="392"/>
        <v>0</v>
      </c>
      <c r="VA255" s="132">
        <f t="shared" si="393"/>
        <v>0</v>
      </c>
      <c r="VB255" s="131">
        <f t="shared" si="394"/>
        <v>31000</v>
      </c>
      <c r="VC255" s="132">
        <f t="shared" si="395"/>
        <v>0</v>
      </c>
      <c r="VD255" s="132">
        <f t="shared" si="396"/>
        <v>5000</v>
      </c>
      <c r="VE255" s="132">
        <f t="shared" si="397"/>
        <v>0</v>
      </c>
      <c r="VF255" s="132">
        <f t="shared" si="398"/>
        <v>10000</v>
      </c>
      <c r="VG255" s="132">
        <f t="shared" si="399"/>
        <v>5000</v>
      </c>
      <c r="VH255" s="132">
        <f t="shared" si="400"/>
        <v>0</v>
      </c>
      <c r="VI255" s="132">
        <f t="shared" si="401"/>
        <v>5000</v>
      </c>
      <c r="VJ255" s="132">
        <f t="shared" si="402"/>
        <v>0</v>
      </c>
      <c r="VK255" s="132">
        <f t="shared" si="403"/>
        <v>0</v>
      </c>
      <c r="VL255" s="132">
        <f t="shared" si="404"/>
        <v>6000</v>
      </c>
      <c r="VM255" s="132">
        <f t="shared" si="405"/>
        <v>0</v>
      </c>
      <c r="VN255" s="132">
        <f t="shared" si="406"/>
        <v>0</v>
      </c>
      <c r="VP255" s="845" t="str">
        <f>IFERROR(HLOOKUP(F255,'Hodnocení '!$C$1:$JH$5,2,FALSE),0)</f>
        <v>Základní a odborné poradenství pro zrakově postižené</v>
      </c>
      <c r="VQ255" s="838"/>
      <c r="VR255" s="845" t="str">
        <f t="shared" si="414"/>
        <v>Obecně prospěšná společnost</v>
      </c>
      <c r="VS255" s="845" t="str">
        <f>IFERROR(HLOOKUP(F255,'Hodnocení '!$C$1:$JH$5,5,FALSE),0)</f>
        <v>NZO</v>
      </c>
      <c r="VT255" s="838">
        <f t="shared" si="415"/>
        <v>0</v>
      </c>
      <c r="VU255" s="838">
        <f t="shared" si="416"/>
        <v>0</v>
      </c>
      <c r="VV255" s="838">
        <f t="shared" si="417"/>
        <v>0</v>
      </c>
      <c r="VW255" s="838">
        <f t="shared" si="418"/>
        <v>0</v>
      </c>
      <c r="VX255" s="838"/>
      <c r="VY255" s="838">
        <f t="shared" si="419"/>
        <v>0</v>
      </c>
      <c r="VZ255" s="838">
        <f t="shared" si="420"/>
        <v>425000</v>
      </c>
      <c r="WA255" s="846">
        <f>IFERROR(HLOOKUP($F255,'Hodnocení '!$C$1:$JH$9,9,FALSE),0)</f>
        <v>425000</v>
      </c>
      <c r="WB255" s="846">
        <f>IF(IFERROR(HLOOKUP($F255,'Hodnocení '!$C$1:$JH$13,13,FALSE),0)&gt;WA255,WA255,IFERROR(HLOOKUP($F255,'Hodnocení '!$C$1:$JH$13,13,FALSE),0))</f>
        <v>425000</v>
      </c>
      <c r="WC255" s="846">
        <f>IFERROR(HLOOKUP($F255,'Hodnocení '!$C$1:$JH$155,155,FALSE),0)</f>
        <v>425000</v>
      </c>
      <c r="WD255" s="845"/>
      <c r="WE255" s="845"/>
      <c r="WF255" s="845" t="str">
        <f t="shared" si="407"/>
        <v>ANO</v>
      </c>
      <c r="WG255" s="849" t="str">
        <f t="shared" si="421"/>
        <v>Podpora služby je vyjádřena zařazením do sítě sociálních služeb v KHK a řešením financování služby</v>
      </c>
      <c r="WH255"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55" s="849" t="str">
        <f t="shared" si="421"/>
        <v>Návrh dotace je výsledkem projednání s ostatními zadavateli v rámci sítě služeb KHK</v>
      </c>
      <c r="WJ255" s="849" t="str">
        <f t="shared" si="421"/>
        <v>Bez komentáře</v>
      </c>
      <c r="WK255" s="31">
        <f t="shared" si="408"/>
        <v>0</v>
      </c>
      <c r="WL255" s="850">
        <f t="shared" si="409"/>
        <v>0</v>
      </c>
      <c r="WM255" s="849">
        <f t="shared" si="410"/>
        <v>0</v>
      </c>
      <c r="WN255" s="849">
        <f t="shared" si="411"/>
        <v>0</v>
      </c>
      <c r="WO255" s="849" t="str">
        <f t="shared" si="422"/>
        <v>bez komentáře</v>
      </c>
      <c r="WP255" s="849" t="str">
        <f t="shared" si="422"/>
        <v>bez komentáře</v>
      </c>
      <c r="WQ255" s="849" t="str">
        <f t="shared" si="422"/>
        <v>Konečná výše dotace z rozpočtu KHK bude řešena v návaznosti na řešení podílů jednotlivých zadavatelů.</v>
      </c>
      <c r="WR255" s="849" t="str">
        <f t="shared" si="422"/>
        <v>Konečná výše podpory ze stran obcí bude řešena v součinnosti s jednotlivými zadavateli v průběhu roku.</v>
      </c>
      <c r="WS255" s="849" t="str">
        <f t="shared" si="422"/>
        <v>bez komentáře</v>
      </c>
      <c r="WT255" s="849" t="str">
        <f t="shared" si="422"/>
        <v>bez komentáře</v>
      </c>
      <c r="WU255" s="845"/>
    </row>
    <row r="256" spans="1:619" s="128" customFormat="1" x14ac:dyDescent="0.25">
      <c r="A256" s="128" t="str">
        <f>VLOOKUP(F256,'Výpočet VP 2020'!$D$324:$I$588,6,FALSE)</f>
        <v>Je v síti</v>
      </c>
      <c r="B256" s="128" t="s">
        <v>997</v>
      </c>
      <c r="C256" s="128">
        <v>42886210</v>
      </c>
      <c r="D256" s="128" t="s">
        <v>998</v>
      </c>
      <c r="E256" s="128" t="s">
        <v>259</v>
      </c>
      <c r="F256" s="128">
        <v>1546097</v>
      </c>
      <c r="G256" s="128" t="s">
        <v>260</v>
      </c>
      <c r="H256" s="128" t="s">
        <v>218</v>
      </c>
      <c r="I256" s="128" t="s">
        <v>999</v>
      </c>
      <c r="J256" s="129">
        <v>39083</v>
      </c>
      <c r="L256" s="128" t="s">
        <v>220</v>
      </c>
      <c r="M256" s="128" t="s">
        <v>1000</v>
      </c>
      <c r="N256" s="128">
        <v>97</v>
      </c>
      <c r="P256" s="128">
        <v>101</v>
      </c>
      <c r="Q256" s="128">
        <v>97</v>
      </c>
      <c r="R256" s="128">
        <v>97</v>
      </c>
      <c r="BL256" s="128" t="s">
        <v>263</v>
      </c>
      <c r="BM256" s="128" t="s">
        <v>228</v>
      </c>
      <c r="BN256" s="128" t="s">
        <v>224</v>
      </c>
      <c r="DA256" s="128">
        <v>0</v>
      </c>
      <c r="DB256" s="128">
        <v>1</v>
      </c>
      <c r="DC256" s="128">
        <v>0</v>
      </c>
      <c r="DD256" s="128">
        <v>3</v>
      </c>
      <c r="DE256" s="128">
        <v>0</v>
      </c>
      <c r="DF256" s="128">
        <v>7</v>
      </c>
      <c r="DG256" s="128">
        <v>24</v>
      </c>
      <c r="DH256" s="128">
        <v>19</v>
      </c>
      <c r="DI256" s="128">
        <v>43</v>
      </c>
      <c r="DJ256" s="128">
        <v>0</v>
      </c>
      <c r="DK256" s="128">
        <v>7</v>
      </c>
      <c r="DL256" s="128">
        <v>25</v>
      </c>
      <c r="DM256" s="128">
        <v>19</v>
      </c>
      <c r="DN256" s="128">
        <v>46</v>
      </c>
      <c r="DO256" s="128">
        <v>0</v>
      </c>
      <c r="DP256" s="128">
        <v>4</v>
      </c>
      <c r="DQ256" s="128">
        <v>93</v>
      </c>
      <c r="DR256" s="128">
        <v>97</v>
      </c>
      <c r="DS256" s="128">
        <v>0</v>
      </c>
      <c r="DT256" s="128">
        <v>1</v>
      </c>
      <c r="DU256" s="128">
        <v>0</v>
      </c>
      <c r="DV256" s="128">
        <v>3</v>
      </c>
      <c r="DW256" s="128">
        <v>0</v>
      </c>
      <c r="DX256" s="128">
        <v>7</v>
      </c>
      <c r="DY256" s="128">
        <v>24</v>
      </c>
      <c r="DZ256" s="128">
        <v>19</v>
      </c>
      <c r="EA256" s="128">
        <v>43</v>
      </c>
      <c r="EB256" s="128">
        <v>0</v>
      </c>
      <c r="EC256" s="128">
        <v>7</v>
      </c>
      <c r="ED256" s="128">
        <v>25</v>
      </c>
      <c r="EE256" s="128">
        <v>19</v>
      </c>
      <c r="EF256" s="128">
        <v>46</v>
      </c>
      <c r="EG256" s="128">
        <v>0</v>
      </c>
      <c r="EH256" s="128">
        <v>4</v>
      </c>
      <c r="EI256" s="128">
        <v>93</v>
      </c>
      <c r="EJ256" s="128">
        <v>97</v>
      </c>
      <c r="EK256" s="128">
        <v>3</v>
      </c>
      <c r="EL256" s="128">
        <v>2.75</v>
      </c>
      <c r="EM256" s="128">
        <v>2.75</v>
      </c>
      <c r="EN256" s="128">
        <v>2014000</v>
      </c>
      <c r="EO256" s="128">
        <v>1000000</v>
      </c>
      <c r="EP256" s="128">
        <v>61</v>
      </c>
      <c r="EQ256" s="128">
        <v>60.32</v>
      </c>
      <c r="ER256" s="128">
        <v>55.32</v>
      </c>
      <c r="ES256" s="128">
        <v>34868000</v>
      </c>
      <c r="ET256" s="128">
        <v>30544800</v>
      </c>
      <c r="EU256" s="128">
        <v>9</v>
      </c>
      <c r="EV256" s="128">
        <v>8</v>
      </c>
      <c r="EW256" s="128">
        <v>8</v>
      </c>
      <c r="EX256" s="128">
        <v>4666000</v>
      </c>
      <c r="EY256" s="128">
        <v>0</v>
      </c>
      <c r="FO256" s="128">
        <v>13</v>
      </c>
      <c r="FP256" s="128">
        <v>12.93</v>
      </c>
      <c r="FQ256" s="128">
        <v>12.93</v>
      </c>
      <c r="FR256" s="128">
        <v>8000000</v>
      </c>
      <c r="FS256" s="128">
        <v>2523000</v>
      </c>
      <c r="IH256" s="128">
        <v>5</v>
      </c>
      <c r="II256" s="128">
        <v>1.1200000000000001</v>
      </c>
      <c r="IJ256" s="128">
        <v>60</v>
      </c>
      <c r="IK256" s="128">
        <v>1.1200000000000001</v>
      </c>
      <c r="IL256" s="128">
        <v>117000</v>
      </c>
      <c r="IM256" s="128">
        <v>0</v>
      </c>
      <c r="IS256" s="128">
        <v>6</v>
      </c>
      <c r="IT256" s="128">
        <v>1680</v>
      </c>
      <c r="IU256" s="128">
        <v>0.80200000000000005</v>
      </c>
      <c r="IV256" s="128">
        <v>142800</v>
      </c>
      <c r="IW256" s="128">
        <v>0</v>
      </c>
      <c r="KG256" s="128">
        <v>0</v>
      </c>
      <c r="KI256" s="128">
        <v>71.069999999999993</v>
      </c>
      <c r="KJ256" s="128">
        <v>0</v>
      </c>
      <c r="KK256" s="128">
        <v>0</v>
      </c>
      <c r="KL256" s="128">
        <v>0</v>
      </c>
      <c r="KM256" s="128">
        <v>71.069999999999993</v>
      </c>
      <c r="KN256" s="128">
        <v>49548000</v>
      </c>
      <c r="KO256" s="128">
        <v>34067800</v>
      </c>
      <c r="KP256" s="128">
        <v>34067800</v>
      </c>
      <c r="KT256" s="128">
        <v>117000</v>
      </c>
      <c r="KU256" s="128">
        <v>0</v>
      </c>
      <c r="KV256" s="128">
        <v>0</v>
      </c>
      <c r="KZ256" s="128">
        <v>142800</v>
      </c>
      <c r="LA256" s="128">
        <v>0</v>
      </c>
      <c r="LB256" s="128">
        <v>0</v>
      </c>
      <c r="LF256" s="128">
        <v>1079000</v>
      </c>
      <c r="LG256" s="128">
        <v>0</v>
      </c>
      <c r="LH256" s="128">
        <v>0</v>
      </c>
      <c r="LL256" s="128">
        <v>0</v>
      </c>
      <c r="LM256" s="128">
        <v>0</v>
      </c>
      <c r="LN256" s="128">
        <v>0</v>
      </c>
      <c r="LR256" s="128">
        <v>250000</v>
      </c>
      <c r="LS256" s="128">
        <v>0</v>
      </c>
      <c r="LT256" s="128">
        <v>0</v>
      </c>
      <c r="LX256" s="128">
        <v>3750000</v>
      </c>
      <c r="LY256" s="128">
        <v>0</v>
      </c>
      <c r="LZ256" s="128">
        <v>0</v>
      </c>
      <c r="MD256" s="128">
        <v>90000</v>
      </c>
      <c r="ME256" s="128">
        <v>0</v>
      </c>
      <c r="MF256" s="128">
        <v>0</v>
      </c>
      <c r="MJ256" s="128">
        <v>53000</v>
      </c>
      <c r="MK256" s="128">
        <v>0</v>
      </c>
      <c r="ML256" s="128">
        <v>0</v>
      </c>
      <c r="MP256" s="128">
        <v>930000</v>
      </c>
      <c r="MQ256" s="128">
        <v>0</v>
      </c>
      <c r="MR256" s="128">
        <v>0</v>
      </c>
      <c r="MV256" s="128">
        <v>2400000</v>
      </c>
      <c r="MW256" s="128">
        <v>0</v>
      </c>
      <c r="MX256" s="128">
        <v>0</v>
      </c>
      <c r="NB256" s="128">
        <v>60000</v>
      </c>
      <c r="NC256" s="128">
        <v>0</v>
      </c>
      <c r="ND256" s="128">
        <v>0</v>
      </c>
      <c r="NH256" s="128">
        <v>35000</v>
      </c>
      <c r="NI256" s="128">
        <v>0</v>
      </c>
      <c r="NJ256" s="128">
        <v>0</v>
      </c>
      <c r="NN256" s="128">
        <v>50000</v>
      </c>
      <c r="NO256" s="128">
        <v>0</v>
      </c>
      <c r="NP256" s="128">
        <v>0</v>
      </c>
      <c r="NT256" s="128">
        <v>250000</v>
      </c>
      <c r="NU256" s="128">
        <v>0</v>
      </c>
      <c r="NV256" s="128">
        <v>0</v>
      </c>
      <c r="NZ256" s="128">
        <v>400000</v>
      </c>
      <c r="OA256" s="128">
        <v>0</v>
      </c>
      <c r="OB256" s="128">
        <v>0</v>
      </c>
      <c r="OF256" s="128">
        <v>20000</v>
      </c>
      <c r="OG256" s="128">
        <v>0</v>
      </c>
      <c r="OH256" s="128">
        <v>0</v>
      </c>
      <c r="OL256" s="128">
        <v>0</v>
      </c>
      <c r="OM256" s="128">
        <v>0</v>
      </c>
      <c r="ON256" s="128">
        <v>0</v>
      </c>
      <c r="OR256" s="128">
        <v>0</v>
      </c>
      <c r="OS256" s="128">
        <v>0</v>
      </c>
      <c r="OT256" s="128">
        <v>0</v>
      </c>
      <c r="OX256" s="128">
        <v>995000</v>
      </c>
      <c r="OY256" s="128">
        <v>0</v>
      </c>
      <c r="OZ256" s="128">
        <v>0</v>
      </c>
      <c r="PD256" s="128">
        <v>2450000</v>
      </c>
      <c r="PE256" s="128">
        <v>0</v>
      </c>
      <c r="PF256" s="128">
        <v>0</v>
      </c>
      <c r="PJ256" s="128">
        <v>358000</v>
      </c>
      <c r="PK256" s="128">
        <v>0</v>
      </c>
      <c r="PL256" s="128">
        <v>0</v>
      </c>
      <c r="PP256" s="128">
        <v>62977800</v>
      </c>
      <c r="PQ256" s="128">
        <v>34067800</v>
      </c>
      <c r="PR256" s="128">
        <v>34067800</v>
      </c>
      <c r="PS256" s="128">
        <v>100</v>
      </c>
      <c r="PT256" s="128">
        <v>100</v>
      </c>
      <c r="PV256" s="128">
        <v>32431095</v>
      </c>
      <c r="PX256" s="128">
        <v>19462395</v>
      </c>
      <c r="PY256" s="128">
        <v>21453694</v>
      </c>
      <c r="PZ256" s="128">
        <v>34067800</v>
      </c>
      <c r="QA256" s="128">
        <v>0</v>
      </c>
      <c r="QB256" s="128">
        <v>0</v>
      </c>
      <c r="QC256" s="128">
        <v>0</v>
      </c>
      <c r="QD256" s="128">
        <v>0</v>
      </c>
      <c r="QE256" s="128">
        <v>0</v>
      </c>
      <c r="QF256" s="128">
        <v>0</v>
      </c>
      <c r="QG256" s="128">
        <v>8166000</v>
      </c>
      <c r="QH256" s="128">
        <v>8574000</v>
      </c>
      <c r="QI256" s="128">
        <v>6012000</v>
      </c>
      <c r="QJ256" s="128">
        <v>19858910</v>
      </c>
      <c r="QK256" s="128">
        <v>20766000</v>
      </c>
      <c r="QL256" s="128">
        <v>19700000</v>
      </c>
      <c r="QN256" s="128">
        <v>2687672</v>
      </c>
      <c r="QO256" s="128">
        <v>3300000</v>
      </c>
      <c r="QP256" s="128">
        <v>2800000</v>
      </c>
      <c r="RD256" s="128">
        <v>455166</v>
      </c>
      <c r="RE256" s="128">
        <v>392800</v>
      </c>
      <c r="RF256" s="128">
        <v>398000</v>
      </c>
      <c r="RH256" s="128">
        <f t="shared" si="412"/>
        <v>40477800</v>
      </c>
      <c r="RI256" s="128">
        <v>0</v>
      </c>
      <c r="RM256" s="128" t="s">
        <v>220</v>
      </c>
      <c r="RU256" s="130"/>
      <c r="RV256" s="130"/>
      <c r="RW256" s="130"/>
      <c r="RX256" s="130"/>
      <c r="SF256" s="128">
        <f t="shared" si="322"/>
        <v>1546097</v>
      </c>
      <c r="SG256" s="131">
        <f t="shared" si="323"/>
        <v>62977800</v>
      </c>
      <c r="SH256" s="131">
        <f t="shared" si="324"/>
        <v>62977800</v>
      </c>
      <c r="SI256" s="131">
        <f t="shared" si="325"/>
        <v>50886800</v>
      </c>
      <c r="SJ256" s="132">
        <f t="shared" si="326"/>
        <v>49548000</v>
      </c>
      <c r="SK256" s="132">
        <f t="shared" si="327"/>
        <v>117000</v>
      </c>
      <c r="SL256" s="132">
        <f t="shared" si="328"/>
        <v>142800</v>
      </c>
      <c r="SM256" s="132">
        <f t="shared" si="329"/>
        <v>1079000</v>
      </c>
      <c r="SN256" s="131">
        <f t="shared" si="330"/>
        <v>12091000</v>
      </c>
      <c r="SO256" s="131">
        <f t="shared" si="331"/>
        <v>250000</v>
      </c>
      <c r="SP256" s="132">
        <f t="shared" si="332"/>
        <v>0</v>
      </c>
      <c r="SQ256" s="132">
        <f t="shared" si="333"/>
        <v>250000</v>
      </c>
      <c r="SR256" s="132">
        <f t="shared" si="334"/>
        <v>3750000</v>
      </c>
      <c r="SS256" s="132">
        <f t="shared" si="335"/>
        <v>90000</v>
      </c>
      <c r="ST256" s="132">
        <f t="shared" si="336"/>
        <v>53000</v>
      </c>
      <c r="SU256" s="132">
        <f t="shared" si="337"/>
        <v>930000</v>
      </c>
      <c r="SV256" s="131">
        <f t="shared" si="338"/>
        <v>4210000</v>
      </c>
      <c r="SW256" s="132">
        <f t="shared" si="339"/>
        <v>2400000</v>
      </c>
      <c r="SX256" s="132">
        <f t="shared" si="340"/>
        <v>60000</v>
      </c>
      <c r="SY256" s="132">
        <f t="shared" si="341"/>
        <v>35000</v>
      </c>
      <c r="SZ256" s="132">
        <f t="shared" si="342"/>
        <v>50000</v>
      </c>
      <c r="TA256" s="132">
        <f t="shared" si="343"/>
        <v>250000</v>
      </c>
      <c r="TB256" s="132">
        <f t="shared" si="344"/>
        <v>400000</v>
      </c>
      <c r="TC256" s="132">
        <f t="shared" si="345"/>
        <v>20000</v>
      </c>
      <c r="TD256" s="132">
        <f t="shared" si="346"/>
        <v>0</v>
      </c>
      <c r="TE256" s="132">
        <f t="shared" si="347"/>
        <v>0</v>
      </c>
      <c r="TF256" s="132">
        <f t="shared" si="348"/>
        <v>995000</v>
      </c>
      <c r="TG256" s="132">
        <f t="shared" si="349"/>
        <v>2450000</v>
      </c>
      <c r="TH256" s="132">
        <f t="shared" si="350"/>
        <v>358000</v>
      </c>
      <c r="TI256" s="1"/>
      <c r="TJ256" s="131">
        <f t="shared" si="351"/>
        <v>34067800</v>
      </c>
      <c r="TK256" s="131">
        <f t="shared" si="352"/>
        <v>34067800</v>
      </c>
      <c r="TL256" s="131">
        <f t="shared" si="353"/>
        <v>34067800</v>
      </c>
      <c r="TM256" s="132">
        <f t="shared" si="354"/>
        <v>34067800</v>
      </c>
      <c r="TN256" s="132">
        <f t="shared" si="355"/>
        <v>0</v>
      </c>
      <c r="TO256" s="132">
        <f t="shared" si="356"/>
        <v>0</v>
      </c>
      <c r="TP256" s="132">
        <f t="shared" si="357"/>
        <v>0</v>
      </c>
      <c r="TQ256" s="131">
        <f t="shared" si="358"/>
        <v>0</v>
      </c>
      <c r="TR256" s="131">
        <f t="shared" si="359"/>
        <v>0</v>
      </c>
      <c r="TS256" s="132">
        <f t="shared" si="360"/>
        <v>0</v>
      </c>
      <c r="TT256" s="132">
        <f t="shared" si="361"/>
        <v>0</v>
      </c>
      <c r="TU256" s="132">
        <f t="shared" si="362"/>
        <v>0</v>
      </c>
      <c r="TV256" s="132">
        <f t="shared" si="363"/>
        <v>0</v>
      </c>
      <c r="TW256" s="132">
        <f t="shared" si="364"/>
        <v>0</v>
      </c>
      <c r="TX256" s="132">
        <f t="shared" si="365"/>
        <v>0</v>
      </c>
      <c r="TY256" s="131">
        <f t="shared" si="366"/>
        <v>0</v>
      </c>
      <c r="TZ256" s="132">
        <f t="shared" si="367"/>
        <v>0</v>
      </c>
      <c r="UA256" s="132">
        <f t="shared" si="368"/>
        <v>0</v>
      </c>
      <c r="UB256" s="132">
        <f t="shared" si="369"/>
        <v>0</v>
      </c>
      <c r="UC256" s="132">
        <f t="shared" si="370"/>
        <v>0</v>
      </c>
      <c r="UD256" s="132">
        <f t="shared" si="371"/>
        <v>0</v>
      </c>
      <c r="UE256" s="132">
        <f t="shared" si="372"/>
        <v>0</v>
      </c>
      <c r="UF256" s="132">
        <f t="shared" si="373"/>
        <v>0</v>
      </c>
      <c r="UG256" s="132">
        <f t="shared" si="374"/>
        <v>0</v>
      </c>
      <c r="UH256" s="132">
        <f t="shared" si="375"/>
        <v>0</v>
      </c>
      <c r="UI256" s="132">
        <f t="shared" si="376"/>
        <v>0</v>
      </c>
      <c r="UJ256" s="132">
        <f t="shared" si="377"/>
        <v>0</v>
      </c>
      <c r="UK256" s="132">
        <f t="shared" si="378"/>
        <v>0</v>
      </c>
      <c r="UL256" s="132">
        <f t="shared" si="413"/>
        <v>34067800</v>
      </c>
      <c r="UM256" s="131">
        <f t="shared" si="379"/>
        <v>34067800</v>
      </c>
      <c r="UN256" s="131">
        <f t="shared" si="380"/>
        <v>34067800</v>
      </c>
      <c r="UO256" s="131">
        <f t="shared" si="381"/>
        <v>34067800</v>
      </c>
      <c r="UP256" s="132">
        <f t="shared" si="382"/>
        <v>34067800</v>
      </c>
      <c r="UQ256" s="132">
        <f t="shared" si="383"/>
        <v>0</v>
      </c>
      <c r="UR256" s="132">
        <f t="shared" si="384"/>
        <v>0</v>
      </c>
      <c r="US256" s="132">
        <f t="shared" si="385"/>
        <v>0</v>
      </c>
      <c r="UT256" s="131">
        <f t="shared" si="386"/>
        <v>0</v>
      </c>
      <c r="UU256" s="131">
        <f t="shared" si="387"/>
        <v>0</v>
      </c>
      <c r="UV256" s="132">
        <f t="shared" si="388"/>
        <v>0</v>
      </c>
      <c r="UW256" s="132">
        <f t="shared" si="389"/>
        <v>0</v>
      </c>
      <c r="UX256" s="132">
        <f t="shared" si="390"/>
        <v>0</v>
      </c>
      <c r="UY256" s="132">
        <f t="shared" si="391"/>
        <v>0</v>
      </c>
      <c r="UZ256" s="132">
        <f t="shared" si="392"/>
        <v>0</v>
      </c>
      <c r="VA256" s="132">
        <f t="shared" si="393"/>
        <v>0</v>
      </c>
      <c r="VB256" s="131">
        <f t="shared" si="394"/>
        <v>0</v>
      </c>
      <c r="VC256" s="132">
        <f t="shared" si="395"/>
        <v>0</v>
      </c>
      <c r="VD256" s="132">
        <f t="shared" si="396"/>
        <v>0</v>
      </c>
      <c r="VE256" s="132">
        <f t="shared" si="397"/>
        <v>0</v>
      </c>
      <c r="VF256" s="132">
        <f t="shared" si="398"/>
        <v>0</v>
      </c>
      <c r="VG256" s="132">
        <f t="shared" si="399"/>
        <v>0</v>
      </c>
      <c r="VH256" s="132">
        <f t="shared" si="400"/>
        <v>0</v>
      </c>
      <c r="VI256" s="132">
        <f t="shared" si="401"/>
        <v>0</v>
      </c>
      <c r="VJ256" s="132">
        <f t="shared" si="402"/>
        <v>0</v>
      </c>
      <c r="VK256" s="132">
        <f t="shared" si="403"/>
        <v>0</v>
      </c>
      <c r="VL256" s="132">
        <f t="shared" si="404"/>
        <v>0</v>
      </c>
      <c r="VM256" s="132">
        <f t="shared" si="405"/>
        <v>0</v>
      </c>
      <c r="VN256" s="132">
        <f t="shared" si="406"/>
        <v>0</v>
      </c>
      <c r="VP256" s="845" t="str">
        <f>IFERROR(HLOOKUP(F256,'Hodnocení '!$C$1:$JH$5,2,FALSE),0)</f>
        <v>Ústav sociální péče pro mládež DOMEČKY</v>
      </c>
      <c r="VQ256" s="838"/>
      <c r="VR256" s="845" t="str">
        <f t="shared" si="414"/>
        <v>Příspěvková organizace zřízená územním samosprávným celkem</v>
      </c>
      <c r="VS256" s="845" t="str">
        <f>IFERROR(HLOOKUP(F256,'Hodnocení '!$C$1:$JH$5,5,FALSE),0)</f>
        <v>PO KHK</v>
      </c>
      <c r="VT256" s="838">
        <f t="shared" si="415"/>
        <v>0</v>
      </c>
      <c r="VU256" s="838" t="str">
        <f t="shared" si="416"/>
        <v>PO KHK</v>
      </c>
      <c r="VV256" s="838">
        <f t="shared" si="417"/>
        <v>19700000</v>
      </c>
      <c r="VW256" s="838">
        <f t="shared" si="418"/>
        <v>2800000</v>
      </c>
      <c r="VX256" s="838"/>
      <c r="VY256" s="838">
        <f t="shared" si="419"/>
        <v>0</v>
      </c>
      <c r="VZ256" s="838">
        <f t="shared" si="420"/>
        <v>34067800</v>
      </c>
      <c r="WA256" s="846">
        <f>IFERROR(HLOOKUP($F256,'Hodnocení '!$C$1:$JH$9,9,FALSE),0)</f>
        <v>34067800</v>
      </c>
      <c r="WB256" s="846">
        <f>IF(IFERROR(HLOOKUP($F256,'Hodnocení '!$C$1:$JH$13,13,FALSE),0)&gt;WA256,WA256,IFERROR(HLOOKUP($F256,'Hodnocení '!$C$1:$JH$13,13,FALSE),0))</f>
        <v>34067800</v>
      </c>
      <c r="WC256" s="846">
        <f>IFERROR(HLOOKUP($F256,'Hodnocení '!$C$1:$JH$155,155,FALSE),0)</f>
        <v>25223010</v>
      </c>
      <c r="WD256" s="845"/>
      <c r="WE256" s="845"/>
      <c r="WF256" s="845" t="str">
        <f t="shared" si="407"/>
        <v>ANO</v>
      </c>
      <c r="WG256" s="849" t="str">
        <f t="shared" si="421"/>
        <v>Podpora služby je vyjádřena zařazením do sítě sociálních služeb v KHK a řešením financování služby</v>
      </c>
      <c r="WH256"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56" s="849" t="str">
        <f t="shared" si="421"/>
        <v>Návrh dotace je výsledkem projednání s ostatními zadavateli v rámci sítě služeb KHK</v>
      </c>
      <c r="WJ256" s="849" t="str">
        <f t="shared" si="421"/>
        <v>Bez komentáře</v>
      </c>
      <c r="WK256" s="31">
        <f t="shared" si="408"/>
        <v>0</v>
      </c>
      <c r="WL256" s="850" t="str">
        <f t="shared" si="409"/>
        <v>Případná úprava příspěvku zřizovatele bude řešena v návaznosti na vývoj služby</v>
      </c>
      <c r="WM256" s="849" t="str">
        <f t="shared" si="410"/>
        <v>V rámci sítě KHK se dlouhodobě řeší otázka navyšování úhrad a průběžně se monitoruje s vazbou na vykrytí vyrovnávací platby</v>
      </c>
      <c r="WN256" s="849" t="str">
        <f t="shared" si="411"/>
        <v>Otázka výběru od zdravotních pojišťoven je předmětem procesu, který probíhá ve formě jednání se ZP a organizacemi</v>
      </c>
      <c r="WO256" s="849" t="str">
        <f t="shared" si="422"/>
        <v>bez komentáře</v>
      </c>
      <c r="WP256" s="849" t="str">
        <f t="shared" si="422"/>
        <v>bez komentáře</v>
      </c>
      <c r="WQ256" s="849" t="str">
        <f t="shared" si="422"/>
        <v>Konečná výše dotace z rozpočtu KHK bude řešena v návaznosti na řešení podílů jednotlivých zadavatelů.</v>
      </c>
      <c r="WR256" s="849" t="str">
        <f t="shared" si="422"/>
        <v>Konečná výše podpory ze stran obcí bude řešena v součinnosti s jednotlivými zadavateli v průběhu roku.</v>
      </c>
      <c r="WS256" s="849" t="str">
        <f t="shared" si="422"/>
        <v>bez komentáře</v>
      </c>
      <c r="WT256" s="849" t="str">
        <f t="shared" si="422"/>
        <v>bez komentáře</v>
      </c>
      <c r="WU256" s="845"/>
    </row>
    <row r="257" spans="1:619" s="128" customFormat="1" x14ac:dyDescent="0.25">
      <c r="A257" s="128" t="str">
        <f>VLOOKUP(F257,'Výpočet VP 2020'!$D$324:$I$588,6,FALSE)</f>
        <v>Je v síti</v>
      </c>
      <c r="B257" s="128" t="s">
        <v>997</v>
      </c>
      <c r="C257" s="128">
        <v>42886210</v>
      </c>
      <c r="D257" s="128" t="s">
        <v>998</v>
      </c>
      <c r="E257" s="128" t="s">
        <v>259</v>
      </c>
      <c r="F257" s="128">
        <v>6375207</v>
      </c>
      <c r="G257" s="128" t="s">
        <v>361</v>
      </c>
      <c r="H257" s="128" t="s">
        <v>218</v>
      </c>
      <c r="I257" s="128" t="s">
        <v>999</v>
      </c>
      <c r="J257" s="129">
        <v>42736</v>
      </c>
      <c r="L257" s="128" t="s">
        <v>220</v>
      </c>
      <c r="M257" s="128" t="s">
        <v>362</v>
      </c>
      <c r="N257" s="128">
        <v>4</v>
      </c>
      <c r="O257" s="128">
        <v>4</v>
      </c>
      <c r="P257" s="128">
        <v>18</v>
      </c>
      <c r="Q257" s="128">
        <v>19</v>
      </c>
      <c r="R257" s="128">
        <v>20</v>
      </c>
      <c r="BL257" s="128" t="s">
        <v>263</v>
      </c>
      <c r="BM257" s="128" t="s">
        <v>228</v>
      </c>
      <c r="BN257" s="128" t="s">
        <v>224</v>
      </c>
      <c r="DA257" s="128">
        <v>0</v>
      </c>
      <c r="DB257" s="128">
        <v>0</v>
      </c>
      <c r="DC257" s="128">
        <v>1</v>
      </c>
      <c r="DD257" s="128">
        <v>1</v>
      </c>
      <c r="DE257" s="128">
        <v>0</v>
      </c>
      <c r="DF257" s="128">
        <v>0</v>
      </c>
      <c r="DG257" s="128">
        <v>0</v>
      </c>
      <c r="DH257" s="128">
        <v>1</v>
      </c>
      <c r="DI257" s="128">
        <v>1</v>
      </c>
      <c r="DJ257" s="128">
        <v>0</v>
      </c>
      <c r="DK257" s="128">
        <v>0</v>
      </c>
      <c r="DL257" s="128">
        <v>0</v>
      </c>
      <c r="DM257" s="128">
        <v>2</v>
      </c>
      <c r="DN257" s="128">
        <v>2</v>
      </c>
      <c r="DO257" s="128">
        <v>0</v>
      </c>
      <c r="DP257" s="128">
        <v>2</v>
      </c>
      <c r="DQ257" s="128">
        <v>2</v>
      </c>
      <c r="DR257" s="128">
        <v>4</v>
      </c>
      <c r="DS257" s="128">
        <v>0</v>
      </c>
      <c r="DT257" s="128">
        <v>0</v>
      </c>
      <c r="DU257" s="128">
        <v>1</v>
      </c>
      <c r="DV257" s="128">
        <v>1</v>
      </c>
      <c r="DW257" s="128">
        <v>0</v>
      </c>
      <c r="DX257" s="128">
        <v>0</v>
      </c>
      <c r="DY257" s="128">
        <v>0</v>
      </c>
      <c r="DZ257" s="128">
        <v>1</v>
      </c>
      <c r="EA257" s="128">
        <v>1</v>
      </c>
      <c r="EB257" s="128">
        <v>0</v>
      </c>
      <c r="EC257" s="128">
        <v>0</v>
      </c>
      <c r="ED257" s="128">
        <v>0</v>
      </c>
      <c r="EE257" s="128">
        <v>2</v>
      </c>
      <c r="EF257" s="128">
        <v>2</v>
      </c>
      <c r="EG257" s="128">
        <v>0</v>
      </c>
      <c r="EH257" s="128">
        <v>2</v>
      </c>
      <c r="EI257" s="128">
        <v>2</v>
      </c>
      <c r="EJ257" s="128">
        <v>4</v>
      </c>
      <c r="EK257" s="128">
        <v>3</v>
      </c>
      <c r="EL257" s="128">
        <v>0.25</v>
      </c>
      <c r="EM257" s="128">
        <v>0.25</v>
      </c>
      <c r="EN257" s="128">
        <v>123000</v>
      </c>
      <c r="EO257" s="128">
        <v>100000</v>
      </c>
      <c r="EP257" s="128">
        <v>18</v>
      </c>
      <c r="EQ257" s="128">
        <v>1.68</v>
      </c>
      <c r="ER257" s="128">
        <v>1.68</v>
      </c>
      <c r="ES257" s="128">
        <v>824000</v>
      </c>
      <c r="ET257" s="128">
        <v>605500</v>
      </c>
      <c r="FO257" s="128">
        <v>4</v>
      </c>
      <c r="FP257" s="128">
        <v>7.0000000000000007E-2</v>
      </c>
      <c r="FQ257" s="128">
        <v>7.0000000000000007E-2</v>
      </c>
      <c r="FR257" s="128">
        <v>23000</v>
      </c>
      <c r="FS257" s="128">
        <v>17000</v>
      </c>
      <c r="KG257" s="128">
        <v>0</v>
      </c>
      <c r="KI257" s="128">
        <v>1.93</v>
      </c>
      <c r="KJ257" s="128">
        <v>0</v>
      </c>
      <c r="KK257" s="128">
        <v>0</v>
      </c>
      <c r="KL257" s="128">
        <v>0</v>
      </c>
      <c r="KM257" s="128">
        <v>1.93</v>
      </c>
      <c r="KN257" s="128">
        <v>970000</v>
      </c>
      <c r="KO257" s="128">
        <v>722500</v>
      </c>
      <c r="KP257" s="128">
        <v>722500</v>
      </c>
      <c r="KT257" s="128">
        <v>0</v>
      </c>
      <c r="KU257" s="128">
        <v>0</v>
      </c>
      <c r="KV257" s="128">
        <v>0</v>
      </c>
      <c r="KZ257" s="128">
        <v>0</v>
      </c>
      <c r="LA257" s="128">
        <v>0</v>
      </c>
      <c r="LB257" s="128">
        <v>0</v>
      </c>
      <c r="LF257" s="128">
        <v>15000</v>
      </c>
      <c r="LG257" s="128">
        <v>0</v>
      </c>
      <c r="LH257" s="128">
        <v>0</v>
      </c>
      <c r="LL257" s="128">
        <v>0</v>
      </c>
      <c r="LM257" s="128">
        <v>0</v>
      </c>
      <c r="LN257" s="128">
        <v>0</v>
      </c>
      <c r="LR257" s="128">
        <v>10000</v>
      </c>
      <c r="LS257" s="128">
        <v>0</v>
      </c>
      <c r="LT257" s="128">
        <v>0</v>
      </c>
      <c r="LX257" s="128">
        <v>20000</v>
      </c>
      <c r="LY257" s="128">
        <v>0</v>
      </c>
      <c r="LZ257" s="128">
        <v>0</v>
      </c>
      <c r="MD257" s="128">
        <v>0</v>
      </c>
      <c r="ME257" s="128">
        <v>0</v>
      </c>
      <c r="MF257" s="128">
        <v>0</v>
      </c>
      <c r="MJ257" s="128">
        <v>0</v>
      </c>
      <c r="MK257" s="128">
        <v>0</v>
      </c>
      <c r="ML257" s="128">
        <v>0</v>
      </c>
      <c r="MP257" s="128">
        <v>0</v>
      </c>
      <c r="MQ257" s="128">
        <v>0</v>
      </c>
      <c r="MR257" s="128">
        <v>0</v>
      </c>
      <c r="MV257" s="128">
        <v>15000</v>
      </c>
      <c r="MW257" s="128">
        <v>0</v>
      </c>
      <c r="MX257" s="128">
        <v>0</v>
      </c>
      <c r="NB257" s="128">
        <v>0</v>
      </c>
      <c r="NC257" s="128">
        <v>0</v>
      </c>
      <c r="ND257" s="128">
        <v>0</v>
      </c>
      <c r="NH257" s="128">
        <v>0</v>
      </c>
      <c r="NI257" s="128">
        <v>0</v>
      </c>
      <c r="NJ257" s="128">
        <v>0</v>
      </c>
      <c r="NN257" s="128">
        <v>0</v>
      </c>
      <c r="NO257" s="128">
        <v>0</v>
      </c>
      <c r="NP257" s="128">
        <v>0</v>
      </c>
      <c r="NT257" s="128">
        <v>0</v>
      </c>
      <c r="NU257" s="128">
        <v>0</v>
      </c>
      <c r="NV257" s="128">
        <v>0</v>
      </c>
      <c r="NZ257" s="128">
        <v>0</v>
      </c>
      <c r="OA257" s="128">
        <v>0</v>
      </c>
      <c r="OB257" s="128">
        <v>0</v>
      </c>
      <c r="OF257" s="128">
        <v>0</v>
      </c>
      <c r="OG257" s="128">
        <v>0</v>
      </c>
      <c r="OH257" s="128">
        <v>0</v>
      </c>
      <c r="OL257" s="128">
        <v>0</v>
      </c>
      <c r="OM257" s="128">
        <v>0</v>
      </c>
      <c r="ON257" s="128">
        <v>0</v>
      </c>
      <c r="OR257" s="128">
        <v>0</v>
      </c>
      <c r="OS257" s="128">
        <v>0</v>
      </c>
      <c r="OT257" s="128">
        <v>0</v>
      </c>
      <c r="OX257" s="128">
        <v>0</v>
      </c>
      <c r="OY257" s="128">
        <v>0</v>
      </c>
      <c r="OZ257" s="128">
        <v>0</v>
      </c>
      <c r="PD257" s="128">
        <v>0</v>
      </c>
      <c r="PE257" s="128">
        <v>0</v>
      </c>
      <c r="PF257" s="128">
        <v>0</v>
      </c>
      <c r="PJ257" s="128">
        <v>0</v>
      </c>
      <c r="PK257" s="128">
        <v>0</v>
      </c>
      <c r="PL257" s="128">
        <v>0</v>
      </c>
      <c r="PP257" s="128">
        <v>1030000</v>
      </c>
      <c r="PQ257" s="128">
        <v>722500</v>
      </c>
      <c r="PR257" s="128">
        <v>722500</v>
      </c>
      <c r="PS257" s="128">
        <v>100</v>
      </c>
      <c r="PT257" s="128">
        <v>100</v>
      </c>
      <c r="PV257" s="128">
        <v>1210654</v>
      </c>
      <c r="PX257" s="128">
        <v>600000</v>
      </c>
      <c r="PY257" s="128">
        <v>330011</v>
      </c>
      <c r="PZ257" s="128">
        <v>722500</v>
      </c>
      <c r="QA257" s="128">
        <v>0</v>
      </c>
      <c r="QB257" s="128">
        <v>0</v>
      </c>
      <c r="QC257" s="128">
        <v>0</v>
      </c>
      <c r="QD257" s="128">
        <v>0</v>
      </c>
      <c r="QE257" s="128">
        <v>0</v>
      </c>
      <c r="QF257" s="128">
        <v>0</v>
      </c>
      <c r="QG257" s="128">
        <v>320000</v>
      </c>
      <c r="QH257" s="128">
        <v>700000</v>
      </c>
      <c r="QI257" s="128">
        <v>127500</v>
      </c>
      <c r="QJ257" s="128">
        <v>175751</v>
      </c>
      <c r="QK257" s="128">
        <v>171000</v>
      </c>
      <c r="QL257" s="128">
        <v>180000</v>
      </c>
      <c r="QN257" s="128">
        <v>0</v>
      </c>
      <c r="QO257" s="128">
        <v>0</v>
      </c>
      <c r="QP257" s="128">
        <v>0</v>
      </c>
      <c r="RH257" s="128">
        <f t="shared" si="412"/>
        <v>850000</v>
      </c>
      <c r="RI257" s="128">
        <v>0</v>
      </c>
      <c r="RM257" s="128" t="s">
        <v>220</v>
      </c>
      <c r="RU257" s="130"/>
      <c r="RV257" s="130"/>
      <c r="RW257" s="130"/>
      <c r="RX257" s="130"/>
      <c r="SF257" s="128">
        <f t="shared" si="322"/>
        <v>6375207</v>
      </c>
      <c r="SG257" s="131">
        <f t="shared" si="323"/>
        <v>1030000</v>
      </c>
      <c r="SH257" s="131">
        <f t="shared" si="324"/>
        <v>1030000</v>
      </c>
      <c r="SI257" s="131">
        <f t="shared" si="325"/>
        <v>985000</v>
      </c>
      <c r="SJ257" s="132">
        <f t="shared" si="326"/>
        <v>970000</v>
      </c>
      <c r="SK257" s="132">
        <f t="shared" si="327"/>
        <v>0</v>
      </c>
      <c r="SL257" s="132">
        <f t="shared" si="328"/>
        <v>0</v>
      </c>
      <c r="SM257" s="132">
        <f t="shared" si="329"/>
        <v>15000</v>
      </c>
      <c r="SN257" s="131">
        <f t="shared" si="330"/>
        <v>45000</v>
      </c>
      <c r="SO257" s="131">
        <f t="shared" si="331"/>
        <v>10000</v>
      </c>
      <c r="SP257" s="132">
        <f t="shared" si="332"/>
        <v>0</v>
      </c>
      <c r="SQ257" s="132">
        <f t="shared" si="333"/>
        <v>10000</v>
      </c>
      <c r="SR257" s="132">
        <f t="shared" si="334"/>
        <v>20000</v>
      </c>
      <c r="SS257" s="132">
        <f t="shared" si="335"/>
        <v>0</v>
      </c>
      <c r="ST257" s="132">
        <f t="shared" si="336"/>
        <v>0</v>
      </c>
      <c r="SU257" s="132">
        <f t="shared" si="337"/>
        <v>0</v>
      </c>
      <c r="SV257" s="131">
        <f t="shared" si="338"/>
        <v>15000</v>
      </c>
      <c r="SW257" s="132">
        <f t="shared" si="339"/>
        <v>15000</v>
      </c>
      <c r="SX257" s="132">
        <f t="shared" si="340"/>
        <v>0</v>
      </c>
      <c r="SY257" s="132">
        <f t="shared" si="341"/>
        <v>0</v>
      </c>
      <c r="SZ257" s="132">
        <f t="shared" si="342"/>
        <v>0</v>
      </c>
      <c r="TA257" s="132">
        <f t="shared" si="343"/>
        <v>0</v>
      </c>
      <c r="TB257" s="132">
        <f t="shared" si="344"/>
        <v>0</v>
      </c>
      <c r="TC257" s="132">
        <f t="shared" si="345"/>
        <v>0</v>
      </c>
      <c r="TD257" s="132">
        <f t="shared" si="346"/>
        <v>0</v>
      </c>
      <c r="TE257" s="132">
        <f t="shared" si="347"/>
        <v>0</v>
      </c>
      <c r="TF257" s="132">
        <f t="shared" si="348"/>
        <v>0</v>
      </c>
      <c r="TG257" s="132">
        <f t="shared" si="349"/>
        <v>0</v>
      </c>
      <c r="TH257" s="132">
        <f t="shared" si="350"/>
        <v>0</v>
      </c>
      <c r="TI257" s="1"/>
      <c r="TJ257" s="131">
        <f t="shared" si="351"/>
        <v>722500</v>
      </c>
      <c r="TK257" s="131">
        <f t="shared" si="352"/>
        <v>722500</v>
      </c>
      <c r="TL257" s="131">
        <f t="shared" si="353"/>
        <v>722500</v>
      </c>
      <c r="TM257" s="132">
        <f t="shared" si="354"/>
        <v>722500</v>
      </c>
      <c r="TN257" s="132">
        <f t="shared" si="355"/>
        <v>0</v>
      </c>
      <c r="TO257" s="132">
        <f t="shared" si="356"/>
        <v>0</v>
      </c>
      <c r="TP257" s="132">
        <f t="shared" si="357"/>
        <v>0</v>
      </c>
      <c r="TQ257" s="131">
        <f t="shared" si="358"/>
        <v>0</v>
      </c>
      <c r="TR257" s="131">
        <f t="shared" si="359"/>
        <v>0</v>
      </c>
      <c r="TS257" s="132">
        <f t="shared" si="360"/>
        <v>0</v>
      </c>
      <c r="TT257" s="132">
        <f t="shared" si="361"/>
        <v>0</v>
      </c>
      <c r="TU257" s="132">
        <f t="shared" si="362"/>
        <v>0</v>
      </c>
      <c r="TV257" s="132">
        <f t="shared" si="363"/>
        <v>0</v>
      </c>
      <c r="TW257" s="132">
        <f t="shared" si="364"/>
        <v>0</v>
      </c>
      <c r="TX257" s="132">
        <f t="shared" si="365"/>
        <v>0</v>
      </c>
      <c r="TY257" s="131">
        <f t="shared" si="366"/>
        <v>0</v>
      </c>
      <c r="TZ257" s="132">
        <f t="shared" si="367"/>
        <v>0</v>
      </c>
      <c r="UA257" s="132">
        <f t="shared" si="368"/>
        <v>0</v>
      </c>
      <c r="UB257" s="132">
        <f t="shared" si="369"/>
        <v>0</v>
      </c>
      <c r="UC257" s="132">
        <f t="shared" si="370"/>
        <v>0</v>
      </c>
      <c r="UD257" s="132">
        <f t="shared" si="371"/>
        <v>0</v>
      </c>
      <c r="UE257" s="132">
        <f t="shared" si="372"/>
        <v>0</v>
      </c>
      <c r="UF257" s="132">
        <f t="shared" si="373"/>
        <v>0</v>
      </c>
      <c r="UG257" s="132">
        <f t="shared" si="374"/>
        <v>0</v>
      </c>
      <c r="UH257" s="132">
        <f t="shared" si="375"/>
        <v>0</v>
      </c>
      <c r="UI257" s="132">
        <f t="shared" si="376"/>
        <v>0</v>
      </c>
      <c r="UJ257" s="132">
        <f t="shared" si="377"/>
        <v>0</v>
      </c>
      <c r="UK257" s="132">
        <f t="shared" si="378"/>
        <v>0</v>
      </c>
      <c r="UL257" s="132">
        <f t="shared" si="413"/>
        <v>722500</v>
      </c>
      <c r="UM257" s="131">
        <f t="shared" si="379"/>
        <v>722500</v>
      </c>
      <c r="UN257" s="131">
        <f t="shared" si="380"/>
        <v>722500</v>
      </c>
      <c r="UO257" s="131">
        <f t="shared" si="381"/>
        <v>722500</v>
      </c>
      <c r="UP257" s="132">
        <f t="shared" si="382"/>
        <v>722500</v>
      </c>
      <c r="UQ257" s="132">
        <f t="shared" si="383"/>
        <v>0</v>
      </c>
      <c r="UR257" s="132">
        <f t="shared" si="384"/>
        <v>0</v>
      </c>
      <c r="US257" s="132">
        <f t="shared" si="385"/>
        <v>0</v>
      </c>
      <c r="UT257" s="131">
        <f t="shared" si="386"/>
        <v>0</v>
      </c>
      <c r="UU257" s="131">
        <f t="shared" si="387"/>
        <v>0</v>
      </c>
      <c r="UV257" s="132">
        <f t="shared" si="388"/>
        <v>0</v>
      </c>
      <c r="UW257" s="132">
        <f t="shared" si="389"/>
        <v>0</v>
      </c>
      <c r="UX257" s="132">
        <f t="shared" si="390"/>
        <v>0</v>
      </c>
      <c r="UY257" s="132">
        <f t="shared" si="391"/>
        <v>0</v>
      </c>
      <c r="UZ257" s="132">
        <f t="shared" si="392"/>
        <v>0</v>
      </c>
      <c r="VA257" s="132">
        <f t="shared" si="393"/>
        <v>0</v>
      </c>
      <c r="VB257" s="131">
        <f t="shared" si="394"/>
        <v>0</v>
      </c>
      <c r="VC257" s="132">
        <f t="shared" si="395"/>
        <v>0</v>
      </c>
      <c r="VD257" s="132">
        <f t="shared" si="396"/>
        <v>0</v>
      </c>
      <c r="VE257" s="132">
        <f t="shared" si="397"/>
        <v>0</v>
      </c>
      <c r="VF257" s="132">
        <f t="shared" si="398"/>
        <v>0</v>
      </c>
      <c r="VG257" s="132">
        <f t="shared" si="399"/>
        <v>0</v>
      </c>
      <c r="VH257" s="132">
        <f t="shared" si="400"/>
        <v>0</v>
      </c>
      <c r="VI257" s="132">
        <f t="shared" si="401"/>
        <v>0</v>
      </c>
      <c r="VJ257" s="132">
        <f t="shared" si="402"/>
        <v>0</v>
      </c>
      <c r="VK257" s="132">
        <f t="shared" si="403"/>
        <v>0</v>
      </c>
      <c r="VL257" s="132">
        <f t="shared" si="404"/>
        <v>0</v>
      </c>
      <c r="VM257" s="132">
        <f t="shared" si="405"/>
        <v>0</v>
      </c>
      <c r="VN257" s="132">
        <f t="shared" si="406"/>
        <v>0</v>
      </c>
      <c r="VP257" s="845" t="str">
        <f>IFERROR(HLOOKUP(F257,'Hodnocení '!$C$1:$JH$5,2,FALSE),0)</f>
        <v>Ústav sociální péče pro mládež DOMEČKY</v>
      </c>
      <c r="VQ257" s="838"/>
      <c r="VR257" s="845" t="str">
        <f t="shared" si="414"/>
        <v>Příspěvková organizace zřízená územním samosprávným celkem</v>
      </c>
      <c r="VS257" s="845" t="str">
        <f>IFERROR(HLOOKUP(F257,'Hodnocení '!$C$1:$JH$5,5,FALSE),0)</f>
        <v>PO KHK</v>
      </c>
      <c r="VT257" s="838">
        <f t="shared" si="415"/>
        <v>0</v>
      </c>
      <c r="VU257" s="838" t="str">
        <f t="shared" si="416"/>
        <v>PO KHK</v>
      </c>
      <c r="VV257" s="838">
        <f t="shared" si="417"/>
        <v>180000</v>
      </c>
      <c r="VW257" s="838">
        <f t="shared" si="418"/>
        <v>0</v>
      </c>
      <c r="VX257" s="838"/>
      <c r="VY257" s="838">
        <f t="shared" si="419"/>
        <v>0</v>
      </c>
      <c r="VZ257" s="838">
        <f t="shared" si="420"/>
        <v>722500</v>
      </c>
      <c r="WA257" s="846">
        <f>IFERROR(HLOOKUP($F257,'Hodnocení '!$C$1:$JH$9,9,FALSE),0)</f>
        <v>722500</v>
      </c>
      <c r="WB257" s="846">
        <f>IF(IFERROR(HLOOKUP($F257,'Hodnocení '!$C$1:$JH$13,13,FALSE),0)&gt;WA257,WA257,IFERROR(HLOOKUP($F257,'Hodnocení '!$C$1:$JH$13,13,FALSE),0))</f>
        <v>722500</v>
      </c>
      <c r="WC257" s="846">
        <f>IFERROR(HLOOKUP($F257,'Hodnocení '!$C$1:$JH$155,155,FALSE),0)</f>
        <v>453690</v>
      </c>
      <c r="WD257" s="845"/>
      <c r="WE257" s="845"/>
      <c r="WF257" s="845" t="str">
        <f t="shared" si="407"/>
        <v>ANO</v>
      </c>
      <c r="WG257" s="849" t="str">
        <f t="shared" si="421"/>
        <v>Podpora služby je vyjádřena zařazením do sítě sociálních služeb v KHK a řešením financování služby</v>
      </c>
      <c r="WH257"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57" s="849" t="str">
        <f t="shared" si="421"/>
        <v>Návrh dotace je výsledkem projednání s ostatními zadavateli v rámci sítě služeb KHK</v>
      </c>
      <c r="WJ257" s="849" t="str">
        <f t="shared" si="421"/>
        <v>Bez komentáře</v>
      </c>
      <c r="WK257" s="31">
        <f t="shared" si="408"/>
        <v>0</v>
      </c>
      <c r="WL257" s="850" t="str">
        <f t="shared" si="409"/>
        <v>Případná úprava příspěvku zřizovatele bude řešena v návaznosti na vývoj služby</v>
      </c>
      <c r="WM257" s="849" t="str">
        <f t="shared" si="410"/>
        <v>V rámci sítě KHK se dlouhodobě řeší otázka navyšování úhrad a průběžně se monitoruje s vazbou na vykrytí vyrovnávací platby</v>
      </c>
      <c r="WN257" s="849">
        <f t="shared" si="411"/>
        <v>0</v>
      </c>
      <c r="WO257" s="849" t="str">
        <f t="shared" si="422"/>
        <v>bez komentáře</v>
      </c>
      <c r="WP257" s="849" t="str">
        <f t="shared" si="422"/>
        <v>bez komentáře</v>
      </c>
      <c r="WQ257" s="849" t="str">
        <f t="shared" si="422"/>
        <v>Konečná výše dotace z rozpočtu KHK bude řešena v návaznosti na řešení podílů jednotlivých zadavatelů.</v>
      </c>
      <c r="WR257" s="849" t="str">
        <f t="shared" si="422"/>
        <v>Konečná výše podpory ze stran obcí bude řešena v součinnosti s jednotlivými zadavateli v průběhu roku.</v>
      </c>
      <c r="WS257" s="849" t="str">
        <f t="shared" si="422"/>
        <v>bez komentáře</v>
      </c>
      <c r="WT257" s="849" t="str">
        <f t="shared" si="422"/>
        <v>bez komentáře</v>
      </c>
      <c r="WU257" s="845"/>
    </row>
    <row r="258" spans="1:619" s="128" customFormat="1" x14ac:dyDescent="0.25">
      <c r="A258" s="128" t="str">
        <f>VLOOKUP(F258,'Výpočet VP 2020'!$D$324:$I$588,6,FALSE)</f>
        <v>Je v síti</v>
      </c>
      <c r="B258" s="128" t="s">
        <v>1001</v>
      </c>
      <c r="C258" s="128">
        <v>42886201</v>
      </c>
      <c r="D258" s="128" t="s">
        <v>1002</v>
      </c>
      <c r="E258" s="128" t="s">
        <v>259</v>
      </c>
      <c r="F258" s="128">
        <v>2089762</v>
      </c>
      <c r="G258" s="128" t="s">
        <v>260</v>
      </c>
      <c r="H258" s="128" t="s">
        <v>218</v>
      </c>
      <c r="I258" s="128" t="s">
        <v>1001</v>
      </c>
      <c r="J258" s="129">
        <v>39083</v>
      </c>
      <c r="L258" s="128" t="s">
        <v>220</v>
      </c>
      <c r="M258" s="128" t="s">
        <v>451</v>
      </c>
      <c r="N258" s="128">
        <v>78</v>
      </c>
      <c r="P258" s="128">
        <v>81</v>
      </c>
      <c r="Q258" s="128">
        <v>79</v>
      </c>
      <c r="R258" s="128">
        <v>78</v>
      </c>
      <c r="BL258" s="128" t="s">
        <v>356</v>
      </c>
      <c r="BM258" s="128" t="s">
        <v>228</v>
      </c>
      <c r="BN258" s="128" t="s">
        <v>364</v>
      </c>
      <c r="DA258" s="128">
        <v>0</v>
      </c>
      <c r="DB258" s="128">
        <v>0</v>
      </c>
      <c r="DC258" s="128">
        <v>0</v>
      </c>
      <c r="DD258" s="128">
        <v>0</v>
      </c>
      <c r="DE258" s="128">
        <v>0</v>
      </c>
      <c r="DF258" s="128">
        <v>5</v>
      </c>
      <c r="DG258" s="128">
        <v>31</v>
      </c>
      <c r="DH258" s="128">
        <v>19</v>
      </c>
      <c r="DI258" s="128">
        <v>21</v>
      </c>
      <c r="DJ258" s="128">
        <v>0</v>
      </c>
      <c r="DK258" s="128">
        <v>5</v>
      </c>
      <c r="DL258" s="128">
        <v>31</v>
      </c>
      <c r="DM258" s="128">
        <v>19</v>
      </c>
      <c r="DN258" s="128">
        <v>21</v>
      </c>
      <c r="DO258" s="128">
        <v>0</v>
      </c>
      <c r="DP258" s="128">
        <v>0</v>
      </c>
      <c r="DQ258" s="128">
        <v>76</v>
      </c>
      <c r="DR258" s="128">
        <v>76</v>
      </c>
      <c r="DS258" s="128">
        <v>0</v>
      </c>
      <c r="DT258" s="128">
        <v>0</v>
      </c>
      <c r="DU258" s="128">
        <v>0</v>
      </c>
      <c r="DV258" s="128">
        <v>0</v>
      </c>
      <c r="DW258" s="128">
        <v>0</v>
      </c>
      <c r="DX258" s="128">
        <v>5</v>
      </c>
      <c r="DY258" s="128">
        <v>31</v>
      </c>
      <c r="DZ258" s="128">
        <v>19</v>
      </c>
      <c r="EA258" s="128">
        <v>22</v>
      </c>
      <c r="EB258" s="128">
        <v>1</v>
      </c>
      <c r="EC258" s="128">
        <v>5</v>
      </c>
      <c r="ED258" s="128">
        <v>31</v>
      </c>
      <c r="EE258" s="128">
        <v>19</v>
      </c>
      <c r="EF258" s="128">
        <v>22</v>
      </c>
      <c r="EG258" s="128">
        <v>1</v>
      </c>
      <c r="EH258" s="128">
        <v>0</v>
      </c>
      <c r="EI258" s="128">
        <v>78</v>
      </c>
      <c r="EJ258" s="128">
        <v>78</v>
      </c>
      <c r="EK258" s="128">
        <v>2</v>
      </c>
      <c r="EL258" s="128">
        <v>2</v>
      </c>
      <c r="EM258" s="128">
        <v>3</v>
      </c>
      <c r="EN258" s="128">
        <v>1561400</v>
      </c>
      <c r="EO258" s="128">
        <v>1405260</v>
      </c>
      <c r="EP258" s="128">
        <v>40</v>
      </c>
      <c r="EQ258" s="128">
        <v>40</v>
      </c>
      <c r="ER258" s="128">
        <v>39</v>
      </c>
      <c r="ES258" s="128">
        <v>22885640</v>
      </c>
      <c r="ET258" s="128">
        <v>20779908</v>
      </c>
      <c r="EU258" s="128">
        <v>7</v>
      </c>
      <c r="EV258" s="128">
        <v>7</v>
      </c>
      <c r="EW258" s="128">
        <v>7</v>
      </c>
      <c r="EX258" s="128">
        <v>5068560</v>
      </c>
      <c r="EY258" s="128">
        <v>0</v>
      </c>
      <c r="FO258" s="128">
        <v>16</v>
      </c>
      <c r="FP258" s="128">
        <v>16</v>
      </c>
      <c r="FQ258" s="128">
        <v>17</v>
      </c>
      <c r="FR258" s="128">
        <v>7725360</v>
      </c>
      <c r="FS258" s="128">
        <v>6952872</v>
      </c>
      <c r="IH258" s="128">
        <v>2</v>
      </c>
      <c r="II258" s="128">
        <v>0.5</v>
      </c>
      <c r="IJ258" s="128">
        <v>24</v>
      </c>
      <c r="IK258" s="128">
        <v>0.5</v>
      </c>
      <c r="IL258" s="128">
        <v>146000</v>
      </c>
      <c r="IM258" s="128">
        <v>0</v>
      </c>
      <c r="IS258" s="128">
        <v>11</v>
      </c>
      <c r="IT258" s="128">
        <v>3000</v>
      </c>
      <c r="IU258" s="128">
        <v>1.431</v>
      </c>
      <c r="IV258" s="128">
        <v>270600</v>
      </c>
      <c r="IW258" s="128">
        <v>0</v>
      </c>
      <c r="KG258" s="128">
        <v>0</v>
      </c>
      <c r="KI258" s="128">
        <v>49</v>
      </c>
      <c r="KJ258" s="128">
        <v>0</v>
      </c>
      <c r="KK258" s="128">
        <v>0</v>
      </c>
      <c r="KL258" s="128">
        <v>0</v>
      </c>
      <c r="KM258" s="128">
        <v>49</v>
      </c>
      <c r="KN258" s="128">
        <v>37240960</v>
      </c>
      <c r="KO258" s="128">
        <v>29138040</v>
      </c>
      <c r="KP258" s="128">
        <v>29138040</v>
      </c>
      <c r="KT258" s="128">
        <v>146000</v>
      </c>
      <c r="KU258" s="128">
        <v>0</v>
      </c>
      <c r="KV258" s="128">
        <v>0</v>
      </c>
      <c r="KZ258" s="128">
        <v>270600</v>
      </c>
      <c r="LA258" s="128">
        <v>0</v>
      </c>
      <c r="LB258" s="128">
        <v>0</v>
      </c>
      <c r="LF258" s="128">
        <v>555836</v>
      </c>
      <c r="LG258" s="128">
        <v>0</v>
      </c>
      <c r="LH258" s="128">
        <v>0</v>
      </c>
      <c r="LL258" s="128">
        <v>0</v>
      </c>
      <c r="LM258" s="128">
        <v>0</v>
      </c>
      <c r="LN258" s="128">
        <v>0</v>
      </c>
      <c r="LR258" s="128">
        <v>580000</v>
      </c>
      <c r="LS258" s="128">
        <v>0</v>
      </c>
      <c r="LT258" s="128">
        <v>0</v>
      </c>
      <c r="LX258" s="128">
        <v>3200000</v>
      </c>
      <c r="LY258" s="128">
        <v>0</v>
      </c>
      <c r="LZ258" s="128">
        <v>0</v>
      </c>
      <c r="MD258" s="128">
        <v>140000</v>
      </c>
      <c r="ME258" s="128">
        <v>0</v>
      </c>
      <c r="MF258" s="128">
        <v>0</v>
      </c>
      <c r="MJ258" s="128">
        <v>80000</v>
      </c>
      <c r="MK258" s="128">
        <v>0</v>
      </c>
      <c r="ML258" s="128">
        <v>0</v>
      </c>
      <c r="MP258" s="128">
        <v>720000</v>
      </c>
      <c r="MQ258" s="128">
        <v>0</v>
      </c>
      <c r="MR258" s="128">
        <v>0</v>
      </c>
      <c r="MV258" s="128">
        <v>2900000</v>
      </c>
      <c r="MW258" s="128">
        <v>0</v>
      </c>
      <c r="MX258" s="128">
        <v>0</v>
      </c>
      <c r="NB258" s="128">
        <v>90000</v>
      </c>
      <c r="NC258" s="128">
        <v>0</v>
      </c>
      <c r="ND258" s="128">
        <v>0</v>
      </c>
      <c r="NH258" s="128">
        <v>0</v>
      </c>
      <c r="NI258" s="128">
        <v>0</v>
      </c>
      <c r="NJ258" s="128">
        <v>0</v>
      </c>
      <c r="NN258" s="128">
        <v>60000</v>
      </c>
      <c r="NO258" s="128">
        <v>0</v>
      </c>
      <c r="NP258" s="128">
        <v>0</v>
      </c>
      <c r="NT258" s="128">
        <v>100000</v>
      </c>
      <c r="NU258" s="128">
        <v>0</v>
      </c>
      <c r="NV258" s="128">
        <v>0</v>
      </c>
      <c r="NZ258" s="128">
        <v>700000</v>
      </c>
      <c r="OA258" s="128">
        <v>0</v>
      </c>
      <c r="OB258" s="128">
        <v>0</v>
      </c>
      <c r="OF258" s="128">
        <v>40000</v>
      </c>
      <c r="OG258" s="128">
        <v>0</v>
      </c>
      <c r="OH258" s="128">
        <v>0</v>
      </c>
      <c r="OL258" s="128">
        <v>0</v>
      </c>
      <c r="OM258" s="128">
        <v>0</v>
      </c>
      <c r="ON258" s="128">
        <v>0</v>
      </c>
      <c r="OR258" s="128">
        <v>0</v>
      </c>
      <c r="OS258" s="128">
        <v>0</v>
      </c>
      <c r="OT258" s="128">
        <v>0</v>
      </c>
      <c r="OX258" s="128">
        <v>1600000</v>
      </c>
      <c r="OY258" s="128">
        <v>0</v>
      </c>
      <c r="OZ258" s="128">
        <v>0</v>
      </c>
      <c r="PD258" s="128">
        <v>1980000</v>
      </c>
      <c r="PE258" s="128">
        <v>0</v>
      </c>
      <c r="PF258" s="128">
        <v>0</v>
      </c>
      <c r="PJ258" s="128">
        <v>0</v>
      </c>
      <c r="PK258" s="128">
        <v>0</v>
      </c>
      <c r="PL258" s="128">
        <v>0</v>
      </c>
      <c r="PP258" s="128">
        <v>50403396</v>
      </c>
      <c r="PQ258" s="128">
        <v>29138040</v>
      </c>
      <c r="PR258" s="128">
        <v>29138040</v>
      </c>
      <c r="PS258" s="128">
        <v>100</v>
      </c>
      <c r="PT258" s="128">
        <v>100</v>
      </c>
      <c r="PV258" s="128">
        <v>26181450</v>
      </c>
      <c r="PX258" s="128">
        <v>18388190</v>
      </c>
      <c r="PY258" s="128">
        <v>20631537</v>
      </c>
      <c r="PZ258" s="128">
        <v>29138040</v>
      </c>
      <c r="QA258" s="128">
        <v>0</v>
      </c>
      <c r="QB258" s="128">
        <v>0</v>
      </c>
      <c r="QC258" s="128">
        <v>0</v>
      </c>
      <c r="QD258" s="128">
        <v>0</v>
      </c>
      <c r="QE258" s="128">
        <v>0</v>
      </c>
      <c r="QF258" s="128">
        <v>0</v>
      </c>
      <c r="QG258" s="128">
        <v>9120000</v>
      </c>
      <c r="QH258" s="128">
        <v>10210000</v>
      </c>
      <c r="QI258" s="128">
        <v>5142001</v>
      </c>
      <c r="QJ258" s="128">
        <v>13887741</v>
      </c>
      <c r="QK258" s="128">
        <v>14580000</v>
      </c>
      <c r="QL258" s="128">
        <v>14482455</v>
      </c>
      <c r="QN258" s="128">
        <v>190310</v>
      </c>
      <c r="QO258" s="128">
        <v>664970</v>
      </c>
      <c r="QP258" s="128">
        <v>514900</v>
      </c>
      <c r="QX258" s="128">
        <v>16000</v>
      </c>
      <c r="QY258" s="128">
        <v>16000</v>
      </c>
      <c r="QZ258" s="128">
        <v>16000</v>
      </c>
      <c r="RD258" s="128">
        <v>1062644</v>
      </c>
      <c r="RE258" s="128">
        <v>1109000</v>
      </c>
      <c r="RF258" s="128">
        <v>1110000</v>
      </c>
      <c r="RH258" s="128">
        <f t="shared" si="412"/>
        <v>35406041</v>
      </c>
      <c r="RI258" s="128">
        <v>0</v>
      </c>
      <c r="RM258" s="128" t="s">
        <v>220</v>
      </c>
      <c r="RU258" s="130"/>
      <c r="RV258" s="130"/>
      <c r="RW258" s="130"/>
      <c r="RX258" s="130"/>
      <c r="SF258" s="128">
        <f t="shared" si="322"/>
        <v>2089762</v>
      </c>
      <c r="SG258" s="131">
        <f t="shared" si="323"/>
        <v>50403396</v>
      </c>
      <c r="SH258" s="131">
        <f t="shared" si="324"/>
        <v>50403396</v>
      </c>
      <c r="SI258" s="131">
        <f t="shared" si="325"/>
        <v>38213396</v>
      </c>
      <c r="SJ258" s="132">
        <f t="shared" si="326"/>
        <v>37240960</v>
      </c>
      <c r="SK258" s="132">
        <f t="shared" si="327"/>
        <v>146000</v>
      </c>
      <c r="SL258" s="132">
        <f t="shared" si="328"/>
        <v>270600</v>
      </c>
      <c r="SM258" s="132">
        <f t="shared" si="329"/>
        <v>555836</v>
      </c>
      <c r="SN258" s="131">
        <f t="shared" si="330"/>
        <v>12190000</v>
      </c>
      <c r="SO258" s="131">
        <f t="shared" si="331"/>
        <v>580000</v>
      </c>
      <c r="SP258" s="132">
        <f t="shared" si="332"/>
        <v>0</v>
      </c>
      <c r="SQ258" s="132">
        <f t="shared" si="333"/>
        <v>580000</v>
      </c>
      <c r="SR258" s="132">
        <f t="shared" si="334"/>
        <v>3200000</v>
      </c>
      <c r="SS258" s="132">
        <f t="shared" si="335"/>
        <v>140000</v>
      </c>
      <c r="ST258" s="132">
        <f t="shared" si="336"/>
        <v>80000</v>
      </c>
      <c r="SU258" s="132">
        <f t="shared" si="337"/>
        <v>720000</v>
      </c>
      <c r="SV258" s="131">
        <f t="shared" si="338"/>
        <v>5490000</v>
      </c>
      <c r="SW258" s="132">
        <f t="shared" si="339"/>
        <v>2900000</v>
      </c>
      <c r="SX258" s="132">
        <f t="shared" si="340"/>
        <v>90000</v>
      </c>
      <c r="SY258" s="132">
        <f t="shared" si="341"/>
        <v>0</v>
      </c>
      <c r="SZ258" s="132">
        <f t="shared" si="342"/>
        <v>60000</v>
      </c>
      <c r="TA258" s="132">
        <f t="shared" si="343"/>
        <v>100000</v>
      </c>
      <c r="TB258" s="132">
        <f t="shared" si="344"/>
        <v>700000</v>
      </c>
      <c r="TC258" s="132">
        <f t="shared" si="345"/>
        <v>40000</v>
      </c>
      <c r="TD258" s="132">
        <f t="shared" si="346"/>
        <v>0</v>
      </c>
      <c r="TE258" s="132">
        <f t="shared" si="347"/>
        <v>0</v>
      </c>
      <c r="TF258" s="132">
        <f t="shared" si="348"/>
        <v>1600000</v>
      </c>
      <c r="TG258" s="132">
        <f t="shared" si="349"/>
        <v>1980000</v>
      </c>
      <c r="TH258" s="132">
        <f t="shared" si="350"/>
        <v>0</v>
      </c>
      <c r="TI258" s="1"/>
      <c r="TJ258" s="131">
        <f t="shared" si="351"/>
        <v>29138040</v>
      </c>
      <c r="TK258" s="131">
        <f t="shared" si="352"/>
        <v>29138040</v>
      </c>
      <c r="TL258" s="131">
        <f t="shared" si="353"/>
        <v>29138040</v>
      </c>
      <c r="TM258" s="132">
        <f t="shared" si="354"/>
        <v>29138040</v>
      </c>
      <c r="TN258" s="132">
        <f t="shared" si="355"/>
        <v>0</v>
      </c>
      <c r="TO258" s="132">
        <f t="shared" si="356"/>
        <v>0</v>
      </c>
      <c r="TP258" s="132">
        <f t="shared" si="357"/>
        <v>0</v>
      </c>
      <c r="TQ258" s="131">
        <f t="shared" si="358"/>
        <v>0</v>
      </c>
      <c r="TR258" s="131">
        <f t="shared" si="359"/>
        <v>0</v>
      </c>
      <c r="TS258" s="132">
        <f t="shared" si="360"/>
        <v>0</v>
      </c>
      <c r="TT258" s="132">
        <f t="shared" si="361"/>
        <v>0</v>
      </c>
      <c r="TU258" s="132">
        <f t="shared" si="362"/>
        <v>0</v>
      </c>
      <c r="TV258" s="132">
        <f t="shared" si="363"/>
        <v>0</v>
      </c>
      <c r="TW258" s="132">
        <f t="shared" si="364"/>
        <v>0</v>
      </c>
      <c r="TX258" s="132">
        <f t="shared" si="365"/>
        <v>0</v>
      </c>
      <c r="TY258" s="131">
        <f t="shared" si="366"/>
        <v>0</v>
      </c>
      <c r="TZ258" s="132">
        <f t="shared" si="367"/>
        <v>0</v>
      </c>
      <c r="UA258" s="132">
        <f t="shared" si="368"/>
        <v>0</v>
      </c>
      <c r="UB258" s="132">
        <f t="shared" si="369"/>
        <v>0</v>
      </c>
      <c r="UC258" s="132">
        <f t="shared" si="370"/>
        <v>0</v>
      </c>
      <c r="UD258" s="132">
        <f t="shared" si="371"/>
        <v>0</v>
      </c>
      <c r="UE258" s="132">
        <f t="shared" si="372"/>
        <v>0</v>
      </c>
      <c r="UF258" s="132">
        <f t="shared" si="373"/>
        <v>0</v>
      </c>
      <c r="UG258" s="132">
        <f t="shared" si="374"/>
        <v>0</v>
      </c>
      <c r="UH258" s="132">
        <f t="shared" si="375"/>
        <v>0</v>
      </c>
      <c r="UI258" s="132">
        <f t="shared" si="376"/>
        <v>0</v>
      </c>
      <c r="UJ258" s="132">
        <f t="shared" si="377"/>
        <v>0</v>
      </c>
      <c r="UK258" s="132">
        <f t="shared" si="378"/>
        <v>0</v>
      </c>
      <c r="UL258" s="132">
        <f t="shared" si="413"/>
        <v>29138040</v>
      </c>
      <c r="UM258" s="131">
        <f t="shared" si="379"/>
        <v>29138040</v>
      </c>
      <c r="UN258" s="131">
        <f t="shared" si="380"/>
        <v>29138040</v>
      </c>
      <c r="UO258" s="131">
        <f t="shared" si="381"/>
        <v>29138040</v>
      </c>
      <c r="UP258" s="132">
        <f t="shared" si="382"/>
        <v>29138040</v>
      </c>
      <c r="UQ258" s="132">
        <f t="shared" si="383"/>
        <v>0</v>
      </c>
      <c r="UR258" s="132">
        <f t="shared" si="384"/>
        <v>0</v>
      </c>
      <c r="US258" s="132">
        <f t="shared" si="385"/>
        <v>0</v>
      </c>
      <c r="UT258" s="131">
        <f t="shared" si="386"/>
        <v>0</v>
      </c>
      <c r="UU258" s="131">
        <f t="shared" si="387"/>
        <v>0</v>
      </c>
      <c r="UV258" s="132">
        <f t="shared" si="388"/>
        <v>0</v>
      </c>
      <c r="UW258" s="132">
        <f t="shared" si="389"/>
        <v>0</v>
      </c>
      <c r="UX258" s="132">
        <f t="shared" si="390"/>
        <v>0</v>
      </c>
      <c r="UY258" s="132">
        <f t="shared" si="391"/>
        <v>0</v>
      </c>
      <c r="UZ258" s="132">
        <f t="shared" si="392"/>
        <v>0</v>
      </c>
      <c r="VA258" s="132">
        <f t="shared" si="393"/>
        <v>0</v>
      </c>
      <c r="VB258" s="131">
        <f t="shared" si="394"/>
        <v>0</v>
      </c>
      <c r="VC258" s="132">
        <f t="shared" si="395"/>
        <v>0</v>
      </c>
      <c r="VD258" s="132">
        <f t="shared" si="396"/>
        <v>0</v>
      </c>
      <c r="VE258" s="132">
        <f t="shared" si="397"/>
        <v>0</v>
      </c>
      <c r="VF258" s="132">
        <f t="shared" si="398"/>
        <v>0</v>
      </c>
      <c r="VG258" s="132">
        <f t="shared" si="399"/>
        <v>0</v>
      </c>
      <c r="VH258" s="132">
        <f t="shared" si="400"/>
        <v>0</v>
      </c>
      <c r="VI258" s="132">
        <f t="shared" si="401"/>
        <v>0</v>
      </c>
      <c r="VJ258" s="132">
        <f t="shared" si="402"/>
        <v>0</v>
      </c>
      <c r="VK258" s="132">
        <f t="shared" si="403"/>
        <v>0</v>
      </c>
      <c r="VL258" s="132">
        <f t="shared" si="404"/>
        <v>0</v>
      </c>
      <c r="VM258" s="132">
        <f t="shared" si="405"/>
        <v>0</v>
      </c>
      <c r="VN258" s="132">
        <f t="shared" si="406"/>
        <v>0</v>
      </c>
      <c r="VP258" s="845" t="str">
        <f>IFERROR(HLOOKUP(F258,'Hodnocení '!$C$1:$JH$5,2,FALSE),0)</f>
        <v>Ústav sociální péče pro mládež Kvasiny</v>
      </c>
      <c r="VQ258" s="838"/>
      <c r="VR258" s="845" t="str">
        <f t="shared" si="414"/>
        <v>Příspěvková organizace zřízená územním samosprávným celkem</v>
      </c>
      <c r="VS258" s="845" t="str">
        <f>IFERROR(HLOOKUP(F258,'Hodnocení '!$C$1:$JH$5,5,FALSE),0)</f>
        <v>PO KHK</v>
      </c>
      <c r="VT258" s="838">
        <f t="shared" si="415"/>
        <v>0</v>
      </c>
      <c r="VU258" s="838" t="str">
        <f t="shared" si="416"/>
        <v>PO KHK</v>
      </c>
      <c r="VV258" s="838">
        <f t="shared" si="417"/>
        <v>14482455</v>
      </c>
      <c r="VW258" s="838">
        <f t="shared" si="418"/>
        <v>514900</v>
      </c>
      <c r="VX258" s="838"/>
      <c r="VY258" s="838">
        <f t="shared" si="419"/>
        <v>0</v>
      </c>
      <c r="VZ258" s="838">
        <f t="shared" si="420"/>
        <v>29138040</v>
      </c>
      <c r="WA258" s="846">
        <f>IFERROR(HLOOKUP($F258,'Hodnocení '!$C$1:$JH$9,9,FALSE),0)</f>
        <v>29138040</v>
      </c>
      <c r="WB258" s="846">
        <f>IF(IFERROR(HLOOKUP($F258,'Hodnocení '!$C$1:$JH$13,13,FALSE),0)&gt;WA258,WA258,IFERROR(HLOOKUP($F258,'Hodnocení '!$C$1:$JH$13,13,FALSE),0))</f>
        <v>29138040</v>
      </c>
      <c r="WC258" s="846">
        <f>IFERROR(HLOOKUP($F258,'Hodnocení '!$C$1:$JH$155,155,FALSE),0)</f>
        <v>22890579</v>
      </c>
      <c r="WD258" s="845"/>
      <c r="WE258" s="845"/>
      <c r="WF258" s="845" t="str">
        <f t="shared" si="407"/>
        <v>ANO</v>
      </c>
      <c r="WG258" s="849" t="str">
        <f t="shared" si="421"/>
        <v>Podpora služby je vyjádřena zařazením do sítě sociálních služeb v KHK a řešením financování služby</v>
      </c>
      <c r="WH258"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58" s="849" t="str">
        <f t="shared" si="421"/>
        <v>Návrh dotace je výsledkem projednání s ostatními zadavateli v rámci sítě služeb KHK</v>
      </c>
      <c r="WJ258" s="849" t="str">
        <f t="shared" si="421"/>
        <v>Bez komentáře</v>
      </c>
      <c r="WK258" s="31">
        <f t="shared" si="408"/>
        <v>0</v>
      </c>
      <c r="WL258" s="850" t="str">
        <f t="shared" si="409"/>
        <v>Případná úprava příspěvku zřizovatele bude řešena v návaznosti na vývoj služby</v>
      </c>
      <c r="WM258" s="849" t="str">
        <f t="shared" si="410"/>
        <v>V rámci sítě KHK se dlouhodobě řeší otázka navyšování úhrad a průběžně se monitoruje s vazbou na vykrytí vyrovnávací platby</v>
      </c>
      <c r="WN258" s="849" t="str">
        <f t="shared" si="411"/>
        <v>Otázka výběru od zdravotních pojišťoven je předmětem procesu, který probíhá ve formě jednání se ZP a organizacemi</v>
      </c>
      <c r="WO258" s="849" t="str">
        <f t="shared" si="422"/>
        <v>bez komentáře</v>
      </c>
      <c r="WP258" s="849" t="str">
        <f t="shared" si="422"/>
        <v>bez komentáře</v>
      </c>
      <c r="WQ258" s="849" t="str">
        <f t="shared" si="422"/>
        <v>Konečná výše dotace z rozpočtu KHK bude řešena v návaznosti na řešení podílů jednotlivých zadavatelů.</v>
      </c>
      <c r="WR258" s="849" t="str">
        <f t="shared" si="422"/>
        <v>Konečná výše podpory ze stran obcí bude řešena v součinnosti s jednotlivými zadavateli v průběhu roku.</v>
      </c>
      <c r="WS258" s="849" t="str">
        <f t="shared" si="422"/>
        <v>bez komentáře</v>
      </c>
      <c r="WT258" s="849" t="str">
        <f t="shared" si="422"/>
        <v>bez komentáře</v>
      </c>
      <c r="WU258" s="845"/>
    </row>
    <row r="259" spans="1:619" s="128" customFormat="1" x14ac:dyDescent="0.25">
      <c r="A259" s="128" t="str">
        <f>VLOOKUP(F259,'Výpočet VP 2020'!$D$324:$I$588,6,FALSE)</f>
        <v>Je v síti</v>
      </c>
      <c r="B259" s="128" t="s">
        <v>1003</v>
      </c>
      <c r="C259" s="128">
        <v>60117150</v>
      </c>
      <c r="D259" s="128" t="s">
        <v>1004</v>
      </c>
      <c r="E259" s="128" t="s">
        <v>259</v>
      </c>
      <c r="F259" s="128">
        <v>1109434</v>
      </c>
      <c r="G259" s="128" t="s">
        <v>348</v>
      </c>
      <c r="H259" s="128" t="s">
        <v>218</v>
      </c>
      <c r="I259" s="128" t="s">
        <v>390</v>
      </c>
      <c r="J259" s="129">
        <v>39083</v>
      </c>
      <c r="L259" s="128" t="s">
        <v>220</v>
      </c>
      <c r="M259" s="128" t="s">
        <v>1005</v>
      </c>
      <c r="N259" s="128">
        <v>65</v>
      </c>
      <c r="P259" s="128">
        <v>85</v>
      </c>
      <c r="Q259" s="128">
        <v>83</v>
      </c>
      <c r="R259" s="128">
        <v>88</v>
      </c>
      <c r="BL259" s="128" t="s">
        <v>351</v>
      </c>
      <c r="BM259" s="128" t="s">
        <v>325</v>
      </c>
      <c r="BN259" s="128" t="s">
        <v>352</v>
      </c>
      <c r="DA259" s="128">
        <v>0</v>
      </c>
      <c r="DB259" s="128">
        <v>0</v>
      </c>
      <c r="DC259" s="128">
        <v>0</v>
      </c>
      <c r="DD259" s="128">
        <v>0</v>
      </c>
      <c r="DE259" s="128">
        <v>0</v>
      </c>
      <c r="DF259" s="128">
        <v>2</v>
      </c>
      <c r="DG259" s="128">
        <v>19</v>
      </c>
      <c r="DH259" s="128">
        <v>26</v>
      </c>
      <c r="DI259" s="128">
        <v>17</v>
      </c>
      <c r="DJ259" s="128">
        <v>0</v>
      </c>
      <c r="DK259" s="128">
        <v>2</v>
      </c>
      <c r="DL259" s="128">
        <v>19</v>
      </c>
      <c r="DM259" s="128">
        <v>26</v>
      </c>
      <c r="DN259" s="128">
        <v>17</v>
      </c>
      <c r="DO259" s="128">
        <v>0</v>
      </c>
      <c r="DP259" s="128">
        <v>0</v>
      </c>
      <c r="DQ259" s="128">
        <v>64</v>
      </c>
      <c r="DR259" s="128">
        <v>64</v>
      </c>
      <c r="DS259" s="128">
        <v>0</v>
      </c>
      <c r="DT259" s="128">
        <v>0</v>
      </c>
      <c r="DU259" s="128">
        <v>0</v>
      </c>
      <c r="DV259" s="128">
        <v>0</v>
      </c>
      <c r="DW259" s="128">
        <v>0</v>
      </c>
      <c r="DX259" s="128">
        <v>2</v>
      </c>
      <c r="DY259" s="128">
        <v>13</v>
      </c>
      <c r="DZ259" s="128">
        <v>30</v>
      </c>
      <c r="EA259" s="128">
        <v>20</v>
      </c>
      <c r="EB259" s="128">
        <v>0</v>
      </c>
      <c r="EC259" s="128">
        <v>2</v>
      </c>
      <c r="ED259" s="128">
        <v>13</v>
      </c>
      <c r="EE259" s="128">
        <v>30</v>
      </c>
      <c r="EF259" s="128">
        <v>20</v>
      </c>
      <c r="EG259" s="128">
        <v>0</v>
      </c>
      <c r="EH259" s="128">
        <v>0</v>
      </c>
      <c r="EI259" s="128">
        <v>65</v>
      </c>
      <c r="EJ259" s="128">
        <v>65</v>
      </c>
      <c r="EK259" s="128">
        <v>2</v>
      </c>
      <c r="EL259" s="128">
        <v>2</v>
      </c>
      <c r="EM259" s="128">
        <v>2</v>
      </c>
      <c r="EN259" s="128">
        <v>1150000</v>
      </c>
      <c r="EO259" s="128">
        <v>650000</v>
      </c>
      <c r="EP259" s="128">
        <v>19</v>
      </c>
      <c r="EQ259" s="128">
        <v>19</v>
      </c>
      <c r="ER259" s="128">
        <v>19</v>
      </c>
      <c r="ES259" s="128">
        <v>8800000</v>
      </c>
      <c r="ET259" s="128">
        <v>8006000</v>
      </c>
      <c r="EU259" s="128">
        <v>8</v>
      </c>
      <c r="EV259" s="128">
        <v>8</v>
      </c>
      <c r="EW259" s="128">
        <v>8</v>
      </c>
      <c r="EX259" s="128">
        <v>5650000</v>
      </c>
      <c r="EY259" s="128">
        <v>0</v>
      </c>
      <c r="FO259" s="128">
        <v>16</v>
      </c>
      <c r="FP259" s="128">
        <v>13.1</v>
      </c>
      <c r="FQ259" s="128">
        <v>16</v>
      </c>
      <c r="FR259" s="128">
        <v>6510000</v>
      </c>
      <c r="FS259" s="128">
        <v>2440000</v>
      </c>
      <c r="IN259" s="128">
        <v>5</v>
      </c>
      <c r="IO259" s="128">
        <v>1500</v>
      </c>
      <c r="IP259" s="128">
        <v>0.71599999999999997</v>
      </c>
      <c r="IQ259" s="128">
        <v>195000</v>
      </c>
      <c r="IR259" s="128">
        <v>0</v>
      </c>
      <c r="IS259" s="128">
        <v>5</v>
      </c>
      <c r="IT259" s="128">
        <v>1500</v>
      </c>
      <c r="IU259" s="128">
        <v>0.71599999999999997</v>
      </c>
      <c r="IV259" s="128">
        <v>231000</v>
      </c>
      <c r="IW259" s="128">
        <v>0</v>
      </c>
      <c r="KG259" s="128">
        <v>0</v>
      </c>
      <c r="KI259" s="128">
        <v>29</v>
      </c>
      <c r="KJ259" s="128">
        <v>0</v>
      </c>
      <c r="KK259" s="128">
        <v>0.71599999999999997</v>
      </c>
      <c r="KL259" s="128">
        <v>0</v>
      </c>
      <c r="KM259" s="128">
        <v>29.716000000000001</v>
      </c>
      <c r="KN259" s="128">
        <v>22110000</v>
      </c>
      <c r="KO259" s="128">
        <v>11096000</v>
      </c>
      <c r="KP259" s="128">
        <v>11096000</v>
      </c>
      <c r="KT259" s="128">
        <v>0</v>
      </c>
      <c r="KU259" s="128">
        <v>0</v>
      </c>
      <c r="KV259" s="128">
        <v>0</v>
      </c>
      <c r="KZ259" s="128">
        <v>426000</v>
      </c>
      <c r="LA259" s="128">
        <v>0</v>
      </c>
      <c r="LB259" s="128">
        <v>0</v>
      </c>
      <c r="LF259" s="128">
        <v>550000</v>
      </c>
      <c r="LG259" s="128">
        <v>0</v>
      </c>
      <c r="LH259" s="128">
        <v>0</v>
      </c>
      <c r="LL259" s="128">
        <v>0</v>
      </c>
      <c r="LM259" s="128">
        <v>0</v>
      </c>
      <c r="LN259" s="128">
        <v>0</v>
      </c>
      <c r="LR259" s="128">
        <v>200000</v>
      </c>
      <c r="LS259" s="128">
        <v>0</v>
      </c>
      <c r="LT259" s="128">
        <v>0</v>
      </c>
      <c r="LX259" s="128">
        <v>2200000</v>
      </c>
      <c r="LY259" s="128">
        <v>0</v>
      </c>
      <c r="LZ259" s="128">
        <v>0</v>
      </c>
      <c r="MD259" s="128">
        <v>120000</v>
      </c>
      <c r="ME259" s="128">
        <v>0</v>
      </c>
      <c r="MF259" s="128">
        <v>0</v>
      </c>
      <c r="MJ259" s="128">
        <v>30000</v>
      </c>
      <c r="MK259" s="128">
        <v>0</v>
      </c>
      <c r="ML259" s="128">
        <v>0</v>
      </c>
      <c r="MP259" s="128">
        <v>980000</v>
      </c>
      <c r="MQ259" s="128">
        <v>0</v>
      </c>
      <c r="MR259" s="128">
        <v>0</v>
      </c>
      <c r="MV259" s="128">
        <v>2000000</v>
      </c>
      <c r="MW259" s="128">
        <v>200000</v>
      </c>
      <c r="MX259" s="128">
        <v>200000</v>
      </c>
      <c r="NB259" s="128">
        <v>180000</v>
      </c>
      <c r="NC259" s="128">
        <v>0</v>
      </c>
      <c r="ND259" s="128">
        <v>0</v>
      </c>
      <c r="NH259" s="128">
        <v>0</v>
      </c>
      <c r="NI259" s="128">
        <v>0</v>
      </c>
      <c r="NJ259" s="128">
        <v>0</v>
      </c>
      <c r="NN259" s="128">
        <v>60000</v>
      </c>
      <c r="NO259" s="128">
        <v>0</v>
      </c>
      <c r="NP259" s="128">
        <v>0</v>
      </c>
      <c r="NT259" s="128">
        <v>90000</v>
      </c>
      <c r="NU259" s="128">
        <v>0</v>
      </c>
      <c r="NV259" s="128">
        <v>0</v>
      </c>
      <c r="NZ259" s="128">
        <v>650000</v>
      </c>
      <c r="OA259" s="128">
        <v>100000</v>
      </c>
      <c r="OB259" s="128">
        <v>100000</v>
      </c>
      <c r="OF259" s="128">
        <v>20000</v>
      </c>
      <c r="OG259" s="128">
        <v>0</v>
      </c>
      <c r="OH259" s="128">
        <v>0</v>
      </c>
      <c r="OL259" s="128">
        <v>0</v>
      </c>
      <c r="OM259" s="128">
        <v>0</v>
      </c>
      <c r="ON259" s="128">
        <v>0</v>
      </c>
      <c r="OR259" s="128">
        <v>0</v>
      </c>
      <c r="OS259" s="128">
        <v>0</v>
      </c>
      <c r="OT259" s="128">
        <v>0</v>
      </c>
      <c r="OX259" s="128">
        <v>650000</v>
      </c>
      <c r="OY259" s="128">
        <v>0</v>
      </c>
      <c r="OZ259" s="128">
        <v>0</v>
      </c>
      <c r="PD259" s="128">
        <v>1990000</v>
      </c>
      <c r="PE259" s="128">
        <v>0</v>
      </c>
      <c r="PF259" s="128">
        <v>0</v>
      </c>
      <c r="PJ259" s="128">
        <v>90000</v>
      </c>
      <c r="PK259" s="128">
        <v>0</v>
      </c>
      <c r="PL259" s="128">
        <v>0</v>
      </c>
      <c r="PP259" s="128">
        <v>32346000</v>
      </c>
      <c r="PQ259" s="128">
        <v>11396000</v>
      </c>
      <c r="PR259" s="128">
        <v>11396000</v>
      </c>
      <c r="PS259" s="128">
        <v>100</v>
      </c>
      <c r="PT259" s="128">
        <v>100</v>
      </c>
      <c r="PV259" s="128">
        <v>17548440</v>
      </c>
      <c r="PX259" s="128">
        <v>6058100</v>
      </c>
      <c r="PY259" s="128">
        <v>4880300</v>
      </c>
      <c r="PZ259" s="128">
        <v>11396000</v>
      </c>
      <c r="QA259" s="128">
        <v>0</v>
      </c>
      <c r="QB259" s="128">
        <v>0</v>
      </c>
      <c r="QC259" s="128">
        <v>0</v>
      </c>
      <c r="QD259" s="128">
        <v>2877384</v>
      </c>
      <c r="QE259" s="128">
        <v>3850000</v>
      </c>
      <c r="QF259" s="128">
        <v>4050000</v>
      </c>
      <c r="QG259" s="128">
        <v>0</v>
      </c>
      <c r="QH259" s="128">
        <v>0</v>
      </c>
      <c r="QI259" s="128">
        <v>0</v>
      </c>
      <c r="QJ259" s="128">
        <v>14617786</v>
      </c>
      <c r="QK259" s="128">
        <v>14900000</v>
      </c>
      <c r="QL259" s="128">
        <v>15000000</v>
      </c>
      <c r="QN259" s="128">
        <v>2066722</v>
      </c>
      <c r="QO259" s="128">
        <v>1900000</v>
      </c>
      <c r="QP259" s="128">
        <v>1900000</v>
      </c>
      <c r="QU259" s="128">
        <v>200000</v>
      </c>
      <c r="QV259" s="128">
        <v>2241991</v>
      </c>
      <c r="QW259" s="128">
        <v>0</v>
      </c>
      <c r="RH259" s="128">
        <f t="shared" si="412"/>
        <v>15446000</v>
      </c>
      <c r="RI259" s="128">
        <v>0</v>
      </c>
      <c r="RM259" s="128" t="s">
        <v>220</v>
      </c>
      <c r="RU259" s="130"/>
      <c r="RV259" s="130"/>
      <c r="RW259" s="130"/>
      <c r="RX259" s="130"/>
      <c r="SF259" s="128">
        <f t="shared" si="322"/>
        <v>1109434</v>
      </c>
      <c r="SG259" s="131">
        <f t="shared" si="323"/>
        <v>32346000</v>
      </c>
      <c r="SH259" s="131">
        <f t="shared" si="324"/>
        <v>32346000</v>
      </c>
      <c r="SI259" s="131">
        <f t="shared" si="325"/>
        <v>23086000</v>
      </c>
      <c r="SJ259" s="132">
        <f t="shared" si="326"/>
        <v>22110000</v>
      </c>
      <c r="SK259" s="132">
        <f t="shared" si="327"/>
        <v>0</v>
      </c>
      <c r="SL259" s="132">
        <f t="shared" si="328"/>
        <v>426000</v>
      </c>
      <c r="SM259" s="132">
        <f t="shared" si="329"/>
        <v>550000</v>
      </c>
      <c r="SN259" s="131">
        <f t="shared" si="330"/>
        <v>9260000</v>
      </c>
      <c r="SO259" s="131">
        <f t="shared" si="331"/>
        <v>200000</v>
      </c>
      <c r="SP259" s="132">
        <f t="shared" si="332"/>
        <v>0</v>
      </c>
      <c r="SQ259" s="132">
        <f t="shared" si="333"/>
        <v>200000</v>
      </c>
      <c r="SR259" s="132">
        <f t="shared" si="334"/>
        <v>2200000</v>
      </c>
      <c r="SS259" s="132">
        <f t="shared" si="335"/>
        <v>120000</v>
      </c>
      <c r="ST259" s="132">
        <f t="shared" si="336"/>
        <v>30000</v>
      </c>
      <c r="SU259" s="132">
        <f t="shared" si="337"/>
        <v>980000</v>
      </c>
      <c r="SV259" s="131">
        <f t="shared" si="338"/>
        <v>3650000</v>
      </c>
      <c r="SW259" s="132">
        <f t="shared" si="339"/>
        <v>2000000</v>
      </c>
      <c r="SX259" s="132">
        <f t="shared" si="340"/>
        <v>180000</v>
      </c>
      <c r="SY259" s="132">
        <f t="shared" si="341"/>
        <v>0</v>
      </c>
      <c r="SZ259" s="132">
        <f t="shared" si="342"/>
        <v>60000</v>
      </c>
      <c r="TA259" s="132">
        <f t="shared" si="343"/>
        <v>90000</v>
      </c>
      <c r="TB259" s="132">
        <f t="shared" si="344"/>
        <v>650000</v>
      </c>
      <c r="TC259" s="132">
        <f t="shared" si="345"/>
        <v>20000</v>
      </c>
      <c r="TD259" s="132">
        <f t="shared" si="346"/>
        <v>0</v>
      </c>
      <c r="TE259" s="132">
        <f t="shared" si="347"/>
        <v>0</v>
      </c>
      <c r="TF259" s="132">
        <f t="shared" si="348"/>
        <v>650000</v>
      </c>
      <c r="TG259" s="132">
        <f t="shared" si="349"/>
        <v>1990000</v>
      </c>
      <c r="TH259" s="132">
        <f t="shared" si="350"/>
        <v>90000</v>
      </c>
      <c r="TI259" s="1"/>
      <c r="TJ259" s="131">
        <f t="shared" si="351"/>
        <v>11396000</v>
      </c>
      <c r="TK259" s="131">
        <f t="shared" si="352"/>
        <v>11396000</v>
      </c>
      <c r="TL259" s="131">
        <f t="shared" si="353"/>
        <v>11096000</v>
      </c>
      <c r="TM259" s="132">
        <f t="shared" si="354"/>
        <v>11096000</v>
      </c>
      <c r="TN259" s="132">
        <f t="shared" si="355"/>
        <v>0</v>
      </c>
      <c r="TO259" s="132">
        <f t="shared" si="356"/>
        <v>0</v>
      </c>
      <c r="TP259" s="132">
        <f t="shared" si="357"/>
        <v>0</v>
      </c>
      <c r="TQ259" s="131">
        <f t="shared" si="358"/>
        <v>300000</v>
      </c>
      <c r="TR259" s="131">
        <f t="shared" si="359"/>
        <v>0</v>
      </c>
      <c r="TS259" s="132">
        <f t="shared" si="360"/>
        <v>0</v>
      </c>
      <c r="TT259" s="132">
        <f t="shared" si="361"/>
        <v>0</v>
      </c>
      <c r="TU259" s="132">
        <f t="shared" si="362"/>
        <v>0</v>
      </c>
      <c r="TV259" s="132">
        <f t="shared" si="363"/>
        <v>0</v>
      </c>
      <c r="TW259" s="132">
        <f t="shared" si="364"/>
        <v>0</v>
      </c>
      <c r="TX259" s="132">
        <f t="shared" si="365"/>
        <v>0</v>
      </c>
      <c r="TY259" s="131">
        <f t="shared" si="366"/>
        <v>300000</v>
      </c>
      <c r="TZ259" s="132">
        <f t="shared" si="367"/>
        <v>200000</v>
      </c>
      <c r="UA259" s="132">
        <f t="shared" si="368"/>
        <v>0</v>
      </c>
      <c r="UB259" s="132">
        <f t="shared" si="369"/>
        <v>0</v>
      </c>
      <c r="UC259" s="132">
        <f t="shared" si="370"/>
        <v>0</v>
      </c>
      <c r="UD259" s="132">
        <f t="shared" si="371"/>
        <v>0</v>
      </c>
      <c r="UE259" s="132">
        <f t="shared" si="372"/>
        <v>100000</v>
      </c>
      <c r="UF259" s="132">
        <f t="shared" si="373"/>
        <v>0</v>
      </c>
      <c r="UG259" s="132">
        <f t="shared" si="374"/>
        <v>0</v>
      </c>
      <c r="UH259" s="132">
        <f t="shared" si="375"/>
        <v>0</v>
      </c>
      <c r="UI259" s="132">
        <f t="shared" si="376"/>
        <v>0</v>
      </c>
      <c r="UJ259" s="132">
        <f t="shared" si="377"/>
        <v>0</v>
      </c>
      <c r="UK259" s="132">
        <f t="shared" si="378"/>
        <v>0</v>
      </c>
      <c r="UL259" s="132">
        <f t="shared" si="413"/>
        <v>11396000</v>
      </c>
      <c r="UM259" s="131">
        <f t="shared" si="379"/>
        <v>11396000</v>
      </c>
      <c r="UN259" s="131">
        <f t="shared" si="380"/>
        <v>11396000</v>
      </c>
      <c r="UO259" s="131">
        <f t="shared" si="381"/>
        <v>11096000</v>
      </c>
      <c r="UP259" s="132">
        <f t="shared" si="382"/>
        <v>11096000</v>
      </c>
      <c r="UQ259" s="132">
        <f t="shared" si="383"/>
        <v>0</v>
      </c>
      <c r="UR259" s="132">
        <f t="shared" si="384"/>
        <v>0</v>
      </c>
      <c r="US259" s="132">
        <f t="shared" si="385"/>
        <v>0</v>
      </c>
      <c r="UT259" s="131">
        <f t="shared" si="386"/>
        <v>300000</v>
      </c>
      <c r="UU259" s="131">
        <f t="shared" si="387"/>
        <v>0</v>
      </c>
      <c r="UV259" s="132">
        <f t="shared" si="388"/>
        <v>0</v>
      </c>
      <c r="UW259" s="132">
        <f t="shared" si="389"/>
        <v>0</v>
      </c>
      <c r="UX259" s="132">
        <f t="shared" si="390"/>
        <v>0</v>
      </c>
      <c r="UY259" s="132">
        <f t="shared" si="391"/>
        <v>0</v>
      </c>
      <c r="UZ259" s="132">
        <f t="shared" si="392"/>
        <v>0</v>
      </c>
      <c r="VA259" s="132">
        <f t="shared" si="393"/>
        <v>0</v>
      </c>
      <c r="VB259" s="131">
        <f t="shared" si="394"/>
        <v>300000</v>
      </c>
      <c r="VC259" s="132">
        <f t="shared" si="395"/>
        <v>200000</v>
      </c>
      <c r="VD259" s="132">
        <f t="shared" si="396"/>
        <v>0</v>
      </c>
      <c r="VE259" s="132">
        <f t="shared" si="397"/>
        <v>0</v>
      </c>
      <c r="VF259" s="132">
        <f t="shared" si="398"/>
        <v>0</v>
      </c>
      <c r="VG259" s="132">
        <f t="shared" si="399"/>
        <v>0</v>
      </c>
      <c r="VH259" s="132">
        <f t="shared" si="400"/>
        <v>100000</v>
      </c>
      <c r="VI259" s="132">
        <f t="shared" si="401"/>
        <v>0</v>
      </c>
      <c r="VJ259" s="132">
        <f t="shared" si="402"/>
        <v>0</v>
      </c>
      <c r="VK259" s="132">
        <f t="shared" si="403"/>
        <v>0</v>
      </c>
      <c r="VL259" s="132">
        <f t="shared" si="404"/>
        <v>0</v>
      </c>
      <c r="VM259" s="132">
        <f t="shared" si="405"/>
        <v>0</v>
      </c>
      <c r="VN259" s="132">
        <f t="shared" si="406"/>
        <v>0</v>
      </c>
      <c r="VP259" s="845" t="str">
        <f>IFERROR(HLOOKUP(F259,'Hodnocení '!$C$1:$JH$5,2,FALSE),0)</f>
        <v>Domov pro seniory</v>
      </c>
      <c r="VQ259" s="838"/>
      <c r="VR259" s="845" t="str">
        <f t="shared" si="414"/>
        <v>Příspěvková organizace zřízená územním samosprávným celkem</v>
      </c>
      <c r="VS259" s="845" t="str">
        <f>IFERROR(HLOOKUP(F259,'Hodnocení '!$C$1:$JH$5,5,FALSE),0)</f>
        <v>Obce</v>
      </c>
      <c r="VT259" s="838" t="str">
        <f t="shared" si="415"/>
        <v>Příspěvková organizace zřízená územním samosprávným celkem</v>
      </c>
      <c r="VU259" s="838">
        <f t="shared" si="416"/>
        <v>0</v>
      </c>
      <c r="VV259" s="838">
        <f t="shared" si="417"/>
        <v>15000000</v>
      </c>
      <c r="VW259" s="838">
        <f t="shared" si="418"/>
        <v>1900000</v>
      </c>
      <c r="VX259" s="838"/>
      <c r="VY259" s="838">
        <f t="shared" si="419"/>
        <v>0</v>
      </c>
      <c r="VZ259" s="838">
        <f t="shared" si="420"/>
        <v>11396000</v>
      </c>
      <c r="WA259" s="846">
        <f>IFERROR(HLOOKUP($F259,'Hodnocení '!$C$1:$JH$9,9,FALSE),0)</f>
        <v>11396000</v>
      </c>
      <c r="WB259" s="846">
        <f>IF(IFERROR(HLOOKUP($F259,'Hodnocení '!$C$1:$JH$13,13,FALSE),0)&gt;WA259,WA259,IFERROR(HLOOKUP($F259,'Hodnocení '!$C$1:$JH$13,13,FALSE),0))</f>
        <v>11396000</v>
      </c>
      <c r="WC259" s="846">
        <f>IFERROR(HLOOKUP($F259,'Hodnocení '!$C$1:$JH$155,155,FALSE),0)</f>
        <v>7928940</v>
      </c>
      <c r="WD259" s="845"/>
      <c r="WE259" s="845"/>
      <c r="WF259" s="845" t="str">
        <f t="shared" si="407"/>
        <v>ANO</v>
      </c>
      <c r="WG259" s="849" t="str">
        <f t="shared" si="421"/>
        <v>Podpora služby je vyjádřena zařazením do sítě sociálních služeb v KHK a řešením financování služby</v>
      </c>
      <c r="WH259"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59" s="849" t="str">
        <f t="shared" si="421"/>
        <v>Návrh dotace je výsledkem projednání s ostatními zadavateli v rámci sítě služeb KHK</v>
      </c>
      <c r="WJ259" s="849" t="str">
        <f t="shared" si="421"/>
        <v>Bez komentáře</v>
      </c>
      <c r="WK259" s="31" t="str">
        <f t="shared" si="408"/>
        <v>Výše příspěvku ze strany zřizovatele bude řešen v návaznosti na řešení podílů jednotlivých zadavatelů</v>
      </c>
      <c r="WL259" s="850">
        <f t="shared" si="409"/>
        <v>0</v>
      </c>
      <c r="WM259" s="849" t="str">
        <f t="shared" si="410"/>
        <v>V rámci sítě KHK se dlouhodobě řeší otázka navyšování úhrad a průběžně se monitoruje s vazbou na vykrytí vyrovnávací platby</v>
      </c>
      <c r="WN259" s="849" t="str">
        <f t="shared" si="411"/>
        <v>Otázka výběru od zdravotních pojišťoven je předmětem procesu, který probíhá ve formě jednání se ZP a organizacemi</v>
      </c>
      <c r="WO259" s="849" t="str">
        <f t="shared" si="422"/>
        <v>bez komentáře</v>
      </c>
      <c r="WP259" s="849" t="str">
        <f t="shared" si="422"/>
        <v>bez komentáře</v>
      </c>
      <c r="WQ259" s="849" t="str">
        <f t="shared" si="422"/>
        <v>Konečná výše dotace z rozpočtu KHK bude řešena v návaznosti na řešení podílů jednotlivých zadavatelů.</v>
      </c>
      <c r="WR259" s="849" t="str">
        <f t="shared" si="422"/>
        <v>Konečná výše podpory ze stran obcí bude řešena v součinnosti s jednotlivými zadavateli v průběhu roku.</v>
      </c>
      <c r="WS259" s="849" t="str">
        <f t="shared" si="422"/>
        <v>bez komentáře</v>
      </c>
      <c r="WT259" s="849" t="str">
        <f t="shared" si="422"/>
        <v>bez komentáře</v>
      </c>
      <c r="WU259" s="845"/>
    </row>
    <row r="260" spans="1:619" s="128" customFormat="1" x14ac:dyDescent="0.25">
      <c r="A260" s="128" t="str">
        <f>VLOOKUP(F260,'Výpočet VP 2020'!$D$324:$I$588,6,FALSE)</f>
        <v>Je v síti</v>
      </c>
      <c r="B260" s="128" t="s">
        <v>1003</v>
      </c>
      <c r="C260" s="128">
        <v>60117150</v>
      </c>
      <c r="D260" s="128" t="s">
        <v>1004</v>
      </c>
      <c r="E260" s="128" t="s">
        <v>259</v>
      </c>
      <c r="F260" s="128">
        <v>3095940</v>
      </c>
      <c r="G260" s="128" t="s">
        <v>328</v>
      </c>
      <c r="H260" s="128" t="s">
        <v>218</v>
      </c>
      <c r="I260" s="128" t="s">
        <v>386</v>
      </c>
      <c r="J260" s="129">
        <v>39083</v>
      </c>
      <c r="L260" s="128" t="s">
        <v>220</v>
      </c>
      <c r="X260" s="128" t="s">
        <v>237</v>
      </c>
      <c r="Z260" s="128">
        <v>1</v>
      </c>
      <c r="AA260" s="128">
        <v>7</v>
      </c>
      <c r="AB260" s="128">
        <v>15</v>
      </c>
      <c r="AC260" s="128">
        <v>12</v>
      </c>
      <c r="AD260" s="128">
        <v>16</v>
      </c>
      <c r="AN260" s="128">
        <v>600</v>
      </c>
      <c r="AP260" s="128" t="s">
        <v>1006</v>
      </c>
      <c r="AQ260" s="128">
        <v>130</v>
      </c>
      <c r="AR260" s="128">
        <v>130</v>
      </c>
      <c r="AS260" s="128">
        <v>175</v>
      </c>
      <c r="AT260" s="128">
        <v>217</v>
      </c>
      <c r="AU260" s="128">
        <v>184</v>
      </c>
      <c r="BJ260" s="128">
        <v>5731</v>
      </c>
      <c r="BL260" s="128" t="s">
        <v>579</v>
      </c>
      <c r="BM260" s="128" t="s">
        <v>325</v>
      </c>
      <c r="BN260" s="128" t="s">
        <v>424</v>
      </c>
      <c r="BO260" s="128">
        <v>0</v>
      </c>
      <c r="BP260" s="128">
        <v>0</v>
      </c>
      <c r="BQ260" s="128">
        <v>0</v>
      </c>
      <c r="BR260" s="128">
        <v>0</v>
      </c>
      <c r="BS260" s="128">
        <v>0</v>
      </c>
      <c r="BT260" s="128">
        <v>35</v>
      </c>
      <c r="BU260" s="128">
        <v>28</v>
      </c>
      <c r="BV260" s="128">
        <v>12</v>
      </c>
      <c r="BW260" s="128">
        <v>1</v>
      </c>
      <c r="BX260" s="128">
        <v>76</v>
      </c>
      <c r="BY260" s="128">
        <v>35</v>
      </c>
      <c r="BZ260" s="128">
        <v>28</v>
      </c>
      <c r="CA260" s="128">
        <v>12</v>
      </c>
      <c r="CB260" s="128">
        <v>1</v>
      </c>
      <c r="CC260" s="128">
        <v>76</v>
      </c>
      <c r="CD260" s="128">
        <v>0</v>
      </c>
      <c r="CE260" s="128">
        <v>152</v>
      </c>
      <c r="CF260" s="128">
        <v>152</v>
      </c>
      <c r="CG260" s="128">
        <v>3</v>
      </c>
      <c r="CH260" s="128">
        <v>0</v>
      </c>
      <c r="CI260" s="128">
        <v>0</v>
      </c>
      <c r="CJ260" s="128">
        <v>0</v>
      </c>
      <c r="CK260" s="128">
        <v>0</v>
      </c>
      <c r="CL260" s="128">
        <v>0</v>
      </c>
      <c r="CM260" s="128">
        <v>35</v>
      </c>
      <c r="CN260" s="128">
        <v>29</v>
      </c>
      <c r="CO260" s="128">
        <v>12</v>
      </c>
      <c r="CP260" s="128">
        <v>1</v>
      </c>
      <c r="CQ260" s="128">
        <v>123</v>
      </c>
      <c r="CR260" s="128">
        <v>35</v>
      </c>
      <c r="CS260" s="128">
        <v>29</v>
      </c>
      <c r="CT260" s="128">
        <v>12</v>
      </c>
      <c r="CU260" s="128">
        <v>1</v>
      </c>
      <c r="CV260" s="128">
        <v>123</v>
      </c>
      <c r="CW260" s="128">
        <v>0</v>
      </c>
      <c r="CX260" s="128">
        <v>200</v>
      </c>
      <c r="CY260" s="128">
        <v>200</v>
      </c>
      <c r="CZ260" s="128">
        <v>3</v>
      </c>
      <c r="EK260" s="128">
        <v>1</v>
      </c>
      <c r="EL260" s="128">
        <v>0.6</v>
      </c>
      <c r="EM260" s="128">
        <v>0.8</v>
      </c>
      <c r="EN260" s="128">
        <v>350000</v>
      </c>
      <c r="EO260" s="128">
        <v>220000</v>
      </c>
      <c r="EP260" s="128">
        <v>7</v>
      </c>
      <c r="EQ260" s="128">
        <v>7</v>
      </c>
      <c r="ER260" s="128">
        <v>7</v>
      </c>
      <c r="ES260" s="128">
        <v>3150000</v>
      </c>
      <c r="ET260" s="128">
        <v>2020000</v>
      </c>
      <c r="FO260" s="128">
        <v>10</v>
      </c>
      <c r="FP260" s="128">
        <v>2.5</v>
      </c>
      <c r="FQ260" s="128">
        <v>2.2999999999999998</v>
      </c>
      <c r="FR260" s="128">
        <v>1180000</v>
      </c>
      <c r="FS260" s="128">
        <v>188000</v>
      </c>
      <c r="IN260" s="128">
        <v>2</v>
      </c>
      <c r="IO260" s="128">
        <v>600</v>
      </c>
      <c r="IP260" s="128">
        <v>0.28599999999999998</v>
      </c>
      <c r="IQ260" s="128">
        <v>78000</v>
      </c>
      <c r="IR260" s="128">
        <v>0</v>
      </c>
      <c r="KG260" s="128">
        <v>0</v>
      </c>
      <c r="KI260" s="128">
        <v>7.6</v>
      </c>
      <c r="KJ260" s="128">
        <v>0</v>
      </c>
      <c r="KK260" s="128">
        <v>0.28599999999999998</v>
      </c>
      <c r="KL260" s="128">
        <v>0</v>
      </c>
      <c r="KM260" s="128">
        <v>7.8860000000000001</v>
      </c>
      <c r="KN260" s="128">
        <v>4680000</v>
      </c>
      <c r="KO260" s="128">
        <v>2428000</v>
      </c>
      <c r="KP260" s="128">
        <v>2428000</v>
      </c>
      <c r="KT260" s="128">
        <v>0</v>
      </c>
      <c r="KU260" s="128">
        <v>0</v>
      </c>
      <c r="KV260" s="128">
        <v>0</v>
      </c>
      <c r="KZ260" s="128">
        <v>78000</v>
      </c>
      <c r="LA260" s="128">
        <v>0</v>
      </c>
      <c r="LB260" s="128">
        <v>0</v>
      </c>
      <c r="LF260" s="128">
        <v>140000</v>
      </c>
      <c r="LG260" s="128">
        <v>0</v>
      </c>
      <c r="LH260" s="128">
        <v>0</v>
      </c>
      <c r="LL260" s="128">
        <v>0</v>
      </c>
      <c r="LM260" s="128">
        <v>0</v>
      </c>
      <c r="LN260" s="128">
        <v>0</v>
      </c>
      <c r="LR260" s="128">
        <v>60000</v>
      </c>
      <c r="LS260" s="128">
        <v>0</v>
      </c>
      <c r="LT260" s="128">
        <v>0</v>
      </c>
      <c r="LX260" s="128">
        <v>700000</v>
      </c>
      <c r="LY260" s="128">
        <v>0</v>
      </c>
      <c r="LZ260" s="128">
        <v>0</v>
      </c>
      <c r="MD260" s="128">
        <v>10000</v>
      </c>
      <c r="ME260" s="128">
        <v>0</v>
      </c>
      <c r="MF260" s="128">
        <v>0</v>
      </c>
      <c r="MJ260" s="128">
        <v>105000</v>
      </c>
      <c r="MK260" s="128">
        <v>80000</v>
      </c>
      <c r="ML260" s="128">
        <v>80000</v>
      </c>
      <c r="MP260" s="128">
        <v>80000</v>
      </c>
      <c r="MQ260" s="128">
        <v>0</v>
      </c>
      <c r="MR260" s="128">
        <v>0</v>
      </c>
      <c r="MV260" s="128">
        <v>330000</v>
      </c>
      <c r="MW260" s="128">
        <v>150000</v>
      </c>
      <c r="MX260" s="128">
        <v>150000</v>
      </c>
      <c r="NB260" s="128">
        <v>15000</v>
      </c>
      <c r="NC260" s="128">
        <v>0</v>
      </c>
      <c r="ND260" s="128">
        <v>0</v>
      </c>
      <c r="NH260" s="128">
        <v>0</v>
      </c>
      <c r="NI260" s="128">
        <v>0</v>
      </c>
      <c r="NJ260" s="128">
        <v>0</v>
      </c>
      <c r="NN260" s="128">
        <v>20000</v>
      </c>
      <c r="NO260" s="128">
        <v>0</v>
      </c>
      <c r="NP260" s="128">
        <v>0</v>
      </c>
      <c r="NT260" s="128">
        <v>25000</v>
      </c>
      <c r="NU260" s="128">
        <v>0</v>
      </c>
      <c r="NV260" s="128">
        <v>0</v>
      </c>
      <c r="NZ260" s="128">
        <v>100000</v>
      </c>
      <c r="OA260" s="128">
        <v>70000</v>
      </c>
      <c r="OB260" s="128">
        <v>70000</v>
      </c>
      <c r="OF260" s="128">
        <v>5000</v>
      </c>
      <c r="OG260" s="128">
        <v>0</v>
      </c>
      <c r="OH260" s="128">
        <v>0</v>
      </c>
      <c r="OL260" s="128">
        <v>0</v>
      </c>
      <c r="OM260" s="128">
        <v>0</v>
      </c>
      <c r="ON260" s="128">
        <v>0</v>
      </c>
      <c r="OR260" s="128">
        <v>0</v>
      </c>
      <c r="OS260" s="128">
        <v>0</v>
      </c>
      <c r="OT260" s="128">
        <v>0</v>
      </c>
      <c r="OX260" s="128">
        <v>60000</v>
      </c>
      <c r="OY260" s="128">
        <v>0</v>
      </c>
      <c r="OZ260" s="128">
        <v>0</v>
      </c>
      <c r="PD260" s="128">
        <v>10000</v>
      </c>
      <c r="PE260" s="128">
        <v>0</v>
      </c>
      <c r="PF260" s="128">
        <v>0</v>
      </c>
      <c r="PJ260" s="128">
        <v>60000</v>
      </c>
      <c r="PK260" s="128">
        <v>0</v>
      </c>
      <c r="PL260" s="128">
        <v>0</v>
      </c>
      <c r="PP260" s="128">
        <v>6478000</v>
      </c>
      <c r="PQ260" s="128">
        <v>2728000</v>
      </c>
      <c r="PR260" s="128">
        <v>2728000</v>
      </c>
      <c r="PS260" s="128">
        <v>100</v>
      </c>
      <c r="PT260" s="128">
        <v>100</v>
      </c>
      <c r="PV260" s="128">
        <v>3649133</v>
      </c>
      <c r="PX260" s="128">
        <v>1793000</v>
      </c>
      <c r="PY260" s="128">
        <v>2155529</v>
      </c>
      <c r="PZ260" s="128">
        <v>2728000</v>
      </c>
      <c r="QA260" s="128">
        <v>0</v>
      </c>
      <c r="QB260" s="128">
        <v>0</v>
      </c>
      <c r="QC260" s="128">
        <v>0</v>
      </c>
      <c r="QD260" s="128">
        <v>1119616</v>
      </c>
      <c r="QE260" s="128">
        <v>1427000</v>
      </c>
      <c r="QF260" s="128">
        <v>1450000</v>
      </c>
      <c r="QG260" s="128">
        <v>0</v>
      </c>
      <c r="QH260" s="128">
        <v>0</v>
      </c>
      <c r="QI260" s="128">
        <v>0</v>
      </c>
      <c r="QJ260" s="128">
        <v>2010470</v>
      </c>
      <c r="QK260" s="128">
        <v>2300000</v>
      </c>
      <c r="QL260" s="128">
        <v>2300000</v>
      </c>
      <c r="QN260" s="128">
        <v>0</v>
      </c>
      <c r="QO260" s="128">
        <v>0</v>
      </c>
      <c r="QP260" s="128">
        <v>0</v>
      </c>
      <c r="RH260" s="128">
        <f t="shared" si="412"/>
        <v>4178000</v>
      </c>
      <c r="RI260" s="128">
        <v>0</v>
      </c>
      <c r="RM260" s="128" t="s">
        <v>220</v>
      </c>
      <c r="RU260" s="130"/>
      <c r="RV260" s="130"/>
      <c r="RW260" s="130"/>
      <c r="RX260" s="130"/>
      <c r="SF260" s="128">
        <f t="shared" si="322"/>
        <v>3095940</v>
      </c>
      <c r="SG260" s="131">
        <f t="shared" si="323"/>
        <v>6478000</v>
      </c>
      <c r="SH260" s="131">
        <f t="shared" si="324"/>
        <v>6478000</v>
      </c>
      <c r="SI260" s="131">
        <f t="shared" si="325"/>
        <v>4898000</v>
      </c>
      <c r="SJ260" s="132">
        <f t="shared" si="326"/>
        <v>4680000</v>
      </c>
      <c r="SK260" s="132">
        <f t="shared" si="327"/>
        <v>0</v>
      </c>
      <c r="SL260" s="132">
        <f t="shared" si="328"/>
        <v>78000</v>
      </c>
      <c r="SM260" s="132">
        <f t="shared" si="329"/>
        <v>140000</v>
      </c>
      <c r="SN260" s="131">
        <f t="shared" si="330"/>
        <v>1580000</v>
      </c>
      <c r="SO260" s="131">
        <f t="shared" si="331"/>
        <v>60000</v>
      </c>
      <c r="SP260" s="132">
        <f t="shared" si="332"/>
        <v>0</v>
      </c>
      <c r="SQ260" s="132">
        <f t="shared" si="333"/>
        <v>60000</v>
      </c>
      <c r="SR260" s="132">
        <f t="shared" si="334"/>
        <v>700000</v>
      </c>
      <c r="SS260" s="132">
        <f t="shared" si="335"/>
        <v>10000</v>
      </c>
      <c r="ST260" s="132">
        <f t="shared" si="336"/>
        <v>105000</v>
      </c>
      <c r="SU260" s="132">
        <f t="shared" si="337"/>
        <v>80000</v>
      </c>
      <c r="SV260" s="131">
        <f t="shared" si="338"/>
        <v>555000</v>
      </c>
      <c r="SW260" s="132">
        <f t="shared" si="339"/>
        <v>330000</v>
      </c>
      <c r="SX260" s="132">
        <f t="shared" si="340"/>
        <v>15000</v>
      </c>
      <c r="SY260" s="132">
        <f t="shared" si="341"/>
        <v>0</v>
      </c>
      <c r="SZ260" s="132">
        <f t="shared" si="342"/>
        <v>20000</v>
      </c>
      <c r="TA260" s="132">
        <f t="shared" si="343"/>
        <v>25000</v>
      </c>
      <c r="TB260" s="132">
        <f t="shared" si="344"/>
        <v>100000</v>
      </c>
      <c r="TC260" s="132">
        <f t="shared" si="345"/>
        <v>5000</v>
      </c>
      <c r="TD260" s="132">
        <f t="shared" si="346"/>
        <v>0</v>
      </c>
      <c r="TE260" s="132">
        <f t="shared" si="347"/>
        <v>0</v>
      </c>
      <c r="TF260" s="132">
        <f t="shared" si="348"/>
        <v>60000</v>
      </c>
      <c r="TG260" s="132">
        <f t="shared" si="349"/>
        <v>10000</v>
      </c>
      <c r="TH260" s="132">
        <f t="shared" si="350"/>
        <v>60000</v>
      </c>
      <c r="TI260" s="1"/>
      <c r="TJ260" s="131">
        <f t="shared" si="351"/>
        <v>2728000</v>
      </c>
      <c r="TK260" s="131">
        <f t="shared" si="352"/>
        <v>2728000</v>
      </c>
      <c r="TL260" s="131">
        <f t="shared" si="353"/>
        <v>2428000</v>
      </c>
      <c r="TM260" s="132">
        <f t="shared" si="354"/>
        <v>2428000</v>
      </c>
      <c r="TN260" s="132">
        <f t="shared" si="355"/>
        <v>0</v>
      </c>
      <c r="TO260" s="132">
        <f t="shared" si="356"/>
        <v>0</v>
      </c>
      <c r="TP260" s="132">
        <f t="shared" si="357"/>
        <v>0</v>
      </c>
      <c r="TQ260" s="131">
        <f t="shared" si="358"/>
        <v>300000</v>
      </c>
      <c r="TR260" s="131">
        <f t="shared" si="359"/>
        <v>0</v>
      </c>
      <c r="TS260" s="132">
        <f t="shared" si="360"/>
        <v>0</v>
      </c>
      <c r="TT260" s="132">
        <f t="shared" si="361"/>
        <v>0</v>
      </c>
      <c r="TU260" s="132">
        <f t="shared" si="362"/>
        <v>0</v>
      </c>
      <c r="TV260" s="132">
        <f t="shared" si="363"/>
        <v>0</v>
      </c>
      <c r="TW260" s="132">
        <f t="shared" si="364"/>
        <v>80000</v>
      </c>
      <c r="TX260" s="132">
        <f t="shared" si="365"/>
        <v>0</v>
      </c>
      <c r="TY260" s="131">
        <f t="shared" si="366"/>
        <v>220000</v>
      </c>
      <c r="TZ260" s="132">
        <f t="shared" si="367"/>
        <v>150000</v>
      </c>
      <c r="UA260" s="132">
        <f t="shared" si="368"/>
        <v>0</v>
      </c>
      <c r="UB260" s="132">
        <f t="shared" si="369"/>
        <v>0</v>
      </c>
      <c r="UC260" s="132">
        <f t="shared" si="370"/>
        <v>0</v>
      </c>
      <c r="UD260" s="132">
        <f t="shared" si="371"/>
        <v>0</v>
      </c>
      <c r="UE260" s="132">
        <f t="shared" si="372"/>
        <v>70000</v>
      </c>
      <c r="UF260" s="132">
        <f t="shared" si="373"/>
        <v>0</v>
      </c>
      <c r="UG260" s="132">
        <f t="shared" si="374"/>
        <v>0</v>
      </c>
      <c r="UH260" s="132">
        <f t="shared" si="375"/>
        <v>0</v>
      </c>
      <c r="UI260" s="132">
        <f t="shared" si="376"/>
        <v>0</v>
      </c>
      <c r="UJ260" s="132">
        <f t="shared" si="377"/>
        <v>0</v>
      </c>
      <c r="UK260" s="132">
        <f t="shared" si="378"/>
        <v>0</v>
      </c>
      <c r="UL260" s="132">
        <f t="shared" si="413"/>
        <v>2728000</v>
      </c>
      <c r="UM260" s="131">
        <f t="shared" si="379"/>
        <v>2728000</v>
      </c>
      <c r="UN260" s="131">
        <f t="shared" si="380"/>
        <v>2728000</v>
      </c>
      <c r="UO260" s="131">
        <f t="shared" si="381"/>
        <v>2428000</v>
      </c>
      <c r="UP260" s="132">
        <f t="shared" si="382"/>
        <v>2428000</v>
      </c>
      <c r="UQ260" s="132">
        <f t="shared" si="383"/>
        <v>0</v>
      </c>
      <c r="UR260" s="132">
        <f t="shared" si="384"/>
        <v>0</v>
      </c>
      <c r="US260" s="132">
        <f t="shared" si="385"/>
        <v>0</v>
      </c>
      <c r="UT260" s="131">
        <f t="shared" si="386"/>
        <v>300000</v>
      </c>
      <c r="UU260" s="131">
        <f t="shared" si="387"/>
        <v>0</v>
      </c>
      <c r="UV260" s="132">
        <f t="shared" si="388"/>
        <v>0</v>
      </c>
      <c r="UW260" s="132">
        <f t="shared" si="389"/>
        <v>0</v>
      </c>
      <c r="UX260" s="132">
        <f t="shared" si="390"/>
        <v>0</v>
      </c>
      <c r="UY260" s="132">
        <f t="shared" si="391"/>
        <v>0</v>
      </c>
      <c r="UZ260" s="132">
        <f t="shared" si="392"/>
        <v>80000</v>
      </c>
      <c r="VA260" s="132">
        <f t="shared" si="393"/>
        <v>0</v>
      </c>
      <c r="VB260" s="131">
        <f t="shared" si="394"/>
        <v>220000</v>
      </c>
      <c r="VC260" s="132">
        <f t="shared" si="395"/>
        <v>150000</v>
      </c>
      <c r="VD260" s="132">
        <f t="shared" si="396"/>
        <v>0</v>
      </c>
      <c r="VE260" s="132">
        <f t="shared" si="397"/>
        <v>0</v>
      </c>
      <c r="VF260" s="132">
        <f t="shared" si="398"/>
        <v>0</v>
      </c>
      <c r="VG260" s="132">
        <f t="shared" si="399"/>
        <v>0</v>
      </c>
      <c r="VH260" s="132">
        <f t="shared" si="400"/>
        <v>70000</v>
      </c>
      <c r="VI260" s="132">
        <f t="shared" si="401"/>
        <v>0</v>
      </c>
      <c r="VJ260" s="132">
        <f t="shared" si="402"/>
        <v>0</v>
      </c>
      <c r="VK260" s="132">
        <f t="shared" si="403"/>
        <v>0</v>
      </c>
      <c r="VL260" s="132">
        <f t="shared" si="404"/>
        <v>0</v>
      </c>
      <c r="VM260" s="132">
        <f t="shared" si="405"/>
        <v>0</v>
      </c>
      <c r="VN260" s="132">
        <f t="shared" si="406"/>
        <v>0</v>
      </c>
      <c r="VP260" s="845" t="str">
        <f>IFERROR(HLOOKUP(F260,'Hodnocení '!$C$1:$JH$5,2,FALSE),0)</f>
        <v>Pečovatelská služba</v>
      </c>
      <c r="VQ260" s="838"/>
      <c r="VR260" s="845" t="str">
        <f t="shared" si="414"/>
        <v>Příspěvková organizace zřízená územním samosprávným celkem</v>
      </c>
      <c r="VS260" s="845" t="str">
        <f>IFERROR(HLOOKUP(F260,'Hodnocení '!$C$1:$JH$5,5,FALSE),0)</f>
        <v>Obce</v>
      </c>
      <c r="VT260" s="838" t="str">
        <f t="shared" si="415"/>
        <v>Příspěvková organizace zřízená územním samosprávným celkem</v>
      </c>
      <c r="VU260" s="838">
        <f t="shared" si="416"/>
        <v>0</v>
      </c>
      <c r="VV260" s="838">
        <f t="shared" si="417"/>
        <v>2300000</v>
      </c>
      <c r="VW260" s="838">
        <f t="shared" si="418"/>
        <v>0</v>
      </c>
      <c r="VX260" s="838"/>
      <c r="VY260" s="838">
        <f t="shared" si="419"/>
        <v>0</v>
      </c>
      <c r="VZ260" s="838">
        <f t="shared" si="420"/>
        <v>2728000</v>
      </c>
      <c r="WA260" s="846">
        <f>IFERROR(HLOOKUP($F260,'Hodnocení '!$C$1:$JH$9,9,FALSE),0)</f>
        <v>2728000</v>
      </c>
      <c r="WB260" s="846">
        <f>IF(IFERROR(HLOOKUP($F260,'Hodnocení '!$C$1:$JH$13,13,FALSE),0)&gt;WA260,WA260,IFERROR(HLOOKUP($F260,'Hodnocení '!$C$1:$JH$13,13,FALSE),0))</f>
        <v>2728000</v>
      </c>
      <c r="WC260" s="846">
        <f>IFERROR(HLOOKUP($F260,'Hodnocení '!$C$1:$JH$155,155,FALSE),0)</f>
        <v>2171080</v>
      </c>
      <c r="WD260" s="845"/>
      <c r="WE260" s="845"/>
      <c r="WF260" s="845" t="str">
        <f t="shared" si="407"/>
        <v>ANO</v>
      </c>
      <c r="WG260" s="849" t="str">
        <f t="shared" si="421"/>
        <v>Podpora služby je vyjádřena zařazením do sítě sociálních služeb v KHK a řešením financování služby</v>
      </c>
      <c r="WH260"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60" s="849" t="str">
        <f t="shared" si="421"/>
        <v>Návrh dotace je výsledkem projednání s ostatními zadavateli v rámci sítě služeb KHK</v>
      </c>
      <c r="WJ260" s="849" t="str">
        <f t="shared" si="421"/>
        <v>Bez komentáře</v>
      </c>
      <c r="WK260" s="31" t="str">
        <f t="shared" si="408"/>
        <v>Výše příspěvku ze strany zřizovatele bude řešen v návaznosti na řešení podílů jednotlivých zadavatelů</v>
      </c>
      <c r="WL260" s="850">
        <f t="shared" si="409"/>
        <v>0</v>
      </c>
      <c r="WM260" s="849" t="str">
        <f t="shared" si="410"/>
        <v>V rámci sítě KHK se dlouhodobě řeší otázka navyšování úhrad a průběžně se monitoruje s vazbou na vykrytí vyrovnávací platby</v>
      </c>
      <c r="WN260" s="849">
        <f t="shared" si="411"/>
        <v>0</v>
      </c>
      <c r="WO260" s="849" t="str">
        <f t="shared" si="422"/>
        <v>bez komentáře</v>
      </c>
      <c r="WP260" s="849" t="str">
        <f t="shared" si="422"/>
        <v>bez komentáře</v>
      </c>
      <c r="WQ260" s="849" t="str">
        <f t="shared" si="422"/>
        <v>Konečná výše dotace z rozpočtu KHK bude řešena v návaznosti na řešení podílů jednotlivých zadavatelů.</v>
      </c>
      <c r="WR260" s="849" t="str">
        <f t="shared" si="422"/>
        <v>Konečná výše podpory ze stran obcí bude řešena v součinnosti s jednotlivými zadavateli v průběhu roku.</v>
      </c>
      <c r="WS260" s="849" t="str">
        <f t="shared" si="422"/>
        <v>bez komentáře</v>
      </c>
      <c r="WT260" s="849" t="str">
        <f t="shared" si="422"/>
        <v>bez komentáře</v>
      </c>
      <c r="WU260" s="845"/>
    </row>
    <row r="261" spans="1:619" s="128" customFormat="1" x14ac:dyDescent="0.25">
      <c r="A261" s="128" t="str">
        <f>VLOOKUP(F261,'Výpočet VP 2020'!$D$324:$I$588,6,FALSE)</f>
        <v>Je v síti</v>
      </c>
      <c r="B261" s="128" t="s">
        <v>1007</v>
      </c>
      <c r="C261" s="128">
        <v>70891931</v>
      </c>
      <c r="D261" s="128" t="s">
        <v>1008</v>
      </c>
      <c r="E261" s="128" t="s">
        <v>259</v>
      </c>
      <c r="F261" s="128">
        <v>3135426</v>
      </c>
      <c r="G261" s="128" t="s">
        <v>348</v>
      </c>
      <c r="H261" s="128" t="s">
        <v>218</v>
      </c>
      <c r="I261" s="128" t="s">
        <v>1007</v>
      </c>
      <c r="J261" s="129">
        <v>39083</v>
      </c>
      <c r="L261" s="128" t="s">
        <v>220</v>
      </c>
      <c r="M261" s="128" t="s">
        <v>1009</v>
      </c>
      <c r="N261" s="128">
        <v>68</v>
      </c>
      <c r="P261" s="128">
        <v>84</v>
      </c>
      <c r="Q261" s="128">
        <v>86</v>
      </c>
      <c r="R261" s="128">
        <v>90</v>
      </c>
      <c r="BL261" s="128" t="s">
        <v>351</v>
      </c>
      <c r="BM261" s="128" t="s">
        <v>325</v>
      </c>
      <c r="BN261" s="128" t="s">
        <v>326</v>
      </c>
      <c r="DA261" s="128">
        <v>0</v>
      </c>
      <c r="DB261" s="128">
        <v>0</v>
      </c>
      <c r="DC261" s="128">
        <v>0</v>
      </c>
      <c r="DD261" s="128">
        <v>0</v>
      </c>
      <c r="DE261" s="128">
        <v>0</v>
      </c>
      <c r="DF261" s="128">
        <v>3</v>
      </c>
      <c r="DG261" s="128">
        <v>5</v>
      </c>
      <c r="DH261" s="128">
        <v>32</v>
      </c>
      <c r="DI261" s="128">
        <v>28</v>
      </c>
      <c r="DJ261" s="128">
        <v>0</v>
      </c>
      <c r="DK261" s="128">
        <v>3</v>
      </c>
      <c r="DL261" s="128">
        <v>5</v>
      </c>
      <c r="DM261" s="128">
        <v>32</v>
      </c>
      <c r="DN261" s="128">
        <v>28</v>
      </c>
      <c r="DO261" s="128">
        <v>0</v>
      </c>
      <c r="DP261" s="128">
        <v>0</v>
      </c>
      <c r="DQ261" s="128">
        <v>68</v>
      </c>
      <c r="DR261" s="128">
        <v>68</v>
      </c>
      <c r="DS261" s="128">
        <v>0</v>
      </c>
      <c r="DT261" s="128">
        <v>0</v>
      </c>
      <c r="DU261" s="128">
        <v>0</v>
      </c>
      <c r="DV261" s="128">
        <v>0</v>
      </c>
      <c r="DW261" s="128">
        <v>0</v>
      </c>
      <c r="DX261" s="128">
        <v>2</v>
      </c>
      <c r="DY261" s="128">
        <v>6</v>
      </c>
      <c r="DZ261" s="128">
        <v>30</v>
      </c>
      <c r="EA261" s="128">
        <v>30</v>
      </c>
      <c r="EB261" s="128">
        <v>0</v>
      </c>
      <c r="EC261" s="128">
        <v>2</v>
      </c>
      <c r="ED261" s="128">
        <v>6</v>
      </c>
      <c r="EE261" s="128">
        <v>30</v>
      </c>
      <c r="EF261" s="128">
        <v>30</v>
      </c>
      <c r="EG261" s="128">
        <v>0</v>
      </c>
      <c r="EH261" s="128">
        <v>0</v>
      </c>
      <c r="EI261" s="128">
        <v>68</v>
      </c>
      <c r="EJ261" s="128">
        <v>68</v>
      </c>
      <c r="EK261" s="128">
        <v>2</v>
      </c>
      <c r="EL261" s="128">
        <v>1.25</v>
      </c>
      <c r="EM261" s="128">
        <v>1.25</v>
      </c>
      <c r="EN261" s="128">
        <v>900000</v>
      </c>
      <c r="EO261" s="128">
        <v>400000</v>
      </c>
      <c r="EP261" s="128">
        <v>16</v>
      </c>
      <c r="EQ261" s="128">
        <v>16</v>
      </c>
      <c r="ER261" s="128">
        <v>15</v>
      </c>
      <c r="ES261" s="128">
        <v>7068000</v>
      </c>
      <c r="ET261" s="128">
        <v>4900000</v>
      </c>
      <c r="EU261" s="128">
        <v>7</v>
      </c>
      <c r="EV261" s="128">
        <v>6.5</v>
      </c>
      <c r="EW261" s="128">
        <v>6.5</v>
      </c>
      <c r="EX261" s="128">
        <v>4355000</v>
      </c>
      <c r="EY261" s="128">
        <v>0</v>
      </c>
      <c r="FO261" s="128">
        <v>14</v>
      </c>
      <c r="FP261" s="128">
        <v>12.75</v>
      </c>
      <c r="FQ261" s="128">
        <v>14</v>
      </c>
      <c r="FR261" s="128">
        <v>6300000</v>
      </c>
      <c r="FS261" s="128">
        <v>3500000</v>
      </c>
      <c r="IN261" s="128">
        <v>2</v>
      </c>
      <c r="IO261" s="128">
        <v>530</v>
      </c>
      <c r="IP261" s="128">
        <v>0.253</v>
      </c>
      <c r="IQ261" s="128">
        <v>87000</v>
      </c>
      <c r="IR261" s="128">
        <v>0</v>
      </c>
      <c r="KG261" s="128">
        <v>0</v>
      </c>
      <c r="KI261" s="128">
        <v>23.75</v>
      </c>
      <c r="KJ261" s="128">
        <v>0</v>
      </c>
      <c r="KK261" s="128">
        <v>0.253</v>
      </c>
      <c r="KL261" s="128">
        <v>0</v>
      </c>
      <c r="KM261" s="128">
        <v>24.003</v>
      </c>
      <c r="KN261" s="128">
        <v>18623000</v>
      </c>
      <c r="KO261" s="128">
        <v>8800000</v>
      </c>
      <c r="KP261" s="128">
        <v>8800000</v>
      </c>
      <c r="KT261" s="128">
        <v>0</v>
      </c>
      <c r="KU261" s="128">
        <v>0</v>
      </c>
      <c r="KV261" s="128">
        <v>0</v>
      </c>
      <c r="KZ261" s="128">
        <v>87000</v>
      </c>
      <c r="LA261" s="128">
        <v>0</v>
      </c>
      <c r="LB261" s="128">
        <v>0</v>
      </c>
      <c r="LF261" s="128">
        <v>0</v>
      </c>
      <c r="LG261" s="128">
        <v>0</v>
      </c>
      <c r="LH261" s="128">
        <v>0</v>
      </c>
      <c r="LL261" s="128">
        <v>0</v>
      </c>
      <c r="LM261" s="128">
        <v>0</v>
      </c>
      <c r="LN261" s="128">
        <v>0</v>
      </c>
      <c r="LR261" s="128">
        <v>800000</v>
      </c>
      <c r="LS261" s="128">
        <v>0</v>
      </c>
      <c r="LT261" s="128">
        <v>0</v>
      </c>
      <c r="LX261" s="128">
        <v>2200000</v>
      </c>
      <c r="LY261" s="128">
        <v>0</v>
      </c>
      <c r="LZ261" s="128">
        <v>0</v>
      </c>
      <c r="MD261" s="128">
        <v>100000</v>
      </c>
      <c r="ME261" s="128">
        <v>0</v>
      </c>
      <c r="MF261" s="128">
        <v>0</v>
      </c>
      <c r="MJ261" s="128">
        <v>100000</v>
      </c>
      <c r="MK261" s="128">
        <v>0</v>
      </c>
      <c r="ML261" s="128">
        <v>0</v>
      </c>
      <c r="MP261" s="128">
        <v>1900000</v>
      </c>
      <c r="MQ261" s="128">
        <v>0</v>
      </c>
      <c r="MR261" s="128">
        <v>0</v>
      </c>
      <c r="MV261" s="128">
        <v>1200000</v>
      </c>
      <c r="MW261" s="128">
        <v>500000</v>
      </c>
      <c r="MX261" s="128">
        <v>500000</v>
      </c>
      <c r="NB261" s="128">
        <v>110000</v>
      </c>
      <c r="NC261" s="128">
        <v>0</v>
      </c>
      <c r="ND261" s="128">
        <v>0</v>
      </c>
      <c r="NH261" s="128">
        <v>0</v>
      </c>
      <c r="NI261" s="128">
        <v>0</v>
      </c>
      <c r="NJ261" s="128">
        <v>0</v>
      </c>
      <c r="NN261" s="128">
        <v>450000</v>
      </c>
      <c r="NO261" s="128">
        <v>0</v>
      </c>
      <c r="NP261" s="128">
        <v>0</v>
      </c>
      <c r="NT261" s="128">
        <v>110000</v>
      </c>
      <c r="NU261" s="128">
        <v>0</v>
      </c>
      <c r="NV261" s="128">
        <v>0</v>
      </c>
      <c r="NZ261" s="128">
        <v>1500000</v>
      </c>
      <c r="OA261" s="128">
        <v>0</v>
      </c>
      <c r="OB261" s="128">
        <v>0</v>
      </c>
      <c r="OF261" s="128">
        <v>60000</v>
      </c>
      <c r="OG261" s="128">
        <v>0</v>
      </c>
      <c r="OH261" s="128">
        <v>0</v>
      </c>
      <c r="OL261" s="128">
        <v>0</v>
      </c>
      <c r="OM261" s="128">
        <v>0</v>
      </c>
      <c r="ON261" s="128">
        <v>0</v>
      </c>
      <c r="OR261" s="128">
        <v>0</v>
      </c>
      <c r="OS261" s="128">
        <v>0</v>
      </c>
      <c r="OT261" s="128">
        <v>0</v>
      </c>
      <c r="OX261" s="128">
        <v>165000</v>
      </c>
      <c r="OY261" s="128">
        <v>0</v>
      </c>
      <c r="OZ261" s="128">
        <v>0</v>
      </c>
      <c r="PD261" s="128">
        <v>220000</v>
      </c>
      <c r="PE261" s="128">
        <v>0</v>
      </c>
      <c r="PF261" s="128">
        <v>0</v>
      </c>
      <c r="PJ261" s="128">
        <v>240000</v>
      </c>
      <c r="PK261" s="128">
        <v>0</v>
      </c>
      <c r="PL261" s="128">
        <v>0</v>
      </c>
      <c r="PP261" s="128">
        <v>27865000</v>
      </c>
      <c r="PQ261" s="128">
        <v>9300000</v>
      </c>
      <c r="PR261" s="128">
        <v>9300000</v>
      </c>
      <c r="PS261" s="128">
        <v>100</v>
      </c>
      <c r="PT261" s="128">
        <v>100</v>
      </c>
      <c r="PV261" s="128">
        <v>18244933</v>
      </c>
      <c r="PX261" s="128">
        <v>6600000</v>
      </c>
      <c r="PY261" s="128">
        <v>7900000</v>
      </c>
      <c r="PZ261" s="128">
        <v>9300000</v>
      </c>
      <c r="QA261" s="128">
        <v>0</v>
      </c>
      <c r="QB261" s="128">
        <v>0</v>
      </c>
      <c r="QC261" s="128">
        <v>0</v>
      </c>
      <c r="QD261" s="128">
        <v>170000</v>
      </c>
      <c r="QE261" s="128">
        <v>130000</v>
      </c>
      <c r="QF261" s="128">
        <v>215000</v>
      </c>
      <c r="QG261" s="128">
        <v>0</v>
      </c>
      <c r="QH261" s="128">
        <v>0</v>
      </c>
      <c r="QI261" s="128">
        <v>0</v>
      </c>
      <c r="QJ261" s="128">
        <v>15582208</v>
      </c>
      <c r="QK261" s="128">
        <v>16000000</v>
      </c>
      <c r="QL261" s="128">
        <v>15700000</v>
      </c>
      <c r="QN261" s="128">
        <v>1330439</v>
      </c>
      <c r="QO261" s="128">
        <v>1660000</v>
      </c>
      <c r="QP261" s="128">
        <v>1300000</v>
      </c>
      <c r="QU261" s="128">
        <v>739000</v>
      </c>
      <c r="QV261" s="128">
        <v>296405</v>
      </c>
      <c r="QW261" s="128">
        <v>700000</v>
      </c>
      <c r="RD261" s="128">
        <v>1301113</v>
      </c>
      <c r="RE261" s="128">
        <v>467300</v>
      </c>
      <c r="RF261" s="128">
        <v>650000</v>
      </c>
      <c r="RH261" s="128">
        <f t="shared" si="412"/>
        <v>10865000</v>
      </c>
      <c r="RI261" s="128">
        <v>0</v>
      </c>
      <c r="RM261" s="128" t="s">
        <v>220</v>
      </c>
      <c r="RU261" s="130"/>
      <c r="RV261" s="130"/>
      <c r="RW261" s="130"/>
      <c r="RX261" s="130"/>
      <c r="SF261" s="128">
        <f t="shared" si="322"/>
        <v>3135426</v>
      </c>
      <c r="SG261" s="131">
        <f t="shared" si="323"/>
        <v>27865000</v>
      </c>
      <c r="SH261" s="131">
        <f t="shared" si="324"/>
        <v>27865000</v>
      </c>
      <c r="SI261" s="131">
        <f t="shared" si="325"/>
        <v>18710000</v>
      </c>
      <c r="SJ261" s="132">
        <f t="shared" si="326"/>
        <v>18623000</v>
      </c>
      <c r="SK261" s="132">
        <f t="shared" si="327"/>
        <v>0</v>
      </c>
      <c r="SL261" s="132">
        <f t="shared" si="328"/>
        <v>87000</v>
      </c>
      <c r="SM261" s="132">
        <f t="shared" si="329"/>
        <v>0</v>
      </c>
      <c r="SN261" s="131">
        <f t="shared" si="330"/>
        <v>9155000</v>
      </c>
      <c r="SO261" s="131">
        <f t="shared" si="331"/>
        <v>800000</v>
      </c>
      <c r="SP261" s="132">
        <f t="shared" si="332"/>
        <v>0</v>
      </c>
      <c r="SQ261" s="132">
        <f t="shared" si="333"/>
        <v>800000</v>
      </c>
      <c r="SR261" s="132">
        <f t="shared" si="334"/>
        <v>2200000</v>
      </c>
      <c r="SS261" s="132">
        <f t="shared" si="335"/>
        <v>100000</v>
      </c>
      <c r="ST261" s="132">
        <f t="shared" si="336"/>
        <v>100000</v>
      </c>
      <c r="SU261" s="132">
        <f t="shared" si="337"/>
        <v>1900000</v>
      </c>
      <c r="SV261" s="131">
        <f t="shared" si="338"/>
        <v>3595000</v>
      </c>
      <c r="SW261" s="132">
        <f t="shared" si="339"/>
        <v>1200000</v>
      </c>
      <c r="SX261" s="132">
        <f t="shared" si="340"/>
        <v>110000</v>
      </c>
      <c r="SY261" s="132">
        <f t="shared" si="341"/>
        <v>0</v>
      </c>
      <c r="SZ261" s="132">
        <f t="shared" si="342"/>
        <v>450000</v>
      </c>
      <c r="TA261" s="132">
        <f t="shared" si="343"/>
        <v>110000</v>
      </c>
      <c r="TB261" s="132">
        <f t="shared" si="344"/>
        <v>1500000</v>
      </c>
      <c r="TC261" s="132">
        <f t="shared" si="345"/>
        <v>60000</v>
      </c>
      <c r="TD261" s="132">
        <f t="shared" si="346"/>
        <v>0</v>
      </c>
      <c r="TE261" s="132">
        <f t="shared" si="347"/>
        <v>0</v>
      </c>
      <c r="TF261" s="132">
        <f t="shared" si="348"/>
        <v>165000</v>
      </c>
      <c r="TG261" s="132">
        <f t="shared" si="349"/>
        <v>220000</v>
      </c>
      <c r="TH261" s="132">
        <f t="shared" si="350"/>
        <v>240000</v>
      </c>
      <c r="TI261" s="1"/>
      <c r="TJ261" s="131">
        <f t="shared" si="351"/>
        <v>9300000</v>
      </c>
      <c r="TK261" s="131">
        <f t="shared" si="352"/>
        <v>9300000</v>
      </c>
      <c r="TL261" s="131">
        <f t="shared" si="353"/>
        <v>8800000</v>
      </c>
      <c r="TM261" s="132">
        <f t="shared" si="354"/>
        <v>8800000</v>
      </c>
      <c r="TN261" s="132">
        <f t="shared" si="355"/>
        <v>0</v>
      </c>
      <c r="TO261" s="132">
        <f t="shared" si="356"/>
        <v>0</v>
      </c>
      <c r="TP261" s="132">
        <f t="shared" si="357"/>
        <v>0</v>
      </c>
      <c r="TQ261" s="131">
        <f t="shared" si="358"/>
        <v>500000</v>
      </c>
      <c r="TR261" s="131">
        <f t="shared" si="359"/>
        <v>0</v>
      </c>
      <c r="TS261" s="132">
        <f t="shared" si="360"/>
        <v>0</v>
      </c>
      <c r="TT261" s="132">
        <f t="shared" si="361"/>
        <v>0</v>
      </c>
      <c r="TU261" s="132">
        <f t="shared" si="362"/>
        <v>0</v>
      </c>
      <c r="TV261" s="132">
        <f t="shared" si="363"/>
        <v>0</v>
      </c>
      <c r="TW261" s="132">
        <f t="shared" si="364"/>
        <v>0</v>
      </c>
      <c r="TX261" s="132">
        <f t="shared" si="365"/>
        <v>0</v>
      </c>
      <c r="TY261" s="131">
        <f t="shared" si="366"/>
        <v>500000</v>
      </c>
      <c r="TZ261" s="132">
        <f t="shared" si="367"/>
        <v>500000</v>
      </c>
      <c r="UA261" s="132">
        <f t="shared" si="368"/>
        <v>0</v>
      </c>
      <c r="UB261" s="132">
        <f t="shared" si="369"/>
        <v>0</v>
      </c>
      <c r="UC261" s="132">
        <f t="shared" si="370"/>
        <v>0</v>
      </c>
      <c r="UD261" s="132">
        <f t="shared" si="371"/>
        <v>0</v>
      </c>
      <c r="UE261" s="132">
        <f t="shared" si="372"/>
        <v>0</v>
      </c>
      <c r="UF261" s="132">
        <f t="shared" si="373"/>
        <v>0</v>
      </c>
      <c r="UG261" s="132">
        <f t="shared" si="374"/>
        <v>0</v>
      </c>
      <c r="UH261" s="132">
        <f t="shared" si="375"/>
        <v>0</v>
      </c>
      <c r="UI261" s="132">
        <f t="shared" si="376"/>
        <v>0</v>
      </c>
      <c r="UJ261" s="132">
        <f t="shared" si="377"/>
        <v>0</v>
      </c>
      <c r="UK261" s="132">
        <f t="shared" si="378"/>
        <v>0</v>
      </c>
      <c r="UL261" s="132">
        <f t="shared" si="413"/>
        <v>9300000</v>
      </c>
      <c r="UM261" s="131">
        <f t="shared" si="379"/>
        <v>9300000</v>
      </c>
      <c r="UN261" s="131">
        <f t="shared" si="380"/>
        <v>9300000</v>
      </c>
      <c r="UO261" s="131">
        <f t="shared" si="381"/>
        <v>8800000</v>
      </c>
      <c r="UP261" s="132">
        <f t="shared" si="382"/>
        <v>8800000</v>
      </c>
      <c r="UQ261" s="132">
        <f t="shared" si="383"/>
        <v>0</v>
      </c>
      <c r="UR261" s="132">
        <f t="shared" si="384"/>
        <v>0</v>
      </c>
      <c r="US261" s="132">
        <f t="shared" si="385"/>
        <v>0</v>
      </c>
      <c r="UT261" s="131">
        <f t="shared" si="386"/>
        <v>500000</v>
      </c>
      <c r="UU261" s="131">
        <f t="shared" si="387"/>
        <v>0</v>
      </c>
      <c r="UV261" s="132">
        <f t="shared" si="388"/>
        <v>0</v>
      </c>
      <c r="UW261" s="132">
        <f t="shared" si="389"/>
        <v>0</v>
      </c>
      <c r="UX261" s="132">
        <f t="shared" si="390"/>
        <v>0</v>
      </c>
      <c r="UY261" s="132">
        <f t="shared" si="391"/>
        <v>0</v>
      </c>
      <c r="UZ261" s="132">
        <f t="shared" si="392"/>
        <v>0</v>
      </c>
      <c r="VA261" s="132">
        <f t="shared" si="393"/>
        <v>0</v>
      </c>
      <c r="VB261" s="131">
        <f t="shared" si="394"/>
        <v>500000</v>
      </c>
      <c r="VC261" s="132">
        <f t="shared" si="395"/>
        <v>500000</v>
      </c>
      <c r="VD261" s="132">
        <f t="shared" si="396"/>
        <v>0</v>
      </c>
      <c r="VE261" s="132">
        <f t="shared" si="397"/>
        <v>0</v>
      </c>
      <c r="VF261" s="132">
        <f t="shared" si="398"/>
        <v>0</v>
      </c>
      <c r="VG261" s="132">
        <f t="shared" si="399"/>
        <v>0</v>
      </c>
      <c r="VH261" s="132">
        <f t="shared" si="400"/>
        <v>0</v>
      </c>
      <c r="VI261" s="132">
        <f t="shared" si="401"/>
        <v>0</v>
      </c>
      <c r="VJ261" s="132">
        <f t="shared" si="402"/>
        <v>0</v>
      </c>
      <c r="VK261" s="132">
        <f t="shared" si="403"/>
        <v>0</v>
      </c>
      <c r="VL261" s="132">
        <f t="shared" si="404"/>
        <v>0</v>
      </c>
      <c r="VM261" s="132">
        <f t="shared" si="405"/>
        <v>0</v>
      </c>
      <c r="VN261" s="132">
        <f t="shared" si="406"/>
        <v>0</v>
      </c>
      <c r="VP261" s="845" t="str">
        <f>IFERROR(HLOOKUP(F261,'Hodnocení '!$C$1:$JH$5,2,FALSE),0)</f>
        <v>Ústav sociálních služeb Milíčeves</v>
      </c>
      <c r="VQ261" s="838"/>
      <c r="VR261" s="845" t="str">
        <f t="shared" si="414"/>
        <v>Příspěvková organizace zřízená územním samosprávným celkem</v>
      </c>
      <c r="VS261" s="845" t="str">
        <f>IFERROR(HLOOKUP(F261,'Hodnocení '!$C$1:$JH$5,5,FALSE),0)</f>
        <v>KHK</v>
      </c>
      <c r="VT261" s="838">
        <f t="shared" si="415"/>
        <v>0</v>
      </c>
      <c r="VU261" s="838">
        <f t="shared" si="416"/>
        <v>0</v>
      </c>
      <c r="VV261" s="838">
        <f t="shared" si="417"/>
        <v>15700000</v>
      </c>
      <c r="VW261" s="838">
        <f t="shared" si="418"/>
        <v>1300000</v>
      </c>
      <c r="VX261" s="838"/>
      <c r="VY261" s="838">
        <f t="shared" si="419"/>
        <v>0</v>
      </c>
      <c r="VZ261" s="838">
        <f t="shared" si="420"/>
        <v>9300000</v>
      </c>
      <c r="WA261" s="846">
        <f>IFERROR(HLOOKUP($F261,'Hodnocení '!$C$1:$JH$9,9,FALSE),0)</f>
        <v>9300000</v>
      </c>
      <c r="WB261" s="846">
        <f>IF(IFERROR(HLOOKUP($F261,'Hodnocení '!$C$1:$JH$13,13,FALSE),0)&gt;WA261,WA261,IFERROR(HLOOKUP($F261,'Hodnocení '!$C$1:$JH$13,13,FALSE),0))</f>
        <v>8887194.8468445688</v>
      </c>
      <c r="WC261" s="846">
        <f>IFERROR(HLOOKUP($F261,'Hodnocení '!$C$1:$JH$155,155,FALSE),0)</f>
        <v>8299180</v>
      </c>
      <c r="WD261" s="845"/>
      <c r="WE261" s="845"/>
      <c r="WF261" s="845" t="str">
        <f t="shared" si="407"/>
        <v>ANO</v>
      </c>
      <c r="WG261" s="849" t="str">
        <f t="shared" si="421"/>
        <v>Podpora služby je vyjádřena zařazením do sítě sociálních služeb v KHK a řešením financování služby</v>
      </c>
      <c r="WH261"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61" s="849" t="str">
        <f t="shared" si="421"/>
        <v>Návrh dotace je výsledkem projednání s ostatními zadavateli v rámci sítě služeb KHK</v>
      </c>
      <c r="WJ261" s="849" t="str">
        <f t="shared" si="421"/>
        <v>Bez komentáře</v>
      </c>
      <c r="WK261" s="31">
        <f t="shared" si="408"/>
        <v>0</v>
      </c>
      <c r="WL261" s="850">
        <f t="shared" si="409"/>
        <v>0</v>
      </c>
      <c r="WM261" s="849" t="str">
        <f t="shared" si="410"/>
        <v>V rámci sítě KHK se dlouhodobě řeší otázka navyšování úhrad a průběžně se monitoruje s vazbou na vykrytí vyrovnávací platby</v>
      </c>
      <c r="WN261" s="849" t="str">
        <f t="shared" si="411"/>
        <v>Otázka výběru od zdravotních pojišťoven je předmětem procesu, který probíhá ve formě jednání se ZP a organizacemi</v>
      </c>
      <c r="WO261" s="849" t="str">
        <f t="shared" si="422"/>
        <v>bez komentáře</v>
      </c>
      <c r="WP261" s="849" t="str">
        <f t="shared" si="422"/>
        <v>bez komentáře</v>
      </c>
      <c r="WQ261" s="849" t="str">
        <f t="shared" si="422"/>
        <v>Konečná výše dotace z rozpočtu KHK bude řešena v návaznosti na řešení podílů jednotlivých zadavatelů.</v>
      </c>
      <c r="WR261" s="849" t="str">
        <f t="shared" si="422"/>
        <v>Konečná výše podpory ze stran obcí bude řešena v součinnosti s jednotlivými zadavateli v průběhu roku.</v>
      </c>
      <c r="WS261" s="849" t="str">
        <f t="shared" si="422"/>
        <v>bez komentáře</v>
      </c>
      <c r="WT261" s="849" t="str">
        <f t="shared" si="422"/>
        <v>bez komentáře</v>
      </c>
      <c r="WU261" s="845"/>
    </row>
    <row r="262" spans="1:619" s="128" customFormat="1" x14ac:dyDescent="0.25">
      <c r="A262" s="128" t="str">
        <f>VLOOKUP(F262,'Výpočet VP 2020'!$D$324:$I$588,6,FALSE)</f>
        <v>Je v síti</v>
      </c>
      <c r="B262" s="128" t="s">
        <v>1010</v>
      </c>
      <c r="C262" s="128">
        <v>48162485</v>
      </c>
      <c r="D262" s="128" t="s">
        <v>1011</v>
      </c>
      <c r="E262" s="128" t="s">
        <v>696</v>
      </c>
      <c r="F262" s="128">
        <v>2495303</v>
      </c>
      <c r="G262" s="128" t="s">
        <v>225</v>
      </c>
      <c r="H262" s="128" t="s">
        <v>218</v>
      </c>
      <c r="I262" s="128" t="s">
        <v>1012</v>
      </c>
      <c r="J262" s="129">
        <v>39083</v>
      </c>
      <c r="L262" s="128" t="s">
        <v>220</v>
      </c>
      <c r="AP262" s="128" t="s">
        <v>633</v>
      </c>
      <c r="AQ262" s="128">
        <v>65</v>
      </c>
      <c r="AR262" s="128">
        <v>65</v>
      </c>
      <c r="AS262" s="128">
        <v>80</v>
      </c>
      <c r="AT262" s="128">
        <v>68</v>
      </c>
      <c r="AU262" s="128">
        <v>74</v>
      </c>
      <c r="BJ262" s="128">
        <v>6200</v>
      </c>
      <c r="BL262" s="128" t="s">
        <v>1013</v>
      </c>
      <c r="BM262" s="128" t="s">
        <v>223</v>
      </c>
      <c r="BN262" s="128" t="s">
        <v>558</v>
      </c>
      <c r="BO262" s="128">
        <v>2</v>
      </c>
      <c r="BP262" s="128">
        <v>10</v>
      </c>
      <c r="BQ262" s="128">
        <v>14</v>
      </c>
      <c r="BR262" s="128">
        <v>16</v>
      </c>
      <c r="BS262" s="128">
        <v>0</v>
      </c>
      <c r="BT262" s="128">
        <v>3</v>
      </c>
      <c r="BU262" s="128">
        <v>6</v>
      </c>
      <c r="BV262" s="128">
        <v>6</v>
      </c>
      <c r="BW262" s="128">
        <v>11</v>
      </c>
      <c r="BX262" s="128">
        <v>0</v>
      </c>
      <c r="BY262" s="128">
        <v>5</v>
      </c>
      <c r="BZ262" s="128">
        <v>16</v>
      </c>
      <c r="CA262" s="128">
        <v>20</v>
      </c>
      <c r="CB262" s="128">
        <v>27</v>
      </c>
      <c r="CC262" s="128">
        <v>0</v>
      </c>
      <c r="CD262" s="128">
        <v>42</v>
      </c>
      <c r="CE262" s="128">
        <v>26</v>
      </c>
      <c r="CF262" s="128">
        <v>68</v>
      </c>
      <c r="CH262" s="128">
        <v>2</v>
      </c>
      <c r="CI262" s="128">
        <v>12</v>
      </c>
      <c r="CJ262" s="128">
        <v>15</v>
      </c>
      <c r="CK262" s="128">
        <v>16</v>
      </c>
      <c r="CL262" s="128">
        <v>0</v>
      </c>
      <c r="CM262" s="128">
        <v>3</v>
      </c>
      <c r="CN262" s="128">
        <v>6</v>
      </c>
      <c r="CO262" s="128">
        <v>8</v>
      </c>
      <c r="CP262" s="128">
        <v>12</v>
      </c>
      <c r="CQ262" s="128">
        <v>0</v>
      </c>
      <c r="CR262" s="128">
        <v>5</v>
      </c>
      <c r="CS262" s="128">
        <v>18</v>
      </c>
      <c r="CT262" s="128">
        <v>23</v>
      </c>
      <c r="CU262" s="128">
        <v>28</v>
      </c>
      <c r="CV262" s="128">
        <v>0</v>
      </c>
      <c r="CW262" s="128">
        <v>45</v>
      </c>
      <c r="CX262" s="128">
        <v>29</v>
      </c>
      <c r="CY262" s="128">
        <v>74</v>
      </c>
      <c r="EK262" s="128">
        <v>1</v>
      </c>
      <c r="EL262" s="128">
        <v>0.4</v>
      </c>
      <c r="EM262" s="128">
        <v>0.71</v>
      </c>
      <c r="EN262" s="128">
        <v>277000</v>
      </c>
      <c r="EO262" s="128">
        <v>277000</v>
      </c>
      <c r="EP262" s="128">
        <v>16</v>
      </c>
      <c r="EQ262" s="128">
        <v>8.19</v>
      </c>
      <c r="ER262" s="128">
        <v>7.87</v>
      </c>
      <c r="ES262" s="128">
        <v>4153000</v>
      </c>
      <c r="ET262" s="128">
        <v>3509200</v>
      </c>
      <c r="FO262" s="128">
        <v>7</v>
      </c>
      <c r="FP262" s="128">
        <v>2.4300000000000002</v>
      </c>
      <c r="FQ262" s="128">
        <v>1.03</v>
      </c>
      <c r="FR262" s="128">
        <v>1534000</v>
      </c>
      <c r="FS262" s="128">
        <v>720000</v>
      </c>
      <c r="IN262" s="128">
        <v>2</v>
      </c>
      <c r="IO262" s="128">
        <v>600</v>
      </c>
      <c r="IP262" s="128">
        <v>0.28599999999999998</v>
      </c>
      <c r="IQ262" s="128">
        <v>72000</v>
      </c>
      <c r="IR262" s="128">
        <v>47000</v>
      </c>
      <c r="IS262" s="128">
        <v>4</v>
      </c>
      <c r="IT262" s="128">
        <v>400</v>
      </c>
      <c r="IU262" s="128">
        <v>0.191</v>
      </c>
      <c r="IV262" s="128">
        <v>52000</v>
      </c>
      <c r="IW262" s="128">
        <v>0</v>
      </c>
      <c r="KG262" s="128">
        <v>2</v>
      </c>
      <c r="KH262" s="128">
        <v>80</v>
      </c>
      <c r="KI262" s="128">
        <v>8.59</v>
      </c>
      <c r="KJ262" s="128">
        <v>0</v>
      </c>
      <c r="KK262" s="128">
        <v>0.28599999999999998</v>
      </c>
      <c r="KL262" s="128">
        <v>0</v>
      </c>
      <c r="KM262" s="128">
        <v>8.8759999999999994</v>
      </c>
      <c r="KN262" s="128">
        <v>5964000</v>
      </c>
      <c r="KO262" s="128">
        <v>4506200</v>
      </c>
      <c r="KP262" s="128">
        <v>4506200</v>
      </c>
      <c r="KT262" s="128">
        <v>0</v>
      </c>
      <c r="KU262" s="128">
        <v>0</v>
      </c>
      <c r="KV262" s="128">
        <v>0</v>
      </c>
      <c r="KZ262" s="128">
        <v>124000</v>
      </c>
      <c r="LA262" s="128">
        <v>47000</v>
      </c>
      <c r="LB262" s="128">
        <v>47000</v>
      </c>
      <c r="LF262" s="128">
        <v>0</v>
      </c>
      <c r="LG262" s="128">
        <v>0</v>
      </c>
      <c r="LH262" s="128">
        <v>0</v>
      </c>
      <c r="LL262" s="128">
        <v>0</v>
      </c>
      <c r="LM262" s="128">
        <v>0</v>
      </c>
      <c r="LN262" s="128">
        <v>0</v>
      </c>
      <c r="LR262" s="128">
        <v>175000</v>
      </c>
      <c r="LS262" s="128">
        <v>85000</v>
      </c>
      <c r="LT262" s="128">
        <v>85000</v>
      </c>
      <c r="LX262" s="128">
        <v>0</v>
      </c>
      <c r="LY262" s="128">
        <v>0</v>
      </c>
      <c r="LZ262" s="128">
        <v>0</v>
      </c>
      <c r="MD262" s="128">
        <v>65000</v>
      </c>
      <c r="ME262" s="128">
        <v>25000</v>
      </c>
      <c r="MF262" s="128">
        <v>25000</v>
      </c>
      <c r="MJ262" s="128">
        <v>15000</v>
      </c>
      <c r="MK262" s="128">
        <v>0</v>
      </c>
      <c r="ML262" s="128">
        <v>0</v>
      </c>
      <c r="MP262" s="128">
        <v>135000</v>
      </c>
      <c r="MQ262" s="128">
        <v>50000</v>
      </c>
      <c r="MR262" s="128">
        <v>50000</v>
      </c>
      <c r="MV262" s="128">
        <v>125000</v>
      </c>
      <c r="MW262" s="128">
        <v>80000</v>
      </c>
      <c r="MX262" s="128">
        <v>80000</v>
      </c>
      <c r="NB262" s="128">
        <v>10000</v>
      </c>
      <c r="NC262" s="128">
        <v>0</v>
      </c>
      <c r="ND262" s="128">
        <v>0</v>
      </c>
      <c r="NH262" s="128">
        <v>200600</v>
      </c>
      <c r="NI262" s="128">
        <v>150000</v>
      </c>
      <c r="NJ262" s="128">
        <v>150000</v>
      </c>
      <c r="NN262" s="128">
        <v>240000</v>
      </c>
      <c r="NO262" s="128">
        <v>150000</v>
      </c>
      <c r="NP262" s="128">
        <v>150000</v>
      </c>
      <c r="NT262" s="128">
        <v>40000</v>
      </c>
      <c r="NU262" s="128">
        <v>15000</v>
      </c>
      <c r="NV262" s="128">
        <v>15000</v>
      </c>
      <c r="NZ262" s="128">
        <v>16000</v>
      </c>
      <c r="OA262" s="128">
        <v>8000</v>
      </c>
      <c r="OB262" s="128">
        <v>8000</v>
      </c>
      <c r="OF262" s="128">
        <v>15000</v>
      </c>
      <c r="OG262" s="128">
        <v>5000</v>
      </c>
      <c r="OH262" s="128">
        <v>5000</v>
      </c>
      <c r="OL262" s="128">
        <v>0</v>
      </c>
      <c r="OM262" s="128">
        <v>0</v>
      </c>
      <c r="ON262" s="128">
        <v>0</v>
      </c>
      <c r="OR262" s="128">
        <v>0</v>
      </c>
      <c r="OS262" s="128">
        <v>0</v>
      </c>
      <c r="OT262" s="128">
        <v>0</v>
      </c>
      <c r="OX262" s="128">
        <v>110000</v>
      </c>
      <c r="OY262" s="128">
        <v>42000</v>
      </c>
      <c r="OZ262" s="128">
        <v>42000</v>
      </c>
      <c r="PD262" s="128">
        <v>0</v>
      </c>
      <c r="PE262" s="128">
        <v>0</v>
      </c>
      <c r="PF262" s="128">
        <v>0</v>
      </c>
      <c r="PJ262" s="128">
        <v>180000</v>
      </c>
      <c r="PK262" s="128">
        <v>87500</v>
      </c>
      <c r="PL262" s="128">
        <v>87500</v>
      </c>
      <c r="PP262" s="128">
        <v>7414600</v>
      </c>
      <c r="PQ262" s="128">
        <v>5250700</v>
      </c>
      <c r="PR262" s="128">
        <v>5250700</v>
      </c>
      <c r="PS262" s="128">
        <v>100</v>
      </c>
      <c r="PT262" s="128">
        <v>100</v>
      </c>
      <c r="PX262" s="128">
        <v>3305226</v>
      </c>
      <c r="PY262" s="128">
        <v>3593030</v>
      </c>
      <c r="PZ262" s="128">
        <v>5250700</v>
      </c>
      <c r="QA262" s="128">
        <v>0</v>
      </c>
      <c r="QB262" s="128">
        <v>0</v>
      </c>
      <c r="QC262" s="128">
        <v>0</v>
      </c>
      <c r="QD262" s="128">
        <v>0</v>
      </c>
      <c r="QE262" s="128">
        <v>0</v>
      </c>
      <c r="QF262" s="128">
        <v>0</v>
      </c>
      <c r="QG262" s="128">
        <v>0</v>
      </c>
      <c r="QH262" s="128">
        <v>0</v>
      </c>
      <c r="QI262" s="128">
        <v>0</v>
      </c>
      <c r="QJ262" s="128">
        <v>780980</v>
      </c>
      <c r="QK262" s="128">
        <v>774000</v>
      </c>
      <c r="QL262" s="128">
        <v>750000</v>
      </c>
      <c r="QN262" s="128">
        <v>0</v>
      </c>
      <c r="QO262" s="128">
        <v>0</v>
      </c>
      <c r="QP262" s="128">
        <v>0</v>
      </c>
      <c r="QU262" s="128">
        <v>0</v>
      </c>
      <c r="QV262" s="128">
        <v>339012</v>
      </c>
      <c r="QW262" s="128">
        <v>198900</v>
      </c>
      <c r="QX262" s="128">
        <v>616000</v>
      </c>
      <c r="QY262" s="128">
        <v>500000</v>
      </c>
      <c r="QZ262" s="128">
        <v>1215000</v>
      </c>
      <c r="RH262" s="128">
        <f t="shared" si="412"/>
        <v>6664600</v>
      </c>
      <c r="RI262" s="128">
        <v>0</v>
      </c>
      <c r="RM262" s="128" t="s">
        <v>220</v>
      </c>
      <c r="RU262" s="130"/>
      <c r="RV262" s="130"/>
      <c r="RW262" s="130"/>
      <c r="RX262" s="130"/>
      <c r="SF262" s="128">
        <f t="shared" si="322"/>
        <v>2495303</v>
      </c>
      <c r="SG262" s="131">
        <f t="shared" si="323"/>
        <v>7414600</v>
      </c>
      <c r="SH262" s="131">
        <f t="shared" si="324"/>
        <v>7414600</v>
      </c>
      <c r="SI262" s="131">
        <f t="shared" si="325"/>
        <v>6088000</v>
      </c>
      <c r="SJ262" s="132">
        <f t="shared" si="326"/>
        <v>5964000</v>
      </c>
      <c r="SK262" s="132">
        <f t="shared" si="327"/>
        <v>0</v>
      </c>
      <c r="SL262" s="132">
        <f t="shared" si="328"/>
        <v>124000</v>
      </c>
      <c r="SM262" s="132">
        <f t="shared" si="329"/>
        <v>0</v>
      </c>
      <c r="SN262" s="131">
        <f t="shared" si="330"/>
        <v>1326600</v>
      </c>
      <c r="SO262" s="131">
        <f t="shared" si="331"/>
        <v>175000</v>
      </c>
      <c r="SP262" s="132">
        <f t="shared" si="332"/>
        <v>0</v>
      </c>
      <c r="SQ262" s="132">
        <f t="shared" si="333"/>
        <v>175000</v>
      </c>
      <c r="SR262" s="132">
        <f t="shared" si="334"/>
        <v>0</v>
      </c>
      <c r="SS262" s="132">
        <f t="shared" si="335"/>
        <v>65000</v>
      </c>
      <c r="ST262" s="132">
        <f t="shared" si="336"/>
        <v>15000</v>
      </c>
      <c r="SU262" s="132">
        <f t="shared" si="337"/>
        <v>135000</v>
      </c>
      <c r="SV262" s="131">
        <f t="shared" si="338"/>
        <v>756600</v>
      </c>
      <c r="SW262" s="132">
        <f t="shared" si="339"/>
        <v>125000</v>
      </c>
      <c r="SX262" s="132">
        <f t="shared" si="340"/>
        <v>10000</v>
      </c>
      <c r="SY262" s="132">
        <f t="shared" si="341"/>
        <v>200600</v>
      </c>
      <c r="SZ262" s="132">
        <f t="shared" si="342"/>
        <v>240000</v>
      </c>
      <c r="TA262" s="132">
        <f t="shared" si="343"/>
        <v>40000</v>
      </c>
      <c r="TB262" s="132">
        <f t="shared" si="344"/>
        <v>16000</v>
      </c>
      <c r="TC262" s="132">
        <f t="shared" si="345"/>
        <v>15000</v>
      </c>
      <c r="TD262" s="132">
        <f t="shared" si="346"/>
        <v>0</v>
      </c>
      <c r="TE262" s="132">
        <f t="shared" si="347"/>
        <v>0</v>
      </c>
      <c r="TF262" s="132">
        <f t="shared" si="348"/>
        <v>110000</v>
      </c>
      <c r="TG262" s="132">
        <f t="shared" si="349"/>
        <v>0</v>
      </c>
      <c r="TH262" s="132">
        <f t="shared" si="350"/>
        <v>180000</v>
      </c>
      <c r="TI262" s="1"/>
      <c r="TJ262" s="131">
        <f t="shared" si="351"/>
        <v>5250700</v>
      </c>
      <c r="TK262" s="131">
        <f t="shared" si="352"/>
        <v>5250700</v>
      </c>
      <c r="TL262" s="131">
        <f t="shared" si="353"/>
        <v>4553200</v>
      </c>
      <c r="TM262" s="132">
        <f t="shared" si="354"/>
        <v>4506200</v>
      </c>
      <c r="TN262" s="132">
        <f t="shared" si="355"/>
        <v>0</v>
      </c>
      <c r="TO262" s="132">
        <f t="shared" si="356"/>
        <v>47000</v>
      </c>
      <c r="TP262" s="132">
        <f t="shared" si="357"/>
        <v>0</v>
      </c>
      <c r="TQ262" s="131">
        <f t="shared" si="358"/>
        <v>697500</v>
      </c>
      <c r="TR262" s="131">
        <f t="shared" si="359"/>
        <v>85000</v>
      </c>
      <c r="TS262" s="132">
        <f t="shared" si="360"/>
        <v>0</v>
      </c>
      <c r="TT262" s="132">
        <f t="shared" si="361"/>
        <v>85000</v>
      </c>
      <c r="TU262" s="132">
        <f t="shared" si="362"/>
        <v>0</v>
      </c>
      <c r="TV262" s="132">
        <f t="shared" si="363"/>
        <v>25000</v>
      </c>
      <c r="TW262" s="132">
        <f t="shared" si="364"/>
        <v>0</v>
      </c>
      <c r="TX262" s="132">
        <f t="shared" si="365"/>
        <v>50000</v>
      </c>
      <c r="TY262" s="131">
        <f t="shared" si="366"/>
        <v>450000</v>
      </c>
      <c r="TZ262" s="132">
        <f t="shared" si="367"/>
        <v>80000</v>
      </c>
      <c r="UA262" s="132">
        <f t="shared" si="368"/>
        <v>0</v>
      </c>
      <c r="UB262" s="132">
        <f t="shared" si="369"/>
        <v>150000</v>
      </c>
      <c r="UC262" s="132">
        <f t="shared" si="370"/>
        <v>150000</v>
      </c>
      <c r="UD262" s="132">
        <f t="shared" si="371"/>
        <v>15000</v>
      </c>
      <c r="UE262" s="132">
        <f t="shared" si="372"/>
        <v>8000</v>
      </c>
      <c r="UF262" s="132">
        <f t="shared" si="373"/>
        <v>5000</v>
      </c>
      <c r="UG262" s="132">
        <f t="shared" si="374"/>
        <v>0</v>
      </c>
      <c r="UH262" s="132">
        <f t="shared" si="375"/>
        <v>0</v>
      </c>
      <c r="UI262" s="132">
        <f t="shared" si="376"/>
        <v>42000</v>
      </c>
      <c r="UJ262" s="132">
        <f t="shared" si="377"/>
        <v>0</v>
      </c>
      <c r="UK262" s="132">
        <f t="shared" si="378"/>
        <v>87500</v>
      </c>
      <c r="UL262" s="132">
        <f t="shared" si="413"/>
        <v>5250700</v>
      </c>
      <c r="UM262" s="131">
        <f t="shared" si="379"/>
        <v>5250700</v>
      </c>
      <c r="UN262" s="131">
        <f t="shared" si="380"/>
        <v>5250700</v>
      </c>
      <c r="UO262" s="131">
        <f t="shared" si="381"/>
        <v>4553200</v>
      </c>
      <c r="UP262" s="132">
        <f t="shared" si="382"/>
        <v>4506200</v>
      </c>
      <c r="UQ262" s="132">
        <f t="shared" si="383"/>
        <v>0</v>
      </c>
      <c r="UR262" s="132">
        <f t="shared" si="384"/>
        <v>47000</v>
      </c>
      <c r="US262" s="132">
        <f t="shared" si="385"/>
        <v>0</v>
      </c>
      <c r="UT262" s="131">
        <f t="shared" si="386"/>
        <v>697500</v>
      </c>
      <c r="UU262" s="131">
        <f t="shared" si="387"/>
        <v>85000</v>
      </c>
      <c r="UV262" s="132">
        <f t="shared" si="388"/>
        <v>0</v>
      </c>
      <c r="UW262" s="132">
        <f t="shared" si="389"/>
        <v>85000</v>
      </c>
      <c r="UX262" s="132">
        <f t="shared" si="390"/>
        <v>0</v>
      </c>
      <c r="UY262" s="132">
        <f t="shared" si="391"/>
        <v>25000</v>
      </c>
      <c r="UZ262" s="132">
        <f t="shared" si="392"/>
        <v>0</v>
      </c>
      <c r="VA262" s="132">
        <f t="shared" si="393"/>
        <v>50000</v>
      </c>
      <c r="VB262" s="131">
        <f t="shared" si="394"/>
        <v>450000</v>
      </c>
      <c r="VC262" s="132">
        <f t="shared" si="395"/>
        <v>80000</v>
      </c>
      <c r="VD262" s="132">
        <f t="shared" si="396"/>
        <v>0</v>
      </c>
      <c r="VE262" s="132">
        <f t="shared" si="397"/>
        <v>150000</v>
      </c>
      <c r="VF262" s="132">
        <f t="shared" si="398"/>
        <v>150000</v>
      </c>
      <c r="VG262" s="132">
        <f t="shared" si="399"/>
        <v>15000</v>
      </c>
      <c r="VH262" s="132">
        <f t="shared" si="400"/>
        <v>8000</v>
      </c>
      <c r="VI262" s="132">
        <f t="shared" si="401"/>
        <v>5000</v>
      </c>
      <c r="VJ262" s="132">
        <f t="shared" si="402"/>
        <v>0</v>
      </c>
      <c r="VK262" s="132">
        <f t="shared" si="403"/>
        <v>0</v>
      </c>
      <c r="VL262" s="132">
        <f t="shared" si="404"/>
        <v>42000</v>
      </c>
      <c r="VM262" s="132">
        <f t="shared" si="405"/>
        <v>0</v>
      </c>
      <c r="VN262" s="132">
        <f t="shared" si="406"/>
        <v>87500</v>
      </c>
      <c r="VP262" s="845" t="str">
        <f>IFERROR(HLOOKUP(F262,'Hodnocení '!$C$1:$JH$5,2,FALSE),0)</f>
        <v>Věra Kosinová - Daneta, zařízení pro zdravotně postižené</v>
      </c>
      <c r="VQ262" s="838"/>
      <c r="VR262" s="845" t="str">
        <f t="shared" si="414"/>
        <v>Fyzická osoba podnikající dle živnostenského zákona nezapsaná v obchodním rejstříku</v>
      </c>
      <c r="VS262" s="845" t="str">
        <f>IFERROR(HLOOKUP(F262,'Hodnocení '!$C$1:$JH$5,5,FALSE),0)</f>
        <v>NZO</v>
      </c>
      <c r="VT262" s="838">
        <f t="shared" si="415"/>
        <v>0</v>
      </c>
      <c r="VU262" s="838">
        <f t="shared" si="416"/>
        <v>0</v>
      </c>
      <c r="VV262" s="838">
        <f t="shared" si="417"/>
        <v>750000</v>
      </c>
      <c r="VW262" s="838">
        <f t="shared" si="418"/>
        <v>0</v>
      </c>
      <c r="VX262" s="838"/>
      <c r="VY262" s="838">
        <f t="shared" si="419"/>
        <v>0</v>
      </c>
      <c r="VZ262" s="838">
        <f t="shared" si="420"/>
        <v>5250700</v>
      </c>
      <c r="WA262" s="846">
        <f>IFERROR(HLOOKUP($F262,'Hodnocení '!$C$1:$JH$9,9,FALSE),0)</f>
        <v>5250700</v>
      </c>
      <c r="WB262" s="846">
        <f>IF(IFERROR(HLOOKUP($F262,'Hodnocení '!$C$1:$JH$13,13,FALSE),0)&gt;WA262,WA262,IFERROR(HLOOKUP($F262,'Hodnocení '!$C$1:$JH$13,13,FALSE),0))</f>
        <v>3733481.0875684507</v>
      </c>
      <c r="WC262" s="846">
        <f>IFERROR(HLOOKUP($F262,'Hodnocení '!$C$1:$JH$155,155,FALSE),0)</f>
        <v>3773040</v>
      </c>
      <c r="WD262" s="845"/>
      <c r="WE262" s="845"/>
      <c r="WF262" s="845" t="str">
        <f t="shared" si="407"/>
        <v>ANO</v>
      </c>
      <c r="WG262" s="849" t="str">
        <f t="shared" si="421"/>
        <v>Podpora služby je vyjádřena zařazením do sítě sociálních služeb v KHK a řešením financování služby</v>
      </c>
      <c r="WH262"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62" s="849" t="str">
        <f t="shared" si="421"/>
        <v>Návrh dotace je výsledkem projednání s ostatními zadavateli v rámci sítě služeb KHK</v>
      </c>
      <c r="WJ262" s="849" t="str">
        <f t="shared" si="421"/>
        <v>Bez komentáře</v>
      </c>
      <c r="WK262" s="31">
        <f t="shared" si="408"/>
        <v>0</v>
      </c>
      <c r="WL262" s="850">
        <f t="shared" si="409"/>
        <v>0</v>
      </c>
      <c r="WM262" s="849" t="str">
        <f t="shared" si="410"/>
        <v>V rámci sítě KHK se dlouhodobě řeší otázka navyšování úhrad a průběžně se monitoruje s vazbou na vykrytí vyrovnávací platby</v>
      </c>
      <c r="WN262" s="849">
        <f t="shared" si="411"/>
        <v>0</v>
      </c>
      <c r="WO262" s="849" t="str">
        <f t="shared" si="422"/>
        <v>bez komentáře</v>
      </c>
      <c r="WP262" s="849" t="str">
        <f t="shared" si="422"/>
        <v>bez komentáře</v>
      </c>
      <c r="WQ262" s="849" t="str">
        <f t="shared" si="422"/>
        <v>Konečná výše dotace z rozpočtu KHK bude řešena v návaznosti na řešení podílů jednotlivých zadavatelů.</v>
      </c>
      <c r="WR262" s="849" t="str">
        <f t="shared" si="422"/>
        <v>Konečná výše podpory ze stran obcí bude řešena v součinnosti s jednotlivými zadavateli v průběhu roku.</v>
      </c>
      <c r="WS262" s="849" t="str">
        <f t="shared" si="422"/>
        <v>bez komentáře</v>
      </c>
      <c r="WT262" s="849" t="str">
        <f t="shared" si="422"/>
        <v>bez komentáře</v>
      </c>
      <c r="WU262" s="845"/>
    </row>
    <row r="263" spans="1:619" s="128" customFormat="1" x14ac:dyDescent="0.25">
      <c r="A263" s="128" t="str">
        <f>VLOOKUP(F263,'Výpočet VP 2020'!$D$324:$I$588,6,FALSE)</f>
        <v>Je v síti</v>
      </c>
      <c r="B263" s="128" t="s">
        <v>1010</v>
      </c>
      <c r="C263" s="128">
        <v>48162485</v>
      </c>
      <c r="D263" s="128" t="s">
        <v>1011</v>
      </c>
      <c r="E263" s="128" t="s">
        <v>696</v>
      </c>
      <c r="F263" s="128">
        <v>4497017</v>
      </c>
      <c r="G263" s="128" t="s">
        <v>267</v>
      </c>
      <c r="H263" s="128" t="s">
        <v>218</v>
      </c>
      <c r="I263" s="128" t="s">
        <v>1014</v>
      </c>
      <c r="J263" s="129">
        <v>39083</v>
      </c>
      <c r="L263" s="128" t="s">
        <v>220</v>
      </c>
      <c r="M263" s="128" t="s">
        <v>487</v>
      </c>
      <c r="N263" s="128">
        <v>8</v>
      </c>
      <c r="P263" s="128">
        <v>8</v>
      </c>
      <c r="Q263" s="128">
        <v>7</v>
      </c>
      <c r="R263" s="128">
        <v>8</v>
      </c>
      <c r="BL263" s="128" t="s">
        <v>1015</v>
      </c>
      <c r="BM263" s="128" t="s">
        <v>223</v>
      </c>
      <c r="BN263" s="128" t="s">
        <v>364</v>
      </c>
      <c r="DA263" s="128">
        <v>0</v>
      </c>
      <c r="DB263" s="128">
        <v>0</v>
      </c>
      <c r="DC263" s="128">
        <v>0</v>
      </c>
      <c r="DD263" s="128">
        <v>0</v>
      </c>
      <c r="DE263" s="128">
        <v>0</v>
      </c>
      <c r="DF263" s="128">
        <v>0</v>
      </c>
      <c r="DG263" s="128">
        <v>3</v>
      </c>
      <c r="DH263" s="128">
        <v>3</v>
      </c>
      <c r="DI263" s="128">
        <v>0</v>
      </c>
      <c r="DJ263" s="128">
        <v>1</v>
      </c>
      <c r="DK263" s="128">
        <v>0</v>
      </c>
      <c r="DL263" s="128">
        <v>3</v>
      </c>
      <c r="DM263" s="128">
        <v>3</v>
      </c>
      <c r="DN263" s="128">
        <v>0</v>
      </c>
      <c r="DO263" s="128">
        <v>1</v>
      </c>
      <c r="DP263" s="128">
        <v>0</v>
      </c>
      <c r="DQ263" s="128">
        <v>7</v>
      </c>
      <c r="DR263" s="128">
        <v>7</v>
      </c>
      <c r="DS263" s="128">
        <v>0</v>
      </c>
      <c r="DT263" s="128">
        <v>0</v>
      </c>
      <c r="DU263" s="128">
        <v>0</v>
      </c>
      <c r="DV263" s="128">
        <v>0</v>
      </c>
      <c r="DW263" s="128">
        <v>0</v>
      </c>
      <c r="DX263" s="128">
        <v>2</v>
      </c>
      <c r="DY263" s="128">
        <v>3</v>
      </c>
      <c r="DZ263" s="128">
        <v>3</v>
      </c>
      <c r="EA263" s="128">
        <v>0</v>
      </c>
      <c r="EB263" s="128">
        <v>0</v>
      </c>
      <c r="EC263" s="128">
        <v>2</v>
      </c>
      <c r="ED263" s="128">
        <v>3</v>
      </c>
      <c r="EE263" s="128">
        <v>3</v>
      </c>
      <c r="EF263" s="128">
        <v>0</v>
      </c>
      <c r="EG263" s="128">
        <v>0</v>
      </c>
      <c r="EH263" s="128">
        <v>0</v>
      </c>
      <c r="EI263" s="128">
        <v>8</v>
      </c>
      <c r="EJ263" s="128">
        <v>8</v>
      </c>
      <c r="EK263" s="128">
        <v>2</v>
      </c>
      <c r="EL263" s="128">
        <v>0.5</v>
      </c>
      <c r="EM263" s="128">
        <v>0.55000000000000004</v>
      </c>
      <c r="EN263" s="128">
        <v>347060</v>
      </c>
      <c r="EO263" s="128">
        <v>277648</v>
      </c>
      <c r="EP263" s="128">
        <v>8</v>
      </c>
      <c r="EQ263" s="128">
        <v>5</v>
      </c>
      <c r="ER263" s="128">
        <v>4.72</v>
      </c>
      <c r="ES263" s="128">
        <v>2720200</v>
      </c>
      <c r="ET263" s="128">
        <v>2645232</v>
      </c>
      <c r="FO263" s="128">
        <v>7</v>
      </c>
      <c r="FP263" s="128">
        <v>2.0299999999999998</v>
      </c>
      <c r="FQ263" s="128">
        <v>1.08</v>
      </c>
      <c r="FR263" s="128">
        <v>1352240</v>
      </c>
      <c r="FS263" s="128">
        <v>530120</v>
      </c>
      <c r="IN263" s="128">
        <v>3</v>
      </c>
      <c r="IO263" s="128">
        <v>850</v>
      </c>
      <c r="IP263" s="128">
        <v>0.40600000000000003</v>
      </c>
      <c r="IQ263" s="128">
        <v>119000</v>
      </c>
      <c r="IR263" s="128">
        <v>77000</v>
      </c>
      <c r="IS263" s="128">
        <v>5</v>
      </c>
      <c r="IT263" s="128">
        <v>640</v>
      </c>
      <c r="IU263" s="128">
        <v>0.30499999999999999</v>
      </c>
      <c r="IV263" s="128">
        <v>71000</v>
      </c>
      <c r="IW263" s="128">
        <v>45000</v>
      </c>
      <c r="KG263" s="128">
        <v>2</v>
      </c>
      <c r="KH263" s="128">
        <v>150</v>
      </c>
      <c r="KI263" s="128">
        <v>5.5</v>
      </c>
      <c r="KJ263" s="128">
        <v>0</v>
      </c>
      <c r="KK263" s="128">
        <v>0.40600000000000003</v>
      </c>
      <c r="KL263" s="128">
        <v>0</v>
      </c>
      <c r="KM263" s="128">
        <v>5.9059999999999997</v>
      </c>
      <c r="KN263" s="128">
        <v>4419500</v>
      </c>
      <c r="KO263" s="128">
        <v>3453000</v>
      </c>
      <c r="KP263" s="128">
        <v>3453000</v>
      </c>
      <c r="KT263" s="128">
        <v>0</v>
      </c>
      <c r="KU263" s="128">
        <v>0</v>
      </c>
      <c r="KV263" s="128">
        <v>0</v>
      </c>
      <c r="KZ263" s="128">
        <v>190000</v>
      </c>
      <c r="LA263" s="128">
        <v>122000</v>
      </c>
      <c r="LB263" s="128">
        <v>122000</v>
      </c>
      <c r="LF263" s="128">
        <v>0</v>
      </c>
      <c r="LG263" s="128">
        <v>0</v>
      </c>
      <c r="LH263" s="128">
        <v>0</v>
      </c>
      <c r="LL263" s="128">
        <v>0</v>
      </c>
      <c r="LM263" s="128">
        <v>0</v>
      </c>
      <c r="LN263" s="128">
        <v>0</v>
      </c>
      <c r="LR263" s="128">
        <v>150000</v>
      </c>
      <c r="LS263" s="128">
        <v>85000</v>
      </c>
      <c r="LT263" s="128">
        <v>85000</v>
      </c>
      <c r="LX263" s="128">
        <v>100000</v>
      </c>
      <c r="LY263" s="128">
        <v>0</v>
      </c>
      <c r="LZ263" s="128">
        <v>0</v>
      </c>
      <c r="MD263" s="128">
        <v>40000</v>
      </c>
      <c r="ME263" s="128">
        <v>26000</v>
      </c>
      <c r="MF263" s="128">
        <v>26000</v>
      </c>
      <c r="MJ263" s="128">
        <v>10000</v>
      </c>
      <c r="MK263" s="128">
        <v>0</v>
      </c>
      <c r="ML263" s="128">
        <v>0</v>
      </c>
      <c r="MP263" s="128">
        <v>130000</v>
      </c>
      <c r="MQ263" s="128">
        <v>100000</v>
      </c>
      <c r="MR263" s="128">
        <v>100000</v>
      </c>
      <c r="MV263" s="128">
        <v>120000</v>
      </c>
      <c r="MW263" s="128">
        <v>90000</v>
      </c>
      <c r="MX263" s="128">
        <v>90000</v>
      </c>
      <c r="NB263" s="128">
        <v>25000</v>
      </c>
      <c r="NC263" s="128">
        <v>12000</v>
      </c>
      <c r="ND263" s="128">
        <v>12000</v>
      </c>
      <c r="NH263" s="128">
        <v>110000</v>
      </c>
      <c r="NI263" s="128">
        <v>90000</v>
      </c>
      <c r="NJ263" s="128">
        <v>90000</v>
      </c>
      <c r="NN263" s="128">
        <v>160000</v>
      </c>
      <c r="NO263" s="128">
        <v>110000</v>
      </c>
      <c r="NP263" s="128">
        <v>110000</v>
      </c>
      <c r="NT263" s="128">
        <v>22000</v>
      </c>
      <c r="NU263" s="128">
        <v>15000</v>
      </c>
      <c r="NV263" s="128">
        <v>15000</v>
      </c>
      <c r="NZ263" s="128">
        <v>170000</v>
      </c>
      <c r="OA263" s="128">
        <v>60000</v>
      </c>
      <c r="OB263" s="128">
        <v>60000</v>
      </c>
      <c r="OF263" s="128">
        <v>8000</v>
      </c>
      <c r="OG263" s="128">
        <v>4000</v>
      </c>
      <c r="OH263" s="128">
        <v>4000</v>
      </c>
      <c r="OL263" s="128">
        <v>0</v>
      </c>
      <c r="OM263" s="128">
        <v>0</v>
      </c>
      <c r="ON263" s="128">
        <v>0</v>
      </c>
      <c r="OR263" s="128">
        <v>0</v>
      </c>
      <c r="OS263" s="128">
        <v>0</v>
      </c>
      <c r="OT263" s="128">
        <v>0</v>
      </c>
      <c r="OX263" s="128">
        <v>115000</v>
      </c>
      <c r="OY263" s="128">
        <v>49000</v>
      </c>
      <c r="OZ263" s="128">
        <v>49000</v>
      </c>
      <c r="PD263" s="128">
        <v>0</v>
      </c>
      <c r="PE263" s="128">
        <v>0</v>
      </c>
      <c r="PF263" s="128">
        <v>0</v>
      </c>
      <c r="PJ263" s="128">
        <v>60000</v>
      </c>
      <c r="PK263" s="128">
        <v>40000</v>
      </c>
      <c r="PL263" s="128">
        <v>40000</v>
      </c>
      <c r="PP263" s="128">
        <v>5829500</v>
      </c>
      <c r="PQ263" s="128">
        <v>4256000</v>
      </c>
      <c r="PR263" s="128">
        <v>4256000</v>
      </c>
      <c r="PS263" s="128">
        <v>100</v>
      </c>
      <c r="PT263" s="128">
        <v>100</v>
      </c>
      <c r="PX263" s="128">
        <v>2217460</v>
      </c>
      <c r="PY263" s="128">
        <v>2448460</v>
      </c>
      <c r="PZ263" s="128">
        <v>4256000</v>
      </c>
      <c r="QA263" s="128">
        <v>0</v>
      </c>
      <c r="QB263" s="128">
        <v>0</v>
      </c>
      <c r="QC263" s="128">
        <v>0</v>
      </c>
      <c r="QD263" s="128">
        <v>0</v>
      </c>
      <c r="QE263" s="128">
        <v>0</v>
      </c>
      <c r="QF263" s="128">
        <v>0</v>
      </c>
      <c r="QG263" s="128">
        <v>0</v>
      </c>
      <c r="QH263" s="128">
        <v>0</v>
      </c>
      <c r="QI263" s="128">
        <v>0</v>
      </c>
      <c r="QJ263" s="128">
        <v>579859</v>
      </c>
      <c r="QK263" s="128">
        <v>540000</v>
      </c>
      <c r="QL263" s="128">
        <v>560000</v>
      </c>
      <c r="QN263" s="128">
        <v>0</v>
      </c>
      <c r="QO263" s="128">
        <v>0</v>
      </c>
      <c r="QP263" s="128">
        <v>0</v>
      </c>
      <c r="QU263" s="128">
        <v>0</v>
      </c>
      <c r="QV263" s="128">
        <v>210000</v>
      </c>
      <c r="QW263" s="128">
        <v>100000</v>
      </c>
      <c r="QX263" s="128">
        <v>581000</v>
      </c>
      <c r="QY263" s="128">
        <v>460000</v>
      </c>
      <c r="QZ263" s="128">
        <v>913500</v>
      </c>
      <c r="RH263" s="128">
        <f t="shared" si="412"/>
        <v>5269500</v>
      </c>
      <c r="RI263" s="128">
        <v>0</v>
      </c>
      <c r="RM263" s="128" t="s">
        <v>220</v>
      </c>
      <c r="RU263" s="130"/>
      <c r="RV263" s="130"/>
      <c r="RW263" s="130"/>
      <c r="RX263" s="130"/>
      <c r="SF263" s="128">
        <f>F263</f>
        <v>4497017</v>
      </c>
      <c r="SG263" s="131">
        <f t="shared" si="323"/>
        <v>5829500</v>
      </c>
      <c r="SH263" s="131">
        <f t="shared" si="324"/>
        <v>5829500</v>
      </c>
      <c r="SI263" s="131">
        <f t="shared" si="325"/>
        <v>4609500</v>
      </c>
      <c r="SJ263" s="132">
        <f t="shared" si="326"/>
        <v>4419500</v>
      </c>
      <c r="SK263" s="132">
        <f t="shared" si="327"/>
        <v>0</v>
      </c>
      <c r="SL263" s="132">
        <f t="shared" si="328"/>
        <v>190000</v>
      </c>
      <c r="SM263" s="132">
        <f t="shared" si="329"/>
        <v>0</v>
      </c>
      <c r="SN263" s="131">
        <f t="shared" si="330"/>
        <v>1220000</v>
      </c>
      <c r="SO263" s="131">
        <f t="shared" si="331"/>
        <v>150000</v>
      </c>
      <c r="SP263" s="132">
        <f t="shared" si="332"/>
        <v>0</v>
      </c>
      <c r="SQ263" s="132">
        <f t="shared" si="333"/>
        <v>150000</v>
      </c>
      <c r="SR263" s="132">
        <f t="shared" si="334"/>
        <v>100000</v>
      </c>
      <c r="SS263" s="132">
        <f t="shared" si="335"/>
        <v>40000</v>
      </c>
      <c r="ST263" s="132">
        <f t="shared" si="336"/>
        <v>10000</v>
      </c>
      <c r="SU263" s="132">
        <f t="shared" si="337"/>
        <v>130000</v>
      </c>
      <c r="SV263" s="131">
        <f t="shared" si="338"/>
        <v>730000</v>
      </c>
      <c r="SW263" s="132">
        <f t="shared" si="339"/>
        <v>120000</v>
      </c>
      <c r="SX263" s="132">
        <f t="shared" si="340"/>
        <v>25000</v>
      </c>
      <c r="SY263" s="132">
        <f t="shared" si="341"/>
        <v>110000</v>
      </c>
      <c r="SZ263" s="132">
        <f t="shared" si="342"/>
        <v>160000</v>
      </c>
      <c r="TA263" s="132">
        <f t="shared" si="343"/>
        <v>22000</v>
      </c>
      <c r="TB263" s="132">
        <f t="shared" si="344"/>
        <v>170000</v>
      </c>
      <c r="TC263" s="132">
        <f t="shared" si="345"/>
        <v>8000</v>
      </c>
      <c r="TD263" s="132">
        <f t="shared" si="346"/>
        <v>0</v>
      </c>
      <c r="TE263" s="132">
        <f t="shared" si="347"/>
        <v>0</v>
      </c>
      <c r="TF263" s="132">
        <f t="shared" si="348"/>
        <v>115000</v>
      </c>
      <c r="TG263" s="132">
        <f t="shared" si="349"/>
        <v>0</v>
      </c>
      <c r="TH263" s="132">
        <f t="shared" si="350"/>
        <v>60000</v>
      </c>
      <c r="TI263" s="1"/>
      <c r="TJ263" s="131">
        <f t="shared" si="351"/>
        <v>4256000</v>
      </c>
      <c r="TK263" s="131">
        <f t="shared" si="352"/>
        <v>4256000</v>
      </c>
      <c r="TL263" s="131">
        <f t="shared" si="353"/>
        <v>3575000</v>
      </c>
      <c r="TM263" s="132">
        <f t="shared" si="354"/>
        <v>3453000</v>
      </c>
      <c r="TN263" s="132">
        <f t="shared" si="355"/>
        <v>0</v>
      </c>
      <c r="TO263" s="132">
        <f t="shared" si="356"/>
        <v>122000</v>
      </c>
      <c r="TP263" s="132">
        <f t="shared" si="357"/>
        <v>0</v>
      </c>
      <c r="TQ263" s="131">
        <f t="shared" si="358"/>
        <v>681000</v>
      </c>
      <c r="TR263" s="131">
        <f t="shared" si="359"/>
        <v>85000</v>
      </c>
      <c r="TS263" s="132">
        <f t="shared" si="360"/>
        <v>0</v>
      </c>
      <c r="TT263" s="132">
        <f t="shared" si="361"/>
        <v>85000</v>
      </c>
      <c r="TU263" s="132">
        <f t="shared" si="362"/>
        <v>0</v>
      </c>
      <c r="TV263" s="132">
        <f t="shared" si="363"/>
        <v>26000</v>
      </c>
      <c r="TW263" s="132">
        <f t="shared" si="364"/>
        <v>0</v>
      </c>
      <c r="TX263" s="132">
        <f t="shared" si="365"/>
        <v>100000</v>
      </c>
      <c r="TY263" s="131">
        <f t="shared" si="366"/>
        <v>430000</v>
      </c>
      <c r="TZ263" s="132">
        <f t="shared" si="367"/>
        <v>90000</v>
      </c>
      <c r="UA263" s="132">
        <f t="shared" si="368"/>
        <v>12000</v>
      </c>
      <c r="UB263" s="132">
        <f t="shared" si="369"/>
        <v>90000</v>
      </c>
      <c r="UC263" s="132">
        <f t="shared" si="370"/>
        <v>110000</v>
      </c>
      <c r="UD263" s="132">
        <f t="shared" si="371"/>
        <v>15000</v>
      </c>
      <c r="UE263" s="132">
        <f t="shared" si="372"/>
        <v>60000</v>
      </c>
      <c r="UF263" s="132">
        <f t="shared" si="373"/>
        <v>4000</v>
      </c>
      <c r="UG263" s="132">
        <f t="shared" si="374"/>
        <v>0</v>
      </c>
      <c r="UH263" s="132">
        <f t="shared" si="375"/>
        <v>0</v>
      </c>
      <c r="UI263" s="132">
        <f t="shared" si="376"/>
        <v>49000</v>
      </c>
      <c r="UJ263" s="132">
        <f t="shared" si="377"/>
        <v>0</v>
      </c>
      <c r="UK263" s="132">
        <f t="shared" si="378"/>
        <v>40000</v>
      </c>
      <c r="UL263" s="132">
        <f t="shared" si="413"/>
        <v>4256000</v>
      </c>
      <c r="UM263" s="131">
        <f t="shared" si="379"/>
        <v>4256000</v>
      </c>
      <c r="UN263" s="131">
        <f t="shared" si="380"/>
        <v>4256000</v>
      </c>
      <c r="UO263" s="131">
        <f t="shared" si="381"/>
        <v>3575000</v>
      </c>
      <c r="UP263" s="132">
        <f t="shared" si="382"/>
        <v>3453000</v>
      </c>
      <c r="UQ263" s="132">
        <f t="shared" si="383"/>
        <v>0</v>
      </c>
      <c r="UR263" s="132">
        <f t="shared" si="384"/>
        <v>122000</v>
      </c>
      <c r="US263" s="132">
        <f t="shared" si="385"/>
        <v>0</v>
      </c>
      <c r="UT263" s="131">
        <f t="shared" si="386"/>
        <v>681000</v>
      </c>
      <c r="UU263" s="131">
        <f t="shared" si="387"/>
        <v>85000</v>
      </c>
      <c r="UV263" s="132">
        <f t="shared" si="388"/>
        <v>0</v>
      </c>
      <c r="UW263" s="132">
        <f t="shared" si="389"/>
        <v>85000</v>
      </c>
      <c r="UX263" s="132">
        <f t="shared" si="390"/>
        <v>0</v>
      </c>
      <c r="UY263" s="132">
        <f t="shared" si="391"/>
        <v>26000</v>
      </c>
      <c r="UZ263" s="132">
        <f t="shared" si="392"/>
        <v>0</v>
      </c>
      <c r="VA263" s="132">
        <f t="shared" si="393"/>
        <v>100000</v>
      </c>
      <c r="VB263" s="131">
        <f t="shared" si="394"/>
        <v>430000</v>
      </c>
      <c r="VC263" s="132">
        <f t="shared" si="395"/>
        <v>90000</v>
      </c>
      <c r="VD263" s="132">
        <f t="shared" si="396"/>
        <v>12000</v>
      </c>
      <c r="VE263" s="132">
        <f t="shared" si="397"/>
        <v>90000</v>
      </c>
      <c r="VF263" s="132">
        <f t="shared" si="398"/>
        <v>110000</v>
      </c>
      <c r="VG263" s="132">
        <f t="shared" si="399"/>
        <v>15000</v>
      </c>
      <c r="VH263" s="132">
        <f t="shared" si="400"/>
        <v>60000</v>
      </c>
      <c r="VI263" s="132">
        <f t="shared" si="401"/>
        <v>4000</v>
      </c>
      <c r="VJ263" s="132">
        <f t="shared" si="402"/>
        <v>0</v>
      </c>
      <c r="VK263" s="132">
        <f t="shared" si="403"/>
        <v>0</v>
      </c>
      <c r="VL263" s="132">
        <f t="shared" si="404"/>
        <v>49000</v>
      </c>
      <c r="VM263" s="132">
        <f t="shared" si="405"/>
        <v>0</v>
      </c>
      <c r="VN263" s="132">
        <f t="shared" si="406"/>
        <v>40000</v>
      </c>
      <c r="VP263" s="845" t="str">
        <f>IFERROR(HLOOKUP(F263,'Hodnocení '!$C$1:$JH$5,2,FALSE),0)</f>
        <v>Věra Kosinová - Daneta, zařízení pro zdravotně postižené</v>
      </c>
      <c r="VQ263" s="838"/>
      <c r="VR263" s="845" t="str">
        <f t="shared" si="414"/>
        <v>Fyzická osoba podnikající dle živnostenského zákona nezapsaná v obchodním rejstříku</v>
      </c>
      <c r="VS263" s="845" t="str">
        <f>IFERROR(HLOOKUP(F263,'Hodnocení '!$C$1:$JH$5,5,FALSE),0)</f>
        <v>NZO</v>
      </c>
      <c r="VT263" s="838">
        <f t="shared" si="415"/>
        <v>0</v>
      </c>
      <c r="VU263" s="838">
        <f t="shared" si="416"/>
        <v>0</v>
      </c>
      <c r="VV263" s="838">
        <f t="shared" si="417"/>
        <v>560000</v>
      </c>
      <c r="VW263" s="838">
        <f t="shared" si="418"/>
        <v>0</v>
      </c>
      <c r="VX263" s="838"/>
      <c r="VY263" s="838">
        <f t="shared" si="419"/>
        <v>0</v>
      </c>
      <c r="VZ263" s="838">
        <f t="shared" si="420"/>
        <v>4256000</v>
      </c>
      <c r="WA263" s="846">
        <f>IFERROR(HLOOKUP($F263,'Hodnocení '!$C$1:$JH$9,9,FALSE),0)</f>
        <v>4256000</v>
      </c>
      <c r="WB263" s="846">
        <f>IF(IFERROR(HLOOKUP($F263,'Hodnocení '!$C$1:$JH$13,13,FALSE),0)&gt;WA263,WA263,IFERROR(HLOOKUP($F263,'Hodnocení '!$C$1:$JH$13,13,FALSE),0))</f>
        <v>3398690.3194428757</v>
      </c>
      <c r="WC263" s="846">
        <f>IFERROR(HLOOKUP($F263,'Hodnocení '!$C$1:$JH$155,155,FALSE),0)</f>
        <v>2765690</v>
      </c>
      <c r="WD263" s="845"/>
      <c r="WE263" s="845"/>
      <c r="WF263" s="845" t="str">
        <f t="shared" si="407"/>
        <v>ANO</v>
      </c>
      <c r="WG263" s="849" t="str">
        <f t="shared" si="421"/>
        <v>Podpora služby je vyjádřena zařazením do sítě sociálních služeb v KHK a řešením financování služby</v>
      </c>
      <c r="WH263"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63" s="849" t="str">
        <f t="shared" si="421"/>
        <v>Návrh dotace je výsledkem projednání s ostatními zadavateli v rámci sítě služeb KHK</v>
      </c>
      <c r="WJ263" s="849" t="str">
        <f t="shared" si="421"/>
        <v>Bez komentáře</v>
      </c>
      <c r="WK263" s="31">
        <f t="shared" si="408"/>
        <v>0</v>
      </c>
      <c r="WL263" s="850">
        <f t="shared" si="409"/>
        <v>0</v>
      </c>
      <c r="WM263" s="849" t="str">
        <f t="shared" si="410"/>
        <v>V rámci sítě KHK se dlouhodobě řeší otázka navyšování úhrad a průběžně se monitoruje s vazbou na vykrytí vyrovnávací platby</v>
      </c>
      <c r="WN263" s="849">
        <f t="shared" si="411"/>
        <v>0</v>
      </c>
      <c r="WO263" s="849" t="str">
        <f t="shared" si="422"/>
        <v>bez komentáře</v>
      </c>
      <c r="WP263" s="849" t="str">
        <f t="shared" si="422"/>
        <v>bez komentáře</v>
      </c>
      <c r="WQ263" s="849" t="str">
        <f t="shared" si="422"/>
        <v>Konečná výše dotace z rozpočtu KHK bude řešena v návaznosti na řešení podílů jednotlivých zadavatelů.</v>
      </c>
      <c r="WR263" s="849" t="str">
        <f t="shared" si="422"/>
        <v>Konečná výše podpory ze stran obcí bude řešena v součinnosti s jednotlivými zadavateli v průběhu roku.</v>
      </c>
      <c r="WS263" s="849" t="str">
        <f t="shared" si="422"/>
        <v>bez komentáře</v>
      </c>
      <c r="WT263" s="849" t="str">
        <f t="shared" si="422"/>
        <v>bez komentáře</v>
      </c>
      <c r="WU263" s="845"/>
    </row>
    <row r="264" spans="1:619" s="128" customFormat="1" x14ac:dyDescent="0.25">
      <c r="A264" s="128" t="str">
        <f>VLOOKUP(F264,'Výpočet VP 2020'!$D$324:$I$588,6,FALSE)</f>
        <v>Je v síti</v>
      </c>
      <c r="B264" s="128" t="s">
        <v>1010</v>
      </c>
      <c r="C264" s="128">
        <v>48162485</v>
      </c>
      <c r="D264" s="128" t="s">
        <v>1011</v>
      </c>
      <c r="E264" s="128" t="s">
        <v>696</v>
      </c>
      <c r="F264" s="128">
        <v>9268423</v>
      </c>
      <c r="G264" s="128" t="s">
        <v>217</v>
      </c>
      <c r="H264" s="128" t="s">
        <v>218</v>
      </c>
      <c r="I264" s="128" t="s">
        <v>1016</v>
      </c>
      <c r="J264" s="128">
        <v>39083</v>
      </c>
      <c r="L264" s="128" t="s">
        <v>220</v>
      </c>
      <c r="X264" s="128" t="s">
        <v>1017</v>
      </c>
      <c r="Z264" s="128">
        <v>41</v>
      </c>
      <c r="AA264" s="128">
        <v>41</v>
      </c>
      <c r="AB264" s="128">
        <v>50</v>
      </c>
      <c r="AC264" s="128">
        <v>50</v>
      </c>
      <c r="AD264" s="128">
        <v>53</v>
      </c>
      <c r="AN264" s="128">
        <v>20000</v>
      </c>
      <c r="BL264" s="128" t="s">
        <v>926</v>
      </c>
      <c r="BM264" s="128" t="s">
        <v>223</v>
      </c>
      <c r="BN264" s="128" t="s">
        <v>341</v>
      </c>
      <c r="BO264" s="128">
        <v>0</v>
      </c>
      <c r="BP264" s="128">
        <v>0</v>
      </c>
      <c r="BQ264" s="128">
        <v>0</v>
      </c>
      <c r="BR264" s="128">
        <v>0</v>
      </c>
      <c r="BS264" s="128">
        <v>0</v>
      </c>
      <c r="BT264" s="128">
        <v>5</v>
      </c>
      <c r="BU264" s="128">
        <v>10</v>
      </c>
      <c r="BV264" s="128">
        <v>15</v>
      </c>
      <c r="BW264" s="128">
        <v>18</v>
      </c>
      <c r="BX264" s="128">
        <v>2</v>
      </c>
      <c r="BY264" s="128">
        <v>5</v>
      </c>
      <c r="BZ264" s="128">
        <v>10</v>
      </c>
      <c r="CA264" s="128">
        <v>15</v>
      </c>
      <c r="CB264" s="128">
        <v>18</v>
      </c>
      <c r="CC264" s="128">
        <v>2</v>
      </c>
      <c r="CD264" s="128">
        <v>0</v>
      </c>
      <c r="CE264" s="128">
        <v>50</v>
      </c>
      <c r="CF264" s="128">
        <v>50</v>
      </c>
      <c r="CH264" s="128">
        <v>0</v>
      </c>
      <c r="CI264" s="128">
        <v>0</v>
      </c>
      <c r="CJ264" s="128">
        <v>0</v>
      </c>
      <c r="CK264" s="128">
        <v>0</v>
      </c>
      <c r="CL264" s="128">
        <v>0</v>
      </c>
      <c r="CM264" s="128">
        <v>5</v>
      </c>
      <c r="CN264" s="128">
        <v>10</v>
      </c>
      <c r="CO264" s="128">
        <v>15</v>
      </c>
      <c r="CP264" s="128">
        <v>21</v>
      </c>
      <c r="CQ264" s="128">
        <v>2</v>
      </c>
      <c r="CR264" s="128">
        <v>5</v>
      </c>
      <c r="CS264" s="128">
        <v>10</v>
      </c>
      <c r="CT264" s="128">
        <v>15</v>
      </c>
      <c r="CU264" s="128">
        <v>21</v>
      </c>
      <c r="CV264" s="128">
        <v>2</v>
      </c>
      <c r="CW264" s="128">
        <v>0</v>
      </c>
      <c r="CX264" s="128">
        <v>53</v>
      </c>
      <c r="CY264" s="128">
        <v>53</v>
      </c>
      <c r="EK264" s="128">
        <v>3</v>
      </c>
      <c r="EL264" s="128">
        <v>0.7</v>
      </c>
      <c r="EM264" s="128">
        <v>0.91700000000000004</v>
      </c>
      <c r="EN264" s="128">
        <v>485884</v>
      </c>
      <c r="EO264" s="128">
        <v>347060</v>
      </c>
      <c r="EP264" s="128">
        <v>18</v>
      </c>
      <c r="EQ264" s="128">
        <v>12.43</v>
      </c>
      <c r="ER264" s="128">
        <v>11.81</v>
      </c>
      <c r="ES264" s="128">
        <v>6296000</v>
      </c>
      <c r="ET264" s="128">
        <v>4777920</v>
      </c>
      <c r="FJ264" s="128">
        <v>6</v>
      </c>
      <c r="FK264" s="128">
        <v>4.2699999999999996</v>
      </c>
      <c r="FL264" s="128">
        <v>4.08</v>
      </c>
      <c r="FM264" s="128">
        <v>2763504</v>
      </c>
      <c r="FN264" s="128">
        <v>1598793</v>
      </c>
      <c r="FO264" s="128">
        <v>9</v>
      </c>
      <c r="FP264" s="128">
        <v>4.7300000000000004</v>
      </c>
      <c r="FQ264" s="128">
        <v>3.16</v>
      </c>
      <c r="FR264" s="128">
        <v>2853212</v>
      </c>
      <c r="FS264" s="128">
        <v>1553847</v>
      </c>
      <c r="IN264" s="128">
        <v>4</v>
      </c>
      <c r="IO264" s="128">
        <v>1050</v>
      </c>
      <c r="IP264" s="128">
        <v>0.501</v>
      </c>
      <c r="IQ264" s="128">
        <v>138000</v>
      </c>
      <c r="IR264" s="128">
        <v>64480</v>
      </c>
      <c r="IS264" s="128">
        <v>3</v>
      </c>
      <c r="IT264" s="128">
        <v>300</v>
      </c>
      <c r="IU264" s="128">
        <v>0.14299999999999999</v>
      </c>
      <c r="IV264" s="128">
        <v>40000</v>
      </c>
      <c r="IW264" s="128">
        <v>26000</v>
      </c>
      <c r="JW264" s="128">
        <v>1</v>
      </c>
      <c r="JX264" s="128">
        <v>0.11</v>
      </c>
      <c r="JY264" s="128">
        <v>0.92</v>
      </c>
      <c r="JZ264" s="128">
        <v>150000</v>
      </c>
      <c r="KA264" s="128">
        <v>83500</v>
      </c>
      <c r="KG264" s="128">
        <v>2</v>
      </c>
      <c r="KH264" s="128">
        <v>150</v>
      </c>
      <c r="KI264" s="128">
        <v>17.399999999999999</v>
      </c>
      <c r="KJ264" s="128">
        <v>0</v>
      </c>
      <c r="KK264" s="128">
        <v>0.501</v>
      </c>
      <c r="KL264" s="128">
        <v>0.11</v>
      </c>
      <c r="KM264" s="128">
        <v>18.010999999999999</v>
      </c>
      <c r="KN264" s="128">
        <v>12398600</v>
      </c>
      <c r="KO264" s="128">
        <v>8277620</v>
      </c>
      <c r="KP264" s="128">
        <v>8277620</v>
      </c>
      <c r="KT264" s="128">
        <v>0</v>
      </c>
      <c r="KU264" s="128">
        <v>0</v>
      </c>
      <c r="KV264" s="128">
        <v>0</v>
      </c>
      <c r="KZ264" s="128">
        <v>178000</v>
      </c>
      <c r="LA264" s="128">
        <v>90480</v>
      </c>
      <c r="LB264" s="128">
        <v>90480</v>
      </c>
      <c r="LF264" s="128">
        <v>0</v>
      </c>
      <c r="LG264" s="128">
        <v>0</v>
      </c>
      <c r="LH264" s="128">
        <v>0</v>
      </c>
      <c r="LL264" s="128">
        <v>0</v>
      </c>
      <c r="LM264" s="128">
        <v>0</v>
      </c>
      <c r="LN264" s="128">
        <v>0</v>
      </c>
      <c r="LR264" s="128">
        <v>490000</v>
      </c>
      <c r="LS264" s="128">
        <v>200000</v>
      </c>
      <c r="LT264" s="128">
        <v>200000</v>
      </c>
      <c r="LX264" s="128">
        <v>45000</v>
      </c>
      <c r="LY264" s="128">
        <v>15000</v>
      </c>
      <c r="LZ264" s="128">
        <v>15000</v>
      </c>
      <c r="MD264" s="128">
        <v>135000</v>
      </c>
      <c r="ME264" s="128">
        <v>65000</v>
      </c>
      <c r="MF264" s="128">
        <v>65000</v>
      </c>
      <c r="MJ264" s="128">
        <v>30000</v>
      </c>
      <c r="MK264" s="128">
        <v>5000</v>
      </c>
      <c r="ML264" s="128">
        <v>5000</v>
      </c>
      <c r="MP264" s="128">
        <v>1300000</v>
      </c>
      <c r="MQ264" s="128">
        <v>455000</v>
      </c>
      <c r="MR264" s="128">
        <v>455000</v>
      </c>
      <c r="MV264" s="128">
        <v>440000</v>
      </c>
      <c r="MW264" s="128">
        <v>280000</v>
      </c>
      <c r="MX264" s="128">
        <v>280000</v>
      </c>
      <c r="NB264" s="128">
        <v>170000</v>
      </c>
      <c r="NC264" s="128">
        <v>85000</v>
      </c>
      <c r="ND264" s="128">
        <v>85000</v>
      </c>
      <c r="NH264" s="128">
        <v>495000</v>
      </c>
      <c r="NI264" s="128">
        <v>300000</v>
      </c>
      <c r="NJ264" s="128">
        <v>300000</v>
      </c>
      <c r="NN264" s="128">
        <v>400000</v>
      </c>
      <c r="NO264" s="128">
        <v>280000</v>
      </c>
      <c r="NP264" s="128">
        <v>280000</v>
      </c>
      <c r="NT264" s="128">
        <v>100000</v>
      </c>
      <c r="NU264" s="128">
        <v>50000</v>
      </c>
      <c r="NV264" s="128">
        <v>50000</v>
      </c>
      <c r="NZ264" s="128">
        <v>220000</v>
      </c>
      <c r="OA264" s="128">
        <v>100000</v>
      </c>
      <c r="OB264" s="128">
        <v>100000</v>
      </c>
      <c r="OF264" s="128">
        <v>20000</v>
      </c>
      <c r="OG264" s="128">
        <v>10000</v>
      </c>
      <c r="OH264" s="128">
        <v>10000</v>
      </c>
      <c r="OL264" s="128">
        <v>150000</v>
      </c>
      <c r="OM264" s="128">
        <v>83500</v>
      </c>
      <c r="ON264" s="128">
        <v>83500</v>
      </c>
      <c r="OR264" s="128">
        <v>0</v>
      </c>
      <c r="OS264" s="128">
        <v>0</v>
      </c>
      <c r="OT264" s="128">
        <v>0</v>
      </c>
      <c r="OX264" s="128">
        <v>1060000</v>
      </c>
      <c r="OY264" s="128">
        <v>225000</v>
      </c>
      <c r="OZ264" s="128">
        <v>225000</v>
      </c>
      <c r="PD264" s="128">
        <v>0</v>
      </c>
      <c r="PE264" s="128">
        <v>0</v>
      </c>
      <c r="PF264" s="128">
        <v>0</v>
      </c>
      <c r="PJ264" s="128">
        <v>800000</v>
      </c>
      <c r="PK264" s="128">
        <v>400000</v>
      </c>
      <c r="PL264" s="128">
        <v>400000</v>
      </c>
      <c r="PP264" s="128">
        <v>18431600</v>
      </c>
      <c r="PQ264" s="128">
        <v>10921600</v>
      </c>
      <c r="PR264" s="128">
        <v>10921600</v>
      </c>
      <c r="PS264" s="128">
        <v>100</v>
      </c>
      <c r="PT264" s="128">
        <v>100</v>
      </c>
      <c r="PV264" s="128">
        <v>9072764</v>
      </c>
      <c r="PX264" s="128">
        <v>7613380</v>
      </c>
      <c r="PY264" s="128">
        <v>7973026</v>
      </c>
      <c r="PZ264" s="128">
        <v>10921600</v>
      </c>
      <c r="QA264" s="128">
        <v>0</v>
      </c>
      <c r="QB264" s="128">
        <v>0</v>
      </c>
      <c r="QC264" s="128">
        <v>0</v>
      </c>
      <c r="QD264" s="128">
        <v>0</v>
      </c>
      <c r="QE264" s="128">
        <v>0</v>
      </c>
      <c r="QF264" s="128">
        <v>0</v>
      </c>
      <c r="QG264" s="128">
        <v>0</v>
      </c>
      <c r="QH264" s="128">
        <v>0</v>
      </c>
      <c r="QI264" s="128">
        <v>0</v>
      </c>
      <c r="QJ264" s="128">
        <v>1887929</v>
      </c>
      <c r="QK264" s="128">
        <v>1760000</v>
      </c>
      <c r="QL264" s="128">
        <v>1800000</v>
      </c>
      <c r="QN264" s="128">
        <v>0</v>
      </c>
      <c r="QO264" s="128">
        <v>0</v>
      </c>
      <c r="QP264" s="128">
        <v>0</v>
      </c>
      <c r="QU264" s="128">
        <v>0</v>
      </c>
      <c r="QV264" s="128">
        <v>651000</v>
      </c>
      <c r="QW264" s="128">
        <v>195000</v>
      </c>
      <c r="QX264" s="128">
        <v>2899000</v>
      </c>
      <c r="QY264" s="128">
        <v>3015000</v>
      </c>
      <c r="QZ264" s="128">
        <v>5515000</v>
      </c>
      <c r="RH264" s="128">
        <f t="shared" si="412"/>
        <v>16631600</v>
      </c>
      <c r="RI264" s="128">
        <v>0</v>
      </c>
      <c r="RM264" s="128" t="s">
        <v>220</v>
      </c>
      <c r="SF264" s="128">
        <f t="shared" ref="SF264:SF271" si="423">F264</f>
        <v>9268423</v>
      </c>
      <c r="SG264" s="131">
        <f t="shared" ref="SG264:SG271" si="424">PP264</f>
        <v>18431600</v>
      </c>
      <c r="SH264" s="131">
        <f t="shared" ref="SH264:SH271" si="425">SI264+SN264</f>
        <v>18431600</v>
      </c>
      <c r="SI264" s="131">
        <f t="shared" ref="SI264:SI271" si="426">SJ264+SK264+SL264+SM264</f>
        <v>12576600</v>
      </c>
      <c r="SJ264" s="132">
        <f t="shared" ref="SJ264:SJ271" si="427">KN264</f>
        <v>12398600</v>
      </c>
      <c r="SK264" s="132">
        <f t="shared" ref="SK264:SK271" si="428">KT264</f>
        <v>0</v>
      </c>
      <c r="SL264" s="132">
        <f t="shared" ref="SL264:SL271" si="429">KZ264</f>
        <v>178000</v>
      </c>
      <c r="SM264" s="132">
        <f t="shared" ref="SM264:SM271" si="430">LF264</f>
        <v>0</v>
      </c>
      <c r="SN264" s="131">
        <f t="shared" ref="SN264:SN271" si="431">SO264+SR264+SS264+ST264+SU264+SV264+TG264+TH264</f>
        <v>5855000</v>
      </c>
      <c r="SO264" s="131">
        <f t="shared" ref="SO264:SO271" si="432">SP264+SQ264</f>
        <v>490000</v>
      </c>
      <c r="SP264" s="132">
        <f t="shared" ref="SP264:SP271" si="433">LL264</f>
        <v>0</v>
      </c>
      <c r="SQ264" s="132">
        <f t="shared" ref="SQ264:SQ271" si="434">LR264</f>
        <v>490000</v>
      </c>
      <c r="SR264" s="132">
        <f t="shared" ref="SR264:SR271" si="435">LX264</f>
        <v>45000</v>
      </c>
      <c r="SS264" s="132">
        <f t="shared" ref="SS264:SS271" si="436">MD264</f>
        <v>135000</v>
      </c>
      <c r="ST264" s="132">
        <f t="shared" ref="ST264:ST271" si="437">MJ264</f>
        <v>30000</v>
      </c>
      <c r="SU264" s="132">
        <f t="shared" ref="SU264:SU271" si="438">MP264</f>
        <v>1300000</v>
      </c>
      <c r="SV264" s="131">
        <f t="shared" ref="SV264:SV271" si="439">SUM(SW264:TF264)</f>
        <v>3055000</v>
      </c>
      <c r="SW264" s="132">
        <f t="shared" ref="SW264:SW271" si="440">MV264</f>
        <v>440000</v>
      </c>
      <c r="SX264" s="132">
        <f t="shared" ref="SX264:SX271" si="441">NB264</f>
        <v>170000</v>
      </c>
      <c r="SY264" s="132">
        <f t="shared" ref="SY264:SY271" si="442">NH264</f>
        <v>495000</v>
      </c>
      <c r="SZ264" s="132">
        <f t="shared" ref="SZ264:SZ271" si="443">NN264</f>
        <v>400000</v>
      </c>
      <c r="TA264" s="132">
        <f t="shared" ref="TA264:TA271" si="444">NT264</f>
        <v>100000</v>
      </c>
      <c r="TB264" s="132">
        <f t="shared" ref="TB264:TB271" si="445">NZ264</f>
        <v>220000</v>
      </c>
      <c r="TC264" s="132">
        <f t="shared" ref="TC264:TC271" si="446">OF264</f>
        <v>20000</v>
      </c>
      <c r="TD264" s="132">
        <f t="shared" ref="TD264:TD271" si="447">OL264</f>
        <v>150000</v>
      </c>
      <c r="TE264" s="132">
        <f t="shared" ref="TE264:TE271" si="448">OR264</f>
        <v>0</v>
      </c>
      <c r="TF264" s="132">
        <f t="shared" ref="TF264:TF271" si="449">OX264</f>
        <v>1060000</v>
      </c>
      <c r="TG264" s="132">
        <f t="shared" ref="TG264:TG271" si="450">PD264</f>
        <v>0</v>
      </c>
      <c r="TH264" s="132">
        <f t="shared" ref="TH264:TH271" si="451">PJ264</f>
        <v>800000</v>
      </c>
      <c r="TI264" s="1"/>
      <c r="TJ264" s="131">
        <f t="shared" ref="TJ264:TJ271" si="452">PQ264</f>
        <v>10921600</v>
      </c>
      <c r="TK264" s="131">
        <f t="shared" ref="TK264:TK271" si="453">TL264+TQ264</f>
        <v>10921600</v>
      </c>
      <c r="TL264" s="131">
        <f t="shared" ref="TL264:TL271" si="454">TM264+TN264+TO264+TP264</f>
        <v>8368100</v>
      </c>
      <c r="TM264" s="132">
        <f t="shared" ref="TM264:TM271" si="455">KO264</f>
        <v>8277620</v>
      </c>
      <c r="TN264" s="132">
        <f t="shared" ref="TN264:TN271" si="456">KU264</f>
        <v>0</v>
      </c>
      <c r="TO264" s="132">
        <f t="shared" ref="TO264:TO271" si="457">LA264</f>
        <v>90480</v>
      </c>
      <c r="TP264" s="132">
        <f t="shared" ref="TP264:TP271" si="458">LG264</f>
        <v>0</v>
      </c>
      <c r="TQ264" s="131">
        <f t="shared" ref="TQ264:TQ271" si="459">TR264+TU264+TV264+TW264+TX264+TY264+UJ264+UK264</f>
        <v>2553500</v>
      </c>
      <c r="TR264" s="131">
        <f t="shared" ref="TR264:TR271" si="460">TS264+TT264</f>
        <v>200000</v>
      </c>
      <c r="TS264" s="132">
        <f t="shared" ref="TS264:TS271" si="461">LM264</f>
        <v>0</v>
      </c>
      <c r="TT264" s="132">
        <f t="shared" ref="TT264:TT271" si="462">LS264</f>
        <v>200000</v>
      </c>
      <c r="TU264" s="132">
        <f t="shared" ref="TU264:TU271" si="463">LY264</f>
        <v>15000</v>
      </c>
      <c r="TV264" s="132">
        <f t="shared" ref="TV264:TV271" si="464">ME264</f>
        <v>65000</v>
      </c>
      <c r="TW264" s="132">
        <f t="shared" ref="TW264:TW271" si="465">MK264</f>
        <v>5000</v>
      </c>
      <c r="TX264" s="132">
        <f t="shared" ref="TX264:TX271" si="466">MQ264</f>
        <v>455000</v>
      </c>
      <c r="TY264" s="131">
        <f t="shared" ref="TY264:TY271" si="467">SUM(TZ264:UI264)</f>
        <v>1413500</v>
      </c>
      <c r="TZ264" s="132">
        <f t="shared" ref="TZ264:TZ271" si="468">MW264</f>
        <v>280000</v>
      </c>
      <c r="UA264" s="132">
        <f t="shared" ref="UA264:UA271" si="469">NC264</f>
        <v>85000</v>
      </c>
      <c r="UB264" s="132">
        <f t="shared" ref="UB264:UB271" si="470">NI264</f>
        <v>300000</v>
      </c>
      <c r="UC264" s="132">
        <f t="shared" ref="UC264:UC271" si="471">NO264</f>
        <v>280000</v>
      </c>
      <c r="UD264" s="132">
        <f t="shared" ref="UD264:UD271" si="472">NU264</f>
        <v>50000</v>
      </c>
      <c r="UE264" s="132">
        <f t="shared" ref="UE264:UE271" si="473">OA264</f>
        <v>100000</v>
      </c>
      <c r="UF264" s="132">
        <f t="shared" ref="UF264:UF271" si="474">OG264</f>
        <v>10000</v>
      </c>
      <c r="UG264" s="132">
        <f t="shared" ref="UG264:UG271" si="475">OM264</f>
        <v>83500</v>
      </c>
      <c r="UH264" s="132">
        <f t="shared" ref="UH264:UH271" si="476">OS264</f>
        <v>0</v>
      </c>
      <c r="UI264" s="132">
        <f t="shared" ref="UI264:UI271" si="477">OY264</f>
        <v>225000</v>
      </c>
      <c r="UJ264" s="132">
        <f t="shared" ref="UJ264:UJ271" si="478">PE264</f>
        <v>0</v>
      </c>
      <c r="UK264" s="132">
        <f t="shared" ref="UK264:UK271" si="479">PK264</f>
        <v>400000</v>
      </c>
      <c r="UL264" s="132">
        <f t="shared" ref="UL264:UL271" si="480">PR264</f>
        <v>10921600</v>
      </c>
      <c r="UM264" s="131">
        <f t="shared" ref="UM264:UM271" si="481">PR264</f>
        <v>10921600</v>
      </c>
      <c r="UN264" s="131">
        <f t="shared" ref="UN264:UN271" si="482">UO264+UT264</f>
        <v>10921600</v>
      </c>
      <c r="UO264" s="131">
        <f t="shared" ref="UO264:UO271" si="483">UP264+UQ264+UR264+US264</f>
        <v>8368100</v>
      </c>
      <c r="UP264" s="132">
        <f t="shared" ref="UP264:UP271" si="484">KP264</f>
        <v>8277620</v>
      </c>
      <c r="UQ264" s="132">
        <f t="shared" ref="UQ264:UQ271" si="485">KV264</f>
        <v>0</v>
      </c>
      <c r="UR264" s="132">
        <f t="shared" ref="UR264:UR271" si="486">LB264</f>
        <v>90480</v>
      </c>
      <c r="US264" s="132">
        <f t="shared" ref="US264:US271" si="487">LH264</f>
        <v>0</v>
      </c>
      <c r="UT264" s="131">
        <f t="shared" ref="UT264:UT271" si="488">UU264+UX264+UY264+UZ264+VA264+VB264+VM264+VN264</f>
        <v>2553500</v>
      </c>
      <c r="UU264" s="131">
        <f t="shared" ref="UU264:UU271" si="489">UV264+UW264</f>
        <v>200000</v>
      </c>
      <c r="UV264" s="132">
        <f t="shared" ref="UV264:UV271" si="490">LN264</f>
        <v>0</v>
      </c>
      <c r="UW264" s="132">
        <f t="shared" ref="UW264:UW271" si="491">LT264</f>
        <v>200000</v>
      </c>
      <c r="UX264" s="132">
        <f t="shared" ref="UX264:UX271" si="492">LZ264</f>
        <v>15000</v>
      </c>
      <c r="UY264" s="132">
        <f t="shared" ref="UY264:UY271" si="493">MF264</f>
        <v>65000</v>
      </c>
      <c r="UZ264" s="132">
        <f t="shared" ref="UZ264:UZ271" si="494">ML264</f>
        <v>5000</v>
      </c>
      <c r="VA264" s="132">
        <f t="shared" ref="VA264:VA271" si="495">MR264</f>
        <v>455000</v>
      </c>
      <c r="VB264" s="131">
        <f t="shared" ref="VB264:VB271" si="496">SUM(VC264:VL264)</f>
        <v>1413500</v>
      </c>
      <c r="VC264" s="132">
        <f t="shared" ref="VC264:VC271" si="497">MX264</f>
        <v>280000</v>
      </c>
      <c r="VD264" s="132">
        <f t="shared" ref="VD264:VD271" si="498">ND264</f>
        <v>85000</v>
      </c>
      <c r="VE264" s="132">
        <f t="shared" ref="VE264:VE271" si="499">NJ264</f>
        <v>300000</v>
      </c>
      <c r="VF264" s="132">
        <f t="shared" ref="VF264:VF271" si="500">NP264</f>
        <v>280000</v>
      </c>
      <c r="VG264" s="132">
        <f t="shared" ref="VG264:VG271" si="501">NV264</f>
        <v>50000</v>
      </c>
      <c r="VH264" s="132">
        <f t="shared" ref="VH264:VH271" si="502">OB264</f>
        <v>100000</v>
      </c>
      <c r="VI264" s="132">
        <f t="shared" ref="VI264:VI271" si="503">OH264</f>
        <v>10000</v>
      </c>
      <c r="VJ264" s="132">
        <f t="shared" ref="VJ264:VJ271" si="504">ON264</f>
        <v>83500</v>
      </c>
      <c r="VK264" s="132">
        <f t="shared" ref="VK264:VK271" si="505">OT264</f>
        <v>0</v>
      </c>
      <c r="VL264" s="132">
        <f t="shared" ref="VL264:VL271" si="506">OZ264</f>
        <v>225000</v>
      </c>
      <c r="VM264" s="132">
        <f t="shared" ref="VM264:VM271" si="507">PF264</f>
        <v>0</v>
      </c>
      <c r="VN264" s="132">
        <f t="shared" ref="VN264:VN271" si="508">PL264</f>
        <v>400000</v>
      </c>
      <c r="VP264" s="845" t="str">
        <f>IFERROR(HLOOKUP(F264,'Hodnocení '!$C$1:$JH$5,2,FALSE),0)</f>
        <v>Věra Kosinová - Daneta, zařízení pro zdravotně postižené</v>
      </c>
      <c r="VQ264" s="838"/>
      <c r="VR264" s="845" t="str">
        <f t="shared" si="414"/>
        <v>Fyzická osoba podnikající dle živnostenského zákona nezapsaná v obchodním rejstříku</v>
      </c>
      <c r="VS264" s="845" t="str">
        <f>IFERROR(HLOOKUP(F264,'Hodnocení '!$C$1:$JH$5,5,FALSE),0)</f>
        <v>NZO</v>
      </c>
      <c r="VT264" s="838">
        <f t="shared" si="415"/>
        <v>0</v>
      </c>
      <c r="VU264" s="838">
        <f t="shared" si="416"/>
        <v>0</v>
      </c>
      <c r="VV264" s="838">
        <f t="shared" si="417"/>
        <v>1800000</v>
      </c>
      <c r="VW264" s="838">
        <f t="shared" si="418"/>
        <v>0</v>
      </c>
      <c r="VX264" s="838"/>
      <c r="VY264" s="838">
        <f t="shared" si="419"/>
        <v>0</v>
      </c>
      <c r="VZ264" s="838">
        <f t="shared" si="420"/>
        <v>10921600</v>
      </c>
      <c r="WA264" s="846">
        <f>IFERROR(HLOOKUP($F264,'Hodnocení '!$C$1:$JH$9,9,FALSE),0)</f>
        <v>10921600</v>
      </c>
      <c r="WB264" s="846">
        <f>IF(IFERROR(HLOOKUP($F264,'Hodnocení '!$C$1:$JH$13,13,FALSE),0)&gt;WA264,WA264,IFERROR(HLOOKUP($F264,'Hodnocení '!$C$1:$JH$13,13,FALSE),0))</f>
        <v>10921600</v>
      </c>
      <c r="WC264" s="846">
        <f>IFERROR(HLOOKUP($F264,'Hodnocení '!$C$1:$JH$155,155,FALSE),0)</f>
        <v>8896080</v>
      </c>
      <c r="WD264" s="845"/>
      <c r="WE264" s="845"/>
      <c r="WF264" s="845" t="str">
        <f t="shared" ref="WF264:WF271" si="509">IF(VP264=0,"NE","ANO")</f>
        <v>ANO</v>
      </c>
      <c r="WG264" s="849" t="str">
        <f t="shared" si="421"/>
        <v>Podpora služby je vyjádřena zařazením do sítě sociálních služeb v KHK a řešením financování služby</v>
      </c>
      <c r="WH264"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64" s="849" t="str">
        <f t="shared" si="421"/>
        <v>Návrh dotace je výsledkem projednání s ostatními zadavateli v rámci sítě služeb KHK</v>
      </c>
      <c r="WJ264" s="849" t="str">
        <f t="shared" si="421"/>
        <v>Bez komentáře</v>
      </c>
      <c r="WK264" s="31">
        <f t="shared" ref="WK264:WK271" si="510">IF(VT264="Příspěvková organizace zřízená územním samosprávným celkem","Výše příspěvku ze strany zřizovatele bude řešen v návaznosti na řešení podílů jednotlivých zadavatelů",0)</f>
        <v>0</v>
      </c>
      <c r="WL264" s="850">
        <f t="shared" ref="WL264:WL271" si="511">IF(VU264="PO KHK",CONCATENATE("Případná úprava příspěvku zřizovatele bude řešena v návaznosti na vývoj služby"),0)</f>
        <v>0</v>
      </c>
      <c r="WM264" s="849" t="str">
        <f t="shared" ref="WM264:WM271" si="512">IF($WF264="NE","nehodnoceno",IF($VV264=0,0,WM$2))</f>
        <v>V rámci sítě KHK se dlouhodobě řeší otázka navyšování úhrad a průběžně se monitoruje s vazbou na vykrytí vyrovnávací platby</v>
      </c>
      <c r="WN264" s="849">
        <f t="shared" ref="WN264:WN271" si="513">IF($WF264="NE","nehodnoceno",IF(VW264=0,0,WN$2))</f>
        <v>0</v>
      </c>
      <c r="WO264" s="849" t="str">
        <f t="shared" si="422"/>
        <v>bez komentáře</v>
      </c>
      <c r="WP264" s="849" t="str">
        <f t="shared" si="422"/>
        <v>bez komentáře</v>
      </c>
      <c r="WQ264" s="849" t="str">
        <f t="shared" si="422"/>
        <v>Konečná výše dotace z rozpočtu KHK bude řešena v návaznosti na řešení podílů jednotlivých zadavatelů.</v>
      </c>
      <c r="WR264" s="849" t="str">
        <f t="shared" si="422"/>
        <v>Konečná výše podpory ze stran obcí bude řešena v součinnosti s jednotlivými zadavateli v průběhu roku.</v>
      </c>
      <c r="WS264" s="849" t="str">
        <f t="shared" si="422"/>
        <v>bez komentáře</v>
      </c>
      <c r="WT264" s="849" t="str">
        <f t="shared" si="422"/>
        <v>bez komentáře</v>
      </c>
      <c r="WU264" s="845"/>
    </row>
    <row r="265" spans="1:619" s="128" customFormat="1" x14ac:dyDescent="0.25">
      <c r="A265" s="128" t="str">
        <f>VLOOKUP(F265,'Výpočet VP 2020'!$D$324:$I$588,6,FALSE)</f>
        <v>Je v síti</v>
      </c>
      <c r="B265" s="128" t="s">
        <v>1380</v>
      </c>
      <c r="C265" s="128">
        <v>62690361</v>
      </c>
      <c r="D265" s="128" t="s">
        <v>1892</v>
      </c>
      <c r="E265" s="128" t="s">
        <v>259</v>
      </c>
      <c r="F265" s="128">
        <v>8430922</v>
      </c>
      <c r="G265" s="128" t="s">
        <v>1893</v>
      </c>
      <c r="H265" s="128" t="s">
        <v>230</v>
      </c>
      <c r="I265" s="128" t="s">
        <v>1894</v>
      </c>
      <c r="J265" s="128">
        <v>43282</v>
      </c>
      <c r="L265" s="128" t="s">
        <v>220</v>
      </c>
      <c r="X265" s="128" t="s">
        <v>335</v>
      </c>
      <c r="Z265" s="128">
        <v>6</v>
      </c>
      <c r="AA265" s="128">
        <v>6</v>
      </c>
      <c r="AB265" s="128">
        <v>47</v>
      </c>
      <c r="AC265" s="128">
        <v>60</v>
      </c>
      <c r="AD265" s="128">
        <v>100</v>
      </c>
      <c r="AP265" s="128" t="s">
        <v>659</v>
      </c>
      <c r="AQ265" s="128">
        <v>6</v>
      </c>
      <c r="AR265" s="128">
        <v>6</v>
      </c>
      <c r="AS265" s="128">
        <v>20</v>
      </c>
      <c r="AT265" s="128">
        <v>25</v>
      </c>
      <c r="AU265" s="128">
        <v>60</v>
      </c>
      <c r="BL265" s="128" t="s">
        <v>1895</v>
      </c>
      <c r="BM265" s="128" t="s">
        <v>1896</v>
      </c>
      <c r="BN265" s="128" t="s">
        <v>264</v>
      </c>
      <c r="FZ265" s="128">
        <v>4</v>
      </c>
      <c r="GA265" s="128">
        <v>4</v>
      </c>
      <c r="GB265" s="128">
        <v>48</v>
      </c>
      <c r="GC265" s="128">
        <v>4</v>
      </c>
      <c r="GD265" s="128">
        <v>3249272</v>
      </c>
      <c r="GE265" s="128">
        <v>3249272</v>
      </c>
      <c r="KG265" s="128">
        <v>4</v>
      </c>
      <c r="KH265" s="128">
        <v>120</v>
      </c>
      <c r="KI265" s="128">
        <v>0</v>
      </c>
      <c r="KJ265" s="128">
        <v>4</v>
      </c>
      <c r="KK265" s="128">
        <v>0</v>
      </c>
      <c r="KL265" s="128">
        <v>0</v>
      </c>
      <c r="KM265" s="128">
        <v>4</v>
      </c>
      <c r="KN265" s="128">
        <v>0</v>
      </c>
      <c r="KO265" s="128">
        <v>0</v>
      </c>
      <c r="KP265" s="128">
        <v>0</v>
      </c>
      <c r="KT265" s="128">
        <v>3249272</v>
      </c>
      <c r="KU265" s="128">
        <v>3249272</v>
      </c>
      <c r="KV265" s="128">
        <v>3249272</v>
      </c>
      <c r="KZ265" s="128">
        <v>0</v>
      </c>
      <c r="LA265" s="128">
        <v>0</v>
      </c>
      <c r="LB265" s="128">
        <v>0</v>
      </c>
      <c r="LF265" s="128">
        <v>0</v>
      </c>
      <c r="LG265" s="128">
        <v>0</v>
      </c>
      <c r="LH265" s="128">
        <v>0</v>
      </c>
      <c r="LL265" s="128">
        <v>0</v>
      </c>
      <c r="LM265" s="128">
        <v>0</v>
      </c>
      <c r="LN265" s="128">
        <v>0</v>
      </c>
      <c r="LR265" s="128">
        <v>0</v>
      </c>
      <c r="LS265" s="128">
        <v>0</v>
      </c>
      <c r="LT265" s="128">
        <v>0</v>
      </c>
      <c r="LX265" s="128">
        <v>0</v>
      </c>
      <c r="LY265" s="128">
        <v>0</v>
      </c>
      <c r="LZ265" s="128">
        <v>0</v>
      </c>
      <c r="MD265" s="128">
        <v>0</v>
      </c>
      <c r="ME265" s="128">
        <v>0</v>
      </c>
      <c r="MF265" s="128">
        <v>0</v>
      </c>
      <c r="MJ265" s="128">
        <v>0</v>
      </c>
      <c r="MK265" s="128">
        <v>0</v>
      </c>
      <c r="ML265" s="128">
        <v>0</v>
      </c>
      <c r="MP265" s="128">
        <v>0</v>
      </c>
      <c r="MQ265" s="128">
        <v>0</v>
      </c>
      <c r="MR265" s="128">
        <v>0</v>
      </c>
      <c r="MV265" s="128">
        <v>40000</v>
      </c>
      <c r="MW265" s="128">
        <v>40000</v>
      </c>
      <c r="MX265" s="128">
        <v>40000</v>
      </c>
      <c r="NB265" s="128">
        <v>15000</v>
      </c>
      <c r="NC265" s="128">
        <v>15000</v>
      </c>
      <c r="ND265" s="128">
        <v>15000</v>
      </c>
      <c r="NH265" s="128">
        <v>0</v>
      </c>
      <c r="NI265" s="128">
        <v>0</v>
      </c>
      <c r="NJ265" s="128">
        <v>0</v>
      </c>
      <c r="NN265" s="128">
        <v>0</v>
      </c>
      <c r="NO265" s="128">
        <v>0</v>
      </c>
      <c r="NP265" s="128">
        <v>0</v>
      </c>
      <c r="NT265" s="128">
        <v>20000</v>
      </c>
      <c r="NU265" s="128">
        <v>20000</v>
      </c>
      <c r="NV265" s="128">
        <v>20000</v>
      </c>
      <c r="NZ265" s="128">
        <v>0</v>
      </c>
      <c r="OA265" s="128">
        <v>0</v>
      </c>
      <c r="OB265" s="128">
        <v>0</v>
      </c>
      <c r="OF265" s="128">
        <v>53000</v>
      </c>
      <c r="OG265" s="128">
        <v>53000</v>
      </c>
      <c r="OH265" s="128">
        <v>53000</v>
      </c>
      <c r="OL265" s="128">
        <v>0</v>
      </c>
      <c r="OM265" s="128">
        <v>0</v>
      </c>
      <c r="ON265" s="128">
        <v>0</v>
      </c>
      <c r="OR265" s="128">
        <v>0</v>
      </c>
      <c r="OS265" s="128">
        <v>0</v>
      </c>
      <c r="OT265" s="128">
        <v>0</v>
      </c>
      <c r="OX265" s="128">
        <v>0</v>
      </c>
      <c r="OY265" s="128">
        <v>0</v>
      </c>
      <c r="OZ265" s="128">
        <v>0</v>
      </c>
      <c r="PD265" s="128">
        <v>0</v>
      </c>
      <c r="PE265" s="128">
        <v>0</v>
      </c>
      <c r="PF265" s="128">
        <v>0</v>
      </c>
      <c r="PJ265" s="128">
        <v>0</v>
      </c>
      <c r="PK265" s="128">
        <v>0</v>
      </c>
      <c r="PL265" s="128">
        <v>0</v>
      </c>
      <c r="PP265" s="128">
        <v>3377272</v>
      </c>
      <c r="PQ265" s="128">
        <v>3377272</v>
      </c>
      <c r="PR265" s="128">
        <v>3377272</v>
      </c>
      <c r="PS265" s="128">
        <v>100</v>
      </c>
      <c r="PT265" s="128">
        <v>100</v>
      </c>
      <c r="PX265" s="128">
        <v>623492</v>
      </c>
      <c r="PY265" s="128">
        <v>3089217</v>
      </c>
      <c r="PZ265" s="128">
        <v>3377272</v>
      </c>
      <c r="QA265" s="128">
        <v>0</v>
      </c>
      <c r="QB265" s="128">
        <v>0</v>
      </c>
      <c r="QC265" s="128">
        <v>0</v>
      </c>
      <c r="QD265" s="128">
        <v>0</v>
      </c>
      <c r="QE265" s="128">
        <v>0</v>
      </c>
      <c r="QF265" s="128">
        <v>0</v>
      </c>
      <c r="QG265" s="128">
        <v>0</v>
      </c>
      <c r="QH265" s="128">
        <v>0</v>
      </c>
      <c r="QI265" s="128">
        <v>0</v>
      </c>
      <c r="QJ265" s="128">
        <v>0</v>
      </c>
      <c r="QK265" s="128">
        <v>0</v>
      </c>
      <c r="QL265" s="128">
        <v>0</v>
      </c>
      <c r="QN265" s="128">
        <v>0</v>
      </c>
      <c r="QO265" s="128">
        <v>0</v>
      </c>
      <c r="QP265" s="128">
        <v>0</v>
      </c>
      <c r="RH265" s="128">
        <f t="shared" ref="RH265:RH271" si="514">PP265-QL265-QP265</f>
        <v>3377272</v>
      </c>
      <c r="RI265" s="128">
        <v>0</v>
      </c>
      <c r="RM265" s="128" t="s">
        <v>220</v>
      </c>
      <c r="SF265" s="128">
        <f t="shared" si="423"/>
        <v>8430922</v>
      </c>
      <c r="SG265" s="131">
        <f t="shared" si="424"/>
        <v>3377272</v>
      </c>
      <c r="SH265" s="131">
        <f t="shared" si="425"/>
        <v>3377272</v>
      </c>
      <c r="SI265" s="131">
        <f t="shared" si="426"/>
        <v>3249272</v>
      </c>
      <c r="SJ265" s="132">
        <f t="shared" si="427"/>
        <v>0</v>
      </c>
      <c r="SK265" s="132">
        <f t="shared" si="428"/>
        <v>3249272</v>
      </c>
      <c r="SL265" s="132">
        <f t="shared" si="429"/>
        <v>0</v>
      </c>
      <c r="SM265" s="132">
        <f t="shared" si="430"/>
        <v>0</v>
      </c>
      <c r="SN265" s="131">
        <f t="shared" si="431"/>
        <v>128000</v>
      </c>
      <c r="SO265" s="131">
        <f t="shared" si="432"/>
        <v>0</v>
      </c>
      <c r="SP265" s="132">
        <f t="shared" si="433"/>
        <v>0</v>
      </c>
      <c r="SQ265" s="132">
        <f t="shared" si="434"/>
        <v>0</v>
      </c>
      <c r="SR265" s="132">
        <f t="shared" si="435"/>
        <v>0</v>
      </c>
      <c r="SS265" s="132">
        <f t="shared" si="436"/>
        <v>0</v>
      </c>
      <c r="ST265" s="132">
        <f t="shared" si="437"/>
        <v>0</v>
      </c>
      <c r="SU265" s="132">
        <f t="shared" si="438"/>
        <v>0</v>
      </c>
      <c r="SV265" s="131">
        <f t="shared" si="439"/>
        <v>128000</v>
      </c>
      <c r="SW265" s="132">
        <f t="shared" si="440"/>
        <v>40000</v>
      </c>
      <c r="SX265" s="132">
        <f t="shared" si="441"/>
        <v>15000</v>
      </c>
      <c r="SY265" s="132">
        <f t="shared" si="442"/>
        <v>0</v>
      </c>
      <c r="SZ265" s="132">
        <f t="shared" si="443"/>
        <v>0</v>
      </c>
      <c r="TA265" s="132">
        <f t="shared" si="444"/>
        <v>20000</v>
      </c>
      <c r="TB265" s="132">
        <f t="shared" si="445"/>
        <v>0</v>
      </c>
      <c r="TC265" s="132">
        <f t="shared" si="446"/>
        <v>53000</v>
      </c>
      <c r="TD265" s="132">
        <f t="shared" si="447"/>
        <v>0</v>
      </c>
      <c r="TE265" s="132">
        <f t="shared" si="448"/>
        <v>0</v>
      </c>
      <c r="TF265" s="132">
        <f t="shared" si="449"/>
        <v>0</v>
      </c>
      <c r="TG265" s="132">
        <f t="shared" si="450"/>
        <v>0</v>
      </c>
      <c r="TH265" s="132">
        <f t="shared" si="451"/>
        <v>0</v>
      </c>
      <c r="TI265" s="1"/>
      <c r="TJ265" s="131">
        <f t="shared" si="452"/>
        <v>3377272</v>
      </c>
      <c r="TK265" s="131">
        <f t="shared" si="453"/>
        <v>3377272</v>
      </c>
      <c r="TL265" s="131">
        <f t="shared" si="454"/>
        <v>3249272</v>
      </c>
      <c r="TM265" s="132">
        <f t="shared" si="455"/>
        <v>0</v>
      </c>
      <c r="TN265" s="132">
        <f t="shared" si="456"/>
        <v>3249272</v>
      </c>
      <c r="TO265" s="132">
        <f t="shared" si="457"/>
        <v>0</v>
      </c>
      <c r="TP265" s="132">
        <f t="shared" si="458"/>
        <v>0</v>
      </c>
      <c r="TQ265" s="131">
        <f t="shared" si="459"/>
        <v>128000</v>
      </c>
      <c r="TR265" s="131">
        <f t="shared" si="460"/>
        <v>0</v>
      </c>
      <c r="TS265" s="132">
        <f t="shared" si="461"/>
        <v>0</v>
      </c>
      <c r="TT265" s="132">
        <f t="shared" si="462"/>
        <v>0</v>
      </c>
      <c r="TU265" s="132">
        <f t="shared" si="463"/>
        <v>0</v>
      </c>
      <c r="TV265" s="132">
        <f t="shared" si="464"/>
        <v>0</v>
      </c>
      <c r="TW265" s="132">
        <f t="shared" si="465"/>
        <v>0</v>
      </c>
      <c r="TX265" s="132">
        <f t="shared" si="466"/>
        <v>0</v>
      </c>
      <c r="TY265" s="131">
        <f t="shared" si="467"/>
        <v>128000</v>
      </c>
      <c r="TZ265" s="132">
        <f t="shared" si="468"/>
        <v>40000</v>
      </c>
      <c r="UA265" s="132">
        <f t="shared" si="469"/>
        <v>15000</v>
      </c>
      <c r="UB265" s="132">
        <f t="shared" si="470"/>
        <v>0</v>
      </c>
      <c r="UC265" s="132">
        <f t="shared" si="471"/>
        <v>0</v>
      </c>
      <c r="UD265" s="132">
        <f t="shared" si="472"/>
        <v>20000</v>
      </c>
      <c r="UE265" s="132">
        <f t="shared" si="473"/>
        <v>0</v>
      </c>
      <c r="UF265" s="132">
        <f t="shared" si="474"/>
        <v>53000</v>
      </c>
      <c r="UG265" s="132">
        <f t="shared" si="475"/>
        <v>0</v>
      </c>
      <c r="UH265" s="132">
        <f t="shared" si="476"/>
        <v>0</v>
      </c>
      <c r="UI265" s="132">
        <f t="shared" si="477"/>
        <v>0</v>
      </c>
      <c r="UJ265" s="132">
        <f t="shared" si="478"/>
        <v>0</v>
      </c>
      <c r="UK265" s="132">
        <f t="shared" si="479"/>
        <v>0</v>
      </c>
      <c r="UL265" s="132">
        <f t="shared" si="480"/>
        <v>3377272</v>
      </c>
      <c r="UM265" s="131">
        <f t="shared" si="481"/>
        <v>3377272</v>
      </c>
      <c r="UN265" s="131">
        <f t="shared" si="482"/>
        <v>3377272</v>
      </c>
      <c r="UO265" s="131">
        <f t="shared" si="483"/>
        <v>3249272</v>
      </c>
      <c r="UP265" s="132">
        <f t="shared" si="484"/>
        <v>0</v>
      </c>
      <c r="UQ265" s="132">
        <f t="shared" si="485"/>
        <v>3249272</v>
      </c>
      <c r="UR265" s="132">
        <f t="shared" si="486"/>
        <v>0</v>
      </c>
      <c r="US265" s="132">
        <f t="shared" si="487"/>
        <v>0</v>
      </c>
      <c r="UT265" s="131">
        <f t="shared" si="488"/>
        <v>128000</v>
      </c>
      <c r="UU265" s="131">
        <f t="shared" si="489"/>
        <v>0</v>
      </c>
      <c r="UV265" s="132">
        <f t="shared" si="490"/>
        <v>0</v>
      </c>
      <c r="UW265" s="132">
        <f t="shared" si="491"/>
        <v>0</v>
      </c>
      <c r="UX265" s="132">
        <f t="shared" si="492"/>
        <v>0</v>
      </c>
      <c r="UY265" s="132">
        <f t="shared" si="493"/>
        <v>0</v>
      </c>
      <c r="UZ265" s="132">
        <f t="shared" si="494"/>
        <v>0</v>
      </c>
      <c r="VA265" s="132">
        <f t="shared" si="495"/>
        <v>0</v>
      </c>
      <c r="VB265" s="131">
        <f t="shared" si="496"/>
        <v>128000</v>
      </c>
      <c r="VC265" s="132">
        <f t="shared" si="497"/>
        <v>40000</v>
      </c>
      <c r="VD265" s="132">
        <f t="shared" si="498"/>
        <v>15000</v>
      </c>
      <c r="VE265" s="132">
        <f t="shared" si="499"/>
        <v>0</v>
      </c>
      <c r="VF265" s="132">
        <f t="shared" si="500"/>
        <v>0</v>
      </c>
      <c r="VG265" s="132">
        <f t="shared" si="501"/>
        <v>20000</v>
      </c>
      <c r="VH265" s="132">
        <f t="shared" si="502"/>
        <v>0</v>
      </c>
      <c r="VI265" s="132">
        <f t="shared" si="503"/>
        <v>53000</v>
      </c>
      <c r="VJ265" s="132">
        <f t="shared" si="504"/>
        <v>0</v>
      </c>
      <c r="VK265" s="132">
        <f t="shared" si="505"/>
        <v>0</v>
      </c>
      <c r="VL265" s="132">
        <f t="shared" si="506"/>
        <v>0</v>
      </c>
      <c r="VM265" s="132">
        <f t="shared" si="507"/>
        <v>0</v>
      </c>
      <c r="VN265" s="132">
        <f t="shared" si="508"/>
        <v>0</v>
      </c>
      <c r="VP265" s="845" t="str">
        <f>IFERROR(HLOOKUP(F265,'Hodnocení '!$C$1:$JH$5,2,FALSE),0)</f>
        <v>Centrum tlumočnických služeb</v>
      </c>
      <c r="VQ265" s="838"/>
      <c r="VR265" s="845" t="str">
        <f t="shared" ref="VR265:VR271" si="515">E265</f>
        <v>Příspěvková organizace zřízená územním samosprávným celkem</v>
      </c>
      <c r="VS265" s="845" t="str">
        <f>IFERROR(HLOOKUP(F265,'Hodnocení '!$C$1:$JH$5,5,FALSE),0)</f>
        <v>PO KHK</v>
      </c>
      <c r="VT265" s="838">
        <f t="shared" ref="VT265:VT271" si="516">IF(VS265="obce",VR265,0)</f>
        <v>0</v>
      </c>
      <c r="VU265" s="838" t="str">
        <f t="shared" ref="VU265:VU271" si="517">IF(VS265="PO KHK",VS265,0)</f>
        <v>PO KHK</v>
      </c>
      <c r="VV265" s="838">
        <f t="shared" ref="VV265:VV271" si="518">QL265</f>
        <v>0</v>
      </c>
      <c r="VW265" s="838">
        <f t="shared" ref="VW265:VW271" si="519">QP265</f>
        <v>0</v>
      </c>
      <c r="VX265" s="838"/>
      <c r="VY265" s="838">
        <f t="shared" si="419"/>
        <v>0</v>
      </c>
      <c r="VZ265" s="838">
        <f t="shared" si="420"/>
        <v>3377272</v>
      </c>
      <c r="WA265" s="846">
        <f>IFERROR(HLOOKUP($F265,'Hodnocení '!$C$1:$JH$9,9,FALSE),0)</f>
        <v>3377272</v>
      </c>
      <c r="WB265" s="846">
        <f>IF(IFERROR(HLOOKUP($F265,'Hodnocení '!$C$1:$JH$13,13,FALSE),0)&gt;WA265,WA265,IFERROR(HLOOKUP($F265,'Hodnocení '!$C$1:$JH$13,13,FALSE),0))</f>
        <v>1432360.5197921393</v>
      </c>
      <c r="WC265" s="846">
        <f>IFERROR(HLOOKUP($F265,'Hodnocení '!$C$1:$JH$155,155,FALSE),0)</f>
        <v>868740</v>
      </c>
      <c r="WD265" s="845"/>
      <c r="WE265" s="845"/>
      <c r="WF265" s="845" t="str">
        <f t="shared" si="509"/>
        <v>ANO</v>
      </c>
      <c r="WG265" s="849" t="str">
        <f t="shared" si="421"/>
        <v>Podpora služby je vyjádřena zařazením do sítě sociálních služeb v KHK a řešením financování služby</v>
      </c>
      <c r="WH265"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65" s="849" t="str">
        <f t="shared" si="421"/>
        <v>Návrh dotace je výsledkem projednání s ostatními zadavateli v rámci sítě služeb KHK</v>
      </c>
      <c r="WJ265" s="849" t="str">
        <f t="shared" si="421"/>
        <v>Bez komentáře</v>
      </c>
      <c r="WK265" s="31">
        <f t="shared" si="510"/>
        <v>0</v>
      </c>
      <c r="WL265" s="850" t="str">
        <f t="shared" si="511"/>
        <v>Případná úprava příspěvku zřizovatele bude řešena v návaznosti na vývoj služby</v>
      </c>
      <c r="WM265" s="849">
        <f t="shared" si="512"/>
        <v>0</v>
      </c>
      <c r="WN265" s="849">
        <f t="shared" si="513"/>
        <v>0</v>
      </c>
      <c r="WO265" s="849" t="str">
        <f t="shared" si="422"/>
        <v>bez komentáře</v>
      </c>
      <c r="WP265" s="849" t="str">
        <f t="shared" si="422"/>
        <v>bez komentáře</v>
      </c>
      <c r="WQ265" s="849" t="str">
        <f t="shared" si="422"/>
        <v>Konečná výše dotace z rozpočtu KHK bude řešena v návaznosti na řešení podílů jednotlivých zadavatelů.</v>
      </c>
      <c r="WR265" s="849" t="str">
        <f t="shared" si="422"/>
        <v>Konečná výše podpory ze stran obcí bude řešena v součinnosti s jednotlivými zadavateli v průběhu roku.</v>
      </c>
      <c r="WS265" s="849" t="str">
        <f t="shared" si="422"/>
        <v>bez komentáře</v>
      </c>
      <c r="WT265" s="849" t="str">
        <f t="shared" si="422"/>
        <v>bez komentáře</v>
      </c>
      <c r="WU265" s="845"/>
    </row>
    <row r="266" spans="1:619" s="128" customFormat="1" x14ac:dyDescent="0.25">
      <c r="A266" s="128" t="str">
        <f>VLOOKUP(F266,'Výpočet VP 2020'!$D$324:$I$588,6,FALSE)</f>
        <v>Je v síti</v>
      </c>
      <c r="B266" s="128" t="s">
        <v>1018</v>
      </c>
      <c r="C266" s="128">
        <v>68208944</v>
      </c>
      <c r="D266" s="128" t="s">
        <v>1019</v>
      </c>
      <c r="E266" s="128" t="s">
        <v>242</v>
      </c>
      <c r="F266" s="128">
        <v>5369609</v>
      </c>
      <c r="G266" s="128" t="s">
        <v>342</v>
      </c>
      <c r="H266" s="128" t="s">
        <v>230</v>
      </c>
      <c r="I266" s="128" t="s">
        <v>1020</v>
      </c>
      <c r="J266" s="128">
        <v>40848</v>
      </c>
      <c r="L266" s="128" t="s">
        <v>220</v>
      </c>
      <c r="X266" s="128" t="s">
        <v>578</v>
      </c>
      <c r="Z266" s="128">
        <v>110</v>
      </c>
      <c r="AA266" s="128">
        <v>20</v>
      </c>
      <c r="AB266" s="128">
        <v>89</v>
      </c>
      <c r="AC266" s="128">
        <v>93</v>
      </c>
      <c r="AD266" s="128">
        <v>93</v>
      </c>
      <c r="AO266" s="128" t="s">
        <v>1021</v>
      </c>
      <c r="AP266" s="128" t="s">
        <v>578</v>
      </c>
      <c r="AQ266" s="128">
        <v>5</v>
      </c>
      <c r="AR266" s="128">
        <v>5</v>
      </c>
      <c r="AS266" s="128">
        <v>60</v>
      </c>
      <c r="AT266" s="128">
        <v>70</v>
      </c>
      <c r="AU266" s="128">
        <v>70</v>
      </c>
      <c r="BK266" s="128" t="s">
        <v>1022</v>
      </c>
      <c r="BL266" s="128" t="s">
        <v>1023</v>
      </c>
      <c r="BM266" s="128" t="s">
        <v>279</v>
      </c>
      <c r="BN266" s="128" t="s">
        <v>347</v>
      </c>
      <c r="EK266" s="128">
        <v>2</v>
      </c>
      <c r="EL266" s="128">
        <v>1</v>
      </c>
      <c r="EM266" s="128">
        <v>1.5</v>
      </c>
      <c r="EN266" s="128">
        <v>628165</v>
      </c>
      <c r="EO266" s="128">
        <v>628165</v>
      </c>
      <c r="EP266" s="128">
        <v>2</v>
      </c>
      <c r="EQ266" s="128">
        <v>2</v>
      </c>
      <c r="ER266" s="128">
        <v>2</v>
      </c>
      <c r="ES266" s="128">
        <v>776664</v>
      </c>
      <c r="ET266" s="128">
        <v>776664</v>
      </c>
      <c r="FO266" s="128">
        <v>1</v>
      </c>
      <c r="FP266" s="128">
        <v>0.5</v>
      </c>
      <c r="FQ266" s="128">
        <v>0.5</v>
      </c>
      <c r="FR266" s="128">
        <v>384874</v>
      </c>
      <c r="FS266" s="128">
        <v>384874</v>
      </c>
      <c r="FT266" s="128">
        <v>1</v>
      </c>
      <c r="FU266" s="128">
        <v>0.5</v>
      </c>
      <c r="FV266" s="128">
        <v>12</v>
      </c>
      <c r="FW266" s="128">
        <v>0.5</v>
      </c>
      <c r="FX266" s="128">
        <v>313399</v>
      </c>
      <c r="FY266" s="128">
        <v>313399</v>
      </c>
      <c r="IN266" s="128">
        <v>1</v>
      </c>
      <c r="IO266" s="128">
        <v>100</v>
      </c>
      <c r="IP266" s="128">
        <v>4.8000000000000001E-2</v>
      </c>
      <c r="IQ266" s="128">
        <v>25000</v>
      </c>
      <c r="IR266" s="128">
        <v>25000</v>
      </c>
      <c r="IS266" s="128">
        <v>2</v>
      </c>
      <c r="IT266" s="128">
        <v>600</v>
      </c>
      <c r="IU266" s="128">
        <v>0.28599999999999998</v>
      </c>
      <c r="IV266" s="128">
        <v>90000</v>
      </c>
      <c r="IW266" s="128">
        <v>90000</v>
      </c>
      <c r="KG266" s="128">
        <v>0</v>
      </c>
      <c r="KI266" s="128">
        <v>3</v>
      </c>
      <c r="KJ266" s="128">
        <v>0.5</v>
      </c>
      <c r="KK266" s="128">
        <v>4.8000000000000001E-2</v>
      </c>
      <c r="KL266" s="128">
        <v>0</v>
      </c>
      <c r="KM266" s="128">
        <v>3.548</v>
      </c>
      <c r="KN266" s="128">
        <v>1789703</v>
      </c>
      <c r="KO266" s="128">
        <v>1789703</v>
      </c>
      <c r="KP266" s="128">
        <v>1789703</v>
      </c>
      <c r="KT266" s="128">
        <v>313399</v>
      </c>
      <c r="KU266" s="128">
        <v>313399</v>
      </c>
      <c r="KV266" s="128">
        <v>313399</v>
      </c>
      <c r="KZ266" s="128">
        <v>115000</v>
      </c>
      <c r="LA266" s="128">
        <v>115000</v>
      </c>
      <c r="LB266" s="128">
        <v>115000</v>
      </c>
      <c r="LF266" s="128">
        <v>0</v>
      </c>
      <c r="LG266" s="128">
        <v>0</v>
      </c>
      <c r="LH266" s="128">
        <v>0</v>
      </c>
      <c r="LL266" s="128">
        <v>0</v>
      </c>
      <c r="LM266" s="128">
        <v>0</v>
      </c>
      <c r="LN266" s="128">
        <v>0</v>
      </c>
      <c r="LR266" s="128">
        <v>0</v>
      </c>
      <c r="LS266" s="128">
        <v>0</v>
      </c>
      <c r="LT266" s="128">
        <v>0</v>
      </c>
      <c r="LX266" s="128">
        <v>0</v>
      </c>
      <c r="LY266" s="128">
        <v>0</v>
      </c>
      <c r="LZ266" s="128">
        <v>0</v>
      </c>
      <c r="MD266" s="128">
        <v>30000</v>
      </c>
      <c r="ME266" s="128">
        <v>30000</v>
      </c>
      <c r="MF266" s="128">
        <v>30000</v>
      </c>
      <c r="MJ266" s="128">
        <v>0</v>
      </c>
      <c r="MK266" s="128">
        <v>0</v>
      </c>
      <c r="ML266" s="128">
        <v>0</v>
      </c>
      <c r="MP266" s="128">
        <v>25000</v>
      </c>
      <c r="MQ266" s="128">
        <v>25000</v>
      </c>
      <c r="MR266" s="128">
        <v>25000</v>
      </c>
      <c r="MV266" s="128">
        <v>74000</v>
      </c>
      <c r="MW266" s="128">
        <v>74000</v>
      </c>
      <c r="MX266" s="128">
        <v>74000</v>
      </c>
      <c r="NB266" s="128">
        <v>18000</v>
      </c>
      <c r="NC266" s="128">
        <v>18000</v>
      </c>
      <c r="ND266" s="128">
        <v>18000</v>
      </c>
      <c r="NH266" s="128">
        <v>151800</v>
      </c>
      <c r="NI266" s="128">
        <v>100500</v>
      </c>
      <c r="NJ266" s="128">
        <v>100500</v>
      </c>
      <c r="NN266" s="128">
        <v>60000</v>
      </c>
      <c r="NO266" s="128">
        <v>46000</v>
      </c>
      <c r="NP266" s="128">
        <v>46000</v>
      </c>
      <c r="NT266" s="128">
        <v>4000</v>
      </c>
      <c r="NU266" s="128">
        <v>0</v>
      </c>
      <c r="NV266" s="128">
        <v>0</v>
      </c>
      <c r="NZ266" s="128">
        <v>25000</v>
      </c>
      <c r="OA266" s="128">
        <v>10000</v>
      </c>
      <c r="OB266" s="128">
        <v>10000</v>
      </c>
      <c r="OF266" s="128">
        <v>10000</v>
      </c>
      <c r="OG266" s="128">
        <v>5000</v>
      </c>
      <c r="OH266" s="128">
        <v>5000</v>
      </c>
      <c r="OL266" s="128">
        <v>0</v>
      </c>
      <c r="OM266" s="128">
        <v>0</v>
      </c>
      <c r="ON266" s="128">
        <v>0</v>
      </c>
      <c r="OR266" s="128">
        <v>0</v>
      </c>
      <c r="OS266" s="128">
        <v>0</v>
      </c>
      <c r="OT266" s="128">
        <v>0</v>
      </c>
      <c r="OX266" s="128">
        <v>0</v>
      </c>
      <c r="OY266" s="128">
        <v>0</v>
      </c>
      <c r="OZ266" s="128">
        <v>0</v>
      </c>
      <c r="PD266" s="128">
        <v>0</v>
      </c>
      <c r="PE266" s="128">
        <v>0</v>
      </c>
      <c r="PF266" s="128">
        <v>0</v>
      </c>
      <c r="PJ266" s="128">
        <v>0</v>
      </c>
      <c r="PK266" s="128">
        <v>0</v>
      </c>
      <c r="PL266" s="128">
        <v>0</v>
      </c>
      <c r="PP266" s="128">
        <v>2615902</v>
      </c>
      <c r="PQ266" s="128">
        <v>2526602</v>
      </c>
      <c r="PR266" s="128">
        <v>2526602</v>
      </c>
      <c r="PS266" s="128">
        <v>100</v>
      </c>
      <c r="PT266" s="128">
        <v>100</v>
      </c>
      <c r="PX266" s="128">
        <v>242004</v>
      </c>
      <c r="PY266" s="128">
        <v>1368920</v>
      </c>
      <c r="PZ266" s="128">
        <v>2526602</v>
      </c>
      <c r="QA266" s="128">
        <v>0</v>
      </c>
      <c r="QB266" s="128">
        <v>0</v>
      </c>
      <c r="QC266" s="128">
        <v>0</v>
      </c>
      <c r="QD266" s="128">
        <v>0</v>
      </c>
      <c r="QE266" s="128">
        <v>0</v>
      </c>
      <c r="QF266" s="128">
        <v>0</v>
      </c>
      <c r="QG266" s="128">
        <v>0</v>
      </c>
      <c r="QH266" s="128">
        <v>0</v>
      </c>
      <c r="QI266" s="128">
        <v>0</v>
      </c>
      <c r="QJ266" s="128">
        <v>0</v>
      </c>
      <c r="QK266" s="128">
        <v>0</v>
      </c>
      <c r="QL266" s="128">
        <v>0</v>
      </c>
      <c r="QN266" s="128">
        <v>0</v>
      </c>
      <c r="QO266" s="128">
        <v>0</v>
      </c>
      <c r="QP266" s="128">
        <v>0</v>
      </c>
      <c r="QU266" s="128">
        <v>121801</v>
      </c>
      <c r="QV266" s="128">
        <v>58055</v>
      </c>
      <c r="QW266" s="128">
        <v>89300</v>
      </c>
      <c r="RD266" s="128">
        <v>1934992</v>
      </c>
      <c r="RE266" s="128">
        <v>967498</v>
      </c>
      <c r="RF266" s="128">
        <v>0</v>
      </c>
      <c r="RH266" s="128">
        <f t="shared" si="514"/>
        <v>2615902</v>
      </c>
      <c r="RI266" s="128">
        <v>0</v>
      </c>
      <c r="RM266" s="128" t="s">
        <v>220</v>
      </c>
      <c r="SF266" s="128">
        <f t="shared" si="423"/>
        <v>5369609</v>
      </c>
      <c r="SG266" s="131">
        <f t="shared" si="424"/>
        <v>2615902</v>
      </c>
      <c r="SH266" s="131">
        <f t="shared" si="425"/>
        <v>2615902</v>
      </c>
      <c r="SI266" s="131">
        <f t="shared" si="426"/>
        <v>2218102</v>
      </c>
      <c r="SJ266" s="132">
        <f t="shared" si="427"/>
        <v>1789703</v>
      </c>
      <c r="SK266" s="132">
        <f t="shared" si="428"/>
        <v>313399</v>
      </c>
      <c r="SL266" s="132">
        <f t="shared" si="429"/>
        <v>115000</v>
      </c>
      <c r="SM266" s="132">
        <f t="shared" si="430"/>
        <v>0</v>
      </c>
      <c r="SN266" s="131">
        <f t="shared" si="431"/>
        <v>397800</v>
      </c>
      <c r="SO266" s="131">
        <f t="shared" si="432"/>
        <v>0</v>
      </c>
      <c r="SP266" s="132">
        <f t="shared" si="433"/>
        <v>0</v>
      </c>
      <c r="SQ266" s="132">
        <f t="shared" si="434"/>
        <v>0</v>
      </c>
      <c r="SR266" s="132">
        <f t="shared" si="435"/>
        <v>0</v>
      </c>
      <c r="SS266" s="132">
        <f t="shared" si="436"/>
        <v>30000</v>
      </c>
      <c r="ST266" s="132">
        <f t="shared" si="437"/>
        <v>0</v>
      </c>
      <c r="SU266" s="132">
        <f t="shared" si="438"/>
        <v>25000</v>
      </c>
      <c r="SV266" s="131">
        <f t="shared" si="439"/>
        <v>342800</v>
      </c>
      <c r="SW266" s="132">
        <f t="shared" si="440"/>
        <v>74000</v>
      </c>
      <c r="SX266" s="132">
        <f t="shared" si="441"/>
        <v>18000</v>
      </c>
      <c r="SY266" s="132">
        <f t="shared" si="442"/>
        <v>151800</v>
      </c>
      <c r="SZ266" s="132">
        <f t="shared" si="443"/>
        <v>60000</v>
      </c>
      <c r="TA266" s="132">
        <f t="shared" si="444"/>
        <v>4000</v>
      </c>
      <c r="TB266" s="132">
        <f t="shared" si="445"/>
        <v>25000</v>
      </c>
      <c r="TC266" s="132">
        <f t="shared" si="446"/>
        <v>10000</v>
      </c>
      <c r="TD266" s="132">
        <f t="shared" si="447"/>
        <v>0</v>
      </c>
      <c r="TE266" s="132">
        <f t="shared" si="448"/>
        <v>0</v>
      </c>
      <c r="TF266" s="132">
        <f t="shared" si="449"/>
        <v>0</v>
      </c>
      <c r="TG266" s="132">
        <f t="shared" si="450"/>
        <v>0</v>
      </c>
      <c r="TH266" s="132">
        <f t="shared" si="451"/>
        <v>0</v>
      </c>
      <c r="TI266" s="1"/>
      <c r="TJ266" s="131">
        <f t="shared" si="452"/>
        <v>2526602</v>
      </c>
      <c r="TK266" s="131">
        <f t="shared" si="453"/>
        <v>2526602</v>
      </c>
      <c r="TL266" s="131">
        <f t="shared" si="454"/>
        <v>2218102</v>
      </c>
      <c r="TM266" s="132">
        <f t="shared" si="455"/>
        <v>1789703</v>
      </c>
      <c r="TN266" s="132">
        <f t="shared" si="456"/>
        <v>313399</v>
      </c>
      <c r="TO266" s="132">
        <f t="shared" si="457"/>
        <v>115000</v>
      </c>
      <c r="TP266" s="132">
        <f t="shared" si="458"/>
        <v>0</v>
      </c>
      <c r="TQ266" s="131">
        <f t="shared" si="459"/>
        <v>308500</v>
      </c>
      <c r="TR266" s="131">
        <f t="shared" si="460"/>
        <v>0</v>
      </c>
      <c r="TS266" s="132">
        <f t="shared" si="461"/>
        <v>0</v>
      </c>
      <c r="TT266" s="132">
        <f t="shared" si="462"/>
        <v>0</v>
      </c>
      <c r="TU266" s="132">
        <f t="shared" si="463"/>
        <v>0</v>
      </c>
      <c r="TV266" s="132">
        <f t="shared" si="464"/>
        <v>30000</v>
      </c>
      <c r="TW266" s="132">
        <f t="shared" si="465"/>
        <v>0</v>
      </c>
      <c r="TX266" s="132">
        <f t="shared" si="466"/>
        <v>25000</v>
      </c>
      <c r="TY266" s="131">
        <f t="shared" si="467"/>
        <v>253500</v>
      </c>
      <c r="TZ266" s="132">
        <f t="shared" si="468"/>
        <v>74000</v>
      </c>
      <c r="UA266" s="132">
        <f t="shared" si="469"/>
        <v>18000</v>
      </c>
      <c r="UB266" s="132">
        <f t="shared" si="470"/>
        <v>100500</v>
      </c>
      <c r="UC266" s="132">
        <f t="shared" si="471"/>
        <v>46000</v>
      </c>
      <c r="UD266" s="132">
        <f t="shared" si="472"/>
        <v>0</v>
      </c>
      <c r="UE266" s="132">
        <f t="shared" si="473"/>
        <v>10000</v>
      </c>
      <c r="UF266" s="132">
        <f t="shared" si="474"/>
        <v>5000</v>
      </c>
      <c r="UG266" s="132">
        <f t="shared" si="475"/>
        <v>0</v>
      </c>
      <c r="UH266" s="132">
        <f t="shared" si="476"/>
        <v>0</v>
      </c>
      <c r="UI266" s="132">
        <f t="shared" si="477"/>
        <v>0</v>
      </c>
      <c r="UJ266" s="132">
        <f t="shared" si="478"/>
        <v>0</v>
      </c>
      <c r="UK266" s="132">
        <f t="shared" si="479"/>
        <v>0</v>
      </c>
      <c r="UL266" s="132">
        <f t="shared" si="480"/>
        <v>2526602</v>
      </c>
      <c r="UM266" s="131">
        <f t="shared" si="481"/>
        <v>2526602</v>
      </c>
      <c r="UN266" s="131">
        <f t="shared" si="482"/>
        <v>2526602</v>
      </c>
      <c r="UO266" s="131">
        <f t="shared" si="483"/>
        <v>2218102</v>
      </c>
      <c r="UP266" s="132">
        <f t="shared" si="484"/>
        <v>1789703</v>
      </c>
      <c r="UQ266" s="132">
        <f t="shared" si="485"/>
        <v>313399</v>
      </c>
      <c r="UR266" s="132">
        <f t="shared" si="486"/>
        <v>115000</v>
      </c>
      <c r="US266" s="132">
        <f t="shared" si="487"/>
        <v>0</v>
      </c>
      <c r="UT266" s="131">
        <f t="shared" si="488"/>
        <v>308500</v>
      </c>
      <c r="UU266" s="131">
        <f t="shared" si="489"/>
        <v>0</v>
      </c>
      <c r="UV266" s="132">
        <f t="shared" si="490"/>
        <v>0</v>
      </c>
      <c r="UW266" s="132">
        <f t="shared" si="491"/>
        <v>0</v>
      </c>
      <c r="UX266" s="132">
        <f t="shared" si="492"/>
        <v>0</v>
      </c>
      <c r="UY266" s="132">
        <f t="shared" si="493"/>
        <v>30000</v>
      </c>
      <c r="UZ266" s="132">
        <f t="shared" si="494"/>
        <v>0</v>
      </c>
      <c r="VA266" s="132">
        <f t="shared" si="495"/>
        <v>25000</v>
      </c>
      <c r="VB266" s="131">
        <f t="shared" si="496"/>
        <v>253500</v>
      </c>
      <c r="VC266" s="132">
        <f t="shared" si="497"/>
        <v>74000</v>
      </c>
      <c r="VD266" s="132">
        <f t="shared" si="498"/>
        <v>18000</v>
      </c>
      <c r="VE266" s="132">
        <f t="shared" si="499"/>
        <v>100500</v>
      </c>
      <c r="VF266" s="132">
        <f t="shared" si="500"/>
        <v>46000</v>
      </c>
      <c r="VG266" s="132">
        <f t="shared" si="501"/>
        <v>0</v>
      </c>
      <c r="VH266" s="132">
        <f t="shared" si="502"/>
        <v>10000</v>
      </c>
      <c r="VI266" s="132">
        <f t="shared" si="503"/>
        <v>5000</v>
      </c>
      <c r="VJ266" s="132">
        <f t="shared" si="504"/>
        <v>0</v>
      </c>
      <c r="VK266" s="132">
        <f t="shared" si="505"/>
        <v>0</v>
      </c>
      <c r="VL266" s="132">
        <f t="shared" si="506"/>
        <v>0</v>
      </c>
      <c r="VM266" s="132">
        <f t="shared" si="507"/>
        <v>0</v>
      </c>
      <c r="VN266" s="132">
        <f t="shared" si="508"/>
        <v>0</v>
      </c>
      <c r="VP266" s="845" t="str">
        <f>IFERROR(HLOOKUP(F266,'Hodnocení '!$C$1:$JH$5,2,FALSE),0)</f>
        <v>KOMUNITNÍ CENTRUM</v>
      </c>
      <c r="VQ266" s="838"/>
      <c r="VR266" s="845" t="str">
        <f t="shared" si="515"/>
        <v>Spolek</v>
      </c>
      <c r="VS266" s="845" t="str">
        <f>IFERROR(HLOOKUP(F266,'Hodnocení '!$C$1:$JH$5,5,FALSE),0)</f>
        <v>NZO</v>
      </c>
      <c r="VT266" s="838">
        <f t="shared" si="516"/>
        <v>0</v>
      </c>
      <c r="VU266" s="838">
        <f t="shared" si="517"/>
        <v>0</v>
      </c>
      <c r="VV266" s="838">
        <f t="shared" si="518"/>
        <v>0</v>
      </c>
      <c r="VW266" s="838">
        <f t="shared" si="519"/>
        <v>0</v>
      </c>
      <c r="VX266" s="838"/>
      <c r="VY266" s="838">
        <f t="shared" si="419"/>
        <v>0</v>
      </c>
      <c r="VZ266" s="838">
        <f t="shared" si="420"/>
        <v>2526602</v>
      </c>
      <c r="WA266" s="846">
        <f>IFERROR(HLOOKUP($F266,'Hodnocení '!$C$1:$JH$9,9,FALSE),0)</f>
        <v>2526602</v>
      </c>
      <c r="WB266" s="846">
        <f>IF(IFERROR(HLOOKUP($F266,'Hodnocení '!$C$1:$JH$13,13,FALSE),0)&gt;WA266,WA266,IFERROR(HLOOKUP($F266,'Hodnocení '!$C$1:$JH$13,13,FALSE),0))</f>
        <v>2516394.0239095907</v>
      </c>
      <c r="WC266" s="846">
        <f>IFERROR(HLOOKUP($F266,'Hodnocení '!$C$1:$JH$155,155,FALSE),0)</f>
        <v>2526600</v>
      </c>
      <c r="WD266" s="845"/>
      <c r="WE266" s="845"/>
      <c r="WF266" s="845" t="str">
        <f t="shared" si="509"/>
        <v>ANO</v>
      </c>
      <c r="WG266" s="849" t="str">
        <f t="shared" si="421"/>
        <v>Podpora služby je vyjádřena zařazením do sítě sociálních služeb v KHK a řešením financování služby</v>
      </c>
      <c r="WH266"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66" s="849" t="str">
        <f t="shared" si="421"/>
        <v>Návrh dotace je výsledkem projednání s ostatními zadavateli v rámci sítě služeb KHK</v>
      </c>
      <c r="WJ266" s="849" t="str">
        <f t="shared" si="421"/>
        <v>Bez komentáře</v>
      </c>
      <c r="WK266" s="31">
        <f t="shared" si="510"/>
        <v>0</v>
      </c>
      <c r="WL266" s="850">
        <f t="shared" si="511"/>
        <v>0</v>
      </c>
      <c r="WM266" s="849">
        <f t="shared" si="512"/>
        <v>0</v>
      </c>
      <c r="WN266" s="849">
        <f t="shared" si="513"/>
        <v>0</v>
      </c>
      <c r="WO266" s="849" t="str">
        <f t="shared" si="422"/>
        <v>bez komentáře</v>
      </c>
      <c r="WP266" s="849" t="str">
        <f t="shared" si="422"/>
        <v>bez komentáře</v>
      </c>
      <c r="WQ266" s="849" t="str">
        <f t="shared" si="422"/>
        <v>Konečná výše dotace z rozpočtu KHK bude řešena v návaznosti na řešení podílů jednotlivých zadavatelů.</v>
      </c>
      <c r="WR266" s="849" t="str">
        <f t="shared" si="422"/>
        <v>Konečná výše podpory ze stran obcí bude řešena v součinnosti s jednotlivými zadavateli v průběhu roku.</v>
      </c>
      <c r="WS266" s="849" t="str">
        <f t="shared" si="422"/>
        <v>bez komentáře</v>
      </c>
      <c r="WT266" s="849" t="str">
        <f t="shared" si="422"/>
        <v>bez komentáře</v>
      </c>
      <c r="WU266" s="845"/>
    </row>
    <row r="267" spans="1:619" s="128" customFormat="1" x14ac:dyDescent="0.25">
      <c r="A267" s="128" t="str">
        <f>VLOOKUP(F267,'Výpočet VP 2020'!$D$324:$I$588,6,FALSE)</f>
        <v>Je v síti</v>
      </c>
      <c r="B267" s="128" t="s">
        <v>1024</v>
      </c>
      <c r="C267" s="128">
        <v>26652561</v>
      </c>
      <c r="D267" s="128" t="s">
        <v>1025</v>
      </c>
      <c r="E267" s="128" t="s">
        <v>272</v>
      </c>
      <c r="F267" s="128">
        <v>5539112</v>
      </c>
      <c r="G267" s="128" t="s">
        <v>217</v>
      </c>
      <c r="H267" s="128" t="s">
        <v>218</v>
      </c>
      <c r="I267" s="128" t="s">
        <v>389</v>
      </c>
      <c r="J267" s="128">
        <v>39904</v>
      </c>
      <c r="L267" s="128" t="s">
        <v>220</v>
      </c>
      <c r="X267" s="128" t="s">
        <v>244</v>
      </c>
      <c r="Z267" s="128">
        <v>15</v>
      </c>
      <c r="AA267" s="128">
        <v>21</v>
      </c>
      <c r="AB267" s="128">
        <v>20</v>
      </c>
      <c r="AC267" s="128">
        <v>20</v>
      </c>
      <c r="AD267" s="128">
        <v>21</v>
      </c>
      <c r="AN267" s="128">
        <v>8231</v>
      </c>
      <c r="AO267" s="128" t="s">
        <v>1026</v>
      </c>
      <c r="BL267" s="128" t="s">
        <v>222</v>
      </c>
      <c r="BM267" s="128" t="s">
        <v>228</v>
      </c>
      <c r="BN267" s="128" t="s">
        <v>338</v>
      </c>
      <c r="BO267" s="128">
        <v>0</v>
      </c>
      <c r="BP267" s="128">
        <v>0</v>
      </c>
      <c r="BQ267" s="128">
        <v>0</v>
      </c>
      <c r="BR267" s="128">
        <v>0</v>
      </c>
      <c r="BS267" s="128">
        <v>0</v>
      </c>
      <c r="BT267" s="128">
        <v>5</v>
      </c>
      <c r="BU267" s="128">
        <v>5</v>
      </c>
      <c r="BV267" s="128">
        <v>7</v>
      </c>
      <c r="BW267" s="128">
        <v>4</v>
      </c>
      <c r="BX267" s="128">
        <v>0</v>
      </c>
      <c r="BY267" s="128">
        <v>5</v>
      </c>
      <c r="BZ267" s="128">
        <v>5</v>
      </c>
      <c r="CA267" s="128">
        <v>7</v>
      </c>
      <c r="CB267" s="128">
        <v>4</v>
      </c>
      <c r="CC267" s="128">
        <v>0</v>
      </c>
      <c r="CD267" s="128">
        <v>0</v>
      </c>
      <c r="CE267" s="128">
        <v>21</v>
      </c>
      <c r="CF267" s="128">
        <v>21</v>
      </c>
      <c r="CH267" s="128">
        <v>0</v>
      </c>
      <c r="CI267" s="128">
        <v>0</v>
      </c>
      <c r="CJ267" s="128">
        <v>0</v>
      </c>
      <c r="CK267" s="128">
        <v>0</v>
      </c>
      <c r="CL267" s="128">
        <v>0</v>
      </c>
      <c r="CM267" s="128">
        <v>4</v>
      </c>
      <c r="CN267" s="128">
        <v>6</v>
      </c>
      <c r="CO267" s="128">
        <v>6</v>
      </c>
      <c r="CP267" s="128">
        <v>5</v>
      </c>
      <c r="CQ267" s="128">
        <v>0</v>
      </c>
      <c r="CR267" s="128">
        <v>4</v>
      </c>
      <c r="CS267" s="128">
        <v>6</v>
      </c>
      <c r="CT267" s="128">
        <v>6</v>
      </c>
      <c r="CU267" s="128">
        <v>5</v>
      </c>
      <c r="CV267" s="128">
        <v>0</v>
      </c>
      <c r="CW267" s="128">
        <v>0</v>
      </c>
      <c r="CX267" s="128">
        <v>21</v>
      </c>
      <c r="CY267" s="128">
        <v>21</v>
      </c>
      <c r="EK267" s="128">
        <v>1</v>
      </c>
      <c r="EL267" s="128">
        <v>0.3</v>
      </c>
      <c r="EM267" s="128">
        <v>0.3</v>
      </c>
      <c r="EN267" s="128">
        <v>144504</v>
      </c>
      <c r="EO267" s="128">
        <v>115605</v>
      </c>
      <c r="EP267" s="128">
        <v>4</v>
      </c>
      <c r="EQ267" s="128">
        <v>4</v>
      </c>
      <c r="ER267" s="128">
        <v>3.2</v>
      </c>
      <c r="ES267" s="128">
        <v>1541376</v>
      </c>
      <c r="ET267" s="128">
        <v>1232000</v>
      </c>
      <c r="FO267" s="128">
        <v>4</v>
      </c>
      <c r="FP267" s="128">
        <v>2</v>
      </c>
      <c r="FQ267" s="128">
        <v>1.7</v>
      </c>
      <c r="FR267" s="128">
        <v>1137192</v>
      </c>
      <c r="FS267" s="128">
        <v>909600</v>
      </c>
      <c r="IS267" s="128">
        <v>1</v>
      </c>
      <c r="IT267" s="128">
        <v>100</v>
      </c>
      <c r="IU267" s="128">
        <v>4.8000000000000001E-2</v>
      </c>
      <c r="IV267" s="128">
        <v>10000</v>
      </c>
      <c r="IW267" s="128">
        <v>8000</v>
      </c>
      <c r="KG267" s="128">
        <v>0</v>
      </c>
      <c r="KI267" s="128">
        <v>4.3</v>
      </c>
      <c r="KJ267" s="128">
        <v>0</v>
      </c>
      <c r="KK267" s="128">
        <v>0</v>
      </c>
      <c r="KL267" s="128">
        <v>0</v>
      </c>
      <c r="KM267" s="128">
        <v>4.3</v>
      </c>
      <c r="KN267" s="128">
        <v>2823072</v>
      </c>
      <c r="KO267" s="128">
        <v>2257205</v>
      </c>
      <c r="KP267" s="128">
        <v>2257205</v>
      </c>
      <c r="KT267" s="128">
        <v>0</v>
      </c>
      <c r="KU267" s="128">
        <v>0</v>
      </c>
      <c r="KV267" s="128">
        <v>0</v>
      </c>
      <c r="KZ267" s="128">
        <v>10000</v>
      </c>
      <c r="LA267" s="128">
        <v>8000</v>
      </c>
      <c r="LB267" s="128">
        <v>8000</v>
      </c>
      <c r="LF267" s="128">
        <v>0</v>
      </c>
      <c r="LG267" s="128">
        <v>0</v>
      </c>
      <c r="LH267" s="128">
        <v>0</v>
      </c>
      <c r="LL267" s="128">
        <v>50000</v>
      </c>
      <c r="LM267" s="128">
        <v>40000</v>
      </c>
      <c r="LN267" s="128">
        <v>40000</v>
      </c>
      <c r="LR267" s="128">
        <v>15000</v>
      </c>
      <c r="LS267" s="128">
        <v>10500</v>
      </c>
      <c r="LT267" s="128">
        <v>10500</v>
      </c>
      <c r="LX267" s="128">
        <v>8000</v>
      </c>
      <c r="LY267" s="128">
        <v>5600</v>
      </c>
      <c r="LZ267" s="128">
        <v>5600</v>
      </c>
      <c r="MD267" s="128">
        <v>5000</v>
      </c>
      <c r="ME267" s="128">
        <v>3500</v>
      </c>
      <c r="MF267" s="128">
        <v>3500</v>
      </c>
      <c r="MJ267" s="128">
        <v>61000</v>
      </c>
      <c r="MK267" s="128">
        <v>42700</v>
      </c>
      <c r="ML267" s="128">
        <v>42700</v>
      </c>
      <c r="MP267" s="128">
        <v>267700</v>
      </c>
      <c r="MQ267" s="128">
        <v>186900</v>
      </c>
      <c r="MR267" s="128">
        <v>186900</v>
      </c>
      <c r="MV267" s="128">
        <v>145000</v>
      </c>
      <c r="MW267" s="128">
        <v>101500</v>
      </c>
      <c r="MX267" s="128">
        <v>101500</v>
      </c>
      <c r="NB267" s="128">
        <v>36000</v>
      </c>
      <c r="NC267" s="128">
        <v>25200</v>
      </c>
      <c r="ND267" s="128">
        <v>25200</v>
      </c>
      <c r="NH267" s="128">
        <v>64800</v>
      </c>
      <c r="NI267" s="128">
        <v>45360</v>
      </c>
      <c r="NJ267" s="128">
        <v>45360</v>
      </c>
      <c r="NN267" s="128">
        <v>90000</v>
      </c>
      <c r="NO267" s="128">
        <v>63000</v>
      </c>
      <c r="NP267" s="128">
        <v>63000</v>
      </c>
      <c r="NT267" s="128">
        <v>20000</v>
      </c>
      <c r="NU267" s="128">
        <v>14000</v>
      </c>
      <c r="NV267" s="128">
        <v>14000</v>
      </c>
      <c r="NZ267" s="128">
        <v>75000</v>
      </c>
      <c r="OA267" s="128">
        <v>52500</v>
      </c>
      <c r="OB267" s="128">
        <v>52500</v>
      </c>
      <c r="OF267" s="128">
        <v>40000</v>
      </c>
      <c r="OG267" s="128">
        <v>28000</v>
      </c>
      <c r="OH267" s="128">
        <v>28000</v>
      </c>
      <c r="OL267" s="128">
        <v>0</v>
      </c>
      <c r="OM267" s="128">
        <v>0</v>
      </c>
      <c r="ON267" s="128">
        <v>0</v>
      </c>
      <c r="OR267" s="128">
        <v>0</v>
      </c>
      <c r="OS267" s="128">
        <v>0</v>
      </c>
      <c r="OT267" s="128">
        <v>0</v>
      </c>
      <c r="OX267" s="128">
        <v>45000</v>
      </c>
      <c r="OY267" s="128">
        <v>31500</v>
      </c>
      <c r="OZ267" s="128">
        <v>31500</v>
      </c>
      <c r="PD267" s="128">
        <v>552000</v>
      </c>
      <c r="PE267" s="128">
        <v>0</v>
      </c>
      <c r="PF267" s="128">
        <v>0</v>
      </c>
      <c r="PJ267" s="128">
        <v>78000</v>
      </c>
      <c r="PK267" s="128">
        <v>54600</v>
      </c>
      <c r="PL267" s="128">
        <v>54600</v>
      </c>
      <c r="PP267" s="128">
        <v>4385572</v>
      </c>
      <c r="PQ267" s="128">
        <v>2970065</v>
      </c>
      <c r="PR267" s="128">
        <v>2970065</v>
      </c>
      <c r="PS267" s="128">
        <v>100</v>
      </c>
      <c r="PT267" s="128">
        <v>100</v>
      </c>
      <c r="PV267" s="128">
        <v>2548798</v>
      </c>
      <c r="PX267" s="128">
        <v>1958870</v>
      </c>
      <c r="PY267" s="128">
        <v>2171123</v>
      </c>
      <c r="PZ267" s="128">
        <v>2970065</v>
      </c>
      <c r="QA267" s="128">
        <v>259173</v>
      </c>
      <c r="QB267" s="128">
        <v>320000</v>
      </c>
      <c r="QC267" s="128">
        <v>144000</v>
      </c>
      <c r="QD267" s="128">
        <v>0</v>
      </c>
      <c r="QE267" s="128">
        <v>0</v>
      </c>
      <c r="QF267" s="128">
        <v>0</v>
      </c>
      <c r="QG267" s="128">
        <v>0</v>
      </c>
      <c r="QH267" s="128">
        <v>0</v>
      </c>
      <c r="QI267" s="128">
        <v>0</v>
      </c>
      <c r="QJ267" s="128">
        <v>381600</v>
      </c>
      <c r="QK267" s="128">
        <v>410000</v>
      </c>
      <c r="QL267" s="128">
        <v>440000</v>
      </c>
      <c r="QN267" s="128">
        <v>0</v>
      </c>
      <c r="QO267" s="128">
        <v>0</v>
      </c>
      <c r="QP267" s="128">
        <v>0</v>
      </c>
      <c r="QU267" s="128">
        <v>135000</v>
      </c>
      <c r="QV267" s="128">
        <v>0</v>
      </c>
      <c r="QW267" s="128">
        <v>279507</v>
      </c>
      <c r="QX267" s="128">
        <v>189045</v>
      </c>
      <c r="QY267" s="128">
        <v>197000</v>
      </c>
      <c r="QZ267" s="128">
        <v>190000</v>
      </c>
      <c r="RD267" s="128">
        <v>502455</v>
      </c>
      <c r="RE267" s="128">
        <v>420900</v>
      </c>
      <c r="RF267" s="128">
        <v>362000</v>
      </c>
      <c r="RH267" s="128">
        <f t="shared" si="514"/>
        <v>3945572</v>
      </c>
      <c r="RI267" s="128">
        <v>0</v>
      </c>
      <c r="RM267" s="128" t="s">
        <v>220</v>
      </c>
      <c r="SF267" s="128">
        <f t="shared" si="423"/>
        <v>5539112</v>
      </c>
      <c r="SG267" s="131">
        <f t="shared" si="424"/>
        <v>4385572</v>
      </c>
      <c r="SH267" s="131">
        <f t="shared" si="425"/>
        <v>4385572</v>
      </c>
      <c r="SI267" s="131">
        <f t="shared" si="426"/>
        <v>2833072</v>
      </c>
      <c r="SJ267" s="132">
        <f t="shared" si="427"/>
        <v>2823072</v>
      </c>
      <c r="SK267" s="132">
        <f t="shared" si="428"/>
        <v>0</v>
      </c>
      <c r="SL267" s="132">
        <f t="shared" si="429"/>
        <v>10000</v>
      </c>
      <c r="SM267" s="132">
        <f t="shared" si="430"/>
        <v>0</v>
      </c>
      <c r="SN267" s="131">
        <f t="shared" si="431"/>
        <v>1552500</v>
      </c>
      <c r="SO267" s="131">
        <f t="shared" si="432"/>
        <v>65000</v>
      </c>
      <c r="SP267" s="132">
        <f t="shared" si="433"/>
        <v>50000</v>
      </c>
      <c r="SQ267" s="132">
        <f t="shared" si="434"/>
        <v>15000</v>
      </c>
      <c r="SR267" s="132">
        <f t="shared" si="435"/>
        <v>8000</v>
      </c>
      <c r="SS267" s="132">
        <f t="shared" si="436"/>
        <v>5000</v>
      </c>
      <c r="ST267" s="132">
        <f t="shared" si="437"/>
        <v>61000</v>
      </c>
      <c r="SU267" s="132">
        <f t="shared" si="438"/>
        <v>267700</v>
      </c>
      <c r="SV267" s="131">
        <f t="shared" si="439"/>
        <v>515800</v>
      </c>
      <c r="SW267" s="132">
        <f t="shared" si="440"/>
        <v>145000</v>
      </c>
      <c r="SX267" s="132">
        <f t="shared" si="441"/>
        <v>36000</v>
      </c>
      <c r="SY267" s="132">
        <f t="shared" si="442"/>
        <v>64800</v>
      </c>
      <c r="SZ267" s="132">
        <f t="shared" si="443"/>
        <v>90000</v>
      </c>
      <c r="TA267" s="132">
        <f t="shared" si="444"/>
        <v>20000</v>
      </c>
      <c r="TB267" s="132">
        <f t="shared" si="445"/>
        <v>75000</v>
      </c>
      <c r="TC267" s="132">
        <f t="shared" si="446"/>
        <v>40000</v>
      </c>
      <c r="TD267" s="132">
        <f t="shared" si="447"/>
        <v>0</v>
      </c>
      <c r="TE267" s="132">
        <f t="shared" si="448"/>
        <v>0</v>
      </c>
      <c r="TF267" s="132">
        <f t="shared" si="449"/>
        <v>45000</v>
      </c>
      <c r="TG267" s="132">
        <f t="shared" si="450"/>
        <v>552000</v>
      </c>
      <c r="TH267" s="132">
        <f t="shared" si="451"/>
        <v>78000</v>
      </c>
      <c r="TI267" s="1"/>
      <c r="TJ267" s="131">
        <f t="shared" si="452"/>
        <v>2970065</v>
      </c>
      <c r="TK267" s="131">
        <f t="shared" si="453"/>
        <v>2970065</v>
      </c>
      <c r="TL267" s="131">
        <f t="shared" si="454"/>
        <v>2265205</v>
      </c>
      <c r="TM267" s="132">
        <f t="shared" si="455"/>
        <v>2257205</v>
      </c>
      <c r="TN267" s="132">
        <f t="shared" si="456"/>
        <v>0</v>
      </c>
      <c r="TO267" s="132">
        <f t="shared" si="457"/>
        <v>8000</v>
      </c>
      <c r="TP267" s="132">
        <f t="shared" si="458"/>
        <v>0</v>
      </c>
      <c r="TQ267" s="131">
        <f t="shared" si="459"/>
        <v>704860</v>
      </c>
      <c r="TR267" s="131">
        <f t="shared" si="460"/>
        <v>50500</v>
      </c>
      <c r="TS267" s="132">
        <f t="shared" si="461"/>
        <v>40000</v>
      </c>
      <c r="TT267" s="132">
        <f t="shared" si="462"/>
        <v>10500</v>
      </c>
      <c r="TU267" s="132">
        <f t="shared" si="463"/>
        <v>5600</v>
      </c>
      <c r="TV267" s="132">
        <f t="shared" si="464"/>
        <v>3500</v>
      </c>
      <c r="TW267" s="132">
        <f t="shared" si="465"/>
        <v>42700</v>
      </c>
      <c r="TX267" s="132">
        <f t="shared" si="466"/>
        <v>186900</v>
      </c>
      <c r="TY267" s="131">
        <f t="shared" si="467"/>
        <v>361060</v>
      </c>
      <c r="TZ267" s="132">
        <f t="shared" si="468"/>
        <v>101500</v>
      </c>
      <c r="UA267" s="132">
        <f t="shared" si="469"/>
        <v>25200</v>
      </c>
      <c r="UB267" s="132">
        <f t="shared" si="470"/>
        <v>45360</v>
      </c>
      <c r="UC267" s="132">
        <f t="shared" si="471"/>
        <v>63000</v>
      </c>
      <c r="UD267" s="132">
        <f t="shared" si="472"/>
        <v>14000</v>
      </c>
      <c r="UE267" s="132">
        <f t="shared" si="473"/>
        <v>52500</v>
      </c>
      <c r="UF267" s="132">
        <f t="shared" si="474"/>
        <v>28000</v>
      </c>
      <c r="UG267" s="132">
        <f t="shared" si="475"/>
        <v>0</v>
      </c>
      <c r="UH267" s="132">
        <f t="shared" si="476"/>
        <v>0</v>
      </c>
      <c r="UI267" s="132">
        <f t="shared" si="477"/>
        <v>31500</v>
      </c>
      <c r="UJ267" s="132">
        <f t="shared" si="478"/>
        <v>0</v>
      </c>
      <c r="UK267" s="132">
        <f t="shared" si="479"/>
        <v>54600</v>
      </c>
      <c r="UL267" s="132">
        <f t="shared" si="480"/>
        <v>2970065</v>
      </c>
      <c r="UM267" s="131">
        <f t="shared" si="481"/>
        <v>2970065</v>
      </c>
      <c r="UN267" s="131">
        <f t="shared" si="482"/>
        <v>2970065</v>
      </c>
      <c r="UO267" s="131">
        <f t="shared" si="483"/>
        <v>2265205</v>
      </c>
      <c r="UP267" s="132">
        <f t="shared" si="484"/>
        <v>2257205</v>
      </c>
      <c r="UQ267" s="132">
        <f t="shared" si="485"/>
        <v>0</v>
      </c>
      <c r="UR267" s="132">
        <f t="shared" si="486"/>
        <v>8000</v>
      </c>
      <c r="US267" s="132">
        <f t="shared" si="487"/>
        <v>0</v>
      </c>
      <c r="UT267" s="131">
        <f t="shared" si="488"/>
        <v>704860</v>
      </c>
      <c r="UU267" s="131">
        <f t="shared" si="489"/>
        <v>50500</v>
      </c>
      <c r="UV267" s="132">
        <f t="shared" si="490"/>
        <v>40000</v>
      </c>
      <c r="UW267" s="132">
        <f t="shared" si="491"/>
        <v>10500</v>
      </c>
      <c r="UX267" s="132">
        <f t="shared" si="492"/>
        <v>5600</v>
      </c>
      <c r="UY267" s="132">
        <f t="shared" si="493"/>
        <v>3500</v>
      </c>
      <c r="UZ267" s="132">
        <f t="shared" si="494"/>
        <v>42700</v>
      </c>
      <c r="VA267" s="132">
        <f t="shared" si="495"/>
        <v>186900</v>
      </c>
      <c r="VB267" s="131">
        <f t="shared" si="496"/>
        <v>361060</v>
      </c>
      <c r="VC267" s="132">
        <f t="shared" si="497"/>
        <v>101500</v>
      </c>
      <c r="VD267" s="132">
        <f t="shared" si="498"/>
        <v>25200</v>
      </c>
      <c r="VE267" s="132">
        <f t="shared" si="499"/>
        <v>45360</v>
      </c>
      <c r="VF267" s="132">
        <f t="shared" si="500"/>
        <v>63000</v>
      </c>
      <c r="VG267" s="132">
        <f t="shared" si="501"/>
        <v>14000</v>
      </c>
      <c r="VH267" s="132">
        <f t="shared" si="502"/>
        <v>52500</v>
      </c>
      <c r="VI267" s="132">
        <f t="shared" si="503"/>
        <v>28000</v>
      </c>
      <c r="VJ267" s="132">
        <f t="shared" si="504"/>
        <v>0</v>
      </c>
      <c r="VK267" s="132">
        <f t="shared" si="505"/>
        <v>0</v>
      </c>
      <c r="VL267" s="132">
        <f t="shared" si="506"/>
        <v>31500</v>
      </c>
      <c r="VM267" s="132">
        <f t="shared" si="507"/>
        <v>0</v>
      </c>
      <c r="VN267" s="132">
        <f t="shared" si="508"/>
        <v>54600</v>
      </c>
      <c r="VP267" s="845" t="str">
        <f>IFERROR(HLOOKUP(F267,'Hodnocení '!$C$1:$JH$5,2,FALSE),0)</f>
        <v>Život bez bariér, z. ú.</v>
      </c>
      <c r="VQ267" s="838"/>
      <c r="VR267" s="845" t="str">
        <f t="shared" si="515"/>
        <v>Ústav</v>
      </c>
      <c r="VS267" s="845" t="str">
        <f>IFERROR(HLOOKUP(F267,'Hodnocení '!$C$1:$JH$5,5,FALSE),0)</f>
        <v>NZO</v>
      </c>
      <c r="VT267" s="838">
        <f t="shared" si="516"/>
        <v>0</v>
      </c>
      <c r="VU267" s="838">
        <f t="shared" si="517"/>
        <v>0</v>
      </c>
      <c r="VV267" s="838">
        <f t="shared" si="518"/>
        <v>440000</v>
      </c>
      <c r="VW267" s="838">
        <f t="shared" si="519"/>
        <v>0</v>
      </c>
      <c r="VX267" s="838"/>
      <c r="VY267" s="838">
        <f t="shared" si="419"/>
        <v>0</v>
      </c>
      <c r="VZ267" s="838">
        <f t="shared" si="420"/>
        <v>2970065</v>
      </c>
      <c r="WA267" s="846">
        <f>IFERROR(HLOOKUP($F267,'Hodnocení '!$C$1:$JH$9,9,FALSE),0)</f>
        <v>2970065</v>
      </c>
      <c r="WB267" s="846">
        <f>IF(IFERROR(HLOOKUP($F267,'Hodnocení '!$C$1:$JH$13,13,FALSE),0)&gt;WA267,WA267,IFERROR(HLOOKUP($F267,'Hodnocení '!$C$1:$JH$13,13,FALSE),0))</f>
        <v>2970065</v>
      </c>
      <c r="WC267" s="846">
        <f>IFERROR(HLOOKUP($F267,'Hodnocení '!$C$1:$JH$155,155,FALSE),0)</f>
        <v>2970060</v>
      </c>
      <c r="WD267" s="845"/>
      <c r="WE267" s="845"/>
      <c r="WF267" s="845" t="str">
        <f t="shared" si="509"/>
        <v>ANO</v>
      </c>
      <c r="WG267" s="849" t="str">
        <f t="shared" si="421"/>
        <v>Podpora služby je vyjádřena zařazením do sítě sociálních služeb v KHK a řešením financování služby</v>
      </c>
      <c r="WH267"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67" s="849" t="str">
        <f t="shared" si="421"/>
        <v>Návrh dotace je výsledkem projednání s ostatními zadavateli v rámci sítě služeb KHK</v>
      </c>
      <c r="WJ267" s="849" t="str">
        <f t="shared" si="421"/>
        <v>Bez komentáře</v>
      </c>
      <c r="WK267" s="31">
        <f t="shared" si="510"/>
        <v>0</v>
      </c>
      <c r="WL267" s="850">
        <f t="shared" si="511"/>
        <v>0</v>
      </c>
      <c r="WM267" s="849" t="str">
        <f t="shared" si="512"/>
        <v>V rámci sítě KHK se dlouhodobě řeší otázka navyšování úhrad a průběžně se monitoruje s vazbou na vykrytí vyrovnávací platby</v>
      </c>
      <c r="WN267" s="849">
        <f t="shared" si="513"/>
        <v>0</v>
      </c>
      <c r="WO267" s="849" t="str">
        <f t="shared" si="422"/>
        <v>bez komentáře</v>
      </c>
      <c r="WP267" s="849" t="str">
        <f t="shared" si="422"/>
        <v>bez komentáře</v>
      </c>
      <c r="WQ267" s="849" t="str">
        <f t="shared" si="422"/>
        <v>Konečná výše dotace z rozpočtu KHK bude řešena v návaznosti na řešení podílů jednotlivých zadavatelů.</v>
      </c>
      <c r="WR267" s="849" t="str">
        <f t="shared" si="422"/>
        <v>Konečná výše podpory ze stran obcí bude řešena v součinnosti s jednotlivými zadavateli v průběhu roku.</v>
      </c>
      <c r="WS267" s="849" t="str">
        <f t="shared" si="422"/>
        <v>bez komentáře</v>
      </c>
      <c r="WT267" s="849" t="str">
        <f t="shared" si="422"/>
        <v>bez komentáře</v>
      </c>
      <c r="WU267" s="845"/>
    </row>
    <row r="268" spans="1:619" s="128" customFormat="1" x14ac:dyDescent="0.25">
      <c r="A268" s="128" t="str">
        <f>VLOOKUP(F268,'Výpočet VP 2020'!$D$324:$I$588,6,FALSE)</f>
        <v>Je v síti</v>
      </c>
      <c r="B268" s="128" t="s">
        <v>1024</v>
      </c>
      <c r="C268" s="128">
        <v>26652561</v>
      </c>
      <c r="D268" s="128" t="s">
        <v>1025</v>
      </c>
      <c r="E268" s="128" t="s">
        <v>272</v>
      </c>
      <c r="F268" s="128">
        <v>7218817</v>
      </c>
      <c r="G268" s="128" t="s">
        <v>235</v>
      </c>
      <c r="H268" s="128" t="s">
        <v>230</v>
      </c>
      <c r="I268" s="128" t="s">
        <v>700</v>
      </c>
      <c r="J268" s="128">
        <v>39083</v>
      </c>
      <c r="L268" s="128" t="s">
        <v>220</v>
      </c>
      <c r="X268" s="128" t="s">
        <v>322</v>
      </c>
      <c r="Z268" s="128">
        <v>20</v>
      </c>
      <c r="AA268" s="128">
        <v>20</v>
      </c>
      <c r="AB268" s="128">
        <v>23</v>
      </c>
      <c r="AC268" s="128">
        <v>23</v>
      </c>
      <c r="AD268" s="128">
        <v>25</v>
      </c>
      <c r="AO268" s="128" t="s">
        <v>1027</v>
      </c>
      <c r="BL268" s="128" t="s">
        <v>233</v>
      </c>
      <c r="BM268" s="128" t="s">
        <v>304</v>
      </c>
      <c r="BN268" s="128" t="s">
        <v>338</v>
      </c>
      <c r="EK268" s="128">
        <v>1</v>
      </c>
      <c r="EL268" s="128">
        <v>0.3</v>
      </c>
      <c r="EM268" s="128">
        <v>0.5</v>
      </c>
      <c r="EN268" s="128">
        <v>144504</v>
      </c>
      <c r="EO268" s="128">
        <v>115200</v>
      </c>
      <c r="EP268" s="128">
        <v>4</v>
      </c>
      <c r="EQ268" s="128">
        <v>3.4</v>
      </c>
      <c r="ER268" s="128">
        <v>2.9</v>
      </c>
      <c r="ES268" s="128">
        <v>1261900</v>
      </c>
      <c r="ET268" s="128">
        <v>1009520</v>
      </c>
      <c r="FO268" s="128">
        <v>6</v>
      </c>
      <c r="FP268" s="128">
        <v>2.5</v>
      </c>
      <c r="FQ268" s="128">
        <v>1.8</v>
      </c>
      <c r="FR268" s="128">
        <v>1409715</v>
      </c>
      <c r="FS268" s="128">
        <v>1127726</v>
      </c>
      <c r="KG268" s="128">
        <v>0</v>
      </c>
      <c r="KI268" s="128">
        <v>3.7</v>
      </c>
      <c r="KJ268" s="128">
        <v>0</v>
      </c>
      <c r="KK268" s="128">
        <v>0</v>
      </c>
      <c r="KL268" s="128">
        <v>0</v>
      </c>
      <c r="KM268" s="128">
        <v>3.7</v>
      </c>
      <c r="KN268" s="128">
        <v>2816119</v>
      </c>
      <c r="KO268" s="128">
        <v>2252446</v>
      </c>
      <c r="KP268" s="128">
        <v>2252446</v>
      </c>
      <c r="KT268" s="128">
        <v>0</v>
      </c>
      <c r="KU268" s="128">
        <v>0</v>
      </c>
      <c r="KV268" s="128">
        <v>0</v>
      </c>
      <c r="KZ268" s="128">
        <v>0</v>
      </c>
      <c r="LA268" s="128">
        <v>0</v>
      </c>
      <c r="LB268" s="128">
        <v>0</v>
      </c>
      <c r="LF268" s="128">
        <v>15000</v>
      </c>
      <c r="LG268" s="128">
        <v>12000</v>
      </c>
      <c r="LH268" s="128">
        <v>12000</v>
      </c>
      <c r="LL268" s="128">
        <v>40000</v>
      </c>
      <c r="LM268" s="128">
        <v>32000</v>
      </c>
      <c r="LN268" s="128">
        <v>32000</v>
      </c>
      <c r="LR268" s="128">
        <v>25000</v>
      </c>
      <c r="LS268" s="128">
        <v>20000</v>
      </c>
      <c r="LT268" s="128">
        <v>20000</v>
      </c>
      <c r="LX268" s="128">
        <v>5000</v>
      </c>
      <c r="LY268" s="128">
        <v>4000</v>
      </c>
      <c r="LZ268" s="128">
        <v>4000</v>
      </c>
      <c r="MD268" s="128">
        <v>4000</v>
      </c>
      <c r="ME268" s="128">
        <v>3200</v>
      </c>
      <c r="MF268" s="128">
        <v>3200</v>
      </c>
      <c r="MJ268" s="128">
        <v>40000</v>
      </c>
      <c r="MK268" s="128">
        <v>32000</v>
      </c>
      <c r="ML268" s="128">
        <v>32000</v>
      </c>
      <c r="MP268" s="128">
        <v>150000</v>
      </c>
      <c r="MQ268" s="128">
        <v>120000</v>
      </c>
      <c r="MR268" s="128">
        <v>120000</v>
      </c>
      <c r="MV268" s="128">
        <v>145000</v>
      </c>
      <c r="MW268" s="128">
        <v>116000</v>
      </c>
      <c r="MX268" s="128">
        <v>116000</v>
      </c>
      <c r="NB268" s="128">
        <v>45000</v>
      </c>
      <c r="NC268" s="128">
        <v>36000</v>
      </c>
      <c r="ND268" s="128">
        <v>36000</v>
      </c>
      <c r="NH268" s="128">
        <v>64800</v>
      </c>
      <c r="NI268" s="128">
        <v>54840</v>
      </c>
      <c r="NJ268" s="128">
        <v>54840</v>
      </c>
      <c r="NN268" s="128">
        <v>80000</v>
      </c>
      <c r="NO268" s="128">
        <v>64000</v>
      </c>
      <c r="NP268" s="128">
        <v>64000</v>
      </c>
      <c r="NT268" s="128">
        <v>20000</v>
      </c>
      <c r="NU268" s="128">
        <v>16000</v>
      </c>
      <c r="NV268" s="128">
        <v>16000</v>
      </c>
      <c r="NZ268" s="128">
        <v>50000</v>
      </c>
      <c r="OA268" s="128">
        <v>40000</v>
      </c>
      <c r="OB268" s="128">
        <v>40000</v>
      </c>
      <c r="OF268" s="128">
        <v>27000</v>
      </c>
      <c r="OG268" s="128">
        <v>21600</v>
      </c>
      <c r="OH268" s="128">
        <v>21600</v>
      </c>
      <c r="OL268" s="128">
        <v>0</v>
      </c>
      <c r="OM268" s="128">
        <v>0</v>
      </c>
      <c r="ON268" s="128">
        <v>0</v>
      </c>
      <c r="OR268" s="128">
        <v>0</v>
      </c>
      <c r="OS268" s="128">
        <v>0</v>
      </c>
      <c r="OT268" s="128">
        <v>0</v>
      </c>
      <c r="OX268" s="128">
        <v>25000</v>
      </c>
      <c r="OY268" s="128">
        <v>20000</v>
      </c>
      <c r="OZ268" s="128">
        <v>20000</v>
      </c>
      <c r="PD268" s="128">
        <v>442104</v>
      </c>
      <c r="PE268" s="128">
        <v>0</v>
      </c>
      <c r="PF268" s="128">
        <v>0</v>
      </c>
      <c r="PJ268" s="128">
        <v>53000</v>
      </c>
      <c r="PK268" s="128">
        <v>42400</v>
      </c>
      <c r="PL268" s="128">
        <v>42400</v>
      </c>
      <c r="PP268" s="128">
        <v>4047023</v>
      </c>
      <c r="PQ268" s="128">
        <v>2886486</v>
      </c>
      <c r="PR268" s="128">
        <v>2886486</v>
      </c>
      <c r="PS268" s="128">
        <v>100</v>
      </c>
      <c r="PT268" s="128">
        <v>100</v>
      </c>
      <c r="PX268" s="128">
        <v>475921</v>
      </c>
      <c r="PY268" s="128">
        <v>1907738</v>
      </c>
      <c r="PZ268" s="128">
        <v>2886486</v>
      </c>
      <c r="QA268" s="128">
        <v>182566</v>
      </c>
      <c r="QB268" s="128">
        <v>200000</v>
      </c>
      <c r="QC268" s="128">
        <v>250000</v>
      </c>
      <c r="QD268" s="128">
        <v>0</v>
      </c>
      <c r="QE268" s="128">
        <v>0</v>
      </c>
      <c r="QF268" s="128">
        <v>0</v>
      </c>
      <c r="QG268" s="128">
        <v>0</v>
      </c>
      <c r="QH268" s="128">
        <v>0</v>
      </c>
      <c r="QI268" s="128">
        <v>0</v>
      </c>
      <c r="QJ268" s="128">
        <v>4393</v>
      </c>
      <c r="QK268" s="128">
        <v>12000</v>
      </c>
      <c r="QL268" s="128">
        <v>20000</v>
      </c>
      <c r="QN268" s="128">
        <v>0</v>
      </c>
      <c r="QO268" s="128">
        <v>0</v>
      </c>
      <c r="QP268" s="128">
        <v>0</v>
      </c>
      <c r="QU268" s="128">
        <v>0</v>
      </c>
      <c r="QV268" s="128">
        <v>0</v>
      </c>
      <c r="QW268" s="128">
        <v>496121</v>
      </c>
      <c r="QX268" s="128">
        <v>60000</v>
      </c>
      <c r="QY268" s="128">
        <v>40000</v>
      </c>
      <c r="QZ268" s="128">
        <v>70000</v>
      </c>
      <c r="RA268" s="128">
        <v>1292861</v>
      </c>
      <c r="RB268" s="128">
        <v>653384</v>
      </c>
      <c r="RC268" s="128">
        <v>0</v>
      </c>
      <c r="RD268" s="128">
        <v>372787</v>
      </c>
      <c r="RE268" s="128">
        <v>250000</v>
      </c>
      <c r="RF268" s="128">
        <v>324416</v>
      </c>
      <c r="RH268" s="128">
        <f t="shared" si="514"/>
        <v>4027023</v>
      </c>
      <c r="RI268" s="128">
        <v>0</v>
      </c>
      <c r="RM268" s="128" t="s">
        <v>220</v>
      </c>
      <c r="SF268" s="128">
        <f t="shared" si="423"/>
        <v>7218817</v>
      </c>
      <c r="SG268" s="131">
        <f t="shared" si="424"/>
        <v>4047023</v>
      </c>
      <c r="SH268" s="131">
        <f t="shared" si="425"/>
        <v>4047023</v>
      </c>
      <c r="SI268" s="131">
        <f t="shared" si="426"/>
        <v>2831119</v>
      </c>
      <c r="SJ268" s="132">
        <f t="shared" si="427"/>
        <v>2816119</v>
      </c>
      <c r="SK268" s="132">
        <f t="shared" si="428"/>
        <v>0</v>
      </c>
      <c r="SL268" s="132">
        <f t="shared" si="429"/>
        <v>0</v>
      </c>
      <c r="SM268" s="132">
        <f t="shared" si="430"/>
        <v>15000</v>
      </c>
      <c r="SN268" s="131">
        <f t="shared" si="431"/>
        <v>1215904</v>
      </c>
      <c r="SO268" s="131">
        <f t="shared" si="432"/>
        <v>65000</v>
      </c>
      <c r="SP268" s="132">
        <f t="shared" si="433"/>
        <v>40000</v>
      </c>
      <c r="SQ268" s="132">
        <f t="shared" si="434"/>
        <v>25000</v>
      </c>
      <c r="SR268" s="132">
        <f t="shared" si="435"/>
        <v>5000</v>
      </c>
      <c r="SS268" s="132">
        <f t="shared" si="436"/>
        <v>4000</v>
      </c>
      <c r="ST268" s="132">
        <f t="shared" si="437"/>
        <v>40000</v>
      </c>
      <c r="SU268" s="132">
        <f t="shared" si="438"/>
        <v>150000</v>
      </c>
      <c r="SV268" s="131">
        <f t="shared" si="439"/>
        <v>456800</v>
      </c>
      <c r="SW268" s="132">
        <f t="shared" si="440"/>
        <v>145000</v>
      </c>
      <c r="SX268" s="132">
        <f t="shared" si="441"/>
        <v>45000</v>
      </c>
      <c r="SY268" s="132">
        <f t="shared" si="442"/>
        <v>64800</v>
      </c>
      <c r="SZ268" s="132">
        <f t="shared" si="443"/>
        <v>80000</v>
      </c>
      <c r="TA268" s="132">
        <f t="shared" si="444"/>
        <v>20000</v>
      </c>
      <c r="TB268" s="132">
        <f t="shared" si="445"/>
        <v>50000</v>
      </c>
      <c r="TC268" s="132">
        <f t="shared" si="446"/>
        <v>27000</v>
      </c>
      <c r="TD268" s="132">
        <f t="shared" si="447"/>
        <v>0</v>
      </c>
      <c r="TE268" s="132">
        <f t="shared" si="448"/>
        <v>0</v>
      </c>
      <c r="TF268" s="132">
        <f t="shared" si="449"/>
        <v>25000</v>
      </c>
      <c r="TG268" s="132">
        <f t="shared" si="450"/>
        <v>442104</v>
      </c>
      <c r="TH268" s="132">
        <f t="shared" si="451"/>
        <v>53000</v>
      </c>
      <c r="TI268" s="1"/>
      <c r="TJ268" s="131">
        <f t="shared" si="452"/>
        <v>2886486</v>
      </c>
      <c r="TK268" s="131">
        <f t="shared" si="453"/>
        <v>2886486</v>
      </c>
      <c r="TL268" s="131">
        <f t="shared" si="454"/>
        <v>2264446</v>
      </c>
      <c r="TM268" s="132">
        <f t="shared" si="455"/>
        <v>2252446</v>
      </c>
      <c r="TN268" s="132">
        <f t="shared" si="456"/>
        <v>0</v>
      </c>
      <c r="TO268" s="132">
        <f t="shared" si="457"/>
        <v>0</v>
      </c>
      <c r="TP268" s="132">
        <f t="shared" si="458"/>
        <v>12000</v>
      </c>
      <c r="TQ268" s="131">
        <f t="shared" si="459"/>
        <v>622040</v>
      </c>
      <c r="TR268" s="131">
        <f t="shared" si="460"/>
        <v>52000</v>
      </c>
      <c r="TS268" s="132">
        <f t="shared" si="461"/>
        <v>32000</v>
      </c>
      <c r="TT268" s="132">
        <f t="shared" si="462"/>
        <v>20000</v>
      </c>
      <c r="TU268" s="132">
        <f t="shared" si="463"/>
        <v>4000</v>
      </c>
      <c r="TV268" s="132">
        <f t="shared" si="464"/>
        <v>3200</v>
      </c>
      <c r="TW268" s="132">
        <f t="shared" si="465"/>
        <v>32000</v>
      </c>
      <c r="TX268" s="132">
        <f t="shared" si="466"/>
        <v>120000</v>
      </c>
      <c r="TY268" s="131">
        <f t="shared" si="467"/>
        <v>368440</v>
      </c>
      <c r="TZ268" s="132">
        <f t="shared" si="468"/>
        <v>116000</v>
      </c>
      <c r="UA268" s="132">
        <f t="shared" si="469"/>
        <v>36000</v>
      </c>
      <c r="UB268" s="132">
        <f t="shared" si="470"/>
        <v>54840</v>
      </c>
      <c r="UC268" s="132">
        <f t="shared" si="471"/>
        <v>64000</v>
      </c>
      <c r="UD268" s="132">
        <f t="shared" si="472"/>
        <v>16000</v>
      </c>
      <c r="UE268" s="132">
        <f t="shared" si="473"/>
        <v>40000</v>
      </c>
      <c r="UF268" s="132">
        <f t="shared" si="474"/>
        <v>21600</v>
      </c>
      <c r="UG268" s="132">
        <f t="shared" si="475"/>
        <v>0</v>
      </c>
      <c r="UH268" s="132">
        <f t="shared" si="476"/>
        <v>0</v>
      </c>
      <c r="UI268" s="132">
        <f t="shared" si="477"/>
        <v>20000</v>
      </c>
      <c r="UJ268" s="132">
        <f t="shared" si="478"/>
        <v>0</v>
      </c>
      <c r="UK268" s="132">
        <f t="shared" si="479"/>
        <v>42400</v>
      </c>
      <c r="UL268" s="132">
        <f t="shared" si="480"/>
        <v>2886486</v>
      </c>
      <c r="UM268" s="131">
        <f t="shared" si="481"/>
        <v>2886486</v>
      </c>
      <c r="UN268" s="131">
        <f t="shared" si="482"/>
        <v>2886486</v>
      </c>
      <c r="UO268" s="131">
        <f t="shared" si="483"/>
        <v>2264446</v>
      </c>
      <c r="UP268" s="132">
        <f t="shared" si="484"/>
        <v>2252446</v>
      </c>
      <c r="UQ268" s="132">
        <f t="shared" si="485"/>
        <v>0</v>
      </c>
      <c r="UR268" s="132">
        <f t="shared" si="486"/>
        <v>0</v>
      </c>
      <c r="US268" s="132">
        <f t="shared" si="487"/>
        <v>12000</v>
      </c>
      <c r="UT268" s="131">
        <f t="shared" si="488"/>
        <v>622040</v>
      </c>
      <c r="UU268" s="131">
        <f t="shared" si="489"/>
        <v>52000</v>
      </c>
      <c r="UV268" s="132">
        <f t="shared" si="490"/>
        <v>32000</v>
      </c>
      <c r="UW268" s="132">
        <f t="shared" si="491"/>
        <v>20000</v>
      </c>
      <c r="UX268" s="132">
        <f t="shared" si="492"/>
        <v>4000</v>
      </c>
      <c r="UY268" s="132">
        <f t="shared" si="493"/>
        <v>3200</v>
      </c>
      <c r="UZ268" s="132">
        <f t="shared" si="494"/>
        <v>32000</v>
      </c>
      <c r="VA268" s="132">
        <f t="shared" si="495"/>
        <v>120000</v>
      </c>
      <c r="VB268" s="131">
        <f t="shared" si="496"/>
        <v>368440</v>
      </c>
      <c r="VC268" s="132">
        <f t="shared" si="497"/>
        <v>116000</v>
      </c>
      <c r="VD268" s="132">
        <f t="shared" si="498"/>
        <v>36000</v>
      </c>
      <c r="VE268" s="132">
        <f t="shared" si="499"/>
        <v>54840</v>
      </c>
      <c r="VF268" s="132">
        <f t="shared" si="500"/>
        <v>64000</v>
      </c>
      <c r="VG268" s="132">
        <f t="shared" si="501"/>
        <v>16000</v>
      </c>
      <c r="VH268" s="132">
        <f t="shared" si="502"/>
        <v>40000</v>
      </c>
      <c r="VI268" s="132">
        <f t="shared" si="503"/>
        <v>21600</v>
      </c>
      <c r="VJ268" s="132">
        <f t="shared" si="504"/>
        <v>0</v>
      </c>
      <c r="VK268" s="132">
        <f t="shared" si="505"/>
        <v>0</v>
      </c>
      <c r="VL268" s="132">
        <f t="shared" si="506"/>
        <v>20000</v>
      </c>
      <c r="VM268" s="132">
        <f t="shared" si="507"/>
        <v>0</v>
      </c>
      <c r="VN268" s="132">
        <f t="shared" si="508"/>
        <v>42400</v>
      </c>
      <c r="VP268" s="845" t="str">
        <f>IFERROR(HLOOKUP(F268,'Hodnocení '!$C$1:$JH$5,2,FALSE),0)</f>
        <v>Život bez bariér, z.ú</v>
      </c>
      <c r="VQ268" s="838"/>
      <c r="VR268" s="845" t="str">
        <f t="shared" si="515"/>
        <v>Ústav</v>
      </c>
      <c r="VS268" s="845" t="str">
        <f>IFERROR(HLOOKUP(F268,'Hodnocení '!$C$1:$JH$5,5,FALSE),0)</f>
        <v>NZO</v>
      </c>
      <c r="VT268" s="838">
        <f t="shared" si="516"/>
        <v>0</v>
      </c>
      <c r="VU268" s="838">
        <f t="shared" si="517"/>
        <v>0</v>
      </c>
      <c r="VV268" s="838">
        <f t="shared" si="518"/>
        <v>20000</v>
      </c>
      <c r="VW268" s="838">
        <f t="shared" si="519"/>
        <v>0</v>
      </c>
      <c r="VX268" s="838"/>
      <c r="VY268" s="838">
        <f t="shared" si="419"/>
        <v>0</v>
      </c>
      <c r="VZ268" s="838">
        <f t="shared" si="420"/>
        <v>2886486</v>
      </c>
      <c r="WA268" s="846">
        <f>IFERROR(HLOOKUP($F268,'Hodnocení '!$C$1:$JH$9,9,FALSE),0)</f>
        <v>2886486</v>
      </c>
      <c r="WB268" s="846">
        <f>IF(IFERROR(HLOOKUP($F268,'Hodnocení '!$C$1:$JH$13,13,FALSE),0)&gt;WA268,WA268,IFERROR(HLOOKUP($F268,'Hodnocení '!$C$1:$JH$13,13,FALSE),0))</f>
        <v>1864761.1598538682</v>
      </c>
      <c r="WC268" s="846">
        <f>IFERROR(HLOOKUP($F268,'Hodnocení '!$C$1:$JH$155,155,FALSE),0)</f>
        <v>1939350</v>
      </c>
      <c r="WD268" s="845"/>
      <c r="WE268" s="845"/>
      <c r="WF268" s="845" t="str">
        <f t="shared" si="509"/>
        <v>ANO</v>
      </c>
      <c r="WG268" s="849" t="str">
        <f t="shared" si="421"/>
        <v>Podpora služby je vyjádřena zařazením do sítě sociálních služeb v KHK a řešením financování služby</v>
      </c>
      <c r="WH268"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68" s="849" t="str">
        <f t="shared" si="421"/>
        <v>Návrh dotace je výsledkem projednání s ostatními zadavateli v rámci sítě služeb KHK</v>
      </c>
      <c r="WJ268" s="849" t="str">
        <f t="shared" si="421"/>
        <v>Bez komentáře</v>
      </c>
      <c r="WK268" s="31">
        <f t="shared" si="510"/>
        <v>0</v>
      </c>
      <c r="WL268" s="850">
        <f t="shared" si="511"/>
        <v>0</v>
      </c>
      <c r="WM268" s="849" t="str">
        <f t="shared" si="512"/>
        <v>V rámci sítě KHK se dlouhodobě řeší otázka navyšování úhrad a průběžně se monitoruje s vazbou na vykrytí vyrovnávací platby</v>
      </c>
      <c r="WN268" s="849">
        <f t="shared" si="513"/>
        <v>0</v>
      </c>
      <c r="WO268" s="849" t="str">
        <f t="shared" si="422"/>
        <v>bez komentáře</v>
      </c>
      <c r="WP268" s="849" t="str">
        <f t="shared" si="422"/>
        <v>bez komentáře</v>
      </c>
      <c r="WQ268" s="849" t="str">
        <f t="shared" si="422"/>
        <v>Konečná výše dotace z rozpočtu KHK bude řešena v návaznosti na řešení podílů jednotlivých zadavatelů.</v>
      </c>
      <c r="WR268" s="849" t="str">
        <f t="shared" si="422"/>
        <v>Konečná výše podpory ze stran obcí bude řešena v součinnosti s jednotlivými zadavateli v průběhu roku.</v>
      </c>
      <c r="WS268" s="849" t="str">
        <f t="shared" si="422"/>
        <v>bez komentáře</v>
      </c>
      <c r="WT268" s="849" t="str">
        <f t="shared" si="422"/>
        <v>bez komentáře</v>
      </c>
      <c r="WU268" s="845"/>
    </row>
    <row r="269" spans="1:619" s="128" customFormat="1" x14ac:dyDescent="0.25">
      <c r="A269" s="128" t="str">
        <f>VLOOKUP(F269,'Výpočet VP 2020'!$D$324:$I$588,6,FALSE)</f>
        <v>Je v síti</v>
      </c>
      <c r="B269" s="128" t="s">
        <v>1024</v>
      </c>
      <c r="C269" s="128">
        <v>26652561</v>
      </c>
      <c r="D269" s="128" t="s">
        <v>1025</v>
      </c>
      <c r="E269" s="128" t="s">
        <v>272</v>
      </c>
      <c r="F269" s="128">
        <v>9223303</v>
      </c>
      <c r="G269" s="128" t="s">
        <v>292</v>
      </c>
      <c r="H269" s="128" t="s">
        <v>293</v>
      </c>
      <c r="I269" s="128" t="s">
        <v>1028</v>
      </c>
      <c r="J269" s="128">
        <v>39083</v>
      </c>
      <c r="L269" s="128" t="s">
        <v>220</v>
      </c>
      <c r="X269" s="128" t="s">
        <v>232</v>
      </c>
      <c r="AI269" s="128">
        <v>10</v>
      </c>
      <c r="AJ269" s="128">
        <v>10</v>
      </c>
      <c r="AK269" s="128">
        <v>55</v>
      </c>
      <c r="AL269" s="128">
        <v>60</v>
      </c>
      <c r="AM269" s="128">
        <v>60</v>
      </c>
      <c r="AP269" s="128" t="s">
        <v>320</v>
      </c>
      <c r="BE269" s="128">
        <v>10</v>
      </c>
      <c r="BF269" s="128">
        <v>10</v>
      </c>
      <c r="BG269" s="128">
        <v>55</v>
      </c>
      <c r="BH269" s="128">
        <v>60</v>
      </c>
      <c r="BI269" s="128">
        <v>60</v>
      </c>
      <c r="BL269" s="128" t="s">
        <v>1029</v>
      </c>
      <c r="BM269" s="128" t="s">
        <v>340</v>
      </c>
      <c r="BN269" s="128" t="s">
        <v>424</v>
      </c>
      <c r="EK269" s="128">
        <v>1</v>
      </c>
      <c r="EL269" s="128">
        <v>0.4</v>
      </c>
      <c r="EM269" s="128">
        <v>0.4</v>
      </c>
      <c r="EN269" s="128">
        <v>192672</v>
      </c>
      <c r="EO269" s="128">
        <v>153600</v>
      </c>
      <c r="FO269" s="128">
        <v>2</v>
      </c>
      <c r="FP269" s="128">
        <v>0.2</v>
      </c>
      <c r="FQ269" s="128">
        <v>0.2</v>
      </c>
      <c r="FR269" s="128">
        <v>120420</v>
      </c>
      <c r="FS269" s="128">
        <v>96000</v>
      </c>
      <c r="KG269" s="128">
        <v>0</v>
      </c>
      <c r="KI269" s="128">
        <v>0.4</v>
      </c>
      <c r="KJ269" s="128">
        <v>0</v>
      </c>
      <c r="KK269" s="128">
        <v>0</v>
      </c>
      <c r="KL269" s="128">
        <v>0</v>
      </c>
      <c r="KM269" s="128">
        <v>0.4</v>
      </c>
      <c r="KN269" s="128">
        <v>313092</v>
      </c>
      <c r="KO269" s="128">
        <v>249600</v>
      </c>
      <c r="KP269" s="128">
        <v>249600</v>
      </c>
      <c r="KT269" s="128">
        <v>0</v>
      </c>
      <c r="KU269" s="128">
        <v>0</v>
      </c>
      <c r="KV269" s="128">
        <v>0</v>
      </c>
      <c r="KZ269" s="128">
        <v>0</v>
      </c>
      <c r="LA269" s="128">
        <v>0</v>
      </c>
      <c r="LB269" s="128">
        <v>0</v>
      </c>
      <c r="LF269" s="128">
        <v>25000</v>
      </c>
      <c r="LG269" s="128">
        <v>20000</v>
      </c>
      <c r="LH269" s="128">
        <v>20000</v>
      </c>
      <c r="LL269" s="128">
        <v>20000</v>
      </c>
      <c r="LM269" s="128">
        <v>18000</v>
      </c>
      <c r="LN269" s="128">
        <v>18000</v>
      </c>
      <c r="LR269" s="128">
        <v>5000</v>
      </c>
      <c r="LS269" s="128">
        <v>4000</v>
      </c>
      <c r="LT269" s="128">
        <v>4000</v>
      </c>
      <c r="LX269" s="128">
        <v>0</v>
      </c>
      <c r="LY269" s="128">
        <v>0</v>
      </c>
      <c r="LZ269" s="128">
        <v>0</v>
      </c>
      <c r="MD269" s="128">
        <v>3000</v>
      </c>
      <c r="ME269" s="128">
        <v>2400</v>
      </c>
      <c r="MF269" s="128">
        <v>2400</v>
      </c>
      <c r="MJ269" s="128">
        <v>11000</v>
      </c>
      <c r="MK269" s="128">
        <v>8800</v>
      </c>
      <c r="ML269" s="128">
        <v>8800</v>
      </c>
      <c r="MP269" s="128">
        <v>15000</v>
      </c>
      <c r="MQ269" s="128">
        <v>12000</v>
      </c>
      <c r="MR269" s="128">
        <v>12000</v>
      </c>
      <c r="MV269" s="128">
        <v>25000</v>
      </c>
      <c r="MW269" s="128">
        <v>20000</v>
      </c>
      <c r="MX269" s="128">
        <v>20000</v>
      </c>
      <c r="NB269" s="128">
        <v>10000</v>
      </c>
      <c r="NC269" s="128">
        <v>8000</v>
      </c>
      <c r="ND269" s="128">
        <v>8000</v>
      </c>
      <c r="NH269" s="128">
        <v>17500</v>
      </c>
      <c r="NI269" s="128">
        <v>14000</v>
      </c>
      <c r="NJ269" s="128">
        <v>14000</v>
      </c>
      <c r="NN269" s="128">
        <v>20000</v>
      </c>
      <c r="NO269" s="128">
        <v>16000</v>
      </c>
      <c r="NP269" s="128">
        <v>16000</v>
      </c>
      <c r="NT269" s="128">
        <v>2700</v>
      </c>
      <c r="NU269" s="128">
        <v>2160</v>
      </c>
      <c r="NV269" s="128">
        <v>2160</v>
      </c>
      <c r="NZ269" s="128">
        <v>7500</v>
      </c>
      <c r="OA269" s="128">
        <v>6000</v>
      </c>
      <c r="OB269" s="128">
        <v>6000</v>
      </c>
      <c r="OF269" s="128">
        <v>15000</v>
      </c>
      <c r="OG269" s="128">
        <v>12000</v>
      </c>
      <c r="OH269" s="128">
        <v>12000</v>
      </c>
      <c r="OL269" s="128">
        <v>0</v>
      </c>
      <c r="OM269" s="128">
        <v>0</v>
      </c>
      <c r="ON269" s="128">
        <v>0</v>
      </c>
      <c r="OR269" s="128">
        <v>0</v>
      </c>
      <c r="OS269" s="128">
        <v>0</v>
      </c>
      <c r="OT269" s="128">
        <v>0</v>
      </c>
      <c r="OX269" s="128">
        <v>8000</v>
      </c>
      <c r="OY269" s="128">
        <v>6400</v>
      </c>
      <c r="OZ269" s="128">
        <v>6400</v>
      </c>
      <c r="PD269" s="128">
        <v>110000</v>
      </c>
      <c r="PE269" s="128">
        <v>0</v>
      </c>
      <c r="PF269" s="128">
        <v>0</v>
      </c>
      <c r="PJ269" s="128">
        <v>18000</v>
      </c>
      <c r="PK269" s="128">
        <v>14400</v>
      </c>
      <c r="PL269" s="128">
        <v>14400</v>
      </c>
      <c r="PP269" s="128">
        <v>625792</v>
      </c>
      <c r="PQ269" s="128">
        <v>413760</v>
      </c>
      <c r="PR269" s="128">
        <v>413760</v>
      </c>
      <c r="PS269" s="128">
        <v>100</v>
      </c>
      <c r="PT269" s="128">
        <v>100</v>
      </c>
      <c r="PX269" s="128">
        <v>214328</v>
      </c>
      <c r="PY269" s="128">
        <v>410312</v>
      </c>
      <c r="PZ269" s="128">
        <v>413760</v>
      </c>
      <c r="QA269" s="128">
        <v>65190</v>
      </c>
      <c r="QB269" s="128">
        <v>0</v>
      </c>
      <c r="QC269" s="128">
        <v>0</v>
      </c>
      <c r="QD269" s="128">
        <v>0</v>
      </c>
      <c r="QE269" s="128">
        <v>0</v>
      </c>
      <c r="QF269" s="128">
        <v>0</v>
      </c>
      <c r="QG269" s="128">
        <v>0</v>
      </c>
      <c r="QH269" s="128">
        <v>0</v>
      </c>
      <c r="QI269" s="128">
        <v>0</v>
      </c>
      <c r="QJ269" s="128">
        <v>0</v>
      </c>
      <c r="QK269" s="128">
        <v>0</v>
      </c>
      <c r="QL269" s="128">
        <v>0</v>
      </c>
      <c r="QN269" s="128">
        <v>0</v>
      </c>
      <c r="QO269" s="128">
        <v>0</v>
      </c>
      <c r="QP269" s="128">
        <v>0</v>
      </c>
      <c r="QU269" s="128">
        <v>42000</v>
      </c>
      <c r="QV269" s="128">
        <v>0</v>
      </c>
      <c r="QW269" s="128">
        <v>87032</v>
      </c>
      <c r="QX269" s="128">
        <v>15000</v>
      </c>
      <c r="QY269" s="128">
        <v>15000</v>
      </c>
      <c r="QZ269" s="128">
        <v>15000</v>
      </c>
      <c r="RD269" s="128">
        <v>156873</v>
      </c>
      <c r="RE269" s="128">
        <v>48623</v>
      </c>
      <c r="RF269" s="128">
        <v>110000</v>
      </c>
      <c r="RH269" s="128">
        <f t="shared" si="514"/>
        <v>625792</v>
      </c>
      <c r="RI269" s="128">
        <v>0</v>
      </c>
      <c r="RM269" s="128" t="s">
        <v>220</v>
      </c>
      <c r="SF269" s="128">
        <f t="shared" si="423"/>
        <v>9223303</v>
      </c>
      <c r="SG269" s="131">
        <f t="shared" si="424"/>
        <v>625792</v>
      </c>
      <c r="SH269" s="131">
        <f t="shared" si="425"/>
        <v>625792</v>
      </c>
      <c r="SI269" s="131">
        <f t="shared" si="426"/>
        <v>338092</v>
      </c>
      <c r="SJ269" s="132">
        <f t="shared" si="427"/>
        <v>313092</v>
      </c>
      <c r="SK269" s="132">
        <f t="shared" si="428"/>
        <v>0</v>
      </c>
      <c r="SL269" s="132">
        <f t="shared" si="429"/>
        <v>0</v>
      </c>
      <c r="SM269" s="132">
        <f t="shared" si="430"/>
        <v>25000</v>
      </c>
      <c r="SN269" s="131">
        <f t="shared" si="431"/>
        <v>287700</v>
      </c>
      <c r="SO269" s="131">
        <f t="shared" si="432"/>
        <v>25000</v>
      </c>
      <c r="SP269" s="132">
        <f t="shared" si="433"/>
        <v>20000</v>
      </c>
      <c r="SQ269" s="132">
        <f t="shared" si="434"/>
        <v>5000</v>
      </c>
      <c r="SR269" s="132">
        <f t="shared" si="435"/>
        <v>0</v>
      </c>
      <c r="SS269" s="132">
        <f t="shared" si="436"/>
        <v>3000</v>
      </c>
      <c r="ST269" s="132">
        <f t="shared" si="437"/>
        <v>11000</v>
      </c>
      <c r="SU269" s="132">
        <f t="shared" si="438"/>
        <v>15000</v>
      </c>
      <c r="SV269" s="131">
        <f t="shared" si="439"/>
        <v>105700</v>
      </c>
      <c r="SW269" s="132">
        <f t="shared" si="440"/>
        <v>25000</v>
      </c>
      <c r="SX269" s="132">
        <f t="shared" si="441"/>
        <v>10000</v>
      </c>
      <c r="SY269" s="132">
        <f t="shared" si="442"/>
        <v>17500</v>
      </c>
      <c r="SZ269" s="132">
        <f t="shared" si="443"/>
        <v>20000</v>
      </c>
      <c r="TA269" s="132">
        <f t="shared" si="444"/>
        <v>2700</v>
      </c>
      <c r="TB269" s="132">
        <f t="shared" si="445"/>
        <v>7500</v>
      </c>
      <c r="TC269" s="132">
        <f t="shared" si="446"/>
        <v>15000</v>
      </c>
      <c r="TD269" s="132">
        <f t="shared" si="447"/>
        <v>0</v>
      </c>
      <c r="TE269" s="132">
        <f t="shared" si="448"/>
        <v>0</v>
      </c>
      <c r="TF269" s="132">
        <f t="shared" si="449"/>
        <v>8000</v>
      </c>
      <c r="TG269" s="132">
        <f t="shared" si="450"/>
        <v>110000</v>
      </c>
      <c r="TH269" s="132">
        <f t="shared" si="451"/>
        <v>18000</v>
      </c>
      <c r="TI269" s="1"/>
      <c r="TJ269" s="131">
        <f t="shared" si="452"/>
        <v>413760</v>
      </c>
      <c r="TK269" s="131">
        <f t="shared" si="453"/>
        <v>413760</v>
      </c>
      <c r="TL269" s="131">
        <f t="shared" si="454"/>
        <v>269600</v>
      </c>
      <c r="TM269" s="132">
        <f t="shared" si="455"/>
        <v>249600</v>
      </c>
      <c r="TN269" s="132">
        <f t="shared" si="456"/>
        <v>0</v>
      </c>
      <c r="TO269" s="132">
        <f t="shared" si="457"/>
        <v>0</v>
      </c>
      <c r="TP269" s="132">
        <f t="shared" si="458"/>
        <v>20000</v>
      </c>
      <c r="TQ269" s="131">
        <f t="shared" si="459"/>
        <v>144160</v>
      </c>
      <c r="TR269" s="131">
        <f t="shared" si="460"/>
        <v>22000</v>
      </c>
      <c r="TS269" s="132">
        <f t="shared" si="461"/>
        <v>18000</v>
      </c>
      <c r="TT269" s="132">
        <f t="shared" si="462"/>
        <v>4000</v>
      </c>
      <c r="TU269" s="132">
        <f t="shared" si="463"/>
        <v>0</v>
      </c>
      <c r="TV269" s="132">
        <f t="shared" si="464"/>
        <v>2400</v>
      </c>
      <c r="TW269" s="132">
        <f t="shared" si="465"/>
        <v>8800</v>
      </c>
      <c r="TX269" s="132">
        <f t="shared" si="466"/>
        <v>12000</v>
      </c>
      <c r="TY269" s="131">
        <f t="shared" si="467"/>
        <v>84560</v>
      </c>
      <c r="TZ269" s="132">
        <f t="shared" si="468"/>
        <v>20000</v>
      </c>
      <c r="UA269" s="132">
        <f t="shared" si="469"/>
        <v>8000</v>
      </c>
      <c r="UB269" s="132">
        <f t="shared" si="470"/>
        <v>14000</v>
      </c>
      <c r="UC269" s="132">
        <f t="shared" si="471"/>
        <v>16000</v>
      </c>
      <c r="UD269" s="132">
        <f t="shared" si="472"/>
        <v>2160</v>
      </c>
      <c r="UE269" s="132">
        <f t="shared" si="473"/>
        <v>6000</v>
      </c>
      <c r="UF269" s="132">
        <f t="shared" si="474"/>
        <v>12000</v>
      </c>
      <c r="UG269" s="132">
        <f t="shared" si="475"/>
        <v>0</v>
      </c>
      <c r="UH269" s="132">
        <f t="shared" si="476"/>
        <v>0</v>
      </c>
      <c r="UI269" s="132">
        <f t="shared" si="477"/>
        <v>6400</v>
      </c>
      <c r="UJ269" s="132">
        <f t="shared" si="478"/>
        <v>0</v>
      </c>
      <c r="UK269" s="132">
        <f t="shared" si="479"/>
        <v>14400</v>
      </c>
      <c r="UL269" s="132">
        <f t="shared" si="480"/>
        <v>413760</v>
      </c>
      <c r="UM269" s="131">
        <f t="shared" si="481"/>
        <v>413760</v>
      </c>
      <c r="UN269" s="131">
        <f t="shared" si="482"/>
        <v>413760</v>
      </c>
      <c r="UO269" s="131">
        <f t="shared" si="483"/>
        <v>269600</v>
      </c>
      <c r="UP269" s="132">
        <f t="shared" si="484"/>
        <v>249600</v>
      </c>
      <c r="UQ269" s="132">
        <f t="shared" si="485"/>
        <v>0</v>
      </c>
      <c r="UR269" s="132">
        <f t="shared" si="486"/>
        <v>0</v>
      </c>
      <c r="US269" s="132">
        <f t="shared" si="487"/>
        <v>20000</v>
      </c>
      <c r="UT269" s="131">
        <f t="shared" si="488"/>
        <v>144160</v>
      </c>
      <c r="UU269" s="131">
        <f t="shared" si="489"/>
        <v>22000</v>
      </c>
      <c r="UV269" s="132">
        <f t="shared" si="490"/>
        <v>18000</v>
      </c>
      <c r="UW269" s="132">
        <f t="shared" si="491"/>
        <v>4000</v>
      </c>
      <c r="UX269" s="132">
        <f t="shared" si="492"/>
        <v>0</v>
      </c>
      <c r="UY269" s="132">
        <f t="shared" si="493"/>
        <v>2400</v>
      </c>
      <c r="UZ269" s="132">
        <f t="shared" si="494"/>
        <v>8800</v>
      </c>
      <c r="VA269" s="132">
        <f t="shared" si="495"/>
        <v>12000</v>
      </c>
      <c r="VB269" s="131">
        <f t="shared" si="496"/>
        <v>84560</v>
      </c>
      <c r="VC269" s="132">
        <f t="shared" si="497"/>
        <v>20000</v>
      </c>
      <c r="VD269" s="132">
        <f t="shared" si="498"/>
        <v>8000</v>
      </c>
      <c r="VE269" s="132">
        <f t="shared" si="499"/>
        <v>14000</v>
      </c>
      <c r="VF269" s="132">
        <f t="shared" si="500"/>
        <v>16000</v>
      </c>
      <c r="VG269" s="132">
        <f t="shared" si="501"/>
        <v>2160</v>
      </c>
      <c r="VH269" s="132">
        <f t="shared" si="502"/>
        <v>6000</v>
      </c>
      <c r="VI269" s="132">
        <f t="shared" si="503"/>
        <v>12000</v>
      </c>
      <c r="VJ269" s="132">
        <f t="shared" si="504"/>
        <v>0</v>
      </c>
      <c r="VK269" s="132">
        <f t="shared" si="505"/>
        <v>0</v>
      </c>
      <c r="VL269" s="132">
        <f t="shared" si="506"/>
        <v>6400</v>
      </c>
      <c r="VM269" s="132">
        <f t="shared" si="507"/>
        <v>0</v>
      </c>
      <c r="VN269" s="132">
        <f t="shared" si="508"/>
        <v>14400</v>
      </c>
      <c r="VP269" s="845" t="str">
        <f>IFERROR(HLOOKUP(F269,'Hodnocení '!$C$1:$JH$5,2,FALSE),0)</f>
        <v>Život bez bariér, z.ú</v>
      </c>
      <c r="VQ269" s="838"/>
      <c r="VR269" s="845" t="str">
        <f t="shared" si="515"/>
        <v>Ústav</v>
      </c>
      <c r="VS269" s="845" t="str">
        <f>IFERROR(HLOOKUP(F269,'Hodnocení '!$C$1:$JH$5,5,FALSE),0)</f>
        <v>NZO</v>
      </c>
      <c r="VT269" s="838">
        <f t="shared" si="516"/>
        <v>0</v>
      </c>
      <c r="VU269" s="838">
        <f t="shared" si="517"/>
        <v>0</v>
      </c>
      <c r="VV269" s="838">
        <f t="shared" si="518"/>
        <v>0</v>
      </c>
      <c r="VW269" s="838">
        <f t="shared" si="519"/>
        <v>0</v>
      </c>
      <c r="VX269" s="838"/>
      <c r="VY269" s="838">
        <f t="shared" si="419"/>
        <v>0</v>
      </c>
      <c r="VZ269" s="838">
        <f t="shared" si="420"/>
        <v>413760</v>
      </c>
      <c r="WA269" s="846">
        <f>IFERROR(HLOOKUP($F269,'Hodnocení '!$C$1:$JH$9,9,FALSE),0)</f>
        <v>413760</v>
      </c>
      <c r="WB269" s="846">
        <f>IF(IFERROR(HLOOKUP($F269,'Hodnocení '!$C$1:$JH$13,13,FALSE),0)&gt;WA269,WA269,IFERROR(HLOOKUP($F269,'Hodnocení '!$C$1:$JH$13,13,FALSE),0))</f>
        <v>297109.40431126149</v>
      </c>
      <c r="WC269" s="846">
        <f>IFERROR(HLOOKUP($F269,'Hodnocení '!$C$1:$JH$155,155,FALSE),0)</f>
        <v>311820</v>
      </c>
      <c r="WD269" s="845"/>
      <c r="WE269" s="845"/>
      <c r="WF269" s="845" t="str">
        <f t="shared" si="509"/>
        <v>ANO</v>
      </c>
      <c r="WG269" s="849" t="str">
        <f t="shared" si="421"/>
        <v>Podpora služby je vyjádřena zařazením do sítě sociálních služeb v KHK a řešením financování služby</v>
      </c>
      <c r="WH269"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69" s="849" t="str">
        <f t="shared" si="421"/>
        <v>Návrh dotace je výsledkem projednání s ostatními zadavateli v rámci sítě služeb KHK</v>
      </c>
      <c r="WJ269" s="849" t="str">
        <f t="shared" si="421"/>
        <v>Bez komentáře</v>
      </c>
      <c r="WK269" s="31">
        <f t="shared" si="510"/>
        <v>0</v>
      </c>
      <c r="WL269" s="850">
        <f t="shared" si="511"/>
        <v>0</v>
      </c>
      <c r="WM269" s="849">
        <f t="shared" si="512"/>
        <v>0</v>
      </c>
      <c r="WN269" s="849">
        <f t="shared" si="513"/>
        <v>0</v>
      </c>
      <c r="WO269" s="849" t="str">
        <f t="shared" si="422"/>
        <v>bez komentáře</v>
      </c>
      <c r="WP269" s="849" t="str">
        <f t="shared" si="422"/>
        <v>bez komentáře</v>
      </c>
      <c r="WQ269" s="849" t="str">
        <f t="shared" si="422"/>
        <v>Konečná výše dotace z rozpočtu KHK bude řešena v návaznosti na řešení podílů jednotlivých zadavatelů.</v>
      </c>
      <c r="WR269" s="849" t="str">
        <f t="shared" si="422"/>
        <v>Konečná výše podpory ze stran obcí bude řešena v součinnosti s jednotlivými zadavateli v průběhu roku.</v>
      </c>
      <c r="WS269" s="849" t="str">
        <f t="shared" si="422"/>
        <v>bez komentáře</v>
      </c>
      <c r="WT269" s="849" t="str">
        <f t="shared" si="422"/>
        <v>bez komentáře</v>
      </c>
      <c r="WU269" s="845"/>
    </row>
    <row r="270" spans="1:619" s="128" customFormat="1" x14ac:dyDescent="0.25">
      <c r="A270" s="128" t="str">
        <f>VLOOKUP(F270,'Výpočet VP 2020'!$D$324:$I$588,6,FALSE)</f>
        <v>Je v síti</v>
      </c>
      <c r="B270" s="128" t="s">
        <v>1030</v>
      </c>
      <c r="C270" s="128">
        <v>2498251</v>
      </c>
      <c r="D270" s="128" t="s">
        <v>1031</v>
      </c>
      <c r="E270" s="128" t="s">
        <v>216</v>
      </c>
      <c r="F270" s="128">
        <v>1686476</v>
      </c>
      <c r="G270" s="128" t="s">
        <v>328</v>
      </c>
      <c r="H270" s="128" t="s">
        <v>218</v>
      </c>
      <c r="I270" s="128" t="s">
        <v>1032</v>
      </c>
      <c r="J270" s="128">
        <v>41671</v>
      </c>
      <c r="L270" s="128" t="s">
        <v>220</v>
      </c>
      <c r="AP270" s="128" t="s">
        <v>1033</v>
      </c>
      <c r="AQ270" s="128">
        <v>30</v>
      </c>
      <c r="AR270" s="128">
        <v>175</v>
      </c>
      <c r="AS270" s="128">
        <v>276</v>
      </c>
      <c r="AT270" s="128">
        <v>301</v>
      </c>
      <c r="AU270" s="128">
        <v>326</v>
      </c>
      <c r="BJ270" s="128">
        <v>31000</v>
      </c>
      <c r="BK270" s="128" t="s">
        <v>1034</v>
      </c>
      <c r="BL270" s="128" t="s">
        <v>697</v>
      </c>
      <c r="BM270" s="128" t="s">
        <v>325</v>
      </c>
      <c r="BN270" s="128" t="s">
        <v>326</v>
      </c>
      <c r="BO270" s="128">
        <v>0</v>
      </c>
      <c r="BP270" s="128">
        <v>0</v>
      </c>
      <c r="BQ270" s="128">
        <v>0</v>
      </c>
      <c r="BR270" s="128">
        <v>0</v>
      </c>
      <c r="BS270" s="128">
        <v>0</v>
      </c>
      <c r="BT270" s="128">
        <v>58</v>
      </c>
      <c r="BU270" s="128">
        <v>67</v>
      </c>
      <c r="BV270" s="128">
        <v>27</v>
      </c>
      <c r="BW270" s="128">
        <v>10</v>
      </c>
      <c r="BX270" s="128">
        <v>154</v>
      </c>
      <c r="BY270" s="128">
        <v>58</v>
      </c>
      <c r="BZ270" s="128">
        <v>67</v>
      </c>
      <c r="CA270" s="128">
        <v>27</v>
      </c>
      <c r="CB270" s="128">
        <v>10</v>
      </c>
      <c r="CC270" s="128">
        <v>154</v>
      </c>
      <c r="CD270" s="128">
        <v>0</v>
      </c>
      <c r="CE270" s="128">
        <v>316</v>
      </c>
      <c r="CF270" s="128">
        <v>316</v>
      </c>
      <c r="CG270" s="128">
        <v>0</v>
      </c>
      <c r="CH270" s="128">
        <v>0</v>
      </c>
      <c r="CI270" s="128">
        <v>0</v>
      </c>
      <c r="CJ270" s="128">
        <v>0</v>
      </c>
      <c r="CK270" s="128">
        <v>0</v>
      </c>
      <c r="CL270" s="128">
        <v>0</v>
      </c>
      <c r="CM270" s="128">
        <v>64</v>
      </c>
      <c r="CN270" s="128">
        <v>70</v>
      </c>
      <c r="CO270" s="128">
        <v>28</v>
      </c>
      <c r="CP270" s="128">
        <v>10</v>
      </c>
      <c r="CQ270" s="128">
        <v>154</v>
      </c>
      <c r="CR270" s="128">
        <v>64</v>
      </c>
      <c r="CS270" s="128">
        <v>70</v>
      </c>
      <c r="CT270" s="128">
        <v>28</v>
      </c>
      <c r="CU270" s="128">
        <v>10</v>
      </c>
      <c r="CV270" s="128">
        <v>154</v>
      </c>
      <c r="CW270" s="128">
        <v>0</v>
      </c>
      <c r="CX270" s="128">
        <v>326</v>
      </c>
      <c r="CY270" s="128">
        <v>326</v>
      </c>
      <c r="CZ270" s="128">
        <v>0</v>
      </c>
      <c r="EK270" s="128">
        <v>2</v>
      </c>
      <c r="EL270" s="128">
        <v>2</v>
      </c>
      <c r="EM270" s="128">
        <v>1.5</v>
      </c>
      <c r="EN270" s="128">
        <v>1021000</v>
      </c>
      <c r="EO270" s="128">
        <v>298000</v>
      </c>
      <c r="EP270" s="128">
        <v>31</v>
      </c>
      <c r="EQ270" s="128">
        <v>24</v>
      </c>
      <c r="ER270" s="128">
        <v>24</v>
      </c>
      <c r="ES270" s="128">
        <v>9940000</v>
      </c>
      <c r="ET270" s="128">
        <v>4766000</v>
      </c>
      <c r="FO270" s="128">
        <v>3</v>
      </c>
      <c r="FP270" s="128">
        <v>1.5</v>
      </c>
      <c r="FQ270" s="128">
        <v>1.5</v>
      </c>
      <c r="FR270" s="128">
        <v>1165000</v>
      </c>
      <c r="FS270" s="128">
        <v>1165000</v>
      </c>
      <c r="IN270" s="128">
        <v>2</v>
      </c>
      <c r="IO270" s="128">
        <v>600</v>
      </c>
      <c r="IP270" s="128">
        <v>0.28599999999999998</v>
      </c>
      <c r="IQ270" s="128">
        <v>60000</v>
      </c>
      <c r="IR270" s="128">
        <v>0</v>
      </c>
      <c r="KG270" s="128">
        <v>0</v>
      </c>
      <c r="KI270" s="128">
        <v>26</v>
      </c>
      <c r="KJ270" s="128">
        <v>0</v>
      </c>
      <c r="KK270" s="128">
        <v>0.28599999999999998</v>
      </c>
      <c r="KL270" s="128">
        <v>0</v>
      </c>
      <c r="KM270" s="128">
        <v>26.286000000000001</v>
      </c>
      <c r="KN270" s="128">
        <v>12126000</v>
      </c>
      <c r="KO270" s="128">
        <v>6229000</v>
      </c>
      <c r="KP270" s="128">
        <v>6229000</v>
      </c>
      <c r="KT270" s="128">
        <v>0</v>
      </c>
      <c r="KU270" s="128">
        <v>0</v>
      </c>
      <c r="KV270" s="128">
        <v>0</v>
      </c>
      <c r="KZ270" s="128">
        <v>60000</v>
      </c>
      <c r="LA270" s="128">
        <v>0</v>
      </c>
      <c r="LB270" s="128">
        <v>0</v>
      </c>
      <c r="LF270" s="128">
        <v>44000</v>
      </c>
      <c r="LG270" s="128">
        <v>0</v>
      </c>
      <c r="LH270" s="128">
        <v>0</v>
      </c>
      <c r="LL270" s="128">
        <v>0</v>
      </c>
      <c r="LM270" s="128">
        <v>0</v>
      </c>
      <c r="LN270" s="128">
        <v>0</v>
      </c>
      <c r="LR270" s="128">
        <v>95000</v>
      </c>
      <c r="LS270" s="128">
        <v>0</v>
      </c>
      <c r="LT270" s="128">
        <v>0</v>
      </c>
      <c r="LX270" s="128">
        <v>800000</v>
      </c>
      <c r="LY270" s="128">
        <v>0</v>
      </c>
      <c r="LZ270" s="128">
        <v>0</v>
      </c>
      <c r="MD270" s="128">
        <v>220000</v>
      </c>
      <c r="ME270" s="128">
        <v>0</v>
      </c>
      <c r="MF270" s="128">
        <v>0</v>
      </c>
      <c r="MJ270" s="128">
        <v>175000</v>
      </c>
      <c r="MK270" s="128">
        <v>0</v>
      </c>
      <c r="ML270" s="128">
        <v>0</v>
      </c>
      <c r="MP270" s="128">
        <v>215000</v>
      </c>
      <c r="MQ270" s="128">
        <v>0</v>
      </c>
      <c r="MR270" s="128">
        <v>0</v>
      </c>
      <c r="MV270" s="128">
        <v>180000</v>
      </c>
      <c r="MW270" s="128">
        <v>0</v>
      </c>
      <c r="MX270" s="128">
        <v>0</v>
      </c>
      <c r="NB270" s="128">
        <v>80000</v>
      </c>
      <c r="NC270" s="128">
        <v>0</v>
      </c>
      <c r="ND270" s="128">
        <v>0</v>
      </c>
      <c r="NH270" s="128">
        <v>160000</v>
      </c>
      <c r="NI270" s="128">
        <v>0</v>
      </c>
      <c r="NJ270" s="128">
        <v>0</v>
      </c>
      <c r="NN270" s="128">
        <v>60000</v>
      </c>
      <c r="NO270" s="128">
        <v>0</v>
      </c>
      <c r="NP270" s="128">
        <v>0</v>
      </c>
      <c r="NT270" s="128">
        <v>75000</v>
      </c>
      <c r="NU270" s="128">
        <v>0</v>
      </c>
      <c r="NV270" s="128">
        <v>0</v>
      </c>
      <c r="NZ270" s="128">
        <v>20000</v>
      </c>
      <c r="OA270" s="128">
        <v>0</v>
      </c>
      <c r="OB270" s="128">
        <v>0</v>
      </c>
      <c r="OF270" s="128">
        <v>60000</v>
      </c>
      <c r="OG270" s="128">
        <v>0</v>
      </c>
      <c r="OH270" s="128">
        <v>0</v>
      </c>
      <c r="OL270" s="128">
        <v>0</v>
      </c>
      <c r="OM270" s="128">
        <v>0</v>
      </c>
      <c r="ON270" s="128">
        <v>0</v>
      </c>
      <c r="OR270" s="128">
        <v>0</v>
      </c>
      <c r="OS270" s="128">
        <v>0</v>
      </c>
      <c r="OT270" s="128">
        <v>0</v>
      </c>
      <c r="OX270" s="128">
        <v>520000</v>
      </c>
      <c r="OY270" s="128">
        <v>0</v>
      </c>
      <c r="OZ270" s="128">
        <v>0</v>
      </c>
      <c r="PD270" s="128">
        <v>210000</v>
      </c>
      <c r="PE270" s="128">
        <v>0</v>
      </c>
      <c r="PF270" s="128">
        <v>0</v>
      </c>
      <c r="PJ270" s="128">
        <v>600000</v>
      </c>
      <c r="PK270" s="128">
        <v>0</v>
      </c>
      <c r="PL270" s="128">
        <v>0</v>
      </c>
      <c r="PP270" s="128">
        <v>15700000</v>
      </c>
      <c r="PQ270" s="128">
        <v>6229000</v>
      </c>
      <c r="PR270" s="128">
        <v>6229000</v>
      </c>
      <c r="PS270" s="128">
        <v>100</v>
      </c>
      <c r="PT270" s="128">
        <v>100</v>
      </c>
      <c r="PV270" s="128">
        <v>10228421</v>
      </c>
      <c r="PX270" s="128">
        <v>4722300</v>
      </c>
      <c r="PY270" s="128">
        <v>5251868</v>
      </c>
      <c r="PZ270" s="128">
        <v>6229000</v>
      </c>
      <c r="QA270" s="128">
        <v>0</v>
      </c>
      <c r="QB270" s="128">
        <v>0</v>
      </c>
      <c r="QC270" s="128">
        <v>0</v>
      </c>
      <c r="QD270" s="128">
        <v>0</v>
      </c>
      <c r="QE270" s="128">
        <v>0</v>
      </c>
      <c r="QF270" s="128">
        <v>0</v>
      </c>
      <c r="QG270" s="128">
        <v>0</v>
      </c>
      <c r="QH270" s="128">
        <v>0</v>
      </c>
      <c r="QI270" s="128">
        <v>0</v>
      </c>
      <c r="QJ270" s="128">
        <v>4362121</v>
      </c>
      <c r="QK270" s="128">
        <v>4470000</v>
      </c>
      <c r="QL270" s="128">
        <v>4579000</v>
      </c>
      <c r="QN270" s="128">
        <v>0</v>
      </c>
      <c r="QO270" s="128">
        <v>0</v>
      </c>
      <c r="QP270" s="128">
        <v>0</v>
      </c>
      <c r="QU270" s="128">
        <v>255000</v>
      </c>
      <c r="QV270" s="128">
        <v>0</v>
      </c>
      <c r="QW270" s="128">
        <v>0</v>
      </c>
      <c r="QX270" s="128">
        <v>3375000</v>
      </c>
      <c r="QY270" s="128">
        <v>4235000</v>
      </c>
      <c r="QZ270" s="128">
        <v>4892000</v>
      </c>
      <c r="RH270" s="128">
        <f t="shared" si="514"/>
        <v>11121000</v>
      </c>
      <c r="RI270" s="128">
        <v>0</v>
      </c>
      <c r="RM270" s="128" t="s">
        <v>220</v>
      </c>
      <c r="SF270" s="128">
        <f t="shared" si="423"/>
        <v>1686476</v>
      </c>
      <c r="SG270" s="131">
        <f t="shared" si="424"/>
        <v>15700000</v>
      </c>
      <c r="SH270" s="131">
        <f t="shared" si="425"/>
        <v>15700000</v>
      </c>
      <c r="SI270" s="131">
        <f t="shared" si="426"/>
        <v>12230000</v>
      </c>
      <c r="SJ270" s="132">
        <f t="shared" si="427"/>
        <v>12126000</v>
      </c>
      <c r="SK270" s="132">
        <f t="shared" si="428"/>
        <v>0</v>
      </c>
      <c r="SL270" s="132">
        <f t="shared" si="429"/>
        <v>60000</v>
      </c>
      <c r="SM270" s="132">
        <f t="shared" si="430"/>
        <v>44000</v>
      </c>
      <c r="SN270" s="131">
        <f t="shared" si="431"/>
        <v>3470000</v>
      </c>
      <c r="SO270" s="131">
        <f t="shared" si="432"/>
        <v>95000</v>
      </c>
      <c r="SP270" s="132">
        <f t="shared" si="433"/>
        <v>0</v>
      </c>
      <c r="SQ270" s="132">
        <f t="shared" si="434"/>
        <v>95000</v>
      </c>
      <c r="SR270" s="132">
        <f t="shared" si="435"/>
        <v>800000</v>
      </c>
      <c r="SS270" s="132">
        <f t="shared" si="436"/>
        <v>220000</v>
      </c>
      <c r="ST270" s="132">
        <f t="shared" si="437"/>
        <v>175000</v>
      </c>
      <c r="SU270" s="132">
        <f t="shared" si="438"/>
        <v>215000</v>
      </c>
      <c r="SV270" s="131">
        <f t="shared" si="439"/>
        <v>1155000</v>
      </c>
      <c r="SW270" s="132">
        <f t="shared" si="440"/>
        <v>180000</v>
      </c>
      <c r="SX270" s="132">
        <f t="shared" si="441"/>
        <v>80000</v>
      </c>
      <c r="SY270" s="132">
        <f t="shared" si="442"/>
        <v>160000</v>
      </c>
      <c r="SZ270" s="132">
        <f t="shared" si="443"/>
        <v>60000</v>
      </c>
      <c r="TA270" s="132">
        <f t="shared" si="444"/>
        <v>75000</v>
      </c>
      <c r="TB270" s="132">
        <f t="shared" si="445"/>
        <v>20000</v>
      </c>
      <c r="TC270" s="132">
        <f t="shared" si="446"/>
        <v>60000</v>
      </c>
      <c r="TD270" s="132">
        <f t="shared" si="447"/>
        <v>0</v>
      </c>
      <c r="TE270" s="132">
        <f t="shared" si="448"/>
        <v>0</v>
      </c>
      <c r="TF270" s="132">
        <f t="shared" si="449"/>
        <v>520000</v>
      </c>
      <c r="TG270" s="132">
        <f t="shared" si="450"/>
        <v>210000</v>
      </c>
      <c r="TH270" s="132">
        <f t="shared" si="451"/>
        <v>600000</v>
      </c>
      <c r="TI270" s="1"/>
      <c r="TJ270" s="131">
        <f t="shared" si="452"/>
        <v>6229000</v>
      </c>
      <c r="TK270" s="131">
        <f t="shared" si="453"/>
        <v>6229000</v>
      </c>
      <c r="TL270" s="131">
        <f t="shared" si="454"/>
        <v>6229000</v>
      </c>
      <c r="TM270" s="132">
        <f t="shared" si="455"/>
        <v>6229000</v>
      </c>
      <c r="TN270" s="132">
        <f t="shared" si="456"/>
        <v>0</v>
      </c>
      <c r="TO270" s="132">
        <f t="shared" si="457"/>
        <v>0</v>
      </c>
      <c r="TP270" s="132">
        <f t="shared" si="458"/>
        <v>0</v>
      </c>
      <c r="TQ270" s="131">
        <f t="shared" si="459"/>
        <v>0</v>
      </c>
      <c r="TR270" s="131">
        <f t="shared" si="460"/>
        <v>0</v>
      </c>
      <c r="TS270" s="132">
        <f t="shared" si="461"/>
        <v>0</v>
      </c>
      <c r="TT270" s="132">
        <f t="shared" si="462"/>
        <v>0</v>
      </c>
      <c r="TU270" s="132">
        <f t="shared" si="463"/>
        <v>0</v>
      </c>
      <c r="TV270" s="132">
        <f t="shared" si="464"/>
        <v>0</v>
      </c>
      <c r="TW270" s="132">
        <f t="shared" si="465"/>
        <v>0</v>
      </c>
      <c r="TX270" s="132">
        <f t="shared" si="466"/>
        <v>0</v>
      </c>
      <c r="TY270" s="131">
        <f t="shared" si="467"/>
        <v>0</v>
      </c>
      <c r="TZ270" s="132">
        <f t="shared" si="468"/>
        <v>0</v>
      </c>
      <c r="UA270" s="132">
        <f t="shared" si="469"/>
        <v>0</v>
      </c>
      <c r="UB270" s="132">
        <f t="shared" si="470"/>
        <v>0</v>
      </c>
      <c r="UC270" s="132">
        <f t="shared" si="471"/>
        <v>0</v>
      </c>
      <c r="UD270" s="132">
        <f t="shared" si="472"/>
        <v>0</v>
      </c>
      <c r="UE270" s="132">
        <f t="shared" si="473"/>
        <v>0</v>
      </c>
      <c r="UF270" s="132">
        <f t="shared" si="474"/>
        <v>0</v>
      </c>
      <c r="UG270" s="132">
        <f t="shared" si="475"/>
        <v>0</v>
      </c>
      <c r="UH270" s="132">
        <f t="shared" si="476"/>
        <v>0</v>
      </c>
      <c r="UI270" s="132">
        <f t="shared" si="477"/>
        <v>0</v>
      </c>
      <c r="UJ270" s="132">
        <f t="shared" si="478"/>
        <v>0</v>
      </c>
      <c r="UK270" s="132">
        <f t="shared" si="479"/>
        <v>0</v>
      </c>
      <c r="UL270" s="132">
        <f t="shared" si="480"/>
        <v>6229000</v>
      </c>
      <c r="UM270" s="131">
        <f t="shared" si="481"/>
        <v>6229000</v>
      </c>
      <c r="UN270" s="131">
        <f t="shared" si="482"/>
        <v>6229000</v>
      </c>
      <c r="UO270" s="131">
        <f t="shared" si="483"/>
        <v>6229000</v>
      </c>
      <c r="UP270" s="132">
        <f t="shared" si="484"/>
        <v>6229000</v>
      </c>
      <c r="UQ270" s="132">
        <f t="shared" si="485"/>
        <v>0</v>
      </c>
      <c r="UR270" s="132">
        <f t="shared" si="486"/>
        <v>0</v>
      </c>
      <c r="US270" s="132">
        <f t="shared" si="487"/>
        <v>0</v>
      </c>
      <c r="UT270" s="131">
        <f t="shared" si="488"/>
        <v>0</v>
      </c>
      <c r="UU270" s="131">
        <f t="shared" si="489"/>
        <v>0</v>
      </c>
      <c r="UV270" s="132">
        <f t="shared" si="490"/>
        <v>0</v>
      </c>
      <c r="UW270" s="132">
        <f t="shared" si="491"/>
        <v>0</v>
      </c>
      <c r="UX270" s="132">
        <f t="shared" si="492"/>
        <v>0</v>
      </c>
      <c r="UY270" s="132">
        <f t="shared" si="493"/>
        <v>0</v>
      </c>
      <c r="UZ270" s="132">
        <f t="shared" si="494"/>
        <v>0</v>
      </c>
      <c r="VA270" s="132">
        <f t="shared" si="495"/>
        <v>0</v>
      </c>
      <c r="VB270" s="131">
        <f t="shared" si="496"/>
        <v>0</v>
      </c>
      <c r="VC270" s="132">
        <f t="shared" si="497"/>
        <v>0</v>
      </c>
      <c r="VD270" s="132">
        <f t="shared" si="498"/>
        <v>0</v>
      </c>
      <c r="VE270" s="132">
        <f t="shared" si="499"/>
        <v>0</v>
      </c>
      <c r="VF270" s="132">
        <f t="shared" si="500"/>
        <v>0</v>
      </c>
      <c r="VG270" s="132">
        <f t="shared" si="501"/>
        <v>0</v>
      </c>
      <c r="VH270" s="132">
        <f t="shared" si="502"/>
        <v>0</v>
      </c>
      <c r="VI270" s="132">
        <f t="shared" si="503"/>
        <v>0</v>
      </c>
      <c r="VJ270" s="132">
        <f t="shared" si="504"/>
        <v>0</v>
      </c>
      <c r="VK270" s="132">
        <f t="shared" si="505"/>
        <v>0</v>
      </c>
      <c r="VL270" s="132">
        <f t="shared" si="506"/>
        <v>0</v>
      </c>
      <c r="VM270" s="132">
        <f t="shared" si="507"/>
        <v>0</v>
      </c>
      <c r="VN270" s="132">
        <f t="shared" si="508"/>
        <v>0</v>
      </c>
      <c r="VP270" s="845" t="str">
        <f>IFERROR(HLOOKUP(F270,'Hodnocení '!$C$1:$JH$5,2,FALSE),0)</f>
        <v>Pečovatelská služba</v>
      </c>
      <c r="VQ270" s="838"/>
      <c r="VR270" s="845" t="str">
        <f t="shared" si="515"/>
        <v>Obecně prospěšná společnost</v>
      </c>
      <c r="VS270" s="845" t="str">
        <f>IFERROR(HLOOKUP(F270,'Hodnocení '!$C$1:$JH$5,5,FALSE),0)</f>
        <v>NZO</v>
      </c>
      <c r="VT270" s="838">
        <f t="shared" si="516"/>
        <v>0</v>
      </c>
      <c r="VU270" s="838">
        <f t="shared" si="517"/>
        <v>0</v>
      </c>
      <c r="VV270" s="838">
        <f t="shared" si="518"/>
        <v>4579000</v>
      </c>
      <c r="VW270" s="838">
        <f t="shared" si="519"/>
        <v>0</v>
      </c>
      <c r="VX270" s="838"/>
      <c r="VY270" s="838">
        <f t="shared" si="419"/>
        <v>0</v>
      </c>
      <c r="VZ270" s="838">
        <f t="shared" si="420"/>
        <v>6229000</v>
      </c>
      <c r="WA270" s="846">
        <f>IFERROR(HLOOKUP($F270,'Hodnocení '!$C$1:$JH$9,9,FALSE),0)</f>
        <v>6229000</v>
      </c>
      <c r="WB270" s="846">
        <f>IF(IFERROR(HLOOKUP($F270,'Hodnocení '!$C$1:$JH$13,13,FALSE),0)&gt;WA270,WA270,IFERROR(HLOOKUP($F270,'Hodnocení '!$C$1:$JH$13,13,FALSE),0))</f>
        <v>6229000</v>
      </c>
      <c r="WC270" s="846">
        <f>IFERROR(HLOOKUP($F270,'Hodnocení '!$C$1:$JH$155,155,FALSE),0)</f>
        <v>6229000</v>
      </c>
      <c r="WD270" s="845"/>
      <c r="WE270" s="845"/>
      <c r="WF270" s="845" t="str">
        <f t="shared" si="509"/>
        <v>ANO</v>
      </c>
      <c r="WG270" s="849" t="str">
        <f t="shared" si="421"/>
        <v>Podpora služby je vyjádřena zařazením do sítě sociálních služeb v KHK a řešením financování služby</v>
      </c>
      <c r="WH270"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70" s="849" t="str">
        <f t="shared" si="421"/>
        <v>Návrh dotace je výsledkem projednání s ostatními zadavateli v rámci sítě služeb KHK</v>
      </c>
      <c r="WJ270" s="849" t="str">
        <f t="shared" si="421"/>
        <v>Bez komentáře</v>
      </c>
      <c r="WK270" s="31">
        <f t="shared" si="510"/>
        <v>0</v>
      </c>
      <c r="WL270" s="850">
        <f t="shared" si="511"/>
        <v>0</v>
      </c>
      <c r="WM270" s="849" t="str">
        <f t="shared" si="512"/>
        <v>V rámci sítě KHK se dlouhodobě řeší otázka navyšování úhrad a průběžně se monitoruje s vazbou na vykrytí vyrovnávací platby</v>
      </c>
      <c r="WN270" s="849">
        <f t="shared" si="513"/>
        <v>0</v>
      </c>
      <c r="WO270" s="849" t="str">
        <f t="shared" si="422"/>
        <v>bez komentáře</v>
      </c>
      <c r="WP270" s="849" t="str">
        <f t="shared" si="422"/>
        <v>bez komentáře</v>
      </c>
      <c r="WQ270" s="849" t="str">
        <f t="shared" si="422"/>
        <v>Konečná výše dotace z rozpočtu KHK bude řešena v návaznosti na řešení podílů jednotlivých zadavatelů.</v>
      </c>
      <c r="WR270" s="849" t="str">
        <f t="shared" si="422"/>
        <v>Konečná výše podpory ze stran obcí bude řešena v součinnosti s jednotlivými zadavateli v průběhu roku.</v>
      </c>
      <c r="WS270" s="849" t="str">
        <f t="shared" si="422"/>
        <v>bez komentáře</v>
      </c>
      <c r="WT270" s="849" t="str">
        <f t="shared" si="422"/>
        <v>bez komentáře</v>
      </c>
      <c r="WU270" s="845"/>
    </row>
    <row r="271" spans="1:619" s="128" customFormat="1" x14ac:dyDescent="0.25">
      <c r="A271" s="128" t="str">
        <f>VLOOKUP(F271,'Výpočet VP 2020'!$D$324:$I$588,6,FALSE)</f>
        <v>Je v síti</v>
      </c>
      <c r="B271" s="128" t="s">
        <v>1030</v>
      </c>
      <c r="C271" s="128">
        <v>2498251</v>
      </c>
      <c r="D271" s="128" t="s">
        <v>1031</v>
      </c>
      <c r="E271" s="128" t="s">
        <v>216</v>
      </c>
      <c r="F271" s="128">
        <v>9577077</v>
      </c>
      <c r="G271" s="128" t="s">
        <v>764</v>
      </c>
      <c r="H271" s="128" t="s">
        <v>218</v>
      </c>
      <c r="I271" s="128" t="s">
        <v>1035</v>
      </c>
      <c r="J271" s="128">
        <v>41671</v>
      </c>
      <c r="L271" s="128" t="s">
        <v>220</v>
      </c>
      <c r="AP271" s="128" t="s">
        <v>763</v>
      </c>
      <c r="AQ271" s="128">
        <v>200</v>
      </c>
      <c r="AR271" s="128">
        <v>200</v>
      </c>
      <c r="AS271" s="128">
        <v>212</v>
      </c>
      <c r="AT271" s="128">
        <v>240</v>
      </c>
      <c r="AU271" s="128">
        <v>254</v>
      </c>
      <c r="BK271" s="128" t="s">
        <v>1036</v>
      </c>
      <c r="BL271" s="128" t="s">
        <v>1037</v>
      </c>
      <c r="BM271" s="128" t="s">
        <v>325</v>
      </c>
      <c r="BN271" s="128" t="s">
        <v>326</v>
      </c>
      <c r="BO271" s="128">
        <v>0</v>
      </c>
      <c r="BP271" s="128">
        <v>0</v>
      </c>
      <c r="BQ271" s="128">
        <v>0</v>
      </c>
      <c r="BR271" s="128">
        <v>0</v>
      </c>
      <c r="BS271" s="128">
        <v>0</v>
      </c>
      <c r="BT271" s="128">
        <v>54</v>
      </c>
      <c r="BU271" s="128">
        <v>56</v>
      </c>
      <c r="BV271" s="128">
        <v>27</v>
      </c>
      <c r="BW271" s="128">
        <v>9</v>
      </c>
      <c r="BX271" s="128">
        <v>94</v>
      </c>
      <c r="BY271" s="128">
        <v>54</v>
      </c>
      <c r="BZ271" s="128">
        <v>56</v>
      </c>
      <c r="CA271" s="128">
        <v>27</v>
      </c>
      <c r="CB271" s="128">
        <v>9</v>
      </c>
      <c r="CC271" s="128">
        <v>94</v>
      </c>
      <c r="CD271" s="128">
        <v>0</v>
      </c>
      <c r="CE271" s="128">
        <v>240</v>
      </c>
      <c r="CF271" s="128">
        <v>240</v>
      </c>
      <c r="CH271" s="128">
        <v>0</v>
      </c>
      <c r="CI271" s="128">
        <v>0</v>
      </c>
      <c r="CJ271" s="128">
        <v>0</v>
      </c>
      <c r="CK271" s="128">
        <v>0</v>
      </c>
      <c r="CL271" s="128">
        <v>0</v>
      </c>
      <c r="CM271" s="128">
        <v>57</v>
      </c>
      <c r="CN271" s="128">
        <v>59</v>
      </c>
      <c r="CO271" s="128">
        <v>28</v>
      </c>
      <c r="CP271" s="128">
        <v>10</v>
      </c>
      <c r="CQ271" s="128">
        <v>100</v>
      </c>
      <c r="CR271" s="128">
        <v>57</v>
      </c>
      <c r="CS271" s="128">
        <v>59</v>
      </c>
      <c r="CT271" s="128">
        <v>28</v>
      </c>
      <c r="CU271" s="128">
        <v>10</v>
      </c>
      <c r="CV271" s="128">
        <v>100</v>
      </c>
      <c r="CW271" s="128">
        <v>0</v>
      </c>
      <c r="CX271" s="128">
        <v>254</v>
      </c>
      <c r="CY271" s="128">
        <v>254</v>
      </c>
      <c r="EK271" s="128">
        <v>2</v>
      </c>
      <c r="EL271" s="128">
        <v>1.5</v>
      </c>
      <c r="EM271" s="128">
        <v>1</v>
      </c>
      <c r="EN271" s="128">
        <v>893000</v>
      </c>
      <c r="EO271" s="128">
        <v>596000</v>
      </c>
      <c r="EP271" s="128">
        <v>5</v>
      </c>
      <c r="EQ271" s="128">
        <v>5</v>
      </c>
      <c r="ER271" s="128">
        <v>5</v>
      </c>
      <c r="ES271" s="128">
        <v>1889000</v>
      </c>
      <c r="ET271" s="128">
        <v>755000</v>
      </c>
      <c r="FO271" s="128">
        <v>2</v>
      </c>
      <c r="FP271" s="128">
        <v>1</v>
      </c>
      <c r="FQ271" s="128">
        <v>1</v>
      </c>
      <c r="FR271" s="128">
        <v>868000</v>
      </c>
      <c r="FS271" s="128">
        <v>868000</v>
      </c>
      <c r="FZ271" s="128">
        <v>16</v>
      </c>
      <c r="GA271" s="128">
        <v>9.6</v>
      </c>
      <c r="GB271" s="128">
        <v>192</v>
      </c>
      <c r="GC271" s="128">
        <v>9.6</v>
      </c>
      <c r="GD271" s="128">
        <v>1383000</v>
      </c>
      <c r="GE271" s="128">
        <v>961000</v>
      </c>
      <c r="KG271" s="128">
        <v>0</v>
      </c>
      <c r="KI271" s="128">
        <v>6.5</v>
      </c>
      <c r="KJ271" s="128">
        <v>9.6</v>
      </c>
      <c r="KK271" s="128">
        <v>0</v>
      </c>
      <c r="KL271" s="128">
        <v>0</v>
      </c>
      <c r="KM271" s="128">
        <v>16.100000000000001</v>
      </c>
      <c r="KN271" s="128">
        <v>3650000</v>
      </c>
      <c r="KO271" s="128">
        <v>2219000</v>
      </c>
      <c r="KP271" s="128">
        <v>2219000</v>
      </c>
      <c r="KT271" s="128">
        <v>1383000</v>
      </c>
      <c r="KU271" s="128">
        <v>961000</v>
      </c>
      <c r="KV271" s="128">
        <v>961000</v>
      </c>
      <c r="KZ271" s="128">
        <v>0</v>
      </c>
      <c r="LA271" s="128">
        <v>0</v>
      </c>
      <c r="LB271" s="128">
        <v>0</v>
      </c>
      <c r="LF271" s="128">
        <v>22000</v>
      </c>
      <c r="LG271" s="128">
        <v>0</v>
      </c>
      <c r="LH271" s="128">
        <v>0</v>
      </c>
      <c r="LL271" s="128">
        <v>0</v>
      </c>
      <c r="LM271" s="128">
        <v>0</v>
      </c>
      <c r="LN271" s="128">
        <v>0</v>
      </c>
      <c r="LR271" s="128">
        <v>100000</v>
      </c>
      <c r="LS271" s="128">
        <v>0</v>
      </c>
      <c r="LT271" s="128">
        <v>0</v>
      </c>
      <c r="LX271" s="128">
        <v>0</v>
      </c>
      <c r="LY271" s="128">
        <v>0</v>
      </c>
      <c r="LZ271" s="128">
        <v>0</v>
      </c>
      <c r="MD271" s="128">
        <v>80000</v>
      </c>
      <c r="ME271" s="128">
        <v>0</v>
      </c>
      <c r="MF271" s="128">
        <v>0</v>
      </c>
      <c r="MJ271" s="128">
        <v>5000</v>
      </c>
      <c r="MK271" s="128">
        <v>0</v>
      </c>
      <c r="ML271" s="128">
        <v>0</v>
      </c>
      <c r="MP271" s="128">
        <v>330000</v>
      </c>
      <c r="MQ271" s="128">
        <v>300000</v>
      </c>
      <c r="MR271" s="128">
        <v>300000</v>
      </c>
      <c r="MV271" s="128">
        <v>60000</v>
      </c>
      <c r="MW271" s="128">
        <v>0</v>
      </c>
      <c r="MX271" s="128">
        <v>0</v>
      </c>
      <c r="NB271" s="128">
        <v>50000</v>
      </c>
      <c r="NC271" s="128">
        <v>0</v>
      </c>
      <c r="ND271" s="128">
        <v>0</v>
      </c>
      <c r="NH271" s="128">
        <v>160000</v>
      </c>
      <c r="NI271" s="128">
        <v>0</v>
      </c>
      <c r="NJ271" s="128">
        <v>0</v>
      </c>
      <c r="NN271" s="128">
        <v>20000</v>
      </c>
      <c r="NO271" s="128">
        <v>0</v>
      </c>
      <c r="NP271" s="128">
        <v>0</v>
      </c>
      <c r="NT271" s="128">
        <v>40000</v>
      </c>
      <c r="NU271" s="128">
        <v>0</v>
      </c>
      <c r="NV271" s="128">
        <v>0</v>
      </c>
      <c r="NZ271" s="128">
        <v>215000</v>
      </c>
      <c r="OA271" s="128">
        <v>0</v>
      </c>
      <c r="OB271" s="128">
        <v>0</v>
      </c>
      <c r="OF271" s="128">
        <v>25000</v>
      </c>
      <c r="OG271" s="128">
        <v>0</v>
      </c>
      <c r="OH271" s="128">
        <v>0</v>
      </c>
      <c r="OL271" s="128">
        <v>0</v>
      </c>
      <c r="OM271" s="128">
        <v>0</v>
      </c>
      <c r="ON271" s="128">
        <v>0</v>
      </c>
      <c r="OR271" s="128">
        <v>0</v>
      </c>
      <c r="OS271" s="128">
        <v>0</v>
      </c>
      <c r="OT271" s="128">
        <v>0</v>
      </c>
      <c r="OX271" s="128">
        <v>80000</v>
      </c>
      <c r="OY271" s="128">
        <v>0</v>
      </c>
      <c r="OZ271" s="128">
        <v>0</v>
      </c>
      <c r="PD271" s="128">
        <v>0</v>
      </c>
      <c r="PE271" s="128">
        <v>0</v>
      </c>
      <c r="PF271" s="128">
        <v>0</v>
      </c>
      <c r="PJ271" s="128">
        <v>80000</v>
      </c>
      <c r="PK271" s="128">
        <v>0</v>
      </c>
      <c r="PL271" s="128">
        <v>0</v>
      </c>
      <c r="PP271" s="128">
        <v>6300000</v>
      </c>
      <c r="PQ271" s="128">
        <v>3480000</v>
      </c>
      <c r="PR271" s="128">
        <v>3480000</v>
      </c>
      <c r="PS271" s="128">
        <v>100</v>
      </c>
      <c r="PT271" s="128">
        <v>100</v>
      </c>
      <c r="PX271" s="128">
        <v>2449000</v>
      </c>
      <c r="PY271" s="128">
        <v>2570560</v>
      </c>
      <c r="PZ271" s="128">
        <v>3480000</v>
      </c>
      <c r="QA271" s="128">
        <v>0</v>
      </c>
      <c r="QB271" s="128">
        <v>0</v>
      </c>
      <c r="QC271" s="128">
        <v>0</v>
      </c>
      <c r="QD271" s="128">
        <v>0</v>
      </c>
      <c r="QE271" s="128">
        <v>0</v>
      </c>
      <c r="QF271" s="128">
        <v>0</v>
      </c>
      <c r="QG271" s="128">
        <v>0</v>
      </c>
      <c r="QH271" s="128">
        <v>0</v>
      </c>
      <c r="QI271" s="128">
        <v>0</v>
      </c>
      <c r="QJ271" s="128">
        <v>824729</v>
      </c>
      <c r="QK271" s="128">
        <v>840000</v>
      </c>
      <c r="QL271" s="128">
        <v>862000</v>
      </c>
      <c r="QN271" s="128">
        <v>0</v>
      </c>
      <c r="QO271" s="128">
        <v>0</v>
      </c>
      <c r="QP271" s="128">
        <v>0</v>
      </c>
      <c r="QU271" s="128">
        <v>143000</v>
      </c>
      <c r="QV271" s="128">
        <v>0</v>
      </c>
      <c r="QW271" s="128">
        <v>0</v>
      </c>
      <c r="QX271" s="128">
        <v>1068000</v>
      </c>
      <c r="QY271" s="128">
        <v>1619100</v>
      </c>
      <c r="QZ271" s="128">
        <v>1958000</v>
      </c>
      <c r="RD271" s="128">
        <v>68697</v>
      </c>
      <c r="RE271" s="128">
        <v>27000</v>
      </c>
      <c r="RF271" s="128">
        <v>0</v>
      </c>
      <c r="RH271" s="128">
        <f t="shared" si="514"/>
        <v>5438000</v>
      </c>
      <c r="RI271" s="128">
        <v>0</v>
      </c>
      <c r="RM271" s="128" t="s">
        <v>220</v>
      </c>
      <c r="SF271" s="128">
        <f t="shared" si="423"/>
        <v>9577077</v>
      </c>
      <c r="SG271" s="131">
        <f t="shared" si="424"/>
        <v>6300000</v>
      </c>
      <c r="SH271" s="131">
        <f t="shared" si="425"/>
        <v>6300000</v>
      </c>
      <c r="SI271" s="131">
        <f t="shared" si="426"/>
        <v>5055000</v>
      </c>
      <c r="SJ271" s="132">
        <f t="shared" si="427"/>
        <v>3650000</v>
      </c>
      <c r="SK271" s="132">
        <f t="shared" si="428"/>
        <v>1383000</v>
      </c>
      <c r="SL271" s="132">
        <f t="shared" si="429"/>
        <v>0</v>
      </c>
      <c r="SM271" s="132">
        <f t="shared" si="430"/>
        <v>22000</v>
      </c>
      <c r="SN271" s="131">
        <f t="shared" si="431"/>
        <v>1245000</v>
      </c>
      <c r="SO271" s="131">
        <f t="shared" si="432"/>
        <v>100000</v>
      </c>
      <c r="SP271" s="132">
        <f t="shared" si="433"/>
        <v>0</v>
      </c>
      <c r="SQ271" s="132">
        <f t="shared" si="434"/>
        <v>100000</v>
      </c>
      <c r="SR271" s="132">
        <f t="shared" si="435"/>
        <v>0</v>
      </c>
      <c r="SS271" s="132">
        <f t="shared" si="436"/>
        <v>80000</v>
      </c>
      <c r="ST271" s="132">
        <f t="shared" si="437"/>
        <v>5000</v>
      </c>
      <c r="SU271" s="132">
        <f t="shared" si="438"/>
        <v>330000</v>
      </c>
      <c r="SV271" s="131">
        <f t="shared" si="439"/>
        <v>650000</v>
      </c>
      <c r="SW271" s="132">
        <f t="shared" si="440"/>
        <v>60000</v>
      </c>
      <c r="SX271" s="132">
        <f t="shared" si="441"/>
        <v>50000</v>
      </c>
      <c r="SY271" s="132">
        <f t="shared" si="442"/>
        <v>160000</v>
      </c>
      <c r="SZ271" s="132">
        <f t="shared" si="443"/>
        <v>20000</v>
      </c>
      <c r="TA271" s="132">
        <f t="shared" si="444"/>
        <v>40000</v>
      </c>
      <c r="TB271" s="132">
        <f t="shared" si="445"/>
        <v>215000</v>
      </c>
      <c r="TC271" s="132">
        <f t="shared" si="446"/>
        <v>25000</v>
      </c>
      <c r="TD271" s="132">
        <f t="shared" si="447"/>
        <v>0</v>
      </c>
      <c r="TE271" s="132">
        <f t="shared" si="448"/>
        <v>0</v>
      </c>
      <c r="TF271" s="132">
        <f t="shared" si="449"/>
        <v>80000</v>
      </c>
      <c r="TG271" s="132">
        <f t="shared" si="450"/>
        <v>0</v>
      </c>
      <c r="TH271" s="132">
        <f t="shared" si="451"/>
        <v>80000</v>
      </c>
      <c r="TI271" s="1"/>
      <c r="TJ271" s="131">
        <f t="shared" si="452"/>
        <v>3480000</v>
      </c>
      <c r="TK271" s="131">
        <f t="shared" si="453"/>
        <v>3480000</v>
      </c>
      <c r="TL271" s="131">
        <f t="shared" si="454"/>
        <v>3180000</v>
      </c>
      <c r="TM271" s="132">
        <f t="shared" si="455"/>
        <v>2219000</v>
      </c>
      <c r="TN271" s="132">
        <f t="shared" si="456"/>
        <v>961000</v>
      </c>
      <c r="TO271" s="132">
        <f t="shared" si="457"/>
        <v>0</v>
      </c>
      <c r="TP271" s="132">
        <f t="shared" si="458"/>
        <v>0</v>
      </c>
      <c r="TQ271" s="131">
        <f t="shared" si="459"/>
        <v>300000</v>
      </c>
      <c r="TR271" s="131">
        <f t="shared" si="460"/>
        <v>0</v>
      </c>
      <c r="TS271" s="132">
        <f t="shared" si="461"/>
        <v>0</v>
      </c>
      <c r="TT271" s="132">
        <f t="shared" si="462"/>
        <v>0</v>
      </c>
      <c r="TU271" s="132">
        <f t="shared" si="463"/>
        <v>0</v>
      </c>
      <c r="TV271" s="132">
        <f t="shared" si="464"/>
        <v>0</v>
      </c>
      <c r="TW271" s="132">
        <f t="shared" si="465"/>
        <v>0</v>
      </c>
      <c r="TX271" s="132">
        <f t="shared" si="466"/>
        <v>300000</v>
      </c>
      <c r="TY271" s="131">
        <f t="shared" si="467"/>
        <v>0</v>
      </c>
      <c r="TZ271" s="132">
        <f t="shared" si="468"/>
        <v>0</v>
      </c>
      <c r="UA271" s="132">
        <f t="shared" si="469"/>
        <v>0</v>
      </c>
      <c r="UB271" s="132">
        <f t="shared" si="470"/>
        <v>0</v>
      </c>
      <c r="UC271" s="132">
        <f t="shared" si="471"/>
        <v>0</v>
      </c>
      <c r="UD271" s="132">
        <f t="shared" si="472"/>
        <v>0</v>
      </c>
      <c r="UE271" s="132">
        <f t="shared" si="473"/>
        <v>0</v>
      </c>
      <c r="UF271" s="132">
        <f t="shared" si="474"/>
        <v>0</v>
      </c>
      <c r="UG271" s="132">
        <f t="shared" si="475"/>
        <v>0</v>
      </c>
      <c r="UH271" s="132">
        <f t="shared" si="476"/>
        <v>0</v>
      </c>
      <c r="UI271" s="132">
        <f t="shared" si="477"/>
        <v>0</v>
      </c>
      <c r="UJ271" s="132">
        <f t="shared" si="478"/>
        <v>0</v>
      </c>
      <c r="UK271" s="132">
        <f t="shared" si="479"/>
        <v>0</v>
      </c>
      <c r="UL271" s="132">
        <f t="shared" si="480"/>
        <v>3480000</v>
      </c>
      <c r="UM271" s="131">
        <f t="shared" si="481"/>
        <v>3480000</v>
      </c>
      <c r="UN271" s="131">
        <f t="shared" si="482"/>
        <v>3480000</v>
      </c>
      <c r="UO271" s="131">
        <f t="shared" si="483"/>
        <v>3180000</v>
      </c>
      <c r="UP271" s="132">
        <f t="shared" si="484"/>
        <v>2219000</v>
      </c>
      <c r="UQ271" s="132">
        <f t="shared" si="485"/>
        <v>961000</v>
      </c>
      <c r="UR271" s="132">
        <f t="shared" si="486"/>
        <v>0</v>
      </c>
      <c r="US271" s="132">
        <f t="shared" si="487"/>
        <v>0</v>
      </c>
      <c r="UT271" s="131">
        <f t="shared" si="488"/>
        <v>300000</v>
      </c>
      <c r="UU271" s="131">
        <f t="shared" si="489"/>
        <v>0</v>
      </c>
      <c r="UV271" s="132">
        <f t="shared" si="490"/>
        <v>0</v>
      </c>
      <c r="UW271" s="132">
        <f t="shared" si="491"/>
        <v>0</v>
      </c>
      <c r="UX271" s="132">
        <f t="shared" si="492"/>
        <v>0</v>
      </c>
      <c r="UY271" s="132">
        <f t="shared" si="493"/>
        <v>0</v>
      </c>
      <c r="UZ271" s="132">
        <f t="shared" si="494"/>
        <v>0</v>
      </c>
      <c r="VA271" s="132">
        <f t="shared" si="495"/>
        <v>300000</v>
      </c>
      <c r="VB271" s="131">
        <f t="shared" si="496"/>
        <v>0</v>
      </c>
      <c r="VC271" s="132">
        <f t="shared" si="497"/>
        <v>0</v>
      </c>
      <c r="VD271" s="132">
        <f t="shared" si="498"/>
        <v>0</v>
      </c>
      <c r="VE271" s="132">
        <f t="shared" si="499"/>
        <v>0</v>
      </c>
      <c r="VF271" s="132">
        <f t="shared" si="500"/>
        <v>0</v>
      </c>
      <c r="VG271" s="132">
        <f t="shared" si="501"/>
        <v>0</v>
      </c>
      <c r="VH271" s="132">
        <f t="shared" si="502"/>
        <v>0</v>
      </c>
      <c r="VI271" s="132">
        <f t="shared" si="503"/>
        <v>0</v>
      </c>
      <c r="VJ271" s="132">
        <f t="shared" si="504"/>
        <v>0</v>
      </c>
      <c r="VK271" s="132">
        <f t="shared" si="505"/>
        <v>0</v>
      </c>
      <c r="VL271" s="132">
        <f t="shared" si="506"/>
        <v>0</v>
      </c>
      <c r="VM271" s="132">
        <f t="shared" si="507"/>
        <v>0</v>
      </c>
      <c r="VN271" s="132">
        <f t="shared" si="508"/>
        <v>0</v>
      </c>
      <c r="VP271" s="845" t="str">
        <f>IFERROR(HLOOKUP(F271,'Hodnocení '!$C$1:$JH$5,2,FALSE),0)</f>
        <v>Tísňová péče pro seniory a zdravotně postižené občany</v>
      </c>
      <c r="VQ271" s="838"/>
      <c r="VR271" s="845" t="str">
        <f t="shared" si="515"/>
        <v>Obecně prospěšná společnost</v>
      </c>
      <c r="VS271" s="845" t="str">
        <f>IFERROR(HLOOKUP(F271,'Hodnocení '!$C$1:$JH$5,5,FALSE),0)</f>
        <v>NZO</v>
      </c>
      <c r="VT271" s="838">
        <f t="shared" si="516"/>
        <v>0</v>
      </c>
      <c r="VU271" s="838">
        <f t="shared" si="517"/>
        <v>0</v>
      </c>
      <c r="VV271" s="838">
        <f t="shared" si="518"/>
        <v>862000</v>
      </c>
      <c r="VW271" s="838">
        <f t="shared" si="519"/>
        <v>0</v>
      </c>
      <c r="VX271" s="838"/>
      <c r="VY271" s="838">
        <f t="shared" si="419"/>
        <v>0</v>
      </c>
      <c r="VZ271" s="838">
        <f t="shared" si="420"/>
        <v>3480000</v>
      </c>
      <c r="WA271" s="846">
        <f>IFERROR(HLOOKUP($F271,'Hodnocení '!$C$1:$JH$9,9,FALSE),0)</f>
        <v>3480000</v>
      </c>
      <c r="WB271" s="846">
        <f>IF(IFERROR(HLOOKUP($F271,'Hodnocení '!$C$1:$JH$13,13,FALSE),0)&gt;WA271,WA271,IFERROR(HLOOKUP($F271,'Hodnocení '!$C$1:$JH$13,13,FALSE),0))</f>
        <v>3480000</v>
      </c>
      <c r="WC271" s="846">
        <f>IFERROR(HLOOKUP($F271,'Hodnocení '!$C$1:$JH$155,155,FALSE),0)</f>
        <v>2889370</v>
      </c>
      <c r="WD271" s="845"/>
      <c r="WE271" s="845"/>
      <c r="WF271" s="845" t="str">
        <f t="shared" si="509"/>
        <v>ANO</v>
      </c>
      <c r="WG271" s="849" t="str">
        <f t="shared" si="421"/>
        <v>Podpora služby je vyjádřena zařazením do sítě sociálních služeb v KHK a řešením financování služby</v>
      </c>
      <c r="WH271" s="849" t="str">
        <f t="shared" si="421"/>
        <v xml:space="preserve">Otázka efektivity ve vztahu k nákladům a celkové výše vyrovnávací platby je součástí procesu výpočtů a následné vzájemné konzultace s poskytovateli a zadavateli. V KHK se řeší i prostřednictvím systému řízení a financování sociální sítě KISSOS a přímým jednáním příslušných stran. </v>
      </c>
      <c r="WI271" s="849" t="str">
        <f t="shared" si="421"/>
        <v>Návrh dotace je výsledkem projednání s ostatními zadavateli v rámci sítě služeb KHK</v>
      </c>
      <c r="WJ271" s="849" t="str">
        <f t="shared" si="421"/>
        <v>Bez komentáře</v>
      </c>
      <c r="WK271" s="31">
        <f t="shared" si="510"/>
        <v>0</v>
      </c>
      <c r="WL271" s="850">
        <f t="shared" si="511"/>
        <v>0</v>
      </c>
      <c r="WM271" s="849" t="str">
        <f t="shared" si="512"/>
        <v>V rámci sítě KHK se dlouhodobě řeší otázka navyšování úhrad a průběžně se monitoruje s vazbou na vykrytí vyrovnávací platby</v>
      </c>
      <c r="WN271" s="849">
        <f t="shared" si="513"/>
        <v>0</v>
      </c>
      <c r="WO271" s="849" t="str">
        <f t="shared" si="422"/>
        <v>bez komentáře</v>
      </c>
      <c r="WP271" s="849" t="str">
        <f t="shared" si="422"/>
        <v>bez komentáře</v>
      </c>
      <c r="WQ271" s="849" t="str">
        <f t="shared" si="422"/>
        <v>Konečná výše dotace z rozpočtu KHK bude řešena v návaznosti na řešení podílů jednotlivých zadavatelů.</v>
      </c>
      <c r="WR271" s="849" t="str">
        <f t="shared" si="422"/>
        <v>Konečná výše podpory ze stran obcí bude řešena v součinnosti s jednotlivými zadavateli v průběhu roku.</v>
      </c>
      <c r="WS271" s="849" t="str">
        <f t="shared" si="422"/>
        <v>bez komentáře</v>
      </c>
      <c r="WT271" s="849" t="str">
        <f t="shared" si="422"/>
        <v>bez komentáře</v>
      </c>
      <c r="WU271" s="845"/>
    </row>
    <row r="272" spans="1:619" s="128" customFormat="1" x14ac:dyDescent="0.25">
      <c r="SG272" s="131"/>
      <c r="SH272" s="131"/>
      <c r="SI272" s="131"/>
      <c r="SJ272" s="132"/>
      <c r="SK272" s="132"/>
      <c r="SL272" s="132"/>
      <c r="SM272" s="132"/>
      <c r="SN272" s="131"/>
      <c r="SO272" s="131"/>
      <c r="SP272" s="132"/>
      <c r="SQ272" s="132"/>
      <c r="SR272" s="132"/>
      <c r="SS272" s="132"/>
      <c r="ST272" s="132"/>
      <c r="SU272" s="132"/>
      <c r="SV272" s="131"/>
      <c r="SW272" s="132"/>
      <c r="SX272" s="132"/>
      <c r="SY272" s="132"/>
      <c r="SZ272" s="132"/>
      <c r="TA272" s="132"/>
      <c r="TB272" s="132"/>
      <c r="TC272" s="132"/>
      <c r="TD272" s="132"/>
      <c r="TE272" s="132"/>
      <c r="TF272" s="132"/>
      <c r="TG272" s="132"/>
      <c r="TH272" s="132"/>
      <c r="TI272" s="1"/>
      <c r="TJ272" s="131"/>
      <c r="TK272" s="131"/>
      <c r="TL272" s="131"/>
      <c r="TM272" s="132"/>
      <c r="TN272" s="132"/>
      <c r="TO272" s="132"/>
      <c r="TP272" s="132"/>
      <c r="TQ272" s="131"/>
      <c r="TR272" s="131"/>
      <c r="TS272" s="132"/>
      <c r="TT272" s="132"/>
      <c r="TU272" s="132"/>
      <c r="TV272" s="132"/>
      <c r="TW272" s="132"/>
      <c r="TX272" s="132"/>
      <c r="TY272" s="131"/>
      <c r="TZ272" s="132"/>
      <c r="UA272" s="132"/>
      <c r="UB272" s="132"/>
      <c r="UC272" s="132"/>
      <c r="UD272" s="132"/>
      <c r="UE272" s="132"/>
      <c r="UF272" s="132"/>
      <c r="UG272" s="132"/>
      <c r="UH272" s="132"/>
      <c r="UI272" s="132"/>
      <c r="UJ272" s="132"/>
      <c r="UK272" s="132"/>
      <c r="UL272" s="132"/>
      <c r="UM272" s="131">
        <f>SUM(UM8:UM271)</f>
        <v>1341019783</v>
      </c>
      <c r="UN272" s="131"/>
      <c r="UO272" s="131"/>
      <c r="UP272" s="132"/>
      <c r="UQ272" s="132"/>
      <c r="UR272" s="132"/>
      <c r="US272" s="132"/>
      <c r="UT272" s="131"/>
      <c r="UU272" s="131"/>
      <c r="UV272" s="132"/>
      <c r="UW272" s="132"/>
      <c r="UX272" s="132"/>
      <c r="UY272" s="132"/>
      <c r="UZ272" s="132"/>
      <c r="VA272" s="132"/>
      <c r="VB272" s="131"/>
      <c r="VC272" s="132"/>
      <c r="VD272" s="132"/>
      <c r="VE272" s="132"/>
      <c r="VF272" s="132"/>
      <c r="VG272" s="132"/>
      <c r="VH272" s="132"/>
      <c r="VI272" s="132"/>
      <c r="VJ272" s="132"/>
      <c r="VK272" s="132"/>
      <c r="VL272" s="132"/>
      <c r="VM272" s="132"/>
      <c r="VN272" s="132"/>
      <c r="WA272" s="846">
        <f t="shared" ref="WA272:WB272" si="520">SUM(WA8:WA271)</f>
        <v>1334210424</v>
      </c>
      <c r="WB272" s="846">
        <f t="shared" si="520"/>
        <v>1265019980.5400131</v>
      </c>
      <c r="WC272" s="846">
        <f>SUM(WC8:WC271)</f>
        <v>960818679</v>
      </c>
    </row>
    <row r="273" spans="500:586" x14ac:dyDescent="0.25">
      <c r="SF273" s="128"/>
      <c r="SG273" s="131"/>
      <c r="SH273" s="131"/>
      <c r="SI273" s="131"/>
      <c r="SJ273" s="132"/>
      <c r="SK273" s="132"/>
      <c r="SL273" s="132"/>
      <c r="SM273" s="132"/>
      <c r="SN273" s="131"/>
      <c r="SO273" s="131"/>
      <c r="SP273" s="132"/>
      <c r="SQ273" s="132"/>
      <c r="SR273" s="132"/>
      <c r="SS273" s="132"/>
      <c r="ST273" s="132"/>
      <c r="SU273" s="132"/>
      <c r="SV273" s="131"/>
      <c r="SW273" s="132"/>
      <c r="SX273" s="132"/>
      <c r="SY273" s="132"/>
      <c r="SZ273" s="132"/>
      <c r="TA273" s="132"/>
      <c r="TB273" s="132"/>
      <c r="TC273" s="132"/>
      <c r="TD273" s="132"/>
      <c r="TE273" s="132"/>
      <c r="TF273" s="132"/>
      <c r="TG273" s="132"/>
      <c r="TH273" s="132"/>
      <c r="TI273" s="1"/>
      <c r="TJ273" s="131"/>
      <c r="TK273" s="131"/>
      <c r="TL273" s="131"/>
      <c r="TM273" s="132"/>
      <c r="TN273" s="132"/>
      <c r="TO273" s="132"/>
      <c r="TP273" s="132"/>
      <c r="TQ273" s="131"/>
      <c r="TR273" s="131"/>
      <c r="TS273" s="132"/>
      <c r="TT273" s="132"/>
      <c r="TU273" s="132"/>
      <c r="TV273" s="132"/>
      <c r="TW273" s="132"/>
      <c r="TX273" s="132"/>
      <c r="TY273" s="131"/>
      <c r="TZ273" s="132"/>
      <c r="UA273" s="132"/>
      <c r="UB273" s="132"/>
      <c r="UC273" s="132"/>
      <c r="UD273" s="132"/>
      <c r="UE273" s="132"/>
      <c r="UF273" s="132"/>
      <c r="UG273" s="132"/>
      <c r="UH273" s="132"/>
      <c r="UI273" s="132"/>
      <c r="UJ273" s="132"/>
      <c r="UK273" s="132"/>
      <c r="UL273" s="132"/>
      <c r="UM273" s="131"/>
      <c r="UN273" s="131"/>
      <c r="UO273" s="131"/>
      <c r="UP273" s="132"/>
      <c r="UQ273" s="132"/>
      <c r="UR273" s="132"/>
      <c r="US273" s="132"/>
      <c r="UT273" s="131"/>
      <c r="UU273" s="131"/>
      <c r="UV273" s="132"/>
      <c r="UW273" s="132"/>
      <c r="UX273" s="132"/>
      <c r="UY273" s="132"/>
      <c r="UZ273" s="132"/>
      <c r="VA273" s="132"/>
      <c r="VB273" s="131"/>
      <c r="VC273" s="132"/>
      <c r="VD273" s="132"/>
      <c r="VE273" s="132"/>
      <c r="VF273" s="132"/>
      <c r="VG273" s="132"/>
      <c r="VH273" s="132"/>
      <c r="VI273" s="132"/>
      <c r="VJ273" s="132"/>
      <c r="VK273" s="132"/>
      <c r="VL273" s="132"/>
      <c r="VM273" s="132"/>
      <c r="VN273" s="132"/>
    </row>
    <row r="274" spans="500:586" x14ac:dyDescent="0.25">
      <c r="SF274" s="128"/>
      <c r="SG274" s="131"/>
      <c r="SH274" s="131"/>
      <c r="SI274" s="131"/>
      <c r="SJ274" s="132"/>
      <c r="SK274" s="132"/>
      <c r="SL274" s="132"/>
      <c r="SM274" s="132"/>
      <c r="SN274" s="131"/>
      <c r="SO274" s="131"/>
      <c r="SP274" s="132"/>
      <c r="SQ274" s="132"/>
      <c r="SR274" s="132"/>
      <c r="SS274" s="132"/>
      <c r="ST274" s="132"/>
      <c r="SU274" s="132"/>
      <c r="SV274" s="131"/>
      <c r="SW274" s="132"/>
      <c r="SX274" s="132"/>
      <c r="SY274" s="132"/>
      <c r="SZ274" s="132"/>
      <c r="TA274" s="132"/>
      <c r="TB274" s="132"/>
      <c r="TC274" s="132"/>
      <c r="TD274" s="132"/>
      <c r="TE274" s="132"/>
      <c r="TF274" s="132"/>
      <c r="TG274" s="132"/>
      <c r="TH274" s="132"/>
      <c r="TI274" s="1"/>
      <c r="TJ274" s="131"/>
      <c r="TK274" s="131"/>
      <c r="TL274" s="131"/>
      <c r="TM274" s="132"/>
      <c r="TN274" s="132"/>
      <c r="TO274" s="132"/>
      <c r="TP274" s="132"/>
      <c r="TQ274" s="131"/>
      <c r="TR274" s="131"/>
      <c r="TS274" s="132"/>
      <c r="TT274" s="132"/>
      <c r="TU274" s="132"/>
      <c r="TV274" s="132"/>
      <c r="TW274" s="132"/>
      <c r="TX274" s="132"/>
      <c r="TY274" s="131"/>
      <c r="TZ274" s="132"/>
      <c r="UA274" s="132"/>
      <c r="UB274" s="132"/>
      <c r="UC274" s="132"/>
      <c r="UD274" s="132"/>
      <c r="UE274" s="132"/>
      <c r="UF274" s="132"/>
      <c r="UG274" s="132"/>
      <c r="UH274" s="132"/>
      <c r="UI274" s="132"/>
      <c r="UJ274" s="132"/>
      <c r="UK274" s="132"/>
      <c r="UL274" s="132"/>
      <c r="UM274" s="131"/>
      <c r="UN274" s="131"/>
      <c r="UO274" s="131"/>
      <c r="UP274" s="132"/>
      <c r="UQ274" s="132"/>
      <c r="UR274" s="132"/>
      <c r="US274" s="132"/>
      <c r="UT274" s="131"/>
      <c r="UU274" s="131"/>
      <c r="UV274" s="132"/>
      <c r="UW274" s="132"/>
      <c r="UX274" s="132"/>
      <c r="UY274" s="132"/>
      <c r="UZ274" s="132"/>
      <c r="VA274" s="132"/>
      <c r="VB274" s="131"/>
      <c r="VC274" s="132"/>
      <c r="VD274" s="132"/>
      <c r="VE274" s="132"/>
      <c r="VF274" s="132"/>
      <c r="VG274" s="132"/>
      <c r="VH274" s="132"/>
      <c r="VI274" s="132"/>
      <c r="VJ274" s="132"/>
      <c r="VK274" s="132"/>
      <c r="VL274" s="132"/>
      <c r="VM274" s="132"/>
      <c r="VN274" s="132"/>
    </row>
    <row r="275" spans="500:586" x14ac:dyDescent="0.25">
      <c r="SF275" s="128"/>
      <c r="SG275" s="131"/>
      <c r="SH275" s="131"/>
      <c r="SI275" s="131"/>
      <c r="SJ275" s="132"/>
      <c r="SK275" s="132"/>
      <c r="SL275" s="132"/>
      <c r="SM275" s="132"/>
      <c r="SN275" s="131"/>
      <c r="SO275" s="131"/>
      <c r="SP275" s="132"/>
      <c r="SQ275" s="132"/>
      <c r="SR275" s="132"/>
      <c r="SS275" s="132"/>
      <c r="ST275" s="132"/>
      <c r="SU275" s="132"/>
      <c r="SV275" s="131"/>
      <c r="SW275" s="132"/>
      <c r="SX275" s="132"/>
      <c r="SY275" s="132"/>
      <c r="SZ275" s="132"/>
      <c r="TA275" s="132"/>
      <c r="TB275" s="132"/>
      <c r="TC275" s="132"/>
      <c r="TD275" s="132"/>
      <c r="TE275" s="132"/>
      <c r="TF275" s="132"/>
      <c r="TG275" s="132"/>
      <c r="TH275" s="132"/>
      <c r="TI275" s="1"/>
      <c r="TJ275" s="131"/>
      <c r="TK275" s="131"/>
      <c r="TL275" s="131"/>
      <c r="TM275" s="132"/>
      <c r="TN275" s="132"/>
      <c r="TO275" s="132"/>
      <c r="TP275" s="132"/>
      <c r="TQ275" s="131"/>
      <c r="TR275" s="131"/>
      <c r="TS275" s="132"/>
      <c r="TT275" s="132"/>
      <c r="TU275" s="132"/>
      <c r="TV275" s="132"/>
      <c r="TW275" s="132"/>
      <c r="TX275" s="132"/>
      <c r="TY275" s="131"/>
      <c r="TZ275" s="132"/>
      <c r="UA275" s="132"/>
      <c r="UB275" s="132"/>
      <c r="UC275" s="132"/>
      <c r="UD275" s="132"/>
      <c r="UE275" s="132"/>
      <c r="UF275" s="132"/>
      <c r="UG275" s="132"/>
      <c r="UH275" s="132"/>
      <c r="UI275" s="132"/>
      <c r="UJ275" s="132"/>
      <c r="UK275" s="132"/>
      <c r="UL275" s="132"/>
      <c r="UM275" s="131"/>
      <c r="UN275" s="131"/>
      <c r="UO275" s="131"/>
      <c r="UP275" s="132"/>
      <c r="UQ275" s="132"/>
      <c r="UR275" s="132"/>
      <c r="US275" s="132"/>
      <c r="UT275" s="131"/>
      <c r="UU275" s="131"/>
      <c r="UV275" s="132"/>
      <c r="UW275" s="132"/>
      <c r="UX275" s="132"/>
      <c r="UY275" s="132"/>
      <c r="UZ275" s="132"/>
      <c r="VA275" s="132"/>
      <c r="VB275" s="131"/>
      <c r="VC275" s="132"/>
      <c r="VD275" s="132"/>
      <c r="VE275" s="132"/>
      <c r="VF275" s="132"/>
      <c r="VG275" s="132"/>
      <c r="VH275" s="132"/>
      <c r="VI275" s="132"/>
      <c r="VJ275" s="132"/>
      <c r="VK275" s="132"/>
      <c r="VL275" s="132"/>
      <c r="VM275" s="132"/>
      <c r="VN275" s="132"/>
    </row>
    <row r="276" spans="500:586" x14ac:dyDescent="0.25">
      <c r="SF276" s="128"/>
      <c r="SG276" s="131"/>
      <c r="SH276" s="131"/>
      <c r="SI276" s="131"/>
      <c r="SJ276" s="132"/>
      <c r="SK276" s="132"/>
      <c r="SL276" s="132"/>
      <c r="SM276" s="132"/>
      <c r="SN276" s="131"/>
      <c r="SO276" s="131"/>
      <c r="SP276" s="132"/>
      <c r="SQ276" s="132"/>
      <c r="SR276" s="132"/>
      <c r="SS276" s="132"/>
      <c r="ST276" s="132"/>
      <c r="SU276" s="132"/>
      <c r="SV276" s="131"/>
      <c r="SW276" s="132"/>
      <c r="SX276" s="132"/>
      <c r="SY276" s="132"/>
      <c r="SZ276" s="132"/>
      <c r="TA276" s="132"/>
      <c r="TB276" s="132"/>
      <c r="TC276" s="132"/>
      <c r="TD276" s="132"/>
      <c r="TE276" s="132"/>
      <c r="TF276" s="132"/>
      <c r="TG276" s="132"/>
      <c r="TH276" s="132"/>
      <c r="TI276" s="1"/>
      <c r="TJ276" s="131"/>
      <c r="TK276" s="131"/>
      <c r="TL276" s="131"/>
      <c r="TM276" s="132"/>
      <c r="TN276" s="132"/>
      <c r="TO276" s="132"/>
      <c r="TP276" s="132"/>
      <c r="TQ276" s="131"/>
      <c r="TR276" s="131"/>
      <c r="TS276" s="132"/>
      <c r="TT276" s="132"/>
      <c r="TU276" s="132"/>
      <c r="TV276" s="132"/>
      <c r="TW276" s="132"/>
      <c r="TX276" s="132"/>
      <c r="TY276" s="131"/>
      <c r="TZ276" s="132"/>
      <c r="UA276" s="132"/>
      <c r="UB276" s="132"/>
      <c r="UC276" s="132"/>
      <c r="UD276" s="132"/>
      <c r="UE276" s="132"/>
      <c r="UF276" s="132"/>
      <c r="UG276" s="132"/>
      <c r="UH276" s="132"/>
      <c r="UI276" s="132"/>
      <c r="UJ276" s="132"/>
      <c r="UK276" s="132"/>
      <c r="UL276" s="132"/>
      <c r="UM276" s="131"/>
      <c r="UN276" s="131"/>
      <c r="UO276" s="131"/>
      <c r="UP276" s="132"/>
      <c r="UQ276" s="132"/>
      <c r="UR276" s="132"/>
      <c r="US276" s="132"/>
      <c r="UT276" s="131"/>
      <c r="UU276" s="131"/>
      <c r="UV276" s="132"/>
      <c r="UW276" s="132"/>
      <c r="UX276" s="132"/>
      <c r="UY276" s="132"/>
      <c r="UZ276" s="132"/>
      <c r="VA276" s="132"/>
      <c r="VB276" s="131"/>
      <c r="VC276" s="132"/>
      <c r="VD276" s="132"/>
      <c r="VE276" s="132"/>
      <c r="VF276" s="132"/>
      <c r="VG276" s="132"/>
      <c r="VH276" s="132"/>
      <c r="VI276" s="132"/>
      <c r="VJ276" s="132"/>
      <c r="VK276" s="132"/>
      <c r="VL276" s="132"/>
      <c r="VM276" s="132"/>
      <c r="VN276" s="132"/>
    </row>
    <row r="277" spans="500:586" x14ac:dyDescent="0.25">
      <c r="UM277" s="314"/>
      <c r="VM277" s="314"/>
    </row>
  </sheetData>
  <conditionalFormatting sqref="VS8:VS271 VP8:VP271">
    <cfRule type="cellIs" dxfId="365" priority="4" operator="equal">
      <formula>0</formula>
    </cfRule>
  </conditionalFormatting>
  <conditionalFormatting sqref="WF8:WF271">
    <cfRule type="cellIs" dxfId="364" priority="3" operator="equal">
      <formula>"NE"</formula>
    </cfRule>
  </conditionalFormatting>
  <conditionalFormatting sqref="WB8:WB271">
    <cfRule type="expression" dxfId="363" priority="2">
      <formula>WB8&gt;WA8</formula>
    </cfRule>
  </conditionalFormatting>
  <conditionalFormatting sqref="WC8:WC271">
    <cfRule type="expression" dxfId="362" priority="1">
      <formula>WC8&gt;WB8</formula>
    </cfRule>
  </conditionalFormatting>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9"/>
  <sheetViews>
    <sheetView topLeftCell="F1" workbookViewId="0">
      <selection activeCell="J3" sqref="J3:K3"/>
    </sheetView>
  </sheetViews>
  <sheetFormatPr defaultColWidth="9.28515625" defaultRowHeight="15" x14ac:dyDescent="0.25"/>
  <cols>
    <col min="1" max="2" width="17.85546875" style="388" customWidth="1"/>
    <col min="3" max="3" width="9.85546875" style="388" bestFit="1" customWidth="1"/>
    <col min="4" max="4" width="12.5703125" style="388" customWidth="1"/>
    <col min="5" max="5" width="6.140625" style="388" customWidth="1"/>
    <col min="6" max="12" width="20.140625" style="388" customWidth="1"/>
    <col min="13" max="16384" width="9.28515625" style="388"/>
  </cols>
  <sheetData>
    <row r="1" spans="1:12" x14ac:dyDescent="0.25">
      <c r="A1" s="387" t="s">
        <v>2447</v>
      </c>
      <c r="C1" s="391">
        <v>1</v>
      </c>
      <c r="D1" s="391">
        <v>2</v>
      </c>
      <c r="E1" s="391">
        <v>3</v>
      </c>
      <c r="F1" s="391">
        <v>4</v>
      </c>
      <c r="G1" s="391">
        <v>5</v>
      </c>
      <c r="H1" s="391">
        <v>6</v>
      </c>
      <c r="I1" s="391">
        <v>7</v>
      </c>
      <c r="J1" s="391">
        <v>8</v>
      </c>
      <c r="K1" s="391">
        <v>9</v>
      </c>
      <c r="L1" s="391">
        <v>10</v>
      </c>
    </row>
    <row r="2" spans="1:12" ht="39" x14ac:dyDescent="0.25">
      <c r="A2" s="389" t="s">
        <v>2448</v>
      </c>
      <c r="B2" s="390" t="s">
        <v>2449</v>
      </c>
    </row>
    <row r="3" spans="1:12" ht="38.25" x14ac:dyDescent="0.25">
      <c r="A3" s="348" t="s">
        <v>1040</v>
      </c>
      <c r="B3" s="348" t="s">
        <v>38</v>
      </c>
      <c r="C3" s="348" t="s">
        <v>1039</v>
      </c>
      <c r="D3" s="348" t="s">
        <v>40</v>
      </c>
      <c r="E3" s="348" t="s">
        <v>1841</v>
      </c>
      <c r="F3" s="348" t="s">
        <v>2450</v>
      </c>
      <c r="G3" s="348" t="s">
        <v>2451</v>
      </c>
      <c r="H3" s="348" t="s">
        <v>2452</v>
      </c>
      <c r="I3" s="348" t="s">
        <v>2453</v>
      </c>
      <c r="J3" s="348" t="s">
        <v>2454</v>
      </c>
      <c r="K3" s="348" t="s">
        <v>2455</v>
      </c>
      <c r="L3" s="348" t="s">
        <v>2456</v>
      </c>
    </row>
    <row r="4" spans="1:12" ht="39" x14ac:dyDescent="0.25">
      <c r="A4" s="349" t="s">
        <v>1145</v>
      </c>
      <c r="B4" s="349" t="s">
        <v>1124</v>
      </c>
      <c r="C4" s="349">
        <v>6152074</v>
      </c>
      <c r="D4" s="349" t="s">
        <v>226</v>
      </c>
      <c r="E4" s="349">
        <v>2018</v>
      </c>
      <c r="F4" s="350">
        <v>7.94</v>
      </c>
      <c r="G4" s="350">
        <v>0.89</v>
      </c>
      <c r="H4" s="350">
        <v>426762.64</v>
      </c>
      <c r="I4" s="350">
        <v>599998.92000000004</v>
      </c>
      <c r="J4" s="350">
        <v>4939.0200000000004</v>
      </c>
      <c r="K4" s="350">
        <v>37391.18</v>
      </c>
      <c r="L4" s="350">
        <v>460983.32</v>
      </c>
    </row>
    <row r="5" spans="1:12" ht="39" x14ac:dyDescent="0.25">
      <c r="A5" s="349" t="s">
        <v>1145</v>
      </c>
      <c r="B5" s="349" t="s">
        <v>1282</v>
      </c>
      <c r="C5" s="349">
        <v>3673053</v>
      </c>
      <c r="D5" s="349" t="s">
        <v>219</v>
      </c>
      <c r="E5" s="349">
        <v>2018</v>
      </c>
      <c r="F5" s="350">
        <v>16.77</v>
      </c>
      <c r="G5" s="350">
        <v>3.44</v>
      </c>
      <c r="H5" s="350">
        <v>414289.87</v>
      </c>
      <c r="I5" s="350">
        <v>545913.38</v>
      </c>
      <c r="J5" s="350">
        <v>56189.67</v>
      </c>
      <c r="K5" s="350">
        <v>110262.84</v>
      </c>
      <c r="L5" s="350">
        <v>591017.93999999994</v>
      </c>
    </row>
    <row r="6" spans="1:12" ht="39" x14ac:dyDescent="0.25">
      <c r="A6" s="349" t="s">
        <v>1145</v>
      </c>
      <c r="B6" s="349" t="s">
        <v>1472</v>
      </c>
      <c r="C6" s="349">
        <v>9767213</v>
      </c>
      <c r="D6" s="349" t="s">
        <v>236</v>
      </c>
      <c r="E6" s="349">
        <v>2018</v>
      </c>
      <c r="F6" s="350">
        <v>2.62</v>
      </c>
      <c r="G6" s="350">
        <v>0.69</v>
      </c>
      <c r="H6" s="350">
        <v>428754.16</v>
      </c>
      <c r="I6" s="350">
        <v>516029.19</v>
      </c>
      <c r="J6" s="350">
        <v>42934.82</v>
      </c>
      <c r="K6" s="350">
        <v>176813.7</v>
      </c>
      <c r="L6" s="350">
        <v>695570.45</v>
      </c>
    </row>
    <row r="7" spans="1:12" ht="26.25" x14ac:dyDescent="0.25">
      <c r="A7" s="349" t="s">
        <v>240</v>
      </c>
      <c r="B7" s="349" t="s">
        <v>1472</v>
      </c>
      <c r="C7" s="349">
        <v>4885366</v>
      </c>
      <c r="D7" s="349" t="s">
        <v>1488</v>
      </c>
      <c r="E7" s="349">
        <v>2018</v>
      </c>
      <c r="F7" s="350">
        <v>4.0199999999999996</v>
      </c>
      <c r="G7" s="350">
        <v>0.64</v>
      </c>
      <c r="H7" s="350">
        <v>451867.41</v>
      </c>
      <c r="I7" s="350">
        <v>600561.91</v>
      </c>
      <c r="J7" s="350">
        <v>36014.68</v>
      </c>
      <c r="K7" s="350">
        <v>45178.68</v>
      </c>
      <c r="L7" s="350">
        <v>628672.62</v>
      </c>
    </row>
    <row r="8" spans="1:12" ht="39" x14ac:dyDescent="0.25">
      <c r="A8" s="349" t="s">
        <v>249</v>
      </c>
      <c r="B8" s="349" t="s">
        <v>1459</v>
      </c>
      <c r="C8" s="349">
        <v>1758706</v>
      </c>
      <c r="D8" s="349" t="s">
        <v>1465</v>
      </c>
      <c r="E8" s="349">
        <v>2018</v>
      </c>
      <c r="F8" s="350">
        <v>10</v>
      </c>
      <c r="G8" s="350">
        <v>0.52</v>
      </c>
      <c r="H8" s="350">
        <v>356348.7</v>
      </c>
      <c r="I8" s="350">
        <v>582936.54</v>
      </c>
      <c r="J8" s="350">
        <v>0</v>
      </c>
      <c r="K8" s="350">
        <v>118429.92</v>
      </c>
      <c r="L8" s="350">
        <v>505091.32</v>
      </c>
    </row>
    <row r="9" spans="1:12" ht="51.75" x14ac:dyDescent="0.25">
      <c r="A9" s="349" t="s">
        <v>257</v>
      </c>
      <c r="B9" s="349" t="s">
        <v>1311</v>
      </c>
      <c r="C9" s="349">
        <v>5000179</v>
      </c>
      <c r="D9" s="349" t="s">
        <v>261</v>
      </c>
      <c r="E9" s="349">
        <v>2018</v>
      </c>
      <c r="F9" s="350">
        <v>66.25</v>
      </c>
      <c r="G9" s="350">
        <v>15.52</v>
      </c>
      <c r="H9" s="350">
        <v>525990.64</v>
      </c>
      <c r="I9" s="350">
        <v>393557.83</v>
      </c>
      <c r="J9" s="350">
        <v>65543.8</v>
      </c>
      <c r="K9" s="350">
        <v>119296.8</v>
      </c>
      <c r="L9" s="350">
        <v>546579.74</v>
      </c>
    </row>
    <row r="10" spans="1:12" ht="26.25" x14ac:dyDescent="0.25">
      <c r="A10" s="349" t="s">
        <v>257</v>
      </c>
      <c r="B10" s="349" t="s">
        <v>1346</v>
      </c>
      <c r="C10" s="349">
        <v>8504548</v>
      </c>
      <c r="D10" s="349" t="s">
        <v>769</v>
      </c>
      <c r="E10" s="349">
        <v>2018</v>
      </c>
      <c r="F10" s="350">
        <v>40.6</v>
      </c>
      <c r="G10" s="350">
        <v>3.64</v>
      </c>
      <c r="H10" s="350">
        <v>527465.48</v>
      </c>
      <c r="I10" s="350">
        <v>580355.81999999995</v>
      </c>
      <c r="J10" s="350">
        <v>64599.43</v>
      </c>
      <c r="K10" s="350">
        <v>89427.07</v>
      </c>
      <c r="L10" s="350">
        <v>579510.26</v>
      </c>
    </row>
    <row r="11" spans="1:12" ht="39" x14ac:dyDescent="0.25">
      <c r="A11" s="349" t="s">
        <v>257</v>
      </c>
      <c r="B11" s="349" t="s">
        <v>1451</v>
      </c>
      <c r="C11" s="349">
        <v>6163071</v>
      </c>
      <c r="D11" s="349" t="s">
        <v>1453</v>
      </c>
      <c r="E11" s="349">
        <v>2018</v>
      </c>
      <c r="F11" s="350">
        <v>1.1000000000000001</v>
      </c>
      <c r="G11" s="350">
        <v>0.39</v>
      </c>
      <c r="H11" s="350">
        <v>448047.06</v>
      </c>
      <c r="I11" s="350">
        <v>466070.92</v>
      </c>
      <c r="J11" s="350">
        <v>20882.73</v>
      </c>
      <c r="K11" s="350">
        <v>27966.25</v>
      </c>
      <c r="L11" s="350">
        <v>645807.54</v>
      </c>
    </row>
    <row r="12" spans="1:12" ht="26.25" x14ac:dyDescent="0.25">
      <c r="A12" s="349" t="s">
        <v>257</v>
      </c>
      <c r="B12" s="349" t="s">
        <v>1472</v>
      </c>
      <c r="C12" s="349">
        <v>3650770</v>
      </c>
      <c r="D12" s="349" t="s">
        <v>257</v>
      </c>
      <c r="E12" s="349">
        <v>2018</v>
      </c>
      <c r="F12" s="350">
        <v>3.6</v>
      </c>
      <c r="G12" s="350">
        <v>0.43</v>
      </c>
      <c r="H12" s="350">
        <v>495632.44</v>
      </c>
      <c r="I12" s="350">
        <v>569534.56000000006</v>
      </c>
      <c r="J12" s="350">
        <v>48632.78</v>
      </c>
      <c r="K12" s="350">
        <v>67135.42</v>
      </c>
      <c r="L12" s="350">
        <v>587628.93000000005</v>
      </c>
    </row>
    <row r="13" spans="1:12" ht="26.25" x14ac:dyDescent="0.25">
      <c r="A13" s="349" t="s">
        <v>1373</v>
      </c>
      <c r="B13" s="349" t="s">
        <v>1366</v>
      </c>
      <c r="C13" s="349">
        <v>3346325</v>
      </c>
      <c r="D13" s="349" t="s">
        <v>1373</v>
      </c>
      <c r="E13" s="349">
        <v>2018</v>
      </c>
      <c r="F13" s="350">
        <v>4.3499999999999996</v>
      </c>
      <c r="G13" s="350">
        <v>0.54</v>
      </c>
      <c r="H13" s="350">
        <v>488178.85</v>
      </c>
      <c r="I13" s="350">
        <v>540705.56000000006</v>
      </c>
      <c r="J13" s="350">
        <v>113310.71</v>
      </c>
      <c r="K13" s="350">
        <v>194263.95</v>
      </c>
      <c r="L13" s="350">
        <v>813266.39</v>
      </c>
    </row>
    <row r="14" spans="1:12" ht="26.25" x14ac:dyDescent="0.25">
      <c r="A14" s="349" t="s">
        <v>281</v>
      </c>
      <c r="B14" s="349" t="s">
        <v>1124</v>
      </c>
      <c r="C14" s="349">
        <v>2039109</v>
      </c>
      <c r="D14" s="349" t="s">
        <v>1130</v>
      </c>
      <c r="E14" s="349">
        <v>2018</v>
      </c>
      <c r="F14" s="350">
        <v>7</v>
      </c>
      <c r="G14" s="350">
        <v>1.3</v>
      </c>
      <c r="H14" s="350">
        <v>424338.86</v>
      </c>
      <c r="I14" s="350">
        <v>639567.68999999994</v>
      </c>
      <c r="J14" s="350">
        <v>20561.29</v>
      </c>
      <c r="K14" s="350">
        <v>34189.71</v>
      </c>
      <c r="L14" s="350">
        <v>499945.43</v>
      </c>
    </row>
    <row r="15" spans="1:12" ht="26.25" x14ac:dyDescent="0.25">
      <c r="A15" s="349" t="s">
        <v>281</v>
      </c>
      <c r="B15" s="349" t="s">
        <v>1273</v>
      </c>
      <c r="C15" s="349">
        <v>5020855</v>
      </c>
      <c r="D15" s="349" t="s">
        <v>1130</v>
      </c>
      <c r="E15" s="349">
        <v>2018</v>
      </c>
      <c r="F15" s="350">
        <v>7.9</v>
      </c>
      <c r="G15" s="350">
        <v>2.7</v>
      </c>
      <c r="H15" s="350">
        <v>434690.51</v>
      </c>
      <c r="I15" s="350">
        <v>443475.93</v>
      </c>
      <c r="J15" s="350">
        <v>144292.66</v>
      </c>
      <c r="K15" s="350">
        <v>53548.61</v>
      </c>
      <c r="L15" s="350">
        <v>712804.05</v>
      </c>
    </row>
    <row r="16" spans="1:12" ht="26.25" x14ac:dyDescent="0.25">
      <c r="A16" s="349" t="s">
        <v>1529</v>
      </c>
      <c r="B16" s="349" t="s">
        <v>1366</v>
      </c>
      <c r="C16" s="349">
        <v>5002625</v>
      </c>
      <c r="D16" s="349" t="s">
        <v>1530</v>
      </c>
      <c r="E16" s="349">
        <v>2018</v>
      </c>
      <c r="F16" s="350">
        <v>0.75</v>
      </c>
      <c r="G16" s="350">
        <v>0.3</v>
      </c>
      <c r="H16" s="350">
        <v>781514.67</v>
      </c>
      <c r="I16" s="350">
        <v>0</v>
      </c>
      <c r="J16" s="350">
        <v>89333.33</v>
      </c>
      <c r="K16" s="350">
        <v>110666.67</v>
      </c>
      <c r="L16" s="350">
        <v>981514.67</v>
      </c>
    </row>
    <row r="17" spans="1:12" ht="51.75" x14ac:dyDescent="0.25">
      <c r="A17" s="349" t="s">
        <v>1529</v>
      </c>
      <c r="B17" s="349" t="s">
        <v>1427</v>
      </c>
      <c r="C17" s="349">
        <v>8535980</v>
      </c>
      <c r="D17" s="349" t="s">
        <v>379</v>
      </c>
      <c r="E17" s="349">
        <v>2018</v>
      </c>
      <c r="F17" s="350">
        <v>0.6</v>
      </c>
      <c r="G17" s="350">
        <v>0.1</v>
      </c>
      <c r="H17" s="350">
        <v>382300</v>
      </c>
      <c r="I17" s="350">
        <v>412050</v>
      </c>
      <c r="J17" s="350">
        <v>38458.33</v>
      </c>
      <c r="K17" s="350">
        <v>40083.33</v>
      </c>
      <c r="L17" s="350">
        <v>529516.67000000004</v>
      </c>
    </row>
    <row r="18" spans="1:12" ht="77.25" x14ac:dyDescent="0.25">
      <c r="A18" s="349" t="s">
        <v>290</v>
      </c>
      <c r="B18" s="349" t="s">
        <v>1055</v>
      </c>
      <c r="C18" s="349">
        <v>6565086</v>
      </c>
      <c r="D18" s="349" t="s">
        <v>294</v>
      </c>
      <c r="E18" s="349">
        <v>2018</v>
      </c>
      <c r="F18" s="350">
        <v>5.73</v>
      </c>
      <c r="G18" s="350">
        <v>3.5</v>
      </c>
      <c r="H18" s="350">
        <v>419663.87</v>
      </c>
      <c r="I18" s="350">
        <v>240024.86</v>
      </c>
      <c r="J18" s="350">
        <v>12794.76</v>
      </c>
      <c r="K18" s="350">
        <v>150685.32</v>
      </c>
      <c r="L18" s="350">
        <v>729756</v>
      </c>
    </row>
    <row r="19" spans="1:12" ht="77.25" x14ac:dyDescent="0.25">
      <c r="A19" s="349" t="s">
        <v>290</v>
      </c>
      <c r="B19" s="349" t="s">
        <v>1447</v>
      </c>
      <c r="C19" s="349">
        <v>6630553</v>
      </c>
      <c r="D19" s="349" t="s">
        <v>294</v>
      </c>
      <c r="E19" s="349">
        <v>2018</v>
      </c>
      <c r="F19" s="350">
        <v>3.91</v>
      </c>
      <c r="G19" s="350">
        <v>1.77</v>
      </c>
      <c r="H19" s="350">
        <v>380318.16</v>
      </c>
      <c r="I19" s="350">
        <v>241095.48</v>
      </c>
      <c r="J19" s="350">
        <v>0</v>
      </c>
      <c r="K19" s="350">
        <v>163699.49</v>
      </c>
      <c r="L19" s="350">
        <v>648509.46</v>
      </c>
    </row>
    <row r="20" spans="1:12" ht="39" x14ac:dyDescent="0.25">
      <c r="A20" s="349" t="s">
        <v>306</v>
      </c>
      <c r="B20" s="349" t="s">
        <v>1055</v>
      </c>
      <c r="C20" s="349">
        <v>8615860</v>
      </c>
      <c r="D20" s="349" t="s">
        <v>931</v>
      </c>
      <c r="E20" s="349">
        <v>2018</v>
      </c>
      <c r="F20" s="350">
        <v>2.1</v>
      </c>
      <c r="G20" s="350">
        <v>0</v>
      </c>
      <c r="H20" s="350">
        <v>551314.76</v>
      </c>
      <c r="I20" s="351"/>
      <c r="J20" s="350">
        <v>31234.82</v>
      </c>
      <c r="K20" s="350">
        <v>55461.440000000002</v>
      </c>
      <c r="L20" s="350">
        <v>633252.99</v>
      </c>
    </row>
    <row r="21" spans="1:12" ht="64.5" x14ac:dyDescent="0.25">
      <c r="A21" s="349" t="s">
        <v>312</v>
      </c>
      <c r="B21" s="349" t="s">
        <v>1514</v>
      </c>
      <c r="C21" s="349">
        <v>4309907</v>
      </c>
      <c r="D21" s="349" t="s">
        <v>314</v>
      </c>
      <c r="E21" s="349">
        <v>2018</v>
      </c>
      <c r="F21" s="350">
        <v>3.29</v>
      </c>
      <c r="G21" s="350">
        <v>0</v>
      </c>
      <c r="H21" s="350">
        <v>508988.75</v>
      </c>
      <c r="I21" s="351"/>
      <c r="J21" s="350">
        <v>30388.45</v>
      </c>
      <c r="K21" s="350">
        <v>149278.75</v>
      </c>
      <c r="L21" s="350">
        <v>715431.94</v>
      </c>
    </row>
    <row r="22" spans="1:12" ht="51.75" x14ac:dyDescent="0.25">
      <c r="A22" s="349" t="s">
        <v>312</v>
      </c>
      <c r="B22" s="349" t="s">
        <v>1514</v>
      </c>
      <c r="C22" s="349">
        <v>5792625</v>
      </c>
      <c r="D22" s="349" t="s">
        <v>318</v>
      </c>
      <c r="E22" s="349">
        <v>2018</v>
      </c>
      <c r="F22" s="350">
        <v>2.5299999999999998</v>
      </c>
      <c r="G22" s="350">
        <v>0</v>
      </c>
      <c r="H22" s="350">
        <v>502195.26</v>
      </c>
      <c r="I22" s="351"/>
      <c r="J22" s="350">
        <v>22529.64</v>
      </c>
      <c r="K22" s="350">
        <v>95043.95</v>
      </c>
      <c r="L22" s="350">
        <v>660134.47</v>
      </c>
    </row>
    <row r="23" spans="1:12" ht="51.75" x14ac:dyDescent="0.25">
      <c r="A23" s="349" t="s">
        <v>312</v>
      </c>
      <c r="B23" s="349" t="s">
        <v>1514</v>
      </c>
      <c r="C23" s="349">
        <v>6191102</v>
      </c>
      <c r="D23" s="349" t="s">
        <v>1095</v>
      </c>
      <c r="E23" s="349">
        <v>2018</v>
      </c>
      <c r="F23" s="350">
        <v>1</v>
      </c>
      <c r="G23" s="350">
        <v>0</v>
      </c>
      <c r="H23" s="350">
        <v>0</v>
      </c>
      <c r="I23" s="351"/>
      <c r="J23" s="350">
        <v>0</v>
      </c>
      <c r="K23" s="350">
        <v>557895</v>
      </c>
      <c r="L23" s="350">
        <v>642795</v>
      </c>
    </row>
    <row r="24" spans="1:12" ht="39" x14ac:dyDescent="0.25">
      <c r="A24" s="349" t="s">
        <v>312</v>
      </c>
      <c r="B24" s="349" t="s">
        <v>1514</v>
      </c>
      <c r="C24" s="349">
        <v>9684449</v>
      </c>
      <c r="D24" s="349" t="s">
        <v>327</v>
      </c>
      <c r="E24" s="349">
        <v>2018</v>
      </c>
      <c r="F24" s="350">
        <v>1.81</v>
      </c>
      <c r="G24" s="350">
        <v>0</v>
      </c>
      <c r="H24" s="350">
        <v>472443.09</v>
      </c>
      <c r="I24" s="351"/>
      <c r="J24" s="350">
        <v>67581.399999999994</v>
      </c>
      <c r="K24" s="350">
        <v>95017.34</v>
      </c>
      <c r="L24" s="350">
        <v>692972.78</v>
      </c>
    </row>
    <row r="25" spans="1:12" ht="39" x14ac:dyDescent="0.25">
      <c r="A25" s="349" t="s">
        <v>312</v>
      </c>
      <c r="B25" s="349" t="s">
        <v>1155</v>
      </c>
      <c r="C25" s="349">
        <v>9735411</v>
      </c>
      <c r="D25" s="349" t="s">
        <v>386</v>
      </c>
      <c r="E25" s="349">
        <v>2018</v>
      </c>
      <c r="F25" s="350">
        <v>32.28</v>
      </c>
      <c r="G25" s="350">
        <v>0</v>
      </c>
      <c r="H25" s="350">
        <v>405925.84</v>
      </c>
      <c r="I25" s="351"/>
      <c r="J25" s="350">
        <v>22655.69</v>
      </c>
      <c r="K25" s="350">
        <v>46124.39</v>
      </c>
      <c r="L25" s="350">
        <v>403110.75</v>
      </c>
    </row>
    <row r="26" spans="1:12" ht="39" x14ac:dyDescent="0.25">
      <c r="A26" s="349" t="s">
        <v>312</v>
      </c>
      <c r="B26" s="349" t="s">
        <v>1282</v>
      </c>
      <c r="C26" s="349">
        <v>7268793</v>
      </c>
      <c r="D26" s="349" t="s">
        <v>1299</v>
      </c>
      <c r="E26" s="349">
        <v>2018</v>
      </c>
      <c r="F26" s="350">
        <v>4.92</v>
      </c>
      <c r="G26" s="350">
        <v>0</v>
      </c>
      <c r="H26" s="350">
        <v>516704.07</v>
      </c>
      <c r="I26" s="351"/>
      <c r="J26" s="350">
        <v>26894.21</v>
      </c>
      <c r="K26" s="350">
        <v>114348.92</v>
      </c>
      <c r="L26" s="350">
        <v>543247.81000000006</v>
      </c>
    </row>
    <row r="27" spans="1:12" ht="39" x14ac:dyDescent="0.25">
      <c r="A27" s="349" t="s">
        <v>332</v>
      </c>
      <c r="B27" s="349" t="s">
        <v>1055</v>
      </c>
      <c r="C27" s="349">
        <v>4382191</v>
      </c>
      <c r="D27" s="349" t="s">
        <v>1082</v>
      </c>
      <c r="E27" s="349">
        <v>2018</v>
      </c>
      <c r="F27" s="350">
        <v>0.7</v>
      </c>
      <c r="G27" s="350">
        <v>0.3</v>
      </c>
      <c r="H27" s="350">
        <v>487678.57</v>
      </c>
      <c r="I27" s="350">
        <v>411946.67</v>
      </c>
      <c r="J27" s="350">
        <v>0</v>
      </c>
      <c r="K27" s="350">
        <v>7424.29</v>
      </c>
      <c r="L27" s="350">
        <v>671651.43</v>
      </c>
    </row>
    <row r="28" spans="1:12" ht="39" x14ac:dyDescent="0.25">
      <c r="A28" s="349" t="s">
        <v>332</v>
      </c>
      <c r="B28" s="349" t="s">
        <v>1155</v>
      </c>
      <c r="C28" s="349">
        <v>3597628</v>
      </c>
      <c r="D28" s="349" t="s">
        <v>386</v>
      </c>
      <c r="E28" s="349">
        <v>2018</v>
      </c>
      <c r="F28" s="350">
        <v>9</v>
      </c>
      <c r="G28" s="350">
        <v>2.2000000000000002</v>
      </c>
      <c r="H28" s="350">
        <v>391331.11</v>
      </c>
      <c r="I28" s="350">
        <v>451241.36</v>
      </c>
      <c r="J28" s="350">
        <v>31685.67</v>
      </c>
      <c r="K28" s="350">
        <v>38993</v>
      </c>
      <c r="L28" s="350">
        <v>465444</v>
      </c>
    </row>
    <row r="29" spans="1:12" ht="39" x14ac:dyDescent="0.25">
      <c r="A29" s="349" t="s">
        <v>332</v>
      </c>
      <c r="B29" s="349" t="s">
        <v>1316</v>
      </c>
      <c r="C29" s="349">
        <v>7916274</v>
      </c>
      <c r="D29" s="349" t="s">
        <v>390</v>
      </c>
      <c r="E29" s="349">
        <v>2018</v>
      </c>
      <c r="F29" s="350">
        <v>23</v>
      </c>
      <c r="G29" s="350">
        <v>12.87</v>
      </c>
      <c r="H29" s="350">
        <v>398260.87</v>
      </c>
      <c r="I29" s="350">
        <v>366845.77</v>
      </c>
      <c r="J29" s="350">
        <v>54406.57</v>
      </c>
      <c r="K29" s="350">
        <v>181102.61</v>
      </c>
      <c r="L29" s="350">
        <v>348812.3</v>
      </c>
    </row>
    <row r="30" spans="1:12" ht="39" x14ac:dyDescent="0.25">
      <c r="A30" s="349" t="s">
        <v>332</v>
      </c>
      <c r="B30" s="349" t="s">
        <v>1427</v>
      </c>
      <c r="C30" s="349">
        <v>4987165</v>
      </c>
      <c r="D30" s="349" t="s">
        <v>1436</v>
      </c>
      <c r="E30" s="349">
        <v>2018</v>
      </c>
      <c r="F30" s="350">
        <v>4.5</v>
      </c>
      <c r="G30" s="350">
        <v>1.3</v>
      </c>
      <c r="H30" s="350">
        <v>372807.11</v>
      </c>
      <c r="I30" s="350">
        <v>710508.46</v>
      </c>
      <c r="J30" s="350">
        <v>18394.22</v>
      </c>
      <c r="K30" s="350">
        <v>51664.67</v>
      </c>
      <c r="L30" s="350">
        <v>648124</v>
      </c>
    </row>
    <row r="31" spans="1:12" ht="39" x14ac:dyDescent="0.25">
      <c r="A31" s="349" t="s">
        <v>353</v>
      </c>
      <c r="B31" s="349" t="s">
        <v>1282</v>
      </c>
      <c r="C31" s="349">
        <v>2333254</v>
      </c>
      <c r="D31" s="349" t="s">
        <v>1287</v>
      </c>
      <c r="E31" s="349">
        <v>2018</v>
      </c>
      <c r="F31" s="350">
        <v>1.85</v>
      </c>
      <c r="G31" s="350">
        <v>0.36</v>
      </c>
      <c r="H31" s="350">
        <v>437960</v>
      </c>
      <c r="I31" s="350">
        <v>252191.67</v>
      </c>
      <c r="J31" s="350">
        <v>50907.61</v>
      </c>
      <c r="K31" s="350">
        <v>123981.2</v>
      </c>
      <c r="L31" s="350">
        <v>557651.87</v>
      </c>
    </row>
    <row r="32" spans="1:12" ht="77.25" x14ac:dyDescent="0.25">
      <c r="A32" s="349" t="s">
        <v>358</v>
      </c>
      <c r="B32" s="349" t="s">
        <v>1250</v>
      </c>
      <c r="C32" s="349">
        <v>9223411</v>
      </c>
      <c r="D32" s="349" t="s">
        <v>358</v>
      </c>
      <c r="E32" s="349">
        <v>2018</v>
      </c>
      <c r="F32" s="350">
        <v>4.5</v>
      </c>
      <c r="G32" s="350">
        <v>0.75</v>
      </c>
      <c r="H32" s="350">
        <v>378718.89</v>
      </c>
      <c r="I32" s="350">
        <v>456157.33</v>
      </c>
      <c r="J32" s="350">
        <v>43284.22</v>
      </c>
      <c r="K32" s="350">
        <v>123706.22</v>
      </c>
      <c r="L32" s="350">
        <v>353852.67</v>
      </c>
    </row>
    <row r="33" spans="1:12" ht="77.25" x14ac:dyDescent="0.25">
      <c r="A33" s="349" t="s">
        <v>358</v>
      </c>
      <c r="B33" s="349" t="s">
        <v>1311</v>
      </c>
      <c r="C33" s="349">
        <v>9264829</v>
      </c>
      <c r="D33" s="349" t="s">
        <v>358</v>
      </c>
      <c r="E33" s="349">
        <v>2018</v>
      </c>
      <c r="F33" s="350">
        <v>14.85</v>
      </c>
      <c r="G33" s="350">
        <v>2.72</v>
      </c>
      <c r="H33" s="350">
        <v>459053.54</v>
      </c>
      <c r="I33" s="350">
        <v>503115.44</v>
      </c>
      <c r="J33" s="350">
        <v>52465.59</v>
      </c>
      <c r="K33" s="350">
        <v>150372.04999999999</v>
      </c>
      <c r="L33" s="350">
        <v>420522.69</v>
      </c>
    </row>
    <row r="34" spans="1:12" ht="39" x14ac:dyDescent="0.25">
      <c r="A34" s="349" t="s">
        <v>367</v>
      </c>
      <c r="B34" s="349" t="s">
        <v>1427</v>
      </c>
      <c r="C34" s="349">
        <v>8946698</v>
      </c>
      <c r="D34" s="349" t="s">
        <v>372</v>
      </c>
      <c r="E34" s="349">
        <v>2018</v>
      </c>
      <c r="F34" s="350">
        <v>6.2</v>
      </c>
      <c r="G34" s="350">
        <v>1.52</v>
      </c>
      <c r="H34" s="350">
        <v>375328.41</v>
      </c>
      <c r="I34" s="350">
        <v>459285.45</v>
      </c>
      <c r="J34" s="350">
        <v>54749.84</v>
      </c>
      <c r="K34" s="350">
        <v>79715.39</v>
      </c>
      <c r="L34" s="350">
        <v>622392.65</v>
      </c>
    </row>
    <row r="35" spans="1:12" ht="39" x14ac:dyDescent="0.25">
      <c r="A35" s="349" t="s">
        <v>375</v>
      </c>
      <c r="B35" s="349" t="s">
        <v>1124</v>
      </c>
      <c r="C35" s="349">
        <v>1806042</v>
      </c>
      <c r="D35" s="349" t="s">
        <v>225</v>
      </c>
      <c r="E35" s="349">
        <v>2018</v>
      </c>
      <c r="F35" s="350">
        <v>6.52</v>
      </c>
      <c r="G35" s="350">
        <v>0.23</v>
      </c>
      <c r="H35" s="350">
        <v>360854.38</v>
      </c>
      <c r="I35" s="350">
        <v>0</v>
      </c>
      <c r="J35" s="350">
        <v>15668.1</v>
      </c>
      <c r="K35" s="350">
        <v>91077.23</v>
      </c>
      <c r="L35" s="350">
        <v>398268.42</v>
      </c>
    </row>
    <row r="36" spans="1:12" ht="39" x14ac:dyDescent="0.25">
      <c r="A36" s="349" t="s">
        <v>375</v>
      </c>
      <c r="B36" s="349" t="s">
        <v>1273</v>
      </c>
      <c r="C36" s="349">
        <v>8090757</v>
      </c>
      <c r="D36" s="349" t="s">
        <v>287</v>
      </c>
      <c r="E36" s="349">
        <v>2018</v>
      </c>
      <c r="F36" s="350">
        <v>2.63</v>
      </c>
      <c r="G36" s="350">
        <v>0.23</v>
      </c>
      <c r="H36" s="350">
        <v>489712.33</v>
      </c>
      <c r="I36" s="350">
        <v>0</v>
      </c>
      <c r="J36" s="350">
        <v>71614.259999999995</v>
      </c>
      <c r="K36" s="350">
        <v>195639.52</v>
      </c>
      <c r="L36" s="350">
        <v>688247.38</v>
      </c>
    </row>
    <row r="37" spans="1:12" ht="77.25" x14ac:dyDescent="0.25">
      <c r="A37" s="349" t="s">
        <v>375</v>
      </c>
      <c r="B37" s="349" t="s">
        <v>1366</v>
      </c>
      <c r="C37" s="349">
        <v>6447139</v>
      </c>
      <c r="D37" s="349" t="s">
        <v>1375</v>
      </c>
      <c r="E37" s="349">
        <v>2018</v>
      </c>
      <c r="F37" s="350">
        <v>2.0699999999999998</v>
      </c>
      <c r="G37" s="350">
        <v>0.23</v>
      </c>
      <c r="H37" s="350">
        <v>554688.55000000005</v>
      </c>
      <c r="I37" s="350">
        <v>0</v>
      </c>
      <c r="J37" s="350">
        <v>46622.46</v>
      </c>
      <c r="K37" s="350">
        <v>196849.48</v>
      </c>
      <c r="L37" s="350">
        <v>798160.49</v>
      </c>
    </row>
    <row r="38" spans="1:12" ht="39" x14ac:dyDescent="0.25">
      <c r="A38" s="349" t="s">
        <v>375</v>
      </c>
      <c r="B38" s="349" t="s">
        <v>1427</v>
      </c>
      <c r="C38" s="349">
        <v>6361701</v>
      </c>
      <c r="D38" s="349" t="s">
        <v>1438</v>
      </c>
      <c r="E38" s="349">
        <v>2018</v>
      </c>
      <c r="F38" s="350">
        <v>1.84</v>
      </c>
      <c r="G38" s="350">
        <v>0.21</v>
      </c>
      <c r="H38" s="350">
        <v>511283.17</v>
      </c>
      <c r="I38" s="350">
        <v>0</v>
      </c>
      <c r="J38" s="350">
        <v>45309.77</v>
      </c>
      <c r="K38" s="350">
        <v>43373.279999999999</v>
      </c>
      <c r="L38" s="350">
        <v>599966.22</v>
      </c>
    </row>
    <row r="39" spans="1:12" ht="39" x14ac:dyDescent="0.25">
      <c r="A39" s="349" t="s">
        <v>375</v>
      </c>
      <c r="B39" s="349" t="s">
        <v>1472</v>
      </c>
      <c r="C39" s="349">
        <v>7790627</v>
      </c>
      <c r="D39" s="349" t="s">
        <v>700</v>
      </c>
      <c r="E39" s="349">
        <v>2018</v>
      </c>
      <c r="F39" s="350">
        <v>3.65</v>
      </c>
      <c r="G39" s="350">
        <v>0.23</v>
      </c>
      <c r="H39" s="350">
        <v>386030.73</v>
      </c>
      <c r="I39" s="350">
        <v>0</v>
      </c>
      <c r="J39" s="350">
        <v>39367.129999999997</v>
      </c>
      <c r="K39" s="350">
        <v>83278.58</v>
      </c>
      <c r="L39" s="350">
        <v>508676.44</v>
      </c>
    </row>
    <row r="40" spans="1:12" ht="39" x14ac:dyDescent="0.25">
      <c r="A40" s="349" t="s">
        <v>384</v>
      </c>
      <c r="B40" s="349" t="s">
        <v>1155</v>
      </c>
      <c r="C40" s="349">
        <v>1008575</v>
      </c>
      <c r="D40" s="349" t="s">
        <v>386</v>
      </c>
      <c r="E40" s="349">
        <v>2018</v>
      </c>
      <c r="F40" s="350">
        <v>7.42</v>
      </c>
      <c r="G40" s="350">
        <v>3.21</v>
      </c>
      <c r="H40" s="350">
        <v>357504.72</v>
      </c>
      <c r="I40" s="350">
        <v>374518.38</v>
      </c>
      <c r="J40" s="350">
        <v>71109.84</v>
      </c>
      <c r="K40" s="350">
        <v>194814.02</v>
      </c>
      <c r="L40" s="350">
        <v>431965.36</v>
      </c>
    </row>
    <row r="41" spans="1:12" ht="39" x14ac:dyDescent="0.25">
      <c r="A41" s="349" t="s">
        <v>384</v>
      </c>
      <c r="B41" s="349" t="s">
        <v>1282</v>
      </c>
      <c r="C41" s="349">
        <v>1567065</v>
      </c>
      <c r="D41" s="349" t="s">
        <v>1283</v>
      </c>
      <c r="E41" s="349">
        <v>2018</v>
      </c>
      <c r="F41" s="350">
        <v>2.0699999999999998</v>
      </c>
      <c r="G41" s="350">
        <v>0.73</v>
      </c>
      <c r="H41" s="350">
        <v>295950.24</v>
      </c>
      <c r="I41" s="350">
        <v>278526.03000000003</v>
      </c>
      <c r="J41" s="350">
        <v>41134.300000000003</v>
      </c>
      <c r="K41" s="350">
        <v>72212.56</v>
      </c>
      <c r="L41" s="350">
        <v>317246.38</v>
      </c>
    </row>
    <row r="42" spans="1:12" ht="39" x14ac:dyDescent="0.25">
      <c r="A42" s="349" t="s">
        <v>384</v>
      </c>
      <c r="B42" s="349" t="s">
        <v>1316</v>
      </c>
      <c r="C42" s="349">
        <v>7857005</v>
      </c>
      <c r="D42" s="349" t="s">
        <v>1332</v>
      </c>
      <c r="E42" s="349">
        <v>2018</v>
      </c>
      <c r="F42" s="350">
        <v>11.67</v>
      </c>
      <c r="G42" s="350">
        <v>6.12</v>
      </c>
      <c r="H42" s="350">
        <v>407248.84</v>
      </c>
      <c r="I42" s="350">
        <v>298448.37</v>
      </c>
      <c r="J42" s="350">
        <v>69038.649999999994</v>
      </c>
      <c r="K42" s="350">
        <v>131074.89000000001</v>
      </c>
      <c r="L42" s="350">
        <v>205378.84</v>
      </c>
    </row>
    <row r="43" spans="1:12" ht="39" x14ac:dyDescent="0.25">
      <c r="A43" s="349" t="s">
        <v>384</v>
      </c>
      <c r="B43" s="349" t="s">
        <v>1336</v>
      </c>
      <c r="C43" s="349">
        <v>8936486</v>
      </c>
      <c r="D43" s="349" t="s">
        <v>1332</v>
      </c>
      <c r="E43" s="349">
        <v>2018</v>
      </c>
      <c r="F43" s="350">
        <v>7.36</v>
      </c>
      <c r="G43" s="350">
        <v>2.12</v>
      </c>
      <c r="H43" s="350">
        <v>413327.72</v>
      </c>
      <c r="I43" s="350">
        <v>517827.83</v>
      </c>
      <c r="J43" s="350">
        <v>55279.48</v>
      </c>
      <c r="K43" s="350">
        <v>89509.78</v>
      </c>
      <c r="L43" s="350">
        <v>299886.28000000003</v>
      </c>
    </row>
    <row r="44" spans="1:12" ht="39" x14ac:dyDescent="0.25">
      <c r="A44" s="349" t="s">
        <v>396</v>
      </c>
      <c r="B44" s="349" t="s">
        <v>1055</v>
      </c>
      <c r="C44" s="349">
        <v>5646573</v>
      </c>
      <c r="D44" s="349" t="s">
        <v>398</v>
      </c>
      <c r="E44" s="349">
        <v>2018</v>
      </c>
      <c r="F44" s="350">
        <v>2.1</v>
      </c>
      <c r="G44" s="350">
        <v>0.3</v>
      </c>
      <c r="H44" s="350">
        <v>437198.57</v>
      </c>
      <c r="I44" s="350">
        <v>364306.67</v>
      </c>
      <c r="J44" s="350">
        <v>37630.589999999997</v>
      </c>
      <c r="K44" s="350">
        <v>54251.09</v>
      </c>
      <c r="L44" s="350">
        <v>548252.30000000005</v>
      </c>
    </row>
    <row r="45" spans="1:12" ht="39" x14ac:dyDescent="0.25">
      <c r="A45" s="349" t="s">
        <v>402</v>
      </c>
      <c r="B45" s="349" t="s">
        <v>1427</v>
      </c>
      <c r="C45" s="349">
        <v>8382823</v>
      </c>
      <c r="D45" s="349" t="s">
        <v>1440</v>
      </c>
      <c r="E45" s="349">
        <v>2018</v>
      </c>
      <c r="F45" s="350">
        <v>3</v>
      </c>
      <c r="G45" s="350">
        <v>1</v>
      </c>
      <c r="H45" s="350">
        <v>374204.33</v>
      </c>
      <c r="I45" s="350">
        <v>550448.76</v>
      </c>
      <c r="J45" s="350">
        <v>37985.46</v>
      </c>
      <c r="K45" s="350">
        <v>80498.960000000006</v>
      </c>
      <c r="L45" s="350">
        <v>671500.77</v>
      </c>
    </row>
    <row r="46" spans="1:12" ht="64.5" x14ac:dyDescent="0.25">
      <c r="A46" s="349" t="s">
        <v>1071</v>
      </c>
      <c r="B46" s="349" t="s">
        <v>1055</v>
      </c>
      <c r="C46" s="349">
        <v>2583952</v>
      </c>
      <c r="D46" s="349" t="s">
        <v>407</v>
      </c>
      <c r="E46" s="349">
        <v>2018</v>
      </c>
      <c r="F46" s="350">
        <v>2.1</v>
      </c>
      <c r="G46" s="350">
        <v>0.25</v>
      </c>
      <c r="H46" s="350">
        <v>445906.67</v>
      </c>
      <c r="I46" s="350">
        <v>456606</v>
      </c>
      <c r="J46" s="350">
        <v>27490.48</v>
      </c>
      <c r="K46" s="350">
        <v>183034.4</v>
      </c>
      <c r="L46" s="350">
        <v>695217.72</v>
      </c>
    </row>
    <row r="47" spans="1:12" ht="51.75" x14ac:dyDescent="0.25">
      <c r="A47" s="349" t="s">
        <v>1071</v>
      </c>
      <c r="B47" s="349" t="s">
        <v>1839</v>
      </c>
      <c r="C47" s="349">
        <v>9000001</v>
      </c>
      <c r="D47" s="349" t="s">
        <v>1554</v>
      </c>
      <c r="E47" s="349">
        <v>2018</v>
      </c>
      <c r="F47" s="350">
        <v>6.4</v>
      </c>
      <c r="G47" s="350">
        <v>1.75</v>
      </c>
      <c r="H47" s="350">
        <v>474594.69</v>
      </c>
      <c r="I47" s="350">
        <v>412876.29</v>
      </c>
      <c r="J47" s="350">
        <v>37709.550000000003</v>
      </c>
      <c r="K47" s="350">
        <v>289755.98</v>
      </c>
      <c r="L47" s="350">
        <v>151856.88</v>
      </c>
    </row>
    <row r="48" spans="1:12" ht="64.5" x14ac:dyDescent="0.25">
      <c r="A48" s="349" t="s">
        <v>411</v>
      </c>
      <c r="B48" s="349" t="s">
        <v>1055</v>
      </c>
      <c r="C48" s="349">
        <v>1494293</v>
      </c>
      <c r="D48" s="349" t="s">
        <v>413</v>
      </c>
      <c r="E48" s="349">
        <v>2018</v>
      </c>
      <c r="F48" s="350">
        <v>1.44</v>
      </c>
      <c r="G48" s="350">
        <v>1</v>
      </c>
      <c r="H48" s="350">
        <v>363174.44</v>
      </c>
      <c r="I48" s="350">
        <v>423906</v>
      </c>
      <c r="J48" s="350">
        <v>79732.990000000005</v>
      </c>
      <c r="K48" s="350">
        <v>101214.34</v>
      </c>
      <c r="L48" s="350">
        <v>805027.78</v>
      </c>
    </row>
    <row r="49" spans="1:12" ht="39" x14ac:dyDescent="0.25">
      <c r="A49" s="349" t="s">
        <v>411</v>
      </c>
      <c r="B49" s="349" t="s">
        <v>1839</v>
      </c>
      <c r="C49" s="349">
        <v>9000002</v>
      </c>
      <c r="D49" s="349" t="s">
        <v>1546</v>
      </c>
      <c r="E49" s="349">
        <v>2018</v>
      </c>
      <c r="F49" s="350">
        <v>3.2</v>
      </c>
      <c r="G49" s="350">
        <v>0.5</v>
      </c>
      <c r="H49" s="350">
        <v>370864.76</v>
      </c>
      <c r="I49" s="350">
        <v>568714</v>
      </c>
      <c r="J49" s="350">
        <v>34434.379999999997</v>
      </c>
      <c r="K49" s="350">
        <v>161632.07</v>
      </c>
      <c r="L49" s="350">
        <v>121242.5</v>
      </c>
    </row>
    <row r="50" spans="1:12" ht="26.25" x14ac:dyDescent="0.25">
      <c r="A50" s="349" t="s">
        <v>415</v>
      </c>
      <c r="B50" s="349" t="s">
        <v>1250</v>
      </c>
      <c r="C50" s="349">
        <v>1905494</v>
      </c>
      <c r="D50" s="349" t="s">
        <v>415</v>
      </c>
      <c r="E50" s="349">
        <v>2018</v>
      </c>
      <c r="F50" s="350">
        <v>11.83</v>
      </c>
      <c r="G50" s="350">
        <v>3.31</v>
      </c>
      <c r="H50" s="350">
        <v>401288.71</v>
      </c>
      <c r="I50" s="350">
        <v>548632.63</v>
      </c>
      <c r="J50" s="350">
        <v>78465.210000000006</v>
      </c>
      <c r="K50" s="350">
        <v>107090.8</v>
      </c>
      <c r="L50" s="350">
        <v>472283.58</v>
      </c>
    </row>
    <row r="51" spans="1:12" ht="39" x14ac:dyDescent="0.25">
      <c r="A51" s="349" t="s">
        <v>420</v>
      </c>
      <c r="B51" s="349" t="s">
        <v>1311</v>
      </c>
      <c r="C51" s="349">
        <v>4721932</v>
      </c>
      <c r="D51" s="349" t="s">
        <v>420</v>
      </c>
      <c r="E51" s="349">
        <v>2018</v>
      </c>
      <c r="F51" s="350">
        <v>55.3</v>
      </c>
      <c r="G51" s="350">
        <v>22.3</v>
      </c>
      <c r="H51" s="350">
        <v>477234.61</v>
      </c>
      <c r="I51" s="350">
        <v>405789.33</v>
      </c>
      <c r="J51" s="350">
        <v>92816.66</v>
      </c>
      <c r="K51" s="350">
        <v>95922.13</v>
      </c>
      <c r="L51" s="350">
        <v>480428.73</v>
      </c>
    </row>
    <row r="52" spans="1:12" ht="26.25" x14ac:dyDescent="0.25">
      <c r="A52" s="349" t="s">
        <v>425</v>
      </c>
      <c r="B52" s="349" t="s">
        <v>1282</v>
      </c>
      <c r="C52" s="349">
        <v>3446957</v>
      </c>
      <c r="D52" s="349" t="s">
        <v>425</v>
      </c>
      <c r="E52" s="349">
        <v>2018</v>
      </c>
      <c r="F52" s="350">
        <v>1.4</v>
      </c>
      <c r="G52" s="350">
        <v>0.5</v>
      </c>
      <c r="H52" s="350">
        <v>482967.86</v>
      </c>
      <c r="I52" s="350">
        <v>742496</v>
      </c>
      <c r="J52" s="350">
        <v>31797.14</v>
      </c>
      <c r="K52" s="350">
        <v>82184.19</v>
      </c>
      <c r="L52" s="350">
        <v>764849.91</v>
      </c>
    </row>
    <row r="53" spans="1:12" ht="39" x14ac:dyDescent="0.25">
      <c r="A53" s="349" t="s">
        <v>425</v>
      </c>
      <c r="B53" s="349" t="s">
        <v>1311</v>
      </c>
      <c r="C53" s="349">
        <v>3473171</v>
      </c>
      <c r="D53" s="349" t="s">
        <v>425</v>
      </c>
      <c r="E53" s="349">
        <v>2018</v>
      </c>
      <c r="F53" s="350">
        <v>61.64</v>
      </c>
      <c r="G53" s="350">
        <v>11.79</v>
      </c>
      <c r="H53" s="350">
        <v>511148.2</v>
      </c>
      <c r="I53" s="350">
        <v>427689.14</v>
      </c>
      <c r="J53" s="350">
        <v>79123.06</v>
      </c>
      <c r="K53" s="350">
        <v>146162.85999999999</v>
      </c>
      <c r="L53" s="350">
        <v>485090.93</v>
      </c>
    </row>
    <row r="54" spans="1:12" ht="26.25" x14ac:dyDescent="0.25">
      <c r="A54" s="349" t="s">
        <v>425</v>
      </c>
      <c r="B54" s="349" t="s">
        <v>1346</v>
      </c>
      <c r="C54" s="349">
        <v>6514817</v>
      </c>
      <c r="D54" s="349" t="s">
        <v>769</v>
      </c>
      <c r="E54" s="349">
        <v>2018</v>
      </c>
      <c r="F54" s="350">
        <v>10.71</v>
      </c>
      <c r="G54" s="350">
        <v>0.5</v>
      </c>
      <c r="H54" s="350">
        <v>461970.89</v>
      </c>
      <c r="I54" s="350">
        <v>742552</v>
      </c>
      <c r="J54" s="350">
        <v>73612.92</v>
      </c>
      <c r="K54" s="350">
        <v>86091.42</v>
      </c>
      <c r="L54" s="350">
        <v>480284.31</v>
      </c>
    </row>
    <row r="55" spans="1:12" ht="26.25" x14ac:dyDescent="0.25">
      <c r="A55" s="349" t="s">
        <v>435</v>
      </c>
      <c r="B55" s="349" t="s">
        <v>1336</v>
      </c>
      <c r="C55" s="349">
        <v>5651221</v>
      </c>
      <c r="D55" s="349" t="s">
        <v>435</v>
      </c>
      <c r="E55" s="349">
        <v>2018</v>
      </c>
      <c r="F55" s="350">
        <v>33</v>
      </c>
      <c r="G55" s="350">
        <v>21</v>
      </c>
      <c r="H55" s="350">
        <v>438258.55</v>
      </c>
      <c r="I55" s="350">
        <v>469444.14</v>
      </c>
      <c r="J55" s="350">
        <v>116892.82</v>
      </c>
      <c r="K55" s="350">
        <v>120987.06</v>
      </c>
      <c r="L55" s="350">
        <v>638308.57999999996</v>
      </c>
    </row>
    <row r="56" spans="1:12" ht="51.75" x14ac:dyDescent="0.25">
      <c r="A56" s="349" t="s">
        <v>440</v>
      </c>
      <c r="B56" s="349" t="s">
        <v>1336</v>
      </c>
      <c r="C56" s="349">
        <v>1450637</v>
      </c>
      <c r="D56" s="349" t="s">
        <v>440</v>
      </c>
      <c r="E56" s="349">
        <v>2018</v>
      </c>
      <c r="F56" s="350">
        <v>51.59</v>
      </c>
      <c r="G56" s="350">
        <v>21.07</v>
      </c>
      <c r="H56" s="350">
        <v>500611.01</v>
      </c>
      <c r="I56" s="350">
        <v>436534.5</v>
      </c>
      <c r="J56" s="350">
        <v>68868.42</v>
      </c>
      <c r="K56" s="350">
        <v>168485.99</v>
      </c>
      <c r="L56" s="350">
        <v>352788.43</v>
      </c>
    </row>
    <row r="57" spans="1:12" ht="39" x14ac:dyDescent="0.25">
      <c r="A57" s="349" t="s">
        <v>444</v>
      </c>
      <c r="B57" s="349" t="s">
        <v>1316</v>
      </c>
      <c r="C57" s="349">
        <v>6581899</v>
      </c>
      <c r="D57" s="349" t="s">
        <v>444</v>
      </c>
      <c r="E57" s="349">
        <v>2018</v>
      </c>
      <c r="F57" s="350">
        <v>44</v>
      </c>
      <c r="G57" s="350">
        <v>23</v>
      </c>
      <c r="H57" s="350">
        <v>538952.81999999995</v>
      </c>
      <c r="I57" s="350">
        <v>368444.68</v>
      </c>
      <c r="J57" s="350">
        <v>67576.179999999993</v>
      </c>
      <c r="K57" s="350">
        <v>190060.29</v>
      </c>
      <c r="L57" s="350">
        <v>332807.88</v>
      </c>
    </row>
    <row r="58" spans="1:12" ht="39" x14ac:dyDescent="0.25">
      <c r="A58" s="349" t="s">
        <v>447</v>
      </c>
      <c r="B58" s="349" t="s">
        <v>1316</v>
      </c>
      <c r="C58" s="349">
        <v>2837121</v>
      </c>
      <c r="D58" s="349" t="s">
        <v>447</v>
      </c>
      <c r="E58" s="349">
        <v>2018</v>
      </c>
      <c r="F58" s="350">
        <v>13.66</v>
      </c>
      <c r="G58" s="350">
        <v>5.57</v>
      </c>
      <c r="H58" s="350">
        <v>495036.09</v>
      </c>
      <c r="I58" s="350">
        <v>448904.67</v>
      </c>
      <c r="J58" s="350">
        <v>89458.42</v>
      </c>
      <c r="K58" s="350">
        <v>176804.83</v>
      </c>
      <c r="L58" s="350">
        <v>483048.83</v>
      </c>
    </row>
    <row r="59" spans="1:12" ht="39" x14ac:dyDescent="0.25">
      <c r="A59" s="349" t="s">
        <v>447</v>
      </c>
      <c r="B59" s="349" t="s">
        <v>1336</v>
      </c>
      <c r="C59" s="349">
        <v>3754207</v>
      </c>
      <c r="D59" s="349" t="s">
        <v>447</v>
      </c>
      <c r="E59" s="349">
        <v>2018</v>
      </c>
      <c r="F59" s="350">
        <v>40.9</v>
      </c>
      <c r="G59" s="350">
        <v>17.63</v>
      </c>
      <c r="H59" s="350">
        <v>489739.73</v>
      </c>
      <c r="I59" s="350">
        <v>449206.13</v>
      </c>
      <c r="J59" s="350">
        <v>94612.93</v>
      </c>
      <c r="K59" s="350">
        <v>186998.26</v>
      </c>
      <c r="L59" s="350">
        <v>400942.62</v>
      </c>
    </row>
    <row r="60" spans="1:12" ht="51.75" x14ac:dyDescent="0.25">
      <c r="A60" s="349" t="s">
        <v>453</v>
      </c>
      <c r="B60" s="349" t="s">
        <v>1316</v>
      </c>
      <c r="C60" s="349">
        <v>4753225</v>
      </c>
      <c r="D60" s="349" t="s">
        <v>453</v>
      </c>
      <c r="E60" s="349">
        <v>2018</v>
      </c>
      <c r="F60" s="350">
        <v>37.35</v>
      </c>
      <c r="G60" s="350">
        <v>17.18</v>
      </c>
      <c r="H60" s="350">
        <v>528925.81999999995</v>
      </c>
      <c r="I60" s="350">
        <v>474914.43</v>
      </c>
      <c r="J60" s="350">
        <v>170073.33</v>
      </c>
      <c r="K60" s="350">
        <v>204528.47</v>
      </c>
      <c r="L60" s="350">
        <v>513515.14</v>
      </c>
    </row>
    <row r="61" spans="1:12" ht="39" x14ac:dyDescent="0.25">
      <c r="A61" s="349" t="s">
        <v>456</v>
      </c>
      <c r="B61" s="349" t="s">
        <v>1316</v>
      </c>
      <c r="C61" s="349">
        <v>5040302</v>
      </c>
      <c r="D61" s="349" t="s">
        <v>456</v>
      </c>
      <c r="E61" s="349">
        <v>2018</v>
      </c>
      <c r="F61" s="350">
        <v>19.100000000000001</v>
      </c>
      <c r="G61" s="350">
        <v>15.1</v>
      </c>
      <c r="H61" s="350">
        <v>473150.63</v>
      </c>
      <c r="I61" s="350">
        <v>447672.98</v>
      </c>
      <c r="J61" s="350">
        <v>138935.85999999999</v>
      </c>
      <c r="K61" s="350">
        <v>235180.63</v>
      </c>
      <c r="L61" s="350">
        <v>469712.15</v>
      </c>
    </row>
    <row r="62" spans="1:12" ht="39" x14ac:dyDescent="0.25">
      <c r="A62" s="349" t="s">
        <v>459</v>
      </c>
      <c r="B62" s="349" t="s">
        <v>1316</v>
      </c>
      <c r="C62" s="349">
        <v>2125600</v>
      </c>
      <c r="D62" s="349" t="s">
        <v>459</v>
      </c>
      <c r="E62" s="349">
        <v>2018</v>
      </c>
      <c r="F62" s="350">
        <v>25.96</v>
      </c>
      <c r="G62" s="350">
        <v>12.73</v>
      </c>
      <c r="H62" s="350">
        <v>476943.37</v>
      </c>
      <c r="I62" s="350">
        <v>348149.1</v>
      </c>
      <c r="J62" s="350">
        <v>78094.03</v>
      </c>
      <c r="K62" s="350">
        <v>156445.29999999999</v>
      </c>
      <c r="L62" s="350">
        <v>363329.24</v>
      </c>
    </row>
    <row r="63" spans="1:12" ht="39" x14ac:dyDescent="0.25">
      <c r="A63" s="349" t="s">
        <v>464</v>
      </c>
      <c r="B63" s="349" t="s">
        <v>1316</v>
      </c>
      <c r="C63" s="349">
        <v>3943362</v>
      </c>
      <c r="D63" s="349" t="s">
        <v>464</v>
      </c>
      <c r="E63" s="349">
        <v>2018</v>
      </c>
      <c r="F63" s="350">
        <v>21.46</v>
      </c>
      <c r="G63" s="350">
        <v>13</v>
      </c>
      <c r="H63" s="350">
        <v>494488.4</v>
      </c>
      <c r="I63" s="350">
        <v>427991.38</v>
      </c>
      <c r="J63" s="350">
        <v>76793.27</v>
      </c>
      <c r="K63" s="350">
        <v>202410.2</v>
      </c>
      <c r="L63" s="350">
        <v>392756.18</v>
      </c>
    </row>
    <row r="64" spans="1:12" ht="39" x14ac:dyDescent="0.25">
      <c r="A64" s="349" t="s">
        <v>467</v>
      </c>
      <c r="B64" s="349" t="s">
        <v>1316</v>
      </c>
      <c r="C64" s="349">
        <v>2749776</v>
      </c>
      <c r="D64" s="349" t="s">
        <v>467</v>
      </c>
      <c r="E64" s="349">
        <v>2018</v>
      </c>
      <c r="F64" s="350">
        <v>17.05</v>
      </c>
      <c r="G64" s="350">
        <v>13.14</v>
      </c>
      <c r="H64" s="350">
        <v>536715.36</v>
      </c>
      <c r="I64" s="350">
        <v>417415.61</v>
      </c>
      <c r="J64" s="350">
        <v>109471.57</v>
      </c>
      <c r="K64" s="350">
        <v>183213.48</v>
      </c>
      <c r="L64" s="350">
        <v>472204.29</v>
      </c>
    </row>
    <row r="65" spans="1:12" ht="39" x14ac:dyDescent="0.25">
      <c r="A65" s="349" t="s">
        <v>470</v>
      </c>
      <c r="B65" s="349" t="s">
        <v>1316</v>
      </c>
      <c r="C65" s="349">
        <v>1665958</v>
      </c>
      <c r="D65" s="349" t="s">
        <v>470</v>
      </c>
      <c r="E65" s="349">
        <v>2018</v>
      </c>
      <c r="F65" s="350">
        <v>19.77</v>
      </c>
      <c r="G65" s="350">
        <v>13</v>
      </c>
      <c r="H65" s="350">
        <v>509239.81</v>
      </c>
      <c r="I65" s="350">
        <v>382483.77</v>
      </c>
      <c r="J65" s="350">
        <v>83289.929999999993</v>
      </c>
      <c r="K65" s="350">
        <v>167173.34</v>
      </c>
      <c r="L65" s="350">
        <v>345246.13</v>
      </c>
    </row>
    <row r="66" spans="1:12" ht="39" x14ac:dyDescent="0.25">
      <c r="A66" s="349" t="s">
        <v>472</v>
      </c>
      <c r="B66" s="349" t="s">
        <v>1316</v>
      </c>
      <c r="C66" s="349">
        <v>8508078</v>
      </c>
      <c r="D66" s="349" t="s">
        <v>472</v>
      </c>
      <c r="E66" s="349">
        <v>2018</v>
      </c>
      <c r="F66" s="350">
        <v>33.549999999999997</v>
      </c>
      <c r="G66" s="350">
        <v>16.68</v>
      </c>
      <c r="H66" s="350">
        <v>520929.75</v>
      </c>
      <c r="I66" s="350">
        <v>424484.95</v>
      </c>
      <c r="J66" s="350">
        <v>119898.33</v>
      </c>
      <c r="K66" s="350">
        <v>172437.02</v>
      </c>
      <c r="L66" s="350">
        <v>343030.64</v>
      </c>
    </row>
    <row r="67" spans="1:12" ht="39" x14ac:dyDescent="0.25">
      <c r="A67" s="349" t="s">
        <v>472</v>
      </c>
      <c r="B67" s="349" t="s">
        <v>1336</v>
      </c>
      <c r="C67" s="349">
        <v>1991772</v>
      </c>
      <c r="D67" s="349" t="s">
        <v>472</v>
      </c>
      <c r="E67" s="349">
        <v>2018</v>
      </c>
      <c r="F67" s="350">
        <v>25.49</v>
      </c>
      <c r="G67" s="350">
        <v>12.08</v>
      </c>
      <c r="H67" s="350">
        <v>504169.75</v>
      </c>
      <c r="I67" s="350">
        <v>422222.52</v>
      </c>
      <c r="J67" s="350">
        <v>114272.38</v>
      </c>
      <c r="K67" s="350">
        <v>159946.29</v>
      </c>
      <c r="L67" s="350">
        <v>337873.4</v>
      </c>
    </row>
    <row r="68" spans="1:12" ht="51.75" x14ac:dyDescent="0.25">
      <c r="A68" s="349" t="s">
        <v>477</v>
      </c>
      <c r="B68" s="349" t="s">
        <v>1316</v>
      </c>
      <c r="C68" s="349">
        <v>2801353</v>
      </c>
      <c r="D68" s="349" t="s">
        <v>477</v>
      </c>
      <c r="E68" s="349">
        <v>2018</v>
      </c>
      <c r="F68" s="350">
        <v>26.31</v>
      </c>
      <c r="G68" s="350">
        <v>19.28</v>
      </c>
      <c r="H68" s="350">
        <v>506903.95</v>
      </c>
      <c r="I68" s="350">
        <v>409929.03</v>
      </c>
      <c r="J68" s="350">
        <v>138385.38</v>
      </c>
      <c r="K68" s="350">
        <v>153814.68</v>
      </c>
      <c r="L68" s="350">
        <v>441296.3</v>
      </c>
    </row>
    <row r="69" spans="1:12" ht="39" x14ac:dyDescent="0.25">
      <c r="A69" s="349" t="s">
        <v>480</v>
      </c>
      <c r="B69" s="349" t="s">
        <v>1316</v>
      </c>
      <c r="C69" s="349">
        <v>9593192</v>
      </c>
      <c r="D69" s="349" t="s">
        <v>480</v>
      </c>
      <c r="E69" s="349">
        <v>2018</v>
      </c>
      <c r="F69" s="350">
        <v>41</v>
      </c>
      <c r="G69" s="350">
        <v>23</v>
      </c>
      <c r="H69" s="350">
        <v>526872.34</v>
      </c>
      <c r="I69" s="350">
        <v>448057.87</v>
      </c>
      <c r="J69" s="350">
        <v>135401.63</v>
      </c>
      <c r="K69" s="350">
        <v>269543.09999999998</v>
      </c>
      <c r="L69" s="350">
        <v>614806.39</v>
      </c>
    </row>
    <row r="70" spans="1:12" ht="39" x14ac:dyDescent="0.25">
      <c r="A70" s="349" t="s">
        <v>485</v>
      </c>
      <c r="B70" s="349" t="s">
        <v>1311</v>
      </c>
      <c r="C70" s="349">
        <v>8338145</v>
      </c>
      <c r="D70" s="349" t="s">
        <v>485</v>
      </c>
      <c r="E70" s="349">
        <v>2018</v>
      </c>
      <c r="F70" s="350">
        <v>5.51</v>
      </c>
      <c r="G70" s="350">
        <v>1.64</v>
      </c>
      <c r="H70" s="350">
        <v>545454.03</v>
      </c>
      <c r="I70" s="350">
        <v>616084.92000000004</v>
      </c>
      <c r="J70" s="350">
        <v>67542.25</v>
      </c>
      <c r="K70" s="350">
        <v>97802.559999999998</v>
      </c>
      <c r="L70" s="350">
        <v>569907.92000000004</v>
      </c>
    </row>
    <row r="71" spans="1:12" ht="39" x14ac:dyDescent="0.25">
      <c r="A71" s="349" t="s">
        <v>485</v>
      </c>
      <c r="B71" s="349" t="s">
        <v>1336</v>
      </c>
      <c r="C71" s="349">
        <v>5220717</v>
      </c>
      <c r="D71" s="349" t="s">
        <v>485</v>
      </c>
      <c r="E71" s="349">
        <v>2018</v>
      </c>
      <c r="F71" s="350">
        <v>32.270000000000003</v>
      </c>
      <c r="G71" s="350">
        <v>11.09</v>
      </c>
      <c r="H71" s="350">
        <v>506926.23</v>
      </c>
      <c r="I71" s="350">
        <v>586054.52</v>
      </c>
      <c r="J71" s="350">
        <v>83587.600000000006</v>
      </c>
      <c r="K71" s="350">
        <v>106738.17</v>
      </c>
      <c r="L71" s="350">
        <v>658948.79</v>
      </c>
    </row>
    <row r="72" spans="1:12" ht="39" x14ac:dyDescent="0.25">
      <c r="A72" s="349" t="s">
        <v>485</v>
      </c>
      <c r="B72" s="349" t="s">
        <v>1346</v>
      </c>
      <c r="C72" s="349">
        <v>4382500</v>
      </c>
      <c r="D72" s="349" t="s">
        <v>485</v>
      </c>
      <c r="E72" s="349">
        <v>2018</v>
      </c>
      <c r="F72" s="350">
        <v>1.5</v>
      </c>
      <c r="G72" s="350">
        <v>0.55000000000000004</v>
      </c>
      <c r="H72" s="350">
        <v>414090.89</v>
      </c>
      <c r="I72" s="350">
        <v>626635.80000000005</v>
      </c>
      <c r="J72" s="350">
        <v>131807.74</v>
      </c>
      <c r="K72" s="350">
        <v>195705.65</v>
      </c>
      <c r="L72" s="350">
        <v>725227.79</v>
      </c>
    </row>
    <row r="73" spans="1:12" ht="39" x14ac:dyDescent="0.25">
      <c r="A73" s="349" t="s">
        <v>485</v>
      </c>
      <c r="B73" s="349" t="s">
        <v>1472</v>
      </c>
      <c r="C73" s="349">
        <v>7384495</v>
      </c>
      <c r="D73" s="349" t="s">
        <v>485</v>
      </c>
      <c r="E73" s="349">
        <v>2018</v>
      </c>
      <c r="F73" s="350">
        <v>4.3</v>
      </c>
      <c r="G73" s="350">
        <v>0.5</v>
      </c>
      <c r="H73" s="350">
        <v>490426.24</v>
      </c>
      <c r="I73" s="350">
        <v>840254.42</v>
      </c>
      <c r="J73" s="350">
        <v>32426.48</v>
      </c>
      <c r="K73" s="350">
        <v>57047.35</v>
      </c>
      <c r="L73" s="350">
        <v>669593.55000000005</v>
      </c>
    </row>
    <row r="74" spans="1:12" ht="39" x14ac:dyDescent="0.25">
      <c r="A74" s="349" t="s">
        <v>493</v>
      </c>
      <c r="B74" s="349" t="s">
        <v>1316</v>
      </c>
      <c r="C74" s="349">
        <v>8635813</v>
      </c>
      <c r="D74" s="349" t="s">
        <v>493</v>
      </c>
      <c r="E74" s="349">
        <v>2018</v>
      </c>
      <c r="F74" s="350">
        <v>25</v>
      </c>
      <c r="G74" s="350">
        <v>12.65</v>
      </c>
      <c r="H74" s="350">
        <v>467406.44</v>
      </c>
      <c r="I74" s="350">
        <v>444102.61</v>
      </c>
      <c r="J74" s="350">
        <v>79882.960000000006</v>
      </c>
      <c r="K74" s="350">
        <v>175410.4</v>
      </c>
      <c r="L74" s="350">
        <v>269711.71999999997</v>
      </c>
    </row>
    <row r="75" spans="1:12" ht="39" x14ac:dyDescent="0.25">
      <c r="A75" s="349" t="s">
        <v>496</v>
      </c>
      <c r="B75" s="349" t="s">
        <v>1316</v>
      </c>
      <c r="C75" s="349">
        <v>1872907</v>
      </c>
      <c r="D75" s="349" t="s">
        <v>496</v>
      </c>
      <c r="E75" s="349">
        <v>2018</v>
      </c>
      <c r="F75" s="350">
        <v>18</v>
      </c>
      <c r="G75" s="350">
        <v>11</v>
      </c>
      <c r="H75" s="350">
        <v>533598.75</v>
      </c>
      <c r="I75" s="350">
        <v>490369.31</v>
      </c>
      <c r="J75" s="350">
        <v>74127.58</v>
      </c>
      <c r="K75" s="350">
        <v>208425.4</v>
      </c>
      <c r="L75" s="350">
        <v>511485.82</v>
      </c>
    </row>
    <row r="76" spans="1:12" ht="39" x14ac:dyDescent="0.25">
      <c r="A76" s="349" t="s">
        <v>499</v>
      </c>
      <c r="B76" s="349" t="s">
        <v>1316</v>
      </c>
      <c r="C76" s="349">
        <v>9688838</v>
      </c>
      <c r="D76" s="349" t="s">
        <v>499</v>
      </c>
      <c r="E76" s="349">
        <v>2018</v>
      </c>
      <c r="F76" s="350">
        <v>62.02</v>
      </c>
      <c r="G76" s="350">
        <v>26.43</v>
      </c>
      <c r="H76" s="350">
        <v>494329.36</v>
      </c>
      <c r="I76" s="350">
        <v>409284.16</v>
      </c>
      <c r="J76" s="350">
        <v>108939.52</v>
      </c>
      <c r="K76" s="350">
        <v>122821.31</v>
      </c>
      <c r="L76" s="350">
        <v>382262.62</v>
      </c>
    </row>
    <row r="77" spans="1:12" ht="39" x14ac:dyDescent="0.25">
      <c r="A77" s="349" t="s">
        <v>502</v>
      </c>
      <c r="B77" s="349" t="s">
        <v>1250</v>
      </c>
      <c r="C77" s="349">
        <v>1878615</v>
      </c>
      <c r="D77" s="349" t="s">
        <v>502</v>
      </c>
      <c r="E77" s="349">
        <v>2018</v>
      </c>
      <c r="F77" s="350">
        <v>1.1200000000000001</v>
      </c>
      <c r="G77" s="350">
        <v>0.63</v>
      </c>
      <c r="H77" s="350">
        <v>529131.25</v>
      </c>
      <c r="I77" s="350">
        <v>444407.94</v>
      </c>
      <c r="J77" s="350">
        <v>163031.25</v>
      </c>
      <c r="K77" s="350">
        <v>142535.71</v>
      </c>
      <c r="L77" s="350">
        <v>708517.86</v>
      </c>
    </row>
    <row r="78" spans="1:12" ht="39" x14ac:dyDescent="0.25">
      <c r="A78" s="349" t="s">
        <v>502</v>
      </c>
      <c r="B78" s="349" t="s">
        <v>1316</v>
      </c>
      <c r="C78" s="349">
        <v>6565956</v>
      </c>
      <c r="D78" s="349" t="s">
        <v>502</v>
      </c>
      <c r="E78" s="349">
        <v>2018</v>
      </c>
      <c r="F78" s="350">
        <v>20.84</v>
      </c>
      <c r="G78" s="350">
        <v>12.84</v>
      </c>
      <c r="H78" s="350">
        <v>510509.65</v>
      </c>
      <c r="I78" s="350">
        <v>442260.83</v>
      </c>
      <c r="J78" s="350">
        <v>177353.41</v>
      </c>
      <c r="K78" s="350">
        <v>167447.84</v>
      </c>
      <c r="L78" s="350">
        <v>422238.29</v>
      </c>
    </row>
    <row r="79" spans="1:12" ht="39" x14ac:dyDescent="0.25">
      <c r="A79" s="349" t="s">
        <v>502</v>
      </c>
      <c r="B79" s="349" t="s">
        <v>1336</v>
      </c>
      <c r="C79" s="349">
        <v>9924037</v>
      </c>
      <c r="D79" s="349" t="s">
        <v>502</v>
      </c>
      <c r="E79" s="349">
        <v>2018</v>
      </c>
      <c r="F79" s="350">
        <v>8.14</v>
      </c>
      <c r="G79" s="350">
        <v>2.38</v>
      </c>
      <c r="H79" s="350">
        <v>483078.62</v>
      </c>
      <c r="I79" s="350">
        <v>439892.02</v>
      </c>
      <c r="J79" s="350">
        <v>84075.8</v>
      </c>
      <c r="K79" s="350">
        <v>80282.19</v>
      </c>
      <c r="L79" s="350">
        <v>424799.75</v>
      </c>
    </row>
    <row r="80" spans="1:12" ht="51.75" x14ac:dyDescent="0.25">
      <c r="A80" s="349" t="s">
        <v>506</v>
      </c>
      <c r="B80" s="349" t="s">
        <v>1311</v>
      </c>
      <c r="C80" s="349">
        <v>9445282</v>
      </c>
      <c r="D80" s="349" t="s">
        <v>506</v>
      </c>
      <c r="E80" s="349">
        <v>2018</v>
      </c>
      <c r="F80" s="350">
        <v>35</v>
      </c>
      <c r="G80" s="350">
        <v>22</v>
      </c>
      <c r="H80" s="350">
        <v>461545.46</v>
      </c>
      <c r="I80" s="350">
        <v>466926.21</v>
      </c>
      <c r="J80" s="350">
        <v>155063.12</v>
      </c>
      <c r="K80" s="350">
        <v>139581.45000000001</v>
      </c>
      <c r="L80" s="350">
        <v>602757.81999999995</v>
      </c>
    </row>
    <row r="81" spans="1:12" ht="51.75" x14ac:dyDescent="0.25">
      <c r="A81" s="349" t="s">
        <v>509</v>
      </c>
      <c r="B81" s="349" t="s">
        <v>1311</v>
      </c>
      <c r="C81" s="349">
        <v>3713907</v>
      </c>
      <c r="D81" s="349" t="s">
        <v>509</v>
      </c>
      <c r="E81" s="349">
        <v>2018</v>
      </c>
      <c r="F81" s="350">
        <v>39.130000000000003</v>
      </c>
      <c r="G81" s="350">
        <v>16.600000000000001</v>
      </c>
      <c r="H81" s="350">
        <v>524128.31</v>
      </c>
      <c r="I81" s="350">
        <v>452621.99</v>
      </c>
      <c r="J81" s="350">
        <v>166105.79</v>
      </c>
      <c r="K81" s="350">
        <v>113827.27</v>
      </c>
      <c r="L81" s="350">
        <v>535706</v>
      </c>
    </row>
    <row r="82" spans="1:12" ht="51.75" x14ac:dyDescent="0.25">
      <c r="A82" s="349" t="s">
        <v>509</v>
      </c>
      <c r="B82" s="349" t="s">
        <v>1346</v>
      </c>
      <c r="C82" s="349">
        <v>4007320</v>
      </c>
      <c r="D82" s="349" t="s">
        <v>509</v>
      </c>
      <c r="E82" s="349">
        <v>2018</v>
      </c>
      <c r="F82" s="350">
        <v>1.7</v>
      </c>
      <c r="G82" s="350">
        <v>0.9</v>
      </c>
      <c r="H82" s="350">
        <v>421742.89</v>
      </c>
      <c r="I82" s="350">
        <v>453857.59</v>
      </c>
      <c r="J82" s="350">
        <v>206668.24</v>
      </c>
      <c r="K82" s="350">
        <v>90269.41</v>
      </c>
      <c r="L82" s="350">
        <v>645253.38</v>
      </c>
    </row>
    <row r="83" spans="1:12" ht="51.75" x14ac:dyDescent="0.25">
      <c r="A83" s="349" t="s">
        <v>515</v>
      </c>
      <c r="B83" s="349" t="s">
        <v>1316</v>
      </c>
      <c r="C83" s="349">
        <v>7630615</v>
      </c>
      <c r="D83" s="349" t="s">
        <v>1331</v>
      </c>
      <c r="E83" s="349">
        <v>2018</v>
      </c>
      <c r="F83" s="350">
        <v>111.03</v>
      </c>
      <c r="G83" s="350">
        <v>48.55</v>
      </c>
      <c r="H83" s="350">
        <v>519471.82</v>
      </c>
      <c r="I83" s="350">
        <v>412561.57</v>
      </c>
      <c r="J83" s="350">
        <v>116505.75</v>
      </c>
      <c r="K83" s="350">
        <v>204174.36</v>
      </c>
      <c r="L83" s="350">
        <v>453439.03</v>
      </c>
    </row>
    <row r="84" spans="1:12" ht="39" x14ac:dyDescent="0.25">
      <c r="A84" s="349" t="s">
        <v>515</v>
      </c>
      <c r="B84" s="349" t="s">
        <v>1336</v>
      </c>
      <c r="C84" s="349">
        <v>5804478</v>
      </c>
      <c r="D84" s="349" t="s">
        <v>1343</v>
      </c>
      <c r="E84" s="349">
        <v>2018</v>
      </c>
      <c r="F84" s="350">
        <v>28.16</v>
      </c>
      <c r="G84" s="350">
        <v>8.0299999999999994</v>
      </c>
      <c r="H84" s="350">
        <v>519467.86</v>
      </c>
      <c r="I84" s="350">
        <v>425162.39</v>
      </c>
      <c r="J84" s="350">
        <v>81993.22</v>
      </c>
      <c r="K84" s="350">
        <v>171899.25</v>
      </c>
      <c r="L84" s="350">
        <v>405523.72</v>
      </c>
    </row>
    <row r="85" spans="1:12" ht="26.25" x14ac:dyDescent="0.25">
      <c r="A85" s="349" t="s">
        <v>519</v>
      </c>
      <c r="B85" s="349" t="s">
        <v>1250</v>
      </c>
      <c r="C85" s="349">
        <v>7071797</v>
      </c>
      <c r="D85" s="349" t="s">
        <v>519</v>
      </c>
      <c r="E85" s="349">
        <v>2018</v>
      </c>
      <c r="F85" s="350">
        <v>7.3</v>
      </c>
      <c r="G85" s="350">
        <v>1.8</v>
      </c>
      <c r="H85" s="350">
        <v>424085.21</v>
      </c>
      <c r="I85" s="350">
        <v>217430</v>
      </c>
      <c r="J85" s="350">
        <v>21921.78</v>
      </c>
      <c r="K85" s="350">
        <v>72591.64</v>
      </c>
      <c r="L85" s="350">
        <v>432487.12</v>
      </c>
    </row>
    <row r="86" spans="1:12" ht="26.25" x14ac:dyDescent="0.25">
      <c r="A86" s="349" t="s">
        <v>519</v>
      </c>
      <c r="B86" s="349" t="s">
        <v>1316</v>
      </c>
      <c r="C86" s="349">
        <v>3529182</v>
      </c>
      <c r="D86" s="349" t="s">
        <v>519</v>
      </c>
      <c r="E86" s="349">
        <v>2018</v>
      </c>
      <c r="F86" s="350">
        <v>18.3</v>
      </c>
      <c r="G86" s="350">
        <v>11.8</v>
      </c>
      <c r="H86" s="350">
        <v>508623.28</v>
      </c>
      <c r="I86" s="350">
        <v>376248.9</v>
      </c>
      <c r="J86" s="350">
        <v>126413.83</v>
      </c>
      <c r="K86" s="350">
        <v>191430.98</v>
      </c>
      <c r="L86" s="350">
        <v>474448.8</v>
      </c>
    </row>
    <row r="87" spans="1:12" ht="26.25" x14ac:dyDescent="0.25">
      <c r="A87" s="349" t="s">
        <v>519</v>
      </c>
      <c r="B87" s="349" t="s">
        <v>1336</v>
      </c>
      <c r="C87" s="349">
        <v>5638901</v>
      </c>
      <c r="D87" s="349" t="s">
        <v>519</v>
      </c>
      <c r="E87" s="349">
        <v>2018</v>
      </c>
      <c r="F87" s="350">
        <v>31</v>
      </c>
      <c r="G87" s="350">
        <v>12.9</v>
      </c>
      <c r="H87" s="350">
        <v>523290.84</v>
      </c>
      <c r="I87" s="350">
        <v>625492.71</v>
      </c>
      <c r="J87" s="350">
        <v>111150.97</v>
      </c>
      <c r="K87" s="350">
        <v>172927.32</v>
      </c>
      <c r="L87" s="350">
        <v>460083.61</v>
      </c>
    </row>
    <row r="88" spans="1:12" ht="26.25" x14ac:dyDescent="0.25">
      <c r="A88" s="349" t="s">
        <v>519</v>
      </c>
      <c r="B88" s="349" t="s">
        <v>1346</v>
      </c>
      <c r="C88" s="349">
        <v>1576566</v>
      </c>
      <c r="D88" s="349" t="s">
        <v>519</v>
      </c>
      <c r="E88" s="349">
        <v>2018</v>
      </c>
      <c r="F88" s="350">
        <v>3.4</v>
      </c>
      <c r="G88" s="350">
        <v>1.5</v>
      </c>
      <c r="H88" s="350">
        <v>448670.59</v>
      </c>
      <c r="I88" s="350">
        <v>543161.32999999996</v>
      </c>
      <c r="J88" s="350">
        <v>99785</v>
      </c>
      <c r="K88" s="350">
        <v>98757.94</v>
      </c>
      <c r="L88" s="350">
        <v>593081.18000000005</v>
      </c>
    </row>
    <row r="89" spans="1:12" ht="51.75" x14ac:dyDescent="0.25">
      <c r="A89" s="349" t="s">
        <v>523</v>
      </c>
      <c r="B89" s="349" t="s">
        <v>1311</v>
      </c>
      <c r="C89" s="349">
        <v>6945387</v>
      </c>
      <c r="D89" s="349" t="s">
        <v>528</v>
      </c>
      <c r="E89" s="349">
        <v>2018</v>
      </c>
      <c r="F89" s="350">
        <v>22.2</v>
      </c>
      <c r="G89" s="350">
        <v>10.6</v>
      </c>
      <c r="H89" s="350">
        <v>539026.55000000005</v>
      </c>
      <c r="I89" s="350">
        <v>329805.69</v>
      </c>
      <c r="J89" s="350">
        <v>105459.28</v>
      </c>
      <c r="K89" s="350">
        <v>143560.04999999999</v>
      </c>
      <c r="L89" s="350">
        <v>300210.44</v>
      </c>
    </row>
    <row r="90" spans="1:12" ht="26.25" x14ac:dyDescent="0.25">
      <c r="A90" s="349" t="s">
        <v>523</v>
      </c>
      <c r="B90" s="349" t="s">
        <v>1316</v>
      </c>
      <c r="C90" s="349">
        <v>5869239</v>
      </c>
      <c r="D90" s="349" t="s">
        <v>525</v>
      </c>
      <c r="E90" s="349">
        <v>2018</v>
      </c>
      <c r="F90" s="350">
        <v>42</v>
      </c>
      <c r="G90" s="350">
        <v>18.600000000000001</v>
      </c>
      <c r="H90" s="350">
        <v>497887.34</v>
      </c>
      <c r="I90" s="350">
        <v>427594.9</v>
      </c>
      <c r="J90" s="350">
        <v>116676.12</v>
      </c>
      <c r="K90" s="350">
        <v>164938.12</v>
      </c>
      <c r="L90" s="350">
        <v>370544.38</v>
      </c>
    </row>
    <row r="91" spans="1:12" ht="39" x14ac:dyDescent="0.25">
      <c r="A91" s="349" t="s">
        <v>531</v>
      </c>
      <c r="B91" s="349" t="s">
        <v>1155</v>
      </c>
      <c r="C91" s="349">
        <v>9199716</v>
      </c>
      <c r="D91" s="349" t="s">
        <v>1222</v>
      </c>
      <c r="E91" s="349">
        <v>2018</v>
      </c>
      <c r="F91" s="350">
        <v>6.48</v>
      </c>
      <c r="G91" s="350">
        <v>0.53</v>
      </c>
      <c r="H91" s="350">
        <v>351548.77</v>
      </c>
      <c r="I91" s="350">
        <v>241509.43</v>
      </c>
      <c r="J91" s="350">
        <v>53327.47</v>
      </c>
      <c r="K91" s="350">
        <v>118731.79</v>
      </c>
      <c r="L91" s="350">
        <v>343902.62</v>
      </c>
    </row>
    <row r="92" spans="1:12" ht="39" x14ac:dyDescent="0.25">
      <c r="A92" s="349" t="s">
        <v>531</v>
      </c>
      <c r="B92" s="349" t="s">
        <v>1250</v>
      </c>
      <c r="C92" s="349">
        <v>6749255</v>
      </c>
      <c r="D92" s="349" t="s">
        <v>1264</v>
      </c>
      <c r="E92" s="349">
        <v>2018</v>
      </c>
      <c r="F92" s="350">
        <v>6.58</v>
      </c>
      <c r="G92" s="350">
        <v>0.53</v>
      </c>
      <c r="H92" s="350">
        <v>396899.85</v>
      </c>
      <c r="I92" s="350">
        <v>241509.43</v>
      </c>
      <c r="J92" s="350">
        <v>30295.59</v>
      </c>
      <c r="K92" s="350">
        <v>102345.44</v>
      </c>
      <c r="L92" s="350">
        <v>273803.95</v>
      </c>
    </row>
    <row r="93" spans="1:12" ht="39" x14ac:dyDescent="0.25">
      <c r="A93" s="349" t="s">
        <v>531</v>
      </c>
      <c r="B93" s="349" t="s">
        <v>1273</v>
      </c>
      <c r="C93" s="349">
        <v>4547815</v>
      </c>
      <c r="D93" s="349" t="s">
        <v>1279</v>
      </c>
      <c r="E93" s="349">
        <v>2018</v>
      </c>
      <c r="F93" s="350">
        <v>2.08</v>
      </c>
      <c r="G93" s="350">
        <v>0.33</v>
      </c>
      <c r="H93" s="350">
        <v>400136.54</v>
      </c>
      <c r="I93" s="350">
        <v>350378.79</v>
      </c>
      <c r="J93" s="350">
        <v>54009.62</v>
      </c>
      <c r="K93" s="350">
        <v>52172.6</v>
      </c>
      <c r="L93" s="350">
        <v>489969.23</v>
      </c>
    </row>
    <row r="94" spans="1:12" ht="39" x14ac:dyDescent="0.25">
      <c r="A94" s="349" t="s">
        <v>531</v>
      </c>
      <c r="B94" s="349" t="s">
        <v>1405</v>
      </c>
      <c r="C94" s="349">
        <v>6989404</v>
      </c>
      <c r="D94" s="349" t="s">
        <v>1416</v>
      </c>
      <c r="E94" s="349">
        <v>2018</v>
      </c>
      <c r="F94" s="350">
        <v>2.38</v>
      </c>
      <c r="G94" s="350">
        <v>0.13</v>
      </c>
      <c r="H94" s="350">
        <v>390049.58</v>
      </c>
      <c r="I94" s="350">
        <v>821846.15</v>
      </c>
      <c r="J94" s="350">
        <v>53913.03</v>
      </c>
      <c r="K94" s="350">
        <v>50631.51</v>
      </c>
      <c r="L94" s="350">
        <v>536543.69999999995</v>
      </c>
    </row>
    <row r="95" spans="1:12" ht="64.5" x14ac:dyDescent="0.25">
      <c r="A95" s="349" t="s">
        <v>546</v>
      </c>
      <c r="B95" s="349" t="s">
        <v>1155</v>
      </c>
      <c r="C95" s="349">
        <v>2946425</v>
      </c>
      <c r="D95" s="349" t="s">
        <v>546</v>
      </c>
      <c r="E95" s="349">
        <v>2018</v>
      </c>
      <c r="F95" s="350">
        <v>4.3600000000000003</v>
      </c>
      <c r="G95" s="350">
        <v>0.48</v>
      </c>
      <c r="H95" s="350">
        <v>446471.33</v>
      </c>
      <c r="I95" s="350">
        <v>478404.17</v>
      </c>
      <c r="J95" s="350">
        <v>82595.87</v>
      </c>
      <c r="K95" s="350">
        <v>115169.04</v>
      </c>
      <c r="L95" s="350">
        <v>573723.85</v>
      </c>
    </row>
    <row r="96" spans="1:12" ht="26.25" x14ac:dyDescent="0.25">
      <c r="A96" s="349" t="s">
        <v>550</v>
      </c>
      <c r="B96" s="349" t="s">
        <v>1124</v>
      </c>
      <c r="C96" s="349">
        <v>8902089</v>
      </c>
      <c r="D96" s="349" t="s">
        <v>377</v>
      </c>
      <c r="E96" s="349">
        <v>2018</v>
      </c>
      <c r="F96" s="350">
        <v>5.3</v>
      </c>
      <c r="G96" s="350">
        <v>0</v>
      </c>
      <c r="H96" s="350">
        <v>405822.64</v>
      </c>
      <c r="I96" s="351"/>
      <c r="J96" s="350">
        <v>17254.34</v>
      </c>
      <c r="K96" s="350">
        <v>62176.98</v>
      </c>
      <c r="L96" s="350">
        <v>397161.32</v>
      </c>
    </row>
    <row r="97" spans="1:12" ht="39" x14ac:dyDescent="0.25">
      <c r="A97" s="349" t="s">
        <v>553</v>
      </c>
      <c r="B97" s="349" t="s">
        <v>1055</v>
      </c>
      <c r="C97" s="349">
        <v>7634996</v>
      </c>
      <c r="D97" s="349" t="s">
        <v>1104</v>
      </c>
      <c r="E97" s="349">
        <v>2018</v>
      </c>
      <c r="F97" s="350">
        <v>0.4</v>
      </c>
      <c r="G97" s="350">
        <v>0.41</v>
      </c>
      <c r="H97" s="350">
        <v>329502.5</v>
      </c>
      <c r="I97" s="350">
        <v>534887.81000000006</v>
      </c>
      <c r="J97" s="350">
        <v>8084.25</v>
      </c>
      <c r="K97" s="350">
        <v>104545.1</v>
      </c>
      <c r="L97" s="350">
        <v>987867.35</v>
      </c>
    </row>
    <row r="98" spans="1:12" ht="51.75" x14ac:dyDescent="0.25">
      <c r="A98" s="349" t="s">
        <v>553</v>
      </c>
      <c r="B98" s="349" t="s">
        <v>1055</v>
      </c>
      <c r="C98" s="349">
        <v>8289298</v>
      </c>
      <c r="D98" s="349" t="s">
        <v>1106</v>
      </c>
      <c r="E98" s="349">
        <v>2018</v>
      </c>
      <c r="F98" s="350">
        <v>1.5</v>
      </c>
      <c r="G98" s="350">
        <v>0.86</v>
      </c>
      <c r="H98" s="350">
        <v>421170</v>
      </c>
      <c r="I98" s="350">
        <v>519918.61</v>
      </c>
      <c r="J98" s="350">
        <v>57108.87</v>
      </c>
      <c r="K98" s="350">
        <v>98549.4</v>
      </c>
      <c r="L98" s="350">
        <v>868230.8</v>
      </c>
    </row>
    <row r="99" spans="1:12" ht="39" x14ac:dyDescent="0.25">
      <c r="A99" s="349" t="s">
        <v>553</v>
      </c>
      <c r="B99" s="349" t="s">
        <v>1055</v>
      </c>
      <c r="C99" s="349">
        <v>9503685</v>
      </c>
      <c r="D99" s="349" t="s">
        <v>1115</v>
      </c>
      <c r="E99" s="349">
        <v>2018</v>
      </c>
      <c r="F99" s="350">
        <v>0.6</v>
      </c>
      <c r="G99" s="350">
        <v>0.47</v>
      </c>
      <c r="H99" s="350">
        <v>413890</v>
      </c>
      <c r="I99" s="350">
        <v>436497.87</v>
      </c>
      <c r="J99" s="350">
        <v>38385.5</v>
      </c>
      <c r="K99" s="350">
        <v>82997.679999999993</v>
      </c>
      <c r="L99" s="350">
        <v>875508.18</v>
      </c>
    </row>
    <row r="100" spans="1:12" ht="26.25" x14ac:dyDescent="0.25">
      <c r="A100" s="349" t="s">
        <v>553</v>
      </c>
      <c r="B100" s="349" t="s">
        <v>1124</v>
      </c>
      <c r="C100" s="349">
        <v>2392006</v>
      </c>
      <c r="D100" s="349" t="s">
        <v>377</v>
      </c>
      <c r="E100" s="349">
        <v>2018</v>
      </c>
      <c r="F100" s="350">
        <v>6.39</v>
      </c>
      <c r="G100" s="350">
        <v>1.07</v>
      </c>
      <c r="H100" s="350">
        <v>321925.34999999998</v>
      </c>
      <c r="I100" s="350">
        <v>506422.43</v>
      </c>
      <c r="J100" s="350">
        <v>23017.26</v>
      </c>
      <c r="K100" s="350">
        <v>59416.22</v>
      </c>
      <c r="L100" s="350">
        <v>389186.94</v>
      </c>
    </row>
    <row r="101" spans="1:12" ht="51.75" x14ac:dyDescent="0.25">
      <c r="A101" s="349" t="s">
        <v>553</v>
      </c>
      <c r="B101" s="349" t="s">
        <v>1405</v>
      </c>
      <c r="C101" s="349">
        <v>8102124</v>
      </c>
      <c r="D101" s="349" t="s">
        <v>1418</v>
      </c>
      <c r="E101" s="349">
        <v>2018</v>
      </c>
      <c r="F101" s="350">
        <v>1.84</v>
      </c>
      <c r="G101" s="350">
        <v>0.78</v>
      </c>
      <c r="H101" s="350">
        <v>325632.61</v>
      </c>
      <c r="I101" s="350">
        <v>476551.28</v>
      </c>
      <c r="J101" s="350">
        <v>64839.29</v>
      </c>
      <c r="K101" s="350">
        <v>106219.94</v>
      </c>
      <c r="L101" s="350">
        <v>680215.67</v>
      </c>
    </row>
    <row r="102" spans="1:12" ht="64.5" x14ac:dyDescent="0.25">
      <c r="A102" s="349" t="s">
        <v>553</v>
      </c>
      <c r="B102" s="349" t="s">
        <v>1427</v>
      </c>
      <c r="C102" s="349">
        <v>4526227</v>
      </c>
      <c r="D102" s="349" t="s">
        <v>1433</v>
      </c>
      <c r="E102" s="349">
        <v>2018</v>
      </c>
      <c r="F102" s="350">
        <v>2.77</v>
      </c>
      <c r="G102" s="350">
        <v>0.99</v>
      </c>
      <c r="H102" s="350">
        <v>416563.9</v>
      </c>
      <c r="I102" s="350">
        <v>489821.21</v>
      </c>
      <c r="J102" s="350">
        <v>30602.15</v>
      </c>
      <c r="K102" s="350">
        <v>70412.820000000007</v>
      </c>
      <c r="L102" s="350">
        <v>691902.77</v>
      </c>
    </row>
    <row r="103" spans="1:12" ht="51.75" x14ac:dyDescent="0.25">
      <c r="A103" s="349" t="s">
        <v>553</v>
      </c>
      <c r="B103" s="349" t="s">
        <v>1451</v>
      </c>
      <c r="C103" s="349">
        <v>7653065</v>
      </c>
      <c r="D103" s="349" t="s">
        <v>1457</v>
      </c>
      <c r="E103" s="349">
        <v>2018</v>
      </c>
      <c r="F103" s="350">
        <v>5.19</v>
      </c>
      <c r="G103" s="350">
        <v>1.8</v>
      </c>
      <c r="H103" s="350">
        <v>307983.24</v>
      </c>
      <c r="I103" s="350">
        <v>450131.11</v>
      </c>
      <c r="J103" s="350">
        <v>64484.36</v>
      </c>
      <c r="K103" s="350">
        <v>81120.3</v>
      </c>
      <c r="L103" s="350">
        <v>606604.76</v>
      </c>
    </row>
    <row r="104" spans="1:12" ht="39" x14ac:dyDescent="0.25">
      <c r="A104" s="349" t="s">
        <v>568</v>
      </c>
      <c r="B104" s="349" t="s">
        <v>1250</v>
      </c>
      <c r="C104" s="349">
        <v>1441233</v>
      </c>
      <c r="D104" s="349" t="s">
        <v>1251</v>
      </c>
      <c r="E104" s="349">
        <v>2018</v>
      </c>
      <c r="F104" s="350">
        <v>6.05</v>
      </c>
      <c r="G104" s="350">
        <v>3.4</v>
      </c>
      <c r="H104" s="350">
        <v>423922.81</v>
      </c>
      <c r="I104" s="350">
        <v>422365.88</v>
      </c>
      <c r="J104" s="350">
        <v>107310.08</v>
      </c>
      <c r="K104" s="350">
        <v>139800.82999999999</v>
      </c>
      <c r="L104" s="350">
        <v>471849.59</v>
      </c>
    </row>
    <row r="105" spans="1:12" ht="39" x14ac:dyDescent="0.25">
      <c r="A105" s="349" t="s">
        <v>568</v>
      </c>
      <c r="B105" s="349" t="s">
        <v>1282</v>
      </c>
      <c r="C105" s="349">
        <v>1961902</v>
      </c>
      <c r="D105" s="349" t="s">
        <v>1251</v>
      </c>
      <c r="E105" s="349">
        <v>2018</v>
      </c>
      <c r="F105" s="350">
        <v>4.8899999999999997</v>
      </c>
      <c r="G105" s="350">
        <v>2.62</v>
      </c>
      <c r="H105" s="350">
        <v>436071.98</v>
      </c>
      <c r="I105" s="350">
        <v>360372.9</v>
      </c>
      <c r="J105" s="350">
        <v>48689.16</v>
      </c>
      <c r="K105" s="350">
        <v>74902.66</v>
      </c>
      <c r="L105" s="350">
        <v>604021.47</v>
      </c>
    </row>
    <row r="106" spans="1:12" ht="39" x14ac:dyDescent="0.25">
      <c r="A106" s="349" t="s">
        <v>568</v>
      </c>
      <c r="B106" s="349" t="s">
        <v>1307</v>
      </c>
      <c r="C106" s="349">
        <v>2499134</v>
      </c>
      <c r="D106" s="349" t="s">
        <v>1251</v>
      </c>
      <c r="E106" s="349">
        <v>2018</v>
      </c>
      <c r="F106" s="350">
        <v>5</v>
      </c>
      <c r="G106" s="350">
        <v>2.72</v>
      </c>
      <c r="H106" s="350">
        <v>449937.2</v>
      </c>
      <c r="I106" s="350">
        <v>428042.28</v>
      </c>
      <c r="J106" s="350">
        <v>68578.399999999994</v>
      </c>
      <c r="K106" s="350">
        <v>96744</v>
      </c>
      <c r="L106" s="350">
        <v>574611</v>
      </c>
    </row>
    <row r="107" spans="1:12" ht="64.5" x14ac:dyDescent="0.25">
      <c r="A107" s="349" t="s">
        <v>1833</v>
      </c>
      <c r="B107" s="349" t="s">
        <v>1155</v>
      </c>
      <c r="C107" s="349">
        <v>6311728</v>
      </c>
      <c r="D107" s="349" t="s">
        <v>1832</v>
      </c>
      <c r="E107" s="349">
        <v>2018</v>
      </c>
      <c r="F107" s="350">
        <v>0</v>
      </c>
      <c r="G107" s="350">
        <v>0</v>
      </c>
      <c r="H107" s="351"/>
      <c r="I107" s="351"/>
      <c r="J107" s="351"/>
      <c r="K107" s="351"/>
      <c r="L107" s="351"/>
    </row>
    <row r="108" spans="1:12" ht="51.75" x14ac:dyDescent="0.25">
      <c r="A108" s="349" t="s">
        <v>576</v>
      </c>
      <c r="B108" s="349" t="s">
        <v>1155</v>
      </c>
      <c r="C108" s="349">
        <v>7399132</v>
      </c>
      <c r="D108" s="349" t="s">
        <v>576</v>
      </c>
      <c r="E108" s="349">
        <v>2018</v>
      </c>
      <c r="F108" s="350">
        <v>7</v>
      </c>
      <c r="G108" s="350">
        <v>0.3</v>
      </c>
      <c r="H108" s="350">
        <v>418008.43</v>
      </c>
      <c r="I108" s="350">
        <v>1724390</v>
      </c>
      <c r="J108" s="350">
        <v>15626.86</v>
      </c>
      <c r="K108" s="350">
        <v>40861.43</v>
      </c>
      <c r="L108" s="350">
        <v>438872.43</v>
      </c>
    </row>
    <row r="109" spans="1:12" ht="51.75" x14ac:dyDescent="0.25">
      <c r="A109" s="349" t="s">
        <v>576</v>
      </c>
      <c r="B109" s="349" t="s">
        <v>1316</v>
      </c>
      <c r="C109" s="349">
        <v>8877013</v>
      </c>
      <c r="D109" s="349" t="s">
        <v>576</v>
      </c>
      <c r="E109" s="349">
        <v>2018</v>
      </c>
      <c r="F109" s="350">
        <v>20.5</v>
      </c>
      <c r="G109" s="350">
        <v>8.6999999999999993</v>
      </c>
      <c r="H109" s="350">
        <v>533538.88</v>
      </c>
      <c r="I109" s="350">
        <v>427433.68</v>
      </c>
      <c r="J109" s="350">
        <v>90411.07</v>
      </c>
      <c r="K109" s="350">
        <v>231737.51</v>
      </c>
      <c r="L109" s="350">
        <v>353067.12</v>
      </c>
    </row>
    <row r="110" spans="1:12" ht="51.75" x14ac:dyDescent="0.25">
      <c r="A110" s="349" t="s">
        <v>580</v>
      </c>
      <c r="B110" s="349" t="s">
        <v>1124</v>
      </c>
      <c r="C110" s="349">
        <v>7566271</v>
      </c>
      <c r="D110" s="349" t="s">
        <v>1147</v>
      </c>
      <c r="E110" s="349">
        <v>2018</v>
      </c>
      <c r="F110" s="350">
        <v>21.65</v>
      </c>
      <c r="G110" s="350">
        <v>2.16</v>
      </c>
      <c r="H110" s="350">
        <v>386419.27</v>
      </c>
      <c r="I110" s="350">
        <v>539069.38</v>
      </c>
      <c r="J110" s="350">
        <v>5321.83</v>
      </c>
      <c r="K110" s="350">
        <v>70012.62</v>
      </c>
      <c r="L110" s="350">
        <v>361662.82</v>
      </c>
    </row>
    <row r="111" spans="1:12" ht="51.75" x14ac:dyDescent="0.25">
      <c r="A111" s="349" t="s">
        <v>1118</v>
      </c>
      <c r="B111" s="349" t="s">
        <v>1055</v>
      </c>
      <c r="C111" s="349">
        <v>9608144</v>
      </c>
      <c r="D111" s="349" t="s">
        <v>1117</v>
      </c>
      <c r="E111" s="349">
        <v>2018</v>
      </c>
      <c r="F111" s="350">
        <v>1.5</v>
      </c>
      <c r="G111" s="350">
        <v>0.55000000000000004</v>
      </c>
      <c r="H111" s="350">
        <v>520906.51</v>
      </c>
      <c r="I111" s="350">
        <v>0</v>
      </c>
      <c r="J111" s="350">
        <v>85074</v>
      </c>
      <c r="K111" s="350">
        <v>145246.15</v>
      </c>
      <c r="L111" s="350">
        <v>746548</v>
      </c>
    </row>
    <row r="112" spans="1:12" ht="51.75" x14ac:dyDescent="0.25">
      <c r="A112" s="349" t="s">
        <v>1118</v>
      </c>
      <c r="B112" s="349" t="s">
        <v>1377</v>
      </c>
      <c r="C112" s="349">
        <v>8365172</v>
      </c>
      <c r="D112" s="349" t="s">
        <v>1378</v>
      </c>
      <c r="E112" s="349">
        <v>2018</v>
      </c>
      <c r="F112" s="350">
        <v>1.5</v>
      </c>
      <c r="G112" s="350">
        <v>0.55000000000000004</v>
      </c>
      <c r="H112" s="350">
        <v>522745.26</v>
      </c>
      <c r="I112" s="350">
        <v>0</v>
      </c>
      <c r="J112" s="350">
        <v>36460.67</v>
      </c>
      <c r="K112" s="350">
        <v>138665.41</v>
      </c>
      <c r="L112" s="350">
        <v>697871.33</v>
      </c>
    </row>
    <row r="113" spans="1:12" ht="39" x14ac:dyDescent="0.25">
      <c r="A113" s="349" t="s">
        <v>1515</v>
      </c>
      <c r="B113" s="349" t="s">
        <v>1472</v>
      </c>
      <c r="C113" s="349">
        <v>8098643</v>
      </c>
      <c r="D113" s="349" t="s">
        <v>1516</v>
      </c>
      <c r="E113" s="349">
        <v>2018</v>
      </c>
      <c r="F113" s="350">
        <v>2.5</v>
      </c>
      <c r="G113" s="350">
        <v>0.25</v>
      </c>
      <c r="H113" s="350">
        <v>318606.40000000002</v>
      </c>
      <c r="I113" s="350">
        <v>528692</v>
      </c>
      <c r="J113" s="350">
        <v>172277.6</v>
      </c>
      <c r="K113" s="350">
        <v>115396.4</v>
      </c>
      <c r="L113" s="350">
        <v>659149.6</v>
      </c>
    </row>
    <row r="114" spans="1:12" ht="51.75" x14ac:dyDescent="0.25">
      <c r="A114" s="349" t="s">
        <v>585</v>
      </c>
      <c r="B114" s="349" t="s">
        <v>1055</v>
      </c>
      <c r="C114" s="349">
        <v>8299792</v>
      </c>
      <c r="D114" s="349" t="s">
        <v>1108</v>
      </c>
      <c r="E114" s="349">
        <v>2018</v>
      </c>
      <c r="F114" s="350">
        <v>1.64</v>
      </c>
      <c r="G114" s="350">
        <v>1.19</v>
      </c>
      <c r="H114" s="350">
        <v>303285.59999999998</v>
      </c>
      <c r="I114" s="350">
        <v>526228.15</v>
      </c>
      <c r="J114" s="350">
        <v>31848.06</v>
      </c>
      <c r="K114" s="350">
        <v>105481.27</v>
      </c>
      <c r="L114" s="350">
        <v>822451.22</v>
      </c>
    </row>
    <row r="115" spans="1:12" ht="51.75" x14ac:dyDescent="0.25">
      <c r="A115" s="349" t="s">
        <v>585</v>
      </c>
      <c r="B115" s="349" t="s">
        <v>1472</v>
      </c>
      <c r="C115" s="349">
        <v>5943218</v>
      </c>
      <c r="D115" s="349" t="s">
        <v>585</v>
      </c>
      <c r="E115" s="349">
        <v>2018</v>
      </c>
      <c r="F115" s="350">
        <v>1.39</v>
      </c>
      <c r="G115" s="350">
        <v>0.74</v>
      </c>
      <c r="H115" s="350">
        <v>346880.04</v>
      </c>
      <c r="I115" s="350">
        <v>747177.77</v>
      </c>
      <c r="J115" s="350">
        <v>25932.47</v>
      </c>
      <c r="K115" s="350">
        <v>207387.81</v>
      </c>
      <c r="L115" s="350">
        <v>977978.42</v>
      </c>
    </row>
    <row r="116" spans="1:12" ht="51.75" x14ac:dyDescent="0.25">
      <c r="A116" s="349" t="s">
        <v>1056</v>
      </c>
      <c r="B116" s="349" t="s">
        <v>1055</v>
      </c>
      <c r="C116" s="349">
        <v>1201932</v>
      </c>
      <c r="D116" s="349" t="s">
        <v>594</v>
      </c>
      <c r="E116" s="349">
        <v>2018</v>
      </c>
      <c r="F116" s="350">
        <v>3</v>
      </c>
      <c r="G116" s="350">
        <v>0.55000000000000004</v>
      </c>
      <c r="H116" s="350">
        <v>546998.42000000004</v>
      </c>
      <c r="I116" s="350">
        <v>542092.73</v>
      </c>
      <c r="J116" s="350">
        <v>55820.67</v>
      </c>
      <c r="K116" s="350">
        <v>124471.92</v>
      </c>
      <c r="L116" s="350">
        <v>826674.67</v>
      </c>
    </row>
    <row r="117" spans="1:12" ht="39" x14ac:dyDescent="0.25">
      <c r="A117" s="349" t="s">
        <v>1056</v>
      </c>
      <c r="B117" s="349" t="s">
        <v>1394</v>
      </c>
      <c r="C117" s="349">
        <v>5814347</v>
      </c>
      <c r="D117" s="349" t="s">
        <v>1395</v>
      </c>
      <c r="E117" s="349">
        <v>2018</v>
      </c>
      <c r="F117" s="350">
        <v>4.28</v>
      </c>
      <c r="G117" s="350">
        <v>1</v>
      </c>
      <c r="H117" s="350">
        <v>457867.06</v>
      </c>
      <c r="I117" s="350">
        <v>350066</v>
      </c>
      <c r="J117" s="350">
        <v>30071.26</v>
      </c>
      <c r="K117" s="350">
        <v>235147.2</v>
      </c>
      <c r="L117" s="350">
        <v>804876.64</v>
      </c>
    </row>
    <row r="118" spans="1:12" ht="51.75" x14ac:dyDescent="0.25">
      <c r="A118" s="349" t="s">
        <v>1056</v>
      </c>
      <c r="B118" s="349" t="s">
        <v>1838</v>
      </c>
      <c r="C118" s="349">
        <v>3454870</v>
      </c>
      <c r="D118" s="349" t="s">
        <v>594</v>
      </c>
      <c r="E118" s="349">
        <v>2018</v>
      </c>
      <c r="F118" s="350">
        <v>1.25</v>
      </c>
      <c r="G118" s="350">
        <v>0</v>
      </c>
      <c r="H118" s="350">
        <v>519976.8</v>
      </c>
      <c r="I118" s="351"/>
      <c r="J118" s="350">
        <v>24873.599999999999</v>
      </c>
      <c r="K118" s="350">
        <v>25490</v>
      </c>
      <c r="L118" s="350">
        <v>570340.4</v>
      </c>
    </row>
    <row r="119" spans="1:12" ht="64.5" x14ac:dyDescent="0.25">
      <c r="A119" s="349" t="s">
        <v>1056</v>
      </c>
      <c r="B119" s="349" t="s">
        <v>1459</v>
      </c>
      <c r="C119" s="349">
        <v>1537615</v>
      </c>
      <c r="D119" s="349" t="s">
        <v>1460</v>
      </c>
      <c r="E119" s="349">
        <v>2018</v>
      </c>
      <c r="F119" s="350">
        <v>5.75</v>
      </c>
      <c r="G119" s="350">
        <v>0.55000000000000004</v>
      </c>
      <c r="H119" s="350">
        <v>408344.17</v>
      </c>
      <c r="I119" s="350">
        <v>438447.73</v>
      </c>
      <c r="J119" s="350">
        <v>18881.38</v>
      </c>
      <c r="K119" s="350">
        <v>165986.23000000001</v>
      </c>
      <c r="L119" s="350">
        <v>635150.26</v>
      </c>
    </row>
    <row r="120" spans="1:12" ht="64.5" x14ac:dyDescent="0.25">
      <c r="A120" s="349" t="s">
        <v>1364</v>
      </c>
      <c r="B120" s="349" t="s">
        <v>1361</v>
      </c>
      <c r="C120" s="349">
        <v>9328941</v>
      </c>
      <c r="D120" s="349" t="s">
        <v>1526</v>
      </c>
      <c r="E120" s="349">
        <v>2018</v>
      </c>
      <c r="F120" s="350">
        <v>6.13</v>
      </c>
      <c r="G120" s="350">
        <v>0</v>
      </c>
      <c r="H120" s="350">
        <v>312507.67</v>
      </c>
      <c r="I120" s="351"/>
      <c r="J120" s="350">
        <v>38065.74</v>
      </c>
      <c r="K120" s="350">
        <v>107495.99</v>
      </c>
      <c r="L120" s="350">
        <v>350710.18</v>
      </c>
    </row>
    <row r="121" spans="1:12" ht="39" x14ac:dyDescent="0.25">
      <c r="A121" s="349" t="s">
        <v>602</v>
      </c>
      <c r="B121" s="349" t="s">
        <v>1155</v>
      </c>
      <c r="C121" s="349">
        <v>6181040</v>
      </c>
      <c r="D121" s="349" t="s">
        <v>605</v>
      </c>
      <c r="E121" s="349">
        <v>2018</v>
      </c>
      <c r="F121" s="350">
        <v>2.35</v>
      </c>
      <c r="G121" s="350">
        <v>1.5</v>
      </c>
      <c r="H121" s="350">
        <v>332485.11</v>
      </c>
      <c r="I121" s="350">
        <v>344912.67</v>
      </c>
      <c r="J121" s="350">
        <v>4710.6400000000003</v>
      </c>
      <c r="K121" s="350">
        <v>204584.26</v>
      </c>
      <c r="L121" s="350">
        <v>561926.38</v>
      </c>
    </row>
    <row r="122" spans="1:12" ht="51.75" x14ac:dyDescent="0.25">
      <c r="A122" s="349" t="s">
        <v>606</v>
      </c>
      <c r="B122" s="349" t="s">
        <v>1155</v>
      </c>
      <c r="C122" s="349">
        <v>1647194</v>
      </c>
      <c r="D122" s="349" t="s">
        <v>608</v>
      </c>
      <c r="E122" s="349">
        <v>2018</v>
      </c>
      <c r="F122" s="350">
        <v>5.2</v>
      </c>
      <c r="G122" s="350">
        <v>0</v>
      </c>
      <c r="H122" s="350">
        <v>392822.31</v>
      </c>
      <c r="I122" s="351"/>
      <c r="J122" s="350">
        <v>44626.92</v>
      </c>
      <c r="K122" s="350">
        <v>142140.76999999999</v>
      </c>
      <c r="L122" s="350">
        <v>367418.65</v>
      </c>
    </row>
    <row r="123" spans="1:12" ht="26.25" x14ac:dyDescent="0.25">
      <c r="A123" s="349" t="s">
        <v>610</v>
      </c>
      <c r="B123" s="349" t="s">
        <v>1155</v>
      </c>
      <c r="C123" s="349">
        <v>6232669</v>
      </c>
      <c r="D123" s="349" t="s">
        <v>1208</v>
      </c>
      <c r="E123" s="349">
        <v>2018</v>
      </c>
      <c r="F123" s="350">
        <v>8</v>
      </c>
      <c r="G123" s="350">
        <v>0.35</v>
      </c>
      <c r="H123" s="350">
        <v>347639.75</v>
      </c>
      <c r="I123" s="350">
        <v>418265.71</v>
      </c>
      <c r="J123" s="350">
        <v>9058.75</v>
      </c>
      <c r="K123" s="350">
        <v>28935.38</v>
      </c>
      <c r="L123" s="350">
        <v>297721.88</v>
      </c>
    </row>
    <row r="124" spans="1:12" ht="39" x14ac:dyDescent="0.25">
      <c r="A124" s="349" t="s">
        <v>613</v>
      </c>
      <c r="B124" s="349" t="s">
        <v>1155</v>
      </c>
      <c r="C124" s="349">
        <v>6428468</v>
      </c>
      <c r="D124" s="349" t="s">
        <v>1210</v>
      </c>
      <c r="E124" s="349">
        <v>2018</v>
      </c>
      <c r="F124" s="350">
        <v>11.5</v>
      </c>
      <c r="G124" s="350">
        <v>1</v>
      </c>
      <c r="H124" s="350">
        <v>375663.74</v>
      </c>
      <c r="I124" s="350">
        <v>499644</v>
      </c>
      <c r="J124" s="350">
        <v>11746</v>
      </c>
      <c r="K124" s="350">
        <v>85687.57</v>
      </c>
      <c r="L124" s="350">
        <v>382091.57</v>
      </c>
    </row>
    <row r="125" spans="1:12" ht="51.75" x14ac:dyDescent="0.25">
      <c r="A125" s="349" t="s">
        <v>618</v>
      </c>
      <c r="B125" s="349" t="s">
        <v>1155</v>
      </c>
      <c r="C125" s="349">
        <v>1172890</v>
      </c>
      <c r="D125" s="349" t="s">
        <v>620</v>
      </c>
      <c r="E125" s="349">
        <v>2018</v>
      </c>
      <c r="F125" s="350">
        <v>11.6</v>
      </c>
      <c r="G125" s="350">
        <v>0</v>
      </c>
      <c r="H125" s="350">
        <v>473027.59</v>
      </c>
      <c r="I125" s="351"/>
      <c r="J125" s="350">
        <v>36891.9</v>
      </c>
      <c r="K125" s="350">
        <v>54804.84</v>
      </c>
      <c r="L125" s="350">
        <v>452415.79</v>
      </c>
    </row>
    <row r="126" spans="1:12" ht="39" x14ac:dyDescent="0.25">
      <c r="A126" s="349" t="s">
        <v>618</v>
      </c>
      <c r="B126" s="349" t="s">
        <v>1273</v>
      </c>
      <c r="C126" s="349">
        <v>4531517</v>
      </c>
      <c r="D126" s="349" t="s">
        <v>623</v>
      </c>
      <c r="E126" s="349">
        <v>2018</v>
      </c>
      <c r="F126" s="350">
        <v>1.3</v>
      </c>
      <c r="G126" s="350">
        <v>0</v>
      </c>
      <c r="H126" s="350">
        <v>489506.92</v>
      </c>
      <c r="I126" s="351"/>
      <c r="J126" s="350">
        <v>29642.31</v>
      </c>
      <c r="K126" s="350">
        <v>23126.15</v>
      </c>
      <c r="L126" s="350">
        <v>465631.54</v>
      </c>
    </row>
    <row r="127" spans="1:12" ht="26.25" x14ac:dyDescent="0.25">
      <c r="A127" s="349" t="s">
        <v>626</v>
      </c>
      <c r="B127" s="349" t="s">
        <v>1155</v>
      </c>
      <c r="C127" s="349">
        <v>7702105</v>
      </c>
      <c r="D127" s="349" t="s">
        <v>386</v>
      </c>
      <c r="E127" s="349">
        <v>2018</v>
      </c>
      <c r="F127" s="350">
        <v>3.9</v>
      </c>
      <c r="G127" s="350">
        <v>0</v>
      </c>
      <c r="H127" s="350">
        <v>461486.67</v>
      </c>
      <c r="I127" s="351"/>
      <c r="J127" s="350">
        <v>5795.39</v>
      </c>
      <c r="K127" s="350">
        <v>142449.74</v>
      </c>
      <c r="L127" s="350">
        <v>379192.56</v>
      </c>
    </row>
    <row r="128" spans="1:12" ht="39" x14ac:dyDescent="0.25">
      <c r="A128" s="349" t="s">
        <v>630</v>
      </c>
      <c r="B128" s="349" t="s">
        <v>1155</v>
      </c>
      <c r="C128" s="349">
        <v>1671513</v>
      </c>
      <c r="D128" s="349" t="s">
        <v>632</v>
      </c>
      <c r="E128" s="349">
        <v>2018</v>
      </c>
      <c r="F128" s="350">
        <v>2.25</v>
      </c>
      <c r="G128" s="350">
        <v>0</v>
      </c>
      <c r="H128" s="350">
        <v>342331.11</v>
      </c>
      <c r="I128" s="351"/>
      <c r="J128" s="350">
        <v>7298.22</v>
      </c>
      <c r="K128" s="350">
        <v>55285.41</v>
      </c>
      <c r="L128" s="350">
        <v>333424.08</v>
      </c>
    </row>
    <row r="129" spans="1:12" ht="39" x14ac:dyDescent="0.25">
      <c r="A129" s="349" t="s">
        <v>636</v>
      </c>
      <c r="B129" s="349" t="s">
        <v>1155</v>
      </c>
      <c r="C129" s="349">
        <v>5141443</v>
      </c>
      <c r="D129" s="349" t="s">
        <v>1197</v>
      </c>
      <c r="E129" s="349">
        <v>2018</v>
      </c>
      <c r="F129" s="350">
        <v>1.2</v>
      </c>
      <c r="G129" s="350">
        <v>0</v>
      </c>
      <c r="H129" s="350">
        <v>329355.83</v>
      </c>
      <c r="I129" s="351"/>
      <c r="J129" s="350">
        <v>1190.83</v>
      </c>
      <c r="K129" s="350">
        <v>35824.17</v>
      </c>
      <c r="L129" s="350">
        <v>289325</v>
      </c>
    </row>
    <row r="130" spans="1:12" ht="39" x14ac:dyDescent="0.25">
      <c r="A130" s="349" t="s">
        <v>640</v>
      </c>
      <c r="B130" s="349" t="s">
        <v>1472</v>
      </c>
      <c r="C130" s="349">
        <v>3994122</v>
      </c>
      <c r="D130" s="349" t="s">
        <v>642</v>
      </c>
      <c r="E130" s="349">
        <v>2018</v>
      </c>
      <c r="F130" s="350">
        <v>3.2</v>
      </c>
      <c r="G130" s="350">
        <v>0</v>
      </c>
      <c r="H130" s="350">
        <v>440622.81</v>
      </c>
      <c r="I130" s="351"/>
      <c r="J130" s="350">
        <v>20611.560000000001</v>
      </c>
      <c r="K130" s="350">
        <v>90597.51</v>
      </c>
      <c r="L130" s="350">
        <v>676755.31</v>
      </c>
    </row>
    <row r="131" spans="1:12" ht="39" x14ac:dyDescent="0.25">
      <c r="A131" s="349" t="s">
        <v>647</v>
      </c>
      <c r="B131" s="349" t="s">
        <v>1427</v>
      </c>
      <c r="C131" s="349">
        <v>1272659</v>
      </c>
      <c r="D131" s="349" t="s">
        <v>647</v>
      </c>
      <c r="E131" s="349">
        <v>2018</v>
      </c>
      <c r="F131" s="350">
        <v>2</v>
      </c>
      <c r="G131" s="350">
        <v>0</v>
      </c>
      <c r="H131" s="350">
        <v>449083.76</v>
      </c>
      <c r="I131" s="351"/>
      <c r="J131" s="350">
        <v>28618.5</v>
      </c>
      <c r="K131" s="350">
        <v>27572.58</v>
      </c>
      <c r="L131" s="350">
        <v>505274.83</v>
      </c>
    </row>
    <row r="132" spans="1:12" ht="51.75" x14ac:dyDescent="0.25">
      <c r="A132" s="349" t="s">
        <v>652</v>
      </c>
      <c r="B132" s="349" t="s">
        <v>1155</v>
      </c>
      <c r="C132" s="349">
        <v>1514566</v>
      </c>
      <c r="D132" s="349" t="s">
        <v>1169</v>
      </c>
      <c r="E132" s="349">
        <v>2018</v>
      </c>
      <c r="F132" s="350">
        <v>3.5</v>
      </c>
      <c r="G132" s="350">
        <v>0.6</v>
      </c>
      <c r="H132" s="350">
        <v>351688.86</v>
      </c>
      <c r="I132" s="350">
        <v>0</v>
      </c>
      <c r="J132" s="350">
        <v>6073.14</v>
      </c>
      <c r="K132" s="350">
        <v>64639.14</v>
      </c>
      <c r="L132" s="350">
        <v>422401.14</v>
      </c>
    </row>
    <row r="133" spans="1:12" ht="64.5" x14ac:dyDescent="0.25">
      <c r="A133" s="349" t="s">
        <v>655</v>
      </c>
      <c r="B133" s="349" t="s">
        <v>1155</v>
      </c>
      <c r="C133" s="349">
        <v>4936413</v>
      </c>
      <c r="D133" s="349" t="s">
        <v>657</v>
      </c>
      <c r="E133" s="349">
        <v>2018</v>
      </c>
      <c r="F133" s="350">
        <v>3.21</v>
      </c>
      <c r="G133" s="350">
        <v>0</v>
      </c>
      <c r="H133" s="350">
        <v>484851.4</v>
      </c>
      <c r="I133" s="351"/>
      <c r="J133" s="350">
        <v>22601.4</v>
      </c>
      <c r="K133" s="350">
        <v>319624.24</v>
      </c>
      <c r="L133" s="350">
        <v>701467.38</v>
      </c>
    </row>
    <row r="134" spans="1:12" ht="26.25" x14ac:dyDescent="0.25">
      <c r="A134" s="349" t="s">
        <v>661</v>
      </c>
      <c r="B134" s="349" t="s">
        <v>1155</v>
      </c>
      <c r="C134" s="349">
        <v>8522302</v>
      </c>
      <c r="D134" s="349" t="s">
        <v>386</v>
      </c>
      <c r="E134" s="349">
        <v>2018</v>
      </c>
      <c r="F134" s="350">
        <v>2.5</v>
      </c>
      <c r="G134" s="350">
        <v>0</v>
      </c>
      <c r="H134" s="350">
        <v>425732</v>
      </c>
      <c r="I134" s="351"/>
      <c r="J134" s="350">
        <v>84579.21</v>
      </c>
      <c r="K134" s="350">
        <v>203436.46</v>
      </c>
      <c r="L134" s="350">
        <v>411095.27</v>
      </c>
    </row>
    <row r="135" spans="1:12" ht="39" x14ac:dyDescent="0.25">
      <c r="A135" s="349" t="s">
        <v>663</v>
      </c>
      <c r="B135" s="349" t="s">
        <v>1155</v>
      </c>
      <c r="C135" s="349">
        <v>6697882</v>
      </c>
      <c r="D135" s="349" t="s">
        <v>665</v>
      </c>
      <c r="E135" s="349">
        <v>2018</v>
      </c>
      <c r="F135" s="350">
        <v>1.7</v>
      </c>
      <c r="G135" s="350">
        <v>0.2</v>
      </c>
      <c r="H135" s="350">
        <v>297798.98</v>
      </c>
      <c r="I135" s="350">
        <v>580108.69999999995</v>
      </c>
      <c r="J135" s="350">
        <v>9679.41</v>
      </c>
      <c r="K135" s="350">
        <v>48982.85</v>
      </c>
      <c r="L135" s="350">
        <v>372749.32</v>
      </c>
    </row>
    <row r="136" spans="1:12" ht="39" x14ac:dyDescent="0.25">
      <c r="A136" s="349" t="s">
        <v>666</v>
      </c>
      <c r="B136" s="349" t="s">
        <v>1155</v>
      </c>
      <c r="C136" s="349">
        <v>5204562</v>
      </c>
      <c r="D136" s="349" t="s">
        <v>670</v>
      </c>
      <c r="E136" s="349">
        <v>2018</v>
      </c>
      <c r="F136" s="350">
        <v>5.7</v>
      </c>
      <c r="G136" s="350">
        <v>0</v>
      </c>
      <c r="H136" s="350">
        <v>338219.3</v>
      </c>
      <c r="I136" s="351"/>
      <c r="J136" s="350">
        <v>29787.95</v>
      </c>
      <c r="K136" s="350">
        <v>34844.04</v>
      </c>
      <c r="L136" s="350">
        <v>328115.32</v>
      </c>
    </row>
    <row r="137" spans="1:12" ht="39" x14ac:dyDescent="0.25">
      <c r="A137" s="349" t="s">
        <v>666</v>
      </c>
      <c r="B137" s="349" t="s">
        <v>1273</v>
      </c>
      <c r="C137" s="349">
        <v>2813433</v>
      </c>
      <c r="D137" s="349" t="s">
        <v>668</v>
      </c>
      <c r="E137" s="349">
        <v>2018</v>
      </c>
      <c r="F137" s="350">
        <v>2.7</v>
      </c>
      <c r="G137" s="350">
        <v>0</v>
      </c>
      <c r="H137" s="350">
        <v>399068.71</v>
      </c>
      <c r="I137" s="351"/>
      <c r="J137" s="350">
        <v>8239.57</v>
      </c>
      <c r="K137" s="350">
        <v>16882.330000000002</v>
      </c>
      <c r="L137" s="350">
        <v>335528.76</v>
      </c>
    </row>
    <row r="138" spans="1:12" ht="26.25" x14ac:dyDescent="0.25">
      <c r="A138" s="349" t="s">
        <v>671</v>
      </c>
      <c r="B138" s="349" t="s">
        <v>1155</v>
      </c>
      <c r="C138" s="349">
        <v>9666094</v>
      </c>
      <c r="D138" s="349" t="s">
        <v>386</v>
      </c>
      <c r="E138" s="349">
        <v>2018</v>
      </c>
      <c r="F138" s="350">
        <v>5.4</v>
      </c>
      <c r="G138" s="350">
        <v>1</v>
      </c>
      <c r="H138" s="350">
        <v>408980</v>
      </c>
      <c r="I138" s="350">
        <v>697418</v>
      </c>
      <c r="J138" s="350">
        <v>23200.74</v>
      </c>
      <c r="K138" s="350">
        <v>59614.31</v>
      </c>
      <c r="L138" s="350">
        <v>513017.84</v>
      </c>
    </row>
    <row r="139" spans="1:12" ht="39" x14ac:dyDescent="0.25">
      <c r="A139" s="349" t="s">
        <v>674</v>
      </c>
      <c r="B139" s="349" t="s">
        <v>1155</v>
      </c>
      <c r="C139" s="349">
        <v>3810187</v>
      </c>
      <c r="D139" s="349" t="s">
        <v>676</v>
      </c>
      <c r="E139" s="349">
        <v>2018</v>
      </c>
      <c r="F139" s="350">
        <v>9</v>
      </c>
      <c r="G139" s="350">
        <v>5</v>
      </c>
      <c r="H139" s="350">
        <v>419552.71</v>
      </c>
      <c r="I139" s="350">
        <v>99246.399999999994</v>
      </c>
      <c r="J139" s="350">
        <v>51645.47</v>
      </c>
      <c r="K139" s="350">
        <v>79538.98</v>
      </c>
      <c r="L139" s="350">
        <v>392797.86</v>
      </c>
    </row>
    <row r="140" spans="1:12" ht="26.25" x14ac:dyDescent="0.25">
      <c r="A140" s="349" t="s">
        <v>674</v>
      </c>
      <c r="B140" s="349" t="s">
        <v>1472</v>
      </c>
      <c r="C140" s="349">
        <v>5945407</v>
      </c>
      <c r="D140" s="349" t="s">
        <v>674</v>
      </c>
      <c r="E140" s="349">
        <v>2018</v>
      </c>
      <c r="F140" s="350">
        <v>1.25</v>
      </c>
      <c r="G140" s="350">
        <v>4</v>
      </c>
      <c r="H140" s="350">
        <v>478346.11</v>
      </c>
      <c r="I140" s="350">
        <v>3456.5</v>
      </c>
      <c r="J140" s="350">
        <v>16974.37</v>
      </c>
      <c r="K140" s="350">
        <v>28285.89</v>
      </c>
      <c r="L140" s="350">
        <v>534667.17000000004</v>
      </c>
    </row>
    <row r="141" spans="1:12" ht="39" x14ac:dyDescent="0.25">
      <c r="A141" s="349" t="s">
        <v>678</v>
      </c>
      <c r="B141" s="349" t="s">
        <v>1155</v>
      </c>
      <c r="C141" s="349">
        <v>7259548</v>
      </c>
      <c r="D141" s="349" t="s">
        <v>386</v>
      </c>
      <c r="E141" s="349">
        <v>2018</v>
      </c>
      <c r="F141" s="350">
        <v>15.54</v>
      </c>
      <c r="G141" s="350">
        <v>3.75</v>
      </c>
      <c r="H141" s="350">
        <v>406429.93</v>
      </c>
      <c r="I141" s="350">
        <v>498919.55</v>
      </c>
      <c r="J141" s="350">
        <v>24116.48</v>
      </c>
      <c r="K141" s="350">
        <v>25467.8</v>
      </c>
      <c r="L141" s="350">
        <v>449468.34</v>
      </c>
    </row>
    <row r="142" spans="1:12" ht="39" x14ac:dyDescent="0.25">
      <c r="A142" s="349" t="s">
        <v>678</v>
      </c>
      <c r="B142" s="349" t="s">
        <v>1250</v>
      </c>
      <c r="C142" s="349">
        <v>3357963</v>
      </c>
      <c r="D142" s="349" t="s">
        <v>1259</v>
      </c>
      <c r="E142" s="349">
        <v>2018</v>
      </c>
      <c r="F142" s="350">
        <v>1.9</v>
      </c>
      <c r="G142" s="350">
        <v>0.8</v>
      </c>
      <c r="H142" s="350">
        <v>502426.86</v>
      </c>
      <c r="I142" s="350">
        <v>421256.21</v>
      </c>
      <c r="J142" s="350">
        <v>57894.74</v>
      </c>
      <c r="K142" s="350">
        <v>12401.94</v>
      </c>
      <c r="L142" s="350">
        <v>700546.68</v>
      </c>
    </row>
    <row r="143" spans="1:12" ht="39" x14ac:dyDescent="0.25">
      <c r="A143" s="349" t="s">
        <v>678</v>
      </c>
      <c r="B143" s="349" t="s">
        <v>1316</v>
      </c>
      <c r="C143" s="349">
        <v>1817339</v>
      </c>
      <c r="D143" s="349" t="s">
        <v>1259</v>
      </c>
      <c r="E143" s="349">
        <v>2018</v>
      </c>
      <c r="F143" s="350">
        <v>17.100000000000001</v>
      </c>
      <c r="G143" s="350">
        <v>5.85</v>
      </c>
      <c r="H143" s="350">
        <v>503697.31</v>
      </c>
      <c r="I143" s="350">
        <v>374701.89</v>
      </c>
      <c r="J143" s="350">
        <v>74365.61</v>
      </c>
      <c r="K143" s="350">
        <v>38100.480000000003</v>
      </c>
      <c r="L143" s="350">
        <v>211259.5</v>
      </c>
    </row>
    <row r="144" spans="1:12" ht="39" x14ac:dyDescent="0.25">
      <c r="A144" s="349" t="s">
        <v>682</v>
      </c>
      <c r="B144" s="349" t="s">
        <v>1155</v>
      </c>
      <c r="C144" s="349">
        <v>9940787</v>
      </c>
      <c r="D144" s="349" t="s">
        <v>386</v>
      </c>
      <c r="E144" s="349">
        <v>2018</v>
      </c>
      <c r="F144" s="350">
        <v>9.6300000000000008</v>
      </c>
      <c r="G144" s="350">
        <v>1.23</v>
      </c>
      <c r="H144" s="350">
        <v>452821.39</v>
      </c>
      <c r="I144" s="350">
        <v>503930.08</v>
      </c>
      <c r="J144" s="350">
        <v>18208.93</v>
      </c>
      <c r="K144" s="350">
        <v>41754.1</v>
      </c>
      <c r="L144" s="350">
        <v>455047.25</v>
      </c>
    </row>
    <row r="145" spans="1:12" ht="39" x14ac:dyDescent="0.25">
      <c r="A145" s="349" t="s">
        <v>682</v>
      </c>
      <c r="B145" s="349" t="s">
        <v>1250</v>
      </c>
      <c r="C145" s="349">
        <v>4075651</v>
      </c>
      <c r="D145" s="349" t="s">
        <v>684</v>
      </c>
      <c r="E145" s="349">
        <v>2018</v>
      </c>
      <c r="F145" s="350">
        <v>3.16</v>
      </c>
      <c r="G145" s="350">
        <v>1.48</v>
      </c>
      <c r="H145" s="350">
        <v>552413.92000000004</v>
      </c>
      <c r="I145" s="350">
        <v>453958.11</v>
      </c>
      <c r="J145" s="350">
        <v>40656.33</v>
      </c>
      <c r="K145" s="350">
        <v>145905.06</v>
      </c>
      <c r="L145" s="350">
        <v>602837.66</v>
      </c>
    </row>
    <row r="146" spans="1:12" ht="39" x14ac:dyDescent="0.25">
      <c r="A146" s="349" t="s">
        <v>682</v>
      </c>
      <c r="B146" s="349" t="s">
        <v>1273</v>
      </c>
      <c r="C146" s="349">
        <v>2506443</v>
      </c>
      <c r="D146" s="349" t="s">
        <v>287</v>
      </c>
      <c r="E146" s="349">
        <v>2018</v>
      </c>
      <c r="F146" s="350">
        <v>2.38</v>
      </c>
      <c r="G146" s="350">
        <v>1.21</v>
      </c>
      <c r="H146" s="350">
        <v>460543.7</v>
      </c>
      <c r="I146" s="350">
        <v>487404.96</v>
      </c>
      <c r="J146" s="350">
        <v>56457.56</v>
      </c>
      <c r="K146" s="350">
        <v>153576.04999999999</v>
      </c>
      <c r="L146" s="350">
        <v>591461.77</v>
      </c>
    </row>
    <row r="147" spans="1:12" ht="39" x14ac:dyDescent="0.25">
      <c r="A147" s="349" t="s">
        <v>682</v>
      </c>
      <c r="B147" s="349" t="s">
        <v>1316</v>
      </c>
      <c r="C147" s="349">
        <v>4782003</v>
      </c>
      <c r="D147" s="349" t="s">
        <v>390</v>
      </c>
      <c r="E147" s="349">
        <v>2018</v>
      </c>
      <c r="F147" s="350">
        <v>27.13</v>
      </c>
      <c r="G147" s="350">
        <v>11.43</v>
      </c>
      <c r="H147" s="350">
        <v>552948.51</v>
      </c>
      <c r="I147" s="350">
        <v>390581.19</v>
      </c>
      <c r="J147" s="350">
        <v>44562.15</v>
      </c>
      <c r="K147" s="350">
        <v>131737.19</v>
      </c>
      <c r="L147" s="350">
        <v>501689.16</v>
      </c>
    </row>
    <row r="148" spans="1:12" ht="26.25" x14ac:dyDescent="0.25">
      <c r="A148" s="349" t="s">
        <v>690</v>
      </c>
      <c r="B148" s="349" t="s">
        <v>1155</v>
      </c>
      <c r="C148" s="349">
        <v>9949795</v>
      </c>
      <c r="D148" s="349" t="s">
        <v>692</v>
      </c>
      <c r="E148" s="349">
        <v>2018</v>
      </c>
      <c r="F148" s="350">
        <v>2.75</v>
      </c>
      <c r="G148" s="350">
        <v>0</v>
      </c>
      <c r="H148" s="350">
        <v>382528</v>
      </c>
      <c r="I148" s="351"/>
      <c r="J148" s="350">
        <v>101134.18</v>
      </c>
      <c r="K148" s="350">
        <v>211505.46</v>
      </c>
      <c r="L148" s="350">
        <v>593464</v>
      </c>
    </row>
    <row r="149" spans="1:12" ht="51.75" x14ac:dyDescent="0.25">
      <c r="A149" s="349" t="s">
        <v>694</v>
      </c>
      <c r="B149" s="349" t="s">
        <v>1155</v>
      </c>
      <c r="C149" s="349">
        <v>2540162</v>
      </c>
      <c r="D149" s="349" t="s">
        <v>694</v>
      </c>
      <c r="E149" s="349">
        <v>2018</v>
      </c>
      <c r="F149" s="350">
        <v>7.25</v>
      </c>
      <c r="G149" s="350">
        <v>1</v>
      </c>
      <c r="H149" s="350">
        <v>277599.71999999997</v>
      </c>
      <c r="I149" s="350">
        <v>365249</v>
      </c>
      <c r="J149" s="350">
        <v>56974.55</v>
      </c>
      <c r="K149" s="350">
        <v>96929.46</v>
      </c>
      <c r="L149" s="350">
        <v>358840.28</v>
      </c>
    </row>
    <row r="150" spans="1:12" ht="26.25" x14ac:dyDescent="0.25">
      <c r="A150" s="349" t="s">
        <v>698</v>
      </c>
      <c r="B150" s="349" t="s">
        <v>1472</v>
      </c>
      <c r="C150" s="349">
        <v>2390992</v>
      </c>
      <c r="D150" s="349" t="s">
        <v>1473</v>
      </c>
      <c r="E150" s="349">
        <v>2018</v>
      </c>
      <c r="F150" s="350">
        <v>1.65</v>
      </c>
      <c r="G150" s="350">
        <v>0.16</v>
      </c>
      <c r="H150" s="350">
        <v>294710.40999999997</v>
      </c>
      <c r="I150" s="350">
        <v>319208.31</v>
      </c>
      <c r="J150" s="350">
        <v>59007.88</v>
      </c>
      <c r="K150" s="350">
        <v>78558.42</v>
      </c>
      <c r="L150" s="350">
        <v>463230.24</v>
      </c>
    </row>
    <row r="151" spans="1:12" ht="26.25" x14ac:dyDescent="0.25">
      <c r="A151" s="349" t="s">
        <v>1517</v>
      </c>
      <c r="B151" s="349" t="s">
        <v>1382</v>
      </c>
      <c r="C151" s="349">
        <v>3028344</v>
      </c>
      <c r="D151" s="349" t="s">
        <v>1517</v>
      </c>
      <c r="E151" s="349">
        <v>2018</v>
      </c>
      <c r="F151" s="350">
        <v>6.25</v>
      </c>
      <c r="G151" s="350">
        <v>3.5</v>
      </c>
      <c r="H151" s="350">
        <v>382271.84</v>
      </c>
      <c r="I151" s="350">
        <v>392641.71</v>
      </c>
      <c r="J151" s="350">
        <v>187164.43</v>
      </c>
      <c r="K151" s="350">
        <v>82320.490000000005</v>
      </c>
      <c r="L151" s="350">
        <v>700587.64</v>
      </c>
    </row>
    <row r="152" spans="1:12" ht="64.5" x14ac:dyDescent="0.25">
      <c r="A152" s="349" t="s">
        <v>708</v>
      </c>
      <c r="B152" s="349" t="s">
        <v>1336</v>
      </c>
      <c r="C152" s="349">
        <v>3523407</v>
      </c>
      <c r="D152" s="349" t="s">
        <v>1531</v>
      </c>
      <c r="E152" s="349">
        <v>2018</v>
      </c>
      <c r="F152" s="350">
        <v>2.4500000000000002</v>
      </c>
      <c r="G152" s="350">
        <v>0.25</v>
      </c>
      <c r="H152" s="350">
        <v>381224.49</v>
      </c>
      <c r="I152" s="350">
        <v>801048</v>
      </c>
      <c r="J152" s="350">
        <v>64900</v>
      </c>
      <c r="K152" s="350">
        <v>120193.06</v>
      </c>
      <c r="L152" s="350">
        <v>540299.18000000005</v>
      </c>
    </row>
    <row r="153" spans="1:12" ht="39" x14ac:dyDescent="0.25">
      <c r="A153" s="349" t="s">
        <v>713</v>
      </c>
      <c r="B153" s="349" t="s">
        <v>1472</v>
      </c>
      <c r="C153" s="349">
        <v>3054253</v>
      </c>
      <c r="D153" s="349" t="s">
        <v>1476</v>
      </c>
      <c r="E153" s="349">
        <v>2018</v>
      </c>
      <c r="F153" s="350">
        <v>4</v>
      </c>
      <c r="G153" s="350">
        <v>1</v>
      </c>
      <c r="H153" s="350">
        <v>63327</v>
      </c>
      <c r="I153" s="350">
        <v>20200</v>
      </c>
      <c r="J153" s="350">
        <v>7956.5</v>
      </c>
      <c r="K153" s="350">
        <v>9059.25</v>
      </c>
      <c r="L153" s="350">
        <v>85392.75</v>
      </c>
    </row>
    <row r="154" spans="1:12" ht="64.5" x14ac:dyDescent="0.25">
      <c r="A154" s="349" t="s">
        <v>718</v>
      </c>
      <c r="B154" s="349" t="s">
        <v>1055</v>
      </c>
      <c r="C154" s="349">
        <v>5133257</v>
      </c>
      <c r="D154" s="349" t="s">
        <v>725</v>
      </c>
      <c r="E154" s="349">
        <v>2018</v>
      </c>
      <c r="F154" s="350">
        <v>1.83</v>
      </c>
      <c r="G154" s="350">
        <v>0</v>
      </c>
      <c r="H154" s="350">
        <v>513422.95</v>
      </c>
      <c r="I154" s="351"/>
      <c r="J154" s="350">
        <v>54047</v>
      </c>
      <c r="K154" s="350">
        <v>72010.91</v>
      </c>
      <c r="L154" s="350">
        <v>687171.02</v>
      </c>
    </row>
    <row r="155" spans="1:12" ht="39" x14ac:dyDescent="0.25">
      <c r="A155" s="349" t="s">
        <v>718</v>
      </c>
      <c r="B155" s="349" t="s">
        <v>1518</v>
      </c>
      <c r="C155" s="349">
        <v>2757263</v>
      </c>
      <c r="D155" s="349" t="s">
        <v>721</v>
      </c>
      <c r="E155" s="349">
        <v>2018</v>
      </c>
      <c r="F155" s="350">
        <v>1.1499999999999999</v>
      </c>
      <c r="G155" s="350">
        <v>0</v>
      </c>
      <c r="H155" s="350">
        <v>517826.09</v>
      </c>
      <c r="I155" s="351"/>
      <c r="J155" s="350">
        <v>54046.96</v>
      </c>
      <c r="K155" s="350">
        <v>65107.98</v>
      </c>
      <c r="L155" s="350">
        <v>668220.16000000003</v>
      </c>
    </row>
    <row r="156" spans="1:12" ht="26.25" x14ac:dyDescent="0.25">
      <c r="A156" s="349" t="s">
        <v>1297</v>
      </c>
      <c r="B156" s="349" t="s">
        <v>1282</v>
      </c>
      <c r="C156" s="349">
        <v>6684022</v>
      </c>
      <c r="D156" s="349" t="s">
        <v>1296</v>
      </c>
      <c r="E156" s="349">
        <v>2018</v>
      </c>
      <c r="F156" s="350">
        <v>6.85</v>
      </c>
      <c r="G156" s="350">
        <v>2.7</v>
      </c>
      <c r="H156" s="350">
        <v>349115.33</v>
      </c>
      <c r="I156" s="350">
        <v>513910</v>
      </c>
      <c r="J156" s="350">
        <v>67282.37</v>
      </c>
      <c r="K156" s="350">
        <v>102662.26</v>
      </c>
      <c r="L156" s="350">
        <v>576202.43999999994</v>
      </c>
    </row>
    <row r="157" spans="1:12" ht="39" x14ac:dyDescent="0.25">
      <c r="A157" s="349" t="s">
        <v>1297</v>
      </c>
      <c r="B157" s="349" t="s">
        <v>1472</v>
      </c>
      <c r="C157" s="349">
        <v>7381195</v>
      </c>
      <c r="D157" s="349" t="s">
        <v>731</v>
      </c>
      <c r="E157" s="349">
        <v>2018</v>
      </c>
      <c r="F157" s="350">
        <v>1.1499999999999999</v>
      </c>
      <c r="G157" s="350">
        <v>0.19</v>
      </c>
      <c r="H157" s="350">
        <v>463624.35</v>
      </c>
      <c r="I157" s="350">
        <v>652594.74</v>
      </c>
      <c r="J157" s="350">
        <v>47134.52</v>
      </c>
      <c r="K157" s="350">
        <v>62603.74</v>
      </c>
      <c r="L157" s="350">
        <v>681182.61</v>
      </c>
    </row>
    <row r="158" spans="1:12" ht="39" x14ac:dyDescent="0.25">
      <c r="A158" s="349" t="s">
        <v>733</v>
      </c>
      <c r="B158" s="349" t="s">
        <v>1055</v>
      </c>
      <c r="C158" s="349">
        <v>3040542</v>
      </c>
      <c r="D158" s="349" t="s">
        <v>735</v>
      </c>
      <c r="E158" s="349">
        <v>2018</v>
      </c>
      <c r="F158" s="350">
        <v>1.6</v>
      </c>
      <c r="G158" s="350">
        <v>0.5</v>
      </c>
      <c r="H158" s="350">
        <v>246185.31</v>
      </c>
      <c r="I158" s="350">
        <v>450991.62</v>
      </c>
      <c r="J158" s="350">
        <v>59714.06</v>
      </c>
      <c r="K158" s="350">
        <v>92128.25</v>
      </c>
      <c r="L158" s="350">
        <v>538962.5</v>
      </c>
    </row>
    <row r="159" spans="1:12" ht="51.75" x14ac:dyDescent="0.25">
      <c r="A159" s="349" t="s">
        <v>733</v>
      </c>
      <c r="B159" s="349" t="s">
        <v>1055</v>
      </c>
      <c r="C159" s="349">
        <v>8849001</v>
      </c>
      <c r="D159" s="349" t="s">
        <v>740</v>
      </c>
      <c r="E159" s="349">
        <v>2018</v>
      </c>
      <c r="F159" s="350">
        <v>1.8</v>
      </c>
      <c r="G159" s="350">
        <v>0.65</v>
      </c>
      <c r="H159" s="350">
        <v>409396.61</v>
      </c>
      <c r="I159" s="350">
        <v>381184.11</v>
      </c>
      <c r="J159" s="350">
        <v>124816.39</v>
      </c>
      <c r="K159" s="350">
        <v>76414.960000000006</v>
      </c>
      <c r="L159" s="350">
        <v>748277.78</v>
      </c>
    </row>
    <row r="160" spans="1:12" ht="39" x14ac:dyDescent="0.25">
      <c r="A160" s="349" t="s">
        <v>733</v>
      </c>
      <c r="B160" s="349" t="s">
        <v>1055</v>
      </c>
      <c r="C160" s="349">
        <v>8984742</v>
      </c>
      <c r="D160" s="349" t="s">
        <v>744</v>
      </c>
      <c r="E160" s="349">
        <v>2018</v>
      </c>
      <c r="F160" s="350">
        <v>1.75</v>
      </c>
      <c r="G160" s="350">
        <v>0.5</v>
      </c>
      <c r="H160" s="350">
        <v>355873.33</v>
      </c>
      <c r="I160" s="350">
        <v>434336.04</v>
      </c>
      <c r="J160" s="350">
        <v>11816.02</v>
      </c>
      <c r="K160" s="350">
        <v>55128.93</v>
      </c>
      <c r="L160" s="350">
        <v>546914.29</v>
      </c>
    </row>
    <row r="161" spans="1:12" ht="39" x14ac:dyDescent="0.25">
      <c r="A161" s="349" t="s">
        <v>748</v>
      </c>
      <c r="B161" s="349" t="s">
        <v>1155</v>
      </c>
      <c r="C161" s="349">
        <v>9196018</v>
      </c>
      <c r="D161" s="349" t="s">
        <v>750</v>
      </c>
      <c r="E161" s="349">
        <v>2018</v>
      </c>
      <c r="F161" s="350">
        <v>4.09</v>
      </c>
      <c r="G161" s="350">
        <v>1.1299999999999999</v>
      </c>
      <c r="H161" s="350">
        <v>330413.06</v>
      </c>
      <c r="I161" s="350">
        <v>382024.12</v>
      </c>
      <c r="J161" s="350">
        <v>11894</v>
      </c>
      <c r="K161" s="350">
        <v>41196.199999999997</v>
      </c>
      <c r="L161" s="350">
        <v>400309.44</v>
      </c>
    </row>
    <row r="162" spans="1:12" ht="26.25" x14ac:dyDescent="0.25">
      <c r="A162" s="349" t="s">
        <v>753</v>
      </c>
      <c r="B162" s="349" t="s">
        <v>1155</v>
      </c>
      <c r="C162" s="349">
        <v>9097155</v>
      </c>
      <c r="D162" s="349" t="s">
        <v>1219</v>
      </c>
      <c r="E162" s="349">
        <v>2018</v>
      </c>
      <c r="F162" s="350">
        <v>8.99</v>
      </c>
      <c r="G162" s="350">
        <v>1.1499999999999999</v>
      </c>
      <c r="H162" s="350">
        <v>383621.58</v>
      </c>
      <c r="I162" s="350">
        <v>1042290.44</v>
      </c>
      <c r="J162" s="350">
        <v>37399.22</v>
      </c>
      <c r="K162" s="350">
        <v>191205.45</v>
      </c>
      <c r="L162" s="350">
        <v>521219.68</v>
      </c>
    </row>
    <row r="163" spans="1:12" ht="26.25" x14ac:dyDescent="0.25">
      <c r="A163" s="349" t="s">
        <v>753</v>
      </c>
      <c r="B163" s="349" t="s">
        <v>1250</v>
      </c>
      <c r="C163" s="349">
        <v>2189349</v>
      </c>
      <c r="D163" s="349" t="s">
        <v>753</v>
      </c>
      <c r="E163" s="349">
        <v>2018</v>
      </c>
      <c r="F163" s="350">
        <v>2.25</v>
      </c>
      <c r="G163" s="350">
        <v>0.05</v>
      </c>
      <c r="H163" s="350">
        <v>269328.89</v>
      </c>
      <c r="I163" s="350">
        <v>1963720</v>
      </c>
      <c r="J163" s="350">
        <v>4149.78</v>
      </c>
      <c r="K163" s="350">
        <v>53409.78</v>
      </c>
      <c r="L163" s="350">
        <v>346362.22</v>
      </c>
    </row>
    <row r="164" spans="1:12" ht="51.75" x14ac:dyDescent="0.25">
      <c r="A164" s="349" t="s">
        <v>760</v>
      </c>
      <c r="B164" s="349" t="s">
        <v>1055</v>
      </c>
      <c r="C164" s="349">
        <v>6466112</v>
      </c>
      <c r="D164" s="349" t="s">
        <v>760</v>
      </c>
      <c r="E164" s="349">
        <v>2018</v>
      </c>
      <c r="F164" s="350">
        <v>0.45</v>
      </c>
      <c r="G164" s="350">
        <v>0.41</v>
      </c>
      <c r="H164" s="350">
        <v>525864.43999999994</v>
      </c>
      <c r="I164" s="350">
        <v>620156.1</v>
      </c>
      <c r="J164" s="350">
        <v>15777.78</v>
      </c>
      <c r="K164" s="350">
        <v>64520</v>
      </c>
      <c r="L164" s="350">
        <v>1159422.22</v>
      </c>
    </row>
    <row r="165" spans="1:12" ht="64.5" x14ac:dyDescent="0.25">
      <c r="A165" s="349" t="s">
        <v>760</v>
      </c>
      <c r="B165" s="349" t="s">
        <v>1155</v>
      </c>
      <c r="C165" s="349">
        <v>2028356</v>
      </c>
      <c r="D165" s="349" t="s">
        <v>1179</v>
      </c>
      <c r="E165" s="349">
        <v>2018</v>
      </c>
      <c r="F165" s="350">
        <v>12.55</v>
      </c>
      <c r="G165" s="350">
        <v>0.15</v>
      </c>
      <c r="H165" s="350">
        <v>338479.84</v>
      </c>
      <c r="I165" s="350">
        <v>4424813.33</v>
      </c>
      <c r="J165" s="350">
        <v>24571.55</v>
      </c>
      <c r="K165" s="350">
        <v>274988.13</v>
      </c>
      <c r="L165" s="350">
        <v>392657.29</v>
      </c>
    </row>
    <row r="166" spans="1:12" ht="51.75" x14ac:dyDescent="0.25">
      <c r="A166" s="349" t="s">
        <v>760</v>
      </c>
      <c r="B166" s="349" t="s">
        <v>1155</v>
      </c>
      <c r="C166" s="349">
        <v>7741294</v>
      </c>
      <c r="D166" s="349" t="s">
        <v>772</v>
      </c>
      <c r="E166" s="349">
        <v>2018</v>
      </c>
      <c r="F166" s="350">
        <v>3.5</v>
      </c>
      <c r="G166" s="350">
        <v>1.23</v>
      </c>
      <c r="H166" s="350">
        <v>380843.71</v>
      </c>
      <c r="I166" s="350">
        <v>373630.08</v>
      </c>
      <c r="J166" s="350">
        <v>51484</v>
      </c>
      <c r="K166" s="350">
        <v>174960.29</v>
      </c>
      <c r="L166" s="350">
        <v>582800</v>
      </c>
    </row>
    <row r="167" spans="1:12" ht="51.75" x14ac:dyDescent="0.25">
      <c r="A167" s="349" t="s">
        <v>760</v>
      </c>
      <c r="B167" s="349" t="s">
        <v>1232</v>
      </c>
      <c r="C167" s="349">
        <v>5947102</v>
      </c>
      <c r="D167" s="349" t="s">
        <v>760</v>
      </c>
      <c r="E167" s="349">
        <v>2018</v>
      </c>
      <c r="F167" s="350">
        <v>0.39</v>
      </c>
      <c r="G167" s="350">
        <v>7.0000000000000007E-2</v>
      </c>
      <c r="H167" s="350">
        <v>841358.97</v>
      </c>
      <c r="I167" s="350">
        <v>585357.14</v>
      </c>
      <c r="J167" s="350">
        <v>92420.51</v>
      </c>
      <c r="K167" s="350">
        <v>320289.74</v>
      </c>
      <c r="L167" s="350">
        <v>1103979.49</v>
      </c>
    </row>
    <row r="168" spans="1:12" ht="77.25" x14ac:dyDescent="0.25">
      <c r="A168" s="349" t="s">
        <v>760</v>
      </c>
      <c r="B168" s="349" t="s">
        <v>1250</v>
      </c>
      <c r="C168" s="349">
        <v>3854293</v>
      </c>
      <c r="D168" s="349" t="s">
        <v>1355</v>
      </c>
      <c r="E168" s="349">
        <v>2018</v>
      </c>
      <c r="F168" s="350">
        <v>16.41</v>
      </c>
      <c r="G168" s="350">
        <v>6.23</v>
      </c>
      <c r="H168" s="350">
        <v>361922.55</v>
      </c>
      <c r="I168" s="350">
        <v>529209.31000000006</v>
      </c>
      <c r="J168" s="350">
        <v>154309.07999999999</v>
      </c>
      <c r="K168" s="350">
        <v>219787.14</v>
      </c>
      <c r="L168" s="350">
        <v>593295.55000000005</v>
      </c>
    </row>
    <row r="169" spans="1:12" ht="51.75" x14ac:dyDescent="0.25">
      <c r="A169" s="349" t="s">
        <v>760</v>
      </c>
      <c r="B169" s="349" t="s">
        <v>1250</v>
      </c>
      <c r="C169" s="349">
        <v>4461551</v>
      </c>
      <c r="D169" s="349" t="s">
        <v>760</v>
      </c>
      <c r="E169" s="349">
        <v>2018</v>
      </c>
      <c r="F169" s="350">
        <v>34.159999999999997</v>
      </c>
      <c r="G169" s="350">
        <v>11.86</v>
      </c>
      <c r="H169" s="350">
        <v>497219</v>
      </c>
      <c r="I169" s="350">
        <v>458721.16</v>
      </c>
      <c r="J169" s="350">
        <v>52528.66</v>
      </c>
      <c r="K169" s="350">
        <v>266598.53999999998</v>
      </c>
      <c r="L169" s="350">
        <v>402175.06</v>
      </c>
    </row>
    <row r="170" spans="1:12" ht="39" x14ac:dyDescent="0.25">
      <c r="A170" s="349" t="s">
        <v>760</v>
      </c>
      <c r="B170" s="349" t="s">
        <v>1311</v>
      </c>
      <c r="C170" s="349">
        <v>4167967</v>
      </c>
      <c r="D170" s="349" t="s">
        <v>1532</v>
      </c>
      <c r="E170" s="349">
        <v>2018</v>
      </c>
      <c r="F170" s="350">
        <v>36.61</v>
      </c>
      <c r="G170" s="350">
        <v>8.5</v>
      </c>
      <c r="H170" s="350">
        <v>396417.95</v>
      </c>
      <c r="I170" s="350">
        <v>420935.77</v>
      </c>
      <c r="J170" s="350">
        <v>137707.21</v>
      </c>
      <c r="K170" s="350">
        <v>211362.55</v>
      </c>
      <c r="L170" s="350">
        <v>429420.76</v>
      </c>
    </row>
    <row r="171" spans="1:12" ht="77.25" x14ac:dyDescent="0.25">
      <c r="A171" s="349" t="s">
        <v>760</v>
      </c>
      <c r="B171" s="349" t="s">
        <v>1346</v>
      </c>
      <c r="C171" s="349">
        <v>6627771</v>
      </c>
      <c r="D171" s="349" t="s">
        <v>1355</v>
      </c>
      <c r="E171" s="349">
        <v>2018</v>
      </c>
      <c r="F171" s="350">
        <v>0.71</v>
      </c>
      <c r="G171" s="350">
        <v>0.21</v>
      </c>
      <c r="H171" s="350">
        <v>505859.16</v>
      </c>
      <c r="I171" s="350">
        <v>599842.86</v>
      </c>
      <c r="J171" s="350">
        <v>375945.07</v>
      </c>
      <c r="K171" s="350">
        <v>300532.39</v>
      </c>
      <c r="L171" s="350">
        <v>738116.9</v>
      </c>
    </row>
    <row r="172" spans="1:12" ht="39" x14ac:dyDescent="0.25">
      <c r="A172" s="349" t="s">
        <v>760</v>
      </c>
      <c r="B172" s="349" t="s">
        <v>1839</v>
      </c>
      <c r="C172" s="349">
        <v>9000004</v>
      </c>
      <c r="D172" s="349" t="s">
        <v>1548</v>
      </c>
      <c r="E172" s="349">
        <v>2018</v>
      </c>
      <c r="F172" s="350">
        <v>4.49</v>
      </c>
      <c r="G172" s="350">
        <v>0.31</v>
      </c>
      <c r="H172" s="350">
        <v>580791.31000000006</v>
      </c>
      <c r="I172" s="350">
        <v>663338.71</v>
      </c>
      <c r="J172" s="350">
        <v>58777.73</v>
      </c>
      <c r="K172" s="350">
        <v>245373.72</v>
      </c>
      <c r="L172" s="350">
        <v>367601.11</v>
      </c>
    </row>
    <row r="173" spans="1:12" ht="39" x14ac:dyDescent="0.25">
      <c r="A173" s="349" t="s">
        <v>760</v>
      </c>
      <c r="B173" s="349" t="s">
        <v>1840</v>
      </c>
      <c r="C173" s="349">
        <v>9000005</v>
      </c>
      <c r="D173" s="349" t="s">
        <v>1550</v>
      </c>
      <c r="E173" s="349">
        <v>2018</v>
      </c>
      <c r="F173" s="350">
        <v>0</v>
      </c>
      <c r="G173" s="350">
        <v>0</v>
      </c>
      <c r="H173" s="351"/>
      <c r="I173" s="351"/>
      <c r="J173" s="351"/>
      <c r="K173" s="351"/>
      <c r="L173" s="351"/>
    </row>
    <row r="174" spans="1:12" ht="51.75" x14ac:dyDescent="0.25">
      <c r="A174" s="349" t="s">
        <v>776</v>
      </c>
      <c r="B174" s="349" t="s">
        <v>1055</v>
      </c>
      <c r="C174" s="349">
        <v>2886510</v>
      </c>
      <c r="D174" s="349" t="s">
        <v>1075</v>
      </c>
      <c r="E174" s="349">
        <v>2018</v>
      </c>
      <c r="F174" s="350">
        <v>3.35</v>
      </c>
      <c r="G174" s="350">
        <v>0.89</v>
      </c>
      <c r="H174" s="350">
        <v>498837.31</v>
      </c>
      <c r="I174" s="350">
        <v>409223.6</v>
      </c>
      <c r="J174" s="350">
        <v>45488.66</v>
      </c>
      <c r="K174" s="350">
        <v>99856.42</v>
      </c>
      <c r="L174" s="350">
        <v>736629.25</v>
      </c>
    </row>
    <row r="175" spans="1:12" ht="64.5" x14ac:dyDescent="0.25">
      <c r="A175" s="349" t="s">
        <v>776</v>
      </c>
      <c r="B175" s="349" t="s">
        <v>1055</v>
      </c>
      <c r="C175" s="349">
        <v>5903063</v>
      </c>
      <c r="D175" s="349" t="s">
        <v>1092</v>
      </c>
      <c r="E175" s="349">
        <v>2018</v>
      </c>
      <c r="F175" s="350">
        <v>1.04</v>
      </c>
      <c r="G175" s="350">
        <v>0.23</v>
      </c>
      <c r="H175" s="350">
        <v>494003.85</v>
      </c>
      <c r="I175" s="350">
        <v>520439.13</v>
      </c>
      <c r="J175" s="350">
        <v>73812.179999999993</v>
      </c>
      <c r="K175" s="350">
        <v>132019.54999999999</v>
      </c>
      <c r="L175" s="350">
        <v>781139.42</v>
      </c>
    </row>
    <row r="176" spans="1:12" ht="51.75" x14ac:dyDescent="0.25">
      <c r="A176" s="349" t="s">
        <v>776</v>
      </c>
      <c r="B176" s="349" t="s">
        <v>1155</v>
      </c>
      <c r="C176" s="349">
        <v>5376966</v>
      </c>
      <c r="D176" s="349" t="s">
        <v>1200</v>
      </c>
      <c r="E176" s="349">
        <v>2018</v>
      </c>
      <c r="F176" s="350">
        <v>30.9</v>
      </c>
      <c r="G176" s="350">
        <v>1.86</v>
      </c>
      <c r="H176" s="350">
        <v>389884.53</v>
      </c>
      <c r="I176" s="350">
        <v>414734.95</v>
      </c>
      <c r="J176" s="350">
        <v>30645.46</v>
      </c>
      <c r="K176" s="350">
        <v>61539.3</v>
      </c>
      <c r="L176" s="350">
        <v>394212.27</v>
      </c>
    </row>
    <row r="177" spans="1:12" ht="26.25" x14ac:dyDescent="0.25">
      <c r="A177" s="349" t="s">
        <v>776</v>
      </c>
      <c r="B177" s="349" t="s">
        <v>1366</v>
      </c>
      <c r="C177" s="349">
        <v>1840658</v>
      </c>
      <c r="D177" s="349" t="s">
        <v>780</v>
      </c>
      <c r="E177" s="349">
        <v>2018</v>
      </c>
      <c r="F177" s="350">
        <v>5.32</v>
      </c>
      <c r="G177" s="350">
        <v>1.53</v>
      </c>
      <c r="H177" s="350">
        <v>464703.01</v>
      </c>
      <c r="I177" s="350">
        <v>451798.69</v>
      </c>
      <c r="J177" s="350">
        <v>116438.35</v>
      </c>
      <c r="K177" s="350">
        <v>143778.20000000001</v>
      </c>
      <c r="L177" s="350">
        <v>778838.53</v>
      </c>
    </row>
    <row r="178" spans="1:12" ht="51.75" x14ac:dyDescent="0.25">
      <c r="A178" s="349" t="s">
        <v>776</v>
      </c>
      <c r="B178" s="349" t="s">
        <v>1382</v>
      </c>
      <c r="C178" s="349">
        <v>1236570</v>
      </c>
      <c r="D178" s="349" t="s">
        <v>1383</v>
      </c>
      <c r="E178" s="349">
        <v>2018</v>
      </c>
      <c r="F178" s="350">
        <v>15.92</v>
      </c>
      <c r="G178" s="350">
        <v>3.16</v>
      </c>
      <c r="H178" s="350">
        <v>437547.36</v>
      </c>
      <c r="I178" s="350">
        <v>427764.56</v>
      </c>
      <c r="J178" s="350">
        <v>98485.87</v>
      </c>
      <c r="K178" s="350">
        <v>88209.49</v>
      </c>
      <c r="L178" s="350">
        <v>613545.23</v>
      </c>
    </row>
    <row r="179" spans="1:12" ht="39" x14ac:dyDescent="0.25">
      <c r="A179" s="349" t="s">
        <v>776</v>
      </c>
      <c r="B179" s="349" t="s">
        <v>1382</v>
      </c>
      <c r="C179" s="349">
        <v>4699567</v>
      </c>
      <c r="D179" s="349" t="s">
        <v>1388</v>
      </c>
      <c r="E179" s="349">
        <v>2018</v>
      </c>
      <c r="F179" s="350">
        <v>6.8</v>
      </c>
      <c r="G179" s="350">
        <v>1.1499999999999999</v>
      </c>
      <c r="H179" s="350">
        <v>460542.06</v>
      </c>
      <c r="I179" s="350">
        <v>658649.56000000006</v>
      </c>
      <c r="J179" s="350">
        <v>109090.02</v>
      </c>
      <c r="K179" s="350">
        <v>147129.82999999999</v>
      </c>
      <c r="L179" s="350">
        <v>637993.81999999995</v>
      </c>
    </row>
    <row r="180" spans="1:12" ht="51.75" x14ac:dyDescent="0.25">
      <c r="A180" s="349" t="s">
        <v>776</v>
      </c>
      <c r="B180" s="349" t="s">
        <v>1400</v>
      </c>
      <c r="C180" s="349">
        <v>6585534</v>
      </c>
      <c r="D180" s="349" t="s">
        <v>1401</v>
      </c>
      <c r="E180" s="349">
        <v>2018</v>
      </c>
      <c r="F180" s="350">
        <v>3.99</v>
      </c>
      <c r="G180" s="350">
        <v>1.19</v>
      </c>
      <c r="H180" s="350">
        <v>482651.63</v>
      </c>
      <c r="I180" s="350">
        <v>510175.63</v>
      </c>
      <c r="J180" s="350">
        <v>56643.57</v>
      </c>
      <c r="K180" s="350">
        <v>99191.77</v>
      </c>
      <c r="L180" s="350">
        <v>790644.61</v>
      </c>
    </row>
    <row r="181" spans="1:12" ht="39" x14ac:dyDescent="0.25">
      <c r="A181" s="349" t="s">
        <v>776</v>
      </c>
      <c r="B181" s="349" t="s">
        <v>1403</v>
      </c>
      <c r="C181" s="349">
        <v>7832444</v>
      </c>
      <c r="D181" s="349" t="s">
        <v>1388</v>
      </c>
      <c r="E181" s="349">
        <v>2018</v>
      </c>
      <c r="F181" s="350">
        <v>6.19</v>
      </c>
      <c r="G181" s="350">
        <v>1</v>
      </c>
      <c r="H181" s="350">
        <v>401590.47</v>
      </c>
      <c r="I181" s="350">
        <v>340965</v>
      </c>
      <c r="J181" s="350">
        <v>73101.59</v>
      </c>
      <c r="K181" s="350">
        <v>67626.84</v>
      </c>
      <c r="L181" s="350">
        <v>590150.40000000002</v>
      </c>
    </row>
    <row r="182" spans="1:12" ht="39" x14ac:dyDescent="0.25">
      <c r="A182" s="349" t="s">
        <v>776</v>
      </c>
      <c r="B182" s="349" t="s">
        <v>1423</v>
      </c>
      <c r="C182" s="349">
        <v>1968420</v>
      </c>
      <c r="D182" s="349" t="s">
        <v>1388</v>
      </c>
      <c r="E182" s="349">
        <v>2018</v>
      </c>
      <c r="F182" s="350">
        <v>6.8</v>
      </c>
      <c r="G182" s="350">
        <v>1.66</v>
      </c>
      <c r="H182" s="350">
        <v>446983.53</v>
      </c>
      <c r="I182" s="350">
        <v>501794.58</v>
      </c>
      <c r="J182" s="350">
        <v>122897.47</v>
      </c>
      <c r="K182" s="350">
        <v>152062.23000000001</v>
      </c>
      <c r="L182" s="350">
        <v>720874.41</v>
      </c>
    </row>
    <row r="183" spans="1:12" ht="39" x14ac:dyDescent="0.25">
      <c r="A183" s="349" t="s">
        <v>776</v>
      </c>
      <c r="B183" s="349" t="s">
        <v>1472</v>
      </c>
      <c r="C183" s="349">
        <v>2813024</v>
      </c>
      <c r="D183" s="349" t="s">
        <v>1388</v>
      </c>
      <c r="E183" s="349">
        <v>2018</v>
      </c>
      <c r="F183" s="350">
        <v>3.93</v>
      </c>
      <c r="G183" s="350">
        <v>0.97</v>
      </c>
      <c r="H183" s="350">
        <v>403855.98</v>
      </c>
      <c r="I183" s="350">
        <v>502817.53</v>
      </c>
      <c r="J183" s="350">
        <v>124448.09</v>
      </c>
      <c r="K183" s="350">
        <v>90995.42</v>
      </c>
      <c r="L183" s="350">
        <v>708955.73</v>
      </c>
    </row>
    <row r="184" spans="1:12" ht="39" x14ac:dyDescent="0.25">
      <c r="A184" s="349" t="s">
        <v>776</v>
      </c>
      <c r="B184" s="349" t="s">
        <v>1839</v>
      </c>
      <c r="C184" s="349">
        <v>9000003</v>
      </c>
      <c r="D184" s="349" t="s">
        <v>1547</v>
      </c>
      <c r="E184" s="349">
        <v>2018</v>
      </c>
      <c r="F184" s="350">
        <v>5</v>
      </c>
      <c r="G184" s="350">
        <v>0.52</v>
      </c>
      <c r="H184" s="350">
        <v>549880.4</v>
      </c>
      <c r="I184" s="350">
        <v>526811.54</v>
      </c>
      <c r="J184" s="350">
        <v>77320.679999999993</v>
      </c>
      <c r="K184" s="350">
        <v>155157.92000000001</v>
      </c>
      <c r="L184" s="350">
        <v>294328.2</v>
      </c>
    </row>
    <row r="185" spans="1:12" ht="39" x14ac:dyDescent="0.25">
      <c r="A185" s="349" t="s">
        <v>805</v>
      </c>
      <c r="B185" s="349" t="s">
        <v>1155</v>
      </c>
      <c r="C185" s="349">
        <v>9554713</v>
      </c>
      <c r="D185" s="349" t="s">
        <v>792</v>
      </c>
      <c r="E185" s="349">
        <v>2018</v>
      </c>
      <c r="F185" s="350">
        <v>13.23</v>
      </c>
      <c r="G185" s="350">
        <v>2.0299999999999998</v>
      </c>
      <c r="H185" s="350">
        <v>392327.09</v>
      </c>
      <c r="I185" s="350">
        <v>503484.12</v>
      </c>
      <c r="J185" s="350">
        <v>37356.39</v>
      </c>
      <c r="K185" s="350">
        <v>60031.7</v>
      </c>
      <c r="L185" s="350">
        <v>424800.68</v>
      </c>
    </row>
    <row r="186" spans="1:12" ht="39" x14ac:dyDescent="0.25">
      <c r="A186" s="349" t="s">
        <v>805</v>
      </c>
      <c r="B186" s="349" t="s">
        <v>1405</v>
      </c>
      <c r="C186" s="349">
        <v>1738957</v>
      </c>
      <c r="D186" s="349" t="s">
        <v>1406</v>
      </c>
      <c r="E186" s="349">
        <v>2018</v>
      </c>
      <c r="F186" s="350">
        <v>2.36</v>
      </c>
      <c r="G186" s="350">
        <v>0.65</v>
      </c>
      <c r="H186" s="350">
        <v>364540.62</v>
      </c>
      <c r="I186" s="350">
        <v>508898.77</v>
      </c>
      <c r="J186" s="350">
        <v>48064.14</v>
      </c>
      <c r="K186" s="350">
        <v>44112.72</v>
      </c>
      <c r="L186" s="350">
        <v>587169.86</v>
      </c>
    </row>
    <row r="187" spans="1:12" ht="39" x14ac:dyDescent="0.25">
      <c r="A187" s="349" t="s">
        <v>805</v>
      </c>
      <c r="B187" s="349" t="s">
        <v>1405</v>
      </c>
      <c r="C187" s="349">
        <v>2315315</v>
      </c>
      <c r="D187" s="349" t="s">
        <v>1411</v>
      </c>
      <c r="E187" s="349">
        <v>2018</v>
      </c>
      <c r="F187" s="350">
        <v>2.1800000000000002</v>
      </c>
      <c r="G187" s="350">
        <v>0.65</v>
      </c>
      <c r="H187" s="350">
        <v>379646.61</v>
      </c>
      <c r="I187" s="350">
        <v>514129.39</v>
      </c>
      <c r="J187" s="350">
        <v>60133.64</v>
      </c>
      <c r="K187" s="350">
        <v>66376.509999999995</v>
      </c>
      <c r="L187" s="350">
        <v>653440.37</v>
      </c>
    </row>
    <row r="188" spans="1:12" ht="39" x14ac:dyDescent="0.25">
      <c r="A188" s="349" t="s">
        <v>805</v>
      </c>
      <c r="B188" s="349" t="s">
        <v>1405</v>
      </c>
      <c r="C188" s="349">
        <v>6607461</v>
      </c>
      <c r="D188" s="349" t="s">
        <v>810</v>
      </c>
      <c r="E188" s="349">
        <v>2018</v>
      </c>
      <c r="F188" s="350">
        <v>2.29</v>
      </c>
      <c r="G188" s="350">
        <v>0.66</v>
      </c>
      <c r="H188" s="350">
        <v>371724.73</v>
      </c>
      <c r="I188" s="350">
        <v>504320.58</v>
      </c>
      <c r="J188" s="350">
        <v>55070.99</v>
      </c>
      <c r="K188" s="350">
        <v>35282.67</v>
      </c>
      <c r="L188" s="350">
        <v>606186.69999999995</v>
      </c>
    </row>
    <row r="189" spans="1:12" ht="51.75" x14ac:dyDescent="0.25">
      <c r="A189" s="349" t="s">
        <v>805</v>
      </c>
      <c r="B189" s="349" t="s">
        <v>1427</v>
      </c>
      <c r="C189" s="349">
        <v>1907533</v>
      </c>
      <c r="D189" s="349" t="s">
        <v>379</v>
      </c>
      <c r="E189" s="349">
        <v>2018</v>
      </c>
      <c r="F189" s="350">
        <v>7.18</v>
      </c>
      <c r="G189" s="350">
        <v>2.2799999999999998</v>
      </c>
      <c r="H189" s="350">
        <v>401781.73</v>
      </c>
      <c r="I189" s="350">
        <v>459678.51</v>
      </c>
      <c r="J189" s="350">
        <v>35574.379999999997</v>
      </c>
      <c r="K189" s="350">
        <v>64600.89</v>
      </c>
      <c r="L189" s="350">
        <v>644232.80000000005</v>
      </c>
    </row>
    <row r="190" spans="1:12" ht="51.75" x14ac:dyDescent="0.25">
      <c r="A190" s="349" t="s">
        <v>812</v>
      </c>
      <c r="B190" s="349" t="s">
        <v>1382</v>
      </c>
      <c r="C190" s="349">
        <v>9064643</v>
      </c>
      <c r="D190" s="349" t="s">
        <v>818</v>
      </c>
      <c r="E190" s="349">
        <v>2018</v>
      </c>
      <c r="F190" s="350">
        <v>5.58</v>
      </c>
      <c r="G190" s="350">
        <v>1.54</v>
      </c>
      <c r="H190" s="350">
        <v>497205.6</v>
      </c>
      <c r="I190" s="350">
        <v>630080.41</v>
      </c>
      <c r="J190" s="350">
        <v>189660.67</v>
      </c>
      <c r="K190" s="350">
        <v>243476.6</v>
      </c>
      <c r="L190" s="350">
        <v>967759.32</v>
      </c>
    </row>
    <row r="191" spans="1:12" ht="26.25" x14ac:dyDescent="0.25">
      <c r="A191" s="349" t="s">
        <v>812</v>
      </c>
      <c r="B191" s="349" t="s">
        <v>1520</v>
      </c>
      <c r="C191" s="349">
        <v>3961063</v>
      </c>
      <c r="D191" s="349" t="s">
        <v>1519</v>
      </c>
      <c r="E191" s="349">
        <v>2018</v>
      </c>
      <c r="F191" s="350">
        <v>5.98</v>
      </c>
      <c r="G191" s="350">
        <v>0.7</v>
      </c>
      <c r="H191" s="350">
        <v>418732.1</v>
      </c>
      <c r="I191" s="350">
        <v>642544.67000000004</v>
      </c>
      <c r="J191" s="350">
        <v>42050.63</v>
      </c>
      <c r="K191" s="350">
        <v>72393.36</v>
      </c>
      <c r="L191" s="350">
        <v>539657.30000000005</v>
      </c>
    </row>
    <row r="192" spans="1:12" ht="77.25" x14ac:dyDescent="0.25">
      <c r="A192" s="349" t="s">
        <v>821</v>
      </c>
      <c r="B192" s="349" t="s">
        <v>1155</v>
      </c>
      <c r="C192" s="349">
        <v>1356155</v>
      </c>
      <c r="D192" s="349" t="s">
        <v>1166</v>
      </c>
      <c r="E192" s="349">
        <v>2018</v>
      </c>
      <c r="F192" s="350">
        <v>4</v>
      </c>
      <c r="G192" s="350">
        <v>0</v>
      </c>
      <c r="H192" s="350">
        <v>328206</v>
      </c>
      <c r="I192" s="351"/>
      <c r="J192" s="350">
        <v>43594.25</v>
      </c>
      <c r="K192" s="350">
        <v>172424.25</v>
      </c>
      <c r="L192" s="350">
        <v>392418.75</v>
      </c>
    </row>
    <row r="193" spans="1:12" ht="90" x14ac:dyDescent="0.25">
      <c r="A193" s="349" t="s">
        <v>821</v>
      </c>
      <c r="B193" s="349" t="s">
        <v>1316</v>
      </c>
      <c r="C193" s="349">
        <v>5894253</v>
      </c>
      <c r="D193" s="349" t="s">
        <v>1328</v>
      </c>
      <c r="E193" s="349">
        <v>2018</v>
      </c>
      <c r="F193" s="350">
        <v>15</v>
      </c>
      <c r="G193" s="350">
        <v>15</v>
      </c>
      <c r="H193" s="350">
        <v>310711.07</v>
      </c>
      <c r="I193" s="350">
        <v>290208.13</v>
      </c>
      <c r="J193" s="350">
        <v>95448.6</v>
      </c>
      <c r="K193" s="350">
        <v>164711.6</v>
      </c>
      <c r="L193" s="350">
        <v>318104.67</v>
      </c>
    </row>
    <row r="194" spans="1:12" ht="26.25" x14ac:dyDescent="0.25">
      <c r="A194" s="349" t="s">
        <v>826</v>
      </c>
      <c r="B194" s="349" t="s">
        <v>1124</v>
      </c>
      <c r="C194" s="349">
        <v>7459230</v>
      </c>
      <c r="D194" s="349" t="s">
        <v>377</v>
      </c>
      <c r="E194" s="349">
        <v>2018</v>
      </c>
      <c r="F194" s="350">
        <v>11.2</v>
      </c>
      <c r="G194" s="350">
        <v>0.9</v>
      </c>
      <c r="H194" s="350">
        <v>378088.13</v>
      </c>
      <c r="I194" s="350">
        <v>438872.22</v>
      </c>
      <c r="J194" s="350">
        <v>25046.959999999999</v>
      </c>
      <c r="K194" s="350">
        <v>15341.61</v>
      </c>
      <c r="L194" s="350">
        <v>242213.66</v>
      </c>
    </row>
    <row r="195" spans="1:12" ht="64.5" x14ac:dyDescent="0.25">
      <c r="A195" s="349" t="s">
        <v>826</v>
      </c>
      <c r="B195" s="349" t="s">
        <v>1155</v>
      </c>
      <c r="C195" s="349">
        <v>3110951</v>
      </c>
      <c r="D195" s="349" t="s">
        <v>829</v>
      </c>
      <c r="E195" s="349">
        <v>2018</v>
      </c>
      <c r="F195" s="350">
        <v>6.2</v>
      </c>
      <c r="G195" s="350">
        <v>1.3</v>
      </c>
      <c r="H195" s="350">
        <v>388660.32</v>
      </c>
      <c r="I195" s="350">
        <v>557141.54</v>
      </c>
      <c r="J195" s="350">
        <v>112605.48</v>
      </c>
      <c r="K195" s="350">
        <v>60093.39</v>
      </c>
      <c r="L195" s="350">
        <v>405300.32</v>
      </c>
    </row>
    <row r="196" spans="1:12" ht="39" x14ac:dyDescent="0.25">
      <c r="A196" s="349" t="s">
        <v>826</v>
      </c>
      <c r="B196" s="349" t="s">
        <v>1427</v>
      </c>
      <c r="C196" s="349">
        <v>2788586</v>
      </c>
      <c r="D196" s="349" t="s">
        <v>828</v>
      </c>
      <c r="E196" s="349">
        <v>2018</v>
      </c>
      <c r="F196" s="350">
        <v>2.5</v>
      </c>
      <c r="G196" s="350">
        <v>0.02</v>
      </c>
      <c r="H196" s="350">
        <v>392870.8</v>
      </c>
      <c r="I196" s="350">
        <v>430050</v>
      </c>
      <c r="J196" s="350">
        <v>46445.2</v>
      </c>
      <c r="K196" s="350">
        <v>49863.199999999997</v>
      </c>
      <c r="L196" s="350">
        <v>384918</v>
      </c>
    </row>
    <row r="197" spans="1:12" ht="64.5" x14ac:dyDescent="0.25">
      <c r="A197" s="349" t="s">
        <v>1362</v>
      </c>
      <c r="B197" s="349" t="s">
        <v>1361</v>
      </c>
      <c r="C197" s="349">
        <v>9142033</v>
      </c>
      <c r="D197" s="349" t="s">
        <v>1362</v>
      </c>
      <c r="E197" s="349">
        <v>2018</v>
      </c>
      <c r="F197" s="350">
        <v>4.2699999999999996</v>
      </c>
      <c r="G197" s="350">
        <v>0.01</v>
      </c>
      <c r="H197" s="350">
        <v>110473.19</v>
      </c>
      <c r="I197" s="350">
        <v>115053</v>
      </c>
      <c r="J197" s="350">
        <v>7670.02</v>
      </c>
      <c r="K197" s="350">
        <v>69154.7</v>
      </c>
      <c r="L197" s="350">
        <v>70225.19</v>
      </c>
    </row>
    <row r="198" spans="1:12" ht="39" x14ac:dyDescent="0.25">
      <c r="A198" s="349" t="s">
        <v>1521</v>
      </c>
      <c r="B198" s="349" t="s">
        <v>1382</v>
      </c>
      <c r="C198" s="349">
        <v>2438469</v>
      </c>
      <c r="D198" s="349" t="s">
        <v>1391</v>
      </c>
      <c r="E198" s="349">
        <v>2018</v>
      </c>
      <c r="F198" s="350">
        <v>5.85</v>
      </c>
      <c r="G198" s="350">
        <v>0</v>
      </c>
      <c r="H198" s="350">
        <v>329011.74</v>
      </c>
      <c r="I198" s="351"/>
      <c r="J198" s="350">
        <v>39139.49</v>
      </c>
      <c r="K198" s="350">
        <v>83078.48</v>
      </c>
      <c r="L198" s="350">
        <v>459669.6</v>
      </c>
    </row>
    <row r="199" spans="1:12" ht="51.75" x14ac:dyDescent="0.25">
      <c r="A199" s="349" t="s">
        <v>842</v>
      </c>
      <c r="B199" s="349" t="s">
        <v>1055</v>
      </c>
      <c r="C199" s="349">
        <v>6698987</v>
      </c>
      <c r="D199" s="349" t="s">
        <v>844</v>
      </c>
      <c r="E199" s="349">
        <v>2018</v>
      </c>
      <c r="F199" s="350">
        <v>1.04</v>
      </c>
      <c r="G199" s="350">
        <v>0.34</v>
      </c>
      <c r="H199" s="350">
        <v>468213.46</v>
      </c>
      <c r="I199" s="350">
        <v>522650</v>
      </c>
      <c r="J199" s="350">
        <v>71254.81</v>
      </c>
      <c r="K199" s="350">
        <v>155565.89000000001</v>
      </c>
      <c r="L199" s="350">
        <v>827044.73</v>
      </c>
    </row>
    <row r="200" spans="1:12" ht="39" x14ac:dyDescent="0.25">
      <c r="A200" s="349" t="s">
        <v>842</v>
      </c>
      <c r="B200" s="349" t="s">
        <v>1405</v>
      </c>
      <c r="C200" s="349">
        <v>8350990</v>
      </c>
      <c r="D200" s="349" t="s">
        <v>846</v>
      </c>
      <c r="E200" s="349">
        <v>2018</v>
      </c>
      <c r="F200" s="350">
        <v>2.5</v>
      </c>
      <c r="G200" s="350">
        <v>1.22</v>
      </c>
      <c r="H200" s="350">
        <v>436716</v>
      </c>
      <c r="I200" s="350">
        <v>534620.49</v>
      </c>
      <c r="J200" s="350">
        <v>36996.800000000003</v>
      </c>
      <c r="K200" s="350">
        <v>99926.26</v>
      </c>
      <c r="L200" s="350">
        <v>745809.86</v>
      </c>
    </row>
    <row r="201" spans="1:12" ht="39" x14ac:dyDescent="0.25">
      <c r="A201" s="349" t="s">
        <v>849</v>
      </c>
      <c r="B201" s="349" t="s">
        <v>1472</v>
      </c>
      <c r="C201" s="349">
        <v>3741470</v>
      </c>
      <c r="D201" s="349" t="s">
        <v>1482</v>
      </c>
      <c r="E201" s="349">
        <v>2018</v>
      </c>
      <c r="F201" s="350">
        <v>7.51</v>
      </c>
      <c r="G201" s="350">
        <v>1.22</v>
      </c>
      <c r="H201" s="350">
        <v>425634.28</v>
      </c>
      <c r="I201" s="350">
        <v>828059.02</v>
      </c>
      <c r="J201" s="350">
        <v>39709.050000000003</v>
      </c>
      <c r="K201" s="350">
        <v>60220.51</v>
      </c>
      <c r="L201" s="350">
        <v>656969.04</v>
      </c>
    </row>
    <row r="202" spans="1:12" ht="64.5" x14ac:dyDescent="0.25">
      <c r="A202" s="349" t="s">
        <v>849</v>
      </c>
      <c r="B202" s="349" t="s">
        <v>1472</v>
      </c>
      <c r="C202" s="349">
        <v>6948137</v>
      </c>
      <c r="D202" s="349" t="s">
        <v>1495</v>
      </c>
      <c r="E202" s="349">
        <v>2018</v>
      </c>
      <c r="F202" s="350">
        <v>11.41</v>
      </c>
      <c r="G202" s="350">
        <v>1.93</v>
      </c>
      <c r="H202" s="350">
        <v>444150.92</v>
      </c>
      <c r="I202" s="350">
        <v>688230.3</v>
      </c>
      <c r="J202" s="350">
        <v>36266.36</v>
      </c>
      <c r="K202" s="350">
        <v>68620.960000000006</v>
      </c>
      <c r="L202" s="350">
        <v>662240.5</v>
      </c>
    </row>
    <row r="203" spans="1:12" ht="64.5" x14ac:dyDescent="0.25">
      <c r="A203" s="349" t="s">
        <v>849</v>
      </c>
      <c r="B203" s="349" t="s">
        <v>1472</v>
      </c>
      <c r="C203" s="349">
        <v>8172268</v>
      </c>
      <c r="D203" s="349" t="s">
        <v>1504</v>
      </c>
      <c r="E203" s="349">
        <v>2018</v>
      </c>
      <c r="F203" s="350">
        <v>8.8800000000000008</v>
      </c>
      <c r="G203" s="350">
        <v>1.49</v>
      </c>
      <c r="H203" s="350">
        <v>457879.88</v>
      </c>
      <c r="I203" s="350">
        <v>725927.52</v>
      </c>
      <c r="J203" s="350">
        <v>44503.38</v>
      </c>
      <c r="K203" s="350">
        <v>63800.74</v>
      </c>
      <c r="L203" s="350">
        <v>686080.83</v>
      </c>
    </row>
    <row r="204" spans="1:12" ht="51.75" x14ac:dyDescent="0.25">
      <c r="A204" s="349" t="s">
        <v>857</v>
      </c>
      <c r="B204" s="349" t="s">
        <v>1155</v>
      </c>
      <c r="C204" s="349">
        <v>9924639</v>
      </c>
      <c r="D204" s="349" t="s">
        <v>857</v>
      </c>
      <c r="E204" s="349">
        <v>2018</v>
      </c>
      <c r="F204" s="350">
        <v>13.86</v>
      </c>
      <c r="G204" s="350">
        <v>2.85</v>
      </c>
      <c r="H204" s="350">
        <v>444070.56</v>
      </c>
      <c r="I204" s="350">
        <v>543121.4</v>
      </c>
      <c r="J204" s="350">
        <v>41524.46</v>
      </c>
      <c r="K204" s="350">
        <v>128729.94</v>
      </c>
      <c r="L204" s="350">
        <v>556321.56999999995</v>
      </c>
    </row>
    <row r="205" spans="1:12" ht="39" x14ac:dyDescent="0.25">
      <c r="A205" s="349" t="s">
        <v>857</v>
      </c>
      <c r="B205" s="349" t="s">
        <v>1382</v>
      </c>
      <c r="C205" s="349">
        <v>2514714</v>
      </c>
      <c r="D205" s="349" t="s">
        <v>860</v>
      </c>
      <c r="E205" s="349">
        <v>2018</v>
      </c>
      <c r="F205" s="350">
        <v>2.69</v>
      </c>
      <c r="G205" s="350">
        <v>0.91</v>
      </c>
      <c r="H205" s="350">
        <v>472462.45</v>
      </c>
      <c r="I205" s="350">
        <v>708657.14</v>
      </c>
      <c r="J205" s="350">
        <v>128099.26</v>
      </c>
      <c r="K205" s="350">
        <v>84843.87</v>
      </c>
      <c r="L205" s="350">
        <v>763616.36</v>
      </c>
    </row>
    <row r="206" spans="1:12" ht="39" x14ac:dyDescent="0.25">
      <c r="A206" s="349" t="s">
        <v>857</v>
      </c>
      <c r="B206" s="349" t="s">
        <v>1423</v>
      </c>
      <c r="C206" s="349">
        <v>1696009</v>
      </c>
      <c r="D206" s="349" t="s">
        <v>859</v>
      </c>
      <c r="E206" s="349">
        <v>2018</v>
      </c>
      <c r="F206" s="350">
        <v>1.18</v>
      </c>
      <c r="G206" s="350">
        <v>0.65</v>
      </c>
      <c r="H206" s="350">
        <v>438858.48</v>
      </c>
      <c r="I206" s="350">
        <v>504726.15</v>
      </c>
      <c r="J206" s="350">
        <v>94007.63</v>
      </c>
      <c r="K206" s="350">
        <v>69011.02</v>
      </c>
      <c r="L206" s="350">
        <v>838426.27</v>
      </c>
    </row>
    <row r="207" spans="1:12" ht="26.25" x14ac:dyDescent="0.25">
      <c r="A207" s="349" t="s">
        <v>864</v>
      </c>
      <c r="B207" s="349" t="s">
        <v>1155</v>
      </c>
      <c r="C207" s="349">
        <v>4383860</v>
      </c>
      <c r="D207" s="349" t="s">
        <v>864</v>
      </c>
      <c r="E207" s="349">
        <v>2018</v>
      </c>
      <c r="F207" s="350">
        <v>21.75</v>
      </c>
      <c r="G207" s="350">
        <v>5.0999999999999996</v>
      </c>
      <c r="H207" s="350">
        <v>456102.21</v>
      </c>
      <c r="I207" s="350">
        <v>494496.28</v>
      </c>
      <c r="J207" s="350">
        <v>40270.76</v>
      </c>
      <c r="K207" s="350">
        <v>59537.47</v>
      </c>
      <c r="L207" s="350">
        <v>525275.44999999995</v>
      </c>
    </row>
    <row r="208" spans="1:12" ht="26.25" x14ac:dyDescent="0.25">
      <c r="A208" s="349" t="s">
        <v>868</v>
      </c>
      <c r="B208" s="349" t="s">
        <v>1155</v>
      </c>
      <c r="C208" s="349">
        <v>9583114</v>
      </c>
      <c r="D208" s="349" t="s">
        <v>868</v>
      </c>
      <c r="E208" s="349">
        <v>2018</v>
      </c>
      <c r="F208" s="350">
        <v>2.6</v>
      </c>
      <c r="G208" s="350">
        <v>0.1</v>
      </c>
      <c r="H208" s="350">
        <v>399798.85</v>
      </c>
      <c r="I208" s="350">
        <v>1299170</v>
      </c>
      <c r="J208" s="350">
        <v>22103.85</v>
      </c>
      <c r="K208" s="350">
        <v>41363.08</v>
      </c>
      <c r="L208" s="350">
        <v>407560</v>
      </c>
    </row>
    <row r="209" spans="1:12" ht="39" x14ac:dyDescent="0.25">
      <c r="A209" s="349" t="s">
        <v>874</v>
      </c>
      <c r="B209" s="349" t="s">
        <v>1241</v>
      </c>
      <c r="C209" s="349">
        <v>1378201</v>
      </c>
      <c r="D209" s="349" t="s">
        <v>877</v>
      </c>
      <c r="E209" s="349">
        <v>2018</v>
      </c>
      <c r="F209" s="350">
        <v>2.4</v>
      </c>
      <c r="G209" s="350">
        <v>0.25</v>
      </c>
      <c r="H209" s="350">
        <v>461665.33</v>
      </c>
      <c r="I209" s="350">
        <v>490806.8</v>
      </c>
      <c r="J209" s="350">
        <v>12817.63</v>
      </c>
      <c r="K209" s="350">
        <v>56694.46</v>
      </c>
      <c r="L209" s="350">
        <v>541768.54</v>
      </c>
    </row>
    <row r="210" spans="1:12" ht="39" x14ac:dyDescent="0.25">
      <c r="A210" s="349" t="s">
        <v>874</v>
      </c>
      <c r="B210" s="349" t="s">
        <v>1451</v>
      </c>
      <c r="C210" s="349">
        <v>1552469</v>
      </c>
      <c r="D210" s="349" t="s">
        <v>878</v>
      </c>
      <c r="E210" s="349">
        <v>2018</v>
      </c>
      <c r="F210" s="350">
        <v>1.63</v>
      </c>
      <c r="G210" s="350">
        <v>0.5</v>
      </c>
      <c r="H210" s="350">
        <v>440219.02</v>
      </c>
      <c r="I210" s="350">
        <v>400668</v>
      </c>
      <c r="J210" s="350">
        <v>33593.01</v>
      </c>
      <c r="K210" s="350">
        <v>149862.78</v>
      </c>
      <c r="L210" s="350">
        <v>746579.1</v>
      </c>
    </row>
    <row r="211" spans="1:12" ht="39" x14ac:dyDescent="0.25">
      <c r="A211" s="349" t="s">
        <v>874</v>
      </c>
      <c r="B211" s="349" t="s">
        <v>1472</v>
      </c>
      <c r="C211" s="349">
        <v>6473703</v>
      </c>
      <c r="D211" s="349" t="s">
        <v>879</v>
      </c>
      <c r="E211" s="349">
        <v>2018</v>
      </c>
      <c r="F211" s="350">
        <v>3.25</v>
      </c>
      <c r="G211" s="350">
        <v>0.5</v>
      </c>
      <c r="H211" s="350">
        <v>403750.15</v>
      </c>
      <c r="I211" s="350">
        <v>410682</v>
      </c>
      <c r="J211" s="350">
        <v>35588.97</v>
      </c>
      <c r="K211" s="350">
        <v>55371.81</v>
      </c>
      <c r="L211" s="350">
        <v>557892.78</v>
      </c>
    </row>
    <row r="212" spans="1:12" ht="26.25" x14ac:dyDescent="0.25">
      <c r="A212" s="349" t="s">
        <v>874</v>
      </c>
      <c r="B212" s="349" t="s">
        <v>1472</v>
      </c>
      <c r="C212" s="349">
        <v>7805491</v>
      </c>
      <c r="D212" s="349" t="s">
        <v>1523</v>
      </c>
      <c r="E212" s="349">
        <v>2018</v>
      </c>
      <c r="F212" s="350">
        <v>1.35</v>
      </c>
      <c r="G212" s="350">
        <v>0.25</v>
      </c>
      <c r="H212" s="350">
        <v>459731.49</v>
      </c>
      <c r="I212" s="350">
        <v>528396</v>
      </c>
      <c r="J212" s="350">
        <v>84658.09</v>
      </c>
      <c r="K212" s="350">
        <v>86574.3</v>
      </c>
      <c r="L212" s="350">
        <v>728814.99</v>
      </c>
    </row>
    <row r="213" spans="1:12" ht="102.75" x14ac:dyDescent="0.25">
      <c r="A213" s="349" t="s">
        <v>874</v>
      </c>
      <c r="B213" s="349" t="s">
        <v>1472</v>
      </c>
      <c r="C213" s="349">
        <v>9818505</v>
      </c>
      <c r="D213" s="349" t="s">
        <v>1522</v>
      </c>
      <c r="E213" s="349">
        <v>2018</v>
      </c>
      <c r="F213" s="350">
        <v>3.5</v>
      </c>
      <c r="G213" s="350">
        <v>0.5</v>
      </c>
      <c r="H213" s="350">
        <v>404688.57</v>
      </c>
      <c r="I213" s="350">
        <v>411220</v>
      </c>
      <c r="J213" s="350">
        <v>39967.269999999997</v>
      </c>
      <c r="K213" s="350">
        <v>54453.03</v>
      </c>
      <c r="L213" s="350">
        <v>557854.59</v>
      </c>
    </row>
    <row r="214" spans="1:12" ht="39" x14ac:dyDescent="0.25">
      <c r="A214" s="349" t="s">
        <v>1176</v>
      </c>
      <c r="B214" s="349" t="s">
        <v>1155</v>
      </c>
      <c r="C214" s="349">
        <v>1826777</v>
      </c>
      <c r="D214" s="349" t="s">
        <v>1176</v>
      </c>
      <c r="E214" s="349">
        <v>2018</v>
      </c>
      <c r="F214" s="350">
        <v>9.42</v>
      </c>
      <c r="G214" s="350">
        <v>1.55</v>
      </c>
      <c r="H214" s="350">
        <v>391767.09</v>
      </c>
      <c r="I214" s="350">
        <v>618456.13</v>
      </c>
      <c r="J214" s="350">
        <v>15312.21</v>
      </c>
      <c r="K214" s="350">
        <v>78306.48</v>
      </c>
      <c r="L214" s="350">
        <v>395771.55</v>
      </c>
    </row>
    <row r="215" spans="1:12" ht="39" x14ac:dyDescent="0.25">
      <c r="A215" s="349" t="s">
        <v>1176</v>
      </c>
      <c r="B215" s="349" t="s">
        <v>1250</v>
      </c>
      <c r="C215" s="349">
        <v>5060032</v>
      </c>
      <c r="D215" s="349" t="s">
        <v>1176</v>
      </c>
      <c r="E215" s="349">
        <v>2018</v>
      </c>
      <c r="F215" s="350">
        <v>0.93</v>
      </c>
      <c r="G215" s="350">
        <v>0</v>
      </c>
      <c r="H215" s="350">
        <v>459683.87</v>
      </c>
      <c r="I215" s="351"/>
      <c r="J215" s="350">
        <v>0</v>
      </c>
      <c r="K215" s="350">
        <v>0</v>
      </c>
      <c r="L215" s="350">
        <v>368346.24</v>
      </c>
    </row>
    <row r="216" spans="1:12" ht="51.75" x14ac:dyDescent="0.25">
      <c r="A216" s="349" t="s">
        <v>887</v>
      </c>
      <c r="B216" s="349" t="s">
        <v>1124</v>
      </c>
      <c r="C216" s="349">
        <v>5991938</v>
      </c>
      <c r="D216" s="349" t="s">
        <v>377</v>
      </c>
      <c r="E216" s="349">
        <v>2018</v>
      </c>
      <c r="F216" s="350">
        <v>6.5</v>
      </c>
      <c r="G216" s="350">
        <v>0.5</v>
      </c>
      <c r="H216" s="350">
        <v>311315.69</v>
      </c>
      <c r="I216" s="350">
        <v>442422</v>
      </c>
      <c r="J216" s="350">
        <v>36227.85</v>
      </c>
      <c r="K216" s="350">
        <v>35837.69</v>
      </c>
      <c r="L216" s="350">
        <v>300153.84999999998</v>
      </c>
    </row>
    <row r="217" spans="1:12" ht="64.5" x14ac:dyDescent="0.25">
      <c r="A217" s="349" t="s">
        <v>1213</v>
      </c>
      <c r="B217" s="349" t="s">
        <v>1155</v>
      </c>
      <c r="C217" s="349">
        <v>7201840</v>
      </c>
      <c r="D217" s="349" t="s">
        <v>1212</v>
      </c>
      <c r="E217" s="349">
        <v>2018</v>
      </c>
      <c r="F217" s="350">
        <v>30.25</v>
      </c>
      <c r="G217" s="350">
        <v>15.32</v>
      </c>
      <c r="H217" s="350">
        <v>394562.85</v>
      </c>
      <c r="I217" s="350">
        <v>313348.56</v>
      </c>
      <c r="J217" s="350">
        <v>45022.3</v>
      </c>
      <c r="K217" s="350">
        <v>71664.19</v>
      </c>
      <c r="L217" s="350">
        <v>410182.31</v>
      </c>
    </row>
    <row r="218" spans="1:12" ht="64.5" x14ac:dyDescent="0.25">
      <c r="A218" s="349" t="s">
        <v>1213</v>
      </c>
      <c r="B218" s="349" t="s">
        <v>1282</v>
      </c>
      <c r="C218" s="349">
        <v>5599785</v>
      </c>
      <c r="D218" s="349" t="s">
        <v>1293</v>
      </c>
      <c r="E218" s="349">
        <v>2018</v>
      </c>
      <c r="F218" s="350">
        <v>2.61</v>
      </c>
      <c r="G218" s="350">
        <v>0.39</v>
      </c>
      <c r="H218" s="350">
        <v>336979.17</v>
      </c>
      <c r="I218" s="350">
        <v>525948.26</v>
      </c>
      <c r="J218" s="350">
        <v>24241.18</v>
      </c>
      <c r="K218" s="350">
        <v>499760.25</v>
      </c>
      <c r="L218" s="350">
        <v>828507.59</v>
      </c>
    </row>
    <row r="219" spans="1:12" ht="39" x14ac:dyDescent="0.25">
      <c r="A219" s="349" t="s">
        <v>897</v>
      </c>
      <c r="B219" s="349" t="s">
        <v>1405</v>
      </c>
      <c r="C219" s="349">
        <v>2174839</v>
      </c>
      <c r="D219" s="349" t="s">
        <v>899</v>
      </c>
      <c r="E219" s="349">
        <v>2018</v>
      </c>
      <c r="F219" s="350">
        <v>5</v>
      </c>
      <c r="G219" s="350">
        <v>0</v>
      </c>
      <c r="H219" s="350">
        <v>232348.4</v>
      </c>
      <c r="I219" s="351"/>
      <c r="J219" s="350">
        <v>32587.200000000001</v>
      </c>
      <c r="K219" s="350">
        <v>109510.39999999999</v>
      </c>
      <c r="L219" s="350">
        <v>574817</v>
      </c>
    </row>
    <row r="220" spans="1:12" ht="39" x14ac:dyDescent="0.25">
      <c r="A220" s="349" t="s">
        <v>897</v>
      </c>
      <c r="B220" s="349" t="s">
        <v>1405</v>
      </c>
      <c r="C220" s="349">
        <v>7947229</v>
      </c>
      <c r="D220" s="349" t="s">
        <v>1834</v>
      </c>
      <c r="E220" s="349">
        <v>2018</v>
      </c>
      <c r="F220" s="350">
        <v>1.3</v>
      </c>
      <c r="G220" s="350">
        <v>1</v>
      </c>
      <c r="H220" s="350">
        <v>164642.31</v>
      </c>
      <c r="I220" s="350">
        <v>191101</v>
      </c>
      <c r="J220" s="350">
        <v>26084.62</v>
      </c>
      <c r="K220" s="350">
        <v>79483.08</v>
      </c>
      <c r="L220" s="350">
        <v>417210.77</v>
      </c>
    </row>
    <row r="221" spans="1:12" ht="26.25" x14ac:dyDescent="0.25">
      <c r="A221" s="349" t="s">
        <v>1552</v>
      </c>
      <c r="B221" s="349" t="s">
        <v>1459</v>
      </c>
      <c r="C221" s="349">
        <v>4441304</v>
      </c>
      <c r="D221" s="349" t="s">
        <v>1551</v>
      </c>
      <c r="E221" s="349">
        <v>2018</v>
      </c>
      <c r="F221" s="351"/>
      <c r="G221" s="350">
        <v>0</v>
      </c>
      <c r="H221" s="351"/>
      <c r="I221" s="351"/>
      <c r="J221" s="351"/>
      <c r="K221" s="351"/>
      <c r="L221" s="351"/>
    </row>
    <row r="222" spans="1:12" ht="39" x14ac:dyDescent="0.25">
      <c r="A222" s="349" t="s">
        <v>902</v>
      </c>
      <c r="B222" s="349" t="s">
        <v>1472</v>
      </c>
      <c r="C222" s="349">
        <v>4659873</v>
      </c>
      <c r="D222" s="349" t="s">
        <v>905</v>
      </c>
      <c r="E222" s="349">
        <v>2018</v>
      </c>
      <c r="F222" s="350">
        <v>2.02</v>
      </c>
      <c r="G222" s="350">
        <v>0.66</v>
      </c>
      <c r="H222" s="350">
        <v>455340.59</v>
      </c>
      <c r="I222" s="350">
        <v>465465.15</v>
      </c>
      <c r="J222" s="350">
        <v>21494.06</v>
      </c>
      <c r="K222" s="350">
        <v>95968.88</v>
      </c>
      <c r="L222" s="350">
        <v>665460.46</v>
      </c>
    </row>
    <row r="223" spans="1:12" ht="64.5" x14ac:dyDescent="0.25">
      <c r="A223" s="349" t="s">
        <v>909</v>
      </c>
      <c r="B223" s="349" t="s">
        <v>1405</v>
      </c>
      <c r="C223" s="349">
        <v>8411392</v>
      </c>
      <c r="D223" s="349" t="s">
        <v>1421</v>
      </c>
      <c r="E223" s="349">
        <v>2018</v>
      </c>
      <c r="F223" s="350">
        <v>6.15</v>
      </c>
      <c r="G223" s="350">
        <v>1.53</v>
      </c>
      <c r="H223" s="350">
        <v>387224.73</v>
      </c>
      <c r="I223" s="350">
        <v>575018.16</v>
      </c>
      <c r="J223" s="350">
        <v>57778.879999999997</v>
      </c>
      <c r="K223" s="350">
        <v>69363.48</v>
      </c>
      <c r="L223" s="350">
        <v>654784.42000000004</v>
      </c>
    </row>
    <row r="224" spans="1:12" ht="39" x14ac:dyDescent="0.25">
      <c r="A224" s="349" t="s">
        <v>909</v>
      </c>
      <c r="B224" s="349" t="s">
        <v>1427</v>
      </c>
      <c r="C224" s="349">
        <v>3588592</v>
      </c>
      <c r="D224" s="349" t="s">
        <v>1549</v>
      </c>
      <c r="E224" s="349">
        <v>2018</v>
      </c>
      <c r="F224" s="350">
        <v>2.13</v>
      </c>
      <c r="G224" s="350">
        <v>0.28000000000000003</v>
      </c>
      <c r="H224" s="350">
        <v>395025.11</v>
      </c>
      <c r="I224" s="350">
        <v>607444.56999999995</v>
      </c>
      <c r="J224" s="350">
        <v>40012.559999999998</v>
      </c>
      <c r="K224" s="350">
        <v>104923.29</v>
      </c>
      <c r="L224" s="350">
        <v>619414.4</v>
      </c>
    </row>
    <row r="225" spans="1:12" ht="39" x14ac:dyDescent="0.25">
      <c r="A225" s="349" t="s">
        <v>909</v>
      </c>
      <c r="B225" s="349" t="s">
        <v>1427</v>
      </c>
      <c r="C225" s="349">
        <v>4467429</v>
      </c>
      <c r="D225" s="349" t="s">
        <v>1553</v>
      </c>
      <c r="E225" s="349">
        <v>2018</v>
      </c>
      <c r="F225" s="350">
        <v>4.7300000000000004</v>
      </c>
      <c r="G225" s="350">
        <v>1.4</v>
      </c>
      <c r="H225" s="350">
        <v>372080.12</v>
      </c>
      <c r="I225" s="350">
        <v>520341.71</v>
      </c>
      <c r="J225" s="350">
        <v>47070.38</v>
      </c>
      <c r="K225" s="350">
        <v>86055.95</v>
      </c>
      <c r="L225" s="350">
        <v>658783.39</v>
      </c>
    </row>
    <row r="226" spans="1:12" ht="39" x14ac:dyDescent="0.25">
      <c r="A226" s="349" t="s">
        <v>909</v>
      </c>
      <c r="B226" s="349" t="s">
        <v>1427</v>
      </c>
      <c r="C226" s="349">
        <v>4533728</v>
      </c>
      <c r="D226" s="349" t="s">
        <v>1524</v>
      </c>
      <c r="E226" s="349">
        <v>2018</v>
      </c>
      <c r="F226" s="350">
        <v>5.87</v>
      </c>
      <c r="G226" s="350">
        <v>1.53</v>
      </c>
      <c r="H226" s="350">
        <v>377612.93</v>
      </c>
      <c r="I226" s="350">
        <v>543488.22</v>
      </c>
      <c r="J226" s="350">
        <v>29175.48</v>
      </c>
      <c r="K226" s="350">
        <v>93448.61</v>
      </c>
      <c r="L226" s="350">
        <v>640682.66</v>
      </c>
    </row>
    <row r="227" spans="1:12" ht="39" x14ac:dyDescent="0.25">
      <c r="A227" s="349" t="s">
        <v>909</v>
      </c>
      <c r="B227" s="349" t="s">
        <v>1427</v>
      </c>
      <c r="C227" s="349">
        <v>9659243</v>
      </c>
      <c r="D227" s="349" t="s">
        <v>918</v>
      </c>
      <c r="E227" s="349">
        <v>2018</v>
      </c>
      <c r="F227" s="350">
        <v>5.15</v>
      </c>
      <c r="G227" s="350">
        <v>1.21</v>
      </c>
      <c r="H227" s="350">
        <v>419905.39</v>
      </c>
      <c r="I227" s="350">
        <v>537676.13</v>
      </c>
      <c r="J227" s="350">
        <v>50326.37</v>
      </c>
      <c r="K227" s="350">
        <v>156765.31</v>
      </c>
      <c r="L227" s="350">
        <v>753195.33</v>
      </c>
    </row>
    <row r="228" spans="1:12" ht="26.25" x14ac:dyDescent="0.25">
      <c r="A228" s="349" t="s">
        <v>922</v>
      </c>
      <c r="B228" s="349" t="s">
        <v>1346</v>
      </c>
      <c r="C228" s="349">
        <v>8051895</v>
      </c>
      <c r="D228" s="349" t="s">
        <v>1357</v>
      </c>
      <c r="E228" s="349">
        <v>2018</v>
      </c>
      <c r="F228" s="350">
        <v>6.08</v>
      </c>
      <c r="G228" s="350">
        <v>0</v>
      </c>
      <c r="H228" s="350">
        <v>454078.87</v>
      </c>
      <c r="I228" s="351"/>
      <c r="J228" s="350">
        <v>192624.01</v>
      </c>
      <c r="K228" s="350">
        <v>77419.240000000005</v>
      </c>
      <c r="L228" s="350">
        <v>482134.34</v>
      </c>
    </row>
    <row r="229" spans="1:12" ht="39" x14ac:dyDescent="0.25">
      <c r="A229" s="349" t="s">
        <v>928</v>
      </c>
      <c r="B229" s="349" t="s">
        <v>1514</v>
      </c>
      <c r="C229" s="349">
        <v>8314639</v>
      </c>
      <c r="D229" s="349" t="s">
        <v>931</v>
      </c>
      <c r="E229" s="349">
        <v>2018</v>
      </c>
      <c r="F229" s="350">
        <v>4.1500000000000004</v>
      </c>
      <c r="G229" s="350">
        <v>0.71</v>
      </c>
      <c r="H229" s="350">
        <v>523606.99</v>
      </c>
      <c r="I229" s="350">
        <v>588767.61</v>
      </c>
      <c r="J229" s="350">
        <v>48323.99</v>
      </c>
      <c r="K229" s="350">
        <v>118288.15</v>
      </c>
      <c r="L229" s="350">
        <v>790586.6</v>
      </c>
    </row>
    <row r="230" spans="1:12" ht="39" x14ac:dyDescent="0.25">
      <c r="A230" s="349" t="s">
        <v>928</v>
      </c>
      <c r="B230" s="349" t="s">
        <v>1394</v>
      </c>
      <c r="C230" s="349">
        <v>9870958</v>
      </c>
      <c r="D230" s="349" t="s">
        <v>935</v>
      </c>
      <c r="E230" s="349">
        <v>2018</v>
      </c>
      <c r="F230" s="350">
        <v>3.3</v>
      </c>
      <c r="G230" s="350">
        <v>0.88</v>
      </c>
      <c r="H230" s="350">
        <v>593618.18000000005</v>
      </c>
      <c r="I230" s="350">
        <v>486073.86</v>
      </c>
      <c r="J230" s="350">
        <v>87439.79</v>
      </c>
      <c r="K230" s="350">
        <v>297365.96000000002</v>
      </c>
      <c r="L230" s="350">
        <v>1105481.6499999999</v>
      </c>
    </row>
    <row r="231" spans="1:12" ht="51.75" x14ac:dyDescent="0.25">
      <c r="A231" s="349" t="s">
        <v>928</v>
      </c>
      <c r="B231" s="349" t="s">
        <v>1405</v>
      </c>
      <c r="C231" s="349">
        <v>5922905</v>
      </c>
      <c r="D231" s="349" t="s">
        <v>1413</v>
      </c>
      <c r="E231" s="349">
        <v>2018</v>
      </c>
      <c r="F231" s="350">
        <v>3.3</v>
      </c>
      <c r="G231" s="350">
        <v>0.88</v>
      </c>
      <c r="H231" s="350">
        <v>346281.21</v>
      </c>
      <c r="I231" s="350">
        <v>544075</v>
      </c>
      <c r="J231" s="350">
        <v>58585.120000000003</v>
      </c>
      <c r="K231" s="350">
        <v>136427.79</v>
      </c>
      <c r="L231" s="350">
        <v>673657.41</v>
      </c>
    </row>
    <row r="232" spans="1:12" ht="39" x14ac:dyDescent="0.25">
      <c r="A232" s="349" t="s">
        <v>928</v>
      </c>
      <c r="B232" s="349" t="s">
        <v>1472</v>
      </c>
      <c r="C232" s="349">
        <v>9379121</v>
      </c>
      <c r="D232" s="349" t="s">
        <v>933</v>
      </c>
      <c r="E232" s="349">
        <v>2018</v>
      </c>
      <c r="F232" s="350">
        <v>8.1</v>
      </c>
      <c r="G232" s="350">
        <v>0.63</v>
      </c>
      <c r="H232" s="350">
        <v>462248.4</v>
      </c>
      <c r="I232" s="350">
        <v>629019.05000000005</v>
      </c>
      <c r="J232" s="350">
        <v>44493.83</v>
      </c>
      <c r="K232" s="350">
        <v>108151.79</v>
      </c>
      <c r="L232" s="350">
        <v>658660.75</v>
      </c>
    </row>
    <row r="233" spans="1:12" ht="39" x14ac:dyDescent="0.25">
      <c r="A233" s="349" t="s">
        <v>1247</v>
      </c>
      <c r="B233" s="349" t="s">
        <v>1241</v>
      </c>
      <c r="C233" s="349">
        <v>7846871</v>
      </c>
      <c r="D233" s="349" t="s">
        <v>1246</v>
      </c>
      <c r="E233" s="349">
        <v>2018</v>
      </c>
      <c r="F233" s="350">
        <v>3.4</v>
      </c>
      <c r="G233" s="350">
        <v>1.3</v>
      </c>
      <c r="H233" s="350">
        <v>336387.94</v>
      </c>
      <c r="I233" s="350">
        <v>439892.31</v>
      </c>
      <c r="J233" s="350">
        <v>16176.47</v>
      </c>
      <c r="K233" s="350">
        <v>46963.66</v>
      </c>
      <c r="L233" s="350">
        <v>526314.25</v>
      </c>
    </row>
    <row r="234" spans="1:12" ht="26.25" x14ac:dyDescent="0.25">
      <c r="A234" s="349" t="s">
        <v>1247</v>
      </c>
      <c r="B234" s="349" t="s">
        <v>1346</v>
      </c>
      <c r="C234" s="349">
        <v>5871375</v>
      </c>
      <c r="D234" s="349" t="s">
        <v>1351</v>
      </c>
      <c r="E234" s="349">
        <v>2018</v>
      </c>
      <c r="F234" s="350">
        <v>12.5</v>
      </c>
      <c r="G234" s="350">
        <v>2.2999999999999998</v>
      </c>
      <c r="H234" s="350">
        <v>332716.64</v>
      </c>
      <c r="I234" s="350">
        <v>904121.3</v>
      </c>
      <c r="J234" s="350">
        <v>67957.95</v>
      </c>
      <c r="K234" s="350">
        <v>134687.35999999999</v>
      </c>
      <c r="L234" s="350">
        <v>346091.39</v>
      </c>
    </row>
    <row r="235" spans="1:12" ht="39" x14ac:dyDescent="0.25">
      <c r="A235" s="349" t="s">
        <v>1247</v>
      </c>
      <c r="B235" s="349" t="s">
        <v>1472</v>
      </c>
      <c r="C235" s="349">
        <v>3595008</v>
      </c>
      <c r="D235" s="349" t="s">
        <v>1479</v>
      </c>
      <c r="E235" s="349">
        <v>2018</v>
      </c>
      <c r="F235" s="350">
        <v>6.6</v>
      </c>
      <c r="G235" s="350">
        <v>1.3</v>
      </c>
      <c r="H235" s="350">
        <v>349831.36</v>
      </c>
      <c r="I235" s="350">
        <v>888033.08</v>
      </c>
      <c r="J235" s="350">
        <v>41566.25</v>
      </c>
      <c r="K235" s="350">
        <v>99006.61</v>
      </c>
      <c r="L235" s="350">
        <v>665319.82999999996</v>
      </c>
    </row>
    <row r="236" spans="1:12" ht="39" x14ac:dyDescent="0.25">
      <c r="A236" s="349" t="s">
        <v>940</v>
      </c>
      <c r="B236" s="349" t="s">
        <v>1155</v>
      </c>
      <c r="C236" s="349">
        <v>9478716</v>
      </c>
      <c r="D236" s="349" t="s">
        <v>940</v>
      </c>
      <c r="E236" s="349">
        <v>2018</v>
      </c>
      <c r="F236" s="350">
        <v>0.65</v>
      </c>
      <c r="G236" s="350">
        <v>0.19</v>
      </c>
      <c r="H236" s="350">
        <v>297593.84999999998</v>
      </c>
      <c r="I236" s="350">
        <v>278000</v>
      </c>
      <c r="J236" s="350">
        <v>0</v>
      </c>
      <c r="K236" s="350">
        <v>116498.46</v>
      </c>
      <c r="L236" s="350">
        <v>307692.31</v>
      </c>
    </row>
    <row r="237" spans="1:12" ht="39" x14ac:dyDescent="0.25">
      <c r="A237" s="349" t="s">
        <v>942</v>
      </c>
      <c r="B237" s="349" t="s">
        <v>1155</v>
      </c>
      <c r="C237" s="349">
        <v>4878719</v>
      </c>
      <c r="D237" s="349" t="s">
        <v>942</v>
      </c>
      <c r="E237" s="349">
        <v>2018</v>
      </c>
      <c r="F237" s="350">
        <v>5.4</v>
      </c>
      <c r="G237" s="350">
        <v>0.4</v>
      </c>
      <c r="H237" s="350">
        <v>331229.63</v>
      </c>
      <c r="I237" s="350">
        <v>1123870</v>
      </c>
      <c r="J237" s="350">
        <v>17633.330000000002</v>
      </c>
      <c r="K237" s="350">
        <v>54613.15</v>
      </c>
      <c r="L237" s="350">
        <v>338227.41</v>
      </c>
    </row>
    <row r="238" spans="1:12" ht="39" x14ac:dyDescent="0.25">
      <c r="A238" s="349" t="s">
        <v>942</v>
      </c>
      <c r="B238" s="349" t="s">
        <v>1316</v>
      </c>
      <c r="C238" s="349">
        <v>5344327</v>
      </c>
      <c r="D238" s="349" t="s">
        <v>942</v>
      </c>
      <c r="E238" s="349">
        <v>2018</v>
      </c>
      <c r="F238" s="350">
        <v>20.5</v>
      </c>
      <c r="G238" s="350">
        <v>10</v>
      </c>
      <c r="H238" s="350">
        <v>376437.46</v>
      </c>
      <c r="I238" s="350">
        <v>520329.2</v>
      </c>
      <c r="J238" s="350">
        <v>74375.66</v>
      </c>
      <c r="K238" s="350">
        <v>184812.39</v>
      </c>
      <c r="L238" s="350">
        <v>334842.49</v>
      </c>
    </row>
    <row r="239" spans="1:12" ht="39" x14ac:dyDescent="0.25">
      <c r="A239" s="349" t="s">
        <v>942</v>
      </c>
      <c r="B239" s="349" t="s">
        <v>1336</v>
      </c>
      <c r="C239" s="349">
        <v>1642854</v>
      </c>
      <c r="D239" s="349" t="s">
        <v>942</v>
      </c>
      <c r="E239" s="349">
        <v>2018</v>
      </c>
      <c r="F239" s="350">
        <v>23</v>
      </c>
      <c r="G239" s="350">
        <v>10.199999999999999</v>
      </c>
      <c r="H239" s="350">
        <v>367734.96</v>
      </c>
      <c r="I239" s="350">
        <v>553805.88</v>
      </c>
      <c r="J239" s="350">
        <v>65589.48</v>
      </c>
      <c r="K239" s="350">
        <v>136989.04</v>
      </c>
      <c r="L239" s="350">
        <v>293127.61</v>
      </c>
    </row>
    <row r="240" spans="1:12" ht="64.5" x14ac:dyDescent="0.25">
      <c r="A240" s="349" t="s">
        <v>947</v>
      </c>
      <c r="B240" s="349" t="s">
        <v>1155</v>
      </c>
      <c r="C240" s="349">
        <v>1225073</v>
      </c>
      <c r="D240" s="349" t="s">
        <v>1163</v>
      </c>
      <c r="E240" s="349">
        <v>2018</v>
      </c>
      <c r="F240" s="350">
        <v>16.2</v>
      </c>
      <c r="G240" s="350">
        <v>2.64</v>
      </c>
      <c r="H240" s="350">
        <v>353508.46</v>
      </c>
      <c r="I240" s="350">
        <v>563670.54</v>
      </c>
      <c r="J240" s="350">
        <v>37209.67</v>
      </c>
      <c r="K240" s="350">
        <v>65314.26</v>
      </c>
      <c r="L240" s="350">
        <v>406920.59</v>
      </c>
    </row>
    <row r="241" spans="1:12" ht="64.5" x14ac:dyDescent="0.25">
      <c r="A241" s="349" t="s">
        <v>947</v>
      </c>
      <c r="B241" s="349" t="s">
        <v>1282</v>
      </c>
      <c r="C241" s="349">
        <v>9459250</v>
      </c>
      <c r="D241" s="349" t="s">
        <v>1304</v>
      </c>
      <c r="E241" s="349">
        <v>2018</v>
      </c>
      <c r="F241" s="350">
        <v>4.5999999999999996</v>
      </c>
      <c r="G241" s="350">
        <v>0.3</v>
      </c>
      <c r="H241" s="350">
        <v>406714.57</v>
      </c>
      <c r="I241" s="350">
        <v>1338981.07</v>
      </c>
      <c r="J241" s="350">
        <v>41514.44</v>
      </c>
      <c r="K241" s="350">
        <v>50918.67</v>
      </c>
      <c r="L241" s="350">
        <v>504243.67</v>
      </c>
    </row>
    <row r="242" spans="1:12" ht="26.25" x14ac:dyDescent="0.25">
      <c r="A242" s="349" t="s">
        <v>947</v>
      </c>
      <c r="B242" s="349" t="s">
        <v>1316</v>
      </c>
      <c r="C242" s="349">
        <v>4381530</v>
      </c>
      <c r="D242" s="349" t="s">
        <v>390</v>
      </c>
      <c r="E242" s="349">
        <v>2018</v>
      </c>
      <c r="F242" s="350">
        <v>34</v>
      </c>
      <c r="G242" s="350">
        <v>18.96</v>
      </c>
      <c r="H242" s="350">
        <v>516116.71</v>
      </c>
      <c r="I242" s="350">
        <v>396077.96</v>
      </c>
      <c r="J242" s="350">
        <v>87721.7</v>
      </c>
      <c r="K242" s="350">
        <v>171044.44</v>
      </c>
      <c r="L242" s="350">
        <v>432483.05</v>
      </c>
    </row>
    <row r="243" spans="1:12" ht="26.25" x14ac:dyDescent="0.25">
      <c r="A243" s="349" t="s">
        <v>947</v>
      </c>
      <c r="B243" s="349" t="s">
        <v>1346</v>
      </c>
      <c r="C243" s="349">
        <v>5703553</v>
      </c>
      <c r="D243" s="349" t="s">
        <v>769</v>
      </c>
      <c r="E243" s="349">
        <v>2018</v>
      </c>
      <c r="F243" s="350">
        <v>3.8</v>
      </c>
      <c r="G243" s="350">
        <v>0.3</v>
      </c>
      <c r="H243" s="350">
        <v>427082.9</v>
      </c>
      <c r="I243" s="350">
        <v>679006.1</v>
      </c>
      <c r="J243" s="350">
        <v>136831.79999999999</v>
      </c>
      <c r="K243" s="350">
        <v>46343.85</v>
      </c>
      <c r="L243" s="350">
        <v>506009.37</v>
      </c>
    </row>
    <row r="244" spans="1:12" ht="26.25" x14ac:dyDescent="0.25">
      <c r="A244" s="349" t="s">
        <v>947</v>
      </c>
      <c r="B244" s="349" t="s">
        <v>1423</v>
      </c>
      <c r="C244" s="349">
        <v>4720531</v>
      </c>
      <c r="D244" s="349" t="s">
        <v>859</v>
      </c>
      <c r="E244" s="349">
        <v>2018</v>
      </c>
      <c r="F244" s="350">
        <v>5.0999999999999996</v>
      </c>
      <c r="G244" s="350">
        <v>0.26</v>
      </c>
      <c r="H244" s="350">
        <v>90022.35</v>
      </c>
      <c r="I244" s="350">
        <v>58839.040000000001</v>
      </c>
      <c r="J244" s="350">
        <v>14898.1</v>
      </c>
      <c r="K244" s="350">
        <v>21921.51</v>
      </c>
      <c r="L244" s="350">
        <v>126767.08</v>
      </c>
    </row>
    <row r="245" spans="1:12" ht="39" x14ac:dyDescent="0.25">
      <c r="A245" s="349" t="s">
        <v>955</v>
      </c>
      <c r="B245" s="349" t="s">
        <v>1316</v>
      </c>
      <c r="C245" s="349">
        <v>3619533</v>
      </c>
      <c r="D245" s="349" t="s">
        <v>957</v>
      </c>
      <c r="E245" s="349">
        <v>2018</v>
      </c>
      <c r="F245" s="350">
        <v>17.260000000000002</v>
      </c>
      <c r="G245" s="350">
        <v>5.5</v>
      </c>
      <c r="H245" s="350">
        <v>430396.21</v>
      </c>
      <c r="I245" s="350">
        <v>364427.02</v>
      </c>
      <c r="J245" s="350">
        <v>29985.55</v>
      </c>
      <c r="K245" s="350">
        <v>195539.12</v>
      </c>
      <c r="L245" s="350">
        <v>252274.13</v>
      </c>
    </row>
    <row r="246" spans="1:12" ht="64.5" x14ac:dyDescent="0.25">
      <c r="A246" s="349" t="s">
        <v>959</v>
      </c>
      <c r="B246" s="349" t="s">
        <v>1316</v>
      </c>
      <c r="C246" s="349">
        <v>8982230</v>
      </c>
      <c r="D246" s="349" t="s">
        <v>959</v>
      </c>
      <c r="E246" s="349">
        <v>2018</v>
      </c>
      <c r="F246" s="350">
        <v>16</v>
      </c>
      <c r="G246" s="350">
        <v>9</v>
      </c>
      <c r="H246" s="350">
        <v>493694.69</v>
      </c>
      <c r="I246" s="350">
        <v>338897.33</v>
      </c>
      <c r="J246" s="350">
        <v>87311.56</v>
      </c>
      <c r="K246" s="350">
        <v>210792.44</v>
      </c>
      <c r="L246" s="350">
        <v>367884.06</v>
      </c>
    </row>
    <row r="247" spans="1:12" ht="26.25" x14ac:dyDescent="0.25">
      <c r="A247" s="349" t="s">
        <v>962</v>
      </c>
      <c r="B247" s="349" t="s">
        <v>1124</v>
      </c>
      <c r="C247" s="349">
        <v>1715626</v>
      </c>
      <c r="D247" s="349" t="s">
        <v>962</v>
      </c>
      <c r="E247" s="349">
        <v>2018</v>
      </c>
      <c r="F247" s="350">
        <v>8.8000000000000007</v>
      </c>
      <c r="G247" s="350">
        <v>1.7</v>
      </c>
      <c r="H247" s="350">
        <v>364365.37</v>
      </c>
      <c r="I247" s="350">
        <v>285329.40999999997</v>
      </c>
      <c r="J247" s="350">
        <v>37144.910000000003</v>
      </c>
      <c r="K247" s="350">
        <v>81742.429999999993</v>
      </c>
      <c r="L247" s="350">
        <v>425161.91</v>
      </c>
    </row>
    <row r="248" spans="1:12" ht="26.25" x14ac:dyDescent="0.25">
      <c r="A248" s="349" t="s">
        <v>962</v>
      </c>
      <c r="B248" s="349" t="s">
        <v>1155</v>
      </c>
      <c r="C248" s="349">
        <v>3921078</v>
      </c>
      <c r="D248" s="349" t="s">
        <v>962</v>
      </c>
      <c r="E248" s="349">
        <v>2018</v>
      </c>
      <c r="F248" s="350">
        <v>0.95</v>
      </c>
      <c r="G248" s="350">
        <v>0.18</v>
      </c>
      <c r="H248" s="350">
        <v>464819.56</v>
      </c>
      <c r="I248" s="350">
        <v>285327.78000000003</v>
      </c>
      <c r="J248" s="350">
        <v>53464.12</v>
      </c>
      <c r="K248" s="350">
        <v>118647.99</v>
      </c>
      <c r="L248" s="350">
        <v>501272.72</v>
      </c>
    </row>
    <row r="249" spans="1:12" ht="26.25" x14ac:dyDescent="0.25">
      <c r="A249" s="349" t="s">
        <v>965</v>
      </c>
      <c r="B249" s="349" t="s">
        <v>1124</v>
      </c>
      <c r="C249" s="349">
        <v>3198258</v>
      </c>
      <c r="D249" s="349" t="s">
        <v>965</v>
      </c>
      <c r="E249" s="349">
        <v>2018</v>
      </c>
      <c r="F249" s="350">
        <v>6.55</v>
      </c>
      <c r="G249" s="350">
        <v>0.9</v>
      </c>
      <c r="H249" s="350">
        <v>406818.78</v>
      </c>
      <c r="I249" s="350">
        <v>583181.11</v>
      </c>
      <c r="J249" s="350">
        <v>20225.5</v>
      </c>
      <c r="K249" s="350">
        <v>141794.66</v>
      </c>
      <c r="L249" s="350">
        <v>529009.62</v>
      </c>
    </row>
    <row r="250" spans="1:12" ht="26.25" x14ac:dyDescent="0.25">
      <c r="A250" s="349" t="s">
        <v>1141</v>
      </c>
      <c r="B250" s="349" t="s">
        <v>1124</v>
      </c>
      <c r="C250" s="349">
        <v>4271738</v>
      </c>
      <c r="D250" s="349" t="s">
        <v>1140</v>
      </c>
      <c r="E250" s="349">
        <v>2018</v>
      </c>
      <c r="F250" s="350">
        <v>10.62</v>
      </c>
      <c r="G250" s="350">
        <v>0.85</v>
      </c>
      <c r="H250" s="350">
        <v>307499.71999999997</v>
      </c>
      <c r="I250" s="350">
        <v>1188444.71</v>
      </c>
      <c r="J250" s="350">
        <v>69952.45</v>
      </c>
      <c r="K250" s="350">
        <v>91619.87</v>
      </c>
      <c r="L250" s="350">
        <v>434133.99</v>
      </c>
    </row>
    <row r="251" spans="1:12" ht="26.25" x14ac:dyDescent="0.25">
      <c r="A251" s="349" t="s">
        <v>969</v>
      </c>
      <c r="B251" s="349" t="s">
        <v>1250</v>
      </c>
      <c r="C251" s="349">
        <v>1622964</v>
      </c>
      <c r="D251" s="349" t="s">
        <v>684</v>
      </c>
      <c r="E251" s="349">
        <v>2018</v>
      </c>
      <c r="F251" s="350">
        <v>8.48</v>
      </c>
      <c r="G251" s="350">
        <v>0.13</v>
      </c>
      <c r="H251" s="350">
        <v>367693.99</v>
      </c>
      <c r="I251" s="350">
        <v>42021.15</v>
      </c>
      <c r="J251" s="350">
        <v>36901.42</v>
      </c>
      <c r="K251" s="350">
        <v>82305.240000000005</v>
      </c>
      <c r="L251" s="350">
        <v>389449.44</v>
      </c>
    </row>
    <row r="252" spans="1:12" ht="26.25" x14ac:dyDescent="0.25">
      <c r="A252" s="349" t="s">
        <v>969</v>
      </c>
      <c r="B252" s="349" t="s">
        <v>1282</v>
      </c>
      <c r="C252" s="349">
        <v>8979890</v>
      </c>
      <c r="D252" s="349" t="s">
        <v>389</v>
      </c>
      <c r="E252" s="349">
        <v>2018</v>
      </c>
      <c r="F252" s="350">
        <v>5.54</v>
      </c>
      <c r="G252" s="350">
        <v>3.62</v>
      </c>
      <c r="H252" s="350">
        <v>372119.31</v>
      </c>
      <c r="I252" s="350">
        <v>402688.52</v>
      </c>
      <c r="J252" s="350">
        <v>51698.58</v>
      </c>
      <c r="K252" s="350">
        <v>215102.68</v>
      </c>
      <c r="L252" s="350">
        <v>663167.88</v>
      </c>
    </row>
    <row r="253" spans="1:12" ht="26.25" x14ac:dyDescent="0.25">
      <c r="A253" s="349" t="s">
        <v>974</v>
      </c>
      <c r="B253" s="349" t="s">
        <v>1282</v>
      </c>
      <c r="C253" s="349">
        <v>5173305</v>
      </c>
      <c r="D253" s="349" t="s">
        <v>974</v>
      </c>
      <c r="E253" s="349">
        <v>2018</v>
      </c>
      <c r="F253" s="350">
        <v>12</v>
      </c>
      <c r="G253" s="350">
        <v>6.5</v>
      </c>
      <c r="H253" s="350">
        <v>386016.67</v>
      </c>
      <c r="I253" s="350">
        <v>686815.39</v>
      </c>
      <c r="J253" s="350">
        <v>115550</v>
      </c>
      <c r="K253" s="350">
        <v>133370.82999999999</v>
      </c>
      <c r="L253" s="350">
        <v>909479.17</v>
      </c>
    </row>
    <row r="254" spans="1:12" ht="64.5" x14ac:dyDescent="0.25">
      <c r="A254" s="349" t="s">
        <v>977</v>
      </c>
      <c r="B254" s="349" t="s">
        <v>1155</v>
      </c>
      <c r="C254" s="349">
        <v>5175408</v>
      </c>
      <c r="D254" s="349" t="s">
        <v>977</v>
      </c>
      <c r="E254" s="349">
        <v>2018</v>
      </c>
      <c r="F254" s="350">
        <v>2.25</v>
      </c>
      <c r="G254" s="350">
        <v>0.25</v>
      </c>
      <c r="H254" s="350">
        <v>295797.33</v>
      </c>
      <c r="I254" s="350">
        <v>1116868</v>
      </c>
      <c r="J254" s="350">
        <v>56598.22</v>
      </c>
      <c r="K254" s="350">
        <v>379207.11</v>
      </c>
      <c r="L254" s="350">
        <v>433332.44</v>
      </c>
    </row>
    <row r="255" spans="1:12" ht="64.5" x14ac:dyDescent="0.25">
      <c r="A255" s="349" t="s">
        <v>977</v>
      </c>
      <c r="B255" s="349" t="s">
        <v>1273</v>
      </c>
      <c r="C255" s="349">
        <v>2015983</v>
      </c>
      <c r="D255" s="349" t="s">
        <v>977</v>
      </c>
      <c r="E255" s="349">
        <v>2018</v>
      </c>
      <c r="F255" s="350">
        <v>2.25</v>
      </c>
      <c r="G255" s="350">
        <v>0.25</v>
      </c>
      <c r="H255" s="350">
        <v>295797.33</v>
      </c>
      <c r="I255" s="350">
        <v>1116868</v>
      </c>
      <c r="J255" s="350">
        <v>49513.33</v>
      </c>
      <c r="K255" s="350">
        <v>61396.89</v>
      </c>
      <c r="L255" s="350">
        <v>480744.89</v>
      </c>
    </row>
    <row r="256" spans="1:12" ht="26.25" x14ac:dyDescent="0.25">
      <c r="A256" s="349" t="s">
        <v>1533</v>
      </c>
      <c r="B256" s="349" t="s">
        <v>1472</v>
      </c>
      <c r="C256" s="349">
        <v>4385424</v>
      </c>
      <c r="D256" s="349" t="s">
        <v>1535</v>
      </c>
      <c r="E256" s="349">
        <v>2018</v>
      </c>
      <c r="F256" s="350">
        <v>3</v>
      </c>
      <c r="G256" s="350">
        <v>0.9</v>
      </c>
      <c r="H256" s="350">
        <v>465382</v>
      </c>
      <c r="I256" s="350">
        <v>455451.11</v>
      </c>
      <c r="J256" s="350">
        <v>25793.33</v>
      </c>
      <c r="K256" s="350">
        <v>32666.67</v>
      </c>
      <c r="L256" s="350">
        <v>660477.32999999996</v>
      </c>
    </row>
    <row r="257" spans="1:12" ht="64.5" x14ac:dyDescent="0.25">
      <c r="A257" s="349" t="s">
        <v>1067</v>
      </c>
      <c r="B257" s="349" t="s">
        <v>1055</v>
      </c>
      <c r="C257" s="349">
        <v>2093343</v>
      </c>
      <c r="D257" s="349" t="s">
        <v>1066</v>
      </c>
      <c r="E257" s="349">
        <v>2018</v>
      </c>
      <c r="F257" s="350">
        <v>1.1499999999999999</v>
      </c>
      <c r="G257" s="350">
        <v>0.25</v>
      </c>
      <c r="H257" s="350">
        <v>424300.87</v>
      </c>
      <c r="I257" s="350">
        <v>524337</v>
      </c>
      <c r="J257" s="350">
        <v>27333.64</v>
      </c>
      <c r="K257" s="350">
        <v>109422.73</v>
      </c>
      <c r="L257" s="350">
        <v>675043.55</v>
      </c>
    </row>
    <row r="258" spans="1:12" ht="64.5" x14ac:dyDescent="0.25">
      <c r="A258" s="349" t="s">
        <v>1067</v>
      </c>
      <c r="B258" s="349" t="s">
        <v>1055</v>
      </c>
      <c r="C258" s="349">
        <v>5700178</v>
      </c>
      <c r="D258" s="349" t="s">
        <v>1066</v>
      </c>
      <c r="E258" s="349">
        <v>2018</v>
      </c>
      <c r="F258" s="350">
        <v>1.25</v>
      </c>
      <c r="G258" s="350">
        <v>0.3</v>
      </c>
      <c r="H258" s="350">
        <v>463774</v>
      </c>
      <c r="I258" s="350">
        <v>464254.17</v>
      </c>
      <c r="J258" s="350">
        <v>30741.54</v>
      </c>
      <c r="K258" s="350">
        <v>72224.479999999996</v>
      </c>
      <c r="L258" s="350">
        <v>678161.02</v>
      </c>
    </row>
    <row r="259" spans="1:12" ht="64.5" x14ac:dyDescent="0.25">
      <c r="A259" s="349" t="s">
        <v>1067</v>
      </c>
      <c r="B259" s="349" t="s">
        <v>1055</v>
      </c>
      <c r="C259" s="349">
        <v>6811251</v>
      </c>
      <c r="D259" s="349" t="s">
        <v>1066</v>
      </c>
      <c r="E259" s="349">
        <v>2018</v>
      </c>
      <c r="F259" s="350">
        <v>0.6</v>
      </c>
      <c r="G259" s="350">
        <v>0.15</v>
      </c>
      <c r="H259" s="350">
        <v>468220.42</v>
      </c>
      <c r="I259" s="350">
        <v>464273.33</v>
      </c>
      <c r="J259" s="350">
        <v>322.52999999999997</v>
      </c>
      <c r="K259" s="350">
        <v>82650.73</v>
      </c>
      <c r="L259" s="350">
        <v>667262.02</v>
      </c>
    </row>
    <row r="260" spans="1:12" ht="51.75" x14ac:dyDescent="0.25">
      <c r="A260" s="349" t="s">
        <v>1067</v>
      </c>
      <c r="B260" s="349" t="s">
        <v>1238</v>
      </c>
      <c r="C260" s="349">
        <v>3736692</v>
      </c>
      <c r="D260" s="349" t="s">
        <v>1239</v>
      </c>
      <c r="E260" s="349">
        <v>2018</v>
      </c>
      <c r="F260" s="350">
        <v>1.21</v>
      </c>
      <c r="G260" s="350">
        <v>0.2</v>
      </c>
      <c r="H260" s="350">
        <v>437863.84</v>
      </c>
      <c r="I260" s="350">
        <v>409240</v>
      </c>
      <c r="J260" s="350">
        <v>33115.08</v>
      </c>
      <c r="K260" s="350">
        <v>79611.5</v>
      </c>
      <c r="L260" s="350">
        <v>588332.56999999995</v>
      </c>
    </row>
    <row r="261" spans="1:12" ht="64.5" x14ac:dyDescent="0.25">
      <c r="A261" s="349" t="s">
        <v>1067</v>
      </c>
      <c r="B261" s="349" t="s">
        <v>1447</v>
      </c>
      <c r="C261" s="349">
        <v>1792038</v>
      </c>
      <c r="D261" s="349" t="s">
        <v>1448</v>
      </c>
      <c r="E261" s="349">
        <v>2018</v>
      </c>
      <c r="F261" s="350">
        <v>1.71</v>
      </c>
      <c r="G261" s="350">
        <v>0.3</v>
      </c>
      <c r="H261" s="350">
        <v>436305.26</v>
      </c>
      <c r="I261" s="350">
        <v>464253.33</v>
      </c>
      <c r="J261" s="350">
        <v>24100.26</v>
      </c>
      <c r="K261" s="350">
        <v>126395.12</v>
      </c>
      <c r="L261" s="350">
        <v>668248.59</v>
      </c>
    </row>
    <row r="262" spans="1:12" ht="51.75" x14ac:dyDescent="0.25">
      <c r="A262" s="349" t="s">
        <v>1067</v>
      </c>
      <c r="B262" s="349" t="s">
        <v>1472</v>
      </c>
      <c r="C262" s="349">
        <v>4373225</v>
      </c>
      <c r="D262" s="349" t="s">
        <v>1485</v>
      </c>
      <c r="E262" s="349">
        <v>2018</v>
      </c>
      <c r="F262" s="350">
        <v>1.6</v>
      </c>
      <c r="G262" s="350">
        <v>0.4</v>
      </c>
      <c r="H262" s="350">
        <v>505818.13</v>
      </c>
      <c r="I262" s="350">
        <v>469276.25</v>
      </c>
      <c r="J262" s="350">
        <v>24153.24</v>
      </c>
      <c r="K262" s="350">
        <v>89128.07</v>
      </c>
      <c r="L262" s="350">
        <v>736418.49</v>
      </c>
    </row>
    <row r="263" spans="1:12" ht="64.5" x14ac:dyDescent="0.25">
      <c r="A263" s="349" t="s">
        <v>1536</v>
      </c>
      <c r="B263" s="349" t="s">
        <v>1472</v>
      </c>
      <c r="C263" s="349">
        <v>7175172</v>
      </c>
      <c r="D263" s="349" t="s">
        <v>1537</v>
      </c>
      <c r="E263" s="349">
        <v>2018</v>
      </c>
      <c r="F263" s="350">
        <v>2.0099999999999998</v>
      </c>
      <c r="G263" s="350">
        <v>0.21</v>
      </c>
      <c r="H263" s="350">
        <v>404171.27</v>
      </c>
      <c r="I263" s="350">
        <v>501684.52</v>
      </c>
      <c r="J263" s="350">
        <v>67547.289999999994</v>
      </c>
      <c r="K263" s="350">
        <v>175023.07</v>
      </c>
      <c r="L263" s="350">
        <v>636499.39</v>
      </c>
    </row>
    <row r="264" spans="1:12" ht="51.75" x14ac:dyDescent="0.25">
      <c r="A264" s="349" t="s">
        <v>997</v>
      </c>
      <c r="B264" s="349" t="s">
        <v>1250</v>
      </c>
      <c r="C264" s="349">
        <v>6375207</v>
      </c>
      <c r="D264" s="349" t="s">
        <v>997</v>
      </c>
      <c r="E264" s="349">
        <v>2018</v>
      </c>
      <c r="F264" s="350">
        <v>1.93</v>
      </c>
      <c r="G264" s="350">
        <v>7.0000000000000007E-2</v>
      </c>
      <c r="H264" s="350">
        <v>452313.47</v>
      </c>
      <c r="I264" s="350">
        <v>2320071.71</v>
      </c>
      <c r="J264" s="350">
        <v>10821.24</v>
      </c>
      <c r="K264" s="350">
        <v>19972.189999999999</v>
      </c>
      <c r="L264" s="350">
        <v>476191.89</v>
      </c>
    </row>
    <row r="265" spans="1:12" ht="51.75" x14ac:dyDescent="0.25">
      <c r="A265" s="349" t="s">
        <v>997</v>
      </c>
      <c r="B265" s="349" t="s">
        <v>1311</v>
      </c>
      <c r="C265" s="349">
        <v>1546097</v>
      </c>
      <c r="D265" s="349" t="s">
        <v>997</v>
      </c>
      <c r="E265" s="349">
        <v>2018</v>
      </c>
      <c r="F265" s="350">
        <v>66.069999999999993</v>
      </c>
      <c r="G265" s="350">
        <v>12.93</v>
      </c>
      <c r="H265" s="350">
        <v>496282.9</v>
      </c>
      <c r="I265" s="350">
        <v>572111.76</v>
      </c>
      <c r="J265" s="350">
        <v>69373.77</v>
      </c>
      <c r="K265" s="350">
        <v>88456.62</v>
      </c>
      <c r="L265" s="350">
        <v>417934.34</v>
      </c>
    </row>
    <row r="266" spans="1:12" ht="51.75" x14ac:dyDescent="0.25">
      <c r="A266" s="349" t="s">
        <v>1001</v>
      </c>
      <c r="B266" s="349" t="s">
        <v>1311</v>
      </c>
      <c r="C266" s="349">
        <v>2089762</v>
      </c>
      <c r="D266" s="349" t="s">
        <v>1001</v>
      </c>
      <c r="E266" s="349">
        <v>2018</v>
      </c>
      <c r="F266" s="350">
        <v>49</v>
      </c>
      <c r="G266" s="350">
        <v>17</v>
      </c>
      <c r="H266" s="350">
        <v>498597.94</v>
      </c>
      <c r="I266" s="350">
        <v>448231.65</v>
      </c>
      <c r="J266" s="350">
        <v>95872.66</v>
      </c>
      <c r="K266" s="350">
        <v>117445.63</v>
      </c>
      <c r="L266" s="350">
        <v>558533.44999999995</v>
      </c>
    </row>
    <row r="267" spans="1:12" ht="39" x14ac:dyDescent="0.25">
      <c r="A267" s="349" t="s">
        <v>1003</v>
      </c>
      <c r="B267" s="349" t="s">
        <v>1155</v>
      </c>
      <c r="C267" s="349">
        <v>3095940</v>
      </c>
      <c r="D267" s="349" t="s">
        <v>386</v>
      </c>
      <c r="E267" s="349">
        <v>2018</v>
      </c>
      <c r="F267" s="350">
        <v>6.94</v>
      </c>
      <c r="G267" s="350">
        <v>2.2999999999999998</v>
      </c>
      <c r="H267" s="350">
        <v>390975.22</v>
      </c>
      <c r="I267" s="350">
        <v>443657.39</v>
      </c>
      <c r="J267" s="350">
        <v>52428.53</v>
      </c>
      <c r="K267" s="350">
        <v>115334.29</v>
      </c>
      <c r="L267" s="350">
        <v>408170.89</v>
      </c>
    </row>
    <row r="268" spans="1:12" ht="39" x14ac:dyDescent="0.25">
      <c r="A268" s="349" t="s">
        <v>1003</v>
      </c>
      <c r="B268" s="349" t="s">
        <v>1316</v>
      </c>
      <c r="C268" s="349">
        <v>1109434</v>
      </c>
      <c r="D268" s="349" t="s">
        <v>390</v>
      </c>
      <c r="E268" s="349">
        <v>2018</v>
      </c>
      <c r="F268" s="350">
        <v>27.29</v>
      </c>
      <c r="G268" s="350">
        <v>13.72</v>
      </c>
      <c r="H268" s="350">
        <v>462906.38</v>
      </c>
      <c r="I268" s="350">
        <v>394999.2</v>
      </c>
      <c r="J268" s="350">
        <v>142518.43</v>
      </c>
      <c r="K268" s="350">
        <v>149327.56</v>
      </c>
      <c r="L268" s="350">
        <v>331637.84999999998</v>
      </c>
    </row>
    <row r="269" spans="1:12" ht="51.75" x14ac:dyDescent="0.25">
      <c r="A269" s="349" t="s">
        <v>1007</v>
      </c>
      <c r="B269" s="349" t="s">
        <v>1316</v>
      </c>
      <c r="C269" s="349">
        <v>3135426</v>
      </c>
      <c r="D269" s="349" t="s">
        <v>1007</v>
      </c>
      <c r="E269" s="349">
        <v>2018</v>
      </c>
      <c r="F269" s="350">
        <v>21.75</v>
      </c>
      <c r="G269" s="350">
        <v>13.75</v>
      </c>
      <c r="H269" s="350">
        <v>443854.53</v>
      </c>
      <c r="I269" s="350">
        <v>435792.73</v>
      </c>
      <c r="J269" s="350">
        <v>138177.89000000001</v>
      </c>
      <c r="K269" s="350">
        <v>321469.61</v>
      </c>
      <c r="L269" s="350">
        <v>341588.87</v>
      </c>
    </row>
    <row r="270" spans="1:12" ht="64.5" x14ac:dyDescent="0.25">
      <c r="A270" s="349" t="s">
        <v>1010</v>
      </c>
      <c r="B270" s="349" t="s">
        <v>1124</v>
      </c>
      <c r="C270" s="349">
        <v>2495303</v>
      </c>
      <c r="D270" s="349" t="s">
        <v>1010</v>
      </c>
      <c r="E270" s="349">
        <v>2018</v>
      </c>
      <c r="F270" s="350">
        <v>8.84</v>
      </c>
      <c r="G270" s="350">
        <v>1.37</v>
      </c>
      <c r="H270" s="350">
        <v>297443.21000000002</v>
      </c>
      <c r="I270" s="350">
        <v>784416.05</v>
      </c>
      <c r="J270" s="350">
        <v>35879.360000000001</v>
      </c>
      <c r="K270" s="350">
        <v>77034.45</v>
      </c>
      <c r="L270" s="350">
        <v>443577.59999999998</v>
      </c>
    </row>
    <row r="271" spans="1:12" ht="64.5" x14ac:dyDescent="0.25">
      <c r="A271" s="349" t="s">
        <v>1010</v>
      </c>
      <c r="B271" s="349" t="s">
        <v>1282</v>
      </c>
      <c r="C271" s="349">
        <v>9268423</v>
      </c>
      <c r="D271" s="349" t="s">
        <v>1010</v>
      </c>
      <c r="E271" s="349">
        <v>2018</v>
      </c>
      <c r="F271" s="350">
        <v>17.03</v>
      </c>
      <c r="G271" s="350">
        <v>4.72</v>
      </c>
      <c r="H271" s="350">
        <v>341114.74</v>
      </c>
      <c r="I271" s="350">
        <v>366599</v>
      </c>
      <c r="J271" s="350">
        <v>62171.68</v>
      </c>
      <c r="K271" s="350">
        <v>223252.74</v>
      </c>
      <c r="L271" s="350">
        <v>617285.97</v>
      </c>
    </row>
    <row r="272" spans="1:12" ht="64.5" x14ac:dyDescent="0.25">
      <c r="A272" s="349" t="s">
        <v>1010</v>
      </c>
      <c r="B272" s="349" t="s">
        <v>1346</v>
      </c>
      <c r="C272" s="349">
        <v>4497017</v>
      </c>
      <c r="D272" s="349" t="s">
        <v>1010</v>
      </c>
      <c r="E272" s="349">
        <v>2018</v>
      </c>
      <c r="F272" s="350">
        <v>5.27</v>
      </c>
      <c r="G272" s="350">
        <v>1.08</v>
      </c>
      <c r="H272" s="350">
        <v>373154.27</v>
      </c>
      <c r="I272" s="350">
        <v>462188.47</v>
      </c>
      <c r="J272" s="350">
        <v>66534.759999999995</v>
      </c>
      <c r="K272" s="350">
        <v>106640.28</v>
      </c>
      <c r="L272" s="350">
        <v>531017.07999999996</v>
      </c>
    </row>
    <row r="273" spans="1:12" ht="77.25" x14ac:dyDescent="0.25">
      <c r="A273" s="349" t="s">
        <v>1380</v>
      </c>
      <c r="B273" s="349" t="s">
        <v>1377</v>
      </c>
      <c r="C273" s="349">
        <v>8430922</v>
      </c>
      <c r="D273" s="349" t="s">
        <v>1379</v>
      </c>
      <c r="E273" s="349">
        <v>2018</v>
      </c>
      <c r="F273" s="350">
        <v>623492</v>
      </c>
      <c r="G273" s="350">
        <v>0</v>
      </c>
      <c r="H273" s="350">
        <v>0</v>
      </c>
      <c r="I273" s="351"/>
      <c r="J273" s="350">
        <v>0</v>
      </c>
      <c r="K273" s="350">
        <v>0</v>
      </c>
      <c r="L273" s="350">
        <v>0</v>
      </c>
    </row>
    <row r="274" spans="1:12" ht="39" x14ac:dyDescent="0.25">
      <c r="A274" s="349" t="s">
        <v>1018</v>
      </c>
      <c r="B274" s="349" t="s">
        <v>1427</v>
      </c>
      <c r="C274" s="349">
        <v>5369609</v>
      </c>
      <c r="D274" s="349" t="s">
        <v>1020</v>
      </c>
      <c r="E274" s="349">
        <v>2018</v>
      </c>
      <c r="F274" s="350">
        <v>3.5</v>
      </c>
      <c r="G274" s="350">
        <v>0.5</v>
      </c>
      <c r="H274" s="350">
        <v>445332.57</v>
      </c>
      <c r="I274" s="350">
        <v>679736</v>
      </c>
      <c r="J274" s="350">
        <v>57589.71</v>
      </c>
      <c r="K274" s="350">
        <v>57396</v>
      </c>
      <c r="L274" s="350">
        <v>655584</v>
      </c>
    </row>
    <row r="275" spans="1:12" ht="26.25" x14ac:dyDescent="0.25">
      <c r="A275" s="349" t="s">
        <v>1113</v>
      </c>
      <c r="B275" s="349" t="s">
        <v>1055</v>
      </c>
      <c r="C275" s="349">
        <v>9223303</v>
      </c>
      <c r="D275" s="349" t="s">
        <v>1112</v>
      </c>
      <c r="E275" s="349">
        <v>2018</v>
      </c>
      <c r="F275" s="350">
        <v>0.4</v>
      </c>
      <c r="G275" s="350">
        <v>0.4</v>
      </c>
      <c r="H275" s="350">
        <v>210675</v>
      </c>
      <c r="I275" s="350">
        <v>563140</v>
      </c>
      <c r="J275" s="350">
        <v>384155</v>
      </c>
      <c r="K275" s="350">
        <v>423520</v>
      </c>
      <c r="L275" s="350">
        <v>801332.5</v>
      </c>
    </row>
    <row r="276" spans="1:12" ht="26.25" x14ac:dyDescent="0.25">
      <c r="A276" s="349" t="s">
        <v>1113</v>
      </c>
      <c r="B276" s="349" t="s">
        <v>1282</v>
      </c>
      <c r="C276" s="349">
        <v>5539112</v>
      </c>
      <c r="D276" s="349" t="s">
        <v>1113</v>
      </c>
      <c r="E276" s="349">
        <v>2018</v>
      </c>
      <c r="F276" s="350">
        <v>3.47</v>
      </c>
      <c r="G276" s="350">
        <v>1.68</v>
      </c>
      <c r="H276" s="350">
        <v>240589.05</v>
      </c>
      <c r="I276" s="350">
        <v>599373.81000000006</v>
      </c>
      <c r="J276" s="350">
        <v>222242.08</v>
      </c>
      <c r="K276" s="350">
        <v>216088.76</v>
      </c>
      <c r="L276" s="350">
        <v>639646.11</v>
      </c>
    </row>
    <row r="277" spans="1:12" ht="26.25" x14ac:dyDescent="0.25">
      <c r="A277" s="349" t="s">
        <v>1113</v>
      </c>
      <c r="B277" s="349" t="s">
        <v>1472</v>
      </c>
      <c r="C277" s="349">
        <v>7218817</v>
      </c>
      <c r="D277" s="349" t="s">
        <v>1112</v>
      </c>
      <c r="E277" s="349">
        <v>2018</v>
      </c>
      <c r="F277" s="350">
        <v>3.2</v>
      </c>
      <c r="G277" s="350">
        <v>1.4</v>
      </c>
      <c r="H277" s="350">
        <v>288568.13</v>
      </c>
      <c r="I277" s="350">
        <v>473244.29</v>
      </c>
      <c r="J277" s="350">
        <v>183765.63</v>
      </c>
      <c r="K277" s="350">
        <v>151231.88</v>
      </c>
      <c r="L277" s="350">
        <v>655689.06000000006</v>
      </c>
    </row>
    <row r="278" spans="1:12" ht="26.25" x14ac:dyDescent="0.25">
      <c r="A278" s="349" t="s">
        <v>1175</v>
      </c>
      <c r="B278" s="349" t="s">
        <v>1155</v>
      </c>
      <c r="C278" s="349">
        <v>1686476</v>
      </c>
      <c r="D278" s="349" t="s">
        <v>386</v>
      </c>
      <c r="E278" s="349">
        <v>2018</v>
      </c>
      <c r="F278" s="350">
        <v>24.94</v>
      </c>
      <c r="G278" s="350">
        <v>1.56</v>
      </c>
      <c r="H278" s="350">
        <v>342525.54</v>
      </c>
      <c r="I278" s="350">
        <v>684115.39</v>
      </c>
      <c r="J278" s="350">
        <v>25095.15</v>
      </c>
      <c r="K278" s="350">
        <v>92632.62</v>
      </c>
      <c r="L278" s="350">
        <v>326310.15999999997</v>
      </c>
    </row>
    <row r="279" spans="1:12" ht="64.5" x14ac:dyDescent="0.25">
      <c r="A279" s="349" t="s">
        <v>1175</v>
      </c>
      <c r="B279" s="349" t="s">
        <v>1232</v>
      </c>
      <c r="C279" s="349">
        <v>9577077</v>
      </c>
      <c r="D279" s="349" t="s">
        <v>1035</v>
      </c>
      <c r="E279" s="349">
        <v>2018</v>
      </c>
      <c r="F279" s="350">
        <v>15.5</v>
      </c>
      <c r="G279" s="350">
        <v>1.05</v>
      </c>
      <c r="H279" s="350">
        <v>175010.65</v>
      </c>
      <c r="I279" s="350">
        <v>785660.95</v>
      </c>
      <c r="J279" s="350">
        <v>13150.39</v>
      </c>
      <c r="K279" s="350">
        <v>50879.199999999997</v>
      </c>
      <c r="L279" s="350">
        <v>234622.05</v>
      </c>
    </row>
  </sheetData>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C41"/>
  <sheetViews>
    <sheetView zoomScale="85" zoomScaleNormal="85" workbookViewId="0">
      <pane xSplit="2" ySplit="4" topLeftCell="C35" activePane="bottomRight" state="frozen"/>
      <selection pane="topRight" activeCell="C1" sqref="C1"/>
      <selection pane="bottomLeft" activeCell="A5" sqref="A5"/>
      <selection pane="bottomRight" activeCell="B41" sqref="B41"/>
    </sheetView>
  </sheetViews>
  <sheetFormatPr defaultColWidth="15.7109375" defaultRowHeight="15" x14ac:dyDescent="0.25"/>
  <cols>
    <col min="1" max="1" width="15.7109375" style="313"/>
    <col min="2" max="2" width="32.28515625" style="313" customWidth="1"/>
    <col min="3" max="3" width="25.5703125" style="313" customWidth="1"/>
    <col min="4" max="280" width="15.7109375" style="313"/>
    <col min="281" max="281" width="32.28515625" style="313" customWidth="1"/>
    <col min="282" max="16384" width="15.7109375" style="313"/>
  </cols>
  <sheetData>
    <row r="1" spans="1:315" ht="70.150000000000006" customHeight="1" x14ac:dyDescent="0.25">
      <c r="B1" s="348" t="s">
        <v>1040</v>
      </c>
      <c r="C1" s="349" t="s">
        <v>290</v>
      </c>
      <c r="D1" s="349" t="s">
        <v>306</v>
      </c>
      <c r="E1" s="349" t="s">
        <v>332</v>
      </c>
      <c r="F1" s="349" t="s">
        <v>396</v>
      </c>
      <c r="G1" s="349" t="s">
        <v>1071</v>
      </c>
      <c r="H1" s="349" t="s">
        <v>411</v>
      </c>
      <c r="I1" s="349" t="s">
        <v>553</v>
      </c>
      <c r="J1" s="349" t="s">
        <v>553</v>
      </c>
      <c r="K1" s="349" t="s">
        <v>553</v>
      </c>
      <c r="L1" s="349" t="s">
        <v>1118</v>
      </c>
      <c r="M1" s="349" t="s">
        <v>585</v>
      </c>
      <c r="N1" s="349" t="s">
        <v>1056</v>
      </c>
      <c r="O1" s="349" t="s">
        <v>718</v>
      </c>
      <c r="P1" s="349" t="s">
        <v>733</v>
      </c>
      <c r="Q1" s="349" t="s">
        <v>733</v>
      </c>
      <c r="R1" s="349" t="s">
        <v>733</v>
      </c>
      <c r="S1" s="349" t="s">
        <v>760</v>
      </c>
      <c r="T1" s="349" t="s">
        <v>776</v>
      </c>
      <c r="U1" s="349" t="s">
        <v>776</v>
      </c>
      <c r="V1" s="349" t="s">
        <v>842</v>
      </c>
      <c r="W1" s="349" t="s">
        <v>1067</v>
      </c>
      <c r="X1" s="349" t="s">
        <v>1067</v>
      </c>
      <c r="Y1" s="349" t="s">
        <v>1067</v>
      </c>
      <c r="Z1" s="349" t="s">
        <v>1113</v>
      </c>
      <c r="AA1" s="349" t="s">
        <v>312</v>
      </c>
      <c r="AB1" s="349" t="s">
        <v>312</v>
      </c>
      <c r="AC1" s="349" t="s">
        <v>312</v>
      </c>
      <c r="AD1" s="349" t="s">
        <v>312</v>
      </c>
      <c r="AE1" s="349" t="s">
        <v>928</v>
      </c>
      <c r="AF1" s="349" t="s">
        <v>1145</v>
      </c>
      <c r="AG1" s="349" t="s">
        <v>281</v>
      </c>
      <c r="AH1" s="349" t="s">
        <v>375</v>
      </c>
      <c r="AI1" s="349" t="s">
        <v>550</v>
      </c>
      <c r="AJ1" s="349" t="s">
        <v>553</v>
      </c>
      <c r="AK1" s="349" t="s">
        <v>580</v>
      </c>
      <c r="AL1" s="349" t="s">
        <v>826</v>
      </c>
      <c r="AM1" s="349" t="s">
        <v>887</v>
      </c>
      <c r="AN1" s="349" t="s">
        <v>962</v>
      </c>
      <c r="AO1" s="349" t="s">
        <v>965</v>
      </c>
      <c r="AP1" s="349" t="s">
        <v>1141</v>
      </c>
      <c r="AQ1" s="349" t="s">
        <v>1010</v>
      </c>
      <c r="AR1" s="349" t="s">
        <v>312</v>
      </c>
      <c r="AS1" s="349" t="s">
        <v>332</v>
      </c>
      <c r="AT1" s="349" t="s">
        <v>384</v>
      </c>
      <c r="AU1" s="349" t="s">
        <v>531</v>
      </c>
      <c r="AV1" s="349" t="s">
        <v>546</v>
      </c>
      <c r="AW1" s="349" t="s">
        <v>1833</v>
      </c>
      <c r="AX1" s="349" t="s">
        <v>576</v>
      </c>
      <c r="AY1" s="349" t="s">
        <v>602</v>
      </c>
      <c r="AZ1" s="349" t="s">
        <v>606</v>
      </c>
      <c r="BA1" s="349" t="s">
        <v>610</v>
      </c>
      <c r="BB1" s="349" t="s">
        <v>613</v>
      </c>
      <c r="BC1" s="349" t="s">
        <v>618</v>
      </c>
      <c r="BD1" s="349" t="s">
        <v>626</v>
      </c>
      <c r="BE1" s="349" t="s">
        <v>630</v>
      </c>
      <c r="BF1" s="349" t="s">
        <v>636</v>
      </c>
      <c r="BG1" s="349" t="s">
        <v>652</v>
      </c>
      <c r="BH1" s="349" t="s">
        <v>655</v>
      </c>
      <c r="BI1" s="349" t="s">
        <v>661</v>
      </c>
      <c r="BJ1" s="349" t="s">
        <v>663</v>
      </c>
      <c r="BK1" s="349" t="s">
        <v>666</v>
      </c>
      <c r="BL1" s="349" t="s">
        <v>671</v>
      </c>
      <c r="BM1" s="349" t="s">
        <v>674</v>
      </c>
      <c r="BN1" s="349" t="s">
        <v>678</v>
      </c>
      <c r="BO1" s="349" t="s">
        <v>682</v>
      </c>
      <c r="BP1" s="349" t="s">
        <v>690</v>
      </c>
      <c r="BQ1" s="349" t="s">
        <v>694</v>
      </c>
      <c r="BR1" s="349" t="s">
        <v>748</v>
      </c>
      <c r="BS1" s="349" t="s">
        <v>753</v>
      </c>
      <c r="BT1" s="349" t="s">
        <v>760</v>
      </c>
      <c r="BU1" s="349" t="s">
        <v>760</v>
      </c>
      <c r="BV1" s="349" t="s">
        <v>776</v>
      </c>
      <c r="BW1" s="349" t="s">
        <v>805</v>
      </c>
      <c r="BX1" s="349" t="s">
        <v>821</v>
      </c>
      <c r="BY1" s="349" t="s">
        <v>826</v>
      </c>
      <c r="BZ1" s="349" t="s">
        <v>857</v>
      </c>
      <c r="CA1" s="349" t="s">
        <v>864</v>
      </c>
      <c r="CB1" s="349" t="s">
        <v>868</v>
      </c>
      <c r="CC1" s="349" t="s">
        <v>1176</v>
      </c>
      <c r="CD1" s="349" t="s">
        <v>1213</v>
      </c>
      <c r="CE1" s="349" t="s">
        <v>940</v>
      </c>
      <c r="CF1" s="349" t="s">
        <v>942</v>
      </c>
      <c r="CG1" s="349" t="s">
        <v>947</v>
      </c>
      <c r="CH1" s="349" t="s">
        <v>962</v>
      </c>
      <c r="CI1" s="349" t="s">
        <v>977</v>
      </c>
      <c r="CJ1" s="349" t="s">
        <v>1003</v>
      </c>
      <c r="CK1" s="349" t="s">
        <v>1175</v>
      </c>
      <c r="CL1" s="349" t="s">
        <v>760</v>
      </c>
      <c r="CM1" s="349" t="s">
        <v>1175</v>
      </c>
      <c r="CN1" s="349" t="s">
        <v>1067</v>
      </c>
      <c r="CO1" s="349" t="s">
        <v>874</v>
      </c>
      <c r="CP1" s="349" t="s">
        <v>1247</v>
      </c>
      <c r="CQ1" s="349" t="s">
        <v>358</v>
      </c>
      <c r="CR1" s="349" t="s">
        <v>415</v>
      </c>
      <c r="CS1" s="349" t="s">
        <v>502</v>
      </c>
      <c r="CT1" s="349" t="s">
        <v>519</v>
      </c>
      <c r="CU1" s="349" t="s">
        <v>531</v>
      </c>
      <c r="CV1" s="349" t="s">
        <v>568</v>
      </c>
      <c r="CW1" s="349" t="s">
        <v>678</v>
      </c>
      <c r="CX1" s="349" t="s">
        <v>682</v>
      </c>
      <c r="CY1" s="349" t="s">
        <v>753</v>
      </c>
      <c r="CZ1" s="349" t="s">
        <v>760</v>
      </c>
      <c r="DA1" s="349" t="s">
        <v>760</v>
      </c>
      <c r="DB1" s="349" t="s">
        <v>1176</v>
      </c>
      <c r="DC1" s="349" t="s">
        <v>969</v>
      </c>
      <c r="DD1" s="349" t="s">
        <v>997</v>
      </c>
      <c r="DE1" s="349" t="s">
        <v>281</v>
      </c>
      <c r="DF1" s="349" t="s">
        <v>375</v>
      </c>
      <c r="DG1" s="349" t="s">
        <v>531</v>
      </c>
      <c r="DH1" s="349" t="s">
        <v>618</v>
      </c>
      <c r="DI1" s="349" t="s">
        <v>666</v>
      </c>
      <c r="DJ1" s="349" t="s">
        <v>682</v>
      </c>
      <c r="DK1" s="349" t="s">
        <v>977</v>
      </c>
      <c r="DL1" s="349" t="s">
        <v>1145</v>
      </c>
      <c r="DM1" s="349" t="s">
        <v>312</v>
      </c>
      <c r="DN1" s="349" t="s">
        <v>353</v>
      </c>
      <c r="DO1" s="349" t="s">
        <v>384</v>
      </c>
      <c r="DP1" s="349" t="s">
        <v>425</v>
      </c>
      <c r="DQ1" s="349" t="s">
        <v>568</v>
      </c>
      <c r="DR1" s="349" t="s">
        <v>1297</v>
      </c>
      <c r="DS1" s="349" t="s">
        <v>1213</v>
      </c>
      <c r="DT1" s="349" t="s">
        <v>947</v>
      </c>
      <c r="DU1" s="349" t="s">
        <v>969</v>
      </c>
      <c r="DV1" s="349" t="s">
        <v>974</v>
      </c>
      <c r="DW1" s="349" t="s">
        <v>1010</v>
      </c>
      <c r="DX1" s="349" t="s">
        <v>1113</v>
      </c>
      <c r="DY1" s="349" t="s">
        <v>568</v>
      </c>
      <c r="DZ1" s="349" t="s">
        <v>257</v>
      </c>
      <c r="EA1" s="349" t="s">
        <v>358</v>
      </c>
      <c r="EB1" s="349" t="s">
        <v>420</v>
      </c>
      <c r="EC1" s="349" t="s">
        <v>425</v>
      </c>
      <c r="ED1" s="349" t="s">
        <v>485</v>
      </c>
      <c r="EE1" s="349" t="s">
        <v>506</v>
      </c>
      <c r="EF1" s="349" t="s">
        <v>509</v>
      </c>
      <c r="EG1" s="349" t="s">
        <v>523</v>
      </c>
      <c r="EH1" s="349" t="s">
        <v>760</v>
      </c>
      <c r="EI1" s="349" t="s">
        <v>997</v>
      </c>
      <c r="EJ1" s="349" t="s">
        <v>1001</v>
      </c>
      <c r="EK1" s="349" t="s">
        <v>332</v>
      </c>
      <c r="EL1" s="349" t="s">
        <v>384</v>
      </c>
      <c r="EM1" s="349" t="s">
        <v>444</v>
      </c>
      <c r="EN1" s="349" t="s">
        <v>447</v>
      </c>
      <c r="EO1" s="349" t="s">
        <v>453</v>
      </c>
      <c r="EP1" s="349" t="s">
        <v>456</v>
      </c>
      <c r="EQ1" s="349" t="s">
        <v>459</v>
      </c>
      <c r="ER1" s="349" t="s">
        <v>464</v>
      </c>
      <c r="ES1" s="349" t="s">
        <v>467</v>
      </c>
      <c r="ET1" s="349" t="s">
        <v>470</v>
      </c>
      <c r="EU1" s="349" t="s">
        <v>472</v>
      </c>
      <c r="EV1" s="349" t="s">
        <v>477</v>
      </c>
      <c r="EW1" s="349" t="s">
        <v>480</v>
      </c>
      <c r="EX1" s="349" t="s">
        <v>493</v>
      </c>
      <c r="EY1" s="349" t="s">
        <v>496</v>
      </c>
      <c r="EZ1" s="349" t="s">
        <v>499</v>
      </c>
      <c r="FA1" s="349" t="s">
        <v>502</v>
      </c>
      <c r="FB1" s="349" t="s">
        <v>515</v>
      </c>
      <c r="FC1" s="349" t="s">
        <v>519</v>
      </c>
      <c r="FD1" s="349" t="s">
        <v>523</v>
      </c>
      <c r="FE1" s="349" t="s">
        <v>576</v>
      </c>
      <c r="FF1" s="349" t="s">
        <v>678</v>
      </c>
      <c r="FG1" s="349" t="s">
        <v>682</v>
      </c>
      <c r="FH1" s="349" t="s">
        <v>821</v>
      </c>
      <c r="FI1" s="349" t="s">
        <v>942</v>
      </c>
      <c r="FJ1" s="349" t="s">
        <v>947</v>
      </c>
      <c r="FK1" s="349" t="s">
        <v>955</v>
      </c>
      <c r="FL1" s="349" t="s">
        <v>959</v>
      </c>
      <c r="FM1" s="349" t="s">
        <v>1003</v>
      </c>
      <c r="FN1" s="349" t="s">
        <v>1007</v>
      </c>
      <c r="FO1" s="349" t="s">
        <v>384</v>
      </c>
      <c r="FP1" s="349" t="s">
        <v>435</v>
      </c>
      <c r="FQ1" s="349" t="s">
        <v>440</v>
      </c>
      <c r="FR1" s="349" t="s">
        <v>447</v>
      </c>
      <c r="FS1" s="349" t="s">
        <v>472</v>
      </c>
      <c r="FT1" s="349" t="s">
        <v>485</v>
      </c>
      <c r="FU1" s="349" t="s">
        <v>502</v>
      </c>
      <c r="FV1" s="349" t="s">
        <v>515</v>
      </c>
      <c r="FW1" s="349" t="s">
        <v>519</v>
      </c>
      <c r="FX1" s="349" t="s">
        <v>708</v>
      </c>
      <c r="FY1" s="349" t="s">
        <v>942</v>
      </c>
      <c r="FZ1" s="349" t="s">
        <v>257</v>
      </c>
      <c r="GA1" s="349" t="s">
        <v>425</v>
      </c>
      <c r="GB1" s="349" t="s">
        <v>485</v>
      </c>
      <c r="GC1" s="349" t="s">
        <v>509</v>
      </c>
      <c r="GD1" s="349" t="s">
        <v>519</v>
      </c>
      <c r="GE1" s="349" t="s">
        <v>760</v>
      </c>
      <c r="GF1" s="349" t="s">
        <v>922</v>
      </c>
      <c r="GG1" s="349" t="s">
        <v>1247</v>
      </c>
      <c r="GH1" s="349" t="s">
        <v>947</v>
      </c>
      <c r="GI1" s="349" t="s">
        <v>1010</v>
      </c>
      <c r="GJ1" s="349" t="s">
        <v>1364</v>
      </c>
      <c r="GK1" s="349" t="s">
        <v>1362</v>
      </c>
      <c r="GL1" s="349" t="s">
        <v>1373</v>
      </c>
      <c r="GM1" s="349" t="s">
        <v>1529</v>
      </c>
      <c r="GN1" s="349" t="s">
        <v>375</v>
      </c>
      <c r="GO1" s="349" t="s">
        <v>776</v>
      </c>
      <c r="GP1" s="349" t="s">
        <v>1118</v>
      </c>
      <c r="GQ1" s="349" t="s">
        <v>1380</v>
      </c>
      <c r="GR1" s="349" t="s">
        <v>1517</v>
      </c>
      <c r="GS1" s="349" t="s">
        <v>776</v>
      </c>
      <c r="GT1" s="349" t="s">
        <v>776</v>
      </c>
      <c r="GU1" s="349" t="s">
        <v>812</v>
      </c>
      <c r="GV1" s="349" t="s">
        <v>1521</v>
      </c>
      <c r="GW1" s="349" t="s">
        <v>857</v>
      </c>
      <c r="GX1" s="349" t="s">
        <v>812</v>
      </c>
      <c r="GY1" s="349" t="s">
        <v>1056</v>
      </c>
      <c r="GZ1" s="349" t="s">
        <v>928</v>
      </c>
      <c r="HA1" s="349" t="s">
        <v>718</v>
      </c>
      <c r="HB1" s="349" t="s">
        <v>776</v>
      </c>
      <c r="HC1" s="349" t="s">
        <v>776</v>
      </c>
      <c r="HD1" s="349" t="s">
        <v>531</v>
      </c>
      <c r="HE1" s="349" t="s">
        <v>553</v>
      </c>
      <c r="HF1" s="349" t="s">
        <v>805</v>
      </c>
      <c r="HG1" s="349" t="s">
        <v>805</v>
      </c>
      <c r="HH1" s="349" t="s">
        <v>805</v>
      </c>
      <c r="HI1" s="349" t="s">
        <v>842</v>
      </c>
      <c r="HJ1" s="349" t="s">
        <v>897</v>
      </c>
      <c r="HK1" s="349" t="s">
        <v>897</v>
      </c>
      <c r="HL1" s="349" t="s">
        <v>909</v>
      </c>
      <c r="HM1" s="349" t="s">
        <v>928</v>
      </c>
      <c r="HN1" s="349" t="s">
        <v>776</v>
      </c>
      <c r="HO1" s="349" t="s">
        <v>857</v>
      </c>
      <c r="HP1" s="349" t="s">
        <v>947</v>
      </c>
      <c r="HQ1" s="349" t="s">
        <v>1056</v>
      </c>
      <c r="HR1" s="349" t="s">
        <v>1529</v>
      </c>
      <c r="HS1" s="349" t="s">
        <v>332</v>
      </c>
      <c r="HT1" s="349" t="s">
        <v>367</v>
      </c>
      <c r="HU1" s="349" t="s">
        <v>375</v>
      </c>
      <c r="HV1" s="349" t="s">
        <v>402</v>
      </c>
      <c r="HW1" s="349" t="s">
        <v>553</v>
      </c>
      <c r="HX1" s="349" t="s">
        <v>647</v>
      </c>
      <c r="HY1" s="349" t="s">
        <v>805</v>
      </c>
      <c r="HZ1" s="349" t="s">
        <v>826</v>
      </c>
      <c r="IA1" s="349" t="s">
        <v>909</v>
      </c>
      <c r="IB1" s="349" t="s">
        <v>909</v>
      </c>
      <c r="IC1" s="349" t="s">
        <v>909</v>
      </c>
      <c r="ID1" s="349" t="s">
        <v>909</v>
      </c>
      <c r="IE1" s="349" t="s">
        <v>1018</v>
      </c>
      <c r="IF1" s="349" t="s">
        <v>290</v>
      </c>
      <c r="IG1" s="349" t="s">
        <v>1067</v>
      </c>
      <c r="IH1" s="349" t="s">
        <v>257</v>
      </c>
      <c r="II1" s="349" t="s">
        <v>553</v>
      </c>
      <c r="IJ1" s="349" t="s">
        <v>874</v>
      </c>
      <c r="IK1" s="349" t="s">
        <v>249</v>
      </c>
      <c r="IL1" s="349" t="s">
        <v>1056</v>
      </c>
      <c r="IM1" s="349" t="s">
        <v>1552</v>
      </c>
      <c r="IN1" s="349" t="s">
        <v>1145</v>
      </c>
      <c r="IO1" s="349" t="s">
        <v>240</v>
      </c>
      <c r="IP1" s="349" t="s">
        <v>257</v>
      </c>
      <c r="IQ1" s="349" t="s">
        <v>375</v>
      </c>
      <c r="IR1" s="349" t="s">
        <v>485</v>
      </c>
      <c r="IS1" s="349" t="s">
        <v>1515</v>
      </c>
      <c r="IT1" s="349" t="s">
        <v>585</v>
      </c>
      <c r="IU1" s="349" t="s">
        <v>640</v>
      </c>
      <c r="IV1" s="349" t="s">
        <v>674</v>
      </c>
      <c r="IW1" s="349" t="s">
        <v>698</v>
      </c>
      <c r="IX1" s="349" t="s">
        <v>713</v>
      </c>
      <c r="IY1" s="349" t="s">
        <v>1297</v>
      </c>
      <c r="IZ1" s="349" t="s">
        <v>776</v>
      </c>
      <c r="JA1" s="349" t="s">
        <v>849</v>
      </c>
      <c r="JB1" s="349" t="s">
        <v>849</v>
      </c>
      <c r="JC1" s="349" t="s">
        <v>849</v>
      </c>
      <c r="JD1" s="349" t="s">
        <v>874</v>
      </c>
      <c r="JE1" s="349" t="s">
        <v>874</v>
      </c>
      <c r="JF1" s="349" t="s">
        <v>874</v>
      </c>
      <c r="JG1" s="349" t="s">
        <v>902</v>
      </c>
      <c r="JH1" s="349" t="s">
        <v>928</v>
      </c>
      <c r="JI1" s="349" t="s">
        <v>1247</v>
      </c>
      <c r="JJ1" s="349" t="s">
        <v>1533</v>
      </c>
      <c r="JK1" s="349" t="s">
        <v>1067</v>
      </c>
      <c r="JL1" s="349" t="s">
        <v>1536</v>
      </c>
      <c r="JM1" s="349" t="s">
        <v>1113</v>
      </c>
      <c r="JN1" s="349" t="s">
        <v>1071</v>
      </c>
      <c r="JO1" s="349" t="s">
        <v>411</v>
      </c>
      <c r="JP1" s="349" t="s">
        <v>760</v>
      </c>
      <c r="JQ1" s="349" t="s">
        <v>776</v>
      </c>
      <c r="JR1" s="349" t="s">
        <v>760</v>
      </c>
      <c r="JU1" s="348" t="s">
        <v>1040</v>
      </c>
    </row>
    <row r="2" spans="1:315" ht="45" customHeight="1" x14ac:dyDescent="0.25">
      <c r="B2" s="348" t="s">
        <v>38</v>
      </c>
      <c r="C2" s="349" t="s">
        <v>1055</v>
      </c>
      <c r="D2" s="349" t="s">
        <v>1055</v>
      </c>
      <c r="E2" s="349" t="s">
        <v>1055</v>
      </c>
      <c r="F2" s="349" t="s">
        <v>1055</v>
      </c>
      <c r="G2" s="349" t="s">
        <v>1055</v>
      </c>
      <c r="H2" s="349" t="s">
        <v>1055</v>
      </c>
      <c r="I2" s="349" t="s">
        <v>1055</v>
      </c>
      <c r="J2" s="349" t="s">
        <v>1055</v>
      </c>
      <c r="K2" s="349" t="s">
        <v>1055</v>
      </c>
      <c r="L2" s="349" t="s">
        <v>1055</v>
      </c>
      <c r="M2" s="349" t="s">
        <v>1055</v>
      </c>
      <c r="N2" s="349" t="s">
        <v>1055</v>
      </c>
      <c r="O2" s="349" t="s">
        <v>1055</v>
      </c>
      <c r="P2" s="349" t="s">
        <v>1055</v>
      </c>
      <c r="Q2" s="349" t="s">
        <v>1055</v>
      </c>
      <c r="R2" s="349" t="s">
        <v>1055</v>
      </c>
      <c r="S2" s="349" t="s">
        <v>1055</v>
      </c>
      <c r="T2" s="349" t="s">
        <v>1055</v>
      </c>
      <c r="U2" s="349" t="s">
        <v>1055</v>
      </c>
      <c r="V2" s="349" t="s">
        <v>1055</v>
      </c>
      <c r="W2" s="349" t="s">
        <v>1055</v>
      </c>
      <c r="X2" s="349" t="s">
        <v>1055</v>
      </c>
      <c r="Y2" s="349" t="s">
        <v>1055</v>
      </c>
      <c r="Z2" s="349" t="s">
        <v>1055</v>
      </c>
      <c r="AA2" s="349" t="s">
        <v>1514</v>
      </c>
      <c r="AB2" s="349" t="s">
        <v>1514</v>
      </c>
      <c r="AC2" s="349" t="s">
        <v>1514</v>
      </c>
      <c r="AD2" s="349" t="s">
        <v>1514</v>
      </c>
      <c r="AE2" s="349" t="s">
        <v>1514</v>
      </c>
      <c r="AF2" s="349" t="s">
        <v>1124</v>
      </c>
      <c r="AG2" s="349" t="s">
        <v>1124</v>
      </c>
      <c r="AH2" s="349" t="s">
        <v>1124</v>
      </c>
      <c r="AI2" s="349" t="s">
        <v>1124</v>
      </c>
      <c r="AJ2" s="349" t="s">
        <v>1124</v>
      </c>
      <c r="AK2" s="349" t="s">
        <v>1124</v>
      </c>
      <c r="AL2" s="349" t="s">
        <v>1124</v>
      </c>
      <c r="AM2" s="349" t="s">
        <v>1124</v>
      </c>
      <c r="AN2" s="349" t="s">
        <v>1124</v>
      </c>
      <c r="AO2" s="349" t="s">
        <v>1124</v>
      </c>
      <c r="AP2" s="349" t="s">
        <v>1124</v>
      </c>
      <c r="AQ2" s="349" t="s">
        <v>1124</v>
      </c>
      <c r="AR2" s="349" t="s">
        <v>1155</v>
      </c>
      <c r="AS2" s="349" t="s">
        <v>1155</v>
      </c>
      <c r="AT2" s="349" t="s">
        <v>1155</v>
      </c>
      <c r="AU2" s="349" t="s">
        <v>1155</v>
      </c>
      <c r="AV2" s="349" t="s">
        <v>1155</v>
      </c>
      <c r="AW2" s="349" t="s">
        <v>1155</v>
      </c>
      <c r="AX2" s="349" t="s">
        <v>1155</v>
      </c>
      <c r="AY2" s="349" t="s">
        <v>1155</v>
      </c>
      <c r="AZ2" s="349" t="s">
        <v>1155</v>
      </c>
      <c r="BA2" s="349" t="s">
        <v>1155</v>
      </c>
      <c r="BB2" s="349" t="s">
        <v>1155</v>
      </c>
      <c r="BC2" s="349" t="s">
        <v>1155</v>
      </c>
      <c r="BD2" s="349" t="s">
        <v>1155</v>
      </c>
      <c r="BE2" s="349" t="s">
        <v>1155</v>
      </c>
      <c r="BF2" s="349" t="s">
        <v>1155</v>
      </c>
      <c r="BG2" s="349" t="s">
        <v>1155</v>
      </c>
      <c r="BH2" s="349" t="s">
        <v>1155</v>
      </c>
      <c r="BI2" s="349" t="s">
        <v>1155</v>
      </c>
      <c r="BJ2" s="349" t="s">
        <v>1155</v>
      </c>
      <c r="BK2" s="349" t="s">
        <v>1155</v>
      </c>
      <c r="BL2" s="349" t="s">
        <v>1155</v>
      </c>
      <c r="BM2" s="349" t="s">
        <v>1155</v>
      </c>
      <c r="BN2" s="349" t="s">
        <v>1155</v>
      </c>
      <c r="BO2" s="349" t="s">
        <v>1155</v>
      </c>
      <c r="BP2" s="349" t="s">
        <v>1155</v>
      </c>
      <c r="BQ2" s="349" t="s">
        <v>1155</v>
      </c>
      <c r="BR2" s="349" t="s">
        <v>1155</v>
      </c>
      <c r="BS2" s="349" t="s">
        <v>1155</v>
      </c>
      <c r="BT2" s="349" t="s">
        <v>1155</v>
      </c>
      <c r="BU2" s="349" t="s">
        <v>1155</v>
      </c>
      <c r="BV2" s="349" t="s">
        <v>1155</v>
      </c>
      <c r="BW2" s="349" t="s">
        <v>1155</v>
      </c>
      <c r="BX2" s="349" t="s">
        <v>1155</v>
      </c>
      <c r="BY2" s="349" t="s">
        <v>1155</v>
      </c>
      <c r="BZ2" s="349" t="s">
        <v>1155</v>
      </c>
      <c r="CA2" s="349" t="s">
        <v>1155</v>
      </c>
      <c r="CB2" s="349" t="s">
        <v>1155</v>
      </c>
      <c r="CC2" s="349" t="s">
        <v>1155</v>
      </c>
      <c r="CD2" s="349" t="s">
        <v>1155</v>
      </c>
      <c r="CE2" s="349" t="s">
        <v>1155</v>
      </c>
      <c r="CF2" s="349" t="s">
        <v>1155</v>
      </c>
      <c r="CG2" s="349" t="s">
        <v>1155</v>
      </c>
      <c r="CH2" s="349" t="s">
        <v>1155</v>
      </c>
      <c r="CI2" s="349" t="s">
        <v>1155</v>
      </c>
      <c r="CJ2" s="349" t="s">
        <v>1155</v>
      </c>
      <c r="CK2" s="349" t="s">
        <v>1155</v>
      </c>
      <c r="CL2" s="349" t="s">
        <v>1232</v>
      </c>
      <c r="CM2" s="349" t="s">
        <v>1232</v>
      </c>
      <c r="CN2" s="349" t="s">
        <v>1238</v>
      </c>
      <c r="CO2" s="349" t="s">
        <v>1241</v>
      </c>
      <c r="CP2" s="349" t="s">
        <v>1241</v>
      </c>
      <c r="CQ2" s="349" t="s">
        <v>1250</v>
      </c>
      <c r="CR2" s="349" t="s">
        <v>1250</v>
      </c>
      <c r="CS2" s="349" t="s">
        <v>1250</v>
      </c>
      <c r="CT2" s="349" t="s">
        <v>1250</v>
      </c>
      <c r="CU2" s="349" t="s">
        <v>1250</v>
      </c>
      <c r="CV2" s="349" t="s">
        <v>1250</v>
      </c>
      <c r="CW2" s="349" t="s">
        <v>1250</v>
      </c>
      <c r="CX2" s="349" t="s">
        <v>1250</v>
      </c>
      <c r="CY2" s="349" t="s">
        <v>1250</v>
      </c>
      <c r="CZ2" s="349" t="s">
        <v>1250</v>
      </c>
      <c r="DA2" s="349" t="s">
        <v>1250</v>
      </c>
      <c r="DB2" s="349" t="s">
        <v>1250</v>
      </c>
      <c r="DC2" s="349" t="s">
        <v>1250</v>
      </c>
      <c r="DD2" s="349" t="s">
        <v>1250</v>
      </c>
      <c r="DE2" s="349" t="s">
        <v>1273</v>
      </c>
      <c r="DF2" s="349" t="s">
        <v>1273</v>
      </c>
      <c r="DG2" s="349" t="s">
        <v>1273</v>
      </c>
      <c r="DH2" s="349" t="s">
        <v>1273</v>
      </c>
      <c r="DI2" s="349" t="s">
        <v>1273</v>
      </c>
      <c r="DJ2" s="349" t="s">
        <v>1273</v>
      </c>
      <c r="DK2" s="349" t="s">
        <v>1273</v>
      </c>
      <c r="DL2" s="349" t="s">
        <v>1282</v>
      </c>
      <c r="DM2" s="349" t="s">
        <v>1282</v>
      </c>
      <c r="DN2" s="349" t="s">
        <v>1282</v>
      </c>
      <c r="DO2" s="349" t="s">
        <v>1282</v>
      </c>
      <c r="DP2" s="349" t="s">
        <v>1282</v>
      </c>
      <c r="DQ2" s="349" t="s">
        <v>1282</v>
      </c>
      <c r="DR2" s="349" t="s">
        <v>1282</v>
      </c>
      <c r="DS2" s="349" t="s">
        <v>1282</v>
      </c>
      <c r="DT2" s="349" t="s">
        <v>1282</v>
      </c>
      <c r="DU2" s="349" t="s">
        <v>1282</v>
      </c>
      <c r="DV2" s="349" t="s">
        <v>1282</v>
      </c>
      <c r="DW2" s="349" t="s">
        <v>1282</v>
      </c>
      <c r="DX2" s="349" t="s">
        <v>1282</v>
      </c>
      <c r="DY2" s="349" t="s">
        <v>1307</v>
      </c>
      <c r="DZ2" s="349" t="s">
        <v>1311</v>
      </c>
      <c r="EA2" s="349" t="s">
        <v>1311</v>
      </c>
      <c r="EB2" s="349" t="s">
        <v>1311</v>
      </c>
      <c r="EC2" s="349" t="s">
        <v>1311</v>
      </c>
      <c r="ED2" s="349" t="s">
        <v>1311</v>
      </c>
      <c r="EE2" s="349" t="s">
        <v>1311</v>
      </c>
      <c r="EF2" s="349" t="s">
        <v>1311</v>
      </c>
      <c r="EG2" s="349" t="s">
        <v>1311</v>
      </c>
      <c r="EH2" s="349" t="s">
        <v>1311</v>
      </c>
      <c r="EI2" s="349" t="s">
        <v>1311</v>
      </c>
      <c r="EJ2" s="349" t="s">
        <v>1311</v>
      </c>
      <c r="EK2" s="349" t="s">
        <v>1316</v>
      </c>
      <c r="EL2" s="349" t="s">
        <v>1316</v>
      </c>
      <c r="EM2" s="349" t="s">
        <v>1316</v>
      </c>
      <c r="EN2" s="349" t="s">
        <v>1316</v>
      </c>
      <c r="EO2" s="349" t="s">
        <v>1316</v>
      </c>
      <c r="EP2" s="349" t="s">
        <v>1316</v>
      </c>
      <c r="EQ2" s="349" t="s">
        <v>1316</v>
      </c>
      <c r="ER2" s="349" t="s">
        <v>1316</v>
      </c>
      <c r="ES2" s="349" t="s">
        <v>1316</v>
      </c>
      <c r="ET2" s="349" t="s">
        <v>1316</v>
      </c>
      <c r="EU2" s="349" t="s">
        <v>1316</v>
      </c>
      <c r="EV2" s="349" t="s">
        <v>1316</v>
      </c>
      <c r="EW2" s="349" t="s">
        <v>1316</v>
      </c>
      <c r="EX2" s="349" t="s">
        <v>1316</v>
      </c>
      <c r="EY2" s="349" t="s">
        <v>1316</v>
      </c>
      <c r="EZ2" s="349" t="s">
        <v>1316</v>
      </c>
      <c r="FA2" s="349" t="s">
        <v>1316</v>
      </c>
      <c r="FB2" s="349" t="s">
        <v>1316</v>
      </c>
      <c r="FC2" s="349" t="s">
        <v>1316</v>
      </c>
      <c r="FD2" s="349" t="s">
        <v>1316</v>
      </c>
      <c r="FE2" s="349" t="s">
        <v>1316</v>
      </c>
      <c r="FF2" s="349" t="s">
        <v>1316</v>
      </c>
      <c r="FG2" s="349" t="s">
        <v>1316</v>
      </c>
      <c r="FH2" s="349" t="s">
        <v>1316</v>
      </c>
      <c r="FI2" s="349" t="s">
        <v>1316</v>
      </c>
      <c r="FJ2" s="349" t="s">
        <v>1316</v>
      </c>
      <c r="FK2" s="349" t="s">
        <v>1316</v>
      </c>
      <c r="FL2" s="349" t="s">
        <v>1316</v>
      </c>
      <c r="FM2" s="349" t="s">
        <v>1316</v>
      </c>
      <c r="FN2" s="349" t="s">
        <v>1316</v>
      </c>
      <c r="FO2" s="349" t="s">
        <v>1336</v>
      </c>
      <c r="FP2" s="349" t="s">
        <v>1336</v>
      </c>
      <c r="FQ2" s="349" t="s">
        <v>1336</v>
      </c>
      <c r="FR2" s="349" t="s">
        <v>1336</v>
      </c>
      <c r="FS2" s="349" t="s">
        <v>1336</v>
      </c>
      <c r="FT2" s="349" t="s">
        <v>1336</v>
      </c>
      <c r="FU2" s="349" t="s">
        <v>1336</v>
      </c>
      <c r="FV2" s="349" t="s">
        <v>1336</v>
      </c>
      <c r="FW2" s="349" t="s">
        <v>1336</v>
      </c>
      <c r="FX2" s="349" t="s">
        <v>1336</v>
      </c>
      <c r="FY2" s="349" t="s">
        <v>1336</v>
      </c>
      <c r="FZ2" s="349" t="s">
        <v>1346</v>
      </c>
      <c r="GA2" s="349" t="s">
        <v>1346</v>
      </c>
      <c r="GB2" s="349" t="s">
        <v>1346</v>
      </c>
      <c r="GC2" s="349" t="s">
        <v>1346</v>
      </c>
      <c r="GD2" s="349" t="s">
        <v>1346</v>
      </c>
      <c r="GE2" s="349" t="s">
        <v>1346</v>
      </c>
      <c r="GF2" s="349" t="s">
        <v>1346</v>
      </c>
      <c r="GG2" s="349" t="s">
        <v>1346</v>
      </c>
      <c r="GH2" s="349" t="s">
        <v>1346</v>
      </c>
      <c r="GI2" s="349" t="s">
        <v>1346</v>
      </c>
      <c r="GJ2" s="349" t="s">
        <v>1361</v>
      </c>
      <c r="GK2" s="349" t="s">
        <v>1361</v>
      </c>
      <c r="GL2" s="349" t="s">
        <v>1366</v>
      </c>
      <c r="GM2" s="349" t="s">
        <v>1366</v>
      </c>
      <c r="GN2" s="349" t="s">
        <v>1366</v>
      </c>
      <c r="GO2" s="349" t="s">
        <v>1366</v>
      </c>
      <c r="GP2" s="349" t="s">
        <v>1377</v>
      </c>
      <c r="GQ2" s="349" t="s">
        <v>1377</v>
      </c>
      <c r="GR2" s="349" t="s">
        <v>1382</v>
      </c>
      <c r="GS2" s="349" t="s">
        <v>1382</v>
      </c>
      <c r="GT2" s="349" t="s">
        <v>1382</v>
      </c>
      <c r="GU2" s="349" t="s">
        <v>1382</v>
      </c>
      <c r="GV2" s="349" t="s">
        <v>1382</v>
      </c>
      <c r="GW2" s="349" t="s">
        <v>1382</v>
      </c>
      <c r="GX2" s="349" t="s">
        <v>1520</v>
      </c>
      <c r="GY2" s="349" t="s">
        <v>1394</v>
      </c>
      <c r="GZ2" s="349" t="s">
        <v>1394</v>
      </c>
      <c r="HA2" s="349" t="s">
        <v>1518</v>
      </c>
      <c r="HB2" s="349" t="s">
        <v>1400</v>
      </c>
      <c r="HC2" s="349" t="s">
        <v>1403</v>
      </c>
      <c r="HD2" s="349" t="s">
        <v>1405</v>
      </c>
      <c r="HE2" s="349" t="s">
        <v>1405</v>
      </c>
      <c r="HF2" s="349" t="s">
        <v>1405</v>
      </c>
      <c r="HG2" s="349" t="s">
        <v>1405</v>
      </c>
      <c r="HH2" s="349" t="s">
        <v>1405</v>
      </c>
      <c r="HI2" s="349" t="s">
        <v>1405</v>
      </c>
      <c r="HJ2" s="349" t="s">
        <v>1405</v>
      </c>
      <c r="HK2" s="349" t="s">
        <v>1405</v>
      </c>
      <c r="HL2" s="349" t="s">
        <v>1405</v>
      </c>
      <c r="HM2" s="349" t="s">
        <v>1405</v>
      </c>
      <c r="HN2" s="349" t="s">
        <v>1423</v>
      </c>
      <c r="HO2" s="349" t="s">
        <v>1423</v>
      </c>
      <c r="HP2" s="349" t="s">
        <v>1423</v>
      </c>
      <c r="HQ2" s="349" t="s">
        <v>1838</v>
      </c>
      <c r="HR2" s="349" t="s">
        <v>1427</v>
      </c>
      <c r="HS2" s="349" t="s">
        <v>1427</v>
      </c>
      <c r="HT2" s="349" t="s">
        <v>1427</v>
      </c>
      <c r="HU2" s="349" t="s">
        <v>1427</v>
      </c>
      <c r="HV2" s="349" t="s">
        <v>1427</v>
      </c>
      <c r="HW2" s="349" t="s">
        <v>1427</v>
      </c>
      <c r="HX2" s="349" t="s">
        <v>1427</v>
      </c>
      <c r="HY2" s="349" t="s">
        <v>1427</v>
      </c>
      <c r="HZ2" s="349" t="s">
        <v>1427</v>
      </c>
      <c r="IA2" s="349" t="s">
        <v>1427</v>
      </c>
      <c r="IB2" s="349" t="s">
        <v>1427</v>
      </c>
      <c r="IC2" s="349" t="s">
        <v>1427</v>
      </c>
      <c r="ID2" s="349" t="s">
        <v>1427</v>
      </c>
      <c r="IE2" s="349" t="s">
        <v>1427</v>
      </c>
      <c r="IF2" s="349" t="s">
        <v>1447</v>
      </c>
      <c r="IG2" s="349" t="s">
        <v>1447</v>
      </c>
      <c r="IH2" s="349" t="s">
        <v>1451</v>
      </c>
      <c r="II2" s="349" t="s">
        <v>1451</v>
      </c>
      <c r="IJ2" s="349" t="s">
        <v>1451</v>
      </c>
      <c r="IK2" s="349" t="s">
        <v>1459</v>
      </c>
      <c r="IL2" s="349" t="s">
        <v>1459</v>
      </c>
      <c r="IM2" s="349" t="s">
        <v>1459</v>
      </c>
      <c r="IN2" s="349" t="s">
        <v>1472</v>
      </c>
      <c r="IO2" s="349" t="s">
        <v>1472</v>
      </c>
      <c r="IP2" s="349" t="s">
        <v>1472</v>
      </c>
      <c r="IQ2" s="349" t="s">
        <v>1472</v>
      </c>
      <c r="IR2" s="349" t="s">
        <v>1472</v>
      </c>
      <c r="IS2" s="349" t="s">
        <v>1472</v>
      </c>
      <c r="IT2" s="349" t="s">
        <v>1472</v>
      </c>
      <c r="IU2" s="349" t="s">
        <v>1472</v>
      </c>
      <c r="IV2" s="349" t="s">
        <v>1472</v>
      </c>
      <c r="IW2" s="349" t="s">
        <v>1472</v>
      </c>
      <c r="IX2" s="349" t="s">
        <v>1472</v>
      </c>
      <c r="IY2" s="349" t="s">
        <v>1472</v>
      </c>
      <c r="IZ2" s="349" t="s">
        <v>1472</v>
      </c>
      <c r="JA2" s="349" t="s">
        <v>1472</v>
      </c>
      <c r="JB2" s="349" t="s">
        <v>1472</v>
      </c>
      <c r="JC2" s="349" t="s">
        <v>1472</v>
      </c>
      <c r="JD2" s="349" t="s">
        <v>1472</v>
      </c>
      <c r="JE2" s="349" t="s">
        <v>1472</v>
      </c>
      <c r="JF2" s="349" t="s">
        <v>1472</v>
      </c>
      <c r="JG2" s="349" t="s">
        <v>1472</v>
      </c>
      <c r="JH2" s="349" t="s">
        <v>1472</v>
      </c>
      <c r="JI2" s="349" t="s">
        <v>1472</v>
      </c>
      <c r="JJ2" s="349" t="s">
        <v>1472</v>
      </c>
      <c r="JK2" s="349" t="s">
        <v>1472</v>
      </c>
      <c r="JL2" s="349" t="s">
        <v>1472</v>
      </c>
      <c r="JM2" s="349" t="s">
        <v>1472</v>
      </c>
      <c r="JN2" s="349" t="s">
        <v>1839</v>
      </c>
      <c r="JO2" s="349" t="s">
        <v>1839</v>
      </c>
      <c r="JP2" s="349" t="s">
        <v>1839</v>
      </c>
      <c r="JQ2" s="349" t="s">
        <v>1839</v>
      </c>
      <c r="JR2" s="349" t="s">
        <v>1840</v>
      </c>
      <c r="JU2" s="348" t="s">
        <v>38</v>
      </c>
      <c r="JV2" s="346" t="s">
        <v>1055</v>
      </c>
      <c r="JW2" s="346" t="s">
        <v>1514</v>
      </c>
      <c r="JX2" s="346" t="s">
        <v>1124</v>
      </c>
      <c r="JY2" s="346" t="s">
        <v>1155</v>
      </c>
      <c r="JZ2" s="346" t="s">
        <v>1232</v>
      </c>
      <c r="KA2" s="346" t="s">
        <v>1238</v>
      </c>
      <c r="KB2" s="346" t="s">
        <v>1241</v>
      </c>
      <c r="KC2" s="346" t="s">
        <v>1250</v>
      </c>
      <c r="KD2" s="346" t="s">
        <v>1273</v>
      </c>
      <c r="KE2" s="346" t="s">
        <v>1282</v>
      </c>
      <c r="KF2" s="346" t="s">
        <v>1307</v>
      </c>
      <c r="KG2" s="346" t="s">
        <v>1311</v>
      </c>
      <c r="KH2" s="346" t="s">
        <v>1316</v>
      </c>
      <c r="KI2" s="346" t="s">
        <v>1336</v>
      </c>
      <c r="KJ2" s="346" t="s">
        <v>1346</v>
      </c>
      <c r="KK2" s="346" t="s">
        <v>1361</v>
      </c>
      <c r="KL2" s="346" t="s">
        <v>1366</v>
      </c>
      <c r="KM2" s="346" t="s">
        <v>1377</v>
      </c>
      <c r="KN2" s="346" t="s">
        <v>1382</v>
      </c>
      <c r="KO2" s="346" t="s">
        <v>1520</v>
      </c>
      <c r="KP2" s="346" t="s">
        <v>1394</v>
      </c>
      <c r="KQ2" s="346" t="s">
        <v>1518</v>
      </c>
      <c r="KR2" s="346" t="s">
        <v>1400</v>
      </c>
      <c r="KS2" s="346" t="s">
        <v>1403</v>
      </c>
      <c r="KT2" s="346" t="s">
        <v>1405</v>
      </c>
      <c r="KU2" s="346" t="s">
        <v>1423</v>
      </c>
      <c r="KV2" s="346" t="s">
        <v>1838</v>
      </c>
      <c r="KW2" s="346" t="s">
        <v>1427</v>
      </c>
      <c r="KX2" s="346" t="s">
        <v>1447</v>
      </c>
      <c r="KY2" s="346" t="s">
        <v>1451</v>
      </c>
      <c r="KZ2" s="346" t="s">
        <v>1459</v>
      </c>
      <c r="LA2" s="346" t="s">
        <v>1472</v>
      </c>
      <c r="LB2" s="346" t="s">
        <v>1839</v>
      </c>
      <c r="LC2" s="346" t="s">
        <v>1840</v>
      </c>
    </row>
    <row r="3" spans="1:315" x14ac:dyDescent="0.25">
      <c r="A3" s="313">
        <v>1</v>
      </c>
      <c r="B3" s="348" t="s">
        <v>1039</v>
      </c>
      <c r="C3" s="349">
        <v>6565086</v>
      </c>
      <c r="D3" s="349">
        <v>8615860</v>
      </c>
      <c r="E3" s="349">
        <v>4382191</v>
      </c>
      <c r="F3" s="349">
        <v>5646573</v>
      </c>
      <c r="G3" s="349">
        <v>2583952</v>
      </c>
      <c r="H3" s="349">
        <v>1494293</v>
      </c>
      <c r="I3" s="349">
        <v>7634996</v>
      </c>
      <c r="J3" s="349">
        <v>8289298</v>
      </c>
      <c r="K3" s="349">
        <v>9503685</v>
      </c>
      <c r="L3" s="349">
        <v>9608144</v>
      </c>
      <c r="M3" s="349">
        <v>8299792</v>
      </c>
      <c r="N3" s="349">
        <v>1201932</v>
      </c>
      <c r="O3" s="349">
        <v>5133257</v>
      </c>
      <c r="P3" s="349">
        <v>3040542</v>
      </c>
      <c r="Q3" s="349">
        <v>8849001</v>
      </c>
      <c r="R3" s="349">
        <v>8984742</v>
      </c>
      <c r="S3" s="349">
        <v>6466112</v>
      </c>
      <c r="T3" s="349">
        <v>2886510</v>
      </c>
      <c r="U3" s="349">
        <v>5903063</v>
      </c>
      <c r="V3" s="349">
        <v>6698987</v>
      </c>
      <c r="W3" s="349">
        <v>2093343</v>
      </c>
      <c r="X3" s="349">
        <v>5700178</v>
      </c>
      <c r="Y3" s="349">
        <v>6811251</v>
      </c>
      <c r="Z3" s="349">
        <v>9223303</v>
      </c>
      <c r="AA3" s="349">
        <v>4309907</v>
      </c>
      <c r="AB3" s="349">
        <v>5792625</v>
      </c>
      <c r="AC3" s="349">
        <v>6191102</v>
      </c>
      <c r="AD3" s="349">
        <v>9684449</v>
      </c>
      <c r="AE3" s="349">
        <v>8314639</v>
      </c>
      <c r="AF3" s="349">
        <v>6152074</v>
      </c>
      <c r="AG3" s="349">
        <v>2039109</v>
      </c>
      <c r="AH3" s="349">
        <v>1806042</v>
      </c>
      <c r="AI3" s="349">
        <v>8902089</v>
      </c>
      <c r="AJ3" s="349">
        <v>2392006</v>
      </c>
      <c r="AK3" s="349">
        <v>7566271</v>
      </c>
      <c r="AL3" s="349">
        <v>7459230</v>
      </c>
      <c r="AM3" s="349">
        <v>5991938</v>
      </c>
      <c r="AN3" s="349">
        <v>1715626</v>
      </c>
      <c r="AO3" s="349">
        <v>3198258</v>
      </c>
      <c r="AP3" s="349">
        <v>4271738</v>
      </c>
      <c r="AQ3" s="349">
        <v>2495303</v>
      </c>
      <c r="AR3" s="349">
        <v>9735411</v>
      </c>
      <c r="AS3" s="349">
        <v>3597628</v>
      </c>
      <c r="AT3" s="349">
        <v>1008575</v>
      </c>
      <c r="AU3" s="349">
        <v>9199716</v>
      </c>
      <c r="AV3" s="349">
        <v>2946425</v>
      </c>
      <c r="AW3" s="349">
        <v>6311728</v>
      </c>
      <c r="AX3" s="349">
        <v>7399132</v>
      </c>
      <c r="AY3" s="349">
        <v>6181040</v>
      </c>
      <c r="AZ3" s="349">
        <v>1647194</v>
      </c>
      <c r="BA3" s="349">
        <v>6232669</v>
      </c>
      <c r="BB3" s="349">
        <v>6428468</v>
      </c>
      <c r="BC3" s="349">
        <v>1172890</v>
      </c>
      <c r="BD3" s="349">
        <v>7702105</v>
      </c>
      <c r="BE3" s="349">
        <v>1671513</v>
      </c>
      <c r="BF3" s="349">
        <v>5141443</v>
      </c>
      <c r="BG3" s="349">
        <v>1514566</v>
      </c>
      <c r="BH3" s="349">
        <v>4936413</v>
      </c>
      <c r="BI3" s="349">
        <v>8522302</v>
      </c>
      <c r="BJ3" s="349">
        <v>6697882</v>
      </c>
      <c r="BK3" s="349">
        <v>5204562</v>
      </c>
      <c r="BL3" s="349">
        <v>9666094</v>
      </c>
      <c r="BM3" s="349">
        <v>3810187</v>
      </c>
      <c r="BN3" s="349">
        <v>7259548</v>
      </c>
      <c r="BO3" s="349">
        <v>9940787</v>
      </c>
      <c r="BP3" s="349">
        <v>9949795</v>
      </c>
      <c r="BQ3" s="349">
        <v>2540162</v>
      </c>
      <c r="BR3" s="349">
        <v>9196018</v>
      </c>
      <c r="BS3" s="349">
        <v>9097155</v>
      </c>
      <c r="BT3" s="349">
        <v>2028356</v>
      </c>
      <c r="BU3" s="349">
        <v>7741294</v>
      </c>
      <c r="BV3" s="349">
        <v>5376966</v>
      </c>
      <c r="BW3" s="349">
        <v>9554713</v>
      </c>
      <c r="BX3" s="349">
        <v>1356155</v>
      </c>
      <c r="BY3" s="349">
        <v>3110951</v>
      </c>
      <c r="BZ3" s="349">
        <v>9924639</v>
      </c>
      <c r="CA3" s="349">
        <v>4383860</v>
      </c>
      <c r="CB3" s="349">
        <v>9583114</v>
      </c>
      <c r="CC3" s="349">
        <v>1826777</v>
      </c>
      <c r="CD3" s="349">
        <v>7201840</v>
      </c>
      <c r="CE3" s="349">
        <v>9478716</v>
      </c>
      <c r="CF3" s="349">
        <v>4878719</v>
      </c>
      <c r="CG3" s="349">
        <v>1225073</v>
      </c>
      <c r="CH3" s="349">
        <v>3921078</v>
      </c>
      <c r="CI3" s="349">
        <v>5175408</v>
      </c>
      <c r="CJ3" s="349">
        <v>3095940</v>
      </c>
      <c r="CK3" s="349">
        <v>1686476</v>
      </c>
      <c r="CL3" s="349">
        <v>5947102</v>
      </c>
      <c r="CM3" s="349">
        <v>9577077</v>
      </c>
      <c r="CN3" s="349">
        <v>3736692</v>
      </c>
      <c r="CO3" s="349">
        <v>1378201</v>
      </c>
      <c r="CP3" s="349">
        <v>7846871</v>
      </c>
      <c r="CQ3" s="349">
        <v>9223411</v>
      </c>
      <c r="CR3" s="349">
        <v>1905494</v>
      </c>
      <c r="CS3" s="349">
        <v>1878615</v>
      </c>
      <c r="CT3" s="349">
        <v>7071797</v>
      </c>
      <c r="CU3" s="349">
        <v>6749255</v>
      </c>
      <c r="CV3" s="349">
        <v>1441233</v>
      </c>
      <c r="CW3" s="349">
        <v>3357963</v>
      </c>
      <c r="CX3" s="349">
        <v>4075651</v>
      </c>
      <c r="CY3" s="349">
        <v>2189349</v>
      </c>
      <c r="CZ3" s="349">
        <v>3854293</v>
      </c>
      <c r="DA3" s="349">
        <v>4461551</v>
      </c>
      <c r="DB3" s="349">
        <v>5060032</v>
      </c>
      <c r="DC3" s="349">
        <v>1622964</v>
      </c>
      <c r="DD3" s="349">
        <v>6375207</v>
      </c>
      <c r="DE3" s="349">
        <v>5020855</v>
      </c>
      <c r="DF3" s="349">
        <v>8090757</v>
      </c>
      <c r="DG3" s="349">
        <v>4547815</v>
      </c>
      <c r="DH3" s="349">
        <v>4531517</v>
      </c>
      <c r="DI3" s="349">
        <v>2813433</v>
      </c>
      <c r="DJ3" s="349">
        <v>2506443</v>
      </c>
      <c r="DK3" s="349">
        <v>2015983</v>
      </c>
      <c r="DL3" s="349">
        <v>3673053</v>
      </c>
      <c r="DM3" s="349">
        <v>7268793</v>
      </c>
      <c r="DN3" s="349">
        <v>2333254</v>
      </c>
      <c r="DO3" s="349">
        <v>1567065</v>
      </c>
      <c r="DP3" s="349">
        <v>3446957</v>
      </c>
      <c r="DQ3" s="349">
        <v>1961902</v>
      </c>
      <c r="DR3" s="349">
        <v>6684022</v>
      </c>
      <c r="DS3" s="349">
        <v>5599785</v>
      </c>
      <c r="DT3" s="349">
        <v>9459250</v>
      </c>
      <c r="DU3" s="349">
        <v>8979890</v>
      </c>
      <c r="DV3" s="349">
        <v>5173305</v>
      </c>
      <c r="DW3" s="349">
        <v>9268423</v>
      </c>
      <c r="DX3" s="349">
        <v>5539112</v>
      </c>
      <c r="DY3" s="349">
        <v>2499134</v>
      </c>
      <c r="DZ3" s="349">
        <v>5000179</v>
      </c>
      <c r="EA3" s="349">
        <v>9264829</v>
      </c>
      <c r="EB3" s="349">
        <v>4721932</v>
      </c>
      <c r="EC3" s="349">
        <v>3473171</v>
      </c>
      <c r="ED3" s="349">
        <v>8338145</v>
      </c>
      <c r="EE3" s="349">
        <v>9445282</v>
      </c>
      <c r="EF3" s="349">
        <v>3713907</v>
      </c>
      <c r="EG3" s="349">
        <v>6945387</v>
      </c>
      <c r="EH3" s="349">
        <v>4167967</v>
      </c>
      <c r="EI3" s="349">
        <v>1546097</v>
      </c>
      <c r="EJ3" s="349">
        <v>2089762</v>
      </c>
      <c r="EK3" s="349">
        <v>7916274</v>
      </c>
      <c r="EL3" s="349">
        <v>7857005</v>
      </c>
      <c r="EM3" s="349">
        <v>6581899</v>
      </c>
      <c r="EN3" s="349">
        <v>2837121</v>
      </c>
      <c r="EO3" s="349">
        <v>4753225</v>
      </c>
      <c r="EP3" s="349">
        <v>5040302</v>
      </c>
      <c r="EQ3" s="349">
        <v>2125600</v>
      </c>
      <c r="ER3" s="349">
        <v>3943362</v>
      </c>
      <c r="ES3" s="349">
        <v>2749776</v>
      </c>
      <c r="ET3" s="349">
        <v>1665958</v>
      </c>
      <c r="EU3" s="349">
        <v>8508078</v>
      </c>
      <c r="EV3" s="349">
        <v>2801353</v>
      </c>
      <c r="EW3" s="349">
        <v>9593192</v>
      </c>
      <c r="EX3" s="349">
        <v>8635813</v>
      </c>
      <c r="EY3" s="349">
        <v>1872907</v>
      </c>
      <c r="EZ3" s="349">
        <v>9688838</v>
      </c>
      <c r="FA3" s="349">
        <v>6565956</v>
      </c>
      <c r="FB3" s="349">
        <v>7630615</v>
      </c>
      <c r="FC3" s="349">
        <v>3529182</v>
      </c>
      <c r="FD3" s="349">
        <v>5869239</v>
      </c>
      <c r="FE3" s="349">
        <v>8877013</v>
      </c>
      <c r="FF3" s="349">
        <v>1817339</v>
      </c>
      <c r="FG3" s="349">
        <v>4782003</v>
      </c>
      <c r="FH3" s="349">
        <v>5894253</v>
      </c>
      <c r="FI3" s="349">
        <v>5344327</v>
      </c>
      <c r="FJ3" s="349">
        <v>4381530</v>
      </c>
      <c r="FK3" s="349">
        <v>3619533</v>
      </c>
      <c r="FL3" s="349">
        <v>8982230</v>
      </c>
      <c r="FM3" s="349">
        <v>1109434</v>
      </c>
      <c r="FN3" s="349">
        <v>3135426</v>
      </c>
      <c r="FO3" s="349">
        <v>8936486</v>
      </c>
      <c r="FP3" s="349">
        <v>5651221</v>
      </c>
      <c r="FQ3" s="349">
        <v>1450637</v>
      </c>
      <c r="FR3" s="349">
        <v>3754207</v>
      </c>
      <c r="FS3" s="349">
        <v>1991772</v>
      </c>
      <c r="FT3" s="349">
        <v>5220717</v>
      </c>
      <c r="FU3" s="349">
        <v>9924037</v>
      </c>
      <c r="FV3" s="349">
        <v>5804478</v>
      </c>
      <c r="FW3" s="349">
        <v>5638901</v>
      </c>
      <c r="FX3" s="349">
        <v>3523407</v>
      </c>
      <c r="FY3" s="349">
        <v>1642854</v>
      </c>
      <c r="FZ3" s="349">
        <v>8504548</v>
      </c>
      <c r="GA3" s="349">
        <v>6514817</v>
      </c>
      <c r="GB3" s="349">
        <v>4382500</v>
      </c>
      <c r="GC3" s="349">
        <v>4007320</v>
      </c>
      <c r="GD3" s="349">
        <v>1576566</v>
      </c>
      <c r="GE3" s="349">
        <v>6627771</v>
      </c>
      <c r="GF3" s="349">
        <v>8051895</v>
      </c>
      <c r="GG3" s="349">
        <v>5871375</v>
      </c>
      <c r="GH3" s="349">
        <v>5703553</v>
      </c>
      <c r="GI3" s="349">
        <v>4497017</v>
      </c>
      <c r="GJ3" s="349">
        <v>9328941</v>
      </c>
      <c r="GK3" s="349">
        <v>9142033</v>
      </c>
      <c r="GL3" s="349">
        <v>3346325</v>
      </c>
      <c r="GM3" s="349">
        <v>5002625</v>
      </c>
      <c r="GN3" s="349">
        <v>6447139</v>
      </c>
      <c r="GO3" s="349">
        <v>1840658</v>
      </c>
      <c r="GP3" s="349">
        <v>8365172</v>
      </c>
      <c r="GQ3" s="349">
        <v>8430922</v>
      </c>
      <c r="GR3" s="349">
        <v>3028344</v>
      </c>
      <c r="GS3" s="349">
        <v>1236570</v>
      </c>
      <c r="GT3" s="349">
        <v>4699567</v>
      </c>
      <c r="GU3" s="349">
        <v>9064643</v>
      </c>
      <c r="GV3" s="349">
        <v>2438469</v>
      </c>
      <c r="GW3" s="349">
        <v>2514714</v>
      </c>
      <c r="GX3" s="349">
        <v>3961063</v>
      </c>
      <c r="GY3" s="349">
        <v>5814347</v>
      </c>
      <c r="GZ3" s="349">
        <v>9870958</v>
      </c>
      <c r="HA3" s="349">
        <v>2757263</v>
      </c>
      <c r="HB3" s="349">
        <v>6585534</v>
      </c>
      <c r="HC3" s="349">
        <v>7832444</v>
      </c>
      <c r="HD3" s="349">
        <v>6989404</v>
      </c>
      <c r="HE3" s="349">
        <v>8102124</v>
      </c>
      <c r="HF3" s="349">
        <v>1738957</v>
      </c>
      <c r="HG3" s="349">
        <v>2315315</v>
      </c>
      <c r="HH3" s="349">
        <v>6607461</v>
      </c>
      <c r="HI3" s="349">
        <v>8350990</v>
      </c>
      <c r="HJ3" s="349">
        <v>2174839</v>
      </c>
      <c r="HK3" s="349">
        <v>7947229</v>
      </c>
      <c r="HL3" s="349">
        <v>8411392</v>
      </c>
      <c r="HM3" s="349">
        <v>5922905</v>
      </c>
      <c r="HN3" s="349">
        <v>1968420</v>
      </c>
      <c r="HO3" s="349">
        <v>1696009</v>
      </c>
      <c r="HP3" s="349">
        <v>4720531</v>
      </c>
      <c r="HQ3" s="349">
        <v>3454870</v>
      </c>
      <c r="HR3" s="349">
        <v>8535980</v>
      </c>
      <c r="HS3" s="349">
        <v>4987165</v>
      </c>
      <c r="HT3" s="349">
        <v>8946698</v>
      </c>
      <c r="HU3" s="349">
        <v>6361701</v>
      </c>
      <c r="HV3" s="349">
        <v>8382823</v>
      </c>
      <c r="HW3" s="349">
        <v>4526227</v>
      </c>
      <c r="HX3" s="349">
        <v>1272659</v>
      </c>
      <c r="HY3" s="349">
        <v>1907533</v>
      </c>
      <c r="HZ3" s="349">
        <v>2788586</v>
      </c>
      <c r="IA3" s="349">
        <v>3588592</v>
      </c>
      <c r="IB3" s="349">
        <v>4467429</v>
      </c>
      <c r="IC3" s="349">
        <v>4533728</v>
      </c>
      <c r="ID3" s="349">
        <v>9659243</v>
      </c>
      <c r="IE3" s="349">
        <v>5369609</v>
      </c>
      <c r="IF3" s="349">
        <v>6630553</v>
      </c>
      <c r="IG3" s="349">
        <v>1792038</v>
      </c>
      <c r="IH3" s="349">
        <v>6163071</v>
      </c>
      <c r="II3" s="349">
        <v>7653065</v>
      </c>
      <c r="IJ3" s="349">
        <v>1552469</v>
      </c>
      <c r="IK3" s="349">
        <v>1758706</v>
      </c>
      <c r="IL3" s="349">
        <v>1537615</v>
      </c>
      <c r="IM3" s="349">
        <v>4441304</v>
      </c>
      <c r="IN3" s="349">
        <v>9767213</v>
      </c>
      <c r="IO3" s="349">
        <v>4885366</v>
      </c>
      <c r="IP3" s="349">
        <v>3650770</v>
      </c>
      <c r="IQ3" s="349">
        <v>7790627</v>
      </c>
      <c r="IR3" s="349">
        <v>7384495</v>
      </c>
      <c r="IS3" s="349">
        <v>8098643</v>
      </c>
      <c r="IT3" s="349">
        <v>5943218</v>
      </c>
      <c r="IU3" s="349">
        <v>3994122</v>
      </c>
      <c r="IV3" s="349">
        <v>5945407</v>
      </c>
      <c r="IW3" s="349">
        <v>2390992</v>
      </c>
      <c r="IX3" s="349">
        <v>3054253</v>
      </c>
      <c r="IY3" s="349">
        <v>7381195</v>
      </c>
      <c r="IZ3" s="349">
        <v>2813024</v>
      </c>
      <c r="JA3" s="349">
        <v>3741470</v>
      </c>
      <c r="JB3" s="349">
        <v>6948137</v>
      </c>
      <c r="JC3" s="349">
        <v>8172268</v>
      </c>
      <c r="JD3" s="349">
        <v>6473703</v>
      </c>
      <c r="JE3" s="349">
        <v>7805491</v>
      </c>
      <c r="JF3" s="349">
        <v>9818505</v>
      </c>
      <c r="JG3" s="349">
        <v>4659873</v>
      </c>
      <c r="JH3" s="349">
        <v>9379121</v>
      </c>
      <c r="JI3" s="349">
        <v>3595008</v>
      </c>
      <c r="JJ3" s="349">
        <v>4385424</v>
      </c>
      <c r="JK3" s="349">
        <v>4373225</v>
      </c>
      <c r="JL3" s="349">
        <v>7175172</v>
      </c>
      <c r="JM3" s="349">
        <v>7218817</v>
      </c>
      <c r="JN3" s="349">
        <v>9000001</v>
      </c>
      <c r="JO3" s="349">
        <v>9000002</v>
      </c>
      <c r="JP3" s="349">
        <v>9000004</v>
      </c>
      <c r="JQ3" s="349">
        <v>9000003</v>
      </c>
      <c r="JR3" s="349">
        <v>9000005</v>
      </c>
      <c r="JU3" s="348" t="s">
        <v>1039</v>
      </c>
    </row>
    <row r="4" spans="1:315" ht="41.1" customHeight="1" x14ac:dyDescent="0.25">
      <c r="A4" s="313">
        <v>2</v>
      </c>
      <c r="B4" s="348" t="s">
        <v>40</v>
      </c>
      <c r="C4" s="349" t="s">
        <v>294</v>
      </c>
      <c r="D4" s="349" t="s">
        <v>931</v>
      </c>
      <c r="E4" s="349" t="s">
        <v>1082</v>
      </c>
      <c r="F4" s="349" t="s">
        <v>398</v>
      </c>
      <c r="G4" s="349" t="s">
        <v>407</v>
      </c>
      <c r="H4" s="349" t="s">
        <v>413</v>
      </c>
      <c r="I4" s="349" t="s">
        <v>1104</v>
      </c>
      <c r="J4" s="349" t="s">
        <v>1106</v>
      </c>
      <c r="K4" s="349" t="s">
        <v>1115</v>
      </c>
      <c r="L4" s="349" t="s">
        <v>1117</v>
      </c>
      <c r="M4" s="349" t="s">
        <v>1108</v>
      </c>
      <c r="N4" s="349" t="s">
        <v>594</v>
      </c>
      <c r="O4" s="349" t="s">
        <v>725</v>
      </c>
      <c r="P4" s="349" t="s">
        <v>735</v>
      </c>
      <c r="Q4" s="349" t="s">
        <v>740</v>
      </c>
      <c r="R4" s="349" t="s">
        <v>744</v>
      </c>
      <c r="S4" s="349" t="s">
        <v>760</v>
      </c>
      <c r="T4" s="349" t="s">
        <v>1075</v>
      </c>
      <c r="U4" s="349" t="s">
        <v>1092</v>
      </c>
      <c r="V4" s="349" t="s">
        <v>844</v>
      </c>
      <c r="W4" s="349" t="s">
        <v>1066</v>
      </c>
      <c r="X4" s="349" t="s">
        <v>1066</v>
      </c>
      <c r="Y4" s="349" t="s">
        <v>1066</v>
      </c>
      <c r="Z4" s="349" t="s">
        <v>1112</v>
      </c>
      <c r="AA4" s="349" t="s">
        <v>314</v>
      </c>
      <c r="AB4" s="349" t="s">
        <v>318</v>
      </c>
      <c r="AC4" s="349" t="s">
        <v>1095</v>
      </c>
      <c r="AD4" s="349" t="s">
        <v>327</v>
      </c>
      <c r="AE4" s="349" t="s">
        <v>931</v>
      </c>
      <c r="AF4" s="349" t="s">
        <v>226</v>
      </c>
      <c r="AG4" s="349" t="s">
        <v>1130</v>
      </c>
      <c r="AH4" s="349" t="s">
        <v>225</v>
      </c>
      <c r="AI4" s="349" t="s">
        <v>377</v>
      </c>
      <c r="AJ4" s="349" t="s">
        <v>377</v>
      </c>
      <c r="AK4" s="349" t="s">
        <v>1147</v>
      </c>
      <c r="AL4" s="349" t="s">
        <v>377</v>
      </c>
      <c r="AM4" s="349" t="s">
        <v>377</v>
      </c>
      <c r="AN4" s="349" t="s">
        <v>962</v>
      </c>
      <c r="AO4" s="349" t="s">
        <v>965</v>
      </c>
      <c r="AP4" s="349" t="s">
        <v>1140</v>
      </c>
      <c r="AQ4" s="349" t="s">
        <v>1010</v>
      </c>
      <c r="AR4" s="349" t="s">
        <v>386</v>
      </c>
      <c r="AS4" s="349" t="s">
        <v>386</v>
      </c>
      <c r="AT4" s="349" t="s">
        <v>386</v>
      </c>
      <c r="AU4" s="349" t="s">
        <v>1222</v>
      </c>
      <c r="AV4" s="349" t="s">
        <v>546</v>
      </c>
      <c r="AW4" s="349" t="s">
        <v>1832</v>
      </c>
      <c r="AX4" s="349" t="s">
        <v>576</v>
      </c>
      <c r="AY4" s="349" t="s">
        <v>605</v>
      </c>
      <c r="AZ4" s="349" t="s">
        <v>608</v>
      </c>
      <c r="BA4" s="349" t="s">
        <v>1208</v>
      </c>
      <c r="BB4" s="349" t="s">
        <v>1210</v>
      </c>
      <c r="BC4" s="349" t="s">
        <v>620</v>
      </c>
      <c r="BD4" s="349" t="s">
        <v>386</v>
      </c>
      <c r="BE4" s="349" t="s">
        <v>632</v>
      </c>
      <c r="BF4" s="349" t="s">
        <v>1197</v>
      </c>
      <c r="BG4" s="349" t="s">
        <v>1169</v>
      </c>
      <c r="BH4" s="349" t="s">
        <v>657</v>
      </c>
      <c r="BI4" s="349" t="s">
        <v>386</v>
      </c>
      <c r="BJ4" s="349" t="s">
        <v>665</v>
      </c>
      <c r="BK4" s="349" t="s">
        <v>670</v>
      </c>
      <c r="BL4" s="349" t="s">
        <v>386</v>
      </c>
      <c r="BM4" s="349" t="s">
        <v>676</v>
      </c>
      <c r="BN4" s="349" t="s">
        <v>386</v>
      </c>
      <c r="BO4" s="349" t="s">
        <v>386</v>
      </c>
      <c r="BP4" s="349" t="s">
        <v>692</v>
      </c>
      <c r="BQ4" s="349" t="s">
        <v>694</v>
      </c>
      <c r="BR4" s="349" t="s">
        <v>750</v>
      </c>
      <c r="BS4" s="349" t="s">
        <v>1219</v>
      </c>
      <c r="BT4" s="349" t="s">
        <v>1179</v>
      </c>
      <c r="BU4" s="349" t="s">
        <v>772</v>
      </c>
      <c r="BV4" s="349" t="s">
        <v>1200</v>
      </c>
      <c r="BW4" s="349" t="s">
        <v>792</v>
      </c>
      <c r="BX4" s="349" t="s">
        <v>1166</v>
      </c>
      <c r="BY4" s="349" t="s">
        <v>829</v>
      </c>
      <c r="BZ4" s="349" t="s">
        <v>857</v>
      </c>
      <c r="CA4" s="349" t="s">
        <v>864</v>
      </c>
      <c r="CB4" s="349" t="s">
        <v>868</v>
      </c>
      <c r="CC4" s="349" t="s">
        <v>1176</v>
      </c>
      <c r="CD4" s="349" t="s">
        <v>1212</v>
      </c>
      <c r="CE4" s="349" t="s">
        <v>940</v>
      </c>
      <c r="CF4" s="349" t="s">
        <v>942</v>
      </c>
      <c r="CG4" s="349" t="s">
        <v>1163</v>
      </c>
      <c r="CH4" s="349" t="s">
        <v>962</v>
      </c>
      <c r="CI4" s="349" t="s">
        <v>977</v>
      </c>
      <c r="CJ4" s="349" t="s">
        <v>386</v>
      </c>
      <c r="CK4" s="349" t="s">
        <v>386</v>
      </c>
      <c r="CL4" s="349" t="s">
        <v>760</v>
      </c>
      <c r="CM4" s="349" t="s">
        <v>1035</v>
      </c>
      <c r="CN4" s="349" t="s">
        <v>1239</v>
      </c>
      <c r="CO4" s="349" t="s">
        <v>877</v>
      </c>
      <c r="CP4" s="349" t="s">
        <v>1246</v>
      </c>
      <c r="CQ4" s="349" t="s">
        <v>358</v>
      </c>
      <c r="CR4" s="349" t="s">
        <v>415</v>
      </c>
      <c r="CS4" s="349" t="s">
        <v>502</v>
      </c>
      <c r="CT4" s="349" t="s">
        <v>519</v>
      </c>
      <c r="CU4" s="349" t="s">
        <v>1264</v>
      </c>
      <c r="CV4" s="349" t="s">
        <v>1251</v>
      </c>
      <c r="CW4" s="349" t="s">
        <v>1259</v>
      </c>
      <c r="CX4" s="349" t="s">
        <v>684</v>
      </c>
      <c r="CY4" s="349" t="s">
        <v>753</v>
      </c>
      <c r="CZ4" s="349" t="s">
        <v>1355</v>
      </c>
      <c r="DA4" s="349" t="s">
        <v>760</v>
      </c>
      <c r="DB4" s="349" t="s">
        <v>1176</v>
      </c>
      <c r="DC4" s="349" t="s">
        <v>684</v>
      </c>
      <c r="DD4" s="349" t="s">
        <v>997</v>
      </c>
      <c r="DE4" s="349" t="s">
        <v>1130</v>
      </c>
      <c r="DF4" s="349" t="s">
        <v>287</v>
      </c>
      <c r="DG4" s="349" t="s">
        <v>1279</v>
      </c>
      <c r="DH4" s="349" t="s">
        <v>623</v>
      </c>
      <c r="DI4" s="349" t="s">
        <v>668</v>
      </c>
      <c r="DJ4" s="349" t="s">
        <v>287</v>
      </c>
      <c r="DK4" s="349" t="s">
        <v>977</v>
      </c>
      <c r="DL4" s="349" t="s">
        <v>219</v>
      </c>
      <c r="DM4" s="349" t="s">
        <v>1299</v>
      </c>
      <c r="DN4" s="349" t="s">
        <v>1287</v>
      </c>
      <c r="DO4" s="349" t="s">
        <v>1283</v>
      </c>
      <c r="DP4" s="349" t="s">
        <v>425</v>
      </c>
      <c r="DQ4" s="349" t="s">
        <v>1251</v>
      </c>
      <c r="DR4" s="349" t="s">
        <v>1296</v>
      </c>
      <c r="DS4" s="349" t="s">
        <v>1293</v>
      </c>
      <c r="DT4" s="349" t="s">
        <v>1304</v>
      </c>
      <c r="DU4" s="349" t="s">
        <v>389</v>
      </c>
      <c r="DV4" s="349" t="s">
        <v>974</v>
      </c>
      <c r="DW4" s="349" t="s">
        <v>1010</v>
      </c>
      <c r="DX4" s="349" t="s">
        <v>1113</v>
      </c>
      <c r="DY4" s="349" t="s">
        <v>1251</v>
      </c>
      <c r="DZ4" s="349" t="s">
        <v>261</v>
      </c>
      <c r="EA4" s="349" t="s">
        <v>358</v>
      </c>
      <c r="EB4" s="349" t="s">
        <v>420</v>
      </c>
      <c r="EC4" s="349" t="s">
        <v>425</v>
      </c>
      <c r="ED4" s="349" t="s">
        <v>485</v>
      </c>
      <c r="EE4" s="349" t="s">
        <v>506</v>
      </c>
      <c r="EF4" s="349" t="s">
        <v>509</v>
      </c>
      <c r="EG4" s="349" t="s">
        <v>528</v>
      </c>
      <c r="EH4" s="349" t="s">
        <v>1532</v>
      </c>
      <c r="EI4" s="349" t="s">
        <v>997</v>
      </c>
      <c r="EJ4" s="349" t="s">
        <v>1001</v>
      </c>
      <c r="EK4" s="349" t="s">
        <v>390</v>
      </c>
      <c r="EL4" s="349" t="s">
        <v>1332</v>
      </c>
      <c r="EM4" s="349" t="s">
        <v>444</v>
      </c>
      <c r="EN4" s="349" t="s">
        <v>447</v>
      </c>
      <c r="EO4" s="349" t="s">
        <v>453</v>
      </c>
      <c r="EP4" s="349" t="s">
        <v>456</v>
      </c>
      <c r="EQ4" s="349" t="s">
        <v>459</v>
      </c>
      <c r="ER4" s="349" t="s">
        <v>464</v>
      </c>
      <c r="ES4" s="349" t="s">
        <v>467</v>
      </c>
      <c r="ET4" s="349" t="s">
        <v>470</v>
      </c>
      <c r="EU4" s="349" t="s">
        <v>472</v>
      </c>
      <c r="EV4" s="349" t="s">
        <v>477</v>
      </c>
      <c r="EW4" s="349" t="s">
        <v>480</v>
      </c>
      <c r="EX4" s="349" t="s">
        <v>493</v>
      </c>
      <c r="EY4" s="349" t="s">
        <v>496</v>
      </c>
      <c r="EZ4" s="349" t="s">
        <v>499</v>
      </c>
      <c r="FA4" s="349" t="s">
        <v>502</v>
      </c>
      <c r="FB4" s="349" t="s">
        <v>1331</v>
      </c>
      <c r="FC4" s="349" t="s">
        <v>519</v>
      </c>
      <c r="FD4" s="349" t="s">
        <v>525</v>
      </c>
      <c r="FE4" s="349" t="s">
        <v>576</v>
      </c>
      <c r="FF4" s="349" t="s">
        <v>1259</v>
      </c>
      <c r="FG4" s="349" t="s">
        <v>390</v>
      </c>
      <c r="FH4" s="349" t="s">
        <v>1328</v>
      </c>
      <c r="FI4" s="349" t="s">
        <v>942</v>
      </c>
      <c r="FJ4" s="349" t="s">
        <v>390</v>
      </c>
      <c r="FK4" s="349" t="s">
        <v>957</v>
      </c>
      <c r="FL4" s="349" t="s">
        <v>959</v>
      </c>
      <c r="FM4" s="349" t="s">
        <v>390</v>
      </c>
      <c r="FN4" s="349" t="s">
        <v>1007</v>
      </c>
      <c r="FO4" s="349" t="s">
        <v>1332</v>
      </c>
      <c r="FP4" s="349" t="s">
        <v>435</v>
      </c>
      <c r="FQ4" s="349" t="s">
        <v>440</v>
      </c>
      <c r="FR4" s="349" t="s">
        <v>447</v>
      </c>
      <c r="FS4" s="349" t="s">
        <v>472</v>
      </c>
      <c r="FT4" s="349" t="s">
        <v>485</v>
      </c>
      <c r="FU4" s="349" t="s">
        <v>502</v>
      </c>
      <c r="FV4" s="349" t="s">
        <v>1343</v>
      </c>
      <c r="FW4" s="349" t="s">
        <v>519</v>
      </c>
      <c r="FX4" s="349" t="s">
        <v>1531</v>
      </c>
      <c r="FY4" s="349" t="s">
        <v>942</v>
      </c>
      <c r="FZ4" s="349" t="s">
        <v>769</v>
      </c>
      <c r="GA4" s="349" t="s">
        <v>769</v>
      </c>
      <c r="GB4" s="349" t="s">
        <v>485</v>
      </c>
      <c r="GC4" s="349" t="s">
        <v>509</v>
      </c>
      <c r="GD4" s="349" t="s">
        <v>519</v>
      </c>
      <c r="GE4" s="349" t="s">
        <v>1355</v>
      </c>
      <c r="GF4" s="349" t="s">
        <v>1357</v>
      </c>
      <c r="GG4" s="349" t="s">
        <v>1351</v>
      </c>
      <c r="GH4" s="349" t="s">
        <v>769</v>
      </c>
      <c r="GI4" s="349" t="s">
        <v>1010</v>
      </c>
      <c r="GJ4" s="349" t="s">
        <v>1526</v>
      </c>
      <c r="GK4" s="349" t="s">
        <v>1362</v>
      </c>
      <c r="GL4" s="349" t="s">
        <v>1373</v>
      </c>
      <c r="GM4" s="349" t="s">
        <v>1530</v>
      </c>
      <c r="GN4" s="349" t="s">
        <v>1375</v>
      </c>
      <c r="GO4" s="349" t="s">
        <v>780</v>
      </c>
      <c r="GP4" s="349" t="s">
        <v>1378</v>
      </c>
      <c r="GQ4" s="349" t="s">
        <v>1379</v>
      </c>
      <c r="GR4" s="349" t="s">
        <v>1517</v>
      </c>
      <c r="GS4" s="349" t="s">
        <v>1383</v>
      </c>
      <c r="GT4" s="349" t="s">
        <v>1388</v>
      </c>
      <c r="GU4" s="349" t="s">
        <v>818</v>
      </c>
      <c r="GV4" s="349" t="s">
        <v>1391</v>
      </c>
      <c r="GW4" s="349" t="s">
        <v>860</v>
      </c>
      <c r="GX4" s="349" t="s">
        <v>1519</v>
      </c>
      <c r="GY4" s="349" t="s">
        <v>1395</v>
      </c>
      <c r="GZ4" s="349" t="s">
        <v>935</v>
      </c>
      <c r="HA4" s="349" t="s">
        <v>721</v>
      </c>
      <c r="HB4" s="349" t="s">
        <v>1401</v>
      </c>
      <c r="HC4" s="349" t="s">
        <v>1388</v>
      </c>
      <c r="HD4" s="349" t="s">
        <v>1416</v>
      </c>
      <c r="HE4" s="349" t="s">
        <v>1418</v>
      </c>
      <c r="HF4" s="349" t="s">
        <v>1406</v>
      </c>
      <c r="HG4" s="349" t="s">
        <v>1411</v>
      </c>
      <c r="HH4" s="349" t="s">
        <v>810</v>
      </c>
      <c r="HI4" s="349" t="s">
        <v>846</v>
      </c>
      <c r="HJ4" s="349" t="s">
        <v>899</v>
      </c>
      <c r="HK4" s="349" t="s">
        <v>1834</v>
      </c>
      <c r="HL4" s="349" t="s">
        <v>1421</v>
      </c>
      <c r="HM4" s="349" t="s">
        <v>1413</v>
      </c>
      <c r="HN4" s="349" t="s">
        <v>1388</v>
      </c>
      <c r="HO4" s="349" t="s">
        <v>859</v>
      </c>
      <c r="HP4" s="349" t="s">
        <v>859</v>
      </c>
      <c r="HQ4" s="349" t="s">
        <v>594</v>
      </c>
      <c r="HR4" s="349" t="s">
        <v>379</v>
      </c>
      <c r="HS4" s="349" t="s">
        <v>1436</v>
      </c>
      <c r="HT4" s="349" t="s">
        <v>372</v>
      </c>
      <c r="HU4" s="349" t="s">
        <v>1438</v>
      </c>
      <c r="HV4" s="349" t="s">
        <v>1440</v>
      </c>
      <c r="HW4" s="349" t="s">
        <v>1433</v>
      </c>
      <c r="HX4" s="349" t="s">
        <v>647</v>
      </c>
      <c r="HY4" s="349" t="s">
        <v>379</v>
      </c>
      <c r="HZ4" s="349" t="s">
        <v>828</v>
      </c>
      <c r="IA4" s="349" t="s">
        <v>1549</v>
      </c>
      <c r="IB4" s="349" t="s">
        <v>1553</v>
      </c>
      <c r="IC4" s="349" t="s">
        <v>1524</v>
      </c>
      <c r="ID4" s="349" t="s">
        <v>918</v>
      </c>
      <c r="IE4" s="349" t="s">
        <v>1020</v>
      </c>
      <c r="IF4" s="349" t="s">
        <v>294</v>
      </c>
      <c r="IG4" s="349" t="s">
        <v>1448</v>
      </c>
      <c r="IH4" s="349" t="s">
        <v>1453</v>
      </c>
      <c r="II4" s="349" t="s">
        <v>1457</v>
      </c>
      <c r="IJ4" s="349" t="s">
        <v>878</v>
      </c>
      <c r="IK4" s="349" t="s">
        <v>1465</v>
      </c>
      <c r="IL4" s="349" t="s">
        <v>1460</v>
      </c>
      <c r="IM4" s="349" t="s">
        <v>1551</v>
      </c>
      <c r="IN4" s="349" t="s">
        <v>236</v>
      </c>
      <c r="IO4" s="349" t="s">
        <v>1488</v>
      </c>
      <c r="IP4" s="349" t="s">
        <v>257</v>
      </c>
      <c r="IQ4" s="349" t="s">
        <v>700</v>
      </c>
      <c r="IR4" s="349" t="s">
        <v>485</v>
      </c>
      <c r="IS4" s="349" t="s">
        <v>1516</v>
      </c>
      <c r="IT4" s="349" t="s">
        <v>585</v>
      </c>
      <c r="IU4" s="349" t="s">
        <v>642</v>
      </c>
      <c r="IV4" s="349" t="s">
        <v>674</v>
      </c>
      <c r="IW4" s="349" t="s">
        <v>1473</v>
      </c>
      <c r="IX4" s="349" t="s">
        <v>1476</v>
      </c>
      <c r="IY4" s="349" t="s">
        <v>731</v>
      </c>
      <c r="IZ4" s="349" t="s">
        <v>1388</v>
      </c>
      <c r="JA4" s="349" t="s">
        <v>1482</v>
      </c>
      <c r="JB4" s="349" t="s">
        <v>1495</v>
      </c>
      <c r="JC4" s="349" t="s">
        <v>1504</v>
      </c>
      <c r="JD4" s="349" t="s">
        <v>879</v>
      </c>
      <c r="JE4" s="349" t="s">
        <v>1523</v>
      </c>
      <c r="JF4" s="349" t="s">
        <v>1522</v>
      </c>
      <c r="JG4" s="349" t="s">
        <v>905</v>
      </c>
      <c r="JH4" s="349" t="s">
        <v>933</v>
      </c>
      <c r="JI4" s="349" t="s">
        <v>1479</v>
      </c>
      <c r="JJ4" s="349" t="s">
        <v>1535</v>
      </c>
      <c r="JK4" s="349" t="s">
        <v>1485</v>
      </c>
      <c r="JL4" s="349" t="s">
        <v>1537</v>
      </c>
      <c r="JM4" s="349" t="s">
        <v>1112</v>
      </c>
      <c r="JN4" s="349" t="s">
        <v>1554</v>
      </c>
      <c r="JO4" s="349" t="s">
        <v>1546</v>
      </c>
      <c r="JP4" s="349" t="s">
        <v>1548</v>
      </c>
      <c r="JQ4" s="349" t="s">
        <v>1547</v>
      </c>
      <c r="JR4" s="349" t="s">
        <v>1550</v>
      </c>
      <c r="JU4" s="348" t="s">
        <v>40</v>
      </c>
      <c r="JV4"/>
      <c r="JW4"/>
    </row>
    <row r="5" spans="1:315" x14ac:dyDescent="0.25">
      <c r="A5" s="313">
        <v>3</v>
      </c>
      <c r="B5" s="348" t="s">
        <v>1841</v>
      </c>
      <c r="C5" s="349">
        <v>1</v>
      </c>
      <c r="D5" s="349">
        <v>1</v>
      </c>
      <c r="E5" s="349">
        <v>1</v>
      </c>
      <c r="F5" s="349">
        <v>1</v>
      </c>
      <c r="G5" s="349">
        <v>1</v>
      </c>
      <c r="H5" s="349">
        <v>1</v>
      </c>
      <c r="I5" s="349">
        <v>1</v>
      </c>
      <c r="J5" s="349">
        <v>1</v>
      </c>
      <c r="K5" s="349">
        <v>1</v>
      </c>
      <c r="L5" s="349">
        <v>1</v>
      </c>
      <c r="M5" s="349">
        <v>1</v>
      </c>
      <c r="N5" s="349">
        <v>1</v>
      </c>
      <c r="O5" s="349">
        <v>1</v>
      </c>
      <c r="P5" s="349">
        <v>1</v>
      </c>
      <c r="Q5" s="349">
        <v>1</v>
      </c>
      <c r="R5" s="349">
        <v>1</v>
      </c>
      <c r="S5" s="349">
        <v>1</v>
      </c>
      <c r="T5" s="349">
        <v>1</v>
      </c>
      <c r="U5" s="349">
        <v>1</v>
      </c>
      <c r="V5" s="349">
        <v>1</v>
      </c>
      <c r="W5" s="349">
        <v>1</v>
      </c>
      <c r="X5" s="349">
        <v>1</v>
      </c>
      <c r="Y5" s="349">
        <v>1</v>
      </c>
      <c r="Z5" s="349">
        <v>1</v>
      </c>
      <c r="AA5" s="349">
        <v>1</v>
      </c>
      <c r="AB5" s="349">
        <v>1</v>
      </c>
      <c r="AC5" s="349">
        <v>1</v>
      </c>
      <c r="AD5" s="349">
        <v>1</v>
      </c>
      <c r="AE5" s="349">
        <v>1</v>
      </c>
      <c r="AF5" s="349">
        <v>1</v>
      </c>
      <c r="AG5" s="349">
        <v>1</v>
      </c>
      <c r="AH5" s="349">
        <v>1</v>
      </c>
      <c r="AI5" s="349">
        <v>1</v>
      </c>
      <c r="AJ5" s="349">
        <v>1</v>
      </c>
      <c r="AK5" s="349">
        <v>1</v>
      </c>
      <c r="AL5" s="349">
        <v>1</v>
      </c>
      <c r="AM5" s="349">
        <v>1</v>
      </c>
      <c r="AN5" s="349">
        <v>1</v>
      </c>
      <c r="AO5" s="349">
        <v>1</v>
      </c>
      <c r="AP5" s="349">
        <v>1</v>
      </c>
      <c r="AQ5" s="349">
        <v>1</v>
      </c>
      <c r="AR5" s="349">
        <v>1</v>
      </c>
      <c r="AS5" s="349">
        <v>1</v>
      </c>
      <c r="AT5" s="349">
        <v>1</v>
      </c>
      <c r="AU5" s="349">
        <v>1</v>
      </c>
      <c r="AV5" s="349">
        <v>1</v>
      </c>
      <c r="AW5" s="349">
        <v>1</v>
      </c>
      <c r="AX5" s="349">
        <v>1</v>
      </c>
      <c r="AY5" s="349">
        <v>1</v>
      </c>
      <c r="AZ5" s="349">
        <v>1</v>
      </c>
      <c r="BA5" s="349">
        <v>1</v>
      </c>
      <c r="BB5" s="349">
        <v>1</v>
      </c>
      <c r="BC5" s="349">
        <v>1</v>
      </c>
      <c r="BD5" s="349">
        <v>1</v>
      </c>
      <c r="BE5" s="349">
        <v>1</v>
      </c>
      <c r="BF5" s="349">
        <v>1</v>
      </c>
      <c r="BG5" s="349">
        <v>1</v>
      </c>
      <c r="BH5" s="349">
        <v>1</v>
      </c>
      <c r="BI5" s="349">
        <v>1</v>
      </c>
      <c r="BJ5" s="349">
        <v>1</v>
      </c>
      <c r="BK5" s="349">
        <v>1</v>
      </c>
      <c r="BL5" s="349">
        <v>1</v>
      </c>
      <c r="BM5" s="349">
        <v>1</v>
      </c>
      <c r="BN5" s="349">
        <v>1</v>
      </c>
      <c r="BO5" s="349">
        <v>1</v>
      </c>
      <c r="BP5" s="349">
        <v>1</v>
      </c>
      <c r="BQ5" s="349">
        <v>1</v>
      </c>
      <c r="BR5" s="349">
        <v>1</v>
      </c>
      <c r="BS5" s="349">
        <v>1</v>
      </c>
      <c r="BT5" s="349">
        <v>1</v>
      </c>
      <c r="BU5" s="349">
        <v>1</v>
      </c>
      <c r="BV5" s="349">
        <v>1</v>
      </c>
      <c r="BW5" s="349">
        <v>1</v>
      </c>
      <c r="BX5" s="349">
        <v>1</v>
      </c>
      <c r="BY5" s="349">
        <v>1</v>
      </c>
      <c r="BZ5" s="349">
        <v>1</v>
      </c>
      <c r="CA5" s="349">
        <v>1</v>
      </c>
      <c r="CB5" s="349">
        <v>1</v>
      </c>
      <c r="CC5" s="349">
        <v>1</v>
      </c>
      <c r="CD5" s="349">
        <v>1</v>
      </c>
      <c r="CE5" s="349">
        <v>1</v>
      </c>
      <c r="CF5" s="349">
        <v>1</v>
      </c>
      <c r="CG5" s="349">
        <v>1</v>
      </c>
      <c r="CH5" s="349">
        <v>1</v>
      </c>
      <c r="CI5" s="349">
        <v>1</v>
      </c>
      <c r="CJ5" s="349">
        <v>1</v>
      </c>
      <c r="CK5" s="349">
        <v>1</v>
      </c>
      <c r="CL5" s="349">
        <v>1</v>
      </c>
      <c r="CM5" s="349">
        <v>1</v>
      </c>
      <c r="CN5" s="349">
        <v>1</v>
      </c>
      <c r="CO5" s="349">
        <v>1</v>
      </c>
      <c r="CP5" s="349">
        <v>1</v>
      </c>
      <c r="CQ5" s="349">
        <v>1</v>
      </c>
      <c r="CR5" s="349">
        <v>1</v>
      </c>
      <c r="CS5" s="349">
        <v>1</v>
      </c>
      <c r="CT5" s="349">
        <v>1</v>
      </c>
      <c r="CU5" s="349">
        <v>1</v>
      </c>
      <c r="CV5" s="349">
        <v>1</v>
      </c>
      <c r="CW5" s="349">
        <v>1</v>
      </c>
      <c r="CX5" s="349">
        <v>1</v>
      </c>
      <c r="CY5" s="349">
        <v>1</v>
      </c>
      <c r="CZ5" s="349">
        <v>1</v>
      </c>
      <c r="DA5" s="349">
        <v>1</v>
      </c>
      <c r="DB5" s="349">
        <v>1</v>
      </c>
      <c r="DC5" s="349">
        <v>1</v>
      </c>
      <c r="DD5" s="349">
        <v>1</v>
      </c>
      <c r="DE5" s="349">
        <v>1</v>
      </c>
      <c r="DF5" s="349">
        <v>1</v>
      </c>
      <c r="DG5" s="349">
        <v>1</v>
      </c>
      <c r="DH5" s="349">
        <v>1</v>
      </c>
      <c r="DI5" s="349">
        <v>1</v>
      </c>
      <c r="DJ5" s="349">
        <v>1</v>
      </c>
      <c r="DK5" s="349">
        <v>1</v>
      </c>
      <c r="DL5" s="349">
        <v>1</v>
      </c>
      <c r="DM5" s="349">
        <v>1</v>
      </c>
      <c r="DN5" s="349">
        <v>1</v>
      </c>
      <c r="DO5" s="349">
        <v>1</v>
      </c>
      <c r="DP5" s="349">
        <v>1</v>
      </c>
      <c r="DQ5" s="349">
        <v>1</v>
      </c>
      <c r="DR5" s="349">
        <v>1</v>
      </c>
      <c r="DS5" s="349">
        <v>1</v>
      </c>
      <c r="DT5" s="349">
        <v>1</v>
      </c>
      <c r="DU5" s="349">
        <v>1</v>
      </c>
      <c r="DV5" s="349">
        <v>1</v>
      </c>
      <c r="DW5" s="349">
        <v>1</v>
      </c>
      <c r="DX5" s="349">
        <v>1</v>
      </c>
      <c r="DY5" s="349">
        <v>1</v>
      </c>
      <c r="DZ5" s="349">
        <v>1</v>
      </c>
      <c r="EA5" s="349">
        <v>1</v>
      </c>
      <c r="EB5" s="349">
        <v>1</v>
      </c>
      <c r="EC5" s="349">
        <v>1</v>
      </c>
      <c r="ED5" s="349">
        <v>1</v>
      </c>
      <c r="EE5" s="349">
        <v>1</v>
      </c>
      <c r="EF5" s="349">
        <v>1</v>
      </c>
      <c r="EG5" s="349">
        <v>1</v>
      </c>
      <c r="EH5" s="349">
        <v>1</v>
      </c>
      <c r="EI5" s="349">
        <v>1</v>
      </c>
      <c r="EJ5" s="349">
        <v>1</v>
      </c>
      <c r="EK5" s="349">
        <v>1</v>
      </c>
      <c r="EL5" s="349">
        <v>1</v>
      </c>
      <c r="EM5" s="349">
        <v>1</v>
      </c>
      <c r="EN5" s="349">
        <v>1</v>
      </c>
      <c r="EO5" s="349">
        <v>1</v>
      </c>
      <c r="EP5" s="349">
        <v>1</v>
      </c>
      <c r="EQ5" s="349">
        <v>1</v>
      </c>
      <c r="ER5" s="349">
        <v>1</v>
      </c>
      <c r="ES5" s="349">
        <v>1</v>
      </c>
      <c r="ET5" s="349">
        <v>1</v>
      </c>
      <c r="EU5" s="349">
        <v>1</v>
      </c>
      <c r="EV5" s="349">
        <v>1</v>
      </c>
      <c r="EW5" s="349">
        <v>1</v>
      </c>
      <c r="EX5" s="349">
        <v>1</v>
      </c>
      <c r="EY5" s="349">
        <v>1</v>
      </c>
      <c r="EZ5" s="349">
        <v>1</v>
      </c>
      <c r="FA5" s="349">
        <v>1</v>
      </c>
      <c r="FB5" s="349">
        <v>1</v>
      </c>
      <c r="FC5" s="349">
        <v>1</v>
      </c>
      <c r="FD5" s="349">
        <v>1</v>
      </c>
      <c r="FE5" s="349">
        <v>1</v>
      </c>
      <c r="FF5" s="349">
        <v>1</v>
      </c>
      <c r="FG5" s="349">
        <v>1</v>
      </c>
      <c r="FH5" s="349">
        <v>1</v>
      </c>
      <c r="FI5" s="349">
        <v>1</v>
      </c>
      <c r="FJ5" s="349">
        <v>1</v>
      </c>
      <c r="FK5" s="349">
        <v>1</v>
      </c>
      <c r="FL5" s="349">
        <v>1</v>
      </c>
      <c r="FM5" s="349">
        <v>1</v>
      </c>
      <c r="FN5" s="349">
        <v>1</v>
      </c>
      <c r="FO5" s="349">
        <v>1</v>
      </c>
      <c r="FP5" s="349">
        <v>1</v>
      </c>
      <c r="FQ5" s="349">
        <v>1</v>
      </c>
      <c r="FR5" s="349">
        <v>1</v>
      </c>
      <c r="FS5" s="349">
        <v>1</v>
      </c>
      <c r="FT5" s="349">
        <v>1</v>
      </c>
      <c r="FU5" s="349">
        <v>1</v>
      </c>
      <c r="FV5" s="349">
        <v>1</v>
      </c>
      <c r="FW5" s="349">
        <v>1</v>
      </c>
      <c r="FX5" s="349">
        <v>1</v>
      </c>
      <c r="FY5" s="349">
        <v>1</v>
      </c>
      <c r="FZ5" s="349">
        <v>1</v>
      </c>
      <c r="GA5" s="349">
        <v>1</v>
      </c>
      <c r="GB5" s="349">
        <v>1</v>
      </c>
      <c r="GC5" s="349">
        <v>1</v>
      </c>
      <c r="GD5" s="349">
        <v>1</v>
      </c>
      <c r="GE5" s="349">
        <v>1</v>
      </c>
      <c r="GF5" s="349">
        <v>1</v>
      </c>
      <c r="GG5" s="349">
        <v>1</v>
      </c>
      <c r="GH5" s="349">
        <v>1</v>
      </c>
      <c r="GI5" s="349">
        <v>1</v>
      </c>
      <c r="GJ5" s="349">
        <v>1</v>
      </c>
      <c r="GK5" s="349">
        <v>1</v>
      </c>
      <c r="GL5" s="349">
        <v>1</v>
      </c>
      <c r="GM5" s="349">
        <v>1</v>
      </c>
      <c r="GN5" s="349">
        <v>1</v>
      </c>
      <c r="GO5" s="349">
        <v>1</v>
      </c>
      <c r="GP5" s="349">
        <v>1</v>
      </c>
      <c r="GQ5" s="349">
        <v>1</v>
      </c>
      <c r="GR5" s="349">
        <v>1</v>
      </c>
      <c r="GS5" s="349">
        <v>1</v>
      </c>
      <c r="GT5" s="349">
        <v>1</v>
      </c>
      <c r="GU5" s="349">
        <v>1</v>
      </c>
      <c r="GV5" s="349">
        <v>1</v>
      </c>
      <c r="GW5" s="349">
        <v>1</v>
      </c>
      <c r="GX5" s="349">
        <v>1</v>
      </c>
      <c r="GY5" s="349">
        <v>1</v>
      </c>
      <c r="GZ5" s="349">
        <v>1</v>
      </c>
      <c r="HA5" s="349">
        <v>1</v>
      </c>
      <c r="HB5" s="349">
        <v>1</v>
      </c>
      <c r="HC5" s="349">
        <v>1</v>
      </c>
      <c r="HD5" s="349">
        <v>1</v>
      </c>
      <c r="HE5" s="349">
        <v>1</v>
      </c>
      <c r="HF5" s="349">
        <v>1</v>
      </c>
      <c r="HG5" s="349">
        <v>1</v>
      </c>
      <c r="HH5" s="349">
        <v>1</v>
      </c>
      <c r="HI5" s="349">
        <v>1</v>
      </c>
      <c r="HJ5" s="349">
        <v>1</v>
      </c>
      <c r="HK5" s="349">
        <v>1</v>
      </c>
      <c r="HL5" s="349">
        <v>1</v>
      </c>
      <c r="HM5" s="349">
        <v>1</v>
      </c>
      <c r="HN5" s="349">
        <v>1</v>
      </c>
      <c r="HO5" s="349">
        <v>1</v>
      </c>
      <c r="HP5" s="349">
        <v>1</v>
      </c>
      <c r="HQ5" s="349">
        <v>1</v>
      </c>
      <c r="HR5" s="349">
        <v>1</v>
      </c>
      <c r="HS5" s="349">
        <v>1</v>
      </c>
      <c r="HT5" s="349">
        <v>1</v>
      </c>
      <c r="HU5" s="349">
        <v>1</v>
      </c>
      <c r="HV5" s="349">
        <v>1</v>
      </c>
      <c r="HW5" s="349">
        <v>1</v>
      </c>
      <c r="HX5" s="349">
        <v>1</v>
      </c>
      <c r="HY5" s="349">
        <v>1</v>
      </c>
      <c r="HZ5" s="349">
        <v>1</v>
      </c>
      <c r="IA5" s="349">
        <v>1</v>
      </c>
      <c r="IB5" s="349">
        <v>1</v>
      </c>
      <c r="IC5" s="349">
        <v>1</v>
      </c>
      <c r="ID5" s="349">
        <v>1</v>
      </c>
      <c r="IE5" s="349">
        <v>1</v>
      </c>
      <c r="IF5" s="349">
        <v>1</v>
      </c>
      <c r="IG5" s="349">
        <v>1</v>
      </c>
      <c r="IH5" s="349">
        <v>1</v>
      </c>
      <c r="II5" s="349">
        <v>1</v>
      </c>
      <c r="IJ5" s="349">
        <v>1</v>
      </c>
      <c r="IK5" s="349">
        <v>1</v>
      </c>
      <c r="IL5" s="349">
        <v>1</v>
      </c>
      <c r="IM5" s="349">
        <v>1</v>
      </c>
      <c r="IN5" s="349">
        <v>1</v>
      </c>
      <c r="IO5" s="349">
        <v>1</v>
      </c>
      <c r="IP5" s="349">
        <v>1</v>
      </c>
      <c r="IQ5" s="349">
        <v>1</v>
      </c>
      <c r="IR5" s="349">
        <v>1</v>
      </c>
      <c r="IS5" s="349">
        <v>1</v>
      </c>
      <c r="IT5" s="349">
        <v>1</v>
      </c>
      <c r="IU5" s="349">
        <v>1</v>
      </c>
      <c r="IV5" s="349">
        <v>1</v>
      </c>
      <c r="IW5" s="349">
        <v>1</v>
      </c>
      <c r="IX5" s="349">
        <v>1</v>
      </c>
      <c r="IY5" s="349">
        <v>1</v>
      </c>
      <c r="IZ5" s="349">
        <v>1</v>
      </c>
      <c r="JA5" s="349">
        <v>1</v>
      </c>
      <c r="JB5" s="349">
        <v>1</v>
      </c>
      <c r="JC5" s="349">
        <v>1</v>
      </c>
      <c r="JD5" s="349">
        <v>1</v>
      </c>
      <c r="JE5" s="349">
        <v>1</v>
      </c>
      <c r="JF5" s="349">
        <v>1</v>
      </c>
      <c r="JG5" s="349">
        <v>1</v>
      </c>
      <c r="JH5" s="349">
        <v>1</v>
      </c>
      <c r="JI5" s="349">
        <v>1</v>
      </c>
      <c r="JJ5" s="349">
        <v>1</v>
      </c>
      <c r="JK5" s="349">
        <v>1</v>
      </c>
      <c r="JL5" s="349">
        <v>1</v>
      </c>
      <c r="JM5" s="349">
        <v>1</v>
      </c>
      <c r="JN5" s="349">
        <v>1</v>
      </c>
      <c r="JO5" s="349">
        <v>1</v>
      </c>
      <c r="JP5" s="349">
        <v>1</v>
      </c>
      <c r="JQ5" s="349">
        <v>1</v>
      </c>
      <c r="JR5" s="349">
        <v>1</v>
      </c>
      <c r="JU5" s="348" t="s">
        <v>1841</v>
      </c>
      <c r="JV5" s="313">
        <f>SUMIFS($C5:$JR5,$C$2:$JR$2,JV$2)</f>
        <v>24</v>
      </c>
      <c r="JW5" s="313">
        <f t="shared" ref="JW5:LC5" si="0">SUMIFS($C5:$JR5,$C$2:$JR$2,JW$2)</f>
        <v>5</v>
      </c>
      <c r="JX5" s="313">
        <f t="shared" si="0"/>
        <v>12</v>
      </c>
      <c r="JY5" s="313">
        <f t="shared" si="0"/>
        <v>46</v>
      </c>
      <c r="JZ5" s="313">
        <f t="shared" si="0"/>
        <v>2</v>
      </c>
      <c r="KA5" s="313">
        <f t="shared" si="0"/>
        <v>1</v>
      </c>
      <c r="KB5" s="313">
        <f t="shared" si="0"/>
        <v>2</v>
      </c>
      <c r="KC5" s="313">
        <f t="shared" si="0"/>
        <v>14</v>
      </c>
      <c r="KD5" s="313">
        <f t="shared" si="0"/>
        <v>7</v>
      </c>
      <c r="KE5" s="313">
        <f t="shared" si="0"/>
        <v>13</v>
      </c>
      <c r="KF5" s="313">
        <f t="shared" si="0"/>
        <v>1</v>
      </c>
      <c r="KG5" s="313">
        <f t="shared" si="0"/>
        <v>11</v>
      </c>
      <c r="KH5" s="313">
        <f t="shared" si="0"/>
        <v>30</v>
      </c>
      <c r="KI5" s="313">
        <f t="shared" si="0"/>
        <v>11</v>
      </c>
      <c r="KJ5" s="313">
        <f t="shared" si="0"/>
        <v>10</v>
      </c>
      <c r="KK5" s="313">
        <f t="shared" si="0"/>
        <v>2</v>
      </c>
      <c r="KL5" s="313">
        <f t="shared" si="0"/>
        <v>4</v>
      </c>
      <c r="KM5" s="313">
        <f t="shared" si="0"/>
        <v>2</v>
      </c>
      <c r="KN5" s="313">
        <f t="shared" si="0"/>
        <v>6</v>
      </c>
      <c r="KO5" s="313">
        <f t="shared" si="0"/>
        <v>1</v>
      </c>
      <c r="KP5" s="313">
        <f t="shared" si="0"/>
        <v>2</v>
      </c>
      <c r="KQ5" s="313">
        <f t="shared" si="0"/>
        <v>1</v>
      </c>
      <c r="KR5" s="313">
        <f t="shared" si="0"/>
        <v>1</v>
      </c>
      <c r="KS5" s="313">
        <f t="shared" si="0"/>
        <v>1</v>
      </c>
      <c r="KT5" s="313">
        <f t="shared" si="0"/>
        <v>10</v>
      </c>
      <c r="KU5" s="313">
        <f t="shared" si="0"/>
        <v>3</v>
      </c>
      <c r="KV5" s="313">
        <f t="shared" si="0"/>
        <v>1</v>
      </c>
      <c r="KW5" s="313">
        <f t="shared" si="0"/>
        <v>14</v>
      </c>
      <c r="KX5" s="313">
        <f t="shared" si="0"/>
        <v>2</v>
      </c>
      <c r="KY5" s="313">
        <f t="shared" si="0"/>
        <v>3</v>
      </c>
      <c r="KZ5" s="313">
        <f t="shared" si="0"/>
        <v>3</v>
      </c>
      <c r="LA5" s="313">
        <f t="shared" si="0"/>
        <v>26</v>
      </c>
      <c r="LB5" s="313">
        <f t="shared" si="0"/>
        <v>4</v>
      </c>
      <c r="LC5" s="313">
        <f t="shared" si="0"/>
        <v>1</v>
      </c>
    </row>
    <row r="6" spans="1:315" x14ac:dyDescent="0.25">
      <c r="A6" s="313">
        <v>4</v>
      </c>
      <c r="B6" s="348" t="s">
        <v>1842</v>
      </c>
      <c r="C6" s="350">
        <v>169330.75</v>
      </c>
      <c r="D6" s="350">
        <v>45950</v>
      </c>
      <c r="E6" s="350">
        <v>885</v>
      </c>
      <c r="F6" s="350">
        <v>60354.04</v>
      </c>
      <c r="G6" s="350">
        <v>130671.5</v>
      </c>
      <c r="H6" s="350">
        <v>55791.67</v>
      </c>
      <c r="I6" s="350">
        <v>4517.6400000000003</v>
      </c>
      <c r="J6" s="350">
        <v>47493.440000000002</v>
      </c>
      <c r="K6" s="350">
        <v>4559.5200000000004</v>
      </c>
      <c r="L6" s="350">
        <v>117455.06</v>
      </c>
      <c r="M6" s="350">
        <v>23529.56</v>
      </c>
      <c r="N6" s="350">
        <v>124904</v>
      </c>
      <c r="O6" s="350">
        <v>8159</v>
      </c>
      <c r="P6" s="350">
        <v>65119.59</v>
      </c>
      <c r="Q6" s="350">
        <v>55259.31</v>
      </c>
      <c r="R6" s="350">
        <v>38697.800000000003</v>
      </c>
      <c r="S6" s="350">
        <v>5534</v>
      </c>
      <c r="T6" s="350">
        <v>84875</v>
      </c>
      <c r="U6" s="350">
        <v>57531.360000000001</v>
      </c>
      <c r="V6" s="350">
        <v>18228.97</v>
      </c>
      <c r="W6" s="350">
        <v>67292.100000000006</v>
      </c>
      <c r="X6" s="350">
        <v>31354.09</v>
      </c>
      <c r="Y6" s="350">
        <v>1179.8399999999999</v>
      </c>
      <c r="Z6" s="350">
        <v>37910</v>
      </c>
      <c r="AA6" s="350">
        <v>163672.42000000001</v>
      </c>
      <c r="AB6" s="350">
        <v>77577.2</v>
      </c>
      <c r="AC6" s="350">
        <v>0</v>
      </c>
      <c r="AD6" s="350">
        <v>82022.09</v>
      </c>
      <c r="AE6" s="350">
        <v>22893.74</v>
      </c>
      <c r="AF6" s="350">
        <v>70739.520000000004</v>
      </c>
      <c r="AG6" s="350">
        <v>82668</v>
      </c>
      <c r="AH6" s="350">
        <v>95944.37</v>
      </c>
      <c r="AI6" s="350">
        <v>109332</v>
      </c>
      <c r="AJ6" s="350">
        <v>135398.79999999999</v>
      </c>
      <c r="AK6" s="350">
        <v>6551.24</v>
      </c>
      <c r="AL6" s="350">
        <v>58834</v>
      </c>
      <c r="AM6" s="350">
        <v>52686</v>
      </c>
      <c r="AN6" s="350">
        <v>301266.77</v>
      </c>
      <c r="AO6" s="350">
        <v>47679</v>
      </c>
      <c r="AP6" s="350">
        <v>570151</v>
      </c>
      <c r="AQ6" s="350">
        <v>276418.95</v>
      </c>
      <c r="AR6" s="350">
        <v>491107.11</v>
      </c>
      <c r="AS6" s="350">
        <v>145407</v>
      </c>
      <c r="AT6" s="350">
        <v>1117296</v>
      </c>
      <c r="AU6" s="350">
        <v>201883</v>
      </c>
      <c r="AV6" s="350">
        <v>163905</v>
      </c>
      <c r="AW6" s="351"/>
      <c r="AX6" s="350">
        <v>168330</v>
      </c>
      <c r="AY6" s="350">
        <v>41097</v>
      </c>
      <c r="AZ6" s="350">
        <v>87006</v>
      </c>
      <c r="BA6" s="350">
        <v>135188</v>
      </c>
      <c r="BB6" s="350">
        <v>177824</v>
      </c>
      <c r="BC6" s="350">
        <v>193273.15</v>
      </c>
      <c r="BD6" s="350">
        <v>80107</v>
      </c>
      <c r="BE6" s="350">
        <v>54459</v>
      </c>
      <c r="BF6" s="350">
        <v>221</v>
      </c>
      <c r="BG6" s="350">
        <v>65945</v>
      </c>
      <c r="BH6" s="350">
        <v>51499.6</v>
      </c>
      <c r="BI6" s="350">
        <v>56739</v>
      </c>
      <c r="BJ6" s="350">
        <v>63426.93</v>
      </c>
      <c r="BK6" s="350">
        <v>77384</v>
      </c>
      <c r="BL6" s="350">
        <v>129869.11</v>
      </c>
      <c r="BM6" s="350">
        <v>223173.43</v>
      </c>
      <c r="BN6" s="350">
        <v>215350.93</v>
      </c>
      <c r="BO6" s="350">
        <v>290808</v>
      </c>
      <c r="BP6" s="350">
        <v>84196</v>
      </c>
      <c r="BQ6" s="350">
        <v>386403.5</v>
      </c>
      <c r="BR6" s="350">
        <v>82041.03</v>
      </c>
      <c r="BS6" s="350">
        <v>432402</v>
      </c>
      <c r="BT6" s="350">
        <v>360055</v>
      </c>
      <c r="BU6" s="350">
        <v>197475</v>
      </c>
      <c r="BV6" s="350">
        <v>735067.85</v>
      </c>
      <c r="BW6" s="350">
        <v>409266.74</v>
      </c>
      <c r="BX6" s="350">
        <v>111275</v>
      </c>
      <c r="BY6" s="350">
        <v>180376</v>
      </c>
      <c r="BZ6" s="350">
        <v>719762</v>
      </c>
      <c r="CA6" s="350">
        <v>333839</v>
      </c>
      <c r="CB6" s="350">
        <v>40949</v>
      </c>
      <c r="CC6" s="350">
        <v>350765</v>
      </c>
      <c r="CD6" s="350">
        <v>1088254.28</v>
      </c>
      <c r="CE6" s="350">
        <v>8971</v>
      </c>
      <c r="CF6" s="350">
        <v>129835</v>
      </c>
      <c r="CG6" s="350">
        <v>863444.14</v>
      </c>
      <c r="CH6" s="350">
        <v>39107.07</v>
      </c>
      <c r="CI6" s="350">
        <v>96324</v>
      </c>
      <c r="CJ6" s="350">
        <v>679246</v>
      </c>
      <c r="CK6" s="350">
        <v>1687890.69</v>
      </c>
      <c r="CL6" s="350">
        <v>29630</v>
      </c>
      <c r="CM6" s="350">
        <v>421255.9</v>
      </c>
      <c r="CN6" s="350">
        <v>26399.05</v>
      </c>
      <c r="CO6" s="350">
        <v>40487.69</v>
      </c>
      <c r="CP6" s="350">
        <v>4527.43</v>
      </c>
      <c r="CQ6" s="350">
        <v>212015</v>
      </c>
      <c r="CR6" s="350">
        <v>883315.02</v>
      </c>
      <c r="CS6" s="350">
        <v>120305</v>
      </c>
      <c r="CT6" s="350">
        <v>282287</v>
      </c>
      <c r="CU6" s="350">
        <v>136149</v>
      </c>
      <c r="CV6" s="350">
        <v>601241</v>
      </c>
      <c r="CW6" s="350">
        <v>12422.3</v>
      </c>
      <c r="CX6" s="350">
        <v>194706</v>
      </c>
      <c r="CY6" s="350">
        <v>40476</v>
      </c>
      <c r="CZ6" s="350">
        <v>712182</v>
      </c>
      <c r="DA6" s="350">
        <v>3484940</v>
      </c>
      <c r="DB6" s="350">
        <v>0</v>
      </c>
      <c r="DC6" s="350">
        <v>256091.21</v>
      </c>
      <c r="DD6" s="350">
        <v>38546.33</v>
      </c>
      <c r="DE6" s="350">
        <v>215205</v>
      </c>
      <c r="DF6" s="350">
        <v>228267.74</v>
      </c>
      <c r="DG6" s="350">
        <v>48770</v>
      </c>
      <c r="DH6" s="350">
        <v>19726</v>
      </c>
      <c r="DI6" s="350">
        <v>16876</v>
      </c>
      <c r="DJ6" s="350">
        <v>130692</v>
      </c>
      <c r="DK6" s="350">
        <v>28486</v>
      </c>
      <c r="DL6" s="350">
        <v>606608.44999999995</v>
      </c>
      <c r="DM6" s="350">
        <v>250643.96</v>
      </c>
      <c r="DN6" s="350">
        <v>103259.6</v>
      </c>
      <c r="DO6" s="350">
        <v>115546</v>
      </c>
      <c r="DP6" s="350">
        <v>33362.870000000003</v>
      </c>
      <c r="DQ6" s="350">
        <v>240368</v>
      </c>
      <c r="DR6" s="350">
        <v>346686.2</v>
      </c>
      <c r="DS6" s="350">
        <v>1151638.99</v>
      </c>
      <c r="DT6" s="350">
        <v>161743.63</v>
      </c>
      <c r="DU6" s="350">
        <v>644425.25</v>
      </c>
      <c r="DV6" s="350">
        <v>794000</v>
      </c>
      <c r="DW6" s="350">
        <v>2297011.7400000002</v>
      </c>
      <c r="DX6" s="350">
        <v>83836</v>
      </c>
      <c r="DY6" s="350">
        <v>319924</v>
      </c>
      <c r="DZ6" s="350">
        <v>5099635.17</v>
      </c>
      <c r="EA6" s="350">
        <v>848059</v>
      </c>
      <c r="EB6" s="350">
        <v>3284923</v>
      </c>
      <c r="EC6" s="350">
        <v>4247371.3499999996</v>
      </c>
      <c r="ED6" s="350">
        <v>317618.13</v>
      </c>
      <c r="EE6" s="350">
        <v>3642864.58</v>
      </c>
      <c r="EF6" s="350">
        <v>3394269.76</v>
      </c>
      <c r="EG6" s="350">
        <v>2643994</v>
      </c>
      <c r="EH6" s="350">
        <v>2100577</v>
      </c>
      <c r="EI6" s="350">
        <v>4673371.83</v>
      </c>
      <c r="EJ6" s="350">
        <v>4420419.66</v>
      </c>
      <c r="EK6" s="350">
        <v>2515878</v>
      </c>
      <c r="EL6" s="350">
        <v>905348</v>
      </c>
      <c r="EM6" s="350">
        <v>6151677.9199999999</v>
      </c>
      <c r="EN6" s="350">
        <v>1655437</v>
      </c>
      <c r="EO6" s="350">
        <v>4468160.32</v>
      </c>
      <c r="EP6" s="350">
        <v>2721035</v>
      </c>
      <c r="EQ6" s="350">
        <v>1428173</v>
      </c>
      <c r="ER6" s="350">
        <v>3345801.87</v>
      </c>
      <c r="ES6" s="350">
        <v>2329963.2999999998</v>
      </c>
      <c r="ET6" s="350">
        <v>2743602</v>
      </c>
      <c r="EU6" s="350">
        <v>4376715</v>
      </c>
      <c r="EV6" s="350">
        <v>2878477.85</v>
      </c>
      <c r="EW6" s="350">
        <v>8322579</v>
      </c>
      <c r="EX6" s="350">
        <v>3081225</v>
      </c>
      <c r="EY6" s="350">
        <v>2682194.7599999998</v>
      </c>
      <c r="EZ6" s="350">
        <v>5741212.8399999999</v>
      </c>
      <c r="FA6" s="350">
        <v>2698606</v>
      </c>
      <c r="FB6" s="350">
        <v>13953758</v>
      </c>
      <c r="FC6" s="350">
        <v>2189734</v>
      </c>
      <c r="FD6" s="350">
        <v>5706815</v>
      </c>
      <c r="FE6" s="350">
        <v>1473654</v>
      </c>
      <c r="FF6" s="350">
        <v>256325.81</v>
      </c>
      <c r="FG6" s="350">
        <v>1483938</v>
      </c>
      <c r="FH6" s="350">
        <v>1822146</v>
      </c>
      <c r="FI6" s="350">
        <v>397208</v>
      </c>
      <c r="FJ6" s="350">
        <v>4747213.83</v>
      </c>
      <c r="FK6" s="350">
        <v>551501.06999999995</v>
      </c>
      <c r="FL6" s="350">
        <v>2033074</v>
      </c>
      <c r="FM6" s="350">
        <v>3291700</v>
      </c>
      <c r="FN6" s="350">
        <v>4213139</v>
      </c>
      <c r="FO6" s="350">
        <v>350625</v>
      </c>
      <c r="FP6" s="350">
        <v>2436292</v>
      </c>
      <c r="FQ6" s="350">
        <v>6212344.7300000004</v>
      </c>
      <c r="FR6" s="350">
        <v>5242450</v>
      </c>
      <c r="FS6" s="350">
        <v>3057056</v>
      </c>
      <c r="FT6" s="350">
        <v>2138675.96</v>
      </c>
      <c r="FU6" s="350">
        <v>507488</v>
      </c>
      <c r="FV6" s="350">
        <v>2889752</v>
      </c>
      <c r="FW6" s="350">
        <v>3664842</v>
      </c>
      <c r="FX6" s="350">
        <v>127099</v>
      </c>
      <c r="FY6" s="350">
        <v>385863</v>
      </c>
      <c r="FZ6" s="350">
        <v>1667927.34</v>
      </c>
      <c r="GA6" s="350">
        <v>657185.59</v>
      </c>
      <c r="GB6" s="350">
        <v>153310.51</v>
      </c>
      <c r="GC6" s="350">
        <v>103274</v>
      </c>
      <c r="GD6" s="350">
        <v>136913</v>
      </c>
      <c r="GE6" s="350">
        <v>64753</v>
      </c>
      <c r="GF6" s="350">
        <v>220166</v>
      </c>
      <c r="GG6" s="350">
        <v>1326273.18</v>
      </c>
      <c r="GH6" s="350">
        <v>104645.95</v>
      </c>
      <c r="GI6" s="350">
        <v>384724.11</v>
      </c>
      <c r="GJ6" s="350">
        <v>465823.41</v>
      </c>
      <c r="GK6" s="350">
        <v>41421</v>
      </c>
      <c r="GL6" s="350">
        <v>224047.6</v>
      </c>
      <c r="GM6" s="350">
        <v>47500</v>
      </c>
      <c r="GN6" s="350">
        <v>104705.77</v>
      </c>
      <c r="GO6" s="350">
        <v>228812</v>
      </c>
      <c r="GP6" s="350">
        <v>99496.93</v>
      </c>
      <c r="GQ6" s="350">
        <v>0</v>
      </c>
      <c r="GR6" s="350">
        <v>244507</v>
      </c>
      <c r="GS6" s="350">
        <v>525456.87</v>
      </c>
      <c r="GT6" s="350">
        <v>481066.5</v>
      </c>
      <c r="GU6" s="350">
        <v>595434.54</v>
      </c>
      <c r="GV6" s="350">
        <v>214640</v>
      </c>
      <c r="GW6" s="350">
        <v>149262</v>
      </c>
      <c r="GX6" s="350">
        <v>138382.93</v>
      </c>
      <c r="GY6" s="350">
        <v>114620.21</v>
      </c>
      <c r="GZ6" s="350">
        <v>491137.88</v>
      </c>
      <c r="HA6" s="350">
        <v>6006</v>
      </c>
      <c r="HB6" s="350">
        <v>90315.53</v>
      </c>
      <c r="HC6" s="350">
        <v>206012</v>
      </c>
      <c r="HD6" s="350">
        <v>45718</v>
      </c>
      <c r="HE6" s="350">
        <v>88380.94</v>
      </c>
      <c r="HF6" s="350">
        <v>41960.89</v>
      </c>
      <c r="HG6" s="350">
        <v>76761.19</v>
      </c>
      <c r="HH6" s="350">
        <v>23623.31</v>
      </c>
      <c r="HI6" s="350">
        <v>70448.14</v>
      </c>
      <c r="HJ6" s="350">
        <v>51174</v>
      </c>
      <c r="HK6" s="350">
        <v>11926</v>
      </c>
      <c r="HL6" s="350">
        <v>92100.12</v>
      </c>
      <c r="HM6" s="350">
        <v>60412.17</v>
      </c>
      <c r="HN6" s="350">
        <v>605609.6</v>
      </c>
      <c r="HO6" s="350">
        <v>51403</v>
      </c>
      <c r="HP6" s="350">
        <v>106902.34</v>
      </c>
      <c r="HQ6" s="350">
        <v>3898</v>
      </c>
      <c r="HR6" s="350">
        <v>10800</v>
      </c>
      <c r="HS6" s="350">
        <v>46377</v>
      </c>
      <c r="HT6" s="350">
        <v>167664</v>
      </c>
      <c r="HU6" s="350">
        <v>10549.59</v>
      </c>
      <c r="HV6" s="350">
        <v>74572</v>
      </c>
      <c r="HW6" s="350">
        <v>48240.22</v>
      </c>
      <c r="HX6" s="350">
        <v>5325.95</v>
      </c>
      <c r="HY6" s="350">
        <v>218821.68</v>
      </c>
      <c r="HZ6" s="350">
        <v>25038</v>
      </c>
      <c r="IA6" s="350">
        <v>41885.4</v>
      </c>
      <c r="IB6" s="350">
        <v>93066.18</v>
      </c>
      <c r="IC6" s="350">
        <v>137176.51</v>
      </c>
      <c r="ID6" s="350">
        <v>195892.59</v>
      </c>
      <c r="IE6" s="350">
        <v>88169</v>
      </c>
      <c r="IF6" s="350">
        <v>42115</v>
      </c>
      <c r="IG6" s="350">
        <v>34380.94</v>
      </c>
      <c r="IH6" s="350">
        <v>24262.799999999999</v>
      </c>
      <c r="II6" s="350">
        <v>81670.36</v>
      </c>
      <c r="IJ6" s="350">
        <v>122316.09</v>
      </c>
      <c r="IK6" s="350">
        <v>194879.21</v>
      </c>
      <c r="IL6" s="350">
        <v>220653.16</v>
      </c>
      <c r="IM6" s="351"/>
      <c r="IN6" s="350">
        <v>274980.59000000003</v>
      </c>
      <c r="IO6" s="350">
        <v>73806.3</v>
      </c>
      <c r="IP6" s="350">
        <v>111237.4</v>
      </c>
      <c r="IQ6" s="350">
        <v>118995.79</v>
      </c>
      <c r="IR6" s="350">
        <v>60122.85</v>
      </c>
      <c r="IS6" s="350">
        <v>281746</v>
      </c>
      <c r="IT6" s="350">
        <v>111532.44</v>
      </c>
      <c r="IU6" s="350">
        <v>37914.61</v>
      </c>
      <c r="IV6" s="350">
        <v>12368</v>
      </c>
      <c r="IW6" s="350">
        <v>62666.3</v>
      </c>
      <c r="IX6" s="350">
        <v>4999</v>
      </c>
      <c r="IY6" s="350">
        <v>41805.5</v>
      </c>
      <c r="IZ6" s="350">
        <v>215992.9</v>
      </c>
      <c r="JA6" s="350">
        <v>108567.9</v>
      </c>
      <c r="JB6" s="350">
        <v>243011.67</v>
      </c>
      <c r="JC6" s="350">
        <v>192435.52</v>
      </c>
      <c r="JD6" s="350">
        <v>59400.31</v>
      </c>
      <c r="JE6" s="350">
        <v>55908.98</v>
      </c>
      <c r="JF6" s="350">
        <v>96797.3</v>
      </c>
      <c r="JG6" s="350">
        <v>39441</v>
      </c>
      <c r="JH6" s="350">
        <v>120020.72</v>
      </c>
      <c r="JI6" s="350">
        <v>449123.45</v>
      </c>
      <c r="JJ6" s="350">
        <v>42300</v>
      </c>
      <c r="JK6" s="350">
        <v>60050.98</v>
      </c>
      <c r="JL6" s="350">
        <v>85811.73</v>
      </c>
      <c r="JM6" s="350">
        <v>48483</v>
      </c>
      <c r="JN6" s="350">
        <v>1452198.6</v>
      </c>
      <c r="JO6" s="350">
        <v>234054.54</v>
      </c>
      <c r="JP6" s="350">
        <v>555027</v>
      </c>
      <c r="JQ6" s="350">
        <v>371052.01</v>
      </c>
      <c r="JR6" s="351"/>
      <c r="JU6" s="348" t="s">
        <v>1842</v>
      </c>
      <c r="JV6">
        <f>SUMIFS($C6:$JR6,$C$2:$JR$2,JV$2)</f>
        <v>1256583.2400000005</v>
      </c>
      <c r="JW6" s="313">
        <f t="shared" ref="JW6:LC14" si="1">SUMIFS($C6:$JR6,$C$2:$JR$2,JW$2)</f>
        <v>346165.44999999995</v>
      </c>
      <c r="JX6" s="313">
        <f t="shared" si="1"/>
        <v>1807669.65</v>
      </c>
      <c r="JY6" s="313">
        <f t="shared" si="1"/>
        <v>13248244.559999999</v>
      </c>
      <c r="JZ6" s="313">
        <f t="shared" si="1"/>
        <v>450885.9</v>
      </c>
      <c r="KA6" s="313">
        <f t="shared" si="1"/>
        <v>26399.05</v>
      </c>
      <c r="KB6" s="313">
        <f t="shared" si="1"/>
        <v>45015.12</v>
      </c>
      <c r="KC6" s="313">
        <f t="shared" si="1"/>
        <v>6974675.8600000003</v>
      </c>
      <c r="KD6" s="313">
        <f t="shared" si="1"/>
        <v>688022.74</v>
      </c>
      <c r="KE6" s="313">
        <f t="shared" si="1"/>
        <v>6829130.6899999995</v>
      </c>
      <c r="KF6" s="313">
        <f t="shared" si="1"/>
        <v>319924</v>
      </c>
      <c r="KG6" s="313">
        <f t="shared" si="1"/>
        <v>34673103.480000004</v>
      </c>
      <c r="KH6" s="313">
        <f t="shared" si="1"/>
        <v>100166293.56999999</v>
      </c>
      <c r="KI6" s="313">
        <f t="shared" si="1"/>
        <v>27012487.690000001</v>
      </c>
      <c r="KJ6" s="313">
        <f t="shared" si="1"/>
        <v>4819172.6800000006</v>
      </c>
      <c r="KK6" s="313">
        <f t="shared" si="1"/>
        <v>507244.41</v>
      </c>
      <c r="KL6" s="313">
        <f t="shared" si="1"/>
        <v>605065.37</v>
      </c>
      <c r="KM6" s="313">
        <f t="shared" si="1"/>
        <v>99496.93</v>
      </c>
      <c r="KN6" s="313">
        <f t="shared" si="1"/>
        <v>2210366.91</v>
      </c>
      <c r="KO6" s="313">
        <f t="shared" si="1"/>
        <v>138382.93</v>
      </c>
      <c r="KP6" s="313">
        <f t="shared" si="1"/>
        <v>605758.09</v>
      </c>
      <c r="KQ6" s="313">
        <f t="shared" si="1"/>
        <v>6006</v>
      </c>
      <c r="KR6" s="313">
        <f t="shared" si="1"/>
        <v>90315.53</v>
      </c>
      <c r="KS6" s="313">
        <f t="shared" si="1"/>
        <v>206012</v>
      </c>
      <c r="KT6" s="313">
        <f t="shared" si="1"/>
        <v>562504.76</v>
      </c>
      <c r="KU6" s="313">
        <f t="shared" si="1"/>
        <v>763914.94</v>
      </c>
      <c r="KV6" s="313">
        <f t="shared" si="1"/>
        <v>3898</v>
      </c>
      <c r="KW6" s="313">
        <f t="shared" si="1"/>
        <v>1163578.1200000001</v>
      </c>
      <c r="KX6" s="313">
        <f t="shared" si="1"/>
        <v>76495.94</v>
      </c>
      <c r="KY6" s="313">
        <f t="shared" si="1"/>
        <v>228249.25</v>
      </c>
      <c r="KZ6" s="313">
        <f t="shared" si="1"/>
        <v>415532.37</v>
      </c>
      <c r="LA6" s="313">
        <f t="shared" si="1"/>
        <v>3009520.24</v>
      </c>
      <c r="LB6" s="313">
        <f t="shared" si="1"/>
        <v>2612332.1500000004</v>
      </c>
      <c r="LC6" s="313">
        <f t="shared" si="1"/>
        <v>0</v>
      </c>
    </row>
    <row r="7" spans="1:315" x14ac:dyDescent="0.25">
      <c r="A7" s="313">
        <v>5</v>
      </c>
      <c r="B7" s="348" t="s">
        <v>1843</v>
      </c>
      <c r="C7" s="350">
        <v>0</v>
      </c>
      <c r="D7" s="350">
        <v>0</v>
      </c>
      <c r="E7" s="350">
        <v>0</v>
      </c>
      <c r="F7" s="350">
        <v>5834.26</v>
      </c>
      <c r="G7" s="350">
        <v>15263</v>
      </c>
      <c r="H7" s="350">
        <v>16791.02</v>
      </c>
      <c r="I7" s="350">
        <v>0</v>
      </c>
      <c r="J7" s="350">
        <v>5003</v>
      </c>
      <c r="K7" s="350">
        <v>0</v>
      </c>
      <c r="L7" s="350">
        <v>0</v>
      </c>
      <c r="M7" s="350">
        <v>0</v>
      </c>
      <c r="N7" s="350">
        <v>0</v>
      </c>
      <c r="O7" s="350">
        <v>0</v>
      </c>
      <c r="P7" s="350">
        <v>0</v>
      </c>
      <c r="Q7" s="350">
        <v>0</v>
      </c>
      <c r="R7" s="350">
        <v>0</v>
      </c>
      <c r="S7" s="350">
        <v>0</v>
      </c>
      <c r="T7" s="350">
        <v>0</v>
      </c>
      <c r="U7" s="350">
        <v>13336.27</v>
      </c>
      <c r="V7" s="350">
        <v>0</v>
      </c>
      <c r="W7" s="350">
        <v>0</v>
      </c>
      <c r="X7" s="350">
        <v>0</v>
      </c>
      <c r="Y7" s="350">
        <v>0</v>
      </c>
      <c r="Z7" s="350">
        <v>17240</v>
      </c>
      <c r="AA7" s="350">
        <v>668</v>
      </c>
      <c r="AB7" s="350">
        <v>166</v>
      </c>
      <c r="AC7" s="350">
        <v>0</v>
      </c>
      <c r="AD7" s="350">
        <v>1566</v>
      </c>
      <c r="AE7" s="350">
        <v>585.95000000000005</v>
      </c>
      <c r="AF7" s="350">
        <v>3295.26</v>
      </c>
      <c r="AG7" s="350">
        <v>0</v>
      </c>
      <c r="AH7" s="350">
        <v>69654.399999999994</v>
      </c>
      <c r="AI7" s="350">
        <v>56004</v>
      </c>
      <c r="AJ7" s="350">
        <v>84502</v>
      </c>
      <c r="AK7" s="350">
        <v>0</v>
      </c>
      <c r="AL7" s="350">
        <v>34048</v>
      </c>
      <c r="AM7" s="350">
        <v>0</v>
      </c>
      <c r="AN7" s="350">
        <v>175593.84</v>
      </c>
      <c r="AO7" s="350">
        <v>0</v>
      </c>
      <c r="AP7" s="350">
        <v>356735</v>
      </c>
      <c r="AQ7" s="350">
        <v>30355</v>
      </c>
      <c r="AR7" s="350">
        <v>140336.5</v>
      </c>
      <c r="AS7" s="350">
        <v>78200</v>
      </c>
      <c r="AT7" s="350">
        <v>290029</v>
      </c>
      <c r="AU7" s="350">
        <v>54566</v>
      </c>
      <c r="AV7" s="350">
        <v>62464</v>
      </c>
      <c r="AW7" s="351"/>
      <c r="AX7" s="350">
        <v>97242</v>
      </c>
      <c r="AY7" s="350">
        <v>22766</v>
      </c>
      <c r="AZ7" s="350">
        <v>53064</v>
      </c>
      <c r="BA7" s="350">
        <v>69633</v>
      </c>
      <c r="BB7" s="350">
        <v>108692</v>
      </c>
      <c r="BC7" s="350">
        <v>99525.06</v>
      </c>
      <c r="BD7" s="350">
        <v>40789</v>
      </c>
      <c r="BE7" s="350">
        <v>36486</v>
      </c>
      <c r="BF7" s="350">
        <v>0</v>
      </c>
      <c r="BG7" s="350">
        <v>37215</v>
      </c>
      <c r="BH7" s="350">
        <v>22502.6</v>
      </c>
      <c r="BI7" s="351"/>
      <c r="BJ7" s="350">
        <v>56050.93</v>
      </c>
      <c r="BK7" s="350">
        <v>0</v>
      </c>
      <c r="BL7" s="350">
        <v>31644.11</v>
      </c>
      <c r="BM7" s="350">
        <v>173158.43</v>
      </c>
      <c r="BN7" s="350">
        <v>156196.1</v>
      </c>
      <c r="BO7" s="350">
        <v>114289</v>
      </c>
      <c r="BP7" s="350">
        <v>25477</v>
      </c>
      <c r="BQ7" s="350">
        <v>228474.87</v>
      </c>
      <c r="BR7" s="350">
        <v>36418.54</v>
      </c>
      <c r="BS7" s="350">
        <v>167845</v>
      </c>
      <c r="BT7" s="350">
        <v>147885</v>
      </c>
      <c r="BU7" s="350">
        <v>59595</v>
      </c>
      <c r="BV7" s="350">
        <v>476486.67</v>
      </c>
      <c r="BW7" s="350">
        <v>257068.78</v>
      </c>
      <c r="BX7" s="350">
        <v>79140</v>
      </c>
      <c r="BY7" s="350">
        <v>132862</v>
      </c>
      <c r="BZ7" s="350">
        <v>273015</v>
      </c>
      <c r="CA7" s="350">
        <v>222958</v>
      </c>
      <c r="CB7" s="350">
        <v>30378</v>
      </c>
      <c r="CC7" s="350">
        <v>319751</v>
      </c>
      <c r="CD7" s="350">
        <v>0</v>
      </c>
      <c r="CE7" s="350">
        <v>0</v>
      </c>
      <c r="CF7" s="350">
        <v>41186</v>
      </c>
      <c r="CG7" s="350">
        <v>110099.84</v>
      </c>
      <c r="CH7" s="350">
        <v>23644.34</v>
      </c>
      <c r="CI7" s="350">
        <v>62170</v>
      </c>
      <c r="CJ7" s="350">
        <v>80589</v>
      </c>
      <c r="CK7" s="350">
        <v>99493</v>
      </c>
      <c r="CL7" s="350">
        <v>15561</v>
      </c>
      <c r="CM7" s="350">
        <v>0</v>
      </c>
      <c r="CN7" s="350">
        <v>0</v>
      </c>
      <c r="CO7" s="350">
        <v>0</v>
      </c>
      <c r="CP7" s="350">
        <v>0</v>
      </c>
      <c r="CQ7" s="350">
        <v>8279</v>
      </c>
      <c r="CR7" s="350">
        <v>7102</v>
      </c>
      <c r="CS7" s="350">
        <v>1180</v>
      </c>
      <c r="CT7" s="350">
        <v>6518</v>
      </c>
      <c r="CU7" s="350">
        <v>11692</v>
      </c>
      <c r="CV7" s="350">
        <v>20844</v>
      </c>
      <c r="CW7" s="350">
        <v>1630.3</v>
      </c>
      <c r="CX7" s="350">
        <v>4164</v>
      </c>
      <c r="CY7" s="350">
        <v>7729</v>
      </c>
      <c r="CZ7" s="350">
        <v>33611</v>
      </c>
      <c r="DA7" s="350">
        <v>49590</v>
      </c>
      <c r="DB7" s="350">
        <v>0</v>
      </c>
      <c r="DC7" s="350">
        <v>0</v>
      </c>
      <c r="DD7" s="350">
        <v>0</v>
      </c>
      <c r="DE7" s="350">
        <v>0</v>
      </c>
      <c r="DF7" s="350">
        <v>2473</v>
      </c>
      <c r="DG7" s="350">
        <v>11693</v>
      </c>
      <c r="DH7" s="350">
        <v>0</v>
      </c>
      <c r="DI7" s="350">
        <v>0</v>
      </c>
      <c r="DJ7" s="350">
        <v>17260</v>
      </c>
      <c r="DK7" s="350">
        <v>8456</v>
      </c>
      <c r="DL7" s="350">
        <v>10795.59</v>
      </c>
      <c r="DM7" s="350">
        <v>83023</v>
      </c>
      <c r="DN7" s="350">
        <v>0</v>
      </c>
      <c r="DO7" s="350">
        <v>2404</v>
      </c>
      <c r="DP7" s="350">
        <v>4256</v>
      </c>
      <c r="DQ7" s="350">
        <v>9264</v>
      </c>
      <c r="DR7" s="350">
        <v>12087.2</v>
      </c>
      <c r="DS7" s="350">
        <v>0</v>
      </c>
      <c r="DT7" s="350">
        <v>17891.16</v>
      </c>
      <c r="DU7" s="350">
        <v>228896.75</v>
      </c>
      <c r="DV7" s="350">
        <v>25000</v>
      </c>
      <c r="DW7" s="350">
        <v>70653</v>
      </c>
      <c r="DX7" s="350">
        <v>59486</v>
      </c>
      <c r="DY7" s="350">
        <v>16212</v>
      </c>
      <c r="DZ7" s="350">
        <v>166939.88</v>
      </c>
      <c r="EA7" s="350">
        <v>33177</v>
      </c>
      <c r="EB7" s="350">
        <v>51678</v>
      </c>
      <c r="EC7" s="350">
        <v>201855.26</v>
      </c>
      <c r="ED7" s="350">
        <v>8066</v>
      </c>
      <c r="EE7" s="350">
        <v>87532.35</v>
      </c>
      <c r="EF7" s="350">
        <v>118380.52</v>
      </c>
      <c r="EG7" s="350">
        <v>24070</v>
      </c>
      <c r="EH7" s="350">
        <v>33610</v>
      </c>
      <c r="EI7" s="350">
        <v>48235</v>
      </c>
      <c r="EJ7" s="350">
        <v>52274.1</v>
      </c>
      <c r="EK7" s="350">
        <v>6098</v>
      </c>
      <c r="EL7" s="350">
        <v>6331</v>
      </c>
      <c r="EM7" s="350">
        <v>38528</v>
      </c>
      <c r="EN7" s="350">
        <v>6832</v>
      </c>
      <c r="EO7" s="350">
        <v>39080</v>
      </c>
      <c r="EP7" s="350">
        <v>22912</v>
      </c>
      <c r="EQ7" s="350">
        <v>51878</v>
      </c>
      <c r="ER7" s="350">
        <v>33476.300000000003</v>
      </c>
      <c r="ES7" s="350">
        <v>22288</v>
      </c>
      <c r="ET7" s="350">
        <v>9719</v>
      </c>
      <c r="EU7" s="350">
        <v>9568</v>
      </c>
      <c r="EV7" s="350">
        <v>23963</v>
      </c>
      <c r="EW7" s="350">
        <v>118158</v>
      </c>
      <c r="EX7" s="350">
        <v>15695</v>
      </c>
      <c r="EY7" s="350">
        <v>23078.799999999999</v>
      </c>
      <c r="EZ7" s="350">
        <v>52571</v>
      </c>
      <c r="FA7" s="350">
        <v>23895</v>
      </c>
      <c r="FB7" s="350">
        <v>51983</v>
      </c>
      <c r="FC7" s="350">
        <v>40946</v>
      </c>
      <c r="FD7" s="350">
        <v>26093</v>
      </c>
      <c r="FE7" s="350">
        <v>14575</v>
      </c>
      <c r="FF7" s="350">
        <v>18571.599999999999</v>
      </c>
      <c r="FG7" s="350">
        <v>6086</v>
      </c>
      <c r="FH7" s="350">
        <v>46883</v>
      </c>
      <c r="FI7" s="350">
        <v>11238</v>
      </c>
      <c r="FJ7" s="350">
        <v>30483.1</v>
      </c>
      <c r="FK7" s="350">
        <v>9170</v>
      </c>
      <c r="FL7" s="350">
        <v>14522</v>
      </c>
      <c r="FM7" s="350">
        <v>13888</v>
      </c>
      <c r="FN7" s="350">
        <v>64202</v>
      </c>
      <c r="FO7" s="350">
        <v>0</v>
      </c>
      <c r="FP7" s="350">
        <v>56053</v>
      </c>
      <c r="FQ7" s="350">
        <v>102685.84</v>
      </c>
      <c r="FR7" s="350">
        <v>21633</v>
      </c>
      <c r="FS7" s="350">
        <v>6928</v>
      </c>
      <c r="FT7" s="350">
        <v>44670</v>
      </c>
      <c r="FU7" s="350">
        <v>4425</v>
      </c>
      <c r="FV7" s="350">
        <v>10692</v>
      </c>
      <c r="FW7" s="350">
        <v>50844</v>
      </c>
      <c r="FX7" s="350">
        <v>14986</v>
      </c>
      <c r="FY7" s="350">
        <v>11238</v>
      </c>
      <c r="FZ7" s="350">
        <v>161452.1</v>
      </c>
      <c r="GA7" s="350">
        <v>14573</v>
      </c>
      <c r="GB7" s="350">
        <v>2018</v>
      </c>
      <c r="GC7" s="350">
        <v>6328</v>
      </c>
      <c r="GD7" s="350">
        <v>7822</v>
      </c>
      <c r="GE7" s="350">
        <v>2034</v>
      </c>
      <c r="GF7" s="350">
        <v>76381</v>
      </c>
      <c r="GG7" s="350">
        <v>49695.71</v>
      </c>
      <c r="GH7" s="350">
        <v>1791.3</v>
      </c>
      <c r="GI7" s="350">
        <v>5480</v>
      </c>
      <c r="GJ7" s="350">
        <v>0</v>
      </c>
      <c r="GK7" s="350">
        <v>0</v>
      </c>
      <c r="GL7" s="350">
        <v>126468.3</v>
      </c>
      <c r="GM7" s="350">
        <v>28000</v>
      </c>
      <c r="GN7" s="350">
        <v>15780.8</v>
      </c>
      <c r="GO7" s="350">
        <v>70567</v>
      </c>
      <c r="GP7" s="350">
        <v>0</v>
      </c>
      <c r="GQ7" s="350">
        <v>0</v>
      </c>
      <c r="GR7" s="350">
        <v>0</v>
      </c>
      <c r="GS7" s="350">
        <v>32947.300000000003</v>
      </c>
      <c r="GT7" s="350">
        <v>61476.63</v>
      </c>
      <c r="GU7" s="350">
        <v>27225.74</v>
      </c>
      <c r="GV7" s="350">
        <v>2813</v>
      </c>
      <c r="GW7" s="350">
        <v>8650</v>
      </c>
      <c r="GX7" s="350">
        <v>14418.66</v>
      </c>
      <c r="GY7" s="350">
        <v>0</v>
      </c>
      <c r="GZ7" s="350">
        <v>17643.18</v>
      </c>
      <c r="HA7" s="350">
        <v>0</v>
      </c>
      <c r="HB7" s="350">
        <v>10705.55</v>
      </c>
      <c r="HC7" s="350">
        <v>21171</v>
      </c>
      <c r="HD7" s="350">
        <v>0</v>
      </c>
      <c r="HE7" s="350">
        <v>3804</v>
      </c>
      <c r="HF7" s="350">
        <v>712.65</v>
      </c>
      <c r="HG7" s="350">
        <v>734.24</v>
      </c>
      <c r="HH7" s="350">
        <v>712.65</v>
      </c>
      <c r="HI7" s="350">
        <v>0</v>
      </c>
      <c r="HJ7" s="350">
        <v>400</v>
      </c>
      <c r="HK7" s="350">
        <v>0</v>
      </c>
      <c r="HL7" s="350">
        <v>521.27</v>
      </c>
      <c r="HM7" s="350">
        <v>1781.79</v>
      </c>
      <c r="HN7" s="350">
        <v>27509</v>
      </c>
      <c r="HO7" s="350">
        <v>3904</v>
      </c>
      <c r="HP7" s="350">
        <v>0</v>
      </c>
      <c r="HQ7" s="350">
        <v>0</v>
      </c>
      <c r="HR7" s="350">
        <v>0</v>
      </c>
      <c r="HS7" s="350">
        <v>15037</v>
      </c>
      <c r="HT7" s="350">
        <v>0</v>
      </c>
      <c r="HU7" s="350">
        <v>3200</v>
      </c>
      <c r="HV7" s="350">
        <v>0</v>
      </c>
      <c r="HW7" s="350">
        <v>14641</v>
      </c>
      <c r="HX7" s="350">
        <v>0</v>
      </c>
      <c r="HY7" s="350">
        <v>25356.59</v>
      </c>
      <c r="HZ7" s="350">
        <v>4840</v>
      </c>
      <c r="IA7" s="350">
        <v>2660.83</v>
      </c>
      <c r="IB7" s="350">
        <v>1973.14</v>
      </c>
      <c r="IC7" s="350">
        <v>1237.57</v>
      </c>
      <c r="ID7" s="350">
        <v>75438.78</v>
      </c>
      <c r="IE7" s="350">
        <v>0</v>
      </c>
      <c r="IF7" s="350">
        <v>0</v>
      </c>
      <c r="IG7" s="350">
        <v>0</v>
      </c>
      <c r="IH7" s="350">
        <v>7011.73</v>
      </c>
      <c r="II7" s="350">
        <v>5916</v>
      </c>
      <c r="IJ7" s="350">
        <v>0</v>
      </c>
      <c r="IK7" s="350">
        <v>134688</v>
      </c>
      <c r="IL7" s="350">
        <v>174324.16</v>
      </c>
      <c r="IM7" s="351"/>
      <c r="IN7" s="350">
        <v>2471.4499999999998</v>
      </c>
      <c r="IO7" s="350">
        <v>7435.3</v>
      </c>
      <c r="IP7" s="350">
        <v>21035.33</v>
      </c>
      <c r="IQ7" s="350">
        <v>5562.8</v>
      </c>
      <c r="IR7" s="350">
        <v>4667.51</v>
      </c>
      <c r="IS7" s="350">
        <v>14031</v>
      </c>
      <c r="IT7" s="350">
        <v>0</v>
      </c>
      <c r="IU7" s="350">
        <v>0</v>
      </c>
      <c r="IV7" s="350">
        <v>3343</v>
      </c>
      <c r="IW7" s="350">
        <v>1954</v>
      </c>
      <c r="IX7" s="350">
        <v>0</v>
      </c>
      <c r="IY7" s="350">
        <v>156.5</v>
      </c>
      <c r="IZ7" s="350">
        <v>4272.8999999999996</v>
      </c>
      <c r="JA7" s="350">
        <v>65560</v>
      </c>
      <c r="JB7" s="350">
        <v>72502</v>
      </c>
      <c r="JC7" s="350">
        <v>26944</v>
      </c>
      <c r="JD7" s="350">
        <v>0</v>
      </c>
      <c r="JE7" s="350">
        <v>0</v>
      </c>
      <c r="JF7" s="350">
        <v>0</v>
      </c>
      <c r="JG7" s="350">
        <v>21510</v>
      </c>
      <c r="JH7" s="350">
        <v>49449.22</v>
      </c>
      <c r="JI7" s="350">
        <v>0</v>
      </c>
      <c r="JJ7" s="350">
        <v>0</v>
      </c>
      <c r="JK7" s="350">
        <v>0</v>
      </c>
      <c r="JL7" s="350">
        <v>19651.490000000002</v>
      </c>
      <c r="JM7" s="350">
        <v>39718</v>
      </c>
      <c r="JN7" s="350">
        <v>59679</v>
      </c>
      <c r="JO7" s="350">
        <v>16791.02</v>
      </c>
      <c r="JP7" s="350">
        <v>91262</v>
      </c>
      <c r="JQ7" s="350">
        <v>53463.07</v>
      </c>
      <c r="JR7" s="351"/>
      <c r="JU7" s="348" t="s">
        <v>1843</v>
      </c>
      <c r="JV7" s="313">
        <f t="shared" ref="JV7:KK41" si="2">SUMIFS($C7:$JR7,$C$2:$JR$2,JV$2)</f>
        <v>73467.55</v>
      </c>
      <c r="JW7" s="313">
        <f t="shared" si="2"/>
        <v>2985.95</v>
      </c>
      <c r="JX7" s="313">
        <f t="shared" si="2"/>
        <v>810187.5</v>
      </c>
      <c r="JY7" s="313">
        <f t="shared" si="2"/>
        <v>4619385.7699999996</v>
      </c>
      <c r="JZ7" s="313">
        <f t="shared" si="2"/>
        <v>15561</v>
      </c>
      <c r="KA7" s="313">
        <f t="shared" si="2"/>
        <v>0</v>
      </c>
      <c r="KB7" s="313">
        <f t="shared" si="2"/>
        <v>0</v>
      </c>
      <c r="KC7" s="313">
        <f t="shared" si="2"/>
        <v>152339.29999999999</v>
      </c>
      <c r="KD7" s="313">
        <f t="shared" si="2"/>
        <v>39882</v>
      </c>
      <c r="KE7" s="313">
        <f t="shared" si="2"/>
        <v>523756.69999999995</v>
      </c>
      <c r="KF7" s="313">
        <f t="shared" si="2"/>
        <v>16212</v>
      </c>
      <c r="KG7" s="313">
        <f t="shared" si="2"/>
        <v>825818.11</v>
      </c>
      <c r="KH7" s="313">
        <f t="shared" si="2"/>
        <v>852711.79999999993</v>
      </c>
      <c r="KI7" s="313">
        <f t="shared" si="2"/>
        <v>324154.83999999997</v>
      </c>
      <c r="KJ7" s="313">
        <f t="shared" si="2"/>
        <v>327575.11</v>
      </c>
      <c r="KK7" s="313">
        <f t="shared" si="2"/>
        <v>0</v>
      </c>
      <c r="KL7" s="313">
        <f t="shared" si="1"/>
        <v>240816.09999999998</v>
      </c>
      <c r="KM7" s="313">
        <f t="shared" si="1"/>
        <v>0</v>
      </c>
      <c r="KN7" s="313">
        <f t="shared" si="1"/>
        <v>133112.66999999998</v>
      </c>
      <c r="KO7" s="313">
        <f t="shared" si="1"/>
        <v>14418.66</v>
      </c>
      <c r="KP7" s="313">
        <f t="shared" si="1"/>
        <v>17643.18</v>
      </c>
      <c r="KQ7" s="313">
        <f t="shared" si="1"/>
        <v>0</v>
      </c>
      <c r="KR7" s="313">
        <f t="shared" si="1"/>
        <v>10705.55</v>
      </c>
      <c r="KS7" s="313">
        <f t="shared" si="1"/>
        <v>21171</v>
      </c>
      <c r="KT7" s="313">
        <f t="shared" si="1"/>
        <v>8666.5999999999985</v>
      </c>
      <c r="KU7" s="313">
        <f t="shared" si="1"/>
        <v>31413</v>
      </c>
      <c r="KV7" s="313">
        <f t="shared" si="1"/>
        <v>0</v>
      </c>
      <c r="KW7" s="313">
        <f t="shared" si="1"/>
        <v>144384.91</v>
      </c>
      <c r="KX7" s="313">
        <f t="shared" si="1"/>
        <v>0</v>
      </c>
      <c r="KY7" s="313">
        <f t="shared" si="1"/>
        <v>12927.73</v>
      </c>
      <c r="KZ7" s="313">
        <f t="shared" si="1"/>
        <v>309012.16000000003</v>
      </c>
      <c r="LA7" s="313">
        <f t="shared" si="1"/>
        <v>360264.5</v>
      </c>
      <c r="LB7" s="313">
        <f t="shared" si="1"/>
        <v>221195.09000000003</v>
      </c>
      <c r="LC7" s="313">
        <f t="shared" si="1"/>
        <v>0</v>
      </c>
    </row>
    <row r="8" spans="1:315" x14ac:dyDescent="0.25">
      <c r="A8" s="313">
        <v>6</v>
      </c>
      <c r="B8" s="348" t="s">
        <v>1844</v>
      </c>
      <c r="C8" s="350">
        <v>0</v>
      </c>
      <c r="D8" s="350">
        <v>0</v>
      </c>
      <c r="E8" s="350">
        <v>0</v>
      </c>
      <c r="F8" s="350">
        <v>0</v>
      </c>
      <c r="G8" s="350">
        <v>0</v>
      </c>
      <c r="H8" s="350">
        <v>0</v>
      </c>
      <c r="I8" s="350">
        <v>0</v>
      </c>
      <c r="J8" s="350">
        <v>0</v>
      </c>
      <c r="K8" s="350">
        <v>0</v>
      </c>
      <c r="L8" s="350">
        <v>0</v>
      </c>
      <c r="M8" s="350">
        <v>0</v>
      </c>
      <c r="N8" s="350">
        <v>0</v>
      </c>
      <c r="O8" s="350">
        <v>500</v>
      </c>
      <c r="P8" s="350">
        <v>0</v>
      </c>
      <c r="Q8" s="350">
        <v>0</v>
      </c>
      <c r="R8" s="350">
        <v>0</v>
      </c>
      <c r="S8" s="350">
        <v>0</v>
      </c>
      <c r="T8" s="350">
        <v>4013</v>
      </c>
      <c r="U8" s="350">
        <v>0</v>
      </c>
      <c r="V8" s="350">
        <v>0</v>
      </c>
      <c r="W8" s="350">
        <v>0</v>
      </c>
      <c r="X8" s="350">
        <v>0</v>
      </c>
      <c r="Y8" s="350">
        <v>0</v>
      </c>
      <c r="Z8" s="350">
        <v>0</v>
      </c>
      <c r="AA8" s="350">
        <v>0</v>
      </c>
      <c r="AB8" s="350">
        <v>0</v>
      </c>
      <c r="AC8" s="350">
        <v>0</v>
      </c>
      <c r="AD8" s="350">
        <v>0</v>
      </c>
      <c r="AE8" s="350">
        <v>939</v>
      </c>
      <c r="AF8" s="350">
        <v>241.32</v>
      </c>
      <c r="AG8" s="350">
        <v>0</v>
      </c>
      <c r="AH8" s="350">
        <v>545</v>
      </c>
      <c r="AI8" s="350">
        <v>0</v>
      </c>
      <c r="AJ8" s="350">
        <v>0</v>
      </c>
      <c r="AK8" s="350">
        <v>0</v>
      </c>
      <c r="AL8" s="350">
        <v>0</v>
      </c>
      <c r="AM8" s="350">
        <v>0</v>
      </c>
      <c r="AN8" s="350">
        <v>0</v>
      </c>
      <c r="AO8" s="350">
        <v>0</v>
      </c>
      <c r="AP8" s="350">
        <v>0</v>
      </c>
      <c r="AQ8" s="350">
        <v>0</v>
      </c>
      <c r="AR8" s="350">
        <v>0</v>
      </c>
      <c r="AS8" s="350">
        <v>0</v>
      </c>
      <c r="AT8" s="350">
        <v>779649</v>
      </c>
      <c r="AU8" s="350">
        <v>0</v>
      </c>
      <c r="AV8" s="350">
        <v>0</v>
      </c>
      <c r="AW8" s="351"/>
      <c r="AX8" s="350">
        <v>0</v>
      </c>
      <c r="AY8" s="350">
        <v>0</v>
      </c>
      <c r="AZ8" s="350">
        <v>0</v>
      </c>
      <c r="BA8" s="350">
        <v>514</v>
      </c>
      <c r="BB8" s="350">
        <v>5084</v>
      </c>
      <c r="BC8" s="350">
        <v>4556</v>
      </c>
      <c r="BD8" s="350">
        <v>0</v>
      </c>
      <c r="BE8" s="350">
        <v>108</v>
      </c>
      <c r="BF8" s="350">
        <v>0</v>
      </c>
      <c r="BG8" s="350">
        <v>0</v>
      </c>
      <c r="BH8" s="350">
        <v>0</v>
      </c>
      <c r="BI8" s="351"/>
      <c r="BJ8" s="350">
        <v>0</v>
      </c>
      <c r="BK8" s="350">
        <v>0</v>
      </c>
      <c r="BL8" s="350">
        <v>0</v>
      </c>
      <c r="BM8" s="350">
        <v>0</v>
      </c>
      <c r="BN8" s="350">
        <v>0</v>
      </c>
      <c r="BO8" s="350">
        <v>0</v>
      </c>
      <c r="BP8" s="350">
        <v>0</v>
      </c>
      <c r="BQ8" s="350">
        <v>0</v>
      </c>
      <c r="BR8" s="350">
        <v>0</v>
      </c>
      <c r="BS8" s="350">
        <v>0</v>
      </c>
      <c r="BT8" s="350">
        <v>0</v>
      </c>
      <c r="BU8" s="350">
        <v>339</v>
      </c>
      <c r="BV8" s="350">
        <v>0</v>
      </c>
      <c r="BW8" s="350">
        <v>0</v>
      </c>
      <c r="BX8" s="350">
        <v>0</v>
      </c>
      <c r="BY8" s="350">
        <v>0</v>
      </c>
      <c r="BZ8" s="350">
        <v>0</v>
      </c>
      <c r="CA8" s="350">
        <v>0</v>
      </c>
      <c r="CB8" s="350">
        <v>0</v>
      </c>
      <c r="CC8" s="350">
        <v>0</v>
      </c>
      <c r="CD8" s="350">
        <v>0</v>
      </c>
      <c r="CE8" s="350">
        <v>0</v>
      </c>
      <c r="CF8" s="350">
        <v>0</v>
      </c>
      <c r="CG8" s="350">
        <v>464812</v>
      </c>
      <c r="CH8" s="350">
        <v>0</v>
      </c>
      <c r="CI8" s="350">
        <v>0</v>
      </c>
      <c r="CJ8" s="350">
        <v>510267</v>
      </c>
      <c r="CK8" s="350">
        <v>860460</v>
      </c>
      <c r="CL8" s="350">
        <v>0</v>
      </c>
      <c r="CM8" s="350">
        <v>0</v>
      </c>
      <c r="CN8" s="350">
        <v>0</v>
      </c>
      <c r="CO8" s="350">
        <v>0</v>
      </c>
      <c r="CP8" s="350">
        <v>0</v>
      </c>
      <c r="CQ8" s="350">
        <v>69808</v>
      </c>
      <c r="CR8" s="350">
        <v>559062.4</v>
      </c>
      <c r="CS8" s="350">
        <v>70135</v>
      </c>
      <c r="CT8" s="350">
        <v>256960</v>
      </c>
      <c r="CU8" s="350">
        <v>0</v>
      </c>
      <c r="CV8" s="350">
        <v>186327</v>
      </c>
      <c r="CW8" s="350">
        <v>0</v>
      </c>
      <c r="CX8" s="350">
        <v>30208</v>
      </c>
      <c r="CY8" s="350">
        <v>0</v>
      </c>
      <c r="CZ8" s="350">
        <v>0</v>
      </c>
      <c r="DA8" s="350">
        <v>87130</v>
      </c>
      <c r="DB8" s="350">
        <v>0</v>
      </c>
      <c r="DC8" s="350">
        <v>211002.82</v>
      </c>
      <c r="DD8" s="350">
        <v>33341.33</v>
      </c>
      <c r="DE8" s="350">
        <v>0</v>
      </c>
      <c r="DF8" s="350">
        <v>32605</v>
      </c>
      <c r="DG8" s="350">
        <v>0</v>
      </c>
      <c r="DH8" s="350">
        <v>171</v>
      </c>
      <c r="DI8" s="350">
        <v>0</v>
      </c>
      <c r="DJ8" s="350">
        <v>0</v>
      </c>
      <c r="DK8" s="350">
        <v>0</v>
      </c>
      <c r="DL8" s="350">
        <v>16883.75</v>
      </c>
      <c r="DM8" s="350">
        <v>0</v>
      </c>
      <c r="DN8" s="350">
        <v>2044</v>
      </c>
      <c r="DO8" s="350">
        <v>45872</v>
      </c>
      <c r="DP8" s="350">
        <v>24969</v>
      </c>
      <c r="DQ8" s="350">
        <v>82812</v>
      </c>
      <c r="DR8" s="350">
        <v>10542</v>
      </c>
      <c r="DS8" s="350">
        <v>0</v>
      </c>
      <c r="DT8" s="350">
        <v>69408</v>
      </c>
      <c r="DU8" s="350">
        <v>136528.68</v>
      </c>
      <c r="DV8" s="350">
        <v>489000</v>
      </c>
      <c r="DW8" s="350">
        <v>13366</v>
      </c>
      <c r="DX8" s="350">
        <v>7328</v>
      </c>
      <c r="DY8" s="350">
        <v>144921</v>
      </c>
      <c r="DZ8" s="350">
        <v>2707375.47</v>
      </c>
      <c r="EA8" s="350">
        <v>279232</v>
      </c>
      <c r="EB8" s="350">
        <v>2381460</v>
      </c>
      <c r="EC8" s="350">
        <v>3198210.18</v>
      </c>
      <c r="ED8" s="350">
        <v>224422.75</v>
      </c>
      <c r="EE8" s="350">
        <v>2264591.7999999998</v>
      </c>
      <c r="EF8" s="350">
        <v>2349567.2599999998</v>
      </c>
      <c r="EG8" s="350">
        <v>1618535</v>
      </c>
      <c r="EH8" s="350">
        <v>30379</v>
      </c>
      <c r="EI8" s="350">
        <v>3640827.59</v>
      </c>
      <c r="EJ8" s="350">
        <v>2826346</v>
      </c>
      <c r="EK8" s="350">
        <v>0</v>
      </c>
      <c r="EL8" s="350">
        <v>489185</v>
      </c>
      <c r="EM8" s="350">
        <v>4538127.58</v>
      </c>
      <c r="EN8" s="350">
        <v>812770</v>
      </c>
      <c r="EO8" s="350">
        <v>2836738.56</v>
      </c>
      <c r="EP8" s="350">
        <v>1763785</v>
      </c>
      <c r="EQ8" s="350">
        <v>847804</v>
      </c>
      <c r="ER8" s="350">
        <v>1726844</v>
      </c>
      <c r="ES8" s="350">
        <v>1758042.18</v>
      </c>
      <c r="ET8" s="350">
        <v>2011185</v>
      </c>
      <c r="EU8" s="350">
        <v>2810438</v>
      </c>
      <c r="EV8" s="350">
        <v>2214396</v>
      </c>
      <c r="EW8" s="350">
        <v>3362941</v>
      </c>
      <c r="EX8" s="350">
        <v>2503100</v>
      </c>
      <c r="EY8" s="350">
        <v>1579984.67</v>
      </c>
      <c r="EZ8" s="350">
        <v>3824324.06</v>
      </c>
      <c r="FA8" s="350">
        <v>1678931</v>
      </c>
      <c r="FB8" s="350">
        <v>9130688</v>
      </c>
      <c r="FC8" s="350">
        <v>1511641</v>
      </c>
      <c r="FD8" s="350">
        <v>3169719</v>
      </c>
      <c r="FE8" s="350">
        <v>0</v>
      </c>
      <c r="FF8" s="350">
        <v>0</v>
      </c>
      <c r="FG8" s="350">
        <v>272480</v>
      </c>
      <c r="FH8" s="350">
        <v>1352404</v>
      </c>
      <c r="FI8" s="350">
        <v>6980</v>
      </c>
      <c r="FJ8" s="350">
        <v>2283515.9900000002</v>
      </c>
      <c r="FK8" s="350">
        <v>1322</v>
      </c>
      <c r="FL8" s="350">
        <v>1286798</v>
      </c>
      <c r="FM8" s="350">
        <v>1996710</v>
      </c>
      <c r="FN8" s="350">
        <v>2194707</v>
      </c>
      <c r="FO8" s="350">
        <v>214023</v>
      </c>
      <c r="FP8" s="350">
        <v>1758811</v>
      </c>
      <c r="FQ8" s="350">
        <v>3999607.34</v>
      </c>
      <c r="FR8" s="350">
        <v>2577770</v>
      </c>
      <c r="FS8" s="350">
        <v>1920055</v>
      </c>
      <c r="FT8" s="350">
        <v>150520.94</v>
      </c>
      <c r="FU8" s="350">
        <v>318483</v>
      </c>
      <c r="FV8" s="350">
        <v>1878099</v>
      </c>
      <c r="FW8" s="350">
        <v>2422180</v>
      </c>
      <c r="FX8" s="350">
        <v>45703</v>
      </c>
      <c r="FY8" s="350">
        <v>6980</v>
      </c>
      <c r="FZ8" s="350">
        <v>1075628.94</v>
      </c>
      <c r="GA8" s="350">
        <v>513041</v>
      </c>
      <c r="GB8" s="350">
        <v>109270</v>
      </c>
      <c r="GC8" s="350">
        <v>47739</v>
      </c>
      <c r="GD8" s="350">
        <v>82978</v>
      </c>
      <c r="GE8" s="350">
        <v>0</v>
      </c>
      <c r="GF8" s="350">
        <v>0</v>
      </c>
      <c r="GG8" s="350">
        <v>648554.27</v>
      </c>
      <c r="GH8" s="350">
        <v>0</v>
      </c>
      <c r="GI8" s="350">
        <v>94556</v>
      </c>
      <c r="GJ8" s="350">
        <v>0</v>
      </c>
      <c r="GK8" s="350">
        <v>0</v>
      </c>
      <c r="GL8" s="350">
        <v>0</v>
      </c>
      <c r="GM8" s="350">
        <v>500</v>
      </c>
      <c r="GN8" s="350">
        <v>359</v>
      </c>
      <c r="GO8" s="350">
        <v>2443</v>
      </c>
      <c r="GP8" s="350">
        <v>0</v>
      </c>
      <c r="GQ8" s="350">
        <v>0</v>
      </c>
      <c r="GR8" s="350">
        <v>0</v>
      </c>
      <c r="GS8" s="350">
        <v>7576</v>
      </c>
      <c r="GT8" s="350">
        <v>148692</v>
      </c>
      <c r="GU8" s="350">
        <v>2994.29</v>
      </c>
      <c r="GV8" s="350">
        <v>0</v>
      </c>
      <c r="GW8" s="350">
        <v>0</v>
      </c>
      <c r="GX8" s="350">
        <v>9634.2099999999991</v>
      </c>
      <c r="GY8" s="350">
        <v>2679</v>
      </c>
      <c r="GZ8" s="350">
        <v>7053</v>
      </c>
      <c r="HA8" s="350">
        <v>259</v>
      </c>
      <c r="HB8" s="350">
        <v>5710</v>
      </c>
      <c r="HC8" s="350">
        <v>16488</v>
      </c>
      <c r="HD8" s="350">
        <v>0</v>
      </c>
      <c r="HE8" s="350">
        <v>0</v>
      </c>
      <c r="HF8" s="350">
        <v>297</v>
      </c>
      <c r="HG8" s="350">
        <v>77</v>
      </c>
      <c r="HH8" s="350">
        <v>610</v>
      </c>
      <c r="HI8" s="350">
        <v>0</v>
      </c>
      <c r="HJ8" s="350">
        <v>2103</v>
      </c>
      <c r="HK8" s="350">
        <v>0</v>
      </c>
      <c r="HL8" s="350">
        <v>1366</v>
      </c>
      <c r="HM8" s="350">
        <v>1561</v>
      </c>
      <c r="HN8" s="350">
        <v>79648</v>
      </c>
      <c r="HO8" s="350">
        <v>0</v>
      </c>
      <c r="HP8" s="350">
        <v>0</v>
      </c>
      <c r="HQ8" s="350">
        <v>0</v>
      </c>
      <c r="HR8" s="350">
        <v>0</v>
      </c>
      <c r="HS8" s="350">
        <v>0</v>
      </c>
      <c r="HT8" s="350">
        <v>8482</v>
      </c>
      <c r="HU8" s="350">
        <v>0</v>
      </c>
      <c r="HV8" s="350">
        <v>0</v>
      </c>
      <c r="HW8" s="350">
        <v>0</v>
      </c>
      <c r="HX8" s="350">
        <v>0</v>
      </c>
      <c r="HY8" s="350">
        <v>0</v>
      </c>
      <c r="HZ8" s="350">
        <v>0</v>
      </c>
      <c r="IA8" s="350">
        <v>0</v>
      </c>
      <c r="IB8" s="350">
        <v>0</v>
      </c>
      <c r="IC8" s="350">
        <v>89</v>
      </c>
      <c r="ID8" s="350">
        <v>0</v>
      </c>
      <c r="IE8" s="350">
        <v>0</v>
      </c>
      <c r="IF8" s="350">
        <v>0</v>
      </c>
      <c r="IG8" s="350">
        <v>0</v>
      </c>
      <c r="IH8" s="350">
        <v>0</v>
      </c>
      <c r="II8" s="350">
        <v>0</v>
      </c>
      <c r="IJ8" s="350">
        <v>0</v>
      </c>
      <c r="IK8" s="350">
        <v>0</v>
      </c>
      <c r="IL8" s="350">
        <v>0</v>
      </c>
      <c r="IM8" s="351"/>
      <c r="IN8" s="350">
        <v>2531.6799999999998</v>
      </c>
      <c r="IO8" s="350">
        <v>0</v>
      </c>
      <c r="IP8" s="350">
        <v>67353</v>
      </c>
      <c r="IQ8" s="350">
        <v>173</v>
      </c>
      <c r="IR8" s="350">
        <v>1268</v>
      </c>
      <c r="IS8" s="350">
        <v>603</v>
      </c>
      <c r="IT8" s="350">
        <v>0</v>
      </c>
      <c r="IU8" s="350">
        <v>0</v>
      </c>
      <c r="IV8" s="350">
        <v>0</v>
      </c>
      <c r="IW8" s="350">
        <v>0</v>
      </c>
      <c r="IX8" s="350">
        <v>0</v>
      </c>
      <c r="IY8" s="350">
        <v>0</v>
      </c>
      <c r="IZ8" s="350">
        <v>0</v>
      </c>
      <c r="JA8" s="350">
        <v>0</v>
      </c>
      <c r="JB8" s="350">
        <v>0</v>
      </c>
      <c r="JC8" s="350">
        <v>0</v>
      </c>
      <c r="JD8" s="350">
        <v>0</v>
      </c>
      <c r="JE8" s="350">
        <v>0</v>
      </c>
      <c r="JF8" s="350">
        <v>0</v>
      </c>
      <c r="JG8" s="350">
        <v>0</v>
      </c>
      <c r="JH8" s="350">
        <v>1411</v>
      </c>
      <c r="JI8" s="350">
        <v>0</v>
      </c>
      <c r="JJ8" s="350">
        <v>0</v>
      </c>
      <c r="JK8" s="350">
        <v>0</v>
      </c>
      <c r="JL8" s="350">
        <v>0</v>
      </c>
      <c r="JM8" s="350">
        <v>4839</v>
      </c>
      <c r="JN8" s="350">
        <v>0</v>
      </c>
      <c r="JO8" s="350">
        <v>0</v>
      </c>
      <c r="JP8" s="350">
        <v>3600</v>
      </c>
      <c r="JQ8" s="350">
        <v>0</v>
      </c>
      <c r="JR8" s="351"/>
      <c r="JU8" s="348" t="s">
        <v>1844</v>
      </c>
      <c r="JV8" s="313">
        <f t="shared" si="2"/>
        <v>4513</v>
      </c>
      <c r="JW8" s="313">
        <f t="shared" si="1"/>
        <v>939</v>
      </c>
      <c r="JX8" s="313">
        <f t="shared" si="1"/>
        <v>786.31999999999994</v>
      </c>
      <c r="JY8" s="313">
        <f t="shared" si="1"/>
        <v>2625789</v>
      </c>
      <c r="JZ8" s="313">
        <f t="shared" si="1"/>
        <v>0</v>
      </c>
      <c r="KA8" s="313">
        <f t="shared" si="1"/>
        <v>0</v>
      </c>
      <c r="KB8" s="313">
        <f t="shared" si="1"/>
        <v>0</v>
      </c>
      <c r="KC8" s="313">
        <f t="shared" si="1"/>
        <v>1503974.55</v>
      </c>
      <c r="KD8" s="313">
        <f t="shared" si="1"/>
        <v>32776</v>
      </c>
      <c r="KE8" s="313">
        <f t="shared" si="1"/>
        <v>898753.42999999993</v>
      </c>
      <c r="KF8" s="313">
        <f t="shared" si="1"/>
        <v>144921</v>
      </c>
      <c r="KG8" s="313">
        <f t="shared" si="1"/>
        <v>21520947.049999997</v>
      </c>
      <c r="KH8" s="313">
        <f t="shared" si="1"/>
        <v>57965561.039999999</v>
      </c>
      <c r="KI8" s="313">
        <f t="shared" si="1"/>
        <v>15292232.279999999</v>
      </c>
      <c r="KJ8" s="313">
        <f t="shared" si="1"/>
        <v>2571767.21</v>
      </c>
      <c r="KK8" s="313">
        <f t="shared" si="1"/>
        <v>0</v>
      </c>
      <c r="KL8" s="313">
        <f t="shared" si="1"/>
        <v>3302</v>
      </c>
      <c r="KM8" s="313">
        <f t="shared" si="1"/>
        <v>0</v>
      </c>
      <c r="KN8" s="313">
        <f t="shared" si="1"/>
        <v>159262.29</v>
      </c>
      <c r="KO8" s="313">
        <f t="shared" si="1"/>
        <v>9634.2099999999991</v>
      </c>
      <c r="KP8" s="313">
        <f t="shared" si="1"/>
        <v>9732</v>
      </c>
      <c r="KQ8" s="313">
        <f t="shared" si="1"/>
        <v>259</v>
      </c>
      <c r="KR8" s="313">
        <f t="shared" si="1"/>
        <v>5710</v>
      </c>
      <c r="KS8" s="313">
        <f t="shared" si="1"/>
        <v>16488</v>
      </c>
      <c r="KT8" s="313">
        <f t="shared" si="1"/>
        <v>6014</v>
      </c>
      <c r="KU8" s="313">
        <f t="shared" si="1"/>
        <v>79648</v>
      </c>
      <c r="KV8" s="313">
        <f t="shared" si="1"/>
        <v>0</v>
      </c>
      <c r="KW8" s="313">
        <f t="shared" si="1"/>
        <v>8571</v>
      </c>
      <c r="KX8" s="313">
        <f t="shared" si="1"/>
        <v>0</v>
      </c>
      <c r="KY8" s="313">
        <f t="shared" si="1"/>
        <v>0</v>
      </c>
      <c r="KZ8" s="313">
        <f t="shared" si="1"/>
        <v>0</v>
      </c>
      <c r="LA8" s="313">
        <f t="shared" si="1"/>
        <v>78178.679999999993</v>
      </c>
      <c r="LB8" s="313">
        <f t="shared" si="1"/>
        <v>3600</v>
      </c>
      <c r="LC8" s="313">
        <f t="shared" si="1"/>
        <v>0</v>
      </c>
    </row>
    <row r="9" spans="1:315" x14ac:dyDescent="0.25">
      <c r="A9" s="313">
        <v>7</v>
      </c>
      <c r="B9" s="348" t="s">
        <v>1845</v>
      </c>
      <c r="C9" s="350">
        <v>8180</v>
      </c>
      <c r="D9" s="350">
        <v>27093.119999999999</v>
      </c>
      <c r="E9" s="350">
        <v>0</v>
      </c>
      <c r="F9" s="350">
        <v>16476</v>
      </c>
      <c r="G9" s="350">
        <v>40317</v>
      </c>
      <c r="H9" s="350">
        <v>47262.5</v>
      </c>
      <c r="I9" s="350">
        <v>1008.8</v>
      </c>
      <c r="J9" s="350">
        <v>2690.3</v>
      </c>
      <c r="K9" s="350">
        <v>10203.700000000001</v>
      </c>
      <c r="L9" s="350">
        <v>82855</v>
      </c>
      <c r="M9" s="350">
        <v>28344.82</v>
      </c>
      <c r="N9" s="350">
        <v>42446</v>
      </c>
      <c r="O9" s="350">
        <v>27294</v>
      </c>
      <c r="P9" s="350">
        <v>20204</v>
      </c>
      <c r="Q9" s="350">
        <v>57304.5</v>
      </c>
      <c r="R9" s="350">
        <v>9129.4</v>
      </c>
      <c r="S9" s="350">
        <v>7100</v>
      </c>
      <c r="T9" s="350">
        <v>28562</v>
      </c>
      <c r="U9" s="350">
        <v>4284.07</v>
      </c>
      <c r="V9" s="350">
        <v>18663</v>
      </c>
      <c r="W9" s="350">
        <v>3451</v>
      </c>
      <c r="X9" s="350">
        <v>19754</v>
      </c>
      <c r="Y9" s="350">
        <v>0</v>
      </c>
      <c r="Z9" s="350">
        <v>21219</v>
      </c>
      <c r="AA9" s="350">
        <v>5130</v>
      </c>
      <c r="AB9" s="350">
        <v>0</v>
      </c>
      <c r="AC9" s="350">
        <v>0</v>
      </c>
      <c r="AD9" s="350">
        <v>26031.34</v>
      </c>
      <c r="AE9" s="350">
        <v>42765.9</v>
      </c>
      <c r="AF9" s="350">
        <v>13305.01</v>
      </c>
      <c r="AG9" s="350">
        <v>0</v>
      </c>
      <c r="AH9" s="350">
        <v>28738.5</v>
      </c>
      <c r="AI9" s="350">
        <v>0</v>
      </c>
      <c r="AJ9" s="350">
        <v>44534.86</v>
      </c>
      <c r="AK9" s="350">
        <v>0</v>
      </c>
      <c r="AL9" s="350">
        <v>8853</v>
      </c>
      <c r="AM9" s="350">
        <v>184672</v>
      </c>
      <c r="AN9" s="350">
        <v>9232.2800000000007</v>
      </c>
      <c r="AO9" s="350">
        <v>54188</v>
      </c>
      <c r="AP9" s="350">
        <v>59617</v>
      </c>
      <c r="AQ9" s="350">
        <v>123287.5</v>
      </c>
      <c r="AR9" s="350">
        <v>34656</v>
      </c>
      <c r="AS9" s="350">
        <v>128138</v>
      </c>
      <c r="AT9" s="350">
        <v>82422</v>
      </c>
      <c r="AU9" s="350">
        <v>105080</v>
      </c>
      <c r="AV9" s="350">
        <v>83030</v>
      </c>
      <c r="AW9" s="351"/>
      <c r="AX9" s="350">
        <v>59147</v>
      </c>
      <c r="AY9" s="350">
        <v>0</v>
      </c>
      <c r="AZ9" s="350">
        <v>99868</v>
      </c>
      <c r="BA9" s="350">
        <v>37318</v>
      </c>
      <c r="BB9" s="350">
        <v>74880</v>
      </c>
      <c r="BC9" s="350">
        <v>234248.55</v>
      </c>
      <c r="BD9" s="350">
        <v>22602</v>
      </c>
      <c r="BE9" s="350">
        <v>11421</v>
      </c>
      <c r="BF9" s="350">
        <v>1429</v>
      </c>
      <c r="BG9" s="350">
        <v>10000</v>
      </c>
      <c r="BH9" s="350">
        <v>55950.5</v>
      </c>
      <c r="BI9" s="350">
        <v>42869.2</v>
      </c>
      <c r="BJ9" s="350">
        <v>7578</v>
      </c>
      <c r="BK9" s="350">
        <v>90852.3</v>
      </c>
      <c r="BL9" s="350">
        <v>116500</v>
      </c>
      <c r="BM9" s="350">
        <v>78540.600000000006</v>
      </c>
      <c r="BN9" s="350">
        <v>280153</v>
      </c>
      <c r="BO9" s="350">
        <v>121874</v>
      </c>
      <c r="BP9" s="350">
        <v>51885</v>
      </c>
      <c r="BQ9" s="350">
        <v>36922.5</v>
      </c>
      <c r="BR9" s="350">
        <v>15385.46</v>
      </c>
      <c r="BS9" s="350">
        <v>56974</v>
      </c>
      <c r="BT9" s="350">
        <v>79629</v>
      </c>
      <c r="BU9" s="350">
        <v>22855</v>
      </c>
      <c r="BV9" s="350">
        <v>111386.5</v>
      </c>
      <c r="BW9" s="350">
        <v>97499.66</v>
      </c>
      <c r="BX9" s="350">
        <v>92773</v>
      </c>
      <c r="BY9" s="350">
        <v>8853</v>
      </c>
      <c r="BZ9" s="350">
        <v>212692</v>
      </c>
      <c r="CA9" s="350">
        <v>470498</v>
      </c>
      <c r="CB9" s="350">
        <v>0</v>
      </c>
      <c r="CC9" s="350">
        <v>0</v>
      </c>
      <c r="CD9" s="350">
        <v>510520.54</v>
      </c>
      <c r="CE9" s="350">
        <v>0</v>
      </c>
      <c r="CF9" s="350">
        <v>0</v>
      </c>
      <c r="CG9" s="350">
        <v>188877.29</v>
      </c>
      <c r="CH9" s="350">
        <v>1299.56</v>
      </c>
      <c r="CI9" s="350">
        <v>5925</v>
      </c>
      <c r="CJ9" s="350">
        <v>289299</v>
      </c>
      <c r="CK9" s="350">
        <v>184360.99</v>
      </c>
      <c r="CL9" s="350">
        <v>10235</v>
      </c>
      <c r="CM9" s="350">
        <v>34035.99</v>
      </c>
      <c r="CN9" s="350">
        <v>17430</v>
      </c>
      <c r="CO9" s="350">
        <v>21804</v>
      </c>
      <c r="CP9" s="350">
        <v>0</v>
      </c>
      <c r="CQ9" s="350">
        <v>61471</v>
      </c>
      <c r="CR9" s="350">
        <v>289437</v>
      </c>
      <c r="CS9" s="350">
        <v>57312</v>
      </c>
      <c r="CT9" s="350">
        <v>52910</v>
      </c>
      <c r="CU9" s="350">
        <v>105551</v>
      </c>
      <c r="CV9" s="350">
        <v>254197</v>
      </c>
      <c r="CW9" s="350">
        <v>110000</v>
      </c>
      <c r="CX9" s="350">
        <v>114301</v>
      </c>
      <c r="CY9" s="350">
        <v>1990</v>
      </c>
      <c r="CZ9" s="350">
        <v>311428</v>
      </c>
      <c r="DA9" s="350">
        <v>469991</v>
      </c>
      <c r="DB9" s="350">
        <v>0</v>
      </c>
      <c r="DC9" s="350">
        <v>92884</v>
      </c>
      <c r="DD9" s="350">
        <v>20885</v>
      </c>
      <c r="DE9" s="350">
        <v>0</v>
      </c>
      <c r="DF9" s="350">
        <v>57477</v>
      </c>
      <c r="DG9" s="350">
        <v>52776</v>
      </c>
      <c r="DH9" s="350">
        <v>38535</v>
      </c>
      <c r="DI9" s="350">
        <v>22246.83</v>
      </c>
      <c r="DJ9" s="350">
        <v>114301</v>
      </c>
      <c r="DK9" s="350">
        <v>53328</v>
      </c>
      <c r="DL9" s="350">
        <v>241267.39</v>
      </c>
      <c r="DM9" s="350">
        <v>23411</v>
      </c>
      <c r="DN9" s="350">
        <v>50695.08</v>
      </c>
      <c r="DO9" s="350">
        <v>29375</v>
      </c>
      <c r="DP9" s="350">
        <v>33848</v>
      </c>
      <c r="DQ9" s="350">
        <v>140899</v>
      </c>
      <c r="DR9" s="350">
        <v>161310.22</v>
      </c>
      <c r="DS9" s="350">
        <v>30825.1</v>
      </c>
      <c r="DT9" s="350">
        <v>109001.68</v>
      </c>
      <c r="DU9" s="350">
        <v>109023.13</v>
      </c>
      <c r="DV9" s="350">
        <v>692000</v>
      </c>
      <c r="DW9" s="350">
        <v>322849.28999999998</v>
      </c>
      <c r="DX9" s="350">
        <v>122084</v>
      </c>
      <c r="DY9" s="350">
        <v>144053</v>
      </c>
      <c r="DZ9" s="350">
        <v>1479416.76</v>
      </c>
      <c r="EA9" s="350">
        <v>245882</v>
      </c>
      <c r="EB9" s="350">
        <v>2004527</v>
      </c>
      <c r="EC9" s="350">
        <v>1992020.41</v>
      </c>
      <c r="ED9" s="350">
        <v>210899.78</v>
      </c>
      <c r="EE9" s="350">
        <v>1397241</v>
      </c>
      <c r="EF9" s="350">
        <v>1507152.87</v>
      </c>
      <c r="EG9" s="350">
        <v>977848</v>
      </c>
      <c r="EH9" s="350">
        <v>622753</v>
      </c>
      <c r="EI9" s="350">
        <v>1923320.44</v>
      </c>
      <c r="EJ9" s="350">
        <v>2099287.2799999998</v>
      </c>
      <c r="EK9" s="350">
        <v>858449</v>
      </c>
      <c r="EL9" s="350">
        <v>280912</v>
      </c>
      <c r="EM9" s="350">
        <v>1705670.46</v>
      </c>
      <c r="EN9" s="350">
        <v>438063</v>
      </c>
      <c r="EO9" s="350">
        <v>2993393</v>
      </c>
      <c r="EP9" s="350">
        <v>868668</v>
      </c>
      <c r="EQ9" s="350">
        <v>1049396</v>
      </c>
      <c r="ER9" s="350">
        <v>818046</v>
      </c>
      <c r="ES9" s="350">
        <v>902491</v>
      </c>
      <c r="ET9" s="350">
        <v>849488</v>
      </c>
      <c r="EU9" s="350">
        <v>1922955</v>
      </c>
      <c r="EV9" s="350">
        <v>1340570</v>
      </c>
      <c r="EW9" s="350">
        <v>3131722</v>
      </c>
      <c r="EX9" s="350">
        <v>1583930</v>
      </c>
      <c r="EY9" s="350">
        <v>682143</v>
      </c>
      <c r="EZ9" s="350">
        <v>2530882.5</v>
      </c>
      <c r="FA9" s="350">
        <v>1159101</v>
      </c>
      <c r="FB9" s="350">
        <v>6140972</v>
      </c>
      <c r="FC9" s="350">
        <v>855733</v>
      </c>
      <c r="FD9" s="350">
        <v>2063043</v>
      </c>
      <c r="FE9" s="350">
        <v>1329422</v>
      </c>
      <c r="FF9" s="350">
        <v>1123417.48</v>
      </c>
      <c r="FG9" s="350">
        <v>914393</v>
      </c>
      <c r="FH9" s="350">
        <v>673650</v>
      </c>
      <c r="FI9" s="350">
        <v>1334773</v>
      </c>
      <c r="FJ9" s="350">
        <v>1725063.68</v>
      </c>
      <c r="FK9" s="350">
        <v>419623.76</v>
      </c>
      <c r="FL9" s="350">
        <v>702814</v>
      </c>
      <c r="FM9" s="350">
        <v>1431956</v>
      </c>
      <c r="FN9" s="350">
        <v>836729</v>
      </c>
      <c r="FO9" s="350">
        <v>143343</v>
      </c>
      <c r="FP9" s="350">
        <v>1940690</v>
      </c>
      <c r="FQ9" s="350">
        <v>1255176.3899999999</v>
      </c>
      <c r="FR9" s="350">
        <v>1387200</v>
      </c>
      <c r="FS9" s="350">
        <v>1392535</v>
      </c>
      <c r="FT9" s="350">
        <v>1392159.28</v>
      </c>
      <c r="FU9" s="350">
        <v>214573</v>
      </c>
      <c r="FV9" s="350">
        <v>1160132</v>
      </c>
      <c r="FW9" s="350">
        <v>1679245</v>
      </c>
      <c r="FX9" s="350">
        <v>38471</v>
      </c>
      <c r="FY9" s="350">
        <v>1239127</v>
      </c>
      <c r="FZ9" s="350">
        <v>888486.32</v>
      </c>
      <c r="GA9" s="350">
        <v>304136.89</v>
      </c>
      <c r="GB9" s="350">
        <v>92111.41</v>
      </c>
      <c r="GC9" s="350">
        <v>81468</v>
      </c>
      <c r="GD9" s="350">
        <v>141734</v>
      </c>
      <c r="GE9" s="350">
        <v>17608</v>
      </c>
      <c r="GF9" s="350">
        <v>483895</v>
      </c>
      <c r="GG9" s="350">
        <v>276980.96999999997</v>
      </c>
      <c r="GH9" s="350">
        <v>356719.46</v>
      </c>
      <c r="GI9" s="350">
        <v>89134</v>
      </c>
      <c r="GJ9" s="350">
        <v>160644</v>
      </c>
      <c r="GK9" s="350">
        <v>26831</v>
      </c>
      <c r="GL9" s="350">
        <v>127296</v>
      </c>
      <c r="GM9" s="350">
        <v>25000</v>
      </c>
      <c r="GN9" s="350">
        <v>28738.5</v>
      </c>
      <c r="GO9" s="350">
        <v>90241</v>
      </c>
      <c r="GP9" s="350">
        <v>35510</v>
      </c>
      <c r="GQ9" s="350">
        <v>0</v>
      </c>
      <c r="GR9" s="350">
        <v>516078</v>
      </c>
      <c r="GS9" s="350">
        <v>654296</v>
      </c>
      <c r="GT9" s="350">
        <v>343495.7</v>
      </c>
      <c r="GU9" s="350">
        <v>934152.4</v>
      </c>
      <c r="GV9" s="350">
        <v>123390.02</v>
      </c>
      <c r="GW9" s="350">
        <v>292847</v>
      </c>
      <c r="GX9" s="350">
        <v>148211.5</v>
      </c>
      <c r="GY9" s="350">
        <v>63902</v>
      </c>
      <c r="GZ9" s="350">
        <v>64148.9</v>
      </c>
      <c r="HA9" s="350">
        <v>17597</v>
      </c>
      <c r="HB9" s="350">
        <v>39991</v>
      </c>
      <c r="HC9" s="350">
        <v>193272</v>
      </c>
      <c r="HD9" s="350">
        <v>56733</v>
      </c>
      <c r="HE9" s="350">
        <v>2690.3</v>
      </c>
      <c r="HF9" s="350">
        <v>64796.05</v>
      </c>
      <c r="HG9" s="350">
        <v>47412.61</v>
      </c>
      <c r="HH9" s="350">
        <v>77646.05</v>
      </c>
      <c r="HI9" s="350">
        <v>52400</v>
      </c>
      <c r="HJ9" s="350">
        <v>130200</v>
      </c>
      <c r="HK9" s="350">
        <v>27600</v>
      </c>
      <c r="HL9" s="350">
        <v>113717.59</v>
      </c>
      <c r="HM9" s="350">
        <v>41455.9</v>
      </c>
      <c r="HN9" s="350">
        <v>407230</v>
      </c>
      <c r="HO9" s="350">
        <v>98520</v>
      </c>
      <c r="HP9" s="350">
        <v>0</v>
      </c>
      <c r="HQ9" s="350">
        <v>10908</v>
      </c>
      <c r="HR9" s="350">
        <v>4175</v>
      </c>
      <c r="HS9" s="350">
        <v>78636</v>
      </c>
      <c r="HT9" s="350">
        <v>165468</v>
      </c>
      <c r="HU9" s="350">
        <v>24870</v>
      </c>
      <c r="HV9" s="350">
        <v>48491.37</v>
      </c>
      <c r="HW9" s="350">
        <v>42518.36</v>
      </c>
      <c r="HX9" s="350">
        <v>44752</v>
      </c>
      <c r="HY9" s="350">
        <v>54735.34</v>
      </c>
      <c r="HZ9" s="350">
        <v>20916</v>
      </c>
      <c r="IA9" s="350">
        <v>19701.13</v>
      </c>
      <c r="IB9" s="350">
        <v>72820.45</v>
      </c>
      <c r="IC9" s="350">
        <v>77851.179999999993</v>
      </c>
      <c r="ID9" s="350">
        <v>66467.679999999993</v>
      </c>
      <c r="IE9" s="350">
        <v>73384</v>
      </c>
      <c r="IF9" s="350">
        <v>0</v>
      </c>
      <c r="IG9" s="350">
        <v>17430</v>
      </c>
      <c r="IH9" s="350">
        <v>12159</v>
      </c>
      <c r="II9" s="350">
        <v>90133.9</v>
      </c>
      <c r="IJ9" s="350">
        <v>32933.18</v>
      </c>
      <c r="IK9" s="350">
        <v>0</v>
      </c>
      <c r="IL9" s="350">
        <v>32010</v>
      </c>
      <c r="IM9" s="351"/>
      <c r="IN9" s="350">
        <v>55555.17</v>
      </c>
      <c r="IO9" s="350">
        <v>0</v>
      </c>
      <c r="IP9" s="350">
        <v>114604</v>
      </c>
      <c r="IQ9" s="350">
        <v>22190</v>
      </c>
      <c r="IR9" s="350">
        <v>60816.46</v>
      </c>
      <c r="IS9" s="350">
        <v>59224</v>
      </c>
      <c r="IT9" s="350">
        <v>20122.13</v>
      </c>
      <c r="IU9" s="350">
        <v>54026.98</v>
      </c>
      <c r="IV9" s="350">
        <v>10017.459999999999</v>
      </c>
      <c r="IW9" s="350">
        <v>16909</v>
      </c>
      <c r="IX9" s="350">
        <v>0</v>
      </c>
      <c r="IY9" s="350">
        <v>22079.7</v>
      </c>
      <c r="IZ9" s="350">
        <v>209243</v>
      </c>
      <c r="JA9" s="350">
        <v>46581.5</v>
      </c>
      <c r="JB9" s="350">
        <v>123587.7</v>
      </c>
      <c r="JC9" s="350">
        <v>84481</v>
      </c>
      <c r="JD9" s="350">
        <v>31068</v>
      </c>
      <c r="JE9" s="350">
        <v>31618</v>
      </c>
      <c r="JF9" s="350">
        <v>96992.2</v>
      </c>
      <c r="JG9" s="350">
        <v>0</v>
      </c>
      <c r="JH9" s="350">
        <v>68102.899999999994</v>
      </c>
      <c r="JI9" s="350">
        <v>95175.5</v>
      </c>
      <c r="JJ9" s="350">
        <v>11580</v>
      </c>
      <c r="JK9" s="350">
        <v>15900</v>
      </c>
      <c r="JL9" s="350">
        <v>16374.5</v>
      </c>
      <c r="JM9" s="350">
        <v>70864</v>
      </c>
      <c r="JN9" s="350">
        <v>79287</v>
      </c>
      <c r="JO9" s="350">
        <v>38571.5</v>
      </c>
      <c r="JP9" s="350">
        <v>7354</v>
      </c>
      <c r="JQ9" s="350">
        <v>16510.04</v>
      </c>
      <c r="JR9" s="351"/>
      <c r="JU9" s="348" t="s">
        <v>1845</v>
      </c>
      <c r="JV9" s="313">
        <f t="shared" si="2"/>
        <v>523842.21</v>
      </c>
      <c r="JW9" s="313">
        <f t="shared" si="1"/>
        <v>73927.240000000005</v>
      </c>
      <c r="JX9" s="313">
        <f t="shared" si="1"/>
        <v>526428.15</v>
      </c>
      <c r="JY9" s="313">
        <f t="shared" si="1"/>
        <v>4216192.6500000004</v>
      </c>
      <c r="JZ9" s="313">
        <f t="shared" si="1"/>
        <v>44270.99</v>
      </c>
      <c r="KA9" s="313">
        <f t="shared" si="1"/>
        <v>17430</v>
      </c>
      <c r="KB9" s="313">
        <f t="shared" si="1"/>
        <v>21804</v>
      </c>
      <c r="KC9" s="313">
        <f t="shared" si="1"/>
        <v>1942357</v>
      </c>
      <c r="KD9" s="313">
        <f t="shared" si="1"/>
        <v>338663.83</v>
      </c>
      <c r="KE9" s="313">
        <f t="shared" si="1"/>
        <v>2066588.8900000001</v>
      </c>
      <c r="KF9" s="313">
        <f t="shared" si="1"/>
        <v>144053</v>
      </c>
      <c r="KG9" s="313">
        <f t="shared" si="1"/>
        <v>14460348.539999999</v>
      </c>
      <c r="KH9" s="313">
        <f t="shared" si="1"/>
        <v>42667469.879999995</v>
      </c>
      <c r="KI9" s="313">
        <f t="shared" si="1"/>
        <v>11842651.67</v>
      </c>
      <c r="KJ9" s="313">
        <f t="shared" si="1"/>
        <v>2732274.05</v>
      </c>
      <c r="KK9" s="313">
        <f t="shared" si="1"/>
        <v>187475</v>
      </c>
      <c r="KL9" s="313">
        <f t="shared" si="1"/>
        <v>271275.5</v>
      </c>
      <c r="KM9" s="313">
        <f t="shared" si="1"/>
        <v>35510</v>
      </c>
      <c r="KN9" s="313">
        <f t="shared" si="1"/>
        <v>2864259.12</v>
      </c>
      <c r="KO9" s="313">
        <f t="shared" si="1"/>
        <v>148211.5</v>
      </c>
      <c r="KP9" s="313">
        <f t="shared" si="1"/>
        <v>128050.9</v>
      </c>
      <c r="KQ9" s="313">
        <f t="shared" si="1"/>
        <v>17597</v>
      </c>
      <c r="KR9" s="313">
        <f t="shared" si="1"/>
        <v>39991</v>
      </c>
      <c r="KS9" s="313">
        <f t="shared" si="1"/>
        <v>193272</v>
      </c>
      <c r="KT9" s="313">
        <f t="shared" si="1"/>
        <v>614651.5</v>
      </c>
      <c r="KU9" s="313">
        <f t="shared" si="1"/>
        <v>505750</v>
      </c>
      <c r="KV9" s="313">
        <f t="shared" si="1"/>
        <v>10908</v>
      </c>
      <c r="KW9" s="313">
        <f t="shared" si="1"/>
        <v>794786.50999999978</v>
      </c>
      <c r="KX9" s="313">
        <f t="shared" si="1"/>
        <v>17430</v>
      </c>
      <c r="KY9" s="313">
        <f t="shared" si="1"/>
        <v>135226.07999999999</v>
      </c>
      <c r="KZ9" s="313">
        <f t="shared" si="1"/>
        <v>32010</v>
      </c>
      <c r="LA9" s="313">
        <f t="shared" si="1"/>
        <v>1337113.2</v>
      </c>
      <c r="LB9" s="313">
        <f t="shared" si="1"/>
        <v>141722.54</v>
      </c>
      <c r="LC9" s="313">
        <f t="shared" si="1"/>
        <v>0</v>
      </c>
    </row>
    <row r="10" spans="1:315" x14ac:dyDescent="0.25">
      <c r="A10" s="313">
        <v>8</v>
      </c>
      <c r="B10" s="348" t="s">
        <v>1846</v>
      </c>
      <c r="C10" s="350">
        <v>3122</v>
      </c>
      <c r="D10" s="350">
        <v>0</v>
      </c>
      <c r="E10" s="350">
        <v>0</v>
      </c>
      <c r="F10" s="350">
        <v>2372.41</v>
      </c>
      <c r="G10" s="350">
        <v>14209</v>
      </c>
      <c r="H10" s="350">
        <v>8220.5</v>
      </c>
      <c r="I10" s="350">
        <v>64.900000000000006</v>
      </c>
      <c r="J10" s="350">
        <v>173</v>
      </c>
      <c r="K10" s="350">
        <v>86.4</v>
      </c>
      <c r="L10" s="350">
        <v>0</v>
      </c>
      <c r="M10" s="350">
        <v>0</v>
      </c>
      <c r="N10" s="350">
        <v>16800</v>
      </c>
      <c r="O10" s="350">
        <v>4345</v>
      </c>
      <c r="P10" s="350">
        <v>2456</v>
      </c>
      <c r="Q10" s="350">
        <v>11965</v>
      </c>
      <c r="R10" s="350">
        <v>0</v>
      </c>
      <c r="S10" s="350">
        <v>0</v>
      </c>
      <c r="T10" s="350">
        <v>1621</v>
      </c>
      <c r="U10" s="350">
        <v>16121.6</v>
      </c>
      <c r="V10" s="350">
        <v>3166</v>
      </c>
      <c r="W10" s="350">
        <v>1706.69</v>
      </c>
      <c r="X10" s="350">
        <v>406.39</v>
      </c>
      <c r="Y10" s="350">
        <v>193.52</v>
      </c>
      <c r="Z10" s="350">
        <v>4097</v>
      </c>
      <c r="AA10" s="350">
        <v>0</v>
      </c>
      <c r="AB10" s="350">
        <v>0</v>
      </c>
      <c r="AC10" s="350">
        <v>0</v>
      </c>
      <c r="AD10" s="350">
        <v>0</v>
      </c>
      <c r="AE10" s="350">
        <v>23882.65</v>
      </c>
      <c r="AF10" s="350">
        <v>12495.61</v>
      </c>
      <c r="AG10" s="350">
        <v>10817</v>
      </c>
      <c r="AH10" s="350">
        <v>0</v>
      </c>
      <c r="AI10" s="350">
        <v>41124</v>
      </c>
      <c r="AJ10" s="350">
        <v>28545.4</v>
      </c>
      <c r="AK10" s="350">
        <v>0</v>
      </c>
      <c r="AL10" s="350">
        <v>5850</v>
      </c>
      <c r="AM10" s="350">
        <v>50809</v>
      </c>
      <c r="AN10" s="350">
        <v>127545.05</v>
      </c>
      <c r="AO10" s="350">
        <v>0</v>
      </c>
      <c r="AP10" s="350">
        <v>215745</v>
      </c>
      <c r="AQ10" s="350">
        <v>8712</v>
      </c>
      <c r="AR10" s="350">
        <v>105133.7</v>
      </c>
      <c r="AS10" s="350">
        <v>94480</v>
      </c>
      <c r="AT10" s="350">
        <v>236181</v>
      </c>
      <c r="AU10" s="350">
        <v>90047</v>
      </c>
      <c r="AV10" s="350">
        <v>141340</v>
      </c>
      <c r="AW10" s="351"/>
      <c r="AX10" s="350">
        <v>49125</v>
      </c>
      <c r="AY10" s="350">
        <v>11070</v>
      </c>
      <c r="AZ10" s="350">
        <v>34736</v>
      </c>
      <c r="BA10" s="350">
        <v>25052</v>
      </c>
      <c r="BB10" s="350">
        <v>60199</v>
      </c>
      <c r="BC10" s="350">
        <v>136304.66</v>
      </c>
      <c r="BD10" s="350">
        <v>0</v>
      </c>
      <c r="BE10" s="350">
        <v>5000</v>
      </c>
      <c r="BF10" s="350">
        <v>0</v>
      </c>
      <c r="BG10" s="350">
        <v>5152</v>
      </c>
      <c r="BH10" s="350">
        <v>16600</v>
      </c>
      <c r="BI10" s="350">
        <v>168578.83</v>
      </c>
      <c r="BJ10" s="350">
        <v>8877</v>
      </c>
      <c r="BK10" s="350">
        <v>78939</v>
      </c>
      <c r="BL10" s="350">
        <v>8784</v>
      </c>
      <c r="BM10" s="350">
        <v>92500</v>
      </c>
      <c r="BN10" s="350">
        <v>43464.03</v>
      </c>
      <c r="BO10" s="350">
        <v>53478</v>
      </c>
      <c r="BP10" s="350">
        <v>226234</v>
      </c>
      <c r="BQ10" s="350">
        <v>49760</v>
      </c>
      <c r="BR10" s="350">
        <v>21417</v>
      </c>
      <c r="BS10" s="350">
        <v>106592</v>
      </c>
      <c r="BT10" s="350">
        <v>33836</v>
      </c>
      <c r="BU10" s="350">
        <v>25027</v>
      </c>
      <c r="BV10" s="350">
        <v>304799.03000000003</v>
      </c>
      <c r="BW10" s="350">
        <v>44097</v>
      </c>
      <c r="BX10" s="350">
        <v>18728</v>
      </c>
      <c r="BY10" s="350">
        <v>121940</v>
      </c>
      <c r="BZ10" s="350">
        <v>231410</v>
      </c>
      <c r="CA10" s="350">
        <v>187625</v>
      </c>
      <c r="CB10" s="350">
        <v>8690</v>
      </c>
      <c r="CC10" s="350">
        <v>42762</v>
      </c>
      <c r="CD10" s="350">
        <v>182106.54</v>
      </c>
      <c r="CE10" s="350">
        <v>0</v>
      </c>
      <c r="CF10" s="350">
        <v>29211</v>
      </c>
      <c r="CG10" s="350">
        <v>90323.9</v>
      </c>
      <c r="CH10" s="350">
        <v>18363.62</v>
      </c>
      <c r="CI10" s="350">
        <v>15950</v>
      </c>
      <c r="CJ10" s="350">
        <v>57509</v>
      </c>
      <c r="CK10" s="350">
        <v>96457</v>
      </c>
      <c r="CL10" s="350">
        <v>6721</v>
      </c>
      <c r="CM10" s="350">
        <v>9368</v>
      </c>
      <c r="CN10" s="350">
        <v>379.78</v>
      </c>
      <c r="CO10" s="350">
        <v>47.39</v>
      </c>
      <c r="CP10" s="350">
        <v>0</v>
      </c>
      <c r="CQ10" s="350">
        <v>67816</v>
      </c>
      <c r="CR10" s="350">
        <v>46691</v>
      </c>
      <c r="CS10" s="350">
        <v>75460</v>
      </c>
      <c r="CT10" s="350">
        <v>20450</v>
      </c>
      <c r="CU10" s="350">
        <v>11095</v>
      </c>
      <c r="CV10" s="350">
        <v>282279</v>
      </c>
      <c r="CW10" s="350">
        <v>0</v>
      </c>
      <c r="CX10" s="350">
        <v>14173</v>
      </c>
      <c r="CY10" s="350">
        <v>6947</v>
      </c>
      <c r="CZ10" s="350">
        <v>378743</v>
      </c>
      <c r="DA10" s="350">
        <v>333013</v>
      </c>
      <c r="DB10" s="350">
        <v>0</v>
      </c>
      <c r="DC10" s="350">
        <v>99244</v>
      </c>
      <c r="DD10" s="350">
        <v>0</v>
      </c>
      <c r="DE10" s="350">
        <v>45419</v>
      </c>
      <c r="DF10" s="350">
        <v>976</v>
      </c>
      <c r="DG10" s="350">
        <v>8978</v>
      </c>
      <c r="DH10" s="350">
        <v>0</v>
      </c>
      <c r="DI10" s="350">
        <v>0</v>
      </c>
      <c r="DJ10" s="350">
        <v>20068</v>
      </c>
      <c r="DK10" s="350">
        <v>8350</v>
      </c>
      <c r="DL10" s="350">
        <v>109020.7</v>
      </c>
      <c r="DM10" s="350">
        <v>57163.5</v>
      </c>
      <c r="DN10" s="350">
        <v>1395</v>
      </c>
      <c r="DO10" s="350">
        <v>55773</v>
      </c>
      <c r="DP10" s="350">
        <v>10149</v>
      </c>
      <c r="DQ10" s="350">
        <v>47080</v>
      </c>
      <c r="DR10" s="350">
        <v>58406</v>
      </c>
      <c r="DS10" s="350">
        <v>0</v>
      </c>
      <c r="DT10" s="350">
        <v>25575.02</v>
      </c>
      <c r="DU10" s="350">
        <v>12895</v>
      </c>
      <c r="DV10" s="350">
        <v>385700</v>
      </c>
      <c r="DW10" s="350">
        <v>253672.38</v>
      </c>
      <c r="DX10" s="350">
        <v>31670</v>
      </c>
      <c r="DY10" s="350">
        <v>111144</v>
      </c>
      <c r="DZ10" s="350">
        <v>1427706.29</v>
      </c>
      <c r="EA10" s="350">
        <v>271264</v>
      </c>
      <c r="EB10" s="350">
        <v>1567178</v>
      </c>
      <c r="EC10" s="350">
        <v>707265.08</v>
      </c>
      <c r="ED10" s="350">
        <v>24972</v>
      </c>
      <c r="EE10" s="350">
        <v>1551399.35</v>
      </c>
      <c r="EF10" s="350">
        <v>615043.18000000005</v>
      </c>
      <c r="EG10" s="350">
        <v>474739</v>
      </c>
      <c r="EH10" s="350">
        <v>1289467</v>
      </c>
      <c r="EI10" s="350">
        <v>252474.43</v>
      </c>
      <c r="EJ10" s="350">
        <v>696814.04</v>
      </c>
      <c r="EK10" s="350">
        <v>249412</v>
      </c>
      <c r="EL10" s="350">
        <v>96629</v>
      </c>
      <c r="EM10" s="350">
        <v>458876.27</v>
      </c>
      <c r="EN10" s="350">
        <v>243314</v>
      </c>
      <c r="EO10" s="350">
        <v>2080935.97</v>
      </c>
      <c r="EP10" s="350">
        <v>1205094</v>
      </c>
      <c r="EQ10" s="350">
        <v>383105</v>
      </c>
      <c r="ER10" s="350">
        <v>359872.87</v>
      </c>
      <c r="ES10" s="350">
        <v>618387.30000000005</v>
      </c>
      <c r="ET10" s="350">
        <v>477585</v>
      </c>
      <c r="EU10" s="350">
        <v>1446312</v>
      </c>
      <c r="EV10" s="350">
        <v>453776.11</v>
      </c>
      <c r="EW10" s="350">
        <v>1562972</v>
      </c>
      <c r="EX10" s="350">
        <v>381168</v>
      </c>
      <c r="EY10" s="350">
        <v>285337.42</v>
      </c>
      <c r="EZ10" s="350">
        <v>1515913.25</v>
      </c>
      <c r="FA10" s="350">
        <v>1528027</v>
      </c>
      <c r="FB10" s="350">
        <v>3065107</v>
      </c>
      <c r="FC10" s="350">
        <v>879618</v>
      </c>
      <c r="FD10" s="350">
        <v>1555147</v>
      </c>
      <c r="FE10" s="350">
        <v>368320</v>
      </c>
      <c r="FF10" s="350">
        <v>103447.5</v>
      </c>
      <c r="FG10" s="350">
        <v>111616</v>
      </c>
      <c r="FH10" s="350">
        <v>409370</v>
      </c>
      <c r="FI10" s="350">
        <v>27192</v>
      </c>
      <c r="FJ10" s="350">
        <v>1004019.77</v>
      </c>
      <c r="FK10" s="350">
        <v>53814.89</v>
      </c>
      <c r="FL10" s="350">
        <v>527175</v>
      </c>
      <c r="FM10" s="350">
        <v>476976</v>
      </c>
      <c r="FN10" s="350">
        <v>2042351</v>
      </c>
      <c r="FO10" s="350">
        <v>34866</v>
      </c>
      <c r="FP10" s="350">
        <v>356160</v>
      </c>
      <c r="FQ10" s="350">
        <v>887733.21</v>
      </c>
      <c r="FR10" s="350">
        <v>770494</v>
      </c>
      <c r="FS10" s="350">
        <v>1047438</v>
      </c>
      <c r="FT10" s="350">
        <v>165109.26999999999</v>
      </c>
      <c r="FU10" s="350">
        <v>282968</v>
      </c>
      <c r="FV10" s="350">
        <v>405332</v>
      </c>
      <c r="FW10" s="350">
        <v>558881</v>
      </c>
      <c r="FX10" s="350">
        <v>10838</v>
      </c>
      <c r="FY10" s="350">
        <v>106696</v>
      </c>
      <c r="FZ10" s="350">
        <v>496786.5</v>
      </c>
      <c r="GA10" s="350">
        <v>39012.5</v>
      </c>
      <c r="GB10" s="350">
        <v>157</v>
      </c>
      <c r="GC10" s="350">
        <v>33245</v>
      </c>
      <c r="GD10" s="350">
        <v>170049</v>
      </c>
      <c r="GE10" s="350">
        <v>72067</v>
      </c>
      <c r="GF10" s="350">
        <v>119689</v>
      </c>
      <c r="GG10" s="350">
        <v>85695.46</v>
      </c>
      <c r="GH10" s="350">
        <v>23094.77</v>
      </c>
      <c r="GI10" s="350">
        <v>162918.20000000001</v>
      </c>
      <c r="GJ10" s="350">
        <v>72699</v>
      </c>
      <c r="GK10" s="350">
        <v>1339</v>
      </c>
      <c r="GL10" s="350">
        <v>1765.6</v>
      </c>
      <c r="GM10" s="350">
        <v>9000</v>
      </c>
      <c r="GN10" s="350">
        <v>0</v>
      </c>
      <c r="GO10" s="350">
        <v>115541</v>
      </c>
      <c r="GP10" s="350">
        <v>0</v>
      </c>
      <c r="GQ10" s="350">
        <v>0</v>
      </c>
      <c r="GR10" s="350">
        <v>131242.71</v>
      </c>
      <c r="GS10" s="350">
        <v>147383</v>
      </c>
      <c r="GT10" s="350">
        <v>74431.429999999993</v>
      </c>
      <c r="GU10" s="350">
        <v>124154.12</v>
      </c>
      <c r="GV10" s="350">
        <v>29804</v>
      </c>
      <c r="GW10" s="350">
        <v>28218</v>
      </c>
      <c r="GX10" s="350">
        <v>103251.28</v>
      </c>
      <c r="GY10" s="350">
        <v>1475</v>
      </c>
      <c r="GZ10" s="350">
        <v>13231.4</v>
      </c>
      <c r="HA10" s="350">
        <v>2896</v>
      </c>
      <c r="HB10" s="350">
        <v>5181.8500000000004</v>
      </c>
      <c r="HC10" s="350">
        <v>72406.850000000006</v>
      </c>
      <c r="HD10" s="350">
        <v>5536</v>
      </c>
      <c r="HE10" s="350">
        <v>4854</v>
      </c>
      <c r="HF10" s="350">
        <v>0</v>
      </c>
      <c r="HG10" s="350">
        <v>750</v>
      </c>
      <c r="HH10" s="350">
        <v>0</v>
      </c>
      <c r="HI10" s="350">
        <v>39252</v>
      </c>
      <c r="HJ10" s="350">
        <v>13736</v>
      </c>
      <c r="HK10" s="350">
        <v>3110</v>
      </c>
      <c r="HL10" s="350">
        <v>10676.45</v>
      </c>
      <c r="HM10" s="350">
        <v>17991</v>
      </c>
      <c r="HN10" s="350">
        <v>103639.8</v>
      </c>
      <c r="HO10" s="350">
        <v>3428</v>
      </c>
      <c r="HP10" s="350">
        <v>3180.29</v>
      </c>
      <c r="HQ10" s="350">
        <v>0</v>
      </c>
      <c r="HR10" s="350">
        <v>150</v>
      </c>
      <c r="HS10" s="350">
        <v>4138</v>
      </c>
      <c r="HT10" s="350">
        <v>37620</v>
      </c>
      <c r="HU10" s="350">
        <v>0</v>
      </c>
      <c r="HV10" s="350">
        <v>0</v>
      </c>
      <c r="HW10" s="350">
        <v>969.6</v>
      </c>
      <c r="HX10" s="350">
        <v>12485</v>
      </c>
      <c r="HY10" s="350">
        <v>4734</v>
      </c>
      <c r="HZ10" s="350">
        <v>0</v>
      </c>
      <c r="IA10" s="350">
        <v>1546.92</v>
      </c>
      <c r="IB10" s="350">
        <v>1310.43</v>
      </c>
      <c r="IC10" s="350">
        <v>11070.37</v>
      </c>
      <c r="ID10" s="350">
        <v>4531.76</v>
      </c>
      <c r="IE10" s="350">
        <v>1680</v>
      </c>
      <c r="IF10" s="350">
        <v>0</v>
      </c>
      <c r="IG10" s="350">
        <v>2444.44</v>
      </c>
      <c r="IH10" s="350">
        <v>0</v>
      </c>
      <c r="II10" s="350">
        <v>2495.9</v>
      </c>
      <c r="IJ10" s="350">
        <v>1805.19</v>
      </c>
      <c r="IK10" s="350">
        <v>0</v>
      </c>
      <c r="IL10" s="350">
        <v>44893.919999999998</v>
      </c>
      <c r="IM10" s="351"/>
      <c r="IN10" s="350">
        <v>10442.200000000001</v>
      </c>
      <c r="IO10" s="350">
        <v>371</v>
      </c>
      <c r="IP10" s="350">
        <v>23430</v>
      </c>
      <c r="IQ10" s="350">
        <v>0</v>
      </c>
      <c r="IR10" s="350">
        <v>353</v>
      </c>
      <c r="IS10" s="350">
        <v>16128</v>
      </c>
      <c r="IT10" s="350">
        <v>0</v>
      </c>
      <c r="IU10" s="350">
        <v>11930</v>
      </c>
      <c r="IV10" s="350">
        <v>11200.5</v>
      </c>
      <c r="IW10" s="350">
        <v>0</v>
      </c>
      <c r="IX10" s="350">
        <v>0</v>
      </c>
      <c r="IY10" s="350">
        <v>427</v>
      </c>
      <c r="IZ10" s="350">
        <v>28811</v>
      </c>
      <c r="JA10" s="350">
        <v>12616.26</v>
      </c>
      <c r="JB10" s="350">
        <v>16630.04</v>
      </c>
      <c r="JC10" s="350">
        <v>7844.55</v>
      </c>
      <c r="JD10" s="350">
        <v>40713.19</v>
      </c>
      <c r="JE10" s="350">
        <v>1747.39</v>
      </c>
      <c r="JF10" s="350">
        <v>1601.26</v>
      </c>
      <c r="JG10" s="350">
        <v>6508</v>
      </c>
      <c r="JH10" s="350">
        <v>70327.100000000006</v>
      </c>
      <c r="JI10" s="350">
        <v>19730.759999999998</v>
      </c>
      <c r="JJ10" s="350">
        <v>23800</v>
      </c>
      <c r="JK10" s="350">
        <v>2012.18</v>
      </c>
      <c r="JL10" s="350">
        <v>4215</v>
      </c>
      <c r="JM10" s="350">
        <v>23242</v>
      </c>
      <c r="JN10" s="350">
        <v>59074.1</v>
      </c>
      <c r="JO10" s="350">
        <v>12286</v>
      </c>
      <c r="JP10" s="350">
        <v>43762</v>
      </c>
      <c r="JQ10" s="350">
        <v>87970.34</v>
      </c>
      <c r="JR10" s="351"/>
      <c r="JU10" s="348" t="s">
        <v>1846</v>
      </c>
      <c r="JV10" s="313">
        <f t="shared" si="2"/>
        <v>91126.410000000018</v>
      </c>
      <c r="JW10" s="313">
        <f t="shared" si="1"/>
        <v>23882.65</v>
      </c>
      <c r="JX10" s="313">
        <f t="shared" si="1"/>
        <v>501643.06</v>
      </c>
      <c r="JY10" s="313">
        <f t="shared" si="1"/>
        <v>3377879.31</v>
      </c>
      <c r="JZ10" s="313">
        <f t="shared" si="1"/>
        <v>16089</v>
      </c>
      <c r="KA10" s="313">
        <f t="shared" si="1"/>
        <v>379.78</v>
      </c>
      <c r="KB10" s="313">
        <f t="shared" si="1"/>
        <v>47.39</v>
      </c>
      <c r="KC10" s="313">
        <f t="shared" si="1"/>
        <v>1335911</v>
      </c>
      <c r="KD10" s="313">
        <f t="shared" si="1"/>
        <v>83791</v>
      </c>
      <c r="KE10" s="313">
        <f t="shared" si="1"/>
        <v>1048499.6</v>
      </c>
      <c r="KF10" s="313">
        <f t="shared" si="1"/>
        <v>111144</v>
      </c>
      <c r="KG10" s="313">
        <f t="shared" si="1"/>
        <v>8878322.370000001</v>
      </c>
      <c r="KH10" s="313">
        <f t="shared" si="1"/>
        <v>23970871.349999998</v>
      </c>
      <c r="KI10" s="313">
        <f t="shared" si="1"/>
        <v>4626515.4800000004</v>
      </c>
      <c r="KJ10" s="313">
        <f t="shared" si="1"/>
        <v>1202714.43</v>
      </c>
      <c r="KK10" s="313">
        <f t="shared" si="1"/>
        <v>74038</v>
      </c>
      <c r="KL10" s="313">
        <f t="shared" si="1"/>
        <v>126306.6</v>
      </c>
      <c r="KM10" s="313">
        <f t="shared" si="1"/>
        <v>0</v>
      </c>
      <c r="KN10" s="313">
        <f t="shared" si="1"/>
        <v>535233.26</v>
      </c>
      <c r="KO10" s="313">
        <f t="shared" si="1"/>
        <v>103251.28</v>
      </c>
      <c r="KP10" s="313">
        <f t="shared" si="1"/>
        <v>14706.4</v>
      </c>
      <c r="KQ10" s="313">
        <f t="shared" si="1"/>
        <v>2896</v>
      </c>
      <c r="KR10" s="313">
        <f t="shared" si="1"/>
        <v>5181.8500000000004</v>
      </c>
      <c r="KS10" s="313">
        <f t="shared" si="1"/>
        <v>72406.850000000006</v>
      </c>
      <c r="KT10" s="313">
        <f t="shared" si="1"/>
        <v>95905.45</v>
      </c>
      <c r="KU10" s="313">
        <f t="shared" si="1"/>
        <v>110248.09</v>
      </c>
      <c r="KV10" s="313">
        <f t="shared" si="1"/>
        <v>0</v>
      </c>
      <c r="KW10" s="313">
        <f t="shared" si="1"/>
        <v>80236.079999999987</v>
      </c>
      <c r="KX10" s="313">
        <f t="shared" si="1"/>
        <v>2444.44</v>
      </c>
      <c r="KY10" s="313">
        <f t="shared" si="1"/>
        <v>4301.09</v>
      </c>
      <c r="KZ10" s="313">
        <f t="shared" si="1"/>
        <v>44893.919999999998</v>
      </c>
      <c r="LA10" s="313">
        <f t="shared" si="1"/>
        <v>334080.43</v>
      </c>
      <c r="LB10" s="313">
        <f t="shared" si="1"/>
        <v>203092.44</v>
      </c>
      <c r="LC10" s="313">
        <f t="shared" si="1"/>
        <v>0</v>
      </c>
    </row>
    <row r="11" spans="1:315" x14ac:dyDescent="0.25">
      <c r="A11" s="313">
        <v>9</v>
      </c>
      <c r="B11" s="348" t="s">
        <v>1847</v>
      </c>
      <c r="C11" s="350">
        <v>62012</v>
      </c>
      <c r="D11" s="350">
        <v>38500</v>
      </c>
      <c r="E11" s="350">
        <v>0</v>
      </c>
      <c r="F11" s="350">
        <v>33684</v>
      </c>
      <c r="G11" s="350">
        <v>3204</v>
      </c>
      <c r="H11" s="350">
        <v>24532.5</v>
      </c>
      <c r="I11" s="350">
        <v>2160</v>
      </c>
      <c r="J11" s="350">
        <v>82800</v>
      </c>
      <c r="K11" s="350">
        <v>12741.2</v>
      </c>
      <c r="L11" s="350">
        <v>44756</v>
      </c>
      <c r="M11" s="350">
        <v>23886</v>
      </c>
      <c r="N11" s="350">
        <v>108216</v>
      </c>
      <c r="O11" s="350">
        <v>67267</v>
      </c>
      <c r="P11" s="350">
        <v>72882.5</v>
      </c>
      <c r="Q11" s="350">
        <v>155400</v>
      </c>
      <c r="R11" s="350">
        <v>11548.64</v>
      </c>
      <c r="S11" s="350">
        <v>0</v>
      </c>
      <c r="T11" s="350">
        <v>122204</v>
      </c>
      <c r="U11" s="350">
        <v>27343</v>
      </c>
      <c r="V11" s="350">
        <v>52276</v>
      </c>
      <c r="W11" s="350">
        <v>26276</v>
      </c>
      <c r="X11" s="350">
        <v>18266.53</v>
      </c>
      <c r="Y11" s="350">
        <v>0</v>
      </c>
      <c r="Z11" s="350">
        <v>17820</v>
      </c>
      <c r="AA11" s="350">
        <v>94848</v>
      </c>
      <c r="AB11" s="350">
        <v>57000</v>
      </c>
      <c r="AC11" s="350">
        <v>0</v>
      </c>
      <c r="AD11" s="350">
        <v>96291</v>
      </c>
      <c r="AE11" s="350">
        <v>0</v>
      </c>
      <c r="AF11" s="350">
        <v>3407.88</v>
      </c>
      <c r="AG11" s="350">
        <v>133112</v>
      </c>
      <c r="AH11" s="350">
        <v>73417.5</v>
      </c>
      <c r="AI11" s="350">
        <v>15734</v>
      </c>
      <c r="AJ11" s="350">
        <v>45600</v>
      </c>
      <c r="AK11" s="350">
        <v>115217.64</v>
      </c>
      <c r="AL11" s="350">
        <v>473</v>
      </c>
      <c r="AM11" s="350">
        <v>0</v>
      </c>
      <c r="AN11" s="350">
        <v>61451.83</v>
      </c>
      <c r="AO11" s="350">
        <v>78289</v>
      </c>
      <c r="AP11" s="350">
        <v>78000</v>
      </c>
      <c r="AQ11" s="350">
        <v>185174</v>
      </c>
      <c r="AR11" s="350">
        <v>366400</v>
      </c>
      <c r="AS11" s="350">
        <v>0</v>
      </c>
      <c r="AT11" s="350">
        <v>78192</v>
      </c>
      <c r="AU11" s="350">
        <v>64226</v>
      </c>
      <c r="AV11" s="350">
        <v>0</v>
      </c>
      <c r="AW11" s="351"/>
      <c r="AX11" s="350">
        <v>0</v>
      </c>
      <c r="AY11" s="350">
        <v>0</v>
      </c>
      <c r="AZ11" s="350">
        <v>0</v>
      </c>
      <c r="BA11" s="350">
        <v>0</v>
      </c>
      <c r="BB11" s="350">
        <v>0</v>
      </c>
      <c r="BC11" s="350">
        <v>0</v>
      </c>
      <c r="BD11" s="350">
        <v>0</v>
      </c>
      <c r="BE11" s="350">
        <v>0</v>
      </c>
      <c r="BF11" s="350">
        <v>0</v>
      </c>
      <c r="BG11" s="350">
        <v>6104</v>
      </c>
      <c r="BH11" s="350">
        <v>0</v>
      </c>
      <c r="BI11" s="350">
        <v>0</v>
      </c>
      <c r="BJ11" s="350">
        <v>0</v>
      </c>
      <c r="BK11" s="350">
        <v>0</v>
      </c>
      <c r="BL11" s="350">
        <v>0</v>
      </c>
      <c r="BM11" s="350">
        <v>293768.64</v>
      </c>
      <c r="BN11" s="350">
        <v>0</v>
      </c>
      <c r="BO11" s="350">
        <v>0</v>
      </c>
      <c r="BP11" s="350">
        <v>0</v>
      </c>
      <c r="BQ11" s="350">
        <v>326383</v>
      </c>
      <c r="BR11" s="350">
        <v>0</v>
      </c>
      <c r="BS11" s="350">
        <v>24606</v>
      </c>
      <c r="BT11" s="350">
        <v>173521</v>
      </c>
      <c r="BU11" s="350">
        <v>72312</v>
      </c>
      <c r="BV11" s="350">
        <v>118887.2</v>
      </c>
      <c r="BW11" s="350">
        <v>112478.36</v>
      </c>
      <c r="BX11" s="350">
        <v>8176</v>
      </c>
      <c r="BY11" s="350">
        <v>473</v>
      </c>
      <c r="BZ11" s="350">
        <v>226</v>
      </c>
      <c r="CA11" s="350">
        <v>0</v>
      </c>
      <c r="CB11" s="350">
        <v>36000</v>
      </c>
      <c r="CC11" s="350">
        <v>45000</v>
      </c>
      <c r="CD11" s="350">
        <v>467795.4</v>
      </c>
      <c r="CE11" s="350">
        <v>0</v>
      </c>
      <c r="CF11" s="350">
        <v>44885</v>
      </c>
      <c r="CG11" s="350">
        <v>132972</v>
      </c>
      <c r="CH11" s="350">
        <v>11904.73</v>
      </c>
      <c r="CI11" s="350">
        <v>39852</v>
      </c>
      <c r="CJ11" s="350">
        <v>0</v>
      </c>
      <c r="CK11" s="350">
        <v>160427</v>
      </c>
      <c r="CL11" s="350">
        <v>18215</v>
      </c>
      <c r="CM11" s="350">
        <v>160427</v>
      </c>
      <c r="CN11" s="350">
        <v>22259.47</v>
      </c>
      <c r="CO11" s="350">
        <v>8910.92</v>
      </c>
      <c r="CP11" s="350">
        <v>55000</v>
      </c>
      <c r="CQ11" s="350">
        <v>0</v>
      </c>
      <c r="CR11" s="350">
        <v>280476</v>
      </c>
      <c r="CS11" s="350">
        <v>0</v>
      </c>
      <c r="CT11" s="350">
        <v>0</v>
      </c>
      <c r="CU11" s="350">
        <v>64226</v>
      </c>
      <c r="CV11" s="350">
        <v>0</v>
      </c>
      <c r="CW11" s="350">
        <v>0</v>
      </c>
      <c r="CX11" s="350">
        <v>0</v>
      </c>
      <c r="CY11" s="350">
        <v>400</v>
      </c>
      <c r="CZ11" s="350">
        <v>37109</v>
      </c>
      <c r="DA11" s="350">
        <v>103716</v>
      </c>
      <c r="DB11" s="350">
        <v>0</v>
      </c>
      <c r="DC11" s="350">
        <v>120796</v>
      </c>
      <c r="DD11" s="350">
        <v>0</v>
      </c>
      <c r="DE11" s="350">
        <v>859553</v>
      </c>
      <c r="DF11" s="350">
        <v>129892.5</v>
      </c>
      <c r="DG11" s="350">
        <v>32113</v>
      </c>
      <c r="DH11" s="350">
        <v>0</v>
      </c>
      <c r="DI11" s="350">
        <v>0</v>
      </c>
      <c r="DJ11" s="350">
        <v>0</v>
      </c>
      <c r="DK11" s="350">
        <v>39852</v>
      </c>
      <c r="DL11" s="350">
        <v>532698.91</v>
      </c>
      <c r="DM11" s="350">
        <v>51745</v>
      </c>
      <c r="DN11" s="350">
        <v>42089</v>
      </c>
      <c r="DO11" s="350">
        <v>0</v>
      </c>
      <c r="DP11" s="350">
        <v>519</v>
      </c>
      <c r="DQ11" s="350">
        <v>0</v>
      </c>
      <c r="DR11" s="350">
        <v>202948.98</v>
      </c>
      <c r="DS11" s="350">
        <v>13859</v>
      </c>
      <c r="DT11" s="350">
        <v>19553</v>
      </c>
      <c r="DU11" s="350">
        <v>0</v>
      </c>
      <c r="DV11" s="350">
        <v>11300</v>
      </c>
      <c r="DW11" s="350">
        <v>482262</v>
      </c>
      <c r="DX11" s="350">
        <v>64800</v>
      </c>
      <c r="DY11" s="350">
        <v>0</v>
      </c>
      <c r="DZ11" s="350">
        <v>0</v>
      </c>
      <c r="EA11" s="350">
        <v>0</v>
      </c>
      <c r="EB11" s="350">
        <v>0</v>
      </c>
      <c r="EC11" s="350">
        <v>11824.1</v>
      </c>
      <c r="ED11" s="350">
        <v>0</v>
      </c>
      <c r="EE11" s="350">
        <v>0</v>
      </c>
      <c r="EF11" s="350">
        <v>0</v>
      </c>
      <c r="EG11" s="350">
        <v>0</v>
      </c>
      <c r="EH11" s="350">
        <v>35242</v>
      </c>
      <c r="EI11" s="350">
        <v>0</v>
      </c>
      <c r="EJ11" s="350">
        <v>10792</v>
      </c>
      <c r="EK11" s="350">
        <v>0</v>
      </c>
      <c r="EL11" s="350">
        <v>0</v>
      </c>
      <c r="EM11" s="350">
        <v>128183.92</v>
      </c>
      <c r="EN11" s="350">
        <v>10891</v>
      </c>
      <c r="EO11" s="350">
        <v>0</v>
      </c>
      <c r="EP11" s="350">
        <v>0</v>
      </c>
      <c r="EQ11" s="350">
        <v>0</v>
      </c>
      <c r="ER11" s="350">
        <v>0</v>
      </c>
      <c r="ES11" s="350">
        <v>0</v>
      </c>
      <c r="ET11" s="350">
        <v>0</v>
      </c>
      <c r="EU11" s="350">
        <v>0</v>
      </c>
      <c r="EV11" s="350">
        <v>0</v>
      </c>
      <c r="EW11" s="350">
        <v>0</v>
      </c>
      <c r="EX11" s="350">
        <v>0</v>
      </c>
      <c r="EY11" s="350">
        <v>0</v>
      </c>
      <c r="EZ11" s="350">
        <v>0</v>
      </c>
      <c r="FA11" s="350">
        <v>0</v>
      </c>
      <c r="FB11" s="350">
        <v>39542</v>
      </c>
      <c r="FC11" s="350">
        <v>0</v>
      </c>
      <c r="FD11" s="350">
        <v>0</v>
      </c>
      <c r="FE11" s="350">
        <v>7260</v>
      </c>
      <c r="FF11" s="350">
        <v>0</v>
      </c>
      <c r="FG11" s="350">
        <v>0</v>
      </c>
      <c r="FH11" s="350">
        <v>79397</v>
      </c>
      <c r="FI11" s="350">
        <v>0</v>
      </c>
      <c r="FJ11" s="350">
        <v>15</v>
      </c>
      <c r="FK11" s="350">
        <v>0</v>
      </c>
      <c r="FL11" s="350">
        <v>0</v>
      </c>
      <c r="FM11" s="350">
        <v>0</v>
      </c>
      <c r="FN11" s="350">
        <v>0</v>
      </c>
      <c r="FO11" s="350">
        <v>0</v>
      </c>
      <c r="FP11" s="350">
        <v>0</v>
      </c>
      <c r="FQ11" s="350">
        <v>0</v>
      </c>
      <c r="FR11" s="350">
        <v>34487</v>
      </c>
      <c r="FS11" s="350">
        <v>0</v>
      </c>
      <c r="FT11" s="350">
        <v>0</v>
      </c>
      <c r="FU11" s="350">
        <v>0</v>
      </c>
      <c r="FV11" s="350">
        <v>8133</v>
      </c>
      <c r="FW11" s="350">
        <v>0</v>
      </c>
      <c r="FX11" s="350">
        <v>70000</v>
      </c>
      <c r="FY11" s="350">
        <v>0</v>
      </c>
      <c r="FZ11" s="350">
        <v>718740</v>
      </c>
      <c r="GA11" s="350">
        <v>381729</v>
      </c>
      <c r="GB11" s="350">
        <v>105443.2</v>
      </c>
      <c r="GC11" s="350">
        <v>0</v>
      </c>
      <c r="GD11" s="350">
        <v>0</v>
      </c>
      <c r="GE11" s="350">
        <v>0</v>
      </c>
      <c r="GF11" s="350">
        <v>0</v>
      </c>
      <c r="GG11" s="350">
        <v>486798</v>
      </c>
      <c r="GH11" s="350">
        <v>117039</v>
      </c>
      <c r="GI11" s="350">
        <v>98586</v>
      </c>
      <c r="GJ11" s="350">
        <v>0</v>
      </c>
      <c r="GK11" s="350">
        <v>3230</v>
      </c>
      <c r="GL11" s="350">
        <v>157632</v>
      </c>
      <c r="GM11" s="350">
        <v>13000</v>
      </c>
      <c r="GN11" s="350">
        <v>67770</v>
      </c>
      <c r="GO11" s="350">
        <v>266212</v>
      </c>
      <c r="GP11" s="350">
        <v>19181</v>
      </c>
      <c r="GQ11" s="350">
        <v>0</v>
      </c>
      <c r="GR11" s="350">
        <v>463993</v>
      </c>
      <c r="GS11" s="350">
        <v>694012</v>
      </c>
      <c r="GT11" s="350">
        <v>304240</v>
      </c>
      <c r="GU11" s="350">
        <v>0</v>
      </c>
      <c r="GV11" s="350">
        <v>75772</v>
      </c>
      <c r="GW11" s="350">
        <v>37</v>
      </c>
      <c r="GX11" s="350">
        <v>0</v>
      </c>
      <c r="GY11" s="350">
        <v>63328</v>
      </c>
      <c r="GZ11" s="350">
        <v>77287</v>
      </c>
      <c r="HA11" s="350">
        <v>41661</v>
      </c>
      <c r="HB11" s="350">
        <v>144472</v>
      </c>
      <c r="HC11" s="350">
        <v>178962</v>
      </c>
      <c r="HD11" s="350">
        <v>66044</v>
      </c>
      <c r="HE11" s="350">
        <v>111760</v>
      </c>
      <c r="HF11" s="350">
        <v>47242.720000000001</v>
      </c>
      <c r="HG11" s="350">
        <v>81493.919999999998</v>
      </c>
      <c r="HH11" s="350">
        <v>47073.919999999998</v>
      </c>
      <c r="HI11" s="350">
        <v>840</v>
      </c>
      <c r="HJ11" s="350">
        <v>19000</v>
      </c>
      <c r="HK11" s="350">
        <v>3200</v>
      </c>
      <c r="HL11" s="350">
        <v>230946.04</v>
      </c>
      <c r="HM11" s="350">
        <v>0</v>
      </c>
      <c r="HN11" s="350">
        <v>295156</v>
      </c>
      <c r="HO11" s="350">
        <v>0</v>
      </c>
      <c r="HP11" s="350">
        <v>72800</v>
      </c>
      <c r="HQ11" s="350">
        <v>20184</v>
      </c>
      <c r="HR11" s="350">
        <v>18750</v>
      </c>
      <c r="HS11" s="350">
        <v>0</v>
      </c>
      <c r="HT11" s="350">
        <v>2360</v>
      </c>
      <c r="HU11" s="350">
        <v>58499.98</v>
      </c>
      <c r="HV11" s="350">
        <v>62777</v>
      </c>
      <c r="HW11" s="350">
        <v>41280</v>
      </c>
      <c r="HX11" s="350">
        <v>0</v>
      </c>
      <c r="HY11" s="350">
        <v>121362.7</v>
      </c>
      <c r="HZ11" s="350">
        <v>19679</v>
      </c>
      <c r="IA11" s="350">
        <v>63978.7</v>
      </c>
      <c r="IB11" s="350">
        <v>148512.03</v>
      </c>
      <c r="IC11" s="350">
        <v>82338.539999999994</v>
      </c>
      <c r="ID11" s="350">
        <v>188181.37</v>
      </c>
      <c r="IE11" s="350">
        <v>126500</v>
      </c>
      <c r="IF11" s="350">
        <v>0</v>
      </c>
      <c r="IG11" s="350">
        <v>21337</v>
      </c>
      <c r="IH11" s="350">
        <v>0</v>
      </c>
      <c r="II11" s="350">
        <v>217344</v>
      </c>
      <c r="IJ11" s="350">
        <v>20018.240000000002</v>
      </c>
      <c r="IK11" s="350">
        <v>0</v>
      </c>
      <c r="IL11" s="350">
        <v>31664</v>
      </c>
      <c r="IM11" s="351"/>
      <c r="IN11" s="350">
        <v>32888.410000000003</v>
      </c>
      <c r="IO11" s="350">
        <v>144408</v>
      </c>
      <c r="IP11" s="350">
        <v>0</v>
      </c>
      <c r="IQ11" s="350">
        <v>121500.02</v>
      </c>
      <c r="IR11" s="350">
        <v>78264.399999999994</v>
      </c>
      <c r="IS11" s="350">
        <v>355342</v>
      </c>
      <c r="IT11" s="350">
        <v>15924</v>
      </c>
      <c r="IU11" s="350">
        <v>0</v>
      </c>
      <c r="IV11" s="350">
        <v>0</v>
      </c>
      <c r="IW11" s="350">
        <v>80454</v>
      </c>
      <c r="IX11" s="350">
        <v>31826</v>
      </c>
      <c r="IY11" s="350">
        <v>31698</v>
      </c>
      <c r="IZ11" s="350">
        <v>246251</v>
      </c>
      <c r="JA11" s="350">
        <v>239017.2</v>
      </c>
      <c r="JB11" s="350">
        <v>234016.39</v>
      </c>
      <c r="JC11" s="350">
        <v>302864.42</v>
      </c>
      <c r="JD11" s="350">
        <v>43882.95</v>
      </c>
      <c r="JE11" s="350">
        <v>80923.03</v>
      </c>
      <c r="JF11" s="350">
        <v>41291.99</v>
      </c>
      <c r="JG11" s="350">
        <v>36910</v>
      </c>
      <c r="JH11" s="350">
        <v>52351</v>
      </c>
      <c r="JI11" s="350">
        <v>159431</v>
      </c>
      <c r="JJ11" s="350">
        <v>42000</v>
      </c>
      <c r="JK11" s="350">
        <v>20733</v>
      </c>
      <c r="JL11" s="350">
        <v>86847.8</v>
      </c>
      <c r="JM11" s="350">
        <v>51840</v>
      </c>
      <c r="JN11" s="350">
        <v>6396</v>
      </c>
      <c r="JO11" s="350">
        <v>24532.5</v>
      </c>
      <c r="JP11" s="350">
        <v>0</v>
      </c>
      <c r="JQ11" s="350">
        <v>171771</v>
      </c>
      <c r="JR11" s="351"/>
      <c r="JU11" s="348" t="s">
        <v>1847</v>
      </c>
      <c r="JV11" s="313">
        <f t="shared" si="2"/>
        <v>1007775.37</v>
      </c>
      <c r="JW11" s="313">
        <f t="shared" si="1"/>
        <v>248139</v>
      </c>
      <c r="JX11" s="313">
        <f t="shared" si="1"/>
        <v>789876.85000000009</v>
      </c>
      <c r="JY11" s="313">
        <f t="shared" si="1"/>
        <v>2584589.33</v>
      </c>
      <c r="JZ11" s="313">
        <f t="shared" si="1"/>
        <v>178642</v>
      </c>
      <c r="KA11" s="313">
        <f t="shared" si="1"/>
        <v>22259.47</v>
      </c>
      <c r="KB11" s="313">
        <f t="shared" si="1"/>
        <v>63910.92</v>
      </c>
      <c r="KC11" s="313">
        <f t="shared" si="1"/>
        <v>606723</v>
      </c>
      <c r="KD11" s="313">
        <f t="shared" si="1"/>
        <v>1061410.5</v>
      </c>
      <c r="KE11" s="313">
        <f t="shared" si="1"/>
        <v>1421774.8900000001</v>
      </c>
      <c r="KF11" s="313">
        <f t="shared" si="1"/>
        <v>0</v>
      </c>
      <c r="KG11" s="313">
        <f t="shared" si="1"/>
        <v>57858.1</v>
      </c>
      <c r="KH11" s="313">
        <f t="shared" si="1"/>
        <v>265288.92</v>
      </c>
      <c r="KI11" s="313">
        <f t="shared" si="1"/>
        <v>112620</v>
      </c>
      <c r="KJ11" s="313">
        <f t="shared" si="1"/>
        <v>1908335.2</v>
      </c>
      <c r="KK11" s="313">
        <f t="shared" si="1"/>
        <v>3230</v>
      </c>
      <c r="KL11" s="313">
        <f t="shared" si="1"/>
        <v>504614</v>
      </c>
      <c r="KM11" s="313">
        <f t="shared" si="1"/>
        <v>19181</v>
      </c>
      <c r="KN11" s="313">
        <f t="shared" si="1"/>
        <v>1538054</v>
      </c>
      <c r="KO11" s="313">
        <f t="shared" si="1"/>
        <v>0</v>
      </c>
      <c r="KP11" s="313">
        <f t="shared" si="1"/>
        <v>140615</v>
      </c>
      <c r="KQ11" s="313">
        <f t="shared" si="1"/>
        <v>41661</v>
      </c>
      <c r="KR11" s="313">
        <f t="shared" si="1"/>
        <v>144472</v>
      </c>
      <c r="KS11" s="313">
        <f t="shared" si="1"/>
        <v>178962</v>
      </c>
      <c r="KT11" s="313">
        <f t="shared" si="1"/>
        <v>607600.6</v>
      </c>
      <c r="KU11" s="313">
        <f t="shared" si="1"/>
        <v>367956</v>
      </c>
      <c r="KV11" s="313">
        <f t="shared" si="1"/>
        <v>20184</v>
      </c>
      <c r="KW11" s="313">
        <f t="shared" si="1"/>
        <v>934219.32000000007</v>
      </c>
      <c r="KX11" s="313">
        <f t="shared" si="1"/>
        <v>21337</v>
      </c>
      <c r="KY11" s="313">
        <f t="shared" si="1"/>
        <v>237362.24</v>
      </c>
      <c r="KZ11" s="313">
        <f t="shared" si="1"/>
        <v>31664</v>
      </c>
      <c r="LA11" s="313">
        <f t="shared" si="1"/>
        <v>2530664.6099999994</v>
      </c>
      <c r="LB11" s="313">
        <f t="shared" si="1"/>
        <v>202699.5</v>
      </c>
      <c r="LC11" s="313">
        <f t="shared" si="1"/>
        <v>0</v>
      </c>
    </row>
    <row r="12" spans="1:315" x14ac:dyDescent="0.25">
      <c r="A12" s="313">
        <v>10</v>
      </c>
      <c r="B12" s="348" t="s">
        <v>1848</v>
      </c>
      <c r="C12" s="350">
        <v>0</v>
      </c>
      <c r="D12" s="350">
        <v>0</v>
      </c>
      <c r="E12" s="350">
        <v>0</v>
      </c>
      <c r="F12" s="350">
        <v>0</v>
      </c>
      <c r="G12" s="350">
        <v>0</v>
      </c>
      <c r="H12" s="350">
        <v>0</v>
      </c>
      <c r="I12" s="350">
        <v>0</v>
      </c>
      <c r="J12" s="350">
        <v>0</v>
      </c>
      <c r="K12" s="350">
        <v>0</v>
      </c>
      <c r="L12" s="350">
        <v>0</v>
      </c>
      <c r="M12" s="350">
        <v>79350</v>
      </c>
      <c r="N12" s="350">
        <v>0</v>
      </c>
      <c r="O12" s="350">
        <v>0</v>
      </c>
      <c r="P12" s="350">
        <v>0</v>
      </c>
      <c r="Q12" s="350">
        <v>0</v>
      </c>
      <c r="R12" s="350">
        <v>0</v>
      </c>
      <c r="S12" s="350">
        <v>0</v>
      </c>
      <c r="T12" s="350">
        <v>54328</v>
      </c>
      <c r="U12" s="350">
        <v>0</v>
      </c>
      <c r="V12" s="350">
        <v>0</v>
      </c>
      <c r="W12" s="350">
        <v>0</v>
      </c>
      <c r="X12" s="350">
        <v>0</v>
      </c>
      <c r="Y12" s="350">
        <v>0</v>
      </c>
      <c r="Z12" s="350">
        <v>0</v>
      </c>
      <c r="AA12" s="350">
        <v>101150</v>
      </c>
      <c r="AB12" s="350">
        <v>0</v>
      </c>
      <c r="AC12" s="350">
        <v>533500</v>
      </c>
      <c r="AD12" s="350">
        <v>0</v>
      </c>
      <c r="AE12" s="350">
        <v>0</v>
      </c>
      <c r="AF12" s="350">
        <v>0</v>
      </c>
      <c r="AG12" s="350">
        <v>0</v>
      </c>
      <c r="AH12" s="350">
        <v>0</v>
      </c>
      <c r="AI12" s="350">
        <v>0</v>
      </c>
      <c r="AJ12" s="350">
        <v>0</v>
      </c>
      <c r="AK12" s="350">
        <v>79200</v>
      </c>
      <c r="AL12" s="350">
        <v>0</v>
      </c>
      <c r="AM12" s="350">
        <v>0</v>
      </c>
      <c r="AN12" s="350">
        <v>0</v>
      </c>
      <c r="AO12" s="350">
        <v>0</v>
      </c>
      <c r="AP12" s="350">
        <v>0</v>
      </c>
      <c r="AQ12" s="350">
        <v>0</v>
      </c>
      <c r="AR12" s="350">
        <v>0</v>
      </c>
      <c r="AS12" s="350">
        <v>0</v>
      </c>
      <c r="AT12" s="350">
        <v>0</v>
      </c>
      <c r="AU12" s="350">
        <v>0</v>
      </c>
      <c r="AV12" s="350">
        <v>0</v>
      </c>
      <c r="AW12" s="351"/>
      <c r="AX12" s="350">
        <v>0</v>
      </c>
      <c r="AY12" s="350">
        <v>0</v>
      </c>
      <c r="AZ12" s="350">
        <v>0</v>
      </c>
      <c r="BA12" s="350">
        <v>0</v>
      </c>
      <c r="BB12" s="350">
        <v>0</v>
      </c>
      <c r="BC12" s="350">
        <v>0</v>
      </c>
      <c r="BD12" s="350">
        <v>0</v>
      </c>
      <c r="BE12" s="350">
        <v>0</v>
      </c>
      <c r="BF12" s="350">
        <v>0</v>
      </c>
      <c r="BG12" s="350">
        <v>0</v>
      </c>
      <c r="BH12" s="350">
        <v>0</v>
      </c>
      <c r="BI12" s="350">
        <v>0</v>
      </c>
      <c r="BJ12" s="350">
        <v>0</v>
      </c>
      <c r="BK12" s="350">
        <v>0</v>
      </c>
      <c r="BL12" s="350">
        <v>0</v>
      </c>
      <c r="BM12" s="350">
        <v>0</v>
      </c>
      <c r="BN12" s="350">
        <v>0</v>
      </c>
      <c r="BO12" s="350">
        <v>0</v>
      </c>
      <c r="BP12" s="350">
        <v>0</v>
      </c>
      <c r="BQ12" s="350">
        <v>0</v>
      </c>
      <c r="BR12" s="350">
        <v>0</v>
      </c>
      <c r="BS12" s="350">
        <v>0</v>
      </c>
      <c r="BT12" s="350">
        <v>0</v>
      </c>
      <c r="BU12" s="350">
        <v>0</v>
      </c>
      <c r="BV12" s="350">
        <v>0</v>
      </c>
      <c r="BW12" s="350">
        <v>0</v>
      </c>
      <c r="BX12" s="350">
        <v>0</v>
      </c>
      <c r="BY12" s="350">
        <v>0</v>
      </c>
      <c r="BZ12" s="350">
        <v>0</v>
      </c>
      <c r="CA12" s="350">
        <v>0</v>
      </c>
      <c r="CB12" s="350">
        <v>0</v>
      </c>
      <c r="CC12" s="350">
        <v>0</v>
      </c>
      <c r="CD12" s="350">
        <v>0</v>
      </c>
      <c r="CE12" s="350">
        <v>0</v>
      </c>
      <c r="CF12" s="350">
        <v>0</v>
      </c>
      <c r="CG12" s="350">
        <v>0</v>
      </c>
      <c r="CH12" s="350">
        <v>0</v>
      </c>
      <c r="CI12" s="350">
        <v>0</v>
      </c>
      <c r="CJ12" s="350">
        <v>0</v>
      </c>
      <c r="CK12" s="350">
        <v>0</v>
      </c>
      <c r="CL12" s="350">
        <v>0</v>
      </c>
      <c r="CM12" s="350">
        <v>0</v>
      </c>
      <c r="CN12" s="350">
        <v>0</v>
      </c>
      <c r="CO12" s="350">
        <v>0</v>
      </c>
      <c r="CP12" s="350">
        <v>0</v>
      </c>
      <c r="CQ12" s="350">
        <v>0</v>
      </c>
      <c r="CR12" s="350">
        <v>0</v>
      </c>
      <c r="CS12" s="350">
        <v>0</v>
      </c>
      <c r="CT12" s="350">
        <v>0</v>
      </c>
      <c r="CU12" s="350">
        <v>0</v>
      </c>
      <c r="CV12" s="350">
        <v>0</v>
      </c>
      <c r="CW12" s="350">
        <v>0</v>
      </c>
      <c r="CX12" s="350">
        <v>0</v>
      </c>
      <c r="CY12" s="350">
        <v>0</v>
      </c>
      <c r="CZ12" s="350">
        <v>0</v>
      </c>
      <c r="DA12" s="350">
        <v>0</v>
      </c>
      <c r="DB12" s="350">
        <v>0</v>
      </c>
      <c r="DC12" s="350">
        <v>0</v>
      </c>
      <c r="DD12" s="350">
        <v>0</v>
      </c>
      <c r="DE12" s="350">
        <v>0</v>
      </c>
      <c r="DF12" s="350">
        <v>0</v>
      </c>
      <c r="DG12" s="350">
        <v>0</v>
      </c>
      <c r="DH12" s="350">
        <v>0</v>
      </c>
      <c r="DI12" s="350">
        <v>0</v>
      </c>
      <c r="DJ12" s="350">
        <v>0</v>
      </c>
      <c r="DK12" s="350">
        <v>0</v>
      </c>
      <c r="DL12" s="350">
        <v>0</v>
      </c>
      <c r="DM12" s="350">
        <v>0</v>
      </c>
      <c r="DN12" s="350">
        <v>0</v>
      </c>
      <c r="DO12" s="350">
        <v>0</v>
      </c>
      <c r="DP12" s="350">
        <v>24030</v>
      </c>
      <c r="DQ12" s="350">
        <v>0</v>
      </c>
      <c r="DR12" s="350">
        <v>0</v>
      </c>
      <c r="DS12" s="350">
        <v>0</v>
      </c>
      <c r="DT12" s="350">
        <v>0</v>
      </c>
      <c r="DU12" s="350">
        <v>0</v>
      </c>
      <c r="DV12" s="350">
        <v>0</v>
      </c>
      <c r="DW12" s="350">
        <v>83500</v>
      </c>
      <c r="DX12" s="350">
        <v>0</v>
      </c>
      <c r="DY12" s="350">
        <v>0</v>
      </c>
      <c r="DZ12" s="350">
        <v>19200</v>
      </c>
      <c r="EA12" s="350">
        <v>0</v>
      </c>
      <c r="EB12" s="350">
        <v>0</v>
      </c>
      <c r="EC12" s="350">
        <v>216270</v>
      </c>
      <c r="ED12" s="350">
        <v>0</v>
      </c>
      <c r="EE12" s="350">
        <v>0</v>
      </c>
      <c r="EF12" s="350">
        <v>0</v>
      </c>
      <c r="EG12" s="350">
        <v>0</v>
      </c>
      <c r="EH12" s="350">
        <v>0</v>
      </c>
      <c r="EI12" s="350">
        <v>0</v>
      </c>
      <c r="EJ12" s="350">
        <v>0</v>
      </c>
      <c r="EK12" s="350">
        <v>0</v>
      </c>
      <c r="EL12" s="350">
        <v>0</v>
      </c>
      <c r="EM12" s="350">
        <v>0</v>
      </c>
      <c r="EN12" s="350">
        <v>0</v>
      </c>
      <c r="EO12" s="350">
        <v>0</v>
      </c>
      <c r="EP12" s="350">
        <v>0</v>
      </c>
      <c r="EQ12" s="350">
        <v>0</v>
      </c>
      <c r="ER12" s="350">
        <v>0</v>
      </c>
      <c r="ES12" s="350">
        <v>0</v>
      </c>
      <c r="ET12" s="350">
        <v>0</v>
      </c>
      <c r="EU12" s="350">
        <v>0</v>
      </c>
      <c r="EV12" s="350">
        <v>0</v>
      </c>
      <c r="EW12" s="350">
        <v>0</v>
      </c>
      <c r="EX12" s="350">
        <v>0</v>
      </c>
      <c r="EY12" s="350">
        <v>0</v>
      </c>
      <c r="EZ12" s="350">
        <v>0</v>
      </c>
      <c r="FA12" s="350">
        <v>0</v>
      </c>
      <c r="FB12" s="350">
        <v>0</v>
      </c>
      <c r="FC12" s="350">
        <v>0</v>
      </c>
      <c r="FD12" s="350">
        <v>0</v>
      </c>
      <c r="FE12" s="350">
        <v>0</v>
      </c>
      <c r="FF12" s="350">
        <v>0</v>
      </c>
      <c r="FG12" s="350">
        <v>0</v>
      </c>
      <c r="FH12" s="350">
        <v>0</v>
      </c>
      <c r="FI12" s="350">
        <v>0</v>
      </c>
      <c r="FJ12" s="350">
        <v>0</v>
      </c>
      <c r="FK12" s="350">
        <v>0</v>
      </c>
      <c r="FL12" s="350">
        <v>0</v>
      </c>
      <c r="FM12" s="350">
        <v>0</v>
      </c>
      <c r="FN12" s="350">
        <v>0</v>
      </c>
      <c r="FO12" s="350">
        <v>0</v>
      </c>
      <c r="FP12" s="350">
        <v>0</v>
      </c>
      <c r="FQ12" s="350">
        <v>0</v>
      </c>
      <c r="FR12" s="350">
        <v>0</v>
      </c>
      <c r="FS12" s="350">
        <v>0</v>
      </c>
      <c r="FT12" s="350">
        <v>0</v>
      </c>
      <c r="FU12" s="350">
        <v>0</v>
      </c>
      <c r="FV12" s="350">
        <v>0</v>
      </c>
      <c r="FW12" s="350">
        <v>0</v>
      </c>
      <c r="FX12" s="350">
        <v>30140</v>
      </c>
      <c r="FY12" s="350">
        <v>0</v>
      </c>
      <c r="FZ12" s="350">
        <v>1800</v>
      </c>
      <c r="GA12" s="350">
        <v>0</v>
      </c>
      <c r="GB12" s="350">
        <v>0</v>
      </c>
      <c r="GC12" s="350">
        <v>0</v>
      </c>
      <c r="GD12" s="350">
        <v>0</v>
      </c>
      <c r="GE12" s="350">
        <v>0</v>
      </c>
      <c r="GF12" s="350">
        <v>0</v>
      </c>
      <c r="GG12" s="350">
        <v>0</v>
      </c>
      <c r="GH12" s="350">
        <v>0</v>
      </c>
      <c r="GI12" s="350">
        <v>0</v>
      </c>
      <c r="GJ12" s="350">
        <v>0</v>
      </c>
      <c r="GK12" s="350">
        <v>0</v>
      </c>
      <c r="GL12" s="350">
        <v>20000</v>
      </c>
      <c r="GM12" s="350">
        <v>0</v>
      </c>
      <c r="GN12" s="350">
        <v>0</v>
      </c>
      <c r="GO12" s="350">
        <v>0</v>
      </c>
      <c r="GP12" s="350">
        <v>0</v>
      </c>
      <c r="GQ12" s="350">
        <v>0</v>
      </c>
      <c r="GR12" s="350">
        <v>0</v>
      </c>
      <c r="GS12" s="350">
        <v>0</v>
      </c>
      <c r="GT12" s="350">
        <v>0</v>
      </c>
      <c r="GU12" s="350">
        <v>0</v>
      </c>
      <c r="GV12" s="350">
        <v>0</v>
      </c>
      <c r="GW12" s="350">
        <v>0</v>
      </c>
      <c r="GX12" s="350">
        <v>0</v>
      </c>
      <c r="GY12" s="350">
        <v>0</v>
      </c>
      <c r="GZ12" s="350">
        <v>0</v>
      </c>
      <c r="HA12" s="350">
        <v>0</v>
      </c>
      <c r="HB12" s="350">
        <v>0</v>
      </c>
      <c r="HC12" s="350">
        <v>0</v>
      </c>
      <c r="HD12" s="350">
        <v>0</v>
      </c>
      <c r="HE12" s="350">
        <v>0</v>
      </c>
      <c r="HF12" s="350">
        <v>0</v>
      </c>
      <c r="HG12" s="350">
        <v>0</v>
      </c>
      <c r="HH12" s="350">
        <v>0</v>
      </c>
      <c r="HI12" s="350">
        <v>0</v>
      </c>
      <c r="HJ12" s="350">
        <v>0</v>
      </c>
      <c r="HK12" s="350">
        <v>0</v>
      </c>
      <c r="HL12" s="350">
        <v>0</v>
      </c>
      <c r="HM12" s="350">
        <v>0</v>
      </c>
      <c r="HN12" s="350">
        <v>0</v>
      </c>
      <c r="HO12" s="350">
        <v>0</v>
      </c>
      <c r="HP12" s="350">
        <v>0</v>
      </c>
      <c r="HQ12" s="350">
        <v>0</v>
      </c>
      <c r="HR12" s="350">
        <v>0</v>
      </c>
      <c r="HS12" s="350">
        <v>0</v>
      </c>
      <c r="HT12" s="350">
        <v>0</v>
      </c>
      <c r="HU12" s="350">
        <v>0</v>
      </c>
      <c r="HV12" s="350">
        <v>0</v>
      </c>
      <c r="HW12" s="350">
        <v>0</v>
      </c>
      <c r="HX12" s="350">
        <v>0</v>
      </c>
      <c r="HY12" s="350">
        <v>0</v>
      </c>
      <c r="HZ12" s="350">
        <v>0</v>
      </c>
      <c r="IA12" s="350">
        <v>51750</v>
      </c>
      <c r="IB12" s="350">
        <v>0</v>
      </c>
      <c r="IC12" s="350">
        <v>0</v>
      </c>
      <c r="ID12" s="350">
        <v>0</v>
      </c>
      <c r="IE12" s="350">
        <v>0</v>
      </c>
      <c r="IF12" s="350">
        <v>69550</v>
      </c>
      <c r="IG12" s="350">
        <v>0</v>
      </c>
      <c r="IH12" s="350">
        <v>0</v>
      </c>
      <c r="II12" s="350">
        <v>0</v>
      </c>
      <c r="IJ12" s="350">
        <v>0</v>
      </c>
      <c r="IK12" s="350">
        <v>0</v>
      </c>
      <c r="IL12" s="350">
        <v>0</v>
      </c>
      <c r="IM12" s="351"/>
      <c r="IN12" s="350">
        <v>0</v>
      </c>
      <c r="IO12" s="350">
        <v>0</v>
      </c>
      <c r="IP12" s="350">
        <v>0</v>
      </c>
      <c r="IQ12" s="350">
        <v>0</v>
      </c>
      <c r="IR12" s="350">
        <v>0</v>
      </c>
      <c r="IS12" s="350">
        <v>0</v>
      </c>
      <c r="IT12" s="350">
        <v>57000</v>
      </c>
      <c r="IU12" s="350">
        <v>0</v>
      </c>
      <c r="IV12" s="350">
        <v>0</v>
      </c>
      <c r="IW12" s="350">
        <v>0</v>
      </c>
      <c r="IX12" s="350">
        <v>0</v>
      </c>
      <c r="IY12" s="350">
        <v>0</v>
      </c>
      <c r="IZ12" s="350">
        <v>0</v>
      </c>
      <c r="JA12" s="350">
        <v>0</v>
      </c>
      <c r="JB12" s="350">
        <v>0</v>
      </c>
      <c r="JC12" s="350">
        <v>0</v>
      </c>
      <c r="JD12" s="350">
        <v>0</v>
      </c>
      <c r="JE12" s="350">
        <v>0</v>
      </c>
      <c r="JF12" s="350">
        <v>0</v>
      </c>
      <c r="JG12" s="350">
        <v>0</v>
      </c>
      <c r="JH12" s="350">
        <v>0</v>
      </c>
      <c r="JI12" s="350">
        <v>0</v>
      </c>
      <c r="JJ12" s="350">
        <v>6000</v>
      </c>
      <c r="JK12" s="350">
        <v>0</v>
      </c>
      <c r="JL12" s="350">
        <v>0</v>
      </c>
      <c r="JM12" s="350">
        <v>0</v>
      </c>
      <c r="JN12" s="350">
        <v>0</v>
      </c>
      <c r="JO12" s="350">
        <v>0</v>
      </c>
      <c r="JP12" s="350">
        <v>0</v>
      </c>
      <c r="JQ12" s="350">
        <v>0</v>
      </c>
      <c r="JR12" s="351"/>
      <c r="JU12" s="348" t="s">
        <v>1848</v>
      </c>
      <c r="JV12" s="313">
        <f t="shared" si="2"/>
        <v>133678</v>
      </c>
      <c r="JW12" s="313">
        <f t="shared" si="1"/>
        <v>634650</v>
      </c>
      <c r="JX12" s="313">
        <f t="shared" si="1"/>
        <v>79200</v>
      </c>
      <c r="JY12" s="313">
        <f t="shared" si="1"/>
        <v>0</v>
      </c>
      <c r="JZ12" s="313">
        <f t="shared" si="1"/>
        <v>0</v>
      </c>
      <c r="KA12" s="313">
        <f t="shared" si="1"/>
        <v>0</v>
      </c>
      <c r="KB12" s="313">
        <f t="shared" si="1"/>
        <v>0</v>
      </c>
      <c r="KC12" s="313">
        <f t="shared" si="1"/>
        <v>0</v>
      </c>
      <c r="KD12" s="313">
        <f t="shared" si="1"/>
        <v>0</v>
      </c>
      <c r="KE12" s="313">
        <f t="shared" si="1"/>
        <v>107530</v>
      </c>
      <c r="KF12" s="313">
        <f t="shared" si="1"/>
        <v>0</v>
      </c>
      <c r="KG12" s="313">
        <f t="shared" si="1"/>
        <v>235470</v>
      </c>
      <c r="KH12" s="313">
        <f t="shared" si="1"/>
        <v>0</v>
      </c>
      <c r="KI12" s="313">
        <f t="shared" si="1"/>
        <v>30140</v>
      </c>
      <c r="KJ12" s="313">
        <f t="shared" si="1"/>
        <v>1800</v>
      </c>
      <c r="KK12" s="313">
        <f t="shared" si="1"/>
        <v>0</v>
      </c>
      <c r="KL12" s="313">
        <f t="shared" si="1"/>
        <v>20000</v>
      </c>
      <c r="KM12" s="313">
        <f t="shared" si="1"/>
        <v>0</v>
      </c>
      <c r="KN12" s="313">
        <f t="shared" si="1"/>
        <v>0</v>
      </c>
      <c r="KO12" s="313">
        <f t="shared" si="1"/>
        <v>0</v>
      </c>
      <c r="KP12" s="313">
        <f t="shared" si="1"/>
        <v>0</v>
      </c>
      <c r="KQ12" s="313">
        <f t="shared" si="1"/>
        <v>0</v>
      </c>
      <c r="KR12" s="313">
        <f t="shared" si="1"/>
        <v>0</v>
      </c>
      <c r="KS12" s="313">
        <f t="shared" si="1"/>
        <v>0</v>
      </c>
      <c r="KT12" s="313">
        <f t="shared" si="1"/>
        <v>0</v>
      </c>
      <c r="KU12" s="313">
        <f t="shared" si="1"/>
        <v>0</v>
      </c>
      <c r="KV12" s="313">
        <f t="shared" si="1"/>
        <v>0</v>
      </c>
      <c r="KW12" s="313">
        <f t="shared" si="1"/>
        <v>51750</v>
      </c>
      <c r="KX12" s="313">
        <f t="shared" si="1"/>
        <v>69550</v>
      </c>
      <c r="KY12" s="313">
        <f t="shared" si="1"/>
        <v>0</v>
      </c>
      <c r="KZ12" s="313">
        <f t="shared" si="1"/>
        <v>0</v>
      </c>
      <c r="LA12" s="313">
        <f t="shared" si="1"/>
        <v>63000</v>
      </c>
      <c r="LB12" s="313">
        <f t="shared" si="1"/>
        <v>0</v>
      </c>
      <c r="LC12" s="313">
        <f t="shared" si="1"/>
        <v>0</v>
      </c>
    </row>
    <row r="13" spans="1:315" x14ac:dyDescent="0.25">
      <c r="A13" s="313">
        <v>11</v>
      </c>
      <c r="B13" s="348" t="s">
        <v>1849</v>
      </c>
      <c r="C13" s="350">
        <v>626262.86</v>
      </c>
      <c r="D13" s="350">
        <v>66201.02</v>
      </c>
      <c r="E13" s="350">
        <v>0</v>
      </c>
      <c r="F13" s="350">
        <v>49094.29</v>
      </c>
      <c r="G13" s="350">
        <v>114086.73</v>
      </c>
      <c r="H13" s="350">
        <v>71131.48</v>
      </c>
      <c r="I13" s="350">
        <v>26693.5</v>
      </c>
      <c r="J13" s="350">
        <v>91009.56</v>
      </c>
      <c r="K13" s="350">
        <v>43362.79</v>
      </c>
      <c r="L13" s="350">
        <v>100414.17</v>
      </c>
      <c r="M13" s="350">
        <v>66174.929999999993</v>
      </c>
      <c r="N13" s="350">
        <v>218199.75</v>
      </c>
      <c r="O13" s="350">
        <v>107585.27</v>
      </c>
      <c r="P13" s="350">
        <v>77930.460000000006</v>
      </c>
      <c r="Q13" s="350">
        <v>74289.570000000007</v>
      </c>
      <c r="R13" s="350">
        <v>52580.62</v>
      </c>
      <c r="S13" s="350">
        <v>3500</v>
      </c>
      <c r="T13" s="350">
        <v>186438</v>
      </c>
      <c r="U13" s="350">
        <v>61225.97</v>
      </c>
      <c r="V13" s="350">
        <v>139418.54999999999</v>
      </c>
      <c r="W13" s="350">
        <v>56356.01</v>
      </c>
      <c r="X13" s="350">
        <v>56508.15</v>
      </c>
      <c r="Y13" s="350">
        <v>47259</v>
      </c>
      <c r="Z13" s="350">
        <v>85182</v>
      </c>
      <c r="AA13" s="350">
        <v>223490.65</v>
      </c>
      <c r="AB13" s="350">
        <v>160134</v>
      </c>
      <c r="AC13" s="350">
        <v>24098</v>
      </c>
      <c r="AD13" s="350">
        <v>87330.3</v>
      </c>
      <c r="AE13" s="350">
        <v>35885.599999999999</v>
      </c>
      <c r="AF13" s="350">
        <v>202661.63</v>
      </c>
      <c r="AG13" s="350">
        <v>136411</v>
      </c>
      <c r="AH13" s="350">
        <v>367518.38</v>
      </c>
      <c r="AI13" s="350">
        <v>191660</v>
      </c>
      <c r="AJ13" s="350">
        <v>218126.87</v>
      </c>
      <c r="AK13" s="350">
        <v>968514</v>
      </c>
      <c r="AL13" s="350">
        <v>62602</v>
      </c>
      <c r="AM13" s="350">
        <v>156995</v>
      </c>
      <c r="AN13" s="350">
        <v>340778.45</v>
      </c>
      <c r="AO13" s="350">
        <v>500440</v>
      </c>
      <c r="AP13" s="350">
        <v>250184</v>
      </c>
      <c r="AQ13" s="350">
        <v>398772.06</v>
      </c>
      <c r="AR13" s="350">
        <v>916390.61</v>
      </c>
      <c r="AS13" s="350">
        <v>0</v>
      </c>
      <c r="AT13" s="350">
        <v>219171</v>
      </c>
      <c r="AU13" s="350">
        <v>389841</v>
      </c>
      <c r="AV13" s="350">
        <v>293510</v>
      </c>
      <c r="AW13" s="351"/>
      <c r="AX13" s="350">
        <v>81655</v>
      </c>
      <c r="AY13" s="350">
        <v>436672</v>
      </c>
      <c r="AZ13" s="350">
        <v>629941</v>
      </c>
      <c r="BA13" s="350">
        <v>93981</v>
      </c>
      <c r="BB13" s="350">
        <v>796450</v>
      </c>
      <c r="BC13" s="350">
        <v>442040.95</v>
      </c>
      <c r="BD13" s="350">
        <v>422590</v>
      </c>
      <c r="BE13" s="350">
        <v>37317.18</v>
      </c>
      <c r="BF13" s="350">
        <v>0</v>
      </c>
      <c r="BG13" s="350">
        <v>52567</v>
      </c>
      <c r="BH13" s="350">
        <v>220427</v>
      </c>
      <c r="BI13" s="350">
        <v>451852.15</v>
      </c>
      <c r="BJ13" s="350">
        <v>19843.919999999998</v>
      </c>
      <c r="BK13" s="350">
        <v>82186</v>
      </c>
      <c r="BL13" s="350">
        <v>166924.18</v>
      </c>
      <c r="BM13" s="350">
        <v>271904.40999999997</v>
      </c>
      <c r="BN13" s="350">
        <v>44652.34</v>
      </c>
      <c r="BO13" s="350">
        <v>86728</v>
      </c>
      <c r="BP13" s="350">
        <v>91490</v>
      </c>
      <c r="BQ13" s="350">
        <v>264393.5</v>
      </c>
      <c r="BR13" s="350">
        <v>56251.53</v>
      </c>
      <c r="BS13" s="350">
        <v>391322</v>
      </c>
      <c r="BT13" s="350">
        <v>2150584</v>
      </c>
      <c r="BU13" s="350">
        <v>68768</v>
      </c>
      <c r="BV13" s="350">
        <v>849849.88</v>
      </c>
      <c r="BW13" s="350">
        <v>359934.9</v>
      </c>
      <c r="BX13" s="350">
        <v>40440</v>
      </c>
      <c r="BY13" s="350">
        <v>91409</v>
      </c>
      <c r="BZ13" s="350">
        <v>920199</v>
      </c>
      <c r="CA13" s="350">
        <v>392935</v>
      </c>
      <c r="CB13" s="350">
        <v>34737</v>
      </c>
      <c r="CC13" s="350">
        <v>216133</v>
      </c>
      <c r="CD13" s="350">
        <v>815260.73</v>
      </c>
      <c r="CE13" s="350">
        <v>66753</v>
      </c>
      <c r="CF13" s="350">
        <v>110606</v>
      </c>
      <c r="CG13" s="350">
        <v>171287.05</v>
      </c>
      <c r="CH13" s="350">
        <v>62370.52</v>
      </c>
      <c r="CI13" s="350">
        <v>725417</v>
      </c>
      <c r="CJ13" s="350">
        <v>74259</v>
      </c>
      <c r="CK13" s="350">
        <v>550720.91</v>
      </c>
      <c r="CL13" s="350">
        <v>19968</v>
      </c>
      <c r="CM13" s="350">
        <v>354211.68</v>
      </c>
      <c r="CN13" s="350">
        <v>67170.84</v>
      </c>
      <c r="CO13" s="350">
        <v>76534.14</v>
      </c>
      <c r="CP13" s="350">
        <v>134985.84</v>
      </c>
      <c r="CQ13" s="350">
        <v>270858</v>
      </c>
      <c r="CR13" s="350">
        <v>302232.53999999998</v>
      </c>
      <c r="CS13" s="350">
        <v>37538</v>
      </c>
      <c r="CT13" s="350">
        <v>146618</v>
      </c>
      <c r="CU13" s="350">
        <v>412543</v>
      </c>
      <c r="CV13" s="350">
        <v>207080</v>
      </c>
      <c r="CW13" s="350">
        <v>10141.39</v>
      </c>
      <c r="CX13" s="350">
        <v>258261</v>
      </c>
      <c r="CY13" s="350">
        <v>72930</v>
      </c>
      <c r="CZ13" s="350">
        <v>1158863</v>
      </c>
      <c r="DA13" s="350">
        <v>2481524</v>
      </c>
      <c r="DB13" s="350">
        <v>0</v>
      </c>
      <c r="DC13" s="350">
        <v>397822.92</v>
      </c>
      <c r="DD13" s="350">
        <v>0</v>
      </c>
      <c r="DE13" s="350">
        <v>145998</v>
      </c>
      <c r="DF13" s="350">
        <v>268806.45</v>
      </c>
      <c r="DG13" s="350">
        <v>0</v>
      </c>
      <c r="DH13" s="350">
        <v>10338</v>
      </c>
      <c r="DI13" s="350">
        <v>28316.3</v>
      </c>
      <c r="DJ13" s="350">
        <v>225205</v>
      </c>
      <c r="DK13" s="350">
        <v>78182</v>
      </c>
      <c r="DL13" s="350">
        <v>885503.17</v>
      </c>
      <c r="DM13" s="350">
        <v>265905.24</v>
      </c>
      <c r="DN13" s="350">
        <v>107219.61</v>
      </c>
      <c r="DO13" s="350">
        <v>23627</v>
      </c>
      <c r="DP13" s="350">
        <v>24875</v>
      </c>
      <c r="DQ13" s="350">
        <v>103306</v>
      </c>
      <c r="DR13" s="350">
        <v>319510.28000000003</v>
      </c>
      <c r="DS13" s="350">
        <v>123995.37</v>
      </c>
      <c r="DT13" s="350">
        <v>62437.34</v>
      </c>
      <c r="DU13" s="350">
        <v>400472.08</v>
      </c>
      <c r="DV13" s="350">
        <v>371450</v>
      </c>
      <c r="DW13" s="350">
        <v>1382580.24</v>
      </c>
      <c r="DX13" s="350">
        <v>261407</v>
      </c>
      <c r="DY13" s="350">
        <v>136267</v>
      </c>
      <c r="DZ13" s="350">
        <v>1369855.93</v>
      </c>
      <c r="EA13" s="350">
        <v>1083267</v>
      </c>
      <c r="EB13" s="350">
        <v>1229260</v>
      </c>
      <c r="EC13" s="350">
        <v>1468333.74</v>
      </c>
      <c r="ED13" s="350">
        <v>186106</v>
      </c>
      <c r="EE13" s="350">
        <v>694799.82</v>
      </c>
      <c r="EF13" s="350">
        <v>835356.23</v>
      </c>
      <c r="EG13" s="350">
        <v>538177</v>
      </c>
      <c r="EH13" s="350">
        <v>2454293</v>
      </c>
      <c r="EI13" s="350">
        <v>947398.72</v>
      </c>
      <c r="EJ13" s="350">
        <v>1057549.58</v>
      </c>
      <c r="EK13" s="350">
        <v>844791</v>
      </c>
      <c r="EL13" s="350">
        <v>472672</v>
      </c>
      <c r="EM13" s="350">
        <v>1069063.79</v>
      </c>
      <c r="EN13" s="350">
        <v>702370</v>
      </c>
      <c r="EO13" s="350">
        <v>2023366.34</v>
      </c>
      <c r="EP13" s="350">
        <v>622632</v>
      </c>
      <c r="EQ13" s="350">
        <v>2370560</v>
      </c>
      <c r="ER13" s="350">
        <v>960983.11</v>
      </c>
      <c r="ES13" s="350">
        <v>528524.59</v>
      </c>
      <c r="ET13" s="350">
        <v>318673</v>
      </c>
      <c r="EU13" s="350">
        <v>586821</v>
      </c>
      <c r="EV13" s="350">
        <v>909241.92</v>
      </c>
      <c r="EW13" s="350">
        <v>2643984</v>
      </c>
      <c r="EX13" s="350">
        <v>0</v>
      </c>
      <c r="EY13" s="350">
        <v>855488.39</v>
      </c>
      <c r="EZ13" s="350">
        <v>1327775.92</v>
      </c>
      <c r="FA13" s="350">
        <v>754621</v>
      </c>
      <c r="FB13" s="350">
        <v>5378581</v>
      </c>
      <c r="FC13" s="350">
        <v>619448</v>
      </c>
      <c r="FD13" s="350">
        <v>1159453</v>
      </c>
      <c r="FE13" s="350">
        <v>3055150</v>
      </c>
      <c r="FF13" s="350">
        <v>228933.24</v>
      </c>
      <c r="FG13" s="350">
        <v>2051121</v>
      </c>
      <c r="FH13" s="350">
        <v>306335</v>
      </c>
      <c r="FI13" s="350">
        <v>3080006</v>
      </c>
      <c r="FJ13" s="350">
        <v>987588.57</v>
      </c>
      <c r="FK13" s="350">
        <v>2364165.2999999998</v>
      </c>
      <c r="FL13" s="350">
        <v>1027688</v>
      </c>
      <c r="FM13" s="350">
        <v>734073</v>
      </c>
      <c r="FN13" s="350">
        <v>1366012</v>
      </c>
      <c r="FO13" s="350">
        <v>243081</v>
      </c>
      <c r="FP13" s="350">
        <v>847601</v>
      </c>
      <c r="FQ13" s="350">
        <v>995251.59</v>
      </c>
      <c r="FR13" s="350">
        <v>2224182</v>
      </c>
      <c r="FS13" s="350">
        <v>424920</v>
      </c>
      <c r="FT13" s="350">
        <v>1073262.32</v>
      </c>
      <c r="FU13" s="350">
        <v>139271</v>
      </c>
      <c r="FV13" s="350">
        <v>1233262</v>
      </c>
      <c r="FW13" s="350">
        <v>1142721</v>
      </c>
      <c r="FX13" s="350">
        <v>137234</v>
      </c>
      <c r="FY13" s="350">
        <v>2572385</v>
      </c>
      <c r="FZ13" s="350">
        <v>1436820.62</v>
      </c>
      <c r="GA13" s="350">
        <v>141830.5</v>
      </c>
      <c r="GB13" s="350">
        <v>52915</v>
      </c>
      <c r="GC13" s="350">
        <v>41719</v>
      </c>
      <c r="GD13" s="350">
        <v>123514</v>
      </c>
      <c r="GE13" s="350">
        <v>46002</v>
      </c>
      <c r="GF13" s="350">
        <v>216583</v>
      </c>
      <c r="GG13" s="350">
        <v>301412.84000000003</v>
      </c>
      <c r="GH13" s="350">
        <v>65294.17</v>
      </c>
      <c r="GI13" s="350">
        <v>166294.91</v>
      </c>
      <c r="GJ13" s="350">
        <v>193127</v>
      </c>
      <c r="GK13" s="350">
        <v>146191.54999999999</v>
      </c>
      <c r="GL13" s="350">
        <v>194760.5</v>
      </c>
      <c r="GM13" s="350">
        <v>10000</v>
      </c>
      <c r="GN13" s="350">
        <v>301566.36</v>
      </c>
      <c r="GO13" s="350">
        <v>480530</v>
      </c>
      <c r="GP13" s="350">
        <v>108501.18</v>
      </c>
      <c r="GQ13" s="350">
        <v>0</v>
      </c>
      <c r="GR13" s="350">
        <v>232353.06</v>
      </c>
      <c r="GS13" s="350">
        <v>741648.13</v>
      </c>
      <c r="GT13" s="350">
        <v>382392.87</v>
      </c>
      <c r="GU13" s="350">
        <v>566334.59</v>
      </c>
      <c r="GV13" s="350">
        <v>231630.13</v>
      </c>
      <c r="GW13" s="350">
        <v>66227</v>
      </c>
      <c r="GX13" s="350">
        <v>253754.13</v>
      </c>
      <c r="GY13" s="350">
        <v>221451.92</v>
      </c>
      <c r="GZ13" s="350">
        <v>43601.04</v>
      </c>
      <c r="HA13" s="350">
        <v>63280.18</v>
      </c>
      <c r="HB13" s="350">
        <v>289626.62</v>
      </c>
      <c r="HC13" s="350">
        <v>202646.15</v>
      </c>
      <c r="HD13" s="350">
        <v>0</v>
      </c>
      <c r="HE13" s="350">
        <v>100529.74</v>
      </c>
      <c r="HF13" s="350">
        <v>61605.13</v>
      </c>
      <c r="HG13" s="350">
        <v>67399.61</v>
      </c>
      <c r="HH13" s="350">
        <v>56634.01</v>
      </c>
      <c r="HI13" s="350">
        <v>174517.5</v>
      </c>
      <c r="HJ13" s="350">
        <v>488939</v>
      </c>
      <c r="HK13" s="350">
        <v>89987</v>
      </c>
      <c r="HL13" s="350">
        <v>285732.15999999997</v>
      </c>
      <c r="HM13" s="350">
        <v>45159.31</v>
      </c>
      <c r="HN13" s="350">
        <v>329431.59999999998</v>
      </c>
      <c r="HO13" s="350">
        <v>18376</v>
      </c>
      <c r="HP13" s="350">
        <v>4475.05</v>
      </c>
      <c r="HQ13" s="350">
        <v>26764.5</v>
      </c>
      <c r="HR13" s="350">
        <v>9050</v>
      </c>
      <c r="HS13" s="350">
        <v>0</v>
      </c>
      <c r="HT13" s="350">
        <v>323512.40000000002</v>
      </c>
      <c r="HU13" s="350">
        <v>68051.94</v>
      </c>
      <c r="HV13" s="350">
        <v>121552.87</v>
      </c>
      <c r="HW13" s="350">
        <v>138018.39000000001</v>
      </c>
      <c r="HX13" s="350">
        <v>47621.2</v>
      </c>
      <c r="HY13" s="350">
        <v>238796.43</v>
      </c>
      <c r="HZ13" s="350">
        <v>80377</v>
      </c>
      <c r="IA13" s="350">
        <v>114227.6</v>
      </c>
      <c r="IB13" s="350">
        <v>266142.61</v>
      </c>
      <c r="IC13" s="350">
        <v>352300.99</v>
      </c>
      <c r="ID13" s="350">
        <v>481285.41</v>
      </c>
      <c r="IE13" s="350">
        <v>105268</v>
      </c>
      <c r="IF13" s="350">
        <v>428800</v>
      </c>
      <c r="IG13" s="350">
        <v>178544.62</v>
      </c>
      <c r="IH13" s="350">
        <v>6500.07</v>
      </c>
      <c r="II13" s="350">
        <v>327182.02</v>
      </c>
      <c r="IJ13" s="350">
        <v>75106.19</v>
      </c>
      <c r="IK13" s="350">
        <v>964547</v>
      </c>
      <c r="IL13" s="350">
        <v>295486.27</v>
      </c>
      <c r="IM13" s="351"/>
      <c r="IN13" s="350">
        <v>160714.89000000001</v>
      </c>
      <c r="IO13" s="350">
        <v>96512</v>
      </c>
      <c r="IP13" s="350">
        <v>51044.43</v>
      </c>
      <c r="IQ13" s="350">
        <v>182872.08</v>
      </c>
      <c r="IR13" s="350">
        <v>157591.51999999999</v>
      </c>
      <c r="IS13" s="350">
        <v>6745</v>
      </c>
      <c r="IT13" s="350">
        <v>115031.37</v>
      </c>
      <c r="IU13" s="350">
        <v>122627.41</v>
      </c>
      <c r="IV13" s="350">
        <v>20989.360000000001</v>
      </c>
      <c r="IW13" s="350">
        <v>63221.09</v>
      </c>
      <c r="IX13" s="350">
        <v>31238</v>
      </c>
      <c r="IY13" s="350">
        <v>25203.8</v>
      </c>
      <c r="IZ13" s="350">
        <v>138913.1</v>
      </c>
      <c r="JA13" s="350">
        <v>332958.34000000003</v>
      </c>
      <c r="JB13" s="350">
        <v>505723.03</v>
      </c>
      <c r="JC13" s="350">
        <v>369994.61</v>
      </c>
      <c r="JD13" s="350">
        <v>84532.52</v>
      </c>
      <c r="JE13" s="350">
        <v>54883.88</v>
      </c>
      <c r="JF13" s="350">
        <v>85447.15</v>
      </c>
      <c r="JG13" s="350">
        <v>142509.14000000001</v>
      </c>
      <c r="JH13" s="350">
        <v>50063.99</v>
      </c>
      <c r="JI13" s="350">
        <v>183667.25</v>
      </c>
      <c r="JJ13" s="350">
        <v>24100</v>
      </c>
      <c r="JK13" s="350">
        <v>82230.899999999994</v>
      </c>
      <c r="JL13" s="350">
        <v>212677.6</v>
      </c>
      <c r="JM13" s="350">
        <v>178285</v>
      </c>
      <c r="JN13" s="350">
        <v>145202.26</v>
      </c>
      <c r="JO13" s="350">
        <v>163505.04</v>
      </c>
      <c r="JP13" s="350">
        <v>180182</v>
      </c>
      <c r="JQ13" s="350">
        <v>327642.31</v>
      </c>
      <c r="JR13" s="351"/>
      <c r="JU13" s="348" t="s">
        <v>1849</v>
      </c>
      <c r="JV13" s="313">
        <f t="shared" si="2"/>
        <v>2420904.6799999997</v>
      </c>
      <c r="JW13" s="313">
        <f t="shared" si="1"/>
        <v>530938.55000000005</v>
      </c>
      <c r="JX13" s="313">
        <f t="shared" si="1"/>
        <v>3794663.39</v>
      </c>
      <c r="JY13" s="313">
        <f t="shared" si="1"/>
        <v>14661765.760000002</v>
      </c>
      <c r="JZ13" s="313">
        <f t="shared" si="1"/>
        <v>374179.68</v>
      </c>
      <c r="KA13" s="313">
        <f t="shared" si="1"/>
        <v>67170.84</v>
      </c>
      <c r="KB13" s="313">
        <f t="shared" si="1"/>
        <v>211519.97999999998</v>
      </c>
      <c r="KC13" s="313">
        <f t="shared" si="1"/>
        <v>5756411.8499999996</v>
      </c>
      <c r="KD13" s="313">
        <f t="shared" si="1"/>
        <v>756845.75</v>
      </c>
      <c r="KE13" s="313">
        <f t="shared" si="1"/>
        <v>4332288.33</v>
      </c>
      <c r="KF13" s="313">
        <f t="shared" si="1"/>
        <v>136267</v>
      </c>
      <c r="KG13" s="313">
        <f t="shared" si="1"/>
        <v>11864397.020000001</v>
      </c>
      <c r="KH13" s="313">
        <f t="shared" si="1"/>
        <v>39350122.169999994</v>
      </c>
      <c r="KI13" s="313">
        <f t="shared" si="1"/>
        <v>11033170.91</v>
      </c>
      <c r="KJ13" s="313">
        <f t="shared" si="1"/>
        <v>2592386.04</v>
      </c>
      <c r="KK13" s="313">
        <f t="shared" si="1"/>
        <v>339318.55</v>
      </c>
      <c r="KL13" s="313">
        <f t="shared" si="1"/>
        <v>986856.86</v>
      </c>
      <c r="KM13" s="313">
        <f t="shared" si="1"/>
        <v>108501.18</v>
      </c>
      <c r="KN13" s="313">
        <f t="shared" si="1"/>
        <v>2220585.7799999998</v>
      </c>
      <c r="KO13" s="313">
        <f t="shared" si="1"/>
        <v>253754.13</v>
      </c>
      <c r="KP13" s="313">
        <f t="shared" si="1"/>
        <v>265052.96000000002</v>
      </c>
      <c r="KQ13" s="313">
        <f t="shared" si="1"/>
        <v>63280.18</v>
      </c>
      <c r="KR13" s="313">
        <f t="shared" si="1"/>
        <v>289626.62</v>
      </c>
      <c r="KS13" s="313">
        <f t="shared" si="1"/>
        <v>202646.15</v>
      </c>
      <c r="KT13" s="313">
        <f t="shared" si="1"/>
        <v>1370503.46</v>
      </c>
      <c r="KU13" s="313">
        <f t="shared" si="1"/>
        <v>352282.64999999997</v>
      </c>
      <c r="KV13" s="313">
        <f t="shared" si="1"/>
        <v>26764.5</v>
      </c>
      <c r="KW13" s="313">
        <f t="shared" si="1"/>
        <v>2346204.84</v>
      </c>
      <c r="KX13" s="313">
        <f t="shared" si="1"/>
        <v>607344.62</v>
      </c>
      <c r="KY13" s="313">
        <f t="shared" si="1"/>
        <v>408788.28</v>
      </c>
      <c r="KZ13" s="313">
        <f t="shared" si="1"/>
        <v>1260033.27</v>
      </c>
      <c r="LA13" s="313">
        <f t="shared" si="1"/>
        <v>3479777.4600000004</v>
      </c>
      <c r="LB13" s="313">
        <f t="shared" si="1"/>
        <v>816531.6100000001</v>
      </c>
      <c r="LC13" s="313">
        <f t="shared" si="1"/>
        <v>0</v>
      </c>
    </row>
    <row r="14" spans="1:315" ht="25.5" x14ac:dyDescent="0.25">
      <c r="A14" s="313">
        <v>12</v>
      </c>
      <c r="B14" s="348" t="s">
        <v>1850</v>
      </c>
      <c r="C14" s="350">
        <v>0</v>
      </c>
      <c r="D14" s="350">
        <v>31000</v>
      </c>
      <c r="E14" s="351"/>
      <c r="F14" s="350">
        <v>0</v>
      </c>
      <c r="G14" s="350">
        <v>54522</v>
      </c>
      <c r="H14" s="351"/>
      <c r="I14" s="350">
        <v>2520.9</v>
      </c>
      <c r="J14" s="350">
        <v>6122.4</v>
      </c>
      <c r="K14" s="350">
        <v>3361.2</v>
      </c>
      <c r="L14" s="351"/>
      <c r="M14" s="350">
        <v>0</v>
      </c>
      <c r="N14" s="351"/>
      <c r="O14" s="350">
        <v>64993.8</v>
      </c>
      <c r="P14" s="350">
        <v>0</v>
      </c>
      <c r="Q14" s="350">
        <v>0</v>
      </c>
      <c r="R14" s="350">
        <v>0</v>
      </c>
      <c r="S14" s="350">
        <v>0</v>
      </c>
      <c r="T14" s="350">
        <v>120853</v>
      </c>
      <c r="U14" s="350">
        <v>20000</v>
      </c>
      <c r="V14" s="350">
        <v>0</v>
      </c>
      <c r="W14" s="350">
        <v>0</v>
      </c>
      <c r="X14" s="350">
        <v>0</v>
      </c>
      <c r="Y14" s="350">
        <v>0</v>
      </c>
      <c r="Z14" s="350">
        <v>0</v>
      </c>
      <c r="AA14" s="350">
        <v>0</v>
      </c>
      <c r="AB14" s="350">
        <v>0</v>
      </c>
      <c r="AC14" s="350">
        <v>0</v>
      </c>
      <c r="AD14" s="350">
        <v>0</v>
      </c>
      <c r="AE14" s="350">
        <v>0</v>
      </c>
      <c r="AF14" s="350">
        <v>83150.399999999994</v>
      </c>
      <c r="AG14" s="351"/>
      <c r="AH14" s="350">
        <v>44063.9</v>
      </c>
      <c r="AI14" s="350">
        <v>0</v>
      </c>
      <c r="AJ14" s="350">
        <v>16805</v>
      </c>
      <c r="AK14" s="350">
        <v>0</v>
      </c>
      <c r="AL14" s="350">
        <v>0</v>
      </c>
      <c r="AM14" s="350">
        <v>0</v>
      </c>
      <c r="AN14" s="350">
        <v>60538</v>
      </c>
      <c r="AO14" s="350">
        <v>0</v>
      </c>
      <c r="AP14" s="350">
        <v>38569</v>
      </c>
      <c r="AQ14" s="350">
        <v>198637.56</v>
      </c>
      <c r="AR14" s="350">
        <v>0</v>
      </c>
      <c r="AS14" s="350">
        <v>0</v>
      </c>
      <c r="AT14" s="350">
        <v>136687</v>
      </c>
      <c r="AU14" s="351"/>
      <c r="AV14" s="350">
        <v>5143</v>
      </c>
      <c r="AW14" s="351"/>
      <c r="AX14" s="351"/>
      <c r="AY14" s="350">
        <v>0</v>
      </c>
      <c r="AZ14" s="351"/>
      <c r="BA14" s="351"/>
      <c r="BB14" s="350">
        <v>0</v>
      </c>
      <c r="BC14" s="350">
        <v>0</v>
      </c>
      <c r="BD14" s="350">
        <v>0</v>
      </c>
      <c r="BE14" s="350">
        <v>0</v>
      </c>
      <c r="BF14" s="350">
        <v>0</v>
      </c>
      <c r="BG14" s="350">
        <v>0</v>
      </c>
      <c r="BH14" s="350">
        <v>0</v>
      </c>
      <c r="BI14" s="351"/>
      <c r="BJ14" s="350">
        <v>0</v>
      </c>
      <c r="BK14" s="351"/>
      <c r="BL14" s="350">
        <v>3630</v>
      </c>
      <c r="BM14" s="350">
        <v>41800</v>
      </c>
      <c r="BN14" s="350">
        <v>0</v>
      </c>
      <c r="BO14" s="351"/>
      <c r="BP14" s="350">
        <v>0</v>
      </c>
      <c r="BQ14" s="350">
        <v>0</v>
      </c>
      <c r="BR14" s="350">
        <v>0</v>
      </c>
      <c r="BS14" s="350">
        <v>0</v>
      </c>
      <c r="BT14" s="350">
        <v>0</v>
      </c>
      <c r="BU14" s="350">
        <v>0</v>
      </c>
      <c r="BV14" s="350">
        <v>367889</v>
      </c>
      <c r="BW14" s="350">
        <v>97315.82</v>
      </c>
      <c r="BX14" s="350">
        <v>9075</v>
      </c>
      <c r="BY14" s="350">
        <v>0</v>
      </c>
      <c r="BZ14" s="350">
        <v>13966</v>
      </c>
      <c r="CA14" s="350">
        <v>185009</v>
      </c>
      <c r="CB14" s="351"/>
      <c r="CC14" s="351"/>
      <c r="CD14" s="350">
        <v>328405.46000000002</v>
      </c>
      <c r="CE14" s="350">
        <v>0</v>
      </c>
      <c r="CF14" s="351"/>
      <c r="CG14" s="351"/>
      <c r="CH14" s="350">
        <v>7573</v>
      </c>
      <c r="CI14" s="351"/>
      <c r="CJ14" s="350">
        <v>29046</v>
      </c>
      <c r="CK14" s="351"/>
      <c r="CL14" s="350">
        <v>0</v>
      </c>
      <c r="CM14" s="351"/>
      <c r="CN14" s="350">
        <v>0</v>
      </c>
      <c r="CO14" s="350">
        <v>28754.07</v>
      </c>
      <c r="CP14" s="350">
        <v>0</v>
      </c>
      <c r="CQ14" s="350">
        <v>37714</v>
      </c>
      <c r="CR14" s="350">
        <v>0</v>
      </c>
      <c r="CS14" s="350">
        <v>968</v>
      </c>
      <c r="CT14" s="350">
        <v>0</v>
      </c>
      <c r="CU14" s="351"/>
      <c r="CV14" s="350">
        <v>16708</v>
      </c>
      <c r="CW14" s="350">
        <v>0</v>
      </c>
      <c r="CX14" s="351"/>
      <c r="CY14" s="350">
        <v>0</v>
      </c>
      <c r="CZ14" s="350">
        <v>0</v>
      </c>
      <c r="DA14" s="350">
        <v>0</v>
      </c>
      <c r="DB14" s="351"/>
      <c r="DC14" s="350">
        <v>0</v>
      </c>
      <c r="DD14" s="351"/>
      <c r="DE14" s="351"/>
      <c r="DF14" s="350">
        <v>43954.27</v>
      </c>
      <c r="DG14" s="351"/>
      <c r="DH14" s="350">
        <v>0</v>
      </c>
      <c r="DI14" s="351"/>
      <c r="DJ14" s="351"/>
      <c r="DK14" s="351"/>
      <c r="DL14" s="350">
        <v>270238.8</v>
      </c>
      <c r="DM14" s="350">
        <v>0</v>
      </c>
      <c r="DN14" s="350">
        <v>39550</v>
      </c>
      <c r="DO14" s="350">
        <v>19064</v>
      </c>
      <c r="DP14" s="351"/>
      <c r="DQ14" s="350">
        <v>5459</v>
      </c>
      <c r="DR14" s="350">
        <v>34323.78</v>
      </c>
      <c r="DS14" s="350">
        <v>92578.99</v>
      </c>
      <c r="DT14" s="351"/>
      <c r="DU14" s="350">
        <v>0</v>
      </c>
      <c r="DV14" s="350">
        <v>90600</v>
      </c>
      <c r="DW14" s="350">
        <v>502213.08</v>
      </c>
      <c r="DX14" s="350">
        <v>0</v>
      </c>
      <c r="DY14" s="350">
        <v>12028</v>
      </c>
      <c r="DZ14" s="351"/>
      <c r="EA14" s="350">
        <v>150856</v>
      </c>
      <c r="EB14" s="350">
        <v>103045</v>
      </c>
      <c r="EC14" s="351"/>
      <c r="ED14" s="350">
        <v>28842</v>
      </c>
      <c r="EE14" s="351"/>
      <c r="EF14" s="351"/>
      <c r="EG14" s="350">
        <v>35822</v>
      </c>
      <c r="EH14" s="350">
        <v>0</v>
      </c>
      <c r="EI14" s="351"/>
      <c r="EJ14" s="351"/>
      <c r="EK14" s="351"/>
      <c r="EL14" s="350">
        <v>200970</v>
      </c>
      <c r="EM14" s="350">
        <v>0</v>
      </c>
      <c r="EN14" s="350">
        <v>0</v>
      </c>
      <c r="EO14" s="351"/>
      <c r="EP14" s="350">
        <v>91198</v>
      </c>
      <c r="EQ14" s="350">
        <v>45798</v>
      </c>
      <c r="ER14" s="350">
        <v>0</v>
      </c>
      <c r="ES14" s="350">
        <v>16628</v>
      </c>
      <c r="ET14" s="350">
        <v>0</v>
      </c>
      <c r="EU14" s="350">
        <v>0</v>
      </c>
      <c r="EV14" s="351"/>
      <c r="EW14" s="351"/>
      <c r="EX14" s="350">
        <v>0</v>
      </c>
      <c r="EY14" s="350">
        <v>0</v>
      </c>
      <c r="EZ14" s="350">
        <v>0</v>
      </c>
      <c r="FA14" s="350">
        <v>19602</v>
      </c>
      <c r="FB14" s="350">
        <v>5074770</v>
      </c>
      <c r="FC14" s="350">
        <v>0</v>
      </c>
      <c r="FD14" s="350">
        <v>93835</v>
      </c>
      <c r="FE14" s="351"/>
      <c r="FF14" s="350">
        <v>0</v>
      </c>
      <c r="FG14" s="351"/>
      <c r="FH14" s="350">
        <v>30225</v>
      </c>
      <c r="FI14" s="351"/>
      <c r="FJ14" s="351"/>
      <c r="FK14" s="350">
        <v>142464</v>
      </c>
      <c r="FL14" s="351"/>
      <c r="FM14" s="350">
        <v>62454</v>
      </c>
      <c r="FN14" s="350">
        <v>0</v>
      </c>
      <c r="FO14" s="350">
        <v>142496</v>
      </c>
      <c r="FP14" s="351"/>
      <c r="FQ14" s="350">
        <v>39132</v>
      </c>
      <c r="FR14" s="351"/>
      <c r="FS14" s="350">
        <v>0</v>
      </c>
      <c r="FT14" s="350">
        <v>155800</v>
      </c>
      <c r="FU14" s="350">
        <v>3630</v>
      </c>
      <c r="FV14" s="350">
        <v>104383</v>
      </c>
      <c r="FW14" s="350">
        <v>0</v>
      </c>
      <c r="FX14" s="350">
        <v>0</v>
      </c>
      <c r="FY14" s="351"/>
      <c r="FZ14" s="351"/>
      <c r="GA14" s="351"/>
      <c r="GB14" s="350">
        <v>8854</v>
      </c>
      <c r="GC14" s="351"/>
      <c r="GD14" s="350">
        <v>0</v>
      </c>
      <c r="GE14" s="350">
        <v>0</v>
      </c>
      <c r="GF14" s="350">
        <v>48420</v>
      </c>
      <c r="GG14" s="350">
        <v>0</v>
      </c>
      <c r="GH14" s="351"/>
      <c r="GI14" s="350">
        <v>103524.36</v>
      </c>
      <c r="GJ14" s="350">
        <v>0</v>
      </c>
      <c r="GK14" s="350">
        <v>0</v>
      </c>
      <c r="GL14" s="351"/>
      <c r="GM14" s="350">
        <v>1000</v>
      </c>
      <c r="GN14" s="350">
        <v>35622.92</v>
      </c>
      <c r="GO14" s="350">
        <v>182452</v>
      </c>
      <c r="GP14" s="350">
        <v>0</v>
      </c>
      <c r="GQ14" s="351"/>
      <c r="GR14" s="350">
        <v>12100</v>
      </c>
      <c r="GS14" s="350">
        <v>461950</v>
      </c>
      <c r="GT14" s="350">
        <v>158593</v>
      </c>
      <c r="GU14" s="350">
        <v>142.53</v>
      </c>
      <c r="GV14" s="351"/>
      <c r="GW14" s="350">
        <v>2789</v>
      </c>
      <c r="GX14" s="350">
        <v>77753.600000000006</v>
      </c>
      <c r="GY14" s="351"/>
      <c r="GZ14" s="350">
        <v>0</v>
      </c>
      <c r="HA14" s="350">
        <v>37996.199999999997</v>
      </c>
      <c r="HB14" s="350">
        <v>150856</v>
      </c>
      <c r="HC14" s="350">
        <v>83541</v>
      </c>
      <c r="HD14" s="351"/>
      <c r="HE14" s="350">
        <v>6722.4</v>
      </c>
      <c r="HF14" s="350">
        <v>4988.29</v>
      </c>
      <c r="HG14" s="350">
        <v>5094.78</v>
      </c>
      <c r="HH14" s="350">
        <v>4988.29</v>
      </c>
      <c r="HI14" s="350">
        <v>0</v>
      </c>
      <c r="HJ14" s="351"/>
      <c r="HK14" s="350">
        <v>0</v>
      </c>
      <c r="HL14" s="350">
        <v>0</v>
      </c>
      <c r="HM14" s="350">
        <v>0</v>
      </c>
      <c r="HN14" s="350">
        <v>140411</v>
      </c>
      <c r="HO14" s="350">
        <v>983</v>
      </c>
      <c r="HP14" s="350">
        <v>0</v>
      </c>
      <c r="HQ14" s="351"/>
      <c r="HR14" s="350">
        <v>0</v>
      </c>
      <c r="HS14" s="351"/>
      <c r="HT14" s="350">
        <v>114514.24000000001</v>
      </c>
      <c r="HU14" s="350">
        <v>7328.91</v>
      </c>
      <c r="HV14" s="351"/>
      <c r="HW14" s="350">
        <v>11763.2</v>
      </c>
      <c r="HX14" s="350">
        <v>0</v>
      </c>
      <c r="HY14" s="350">
        <v>23532.720000000001</v>
      </c>
      <c r="HZ14" s="351"/>
      <c r="IA14" s="350">
        <v>0</v>
      </c>
      <c r="IB14" s="350">
        <v>0</v>
      </c>
      <c r="IC14" s="350">
        <v>0</v>
      </c>
      <c r="ID14" s="350">
        <v>0</v>
      </c>
      <c r="IE14" s="351"/>
      <c r="IF14" s="351"/>
      <c r="IG14" s="350">
        <v>0</v>
      </c>
      <c r="IH14" s="351"/>
      <c r="II14" s="350">
        <v>20166.2</v>
      </c>
      <c r="IJ14" s="350">
        <v>38338.75</v>
      </c>
      <c r="IK14" s="350">
        <v>573304</v>
      </c>
      <c r="IL14" s="351"/>
      <c r="IM14" s="351"/>
      <c r="IN14" s="350">
        <v>62362.8</v>
      </c>
      <c r="IO14" s="350">
        <v>47970</v>
      </c>
      <c r="IP14" s="351"/>
      <c r="IQ14" s="350">
        <v>29000</v>
      </c>
      <c r="IR14" s="350">
        <v>20807.36</v>
      </c>
      <c r="IS14" s="350">
        <v>0</v>
      </c>
      <c r="IT14" s="351"/>
      <c r="IU14" s="350">
        <v>0</v>
      </c>
      <c r="IV14" s="350">
        <v>0</v>
      </c>
      <c r="IW14" s="350">
        <v>12700</v>
      </c>
      <c r="IX14" s="350">
        <v>0</v>
      </c>
      <c r="IY14" s="350">
        <v>5517</v>
      </c>
      <c r="IZ14" s="350">
        <v>57262</v>
      </c>
      <c r="JA14" s="350">
        <v>0</v>
      </c>
      <c r="JB14" s="350">
        <v>0</v>
      </c>
      <c r="JC14" s="350">
        <v>0</v>
      </c>
      <c r="JD14" s="350">
        <v>38338.79</v>
      </c>
      <c r="JE14" s="350">
        <v>28754.07</v>
      </c>
      <c r="JF14" s="350">
        <v>38338.82</v>
      </c>
      <c r="JG14" s="350">
        <v>57853</v>
      </c>
      <c r="JH14" s="350">
        <v>0</v>
      </c>
      <c r="JI14" s="351"/>
      <c r="JJ14" s="350">
        <v>0</v>
      </c>
      <c r="JK14" s="350">
        <v>0</v>
      </c>
      <c r="JL14" s="350">
        <v>84115.81</v>
      </c>
      <c r="JM14" s="350">
        <v>0</v>
      </c>
      <c r="JN14" s="350">
        <v>54523</v>
      </c>
      <c r="JO14" s="350">
        <v>0</v>
      </c>
      <c r="JP14" s="350">
        <v>0</v>
      </c>
      <c r="JQ14" s="350">
        <v>117102</v>
      </c>
      <c r="JR14" s="351"/>
      <c r="JU14" s="348" t="s">
        <v>1850</v>
      </c>
      <c r="JV14" s="313">
        <f t="shared" si="2"/>
        <v>303373.3</v>
      </c>
      <c r="JW14" s="313">
        <f t="shared" si="1"/>
        <v>0</v>
      </c>
      <c r="JX14" s="313">
        <f t="shared" si="1"/>
        <v>441763.86</v>
      </c>
      <c r="JY14" s="313">
        <f t="shared" si="1"/>
        <v>1225539.28</v>
      </c>
      <c r="JZ14" s="313">
        <f t="shared" si="1"/>
        <v>0</v>
      </c>
      <c r="KA14" s="313">
        <f t="shared" si="1"/>
        <v>0</v>
      </c>
      <c r="KB14" s="313">
        <f t="shared" si="1"/>
        <v>28754.07</v>
      </c>
      <c r="KC14" s="313">
        <f t="shared" ref="JW14:LC21" si="3">SUMIFS($C14:$JR14,$C$2:$JR$2,KC$2)</f>
        <v>55390</v>
      </c>
      <c r="KD14" s="313">
        <f t="shared" si="3"/>
        <v>43954.27</v>
      </c>
      <c r="KE14" s="313">
        <f t="shared" si="3"/>
        <v>1054027.6499999999</v>
      </c>
      <c r="KF14" s="313">
        <f t="shared" si="3"/>
        <v>12028</v>
      </c>
      <c r="KG14" s="313">
        <f t="shared" si="3"/>
        <v>318565</v>
      </c>
      <c r="KH14" s="313">
        <f t="shared" si="3"/>
        <v>5777944</v>
      </c>
      <c r="KI14" s="313">
        <f t="shared" si="3"/>
        <v>445441</v>
      </c>
      <c r="KJ14" s="313">
        <f t="shared" si="3"/>
        <v>160798.35999999999</v>
      </c>
      <c r="KK14" s="313">
        <f t="shared" si="3"/>
        <v>0</v>
      </c>
      <c r="KL14" s="313">
        <f t="shared" si="3"/>
        <v>219074.91999999998</v>
      </c>
      <c r="KM14" s="313">
        <f t="shared" si="3"/>
        <v>0</v>
      </c>
      <c r="KN14" s="313">
        <f t="shared" si="3"/>
        <v>635574.53</v>
      </c>
      <c r="KO14" s="313">
        <f t="shared" si="3"/>
        <v>77753.600000000006</v>
      </c>
      <c r="KP14" s="313">
        <f t="shared" si="3"/>
        <v>0</v>
      </c>
      <c r="KQ14" s="313">
        <f t="shared" si="3"/>
        <v>37996.199999999997</v>
      </c>
      <c r="KR14" s="313">
        <f t="shared" si="3"/>
        <v>150856</v>
      </c>
      <c r="KS14" s="313">
        <f t="shared" si="3"/>
        <v>83541</v>
      </c>
      <c r="KT14" s="313">
        <f t="shared" si="3"/>
        <v>21793.759999999998</v>
      </c>
      <c r="KU14" s="313">
        <f t="shared" si="3"/>
        <v>141394</v>
      </c>
      <c r="KV14" s="313">
        <f t="shared" si="3"/>
        <v>0</v>
      </c>
      <c r="KW14" s="313">
        <f t="shared" si="3"/>
        <v>157139.07</v>
      </c>
      <c r="KX14" s="313">
        <f t="shared" si="3"/>
        <v>0</v>
      </c>
      <c r="KY14" s="313">
        <f t="shared" si="3"/>
        <v>58504.95</v>
      </c>
      <c r="KZ14" s="313">
        <f t="shared" si="3"/>
        <v>573304</v>
      </c>
      <c r="LA14" s="313">
        <f t="shared" si="3"/>
        <v>483019.64999999997</v>
      </c>
      <c r="LB14" s="313">
        <f t="shared" si="3"/>
        <v>171625</v>
      </c>
      <c r="LC14" s="313">
        <f t="shared" si="3"/>
        <v>0</v>
      </c>
    </row>
    <row r="15" spans="1:315" x14ac:dyDescent="0.25">
      <c r="A15" s="313">
        <v>13</v>
      </c>
      <c r="B15" s="348" t="s">
        <v>1851</v>
      </c>
      <c r="C15" s="350">
        <v>0</v>
      </c>
      <c r="D15" s="350">
        <v>0</v>
      </c>
      <c r="E15" s="351"/>
      <c r="F15" s="350">
        <v>0</v>
      </c>
      <c r="G15" s="350">
        <v>0</v>
      </c>
      <c r="H15" s="351"/>
      <c r="I15" s="350">
        <v>0</v>
      </c>
      <c r="J15" s="350">
        <v>0</v>
      </c>
      <c r="K15" s="350">
        <v>0</v>
      </c>
      <c r="L15" s="351"/>
      <c r="M15" s="350">
        <v>0</v>
      </c>
      <c r="N15" s="351"/>
      <c r="O15" s="350">
        <v>0</v>
      </c>
      <c r="P15" s="350">
        <v>0</v>
      </c>
      <c r="Q15" s="350">
        <v>0</v>
      </c>
      <c r="R15" s="350">
        <v>0</v>
      </c>
      <c r="S15" s="350">
        <v>0</v>
      </c>
      <c r="T15" s="350">
        <v>0</v>
      </c>
      <c r="U15" s="350">
        <v>0</v>
      </c>
      <c r="V15" s="350">
        <v>0</v>
      </c>
      <c r="W15" s="350">
        <v>0</v>
      </c>
      <c r="X15" s="350">
        <v>0</v>
      </c>
      <c r="Y15" s="350">
        <v>0</v>
      </c>
      <c r="Z15" s="350">
        <v>0</v>
      </c>
      <c r="AA15" s="350">
        <v>0</v>
      </c>
      <c r="AB15" s="350">
        <v>0</v>
      </c>
      <c r="AC15" s="350">
        <v>0</v>
      </c>
      <c r="AD15" s="350">
        <v>0</v>
      </c>
      <c r="AE15" s="350">
        <v>0</v>
      </c>
      <c r="AF15" s="350">
        <v>0</v>
      </c>
      <c r="AG15" s="351"/>
      <c r="AH15" s="350">
        <v>0</v>
      </c>
      <c r="AI15" s="350">
        <v>0</v>
      </c>
      <c r="AJ15" s="350">
        <v>0</v>
      </c>
      <c r="AK15" s="350">
        <v>0</v>
      </c>
      <c r="AL15" s="350">
        <v>0</v>
      </c>
      <c r="AM15" s="350">
        <v>0</v>
      </c>
      <c r="AN15" s="350">
        <v>0</v>
      </c>
      <c r="AO15" s="350">
        <v>0</v>
      </c>
      <c r="AP15" s="350">
        <v>0</v>
      </c>
      <c r="AQ15" s="350">
        <v>0</v>
      </c>
      <c r="AR15" s="350">
        <v>0</v>
      </c>
      <c r="AS15" s="350">
        <v>0</v>
      </c>
      <c r="AT15" s="350">
        <v>72496</v>
      </c>
      <c r="AU15" s="351"/>
      <c r="AV15" s="350">
        <v>0</v>
      </c>
      <c r="AW15" s="351"/>
      <c r="AX15" s="351"/>
      <c r="AY15" s="350">
        <v>377763</v>
      </c>
      <c r="AZ15" s="351"/>
      <c r="BA15" s="351"/>
      <c r="BB15" s="350">
        <v>583704</v>
      </c>
      <c r="BC15" s="350">
        <v>0</v>
      </c>
      <c r="BD15" s="350">
        <v>0</v>
      </c>
      <c r="BE15" s="350">
        <v>0</v>
      </c>
      <c r="BF15" s="350">
        <v>0</v>
      </c>
      <c r="BG15" s="350">
        <v>0</v>
      </c>
      <c r="BH15" s="350">
        <v>220178</v>
      </c>
      <c r="BI15" s="351"/>
      <c r="BJ15" s="350">
        <v>0</v>
      </c>
      <c r="BK15" s="351"/>
      <c r="BL15" s="350">
        <v>0</v>
      </c>
      <c r="BM15" s="350">
        <v>0</v>
      </c>
      <c r="BN15" s="350">
        <v>0</v>
      </c>
      <c r="BO15" s="351"/>
      <c r="BP15" s="350">
        <v>0</v>
      </c>
      <c r="BQ15" s="350">
        <v>0</v>
      </c>
      <c r="BR15" s="350">
        <v>0</v>
      </c>
      <c r="BS15" s="350">
        <v>0</v>
      </c>
      <c r="BT15" s="350">
        <v>1959521</v>
      </c>
      <c r="BU15" s="350">
        <v>0</v>
      </c>
      <c r="BV15" s="350">
        <v>0</v>
      </c>
      <c r="BW15" s="350">
        <v>0</v>
      </c>
      <c r="BX15" s="350">
        <v>0</v>
      </c>
      <c r="BY15" s="350">
        <v>0</v>
      </c>
      <c r="BZ15" s="350">
        <v>572927</v>
      </c>
      <c r="CA15" s="350">
        <v>0</v>
      </c>
      <c r="CB15" s="351"/>
      <c r="CC15" s="351"/>
      <c r="CD15" s="350">
        <v>0</v>
      </c>
      <c r="CE15" s="350">
        <v>0</v>
      </c>
      <c r="CF15" s="351"/>
      <c r="CG15" s="351"/>
      <c r="CH15" s="350">
        <v>0</v>
      </c>
      <c r="CI15" s="351"/>
      <c r="CJ15" s="350">
        <v>0</v>
      </c>
      <c r="CK15" s="351"/>
      <c r="CL15" s="350">
        <v>0</v>
      </c>
      <c r="CM15" s="351"/>
      <c r="CN15" s="350">
        <v>0</v>
      </c>
      <c r="CO15" s="350">
        <v>0</v>
      </c>
      <c r="CP15" s="350">
        <v>0</v>
      </c>
      <c r="CQ15" s="350">
        <v>82807</v>
      </c>
      <c r="CR15" s="350">
        <v>0</v>
      </c>
      <c r="CS15" s="350">
        <v>0</v>
      </c>
      <c r="CT15" s="350">
        <v>0</v>
      </c>
      <c r="CU15" s="351"/>
      <c r="CV15" s="350">
        <v>0</v>
      </c>
      <c r="CW15" s="350">
        <v>0</v>
      </c>
      <c r="CX15" s="351"/>
      <c r="CY15" s="350">
        <v>0</v>
      </c>
      <c r="CZ15" s="350">
        <v>557293</v>
      </c>
      <c r="DA15" s="350">
        <v>1425623</v>
      </c>
      <c r="DB15" s="351"/>
      <c r="DC15" s="350">
        <v>0</v>
      </c>
      <c r="DD15" s="351"/>
      <c r="DE15" s="351"/>
      <c r="DF15" s="350">
        <v>0</v>
      </c>
      <c r="DG15" s="351"/>
      <c r="DH15" s="350">
        <v>0</v>
      </c>
      <c r="DI15" s="351"/>
      <c r="DJ15" s="351"/>
      <c r="DK15" s="351"/>
      <c r="DL15" s="350">
        <v>195492</v>
      </c>
      <c r="DM15" s="350">
        <v>0</v>
      </c>
      <c r="DN15" s="350">
        <v>0</v>
      </c>
      <c r="DO15" s="350">
        <v>1512</v>
      </c>
      <c r="DP15" s="351"/>
      <c r="DQ15" s="350">
        <v>0</v>
      </c>
      <c r="DR15" s="350">
        <v>156152</v>
      </c>
      <c r="DS15" s="350">
        <v>0</v>
      </c>
      <c r="DT15" s="351"/>
      <c r="DU15" s="350">
        <v>0</v>
      </c>
      <c r="DV15" s="350">
        <v>0</v>
      </c>
      <c r="DW15" s="350">
        <v>0</v>
      </c>
      <c r="DX15" s="350">
        <v>0</v>
      </c>
      <c r="DY15" s="350">
        <v>0</v>
      </c>
      <c r="DZ15" s="351"/>
      <c r="EA15" s="350">
        <v>331228</v>
      </c>
      <c r="EB15" s="350">
        <v>0</v>
      </c>
      <c r="EC15" s="351"/>
      <c r="ED15" s="350">
        <v>0</v>
      </c>
      <c r="EE15" s="351"/>
      <c r="EF15" s="351"/>
      <c r="EG15" s="350">
        <v>0</v>
      </c>
      <c r="EH15" s="350">
        <v>1765014</v>
      </c>
      <c r="EI15" s="351"/>
      <c r="EJ15" s="351"/>
      <c r="EK15" s="351"/>
      <c r="EL15" s="350">
        <v>179146</v>
      </c>
      <c r="EM15" s="350">
        <v>0</v>
      </c>
      <c r="EN15" s="350">
        <v>0</v>
      </c>
      <c r="EO15" s="351"/>
      <c r="EP15" s="350">
        <v>0</v>
      </c>
      <c r="EQ15" s="350">
        <v>1603822</v>
      </c>
      <c r="ER15" s="350">
        <v>0</v>
      </c>
      <c r="ES15" s="350">
        <v>0</v>
      </c>
      <c r="ET15" s="350">
        <v>0</v>
      </c>
      <c r="EU15" s="350">
        <v>0</v>
      </c>
      <c r="EV15" s="351"/>
      <c r="EW15" s="351"/>
      <c r="EX15" s="350">
        <v>0</v>
      </c>
      <c r="EY15" s="350">
        <v>0</v>
      </c>
      <c r="EZ15" s="350">
        <v>0</v>
      </c>
      <c r="FA15" s="350">
        <v>0</v>
      </c>
      <c r="FB15" s="350">
        <v>0</v>
      </c>
      <c r="FC15" s="350">
        <v>0</v>
      </c>
      <c r="FD15" s="350">
        <v>0</v>
      </c>
      <c r="FE15" s="351"/>
      <c r="FF15" s="350">
        <v>0</v>
      </c>
      <c r="FG15" s="351"/>
      <c r="FH15" s="350">
        <v>0</v>
      </c>
      <c r="FI15" s="351"/>
      <c r="FJ15" s="351"/>
      <c r="FK15" s="350">
        <v>1746946</v>
      </c>
      <c r="FL15" s="351"/>
      <c r="FM15" s="350">
        <v>0</v>
      </c>
      <c r="FN15" s="350">
        <v>0</v>
      </c>
      <c r="FO15" s="350">
        <v>81330</v>
      </c>
      <c r="FP15" s="351"/>
      <c r="FQ15" s="350">
        <v>0</v>
      </c>
      <c r="FR15" s="351"/>
      <c r="FS15" s="350">
        <v>0</v>
      </c>
      <c r="FT15" s="350">
        <v>0</v>
      </c>
      <c r="FU15" s="350">
        <v>0</v>
      </c>
      <c r="FV15" s="350">
        <v>0</v>
      </c>
      <c r="FW15" s="350">
        <v>0</v>
      </c>
      <c r="FX15" s="350">
        <v>0</v>
      </c>
      <c r="FY15" s="351"/>
      <c r="FZ15" s="351"/>
      <c r="GA15" s="351"/>
      <c r="GB15" s="350">
        <v>0</v>
      </c>
      <c r="GC15" s="351"/>
      <c r="GD15" s="350">
        <v>0</v>
      </c>
      <c r="GE15" s="350">
        <v>0</v>
      </c>
      <c r="GF15" s="350">
        <v>0</v>
      </c>
      <c r="GG15" s="350">
        <v>0</v>
      </c>
      <c r="GH15" s="351"/>
      <c r="GI15" s="350">
        <v>0</v>
      </c>
      <c r="GJ15" s="350">
        <v>0</v>
      </c>
      <c r="GK15" s="350">
        <v>93103.55</v>
      </c>
      <c r="GL15" s="351"/>
      <c r="GM15" s="350">
        <v>0</v>
      </c>
      <c r="GN15" s="350">
        <v>0</v>
      </c>
      <c r="GO15" s="350">
        <v>0</v>
      </c>
      <c r="GP15" s="350">
        <v>0</v>
      </c>
      <c r="GQ15" s="351"/>
      <c r="GR15" s="350">
        <v>0</v>
      </c>
      <c r="GS15" s="350">
        <v>0</v>
      </c>
      <c r="GT15" s="350">
        <v>0</v>
      </c>
      <c r="GU15" s="350">
        <v>0</v>
      </c>
      <c r="GV15" s="351"/>
      <c r="GW15" s="350">
        <v>0</v>
      </c>
      <c r="GX15" s="350">
        <v>0</v>
      </c>
      <c r="GY15" s="351"/>
      <c r="GZ15" s="350">
        <v>0</v>
      </c>
      <c r="HA15" s="350">
        <v>0</v>
      </c>
      <c r="HB15" s="350">
        <v>0</v>
      </c>
      <c r="HC15" s="350">
        <v>0</v>
      </c>
      <c r="HD15" s="351"/>
      <c r="HE15" s="350">
        <v>0</v>
      </c>
      <c r="HF15" s="350">
        <v>0</v>
      </c>
      <c r="HG15" s="350">
        <v>0</v>
      </c>
      <c r="HH15" s="350">
        <v>0</v>
      </c>
      <c r="HI15" s="350">
        <v>0</v>
      </c>
      <c r="HJ15" s="351"/>
      <c r="HK15" s="350">
        <v>0</v>
      </c>
      <c r="HL15" s="350">
        <v>0</v>
      </c>
      <c r="HM15" s="350">
        <v>0</v>
      </c>
      <c r="HN15" s="350">
        <v>0</v>
      </c>
      <c r="HO15" s="350">
        <v>0</v>
      </c>
      <c r="HP15" s="350">
        <v>0</v>
      </c>
      <c r="HQ15" s="351"/>
      <c r="HR15" s="350">
        <v>0</v>
      </c>
      <c r="HS15" s="351"/>
      <c r="HT15" s="350">
        <v>0</v>
      </c>
      <c r="HU15" s="350">
        <v>0</v>
      </c>
      <c r="HV15" s="351"/>
      <c r="HW15" s="350">
        <v>0</v>
      </c>
      <c r="HX15" s="350">
        <v>0</v>
      </c>
      <c r="HY15" s="350">
        <v>0</v>
      </c>
      <c r="HZ15" s="351"/>
      <c r="IA15" s="350">
        <v>0</v>
      </c>
      <c r="IB15" s="350">
        <v>0</v>
      </c>
      <c r="IC15" s="350">
        <v>0</v>
      </c>
      <c r="ID15" s="350">
        <v>0</v>
      </c>
      <c r="IE15" s="351"/>
      <c r="IF15" s="351"/>
      <c r="IG15" s="350">
        <v>0</v>
      </c>
      <c r="IH15" s="351"/>
      <c r="II15" s="350">
        <v>0</v>
      </c>
      <c r="IJ15" s="350">
        <v>0</v>
      </c>
      <c r="IK15" s="350">
        <v>0</v>
      </c>
      <c r="IL15" s="351"/>
      <c r="IM15" s="351"/>
      <c r="IN15" s="350">
        <v>0</v>
      </c>
      <c r="IO15" s="350">
        <v>0</v>
      </c>
      <c r="IP15" s="351"/>
      <c r="IQ15" s="350">
        <v>0</v>
      </c>
      <c r="IR15" s="350">
        <v>0</v>
      </c>
      <c r="IS15" s="350">
        <v>0</v>
      </c>
      <c r="IT15" s="351"/>
      <c r="IU15" s="350">
        <v>0</v>
      </c>
      <c r="IV15" s="350">
        <v>0</v>
      </c>
      <c r="IW15" s="350">
        <v>0</v>
      </c>
      <c r="IX15" s="350">
        <v>0</v>
      </c>
      <c r="IY15" s="350">
        <v>0</v>
      </c>
      <c r="IZ15" s="350">
        <v>0</v>
      </c>
      <c r="JA15" s="350">
        <v>0</v>
      </c>
      <c r="JB15" s="350">
        <v>0</v>
      </c>
      <c r="JC15" s="350">
        <v>0</v>
      </c>
      <c r="JD15" s="350">
        <v>0</v>
      </c>
      <c r="JE15" s="350">
        <v>0</v>
      </c>
      <c r="JF15" s="350">
        <v>0</v>
      </c>
      <c r="JG15" s="350">
        <v>0</v>
      </c>
      <c r="JH15" s="350">
        <v>0</v>
      </c>
      <c r="JI15" s="351"/>
      <c r="JJ15" s="350">
        <v>0</v>
      </c>
      <c r="JK15" s="350">
        <v>0</v>
      </c>
      <c r="JL15" s="350">
        <v>0</v>
      </c>
      <c r="JM15" s="350">
        <v>0</v>
      </c>
      <c r="JN15" s="350">
        <v>0</v>
      </c>
      <c r="JO15" s="350">
        <v>0</v>
      </c>
      <c r="JP15" s="350">
        <v>0</v>
      </c>
      <c r="JQ15" s="350">
        <v>0</v>
      </c>
      <c r="JR15" s="351"/>
      <c r="JU15" s="348" t="s">
        <v>1851</v>
      </c>
      <c r="JV15" s="313">
        <f t="shared" si="2"/>
        <v>0</v>
      </c>
      <c r="JW15" s="313">
        <f t="shared" si="3"/>
        <v>0</v>
      </c>
      <c r="JX15" s="313">
        <f t="shared" si="3"/>
        <v>0</v>
      </c>
      <c r="JY15" s="313">
        <f t="shared" si="3"/>
        <v>3786589</v>
      </c>
      <c r="JZ15" s="313">
        <f t="shared" si="3"/>
        <v>0</v>
      </c>
      <c r="KA15" s="313">
        <f t="shared" si="3"/>
        <v>0</v>
      </c>
      <c r="KB15" s="313">
        <f t="shared" si="3"/>
        <v>0</v>
      </c>
      <c r="KC15" s="313">
        <f t="shared" si="3"/>
        <v>2065723</v>
      </c>
      <c r="KD15" s="313">
        <f t="shared" si="3"/>
        <v>0</v>
      </c>
      <c r="KE15" s="313">
        <f t="shared" si="3"/>
        <v>353156</v>
      </c>
      <c r="KF15" s="313">
        <f t="shared" si="3"/>
        <v>0</v>
      </c>
      <c r="KG15" s="313">
        <f t="shared" si="3"/>
        <v>2096242</v>
      </c>
      <c r="KH15" s="313">
        <f t="shared" si="3"/>
        <v>3529914</v>
      </c>
      <c r="KI15" s="313">
        <f t="shared" si="3"/>
        <v>81330</v>
      </c>
      <c r="KJ15" s="313">
        <f t="shared" si="3"/>
        <v>0</v>
      </c>
      <c r="KK15" s="313">
        <f t="shared" si="3"/>
        <v>93103.55</v>
      </c>
      <c r="KL15" s="313">
        <f t="shared" si="3"/>
        <v>0</v>
      </c>
      <c r="KM15" s="313">
        <f t="shared" si="3"/>
        <v>0</v>
      </c>
      <c r="KN15" s="313">
        <f t="shared" si="3"/>
        <v>0</v>
      </c>
      <c r="KO15" s="313">
        <f t="shared" si="3"/>
        <v>0</v>
      </c>
      <c r="KP15" s="313">
        <f t="shared" si="3"/>
        <v>0</v>
      </c>
      <c r="KQ15" s="313">
        <f t="shared" si="3"/>
        <v>0</v>
      </c>
      <c r="KR15" s="313">
        <f t="shared" si="3"/>
        <v>0</v>
      </c>
      <c r="KS15" s="313">
        <f t="shared" si="3"/>
        <v>0</v>
      </c>
      <c r="KT15" s="313">
        <f t="shared" si="3"/>
        <v>0</v>
      </c>
      <c r="KU15" s="313">
        <f t="shared" si="3"/>
        <v>0</v>
      </c>
      <c r="KV15" s="313">
        <f t="shared" si="3"/>
        <v>0</v>
      </c>
      <c r="KW15" s="313">
        <f t="shared" si="3"/>
        <v>0</v>
      </c>
      <c r="KX15" s="313">
        <f t="shared" si="3"/>
        <v>0</v>
      </c>
      <c r="KY15" s="313">
        <f t="shared" si="3"/>
        <v>0</v>
      </c>
      <c r="KZ15" s="313">
        <f t="shared" si="3"/>
        <v>0</v>
      </c>
      <c r="LA15" s="313">
        <f t="shared" si="3"/>
        <v>0</v>
      </c>
      <c r="LB15" s="313">
        <f t="shared" si="3"/>
        <v>0</v>
      </c>
      <c r="LC15" s="313">
        <f t="shared" si="3"/>
        <v>0</v>
      </c>
    </row>
    <row r="16" spans="1:315" x14ac:dyDescent="0.25">
      <c r="A16" s="313">
        <v>14</v>
      </c>
      <c r="B16" s="348" t="s">
        <v>1852</v>
      </c>
      <c r="C16" s="350">
        <v>0</v>
      </c>
      <c r="D16" s="350">
        <v>0</v>
      </c>
      <c r="E16" s="350">
        <v>0</v>
      </c>
      <c r="F16" s="350">
        <v>26491.82</v>
      </c>
      <c r="G16" s="350">
        <v>0</v>
      </c>
      <c r="H16" s="350">
        <v>34800</v>
      </c>
      <c r="I16" s="350">
        <v>0</v>
      </c>
      <c r="J16" s="350">
        <v>0</v>
      </c>
      <c r="K16" s="350">
        <v>0</v>
      </c>
      <c r="L16" s="350">
        <v>0</v>
      </c>
      <c r="M16" s="350">
        <v>0</v>
      </c>
      <c r="N16" s="350">
        <v>0</v>
      </c>
      <c r="O16" s="350">
        <v>0</v>
      </c>
      <c r="P16" s="350">
        <v>0</v>
      </c>
      <c r="Q16" s="350">
        <v>0</v>
      </c>
      <c r="R16" s="350">
        <v>0</v>
      </c>
      <c r="S16" s="350">
        <v>0</v>
      </c>
      <c r="T16" s="350">
        <v>0</v>
      </c>
      <c r="U16" s="350">
        <v>29016</v>
      </c>
      <c r="V16" s="350">
        <v>0</v>
      </c>
      <c r="W16" s="350">
        <v>0</v>
      </c>
      <c r="X16" s="350">
        <v>0</v>
      </c>
      <c r="Y16" s="350">
        <v>0</v>
      </c>
      <c r="Z16" s="350">
        <v>110526</v>
      </c>
      <c r="AA16" s="350">
        <v>0</v>
      </c>
      <c r="AB16" s="350">
        <v>0</v>
      </c>
      <c r="AC16" s="350">
        <v>0</v>
      </c>
      <c r="AD16" s="350">
        <v>0</v>
      </c>
      <c r="AE16" s="350">
        <v>133896</v>
      </c>
      <c r="AF16" s="350">
        <v>10007.280000000001</v>
      </c>
      <c r="AG16" s="350">
        <v>0</v>
      </c>
      <c r="AH16" s="350">
        <v>0</v>
      </c>
      <c r="AI16" s="350">
        <v>34590</v>
      </c>
      <c r="AJ16" s="350">
        <v>28400</v>
      </c>
      <c r="AK16" s="350">
        <v>0</v>
      </c>
      <c r="AL16" s="350">
        <v>265350</v>
      </c>
      <c r="AM16" s="350">
        <v>0</v>
      </c>
      <c r="AN16" s="350">
        <v>128646</v>
      </c>
      <c r="AO16" s="350">
        <v>0</v>
      </c>
      <c r="AP16" s="350">
        <v>389533</v>
      </c>
      <c r="AQ16" s="350">
        <v>0</v>
      </c>
      <c r="AR16" s="350">
        <v>225136</v>
      </c>
      <c r="AS16" s="350">
        <v>62553</v>
      </c>
      <c r="AT16" s="350">
        <v>130840</v>
      </c>
      <c r="AU16" s="350">
        <v>86209</v>
      </c>
      <c r="AV16" s="350">
        <v>135748</v>
      </c>
      <c r="AW16" s="351"/>
      <c r="AX16" s="350">
        <v>1116</v>
      </c>
      <c r="AY16" s="350">
        <v>0</v>
      </c>
      <c r="AZ16" s="350">
        <v>97456</v>
      </c>
      <c r="BA16" s="350">
        <v>10100</v>
      </c>
      <c r="BB16" s="350">
        <v>0</v>
      </c>
      <c r="BC16" s="350">
        <v>57392.85</v>
      </c>
      <c r="BD16" s="350">
        <v>0</v>
      </c>
      <c r="BE16" s="350">
        <v>0</v>
      </c>
      <c r="BF16" s="350">
        <v>0</v>
      </c>
      <c r="BG16" s="350">
        <v>0</v>
      </c>
      <c r="BH16" s="350">
        <v>0</v>
      </c>
      <c r="BI16" s="350">
        <v>0</v>
      </c>
      <c r="BJ16" s="350">
        <v>0</v>
      </c>
      <c r="BK16" s="350">
        <v>0</v>
      </c>
      <c r="BL16" s="350">
        <v>0</v>
      </c>
      <c r="BM16" s="350">
        <v>0</v>
      </c>
      <c r="BN16" s="350">
        <v>51153</v>
      </c>
      <c r="BO16" s="350">
        <v>0</v>
      </c>
      <c r="BP16" s="350">
        <v>0</v>
      </c>
      <c r="BQ16" s="350">
        <v>0</v>
      </c>
      <c r="BR16" s="350">
        <v>11844</v>
      </c>
      <c r="BS16" s="350">
        <v>148047</v>
      </c>
      <c r="BT16" s="350">
        <v>21387</v>
      </c>
      <c r="BU16" s="350">
        <v>60000</v>
      </c>
      <c r="BV16" s="350">
        <v>411872</v>
      </c>
      <c r="BW16" s="350">
        <v>240150</v>
      </c>
      <c r="BX16" s="350">
        <v>54700</v>
      </c>
      <c r="BY16" s="350">
        <v>566888</v>
      </c>
      <c r="BZ16" s="350">
        <v>131201</v>
      </c>
      <c r="CA16" s="350">
        <v>217766</v>
      </c>
      <c r="CB16" s="350">
        <v>12780</v>
      </c>
      <c r="CC16" s="350">
        <v>56479</v>
      </c>
      <c r="CD16" s="350">
        <v>201502.04</v>
      </c>
      <c r="CE16" s="350">
        <v>0</v>
      </c>
      <c r="CF16" s="350">
        <v>21124</v>
      </c>
      <c r="CG16" s="350">
        <v>190623.38</v>
      </c>
      <c r="CH16" s="350">
        <v>19223</v>
      </c>
      <c r="CI16" s="350">
        <v>65619</v>
      </c>
      <c r="CJ16" s="350">
        <v>17046</v>
      </c>
      <c r="CK16" s="350">
        <v>184628</v>
      </c>
      <c r="CL16" s="350">
        <v>873</v>
      </c>
      <c r="CM16" s="350">
        <v>0</v>
      </c>
      <c r="CN16" s="350">
        <v>0</v>
      </c>
      <c r="CO16" s="350">
        <v>0</v>
      </c>
      <c r="CP16" s="350">
        <v>0</v>
      </c>
      <c r="CQ16" s="350">
        <v>65492</v>
      </c>
      <c r="CR16" s="350">
        <v>311639.39</v>
      </c>
      <c r="CS16" s="350">
        <v>49823</v>
      </c>
      <c r="CT16" s="350">
        <v>86669</v>
      </c>
      <c r="CU16" s="350">
        <v>18473</v>
      </c>
      <c r="CV16" s="350">
        <v>112750</v>
      </c>
      <c r="CW16" s="350">
        <v>0</v>
      </c>
      <c r="CX16" s="350">
        <v>0</v>
      </c>
      <c r="CY16" s="350">
        <v>0</v>
      </c>
      <c r="CZ16" s="350">
        <v>1804932</v>
      </c>
      <c r="DA16" s="350">
        <v>887659</v>
      </c>
      <c r="DB16" s="350">
        <v>0</v>
      </c>
      <c r="DC16" s="350">
        <v>0</v>
      </c>
      <c r="DD16" s="350">
        <v>0</v>
      </c>
      <c r="DE16" s="350">
        <v>234940</v>
      </c>
      <c r="DF16" s="350">
        <v>0</v>
      </c>
      <c r="DG16" s="350">
        <v>18473</v>
      </c>
      <c r="DH16" s="350">
        <v>0</v>
      </c>
      <c r="DI16" s="350">
        <v>0</v>
      </c>
      <c r="DJ16" s="350">
        <v>0</v>
      </c>
      <c r="DK16" s="350">
        <v>9875</v>
      </c>
      <c r="DL16" s="350">
        <v>59313.68</v>
      </c>
      <c r="DM16" s="350">
        <v>0</v>
      </c>
      <c r="DN16" s="350">
        <v>0</v>
      </c>
      <c r="DO16" s="350">
        <v>0</v>
      </c>
      <c r="DP16" s="350">
        <v>0</v>
      </c>
      <c r="DQ16" s="350">
        <v>50111</v>
      </c>
      <c r="DR16" s="350">
        <v>38219</v>
      </c>
      <c r="DS16" s="350">
        <v>18585.38</v>
      </c>
      <c r="DT16" s="350">
        <v>36836.699999999997</v>
      </c>
      <c r="DU16" s="350">
        <v>164492</v>
      </c>
      <c r="DV16" s="350">
        <v>297600</v>
      </c>
      <c r="DW16" s="350">
        <v>0</v>
      </c>
      <c r="DX16" s="350">
        <v>552626</v>
      </c>
      <c r="DY16" s="350">
        <v>87695</v>
      </c>
      <c r="DZ16" s="350">
        <v>1435154</v>
      </c>
      <c r="EA16" s="350">
        <v>261968</v>
      </c>
      <c r="EB16" s="350">
        <v>1561056</v>
      </c>
      <c r="EC16" s="350">
        <v>2166036</v>
      </c>
      <c r="ED16" s="350">
        <v>136286</v>
      </c>
      <c r="EE16" s="350">
        <v>2478569</v>
      </c>
      <c r="EF16" s="350">
        <v>4377523.3099999996</v>
      </c>
      <c r="EG16" s="350">
        <v>888609</v>
      </c>
      <c r="EH16" s="350">
        <v>3093999</v>
      </c>
      <c r="EI16" s="350">
        <v>2407730</v>
      </c>
      <c r="EJ16" s="350">
        <v>1890867</v>
      </c>
      <c r="EK16" s="350">
        <v>143490</v>
      </c>
      <c r="EL16" s="350">
        <v>428140</v>
      </c>
      <c r="EM16" s="350">
        <v>680621.03</v>
      </c>
      <c r="EN16" s="350">
        <v>529734</v>
      </c>
      <c r="EO16" s="350">
        <v>1277910</v>
      </c>
      <c r="EP16" s="350">
        <v>579913</v>
      </c>
      <c r="EQ16" s="350">
        <v>594820</v>
      </c>
      <c r="ER16" s="350">
        <v>470064.75</v>
      </c>
      <c r="ES16" s="350">
        <v>345612</v>
      </c>
      <c r="ET16" s="350">
        <v>319569</v>
      </c>
      <c r="EU16" s="350">
        <v>653322</v>
      </c>
      <c r="EV16" s="350">
        <v>1846573.2</v>
      </c>
      <c r="EW16" s="350">
        <v>856773</v>
      </c>
      <c r="EX16" s="350">
        <v>31976</v>
      </c>
      <c r="EY16" s="350">
        <v>366816</v>
      </c>
      <c r="EZ16" s="350">
        <v>2709633</v>
      </c>
      <c r="FA16" s="350">
        <v>1008917</v>
      </c>
      <c r="FB16" s="350">
        <v>3690012</v>
      </c>
      <c r="FC16" s="350">
        <v>578022</v>
      </c>
      <c r="FD16" s="350">
        <v>1282207</v>
      </c>
      <c r="FE16" s="350">
        <v>148425</v>
      </c>
      <c r="FF16" s="350">
        <v>44787</v>
      </c>
      <c r="FG16" s="350">
        <v>182962</v>
      </c>
      <c r="FH16" s="350">
        <v>269312</v>
      </c>
      <c r="FI16" s="350">
        <v>162736</v>
      </c>
      <c r="FJ16" s="350">
        <v>253439.32</v>
      </c>
      <c r="FK16" s="350">
        <v>44112</v>
      </c>
      <c r="FL16" s="350">
        <v>166996</v>
      </c>
      <c r="FM16" s="350">
        <v>1980396</v>
      </c>
      <c r="FN16" s="350">
        <v>126289</v>
      </c>
      <c r="FO16" s="350">
        <v>228648</v>
      </c>
      <c r="FP16" s="350">
        <v>1560613</v>
      </c>
      <c r="FQ16" s="350">
        <v>1410012</v>
      </c>
      <c r="FR16" s="350">
        <v>1677488</v>
      </c>
      <c r="FS16" s="350">
        <v>472830</v>
      </c>
      <c r="FT16" s="350">
        <v>1140103.2</v>
      </c>
      <c r="FU16" s="350">
        <v>186836</v>
      </c>
      <c r="FV16" s="350">
        <v>735332</v>
      </c>
      <c r="FW16" s="350">
        <v>1207554</v>
      </c>
      <c r="FX16" s="350">
        <v>39696</v>
      </c>
      <c r="FY16" s="350">
        <v>162735</v>
      </c>
      <c r="FZ16" s="350">
        <v>518724</v>
      </c>
      <c r="GA16" s="350">
        <v>63516</v>
      </c>
      <c r="GB16" s="350">
        <v>0</v>
      </c>
      <c r="GC16" s="350">
        <v>236623</v>
      </c>
      <c r="GD16" s="350">
        <v>27486</v>
      </c>
      <c r="GE16" s="350">
        <v>177246</v>
      </c>
      <c r="GF16" s="350">
        <v>567570</v>
      </c>
      <c r="GG16" s="350">
        <v>0</v>
      </c>
      <c r="GH16" s="350">
        <v>23107.599999999999</v>
      </c>
      <c r="GI16" s="350">
        <v>0</v>
      </c>
      <c r="GJ16" s="350">
        <v>0</v>
      </c>
      <c r="GK16" s="350">
        <v>1351</v>
      </c>
      <c r="GL16" s="350">
        <v>206208</v>
      </c>
      <c r="GM16" s="350">
        <v>20000</v>
      </c>
      <c r="GN16" s="350">
        <v>0</v>
      </c>
      <c r="GO16" s="350">
        <v>147458</v>
      </c>
      <c r="GP16" s="350">
        <v>0</v>
      </c>
      <c r="GQ16" s="350">
        <v>0</v>
      </c>
      <c r="GR16" s="350">
        <v>58464</v>
      </c>
      <c r="GS16" s="350">
        <v>72204</v>
      </c>
      <c r="GT16" s="350">
        <v>19645</v>
      </c>
      <c r="GU16" s="350">
        <v>0</v>
      </c>
      <c r="GV16" s="350">
        <v>0</v>
      </c>
      <c r="GW16" s="350">
        <v>23485</v>
      </c>
      <c r="GX16" s="350">
        <v>0</v>
      </c>
      <c r="GY16" s="350">
        <v>0</v>
      </c>
      <c r="GZ16" s="350">
        <v>133884</v>
      </c>
      <c r="HA16" s="350">
        <v>0</v>
      </c>
      <c r="HB16" s="350">
        <v>36363</v>
      </c>
      <c r="HC16" s="350">
        <v>7858</v>
      </c>
      <c r="HD16" s="350">
        <v>0</v>
      </c>
      <c r="HE16" s="350">
        <v>0</v>
      </c>
      <c r="HF16" s="350">
        <v>1392.6</v>
      </c>
      <c r="HG16" s="350">
        <v>1434.8</v>
      </c>
      <c r="HH16" s="350">
        <v>1392.6</v>
      </c>
      <c r="HI16" s="350">
        <v>0</v>
      </c>
      <c r="HJ16" s="350">
        <v>0</v>
      </c>
      <c r="HK16" s="350">
        <v>0</v>
      </c>
      <c r="HL16" s="350">
        <v>0</v>
      </c>
      <c r="HM16" s="350">
        <v>133884</v>
      </c>
      <c r="HN16" s="350">
        <v>29677</v>
      </c>
      <c r="HO16" s="350">
        <v>8981</v>
      </c>
      <c r="HP16" s="350">
        <v>0</v>
      </c>
      <c r="HQ16" s="350">
        <v>0</v>
      </c>
      <c r="HR16" s="350">
        <v>0</v>
      </c>
      <c r="HS16" s="350">
        <v>0</v>
      </c>
      <c r="HT16" s="350">
        <v>134001</v>
      </c>
      <c r="HU16" s="350">
        <v>0</v>
      </c>
      <c r="HV16" s="350">
        <v>2688</v>
      </c>
      <c r="HW16" s="350">
        <v>0</v>
      </c>
      <c r="HX16" s="350">
        <v>0</v>
      </c>
      <c r="HY16" s="350">
        <v>74592</v>
      </c>
      <c r="HZ16" s="350">
        <v>75518</v>
      </c>
      <c r="IA16" s="350">
        <v>0</v>
      </c>
      <c r="IB16" s="350">
        <v>0</v>
      </c>
      <c r="IC16" s="350">
        <v>0</v>
      </c>
      <c r="ID16" s="350">
        <v>0</v>
      </c>
      <c r="IE16" s="350">
        <v>0</v>
      </c>
      <c r="IF16" s="350">
        <v>0</v>
      </c>
      <c r="IG16" s="350">
        <v>0</v>
      </c>
      <c r="IH16" s="350">
        <v>10812</v>
      </c>
      <c r="II16" s="350">
        <v>24700</v>
      </c>
      <c r="IJ16" s="350">
        <v>0</v>
      </c>
      <c r="IK16" s="350">
        <v>0</v>
      </c>
      <c r="IL16" s="350">
        <v>0</v>
      </c>
      <c r="IM16" s="351"/>
      <c r="IN16" s="350">
        <v>13603.44</v>
      </c>
      <c r="IO16" s="350">
        <v>0</v>
      </c>
      <c r="IP16" s="350">
        <v>37044</v>
      </c>
      <c r="IQ16" s="350">
        <v>0</v>
      </c>
      <c r="IR16" s="350">
        <v>0</v>
      </c>
      <c r="IS16" s="350">
        <v>0</v>
      </c>
      <c r="IT16" s="350">
        <v>0</v>
      </c>
      <c r="IU16" s="350">
        <v>0</v>
      </c>
      <c r="IV16" s="350">
        <v>0</v>
      </c>
      <c r="IW16" s="350">
        <v>0</v>
      </c>
      <c r="IX16" s="350">
        <v>0</v>
      </c>
      <c r="IY16" s="350">
        <v>0</v>
      </c>
      <c r="IZ16" s="350">
        <v>4776</v>
      </c>
      <c r="JA16" s="350">
        <v>0</v>
      </c>
      <c r="JB16" s="350">
        <v>39565</v>
      </c>
      <c r="JC16" s="350">
        <v>0</v>
      </c>
      <c r="JD16" s="350">
        <v>0</v>
      </c>
      <c r="JE16" s="350">
        <v>0</v>
      </c>
      <c r="JF16" s="350">
        <v>0</v>
      </c>
      <c r="JG16" s="350">
        <v>0</v>
      </c>
      <c r="JH16" s="350">
        <v>169619</v>
      </c>
      <c r="JI16" s="350">
        <v>0</v>
      </c>
      <c r="JJ16" s="350">
        <v>0</v>
      </c>
      <c r="JK16" s="350">
        <v>0</v>
      </c>
      <c r="JL16" s="350">
        <v>28332.75</v>
      </c>
      <c r="JM16" s="350">
        <v>442104</v>
      </c>
      <c r="JN16" s="350">
        <v>96584</v>
      </c>
      <c r="JO16" s="350">
        <v>34800</v>
      </c>
      <c r="JP16" s="350">
        <v>212796</v>
      </c>
      <c r="JQ16" s="350">
        <v>110352</v>
      </c>
      <c r="JR16" s="351"/>
      <c r="JU16" s="348" t="s">
        <v>1852</v>
      </c>
      <c r="JV16" s="313">
        <f t="shared" si="2"/>
        <v>200833.82</v>
      </c>
      <c r="JW16" s="313">
        <f t="shared" si="3"/>
        <v>133896</v>
      </c>
      <c r="JX16" s="313">
        <f t="shared" si="3"/>
        <v>856526.28</v>
      </c>
      <c r="JY16" s="313">
        <f t="shared" si="3"/>
        <v>3490583.27</v>
      </c>
      <c r="JZ16" s="313">
        <f t="shared" si="3"/>
        <v>873</v>
      </c>
      <c r="KA16" s="313">
        <f t="shared" si="3"/>
        <v>0</v>
      </c>
      <c r="KB16" s="313">
        <f t="shared" si="3"/>
        <v>0</v>
      </c>
      <c r="KC16" s="313">
        <f t="shared" si="3"/>
        <v>3337437.39</v>
      </c>
      <c r="KD16" s="313">
        <f t="shared" si="3"/>
        <v>263288</v>
      </c>
      <c r="KE16" s="313">
        <f t="shared" si="3"/>
        <v>1217783.76</v>
      </c>
      <c r="KF16" s="313">
        <f t="shared" si="3"/>
        <v>87695</v>
      </c>
      <c r="KG16" s="313">
        <f t="shared" si="3"/>
        <v>20697797.309999999</v>
      </c>
      <c r="KH16" s="313">
        <f t="shared" si="3"/>
        <v>21773579.300000001</v>
      </c>
      <c r="KI16" s="313">
        <f t="shared" si="3"/>
        <v>8821847.1999999993</v>
      </c>
      <c r="KJ16" s="313">
        <f t="shared" si="3"/>
        <v>1614272.6</v>
      </c>
      <c r="KK16" s="313">
        <f t="shared" si="3"/>
        <v>1351</v>
      </c>
      <c r="KL16" s="313">
        <f t="shared" si="3"/>
        <v>373666</v>
      </c>
      <c r="KM16" s="313">
        <f t="shared" si="3"/>
        <v>0</v>
      </c>
      <c r="KN16" s="313">
        <f t="shared" si="3"/>
        <v>173798</v>
      </c>
      <c r="KO16" s="313">
        <f t="shared" si="3"/>
        <v>0</v>
      </c>
      <c r="KP16" s="313">
        <f t="shared" si="3"/>
        <v>133884</v>
      </c>
      <c r="KQ16" s="313">
        <f t="shared" si="3"/>
        <v>0</v>
      </c>
      <c r="KR16" s="313">
        <f t="shared" si="3"/>
        <v>36363</v>
      </c>
      <c r="KS16" s="313">
        <f t="shared" si="3"/>
        <v>7858</v>
      </c>
      <c r="KT16" s="313">
        <f t="shared" si="3"/>
        <v>138104</v>
      </c>
      <c r="KU16" s="313">
        <f t="shared" si="3"/>
        <v>38658</v>
      </c>
      <c r="KV16" s="313">
        <f t="shared" si="3"/>
        <v>0</v>
      </c>
      <c r="KW16" s="313">
        <f t="shared" si="3"/>
        <v>286799</v>
      </c>
      <c r="KX16" s="313">
        <f t="shared" si="3"/>
        <v>0</v>
      </c>
      <c r="KY16" s="313">
        <f t="shared" si="3"/>
        <v>35512</v>
      </c>
      <c r="KZ16" s="313">
        <f t="shared" si="3"/>
        <v>0</v>
      </c>
      <c r="LA16" s="313">
        <f t="shared" si="3"/>
        <v>735044.19</v>
      </c>
      <c r="LB16" s="313">
        <f t="shared" si="3"/>
        <v>454532</v>
      </c>
      <c r="LC16" s="313">
        <f t="shared" si="3"/>
        <v>0</v>
      </c>
    </row>
    <row r="17" spans="1:315" x14ac:dyDescent="0.25">
      <c r="A17" s="313">
        <v>15</v>
      </c>
      <c r="B17" s="348" t="s">
        <v>1853</v>
      </c>
      <c r="C17" s="350">
        <v>67833.279999999999</v>
      </c>
      <c r="D17" s="350">
        <v>4318</v>
      </c>
      <c r="E17" s="350">
        <v>4312</v>
      </c>
      <c r="F17" s="350">
        <v>4478.96</v>
      </c>
      <c r="G17" s="350">
        <v>139614</v>
      </c>
      <c r="H17" s="350">
        <v>18825.5</v>
      </c>
      <c r="I17" s="350">
        <v>10606.9</v>
      </c>
      <c r="J17" s="350">
        <v>9321.1</v>
      </c>
      <c r="K17" s="350">
        <v>1876.3</v>
      </c>
      <c r="L17" s="350">
        <v>0</v>
      </c>
      <c r="M17" s="350">
        <v>3934.8</v>
      </c>
      <c r="N17" s="350">
        <v>30312</v>
      </c>
      <c r="O17" s="350">
        <v>16035.7</v>
      </c>
      <c r="P17" s="350">
        <v>4355.1499999999996</v>
      </c>
      <c r="Q17" s="350">
        <v>7998.05</v>
      </c>
      <c r="R17" s="350">
        <v>5197.2</v>
      </c>
      <c r="S17" s="350">
        <v>20000</v>
      </c>
      <c r="T17" s="350">
        <v>8878</v>
      </c>
      <c r="U17" s="350">
        <v>18543</v>
      </c>
      <c r="V17" s="350">
        <v>4141</v>
      </c>
      <c r="W17" s="350">
        <v>2188.0300000000002</v>
      </c>
      <c r="X17" s="350">
        <v>2418.36</v>
      </c>
      <c r="Y17" s="350">
        <v>1151.5999999999999</v>
      </c>
      <c r="Z17" s="350">
        <v>46316</v>
      </c>
      <c r="AA17" s="350">
        <v>2814</v>
      </c>
      <c r="AB17" s="350">
        <v>2750</v>
      </c>
      <c r="AC17" s="350">
        <v>297</v>
      </c>
      <c r="AD17" s="350">
        <v>2629</v>
      </c>
      <c r="AE17" s="350">
        <v>432116.49</v>
      </c>
      <c r="AF17" s="350">
        <v>23484.81</v>
      </c>
      <c r="AG17" s="350">
        <v>20249</v>
      </c>
      <c r="AH17" s="350">
        <v>130360.8</v>
      </c>
      <c r="AI17" s="350">
        <v>28546</v>
      </c>
      <c r="AJ17" s="350">
        <v>26144</v>
      </c>
      <c r="AK17" s="350">
        <v>461508</v>
      </c>
      <c r="AL17" s="350">
        <v>50390</v>
      </c>
      <c r="AM17" s="350">
        <v>23264</v>
      </c>
      <c r="AN17" s="350">
        <v>77288.12</v>
      </c>
      <c r="AO17" s="350">
        <v>380636</v>
      </c>
      <c r="AP17" s="350">
        <v>152668</v>
      </c>
      <c r="AQ17" s="350">
        <v>5793.5</v>
      </c>
      <c r="AR17" s="350">
        <v>81397.5</v>
      </c>
      <c r="AS17" s="350">
        <v>205530</v>
      </c>
      <c r="AT17" s="350">
        <v>109053</v>
      </c>
      <c r="AU17" s="350">
        <v>177658</v>
      </c>
      <c r="AV17" s="350">
        <v>44722</v>
      </c>
      <c r="AW17" s="351"/>
      <c r="AX17" s="350">
        <v>36045</v>
      </c>
      <c r="AY17" s="350">
        <v>3004</v>
      </c>
      <c r="AZ17" s="350">
        <v>22185</v>
      </c>
      <c r="BA17" s="350">
        <v>2314</v>
      </c>
      <c r="BB17" s="350">
        <v>11133</v>
      </c>
      <c r="BC17" s="350">
        <v>422</v>
      </c>
      <c r="BD17" s="350">
        <v>52857</v>
      </c>
      <c r="BE17" s="350">
        <v>32616</v>
      </c>
      <c r="BF17" s="350">
        <v>42768</v>
      </c>
      <c r="BG17" s="350">
        <v>107725</v>
      </c>
      <c r="BH17" s="350">
        <v>754067.2</v>
      </c>
      <c r="BI17" s="350">
        <v>0</v>
      </c>
      <c r="BJ17" s="350">
        <v>0</v>
      </c>
      <c r="BK17" s="350">
        <v>39041</v>
      </c>
      <c r="BL17" s="350">
        <v>25124</v>
      </c>
      <c r="BM17" s="350">
        <v>220773</v>
      </c>
      <c r="BN17" s="350">
        <v>135766.39999999999</v>
      </c>
      <c r="BO17" s="350">
        <v>24556</v>
      </c>
      <c r="BP17" s="350">
        <v>405954</v>
      </c>
      <c r="BQ17" s="350">
        <v>51941.56</v>
      </c>
      <c r="BR17" s="350">
        <v>30199.9</v>
      </c>
      <c r="BS17" s="350">
        <v>895213</v>
      </c>
      <c r="BT17" s="350">
        <v>940462</v>
      </c>
      <c r="BU17" s="350">
        <v>346118</v>
      </c>
      <c r="BV17" s="350">
        <v>316646.53999999998</v>
      </c>
      <c r="BW17" s="350">
        <v>25017.81</v>
      </c>
      <c r="BX17" s="350">
        <v>537982</v>
      </c>
      <c r="BY17" s="350">
        <v>100794</v>
      </c>
      <c r="BZ17" s="350">
        <v>144236</v>
      </c>
      <c r="CA17" s="350">
        <v>568166</v>
      </c>
      <c r="CB17" s="350">
        <v>31858</v>
      </c>
      <c r="CC17" s="350">
        <v>170749</v>
      </c>
      <c r="CD17" s="350">
        <v>264326.76</v>
      </c>
      <c r="CE17" s="350">
        <v>0</v>
      </c>
      <c r="CF17" s="350">
        <v>54470</v>
      </c>
      <c r="CG17" s="350">
        <v>23359.82</v>
      </c>
      <c r="CH17" s="350">
        <v>11238</v>
      </c>
      <c r="CI17" s="350">
        <v>31475</v>
      </c>
      <c r="CJ17" s="350">
        <v>46915</v>
      </c>
      <c r="CK17" s="350">
        <v>71646</v>
      </c>
      <c r="CL17" s="350">
        <v>75315</v>
      </c>
      <c r="CM17" s="350">
        <v>13160</v>
      </c>
      <c r="CN17" s="350">
        <v>2760.02</v>
      </c>
      <c r="CO17" s="350">
        <v>19044.87</v>
      </c>
      <c r="CP17" s="350">
        <v>20163.18</v>
      </c>
      <c r="CQ17" s="350">
        <v>73805</v>
      </c>
      <c r="CR17" s="350">
        <v>81336.600000000006</v>
      </c>
      <c r="CS17" s="350">
        <v>1797</v>
      </c>
      <c r="CT17" s="350">
        <v>101014</v>
      </c>
      <c r="CU17" s="350">
        <v>124741</v>
      </c>
      <c r="CV17" s="350">
        <v>37474</v>
      </c>
      <c r="CW17" s="350">
        <v>1000</v>
      </c>
      <c r="CX17" s="350">
        <v>8093</v>
      </c>
      <c r="CY17" s="350">
        <v>6766</v>
      </c>
      <c r="CZ17" s="350">
        <v>1735662</v>
      </c>
      <c r="DA17" s="350">
        <v>3140542</v>
      </c>
      <c r="DB17" s="350">
        <v>0</v>
      </c>
      <c r="DC17" s="350">
        <v>44034.34</v>
      </c>
      <c r="DD17" s="350">
        <v>0</v>
      </c>
      <c r="DE17" s="350">
        <v>61831</v>
      </c>
      <c r="DF17" s="350">
        <v>17457.740000000002</v>
      </c>
      <c r="DG17" s="350">
        <v>59749</v>
      </c>
      <c r="DH17" s="350">
        <v>0</v>
      </c>
      <c r="DI17" s="350">
        <v>390</v>
      </c>
      <c r="DJ17" s="350">
        <v>9614</v>
      </c>
      <c r="DK17" s="350">
        <v>31475</v>
      </c>
      <c r="DL17" s="350">
        <v>356996.25</v>
      </c>
      <c r="DM17" s="350">
        <v>46047.5</v>
      </c>
      <c r="DN17" s="350">
        <v>18886</v>
      </c>
      <c r="DO17" s="350">
        <v>10307</v>
      </c>
      <c r="DP17" s="350">
        <v>32790</v>
      </c>
      <c r="DQ17" s="350">
        <v>22600</v>
      </c>
      <c r="DR17" s="350">
        <v>37040</v>
      </c>
      <c r="DS17" s="350">
        <v>28739.88</v>
      </c>
      <c r="DT17" s="350">
        <v>10044.9</v>
      </c>
      <c r="DU17" s="350">
        <v>146771.5</v>
      </c>
      <c r="DV17" s="350">
        <v>435000</v>
      </c>
      <c r="DW17" s="350">
        <v>38902.089999999997</v>
      </c>
      <c r="DX17" s="350">
        <v>404585</v>
      </c>
      <c r="DY17" s="350">
        <v>27529</v>
      </c>
      <c r="DZ17" s="350">
        <v>1414721.58</v>
      </c>
      <c r="EA17" s="350">
        <v>301699</v>
      </c>
      <c r="EB17" s="350">
        <v>790311</v>
      </c>
      <c r="EC17" s="350">
        <v>3077503.76</v>
      </c>
      <c r="ED17" s="350">
        <v>35168</v>
      </c>
      <c r="EE17" s="350">
        <v>547686.34</v>
      </c>
      <c r="EF17" s="350">
        <v>224435</v>
      </c>
      <c r="EG17" s="350">
        <v>4862</v>
      </c>
      <c r="EH17" s="350">
        <v>3183113</v>
      </c>
      <c r="EI17" s="350">
        <v>223558</v>
      </c>
      <c r="EJ17" s="350">
        <v>276866.65000000002</v>
      </c>
      <c r="EK17" s="350">
        <v>804691</v>
      </c>
      <c r="EL17" s="350">
        <v>151624</v>
      </c>
      <c r="EM17" s="350">
        <v>1141910.82</v>
      </c>
      <c r="EN17" s="350">
        <v>57347</v>
      </c>
      <c r="EO17" s="350">
        <v>1147611.54</v>
      </c>
      <c r="EP17" s="350">
        <v>1148283</v>
      </c>
      <c r="EQ17" s="350">
        <v>262587</v>
      </c>
      <c r="ER17" s="350">
        <v>36938</v>
      </c>
      <c r="ES17" s="350">
        <v>265302</v>
      </c>
      <c r="ET17" s="350">
        <v>242742</v>
      </c>
      <c r="EU17" s="350">
        <v>821726</v>
      </c>
      <c r="EV17" s="350">
        <v>259144.55</v>
      </c>
      <c r="EW17" s="350">
        <v>84704</v>
      </c>
      <c r="EX17" s="350">
        <v>1304035</v>
      </c>
      <c r="EY17" s="350">
        <v>213974</v>
      </c>
      <c r="EZ17" s="350">
        <v>548388.56999999995</v>
      </c>
      <c r="FA17" s="350">
        <v>36386</v>
      </c>
      <c r="FB17" s="350">
        <v>3337140</v>
      </c>
      <c r="FC17" s="350">
        <v>694005</v>
      </c>
      <c r="FD17" s="350">
        <v>61133</v>
      </c>
      <c r="FE17" s="350">
        <v>221815</v>
      </c>
      <c r="FF17" s="350">
        <v>166259.19</v>
      </c>
      <c r="FG17" s="350">
        <v>38971</v>
      </c>
      <c r="FH17" s="350">
        <v>342193</v>
      </c>
      <c r="FI17" s="350">
        <v>311440</v>
      </c>
      <c r="FJ17" s="350">
        <v>80708.59</v>
      </c>
      <c r="FK17" s="350">
        <v>459338.8</v>
      </c>
      <c r="FL17" s="350">
        <v>311917</v>
      </c>
      <c r="FM17" s="350">
        <v>49376</v>
      </c>
      <c r="FN17" s="350">
        <v>1412813</v>
      </c>
      <c r="FO17" s="350">
        <v>65086</v>
      </c>
      <c r="FP17" s="350">
        <v>708680</v>
      </c>
      <c r="FQ17" s="350">
        <v>1484595.71</v>
      </c>
      <c r="FR17" s="350">
        <v>181597</v>
      </c>
      <c r="FS17" s="350">
        <v>595055</v>
      </c>
      <c r="FT17" s="350">
        <v>232502.47</v>
      </c>
      <c r="FU17" s="350">
        <v>6738</v>
      </c>
      <c r="FV17" s="350">
        <v>717669</v>
      </c>
      <c r="FW17" s="350">
        <v>553184</v>
      </c>
      <c r="FX17" s="350">
        <v>0</v>
      </c>
      <c r="FY17" s="350">
        <v>192500</v>
      </c>
      <c r="FZ17" s="350">
        <v>524191.2</v>
      </c>
      <c r="GA17" s="350">
        <v>123022.99</v>
      </c>
      <c r="GB17" s="350">
        <v>87332.97</v>
      </c>
      <c r="GC17" s="350">
        <v>8465</v>
      </c>
      <c r="GD17" s="350">
        <v>75350</v>
      </c>
      <c r="GE17" s="350">
        <v>102623</v>
      </c>
      <c r="GF17" s="350">
        <v>33960</v>
      </c>
      <c r="GG17" s="350">
        <v>55905.97</v>
      </c>
      <c r="GH17" s="350">
        <v>6166.5</v>
      </c>
      <c r="GI17" s="350">
        <v>10975.23</v>
      </c>
      <c r="GJ17" s="350">
        <v>0</v>
      </c>
      <c r="GK17" s="350">
        <v>107678</v>
      </c>
      <c r="GL17" s="350">
        <v>406240.1</v>
      </c>
      <c r="GM17" s="350">
        <v>25500</v>
      </c>
      <c r="GN17" s="350">
        <v>1206.3</v>
      </c>
      <c r="GO17" s="350">
        <v>55558</v>
      </c>
      <c r="GP17" s="350">
        <v>0</v>
      </c>
      <c r="GQ17" s="350">
        <v>0</v>
      </c>
      <c r="GR17" s="350">
        <v>37643</v>
      </c>
      <c r="GS17" s="350">
        <v>137190</v>
      </c>
      <c r="GT17" s="350">
        <v>137023.5</v>
      </c>
      <c r="GU17" s="350">
        <v>196830.28</v>
      </c>
      <c r="GV17" s="350">
        <v>39739</v>
      </c>
      <c r="GW17" s="350">
        <v>12741</v>
      </c>
      <c r="GX17" s="350">
        <v>40775.230000000003</v>
      </c>
      <c r="GY17" s="350">
        <v>670357.87</v>
      </c>
      <c r="GZ17" s="350">
        <v>446568.74</v>
      </c>
      <c r="HA17" s="350">
        <v>5588</v>
      </c>
      <c r="HB17" s="350">
        <v>15833</v>
      </c>
      <c r="HC17" s="350">
        <v>9952</v>
      </c>
      <c r="HD17" s="350">
        <v>74785</v>
      </c>
      <c r="HE17" s="350">
        <v>6534</v>
      </c>
      <c r="HF17" s="350">
        <v>540</v>
      </c>
      <c r="HG17" s="350">
        <v>540</v>
      </c>
      <c r="HH17" s="350">
        <v>540</v>
      </c>
      <c r="HI17" s="350">
        <v>4850</v>
      </c>
      <c r="HJ17" s="350">
        <v>7439</v>
      </c>
      <c r="HK17" s="350">
        <v>1415</v>
      </c>
      <c r="HL17" s="350">
        <v>48753.09</v>
      </c>
      <c r="HM17" s="350">
        <v>344640.24</v>
      </c>
      <c r="HN17" s="350">
        <v>98982</v>
      </c>
      <c r="HO17" s="350">
        <v>11654</v>
      </c>
      <c r="HP17" s="350">
        <v>422.32</v>
      </c>
      <c r="HQ17" s="350">
        <v>1200</v>
      </c>
      <c r="HR17" s="350">
        <v>4200</v>
      </c>
      <c r="HS17" s="350">
        <v>186114</v>
      </c>
      <c r="HT17" s="350">
        <v>3059</v>
      </c>
      <c r="HU17" s="350">
        <v>1205.3</v>
      </c>
      <c r="HV17" s="350">
        <v>45372</v>
      </c>
      <c r="HW17" s="350">
        <v>8784.9</v>
      </c>
      <c r="HX17" s="350">
        <v>2198</v>
      </c>
      <c r="HY17" s="350">
        <v>6216.3</v>
      </c>
      <c r="HZ17" s="350">
        <v>19243</v>
      </c>
      <c r="IA17" s="350">
        <v>15623.61</v>
      </c>
      <c r="IB17" s="350">
        <v>47835.87</v>
      </c>
      <c r="IC17" s="350">
        <v>59065.82</v>
      </c>
      <c r="ID17" s="350">
        <v>130163.35</v>
      </c>
      <c r="IE17" s="350">
        <v>7449</v>
      </c>
      <c r="IF17" s="350">
        <v>99600</v>
      </c>
      <c r="IG17" s="350">
        <v>3210.09</v>
      </c>
      <c r="IH17" s="350">
        <v>0</v>
      </c>
      <c r="II17" s="350">
        <v>12162</v>
      </c>
      <c r="IJ17" s="350">
        <v>46854.05</v>
      </c>
      <c r="IK17" s="350">
        <v>24873</v>
      </c>
      <c r="IL17" s="350">
        <v>438281.4</v>
      </c>
      <c r="IM17" s="351"/>
      <c r="IN17" s="350">
        <v>27556.42</v>
      </c>
      <c r="IO17" s="350">
        <v>11300</v>
      </c>
      <c r="IP17" s="350">
        <v>79405.67</v>
      </c>
      <c r="IQ17" s="350">
        <v>2098.94</v>
      </c>
      <c r="IR17" s="350">
        <v>27589.23</v>
      </c>
      <c r="IS17" s="350">
        <v>0</v>
      </c>
      <c r="IT17" s="350">
        <v>4705.25</v>
      </c>
      <c r="IU17" s="350">
        <v>129370</v>
      </c>
      <c r="IV17" s="350">
        <v>2000</v>
      </c>
      <c r="IW17" s="350">
        <v>3734</v>
      </c>
      <c r="IX17" s="350">
        <v>0</v>
      </c>
      <c r="IY17" s="350">
        <v>4985</v>
      </c>
      <c r="IZ17" s="350">
        <v>2706</v>
      </c>
      <c r="JA17" s="350">
        <v>10729.79</v>
      </c>
      <c r="JB17" s="350">
        <v>34230.400000000001</v>
      </c>
      <c r="JC17" s="350">
        <v>4120.4399999999996</v>
      </c>
      <c r="JD17" s="350">
        <v>36025.56</v>
      </c>
      <c r="JE17" s="350">
        <v>6082.44</v>
      </c>
      <c r="JF17" s="350">
        <v>8341.17</v>
      </c>
      <c r="JG17" s="350">
        <v>11907</v>
      </c>
      <c r="JH17" s="350">
        <v>705944.78</v>
      </c>
      <c r="JI17" s="350">
        <v>20652.93</v>
      </c>
      <c r="JJ17" s="350">
        <v>25600</v>
      </c>
      <c r="JK17" s="350">
        <v>323.02999999999997</v>
      </c>
      <c r="JL17" s="350">
        <v>53307.040000000001</v>
      </c>
      <c r="JM17" s="350">
        <v>257174</v>
      </c>
      <c r="JN17" s="350">
        <v>257037.42</v>
      </c>
      <c r="JO17" s="350">
        <v>119663.03</v>
      </c>
      <c r="JP17" s="350">
        <v>366519</v>
      </c>
      <c r="JQ17" s="350">
        <v>77095.3</v>
      </c>
      <c r="JR17" s="351"/>
      <c r="JU17" s="348" t="s">
        <v>1853</v>
      </c>
      <c r="JV17" s="313">
        <f t="shared" si="2"/>
        <v>432654.93</v>
      </c>
      <c r="JW17" s="313">
        <f t="shared" si="3"/>
        <v>440606.49</v>
      </c>
      <c r="JX17" s="313">
        <f t="shared" si="3"/>
        <v>1380332.23</v>
      </c>
      <c r="JY17" s="313">
        <f t="shared" si="3"/>
        <v>7197525.4900000002</v>
      </c>
      <c r="JZ17" s="313">
        <f t="shared" si="3"/>
        <v>88475</v>
      </c>
      <c r="KA17" s="313">
        <f t="shared" si="3"/>
        <v>2760.02</v>
      </c>
      <c r="KB17" s="313">
        <f t="shared" si="3"/>
        <v>39208.050000000003</v>
      </c>
      <c r="KC17" s="313">
        <f t="shared" si="3"/>
        <v>5356264.9399999995</v>
      </c>
      <c r="KD17" s="313">
        <f t="shared" si="3"/>
        <v>180516.74</v>
      </c>
      <c r="KE17" s="313">
        <f t="shared" si="3"/>
        <v>1588710.12</v>
      </c>
      <c r="KF17" s="313">
        <f t="shared" si="3"/>
        <v>27529</v>
      </c>
      <c r="KG17" s="313">
        <f t="shared" si="3"/>
        <v>10079924.33</v>
      </c>
      <c r="KH17" s="313">
        <f t="shared" si="3"/>
        <v>16014504.060000001</v>
      </c>
      <c r="KI17" s="313">
        <f t="shared" si="3"/>
        <v>4737607.18</v>
      </c>
      <c r="KJ17" s="313">
        <f t="shared" si="3"/>
        <v>1027992.86</v>
      </c>
      <c r="KK17" s="313">
        <f t="shared" si="3"/>
        <v>107678</v>
      </c>
      <c r="KL17" s="313">
        <f t="shared" si="3"/>
        <v>488504.39999999997</v>
      </c>
      <c r="KM17" s="313">
        <f t="shared" si="3"/>
        <v>0</v>
      </c>
      <c r="KN17" s="313">
        <f t="shared" si="3"/>
        <v>561166.78</v>
      </c>
      <c r="KO17" s="313">
        <f t="shared" si="3"/>
        <v>40775.230000000003</v>
      </c>
      <c r="KP17" s="313">
        <f t="shared" si="3"/>
        <v>1116926.6099999999</v>
      </c>
      <c r="KQ17" s="313">
        <f t="shared" si="3"/>
        <v>5588</v>
      </c>
      <c r="KR17" s="313">
        <f t="shared" si="3"/>
        <v>15833</v>
      </c>
      <c r="KS17" s="313">
        <f t="shared" si="3"/>
        <v>9952</v>
      </c>
      <c r="KT17" s="313">
        <f t="shared" si="3"/>
        <v>490036.32999999996</v>
      </c>
      <c r="KU17" s="313">
        <f t="shared" si="3"/>
        <v>111058.32</v>
      </c>
      <c r="KV17" s="313">
        <f t="shared" si="3"/>
        <v>1200</v>
      </c>
      <c r="KW17" s="313">
        <f t="shared" si="3"/>
        <v>536530.15</v>
      </c>
      <c r="KX17" s="313">
        <f t="shared" si="3"/>
        <v>102810.09</v>
      </c>
      <c r="KY17" s="313">
        <f t="shared" si="3"/>
        <v>59016.05</v>
      </c>
      <c r="KZ17" s="313">
        <f t="shared" si="3"/>
        <v>463154.4</v>
      </c>
      <c r="LA17" s="313">
        <f t="shared" si="3"/>
        <v>1469889.09</v>
      </c>
      <c r="LB17" s="313">
        <f t="shared" si="3"/>
        <v>820314.75</v>
      </c>
      <c r="LC17" s="313">
        <f t="shared" si="3"/>
        <v>0</v>
      </c>
    </row>
    <row r="18" spans="1:315" ht="25.5" x14ac:dyDescent="0.25">
      <c r="A18" s="313">
        <v>16</v>
      </c>
      <c r="B18" s="348" t="s">
        <v>1854</v>
      </c>
      <c r="C18" s="350">
        <v>2404674</v>
      </c>
      <c r="D18" s="350">
        <v>1157761</v>
      </c>
      <c r="E18" s="350">
        <v>341375</v>
      </c>
      <c r="F18" s="350">
        <v>918117</v>
      </c>
      <c r="G18" s="350">
        <v>936404</v>
      </c>
      <c r="H18" s="350">
        <v>522971.2</v>
      </c>
      <c r="I18" s="350">
        <v>131801</v>
      </c>
      <c r="J18" s="350">
        <v>631755</v>
      </c>
      <c r="K18" s="350">
        <v>248334</v>
      </c>
      <c r="L18" s="350">
        <v>781359.77</v>
      </c>
      <c r="M18" s="350">
        <v>497388.39</v>
      </c>
      <c r="N18" s="350">
        <v>1640995.25</v>
      </c>
      <c r="O18" s="350">
        <v>939564</v>
      </c>
      <c r="P18" s="350">
        <v>393896.49</v>
      </c>
      <c r="Q18" s="350">
        <v>736913.9</v>
      </c>
      <c r="R18" s="350">
        <v>622778.31999999995</v>
      </c>
      <c r="S18" s="350">
        <v>236639</v>
      </c>
      <c r="T18" s="350">
        <v>1671105</v>
      </c>
      <c r="U18" s="350">
        <v>513764</v>
      </c>
      <c r="V18" s="350">
        <v>486942</v>
      </c>
      <c r="W18" s="350">
        <v>487946</v>
      </c>
      <c r="X18" s="350">
        <v>579717.5</v>
      </c>
      <c r="Y18" s="350">
        <v>280932.25</v>
      </c>
      <c r="Z18" s="350">
        <v>84270</v>
      </c>
      <c r="AA18" s="350">
        <v>1674573</v>
      </c>
      <c r="AB18" s="350">
        <v>1270554</v>
      </c>
      <c r="AC18" s="350">
        <v>0</v>
      </c>
      <c r="AD18" s="350">
        <v>855122</v>
      </c>
      <c r="AE18" s="350">
        <v>2172969</v>
      </c>
      <c r="AF18" s="350">
        <v>3388495.33</v>
      </c>
      <c r="AG18" s="350">
        <v>2970372</v>
      </c>
      <c r="AH18" s="350">
        <v>2352770.5299999998</v>
      </c>
      <c r="AI18" s="350">
        <v>2150860</v>
      </c>
      <c r="AJ18" s="350">
        <v>2057103</v>
      </c>
      <c r="AK18" s="350">
        <v>8365977.25</v>
      </c>
      <c r="AL18" s="350">
        <v>4234587</v>
      </c>
      <c r="AM18" s="350">
        <v>2023552</v>
      </c>
      <c r="AN18" s="350">
        <v>3206415.28</v>
      </c>
      <c r="AO18" s="350">
        <v>2664663</v>
      </c>
      <c r="AP18" s="350">
        <v>3265647</v>
      </c>
      <c r="AQ18" s="350">
        <v>2629398</v>
      </c>
      <c r="AR18" s="350">
        <v>13103286</v>
      </c>
      <c r="AS18" s="350">
        <v>3521980</v>
      </c>
      <c r="AT18" s="350">
        <v>2652685</v>
      </c>
      <c r="AU18" s="350">
        <v>2278036</v>
      </c>
      <c r="AV18" s="350">
        <v>1946615</v>
      </c>
      <c r="AW18" s="351"/>
      <c r="AX18" s="350">
        <v>2926059</v>
      </c>
      <c r="AY18" s="350">
        <v>781340</v>
      </c>
      <c r="AZ18" s="350">
        <v>2042676</v>
      </c>
      <c r="BA18" s="350">
        <v>2781118</v>
      </c>
      <c r="BB18" s="350">
        <v>4320133</v>
      </c>
      <c r="BC18" s="350">
        <v>5487120</v>
      </c>
      <c r="BD18" s="350">
        <v>1799798</v>
      </c>
      <c r="BE18" s="350">
        <v>770245</v>
      </c>
      <c r="BF18" s="350">
        <v>395227</v>
      </c>
      <c r="BG18" s="350">
        <v>1230911</v>
      </c>
      <c r="BH18" s="350">
        <v>1556373</v>
      </c>
      <c r="BI18" s="350">
        <v>1064330</v>
      </c>
      <c r="BJ18" s="350">
        <v>506258.26</v>
      </c>
      <c r="BK18" s="350">
        <v>1927850</v>
      </c>
      <c r="BL18" s="350">
        <v>2208492</v>
      </c>
      <c r="BM18" s="350">
        <v>3775974.38</v>
      </c>
      <c r="BN18" s="350">
        <v>6315921.1100000003</v>
      </c>
      <c r="BO18" s="350">
        <v>4360670</v>
      </c>
      <c r="BP18" s="350">
        <v>1051952</v>
      </c>
      <c r="BQ18" s="350">
        <v>2012598</v>
      </c>
      <c r="BR18" s="350">
        <v>1351389.43</v>
      </c>
      <c r="BS18" s="350">
        <v>3448758</v>
      </c>
      <c r="BT18" s="350">
        <v>4247922</v>
      </c>
      <c r="BU18" s="350">
        <v>1332953</v>
      </c>
      <c r="BV18" s="350">
        <v>12047432</v>
      </c>
      <c r="BW18" s="350">
        <v>5190487.38</v>
      </c>
      <c r="BX18" s="350">
        <v>1312824</v>
      </c>
      <c r="BY18" s="350">
        <v>2409694</v>
      </c>
      <c r="BZ18" s="350">
        <v>6154818</v>
      </c>
      <c r="CA18" s="350">
        <v>9920223</v>
      </c>
      <c r="CB18" s="350">
        <v>1039477</v>
      </c>
      <c r="CC18" s="350">
        <v>3690446</v>
      </c>
      <c r="CD18" s="350">
        <v>11935526.310000001</v>
      </c>
      <c r="CE18" s="350">
        <v>193436</v>
      </c>
      <c r="CF18" s="350">
        <v>1788640</v>
      </c>
      <c r="CG18" s="350">
        <v>5726837</v>
      </c>
      <c r="CH18" s="350">
        <v>441578.58</v>
      </c>
      <c r="CI18" s="350">
        <v>665544</v>
      </c>
      <c r="CJ18" s="350">
        <v>2713368</v>
      </c>
      <c r="CK18" s="350">
        <v>8542587</v>
      </c>
      <c r="CL18" s="350">
        <v>328130</v>
      </c>
      <c r="CM18" s="350">
        <v>2712665</v>
      </c>
      <c r="CN18" s="350">
        <v>529815.25</v>
      </c>
      <c r="CO18" s="350">
        <v>1107996.8</v>
      </c>
      <c r="CP18" s="350">
        <v>1143719</v>
      </c>
      <c r="CQ18" s="350">
        <v>1704235</v>
      </c>
      <c r="CR18" s="350">
        <v>4747245.4400000004</v>
      </c>
      <c r="CS18" s="350">
        <v>592627</v>
      </c>
      <c r="CT18" s="350">
        <v>3095822</v>
      </c>
      <c r="CU18" s="350">
        <v>2611601</v>
      </c>
      <c r="CV18" s="350">
        <v>2564733</v>
      </c>
      <c r="CW18" s="350">
        <v>954611.03</v>
      </c>
      <c r="CX18" s="350">
        <v>1745628</v>
      </c>
      <c r="CY18" s="350">
        <v>605990</v>
      </c>
      <c r="CZ18" s="350">
        <v>5939149</v>
      </c>
      <c r="DA18" s="350">
        <v>16985001</v>
      </c>
      <c r="DB18" s="350">
        <v>427506</v>
      </c>
      <c r="DC18" s="350">
        <v>3118045</v>
      </c>
      <c r="DD18" s="350">
        <v>872965</v>
      </c>
      <c r="DE18" s="350">
        <v>3434055</v>
      </c>
      <c r="DF18" s="350">
        <v>1287943.43</v>
      </c>
      <c r="DG18" s="350">
        <v>832284</v>
      </c>
      <c r="DH18" s="350">
        <v>636359</v>
      </c>
      <c r="DI18" s="350">
        <v>1077485.51</v>
      </c>
      <c r="DJ18" s="350">
        <v>1096094</v>
      </c>
      <c r="DK18" s="350">
        <v>665544</v>
      </c>
      <c r="DL18" s="350">
        <v>6947641.0300000003</v>
      </c>
      <c r="DM18" s="350">
        <v>2542184</v>
      </c>
      <c r="DN18" s="350">
        <v>810226</v>
      </c>
      <c r="DO18" s="350">
        <v>612617</v>
      </c>
      <c r="DP18" s="350">
        <v>676155</v>
      </c>
      <c r="DQ18" s="350">
        <v>2132392</v>
      </c>
      <c r="DR18" s="350">
        <v>2391440</v>
      </c>
      <c r="DS18" s="350">
        <v>879515.63</v>
      </c>
      <c r="DT18" s="350">
        <v>1870887</v>
      </c>
      <c r="DU18" s="350">
        <v>2061541</v>
      </c>
      <c r="DV18" s="350">
        <v>4632200</v>
      </c>
      <c r="DW18" s="350">
        <v>5809184</v>
      </c>
      <c r="DX18" s="350">
        <v>834844</v>
      </c>
      <c r="DY18" s="350">
        <v>2249686</v>
      </c>
      <c r="DZ18" s="350">
        <v>34846880.159999996</v>
      </c>
      <c r="EA18" s="350">
        <v>6816945</v>
      </c>
      <c r="EB18" s="350">
        <v>26391074</v>
      </c>
      <c r="EC18" s="350">
        <v>31507175.07</v>
      </c>
      <c r="ED18" s="350">
        <v>3005451.71</v>
      </c>
      <c r="EE18" s="350">
        <v>16154091</v>
      </c>
      <c r="EF18" s="350">
        <v>20509140.829999998</v>
      </c>
      <c r="EG18" s="350">
        <v>11966389.439999999</v>
      </c>
      <c r="EH18" s="350">
        <v>14512861</v>
      </c>
      <c r="EI18" s="350">
        <v>32789411</v>
      </c>
      <c r="EJ18" s="350">
        <v>24431299</v>
      </c>
      <c r="EK18" s="350">
        <v>9160000</v>
      </c>
      <c r="EL18" s="350">
        <v>4752594</v>
      </c>
      <c r="EM18" s="350">
        <v>23713923.969999999</v>
      </c>
      <c r="EN18" s="350">
        <v>6762193</v>
      </c>
      <c r="EO18" s="350">
        <v>19755379.559999999</v>
      </c>
      <c r="EP18" s="350">
        <v>9037177</v>
      </c>
      <c r="EQ18" s="350">
        <v>12381450</v>
      </c>
      <c r="ER18" s="350">
        <v>10611721</v>
      </c>
      <c r="ES18" s="350">
        <v>9150996.8900000006</v>
      </c>
      <c r="ET18" s="350">
        <v>10067671</v>
      </c>
      <c r="EU18" s="350">
        <v>17477193</v>
      </c>
      <c r="EV18" s="350">
        <v>13336642.869999999</v>
      </c>
      <c r="EW18" s="350">
        <v>21601766</v>
      </c>
      <c r="EX18" s="350">
        <v>11685161</v>
      </c>
      <c r="EY18" s="350">
        <v>9604777.5</v>
      </c>
      <c r="EZ18" s="350">
        <v>30658307.039999999</v>
      </c>
      <c r="FA18" s="350">
        <v>10639021</v>
      </c>
      <c r="FB18" s="350">
        <v>57676956</v>
      </c>
      <c r="FC18" s="350">
        <v>9307806</v>
      </c>
      <c r="FD18" s="350">
        <v>20911268.059999999</v>
      </c>
      <c r="FE18" s="350">
        <v>10937547</v>
      </c>
      <c r="FF18" s="350">
        <v>8613224.0299999993</v>
      </c>
      <c r="FG18" s="350">
        <v>15001493</v>
      </c>
      <c r="FH18" s="350">
        <v>4660666</v>
      </c>
      <c r="FI18" s="350">
        <v>7716968</v>
      </c>
      <c r="FJ18" s="350">
        <v>17547968</v>
      </c>
      <c r="FK18" s="350">
        <v>7428638.5499999998</v>
      </c>
      <c r="FL18" s="350">
        <v>7899115</v>
      </c>
      <c r="FM18" s="350">
        <v>12632715</v>
      </c>
      <c r="FN18" s="350">
        <v>9653836</v>
      </c>
      <c r="FO18" s="350">
        <v>3042092</v>
      </c>
      <c r="FP18" s="350">
        <v>14462532</v>
      </c>
      <c r="FQ18" s="350">
        <v>25826521.84</v>
      </c>
      <c r="FR18" s="350">
        <v>20030355</v>
      </c>
      <c r="FS18" s="350">
        <v>12851287</v>
      </c>
      <c r="FT18" s="350">
        <v>16358509.33</v>
      </c>
      <c r="FU18" s="350">
        <v>3932260</v>
      </c>
      <c r="FV18" s="350">
        <v>14628215</v>
      </c>
      <c r="FW18" s="350">
        <v>16222016</v>
      </c>
      <c r="FX18" s="350">
        <v>934000</v>
      </c>
      <c r="FY18" s="350">
        <v>8457904</v>
      </c>
      <c r="FZ18" s="350">
        <v>21415098.43</v>
      </c>
      <c r="GA18" s="350">
        <v>4947708.1900000004</v>
      </c>
      <c r="GB18" s="350">
        <v>621136.34</v>
      </c>
      <c r="GC18" s="350">
        <v>716962.91</v>
      </c>
      <c r="GD18" s="350">
        <v>1525480</v>
      </c>
      <c r="GE18" s="350">
        <v>359160</v>
      </c>
      <c r="GF18" s="350">
        <v>2760799.53</v>
      </c>
      <c r="GG18" s="350">
        <v>4158958</v>
      </c>
      <c r="GH18" s="350">
        <v>1622915</v>
      </c>
      <c r="GI18" s="350">
        <v>1966523</v>
      </c>
      <c r="GJ18" s="350">
        <v>1915672</v>
      </c>
      <c r="GK18" s="350">
        <v>471720.5</v>
      </c>
      <c r="GL18" s="350">
        <v>2123578</v>
      </c>
      <c r="GM18" s="350">
        <v>586136</v>
      </c>
      <c r="GN18" s="350">
        <v>1148205.29</v>
      </c>
      <c r="GO18" s="350">
        <v>2472220</v>
      </c>
      <c r="GP18" s="350">
        <v>784117.89</v>
      </c>
      <c r="GQ18" s="350">
        <v>0</v>
      </c>
      <c r="GR18" s="350">
        <v>2389199</v>
      </c>
      <c r="GS18" s="350">
        <v>6965754</v>
      </c>
      <c r="GT18" s="350">
        <v>3131686</v>
      </c>
      <c r="GU18" s="350">
        <v>2774407.24</v>
      </c>
      <c r="GV18" s="350">
        <v>1924718.69</v>
      </c>
      <c r="GW18" s="350">
        <v>1270924</v>
      </c>
      <c r="GX18" s="350">
        <v>2504017.96</v>
      </c>
      <c r="GY18" s="350">
        <v>1959671</v>
      </c>
      <c r="GZ18" s="350">
        <v>1958940</v>
      </c>
      <c r="HA18" s="350">
        <v>595500</v>
      </c>
      <c r="HB18" s="350">
        <v>1925780</v>
      </c>
      <c r="HC18" s="350">
        <v>2485845</v>
      </c>
      <c r="HD18" s="350">
        <v>928318</v>
      </c>
      <c r="HE18" s="350">
        <v>599164</v>
      </c>
      <c r="HF18" s="350">
        <v>860315.87</v>
      </c>
      <c r="HG18" s="350">
        <v>827629.61</v>
      </c>
      <c r="HH18" s="350">
        <v>851249.63</v>
      </c>
      <c r="HI18" s="350">
        <v>1091790</v>
      </c>
      <c r="HJ18" s="350">
        <v>1161742</v>
      </c>
      <c r="HK18" s="350">
        <v>214035</v>
      </c>
      <c r="HL18" s="350">
        <v>2381432.0699999998</v>
      </c>
      <c r="HM18" s="350">
        <v>1142728</v>
      </c>
      <c r="HN18" s="350">
        <v>3039488</v>
      </c>
      <c r="HO18" s="350">
        <v>517853</v>
      </c>
      <c r="HP18" s="350">
        <v>459114</v>
      </c>
      <c r="HQ18" s="350">
        <v>649971</v>
      </c>
      <c r="HR18" s="350">
        <v>229380</v>
      </c>
      <c r="HS18" s="350">
        <v>1677632</v>
      </c>
      <c r="HT18" s="350">
        <v>2327036.12</v>
      </c>
      <c r="HU18" s="350">
        <v>940761.03</v>
      </c>
      <c r="HV18" s="350">
        <v>1122613</v>
      </c>
      <c r="HW18" s="350">
        <v>1153882</v>
      </c>
      <c r="HX18" s="350">
        <v>898167.51</v>
      </c>
      <c r="HY18" s="350">
        <v>2884792.84</v>
      </c>
      <c r="HZ18" s="350">
        <v>982177</v>
      </c>
      <c r="IA18" s="350">
        <v>841403.48</v>
      </c>
      <c r="IB18" s="350">
        <v>1759938.95</v>
      </c>
      <c r="IC18" s="350">
        <v>2216587.88</v>
      </c>
      <c r="ID18" s="350">
        <v>2162512.7799999998</v>
      </c>
      <c r="IE18" s="350">
        <v>1558664</v>
      </c>
      <c r="IF18" s="350">
        <v>1487044</v>
      </c>
      <c r="IG18" s="350">
        <v>746082</v>
      </c>
      <c r="IH18" s="350">
        <v>492851.76</v>
      </c>
      <c r="II18" s="350">
        <v>1598433</v>
      </c>
      <c r="IJ18" s="350">
        <v>717557</v>
      </c>
      <c r="IK18" s="350">
        <v>3563487</v>
      </c>
      <c r="IL18" s="350">
        <v>2347979</v>
      </c>
      <c r="IM18" s="351"/>
      <c r="IN18" s="350">
        <v>1123335.9099999999</v>
      </c>
      <c r="IO18" s="350">
        <v>1816507</v>
      </c>
      <c r="IP18" s="350">
        <v>1784276.8</v>
      </c>
      <c r="IQ18" s="350">
        <v>1409012.17</v>
      </c>
      <c r="IR18" s="350">
        <v>2108832.8199999998</v>
      </c>
      <c r="IS18" s="350">
        <v>796516</v>
      </c>
      <c r="IT18" s="350">
        <v>482163.26</v>
      </c>
      <c r="IU18" s="350">
        <v>1409993</v>
      </c>
      <c r="IV18" s="350">
        <v>597932.64</v>
      </c>
      <c r="IW18" s="350">
        <v>486272.17</v>
      </c>
      <c r="IX18" s="350">
        <v>253308</v>
      </c>
      <c r="IY18" s="350">
        <v>533168</v>
      </c>
      <c r="IZ18" s="350">
        <v>1587154</v>
      </c>
      <c r="JA18" s="350">
        <v>3196513.42</v>
      </c>
      <c r="JB18" s="350">
        <v>5067762</v>
      </c>
      <c r="JC18" s="350">
        <v>4065973.37</v>
      </c>
      <c r="JD18" s="350">
        <v>1312188</v>
      </c>
      <c r="JE18" s="350">
        <v>620637.51</v>
      </c>
      <c r="JF18" s="350">
        <v>1416410</v>
      </c>
      <c r="JG18" s="350">
        <v>919788</v>
      </c>
      <c r="JH18" s="350">
        <v>3744212</v>
      </c>
      <c r="JI18" s="350">
        <v>2308887</v>
      </c>
      <c r="JJ18" s="350">
        <v>1396146</v>
      </c>
      <c r="JK18" s="350">
        <v>809309</v>
      </c>
      <c r="JL18" s="350">
        <v>812384.25</v>
      </c>
      <c r="JM18" s="350">
        <v>923418</v>
      </c>
      <c r="JN18" s="350">
        <v>3037406</v>
      </c>
      <c r="JO18" s="350">
        <v>1186767.22</v>
      </c>
      <c r="JP18" s="350">
        <v>2607753</v>
      </c>
      <c r="JQ18" s="350">
        <v>2749402</v>
      </c>
      <c r="JR18" s="351"/>
      <c r="JU18" s="348" t="s">
        <v>1854</v>
      </c>
      <c r="JV18" s="313">
        <f t="shared" si="2"/>
        <v>17247404.07</v>
      </c>
      <c r="JW18" s="313">
        <f t="shared" si="3"/>
        <v>5973218</v>
      </c>
      <c r="JX18" s="313">
        <f t="shared" si="3"/>
        <v>39309840.390000001</v>
      </c>
      <c r="JY18" s="313">
        <f t="shared" si="3"/>
        <v>154971588.45000002</v>
      </c>
      <c r="JZ18" s="313">
        <f t="shared" si="3"/>
        <v>3040795</v>
      </c>
      <c r="KA18" s="313">
        <f t="shared" si="3"/>
        <v>529815.25</v>
      </c>
      <c r="KB18" s="313">
        <f t="shared" si="3"/>
        <v>2251715.7999999998</v>
      </c>
      <c r="KC18" s="313">
        <f t="shared" si="3"/>
        <v>45965158.469999999</v>
      </c>
      <c r="KD18" s="313">
        <f t="shared" si="3"/>
        <v>9029764.9399999995</v>
      </c>
      <c r="KE18" s="313">
        <f t="shared" si="3"/>
        <v>32200826.66</v>
      </c>
      <c r="KF18" s="313">
        <f t="shared" si="3"/>
        <v>2249686</v>
      </c>
      <c r="KG18" s="313">
        <f t="shared" si="3"/>
        <v>222930718.20999998</v>
      </c>
      <c r="KH18" s="313">
        <f t="shared" si="3"/>
        <v>420384175.46999997</v>
      </c>
      <c r="KI18" s="313">
        <f t="shared" si="3"/>
        <v>136745692.17000002</v>
      </c>
      <c r="KJ18" s="313">
        <f t="shared" si="3"/>
        <v>40094741.400000006</v>
      </c>
      <c r="KK18" s="313">
        <f t="shared" si="3"/>
        <v>2387392.5</v>
      </c>
      <c r="KL18" s="313">
        <f t="shared" si="3"/>
        <v>6330139.29</v>
      </c>
      <c r="KM18" s="313">
        <f t="shared" si="3"/>
        <v>784117.89</v>
      </c>
      <c r="KN18" s="313">
        <f t="shared" si="3"/>
        <v>18456688.93</v>
      </c>
      <c r="KO18" s="313">
        <f t="shared" si="3"/>
        <v>2504017.96</v>
      </c>
      <c r="KP18" s="313">
        <f t="shared" si="3"/>
        <v>3918611</v>
      </c>
      <c r="KQ18" s="313">
        <f t="shared" si="3"/>
        <v>595500</v>
      </c>
      <c r="KR18" s="313">
        <f t="shared" si="3"/>
        <v>1925780</v>
      </c>
      <c r="KS18" s="313">
        <f t="shared" si="3"/>
        <v>2485845</v>
      </c>
      <c r="KT18" s="313">
        <f t="shared" si="3"/>
        <v>10058404.18</v>
      </c>
      <c r="KU18" s="313">
        <f t="shared" si="3"/>
        <v>4016455</v>
      </c>
      <c r="KV18" s="313">
        <f t="shared" si="3"/>
        <v>649971</v>
      </c>
      <c r="KW18" s="313">
        <f t="shared" si="3"/>
        <v>20755548.59</v>
      </c>
      <c r="KX18" s="313">
        <f t="shared" si="3"/>
        <v>2233126</v>
      </c>
      <c r="KY18" s="313">
        <f t="shared" si="3"/>
        <v>2808841.76</v>
      </c>
      <c r="KZ18" s="313">
        <f t="shared" si="3"/>
        <v>5911466</v>
      </c>
      <c r="LA18" s="313">
        <f t="shared" si="3"/>
        <v>40982100.32</v>
      </c>
      <c r="LB18" s="313">
        <f t="shared" si="3"/>
        <v>9581328.2199999988</v>
      </c>
      <c r="LC18" s="313">
        <f t="shared" si="3"/>
        <v>0</v>
      </c>
    </row>
    <row r="19" spans="1:315" ht="25.5" x14ac:dyDescent="0.25">
      <c r="A19" s="313">
        <v>17</v>
      </c>
      <c r="B19" s="348" t="s">
        <v>1855</v>
      </c>
      <c r="C19" s="350">
        <v>155950</v>
      </c>
      <c r="D19" s="350">
        <v>182500</v>
      </c>
      <c r="E19" s="350">
        <v>0</v>
      </c>
      <c r="F19" s="350">
        <v>0</v>
      </c>
      <c r="G19" s="350">
        <v>19650</v>
      </c>
      <c r="H19" s="350">
        <v>40350</v>
      </c>
      <c r="I19" s="350">
        <v>0</v>
      </c>
      <c r="J19" s="350">
        <v>0</v>
      </c>
      <c r="K19" s="350">
        <v>0</v>
      </c>
      <c r="L19" s="350">
        <v>114661</v>
      </c>
      <c r="M19" s="350">
        <v>16997.5</v>
      </c>
      <c r="N19" s="350">
        <v>35000</v>
      </c>
      <c r="O19" s="350">
        <v>0</v>
      </c>
      <c r="P19" s="350">
        <v>18909</v>
      </c>
      <c r="Q19" s="350">
        <v>62396</v>
      </c>
      <c r="R19" s="350">
        <v>10395</v>
      </c>
      <c r="S19" s="350">
        <v>0</v>
      </c>
      <c r="T19" s="350">
        <v>45908</v>
      </c>
      <c r="U19" s="350">
        <v>3190</v>
      </c>
      <c r="V19" s="350">
        <v>0</v>
      </c>
      <c r="W19" s="350">
        <v>0</v>
      </c>
      <c r="X19" s="350">
        <v>0</v>
      </c>
      <c r="Y19" s="350">
        <v>0</v>
      </c>
      <c r="Z19" s="350">
        <v>0</v>
      </c>
      <c r="AA19" s="350">
        <v>0</v>
      </c>
      <c r="AB19" s="350">
        <v>38000</v>
      </c>
      <c r="AC19" s="350">
        <v>0</v>
      </c>
      <c r="AD19" s="350">
        <v>20000</v>
      </c>
      <c r="AE19" s="350">
        <v>592</v>
      </c>
      <c r="AF19" s="350">
        <v>198189.7</v>
      </c>
      <c r="AG19" s="350">
        <v>35030</v>
      </c>
      <c r="AH19" s="350">
        <v>103059</v>
      </c>
      <c r="AI19" s="350">
        <v>151857</v>
      </c>
      <c r="AJ19" s="350">
        <v>57848</v>
      </c>
      <c r="AK19" s="350">
        <v>500000</v>
      </c>
      <c r="AL19" s="350">
        <v>446620</v>
      </c>
      <c r="AM19" s="350">
        <v>0</v>
      </c>
      <c r="AN19" s="350">
        <v>80869</v>
      </c>
      <c r="AO19" s="350">
        <v>53601</v>
      </c>
      <c r="AP19" s="350">
        <v>0</v>
      </c>
      <c r="AQ19" s="350">
        <v>59805</v>
      </c>
      <c r="AR19" s="350">
        <v>62950</v>
      </c>
      <c r="AS19" s="350">
        <v>18700</v>
      </c>
      <c r="AT19" s="350">
        <v>10023</v>
      </c>
      <c r="AU19" s="350">
        <v>0</v>
      </c>
      <c r="AV19" s="350">
        <v>26475</v>
      </c>
      <c r="AW19" s="351"/>
      <c r="AX19" s="350">
        <v>37120</v>
      </c>
      <c r="AY19" s="350">
        <v>0</v>
      </c>
      <c r="AZ19" s="350">
        <v>0</v>
      </c>
      <c r="BA19" s="350">
        <v>0</v>
      </c>
      <c r="BB19" s="350">
        <v>23535</v>
      </c>
      <c r="BC19" s="350">
        <v>0</v>
      </c>
      <c r="BD19" s="350">
        <v>0</v>
      </c>
      <c r="BE19" s="350">
        <v>0</v>
      </c>
      <c r="BF19" s="350">
        <v>75000</v>
      </c>
      <c r="BG19" s="350">
        <v>0</v>
      </c>
      <c r="BH19" s="350">
        <v>0</v>
      </c>
      <c r="BI19" s="351"/>
      <c r="BJ19" s="350">
        <v>0</v>
      </c>
      <c r="BK19" s="350">
        <v>0</v>
      </c>
      <c r="BL19" s="350">
        <v>0</v>
      </c>
      <c r="BM19" s="350">
        <v>0</v>
      </c>
      <c r="BN19" s="350">
        <v>0</v>
      </c>
      <c r="BO19" s="350">
        <v>28622</v>
      </c>
      <c r="BP19" s="350">
        <v>0</v>
      </c>
      <c r="BQ19" s="350">
        <v>0</v>
      </c>
      <c r="BR19" s="350">
        <v>0</v>
      </c>
      <c r="BS19" s="350">
        <v>5040</v>
      </c>
      <c r="BT19" s="350">
        <v>84235</v>
      </c>
      <c r="BU19" s="350">
        <v>0</v>
      </c>
      <c r="BV19" s="350">
        <v>0</v>
      </c>
      <c r="BW19" s="350">
        <v>60283</v>
      </c>
      <c r="BX19" s="350">
        <v>0</v>
      </c>
      <c r="BY19" s="350">
        <v>0</v>
      </c>
      <c r="BZ19" s="350">
        <v>166378</v>
      </c>
      <c r="CA19" s="350">
        <v>267056</v>
      </c>
      <c r="CB19" s="350">
        <v>0</v>
      </c>
      <c r="CC19" s="350">
        <v>0</v>
      </c>
      <c r="CD19" s="350">
        <v>0</v>
      </c>
      <c r="CE19" s="350">
        <v>0</v>
      </c>
      <c r="CF19" s="350">
        <v>0</v>
      </c>
      <c r="CG19" s="350">
        <v>0</v>
      </c>
      <c r="CH19" s="350">
        <v>8730</v>
      </c>
      <c r="CI19" s="350">
        <v>0</v>
      </c>
      <c r="CJ19" s="350">
        <v>24120</v>
      </c>
      <c r="CK19" s="350">
        <v>0</v>
      </c>
      <c r="CL19" s="350">
        <v>0</v>
      </c>
      <c r="CM19" s="350">
        <v>0</v>
      </c>
      <c r="CN19" s="350">
        <v>0</v>
      </c>
      <c r="CO19" s="350">
        <v>0</v>
      </c>
      <c r="CP19" s="350">
        <v>132900</v>
      </c>
      <c r="CQ19" s="350">
        <v>0</v>
      </c>
      <c r="CR19" s="350">
        <v>60000</v>
      </c>
      <c r="CS19" s="350">
        <v>5096</v>
      </c>
      <c r="CT19" s="350">
        <v>0</v>
      </c>
      <c r="CU19" s="350">
        <v>0</v>
      </c>
      <c r="CV19" s="350">
        <v>0</v>
      </c>
      <c r="CW19" s="350">
        <v>0</v>
      </c>
      <c r="CX19" s="350">
        <v>2504</v>
      </c>
      <c r="CY19" s="350">
        <v>0</v>
      </c>
      <c r="CZ19" s="350">
        <v>29081</v>
      </c>
      <c r="DA19" s="350">
        <v>514343</v>
      </c>
      <c r="DB19" s="350">
        <v>0</v>
      </c>
      <c r="DC19" s="350">
        <v>32832</v>
      </c>
      <c r="DD19" s="350">
        <v>0</v>
      </c>
      <c r="DE19" s="350">
        <v>128000</v>
      </c>
      <c r="DF19" s="350">
        <v>50744</v>
      </c>
      <c r="DG19" s="350">
        <v>0</v>
      </c>
      <c r="DH19" s="350">
        <v>0</v>
      </c>
      <c r="DI19" s="350">
        <v>0</v>
      </c>
      <c r="DJ19" s="350">
        <v>21828</v>
      </c>
      <c r="DK19" s="350">
        <v>0</v>
      </c>
      <c r="DL19" s="350">
        <v>119350.8</v>
      </c>
      <c r="DM19" s="350">
        <v>40450</v>
      </c>
      <c r="DN19" s="350">
        <v>64200</v>
      </c>
      <c r="DO19" s="350">
        <v>0</v>
      </c>
      <c r="DP19" s="350">
        <v>0</v>
      </c>
      <c r="DQ19" s="350">
        <v>0</v>
      </c>
      <c r="DR19" s="350">
        <v>10770</v>
      </c>
      <c r="DS19" s="350">
        <v>0</v>
      </c>
      <c r="DT19" s="350">
        <v>0</v>
      </c>
      <c r="DU19" s="350">
        <v>15853</v>
      </c>
      <c r="DV19" s="350">
        <v>0</v>
      </c>
      <c r="DW19" s="350">
        <v>79080</v>
      </c>
      <c r="DX19" s="350">
        <v>0</v>
      </c>
      <c r="DY19" s="350">
        <v>0</v>
      </c>
      <c r="DZ19" s="350">
        <v>0</v>
      </c>
      <c r="EA19" s="350">
        <v>0</v>
      </c>
      <c r="EB19" s="350">
        <v>127365</v>
      </c>
      <c r="EC19" s="350">
        <v>25425</v>
      </c>
      <c r="ED19" s="350">
        <v>13971</v>
      </c>
      <c r="EE19" s="350">
        <v>0</v>
      </c>
      <c r="EF19" s="350">
        <v>0</v>
      </c>
      <c r="EG19" s="350">
        <v>0</v>
      </c>
      <c r="EH19" s="350">
        <v>280776</v>
      </c>
      <c r="EI19" s="350">
        <v>0</v>
      </c>
      <c r="EJ19" s="350">
        <v>97354</v>
      </c>
      <c r="EK19" s="350">
        <v>45550</v>
      </c>
      <c r="EL19" s="350">
        <v>102759</v>
      </c>
      <c r="EM19" s="350">
        <v>87600</v>
      </c>
      <c r="EN19" s="350">
        <v>64089</v>
      </c>
      <c r="EO19" s="350">
        <v>92400</v>
      </c>
      <c r="EP19" s="350">
        <v>81510</v>
      </c>
      <c r="EQ19" s="350">
        <v>144273</v>
      </c>
      <c r="ER19" s="350">
        <v>14322</v>
      </c>
      <c r="ES19" s="350">
        <v>22100</v>
      </c>
      <c r="ET19" s="350">
        <v>0</v>
      </c>
      <c r="EU19" s="350">
        <v>0</v>
      </c>
      <c r="EV19" s="350">
        <v>17324</v>
      </c>
      <c r="EW19" s="350">
        <v>65895</v>
      </c>
      <c r="EX19" s="350">
        <v>49588</v>
      </c>
      <c r="EY19" s="350">
        <v>38060</v>
      </c>
      <c r="EZ19" s="350">
        <v>67500</v>
      </c>
      <c r="FA19" s="350">
        <v>101548</v>
      </c>
      <c r="FB19" s="350">
        <v>370601</v>
      </c>
      <c r="FC19" s="350">
        <v>0</v>
      </c>
      <c r="FD19" s="350">
        <v>0</v>
      </c>
      <c r="FE19" s="350">
        <v>0</v>
      </c>
      <c r="FF19" s="350">
        <v>0</v>
      </c>
      <c r="FG19" s="350">
        <v>67722</v>
      </c>
      <c r="FH19" s="350">
        <v>163806</v>
      </c>
      <c r="FI19" s="350">
        <v>0</v>
      </c>
      <c r="FJ19" s="350">
        <v>0</v>
      </c>
      <c r="FK19" s="350">
        <v>332447</v>
      </c>
      <c r="FL19" s="350">
        <v>0</v>
      </c>
      <c r="FM19" s="350">
        <v>0</v>
      </c>
      <c r="FN19" s="350">
        <v>6600</v>
      </c>
      <c r="FO19" s="350">
        <v>86112</v>
      </c>
      <c r="FP19" s="350">
        <v>0</v>
      </c>
      <c r="FQ19" s="350">
        <v>0</v>
      </c>
      <c r="FR19" s="350">
        <v>28950</v>
      </c>
      <c r="FS19" s="350">
        <v>27987</v>
      </c>
      <c r="FT19" s="350">
        <v>107475</v>
      </c>
      <c r="FU19" s="350">
        <v>14252</v>
      </c>
      <c r="FV19" s="350">
        <v>41552</v>
      </c>
      <c r="FW19" s="350">
        <v>0</v>
      </c>
      <c r="FX19" s="350">
        <v>0</v>
      </c>
      <c r="FY19" s="350">
        <v>0</v>
      </c>
      <c r="FZ19" s="350">
        <v>0</v>
      </c>
      <c r="GA19" s="350">
        <v>23840</v>
      </c>
      <c r="GB19" s="350">
        <v>0</v>
      </c>
      <c r="GC19" s="350">
        <v>0</v>
      </c>
      <c r="GD19" s="350">
        <v>0</v>
      </c>
      <c r="GE19" s="350">
        <v>0</v>
      </c>
      <c r="GF19" s="350">
        <v>700</v>
      </c>
      <c r="GG19" s="350">
        <v>66274</v>
      </c>
      <c r="GH19" s="350">
        <v>0</v>
      </c>
      <c r="GI19" s="350">
        <v>44975</v>
      </c>
      <c r="GJ19" s="350">
        <v>0</v>
      </c>
      <c r="GK19" s="350">
        <v>0</v>
      </c>
      <c r="GL19" s="350">
        <v>22425</v>
      </c>
      <c r="GM19" s="350">
        <v>0</v>
      </c>
      <c r="GN19" s="350">
        <v>22845.5</v>
      </c>
      <c r="GO19" s="350">
        <v>0</v>
      </c>
      <c r="GP19" s="350">
        <v>30911</v>
      </c>
      <c r="GQ19" s="350">
        <v>0</v>
      </c>
      <c r="GR19" s="350">
        <v>145655</v>
      </c>
      <c r="GS19" s="350">
        <v>153382</v>
      </c>
      <c r="GT19" s="350">
        <v>0</v>
      </c>
      <c r="GU19" s="350">
        <v>0</v>
      </c>
      <c r="GV19" s="350">
        <v>19745</v>
      </c>
      <c r="GW19" s="350">
        <v>26180</v>
      </c>
      <c r="GX19" s="350">
        <v>86728</v>
      </c>
      <c r="GY19" s="350">
        <v>6000</v>
      </c>
      <c r="GZ19" s="350">
        <v>61454</v>
      </c>
      <c r="HA19" s="350">
        <v>0</v>
      </c>
      <c r="HB19" s="350">
        <v>39410</v>
      </c>
      <c r="HC19" s="350">
        <v>0</v>
      </c>
      <c r="HD19" s="350">
        <v>0</v>
      </c>
      <c r="HE19" s="350">
        <v>54625</v>
      </c>
      <c r="HF19" s="350">
        <v>16290</v>
      </c>
      <c r="HG19" s="350">
        <v>0</v>
      </c>
      <c r="HH19" s="350">
        <v>33000</v>
      </c>
      <c r="HI19" s="350">
        <v>57000</v>
      </c>
      <c r="HJ19" s="350">
        <v>0</v>
      </c>
      <c r="HK19" s="350">
        <v>0</v>
      </c>
      <c r="HL19" s="350">
        <v>126885</v>
      </c>
      <c r="HM19" s="350">
        <v>0</v>
      </c>
      <c r="HN19" s="350">
        <v>103721</v>
      </c>
      <c r="HO19" s="350">
        <v>8750</v>
      </c>
      <c r="HP19" s="350">
        <v>0</v>
      </c>
      <c r="HQ19" s="350">
        <v>0</v>
      </c>
      <c r="HR19" s="350">
        <v>0</v>
      </c>
      <c r="HS19" s="350">
        <v>6240</v>
      </c>
      <c r="HT19" s="350">
        <v>82772</v>
      </c>
      <c r="HU19" s="350">
        <v>3795.5</v>
      </c>
      <c r="HV19" s="350">
        <v>0</v>
      </c>
      <c r="HW19" s="350">
        <v>0</v>
      </c>
      <c r="HX19" s="350">
        <v>0</v>
      </c>
      <c r="HY19" s="350">
        <v>190630</v>
      </c>
      <c r="HZ19" s="350">
        <v>0</v>
      </c>
      <c r="IA19" s="350">
        <v>46969</v>
      </c>
      <c r="IB19" s="350">
        <v>58050</v>
      </c>
      <c r="IC19" s="350">
        <v>59600</v>
      </c>
      <c r="ID19" s="350">
        <v>45677</v>
      </c>
      <c r="IE19" s="350">
        <v>116252</v>
      </c>
      <c r="IF19" s="350">
        <v>10000</v>
      </c>
      <c r="IG19" s="350">
        <v>0</v>
      </c>
      <c r="IH19" s="350">
        <v>0</v>
      </c>
      <c r="II19" s="350">
        <v>29600</v>
      </c>
      <c r="IJ19" s="350">
        <v>0</v>
      </c>
      <c r="IK19" s="350">
        <v>0</v>
      </c>
      <c r="IL19" s="350">
        <v>18250</v>
      </c>
      <c r="IM19" s="351"/>
      <c r="IN19" s="350">
        <v>0</v>
      </c>
      <c r="IO19" s="350">
        <v>0</v>
      </c>
      <c r="IP19" s="350">
        <v>0</v>
      </c>
      <c r="IQ19" s="350">
        <v>19441.5</v>
      </c>
      <c r="IR19" s="350">
        <v>0</v>
      </c>
      <c r="IS19" s="350">
        <v>0</v>
      </c>
      <c r="IT19" s="350">
        <v>29852.5</v>
      </c>
      <c r="IU19" s="350">
        <v>0</v>
      </c>
      <c r="IV19" s="350">
        <v>0</v>
      </c>
      <c r="IW19" s="350">
        <v>61852</v>
      </c>
      <c r="IX19" s="350">
        <v>0</v>
      </c>
      <c r="IY19" s="350">
        <v>27210</v>
      </c>
      <c r="IZ19" s="350">
        <v>0</v>
      </c>
      <c r="JA19" s="350">
        <v>36300</v>
      </c>
      <c r="JB19" s="350">
        <v>0</v>
      </c>
      <c r="JC19" s="350">
        <v>22220</v>
      </c>
      <c r="JD19" s="350">
        <v>0</v>
      </c>
      <c r="JE19" s="350">
        <v>0</v>
      </c>
      <c r="JF19" s="350">
        <v>0</v>
      </c>
      <c r="JG19" s="350">
        <v>0</v>
      </c>
      <c r="JH19" s="350">
        <v>4500</v>
      </c>
      <c r="JI19" s="350">
        <v>242049</v>
      </c>
      <c r="JJ19" s="350">
        <v>0</v>
      </c>
      <c r="JK19" s="350">
        <v>0</v>
      </c>
      <c r="JL19" s="350">
        <v>0</v>
      </c>
      <c r="JM19" s="350">
        <v>5000</v>
      </c>
      <c r="JN19" s="350">
        <v>0</v>
      </c>
      <c r="JO19" s="350">
        <v>7160</v>
      </c>
      <c r="JP19" s="350">
        <v>97962</v>
      </c>
      <c r="JQ19" s="350">
        <v>552187</v>
      </c>
      <c r="JR19" s="351"/>
      <c r="JU19" s="348" t="s">
        <v>1855</v>
      </c>
      <c r="JV19" s="313">
        <f t="shared" si="2"/>
        <v>705906.5</v>
      </c>
      <c r="JW19" s="313">
        <f t="shared" si="3"/>
        <v>58592</v>
      </c>
      <c r="JX19" s="313">
        <f t="shared" si="3"/>
        <v>1686878.7</v>
      </c>
      <c r="JY19" s="313">
        <f t="shared" si="3"/>
        <v>898267</v>
      </c>
      <c r="JZ19" s="313">
        <f t="shared" si="3"/>
        <v>0</v>
      </c>
      <c r="KA19" s="313">
        <f t="shared" si="3"/>
        <v>0</v>
      </c>
      <c r="KB19" s="313">
        <f t="shared" si="3"/>
        <v>132900</v>
      </c>
      <c r="KC19" s="313">
        <f t="shared" si="3"/>
        <v>643856</v>
      </c>
      <c r="KD19" s="313">
        <f t="shared" si="3"/>
        <v>200572</v>
      </c>
      <c r="KE19" s="313">
        <f t="shared" si="3"/>
        <v>329703.8</v>
      </c>
      <c r="KF19" s="313">
        <f t="shared" si="3"/>
        <v>0</v>
      </c>
      <c r="KG19" s="313">
        <f t="shared" si="3"/>
        <v>544891</v>
      </c>
      <c r="KH19" s="313">
        <f t="shared" si="3"/>
        <v>1935694</v>
      </c>
      <c r="KI19" s="313">
        <f t="shared" si="3"/>
        <v>306328</v>
      </c>
      <c r="KJ19" s="313">
        <f t="shared" si="3"/>
        <v>135789</v>
      </c>
      <c r="KK19" s="313">
        <f t="shared" si="3"/>
        <v>0</v>
      </c>
      <c r="KL19" s="313">
        <f t="shared" si="3"/>
        <v>45270.5</v>
      </c>
      <c r="KM19" s="313">
        <f t="shared" si="3"/>
        <v>30911</v>
      </c>
      <c r="KN19" s="313">
        <f t="shared" si="3"/>
        <v>344962</v>
      </c>
      <c r="KO19" s="313">
        <f t="shared" si="3"/>
        <v>86728</v>
      </c>
      <c r="KP19" s="313">
        <f t="shared" si="3"/>
        <v>67454</v>
      </c>
      <c r="KQ19" s="313">
        <f t="shared" si="3"/>
        <v>0</v>
      </c>
      <c r="KR19" s="313">
        <f t="shared" si="3"/>
        <v>39410</v>
      </c>
      <c r="KS19" s="313">
        <f t="shared" si="3"/>
        <v>0</v>
      </c>
      <c r="KT19" s="313">
        <f t="shared" si="3"/>
        <v>287800</v>
      </c>
      <c r="KU19" s="313">
        <f t="shared" si="3"/>
        <v>112471</v>
      </c>
      <c r="KV19" s="313">
        <f t="shared" si="3"/>
        <v>0</v>
      </c>
      <c r="KW19" s="313">
        <f t="shared" si="3"/>
        <v>609985.5</v>
      </c>
      <c r="KX19" s="313">
        <f t="shared" si="3"/>
        <v>10000</v>
      </c>
      <c r="KY19" s="313">
        <f t="shared" si="3"/>
        <v>29600</v>
      </c>
      <c r="KZ19" s="313">
        <f t="shared" si="3"/>
        <v>18250</v>
      </c>
      <c r="LA19" s="313">
        <f t="shared" si="3"/>
        <v>448425</v>
      </c>
      <c r="LB19" s="313">
        <f t="shared" si="3"/>
        <v>657309</v>
      </c>
      <c r="LC19" s="313">
        <f t="shared" si="3"/>
        <v>0</v>
      </c>
    </row>
    <row r="20" spans="1:315" x14ac:dyDescent="0.25">
      <c r="A20" s="313">
        <v>18</v>
      </c>
      <c r="B20" s="348" t="s">
        <v>1856</v>
      </c>
      <c r="C20" s="350">
        <v>840087</v>
      </c>
      <c r="D20" s="350">
        <v>0</v>
      </c>
      <c r="E20" s="350">
        <v>123584</v>
      </c>
      <c r="F20" s="350">
        <v>109292</v>
      </c>
      <c r="G20" s="350">
        <v>114151.5</v>
      </c>
      <c r="H20" s="350">
        <v>423906</v>
      </c>
      <c r="I20" s="350">
        <v>219304</v>
      </c>
      <c r="J20" s="350">
        <v>447130</v>
      </c>
      <c r="K20" s="350">
        <v>205154</v>
      </c>
      <c r="L20" s="350">
        <v>0</v>
      </c>
      <c r="M20" s="350">
        <v>626211.5</v>
      </c>
      <c r="N20" s="350">
        <v>298151</v>
      </c>
      <c r="O20" s="350">
        <v>95289</v>
      </c>
      <c r="P20" s="350">
        <v>225495.81</v>
      </c>
      <c r="Q20" s="350">
        <v>247769.67</v>
      </c>
      <c r="R20" s="350">
        <v>217168.02</v>
      </c>
      <c r="S20" s="350">
        <v>254264</v>
      </c>
      <c r="T20" s="350">
        <v>364209</v>
      </c>
      <c r="U20" s="350">
        <v>119701</v>
      </c>
      <c r="V20" s="350">
        <v>177701</v>
      </c>
      <c r="W20" s="350">
        <v>131084.25</v>
      </c>
      <c r="X20" s="350">
        <v>139276.25</v>
      </c>
      <c r="Y20" s="350">
        <v>69641</v>
      </c>
      <c r="Z20" s="350">
        <v>225256</v>
      </c>
      <c r="AA20" s="350">
        <v>88093</v>
      </c>
      <c r="AB20" s="350">
        <v>102125</v>
      </c>
      <c r="AC20" s="350">
        <v>84900</v>
      </c>
      <c r="AD20" s="350">
        <v>104855</v>
      </c>
      <c r="AE20" s="350">
        <v>418025</v>
      </c>
      <c r="AF20" s="350">
        <v>533999.04</v>
      </c>
      <c r="AG20" s="350">
        <v>831438</v>
      </c>
      <c r="AH20" s="350">
        <v>0</v>
      </c>
      <c r="AI20" s="350">
        <v>102508</v>
      </c>
      <c r="AJ20" s="350">
        <v>541872</v>
      </c>
      <c r="AK20" s="350">
        <v>1164389.8700000001</v>
      </c>
      <c r="AL20" s="350">
        <v>394985</v>
      </c>
      <c r="AM20" s="350">
        <v>221211</v>
      </c>
      <c r="AN20" s="350">
        <v>485060</v>
      </c>
      <c r="AO20" s="350">
        <v>524863</v>
      </c>
      <c r="AP20" s="350">
        <v>1010178</v>
      </c>
      <c r="AQ20" s="350">
        <v>1074649.99</v>
      </c>
      <c r="AR20" s="350">
        <v>1293149</v>
      </c>
      <c r="AS20" s="350">
        <v>992731</v>
      </c>
      <c r="AT20" s="350">
        <v>1202204</v>
      </c>
      <c r="AU20" s="350">
        <v>128000</v>
      </c>
      <c r="AV20" s="350">
        <v>229634</v>
      </c>
      <c r="AW20" s="351"/>
      <c r="AX20" s="350">
        <v>517317</v>
      </c>
      <c r="AY20" s="350">
        <v>517369</v>
      </c>
      <c r="AZ20" s="350">
        <v>0</v>
      </c>
      <c r="BA20" s="350">
        <v>146393</v>
      </c>
      <c r="BB20" s="350">
        <v>499644</v>
      </c>
      <c r="BC20" s="350">
        <v>0</v>
      </c>
      <c r="BD20" s="350">
        <v>0</v>
      </c>
      <c r="BE20" s="350">
        <v>0</v>
      </c>
      <c r="BF20" s="350">
        <v>0</v>
      </c>
      <c r="BG20" s="350">
        <v>0</v>
      </c>
      <c r="BH20" s="350">
        <v>0</v>
      </c>
      <c r="BI20" s="350">
        <v>0</v>
      </c>
      <c r="BJ20" s="350">
        <v>116021.74</v>
      </c>
      <c r="BK20" s="350">
        <v>0</v>
      </c>
      <c r="BL20" s="350">
        <v>697418</v>
      </c>
      <c r="BM20" s="350">
        <v>496232</v>
      </c>
      <c r="BN20" s="350">
        <v>1870948.31</v>
      </c>
      <c r="BO20" s="350">
        <v>619834</v>
      </c>
      <c r="BP20" s="350">
        <v>48178</v>
      </c>
      <c r="BQ20" s="350">
        <v>365249</v>
      </c>
      <c r="BR20" s="350">
        <v>431687.25</v>
      </c>
      <c r="BS20" s="350">
        <v>1198634</v>
      </c>
      <c r="BT20" s="350">
        <v>663722</v>
      </c>
      <c r="BU20" s="350">
        <v>459565</v>
      </c>
      <c r="BV20" s="350">
        <v>771407</v>
      </c>
      <c r="BW20" s="350">
        <v>1022072.77</v>
      </c>
      <c r="BX20" s="350">
        <v>0</v>
      </c>
      <c r="BY20" s="350">
        <v>724284</v>
      </c>
      <c r="BZ20" s="350">
        <v>1547896</v>
      </c>
      <c r="CA20" s="350">
        <v>2521931</v>
      </c>
      <c r="CB20" s="350">
        <v>129917</v>
      </c>
      <c r="CC20" s="350">
        <v>958607</v>
      </c>
      <c r="CD20" s="350">
        <v>4800499.97</v>
      </c>
      <c r="CE20" s="350">
        <v>52820</v>
      </c>
      <c r="CF20" s="350">
        <v>449548</v>
      </c>
      <c r="CG20" s="350">
        <v>1488090.22</v>
      </c>
      <c r="CH20" s="350">
        <v>51359</v>
      </c>
      <c r="CI20" s="350">
        <v>279217</v>
      </c>
      <c r="CJ20" s="350">
        <v>1020412</v>
      </c>
      <c r="CK20" s="350">
        <v>1067220</v>
      </c>
      <c r="CL20" s="350">
        <v>40975</v>
      </c>
      <c r="CM20" s="350">
        <v>824944</v>
      </c>
      <c r="CN20" s="350">
        <v>81848</v>
      </c>
      <c r="CO20" s="350">
        <v>122701.7</v>
      </c>
      <c r="CP20" s="350">
        <v>571860</v>
      </c>
      <c r="CQ20" s="350">
        <v>342118</v>
      </c>
      <c r="CR20" s="350">
        <v>1815974</v>
      </c>
      <c r="CS20" s="350">
        <v>279977</v>
      </c>
      <c r="CT20" s="350">
        <v>391374</v>
      </c>
      <c r="CU20" s="350">
        <v>128000</v>
      </c>
      <c r="CV20" s="350">
        <v>1436044</v>
      </c>
      <c r="CW20" s="350">
        <v>337004.97</v>
      </c>
      <c r="CX20" s="350">
        <v>671858</v>
      </c>
      <c r="CY20" s="350">
        <v>98186</v>
      </c>
      <c r="CZ20" s="350">
        <v>3296974</v>
      </c>
      <c r="DA20" s="350">
        <v>5440433</v>
      </c>
      <c r="DB20" s="350">
        <v>0</v>
      </c>
      <c r="DC20" s="350">
        <v>5462.75</v>
      </c>
      <c r="DD20" s="350">
        <v>162405.01999999999</v>
      </c>
      <c r="DE20" s="350">
        <v>1197385</v>
      </c>
      <c r="DF20" s="350">
        <v>0</v>
      </c>
      <c r="DG20" s="350">
        <v>115625</v>
      </c>
      <c r="DH20" s="350">
        <v>0</v>
      </c>
      <c r="DI20" s="350">
        <v>0</v>
      </c>
      <c r="DJ20" s="350">
        <v>589760</v>
      </c>
      <c r="DK20" s="350">
        <v>279217</v>
      </c>
      <c r="DL20" s="350">
        <v>1877942.03</v>
      </c>
      <c r="DM20" s="350">
        <v>222681</v>
      </c>
      <c r="DN20" s="350">
        <v>90789</v>
      </c>
      <c r="DO20" s="350">
        <v>203324</v>
      </c>
      <c r="DP20" s="350">
        <v>371248</v>
      </c>
      <c r="DQ20" s="350">
        <v>944177</v>
      </c>
      <c r="DR20" s="350">
        <v>1387557</v>
      </c>
      <c r="DS20" s="350">
        <v>205119.82</v>
      </c>
      <c r="DT20" s="350">
        <v>401694.32</v>
      </c>
      <c r="DU20" s="350">
        <v>1457732.45</v>
      </c>
      <c r="DV20" s="350">
        <v>4464300</v>
      </c>
      <c r="DW20" s="350">
        <v>1730347.26</v>
      </c>
      <c r="DX20" s="350">
        <v>1006948</v>
      </c>
      <c r="DY20" s="350">
        <v>1164275</v>
      </c>
      <c r="DZ20" s="350">
        <v>6108017.4400000004</v>
      </c>
      <c r="EA20" s="350">
        <v>1368474</v>
      </c>
      <c r="EB20" s="350">
        <v>9049102</v>
      </c>
      <c r="EC20" s="350">
        <v>5042455</v>
      </c>
      <c r="ED20" s="350">
        <v>1010379.26</v>
      </c>
      <c r="EE20" s="350">
        <v>10272376.539999999</v>
      </c>
      <c r="EF20" s="350">
        <v>7513525.0899999999</v>
      </c>
      <c r="EG20" s="350">
        <v>3495940.34</v>
      </c>
      <c r="EH20" s="350">
        <v>3577954</v>
      </c>
      <c r="EI20" s="350">
        <v>7397405</v>
      </c>
      <c r="EJ20" s="350">
        <v>7619938</v>
      </c>
      <c r="EK20" s="350">
        <v>4721305</v>
      </c>
      <c r="EL20" s="350">
        <v>1826504</v>
      </c>
      <c r="EM20" s="350">
        <v>8474227.6099999994</v>
      </c>
      <c r="EN20" s="350">
        <v>2500399</v>
      </c>
      <c r="EO20" s="350">
        <v>8159029.8899999997</v>
      </c>
      <c r="EP20" s="350">
        <v>6759862</v>
      </c>
      <c r="EQ20" s="350">
        <v>4431938</v>
      </c>
      <c r="ER20" s="350">
        <v>5563887.9199999999</v>
      </c>
      <c r="ES20" s="350">
        <v>5484841.1500000004</v>
      </c>
      <c r="ET20" s="350">
        <v>4972289</v>
      </c>
      <c r="EU20" s="350">
        <v>7080409</v>
      </c>
      <c r="EV20" s="350">
        <v>7903431.7800000003</v>
      </c>
      <c r="EW20" s="350">
        <v>10305331</v>
      </c>
      <c r="EX20" s="350">
        <v>5617898</v>
      </c>
      <c r="EY20" s="350">
        <v>5394062.4199999999</v>
      </c>
      <c r="EZ20" s="350">
        <v>10817380.4</v>
      </c>
      <c r="FA20" s="350">
        <v>5678629</v>
      </c>
      <c r="FB20" s="350">
        <v>20029864</v>
      </c>
      <c r="FC20" s="350">
        <v>4439737</v>
      </c>
      <c r="FD20" s="350">
        <v>7953265.04</v>
      </c>
      <c r="FE20" s="350">
        <v>3718673</v>
      </c>
      <c r="FF20" s="350">
        <v>2192006.06</v>
      </c>
      <c r="FG20" s="350">
        <v>4464343</v>
      </c>
      <c r="FH20" s="350">
        <v>4353122</v>
      </c>
      <c r="FI20" s="350">
        <v>5203292</v>
      </c>
      <c r="FJ20" s="350">
        <v>7509638.0599999996</v>
      </c>
      <c r="FK20" s="350">
        <v>2004348.6</v>
      </c>
      <c r="FL20" s="350">
        <v>3050076</v>
      </c>
      <c r="FM20" s="350">
        <v>5419389</v>
      </c>
      <c r="FN20" s="350">
        <v>5992150</v>
      </c>
      <c r="FO20" s="350">
        <v>1097795</v>
      </c>
      <c r="FP20" s="350">
        <v>9858327</v>
      </c>
      <c r="FQ20" s="350">
        <v>9197782</v>
      </c>
      <c r="FR20" s="350">
        <v>7919504</v>
      </c>
      <c r="FS20" s="350">
        <v>5100448</v>
      </c>
      <c r="FT20" s="350">
        <v>6499344.6399999997</v>
      </c>
      <c r="FU20" s="350">
        <v>1046943</v>
      </c>
      <c r="FV20" s="350">
        <v>3414054</v>
      </c>
      <c r="FW20" s="350">
        <v>8068856</v>
      </c>
      <c r="FX20" s="350">
        <v>200262</v>
      </c>
      <c r="FY20" s="350">
        <v>5648820</v>
      </c>
      <c r="FZ20" s="350">
        <v>2112495.19</v>
      </c>
      <c r="GA20" s="350">
        <v>371276</v>
      </c>
      <c r="GB20" s="350">
        <v>344649.69</v>
      </c>
      <c r="GC20" s="350">
        <v>408471.83</v>
      </c>
      <c r="GD20" s="350">
        <v>814742</v>
      </c>
      <c r="GE20" s="350">
        <v>125967</v>
      </c>
      <c r="GF20" s="350">
        <v>343615.25</v>
      </c>
      <c r="GG20" s="350">
        <v>2079479</v>
      </c>
      <c r="GH20" s="350">
        <v>203701.83</v>
      </c>
      <c r="GI20" s="350">
        <v>499163.55</v>
      </c>
      <c r="GJ20" s="350">
        <v>2403427</v>
      </c>
      <c r="GK20" s="350">
        <v>1150.53</v>
      </c>
      <c r="GL20" s="350">
        <v>291981</v>
      </c>
      <c r="GM20" s="350">
        <v>0</v>
      </c>
      <c r="GN20" s="350">
        <v>0</v>
      </c>
      <c r="GO20" s="350">
        <v>691252</v>
      </c>
      <c r="GP20" s="350">
        <v>0</v>
      </c>
      <c r="GQ20" s="350">
        <v>0</v>
      </c>
      <c r="GR20" s="350">
        <v>1374246</v>
      </c>
      <c r="GS20" s="350">
        <v>1351736</v>
      </c>
      <c r="GT20" s="350">
        <v>757447</v>
      </c>
      <c r="GU20" s="350">
        <v>970323.83</v>
      </c>
      <c r="GV20" s="350">
        <v>334405.31</v>
      </c>
      <c r="GW20" s="350">
        <v>644878</v>
      </c>
      <c r="GX20" s="350">
        <v>449781.27</v>
      </c>
      <c r="GY20" s="350">
        <v>350066</v>
      </c>
      <c r="GZ20" s="350">
        <v>427745</v>
      </c>
      <c r="HA20" s="350">
        <v>41933</v>
      </c>
      <c r="HB20" s="350">
        <v>607109</v>
      </c>
      <c r="HC20" s="350">
        <v>340965</v>
      </c>
      <c r="HD20" s="350">
        <v>106840</v>
      </c>
      <c r="HE20" s="350">
        <v>371710</v>
      </c>
      <c r="HF20" s="350">
        <v>330784.2</v>
      </c>
      <c r="HG20" s="350">
        <v>334184.09999999998</v>
      </c>
      <c r="HH20" s="350">
        <v>332851.58</v>
      </c>
      <c r="HI20" s="350">
        <v>652237</v>
      </c>
      <c r="HJ20" s="350">
        <v>1001855</v>
      </c>
      <c r="HK20" s="350">
        <v>191101</v>
      </c>
      <c r="HL20" s="350">
        <v>879777.78</v>
      </c>
      <c r="HM20" s="350">
        <v>478786</v>
      </c>
      <c r="HN20" s="350">
        <v>832979</v>
      </c>
      <c r="HO20" s="350">
        <v>328072</v>
      </c>
      <c r="HP20" s="350">
        <v>15298.15</v>
      </c>
      <c r="HQ20" s="350">
        <v>0</v>
      </c>
      <c r="HR20" s="350">
        <v>41205</v>
      </c>
      <c r="HS20" s="350">
        <v>923661</v>
      </c>
      <c r="HT20" s="350">
        <v>698113.88</v>
      </c>
      <c r="HU20" s="350">
        <v>0</v>
      </c>
      <c r="HV20" s="350">
        <v>550448.76</v>
      </c>
      <c r="HW20" s="350">
        <v>484923</v>
      </c>
      <c r="HX20" s="350">
        <v>0</v>
      </c>
      <c r="HY20" s="350">
        <v>1048067</v>
      </c>
      <c r="HZ20" s="350">
        <v>8601</v>
      </c>
      <c r="IA20" s="350">
        <v>170084.48000000001</v>
      </c>
      <c r="IB20" s="350">
        <v>728478.39</v>
      </c>
      <c r="IC20" s="350">
        <v>831536.97</v>
      </c>
      <c r="ID20" s="350">
        <v>650588.12</v>
      </c>
      <c r="IE20" s="350">
        <v>339868</v>
      </c>
      <c r="IF20" s="350">
        <v>426739</v>
      </c>
      <c r="IG20" s="350">
        <v>139276</v>
      </c>
      <c r="IH20" s="350">
        <v>181767.66</v>
      </c>
      <c r="II20" s="350">
        <v>810236</v>
      </c>
      <c r="IJ20" s="350">
        <v>200334</v>
      </c>
      <c r="IK20" s="350">
        <v>303127</v>
      </c>
      <c r="IL20" s="350">
        <v>241146.25</v>
      </c>
      <c r="IM20" s="351"/>
      <c r="IN20" s="350">
        <v>356060.14</v>
      </c>
      <c r="IO20" s="350">
        <v>384359.62</v>
      </c>
      <c r="IP20" s="350">
        <v>244899.86</v>
      </c>
      <c r="IQ20" s="350">
        <v>0</v>
      </c>
      <c r="IR20" s="350">
        <v>420127.21</v>
      </c>
      <c r="IS20" s="350">
        <v>132173</v>
      </c>
      <c r="IT20" s="350">
        <v>552911.55000000005</v>
      </c>
      <c r="IU20" s="350">
        <v>399755</v>
      </c>
      <c r="IV20" s="350">
        <v>13826</v>
      </c>
      <c r="IW20" s="350">
        <v>51073.33</v>
      </c>
      <c r="IX20" s="350">
        <v>20200</v>
      </c>
      <c r="IY20" s="350">
        <v>123993</v>
      </c>
      <c r="IZ20" s="350">
        <v>487733</v>
      </c>
      <c r="JA20" s="350">
        <v>1010232</v>
      </c>
      <c r="JB20" s="350">
        <v>1328284.48</v>
      </c>
      <c r="JC20" s="350">
        <v>1081632</v>
      </c>
      <c r="JD20" s="350">
        <v>205341</v>
      </c>
      <c r="JE20" s="350">
        <v>132099</v>
      </c>
      <c r="JF20" s="350">
        <v>205610</v>
      </c>
      <c r="JG20" s="350">
        <v>307207</v>
      </c>
      <c r="JH20" s="350">
        <v>396282</v>
      </c>
      <c r="JI20" s="350">
        <v>1154443</v>
      </c>
      <c r="JJ20" s="350">
        <v>409906</v>
      </c>
      <c r="JK20" s="350">
        <v>187710.5</v>
      </c>
      <c r="JL20" s="350">
        <v>105353.75</v>
      </c>
      <c r="JM20" s="350">
        <v>662542</v>
      </c>
      <c r="JN20" s="350">
        <v>722533.5</v>
      </c>
      <c r="JO20" s="350">
        <v>284357</v>
      </c>
      <c r="JP20" s="350">
        <v>205635</v>
      </c>
      <c r="JQ20" s="350">
        <v>273942</v>
      </c>
      <c r="JR20" s="351"/>
      <c r="JU20" s="348" t="s">
        <v>1856</v>
      </c>
      <c r="JV20" s="313">
        <f t="shared" si="2"/>
        <v>5673826</v>
      </c>
      <c r="JW20" s="313">
        <f t="shared" si="3"/>
        <v>797998</v>
      </c>
      <c r="JX20" s="313">
        <f t="shared" si="3"/>
        <v>6885153.9000000004</v>
      </c>
      <c r="JY20" s="313">
        <f t="shared" si="3"/>
        <v>29379211.259999998</v>
      </c>
      <c r="JZ20" s="313">
        <f t="shared" si="3"/>
        <v>865919</v>
      </c>
      <c r="KA20" s="313">
        <f t="shared" si="3"/>
        <v>81848</v>
      </c>
      <c r="KB20" s="313">
        <f t="shared" si="3"/>
        <v>694561.7</v>
      </c>
      <c r="KC20" s="313">
        <f t="shared" si="3"/>
        <v>14405810.739999998</v>
      </c>
      <c r="KD20" s="313">
        <f t="shared" si="3"/>
        <v>2181987</v>
      </c>
      <c r="KE20" s="313">
        <f t="shared" si="3"/>
        <v>14363859.880000001</v>
      </c>
      <c r="KF20" s="313">
        <f t="shared" si="3"/>
        <v>1164275</v>
      </c>
      <c r="KG20" s="313">
        <f t="shared" si="3"/>
        <v>62455566.670000002</v>
      </c>
      <c r="KH20" s="313">
        <f t="shared" si="3"/>
        <v>182021328.93000001</v>
      </c>
      <c r="KI20" s="313">
        <f t="shared" si="3"/>
        <v>58052135.640000001</v>
      </c>
      <c r="KJ20" s="313">
        <f t="shared" si="3"/>
        <v>7303561.3399999999</v>
      </c>
      <c r="KK20" s="313">
        <f t="shared" si="3"/>
        <v>2404577.5299999998</v>
      </c>
      <c r="KL20" s="313">
        <f t="shared" si="3"/>
        <v>983233</v>
      </c>
      <c r="KM20" s="313">
        <f t="shared" si="3"/>
        <v>0</v>
      </c>
      <c r="KN20" s="313">
        <f t="shared" si="3"/>
        <v>5433036.1399999997</v>
      </c>
      <c r="KO20" s="313">
        <f t="shared" si="3"/>
        <v>449781.27</v>
      </c>
      <c r="KP20" s="313">
        <f t="shared" si="3"/>
        <v>777811</v>
      </c>
      <c r="KQ20" s="313">
        <f t="shared" si="3"/>
        <v>41933</v>
      </c>
      <c r="KR20" s="313">
        <f t="shared" si="3"/>
        <v>607109</v>
      </c>
      <c r="KS20" s="313">
        <f t="shared" si="3"/>
        <v>340965</v>
      </c>
      <c r="KT20" s="313">
        <f t="shared" si="3"/>
        <v>4680126.66</v>
      </c>
      <c r="KU20" s="313">
        <f t="shared" si="3"/>
        <v>1176349.1499999999</v>
      </c>
      <c r="KV20" s="313">
        <f t="shared" si="3"/>
        <v>0</v>
      </c>
      <c r="KW20" s="313">
        <f t="shared" si="3"/>
        <v>6475575.5999999996</v>
      </c>
      <c r="KX20" s="313">
        <f t="shared" si="3"/>
        <v>566015</v>
      </c>
      <c r="KY20" s="313">
        <f t="shared" si="3"/>
        <v>1192337.6600000001</v>
      </c>
      <c r="KZ20" s="313">
        <f t="shared" si="3"/>
        <v>544273.25</v>
      </c>
      <c r="LA20" s="313">
        <f t="shared" si="3"/>
        <v>10373754.439999999</v>
      </c>
      <c r="LB20" s="313">
        <f t="shared" si="3"/>
        <v>1486467.5</v>
      </c>
      <c r="LC20" s="313">
        <f t="shared" si="3"/>
        <v>0</v>
      </c>
    </row>
    <row r="21" spans="1:315" x14ac:dyDescent="0.25">
      <c r="A21" s="313">
        <v>19</v>
      </c>
      <c r="B21" s="348" t="s">
        <v>1857</v>
      </c>
      <c r="C21" s="350">
        <v>4181501.89</v>
      </c>
      <c r="D21" s="350">
        <v>1339823.1399999999</v>
      </c>
      <c r="E21" s="350">
        <v>470156</v>
      </c>
      <c r="F21" s="350">
        <v>1220360.52</v>
      </c>
      <c r="G21" s="350">
        <v>1492657.73</v>
      </c>
      <c r="H21" s="350">
        <v>1207441.3500000001</v>
      </c>
      <c r="I21" s="350">
        <v>396156.74</v>
      </c>
      <c r="J21" s="350">
        <v>1312372.3999999999</v>
      </c>
      <c r="K21" s="350">
        <v>526317.91</v>
      </c>
      <c r="L21" s="350">
        <v>1126840</v>
      </c>
      <c r="M21" s="350">
        <v>1348820</v>
      </c>
      <c r="N21" s="350">
        <v>2480024</v>
      </c>
      <c r="O21" s="350">
        <v>1265538.97</v>
      </c>
      <c r="P21" s="350">
        <v>862340</v>
      </c>
      <c r="Q21" s="350">
        <v>1346900</v>
      </c>
      <c r="R21" s="350">
        <v>957100</v>
      </c>
      <c r="S21" s="350">
        <v>527037</v>
      </c>
      <c r="T21" s="350">
        <v>2522220</v>
      </c>
      <c r="U21" s="350">
        <v>847530</v>
      </c>
      <c r="V21" s="350">
        <v>900536.52</v>
      </c>
      <c r="W21" s="350">
        <v>776300.08</v>
      </c>
      <c r="X21" s="350">
        <v>847701.27</v>
      </c>
      <c r="Y21" s="350">
        <v>400357.21</v>
      </c>
      <c r="Z21" s="350">
        <v>632596</v>
      </c>
      <c r="AA21" s="350">
        <v>2353771.0699999998</v>
      </c>
      <c r="AB21" s="350">
        <v>1670140.2</v>
      </c>
      <c r="AC21" s="350">
        <v>642795</v>
      </c>
      <c r="AD21" s="350">
        <v>1254280.73</v>
      </c>
      <c r="AE21" s="350">
        <v>3282434.38</v>
      </c>
      <c r="AF21" s="350">
        <v>4258596.1100000003</v>
      </c>
      <c r="AG21" s="350">
        <v>4185067</v>
      </c>
      <c r="AH21" s="350">
        <v>3048750.08</v>
      </c>
      <c r="AI21" s="350">
        <v>2674354</v>
      </c>
      <c r="AJ21" s="350">
        <v>3125724.93</v>
      </c>
      <c r="AK21" s="350">
        <v>11161358</v>
      </c>
      <c r="AL21" s="350">
        <v>5081924</v>
      </c>
      <c r="AM21" s="350">
        <v>2713189</v>
      </c>
      <c r="AN21" s="350">
        <v>4737683.78</v>
      </c>
      <c r="AO21" s="350">
        <v>4250758</v>
      </c>
      <c r="AP21" s="350">
        <v>5991723</v>
      </c>
      <c r="AQ21" s="350">
        <v>4702206</v>
      </c>
      <c r="AR21" s="350">
        <v>16616655.92</v>
      </c>
      <c r="AS21" s="350">
        <v>5150819</v>
      </c>
      <c r="AT21" s="350">
        <v>5828044</v>
      </c>
      <c r="AU21" s="350">
        <v>3520980</v>
      </c>
      <c r="AV21" s="350">
        <v>3038504</v>
      </c>
      <c r="AW21" s="350">
        <v>0</v>
      </c>
      <c r="AX21" s="350">
        <v>3838794</v>
      </c>
      <c r="AY21" s="350">
        <v>1790552</v>
      </c>
      <c r="AZ21" s="350">
        <v>3013868</v>
      </c>
      <c r="BA21" s="350">
        <v>3231464</v>
      </c>
      <c r="BB21" s="350">
        <v>5940263</v>
      </c>
      <c r="BC21" s="350">
        <v>6550802.1600000001</v>
      </c>
      <c r="BD21" s="350">
        <v>2377954</v>
      </c>
      <c r="BE21" s="350">
        <v>911058.18</v>
      </c>
      <c r="BF21" s="350">
        <v>439645</v>
      </c>
      <c r="BG21" s="350">
        <v>1478404</v>
      </c>
      <c r="BH21" s="350">
        <v>2654917.2999999998</v>
      </c>
      <c r="BI21" s="350">
        <v>1784369.18</v>
      </c>
      <c r="BJ21" s="350">
        <v>722005.85</v>
      </c>
      <c r="BK21" s="350">
        <v>2296252.2999999998</v>
      </c>
      <c r="BL21" s="350">
        <v>3353111.29</v>
      </c>
      <c r="BM21" s="350">
        <v>5452866.46</v>
      </c>
      <c r="BN21" s="350">
        <v>8957409.1199999992</v>
      </c>
      <c r="BO21" s="350">
        <v>5557948</v>
      </c>
      <c r="BP21" s="350">
        <v>1959889</v>
      </c>
      <c r="BQ21" s="350">
        <v>3493651.06</v>
      </c>
      <c r="BR21" s="350">
        <v>2000215.6</v>
      </c>
      <c r="BS21" s="350">
        <v>6702548</v>
      </c>
      <c r="BT21" s="350">
        <v>8671118</v>
      </c>
      <c r="BU21" s="350">
        <v>2585073</v>
      </c>
      <c r="BV21" s="350">
        <v>15667348</v>
      </c>
      <c r="BW21" s="350">
        <v>7501004.6200000001</v>
      </c>
      <c r="BX21" s="350">
        <v>2176898</v>
      </c>
      <c r="BY21" s="350">
        <v>4204711</v>
      </c>
      <c r="BZ21" s="350">
        <v>10062440</v>
      </c>
      <c r="CA21" s="350">
        <v>14612983</v>
      </c>
      <c r="CB21" s="350">
        <v>1334408</v>
      </c>
      <c r="CC21" s="350">
        <v>5530941</v>
      </c>
      <c r="CD21" s="350">
        <v>20265792.57</v>
      </c>
      <c r="CE21" s="350">
        <v>321980</v>
      </c>
      <c r="CF21" s="350">
        <v>2628319</v>
      </c>
      <c r="CG21" s="350">
        <v>8875814.8000000007</v>
      </c>
      <c r="CH21" s="350">
        <v>656444.07999999996</v>
      </c>
      <c r="CI21" s="350">
        <v>1925323</v>
      </c>
      <c r="CJ21" s="350">
        <v>4898054</v>
      </c>
      <c r="CK21" s="350">
        <v>12545937.59</v>
      </c>
      <c r="CL21" s="350">
        <v>530062</v>
      </c>
      <c r="CM21" s="350">
        <v>4530067.57</v>
      </c>
      <c r="CN21" s="350">
        <v>748062.41</v>
      </c>
      <c r="CO21" s="350">
        <v>1397527.51</v>
      </c>
      <c r="CP21" s="350">
        <v>1930255.45</v>
      </c>
      <c r="CQ21" s="350">
        <v>2797810</v>
      </c>
      <c r="CR21" s="350">
        <v>8758346.9900000002</v>
      </c>
      <c r="CS21" s="350">
        <v>1214839</v>
      </c>
      <c r="CT21" s="350">
        <v>4177144</v>
      </c>
      <c r="CU21" s="350">
        <v>3612379</v>
      </c>
      <c r="CV21" s="350">
        <v>5495798</v>
      </c>
      <c r="CW21" s="350">
        <v>1425179.69</v>
      </c>
      <c r="CX21" s="350">
        <v>3007020</v>
      </c>
      <c r="CY21" s="350">
        <v>833685</v>
      </c>
      <c r="CZ21" s="350">
        <v>15375042</v>
      </c>
      <c r="DA21" s="350">
        <v>33326819</v>
      </c>
      <c r="DB21" s="350">
        <v>427506</v>
      </c>
      <c r="DC21" s="350">
        <v>4134380.22</v>
      </c>
      <c r="DD21" s="350">
        <v>1094801.3500000001</v>
      </c>
      <c r="DE21" s="350">
        <v>6194386</v>
      </c>
      <c r="DF21" s="350">
        <v>1990820.86</v>
      </c>
      <c r="DG21" s="350">
        <v>1168768</v>
      </c>
      <c r="DH21" s="350">
        <v>704958</v>
      </c>
      <c r="DI21" s="350">
        <v>1145314.6399999999</v>
      </c>
      <c r="DJ21" s="350">
        <v>2185734</v>
      </c>
      <c r="DK21" s="350">
        <v>1194309</v>
      </c>
      <c r="DL21" s="350">
        <v>11616991.609999999</v>
      </c>
      <c r="DM21" s="350">
        <v>3459781.2</v>
      </c>
      <c r="DN21" s="350">
        <v>1224559.29</v>
      </c>
      <c r="DO21" s="350">
        <v>1050568</v>
      </c>
      <c r="DP21" s="350">
        <v>1206976.8700000001</v>
      </c>
      <c r="DQ21" s="350">
        <v>3680933</v>
      </c>
      <c r="DR21" s="350">
        <v>4943117.68</v>
      </c>
      <c r="DS21" s="350">
        <v>2452279.17</v>
      </c>
      <c r="DT21" s="350">
        <v>2697773.59</v>
      </c>
      <c r="DU21" s="350">
        <v>4997352.41</v>
      </c>
      <c r="DV21" s="350">
        <v>12083550</v>
      </c>
      <c r="DW21" s="350">
        <v>12400309</v>
      </c>
      <c r="DX21" s="350">
        <v>3362800</v>
      </c>
      <c r="DY21" s="350">
        <v>4240573</v>
      </c>
      <c r="DZ21" s="350">
        <v>53200587.329999998</v>
      </c>
      <c r="EA21" s="350">
        <v>11197558</v>
      </c>
      <c r="EB21" s="350">
        <v>45877431</v>
      </c>
      <c r="EC21" s="350">
        <v>50436254.509999998</v>
      </c>
      <c r="ED21" s="350">
        <v>4926880.88</v>
      </c>
      <c r="EE21" s="350">
        <v>36739027.630000003</v>
      </c>
      <c r="EF21" s="350">
        <v>38976446.270000003</v>
      </c>
      <c r="EG21" s="350">
        <v>20990558.780000001</v>
      </c>
      <c r="EH21" s="350">
        <v>30870259</v>
      </c>
      <c r="EI21" s="350">
        <v>50614669.420000002</v>
      </c>
      <c r="EJ21" s="350">
        <v>42503833.210000001</v>
      </c>
      <c r="EK21" s="350">
        <v>19298016</v>
      </c>
      <c r="EL21" s="350">
        <v>8914423</v>
      </c>
      <c r="EM21" s="350">
        <v>43524155.789999999</v>
      </c>
      <c r="EN21" s="350">
        <v>12899748</v>
      </c>
      <c r="EO21" s="350">
        <v>41905786.619999997</v>
      </c>
      <c r="EP21" s="350">
        <v>22942664</v>
      </c>
      <c r="EQ21" s="350">
        <v>22902029</v>
      </c>
      <c r="ER21" s="350">
        <v>22167315.52</v>
      </c>
      <c r="ES21" s="350">
        <v>19626118.23</v>
      </c>
      <c r="ET21" s="350">
        <v>19991619</v>
      </c>
      <c r="EU21" s="350">
        <v>34365453</v>
      </c>
      <c r="EV21" s="350">
        <v>28927858.280000001</v>
      </c>
      <c r="EW21" s="350">
        <v>48509831</v>
      </c>
      <c r="EX21" s="350">
        <v>23685393</v>
      </c>
      <c r="EY21" s="350">
        <v>20084793.489999998</v>
      </c>
      <c r="EZ21" s="350">
        <v>55849493.520000003</v>
      </c>
      <c r="FA21" s="350">
        <v>23503308</v>
      </c>
      <c r="FB21" s="350">
        <v>113311932</v>
      </c>
      <c r="FC21" s="350">
        <v>19564103</v>
      </c>
      <c r="FD21" s="350">
        <v>40692331.100000001</v>
      </c>
      <c r="FE21" s="350">
        <v>21260266</v>
      </c>
      <c r="FF21" s="350">
        <v>12728400.310000001</v>
      </c>
      <c r="FG21" s="350">
        <v>24248837</v>
      </c>
      <c r="FH21" s="350">
        <v>12916191</v>
      </c>
      <c r="FI21" s="350">
        <v>18233615</v>
      </c>
      <c r="FJ21" s="350">
        <v>33855654.82</v>
      </c>
      <c r="FK21" s="350">
        <v>13325542.970000001</v>
      </c>
      <c r="FL21" s="350">
        <v>15718855</v>
      </c>
      <c r="FM21" s="350">
        <v>26016581</v>
      </c>
      <c r="FN21" s="350">
        <v>25643319</v>
      </c>
      <c r="FO21" s="350">
        <v>5205536</v>
      </c>
      <c r="FP21" s="350">
        <v>32170895</v>
      </c>
      <c r="FQ21" s="350">
        <v>47269417.469999999</v>
      </c>
      <c r="FR21" s="350">
        <v>39467757</v>
      </c>
      <c r="FS21" s="350">
        <v>24941569</v>
      </c>
      <c r="FT21" s="350">
        <v>28999666.469999999</v>
      </c>
      <c r="FU21" s="350">
        <v>6317077</v>
      </c>
      <c r="FV21" s="350">
        <v>25191881</v>
      </c>
      <c r="FW21" s="350">
        <v>33097299</v>
      </c>
      <c r="FX21" s="350">
        <v>1587740</v>
      </c>
      <c r="FY21" s="350">
        <v>18766030</v>
      </c>
      <c r="FZ21" s="350">
        <v>29781069.600000001</v>
      </c>
      <c r="GA21" s="350">
        <v>7029417.6600000001</v>
      </c>
      <c r="GB21" s="350">
        <v>1457056.12</v>
      </c>
      <c r="GC21" s="350">
        <v>1630228.74</v>
      </c>
      <c r="GD21" s="350">
        <v>3015268</v>
      </c>
      <c r="GE21" s="350">
        <v>965426</v>
      </c>
      <c r="GF21" s="350">
        <v>4746277.78</v>
      </c>
      <c r="GG21" s="350">
        <v>8771503.4199999999</v>
      </c>
      <c r="GH21" s="350">
        <v>2522684.2799999998</v>
      </c>
      <c r="GI21" s="350">
        <v>3378319</v>
      </c>
      <c r="GJ21" s="350">
        <v>5211392.41</v>
      </c>
      <c r="GK21" s="350">
        <v>800912.58</v>
      </c>
      <c r="GL21" s="350">
        <v>3753508.8</v>
      </c>
      <c r="GM21" s="350">
        <v>736136</v>
      </c>
      <c r="GN21" s="350">
        <v>1652192.22</v>
      </c>
      <c r="GO21" s="350">
        <v>4547824</v>
      </c>
      <c r="GP21" s="350">
        <v>1046807</v>
      </c>
      <c r="GQ21" s="350">
        <v>0</v>
      </c>
      <c r="GR21" s="350">
        <v>5447725.7699999996</v>
      </c>
      <c r="GS21" s="350">
        <v>11289680</v>
      </c>
      <c r="GT21" s="350">
        <v>5631428</v>
      </c>
      <c r="GU21" s="350">
        <v>6161637</v>
      </c>
      <c r="GV21" s="350">
        <v>2974099.15</v>
      </c>
      <c r="GW21" s="350">
        <v>2488619</v>
      </c>
      <c r="GX21" s="350">
        <v>3638174.3</v>
      </c>
      <c r="GY21" s="350">
        <v>3444872</v>
      </c>
      <c r="GZ21" s="350">
        <v>3656543.96</v>
      </c>
      <c r="HA21" s="350">
        <v>774461.18</v>
      </c>
      <c r="HB21" s="350">
        <v>3154672</v>
      </c>
      <c r="HC21" s="350">
        <v>3697919</v>
      </c>
      <c r="HD21" s="350">
        <v>1283974</v>
      </c>
      <c r="HE21" s="350">
        <v>1285622.98</v>
      </c>
      <c r="HF21" s="350">
        <v>1408637.46</v>
      </c>
      <c r="HG21" s="350">
        <v>1437605.84</v>
      </c>
      <c r="HH21" s="350">
        <v>1391011.1</v>
      </c>
      <c r="HI21" s="350">
        <v>2086334.64</v>
      </c>
      <c r="HJ21" s="350">
        <v>2874085</v>
      </c>
      <c r="HK21" s="350">
        <v>542374</v>
      </c>
      <c r="HL21" s="350">
        <v>4043135.3</v>
      </c>
      <c r="HM21" s="350">
        <v>2265056.62</v>
      </c>
      <c r="HN21" s="350">
        <v>5742193</v>
      </c>
      <c r="HO21" s="350">
        <v>1038287</v>
      </c>
      <c r="HP21" s="350">
        <v>662192.15</v>
      </c>
      <c r="HQ21" s="350">
        <v>712925.5</v>
      </c>
      <c r="HR21" s="350">
        <v>317710</v>
      </c>
      <c r="HS21" s="350">
        <v>2916558</v>
      </c>
      <c r="HT21" s="350">
        <v>3858834.4</v>
      </c>
      <c r="HU21" s="350">
        <v>1103937.8400000001</v>
      </c>
      <c r="HV21" s="350">
        <v>2028515</v>
      </c>
      <c r="HW21" s="350">
        <v>1918616.47</v>
      </c>
      <c r="HX21" s="350">
        <v>1010549.66</v>
      </c>
      <c r="HY21" s="350">
        <v>4652118.29</v>
      </c>
      <c r="HZ21" s="350">
        <v>1231549</v>
      </c>
      <c r="IA21" s="350">
        <v>1320201.32</v>
      </c>
      <c r="IB21" s="350">
        <v>3118104.91</v>
      </c>
      <c r="IC21" s="350">
        <v>3767928.26</v>
      </c>
      <c r="ID21" s="350">
        <v>3879623.06</v>
      </c>
      <c r="IE21" s="350">
        <v>2300982</v>
      </c>
      <c r="IF21" s="350">
        <v>2553848</v>
      </c>
      <c r="IG21" s="350">
        <v>1142705.0900000001</v>
      </c>
      <c r="IH21" s="350">
        <v>728353.29</v>
      </c>
      <c r="II21" s="350">
        <v>3164357.18</v>
      </c>
      <c r="IJ21" s="350">
        <v>1216923.94</v>
      </c>
      <c r="IK21" s="350">
        <v>5050913.21</v>
      </c>
      <c r="IL21" s="350">
        <v>3652114</v>
      </c>
      <c r="IM21" s="351"/>
      <c r="IN21" s="350">
        <v>2055137.17</v>
      </c>
      <c r="IO21" s="350">
        <v>2527263.92</v>
      </c>
      <c r="IP21" s="350">
        <v>2445942.16</v>
      </c>
      <c r="IQ21" s="350">
        <v>1856669</v>
      </c>
      <c r="IR21" s="350">
        <v>2913697.49</v>
      </c>
      <c r="IS21" s="350">
        <v>1647874</v>
      </c>
      <c r="IT21" s="350">
        <v>1359390</v>
      </c>
      <c r="IU21" s="350">
        <v>2165617</v>
      </c>
      <c r="IV21" s="350">
        <v>668333.96</v>
      </c>
      <c r="IW21" s="350">
        <v>764329.89</v>
      </c>
      <c r="IX21" s="350">
        <v>341571</v>
      </c>
      <c r="IY21" s="350">
        <v>783360</v>
      </c>
      <c r="IZ21" s="350">
        <v>2921580</v>
      </c>
      <c r="JA21" s="350">
        <v>4957216.41</v>
      </c>
      <c r="JB21" s="350">
        <v>7592810.71</v>
      </c>
      <c r="JC21" s="350">
        <v>6109345.9100000001</v>
      </c>
      <c r="JD21" s="350">
        <v>1813151.53</v>
      </c>
      <c r="JE21" s="350">
        <v>983900.23</v>
      </c>
      <c r="JF21" s="350">
        <v>1952491.07</v>
      </c>
      <c r="JG21" s="350">
        <v>1464270.14</v>
      </c>
      <c r="JH21" s="350">
        <v>5376923.4900000002</v>
      </c>
      <c r="JI21" s="350">
        <v>4391110.8899999997</v>
      </c>
      <c r="JJ21" s="350">
        <v>1981432</v>
      </c>
      <c r="JK21" s="350">
        <v>1178269.5900000001</v>
      </c>
      <c r="JL21" s="350">
        <v>1405304.42</v>
      </c>
      <c r="JM21" s="350">
        <v>2657952</v>
      </c>
      <c r="JN21" s="350">
        <v>5855718.8799999999</v>
      </c>
      <c r="JO21" s="350">
        <v>2098536.83</v>
      </c>
      <c r="JP21" s="350">
        <v>4179028</v>
      </c>
      <c r="JQ21" s="350">
        <v>4185737</v>
      </c>
      <c r="JR21" s="350">
        <v>0</v>
      </c>
      <c r="JU21" s="348" t="s">
        <v>1857</v>
      </c>
      <c r="JV21" s="313">
        <f t="shared" si="2"/>
        <v>28988628.729999997</v>
      </c>
      <c r="JW21" s="313">
        <f t="shared" si="3"/>
        <v>9203421.379999999</v>
      </c>
      <c r="JX21" s="313">
        <f t="shared" si="3"/>
        <v>55931333.900000006</v>
      </c>
      <c r="JY21" s="313">
        <f t="shared" si="3"/>
        <v>233127580.08000001</v>
      </c>
      <c r="JZ21" s="313">
        <f t="shared" si="3"/>
        <v>5060129.57</v>
      </c>
      <c r="KA21" s="313">
        <f t="shared" si="3"/>
        <v>748062.41</v>
      </c>
      <c r="KB21" s="313">
        <f t="shared" si="3"/>
        <v>3327782.96</v>
      </c>
      <c r="KC21" s="313">
        <f t="shared" si="3"/>
        <v>85680750.25</v>
      </c>
      <c r="KD21" s="313">
        <f t="shared" si="3"/>
        <v>14584290.5</v>
      </c>
      <c r="KE21" s="313">
        <f t="shared" si="3"/>
        <v>65176991.82</v>
      </c>
      <c r="KF21" s="313">
        <f t="shared" si="3"/>
        <v>4240573</v>
      </c>
      <c r="KG21" s="313">
        <f t="shared" si="3"/>
        <v>386333506.02999997</v>
      </c>
      <c r="KH21" s="313">
        <f t="shared" si="3"/>
        <v>846613633.64999998</v>
      </c>
      <c r="KI21" s="313">
        <f t="shared" si="3"/>
        <v>263014867.94</v>
      </c>
      <c r="KJ21" s="313">
        <f t="shared" si="3"/>
        <v>63297250.600000009</v>
      </c>
      <c r="KK21" s="313">
        <f t="shared" si="3"/>
        <v>6012304.9900000002</v>
      </c>
      <c r="KL21" s="313">
        <f t="shared" si="3"/>
        <v>10689661.02</v>
      </c>
      <c r="KM21" s="313">
        <f t="shared" si="3"/>
        <v>1046807</v>
      </c>
      <c r="KN21" s="313">
        <f t="shared" si="3"/>
        <v>33993188.920000002</v>
      </c>
      <c r="KO21" s="313">
        <f t="shared" si="3"/>
        <v>3638174.3</v>
      </c>
      <c r="KP21" s="313">
        <f t="shared" si="3"/>
        <v>7101415.96</v>
      </c>
      <c r="KQ21" s="313">
        <f t="shared" si="3"/>
        <v>774461.18</v>
      </c>
      <c r="KR21" s="313">
        <f t="shared" si="3"/>
        <v>3154672</v>
      </c>
      <c r="KS21" s="313">
        <f t="shared" si="3"/>
        <v>3697919</v>
      </c>
      <c r="KT21" s="313">
        <f t="shared" si="3"/>
        <v>18617836.940000001</v>
      </c>
      <c r="KU21" s="313">
        <f t="shared" si="3"/>
        <v>7442672.1500000004</v>
      </c>
      <c r="KV21" s="313">
        <f t="shared" si="3"/>
        <v>712925.5</v>
      </c>
      <c r="KW21" s="313">
        <f t="shared" si="3"/>
        <v>33425228.209999997</v>
      </c>
      <c r="KX21" s="313">
        <f t="shared" si="3"/>
        <v>3696553.09</v>
      </c>
      <c r="KY21" s="313">
        <f t="shared" si="3"/>
        <v>5109634.41</v>
      </c>
      <c r="KZ21" s="313">
        <f t="shared" si="3"/>
        <v>8703027.2100000009</v>
      </c>
      <c r="LA21" s="313">
        <f t="shared" ref="JW21:LC29" si="4">SUMIFS($C21:$JR21,$C$2:$JR$2,LA$2)</f>
        <v>64314943.980000012</v>
      </c>
      <c r="LB21" s="313">
        <f t="shared" si="4"/>
        <v>16319020.710000001</v>
      </c>
      <c r="LC21" s="313">
        <f t="shared" si="4"/>
        <v>0</v>
      </c>
    </row>
    <row r="22" spans="1:315" x14ac:dyDescent="0.25">
      <c r="A22" s="313">
        <v>20</v>
      </c>
      <c r="B22" s="348" t="s">
        <v>1858</v>
      </c>
      <c r="C22" s="350">
        <v>0</v>
      </c>
      <c r="D22" s="350">
        <v>0</v>
      </c>
      <c r="E22" s="350">
        <v>0</v>
      </c>
      <c r="F22" s="350">
        <v>0</v>
      </c>
      <c r="G22" s="350">
        <v>0</v>
      </c>
      <c r="H22" s="350">
        <v>0</v>
      </c>
      <c r="I22" s="350">
        <v>0</v>
      </c>
      <c r="J22" s="350">
        <v>0</v>
      </c>
      <c r="K22" s="350">
        <v>0</v>
      </c>
      <c r="L22" s="350">
        <v>0</v>
      </c>
      <c r="M22" s="350">
        <v>0</v>
      </c>
      <c r="N22" s="350">
        <v>0</v>
      </c>
      <c r="O22" s="350">
        <v>0</v>
      </c>
      <c r="P22" s="350">
        <v>0</v>
      </c>
      <c r="Q22" s="350">
        <v>0</v>
      </c>
      <c r="R22" s="350">
        <v>0</v>
      </c>
      <c r="S22" s="350">
        <v>0</v>
      </c>
      <c r="T22" s="350">
        <v>0</v>
      </c>
      <c r="U22" s="350">
        <v>0</v>
      </c>
      <c r="V22" s="350">
        <v>0</v>
      </c>
      <c r="W22" s="350">
        <v>0</v>
      </c>
      <c r="X22" s="350">
        <v>0</v>
      </c>
      <c r="Y22" s="350">
        <v>0</v>
      </c>
      <c r="Z22" s="350">
        <v>0</v>
      </c>
      <c r="AA22" s="350">
        <v>0</v>
      </c>
      <c r="AB22" s="350">
        <v>0</v>
      </c>
      <c r="AC22" s="350">
        <v>0</v>
      </c>
      <c r="AD22" s="350">
        <v>0</v>
      </c>
      <c r="AE22" s="350">
        <v>0</v>
      </c>
      <c r="AF22" s="350">
        <v>314795</v>
      </c>
      <c r="AG22" s="350">
        <v>685449</v>
      </c>
      <c r="AH22" s="350">
        <v>452040</v>
      </c>
      <c r="AI22" s="350">
        <v>569399</v>
      </c>
      <c r="AJ22" s="350">
        <v>568255</v>
      </c>
      <c r="AK22" s="350">
        <v>3255828</v>
      </c>
      <c r="AL22" s="350">
        <v>2154695</v>
      </c>
      <c r="AM22" s="350">
        <v>762189</v>
      </c>
      <c r="AN22" s="350">
        <v>977877</v>
      </c>
      <c r="AO22" s="350">
        <v>731158</v>
      </c>
      <c r="AP22" s="350">
        <v>1132615</v>
      </c>
      <c r="AQ22" s="350">
        <v>780980</v>
      </c>
      <c r="AR22" s="350">
        <v>3455760</v>
      </c>
      <c r="AS22" s="350">
        <v>857837</v>
      </c>
      <c r="AT22" s="350">
        <v>2109617</v>
      </c>
      <c r="AU22" s="350">
        <v>1292491</v>
      </c>
      <c r="AV22" s="350">
        <v>536420</v>
      </c>
      <c r="AW22" s="351"/>
      <c r="AX22" s="350">
        <v>756425</v>
      </c>
      <c r="AY22" s="350">
        <v>470025</v>
      </c>
      <c r="AZ22" s="350">
        <v>1080592</v>
      </c>
      <c r="BA22" s="350">
        <v>849689</v>
      </c>
      <c r="BB22" s="350">
        <v>1546210</v>
      </c>
      <c r="BC22" s="350">
        <v>1146581</v>
      </c>
      <c r="BD22" s="350">
        <v>899103</v>
      </c>
      <c r="BE22" s="350">
        <v>160854</v>
      </c>
      <c r="BF22" s="350">
        <v>92455</v>
      </c>
      <c r="BG22" s="350">
        <v>0</v>
      </c>
      <c r="BH22" s="350">
        <v>403207</v>
      </c>
      <c r="BI22" s="350">
        <v>624333</v>
      </c>
      <c r="BJ22" s="350">
        <v>88332</v>
      </c>
      <c r="BK22" s="350">
        <v>425995</v>
      </c>
      <c r="BL22" s="350">
        <v>582814.93000000005</v>
      </c>
      <c r="BM22" s="350">
        <v>1248100</v>
      </c>
      <c r="BN22" s="350">
        <v>1971969.1</v>
      </c>
      <c r="BO22" s="350">
        <v>1135551</v>
      </c>
      <c r="BP22" s="350">
        <v>327863</v>
      </c>
      <c r="BQ22" s="350">
        <v>666786.91</v>
      </c>
      <c r="BR22" s="350">
        <v>362950</v>
      </c>
      <c r="BS22" s="350">
        <v>1134198</v>
      </c>
      <c r="BT22" s="350">
        <v>3481900</v>
      </c>
      <c r="BU22" s="350">
        <v>431686</v>
      </c>
      <c r="BV22" s="350">
        <v>2833783</v>
      </c>
      <c r="BW22" s="350">
        <v>1770213</v>
      </c>
      <c r="BX22" s="350">
        <v>308929</v>
      </c>
      <c r="BY22" s="350">
        <v>923880</v>
      </c>
      <c r="BZ22" s="350">
        <v>2273005</v>
      </c>
      <c r="CA22" s="350">
        <v>3006310</v>
      </c>
      <c r="CB22" s="350">
        <v>266062</v>
      </c>
      <c r="CC22" s="350">
        <v>1802773</v>
      </c>
      <c r="CD22" s="350">
        <v>7133294</v>
      </c>
      <c r="CE22" s="350">
        <v>65905</v>
      </c>
      <c r="CF22" s="350">
        <v>756424</v>
      </c>
      <c r="CG22" s="350">
        <v>2283698</v>
      </c>
      <c r="CH22" s="350">
        <v>142784</v>
      </c>
      <c r="CI22" s="350">
        <v>950325</v>
      </c>
      <c r="CJ22" s="350">
        <v>2010470</v>
      </c>
      <c r="CK22" s="350">
        <v>4362121</v>
      </c>
      <c r="CL22" s="350">
        <v>98900</v>
      </c>
      <c r="CM22" s="350">
        <v>824729</v>
      </c>
      <c r="CN22" s="350">
        <v>36180</v>
      </c>
      <c r="CO22" s="350">
        <v>97283.02</v>
      </c>
      <c r="CP22" s="350">
        <v>140787</v>
      </c>
      <c r="CQ22" s="350">
        <v>778247</v>
      </c>
      <c r="CR22" s="350">
        <v>3056359</v>
      </c>
      <c r="CS22" s="350">
        <v>416332</v>
      </c>
      <c r="CT22" s="350">
        <v>947068</v>
      </c>
      <c r="CU22" s="350">
        <v>1810749</v>
      </c>
      <c r="CV22" s="350">
        <v>2124772</v>
      </c>
      <c r="CW22" s="350">
        <v>94141</v>
      </c>
      <c r="CX22" s="350">
        <v>958184</v>
      </c>
      <c r="CY22" s="350">
        <v>54370</v>
      </c>
      <c r="CZ22" s="350">
        <v>2101477</v>
      </c>
      <c r="DA22" s="350">
        <v>3014172</v>
      </c>
      <c r="DB22" s="350">
        <v>84944</v>
      </c>
      <c r="DC22" s="350">
        <v>830620</v>
      </c>
      <c r="DD22" s="350">
        <v>175751</v>
      </c>
      <c r="DE22" s="350">
        <v>563234</v>
      </c>
      <c r="DF22" s="350">
        <v>151399</v>
      </c>
      <c r="DG22" s="350">
        <v>149632</v>
      </c>
      <c r="DH22" s="350">
        <v>93688</v>
      </c>
      <c r="DI22" s="350">
        <v>239387</v>
      </c>
      <c r="DJ22" s="350">
        <v>748424</v>
      </c>
      <c r="DK22" s="350">
        <v>112633</v>
      </c>
      <c r="DL22" s="350">
        <v>1445501</v>
      </c>
      <c r="DM22" s="350">
        <v>786202</v>
      </c>
      <c r="DN22" s="350">
        <v>95340</v>
      </c>
      <c r="DO22" s="350">
        <v>380609</v>
      </c>
      <c r="DP22" s="350">
        <v>134359</v>
      </c>
      <c r="DQ22" s="350">
        <v>571906</v>
      </c>
      <c r="DR22" s="350">
        <v>791937</v>
      </c>
      <c r="DS22" s="350">
        <v>265488</v>
      </c>
      <c r="DT22" s="350">
        <v>373642</v>
      </c>
      <c r="DU22" s="350">
        <v>1037508</v>
      </c>
      <c r="DV22" s="350">
        <v>1095600</v>
      </c>
      <c r="DW22" s="350">
        <v>1887929</v>
      </c>
      <c r="DX22" s="350">
        <v>381600</v>
      </c>
      <c r="DY22" s="350">
        <v>794219</v>
      </c>
      <c r="DZ22" s="350">
        <v>13112345</v>
      </c>
      <c r="EA22" s="350">
        <v>3608736</v>
      </c>
      <c r="EB22" s="350">
        <v>16304141</v>
      </c>
      <c r="EC22" s="350">
        <v>19539572</v>
      </c>
      <c r="ED22" s="350">
        <v>1520205</v>
      </c>
      <c r="EE22" s="350">
        <v>13620685</v>
      </c>
      <c r="EF22" s="350">
        <v>14737054</v>
      </c>
      <c r="EG22" s="350">
        <v>11171957</v>
      </c>
      <c r="EH22" s="350">
        <v>6892513</v>
      </c>
      <c r="EI22" s="350">
        <v>19858910</v>
      </c>
      <c r="EJ22" s="350">
        <v>13887741</v>
      </c>
      <c r="EK22" s="350">
        <v>8498743</v>
      </c>
      <c r="EL22" s="350">
        <v>5111124</v>
      </c>
      <c r="EM22" s="350">
        <v>25708802</v>
      </c>
      <c r="EN22" s="350">
        <v>5157949</v>
      </c>
      <c r="EO22" s="350">
        <v>17057573</v>
      </c>
      <c r="EP22" s="350">
        <v>10099765</v>
      </c>
      <c r="EQ22" s="350">
        <v>11905301</v>
      </c>
      <c r="ER22" s="350">
        <v>10607892</v>
      </c>
      <c r="ES22" s="350">
        <v>10069029</v>
      </c>
      <c r="ET22" s="350">
        <v>11375585</v>
      </c>
      <c r="EU22" s="350">
        <v>18412706</v>
      </c>
      <c r="EV22" s="350">
        <v>15840287</v>
      </c>
      <c r="EW22" s="350">
        <v>19472206</v>
      </c>
      <c r="EX22" s="350">
        <v>15120303</v>
      </c>
      <c r="EY22" s="350">
        <v>9153836</v>
      </c>
      <c r="EZ22" s="350">
        <v>27971655</v>
      </c>
      <c r="FA22" s="350">
        <v>12107652</v>
      </c>
      <c r="FB22" s="350">
        <v>57595066</v>
      </c>
      <c r="FC22" s="350">
        <v>9478049</v>
      </c>
      <c r="FD22" s="350">
        <v>20979664</v>
      </c>
      <c r="FE22" s="350">
        <v>10061657</v>
      </c>
      <c r="FF22" s="350">
        <v>8209009</v>
      </c>
      <c r="FG22" s="350">
        <v>9323079</v>
      </c>
      <c r="FH22" s="350">
        <v>5362627</v>
      </c>
      <c r="FI22" s="350">
        <v>10369633</v>
      </c>
      <c r="FJ22" s="350">
        <v>16593657.5</v>
      </c>
      <c r="FK22" s="350">
        <v>7841560</v>
      </c>
      <c r="FL22" s="350">
        <v>8956387</v>
      </c>
      <c r="FM22" s="350">
        <v>14617786</v>
      </c>
      <c r="FN22" s="350">
        <v>15582208</v>
      </c>
      <c r="FO22" s="350">
        <v>2793651</v>
      </c>
      <c r="FP22" s="350">
        <v>7946733</v>
      </c>
      <c r="FQ22" s="350">
        <v>19278283</v>
      </c>
      <c r="FR22" s="350">
        <v>19448589</v>
      </c>
      <c r="FS22" s="350">
        <v>13333348</v>
      </c>
      <c r="FT22" s="350">
        <v>6464586</v>
      </c>
      <c r="FU22" s="350">
        <v>2400179</v>
      </c>
      <c r="FV22" s="350">
        <v>12868258</v>
      </c>
      <c r="FW22" s="350">
        <v>16873846</v>
      </c>
      <c r="FX22" s="350">
        <v>253911</v>
      </c>
      <c r="FY22" s="350">
        <v>11092050</v>
      </c>
      <c r="FZ22" s="350">
        <v>5634643</v>
      </c>
      <c r="GA22" s="350">
        <v>1796971</v>
      </c>
      <c r="GB22" s="350">
        <v>353703</v>
      </c>
      <c r="GC22" s="350">
        <v>533298</v>
      </c>
      <c r="GD22" s="350">
        <v>914012</v>
      </c>
      <c r="GE22" s="350">
        <v>121980</v>
      </c>
      <c r="GF22" s="350">
        <v>1814901</v>
      </c>
      <c r="GG22" s="350">
        <v>2177761</v>
      </c>
      <c r="GH22" s="350">
        <v>597953</v>
      </c>
      <c r="GI22" s="350">
        <v>579859</v>
      </c>
      <c r="GJ22" s="350">
        <v>959587</v>
      </c>
      <c r="GK22" s="350">
        <v>267006</v>
      </c>
      <c r="GL22" s="350">
        <v>0</v>
      </c>
      <c r="GM22" s="350">
        <v>0</v>
      </c>
      <c r="GN22" s="350">
        <v>0</v>
      </c>
      <c r="GO22" s="350">
        <v>0</v>
      </c>
      <c r="GP22" s="350">
        <v>0</v>
      </c>
      <c r="GQ22" s="350">
        <v>0</v>
      </c>
      <c r="GR22" s="350">
        <v>809965</v>
      </c>
      <c r="GS22" s="350">
        <v>1522040</v>
      </c>
      <c r="GT22" s="350">
        <v>1293070</v>
      </c>
      <c r="GU22" s="350">
        <v>732835.08</v>
      </c>
      <c r="GV22" s="350">
        <v>240527</v>
      </c>
      <c r="GW22" s="350">
        <v>369340</v>
      </c>
      <c r="GX22" s="350">
        <v>202430</v>
      </c>
      <c r="GY22" s="350">
        <v>0</v>
      </c>
      <c r="GZ22" s="350">
        <v>5654.51</v>
      </c>
      <c r="HA22" s="350">
        <v>0</v>
      </c>
      <c r="HB22" s="350">
        <v>0</v>
      </c>
      <c r="HC22" s="350">
        <v>44888</v>
      </c>
      <c r="HD22" s="350">
        <v>0</v>
      </c>
      <c r="HE22" s="350">
        <v>0</v>
      </c>
      <c r="HF22" s="350">
        <v>0</v>
      </c>
      <c r="HG22" s="350">
        <v>0</v>
      </c>
      <c r="HH22" s="350">
        <v>0</v>
      </c>
      <c r="HI22" s="350">
        <v>0</v>
      </c>
      <c r="HJ22" s="350">
        <v>0</v>
      </c>
      <c r="HK22" s="350">
        <v>0</v>
      </c>
      <c r="HL22" s="350">
        <v>0</v>
      </c>
      <c r="HM22" s="350">
        <v>0</v>
      </c>
      <c r="HN22" s="350">
        <v>515910.2</v>
      </c>
      <c r="HO22" s="350">
        <v>23790</v>
      </c>
      <c r="HP22" s="350">
        <v>15680</v>
      </c>
      <c r="HQ22" s="350">
        <v>0</v>
      </c>
      <c r="HR22" s="350">
        <v>0</v>
      </c>
      <c r="HS22" s="350">
        <v>0</v>
      </c>
      <c r="HT22" s="350">
        <v>0</v>
      </c>
      <c r="HU22" s="350">
        <v>0</v>
      </c>
      <c r="HV22" s="350">
        <v>0</v>
      </c>
      <c r="HW22" s="350">
        <v>0</v>
      </c>
      <c r="HX22" s="350">
        <v>0</v>
      </c>
      <c r="HY22" s="350">
        <v>0</v>
      </c>
      <c r="HZ22" s="350">
        <v>0</v>
      </c>
      <c r="IA22" s="350">
        <v>0</v>
      </c>
      <c r="IB22" s="350">
        <v>0</v>
      </c>
      <c r="IC22" s="350">
        <v>0</v>
      </c>
      <c r="ID22" s="350">
        <v>0</v>
      </c>
      <c r="IE22" s="350">
        <v>6438</v>
      </c>
      <c r="IF22" s="350">
        <v>18176</v>
      </c>
      <c r="IG22" s="350">
        <v>0</v>
      </c>
      <c r="IH22" s="350">
        <v>0</v>
      </c>
      <c r="II22" s="350">
        <v>0</v>
      </c>
      <c r="IJ22" s="350">
        <v>0</v>
      </c>
      <c r="IK22" s="350">
        <v>0</v>
      </c>
      <c r="IL22" s="350">
        <v>0</v>
      </c>
      <c r="IM22" s="351"/>
      <c r="IN22" s="350">
        <v>0</v>
      </c>
      <c r="IO22" s="350">
        <v>0</v>
      </c>
      <c r="IP22" s="350">
        <v>0</v>
      </c>
      <c r="IQ22" s="350">
        <v>0</v>
      </c>
      <c r="IR22" s="350">
        <v>0</v>
      </c>
      <c r="IS22" s="350">
        <v>0</v>
      </c>
      <c r="IT22" s="350">
        <v>0</v>
      </c>
      <c r="IU22" s="350">
        <v>0</v>
      </c>
      <c r="IV22" s="350">
        <v>0</v>
      </c>
      <c r="IW22" s="350">
        <v>0</v>
      </c>
      <c r="IX22" s="350">
        <v>0</v>
      </c>
      <c r="IY22" s="350">
        <v>0</v>
      </c>
      <c r="IZ22" s="350">
        <v>0</v>
      </c>
      <c r="JA22" s="350">
        <v>0</v>
      </c>
      <c r="JB22" s="350">
        <v>0</v>
      </c>
      <c r="JC22" s="350">
        <v>0</v>
      </c>
      <c r="JD22" s="350">
        <v>0</v>
      </c>
      <c r="JE22" s="350">
        <v>0</v>
      </c>
      <c r="JF22" s="350">
        <v>0</v>
      </c>
      <c r="JG22" s="350">
        <v>0</v>
      </c>
      <c r="JH22" s="350">
        <v>9917</v>
      </c>
      <c r="JI22" s="350">
        <v>0</v>
      </c>
      <c r="JJ22" s="350">
        <v>0</v>
      </c>
      <c r="JK22" s="350">
        <v>0</v>
      </c>
      <c r="JL22" s="350">
        <v>0</v>
      </c>
      <c r="JM22" s="350">
        <v>4393</v>
      </c>
      <c r="JN22" s="350">
        <v>535150</v>
      </c>
      <c r="JO22" s="350">
        <v>81225</v>
      </c>
      <c r="JP22" s="350">
        <v>74222</v>
      </c>
      <c r="JQ22" s="350">
        <v>220500</v>
      </c>
      <c r="JR22" s="351"/>
      <c r="JU22" s="348" t="s">
        <v>1858</v>
      </c>
      <c r="JV22" s="313">
        <f t="shared" si="2"/>
        <v>0</v>
      </c>
      <c r="JW22" s="313">
        <f t="shared" si="4"/>
        <v>0</v>
      </c>
      <c r="JX22" s="313">
        <f t="shared" si="4"/>
        <v>12385280</v>
      </c>
      <c r="JY22" s="313">
        <f t="shared" si="4"/>
        <v>59029720.939999998</v>
      </c>
      <c r="JZ22" s="313">
        <f t="shared" si="4"/>
        <v>923629</v>
      </c>
      <c r="KA22" s="313">
        <f t="shared" si="4"/>
        <v>36180</v>
      </c>
      <c r="KB22" s="313">
        <f t="shared" si="4"/>
        <v>238070.02000000002</v>
      </c>
      <c r="KC22" s="313">
        <f t="shared" si="4"/>
        <v>16447186</v>
      </c>
      <c r="KD22" s="313">
        <f t="shared" si="4"/>
        <v>2058397</v>
      </c>
      <c r="KE22" s="313">
        <f t="shared" si="4"/>
        <v>9247621</v>
      </c>
      <c r="KF22" s="313">
        <f t="shared" si="4"/>
        <v>794219</v>
      </c>
      <c r="KG22" s="313">
        <f t="shared" si="4"/>
        <v>134253859</v>
      </c>
      <c r="KH22" s="313">
        <f t="shared" si="4"/>
        <v>428640790.5</v>
      </c>
      <c r="KI22" s="313">
        <f t="shared" si="4"/>
        <v>112753434</v>
      </c>
      <c r="KJ22" s="313">
        <f t="shared" si="4"/>
        <v>14525081</v>
      </c>
      <c r="KK22" s="313">
        <f t="shared" si="4"/>
        <v>1226593</v>
      </c>
      <c r="KL22" s="313">
        <f t="shared" si="4"/>
        <v>0</v>
      </c>
      <c r="KM22" s="313">
        <f t="shared" si="4"/>
        <v>0</v>
      </c>
      <c r="KN22" s="313">
        <f t="shared" si="4"/>
        <v>4967777.08</v>
      </c>
      <c r="KO22" s="313">
        <f t="shared" si="4"/>
        <v>202430</v>
      </c>
      <c r="KP22" s="313">
        <f t="shared" si="4"/>
        <v>5654.51</v>
      </c>
      <c r="KQ22" s="313">
        <f t="shared" si="4"/>
        <v>0</v>
      </c>
      <c r="KR22" s="313">
        <f t="shared" si="4"/>
        <v>0</v>
      </c>
      <c r="KS22" s="313">
        <f t="shared" si="4"/>
        <v>44888</v>
      </c>
      <c r="KT22" s="313">
        <f t="shared" si="4"/>
        <v>0</v>
      </c>
      <c r="KU22" s="313">
        <f t="shared" si="4"/>
        <v>555380.19999999995</v>
      </c>
      <c r="KV22" s="313">
        <f t="shared" si="4"/>
        <v>0</v>
      </c>
      <c r="KW22" s="313">
        <f t="shared" si="4"/>
        <v>6438</v>
      </c>
      <c r="KX22" s="313">
        <f t="shared" si="4"/>
        <v>18176</v>
      </c>
      <c r="KY22" s="313">
        <f t="shared" si="4"/>
        <v>0</v>
      </c>
      <c r="KZ22" s="313">
        <f t="shared" si="4"/>
        <v>0</v>
      </c>
      <c r="LA22" s="313">
        <f t="shared" si="4"/>
        <v>14310</v>
      </c>
      <c r="LB22" s="313">
        <f t="shared" si="4"/>
        <v>911097</v>
      </c>
      <c r="LC22" s="313">
        <f t="shared" si="4"/>
        <v>0</v>
      </c>
    </row>
    <row r="23" spans="1:315" ht="25.5" x14ac:dyDescent="0.25">
      <c r="A23" s="313">
        <v>21</v>
      </c>
      <c r="B23" s="348" t="s">
        <v>1859</v>
      </c>
      <c r="C23" s="350">
        <v>0</v>
      </c>
      <c r="D23" s="350">
        <v>0</v>
      </c>
      <c r="E23" s="350">
        <v>0</v>
      </c>
      <c r="F23" s="350">
        <v>0</v>
      </c>
      <c r="G23" s="350">
        <v>0</v>
      </c>
      <c r="H23" s="350">
        <v>0</v>
      </c>
      <c r="I23" s="350">
        <v>0</v>
      </c>
      <c r="J23" s="350">
        <v>0</v>
      </c>
      <c r="K23" s="350">
        <v>0</v>
      </c>
      <c r="L23" s="350">
        <v>0</v>
      </c>
      <c r="M23" s="350">
        <v>0</v>
      </c>
      <c r="N23" s="350">
        <v>0</v>
      </c>
      <c r="O23" s="350">
        <v>0</v>
      </c>
      <c r="P23" s="350">
        <v>0</v>
      </c>
      <c r="Q23" s="350">
        <v>0</v>
      </c>
      <c r="R23" s="350">
        <v>0</v>
      </c>
      <c r="S23" s="350">
        <v>0</v>
      </c>
      <c r="T23" s="350">
        <v>0</v>
      </c>
      <c r="U23" s="350">
        <v>0</v>
      </c>
      <c r="V23" s="350">
        <v>0</v>
      </c>
      <c r="W23" s="350">
        <v>0</v>
      </c>
      <c r="X23" s="350">
        <v>0</v>
      </c>
      <c r="Y23" s="350">
        <v>0</v>
      </c>
      <c r="Z23" s="350">
        <v>0</v>
      </c>
      <c r="AA23" s="350">
        <v>0</v>
      </c>
      <c r="AB23" s="350">
        <v>0</v>
      </c>
      <c r="AC23" s="350">
        <v>0</v>
      </c>
      <c r="AD23" s="350">
        <v>0</v>
      </c>
      <c r="AE23" s="350">
        <v>0</v>
      </c>
      <c r="AF23" s="350">
        <v>0</v>
      </c>
      <c r="AG23" s="350">
        <v>0</v>
      </c>
      <c r="AH23" s="350">
        <v>0</v>
      </c>
      <c r="AI23" s="350">
        <v>0</v>
      </c>
      <c r="AJ23" s="350">
        <v>0</v>
      </c>
      <c r="AK23" s="350">
        <v>0</v>
      </c>
      <c r="AL23" s="350">
        <v>0</v>
      </c>
      <c r="AM23" s="350">
        <v>0</v>
      </c>
      <c r="AN23" s="350">
        <v>0</v>
      </c>
      <c r="AO23" s="350">
        <v>0</v>
      </c>
      <c r="AP23" s="350">
        <v>0</v>
      </c>
      <c r="AQ23" s="350">
        <v>0</v>
      </c>
      <c r="AR23" s="350">
        <v>0</v>
      </c>
      <c r="AS23" s="350">
        <v>0</v>
      </c>
      <c r="AT23" s="350">
        <v>0</v>
      </c>
      <c r="AU23" s="350">
        <v>0</v>
      </c>
      <c r="AV23" s="350">
        <v>0</v>
      </c>
      <c r="AW23" s="351"/>
      <c r="AX23" s="350">
        <v>0</v>
      </c>
      <c r="AY23" s="350">
        <v>0</v>
      </c>
      <c r="AZ23" s="350">
        <v>0</v>
      </c>
      <c r="BA23" s="350">
        <v>0</v>
      </c>
      <c r="BB23" s="350">
        <v>0</v>
      </c>
      <c r="BC23" s="350">
        <v>0</v>
      </c>
      <c r="BD23" s="350">
        <v>0</v>
      </c>
      <c r="BE23" s="350">
        <v>0</v>
      </c>
      <c r="BF23" s="350">
        <v>0</v>
      </c>
      <c r="BG23" s="350">
        <v>0</v>
      </c>
      <c r="BH23" s="350">
        <v>0</v>
      </c>
      <c r="BI23" s="351"/>
      <c r="BJ23" s="350">
        <v>0</v>
      </c>
      <c r="BK23" s="350">
        <v>0</v>
      </c>
      <c r="BL23" s="350">
        <v>0</v>
      </c>
      <c r="BM23" s="350">
        <v>0</v>
      </c>
      <c r="BN23" s="350">
        <v>0</v>
      </c>
      <c r="BO23" s="350">
        <v>0</v>
      </c>
      <c r="BP23" s="350">
        <v>0</v>
      </c>
      <c r="BQ23" s="350">
        <v>0</v>
      </c>
      <c r="BR23" s="350">
        <v>0</v>
      </c>
      <c r="BS23" s="350">
        <v>0</v>
      </c>
      <c r="BT23" s="350">
        <v>0</v>
      </c>
      <c r="BU23" s="350">
        <v>0</v>
      </c>
      <c r="BV23" s="350">
        <v>0</v>
      </c>
      <c r="BW23" s="350">
        <v>0</v>
      </c>
      <c r="BX23" s="350">
        <v>0</v>
      </c>
      <c r="BY23" s="350">
        <v>0</v>
      </c>
      <c r="BZ23" s="350">
        <v>0</v>
      </c>
      <c r="CA23" s="350">
        <v>0</v>
      </c>
      <c r="CB23" s="350">
        <v>0</v>
      </c>
      <c r="CC23" s="350">
        <v>0</v>
      </c>
      <c r="CD23" s="350">
        <v>0</v>
      </c>
      <c r="CE23" s="350">
        <v>0</v>
      </c>
      <c r="CF23" s="350">
        <v>0</v>
      </c>
      <c r="CG23" s="350">
        <v>0</v>
      </c>
      <c r="CH23" s="350">
        <v>0</v>
      </c>
      <c r="CI23" s="350">
        <v>0</v>
      </c>
      <c r="CJ23" s="350">
        <v>0</v>
      </c>
      <c r="CK23" s="350">
        <v>0</v>
      </c>
      <c r="CL23" s="350">
        <v>0</v>
      </c>
      <c r="CM23" s="351"/>
      <c r="CN23" s="350">
        <v>0</v>
      </c>
      <c r="CO23" s="350">
        <v>0</v>
      </c>
      <c r="CP23" s="350">
        <v>0</v>
      </c>
      <c r="CQ23" s="350">
        <v>0</v>
      </c>
      <c r="CR23" s="350">
        <v>0</v>
      </c>
      <c r="CS23" s="350">
        <v>155464</v>
      </c>
      <c r="CT23" s="350">
        <v>248206</v>
      </c>
      <c r="CU23" s="350">
        <v>0</v>
      </c>
      <c r="CV23" s="350">
        <v>0</v>
      </c>
      <c r="CW23" s="350">
        <v>0</v>
      </c>
      <c r="CX23" s="350">
        <v>0</v>
      </c>
      <c r="CY23" s="350">
        <v>0</v>
      </c>
      <c r="CZ23" s="350">
        <v>0</v>
      </c>
      <c r="DA23" s="350">
        <v>0</v>
      </c>
      <c r="DB23" s="350">
        <v>0</v>
      </c>
      <c r="DC23" s="350">
        <v>659396</v>
      </c>
      <c r="DD23" s="350">
        <v>75548</v>
      </c>
      <c r="DE23" s="350">
        <v>0</v>
      </c>
      <c r="DF23" s="350">
        <v>0</v>
      </c>
      <c r="DG23" s="350">
        <v>0</v>
      </c>
      <c r="DH23" s="350">
        <v>0</v>
      </c>
      <c r="DI23" s="350">
        <v>0</v>
      </c>
      <c r="DJ23" s="350">
        <v>0</v>
      </c>
      <c r="DK23" s="350">
        <v>0</v>
      </c>
      <c r="DL23" s="350">
        <v>0</v>
      </c>
      <c r="DM23" s="350">
        <v>0</v>
      </c>
      <c r="DN23" s="350">
        <v>0</v>
      </c>
      <c r="DO23" s="350">
        <v>0</v>
      </c>
      <c r="DP23" s="350">
        <v>0</v>
      </c>
      <c r="DQ23" s="350">
        <v>0</v>
      </c>
      <c r="DR23" s="350">
        <v>0</v>
      </c>
      <c r="DS23" s="350">
        <v>0</v>
      </c>
      <c r="DT23" s="350">
        <v>0</v>
      </c>
      <c r="DU23" s="350">
        <v>521264</v>
      </c>
      <c r="DV23" s="350">
        <v>0</v>
      </c>
      <c r="DW23" s="350">
        <v>0</v>
      </c>
      <c r="DX23" s="350">
        <v>0</v>
      </c>
      <c r="DY23" s="350">
        <v>0</v>
      </c>
      <c r="DZ23" s="350">
        <v>7164800</v>
      </c>
      <c r="EA23" s="350">
        <v>1885528</v>
      </c>
      <c r="EB23" s="350">
        <v>8326503</v>
      </c>
      <c r="EC23" s="350">
        <v>8785274</v>
      </c>
      <c r="ED23" s="350">
        <v>897600</v>
      </c>
      <c r="EE23" s="350">
        <v>6609587</v>
      </c>
      <c r="EF23" s="350">
        <v>6553022</v>
      </c>
      <c r="EG23" s="350">
        <v>6214485</v>
      </c>
      <c r="EH23" s="350">
        <v>0</v>
      </c>
      <c r="EI23" s="350">
        <v>10249642</v>
      </c>
      <c r="EJ23" s="350">
        <v>6623047</v>
      </c>
      <c r="EK23" s="350">
        <v>4561920</v>
      </c>
      <c r="EL23" s="350">
        <v>2431155</v>
      </c>
      <c r="EM23" s="350">
        <v>13044649</v>
      </c>
      <c r="EN23" s="350">
        <v>2218174</v>
      </c>
      <c r="EO23" s="350">
        <v>8072925</v>
      </c>
      <c r="EP23" s="350">
        <v>4576530</v>
      </c>
      <c r="EQ23" s="350">
        <v>5410028</v>
      </c>
      <c r="ER23" s="350">
        <v>4845748</v>
      </c>
      <c r="ES23" s="350">
        <v>4382888</v>
      </c>
      <c r="ET23" s="350">
        <v>4853071</v>
      </c>
      <c r="EU23" s="350">
        <v>9211667</v>
      </c>
      <c r="EV23" s="350">
        <v>8174896</v>
      </c>
      <c r="EW23" s="350">
        <v>9392720</v>
      </c>
      <c r="EX23" s="350">
        <v>7612675</v>
      </c>
      <c r="EY23" s="350">
        <v>4633777</v>
      </c>
      <c r="EZ23" s="350">
        <v>13723590</v>
      </c>
      <c r="FA23" s="350">
        <v>5655851</v>
      </c>
      <c r="FB23" s="350">
        <v>24659850</v>
      </c>
      <c r="FC23" s="350">
        <v>4005920</v>
      </c>
      <c r="FD23" s="350">
        <v>10488990</v>
      </c>
      <c r="FE23" s="350">
        <v>5281102</v>
      </c>
      <c r="FF23" s="350">
        <v>4136587</v>
      </c>
      <c r="FG23" s="350">
        <v>4399787</v>
      </c>
      <c r="FH23" s="350">
        <v>2398594</v>
      </c>
      <c r="FI23" s="350">
        <v>3675024</v>
      </c>
      <c r="FJ23" s="350">
        <v>8657725</v>
      </c>
      <c r="FK23" s="350">
        <v>3569209</v>
      </c>
      <c r="FL23" s="350">
        <v>4645101</v>
      </c>
      <c r="FM23" s="350">
        <v>6623033</v>
      </c>
      <c r="FN23" s="350">
        <v>7874071</v>
      </c>
      <c r="FO23" s="350">
        <v>1526655</v>
      </c>
      <c r="FP23" s="350">
        <v>3248432</v>
      </c>
      <c r="FQ23" s="350">
        <v>10072075</v>
      </c>
      <c r="FR23" s="350">
        <v>10189500</v>
      </c>
      <c r="FS23" s="350">
        <v>6690851</v>
      </c>
      <c r="FT23" s="350">
        <v>2439503</v>
      </c>
      <c r="FU23" s="350">
        <v>1141218</v>
      </c>
      <c r="FV23" s="350">
        <v>6355125</v>
      </c>
      <c r="FW23" s="350">
        <v>8237888</v>
      </c>
      <c r="FX23" s="350">
        <v>158400</v>
      </c>
      <c r="FY23" s="350">
        <v>5740928</v>
      </c>
      <c r="FZ23" s="350">
        <v>1653370</v>
      </c>
      <c r="GA23" s="350">
        <v>416342</v>
      </c>
      <c r="GB23" s="350">
        <v>40273</v>
      </c>
      <c r="GC23" s="350">
        <v>166270</v>
      </c>
      <c r="GD23" s="350">
        <v>382765</v>
      </c>
      <c r="GE23" s="350">
        <v>0</v>
      </c>
      <c r="GF23" s="350">
        <v>0</v>
      </c>
      <c r="GG23" s="350">
        <v>0</v>
      </c>
      <c r="GH23" s="350">
        <v>0</v>
      </c>
      <c r="GI23" s="350">
        <v>196498</v>
      </c>
      <c r="GJ23" s="350">
        <v>0</v>
      </c>
      <c r="GK23" s="350">
        <v>127941</v>
      </c>
      <c r="GL23" s="351"/>
      <c r="GM23" s="350">
        <v>0</v>
      </c>
      <c r="GN23" s="350">
        <v>0</v>
      </c>
      <c r="GO23" s="350">
        <v>0</v>
      </c>
      <c r="GP23" s="350">
        <v>0</v>
      </c>
      <c r="GQ23" s="350">
        <v>0</v>
      </c>
      <c r="GR23" s="350">
        <v>0</v>
      </c>
      <c r="GS23" s="350">
        <v>0</v>
      </c>
      <c r="GT23" s="350">
        <v>0</v>
      </c>
      <c r="GU23" s="350">
        <v>243321.08</v>
      </c>
      <c r="GV23" s="350">
        <v>0</v>
      </c>
      <c r="GW23" s="350">
        <v>0</v>
      </c>
      <c r="GX23" s="350">
        <v>32200</v>
      </c>
      <c r="GY23" s="350">
        <v>0</v>
      </c>
      <c r="GZ23" s="350">
        <v>0</v>
      </c>
      <c r="HA23" s="350">
        <v>0</v>
      </c>
      <c r="HB23" s="350">
        <v>0</v>
      </c>
      <c r="HC23" s="350">
        <v>0</v>
      </c>
      <c r="HD23" s="350">
        <v>0</v>
      </c>
      <c r="HE23" s="350">
        <v>0</v>
      </c>
      <c r="HF23" s="350">
        <v>0</v>
      </c>
      <c r="HG23" s="350">
        <v>0</v>
      </c>
      <c r="HH23" s="350">
        <v>0</v>
      </c>
      <c r="HI23" s="350">
        <v>0</v>
      </c>
      <c r="HJ23" s="350">
        <v>0</v>
      </c>
      <c r="HK23" s="350">
        <v>0</v>
      </c>
      <c r="HL23" s="350">
        <v>0</v>
      </c>
      <c r="HM23" s="350">
        <v>0</v>
      </c>
      <c r="HN23" s="350">
        <v>0</v>
      </c>
      <c r="HO23" s="350">
        <v>0</v>
      </c>
      <c r="HP23" s="350">
        <v>0</v>
      </c>
      <c r="HQ23" s="350">
        <v>0</v>
      </c>
      <c r="HR23" s="350">
        <v>0</v>
      </c>
      <c r="HS23" s="350">
        <v>0</v>
      </c>
      <c r="HT23" s="350">
        <v>0</v>
      </c>
      <c r="HU23" s="350">
        <v>0</v>
      </c>
      <c r="HV23" s="350">
        <v>0</v>
      </c>
      <c r="HW23" s="350">
        <v>0</v>
      </c>
      <c r="HX23" s="350">
        <v>0</v>
      </c>
      <c r="HY23" s="350">
        <v>0</v>
      </c>
      <c r="HZ23" s="350">
        <v>0</v>
      </c>
      <c r="IA23" s="350">
        <v>0</v>
      </c>
      <c r="IB23" s="350">
        <v>0</v>
      </c>
      <c r="IC23" s="350">
        <v>0</v>
      </c>
      <c r="ID23" s="350">
        <v>0</v>
      </c>
      <c r="IE23" s="350">
        <v>0</v>
      </c>
      <c r="IF23" s="350">
        <v>0</v>
      </c>
      <c r="IG23" s="350">
        <v>0</v>
      </c>
      <c r="IH23" s="350">
        <v>0</v>
      </c>
      <c r="II23" s="350">
        <v>0</v>
      </c>
      <c r="IJ23" s="350">
        <v>0</v>
      </c>
      <c r="IK23" s="350">
        <v>0</v>
      </c>
      <c r="IL23" s="350">
        <v>0</v>
      </c>
      <c r="IM23" s="351"/>
      <c r="IN23" s="350">
        <v>0</v>
      </c>
      <c r="IO23" s="350">
        <v>0</v>
      </c>
      <c r="IP23" s="350">
        <v>0</v>
      </c>
      <c r="IQ23" s="350">
        <v>0</v>
      </c>
      <c r="IR23" s="350">
        <v>0</v>
      </c>
      <c r="IS23" s="350">
        <v>0</v>
      </c>
      <c r="IT23" s="350">
        <v>0</v>
      </c>
      <c r="IU23" s="350">
        <v>0</v>
      </c>
      <c r="IV23" s="350">
        <v>0</v>
      </c>
      <c r="IW23" s="350">
        <v>0</v>
      </c>
      <c r="IX23" s="350">
        <v>0</v>
      </c>
      <c r="IY23" s="350">
        <v>0</v>
      </c>
      <c r="IZ23" s="350">
        <v>0</v>
      </c>
      <c r="JA23" s="350">
        <v>0</v>
      </c>
      <c r="JB23" s="350">
        <v>0</v>
      </c>
      <c r="JC23" s="350">
        <v>0</v>
      </c>
      <c r="JD23" s="350">
        <v>0</v>
      </c>
      <c r="JE23" s="350">
        <v>0</v>
      </c>
      <c r="JF23" s="350">
        <v>0</v>
      </c>
      <c r="JG23" s="350">
        <v>0</v>
      </c>
      <c r="JH23" s="350">
        <v>0</v>
      </c>
      <c r="JI23" s="350">
        <v>0</v>
      </c>
      <c r="JJ23" s="350">
        <v>0</v>
      </c>
      <c r="JK23" s="350">
        <v>0</v>
      </c>
      <c r="JL23" s="350">
        <v>0</v>
      </c>
      <c r="JM23" s="350">
        <v>0</v>
      </c>
      <c r="JN23" s="350">
        <v>0</v>
      </c>
      <c r="JO23" s="350">
        <v>0</v>
      </c>
      <c r="JP23" s="350">
        <v>0</v>
      </c>
      <c r="JQ23" s="350">
        <v>0</v>
      </c>
      <c r="JR23" s="351"/>
      <c r="JU23" s="348" t="s">
        <v>1859</v>
      </c>
      <c r="JV23" s="313">
        <f t="shared" si="2"/>
        <v>0</v>
      </c>
      <c r="JW23" s="313">
        <f t="shared" si="4"/>
        <v>0</v>
      </c>
      <c r="JX23" s="313">
        <f t="shared" si="4"/>
        <v>0</v>
      </c>
      <c r="JY23" s="313">
        <f t="shared" si="4"/>
        <v>0</v>
      </c>
      <c r="JZ23" s="313">
        <f t="shared" si="4"/>
        <v>0</v>
      </c>
      <c r="KA23" s="313">
        <f t="shared" si="4"/>
        <v>0</v>
      </c>
      <c r="KB23" s="313">
        <f t="shared" si="4"/>
        <v>0</v>
      </c>
      <c r="KC23" s="313">
        <f t="shared" si="4"/>
        <v>1138614</v>
      </c>
      <c r="KD23" s="313">
        <f t="shared" si="4"/>
        <v>0</v>
      </c>
      <c r="KE23" s="313">
        <f t="shared" si="4"/>
        <v>521264</v>
      </c>
      <c r="KF23" s="313">
        <f t="shared" si="4"/>
        <v>0</v>
      </c>
      <c r="KG23" s="313">
        <f t="shared" si="4"/>
        <v>63309488</v>
      </c>
      <c r="KH23" s="313">
        <f t="shared" si="4"/>
        <v>203217257</v>
      </c>
      <c r="KI23" s="313">
        <f t="shared" si="4"/>
        <v>55800575</v>
      </c>
      <c r="KJ23" s="313">
        <f t="shared" si="4"/>
        <v>2855518</v>
      </c>
      <c r="KK23" s="313">
        <f t="shared" si="4"/>
        <v>127941</v>
      </c>
      <c r="KL23" s="313">
        <f t="shared" si="4"/>
        <v>0</v>
      </c>
      <c r="KM23" s="313">
        <f t="shared" si="4"/>
        <v>0</v>
      </c>
      <c r="KN23" s="313">
        <f t="shared" si="4"/>
        <v>243321.08</v>
      </c>
      <c r="KO23" s="313">
        <f t="shared" si="4"/>
        <v>32200</v>
      </c>
      <c r="KP23" s="313">
        <f t="shared" si="4"/>
        <v>0</v>
      </c>
      <c r="KQ23" s="313">
        <f t="shared" si="4"/>
        <v>0</v>
      </c>
      <c r="KR23" s="313">
        <f t="shared" si="4"/>
        <v>0</v>
      </c>
      <c r="KS23" s="313">
        <f t="shared" si="4"/>
        <v>0</v>
      </c>
      <c r="KT23" s="313">
        <f t="shared" si="4"/>
        <v>0</v>
      </c>
      <c r="KU23" s="313">
        <f t="shared" si="4"/>
        <v>0</v>
      </c>
      <c r="KV23" s="313">
        <f t="shared" si="4"/>
        <v>0</v>
      </c>
      <c r="KW23" s="313">
        <f t="shared" si="4"/>
        <v>0</v>
      </c>
      <c r="KX23" s="313">
        <f t="shared" si="4"/>
        <v>0</v>
      </c>
      <c r="KY23" s="313">
        <f t="shared" si="4"/>
        <v>0</v>
      </c>
      <c r="KZ23" s="313">
        <f t="shared" si="4"/>
        <v>0</v>
      </c>
      <c r="LA23" s="313">
        <f t="shared" si="4"/>
        <v>0</v>
      </c>
      <c r="LB23" s="313">
        <f t="shared" si="4"/>
        <v>0</v>
      </c>
      <c r="LC23" s="313">
        <f t="shared" si="4"/>
        <v>0</v>
      </c>
    </row>
    <row r="24" spans="1:315" x14ac:dyDescent="0.25">
      <c r="A24" s="313">
        <v>22</v>
      </c>
      <c r="B24" s="348" t="s">
        <v>1860</v>
      </c>
      <c r="C24" s="350">
        <v>0</v>
      </c>
      <c r="D24" s="350">
        <v>0</v>
      </c>
      <c r="E24" s="350">
        <v>0</v>
      </c>
      <c r="F24" s="350">
        <v>0</v>
      </c>
      <c r="G24" s="350">
        <v>0</v>
      </c>
      <c r="H24" s="350">
        <v>0</v>
      </c>
      <c r="I24" s="350">
        <v>0</v>
      </c>
      <c r="J24" s="350">
        <v>0</v>
      </c>
      <c r="K24" s="350">
        <v>0</v>
      </c>
      <c r="L24" s="350">
        <v>0</v>
      </c>
      <c r="M24" s="350">
        <v>0</v>
      </c>
      <c r="N24" s="350">
        <v>0</v>
      </c>
      <c r="O24" s="350">
        <v>0</v>
      </c>
      <c r="P24" s="350">
        <v>0</v>
      </c>
      <c r="Q24" s="350">
        <v>0</v>
      </c>
      <c r="R24" s="350">
        <v>0</v>
      </c>
      <c r="S24" s="350">
        <v>0</v>
      </c>
      <c r="T24" s="350">
        <v>0</v>
      </c>
      <c r="U24" s="350">
        <v>0</v>
      </c>
      <c r="V24" s="350">
        <v>0</v>
      </c>
      <c r="W24" s="350">
        <v>0</v>
      </c>
      <c r="X24" s="350">
        <v>0</v>
      </c>
      <c r="Y24" s="350">
        <v>0</v>
      </c>
      <c r="Z24" s="350">
        <v>0</v>
      </c>
      <c r="AA24" s="350">
        <v>0</v>
      </c>
      <c r="AB24" s="350">
        <v>0</v>
      </c>
      <c r="AC24" s="350">
        <v>0</v>
      </c>
      <c r="AD24" s="350">
        <v>0</v>
      </c>
      <c r="AE24" s="350">
        <v>0</v>
      </c>
      <c r="AF24" s="350">
        <v>0</v>
      </c>
      <c r="AG24" s="350">
        <v>0</v>
      </c>
      <c r="AH24" s="350">
        <v>0</v>
      </c>
      <c r="AI24" s="350">
        <v>0</v>
      </c>
      <c r="AJ24" s="350">
        <v>0</v>
      </c>
      <c r="AK24" s="350">
        <v>0</v>
      </c>
      <c r="AL24" s="350">
        <v>0</v>
      </c>
      <c r="AM24" s="350">
        <v>0</v>
      </c>
      <c r="AN24" s="350">
        <v>0</v>
      </c>
      <c r="AO24" s="350">
        <v>0</v>
      </c>
      <c r="AP24" s="350">
        <v>0</v>
      </c>
      <c r="AQ24" s="350">
        <v>0</v>
      </c>
      <c r="AR24" s="350">
        <v>155549</v>
      </c>
      <c r="AS24" s="350">
        <v>90390</v>
      </c>
      <c r="AT24" s="350">
        <v>302304</v>
      </c>
      <c r="AU24" s="350">
        <v>105465</v>
      </c>
      <c r="AV24" s="350">
        <v>128850</v>
      </c>
      <c r="AW24" s="351"/>
      <c r="AX24" s="350">
        <v>234398</v>
      </c>
      <c r="AY24" s="350">
        <v>94410</v>
      </c>
      <c r="AZ24" s="350">
        <v>186910</v>
      </c>
      <c r="BA24" s="350">
        <v>158304</v>
      </c>
      <c r="BB24" s="350">
        <v>188840</v>
      </c>
      <c r="BC24" s="350">
        <v>167820</v>
      </c>
      <c r="BD24" s="350">
        <v>201390</v>
      </c>
      <c r="BE24" s="350">
        <v>0</v>
      </c>
      <c r="BF24" s="350">
        <v>55800</v>
      </c>
      <c r="BG24" s="350">
        <v>0</v>
      </c>
      <c r="BH24" s="350">
        <v>52765</v>
      </c>
      <c r="BI24" s="350">
        <v>97665</v>
      </c>
      <c r="BJ24" s="350">
        <v>0</v>
      </c>
      <c r="BK24" s="350">
        <v>0</v>
      </c>
      <c r="BL24" s="350">
        <v>61930</v>
      </c>
      <c r="BM24" s="350">
        <v>321375</v>
      </c>
      <c r="BN24" s="350">
        <v>573818</v>
      </c>
      <c r="BO24" s="350">
        <v>306520</v>
      </c>
      <c r="BP24" s="350">
        <v>105000</v>
      </c>
      <c r="BQ24" s="350">
        <v>208095</v>
      </c>
      <c r="BR24" s="350">
        <v>133310</v>
      </c>
      <c r="BS24" s="350">
        <v>284640</v>
      </c>
      <c r="BT24" s="350">
        <v>449210</v>
      </c>
      <c r="BU24" s="350">
        <v>208378</v>
      </c>
      <c r="BV24" s="350">
        <v>497380</v>
      </c>
      <c r="BW24" s="350">
        <v>191620</v>
      </c>
      <c r="BX24" s="350">
        <v>86751</v>
      </c>
      <c r="BY24" s="350">
        <v>8550</v>
      </c>
      <c r="BZ24" s="350">
        <v>196760</v>
      </c>
      <c r="CA24" s="350">
        <v>779356</v>
      </c>
      <c r="CB24" s="350">
        <v>166460</v>
      </c>
      <c r="CC24" s="350">
        <v>0</v>
      </c>
      <c r="CD24" s="350">
        <v>775110</v>
      </c>
      <c r="CE24" s="350">
        <v>0</v>
      </c>
      <c r="CF24" s="350">
        <v>4320</v>
      </c>
      <c r="CG24" s="350">
        <v>288420</v>
      </c>
      <c r="CH24" s="350">
        <v>0</v>
      </c>
      <c r="CI24" s="350">
        <v>171478</v>
      </c>
      <c r="CJ24" s="350">
        <v>248729</v>
      </c>
      <c r="CK24" s="350">
        <v>215115</v>
      </c>
      <c r="CL24" s="350">
        <v>0</v>
      </c>
      <c r="CM24" s="350">
        <v>0</v>
      </c>
      <c r="CN24" s="350">
        <v>0</v>
      </c>
      <c r="CO24" s="350">
        <v>0</v>
      </c>
      <c r="CP24" s="350">
        <v>0</v>
      </c>
      <c r="CQ24" s="350">
        <v>0</v>
      </c>
      <c r="CR24" s="350">
        <v>0</v>
      </c>
      <c r="CS24" s="350">
        <v>0</v>
      </c>
      <c r="CT24" s="350">
        <v>0</v>
      </c>
      <c r="CU24" s="350">
        <v>0</v>
      </c>
      <c r="CV24" s="350">
        <v>0</v>
      </c>
      <c r="CW24" s="350">
        <v>0</v>
      </c>
      <c r="CX24" s="350">
        <v>0</v>
      </c>
      <c r="CY24" s="350">
        <v>0</v>
      </c>
      <c r="CZ24" s="350">
        <v>0</v>
      </c>
      <c r="DA24" s="350">
        <v>0</v>
      </c>
      <c r="DB24" s="350">
        <v>0</v>
      </c>
      <c r="DC24" s="350">
        <v>0</v>
      </c>
      <c r="DD24" s="350">
        <v>0</v>
      </c>
      <c r="DE24" s="350">
        <v>0</v>
      </c>
      <c r="DF24" s="350">
        <v>0</v>
      </c>
      <c r="DG24" s="350">
        <v>0</v>
      </c>
      <c r="DH24" s="350">
        <v>0</v>
      </c>
      <c r="DI24" s="350">
        <v>0</v>
      </c>
      <c r="DJ24" s="350">
        <v>0</v>
      </c>
      <c r="DK24" s="350">
        <v>2041</v>
      </c>
      <c r="DL24" s="350">
        <v>0</v>
      </c>
      <c r="DM24" s="350">
        <v>0</v>
      </c>
      <c r="DN24" s="350">
        <v>0</v>
      </c>
      <c r="DO24" s="350">
        <v>0</v>
      </c>
      <c r="DP24" s="350">
        <v>0</v>
      </c>
      <c r="DQ24" s="350">
        <v>0</v>
      </c>
      <c r="DR24" s="350">
        <v>0</v>
      </c>
      <c r="DS24" s="350">
        <v>0</v>
      </c>
      <c r="DT24" s="350">
        <v>0</v>
      </c>
      <c r="DU24" s="350">
        <v>0</v>
      </c>
      <c r="DV24" s="350">
        <v>0</v>
      </c>
      <c r="DW24" s="350">
        <v>0</v>
      </c>
      <c r="DX24" s="350">
        <v>6965</v>
      </c>
      <c r="DY24" s="350">
        <v>0</v>
      </c>
      <c r="DZ24" s="350">
        <v>0</v>
      </c>
      <c r="EA24" s="350">
        <v>0</v>
      </c>
      <c r="EB24" s="350">
        <v>0</v>
      </c>
      <c r="EC24" s="350">
        <v>0</v>
      </c>
      <c r="ED24" s="350">
        <v>0</v>
      </c>
      <c r="EE24" s="350">
        <v>0</v>
      </c>
      <c r="EF24" s="350">
        <v>0</v>
      </c>
      <c r="EG24" s="350">
        <v>0</v>
      </c>
      <c r="EH24" s="350">
        <v>0</v>
      </c>
      <c r="EI24" s="350">
        <v>0</v>
      </c>
      <c r="EJ24" s="350">
        <v>0</v>
      </c>
      <c r="EK24" s="350">
        <v>0</v>
      </c>
      <c r="EL24" s="350">
        <v>0</v>
      </c>
      <c r="EM24" s="350">
        <v>0</v>
      </c>
      <c r="EN24" s="350">
        <v>0</v>
      </c>
      <c r="EO24" s="350">
        <v>0</v>
      </c>
      <c r="EP24" s="350">
        <v>0</v>
      </c>
      <c r="EQ24" s="350">
        <v>0</v>
      </c>
      <c r="ER24" s="350">
        <v>0</v>
      </c>
      <c r="ES24" s="350">
        <v>0</v>
      </c>
      <c r="ET24" s="350">
        <v>0</v>
      </c>
      <c r="EU24" s="350">
        <v>0</v>
      </c>
      <c r="EV24" s="350">
        <v>0</v>
      </c>
      <c r="EW24" s="350">
        <v>0</v>
      </c>
      <c r="EX24" s="350">
        <v>0</v>
      </c>
      <c r="EY24" s="350">
        <v>0</v>
      </c>
      <c r="EZ24" s="350">
        <v>0</v>
      </c>
      <c r="FA24" s="350">
        <v>0</v>
      </c>
      <c r="FB24" s="350">
        <v>0</v>
      </c>
      <c r="FC24" s="350">
        <v>0</v>
      </c>
      <c r="FD24" s="350">
        <v>0</v>
      </c>
      <c r="FE24" s="350">
        <v>0</v>
      </c>
      <c r="FF24" s="350">
        <v>0</v>
      </c>
      <c r="FG24" s="350">
        <v>0</v>
      </c>
      <c r="FH24" s="350">
        <v>0</v>
      </c>
      <c r="FI24" s="350">
        <v>0</v>
      </c>
      <c r="FJ24" s="350">
        <v>0</v>
      </c>
      <c r="FK24" s="350">
        <v>0</v>
      </c>
      <c r="FL24" s="350">
        <v>0</v>
      </c>
      <c r="FM24" s="350">
        <v>0</v>
      </c>
      <c r="FN24" s="350">
        <v>0</v>
      </c>
      <c r="FO24" s="350">
        <v>0</v>
      </c>
      <c r="FP24" s="350">
        <v>0</v>
      </c>
      <c r="FQ24" s="350">
        <v>0</v>
      </c>
      <c r="FR24" s="350">
        <v>0</v>
      </c>
      <c r="FS24" s="350">
        <v>0</v>
      </c>
      <c r="FT24" s="350">
        <v>0</v>
      </c>
      <c r="FU24" s="350">
        <v>0</v>
      </c>
      <c r="FV24" s="350">
        <v>0</v>
      </c>
      <c r="FW24" s="350">
        <v>0</v>
      </c>
      <c r="FX24" s="350">
        <v>0</v>
      </c>
      <c r="FY24" s="350">
        <v>0</v>
      </c>
      <c r="FZ24" s="350">
        <v>0</v>
      </c>
      <c r="GA24" s="350">
        <v>0</v>
      </c>
      <c r="GB24" s="350">
        <v>0</v>
      </c>
      <c r="GC24" s="350">
        <v>0</v>
      </c>
      <c r="GD24" s="350">
        <v>0</v>
      </c>
      <c r="GE24" s="350">
        <v>0</v>
      </c>
      <c r="GF24" s="350">
        <v>0</v>
      </c>
      <c r="GG24" s="350">
        <v>677034</v>
      </c>
      <c r="GH24" s="350">
        <v>0</v>
      </c>
      <c r="GI24" s="350">
        <v>0</v>
      </c>
      <c r="GJ24" s="350">
        <v>0</v>
      </c>
      <c r="GK24" s="350">
        <v>0</v>
      </c>
      <c r="GL24" s="350">
        <v>0</v>
      </c>
      <c r="GM24" s="350">
        <v>0</v>
      </c>
      <c r="GN24" s="350">
        <v>0</v>
      </c>
      <c r="GO24" s="350">
        <v>0</v>
      </c>
      <c r="GP24" s="350">
        <v>0</v>
      </c>
      <c r="GQ24" s="350">
        <v>0</v>
      </c>
      <c r="GR24" s="350">
        <v>0</v>
      </c>
      <c r="GS24" s="350">
        <v>0</v>
      </c>
      <c r="GT24" s="350">
        <v>0</v>
      </c>
      <c r="GU24" s="350">
        <v>0</v>
      </c>
      <c r="GV24" s="350">
        <v>0</v>
      </c>
      <c r="GW24" s="350">
        <v>0</v>
      </c>
      <c r="GX24" s="350">
        <v>0</v>
      </c>
      <c r="GY24" s="350">
        <v>0</v>
      </c>
      <c r="GZ24" s="350">
        <v>0</v>
      </c>
      <c r="HA24" s="350">
        <v>0</v>
      </c>
      <c r="HB24" s="350">
        <v>0</v>
      </c>
      <c r="HC24" s="350">
        <v>0</v>
      </c>
      <c r="HD24" s="350">
        <v>0</v>
      </c>
      <c r="HE24" s="350">
        <v>0</v>
      </c>
      <c r="HF24" s="350">
        <v>0</v>
      </c>
      <c r="HG24" s="350">
        <v>0</v>
      </c>
      <c r="HH24" s="350">
        <v>0</v>
      </c>
      <c r="HI24" s="350">
        <v>0</v>
      </c>
      <c r="HJ24" s="350">
        <v>0</v>
      </c>
      <c r="HK24" s="350">
        <v>0</v>
      </c>
      <c r="HL24" s="350">
        <v>0</v>
      </c>
      <c r="HM24" s="350">
        <v>0</v>
      </c>
      <c r="HN24" s="350">
        <v>0</v>
      </c>
      <c r="HO24" s="350">
        <v>0</v>
      </c>
      <c r="HP24" s="350">
        <v>0</v>
      </c>
      <c r="HQ24" s="350">
        <v>0</v>
      </c>
      <c r="HR24" s="350">
        <v>0</v>
      </c>
      <c r="HS24" s="350">
        <v>0</v>
      </c>
      <c r="HT24" s="350">
        <v>0</v>
      </c>
      <c r="HU24" s="350">
        <v>0</v>
      </c>
      <c r="HV24" s="350">
        <v>0</v>
      </c>
      <c r="HW24" s="350">
        <v>0</v>
      </c>
      <c r="HX24" s="350">
        <v>0</v>
      </c>
      <c r="HY24" s="350">
        <v>0</v>
      </c>
      <c r="HZ24" s="350">
        <v>0</v>
      </c>
      <c r="IA24" s="350">
        <v>0</v>
      </c>
      <c r="IB24" s="350">
        <v>0</v>
      </c>
      <c r="IC24" s="350">
        <v>0</v>
      </c>
      <c r="ID24" s="350">
        <v>0</v>
      </c>
      <c r="IE24" s="350">
        <v>0</v>
      </c>
      <c r="IF24" s="350">
        <v>0</v>
      </c>
      <c r="IG24" s="350">
        <v>0</v>
      </c>
      <c r="IH24" s="350">
        <v>0</v>
      </c>
      <c r="II24" s="350">
        <v>0</v>
      </c>
      <c r="IJ24" s="350">
        <v>0</v>
      </c>
      <c r="IK24" s="350">
        <v>0</v>
      </c>
      <c r="IL24" s="350">
        <v>0</v>
      </c>
      <c r="IM24" s="351"/>
      <c r="IN24" s="350">
        <v>0</v>
      </c>
      <c r="IO24" s="350">
        <v>0</v>
      </c>
      <c r="IP24" s="350">
        <v>0</v>
      </c>
      <c r="IQ24" s="350">
        <v>0</v>
      </c>
      <c r="IR24" s="350">
        <v>0</v>
      </c>
      <c r="IS24" s="350">
        <v>0</v>
      </c>
      <c r="IT24" s="350">
        <v>0</v>
      </c>
      <c r="IU24" s="350">
        <v>0</v>
      </c>
      <c r="IV24" s="350">
        <v>0</v>
      </c>
      <c r="IW24" s="350">
        <v>0</v>
      </c>
      <c r="IX24" s="350">
        <v>0</v>
      </c>
      <c r="IY24" s="350">
        <v>0</v>
      </c>
      <c r="IZ24" s="350">
        <v>0</v>
      </c>
      <c r="JA24" s="350">
        <v>0</v>
      </c>
      <c r="JB24" s="350">
        <v>0</v>
      </c>
      <c r="JC24" s="350">
        <v>0</v>
      </c>
      <c r="JD24" s="350">
        <v>0</v>
      </c>
      <c r="JE24" s="350">
        <v>0</v>
      </c>
      <c r="JF24" s="350">
        <v>0</v>
      </c>
      <c r="JG24" s="350">
        <v>0</v>
      </c>
      <c r="JH24" s="350">
        <v>0</v>
      </c>
      <c r="JI24" s="350">
        <v>0</v>
      </c>
      <c r="JJ24" s="350">
        <v>0</v>
      </c>
      <c r="JK24" s="350">
        <v>0</v>
      </c>
      <c r="JL24" s="350">
        <v>0</v>
      </c>
      <c r="JM24" s="350">
        <v>0</v>
      </c>
      <c r="JN24" s="350">
        <v>0</v>
      </c>
      <c r="JO24" s="350">
        <v>0</v>
      </c>
      <c r="JP24" s="350">
        <v>0</v>
      </c>
      <c r="JQ24" s="350">
        <v>0</v>
      </c>
      <c r="JR24" s="351"/>
      <c r="JU24" s="348" t="s">
        <v>1860</v>
      </c>
      <c r="JV24" s="313">
        <f t="shared" si="2"/>
        <v>0</v>
      </c>
      <c r="JW24" s="313">
        <f t="shared" si="4"/>
        <v>0</v>
      </c>
      <c r="JX24" s="313">
        <f t="shared" si="4"/>
        <v>0</v>
      </c>
      <c r="JY24" s="313">
        <f t="shared" si="4"/>
        <v>8503185</v>
      </c>
      <c r="JZ24" s="313">
        <f t="shared" si="4"/>
        <v>0</v>
      </c>
      <c r="KA24" s="313">
        <f t="shared" si="4"/>
        <v>0</v>
      </c>
      <c r="KB24" s="313">
        <f t="shared" si="4"/>
        <v>0</v>
      </c>
      <c r="KC24" s="313">
        <f t="shared" si="4"/>
        <v>0</v>
      </c>
      <c r="KD24" s="313">
        <f t="shared" si="4"/>
        <v>2041</v>
      </c>
      <c r="KE24" s="313">
        <f t="shared" si="4"/>
        <v>6965</v>
      </c>
      <c r="KF24" s="313">
        <f t="shared" si="4"/>
        <v>0</v>
      </c>
      <c r="KG24" s="313">
        <f t="shared" si="4"/>
        <v>0</v>
      </c>
      <c r="KH24" s="313">
        <f t="shared" si="4"/>
        <v>0</v>
      </c>
      <c r="KI24" s="313">
        <f t="shared" si="4"/>
        <v>0</v>
      </c>
      <c r="KJ24" s="313">
        <f t="shared" si="4"/>
        <v>677034</v>
      </c>
      <c r="KK24" s="313">
        <f t="shared" si="4"/>
        <v>0</v>
      </c>
      <c r="KL24" s="313">
        <f t="shared" si="4"/>
        <v>0</v>
      </c>
      <c r="KM24" s="313">
        <f t="shared" si="4"/>
        <v>0</v>
      </c>
      <c r="KN24" s="313">
        <f t="shared" si="4"/>
        <v>0</v>
      </c>
      <c r="KO24" s="313">
        <f t="shared" si="4"/>
        <v>0</v>
      </c>
      <c r="KP24" s="313">
        <f t="shared" si="4"/>
        <v>0</v>
      </c>
      <c r="KQ24" s="313">
        <f t="shared" si="4"/>
        <v>0</v>
      </c>
      <c r="KR24" s="313">
        <f t="shared" si="4"/>
        <v>0</v>
      </c>
      <c r="KS24" s="313">
        <f t="shared" si="4"/>
        <v>0</v>
      </c>
      <c r="KT24" s="313">
        <f t="shared" si="4"/>
        <v>0</v>
      </c>
      <c r="KU24" s="313">
        <f t="shared" si="4"/>
        <v>0</v>
      </c>
      <c r="KV24" s="313">
        <f t="shared" si="4"/>
        <v>0</v>
      </c>
      <c r="KW24" s="313">
        <f t="shared" si="4"/>
        <v>0</v>
      </c>
      <c r="KX24" s="313">
        <f t="shared" si="4"/>
        <v>0</v>
      </c>
      <c r="KY24" s="313">
        <f t="shared" si="4"/>
        <v>0</v>
      </c>
      <c r="KZ24" s="313">
        <f t="shared" si="4"/>
        <v>0</v>
      </c>
      <c r="LA24" s="313">
        <f t="shared" si="4"/>
        <v>0</v>
      </c>
      <c r="LB24" s="313">
        <f t="shared" si="4"/>
        <v>0</v>
      </c>
      <c r="LC24" s="313">
        <f t="shared" si="4"/>
        <v>0</v>
      </c>
    </row>
    <row r="25" spans="1:315" x14ac:dyDescent="0.25">
      <c r="A25" s="313">
        <v>23</v>
      </c>
      <c r="B25" s="348" t="s">
        <v>1861</v>
      </c>
      <c r="C25" s="350">
        <v>0</v>
      </c>
      <c r="D25" s="350">
        <v>0</v>
      </c>
      <c r="E25" s="350">
        <v>0</v>
      </c>
      <c r="F25" s="350">
        <v>0</v>
      </c>
      <c r="G25" s="350">
        <v>0</v>
      </c>
      <c r="H25" s="350">
        <v>0</v>
      </c>
      <c r="I25" s="350">
        <v>0</v>
      </c>
      <c r="J25" s="350">
        <v>0</v>
      </c>
      <c r="K25" s="350">
        <v>0</v>
      </c>
      <c r="L25" s="350">
        <v>0</v>
      </c>
      <c r="M25" s="350">
        <v>0</v>
      </c>
      <c r="N25" s="350">
        <v>0</v>
      </c>
      <c r="O25" s="350">
        <v>0</v>
      </c>
      <c r="P25" s="350">
        <v>0</v>
      </c>
      <c r="Q25" s="350">
        <v>0</v>
      </c>
      <c r="R25" s="350">
        <v>0</v>
      </c>
      <c r="S25" s="350">
        <v>0</v>
      </c>
      <c r="T25" s="350">
        <v>0</v>
      </c>
      <c r="U25" s="350">
        <v>0</v>
      </c>
      <c r="V25" s="350">
        <v>0</v>
      </c>
      <c r="W25" s="350">
        <v>0</v>
      </c>
      <c r="X25" s="350">
        <v>0</v>
      </c>
      <c r="Y25" s="350">
        <v>0</v>
      </c>
      <c r="Z25" s="350">
        <v>0</v>
      </c>
      <c r="AA25" s="350">
        <v>0</v>
      </c>
      <c r="AB25" s="350">
        <v>0</v>
      </c>
      <c r="AC25" s="350">
        <v>0</v>
      </c>
      <c r="AD25" s="350">
        <v>0</v>
      </c>
      <c r="AE25" s="350">
        <v>0</v>
      </c>
      <c r="AF25" s="350">
        <v>0</v>
      </c>
      <c r="AG25" s="350">
        <v>0</v>
      </c>
      <c r="AH25" s="350">
        <v>0</v>
      </c>
      <c r="AI25" s="350">
        <v>0</v>
      </c>
      <c r="AJ25" s="350">
        <v>0</v>
      </c>
      <c r="AK25" s="350">
        <v>0</v>
      </c>
      <c r="AL25" s="350">
        <v>0</v>
      </c>
      <c r="AM25" s="350">
        <v>0</v>
      </c>
      <c r="AN25" s="350">
        <v>0</v>
      </c>
      <c r="AO25" s="350">
        <v>0</v>
      </c>
      <c r="AP25" s="350">
        <v>0</v>
      </c>
      <c r="AQ25" s="350">
        <v>0</v>
      </c>
      <c r="AR25" s="350">
        <v>0</v>
      </c>
      <c r="AS25" s="350">
        <v>0</v>
      </c>
      <c r="AT25" s="350">
        <v>0</v>
      </c>
      <c r="AU25" s="350">
        <v>0</v>
      </c>
      <c r="AV25" s="350">
        <v>0</v>
      </c>
      <c r="AW25" s="351"/>
      <c r="AX25" s="350">
        <v>0</v>
      </c>
      <c r="AY25" s="350">
        <v>0</v>
      </c>
      <c r="AZ25" s="350">
        <v>0</v>
      </c>
      <c r="BA25" s="350">
        <v>0</v>
      </c>
      <c r="BB25" s="350">
        <v>0</v>
      </c>
      <c r="BC25" s="350">
        <v>0</v>
      </c>
      <c r="BD25" s="350">
        <v>0</v>
      </c>
      <c r="BE25" s="350">
        <v>0</v>
      </c>
      <c r="BF25" s="350">
        <v>0</v>
      </c>
      <c r="BG25" s="350">
        <v>0</v>
      </c>
      <c r="BH25" s="350">
        <v>0</v>
      </c>
      <c r="BI25" s="351"/>
      <c r="BJ25" s="350">
        <v>0</v>
      </c>
      <c r="BK25" s="350">
        <v>0</v>
      </c>
      <c r="BL25" s="350">
        <v>0</v>
      </c>
      <c r="BM25" s="350">
        <v>0</v>
      </c>
      <c r="BN25" s="350">
        <v>0</v>
      </c>
      <c r="BO25" s="350">
        <v>0</v>
      </c>
      <c r="BP25" s="350">
        <v>0</v>
      </c>
      <c r="BQ25" s="350">
        <v>0</v>
      </c>
      <c r="BR25" s="350">
        <v>0</v>
      </c>
      <c r="BS25" s="350">
        <v>0</v>
      </c>
      <c r="BT25" s="350">
        <v>0</v>
      </c>
      <c r="BU25" s="350">
        <v>0</v>
      </c>
      <c r="BV25" s="350">
        <v>0</v>
      </c>
      <c r="BW25" s="350">
        <v>0</v>
      </c>
      <c r="BX25" s="350">
        <v>0</v>
      </c>
      <c r="BY25" s="350">
        <v>0</v>
      </c>
      <c r="BZ25" s="350">
        <v>0</v>
      </c>
      <c r="CA25" s="350">
        <v>0</v>
      </c>
      <c r="CB25" s="350">
        <v>0</v>
      </c>
      <c r="CC25" s="350">
        <v>0</v>
      </c>
      <c r="CD25" s="350">
        <v>0</v>
      </c>
      <c r="CE25" s="350">
        <v>0</v>
      </c>
      <c r="CF25" s="350">
        <v>0</v>
      </c>
      <c r="CG25" s="350">
        <v>0</v>
      </c>
      <c r="CH25" s="350">
        <v>0</v>
      </c>
      <c r="CI25" s="350">
        <v>0</v>
      </c>
      <c r="CJ25" s="350">
        <v>0</v>
      </c>
      <c r="CK25" s="350">
        <v>0</v>
      </c>
      <c r="CL25" s="350">
        <v>0</v>
      </c>
      <c r="CM25" s="350">
        <v>0</v>
      </c>
      <c r="CN25" s="350">
        <v>0</v>
      </c>
      <c r="CO25" s="350">
        <v>0</v>
      </c>
      <c r="CP25" s="350">
        <v>0</v>
      </c>
      <c r="CQ25" s="350">
        <v>217650</v>
      </c>
      <c r="CR25" s="350">
        <v>1080240</v>
      </c>
      <c r="CS25" s="350">
        <v>146114</v>
      </c>
      <c r="CT25" s="350">
        <v>40112</v>
      </c>
      <c r="CU25" s="350">
        <v>577080</v>
      </c>
      <c r="CV25" s="350">
        <v>656574</v>
      </c>
      <c r="CW25" s="350">
        <v>65895.5</v>
      </c>
      <c r="CX25" s="350">
        <v>349220</v>
      </c>
      <c r="CY25" s="350">
        <v>0</v>
      </c>
      <c r="CZ25" s="350">
        <v>629982</v>
      </c>
      <c r="DA25" s="350">
        <v>0</v>
      </c>
      <c r="DB25" s="350">
        <v>0</v>
      </c>
      <c r="DC25" s="350">
        <v>0</v>
      </c>
      <c r="DD25" s="350">
        <v>51480</v>
      </c>
      <c r="DE25" s="350">
        <v>0</v>
      </c>
      <c r="DF25" s="350">
        <v>0</v>
      </c>
      <c r="DG25" s="350">
        <v>0</v>
      </c>
      <c r="DH25" s="350">
        <v>0</v>
      </c>
      <c r="DI25" s="350">
        <v>0</v>
      </c>
      <c r="DJ25" s="350">
        <v>0</v>
      </c>
      <c r="DK25" s="350">
        <v>0</v>
      </c>
      <c r="DL25" s="350">
        <v>0</v>
      </c>
      <c r="DM25" s="350">
        <v>0</v>
      </c>
      <c r="DN25" s="350">
        <v>0</v>
      </c>
      <c r="DO25" s="350">
        <v>0</v>
      </c>
      <c r="DP25" s="350">
        <v>0</v>
      </c>
      <c r="DQ25" s="350">
        <v>50052</v>
      </c>
      <c r="DR25" s="350">
        <v>0</v>
      </c>
      <c r="DS25" s="350">
        <v>0</v>
      </c>
      <c r="DT25" s="350">
        <v>0</v>
      </c>
      <c r="DU25" s="350">
        <v>0</v>
      </c>
      <c r="DV25" s="350">
        <v>720500</v>
      </c>
      <c r="DW25" s="350">
        <v>0</v>
      </c>
      <c r="DX25" s="350">
        <v>0</v>
      </c>
      <c r="DY25" s="350">
        <v>223659</v>
      </c>
      <c r="DZ25" s="350">
        <v>2023795</v>
      </c>
      <c r="EA25" s="350">
        <v>765749</v>
      </c>
      <c r="EB25" s="350">
        <v>4922396</v>
      </c>
      <c r="EC25" s="350">
        <v>5807385</v>
      </c>
      <c r="ED25" s="350">
        <v>319224</v>
      </c>
      <c r="EE25" s="350">
        <v>3437824</v>
      </c>
      <c r="EF25" s="350">
        <v>5321548</v>
      </c>
      <c r="EG25" s="350">
        <v>2726610</v>
      </c>
      <c r="EH25" s="350">
        <v>1728307</v>
      </c>
      <c r="EI25" s="350">
        <v>4472045</v>
      </c>
      <c r="EJ25" s="350">
        <v>3643122</v>
      </c>
      <c r="EK25" s="350">
        <v>2542562</v>
      </c>
      <c r="EL25" s="350">
        <v>1510095</v>
      </c>
      <c r="EM25" s="350">
        <v>6898192</v>
      </c>
      <c r="EN25" s="350">
        <v>1634042</v>
      </c>
      <c r="EO25" s="350">
        <v>4873287</v>
      </c>
      <c r="EP25" s="350">
        <v>3073838</v>
      </c>
      <c r="EQ25" s="350">
        <v>3480124</v>
      </c>
      <c r="ER25" s="350">
        <v>3094256</v>
      </c>
      <c r="ES25" s="350">
        <v>3083632</v>
      </c>
      <c r="ET25" s="350">
        <v>3604537</v>
      </c>
      <c r="EU25" s="350">
        <v>4975213</v>
      </c>
      <c r="EV25" s="350">
        <v>4417750</v>
      </c>
      <c r="EW25" s="350">
        <v>4905674</v>
      </c>
      <c r="EX25" s="350">
        <v>4461720</v>
      </c>
      <c r="EY25" s="350">
        <v>2076899</v>
      </c>
      <c r="EZ25" s="350">
        <v>7883190</v>
      </c>
      <c r="FA25" s="350">
        <v>3463561</v>
      </c>
      <c r="FB25" s="350">
        <v>18752939</v>
      </c>
      <c r="FC25" s="350">
        <v>3206277</v>
      </c>
      <c r="FD25" s="350">
        <v>5769870</v>
      </c>
      <c r="FE25" s="350">
        <v>2481950</v>
      </c>
      <c r="FF25" s="350">
        <v>4029658</v>
      </c>
      <c r="FG25" s="350">
        <v>3152520</v>
      </c>
      <c r="FH25" s="350">
        <v>1587057</v>
      </c>
      <c r="FI25" s="350">
        <v>4009565</v>
      </c>
      <c r="FJ25" s="350">
        <v>4457090</v>
      </c>
      <c r="FK25" s="350">
        <v>2509405</v>
      </c>
      <c r="FL25" s="350">
        <v>2371207</v>
      </c>
      <c r="FM25" s="350">
        <v>4377500</v>
      </c>
      <c r="FN25" s="350">
        <v>4239475</v>
      </c>
      <c r="FO25" s="350">
        <v>715844</v>
      </c>
      <c r="FP25" s="350">
        <v>1971781</v>
      </c>
      <c r="FQ25" s="350">
        <v>4789958</v>
      </c>
      <c r="FR25" s="350">
        <v>5075419</v>
      </c>
      <c r="FS25" s="350">
        <v>3582416</v>
      </c>
      <c r="FT25" s="350">
        <v>2238806</v>
      </c>
      <c r="FU25" s="350">
        <v>697020</v>
      </c>
      <c r="FV25" s="350">
        <v>3505626</v>
      </c>
      <c r="FW25" s="350">
        <v>4988873</v>
      </c>
      <c r="FX25" s="350">
        <v>47450</v>
      </c>
      <c r="FY25" s="350">
        <v>3210673</v>
      </c>
      <c r="FZ25" s="350">
        <v>1491157</v>
      </c>
      <c r="GA25" s="350">
        <v>901141</v>
      </c>
      <c r="GB25" s="350">
        <v>204160</v>
      </c>
      <c r="GC25" s="350">
        <v>301014</v>
      </c>
      <c r="GD25" s="350">
        <v>362372</v>
      </c>
      <c r="GE25" s="350">
        <v>117120</v>
      </c>
      <c r="GF25" s="350">
        <v>1031701</v>
      </c>
      <c r="GG25" s="350">
        <v>0</v>
      </c>
      <c r="GH25" s="350">
        <v>446779</v>
      </c>
      <c r="GI25" s="350">
        <v>267855</v>
      </c>
      <c r="GJ25" s="350">
        <v>0</v>
      </c>
      <c r="GK25" s="350">
        <v>77940</v>
      </c>
      <c r="GL25" s="350">
        <v>0</v>
      </c>
      <c r="GM25" s="350">
        <v>0</v>
      </c>
      <c r="GN25" s="350">
        <v>0</v>
      </c>
      <c r="GO25" s="350">
        <v>0</v>
      </c>
      <c r="GP25" s="350">
        <v>0</v>
      </c>
      <c r="GQ25" s="350">
        <v>0</v>
      </c>
      <c r="GR25" s="350">
        <v>809965</v>
      </c>
      <c r="GS25" s="350">
        <v>1486560</v>
      </c>
      <c r="GT25" s="350">
        <v>1283880</v>
      </c>
      <c r="GU25" s="350">
        <v>489514</v>
      </c>
      <c r="GV25" s="350">
        <v>0</v>
      </c>
      <c r="GW25" s="350">
        <v>361790</v>
      </c>
      <c r="GX25" s="350">
        <v>170230</v>
      </c>
      <c r="GY25" s="350">
        <v>0</v>
      </c>
      <c r="GZ25" s="350">
        <v>0</v>
      </c>
      <c r="HA25" s="350">
        <v>0</v>
      </c>
      <c r="HB25" s="350">
        <v>0</v>
      </c>
      <c r="HC25" s="350">
        <v>0</v>
      </c>
      <c r="HD25" s="350">
        <v>0</v>
      </c>
      <c r="HE25" s="350">
        <v>0</v>
      </c>
      <c r="HF25" s="350">
        <v>0</v>
      </c>
      <c r="HG25" s="350">
        <v>0</v>
      </c>
      <c r="HH25" s="350">
        <v>0</v>
      </c>
      <c r="HI25" s="350">
        <v>0</v>
      </c>
      <c r="HJ25" s="350">
        <v>0</v>
      </c>
      <c r="HK25" s="350">
        <v>0</v>
      </c>
      <c r="HL25" s="350">
        <v>0</v>
      </c>
      <c r="HM25" s="350">
        <v>0</v>
      </c>
      <c r="HN25" s="350">
        <v>508140</v>
      </c>
      <c r="HO25" s="350">
        <v>22580</v>
      </c>
      <c r="HP25" s="350">
        <v>15680</v>
      </c>
      <c r="HQ25" s="350">
        <v>0</v>
      </c>
      <c r="HR25" s="350">
        <v>0</v>
      </c>
      <c r="HS25" s="350">
        <v>0</v>
      </c>
      <c r="HT25" s="350">
        <v>0</v>
      </c>
      <c r="HU25" s="350">
        <v>0</v>
      </c>
      <c r="HV25" s="350">
        <v>0</v>
      </c>
      <c r="HW25" s="350">
        <v>0</v>
      </c>
      <c r="HX25" s="350">
        <v>0</v>
      </c>
      <c r="HY25" s="350">
        <v>0</v>
      </c>
      <c r="HZ25" s="350">
        <v>0</v>
      </c>
      <c r="IA25" s="350">
        <v>0</v>
      </c>
      <c r="IB25" s="350">
        <v>0</v>
      </c>
      <c r="IC25" s="350">
        <v>0</v>
      </c>
      <c r="ID25" s="350">
        <v>0</v>
      </c>
      <c r="IE25" s="350">
        <v>0</v>
      </c>
      <c r="IF25" s="350">
        <v>0</v>
      </c>
      <c r="IG25" s="350">
        <v>0</v>
      </c>
      <c r="IH25" s="350">
        <v>0</v>
      </c>
      <c r="II25" s="350">
        <v>0</v>
      </c>
      <c r="IJ25" s="350">
        <v>0</v>
      </c>
      <c r="IK25" s="350">
        <v>0</v>
      </c>
      <c r="IL25" s="350">
        <v>0</v>
      </c>
      <c r="IM25" s="351"/>
      <c r="IN25" s="350">
        <v>0</v>
      </c>
      <c r="IO25" s="350">
        <v>0</v>
      </c>
      <c r="IP25" s="350">
        <v>0</v>
      </c>
      <c r="IQ25" s="350">
        <v>0</v>
      </c>
      <c r="IR25" s="350">
        <v>0</v>
      </c>
      <c r="IS25" s="350">
        <v>0</v>
      </c>
      <c r="IT25" s="350">
        <v>0</v>
      </c>
      <c r="IU25" s="350">
        <v>0</v>
      </c>
      <c r="IV25" s="350">
        <v>0</v>
      </c>
      <c r="IW25" s="350">
        <v>0</v>
      </c>
      <c r="IX25" s="350">
        <v>0</v>
      </c>
      <c r="IY25" s="350">
        <v>0</v>
      </c>
      <c r="IZ25" s="350">
        <v>0</v>
      </c>
      <c r="JA25" s="350">
        <v>0</v>
      </c>
      <c r="JB25" s="350">
        <v>0</v>
      </c>
      <c r="JC25" s="350">
        <v>0</v>
      </c>
      <c r="JD25" s="350">
        <v>0</v>
      </c>
      <c r="JE25" s="350">
        <v>0</v>
      </c>
      <c r="JF25" s="350">
        <v>0</v>
      </c>
      <c r="JG25" s="350">
        <v>0</v>
      </c>
      <c r="JH25" s="350">
        <v>0</v>
      </c>
      <c r="JI25" s="350">
        <v>0</v>
      </c>
      <c r="JJ25" s="350">
        <v>0</v>
      </c>
      <c r="JK25" s="350">
        <v>0</v>
      </c>
      <c r="JL25" s="350">
        <v>0</v>
      </c>
      <c r="JM25" s="350">
        <v>0</v>
      </c>
      <c r="JN25" s="350">
        <v>0</v>
      </c>
      <c r="JO25" s="350">
        <v>0</v>
      </c>
      <c r="JP25" s="350">
        <v>0</v>
      </c>
      <c r="JQ25" s="350">
        <v>0</v>
      </c>
      <c r="JR25" s="351"/>
      <c r="JU25" s="348" t="s">
        <v>1861</v>
      </c>
      <c r="JV25" s="313">
        <f t="shared" si="2"/>
        <v>0</v>
      </c>
      <c r="JW25" s="313">
        <f t="shared" si="4"/>
        <v>0</v>
      </c>
      <c r="JX25" s="313">
        <f t="shared" si="4"/>
        <v>0</v>
      </c>
      <c r="JY25" s="313">
        <f t="shared" si="4"/>
        <v>0</v>
      </c>
      <c r="JZ25" s="313">
        <f t="shared" si="4"/>
        <v>0</v>
      </c>
      <c r="KA25" s="313">
        <f t="shared" si="4"/>
        <v>0</v>
      </c>
      <c r="KB25" s="313">
        <f t="shared" si="4"/>
        <v>0</v>
      </c>
      <c r="KC25" s="313">
        <f t="shared" si="4"/>
        <v>3814347.5</v>
      </c>
      <c r="KD25" s="313">
        <f t="shared" si="4"/>
        <v>0</v>
      </c>
      <c r="KE25" s="313">
        <f t="shared" si="4"/>
        <v>770552</v>
      </c>
      <c r="KF25" s="313">
        <f t="shared" si="4"/>
        <v>223659</v>
      </c>
      <c r="KG25" s="313">
        <f t="shared" si="4"/>
        <v>35168005</v>
      </c>
      <c r="KH25" s="313">
        <f t="shared" si="4"/>
        <v>126923085</v>
      </c>
      <c r="KI25" s="313">
        <f t="shared" si="4"/>
        <v>30823866</v>
      </c>
      <c r="KJ25" s="313">
        <f t="shared" si="4"/>
        <v>5123299</v>
      </c>
      <c r="KK25" s="313">
        <f t="shared" si="4"/>
        <v>77940</v>
      </c>
      <c r="KL25" s="313">
        <f t="shared" si="4"/>
        <v>0</v>
      </c>
      <c r="KM25" s="313">
        <f t="shared" si="4"/>
        <v>0</v>
      </c>
      <c r="KN25" s="313">
        <f t="shared" si="4"/>
        <v>4431709</v>
      </c>
      <c r="KO25" s="313">
        <f t="shared" si="4"/>
        <v>170230</v>
      </c>
      <c r="KP25" s="313">
        <f t="shared" si="4"/>
        <v>0</v>
      </c>
      <c r="KQ25" s="313">
        <f t="shared" si="4"/>
        <v>0</v>
      </c>
      <c r="KR25" s="313">
        <f t="shared" si="4"/>
        <v>0</v>
      </c>
      <c r="KS25" s="313">
        <f t="shared" si="4"/>
        <v>0</v>
      </c>
      <c r="KT25" s="313">
        <f t="shared" si="4"/>
        <v>0</v>
      </c>
      <c r="KU25" s="313">
        <f t="shared" si="4"/>
        <v>546400</v>
      </c>
      <c r="KV25" s="313">
        <f t="shared" si="4"/>
        <v>0</v>
      </c>
      <c r="KW25" s="313">
        <f t="shared" si="4"/>
        <v>0</v>
      </c>
      <c r="KX25" s="313">
        <f t="shared" si="4"/>
        <v>0</v>
      </c>
      <c r="KY25" s="313">
        <f t="shared" si="4"/>
        <v>0</v>
      </c>
      <c r="KZ25" s="313">
        <f t="shared" si="4"/>
        <v>0</v>
      </c>
      <c r="LA25" s="313">
        <f t="shared" si="4"/>
        <v>0</v>
      </c>
      <c r="LB25" s="313">
        <f t="shared" si="4"/>
        <v>0</v>
      </c>
      <c r="LC25" s="313">
        <f t="shared" si="4"/>
        <v>0</v>
      </c>
    </row>
    <row r="26" spans="1:315" x14ac:dyDescent="0.25">
      <c r="A26" s="313">
        <v>24</v>
      </c>
      <c r="B26" s="348" t="s">
        <v>1862</v>
      </c>
      <c r="C26" s="350">
        <v>0</v>
      </c>
      <c r="D26" s="350">
        <v>0</v>
      </c>
      <c r="E26" s="350">
        <v>0</v>
      </c>
      <c r="F26" s="350">
        <v>0</v>
      </c>
      <c r="G26" s="350">
        <v>0</v>
      </c>
      <c r="H26" s="350">
        <v>0</v>
      </c>
      <c r="I26" s="350">
        <v>0</v>
      </c>
      <c r="J26" s="350">
        <v>0</v>
      </c>
      <c r="K26" s="350">
        <v>0</v>
      </c>
      <c r="L26" s="350">
        <v>0</v>
      </c>
      <c r="M26" s="350">
        <v>0</v>
      </c>
      <c r="N26" s="350">
        <v>0</v>
      </c>
      <c r="O26" s="350">
        <v>0</v>
      </c>
      <c r="P26" s="350">
        <v>0</v>
      </c>
      <c r="Q26" s="350">
        <v>0</v>
      </c>
      <c r="R26" s="350">
        <v>0</v>
      </c>
      <c r="S26" s="350">
        <v>0</v>
      </c>
      <c r="T26" s="350">
        <v>0</v>
      </c>
      <c r="U26" s="350">
        <v>0</v>
      </c>
      <c r="V26" s="350">
        <v>0</v>
      </c>
      <c r="W26" s="350">
        <v>0</v>
      </c>
      <c r="X26" s="350">
        <v>0</v>
      </c>
      <c r="Y26" s="350">
        <v>0</v>
      </c>
      <c r="Z26" s="350">
        <v>0</v>
      </c>
      <c r="AA26" s="350">
        <v>0</v>
      </c>
      <c r="AB26" s="350">
        <v>0</v>
      </c>
      <c r="AC26" s="350">
        <v>0</v>
      </c>
      <c r="AD26" s="350">
        <v>0</v>
      </c>
      <c r="AE26" s="350">
        <v>0</v>
      </c>
      <c r="AF26" s="350">
        <v>0</v>
      </c>
      <c r="AG26" s="350">
        <v>0</v>
      </c>
      <c r="AH26" s="350">
        <v>0</v>
      </c>
      <c r="AI26" s="350">
        <v>0</v>
      </c>
      <c r="AJ26" s="350">
        <v>0</v>
      </c>
      <c r="AK26" s="350">
        <v>0</v>
      </c>
      <c r="AL26" s="350">
        <v>0</v>
      </c>
      <c r="AM26" s="350">
        <v>0</v>
      </c>
      <c r="AN26" s="350">
        <v>0</v>
      </c>
      <c r="AO26" s="350">
        <v>0</v>
      </c>
      <c r="AP26" s="350">
        <v>0</v>
      </c>
      <c r="AQ26" s="350">
        <v>0</v>
      </c>
      <c r="AR26" s="350">
        <v>0</v>
      </c>
      <c r="AS26" s="350">
        <v>0</v>
      </c>
      <c r="AT26" s="350">
        <v>1288140</v>
      </c>
      <c r="AU26" s="350">
        <v>389834</v>
      </c>
      <c r="AV26" s="350">
        <v>0</v>
      </c>
      <c r="AW26" s="351"/>
      <c r="AX26" s="350">
        <v>0</v>
      </c>
      <c r="AY26" s="350">
        <v>328040</v>
      </c>
      <c r="AZ26" s="350">
        <v>568756</v>
      </c>
      <c r="BA26" s="350">
        <v>0</v>
      </c>
      <c r="BB26" s="350">
        <v>583704</v>
      </c>
      <c r="BC26" s="350">
        <v>0</v>
      </c>
      <c r="BD26" s="350">
        <v>366760</v>
      </c>
      <c r="BE26" s="350">
        <v>0</v>
      </c>
      <c r="BF26" s="350">
        <v>0</v>
      </c>
      <c r="BG26" s="350">
        <v>0</v>
      </c>
      <c r="BH26" s="350">
        <v>220178</v>
      </c>
      <c r="BI26" s="350">
        <v>399228</v>
      </c>
      <c r="BJ26" s="350">
        <v>0</v>
      </c>
      <c r="BK26" s="350">
        <v>0</v>
      </c>
      <c r="BL26" s="350">
        <v>0</v>
      </c>
      <c r="BM26" s="350">
        <v>0</v>
      </c>
      <c r="BN26" s="350">
        <v>0</v>
      </c>
      <c r="BO26" s="350">
        <v>0</v>
      </c>
      <c r="BP26" s="350">
        <v>0</v>
      </c>
      <c r="BQ26" s="350">
        <v>0</v>
      </c>
      <c r="BR26" s="350">
        <v>0</v>
      </c>
      <c r="BS26" s="350">
        <v>0</v>
      </c>
      <c r="BT26" s="350">
        <v>1959582</v>
      </c>
      <c r="BU26" s="350">
        <v>0</v>
      </c>
      <c r="BV26" s="350">
        <v>0</v>
      </c>
      <c r="BW26" s="350">
        <v>0</v>
      </c>
      <c r="BX26" s="350">
        <v>0</v>
      </c>
      <c r="BY26" s="350">
        <v>0</v>
      </c>
      <c r="BZ26" s="350">
        <v>578342</v>
      </c>
      <c r="CA26" s="350">
        <v>0</v>
      </c>
      <c r="CB26" s="350">
        <v>0</v>
      </c>
      <c r="CC26" s="350">
        <v>0</v>
      </c>
      <c r="CD26" s="350">
        <v>0</v>
      </c>
      <c r="CE26" s="350">
        <v>0</v>
      </c>
      <c r="CF26" s="350">
        <v>0</v>
      </c>
      <c r="CG26" s="350">
        <v>680700</v>
      </c>
      <c r="CH26" s="350">
        <v>0</v>
      </c>
      <c r="CI26" s="350">
        <v>671973</v>
      </c>
      <c r="CJ26" s="350">
        <v>1087901</v>
      </c>
      <c r="CK26" s="350">
        <v>860460</v>
      </c>
      <c r="CL26" s="350">
        <v>0</v>
      </c>
      <c r="CM26" s="350">
        <v>0</v>
      </c>
      <c r="CN26" s="350">
        <v>0</v>
      </c>
      <c r="CO26" s="350">
        <v>0</v>
      </c>
      <c r="CP26" s="350">
        <v>0</v>
      </c>
      <c r="CQ26" s="350">
        <v>183540</v>
      </c>
      <c r="CR26" s="350">
        <v>839070</v>
      </c>
      <c r="CS26" s="350">
        <v>112053</v>
      </c>
      <c r="CT26" s="350">
        <v>298750</v>
      </c>
      <c r="CU26" s="350">
        <v>412543</v>
      </c>
      <c r="CV26" s="350">
        <v>610345</v>
      </c>
      <c r="CW26" s="350">
        <v>0</v>
      </c>
      <c r="CX26" s="350">
        <v>279680</v>
      </c>
      <c r="CY26" s="350">
        <v>0</v>
      </c>
      <c r="CZ26" s="350">
        <v>544005</v>
      </c>
      <c r="DA26" s="350">
        <v>0</v>
      </c>
      <c r="DB26" s="350">
        <v>0</v>
      </c>
      <c r="DC26" s="350">
        <v>171224</v>
      </c>
      <c r="DD26" s="350">
        <v>48723</v>
      </c>
      <c r="DE26" s="350">
        <v>0</v>
      </c>
      <c r="DF26" s="350">
        <v>2640</v>
      </c>
      <c r="DG26" s="350">
        <v>0</v>
      </c>
      <c r="DH26" s="350">
        <v>0</v>
      </c>
      <c r="DI26" s="350">
        <v>0</v>
      </c>
      <c r="DJ26" s="350">
        <v>175557</v>
      </c>
      <c r="DK26" s="350">
        <v>24738</v>
      </c>
      <c r="DL26" s="350">
        <v>194782</v>
      </c>
      <c r="DM26" s="350">
        <v>0</v>
      </c>
      <c r="DN26" s="350">
        <v>0</v>
      </c>
      <c r="DO26" s="350">
        <v>127482</v>
      </c>
      <c r="DP26" s="350">
        <v>42109</v>
      </c>
      <c r="DQ26" s="350">
        <v>108107</v>
      </c>
      <c r="DR26" s="350">
        <v>162065</v>
      </c>
      <c r="DS26" s="350">
        <v>0</v>
      </c>
      <c r="DT26" s="350">
        <v>147960</v>
      </c>
      <c r="DU26" s="350">
        <v>172759</v>
      </c>
      <c r="DV26" s="350">
        <v>354400</v>
      </c>
      <c r="DW26" s="350">
        <v>0</v>
      </c>
      <c r="DX26" s="350">
        <v>0</v>
      </c>
      <c r="DY26" s="350">
        <v>187634</v>
      </c>
      <c r="DZ26" s="350">
        <v>3324165</v>
      </c>
      <c r="EA26" s="350">
        <v>957459</v>
      </c>
      <c r="EB26" s="350">
        <v>3046566</v>
      </c>
      <c r="EC26" s="350">
        <v>4946913</v>
      </c>
      <c r="ED26" s="350">
        <v>303381</v>
      </c>
      <c r="EE26" s="350">
        <v>3573274</v>
      </c>
      <c r="EF26" s="350">
        <v>2862484</v>
      </c>
      <c r="EG26" s="350">
        <v>2230862</v>
      </c>
      <c r="EH26" s="350">
        <v>1410040</v>
      </c>
      <c r="EI26" s="350">
        <v>5017754</v>
      </c>
      <c r="EJ26" s="350">
        <v>3621572</v>
      </c>
      <c r="EK26" s="350">
        <v>1394261</v>
      </c>
      <c r="EL26" s="350">
        <v>1157747</v>
      </c>
      <c r="EM26" s="350">
        <v>5765961</v>
      </c>
      <c r="EN26" s="350">
        <v>1305733</v>
      </c>
      <c r="EO26" s="350">
        <v>4111361</v>
      </c>
      <c r="EP26" s="350">
        <v>2449397</v>
      </c>
      <c r="EQ26" s="350">
        <v>3015149</v>
      </c>
      <c r="ER26" s="350">
        <v>2667888</v>
      </c>
      <c r="ES26" s="350">
        <v>2602509</v>
      </c>
      <c r="ET26" s="350">
        <v>2917977</v>
      </c>
      <c r="EU26" s="350">
        <v>4225826</v>
      </c>
      <c r="EV26" s="350">
        <v>3247641</v>
      </c>
      <c r="EW26" s="350">
        <v>5173812</v>
      </c>
      <c r="EX26" s="350">
        <v>3045908</v>
      </c>
      <c r="EY26" s="350">
        <v>2443160</v>
      </c>
      <c r="EZ26" s="350">
        <v>6364875</v>
      </c>
      <c r="FA26" s="350">
        <v>2814868</v>
      </c>
      <c r="FB26" s="350">
        <v>14182277</v>
      </c>
      <c r="FC26" s="350">
        <v>2265852</v>
      </c>
      <c r="FD26" s="350">
        <v>4720804</v>
      </c>
      <c r="FE26" s="350">
        <v>2298605</v>
      </c>
      <c r="FF26" s="350">
        <v>0</v>
      </c>
      <c r="FG26" s="350">
        <v>1758042</v>
      </c>
      <c r="FH26" s="350">
        <v>1376976</v>
      </c>
      <c r="FI26" s="350">
        <v>2677844</v>
      </c>
      <c r="FJ26" s="350">
        <v>2946224</v>
      </c>
      <c r="FK26" s="350">
        <v>1746946</v>
      </c>
      <c r="FL26" s="350">
        <v>1940079</v>
      </c>
      <c r="FM26" s="350">
        <v>3617253</v>
      </c>
      <c r="FN26" s="350">
        <v>3468662</v>
      </c>
      <c r="FO26" s="350">
        <v>537224</v>
      </c>
      <c r="FP26" s="350">
        <v>2351046</v>
      </c>
      <c r="FQ26" s="350">
        <v>4416250</v>
      </c>
      <c r="FR26" s="350">
        <v>4183670</v>
      </c>
      <c r="FS26" s="350">
        <v>3060081</v>
      </c>
      <c r="FT26" s="350">
        <v>1786277</v>
      </c>
      <c r="FU26" s="350">
        <v>530454</v>
      </c>
      <c r="FV26" s="350">
        <v>3007507</v>
      </c>
      <c r="FW26" s="350">
        <v>3647085</v>
      </c>
      <c r="FX26" s="350">
        <v>45555</v>
      </c>
      <c r="FY26" s="350">
        <v>2140449</v>
      </c>
      <c r="FZ26" s="350">
        <v>2432941</v>
      </c>
      <c r="GA26" s="350">
        <v>479488</v>
      </c>
      <c r="GB26" s="350">
        <v>109270</v>
      </c>
      <c r="GC26" s="350">
        <v>66014</v>
      </c>
      <c r="GD26" s="350">
        <v>168875</v>
      </c>
      <c r="GE26" s="350">
        <v>4056</v>
      </c>
      <c r="GF26" s="350">
        <v>0</v>
      </c>
      <c r="GG26" s="350">
        <v>998540</v>
      </c>
      <c r="GH26" s="350">
        <v>17270</v>
      </c>
      <c r="GI26" s="350">
        <v>115506</v>
      </c>
      <c r="GJ26" s="350">
        <v>0</v>
      </c>
      <c r="GK26" s="350">
        <v>61125</v>
      </c>
      <c r="GL26" s="350">
        <v>0</v>
      </c>
      <c r="GM26" s="350">
        <v>0</v>
      </c>
      <c r="GN26" s="350">
        <v>0</v>
      </c>
      <c r="GO26" s="350">
        <v>0</v>
      </c>
      <c r="GP26" s="350">
        <v>0</v>
      </c>
      <c r="GQ26" s="350">
        <v>0</v>
      </c>
      <c r="GR26" s="350">
        <v>0</v>
      </c>
      <c r="GS26" s="350">
        <v>0</v>
      </c>
      <c r="GT26" s="350">
        <v>0</v>
      </c>
      <c r="GU26" s="350">
        <v>0</v>
      </c>
      <c r="GV26" s="350">
        <v>0</v>
      </c>
      <c r="GW26" s="350">
        <v>0</v>
      </c>
      <c r="GX26" s="350">
        <v>0</v>
      </c>
      <c r="GY26" s="350">
        <v>0</v>
      </c>
      <c r="GZ26" s="350">
        <v>0</v>
      </c>
      <c r="HA26" s="350">
        <v>0</v>
      </c>
      <c r="HB26" s="350">
        <v>0</v>
      </c>
      <c r="HC26" s="350">
        <v>0</v>
      </c>
      <c r="HD26" s="350">
        <v>0</v>
      </c>
      <c r="HE26" s="350">
        <v>0</v>
      </c>
      <c r="HF26" s="350">
        <v>0</v>
      </c>
      <c r="HG26" s="350">
        <v>0</v>
      </c>
      <c r="HH26" s="350">
        <v>0</v>
      </c>
      <c r="HI26" s="350">
        <v>0</v>
      </c>
      <c r="HJ26" s="350">
        <v>0</v>
      </c>
      <c r="HK26" s="350">
        <v>0</v>
      </c>
      <c r="HL26" s="350">
        <v>0</v>
      </c>
      <c r="HM26" s="350">
        <v>0</v>
      </c>
      <c r="HN26" s="350">
        <v>0</v>
      </c>
      <c r="HO26" s="350">
        <v>0</v>
      </c>
      <c r="HP26" s="350">
        <v>0</v>
      </c>
      <c r="HQ26" s="350">
        <v>0</v>
      </c>
      <c r="HR26" s="350">
        <v>0</v>
      </c>
      <c r="HS26" s="350">
        <v>0</v>
      </c>
      <c r="HT26" s="350">
        <v>0</v>
      </c>
      <c r="HU26" s="350">
        <v>0</v>
      </c>
      <c r="HV26" s="350">
        <v>0</v>
      </c>
      <c r="HW26" s="350">
        <v>0</v>
      </c>
      <c r="HX26" s="350">
        <v>0</v>
      </c>
      <c r="HY26" s="350">
        <v>0</v>
      </c>
      <c r="HZ26" s="350">
        <v>0</v>
      </c>
      <c r="IA26" s="350">
        <v>0</v>
      </c>
      <c r="IB26" s="350">
        <v>0</v>
      </c>
      <c r="IC26" s="350">
        <v>0</v>
      </c>
      <c r="ID26" s="350">
        <v>0</v>
      </c>
      <c r="IE26" s="350">
        <v>0</v>
      </c>
      <c r="IF26" s="350">
        <v>0</v>
      </c>
      <c r="IG26" s="350">
        <v>0</v>
      </c>
      <c r="IH26" s="350">
        <v>0</v>
      </c>
      <c r="II26" s="350">
        <v>0</v>
      </c>
      <c r="IJ26" s="350">
        <v>0</v>
      </c>
      <c r="IK26" s="350">
        <v>0</v>
      </c>
      <c r="IL26" s="350">
        <v>0</v>
      </c>
      <c r="IM26" s="351"/>
      <c r="IN26" s="350">
        <v>0</v>
      </c>
      <c r="IO26" s="350">
        <v>0</v>
      </c>
      <c r="IP26" s="350">
        <v>0</v>
      </c>
      <c r="IQ26" s="350">
        <v>0</v>
      </c>
      <c r="IR26" s="350">
        <v>0</v>
      </c>
      <c r="IS26" s="350">
        <v>0</v>
      </c>
      <c r="IT26" s="350">
        <v>0</v>
      </c>
      <c r="IU26" s="350">
        <v>0</v>
      </c>
      <c r="IV26" s="350">
        <v>0</v>
      </c>
      <c r="IW26" s="350">
        <v>0</v>
      </c>
      <c r="IX26" s="350">
        <v>0</v>
      </c>
      <c r="IY26" s="350">
        <v>0</v>
      </c>
      <c r="IZ26" s="350">
        <v>0</v>
      </c>
      <c r="JA26" s="350">
        <v>0</v>
      </c>
      <c r="JB26" s="350">
        <v>0</v>
      </c>
      <c r="JC26" s="350">
        <v>0</v>
      </c>
      <c r="JD26" s="350">
        <v>0</v>
      </c>
      <c r="JE26" s="350">
        <v>0</v>
      </c>
      <c r="JF26" s="350">
        <v>0</v>
      </c>
      <c r="JG26" s="350">
        <v>0</v>
      </c>
      <c r="JH26" s="350">
        <v>0</v>
      </c>
      <c r="JI26" s="350">
        <v>0</v>
      </c>
      <c r="JJ26" s="350">
        <v>0</v>
      </c>
      <c r="JK26" s="350">
        <v>0</v>
      </c>
      <c r="JL26" s="350">
        <v>0</v>
      </c>
      <c r="JM26" s="350">
        <v>0</v>
      </c>
      <c r="JN26" s="350">
        <v>0</v>
      </c>
      <c r="JO26" s="350">
        <v>0</v>
      </c>
      <c r="JP26" s="350">
        <v>0</v>
      </c>
      <c r="JQ26" s="350">
        <v>0</v>
      </c>
      <c r="JR26" s="351"/>
      <c r="JU26" s="348" t="s">
        <v>1862</v>
      </c>
      <c r="JV26" s="313">
        <f t="shared" si="2"/>
        <v>0</v>
      </c>
      <c r="JW26" s="313">
        <f t="shared" si="4"/>
        <v>0</v>
      </c>
      <c r="JX26" s="313">
        <f t="shared" si="4"/>
        <v>0</v>
      </c>
      <c r="JY26" s="313">
        <f t="shared" si="4"/>
        <v>9983598</v>
      </c>
      <c r="JZ26" s="313">
        <f t="shared" si="4"/>
        <v>0</v>
      </c>
      <c r="KA26" s="313">
        <f t="shared" si="4"/>
        <v>0</v>
      </c>
      <c r="KB26" s="313">
        <f t="shared" si="4"/>
        <v>0</v>
      </c>
      <c r="KC26" s="313">
        <f t="shared" si="4"/>
        <v>3499933</v>
      </c>
      <c r="KD26" s="313">
        <f t="shared" si="4"/>
        <v>202935</v>
      </c>
      <c r="KE26" s="313">
        <f t="shared" si="4"/>
        <v>1309664</v>
      </c>
      <c r="KF26" s="313">
        <f t="shared" si="4"/>
        <v>187634</v>
      </c>
      <c r="KG26" s="313">
        <f t="shared" si="4"/>
        <v>31294470</v>
      </c>
      <c r="KH26" s="313">
        <f t="shared" si="4"/>
        <v>97703637</v>
      </c>
      <c r="KI26" s="313">
        <f t="shared" si="4"/>
        <v>25705598</v>
      </c>
      <c r="KJ26" s="313">
        <f t="shared" si="4"/>
        <v>4391960</v>
      </c>
      <c r="KK26" s="313">
        <f t="shared" si="4"/>
        <v>61125</v>
      </c>
      <c r="KL26" s="313">
        <f t="shared" si="4"/>
        <v>0</v>
      </c>
      <c r="KM26" s="313">
        <f t="shared" si="4"/>
        <v>0</v>
      </c>
      <c r="KN26" s="313">
        <f t="shared" si="4"/>
        <v>0</v>
      </c>
      <c r="KO26" s="313">
        <f t="shared" si="4"/>
        <v>0</v>
      </c>
      <c r="KP26" s="313">
        <f t="shared" si="4"/>
        <v>0</v>
      </c>
      <c r="KQ26" s="313">
        <f t="shared" si="4"/>
        <v>0</v>
      </c>
      <c r="KR26" s="313">
        <f t="shared" si="4"/>
        <v>0</v>
      </c>
      <c r="KS26" s="313">
        <f t="shared" si="4"/>
        <v>0</v>
      </c>
      <c r="KT26" s="313">
        <f t="shared" si="4"/>
        <v>0</v>
      </c>
      <c r="KU26" s="313">
        <f t="shared" si="4"/>
        <v>0</v>
      </c>
      <c r="KV26" s="313">
        <f t="shared" si="4"/>
        <v>0</v>
      </c>
      <c r="KW26" s="313">
        <f t="shared" si="4"/>
        <v>0</v>
      </c>
      <c r="KX26" s="313">
        <f t="shared" si="4"/>
        <v>0</v>
      </c>
      <c r="KY26" s="313">
        <f t="shared" si="4"/>
        <v>0</v>
      </c>
      <c r="KZ26" s="313">
        <f t="shared" si="4"/>
        <v>0</v>
      </c>
      <c r="LA26" s="313">
        <f t="shared" si="4"/>
        <v>0</v>
      </c>
      <c r="LB26" s="313">
        <f t="shared" si="4"/>
        <v>0</v>
      </c>
      <c r="LC26" s="313">
        <f t="shared" si="4"/>
        <v>0</v>
      </c>
    </row>
    <row r="27" spans="1:315" ht="25.5" x14ac:dyDescent="0.25">
      <c r="A27" s="313">
        <v>25</v>
      </c>
      <c r="B27" s="348" t="s">
        <v>1863</v>
      </c>
      <c r="C27" s="350">
        <v>0</v>
      </c>
      <c r="D27" s="350">
        <v>0</v>
      </c>
      <c r="E27" s="350">
        <v>0</v>
      </c>
      <c r="F27" s="350">
        <v>0</v>
      </c>
      <c r="G27" s="350">
        <v>0</v>
      </c>
      <c r="H27" s="350">
        <v>0</v>
      </c>
      <c r="I27" s="350">
        <v>0</v>
      </c>
      <c r="J27" s="350">
        <v>0</v>
      </c>
      <c r="K27" s="350">
        <v>0</v>
      </c>
      <c r="L27" s="350">
        <v>0</v>
      </c>
      <c r="M27" s="350">
        <v>0</v>
      </c>
      <c r="N27" s="350">
        <v>0</v>
      </c>
      <c r="O27" s="350">
        <v>0</v>
      </c>
      <c r="P27" s="350">
        <v>0</v>
      </c>
      <c r="Q27" s="350">
        <v>0</v>
      </c>
      <c r="R27" s="350">
        <v>0</v>
      </c>
      <c r="S27" s="350">
        <v>0</v>
      </c>
      <c r="T27" s="350">
        <v>0</v>
      </c>
      <c r="U27" s="350">
        <v>0</v>
      </c>
      <c r="V27" s="350">
        <v>0</v>
      </c>
      <c r="W27" s="350">
        <v>0</v>
      </c>
      <c r="X27" s="350">
        <v>0</v>
      </c>
      <c r="Y27" s="350">
        <v>0</v>
      </c>
      <c r="Z27" s="350">
        <v>0</v>
      </c>
      <c r="AA27" s="350">
        <v>0</v>
      </c>
      <c r="AB27" s="350">
        <v>0</v>
      </c>
      <c r="AC27" s="350">
        <v>0</v>
      </c>
      <c r="AD27" s="350">
        <v>0</v>
      </c>
      <c r="AE27" s="350">
        <v>0</v>
      </c>
      <c r="AF27" s="350">
        <v>314795</v>
      </c>
      <c r="AG27" s="350">
        <v>685449</v>
      </c>
      <c r="AH27" s="350">
        <v>452040</v>
      </c>
      <c r="AI27" s="350">
        <v>569399</v>
      </c>
      <c r="AJ27" s="350">
        <v>568255</v>
      </c>
      <c r="AK27" s="350">
        <v>3255828</v>
      </c>
      <c r="AL27" s="350">
        <v>2154695</v>
      </c>
      <c r="AM27" s="350">
        <v>762189</v>
      </c>
      <c r="AN27" s="350">
        <v>977877</v>
      </c>
      <c r="AO27" s="350">
        <v>731158</v>
      </c>
      <c r="AP27" s="350">
        <v>1132615</v>
      </c>
      <c r="AQ27" s="350">
        <v>780980</v>
      </c>
      <c r="AR27" s="350">
        <v>3059962</v>
      </c>
      <c r="AS27" s="350">
        <v>736539</v>
      </c>
      <c r="AT27" s="350">
        <v>519173</v>
      </c>
      <c r="AU27" s="350">
        <v>0</v>
      </c>
      <c r="AV27" s="350">
        <v>311781</v>
      </c>
      <c r="AW27" s="351"/>
      <c r="AX27" s="350">
        <v>0</v>
      </c>
      <c r="AY27" s="350">
        <v>40280</v>
      </c>
      <c r="AZ27" s="350">
        <v>324926</v>
      </c>
      <c r="BA27" s="350">
        <v>691385</v>
      </c>
      <c r="BB27" s="350">
        <v>773666</v>
      </c>
      <c r="BC27" s="350">
        <v>832952</v>
      </c>
      <c r="BD27" s="350">
        <v>274661</v>
      </c>
      <c r="BE27" s="350">
        <v>158799</v>
      </c>
      <c r="BF27" s="350">
        <v>36655</v>
      </c>
      <c r="BG27" s="350">
        <v>0</v>
      </c>
      <c r="BH27" s="350">
        <v>126195</v>
      </c>
      <c r="BI27" s="350">
        <v>120190</v>
      </c>
      <c r="BJ27" s="350">
        <v>0</v>
      </c>
      <c r="BK27" s="350">
        <v>383404</v>
      </c>
      <c r="BL27" s="350">
        <v>493285.11</v>
      </c>
      <c r="BM27" s="350">
        <v>0</v>
      </c>
      <c r="BN27" s="350">
        <v>1190911.1000000001</v>
      </c>
      <c r="BO27" s="350">
        <v>0</v>
      </c>
      <c r="BP27" s="350">
        <v>222863</v>
      </c>
      <c r="BQ27" s="350">
        <v>376232.79</v>
      </c>
      <c r="BR27" s="350">
        <v>229640</v>
      </c>
      <c r="BS27" s="350">
        <v>560918</v>
      </c>
      <c r="BT27" s="350">
        <v>1014314</v>
      </c>
      <c r="BU27" s="350">
        <v>177681</v>
      </c>
      <c r="BV27" s="350">
        <v>2314019</v>
      </c>
      <c r="BW27" s="350">
        <v>48543</v>
      </c>
      <c r="BX27" s="350">
        <v>0</v>
      </c>
      <c r="BY27" s="350">
        <v>818266</v>
      </c>
      <c r="BZ27" s="350">
        <v>1183475</v>
      </c>
      <c r="CA27" s="350">
        <v>1611394</v>
      </c>
      <c r="CB27" s="350">
        <v>97681</v>
      </c>
      <c r="CC27" s="350">
        <v>0</v>
      </c>
      <c r="CD27" s="350">
        <v>6358184</v>
      </c>
      <c r="CE27" s="350">
        <v>65905</v>
      </c>
      <c r="CF27" s="350">
        <v>756424</v>
      </c>
      <c r="CG27" s="350">
        <v>1314578</v>
      </c>
      <c r="CH27" s="350">
        <v>142784</v>
      </c>
      <c r="CI27" s="350">
        <v>78570</v>
      </c>
      <c r="CJ27" s="350">
        <v>0</v>
      </c>
      <c r="CK27" s="350">
        <v>3286546</v>
      </c>
      <c r="CL27" s="350">
        <v>98900</v>
      </c>
      <c r="CM27" s="350">
        <v>824729</v>
      </c>
      <c r="CN27" s="350">
        <v>36180</v>
      </c>
      <c r="CO27" s="350">
        <v>97283.02</v>
      </c>
      <c r="CP27" s="350">
        <v>140787</v>
      </c>
      <c r="CQ27" s="350">
        <v>377057</v>
      </c>
      <c r="CR27" s="350">
        <v>0</v>
      </c>
      <c r="CS27" s="350">
        <v>2701</v>
      </c>
      <c r="CT27" s="350">
        <v>0</v>
      </c>
      <c r="CU27" s="350">
        <v>0</v>
      </c>
      <c r="CV27" s="350">
        <v>808234</v>
      </c>
      <c r="CW27" s="350">
        <v>0</v>
      </c>
      <c r="CX27" s="350">
        <v>325143</v>
      </c>
      <c r="CY27" s="350">
        <v>54370</v>
      </c>
      <c r="CZ27" s="350">
        <v>923072</v>
      </c>
      <c r="DA27" s="350">
        <v>3014172</v>
      </c>
      <c r="DB27" s="350">
        <v>0</v>
      </c>
      <c r="DC27" s="350">
        <v>0</v>
      </c>
      <c r="DD27" s="350">
        <v>0</v>
      </c>
      <c r="DE27" s="350">
        <v>563234</v>
      </c>
      <c r="DF27" s="350">
        <v>20330</v>
      </c>
      <c r="DG27" s="350">
        <v>0</v>
      </c>
      <c r="DH27" s="350">
        <v>93688</v>
      </c>
      <c r="DI27" s="350">
        <v>239387</v>
      </c>
      <c r="DJ27" s="350">
        <v>561263</v>
      </c>
      <c r="DK27" s="350">
        <v>72319</v>
      </c>
      <c r="DL27" s="350">
        <v>1250719</v>
      </c>
      <c r="DM27" s="350">
        <v>574550</v>
      </c>
      <c r="DN27" s="350">
        <v>95340</v>
      </c>
      <c r="DO27" s="350">
        <v>253127</v>
      </c>
      <c r="DP27" s="350">
        <v>92250</v>
      </c>
      <c r="DQ27" s="350">
        <v>346403</v>
      </c>
      <c r="DR27" s="350">
        <v>628913</v>
      </c>
      <c r="DS27" s="350">
        <v>265488</v>
      </c>
      <c r="DT27" s="350">
        <v>225682</v>
      </c>
      <c r="DU27" s="350">
        <v>0</v>
      </c>
      <c r="DV27" s="350">
        <v>0</v>
      </c>
      <c r="DW27" s="350">
        <v>1887929</v>
      </c>
      <c r="DX27" s="350">
        <v>0</v>
      </c>
      <c r="DY27" s="350">
        <v>372190</v>
      </c>
      <c r="DZ27" s="350">
        <v>595585</v>
      </c>
      <c r="EA27" s="350">
        <v>0</v>
      </c>
      <c r="EB27" s="350">
        <v>0</v>
      </c>
      <c r="EC27" s="350">
        <v>0</v>
      </c>
      <c r="ED27" s="350">
        <v>0</v>
      </c>
      <c r="EE27" s="350">
        <v>0</v>
      </c>
      <c r="EF27" s="350">
        <v>0</v>
      </c>
      <c r="EG27" s="350">
        <v>0</v>
      </c>
      <c r="EH27" s="350">
        <v>3748549</v>
      </c>
      <c r="EI27" s="350">
        <v>0</v>
      </c>
      <c r="EJ27" s="350">
        <v>0</v>
      </c>
      <c r="EK27" s="350">
        <v>0</v>
      </c>
      <c r="EL27" s="350">
        <v>12127</v>
      </c>
      <c r="EM27" s="350">
        <v>0</v>
      </c>
      <c r="EN27" s="350">
        <v>0</v>
      </c>
      <c r="EO27" s="350">
        <v>0</v>
      </c>
      <c r="EP27" s="350">
        <v>0</v>
      </c>
      <c r="EQ27" s="350">
        <v>0</v>
      </c>
      <c r="ER27" s="350">
        <v>0</v>
      </c>
      <c r="ES27" s="350">
        <v>0</v>
      </c>
      <c r="ET27" s="350">
        <v>0</v>
      </c>
      <c r="EU27" s="350">
        <v>0</v>
      </c>
      <c r="EV27" s="350">
        <v>0</v>
      </c>
      <c r="EW27" s="350">
        <v>0</v>
      </c>
      <c r="EX27" s="350">
        <v>0</v>
      </c>
      <c r="EY27" s="350">
        <v>0</v>
      </c>
      <c r="EZ27" s="350">
        <v>0</v>
      </c>
      <c r="FA27" s="350">
        <v>173372</v>
      </c>
      <c r="FB27" s="350">
        <v>0</v>
      </c>
      <c r="FC27" s="350">
        <v>0</v>
      </c>
      <c r="FD27" s="350">
        <v>0</v>
      </c>
      <c r="FE27" s="350">
        <v>0</v>
      </c>
      <c r="FF27" s="350">
        <v>0</v>
      </c>
      <c r="FG27" s="350">
        <v>8840</v>
      </c>
      <c r="FH27" s="350">
        <v>0</v>
      </c>
      <c r="FI27" s="350">
        <v>0</v>
      </c>
      <c r="FJ27" s="350">
        <v>532618.5</v>
      </c>
      <c r="FK27" s="350">
        <v>0</v>
      </c>
      <c r="FL27" s="350">
        <v>0</v>
      </c>
      <c r="FM27" s="350">
        <v>0</v>
      </c>
      <c r="FN27" s="350">
        <v>0</v>
      </c>
      <c r="FO27" s="350">
        <v>13928</v>
      </c>
      <c r="FP27" s="350">
        <v>375474</v>
      </c>
      <c r="FQ27" s="350">
        <v>0</v>
      </c>
      <c r="FR27" s="350">
        <v>0</v>
      </c>
      <c r="FS27" s="350">
        <v>0</v>
      </c>
      <c r="FT27" s="350">
        <v>0</v>
      </c>
      <c r="FU27" s="350">
        <v>31487</v>
      </c>
      <c r="FV27" s="350">
        <v>0</v>
      </c>
      <c r="FW27" s="350">
        <v>0</v>
      </c>
      <c r="FX27" s="350">
        <v>0</v>
      </c>
      <c r="FY27" s="350">
        <v>0</v>
      </c>
      <c r="FZ27" s="350">
        <v>57175</v>
      </c>
      <c r="GA27" s="350">
        <v>0</v>
      </c>
      <c r="GB27" s="350">
        <v>0</v>
      </c>
      <c r="GC27" s="350">
        <v>0</v>
      </c>
      <c r="GD27" s="350">
        <v>0</v>
      </c>
      <c r="GE27" s="350">
        <v>0</v>
      </c>
      <c r="GF27" s="350">
        <v>661997</v>
      </c>
      <c r="GG27" s="350">
        <v>502187</v>
      </c>
      <c r="GH27" s="350">
        <v>133904</v>
      </c>
      <c r="GI27" s="350">
        <v>0</v>
      </c>
      <c r="GJ27" s="350">
        <v>959587</v>
      </c>
      <c r="GK27" s="350">
        <v>0</v>
      </c>
      <c r="GL27" s="350">
        <v>0</v>
      </c>
      <c r="GM27" s="350">
        <v>0</v>
      </c>
      <c r="GN27" s="350">
        <v>0</v>
      </c>
      <c r="GO27" s="350">
        <v>0</v>
      </c>
      <c r="GP27" s="350">
        <v>0</v>
      </c>
      <c r="GQ27" s="350">
        <v>0</v>
      </c>
      <c r="GR27" s="350">
        <v>0</v>
      </c>
      <c r="GS27" s="350">
        <v>35480</v>
      </c>
      <c r="GT27" s="350">
        <v>9190</v>
      </c>
      <c r="GU27" s="350">
        <v>0</v>
      </c>
      <c r="GV27" s="350">
        <v>0</v>
      </c>
      <c r="GW27" s="350">
        <v>0</v>
      </c>
      <c r="GX27" s="350">
        <v>0</v>
      </c>
      <c r="GY27" s="350">
        <v>0</v>
      </c>
      <c r="GZ27" s="350">
        <v>5654.51</v>
      </c>
      <c r="HA27" s="350">
        <v>0</v>
      </c>
      <c r="HB27" s="350">
        <v>0</v>
      </c>
      <c r="HC27" s="350">
        <v>23980</v>
      </c>
      <c r="HD27" s="350">
        <v>0</v>
      </c>
      <c r="HE27" s="350">
        <v>0</v>
      </c>
      <c r="HF27" s="350">
        <v>0</v>
      </c>
      <c r="HG27" s="350">
        <v>0</v>
      </c>
      <c r="HH27" s="350">
        <v>0</v>
      </c>
      <c r="HI27" s="350">
        <v>0</v>
      </c>
      <c r="HJ27" s="350">
        <v>0</v>
      </c>
      <c r="HK27" s="350">
        <v>0</v>
      </c>
      <c r="HL27" s="350">
        <v>0</v>
      </c>
      <c r="HM27" s="350">
        <v>0</v>
      </c>
      <c r="HN27" s="350">
        <v>7770</v>
      </c>
      <c r="HO27" s="350">
        <v>0</v>
      </c>
      <c r="HP27" s="350">
        <v>0</v>
      </c>
      <c r="HQ27" s="350">
        <v>0</v>
      </c>
      <c r="HR27" s="350">
        <v>0</v>
      </c>
      <c r="HS27" s="350">
        <v>0</v>
      </c>
      <c r="HT27" s="350">
        <v>0</v>
      </c>
      <c r="HU27" s="350">
        <v>0</v>
      </c>
      <c r="HV27" s="350">
        <v>0</v>
      </c>
      <c r="HW27" s="350">
        <v>0</v>
      </c>
      <c r="HX27" s="350">
        <v>0</v>
      </c>
      <c r="HY27" s="350">
        <v>0</v>
      </c>
      <c r="HZ27" s="350">
        <v>0</v>
      </c>
      <c r="IA27" s="350">
        <v>0</v>
      </c>
      <c r="IB27" s="350">
        <v>0</v>
      </c>
      <c r="IC27" s="350">
        <v>0</v>
      </c>
      <c r="ID27" s="350">
        <v>0</v>
      </c>
      <c r="IE27" s="350">
        <v>6438</v>
      </c>
      <c r="IF27" s="350">
        <v>0</v>
      </c>
      <c r="IG27" s="350">
        <v>0</v>
      </c>
      <c r="IH27" s="350">
        <v>0</v>
      </c>
      <c r="II27" s="350">
        <v>0</v>
      </c>
      <c r="IJ27" s="350">
        <v>0</v>
      </c>
      <c r="IK27" s="350">
        <v>0</v>
      </c>
      <c r="IL27" s="350">
        <v>0</v>
      </c>
      <c r="IM27" s="351"/>
      <c r="IN27" s="350">
        <v>0</v>
      </c>
      <c r="IO27" s="350">
        <v>0</v>
      </c>
      <c r="IP27" s="350">
        <v>0</v>
      </c>
      <c r="IQ27" s="350">
        <v>0</v>
      </c>
      <c r="IR27" s="350">
        <v>0</v>
      </c>
      <c r="IS27" s="350">
        <v>0</v>
      </c>
      <c r="IT27" s="350">
        <v>0</v>
      </c>
      <c r="IU27" s="350">
        <v>0</v>
      </c>
      <c r="IV27" s="350">
        <v>0</v>
      </c>
      <c r="IW27" s="350">
        <v>0</v>
      </c>
      <c r="IX27" s="350">
        <v>0</v>
      </c>
      <c r="IY27" s="350">
        <v>0</v>
      </c>
      <c r="IZ27" s="350">
        <v>0</v>
      </c>
      <c r="JA27" s="350">
        <v>0</v>
      </c>
      <c r="JB27" s="350">
        <v>0</v>
      </c>
      <c r="JC27" s="350">
        <v>0</v>
      </c>
      <c r="JD27" s="350">
        <v>0</v>
      </c>
      <c r="JE27" s="350">
        <v>0</v>
      </c>
      <c r="JF27" s="350">
        <v>0</v>
      </c>
      <c r="JG27" s="350">
        <v>0</v>
      </c>
      <c r="JH27" s="350">
        <v>9917</v>
      </c>
      <c r="JI27" s="350">
        <v>0</v>
      </c>
      <c r="JJ27" s="350">
        <v>0</v>
      </c>
      <c r="JK27" s="350">
        <v>0</v>
      </c>
      <c r="JL27" s="350">
        <v>0</v>
      </c>
      <c r="JM27" s="350">
        <v>0</v>
      </c>
      <c r="JN27" s="350">
        <v>0</v>
      </c>
      <c r="JO27" s="350">
        <v>0</v>
      </c>
      <c r="JP27" s="350">
        <v>74222</v>
      </c>
      <c r="JQ27" s="350">
        <v>0</v>
      </c>
      <c r="JR27" s="351"/>
      <c r="JU27" s="348" t="s">
        <v>1863</v>
      </c>
      <c r="JV27" s="313">
        <f t="shared" si="2"/>
        <v>0</v>
      </c>
      <c r="JW27" s="313">
        <f t="shared" si="4"/>
        <v>0</v>
      </c>
      <c r="JX27" s="313">
        <f t="shared" si="4"/>
        <v>12385280</v>
      </c>
      <c r="JY27" s="313">
        <f t="shared" si="4"/>
        <v>30732782</v>
      </c>
      <c r="JZ27" s="313">
        <f t="shared" si="4"/>
        <v>923629</v>
      </c>
      <c r="KA27" s="313">
        <f t="shared" si="4"/>
        <v>36180</v>
      </c>
      <c r="KB27" s="313">
        <f t="shared" si="4"/>
        <v>238070.02000000002</v>
      </c>
      <c r="KC27" s="313">
        <f t="shared" si="4"/>
        <v>5504749</v>
      </c>
      <c r="KD27" s="313">
        <f t="shared" si="4"/>
        <v>1550221</v>
      </c>
      <c r="KE27" s="313">
        <f t="shared" si="4"/>
        <v>5620401</v>
      </c>
      <c r="KF27" s="313">
        <f t="shared" si="4"/>
        <v>372190</v>
      </c>
      <c r="KG27" s="313">
        <f t="shared" si="4"/>
        <v>4344134</v>
      </c>
      <c r="KH27" s="313">
        <f t="shared" si="4"/>
        <v>726957.5</v>
      </c>
      <c r="KI27" s="313">
        <f t="shared" si="4"/>
        <v>420889</v>
      </c>
      <c r="KJ27" s="313">
        <f t="shared" si="4"/>
        <v>1355263</v>
      </c>
      <c r="KK27" s="313">
        <f t="shared" si="4"/>
        <v>959587</v>
      </c>
      <c r="KL27" s="313">
        <f t="shared" si="4"/>
        <v>0</v>
      </c>
      <c r="KM27" s="313">
        <f t="shared" si="4"/>
        <v>0</v>
      </c>
      <c r="KN27" s="313">
        <f t="shared" si="4"/>
        <v>44670</v>
      </c>
      <c r="KO27" s="313">
        <f t="shared" si="4"/>
        <v>0</v>
      </c>
      <c r="KP27" s="313">
        <f t="shared" si="4"/>
        <v>5654.51</v>
      </c>
      <c r="KQ27" s="313">
        <f t="shared" si="4"/>
        <v>0</v>
      </c>
      <c r="KR27" s="313">
        <f t="shared" si="4"/>
        <v>0</v>
      </c>
      <c r="KS27" s="313">
        <f t="shared" si="4"/>
        <v>23980</v>
      </c>
      <c r="KT27" s="313">
        <f t="shared" si="4"/>
        <v>0</v>
      </c>
      <c r="KU27" s="313">
        <f t="shared" si="4"/>
        <v>7770</v>
      </c>
      <c r="KV27" s="313">
        <f t="shared" si="4"/>
        <v>0</v>
      </c>
      <c r="KW27" s="313">
        <f t="shared" si="4"/>
        <v>6438</v>
      </c>
      <c r="KX27" s="313">
        <f t="shared" si="4"/>
        <v>0</v>
      </c>
      <c r="KY27" s="313">
        <f t="shared" si="4"/>
        <v>0</v>
      </c>
      <c r="KZ27" s="313">
        <f t="shared" si="4"/>
        <v>0</v>
      </c>
      <c r="LA27" s="313">
        <f t="shared" si="4"/>
        <v>9917</v>
      </c>
      <c r="LB27" s="313">
        <f t="shared" si="4"/>
        <v>74222</v>
      </c>
      <c r="LC27" s="313">
        <f t="shared" si="4"/>
        <v>0</v>
      </c>
    </row>
    <row r="28" spans="1:315" ht="25.5" x14ac:dyDescent="0.25">
      <c r="A28" s="313">
        <v>26</v>
      </c>
      <c r="B28" s="348" t="s">
        <v>1864</v>
      </c>
      <c r="C28" s="350">
        <v>0</v>
      </c>
      <c r="D28" s="350">
        <v>0</v>
      </c>
      <c r="E28" s="350">
        <v>0</v>
      </c>
      <c r="F28" s="350">
        <v>0</v>
      </c>
      <c r="G28" s="350">
        <v>0</v>
      </c>
      <c r="H28" s="350">
        <v>0</v>
      </c>
      <c r="I28" s="350">
        <v>0</v>
      </c>
      <c r="J28" s="350">
        <v>0</v>
      </c>
      <c r="K28" s="350">
        <v>0</v>
      </c>
      <c r="L28" s="350">
        <v>0</v>
      </c>
      <c r="M28" s="350">
        <v>0</v>
      </c>
      <c r="N28" s="350">
        <v>0</v>
      </c>
      <c r="O28" s="350">
        <v>0</v>
      </c>
      <c r="P28" s="350">
        <v>0</v>
      </c>
      <c r="Q28" s="350">
        <v>0</v>
      </c>
      <c r="R28" s="350">
        <v>0</v>
      </c>
      <c r="S28" s="350">
        <v>0</v>
      </c>
      <c r="T28" s="350">
        <v>0</v>
      </c>
      <c r="U28" s="350">
        <v>0</v>
      </c>
      <c r="V28" s="350">
        <v>0</v>
      </c>
      <c r="W28" s="350">
        <v>0</v>
      </c>
      <c r="X28" s="350">
        <v>0</v>
      </c>
      <c r="Y28" s="350">
        <v>0</v>
      </c>
      <c r="Z28" s="350">
        <v>0</v>
      </c>
      <c r="AA28" s="350">
        <v>0</v>
      </c>
      <c r="AB28" s="350">
        <v>0</v>
      </c>
      <c r="AC28" s="350">
        <v>0</v>
      </c>
      <c r="AD28" s="350">
        <v>0</v>
      </c>
      <c r="AE28" s="350">
        <v>0</v>
      </c>
      <c r="AF28" s="350">
        <v>0</v>
      </c>
      <c r="AG28" s="350">
        <v>0</v>
      </c>
      <c r="AH28" s="350">
        <v>0</v>
      </c>
      <c r="AI28" s="350">
        <v>0</v>
      </c>
      <c r="AJ28" s="350">
        <v>0</v>
      </c>
      <c r="AK28" s="350">
        <v>0</v>
      </c>
      <c r="AL28" s="350">
        <v>0</v>
      </c>
      <c r="AM28" s="350">
        <v>0</v>
      </c>
      <c r="AN28" s="350">
        <v>0</v>
      </c>
      <c r="AO28" s="350">
        <v>0</v>
      </c>
      <c r="AP28" s="350">
        <v>0</v>
      </c>
      <c r="AQ28" s="350">
        <v>0</v>
      </c>
      <c r="AR28" s="350">
        <v>240249</v>
      </c>
      <c r="AS28" s="350">
        <v>30908</v>
      </c>
      <c r="AT28" s="350">
        <v>0</v>
      </c>
      <c r="AU28" s="350">
        <v>248323</v>
      </c>
      <c r="AV28" s="350">
        <v>95789</v>
      </c>
      <c r="AW28" s="351"/>
      <c r="AX28" s="350">
        <v>51508</v>
      </c>
      <c r="AY28" s="350">
        <v>7295</v>
      </c>
      <c r="AZ28" s="350">
        <v>0</v>
      </c>
      <c r="BA28" s="350">
        <v>0</v>
      </c>
      <c r="BB28" s="350">
        <v>0</v>
      </c>
      <c r="BC28" s="350">
        <v>145808.57999999999</v>
      </c>
      <c r="BD28" s="350">
        <v>56292</v>
      </c>
      <c r="BE28" s="350">
        <v>2055</v>
      </c>
      <c r="BF28" s="350">
        <v>0</v>
      </c>
      <c r="BG28" s="350">
        <v>0</v>
      </c>
      <c r="BH28" s="350">
        <v>4069</v>
      </c>
      <c r="BI28" s="350">
        <v>5875</v>
      </c>
      <c r="BJ28" s="350">
        <v>0</v>
      </c>
      <c r="BK28" s="350">
        <v>42591</v>
      </c>
      <c r="BL28" s="350">
        <v>27599.82</v>
      </c>
      <c r="BM28" s="350">
        <v>48025</v>
      </c>
      <c r="BN28" s="350">
        <v>207240</v>
      </c>
      <c r="BO28" s="350">
        <v>76568</v>
      </c>
      <c r="BP28" s="350">
        <v>0</v>
      </c>
      <c r="BQ28" s="350">
        <v>81859.12</v>
      </c>
      <c r="BR28" s="350">
        <v>0</v>
      </c>
      <c r="BS28" s="350">
        <v>288640</v>
      </c>
      <c r="BT28" s="350">
        <v>58794</v>
      </c>
      <c r="BU28" s="350">
        <v>45627</v>
      </c>
      <c r="BV28" s="350">
        <v>22384</v>
      </c>
      <c r="BW28" s="350">
        <v>0</v>
      </c>
      <c r="BX28" s="350">
        <v>0</v>
      </c>
      <c r="BY28" s="350">
        <v>97064</v>
      </c>
      <c r="BZ28" s="350">
        <v>314428</v>
      </c>
      <c r="CA28" s="350">
        <v>615560</v>
      </c>
      <c r="CB28" s="350">
        <v>1921</v>
      </c>
      <c r="CC28" s="350">
        <v>0</v>
      </c>
      <c r="CD28" s="350">
        <v>0</v>
      </c>
      <c r="CE28" s="350">
        <v>0</v>
      </c>
      <c r="CF28" s="350">
        <v>0</v>
      </c>
      <c r="CG28" s="350">
        <v>0</v>
      </c>
      <c r="CH28" s="350">
        <v>0</v>
      </c>
      <c r="CI28" s="350">
        <v>28304</v>
      </c>
      <c r="CJ28" s="350">
        <v>29934</v>
      </c>
      <c r="CK28" s="350">
        <v>0</v>
      </c>
      <c r="CL28" s="350">
        <v>0</v>
      </c>
      <c r="CM28" s="350">
        <v>0</v>
      </c>
      <c r="CN28" s="350">
        <v>0</v>
      </c>
      <c r="CO28" s="350">
        <v>0</v>
      </c>
      <c r="CP28" s="350">
        <v>0</v>
      </c>
      <c r="CQ28" s="350">
        <v>0</v>
      </c>
      <c r="CR28" s="350">
        <v>1610</v>
      </c>
      <c r="CS28" s="350">
        <v>0</v>
      </c>
      <c r="CT28" s="350">
        <v>0</v>
      </c>
      <c r="CU28" s="350">
        <v>0</v>
      </c>
      <c r="CV28" s="350">
        <v>49619</v>
      </c>
      <c r="CW28" s="350">
        <v>28245.5</v>
      </c>
      <c r="CX28" s="350">
        <v>4141</v>
      </c>
      <c r="CY28" s="350">
        <v>0</v>
      </c>
      <c r="CZ28" s="350">
        <v>4418</v>
      </c>
      <c r="DA28" s="350">
        <v>0</v>
      </c>
      <c r="DB28" s="350">
        <v>0</v>
      </c>
      <c r="DC28" s="350">
        <v>0</v>
      </c>
      <c r="DD28" s="350">
        <v>0</v>
      </c>
      <c r="DE28" s="350">
        <v>0</v>
      </c>
      <c r="DF28" s="350">
        <v>0</v>
      </c>
      <c r="DG28" s="350">
        <v>25671</v>
      </c>
      <c r="DH28" s="350">
        <v>0</v>
      </c>
      <c r="DI28" s="350">
        <v>0</v>
      </c>
      <c r="DJ28" s="350">
        <v>11604</v>
      </c>
      <c r="DK28" s="350">
        <v>13535</v>
      </c>
      <c r="DL28" s="350">
        <v>0</v>
      </c>
      <c r="DM28" s="350">
        <v>211652</v>
      </c>
      <c r="DN28" s="350">
        <v>0</v>
      </c>
      <c r="DO28" s="350">
        <v>0</v>
      </c>
      <c r="DP28" s="350">
        <v>0</v>
      </c>
      <c r="DQ28" s="350">
        <v>67344</v>
      </c>
      <c r="DR28" s="350">
        <v>0</v>
      </c>
      <c r="DS28" s="350">
        <v>0</v>
      </c>
      <c r="DT28" s="350">
        <v>0</v>
      </c>
      <c r="DU28" s="350">
        <v>343485</v>
      </c>
      <c r="DV28" s="350">
        <v>20700</v>
      </c>
      <c r="DW28" s="350">
        <v>0</v>
      </c>
      <c r="DX28" s="350">
        <v>0</v>
      </c>
      <c r="DY28" s="350">
        <v>10736</v>
      </c>
      <c r="DZ28" s="350">
        <v>0</v>
      </c>
      <c r="EA28" s="350">
        <v>0</v>
      </c>
      <c r="EB28" s="350">
        <v>8676</v>
      </c>
      <c r="EC28" s="350">
        <v>0</v>
      </c>
      <c r="ED28" s="350">
        <v>0</v>
      </c>
      <c r="EE28" s="350">
        <v>0</v>
      </c>
      <c r="EF28" s="350">
        <v>0</v>
      </c>
      <c r="EG28" s="350">
        <v>0</v>
      </c>
      <c r="EH28" s="350">
        <v>5617</v>
      </c>
      <c r="EI28" s="350">
        <v>0</v>
      </c>
      <c r="EJ28" s="350">
        <v>0</v>
      </c>
      <c r="EK28" s="350">
        <v>0</v>
      </c>
      <c r="EL28" s="350">
        <v>0</v>
      </c>
      <c r="EM28" s="350">
        <v>0</v>
      </c>
      <c r="EN28" s="350">
        <v>0</v>
      </c>
      <c r="EO28" s="350">
        <v>0</v>
      </c>
      <c r="EP28" s="350">
        <v>0</v>
      </c>
      <c r="EQ28" s="350">
        <v>0</v>
      </c>
      <c r="ER28" s="350">
        <v>0</v>
      </c>
      <c r="ES28" s="350">
        <v>0</v>
      </c>
      <c r="ET28" s="350">
        <v>0</v>
      </c>
      <c r="EU28" s="350">
        <v>0</v>
      </c>
      <c r="EV28" s="350">
        <v>0</v>
      </c>
      <c r="EW28" s="350">
        <v>0</v>
      </c>
      <c r="EX28" s="350">
        <v>0</v>
      </c>
      <c r="EY28" s="350">
        <v>0</v>
      </c>
      <c r="EZ28" s="350">
        <v>0</v>
      </c>
      <c r="FA28" s="350">
        <v>0</v>
      </c>
      <c r="FB28" s="350">
        <v>0</v>
      </c>
      <c r="FC28" s="350">
        <v>0</v>
      </c>
      <c r="FD28" s="350">
        <v>0</v>
      </c>
      <c r="FE28" s="350">
        <v>0</v>
      </c>
      <c r="FF28" s="350">
        <v>42764</v>
      </c>
      <c r="FG28" s="350">
        <v>3893</v>
      </c>
      <c r="FH28" s="350">
        <v>0</v>
      </c>
      <c r="FI28" s="350">
        <v>7200</v>
      </c>
      <c r="FJ28" s="350">
        <v>0</v>
      </c>
      <c r="FK28" s="350">
        <v>16000</v>
      </c>
      <c r="FL28" s="350">
        <v>0</v>
      </c>
      <c r="FM28" s="350">
        <v>0</v>
      </c>
      <c r="FN28" s="350">
        <v>0</v>
      </c>
      <c r="FO28" s="350">
        <v>0</v>
      </c>
      <c r="FP28" s="350">
        <v>0</v>
      </c>
      <c r="FQ28" s="350">
        <v>0</v>
      </c>
      <c r="FR28" s="350">
        <v>0</v>
      </c>
      <c r="FS28" s="350">
        <v>0</v>
      </c>
      <c r="FT28" s="350">
        <v>0</v>
      </c>
      <c r="FU28" s="350">
        <v>0</v>
      </c>
      <c r="FV28" s="350">
        <v>0</v>
      </c>
      <c r="FW28" s="350">
        <v>0</v>
      </c>
      <c r="FX28" s="350">
        <v>2506</v>
      </c>
      <c r="FY28" s="350">
        <v>0</v>
      </c>
      <c r="FZ28" s="350">
        <v>0</v>
      </c>
      <c r="GA28" s="350">
        <v>0</v>
      </c>
      <c r="GB28" s="350">
        <v>0</v>
      </c>
      <c r="GC28" s="350">
        <v>0</v>
      </c>
      <c r="GD28" s="350">
        <v>0</v>
      </c>
      <c r="GE28" s="350">
        <v>804</v>
      </c>
      <c r="GF28" s="350">
        <v>121203</v>
      </c>
      <c r="GG28" s="350">
        <v>0</v>
      </c>
      <c r="GH28" s="350">
        <v>0</v>
      </c>
      <c r="GI28" s="350">
        <v>0</v>
      </c>
      <c r="GJ28" s="350">
        <v>0</v>
      </c>
      <c r="GK28" s="350">
        <v>0</v>
      </c>
      <c r="GL28" s="351"/>
      <c r="GM28" s="350">
        <v>0</v>
      </c>
      <c r="GN28" s="350">
        <v>0</v>
      </c>
      <c r="GO28" s="350">
        <v>0</v>
      </c>
      <c r="GP28" s="350">
        <v>0</v>
      </c>
      <c r="GQ28" s="350">
        <v>0</v>
      </c>
      <c r="GR28" s="350">
        <v>0</v>
      </c>
      <c r="GS28" s="350">
        <v>0</v>
      </c>
      <c r="GT28" s="350">
        <v>0</v>
      </c>
      <c r="GU28" s="350">
        <v>0</v>
      </c>
      <c r="GV28" s="350">
        <v>0</v>
      </c>
      <c r="GW28" s="350">
        <v>7550</v>
      </c>
      <c r="GX28" s="350">
        <v>0</v>
      </c>
      <c r="GY28" s="350">
        <v>0</v>
      </c>
      <c r="GZ28" s="350">
        <v>0</v>
      </c>
      <c r="HA28" s="350">
        <v>0</v>
      </c>
      <c r="HB28" s="350">
        <v>0</v>
      </c>
      <c r="HC28" s="350">
        <v>20908</v>
      </c>
      <c r="HD28" s="350">
        <v>0</v>
      </c>
      <c r="HE28" s="350">
        <v>0</v>
      </c>
      <c r="HF28" s="350">
        <v>0</v>
      </c>
      <c r="HG28" s="350">
        <v>0</v>
      </c>
      <c r="HH28" s="350">
        <v>0</v>
      </c>
      <c r="HI28" s="350">
        <v>0</v>
      </c>
      <c r="HJ28" s="350">
        <v>0</v>
      </c>
      <c r="HK28" s="350">
        <v>0</v>
      </c>
      <c r="HL28" s="350">
        <v>0</v>
      </c>
      <c r="HM28" s="350">
        <v>0</v>
      </c>
      <c r="HN28" s="350">
        <v>0</v>
      </c>
      <c r="HO28" s="350">
        <v>1210</v>
      </c>
      <c r="HP28" s="350">
        <v>0</v>
      </c>
      <c r="HQ28" s="350">
        <v>0</v>
      </c>
      <c r="HR28" s="350">
        <v>0</v>
      </c>
      <c r="HS28" s="350">
        <v>0</v>
      </c>
      <c r="HT28" s="350">
        <v>0</v>
      </c>
      <c r="HU28" s="350">
        <v>0</v>
      </c>
      <c r="HV28" s="350">
        <v>0</v>
      </c>
      <c r="HW28" s="350">
        <v>0</v>
      </c>
      <c r="HX28" s="350">
        <v>0</v>
      </c>
      <c r="HY28" s="350">
        <v>0</v>
      </c>
      <c r="HZ28" s="350">
        <v>0</v>
      </c>
      <c r="IA28" s="350">
        <v>0</v>
      </c>
      <c r="IB28" s="350">
        <v>0</v>
      </c>
      <c r="IC28" s="350">
        <v>0</v>
      </c>
      <c r="ID28" s="350">
        <v>0</v>
      </c>
      <c r="IE28" s="350">
        <v>0</v>
      </c>
      <c r="IF28" s="350">
        <v>18176</v>
      </c>
      <c r="IG28" s="350">
        <v>0</v>
      </c>
      <c r="IH28" s="350">
        <v>0</v>
      </c>
      <c r="II28" s="350">
        <v>0</v>
      </c>
      <c r="IJ28" s="350">
        <v>0</v>
      </c>
      <c r="IK28" s="350">
        <v>0</v>
      </c>
      <c r="IL28" s="350">
        <v>0</v>
      </c>
      <c r="IM28" s="351"/>
      <c r="IN28" s="350">
        <v>0</v>
      </c>
      <c r="IO28" s="350">
        <v>0</v>
      </c>
      <c r="IP28" s="350">
        <v>0</v>
      </c>
      <c r="IQ28" s="350">
        <v>0</v>
      </c>
      <c r="IR28" s="350">
        <v>0</v>
      </c>
      <c r="IS28" s="350">
        <v>0</v>
      </c>
      <c r="IT28" s="350">
        <v>0</v>
      </c>
      <c r="IU28" s="350">
        <v>0</v>
      </c>
      <c r="IV28" s="350">
        <v>0</v>
      </c>
      <c r="IW28" s="350">
        <v>0</v>
      </c>
      <c r="IX28" s="350">
        <v>0</v>
      </c>
      <c r="IY28" s="350">
        <v>0</v>
      </c>
      <c r="IZ28" s="350">
        <v>0</v>
      </c>
      <c r="JA28" s="350">
        <v>0</v>
      </c>
      <c r="JB28" s="350">
        <v>0</v>
      </c>
      <c r="JC28" s="350">
        <v>0</v>
      </c>
      <c r="JD28" s="350">
        <v>0</v>
      </c>
      <c r="JE28" s="350">
        <v>0</v>
      </c>
      <c r="JF28" s="350">
        <v>0</v>
      </c>
      <c r="JG28" s="350">
        <v>0</v>
      </c>
      <c r="JH28" s="350">
        <v>0</v>
      </c>
      <c r="JI28" s="350">
        <v>0</v>
      </c>
      <c r="JJ28" s="350">
        <v>0</v>
      </c>
      <c r="JK28" s="350">
        <v>0</v>
      </c>
      <c r="JL28" s="350">
        <v>0</v>
      </c>
      <c r="JM28" s="350">
        <v>4393</v>
      </c>
      <c r="JN28" s="350">
        <v>0</v>
      </c>
      <c r="JO28" s="350">
        <v>0</v>
      </c>
      <c r="JP28" s="350">
        <v>0</v>
      </c>
      <c r="JQ28" s="350">
        <v>0</v>
      </c>
      <c r="JR28" s="351"/>
      <c r="JU28" s="348" t="s">
        <v>1864</v>
      </c>
      <c r="JV28" s="313">
        <f t="shared" si="2"/>
        <v>0</v>
      </c>
      <c r="JW28" s="313">
        <f t="shared" si="4"/>
        <v>0</v>
      </c>
      <c r="JX28" s="313">
        <f t="shared" si="4"/>
        <v>0</v>
      </c>
      <c r="JY28" s="313">
        <f t="shared" si="4"/>
        <v>2874710.52</v>
      </c>
      <c r="JZ28" s="313">
        <f t="shared" si="4"/>
        <v>0</v>
      </c>
      <c r="KA28" s="313">
        <f t="shared" si="4"/>
        <v>0</v>
      </c>
      <c r="KB28" s="313">
        <f t="shared" si="4"/>
        <v>0</v>
      </c>
      <c r="KC28" s="313">
        <f t="shared" si="4"/>
        <v>88033.5</v>
      </c>
      <c r="KD28" s="313">
        <f t="shared" si="4"/>
        <v>50810</v>
      </c>
      <c r="KE28" s="313">
        <f t="shared" si="4"/>
        <v>643181</v>
      </c>
      <c r="KF28" s="313">
        <f t="shared" si="4"/>
        <v>10736</v>
      </c>
      <c r="KG28" s="313">
        <f t="shared" si="4"/>
        <v>14293</v>
      </c>
      <c r="KH28" s="313">
        <f t="shared" si="4"/>
        <v>69857</v>
      </c>
      <c r="KI28" s="313">
        <f t="shared" si="4"/>
        <v>2506</v>
      </c>
      <c r="KJ28" s="313">
        <f t="shared" si="4"/>
        <v>122007</v>
      </c>
      <c r="KK28" s="313">
        <f t="shared" si="4"/>
        <v>0</v>
      </c>
      <c r="KL28" s="313">
        <f t="shared" si="4"/>
        <v>0</v>
      </c>
      <c r="KM28" s="313">
        <f t="shared" si="4"/>
        <v>0</v>
      </c>
      <c r="KN28" s="313">
        <f t="shared" si="4"/>
        <v>7550</v>
      </c>
      <c r="KO28" s="313">
        <f t="shared" si="4"/>
        <v>0</v>
      </c>
      <c r="KP28" s="313">
        <f t="shared" si="4"/>
        <v>0</v>
      </c>
      <c r="KQ28" s="313">
        <f t="shared" si="4"/>
        <v>0</v>
      </c>
      <c r="KR28" s="313">
        <f t="shared" si="4"/>
        <v>0</v>
      </c>
      <c r="KS28" s="313">
        <f t="shared" si="4"/>
        <v>20908</v>
      </c>
      <c r="KT28" s="313">
        <f t="shared" si="4"/>
        <v>0</v>
      </c>
      <c r="KU28" s="313">
        <f t="shared" si="4"/>
        <v>1210</v>
      </c>
      <c r="KV28" s="313">
        <f t="shared" si="4"/>
        <v>0</v>
      </c>
      <c r="KW28" s="313">
        <f t="shared" si="4"/>
        <v>0</v>
      </c>
      <c r="KX28" s="313">
        <f t="shared" si="4"/>
        <v>18176</v>
      </c>
      <c r="KY28" s="313">
        <f t="shared" si="4"/>
        <v>0</v>
      </c>
      <c r="KZ28" s="313">
        <f t="shared" si="4"/>
        <v>0</v>
      </c>
      <c r="LA28" s="313">
        <f t="shared" si="4"/>
        <v>4393</v>
      </c>
      <c r="LB28" s="313">
        <f t="shared" si="4"/>
        <v>0</v>
      </c>
      <c r="LC28" s="313">
        <f t="shared" si="4"/>
        <v>0</v>
      </c>
    </row>
    <row r="29" spans="1:315" ht="25.5" x14ac:dyDescent="0.25">
      <c r="A29" s="313">
        <v>27</v>
      </c>
      <c r="B29" s="348" t="s">
        <v>1865</v>
      </c>
      <c r="C29" s="350">
        <v>0</v>
      </c>
      <c r="D29" s="350">
        <v>9991.86</v>
      </c>
      <c r="E29" s="350">
        <v>0</v>
      </c>
      <c r="F29" s="350">
        <v>69030.7</v>
      </c>
      <c r="G29" s="350">
        <v>32700.52</v>
      </c>
      <c r="H29" s="350">
        <v>48201.35</v>
      </c>
      <c r="I29" s="350">
        <v>1009.8</v>
      </c>
      <c r="J29" s="350">
        <v>10026.200000000001</v>
      </c>
      <c r="K29" s="350">
        <v>1013</v>
      </c>
      <c r="L29" s="350">
        <v>7018</v>
      </c>
      <c r="M29" s="350">
        <v>0</v>
      </c>
      <c r="N29" s="350">
        <v>0</v>
      </c>
      <c r="O29" s="350">
        <v>8016</v>
      </c>
      <c r="P29" s="350">
        <v>0</v>
      </c>
      <c r="Q29" s="350">
        <v>0</v>
      </c>
      <c r="R29" s="350">
        <v>0</v>
      </c>
      <c r="S29" s="350">
        <v>5297</v>
      </c>
      <c r="T29" s="350">
        <v>54512</v>
      </c>
      <c r="U29" s="350">
        <v>35145</v>
      </c>
      <c r="V29" s="350">
        <v>40410</v>
      </c>
      <c r="W29" s="350">
        <v>0</v>
      </c>
      <c r="X29" s="350">
        <v>0</v>
      </c>
      <c r="Y29" s="350">
        <v>0</v>
      </c>
      <c r="Z29" s="350">
        <v>312063</v>
      </c>
      <c r="AA29" s="350">
        <v>0</v>
      </c>
      <c r="AB29" s="350">
        <v>0</v>
      </c>
      <c r="AC29" s="350">
        <v>0</v>
      </c>
      <c r="AD29" s="350">
        <v>0</v>
      </c>
      <c r="AE29" s="350">
        <v>1500</v>
      </c>
      <c r="AF29" s="350">
        <v>283593.53999999998</v>
      </c>
      <c r="AG29" s="350">
        <v>0</v>
      </c>
      <c r="AH29" s="350">
        <v>0</v>
      </c>
      <c r="AI29" s="350">
        <v>0</v>
      </c>
      <c r="AJ29" s="350">
        <v>70565.399999999994</v>
      </c>
      <c r="AK29" s="350">
        <v>75530</v>
      </c>
      <c r="AL29" s="350">
        <v>214436</v>
      </c>
      <c r="AM29" s="350">
        <v>0</v>
      </c>
      <c r="AN29" s="350">
        <v>18382</v>
      </c>
      <c r="AO29" s="350">
        <v>54587</v>
      </c>
      <c r="AP29" s="350">
        <v>248605</v>
      </c>
      <c r="AQ29" s="350">
        <v>0</v>
      </c>
      <c r="AR29" s="350">
        <v>148481</v>
      </c>
      <c r="AS29" s="350">
        <v>103986</v>
      </c>
      <c r="AT29" s="350">
        <v>513244</v>
      </c>
      <c r="AU29" s="350">
        <v>0</v>
      </c>
      <c r="AV29" s="350">
        <v>648</v>
      </c>
      <c r="AW29" s="351"/>
      <c r="AX29" s="350">
        <v>10262</v>
      </c>
      <c r="AY29" s="350">
        <v>0</v>
      </c>
      <c r="AZ29" s="350">
        <v>22699</v>
      </c>
      <c r="BA29" s="350">
        <v>0</v>
      </c>
      <c r="BB29" s="350">
        <v>0</v>
      </c>
      <c r="BC29" s="350">
        <v>156198</v>
      </c>
      <c r="BD29" s="350">
        <v>0</v>
      </c>
      <c r="BE29" s="350">
        <v>0</v>
      </c>
      <c r="BF29" s="350">
        <v>0</v>
      </c>
      <c r="BG29" s="350">
        <v>0</v>
      </c>
      <c r="BH29" s="350">
        <v>0</v>
      </c>
      <c r="BI29" s="350">
        <v>132298</v>
      </c>
      <c r="BJ29" s="350">
        <v>0</v>
      </c>
      <c r="BK29" s="350">
        <v>0</v>
      </c>
      <c r="BL29" s="350">
        <v>0</v>
      </c>
      <c r="BM29" s="350">
        <v>669585.69999999995</v>
      </c>
      <c r="BN29" s="350">
        <v>702</v>
      </c>
      <c r="BO29" s="350">
        <v>40292</v>
      </c>
      <c r="BP29" s="350">
        <v>0</v>
      </c>
      <c r="BQ29" s="350">
        <v>225272.12</v>
      </c>
      <c r="BR29" s="350">
        <v>0</v>
      </c>
      <c r="BS29" s="350">
        <v>882585.08</v>
      </c>
      <c r="BT29" s="350">
        <v>261369</v>
      </c>
      <c r="BU29" s="350">
        <v>113587</v>
      </c>
      <c r="BV29" s="350">
        <v>652406</v>
      </c>
      <c r="BW29" s="350">
        <v>110678.62</v>
      </c>
      <c r="BX29" s="350">
        <v>298294</v>
      </c>
      <c r="BY29" s="350">
        <v>767969</v>
      </c>
      <c r="BZ29" s="350">
        <v>78818</v>
      </c>
      <c r="CA29" s="350">
        <v>181932</v>
      </c>
      <c r="CB29" s="350">
        <v>8690</v>
      </c>
      <c r="CC29" s="350">
        <v>0</v>
      </c>
      <c r="CD29" s="350">
        <v>724483.67</v>
      </c>
      <c r="CE29" s="350">
        <v>56075</v>
      </c>
      <c r="CF29" s="350">
        <v>45467</v>
      </c>
      <c r="CG29" s="350">
        <v>3.27</v>
      </c>
      <c r="CH29" s="350">
        <v>37451</v>
      </c>
      <c r="CI29" s="350">
        <v>0</v>
      </c>
      <c r="CJ29" s="350">
        <v>54878</v>
      </c>
      <c r="CK29" s="350">
        <v>45641.25</v>
      </c>
      <c r="CL29" s="350">
        <v>610</v>
      </c>
      <c r="CM29" s="350">
        <v>68696.789999999994</v>
      </c>
      <c r="CN29" s="350">
        <v>0</v>
      </c>
      <c r="CO29" s="350">
        <v>0</v>
      </c>
      <c r="CP29" s="350">
        <v>0</v>
      </c>
      <c r="CQ29" s="350">
        <v>427226</v>
      </c>
      <c r="CR29" s="350">
        <v>114873.28</v>
      </c>
      <c r="CS29" s="350">
        <v>4967</v>
      </c>
      <c r="CT29" s="350">
        <v>72920</v>
      </c>
      <c r="CU29" s="350">
        <v>0</v>
      </c>
      <c r="CV29" s="350">
        <v>516336</v>
      </c>
      <c r="CW29" s="350">
        <v>0</v>
      </c>
      <c r="CX29" s="350">
        <v>143869</v>
      </c>
      <c r="CY29" s="350">
        <v>0</v>
      </c>
      <c r="CZ29" s="350">
        <v>3537585</v>
      </c>
      <c r="DA29" s="350">
        <v>16574347</v>
      </c>
      <c r="DB29" s="350">
        <v>0</v>
      </c>
      <c r="DC29" s="350">
        <v>1229</v>
      </c>
      <c r="DD29" s="350">
        <v>0</v>
      </c>
      <c r="DE29" s="350">
        <v>0</v>
      </c>
      <c r="DF29" s="350">
        <v>29331.25</v>
      </c>
      <c r="DG29" s="350">
        <v>0</v>
      </c>
      <c r="DH29" s="350">
        <v>5949</v>
      </c>
      <c r="DI29" s="350">
        <v>0</v>
      </c>
      <c r="DJ29" s="350">
        <v>29631</v>
      </c>
      <c r="DK29" s="350">
        <v>0</v>
      </c>
      <c r="DL29" s="350">
        <v>260119.73</v>
      </c>
      <c r="DM29" s="350">
        <v>800</v>
      </c>
      <c r="DN29" s="350">
        <v>97563.34</v>
      </c>
      <c r="DO29" s="350">
        <v>13260</v>
      </c>
      <c r="DP29" s="350">
        <v>1828</v>
      </c>
      <c r="DQ29" s="350">
        <v>155362</v>
      </c>
      <c r="DR29" s="350">
        <v>204194</v>
      </c>
      <c r="DS29" s="350">
        <v>24386.35</v>
      </c>
      <c r="DT29" s="350">
        <v>4610.6899999999996</v>
      </c>
      <c r="DU29" s="350">
        <v>285894.37</v>
      </c>
      <c r="DV29" s="350">
        <v>74200</v>
      </c>
      <c r="DW29" s="350">
        <v>0</v>
      </c>
      <c r="DX29" s="350">
        <v>761628</v>
      </c>
      <c r="DY29" s="350">
        <v>573299</v>
      </c>
      <c r="DZ29" s="350">
        <v>3877334.47</v>
      </c>
      <c r="EA29" s="350">
        <v>1344060</v>
      </c>
      <c r="EB29" s="350">
        <v>3005581</v>
      </c>
      <c r="EC29" s="350">
        <v>995677.91</v>
      </c>
      <c r="ED29" s="350">
        <v>266483.21999999997</v>
      </c>
      <c r="EE29" s="350">
        <v>2021819.07</v>
      </c>
      <c r="EF29" s="350">
        <v>3277216.65</v>
      </c>
      <c r="EG29" s="350">
        <v>3153930</v>
      </c>
      <c r="EH29" s="350">
        <v>8256652</v>
      </c>
      <c r="EI29" s="350">
        <v>3142837.3</v>
      </c>
      <c r="EJ29" s="350">
        <v>1247953</v>
      </c>
      <c r="EK29" s="350">
        <v>2776590</v>
      </c>
      <c r="EL29" s="350">
        <v>1406528</v>
      </c>
      <c r="EM29" s="350">
        <v>3171807.02</v>
      </c>
      <c r="EN29" s="350">
        <v>1143352</v>
      </c>
      <c r="EO29" s="350">
        <v>5668423.2199999997</v>
      </c>
      <c r="EP29" s="350">
        <v>3871397</v>
      </c>
      <c r="EQ29" s="350">
        <v>1564701</v>
      </c>
      <c r="ER29" s="350">
        <v>3130875.84</v>
      </c>
      <c r="ES29" s="350">
        <v>1506006.11</v>
      </c>
      <c r="ET29" s="350">
        <v>1790518</v>
      </c>
      <c r="EU29" s="350">
        <v>4444069</v>
      </c>
      <c r="EV29" s="350">
        <v>1477065.69</v>
      </c>
      <c r="EW29" s="350">
        <v>3830563</v>
      </c>
      <c r="EX29" s="350">
        <v>1822297</v>
      </c>
      <c r="EY29" s="350">
        <v>1724212.82</v>
      </c>
      <c r="EZ29" s="350">
        <v>4169910.7</v>
      </c>
      <c r="FA29" s="350">
        <v>2596210</v>
      </c>
      <c r="FB29" s="350">
        <v>5371531</v>
      </c>
      <c r="FC29" s="350">
        <v>1403641</v>
      </c>
      <c r="FD29" s="350">
        <v>4149803</v>
      </c>
      <c r="FE29" s="350">
        <v>3960733</v>
      </c>
      <c r="FF29" s="350">
        <v>906853.87</v>
      </c>
      <c r="FG29" s="350">
        <v>1314931</v>
      </c>
      <c r="FH29" s="350">
        <v>2781994</v>
      </c>
      <c r="FI29" s="350">
        <v>999711</v>
      </c>
      <c r="FJ29" s="350">
        <v>2557573.48</v>
      </c>
      <c r="FK29" s="350">
        <v>1129731.52</v>
      </c>
      <c r="FL29" s="350">
        <v>876323</v>
      </c>
      <c r="FM29" s="350">
        <v>2348398</v>
      </c>
      <c r="FN29" s="350">
        <v>2631553</v>
      </c>
      <c r="FO29" s="350">
        <v>204722</v>
      </c>
      <c r="FP29" s="350">
        <v>3159979</v>
      </c>
      <c r="FQ29" s="350">
        <v>9790779.2599999998</v>
      </c>
      <c r="FR29" s="350">
        <v>3620615</v>
      </c>
      <c r="FS29" s="350">
        <v>2995828</v>
      </c>
      <c r="FT29" s="350">
        <v>1270803</v>
      </c>
      <c r="FU29" s="350">
        <v>459028</v>
      </c>
      <c r="FV29" s="350">
        <v>904075</v>
      </c>
      <c r="FW29" s="350">
        <v>1960861</v>
      </c>
      <c r="FX29" s="350">
        <v>10096</v>
      </c>
      <c r="FY29" s="350">
        <v>932045</v>
      </c>
      <c r="FZ29" s="350">
        <v>618310.1</v>
      </c>
      <c r="GA29" s="350">
        <v>88601.68</v>
      </c>
      <c r="GB29" s="350">
        <v>15511.44</v>
      </c>
      <c r="GC29" s="350">
        <v>0</v>
      </c>
      <c r="GD29" s="350">
        <v>84780</v>
      </c>
      <c r="GE29" s="350">
        <v>319383</v>
      </c>
      <c r="GF29" s="350">
        <v>0</v>
      </c>
      <c r="GG29" s="350">
        <v>2267600</v>
      </c>
      <c r="GH29" s="350">
        <v>1895.69</v>
      </c>
      <c r="GI29" s="350">
        <v>0</v>
      </c>
      <c r="GJ29" s="350">
        <v>2101952.02</v>
      </c>
      <c r="GK29" s="350">
        <v>234045</v>
      </c>
      <c r="GL29" s="350">
        <v>215800</v>
      </c>
      <c r="GM29" s="350">
        <v>0</v>
      </c>
      <c r="GN29" s="350">
        <v>0</v>
      </c>
      <c r="GO29" s="350">
        <v>404403</v>
      </c>
      <c r="GP29" s="350">
        <v>0</v>
      </c>
      <c r="GQ29" s="350">
        <v>0</v>
      </c>
      <c r="GR29" s="350">
        <v>259088</v>
      </c>
      <c r="GS29" s="350">
        <v>0</v>
      </c>
      <c r="GT29" s="350">
        <v>0</v>
      </c>
      <c r="GU29" s="350">
        <v>28704.93</v>
      </c>
      <c r="GV29" s="350">
        <v>44505</v>
      </c>
      <c r="GW29" s="350">
        <v>65151</v>
      </c>
      <c r="GX29" s="350">
        <v>208593.62</v>
      </c>
      <c r="GY29" s="350">
        <v>0</v>
      </c>
      <c r="GZ29" s="350">
        <v>2800</v>
      </c>
      <c r="HA29" s="350">
        <v>6008</v>
      </c>
      <c r="HB29" s="350">
        <v>0</v>
      </c>
      <c r="HC29" s="350">
        <v>0</v>
      </c>
      <c r="HD29" s="350">
        <v>7000</v>
      </c>
      <c r="HE29" s="350">
        <v>34026.15</v>
      </c>
      <c r="HF29" s="350">
        <v>22916.6</v>
      </c>
      <c r="HG29" s="350">
        <v>13105.84</v>
      </c>
      <c r="HH29" s="350">
        <v>2843.56</v>
      </c>
      <c r="HI29" s="350">
        <v>221810</v>
      </c>
      <c r="HJ29" s="350">
        <v>0</v>
      </c>
      <c r="HK29" s="350">
        <v>0</v>
      </c>
      <c r="HL29" s="350">
        <v>16211.1</v>
      </c>
      <c r="HM29" s="350">
        <v>41987.16</v>
      </c>
      <c r="HN29" s="350">
        <v>324336.8</v>
      </c>
      <c r="HO29" s="350">
        <v>25154</v>
      </c>
      <c r="HP29" s="350">
        <v>0.06</v>
      </c>
      <c r="HQ29" s="350">
        <v>0</v>
      </c>
      <c r="HR29" s="350">
        <v>0</v>
      </c>
      <c r="HS29" s="350">
        <v>0</v>
      </c>
      <c r="HT29" s="350">
        <v>0</v>
      </c>
      <c r="HU29" s="350">
        <v>0</v>
      </c>
      <c r="HV29" s="350">
        <v>14012.7</v>
      </c>
      <c r="HW29" s="350">
        <v>2045.8</v>
      </c>
      <c r="HX29" s="350">
        <v>0</v>
      </c>
      <c r="HY29" s="350">
        <v>26526.78</v>
      </c>
      <c r="HZ29" s="350">
        <v>269254</v>
      </c>
      <c r="IA29" s="350">
        <v>848.65</v>
      </c>
      <c r="IB29" s="350">
        <v>2059.46</v>
      </c>
      <c r="IC29" s="350">
        <v>7121.02</v>
      </c>
      <c r="ID29" s="350">
        <v>667.1</v>
      </c>
      <c r="IE29" s="350">
        <v>0</v>
      </c>
      <c r="IF29" s="350">
        <v>0</v>
      </c>
      <c r="IG29" s="350">
        <v>0</v>
      </c>
      <c r="IH29" s="350">
        <v>17965</v>
      </c>
      <c r="II29" s="350">
        <v>16078.5</v>
      </c>
      <c r="IJ29" s="350">
        <v>0</v>
      </c>
      <c r="IK29" s="350">
        <v>0</v>
      </c>
      <c r="IL29" s="350">
        <v>0</v>
      </c>
      <c r="IM29" s="351"/>
      <c r="IN29" s="350">
        <v>232742.59</v>
      </c>
      <c r="IO29" s="350">
        <v>0</v>
      </c>
      <c r="IP29" s="350">
        <v>330478</v>
      </c>
      <c r="IQ29" s="350">
        <v>0</v>
      </c>
      <c r="IR29" s="350">
        <v>34445.21</v>
      </c>
      <c r="IS29" s="350">
        <v>0</v>
      </c>
      <c r="IT29" s="350">
        <v>0</v>
      </c>
      <c r="IU29" s="350">
        <v>0</v>
      </c>
      <c r="IV29" s="350">
        <v>0</v>
      </c>
      <c r="IW29" s="350">
        <v>0</v>
      </c>
      <c r="IX29" s="350">
        <v>0</v>
      </c>
      <c r="IY29" s="350">
        <v>0</v>
      </c>
      <c r="IZ29" s="350">
        <v>135384</v>
      </c>
      <c r="JA29" s="350">
        <v>23378.959999999999</v>
      </c>
      <c r="JB29" s="350">
        <v>36646.639999999999</v>
      </c>
      <c r="JC29" s="350">
        <v>16948.18</v>
      </c>
      <c r="JD29" s="350">
        <v>0</v>
      </c>
      <c r="JE29" s="350">
        <v>0</v>
      </c>
      <c r="JF29" s="350">
        <v>0</v>
      </c>
      <c r="JG29" s="350">
        <v>120040.01</v>
      </c>
      <c r="JH29" s="350">
        <v>31854.44</v>
      </c>
      <c r="JI29" s="350">
        <v>0</v>
      </c>
      <c r="JJ29" s="350">
        <v>0</v>
      </c>
      <c r="JK29" s="350">
        <v>0</v>
      </c>
      <c r="JL29" s="350">
        <v>125940.65</v>
      </c>
      <c r="JM29" s="350">
        <v>555354</v>
      </c>
      <c r="JN29" s="350">
        <v>4348684.88</v>
      </c>
      <c r="JO29" s="350">
        <v>1629335.83</v>
      </c>
      <c r="JP29" s="350">
        <v>2454277</v>
      </c>
      <c r="JQ29" s="350">
        <v>2493596</v>
      </c>
      <c r="JR29" s="351"/>
      <c r="JU29" s="348" t="s">
        <v>1865</v>
      </c>
      <c r="JV29" s="313">
        <f t="shared" si="2"/>
        <v>634434.42999999993</v>
      </c>
      <c r="JW29" s="313">
        <f t="shared" si="4"/>
        <v>1500</v>
      </c>
      <c r="JX29" s="313">
        <f t="shared" si="4"/>
        <v>965698.94</v>
      </c>
      <c r="JY29" s="313">
        <f t="shared" si="4"/>
        <v>6343995.709999999</v>
      </c>
      <c r="JZ29" s="313">
        <f t="shared" si="4"/>
        <v>69306.789999999994</v>
      </c>
      <c r="KA29" s="313">
        <f t="shared" si="4"/>
        <v>0</v>
      </c>
      <c r="KB29" s="313">
        <f t="shared" si="4"/>
        <v>0</v>
      </c>
      <c r="KC29" s="313">
        <f t="shared" si="4"/>
        <v>21393352.280000001</v>
      </c>
      <c r="KD29" s="313">
        <f t="shared" si="4"/>
        <v>64911.25</v>
      </c>
      <c r="KE29" s="313">
        <f t="shared" si="4"/>
        <v>1883846.48</v>
      </c>
      <c r="KF29" s="313">
        <f t="shared" si="4"/>
        <v>573299</v>
      </c>
      <c r="KG29" s="313">
        <f t="shared" si="4"/>
        <v>30589544.620000001</v>
      </c>
      <c r="KH29" s="313">
        <f t="shared" si="4"/>
        <v>76527303.269999996</v>
      </c>
      <c r="KI29" s="313">
        <f t="shared" si="4"/>
        <v>25308831.259999998</v>
      </c>
      <c r="KJ29" s="313">
        <f t="shared" si="4"/>
        <v>3396081.9099999997</v>
      </c>
      <c r="KK29" s="313">
        <f t="shared" si="4"/>
        <v>2335997.02</v>
      </c>
      <c r="KL29" s="313">
        <f t="shared" si="4"/>
        <v>620203</v>
      </c>
      <c r="KM29" s="313">
        <f t="shared" si="4"/>
        <v>0</v>
      </c>
      <c r="KN29" s="313">
        <f t="shared" si="4"/>
        <v>397448.93</v>
      </c>
      <c r="KO29" s="313">
        <f t="shared" si="4"/>
        <v>208593.62</v>
      </c>
      <c r="KP29" s="313">
        <f t="shared" si="4"/>
        <v>2800</v>
      </c>
      <c r="KQ29" s="313">
        <f t="shared" si="4"/>
        <v>6008</v>
      </c>
      <c r="KR29" s="313">
        <f t="shared" ref="JW29:LC37" si="5">SUMIFS($C29:$JR29,$C$2:$JR$2,KR$2)</f>
        <v>0</v>
      </c>
      <c r="KS29" s="313">
        <f t="shared" si="5"/>
        <v>0</v>
      </c>
      <c r="KT29" s="313">
        <f t="shared" si="5"/>
        <v>359900.41000000003</v>
      </c>
      <c r="KU29" s="313">
        <f t="shared" si="5"/>
        <v>349490.86</v>
      </c>
      <c r="KV29" s="313">
        <f t="shared" si="5"/>
        <v>0</v>
      </c>
      <c r="KW29" s="313">
        <f t="shared" si="5"/>
        <v>322535.51000000007</v>
      </c>
      <c r="KX29" s="313">
        <f t="shared" si="5"/>
        <v>0</v>
      </c>
      <c r="KY29" s="313">
        <f t="shared" si="5"/>
        <v>34043.5</v>
      </c>
      <c r="KZ29" s="313">
        <f t="shared" si="5"/>
        <v>0</v>
      </c>
      <c r="LA29" s="313">
        <f t="shared" si="5"/>
        <v>1643212.68</v>
      </c>
      <c r="LB29" s="313">
        <f t="shared" si="5"/>
        <v>10925893.710000001</v>
      </c>
      <c r="LC29" s="313">
        <f t="shared" si="5"/>
        <v>0</v>
      </c>
    </row>
    <row r="30" spans="1:315" ht="25.5" x14ac:dyDescent="0.25">
      <c r="A30" s="313">
        <v>28</v>
      </c>
      <c r="B30" s="348" t="s">
        <v>1866</v>
      </c>
      <c r="C30" s="350">
        <v>0</v>
      </c>
      <c r="D30" s="350">
        <v>0</v>
      </c>
      <c r="E30" s="350">
        <v>0</v>
      </c>
      <c r="F30" s="350">
        <v>0</v>
      </c>
      <c r="G30" s="350">
        <v>0</v>
      </c>
      <c r="H30" s="350">
        <v>0</v>
      </c>
      <c r="I30" s="350">
        <v>0</v>
      </c>
      <c r="J30" s="350">
        <v>0</v>
      </c>
      <c r="K30" s="350">
        <v>0</v>
      </c>
      <c r="L30" s="350">
        <v>0</v>
      </c>
      <c r="M30" s="350">
        <v>0</v>
      </c>
      <c r="N30" s="350">
        <v>0</v>
      </c>
      <c r="O30" s="350">
        <v>0</v>
      </c>
      <c r="P30" s="350">
        <v>0</v>
      </c>
      <c r="Q30" s="350">
        <v>0</v>
      </c>
      <c r="R30" s="350">
        <v>0</v>
      </c>
      <c r="S30" s="350">
        <v>0</v>
      </c>
      <c r="T30" s="350">
        <v>0</v>
      </c>
      <c r="U30" s="350">
        <v>0</v>
      </c>
      <c r="V30" s="350">
        <v>0</v>
      </c>
      <c r="W30" s="350">
        <v>0</v>
      </c>
      <c r="X30" s="350">
        <v>0</v>
      </c>
      <c r="Y30" s="350">
        <v>0</v>
      </c>
      <c r="Z30" s="350">
        <v>0</v>
      </c>
      <c r="AA30" s="350">
        <v>0</v>
      </c>
      <c r="AB30" s="350">
        <v>0</v>
      </c>
      <c r="AC30" s="350">
        <v>0</v>
      </c>
      <c r="AD30" s="350">
        <v>0</v>
      </c>
      <c r="AE30" s="350">
        <v>0</v>
      </c>
      <c r="AF30" s="350">
        <v>0</v>
      </c>
      <c r="AG30" s="350">
        <v>0</v>
      </c>
      <c r="AH30" s="350">
        <v>0</v>
      </c>
      <c r="AI30" s="350">
        <v>0</v>
      </c>
      <c r="AJ30" s="350">
        <v>0</v>
      </c>
      <c r="AK30" s="350">
        <v>0</v>
      </c>
      <c r="AL30" s="350">
        <v>0</v>
      </c>
      <c r="AM30" s="350">
        <v>0</v>
      </c>
      <c r="AN30" s="350">
        <v>0</v>
      </c>
      <c r="AO30" s="350">
        <v>0</v>
      </c>
      <c r="AP30" s="350">
        <v>0</v>
      </c>
      <c r="AQ30" s="350">
        <v>0</v>
      </c>
      <c r="AR30" s="350">
        <v>0</v>
      </c>
      <c r="AS30" s="350">
        <v>0</v>
      </c>
      <c r="AT30" s="350">
        <v>0</v>
      </c>
      <c r="AU30" s="350">
        <v>0</v>
      </c>
      <c r="AV30" s="350">
        <v>0</v>
      </c>
      <c r="AW30" s="351"/>
      <c r="AX30" s="350">
        <v>0</v>
      </c>
      <c r="AY30" s="350">
        <v>0</v>
      </c>
      <c r="AZ30" s="350">
        <v>0</v>
      </c>
      <c r="BA30" s="350">
        <v>0</v>
      </c>
      <c r="BB30" s="350">
        <v>0</v>
      </c>
      <c r="BC30" s="350">
        <v>0</v>
      </c>
      <c r="BD30" s="350">
        <v>0</v>
      </c>
      <c r="BE30" s="350">
        <v>0</v>
      </c>
      <c r="BF30" s="350">
        <v>0</v>
      </c>
      <c r="BG30" s="350">
        <v>0</v>
      </c>
      <c r="BH30" s="350">
        <v>0</v>
      </c>
      <c r="BI30" s="351"/>
      <c r="BJ30" s="350">
        <v>0</v>
      </c>
      <c r="BK30" s="350">
        <v>0</v>
      </c>
      <c r="BL30" s="350">
        <v>0</v>
      </c>
      <c r="BM30" s="350">
        <v>0</v>
      </c>
      <c r="BN30" s="350">
        <v>0</v>
      </c>
      <c r="BO30" s="350">
        <v>0</v>
      </c>
      <c r="BP30" s="350">
        <v>0</v>
      </c>
      <c r="BQ30" s="350">
        <v>0</v>
      </c>
      <c r="BR30" s="350">
        <v>0</v>
      </c>
      <c r="BS30" s="350">
        <v>0</v>
      </c>
      <c r="BT30" s="350">
        <v>0</v>
      </c>
      <c r="BU30" s="350">
        <v>0</v>
      </c>
      <c r="BV30" s="350">
        <v>0</v>
      </c>
      <c r="BW30" s="350">
        <v>0</v>
      </c>
      <c r="BX30" s="350">
        <v>0</v>
      </c>
      <c r="BY30" s="350">
        <v>0</v>
      </c>
      <c r="BZ30" s="350">
        <v>0</v>
      </c>
      <c r="CA30" s="350">
        <v>0</v>
      </c>
      <c r="CB30" s="350">
        <v>0</v>
      </c>
      <c r="CC30" s="350">
        <v>0</v>
      </c>
      <c r="CD30" s="350">
        <v>0</v>
      </c>
      <c r="CE30" s="350">
        <v>0</v>
      </c>
      <c r="CF30" s="350">
        <v>0</v>
      </c>
      <c r="CG30" s="350">
        <v>0</v>
      </c>
      <c r="CH30" s="350">
        <v>0</v>
      </c>
      <c r="CI30" s="350">
        <v>0</v>
      </c>
      <c r="CJ30" s="350">
        <v>0</v>
      </c>
      <c r="CK30" s="350">
        <v>0</v>
      </c>
      <c r="CL30" s="350">
        <v>0</v>
      </c>
      <c r="CM30" s="350">
        <v>0</v>
      </c>
      <c r="CN30" s="350">
        <v>0</v>
      </c>
      <c r="CO30" s="350">
        <v>0</v>
      </c>
      <c r="CP30" s="350">
        <v>0</v>
      </c>
      <c r="CQ30" s="350">
        <v>338939</v>
      </c>
      <c r="CR30" s="350">
        <v>0</v>
      </c>
      <c r="CS30" s="350">
        <v>0</v>
      </c>
      <c r="CT30" s="350">
        <v>0</v>
      </c>
      <c r="CU30" s="350">
        <v>0</v>
      </c>
      <c r="CV30" s="350">
        <v>154807</v>
      </c>
      <c r="CW30" s="350">
        <v>0</v>
      </c>
      <c r="CX30" s="350">
        <v>129615</v>
      </c>
      <c r="CY30" s="350">
        <v>0</v>
      </c>
      <c r="CZ30" s="350">
        <v>631504</v>
      </c>
      <c r="DA30" s="350">
        <v>14199649</v>
      </c>
      <c r="DB30" s="350">
        <v>0</v>
      </c>
      <c r="DC30" s="350">
        <v>0</v>
      </c>
      <c r="DD30" s="350">
        <v>0</v>
      </c>
      <c r="DE30" s="350">
        <v>0</v>
      </c>
      <c r="DF30" s="350">
        <v>0</v>
      </c>
      <c r="DG30" s="350">
        <v>0</v>
      </c>
      <c r="DH30" s="350">
        <v>0</v>
      </c>
      <c r="DI30" s="350">
        <v>0</v>
      </c>
      <c r="DJ30" s="350">
        <v>0</v>
      </c>
      <c r="DK30" s="350">
        <v>0</v>
      </c>
      <c r="DL30" s="350">
        <v>0</v>
      </c>
      <c r="DM30" s="350">
        <v>0</v>
      </c>
      <c r="DN30" s="350">
        <v>0</v>
      </c>
      <c r="DO30" s="350">
        <v>0</v>
      </c>
      <c r="DP30" s="350">
        <v>0</v>
      </c>
      <c r="DQ30" s="350">
        <v>4353</v>
      </c>
      <c r="DR30" s="350">
        <v>0</v>
      </c>
      <c r="DS30" s="350">
        <v>0</v>
      </c>
      <c r="DT30" s="350">
        <v>0</v>
      </c>
      <c r="DU30" s="350">
        <v>0</v>
      </c>
      <c r="DV30" s="350">
        <v>0</v>
      </c>
      <c r="DW30" s="350">
        <v>0</v>
      </c>
      <c r="DX30" s="350">
        <v>0</v>
      </c>
      <c r="DY30" s="350">
        <v>94254</v>
      </c>
      <c r="DZ30" s="350">
        <v>3242391.91</v>
      </c>
      <c r="EA30" s="350">
        <v>1355755</v>
      </c>
      <c r="EB30" s="350">
        <v>2001829</v>
      </c>
      <c r="EC30" s="350">
        <v>657779.02</v>
      </c>
      <c r="ED30" s="350">
        <v>219678.22</v>
      </c>
      <c r="EE30" s="350">
        <v>1480166.96</v>
      </c>
      <c r="EF30" s="350">
        <v>2025769.53</v>
      </c>
      <c r="EG30" s="350">
        <v>2986255</v>
      </c>
      <c r="EH30" s="350">
        <v>3889186</v>
      </c>
      <c r="EI30" s="350">
        <v>2687672</v>
      </c>
      <c r="EJ30" s="350">
        <v>190309.49</v>
      </c>
      <c r="EK30" s="350">
        <v>1364883</v>
      </c>
      <c r="EL30" s="350">
        <v>695692</v>
      </c>
      <c r="EM30" s="350">
        <v>2363219.87</v>
      </c>
      <c r="EN30" s="350">
        <v>865938</v>
      </c>
      <c r="EO30" s="350">
        <v>4042365.92</v>
      </c>
      <c r="EP30" s="350">
        <v>3121261</v>
      </c>
      <c r="EQ30" s="350">
        <v>1525082</v>
      </c>
      <c r="ER30" s="350">
        <v>2746991.96</v>
      </c>
      <c r="ES30" s="350">
        <v>1459407.2</v>
      </c>
      <c r="ET30" s="350">
        <v>964096</v>
      </c>
      <c r="EU30" s="350">
        <v>4091878</v>
      </c>
      <c r="EV30" s="350">
        <v>834852.05</v>
      </c>
      <c r="EW30" s="350">
        <v>3054252</v>
      </c>
      <c r="EX30" s="350">
        <v>1078889</v>
      </c>
      <c r="EY30" s="350">
        <v>0</v>
      </c>
      <c r="EZ30" s="350">
        <v>3810739.7</v>
      </c>
      <c r="FA30" s="350">
        <v>2495626</v>
      </c>
      <c r="FB30" s="350">
        <v>4315621</v>
      </c>
      <c r="FC30" s="350">
        <v>1109352</v>
      </c>
      <c r="FD30" s="350">
        <v>3233522</v>
      </c>
      <c r="FE30" s="350">
        <v>3100632</v>
      </c>
      <c r="FF30" s="350">
        <v>856728.47</v>
      </c>
      <c r="FG30" s="350">
        <v>1166535</v>
      </c>
      <c r="FH30" s="350">
        <v>967205</v>
      </c>
      <c r="FI30" s="350">
        <v>669512</v>
      </c>
      <c r="FJ30" s="350">
        <v>2179522.7599999998</v>
      </c>
      <c r="FK30" s="350">
        <v>950641.85</v>
      </c>
      <c r="FL30" s="350">
        <v>294082</v>
      </c>
      <c r="FM30" s="350">
        <v>2066722</v>
      </c>
      <c r="FN30" s="350">
        <v>1330440</v>
      </c>
      <c r="FO30" s="350">
        <v>157702</v>
      </c>
      <c r="FP30" s="350">
        <v>2690237</v>
      </c>
      <c r="FQ30" s="350">
        <v>6360534</v>
      </c>
      <c r="FR30" s="350">
        <v>2742138</v>
      </c>
      <c r="FS30" s="350">
        <v>2963054</v>
      </c>
      <c r="FT30" s="350">
        <v>899283.85</v>
      </c>
      <c r="FU30" s="350">
        <v>440401</v>
      </c>
      <c r="FV30" s="350">
        <v>0</v>
      </c>
      <c r="FW30" s="350">
        <v>696726</v>
      </c>
      <c r="FX30" s="350">
        <v>0</v>
      </c>
      <c r="FY30" s="350">
        <v>669562</v>
      </c>
      <c r="FZ30" s="350">
        <v>0</v>
      </c>
      <c r="GA30" s="350">
        <v>0</v>
      </c>
      <c r="GB30" s="350">
        <v>0</v>
      </c>
      <c r="GC30" s="350">
        <v>0</v>
      </c>
      <c r="GD30" s="350">
        <v>0</v>
      </c>
      <c r="GE30" s="350">
        <v>0</v>
      </c>
      <c r="GF30" s="350">
        <v>0</v>
      </c>
      <c r="GG30" s="350">
        <v>0</v>
      </c>
      <c r="GH30" s="350">
        <v>0</v>
      </c>
      <c r="GI30" s="350">
        <v>0</v>
      </c>
      <c r="GJ30" s="350">
        <v>1017022</v>
      </c>
      <c r="GK30" s="350">
        <v>234045</v>
      </c>
      <c r="GL30" s="351"/>
      <c r="GM30" s="350">
        <v>0</v>
      </c>
      <c r="GN30" s="350">
        <v>0</v>
      </c>
      <c r="GO30" s="350">
        <v>0</v>
      </c>
      <c r="GP30" s="350">
        <v>0</v>
      </c>
      <c r="GQ30" s="350">
        <v>0</v>
      </c>
      <c r="GR30" s="350">
        <v>0</v>
      </c>
      <c r="GS30" s="350">
        <v>0</v>
      </c>
      <c r="GT30" s="350">
        <v>0</v>
      </c>
      <c r="GU30" s="350">
        <v>0</v>
      </c>
      <c r="GV30" s="350">
        <v>0</v>
      </c>
      <c r="GW30" s="350">
        <v>0</v>
      </c>
      <c r="GX30" s="350">
        <v>0</v>
      </c>
      <c r="GY30" s="350">
        <v>0</v>
      </c>
      <c r="GZ30" s="350">
        <v>0</v>
      </c>
      <c r="HA30" s="350">
        <v>0</v>
      </c>
      <c r="HB30" s="350">
        <v>0</v>
      </c>
      <c r="HC30" s="350">
        <v>0</v>
      </c>
      <c r="HD30" s="350">
        <v>0</v>
      </c>
      <c r="HE30" s="350">
        <v>0</v>
      </c>
      <c r="HF30" s="350">
        <v>0</v>
      </c>
      <c r="HG30" s="350">
        <v>0</v>
      </c>
      <c r="HH30" s="350">
        <v>0</v>
      </c>
      <c r="HI30" s="350">
        <v>0</v>
      </c>
      <c r="HJ30" s="350">
        <v>0</v>
      </c>
      <c r="HK30" s="350">
        <v>0</v>
      </c>
      <c r="HL30" s="350">
        <v>0</v>
      </c>
      <c r="HM30" s="350">
        <v>0</v>
      </c>
      <c r="HN30" s="350">
        <v>0</v>
      </c>
      <c r="HO30" s="350">
        <v>0</v>
      </c>
      <c r="HP30" s="350">
        <v>0</v>
      </c>
      <c r="HQ30" s="350">
        <v>0</v>
      </c>
      <c r="HR30" s="350">
        <v>0</v>
      </c>
      <c r="HS30" s="350">
        <v>0</v>
      </c>
      <c r="HT30" s="350">
        <v>0</v>
      </c>
      <c r="HU30" s="350">
        <v>0</v>
      </c>
      <c r="HV30" s="350">
        <v>0</v>
      </c>
      <c r="HW30" s="350">
        <v>0</v>
      </c>
      <c r="HX30" s="350">
        <v>0</v>
      </c>
      <c r="HY30" s="350">
        <v>0</v>
      </c>
      <c r="HZ30" s="350">
        <v>0</v>
      </c>
      <c r="IA30" s="350">
        <v>0</v>
      </c>
      <c r="IB30" s="350">
        <v>0</v>
      </c>
      <c r="IC30" s="350">
        <v>0</v>
      </c>
      <c r="ID30" s="350">
        <v>0</v>
      </c>
      <c r="IE30" s="350">
        <v>0</v>
      </c>
      <c r="IF30" s="350">
        <v>0</v>
      </c>
      <c r="IG30" s="350">
        <v>0</v>
      </c>
      <c r="IH30" s="350">
        <v>0</v>
      </c>
      <c r="II30" s="350">
        <v>0</v>
      </c>
      <c r="IJ30" s="350">
        <v>0</v>
      </c>
      <c r="IK30" s="350">
        <v>0</v>
      </c>
      <c r="IL30" s="350">
        <v>0</v>
      </c>
      <c r="IM30" s="351"/>
      <c r="IN30" s="350">
        <v>0</v>
      </c>
      <c r="IO30" s="350">
        <v>0</v>
      </c>
      <c r="IP30" s="350">
        <v>0</v>
      </c>
      <c r="IQ30" s="350">
        <v>0</v>
      </c>
      <c r="IR30" s="350">
        <v>0</v>
      </c>
      <c r="IS30" s="350">
        <v>0</v>
      </c>
      <c r="IT30" s="350">
        <v>0</v>
      </c>
      <c r="IU30" s="350">
        <v>0</v>
      </c>
      <c r="IV30" s="350">
        <v>0</v>
      </c>
      <c r="IW30" s="350">
        <v>0</v>
      </c>
      <c r="IX30" s="350">
        <v>0</v>
      </c>
      <c r="IY30" s="350">
        <v>0</v>
      </c>
      <c r="IZ30" s="350">
        <v>0</v>
      </c>
      <c r="JA30" s="350">
        <v>0</v>
      </c>
      <c r="JB30" s="350">
        <v>0</v>
      </c>
      <c r="JC30" s="350">
        <v>0</v>
      </c>
      <c r="JD30" s="350">
        <v>0</v>
      </c>
      <c r="JE30" s="350">
        <v>0</v>
      </c>
      <c r="JF30" s="350">
        <v>0</v>
      </c>
      <c r="JG30" s="350">
        <v>0</v>
      </c>
      <c r="JH30" s="350">
        <v>0</v>
      </c>
      <c r="JI30" s="350">
        <v>0</v>
      </c>
      <c r="JJ30" s="350">
        <v>0</v>
      </c>
      <c r="JK30" s="350">
        <v>0</v>
      </c>
      <c r="JL30" s="350">
        <v>0</v>
      </c>
      <c r="JM30" s="350">
        <v>0</v>
      </c>
      <c r="JN30" s="350">
        <v>0</v>
      </c>
      <c r="JO30" s="350">
        <v>13431.57</v>
      </c>
      <c r="JP30" s="350">
        <v>1605448</v>
      </c>
      <c r="JQ30" s="350">
        <v>1221977</v>
      </c>
      <c r="JR30" s="351"/>
      <c r="JU30" s="348" t="s">
        <v>1866</v>
      </c>
      <c r="JV30" s="313">
        <f t="shared" si="2"/>
        <v>0</v>
      </c>
      <c r="JW30" s="313">
        <f t="shared" si="5"/>
        <v>0</v>
      </c>
      <c r="JX30" s="313">
        <f t="shared" si="5"/>
        <v>0</v>
      </c>
      <c r="JY30" s="313">
        <f t="shared" si="5"/>
        <v>0</v>
      </c>
      <c r="JZ30" s="313">
        <f t="shared" si="5"/>
        <v>0</v>
      </c>
      <c r="KA30" s="313">
        <f t="shared" si="5"/>
        <v>0</v>
      </c>
      <c r="KB30" s="313">
        <f t="shared" si="5"/>
        <v>0</v>
      </c>
      <c r="KC30" s="313">
        <f t="shared" si="5"/>
        <v>15454514</v>
      </c>
      <c r="KD30" s="313">
        <f t="shared" si="5"/>
        <v>0</v>
      </c>
      <c r="KE30" s="313">
        <f t="shared" si="5"/>
        <v>4353</v>
      </c>
      <c r="KF30" s="313">
        <f t="shared" si="5"/>
        <v>94254</v>
      </c>
      <c r="KG30" s="313">
        <f t="shared" si="5"/>
        <v>20736792.129999999</v>
      </c>
      <c r="KH30" s="313">
        <f t="shared" si="5"/>
        <v>56755689.780000001</v>
      </c>
      <c r="KI30" s="313">
        <f t="shared" si="5"/>
        <v>17619637.850000001</v>
      </c>
      <c r="KJ30" s="313">
        <f t="shared" si="5"/>
        <v>0</v>
      </c>
      <c r="KK30" s="313">
        <f t="shared" si="5"/>
        <v>1251067</v>
      </c>
      <c r="KL30" s="313">
        <f t="shared" si="5"/>
        <v>0</v>
      </c>
      <c r="KM30" s="313">
        <f t="shared" si="5"/>
        <v>0</v>
      </c>
      <c r="KN30" s="313">
        <f t="shared" si="5"/>
        <v>0</v>
      </c>
      <c r="KO30" s="313">
        <f t="shared" si="5"/>
        <v>0</v>
      </c>
      <c r="KP30" s="313">
        <f t="shared" si="5"/>
        <v>0</v>
      </c>
      <c r="KQ30" s="313">
        <f t="shared" si="5"/>
        <v>0</v>
      </c>
      <c r="KR30" s="313">
        <f t="shared" si="5"/>
        <v>0</v>
      </c>
      <c r="KS30" s="313">
        <f t="shared" si="5"/>
        <v>0</v>
      </c>
      <c r="KT30" s="313">
        <f t="shared" si="5"/>
        <v>0</v>
      </c>
      <c r="KU30" s="313">
        <f t="shared" si="5"/>
        <v>0</v>
      </c>
      <c r="KV30" s="313">
        <f t="shared" si="5"/>
        <v>0</v>
      </c>
      <c r="KW30" s="313">
        <f t="shared" si="5"/>
        <v>0</v>
      </c>
      <c r="KX30" s="313">
        <f t="shared" si="5"/>
        <v>0</v>
      </c>
      <c r="KY30" s="313">
        <f t="shared" si="5"/>
        <v>0</v>
      </c>
      <c r="KZ30" s="313">
        <f t="shared" si="5"/>
        <v>0</v>
      </c>
      <c r="LA30" s="313">
        <f t="shared" si="5"/>
        <v>0</v>
      </c>
      <c r="LB30" s="313">
        <f t="shared" si="5"/>
        <v>2840856.5700000003</v>
      </c>
      <c r="LC30" s="313">
        <f t="shared" si="5"/>
        <v>0</v>
      </c>
    </row>
    <row r="31" spans="1:315" x14ac:dyDescent="0.25">
      <c r="A31" s="313">
        <v>29</v>
      </c>
      <c r="B31" s="348" t="s">
        <v>1867</v>
      </c>
      <c r="C31" s="350">
        <v>0</v>
      </c>
      <c r="D31" s="350">
        <v>9991.86</v>
      </c>
      <c r="E31" s="350">
        <v>0</v>
      </c>
      <c r="F31" s="350">
        <v>69030.7</v>
      </c>
      <c r="G31" s="350">
        <v>32700.52</v>
      </c>
      <c r="H31" s="350">
        <v>48201.35</v>
      </c>
      <c r="I31" s="350">
        <v>1009.8</v>
      </c>
      <c r="J31" s="350">
        <v>10026.200000000001</v>
      </c>
      <c r="K31" s="350">
        <v>1013</v>
      </c>
      <c r="L31" s="350">
        <v>7018</v>
      </c>
      <c r="M31" s="350">
        <v>0</v>
      </c>
      <c r="N31" s="350">
        <v>0</v>
      </c>
      <c r="O31" s="350">
        <v>8016</v>
      </c>
      <c r="P31" s="350">
        <v>0</v>
      </c>
      <c r="Q31" s="350">
        <v>0</v>
      </c>
      <c r="R31" s="350">
        <v>0</v>
      </c>
      <c r="S31" s="350">
        <v>5297</v>
      </c>
      <c r="T31" s="350">
        <v>54512</v>
      </c>
      <c r="U31" s="350">
        <v>35145</v>
      </c>
      <c r="V31" s="350">
        <v>40410</v>
      </c>
      <c r="W31" s="350">
        <v>0</v>
      </c>
      <c r="X31" s="350">
        <v>0</v>
      </c>
      <c r="Y31" s="350">
        <v>0</v>
      </c>
      <c r="Z31" s="350">
        <v>312063</v>
      </c>
      <c r="AA31" s="350">
        <v>0</v>
      </c>
      <c r="AB31" s="350">
        <v>0</v>
      </c>
      <c r="AC31" s="350">
        <v>0</v>
      </c>
      <c r="AD31" s="350">
        <v>0</v>
      </c>
      <c r="AE31" s="350">
        <v>1500</v>
      </c>
      <c r="AF31" s="350">
        <v>598388.54</v>
      </c>
      <c r="AG31" s="350">
        <v>685449</v>
      </c>
      <c r="AH31" s="350">
        <v>452040</v>
      </c>
      <c r="AI31" s="350">
        <v>569399</v>
      </c>
      <c r="AJ31" s="350">
        <v>638820.4</v>
      </c>
      <c r="AK31" s="350">
        <v>3331358</v>
      </c>
      <c r="AL31" s="350">
        <v>2369131</v>
      </c>
      <c r="AM31" s="350">
        <v>762189</v>
      </c>
      <c r="AN31" s="350">
        <v>996259</v>
      </c>
      <c r="AO31" s="350">
        <v>785745</v>
      </c>
      <c r="AP31" s="350">
        <v>1381220</v>
      </c>
      <c r="AQ31" s="350">
        <v>780980</v>
      </c>
      <c r="AR31" s="350">
        <v>3604241</v>
      </c>
      <c r="AS31" s="350">
        <v>961823</v>
      </c>
      <c r="AT31" s="350">
        <v>2622861</v>
      </c>
      <c r="AU31" s="350">
        <v>1292491</v>
      </c>
      <c r="AV31" s="350">
        <v>537068</v>
      </c>
      <c r="AW31" s="350">
        <v>0</v>
      </c>
      <c r="AX31" s="350">
        <v>766687</v>
      </c>
      <c r="AY31" s="350">
        <v>470025</v>
      </c>
      <c r="AZ31" s="350">
        <v>1103291</v>
      </c>
      <c r="BA31" s="350">
        <v>849689</v>
      </c>
      <c r="BB31" s="350">
        <v>1546210</v>
      </c>
      <c r="BC31" s="350">
        <v>1302779</v>
      </c>
      <c r="BD31" s="350">
        <v>899103</v>
      </c>
      <c r="BE31" s="350">
        <v>160854</v>
      </c>
      <c r="BF31" s="350">
        <v>92455</v>
      </c>
      <c r="BG31" s="350">
        <v>0</v>
      </c>
      <c r="BH31" s="350">
        <v>403207</v>
      </c>
      <c r="BI31" s="350">
        <v>756631</v>
      </c>
      <c r="BJ31" s="350">
        <v>88332</v>
      </c>
      <c r="BK31" s="350">
        <v>425995</v>
      </c>
      <c r="BL31" s="350">
        <v>582814.93000000005</v>
      </c>
      <c r="BM31" s="350">
        <v>1917685.7</v>
      </c>
      <c r="BN31" s="350">
        <v>1972671.1</v>
      </c>
      <c r="BO31" s="350">
        <v>1175843</v>
      </c>
      <c r="BP31" s="350">
        <v>327863</v>
      </c>
      <c r="BQ31" s="350">
        <v>892059.03</v>
      </c>
      <c r="BR31" s="350">
        <v>362950</v>
      </c>
      <c r="BS31" s="350">
        <v>2016783.08</v>
      </c>
      <c r="BT31" s="350">
        <v>3743269</v>
      </c>
      <c r="BU31" s="350">
        <v>545273</v>
      </c>
      <c r="BV31" s="350">
        <v>3486189</v>
      </c>
      <c r="BW31" s="350">
        <v>1880891.62</v>
      </c>
      <c r="BX31" s="350">
        <v>607223</v>
      </c>
      <c r="BY31" s="350">
        <v>1691849</v>
      </c>
      <c r="BZ31" s="350">
        <v>2351823</v>
      </c>
      <c r="CA31" s="350">
        <v>3188242</v>
      </c>
      <c r="CB31" s="350">
        <v>274752</v>
      </c>
      <c r="CC31" s="350">
        <v>1802773</v>
      </c>
      <c r="CD31" s="350">
        <v>7857777.6699999999</v>
      </c>
      <c r="CE31" s="350">
        <v>121980</v>
      </c>
      <c r="CF31" s="350">
        <v>801891</v>
      </c>
      <c r="CG31" s="350">
        <v>2283701.27</v>
      </c>
      <c r="CH31" s="350">
        <v>180235</v>
      </c>
      <c r="CI31" s="350">
        <v>950325</v>
      </c>
      <c r="CJ31" s="350">
        <v>2065348</v>
      </c>
      <c r="CK31" s="350">
        <v>4407762.25</v>
      </c>
      <c r="CL31" s="350">
        <v>99510</v>
      </c>
      <c r="CM31" s="350">
        <v>893425.79</v>
      </c>
      <c r="CN31" s="350">
        <v>36180</v>
      </c>
      <c r="CO31" s="350">
        <v>97283.02</v>
      </c>
      <c r="CP31" s="350">
        <v>140787</v>
      </c>
      <c r="CQ31" s="350">
        <v>1205473</v>
      </c>
      <c r="CR31" s="350">
        <v>3171232.28</v>
      </c>
      <c r="CS31" s="350">
        <v>421299</v>
      </c>
      <c r="CT31" s="350">
        <v>1019988</v>
      </c>
      <c r="CU31" s="350">
        <v>1810749</v>
      </c>
      <c r="CV31" s="350">
        <v>2641108</v>
      </c>
      <c r="CW31" s="350">
        <v>94141</v>
      </c>
      <c r="CX31" s="350">
        <v>1102053</v>
      </c>
      <c r="CY31" s="350">
        <v>54370</v>
      </c>
      <c r="CZ31" s="350">
        <v>5639062</v>
      </c>
      <c r="DA31" s="350">
        <v>19588519</v>
      </c>
      <c r="DB31" s="350">
        <v>84944</v>
      </c>
      <c r="DC31" s="350">
        <v>831849</v>
      </c>
      <c r="DD31" s="350">
        <v>175751</v>
      </c>
      <c r="DE31" s="350">
        <v>563234</v>
      </c>
      <c r="DF31" s="350">
        <v>180730.25</v>
      </c>
      <c r="DG31" s="350">
        <v>149632</v>
      </c>
      <c r="DH31" s="350">
        <v>99637</v>
      </c>
      <c r="DI31" s="350">
        <v>239387</v>
      </c>
      <c r="DJ31" s="350">
        <v>778055</v>
      </c>
      <c r="DK31" s="350">
        <v>112633</v>
      </c>
      <c r="DL31" s="350">
        <v>1705620.73</v>
      </c>
      <c r="DM31" s="350">
        <v>787002</v>
      </c>
      <c r="DN31" s="350">
        <v>192903.34</v>
      </c>
      <c r="DO31" s="350">
        <v>393869</v>
      </c>
      <c r="DP31" s="350">
        <v>136187</v>
      </c>
      <c r="DQ31" s="350">
        <v>727268</v>
      </c>
      <c r="DR31" s="350">
        <v>996131</v>
      </c>
      <c r="DS31" s="350">
        <v>289874.34999999998</v>
      </c>
      <c r="DT31" s="350">
        <v>378252.69</v>
      </c>
      <c r="DU31" s="350">
        <v>1323402.3700000001</v>
      </c>
      <c r="DV31" s="350">
        <v>1169800</v>
      </c>
      <c r="DW31" s="350">
        <v>1887929</v>
      </c>
      <c r="DX31" s="350">
        <v>1143228</v>
      </c>
      <c r="DY31" s="350">
        <v>1367518</v>
      </c>
      <c r="DZ31" s="350">
        <v>16989679.469999999</v>
      </c>
      <c r="EA31" s="350">
        <v>4952796</v>
      </c>
      <c r="EB31" s="350">
        <v>19309722</v>
      </c>
      <c r="EC31" s="350">
        <v>20535249.91</v>
      </c>
      <c r="ED31" s="350">
        <v>1786688.22</v>
      </c>
      <c r="EE31" s="350">
        <v>15642504.07</v>
      </c>
      <c r="EF31" s="350">
        <v>18014270.649999999</v>
      </c>
      <c r="EG31" s="350">
        <v>14325887</v>
      </c>
      <c r="EH31" s="350">
        <v>15149165</v>
      </c>
      <c r="EI31" s="350">
        <v>23001747.300000001</v>
      </c>
      <c r="EJ31" s="350">
        <v>15135694</v>
      </c>
      <c r="EK31" s="350">
        <v>11275333</v>
      </c>
      <c r="EL31" s="350">
        <v>6517652</v>
      </c>
      <c r="EM31" s="350">
        <v>28880609.02</v>
      </c>
      <c r="EN31" s="350">
        <v>6301301</v>
      </c>
      <c r="EO31" s="350">
        <v>22725996.219999999</v>
      </c>
      <c r="EP31" s="350">
        <v>13971162</v>
      </c>
      <c r="EQ31" s="350">
        <v>13470002</v>
      </c>
      <c r="ER31" s="350">
        <v>13738767.84</v>
      </c>
      <c r="ES31" s="350">
        <v>11575035.109999999</v>
      </c>
      <c r="ET31" s="350">
        <v>13166103</v>
      </c>
      <c r="EU31" s="350">
        <v>22856775</v>
      </c>
      <c r="EV31" s="350">
        <v>17317352.690000001</v>
      </c>
      <c r="EW31" s="350">
        <v>23302769</v>
      </c>
      <c r="EX31" s="350">
        <v>16942600</v>
      </c>
      <c r="EY31" s="350">
        <v>10878048.82</v>
      </c>
      <c r="EZ31" s="350">
        <v>32141565.699999999</v>
      </c>
      <c r="FA31" s="350">
        <v>14703862</v>
      </c>
      <c r="FB31" s="350">
        <v>62966597</v>
      </c>
      <c r="FC31" s="350">
        <v>10881690</v>
      </c>
      <c r="FD31" s="350">
        <v>25129467</v>
      </c>
      <c r="FE31" s="350">
        <v>14022390</v>
      </c>
      <c r="FF31" s="350">
        <v>9115862.8699999992</v>
      </c>
      <c r="FG31" s="350">
        <v>10638010</v>
      </c>
      <c r="FH31" s="350">
        <v>8144621</v>
      </c>
      <c r="FI31" s="350">
        <v>11369344</v>
      </c>
      <c r="FJ31" s="350">
        <v>19151230.98</v>
      </c>
      <c r="FK31" s="350">
        <v>8971291.5199999996</v>
      </c>
      <c r="FL31" s="350">
        <v>9832710</v>
      </c>
      <c r="FM31" s="350">
        <v>16966184</v>
      </c>
      <c r="FN31" s="350">
        <v>18213761</v>
      </c>
      <c r="FO31" s="350">
        <v>2998373</v>
      </c>
      <c r="FP31" s="350">
        <v>11106712</v>
      </c>
      <c r="FQ31" s="350">
        <v>29069062.260000002</v>
      </c>
      <c r="FR31" s="350">
        <v>23069204</v>
      </c>
      <c r="FS31" s="350">
        <v>16329176</v>
      </c>
      <c r="FT31" s="350">
        <v>7735389</v>
      </c>
      <c r="FU31" s="350">
        <v>2859207</v>
      </c>
      <c r="FV31" s="350">
        <v>13772333</v>
      </c>
      <c r="FW31" s="350">
        <v>18834707</v>
      </c>
      <c r="FX31" s="350">
        <v>264007</v>
      </c>
      <c r="FY31" s="350">
        <v>12024095</v>
      </c>
      <c r="FZ31" s="350">
        <v>6252953.0999999996</v>
      </c>
      <c r="GA31" s="350">
        <v>1885572.68</v>
      </c>
      <c r="GB31" s="350">
        <v>369214.44</v>
      </c>
      <c r="GC31" s="350">
        <v>533298</v>
      </c>
      <c r="GD31" s="350">
        <v>998792</v>
      </c>
      <c r="GE31" s="350">
        <v>441363</v>
      </c>
      <c r="GF31" s="350">
        <v>1814901</v>
      </c>
      <c r="GG31" s="350">
        <v>4445361</v>
      </c>
      <c r="GH31" s="350">
        <v>599848.68999999994</v>
      </c>
      <c r="GI31" s="350">
        <v>579859</v>
      </c>
      <c r="GJ31" s="350">
        <v>3061539.02</v>
      </c>
      <c r="GK31" s="350">
        <v>501051</v>
      </c>
      <c r="GL31" s="350">
        <v>215800</v>
      </c>
      <c r="GM31" s="350">
        <v>0</v>
      </c>
      <c r="GN31" s="350">
        <v>0</v>
      </c>
      <c r="GO31" s="350">
        <v>404403</v>
      </c>
      <c r="GP31" s="350">
        <v>0</v>
      </c>
      <c r="GQ31" s="350">
        <v>0</v>
      </c>
      <c r="GR31" s="350">
        <v>1069053</v>
      </c>
      <c r="GS31" s="350">
        <v>1522040</v>
      </c>
      <c r="GT31" s="350">
        <v>1293070</v>
      </c>
      <c r="GU31" s="350">
        <v>761540.01</v>
      </c>
      <c r="GV31" s="350">
        <v>285032</v>
      </c>
      <c r="GW31" s="350">
        <v>434491</v>
      </c>
      <c r="GX31" s="350">
        <v>411023.62</v>
      </c>
      <c r="GY31" s="350">
        <v>0</v>
      </c>
      <c r="GZ31" s="350">
        <v>8454.51</v>
      </c>
      <c r="HA31" s="350">
        <v>6008</v>
      </c>
      <c r="HB31" s="350">
        <v>0</v>
      </c>
      <c r="HC31" s="350">
        <v>44888</v>
      </c>
      <c r="HD31" s="350">
        <v>7000</v>
      </c>
      <c r="HE31" s="350">
        <v>34026.15</v>
      </c>
      <c r="HF31" s="350">
        <v>22916.6</v>
      </c>
      <c r="HG31" s="350">
        <v>13105.84</v>
      </c>
      <c r="HH31" s="350">
        <v>2843.56</v>
      </c>
      <c r="HI31" s="350">
        <v>221810</v>
      </c>
      <c r="HJ31" s="350">
        <v>0</v>
      </c>
      <c r="HK31" s="350">
        <v>0</v>
      </c>
      <c r="HL31" s="350">
        <v>16211.1</v>
      </c>
      <c r="HM31" s="350">
        <v>41987.16</v>
      </c>
      <c r="HN31" s="350">
        <v>840247</v>
      </c>
      <c r="HO31" s="350">
        <v>48944</v>
      </c>
      <c r="HP31" s="350">
        <v>15680.06</v>
      </c>
      <c r="HQ31" s="350">
        <v>0</v>
      </c>
      <c r="HR31" s="350">
        <v>0</v>
      </c>
      <c r="HS31" s="350">
        <v>0</v>
      </c>
      <c r="HT31" s="350">
        <v>0</v>
      </c>
      <c r="HU31" s="350">
        <v>0</v>
      </c>
      <c r="HV31" s="350">
        <v>14012.7</v>
      </c>
      <c r="HW31" s="350">
        <v>2045.8</v>
      </c>
      <c r="HX31" s="350">
        <v>0</v>
      </c>
      <c r="HY31" s="350">
        <v>26526.78</v>
      </c>
      <c r="HZ31" s="350">
        <v>269254</v>
      </c>
      <c r="IA31" s="350">
        <v>848.65</v>
      </c>
      <c r="IB31" s="350">
        <v>2059.46</v>
      </c>
      <c r="IC31" s="350">
        <v>7121.02</v>
      </c>
      <c r="ID31" s="350">
        <v>667.1</v>
      </c>
      <c r="IE31" s="350">
        <v>6438</v>
      </c>
      <c r="IF31" s="350">
        <v>18176</v>
      </c>
      <c r="IG31" s="350">
        <v>0</v>
      </c>
      <c r="IH31" s="350">
        <v>17965</v>
      </c>
      <c r="II31" s="350">
        <v>16078.5</v>
      </c>
      <c r="IJ31" s="350">
        <v>0</v>
      </c>
      <c r="IK31" s="350">
        <v>0</v>
      </c>
      <c r="IL31" s="350">
        <v>0</v>
      </c>
      <c r="IM31" s="351"/>
      <c r="IN31" s="350">
        <v>232742.59</v>
      </c>
      <c r="IO31" s="350">
        <v>0</v>
      </c>
      <c r="IP31" s="350">
        <v>330478</v>
      </c>
      <c r="IQ31" s="350">
        <v>0</v>
      </c>
      <c r="IR31" s="350">
        <v>34445.21</v>
      </c>
      <c r="IS31" s="350">
        <v>0</v>
      </c>
      <c r="IT31" s="350">
        <v>0</v>
      </c>
      <c r="IU31" s="350">
        <v>0</v>
      </c>
      <c r="IV31" s="350">
        <v>0</v>
      </c>
      <c r="IW31" s="350">
        <v>0</v>
      </c>
      <c r="IX31" s="350">
        <v>0</v>
      </c>
      <c r="IY31" s="350">
        <v>0</v>
      </c>
      <c r="IZ31" s="350">
        <v>135384</v>
      </c>
      <c r="JA31" s="350">
        <v>23378.959999999999</v>
      </c>
      <c r="JB31" s="350">
        <v>36646.639999999999</v>
      </c>
      <c r="JC31" s="350">
        <v>16948.18</v>
      </c>
      <c r="JD31" s="350">
        <v>0</v>
      </c>
      <c r="JE31" s="350">
        <v>0</v>
      </c>
      <c r="JF31" s="350">
        <v>0</v>
      </c>
      <c r="JG31" s="350">
        <v>120040.01</v>
      </c>
      <c r="JH31" s="350">
        <v>41771.440000000002</v>
      </c>
      <c r="JI31" s="350">
        <v>0</v>
      </c>
      <c r="JJ31" s="350">
        <v>0</v>
      </c>
      <c r="JK31" s="350">
        <v>0</v>
      </c>
      <c r="JL31" s="350">
        <v>125940.65</v>
      </c>
      <c r="JM31" s="350">
        <v>559747</v>
      </c>
      <c r="JN31" s="350">
        <v>4883834.8799999999</v>
      </c>
      <c r="JO31" s="350">
        <v>1710560.83</v>
      </c>
      <c r="JP31" s="350">
        <v>2528499</v>
      </c>
      <c r="JQ31" s="350">
        <v>2714096</v>
      </c>
      <c r="JR31" s="350">
        <v>0</v>
      </c>
      <c r="JU31" s="348" t="s">
        <v>1867</v>
      </c>
      <c r="JV31" s="313">
        <f t="shared" si="2"/>
        <v>634434.42999999993</v>
      </c>
      <c r="JW31" s="313">
        <f t="shared" si="5"/>
        <v>1500</v>
      </c>
      <c r="JX31" s="313">
        <f t="shared" si="5"/>
        <v>13350978.939999999</v>
      </c>
      <c r="JY31" s="313">
        <f t="shared" si="5"/>
        <v>65373716.650000006</v>
      </c>
      <c r="JZ31" s="313">
        <f t="shared" si="5"/>
        <v>992935.79</v>
      </c>
      <c r="KA31" s="313">
        <f t="shared" si="5"/>
        <v>36180</v>
      </c>
      <c r="KB31" s="313">
        <f t="shared" si="5"/>
        <v>238070.02000000002</v>
      </c>
      <c r="KC31" s="313">
        <f t="shared" si="5"/>
        <v>37840538.280000001</v>
      </c>
      <c r="KD31" s="313">
        <f t="shared" si="5"/>
        <v>2123308.25</v>
      </c>
      <c r="KE31" s="313">
        <f t="shared" si="5"/>
        <v>11131467.48</v>
      </c>
      <c r="KF31" s="313">
        <f t="shared" si="5"/>
        <v>1367518</v>
      </c>
      <c r="KG31" s="313">
        <f t="shared" si="5"/>
        <v>164843403.62</v>
      </c>
      <c r="KH31" s="313">
        <f t="shared" si="5"/>
        <v>505168093.76999998</v>
      </c>
      <c r="KI31" s="313">
        <f t="shared" si="5"/>
        <v>138062265.25999999</v>
      </c>
      <c r="KJ31" s="313">
        <f t="shared" si="5"/>
        <v>17921162.91</v>
      </c>
      <c r="KK31" s="313">
        <f t="shared" si="5"/>
        <v>3562590.02</v>
      </c>
      <c r="KL31" s="313">
        <f t="shared" si="5"/>
        <v>620203</v>
      </c>
      <c r="KM31" s="313">
        <f t="shared" si="5"/>
        <v>0</v>
      </c>
      <c r="KN31" s="313">
        <f t="shared" si="5"/>
        <v>5365226.01</v>
      </c>
      <c r="KO31" s="313">
        <f t="shared" si="5"/>
        <v>411023.62</v>
      </c>
      <c r="KP31" s="313">
        <f t="shared" si="5"/>
        <v>8454.51</v>
      </c>
      <c r="KQ31" s="313">
        <f t="shared" si="5"/>
        <v>6008</v>
      </c>
      <c r="KR31" s="313">
        <f t="shared" si="5"/>
        <v>0</v>
      </c>
      <c r="KS31" s="313">
        <f t="shared" si="5"/>
        <v>44888</v>
      </c>
      <c r="KT31" s="313">
        <f t="shared" si="5"/>
        <v>359900.41000000003</v>
      </c>
      <c r="KU31" s="313">
        <f t="shared" si="5"/>
        <v>904871.06</v>
      </c>
      <c r="KV31" s="313">
        <f t="shared" si="5"/>
        <v>0</v>
      </c>
      <c r="KW31" s="313">
        <f t="shared" si="5"/>
        <v>328973.51000000007</v>
      </c>
      <c r="KX31" s="313">
        <f t="shared" si="5"/>
        <v>18176</v>
      </c>
      <c r="KY31" s="313">
        <f t="shared" si="5"/>
        <v>34043.5</v>
      </c>
      <c r="KZ31" s="313">
        <f t="shared" si="5"/>
        <v>0</v>
      </c>
      <c r="LA31" s="313">
        <f t="shared" si="5"/>
        <v>1657522.68</v>
      </c>
      <c r="LB31" s="313">
        <f t="shared" si="5"/>
        <v>11836990.710000001</v>
      </c>
      <c r="LC31" s="313">
        <f t="shared" si="5"/>
        <v>0</v>
      </c>
    </row>
    <row r="32" spans="1:315" x14ac:dyDescent="0.25">
      <c r="A32" s="313">
        <v>30</v>
      </c>
      <c r="B32" s="348" t="s">
        <v>1868</v>
      </c>
      <c r="C32" s="350">
        <v>4181501.89</v>
      </c>
      <c r="D32" s="350">
        <v>1329831.28</v>
      </c>
      <c r="E32" s="350">
        <v>470156</v>
      </c>
      <c r="F32" s="350">
        <v>1151329.82</v>
      </c>
      <c r="G32" s="350">
        <v>1459957.21</v>
      </c>
      <c r="H32" s="350">
        <v>1159240</v>
      </c>
      <c r="I32" s="350">
        <v>395146.94</v>
      </c>
      <c r="J32" s="350">
        <v>1302346.2</v>
      </c>
      <c r="K32" s="350">
        <v>525304.91</v>
      </c>
      <c r="L32" s="350">
        <v>1119822</v>
      </c>
      <c r="M32" s="350">
        <v>1348820</v>
      </c>
      <c r="N32" s="350">
        <v>2480024</v>
      </c>
      <c r="O32" s="350">
        <v>1257522.97</v>
      </c>
      <c r="P32" s="350">
        <v>862340</v>
      </c>
      <c r="Q32" s="350">
        <v>1346900</v>
      </c>
      <c r="R32" s="350">
        <v>957100</v>
      </c>
      <c r="S32" s="350">
        <v>521740</v>
      </c>
      <c r="T32" s="350">
        <v>2467708</v>
      </c>
      <c r="U32" s="350">
        <v>812385</v>
      </c>
      <c r="V32" s="350">
        <v>860126.52</v>
      </c>
      <c r="W32" s="350">
        <v>776300.08</v>
      </c>
      <c r="X32" s="350">
        <v>847701.27</v>
      </c>
      <c r="Y32" s="350">
        <v>400357.21</v>
      </c>
      <c r="Z32" s="350">
        <v>320533</v>
      </c>
      <c r="AA32" s="350">
        <v>2353771.0699999998</v>
      </c>
      <c r="AB32" s="350">
        <v>1670140.2</v>
      </c>
      <c r="AC32" s="350">
        <v>642795</v>
      </c>
      <c r="AD32" s="350">
        <v>1254280.73</v>
      </c>
      <c r="AE32" s="350">
        <v>3280934.38</v>
      </c>
      <c r="AF32" s="350">
        <v>3660207.57</v>
      </c>
      <c r="AG32" s="350">
        <v>3499618</v>
      </c>
      <c r="AH32" s="350">
        <v>2596710.08</v>
      </c>
      <c r="AI32" s="350">
        <v>2104955</v>
      </c>
      <c r="AJ32" s="350">
        <v>2486904.5299999998</v>
      </c>
      <c r="AK32" s="350">
        <v>7830000</v>
      </c>
      <c r="AL32" s="350">
        <v>2712793</v>
      </c>
      <c r="AM32" s="350">
        <v>1951000</v>
      </c>
      <c r="AN32" s="350">
        <v>3741424.78</v>
      </c>
      <c r="AO32" s="350">
        <v>3465013</v>
      </c>
      <c r="AP32" s="350">
        <v>4610503</v>
      </c>
      <c r="AQ32" s="350">
        <v>3921226</v>
      </c>
      <c r="AR32" s="350">
        <v>13012414.92</v>
      </c>
      <c r="AS32" s="350">
        <v>4188996</v>
      </c>
      <c r="AT32" s="350">
        <v>3205183</v>
      </c>
      <c r="AU32" s="350">
        <v>2228489</v>
      </c>
      <c r="AV32" s="350">
        <v>2501436</v>
      </c>
      <c r="AW32" s="350">
        <v>0</v>
      </c>
      <c r="AX32" s="350">
        <v>3072107</v>
      </c>
      <c r="AY32" s="350">
        <v>1320527</v>
      </c>
      <c r="AZ32" s="350">
        <v>1910577</v>
      </c>
      <c r="BA32" s="350">
        <v>2381775</v>
      </c>
      <c r="BB32" s="350">
        <v>4394053</v>
      </c>
      <c r="BC32" s="350">
        <v>5248023.16</v>
      </c>
      <c r="BD32" s="350">
        <v>1478851</v>
      </c>
      <c r="BE32" s="350">
        <v>750204.18</v>
      </c>
      <c r="BF32" s="350">
        <v>347190</v>
      </c>
      <c r="BG32" s="350">
        <v>1478404</v>
      </c>
      <c r="BH32" s="350">
        <v>2251710.2999999998</v>
      </c>
      <c r="BI32" s="350">
        <v>1027738.18</v>
      </c>
      <c r="BJ32" s="350">
        <v>633673.85</v>
      </c>
      <c r="BK32" s="350">
        <v>1870257.3</v>
      </c>
      <c r="BL32" s="350">
        <v>2770296.36</v>
      </c>
      <c r="BM32" s="350">
        <v>3535180.76</v>
      </c>
      <c r="BN32" s="350">
        <v>6984738.0199999996</v>
      </c>
      <c r="BO32" s="350">
        <v>4382105</v>
      </c>
      <c r="BP32" s="350">
        <v>1632026</v>
      </c>
      <c r="BQ32" s="350">
        <v>2601592.0299999998</v>
      </c>
      <c r="BR32" s="350">
        <v>1637265.6</v>
      </c>
      <c r="BS32" s="350">
        <v>4685764.92</v>
      </c>
      <c r="BT32" s="350">
        <v>4927849</v>
      </c>
      <c r="BU32" s="350">
        <v>2039800</v>
      </c>
      <c r="BV32" s="350">
        <v>12181159</v>
      </c>
      <c r="BW32" s="350">
        <v>5620113</v>
      </c>
      <c r="BX32" s="350">
        <v>1569675</v>
      </c>
      <c r="BY32" s="350">
        <v>2512862</v>
      </c>
      <c r="BZ32" s="350">
        <v>7710617</v>
      </c>
      <c r="CA32" s="350">
        <v>11424741</v>
      </c>
      <c r="CB32" s="350">
        <v>1059656</v>
      </c>
      <c r="CC32" s="350">
        <v>3728168</v>
      </c>
      <c r="CD32" s="350">
        <v>12408014.9</v>
      </c>
      <c r="CE32" s="350">
        <v>200000</v>
      </c>
      <c r="CF32" s="350">
        <v>1826428</v>
      </c>
      <c r="CG32" s="350">
        <v>6592113.5300000003</v>
      </c>
      <c r="CH32" s="350">
        <v>476209.08</v>
      </c>
      <c r="CI32" s="350">
        <v>974998</v>
      </c>
      <c r="CJ32" s="350">
        <v>2832706</v>
      </c>
      <c r="CK32" s="350">
        <v>8138175.3399999999</v>
      </c>
      <c r="CL32" s="350">
        <v>430552</v>
      </c>
      <c r="CM32" s="350">
        <v>3636641.78</v>
      </c>
      <c r="CN32" s="350">
        <v>711882.41</v>
      </c>
      <c r="CO32" s="350">
        <v>1300244.49</v>
      </c>
      <c r="CP32" s="350">
        <v>1789468.45</v>
      </c>
      <c r="CQ32" s="350">
        <v>1592337</v>
      </c>
      <c r="CR32" s="350">
        <v>5587114.71</v>
      </c>
      <c r="CS32" s="350">
        <v>793540</v>
      </c>
      <c r="CT32" s="350">
        <v>3157156</v>
      </c>
      <c r="CU32" s="350">
        <v>1801630</v>
      </c>
      <c r="CV32" s="350">
        <v>2854690</v>
      </c>
      <c r="CW32" s="350">
        <v>1331038.69</v>
      </c>
      <c r="CX32" s="350">
        <v>1904967</v>
      </c>
      <c r="CY32" s="350">
        <v>779315</v>
      </c>
      <c r="CZ32" s="350">
        <v>9735980</v>
      </c>
      <c r="DA32" s="350">
        <v>13738300</v>
      </c>
      <c r="DB32" s="350">
        <v>342562</v>
      </c>
      <c r="DC32" s="350">
        <v>3302531.22</v>
      </c>
      <c r="DD32" s="350">
        <v>919050.35</v>
      </c>
      <c r="DE32" s="350">
        <v>5631152</v>
      </c>
      <c r="DF32" s="350">
        <v>1810090.61</v>
      </c>
      <c r="DG32" s="350">
        <v>1019136</v>
      </c>
      <c r="DH32" s="350">
        <v>605321</v>
      </c>
      <c r="DI32" s="350">
        <v>905927.64</v>
      </c>
      <c r="DJ32" s="350">
        <v>1407679</v>
      </c>
      <c r="DK32" s="350">
        <v>1081676</v>
      </c>
      <c r="DL32" s="350">
        <v>9911370.8800000008</v>
      </c>
      <c r="DM32" s="350">
        <v>2672779.2000000002</v>
      </c>
      <c r="DN32" s="350">
        <v>1031655.95</v>
      </c>
      <c r="DO32" s="350">
        <v>656700</v>
      </c>
      <c r="DP32" s="350">
        <v>1070789.8700000001</v>
      </c>
      <c r="DQ32" s="350">
        <v>2953665</v>
      </c>
      <c r="DR32" s="350">
        <v>3946986.68</v>
      </c>
      <c r="DS32" s="350">
        <v>2162404.8199999998</v>
      </c>
      <c r="DT32" s="350">
        <v>2319520.9</v>
      </c>
      <c r="DU32" s="350">
        <v>3673950.04</v>
      </c>
      <c r="DV32" s="350">
        <v>10913750</v>
      </c>
      <c r="DW32" s="350">
        <v>10512380</v>
      </c>
      <c r="DX32" s="350">
        <v>2219572</v>
      </c>
      <c r="DY32" s="350">
        <v>2873055</v>
      </c>
      <c r="DZ32" s="350">
        <v>36210907.859999999</v>
      </c>
      <c r="EA32" s="350">
        <v>6244762</v>
      </c>
      <c r="EB32" s="350">
        <v>26567709</v>
      </c>
      <c r="EC32" s="350">
        <v>29901004.600000001</v>
      </c>
      <c r="ED32" s="350">
        <v>3140192.66</v>
      </c>
      <c r="EE32" s="350">
        <v>21096523.559999999</v>
      </c>
      <c r="EF32" s="350">
        <v>20962175.620000001</v>
      </c>
      <c r="EG32" s="350">
        <v>6664671.7800000003</v>
      </c>
      <c r="EH32" s="350">
        <v>15721094</v>
      </c>
      <c r="EI32" s="350">
        <v>27612922.120000001</v>
      </c>
      <c r="EJ32" s="350">
        <v>27368139.210000001</v>
      </c>
      <c r="EK32" s="350">
        <v>8022683</v>
      </c>
      <c r="EL32" s="350">
        <v>2396771</v>
      </c>
      <c r="EM32" s="350">
        <v>14643546.77</v>
      </c>
      <c r="EN32" s="350">
        <v>6598447</v>
      </c>
      <c r="EO32" s="350">
        <v>19179790.399999999</v>
      </c>
      <c r="EP32" s="350">
        <v>8971502</v>
      </c>
      <c r="EQ32" s="350">
        <v>9432027</v>
      </c>
      <c r="ER32" s="350">
        <v>8428547.6799999997</v>
      </c>
      <c r="ES32" s="350">
        <v>8051083.1200000001</v>
      </c>
      <c r="ET32" s="350">
        <v>6825516</v>
      </c>
      <c r="EU32" s="350">
        <v>11508678</v>
      </c>
      <c r="EV32" s="350">
        <v>11610505.59</v>
      </c>
      <c r="EW32" s="350">
        <v>25207062</v>
      </c>
      <c r="EX32" s="350">
        <v>6742793</v>
      </c>
      <c r="EY32" s="350">
        <v>9206744.6699999999</v>
      </c>
      <c r="EZ32" s="350">
        <v>23707927.82</v>
      </c>
      <c r="FA32" s="350">
        <v>8799446</v>
      </c>
      <c r="FB32" s="350">
        <v>50345335</v>
      </c>
      <c r="FC32" s="350">
        <v>8682413</v>
      </c>
      <c r="FD32" s="350">
        <v>15562864.1</v>
      </c>
      <c r="FE32" s="350">
        <v>7237876</v>
      </c>
      <c r="FF32" s="350">
        <v>3612537.44</v>
      </c>
      <c r="FG32" s="350">
        <v>13610827</v>
      </c>
      <c r="FH32" s="350">
        <v>4771570</v>
      </c>
      <c r="FI32" s="350">
        <v>6864271</v>
      </c>
      <c r="FJ32" s="350">
        <v>14704423.84</v>
      </c>
      <c r="FK32" s="350">
        <v>4354251.45</v>
      </c>
      <c r="FL32" s="350">
        <v>5886145</v>
      </c>
      <c r="FM32" s="350">
        <v>9050397</v>
      </c>
      <c r="FN32" s="350">
        <v>7429558</v>
      </c>
      <c r="FO32" s="350">
        <v>2207163</v>
      </c>
      <c r="FP32" s="350">
        <v>21064183</v>
      </c>
      <c r="FQ32" s="350">
        <v>18200355.210000001</v>
      </c>
      <c r="FR32" s="350">
        <v>16398553</v>
      </c>
      <c r="FS32" s="350">
        <v>8612393</v>
      </c>
      <c r="FT32" s="350">
        <v>21264277.469999999</v>
      </c>
      <c r="FU32" s="350">
        <v>3457870</v>
      </c>
      <c r="FV32" s="350">
        <v>11419548</v>
      </c>
      <c r="FW32" s="350">
        <v>14262592</v>
      </c>
      <c r="FX32" s="350">
        <v>1323733</v>
      </c>
      <c r="FY32" s="350">
        <v>6741935</v>
      </c>
      <c r="FZ32" s="350">
        <v>23528116.5</v>
      </c>
      <c r="GA32" s="350">
        <v>5143844.9800000004</v>
      </c>
      <c r="GB32" s="350">
        <v>1087841.68</v>
      </c>
      <c r="GC32" s="350">
        <v>1096930.74</v>
      </c>
      <c r="GD32" s="350">
        <v>2016476</v>
      </c>
      <c r="GE32" s="350">
        <v>524063</v>
      </c>
      <c r="GF32" s="350">
        <v>2931376.78</v>
      </c>
      <c r="GG32" s="350">
        <v>4326142.42</v>
      </c>
      <c r="GH32" s="350">
        <v>1922835.59</v>
      </c>
      <c r="GI32" s="350">
        <v>2798460</v>
      </c>
      <c r="GJ32" s="350">
        <v>2149853.39</v>
      </c>
      <c r="GK32" s="350">
        <v>299861.58</v>
      </c>
      <c r="GL32" s="350">
        <v>3537708.8</v>
      </c>
      <c r="GM32" s="350">
        <v>736136</v>
      </c>
      <c r="GN32" s="350">
        <v>1652192.22</v>
      </c>
      <c r="GO32" s="350">
        <v>4143421</v>
      </c>
      <c r="GP32" s="350">
        <v>1046807</v>
      </c>
      <c r="GQ32" s="350">
        <v>0</v>
      </c>
      <c r="GR32" s="350">
        <v>4378672.7699999996</v>
      </c>
      <c r="GS32" s="350">
        <v>9767640</v>
      </c>
      <c r="GT32" s="350">
        <v>4338358</v>
      </c>
      <c r="GU32" s="350">
        <v>5400096.9900000002</v>
      </c>
      <c r="GV32" s="350">
        <v>2689067.15</v>
      </c>
      <c r="GW32" s="350">
        <v>2054128</v>
      </c>
      <c r="GX32" s="350">
        <v>3227150.68</v>
      </c>
      <c r="GY32" s="350">
        <v>3444872</v>
      </c>
      <c r="GZ32" s="350">
        <v>3648089.45</v>
      </c>
      <c r="HA32" s="350">
        <v>768453.18</v>
      </c>
      <c r="HB32" s="350">
        <v>3154672</v>
      </c>
      <c r="HC32" s="350">
        <v>3653031</v>
      </c>
      <c r="HD32" s="350">
        <v>1276974</v>
      </c>
      <c r="HE32" s="350">
        <v>1251596.83</v>
      </c>
      <c r="HF32" s="350">
        <v>1385720.86</v>
      </c>
      <c r="HG32" s="350">
        <v>1424500</v>
      </c>
      <c r="HH32" s="350">
        <v>1388167.54</v>
      </c>
      <c r="HI32" s="350">
        <v>1864524.64</v>
      </c>
      <c r="HJ32" s="350">
        <v>2874085</v>
      </c>
      <c r="HK32" s="350">
        <v>542374</v>
      </c>
      <c r="HL32" s="350">
        <v>4026924.2</v>
      </c>
      <c r="HM32" s="350">
        <v>2223069.46</v>
      </c>
      <c r="HN32" s="350">
        <v>4901946</v>
      </c>
      <c r="HO32" s="350">
        <v>989343</v>
      </c>
      <c r="HP32" s="350">
        <v>646512.09</v>
      </c>
      <c r="HQ32" s="350">
        <v>712925.5</v>
      </c>
      <c r="HR32" s="350">
        <v>317710</v>
      </c>
      <c r="HS32" s="350">
        <v>2916558</v>
      </c>
      <c r="HT32" s="350">
        <v>3858834.4</v>
      </c>
      <c r="HU32" s="350">
        <v>1103937.8400000001</v>
      </c>
      <c r="HV32" s="350">
        <v>2014502.3</v>
      </c>
      <c r="HW32" s="350">
        <v>1916570.67</v>
      </c>
      <c r="HX32" s="350">
        <v>1010549.66</v>
      </c>
      <c r="HY32" s="350">
        <v>4625591.51</v>
      </c>
      <c r="HZ32" s="350">
        <v>962295</v>
      </c>
      <c r="IA32" s="350">
        <v>1319352.67</v>
      </c>
      <c r="IB32" s="350">
        <v>3116045.45</v>
      </c>
      <c r="IC32" s="350">
        <v>3760807.24</v>
      </c>
      <c r="ID32" s="350">
        <v>3878955.96</v>
      </c>
      <c r="IE32" s="350">
        <v>2294544</v>
      </c>
      <c r="IF32" s="350">
        <v>2535672</v>
      </c>
      <c r="IG32" s="350">
        <v>1142705.0900000001</v>
      </c>
      <c r="IH32" s="350">
        <v>710388.29</v>
      </c>
      <c r="II32" s="350">
        <v>3148278.68</v>
      </c>
      <c r="IJ32" s="350">
        <v>1216923.94</v>
      </c>
      <c r="IK32" s="350">
        <v>5050913.21</v>
      </c>
      <c r="IL32" s="350">
        <v>3652114</v>
      </c>
      <c r="IM32" s="351"/>
      <c r="IN32" s="350">
        <v>1822394.58</v>
      </c>
      <c r="IO32" s="350">
        <v>2527263.92</v>
      </c>
      <c r="IP32" s="350">
        <v>2115464.16</v>
      </c>
      <c r="IQ32" s="350">
        <v>1856669</v>
      </c>
      <c r="IR32" s="350">
        <v>2879252.28</v>
      </c>
      <c r="IS32" s="350">
        <v>1647874</v>
      </c>
      <c r="IT32" s="350">
        <v>1359390</v>
      </c>
      <c r="IU32" s="350">
        <v>2165617</v>
      </c>
      <c r="IV32" s="350">
        <v>668333.96</v>
      </c>
      <c r="IW32" s="350">
        <v>764329.89</v>
      </c>
      <c r="IX32" s="350">
        <v>341571</v>
      </c>
      <c r="IY32" s="350">
        <v>783360</v>
      </c>
      <c r="IZ32" s="350">
        <v>2786196</v>
      </c>
      <c r="JA32" s="350">
        <v>4933837.45</v>
      </c>
      <c r="JB32" s="350">
        <v>7556164.0700000003</v>
      </c>
      <c r="JC32" s="350">
        <v>6092397.7300000004</v>
      </c>
      <c r="JD32" s="350">
        <v>1813151.53</v>
      </c>
      <c r="JE32" s="350">
        <v>983900.23</v>
      </c>
      <c r="JF32" s="350">
        <v>1952491.07</v>
      </c>
      <c r="JG32" s="350">
        <v>1344230.13</v>
      </c>
      <c r="JH32" s="350">
        <v>5335152.05</v>
      </c>
      <c r="JI32" s="350">
        <v>4391110.8899999997</v>
      </c>
      <c r="JJ32" s="350">
        <v>1981432</v>
      </c>
      <c r="JK32" s="350">
        <v>1178269.5900000001</v>
      </c>
      <c r="JL32" s="350">
        <v>1279363.77</v>
      </c>
      <c r="JM32" s="350">
        <v>2098205</v>
      </c>
      <c r="JN32" s="350">
        <v>971884</v>
      </c>
      <c r="JO32" s="350">
        <v>387976</v>
      </c>
      <c r="JP32" s="350">
        <v>1650529</v>
      </c>
      <c r="JQ32" s="350">
        <v>1471641</v>
      </c>
      <c r="JR32" s="350">
        <v>0</v>
      </c>
      <c r="JU32" s="348" t="s">
        <v>1868</v>
      </c>
      <c r="JV32" s="313">
        <f t="shared" si="2"/>
        <v>28354194.299999997</v>
      </c>
      <c r="JW32" s="313">
        <f t="shared" si="5"/>
        <v>9201921.379999999</v>
      </c>
      <c r="JX32" s="313">
        <f t="shared" si="5"/>
        <v>42580354.960000001</v>
      </c>
      <c r="JY32" s="313">
        <f t="shared" si="5"/>
        <v>167753863.43000001</v>
      </c>
      <c r="JZ32" s="313">
        <f t="shared" si="5"/>
        <v>4067193.78</v>
      </c>
      <c r="KA32" s="313">
        <f t="shared" si="5"/>
        <v>711882.41</v>
      </c>
      <c r="KB32" s="313">
        <f t="shared" si="5"/>
        <v>3089712.94</v>
      </c>
      <c r="KC32" s="313">
        <f t="shared" si="5"/>
        <v>47840211.970000006</v>
      </c>
      <c r="KD32" s="313">
        <f t="shared" si="5"/>
        <v>12460982.25</v>
      </c>
      <c r="KE32" s="313">
        <f t="shared" si="5"/>
        <v>54045525.340000004</v>
      </c>
      <c r="KF32" s="313">
        <f t="shared" si="5"/>
        <v>2873055</v>
      </c>
      <c r="KG32" s="313">
        <f t="shared" si="5"/>
        <v>221490102.41000003</v>
      </c>
      <c r="KH32" s="313">
        <f t="shared" si="5"/>
        <v>341445539.87999994</v>
      </c>
      <c r="KI32" s="313">
        <f t="shared" si="5"/>
        <v>124952602.68000001</v>
      </c>
      <c r="KJ32" s="313">
        <f t="shared" si="5"/>
        <v>45376087.690000005</v>
      </c>
      <c r="KK32" s="313">
        <f t="shared" si="5"/>
        <v>2449714.9700000002</v>
      </c>
      <c r="KL32" s="313">
        <f t="shared" si="5"/>
        <v>10069458.02</v>
      </c>
      <c r="KM32" s="313">
        <f t="shared" si="5"/>
        <v>1046807</v>
      </c>
      <c r="KN32" s="313">
        <f t="shared" si="5"/>
        <v>28627962.909999996</v>
      </c>
      <c r="KO32" s="313">
        <f t="shared" si="5"/>
        <v>3227150.68</v>
      </c>
      <c r="KP32" s="313">
        <f t="shared" si="5"/>
        <v>7092961.4500000002</v>
      </c>
      <c r="KQ32" s="313">
        <f t="shared" si="5"/>
        <v>768453.18</v>
      </c>
      <c r="KR32" s="313">
        <f t="shared" si="5"/>
        <v>3154672</v>
      </c>
      <c r="KS32" s="313">
        <f t="shared" si="5"/>
        <v>3653031</v>
      </c>
      <c r="KT32" s="313">
        <f t="shared" si="5"/>
        <v>18257936.530000001</v>
      </c>
      <c r="KU32" s="313">
        <f t="shared" si="5"/>
        <v>6537801.0899999999</v>
      </c>
      <c r="KV32" s="313">
        <f t="shared" si="5"/>
        <v>712925.5</v>
      </c>
      <c r="KW32" s="313">
        <f t="shared" si="5"/>
        <v>33096254.700000003</v>
      </c>
      <c r="KX32" s="313">
        <f t="shared" si="5"/>
        <v>3678377.09</v>
      </c>
      <c r="KY32" s="313">
        <f t="shared" si="5"/>
        <v>5075590.91</v>
      </c>
      <c r="KZ32" s="313">
        <f t="shared" si="5"/>
        <v>8703027.2100000009</v>
      </c>
      <c r="LA32" s="313">
        <f t="shared" si="5"/>
        <v>62657421.300000012</v>
      </c>
      <c r="LB32" s="313">
        <f t="shared" si="5"/>
        <v>4482030</v>
      </c>
      <c r="LC32" s="313">
        <f t="shared" si="5"/>
        <v>0</v>
      </c>
    </row>
    <row r="33" spans="1:315" x14ac:dyDescent="0.25">
      <c r="A33" s="313">
        <v>31</v>
      </c>
      <c r="B33" s="348" t="s">
        <v>1869</v>
      </c>
      <c r="C33" s="350">
        <v>5.73</v>
      </c>
      <c r="D33" s="350">
        <v>2.1</v>
      </c>
      <c r="E33" s="350">
        <v>0.7</v>
      </c>
      <c r="F33" s="350">
        <v>2.1</v>
      </c>
      <c r="G33" s="350">
        <v>2.1</v>
      </c>
      <c r="H33" s="350">
        <v>1.44</v>
      </c>
      <c r="I33" s="350">
        <v>0.4</v>
      </c>
      <c r="J33" s="350">
        <v>1.5</v>
      </c>
      <c r="K33" s="350">
        <v>0.6</v>
      </c>
      <c r="L33" s="350">
        <v>1.5</v>
      </c>
      <c r="M33" s="350">
        <v>1.64</v>
      </c>
      <c r="N33" s="350">
        <v>3</v>
      </c>
      <c r="O33" s="350">
        <v>1.83</v>
      </c>
      <c r="P33" s="350">
        <v>1.6</v>
      </c>
      <c r="Q33" s="350">
        <v>1.8</v>
      </c>
      <c r="R33" s="350">
        <v>1.75</v>
      </c>
      <c r="S33" s="350">
        <v>0.45</v>
      </c>
      <c r="T33" s="350">
        <v>3.35</v>
      </c>
      <c r="U33" s="350">
        <v>1.04</v>
      </c>
      <c r="V33" s="350">
        <v>1.04</v>
      </c>
      <c r="W33" s="350">
        <v>1.1499999999999999</v>
      </c>
      <c r="X33" s="350">
        <v>1.25</v>
      </c>
      <c r="Y33" s="350">
        <v>0.6</v>
      </c>
      <c r="Z33" s="350">
        <v>0.4</v>
      </c>
      <c r="AA33" s="350">
        <v>3.29</v>
      </c>
      <c r="AB33" s="350">
        <v>2.5299999999999998</v>
      </c>
      <c r="AC33" s="350">
        <v>1</v>
      </c>
      <c r="AD33" s="350">
        <v>1.81</v>
      </c>
      <c r="AE33" s="350">
        <v>4.1500000000000004</v>
      </c>
      <c r="AF33" s="350">
        <v>7.94</v>
      </c>
      <c r="AG33" s="350">
        <v>7</v>
      </c>
      <c r="AH33" s="350">
        <v>6.52</v>
      </c>
      <c r="AI33" s="350">
        <v>5.3</v>
      </c>
      <c r="AJ33" s="350">
        <v>6.39</v>
      </c>
      <c r="AK33" s="350">
        <v>21.65</v>
      </c>
      <c r="AL33" s="350">
        <v>11.2</v>
      </c>
      <c r="AM33" s="350">
        <v>6.5</v>
      </c>
      <c r="AN33" s="350">
        <v>8.8000000000000007</v>
      </c>
      <c r="AO33" s="350">
        <v>6.55</v>
      </c>
      <c r="AP33" s="350">
        <v>10.62</v>
      </c>
      <c r="AQ33" s="350">
        <v>8.84</v>
      </c>
      <c r="AR33" s="350">
        <v>32.28</v>
      </c>
      <c r="AS33" s="350">
        <v>9</v>
      </c>
      <c r="AT33" s="350">
        <v>7.42</v>
      </c>
      <c r="AU33" s="350">
        <v>6.48</v>
      </c>
      <c r="AV33" s="350">
        <v>4.3600000000000003</v>
      </c>
      <c r="AW33" s="350">
        <v>0</v>
      </c>
      <c r="AX33" s="350">
        <v>7</v>
      </c>
      <c r="AY33" s="350">
        <v>2.35</v>
      </c>
      <c r="AZ33" s="350">
        <v>5.2</v>
      </c>
      <c r="BA33" s="350">
        <v>8</v>
      </c>
      <c r="BB33" s="350">
        <v>11.5</v>
      </c>
      <c r="BC33" s="350">
        <v>11.6</v>
      </c>
      <c r="BD33" s="350">
        <v>3.9</v>
      </c>
      <c r="BE33" s="350">
        <v>2.25</v>
      </c>
      <c r="BF33" s="350">
        <v>1.2</v>
      </c>
      <c r="BG33" s="350">
        <v>3.5</v>
      </c>
      <c r="BH33" s="350">
        <v>3.21</v>
      </c>
      <c r="BI33" s="350">
        <v>2.5</v>
      </c>
      <c r="BJ33" s="350">
        <v>1.7</v>
      </c>
      <c r="BK33" s="350">
        <v>5.7</v>
      </c>
      <c r="BL33" s="350">
        <v>5.4</v>
      </c>
      <c r="BM33" s="350">
        <v>9</v>
      </c>
      <c r="BN33" s="350">
        <v>15.54</v>
      </c>
      <c r="BO33" s="350">
        <v>9.6300000000000008</v>
      </c>
      <c r="BP33" s="350">
        <v>2.75</v>
      </c>
      <c r="BQ33" s="350">
        <v>7.25</v>
      </c>
      <c r="BR33" s="350">
        <v>4.09</v>
      </c>
      <c r="BS33" s="350">
        <v>8.99</v>
      </c>
      <c r="BT33" s="350">
        <v>12.55</v>
      </c>
      <c r="BU33" s="350">
        <v>3.5</v>
      </c>
      <c r="BV33" s="350">
        <v>30.9</v>
      </c>
      <c r="BW33" s="350">
        <v>13.23</v>
      </c>
      <c r="BX33" s="350">
        <v>4</v>
      </c>
      <c r="BY33" s="350">
        <v>6.2</v>
      </c>
      <c r="BZ33" s="350">
        <v>13.86</v>
      </c>
      <c r="CA33" s="350">
        <v>21.75</v>
      </c>
      <c r="CB33" s="350">
        <v>2.6</v>
      </c>
      <c r="CC33" s="350">
        <v>9.42</v>
      </c>
      <c r="CD33" s="350">
        <v>30.25</v>
      </c>
      <c r="CE33" s="350">
        <v>0.65</v>
      </c>
      <c r="CF33" s="350">
        <v>5.4</v>
      </c>
      <c r="CG33" s="350">
        <v>16.2</v>
      </c>
      <c r="CH33" s="350">
        <v>0.95</v>
      </c>
      <c r="CI33" s="350">
        <v>2.25</v>
      </c>
      <c r="CJ33" s="350">
        <v>6.94</v>
      </c>
      <c r="CK33" s="350">
        <v>24.94</v>
      </c>
      <c r="CL33" s="350">
        <v>0.39</v>
      </c>
      <c r="CM33" s="350">
        <v>15.5</v>
      </c>
      <c r="CN33" s="350">
        <v>1.21</v>
      </c>
      <c r="CO33" s="350">
        <v>2.4</v>
      </c>
      <c r="CP33" s="350">
        <v>3.4</v>
      </c>
      <c r="CQ33" s="350">
        <v>4.5</v>
      </c>
      <c r="CR33" s="350">
        <v>11.83</v>
      </c>
      <c r="CS33" s="350">
        <v>1.1200000000000001</v>
      </c>
      <c r="CT33" s="350">
        <v>7.3</v>
      </c>
      <c r="CU33" s="350">
        <v>6.58</v>
      </c>
      <c r="CV33" s="350">
        <v>6.05</v>
      </c>
      <c r="CW33" s="350">
        <v>1.9</v>
      </c>
      <c r="CX33" s="350">
        <v>3.16</v>
      </c>
      <c r="CY33" s="350">
        <v>2.25</v>
      </c>
      <c r="CZ33" s="350">
        <v>16.41</v>
      </c>
      <c r="DA33" s="350">
        <v>34.159999999999997</v>
      </c>
      <c r="DB33" s="350">
        <v>0.93</v>
      </c>
      <c r="DC33" s="350">
        <v>8.48</v>
      </c>
      <c r="DD33" s="350">
        <v>1.93</v>
      </c>
      <c r="DE33" s="350">
        <v>7.9</v>
      </c>
      <c r="DF33" s="350">
        <v>2.63</v>
      </c>
      <c r="DG33" s="350">
        <v>2.08</v>
      </c>
      <c r="DH33" s="350">
        <v>1.3</v>
      </c>
      <c r="DI33" s="350">
        <v>2.7</v>
      </c>
      <c r="DJ33" s="350">
        <v>2.38</v>
      </c>
      <c r="DK33" s="350">
        <v>2.25</v>
      </c>
      <c r="DL33" s="350">
        <v>16.77</v>
      </c>
      <c r="DM33" s="350">
        <v>4.92</v>
      </c>
      <c r="DN33" s="350">
        <v>1.85</v>
      </c>
      <c r="DO33" s="350">
        <v>2.0699999999999998</v>
      </c>
      <c r="DP33" s="350">
        <v>1.4</v>
      </c>
      <c r="DQ33" s="350">
        <v>4.8899999999999997</v>
      </c>
      <c r="DR33" s="350">
        <v>6.85</v>
      </c>
      <c r="DS33" s="350">
        <v>2.61</v>
      </c>
      <c r="DT33" s="350">
        <v>4.5999999999999996</v>
      </c>
      <c r="DU33" s="350">
        <v>5.54</v>
      </c>
      <c r="DV33" s="350">
        <v>12</v>
      </c>
      <c r="DW33" s="350">
        <v>17.03</v>
      </c>
      <c r="DX33" s="350">
        <v>3.47</v>
      </c>
      <c r="DY33" s="350">
        <v>5</v>
      </c>
      <c r="DZ33" s="350">
        <v>66.25</v>
      </c>
      <c r="EA33" s="350">
        <v>14.85</v>
      </c>
      <c r="EB33" s="350">
        <v>55.3</v>
      </c>
      <c r="EC33" s="350">
        <v>61.64</v>
      </c>
      <c r="ED33" s="350">
        <v>5.51</v>
      </c>
      <c r="EE33" s="350">
        <v>35</v>
      </c>
      <c r="EF33" s="350">
        <v>39.130000000000003</v>
      </c>
      <c r="EG33" s="350">
        <v>22.2</v>
      </c>
      <c r="EH33" s="350">
        <v>36.61</v>
      </c>
      <c r="EI33" s="350">
        <v>66.069999999999993</v>
      </c>
      <c r="EJ33" s="350">
        <v>49</v>
      </c>
      <c r="EK33" s="350">
        <v>23</v>
      </c>
      <c r="EL33" s="350">
        <v>11.67</v>
      </c>
      <c r="EM33" s="350">
        <v>44</v>
      </c>
      <c r="EN33" s="350">
        <v>13.66</v>
      </c>
      <c r="EO33" s="350">
        <v>37.35</v>
      </c>
      <c r="EP33" s="350">
        <v>19.100000000000001</v>
      </c>
      <c r="EQ33" s="350">
        <v>25.96</v>
      </c>
      <c r="ER33" s="350">
        <v>21.46</v>
      </c>
      <c r="ES33" s="350">
        <v>17.05</v>
      </c>
      <c r="ET33" s="350">
        <v>19.77</v>
      </c>
      <c r="EU33" s="350">
        <v>33.549999999999997</v>
      </c>
      <c r="EV33" s="350">
        <v>26.31</v>
      </c>
      <c r="EW33" s="350">
        <v>41</v>
      </c>
      <c r="EX33" s="350">
        <v>25</v>
      </c>
      <c r="EY33" s="350">
        <v>18</v>
      </c>
      <c r="EZ33" s="350">
        <v>62.02</v>
      </c>
      <c r="FA33" s="350">
        <v>20.84</v>
      </c>
      <c r="FB33" s="350">
        <v>111.03</v>
      </c>
      <c r="FC33" s="350">
        <v>18.3</v>
      </c>
      <c r="FD33" s="350">
        <v>42</v>
      </c>
      <c r="FE33" s="350">
        <v>20.5</v>
      </c>
      <c r="FF33" s="350">
        <v>17.100000000000001</v>
      </c>
      <c r="FG33" s="350">
        <v>27.13</v>
      </c>
      <c r="FH33" s="350">
        <v>15</v>
      </c>
      <c r="FI33" s="350">
        <v>20.5</v>
      </c>
      <c r="FJ33" s="350">
        <v>34</v>
      </c>
      <c r="FK33" s="350">
        <v>17.260000000000002</v>
      </c>
      <c r="FL33" s="350">
        <v>16</v>
      </c>
      <c r="FM33" s="350">
        <v>27.29</v>
      </c>
      <c r="FN33" s="350">
        <v>21.75</v>
      </c>
      <c r="FO33" s="350">
        <v>7.36</v>
      </c>
      <c r="FP33" s="350">
        <v>33</v>
      </c>
      <c r="FQ33" s="350">
        <v>51.59</v>
      </c>
      <c r="FR33" s="350">
        <v>40.9</v>
      </c>
      <c r="FS33" s="350">
        <v>25.49</v>
      </c>
      <c r="FT33" s="350">
        <v>32.270000000000003</v>
      </c>
      <c r="FU33" s="350">
        <v>8.14</v>
      </c>
      <c r="FV33" s="350">
        <v>28.16</v>
      </c>
      <c r="FW33" s="350">
        <v>31</v>
      </c>
      <c r="FX33" s="350">
        <v>2.4500000000000002</v>
      </c>
      <c r="FY33" s="350">
        <v>23</v>
      </c>
      <c r="FZ33" s="350">
        <v>40.6</v>
      </c>
      <c r="GA33" s="350">
        <v>10.71</v>
      </c>
      <c r="GB33" s="350">
        <v>1.5</v>
      </c>
      <c r="GC33" s="350">
        <v>1.7</v>
      </c>
      <c r="GD33" s="350">
        <v>3.4</v>
      </c>
      <c r="GE33" s="350">
        <v>0.71</v>
      </c>
      <c r="GF33" s="350">
        <v>6.08</v>
      </c>
      <c r="GG33" s="350">
        <v>12.5</v>
      </c>
      <c r="GH33" s="350">
        <v>3.8</v>
      </c>
      <c r="GI33" s="350">
        <v>5.27</v>
      </c>
      <c r="GJ33" s="350">
        <v>6.13</v>
      </c>
      <c r="GK33" s="350">
        <v>4.2699999999999996</v>
      </c>
      <c r="GL33" s="350">
        <v>4.3499999999999996</v>
      </c>
      <c r="GM33" s="350">
        <v>0.75</v>
      </c>
      <c r="GN33" s="350">
        <v>2.0699999999999998</v>
      </c>
      <c r="GO33" s="350">
        <v>5.32</v>
      </c>
      <c r="GP33" s="350">
        <v>1.5</v>
      </c>
      <c r="GQ33" s="350">
        <v>623492</v>
      </c>
      <c r="GR33" s="350">
        <v>6.25</v>
      </c>
      <c r="GS33" s="350">
        <v>15.92</v>
      </c>
      <c r="GT33" s="350">
        <v>6.8</v>
      </c>
      <c r="GU33" s="350">
        <v>5.58</v>
      </c>
      <c r="GV33" s="350">
        <v>5.85</v>
      </c>
      <c r="GW33" s="350">
        <v>2.69</v>
      </c>
      <c r="GX33" s="350">
        <v>5.98</v>
      </c>
      <c r="GY33" s="350">
        <v>4.28</v>
      </c>
      <c r="GZ33" s="350">
        <v>3.3</v>
      </c>
      <c r="HA33" s="350">
        <v>1.1499999999999999</v>
      </c>
      <c r="HB33" s="350">
        <v>3.99</v>
      </c>
      <c r="HC33" s="350">
        <v>6.19</v>
      </c>
      <c r="HD33" s="350">
        <v>2.38</v>
      </c>
      <c r="HE33" s="350">
        <v>1.84</v>
      </c>
      <c r="HF33" s="350">
        <v>2.36</v>
      </c>
      <c r="HG33" s="350">
        <v>2.1800000000000002</v>
      </c>
      <c r="HH33" s="350">
        <v>2.29</v>
      </c>
      <c r="HI33" s="350">
        <v>2.5</v>
      </c>
      <c r="HJ33" s="350">
        <v>5</v>
      </c>
      <c r="HK33" s="350">
        <v>1.3</v>
      </c>
      <c r="HL33" s="350">
        <v>6.15</v>
      </c>
      <c r="HM33" s="350">
        <v>3.3</v>
      </c>
      <c r="HN33" s="350">
        <v>6.8</v>
      </c>
      <c r="HO33" s="350">
        <v>1.18</v>
      </c>
      <c r="HP33" s="350">
        <v>5.0999999999999996</v>
      </c>
      <c r="HQ33" s="350">
        <v>1.25</v>
      </c>
      <c r="HR33" s="350">
        <v>0.6</v>
      </c>
      <c r="HS33" s="350">
        <v>4.5</v>
      </c>
      <c r="HT33" s="350">
        <v>6.2</v>
      </c>
      <c r="HU33" s="350">
        <v>1.84</v>
      </c>
      <c r="HV33" s="350">
        <v>3</v>
      </c>
      <c r="HW33" s="350">
        <v>2.77</v>
      </c>
      <c r="HX33" s="350">
        <v>2</v>
      </c>
      <c r="HY33" s="350">
        <v>7.18</v>
      </c>
      <c r="HZ33" s="350">
        <v>2.5</v>
      </c>
      <c r="IA33" s="350">
        <v>2.13</v>
      </c>
      <c r="IB33" s="350">
        <v>4.7300000000000004</v>
      </c>
      <c r="IC33" s="350">
        <v>5.87</v>
      </c>
      <c r="ID33" s="350">
        <v>5.15</v>
      </c>
      <c r="IE33" s="350">
        <v>3.5</v>
      </c>
      <c r="IF33" s="350">
        <v>3.91</v>
      </c>
      <c r="IG33" s="350">
        <v>1.71</v>
      </c>
      <c r="IH33" s="350">
        <v>1.1000000000000001</v>
      </c>
      <c r="II33" s="350">
        <v>5.19</v>
      </c>
      <c r="IJ33" s="350">
        <v>1.63</v>
      </c>
      <c r="IK33" s="350">
        <v>10</v>
      </c>
      <c r="IL33" s="350">
        <v>5.75</v>
      </c>
      <c r="IM33" s="351"/>
      <c r="IN33" s="350">
        <v>2.62</v>
      </c>
      <c r="IO33" s="350">
        <v>4.0199999999999996</v>
      </c>
      <c r="IP33" s="350">
        <v>3.6</v>
      </c>
      <c r="IQ33" s="350">
        <v>3.65</v>
      </c>
      <c r="IR33" s="350">
        <v>4.3</v>
      </c>
      <c r="IS33" s="350">
        <v>2.5</v>
      </c>
      <c r="IT33" s="350">
        <v>1.39</v>
      </c>
      <c r="IU33" s="350">
        <v>3.2</v>
      </c>
      <c r="IV33" s="350">
        <v>1.25</v>
      </c>
      <c r="IW33" s="350">
        <v>1.65</v>
      </c>
      <c r="IX33" s="350">
        <v>4</v>
      </c>
      <c r="IY33" s="350">
        <v>1.1499999999999999</v>
      </c>
      <c r="IZ33" s="350">
        <v>3.93</v>
      </c>
      <c r="JA33" s="350">
        <v>7.51</v>
      </c>
      <c r="JB33" s="350">
        <v>11.41</v>
      </c>
      <c r="JC33" s="350">
        <v>8.8800000000000008</v>
      </c>
      <c r="JD33" s="350">
        <v>3.25</v>
      </c>
      <c r="JE33" s="350">
        <v>1.35</v>
      </c>
      <c r="JF33" s="350">
        <v>3.5</v>
      </c>
      <c r="JG33" s="350">
        <v>2.02</v>
      </c>
      <c r="JH33" s="350">
        <v>8.1</v>
      </c>
      <c r="JI33" s="350">
        <v>6.6</v>
      </c>
      <c r="JJ33" s="350">
        <v>3</v>
      </c>
      <c r="JK33" s="350">
        <v>1.6</v>
      </c>
      <c r="JL33" s="350">
        <v>2.0099999999999998</v>
      </c>
      <c r="JM33" s="350">
        <v>3.2</v>
      </c>
      <c r="JN33" s="350">
        <v>6.4</v>
      </c>
      <c r="JO33" s="350">
        <v>3.2</v>
      </c>
      <c r="JP33" s="350">
        <v>4.49</v>
      </c>
      <c r="JQ33" s="350">
        <v>5</v>
      </c>
      <c r="JR33" s="350">
        <v>0</v>
      </c>
      <c r="JU33" s="348" t="s">
        <v>1869</v>
      </c>
      <c r="JV33" s="313">
        <f t="shared" si="2"/>
        <v>39.07</v>
      </c>
      <c r="JW33" s="313">
        <f t="shared" si="5"/>
        <v>12.780000000000001</v>
      </c>
      <c r="JX33" s="313">
        <f t="shared" si="5"/>
        <v>107.31</v>
      </c>
      <c r="JY33" s="313">
        <f t="shared" si="5"/>
        <v>397.39</v>
      </c>
      <c r="JZ33" s="313">
        <f t="shared" si="5"/>
        <v>15.89</v>
      </c>
      <c r="KA33" s="313">
        <f t="shared" si="5"/>
        <v>1.21</v>
      </c>
      <c r="KB33" s="313">
        <f t="shared" si="5"/>
        <v>5.8</v>
      </c>
      <c r="KC33" s="313">
        <f t="shared" si="5"/>
        <v>106.60000000000001</v>
      </c>
      <c r="KD33" s="313">
        <f t="shared" si="5"/>
        <v>21.240000000000002</v>
      </c>
      <c r="KE33" s="313">
        <f t="shared" si="5"/>
        <v>84</v>
      </c>
      <c r="KF33" s="313">
        <f t="shared" si="5"/>
        <v>5</v>
      </c>
      <c r="KG33" s="313">
        <f t="shared" si="5"/>
        <v>451.55999999999995</v>
      </c>
      <c r="KH33" s="313">
        <f t="shared" si="5"/>
        <v>847.59999999999991</v>
      </c>
      <c r="KI33" s="313">
        <f t="shared" si="5"/>
        <v>283.35999999999996</v>
      </c>
      <c r="KJ33" s="313">
        <f t="shared" si="5"/>
        <v>86.27</v>
      </c>
      <c r="KK33" s="313">
        <f t="shared" si="5"/>
        <v>10.399999999999999</v>
      </c>
      <c r="KL33" s="313">
        <f t="shared" si="5"/>
        <v>12.49</v>
      </c>
      <c r="KM33" s="313">
        <f t="shared" si="5"/>
        <v>623493.5</v>
      </c>
      <c r="KN33" s="313">
        <f t="shared" si="5"/>
        <v>43.09</v>
      </c>
      <c r="KO33" s="313">
        <f t="shared" si="5"/>
        <v>5.98</v>
      </c>
      <c r="KP33" s="313">
        <f t="shared" si="5"/>
        <v>7.58</v>
      </c>
      <c r="KQ33" s="313">
        <f t="shared" si="5"/>
        <v>1.1499999999999999</v>
      </c>
      <c r="KR33" s="313">
        <f t="shared" si="5"/>
        <v>3.99</v>
      </c>
      <c r="KS33" s="313">
        <f t="shared" si="5"/>
        <v>6.19</v>
      </c>
      <c r="KT33" s="313">
        <f t="shared" si="5"/>
        <v>29.3</v>
      </c>
      <c r="KU33" s="313">
        <f t="shared" si="5"/>
        <v>13.079999999999998</v>
      </c>
      <c r="KV33" s="313">
        <f t="shared" si="5"/>
        <v>1.25</v>
      </c>
      <c r="KW33" s="313">
        <f t="shared" si="5"/>
        <v>51.97</v>
      </c>
      <c r="KX33" s="313">
        <f t="shared" si="5"/>
        <v>5.62</v>
      </c>
      <c r="KY33" s="313">
        <f t="shared" si="5"/>
        <v>7.9200000000000008</v>
      </c>
      <c r="KZ33" s="313">
        <f t="shared" si="5"/>
        <v>15.75</v>
      </c>
      <c r="LA33" s="313">
        <f t="shared" si="5"/>
        <v>99.689999999999969</v>
      </c>
      <c r="LB33" s="313">
        <f t="shared" si="5"/>
        <v>19.090000000000003</v>
      </c>
      <c r="LC33" s="313">
        <f t="shared" si="5"/>
        <v>0</v>
      </c>
    </row>
    <row r="34" spans="1:315" x14ac:dyDescent="0.25">
      <c r="A34" s="313">
        <v>32</v>
      </c>
      <c r="B34" s="348" t="s">
        <v>1870</v>
      </c>
      <c r="C34" s="350">
        <v>5.26</v>
      </c>
      <c r="D34" s="350">
        <v>0.5</v>
      </c>
      <c r="E34" s="350">
        <v>0.7</v>
      </c>
      <c r="F34" s="350">
        <v>2.1</v>
      </c>
      <c r="G34" s="350">
        <v>2</v>
      </c>
      <c r="H34" s="350">
        <v>0.14000000000000001</v>
      </c>
      <c r="I34" s="350">
        <v>0.4</v>
      </c>
      <c r="J34" s="350">
        <v>1.5</v>
      </c>
      <c r="K34" s="350">
        <v>0.6</v>
      </c>
      <c r="L34" s="350">
        <v>1.5</v>
      </c>
      <c r="M34" s="350">
        <v>1.05</v>
      </c>
      <c r="N34" s="350">
        <v>2.09</v>
      </c>
      <c r="O34" s="350">
        <v>1.3</v>
      </c>
      <c r="P34" s="350">
        <v>1.6</v>
      </c>
      <c r="Q34" s="350">
        <v>1.8</v>
      </c>
      <c r="R34" s="350">
        <v>1.75</v>
      </c>
      <c r="S34" s="350">
        <v>0.45</v>
      </c>
      <c r="T34" s="350">
        <v>2.2599999999999998</v>
      </c>
      <c r="U34" s="350">
        <v>0.92</v>
      </c>
      <c r="V34" s="350">
        <v>1</v>
      </c>
      <c r="W34" s="350">
        <v>1.1499999999999999</v>
      </c>
      <c r="X34" s="350">
        <v>0.75</v>
      </c>
      <c r="Y34" s="350">
        <v>0.6</v>
      </c>
      <c r="Z34" s="350">
        <v>0.4</v>
      </c>
      <c r="AA34" s="350">
        <v>0.6</v>
      </c>
      <c r="AB34" s="350">
        <v>1.63</v>
      </c>
      <c r="AC34" s="350">
        <v>0</v>
      </c>
      <c r="AD34" s="350">
        <v>0.91</v>
      </c>
      <c r="AE34" s="350">
        <v>1</v>
      </c>
      <c r="AF34" s="350">
        <v>0.94</v>
      </c>
      <c r="AG34" s="350">
        <v>1</v>
      </c>
      <c r="AH34" s="350">
        <v>1</v>
      </c>
      <c r="AI34" s="350">
        <v>0.9</v>
      </c>
      <c r="AJ34" s="350">
        <v>0.75</v>
      </c>
      <c r="AK34" s="350">
        <v>1.8</v>
      </c>
      <c r="AL34" s="350">
        <v>0.2</v>
      </c>
      <c r="AM34" s="350">
        <v>0.7</v>
      </c>
      <c r="AN34" s="350">
        <v>0.8</v>
      </c>
      <c r="AO34" s="350">
        <v>0.7</v>
      </c>
      <c r="AP34" s="350">
        <v>1.1499999999999999</v>
      </c>
      <c r="AQ34" s="350">
        <v>0.71</v>
      </c>
      <c r="AR34" s="350">
        <v>1.97</v>
      </c>
      <c r="AS34" s="350">
        <v>1</v>
      </c>
      <c r="AT34" s="350">
        <v>1.06</v>
      </c>
      <c r="AU34" s="350">
        <v>0.38</v>
      </c>
      <c r="AV34" s="350">
        <v>0.71</v>
      </c>
      <c r="AW34" s="351"/>
      <c r="AX34" s="350">
        <v>1</v>
      </c>
      <c r="AY34" s="350">
        <v>0.35</v>
      </c>
      <c r="AZ34" s="350">
        <v>1</v>
      </c>
      <c r="BA34" s="350">
        <v>1</v>
      </c>
      <c r="BB34" s="350">
        <v>1.5</v>
      </c>
      <c r="BC34" s="350">
        <v>1.7</v>
      </c>
      <c r="BD34" s="350">
        <v>0.9</v>
      </c>
      <c r="BE34" s="350">
        <v>0.25</v>
      </c>
      <c r="BF34" s="350">
        <v>0.1</v>
      </c>
      <c r="BG34" s="350">
        <v>0.5</v>
      </c>
      <c r="BH34" s="350">
        <v>0.9</v>
      </c>
      <c r="BI34" s="350">
        <v>1</v>
      </c>
      <c r="BJ34" s="350">
        <v>0.2</v>
      </c>
      <c r="BK34" s="350">
        <v>0.7</v>
      </c>
      <c r="BL34" s="350">
        <v>0.4</v>
      </c>
      <c r="BM34" s="350">
        <v>1</v>
      </c>
      <c r="BN34" s="350">
        <v>0.75</v>
      </c>
      <c r="BO34" s="350">
        <v>1.1299999999999999</v>
      </c>
      <c r="BP34" s="350">
        <v>0</v>
      </c>
      <c r="BQ34" s="350">
        <v>1</v>
      </c>
      <c r="BR34" s="350">
        <v>0.59</v>
      </c>
      <c r="BS34" s="350">
        <v>1.19</v>
      </c>
      <c r="BT34" s="350">
        <v>0.9</v>
      </c>
      <c r="BU34" s="350">
        <v>1</v>
      </c>
      <c r="BV34" s="350">
        <v>3.32</v>
      </c>
      <c r="BW34" s="350">
        <v>1.5</v>
      </c>
      <c r="BX34" s="350">
        <v>1</v>
      </c>
      <c r="BY34" s="350">
        <v>0.2</v>
      </c>
      <c r="BZ34" s="350">
        <v>1.17</v>
      </c>
      <c r="CA34" s="350">
        <v>1</v>
      </c>
      <c r="CB34" s="350">
        <v>0.1</v>
      </c>
      <c r="CC34" s="350">
        <v>0.89</v>
      </c>
      <c r="CD34" s="350">
        <v>1.5</v>
      </c>
      <c r="CE34" s="350">
        <v>0.04</v>
      </c>
      <c r="CF34" s="350">
        <v>0.4</v>
      </c>
      <c r="CG34" s="350">
        <v>1.2</v>
      </c>
      <c r="CH34" s="350">
        <v>0.1</v>
      </c>
      <c r="CI34" s="350">
        <v>0.25</v>
      </c>
      <c r="CJ34" s="350">
        <v>0.54</v>
      </c>
      <c r="CK34" s="350">
        <v>1.24</v>
      </c>
      <c r="CL34" s="350">
        <v>0.1</v>
      </c>
      <c r="CM34" s="350">
        <v>0.75</v>
      </c>
      <c r="CN34" s="350">
        <v>0.5</v>
      </c>
      <c r="CO34" s="350">
        <v>1.4</v>
      </c>
      <c r="CP34" s="350">
        <v>2.2000000000000002</v>
      </c>
      <c r="CQ34" s="350">
        <v>0.75</v>
      </c>
      <c r="CR34" s="350">
        <v>1.1499999999999999</v>
      </c>
      <c r="CS34" s="350">
        <v>0.04</v>
      </c>
      <c r="CT34" s="350">
        <v>0.7</v>
      </c>
      <c r="CU34" s="350">
        <v>0.38</v>
      </c>
      <c r="CV34" s="350">
        <v>0.4</v>
      </c>
      <c r="CW34" s="350">
        <v>0.1</v>
      </c>
      <c r="CX34" s="350">
        <v>0.33</v>
      </c>
      <c r="CY34" s="350">
        <v>0.25</v>
      </c>
      <c r="CZ34" s="350">
        <v>1.43</v>
      </c>
      <c r="DA34" s="350">
        <v>1.36</v>
      </c>
      <c r="DB34" s="350">
        <v>0.2</v>
      </c>
      <c r="DC34" s="350">
        <v>0.5</v>
      </c>
      <c r="DD34" s="350">
        <v>0.25</v>
      </c>
      <c r="DE34" s="350">
        <v>1</v>
      </c>
      <c r="DF34" s="350">
        <v>0.4</v>
      </c>
      <c r="DG34" s="350">
        <v>0.38</v>
      </c>
      <c r="DH34" s="350">
        <v>0.3</v>
      </c>
      <c r="DI34" s="350">
        <v>1</v>
      </c>
      <c r="DJ34" s="350">
        <v>0.33</v>
      </c>
      <c r="DK34" s="350">
        <v>0.25</v>
      </c>
      <c r="DL34" s="350">
        <v>2.2000000000000002</v>
      </c>
      <c r="DM34" s="350">
        <v>0.51</v>
      </c>
      <c r="DN34" s="350">
        <v>0.51</v>
      </c>
      <c r="DO34" s="350">
        <v>0.11</v>
      </c>
      <c r="DP34" s="350">
        <v>0.3</v>
      </c>
      <c r="DQ34" s="350">
        <v>0.3</v>
      </c>
      <c r="DR34" s="350">
        <v>1</v>
      </c>
      <c r="DS34" s="350">
        <v>0.11</v>
      </c>
      <c r="DT34" s="350">
        <v>0</v>
      </c>
      <c r="DU34" s="350">
        <v>0.5</v>
      </c>
      <c r="DV34" s="350">
        <v>1.75</v>
      </c>
      <c r="DW34" s="350">
        <v>0.98</v>
      </c>
      <c r="DX34" s="350">
        <v>0.28000000000000003</v>
      </c>
      <c r="DY34" s="350">
        <v>0.3</v>
      </c>
      <c r="DZ34" s="350">
        <v>2.63</v>
      </c>
      <c r="EA34" s="350">
        <v>0.75</v>
      </c>
      <c r="EB34" s="350">
        <v>4.0999999999999996</v>
      </c>
      <c r="EC34" s="350">
        <v>2.8</v>
      </c>
      <c r="ED34" s="350">
        <v>0.17</v>
      </c>
      <c r="EE34" s="350">
        <v>3</v>
      </c>
      <c r="EF34" s="350">
        <v>3.13</v>
      </c>
      <c r="EG34" s="350">
        <v>1.6</v>
      </c>
      <c r="EH34" s="350">
        <v>1.1200000000000001</v>
      </c>
      <c r="EI34" s="350">
        <v>2.75</v>
      </c>
      <c r="EJ34" s="350">
        <v>3</v>
      </c>
      <c r="EK34" s="350">
        <v>2</v>
      </c>
      <c r="EL34" s="350">
        <v>0.17</v>
      </c>
      <c r="EM34" s="350">
        <v>1</v>
      </c>
      <c r="EN34" s="350">
        <v>0.74</v>
      </c>
      <c r="EO34" s="350">
        <v>3.9</v>
      </c>
      <c r="EP34" s="350">
        <v>1.6</v>
      </c>
      <c r="EQ34" s="350">
        <v>2</v>
      </c>
      <c r="ER34" s="350">
        <v>2</v>
      </c>
      <c r="ES34" s="350">
        <v>1</v>
      </c>
      <c r="ET34" s="350">
        <v>1</v>
      </c>
      <c r="EU34" s="350">
        <v>2.56</v>
      </c>
      <c r="EV34" s="350">
        <v>2</v>
      </c>
      <c r="EW34" s="350">
        <v>2</v>
      </c>
      <c r="EX34" s="350">
        <v>1.75</v>
      </c>
      <c r="EY34" s="350">
        <v>1</v>
      </c>
      <c r="EZ34" s="350">
        <v>4.0999999999999996</v>
      </c>
      <c r="FA34" s="350">
        <v>0.81</v>
      </c>
      <c r="FB34" s="350">
        <v>6.94</v>
      </c>
      <c r="FC34" s="350">
        <v>2</v>
      </c>
      <c r="FD34" s="350">
        <v>3.8</v>
      </c>
      <c r="FE34" s="350">
        <v>1</v>
      </c>
      <c r="FF34" s="350">
        <v>0.9</v>
      </c>
      <c r="FG34" s="350">
        <v>1.1299999999999999</v>
      </c>
      <c r="FH34" s="350">
        <v>1</v>
      </c>
      <c r="FI34" s="350">
        <v>1</v>
      </c>
      <c r="FJ34" s="350">
        <v>3</v>
      </c>
      <c r="FK34" s="350">
        <v>1</v>
      </c>
      <c r="FL34" s="350">
        <v>1</v>
      </c>
      <c r="FM34" s="350">
        <v>2</v>
      </c>
      <c r="FN34" s="350">
        <v>1.25</v>
      </c>
      <c r="FO34" s="350">
        <v>0.15</v>
      </c>
      <c r="FP34" s="350">
        <v>2</v>
      </c>
      <c r="FQ34" s="350">
        <v>2</v>
      </c>
      <c r="FR34" s="350">
        <v>2.34</v>
      </c>
      <c r="FS34" s="350">
        <v>1.37</v>
      </c>
      <c r="FT34" s="350">
        <v>1.1299999999999999</v>
      </c>
      <c r="FU34" s="350">
        <v>0.15</v>
      </c>
      <c r="FV34" s="350">
        <v>1.41</v>
      </c>
      <c r="FW34" s="350">
        <v>1.9</v>
      </c>
      <c r="FX34" s="350">
        <v>0.15</v>
      </c>
      <c r="FY34" s="350">
        <v>1</v>
      </c>
      <c r="FZ34" s="350">
        <v>1.8</v>
      </c>
      <c r="GA34" s="350">
        <v>1.57</v>
      </c>
      <c r="GB34" s="350">
        <v>0.1</v>
      </c>
      <c r="GC34" s="350">
        <v>0.1</v>
      </c>
      <c r="GD34" s="350">
        <v>0.4</v>
      </c>
      <c r="GE34" s="350">
        <v>0.26</v>
      </c>
      <c r="GF34" s="350">
        <v>0.63</v>
      </c>
      <c r="GG34" s="350">
        <v>3.5</v>
      </c>
      <c r="GH34" s="350">
        <v>0.3</v>
      </c>
      <c r="GI34" s="350">
        <v>0.55000000000000004</v>
      </c>
      <c r="GJ34" s="350">
        <v>0.13</v>
      </c>
      <c r="GK34" s="350">
        <v>0.45</v>
      </c>
      <c r="GL34" s="350">
        <v>4.3</v>
      </c>
      <c r="GM34" s="350">
        <v>0.75</v>
      </c>
      <c r="GN34" s="350">
        <v>2</v>
      </c>
      <c r="GO34" s="350">
        <v>0.96</v>
      </c>
      <c r="GP34" s="350">
        <v>1.5</v>
      </c>
      <c r="GQ34" s="350">
        <v>0</v>
      </c>
      <c r="GR34" s="350">
        <v>1</v>
      </c>
      <c r="GS34" s="350">
        <v>3.77</v>
      </c>
      <c r="GT34" s="350">
        <v>1</v>
      </c>
      <c r="GU34" s="350">
        <v>0.7</v>
      </c>
      <c r="GV34" s="350">
        <v>1.85</v>
      </c>
      <c r="GW34" s="350">
        <v>0.79</v>
      </c>
      <c r="GX34" s="350">
        <v>0.66</v>
      </c>
      <c r="GY34" s="350">
        <v>3.25</v>
      </c>
      <c r="GZ34" s="350">
        <v>3.1</v>
      </c>
      <c r="HA34" s="350">
        <v>0.3</v>
      </c>
      <c r="HB34" s="350">
        <v>3.95</v>
      </c>
      <c r="HC34" s="350">
        <v>2.61</v>
      </c>
      <c r="HD34" s="350">
        <v>0.38</v>
      </c>
      <c r="HE34" s="350">
        <v>1.1000000000000001</v>
      </c>
      <c r="HF34" s="350">
        <v>1.1200000000000001</v>
      </c>
      <c r="HG34" s="350">
        <v>1.62</v>
      </c>
      <c r="HH34" s="350">
        <v>1.61</v>
      </c>
      <c r="HI34" s="350">
        <v>1</v>
      </c>
      <c r="HJ34" s="350">
        <v>3</v>
      </c>
      <c r="HK34" s="350">
        <v>1.3</v>
      </c>
      <c r="HL34" s="350">
        <v>5.45</v>
      </c>
      <c r="HM34" s="350">
        <v>3.3</v>
      </c>
      <c r="HN34" s="350">
        <v>0.23</v>
      </c>
      <c r="HO34" s="350">
        <v>0.26</v>
      </c>
      <c r="HP34" s="350">
        <v>0.1</v>
      </c>
      <c r="HQ34" s="350">
        <v>1.1299999999999999</v>
      </c>
      <c r="HR34" s="350">
        <v>0.5</v>
      </c>
      <c r="HS34" s="350">
        <v>1.3</v>
      </c>
      <c r="HT34" s="350">
        <v>3</v>
      </c>
      <c r="HU34" s="350">
        <v>1.84</v>
      </c>
      <c r="HV34" s="350">
        <v>2</v>
      </c>
      <c r="HW34" s="350">
        <v>2.77</v>
      </c>
      <c r="HX34" s="350">
        <v>1</v>
      </c>
      <c r="HY34" s="350">
        <v>3.35</v>
      </c>
      <c r="HZ34" s="350">
        <v>2.5</v>
      </c>
      <c r="IA34" s="350">
        <v>2.04</v>
      </c>
      <c r="IB34" s="350">
        <v>2.94</v>
      </c>
      <c r="IC34" s="350">
        <v>5.13</v>
      </c>
      <c r="ID34" s="350">
        <v>4.08</v>
      </c>
      <c r="IE34" s="350">
        <v>1.5</v>
      </c>
      <c r="IF34" s="350">
        <v>3.88</v>
      </c>
      <c r="IG34" s="350">
        <v>1</v>
      </c>
      <c r="IH34" s="350">
        <v>0.1</v>
      </c>
      <c r="II34" s="350">
        <v>0.85</v>
      </c>
      <c r="IJ34" s="350">
        <v>1</v>
      </c>
      <c r="IK34" s="350">
        <v>6.66</v>
      </c>
      <c r="IL34" s="350">
        <v>4.6399999999999997</v>
      </c>
      <c r="IM34" s="351"/>
      <c r="IN34" s="350">
        <v>0.75</v>
      </c>
      <c r="IO34" s="350">
        <v>2.2400000000000002</v>
      </c>
      <c r="IP34" s="350">
        <v>1.6</v>
      </c>
      <c r="IQ34" s="350">
        <v>0.6</v>
      </c>
      <c r="IR34" s="350">
        <v>0.6</v>
      </c>
      <c r="IS34" s="350">
        <v>0.25</v>
      </c>
      <c r="IT34" s="350">
        <v>0.85</v>
      </c>
      <c r="IU34" s="350">
        <v>2.2000000000000002</v>
      </c>
      <c r="IV34" s="350">
        <v>1.25</v>
      </c>
      <c r="IW34" s="350">
        <v>1.05</v>
      </c>
      <c r="IX34" s="350">
        <v>1</v>
      </c>
      <c r="IY34" s="350">
        <v>0.25</v>
      </c>
      <c r="IZ34" s="350">
        <v>1</v>
      </c>
      <c r="JA34" s="350">
        <v>6.26</v>
      </c>
      <c r="JB34" s="350">
        <v>10.6</v>
      </c>
      <c r="JC34" s="350">
        <v>7.71</v>
      </c>
      <c r="JD34" s="350">
        <v>0.5</v>
      </c>
      <c r="JE34" s="350">
        <v>0.35</v>
      </c>
      <c r="JF34" s="350">
        <v>1</v>
      </c>
      <c r="JG34" s="350">
        <v>1.66</v>
      </c>
      <c r="JH34" s="350">
        <v>7.8</v>
      </c>
      <c r="JI34" s="350">
        <v>4</v>
      </c>
      <c r="JJ34" s="350">
        <v>2</v>
      </c>
      <c r="JK34" s="350">
        <v>1.1000000000000001</v>
      </c>
      <c r="JL34" s="350">
        <v>2.0099999999999998</v>
      </c>
      <c r="JM34" s="350">
        <v>0.5</v>
      </c>
      <c r="JN34" s="350">
        <v>0</v>
      </c>
      <c r="JO34" s="350">
        <v>0</v>
      </c>
      <c r="JP34" s="350">
        <v>0.15</v>
      </c>
      <c r="JQ34" s="350">
        <v>0</v>
      </c>
      <c r="JR34" s="351"/>
      <c r="JU34" s="348" t="s">
        <v>1870</v>
      </c>
      <c r="JV34" s="313">
        <f t="shared" si="2"/>
        <v>31.820000000000007</v>
      </c>
      <c r="JW34" s="313">
        <f t="shared" si="5"/>
        <v>4.1400000000000006</v>
      </c>
      <c r="JX34" s="313">
        <f t="shared" si="5"/>
        <v>10.649999999999999</v>
      </c>
      <c r="JY34" s="313">
        <f t="shared" si="5"/>
        <v>38.630000000000003</v>
      </c>
      <c r="JZ34" s="313">
        <f t="shared" si="5"/>
        <v>0.85</v>
      </c>
      <c r="KA34" s="313">
        <f t="shared" si="5"/>
        <v>0.5</v>
      </c>
      <c r="KB34" s="313">
        <f t="shared" si="5"/>
        <v>3.6</v>
      </c>
      <c r="KC34" s="313">
        <f t="shared" si="5"/>
        <v>7.84</v>
      </c>
      <c r="KD34" s="313">
        <f t="shared" si="5"/>
        <v>3.6599999999999997</v>
      </c>
      <c r="KE34" s="313">
        <f t="shared" si="5"/>
        <v>8.5499999999999989</v>
      </c>
      <c r="KF34" s="313">
        <f t="shared" si="5"/>
        <v>0.3</v>
      </c>
      <c r="KG34" s="313">
        <f t="shared" si="5"/>
        <v>25.05</v>
      </c>
      <c r="KH34" s="313">
        <f t="shared" si="5"/>
        <v>55.65</v>
      </c>
      <c r="KI34" s="313">
        <f t="shared" si="5"/>
        <v>13.600000000000001</v>
      </c>
      <c r="KJ34" s="313">
        <f t="shared" si="5"/>
        <v>9.2100000000000009</v>
      </c>
      <c r="KK34" s="313">
        <f t="shared" si="5"/>
        <v>0.58000000000000007</v>
      </c>
      <c r="KL34" s="313">
        <f t="shared" si="5"/>
        <v>8.01</v>
      </c>
      <c r="KM34" s="313">
        <f t="shared" si="5"/>
        <v>1.5</v>
      </c>
      <c r="KN34" s="313">
        <f t="shared" si="5"/>
        <v>9.11</v>
      </c>
      <c r="KO34" s="313">
        <f t="shared" si="5"/>
        <v>0.66</v>
      </c>
      <c r="KP34" s="313">
        <f t="shared" si="5"/>
        <v>6.35</v>
      </c>
      <c r="KQ34" s="313">
        <f t="shared" si="5"/>
        <v>0.3</v>
      </c>
      <c r="KR34" s="313">
        <f t="shared" si="5"/>
        <v>3.95</v>
      </c>
      <c r="KS34" s="313">
        <f t="shared" si="5"/>
        <v>2.61</v>
      </c>
      <c r="KT34" s="313">
        <f t="shared" si="5"/>
        <v>19.880000000000003</v>
      </c>
      <c r="KU34" s="313">
        <f t="shared" si="5"/>
        <v>0.59</v>
      </c>
      <c r="KV34" s="313">
        <f t="shared" si="5"/>
        <v>1.1299999999999999</v>
      </c>
      <c r="KW34" s="313">
        <f t="shared" si="5"/>
        <v>33.949999999999996</v>
      </c>
      <c r="KX34" s="313">
        <f t="shared" si="5"/>
        <v>4.88</v>
      </c>
      <c r="KY34" s="313">
        <f t="shared" si="5"/>
        <v>1.95</v>
      </c>
      <c r="KZ34" s="313">
        <f t="shared" si="5"/>
        <v>11.3</v>
      </c>
      <c r="LA34" s="313">
        <f t="shared" si="5"/>
        <v>59.129999999999995</v>
      </c>
      <c r="LB34" s="313">
        <f t="shared" si="5"/>
        <v>0.15</v>
      </c>
      <c r="LC34" s="313">
        <f t="shared" si="5"/>
        <v>0</v>
      </c>
    </row>
    <row r="35" spans="1:315" ht="25.5" x14ac:dyDescent="0.25">
      <c r="A35" s="313">
        <v>33</v>
      </c>
      <c r="B35" s="348" t="s">
        <v>1871</v>
      </c>
      <c r="C35" s="350">
        <v>0.31</v>
      </c>
      <c r="D35" s="350">
        <v>0</v>
      </c>
      <c r="E35" s="350">
        <v>0</v>
      </c>
      <c r="F35" s="350">
        <v>0</v>
      </c>
      <c r="G35" s="350">
        <v>0</v>
      </c>
      <c r="H35" s="350">
        <v>1</v>
      </c>
      <c r="I35" s="350">
        <v>0</v>
      </c>
      <c r="J35" s="350">
        <v>0</v>
      </c>
      <c r="K35" s="350">
        <v>0</v>
      </c>
      <c r="L35" s="350">
        <v>0</v>
      </c>
      <c r="M35" s="350">
        <v>0</v>
      </c>
      <c r="N35" s="350">
        <v>0</v>
      </c>
      <c r="O35" s="350">
        <v>0</v>
      </c>
      <c r="P35" s="350">
        <v>0</v>
      </c>
      <c r="Q35" s="350">
        <v>0</v>
      </c>
      <c r="R35" s="350">
        <v>0</v>
      </c>
      <c r="S35" s="350">
        <v>0</v>
      </c>
      <c r="T35" s="350">
        <v>0</v>
      </c>
      <c r="U35" s="350">
        <v>0</v>
      </c>
      <c r="V35" s="350">
        <v>0.04</v>
      </c>
      <c r="W35" s="350">
        <v>0</v>
      </c>
      <c r="X35" s="350">
        <v>0</v>
      </c>
      <c r="Y35" s="350">
        <v>0</v>
      </c>
      <c r="Z35" s="350">
        <v>0</v>
      </c>
      <c r="AA35" s="350">
        <v>0</v>
      </c>
      <c r="AB35" s="350">
        <v>0</v>
      </c>
      <c r="AC35" s="350">
        <v>0</v>
      </c>
      <c r="AD35" s="350">
        <v>0</v>
      </c>
      <c r="AE35" s="350">
        <v>0</v>
      </c>
      <c r="AF35" s="350">
        <v>7</v>
      </c>
      <c r="AG35" s="350">
        <v>6</v>
      </c>
      <c r="AH35" s="350">
        <v>5.5</v>
      </c>
      <c r="AI35" s="350">
        <v>4.4000000000000004</v>
      </c>
      <c r="AJ35" s="350">
        <v>5.64</v>
      </c>
      <c r="AK35" s="350">
        <v>19.850000000000001</v>
      </c>
      <c r="AL35" s="350">
        <v>11</v>
      </c>
      <c r="AM35" s="350">
        <v>5.8</v>
      </c>
      <c r="AN35" s="350">
        <v>8</v>
      </c>
      <c r="AO35" s="350">
        <v>5.85</v>
      </c>
      <c r="AP35" s="350">
        <v>9.4700000000000006</v>
      </c>
      <c r="AQ35" s="350">
        <v>8.1300000000000008</v>
      </c>
      <c r="AR35" s="350">
        <v>30.31</v>
      </c>
      <c r="AS35" s="350">
        <v>8</v>
      </c>
      <c r="AT35" s="350">
        <v>6.36</v>
      </c>
      <c r="AU35" s="350">
        <v>6.1</v>
      </c>
      <c r="AV35" s="350">
        <v>3.65</v>
      </c>
      <c r="AW35" s="351"/>
      <c r="AX35" s="350">
        <v>6</v>
      </c>
      <c r="AY35" s="350">
        <v>2</v>
      </c>
      <c r="AZ35" s="350">
        <v>4.2</v>
      </c>
      <c r="BA35" s="350">
        <v>7</v>
      </c>
      <c r="BB35" s="350">
        <v>10</v>
      </c>
      <c r="BC35" s="350">
        <v>9.9</v>
      </c>
      <c r="BD35" s="350">
        <v>3</v>
      </c>
      <c r="BE35" s="350">
        <v>2</v>
      </c>
      <c r="BF35" s="350">
        <v>1.1000000000000001</v>
      </c>
      <c r="BG35" s="350">
        <v>3</v>
      </c>
      <c r="BH35" s="350">
        <v>2.31</v>
      </c>
      <c r="BI35" s="350">
        <v>1.5</v>
      </c>
      <c r="BJ35" s="350">
        <v>1.5</v>
      </c>
      <c r="BK35" s="350">
        <v>5</v>
      </c>
      <c r="BL35" s="350">
        <v>5</v>
      </c>
      <c r="BM35" s="350">
        <v>8</v>
      </c>
      <c r="BN35" s="350">
        <v>14.79</v>
      </c>
      <c r="BO35" s="350">
        <v>8.5</v>
      </c>
      <c r="BP35" s="350">
        <v>2.75</v>
      </c>
      <c r="BQ35" s="350">
        <v>6.25</v>
      </c>
      <c r="BR35" s="350">
        <v>3.5</v>
      </c>
      <c r="BS35" s="350">
        <v>7.8</v>
      </c>
      <c r="BT35" s="350">
        <v>11.65</v>
      </c>
      <c r="BU35" s="350">
        <v>2.5</v>
      </c>
      <c r="BV35" s="350">
        <v>27.58</v>
      </c>
      <c r="BW35" s="350">
        <v>11.73</v>
      </c>
      <c r="BX35" s="350">
        <v>3</v>
      </c>
      <c r="BY35" s="350">
        <v>6</v>
      </c>
      <c r="BZ35" s="350">
        <v>12.69</v>
      </c>
      <c r="CA35" s="350">
        <v>20.75</v>
      </c>
      <c r="CB35" s="350">
        <v>2.5</v>
      </c>
      <c r="CC35" s="350">
        <v>8.09</v>
      </c>
      <c r="CD35" s="350">
        <v>28.75</v>
      </c>
      <c r="CE35" s="350">
        <v>0.61</v>
      </c>
      <c r="CF35" s="350">
        <v>5</v>
      </c>
      <c r="CG35" s="350">
        <v>15</v>
      </c>
      <c r="CH35" s="350">
        <v>0.85</v>
      </c>
      <c r="CI35" s="350">
        <v>2</v>
      </c>
      <c r="CJ35" s="350">
        <v>6.4</v>
      </c>
      <c r="CK35" s="350">
        <v>23.7</v>
      </c>
      <c r="CL35" s="350">
        <v>0.28999999999999998</v>
      </c>
      <c r="CM35" s="350">
        <v>14.75</v>
      </c>
      <c r="CN35" s="350">
        <v>0.71</v>
      </c>
      <c r="CO35" s="350">
        <v>1</v>
      </c>
      <c r="CP35" s="350">
        <v>1.2</v>
      </c>
      <c r="CQ35" s="350">
        <v>2.0499999999999998</v>
      </c>
      <c r="CR35" s="350">
        <v>10.68</v>
      </c>
      <c r="CS35" s="350">
        <v>0.56000000000000005</v>
      </c>
      <c r="CT35" s="350">
        <v>5.3</v>
      </c>
      <c r="CU35" s="350">
        <v>6.2</v>
      </c>
      <c r="CV35" s="350">
        <v>3.76</v>
      </c>
      <c r="CW35" s="350">
        <v>1.1000000000000001</v>
      </c>
      <c r="CX35" s="350">
        <v>2.0099999999999998</v>
      </c>
      <c r="CY35" s="350">
        <v>2</v>
      </c>
      <c r="CZ35" s="350">
        <v>10.89</v>
      </c>
      <c r="DA35" s="350">
        <v>11.99</v>
      </c>
      <c r="DB35" s="350">
        <v>0.73</v>
      </c>
      <c r="DC35" s="350">
        <v>7.98</v>
      </c>
      <c r="DD35" s="350">
        <v>1.68</v>
      </c>
      <c r="DE35" s="350">
        <v>5.6</v>
      </c>
      <c r="DF35" s="350">
        <v>2.16</v>
      </c>
      <c r="DG35" s="350">
        <v>1.7</v>
      </c>
      <c r="DH35" s="350">
        <v>1</v>
      </c>
      <c r="DI35" s="350">
        <v>1.7</v>
      </c>
      <c r="DJ35" s="350">
        <v>1.99</v>
      </c>
      <c r="DK35" s="350">
        <v>2</v>
      </c>
      <c r="DL35" s="350">
        <v>13.64</v>
      </c>
      <c r="DM35" s="350">
        <v>4.41</v>
      </c>
      <c r="DN35" s="350">
        <v>1.31</v>
      </c>
      <c r="DO35" s="350">
        <v>1.96</v>
      </c>
      <c r="DP35" s="350">
        <v>1</v>
      </c>
      <c r="DQ35" s="350">
        <v>2.85</v>
      </c>
      <c r="DR35" s="350">
        <v>5.85</v>
      </c>
      <c r="DS35" s="350">
        <v>2.5</v>
      </c>
      <c r="DT35" s="350">
        <v>4.5999999999999996</v>
      </c>
      <c r="DU35" s="350">
        <v>4.57</v>
      </c>
      <c r="DV35" s="350">
        <v>8.25</v>
      </c>
      <c r="DW35" s="350">
        <v>11.81</v>
      </c>
      <c r="DX35" s="350">
        <v>3.19</v>
      </c>
      <c r="DY35" s="350">
        <v>3.39</v>
      </c>
      <c r="DZ35" s="350">
        <v>54.42</v>
      </c>
      <c r="EA35" s="350">
        <v>7.4</v>
      </c>
      <c r="EB35" s="350">
        <v>38.200000000000003</v>
      </c>
      <c r="EC35" s="350">
        <v>50.09</v>
      </c>
      <c r="ED35" s="350">
        <v>4.6500000000000004</v>
      </c>
      <c r="EE35" s="350">
        <v>25</v>
      </c>
      <c r="EF35" s="350">
        <v>28</v>
      </c>
      <c r="EG35" s="350">
        <v>14.6</v>
      </c>
      <c r="EH35" s="350">
        <v>26.29</v>
      </c>
      <c r="EI35" s="350">
        <v>55.32</v>
      </c>
      <c r="EJ35" s="350">
        <v>39</v>
      </c>
      <c r="EK35" s="350">
        <v>15</v>
      </c>
      <c r="EL35" s="350">
        <v>6.95</v>
      </c>
      <c r="EM35" s="350">
        <v>27</v>
      </c>
      <c r="EN35" s="350">
        <v>10.1</v>
      </c>
      <c r="EO35" s="350">
        <v>23.4</v>
      </c>
      <c r="EP35" s="350">
        <v>10.1</v>
      </c>
      <c r="EQ35" s="350">
        <v>17.79</v>
      </c>
      <c r="ER35" s="350">
        <v>12.16</v>
      </c>
      <c r="ES35" s="350">
        <v>9.81</v>
      </c>
      <c r="ET35" s="350">
        <v>13</v>
      </c>
      <c r="EU35" s="350">
        <v>18.510000000000002</v>
      </c>
      <c r="EV35" s="350">
        <v>16.25</v>
      </c>
      <c r="EW35" s="350">
        <v>25</v>
      </c>
      <c r="EX35" s="350">
        <v>17.75</v>
      </c>
      <c r="EY35" s="350">
        <v>11</v>
      </c>
      <c r="EZ35" s="350">
        <v>39</v>
      </c>
      <c r="FA35" s="350">
        <v>11.44</v>
      </c>
      <c r="FB35" s="350">
        <v>83.3</v>
      </c>
      <c r="FC35" s="350">
        <v>10</v>
      </c>
      <c r="FD35" s="350">
        <v>26.7</v>
      </c>
      <c r="FE35" s="350">
        <v>12.5</v>
      </c>
      <c r="FF35" s="350">
        <v>9.9</v>
      </c>
      <c r="FG35" s="350">
        <v>18.37</v>
      </c>
      <c r="FH35" s="350">
        <v>9</v>
      </c>
      <c r="FI35" s="350">
        <v>18</v>
      </c>
      <c r="FJ35" s="350">
        <v>22</v>
      </c>
      <c r="FK35" s="350">
        <v>10.06</v>
      </c>
      <c r="FL35" s="350">
        <v>11.5</v>
      </c>
      <c r="FM35" s="350">
        <v>17.98</v>
      </c>
      <c r="FN35" s="350">
        <v>15</v>
      </c>
      <c r="FO35" s="350">
        <v>4.13</v>
      </c>
      <c r="FP35" s="350">
        <v>23</v>
      </c>
      <c r="FQ35" s="350">
        <v>37.18</v>
      </c>
      <c r="FR35" s="350">
        <v>31.21</v>
      </c>
      <c r="FS35" s="350">
        <v>17.7</v>
      </c>
      <c r="FT35" s="350">
        <v>26.45</v>
      </c>
      <c r="FU35" s="350">
        <v>6.03</v>
      </c>
      <c r="FV35" s="350">
        <v>22.98</v>
      </c>
      <c r="FW35" s="350">
        <v>23.7</v>
      </c>
      <c r="FX35" s="350">
        <v>2.2999999999999998</v>
      </c>
      <c r="FY35" s="350">
        <v>20</v>
      </c>
      <c r="FZ35" s="350">
        <v>38.799999999999997</v>
      </c>
      <c r="GA35" s="350">
        <v>9.14</v>
      </c>
      <c r="GB35" s="350">
        <v>1.4</v>
      </c>
      <c r="GC35" s="350">
        <v>1.6</v>
      </c>
      <c r="GD35" s="350">
        <v>3</v>
      </c>
      <c r="GE35" s="350">
        <v>0.25</v>
      </c>
      <c r="GF35" s="350">
        <v>5.45</v>
      </c>
      <c r="GG35" s="350">
        <v>9</v>
      </c>
      <c r="GH35" s="350">
        <v>3.5</v>
      </c>
      <c r="GI35" s="350">
        <v>4.72</v>
      </c>
      <c r="GJ35" s="350">
        <v>0</v>
      </c>
      <c r="GK35" s="350">
        <v>2.0499999999999998</v>
      </c>
      <c r="GL35" s="350">
        <v>0</v>
      </c>
      <c r="GM35" s="350">
        <v>0</v>
      </c>
      <c r="GN35" s="350">
        <v>7.0000000000000007E-2</v>
      </c>
      <c r="GO35" s="350">
        <v>0</v>
      </c>
      <c r="GP35" s="350">
        <v>0</v>
      </c>
      <c r="GQ35" s="350">
        <v>0</v>
      </c>
      <c r="GR35" s="350">
        <v>5</v>
      </c>
      <c r="GS35" s="350">
        <v>11.15</v>
      </c>
      <c r="GT35" s="350">
        <v>5.8</v>
      </c>
      <c r="GU35" s="350">
        <v>4.88</v>
      </c>
      <c r="GV35" s="350">
        <v>4</v>
      </c>
      <c r="GW35" s="350">
        <v>1.9</v>
      </c>
      <c r="GX35" s="350">
        <v>5.32</v>
      </c>
      <c r="GY35" s="350">
        <v>1.03</v>
      </c>
      <c r="GZ35" s="350">
        <v>0</v>
      </c>
      <c r="HA35" s="350">
        <v>0</v>
      </c>
      <c r="HB35" s="350">
        <v>0</v>
      </c>
      <c r="HC35" s="350">
        <v>3.58</v>
      </c>
      <c r="HD35" s="350">
        <v>2</v>
      </c>
      <c r="HE35" s="350">
        <v>0.74</v>
      </c>
      <c r="HF35" s="350">
        <v>1.24</v>
      </c>
      <c r="HG35" s="350">
        <v>0.56000000000000005</v>
      </c>
      <c r="HH35" s="350">
        <v>0.68</v>
      </c>
      <c r="HI35" s="350">
        <v>1.5</v>
      </c>
      <c r="HJ35" s="350">
        <v>2</v>
      </c>
      <c r="HK35" s="350">
        <v>0</v>
      </c>
      <c r="HL35" s="350">
        <v>0.7</v>
      </c>
      <c r="HM35" s="350">
        <v>0</v>
      </c>
      <c r="HN35" s="350">
        <v>6.57</v>
      </c>
      <c r="HO35" s="350">
        <v>0.92</v>
      </c>
      <c r="HP35" s="350">
        <v>5</v>
      </c>
      <c r="HQ35" s="350">
        <v>0</v>
      </c>
      <c r="HR35" s="350">
        <v>0.1</v>
      </c>
      <c r="HS35" s="350">
        <v>3.2</v>
      </c>
      <c r="HT35" s="350">
        <v>3.2</v>
      </c>
      <c r="HU35" s="350">
        <v>0</v>
      </c>
      <c r="HV35" s="350">
        <v>1</v>
      </c>
      <c r="HW35" s="350">
        <v>0</v>
      </c>
      <c r="HX35" s="350">
        <v>1</v>
      </c>
      <c r="HY35" s="350">
        <v>3.18</v>
      </c>
      <c r="HZ35" s="350">
        <v>0</v>
      </c>
      <c r="IA35" s="350">
        <v>0</v>
      </c>
      <c r="IB35" s="350">
        <v>0.86</v>
      </c>
      <c r="IC35" s="350">
        <v>0.74</v>
      </c>
      <c r="ID35" s="350">
        <v>1.07</v>
      </c>
      <c r="IE35" s="350">
        <v>2</v>
      </c>
      <c r="IF35" s="350">
        <v>0</v>
      </c>
      <c r="IG35" s="350">
        <v>0.71</v>
      </c>
      <c r="IH35" s="350">
        <v>1</v>
      </c>
      <c r="II35" s="350">
        <v>4.34</v>
      </c>
      <c r="IJ35" s="350">
        <v>0.63</v>
      </c>
      <c r="IK35" s="350">
        <v>3.34</v>
      </c>
      <c r="IL35" s="350">
        <v>1.1100000000000001</v>
      </c>
      <c r="IM35" s="351"/>
      <c r="IN35" s="350">
        <v>1.87</v>
      </c>
      <c r="IO35" s="350">
        <v>0.15</v>
      </c>
      <c r="IP35" s="350">
        <v>2</v>
      </c>
      <c r="IQ35" s="350">
        <v>3.05</v>
      </c>
      <c r="IR35" s="350">
        <v>3.7</v>
      </c>
      <c r="IS35" s="350">
        <v>2.25</v>
      </c>
      <c r="IT35" s="350">
        <v>0</v>
      </c>
      <c r="IU35" s="350">
        <v>1</v>
      </c>
      <c r="IV35" s="350">
        <v>0</v>
      </c>
      <c r="IW35" s="350">
        <v>0.6</v>
      </c>
      <c r="IX35" s="350">
        <v>1</v>
      </c>
      <c r="IY35" s="350">
        <v>0.9</v>
      </c>
      <c r="IZ35" s="350">
        <v>2.93</v>
      </c>
      <c r="JA35" s="350">
        <v>1.25</v>
      </c>
      <c r="JB35" s="350">
        <v>0.81</v>
      </c>
      <c r="JC35" s="350">
        <v>1.17</v>
      </c>
      <c r="JD35" s="350">
        <v>2.75</v>
      </c>
      <c r="JE35" s="350">
        <v>1</v>
      </c>
      <c r="JF35" s="350">
        <v>2.5</v>
      </c>
      <c r="JG35" s="350">
        <v>0</v>
      </c>
      <c r="JH35" s="350">
        <v>0</v>
      </c>
      <c r="JI35" s="350">
        <v>2.6</v>
      </c>
      <c r="JJ35" s="350">
        <v>1</v>
      </c>
      <c r="JK35" s="350">
        <v>0</v>
      </c>
      <c r="JL35" s="350">
        <v>0</v>
      </c>
      <c r="JM35" s="350">
        <v>2.7</v>
      </c>
      <c r="JN35" s="350">
        <v>0</v>
      </c>
      <c r="JO35" s="350">
        <v>0</v>
      </c>
      <c r="JP35" s="350">
        <v>0</v>
      </c>
      <c r="JQ35" s="350">
        <v>0</v>
      </c>
      <c r="JR35" s="351"/>
      <c r="JU35" s="348" t="s">
        <v>1871</v>
      </c>
      <c r="JV35" s="313">
        <f t="shared" si="2"/>
        <v>1.35</v>
      </c>
      <c r="JW35" s="313">
        <f t="shared" si="5"/>
        <v>0</v>
      </c>
      <c r="JX35" s="313">
        <f t="shared" si="5"/>
        <v>96.639999999999986</v>
      </c>
      <c r="JY35" s="313">
        <f t="shared" si="5"/>
        <v>358.31999999999994</v>
      </c>
      <c r="JZ35" s="313">
        <f t="shared" si="5"/>
        <v>15.04</v>
      </c>
      <c r="KA35" s="313">
        <f t="shared" si="5"/>
        <v>0.71</v>
      </c>
      <c r="KB35" s="313">
        <f t="shared" si="5"/>
        <v>2.2000000000000002</v>
      </c>
      <c r="KC35" s="313">
        <f t="shared" si="5"/>
        <v>66.930000000000007</v>
      </c>
      <c r="KD35" s="313">
        <f t="shared" si="5"/>
        <v>16.149999999999999</v>
      </c>
      <c r="KE35" s="313">
        <f t="shared" si="5"/>
        <v>65.940000000000012</v>
      </c>
      <c r="KF35" s="313">
        <f t="shared" si="5"/>
        <v>3.39</v>
      </c>
      <c r="KG35" s="313">
        <f t="shared" si="5"/>
        <v>342.97</v>
      </c>
      <c r="KH35" s="313">
        <f t="shared" si="5"/>
        <v>548.56999999999994</v>
      </c>
      <c r="KI35" s="313">
        <f t="shared" si="5"/>
        <v>214.68</v>
      </c>
      <c r="KJ35" s="313">
        <f t="shared" si="5"/>
        <v>76.86</v>
      </c>
      <c r="KK35" s="313">
        <f t="shared" si="5"/>
        <v>2.0499999999999998</v>
      </c>
      <c r="KL35" s="313">
        <f t="shared" si="5"/>
        <v>7.0000000000000007E-2</v>
      </c>
      <c r="KM35" s="313">
        <f t="shared" si="5"/>
        <v>0</v>
      </c>
      <c r="KN35" s="313">
        <f t="shared" si="5"/>
        <v>32.729999999999997</v>
      </c>
      <c r="KO35" s="313">
        <f t="shared" si="5"/>
        <v>5.32</v>
      </c>
      <c r="KP35" s="313">
        <f t="shared" si="5"/>
        <v>1.03</v>
      </c>
      <c r="KQ35" s="313">
        <f t="shared" si="5"/>
        <v>0</v>
      </c>
      <c r="KR35" s="313">
        <f t="shared" si="5"/>
        <v>0</v>
      </c>
      <c r="KS35" s="313">
        <f t="shared" si="5"/>
        <v>3.58</v>
      </c>
      <c r="KT35" s="313">
        <f t="shared" si="5"/>
        <v>9.42</v>
      </c>
      <c r="KU35" s="313">
        <f t="shared" si="5"/>
        <v>12.49</v>
      </c>
      <c r="KV35" s="313">
        <f t="shared" si="5"/>
        <v>0</v>
      </c>
      <c r="KW35" s="313">
        <f t="shared" si="5"/>
        <v>16.350000000000001</v>
      </c>
      <c r="KX35" s="313">
        <f t="shared" si="5"/>
        <v>0.71</v>
      </c>
      <c r="KY35" s="313">
        <f t="shared" si="5"/>
        <v>5.97</v>
      </c>
      <c r="KZ35" s="313">
        <f t="shared" si="5"/>
        <v>4.45</v>
      </c>
      <c r="LA35" s="313">
        <f t="shared" si="5"/>
        <v>35.230000000000004</v>
      </c>
      <c r="LB35" s="313">
        <f t="shared" si="5"/>
        <v>0</v>
      </c>
      <c r="LC35" s="313">
        <f t="shared" si="5"/>
        <v>0</v>
      </c>
    </row>
    <row r="36" spans="1:315" x14ac:dyDescent="0.25">
      <c r="A36" s="313">
        <v>34</v>
      </c>
      <c r="B36" s="348" t="s">
        <v>1872</v>
      </c>
      <c r="C36" s="350">
        <v>0</v>
      </c>
      <c r="D36" s="350">
        <v>0</v>
      </c>
      <c r="E36" s="350">
        <v>0</v>
      </c>
      <c r="F36" s="350">
        <v>0</v>
      </c>
      <c r="G36" s="350">
        <v>0.1</v>
      </c>
      <c r="H36" s="350">
        <v>0.3</v>
      </c>
      <c r="I36" s="350">
        <v>0</v>
      </c>
      <c r="J36" s="350">
        <v>0</v>
      </c>
      <c r="K36" s="350">
        <v>0</v>
      </c>
      <c r="L36" s="350">
        <v>0</v>
      </c>
      <c r="M36" s="350">
        <v>0</v>
      </c>
      <c r="N36" s="350">
        <v>0</v>
      </c>
      <c r="O36" s="350">
        <v>0</v>
      </c>
      <c r="P36" s="350">
        <v>0</v>
      </c>
      <c r="Q36" s="350">
        <v>0</v>
      </c>
      <c r="R36" s="350">
        <v>0</v>
      </c>
      <c r="S36" s="350">
        <v>0</v>
      </c>
      <c r="T36" s="350">
        <v>0</v>
      </c>
      <c r="U36" s="350">
        <v>0.12</v>
      </c>
      <c r="V36" s="350">
        <v>0</v>
      </c>
      <c r="W36" s="350">
        <v>0</v>
      </c>
      <c r="X36" s="350">
        <v>0</v>
      </c>
      <c r="Y36" s="350">
        <v>0</v>
      </c>
      <c r="Z36" s="350">
        <v>0</v>
      </c>
      <c r="AA36" s="350">
        <v>0</v>
      </c>
      <c r="AB36" s="350">
        <v>0</v>
      </c>
      <c r="AC36" s="350">
        <v>0</v>
      </c>
      <c r="AD36" s="350">
        <v>0</v>
      </c>
      <c r="AE36" s="350">
        <v>0</v>
      </c>
      <c r="AF36" s="350">
        <v>0</v>
      </c>
      <c r="AG36" s="350">
        <v>0</v>
      </c>
      <c r="AH36" s="350">
        <v>0</v>
      </c>
      <c r="AI36" s="350">
        <v>0</v>
      </c>
      <c r="AJ36" s="350">
        <v>0</v>
      </c>
      <c r="AK36" s="350">
        <v>0</v>
      </c>
      <c r="AL36" s="350">
        <v>0</v>
      </c>
      <c r="AM36" s="350">
        <v>0</v>
      </c>
      <c r="AN36" s="350">
        <v>0</v>
      </c>
      <c r="AO36" s="350">
        <v>0</v>
      </c>
      <c r="AP36" s="350">
        <v>0</v>
      </c>
      <c r="AQ36" s="350">
        <v>0</v>
      </c>
      <c r="AR36" s="350">
        <v>0</v>
      </c>
      <c r="AS36" s="350">
        <v>0</v>
      </c>
      <c r="AT36" s="350">
        <v>0</v>
      </c>
      <c r="AU36" s="350">
        <v>0</v>
      </c>
      <c r="AV36" s="350">
        <v>0</v>
      </c>
      <c r="AW36" s="351"/>
      <c r="AX36" s="350">
        <v>0</v>
      </c>
      <c r="AY36" s="350">
        <v>0</v>
      </c>
      <c r="AZ36" s="350">
        <v>0</v>
      </c>
      <c r="BA36" s="350">
        <v>0</v>
      </c>
      <c r="BB36" s="350">
        <v>0</v>
      </c>
      <c r="BC36" s="350">
        <v>0</v>
      </c>
      <c r="BD36" s="350">
        <v>0</v>
      </c>
      <c r="BE36" s="350">
        <v>0</v>
      </c>
      <c r="BF36" s="350">
        <v>0</v>
      </c>
      <c r="BG36" s="350">
        <v>0</v>
      </c>
      <c r="BH36" s="350">
        <v>0</v>
      </c>
      <c r="BI36" s="350">
        <v>0</v>
      </c>
      <c r="BJ36" s="350">
        <v>0</v>
      </c>
      <c r="BK36" s="350">
        <v>0</v>
      </c>
      <c r="BL36" s="350">
        <v>0</v>
      </c>
      <c r="BM36" s="350">
        <v>0</v>
      </c>
      <c r="BN36" s="350">
        <v>0</v>
      </c>
      <c r="BO36" s="350">
        <v>0</v>
      </c>
      <c r="BP36" s="350">
        <v>0</v>
      </c>
      <c r="BQ36" s="350">
        <v>0</v>
      </c>
      <c r="BR36" s="350">
        <v>0</v>
      </c>
      <c r="BS36" s="350">
        <v>0</v>
      </c>
      <c r="BT36" s="350">
        <v>0</v>
      </c>
      <c r="BU36" s="350">
        <v>0</v>
      </c>
      <c r="BV36" s="350">
        <v>0</v>
      </c>
      <c r="BW36" s="350">
        <v>0</v>
      </c>
      <c r="BX36" s="350">
        <v>0</v>
      </c>
      <c r="BY36" s="350">
        <v>0</v>
      </c>
      <c r="BZ36" s="350">
        <v>0</v>
      </c>
      <c r="CA36" s="350">
        <v>0</v>
      </c>
      <c r="CB36" s="350">
        <v>0</v>
      </c>
      <c r="CC36" s="350">
        <v>0</v>
      </c>
      <c r="CD36" s="350">
        <v>0</v>
      </c>
      <c r="CE36" s="350">
        <v>0</v>
      </c>
      <c r="CF36" s="350">
        <v>0</v>
      </c>
      <c r="CG36" s="350">
        <v>0</v>
      </c>
      <c r="CH36" s="350">
        <v>0</v>
      </c>
      <c r="CI36" s="350">
        <v>0</v>
      </c>
      <c r="CJ36" s="350">
        <v>0</v>
      </c>
      <c r="CK36" s="350">
        <v>0</v>
      </c>
      <c r="CL36" s="350">
        <v>0</v>
      </c>
      <c r="CM36" s="350">
        <v>0</v>
      </c>
      <c r="CN36" s="350">
        <v>0</v>
      </c>
      <c r="CO36" s="350">
        <v>0</v>
      </c>
      <c r="CP36" s="350">
        <v>0</v>
      </c>
      <c r="CQ36" s="350">
        <v>1.6</v>
      </c>
      <c r="CR36" s="350">
        <v>0</v>
      </c>
      <c r="CS36" s="350">
        <v>0.52</v>
      </c>
      <c r="CT36" s="350">
        <v>1.3</v>
      </c>
      <c r="CU36" s="350">
        <v>0</v>
      </c>
      <c r="CV36" s="350">
        <v>1.77</v>
      </c>
      <c r="CW36" s="350">
        <v>0.7</v>
      </c>
      <c r="CX36" s="350">
        <v>0.82</v>
      </c>
      <c r="CY36" s="350">
        <v>0</v>
      </c>
      <c r="CZ36" s="350">
        <v>3.99</v>
      </c>
      <c r="DA36" s="350">
        <v>18.02</v>
      </c>
      <c r="DB36" s="350">
        <v>0</v>
      </c>
      <c r="DC36" s="350">
        <v>0</v>
      </c>
      <c r="DD36" s="350">
        <v>0</v>
      </c>
      <c r="DE36" s="350">
        <v>0</v>
      </c>
      <c r="DF36" s="350">
        <v>0</v>
      </c>
      <c r="DG36" s="350">
        <v>0</v>
      </c>
      <c r="DH36" s="350">
        <v>0</v>
      </c>
      <c r="DI36" s="350">
        <v>0</v>
      </c>
      <c r="DJ36" s="350">
        <v>0.06</v>
      </c>
      <c r="DK36" s="350">
        <v>0</v>
      </c>
      <c r="DL36" s="350">
        <v>0</v>
      </c>
      <c r="DM36" s="350">
        <v>0</v>
      </c>
      <c r="DN36" s="350">
        <v>0</v>
      </c>
      <c r="DO36" s="350">
        <v>0</v>
      </c>
      <c r="DP36" s="350">
        <v>0</v>
      </c>
      <c r="DQ36" s="350">
        <v>0.2</v>
      </c>
      <c r="DR36" s="350">
        <v>0</v>
      </c>
      <c r="DS36" s="350">
        <v>0</v>
      </c>
      <c r="DT36" s="350">
        <v>0</v>
      </c>
      <c r="DU36" s="350">
        <v>0</v>
      </c>
      <c r="DV36" s="350">
        <v>0.75</v>
      </c>
      <c r="DW36" s="350">
        <v>0</v>
      </c>
      <c r="DX36" s="350">
        <v>0</v>
      </c>
      <c r="DY36" s="350">
        <v>1.21</v>
      </c>
      <c r="DZ36" s="350">
        <v>9.1999999999999993</v>
      </c>
      <c r="EA36" s="350">
        <v>6.3</v>
      </c>
      <c r="EB36" s="350">
        <v>13</v>
      </c>
      <c r="EC36" s="350">
        <v>8</v>
      </c>
      <c r="ED36" s="350">
        <v>0.69</v>
      </c>
      <c r="EE36" s="350">
        <v>7</v>
      </c>
      <c r="EF36" s="350">
        <v>8</v>
      </c>
      <c r="EG36" s="350">
        <v>6</v>
      </c>
      <c r="EH36" s="350">
        <v>8.68</v>
      </c>
      <c r="EI36" s="350">
        <v>8</v>
      </c>
      <c r="EJ36" s="350">
        <v>7</v>
      </c>
      <c r="EK36" s="350">
        <v>6</v>
      </c>
      <c r="EL36" s="350">
        <v>4.55</v>
      </c>
      <c r="EM36" s="350">
        <v>16</v>
      </c>
      <c r="EN36" s="350">
        <v>2.82</v>
      </c>
      <c r="EO36" s="350">
        <v>10.050000000000001</v>
      </c>
      <c r="EP36" s="350">
        <v>7.4</v>
      </c>
      <c r="EQ36" s="350">
        <v>6.17</v>
      </c>
      <c r="ER36" s="350">
        <v>7.3</v>
      </c>
      <c r="ES36" s="350">
        <v>6.24</v>
      </c>
      <c r="ET36" s="350">
        <v>5.77</v>
      </c>
      <c r="EU36" s="350">
        <v>12.48</v>
      </c>
      <c r="EV36" s="350">
        <v>8.06</v>
      </c>
      <c r="EW36" s="350">
        <v>14</v>
      </c>
      <c r="EX36" s="350">
        <v>5.5</v>
      </c>
      <c r="EY36" s="350">
        <v>6</v>
      </c>
      <c r="EZ36" s="350">
        <v>18.920000000000002</v>
      </c>
      <c r="FA36" s="350">
        <v>8.59</v>
      </c>
      <c r="FB36" s="350">
        <v>20.79</v>
      </c>
      <c r="FC36" s="350">
        <v>6.3</v>
      </c>
      <c r="FD36" s="350">
        <v>11.5</v>
      </c>
      <c r="FE36" s="350">
        <v>7</v>
      </c>
      <c r="FF36" s="350">
        <v>6.3</v>
      </c>
      <c r="FG36" s="350">
        <v>7.63</v>
      </c>
      <c r="FH36" s="350">
        <v>5</v>
      </c>
      <c r="FI36" s="350">
        <v>1.5</v>
      </c>
      <c r="FJ36" s="350">
        <v>9</v>
      </c>
      <c r="FK36" s="350">
        <v>6.2</v>
      </c>
      <c r="FL36" s="350">
        <v>3.5</v>
      </c>
      <c r="FM36" s="350">
        <v>7.31</v>
      </c>
      <c r="FN36" s="350">
        <v>5.5</v>
      </c>
      <c r="FO36" s="350">
        <v>3.08</v>
      </c>
      <c r="FP36" s="350">
        <v>8</v>
      </c>
      <c r="FQ36" s="350">
        <v>12.41</v>
      </c>
      <c r="FR36" s="350">
        <v>7.35</v>
      </c>
      <c r="FS36" s="350">
        <v>6.42</v>
      </c>
      <c r="FT36" s="350">
        <v>4.6900000000000004</v>
      </c>
      <c r="FU36" s="350">
        <v>1.96</v>
      </c>
      <c r="FV36" s="350">
        <v>3.77</v>
      </c>
      <c r="FW36" s="350">
        <v>5.4</v>
      </c>
      <c r="FX36" s="350">
        <v>0</v>
      </c>
      <c r="FY36" s="350">
        <v>2</v>
      </c>
      <c r="FZ36" s="350">
        <v>0</v>
      </c>
      <c r="GA36" s="350">
        <v>0</v>
      </c>
      <c r="GB36" s="350">
        <v>0</v>
      </c>
      <c r="GC36" s="350">
        <v>0</v>
      </c>
      <c r="GD36" s="350">
        <v>0</v>
      </c>
      <c r="GE36" s="350">
        <v>0.2</v>
      </c>
      <c r="GF36" s="350">
        <v>0</v>
      </c>
      <c r="GG36" s="350">
        <v>0</v>
      </c>
      <c r="GH36" s="350">
        <v>0</v>
      </c>
      <c r="GI36" s="350">
        <v>0</v>
      </c>
      <c r="GJ36" s="350">
        <v>6</v>
      </c>
      <c r="GK36" s="350">
        <v>1.77</v>
      </c>
      <c r="GL36" s="350">
        <v>0</v>
      </c>
      <c r="GM36" s="350">
        <v>0</v>
      </c>
      <c r="GN36" s="350">
        <v>0</v>
      </c>
      <c r="GO36" s="350">
        <v>0</v>
      </c>
      <c r="GP36" s="350">
        <v>0</v>
      </c>
      <c r="GQ36" s="350">
        <v>0</v>
      </c>
      <c r="GR36" s="350">
        <v>0</v>
      </c>
      <c r="GS36" s="350">
        <v>0</v>
      </c>
      <c r="GT36" s="350">
        <v>0</v>
      </c>
      <c r="GU36" s="350">
        <v>0</v>
      </c>
      <c r="GV36" s="350">
        <v>0</v>
      </c>
      <c r="GW36" s="350">
        <v>0</v>
      </c>
      <c r="GX36" s="350">
        <v>0</v>
      </c>
      <c r="GY36" s="350">
        <v>0</v>
      </c>
      <c r="GZ36" s="350">
        <v>0.2</v>
      </c>
      <c r="HA36" s="350">
        <v>0</v>
      </c>
      <c r="HB36" s="350">
        <v>0</v>
      </c>
      <c r="HC36" s="350">
        <v>0</v>
      </c>
      <c r="HD36" s="350">
        <v>0</v>
      </c>
      <c r="HE36" s="350">
        <v>0</v>
      </c>
      <c r="HF36" s="350">
        <v>0</v>
      </c>
      <c r="HG36" s="350">
        <v>0</v>
      </c>
      <c r="HH36" s="350">
        <v>0</v>
      </c>
      <c r="HI36" s="350">
        <v>0</v>
      </c>
      <c r="HJ36" s="350">
        <v>0</v>
      </c>
      <c r="HK36" s="350">
        <v>0</v>
      </c>
      <c r="HL36" s="350">
        <v>0</v>
      </c>
      <c r="HM36" s="350">
        <v>0</v>
      </c>
      <c r="HN36" s="350">
        <v>0</v>
      </c>
      <c r="HO36" s="350">
        <v>0</v>
      </c>
      <c r="HP36" s="350">
        <v>0</v>
      </c>
      <c r="HQ36" s="350">
        <v>0</v>
      </c>
      <c r="HR36" s="350">
        <v>0</v>
      </c>
      <c r="HS36" s="350">
        <v>0</v>
      </c>
      <c r="HT36" s="350">
        <v>0</v>
      </c>
      <c r="HU36" s="350">
        <v>0</v>
      </c>
      <c r="HV36" s="350">
        <v>0</v>
      </c>
      <c r="HW36" s="350">
        <v>0</v>
      </c>
      <c r="HX36" s="350">
        <v>0</v>
      </c>
      <c r="HY36" s="350">
        <v>0</v>
      </c>
      <c r="HZ36" s="350">
        <v>0</v>
      </c>
      <c r="IA36" s="350">
        <v>0</v>
      </c>
      <c r="IB36" s="350">
        <v>0</v>
      </c>
      <c r="IC36" s="350">
        <v>0</v>
      </c>
      <c r="ID36" s="350">
        <v>0</v>
      </c>
      <c r="IE36" s="350">
        <v>0</v>
      </c>
      <c r="IF36" s="350">
        <v>0</v>
      </c>
      <c r="IG36" s="350">
        <v>0</v>
      </c>
      <c r="IH36" s="350">
        <v>0</v>
      </c>
      <c r="II36" s="350">
        <v>0</v>
      </c>
      <c r="IJ36" s="350">
        <v>0</v>
      </c>
      <c r="IK36" s="350">
        <v>0</v>
      </c>
      <c r="IL36" s="350">
        <v>0</v>
      </c>
      <c r="IM36" s="351"/>
      <c r="IN36" s="350">
        <v>0</v>
      </c>
      <c r="IO36" s="350">
        <v>0</v>
      </c>
      <c r="IP36" s="350">
        <v>0</v>
      </c>
      <c r="IQ36" s="350">
        <v>0</v>
      </c>
      <c r="IR36" s="350">
        <v>0</v>
      </c>
      <c r="IS36" s="350">
        <v>0</v>
      </c>
      <c r="IT36" s="350">
        <v>0</v>
      </c>
      <c r="IU36" s="350">
        <v>0</v>
      </c>
      <c r="IV36" s="350">
        <v>0</v>
      </c>
      <c r="IW36" s="350">
        <v>0</v>
      </c>
      <c r="IX36" s="350">
        <v>1</v>
      </c>
      <c r="IY36" s="350">
        <v>0</v>
      </c>
      <c r="IZ36" s="350">
        <v>0</v>
      </c>
      <c r="JA36" s="350">
        <v>0</v>
      </c>
      <c r="JB36" s="350">
        <v>0</v>
      </c>
      <c r="JC36" s="350">
        <v>0</v>
      </c>
      <c r="JD36" s="350">
        <v>0</v>
      </c>
      <c r="JE36" s="350">
        <v>0</v>
      </c>
      <c r="JF36" s="350">
        <v>0</v>
      </c>
      <c r="JG36" s="350">
        <v>0</v>
      </c>
      <c r="JH36" s="350">
        <v>0.3</v>
      </c>
      <c r="JI36" s="350">
        <v>0</v>
      </c>
      <c r="JJ36" s="350">
        <v>0</v>
      </c>
      <c r="JK36" s="350">
        <v>0</v>
      </c>
      <c r="JL36" s="350">
        <v>0</v>
      </c>
      <c r="JM36" s="350">
        <v>0</v>
      </c>
      <c r="JN36" s="350">
        <v>6.4</v>
      </c>
      <c r="JO36" s="350">
        <v>3.1</v>
      </c>
      <c r="JP36" s="350">
        <v>4.2699999999999996</v>
      </c>
      <c r="JQ36" s="350">
        <v>4.7</v>
      </c>
      <c r="JR36" s="351"/>
      <c r="JU36" s="348" t="s">
        <v>1872</v>
      </c>
      <c r="JV36" s="313">
        <f t="shared" si="2"/>
        <v>0.52</v>
      </c>
      <c r="JW36" s="313">
        <f t="shared" si="5"/>
        <v>0</v>
      </c>
      <c r="JX36" s="313">
        <f t="shared" si="5"/>
        <v>0</v>
      </c>
      <c r="JY36" s="313">
        <f t="shared" si="5"/>
        <v>0</v>
      </c>
      <c r="JZ36" s="313">
        <f t="shared" si="5"/>
        <v>0</v>
      </c>
      <c r="KA36" s="313">
        <f t="shared" si="5"/>
        <v>0</v>
      </c>
      <c r="KB36" s="313">
        <f t="shared" si="5"/>
        <v>0</v>
      </c>
      <c r="KC36" s="313">
        <f t="shared" si="5"/>
        <v>28.72</v>
      </c>
      <c r="KD36" s="313">
        <f t="shared" si="5"/>
        <v>0.06</v>
      </c>
      <c r="KE36" s="313">
        <f t="shared" si="5"/>
        <v>0.95</v>
      </c>
      <c r="KF36" s="313">
        <f t="shared" si="5"/>
        <v>1.21</v>
      </c>
      <c r="KG36" s="313">
        <f t="shared" si="5"/>
        <v>81.87</v>
      </c>
      <c r="KH36" s="313">
        <f t="shared" si="5"/>
        <v>243.38</v>
      </c>
      <c r="KI36" s="313">
        <f t="shared" si="5"/>
        <v>55.080000000000005</v>
      </c>
      <c r="KJ36" s="313">
        <f t="shared" si="5"/>
        <v>0.2</v>
      </c>
      <c r="KK36" s="313">
        <f t="shared" si="5"/>
        <v>7.77</v>
      </c>
      <c r="KL36" s="313">
        <f t="shared" si="5"/>
        <v>0</v>
      </c>
      <c r="KM36" s="313">
        <f t="shared" si="5"/>
        <v>0</v>
      </c>
      <c r="KN36" s="313">
        <f t="shared" si="5"/>
        <v>0</v>
      </c>
      <c r="KO36" s="313">
        <f t="shared" si="5"/>
        <v>0</v>
      </c>
      <c r="KP36" s="313">
        <f t="shared" si="5"/>
        <v>0.2</v>
      </c>
      <c r="KQ36" s="313">
        <f t="shared" si="5"/>
        <v>0</v>
      </c>
      <c r="KR36" s="313">
        <f t="shared" si="5"/>
        <v>0</v>
      </c>
      <c r="KS36" s="313">
        <f t="shared" si="5"/>
        <v>0</v>
      </c>
      <c r="KT36" s="313">
        <f t="shared" si="5"/>
        <v>0</v>
      </c>
      <c r="KU36" s="313">
        <f t="shared" si="5"/>
        <v>0</v>
      </c>
      <c r="KV36" s="313">
        <f t="shared" si="5"/>
        <v>0</v>
      </c>
      <c r="KW36" s="313">
        <f t="shared" si="5"/>
        <v>0</v>
      </c>
      <c r="KX36" s="313">
        <f t="shared" si="5"/>
        <v>0</v>
      </c>
      <c r="KY36" s="313">
        <f t="shared" si="5"/>
        <v>0</v>
      </c>
      <c r="KZ36" s="313">
        <f t="shared" si="5"/>
        <v>0</v>
      </c>
      <c r="LA36" s="313">
        <f t="shared" si="5"/>
        <v>1.3</v>
      </c>
      <c r="LB36" s="313">
        <f t="shared" si="5"/>
        <v>18.47</v>
      </c>
      <c r="LC36" s="313">
        <f t="shared" si="5"/>
        <v>0</v>
      </c>
    </row>
    <row r="37" spans="1:315" ht="25.5" x14ac:dyDescent="0.25">
      <c r="A37" s="313">
        <v>35</v>
      </c>
      <c r="B37" s="348" t="s">
        <v>1873</v>
      </c>
      <c r="C37" s="350">
        <v>0.16</v>
      </c>
      <c r="D37" s="350">
        <v>1.6</v>
      </c>
      <c r="E37" s="350">
        <v>0</v>
      </c>
      <c r="F37" s="350">
        <v>0</v>
      </c>
      <c r="G37" s="350">
        <v>0</v>
      </c>
      <c r="H37" s="350">
        <v>0</v>
      </c>
      <c r="I37" s="350">
        <v>0</v>
      </c>
      <c r="J37" s="350">
        <v>0</v>
      </c>
      <c r="K37" s="350">
        <v>0</v>
      </c>
      <c r="L37" s="350">
        <v>0</v>
      </c>
      <c r="M37" s="350">
        <v>0.59</v>
      </c>
      <c r="N37" s="350">
        <v>0.91</v>
      </c>
      <c r="O37" s="350">
        <v>0.53</v>
      </c>
      <c r="P37" s="350">
        <v>0</v>
      </c>
      <c r="Q37" s="350">
        <v>0</v>
      </c>
      <c r="R37" s="350">
        <v>0</v>
      </c>
      <c r="S37" s="350">
        <v>0</v>
      </c>
      <c r="T37" s="350">
        <v>1.0900000000000001</v>
      </c>
      <c r="U37" s="350">
        <v>0</v>
      </c>
      <c r="V37" s="350">
        <v>0</v>
      </c>
      <c r="W37" s="350">
        <v>0</v>
      </c>
      <c r="X37" s="350">
        <v>0.5</v>
      </c>
      <c r="Y37" s="350">
        <v>0</v>
      </c>
      <c r="Z37" s="350">
        <v>0</v>
      </c>
      <c r="AA37" s="350">
        <v>2.69</v>
      </c>
      <c r="AB37" s="350">
        <v>0.9</v>
      </c>
      <c r="AC37" s="350">
        <v>1</v>
      </c>
      <c r="AD37" s="350">
        <v>0.9</v>
      </c>
      <c r="AE37" s="350">
        <v>3.15</v>
      </c>
      <c r="AF37" s="350">
        <v>0</v>
      </c>
      <c r="AG37" s="350">
        <v>0</v>
      </c>
      <c r="AH37" s="350">
        <v>0.02</v>
      </c>
      <c r="AI37" s="350">
        <v>0</v>
      </c>
      <c r="AJ37" s="350">
        <v>0</v>
      </c>
      <c r="AK37" s="350">
        <v>0</v>
      </c>
      <c r="AL37" s="350">
        <v>0</v>
      </c>
      <c r="AM37" s="350">
        <v>0</v>
      </c>
      <c r="AN37" s="350">
        <v>0</v>
      </c>
      <c r="AO37" s="350">
        <v>0</v>
      </c>
      <c r="AP37" s="350">
        <v>0</v>
      </c>
      <c r="AQ37" s="350">
        <v>0</v>
      </c>
      <c r="AR37" s="350">
        <v>0</v>
      </c>
      <c r="AS37" s="350">
        <v>0</v>
      </c>
      <c r="AT37" s="350">
        <v>0</v>
      </c>
      <c r="AU37" s="350">
        <v>0</v>
      </c>
      <c r="AV37" s="350">
        <v>0</v>
      </c>
      <c r="AW37" s="351"/>
      <c r="AX37" s="350">
        <v>0</v>
      </c>
      <c r="AY37" s="350">
        <v>0</v>
      </c>
      <c r="AZ37" s="350">
        <v>0</v>
      </c>
      <c r="BA37" s="350">
        <v>0</v>
      </c>
      <c r="BB37" s="350">
        <v>0</v>
      </c>
      <c r="BC37" s="350">
        <v>0</v>
      </c>
      <c r="BD37" s="350">
        <v>0</v>
      </c>
      <c r="BE37" s="350">
        <v>0</v>
      </c>
      <c r="BF37" s="350">
        <v>0</v>
      </c>
      <c r="BG37" s="350">
        <v>0</v>
      </c>
      <c r="BH37" s="350">
        <v>0</v>
      </c>
      <c r="BI37" s="350">
        <v>0</v>
      </c>
      <c r="BJ37" s="350">
        <v>0</v>
      </c>
      <c r="BK37" s="350">
        <v>0</v>
      </c>
      <c r="BL37" s="350">
        <v>0</v>
      </c>
      <c r="BM37" s="350">
        <v>0</v>
      </c>
      <c r="BN37" s="350">
        <v>0</v>
      </c>
      <c r="BO37" s="350">
        <v>0</v>
      </c>
      <c r="BP37" s="350">
        <v>0</v>
      </c>
      <c r="BQ37" s="350">
        <v>0</v>
      </c>
      <c r="BR37" s="350">
        <v>0</v>
      </c>
      <c r="BS37" s="350">
        <v>0</v>
      </c>
      <c r="BT37" s="350">
        <v>0</v>
      </c>
      <c r="BU37" s="350">
        <v>0</v>
      </c>
      <c r="BV37" s="350">
        <v>0</v>
      </c>
      <c r="BW37" s="350">
        <v>0</v>
      </c>
      <c r="BX37" s="350">
        <v>0</v>
      </c>
      <c r="BY37" s="350">
        <v>0</v>
      </c>
      <c r="BZ37" s="350">
        <v>0</v>
      </c>
      <c r="CA37" s="350">
        <v>0</v>
      </c>
      <c r="CB37" s="350">
        <v>0</v>
      </c>
      <c r="CC37" s="350">
        <v>0.44</v>
      </c>
      <c r="CD37" s="350">
        <v>0</v>
      </c>
      <c r="CE37" s="350">
        <v>0</v>
      </c>
      <c r="CF37" s="350">
        <v>0</v>
      </c>
      <c r="CG37" s="350">
        <v>0</v>
      </c>
      <c r="CH37" s="350">
        <v>0</v>
      </c>
      <c r="CI37" s="350">
        <v>0</v>
      </c>
      <c r="CJ37" s="350">
        <v>0</v>
      </c>
      <c r="CK37" s="350">
        <v>0</v>
      </c>
      <c r="CL37" s="350">
        <v>0</v>
      </c>
      <c r="CM37" s="350">
        <v>0</v>
      </c>
      <c r="CN37" s="350">
        <v>0</v>
      </c>
      <c r="CO37" s="350">
        <v>0</v>
      </c>
      <c r="CP37" s="350">
        <v>0</v>
      </c>
      <c r="CQ37" s="350">
        <v>0.1</v>
      </c>
      <c r="CR37" s="350">
        <v>0</v>
      </c>
      <c r="CS37" s="350">
        <v>0</v>
      </c>
      <c r="CT37" s="350">
        <v>0</v>
      </c>
      <c r="CU37" s="350">
        <v>0</v>
      </c>
      <c r="CV37" s="350">
        <v>0.12</v>
      </c>
      <c r="CW37" s="350">
        <v>0</v>
      </c>
      <c r="CX37" s="350">
        <v>0</v>
      </c>
      <c r="CY37" s="350">
        <v>0</v>
      </c>
      <c r="CZ37" s="350">
        <v>0.1</v>
      </c>
      <c r="DA37" s="350">
        <v>0.18</v>
      </c>
      <c r="DB37" s="350">
        <v>0</v>
      </c>
      <c r="DC37" s="350">
        <v>0</v>
      </c>
      <c r="DD37" s="350">
        <v>0</v>
      </c>
      <c r="DE37" s="350">
        <v>1.3</v>
      </c>
      <c r="DF37" s="350">
        <v>7.0000000000000007E-2</v>
      </c>
      <c r="DG37" s="350">
        <v>0</v>
      </c>
      <c r="DH37" s="350">
        <v>0</v>
      </c>
      <c r="DI37" s="350">
        <v>0</v>
      </c>
      <c r="DJ37" s="350">
        <v>0</v>
      </c>
      <c r="DK37" s="350">
        <v>0</v>
      </c>
      <c r="DL37" s="350">
        <v>0.93</v>
      </c>
      <c r="DM37" s="350">
        <v>0</v>
      </c>
      <c r="DN37" s="350">
        <v>0.03</v>
      </c>
      <c r="DO37" s="350">
        <v>0</v>
      </c>
      <c r="DP37" s="350">
        <v>0.1</v>
      </c>
      <c r="DQ37" s="350">
        <v>1.54</v>
      </c>
      <c r="DR37" s="350">
        <v>0</v>
      </c>
      <c r="DS37" s="350">
        <v>0</v>
      </c>
      <c r="DT37" s="350">
        <v>0</v>
      </c>
      <c r="DU37" s="350">
        <v>0.47</v>
      </c>
      <c r="DV37" s="350">
        <v>1.25</v>
      </c>
      <c r="DW37" s="350">
        <v>4.24</v>
      </c>
      <c r="DX37" s="350">
        <v>0</v>
      </c>
      <c r="DY37" s="350">
        <v>0.1</v>
      </c>
      <c r="DZ37" s="350">
        <v>0</v>
      </c>
      <c r="EA37" s="350">
        <v>0.4</v>
      </c>
      <c r="EB37" s="350">
        <v>0</v>
      </c>
      <c r="EC37" s="350">
        <v>0.75</v>
      </c>
      <c r="ED37" s="350">
        <v>0</v>
      </c>
      <c r="EE37" s="350">
        <v>0</v>
      </c>
      <c r="EF37" s="350">
        <v>0</v>
      </c>
      <c r="EG37" s="350">
        <v>0</v>
      </c>
      <c r="EH37" s="350">
        <v>0.52</v>
      </c>
      <c r="EI37" s="350">
        <v>0</v>
      </c>
      <c r="EJ37" s="350">
        <v>0</v>
      </c>
      <c r="EK37" s="350">
        <v>0</v>
      </c>
      <c r="EL37" s="350">
        <v>0</v>
      </c>
      <c r="EM37" s="350">
        <v>0</v>
      </c>
      <c r="EN37" s="350">
        <v>0</v>
      </c>
      <c r="EO37" s="350">
        <v>0</v>
      </c>
      <c r="EP37" s="350">
        <v>0</v>
      </c>
      <c r="EQ37" s="350">
        <v>0</v>
      </c>
      <c r="ER37" s="350">
        <v>0</v>
      </c>
      <c r="ES37" s="350">
        <v>0</v>
      </c>
      <c r="ET37" s="350">
        <v>0</v>
      </c>
      <c r="EU37" s="350">
        <v>0</v>
      </c>
      <c r="EV37" s="350">
        <v>0</v>
      </c>
      <c r="EW37" s="350">
        <v>0</v>
      </c>
      <c r="EX37" s="350">
        <v>0</v>
      </c>
      <c r="EY37" s="350">
        <v>0</v>
      </c>
      <c r="EZ37" s="350">
        <v>0</v>
      </c>
      <c r="FA37" s="350">
        <v>0</v>
      </c>
      <c r="FB37" s="350">
        <v>0</v>
      </c>
      <c r="FC37" s="350">
        <v>0</v>
      </c>
      <c r="FD37" s="350">
        <v>0</v>
      </c>
      <c r="FE37" s="350">
        <v>0</v>
      </c>
      <c r="FF37" s="350">
        <v>0</v>
      </c>
      <c r="FG37" s="350">
        <v>0</v>
      </c>
      <c r="FH37" s="350">
        <v>0</v>
      </c>
      <c r="FI37" s="350">
        <v>0</v>
      </c>
      <c r="FJ37" s="350">
        <v>0</v>
      </c>
      <c r="FK37" s="350">
        <v>0</v>
      </c>
      <c r="FL37" s="350">
        <v>0</v>
      </c>
      <c r="FM37" s="350">
        <v>0</v>
      </c>
      <c r="FN37" s="350">
        <v>0</v>
      </c>
      <c r="FO37" s="350">
        <v>0</v>
      </c>
      <c r="FP37" s="350">
        <v>0</v>
      </c>
      <c r="FQ37" s="350">
        <v>0</v>
      </c>
      <c r="FR37" s="350">
        <v>0</v>
      </c>
      <c r="FS37" s="350">
        <v>0</v>
      </c>
      <c r="FT37" s="350">
        <v>0</v>
      </c>
      <c r="FU37" s="350">
        <v>0</v>
      </c>
      <c r="FV37" s="350">
        <v>0</v>
      </c>
      <c r="FW37" s="350">
        <v>0</v>
      </c>
      <c r="FX37" s="350">
        <v>0</v>
      </c>
      <c r="FY37" s="350">
        <v>0</v>
      </c>
      <c r="FZ37" s="350">
        <v>0</v>
      </c>
      <c r="GA37" s="350">
        <v>0</v>
      </c>
      <c r="GB37" s="350">
        <v>0</v>
      </c>
      <c r="GC37" s="350">
        <v>0</v>
      </c>
      <c r="GD37" s="350">
        <v>0</v>
      </c>
      <c r="GE37" s="350">
        <v>0</v>
      </c>
      <c r="GF37" s="350">
        <v>0</v>
      </c>
      <c r="GG37" s="350">
        <v>0</v>
      </c>
      <c r="GH37" s="350">
        <v>0</v>
      </c>
      <c r="GI37" s="350">
        <v>0</v>
      </c>
      <c r="GJ37" s="350">
        <v>0</v>
      </c>
      <c r="GK37" s="350">
        <v>0</v>
      </c>
      <c r="GL37" s="350">
        <v>0.05</v>
      </c>
      <c r="GM37" s="350">
        <v>0</v>
      </c>
      <c r="GN37" s="350">
        <v>0</v>
      </c>
      <c r="GO37" s="350">
        <v>4.3600000000000003</v>
      </c>
      <c r="GP37" s="350">
        <v>0</v>
      </c>
      <c r="GQ37" s="350">
        <v>623492</v>
      </c>
      <c r="GR37" s="350">
        <v>0.25</v>
      </c>
      <c r="GS37" s="350">
        <v>1</v>
      </c>
      <c r="GT37" s="350">
        <v>0</v>
      </c>
      <c r="GU37" s="350">
        <v>0</v>
      </c>
      <c r="GV37" s="350">
        <v>0</v>
      </c>
      <c r="GW37" s="350">
        <v>0</v>
      </c>
      <c r="GX37" s="350">
        <v>0</v>
      </c>
      <c r="GY37" s="350">
        <v>0</v>
      </c>
      <c r="GZ37" s="350">
        <v>0</v>
      </c>
      <c r="HA37" s="350">
        <v>0.85</v>
      </c>
      <c r="HB37" s="350">
        <v>0.04</v>
      </c>
      <c r="HC37" s="350">
        <v>0</v>
      </c>
      <c r="HD37" s="350">
        <v>0</v>
      </c>
      <c r="HE37" s="350">
        <v>0</v>
      </c>
      <c r="HF37" s="350">
        <v>0</v>
      </c>
      <c r="HG37" s="350">
        <v>0</v>
      </c>
      <c r="HH37" s="350">
        <v>0</v>
      </c>
      <c r="HI37" s="350">
        <v>0</v>
      </c>
      <c r="HJ37" s="350">
        <v>0</v>
      </c>
      <c r="HK37" s="350">
        <v>0</v>
      </c>
      <c r="HL37" s="350">
        <v>0</v>
      </c>
      <c r="HM37" s="350">
        <v>0</v>
      </c>
      <c r="HN37" s="350">
        <v>0</v>
      </c>
      <c r="HO37" s="350">
        <v>0</v>
      </c>
      <c r="HP37" s="350">
        <v>0</v>
      </c>
      <c r="HQ37" s="350">
        <v>0.12</v>
      </c>
      <c r="HR37" s="350">
        <v>0</v>
      </c>
      <c r="HS37" s="350">
        <v>0</v>
      </c>
      <c r="HT37" s="350">
        <v>0</v>
      </c>
      <c r="HU37" s="350">
        <v>0</v>
      </c>
      <c r="HV37" s="350">
        <v>0</v>
      </c>
      <c r="HW37" s="350">
        <v>0</v>
      </c>
      <c r="HX37" s="350">
        <v>0</v>
      </c>
      <c r="HY37" s="350">
        <v>0.65</v>
      </c>
      <c r="HZ37" s="350">
        <v>0</v>
      </c>
      <c r="IA37" s="350">
        <v>0.09</v>
      </c>
      <c r="IB37" s="350">
        <v>0.93</v>
      </c>
      <c r="IC37" s="350">
        <v>0</v>
      </c>
      <c r="ID37" s="350">
        <v>0</v>
      </c>
      <c r="IE37" s="350">
        <v>0</v>
      </c>
      <c r="IF37" s="350">
        <v>0.03</v>
      </c>
      <c r="IG37" s="350">
        <v>0</v>
      </c>
      <c r="IH37" s="350">
        <v>0</v>
      </c>
      <c r="II37" s="350">
        <v>0</v>
      </c>
      <c r="IJ37" s="350">
        <v>0</v>
      </c>
      <c r="IK37" s="350">
        <v>0</v>
      </c>
      <c r="IL37" s="350">
        <v>0</v>
      </c>
      <c r="IM37" s="351"/>
      <c r="IN37" s="350">
        <v>0</v>
      </c>
      <c r="IO37" s="350">
        <v>1.63</v>
      </c>
      <c r="IP37" s="350">
        <v>0</v>
      </c>
      <c r="IQ37" s="350">
        <v>0</v>
      </c>
      <c r="IR37" s="350">
        <v>0</v>
      </c>
      <c r="IS37" s="350">
        <v>0</v>
      </c>
      <c r="IT37" s="350">
        <v>0.54</v>
      </c>
      <c r="IU37" s="350">
        <v>0</v>
      </c>
      <c r="IV37" s="350">
        <v>0</v>
      </c>
      <c r="IW37" s="350">
        <v>0</v>
      </c>
      <c r="IX37" s="350">
        <v>1</v>
      </c>
      <c r="IY37" s="350">
        <v>0</v>
      </c>
      <c r="IZ37" s="350">
        <v>0</v>
      </c>
      <c r="JA37" s="350">
        <v>0</v>
      </c>
      <c r="JB37" s="350">
        <v>0</v>
      </c>
      <c r="JC37" s="350">
        <v>0</v>
      </c>
      <c r="JD37" s="350">
        <v>0</v>
      </c>
      <c r="JE37" s="350">
        <v>0</v>
      </c>
      <c r="JF37" s="350">
        <v>0</v>
      </c>
      <c r="JG37" s="350">
        <v>0.36</v>
      </c>
      <c r="JH37" s="350">
        <v>0</v>
      </c>
      <c r="JI37" s="350">
        <v>0</v>
      </c>
      <c r="JJ37" s="350">
        <v>0</v>
      </c>
      <c r="JK37" s="350">
        <v>0.5</v>
      </c>
      <c r="JL37" s="350">
        <v>0</v>
      </c>
      <c r="JM37" s="350">
        <v>0</v>
      </c>
      <c r="JN37" s="350">
        <v>0</v>
      </c>
      <c r="JO37" s="350">
        <v>0.1</v>
      </c>
      <c r="JP37" s="350">
        <v>0</v>
      </c>
      <c r="JQ37" s="350">
        <v>0</v>
      </c>
      <c r="JR37" s="351"/>
      <c r="JU37" s="348" t="s">
        <v>1873</v>
      </c>
      <c r="JV37" s="313">
        <f t="shared" si="2"/>
        <v>5.38</v>
      </c>
      <c r="JW37" s="313">
        <f t="shared" si="5"/>
        <v>8.64</v>
      </c>
      <c r="JX37" s="313">
        <f t="shared" si="5"/>
        <v>0.02</v>
      </c>
      <c r="JY37" s="313">
        <f t="shared" si="5"/>
        <v>0.44</v>
      </c>
      <c r="JZ37" s="313">
        <f t="shared" si="5"/>
        <v>0</v>
      </c>
      <c r="KA37" s="313">
        <f t="shared" si="5"/>
        <v>0</v>
      </c>
      <c r="KB37" s="313">
        <f t="shared" si="5"/>
        <v>0</v>
      </c>
      <c r="KC37" s="313">
        <f t="shared" si="5"/>
        <v>0.5</v>
      </c>
      <c r="KD37" s="313">
        <f t="shared" si="5"/>
        <v>1.37</v>
      </c>
      <c r="KE37" s="313">
        <f t="shared" si="5"/>
        <v>8.56</v>
      </c>
      <c r="KF37" s="313">
        <f t="shared" si="5"/>
        <v>0.1</v>
      </c>
      <c r="KG37" s="313">
        <f t="shared" si="5"/>
        <v>1.67</v>
      </c>
      <c r="KH37" s="313">
        <f t="shared" si="5"/>
        <v>0</v>
      </c>
      <c r="KI37" s="313">
        <f t="shared" ref="JW37:LC41" si="6">SUMIFS($C37:$JR37,$C$2:$JR$2,KI$2)</f>
        <v>0</v>
      </c>
      <c r="KJ37" s="313">
        <f t="shared" si="6"/>
        <v>0</v>
      </c>
      <c r="KK37" s="313">
        <f t="shared" si="6"/>
        <v>0</v>
      </c>
      <c r="KL37" s="313">
        <f t="shared" si="6"/>
        <v>4.41</v>
      </c>
      <c r="KM37" s="313">
        <f t="shared" si="6"/>
        <v>623492</v>
      </c>
      <c r="KN37" s="313">
        <f t="shared" si="6"/>
        <v>1.25</v>
      </c>
      <c r="KO37" s="313">
        <f t="shared" si="6"/>
        <v>0</v>
      </c>
      <c r="KP37" s="313">
        <f t="shared" si="6"/>
        <v>0</v>
      </c>
      <c r="KQ37" s="313">
        <f t="shared" si="6"/>
        <v>0.85</v>
      </c>
      <c r="KR37" s="313">
        <f t="shared" si="6"/>
        <v>0.04</v>
      </c>
      <c r="KS37" s="313">
        <f t="shared" si="6"/>
        <v>0</v>
      </c>
      <c r="KT37" s="313">
        <f t="shared" si="6"/>
        <v>0</v>
      </c>
      <c r="KU37" s="313">
        <f t="shared" si="6"/>
        <v>0</v>
      </c>
      <c r="KV37" s="313">
        <f t="shared" si="6"/>
        <v>0.12</v>
      </c>
      <c r="KW37" s="313">
        <f t="shared" si="6"/>
        <v>1.67</v>
      </c>
      <c r="KX37" s="313">
        <f t="shared" si="6"/>
        <v>0.03</v>
      </c>
      <c r="KY37" s="313">
        <f t="shared" si="6"/>
        <v>0</v>
      </c>
      <c r="KZ37" s="313">
        <f t="shared" si="6"/>
        <v>0</v>
      </c>
      <c r="LA37" s="313">
        <f t="shared" si="6"/>
        <v>4.0299999999999994</v>
      </c>
      <c r="LB37" s="313">
        <f t="shared" si="6"/>
        <v>0.1</v>
      </c>
      <c r="LC37" s="313">
        <f t="shared" si="6"/>
        <v>0</v>
      </c>
    </row>
    <row r="38" spans="1:315" x14ac:dyDescent="0.25">
      <c r="A38" s="313">
        <v>36</v>
      </c>
      <c r="B38" s="348" t="s">
        <v>1874</v>
      </c>
      <c r="C38" s="350">
        <v>3</v>
      </c>
      <c r="D38" s="350">
        <v>0</v>
      </c>
      <c r="E38" s="350">
        <v>0.3</v>
      </c>
      <c r="F38" s="350">
        <v>0.25</v>
      </c>
      <c r="G38" s="350">
        <v>0.25</v>
      </c>
      <c r="H38" s="350">
        <v>1</v>
      </c>
      <c r="I38" s="350">
        <v>0.41</v>
      </c>
      <c r="J38" s="350">
        <v>0.86</v>
      </c>
      <c r="K38" s="350">
        <v>0.47</v>
      </c>
      <c r="L38" s="350">
        <v>0.4</v>
      </c>
      <c r="M38" s="350">
        <v>1.19</v>
      </c>
      <c r="N38" s="350">
        <v>0.55000000000000004</v>
      </c>
      <c r="O38" s="350">
        <v>0</v>
      </c>
      <c r="P38" s="350">
        <v>0.5</v>
      </c>
      <c r="Q38" s="350">
        <v>0.65</v>
      </c>
      <c r="R38" s="350">
        <v>0.5</v>
      </c>
      <c r="S38" s="350">
        <v>0.41</v>
      </c>
      <c r="T38" s="350">
        <v>0.76</v>
      </c>
      <c r="U38" s="350">
        <v>0.23</v>
      </c>
      <c r="V38" s="350">
        <v>0.34</v>
      </c>
      <c r="W38" s="350">
        <v>0.25</v>
      </c>
      <c r="X38" s="350">
        <v>0.3</v>
      </c>
      <c r="Y38" s="350">
        <v>0.15</v>
      </c>
      <c r="Z38" s="350">
        <v>0.3</v>
      </c>
      <c r="AA38" s="350">
        <v>0</v>
      </c>
      <c r="AB38" s="350">
        <v>0</v>
      </c>
      <c r="AC38" s="350">
        <v>0</v>
      </c>
      <c r="AD38" s="350">
        <v>0</v>
      </c>
      <c r="AE38" s="350">
        <v>0.3</v>
      </c>
      <c r="AF38" s="350">
        <v>0.8</v>
      </c>
      <c r="AG38" s="350">
        <v>1.3</v>
      </c>
      <c r="AH38" s="350">
        <v>0.21</v>
      </c>
      <c r="AI38" s="350">
        <v>0</v>
      </c>
      <c r="AJ38" s="350">
        <v>1.07</v>
      </c>
      <c r="AK38" s="350">
        <v>2.16</v>
      </c>
      <c r="AL38" s="350">
        <v>0.8</v>
      </c>
      <c r="AM38" s="350">
        <v>0.5</v>
      </c>
      <c r="AN38" s="350">
        <v>0</v>
      </c>
      <c r="AO38" s="350">
        <v>0.9</v>
      </c>
      <c r="AP38" s="350">
        <v>0.85</v>
      </c>
      <c r="AQ38" s="350">
        <v>1.37</v>
      </c>
      <c r="AR38" s="350">
        <v>0</v>
      </c>
      <c r="AS38" s="350">
        <v>1.2</v>
      </c>
      <c r="AT38" s="350">
        <v>0.8</v>
      </c>
      <c r="AU38" s="350">
        <v>0.13</v>
      </c>
      <c r="AV38" s="350">
        <v>0.25</v>
      </c>
      <c r="AW38" s="351"/>
      <c r="AX38" s="350">
        <v>0.12</v>
      </c>
      <c r="AY38" s="350">
        <v>1</v>
      </c>
      <c r="AZ38" s="350">
        <v>0</v>
      </c>
      <c r="BA38" s="350">
        <v>0.2</v>
      </c>
      <c r="BB38" s="350">
        <v>1</v>
      </c>
      <c r="BC38" s="350">
        <v>0</v>
      </c>
      <c r="BD38" s="350">
        <v>0</v>
      </c>
      <c r="BE38" s="350">
        <v>0</v>
      </c>
      <c r="BF38" s="350">
        <v>0</v>
      </c>
      <c r="BG38" s="350">
        <v>0</v>
      </c>
      <c r="BH38" s="350">
        <v>0</v>
      </c>
      <c r="BI38" s="350">
        <v>0</v>
      </c>
      <c r="BJ38" s="350">
        <v>0.2</v>
      </c>
      <c r="BK38" s="350">
        <v>0</v>
      </c>
      <c r="BL38" s="350">
        <v>1</v>
      </c>
      <c r="BM38" s="350">
        <v>5</v>
      </c>
      <c r="BN38" s="350">
        <v>2.35</v>
      </c>
      <c r="BO38" s="350">
        <v>0.51</v>
      </c>
      <c r="BP38" s="350">
        <v>0</v>
      </c>
      <c r="BQ38" s="350">
        <v>0</v>
      </c>
      <c r="BR38" s="350">
        <v>1.1299999999999999</v>
      </c>
      <c r="BS38" s="350">
        <v>1.1499999999999999</v>
      </c>
      <c r="BT38" s="350">
        <v>0</v>
      </c>
      <c r="BU38" s="350">
        <v>0.48</v>
      </c>
      <c r="BV38" s="350">
        <v>1.4</v>
      </c>
      <c r="BW38" s="350">
        <v>2.0299999999999998</v>
      </c>
      <c r="BX38" s="350">
        <v>0</v>
      </c>
      <c r="BY38" s="350">
        <v>1.2</v>
      </c>
      <c r="BZ38" s="350">
        <v>2.58</v>
      </c>
      <c r="CA38" s="350">
        <v>5</v>
      </c>
      <c r="CB38" s="350">
        <v>0.1</v>
      </c>
      <c r="CC38" s="350">
        <v>1.55</v>
      </c>
      <c r="CD38" s="350">
        <v>5.0199999999999996</v>
      </c>
      <c r="CE38" s="350">
        <v>0.19</v>
      </c>
      <c r="CF38" s="350">
        <v>0.4</v>
      </c>
      <c r="CG38" s="350">
        <v>2.4</v>
      </c>
      <c r="CH38" s="350">
        <v>0.18</v>
      </c>
      <c r="CI38" s="350">
        <v>0.25</v>
      </c>
      <c r="CJ38" s="350">
        <v>0.8</v>
      </c>
      <c r="CK38" s="350">
        <v>1.56</v>
      </c>
      <c r="CL38" s="350">
        <v>7.0000000000000007E-2</v>
      </c>
      <c r="CM38" s="350">
        <v>1.05</v>
      </c>
      <c r="CN38" s="350">
        <v>0.2</v>
      </c>
      <c r="CO38" s="350">
        <v>0.25</v>
      </c>
      <c r="CP38" s="350">
        <v>1.3</v>
      </c>
      <c r="CQ38" s="350">
        <v>0.35</v>
      </c>
      <c r="CR38" s="350">
        <v>2.11</v>
      </c>
      <c r="CS38" s="350">
        <v>0.16</v>
      </c>
      <c r="CT38" s="350">
        <v>0.5</v>
      </c>
      <c r="CU38" s="350">
        <v>0.13</v>
      </c>
      <c r="CV38" s="350">
        <v>1.29</v>
      </c>
      <c r="CW38" s="350">
        <v>0.3</v>
      </c>
      <c r="CX38" s="350">
        <v>0.52</v>
      </c>
      <c r="CY38" s="350">
        <v>0.05</v>
      </c>
      <c r="CZ38" s="350">
        <v>4.1399999999999997</v>
      </c>
      <c r="DA38" s="350">
        <v>7.08</v>
      </c>
      <c r="DB38" s="350">
        <v>0</v>
      </c>
      <c r="DC38" s="350">
        <v>0</v>
      </c>
      <c r="DD38" s="350">
        <v>7.0000000000000007E-2</v>
      </c>
      <c r="DE38" s="350">
        <v>1.6</v>
      </c>
      <c r="DF38" s="350">
        <v>0.21</v>
      </c>
      <c r="DG38" s="350">
        <v>0.13</v>
      </c>
      <c r="DH38" s="350">
        <v>0</v>
      </c>
      <c r="DI38" s="350">
        <v>0</v>
      </c>
      <c r="DJ38" s="350">
        <v>0.52</v>
      </c>
      <c r="DK38" s="350">
        <v>0.25</v>
      </c>
      <c r="DL38" s="350">
        <v>2.96</v>
      </c>
      <c r="DM38" s="350">
        <v>0</v>
      </c>
      <c r="DN38" s="350">
        <v>0.23</v>
      </c>
      <c r="DO38" s="350">
        <v>0.09</v>
      </c>
      <c r="DP38" s="350">
        <v>0.5</v>
      </c>
      <c r="DQ38" s="350">
        <v>0.97</v>
      </c>
      <c r="DR38" s="350">
        <v>1.82</v>
      </c>
      <c r="DS38" s="350">
        <v>0.19</v>
      </c>
      <c r="DT38" s="350">
        <v>0.3</v>
      </c>
      <c r="DU38" s="350">
        <v>1.93</v>
      </c>
      <c r="DV38" s="350">
        <v>1.75</v>
      </c>
      <c r="DW38" s="350">
        <v>4.72</v>
      </c>
      <c r="DX38" s="350">
        <v>1.1399999999999999</v>
      </c>
      <c r="DY38" s="350">
        <v>0.96</v>
      </c>
      <c r="DZ38" s="350">
        <v>2.37</v>
      </c>
      <c r="EA38" s="350">
        <v>1.2</v>
      </c>
      <c r="EB38" s="350">
        <v>5</v>
      </c>
      <c r="EC38" s="350">
        <v>3.5</v>
      </c>
      <c r="ED38" s="350">
        <v>0.66</v>
      </c>
      <c r="EE38" s="350">
        <v>6</v>
      </c>
      <c r="EF38" s="350">
        <v>4.75</v>
      </c>
      <c r="EG38" s="350">
        <v>1.9</v>
      </c>
      <c r="EH38" s="350">
        <v>4.6399999999999997</v>
      </c>
      <c r="EI38" s="350">
        <v>3.93</v>
      </c>
      <c r="EJ38" s="350">
        <v>5</v>
      </c>
      <c r="EK38" s="350">
        <v>3.48</v>
      </c>
      <c r="EL38" s="350">
        <v>0.91</v>
      </c>
      <c r="EM38" s="350">
        <v>4</v>
      </c>
      <c r="EN38" s="350">
        <v>1.63</v>
      </c>
      <c r="EO38" s="350">
        <v>3.88</v>
      </c>
      <c r="EP38" s="350">
        <v>4</v>
      </c>
      <c r="EQ38" s="350">
        <v>3.54</v>
      </c>
      <c r="ER38" s="350">
        <v>4</v>
      </c>
      <c r="ES38" s="350">
        <v>5</v>
      </c>
      <c r="ET38" s="350">
        <v>3</v>
      </c>
      <c r="EU38" s="350">
        <v>3.48</v>
      </c>
      <c r="EV38" s="350">
        <v>4.6900000000000004</v>
      </c>
      <c r="EW38" s="350">
        <v>5</v>
      </c>
      <c r="EX38" s="350">
        <v>3.9</v>
      </c>
      <c r="EY38" s="350">
        <v>3</v>
      </c>
      <c r="EZ38" s="350">
        <v>6</v>
      </c>
      <c r="FA38" s="350">
        <v>3.24</v>
      </c>
      <c r="FB38" s="350">
        <v>8.31</v>
      </c>
      <c r="FC38" s="350">
        <v>1.1000000000000001</v>
      </c>
      <c r="FD38" s="350">
        <v>4.0999999999999996</v>
      </c>
      <c r="FE38" s="350">
        <v>2.38</v>
      </c>
      <c r="FF38" s="350">
        <v>1.35</v>
      </c>
      <c r="FG38" s="350">
        <v>1.56</v>
      </c>
      <c r="FH38" s="350">
        <v>2</v>
      </c>
      <c r="FI38" s="350">
        <v>2</v>
      </c>
      <c r="FJ38" s="350">
        <v>4.96</v>
      </c>
      <c r="FK38" s="350">
        <v>5.34</v>
      </c>
      <c r="FL38" s="350">
        <v>3</v>
      </c>
      <c r="FM38" s="350">
        <v>3.4</v>
      </c>
      <c r="FN38" s="350">
        <v>4</v>
      </c>
      <c r="FO38" s="350">
        <v>0.69</v>
      </c>
      <c r="FP38" s="350">
        <v>5</v>
      </c>
      <c r="FQ38" s="350">
        <v>4.38</v>
      </c>
      <c r="FR38" s="350">
        <v>5.16</v>
      </c>
      <c r="FS38" s="350">
        <v>2.52</v>
      </c>
      <c r="FT38" s="350">
        <v>4.5199999999999996</v>
      </c>
      <c r="FU38" s="350">
        <v>0.6</v>
      </c>
      <c r="FV38" s="350">
        <v>1.61</v>
      </c>
      <c r="FW38" s="350">
        <v>1.8</v>
      </c>
      <c r="FX38" s="350">
        <v>0</v>
      </c>
      <c r="FY38" s="350">
        <v>2.2000000000000002</v>
      </c>
      <c r="FZ38" s="350">
        <v>1.89</v>
      </c>
      <c r="GA38" s="350">
        <v>0.5</v>
      </c>
      <c r="GB38" s="350">
        <v>0.5</v>
      </c>
      <c r="GC38" s="350">
        <v>0.25</v>
      </c>
      <c r="GD38" s="350">
        <v>0.4</v>
      </c>
      <c r="GE38" s="350">
        <v>0.21</v>
      </c>
      <c r="GF38" s="350">
        <v>0</v>
      </c>
      <c r="GG38" s="350">
        <v>2.2999999999999998</v>
      </c>
      <c r="GH38" s="350">
        <v>0.3</v>
      </c>
      <c r="GI38" s="350">
        <v>1.08</v>
      </c>
      <c r="GJ38" s="350">
        <v>0</v>
      </c>
      <c r="GK38" s="350">
        <v>0.01</v>
      </c>
      <c r="GL38" s="350">
        <v>0.52</v>
      </c>
      <c r="GM38" s="350">
        <v>0.3</v>
      </c>
      <c r="GN38" s="350">
        <v>0.21</v>
      </c>
      <c r="GO38" s="350">
        <v>1.28</v>
      </c>
      <c r="GP38" s="350">
        <v>0.4</v>
      </c>
      <c r="GQ38" s="350">
        <v>0</v>
      </c>
      <c r="GR38" s="350">
        <v>2.5</v>
      </c>
      <c r="GS38" s="350">
        <v>2.11</v>
      </c>
      <c r="GT38" s="350">
        <v>1.03</v>
      </c>
      <c r="GU38" s="350">
        <v>1.54</v>
      </c>
      <c r="GV38" s="350">
        <v>0</v>
      </c>
      <c r="GW38" s="350">
        <v>0.75</v>
      </c>
      <c r="GX38" s="350">
        <v>0.7</v>
      </c>
      <c r="GY38" s="350">
        <v>0.65</v>
      </c>
      <c r="GZ38" s="350">
        <v>0.3</v>
      </c>
      <c r="HA38" s="350">
        <v>0</v>
      </c>
      <c r="HB38" s="350">
        <v>1</v>
      </c>
      <c r="HC38" s="350">
        <v>0.5</v>
      </c>
      <c r="HD38" s="350">
        <v>0.13</v>
      </c>
      <c r="HE38" s="350">
        <v>0.78</v>
      </c>
      <c r="HF38" s="350">
        <v>0.65</v>
      </c>
      <c r="HG38" s="350">
        <v>0.65</v>
      </c>
      <c r="HH38" s="350">
        <v>0.66</v>
      </c>
      <c r="HI38" s="350">
        <v>1.22</v>
      </c>
      <c r="HJ38" s="350">
        <v>0</v>
      </c>
      <c r="HK38" s="350">
        <v>1</v>
      </c>
      <c r="HL38" s="350">
        <v>1.52</v>
      </c>
      <c r="HM38" s="350">
        <v>0.3</v>
      </c>
      <c r="HN38" s="350">
        <v>1.1499999999999999</v>
      </c>
      <c r="HO38" s="350">
        <v>0.23</v>
      </c>
      <c r="HP38" s="350">
        <v>0.26</v>
      </c>
      <c r="HQ38" s="350">
        <v>0</v>
      </c>
      <c r="HR38" s="350">
        <v>0.1</v>
      </c>
      <c r="HS38" s="350">
        <v>1.3</v>
      </c>
      <c r="HT38" s="350">
        <v>1.52</v>
      </c>
      <c r="HU38" s="350">
        <v>0.21</v>
      </c>
      <c r="HV38" s="350">
        <v>1</v>
      </c>
      <c r="HW38" s="350">
        <v>0.99</v>
      </c>
      <c r="HX38" s="350">
        <v>0</v>
      </c>
      <c r="HY38" s="350">
        <v>1.99</v>
      </c>
      <c r="HZ38" s="350">
        <v>0.02</v>
      </c>
      <c r="IA38" s="350">
        <v>0.28000000000000003</v>
      </c>
      <c r="IB38" s="350">
        <v>1.39</v>
      </c>
      <c r="IC38" s="350">
        <v>1.52</v>
      </c>
      <c r="ID38" s="350">
        <v>1.19</v>
      </c>
      <c r="IE38" s="350">
        <v>0</v>
      </c>
      <c r="IF38" s="350">
        <v>1.35</v>
      </c>
      <c r="IG38" s="350">
        <v>0.3</v>
      </c>
      <c r="IH38" s="350">
        <v>0.24</v>
      </c>
      <c r="II38" s="350">
        <v>1.75</v>
      </c>
      <c r="IJ38" s="350">
        <v>0.5</v>
      </c>
      <c r="IK38" s="350">
        <v>0.52</v>
      </c>
      <c r="IL38" s="350">
        <v>0.55000000000000004</v>
      </c>
      <c r="IM38" s="351"/>
      <c r="IN38" s="350">
        <v>0.52</v>
      </c>
      <c r="IO38" s="350">
        <v>0.64</v>
      </c>
      <c r="IP38" s="350">
        <v>0.23</v>
      </c>
      <c r="IQ38" s="350">
        <v>0.21</v>
      </c>
      <c r="IR38" s="350">
        <v>0.5</v>
      </c>
      <c r="IS38" s="350">
        <v>0.25</v>
      </c>
      <c r="IT38" s="350">
        <v>0.74</v>
      </c>
      <c r="IU38" s="350">
        <v>0</v>
      </c>
      <c r="IV38" s="350">
        <v>4</v>
      </c>
      <c r="IW38" s="350">
        <v>0.16</v>
      </c>
      <c r="IX38" s="350">
        <v>1</v>
      </c>
      <c r="IY38" s="350">
        <v>0.19</v>
      </c>
      <c r="IZ38" s="350">
        <v>0.7</v>
      </c>
      <c r="JA38" s="350">
        <v>1.22</v>
      </c>
      <c r="JB38" s="350">
        <v>1.93</v>
      </c>
      <c r="JC38" s="350">
        <v>1.49</v>
      </c>
      <c r="JD38" s="350">
        <v>0.5</v>
      </c>
      <c r="JE38" s="350">
        <v>0.25</v>
      </c>
      <c r="JF38" s="350">
        <v>0.5</v>
      </c>
      <c r="JG38" s="350">
        <v>0.66</v>
      </c>
      <c r="JH38" s="350">
        <v>0.3</v>
      </c>
      <c r="JI38" s="350">
        <v>1.3</v>
      </c>
      <c r="JJ38" s="350">
        <v>0.2</v>
      </c>
      <c r="JK38" s="350">
        <v>0.4</v>
      </c>
      <c r="JL38" s="350">
        <v>0.21</v>
      </c>
      <c r="JM38" s="350">
        <v>0.8</v>
      </c>
      <c r="JN38" s="350">
        <v>1.75</v>
      </c>
      <c r="JO38" s="350">
        <v>0.5</v>
      </c>
      <c r="JP38" s="350">
        <v>0.31</v>
      </c>
      <c r="JQ38" s="350">
        <v>0.51</v>
      </c>
      <c r="JR38" s="351"/>
      <c r="JU38" s="348" t="s">
        <v>1874</v>
      </c>
      <c r="JV38" s="313">
        <f t="shared" si="2"/>
        <v>13.070000000000004</v>
      </c>
      <c r="JW38" s="313">
        <f t="shared" si="6"/>
        <v>0.3</v>
      </c>
      <c r="JX38" s="313">
        <f t="shared" si="6"/>
        <v>9.9600000000000009</v>
      </c>
      <c r="JY38" s="313">
        <f t="shared" si="6"/>
        <v>41.179999999999993</v>
      </c>
      <c r="JZ38" s="313">
        <f t="shared" si="6"/>
        <v>1.1200000000000001</v>
      </c>
      <c r="KA38" s="313">
        <f t="shared" si="6"/>
        <v>0.2</v>
      </c>
      <c r="KB38" s="313">
        <f t="shared" si="6"/>
        <v>1.55</v>
      </c>
      <c r="KC38" s="313">
        <f t="shared" si="6"/>
        <v>16.7</v>
      </c>
      <c r="KD38" s="313">
        <f t="shared" si="6"/>
        <v>2.71</v>
      </c>
      <c r="KE38" s="313">
        <f t="shared" si="6"/>
        <v>16.600000000000001</v>
      </c>
      <c r="KF38" s="313">
        <f t="shared" si="6"/>
        <v>0.96</v>
      </c>
      <c r="KG38" s="313">
        <f t="shared" si="6"/>
        <v>38.950000000000003</v>
      </c>
      <c r="KH38" s="313">
        <f t="shared" si="6"/>
        <v>106.24999999999997</v>
      </c>
      <c r="KI38" s="313">
        <f t="shared" si="6"/>
        <v>28.48</v>
      </c>
      <c r="KJ38" s="313">
        <f t="shared" si="6"/>
        <v>7.4299999999999988</v>
      </c>
      <c r="KK38" s="313">
        <f t="shared" si="6"/>
        <v>0.01</v>
      </c>
      <c r="KL38" s="313">
        <f t="shared" si="6"/>
        <v>2.31</v>
      </c>
      <c r="KM38" s="313">
        <f t="shared" si="6"/>
        <v>0.4</v>
      </c>
      <c r="KN38" s="313">
        <f t="shared" si="6"/>
        <v>7.93</v>
      </c>
      <c r="KO38" s="313">
        <f t="shared" si="6"/>
        <v>0.7</v>
      </c>
      <c r="KP38" s="313">
        <f t="shared" si="6"/>
        <v>0.95</v>
      </c>
      <c r="KQ38" s="313">
        <f t="shared" si="6"/>
        <v>0</v>
      </c>
      <c r="KR38" s="313">
        <f t="shared" si="6"/>
        <v>1</v>
      </c>
      <c r="KS38" s="313">
        <f t="shared" si="6"/>
        <v>0.5</v>
      </c>
      <c r="KT38" s="313">
        <f t="shared" si="6"/>
        <v>6.9099999999999993</v>
      </c>
      <c r="KU38" s="313">
        <f t="shared" si="6"/>
        <v>1.64</v>
      </c>
      <c r="KV38" s="313">
        <f t="shared" si="6"/>
        <v>0</v>
      </c>
      <c r="KW38" s="313">
        <f t="shared" si="6"/>
        <v>11.51</v>
      </c>
      <c r="KX38" s="313">
        <f t="shared" si="6"/>
        <v>1.6500000000000001</v>
      </c>
      <c r="KY38" s="313">
        <f t="shared" si="6"/>
        <v>2.4900000000000002</v>
      </c>
      <c r="KZ38" s="313">
        <f t="shared" si="6"/>
        <v>1.07</v>
      </c>
      <c r="LA38" s="313">
        <f t="shared" si="6"/>
        <v>18.899999999999999</v>
      </c>
      <c r="LB38" s="313">
        <f t="shared" si="6"/>
        <v>3.0700000000000003</v>
      </c>
      <c r="LC38" s="313">
        <f t="shared" si="6"/>
        <v>0</v>
      </c>
    </row>
    <row r="39" spans="1:315" ht="25.5" x14ac:dyDescent="0.25">
      <c r="A39" s="313">
        <v>37</v>
      </c>
      <c r="B39" s="348" t="s">
        <v>1875</v>
      </c>
      <c r="C39" s="350">
        <v>0.5</v>
      </c>
      <c r="D39" s="350">
        <v>0</v>
      </c>
      <c r="E39" s="350">
        <v>0</v>
      </c>
      <c r="F39" s="350">
        <v>0.05</v>
      </c>
      <c r="G39" s="350">
        <v>0</v>
      </c>
      <c r="H39" s="350">
        <v>0</v>
      </c>
      <c r="I39" s="350">
        <v>0</v>
      </c>
      <c r="J39" s="350">
        <v>0</v>
      </c>
      <c r="K39" s="350">
        <v>0</v>
      </c>
      <c r="L39" s="350">
        <v>0.15</v>
      </c>
      <c r="M39" s="350">
        <v>0</v>
      </c>
      <c r="N39" s="350">
        <v>0</v>
      </c>
      <c r="O39" s="350">
        <v>0</v>
      </c>
      <c r="P39" s="350">
        <v>0</v>
      </c>
      <c r="Q39" s="350">
        <v>0</v>
      </c>
      <c r="R39" s="350">
        <v>0</v>
      </c>
      <c r="S39" s="350">
        <v>0</v>
      </c>
      <c r="T39" s="350">
        <v>0.13</v>
      </c>
      <c r="U39" s="350">
        <v>0</v>
      </c>
      <c r="V39" s="350">
        <v>0</v>
      </c>
      <c r="W39" s="350">
        <v>0</v>
      </c>
      <c r="X39" s="350">
        <v>0</v>
      </c>
      <c r="Y39" s="350">
        <v>0</v>
      </c>
      <c r="Z39" s="350">
        <v>0.1</v>
      </c>
      <c r="AA39" s="350">
        <v>0</v>
      </c>
      <c r="AB39" s="350">
        <v>0</v>
      </c>
      <c r="AC39" s="350">
        <v>0</v>
      </c>
      <c r="AD39" s="350">
        <v>0</v>
      </c>
      <c r="AE39" s="350">
        <v>0.41</v>
      </c>
      <c r="AF39" s="350">
        <v>0.09</v>
      </c>
      <c r="AG39" s="350">
        <v>0</v>
      </c>
      <c r="AH39" s="350">
        <v>0.02</v>
      </c>
      <c r="AI39" s="350">
        <v>0</v>
      </c>
      <c r="AJ39" s="350">
        <v>0</v>
      </c>
      <c r="AK39" s="350">
        <v>0</v>
      </c>
      <c r="AL39" s="350">
        <v>0.1</v>
      </c>
      <c r="AM39" s="350">
        <v>0</v>
      </c>
      <c r="AN39" s="350">
        <v>1.7</v>
      </c>
      <c r="AO39" s="350">
        <v>0</v>
      </c>
      <c r="AP39" s="350">
        <v>0</v>
      </c>
      <c r="AQ39" s="350">
        <v>0</v>
      </c>
      <c r="AR39" s="350">
        <v>0</v>
      </c>
      <c r="AS39" s="350">
        <v>1</v>
      </c>
      <c r="AT39" s="350">
        <v>2.41</v>
      </c>
      <c r="AU39" s="350">
        <v>0.4</v>
      </c>
      <c r="AV39" s="350">
        <v>0.23</v>
      </c>
      <c r="AW39" s="351"/>
      <c r="AX39" s="350">
        <v>0.18</v>
      </c>
      <c r="AY39" s="350">
        <v>0.5</v>
      </c>
      <c r="AZ39" s="350">
        <v>0</v>
      </c>
      <c r="BA39" s="350">
        <v>0.15</v>
      </c>
      <c r="BB39" s="350">
        <v>0</v>
      </c>
      <c r="BC39" s="350">
        <v>0</v>
      </c>
      <c r="BD39" s="350">
        <v>0</v>
      </c>
      <c r="BE39" s="350">
        <v>0</v>
      </c>
      <c r="BF39" s="350">
        <v>0</v>
      </c>
      <c r="BG39" s="350">
        <v>0.6</v>
      </c>
      <c r="BH39" s="350">
        <v>0</v>
      </c>
      <c r="BI39" s="350">
        <v>0</v>
      </c>
      <c r="BJ39" s="350">
        <v>0</v>
      </c>
      <c r="BK39" s="350">
        <v>0</v>
      </c>
      <c r="BL39" s="350">
        <v>0</v>
      </c>
      <c r="BM39" s="350">
        <v>0</v>
      </c>
      <c r="BN39" s="350">
        <v>1.4</v>
      </c>
      <c r="BO39" s="350">
        <v>0.72</v>
      </c>
      <c r="BP39" s="350">
        <v>0</v>
      </c>
      <c r="BQ39" s="350">
        <v>1</v>
      </c>
      <c r="BR39" s="350">
        <v>0</v>
      </c>
      <c r="BS39" s="350">
        <v>0</v>
      </c>
      <c r="BT39" s="350">
        <v>0.15</v>
      </c>
      <c r="BU39" s="350">
        <v>0.75</v>
      </c>
      <c r="BV39" s="350">
        <v>0.46</v>
      </c>
      <c r="BW39" s="350">
        <v>0</v>
      </c>
      <c r="BX39" s="350">
        <v>0</v>
      </c>
      <c r="BY39" s="350">
        <v>0.1</v>
      </c>
      <c r="BZ39" s="350">
        <v>0.27</v>
      </c>
      <c r="CA39" s="350">
        <v>0.1</v>
      </c>
      <c r="CB39" s="350">
        <v>0</v>
      </c>
      <c r="CC39" s="350">
        <v>0</v>
      </c>
      <c r="CD39" s="350">
        <v>10.3</v>
      </c>
      <c r="CE39" s="350">
        <v>0</v>
      </c>
      <c r="CF39" s="350">
        <v>0</v>
      </c>
      <c r="CG39" s="350">
        <v>0.24</v>
      </c>
      <c r="CH39" s="350">
        <v>0</v>
      </c>
      <c r="CI39" s="350">
        <v>0</v>
      </c>
      <c r="CJ39" s="350">
        <v>1.5</v>
      </c>
      <c r="CK39" s="350">
        <v>0</v>
      </c>
      <c r="CL39" s="350">
        <v>0</v>
      </c>
      <c r="CM39" s="350">
        <v>0</v>
      </c>
      <c r="CN39" s="350">
        <v>0</v>
      </c>
      <c r="CO39" s="350">
        <v>0</v>
      </c>
      <c r="CP39" s="350">
        <v>0</v>
      </c>
      <c r="CQ39" s="350">
        <v>0.4</v>
      </c>
      <c r="CR39" s="350">
        <v>1.2</v>
      </c>
      <c r="CS39" s="350">
        <v>0.47</v>
      </c>
      <c r="CT39" s="350">
        <v>1.3</v>
      </c>
      <c r="CU39" s="350">
        <v>0.4</v>
      </c>
      <c r="CV39" s="350">
        <v>2.11</v>
      </c>
      <c r="CW39" s="350">
        <v>0.5</v>
      </c>
      <c r="CX39" s="350">
        <v>0.96</v>
      </c>
      <c r="CY39" s="350">
        <v>0</v>
      </c>
      <c r="CZ39" s="350">
        <v>2.09</v>
      </c>
      <c r="DA39" s="350">
        <v>4.78</v>
      </c>
      <c r="DB39" s="350">
        <v>0</v>
      </c>
      <c r="DC39" s="350">
        <v>0.13</v>
      </c>
      <c r="DD39" s="350">
        <v>0</v>
      </c>
      <c r="DE39" s="350">
        <v>1.1000000000000001</v>
      </c>
      <c r="DF39" s="350">
        <v>0.02</v>
      </c>
      <c r="DG39" s="350">
        <v>0.2</v>
      </c>
      <c r="DH39" s="350">
        <v>0</v>
      </c>
      <c r="DI39" s="350">
        <v>0</v>
      </c>
      <c r="DJ39" s="350">
        <v>0.69</v>
      </c>
      <c r="DK39" s="350">
        <v>0</v>
      </c>
      <c r="DL39" s="350">
        <v>0.48</v>
      </c>
      <c r="DM39" s="350">
        <v>0</v>
      </c>
      <c r="DN39" s="350">
        <v>0.13</v>
      </c>
      <c r="DO39" s="350">
        <v>0.64</v>
      </c>
      <c r="DP39" s="350">
        <v>0</v>
      </c>
      <c r="DQ39" s="350">
        <v>1.65</v>
      </c>
      <c r="DR39" s="350">
        <v>0.88</v>
      </c>
      <c r="DS39" s="350">
        <v>0.2</v>
      </c>
      <c r="DT39" s="350">
        <v>0</v>
      </c>
      <c r="DU39" s="350">
        <v>1.69</v>
      </c>
      <c r="DV39" s="350">
        <v>4.75</v>
      </c>
      <c r="DW39" s="350">
        <v>0</v>
      </c>
      <c r="DX39" s="350">
        <v>0.54</v>
      </c>
      <c r="DY39" s="350">
        <v>1.76</v>
      </c>
      <c r="DZ39" s="350">
        <v>13.15</v>
      </c>
      <c r="EA39" s="350">
        <v>1.52</v>
      </c>
      <c r="EB39" s="350">
        <v>17.3</v>
      </c>
      <c r="EC39" s="350">
        <v>8.2899999999999991</v>
      </c>
      <c r="ED39" s="350">
        <v>0.98</v>
      </c>
      <c r="EE39" s="350">
        <v>16</v>
      </c>
      <c r="EF39" s="350">
        <v>11.85</v>
      </c>
      <c r="EG39" s="350">
        <v>8.6999999999999993</v>
      </c>
      <c r="EH39" s="350">
        <v>3.86</v>
      </c>
      <c r="EI39" s="350">
        <v>9</v>
      </c>
      <c r="EJ39" s="350">
        <v>12</v>
      </c>
      <c r="EK39" s="350">
        <v>9.39</v>
      </c>
      <c r="EL39" s="350">
        <v>5.21</v>
      </c>
      <c r="EM39" s="350">
        <v>19</v>
      </c>
      <c r="EN39" s="350">
        <v>3.94</v>
      </c>
      <c r="EO39" s="350">
        <v>13.3</v>
      </c>
      <c r="EP39" s="350">
        <v>11.1</v>
      </c>
      <c r="EQ39" s="350">
        <v>9.19</v>
      </c>
      <c r="ER39" s="350">
        <v>9</v>
      </c>
      <c r="ES39" s="350">
        <v>8.14</v>
      </c>
      <c r="ET39" s="350">
        <v>10</v>
      </c>
      <c r="EU39" s="350">
        <v>13.2</v>
      </c>
      <c r="EV39" s="350">
        <v>14.59</v>
      </c>
      <c r="EW39" s="350">
        <v>18</v>
      </c>
      <c r="EX39" s="350">
        <v>8.75</v>
      </c>
      <c r="EY39" s="350">
        <v>8</v>
      </c>
      <c r="EZ39" s="350">
        <v>20.43</v>
      </c>
      <c r="FA39" s="350">
        <v>9.6</v>
      </c>
      <c r="FB39" s="350">
        <v>40.24</v>
      </c>
      <c r="FC39" s="350">
        <v>10.7</v>
      </c>
      <c r="FD39" s="350">
        <v>14.5</v>
      </c>
      <c r="FE39" s="350">
        <v>6.32</v>
      </c>
      <c r="FF39" s="350">
        <v>4.5</v>
      </c>
      <c r="FG39" s="350">
        <v>9.8699999999999992</v>
      </c>
      <c r="FH39" s="350">
        <v>13</v>
      </c>
      <c r="FI39" s="350">
        <v>8</v>
      </c>
      <c r="FJ39" s="350">
        <v>14</v>
      </c>
      <c r="FK39" s="350">
        <v>0.16</v>
      </c>
      <c r="FL39" s="350">
        <v>6</v>
      </c>
      <c r="FM39" s="350">
        <v>10.32</v>
      </c>
      <c r="FN39" s="350">
        <v>9.75</v>
      </c>
      <c r="FO39" s="350">
        <v>1.43</v>
      </c>
      <c r="FP39" s="350">
        <v>16</v>
      </c>
      <c r="FQ39" s="350">
        <v>16.690000000000001</v>
      </c>
      <c r="FR39" s="350">
        <v>12.47</v>
      </c>
      <c r="FS39" s="350">
        <v>9.56</v>
      </c>
      <c r="FT39" s="350">
        <v>6.57</v>
      </c>
      <c r="FU39" s="350">
        <v>1.78</v>
      </c>
      <c r="FV39" s="350">
        <v>6.42</v>
      </c>
      <c r="FW39" s="350">
        <v>11.1</v>
      </c>
      <c r="FX39" s="350">
        <v>0.25</v>
      </c>
      <c r="FY39" s="350">
        <v>8</v>
      </c>
      <c r="FZ39" s="350">
        <v>1.75</v>
      </c>
      <c r="GA39" s="350">
        <v>0</v>
      </c>
      <c r="GB39" s="350">
        <v>0.05</v>
      </c>
      <c r="GC39" s="350">
        <v>0.65</v>
      </c>
      <c r="GD39" s="350">
        <v>1.1000000000000001</v>
      </c>
      <c r="GE39" s="350">
        <v>0</v>
      </c>
      <c r="GF39" s="350">
        <v>0</v>
      </c>
      <c r="GG39" s="350">
        <v>0</v>
      </c>
      <c r="GH39" s="350">
        <v>0</v>
      </c>
      <c r="GI39" s="350">
        <v>0</v>
      </c>
      <c r="GJ39" s="350">
        <v>0</v>
      </c>
      <c r="GK39" s="350">
        <v>0</v>
      </c>
      <c r="GL39" s="350">
        <v>0.02</v>
      </c>
      <c r="GM39" s="350">
        <v>0</v>
      </c>
      <c r="GN39" s="350">
        <v>0.02</v>
      </c>
      <c r="GO39" s="350">
        <v>0.25</v>
      </c>
      <c r="GP39" s="350">
        <v>0.15</v>
      </c>
      <c r="GQ39" s="350">
        <v>0</v>
      </c>
      <c r="GR39" s="350">
        <v>1</v>
      </c>
      <c r="GS39" s="350">
        <v>1.05</v>
      </c>
      <c r="GT39" s="350">
        <v>0.12</v>
      </c>
      <c r="GU39" s="350">
        <v>0</v>
      </c>
      <c r="GV39" s="350">
        <v>0</v>
      </c>
      <c r="GW39" s="350">
        <v>0.16</v>
      </c>
      <c r="GX39" s="350">
        <v>0</v>
      </c>
      <c r="GY39" s="350">
        <v>0.35</v>
      </c>
      <c r="GZ39" s="350">
        <v>0.57999999999999996</v>
      </c>
      <c r="HA39" s="350">
        <v>0</v>
      </c>
      <c r="HB39" s="350">
        <v>0.19</v>
      </c>
      <c r="HC39" s="350">
        <v>0.5</v>
      </c>
      <c r="HD39" s="350">
        <v>0</v>
      </c>
      <c r="HE39" s="350">
        <v>0</v>
      </c>
      <c r="HF39" s="350">
        <v>0</v>
      </c>
      <c r="HG39" s="350">
        <v>0</v>
      </c>
      <c r="HH39" s="350">
        <v>0</v>
      </c>
      <c r="HI39" s="350">
        <v>0</v>
      </c>
      <c r="HJ39" s="350">
        <v>0</v>
      </c>
      <c r="HK39" s="350">
        <v>0</v>
      </c>
      <c r="HL39" s="350">
        <v>0.01</v>
      </c>
      <c r="HM39" s="350">
        <v>0.57999999999999996</v>
      </c>
      <c r="HN39" s="350">
        <v>0.51</v>
      </c>
      <c r="HO39" s="350">
        <v>0.42</v>
      </c>
      <c r="HP39" s="350">
        <v>0</v>
      </c>
      <c r="HQ39" s="350">
        <v>0</v>
      </c>
      <c r="HR39" s="350">
        <v>0</v>
      </c>
      <c r="HS39" s="350">
        <v>0</v>
      </c>
      <c r="HT39" s="350">
        <v>0</v>
      </c>
      <c r="HU39" s="350">
        <v>0</v>
      </c>
      <c r="HV39" s="350">
        <v>0</v>
      </c>
      <c r="HW39" s="350">
        <v>0</v>
      </c>
      <c r="HX39" s="350">
        <v>0</v>
      </c>
      <c r="HY39" s="350">
        <v>0.28999999999999998</v>
      </c>
      <c r="HZ39" s="350">
        <v>0</v>
      </c>
      <c r="IA39" s="350">
        <v>0</v>
      </c>
      <c r="IB39" s="350">
        <v>0.01</v>
      </c>
      <c r="IC39" s="350">
        <v>0.01</v>
      </c>
      <c r="ID39" s="350">
        <v>0.02</v>
      </c>
      <c r="IE39" s="350">
        <v>0.5</v>
      </c>
      <c r="IF39" s="350">
        <v>0.42</v>
      </c>
      <c r="IG39" s="350">
        <v>0</v>
      </c>
      <c r="IH39" s="350">
        <v>0.15</v>
      </c>
      <c r="II39" s="350">
        <v>0.05</v>
      </c>
      <c r="IJ39" s="350">
        <v>0</v>
      </c>
      <c r="IK39" s="350">
        <v>0</v>
      </c>
      <c r="IL39" s="350">
        <v>0</v>
      </c>
      <c r="IM39" s="351"/>
      <c r="IN39" s="350">
        <v>0.17</v>
      </c>
      <c r="IO39" s="350">
        <v>0</v>
      </c>
      <c r="IP39" s="350">
        <v>0.2</v>
      </c>
      <c r="IQ39" s="350">
        <v>0.02</v>
      </c>
      <c r="IR39" s="350">
        <v>0</v>
      </c>
      <c r="IS39" s="350">
        <v>0</v>
      </c>
      <c r="IT39" s="350">
        <v>0</v>
      </c>
      <c r="IU39" s="350">
        <v>0</v>
      </c>
      <c r="IV39" s="350">
        <v>0</v>
      </c>
      <c r="IW39" s="350">
        <v>0</v>
      </c>
      <c r="IX39" s="350">
        <v>0</v>
      </c>
      <c r="IY39" s="350">
        <v>0</v>
      </c>
      <c r="IZ39" s="350">
        <v>0.27</v>
      </c>
      <c r="JA39" s="350">
        <v>0</v>
      </c>
      <c r="JB39" s="350">
        <v>0</v>
      </c>
      <c r="JC39" s="350">
        <v>0</v>
      </c>
      <c r="JD39" s="350">
        <v>0</v>
      </c>
      <c r="JE39" s="350">
        <v>0</v>
      </c>
      <c r="JF39" s="350">
        <v>0</v>
      </c>
      <c r="JG39" s="350">
        <v>0</v>
      </c>
      <c r="JH39" s="350">
        <v>0.33</v>
      </c>
      <c r="JI39" s="350">
        <v>0</v>
      </c>
      <c r="JJ39" s="350">
        <v>0.7</v>
      </c>
      <c r="JK39" s="350">
        <v>0</v>
      </c>
      <c r="JL39" s="350">
        <v>0</v>
      </c>
      <c r="JM39" s="350">
        <v>0.6</v>
      </c>
      <c r="JN39" s="350">
        <v>0</v>
      </c>
      <c r="JO39" s="350">
        <v>0</v>
      </c>
      <c r="JP39" s="350">
        <v>0</v>
      </c>
      <c r="JQ39" s="350">
        <v>0.01</v>
      </c>
      <c r="JR39" s="351"/>
      <c r="JU39" s="348" t="s">
        <v>1875</v>
      </c>
      <c r="JV39" s="313">
        <f t="shared" si="2"/>
        <v>0.93</v>
      </c>
      <c r="JW39" s="313">
        <f t="shared" si="6"/>
        <v>0.41</v>
      </c>
      <c r="JX39" s="313">
        <f t="shared" si="6"/>
        <v>1.91</v>
      </c>
      <c r="JY39" s="313">
        <f t="shared" si="6"/>
        <v>22.459999999999997</v>
      </c>
      <c r="JZ39" s="313">
        <f t="shared" si="6"/>
        <v>0</v>
      </c>
      <c r="KA39" s="313">
        <f t="shared" si="6"/>
        <v>0</v>
      </c>
      <c r="KB39" s="313">
        <f t="shared" si="6"/>
        <v>0</v>
      </c>
      <c r="KC39" s="313">
        <f t="shared" si="6"/>
        <v>14.340000000000002</v>
      </c>
      <c r="KD39" s="313">
        <f t="shared" si="6"/>
        <v>2.0099999999999998</v>
      </c>
      <c r="KE39" s="313">
        <f t="shared" si="6"/>
        <v>10.96</v>
      </c>
      <c r="KF39" s="313">
        <f t="shared" si="6"/>
        <v>1.76</v>
      </c>
      <c r="KG39" s="313">
        <f t="shared" si="6"/>
        <v>102.64999999999999</v>
      </c>
      <c r="KH39" s="313">
        <f t="shared" si="6"/>
        <v>338.2</v>
      </c>
      <c r="KI39" s="313">
        <f t="shared" si="6"/>
        <v>90.27</v>
      </c>
      <c r="KJ39" s="313">
        <f t="shared" si="6"/>
        <v>3.5500000000000003</v>
      </c>
      <c r="KK39" s="313">
        <f t="shared" si="6"/>
        <v>0</v>
      </c>
      <c r="KL39" s="313">
        <f t="shared" si="6"/>
        <v>0.28999999999999998</v>
      </c>
      <c r="KM39" s="313">
        <f t="shared" si="6"/>
        <v>0.15</v>
      </c>
      <c r="KN39" s="313">
        <f t="shared" si="6"/>
        <v>2.33</v>
      </c>
      <c r="KO39" s="313">
        <f t="shared" si="6"/>
        <v>0</v>
      </c>
      <c r="KP39" s="313">
        <f t="shared" si="6"/>
        <v>0.92999999999999994</v>
      </c>
      <c r="KQ39" s="313">
        <f t="shared" si="6"/>
        <v>0</v>
      </c>
      <c r="KR39" s="313">
        <f t="shared" si="6"/>
        <v>0.19</v>
      </c>
      <c r="KS39" s="313">
        <f t="shared" si="6"/>
        <v>0.5</v>
      </c>
      <c r="KT39" s="313">
        <f t="shared" si="6"/>
        <v>0.59</v>
      </c>
      <c r="KU39" s="313">
        <f t="shared" si="6"/>
        <v>0.92999999999999994</v>
      </c>
      <c r="KV39" s="313">
        <f t="shared" si="6"/>
        <v>0</v>
      </c>
      <c r="KW39" s="313">
        <f t="shared" si="6"/>
        <v>0.83000000000000007</v>
      </c>
      <c r="KX39" s="313">
        <f t="shared" si="6"/>
        <v>0.42</v>
      </c>
      <c r="KY39" s="313">
        <f t="shared" si="6"/>
        <v>0.2</v>
      </c>
      <c r="KZ39" s="313">
        <f t="shared" si="6"/>
        <v>0</v>
      </c>
      <c r="LA39" s="313">
        <f t="shared" si="6"/>
        <v>2.29</v>
      </c>
      <c r="LB39" s="313">
        <f t="shared" si="6"/>
        <v>0.01</v>
      </c>
      <c r="LC39" s="313">
        <f t="shared" si="6"/>
        <v>0</v>
      </c>
    </row>
    <row r="40" spans="1:315" x14ac:dyDescent="0.25">
      <c r="A40" s="313">
        <v>38</v>
      </c>
      <c r="B40" s="348" t="s">
        <v>1876</v>
      </c>
      <c r="C40" s="350">
        <v>0</v>
      </c>
      <c r="D40" s="350">
        <v>0</v>
      </c>
      <c r="E40" s="350">
        <v>0</v>
      </c>
      <c r="F40" s="350">
        <v>0</v>
      </c>
      <c r="G40" s="350">
        <v>0</v>
      </c>
      <c r="H40" s="350">
        <v>0</v>
      </c>
      <c r="I40" s="350">
        <v>0</v>
      </c>
      <c r="J40" s="350">
        <v>0</v>
      </c>
      <c r="K40" s="350">
        <v>0</v>
      </c>
      <c r="L40" s="350">
        <v>0</v>
      </c>
      <c r="M40" s="350">
        <v>0</v>
      </c>
      <c r="N40" s="350">
        <v>0</v>
      </c>
      <c r="O40" s="350">
        <v>0</v>
      </c>
      <c r="P40" s="350">
        <v>0</v>
      </c>
      <c r="Q40" s="350">
        <v>0</v>
      </c>
      <c r="R40" s="350">
        <v>0</v>
      </c>
      <c r="S40" s="350">
        <v>0</v>
      </c>
      <c r="T40" s="350">
        <v>0</v>
      </c>
      <c r="U40" s="350">
        <v>0</v>
      </c>
      <c r="V40" s="350">
        <v>0</v>
      </c>
      <c r="W40" s="350">
        <v>0</v>
      </c>
      <c r="X40" s="350">
        <v>0</v>
      </c>
      <c r="Y40" s="350">
        <v>0</v>
      </c>
      <c r="Z40" s="350">
        <v>0</v>
      </c>
      <c r="AA40" s="350">
        <v>0</v>
      </c>
      <c r="AB40" s="350">
        <v>0</v>
      </c>
      <c r="AC40" s="350">
        <v>0</v>
      </c>
      <c r="AD40" s="350">
        <v>0</v>
      </c>
      <c r="AE40" s="350">
        <v>0</v>
      </c>
      <c r="AF40" s="350">
        <v>0</v>
      </c>
      <c r="AG40" s="350">
        <v>0</v>
      </c>
      <c r="AH40" s="350">
        <v>0</v>
      </c>
      <c r="AI40" s="350">
        <v>0</v>
      </c>
      <c r="AJ40" s="350">
        <v>0</v>
      </c>
      <c r="AK40" s="350">
        <v>0</v>
      </c>
      <c r="AL40" s="350">
        <v>0</v>
      </c>
      <c r="AM40" s="350">
        <v>0</v>
      </c>
      <c r="AN40" s="350">
        <v>0</v>
      </c>
      <c r="AO40" s="350">
        <v>0</v>
      </c>
      <c r="AP40" s="350">
        <v>0</v>
      </c>
      <c r="AQ40" s="350">
        <v>0</v>
      </c>
      <c r="AR40" s="350">
        <v>0</v>
      </c>
      <c r="AS40" s="350">
        <v>0</v>
      </c>
      <c r="AT40" s="350">
        <v>2</v>
      </c>
      <c r="AU40" s="350">
        <v>0</v>
      </c>
      <c r="AV40" s="350">
        <v>0</v>
      </c>
      <c r="AW40" s="351"/>
      <c r="AX40" s="350">
        <v>0</v>
      </c>
      <c r="AY40" s="350">
        <v>0</v>
      </c>
      <c r="AZ40" s="350">
        <v>0</v>
      </c>
      <c r="BA40" s="350">
        <v>0</v>
      </c>
      <c r="BB40" s="350">
        <v>0</v>
      </c>
      <c r="BC40" s="350">
        <v>0</v>
      </c>
      <c r="BD40" s="350">
        <v>0</v>
      </c>
      <c r="BE40" s="350">
        <v>0</v>
      </c>
      <c r="BF40" s="350">
        <v>0</v>
      </c>
      <c r="BG40" s="350">
        <v>0</v>
      </c>
      <c r="BH40" s="350">
        <v>0</v>
      </c>
      <c r="BI40" s="350">
        <v>0</v>
      </c>
      <c r="BJ40" s="350">
        <v>0</v>
      </c>
      <c r="BK40" s="350">
        <v>0</v>
      </c>
      <c r="BL40" s="350">
        <v>0</v>
      </c>
      <c r="BM40" s="350">
        <v>0</v>
      </c>
      <c r="BN40" s="350">
        <v>0</v>
      </c>
      <c r="BO40" s="350">
        <v>0</v>
      </c>
      <c r="BP40" s="350">
        <v>0</v>
      </c>
      <c r="BQ40" s="350">
        <v>0</v>
      </c>
      <c r="BR40" s="350">
        <v>0</v>
      </c>
      <c r="BS40" s="350">
        <v>0</v>
      </c>
      <c r="BT40" s="350">
        <v>0</v>
      </c>
      <c r="BU40" s="350">
        <v>0</v>
      </c>
      <c r="BV40" s="350">
        <v>0</v>
      </c>
      <c r="BW40" s="350">
        <v>0</v>
      </c>
      <c r="BX40" s="350">
        <v>0</v>
      </c>
      <c r="BY40" s="350">
        <v>0</v>
      </c>
      <c r="BZ40" s="350">
        <v>0</v>
      </c>
      <c r="CA40" s="350">
        <v>0</v>
      </c>
      <c r="CB40" s="350">
        <v>0</v>
      </c>
      <c r="CC40" s="350">
        <v>0</v>
      </c>
      <c r="CD40" s="350">
        <v>0</v>
      </c>
      <c r="CE40" s="350">
        <v>0</v>
      </c>
      <c r="CF40" s="350">
        <v>0</v>
      </c>
      <c r="CG40" s="350">
        <v>0</v>
      </c>
      <c r="CH40" s="350">
        <v>0</v>
      </c>
      <c r="CI40" s="350">
        <v>0</v>
      </c>
      <c r="CJ40" s="350">
        <v>1.5</v>
      </c>
      <c r="CK40" s="350">
        <v>0</v>
      </c>
      <c r="CL40" s="350">
        <v>0</v>
      </c>
      <c r="CM40" s="350">
        <v>0</v>
      </c>
      <c r="CN40" s="350">
        <v>0</v>
      </c>
      <c r="CO40" s="350">
        <v>0</v>
      </c>
      <c r="CP40" s="350">
        <v>0</v>
      </c>
      <c r="CQ40" s="350">
        <v>0.3</v>
      </c>
      <c r="CR40" s="350">
        <v>0</v>
      </c>
      <c r="CS40" s="350">
        <v>0.19</v>
      </c>
      <c r="CT40" s="350">
        <v>0.7</v>
      </c>
      <c r="CU40" s="350">
        <v>0</v>
      </c>
      <c r="CV40" s="350">
        <v>1.34</v>
      </c>
      <c r="CW40" s="350">
        <v>0</v>
      </c>
      <c r="CX40" s="350">
        <v>0.25</v>
      </c>
      <c r="CY40" s="350">
        <v>0</v>
      </c>
      <c r="CZ40" s="350">
        <v>0</v>
      </c>
      <c r="DA40" s="350">
        <v>0</v>
      </c>
      <c r="DB40" s="350">
        <v>0</v>
      </c>
      <c r="DC40" s="350">
        <v>0</v>
      </c>
      <c r="DD40" s="350">
        <v>0.05</v>
      </c>
      <c r="DE40" s="350">
        <v>0</v>
      </c>
      <c r="DF40" s="350">
        <v>0</v>
      </c>
      <c r="DG40" s="350">
        <v>0</v>
      </c>
      <c r="DH40" s="350">
        <v>0</v>
      </c>
      <c r="DI40" s="350">
        <v>0</v>
      </c>
      <c r="DJ40" s="350">
        <v>0.23</v>
      </c>
      <c r="DK40" s="350">
        <v>0</v>
      </c>
      <c r="DL40" s="350">
        <v>0</v>
      </c>
      <c r="DM40" s="350">
        <v>0</v>
      </c>
      <c r="DN40" s="350">
        <v>0</v>
      </c>
      <c r="DO40" s="350">
        <v>0.05</v>
      </c>
      <c r="DP40" s="350">
        <v>0</v>
      </c>
      <c r="DQ40" s="350">
        <v>0.65</v>
      </c>
      <c r="DR40" s="350">
        <v>0</v>
      </c>
      <c r="DS40" s="350">
        <v>0</v>
      </c>
      <c r="DT40" s="350">
        <v>0</v>
      </c>
      <c r="DU40" s="350">
        <v>0</v>
      </c>
      <c r="DV40" s="350">
        <v>2</v>
      </c>
      <c r="DW40" s="350">
        <v>0</v>
      </c>
      <c r="DX40" s="350">
        <v>0</v>
      </c>
      <c r="DY40" s="350">
        <v>0.78</v>
      </c>
      <c r="DZ40" s="350">
        <v>4.5</v>
      </c>
      <c r="EA40" s="350">
        <v>1.1200000000000001</v>
      </c>
      <c r="EB40" s="350">
        <v>4.2</v>
      </c>
      <c r="EC40" s="350">
        <v>0</v>
      </c>
      <c r="ED40" s="350">
        <v>0.52</v>
      </c>
      <c r="EE40" s="350">
        <v>5</v>
      </c>
      <c r="EF40" s="350">
        <v>4.6900000000000004</v>
      </c>
      <c r="EG40" s="350">
        <v>2.9</v>
      </c>
      <c r="EH40" s="350">
        <v>0</v>
      </c>
      <c r="EI40" s="350">
        <v>5</v>
      </c>
      <c r="EJ40" s="350">
        <v>5</v>
      </c>
      <c r="EK40" s="350">
        <v>3.6</v>
      </c>
      <c r="EL40" s="350">
        <v>1.98</v>
      </c>
      <c r="EM40" s="350">
        <v>9</v>
      </c>
      <c r="EN40" s="350">
        <v>1.67</v>
      </c>
      <c r="EO40" s="350">
        <v>4</v>
      </c>
      <c r="EP40" s="350">
        <v>4.0999999999999996</v>
      </c>
      <c r="EQ40" s="350">
        <v>2.42</v>
      </c>
      <c r="ER40" s="350">
        <v>4</v>
      </c>
      <c r="ES40" s="350">
        <v>4</v>
      </c>
      <c r="ET40" s="350">
        <v>4</v>
      </c>
      <c r="EU40" s="350">
        <v>5.13</v>
      </c>
      <c r="EV40" s="350">
        <v>6.94</v>
      </c>
      <c r="EW40" s="350">
        <v>7</v>
      </c>
      <c r="EX40" s="350">
        <v>3.75</v>
      </c>
      <c r="EY40" s="350">
        <v>4</v>
      </c>
      <c r="EZ40" s="350">
        <v>7.5</v>
      </c>
      <c r="FA40" s="350">
        <v>3.94</v>
      </c>
      <c r="FB40" s="350">
        <v>11.06</v>
      </c>
      <c r="FC40" s="350">
        <v>4.2</v>
      </c>
      <c r="FD40" s="350">
        <v>6</v>
      </c>
      <c r="FE40" s="350">
        <v>0</v>
      </c>
      <c r="FF40" s="350">
        <v>0</v>
      </c>
      <c r="FG40" s="350">
        <v>2.08</v>
      </c>
      <c r="FH40" s="350">
        <v>6</v>
      </c>
      <c r="FI40" s="350">
        <v>2</v>
      </c>
      <c r="FJ40" s="350">
        <v>7</v>
      </c>
      <c r="FK40" s="350">
        <v>0</v>
      </c>
      <c r="FL40" s="350">
        <v>3</v>
      </c>
      <c r="FM40" s="350">
        <v>3.5</v>
      </c>
      <c r="FN40" s="350">
        <v>4</v>
      </c>
      <c r="FO40" s="350">
        <v>0.6</v>
      </c>
      <c r="FP40" s="350">
        <v>6</v>
      </c>
      <c r="FQ40" s="350">
        <v>6.86</v>
      </c>
      <c r="FR40" s="350">
        <v>5.28</v>
      </c>
      <c r="FS40" s="350">
        <v>3.72</v>
      </c>
      <c r="FT40" s="350">
        <v>3.48</v>
      </c>
      <c r="FU40" s="350">
        <v>0.73</v>
      </c>
      <c r="FV40" s="350">
        <v>1.85</v>
      </c>
      <c r="FW40" s="350">
        <v>6.3</v>
      </c>
      <c r="FX40" s="350">
        <v>0</v>
      </c>
      <c r="FY40" s="350">
        <v>2</v>
      </c>
      <c r="FZ40" s="350">
        <v>0</v>
      </c>
      <c r="GA40" s="350">
        <v>0</v>
      </c>
      <c r="GB40" s="350">
        <v>0</v>
      </c>
      <c r="GC40" s="350">
        <v>0.26</v>
      </c>
      <c r="GD40" s="350">
        <v>0</v>
      </c>
      <c r="GE40" s="350">
        <v>0</v>
      </c>
      <c r="GF40" s="350">
        <v>0</v>
      </c>
      <c r="GG40" s="350">
        <v>0</v>
      </c>
      <c r="GH40" s="350">
        <v>0</v>
      </c>
      <c r="GI40" s="350">
        <v>0</v>
      </c>
      <c r="GJ40" s="350">
        <v>0</v>
      </c>
      <c r="GK40" s="350">
        <v>0</v>
      </c>
      <c r="GL40" s="350">
        <v>0</v>
      </c>
      <c r="GM40" s="350">
        <v>0</v>
      </c>
      <c r="GN40" s="350">
        <v>0</v>
      </c>
      <c r="GO40" s="350">
        <v>0</v>
      </c>
      <c r="GP40" s="350">
        <v>0</v>
      </c>
      <c r="GQ40" s="350">
        <v>0</v>
      </c>
      <c r="GR40" s="350">
        <v>0</v>
      </c>
      <c r="GS40" s="350">
        <v>0</v>
      </c>
      <c r="GT40" s="350">
        <v>0</v>
      </c>
      <c r="GU40" s="350">
        <v>0</v>
      </c>
      <c r="GV40" s="350">
        <v>0</v>
      </c>
      <c r="GW40" s="350">
        <v>0</v>
      </c>
      <c r="GX40" s="350">
        <v>0</v>
      </c>
      <c r="GY40" s="350">
        <v>0</v>
      </c>
      <c r="GZ40" s="350">
        <v>0</v>
      </c>
      <c r="HA40" s="350">
        <v>0</v>
      </c>
      <c r="HB40" s="350">
        <v>0</v>
      </c>
      <c r="HC40" s="350">
        <v>0</v>
      </c>
      <c r="HD40" s="350">
        <v>0</v>
      </c>
      <c r="HE40" s="350">
        <v>0</v>
      </c>
      <c r="HF40" s="350">
        <v>0</v>
      </c>
      <c r="HG40" s="350">
        <v>0</v>
      </c>
      <c r="HH40" s="350">
        <v>0</v>
      </c>
      <c r="HI40" s="350">
        <v>0</v>
      </c>
      <c r="HJ40" s="350">
        <v>0</v>
      </c>
      <c r="HK40" s="350">
        <v>0</v>
      </c>
      <c r="HL40" s="350">
        <v>0</v>
      </c>
      <c r="HM40" s="350">
        <v>0</v>
      </c>
      <c r="HN40" s="350">
        <v>0</v>
      </c>
      <c r="HO40" s="350">
        <v>0</v>
      </c>
      <c r="HP40" s="351"/>
      <c r="HQ40" s="350">
        <v>0</v>
      </c>
      <c r="HR40" s="350">
        <v>0</v>
      </c>
      <c r="HS40" s="350">
        <v>0</v>
      </c>
      <c r="HT40" s="350">
        <v>0</v>
      </c>
      <c r="HU40" s="350">
        <v>0</v>
      </c>
      <c r="HV40" s="350">
        <v>0</v>
      </c>
      <c r="HW40" s="350">
        <v>0</v>
      </c>
      <c r="HX40" s="350">
        <v>0</v>
      </c>
      <c r="HY40" s="350">
        <v>0</v>
      </c>
      <c r="HZ40" s="350">
        <v>0</v>
      </c>
      <c r="IA40" s="350">
        <v>0</v>
      </c>
      <c r="IB40" s="350">
        <v>0</v>
      </c>
      <c r="IC40" s="350">
        <v>0</v>
      </c>
      <c r="ID40" s="350">
        <v>0</v>
      </c>
      <c r="IE40" s="350">
        <v>0</v>
      </c>
      <c r="IF40" s="350">
        <v>0</v>
      </c>
      <c r="IG40" s="350">
        <v>0</v>
      </c>
      <c r="IH40" s="350">
        <v>0</v>
      </c>
      <c r="II40" s="350">
        <v>0</v>
      </c>
      <c r="IJ40" s="350">
        <v>0</v>
      </c>
      <c r="IK40" s="350">
        <v>0</v>
      </c>
      <c r="IL40" s="350">
        <v>0</v>
      </c>
      <c r="IM40" s="351"/>
      <c r="IN40" s="350">
        <v>0</v>
      </c>
      <c r="IO40" s="350">
        <v>0</v>
      </c>
      <c r="IP40" s="350">
        <v>0</v>
      </c>
      <c r="IQ40" s="350">
        <v>0</v>
      </c>
      <c r="IR40" s="350">
        <v>0</v>
      </c>
      <c r="IS40" s="350">
        <v>0</v>
      </c>
      <c r="IT40" s="350">
        <v>0</v>
      </c>
      <c r="IU40" s="350">
        <v>0</v>
      </c>
      <c r="IV40" s="350">
        <v>0</v>
      </c>
      <c r="IW40" s="350">
        <v>0</v>
      </c>
      <c r="IX40" s="350">
        <v>0</v>
      </c>
      <c r="IY40" s="350">
        <v>0</v>
      </c>
      <c r="IZ40" s="350">
        <v>0</v>
      </c>
      <c r="JA40" s="350">
        <v>0</v>
      </c>
      <c r="JB40" s="350">
        <v>0</v>
      </c>
      <c r="JC40" s="350">
        <v>0</v>
      </c>
      <c r="JD40" s="350">
        <v>0</v>
      </c>
      <c r="JE40" s="350">
        <v>0</v>
      </c>
      <c r="JF40" s="350">
        <v>0</v>
      </c>
      <c r="JG40" s="350">
        <v>0</v>
      </c>
      <c r="JH40" s="350">
        <v>0</v>
      </c>
      <c r="JI40" s="350">
        <v>0</v>
      </c>
      <c r="JJ40" s="350">
        <v>0</v>
      </c>
      <c r="JK40" s="350">
        <v>0</v>
      </c>
      <c r="JL40" s="350">
        <v>0</v>
      </c>
      <c r="JM40" s="350">
        <v>0</v>
      </c>
      <c r="JN40" s="350">
        <v>0</v>
      </c>
      <c r="JO40" s="350">
        <v>0</v>
      </c>
      <c r="JP40" s="350">
        <v>0</v>
      </c>
      <c r="JQ40" s="350">
        <v>0</v>
      </c>
      <c r="JR40" s="351"/>
      <c r="JU40" s="348" t="s">
        <v>1876</v>
      </c>
      <c r="JV40" s="313">
        <f t="shared" si="2"/>
        <v>0</v>
      </c>
      <c r="JW40" s="313">
        <f t="shared" si="6"/>
        <v>0</v>
      </c>
      <c r="JX40" s="313">
        <f t="shared" si="6"/>
        <v>0</v>
      </c>
      <c r="JY40" s="313">
        <f t="shared" si="6"/>
        <v>3.5</v>
      </c>
      <c r="JZ40" s="313">
        <f t="shared" si="6"/>
        <v>0</v>
      </c>
      <c r="KA40" s="313">
        <f t="shared" si="6"/>
        <v>0</v>
      </c>
      <c r="KB40" s="313">
        <f t="shared" si="6"/>
        <v>0</v>
      </c>
      <c r="KC40" s="313">
        <f t="shared" si="6"/>
        <v>2.83</v>
      </c>
      <c r="KD40" s="313">
        <f t="shared" si="6"/>
        <v>0.23</v>
      </c>
      <c r="KE40" s="313">
        <f t="shared" si="6"/>
        <v>2.7</v>
      </c>
      <c r="KF40" s="313">
        <f t="shared" si="6"/>
        <v>0.78</v>
      </c>
      <c r="KG40" s="313">
        <f t="shared" si="6"/>
        <v>32.93</v>
      </c>
      <c r="KH40" s="313">
        <f t="shared" si="6"/>
        <v>125.87</v>
      </c>
      <c r="KI40" s="313">
        <f t="shared" si="6"/>
        <v>36.82</v>
      </c>
      <c r="KJ40" s="313">
        <f t="shared" si="6"/>
        <v>0.26</v>
      </c>
      <c r="KK40" s="313">
        <f t="shared" si="6"/>
        <v>0</v>
      </c>
      <c r="KL40" s="313">
        <f t="shared" si="6"/>
        <v>0</v>
      </c>
      <c r="KM40" s="313">
        <f t="shared" si="6"/>
        <v>0</v>
      </c>
      <c r="KN40" s="313">
        <f t="shared" si="6"/>
        <v>0</v>
      </c>
      <c r="KO40" s="313">
        <f t="shared" si="6"/>
        <v>0</v>
      </c>
      <c r="KP40" s="313">
        <f t="shared" si="6"/>
        <v>0</v>
      </c>
      <c r="KQ40" s="313">
        <f t="shared" si="6"/>
        <v>0</v>
      </c>
      <c r="KR40" s="313">
        <f t="shared" si="6"/>
        <v>0</v>
      </c>
      <c r="KS40" s="313">
        <f t="shared" si="6"/>
        <v>0</v>
      </c>
      <c r="KT40" s="313">
        <f t="shared" si="6"/>
        <v>0</v>
      </c>
      <c r="KU40" s="313">
        <f t="shared" si="6"/>
        <v>0</v>
      </c>
      <c r="KV40" s="313">
        <f t="shared" si="6"/>
        <v>0</v>
      </c>
      <c r="KW40" s="313">
        <f t="shared" si="6"/>
        <v>0</v>
      </c>
      <c r="KX40" s="313">
        <f t="shared" si="6"/>
        <v>0</v>
      </c>
      <c r="KY40" s="313">
        <f t="shared" si="6"/>
        <v>0</v>
      </c>
      <c r="KZ40" s="313">
        <f t="shared" si="6"/>
        <v>0</v>
      </c>
      <c r="LA40" s="313">
        <f t="shared" si="6"/>
        <v>0</v>
      </c>
      <c r="LB40" s="313">
        <f t="shared" si="6"/>
        <v>0</v>
      </c>
      <c r="LC40" s="313">
        <f t="shared" si="6"/>
        <v>0</v>
      </c>
    </row>
    <row r="41" spans="1:315" x14ac:dyDescent="0.25">
      <c r="A41" s="313">
        <v>39</v>
      </c>
      <c r="B41" s="630" t="s">
        <v>2638</v>
      </c>
      <c r="C41" s="631">
        <f>C38+C39</f>
        <v>3.5</v>
      </c>
      <c r="D41" s="631">
        <f t="shared" ref="D41:BO41" si="7">D38+D39</f>
        <v>0</v>
      </c>
      <c r="E41" s="631">
        <f t="shared" si="7"/>
        <v>0.3</v>
      </c>
      <c r="F41" s="631">
        <f t="shared" si="7"/>
        <v>0.3</v>
      </c>
      <c r="G41" s="631">
        <f t="shared" si="7"/>
        <v>0.25</v>
      </c>
      <c r="H41" s="631">
        <f t="shared" si="7"/>
        <v>1</v>
      </c>
      <c r="I41" s="631">
        <f t="shared" si="7"/>
        <v>0.41</v>
      </c>
      <c r="J41" s="631">
        <f t="shared" si="7"/>
        <v>0.86</v>
      </c>
      <c r="K41" s="631">
        <f t="shared" si="7"/>
        <v>0.47</v>
      </c>
      <c r="L41" s="631">
        <f t="shared" si="7"/>
        <v>0.55000000000000004</v>
      </c>
      <c r="M41" s="631">
        <f t="shared" si="7"/>
        <v>1.19</v>
      </c>
      <c r="N41" s="631">
        <f t="shared" si="7"/>
        <v>0.55000000000000004</v>
      </c>
      <c r="O41" s="631">
        <f t="shared" si="7"/>
        <v>0</v>
      </c>
      <c r="P41" s="631">
        <f t="shared" si="7"/>
        <v>0.5</v>
      </c>
      <c r="Q41" s="631">
        <f t="shared" si="7"/>
        <v>0.65</v>
      </c>
      <c r="R41" s="631">
        <f t="shared" si="7"/>
        <v>0.5</v>
      </c>
      <c r="S41" s="631">
        <f t="shared" si="7"/>
        <v>0.41</v>
      </c>
      <c r="T41" s="631">
        <f t="shared" si="7"/>
        <v>0.89</v>
      </c>
      <c r="U41" s="631">
        <f t="shared" si="7"/>
        <v>0.23</v>
      </c>
      <c r="V41" s="631">
        <f t="shared" si="7"/>
        <v>0.34</v>
      </c>
      <c r="W41" s="631">
        <f t="shared" si="7"/>
        <v>0.25</v>
      </c>
      <c r="X41" s="631">
        <f t="shared" si="7"/>
        <v>0.3</v>
      </c>
      <c r="Y41" s="631">
        <f t="shared" si="7"/>
        <v>0.15</v>
      </c>
      <c r="Z41" s="631">
        <f t="shared" si="7"/>
        <v>0.4</v>
      </c>
      <c r="AA41" s="631">
        <f t="shared" si="7"/>
        <v>0</v>
      </c>
      <c r="AB41" s="631">
        <f t="shared" si="7"/>
        <v>0</v>
      </c>
      <c r="AC41" s="631">
        <f t="shared" si="7"/>
        <v>0</v>
      </c>
      <c r="AD41" s="631">
        <f t="shared" si="7"/>
        <v>0</v>
      </c>
      <c r="AE41" s="631">
        <f t="shared" si="7"/>
        <v>0.71</v>
      </c>
      <c r="AF41" s="631">
        <f t="shared" si="7"/>
        <v>0.89</v>
      </c>
      <c r="AG41" s="631">
        <f t="shared" si="7"/>
        <v>1.3</v>
      </c>
      <c r="AH41" s="631">
        <f t="shared" si="7"/>
        <v>0.22999999999999998</v>
      </c>
      <c r="AI41" s="631">
        <f t="shared" si="7"/>
        <v>0</v>
      </c>
      <c r="AJ41" s="631">
        <f t="shared" si="7"/>
        <v>1.07</v>
      </c>
      <c r="AK41" s="631">
        <f t="shared" si="7"/>
        <v>2.16</v>
      </c>
      <c r="AL41" s="631">
        <f t="shared" si="7"/>
        <v>0.9</v>
      </c>
      <c r="AM41" s="631">
        <f t="shared" si="7"/>
        <v>0.5</v>
      </c>
      <c r="AN41" s="631">
        <f t="shared" si="7"/>
        <v>1.7</v>
      </c>
      <c r="AO41" s="631">
        <f t="shared" si="7"/>
        <v>0.9</v>
      </c>
      <c r="AP41" s="631">
        <f t="shared" si="7"/>
        <v>0.85</v>
      </c>
      <c r="AQ41" s="631">
        <f t="shared" si="7"/>
        <v>1.37</v>
      </c>
      <c r="AR41" s="631">
        <f t="shared" si="7"/>
        <v>0</v>
      </c>
      <c r="AS41" s="631">
        <f t="shared" si="7"/>
        <v>2.2000000000000002</v>
      </c>
      <c r="AT41" s="631">
        <f t="shared" si="7"/>
        <v>3.21</v>
      </c>
      <c r="AU41" s="631">
        <f t="shared" si="7"/>
        <v>0.53</v>
      </c>
      <c r="AV41" s="631">
        <f t="shared" si="7"/>
        <v>0.48</v>
      </c>
      <c r="AW41" s="631">
        <f t="shared" si="7"/>
        <v>0</v>
      </c>
      <c r="AX41" s="631">
        <f t="shared" si="7"/>
        <v>0.3</v>
      </c>
      <c r="AY41" s="631">
        <f t="shared" si="7"/>
        <v>1.5</v>
      </c>
      <c r="AZ41" s="631">
        <f t="shared" si="7"/>
        <v>0</v>
      </c>
      <c r="BA41" s="631">
        <f t="shared" si="7"/>
        <v>0.35</v>
      </c>
      <c r="BB41" s="631">
        <f t="shared" si="7"/>
        <v>1</v>
      </c>
      <c r="BC41" s="631">
        <f t="shared" si="7"/>
        <v>0</v>
      </c>
      <c r="BD41" s="631">
        <f t="shared" si="7"/>
        <v>0</v>
      </c>
      <c r="BE41" s="631">
        <f t="shared" si="7"/>
        <v>0</v>
      </c>
      <c r="BF41" s="631">
        <f t="shared" si="7"/>
        <v>0</v>
      </c>
      <c r="BG41" s="631">
        <f t="shared" si="7"/>
        <v>0.6</v>
      </c>
      <c r="BH41" s="631">
        <f t="shared" si="7"/>
        <v>0</v>
      </c>
      <c r="BI41" s="631">
        <f t="shared" si="7"/>
        <v>0</v>
      </c>
      <c r="BJ41" s="631">
        <f t="shared" si="7"/>
        <v>0.2</v>
      </c>
      <c r="BK41" s="631">
        <f t="shared" si="7"/>
        <v>0</v>
      </c>
      <c r="BL41" s="631">
        <f t="shared" si="7"/>
        <v>1</v>
      </c>
      <c r="BM41" s="631">
        <f t="shared" si="7"/>
        <v>5</v>
      </c>
      <c r="BN41" s="631">
        <f t="shared" si="7"/>
        <v>3.75</v>
      </c>
      <c r="BO41" s="631">
        <f t="shared" si="7"/>
        <v>1.23</v>
      </c>
      <c r="BP41" s="631">
        <f t="shared" ref="BP41:EA41" si="8">BP38+BP39</f>
        <v>0</v>
      </c>
      <c r="BQ41" s="631">
        <f t="shared" si="8"/>
        <v>1</v>
      </c>
      <c r="BR41" s="631">
        <f t="shared" si="8"/>
        <v>1.1299999999999999</v>
      </c>
      <c r="BS41" s="631">
        <f t="shared" si="8"/>
        <v>1.1499999999999999</v>
      </c>
      <c r="BT41" s="631">
        <f t="shared" si="8"/>
        <v>0.15</v>
      </c>
      <c r="BU41" s="631">
        <f t="shared" si="8"/>
        <v>1.23</v>
      </c>
      <c r="BV41" s="631">
        <f t="shared" si="8"/>
        <v>1.8599999999999999</v>
      </c>
      <c r="BW41" s="631">
        <f t="shared" si="8"/>
        <v>2.0299999999999998</v>
      </c>
      <c r="BX41" s="631">
        <f t="shared" si="8"/>
        <v>0</v>
      </c>
      <c r="BY41" s="631">
        <f t="shared" si="8"/>
        <v>1.3</v>
      </c>
      <c r="BZ41" s="631">
        <f t="shared" si="8"/>
        <v>2.85</v>
      </c>
      <c r="CA41" s="631">
        <f t="shared" si="8"/>
        <v>5.0999999999999996</v>
      </c>
      <c r="CB41" s="631">
        <f t="shared" si="8"/>
        <v>0.1</v>
      </c>
      <c r="CC41" s="631">
        <f t="shared" si="8"/>
        <v>1.55</v>
      </c>
      <c r="CD41" s="631">
        <f t="shared" si="8"/>
        <v>15.32</v>
      </c>
      <c r="CE41" s="631">
        <f t="shared" si="8"/>
        <v>0.19</v>
      </c>
      <c r="CF41" s="631">
        <f t="shared" si="8"/>
        <v>0.4</v>
      </c>
      <c r="CG41" s="631">
        <f t="shared" si="8"/>
        <v>2.6399999999999997</v>
      </c>
      <c r="CH41" s="631">
        <f t="shared" si="8"/>
        <v>0.18</v>
      </c>
      <c r="CI41" s="631">
        <f t="shared" si="8"/>
        <v>0.25</v>
      </c>
      <c r="CJ41" s="631">
        <f t="shared" si="8"/>
        <v>2.2999999999999998</v>
      </c>
      <c r="CK41" s="631">
        <f t="shared" si="8"/>
        <v>1.56</v>
      </c>
      <c r="CL41" s="631">
        <f t="shared" si="8"/>
        <v>7.0000000000000007E-2</v>
      </c>
      <c r="CM41" s="631">
        <f t="shared" si="8"/>
        <v>1.05</v>
      </c>
      <c r="CN41" s="631">
        <f t="shared" si="8"/>
        <v>0.2</v>
      </c>
      <c r="CO41" s="631">
        <f t="shared" si="8"/>
        <v>0.25</v>
      </c>
      <c r="CP41" s="631">
        <f t="shared" si="8"/>
        <v>1.3</v>
      </c>
      <c r="CQ41" s="631">
        <f t="shared" si="8"/>
        <v>0.75</v>
      </c>
      <c r="CR41" s="631">
        <f t="shared" si="8"/>
        <v>3.3099999999999996</v>
      </c>
      <c r="CS41" s="631">
        <f t="shared" si="8"/>
        <v>0.63</v>
      </c>
      <c r="CT41" s="631">
        <f t="shared" si="8"/>
        <v>1.8</v>
      </c>
      <c r="CU41" s="631">
        <f t="shared" si="8"/>
        <v>0.53</v>
      </c>
      <c r="CV41" s="631">
        <f t="shared" si="8"/>
        <v>3.4</v>
      </c>
      <c r="CW41" s="631">
        <f t="shared" si="8"/>
        <v>0.8</v>
      </c>
      <c r="CX41" s="631">
        <f t="shared" si="8"/>
        <v>1.48</v>
      </c>
      <c r="CY41" s="631">
        <f t="shared" si="8"/>
        <v>0.05</v>
      </c>
      <c r="CZ41" s="631">
        <f t="shared" si="8"/>
        <v>6.2299999999999995</v>
      </c>
      <c r="DA41" s="631">
        <f t="shared" si="8"/>
        <v>11.86</v>
      </c>
      <c r="DB41" s="631">
        <f t="shared" si="8"/>
        <v>0</v>
      </c>
      <c r="DC41" s="631">
        <f t="shared" si="8"/>
        <v>0.13</v>
      </c>
      <c r="DD41" s="631">
        <f t="shared" si="8"/>
        <v>7.0000000000000007E-2</v>
      </c>
      <c r="DE41" s="631">
        <f t="shared" si="8"/>
        <v>2.7</v>
      </c>
      <c r="DF41" s="631">
        <f t="shared" si="8"/>
        <v>0.22999999999999998</v>
      </c>
      <c r="DG41" s="631">
        <f t="shared" si="8"/>
        <v>0.33</v>
      </c>
      <c r="DH41" s="631">
        <f t="shared" si="8"/>
        <v>0</v>
      </c>
      <c r="DI41" s="631">
        <f t="shared" si="8"/>
        <v>0</v>
      </c>
      <c r="DJ41" s="631">
        <f t="shared" si="8"/>
        <v>1.21</v>
      </c>
      <c r="DK41" s="631">
        <f t="shared" si="8"/>
        <v>0.25</v>
      </c>
      <c r="DL41" s="631">
        <f t="shared" si="8"/>
        <v>3.44</v>
      </c>
      <c r="DM41" s="631">
        <f t="shared" si="8"/>
        <v>0</v>
      </c>
      <c r="DN41" s="631">
        <f t="shared" si="8"/>
        <v>0.36</v>
      </c>
      <c r="DO41" s="631">
        <f t="shared" si="8"/>
        <v>0.73</v>
      </c>
      <c r="DP41" s="631">
        <f t="shared" si="8"/>
        <v>0.5</v>
      </c>
      <c r="DQ41" s="631">
        <f t="shared" si="8"/>
        <v>2.62</v>
      </c>
      <c r="DR41" s="631">
        <f t="shared" si="8"/>
        <v>2.7</v>
      </c>
      <c r="DS41" s="631">
        <f t="shared" si="8"/>
        <v>0.39</v>
      </c>
      <c r="DT41" s="631">
        <f t="shared" si="8"/>
        <v>0.3</v>
      </c>
      <c r="DU41" s="631">
        <f t="shared" si="8"/>
        <v>3.62</v>
      </c>
      <c r="DV41" s="631">
        <f t="shared" si="8"/>
        <v>6.5</v>
      </c>
      <c r="DW41" s="631">
        <f t="shared" si="8"/>
        <v>4.72</v>
      </c>
      <c r="DX41" s="631">
        <f t="shared" si="8"/>
        <v>1.68</v>
      </c>
      <c r="DY41" s="631">
        <f t="shared" si="8"/>
        <v>2.7199999999999998</v>
      </c>
      <c r="DZ41" s="631">
        <f t="shared" si="8"/>
        <v>15.52</v>
      </c>
      <c r="EA41" s="631">
        <f t="shared" si="8"/>
        <v>2.7199999999999998</v>
      </c>
      <c r="EB41" s="631">
        <f t="shared" ref="EB41:GM41" si="9">EB38+EB39</f>
        <v>22.3</v>
      </c>
      <c r="EC41" s="631">
        <f t="shared" si="9"/>
        <v>11.79</v>
      </c>
      <c r="ED41" s="631">
        <f t="shared" si="9"/>
        <v>1.6400000000000001</v>
      </c>
      <c r="EE41" s="631">
        <f t="shared" si="9"/>
        <v>22</v>
      </c>
      <c r="EF41" s="631">
        <f t="shared" si="9"/>
        <v>16.600000000000001</v>
      </c>
      <c r="EG41" s="631">
        <f t="shared" si="9"/>
        <v>10.6</v>
      </c>
      <c r="EH41" s="631">
        <f t="shared" si="9"/>
        <v>8.5</v>
      </c>
      <c r="EI41" s="631">
        <f t="shared" si="9"/>
        <v>12.93</v>
      </c>
      <c r="EJ41" s="631">
        <f t="shared" si="9"/>
        <v>17</v>
      </c>
      <c r="EK41" s="631">
        <f t="shared" si="9"/>
        <v>12.870000000000001</v>
      </c>
      <c r="EL41" s="631">
        <f t="shared" si="9"/>
        <v>6.12</v>
      </c>
      <c r="EM41" s="631">
        <f t="shared" si="9"/>
        <v>23</v>
      </c>
      <c r="EN41" s="631">
        <f t="shared" si="9"/>
        <v>5.57</v>
      </c>
      <c r="EO41" s="631">
        <f t="shared" si="9"/>
        <v>17.18</v>
      </c>
      <c r="EP41" s="631">
        <f t="shared" si="9"/>
        <v>15.1</v>
      </c>
      <c r="EQ41" s="631">
        <f t="shared" si="9"/>
        <v>12.73</v>
      </c>
      <c r="ER41" s="631">
        <f t="shared" si="9"/>
        <v>13</v>
      </c>
      <c r="ES41" s="631">
        <f t="shared" si="9"/>
        <v>13.14</v>
      </c>
      <c r="ET41" s="631">
        <f t="shared" si="9"/>
        <v>13</v>
      </c>
      <c r="EU41" s="631">
        <f t="shared" si="9"/>
        <v>16.68</v>
      </c>
      <c r="EV41" s="631">
        <f t="shared" si="9"/>
        <v>19.28</v>
      </c>
      <c r="EW41" s="631">
        <f t="shared" si="9"/>
        <v>23</v>
      </c>
      <c r="EX41" s="631">
        <f t="shared" si="9"/>
        <v>12.65</v>
      </c>
      <c r="EY41" s="631">
        <f t="shared" si="9"/>
        <v>11</v>
      </c>
      <c r="EZ41" s="631">
        <f t="shared" si="9"/>
        <v>26.43</v>
      </c>
      <c r="FA41" s="631">
        <f t="shared" si="9"/>
        <v>12.84</v>
      </c>
      <c r="FB41" s="631">
        <f t="shared" si="9"/>
        <v>48.550000000000004</v>
      </c>
      <c r="FC41" s="631">
        <f t="shared" si="9"/>
        <v>11.799999999999999</v>
      </c>
      <c r="FD41" s="631">
        <f t="shared" si="9"/>
        <v>18.600000000000001</v>
      </c>
      <c r="FE41" s="631">
        <f t="shared" si="9"/>
        <v>8.6999999999999993</v>
      </c>
      <c r="FF41" s="631">
        <f t="shared" si="9"/>
        <v>5.85</v>
      </c>
      <c r="FG41" s="631">
        <f t="shared" si="9"/>
        <v>11.43</v>
      </c>
      <c r="FH41" s="631">
        <f t="shared" si="9"/>
        <v>15</v>
      </c>
      <c r="FI41" s="631">
        <f t="shared" si="9"/>
        <v>10</v>
      </c>
      <c r="FJ41" s="631">
        <f t="shared" si="9"/>
        <v>18.96</v>
      </c>
      <c r="FK41" s="631">
        <f t="shared" si="9"/>
        <v>5.5</v>
      </c>
      <c r="FL41" s="631">
        <f t="shared" si="9"/>
        <v>9</v>
      </c>
      <c r="FM41" s="631">
        <f t="shared" si="9"/>
        <v>13.72</v>
      </c>
      <c r="FN41" s="631">
        <f t="shared" si="9"/>
        <v>13.75</v>
      </c>
      <c r="FO41" s="631">
        <f t="shared" si="9"/>
        <v>2.12</v>
      </c>
      <c r="FP41" s="631">
        <f t="shared" si="9"/>
        <v>21</v>
      </c>
      <c r="FQ41" s="631">
        <f t="shared" si="9"/>
        <v>21.07</v>
      </c>
      <c r="FR41" s="631">
        <f t="shared" si="9"/>
        <v>17.630000000000003</v>
      </c>
      <c r="FS41" s="631">
        <f t="shared" si="9"/>
        <v>12.08</v>
      </c>
      <c r="FT41" s="631">
        <f t="shared" si="9"/>
        <v>11.09</v>
      </c>
      <c r="FU41" s="631">
        <f t="shared" si="9"/>
        <v>2.38</v>
      </c>
      <c r="FV41" s="631">
        <f t="shared" si="9"/>
        <v>8.0299999999999994</v>
      </c>
      <c r="FW41" s="631">
        <f t="shared" si="9"/>
        <v>12.9</v>
      </c>
      <c r="FX41" s="631">
        <f t="shared" si="9"/>
        <v>0.25</v>
      </c>
      <c r="FY41" s="631">
        <f t="shared" si="9"/>
        <v>10.199999999999999</v>
      </c>
      <c r="FZ41" s="631">
        <f t="shared" si="9"/>
        <v>3.6399999999999997</v>
      </c>
      <c r="GA41" s="631">
        <f t="shared" si="9"/>
        <v>0.5</v>
      </c>
      <c r="GB41" s="631">
        <f t="shared" si="9"/>
        <v>0.55000000000000004</v>
      </c>
      <c r="GC41" s="631">
        <f t="shared" si="9"/>
        <v>0.9</v>
      </c>
      <c r="GD41" s="631">
        <f t="shared" si="9"/>
        <v>1.5</v>
      </c>
      <c r="GE41" s="631">
        <f t="shared" si="9"/>
        <v>0.21</v>
      </c>
      <c r="GF41" s="631">
        <f t="shared" si="9"/>
        <v>0</v>
      </c>
      <c r="GG41" s="631">
        <f t="shared" si="9"/>
        <v>2.2999999999999998</v>
      </c>
      <c r="GH41" s="631">
        <f t="shared" si="9"/>
        <v>0.3</v>
      </c>
      <c r="GI41" s="631">
        <f t="shared" si="9"/>
        <v>1.08</v>
      </c>
      <c r="GJ41" s="631">
        <f t="shared" si="9"/>
        <v>0</v>
      </c>
      <c r="GK41" s="631">
        <f t="shared" si="9"/>
        <v>0.01</v>
      </c>
      <c r="GL41" s="631">
        <f t="shared" si="9"/>
        <v>0.54</v>
      </c>
      <c r="GM41" s="631">
        <f t="shared" si="9"/>
        <v>0.3</v>
      </c>
      <c r="GN41" s="631">
        <f t="shared" ref="GN41:IY41" si="10">GN38+GN39</f>
        <v>0.22999999999999998</v>
      </c>
      <c r="GO41" s="631">
        <f t="shared" si="10"/>
        <v>1.53</v>
      </c>
      <c r="GP41" s="631">
        <f t="shared" si="10"/>
        <v>0.55000000000000004</v>
      </c>
      <c r="GQ41" s="631">
        <f t="shared" si="10"/>
        <v>0</v>
      </c>
      <c r="GR41" s="631">
        <f t="shared" si="10"/>
        <v>3.5</v>
      </c>
      <c r="GS41" s="631">
        <f t="shared" si="10"/>
        <v>3.16</v>
      </c>
      <c r="GT41" s="631">
        <f t="shared" si="10"/>
        <v>1.1499999999999999</v>
      </c>
      <c r="GU41" s="631">
        <f t="shared" si="10"/>
        <v>1.54</v>
      </c>
      <c r="GV41" s="631">
        <f t="shared" si="10"/>
        <v>0</v>
      </c>
      <c r="GW41" s="631">
        <f t="shared" si="10"/>
        <v>0.91</v>
      </c>
      <c r="GX41" s="631">
        <f t="shared" si="10"/>
        <v>0.7</v>
      </c>
      <c r="GY41" s="631">
        <f t="shared" si="10"/>
        <v>1</v>
      </c>
      <c r="GZ41" s="631">
        <f t="shared" si="10"/>
        <v>0.87999999999999989</v>
      </c>
      <c r="HA41" s="631">
        <f t="shared" si="10"/>
        <v>0</v>
      </c>
      <c r="HB41" s="631">
        <f t="shared" si="10"/>
        <v>1.19</v>
      </c>
      <c r="HC41" s="631">
        <f t="shared" si="10"/>
        <v>1</v>
      </c>
      <c r="HD41" s="631">
        <f t="shared" si="10"/>
        <v>0.13</v>
      </c>
      <c r="HE41" s="631">
        <f t="shared" si="10"/>
        <v>0.78</v>
      </c>
      <c r="HF41" s="631">
        <f t="shared" si="10"/>
        <v>0.65</v>
      </c>
      <c r="HG41" s="631">
        <f t="shared" si="10"/>
        <v>0.65</v>
      </c>
      <c r="HH41" s="631">
        <f t="shared" si="10"/>
        <v>0.66</v>
      </c>
      <c r="HI41" s="631">
        <f t="shared" si="10"/>
        <v>1.22</v>
      </c>
      <c r="HJ41" s="631">
        <f t="shared" si="10"/>
        <v>0</v>
      </c>
      <c r="HK41" s="631">
        <f t="shared" si="10"/>
        <v>1</v>
      </c>
      <c r="HL41" s="631">
        <f t="shared" si="10"/>
        <v>1.53</v>
      </c>
      <c r="HM41" s="631">
        <f t="shared" si="10"/>
        <v>0.87999999999999989</v>
      </c>
      <c r="HN41" s="631">
        <f t="shared" si="10"/>
        <v>1.66</v>
      </c>
      <c r="HO41" s="631">
        <f t="shared" si="10"/>
        <v>0.65</v>
      </c>
      <c r="HP41" s="631">
        <f t="shared" si="10"/>
        <v>0.26</v>
      </c>
      <c r="HQ41" s="631">
        <f t="shared" si="10"/>
        <v>0</v>
      </c>
      <c r="HR41" s="631">
        <f t="shared" si="10"/>
        <v>0.1</v>
      </c>
      <c r="HS41" s="631">
        <f t="shared" si="10"/>
        <v>1.3</v>
      </c>
      <c r="HT41" s="631">
        <f t="shared" si="10"/>
        <v>1.52</v>
      </c>
      <c r="HU41" s="631">
        <f t="shared" si="10"/>
        <v>0.21</v>
      </c>
      <c r="HV41" s="631">
        <f t="shared" si="10"/>
        <v>1</v>
      </c>
      <c r="HW41" s="631">
        <f t="shared" si="10"/>
        <v>0.99</v>
      </c>
      <c r="HX41" s="631">
        <f t="shared" si="10"/>
        <v>0</v>
      </c>
      <c r="HY41" s="631">
        <f t="shared" si="10"/>
        <v>2.2799999999999998</v>
      </c>
      <c r="HZ41" s="631">
        <f t="shared" si="10"/>
        <v>0.02</v>
      </c>
      <c r="IA41" s="631">
        <f t="shared" si="10"/>
        <v>0.28000000000000003</v>
      </c>
      <c r="IB41" s="631">
        <f t="shared" si="10"/>
        <v>1.4</v>
      </c>
      <c r="IC41" s="631">
        <f t="shared" si="10"/>
        <v>1.53</v>
      </c>
      <c r="ID41" s="631">
        <f t="shared" si="10"/>
        <v>1.21</v>
      </c>
      <c r="IE41" s="631">
        <f t="shared" si="10"/>
        <v>0.5</v>
      </c>
      <c r="IF41" s="631">
        <f t="shared" si="10"/>
        <v>1.77</v>
      </c>
      <c r="IG41" s="631">
        <f t="shared" si="10"/>
        <v>0.3</v>
      </c>
      <c r="IH41" s="631">
        <f t="shared" si="10"/>
        <v>0.39</v>
      </c>
      <c r="II41" s="631">
        <f t="shared" si="10"/>
        <v>1.8</v>
      </c>
      <c r="IJ41" s="631">
        <f t="shared" si="10"/>
        <v>0.5</v>
      </c>
      <c r="IK41" s="631">
        <f t="shared" si="10"/>
        <v>0.52</v>
      </c>
      <c r="IL41" s="631">
        <f t="shared" si="10"/>
        <v>0.55000000000000004</v>
      </c>
      <c r="IM41" s="631">
        <f t="shared" si="10"/>
        <v>0</v>
      </c>
      <c r="IN41" s="631">
        <f t="shared" si="10"/>
        <v>0.69000000000000006</v>
      </c>
      <c r="IO41" s="631">
        <f t="shared" si="10"/>
        <v>0.64</v>
      </c>
      <c r="IP41" s="631">
        <f t="shared" si="10"/>
        <v>0.43000000000000005</v>
      </c>
      <c r="IQ41" s="631">
        <f t="shared" si="10"/>
        <v>0.22999999999999998</v>
      </c>
      <c r="IR41" s="631">
        <f t="shared" si="10"/>
        <v>0.5</v>
      </c>
      <c r="IS41" s="631">
        <f t="shared" si="10"/>
        <v>0.25</v>
      </c>
      <c r="IT41" s="631">
        <f t="shared" si="10"/>
        <v>0.74</v>
      </c>
      <c r="IU41" s="631">
        <f t="shared" si="10"/>
        <v>0</v>
      </c>
      <c r="IV41" s="631">
        <f t="shared" si="10"/>
        <v>4</v>
      </c>
      <c r="IW41" s="631">
        <f t="shared" si="10"/>
        <v>0.16</v>
      </c>
      <c r="IX41" s="631">
        <f t="shared" si="10"/>
        <v>1</v>
      </c>
      <c r="IY41" s="631">
        <f t="shared" si="10"/>
        <v>0.19</v>
      </c>
      <c r="IZ41" s="631">
        <f t="shared" ref="IZ41:JR41" si="11">IZ38+IZ39</f>
        <v>0.97</v>
      </c>
      <c r="JA41" s="631">
        <f t="shared" si="11"/>
        <v>1.22</v>
      </c>
      <c r="JB41" s="631">
        <f t="shared" si="11"/>
        <v>1.93</v>
      </c>
      <c r="JC41" s="631">
        <f t="shared" si="11"/>
        <v>1.49</v>
      </c>
      <c r="JD41" s="631">
        <f t="shared" si="11"/>
        <v>0.5</v>
      </c>
      <c r="JE41" s="631">
        <f t="shared" si="11"/>
        <v>0.25</v>
      </c>
      <c r="JF41" s="631">
        <f t="shared" si="11"/>
        <v>0.5</v>
      </c>
      <c r="JG41" s="631">
        <f t="shared" si="11"/>
        <v>0.66</v>
      </c>
      <c r="JH41" s="631">
        <f t="shared" si="11"/>
        <v>0.63</v>
      </c>
      <c r="JI41" s="631">
        <f t="shared" si="11"/>
        <v>1.3</v>
      </c>
      <c r="JJ41" s="631">
        <f t="shared" si="11"/>
        <v>0.89999999999999991</v>
      </c>
      <c r="JK41" s="631">
        <f t="shared" si="11"/>
        <v>0.4</v>
      </c>
      <c r="JL41" s="631">
        <f t="shared" si="11"/>
        <v>0.21</v>
      </c>
      <c r="JM41" s="631">
        <f t="shared" si="11"/>
        <v>1.4</v>
      </c>
      <c r="JN41" s="631">
        <f t="shared" si="11"/>
        <v>1.75</v>
      </c>
      <c r="JO41" s="631">
        <f t="shared" si="11"/>
        <v>0.5</v>
      </c>
      <c r="JP41" s="631">
        <f t="shared" si="11"/>
        <v>0.31</v>
      </c>
      <c r="JQ41" s="631">
        <f t="shared" si="11"/>
        <v>0.52</v>
      </c>
      <c r="JR41" s="631">
        <f t="shared" si="11"/>
        <v>0</v>
      </c>
      <c r="JU41" s="348"/>
      <c r="JV41" s="313">
        <f t="shared" si="2"/>
        <v>14.000000000000004</v>
      </c>
      <c r="JW41" s="313">
        <f t="shared" si="6"/>
        <v>0.71</v>
      </c>
      <c r="JX41" s="313">
        <f t="shared" si="6"/>
        <v>11.870000000000001</v>
      </c>
      <c r="JY41" s="313">
        <f t="shared" si="6"/>
        <v>63.639999999999993</v>
      </c>
      <c r="JZ41" s="313">
        <f t="shared" si="6"/>
        <v>1.1200000000000001</v>
      </c>
      <c r="KA41" s="313">
        <f t="shared" si="6"/>
        <v>0.2</v>
      </c>
      <c r="KB41" s="313">
        <f t="shared" si="6"/>
        <v>1.55</v>
      </c>
      <c r="KC41" s="313">
        <f t="shared" si="6"/>
        <v>31.04</v>
      </c>
      <c r="KD41" s="313">
        <f t="shared" si="6"/>
        <v>4.7200000000000006</v>
      </c>
      <c r="KE41" s="313">
        <f t="shared" si="6"/>
        <v>27.56</v>
      </c>
      <c r="KF41" s="313">
        <f t="shared" si="6"/>
        <v>2.7199999999999998</v>
      </c>
      <c r="KG41" s="313">
        <f t="shared" si="6"/>
        <v>141.6</v>
      </c>
      <c r="KH41" s="313">
        <f t="shared" si="6"/>
        <v>444.4500000000001</v>
      </c>
      <c r="KI41" s="313">
        <f t="shared" si="6"/>
        <v>118.75000000000001</v>
      </c>
      <c r="KJ41" s="313">
        <f t="shared" si="6"/>
        <v>10.98</v>
      </c>
      <c r="KK41" s="313">
        <f t="shared" si="6"/>
        <v>0.01</v>
      </c>
      <c r="KL41" s="313">
        <f t="shared" si="6"/>
        <v>2.6</v>
      </c>
      <c r="KM41" s="313">
        <f t="shared" si="6"/>
        <v>0.55000000000000004</v>
      </c>
      <c r="KN41" s="313">
        <f t="shared" si="6"/>
        <v>10.260000000000002</v>
      </c>
      <c r="KO41" s="313">
        <f t="shared" si="6"/>
        <v>0.7</v>
      </c>
      <c r="KP41" s="313">
        <f t="shared" si="6"/>
        <v>1.88</v>
      </c>
      <c r="KQ41" s="313">
        <f t="shared" si="6"/>
        <v>0</v>
      </c>
      <c r="KR41" s="313">
        <f t="shared" si="6"/>
        <v>1.19</v>
      </c>
      <c r="KS41" s="313">
        <f t="shared" si="6"/>
        <v>1</v>
      </c>
      <c r="KT41" s="313">
        <f t="shared" si="6"/>
        <v>7.5</v>
      </c>
      <c r="KU41" s="313">
        <f t="shared" si="6"/>
        <v>2.5700000000000003</v>
      </c>
      <c r="KV41" s="313">
        <f t="shared" si="6"/>
        <v>0</v>
      </c>
      <c r="KW41" s="313">
        <f t="shared" si="6"/>
        <v>12.34</v>
      </c>
      <c r="KX41" s="313">
        <f t="shared" si="6"/>
        <v>2.0699999999999998</v>
      </c>
      <c r="KY41" s="313">
        <f t="shared" si="6"/>
        <v>2.69</v>
      </c>
      <c r="KZ41" s="313">
        <f t="shared" si="6"/>
        <v>1.07</v>
      </c>
      <c r="LA41" s="313">
        <f t="shared" si="6"/>
        <v>21.189999999999998</v>
      </c>
      <c r="LB41" s="313">
        <f t="shared" si="6"/>
        <v>3.08</v>
      </c>
      <c r="LC41" s="313">
        <f t="shared" si="6"/>
        <v>0</v>
      </c>
    </row>
  </sheetData>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59"/>
  <sheetViews>
    <sheetView topLeftCell="A1204" workbookViewId="0">
      <selection activeCell="F1215" sqref="F1215"/>
    </sheetView>
  </sheetViews>
  <sheetFormatPr defaultRowHeight="15" x14ac:dyDescent="0.25"/>
  <cols>
    <col min="4" max="4" width="27.5703125" style="313" customWidth="1"/>
  </cols>
  <sheetData>
    <row r="1" spans="1:12" x14ac:dyDescent="0.25">
      <c r="A1" s="358" t="s">
        <v>1654</v>
      </c>
      <c r="B1" s="359" t="s">
        <v>1040</v>
      </c>
      <c r="C1" s="359" t="s">
        <v>2426</v>
      </c>
      <c r="D1" s="359"/>
      <c r="E1" s="359" t="s">
        <v>38</v>
      </c>
      <c r="F1" s="359" t="s">
        <v>2427</v>
      </c>
      <c r="G1" s="361" t="s">
        <v>2428</v>
      </c>
      <c r="H1" s="875" t="s">
        <v>2429</v>
      </c>
      <c r="I1" s="876"/>
      <c r="J1" s="877"/>
      <c r="K1" s="313"/>
      <c r="L1" s="313"/>
    </row>
    <row r="2" spans="1:12" ht="15.75" thickBot="1" x14ac:dyDescent="0.3">
      <c r="A2" s="360"/>
      <c r="B2" s="357"/>
      <c r="C2" s="357"/>
      <c r="D2" s="357"/>
      <c r="E2" s="357"/>
      <c r="F2" s="357"/>
      <c r="G2" s="362" t="s">
        <v>2428</v>
      </c>
      <c r="H2" s="362" t="s">
        <v>1654</v>
      </c>
      <c r="I2" s="362" t="s">
        <v>1086</v>
      </c>
      <c r="J2" s="363" t="s">
        <v>2430</v>
      </c>
      <c r="K2" s="313"/>
      <c r="L2" s="313"/>
    </row>
    <row r="3" spans="1:12" x14ac:dyDescent="0.25">
      <c r="A3" s="364">
        <v>1236570</v>
      </c>
      <c r="B3" s="365" t="s">
        <v>776</v>
      </c>
      <c r="C3" s="365" t="s">
        <v>2442</v>
      </c>
      <c r="D3" s="365" t="str">
        <f t="shared" ref="D3:D66" si="0">CONCATENATE(A3,"__",C3)</f>
        <v>1236570__ADM</v>
      </c>
      <c r="E3" s="365" t="s">
        <v>705</v>
      </c>
      <c r="F3" s="366">
        <v>805123</v>
      </c>
      <c r="G3" s="367">
        <v>1.6</v>
      </c>
      <c r="H3" s="366">
        <v>31293.648942786069</v>
      </c>
      <c r="I3" s="366">
        <v>36150.410067116856</v>
      </c>
      <c r="J3" s="368">
        <v>31260.819899999071</v>
      </c>
      <c r="K3" s="313"/>
      <c r="L3" s="313"/>
    </row>
    <row r="4" spans="1:12" x14ac:dyDescent="0.25">
      <c r="A4" s="369">
        <v>1236570</v>
      </c>
      <c r="B4" s="370" t="s">
        <v>776</v>
      </c>
      <c r="C4" s="370" t="s">
        <v>2443</v>
      </c>
      <c r="D4" s="370" t="str">
        <f t="shared" si="0"/>
        <v>1236570__MAN</v>
      </c>
      <c r="E4" s="370" t="s">
        <v>705</v>
      </c>
      <c r="F4" s="371">
        <v>353580</v>
      </c>
      <c r="G4" s="372">
        <v>1.101</v>
      </c>
      <c r="H4" s="371">
        <v>19971.667547819488</v>
      </c>
      <c r="I4" s="371">
        <v>20205.464515391603</v>
      </c>
      <c r="J4" s="373">
        <v>20899.338549642776</v>
      </c>
      <c r="K4" s="313"/>
      <c r="L4" s="313"/>
    </row>
    <row r="5" spans="1:12" x14ac:dyDescent="0.25">
      <c r="A5" s="369">
        <v>1236570</v>
      </c>
      <c r="B5" s="370" t="s">
        <v>776</v>
      </c>
      <c r="C5" s="370" t="s">
        <v>2444</v>
      </c>
      <c r="D5" s="370" t="str">
        <f t="shared" si="0"/>
        <v>1236570__PPPs</v>
      </c>
      <c r="E5" s="370" t="s">
        <v>705</v>
      </c>
      <c r="F5" s="371">
        <v>6812372</v>
      </c>
      <c r="G5" s="372">
        <v>14.568</v>
      </c>
      <c r="H5" s="371">
        <v>29081.203674106127</v>
      </c>
      <c r="I5" s="371">
        <v>28231.882363638724</v>
      </c>
      <c r="J5" s="373">
        <v>27736.496615082382</v>
      </c>
      <c r="K5" s="313"/>
      <c r="L5" s="313"/>
    </row>
    <row r="6" spans="1:12" x14ac:dyDescent="0.25">
      <c r="A6" s="369">
        <v>1236570</v>
      </c>
      <c r="B6" s="370" t="s">
        <v>776</v>
      </c>
      <c r="C6" s="370" t="s">
        <v>2445</v>
      </c>
      <c r="D6" s="370" t="str">
        <f t="shared" si="0"/>
        <v>1236570__PPPz</v>
      </c>
      <c r="E6" s="370" t="s">
        <v>705</v>
      </c>
      <c r="F6" s="371">
        <v>0</v>
      </c>
      <c r="G6" s="372">
        <v>0</v>
      </c>
      <c r="H6" s="371">
        <v>0</v>
      </c>
      <c r="I6" s="371">
        <v>0</v>
      </c>
      <c r="J6" s="373">
        <v>43078.309249730781</v>
      </c>
      <c r="K6" s="313"/>
      <c r="L6" s="313"/>
    </row>
    <row r="7" spans="1:12" ht="15.75" thickBot="1" x14ac:dyDescent="0.3">
      <c r="A7" s="374">
        <v>1236570</v>
      </c>
      <c r="B7" s="375" t="s">
        <v>776</v>
      </c>
      <c r="C7" s="375" t="s">
        <v>2446</v>
      </c>
      <c r="D7" s="375" t="str">
        <f t="shared" si="0"/>
        <v>1236570__VED</v>
      </c>
      <c r="E7" s="375" t="s">
        <v>705</v>
      </c>
      <c r="F7" s="376">
        <v>193033</v>
      </c>
      <c r="G7" s="377">
        <v>0.54100000000000004</v>
      </c>
      <c r="H7" s="376">
        <v>22189.53752494459</v>
      </c>
      <c r="I7" s="376">
        <v>33298.855647241609</v>
      </c>
      <c r="J7" s="378">
        <v>40177.636788009673</v>
      </c>
      <c r="K7" s="313"/>
      <c r="L7" s="313"/>
    </row>
    <row r="8" spans="1:12" x14ac:dyDescent="0.25">
      <c r="A8" s="364">
        <v>2438469</v>
      </c>
      <c r="B8" s="365" t="s">
        <v>1521</v>
      </c>
      <c r="C8" s="365" t="s">
        <v>2442</v>
      </c>
      <c r="D8" s="365" t="str">
        <f t="shared" si="0"/>
        <v>2438469__ADM</v>
      </c>
      <c r="E8" s="365" t="s">
        <v>705</v>
      </c>
      <c r="F8" s="366">
        <v>0</v>
      </c>
      <c r="G8" s="367">
        <v>0</v>
      </c>
      <c r="H8" s="366">
        <v>0</v>
      </c>
      <c r="I8" s="366">
        <v>36150.410067116856</v>
      </c>
      <c r="J8" s="368">
        <v>31260.819899999071</v>
      </c>
      <c r="K8" s="313"/>
      <c r="L8" s="313"/>
    </row>
    <row r="9" spans="1:12" x14ac:dyDescent="0.25">
      <c r="A9" s="369">
        <v>2438469</v>
      </c>
      <c r="B9" s="370" t="s">
        <v>1521</v>
      </c>
      <c r="C9" s="370" t="s">
        <v>2443</v>
      </c>
      <c r="D9" s="370" t="str">
        <f t="shared" si="0"/>
        <v>2438469__MAN</v>
      </c>
      <c r="E9" s="370" t="s">
        <v>705</v>
      </c>
      <c r="F9" s="371">
        <v>0</v>
      </c>
      <c r="G9" s="372">
        <v>0</v>
      </c>
      <c r="H9" s="371">
        <v>0</v>
      </c>
      <c r="I9" s="371">
        <v>20205.464515391603</v>
      </c>
      <c r="J9" s="373">
        <v>20899.338549642776</v>
      </c>
      <c r="K9" s="313"/>
      <c r="L9" s="313"/>
    </row>
    <row r="10" spans="1:12" x14ac:dyDescent="0.25">
      <c r="A10" s="369">
        <v>2438469</v>
      </c>
      <c r="B10" s="370" t="s">
        <v>1521</v>
      </c>
      <c r="C10" s="370" t="s">
        <v>2444</v>
      </c>
      <c r="D10" s="370" t="str">
        <f t="shared" si="0"/>
        <v>2438469__PPPs</v>
      </c>
      <c r="E10" s="370" t="s">
        <v>705</v>
      </c>
      <c r="F10" s="371">
        <v>1904974</v>
      </c>
      <c r="G10" s="372">
        <v>5</v>
      </c>
      <c r="H10" s="371">
        <v>23693.70646766169</v>
      </c>
      <c r="I10" s="371">
        <v>28231.882363638724</v>
      </c>
      <c r="J10" s="373">
        <v>27736.496615082382</v>
      </c>
      <c r="K10" s="313"/>
      <c r="L10" s="313"/>
    </row>
    <row r="11" spans="1:12" x14ac:dyDescent="0.25">
      <c r="A11" s="369">
        <v>2438469</v>
      </c>
      <c r="B11" s="370" t="s">
        <v>1521</v>
      </c>
      <c r="C11" s="370" t="s">
        <v>2445</v>
      </c>
      <c r="D11" s="370" t="str">
        <f t="shared" si="0"/>
        <v>2438469__PPPz</v>
      </c>
      <c r="E11" s="370" t="s">
        <v>705</v>
      </c>
      <c r="F11" s="371">
        <v>0</v>
      </c>
      <c r="G11" s="372">
        <v>0</v>
      </c>
      <c r="H11" s="371">
        <v>0</v>
      </c>
      <c r="I11" s="371">
        <v>0</v>
      </c>
      <c r="J11" s="373">
        <v>43078.309249730781</v>
      </c>
      <c r="K11" s="313"/>
      <c r="L11" s="313"/>
    </row>
    <row r="12" spans="1:12" ht="15.75" thickBot="1" x14ac:dyDescent="0.3">
      <c r="A12" s="374">
        <v>2438469</v>
      </c>
      <c r="B12" s="375" t="s">
        <v>1521</v>
      </c>
      <c r="C12" s="375" t="s">
        <v>2446</v>
      </c>
      <c r="D12" s="375" t="str">
        <f t="shared" si="0"/>
        <v>2438469__VED</v>
      </c>
      <c r="E12" s="375" t="s">
        <v>705</v>
      </c>
      <c r="F12" s="376">
        <v>334405</v>
      </c>
      <c r="G12" s="377">
        <v>1</v>
      </c>
      <c r="H12" s="376">
        <v>20796.330845771143</v>
      </c>
      <c r="I12" s="376">
        <v>33298.855647241609</v>
      </c>
      <c r="J12" s="378">
        <v>40177.636788009673</v>
      </c>
      <c r="K12" s="313"/>
      <c r="L12" s="313"/>
    </row>
    <row r="13" spans="1:12" x14ac:dyDescent="0.25">
      <c r="A13" s="364">
        <v>2514714</v>
      </c>
      <c r="B13" s="365" t="s">
        <v>857</v>
      </c>
      <c r="C13" s="365" t="s">
        <v>2442</v>
      </c>
      <c r="D13" s="365" t="str">
        <f t="shared" si="0"/>
        <v>2514714__ADM</v>
      </c>
      <c r="E13" s="365" t="s">
        <v>705</v>
      </c>
      <c r="F13" s="366">
        <v>75637</v>
      </c>
      <c r="G13" s="367">
        <v>0.08</v>
      </c>
      <c r="H13" s="366">
        <v>58797.419154228854</v>
      </c>
      <c r="I13" s="366">
        <v>36150.410067116856</v>
      </c>
      <c r="J13" s="368">
        <v>31260.819899999071</v>
      </c>
      <c r="K13" s="313"/>
      <c r="L13" s="313"/>
    </row>
    <row r="14" spans="1:12" x14ac:dyDescent="0.25">
      <c r="A14" s="369">
        <v>2514714</v>
      </c>
      <c r="B14" s="370" t="s">
        <v>857</v>
      </c>
      <c r="C14" s="370" t="s">
        <v>2443</v>
      </c>
      <c r="D14" s="370" t="str">
        <f t="shared" si="0"/>
        <v>2514714__MAN</v>
      </c>
      <c r="E14" s="370" t="s">
        <v>705</v>
      </c>
      <c r="F14" s="371">
        <v>67657</v>
      </c>
      <c r="G14" s="372">
        <v>0.16</v>
      </c>
      <c r="H14" s="371">
        <v>26297.030472636816</v>
      </c>
      <c r="I14" s="371">
        <v>20205.464515391603</v>
      </c>
      <c r="J14" s="373">
        <v>20899.338549642776</v>
      </c>
      <c r="K14" s="313"/>
      <c r="L14" s="313"/>
    </row>
    <row r="15" spans="1:12" x14ac:dyDescent="0.25">
      <c r="A15" s="369">
        <v>2514714</v>
      </c>
      <c r="B15" s="370" t="s">
        <v>857</v>
      </c>
      <c r="C15" s="370" t="s">
        <v>2444</v>
      </c>
      <c r="D15" s="370" t="str">
        <f t="shared" si="0"/>
        <v>2514714__PPPs</v>
      </c>
      <c r="E15" s="370" t="s">
        <v>705</v>
      </c>
      <c r="F15" s="371">
        <v>1234338</v>
      </c>
      <c r="G15" s="372">
        <v>2.08</v>
      </c>
      <c r="H15" s="371">
        <v>36904.958381171062</v>
      </c>
      <c r="I15" s="371">
        <v>28231.882363638724</v>
      </c>
      <c r="J15" s="373">
        <v>27736.496615082382</v>
      </c>
      <c r="K15" s="313"/>
      <c r="L15" s="313"/>
    </row>
    <row r="16" spans="1:12" x14ac:dyDescent="0.25">
      <c r="A16" s="369">
        <v>2514714</v>
      </c>
      <c r="B16" s="370" t="s">
        <v>857</v>
      </c>
      <c r="C16" s="370" t="s">
        <v>2445</v>
      </c>
      <c r="D16" s="370" t="str">
        <f t="shared" si="0"/>
        <v>2514714__PPPz</v>
      </c>
      <c r="E16" s="370" t="s">
        <v>705</v>
      </c>
      <c r="F16" s="371">
        <v>0</v>
      </c>
      <c r="G16" s="372">
        <v>0</v>
      </c>
      <c r="H16" s="371">
        <v>0</v>
      </c>
      <c r="I16" s="371">
        <v>0</v>
      </c>
      <c r="J16" s="373">
        <v>43078.309249730781</v>
      </c>
      <c r="K16" s="313"/>
      <c r="L16" s="313"/>
    </row>
    <row r="17" spans="1:12" ht="15.75" thickBot="1" x14ac:dyDescent="0.3">
      <c r="A17" s="374">
        <v>2514714</v>
      </c>
      <c r="B17" s="375" t="s">
        <v>857</v>
      </c>
      <c r="C17" s="375" t="s">
        <v>2446</v>
      </c>
      <c r="D17" s="375" t="str">
        <f t="shared" si="0"/>
        <v>2514714__VED</v>
      </c>
      <c r="E17" s="375" t="s">
        <v>705</v>
      </c>
      <c r="F17" s="376">
        <v>490892</v>
      </c>
      <c r="G17" s="377">
        <v>0.64</v>
      </c>
      <c r="H17" s="376">
        <v>47700.171019900496</v>
      </c>
      <c r="I17" s="376">
        <v>33298.855647241609</v>
      </c>
      <c r="J17" s="378">
        <v>40177.636788009673</v>
      </c>
      <c r="K17" s="313"/>
      <c r="L17" s="313"/>
    </row>
    <row r="18" spans="1:12" x14ac:dyDescent="0.25">
      <c r="A18" s="364">
        <v>3028344</v>
      </c>
      <c r="B18" s="365" t="s">
        <v>1517</v>
      </c>
      <c r="C18" s="365" t="s">
        <v>2442</v>
      </c>
      <c r="D18" s="365" t="str">
        <f t="shared" si="0"/>
        <v>3028344__ADM</v>
      </c>
      <c r="E18" s="365" t="s">
        <v>705</v>
      </c>
      <c r="F18" s="366">
        <v>202974</v>
      </c>
      <c r="G18" s="367">
        <v>0.5</v>
      </c>
      <c r="H18" s="366">
        <v>25245.5223880597</v>
      </c>
      <c r="I18" s="366">
        <v>36150.410067116856</v>
      </c>
      <c r="J18" s="368">
        <v>31260.819899999071</v>
      </c>
      <c r="K18" s="313"/>
      <c r="L18" s="313"/>
    </row>
    <row r="19" spans="1:12" x14ac:dyDescent="0.25">
      <c r="A19" s="369">
        <v>3028344</v>
      </c>
      <c r="B19" s="370" t="s">
        <v>1517</v>
      </c>
      <c r="C19" s="370" t="s">
        <v>2443</v>
      </c>
      <c r="D19" s="370" t="str">
        <f t="shared" si="0"/>
        <v>3028344__MAN</v>
      </c>
      <c r="E19" s="370" t="s">
        <v>705</v>
      </c>
      <c r="F19" s="371">
        <v>65392</v>
      </c>
      <c r="G19" s="372">
        <v>0.27200000000000002</v>
      </c>
      <c r="H19" s="371">
        <v>14950.980392156862</v>
      </c>
      <c r="I19" s="371">
        <v>20205.464515391603</v>
      </c>
      <c r="J19" s="373">
        <v>20899.338549642776</v>
      </c>
      <c r="K19" s="313"/>
      <c r="L19" s="313"/>
    </row>
    <row r="20" spans="1:12" x14ac:dyDescent="0.25">
      <c r="A20" s="369">
        <v>3028344</v>
      </c>
      <c r="B20" s="370" t="s">
        <v>1517</v>
      </c>
      <c r="C20" s="370" t="s">
        <v>2444</v>
      </c>
      <c r="D20" s="370" t="str">
        <f t="shared" si="0"/>
        <v>3028344__PPPs</v>
      </c>
      <c r="E20" s="370" t="s">
        <v>705</v>
      </c>
      <c r="F20" s="371">
        <v>2262663</v>
      </c>
      <c r="G20" s="372">
        <v>6.2720000000000002</v>
      </c>
      <c r="H20" s="371">
        <v>22435.088191060007</v>
      </c>
      <c r="I20" s="371">
        <v>28231.882363638724</v>
      </c>
      <c r="J20" s="373">
        <v>27736.496615082382</v>
      </c>
      <c r="K20" s="313"/>
      <c r="L20" s="313"/>
    </row>
    <row r="21" spans="1:12" x14ac:dyDescent="0.25">
      <c r="A21" s="369">
        <v>3028344</v>
      </c>
      <c r="B21" s="370" t="s">
        <v>1517</v>
      </c>
      <c r="C21" s="370" t="s">
        <v>2445</v>
      </c>
      <c r="D21" s="370" t="str">
        <f t="shared" si="0"/>
        <v>3028344__PPPz</v>
      </c>
      <c r="E21" s="370" t="s">
        <v>705</v>
      </c>
      <c r="F21" s="371">
        <v>0</v>
      </c>
      <c r="G21" s="372">
        <v>0</v>
      </c>
      <c r="H21" s="371">
        <v>0</v>
      </c>
      <c r="I21" s="371">
        <v>0</v>
      </c>
      <c r="J21" s="373">
        <v>43078.309249730781</v>
      </c>
      <c r="K21" s="313"/>
      <c r="L21" s="313"/>
    </row>
    <row r="22" spans="1:12" ht="15.75" thickBot="1" x14ac:dyDescent="0.3">
      <c r="A22" s="374">
        <v>3028344</v>
      </c>
      <c r="B22" s="375" t="s">
        <v>1517</v>
      </c>
      <c r="C22" s="375" t="s">
        <v>2446</v>
      </c>
      <c r="D22" s="375" t="str">
        <f t="shared" si="0"/>
        <v>3028344__VED</v>
      </c>
      <c r="E22" s="375" t="s">
        <v>705</v>
      </c>
      <c r="F22" s="376">
        <v>1040966</v>
      </c>
      <c r="G22" s="377">
        <v>1.8</v>
      </c>
      <c r="H22" s="376">
        <v>35964.828634604746</v>
      </c>
      <c r="I22" s="376">
        <v>33298.855647241609</v>
      </c>
      <c r="J22" s="378">
        <v>40177.636788009673</v>
      </c>
      <c r="K22" s="313"/>
      <c r="L22" s="313"/>
    </row>
    <row r="23" spans="1:12" x14ac:dyDescent="0.25">
      <c r="A23" s="364">
        <v>4699567</v>
      </c>
      <c r="B23" s="365" t="s">
        <v>776</v>
      </c>
      <c r="C23" s="365" t="s">
        <v>2442</v>
      </c>
      <c r="D23" s="365" t="str">
        <f t="shared" si="0"/>
        <v>4699567__ADM</v>
      </c>
      <c r="E23" s="365" t="s">
        <v>705</v>
      </c>
      <c r="F23" s="366">
        <v>652973</v>
      </c>
      <c r="G23" s="367">
        <v>0.89600000000000002</v>
      </c>
      <c r="H23" s="366">
        <v>45321.175928393735</v>
      </c>
      <c r="I23" s="366">
        <v>36150.410067116856</v>
      </c>
      <c r="J23" s="368">
        <v>31260.819899999071</v>
      </c>
      <c r="K23" s="313"/>
      <c r="L23" s="313"/>
    </row>
    <row r="24" spans="1:12" x14ac:dyDescent="0.25">
      <c r="A24" s="369">
        <v>4699567</v>
      </c>
      <c r="B24" s="370" t="s">
        <v>776</v>
      </c>
      <c r="C24" s="370" t="s">
        <v>2443</v>
      </c>
      <c r="D24" s="370" t="str">
        <f t="shared" si="0"/>
        <v>4699567__MAN</v>
      </c>
      <c r="E24" s="370" t="s">
        <v>705</v>
      </c>
      <c r="F24" s="371">
        <v>50762</v>
      </c>
      <c r="G24" s="372">
        <v>0.121</v>
      </c>
      <c r="H24" s="371">
        <v>26089.593355536366</v>
      </c>
      <c r="I24" s="371">
        <v>20205.464515391603</v>
      </c>
      <c r="J24" s="373">
        <v>20899.338549642776</v>
      </c>
      <c r="K24" s="313"/>
      <c r="L24" s="313"/>
    </row>
    <row r="25" spans="1:12" x14ac:dyDescent="0.25">
      <c r="A25" s="369">
        <v>4699567</v>
      </c>
      <c r="B25" s="370" t="s">
        <v>776</v>
      </c>
      <c r="C25" s="370" t="s">
        <v>2444</v>
      </c>
      <c r="D25" s="370" t="str">
        <f t="shared" si="0"/>
        <v>4699567__PPPs</v>
      </c>
      <c r="E25" s="370" t="s">
        <v>705</v>
      </c>
      <c r="F25" s="371">
        <v>3131686</v>
      </c>
      <c r="G25" s="372">
        <v>6</v>
      </c>
      <c r="H25" s="371">
        <v>32459.432006633499</v>
      </c>
      <c r="I25" s="371">
        <v>28231.882363638724</v>
      </c>
      <c r="J25" s="373">
        <v>27736.496615082382</v>
      </c>
      <c r="K25" s="313"/>
      <c r="L25" s="313"/>
    </row>
    <row r="26" spans="1:12" x14ac:dyDescent="0.25">
      <c r="A26" s="369">
        <v>4699567</v>
      </c>
      <c r="B26" s="370" t="s">
        <v>776</v>
      </c>
      <c r="C26" s="370" t="s">
        <v>2445</v>
      </c>
      <c r="D26" s="370" t="str">
        <f t="shared" si="0"/>
        <v>4699567__PPPz</v>
      </c>
      <c r="E26" s="370" t="s">
        <v>705</v>
      </c>
      <c r="F26" s="371">
        <v>0</v>
      </c>
      <c r="G26" s="372">
        <v>0</v>
      </c>
      <c r="H26" s="371">
        <v>0</v>
      </c>
      <c r="I26" s="371">
        <v>0</v>
      </c>
      <c r="J26" s="373">
        <v>43078.309249730781</v>
      </c>
      <c r="K26" s="313"/>
      <c r="L26" s="313"/>
    </row>
    <row r="27" spans="1:12" ht="15.75" thickBot="1" x14ac:dyDescent="0.3">
      <c r="A27" s="374">
        <v>4699567</v>
      </c>
      <c r="B27" s="375" t="s">
        <v>776</v>
      </c>
      <c r="C27" s="375" t="s">
        <v>2446</v>
      </c>
      <c r="D27" s="375" t="str">
        <f t="shared" si="0"/>
        <v>4699567__VED</v>
      </c>
      <c r="E27" s="375" t="s">
        <v>705</v>
      </c>
      <c r="F27" s="376">
        <v>48252</v>
      </c>
      <c r="G27" s="377">
        <v>0.12520000000000001</v>
      </c>
      <c r="H27" s="376">
        <v>23967.621954127124</v>
      </c>
      <c r="I27" s="376">
        <v>33298.855647241609</v>
      </c>
      <c r="J27" s="378">
        <v>40177.636788009673</v>
      </c>
      <c r="K27" s="313"/>
      <c r="L27" s="313"/>
    </row>
    <row r="28" spans="1:12" x14ac:dyDescent="0.25">
      <c r="A28" s="364">
        <v>9064643</v>
      </c>
      <c r="B28" s="365" t="s">
        <v>812</v>
      </c>
      <c r="C28" s="365" t="s">
        <v>2442</v>
      </c>
      <c r="D28" s="365" t="str">
        <f t="shared" si="0"/>
        <v>9064643__ADM</v>
      </c>
      <c r="E28" s="365" t="s">
        <v>705</v>
      </c>
      <c r="F28" s="366">
        <v>1074453</v>
      </c>
      <c r="G28" s="367">
        <v>1.76</v>
      </c>
      <c r="H28" s="366">
        <v>37965.463873812747</v>
      </c>
      <c r="I28" s="366">
        <v>36150.410067116856</v>
      </c>
      <c r="J28" s="368">
        <v>31260.819899999071</v>
      </c>
      <c r="K28" s="313"/>
      <c r="L28" s="313"/>
    </row>
    <row r="29" spans="1:12" x14ac:dyDescent="0.25">
      <c r="A29" s="369">
        <v>9064643</v>
      </c>
      <c r="B29" s="370" t="s">
        <v>812</v>
      </c>
      <c r="C29" s="370" t="s">
        <v>2443</v>
      </c>
      <c r="D29" s="370" t="str">
        <f t="shared" si="0"/>
        <v>9064643__MAN</v>
      </c>
      <c r="E29" s="370" t="s">
        <v>705</v>
      </c>
      <c r="F29" s="371">
        <v>0</v>
      </c>
      <c r="G29" s="372">
        <v>0</v>
      </c>
      <c r="H29" s="371">
        <v>0</v>
      </c>
      <c r="I29" s="371">
        <v>20205.464515391603</v>
      </c>
      <c r="J29" s="373">
        <v>20899.338549642776</v>
      </c>
      <c r="K29" s="313"/>
      <c r="L29" s="313"/>
    </row>
    <row r="30" spans="1:12" x14ac:dyDescent="0.25">
      <c r="A30" s="369">
        <v>9064643</v>
      </c>
      <c r="B30" s="370" t="s">
        <v>812</v>
      </c>
      <c r="C30" s="370" t="s">
        <v>2444</v>
      </c>
      <c r="D30" s="370" t="str">
        <f t="shared" si="0"/>
        <v>9064643__PPPs</v>
      </c>
      <c r="E30" s="370" t="s">
        <v>705</v>
      </c>
      <c r="F30" s="371">
        <v>2319159</v>
      </c>
      <c r="G30" s="372">
        <v>4.9927999999999999</v>
      </c>
      <c r="H30" s="371">
        <v>28886.858269938562</v>
      </c>
      <c r="I30" s="371">
        <v>28231.882363638724</v>
      </c>
      <c r="J30" s="373">
        <v>27736.496615082382</v>
      </c>
      <c r="K30" s="313"/>
      <c r="L30" s="313"/>
    </row>
    <row r="31" spans="1:12" x14ac:dyDescent="0.25">
      <c r="A31" s="369">
        <v>9064643</v>
      </c>
      <c r="B31" s="370" t="s">
        <v>812</v>
      </c>
      <c r="C31" s="370" t="s">
        <v>2445</v>
      </c>
      <c r="D31" s="370" t="str">
        <f t="shared" si="0"/>
        <v>9064643__PPPz</v>
      </c>
      <c r="E31" s="370" t="s">
        <v>705</v>
      </c>
      <c r="F31" s="371">
        <v>0</v>
      </c>
      <c r="G31" s="372">
        <v>0</v>
      </c>
      <c r="H31" s="371">
        <v>0</v>
      </c>
      <c r="I31" s="371">
        <v>0</v>
      </c>
      <c r="J31" s="373">
        <v>43078.309249730781</v>
      </c>
      <c r="K31" s="313"/>
      <c r="L31" s="313"/>
    </row>
    <row r="32" spans="1:12" ht="15.75" thickBot="1" x14ac:dyDescent="0.3">
      <c r="A32" s="374">
        <v>9064643</v>
      </c>
      <c r="B32" s="375" t="s">
        <v>812</v>
      </c>
      <c r="C32" s="375" t="s">
        <v>2446</v>
      </c>
      <c r="D32" s="375" t="str">
        <f t="shared" si="0"/>
        <v>9064643__VED</v>
      </c>
      <c r="E32" s="375" t="s">
        <v>705</v>
      </c>
      <c r="F32" s="376">
        <v>335369</v>
      </c>
      <c r="G32" s="377">
        <v>0.45619999999999999</v>
      </c>
      <c r="H32" s="376">
        <v>45717.407046311622</v>
      </c>
      <c r="I32" s="376">
        <v>33298.855647241609</v>
      </c>
      <c r="J32" s="378">
        <v>40177.636788009673</v>
      </c>
      <c r="K32" s="313"/>
      <c r="L32" s="313"/>
    </row>
    <row r="33" spans="1:12" x14ac:dyDescent="0.25">
      <c r="A33" s="364">
        <v>2015983</v>
      </c>
      <c r="B33" s="365" t="s">
        <v>977</v>
      </c>
      <c r="C33" s="365" t="s">
        <v>2442</v>
      </c>
      <c r="D33" s="365" t="str">
        <f t="shared" si="0"/>
        <v>2015983__ADM</v>
      </c>
      <c r="E33" s="365" t="s">
        <v>286</v>
      </c>
      <c r="F33" s="366">
        <v>0</v>
      </c>
      <c r="G33" s="367">
        <v>0</v>
      </c>
      <c r="H33" s="366">
        <v>0</v>
      </c>
      <c r="I33" s="366">
        <v>42778.403964853205</v>
      </c>
      <c r="J33" s="368">
        <v>27910.419696787812</v>
      </c>
      <c r="K33" s="313"/>
      <c r="L33" s="313"/>
    </row>
    <row r="34" spans="1:12" x14ac:dyDescent="0.25">
      <c r="A34" s="369">
        <v>2015983</v>
      </c>
      <c r="B34" s="370" t="s">
        <v>977</v>
      </c>
      <c r="C34" s="370" t="s">
        <v>2443</v>
      </c>
      <c r="D34" s="370" t="str">
        <f t="shared" si="0"/>
        <v>2015983__MAN</v>
      </c>
      <c r="E34" s="370" t="s">
        <v>286</v>
      </c>
      <c r="F34" s="371">
        <v>0</v>
      </c>
      <c r="G34" s="372">
        <v>0</v>
      </c>
      <c r="H34" s="371">
        <v>0</v>
      </c>
      <c r="I34" s="371">
        <v>19173.686111707335</v>
      </c>
      <c r="J34" s="373">
        <v>16206.835048303734</v>
      </c>
      <c r="K34" s="313"/>
      <c r="L34" s="313"/>
    </row>
    <row r="35" spans="1:12" x14ac:dyDescent="0.25">
      <c r="A35" s="369">
        <v>2015983</v>
      </c>
      <c r="B35" s="370" t="s">
        <v>977</v>
      </c>
      <c r="C35" s="370" t="s">
        <v>2444</v>
      </c>
      <c r="D35" s="370" t="str">
        <f t="shared" si="0"/>
        <v>2015983__PPPs</v>
      </c>
      <c r="E35" s="370" t="s">
        <v>286</v>
      </c>
      <c r="F35" s="371">
        <v>665544</v>
      </c>
      <c r="G35" s="372">
        <v>2</v>
      </c>
      <c r="H35" s="371">
        <v>20694.776119402984</v>
      </c>
      <c r="I35" s="371">
        <v>28414.477254282185</v>
      </c>
      <c r="J35" s="373">
        <v>24846.947441386379</v>
      </c>
      <c r="K35" s="313"/>
      <c r="L35" s="313"/>
    </row>
    <row r="36" spans="1:12" x14ac:dyDescent="0.25">
      <c r="A36" s="369">
        <v>2015983</v>
      </c>
      <c r="B36" s="370" t="s">
        <v>977</v>
      </c>
      <c r="C36" s="370" t="s">
        <v>2445</v>
      </c>
      <c r="D36" s="370" t="str">
        <f t="shared" si="0"/>
        <v>2015983__PPPz</v>
      </c>
      <c r="E36" s="370" t="s">
        <v>286</v>
      </c>
      <c r="F36" s="371">
        <v>0</v>
      </c>
      <c r="G36" s="372">
        <v>0</v>
      </c>
      <c r="H36" s="371">
        <v>0</v>
      </c>
      <c r="I36" s="371">
        <v>36147.388059701487</v>
      </c>
      <c r="J36" s="373">
        <v>12115.045340672521</v>
      </c>
      <c r="K36" s="313"/>
      <c r="L36" s="313"/>
    </row>
    <row r="37" spans="1:12" ht="15.75" thickBot="1" x14ac:dyDescent="0.3">
      <c r="A37" s="374">
        <v>2015983</v>
      </c>
      <c r="B37" s="375" t="s">
        <v>977</v>
      </c>
      <c r="C37" s="375" t="s">
        <v>2446</v>
      </c>
      <c r="D37" s="375" t="str">
        <f t="shared" si="0"/>
        <v>2015983__VED</v>
      </c>
      <c r="E37" s="375" t="s">
        <v>286</v>
      </c>
      <c r="F37" s="376">
        <v>279217</v>
      </c>
      <c r="G37" s="377">
        <v>0.5</v>
      </c>
      <c r="H37" s="376">
        <v>34728.482587064675</v>
      </c>
      <c r="I37" s="376">
        <v>32257.187777595656</v>
      </c>
      <c r="J37" s="378">
        <v>38678.830696648627</v>
      </c>
      <c r="K37" s="313"/>
      <c r="L37" s="313"/>
    </row>
    <row r="38" spans="1:12" x14ac:dyDescent="0.25">
      <c r="A38" s="364">
        <v>2506443</v>
      </c>
      <c r="B38" s="365" t="s">
        <v>682</v>
      </c>
      <c r="C38" s="365" t="s">
        <v>2442</v>
      </c>
      <c r="D38" s="365" t="str">
        <f t="shared" si="0"/>
        <v>2506443__ADM</v>
      </c>
      <c r="E38" s="365" t="s">
        <v>286</v>
      </c>
      <c r="F38" s="366">
        <v>230707</v>
      </c>
      <c r="G38" s="367">
        <v>0.45829999999999999</v>
      </c>
      <c r="H38" s="366">
        <v>31305.804601257296</v>
      </c>
      <c r="I38" s="366">
        <v>42778.403964853205</v>
      </c>
      <c r="J38" s="368">
        <v>27910.419696787812</v>
      </c>
      <c r="K38" s="313"/>
      <c r="L38" s="313"/>
    </row>
    <row r="39" spans="1:12" x14ac:dyDescent="0.25">
      <c r="A39" s="369">
        <v>2506443</v>
      </c>
      <c r="B39" s="370" t="s">
        <v>682</v>
      </c>
      <c r="C39" s="370" t="s">
        <v>2443</v>
      </c>
      <c r="D39" s="370" t="str">
        <f t="shared" si="0"/>
        <v>2506443__MAN</v>
      </c>
      <c r="E39" s="370" t="s">
        <v>286</v>
      </c>
      <c r="F39" s="371">
        <v>227901</v>
      </c>
      <c r="G39" s="372">
        <v>0.66020000000000001</v>
      </c>
      <c r="H39" s="371">
        <v>21467.657923650455</v>
      </c>
      <c r="I39" s="371">
        <v>19173.686111707335</v>
      </c>
      <c r="J39" s="373">
        <v>16206.835048303734</v>
      </c>
      <c r="K39" s="313"/>
      <c r="L39" s="313"/>
    </row>
    <row r="40" spans="1:12" x14ac:dyDescent="0.25">
      <c r="A40" s="369">
        <v>2506443</v>
      </c>
      <c r="B40" s="370" t="s">
        <v>682</v>
      </c>
      <c r="C40" s="370" t="s">
        <v>2444</v>
      </c>
      <c r="D40" s="370" t="str">
        <f t="shared" si="0"/>
        <v>2506443__PPPs</v>
      </c>
      <c r="E40" s="370" t="s">
        <v>286</v>
      </c>
      <c r="F40" s="371">
        <v>1006132</v>
      </c>
      <c r="G40" s="372">
        <v>1.9703000000000002</v>
      </c>
      <c r="H40" s="371">
        <v>31756.787296325554</v>
      </c>
      <c r="I40" s="371">
        <v>28414.477254282185</v>
      </c>
      <c r="J40" s="373">
        <v>24846.947441386379</v>
      </c>
      <c r="K40" s="313"/>
      <c r="L40" s="313"/>
    </row>
    <row r="41" spans="1:12" x14ac:dyDescent="0.25">
      <c r="A41" s="369">
        <v>2506443</v>
      </c>
      <c r="B41" s="370" t="s">
        <v>682</v>
      </c>
      <c r="C41" s="370" t="s">
        <v>2445</v>
      </c>
      <c r="D41" s="370" t="str">
        <f t="shared" si="0"/>
        <v>2506443__PPPz</v>
      </c>
      <c r="E41" s="370" t="s">
        <v>286</v>
      </c>
      <c r="F41" s="371">
        <v>34875</v>
      </c>
      <c r="G41" s="372">
        <v>0.06</v>
      </c>
      <c r="H41" s="371">
        <v>36147.388059701487</v>
      </c>
      <c r="I41" s="371">
        <v>36147.388059701487</v>
      </c>
      <c r="J41" s="373">
        <v>12115.045340672521</v>
      </c>
      <c r="K41" s="313"/>
      <c r="L41" s="313"/>
    </row>
    <row r="42" spans="1:12" ht="15.75" thickBot="1" x14ac:dyDescent="0.3">
      <c r="A42" s="374">
        <v>2506443</v>
      </c>
      <c r="B42" s="375" t="s">
        <v>682</v>
      </c>
      <c r="C42" s="375" t="s">
        <v>2446</v>
      </c>
      <c r="D42" s="375" t="str">
        <f t="shared" si="0"/>
        <v>2506443__VED</v>
      </c>
      <c r="E42" s="375" t="s">
        <v>286</v>
      </c>
      <c r="F42" s="376">
        <v>81933</v>
      </c>
      <c r="G42" s="377">
        <v>0.1</v>
      </c>
      <c r="H42" s="376">
        <v>50953.358208955222</v>
      </c>
      <c r="I42" s="376">
        <v>32257.187777595656</v>
      </c>
      <c r="J42" s="378">
        <v>38678.830696648627</v>
      </c>
      <c r="K42" s="313"/>
      <c r="L42" s="313"/>
    </row>
    <row r="43" spans="1:12" x14ac:dyDescent="0.25">
      <c r="A43" s="364">
        <v>2813433</v>
      </c>
      <c r="B43" s="365" t="s">
        <v>666</v>
      </c>
      <c r="C43" s="365" t="s">
        <v>2442</v>
      </c>
      <c r="D43" s="365" t="str">
        <f t="shared" si="0"/>
        <v>2813433__ADM</v>
      </c>
      <c r="E43" s="365" t="s">
        <v>286</v>
      </c>
      <c r="F43" s="366">
        <v>0</v>
      </c>
      <c r="G43" s="367">
        <v>0</v>
      </c>
      <c r="H43" s="366">
        <v>0</v>
      </c>
      <c r="I43" s="366">
        <v>42778.403964853205</v>
      </c>
      <c r="J43" s="368">
        <v>27910.419696787812</v>
      </c>
      <c r="K43" s="313"/>
      <c r="L43" s="313"/>
    </row>
    <row r="44" spans="1:12" x14ac:dyDescent="0.25">
      <c r="A44" s="369">
        <v>2813433</v>
      </c>
      <c r="B44" s="370" t="s">
        <v>666</v>
      </c>
      <c r="C44" s="370" t="s">
        <v>2443</v>
      </c>
      <c r="D44" s="370" t="str">
        <f t="shared" si="0"/>
        <v>2813433__MAN</v>
      </c>
      <c r="E44" s="370" t="s">
        <v>286</v>
      </c>
      <c r="F44" s="371">
        <v>0</v>
      </c>
      <c r="G44" s="372">
        <v>0</v>
      </c>
      <c r="H44" s="371">
        <v>0</v>
      </c>
      <c r="I44" s="371">
        <v>19173.686111707335</v>
      </c>
      <c r="J44" s="373">
        <v>16206.835048303734</v>
      </c>
      <c r="K44" s="313"/>
      <c r="L44" s="313"/>
    </row>
    <row r="45" spans="1:12" x14ac:dyDescent="0.25">
      <c r="A45" s="369">
        <v>2813433</v>
      </c>
      <c r="B45" s="370" t="s">
        <v>666</v>
      </c>
      <c r="C45" s="370" t="s">
        <v>2444</v>
      </c>
      <c r="D45" s="370" t="str">
        <f t="shared" si="0"/>
        <v>2813433__PPPs</v>
      </c>
      <c r="E45" s="370" t="s">
        <v>286</v>
      </c>
      <c r="F45" s="371">
        <v>1077486</v>
      </c>
      <c r="G45" s="372">
        <v>2</v>
      </c>
      <c r="H45" s="371">
        <v>33503.917910447759</v>
      </c>
      <c r="I45" s="371">
        <v>28414.477254282185</v>
      </c>
      <c r="J45" s="373">
        <v>24846.947441386379</v>
      </c>
      <c r="K45" s="313"/>
      <c r="L45" s="313"/>
    </row>
    <row r="46" spans="1:12" x14ac:dyDescent="0.25">
      <c r="A46" s="369">
        <v>2813433</v>
      </c>
      <c r="B46" s="370" t="s">
        <v>666</v>
      </c>
      <c r="C46" s="370" t="s">
        <v>2445</v>
      </c>
      <c r="D46" s="370" t="str">
        <f t="shared" si="0"/>
        <v>2813433__PPPz</v>
      </c>
      <c r="E46" s="370" t="s">
        <v>286</v>
      </c>
      <c r="F46" s="371">
        <v>0</v>
      </c>
      <c r="G46" s="372">
        <v>0</v>
      </c>
      <c r="H46" s="371">
        <v>0</v>
      </c>
      <c r="I46" s="371">
        <v>36147.388059701487</v>
      </c>
      <c r="J46" s="373">
        <v>12115.045340672521</v>
      </c>
      <c r="K46" s="313"/>
      <c r="L46" s="313"/>
    </row>
    <row r="47" spans="1:12" ht="15.75" thickBot="1" x14ac:dyDescent="0.3">
      <c r="A47" s="374">
        <v>2813433</v>
      </c>
      <c r="B47" s="375" t="s">
        <v>666</v>
      </c>
      <c r="C47" s="375" t="s">
        <v>2446</v>
      </c>
      <c r="D47" s="375" t="str">
        <f t="shared" si="0"/>
        <v>2813433__VED</v>
      </c>
      <c r="E47" s="375" t="s">
        <v>286</v>
      </c>
      <c r="F47" s="376">
        <v>0</v>
      </c>
      <c r="G47" s="377">
        <v>0</v>
      </c>
      <c r="H47" s="376">
        <v>0</v>
      </c>
      <c r="I47" s="376">
        <v>32257.187777595656</v>
      </c>
      <c r="J47" s="378">
        <v>38678.830696648627</v>
      </c>
      <c r="K47" s="313"/>
      <c r="L47" s="313"/>
    </row>
    <row r="48" spans="1:12" x14ac:dyDescent="0.25">
      <c r="A48" s="364">
        <v>4531517</v>
      </c>
      <c r="B48" s="365" t="s">
        <v>618</v>
      </c>
      <c r="C48" s="365" t="s">
        <v>2442</v>
      </c>
      <c r="D48" s="365" t="str">
        <f t="shared" si="0"/>
        <v>4531517__ADM</v>
      </c>
      <c r="E48" s="365" t="s">
        <v>286</v>
      </c>
      <c r="F48" s="366">
        <v>0</v>
      </c>
      <c r="G48" s="367">
        <v>0</v>
      </c>
      <c r="H48" s="366">
        <v>0</v>
      </c>
      <c r="I48" s="366">
        <v>42778.403964853205</v>
      </c>
      <c r="J48" s="368">
        <v>27910.419696787812</v>
      </c>
      <c r="K48" s="313"/>
      <c r="L48" s="313"/>
    </row>
    <row r="49" spans="1:12" x14ac:dyDescent="0.25">
      <c r="A49" s="369">
        <v>4531517</v>
      </c>
      <c r="B49" s="370" t="s">
        <v>618</v>
      </c>
      <c r="C49" s="370" t="s">
        <v>2443</v>
      </c>
      <c r="D49" s="370" t="str">
        <f t="shared" si="0"/>
        <v>4531517__MAN</v>
      </c>
      <c r="E49" s="370" t="s">
        <v>286</v>
      </c>
      <c r="F49" s="371">
        <v>0</v>
      </c>
      <c r="G49" s="372">
        <v>0</v>
      </c>
      <c r="H49" s="371">
        <v>0</v>
      </c>
      <c r="I49" s="371">
        <v>19173.686111707335</v>
      </c>
      <c r="J49" s="373">
        <v>16206.835048303734</v>
      </c>
      <c r="K49" s="313"/>
      <c r="L49" s="313"/>
    </row>
    <row r="50" spans="1:12" x14ac:dyDescent="0.25">
      <c r="A50" s="369">
        <v>4531517</v>
      </c>
      <c r="B50" s="370" t="s">
        <v>618</v>
      </c>
      <c r="C50" s="370" t="s">
        <v>2444</v>
      </c>
      <c r="D50" s="370" t="str">
        <f t="shared" si="0"/>
        <v>4531517__PPPs</v>
      </c>
      <c r="E50" s="370" t="s">
        <v>286</v>
      </c>
      <c r="F50" s="371">
        <v>506502</v>
      </c>
      <c r="G50" s="372">
        <v>1.2</v>
      </c>
      <c r="H50" s="371">
        <v>26249.067164179101</v>
      </c>
      <c r="I50" s="371">
        <v>28414.477254282185</v>
      </c>
      <c r="J50" s="373">
        <v>24846.947441386379</v>
      </c>
      <c r="K50" s="313"/>
      <c r="L50" s="313"/>
    </row>
    <row r="51" spans="1:12" x14ac:dyDescent="0.25">
      <c r="A51" s="369">
        <v>4531517</v>
      </c>
      <c r="B51" s="370" t="s">
        <v>618</v>
      </c>
      <c r="C51" s="370" t="s">
        <v>2445</v>
      </c>
      <c r="D51" s="370" t="str">
        <f t="shared" si="0"/>
        <v>4531517__PPPz</v>
      </c>
      <c r="E51" s="370" t="s">
        <v>286</v>
      </c>
      <c r="F51" s="371">
        <v>0</v>
      </c>
      <c r="G51" s="372">
        <v>0</v>
      </c>
      <c r="H51" s="371">
        <v>0</v>
      </c>
      <c r="I51" s="371">
        <v>36147.388059701487</v>
      </c>
      <c r="J51" s="373">
        <v>12115.045340672521</v>
      </c>
      <c r="K51" s="313"/>
      <c r="L51" s="313"/>
    </row>
    <row r="52" spans="1:12" ht="15.75" thickBot="1" x14ac:dyDescent="0.3">
      <c r="A52" s="374">
        <v>4531517</v>
      </c>
      <c r="B52" s="375" t="s">
        <v>618</v>
      </c>
      <c r="C52" s="375" t="s">
        <v>2446</v>
      </c>
      <c r="D52" s="375" t="str">
        <f t="shared" si="0"/>
        <v>4531517__VED</v>
      </c>
      <c r="E52" s="375" t="s">
        <v>286</v>
      </c>
      <c r="F52" s="376">
        <v>129857</v>
      </c>
      <c r="G52" s="377">
        <v>0.2</v>
      </c>
      <c r="H52" s="376">
        <v>40378.420398009948</v>
      </c>
      <c r="I52" s="376">
        <v>32257.187777595656</v>
      </c>
      <c r="J52" s="378">
        <v>38678.830696648627</v>
      </c>
      <c r="K52" s="313"/>
      <c r="L52" s="313"/>
    </row>
    <row r="53" spans="1:12" x14ac:dyDescent="0.25">
      <c r="A53" s="364">
        <v>4547815</v>
      </c>
      <c r="B53" s="365" t="s">
        <v>531</v>
      </c>
      <c r="C53" s="365" t="s">
        <v>2442</v>
      </c>
      <c r="D53" s="365" t="str">
        <f t="shared" si="0"/>
        <v>4547815__ADM</v>
      </c>
      <c r="E53" s="365" t="s">
        <v>286</v>
      </c>
      <c r="F53" s="366">
        <v>0</v>
      </c>
      <c r="G53" s="367">
        <v>0</v>
      </c>
      <c r="H53" s="366">
        <v>0</v>
      </c>
      <c r="I53" s="366">
        <v>42778.403964853205</v>
      </c>
      <c r="J53" s="368">
        <v>27910.419696787812</v>
      </c>
      <c r="K53" s="313"/>
      <c r="L53" s="313"/>
    </row>
    <row r="54" spans="1:12" x14ac:dyDescent="0.25">
      <c r="A54" s="369">
        <v>4547815</v>
      </c>
      <c r="B54" s="370" t="s">
        <v>531</v>
      </c>
      <c r="C54" s="370" t="s">
        <v>2443</v>
      </c>
      <c r="D54" s="370" t="str">
        <f t="shared" si="0"/>
        <v>4547815__MAN</v>
      </c>
      <c r="E54" s="370" t="s">
        <v>286</v>
      </c>
      <c r="F54" s="371">
        <v>9798</v>
      </c>
      <c r="G54" s="372">
        <v>5.04E-2</v>
      </c>
      <c r="H54" s="371">
        <v>12089.848377161808</v>
      </c>
      <c r="I54" s="371">
        <v>19173.686111707335</v>
      </c>
      <c r="J54" s="373">
        <v>16206.835048303734</v>
      </c>
      <c r="K54" s="313"/>
      <c r="L54" s="313"/>
    </row>
    <row r="55" spans="1:12" x14ac:dyDescent="0.25">
      <c r="A55" s="369">
        <v>4547815</v>
      </c>
      <c r="B55" s="370" t="s">
        <v>531</v>
      </c>
      <c r="C55" s="370" t="s">
        <v>2444</v>
      </c>
      <c r="D55" s="370" t="str">
        <f t="shared" si="0"/>
        <v>4547815__PPPs</v>
      </c>
      <c r="E55" s="370" t="s">
        <v>286</v>
      </c>
      <c r="F55" s="371">
        <v>832284</v>
      </c>
      <c r="G55" s="372">
        <v>1.375</v>
      </c>
      <c r="H55" s="371">
        <v>37642.876526458618</v>
      </c>
      <c r="I55" s="371">
        <v>28414.477254282185</v>
      </c>
      <c r="J55" s="373">
        <v>24846.947441386379</v>
      </c>
      <c r="K55" s="313"/>
      <c r="L55" s="313"/>
    </row>
    <row r="56" spans="1:12" x14ac:dyDescent="0.25">
      <c r="A56" s="369">
        <v>4547815</v>
      </c>
      <c r="B56" s="370" t="s">
        <v>531</v>
      </c>
      <c r="C56" s="370" t="s">
        <v>2445</v>
      </c>
      <c r="D56" s="370" t="str">
        <f t="shared" si="0"/>
        <v>4547815__PPPz</v>
      </c>
      <c r="E56" s="370" t="s">
        <v>286</v>
      </c>
      <c r="F56" s="371">
        <v>0</v>
      </c>
      <c r="G56" s="372">
        <v>0</v>
      </c>
      <c r="H56" s="371">
        <v>0</v>
      </c>
      <c r="I56" s="371">
        <v>36147.388059701487</v>
      </c>
      <c r="J56" s="373">
        <v>12115.045340672521</v>
      </c>
      <c r="K56" s="313"/>
      <c r="L56" s="313"/>
    </row>
    <row r="57" spans="1:12" ht="15.75" thickBot="1" x14ac:dyDescent="0.3">
      <c r="A57" s="374">
        <v>4547815</v>
      </c>
      <c r="B57" s="375" t="s">
        <v>531</v>
      </c>
      <c r="C57" s="375" t="s">
        <v>2446</v>
      </c>
      <c r="D57" s="375" t="str">
        <f t="shared" si="0"/>
        <v>4547815__VED</v>
      </c>
      <c r="E57" s="375" t="s">
        <v>286</v>
      </c>
      <c r="F57" s="376">
        <v>105827</v>
      </c>
      <c r="G57" s="377">
        <v>0.125</v>
      </c>
      <c r="H57" s="376">
        <v>52650.248756218898</v>
      </c>
      <c r="I57" s="376">
        <v>32257.187777595656</v>
      </c>
      <c r="J57" s="378">
        <v>38678.830696648627</v>
      </c>
      <c r="K57" s="313"/>
      <c r="L57" s="313"/>
    </row>
    <row r="58" spans="1:12" x14ac:dyDescent="0.25">
      <c r="A58" s="364">
        <v>5020855</v>
      </c>
      <c r="B58" s="365" t="s">
        <v>281</v>
      </c>
      <c r="C58" s="365" t="s">
        <v>2442</v>
      </c>
      <c r="D58" s="365" t="str">
        <f t="shared" si="0"/>
        <v>5020855__ADM</v>
      </c>
      <c r="E58" s="365" t="s">
        <v>286</v>
      </c>
      <c r="F58" s="366">
        <v>687245</v>
      </c>
      <c r="G58" s="367">
        <v>1</v>
      </c>
      <c r="H58" s="366">
        <v>42739.116915422885</v>
      </c>
      <c r="I58" s="366">
        <v>42778.403964853205</v>
      </c>
      <c r="J58" s="368">
        <v>27910.419696787812</v>
      </c>
      <c r="K58" s="313"/>
      <c r="L58" s="313"/>
    </row>
    <row r="59" spans="1:12" x14ac:dyDescent="0.25">
      <c r="A59" s="369">
        <v>5020855</v>
      </c>
      <c r="B59" s="370" t="s">
        <v>281</v>
      </c>
      <c r="C59" s="370" t="s">
        <v>2443</v>
      </c>
      <c r="D59" s="370" t="str">
        <f t="shared" si="0"/>
        <v>5020855__MAN</v>
      </c>
      <c r="E59" s="370" t="s">
        <v>286</v>
      </c>
      <c r="F59" s="371">
        <v>289701</v>
      </c>
      <c r="G59" s="372">
        <v>1</v>
      </c>
      <c r="H59" s="371">
        <v>18016.23134328358</v>
      </c>
      <c r="I59" s="371">
        <v>19173.686111707335</v>
      </c>
      <c r="J59" s="373">
        <v>16206.835048303734</v>
      </c>
      <c r="K59" s="313"/>
      <c r="L59" s="313"/>
    </row>
    <row r="60" spans="1:12" x14ac:dyDescent="0.25">
      <c r="A60" s="369">
        <v>5020855</v>
      </c>
      <c r="B60" s="370" t="s">
        <v>281</v>
      </c>
      <c r="C60" s="370" t="s">
        <v>2444</v>
      </c>
      <c r="D60" s="370" t="str">
        <f t="shared" si="0"/>
        <v>5020855__PPPs</v>
      </c>
      <c r="E60" s="370" t="s">
        <v>286</v>
      </c>
      <c r="F60" s="371">
        <v>3306086</v>
      </c>
      <c r="G60" s="372">
        <v>7.4580000000000002</v>
      </c>
      <c r="H60" s="371">
        <v>27568.029389123036</v>
      </c>
      <c r="I60" s="371">
        <v>28414.477254282185</v>
      </c>
      <c r="J60" s="373">
        <v>24846.947441386379</v>
      </c>
      <c r="K60" s="313"/>
      <c r="L60" s="313"/>
    </row>
    <row r="61" spans="1:12" x14ac:dyDescent="0.25">
      <c r="A61" s="369">
        <v>5020855</v>
      </c>
      <c r="B61" s="370" t="s">
        <v>281</v>
      </c>
      <c r="C61" s="370" t="s">
        <v>2445</v>
      </c>
      <c r="D61" s="370" t="str">
        <f t="shared" si="0"/>
        <v>5020855__PPPz</v>
      </c>
      <c r="E61" s="370" t="s">
        <v>286</v>
      </c>
      <c r="F61" s="371">
        <v>0</v>
      </c>
      <c r="G61" s="372">
        <v>0</v>
      </c>
      <c r="H61" s="371">
        <v>0</v>
      </c>
      <c r="I61" s="371">
        <v>36147.388059701487</v>
      </c>
      <c r="J61" s="373">
        <v>12115.045340672521</v>
      </c>
      <c r="K61" s="313"/>
      <c r="L61" s="313"/>
    </row>
    <row r="62" spans="1:12" ht="15.75" thickBot="1" x14ac:dyDescent="0.3">
      <c r="A62" s="374">
        <v>5020855</v>
      </c>
      <c r="B62" s="375" t="s">
        <v>281</v>
      </c>
      <c r="C62" s="375" t="s">
        <v>2446</v>
      </c>
      <c r="D62" s="375" t="str">
        <f t="shared" si="0"/>
        <v>5020855__VED</v>
      </c>
      <c r="E62" s="375" t="s">
        <v>286</v>
      </c>
      <c r="F62" s="376">
        <v>205079</v>
      </c>
      <c r="G62" s="377">
        <v>0.29399999999999998</v>
      </c>
      <c r="H62" s="376">
        <v>43379.827055200185</v>
      </c>
      <c r="I62" s="376">
        <v>32257.187777595656</v>
      </c>
      <c r="J62" s="378">
        <v>38678.830696648627</v>
      </c>
      <c r="K62" s="313"/>
      <c r="L62" s="313"/>
    </row>
    <row r="63" spans="1:12" x14ac:dyDescent="0.25">
      <c r="A63" s="364">
        <v>8090757</v>
      </c>
      <c r="B63" s="365" t="s">
        <v>375</v>
      </c>
      <c r="C63" s="365" t="s">
        <v>2442</v>
      </c>
      <c r="D63" s="365" t="str">
        <f t="shared" si="0"/>
        <v>8090757__ADM</v>
      </c>
      <c r="E63" s="365" t="s">
        <v>286</v>
      </c>
      <c r="F63" s="366">
        <v>87655</v>
      </c>
      <c r="G63" s="367">
        <v>3.5999999999999999E-3</v>
      </c>
      <c r="H63" s="366">
        <v>1514217.1088999447</v>
      </c>
      <c r="I63" s="366">
        <v>42778.403964853205</v>
      </c>
      <c r="J63" s="368">
        <v>27910.419696787812</v>
      </c>
      <c r="K63" s="313"/>
      <c r="L63" s="313"/>
    </row>
    <row r="64" spans="1:12" x14ac:dyDescent="0.25">
      <c r="A64" s="369">
        <v>8090757</v>
      </c>
      <c r="B64" s="370" t="s">
        <v>375</v>
      </c>
      <c r="C64" s="370" t="s">
        <v>2443</v>
      </c>
      <c r="D64" s="370" t="str">
        <f t="shared" si="0"/>
        <v>8090757__MAN</v>
      </c>
      <c r="E64" s="370" t="s">
        <v>286</v>
      </c>
      <c r="F64" s="371">
        <v>0</v>
      </c>
      <c r="G64" s="372">
        <v>0</v>
      </c>
      <c r="H64" s="371">
        <v>0</v>
      </c>
      <c r="I64" s="371">
        <v>19173.686111707335</v>
      </c>
      <c r="J64" s="373">
        <v>16206.835048303734</v>
      </c>
      <c r="K64" s="313"/>
      <c r="L64" s="313"/>
    </row>
    <row r="65" spans="1:12" x14ac:dyDescent="0.25">
      <c r="A65" s="369">
        <v>8090757</v>
      </c>
      <c r="B65" s="370" t="s">
        <v>375</v>
      </c>
      <c r="C65" s="370" t="s">
        <v>2444</v>
      </c>
      <c r="D65" s="370" t="str">
        <f t="shared" si="0"/>
        <v>8090757__PPPs</v>
      </c>
      <c r="E65" s="370" t="s">
        <v>286</v>
      </c>
      <c r="F65" s="371">
        <v>1014522</v>
      </c>
      <c r="G65" s="372">
        <v>2.4</v>
      </c>
      <c r="H65" s="371">
        <v>26288.401741293532</v>
      </c>
      <c r="I65" s="371">
        <v>28414.477254282185</v>
      </c>
      <c r="J65" s="373">
        <v>24846.947441386379</v>
      </c>
      <c r="K65" s="313"/>
      <c r="L65" s="313"/>
    </row>
    <row r="66" spans="1:12" x14ac:dyDescent="0.25">
      <c r="A66" s="369">
        <v>8090757</v>
      </c>
      <c r="B66" s="370" t="s">
        <v>375</v>
      </c>
      <c r="C66" s="370" t="s">
        <v>2445</v>
      </c>
      <c r="D66" s="370" t="str">
        <f t="shared" si="0"/>
        <v>8090757__PPPz</v>
      </c>
      <c r="E66" s="370" t="s">
        <v>286</v>
      </c>
      <c r="F66" s="371">
        <v>0</v>
      </c>
      <c r="G66" s="372">
        <v>0</v>
      </c>
      <c r="H66" s="371">
        <v>0</v>
      </c>
      <c r="I66" s="371">
        <v>36147.388059701487</v>
      </c>
      <c r="J66" s="373">
        <v>12115.045340672521</v>
      </c>
      <c r="K66" s="313"/>
      <c r="L66" s="313"/>
    </row>
    <row r="67" spans="1:12" ht="15.75" thickBot="1" x14ac:dyDescent="0.3">
      <c r="A67" s="374">
        <v>8090757</v>
      </c>
      <c r="B67" s="375" t="s">
        <v>375</v>
      </c>
      <c r="C67" s="375" t="s">
        <v>2446</v>
      </c>
      <c r="D67" s="375" t="str">
        <f t="shared" ref="D67:D130" si="1">CONCATENATE(A67,"__",C67)</f>
        <v>8090757__VED</v>
      </c>
      <c r="E67" s="375" t="s">
        <v>286</v>
      </c>
      <c r="F67" s="376">
        <v>128575</v>
      </c>
      <c r="G67" s="377">
        <v>0.57489999999999997</v>
      </c>
      <c r="H67" s="376">
        <v>13908.432268990755</v>
      </c>
      <c r="I67" s="376">
        <v>32257.187777595656</v>
      </c>
      <c r="J67" s="378">
        <v>38678.830696648627</v>
      </c>
      <c r="K67" s="313"/>
      <c r="L67" s="313"/>
    </row>
    <row r="68" spans="1:12" x14ac:dyDescent="0.25">
      <c r="A68" s="364">
        <v>1567065</v>
      </c>
      <c r="B68" s="365" t="s">
        <v>384</v>
      </c>
      <c r="C68" s="365" t="s">
        <v>2442</v>
      </c>
      <c r="D68" s="365" t="str">
        <f t="shared" si="1"/>
        <v>1567065__ADM</v>
      </c>
      <c r="E68" s="365" t="s">
        <v>217</v>
      </c>
      <c r="F68" s="366">
        <v>32371</v>
      </c>
      <c r="G68" s="367">
        <v>7.0000000000000007E-2</v>
      </c>
      <c r="H68" s="366">
        <v>28758.884150675189</v>
      </c>
      <c r="I68" s="366">
        <v>35344.176814599254</v>
      </c>
      <c r="J68" s="368">
        <v>34003.944084740986</v>
      </c>
      <c r="K68" s="313"/>
      <c r="L68" s="313"/>
    </row>
    <row r="69" spans="1:12" x14ac:dyDescent="0.25">
      <c r="A69" s="369">
        <v>1567065</v>
      </c>
      <c r="B69" s="370" t="s">
        <v>384</v>
      </c>
      <c r="C69" s="370" t="s">
        <v>2443</v>
      </c>
      <c r="D69" s="370" t="str">
        <f t="shared" si="1"/>
        <v>1567065__MAN</v>
      </c>
      <c r="E69" s="370" t="s">
        <v>217</v>
      </c>
      <c r="F69" s="371">
        <v>93153</v>
      </c>
      <c r="G69" s="372">
        <v>0.35</v>
      </c>
      <c r="H69" s="371">
        <v>16551.705756929638</v>
      </c>
      <c r="I69" s="371">
        <v>24792.975468169316</v>
      </c>
      <c r="J69" s="373">
        <v>19777.585573678345</v>
      </c>
      <c r="K69" s="313"/>
      <c r="L69" s="313"/>
    </row>
    <row r="70" spans="1:12" x14ac:dyDescent="0.25">
      <c r="A70" s="369">
        <v>1567065</v>
      </c>
      <c r="B70" s="370" t="s">
        <v>384</v>
      </c>
      <c r="C70" s="370" t="s">
        <v>2444</v>
      </c>
      <c r="D70" s="370" t="str">
        <f t="shared" si="1"/>
        <v>1567065__PPPs</v>
      </c>
      <c r="E70" s="370" t="s">
        <v>217</v>
      </c>
      <c r="F70" s="371">
        <v>612617</v>
      </c>
      <c r="G70" s="372">
        <v>1.1100000000000001</v>
      </c>
      <c r="H70" s="371">
        <v>34322.587512886013</v>
      </c>
      <c r="I70" s="371">
        <v>26351.428793362589</v>
      </c>
      <c r="J70" s="373">
        <v>26362.049149868351</v>
      </c>
      <c r="K70" s="313"/>
      <c r="L70" s="313"/>
    </row>
    <row r="71" spans="1:12" x14ac:dyDescent="0.25">
      <c r="A71" s="369">
        <v>1567065</v>
      </c>
      <c r="B71" s="370" t="s">
        <v>384</v>
      </c>
      <c r="C71" s="370" t="s">
        <v>2445</v>
      </c>
      <c r="D71" s="370" t="str">
        <f t="shared" si="1"/>
        <v>1567065__PPPz</v>
      </c>
      <c r="E71" s="370" t="s">
        <v>217</v>
      </c>
      <c r="F71" s="371">
        <v>0</v>
      </c>
      <c r="G71" s="372">
        <v>0</v>
      </c>
      <c r="H71" s="371">
        <v>0</v>
      </c>
      <c r="I71" s="371">
        <v>30932.402263855929</v>
      </c>
      <c r="J71" s="373">
        <v>45180.358873417921</v>
      </c>
      <c r="K71" s="313"/>
      <c r="L71" s="313"/>
    </row>
    <row r="72" spans="1:12" ht="15.75" thickBot="1" x14ac:dyDescent="0.3">
      <c r="A72" s="374">
        <v>1567065</v>
      </c>
      <c r="B72" s="375" t="s">
        <v>384</v>
      </c>
      <c r="C72" s="375" t="s">
        <v>2446</v>
      </c>
      <c r="D72" s="375" t="str">
        <f t="shared" si="1"/>
        <v>1567065__VED</v>
      </c>
      <c r="E72" s="375" t="s">
        <v>217</v>
      </c>
      <c r="F72" s="376">
        <v>28868</v>
      </c>
      <c r="G72" s="377">
        <v>0.02</v>
      </c>
      <c r="H72" s="376">
        <v>89763.681592039793</v>
      </c>
      <c r="I72" s="376">
        <v>42620.237572232603</v>
      </c>
      <c r="J72" s="378">
        <v>38981.312725312506</v>
      </c>
      <c r="K72" s="313"/>
      <c r="L72" s="313"/>
    </row>
    <row r="73" spans="1:12" x14ac:dyDescent="0.25">
      <c r="A73" s="364">
        <v>1612277</v>
      </c>
      <c r="B73" s="365" t="s">
        <v>1515</v>
      </c>
      <c r="C73" s="365" t="s">
        <v>2442</v>
      </c>
      <c r="D73" s="365" t="str">
        <f t="shared" si="1"/>
        <v>1612277__ADM</v>
      </c>
      <c r="E73" s="365" t="s">
        <v>217</v>
      </c>
      <c r="F73" s="366">
        <v>0</v>
      </c>
      <c r="G73" s="367">
        <v>0</v>
      </c>
      <c r="H73" s="366">
        <v>0</v>
      </c>
      <c r="I73" s="366">
        <v>35344.176814599254</v>
      </c>
      <c r="J73" s="368">
        <v>34003.944084740986</v>
      </c>
      <c r="K73" s="313"/>
      <c r="L73" s="313"/>
    </row>
    <row r="74" spans="1:12" x14ac:dyDescent="0.25">
      <c r="A74" s="369">
        <v>1612277</v>
      </c>
      <c r="B74" s="370" t="s">
        <v>1515</v>
      </c>
      <c r="C74" s="370" t="s">
        <v>2443</v>
      </c>
      <c r="D74" s="370" t="str">
        <f t="shared" si="1"/>
        <v>1612277__MAN</v>
      </c>
      <c r="E74" s="370" t="s">
        <v>217</v>
      </c>
      <c r="F74" s="371">
        <v>0</v>
      </c>
      <c r="G74" s="372">
        <v>0</v>
      </c>
      <c r="H74" s="371">
        <v>0</v>
      </c>
      <c r="I74" s="371">
        <v>24792.975468169316</v>
      </c>
      <c r="J74" s="373">
        <v>19777.585573678345</v>
      </c>
      <c r="K74" s="313"/>
      <c r="L74" s="313"/>
    </row>
    <row r="75" spans="1:12" x14ac:dyDescent="0.25">
      <c r="A75" s="369">
        <v>1612277</v>
      </c>
      <c r="B75" s="370" t="s">
        <v>1515</v>
      </c>
      <c r="C75" s="370" t="s">
        <v>2444</v>
      </c>
      <c r="D75" s="370" t="str">
        <f t="shared" si="1"/>
        <v>1612277__PPPs</v>
      </c>
      <c r="E75" s="370" t="s">
        <v>217</v>
      </c>
      <c r="F75" s="371">
        <v>74538</v>
      </c>
      <c r="G75" s="372">
        <v>0.68900000000000006</v>
      </c>
      <c r="H75" s="371">
        <v>6727.7906548534538</v>
      </c>
      <c r="I75" s="371">
        <v>26351.428793362589</v>
      </c>
      <c r="J75" s="373">
        <v>26362.049149868351</v>
      </c>
      <c r="K75" s="313"/>
      <c r="L75" s="313"/>
    </row>
    <row r="76" spans="1:12" x14ac:dyDescent="0.25">
      <c r="A76" s="369">
        <v>1612277</v>
      </c>
      <c r="B76" s="370" t="s">
        <v>1515</v>
      </c>
      <c r="C76" s="370" t="s">
        <v>2445</v>
      </c>
      <c r="D76" s="370" t="str">
        <f t="shared" si="1"/>
        <v>1612277__PPPz</v>
      </c>
      <c r="E76" s="370" t="s">
        <v>217</v>
      </c>
      <c r="F76" s="371">
        <v>0</v>
      </c>
      <c r="G76" s="372">
        <v>0</v>
      </c>
      <c r="H76" s="371">
        <v>0</v>
      </c>
      <c r="I76" s="371">
        <v>30932.402263855929</v>
      </c>
      <c r="J76" s="373">
        <v>45180.358873417921</v>
      </c>
      <c r="K76" s="313"/>
      <c r="L76" s="313"/>
    </row>
    <row r="77" spans="1:12" ht="15.75" thickBot="1" x14ac:dyDescent="0.3">
      <c r="A77" s="374">
        <v>1612277</v>
      </c>
      <c r="B77" s="375" t="s">
        <v>1515</v>
      </c>
      <c r="C77" s="375" t="s">
        <v>2446</v>
      </c>
      <c r="D77" s="375" t="str">
        <f t="shared" si="1"/>
        <v>1612277__VED</v>
      </c>
      <c r="E77" s="375" t="s">
        <v>217</v>
      </c>
      <c r="F77" s="376">
        <v>0</v>
      </c>
      <c r="G77" s="377">
        <v>0</v>
      </c>
      <c r="H77" s="376">
        <v>0</v>
      </c>
      <c r="I77" s="376">
        <v>42620.237572232603</v>
      </c>
      <c r="J77" s="378">
        <v>38981.312725312506</v>
      </c>
      <c r="K77" s="313"/>
      <c r="L77" s="313"/>
    </row>
    <row r="78" spans="1:12" x14ac:dyDescent="0.25">
      <c r="A78" s="364">
        <v>1961902</v>
      </c>
      <c r="B78" s="365" t="s">
        <v>568</v>
      </c>
      <c r="C78" s="365" t="s">
        <v>2442</v>
      </c>
      <c r="D78" s="365" t="str">
        <f t="shared" si="1"/>
        <v>1961902__ADM</v>
      </c>
      <c r="E78" s="365" t="s">
        <v>217</v>
      </c>
      <c r="F78" s="366">
        <v>322227</v>
      </c>
      <c r="G78" s="367">
        <v>0.7</v>
      </c>
      <c r="H78" s="366">
        <v>28627.132196162045</v>
      </c>
      <c r="I78" s="366">
        <v>35344.176814599254</v>
      </c>
      <c r="J78" s="368">
        <v>34003.944084740986</v>
      </c>
      <c r="K78" s="313"/>
      <c r="L78" s="313"/>
    </row>
    <row r="79" spans="1:12" x14ac:dyDescent="0.25">
      <c r="A79" s="369">
        <v>1961902</v>
      </c>
      <c r="B79" s="370" t="s">
        <v>568</v>
      </c>
      <c r="C79" s="370" t="s">
        <v>2443</v>
      </c>
      <c r="D79" s="370" t="str">
        <f t="shared" si="1"/>
        <v>1961902__MAN</v>
      </c>
      <c r="E79" s="370" t="s">
        <v>217</v>
      </c>
      <c r="F79" s="371">
        <v>388771</v>
      </c>
      <c r="G79" s="372">
        <v>0.93859999999999999</v>
      </c>
      <c r="H79" s="371">
        <v>25758.89728854131</v>
      </c>
      <c r="I79" s="371">
        <v>24792.975468169316</v>
      </c>
      <c r="J79" s="373">
        <v>19777.585573678345</v>
      </c>
      <c r="K79" s="313"/>
      <c r="L79" s="313"/>
    </row>
    <row r="80" spans="1:12" x14ac:dyDescent="0.25">
      <c r="A80" s="369">
        <v>1961902</v>
      </c>
      <c r="B80" s="370" t="s">
        <v>568</v>
      </c>
      <c r="C80" s="370" t="s">
        <v>2444</v>
      </c>
      <c r="D80" s="370" t="str">
        <f t="shared" si="1"/>
        <v>1961902__PPPs</v>
      </c>
      <c r="E80" s="370" t="s">
        <v>217</v>
      </c>
      <c r="F80" s="371">
        <v>1956549</v>
      </c>
      <c r="G80" s="372">
        <v>4.79</v>
      </c>
      <c r="H80" s="371">
        <v>25402.073660922943</v>
      </c>
      <c r="I80" s="371">
        <v>26351.428793362589</v>
      </c>
      <c r="J80" s="373">
        <v>26362.049149868351</v>
      </c>
      <c r="K80" s="313"/>
      <c r="L80" s="313"/>
    </row>
    <row r="81" spans="1:12" x14ac:dyDescent="0.25">
      <c r="A81" s="369">
        <v>1961902</v>
      </c>
      <c r="B81" s="370" t="s">
        <v>568</v>
      </c>
      <c r="C81" s="370" t="s">
        <v>2445</v>
      </c>
      <c r="D81" s="370" t="str">
        <f t="shared" si="1"/>
        <v>1961902__PPPz</v>
      </c>
      <c r="E81" s="370" t="s">
        <v>217</v>
      </c>
      <c r="F81" s="371">
        <v>136373</v>
      </c>
      <c r="G81" s="372">
        <v>0.33439999999999998</v>
      </c>
      <c r="H81" s="371">
        <v>25361.566866623816</v>
      </c>
      <c r="I81" s="371">
        <v>30932.402263855929</v>
      </c>
      <c r="J81" s="373">
        <v>45180.358873417921</v>
      </c>
      <c r="K81" s="313"/>
      <c r="L81" s="313"/>
    </row>
    <row r="82" spans="1:12" ht="15.75" thickBot="1" x14ac:dyDescent="0.3">
      <c r="A82" s="374">
        <v>1961902</v>
      </c>
      <c r="B82" s="375" t="s">
        <v>568</v>
      </c>
      <c r="C82" s="375" t="s">
        <v>2446</v>
      </c>
      <c r="D82" s="375" t="str">
        <f t="shared" si="1"/>
        <v>1961902__VED</v>
      </c>
      <c r="E82" s="375" t="s">
        <v>217</v>
      </c>
      <c r="F82" s="376">
        <v>212794</v>
      </c>
      <c r="G82" s="377">
        <v>0.45960000000000001</v>
      </c>
      <c r="H82" s="376">
        <v>28793.424089301097</v>
      </c>
      <c r="I82" s="376">
        <v>42620.237572232603</v>
      </c>
      <c r="J82" s="378">
        <v>38981.312725312506</v>
      </c>
      <c r="K82" s="313"/>
      <c r="L82" s="313"/>
    </row>
    <row r="83" spans="1:12" x14ac:dyDescent="0.25">
      <c r="A83" s="364">
        <v>2333254</v>
      </c>
      <c r="B83" s="365" t="s">
        <v>353</v>
      </c>
      <c r="C83" s="365" t="s">
        <v>2442</v>
      </c>
      <c r="D83" s="365" t="str">
        <f t="shared" si="1"/>
        <v>2333254__ADM</v>
      </c>
      <c r="E83" s="365" t="s">
        <v>217</v>
      </c>
      <c r="F83" s="366">
        <v>0</v>
      </c>
      <c r="G83" s="367">
        <v>0</v>
      </c>
      <c r="H83" s="366">
        <v>0</v>
      </c>
      <c r="I83" s="366">
        <v>35344.176814599254</v>
      </c>
      <c r="J83" s="368">
        <v>34003.944084740986</v>
      </c>
      <c r="K83" s="313"/>
      <c r="L83" s="313"/>
    </row>
    <row r="84" spans="1:12" x14ac:dyDescent="0.25">
      <c r="A84" s="369">
        <v>2333254</v>
      </c>
      <c r="B84" s="370" t="s">
        <v>353</v>
      </c>
      <c r="C84" s="370" t="s">
        <v>2443</v>
      </c>
      <c r="D84" s="370" t="str">
        <f t="shared" si="1"/>
        <v>2333254__MAN</v>
      </c>
      <c r="E84" s="370" t="s">
        <v>217</v>
      </c>
      <c r="F84" s="371">
        <v>0</v>
      </c>
      <c r="G84" s="372">
        <v>0</v>
      </c>
      <c r="H84" s="371">
        <v>0</v>
      </c>
      <c r="I84" s="371">
        <v>24792.975468169316</v>
      </c>
      <c r="J84" s="373">
        <v>19777.585573678345</v>
      </c>
      <c r="K84" s="313"/>
      <c r="L84" s="313"/>
    </row>
    <row r="85" spans="1:12" x14ac:dyDescent="0.25">
      <c r="A85" s="369">
        <v>2333254</v>
      </c>
      <c r="B85" s="370" t="s">
        <v>353</v>
      </c>
      <c r="C85" s="370" t="s">
        <v>2444</v>
      </c>
      <c r="D85" s="370" t="str">
        <f t="shared" si="1"/>
        <v>2333254__PPPs</v>
      </c>
      <c r="E85" s="370" t="s">
        <v>217</v>
      </c>
      <c r="F85" s="371">
        <v>806206</v>
      </c>
      <c r="G85" s="372">
        <v>2.3879999999999999</v>
      </c>
      <c r="H85" s="371">
        <v>20995.472803486755</v>
      </c>
      <c r="I85" s="371">
        <v>26351.428793362589</v>
      </c>
      <c r="J85" s="373">
        <v>26362.049149868351</v>
      </c>
      <c r="K85" s="313"/>
      <c r="L85" s="313"/>
    </row>
    <row r="86" spans="1:12" x14ac:dyDescent="0.25">
      <c r="A86" s="369">
        <v>2333254</v>
      </c>
      <c r="B86" s="370" t="s">
        <v>353</v>
      </c>
      <c r="C86" s="370" t="s">
        <v>2445</v>
      </c>
      <c r="D86" s="370" t="str">
        <f t="shared" si="1"/>
        <v>2333254__PPPz</v>
      </c>
      <c r="E86" s="370" t="s">
        <v>217</v>
      </c>
      <c r="F86" s="371">
        <v>0</v>
      </c>
      <c r="G86" s="372">
        <v>0</v>
      </c>
      <c r="H86" s="371">
        <v>0</v>
      </c>
      <c r="I86" s="371">
        <v>30932.402263855929</v>
      </c>
      <c r="J86" s="373">
        <v>45180.358873417921</v>
      </c>
      <c r="K86" s="313"/>
      <c r="L86" s="313"/>
    </row>
    <row r="87" spans="1:12" ht="15.75" thickBot="1" x14ac:dyDescent="0.3">
      <c r="A87" s="374">
        <v>2333254</v>
      </c>
      <c r="B87" s="375" t="s">
        <v>353</v>
      </c>
      <c r="C87" s="375" t="s">
        <v>2446</v>
      </c>
      <c r="D87" s="375" t="str">
        <f t="shared" si="1"/>
        <v>2333254__VED</v>
      </c>
      <c r="E87" s="375" t="s">
        <v>217</v>
      </c>
      <c r="F87" s="376">
        <v>0</v>
      </c>
      <c r="G87" s="377">
        <v>0</v>
      </c>
      <c r="H87" s="376">
        <v>0</v>
      </c>
      <c r="I87" s="376">
        <v>42620.237572232603</v>
      </c>
      <c r="J87" s="378">
        <v>38981.312725312506</v>
      </c>
      <c r="K87" s="313"/>
      <c r="L87" s="313"/>
    </row>
    <row r="88" spans="1:12" x14ac:dyDescent="0.25">
      <c r="A88" s="364">
        <v>3446957</v>
      </c>
      <c r="B88" s="365" t="s">
        <v>425</v>
      </c>
      <c r="C88" s="365" t="s">
        <v>2442</v>
      </c>
      <c r="D88" s="365" t="str">
        <f t="shared" si="1"/>
        <v>3446957__ADM</v>
      </c>
      <c r="E88" s="365" t="s">
        <v>217</v>
      </c>
      <c r="F88" s="366">
        <v>202663</v>
      </c>
      <c r="G88" s="367">
        <v>0.3</v>
      </c>
      <c r="H88" s="366">
        <v>42011.401326699837</v>
      </c>
      <c r="I88" s="366">
        <v>35344.176814599254</v>
      </c>
      <c r="J88" s="368">
        <v>34003.944084740986</v>
      </c>
      <c r="K88" s="313"/>
      <c r="L88" s="313"/>
    </row>
    <row r="89" spans="1:12" x14ac:dyDescent="0.25">
      <c r="A89" s="369">
        <v>3446957</v>
      </c>
      <c r="B89" s="370" t="s">
        <v>425</v>
      </c>
      <c r="C89" s="370" t="s">
        <v>2443</v>
      </c>
      <c r="D89" s="370" t="str">
        <f t="shared" si="1"/>
        <v>3446957__MAN</v>
      </c>
      <c r="E89" s="370" t="s">
        <v>217</v>
      </c>
      <c r="F89" s="371">
        <v>0</v>
      </c>
      <c r="G89" s="372">
        <v>0</v>
      </c>
      <c r="H89" s="371">
        <v>0</v>
      </c>
      <c r="I89" s="371">
        <v>24792.975468169316</v>
      </c>
      <c r="J89" s="373">
        <v>19777.585573678345</v>
      </c>
      <c r="K89" s="313"/>
      <c r="L89" s="313"/>
    </row>
    <row r="90" spans="1:12" x14ac:dyDescent="0.25">
      <c r="A90" s="369">
        <v>3446957</v>
      </c>
      <c r="B90" s="370" t="s">
        <v>425</v>
      </c>
      <c r="C90" s="370" t="s">
        <v>2444</v>
      </c>
      <c r="D90" s="370" t="str">
        <f t="shared" si="1"/>
        <v>3446957__PPPs</v>
      </c>
      <c r="E90" s="370" t="s">
        <v>217</v>
      </c>
      <c r="F90" s="371">
        <v>676155</v>
      </c>
      <c r="G90" s="372">
        <v>1.3</v>
      </c>
      <c r="H90" s="371">
        <v>32345.723306544198</v>
      </c>
      <c r="I90" s="371">
        <v>26351.428793362589</v>
      </c>
      <c r="J90" s="373">
        <v>26362.049149868351</v>
      </c>
      <c r="K90" s="313"/>
      <c r="L90" s="313"/>
    </row>
    <row r="91" spans="1:12" x14ac:dyDescent="0.25">
      <c r="A91" s="369">
        <v>3446957</v>
      </c>
      <c r="B91" s="370" t="s">
        <v>425</v>
      </c>
      <c r="C91" s="370" t="s">
        <v>2445</v>
      </c>
      <c r="D91" s="370" t="str">
        <f t="shared" si="1"/>
        <v>3446957__PPPz</v>
      </c>
      <c r="E91" s="370" t="s">
        <v>217</v>
      </c>
      <c r="F91" s="371">
        <v>0</v>
      </c>
      <c r="G91" s="372">
        <v>0</v>
      </c>
      <c r="H91" s="371">
        <v>0</v>
      </c>
      <c r="I91" s="371">
        <v>30932.402263855929</v>
      </c>
      <c r="J91" s="373">
        <v>45180.358873417921</v>
      </c>
      <c r="K91" s="313"/>
      <c r="L91" s="313"/>
    </row>
    <row r="92" spans="1:12" ht="15.75" thickBot="1" x14ac:dyDescent="0.3">
      <c r="A92" s="374">
        <v>3446957</v>
      </c>
      <c r="B92" s="375" t="s">
        <v>425</v>
      </c>
      <c r="C92" s="375" t="s">
        <v>2446</v>
      </c>
      <c r="D92" s="375" t="str">
        <f t="shared" si="1"/>
        <v>3446957__VED</v>
      </c>
      <c r="E92" s="375" t="s">
        <v>217</v>
      </c>
      <c r="F92" s="376">
        <v>168585</v>
      </c>
      <c r="G92" s="377">
        <v>0.2</v>
      </c>
      <c r="H92" s="376">
        <v>52420.708955223876</v>
      </c>
      <c r="I92" s="376">
        <v>42620.237572232603</v>
      </c>
      <c r="J92" s="378">
        <v>38981.312725312506</v>
      </c>
      <c r="K92" s="313"/>
      <c r="L92" s="313"/>
    </row>
    <row r="93" spans="1:12" x14ac:dyDescent="0.25">
      <c r="A93" s="364">
        <v>3673053</v>
      </c>
      <c r="B93" s="365" t="s">
        <v>214</v>
      </c>
      <c r="C93" s="365" t="s">
        <v>2442</v>
      </c>
      <c r="D93" s="365" t="str">
        <f t="shared" si="1"/>
        <v>3673053__ADM</v>
      </c>
      <c r="E93" s="365" t="s">
        <v>217</v>
      </c>
      <c r="F93" s="366">
        <v>866868</v>
      </c>
      <c r="G93" s="367">
        <v>2.0931999999999999</v>
      </c>
      <c r="H93" s="366">
        <v>25754.682539908903</v>
      </c>
      <c r="I93" s="366">
        <v>35344.176814599254</v>
      </c>
      <c r="J93" s="368">
        <v>34003.944084740986</v>
      </c>
      <c r="K93" s="313"/>
      <c r="L93" s="313"/>
    </row>
    <row r="94" spans="1:12" x14ac:dyDescent="0.25">
      <c r="A94" s="369">
        <v>3673053</v>
      </c>
      <c r="B94" s="370" t="s">
        <v>214</v>
      </c>
      <c r="C94" s="370" t="s">
        <v>2443</v>
      </c>
      <c r="D94" s="370" t="str">
        <f t="shared" si="1"/>
        <v>3673053__MAN</v>
      </c>
      <c r="E94" s="370" t="s">
        <v>217</v>
      </c>
      <c r="F94" s="371">
        <v>65908</v>
      </c>
      <c r="G94" s="372">
        <v>0.26340000000000002</v>
      </c>
      <c r="H94" s="371">
        <v>15560.957550893972</v>
      </c>
      <c r="I94" s="371">
        <v>24792.975468169316</v>
      </c>
      <c r="J94" s="373">
        <v>19777.585573678345</v>
      </c>
      <c r="K94" s="313"/>
      <c r="L94" s="313"/>
    </row>
    <row r="95" spans="1:12" x14ac:dyDescent="0.25">
      <c r="A95" s="369">
        <v>3673053</v>
      </c>
      <c r="B95" s="370" t="s">
        <v>214</v>
      </c>
      <c r="C95" s="370" t="s">
        <v>2444</v>
      </c>
      <c r="D95" s="370" t="str">
        <f t="shared" si="1"/>
        <v>3673053__PPPs</v>
      </c>
      <c r="E95" s="370" t="s">
        <v>217</v>
      </c>
      <c r="F95" s="371">
        <v>6823964</v>
      </c>
      <c r="G95" s="372">
        <v>17.838999999999999</v>
      </c>
      <c r="H95" s="371">
        <v>23789.218602318862</v>
      </c>
      <c r="I95" s="371">
        <v>26351.428793362589</v>
      </c>
      <c r="J95" s="373">
        <v>26362.049149868351</v>
      </c>
      <c r="K95" s="313"/>
      <c r="L95" s="313"/>
    </row>
    <row r="96" spans="1:12" x14ac:dyDescent="0.25">
      <c r="A96" s="369">
        <v>3673053</v>
      </c>
      <c r="B96" s="370" t="s">
        <v>214</v>
      </c>
      <c r="C96" s="370" t="s">
        <v>2445</v>
      </c>
      <c r="D96" s="370" t="str">
        <f t="shared" si="1"/>
        <v>3673053__PPPz</v>
      </c>
      <c r="E96" s="370" t="s">
        <v>217</v>
      </c>
      <c r="F96" s="371">
        <v>0</v>
      </c>
      <c r="G96" s="372">
        <v>0</v>
      </c>
      <c r="H96" s="371">
        <v>0</v>
      </c>
      <c r="I96" s="371">
        <v>30932.402263855929</v>
      </c>
      <c r="J96" s="373">
        <v>45180.358873417921</v>
      </c>
      <c r="K96" s="313"/>
      <c r="L96" s="313"/>
    </row>
    <row r="97" spans="1:12" ht="15.75" thickBot="1" x14ac:dyDescent="0.3">
      <c r="A97" s="374">
        <v>3673053</v>
      </c>
      <c r="B97" s="375" t="s">
        <v>214</v>
      </c>
      <c r="C97" s="375" t="s">
        <v>2446</v>
      </c>
      <c r="D97" s="375" t="str">
        <f t="shared" si="1"/>
        <v>3673053__VED</v>
      </c>
      <c r="E97" s="375" t="s">
        <v>217</v>
      </c>
      <c r="F97" s="376">
        <v>876194</v>
      </c>
      <c r="G97" s="377">
        <v>1.05</v>
      </c>
      <c r="H97" s="376">
        <v>51894.930111348018</v>
      </c>
      <c r="I97" s="376">
        <v>42620.237572232603</v>
      </c>
      <c r="J97" s="378">
        <v>38981.312725312506</v>
      </c>
      <c r="K97" s="313"/>
      <c r="L97" s="313"/>
    </row>
    <row r="98" spans="1:12" x14ac:dyDescent="0.25">
      <c r="A98" s="364">
        <v>5173305</v>
      </c>
      <c r="B98" s="365" t="s">
        <v>974</v>
      </c>
      <c r="C98" s="365" t="s">
        <v>2442</v>
      </c>
      <c r="D98" s="365" t="str">
        <f t="shared" si="1"/>
        <v>5173305__ADM</v>
      </c>
      <c r="E98" s="365" t="s">
        <v>217</v>
      </c>
      <c r="F98" s="366">
        <v>439000</v>
      </c>
      <c r="G98" s="367">
        <v>0.75</v>
      </c>
      <c r="H98" s="366">
        <v>36401.326699834164</v>
      </c>
      <c r="I98" s="366">
        <v>35344.176814599254</v>
      </c>
      <c r="J98" s="368">
        <v>34003.944084740986</v>
      </c>
      <c r="K98" s="313"/>
      <c r="L98" s="313"/>
    </row>
    <row r="99" spans="1:12" x14ac:dyDescent="0.25">
      <c r="A99" s="369">
        <v>5173305</v>
      </c>
      <c r="B99" s="370" t="s">
        <v>974</v>
      </c>
      <c r="C99" s="370" t="s">
        <v>2443</v>
      </c>
      <c r="D99" s="370" t="str">
        <f t="shared" si="1"/>
        <v>5173305__MAN</v>
      </c>
      <c r="E99" s="370" t="s">
        <v>217</v>
      </c>
      <c r="F99" s="371">
        <v>1615000</v>
      </c>
      <c r="G99" s="372">
        <v>4</v>
      </c>
      <c r="H99" s="371">
        <v>25108.830845771143</v>
      </c>
      <c r="I99" s="371">
        <v>24792.975468169316</v>
      </c>
      <c r="J99" s="373">
        <v>19777.585573678345</v>
      </c>
      <c r="K99" s="313"/>
      <c r="L99" s="313"/>
    </row>
    <row r="100" spans="1:12" x14ac:dyDescent="0.25">
      <c r="A100" s="369">
        <v>5173305</v>
      </c>
      <c r="B100" s="370" t="s">
        <v>974</v>
      </c>
      <c r="C100" s="370" t="s">
        <v>2444</v>
      </c>
      <c r="D100" s="370" t="str">
        <f t="shared" si="1"/>
        <v>5173305__PPPs</v>
      </c>
      <c r="E100" s="370" t="s">
        <v>217</v>
      </c>
      <c r="F100" s="371">
        <v>5597100</v>
      </c>
      <c r="G100" s="372">
        <v>10.164</v>
      </c>
      <c r="H100" s="371">
        <v>34246.19817089288</v>
      </c>
      <c r="I100" s="371">
        <v>26351.428793362589</v>
      </c>
      <c r="J100" s="373">
        <v>26362.049149868351</v>
      </c>
      <c r="K100" s="313"/>
      <c r="L100" s="313"/>
    </row>
    <row r="101" spans="1:12" x14ac:dyDescent="0.25">
      <c r="A101" s="369">
        <v>5173305</v>
      </c>
      <c r="B101" s="370" t="s">
        <v>974</v>
      </c>
      <c r="C101" s="370" t="s">
        <v>2445</v>
      </c>
      <c r="D101" s="370" t="str">
        <f t="shared" si="1"/>
        <v>5173305__PPPz</v>
      </c>
      <c r="E101" s="370" t="s">
        <v>217</v>
      </c>
      <c r="F101" s="371">
        <v>403000</v>
      </c>
      <c r="G101" s="372">
        <v>0.75</v>
      </c>
      <c r="H101" s="371">
        <v>33416.252072968491</v>
      </c>
      <c r="I101" s="371">
        <v>30932.402263855929</v>
      </c>
      <c r="J101" s="373">
        <v>45180.358873417921</v>
      </c>
      <c r="K101" s="313"/>
      <c r="L101" s="313"/>
    </row>
    <row r="102" spans="1:12" ht="15.75" thickBot="1" x14ac:dyDescent="0.3">
      <c r="A102" s="374">
        <v>5173305</v>
      </c>
      <c r="B102" s="375" t="s">
        <v>974</v>
      </c>
      <c r="C102" s="375" t="s">
        <v>2446</v>
      </c>
      <c r="D102" s="375" t="str">
        <f t="shared" si="1"/>
        <v>5173305__VED</v>
      </c>
      <c r="E102" s="375" t="s">
        <v>217</v>
      </c>
      <c r="F102" s="376">
        <v>774600</v>
      </c>
      <c r="G102" s="377">
        <v>1</v>
      </c>
      <c r="H102" s="376">
        <v>48171.641791044771</v>
      </c>
      <c r="I102" s="376">
        <v>42620.237572232603</v>
      </c>
      <c r="J102" s="378">
        <v>38981.312725312506</v>
      </c>
      <c r="K102" s="313"/>
      <c r="L102" s="313"/>
    </row>
    <row r="103" spans="1:12" x14ac:dyDescent="0.25">
      <c r="A103" s="364">
        <v>5539112</v>
      </c>
      <c r="B103" s="365" t="s">
        <v>1024</v>
      </c>
      <c r="C103" s="365" t="s">
        <v>2442</v>
      </c>
      <c r="D103" s="365" t="str">
        <f t="shared" si="1"/>
        <v>5539112__ADM</v>
      </c>
      <c r="E103" s="365" t="s">
        <v>217</v>
      </c>
      <c r="F103" s="366">
        <v>860253</v>
      </c>
      <c r="G103" s="367">
        <v>1</v>
      </c>
      <c r="H103" s="366">
        <v>53498.320895522382</v>
      </c>
      <c r="I103" s="366">
        <v>35344.176814599254</v>
      </c>
      <c r="J103" s="368">
        <v>34003.944084740986</v>
      </c>
      <c r="K103" s="313"/>
      <c r="L103" s="313"/>
    </row>
    <row r="104" spans="1:12" x14ac:dyDescent="0.25">
      <c r="A104" s="369">
        <v>5539112</v>
      </c>
      <c r="B104" s="370" t="s">
        <v>1024</v>
      </c>
      <c r="C104" s="370" t="s">
        <v>2443</v>
      </c>
      <c r="D104" s="370" t="str">
        <f t="shared" si="1"/>
        <v>5539112__MAN</v>
      </c>
      <c r="E104" s="370" t="s">
        <v>217</v>
      </c>
      <c r="F104" s="371">
        <v>1000</v>
      </c>
      <c r="G104" s="372">
        <v>0.2</v>
      </c>
      <c r="H104" s="371">
        <v>310.94527363184079</v>
      </c>
      <c r="I104" s="371">
        <v>24792.975468169316</v>
      </c>
      <c r="J104" s="373">
        <v>19777.585573678345</v>
      </c>
      <c r="K104" s="313"/>
      <c r="L104" s="313"/>
    </row>
    <row r="105" spans="1:12" x14ac:dyDescent="0.25">
      <c r="A105" s="369">
        <v>5539112</v>
      </c>
      <c r="B105" s="370" t="s">
        <v>1024</v>
      </c>
      <c r="C105" s="370" t="s">
        <v>2444</v>
      </c>
      <c r="D105" s="370" t="str">
        <f t="shared" si="1"/>
        <v>5539112__PPPs</v>
      </c>
      <c r="E105" s="370" t="s">
        <v>217</v>
      </c>
      <c r="F105" s="371">
        <v>834844</v>
      </c>
      <c r="G105" s="372">
        <v>2.2999999999999998</v>
      </c>
      <c r="H105" s="371">
        <v>22573.112697382654</v>
      </c>
      <c r="I105" s="371">
        <v>26351.428793362589</v>
      </c>
      <c r="J105" s="373">
        <v>26362.049149868351</v>
      </c>
      <c r="K105" s="313"/>
      <c r="L105" s="313"/>
    </row>
    <row r="106" spans="1:12" x14ac:dyDescent="0.25">
      <c r="A106" s="369">
        <v>5539112</v>
      </c>
      <c r="B106" s="370" t="s">
        <v>1024</v>
      </c>
      <c r="C106" s="370" t="s">
        <v>2445</v>
      </c>
      <c r="D106" s="370" t="str">
        <f t="shared" si="1"/>
        <v>5539112__PPPz</v>
      </c>
      <c r="E106" s="370" t="s">
        <v>217</v>
      </c>
      <c r="F106" s="371">
        <v>0</v>
      </c>
      <c r="G106" s="372">
        <v>0</v>
      </c>
      <c r="H106" s="371">
        <v>0</v>
      </c>
      <c r="I106" s="371">
        <v>30932.402263855929</v>
      </c>
      <c r="J106" s="373">
        <v>45180.358873417921</v>
      </c>
      <c r="K106" s="313"/>
      <c r="L106" s="313"/>
    </row>
    <row r="107" spans="1:12" ht="15.75" thickBot="1" x14ac:dyDescent="0.3">
      <c r="A107" s="374">
        <v>5539112</v>
      </c>
      <c r="B107" s="375" t="s">
        <v>1024</v>
      </c>
      <c r="C107" s="375" t="s">
        <v>2446</v>
      </c>
      <c r="D107" s="375" t="str">
        <f t="shared" si="1"/>
        <v>5539112__VED</v>
      </c>
      <c r="E107" s="375" t="s">
        <v>217</v>
      </c>
      <c r="F107" s="376">
        <v>145695</v>
      </c>
      <c r="G107" s="377">
        <v>0.1</v>
      </c>
      <c r="H107" s="376">
        <v>90606.343283582086</v>
      </c>
      <c r="I107" s="376">
        <v>42620.237572232603</v>
      </c>
      <c r="J107" s="378">
        <v>38981.312725312506</v>
      </c>
      <c r="K107" s="313"/>
      <c r="L107" s="313"/>
    </row>
    <row r="108" spans="1:12" x14ac:dyDescent="0.25">
      <c r="A108" s="364">
        <v>5599785</v>
      </c>
      <c r="B108" s="365" t="s">
        <v>1293</v>
      </c>
      <c r="C108" s="365" t="s">
        <v>2442</v>
      </c>
      <c r="D108" s="365" t="str">
        <f t="shared" si="1"/>
        <v>5599785__ADM</v>
      </c>
      <c r="E108" s="365" t="s">
        <v>217</v>
      </c>
      <c r="F108" s="366">
        <v>60240</v>
      </c>
      <c r="G108" s="367">
        <v>0.15709999999999999</v>
      </c>
      <c r="H108" s="366">
        <v>23846.395014108326</v>
      </c>
      <c r="I108" s="366">
        <v>35344.176814599254</v>
      </c>
      <c r="J108" s="368">
        <v>34003.944084740986</v>
      </c>
      <c r="K108" s="313"/>
      <c r="L108" s="313"/>
    </row>
    <row r="109" spans="1:12" x14ac:dyDescent="0.25">
      <c r="A109" s="369">
        <v>5599785</v>
      </c>
      <c r="B109" s="370" t="s">
        <v>1293</v>
      </c>
      <c r="C109" s="370" t="s">
        <v>2443</v>
      </c>
      <c r="D109" s="370" t="str">
        <f t="shared" si="1"/>
        <v>5599785__MAN</v>
      </c>
      <c r="E109" s="370" t="s">
        <v>217</v>
      </c>
      <c r="F109" s="371">
        <v>72576</v>
      </c>
      <c r="G109" s="372">
        <v>0.1028</v>
      </c>
      <c r="H109" s="371">
        <v>43904.988675300534</v>
      </c>
      <c r="I109" s="371">
        <v>24792.975468169316</v>
      </c>
      <c r="J109" s="373">
        <v>19777.585573678345</v>
      </c>
      <c r="K109" s="313"/>
      <c r="L109" s="313"/>
    </row>
    <row r="110" spans="1:12" x14ac:dyDescent="0.25">
      <c r="A110" s="369">
        <v>5599785</v>
      </c>
      <c r="B110" s="370" t="s">
        <v>1293</v>
      </c>
      <c r="C110" s="370" t="s">
        <v>2444</v>
      </c>
      <c r="D110" s="370" t="str">
        <f t="shared" si="1"/>
        <v>5599785__PPPs</v>
      </c>
      <c r="E110" s="370" t="s">
        <v>217</v>
      </c>
      <c r="F110" s="371">
        <v>879515</v>
      </c>
      <c r="G110" s="372">
        <v>2.2866</v>
      </c>
      <c r="H110" s="371">
        <v>23920.321205134998</v>
      </c>
      <c r="I110" s="371">
        <v>26351.428793362589</v>
      </c>
      <c r="J110" s="373">
        <v>26362.049149868351</v>
      </c>
      <c r="K110" s="313"/>
      <c r="L110" s="313"/>
    </row>
    <row r="111" spans="1:12" x14ac:dyDescent="0.25">
      <c r="A111" s="369">
        <v>5599785</v>
      </c>
      <c r="B111" s="370" t="s">
        <v>1293</v>
      </c>
      <c r="C111" s="370" t="s">
        <v>2445</v>
      </c>
      <c r="D111" s="370" t="str">
        <f t="shared" si="1"/>
        <v>5599785__PPPz</v>
      </c>
      <c r="E111" s="370" t="s">
        <v>217</v>
      </c>
      <c r="F111" s="371">
        <v>0</v>
      </c>
      <c r="G111" s="372">
        <v>0</v>
      </c>
      <c r="H111" s="371">
        <v>0</v>
      </c>
      <c r="I111" s="371">
        <v>30932.402263855929</v>
      </c>
      <c r="J111" s="373">
        <v>45180.358873417921</v>
      </c>
      <c r="K111" s="313"/>
      <c r="L111" s="313"/>
    </row>
    <row r="112" spans="1:12" ht="15.75" thickBot="1" x14ac:dyDescent="0.3">
      <c r="A112" s="374">
        <v>5599785</v>
      </c>
      <c r="B112" s="375" t="s">
        <v>1293</v>
      </c>
      <c r="C112" s="375" t="s">
        <v>2446</v>
      </c>
      <c r="D112" s="375" t="str">
        <f t="shared" si="1"/>
        <v>5599785__VED</v>
      </c>
      <c r="E112" s="375" t="s">
        <v>217</v>
      </c>
      <c r="F112" s="376">
        <v>72304</v>
      </c>
      <c r="G112" s="377">
        <v>7.0000000000000007E-2</v>
      </c>
      <c r="H112" s="376">
        <v>64235.963041933173</v>
      </c>
      <c r="I112" s="376">
        <v>42620.237572232603</v>
      </c>
      <c r="J112" s="378">
        <v>38981.312725312506</v>
      </c>
      <c r="K112" s="313"/>
      <c r="L112" s="313"/>
    </row>
    <row r="113" spans="1:12" x14ac:dyDescent="0.25">
      <c r="A113" s="364">
        <v>6684022</v>
      </c>
      <c r="B113" s="365" t="s">
        <v>728</v>
      </c>
      <c r="C113" s="365" t="s">
        <v>2442</v>
      </c>
      <c r="D113" s="365" t="str">
        <f t="shared" si="1"/>
        <v>6684022__ADM</v>
      </c>
      <c r="E113" s="365" t="s">
        <v>217</v>
      </c>
      <c r="F113" s="366">
        <v>534171</v>
      </c>
      <c r="G113" s="367">
        <v>0.94</v>
      </c>
      <c r="H113" s="366">
        <v>35339.988885360435</v>
      </c>
      <c r="I113" s="366">
        <v>35344.176814599254</v>
      </c>
      <c r="J113" s="368">
        <v>34003.944084740986</v>
      </c>
      <c r="K113" s="313"/>
      <c r="L113" s="313"/>
    </row>
    <row r="114" spans="1:12" x14ac:dyDescent="0.25">
      <c r="A114" s="369">
        <v>6684022</v>
      </c>
      <c r="B114" s="370" t="s">
        <v>728</v>
      </c>
      <c r="C114" s="370" t="s">
        <v>2443</v>
      </c>
      <c r="D114" s="370" t="str">
        <f t="shared" si="1"/>
        <v>6684022__MAN</v>
      </c>
      <c r="E114" s="370" t="s">
        <v>217</v>
      </c>
      <c r="F114" s="371">
        <v>293012</v>
      </c>
      <c r="G114" s="372">
        <v>0.875</v>
      </c>
      <c r="H114" s="371">
        <v>20825.302061122955</v>
      </c>
      <c r="I114" s="371">
        <v>24792.975468169316</v>
      </c>
      <c r="J114" s="373">
        <v>19777.585573678345</v>
      </c>
      <c r="K114" s="313"/>
      <c r="L114" s="313"/>
    </row>
    <row r="115" spans="1:12" x14ac:dyDescent="0.25">
      <c r="A115" s="369">
        <v>6684022</v>
      </c>
      <c r="B115" s="370" t="s">
        <v>728</v>
      </c>
      <c r="C115" s="370" t="s">
        <v>2444</v>
      </c>
      <c r="D115" s="370" t="str">
        <f t="shared" si="1"/>
        <v>6684022__PPPs</v>
      </c>
      <c r="E115" s="370" t="s">
        <v>217</v>
      </c>
      <c r="F115" s="371">
        <v>2380670</v>
      </c>
      <c r="G115" s="372">
        <v>5.5667999999999997</v>
      </c>
      <c r="H115" s="371">
        <v>26595.461830032134</v>
      </c>
      <c r="I115" s="371">
        <v>26351.428793362589</v>
      </c>
      <c r="J115" s="373">
        <v>26362.049149868351</v>
      </c>
      <c r="K115" s="313"/>
      <c r="L115" s="313"/>
    </row>
    <row r="116" spans="1:12" x14ac:dyDescent="0.25">
      <c r="A116" s="369">
        <v>6684022</v>
      </c>
      <c r="B116" s="370" t="s">
        <v>728</v>
      </c>
      <c r="C116" s="370" t="s">
        <v>2445</v>
      </c>
      <c r="D116" s="370" t="str">
        <f t="shared" si="1"/>
        <v>6684022__PPPz</v>
      </c>
      <c r="E116" s="370" t="s">
        <v>217</v>
      </c>
      <c r="F116" s="371">
        <v>0</v>
      </c>
      <c r="G116" s="372">
        <v>0</v>
      </c>
      <c r="H116" s="371">
        <v>0</v>
      </c>
      <c r="I116" s="371">
        <v>30932.402263855929</v>
      </c>
      <c r="J116" s="373">
        <v>45180.358873417921</v>
      </c>
      <c r="K116" s="313"/>
      <c r="L116" s="313"/>
    </row>
    <row r="117" spans="1:12" ht="15.75" thickBot="1" x14ac:dyDescent="0.3">
      <c r="A117" s="374">
        <v>6684022</v>
      </c>
      <c r="B117" s="375" t="s">
        <v>728</v>
      </c>
      <c r="C117" s="375" t="s">
        <v>2446</v>
      </c>
      <c r="D117" s="375" t="str">
        <f t="shared" si="1"/>
        <v>6684022__VED</v>
      </c>
      <c r="E117" s="375" t="s">
        <v>217</v>
      </c>
      <c r="F117" s="376">
        <v>553136</v>
      </c>
      <c r="G117" s="377">
        <v>0.875</v>
      </c>
      <c r="H117" s="376">
        <v>39313.148542999283</v>
      </c>
      <c r="I117" s="376">
        <v>42620.237572232603</v>
      </c>
      <c r="J117" s="378">
        <v>38981.312725312506</v>
      </c>
      <c r="K117" s="313"/>
      <c r="L117" s="313"/>
    </row>
    <row r="118" spans="1:12" x14ac:dyDescent="0.25">
      <c r="A118" s="364">
        <v>7268793</v>
      </c>
      <c r="B118" s="365" t="s">
        <v>312</v>
      </c>
      <c r="C118" s="365" t="s">
        <v>2442</v>
      </c>
      <c r="D118" s="365" t="str">
        <f t="shared" si="1"/>
        <v>7268793__ADM</v>
      </c>
      <c r="E118" s="365" t="s">
        <v>217</v>
      </c>
      <c r="F118" s="366">
        <v>107172</v>
      </c>
      <c r="G118" s="367">
        <v>0.1</v>
      </c>
      <c r="H118" s="366">
        <v>66649.253731343284</v>
      </c>
      <c r="I118" s="366">
        <v>35344.176814599254</v>
      </c>
      <c r="J118" s="368">
        <v>34003.944084740986</v>
      </c>
      <c r="K118" s="313"/>
      <c r="L118" s="313"/>
    </row>
    <row r="119" spans="1:12" x14ac:dyDescent="0.25">
      <c r="A119" s="369">
        <v>7268793</v>
      </c>
      <c r="B119" s="370" t="s">
        <v>312</v>
      </c>
      <c r="C119" s="370" t="s">
        <v>2443</v>
      </c>
      <c r="D119" s="370" t="str">
        <f t="shared" si="1"/>
        <v>7268793__MAN</v>
      </c>
      <c r="E119" s="370" t="s">
        <v>217</v>
      </c>
      <c r="F119" s="371">
        <v>0</v>
      </c>
      <c r="G119" s="372">
        <v>0</v>
      </c>
      <c r="H119" s="371">
        <v>0</v>
      </c>
      <c r="I119" s="371">
        <v>24792.975468169316</v>
      </c>
      <c r="J119" s="373">
        <v>19777.585573678345</v>
      </c>
      <c r="K119" s="313"/>
      <c r="L119" s="313"/>
    </row>
    <row r="120" spans="1:12" x14ac:dyDescent="0.25">
      <c r="A120" s="369">
        <v>7268793</v>
      </c>
      <c r="B120" s="370" t="s">
        <v>312</v>
      </c>
      <c r="C120" s="370" t="s">
        <v>2444</v>
      </c>
      <c r="D120" s="370" t="str">
        <f t="shared" si="1"/>
        <v>7268793__PPPs</v>
      </c>
      <c r="E120" s="370" t="s">
        <v>217</v>
      </c>
      <c r="F120" s="371">
        <v>2599701</v>
      </c>
      <c r="G120" s="372">
        <v>5.5</v>
      </c>
      <c r="H120" s="371">
        <v>29395.08141112619</v>
      </c>
      <c r="I120" s="371">
        <v>26351.428793362589</v>
      </c>
      <c r="J120" s="373">
        <v>26362.049149868351</v>
      </c>
      <c r="K120" s="313"/>
      <c r="L120" s="313"/>
    </row>
    <row r="121" spans="1:12" x14ac:dyDescent="0.25">
      <c r="A121" s="369">
        <v>7268793</v>
      </c>
      <c r="B121" s="370" t="s">
        <v>312</v>
      </c>
      <c r="C121" s="370" t="s">
        <v>2445</v>
      </c>
      <c r="D121" s="370" t="str">
        <f t="shared" si="1"/>
        <v>7268793__PPPz</v>
      </c>
      <c r="E121" s="370" t="s">
        <v>217</v>
      </c>
      <c r="F121" s="371">
        <v>0</v>
      </c>
      <c r="G121" s="372">
        <v>0</v>
      </c>
      <c r="H121" s="371">
        <v>0</v>
      </c>
      <c r="I121" s="371">
        <v>30932.402263855929</v>
      </c>
      <c r="J121" s="373">
        <v>45180.358873417921</v>
      </c>
      <c r="K121" s="313"/>
      <c r="L121" s="313"/>
    </row>
    <row r="122" spans="1:12" ht="15.75" thickBot="1" x14ac:dyDescent="0.3">
      <c r="A122" s="374">
        <v>7268793</v>
      </c>
      <c r="B122" s="375" t="s">
        <v>312</v>
      </c>
      <c r="C122" s="375" t="s">
        <v>2446</v>
      </c>
      <c r="D122" s="375" t="str">
        <f t="shared" si="1"/>
        <v>7268793__VED</v>
      </c>
      <c r="E122" s="375" t="s">
        <v>217</v>
      </c>
      <c r="F122" s="376">
        <v>59240</v>
      </c>
      <c r="G122" s="377">
        <v>0.2</v>
      </c>
      <c r="H122" s="376">
        <v>18420.398009950248</v>
      </c>
      <c r="I122" s="376">
        <v>42620.237572232603</v>
      </c>
      <c r="J122" s="378">
        <v>38981.312725312506</v>
      </c>
      <c r="K122" s="313"/>
      <c r="L122" s="313"/>
    </row>
    <row r="123" spans="1:12" x14ac:dyDescent="0.25">
      <c r="A123" s="364">
        <v>8979890</v>
      </c>
      <c r="B123" s="365" t="s">
        <v>969</v>
      </c>
      <c r="C123" s="365" t="s">
        <v>2442</v>
      </c>
      <c r="D123" s="365" t="str">
        <f t="shared" si="1"/>
        <v>8979890__ADM</v>
      </c>
      <c r="E123" s="365" t="s">
        <v>217</v>
      </c>
      <c r="F123" s="366">
        <v>257629</v>
      </c>
      <c r="G123" s="367">
        <v>0.375</v>
      </c>
      <c r="H123" s="366">
        <v>42724.543946931997</v>
      </c>
      <c r="I123" s="366">
        <v>35344.176814599254</v>
      </c>
      <c r="J123" s="368">
        <v>34003.944084740986</v>
      </c>
      <c r="K123" s="313"/>
      <c r="L123" s="313"/>
    </row>
    <row r="124" spans="1:12" x14ac:dyDescent="0.25">
      <c r="A124" s="369">
        <v>8979890</v>
      </c>
      <c r="B124" s="370" t="s">
        <v>969</v>
      </c>
      <c r="C124" s="370" t="s">
        <v>2443</v>
      </c>
      <c r="D124" s="370" t="str">
        <f t="shared" si="1"/>
        <v>8979890__MAN</v>
      </c>
      <c r="E124" s="370" t="s">
        <v>217</v>
      </c>
      <c r="F124" s="371">
        <v>543595</v>
      </c>
      <c r="G124" s="372">
        <v>1</v>
      </c>
      <c r="H124" s="371">
        <v>33805.659203980096</v>
      </c>
      <c r="I124" s="371">
        <v>24792.975468169316</v>
      </c>
      <c r="J124" s="373">
        <v>19777.585573678345</v>
      </c>
      <c r="K124" s="313"/>
      <c r="L124" s="313"/>
    </row>
    <row r="125" spans="1:12" x14ac:dyDescent="0.25">
      <c r="A125" s="369">
        <v>8979890</v>
      </c>
      <c r="B125" s="370" t="s">
        <v>969</v>
      </c>
      <c r="C125" s="370" t="s">
        <v>2444</v>
      </c>
      <c r="D125" s="370" t="str">
        <f t="shared" si="1"/>
        <v>8979890__PPPs</v>
      </c>
      <c r="E125" s="370" t="s">
        <v>217</v>
      </c>
      <c r="F125" s="371">
        <v>2045688</v>
      </c>
      <c r="G125" s="372">
        <v>5.5880000000000001</v>
      </c>
      <c r="H125" s="371">
        <v>22766.535967264608</v>
      </c>
      <c r="I125" s="371">
        <v>26351.428793362589</v>
      </c>
      <c r="J125" s="373">
        <v>26362.049149868351</v>
      </c>
      <c r="K125" s="313"/>
      <c r="L125" s="313"/>
    </row>
    <row r="126" spans="1:12" x14ac:dyDescent="0.25">
      <c r="A126" s="369">
        <v>8979890</v>
      </c>
      <c r="B126" s="370" t="s">
        <v>969</v>
      </c>
      <c r="C126" s="370" t="s">
        <v>2445</v>
      </c>
      <c r="D126" s="370" t="str">
        <f t="shared" si="1"/>
        <v>8979890__PPPz</v>
      </c>
      <c r="E126" s="370" t="s">
        <v>217</v>
      </c>
      <c r="F126" s="371">
        <v>0</v>
      </c>
      <c r="G126" s="372">
        <v>0</v>
      </c>
      <c r="H126" s="371">
        <v>0</v>
      </c>
      <c r="I126" s="371">
        <v>30932.402263855929</v>
      </c>
      <c r="J126" s="373">
        <v>45180.358873417921</v>
      </c>
      <c r="K126" s="313"/>
      <c r="L126" s="313"/>
    </row>
    <row r="127" spans="1:12" ht="15.75" thickBot="1" x14ac:dyDescent="0.3">
      <c r="A127" s="374">
        <v>8979890</v>
      </c>
      <c r="B127" s="375" t="s">
        <v>969</v>
      </c>
      <c r="C127" s="375" t="s">
        <v>2446</v>
      </c>
      <c r="D127" s="375" t="str">
        <f t="shared" si="1"/>
        <v>8979890__VED</v>
      </c>
      <c r="E127" s="375" t="s">
        <v>217</v>
      </c>
      <c r="F127" s="376">
        <v>515553</v>
      </c>
      <c r="G127" s="377">
        <v>1</v>
      </c>
      <c r="H127" s="376">
        <v>32061.75373134328</v>
      </c>
      <c r="I127" s="376">
        <v>42620.237572232603</v>
      </c>
      <c r="J127" s="378">
        <v>38981.312725312506</v>
      </c>
      <c r="K127" s="313"/>
      <c r="L127" s="313"/>
    </row>
    <row r="128" spans="1:12" x14ac:dyDescent="0.25">
      <c r="A128" s="364">
        <v>9459250</v>
      </c>
      <c r="B128" s="365" t="s">
        <v>947</v>
      </c>
      <c r="C128" s="365" t="s">
        <v>2442</v>
      </c>
      <c r="D128" s="365" t="str">
        <f t="shared" si="1"/>
        <v>9459250__ADM</v>
      </c>
      <c r="E128" s="365" t="s">
        <v>217</v>
      </c>
      <c r="F128" s="366">
        <v>88475</v>
      </c>
      <c r="G128" s="367">
        <v>0.15</v>
      </c>
      <c r="H128" s="366">
        <v>36681.177446102818</v>
      </c>
      <c r="I128" s="366">
        <v>35344.176814599254</v>
      </c>
      <c r="J128" s="368">
        <v>34003.944084740986</v>
      </c>
      <c r="K128" s="313"/>
      <c r="L128" s="313"/>
    </row>
    <row r="129" spans="1:12" x14ac:dyDescent="0.25">
      <c r="A129" s="369">
        <v>9459250</v>
      </c>
      <c r="B129" s="370" t="s">
        <v>947</v>
      </c>
      <c r="C129" s="370" t="s">
        <v>2443</v>
      </c>
      <c r="D129" s="370" t="str">
        <f t="shared" si="1"/>
        <v>9459250__MAN</v>
      </c>
      <c r="E129" s="370" t="s">
        <v>217</v>
      </c>
      <c r="F129" s="371">
        <v>28566</v>
      </c>
      <c r="G129" s="372">
        <v>0.05</v>
      </c>
      <c r="H129" s="371">
        <v>35529.850746268654</v>
      </c>
      <c r="I129" s="371">
        <v>24792.975468169316</v>
      </c>
      <c r="J129" s="373">
        <v>19777.585573678345</v>
      </c>
      <c r="K129" s="313"/>
      <c r="L129" s="313"/>
    </row>
    <row r="130" spans="1:12" x14ac:dyDescent="0.25">
      <c r="A130" s="369">
        <v>9459250</v>
      </c>
      <c r="B130" s="370" t="s">
        <v>947</v>
      </c>
      <c r="C130" s="370" t="s">
        <v>2444</v>
      </c>
      <c r="D130" s="370" t="str">
        <f t="shared" si="1"/>
        <v>9459250__PPPs</v>
      </c>
      <c r="E130" s="370" t="s">
        <v>217</v>
      </c>
      <c r="F130" s="371">
        <v>1879117</v>
      </c>
      <c r="G130" s="372">
        <v>4.5916000000000006</v>
      </c>
      <c r="H130" s="371">
        <v>25450.934304000508</v>
      </c>
      <c r="I130" s="371">
        <v>26351.428793362589</v>
      </c>
      <c r="J130" s="373">
        <v>26362.049149868351</v>
      </c>
      <c r="K130" s="313"/>
      <c r="L130" s="313"/>
    </row>
    <row r="131" spans="1:12" x14ac:dyDescent="0.25">
      <c r="A131" s="369">
        <v>9459250</v>
      </c>
      <c r="B131" s="370" t="s">
        <v>947</v>
      </c>
      <c r="C131" s="370" t="s">
        <v>2445</v>
      </c>
      <c r="D131" s="370" t="str">
        <f t="shared" ref="D131:D194" si="2">CONCATENATE(A131,"__",C131)</f>
        <v>9459250__PPPz</v>
      </c>
      <c r="E131" s="370" t="s">
        <v>217</v>
      </c>
      <c r="F131" s="371">
        <v>0</v>
      </c>
      <c r="G131" s="372">
        <v>0</v>
      </c>
      <c r="H131" s="371">
        <v>0</v>
      </c>
      <c r="I131" s="371">
        <v>30932.402263855929</v>
      </c>
      <c r="J131" s="373">
        <v>45180.358873417921</v>
      </c>
      <c r="K131" s="313"/>
      <c r="L131" s="313"/>
    </row>
    <row r="132" spans="1:12" ht="15.75" thickBot="1" x14ac:dyDescent="0.3">
      <c r="A132" s="374">
        <v>9459250</v>
      </c>
      <c r="B132" s="375" t="s">
        <v>947</v>
      </c>
      <c r="C132" s="375" t="s">
        <v>2446</v>
      </c>
      <c r="D132" s="375" t="str">
        <f t="shared" si="2"/>
        <v>9459250__VED</v>
      </c>
      <c r="E132" s="375" t="s">
        <v>217</v>
      </c>
      <c r="F132" s="376">
        <v>276424</v>
      </c>
      <c r="G132" s="377">
        <v>0.4</v>
      </c>
      <c r="H132" s="376">
        <v>42976.368159203979</v>
      </c>
      <c r="I132" s="376">
        <v>42620.237572232603</v>
      </c>
      <c r="J132" s="378">
        <v>38981.312725312506</v>
      </c>
      <c r="K132" s="313"/>
      <c r="L132" s="313"/>
    </row>
    <row r="133" spans="1:12" x14ac:dyDescent="0.25">
      <c r="A133" s="364">
        <v>1546097</v>
      </c>
      <c r="B133" s="365" t="s">
        <v>997</v>
      </c>
      <c r="C133" s="365" t="s">
        <v>2442</v>
      </c>
      <c r="D133" s="365" t="str">
        <f t="shared" si="2"/>
        <v>1546097__ADM</v>
      </c>
      <c r="E133" s="365" t="s">
        <v>260</v>
      </c>
      <c r="F133" s="366">
        <v>927540</v>
      </c>
      <c r="G133" s="367">
        <v>1</v>
      </c>
      <c r="H133" s="366">
        <v>57682.835820895518</v>
      </c>
      <c r="I133" s="366">
        <v>43104.858233894309</v>
      </c>
      <c r="J133" s="368">
        <v>38182.910235907912</v>
      </c>
      <c r="K133" s="313"/>
      <c r="L133" s="313"/>
    </row>
    <row r="134" spans="1:12" x14ac:dyDescent="0.25">
      <c r="A134" s="369">
        <v>1546097</v>
      </c>
      <c r="B134" s="370" t="s">
        <v>997</v>
      </c>
      <c r="C134" s="370" t="s">
        <v>2443</v>
      </c>
      <c r="D134" s="370" t="str">
        <f t="shared" si="2"/>
        <v>1546097__MAN</v>
      </c>
      <c r="E134" s="370" t="s">
        <v>260</v>
      </c>
      <c r="F134" s="371">
        <v>3077390</v>
      </c>
      <c r="G134" s="372">
        <v>8.5</v>
      </c>
      <c r="H134" s="371">
        <v>22515.291191103308</v>
      </c>
      <c r="I134" s="371">
        <v>19707.485117665739</v>
      </c>
      <c r="J134" s="373">
        <v>20105.325819103145</v>
      </c>
      <c r="K134" s="313"/>
      <c r="L134" s="313"/>
    </row>
    <row r="135" spans="1:12" x14ac:dyDescent="0.25">
      <c r="A135" s="369">
        <v>1546097</v>
      </c>
      <c r="B135" s="370" t="s">
        <v>997</v>
      </c>
      <c r="C135" s="370" t="s">
        <v>2444</v>
      </c>
      <c r="D135" s="370" t="str">
        <f t="shared" si="2"/>
        <v>1546097__PPPs</v>
      </c>
      <c r="E135" s="370" t="s">
        <v>260</v>
      </c>
      <c r="F135" s="371">
        <v>29582242</v>
      </c>
      <c r="G135" s="372">
        <v>58.2029</v>
      </c>
      <c r="H135" s="371">
        <v>31608.247469914153</v>
      </c>
      <c r="I135" s="371">
        <v>30782.909746017394</v>
      </c>
      <c r="J135" s="373">
        <v>26849.811948652292</v>
      </c>
      <c r="K135" s="313"/>
      <c r="L135" s="313"/>
    </row>
    <row r="136" spans="1:12" x14ac:dyDescent="0.25">
      <c r="A136" s="369">
        <v>1546097</v>
      </c>
      <c r="B136" s="370" t="s">
        <v>997</v>
      </c>
      <c r="C136" s="370" t="s">
        <v>2445</v>
      </c>
      <c r="D136" s="370" t="str">
        <f t="shared" si="2"/>
        <v>1546097__PPPz</v>
      </c>
      <c r="E136" s="370" t="s">
        <v>260</v>
      </c>
      <c r="F136" s="371">
        <v>4894792</v>
      </c>
      <c r="G136" s="372">
        <v>9.15</v>
      </c>
      <c r="H136" s="371">
        <v>33268.03142756164</v>
      </c>
      <c r="I136" s="371">
        <v>33965.926401911653</v>
      </c>
      <c r="J136" s="373">
        <v>36044.095698462443</v>
      </c>
      <c r="K136" s="313"/>
      <c r="L136" s="313"/>
    </row>
    <row r="137" spans="1:12" ht="15.75" thickBot="1" x14ac:dyDescent="0.3">
      <c r="A137" s="374">
        <v>1546097</v>
      </c>
      <c r="B137" s="375" t="s">
        <v>997</v>
      </c>
      <c r="C137" s="375" t="s">
        <v>2446</v>
      </c>
      <c r="D137" s="375" t="str">
        <f t="shared" si="2"/>
        <v>1546097__VED</v>
      </c>
      <c r="E137" s="375" t="s">
        <v>260</v>
      </c>
      <c r="F137" s="376">
        <v>1619052</v>
      </c>
      <c r="G137" s="377">
        <v>1</v>
      </c>
      <c r="H137" s="376">
        <v>100687.31343283581</v>
      </c>
      <c r="I137" s="376">
        <v>52975.655018000631</v>
      </c>
      <c r="J137" s="378">
        <v>43951.633169033259</v>
      </c>
      <c r="K137" s="313"/>
      <c r="L137" s="313"/>
    </row>
    <row r="138" spans="1:12" x14ac:dyDescent="0.25">
      <c r="A138" s="364">
        <v>2089762</v>
      </c>
      <c r="B138" s="365" t="s">
        <v>1001</v>
      </c>
      <c r="C138" s="365" t="s">
        <v>2442</v>
      </c>
      <c r="D138" s="365" t="str">
        <f t="shared" si="2"/>
        <v>2089762__ADM</v>
      </c>
      <c r="E138" s="365" t="s">
        <v>260</v>
      </c>
      <c r="F138" s="366">
        <v>2070812</v>
      </c>
      <c r="G138" s="367">
        <v>2</v>
      </c>
      <c r="H138" s="366">
        <v>64390.920398009941</v>
      </c>
      <c r="I138" s="366">
        <v>43104.858233894309</v>
      </c>
      <c r="J138" s="368">
        <v>38182.910235907912</v>
      </c>
      <c r="K138" s="313"/>
      <c r="L138" s="313"/>
    </row>
    <row r="139" spans="1:12" x14ac:dyDescent="0.25">
      <c r="A139" s="369">
        <v>2089762</v>
      </c>
      <c r="B139" s="370" t="s">
        <v>1001</v>
      </c>
      <c r="C139" s="370" t="s">
        <v>2443</v>
      </c>
      <c r="D139" s="370" t="str">
        <f t="shared" si="2"/>
        <v>2089762__MAN</v>
      </c>
      <c r="E139" s="370" t="s">
        <v>260</v>
      </c>
      <c r="F139" s="371">
        <v>4201231</v>
      </c>
      <c r="G139" s="372">
        <v>13.0878</v>
      </c>
      <c r="H139" s="371">
        <v>19962.910846522289</v>
      </c>
      <c r="I139" s="371">
        <v>19707.485117665739</v>
      </c>
      <c r="J139" s="373">
        <v>20105.325819103145</v>
      </c>
      <c r="K139" s="313"/>
      <c r="L139" s="313"/>
    </row>
    <row r="140" spans="1:12" x14ac:dyDescent="0.25">
      <c r="A140" s="369">
        <v>2089762</v>
      </c>
      <c r="B140" s="370" t="s">
        <v>1001</v>
      </c>
      <c r="C140" s="370" t="s">
        <v>2444</v>
      </c>
      <c r="D140" s="370" t="str">
        <f t="shared" si="2"/>
        <v>2089762__PPPs</v>
      </c>
      <c r="E140" s="370" t="s">
        <v>260</v>
      </c>
      <c r="F140" s="371">
        <v>19777565</v>
      </c>
      <c r="G140" s="372">
        <v>41.192</v>
      </c>
      <c r="H140" s="371">
        <v>29858.906392972021</v>
      </c>
      <c r="I140" s="371">
        <v>30782.909746017394</v>
      </c>
      <c r="J140" s="373">
        <v>26849.811948652292</v>
      </c>
      <c r="K140" s="313"/>
      <c r="L140" s="313"/>
    </row>
    <row r="141" spans="1:12" x14ac:dyDescent="0.25">
      <c r="A141" s="369">
        <v>2089762</v>
      </c>
      <c r="B141" s="370" t="s">
        <v>1001</v>
      </c>
      <c r="C141" s="370" t="s">
        <v>2445</v>
      </c>
      <c r="D141" s="370" t="str">
        <f t="shared" si="2"/>
        <v>2089762__PPPz</v>
      </c>
      <c r="E141" s="370" t="s">
        <v>260</v>
      </c>
      <c r="F141" s="371">
        <v>4192794</v>
      </c>
      <c r="G141" s="372">
        <v>6.8</v>
      </c>
      <c r="H141" s="371">
        <v>38344.984635645298</v>
      </c>
      <c r="I141" s="371">
        <v>33965.926401911653</v>
      </c>
      <c r="J141" s="373">
        <v>36044.095698462443</v>
      </c>
      <c r="K141" s="313"/>
      <c r="L141" s="313"/>
    </row>
    <row r="142" spans="1:12" ht="15.75" thickBot="1" x14ac:dyDescent="0.3">
      <c r="A142" s="374">
        <v>2089762</v>
      </c>
      <c r="B142" s="375" t="s">
        <v>1001</v>
      </c>
      <c r="C142" s="375" t="s">
        <v>2446</v>
      </c>
      <c r="D142" s="375" t="str">
        <f t="shared" si="2"/>
        <v>2089762__VED</v>
      </c>
      <c r="E142" s="375" t="s">
        <v>260</v>
      </c>
      <c r="F142" s="376">
        <v>1001334</v>
      </c>
      <c r="G142" s="377">
        <v>2.8</v>
      </c>
      <c r="H142" s="376">
        <v>22240.005330490407</v>
      </c>
      <c r="I142" s="376">
        <v>52975.655018000631</v>
      </c>
      <c r="J142" s="378">
        <v>43951.633169033259</v>
      </c>
      <c r="K142" s="313"/>
      <c r="L142" s="313"/>
    </row>
    <row r="143" spans="1:12" x14ac:dyDescent="0.25">
      <c r="A143" s="364">
        <v>3473171</v>
      </c>
      <c r="B143" s="365" t="s">
        <v>425</v>
      </c>
      <c r="C143" s="365" t="s">
        <v>2442</v>
      </c>
      <c r="D143" s="365" t="str">
        <f t="shared" si="2"/>
        <v>3473171__ADM</v>
      </c>
      <c r="E143" s="365" t="s">
        <v>260</v>
      </c>
      <c r="F143" s="366">
        <v>1308731</v>
      </c>
      <c r="G143" s="367">
        <v>1</v>
      </c>
      <c r="H143" s="366">
        <v>81388.743781094527</v>
      </c>
      <c r="I143" s="366">
        <v>43104.858233894309</v>
      </c>
      <c r="J143" s="368">
        <v>38182.910235907912</v>
      </c>
      <c r="K143" s="313"/>
      <c r="L143" s="313"/>
    </row>
    <row r="144" spans="1:12" x14ac:dyDescent="0.25">
      <c r="A144" s="369">
        <v>3473171</v>
      </c>
      <c r="B144" s="370" t="s">
        <v>425</v>
      </c>
      <c r="C144" s="370" t="s">
        <v>2443</v>
      </c>
      <c r="D144" s="370" t="str">
        <f t="shared" si="2"/>
        <v>3473171__MAN</v>
      </c>
      <c r="E144" s="370" t="s">
        <v>260</v>
      </c>
      <c r="F144" s="371">
        <v>2283790</v>
      </c>
      <c r="G144" s="372">
        <v>7.15</v>
      </c>
      <c r="H144" s="371">
        <v>19863.87990119333</v>
      </c>
      <c r="I144" s="371">
        <v>19707.485117665739</v>
      </c>
      <c r="J144" s="373">
        <v>20105.325819103145</v>
      </c>
      <c r="K144" s="313"/>
      <c r="L144" s="313"/>
    </row>
    <row r="145" spans="1:12" x14ac:dyDescent="0.25">
      <c r="A145" s="369">
        <v>3473171</v>
      </c>
      <c r="B145" s="370" t="s">
        <v>425</v>
      </c>
      <c r="C145" s="370" t="s">
        <v>2444</v>
      </c>
      <c r="D145" s="370" t="str">
        <f t="shared" si="2"/>
        <v>3473171__PPPs</v>
      </c>
      <c r="E145" s="370" t="s">
        <v>260</v>
      </c>
      <c r="F145" s="371">
        <v>27121910</v>
      </c>
      <c r="G145" s="372">
        <v>50.488</v>
      </c>
      <c r="H145" s="371">
        <v>33407.660142482011</v>
      </c>
      <c r="I145" s="371">
        <v>30782.909746017394</v>
      </c>
      <c r="J145" s="373">
        <v>26849.811948652292</v>
      </c>
      <c r="K145" s="313"/>
      <c r="L145" s="313"/>
    </row>
    <row r="146" spans="1:12" x14ac:dyDescent="0.25">
      <c r="A146" s="369">
        <v>3473171</v>
      </c>
      <c r="B146" s="370" t="s">
        <v>425</v>
      </c>
      <c r="C146" s="370" t="s">
        <v>2445</v>
      </c>
      <c r="D146" s="370" t="str">
        <f t="shared" si="2"/>
        <v>3473171__PPPz</v>
      </c>
      <c r="E146" s="370" t="s">
        <v>260</v>
      </c>
      <c r="F146" s="371">
        <v>4359840</v>
      </c>
      <c r="G146" s="372">
        <v>7.6</v>
      </c>
      <c r="H146" s="371">
        <v>35675.569520816971</v>
      </c>
      <c r="I146" s="371">
        <v>33965.926401911653</v>
      </c>
      <c r="J146" s="373">
        <v>36044.095698462443</v>
      </c>
      <c r="K146" s="313"/>
      <c r="L146" s="313"/>
    </row>
    <row r="147" spans="1:12" ht="15.75" thickBot="1" x14ac:dyDescent="0.3">
      <c r="A147" s="374">
        <v>3473171</v>
      </c>
      <c r="B147" s="375" t="s">
        <v>425</v>
      </c>
      <c r="C147" s="375" t="s">
        <v>2446</v>
      </c>
      <c r="D147" s="375" t="str">
        <f t="shared" si="2"/>
        <v>3473171__VED</v>
      </c>
      <c r="E147" s="375" t="s">
        <v>260</v>
      </c>
      <c r="F147" s="376">
        <v>1349963</v>
      </c>
      <c r="G147" s="377">
        <v>1</v>
      </c>
      <c r="H147" s="376">
        <v>83952.922885572145</v>
      </c>
      <c r="I147" s="376">
        <v>52975.655018000631</v>
      </c>
      <c r="J147" s="378">
        <v>43951.633169033259</v>
      </c>
      <c r="K147" s="313"/>
      <c r="L147" s="313"/>
    </row>
    <row r="148" spans="1:12" x14ac:dyDescent="0.25">
      <c r="A148" s="364">
        <v>3713907</v>
      </c>
      <c r="B148" s="365" t="s">
        <v>509</v>
      </c>
      <c r="C148" s="365" t="s">
        <v>2442</v>
      </c>
      <c r="D148" s="365" t="str">
        <f t="shared" si="2"/>
        <v>3713907__ADM</v>
      </c>
      <c r="E148" s="365" t="s">
        <v>260</v>
      </c>
      <c r="F148" s="366">
        <v>2050278</v>
      </c>
      <c r="G148" s="367">
        <v>3</v>
      </c>
      <c r="H148" s="366">
        <v>42501.616915422885</v>
      </c>
      <c r="I148" s="366">
        <v>43104.858233894309</v>
      </c>
      <c r="J148" s="368">
        <v>38182.910235907912</v>
      </c>
      <c r="K148" s="313"/>
      <c r="L148" s="313"/>
    </row>
    <row r="149" spans="1:12" x14ac:dyDescent="0.25">
      <c r="A149" s="369">
        <v>3713907</v>
      </c>
      <c r="B149" s="370" t="s">
        <v>509</v>
      </c>
      <c r="C149" s="370" t="s">
        <v>2443</v>
      </c>
      <c r="D149" s="370" t="str">
        <f t="shared" si="2"/>
        <v>3713907__MAN</v>
      </c>
      <c r="E149" s="370" t="s">
        <v>260</v>
      </c>
      <c r="F149" s="371">
        <v>3722059</v>
      </c>
      <c r="G149" s="372">
        <v>10.82</v>
      </c>
      <c r="H149" s="371">
        <v>21392.914126226537</v>
      </c>
      <c r="I149" s="371">
        <v>19707.485117665739</v>
      </c>
      <c r="J149" s="373">
        <v>20105.325819103145</v>
      </c>
      <c r="K149" s="313"/>
      <c r="L149" s="313"/>
    </row>
    <row r="150" spans="1:12" x14ac:dyDescent="0.25">
      <c r="A150" s="369">
        <v>3713907</v>
      </c>
      <c r="B150" s="370" t="s">
        <v>509</v>
      </c>
      <c r="C150" s="370" t="s">
        <v>2444</v>
      </c>
      <c r="D150" s="370" t="str">
        <f t="shared" si="2"/>
        <v>3713907__PPPs</v>
      </c>
      <c r="E150" s="370" t="s">
        <v>260</v>
      </c>
      <c r="F150" s="371">
        <v>15792545</v>
      </c>
      <c r="G150" s="372">
        <v>28.524000000000001</v>
      </c>
      <c r="H150" s="371">
        <v>34431.476836125083</v>
      </c>
      <c r="I150" s="371">
        <v>30782.909746017394</v>
      </c>
      <c r="J150" s="373">
        <v>26849.811948652292</v>
      </c>
      <c r="K150" s="313"/>
      <c r="L150" s="313"/>
    </row>
    <row r="151" spans="1:12" x14ac:dyDescent="0.25">
      <c r="A151" s="369">
        <v>3713907</v>
      </c>
      <c r="B151" s="370" t="s">
        <v>509</v>
      </c>
      <c r="C151" s="370" t="s">
        <v>2445</v>
      </c>
      <c r="D151" s="370" t="str">
        <f t="shared" si="2"/>
        <v>3713907__PPPz</v>
      </c>
      <c r="E151" s="370" t="s">
        <v>260</v>
      </c>
      <c r="F151" s="371">
        <v>4706795</v>
      </c>
      <c r="G151" s="372">
        <v>8</v>
      </c>
      <c r="H151" s="371">
        <v>36588.891480099504</v>
      </c>
      <c r="I151" s="371">
        <v>33965.926401911653</v>
      </c>
      <c r="J151" s="373">
        <v>36044.095698462443</v>
      </c>
      <c r="K151" s="313"/>
      <c r="L151" s="313"/>
    </row>
    <row r="152" spans="1:12" ht="15.75" thickBot="1" x14ac:dyDescent="0.3">
      <c r="A152" s="374">
        <v>3713907</v>
      </c>
      <c r="B152" s="375" t="s">
        <v>509</v>
      </c>
      <c r="C152" s="375" t="s">
        <v>2446</v>
      </c>
      <c r="D152" s="375" t="str">
        <f t="shared" si="2"/>
        <v>3713907__VED</v>
      </c>
      <c r="E152" s="375" t="s">
        <v>260</v>
      </c>
      <c r="F152" s="376">
        <v>1660156</v>
      </c>
      <c r="G152" s="377">
        <v>1</v>
      </c>
      <c r="H152" s="376">
        <v>103243.53233830846</v>
      </c>
      <c r="I152" s="376">
        <v>52975.655018000631</v>
      </c>
      <c r="J152" s="378">
        <v>43951.633169033259</v>
      </c>
      <c r="K152" s="313"/>
      <c r="L152" s="313"/>
    </row>
    <row r="153" spans="1:12" x14ac:dyDescent="0.25">
      <c r="A153" s="364">
        <v>4167967</v>
      </c>
      <c r="B153" s="365" t="s">
        <v>760</v>
      </c>
      <c r="C153" s="365" t="s">
        <v>2442</v>
      </c>
      <c r="D153" s="365" t="str">
        <f t="shared" si="2"/>
        <v>4167967__ADM</v>
      </c>
      <c r="E153" s="365" t="s">
        <v>260</v>
      </c>
      <c r="F153" s="366">
        <v>2101810</v>
      </c>
      <c r="G153" s="367">
        <v>4.0140000000000002</v>
      </c>
      <c r="H153" s="366">
        <v>32563.422300555019</v>
      </c>
      <c r="I153" s="366">
        <v>43104.858233894309</v>
      </c>
      <c r="J153" s="368">
        <v>38182.910235907912</v>
      </c>
      <c r="K153" s="313"/>
      <c r="L153" s="313"/>
    </row>
    <row r="154" spans="1:12" x14ac:dyDescent="0.25">
      <c r="A154" s="369">
        <v>4167967</v>
      </c>
      <c r="B154" s="370" t="s">
        <v>760</v>
      </c>
      <c r="C154" s="370" t="s">
        <v>2443</v>
      </c>
      <c r="D154" s="370" t="str">
        <f t="shared" si="2"/>
        <v>4167967__MAN</v>
      </c>
      <c r="E154" s="370" t="s">
        <v>260</v>
      </c>
      <c r="F154" s="371">
        <v>1043411</v>
      </c>
      <c r="G154" s="372">
        <v>3.35</v>
      </c>
      <c r="H154" s="371">
        <v>19369.774263013289</v>
      </c>
      <c r="I154" s="371">
        <v>19707.485117665739</v>
      </c>
      <c r="J154" s="373">
        <v>20105.325819103145</v>
      </c>
      <c r="K154" s="313"/>
      <c r="L154" s="313"/>
    </row>
    <row r="155" spans="1:12" x14ac:dyDescent="0.25">
      <c r="A155" s="369">
        <v>4167967</v>
      </c>
      <c r="B155" s="370" t="s">
        <v>760</v>
      </c>
      <c r="C155" s="370" t="s">
        <v>2444</v>
      </c>
      <c r="D155" s="370" t="str">
        <f t="shared" si="2"/>
        <v>4167967__PPPs</v>
      </c>
      <c r="E155" s="370" t="s">
        <v>260</v>
      </c>
      <c r="F155" s="371">
        <v>9930565</v>
      </c>
      <c r="G155" s="372">
        <v>26.7879</v>
      </c>
      <c r="H155" s="371">
        <v>23054.156923415281</v>
      </c>
      <c r="I155" s="371">
        <v>30782.909746017394</v>
      </c>
      <c r="J155" s="373">
        <v>26849.811948652292</v>
      </c>
      <c r="K155" s="313"/>
      <c r="L155" s="313"/>
    </row>
    <row r="156" spans="1:12" x14ac:dyDescent="0.25">
      <c r="A156" s="369">
        <v>4167967</v>
      </c>
      <c r="B156" s="370" t="s">
        <v>760</v>
      </c>
      <c r="C156" s="370" t="s">
        <v>2445</v>
      </c>
      <c r="D156" s="370" t="str">
        <f t="shared" si="2"/>
        <v>4167967__PPPz</v>
      </c>
      <c r="E156" s="370" t="s">
        <v>260</v>
      </c>
      <c r="F156" s="371">
        <v>4058194</v>
      </c>
      <c r="G156" s="372">
        <v>8.35</v>
      </c>
      <c r="H156" s="371">
        <v>30224.580689367536</v>
      </c>
      <c r="I156" s="371">
        <v>33965.926401911653</v>
      </c>
      <c r="J156" s="373">
        <v>36044.095698462443</v>
      </c>
      <c r="K156" s="313"/>
      <c r="L156" s="313"/>
    </row>
    <row r="157" spans="1:12" ht="15.75" thickBot="1" x14ac:dyDescent="0.3">
      <c r="A157" s="374">
        <v>4167967</v>
      </c>
      <c r="B157" s="375" t="s">
        <v>760</v>
      </c>
      <c r="C157" s="375" t="s">
        <v>2446</v>
      </c>
      <c r="D157" s="375" t="str">
        <f t="shared" si="2"/>
        <v>4167967__VED</v>
      </c>
      <c r="E157" s="375" t="s">
        <v>260</v>
      </c>
      <c r="F157" s="376">
        <v>431212</v>
      </c>
      <c r="G157" s="377">
        <v>0.57999999999999996</v>
      </c>
      <c r="H157" s="376">
        <v>46235.632183908048</v>
      </c>
      <c r="I157" s="376">
        <v>52975.655018000631</v>
      </c>
      <c r="J157" s="378">
        <v>43951.633169033259</v>
      </c>
      <c r="K157" s="313"/>
      <c r="L157" s="313"/>
    </row>
    <row r="158" spans="1:12" x14ac:dyDescent="0.25">
      <c r="A158" s="364">
        <v>4721932</v>
      </c>
      <c r="B158" s="365" t="s">
        <v>420</v>
      </c>
      <c r="C158" s="365" t="s">
        <v>2442</v>
      </c>
      <c r="D158" s="365" t="str">
        <f t="shared" si="2"/>
        <v>4721932__ADM</v>
      </c>
      <c r="E158" s="365" t="s">
        <v>260</v>
      </c>
      <c r="F158" s="366">
        <v>1539456</v>
      </c>
      <c r="G158" s="367">
        <v>3</v>
      </c>
      <c r="H158" s="366">
        <v>31912.43781094527</v>
      </c>
      <c r="I158" s="366">
        <v>43104.858233894309</v>
      </c>
      <c r="J158" s="368">
        <v>38182.910235907912</v>
      </c>
      <c r="K158" s="313"/>
      <c r="L158" s="313"/>
    </row>
    <row r="159" spans="1:12" x14ac:dyDescent="0.25">
      <c r="A159" s="369">
        <v>4721932</v>
      </c>
      <c r="B159" s="370" t="s">
        <v>420</v>
      </c>
      <c r="C159" s="370" t="s">
        <v>2443</v>
      </c>
      <c r="D159" s="370" t="str">
        <f t="shared" si="2"/>
        <v>4721932__MAN</v>
      </c>
      <c r="E159" s="370" t="s">
        <v>260</v>
      </c>
      <c r="F159" s="371">
        <v>5453660</v>
      </c>
      <c r="G159" s="372">
        <v>18.172000000000001</v>
      </c>
      <c r="H159" s="371">
        <v>18663.766244717419</v>
      </c>
      <c r="I159" s="371">
        <v>19707.485117665739</v>
      </c>
      <c r="J159" s="373">
        <v>20105.325819103145</v>
      </c>
      <c r="K159" s="313"/>
      <c r="L159" s="313"/>
    </row>
    <row r="160" spans="1:12" x14ac:dyDescent="0.25">
      <c r="A160" s="369">
        <v>4721932</v>
      </c>
      <c r="B160" s="370" t="s">
        <v>420</v>
      </c>
      <c r="C160" s="370" t="s">
        <v>2444</v>
      </c>
      <c r="D160" s="370" t="str">
        <f t="shared" si="2"/>
        <v>4721932__PPPs</v>
      </c>
      <c r="E160" s="370" t="s">
        <v>260</v>
      </c>
      <c r="F160" s="371">
        <v>19324713</v>
      </c>
      <c r="G160" s="372">
        <v>42.042000000000002</v>
      </c>
      <c r="H160" s="371">
        <v>28585.358316168546</v>
      </c>
      <c r="I160" s="371">
        <v>30782.909746017394</v>
      </c>
      <c r="J160" s="373">
        <v>26849.811948652292</v>
      </c>
      <c r="K160" s="313"/>
      <c r="L160" s="313"/>
    </row>
    <row r="161" spans="1:12" x14ac:dyDescent="0.25">
      <c r="A161" s="369">
        <v>4721932</v>
      </c>
      <c r="B161" s="370" t="s">
        <v>420</v>
      </c>
      <c r="C161" s="370" t="s">
        <v>2445</v>
      </c>
      <c r="D161" s="370" t="str">
        <f t="shared" si="2"/>
        <v>4721932__PPPz</v>
      </c>
      <c r="E161" s="370" t="s">
        <v>260</v>
      </c>
      <c r="F161" s="371">
        <v>6652586</v>
      </c>
      <c r="G161" s="372">
        <v>14.5395</v>
      </c>
      <c r="H161" s="371">
        <v>28454.763563112254</v>
      </c>
      <c r="I161" s="371">
        <v>33965.926401911653</v>
      </c>
      <c r="J161" s="373">
        <v>36044.095698462443</v>
      </c>
      <c r="K161" s="313"/>
      <c r="L161" s="313"/>
    </row>
    <row r="162" spans="1:12" ht="15.75" thickBot="1" x14ac:dyDescent="0.3">
      <c r="A162" s="374">
        <v>4721932</v>
      </c>
      <c r="B162" s="375" t="s">
        <v>420</v>
      </c>
      <c r="C162" s="375" t="s">
        <v>2446</v>
      </c>
      <c r="D162" s="375" t="str">
        <f t="shared" si="2"/>
        <v>4721932__VED</v>
      </c>
      <c r="E162" s="375" t="s">
        <v>260</v>
      </c>
      <c r="F162" s="376">
        <v>1865255</v>
      </c>
      <c r="G162" s="377">
        <v>2</v>
      </c>
      <c r="H162" s="376">
        <v>57999.22263681591</v>
      </c>
      <c r="I162" s="376">
        <v>52975.655018000631</v>
      </c>
      <c r="J162" s="378">
        <v>43951.633169033259</v>
      </c>
      <c r="K162" s="313"/>
      <c r="L162" s="313"/>
    </row>
    <row r="163" spans="1:12" x14ac:dyDescent="0.25">
      <c r="A163" s="364">
        <v>5000179</v>
      </c>
      <c r="B163" s="365" t="s">
        <v>257</v>
      </c>
      <c r="C163" s="365" t="s">
        <v>2442</v>
      </c>
      <c r="D163" s="365" t="str">
        <f t="shared" si="2"/>
        <v>5000179__ADM</v>
      </c>
      <c r="E163" s="365" t="s">
        <v>260</v>
      </c>
      <c r="F163" s="366">
        <v>1354511</v>
      </c>
      <c r="G163" s="367">
        <v>2</v>
      </c>
      <c r="H163" s="366">
        <v>42117.879353233831</v>
      </c>
      <c r="I163" s="366">
        <v>43104.858233894309</v>
      </c>
      <c r="J163" s="368">
        <v>38182.910235907912</v>
      </c>
      <c r="K163" s="313"/>
      <c r="L163" s="313"/>
    </row>
    <row r="164" spans="1:12" x14ac:dyDescent="0.25">
      <c r="A164" s="369">
        <v>5000179</v>
      </c>
      <c r="B164" s="370" t="s">
        <v>257</v>
      </c>
      <c r="C164" s="370" t="s">
        <v>2443</v>
      </c>
      <c r="D164" s="370" t="str">
        <f t="shared" si="2"/>
        <v>5000179__MAN</v>
      </c>
      <c r="E164" s="370" t="s">
        <v>260</v>
      </c>
      <c r="F164" s="371">
        <v>3815641</v>
      </c>
      <c r="G164" s="372">
        <v>12</v>
      </c>
      <c r="H164" s="371">
        <v>19774.258913764508</v>
      </c>
      <c r="I164" s="371">
        <v>19707.485117665739</v>
      </c>
      <c r="J164" s="373">
        <v>20105.325819103145</v>
      </c>
      <c r="K164" s="313"/>
      <c r="L164" s="313"/>
    </row>
    <row r="165" spans="1:12" x14ac:dyDescent="0.25">
      <c r="A165" s="369">
        <v>5000179</v>
      </c>
      <c r="B165" s="370" t="s">
        <v>257</v>
      </c>
      <c r="C165" s="370" t="s">
        <v>2444</v>
      </c>
      <c r="D165" s="370" t="str">
        <f t="shared" si="2"/>
        <v>5000179__PPPs</v>
      </c>
      <c r="E165" s="370" t="s">
        <v>260</v>
      </c>
      <c r="F165" s="371">
        <v>28539278</v>
      </c>
      <c r="G165" s="372">
        <v>57.14</v>
      </c>
      <c r="H165" s="371">
        <v>31061.090678912049</v>
      </c>
      <c r="I165" s="371">
        <v>30782.909746017394</v>
      </c>
      <c r="J165" s="373">
        <v>26849.811948652292</v>
      </c>
      <c r="K165" s="313"/>
      <c r="L165" s="313"/>
    </row>
    <row r="166" spans="1:12" x14ac:dyDescent="0.25">
      <c r="A166" s="369">
        <v>5000179</v>
      </c>
      <c r="B166" s="370" t="s">
        <v>257</v>
      </c>
      <c r="C166" s="370" t="s">
        <v>2445</v>
      </c>
      <c r="D166" s="370" t="str">
        <f t="shared" si="2"/>
        <v>5000179__PPPz</v>
      </c>
      <c r="E166" s="370" t="s">
        <v>260</v>
      </c>
      <c r="F166" s="371">
        <v>5768803</v>
      </c>
      <c r="G166" s="372">
        <v>9.1560000000000006</v>
      </c>
      <c r="H166" s="371">
        <v>39182.656779449186</v>
      </c>
      <c r="I166" s="371">
        <v>33965.926401911653</v>
      </c>
      <c r="J166" s="373">
        <v>36044.095698462443</v>
      </c>
      <c r="K166" s="313"/>
      <c r="L166" s="313"/>
    </row>
    <row r="167" spans="1:12" ht="15.75" thickBot="1" x14ac:dyDescent="0.3">
      <c r="A167" s="374">
        <v>5000179</v>
      </c>
      <c r="B167" s="375" t="s">
        <v>257</v>
      </c>
      <c r="C167" s="375" t="s">
        <v>2446</v>
      </c>
      <c r="D167" s="375" t="str">
        <f t="shared" si="2"/>
        <v>5000179__VED</v>
      </c>
      <c r="E167" s="375" t="s">
        <v>260</v>
      </c>
      <c r="F167" s="376">
        <v>525283</v>
      </c>
      <c r="G167" s="377">
        <v>1.6</v>
      </c>
      <c r="H167" s="376">
        <v>20416.783271144275</v>
      </c>
      <c r="I167" s="376">
        <v>52975.655018000631</v>
      </c>
      <c r="J167" s="378">
        <v>43951.633169033259</v>
      </c>
      <c r="K167" s="313"/>
      <c r="L167" s="313"/>
    </row>
    <row r="168" spans="1:12" x14ac:dyDescent="0.25">
      <c r="A168" s="364">
        <v>6945387</v>
      </c>
      <c r="B168" s="365" t="s">
        <v>523</v>
      </c>
      <c r="C168" s="365" t="s">
        <v>2442</v>
      </c>
      <c r="D168" s="365" t="str">
        <f t="shared" si="2"/>
        <v>6945387__ADM</v>
      </c>
      <c r="E168" s="365" t="s">
        <v>260</v>
      </c>
      <c r="F168" s="366">
        <v>447075</v>
      </c>
      <c r="G168" s="367">
        <v>0.9264</v>
      </c>
      <c r="H168" s="366">
        <v>30012.059198824529</v>
      </c>
      <c r="I168" s="366">
        <v>43104.858233894309</v>
      </c>
      <c r="J168" s="368">
        <v>38182.910235907912</v>
      </c>
      <c r="K168" s="313"/>
      <c r="L168" s="313"/>
    </row>
    <row r="169" spans="1:12" x14ac:dyDescent="0.25">
      <c r="A169" s="369">
        <v>6945387</v>
      </c>
      <c r="B169" s="370" t="s">
        <v>523</v>
      </c>
      <c r="C169" s="370" t="s">
        <v>2443</v>
      </c>
      <c r="D169" s="370" t="str">
        <f t="shared" si="2"/>
        <v>6945387__MAN</v>
      </c>
      <c r="E169" s="370" t="s">
        <v>260</v>
      </c>
      <c r="F169" s="371">
        <v>2309550</v>
      </c>
      <c r="G169" s="372">
        <v>8.92</v>
      </c>
      <c r="H169" s="371">
        <v>16101.875711130446</v>
      </c>
      <c r="I169" s="371">
        <v>19707.485117665739</v>
      </c>
      <c r="J169" s="373">
        <v>20105.325819103145</v>
      </c>
      <c r="K169" s="313"/>
      <c r="L169" s="313"/>
    </row>
    <row r="170" spans="1:12" x14ac:dyDescent="0.25">
      <c r="A170" s="369">
        <v>6945387</v>
      </c>
      <c r="B170" s="370" t="s">
        <v>523</v>
      </c>
      <c r="C170" s="370" t="s">
        <v>2444</v>
      </c>
      <c r="D170" s="370" t="str">
        <f t="shared" si="2"/>
        <v>6945387__PPPs</v>
      </c>
      <c r="E170" s="370" t="s">
        <v>260</v>
      </c>
      <c r="F170" s="371">
        <v>7911411</v>
      </c>
      <c r="G170" s="372">
        <v>16.584</v>
      </c>
      <c r="H170" s="371">
        <v>29667.340306427337</v>
      </c>
      <c r="I170" s="371">
        <v>30782.909746017394</v>
      </c>
      <c r="J170" s="373">
        <v>26849.811948652292</v>
      </c>
      <c r="K170" s="313"/>
      <c r="L170" s="313"/>
    </row>
    <row r="171" spans="1:12" x14ac:dyDescent="0.25">
      <c r="A171" s="369">
        <v>6945387</v>
      </c>
      <c r="B171" s="370" t="s">
        <v>523</v>
      </c>
      <c r="C171" s="370" t="s">
        <v>2445</v>
      </c>
      <c r="D171" s="370" t="str">
        <f t="shared" si="2"/>
        <v>6945387__PPPz</v>
      </c>
      <c r="E171" s="370" t="s">
        <v>260</v>
      </c>
      <c r="F171" s="371">
        <v>4054979</v>
      </c>
      <c r="G171" s="372">
        <v>5.0999999999999996</v>
      </c>
      <c r="H171" s="371">
        <v>49446.139401034045</v>
      </c>
      <c r="I171" s="371">
        <v>33965.926401911653</v>
      </c>
      <c r="J171" s="373">
        <v>36044.095698462443</v>
      </c>
      <c r="K171" s="313"/>
      <c r="L171" s="313"/>
    </row>
    <row r="172" spans="1:12" ht="15.75" thickBot="1" x14ac:dyDescent="0.3">
      <c r="A172" s="374">
        <v>6945387</v>
      </c>
      <c r="B172" s="375" t="s">
        <v>523</v>
      </c>
      <c r="C172" s="375" t="s">
        <v>2446</v>
      </c>
      <c r="D172" s="375" t="str">
        <f t="shared" si="2"/>
        <v>6945387__VED</v>
      </c>
      <c r="E172" s="375" t="s">
        <v>260</v>
      </c>
      <c r="F172" s="376">
        <v>732751</v>
      </c>
      <c r="G172" s="377">
        <v>1</v>
      </c>
      <c r="H172" s="376">
        <v>45569.092039800991</v>
      </c>
      <c r="I172" s="376">
        <v>52975.655018000631</v>
      </c>
      <c r="J172" s="378">
        <v>43951.633169033259</v>
      </c>
      <c r="K172" s="313"/>
      <c r="L172" s="313"/>
    </row>
    <row r="173" spans="1:12" x14ac:dyDescent="0.25">
      <c r="A173" s="364">
        <v>8338145</v>
      </c>
      <c r="B173" s="365" t="s">
        <v>485</v>
      </c>
      <c r="C173" s="365" t="s">
        <v>2442</v>
      </c>
      <c r="D173" s="365" t="str">
        <f t="shared" si="2"/>
        <v>8338145__ADM</v>
      </c>
      <c r="E173" s="365" t="s">
        <v>260</v>
      </c>
      <c r="F173" s="366">
        <v>448842</v>
      </c>
      <c r="G173" s="367">
        <v>0.3458</v>
      </c>
      <c r="H173" s="366">
        <v>80720.242051742433</v>
      </c>
      <c r="I173" s="366">
        <v>43104.858233894309</v>
      </c>
      <c r="J173" s="368">
        <v>38182.910235907912</v>
      </c>
      <c r="K173" s="313"/>
      <c r="L173" s="313"/>
    </row>
    <row r="174" spans="1:12" x14ac:dyDescent="0.25">
      <c r="A174" s="369">
        <v>8338145</v>
      </c>
      <c r="B174" s="370" t="s">
        <v>485</v>
      </c>
      <c r="C174" s="370" t="s">
        <v>2443</v>
      </c>
      <c r="D174" s="370" t="str">
        <f t="shared" si="2"/>
        <v>8338145__MAN</v>
      </c>
      <c r="E174" s="370" t="s">
        <v>260</v>
      </c>
      <c r="F174" s="371">
        <v>343326</v>
      </c>
      <c r="G174" s="372">
        <v>1.004</v>
      </c>
      <c r="H174" s="371">
        <v>21266.055182256048</v>
      </c>
      <c r="I174" s="371">
        <v>19707.485117665739</v>
      </c>
      <c r="J174" s="373">
        <v>20105.325819103145</v>
      </c>
      <c r="K174" s="313"/>
      <c r="L174" s="313"/>
    </row>
    <row r="175" spans="1:12" x14ac:dyDescent="0.25">
      <c r="A175" s="369">
        <v>8338145</v>
      </c>
      <c r="B175" s="370" t="s">
        <v>485</v>
      </c>
      <c r="C175" s="370" t="s">
        <v>2444</v>
      </c>
      <c r="D175" s="370" t="str">
        <f t="shared" si="2"/>
        <v>8338145__PPPs</v>
      </c>
      <c r="E175" s="370" t="s">
        <v>260</v>
      </c>
      <c r="F175" s="371">
        <v>2474408</v>
      </c>
      <c r="G175" s="372">
        <v>4.21</v>
      </c>
      <c r="H175" s="371">
        <v>36551.328866357049</v>
      </c>
      <c r="I175" s="371">
        <v>30782.909746017394</v>
      </c>
      <c r="J175" s="373">
        <v>26849.811948652292</v>
      </c>
      <c r="K175" s="313"/>
      <c r="L175" s="313"/>
    </row>
    <row r="176" spans="1:12" x14ac:dyDescent="0.25">
      <c r="A176" s="369">
        <v>8338145</v>
      </c>
      <c r="B176" s="370" t="s">
        <v>485</v>
      </c>
      <c r="C176" s="370" t="s">
        <v>2445</v>
      </c>
      <c r="D176" s="370" t="str">
        <f t="shared" si="2"/>
        <v>8338145__PPPz</v>
      </c>
      <c r="E176" s="370" t="s">
        <v>260</v>
      </c>
      <c r="F176" s="371">
        <v>517073</v>
      </c>
      <c r="G176" s="372">
        <v>0.77610000000000001</v>
      </c>
      <c r="H176" s="371">
        <v>41433.167239437389</v>
      </c>
      <c r="I176" s="371">
        <v>33965.926401911653</v>
      </c>
      <c r="J176" s="373">
        <v>36044.095698462443</v>
      </c>
      <c r="K176" s="313"/>
      <c r="L176" s="313"/>
    </row>
    <row r="177" spans="1:12" ht="15.75" thickBot="1" x14ac:dyDescent="0.3">
      <c r="A177" s="374">
        <v>8338145</v>
      </c>
      <c r="B177" s="375" t="s">
        <v>485</v>
      </c>
      <c r="C177" s="375" t="s">
        <v>2446</v>
      </c>
      <c r="D177" s="375" t="str">
        <f t="shared" si="2"/>
        <v>8338145__VED</v>
      </c>
      <c r="E177" s="375" t="s">
        <v>260</v>
      </c>
      <c r="F177" s="376">
        <v>138360</v>
      </c>
      <c r="G177" s="377">
        <v>0.1416</v>
      </c>
      <c r="H177" s="376">
        <v>60766.084830086846</v>
      </c>
      <c r="I177" s="376">
        <v>52975.655018000631</v>
      </c>
      <c r="J177" s="378">
        <v>43951.633169033259</v>
      </c>
      <c r="K177" s="313"/>
      <c r="L177" s="313"/>
    </row>
    <row r="178" spans="1:12" x14ac:dyDescent="0.25">
      <c r="A178" s="364">
        <v>9264829</v>
      </c>
      <c r="B178" s="365" t="s">
        <v>358</v>
      </c>
      <c r="C178" s="365" t="s">
        <v>2442</v>
      </c>
      <c r="D178" s="365" t="str">
        <f t="shared" si="2"/>
        <v>9264829__ADM</v>
      </c>
      <c r="E178" s="365" t="s">
        <v>260</v>
      </c>
      <c r="F178" s="366">
        <v>304494</v>
      </c>
      <c r="G178" s="367">
        <v>0.8</v>
      </c>
      <c r="H178" s="366">
        <v>23670.242537313432</v>
      </c>
      <c r="I178" s="366">
        <v>43104.858233894309</v>
      </c>
      <c r="J178" s="368">
        <v>38182.910235907912</v>
      </c>
      <c r="K178" s="313"/>
      <c r="L178" s="313"/>
    </row>
    <row r="179" spans="1:12" x14ac:dyDescent="0.25">
      <c r="A179" s="369">
        <v>9264829</v>
      </c>
      <c r="B179" s="370" t="s">
        <v>358</v>
      </c>
      <c r="C179" s="370" t="s">
        <v>2443</v>
      </c>
      <c r="D179" s="370" t="str">
        <f t="shared" si="2"/>
        <v>9264829__MAN</v>
      </c>
      <c r="E179" s="370" t="s">
        <v>260</v>
      </c>
      <c r="F179" s="371">
        <v>505179</v>
      </c>
      <c r="G179" s="372">
        <v>1.24</v>
      </c>
      <c r="H179" s="371">
        <v>25335.971352912853</v>
      </c>
      <c r="I179" s="371">
        <v>19707.485117665739</v>
      </c>
      <c r="J179" s="373">
        <v>20105.325819103145</v>
      </c>
      <c r="K179" s="313"/>
      <c r="L179" s="313"/>
    </row>
    <row r="180" spans="1:12" x14ac:dyDescent="0.25">
      <c r="A180" s="369">
        <v>9264829</v>
      </c>
      <c r="B180" s="370" t="s">
        <v>358</v>
      </c>
      <c r="C180" s="370" t="s">
        <v>2444</v>
      </c>
      <c r="D180" s="370" t="str">
        <f t="shared" si="2"/>
        <v>9264829__PPPs</v>
      </c>
      <c r="E180" s="370" t="s">
        <v>260</v>
      </c>
      <c r="F180" s="371">
        <v>5775653</v>
      </c>
      <c r="G180" s="372">
        <v>8.1568000000000005</v>
      </c>
      <c r="H180" s="371">
        <v>44034.719558835866</v>
      </c>
      <c r="I180" s="371">
        <v>30782.909746017394</v>
      </c>
      <c r="J180" s="373">
        <v>26849.811948652292</v>
      </c>
      <c r="K180" s="313"/>
      <c r="L180" s="313"/>
    </row>
    <row r="181" spans="1:12" x14ac:dyDescent="0.25">
      <c r="A181" s="369">
        <v>9264829</v>
      </c>
      <c r="B181" s="370" t="s">
        <v>358</v>
      </c>
      <c r="C181" s="370" t="s">
        <v>2445</v>
      </c>
      <c r="D181" s="370" t="str">
        <f t="shared" si="2"/>
        <v>9264829__PPPz</v>
      </c>
      <c r="E181" s="370" t="s">
        <v>260</v>
      </c>
      <c r="F181" s="371">
        <v>1050172</v>
      </c>
      <c r="G181" s="372">
        <v>6.2</v>
      </c>
      <c r="H181" s="371">
        <v>10533.742577435401</v>
      </c>
      <c r="I181" s="371">
        <v>33965.926401911653</v>
      </c>
      <c r="J181" s="373">
        <v>36044.095698462443</v>
      </c>
      <c r="K181" s="313"/>
      <c r="L181" s="313"/>
    </row>
    <row r="182" spans="1:12" ht="15.75" thickBot="1" x14ac:dyDescent="0.3">
      <c r="A182" s="374">
        <v>9264829</v>
      </c>
      <c r="B182" s="375" t="s">
        <v>358</v>
      </c>
      <c r="C182" s="375" t="s">
        <v>2446</v>
      </c>
      <c r="D182" s="375" t="str">
        <f t="shared" si="2"/>
        <v>9264829__VED</v>
      </c>
      <c r="E182" s="375" t="s">
        <v>260</v>
      </c>
      <c r="F182" s="376">
        <v>638416</v>
      </c>
      <c r="G182" s="377">
        <v>0.8</v>
      </c>
      <c r="H182" s="376">
        <v>49628.109452736317</v>
      </c>
      <c r="I182" s="376">
        <v>52975.655018000631</v>
      </c>
      <c r="J182" s="378">
        <v>43951.633169033259</v>
      </c>
      <c r="K182" s="313"/>
      <c r="L182" s="313"/>
    </row>
    <row r="183" spans="1:12" x14ac:dyDescent="0.25">
      <c r="A183" s="364">
        <v>9445282</v>
      </c>
      <c r="B183" s="365" t="s">
        <v>506</v>
      </c>
      <c r="C183" s="365" t="s">
        <v>2442</v>
      </c>
      <c r="D183" s="365" t="str">
        <f t="shared" si="2"/>
        <v>9445282__ADM</v>
      </c>
      <c r="E183" s="365" t="s">
        <v>260</v>
      </c>
      <c r="F183" s="366">
        <v>2061847</v>
      </c>
      <c r="G183" s="367">
        <v>3</v>
      </c>
      <c r="H183" s="366">
        <v>42741.43864013267</v>
      </c>
      <c r="I183" s="366">
        <v>43104.858233894309</v>
      </c>
      <c r="J183" s="368">
        <v>38182.910235907912</v>
      </c>
      <c r="K183" s="313"/>
      <c r="L183" s="313"/>
    </row>
    <row r="184" spans="1:12" x14ac:dyDescent="0.25">
      <c r="A184" s="369">
        <v>9445282</v>
      </c>
      <c r="B184" s="370" t="s">
        <v>506</v>
      </c>
      <c r="C184" s="370" t="s">
        <v>2443</v>
      </c>
      <c r="D184" s="370" t="str">
        <f t="shared" si="2"/>
        <v>9445282__MAN</v>
      </c>
      <c r="E184" s="370" t="s">
        <v>260</v>
      </c>
      <c r="F184" s="371">
        <v>5220810</v>
      </c>
      <c r="G184" s="372">
        <v>16.66</v>
      </c>
      <c r="H184" s="371">
        <v>19488.429700238303</v>
      </c>
      <c r="I184" s="371">
        <v>19707.485117665739</v>
      </c>
      <c r="J184" s="373">
        <v>20105.325819103145</v>
      </c>
      <c r="K184" s="313"/>
      <c r="L184" s="313"/>
    </row>
    <row r="185" spans="1:12" x14ac:dyDescent="0.25">
      <c r="A185" s="369">
        <v>9445282</v>
      </c>
      <c r="B185" s="370" t="s">
        <v>506</v>
      </c>
      <c r="C185" s="370" t="s">
        <v>2444</v>
      </c>
      <c r="D185" s="370" t="str">
        <f t="shared" si="2"/>
        <v>9445282__PPPs</v>
      </c>
      <c r="E185" s="370" t="s">
        <v>260</v>
      </c>
      <c r="F185" s="371">
        <v>13565425</v>
      </c>
      <c r="G185" s="372">
        <v>29.904</v>
      </c>
      <c r="H185" s="371">
        <v>28210.973706241395</v>
      </c>
      <c r="I185" s="371">
        <v>30782.909746017394</v>
      </c>
      <c r="J185" s="373">
        <v>26849.811948652292</v>
      </c>
      <c r="K185" s="313"/>
      <c r="L185" s="313"/>
    </row>
    <row r="186" spans="1:12" x14ac:dyDescent="0.25">
      <c r="A186" s="369">
        <v>9445282</v>
      </c>
      <c r="B186" s="370" t="s">
        <v>506</v>
      </c>
      <c r="C186" s="370" t="s">
        <v>2445</v>
      </c>
      <c r="D186" s="370" t="str">
        <f t="shared" si="2"/>
        <v>9445282__PPPz</v>
      </c>
      <c r="E186" s="370" t="s">
        <v>260</v>
      </c>
      <c r="F186" s="371">
        <v>4350721</v>
      </c>
      <c r="G186" s="372">
        <v>6</v>
      </c>
      <c r="H186" s="371">
        <v>45094.537728026531</v>
      </c>
      <c r="I186" s="371">
        <v>33965.926401911653</v>
      </c>
      <c r="J186" s="373">
        <v>36044.095698462443</v>
      </c>
      <c r="K186" s="313"/>
      <c r="L186" s="313"/>
    </row>
    <row r="187" spans="1:12" ht="15.75" thickBot="1" x14ac:dyDescent="0.3">
      <c r="A187" s="374">
        <v>9445282</v>
      </c>
      <c r="B187" s="375" t="s">
        <v>506</v>
      </c>
      <c r="C187" s="375" t="s">
        <v>2446</v>
      </c>
      <c r="D187" s="375" t="str">
        <f t="shared" si="2"/>
        <v>9445282__VED</v>
      </c>
      <c r="E187" s="375" t="s">
        <v>260</v>
      </c>
      <c r="F187" s="376">
        <v>1045464</v>
      </c>
      <c r="G187" s="377">
        <v>1</v>
      </c>
      <c r="H187" s="376">
        <v>65016.417910447759</v>
      </c>
      <c r="I187" s="376">
        <v>52975.655018000631</v>
      </c>
      <c r="J187" s="378">
        <v>43951.633169033259</v>
      </c>
      <c r="K187" s="313"/>
      <c r="L187" s="313"/>
    </row>
    <row r="188" spans="1:12" x14ac:dyDescent="0.25">
      <c r="A188" s="364">
        <v>1109434</v>
      </c>
      <c r="B188" s="365" t="s">
        <v>1003</v>
      </c>
      <c r="C188" s="365" t="s">
        <v>2442</v>
      </c>
      <c r="D188" s="365" t="str">
        <f t="shared" si="2"/>
        <v>1109434__ADM</v>
      </c>
      <c r="E188" s="365" t="s">
        <v>348</v>
      </c>
      <c r="F188" s="366">
        <v>1466764</v>
      </c>
      <c r="G188" s="367">
        <v>1</v>
      </c>
      <c r="H188" s="366">
        <v>91216.666666666657</v>
      </c>
      <c r="I188" s="366">
        <v>38143.274999599584</v>
      </c>
      <c r="J188" s="368">
        <v>34618.393616321009</v>
      </c>
      <c r="K188" s="313"/>
      <c r="L188" s="313"/>
    </row>
    <row r="189" spans="1:12" x14ac:dyDescent="0.25">
      <c r="A189" s="369">
        <v>1109434</v>
      </c>
      <c r="B189" s="370" t="s">
        <v>1003</v>
      </c>
      <c r="C189" s="370" t="s">
        <v>2443</v>
      </c>
      <c r="D189" s="370" t="str">
        <f t="shared" si="2"/>
        <v>1109434__MAN</v>
      </c>
      <c r="E189" s="370" t="s">
        <v>348</v>
      </c>
      <c r="F189" s="371">
        <v>3068516</v>
      </c>
      <c r="G189" s="372">
        <v>11.6</v>
      </c>
      <c r="H189" s="371">
        <v>16450.699090753133</v>
      </c>
      <c r="I189" s="371">
        <v>20421.948149637723</v>
      </c>
      <c r="J189" s="373">
        <v>19820.163708779812</v>
      </c>
      <c r="K189" s="313"/>
      <c r="L189" s="313"/>
    </row>
    <row r="190" spans="1:12" x14ac:dyDescent="0.25">
      <c r="A190" s="369">
        <v>1109434</v>
      </c>
      <c r="B190" s="370" t="s">
        <v>1003</v>
      </c>
      <c r="C190" s="370" t="s">
        <v>2444</v>
      </c>
      <c r="D190" s="370" t="str">
        <f t="shared" si="2"/>
        <v>1109434__PPPs</v>
      </c>
      <c r="E190" s="370" t="s">
        <v>348</v>
      </c>
      <c r="F190" s="371">
        <v>7962528</v>
      </c>
      <c r="G190" s="372">
        <v>20.948</v>
      </c>
      <c r="H190" s="371">
        <v>23638.633261038703</v>
      </c>
      <c r="I190" s="371">
        <v>26842.66744907634</v>
      </c>
      <c r="J190" s="373">
        <v>25494.782664826929</v>
      </c>
      <c r="K190" s="313"/>
      <c r="L190" s="313"/>
    </row>
    <row r="191" spans="1:12" x14ac:dyDescent="0.25">
      <c r="A191" s="369">
        <v>1109434</v>
      </c>
      <c r="B191" s="370" t="s">
        <v>1003</v>
      </c>
      <c r="C191" s="370" t="s">
        <v>2445</v>
      </c>
      <c r="D191" s="370" t="str">
        <f t="shared" si="2"/>
        <v>1109434__PPPz</v>
      </c>
      <c r="E191" s="370" t="s">
        <v>348</v>
      </c>
      <c r="F191" s="371">
        <v>4670187</v>
      </c>
      <c r="G191" s="372">
        <v>8.1820000000000004</v>
      </c>
      <c r="H191" s="371">
        <v>35496.763007256552</v>
      </c>
      <c r="I191" s="371">
        <v>37831.330723609353</v>
      </c>
      <c r="J191" s="373">
        <v>35907.836579157876</v>
      </c>
      <c r="K191" s="313"/>
      <c r="L191" s="313"/>
    </row>
    <row r="192" spans="1:12" ht="15.75" thickBot="1" x14ac:dyDescent="0.3">
      <c r="A192" s="374">
        <v>1109434</v>
      </c>
      <c r="B192" s="375" t="s">
        <v>1003</v>
      </c>
      <c r="C192" s="375" t="s">
        <v>2446</v>
      </c>
      <c r="D192" s="375" t="str">
        <f t="shared" si="2"/>
        <v>1109434__VED</v>
      </c>
      <c r="E192" s="375" t="s">
        <v>348</v>
      </c>
      <c r="F192" s="376">
        <v>816158</v>
      </c>
      <c r="G192" s="377">
        <v>1</v>
      </c>
      <c r="H192" s="376">
        <v>50756.094527363188</v>
      </c>
      <c r="I192" s="376">
        <v>48141.160757092592</v>
      </c>
      <c r="J192" s="378">
        <v>45747.985872811994</v>
      </c>
      <c r="K192" s="313"/>
      <c r="L192" s="313"/>
    </row>
    <row r="193" spans="1:12" x14ac:dyDescent="0.25">
      <c r="A193" s="364">
        <v>1150034</v>
      </c>
      <c r="B193" s="365" t="s">
        <v>2431</v>
      </c>
      <c r="C193" s="365" t="s">
        <v>2442</v>
      </c>
      <c r="D193" s="365" t="str">
        <f t="shared" si="2"/>
        <v>1150034__ADM</v>
      </c>
      <c r="E193" s="365" t="s">
        <v>348</v>
      </c>
      <c r="F193" s="366">
        <v>79731</v>
      </c>
      <c r="G193" s="367">
        <v>0.25</v>
      </c>
      <c r="H193" s="366">
        <v>19833.582089552237</v>
      </c>
      <c r="I193" s="366">
        <v>38143.274999599584</v>
      </c>
      <c r="J193" s="368">
        <v>34618.393616321009</v>
      </c>
      <c r="K193" s="313"/>
      <c r="L193" s="313"/>
    </row>
    <row r="194" spans="1:12" x14ac:dyDescent="0.25">
      <c r="A194" s="369">
        <v>1150034</v>
      </c>
      <c r="B194" s="370" t="s">
        <v>2431</v>
      </c>
      <c r="C194" s="370" t="s">
        <v>2443</v>
      </c>
      <c r="D194" s="370" t="str">
        <f t="shared" si="2"/>
        <v>1150034__MAN</v>
      </c>
      <c r="E194" s="370" t="s">
        <v>348</v>
      </c>
      <c r="F194" s="371">
        <v>83730</v>
      </c>
      <c r="G194" s="372">
        <v>0.5</v>
      </c>
      <c r="H194" s="371">
        <v>10414.179104477611</v>
      </c>
      <c r="I194" s="371">
        <v>20421.948149637723</v>
      </c>
      <c r="J194" s="373">
        <v>19820.163708779812</v>
      </c>
      <c r="K194" s="313"/>
      <c r="L194" s="313"/>
    </row>
    <row r="195" spans="1:12" x14ac:dyDescent="0.25">
      <c r="A195" s="369">
        <v>1150034</v>
      </c>
      <c r="B195" s="370" t="s">
        <v>2431</v>
      </c>
      <c r="C195" s="370" t="s">
        <v>2444</v>
      </c>
      <c r="D195" s="370" t="str">
        <f t="shared" ref="D195:D258" si="3">CONCATENATE(A195,"__",C195)</f>
        <v>1150034__PPPs</v>
      </c>
      <c r="E195" s="370" t="s">
        <v>348</v>
      </c>
      <c r="F195" s="371">
        <v>1045342</v>
      </c>
      <c r="G195" s="372">
        <v>3.8</v>
      </c>
      <c r="H195" s="371">
        <v>17107.587064676616</v>
      </c>
      <c r="I195" s="371">
        <v>26842.66744907634</v>
      </c>
      <c r="J195" s="373">
        <v>25494.782664826929</v>
      </c>
      <c r="K195" s="313"/>
      <c r="L195" s="313"/>
    </row>
    <row r="196" spans="1:12" x14ac:dyDescent="0.25">
      <c r="A196" s="369">
        <v>1150034</v>
      </c>
      <c r="B196" s="370" t="s">
        <v>2431</v>
      </c>
      <c r="C196" s="370" t="s">
        <v>2445</v>
      </c>
      <c r="D196" s="370" t="str">
        <f t="shared" si="3"/>
        <v>1150034__PPPz</v>
      </c>
      <c r="E196" s="370" t="s">
        <v>348</v>
      </c>
      <c r="F196" s="371">
        <v>0</v>
      </c>
      <c r="G196" s="372">
        <v>0</v>
      </c>
      <c r="H196" s="371">
        <v>0</v>
      </c>
      <c r="I196" s="371">
        <v>37831.330723609353</v>
      </c>
      <c r="J196" s="373">
        <v>35907.836579157876</v>
      </c>
      <c r="K196" s="313"/>
      <c r="L196" s="313"/>
    </row>
    <row r="197" spans="1:12" ht="15.75" thickBot="1" x14ac:dyDescent="0.3">
      <c r="A197" s="374">
        <v>1150034</v>
      </c>
      <c r="B197" s="375" t="s">
        <v>2431</v>
      </c>
      <c r="C197" s="375" t="s">
        <v>2446</v>
      </c>
      <c r="D197" s="375" t="str">
        <f t="shared" si="3"/>
        <v>1150034__VED</v>
      </c>
      <c r="E197" s="375" t="s">
        <v>348</v>
      </c>
      <c r="F197" s="376">
        <v>151479</v>
      </c>
      <c r="G197" s="377">
        <v>0.25</v>
      </c>
      <c r="H197" s="376">
        <v>37681.343283582086</v>
      </c>
      <c r="I197" s="376">
        <v>48141.160757092592</v>
      </c>
      <c r="J197" s="378">
        <v>45747.985872811994</v>
      </c>
      <c r="K197" s="313"/>
      <c r="L197" s="313"/>
    </row>
    <row r="198" spans="1:12" x14ac:dyDescent="0.25">
      <c r="A198" s="364">
        <v>1665958</v>
      </c>
      <c r="B198" s="365" t="s">
        <v>470</v>
      </c>
      <c r="C198" s="365" t="s">
        <v>2442</v>
      </c>
      <c r="D198" s="365" t="str">
        <f t="shared" si="3"/>
        <v>1665958__ADM</v>
      </c>
      <c r="E198" s="365" t="s">
        <v>348</v>
      </c>
      <c r="F198" s="366">
        <v>967273</v>
      </c>
      <c r="G198" s="367">
        <v>1</v>
      </c>
      <c r="H198" s="366">
        <v>60153.793532338299</v>
      </c>
      <c r="I198" s="366">
        <v>38143.274999599584</v>
      </c>
      <c r="J198" s="368">
        <v>34618.393616321009</v>
      </c>
      <c r="K198" s="313"/>
      <c r="L198" s="313"/>
    </row>
    <row r="199" spans="1:12" x14ac:dyDescent="0.25">
      <c r="A199" s="369">
        <v>1665958</v>
      </c>
      <c r="B199" s="370" t="s">
        <v>470</v>
      </c>
      <c r="C199" s="370" t="s">
        <v>2443</v>
      </c>
      <c r="D199" s="370" t="str">
        <f t="shared" si="3"/>
        <v>1665958__MAN</v>
      </c>
      <c r="E199" s="370" t="s">
        <v>348</v>
      </c>
      <c r="F199" s="371">
        <v>3338673</v>
      </c>
      <c r="G199" s="372">
        <v>11.8</v>
      </c>
      <c r="H199" s="371">
        <v>17595.671009359976</v>
      </c>
      <c r="I199" s="371">
        <v>20421.948149637723</v>
      </c>
      <c r="J199" s="373">
        <v>19820.163708779812</v>
      </c>
      <c r="K199" s="313"/>
      <c r="L199" s="313"/>
    </row>
    <row r="200" spans="1:12" x14ac:dyDescent="0.25">
      <c r="A200" s="369">
        <v>1665958</v>
      </c>
      <c r="B200" s="370" t="s">
        <v>470</v>
      </c>
      <c r="C200" s="370" t="s">
        <v>2444</v>
      </c>
      <c r="D200" s="370" t="str">
        <f t="shared" si="3"/>
        <v>1665958__PPPs</v>
      </c>
      <c r="E200" s="370" t="s">
        <v>348</v>
      </c>
      <c r="F200" s="371">
        <v>6282407</v>
      </c>
      <c r="G200" s="372">
        <v>14</v>
      </c>
      <c r="H200" s="371">
        <v>27906.925195451313</v>
      </c>
      <c r="I200" s="371">
        <v>26842.66744907634</v>
      </c>
      <c r="J200" s="373">
        <v>25494.782664826929</v>
      </c>
      <c r="K200" s="313"/>
      <c r="L200" s="313"/>
    </row>
    <row r="201" spans="1:12" x14ac:dyDescent="0.25">
      <c r="A201" s="369">
        <v>1665958</v>
      </c>
      <c r="B201" s="370" t="s">
        <v>470</v>
      </c>
      <c r="C201" s="370" t="s">
        <v>2445</v>
      </c>
      <c r="D201" s="370" t="str">
        <f t="shared" si="3"/>
        <v>1665958__PPPz</v>
      </c>
      <c r="E201" s="370" t="s">
        <v>348</v>
      </c>
      <c r="F201" s="371">
        <v>3785264</v>
      </c>
      <c r="G201" s="372">
        <v>5.7</v>
      </c>
      <c r="H201" s="371">
        <v>41298.594745570386</v>
      </c>
      <c r="I201" s="371">
        <v>37831.330723609353</v>
      </c>
      <c r="J201" s="373">
        <v>35907.836579157876</v>
      </c>
      <c r="K201" s="313"/>
      <c r="L201" s="313"/>
    </row>
    <row r="202" spans="1:12" ht="15.75" thickBot="1" x14ac:dyDescent="0.3">
      <c r="A202" s="374">
        <v>1665958</v>
      </c>
      <c r="B202" s="375" t="s">
        <v>470</v>
      </c>
      <c r="C202" s="375" t="s">
        <v>2446</v>
      </c>
      <c r="D202" s="375" t="str">
        <f t="shared" si="3"/>
        <v>1665958__VED</v>
      </c>
      <c r="E202" s="375" t="s">
        <v>348</v>
      </c>
      <c r="F202" s="376">
        <v>666343</v>
      </c>
      <c r="G202" s="377">
        <v>1</v>
      </c>
      <c r="H202" s="376">
        <v>41439.241293532337</v>
      </c>
      <c r="I202" s="376">
        <v>48141.160757092592</v>
      </c>
      <c r="J202" s="378">
        <v>45747.985872811994</v>
      </c>
      <c r="K202" s="313"/>
      <c r="L202" s="313"/>
    </row>
    <row r="203" spans="1:12" x14ac:dyDescent="0.25">
      <c r="A203" s="364">
        <v>1817339</v>
      </c>
      <c r="B203" s="365" t="s">
        <v>678</v>
      </c>
      <c r="C203" s="365" t="s">
        <v>2442</v>
      </c>
      <c r="D203" s="365" t="str">
        <f t="shared" si="3"/>
        <v>1817339__ADM</v>
      </c>
      <c r="E203" s="365" t="s">
        <v>348</v>
      </c>
      <c r="F203" s="366">
        <v>465875</v>
      </c>
      <c r="G203" s="367">
        <v>0.9</v>
      </c>
      <c r="H203" s="366">
        <v>32191.473189607514</v>
      </c>
      <c r="I203" s="366">
        <v>38143.274999599584</v>
      </c>
      <c r="J203" s="368">
        <v>34618.393616321009</v>
      </c>
      <c r="K203" s="313"/>
      <c r="L203" s="313"/>
    </row>
    <row r="204" spans="1:12" x14ac:dyDescent="0.25">
      <c r="A204" s="369">
        <v>1817339</v>
      </c>
      <c r="B204" s="370" t="s">
        <v>678</v>
      </c>
      <c r="C204" s="370" t="s">
        <v>2443</v>
      </c>
      <c r="D204" s="370" t="str">
        <f t="shared" si="3"/>
        <v>1817339__MAN</v>
      </c>
      <c r="E204" s="370" t="s">
        <v>348</v>
      </c>
      <c r="F204" s="371">
        <v>1350670</v>
      </c>
      <c r="G204" s="372">
        <v>4</v>
      </c>
      <c r="H204" s="371">
        <v>20999.222636815917</v>
      </c>
      <c r="I204" s="371">
        <v>20421.948149637723</v>
      </c>
      <c r="J204" s="373">
        <v>19820.163708779812</v>
      </c>
      <c r="K204" s="313"/>
      <c r="L204" s="313"/>
    </row>
    <row r="205" spans="1:12" x14ac:dyDescent="0.25">
      <c r="A205" s="369">
        <v>1817339</v>
      </c>
      <c r="B205" s="370" t="s">
        <v>678</v>
      </c>
      <c r="C205" s="370" t="s">
        <v>2444</v>
      </c>
      <c r="D205" s="370" t="str">
        <f t="shared" si="3"/>
        <v>1817339__PPPs</v>
      </c>
      <c r="E205" s="370" t="s">
        <v>348</v>
      </c>
      <c r="F205" s="371">
        <v>4754115</v>
      </c>
      <c r="G205" s="372">
        <v>10.14</v>
      </c>
      <c r="H205" s="371">
        <v>29157.19111542877</v>
      </c>
      <c r="I205" s="371">
        <v>26842.66744907634</v>
      </c>
      <c r="J205" s="373">
        <v>25494.782664826929</v>
      </c>
      <c r="K205" s="313"/>
      <c r="L205" s="313"/>
    </row>
    <row r="206" spans="1:12" x14ac:dyDescent="0.25">
      <c r="A206" s="369">
        <v>1817339</v>
      </c>
      <c r="B206" s="370" t="s">
        <v>678</v>
      </c>
      <c r="C206" s="370" t="s">
        <v>2445</v>
      </c>
      <c r="D206" s="370" t="str">
        <f t="shared" si="3"/>
        <v>1817339__PPPz</v>
      </c>
      <c r="E206" s="370" t="s">
        <v>348</v>
      </c>
      <c r="F206" s="371">
        <v>3824458</v>
      </c>
      <c r="G206" s="372">
        <v>6.52</v>
      </c>
      <c r="H206" s="371">
        <v>36478.439855935052</v>
      </c>
      <c r="I206" s="371">
        <v>37831.330723609353</v>
      </c>
      <c r="J206" s="373">
        <v>35907.836579157876</v>
      </c>
      <c r="K206" s="313"/>
      <c r="L206" s="313"/>
    </row>
    <row r="207" spans="1:12" ht="15.75" thickBot="1" x14ac:dyDescent="0.3">
      <c r="A207" s="374">
        <v>1817339</v>
      </c>
      <c r="B207" s="375" t="s">
        <v>678</v>
      </c>
      <c r="C207" s="375" t="s">
        <v>2446</v>
      </c>
      <c r="D207" s="375" t="str">
        <f t="shared" si="3"/>
        <v>1817339__VED</v>
      </c>
      <c r="E207" s="375" t="s">
        <v>348</v>
      </c>
      <c r="F207" s="376">
        <v>368798</v>
      </c>
      <c r="G207" s="377">
        <v>0.45</v>
      </c>
      <c r="H207" s="376">
        <v>50967.108899944717</v>
      </c>
      <c r="I207" s="376">
        <v>48141.160757092592</v>
      </c>
      <c r="J207" s="378">
        <v>45747.985872811994</v>
      </c>
      <c r="K207" s="313"/>
      <c r="L207" s="313"/>
    </row>
    <row r="208" spans="1:12" x14ac:dyDescent="0.25">
      <c r="A208" s="364">
        <v>1872907</v>
      </c>
      <c r="B208" s="365" t="s">
        <v>496</v>
      </c>
      <c r="C208" s="365" t="s">
        <v>2442</v>
      </c>
      <c r="D208" s="365" t="str">
        <f t="shared" si="3"/>
        <v>1872907__ADM</v>
      </c>
      <c r="E208" s="365" t="s">
        <v>348</v>
      </c>
      <c r="F208" s="366">
        <v>1311204</v>
      </c>
      <c r="G208" s="367">
        <v>0.874</v>
      </c>
      <c r="H208" s="366">
        <v>93298.097612623373</v>
      </c>
      <c r="I208" s="366">
        <v>38143.274999599584</v>
      </c>
      <c r="J208" s="368">
        <v>34618.393616321009</v>
      </c>
      <c r="K208" s="313"/>
      <c r="L208" s="313"/>
    </row>
    <row r="209" spans="1:12" x14ac:dyDescent="0.25">
      <c r="A209" s="369">
        <v>1872907</v>
      </c>
      <c r="B209" s="370" t="s">
        <v>496</v>
      </c>
      <c r="C209" s="370" t="s">
        <v>2443</v>
      </c>
      <c r="D209" s="370" t="str">
        <f t="shared" si="3"/>
        <v>1872907__MAN</v>
      </c>
      <c r="E209" s="370" t="s">
        <v>348</v>
      </c>
      <c r="F209" s="371">
        <v>2985245</v>
      </c>
      <c r="G209" s="372">
        <v>10.6</v>
      </c>
      <c r="H209" s="371">
        <v>17514.109875152539</v>
      </c>
      <c r="I209" s="371">
        <v>20421.948149637723</v>
      </c>
      <c r="J209" s="373">
        <v>19820.163708779812</v>
      </c>
      <c r="K209" s="313"/>
      <c r="L209" s="313"/>
    </row>
    <row r="210" spans="1:12" x14ac:dyDescent="0.25">
      <c r="A210" s="369">
        <v>1872907</v>
      </c>
      <c r="B210" s="370" t="s">
        <v>496</v>
      </c>
      <c r="C210" s="370" t="s">
        <v>2444</v>
      </c>
      <c r="D210" s="370" t="str">
        <f t="shared" si="3"/>
        <v>1872907__PPPs</v>
      </c>
      <c r="E210" s="370" t="s">
        <v>348</v>
      </c>
      <c r="F210" s="371">
        <v>5842933</v>
      </c>
      <c r="G210" s="372">
        <v>11.8</v>
      </c>
      <c r="H210" s="371">
        <v>30793.769499957834</v>
      </c>
      <c r="I210" s="371">
        <v>26842.66744907634</v>
      </c>
      <c r="J210" s="373">
        <v>25494.782664826929</v>
      </c>
      <c r="K210" s="313"/>
      <c r="L210" s="313"/>
    </row>
    <row r="211" spans="1:12" x14ac:dyDescent="0.25">
      <c r="A211" s="369">
        <v>1872907</v>
      </c>
      <c r="B211" s="370" t="s">
        <v>496</v>
      </c>
      <c r="C211" s="370" t="s">
        <v>2445</v>
      </c>
      <c r="D211" s="370" t="str">
        <f t="shared" si="3"/>
        <v>1872907__PPPz</v>
      </c>
      <c r="E211" s="370" t="s">
        <v>348</v>
      </c>
      <c r="F211" s="371">
        <v>3714878</v>
      </c>
      <c r="G211" s="372">
        <v>5.2</v>
      </c>
      <c r="H211" s="371">
        <v>44427.836777650205</v>
      </c>
      <c r="I211" s="371">
        <v>37831.330723609353</v>
      </c>
      <c r="J211" s="373">
        <v>35907.836579157876</v>
      </c>
      <c r="K211" s="313"/>
      <c r="L211" s="313"/>
    </row>
    <row r="212" spans="1:12" ht="15.75" thickBot="1" x14ac:dyDescent="0.3">
      <c r="A212" s="374">
        <v>1872907</v>
      </c>
      <c r="B212" s="375" t="s">
        <v>496</v>
      </c>
      <c r="C212" s="375" t="s">
        <v>2446</v>
      </c>
      <c r="D212" s="375" t="str">
        <f t="shared" si="3"/>
        <v>1872907__VED</v>
      </c>
      <c r="E212" s="375" t="s">
        <v>348</v>
      </c>
      <c r="F212" s="376">
        <v>972699</v>
      </c>
      <c r="G212" s="377">
        <v>3.1880000000000002</v>
      </c>
      <c r="H212" s="376">
        <v>18974.664787730104</v>
      </c>
      <c r="I212" s="376">
        <v>48141.160757092592</v>
      </c>
      <c r="J212" s="378">
        <v>45747.985872811994</v>
      </c>
      <c r="K212" s="313"/>
      <c r="L212" s="313"/>
    </row>
    <row r="213" spans="1:12" x14ac:dyDescent="0.25">
      <c r="A213" s="364">
        <v>2026338</v>
      </c>
      <c r="B213" s="365" t="s">
        <v>2432</v>
      </c>
      <c r="C213" s="365" t="s">
        <v>2442</v>
      </c>
      <c r="D213" s="365" t="str">
        <f t="shared" si="3"/>
        <v>2026338__ADM</v>
      </c>
      <c r="E213" s="365" t="s">
        <v>348</v>
      </c>
      <c r="F213" s="366">
        <v>186912</v>
      </c>
      <c r="G213" s="367">
        <v>0.58399999999999996</v>
      </c>
      <c r="H213" s="366">
        <v>19903.905131874872</v>
      </c>
      <c r="I213" s="366">
        <v>38143.274999599584</v>
      </c>
      <c r="J213" s="368">
        <v>34618.393616321009</v>
      </c>
      <c r="K213" s="313"/>
      <c r="L213" s="313"/>
    </row>
    <row r="214" spans="1:12" x14ac:dyDescent="0.25">
      <c r="A214" s="369">
        <v>2026338</v>
      </c>
      <c r="B214" s="370" t="s">
        <v>2432</v>
      </c>
      <c r="C214" s="370" t="s">
        <v>2443</v>
      </c>
      <c r="D214" s="370" t="str">
        <f t="shared" si="3"/>
        <v>2026338__MAN</v>
      </c>
      <c r="E214" s="370" t="s">
        <v>348</v>
      </c>
      <c r="F214" s="371">
        <v>680500</v>
      </c>
      <c r="G214" s="372">
        <v>2.4</v>
      </c>
      <c r="H214" s="371">
        <v>17633.188225538972</v>
      </c>
      <c r="I214" s="371">
        <v>20421.948149637723</v>
      </c>
      <c r="J214" s="373">
        <v>19820.163708779812</v>
      </c>
      <c r="K214" s="313"/>
      <c r="L214" s="313"/>
    </row>
    <row r="215" spans="1:12" x14ac:dyDescent="0.25">
      <c r="A215" s="369">
        <v>2026338</v>
      </c>
      <c r="B215" s="370" t="s">
        <v>2432</v>
      </c>
      <c r="C215" s="370" t="s">
        <v>2444</v>
      </c>
      <c r="D215" s="370" t="str">
        <f t="shared" si="3"/>
        <v>2026338__PPPs</v>
      </c>
      <c r="E215" s="370" t="s">
        <v>348</v>
      </c>
      <c r="F215" s="371">
        <v>2727001</v>
      </c>
      <c r="G215" s="372">
        <v>6.7280000000000006</v>
      </c>
      <c r="H215" s="371">
        <v>25206.541977981673</v>
      </c>
      <c r="I215" s="371">
        <v>26842.66744907634</v>
      </c>
      <c r="J215" s="373">
        <v>25494.782664826929</v>
      </c>
      <c r="K215" s="313"/>
      <c r="L215" s="313"/>
    </row>
    <row r="216" spans="1:12" x14ac:dyDescent="0.25">
      <c r="A216" s="369">
        <v>2026338</v>
      </c>
      <c r="B216" s="370" t="s">
        <v>2432</v>
      </c>
      <c r="C216" s="370" t="s">
        <v>2445</v>
      </c>
      <c r="D216" s="370" t="str">
        <f t="shared" si="3"/>
        <v>2026338__PPPz</v>
      </c>
      <c r="E216" s="370" t="s">
        <v>348</v>
      </c>
      <c r="F216" s="371">
        <v>855167</v>
      </c>
      <c r="G216" s="372">
        <v>2.0179999999999998</v>
      </c>
      <c r="H216" s="371">
        <v>26353.829218624422</v>
      </c>
      <c r="I216" s="371">
        <v>37831.330723609353</v>
      </c>
      <c r="J216" s="373">
        <v>35907.836579157876</v>
      </c>
      <c r="K216" s="313"/>
      <c r="L216" s="313"/>
    </row>
    <row r="217" spans="1:12" ht="15.75" thickBot="1" x14ac:dyDescent="0.3">
      <c r="A217" s="374">
        <v>2026338</v>
      </c>
      <c r="B217" s="375" t="s">
        <v>2432</v>
      </c>
      <c r="C217" s="375" t="s">
        <v>2446</v>
      </c>
      <c r="D217" s="375" t="str">
        <f t="shared" si="3"/>
        <v>2026338__VED</v>
      </c>
      <c r="E217" s="375" t="s">
        <v>348</v>
      </c>
      <c r="F217" s="376">
        <v>180059</v>
      </c>
      <c r="G217" s="377">
        <v>7.1999999999999995E-2</v>
      </c>
      <c r="H217" s="376">
        <v>155523.59729132114</v>
      </c>
      <c r="I217" s="376">
        <v>48141.160757092592</v>
      </c>
      <c r="J217" s="378">
        <v>45747.985872811994</v>
      </c>
      <c r="K217" s="313"/>
      <c r="L217" s="313"/>
    </row>
    <row r="218" spans="1:12" x14ac:dyDescent="0.25">
      <c r="A218" s="364">
        <v>2125600</v>
      </c>
      <c r="B218" s="365" t="s">
        <v>459</v>
      </c>
      <c r="C218" s="365" t="s">
        <v>2442</v>
      </c>
      <c r="D218" s="365" t="str">
        <f t="shared" si="3"/>
        <v>2125600__ADM</v>
      </c>
      <c r="E218" s="365" t="s">
        <v>348</v>
      </c>
      <c r="F218" s="366">
        <v>1353874</v>
      </c>
      <c r="G218" s="367">
        <v>2</v>
      </c>
      <c r="H218" s="366">
        <v>42098.072139303476</v>
      </c>
      <c r="I218" s="366">
        <v>38143.274999599584</v>
      </c>
      <c r="J218" s="368">
        <v>34618.393616321009</v>
      </c>
      <c r="K218" s="313"/>
      <c r="L218" s="313"/>
    </row>
    <row r="219" spans="1:12" x14ac:dyDescent="0.25">
      <c r="A219" s="369">
        <v>2125600</v>
      </c>
      <c r="B219" s="370" t="s">
        <v>459</v>
      </c>
      <c r="C219" s="370" t="s">
        <v>2443</v>
      </c>
      <c r="D219" s="370" t="str">
        <f t="shared" si="3"/>
        <v>2125600__MAN</v>
      </c>
      <c r="E219" s="370" t="s">
        <v>348</v>
      </c>
      <c r="F219" s="371">
        <v>2130970</v>
      </c>
      <c r="G219" s="372">
        <v>7.8</v>
      </c>
      <c r="H219" s="371">
        <v>16990.129480801123</v>
      </c>
      <c r="I219" s="371">
        <v>20421.948149637723</v>
      </c>
      <c r="J219" s="373">
        <v>19820.163708779812</v>
      </c>
      <c r="K219" s="313"/>
      <c r="L219" s="313"/>
    </row>
    <row r="220" spans="1:12" x14ac:dyDescent="0.25">
      <c r="A220" s="369">
        <v>2125600</v>
      </c>
      <c r="B220" s="370" t="s">
        <v>459</v>
      </c>
      <c r="C220" s="370" t="s">
        <v>2444</v>
      </c>
      <c r="D220" s="370" t="str">
        <f t="shared" si="3"/>
        <v>2125600__PPPs</v>
      </c>
      <c r="E220" s="370" t="s">
        <v>348</v>
      </c>
      <c r="F220" s="371">
        <v>8398958</v>
      </c>
      <c r="G220" s="372">
        <v>17.3444</v>
      </c>
      <c r="H220" s="371">
        <v>30114.807010128206</v>
      </c>
      <c r="I220" s="371">
        <v>26842.66744907634</v>
      </c>
      <c r="J220" s="373">
        <v>25494.782664826929</v>
      </c>
      <c r="K220" s="313"/>
      <c r="L220" s="313"/>
    </row>
    <row r="221" spans="1:12" x14ac:dyDescent="0.25">
      <c r="A221" s="369">
        <v>2125600</v>
      </c>
      <c r="B221" s="370" t="s">
        <v>459</v>
      </c>
      <c r="C221" s="370" t="s">
        <v>2445</v>
      </c>
      <c r="D221" s="370" t="str">
        <f t="shared" si="3"/>
        <v>2125600__PPPz</v>
      </c>
      <c r="E221" s="370" t="s">
        <v>348</v>
      </c>
      <c r="F221" s="371">
        <v>3838219</v>
      </c>
      <c r="G221" s="372">
        <v>5.6</v>
      </c>
      <c r="H221" s="371">
        <v>42624.144900497507</v>
      </c>
      <c r="I221" s="371">
        <v>37831.330723609353</v>
      </c>
      <c r="J221" s="373">
        <v>35907.836579157876</v>
      </c>
      <c r="K221" s="313"/>
      <c r="L221" s="313"/>
    </row>
    <row r="222" spans="1:12" ht="15.75" thickBot="1" x14ac:dyDescent="0.3">
      <c r="A222" s="374">
        <v>2125600</v>
      </c>
      <c r="B222" s="375" t="s">
        <v>459</v>
      </c>
      <c r="C222" s="375" t="s">
        <v>2446</v>
      </c>
      <c r="D222" s="375" t="str">
        <f t="shared" si="3"/>
        <v>2125600__VED</v>
      </c>
      <c r="E222" s="375" t="s">
        <v>348</v>
      </c>
      <c r="F222" s="376">
        <v>747750</v>
      </c>
      <c r="G222" s="377">
        <v>1</v>
      </c>
      <c r="H222" s="376">
        <v>46501.86567164179</v>
      </c>
      <c r="I222" s="376">
        <v>48141.160757092592</v>
      </c>
      <c r="J222" s="378">
        <v>45747.985872811994</v>
      </c>
      <c r="K222" s="313"/>
      <c r="L222" s="313"/>
    </row>
    <row r="223" spans="1:12" x14ac:dyDescent="0.25">
      <c r="A223" s="364">
        <v>2167486</v>
      </c>
      <c r="B223" s="365" t="s">
        <v>2433</v>
      </c>
      <c r="C223" s="365" t="s">
        <v>2442</v>
      </c>
      <c r="D223" s="365" t="str">
        <f t="shared" si="3"/>
        <v>2167486__ADM</v>
      </c>
      <c r="E223" s="365" t="s">
        <v>348</v>
      </c>
      <c r="F223" s="366">
        <v>0</v>
      </c>
      <c r="G223" s="367">
        <v>0</v>
      </c>
      <c r="H223" s="366">
        <v>0</v>
      </c>
      <c r="I223" s="366">
        <v>38143.274999599584</v>
      </c>
      <c r="J223" s="368">
        <v>34618.393616321009</v>
      </c>
      <c r="K223" s="313"/>
      <c r="L223" s="313"/>
    </row>
    <row r="224" spans="1:12" x14ac:dyDescent="0.25">
      <c r="A224" s="369">
        <v>2167486</v>
      </c>
      <c r="B224" s="370" t="s">
        <v>2433</v>
      </c>
      <c r="C224" s="370" t="s">
        <v>2443</v>
      </c>
      <c r="D224" s="370" t="str">
        <f t="shared" si="3"/>
        <v>2167486__MAN</v>
      </c>
      <c r="E224" s="370" t="s">
        <v>348</v>
      </c>
      <c r="F224" s="371">
        <v>928</v>
      </c>
      <c r="G224" s="372">
        <v>5.6</v>
      </c>
      <c r="H224" s="371">
        <v>10.305614783226723</v>
      </c>
      <c r="I224" s="371">
        <v>20421.948149637723</v>
      </c>
      <c r="J224" s="373">
        <v>19820.163708779812</v>
      </c>
      <c r="K224" s="313"/>
      <c r="L224" s="313"/>
    </row>
    <row r="225" spans="1:12" x14ac:dyDescent="0.25">
      <c r="A225" s="369">
        <v>2167486</v>
      </c>
      <c r="B225" s="370" t="s">
        <v>2433</v>
      </c>
      <c r="C225" s="370" t="s">
        <v>2444</v>
      </c>
      <c r="D225" s="370" t="str">
        <f t="shared" si="3"/>
        <v>2167486__PPPs</v>
      </c>
      <c r="E225" s="370" t="s">
        <v>348</v>
      </c>
      <c r="F225" s="371">
        <v>2807</v>
      </c>
      <c r="G225" s="372">
        <v>8.8000000000000007</v>
      </c>
      <c r="H225" s="371">
        <v>19.836895070104021</v>
      </c>
      <c r="I225" s="371">
        <v>26842.66744907634</v>
      </c>
      <c r="J225" s="373">
        <v>25494.782664826929</v>
      </c>
      <c r="K225" s="313"/>
      <c r="L225" s="313"/>
    </row>
    <row r="226" spans="1:12" x14ac:dyDescent="0.25">
      <c r="A226" s="369">
        <v>2167486</v>
      </c>
      <c r="B226" s="370" t="s">
        <v>2433</v>
      </c>
      <c r="C226" s="370" t="s">
        <v>2445</v>
      </c>
      <c r="D226" s="370" t="str">
        <f t="shared" si="3"/>
        <v>2167486__PPPz</v>
      </c>
      <c r="E226" s="370" t="s">
        <v>348</v>
      </c>
      <c r="F226" s="371">
        <v>515</v>
      </c>
      <c r="G226" s="372">
        <v>6.0839999999999996</v>
      </c>
      <c r="H226" s="371">
        <v>5.2641951321629854</v>
      </c>
      <c r="I226" s="371">
        <v>37831.330723609353</v>
      </c>
      <c r="J226" s="373">
        <v>35907.836579157876</v>
      </c>
      <c r="K226" s="313"/>
      <c r="L226" s="313"/>
    </row>
    <row r="227" spans="1:12" ht="15.75" thickBot="1" x14ac:dyDescent="0.3">
      <c r="A227" s="374">
        <v>2167486</v>
      </c>
      <c r="B227" s="375" t="s">
        <v>2433</v>
      </c>
      <c r="C227" s="375" t="s">
        <v>2446</v>
      </c>
      <c r="D227" s="375" t="str">
        <f t="shared" si="3"/>
        <v>2167486__VED</v>
      </c>
      <c r="E227" s="375" t="s">
        <v>348</v>
      </c>
      <c r="F227" s="376">
        <v>0</v>
      </c>
      <c r="G227" s="377">
        <v>0</v>
      </c>
      <c r="H227" s="376">
        <v>0</v>
      </c>
      <c r="I227" s="376">
        <v>48141.160757092592</v>
      </c>
      <c r="J227" s="378">
        <v>45747.985872811994</v>
      </c>
      <c r="K227" s="313"/>
      <c r="L227" s="313"/>
    </row>
    <row r="228" spans="1:12" x14ac:dyDescent="0.25">
      <c r="A228" s="364">
        <v>2351546</v>
      </c>
      <c r="B228" s="365" t="s">
        <v>694</v>
      </c>
      <c r="C228" s="365" t="s">
        <v>2442</v>
      </c>
      <c r="D228" s="365" t="str">
        <f t="shared" si="3"/>
        <v>2351546__ADM</v>
      </c>
      <c r="E228" s="365" t="s">
        <v>348</v>
      </c>
      <c r="F228" s="366">
        <v>0</v>
      </c>
      <c r="G228" s="367">
        <v>0</v>
      </c>
      <c r="H228" s="366">
        <v>0</v>
      </c>
      <c r="I228" s="366">
        <v>38143.274999599584</v>
      </c>
      <c r="J228" s="368">
        <v>34618.393616321009</v>
      </c>
      <c r="K228" s="313"/>
      <c r="L228" s="313"/>
    </row>
    <row r="229" spans="1:12" x14ac:dyDescent="0.25">
      <c r="A229" s="369">
        <v>2351546</v>
      </c>
      <c r="B229" s="370" t="s">
        <v>694</v>
      </c>
      <c r="C229" s="370" t="s">
        <v>2443</v>
      </c>
      <c r="D229" s="370" t="str">
        <f t="shared" si="3"/>
        <v>2351546__MAN</v>
      </c>
      <c r="E229" s="370" t="s">
        <v>348</v>
      </c>
      <c r="F229" s="371">
        <v>0</v>
      </c>
      <c r="G229" s="372">
        <v>0</v>
      </c>
      <c r="H229" s="371">
        <v>0</v>
      </c>
      <c r="I229" s="371">
        <v>20421.948149637723</v>
      </c>
      <c r="J229" s="373">
        <v>19820.163708779812</v>
      </c>
      <c r="K229" s="313"/>
      <c r="L229" s="313"/>
    </row>
    <row r="230" spans="1:12" x14ac:dyDescent="0.25">
      <c r="A230" s="369">
        <v>2351546</v>
      </c>
      <c r="B230" s="370" t="s">
        <v>694</v>
      </c>
      <c r="C230" s="370" t="s">
        <v>2444</v>
      </c>
      <c r="D230" s="370" t="str">
        <f t="shared" si="3"/>
        <v>2351546__PPPs</v>
      </c>
      <c r="E230" s="370" t="s">
        <v>348</v>
      </c>
      <c r="F230" s="371">
        <v>2888890</v>
      </c>
      <c r="G230" s="372">
        <v>10</v>
      </c>
      <c r="H230" s="371">
        <v>17965.733830845769</v>
      </c>
      <c r="I230" s="371">
        <v>26842.66744907634</v>
      </c>
      <c r="J230" s="373">
        <v>25494.782664826929</v>
      </c>
      <c r="K230" s="313"/>
      <c r="L230" s="313"/>
    </row>
    <row r="231" spans="1:12" x14ac:dyDescent="0.25">
      <c r="A231" s="369">
        <v>2351546</v>
      </c>
      <c r="B231" s="370" t="s">
        <v>694</v>
      </c>
      <c r="C231" s="370" t="s">
        <v>2445</v>
      </c>
      <c r="D231" s="370" t="str">
        <f t="shared" si="3"/>
        <v>2351546__PPPz</v>
      </c>
      <c r="E231" s="370" t="s">
        <v>348</v>
      </c>
      <c r="F231" s="371">
        <v>0</v>
      </c>
      <c r="G231" s="372">
        <v>0</v>
      </c>
      <c r="H231" s="371">
        <v>0</v>
      </c>
      <c r="I231" s="371">
        <v>37831.330723609353</v>
      </c>
      <c r="J231" s="373">
        <v>35907.836579157876</v>
      </c>
      <c r="K231" s="313"/>
      <c r="L231" s="313"/>
    </row>
    <row r="232" spans="1:12" ht="15.75" thickBot="1" x14ac:dyDescent="0.3">
      <c r="A232" s="374">
        <v>2351546</v>
      </c>
      <c r="B232" s="375" t="s">
        <v>694</v>
      </c>
      <c r="C232" s="375" t="s">
        <v>2446</v>
      </c>
      <c r="D232" s="375" t="str">
        <f t="shared" si="3"/>
        <v>2351546__VED</v>
      </c>
      <c r="E232" s="375" t="s">
        <v>348</v>
      </c>
      <c r="F232" s="376">
        <v>0</v>
      </c>
      <c r="G232" s="377">
        <v>0</v>
      </c>
      <c r="H232" s="376">
        <v>0</v>
      </c>
      <c r="I232" s="376">
        <v>48141.160757092592</v>
      </c>
      <c r="J232" s="378">
        <v>45747.985872811994</v>
      </c>
      <c r="K232" s="313"/>
      <c r="L232" s="313"/>
    </row>
    <row r="233" spans="1:12" x14ac:dyDescent="0.25">
      <c r="A233" s="364">
        <v>2749776</v>
      </c>
      <c r="B233" s="365" t="s">
        <v>467</v>
      </c>
      <c r="C233" s="365" t="s">
        <v>2442</v>
      </c>
      <c r="D233" s="365" t="str">
        <f t="shared" si="3"/>
        <v>2749776__ADM</v>
      </c>
      <c r="E233" s="365" t="s">
        <v>348</v>
      </c>
      <c r="F233" s="366">
        <v>1503790</v>
      </c>
      <c r="G233" s="367">
        <v>3</v>
      </c>
      <c r="H233" s="366">
        <v>31173.092868988391</v>
      </c>
      <c r="I233" s="366">
        <v>38143.274999599584</v>
      </c>
      <c r="J233" s="368">
        <v>34618.393616321009</v>
      </c>
      <c r="K233" s="313"/>
      <c r="L233" s="313"/>
    </row>
    <row r="234" spans="1:12" x14ac:dyDescent="0.25">
      <c r="A234" s="369">
        <v>2749776</v>
      </c>
      <c r="B234" s="370" t="s">
        <v>467</v>
      </c>
      <c r="C234" s="370" t="s">
        <v>2443</v>
      </c>
      <c r="D234" s="370" t="str">
        <f t="shared" si="3"/>
        <v>2749776__MAN</v>
      </c>
      <c r="E234" s="370" t="s">
        <v>348</v>
      </c>
      <c r="F234" s="371">
        <v>3047963</v>
      </c>
      <c r="G234" s="372">
        <v>9</v>
      </c>
      <c r="H234" s="371">
        <v>21061.104201216142</v>
      </c>
      <c r="I234" s="371">
        <v>20421.948149637723</v>
      </c>
      <c r="J234" s="373">
        <v>19820.163708779812</v>
      </c>
      <c r="K234" s="313"/>
      <c r="L234" s="313"/>
    </row>
    <row r="235" spans="1:12" x14ac:dyDescent="0.25">
      <c r="A235" s="369">
        <v>2749776</v>
      </c>
      <c r="B235" s="370" t="s">
        <v>467</v>
      </c>
      <c r="C235" s="370" t="s">
        <v>2444</v>
      </c>
      <c r="D235" s="370" t="str">
        <f t="shared" si="3"/>
        <v>2749776__PPPs</v>
      </c>
      <c r="E235" s="370" t="s">
        <v>348</v>
      </c>
      <c r="F235" s="371">
        <v>5253321</v>
      </c>
      <c r="G235" s="372">
        <v>10.199999999999999</v>
      </c>
      <c r="H235" s="371">
        <v>32029.320310213636</v>
      </c>
      <c r="I235" s="371">
        <v>26842.66744907634</v>
      </c>
      <c r="J235" s="373">
        <v>25494.782664826929</v>
      </c>
      <c r="K235" s="313"/>
      <c r="L235" s="313"/>
    </row>
    <row r="236" spans="1:12" x14ac:dyDescent="0.25">
      <c r="A236" s="369">
        <v>2749776</v>
      </c>
      <c r="B236" s="370" t="s">
        <v>467</v>
      </c>
      <c r="C236" s="370" t="s">
        <v>2445</v>
      </c>
      <c r="D236" s="370" t="str">
        <f t="shared" si="3"/>
        <v>2749776__PPPz</v>
      </c>
      <c r="E236" s="370" t="s">
        <v>348</v>
      </c>
      <c r="F236" s="371">
        <v>3875576</v>
      </c>
      <c r="G236" s="372">
        <v>6.1890000000000001</v>
      </c>
      <c r="H236" s="371">
        <v>38943.029239004522</v>
      </c>
      <c r="I236" s="371">
        <v>37831.330723609353</v>
      </c>
      <c r="J236" s="373">
        <v>35907.836579157876</v>
      </c>
      <c r="K236" s="313"/>
      <c r="L236" s="313"/>
    </row>
    <row r="237" spans="1:12" ht="15.75" thickBot="1" x14ac:dyDescent="0.3">
      <c r="A237" s="374">
        <v>2749776</v>
      </c>
      <c r="B237" s="375" t="s">
        <v>467</v>
      </c>
      <c r="C237" s="375" t="s">
        <v>2446</v>
      </c>
      <c r="D237" s="375" t="str">
        <f t="shared" si="3"/>
        <v>2749776__VED</v>
      </c>
      <c r="E237" s="375" t="s">
        <v>348</v>
      </c>
      <c r="F237" s="376">
        <v>906473</v>
      </c>
      <c r="G237" s="377">
        <v>1</v>
      </c>
      <c r="H237" s="376">
        <v>56372.699004975126</v>
      </c>
      <c r="I237" s="376">
        <v>48141.160757092592</v>
      </c>
      <c r="J237" s="378">
        <v>45747.985872811994</v>
      </c>
      <c r="K237" s="313"/>
      <c r="L237" s="313"/>
    </row>
    <row r="238" spans="1:12" x14ac:dyDescent="0.25">
      <c r="A238" s="364">
        <v>2801353</v>
      </c>
      <c r="B238" s="365" t="s">
        <v>477</v>
      </c>
      <c r="C238" s="365" t="s">
        <v>2442</v>
      </c>
      <c r="D238" s="365" t="str">
        <f t="shared" si="3"/>
        <v>2801353__ADM</v>
      </c>
      <c r="E238" s="365" t="s">
        <v>348</v>
      </c>
      <c r="F238" s="366">
        <v>2031302</v>
      </c>
      <c r="G238" s="367">
        <v>3.7</v>
      </c>
      <c r="H238" s="366">
        <v>34141.824660481368</v>
      </c>
      <c r="I238" s="366">
        <v>38143.274999599584</v>
      </c>
      <c r="J238" s="368">
        <v>34618.393616321009</v>
      </c>
      <c r="K238" s="313"/>
      <c r="L238" s="313"/>
    </row>
    <row r="239" spans="1:12" x14ac:dyDescent="0.25">
      <c r="A239" s="369">
        <v>2801353</v>
      </c>
      <c r="B239" s="370" t="s">
        <v>477</v>
      </c>
      <c r="C239" s="370" t="s">
        <v>2443</v>
      </c>
      <c r="D239" s="370" t="str">
        <f t="shared" si="3"/>
        <v>2801353__MAN</v>
      </c>
      <c r="E239" s="370" t="s">
        <v>348</v>
      </c>
      <c r="F239" s="371">
        <v>4835557</v>
      </c>
      <c r="G239" s="372">
        <v>14.571999999999999</v>
      </c>
      <c r="H239" s="371">
        <v>20636.749856263563</v>
      </c>
      <c r="I239" s="371">
        <v>20421.948149637723</v>
      </c>
      <c r="J239" s="373">
        <v>19820.163708779812</v>
      </c>
      <c r="K239" s="313"/>
      <c r="L239" s="313"/>
    </row>
    <row r="240" spans="1:12" x14ac:dyDescent="0.25">
      <c r="A240" s="369">
        <v>2801353</v>
      </c>
      <c r="B240" s="370" t="s">
        <v>477</v>
      </c>
      <c r="C240" s="370" t="s">
        <v>2444</v>
      </c>
      <c r="D240" s="370" t="str">
        <f t="shared" si="3"/>
        <v>2801353__PPPs</v>
      </c>
      <c r="E240" s="370" t="s">
        <v>348</v>
      </c>
      <c r="F240" s="371">
        <v>8147361</v>
      </c>
      <c r="G240" s="372">
        <v>20.501999999999999</v>
      </c>
      <c r="H240" s="371">
        <v>24713.524490512031</v>
      </c>
      <c r="I240" s="371">
        <v>26842.66744907634</v>
      </c>
      <c r="J240" s="373">
        <v>25494.782664826929</v>
      </c>
      <c r="K240" s="313"/>
      <c r="L240" s="313"/>
    </row>
    <row r="241" spans="1:12" x14ac:dyDescent="0.25">
      <c r="A241" s="369">
        <v>2801353</v>
      </c>
      <c r="B241" s="370" t="s">
        <v>477</v>
      </c>
      <c r="C241" s="370" t="s">
        <v>2445</v>
      </c>
      <c r="D241" s="370" t="str">
        <f t="shared" si="3"/>
        <v>2801353__PPPz</v>
      </c>
      <c r="E241" s="370" t="s">
        <v>348</v>
      </c>
      <c r="F241" s="371">
        <v>5171958</v>
      </c>
      <c r="G241" s="372">
        <v>8.0640000000000001</v>
      </c>
      <c r="H241" s="371">
        <v>39885.810900852877</v>
      </c>
      <c r="I241" s="371">
        <v>37831.330723609353</v>
      </c>
      <c r="J241" s="373">
        <v>35907.836579157876</v>
      </c>
      <c r="K241" s="313"/>
      <c r="L241" s="313"/>
    </row>
    <row r="242" spans="1:12" ht="15.75" thickBot="1" x14ac:dyDescent="0.3">
      <c r="A242" s="374">
        <v>2801353</v>
      </c>
      <c r="B242" s="375" t="s">
        <v>477</v>
      </c>
      <c r="C242" s="375" t="s">
        <v>2446</v>
      </c>
      <c r="D242" s="375" t="str">
        <f t="shared" si="3"/>
        <v>2801353__VED</v>
      </c>
      <c r="E242" s="375" t="s">
        <v>348</v>
      </c>
      <c r="F242" s="376">
        <v>993598</v>
      </c>
      <c r="G242" s="377">
        <v>1</v>
      </c>
      <c r="H242" s="376">
        <v>61790.920398009941</v>
      </c>
      <c r="I242" s="376">
        <v>48141.160757092592</v>
      </c>
      <c r="J242" s="378">
        <v>45747.985872811994</v>
      </c>
      <c r="K242" s="313"/>
      <c r="L242" s="313"/>
    </row>
    <row r="243" spans="1:12" x14ac:dyDescent="0.25">
      <c r="A243" s="364">
        <v>2837121</v>
      </c>
      <c r="B243" s="365" t="s">
        <v>447</v>
      </c>
      <c r="C243" s="365" t="s">
        <v>2442</v>
      </c>
      <c r="D243" s="365" t="str">
        <f t="shared" si="3"/>
        <v>2837121__ADM</v>
      </c>
      <c r="E243" s="365" t="s">
        <v>348</v>
      </c>
      <c r="F243" s="366">
        <v>893388</v>
      </c>
      <c r="G243" s="367">
        <v>0.72</v>
      </c>
      <c r="H243" s="366">
        <v>77165.215588723047</v>
      </c>
      <c r="I243" s="366">
        <v>38143.274999599584</v>
      </c>
      <c r="J243" s="368">
        <v>34618.393616321009</v>
      </c>
      <c r="K243" s="313"/>
      <c r="L243" s="313"/>
    </row>
    <row r="244" spans="1:12" x14ac:dyDescent="0.25">
      <c r="A244" s="369">
        <v>2837121</v>
      </c>
      <c r="B244" s="370" t="s">
        <v>447</v>
      </c>
      <c r="C244" s="370" t="s">
        <v>2443</v>
      </c>
      <c r="D244" s="370" t="str">
        <f t="shared" si="3"/>
        <v>2837121__MAN</v>
      </c>
      <c r="E244" s="370" t="s">
        <v>348</v>
      </c>
      <c r="F244" s="371">
        <v>1307710</v>
      </c>
      <c r="G244" s="372">
        <v>4.0999999999999996</v>
      </c>
      <c r="H244" s="371">
        <v>19835.426525907049</v>
      </c>
      <c r="I244" s="371">
        <v>20421.948149637723</v>
      </c>
      <c r="J244" s="373">
        <v>19820.163708779812</v>
      </c>
      <c r="K244" s="313"/>
      <c r="L244" s="313"/>
    </row>
    <row r="245" spans="1:12" x14ac:dyDescent="0.25">
      <c r="A245" s="369">
        <v>2837121</v>
      </c>
      <c r="B245" s="370" t="s">
        <v>447</v>
      </c>
      <c r="C245" s="370" t="s">
        <v>2444</v>
      </c>
      <c r="D245" s="370" t="str">
        <f t="shared" si="3"/>
        <v>2837121__PPPs</v>
      </c>
      <c r="E245" s="370" t="s">
        <v>348</v>
      </c>
      <c r="F245" s="371">
        <v>4893514</v>
      </c>
      <c r="G245" s="372">
        <v>11.3384</v>
      </c>
      <c r="H245" s="371">
        <v>26840.03121694849</v>
      </c>
      <c r="I245" s="371">
        <v>26842.66744907634</v>
      </c>
      <c r="J245" s="373">
        <v>25494.782664826929</v>
      </c>
      <c r="K245" s="313"/>
      <c r="L245" s="313"/>
    </row>
    <row r="246" spans="1:12" x14ac:dyDescent="0.25">
      <c r="A246" s="369">
        <v>2837121</v>
      </c>
      <c r="B246" s="370" t="s">
        <v>447</v>
      </c>
      <c r="C246" s="370" t="s">
        <v>2445</v>
      </c>
      <c r="D246" s="370" t="str">
        <f t="shared" si="3"/>
        <v>2837121__PPPz</v>
      </c>
      <c r="E246" s="370" t="s">
        <v>348</v>
      </c>
      <c r="F246" s="371">
        <v>1809590</v>
      </c>
      <c r="G246" s="372">
        <v>2.0499999999999998</v>
      </c>
      <c r="H246" s="371">
        <v>54895.947093799296</v>
      </c>
      <c r="I246" s="371">
        <v>37831.330723609353</v>
      </c>
      <c r="J246" s="373">
        <v>35907.836579157876</v>
      </c>
      <c r="K246" s="313"/>
      <c r="L246" s="313"/>
    </row>
    <row r="247" spans="1:12" ht="15.75" thickBot="1" x14ac:dyDescent="0.3">
      <c r="A247" s="374">
        <v>2837121</v>
      </c>
      <c r="B247" s="375" t="s">
        <v>447</v>
      </c>
      <c r="C247" s="375" t="s">
        <v>2446</v>
      </c>
      <c r="D247" s="375" t="str">
        <f t="shared" si="3"/>
        <v>2837121__VED</v>
      </c>
      <c r="E247" s="375" t="s">
        <v>348</v>
      </c>
      <c r="F247" s="376">
        <v>279135</v>
      </c>
      <c r="G247" s="377">
        <v>0.97030000000000005</v>
      </c>
      <c r="H247" s="376">
        <v>17890.48932396658</v>
      </c>
      <c r="I247" s="376">
        <v>48141.160757092592</v>
      </c>
      <c r="J247" s="378">
        <v>45747.985872811994</v>
      </c>
      <c r="K247" s="313"/>
      <c r="L247" s="313"/>
    </row>
    <row r="248" spans="1:12" x14ac:dyDescent="0.25">
      <c r="A248" s="364">
        <v>3135426</v>
      </c>
      <c r="B248" s="365" t="s">
        <v>1007</v>
      </c>
      <c r="C248" s="365" t="s">
        <v>2442</v>
      </c>
      <c r="D248" s="365" t="str">
        <f t="shared" si="3"/>
        <v>3135426__ADM</v>
      </c>
      <c r="E248" s="365" t="s">
        <v>348</v>
      </c>
      <c r="F248" s="366">
        <v>1717138</v>
      </c>
      <c r="G248" s="367">
        <v>2</v>
      </c>
      <c r="H248" s="366">
        <v>53393.594527363188</v>
      </c>
      <c r="I248" s="366">
        <v>38143.274999599584</v>
      </c>
      <c r="J248" s="368">
        <v>34618.393616321009</v>
      </c>
      <c r="K248" s="313"/>
      <c r="L248" s="313"/>
    </row>
    <row r="249" spans="1:12" x14ac:dyDescent="0.25">
      <c r="A249" s="369">
        <v>3135426</v>
      </c>
      <c r="B249" s="370" t="s">
        <v>1007</v>
      </c>
      <c r="C249" s="370" t="s">
        <v>2443</v>
      </c>
      <c r="D249" s="370" t="str">
        <f t="shared" si="3"/>
        <v>3135426__MAN</v>
      </c>
      <c r="E249" s="370" t="s">
        <v>348</v>
      </c>
      <c r="F249" s="371">
        <v>3394734</v>
      </c>
      <c r="G249" s="372">
        <v>8</v>
      </c>
      <c r="H249" s="371">
        <v>26389.412313432833</v>
      </c>
      <c r="I249" s="371">
        <v>20421.948149637723</v>
      </c>
      <c r="J249" s="373">
        <v>19820.163708779812</v>
      </c>
      <c r="K249" s="313"/>
      <c r="L249" s="313"/>
    </row>
    <row r="250" spans="1:12" x14ac:dyDescent="0.25">
      <c r="A250" s="369">
        <v>3135426</v>
      </c>
      <c r="B250" s="370" t="s">
        <v>1007</v>
      </c>
      <c r="C250" s="370" t="s">
        <v>2444</v>
      </c>
      <c r="D250" s="370" t="str">
        <f t="shared" si="3"/>
        <v>3135426__PPPs</v>
      </c>
      <c r="E250" s="370" t="s">
        <v>348</v>
      </c>
      <c r="F250" s="371">
        <v>6346364</v>
      </c>
      <c r="G250" s="372">
        <v>15.135999999999999</v>
      </c>
      <c r="H250" s="371">
        <v>26075.209970233398</v>
      </c>
      <c r="I250" s="371">
        <v>26842.66744907634</v>
      </c>
      <c r="J250" s="373">
        <v>25494.782664826929</v>
      </c>
      <c r="K250" s="313"/>
      <c r="L250" s="313"/>
    </row>
    <row r="251" spans="1:12" x14ac:dyDescent="0.25">
      <c r="A251" s="369">
        <v>3135426</v>
      </c>
      <c r="B251" s="370" t="s">
        <v>1007</v>
      </c>
      <c r="C251" s="370" t="s">
        <v>2445</v>
      </c>
      <c r="D251" s="370" t="str">
        <f t="shared" si="3"/>
        <v>3135426__PPPz</v>
      </c>
      <c r="E251" s="370" t="s">
        <v>348</v>
      </c>
      <c r="F251" s="371">
        <v>3431528</v>
      </c>
      <c r="G251" s="372">
        <v>5.6</v>
      </c>
      <c r="H251" s="371">
        <v>38107.764747690118</v>
      </c>
      <c r="I251" s="371">
        <v>37831.330723609353</v>
      </c>
      <c r="J251" s="373">
        <v>35907.836579157876</v>
      </c>
      <c r="K251" s="313"/>
      <c r="L251" s="313"/>
    </row>
    <row r="252" spans="1:12" ht="15.75" thickBot="1" x14ac:dyDescent="0.3">
      <c r="A252" s="374">
        <v>3135426</v>
      </c>
      <c r="B252" s="375" t="s">
        <v>1007</v>
      </c>
      <c r="C252" s="375" t="s">
        <v>2446</v>
      </c>
      <c r="D252" s="375" t="str">
        <f t="shared" si="3"/>
        <v>3135426__VED</v>
      </c>
      <c r="E252" s="375" t="s">
        <v>348</v>
      </c>
      <c r="F252" s="376">
        <v>970260</v>
      </c>
      <c r="G252" s="377">
        <v>1</v>
      </c>
      <c r="H252" s="376">
        <v>60339.552238805969</v>
      </c>
      <c r="I252" s="376">
        <v>48141.160757092592</v>
      </c>
      <c r="J252" s="378">
        <v>45747.985872811994</v>
      </c>
      <c r="K252" s="313"/>
      <c r="L252" s="313"/>
    </row>
    <row r="253" spans="1:12" x14ac:dyDescent="0.25">
      <c r="A253" s="364">
        <v>3529182</v>
      </c>
      <c r="B253" s="365" t="s">
        <v>519</v>
      </c>
      <c r="C253" s="365" t="s">
        <v>2442</v>
      </c>
      <c r="D253" s="365" t="str">
        <f t="shared" si="3"/>
        <v>3529182__ADM</v>
      </c>
      <c r="E253" s="365" t="s">
        <v>348</v>
      </c>
      <c r="F253" s="366">
        <v>405560</v>
      </c>
      <c r="G253" s="367">
        <v>1</v>
      </c>
      <c r="H253" s="366">
        <v>25221.393034825869</v>
      </c>
      <c r="I253" s="366">
        <v>38143.274999599584</v>
      </c>
      <c r="J253" s="368">
        <v>34618.393616321009</v>
      </c>
      <c r="K253" s="313"/>
      <c r="L253" s="313"/>
    </row>
    <row r="254" spans="1:12" x14ac:dyDescent="0.25">
      <c r="A254" s="369">
        <v>3529182</v>
      </c>
      <c r="B254" s="370" t="s">
        <v>519</v>
      </c>
      <c r="C254" s="370" t="s">
        <v>2443</v>
      </c>
      <c r="D254" s="370" t="str">
        <f t="shared" si="3"/>
        <v>3529182__MAN</v>
      </c>
      <c r="E254" s="370" t="s">
        <v>348</v>
      </c>
      <c r="F254" s="371">
        <v>3160471</v>
      </c>
      <c r="G254" s="372">
        <v>10.8</v>
      </c>
      <c r="H254" s="371">
        <v>18198.768887046252</v>
      </c>
      <c r="I254" s="371">
        <v>20421.948149637723</v>
      </c>
      <c r="J254" s="373">
        <v>19820.163708779812</v>
      </c>
      <c r="K254" s="313"/>
      <c r="L254" s="313"/>
    </row>
    <row r="255" spans="1:12" x14ac:dyDescent="0.25">
      <c r="A255" s="369">
        <v>3529182</v>
      </c>
      <c r="B255" s="370" t="s">
        <v>519</v>
      </c>
      <c r="C255" s="370" t="s">
        <v>2444</v>
      </c>
      <c r="D255" s="370" t="str">
        <f t="shared" si="3"/>
        <v>3529182__PPPs</v>
      </c>
      <c r="E255" s="370" t="s">
        <v>348</v>
      </c>
      <c r="F255" s="371">
        <v>5662328</v>
      </c>
      <c r="G255" s="372">
        <v>12.1</v>
      </c>
      <c r="H255" s="371">
        <v>29102.051724846835</v>
      </c>
      <c r="I255" s="371">
        <v>26842.66744907634</v>
      </c>
      <c r="J255" s="373">
        <v>25494.782664826929</v>
      </c>
      <c r="K255" s="313"/>
      <c r="L255" s="313"/>
    </row>
    <row r="256" spans="1:12" x14ac:dyDescent="0.25">
      <c r="A256" s="369">
        <v>3529182</v>
      </c>
      <c r="B256" s="370" t="s">
        <v>519</v>
      </c>
      <c r="C256" s="370" t="s">
        <v>2445</v>
      </c>
      <c r="D256" s="370" t="str">
        <f t="shared" si="3"/>
        <v>3529182__PPPz</v>
      </c>
      <c r="E256" s="370" t="s">
        <v>348</v>
      </c>
      <c r="F256" s="371">
        <v>3646018</v>
      </c>
      <c r="G256" s="372">
        <v>4.8</v>
      </c>
      <c r="H256" s="371">
        <v>47238.002694859038</v>
      </c>
      <c r="I256" s="371">
        <v>37831.330723609353</v>
      </c>
      <c r="J256" s="373">
        <v>35907.836579157876</v>
      </c>
      <c r="K256" s="313"/>
      <c r="L256" s="313"/>
    </row>
    <row r="257" spans="1:12" ht="15.75" thickBot="1" x14ac:dyDescent="0.3">
      <c r="A257" s="374">
        <v>3529182</v>
      </c>
      <c r="B257" s="375" t="s">
        <v>519</v>
      </c>
      <c r="C257" s="375" t="s">
        <v>2446</v>
      </c>
      <c r="D257" s="375" t="str">
        <f t="shared" si="3"/>
        <v>3529182__VED</v>
      </c>
      <c r="E257" s="375" t="s">
        <v>348</v>
      </c>
      <c r="F257" s="376">
        <v>807881</v>
      </c>
      <c r="G257" s="377">
        <v>0.6</v>
      </c>
      <c r="H257" s="376">
        <v>83735.592868988388</v>
      </c>
      <c r="I257" s="376">
        <v>48141.160757092592</v>
      </c>
      <c r="J257" s="378">
        <v>45747.985872811994</v>
      </c>
      <c r="K257" s="313"/>
      <c r="L257" s="313"/>
    </row>
    <row r="258" spans="1:12" x14ac:dyDescent="0.25">
      <c r="A258" s="364">
        <v>3619533</v>
      </c>
      <c r="B258" s="365" t="s">
        <v>955</v>
      </c>
      <c r="C258" s="365" t="s">
        <v>2442</v>
      </c>
      <c r="D258" s="365" t="str">
        <f t="shared" si="3"/>
        <v>3619533__ADM</v>
      </c>
      <c r="E258" s="365" t="s">
        <v>348</v>
      </c>
      <c r="F258" s="366">
        <v>357137</v>
      </c>
      <c r="G258" s="367">
        <v>0.75</v>
      </c>
      <c r="H258" s="366">
        <v>29613.349917081261</v>
      </c>
      <c r="I258" s="366">
        <v>38143.274999599584</v>
      </c>
      <c r="J258" s="368">
        <v>34618.393616321009</v>
      </c>
      <c r="K258" s="313"/>
      <c r="L258" s="313"/>
    </row>
    <row r="259" spans="1:12" x14ac:dyDescent="0.25">
      <c r="A259" s="369">
        <v>3619533</v>
      </c>
      <c r="B259" s="370" t="s">
        <v>955</v>
      </c>
      <c r="C259" s="370" t="s">
        <v>2443</v>
      </c>
      <c r="D259" s="370" t="str">
        <f t="shared" ref="D259:D322" si="4">CONCATENATE(A259,"__",C259)</f>
        <v>3619533__MAN</v>
      </c>
      <c r="E259" s="370" t="s">
        <v>348</v>
      </c>
      <c r="F259" s="371">
        <v>819980</v>
      </c>
      <c r="G259" s="372">
        <v>3.2</v>
      </c>
      <c r="H259" s="371">
        <v>15935.556592039798</v>
      </c>
      <c r="I259" s="371">
        <v>20421.948149637723</v>
      </c>
      <c r="J259" s="373">
        <v>19820.163708779812</v>
      </c>
      <c r="K259" s="313"/>
      <c r="L259" s="313"/>
    </row>
    <row r="260" spans="1:12" x14ac:dyDescent="0.25">
      <c r="A260" s="369">
        <v>3619533</v>
      </c>
      <c r="B260" s="370" t="s">
        <v>955</v>
      </c>
      <c r="C260" s="370" t="s">
        <v>2444</v>
      </c>
      <c r="D260" s="370" t="str">
        <f t="shared" si="4"/>
        <v>3619533__PPPs</v>
      </c>
      <c r="E260" s="370" t="s">
        <v>348</v>
      </c>
      <c r="F260" s="371">
        <v>3745493</v>
      </c>
      <c r="G260" s="372">
        <v>9.5</v>
      </c>
      <c r="H260" s="371">
        <v>24518.807279392506</v>
      </c>
      <c r="I260" s="371">
        <v>26842.66744907634</v>
      </c>
      <c r="J260" s="373">
        <v>25494.782664826929</v>
      </c>
      <c r="K260" s="313"/>
      <c r="L260" s="313"/>
    </row>
    <row r="261" spans="1:12" x14ac:dyDescent="0.25">
      <c r="A261" s="369">
        <v>3619533</v>
      </c>
      <c r="B261" s="370" t="s">
        <v>955</v>
      </c>
      <c r="C261" s="370" t="s">
        <v>2445</v>
      </c>
      <c r="D261" s="370" t="str">
        <f t="shared" si="4"/>
        <v>3619533__PPPz</v>
      </c>
      <c r="E261" s="370" t="s">
        <v>348</v>
      </c>
      <c r="F261" s="371">
        <v>3350698</v>
      </c>
      <c r="G261" s="372">
        <v>4.2</v>
      </c>
      <c r="H261" s="371">
        <v>49613.509831793417</v>
      </c>
      <c r="I261" s="371">
        <v>37831.330723609353</v>
      </c>
      <c r="J261" s="373">
        <v>35907.836579157876</v>
      </c>
      <c r="K261" s="313"/>
      <c r="L261" s="313"/>
    </row>
    <row r="262" spans="1:12" ht="15.75" thickBot="1" x14ac:dyDescent="0.3">
      <c r="A262" s="374">
        <v>3619533</v>
      </c>
      <c r="B262" s="375" t="s">
        <v>955</v>
      </c>
      <c r="C262" s="375" t="s">
        <v>2446</v>
      </c>
      <c r="D262" s="375" t="str">
        <f t="shared" si="4"/>
        <v>3619533__VED</v>
      </c>
      <c r="E262" s="375" t="s">
        <v>348</v>
      </c>
      <c r="F262" s="376">
        <v>681339</v>
      </c>
      <c r="G262" s="377">
        <v>1</v>
      </c>
      <c r="H262" s="376">
        <v>42371.82835820895</v>
      </c>
      <c r="I262" s="376">
        <v>48141.160757092592</v>
      </c>
      <c r="J262" s="378">
        <v>45747.985872811994</v>
      </c>
      <c r="K262" s="313"/>
      <c r="L262" s="313"/>
    </row>
    <row r="263" spans="1:12" x14ac:dyDescent="0.25">
      <c r="A263" s="364">
        <v>3943362</v>
      </c>
      <c r="B263" s="365" t="s">
        <v>464</v>
      </c>
      <c r="C263" s="365" t="s">
        <v>2442</v>
      </c>
      <c r="D263" s="365" t="str">
        <f t="shared" si="4"/>
        <v>3943362__ADM</v>
      </c>
      <c r="E263" s="365" t="s">
        <v>348</v>
      </c>
      <c r="F263" s="366">
        <v>1307366</v>
      </c>
      <c r="G263" s="367">
        <v>3</v>
      </c>
      <c r="H263" s="366">
        <v>27101.285240464345</v>
      </c>
      <c r="I263" s="366">
        <v>38143.274999599584</v>
      </c>
      <c r="J263" s="368">
        <v>34618.393616321009</v>
      </c>
      <c r="K263" s="313"/>
      <c r="L263" s="313"/>
    </row>
    <row r="264" spans="1:12" x14ac:dyDescent="0.25">
      <c r="A264" s="369">
        <v>3943362</v>
      </c>
      <c r="B264" s="370" t="s">
        <v>464</v>
      </c>
      <c r="C264" s="370" t="s">
        <v>2443</v>
      </c>
      <c r="D264" s="370" t="str">
        <f t="shared" si="4"/>
        <v>3943362__MAN</v>
      </c>
      <c r="E264" s="370" t="s">
        <v>348</v>
      </c>
      <c r="F264" s="371">
        <v>3255277</v>
      </c>
      <c r="G264" s="372">
        <v>9</v>
      </c>
      <c r="H264" s="371">
        <v>22493.622166943063</v>
      </c>
      <c r="I264" s="371">
        <v>20421.948149637723</v>
      </c>
      <c r="J264" s="373">
        <v>19820.163708779812</v>
      </c>
      <c r="K264" s="313"/>
      <c r="L264" s="313"/>
    </row>
    <row r="265" spans="1:12" x14ac:dyDescent="0.25">
      <c r="A265" s="369">
        <v>3943362</v>
      </c>
      <c r="B265" s="370" t="s">
        <v>464</v>
      </c>
      <c r="C265" s="370" t="s">
        <v>2444</v>
      </c>
      <c r="D265" s="370" t="str">
        <f t="shared" si="4"/>
        <v>3943362__PPPs</v>
      </c>
      <c r="E265" s="370" t="s">
        <v>348</v>
      </c>
      <c r="F265" s="371">
        <v>6315878</v>
      </c>
      <c r="G265" s="372">
        <v>13.4</v>
      </c>
      <c r="H265" s="371">
        <v>29311.827058736166</v>
      </c>
      <c r="I265" s="371">
        <v>26842.66744907634</v>
      </c>
      <c r="J265" s="373">
        <v>25494.782664826929</v>
      </c>
      <c r="K265" s="313"/>
      <c r="L265" s="313"/>
    </row>
    <row r="266" spans="1:12" x14ac:dyDescent="0.25">
      <c r="A266" s="369">
        <v>3943362</v>
      </c>
      <c r="B266" s="370" t="s">
        <v>464</v>
      </c>
      <c r="C266" s="370" t="s">
        <v>2445</v>
      </c>
      <c r="D266" s="370" t="str">
        <f t="shared" si="4"/>
        <v>3943362__PPPz</v>
      </c>
      <c r="E266" s="370" t="s">
        <v>348</v>
      </c>
      <c r="F266" s="371">
        <v>4314160</v>
      </c>
      <c r="G266" s="372">
        <v>9.76</v>
      </c>
      <c r="H266" s="371">
        <v>27489.091428105377</v>
      </c>
      <c r="I266" s="371">
        <v>37831.330723609353</v>
      </c>
      <c r="J266" s="373">
        <v>35907.836579157876</v>
      </c>
      <c r="K266" s="313"/>
      <c r="L266" s="313"/>
    </row>
    <row r="267" spans="1:12" ht="15.75" thickBot="1" x14ac:dyDescent="0.3">
      <c r="A267" s="374">
        <v>3943362</v>
      </c>
      <c r="B267" s="375" t="s">
        <v>464</v>
      </c>
      <c r="C267" s="375" t="s">
        <v>2446</v>
      </c>
      <c r="D267" s="375" t="str">
        <f t="shared" si="4"/>
        <v>3943362__VED</v>
      </c>
      <c r="E267" s="375" t="s">
        <v>348</v>
      </c>
      <c r="F267" s="376">
        <v>968740</v>
      </c>
      <c r="G267" s="377">
        <v>1</v>
      </c>
      <c r="H267" s="376">
        <v>60245.024875621886</v>
      </c>
      <c r="I267" s="376">
        <v>48141.160757092592</v>
      </c>
      <c r="J267" s="378">
        <v>45747.985872811994</v>
      </c>
      <c r="K267" s="313"/>
      <c r="L267" s="313"/>
    </row>
    <row r="268" spans="1:12" x14ac:dyDescent="0.25">
      <c r="A268" s="364">
        <v>4381530</v>
      </c>
      <c r="B268" s="365" t="s">
        <v>947</v>
      </c>
      <c r="C268" s="365" t="s">
        <v>2442</v>
      </c>
      <c r="D268" s="365" t="str">
        <f t="shared" si="4"/>
        <v>4381530__ADM</v>
      </c>
      <c r="E268" s="365" t="s">
        <v>348</v>
      </c>
      <c r="F268" s="366">
        <v>1027837</v>
      </c>
      <c r="G268" s="367">
        <v>1</v>
      </c>
      <c r="H268" s="366">
        <v>63920.211442786065</v>
      </c>
      <c r="I268" s="366">
        <v>38143.274999599584</v>
      </c>
      <c r="J268" s="368">
        <v>34618.393616321009</v>
      </c>
      <c r="K268" s="313"/>
      <c r="L268" s="313"/>
    </row>
    <row r="269" spans="1:12" x14ac:dyDescent="0.25">
      <c r="A269" s="369">
        <v>4381530</v>
      </c>
      <c r="B269" s="370" t="s">
        <v>947</v>
      </c>
      <c r="C269" s="370" t="s">
        <v>2443</v>
      </c>
      <c r="D269" s="370" t="str">
        <f t="shared" si="4"/>
        <v>4381530__MAN</v>
      </c>
      <c r="E269" s="370" t="s">
        <v>348</v>
      </c>
      <c r="F269" s="371">
        <v>5352920</v>
      </c>
      <c r="G269" s="372">
        <v>15.064</v>
      </c>
      <c r="H269" s="371">
        <v>22098.581706443882</v>
      </c>
      <c r="I269" s="371">
        <v>20421.948149637723</v>
      </c>
      <c r="J269" s="373">
        <v>19820.163708779812</v>
      </c>
      <c r="K269" s="313"/>
      <c r="L269" s="313"/>
    </row>
    <row r="270" spans="1:12" x14ac:dyDescent="0.25">
      <c r="A270" s="369">
        <v>4381530</v>
      </c>
      <c r="B270" s="370" t="s">
        <v>947</v>
      </c>
      <c r="C270" s="370" t="s">
        <v>2444</v>
      </c>
      <c r="D270" s="370" t="str">
        <f t="shared" si="4"/>
        <v>4381530__PPPs</v>
      </c>
      <c r="E270" s="370" t="s">
        <v>348</v>
      </c>
      <c r="F270" s="371">
        <v>11119488</v>
      </c>
      <c r="G270" s="372">
        <v>26.244</v>
      </c>
      <c r="H270" s="371">
        <v>26349.277844886219</v>
      </c>
      <c r="I270" s="371">
        <v>26842.66744907634</v>
      </c>
      <c r="J270" s="373">
        <v>25494.782664826929</v>
      </c>
      <c r="K270" s="313"/>
      <c r="L270" s="313"/>
    </row>
    <row r="271" spans="1:12" x14ac:dyDescent="0.25">
      <c r="A271" s="369">
        <v>4381530</v>
      </c>
      <c r="B271" s="370" t="s">
        <v>947</v>
      </c>
      <c r="C271" s="370" t="s">
        <v>2445</v>
      </c>
      <c r="D271" s="370" t="str">
        <f t="shared" si="4"/>
        <v>4381530__PPPz</v>
      </c>
      <c r="E271" s="370" t="s">
        <v>348</v>
      </c>
      <c r="F271" s="371">
        <v>5713242</v>
      </c>
      <c r="G271" s="372">
        <v>9.6</v>
      </c>
      <c r="H271" s="371">
        <v>37010.533271144275</v>
      </c>
      <c r="I271" s="371">
        <v>37831.330723609353</v>
      </c>
      <c r="J271" s="373">
        <v>35907.836579157876</v>
      </c>
      <c r="K271" s="313"/>
      <c r="L271" s="313"/>
    </row>
    <row r="272" spans="1:12" ht="15.75" thickBot="1" x14ac:dyDescent="0.3">
      <c r="A272" s="374">
        <v>4381530</v>
      </c>
      <c r="B272" s="375" t="s">
        <v>947</v>
      </c>
      <c r="C272" s="375" t="s">
        <v>2446</v>
      </c>
      <c r="D272" s="375" t="str">
        <f t="shared" si="4"/>
        <v>4381530__VED</v>
      </c>
      <c r="E272" s="375" t="s">
        <v>348</v>
      </c>
      <c r="F272" s="376">
        <v>1700907</v>
      </c>
      <c r="G272" s="377">
        <v>2.8</v>
      </c>
      <c r="H272" s="376">
        <v>37777.785181236679</v>
      </c>
      <c r="I272" s="376">
        <v>48141.160757092592</v>
      </c>
      <c r="J272" s="378">
        <v>45747.985872811994</v>
      </c>
      <c r="K272" s="313"/>
      <c r="L272" s="313"/>
    </row>
    <row r="273" spans="1:12" x14ac:dyDescent="0.25">
      <c r="A273" s="364">
        <v>4753225</v>
      </c>
      <c r="B273" s="365" t="s">
        <v>453</v>
      </c>
      <c r="C273" s="365" t="s">
        <v>2442</v>
      </c>
      <c r="D273" s="365" t="str">
        <f t="shared" si="4"/>
        <v>4753225__ADM</v>
      </c>
      <c r="E273" s="365" t="s">
        <v>348</v>
      </c>
      <c r="F273" s="366">
        <v>455412</v>
      </c>
      <c r="G273" s="367">
        <v>1.5</v>
      </c>
      <c r="H273" s="366">
        <v>18881.094527363184</v>
      </c>
      <c r="I273" s="366">
        <v>38143.274999599584</v>
      </c>
      <c r="J273" s="368">
        <v>34618.393616321009</v>
      </c>
      <c r="K273" s="313"/>
      <c r="L273" s="313"/>
    </row>
    <row r="274" spans="1:12" x14ac:dyDescent="0.25">
      <c r="A274" s="369">
        <v>4753225</v>
      </c>
      <c r="B274" s="370" t="s">
        <v>453</v>
      </c>
      <c r="C274" s="370" t="s">
        <v>2443</v>
      </c>
      <c r="D274" s="370" t="str">
        <f t="shared" si="4"/>
        <v>4753225__MAN</v>
      </c>
      <c r="E274" s="370" t="s">
        <v>348</v>
      </c>
      <c r="F274" s="371">
        <v>4613514</v>
      </c>
      <c r="G274" s="372">
        <v>14.977</v>
      </c>
      <c r="H274" s="371">
        <v>19156.711933422288</v>
      </c>
      <c r="I274" s="371">
        <v>20421.948149637723</v>
      </c>
      <c r="J274" s="373">
        <v>19820.163708779812</v>
      </c>
      <c r="K274" s="313"/>
      <c r="L274" s="313"/>
    </row>
    <row r="275" spans="1:12" x14ac:dyDescent="0.25">
      <c r="A275" s="369">
        <v>4753225</v>
      </c>
      <c r="B275" s="370" t="s">
        <v>453</v>
      </c>
      <c r="C275" s="370" t="s">
        <v>2444</v>
      </c>
      <c r="D275" s="370" t="str">
        <f t="shared" si="4"/>
        <v>4753225__PPPs</v>
      </c>
      <c r="E275" s="370" t="s">
        <v>348</v>
      </c>
      <c r="F275" s="371">
        <v>13951736</v>
      </c>
      <c r="G275" s="372">
        <v>25.909199999999998</v>
      </c>
      <c r="H275" s="371">
        <v>33487.922191030244</v>
      </c>
      <c r="I275" s="371">
        <v>26842.66744907634</v>
      </c>
      <c r="J275" s="373">
        <v>25494.782664826929</v>
      </c>
      <c r="K275" s="313"/>
      <c r="L275" s="313"/>
    </row>
    <row r="276" spans="1:12" x14ac:dyDescent="0.25">
      <c r="A276" s="369">
        <v>4753225</v>
      </c>
      <c r="B276" s="370" t="s">
        <v>453</v>
      </c>
      <c r="C276" s="370" t="s">
        <v>2445</v>
      </c>
      <c r="D276" s="370" t="str">
        <f t="shared" si="4"/>
        <v>4753225__PPPz</v>
      </c>
      <c r="E276" s="370" t="s">
        <v>348</v>
      </c>
      <c r="F276" s="371">
        <v>6503409</v>
      </c>
      <c r="G276" s="372">
        <v>9.8000000000000007</v>
      </c>
      <c r="H276" s="371">
        <v>41269.475327444401</v>
      </c>
      <c r="I276" s="371">
        <v>37831.330723609353</v>
      </c>
      <c r="J276" s="373">
        <v>35907.836579157876</v>
      </c>
      <c r="K276" s="313"/>
      <c r="L276" s="313"/>
    </row>
    <row r="277" spans="1:12" ht="15.75" thickBot="1" x14ac:dyDescent="0.3">
      <c r="A277" s="374">
        <v>4753225</v>
      </c>
      <c r="B277" s="375" t="s">
        <v>453</v>
      </c>
      <c r="C277" s="375" t="s">
        <v>2446</v>
      </c>
      <c r="D277" s="375" t="str">
        <f t="shared" si="4"/>
        <v>4753225__VED</v>
      </c>
      <c r="E277" s="375" t="s">
        <v>348</v>
      </c>
      <c r="F277" s="376">
        <v>2267294</v>
      </c>
      <c r="G277" s="377">
        <v>1</v>
      </c>
      <c r="H277" s="376">
        <v>141000.87064676615</v>
      </c>
      <c r="I277" s="376">
        <v>48141.160757092592</v>
      </c>
      <c r="J277" s="378">
        <v>45747.985872811994</v>
      </c>
      <c r="K277" s="313"/>
      <c r="L277" s="313"/>
    </row>
    <row r="278" spans="1:12" x14ac:dyDescent="0.25">
      <c r="A278" s="364">
        <v>4782003</v>
      </c>
      <c r="B278" s="365" t="s">
        <v>682</v>
      </c>
      <c r="C278" s="365" t="s">
        <v>2442</v>
      </c>
      <c r="D278" s="365" t="str">
        <f t="shared" si="4"/>
        <v>4782003__ADM</v>
      </c>
      <c r="E278" s="365" t="s">
        <v>348</v>
      </c>
      <c r="F278" s="366">
        <v>576802</v>
      </c>
      <c r="G278" s="367">
        <v>1.0834999999999999</v>
      </c>
      <c r="H278" s="366">
        <v>33106.387765831663</v>
      </c>
      <c r="I278" s="366">
        <v>38143.274999599584</v>
      </c>
      <c r="J278" s="368">
        <v>34618.393616321009</v>
      </c>
      <c r="K278" s="313"/>
      <c r="L278" s="313"/>
    </row>
    <row r="279" spans="1:12" x14ac:dyDescent="0.25">
      <c r="A279" s="369">
        <v>4782003</v>
      </c>
      <c r="B279" s="370" t="s">
        <v>682</v>
      </c>
      <c r="C279" s="370" t="s">
        <v>2443</v>
      </c>
      <c r="D279" s="370" t="str">
        <f t="shared" si="4"/>
        <v>4782003__MAN</v>
      </c>
      <c r="E279" s="370" t="s">
        <v>348</v>
      </c>
      <c r="F279" s="371">
        <v>3186306</v>
      </c>
      <c r="G279" s="372">
        <v>9.7100000000000009</v>
      </c>
      <c r="H279" s="371">
        <v>20407.142966936684</v>
      </c>
      <c r="I279" s="371">
        <v>20421.948149637723</v>
      </c>
      <c r="J279" s="373">
        <v>19820.163708779812</v>
      </c>
      <c r="K279" s="313"/>
      <c r="L279" s="313"/>
    </row>
    <row r="280" spans="1:12" x14ac:dyDescent="0.25">
      <c r="A280" s="369">
        <v>4782003</v>
      </c>
      <c r="B280" s="370" t="s">
        <v>682</v>
      </c>
      <c r="C280" s="370" t="s">
        <v>2444</v>
      </c>
      <c r="D280" s="370" t="str">
        <f t="shared" si="4"/>
        <v>4782003__PPPs</v>
      </c>
      <c r="E280" s="370" t="s">
        <v>348</v>
      </c>
      <c r="F280" s="371">
        <v>9735410</v>
      </c>
      <c r="G280" s="372">
        <v>21.823799999999999</v>
      </c>
      <c r="H280" s="371">
        <v>27742.00392569726</v>
      </c>
      <c r="I280" s="371">
        <v>26842.66744907634</v>
      </c>
      <c r="J280" s="373">
        <v>25494.782664826929</v>
      </c>
      <c r="K280" s="313"/>
      <c r="L280" s="313"/>
    </row>
    <row r="281" spans="1:12" x14ac:dyDescent="0.25">
      <c r="A281" s="369">
        <v>4782003</v>
      </c>
      <c r="B281" s="370" t="s">
        <v>682</v>
      </c>
      <c r="C281" s="370" t="s">
        <v>2445</v>
      </c>
      <c r="D281" s="370" t="str">
        <f t="shared" si="4"/>
        <v>4782003__PPPz</v>
      </c>
      <c r="E281" s="370" t="s">
        <v>348</v>
      </c>
      <c r="F281" s="371">
        <v>4776291</v>
      </c>
      <c r="G281" s="372">
        <v>7.72</v>
      </c>
      <c r="H281" s="371">
        <v>38475.780102080273</v>
      </c>
      <c r="I281" s="371">
        <v>37831.330723609353</v>
      </c>
      <c r="J281" s="373">
        <v>35907.836579157876</v>
      </c>
      <c r="K281" s="313"/>
      <c r="L281" s="313"/>
    </row>
    <row r="282" spans="1:12" ht="15.75" thickBot="1" x14ac:dyDescent="0.3">
      <c r="A282" s="374">
        <v>4782003</v>
      </c>
      <c r="B282" s="375" t="s">
        <v>682</v>
      </c>
      <c r="C282" s="375" t="s">
        <v>2446</v>
      </c>
      <c r="D282" s="375" t="str">
        <f t="shared" si="4"/>
        <v>4782003__VED</v>
      </c>
      <c r="E282" s="375" t="s">
        <v>348</v>
      </c>
      <c r="F282" s="376">
        <v>409789</v>
      </c>
      <c r="G282" s="377">
        <v>0.5</v>
      </c>
      <c r="H282" s="376">
        <v>50968.781094527367</v>
      </c>
      <c r="I282" s="376">
        <v>48141.160757092592</v>
      </c>
      <c r="J282" s="378">
        <v>45747.985872811994</v>
      </c>
      <c r="K282" s="313"/>
      <c r="L282" s="313"/>
    </row>
    <row r="283" spans="1:12" x14ac:dyDescent="0.25">
      <c r="A283" s="364">
        <v>5040302</v>
      </c>
      <c r="B283" s="365" t="s">
        <v>456</v>
      </c>
      <c r="C283" s="365" t="s">
        <v>2442</v>
      </c>
      <c r="D283" s="365" t="str">
        <f t="shared" si="4"/>
        <v>5040302__ADM</v>
      </c>
      <c r="E283" s="365" t="s">
        <v>348</v>
      </c>
      <c r="F283" s="366">
        <v>1827919</v>
      </c>
      <c r="G283" s="367">
        <v>2.6</v>
      </c>
      <c r="H283" s="366">
        <v>43721.751817833909</v>
      </c>
      <c r="I283" s="366">
        <v>38143.274999599584</v>
      </c>
      <c r="J283" s="368">
        <v>34618.393616321009</v>
      </c>
      <c r="K283" s="313"/>
      <c r="L283" s="313"/>
    </row>
    <row r="284" spans="1:12" x14ac:dyDescent="0.25">
      <c r="A284" s="369">
        <v>5040302</v>
      </c>
      <c r="B284" s="370" t="s">
        <v>456</v>
      </c>
      <c r="C284" s="370" t="s">
        <v>2443</v>
      </c>
      <c r="D284" s="370" t="str">
        <f t="shared" si="4"/>
        <v>5040302__MAN</v>
      </c>
      <c r="E284" s="370" t="s">
        <v>348</v>
      </c>
      <c r="F284" s="371">
        <v>3851778</v>
      </c>
      <c r="G284" s="372">
        <v>10.8</v>
      </c>
      <c r="H284" s="371">
        <v>22179.484521835264</v>
      </c>
      <c r="I284" s="371">
        <v>20421.948149637723</v>
      </c>
      <c r="J284" s="373">
        <v>19820.163708779812</v>
      </c>
      <c r="K284" s="313"/>
      <c r="L284" s="313"/>
    </row>
    <row r="285" spans="1:12" x14ac:dyDescent="0.25">
      <c r="A285" s="369">
        <v>5040302</v>
      </c>
      <c r="B285" s="370" t="s">
        <v>456</v>
      </c>
      <c r="C285" s="370" t="s">
        <v>2444</v>
      </c>
      <c r="D285" s="370" t="str">
        <f t="shared" si="4"/>
        <v>5040302__PPPs</v>
      </c>
      <c r="E285" s="370" t="s">
        <v>348</v>
      </c>
      <c r="F285" s="371">
        <v>4655732</v>
      </c>
      <c r="G285" s="372">
        <v>10.8</v>
      </c>
      <c r="H285" s="371">
        <v>26808.849272157728</v>
      </c>
      <c r="I285" s="371">
        <v>26842.66744907634</v>
      </c>
      <c r="J285" s="373">
        <v>25494.782664826929</v>
      </c>
      <c r="K285" s="313"/>
      <c r="L285" s="313"/>
    </row>
    <row r="286" spans="1:12" x14ac:dyDescent="0.25">
      <c r="A286" s="369">
        <v>5040302</v>
      </c>
      <c r="B286" s="370" t="s">
        <v>456</v>
      </c>
      <c r="C286" s="370" t="s">
        <v>2445</v>
      </c>
      <c r="D286" s="370" t="str">
        <f t="shared" si="4"/>
        <v>5040302__PPPz</v>
      </c>
      <c r="E286" s="370" t="s">
        <v>348</v>
      </c>
      <c r="F286" s="371">
        <v>4301567</v>
      </c>
      <c r="G286" s="372">
        <v>7.0431999999999997</v>
      </c>
      <c r="H286" s="371">
        <v>37981.370055108368</v>
      </c>
      <c r="I286" s="371">
        <v>37831.330723609353</v>
      </c>
      <c r="J286" s="373">
        <v>35907.836579157876</v>
      </c>
      <c r="K286" s="313"/>
      <c r="L286" s="313"/>
    </row>
    <row r="287" spans="1:12" ht="15.75" thickBot="1" x14ac:dyDescent="0.3">
      <c r="A287" s="374">
        <v>5040302</v>
      </c>
      <c r="B287" s="375" t="s">
        <v>456</v>
      </c>
      <c r="C287" s="375" t="s">
        <v>2446</v>
      </c>
      <c r="D287" s="375" t="str">
        <f t="shared" si="4"/>
        <v>5040302__VED</v>
      </c>
      <c r="E287" s="375" t="s">
        <v>348</v>
      </c>
      <c r="F287" s="376">
        <v>1034202</v>
      </c>
      <c r="G287" s="377">
        <v>1</v>
      </c>
      <c r="H287" s="376">
        <v>64316.044776119401</v>
      </c>
      <c r="I287" s="376">
        <v>48141.160757092592</v>
      </c>
      <c r="J287" s="378">
        <v>45747.985872811994</v>
      </c>
      <c r="K287" s="313"/>
      <c r="L287" s="313"/>
    </row>
    <row r="288" spans="1:12" x14ac:dyDescent="0.25">
      <c r="A288" s="364">
        <v>5344327</v>
      </c>
      <c r="B288" s="365" t="s">
        <v>942</v>
      </c>
      <c r="C288" s="365" t="s">
        <v>2442</v>
      </c>
      <c r="D288" s="365" t="str">
        <f t="shared" si="4"/>
        <v>5344327__ADM</v>
      </c>
      <c r="E288" s="365" t="s">
        <v>348</v>
      </c>
      <c r="F288" s="366">
        <v>916868</v>
      </c>
      <c r="G288" s="367">
        <v>1</v>
      </c>
      <c r="H288" s="366">
        <v>57019.154228855725</v>
      </c>
      <c r="I288" s="366">
        <v>38143.274999599584</v>
      </c>
      <c r="J288" s="368">
        <v>34618.393616321009</v>
      </c>
      <c r="K288" s="313"/>
      <c r="L288" s="313"/>
    </row>
    <row r="289" spans="1:12" x14ac:dyDescent="0.25">
      <c r="A289" s="369">
        <v>5344327</v>
      </c>
      <c r="B289" s="370" t="s">
        <v>942</v>
      </c>
      <c r="C289" s="370" t="s">
        <v>2443</v>
      </c>
      <c r="D289" s="370" t="str">
        <f t="shared" si="4"/>
        <v>5344327__MAN</v>
      </c>
      <c r="E289" s="370" t="s">
        <v>348</v>
      </c>
      <c r="F289" s="371">
        <v>2248698</v>
      </c>
      <c r="G289" s="372">
        <v>8</v>
      </c>
      <c r="H289" s="371">
        <v>17480.550373134327</v>
      </c>
      <c r="I289" s="371">
        <v>20421.948149637723</v>
      </c>
      <c r="J289" s="373">
        <v>19820.163708779812</v>
      </c>
      <c r="K289" s="313"/>
      <c r="L289" s="313"/>
    </row>
    <row r="290" spans="1:12" x14ac:dyDescent="0.25">
      <c r="A290" s="369">
        <v>5344327</v>
      </c>
      <c r="B290" s="370" t="s">
        <v>942</v>
      </c>
      <c r="C290" s="370" t="s">
        <v>2444</v>
      </c>
      <c r="D290" s="370" t="str">
        <f t="shared" si="4"/>
        <v>5344327__PPPs</v>
      </c>
      <c r="E290" s="370" t="s">
        <v>348</v>
      </c>
      <c r="F290" s="371">
        <v>8654158</v>
      </c>
      <c r="G290" s="372">
        <v>20</v>
      </c>
      <c r="H290" s="371">
        <v>26909.695273631842</v>
      </c>
      <c r="I290" s="371">
        <v>26842.66744907634</v>
      </c>
      <c r="J290" s="373">
        <v>25494.782664826929</v>
      </c>
      <c r="K290" s="313"/>
      <c r="L290" s="313"/>
    </row>
    <row r="291" spans="1:12" x14ac:dyDescent="0.25">
      <c r="A291" s="369">
        <v>5344327</v>
      </c>
      <c r="B291" s="370" t="s">
        <v>942</v>
      </c>
      <c r="C291" s="370" t="s">
        <v>2445</v>
      </c>
      <c r="D291" s="370" t="str">
        <f t="shared" si="4"/>
        <v>5344327__PPPz</v>
      </c>
      <c r="E291" s="370" t="s">
        <v>348</v>
      </c>
      <c r="F291" s="371">
        <v>792342</v>
      </c>
      <c r="G291" s="372">
        <v>1.004</v>
      </c>
      <c r="H291" s="371">
        <v>49078.685258964149</v>
      </c>
      <c r="I291" s="371">
        <v>37831.330723609353</v>
      </c>
      <c r="J291" s="373">
        <v>35907.836579157876</v>
      </c>
      <c r="K291" s="313"/>
      <c r="L291" s="313"/>
    </row>
    <row r="292" spans="1:12" ht="15.75" thickBot="1" x14ac:dyDescent="0.3">
      <c r="A292" s="374">
        <v>5344327</v>
      </c>
      <c r="B292" s="375" t="s">
        <v>942</v>
      </c>
      <c r="C292" s="375" t="s">
        <v>2446</v>
      </c>
      <c r="D292" s="375" t="str">
        <f t="shared" si="4"/>
        <v>5344327__VED</v>
      </c>
      <c r="E292" s="375" t="s">
        <v>348</v>
      </c>
      <c r="F292" s="376">
        <v>308200</v>
      </c>
      <c r="G292" s="377">
        <v>0.9</v>
      </c>
      <c r="H292" s="376">
        <v>21296.296296296296</v>
      </c>
      <c r="I292" s="376">
        <v>48141.160757092592</v>
      </c>
      <c r="J292" s="378">
        <v>45747.985872811994</v>
      </c>
      <c r="K292" s="313"/>
      <c r="L292" s="313"/>
    </row>
    <row r="293" spans="1:12" x14ac:dyDescent="0.25">
      <c r="A293" s="364">
        <v>5835605</v>
      </c>
      <c r="B293" s="365" t="s">
        <v>2434</v>
      </c>
      <c r="C293" s="365" t="s">
        <v>2442</v>
      </c>
      <c r="D293" s="365" t="str">
        <f t="shared" si="4"/>
        <v>5835605__ADM</v>
      </c>
      <c r="E293" s="365" t="s">
        <v>348</v>
      </c>
      <c r="F293" s="366">
        <v>0</v>
      </c>
      <c r="G293" s="367">
        <v>0</v>
      </c>
      <c r="H293" s="366">
        <v>0</v>
      </c>
      <c r="I293" s="366">
        <v>38143.274999599584</v>
      </c>
      <c r="J293" s="368">
        <v>34618.393616321009</v>
      </c>
      <c r="K293" s="313"/>
      <c r="L293" s="313"/>
    </row>
    <row r="294" spans="1:12" x14ac:dyDescent="0.25">
      <c r="A294" s="369">
        <v>5835605</v>
      </c>
      <c r="B294" s="370" t="s">
        <v>2434</v>
      </c>
      <c r="C294" s="370" t="s">
        <v>2443</v>
      </c>
      <c r="D294" s="370" t="str">
        <f t="shared" si="4"/>
        <v>5835605__MAN</v>
      </c>
      <c r="E294" s="370" t="s">
        <v>348</v>
      </c>
      <c r="F294" s="371">
        <v>7914</v>
      </c>
      <c r="G294" s="372">
        <v>8.7999999999999995E-2</v>
      </c>
      <c r="H294" s="371">
        <v>5592.7747625508828</v>
      </c>
      <c r="I294" s="371">
        <v>20421.948149637723</v>
      </c>
      <c r="J294" s="373">
        <v>19820.163708779812</v>
      </c>
      <c r="K294" s="313"/>
      <c r="L294" s="313"/>
    </row>
    <row r="295" spans="1:12" x14ac:dyDescent="0.25">
      <c r="A295" s="369">
        <v>5835605</v>
      </c>
      <c r="B295" s="370" t="s">
        <v>2434</v>
      </c>
      <c r="C295" s="370" t="s">
        <v>2444</v>
      </c>
      <c r="D295" s="370" t="str">
        <f t="shared" si="4"/>
        <v>5835605__PPPs</v>
      </c>
      <c r="E295" s="370" t="s">
        <v>348</v>
      </c>
      <c r="F295" s="371">
        <v>1368202</v>
      </c>
      <c r="G295" s="372">
        <v>4.4359999999999999</v>
      </c>
      <c r="H295" s="371">
        <v>19181.06155426654</v>
      </c>
      <c r="I295" s="371">
        <v>26842.66744907634</v>
      </c>
      <c r="J295" s="373">
        <v>25494.782664826929</v>
      </c>
      <c r="K295" s="313"/>
      <c r="L295" s="313"/>
    </row>
    <row r="296" spans="1:12" x14ac:dyDescent="0.25">
      <c r="A296" s="369">
        <v>5835605</v>
      </c>
      <c r="B296" s="370" t="s">
        <v>2434</v>
      </c>
      <c r="C296" s="370" t="s">
        <v>2445</v>
      </c>
      <c r="D296" s="370" t="str">
        <f t="shared" si="4"/>
        <v>5835605__PPPz</v>
      </c>
      <c r="E296" s="370" t="s">
        <v>348</v>
      </c>
      <c r="F296" s="371">
        <v>582380</v>
      </c>
      <c r="G296" s="372">
        <v>0.83199999999999996</v>
      </c>
      <c r="H296" s="371">
        <v>43530.84337925756</v>
      </c>
      <c r="I296" s="371">
        <v>37831.330723609353</v>
      </c>
      <c r="J296" s="373">
        <v>35907.836579157876</v>
      </c>
      <c r="K296" s="313"/>
      <c r="L296" s="313"/>
    </row>
    <row r="297" spans="1:12" ht="15.75" thickBot="1" x14ac:dyDescent="0.3">
      <c r="A297" s="374">
        <v>5835605</v>
      </c>
      <c r="B297" s="375" t="s">
        <v>2434</v>
      </c>
      <c r="C297" s="375" t="s">
        <v>2446</v>
      </c>
      <c r="D297" s="375" t="str">
        <f t="shared" si="4"/>
        <v>5835605__VED</v>
      </c>
      <c r="E297" s="375" t="s">
        <v>348</v>
      </c>
      <c r="F297" s="376">
        <v>85224</v>
      </c>
      <c r="G297" s="377">
        <v>1</v>
      </c>
      <c r="H297" s="376">
        <v>5300</v>
      </c>
      <c r="I297" s="376">
        <v>48141.160757092592</v>
      </c>
      <c r="J297" s="378">
        <v>45747.985872811994</v>
      </c>
      <c r="K297" s="313"/>
      <c r="L297" s="313"/>
    </row>
    <row r="298" spans="1:12" x14ac:dyDescent="0.25">
      <c r="A298" s="364">
        <v>5869239</v>
      </c>
      <c r="B298" s="365" t="s">
        <v>523</v>
      </c>
      <c r="C298" s="365" t="s">
        <v>2442</v>
      </c>
      <c r="D298" s="365" t="str">
        <f t="shared" si="4"/>
        <v>5869239__ADM</v>
      </c>
      <c r="E298" s="365" t="s">
        <v>348</v>
      </c>
      <c r="F298" s="366">
        <v>955872</v>
      </c>
      <c r="G298" s="367">
        <v>2.1616</v>
      </c>
      <c r="H298" s="366">
        <v>27500.359048576513</v>
      </c>
      <c r="I298" s="366">
        <v>38143.274999599584</v>
      </c>
      <c r="J298" s="368">
        <v>34618.393616321009</v>
      </c>
      <c r="K298" s="313"/>
      <c r="L298" s="313"/>
    </row>
    <row r="299" spans="1:12" x14ac:dyDescent="0.25">
      <c r="A299" s="369">
        <v>5869239</v>
      </c>
      <c r="B299" s="370" t="s">
        <v>523</v>
      </c>
      <c r="C299" s="370" t="s">
        <v>2443</v>
      </c>
      <c r="D299" s="370" t="str">
        <f t="shared" si="4"/>
        <v>5869239__MAN</v>
      </c>
      <c r="E299" s="370" t="s">
        <v>348</v>
      </c>
      <c r="F299" s="371">
        <v>4125919</v>
      </c>
      <c r="G299" s="372">
        <v>13.8872</v>
      </c>
      <c r="H299" s="371">
        <v>18476.510922832695</v>
      </c>
      <c r="I299" s="371">
        <v>20421.948149637723</v>
      </c>
      <c r="J299" s="373">
        <v>19820.163708779812</v>
      </c>
      <c r="K299" s="313"/>
      <c r="L299" s="313"/>
    </row>
    <row r="300" spans="1:12" x14ac:dyDescent="0.25">
      <c r="A300" s="369">
        <v>5869239</v>
      </c>
      <c r="B300" s="370" t="s">
        <v>523</v>
      </c>
      <c r="C300" s="370" t="s">
        <v>2444</v>
      </c>
      <c r="D300" s="370" t="str">
        <f t="shared" si="4"/>
        <v>5869239__PPPs</v>
      </c>
      <c r="E300" s="370" t="s">
        <v>348</v>
      </c>
      <c r="F300" s="371">
        <v>13984741</v>
      </c>
      <c r="G300" s="372">
        <v>29.692</v>
      </c>
      <c r="H300" s="371">
        <v>29290.644732018205</v>
      </c>
      <c r="I300" s="371">
        <v>26842.66744907634</v>
      </c>
      <c r="J300" s="373">
        <v>25494.782664826929</v>
      </c>
      <c r="K300" s="313"/>
      <c r="L300" s="313"/>
    </row>
    <row r="301" spans="1:12" x14ac:dyDescent="0.25">
      <c r="A301" s="369">
        <v>5869239</v>
      </c>
      <c r="B301" s="370" t="s">
        <v>523</v>
      </c>
      <c r="C301" s="370" t="s">
        <v>2445</v>
      </c>
      <c r="D301" s="370" t="str">
        <f t="shared" si="4"/>
        <v>5869239__PPPz</v>
      </c>
      <c r="E301" s="370" t="s">
        <v>348</v>
      </c>
      <c r="F301" s="371">
        <v>6926527</v>
      </c>
      <c r="G301" s="372">
        <v>10.69</v>
      </c>
      <c r="H301" s="371">
        <v>40295.057686311193</v>
      </c>
      <c r="I301" s="371">
        <v>37831.330723609353</v>
      </c>
      <c r="J301" s="373">
        <v>35907.836579157876</v>
      </c>
      <c r="K301" s="313"/>
      <c r="L301" s="313"/>
    </row>
    <row r="302" spans="1:12" ht="15.75" thickBot="1" x14ac:dyDescent="0.3">
      <c r="A302" s="374">
        <v>5869239</v>
      </c>
      <c r="B302" s="375" t="s">
        <v>523</v>
      </c>
      <c r="C302" s="375" t="s">
        <v>2446</v>
      </c>
      <c r="D302" s="375" t="str">
        <f t="shared" si="4"/>
        <v>5869239__VED</v>
      </c>
      <c r="E302" s="375" t="s">
        <v>348</v>
      </c>
      <c r="F302" s="376">
        <v>2837719</v>
      </c>
      <c r="G302" s="377">
        <v>3</v>
      </c>
      <c r="H302" s="376">
        <v>58825.020729684911</v>
      </c>
      <c r="I302" s="376">
        <v>48141.160757092592</v>
      </c>
      <c r="J302" s="378">
        <v>45747.985872811994</v>
      </c>
      <c r="K302" s="313"/>
      <c r="L302" s="313"/>
    </row>
    <row r="303" spans="1:12" x14ac:dyDescent="0.25">
      <c r="A303" s="364">
        <v>5894253</v>
      </c>
      <c r="B303" s="365" t="s">
        <v>821</v>
      </c>
      <c r="C303" s="365" t="s">
        <v>2442</v>
      </c>
      <c r="D303" s="365" t="str">
        <f t="shared" si="4"/>
        <v>5894253__ADM</v>
      </c>
      <c r="E303" s="365" t="s">
        <v>348</v>
      </c>
      <c r="F303" s="366">
        <v>1029219</v>
      </c>
      <c r="G303" s="367">
        <v>2.2000000000000002</v>
      </c>
      <c r="H303" s="366">
        <v>29093.707598371773</v>
      </c>
      <c r="I303" s="366">
        <v>38143.274999599584</v>
      </c>
      <c r="J303" s="368">
        <v>34618.393616321009</v>
      </c>
      <c r="K303" s="313"/>
      <c r="L303" s="313"/>
    </row>
    <row r="304" spans="1:12" x14ac:dyDescent="0.25">
      <c r="A304" s="369">
        <v>5894253</v>
      </c>
      <c r="B304" s="370" t="s">
        <v>821</v>
      </c>
      <c r="C304" s="370" t="s">
        <v>2443</v>
      </c>
      <c r="D304" s="370" t="str">
        <f t="shared" si="4"/>
        <v>5894253__MAN</v>
      </c>
      <c r="E304" s="370" t="s">
        <v>348</v>
      </c>
      <c r="F304" s="371">
        <v>2077363</v>
      </c>
      <c r="G304" s="372">
        <v>10.119999999999999</v>
      </c>
      <c r="H304" s="371">
        <v>12765.735305685013</v>
      </c>
      <c r="I304" s="371">
        <v>20421.948149637723</v>
      </c>
      <c r="J304" s="373">
        <v>19820.163708779812</v>
      </c>
      <c r="K304" s="313"/>
      <c r="L304" s="313"/>
    </row>
    <row r="305" spans="1:12" x14ac:dyDescent="0.25">
      <c r="A305" s="369">
        <v>5894253</v>
      </c>
      <c r="B305" s="370" t="s">
        <v>821</v>
      </c>
      <c r="C305" s="370" t="s">
        <v>2444</v>
      </c>
      <c r="D305" s="370" t="str">
        <f t="shared" si="4"/>
        <v>5894253__PPPs</v>
      </c>
      <c r="E305" s="370" t="s">
        <v>348</v>
      </c>
      <c r="F305" s="371">
        <v>4036045</v>
      </c>
      <c r="G305" s="372">
        <v>11.24</v>
      </c>
      <c r="H305" s="371">
        <v>22330.76720490076</v>
      </c>
      <c r="I305" s="371">
        <v>26842.66744907634</v>
      </c>
      <c r="J305" s="373">
        <v>25494.782664826929</v>
      </c>
      <c r="K305" s="313"/>
      <c r="L305" s="313"/>
    </row>
    <row r="306" spans="1:12" x14ac:dyDescent="0.25">
      <c r="A306" s="369">
        <v>5894253</v>
      </c>
      <c r="B306" s="370" t="s">
        <v>821</v>
      </c>
      <c r="C306" s="370" t="s">
        <v>2445</v>
      </c>
      <c r="D306" s="370" t="str">
        <f t="shared" si="4"/>
        <v>5894253__PPPz</v>
      </c>
      <c r="E306" s="370" t="s">
        <v>348</v>
      </c>
      <c r="F306" s="371">
        <v>1024114</v>
      </c>
      <c r="G306" s="372">
        <v>2.1840000000000002</v>
      </c>
      <c r="H306" s="371">
        <v>29161.484245439464</v>
      </c>
      <c r="I306" s="371">
        <v>37831.330723609353</v>
      </c>
      <c r="J306" s="373">
        <v>35907.836579157876</v>
      </c>
      <c r="K306" s="313"/>
      <c r="L306" s="313"/>
    </row>
    <row r="307" spans="1:12" ht="15.75" thickBot="1" x14ac:dyDescent="0.3">
      <c r="A307" s="374">
        <v>5894253</v>
      </c>
      <c r="B307" s="375" t="s">
        <v>821</v>
      </c>
      <c r="C307" s="375" t="s">
        <v>2446</v>
      </c>
      <c r="D307" s="375" t="str">
        <f t="shared" si="4"/>
        <v>5894253__VED</v>
      </c>
      <c r="E307" s="375" t="s">
        <v>348</v>
      </c>
      <c r="F307" s="376">
        <v>683513</v>
      </c>
      <c r="G307" s="377">
        <v>1.8</v>
      </c>
      <c r="H307" s="376">
        <v>23615.015201768929</v>
      </c>
      <c r="I307" s="376">
        <v>48141.160757092592</v>
      </c>
      <c r="J307" s="378">
        <v>45747.985872811994</v>
      </c>
      <c r="K307" s="313"/>
      <c r="L307" s="313"/>
    </row>
    <row r="308" spans="1:12" x14ac:dyDescent="0.25">
      <c r="A308" s="364">
        <v>6565956</v>
      </c>
      <c r="B308" s="365" t="s">
        <v>502</v>
      </c>
      <c r="C308" s="365" t="s">
        <v>2442</v>
      </c>
      <c r="D308" s="365" t="str">
        <f t="shared" si="4"/>
        <v>6565956__ADM</v>
      </c>
      <c r="E308" s="365" t="s">
        <v>348</v>
      </c>
      <c r="F308" s="366">
        <v>1311585</v>
      </c>
      <c r="G308" s="367">
        <v>1</v>
      </c>
      <c r="H308" s="366">
        <v>81566.23134328358</v>
      </c>
      <c r="I308" s="366">
        <v>38143.274999599584</v>
      </c>
      <c r="J308" s="368">
        <v>34618.393616321009</v>
      </c>
      <c r="K308" s="313"/>
      <c r="L308" s="313"/>
    </row>
    <row r="309" spans="1:12" x14ac:dyDescent="0.25">
      <c r="A309" s="369">
        <v>6565956</v>
      </c>
      <c r="B309" s="370" t="s">
        <v>502</v>
      </c>
      <c r="C309" s="370" t="s">
        <v>2443</v>
      </c>
      <c r="D309" s="370" t="str">
        <f t="shared" si="4"/>
        <v>6565956__MAN</v>
      </c>
      <c r="E309" s="370" t="s">
        <v>348</v>
      </c>
      <c r="F309" s="371">
        <v>3294806</v>
      </c>
      <c r="G309" s="372">
        <v>10.66</v>
      </c>
      <c r="H309" s="371">
        <v>19221.470041910521</v>
      </c>
      <c r="I309" s="371">
        <v>20421.948149637723</v>
      </c>
      <c r="J309" s="373">
        <v>19820.163708779812</v>
      </c>
      <c r="K309" s="313"/>
      <c r="L309" s="313"/>
    </row>
    <row r="310" spans="1:12" x14ac:dyDescent="0.25">
      <c r="A310" s="369">
        <v>6565956</v>
      </c>
      <c r="B310" s="370" t="s">
        <v>502</v>
      </c>
      <c r="C310" s="370" t="s">
        <v>2444</v>
      </c>
      <c r="D310" s="370" t="str">
        <f t="shared" si="4"/>
        <v>6565956__PPPs</v>
      </c>
      <c r="E310" s="370" t="s">
        <v>348</v>
      </c>
      <c r="F310" s="371">
        <v>5439855</v>
      </c>
      <c r="G310" s="372">
        <v>11.81</v>
      </c>
      <c r="H310" s="371">
        <v>28645.168526545935</v>
      </c>
      <c r="I310" s="371">
        <v>26842.66744907634</v>
      </c>
      <c r="J310" s="373">
        <v>25494.782664826929</v>
      </c>
      <c r="K310" s="313"/>
      <c r="L310" s="313"/>
    </row>
    <row r="311" spans="1:12" x14ac:dyDescent="0.25">
      <c r="A311" s="369">
        <v>6565956</v>
      </c>
      <c r="B311" s="370" t="s">
        <v>502</v>
      </c>
      <c r="C311" s="370" t="s">
        <v>2445</v>
      </c>
      <c r="D311" s="370" t="str">
        <f t="shared" si="4"/>
        <v>6565956__PPPz</v>
      </c>
      <c r="E311" s="370" t="s">
        <v>348</v>
      </c>
      <c r="F311" s="371">
        <v>4984706</v>
      </c>
      <c r="G311" s="372">
        <v>9.1773000000000007</v>
      </c>
      <c r="H311" s="371">
        <v>33778.361198702849</v>
      </c>
      <c r="I311" s="371">
        <v>37831.330723609353</v>
      </c>
      <c r="J311" s="373">
        <v>35907.836579157876</v>
      </c>
      <c r="K311" s="313"/>
      <c r="L311" s="313"/>
    </row>
    <row r="312" spans="1:12" ht="15.75" thickBot="1" x14ac:dyDescent="0.3">
      <c r="A312" s="374">
        <v>6565956</v>
      </c>
      <c r="B312" s="375" t="s">
        <v>502</v>
      </c>
      <c r="C312" s="375" t="s">
        <v>2446</v>
      </c>
      <c r="D312" s="375" t="str">
        <f t="shared" si="4"/>
        <v>6565956__VED</v>
      </c>
      <c r="E312" s="375" t="s">
        <v>348</v>
      </c>
      <c r="F312" s="376">
        <v>863814</v>
      </c>
      <c r="G312" s="377">
        <v>0.81</v>
      </c>
      <c r="H312" s="376">
        <v>66320.711258522206</v>
      </c>
      <c r="I312" s="376">
        <v>48141.160757092592</v>
      </c>
      <c r="J312" s="378">
        <v>45747.985872811994</v>
      </c>
      <c r="K312" s="313"/>
      <c r="L312" s="313"/>
    </row>
    <row r="313" spans="1:12" x14ac:dyDescent="0.25">
      <c r="A313" s="364">
        <v>6581899</v>
      </c>
      <c r="B313" s="365" t="s">
        <v>444</v>
      </c>
      <c r="C313" s="365" t="s">
        <v>2442</v>
      </c>
      <c r="D313" s="365" t="str">
        <f t="shared" si="4"/>
        <v>6581899__ADM</v>
      </c>
      <c r="E313" s="365" t="s">
        <v>348</v>
      </c>
      <c r="F313" s="366">
        <v>1568230</v>
      </c>
      <c r="G313" s="367">
        <v>3</v>
      </c>
      <c r="H313" s="366">
        <v>32508.913764510777</v>
      </c>
      <c r="I313" s="366">
        <v>38143.274999599584</v>
      </c>
      <c r="J313" s="368">
        <v>34618.393616321009</v>
      </c>
      <c r="K313" s="313"/>
      <c r="L313" s="313"/>
    </row>
    <row r="314" spans="1:12" x14ac:dyDescent="0.25">
      <c r="A314" s="369">
        <v>6581899</v>
      </c>
      <c r="B314" s="370" t="s">
        <v>444</v>
      </c>
      <c r="C314" s="370" t="s">
        <v>2443</v>
      </c>
      <c r="D314" s="370" t="str">
        <f t="shared" si="4"/>
        <v>6581899__MAN</v>
      </c>
      <c r="E314" s="370" t="s">
        <v>348</v>
      </c>
      <c r="F314" s="371">
        <v>5854893</v>
      </c>
      <c r="G314" s="372">
        <v>19.588000000000001</v>
      </c>
      <c r="H314" s="371">
        <v>18588.434816930254</v>
      </c>
      <c r="I314" s="371">
        <v>20421.948149637723</v>
      </c>
      <c r="J314" s="373">
        <v>19820.163708779812</v>
      </c>
      <c r="K314" s="313"/>
      <c r="L314" s="313"/>
    </row>
    <row r="315" spans="1:12" x14ac:dyDescent="0.25">
      <c r="A315" s="369">
        <v>6581899</v>
      </c>
      <c r="B315" s="370" t="s">
        <v>444</v>
      </c>
      <c r="C315" s="370" t="s">
        <v>2444</v>
      </c>
      <c r="D315" s="370" t="str">
        <f t="shared" si="4"/>
        <v>6581899__PPPs</v>
      </c>
      <c r="E315" s="370" t="s">
        <v>348</v>
      </c>
      <c r="F315" s="371">
        <v>14216146</v>
      </c>
      <c r="G315" s="372">
        <v>30.388000000000002</v>
      </c>
      <c r="H315" s="371">
        <v>29093.348742662885</v>
      </c>
      <c r="I315" s="371">
        <v>26842.66744907634</v>
      </c>
      <c r="J315" s="373">
        <v>25494.782664826929</v>
      </c>
      <c r="K315" s="313"/>
      <c r="L315" s="313"/>
    </row>
    <row r="316" spans="1:12" x14ac:dyDescent="0.25">
      <c r="A316" s="369">
        <v>6581899</v>
      </c>
      <c r="B316" s="370" t="s">
        <v>444</v>
      </c>
      <c r="C316" s="370" t="s">
        <v>2445</v>
      </c>
      <c r="D316" s="370" t="str">
        <f t="shared" si="4"/>
        <v>6581899__PPPz</v>
      </c>
      <c r="E316" s="370" t="s">
        <v>348</v>
      </c>
      <c r="F316" s="371">
        <v>9410178</v>
      </c>
      <c r="G316" s="372">
        <v>14.92</v>
      </c>
      <c r="H316" s="371">
        <v>39223.195350326117</v>
      </c>
      <c r="I316" s="371">
        <v>37831.330723609353</v>
      </c>
      <c r="J316" s="373">
        <v>35907.836579157876</v>
      </c>
      <c r="K316" s="313"/>
      <c r="L316" s="313"/>
    </row>
    <row r="317" spans="1:12" ht="15.75" thickBot="1" x14ac:dyDescent="0.3">
      <c r="A317" s="374">
        <v>6581899</v>
      </c>
      <c r="B317" s="375" t="s">
        <v>444</v>
      </c>
      <c r="C317" s="375" t="s">
        <v>2446</v>
      </c>
      <c r="D317" s="375" t="str">
        <f t="shared" si="4"/>
        <v>6581899__VED</v>
      </c>
      <c r="E317" s="375" t="s">
        <v>348</v>
      </c>
      <c r="F317" s="376">
        <v>1013272</v>
      </c>
      <c r="G317" s="377">
        <v>2</v>
      </c>
      <c r="H317" s="376">
        <v>31507.213930348255</v>
      </c>
      <c r="I317" s="376">
        <v>48141.160757092592</v>
      </c>
      <c r="J317" s="378">
        <v>45747.985872811994</v>
      </c>
      <c r="K317" s="313"/>
      <c r="L317" s="313"/>
    </row>
    <row r="318" spans="1:12" x14ac:dyDescent="0.25">
      <c r="A318" s="364">
        <v>7065509</v>
      </c>
      <c r="B318" s="365" t="s">
        <v>2435</v>
      </c>
      <c r="C318" s="365" t="s">
        <v>2442</v>
      </c>
      <c r="D318" s="365" t="str">
        <f t="shared" si="4"/>
        <v>7065509__ADM</v>
      </c>
      <c r="E318" s="365" t="s">
        <v>348</v>
      </c>
      <c r="F318" s="366">
        <v>0</v>
      </c>
      <c r="G318" s="367">
        <v>0</v>
      </c>
      <c r="H318" s="366">
        <v>0</v>
      </c>
      <c r="I318" s="366">
        <v>38143.274999599584</v>
      </c>
      <c r="J318" s="368">
        <v>34618.393616321009</v>
      </c>
      <c r="K318" s="313"/>
      <c r="L318" s="313"/>
    </row>
    <row r="319" spans="1:12" x14ac:dyDescent="0.25">
      <c r="A319" s="369">
        <v>7065509</v>
      </c>
      <c r="B319" s="370" t="s">
        <v>2435</v>
      </c>
      <c r="C319" s="370" t="s">
        <v>2443</v>
      </c>
      <c r="D319" s="370" t="str">
        <f t="shared" si="4"/>
        <v>7065509__MAN</v>
      </c>
      <c r="E319" s="370" t="s">
        <v>348</v>
      </c>
      <c r="F319" s="371">
        <v>0</v>
      </c>
      <c r="G319" s="372">
        <v>0</v>
      </c>
      <c r="H319" s="371">
        <v>0</v>
      </c>
      <c r="I319" s="371">
        <v>20421.948149637723</v>
      </c>
      <c r="J319" s="373">
        <v>19820.163708779812</v>
      </c>
      <c r="K319" s="313"/>
      <c r="L319" s="313"/>
    </row>
    <row r="320" spans="1:12" x14ac:dyDescent="0.25">
      <c r="A320" s="369">
        <v>7065509</v>
      </c>
      <c r="B320" s="370" t="s">
        <v>2435</v>
      </c>
      <c r="C320" s="370" t="s">
        <v>2444</v>
      </c>
      <c r="D320" s="370" t="str">
        <f t="shared" si="4"/>
        <v>7065509__PPPs</v>
      </c>
      <c r="E320" s="370" t="s">
        <v>348</v>
      </c>
      <c r="F320" s="371">
        <v>1543999</v>
      </c>
      <c r="G320" s="372">
        <v>10.199999999999999</v>
      </c>
      <c r="H320" s="371">
        <v>9413.7096380840903</v>
      </c>
      <c r="I320" s="371">
        <v>26842.66744907634</v>
      </c>
      <c r="J320" s="373">
        <v>25494.782664826929</v>
      </c>
      <c r="K320" s="313"/>
      <c r="L320" s="313"/>
    </row>
    <row r="321" spans="1:12" x14ac:dyDescent="0.25">
      <c r="A321" s="369">
        <v>7065509</v>
      </c>
      <c r="B321" s="370" t="s">
        <v>2435</v>
      </c>
      <c r="C321" s="370" t="s">
        <v>2445</v>
      </c>
      <c r="D321" s="370" t="str">
        <f t="shared" si="4"/>
        <v>7065509__PPPz</v>
      </c>
      <c r="E321" s="370" t="s">
        <v>348</v>
      </c>
      <c r="F321" s="371">
        <v>576168</v>
      </c>
      <c r="G321" s="372">
        <v>3</v>
      </c>
      <c r="H321" s="371">
        <v>11943.781094527361</v>
      </c>
      <c r="I321" s="371">
        <v>37831.330723609353</v>
      </c>
      <c r="J321" s="373">
        <v>35907.836579157876</v>
      </c>
      <c r="K321" s="313"/>
      <c r="L321" s="313"/>
    </row>
    <row r="322" spans="1:12" ht="15.75" thickBot="1" x14ac:dyDescent="0.3">
      <c r="A322" s="374">
        <v>7065509</v>
      </c>
      <c r="B322" s="375" t="s">
        <v>2435</v>
      </c>
      <c r="C322" s="375" t="s">
        <v>2446</v>
      </c>
      <c r="D322" s="375" t="str">
        <f t="shared" si="4"/>
        <v>7065509__VED</v>
      </c>
      <c r="E322" s="375" t="s">
        <v>348</v>
      </c>
      <c r="F322" s="376">
        <v>267331</v>
      </c>
      <c r="G322" s="377">
        <v>1</v>
      </c>
      <c r="H322" s="376">
        <v>16625.062189054723</v>
      </c>
      <c r="I322" s="376">
        <v>48141.160757092592</v>
      </c>
      <c r="J322" s="378">
        <v>45747.985872811994</v>
      </c>
      <c r="K322" s="313"/>
      <c r="L322" s="313"/>
    </row>
    <row r="323" spans="1:12" x14ac:dyDescent="0.25">
      <c r="A323" s="364">
        <v>7630615</v>
      </c>
      <c r="B323" s="365" t="s">
        <v>515</v>
      </c>
      <c r="C323" s="365" t="s">
        <v>2442</v>
      </c>
      <c r="D323" s="365" t="str">
        <f t="shared" ref="D323:D386" si="5">CONCATENATE(A323,"__",C323)</f>
        <v>7630615__ADM</v>
      </c>
      <c r="E323" s="365" t="s">
        <v>348</v>
      </c>
      <c r="F323" s="366">
        <v>3908396</v>
      </c>
      <c r="G323" s="367">
        <v>9.9600000000000009</v>
      </c>
      <c r="H323" s="366">
        <v>24403.559511678552</v>
      </c>
      <c r="I323" s="366">
        <v>38143.274999599584</v>
      </c>
      <c r="J323" s="368">
        <v>34618.393616321009</v>
      </c>
      <c r="K323" s="313"/>
      <c r="L323" s="313"/>
    </row>
    <row r="324" spans="1:12" x14ac:dyDescent="0.25">
      <c r="A324" s="369">
        <v>7630615</v>
      </c>
      <c r="B324" s="370" t="s">
        <v>515</v>
      </c>
      <c r="C324" s="370" t="s">
        <v>2443</v>
      </c>
      <c r="D324" s="370" t="str">
        <f t="shared" si="5"/>
        <v>7630615__MAN</v>
      </c>
      <c r="E324" s="370" t="s">
        <v>348</v>
      </c>
      <c r="F324" s="371">
        <v>13377844</v>
      </c>
      <c r="G324" s="372">
        <v>33.131</v>
      </c>
      <c r="H324" s="371">
        <v>25111.088486215802</v>
      </c>
      <c r="I324" s="371">
        <v>20421.948149637723</v>
      </c>
      <c r="J324" s="373">
        <v>19820.163708779812</v>
      </c>
      <c r="K324" s="313"/>
      <c r="L324" s="313"/>
    </row>
    <row r="325" spans="1:12" x14ac:dyDescent="0.25">
      <c r="A325" s="369">
        <v>7630615</v>
      </c>
      <c r="B325" s="370" t="s">
        <v>515</v>
      </c>
      <c r="C325" s="370" t="s">
        <v>2444</v>
      </c>
      <c r="D325" s="370" t="str">
        <f t="shared" si="5"/>
        <v>7630615__PPPs</v>
      </c>
      <c r="E325" s="370" t="s">
        <v>348</v>
      </c>
      <c r="F325" s="371">
        <v>40699993</v>
      </c>
      <c r="G325" s="372">
        <v>91.421199999999999</v>
      </c>
      <c r="H325" s="371">
        <v>27686.07382138717</v>
      </c>
      <c r="I325" s="371">
        <v>26842.66744907634</v>
      </c>
      <c r="J325" s="373">
        <v>25494.782664826929</v>
      </c>
      <c r="K325" s="313"/>
      <c r="L325" s="313"/>
    </row>
    <row r="326" spans="1:12" x14ac:dyDescent="0.25">
      <c r="A326" s="369">
        <v>7630615</v>
      </c>
      <c r="B326" s="370" t="s">
        <v>515</v>
      </c>
      <c r="C326" s="370" t="s">
        <v>2445</v>
      </c>
      <c r="D326" s="370" t="str">
        <f t="shared" si="5"/>
        <v>7630615__PPPz</v>
      </c>
      <c r="E326" s="370" t="s">
        <v>348</v>
      </c>
      <c r="F326" s="371">
        <v>12336952</v>
      </c>
      <c r="G326" s="372">
        <v>17.248000000000001</v>
      </c>
      <c r="H326" s="371">
        <v>44481.875178836795</v>
      </c>
      <c r="I326" s="371">
        <v>37831.330723609353</v>
      </c>
      <c r="J326" s="373">
        <v>35907.836579157876</v>
      </c>
      <c r="K326" s="313"/>
      <c r="L326" s="313"/>
    </row>
    <row r="327" spans="1:12" ht="15.75" thickBot="1" x14ac:dyDescent="0.3">
      <c r="A327" s="374">
        <v>7630615</v>
      </c>
      <c r="B327" s="375" t="s">
        <v>515</v>
      </c>
      <c r="C327" s="375" t="s">
        <v>2446</v>
      </c>
      <c r="D327" s="375" t="str">
        <f t="shared" si="5"/>
        <v>7630615__VED</v>
      </c>
      <c r="E327" s="375" t="s">
        <v>348</v>
      </c>
      <c r="F327" s="376">
        <v>6937157</v>
      </c>
      <c r="G327" s="377">
        <v>4.5199999999999996</v>
      </c>
      <c r="H327" s="376">
        <v>95445.848743010618</v>
      </c>
      <c r="I327" s="376">
        <v>48141.160757092592</v>
      </c>
      <c r="J327" s="378">
        <v>45747.985872811994</v>
      </c>
      <c r="K327" s="313"/>
      <c r="L327" s="313"/>
    </row>
    <row r="328" spans="1:12" x14ac:dyDescent="0.25">
      <c r="A328" s="364">
        <v>7857005</v>
      </c>
      <c r="B328" s="365" t="s">
        <v>384</v>
      </c>
      <c r="C328" s="365" t="s">
        <v>2442</v>
      </c>
      <c r="D328" s="365" t="str">
        <f t="shared" si="5"/>
        <v>7857005__ADM</v>
      </c>
      <c r="E328" s="365" t="s">
        <v>348</v>
      </c>
      <c r="F328" s="366">
        <v>366531</v>
      </c>
      <c r="G328" s="367">
        <v>0.73</v>
      </c>
      <c r="H328" s="366">
        <v>31224.9539971376</v>
      </c>
      <c r="I328" s="366">
        <v>38143.274999599584</v>
      </c>
      <c r="J328" s="368">
        <v>34618.393616321009</v>
      </c>
      <c r="K328" s="313"/>
      <c r="L328" s="313"/>
    </row>
    <row r="329" spans="1:12" x14ac:dyDescent="0.25">
      <c r="A329" s="369">
        <v>7857005</v>
      </c>
      <c r="B329" s="370" t="s">
        <v>384</v>
      </c>
      <c r="C329" s="370" t="s">
        <v>2443</v>
      </c>
      <c r="D329" s="370" t="str">
        <f t="shared" si="5"/>
        <v>7857005__MAN</v>
      </c>
      <c r="E329" s="370" t="s">
        <v>348</v>
      </c>
      <c r="F329" s="371">
        <v>1185066</v>
      </c>
      <c r="G329" s="372">
        <v>4.47</v>
      </c>
      <c r="H329" s="371">
        <v>16487.278373234498</v>
      </c>
      <c r="I329" s="371">
        <v>20421.948149637723</v>
      </c>
      <c r="J329" s="373">
        <v>19820.163708779812</v>
      </c>
      <c r="K329" s="313"/>
      <c r="L329" s="313"/>
    </row>
    <row r="330" spans="1:12" x14ac:dyDescent="0.25">
      <c r="A330" s="369">
        <v>7857005</v>
      </c>
      <c r="B330" s="370" t="s">
        <v>384</v>
      </c>
      <c r="C330" s="370" t="s">
        <v>2444</v>
      </c>
      <c r="D330" s="370" t="str">
        <f t="shared" si="5"/>
        <v>7857005__PPPs</v>
      </c>
      <c r="E330" s="370" t="s">
        <v>348</v>
      </c>
      <c r="F330" s="371">
        <v>2573058</v>
      </c>
      <c r="G330" s="372">
        <v>6.3194999999999997</v>
      </c>
      <c r="H330" s="371">
        <v>25320.997670087731</v>
      </c>
      <c r="I330" s="371">
        <v>26842.66744907634</v>
      </c>
      <c r="J330" s="373">
        <v>25494.782664826929</v>
      </c>
      <c r="K330" s="313"/>
      <c r="L330" s="313"/>
    </row>
    <row r="331" spans="1:12" x14ac:dyDescent="0.25">
      <c r="A331" s="369">
        <v>7857005</v>
      </c>
      <c r="B331" s="370" t="s">
        <v>384</v>
      </c>
      <c r="C331" s="370" t="s">
        <v>2445</v>
      </c>
      <c r="D331" s="370" t="str">
        <f t="shared" si="5"/>
        <v>7857005__PPPz</v>
      </c>
      <c r="E331" s="370" t="s">
        <v>348</v>
      </c>
      <c r="F331" s="371">
        <v>2076777</v>
      </c>
      <c r="G331" s="372">
        <v>4</v>
      </c>
      <c r="H331" s="371">
        <v>32288.199626865669</v>
      </c>
      <c r="I331" s="371">
        <v>37831.330723609353</v>
      </c>
      <c r="J331" s="373">
        <v>35907.836579157876</v>
      </c>
      <c r="K331" s="313"/>
      <c r="L331" s="313"/>
    </row>
    <row r="332" spans="1:12" ht="15.75" thickBot="1" x14ac:dyDescent="0.3">
      <c r="A332" s="374">
        <v>7857005</v>
      </c>
      <c r="B332" s="375" t="s">
        <v>384</v>
      </c>
      <c r="C332" s="375" t="s">
        <v>2446</v>
      </c>
      <c r="D332" s="375" t="str">
        <f t="shared" si="5"/>
        <v>7857005__VED</v>
      </c>
      <c r="E332" s="375" t="s">
        <v>348</v>
      </c>
      <c r="F332" s="376">
        <v>144340</v>
      </c>
      <c r="G332" s="377">
        <v>0.18</v>
      </c>
      <c r="H332" s="376">
        <v>49868.711995577665</v>
      </c>
      <c r="I332" s="376">
        <v>48141.160757092592</v>
      </c>
      <c r="J332" s="378">
        <v>45747.985872811994</v>
      </c>
      <c r="K332" s="313"/>
      <c r="L332" s="313"/>
    </row>
    <row r="333" spans="1:12" x14ac:dyDescent="0.25">
      <c r="A333" s="364">
        <v>7916274</v>
      </c>
      <c r="B333" s="365" t="s">
        <v>332</v>
      </c>
      <c r="C333" s="365" t="s">
        <v>2442</v>
      </c>
      <c r="D333" s="365" t="str">
        <f t="shared" si="5"/>
        <v>7916274__ADM</v>
      </c>
      <c r="E333" s="365" t="s">
        <v>348</v>
      </c>
      <c r="F333" s="366">
        <v>498797</v>
      </c>
      <c r="G333" s="367">
        <v>1.1000000000000001</v>
      </c>
      <c r="H333" s="366">
        <v>28199.739936680231</v>
      </c>
      <c r="I333" s="366">
        <v>38143.274999599584</v>
      </c>
      <c r="J333" s="368">
        <v>34618.393616321009</v>
      </c>
      <c r="K333" s="313"/>
      <c r="L333" s="313"/>
    </row>
    <row r="334" spans="1:12" x14ac:dyDescent="0.25">
      <c r="A334" s="369">
        <v>7916274</v>
      </c>
      <c r="B334" s="370" t="s">
        <v>332</v>
      </c>
      <c r="C334" s="370" t="s">
        <v>2443</v>
      </c>
      <c r="D334" s="370" t="str">
        <f t="shared" si="5"/>
        <v>7916274__MAN</v>
      </c>
      <c r="E334" s="370" t="s">
        <v>348</v>
      </c>
      <c r="F334" s="371">
        <v>3290834</v>
      </c>
      <c r="G334" s="372">
        <v>8.93</v>
      </c>
      <c r="H334" s="371">
        <v>22917.565030391157</v>
      </c>
      <c r="I334" s="371">
        <v>20421.948149637723</v>
      </c>
      <c r="J334" s="373">
        <v>19820.163708779812</v>
      </c>
      <c r="K334" s="313"/>
      <c r="L334" s="313"/>
    </row>
    <row r="335" spans="1:12" x14ac:dyDescent="0.25">
      <c r="A335" s="369">
        <v>7916274</v>
      </c>
      <c r="B335" s="370" t="s">
        <v>332</v>
      </c>
      <c r="C335" s="370" t="s">
        <v>2444</v>
      </c>
      <c r="D335" s="370" t="str">
        <f t="shared" si="5"/>
        <v>7916274__PPPs</v>
      </c>
      <c r="E335" s="370" t="s">
        <v>348</v>
      </c>
      <c r="F335" s="371">
        <v>6618265</v>
      </c>
      <c r="G335" s="372">
        <v>16.495000000000001</v>
      </c>
      <c r="H335" s="371">
        <v>24952.024509160776</v>
      </c>
      <c r="I335" s="371">
        <v>26842.66744907634</v>
      </c>
      <c r="J335" s="373">
        <v>25494.782664826929</v>
      </c>
      <c r="K335" s="313"/>
      <c r="L335" s="313"/>
    </row>
    <row r="336" spans="1:12" x14ac:dyDescent="0.25">
      <c r="A336" s="369">
        <v>7916274</v>
      </c>
      <c r="B336" s="370" t="s">
        <v>332</v>
      </c>
      <c r="C336" s="370" t="s">
        <v>2445</v>
      </c>
      <c r="D336" s="370" t="str">
        <f t="shared" si="5"/>
        <v>7916274__PPPz</v>
      </c>
      <c r="E336" s="370" t="s">
        <v>348</v>
      </c>
      <c r="F336" s="371">
        <v>2517260</v>
      </c>
      <c r="G336" s="372">
        <v>4.4000000000000004</v>
      </c>
      <c r="H336" s="371">
        <v>35578.6408864767</v>
      </c>
      <c r="I336" s="371">
        <v>37831.330723609353</v>
      </c>
      <c r="J336" s="373">
        <v>35907.836579157876</v>
      </c>
      <c r="K336" s="313"/>
      <c r="L336" s="313"/>
    </row>
    <row r="337" spans="1:12" ht="15.75" thickBot="1" x14ac:dyDescent="0.3">
      <c r="A337" s="374">
        <v>7916274</v>
      </c>
      <c r="B337" s="375" t="s">
        <v>332</v>
      </c>
      <c r="C337" s="375" t="s">
        <v>2446</v>
      </c>
      <c r="D337" s="375" t="str">
        <f t="shared" si="5"/>
        <v>7916274__VED</v>
      </c>
      <c r="E337" s="375" t="s">
        <v>348</v>
      </c>
      <c r="F337" s="376">
        <v>924799</v>
      </c>
      <c r="G337" s="377">
        <v>2.2000000000000002</v>
      </c>
      <c r="H337" s="376">
        <v>26141.988919041152</v>
      </c>
      <c r="I337" s="376">
        <v>48141.160757092592</v>
      </c>
      <c r="J337" s="378">
        <v>45747.985872811994</v>
      </c>
      <c r="K337" s="313"/>
      <c r="L337" s="313"/>
    </row>
    <row r="338" spans="1:12" x14ac:dyDescent="0.25">
      <c r="A338" s="364">
        <v>8508078</v>
      </c>
      <c r="B338" s="365" t="s">
        <v>472</v>
      </c>
      <c r="C338" s="365" t="s">
        <v>2442</v>
      </c>
      <c r="D338" s="365" t="str">
        <f t="shared" si="5"/>
        <v>8508078__ADM</v>
      </c>
      <c r="E338" s="365" t="s">
        <v>348</v>
      </c>
      <c r="F338" s="366">
        <v>989370</v>
      </c>
      <c r="G338" s="367">
        <v>2</v>
      </c>
      <c r="H338" s="366">
        <v>30763.992537313432</v>
      </c>
      <c r="I338" s="366">
        <v>38143.274999599584</v>
      </c>
      <c r="J338" s="368">
        <v>34618.393616321009</v>
      </c>
      <c r="K338" s="313"/>
      <c r="L338" s="313"/>
    </row>
    <row r="339" spans="1:12" x14ac:dyDescent="0.25">
      <c r="A339" s="369">
        <v>8508078</v>
      </c>
      <c r="B339" s="370" t="s">
        <v>472</v>
      </c>
      <c r="C339" s="370" t="s">
        <v>2443</v>
      </c>
      <c r="D339" s="370" t="str">
        <f t="shared" si="5"/>
        <v>8508078__MAN</v>
      </c>
      <c r="E339" s="370" t="s">
        <v>348</v>
      </c>
      <c r="F339" s="371">
        <v>4591667</v>
      </c>
      <c r="G339" s="372">
        <v>13.0191</v>
      </c>
      <c r="H339" s="371">
        <v>21933.26960759643</v>
      </c>
      <c r="I339" s="371">
        <v>20421.948149637723</v>
      </c>
      <c r="J339" s="373">
        <v>19820.163708779812</v>
      </c>
      <c r="K339" s="313"/>
      <c r="L339" s="313"/>
    </row>
    <row r="340" spans="1:12" x14ac:dyDescent="0.25">
      <c r="A340" s="369">
        <v>8508078</v>
      </c>
      <c r="B340" s="370" t="s">
        <v>472</v>
      </c>
      <c r="C340" s="370" t="s">
        <v>2444</v>
      </c>
      <c r="D340" s="370" t="str">
        <f t="shared" si="5"/>
        <v>8508078__PPPs</v>
      </c>
      <c r="E340" s="370" t="s">
        <v>348</v>
      </c>
      <c r="F340" s="371">
        <v>9151259</v>
      </c>
      <c r="G340" s="372">
        <v>23.504000000000001</v>
      </c>
      <c r="H340" s="371">
        <v>24213.246543829522</v>
      </c>
      <c r="I340" s="371">
        <v>26842.66744907634</v>
      </c>
      <c r="J340" s="373">
        <v>25494.782664826929</v>
      </c>
      <c r="K340" s="313"/>
      <c r="L340" s="313"/>
    </row>
    <row r="341" spans="1:12" x14ac:dyDescent="0.25">
      <c r="A341" s="369">
        <v>8508078</v>
      </c>
      <c r="B341" s="370" t="s">
        <v>472</v>
      </c>
      <c r="C341" s="370" t="s">
        <v>2445</v>
      </c>
      <c r="D341" s="370" t="str">
        <f t="shared" si="5"/>
        <v>8508078__PPPz</v>
      </c>
      <c r="E341" s="370" t="s">
        <v>348</v>
      </c>
      <c r="F341" s="371">
        <v>8287041</v>
      </c>
      <c r="G341" s="372">
        <v>14.318</v>
      </c>
      <c r="H341" s="371">
        <v>35994.080616612424</v>
      </c>
      <c r="I341" s="371">
        <v>37831.330723609353</v>
      </c>
      <c r="J341" s="373">
        <v>35907.836579157876</v>
      </c>
      <c r="K341" s="313"/>
      <c r="L341" s="313"/>
    </row>
    <row r="342" spans="1:12" ht="15.75" thickBot="1" x14ac:dyDescent="0.3">
      <c r="A342" s="374">
        <v>8508078</v>
      </c>
      <c r="B342" s="375" t="s">
        <v>472</v>
      </c>
      <c r="C342" s="375" t="s">
        <v>2446</v>
      </c>
      <c r="D342" s="375" t="str">
        <f t="shared" si="5"/>
        <v>8508078__VED</v>
      </c>
      <c r="E342" s="375" t="s">
        <v>348</v>
      </c>
      <c r="F342" s="376">
        <v>1363718</v>
      </c>
      <c r="G342" s="377">
        <v>1.5</v>
      </c>
      <c r="H342" s="376">
        <v>56538.888888888883</v>
      </c>
      <c r="I342" s="376">
        <v>48141.160757092592</v>
      </c>
      <c r="J342" s="378">
        <v>45747.985872811994</v>
      </c>
      <c r="K342" s="313"/>
      <c r="L342" s="313"/>
    </row>
    <row r="343" spans="1:12" x14ac:dyDescent="0.25">
      <c r="A343" s="364">
        <v>8635813</v>
      </c>
      <c r="B343" s="365" t="s">
        <v>493</v>
      </c>
      <c r="C343" s="365" t="s">
        <v>2442</v>
      </c>
      <c r="D343" s="365" t="str">
        <f t="shared" si="5"/>
        <v>8635813__ADM</v>
      </c>
      <c r="E343" s="365" t="s">
        <v>348</v>
      </c>
      <c r="F343" s="366">
        <v>1435231</v>
      </c>
      <c r="G343" s="367">
        <v>2</v>
      </c>
      <c r="H343" s="366">
        <v>44627.829601990044</v>
      </c>
      <c r="I343" s="366">
        <v>38143.274999599584</v>
      </c>
      <c r="J343" s="368">
        <v>34618.393616321009</v>
      </c>
      <c r="K343" s="313"/>
      <c r="L343" s="313"/>
    </row>
    <row r="344" spans="1:12" x14ac:dyDescent="0.25">
      <c r="A344" s="369">
        <v>8635813</v>
      </c>
      <c r="B344" s="370" t="s">
        <v>493</v>
      </c>
      <c r="C344" s="370" t="s">
        <v>2443</v>
      </c>
      <c r="D344" s="370" t="str">
        <f t="shared" si="5"/>
        <v>8635813__MAN</v>
      </c>
      <c r="E344" s="370" t="s">
        <v>348</v>
      </c>
      <c r="F344" s="371">
        <v>3298945</v>
      </c>
      <c r="G344" s="372">
        <v>7.2</v>
      </c>
      <c r="H344" s="371">
        <v>28494.204325594252</v>
      </c>
      <c r="I344" s="371">
        <v>20421.948149637723</v>
      </c>
      <c r="J344" s="373">
        <v>19820.163708779812</v>
      </c>
      <c r="K344" s="313"/>
      <c r="L344" s="313"/>
    </row>
    <row r="345" spans="1:12" x14ac:dyDescent="0.25">
      <c r="A345" s="369">
        <v>8635813</v>
      </c>
      <c r="B345" s="370" t="s">
        <v>493</v>
      </c>
      <c r="C345" s="370" t="s">
        <v>2444</v>
      </c>
      <c r="D345" s="370" t="str">
        <f t="shared" si="5"/>
        <v>8635813__PPPs</v>
      </c>
      <c r="E345" s="370" t="s">
        <v>348</v>
      </c>
      <c r="F345" s="371">
        <v>7953223</v>
      </c>
      <c r="G345" s="372">
        <v>20.167999999999999</v>
      </c>
      <c r="H345" s="371">
        <v>24524.168008628025</v>
      </c>
      <c r="I345" s="371">
        <v>26842.66744907634</v>
      </c>
      <c r="J345" s="373">
        <v>25494.782664826929</v>
      </c>
      <c r="K345" s="313"/>
      <c r="L345" s="313"/>
    </row>
    <row r="346" spans="1:12" x14ac:dyDescent="0.25">
      <c r="A346" s="369">
        <v>8635813</v>
      </c>
      <c r="B346" s="370" t="s">
        <v>493</v>
      </c>
      <c r="C346" s="370" t="s">
        <v>2445</v>
      </c>
      <c r="D346" s="370" t="str">
        <f t="shared" si="5"/>
        <v>8635813__PPPz</v>
      </c>
      <c r="E346" s="370" t="s">
        <v>348</v>
      </c>
      <c r="F346" s="371">
        <v>3731938</v>
      </c>
      <c r="G346" s="372">
        <v>6</v>
      </c>
      <c r="H346" s="371">
        <v>38680.949419568817</v>
      </c>
      <c r="I346" s="371">
        <v>37831.330723609353</v>
      </c>
      <c r="J346" s="373">
        <v>35907.836579157876</v>
      </c>
      <c r="K346" s="313"/>
      <c r="L346" s="313"/>
    </row>
    <row r="347" spans="1:12" ht="15.75" thickBot="1" x14ac:dyDescent="0.3">
      <c r="A347" s="374">
        <v>8635813</v>
      </c>
      <c r="B347" s="375" t="s">
        <v>493</v>
      </c>
      <c r="C347" s="375" t="s">
        <v>2446</v>
      </c>
      <c r="D347" s="375" t="str">
        <f t="shared" si="5"/>
        <v>8635813__VED</v>
      </c>
      <c r="E347" s="375" t="s">
        <v>348</v>
      </c>
      <c r="F347" s="376">
        <v>883722</v>
      </c>
      <c r="G347" s="377">
        <v>1</v>
      </c>
      <c r="H347" s="376">
        <v>54957.835820895518</v>
      </c>
      <c r="I347" s="376">
        <v>48141.160757092592</v>
      </c>
      <c r="J347" s="378">
        <v>45747.985872811994</v>
      </c>
      <c r="K347" s="313"/>
      <c r="L347" s="313"/>
    </row>
    <row r="348" spans="1:12" x14ac:dyDescent="0.25">
      <c r="A348" s="364">
        <v>8877013</v>
      </c>
      <c r="B348" s="365" t="s">
        <v>576</v>
      </c>
      <c r="C348" s="365" t="s">
        <v>2442</v>
      </c>
      <c r="D348" s="365" t="str">
        <f t="shared" si="5"/>
        <v>8877013__ADM</v>
      </c>
      <c r="E348" s="365" t="s">
        <v>348</v>
      </c>
      <c r="F348" s="366">
        <v>748533</v>
      </c>
      <c r="G348" s="367">
        <v>1.6</v>
      </c>
      <c r="H348" s="366">
        <v>29094.099813432833</v>
      </c>
      <c r="I348" s="366">
        <v>38143.274999599584</v>
      </c>
      <c r="J348" s="368">
        <v>34618.393616321009</v>
      </c>
      <c r="K348" s="313"/>
      <c r="L348" s="313"/>
    </row>
    <row r="349" spans="1:12" x14ac:dyDescent="0.25">
      <c r="A349" s="369">
        <v>8877013</v>
      </c>
      <c r="B349" s="370" t="s">
        <v>576</v>
      </c>
      <c r="C349" s="370" t="s">
        <v>2443</v>
      </c>
      <c r="D349" s="370" t="str">
        <f t="shared" si="5"/>
        <v>8877013__MAN</v>
      </c>
      <c r="E349" s="370" t="s">
        <v>348</v>
      </c>
      <c r="F349" s="371">
        <v>2029505</v>
      </c>
      <c r="G349" s="372">
        <v>7.1036999999999999</v>
      </c>
      <c r="H349" s="371">
        <v>17767.219549310616</v>
      </c>
      <c r="I349" s="371">
        <v>20421.948149637723</v>
      </c>
      <c r="J349" s="373">
        <v>19820.163708779812</v>
      </c>
      <c r="K349" s="313"/>
      <c r="L349" s="313"/>
    </row>
    <row r="350" spans="1:12" x14ac:dyDescent="0.25">
      <c r="A350" s="369">
        <v>8877013</v>
      </c>
      <c r="B350" s="370" t="s">
        <v>576</v>
      </c>
      <c r="C350" s="370" t="s">
        <v>2444</v>
      </c>
      <c r="D350" s="370" t="str">
        <f t="shared" si="5"/>
        <v>8877013__PPPs</v>
      </c>
      <c r="E350" s="370" t="s">
        <v>348</v>
      </c>
      <c r="F350" s="371">
        <v>6533622</v>
      </c>
      <c r="G350" s="372">
        <v>14.058</v>
      </c>
      <c r="H350" s="371">
        <v>28903.099738184872</v>
      </c>
      <c r="I350" s="371">
        <v>26842.66744907634</v>
      </c>
      <c r="J350" s="373">
        <v>25494.782664826929</v>
      </c>
      <c r="K350" s="313"/>
      <c r="L350" s="313"/>
    </row>
    <row r="351" spans="1:12" x14ac:dyDescent="0.25">
      <c r="A351" s="369">
        <v>8877013</v>
      </c>
      <c r="B351" s="370" t="s">
        <v>576</v>
      </c>
      <c r="C351" s="370" t="s">
        <v>2445</v>
      </c>
      <c r="D351" s="370" t="str">
        <f t="shared" si="5"/>
        <v>8877013__PPPz</v>
      </c>
      <c r="E351" s="370" t="s">
        <v>348</v>
      </c>
      <c r="F351" s="371">
        <v>4403925</v>
      </c>
      <c r="G351" s="372">
        <v>7.1199000000000003</v>
      </c>
      <c r="H351" s="371">
        <v>38466.261160384398</v>
      </c>
      <c r="I351" s="371">
        <v>37831.330723609353</v>
      </c>
      <c r="J351" s="373">
        <v>35907.836579157876</v>
      </c>
      <c r="K351" s="313"/>
      <c r="L351" s="313"/>
    </row>
    <row r="352" spans="1:12" ht="15.75" thickBot="1" x14ac:dyDescent="0.3">
      <c r="A352" s="374">
        <v>8877013</v>
      </c>
      <c r="B352" s="375" t="s">
        <v>576</v>
      </c>
      <c r="C352" s="375" t="s">
        <v>2446</v>
      </c>
      <c r="D352" s="375" t="str">
        <f t="shared" si="5"/>
        <v>8877013__VED</v>
      </c>
      <c r="E352" s="375" t="s">
        <v>348</v>
      </c>
      <c r="F352" s="376">
        <v>798140</v>
      </c>
      <c r="G352" s="377">
        <v>0.94</v>
      </c>
      <c r="H352" s="376">
        <v>52803.800148195194</v>
      </c>
      <c r="I352" s="376">
        <v>48141.160757092592</v>
      </c>
      <c r="J352" s="378">
        <v>45747.985872811994</v>
      </c>
      <c r="K352" s="313"/>
      <c r="L352" s="313"/>
    </row>
    <row r="353" spans="1:12" x14ac:dyDescent="0.25">
      <c r="A353" s="364">
        <v>8982230</v>
      </c>
      <c r="B353" s="365" t="s">
        <v>959</v>
      </c>
      <c r="C353" s="365" t="s">
        <v>2442</v>
      </c>
      <c r="D353" s="365" t="str">
        <f t="shared" si="5"/>
        <v>8982230__ADM</v>
      </c>
      <c r="E353" s="365" t="s">
        <v>348</v>
      </c>
      <c r="F353" s="366">
        <v>0</v>
      </c>
      <c r="G353" s="367">
        <v>0</v>
      </c>
      <c r="H353" s="366">
        <v>0</v>
      </c>
      <c r="I353" s="366">
        <v>38143.274999599584</v>
      </c>
      <c r="J353" s="368">
        <v>34618.393616321009</v>
      </c>
      <c r="K353" s="313"/>
      <c r="L353" s="313"/>
    </row>
    <row r="354" spans="1:12" x14ac:dyDescent="0.25">
      <c r="A354" s="369">
        <v>8982230</v>
      </c>
      <c r="B354" s="370" t="s">
        <v>959</v>
      </c>
      <c r="C354" s="370" t="s">
        <v>2443</v>
      </c>
      <c r="D354" s="370" t="str">
        <f t="shared" si="5"/>
        <v>8982230__MAN</v>
      </c>
      <c r="E354" s="370" t="s">
        <v>348</v>
      </c>
      <c r="F354" s="371">
        <v>2001806</v>
      </c>
      <c r="G354" s="372">
        <v>3.4</v>
      </c>
      <c r="H354" s="371">
        <v>36614.83026046239</v>
      </c>
      <c r="I354" s="371">
        <v>20421.948149637723</v>
      </c>
      <c r="J354" s="373">
        <v>19820.163708779812</v>
      </c>
      <c r="K354" s="313"/>
      <c r="L354" s="313"/>
    </row>
    <row r="355" spans="1:12" x14ac:dyDescent="0.25">
      <c r="A355" s="369">
        <v>8982230</v>
      </c>
      <c r="B355" s="370" t="s">
        <v>959</v>
      </c>
      <c r="C355" s="370" t="s">
        <v>2444</v>
      </c>
      <c r="D355" s="370" t="str">
        <f t="shared" si="5"/>
        <v>8982230__PPPs</v>
      </c>
      <c r="E355" s="370" t="s">
        <v>348</v>
      </c>
      <c r="F355" s="371">
        <v>5583720</v>
      </c>
      <c r="G355" s="372">
        <v>11</v>
      </c>
      <c r="H355" s="371">
        <v>31567.842605156038</v>
      </c>
      <c r="I355" s="371">
        <v>26842.66744907634</v>
      </c>
      <c r="J355" s="373">
        <v>25494.782664826929</v>
      </c>
      <c r="K355" s="313"/>
      <c r="L355" s="313"/>
    </row>
    <row r="356" spans="1:12" x14ac:dyDescent="0.25">
      <c r="A356" s="369">
        <v>8982230</v>
      </c>
      <c r="B356" s="370" t="s">
        <v>959</v>
      </c>
      <c r="C356" s="370" t="s">
        <v>2445</v>
      </c>
      <c r="D356" s="370" t="str">
        <f t="shared" si="5"/>
        <v>8982230__PPPz</v>
      </c>
      <c r="E356" s="370" t="s">
        <v>348</v>
      </c>
      <c r="F356" s="371">
        <v>2315395</v>
      </c>
      <c r="G356" s="372">
        <v>4.0568</v>
      </c>
      <c r="H356" s="371">
        <v>35494.041206901798</v>
      </c>
      <c r="I356" s="371">
        <v>37831.330723609353</v>
      </c>
      <c r="J356" s="373">
        <v>35907.836579157876</v>
      </c>
      <c r="K356" s="313"/>
      <c r="L356" s="313"/>
    </row>
    <row r="357" spans="1:12" ht="15.75" thickBot="1" x14ac:dyDescent="0.3">
      <c r="A357" s="374">
        <v>8982230</v>
      </c>
      <c r="B357" s="375" t="s">
        <v>959</v>
      </c>
      <c r="C357" s="375" t="s">
        <v>2446</v>
      </c>
      <c r="D357" s="375" t="str">
        <f t="shared" si="5"/>
        <v>8982230__VED</v>
      </c>
      <c r="E357" s="375" t="s">
        <v>348</v>
      </c>
      <c r="F357" s="376">
        <v>1013310</v>
      </c>
      <c r="G357" s="377">
        <v>3</v>
      </c>
      <c r="H357" s="376">
        <v>21005.597014925374</v>
      </c>
      <c r="I357" s="376">
        <v>48141.160757092592</v>
      </c>
      <c r="J357" s="378">
        <v>45747.985872811994</v>
      </c>
      <c r="K357" s="313"/>
      <c r="L357" s="313"/>
    </row>
    <row r="358" spans="1:12" x14ac:dyDescent="0.25">
      <c r="A358" s="364">
        <v>9593192</v>
      </c>
      <c r="B358" s="365" t="s">
        <v>480</v>
      </c>
      <c r="C358" s="365" t="s">
        <v>2442</v>
      </c>
      <c r="D358" s="365" t="str">
        <f t="shared" si="5"/>
        <v>9593192__ADM</v>
      </c>
      <c r="E358" s="365" t="s">
        <v>348</v>
      </c>
      <c r="F358" s="366">
        <v>2715599</v>
      </c>
      <c r="G358" s="367">
        <v>2.2000000000000002</v>
      </c>
      <c r="H358" s="366">
        <v>76763.879466304817</v>
      </c>
      <c r="I358" s="366">
        <v>38143.274999599584</v>
      </c>
      <c r="J358" s="368">
        <v>34618.393616321009</v>
      </c>
      <c r="K358" s="313"/>
      <c r="L358" s="313"/>
    </row>
    <row r="359" spans="1:12" x14ac:dyDescent="0.25">
      <c r="A359" s="369">
        <v>9593192</v>
      </c>
      <c r="B359" s="370" t="s">
        <v>480</v>
      </c>
      <c r="C359" s="370" t="s">
        <v>2443</v>
      </c>
      <c r="D359" s="370" t="str">
        <f t="shared" si="5"/>
        <v>9593192__MAN</v>
      </c>
      <c r="E359" s="370" t="s">
        <v>348</v>
      </c>
      <c r="F359" s="371">
        <v>6183222</v>
      </c>
      <c r="G359" s="372">
        <v>15.9475</v>
      </c>
      <c r="H359" s="371">
        <v>24112.163746247599</v>
      </c>
      <c r="I359" s="371">
        <v>20421.948149637723</v>
      </c>
      <c r="J359" s="373">
        <v>19820.163708779812</v>
      </c>
      <c r="K359" s="313"/>
      <c r="L359" s="313"/>
    </row>
    <row r="360" spans="1:12" x14ac:dyDescent="0.25">
      <c r="A360" s="369">
        <v>9593192</v>
      </c>
      <c r="B360" s="370" t="s">
        <v>480</v>
      </c>
      <c r="C360" s="370" t="s">
        <v>2444</v>
      </c>
      <c r="D360" s="370" t="str">
        <f t="shared" si="5"/>
        <v>9593192__PPPs</v>
      </c>
      <c r="E360" s="370" t="s">
        <v>348</v>
      </c>
      <c r="F360" s="371">
        <v>12132872</v>
      </c>
      <c r="G360" s="372">
        <v>25.817699999999999</v>
      </c>
      <c r="H360" s="371">
        <v>29225.370222599999</v>
      </c>
      <c r="I360" s="371">
        <v>26842.66744907634</v>
      </c>
      <c r="J360" s="373">
        <v>25494.782664826929</v>
      </c>
      <c r="K360" s="313"/>
      <c r="L360" s="313"/>
    </row>
    <row r="361" spans="1:12" x14ac:dyDescent="0.25">
      <c r="A361" s="369">
        <v>9593192</v>
      </c>
      <c r="B361" s="370" t="s">
        <v>480</v>
      </c>
      <c r="C361" s="370" t="s">
        <v>2445</v>
      </c>
      <c r="D361" s="370" t="str">
        <f t="shared" si="5"/>
        <v>9593192__PPPz</v>
      </c>
      <c r="E361" s="370" t="s">
        <v>348</v>
      </c>
      <c r="F361" s="371">
        <v>9509090</v>
      </c>
      <c r="G361" s="372">
        <v>12.83</v>
      </c>
      <c r="H361" s="371">
        <v>46092.074700542493</v>
      </c>
      <c r="I361" s="371">
        <v>37831.330723609353</v>
      </c>
      <c r="J361" s="373">
        <v>35907.836579157876</v>
      </c>
      <c r="K361" s="313"/>
      <c r="L361" s="313"/>
    </row>
    <row r="362" spans="1:12" ht="15.75" thickBot="1" x14ac:dyDescent="0.3">
      <c r="A362" s="374">
        <v>9593192</v>
      </c>
      <c r="B362" s="375" t="s">
        <v>480</v>
      </c>
      <c r="C362" s="375" t="s">
        <v>2446</v>
      </c>
      <c r="D362" s="375" t="str">
        <f t="shared" si="5"/>
        <v>9593192__VED</v>
      </c>
      <c r="E362" s="375" t="s">
        <v>348</v>
      </c>
      <c r="F362" s="376">
        <v>903656</v>
      </c>
      <c r="G362" s="377">
        <v>1</v>
      </c>
      <c r="H362" s="376">
        <v>56197.512437810947</v>
      </c>
      <c r="I362" s="376">
        <v>48141.160757092592</v>
      </c>
      <c r="J362" s="378">
        <v>45747.985872811994</v>
      </c>
      <c r="K362" s="313"/>
      <c r="L362" s="313"/>
    </row>
    <row r="363" spans="1:12" x14ac:dyDescent="0.25">
      <c r="A363" s="364">
        <v>9688838</v>
      </c>
      <c r="B363" s="365" t="s">
        <v>499</v>
      </c>
      <c r="C363" s="365" t="s">
        <v>2442</v>
      </c>
      <c r="D363" s="365" t="str">
        <f t="shared" si="5"/>
        <v>9688838__ADM</v>
      </c>
      <c r="E363" s="365" t="s">
        <v>348</v>
      </c>
      <c r="F363" s="366">
        <v>2981161</v>
      </c>
      <c r="G363" s="367">
        <v>5</v>
      </c>
      <c r="H363" s="366">
        <v>37079.116915422877</v>
      </c>
      <c r="I363" s="366">
        <v>38143.274999599584</v>
      </c>
      <c r="J363" s="368">
        <v>34618.393616321009</v>
      </c>
      <c r="K363" s="313"/>
      <c r="L363" s="313"/>
    </row>
    <row r="364" spans="1:12" x14ac:dyDescent="0.25">
      <c r="A364" s="369">
        <v>9688838</v>
      </c>
      <c r="B364" s="370" t="s">
        <v>499</v>
      </c>
      <c r="C364" s="370" t="s">
        <v>2443</v>
      </c>
      <c r="D364" s="370" t="str">
        <f t="shared" si="5"/>
        <v>9688838__MAN</v>
      </c>
      <c r="E364" s="370" t="s">
        <v>348</v>
      </c>
      <c r="F364" s="371">
        <v>7112486</v>
      </c>
      <c r="G364" s="372">
        <v>19.3963</v>
      </c>
      <c r="H364" s="371">
        <v>22804.286440946333</v>
      </c>
      <c r="I364" s="371">
        <v>20421.948149637723</v>
      </c>
      <c r="J364" s="373">
        <v>19820.163708779812</v>
      </c>
      <c r="K364" s="313"/>
      <c r="L364" s="313"/>
    </row>
    <row r="365" spans="1:12" x14ac:dyDescent="0.25">
      <c r="A365" s="369">
        <v>9688838</v>
      </c>
      <c r="B365" s="370" t="s">
        <v>499</v>
      </c>
      <c r="C365" s="370" t="s">
        <v>2444</v>
      </c>
      <c r="D365" s="370" t="str">
        <f t="shared" si="5"/>
        <v>9688838__PPPs</v>
      </c>
      <c r="E365" s="370" t="s">
        <v>348</v>
      </c>
      <c r="F365" s="371">
        <v>19137138</v>
      </c>
      <c r="G365" s="372">
        <v>40.152799999999999</v>
      </c>
      <c r="H365" s="371">
        <v>29639.789065471392</v>
      </c>
      <c r="I365" s="371">
        <v>26842.66744907634</v>
      </c>
      <c r="J365" s="373">
        <v>25494.782664826929</v>
      </c>
      <c r="K365" s="313"/>
      <c r="L365" s="313"/>
    </row>
    <row r="366" spans="1:12" x14ac:dyDescent="0.25">
      <c r="A366" s="369">
        <v>9688838</v>
      </c>
      <c r="B366" s="370" t="s">
        <v>499</v>
      </c>
      <c r="C366" s="370" t="s">
        <v>2445</v>
      </c>
      <c r="D366" s="370" t="str">
        <f t="shared" si="5"/>
        <v>9688838__PPPz</v>
      </c>
      <c r="E366" s="370" t="s">
        <v>348</v>
      </c>
      <c r="F366" s="371">
        <v>11453669</v>
      </c>
      <c r="G366" s="372">
        <v>18.22</v>
      </c>
      <c r="H366" s="371">
        <v>39094.009234835699</v>
      </c>
      <c r="I366" s="371">
        <v>37831.330723609353</v>
      </c>
      <c r="J366" s="373">
        <v>35907.836579157876</v>
      </c>
      <c r="K366" s="313"/>
      <c r="L366" s="313"/>
    </row>
    <row r="367" spans="1:12" ht="15.75" thickBot="1" x14ac:dyDescent="0.3">
      <c r="A367" s="374">
        <v>9688838</v>
      </c>
      <c r="B367" s="375" t="s">
        <v>499</v>
      </c>
      <c r="C367" s="375" t="s">
        <v>2446</v>
      </c>
      <c r="D367" s="375" t="str">
        <f t="shared" si="5"/>
        <v>9688838__VED</v>
      </c>
      <c r="E367" s="375" t="s">
        <v>348</v>
      </c>
      <c r="F367" s="376">
        <v>636642</v>
      </c>
      <c r="G367" s="377">
        <v>1</v>
      </c>
      <c r="H367" s="376">
        <v>39592.164179104475</v>
      </c>
      <c r="I367" s="376">
        <v>48141.160757092592</v>
      </c>
      <c r="J367" s="378">
        <v>45747.985872811994</v>
      </c>
      <c r="K367" s="313"/>
      <c r="L367" s="313"/>
    </row>
    <row r="368" spans="1:12" x14ac:dyDescent="0.25">
      <c r="A368" s="364">
        <v>1450637</v>
      </c>
      <c r="B368" s="365" t="s">
        <v>440</v>
      </c>
      <c r="C368" s="365" t="s">
        <v>2442</v>
      </c>
      <c r="D368" s="365" t="str">
        <f t="shared" si="5"/>
        <v>1450637__ADM</v>
      </c>
      <c r="E368" s="365" t="s">
        <v>392</v>
      </c>
      <c r="F368" s="366">
        <v>1647351</v>
      </c>
      <c r="G368" s="367">
        <v>3.5</v>
      </c>
      <c r="H368" s="366">
        <v>29270.6289978678</v>
      </c>
      <c r="I368" s="366">
        <v>38630.903094767978</v>
      </c>
      <c r="J368" s="368">
        <v>34899.740744072842</v>
      </c>
      <c r="K368" s="313"/>
      <c r="L368" s="313"/>
    </row>
    <row r="369" spans="1:12" x14ac:dyDescent="0.25">
      <c r="A369" s="369">
        <v>1450637</v>
      </c>
      <c r="B369" s="370" t="s">
        <v>440</v>
      </c>
      <c r="C369" s="370" t="s">
        <v>2443</v>
      </c>
      <c r="D369" s="370" t="str">
        <f t="shared" si="5"/>
        <v>1450637__MAN</v>
      </c>
      <c r="E369" s="370" t="s">
        <v>392</v>
      </c>
      <c r="F369" s="371">
        <v>5971105</v>
      </c>
      <c r="G369" s="372">
        <v>16.173300000000001</v>
      </c>
      <c r="H369" s="371">
        <v>22959.901542782889</v>
      </c>
      <c r="I369" s="371">
        <v>20753.721281628335</v>
      </c>
      <c r="J369" s="373">
        <v>20600.091164032972</v>
      </c>
      <c r="K369" s="313"/>
      <c r="L369" s="313"/>
    </row>
    <row r="370" spans="1:12" x14ac:dyDescent="0.25">
      <c r="A370" s="369">
        <v>1450637</v>
      </c>
      <c r="B370" s="370" t="s">
        <v>440</v>
      </c>
      <c r="C370" s="370" t="s">
        <v>2444</v>
      </c>
      <c r="D370" s="370" t="str">
        <f t="shared" si="5"/>
        <v>1450637__PPPs</v>
      </c>
      <c r="E370" s="370" t="s">
        <v>392</v>
      </c>
      <c r="F370" s="371">
        <v>18201018</v>
      </c>
      <c r="G370" s="372">
        <v>35.345999999999997</v>
      </c>
      <c r="H370" s="371">
        <v>32023.54168725208</v>
      </c>
      <c r="I370" s="371">
        <v>27919.23485565402</v>
      </c>
      <c r="J370" s="373">
        <v>24602.206032430611</v>
      </c>
      <c r="K370" s="313"/>
      <c r="L370" s="313"/>
    </row>
    <row r="371" spans="1:12" x14ac:dyDescent="0.25">
      <c r="A371" s="369">
        <v>1450637</v>
      </c>
      <c r="B371" s="370" t="s">
        <v>440</v>
      </c>
      <c r="C371" s="370" t="s">
        <v>2445</v>
      </c>
      <c r="D371" s="370" t="str">
        <f t="shared" si="5"/>
        <v>1450637__PPPz</v>
      </c>
      <c r="E371" s="370" t="s">
        <v>392</v>
      </c>
      <c r="F371" s="371">
        <v>7474395</v>
      </c>
      <c r="G371" s="372">
        <v>11.9</v>
      </c>
      <c r="H371" s="371">
        <v>39060.971403486765</v>
      </c>
      <c r="I371" s="371">
        <v>37388.979406189217</v>
      </c>
      <c r="J371" s="373">
        <v>32677.461975540969</v>
      </c>
      <c r="K371" s="313"/>
      <c r="L371" s="313"/>
    </row>
    <row r="372" spans="1:12" ht="15.75" thickBot="1" x14ac:dyDescent="0.3">
      <c r="A372" s="374">
        <v>1450637</v>
      </c>
      <c r="B372" s="375" t="s">
        <v>440</v>
      </c>
      <c r="C372" s="375" t="s">
        <v>2446</v>
      </c>
      <c r="D372" s="375" t="str">
        <f t="shared" si="5"/>
        <v>1450637__VED</v>
      </c>
      <c r="E372" s="375" t="s">
        <v>392</v>
      </c>
      <c r="F372" s="376">
        <v>1074831</v>
      </c>
      <c r="G372" s="377">
        <v>1</v>
      </c>
      <c r="H372" s="376">
        <v>66842.723880597012</v>
      </c>
      <c r="I372" s="376">
        <v>34254.69456373532</v>
      </c>
      <c r="J372" s="378">
        <v>43195.328116060256</v>
      </c>
      <c r="K372" s="313"/>
      <c r="L372" s="313"/>
    </row>
    <row r="373" spans="1:12" x14ac:dyDescent="0.25">
      <c r="A373" s="364">
        <v>1642854</v>
      </c>
      <c r="B373" s="365" t="s">
        <v>942</v>
      </c>
      <c r="C373" s="365" t="s">
        <v>2442</v>
      </c>
      <c r="D373" s="365" t="str">
        <f t="shared" si="5"/>
        <v>1642854__ADM</v>
      </c>
      <c r="E373" s="365" t="s">
        <v>392</v>
      </c>
      <c r="F373" s="366">
        <v>916868</v>
      </c>
      <c r="G373" s="367">
        <v>1</v>
      </c>
      <c r="H373" s="366">
        <v>57019.154228855725</v>
      </c>
      <c r="I373" s="366">
        <v>38630.903094767978</v>
      </c>
      <c r="J373" s="368">
        <v>34899.740744072842</v>
      </c>
      <c r="K373" s="313"/>
      <c r="L373" s="313"/>
    </row>
    <row r="374" spans="1:12" x14ac:dyDescent="0.25">
      <c r="A374" s="369">
        <v>1642854</v>
      </c>
      <c r="B374" s="370" t="s">
        <v>942</v>
      </c>
      <c r="C374" s="370" t="s">
        <v>2443</v>
      </c>
      <c r="D374" s="370" t="str">
        <f t="shared" si="5"/>
        <v>1642854__MAN</v>
      </c>
      <c r="E374" s="370" t="s">
        <v>392</v>
      </c>
      <c r="F374" s="371">
        <v>2248628</v>
      </c>
      <c r="G374" s="372">
        <v>7</v>
      </c>
      <c r="H374" s="371">
        <v>19977.149964463395</v>
      </c>
      <c r="I374" s="371">
        <v>20753.721281628335</v>
      </c>
      <c r="J374" s="373">
        <v>20600.091164032972</v>
      </c>
      <c r="K374" s="313"/>
      <c r="L374" s="313"/>
    </row>
    <row r="375" spans="1:12" x14ac:dyDescent="0.25">
      <c r="A375" s="369">
        <v>1642854</v>
      </c>
      <c r="B375" s="370" t="s">
        <v>942</v>
      </c>
      <c r="C375" s="370" t="s">
        <v>2444</v>
      </c>
      <c r="D375" s="370" t="str">
        <f t="shared" si="5"/>
        <v>1642854__PPPs</v>
      </c>
      <c r="E375" s="370" t="s">
        <v>392</v>
      </c>
      <c r="F375" s="371">
        <v>9840686</v>
      </c>
      <c r="G375" s="372">
        <v>23.172000000000001</v>
      </c>
      <c r="H375" s="371">
        <v>26410.450552347873</v>
      </c>
      <c r="I375" s="371">
        <v>27919.23485565402</v>
      </c>
      <c r="J375" s="373">
        <v>24602.206032430611</v>
      </c>
      <c r="K375" s="313"/>
      <c r="L375" s="313"/>
    </row>
    <row r="376" spans="1:12" x14ac:dyDescent="0.25">
      <c r="A376" s="369">
        <v>1642854</v>
      </c>
      <c r="B376" s="370" t="s">
        <v>942</v>
      </c>
      <c r="C376" s="370" t="s">
        <v>2445</v>
      </c>
      <c r="D376" s="370" t="str">
        <f t="shared" si="5"/>
        <v>1642854__PPPz</v>
      </c>
      <c r="E376" s="370" t="s">
        <v>392</v>
      </c>
      <c r="F376" s="371">
        <v>792342</v>
      </c>
      <c r="G376" s="372">
        <v>1.32</v>
      </c>
      <c r="H376" s="371">
        <v>37329.545454545449</v>
      </c>
      <c r="I376" s="371">
        <v>37388.979406189217</v>
      </c>
      <c r="J376" s="373">
        <v>32677.461975540969</v>
      </c>
      <c r="K376" s="313"/>
      <c r="L376" s="313"/>
    </row>
    <row r="377" spans="1:12" ht="15.75" thickBot="1" x14ac:dyDescent="0.3">
      <c r="A377" s="374">
        <v>1642854</v>
      </c>
      <c r="B377" s="375" t="s">
        <v>942</v>
      </c>
      <c r="C377" s="375" t="s">
        <v>2446</v>
      </c>
      <c r="D377" s="375" t="str">
        <f t="shared" si="5"/>
        <v>1642854__VED</v>
      </c>
      <c r="E377" s="375" t="s">
        <v>392</v>
      </c>
      <c r="F377" s="376">
        <v>308200</v>
      </c>
      <c r="G377" s="377">
        <v>0.8</v>
      </c>
      <c r="H377" s="376">
        <v>23958.333333333332</v>
      </c>
      <c r="I377" s="376">
        <v>34254.69456373532</v>
      </c>
      <c r="J377" s="378">
        <v>43195.328116060256</v>
      </c>
      <c r="K377" s="313"/>
      <c r="L377" s="313"/>
    </row>
    <row r="378" spans="1:12" x14ac:dyDescent="0.25">
      <c r="A378" s="364">
        <v>1896778</v>
      </c>
      <c r="B378" s="365" t="s">
        <v>2436</v>
      </c>
      <c r="C378" s="365" t="s">
        <v>2442</v>
      </c>
      <c r="D378" s="365" t="str">
        <f t="shared" si="5"/>
        <v>1896778__ADM</v>
      </c>
      <c r="E378" s="365" t="s">
        <v>392</v>
      </c>
      <c r="F378" s="366">
        <v>848521</v>
      </c>
      <c r="G378" s="367">
        <v>3.2</v>
      </c>
      <c r="H378" s="366">
        <v>16490.2246579602</v>
      </c>
      <c r="I378" s="366">
        <v>38630.903094767978</v>
      </c>
      <c r="J378" s="368">
        <v>34899.740744072842</v>
      </c>
      <c r="K378" s="313"/>
      <c r="L378" s="313"/>
    </row>
    <row r="379" spans="1:12" x14ac:dyDescent="0.25">
      <c r="A379" s="369">
        <v>1896778</v>
      </c>
      <c r="B379" s="370" t="s">
        <v>2436</v>
      </c>
      <c r="C379" s="370" t="s">
        <v>2443</v>
      </c>
      <c r="D379" s="370" t="str">
        <f t="shared" si="5"/>
        <v>1896778__MAN</v>
      </c>
      <c r="E379" s="370" t="s">
        <v>392</v>
      </c>
      <c r="F379" s="371">
        <v>3272237</v>
      </c>
      <c r="G379" s="372">
        <v>10.42</v>
      </c>
      <c r="H379" s="371">
        <v>19529.493845551511</v>
      </c>
      <c r="I379" s="371">
        <v>20753.721281628335</v>
      </c>
      <c r="J379" s="373">
        <v>20600.091164032972</v>
      </c>
      <c r="K379" s="313"/>
      <c r="L379" s="313"/>
    </row>
    <row r="380" spans="1:12" x14ac:dyDescent="0.25">
      <c r="A380" s="369">
        <v>1896778</v>
      </c>
      <c r="B380" s="370" t="s">
        <v>2436</v>
      </c>
      <c r="C380" s="370" t="s">
        <v>2444</v>
      </c>
      <c r="D380" s="370" t="str">
        <f t="shared" si="5"/>
        <v>1896778__PPPs</v>
      </c>
      <c r="E380" s="370" t="s">
        <v>392</v>
      </c>
      <c r="F380" s="371">
        <v>5086219</v>
      </c>
      <c r="G380" s="372">
        <v>9.4499999999999993</v>
      </c>
      <c r="H380" s="371">
        <v>33471.656268919949</v>
      </c>
      <c r="I380" s="371">
        <v>27919.23485565402</v>
      </c>
      <c r="J380" s="373">
        <v>24602.206032430611</v>
      </c>
      <c r="K380" s="313"/>
      <c r="L380" s="313"/>
    </row>
    <row r="381" spans="1:12" x14ac:dyDescent="0.25">
      <c r="A381" s="369">
        <v>1896778</v>
      </c>
      <c r="B381" s="370" t="s">
        <v>2436</v>
      </c>
      <c r="C381" s="370" t="s">
        <v>2445</v>
      </c>
      <c r="D381" s="370" t="str">
        <f t="shared" si="5"/>
        <v>1896778__PPPz</v>
      </c>
      <c r="E381" s="370" t="s">
        <v>392</v>
      </c>
      <c r="F381" s="371">
        <v>588406</v>
      </c>
      <c r="G381" s="372">
        <v>3</v>
      </c>
      <c r="H381" s="371">
        <v>12197.470978441128</v>
      </c>
      <c r="I381" s="371">
        <v>37388.979406189217</v>
      </c>
      <c r="J381" s="373">
        <v>32677.461975540969</v>
      </c>
      <c r="K381" s="313"/>
      <c r="L381" s="313"/>
    </row>
    <row r="382" spans="1:12" ht="15.75" thickBot="1" x14ac:dyDescent="0.3">
      <c r="A382" s="374">
        <v>1896778</v>
      </c>
      <c r="B382" s="375" t="s">
        <v>2436</v>
      </c>
      <c r="C382" s="375" t="s">
        <v>2446</v>
      </c>
      <c r="D382" s="375" t="str">
        <f t="shared" si="5"/>
        <v>1896778__VED</v>
      </c>
      <c r="E382" s="375" t="s">
        <v>392</v>
      </c>
      <c r="F382" s="376">
        <v>196056</v>
      </c>
      <c r="G382" s="377">
        <v>5.32</v>
      </c>
      <c r="H382" s="376">
        <v>2291.8303220738408</v>
      </c>
      <c r="I382" s="376">
        <v>34254.69456373532</v>
      </c>
      <c r="J382" s="378">
        <v>43195.328116060256</v>
      </c>
      <c r="K382" s="313"/>
      <c r="L382" s="313"/>
    </row>
    <row r="383" spans="1:12" x14ac:dyDescent="0.25">
      <c r="A383" s="364">
        <v>1991772</v>
      </c>
      <c r="B383" s="365" t="s">
        <v>472</v>
      </c>
      <c r="C383" s="365" t="s">
        <v>2442</v>
      </c>
      <c r="D383" s="365" t="str">
        <f t="shared" si="5"/>
        <v>1991772__ADM</v>
      </c>
      <c r="E383" s="365" t="s">
        <v>392</v>
      </c>
      <c r="F383" s="366">
        <v>677579</v>
      </c>
      <c r="G383" s="367">
        <v>1</v>
      </c>
      <c r="H383" s="366">
        <v>42137.997512437803</v>
      </c>
      <c r="I383" s="366">
        <v>38630.903094767978</v>
      </c>
      <c r="J383" s="368">
        <v>34899.740744072842</v>
      </c>
      <c r="K383" s="313"/>
      <c r="L383" s="313"/>
    </row>
    <row r="384" spans="1:12" x14ac:dyDescent="0.25">
      <c r="A384" s="369">
        <v>1991772</v>
      </c>
      <c r="B384" s="370" t="s">
        <v>472</v>
      </c>
      <c r="C384" s="370" t="s">
        <v>2443</v>
      </c>
      <c r="D384" s="370" t="str">
        <f t="shared" si="5"/>
        <v>1991772__MAN</v>
      </c>
      <c r="E384" s="370" t="s">
        <v>392</v>
      </c>
      <c r="F384" s="371">
        <v>3314744</v>
      </c>
      <c r="G384" s="372">
        <v>9.69</v>
      </c>
      <c r="H384" s="371">
        <v>21273.559960774048</v>
      </c>
      <c r="I384" s="371">
        <v>20753.721281628335</v>
      </c>
      <c r="J384" s="373">
        <v>20600.091164032972</v>
      </c>
      <c r="K384" s="313"/>
      <c r="L384" s="313"/>
    </row>
    <row r="385" spans="1:12" x14ac:dyDescent="0.25">
      <c r="A385" s="369">
        <v>1991772</v>
      </c>
      <c r="B385" s="370" t="s">
        <v>472</v>
      </c>
      <c r="C385" s="370" t="s">
        <v>2444</v>
      </c>
      <c r="D385" s="370" t="str">
        <f t="shared" si="5"/>
        <v>1991772__PPPs</v>
      </c>
      <c r="E385" s="370" t="s">
        <v>392</v>
      </c>
      <c r="F385" s="371">
        <v>8534708</v>
      </c>
      <c r="G385" s="372">
        <v>19.27</v>
      </c>
      <c r="H385" s="371">
        <v>27543.613019489992</v>
      </c>
      <c r="I385" s="371">
        <v>27919.23485565402</v>
      </c>
      <c r="J385" s="373">
        <v>24602.206032430611</v>
      </c>
      <c r="K385" s="313"/>
      <c r="L385" s="313"/>
    </row>
    <row r="386" spans="1:12" x14ac:dyDescent="0.25">
      <c r="A386" s="369">
        <v>1991772</v>
      </c>
      <c r="B386" s="370" t="s">
        <v>472</v>
      </c>
      <c r="C386" s="370" t="s">
        <v>2445</v>
      </c>
      <c r="D386" s="370" t="str">
        <f t="shared" si="5"/>
        <v>1991772__PPPz</v>
      </c>
      <c r="E386" s="370" t="s">
        <v>392</v>
      </c>
      <c r="F386" s="371">
        <v>4283048</v>
      </c>
      <c r="G386" s="372">
        <v>6</v>
      </c>
      <c r="H386" s="371">
        <v>44393.117744610281</v>
      </c>
      <c r="I386" s="371">
        <v>37388.979406189217</v>
      </c>
      <c r="J386" s="373">
        <v>32677.461975540969</v>
      </c>
      <c r="K386" s="313"/>
      <c r="L386" s="313"/>
    </row>
    <row r="387" spans="1:12" ht="15.75" thickBot="1" x14ac:dyDescent="0.3">
      <c r="A387" s="374">
        <v>1991772</v>
      </c>
      <c r="B387" s="375" t="s">
        <v>472</v>
      </c>
      <c r="C387" s="375" t="s">
        <v>2446</v>
      </c>
      <c r="D387" s="375" t="str">
        <f t="shared" ref="D387:D450" si="6">CONCATENATE(A387,"__",C387)</f>
        <v>1991772__VED</v>
      </c>
      <c r="E387" s="375" t="s">
        <v>392</v>
      </c>
      <c r="F387" s="376">
        <v>1026219</v>
      </c>
      <c r="G387" s="377">
        <v>1.155</v>
      </c>
      <c r="H387" s="376">
        <v>55255.055889384239</v>
      </c>
      <c r="I387" s="376">
        <v>34254.69456373532</v>
      </c>
      <c r="J387" s="378">
        <v>43195.328116060256</v>
      </c>
      <c r="K387" s="313"/>
      <c r="L387" s="313"/>
    </row>
    <row r="388" spans="1:12" x14ac:dyDescent="0.25">
      <c r="A388" s="364">
        <v>3754207</v>
      </c>
      <c r="B388" s="365" t="s">
        <v>447</v>
      </c>
      <c r="C388" s="365" t="s">
        <v>2442</v>
      </c>
      <c r="D388" s="365" t="str">
        <f t="shared" si="6"/>
        <v>3754207__ADM</v>
      </c>
      <c r="E388" s="365" t="s">
        <v>392</v>
      </c>
      <c r="F388" s="366">
        <v>2828968</v>
      </c>
      <c r="G388" s="367">
        <v>2</v>
      </c>
      <c r="H388" s="366">
        <v>87965.422885572145</v>
      </c>
      <c r="I388" s="366">
        <v>38630.903094767978</v>
      </c>
      <c r="J388" s="368">
        <v>34899.740744072842</v>
      </c>
      <c r="K388" s="313"/>
      <c r="L388" s="313"/>
    </row>
    <row r="389" spans="1:12" x14ac:dyDescent="0.25">
      <c r="A389" s="369">
        <v>3754207</v>
      </c>
      <c r="B389" s="370" t="s">
        <v>447</v>
      </c>
      <c r="C389" s="370" t="s">
        <v>2443</v>
      </c>
      <c r="D389" s="370" t="str">
        <f t="shared" si="6"/>
        <v>3754207__MAN</v>
      </c>
      <c r="E389" s="370" t="s">
        <v>392</v>
      </c>
      <c r="F389" s="371">
        <v>4142748</v>
      </c>
      <c r="G389" s="372">
        <v>12.5</v>
      </c>
      <c r="H389" s="371">
        <v>20610.686567164179</v>
      </c>
      <c r="I389" s="371">
        <v>20753.721281628335</v>
      </c>
      <c r="J389" s="373">
        <v>20600.091164032972</v>
      </c>
      <c r="K389" s="313"/>
      <c r="L389" s="313"/>
    </row>
    <row r="390" spans="1:12" x14ac:dyDescent="0.25">
      <c r="A390" s="369">
        <v>3754207</v>
      </c>
      <c r="B390" s="370" t="s">
        <v>447</v>
      </c>
      <c r="C390" s="370" t="s">
        <v>2444</v>
      </c>
      <c r="D390" s="370" t="str">
        <f t="shared" si="6"/>
        <v>3754207__PPPs</v>
      </c>
      <c r="E390" s="370" t="s">
        <v>392</v>
      </c>
      <c r="F390" s="371">
        <v>15097515</v>
      </c>
      <c r="G390" s="372">
        <v>34.683400000000006</v>
      </c>
      <c r="H390" s="371">
        <v>27070.592461153286</v>
      </c>
      <c r="I390" s="371">
        <v>27919.23485565402</v>
      </c>
      <c r="J390" s="373">
        <v>24602.206032430611</v>
      </c>
      <c r="K390" s="313"/>
      <c r="L390" s="313"/>
    </row>
    <row r="391" spans="1:12" x14ac:dyDescent="0.25">
      <c r="A391" s="369">
        <v>3754207</v>
      </c>
      <c r="B391" s="370" t="s">
        <v>447</v>
      </c>
      <c r="C391" s="370" t="s">
        <v>2445</v>
      </c>
      <c r="D391" s="370" t="str">
        <f t="shared" si="6"/>
        <v>3754207__PPPz</v>
      </c>
      <c r="E391" s="370" t="s">
        <v>392</v>
      </c>
      <c r="F391" s="371">
        <v>4745724</v>
      </c>
      <c r="G391" s="372">
        <v>7.15</v>
      </c>
      <c r="H391" s="371">
        <v>41277.215321991433</v>
      </c>
      <c r="I391" s="371">
        <v>37388.979406189217</v>
      </c>
      <c r="J391" s="373">
        <v>32677.461975540969</v>
      </c>
      <c r="K391" s="313"/>
      <c r="L391" s="313"/>
    </row>
    <row r="392" spans="1:12" ht="15.75" thickBot="1" x14ac:dyDescent="0.3">
      <c r="A392" s="374">
        <v>3754207</v>
      </c>
      <c r="B392" s="375" t="s">
        <v>447</v>
      </c>
      <c r="C392" s="375" t="s">
        <v>2446</v>
      </c>
      <c r="D392" s="375" t="str">
        <f t="shared" si="6"/>
        <v>3754207__VED</v>
      </c>
      <c r="E392" s="375" t="s">
        <v>392</v>
      </c>
      <c r="F392" s="376">
        <v>883924</v>
      </c>
      <c r="G392" s="377">
        <v>3.0727000000000002</v>
      </c>
      <c r="H392" s="376">
        <v>17889.933286669784</v>
      </c>
      <c r="I392" s="376">
        <v>34254.69456373532</v>
      </c>
      <c r="J392" s="378">
        <v>43195.328116060256</v>
      </c>
      <c r="K392" s="313"/>
      <c r="L392" s="313"/>
    </row>
    <row r="393" spans="1:12" x14ac:dyDescent="0.25">
      <c r="A393" s="364">
        <v>5220717</v>
      </c>
      <c r="B393" s="365" t="s">
        <v>485</v>
      </c>
      <c r="C393" s="365" t="s">
        <v>2442</v>
      </c>
      <c r="D393" s="365" t="str">
        <f t="shared" si="6"/>
        <v>5220717__ADM</v>
      </c>
      <c r="E393" s="365" t="s">
        <v>392</v>
      </c>
      <c r="F393" s="366">
        <v>2930813</v>
      </c>
      <c r="G393" s="367">
        <v>2.8200000000000003</v>
      </c>
      <c r="H393" s="366">
        <v>64632.797889982692</v>
      </c>
      <c r="I393" s="366">
        <v>38630.903094767978</v>
      </c>
      <c r="J393" s="368">
        <v>34899.740744072842</v>
      </c>
      <c r="K393" s="313"/>
      <c r="L393" s="313"/>
    </row>
    <row r="394" spans="1:12" x14ac:dyDescent="0.25">
      <c r="A394" s="369">
        <v>5220717</v>
      </c>
      <c r="B394" s="370" t="s">
        <v>485</v>
      </c>
      <c r="C394" s="370" t="s">
        <v>2443</v>
      </c>
      <c r="D394" s="370" t="str">
        <f t="shared" si="6"/>
        <v>5220717__MAN</v>
      </c>
      <c r="E394" s="370" t="s">
        <v>392</v>
      </c>
      <c r="F394" s="371">
        <v>2303659</v>
      </c>
      <c r="G394" s="372">
        <v>6.83</v>
      </c>
      <c r="H394" s="371">
        <v>20975.457631316331</v>
      </c>
      <c r="I394" s="371">
        <v>20753.721281628335</v>
      </c>
      <c r="J394" s="373">
        <v>20600.091164032972</v>
      </c>
      <c r="K394" s="313"/>
      <c r="L394" s="313"/>
    </row>
    <row r="395" spans="1:12" x14ac:dyDescent="0.25">
      <c r="A395" s="369">
        <v>5220717</v>
      </c>
      <c r="B395" s="370" t="s">
        <v>485</v>
      </c>
      <c r="C395" s="370" t="s">
        <v>2444</v>
      </c>
      <c r="D395" s="370" t="str">
        <f t="shared" si="6"/>
        <v>5220717__PPPs</v>
      </c>
      <c r="E395" s="370" t="s">
        <v>392</v>
      </c>
      <c r="F395" s="371">
        <v>12890624</v>
      </c>
      <c r="G395" s="372">
        <v>28.555500000000002</v>
      </c>
      <c r="H395" s="371">
        <v>28073.601281470634</v>
      </c>
      <c r="I395" s="371">
        <v>27919.23485565402</v>
      </c>
      <c r="J395" s="373">
        <v>24602.206032430611</v>
      </c>
      <c r="K395" s="313"/>
      <c r="L395" s="313"/>
    </row>
    <row r="396" spans="1:12" x14ac:dyDescent="0.25">
      <c r="A396" s="369">
        <v>5220717</v>
      </c>
      <c r="B396" s="370" t="s">
        <v>485</v>
      </c>
      <c r="C396" s="370" t="s">
        <v>2445</v>
      </c>
      <c r="D396" s="370" t="str">
        <f t="shared" si="6"/>
        <v>5220717__PPPz</v>
      </c>
      <c r="E396" s="370" t="s">
        <v>392</v>
      </c>
      <c r="F396" s="371">
        <v>3360410</v>
      </c>
      <c r="G396" s="372">
        <v>5.07</v>
      </c>
      <c r="H396" s="371">
        <v>41219.077197837236</v>
      </c>
      <c r="I396" s="371">
        <v>37388.979406189217</v>
      </c>
      <c r="J396" s="373">
        <v>32677.461975540969</v>
      </c>
      <c r="K396" s="313"/>
      <c r="L396" s="313"/>
    </row>
    <row r="397" spans="1:12" ht="15.75" thickBot="1" x14ac:dyDescent="0.3">
      <c r="A397" s="374">
        <v>5220717</v>
      </c>
      <c r="B397" s="375" t="s">
        <v>485</v>
      </c>
      <c r="C397" s="375" t="s">
        <v>2446</v>
      </c>
      <c r="D397" s="375" t="str">
        <f t="shared" si="6"/>
        <v>5220717__VED</v>
      </c>
      <c r="E397" s="375" t="s">
        <v>392</v>
      </c>
      <c r="F397" s="376">
        <v>744464</v>
      </c>
      <c r="G397" s="377">
        <v>0.99119999999999997</v>
      </c>
      <c r="H397" s="376">
        <v>46708.547657194249</v>
      </c>
      <c r="I397" s="376">
        <v>34254.69456373532</v>
      </c>
      <c r="J397" s="378">
        <v>43195.328116060256</v>
      </c>
      <c r="K397" s="313"/>
      <c r="L397" s="313"/>
    </row>
    <row r="398" spans="1:12" x14ac:dyDescent="0.25">
      <c r="A398" s="364">
        <v>5638901</v>
      </c>
      <c r="B398" s="365" t="s">
        <v>519</v>
      </c>
      <c r="C398" s="365" t="s">
        <v>2442</v>
      </c>
      <c r="D398" s="365" t="str">
        <f t="shared" si="6"/>
        <v>5638901__ADM</v>
      </c>
      <c r="E398" s="365" t="s">
        <v>392</v>
      </c>
      <c r="F398" s="366">
        <v>741644</v>
      </c>
      <c r="G398" s="367">
        <v>1</v>
      </c>
      <c r="H398" s="366">
        <v>46122.139303482581</v>
      </c>
      <c r="I398" s="366">
        <v>38630.903094767978</v>
      </c>
      <c r="J398" s="368">
        <v>34899.740744072842</v>
      </c>
      <c r="K398" s="313"/>
      <c r="L398" s="313"/>
    </row>
    <row r="399" spans="1:12" x14ac:dyDescent="0.25">
      <c r="A399" s="369">
        <v>5638901</v>
      </c>
      <c r="B399" s="370" t="s">
        <v>519</v>
      </c>
      <c r="C399" s="370" t="s">
        <v>2443</v>
      </c>
      <c r="D399" s="370" t="str">
        <f t="shared" si="6"/>
        <v>5638901__MAN</v>
      </c>
      <c r="E399" s="370" t="s">
        <v>392</v>
      </c>
      <c r="F399" s="371">
        <v>5843923</v>
      </c>
      <c r="G399" s="372">
        <v>17.93</v>
      </c>
      <c r="H399" s="371">
        <v>20269.272016937066</v>
      </c>
      <c r="I399" s="371">
        <v>20753.721281628335</v>
      </c>
      <c r="J399" s="373">
        <v>20600.091164032972</v>
      </c>
      <c r="K399" s="313"/>
      <c r="L399" s="313"/>
    </row>
    <row r="400" spans="1:12" x14ac:dyDescent="0.25">
      <c r="A400" s="369">
        <v>5638901</v>
      </c>
      <c r="B400" s="370" t="s">
        <v>519</v>
      </c>
      <c r="C400" s="370" t="s">
        <v>2444</v>
      </c>
      <c r="D400" s="370" t="str">
        <f t="shared" si="6"/>
        <v>5638901__PPPs</v>
      </c>
      <c r="E400" s="370" t="s">
        <v>392</v>
      </c>
      <c r="F400" s="371">
        <v>11229900</v>
      </c>
      <c r="G400" s="372">
        <v>30.031199999999998</v>
      </c>
      <c r="H400" s="371">
        <v>23255.043610366611</v>
      </c>
      <c r="I400" s="371">
        <v>27919.23485565402</v>
      </c>
      <c r="J400" s="373">
        <v>24602.206032430611</v>
      </c>
      <c r="K400" s="313"/>
      <c r="L400" s="313"/>
    </row>
    <row r="401" spans="1:12" x14ac:dyDescent="0.25">
      <c r="A401" s="369">
        <v>5638901</v>
      </c>
      <c r="B401" s="370" t="s">
        <v>519</v>
      </c>
      <c r="C401" s="370" t="s">
        <v>2445</v>
      </c>
      <c r="D401" s="370" t="str">
        <f t="shared" si="6"/>
        <v>5638901__PPPz</v>
      </c>
      <c r="E401" s="370" t="s">
        <v>392</v>
      </c>
      <c r="F401" s="371">
        <v>4992116</v>
      </c>
      <c r="G401" s="372">
        <v>7.0048000000000004</v>
      </c>
      <c r="H401" s="371">
        <v>44320.31965571866</v>
      </c>
      <c r="I401" s="371">
        <v>37388.979406189217</v>
      </c>
      <c r="J401" s="373">
        <v>32677.461975540969</v>
      </c>
      <c r="K401" s="313"/>
      <c r="L401" s="313"/>
    </row>
    <row r="402" spans="1:12" ht="15.75" thickBot="1" x14ac:dyDescent="0.3">
      <c r="A402" s="374">
        <v>5638901</v>
      </c>
      <c r="B402" s="375" t="s">
        <v>519</v>
      </c>
      <c r="C402" s="375" t="s">
        <v>2446</v>
      </c>
      <c r="D402" s="375" t="str">
        <f t="shared" si="6"/>
        <v>5638901__VED</v>
      </c>
      <c r="E402" s="375" t="s">
        <v>392</v>
      </c>
      <c r="F402" s="376">
        <v>1483289</v>
      </c>
      <c r="G402" s="377">
        <v>0.9</v>
      </c>
      <c r="H402" s="376">
        <v>102493.71199557766</v>
      </c>
      <c r="I402" s="376">
        <v>34254.69456373532</v>
      </c>
      <c r="J402" s="378">
        <v>43195.328116060256</v>
      </c>
      <c r="K402" s="313"/>
      <c r="L402" s="313"/>
    </row>
    <row r="403" spans="1:12" x14ac:dyDescent="0.25">
      <c r="A403" s="364">
        <v>5651221</v>
      </c>
      <c r="B403" s="365" t="s">
        <v>435</v>
      </c>
      <c r="C403" s="365" t="s">
        <v>2442</v>
      </c>
      <c r="D403" s="365" t="str">
        <f t="shared" si="6"/>
        <v>5651221__ADM</v>
      </c>
      <c r="E403" s="365" t="s">
        <v>392</v>
      </c>
      <c r="F403" s="366">
        <v>1243034</v>
      </c>
      <c r="G403" s="367">
        <v>3</v>
      </c>
      <c r="H403" s="366">
        <v>25767.703150912108</v>
      </c>
      <c r="I403" s="366">
        <v>38630.903094767978</v>
      </c>
      <c r="J403" s="368">
        <v>34899.740744072842</v>
      </c>
      <c r="K403" s="313"/>
      <c r="L403" s="313"/>
    </row>
    <row r="404" spans="1:12" x14ac:dyDescent="0.25">
      <c r="A404" s="369">
        <v>5651221</v>
      </c>
      <c r="B404" s="370" t="s">
        <v>435</v>
      </c>
      <c r="C404" s="370" t="s">
        <v>2443</v>
      </c>
      <c r="D404" s="370" t="str">
        <f t="shared" si="6"/>
        <v>5651221__MAN</v>
      </c>
      <c r="E404" s="370" t="s">
        <v>392</v>
      </c>
      <c r="F404" s="371">
        <v>4813609</v>
      </c>
      <c r="G404" s="372">
        <v>15.56</v>
      </c>
      <c r="H404" s="371">
        <v>19238.675676885494</v>
      </c>
      <c r="I404" s="371">
        <v>20753.721281628335</v>
      </c>
      <c r="J404" s="373">
        <v>20600.091164032972</v>
      </c>
      <c r="K404" s="313"/>
      <c r="L404" s="313"/>
    </row>
    <row r="405" spans="1:12" x14ac:dyDescent="0.25">
      <c r="A405" s="369">
        <v>5651221</v>
      </c>
      <c r="B405" s="370" t="s">
        <v>435</v>
      </c>
      <c r="C405" s="370" t="s">
        <v>2444</v>
      </c>
      <c r="D405" s="370" t="str">
        <f t="shared" si="6"/>
        <v>5651221__PPPs</v>
      </c>
      <c r="E405" s="370" t="s">
        <v>392</v>
      </c>
      <c r="F405" s="371">
        <v>12045848</v>
      </c>
      <c r="G405" s="372">
        <v>25</v>
      </c>
      <c r="H405" s="371">
        <v>29964.796019900496</v>
      </c>
      <c r="I405" s="371">
        <v>27919.23485565402</v>
      </c>
      <c r="J405" s="373">
        <v>24602.206032430611</v>
      </c>
      <c r="K405" s="313"/>
      <c r="L405" s="313"/>
    </row>
    <row r="406" spans="1:12" x14ac:dyDescent="0.25">
      <c r="A406" s="369">
        <v>5651221</v>
      </c>
      <c r="B406" s="370" t="s">
        <v>435</v>
      </c>
      <c r="C406" s="370" t="s">
        <v>2445</v>
      </c>
      <c r="D406" s="370" t="str">
        <f t="shared" si="6"/>
        <v>5651221__PPPz</v>
      </c>
      <c r="E406" s="370" t="s">
        <v>392</v>
      </c>
      <c r="F406" s="371">
        <v>4463582</v>
      </c>
      <c r="G406" s="372">
        <v>8</v>
      </c>
      <c r="H406" s="371">
        <v>34698.243159203979</v>
      </c>
      <c r="I406" s="371">
        <v>37388.979406189217</v>
      </c>
      <c r="J406" s="373">
        <v>32677.461975540969</v>
      </c>
      <c r="K406" s="313"/>
      <c r="L406" s="313"/>
    </row>
    <row r="407" spans="1:12" ht="15.75" thickBot="1" x14ac:dyDescent="0.3">
      <c r="A407" s="374">
        <v>5651221</v>
      </c>
      <c r="B407" s="375" t="s">
        <v>435</v>
      </c>
      <c r="C407" s="375" t="s">
        <v>2446</v>
      </c>
      <c r="D407" s="375" t="str">
        <f t="shared" si="6"/>
        <v>5651221__VED</v>
      </c>
      <c r="E407" s="375" t="s">
        <v>392</v>
      </c>
      <c r="F407" s="376">
        <v>2383552</v>
      </c>
      <c r="G407" s="377">
        <v>4</v>
      </c>
      <c r="H407" s="376">
        <v>37057.711442786072</v>
      </c>
      <c r="I407" s="376">
        <v>34254.69456373532</v>
      </c>
      <c r="J407" s="378">
        <v>43195.328116060256</v>
      </c>
      <c r="K407" s="313"/>
      <c r="L407" s="313"/>
    </row>
    <row r="408" spans="1:12" x14ac:dyDescent="0.25">
      <c r="A408" s="364">
        <v>5804478</v>
      </c>
      <c r="B408" s="365" t="s">
        <v>515</v>
      </c>
      <c r="C408" s="365" t="s">
        <v>2442</v>
      </c>
      <c r="D408" s="365" t="str">
        <f t="shared" si="6"/>
        <v>5804478__ADM</v>
      </c>
      <c r="E408" s="365" t="s">
        <v>392</v>
      </c>
      <c r="F408" s="366">
        <v>726235</v>
      </c>
      <c r="G408" s="367">
        <v>2.64</v>
      </c>
      <c r="H408" s="366">
        <v>17107.525817880294</v>
      </c>
      <c r="I408" s="366">
        <v>38630.903094767978</v>
      </c>
      <c r="J408" s="368">
        <v>34899.740744072842</v>
      </c>
      <c r="K408" s="313"/>
      <c r="L408" s="313"/>
    </row>
    <row r="409" spans="1:12" x14ac:dyDescent="0.25">
      <c r="A409" s="369">
        <v>5804478</v>
      </c>
      <c r="B409" s="370" t="s">
        <v>515</v>
      </c>
      <c r="C409" s="370" t="s">
        <v>2443</v>
      </c>
      <c r="D409" s="370" t="str">
        <f t="shared" si="6"/>
        <v>5804478__MAN</v>
      </c>
      <c r="E409" s="370" t="s">
        <v>392</v>
      </c>
      <c r="F409" s="371">
        <v>1963202</v>
      </c>
      <c r="G409" s="372">
        <v>6.04</v>
      </c>
      <c r="H409" s="371">
        <v>20213.522618694606</v>
      </c>
      <c r="I409" s="371">
        <v>20753.721281628335</v>
      </c>
      <c r="J409" s="373">
        <v>20600.091164032972</v>
      </c>
      <c r="K409" s="313"/>
      <c r="L409" s="313"/>
    </row>
    <row r="410" spans="1:12" x14ac:dyDescent="0.25">
      <c r="A410" s="369">
        <v>5804478</v>
      </c>
      <c r="B410" s="370" t="s">
        <v>515</v>
      </c>
      <c r="C410" s="370" t="s">
        <v>2444</v>
      </c>
      <c r="D410" s="370" t="str">
        <f t="shared" si="6"/>
        <v>5804478__PPPs</v>
      </c>
      <c r="E410" s="370" t="s">
        <v>392</v>
      </c>
      <c r="F410" s="371">
        <v>11287622</v>
      </c>
      <c r="G410" s="372">
        <v>24.5608</v>
      </c>
      <c r="H410" s="371">
        <v>28580.768634920572</v>
      </c>
      <c r="I410" s="371">
        <v>27919.23485565402</v>
      </c>
      <c r="J410" s="373">
        <v>24602.206032430611</v>
      </c>
      <c r="K410" s="313"/>
      <c r="L410" s="313"/>
    </row>
    <row r="411" spans="1:12" x14ac:dyDescent="0.25">
      <c r="A411" s="369">
        <v>5804478</v>
      </c>
      <c r="B411" s="370" t="s">
        <v>515</v>
      </c>
      <c r="C411" s="370" t="s">
        <v>2445</v>
      </c>
      <c r="D411" s="370" t="str">
        <f t="shared" si="6"/>
        <v>5804478__PPPz</v>
      </c>
      <c r="E411" s="370" t="s">
        <v>392</v>
      </c>
      <c r="F411" s="371">
        <v>2317831</v>
      </c>
      <c r="G411" s="372">
        <v>5</v>
      </c>
      <c r="H411" s="371">
        <v>28828.743781094527</v>
      </c>
      <c r="I411" s="371">
        <v>37388.979406189217</v>
      </c>
      <c r="J411" s="373">
        <v>32677.461975540969</v>
      </c>
      <c r="K411" s="313"/>
      <c r="L411" s="313"/>
    </row>
    <row r="412" spans="1:12" ht="15.75" thickBot="1" x14ac:dyDescent="0.3">
      <c r="A412" s="374">
        <v>5804478</v>
      </c>
      <c r="B412" s="375" t="s">
        <v>515</v>
      </c>
      <c r="C412" s="375" t="s">
        <v>2446</v>
      </c>
      <c r="D412" s="375" t="str">
        <f t="shared" si="6"/>
        <v>5804478__VED</v>
      </c>
      <c r="E412" s="375" t="s">
        <v>392</v>
      </c>
      <c r="F412" s="376">
        <v>1700132</v>
      </c>
      <c r="G412" s="377">
        <v>0.82879999999999998</v>
      </c>
      <c r="H412" s="376">
        <v>127569.50047061985</v>
      </c>
      <c r="I412" s="376">
        <v>34254.69456373532</v>
      </c>
      <c r="J412" s="378">
        <v>43195.328116060256</v>
      </c>
      <c r="K412" s="313"/>
      <c r="L412" s="313"/>
    </row>
    <row r="413" spans="1:12" x14ac:dyDescent="0.25">
      <c r="A413" s="364">
        <v>7716689</v>
      </c>
      <c r="B413" s="365" t="s">
        <v>2431</v>
      </c>
      <c r="C413" s="365" t="s">
        <v>2442</v>
      </c>
      <c r="D413" s="365" t="str">
        <f t="shared" si="6"/>
        <v>7716689__ADM</v>
      </c>
      <c r="E413" s="365" t="s">
        <v>392</v>
      </c>
      <c r="F413" s="366">
        <v>79731</v>
      </c>
      <c r="G413" s="367">
        <v>0.25</v>
      </c>
      <c r="H413" s="366">
        <v>19833.582089552237</v>
      </c>
      <c r="I413" s="366">
        <v>38630.903094767978</v>
      </c>
      <c r="J413" s="368">
        <v>34899.740744072842</v>
      </c>
      <c r="K413" s="313"/>
      <c r="L413" s="313"/>
    </row>
    <row r="414" spans="1:12" x14ac:dyDescent="0.25">
      <c r="A414" s="369">
        <v>7716689</v>
      </c>
      <c r="B414" s="370" t="s">
        <v>2431</v>
      </c>
      <c r="C414" s="370" t="s">
        <v>2443</v>
      </c>
      <c r="D414" s="370" t="str">
        <f t="shared" si="6"/>
        <v>7716689__MAN</v>
      </c>
      <c r="E414" s="370" t="s">
        <v>392</v>
      </c>
      <c r="F414" s="371">
        <v>100476</v>
      </c>
      <c r="G414" s="372">
        <v>0.5</v>
      </c>
      <c r="H414" s="371">
        <v>12497.014925373134</v>
      </c>
      <c r="I414" s="371">
        <v>20753.721281628335</v>
      </c>
      <c r="J414" s="373">
        <v>20600.091164032972</v>
      </c>
      <c r="K414" s="313"/>
      <c r="L414" s="313"/>
    </row>
    <row r="415" spans="1:12" x14ac:dyDescent="0.25">
      <c r="A415" s="369">
        <v>7716689</v>
      </c>
      <c r="B415" s="370" t="s">
        <v>2431</v>
      </c>
      <c r="C415" s="370" t="s">
        <v>2444</v>
      </c>
      <c r="D415" s="370" t="str">
        <f t="shared" si="6"/>
        <v>7716689__PPPs</v>
      </c>
      <c r="E415" s="370" t="s">
        <v>392</v>
      </c>
      <c r="F415" s="371">
        <v>1311114</v>
      </c>
      <c r="G415" s="372">
        <v>3.8</v>
      </c>
      <c r="H415" s="371">
        <v>21457.089552238805</v>
      </c>
      <c r="I415" s="371">
        <v>27919.23485565402</v>
      </c>
      <c r="J415" s="373">
        <v>24602.206032430611</v>
      </c>
      <c r="K415" s="313"/>
      <c r="L415" s="313"/>
    </row>
    <row r="416" spans="1:12" x14ac:dyDescent="0.25">
      <c r="A416" s="369">
        <v>7716689</v>
      </c>
      <c r="B416" s="370" t="s">
        <v>2431</v>
      </c>
      <c r="C416" s="370" t="s">
        <v>2445</v>
      </c>
      <c r="D416" s="370" t="str">
        <f t="shared" si="6"/>
        <v>7716689__PPPz</v>
      </c>
      <c r="E416" s="370" t="s">
        <v>392</v>
      </c>
      <c r="F416" s="371">
        <v>0</v>
      </c>
      <c r="G416" s="372">
        <v>0</v>
      </c>
      <c r="H416" s="371">
        <v>0</v>
      </c>
      <c r="I416" s="371">
        <v>37388.979406189217</v>
      </c>
      <c r="J416" s="373">
        <v>32677.461975540969</v>
      </c>
      <c r="K416" s="313"/>
      <c r="L416" s="313"/>
    </row>
    <row r="417" spans="1:12" ht="15.75" thickBot="1" x14ac:dyDescent="0.3">
      <c r="A417" s="374">
        <v>7716689</v>
      </c>
      <c r="B417" s="375" t="s">
        <v>2431</v>
      </c>
      <c r="C417" s="375" t="s">
        <v>2446</v>
      </c>
      <c r="D417" s="375" t="str">
        <f t="shared" si="6"/>
        <v>7716689__VED</v>
      </c>
      <c r="E417" s="375" t="s">
        <v>392</v>
      </c>
      <c r="F417" s="376">
        <v>151480</v>
      </c>
      <c r="G417" s="377">
        <v>0.25</v>
      </c>
      <c r="H417" s="376">
        <v>37681.592039800991</v>
      </c>
      <c r="I417" s="376">
        <v>34254.69456373532</v>
      </c>
      <c r="J417" s="378">
        <v>43195.328116060256</v>
      </c>
      <c r="K417" s="313"/>
      <c r="L417" s="313"/>
    </row>
    <row r="418" spans="1:12" x14ac:dyDescent="0.25">
      <c r="A418" s="364">
        <v>8936486</v>
      </c>
      <c r="B418" s="365" t="s">
        <v>384</v>
      </c>
      <c r="C418" s="365" t="s">
        <v>2442</v>
      </c>
      <c r="D418" s="365" t="str">
        <f t="shared" si="6"/>
        <v>8936486__ADM</v>
      </c>
      <c r="E418" s="365" t="s">
        <v>392</v>
      </c>
      <c r="F418" s="366">
        <v>217202</v>
      </c>
      <c r="G418" s="367">
        <v>0.38</v>
      </c>
      <c r="H418" s="366">
        <v>35546.281749148984</v>
      </c>
      <c r="I418" s="366">
        <v>38630.903094767978</v>
      </c>
      <c r="J418" s="368">
        <v>34899.740744072842</v>
      </c>
      <c r="K418" s="313"/>
      <c r="L418" s="313"/>
    </row>
    <row r="419" spans="1:12" x14ac:dyDescent="0.25">
      <c r="A419" s="369">
        <v>8936486</v>
      </c>
      <c r="B419" s="370" t="s">
        <v>384</v>
      </c>
      <c r="C419" s="370" t="s">
        <v>2443</v>
      </c>
      <c r="D419" s="370" t="str">
        <f t="shared" si="6"/>
        <v>8936486__MAN</v>
      </c>
      <c r="E419" s="370" t="s">
        <v>392</v>
      </c>
      <c r="F419" s="371">
        <v>637490</v>
      </c>
      <c r="G419" s="372">
        <v>1</v>
      </c>
      <c r="H419" s="371">
        <v>39644.900497512434</v>
      </c>
      <c r="I419" s="371">
        <v>20753.721281628335</v>
      </c>
      <c r="J419" s="373">
        <v>20600.091164032972</v>
      </c>
      <c r="K419" s="313"/>
      <c r="L419" s="313"/>
    </row>
    <row r="420" spans="1:12" x14ac:dyDescent="0.25">
      <c r="A420" s="369">
        <v>8936486</v>
      </c>
      <c r="B420" s="370" t="s">
        <v>384</v>
      </c>
      <c r="C420" s="370" t="s">
        <v>2444</v>
      </c>
      <c r="D420" s="370" t="str">
        <f t="shared" si="6"/>
        <v>8936486__PPPs</v>
      </c>
      <c r="E420" s="370" t="s">
        <v>392</v>
      </c>
      <c r="F420" s="371">
        <v>1623095</v>
      </c>
      <c r="G420" s="372">
        <v>3.8699999999999997</v>
      </c>
      <c r="H420" s="371">
        <v>26082.362734132956</v>
      </c>
      <c r="I420" s="371">
        <v>27919.23485565402</v>
      </c>
      <c r="J420" s="373">
        <v>24602.206032430611</v>
      </c>
      <c r="K420" s="313"/>
      <c r="L420" s="313"/>
    </row>
    <row r="421" spans="1:12" x14ac:dyDescent="0.25">
      <c r="A421" s="369">
        <v>8936486</v>
      </c>
      <c r="B421" s="370" t="s">
        <v>384</v>
      </c>
      <c r="C421" s="370" t="s">
        <v>2445</v>
      </c>
      <c r="D421" s="370" t="str">
        <f t="shared" si="6"/>
        <v>8936486__PPPz</v>
      </c>
      <c r="E421" s="370" t="s">
        <v>392</v>
      </c>
      <c r="F421" s="371">
        <v>1332885</v>
      </c>
      <c r="G421" s="372">
        <v>2.7199999999999998</v>
      </c>
      <c r="H421" s="371">
        <v>30474.580223880599</v>
      </c>
      <c r="I421" s="371">
        <v>37388.979406189217</v>
      </c>
      <c r="J421" s="373">
        <v>32677.461975540969</v>
      </c>
      <c r="K421" s="313"/>
      <c r="L421" s="313"/>
    </row>
    <row r="422" spans="1:12" ht="15.75" thickBot="1" x14ac:dyDescent="0.3">
      <c r="A422" s="374">
        <v>8936486</v>
      </c>
      <c r="B422" s="375" t="s">
        <v>384</v>
      </c>
      <c r="C422" s="375" t="s">
        <v>2446</v>
      </c>
      <c r="D422" s="375" t="str">
        <f t="shared" si="6"/>
        <v>8936486__VED</v>
      </c>
      <c r="E422" s="375" t="s">
        <v>392</v>
      </c>
      <c r="F422" s="376">
        <v>230943</v>
      </c>
      <c r="G422" s="377">
        <v>0.31</v>
      </c>
      <c r="H422" s="376">
        <v>46329.441502166577</v>
      </c>
      <c r="I422" s="376">
        <v>34254.69456373532</v>
      </c>
      <c r="J422" s="378">
        <v>43195.328116060256</v>
      </c>
      <c r="K422" s="313"/>
      <c r="L422" s="313"/>
    </row>
    <row r="423" spans="1:12" x14ac:dyDescent="0.25">
      <c r="A423" s="364">
        <v>9924037</v>
      </c>
      <c r="B423" s="365" t="s">
        <v>502</v>
      </c>
      <c r="C423" s="365" t="s">
        <v>2442</v>
      </c>
      <c r="D423" s="365" t="str">
        <f t="shared" si="6"/>
        <v>9924037__ADM</v>
      </c>
      <c r="E423" s="365" t="s">
        <v>392</v>
      </c>
      <c r="F423" s="366">
        <v>242844</v>
      </c>
      <c r="G423" s="367">
        <v>0.3</v>
      </c>
      <c r="H423" s="366">
        <v>50340.796019900496</v>
      </c>
      <c r="I423" s="366">
        <v>38630.903094767978</v>
      </c>
      <c r="J423" s="368">
        <v>34899.740744072842</v>
      </c>
      <c r="K423" s="313"/>
      <c r="L423" s="313"/>
    </row>
    <row r="424" spans="1:12" x14ac:dyDescent="0.25">
      <c r="A424" s="369">
        <v>9924037</v>
      </c>
      <c r="B424" s="370" t="s">
        <v>502</v>
      </c>
      <c r="C424" s="370" t="s">
        <v>2443</v>
      </c>
      <c r="D424" s="370" t="str">
        <f t="shared" si="6"/>
        <v>9924037__MAN</v>
      </c>
      <c r="E424" s="370" t="s">
        <v>392</v>
      </c>
      <c r="F424" s="371">
        <v>610072</v>
      </c>
      <c r="G424" s="372">
        <v>1.9</v>
      </c>
      <c r="H424" s="371">
        <v>19968.316313170988</v>
      </c>
      <c r="I424" s="371">
        <v>20753.721281628335</v>
      </c>
      <c r="J424" s="373">
        <v>20600.091164032972</v>
      </c>
      <c r="K424" s="313"/>
      <c r="L424" s="313"/>
    </row>
    <row r="425" spans="1:12" x14ac:dyDescent="0.25">
      <c r="A425" s="369">
        <v>9924037</v>
      </c>
      <c r="B425" s="370" t="s">
        <v>502</v>
      </c>
      <c r="C425" s="370" t="s">
        <v>2444</v>
      </c>
      <c r="D425" s="370" t="str">
        <f t="shared" si="6"/>
        <v>9924037__PPPs</v>
      </c>
      <c r="E425" s="370" t="s">
        <v>392</v>
      </c>
      <c r="F425" s="371">
        <v>2702603</v>
      </c>
      <c r="G425" s="372">
        <v>6.95</v>
      </c>
      <c r="H425" s="371">
        <v>24183.068470596652</v>
      </c>
      <c r="I425" s="371">
        <v>27919.23485565402</v>
      </c>
      <c r="J425" s="373">
        <v>24602.206032430611</v>
      </c>
      <c r="K425" s="313"/>
      <c r="L425" s="313"/>
    </row>
    <row r="426" spans="1:12" x14ac:dyDescent="0.25">
      <c r="A426" s="369">
        <v>9924037</v>
      </c>
      <c r="B426" s="370" t="s">
        <v>502</v>
      </c>
      <c r="C426" s="370" t="s">
        <v>2445</v>
      </c>
      <c r="D426" s="370" t="str">
        <f t="shared" si="6"/>
        <v>9924037__PPPz</v>
      </c>
      <c r="E426" s="370" t="s">
        <v>392</v>
      </c>
      <c r="F426" s="371">
        <v>1189953</v>
      </c>
      <c r="G426" s="372">
        <v>1.9500000000000002</v>
      </c>
      <c r="H426" s="371">
        <v>37949.770378874855</v>
      </c>
      <c r="I426" s="371">
        <v>37388.979406189217</v>
      </c>
      <c r="J426" s="373">
        <v>32677.461975540969</v>
      </c>
      <c r="K426" s="313"/>
      <c r="L426" s="313"/>
    </row>
    <row r="427" spans="1:12" ht="15.75" thickBot="1" x14ac:dyDescent="0.3">
      <c r="A427" s="374">
        <v>9924037</v>
      </c>
      <c r="B427" s="375" t="s">
        <v>502</v>
      </c>
      <c r="C427" s="375" t="s">
        <v>2446</v>
      </c>
      <c r="D427" s="375" t="str">
        <f t="shared" si="6"/>
        <v>9924037__VED</v>
      </c>
      <c r="E427" s="375" t="s">
        <v>392</v>
      </c>
      <c r="F427" s="376">
        <v>159958</v>
      </c>
      <c r="G427" s="377">
        <v>0.15</v>
      </c>
      <c r="H427" s="376">
        <v>66317.578772802648</v>
      </c>
      <c r="I427" s="376">
        <v>34254.69456373532</v>
      </c>
      <c r="J427" s="378">
        <v>43195.328116060256</v>
      </c>
      <c r="K427" s="313"/>
      <c r="L427" s="313"/>
    </row>
    <row r="428" spans="1:12" x14ac:dyDescent="0.25">
      <c r="A428" s="364">
        <v>3961063</v>
      </c>
      <c r="B428" s="365" t="s">
        <v>812</v>
      </c>
      <c r="C428" s="365" t="s">
        <v>2442</v>
      </c>
      <c r="D428" s="365" t="str">
        <f t="shared" si="6"/>
        <v>3961063__ADM</v>
      </c>
      <c r="E428" s="365" t="s">
        <v>2437</v>
      </c>
      <c r="F428" s="366">
        <v>404345</v>
      </c>
      <c r="G428" s="367">
        <v>0.61880000000000002</v>
      </c>
      <c r="H428" s="366">
        <v>40636.446886446887</v>
      </c>
      <c r="I428" s="366">
        <v>40636.446886446887</v>
      </c>
      <c r="J428" s="368">
        <v>25256.146534318104</v>
      </c>
      <c r="K428" s="313"/>
      <c r="L428" s="313"/>
    </row>
    <row r="429" spans="1:12" x14ac:dyDescent="0.25">
      <c r="A429" s="369">
        <v>3961063</v>
      </c>
      <c r="B429" s="370" t="s">
        <v>812</v>
      </c>
      <c r="C429" s="370" t="s">
        <v>2443</v>
      </c>
      <c r="D429" s="370" t="str">
        <f t="shared" si="6"/>
        <v>3961063__MAN</v>
      </c>
      <c r="E429" s="370" t="s">
        <v>2437</v>
      </c>
      <c r="F429" s="371">
        <v>0</v>
      </c>
      <c r="G429" s="372">
        <v>0</v>
      </c>
      <c r="H429" s="371">
        <v>0</v>
      </c>
      <c r="I429" s="371">
        <v>0</v>
      </c>
      <c r="J429" s="373">
        <v>10803.818601454648</v>
      </c>
      <c r="K429" s="313"/>
      <c r="L429" s="313"/>
    </row>
    <row r="430" spans="1:12" x14ac:dyDescent="0.25">
      <c r="A430" s="369">
        <v>3961063</v>
      </c>
      <c r="B430" s="370" t="s">
        <v>812</v>
      </c>
      <c r="C430" s="370" t="s">
        <v>2444</v>
      </c>
      <c r="D430" s="370" t="str">
        <f t="shared" si="6"/>
        <v>3961063__PPPs</v>
      </c>
      <c r="E430" s="370" t="s">
        <v>2437</v>
      </c>
      <c r="F430" s="371">
        <v>2302461</v>
      </c>
      <c r="G430" s="372">
        <v>5.0512000000000006</v>
      </c>
      <c r="H430" s="371">
        <v>28347.298292351981</v>
      </c>
      <c r="I430" s="371">
        <v>28347.298292351981</v>
      </c>
      <c r="J430" s="373">
        <v>28488.846377542286</v>
      </c>
      <c r="K430" s="313"/>
      <c r="L430" s="313"/>
    </row>
    <row r="431" spans="1:12" x14ac:dyDescent="0.25">
      <c r="A431" s="369">
        <v>3961063</v>
      </c>
      <c r="B431" s="370" t="s">
        <v>812</v>
      </c>
      <c r="C431" s="370" t="s">
        <v>2445</v>
      </c>
      <c r="D431" s="370" t="str">
        <f t="shared" si="6"/>
        <v>3961063__PPPz</v>
      </c>
      <c r="E431" s="370" t="s">
        <v>2437</v>
      </c>
      <c r="F431" s="371">
        <v>0</v>
      </c>
      <c r="G431" s="372">
        <v>0</v>
      </c>
      <c r="H431" s="371">
        <v>0</v>
      </c>
      <c r="I431" s="371">
        <v>0</v>
      </c>
      <c r="J431" s="373">
        <v>0</v>
      </c>
      <c r="K431" s="313"/>
      <c r="L431" s="313"/>
    </row>
    <row r="432" spans="1:12" ht="15.75" thickBot="1" x14ac:dyDescent="0.3">
      <c r="A432" s="374">
        <v>3961063</v>
      </c>
      <c r="B432" s="375" t="s">
        <v>812</v>
      </c>
      <c r="C432" s="375" t="s">
        <v>2446</v>
      </c>
      <c r="D432" s="375" t="str">
        <f t="shared" si="6"/>
        <v>3961063__VED</v>
      </c>
      <c r="E432" s="375" t="s">
        <v>2437</v>
      </c>
      <c r="F432" s="376">
        <v>160265</v>
      </c>
      <c r="G432" s="377">
        <v>0.37519999999999998</v>
      </c>
      <c r="H432" s="376">
        <v>26563.77626791416</v>
      </c>
      <c r="I432" s="376">
        <v>26563.77626791416</v>
      </c>
      <c r="J432" s="378">
        <v>31701.211613892956</v>
      </c>
      <c r="K432" s="313"/>
      <c r="L432" s="313"/>
    </row>
    <row r="433" spans="1:12" x14ac:dyDescent="0.25">
      <c r="A433" s="364">
        <v>1576566</v>
      </c>
      <c r="B433" s="365" t="s">
        <v>519</v>
      </c>
      <c r="C433" s="365" t="s">
        <v>2442</v>
      </c>
      <c r="D433" s="365" t="str">
        <f t="shared" si="6"/>
        <v>1576566__ADM</v>
      </c>
      <c r="E433" s="365" t="s">
        <v>267</v>
      </c>
      <c r="F433" s="366">
        <v>129360</v>
      </c>
      <c r="G433" s="367">
        <v>0.2</v>
      </c>
      <c r="H433" s="366">
        <v>40223.880597014926</v>
      </c>
      <c r="I433" s="366">
        <v>31509.419613887083</v>
      </c>
      <c r="J433" s="368">
        <v>32281.720258913574</v>
      </c>
      <c r="K433" s="313"/>
      <c r="L433" s="313"/>
    </row>
    <row r="434" spans="1:12" x14ac:dyDescent="0.25">
      <c r="A434" s="369">
        <v>1576566</v>
      </c>
      <c r="B434" s="370" t="s">
        <v>519</v>
      </c>
      <c r="C434" s="370" t="s">
        <v>2443</v>
      </c>
      <c r="D434" s="370" t="str">
        <f t="shared" si="6"/>
        <v>1576566__MAN</v>
      </c>
      <c r="E434" s="370" t="s">
        <v>267</v>
      </c>
      <c r="F434" s="371">
        <v>427687</v>
      </c>
      <c r="G434" s="372">
        <v>1</v>
      </c>
      <c r="H434" s="371">
        <v>26597.45024875622</v>
      </c>
      <c r="I434" s="371">
        <v>33848.21316316817</v>
      </c>
      <c r="J434" s="373">
        <v>22486.571454716974</v>
      </c>
      <c r="K434" s="313"/>
      <c r="L434" s="313"/>
    </row>
    <row r="435" spans="1:12" x14ac:dyDescent="0.25">
      <c r="A435" s="369">
        <v>1576566</v>
      </c>
      <c r="B435" s="370" t="s">
        <v>519</v>
      </c>
      <c r="C435" s="370" t="s">
        <v>2444</v>
      </c>
      <c r="D435" s="370" t="str">
        <f t="shared" si="6"/>
        <v>1576566__PPPs</v>
      </c>
      <c r="E435" s="370" t="s">
        <v>267</v>
      </c>
      <c r="F435" s="371">
        <v>1525480</v>
      </c>
      <c r="G435" s="372">
        <v>3.6</v>
      </c>
      <c r="H435" s="371">
        <v>26352.266445550027</v>
      </c>
      <c r="I435" s="371">
        <v>31986.223177996788</v>
      </c>
      <c r="J435" s="373">
        <v>28276.910051176939</v>
      </c>
      <c r="K435" s="313"/>
      <c r="L435" s="313"/>
    </row>
    <row r="436" spans="1:12" x14ac:dyDescent="0.25">
      <c r="A436" s="369">
        <v>1576566</v>
      </c>
      <c r="B436" s="370" t="s">
        <v>519</v>
      </c>
      <c r="C436" s="370" t="s">
        <v>2445</v>
      </c>
      <c r="D436" s="370" t="str">
        <f t="shared" si="6"/>
        <v>1576566__PPPz</v>
      </c>
      <c r="E436" s="370" t="s">
        <v>267</v>
      </c>
      <c r="F436" s="371">
        <v>0</v>
      </c>
      <c r="G436" s="372">
        <v>0</v>
      </c>
      <c r="H436" s="371">
        <v>0</v>
      </c>
      <c r="I436" s="371">
        <v>41087.375621890547</v>
      </c>
      <c r="J436" s="373">
        <v>31010.217384417389</v>
      </c>
      <c r="K436" s="313"/>
      <c r="L436" s="313"/>
    </row>
    <row r="437" spans="1:12" ht="15.75" thickBot="1" x14ac:dyDescent="0.3">
      <c r="A437" s="374">
        <v>1576566</v>
      </c>
      <c r="B437" s="375" t="s">
        <v>519</v>
      </c>
      <c r="C437" s="375" t="s">
        <v>2446</v>
      </c>
      <c r="D437" s="375" t="str">
        <f t="shared" si="6"/>
        <v>1576566__VED</v>
      </c>
      <c r="E437" s="375" t="s">
        <v>267</v>
      </c>
      <c r="F437" s="376">
        <v>257695</v>
      </c>
      <c r="G437" s="377">
        <v>0.3</v>
      </c>
      <c r="H437" s="376">
        <v>53419.361525704815</v>
      </c>
      <c r="I437" s="376">
        <v>43625.791590341214</v>
      </c>
      <c r="J437" s="378">
        <v>40544.829496368002</v>
      </c>
      <c r="K437" s="313"/>
      <c r="L437" s="313"/>
    </row>
    <row r="438" spans="1:12" x14ac:dyDescent="0.25">
      <c r="A438" s="364">
        <v>2558336</v>
      </c>
      <c r="B438" s="365" t="s">
        <v>2438</v>
      </c>
      <c r="C438" s="365" t="s">
        <v>2442</v>
      </c>
      <c r="D438" s="365" t="str">
        <f t="shared" si="6"/>
        <v>2558336__ADM</v>
      </c>
      <c r="E438" s="365" t="s">
        <v>267</v>
      </c>
      <c r="F438" s="366">
        <v>0</v>
      </c>
      <c r="G438" s="367">
        <v>0</v>
      </c>
      <c r="H438" s="366">
        <v>0</v>
      </c>
      <c r="I438" s="366">
        <v>31509.419613887083</v>
      </c>
      <c r="J438" s="368">
        <v>32281.720258913574</v>
      </c>
      <c r="K438" s="313"/>
      <c r="L438" s="313"/>
    </row>
    <row r="439" spans="1:12" x14ac:dyDescent="0.25">
      <c r="A439" s="369">
        <v>2558336</v>
      </c>
      <c r="B439" s="370" t="s">
        <v>2438</v>
      </c>
      <c r="C439" s="370" t="s">
        <v>2443</v>
      </c>
      <c r="D439" s="370" t="str">
        <f t="shared" si="6"/>
        <v>2558336__MAN</v>
      </c>
      <c r="E439" s="370" t="s">
        <v>267</v>
      </c>
      <c r="F439" s="371">
        <v>0</v>
      </c>
      <c r="G439" s="372">
        <v>0</v>
      </c>
      <c r="H439" s="371">
        <v>0</v>
      </c>
      <c r="I439" s="371">
        <v>33848.21316316817</v>
      </c>
      <c r="J439" s="373">
        <v>22486.571454716974</v>
      </c>
      <c r="K439" s="313"/>
      <c r="L439" s="313"/>
    </row>
    <row r="440" spans="1:12" x14ac:dyDescent="0.25">
      <c r="A440" s="369">
        <v>2558336</v>
      </c>
      <c r="B440" s="370" t="s">
        <v>2438</v>
      </c>
      <c r="C440" s="370" t="s">
        <v>2444</v>
      </c>
      <c r="D440" s="370" t="str">
        <f t="shared" si="6"/>
        <v>2558336__PPPs</v>
      </c>
      <c r="E440" s="370" t="s">
        <v>267</v>
      </c>
      <c r="F440" s="371">
        <v>384000</v>
      </c>
      <c r="G440" s="372">
        <v>1</v>
      </c>
      <c r="H440" s="371">
        <v>23880.597014925374</v>
      </c>
      <c r="I440" s="371">
        <v>31986.223177996788</v>
      </c>
      <c r="J440" s="373">
        <v>28276.910051176939</v>
      </c>
      <c r="K440" s="313"/>
      <c r="L440" s="313"/>
    </row>
    <row r="441" spans="1:12" x14ac:dyDescent="0.25">
      <c r="A441" s="369">
        <v>2558336</v>
      </c>
      <c r="B441" s="370" t="s">
        <v>2438</v>
      </c>
      <c r="C441" s="370" t="s">
        <v>2445</v>
      </c>
      <c r="D441" s="370" t="str">
        <f t="shared" si="6"/>
        <v>2558336__PPPz</v>
      </c>
      <c r="E441" s="370" t="s">
        <v>267</v>
      </c>
      <c r="F441" s="371">
        <v>0</v>
      </c>
      <c r="G441" s="372">
        <v>0</v>
      </c>
      <c r="H441" s="371">
        <v>0</v>
      </c>
      <c r="I441" s="371">
        <v>41087.375621890547</v>
      </c>
      <c r="J441" s="373">
        <v>31010.217384417389</v>
      </c>
      <c r="K441" s="313"/>
      <c r="L441" s="313"/>
    </row>
    <row r="442" spans="1:12" ht="15.75" thickBot="1" x14ac:dyDescent="0.3">
      <c r="A442" s="374">
        <v>2558336</v>
      </c>
      <c r="B442" s="375" t="s">
        <v>2438</v>
      </c>
      <c r="C442" s="375" t="s">
        <v>2446</v>
      </c>
      <c r="D442" s="375" t="str">
        <f t="shared" si="6"/>
        <v>2558336__VED</v>
      </c>
      <c r="E442" s="375" t="s">
        <v>267</v>
      </c>
      <c r="F442" s="376">
        <v>0</v>
      </c>
      <c r="G442" s="377">
        <v>0</v>
      </c>
      <c r="H442" s="376">
        <v>0</v>
      </c>
      <c r="I442" s="376">
        <v>43625.791590341214</v>
      </c>
      <c r="J442" s="378">
        <v>40544.829496368002</v>
      </c>
      <c r="K442" s="313"/>
      <c r="L442" s="313"/>
    </row>
    <row r="443" spans="1:12" x14ac:dyDescent="0.25">
      <c r="A443" s="364">
        <v>4007320</v>
      </c>
      <c r="B443" s="365" t="s">
        <v>509</v>
      </c>
      <c r="C443" s="365" t="s">
        <v>2442</v>
      </c>
      <c r="D443" s="365" t="str">
        <f t="shared" si="6"/>
        <v>4007320__ADM</v>
      </c>
      <c r="E443" s="365" t="s">
        <v>267</v>
      </c>
      <c r="F443" s="366">
        <v>105444</v>
      </c>
      <c r="G443" s="367">
        <v>0.2</v>
      </c>
      <c r="H443" s="366">
        <v>32787.313432835821</v>
      </c>
      <c r="I443" s="366">
        <v>31509.419613887083</v>
      </c>
      <c r="J443" s="368">
        <v>32281.720258913574</v>
      </c>
      <c r="K443" s="313"/>
      <c r="L443" s="313"/>
    </row>
    <row r="444" spans="1:12" x14ac:dyDescent="0.25">
      <c r="A444" s="369">
        <v>4007320</v>
      </c>
      <c r="B444" s="370" t="s">
        <v>509</v>
      </c>
      <c r="C444" s="370" t="s">
        <v>2443</v>
      </c>
      <c r="D444" s="370" t="str">
        <f t="shared" si="6"/>
        <v>4007320__MAN</v>
      </c>
      <c r="E444" s="370" t="s">
        <v>267</v>
      </c>
      <c r="F444" s="371">
        <v>245046</v>
      </c>
      <c r="G444" s="372">
        <v>0.8</v>
      </c>
      <c r="H444" s="371">
        <v>19048.973880597016</v>
      </c>
      <c r="I444" s="371">
        <v>33848.21316316817</v>
      </c>
      <c r="J444" s="373">
        <v>22486.571454716974</v>
      </c>
      <c r="K444" s="313"/>
      <c r="L444" s="313"/>
    </row>
    <row r="445" spans="1:12" x14ac:dyDescent="0.25">
      <c r="A445" s="369">
        <v>4007320</v>
      </c>
      <c r="B445" s="370" t="s">
        <v>509</v>
      </c>
      <c r="C445" s="370" t="s">
        <v>2444</v>
      </c>
      <c r="D445" s="370" t="str">
        <f t="shared" si="6"/>
        <v>4007320__PPPs</v>
      </c>
      <c r="E445" s="370" t="s">
        <v>267</v>
      </c>
      <c r="F445" s="371">
        <v>689675</v>
      </c>
      <c r="G445" s="372">
        <v>1.5</v>
      </c>
      <c r="H445" s="371">
        <v>28593.490878938635</v>
      </c>
      <c r="I445" s="371">
        <v>31986.223177996788</v>
      </c>
      <c r="J445" s="373">
        <v>28276.910051176939</v>
      </c>
      <c r="K445" s="313"/>
      <c r="L445" s="313"/>
    </row>
    <row r="446" spans="1:12" x14ac:dyDescent="0.25">
      <c r="A446" s="369">
        <v>4007320</v>
      </c>
      <c r="B446" s="370" t="s">
        <v>509</v>
      </c>
      <c r="C446" s="370" t="s">
        <v>2445</v>
      </c>
      <c r="D446" s="370" t="str">
        <f t="shared" si="6"/>
        <v>4007320__PPPz</v>
      </c>
      <c r="E446" s="370" t="s">
        <v>267</v>
      </c>
      <c r="F446" s="371">
        <v>0</v>
      </c>
      <c r="G446" s="372">
        <v>0</v>
      </c>
      <c r="H446" s="371">
        <v>0</v>
      </c>
      <c r="I446" s="371">
        <v>41087.375621890547</v>
      </c>
      <c r="J446" s="373">
        <v>31010.217384417389</v>
      </c>
      <c r="K446" s="313"/>
      <c r="L446" s="313"/>
    </row>
    <row r="447" spans="1:12" ht="15.75" thickBot="1" x14ac:dyDescent="0.3">
      <c r="A447" s="374">
        <v>4007320</v>
      </c>
      <c r="B447" s="375" t="s">
        <v>509</v>
      </c>
      <c r="C447" s="375" t="s">
        <v>2446</v>
      </c>
      <c r="D447" s="375" t="str">
        <f t="shared" si="6"/>
        <v>4007320__VED</v>
      </c>
      <c r="E447" s="375" t="s">
        <v>267</v>
      </c>
      <c r="F447" s="376">
        <v>85270</v>
      </c>
      <c r="G447" s="377">
        <v>0.1</v>
      </c>
      <c r="H447" s="376">
        <v>53028.60696517412</v>
      </c>
      <c r="I447" s="376">
        <v>43625.791590341214</v>
      </c>
      <c r="J447" s="378">
        <v>40544.829496368002</v>
      </c>
      <c r="K447" s="313"/>
      <c r="L447" s="313"/>
    </row>
    <row r="448" spans="1:12" x14ac:dyDescent="0.25">
      <c r="A448" s="364">
        <v>4382500</v>
      </c>
      <c r="B448" s="365" t="s">
        <v>485</v>
      </c>
      <c r="C448" s="365" t="s">
        <v>2442</v>
      </c>
      <c r="D448" s="365" t="str">
        <f t="shared" si="6"/>
        <v>4382500__ADM</v>
      </c>
      <c r="E448" s="365" t="s">
        <v>267</v>
      </c>
      <c r="F448" s="366">
        <v>206376</v>
      </c>
      <c r="G448" s="367">
        <v>7.0000000000000007E-2</v>
      </c>
      <c r="H448" s="366">
        <v>183347.54797441364</v>
      </c>
      <c r="I448" s="366">
        <v>31509.419613887083</v>
      </c>
      <c r="J448" s="368">
        <v>32281.720258913574</v>
      </c>
      <c r="K448" s="313"/>
      <c r="L448" s="313"/>
    </row>
    <row r="449" spans="1:12" x14ac:dyDescent="0.25">
      <c r="A449" s="369">
        <v>4382500</v>
      </c>
      <c r="B449" s="370" t="s">
        <v>485</v>
      </c>
      <c r="C449" s="370" t="s">
        <v>2443</v>
      </c>
      <c r="D449" s="370" t="str">
        <f t="shared" si="6"/>
        <v>4382500__MAN</v>
      </c>
      <c r="E449" s="370" t="s">
        <v>267</v>
      </c>
      <c r="F449" s="371">
        <v>33754</v>
      </c>
      <c r="G449" s="372">
        <v>2.8000000000000001E-2</v>
      </c>
      <c r="H449" s="371">
        <v>74968.905472636805</v>
      </c>
      <c r="I449" s="371">
        <v>33848.21316316817</v>
      </c>
      <c r="J449" s="373">
        <v>22486.571454716974</v>
      </c>
      <c r="K449" s="313"/>
      <c r="L449" s="313"/>
    </row>
    <row r="450" spans="1:12" x14ac:dyDescent="0.25">
      <c r="A450" s="369">
        <v>4382500</v>
      </c>
      <c r="B450" s="370" t="s">
        <v>485</v>
      </c>
      <c r="C450" s="370" t="s">
        <v>2444</v>
      </c>
      <c r="D450" s="370" t="str">
        <f t="shared" si="6"/>
        <v>4382500__PPPs</v>
      </c>
      <c r="E450" s="370" t="s">
        <v>267</v>
      </c>
      <c r="F450" s="371">
        <v>621136</v>
      </c>
      <c r="G450" s="372">
        <v>1.546</v>
      </c>
      <c r="H450" s="371">
        <v>24985.679622585645</v>
      </c>
      <c r="I450" s="371">
        <v>31986.223177996788</v>
      </c>
      <c r="J450" s="373">
        <v>28276.910051176939</v>
      </c>
      <c r="K450" s="313"/>
      <c r="L450" s="313"/>
    </row>
    <row r="451" spans="1:12" x14ac:dyDescent="0.25">
      <c r="A451" s="369">
        <v>4382500</v>
      </c>
      <c r="B451" s="370" t="s">
        <v>485</v>
      </c>
      <c r="C451" s="370" t="s">
        <v>2445</v>
      </c>
      <c r="D451" s="370" t="str">
        <f t="shared" ref="D451:D514" si="7">CONCATENATE(A451,"__",C451)</f>
        <v>4382500__PPPz</v>
      </c>
      <c r="E451" s="370" t="s">
        <v>267</v>
      </c>
      <c r="F451" s="371">
        <v>0</v>
      </c>
      <c r="G451" s="372">
        <v>0</v>
      </c>
      <c r="H451" s="371">
        <v>0</v>
      </c>
      <c r="I451" s="371">
        <v>41087.375621890547</v>
      </c>
      <c r="J451" s="373">
        <v>31010.217384417389</v>
      </c>
      <c r="K451" s="313"/>
      <c r="L451" s="313"/>
    </row>
    <row r="452" spans="1:12" ht="15.75" thickBot="1" x14ac:dyDescent="0.3">
      <c r="A452" s="374">
        <v>4382500</v>
      </c>
      <c r="B452" s="375" t="s">
        <v>485</v>
      </c>
      <c r="C452" s="375" t="s">
        <v>2446</v>
      </c>
      <c r="D452" s="375" t="str">
        <f t="shared" si="7"/>
        <v>4382500__VED</v>
      </c>
      <c r="E452" s="375" t="s">
        <v>267</v>
      </c>
      <c r="F452" s="376">
        <v>104520</v>
      </c>
      <c r="G452" s="377">
        <v>0.1416</v>
      </c>
      <c r="H452" s="376">
        <v>45903.954802259883</v>
      </c>
      <c r="I452" s="376">
        <v>43625.791590341214</v>
      </c>
      <c r="J452" s="378">
        <v>40544.829496368002</v>
      </c>
      <c r="K452" s="313"/>
      <c r="L452" s="313"/>
    </row>
    <row r="453" spans="1:12" x14ac:dyDescent="0.25">
      <c r="A453" s="364">
        <v>5703553</v>
      </c>
      <c r="B453" s="365" t="s">
        <v>947</v>
      </c>
      <c r="C453" s="365" t="s">
        <v>2442</v>
      </c>
      <c r="D453" s="365" t="str">
        <f t="shared" si="7"/>
        <v>5703553__ADM</v>
      </c>
      <c r="E453" s="365" t="s">
        <v>267</v>
      </c>
      <c r="F453" s="366">
        <v>76484</v>
      </c>
      <c r="G453" s="367">
        <v>0.15</v>
      </c>
      <c r="H453" s="366">
        <v>31709.784411276953</v>
      </c>
      <c r="I453" s="366">
        <v>31509.419613887083</v>
      </c>
      <c r="J453" s="368">
        <v>32281.720258913574</v>
      </c>
      <c r="K453" s="313"/>
      <c r="L453" s="313"/>
    </row>
    <row r="454" spans="1:12" x14ac:dyDescent="0.25">
      <c r="A454" s="369">
        <v>5703553</v>
      </c>
      <c r="B454" s="370" t="s">
        <v>947</v>
      </c>
      <c r="C454" s="370" t="s">
        <v>2443</v>
      </c>
      <c r="D454" s="370" t="str">
        <f t="shared" si="7"/>
        <v>5703553__MAN</v>
      </c>
      <c r="E454" s="370" t="s">
        <v>267</v>
      </c>
      <c r="F454" s="371">
        <v>23366</v>
      </c>
      <c r="G454" s="372">
        <v>0.05</v>
      </c>
      <c r="H454" s="371">
        <v>29062.189054726368</v>
      </c>
      <c r="I454" s="371">
        <v>33848.21316316817</v>
      </c>
      <c r="J454" s="373">
        <v>22486.571454716974</v>
      </c>
      <c r="K454" s="313"/>
      <c r="L454" s="313"/>
    </row>
    <row r="455" spans="1:12" x14ac:dyDescent="0.25">
      <c r="A455" s="369">
        <v>5703553</v>
      </c>
      <c r="B455" s="370" t="s">
        <v>947</v>
      </c>
      <c r="C455" s="370" t="s">
        <v>2444</v>
      </c>
      <c r="D455" s="370" t="str">
        <f t="shared" si="7"/>
        <v>5703553__PPPs</v>
      </c>
      <c r="E455" s="370" t="s">
        <v>267</v>
      </c>
      <c r="F455" s="371">
        <v>1515524</v>
      </c>
      <c r="G455" s="372">
        <v>3.3</v>
      </c>
      <c r="H455" s="371">
        <v>28560.30453791648</v>
      </c>
      <c r="I455" s="371">
        <v>31986.223177996788</v>
      </c>
      <c r="J455" s="373">
        <v>28276.910051176939</v>
      </c>
      <c r="K455" s="313"/>
      <c r="L455" s="313"/>
    </row>
    <row r="456" spans="1:12" x14ac:dyDescent="0.25">
      <c r="A456" s="369">
        <v>5703553</v>
      </c>
      <c r="B456" s="370" t="s">
        <v>947</v>
      </c>
      <c r="C456" s="370" t="s">
        <v>2445</v>
      </c>
      <c r="D456" s="370" t="str">
        <f t="shared" si="7"/>
        <v>5703553__PPPz</v>
      </c>
      <c r="E456" s="370" t="s">
        <v>267</v>
      </c>
      <c r="F456" s="371">
        <v>0</v>
      </c>
      <c r="G456" s="372">
        <v>0</v>
      </c>
      <c r="H456" s="371">
        <v>0</v>
      </c>
      <c r="I456" s="371">
        <v>41087.375621890547</v>
      </c>
      <c r="J456" s="373">
        <v>31010.217384417389</v>
      </c>
      <c r="K456" s="313"/>
      <c r="L456" s="313"/>
    </row>
    <row r="457" spans="1:12" ht="15.75" thickBot="1" x14ac:dyDescent="0.3">
      <c r="A457" s="374">
        <v>5703553</v>
      </c>
      <c r="B457" s="375" t="s">
        <v>947</v>
      </c>
      <c r="C457" s="375" t="s">
        <v>2446</v>
      </c>
      <c r="D457" s="375" t="str">
        <f t="shared" si="7"/>
        <v>5703553__VED</v>
      </c>
      <c r="E457" s="375" t="s">
        <v>267</v>
      </c>
      <c r="F457" s="376">
        <v>211243</v>
      </c>
      <c r="G457" s="377">
        <v>0.1</v>
      </c>
      <c r="H457" s="376">
        <v>131370.02487562189</v>
      </c>
      <c r="I457" s="376">
        <v>43625.791590341214</v>
      </c>
      <c r="J457" s="378">
        <v>40544.829496368002</v>
      </c>
      <c r="K457" s="313"/>
      <c r="L457" s="313"/>
    </row>
    <row r="458" spans="1:12" x14ac:dyDescent="0.25">
      <c r="A458" s="364">
        <v>5871375</v>
      </c>
      <c r="B458" s="365" t="s">
        <v>2439</v>
      </c>
      <c r="C458" s="365" t="s">
        <v>2442</v>
      </c>
      <c r="D458" s="365" t="str">
        <f t="shared" si="7"/>
        <v>5871375__ADM</v>
      </c>
      <c r="E458" s="365" t="s">
        <v>267</v>
      </c>
      <c r="F458" s="366">
        <v>322517</v>
      </c>
      <c r="G458" s="367">
        <v>0.6</v>
      </c>
      <c r="H458" s="366">
        <v>33428.378938640133</v>
      </c>
      <c r="I458" s="366">
        <v>31509.419613887083</v>
      </c>
      <c r="J458" s="368">
        <v>32281.720258913574</v>
      </c>
      <c r="K458" s="313"/>
      <c r="L458" s="313"/>
    </row>
    <row r="459" spans="1:12" x14ac:dyDescent="0.25">
      <c r="A459" s="369">
        <v>5871375</v>
      </c>
      <c r="B459" s="370" t="s">
        <v>2439</v>
      </c>
      <c r="C459" s="370" t="s">
        <v>2443</v>
      </c>
      <c r="D459" s="370" t="str">
        <f t="shared" si="7"/>
        <v>5871375__MAN</v>
      </c>
      <c r="E459" s="370" t="s">
        <v>267</v>
      </c>
      <c r="F459" s="371">
        <v>0</v>
      </c>
      <c r="G459" s="372">
        <v>0</v>
      </c>
      <c r="H459" s="371">
        <v>0</v>
      </c>
      <c r="I459" s="371">
        <v>33848.21316316817</v>
      </c>
      <c r="J459" s="373">
        <v>22486.571454716974</v>
      </c>
      <c r="K459" s="313"/>
      <c r="L459" s="313"/>
    </row>
    <row r="460" spans="1:12" x14ac:dyDescent="0.25">
      <c r="A460" s="369">
        <v>5871375</v>
      </c>
      <c r="B460" s="370" t="s">
        <v>2439</v>
      </c>
      <c r="C460" s="370" t="s">
        <v>2444</v>
      </c>
      <c r="D460" s="370" t="str">
        <f t="shared" si="7"/>
        <v>5871375__PPPs</v>
      </c>
      <c r="E460" s="370" t="s">
        <v>267</v>
      </c>
      <c r="F460" s="371">
        <v>4736764</v>
      </c>
      <c r="G460" s="372">
        <v>12.213999999999999</v>
      </c>
      <c r="H460" s="371">
        <v>24117.805438176732</v>
      </c>
      <c r="I460" s="371">
        <v>31986.223177996788</v>
      </c>
      <c r="J460" s="373">
        <v>28276.910051176939</v>
      </c>
      <c r="K460" s="313"/>
      <c r="L460" s="313"/>
    </row>
    <row r="461" spans="1:12" x14ac:dyDescent="0.25">
      <c r="A461" s="369">
        <v>5871375</v>
      </c>
      <c r="B461" s="370" t="s">
        <v>2439</v>
      </c>
      <c r="C461" s="370" t="s">
        <v>2445</v>
      </c>
      <c r="D461" s="370" t="str">
        <f t="shared" si="7"/>
        <v>5871375__PPPz</v>
      </c>
      <c r="E461" s="370" t="s">
        <v>267</v>
      </c>
      <c r="F461" s="371">
        <v>0</v>
      </c>
      <c r="G461" s="372">
        <v>0</v>
      </c>
      <c r="H461" s="371">
        <v>0</v>
      </c>
      <c r="I461" s="371">
        <v>41087.375621890547</v>
      </c>
      <c r="J461" s="373">
        <v>31010.217384417389</v>
      </c>
      <c r="K461" s="313"/>
      <c r="L461" s="313"/>
    </row>
    <row r="462" spans="1:12" ht="15.75" thickBot="1" x14ac:dyDescent="0.3">
      <c r="A462" s="374">
        <v>5871375</v>
      </c>
      <c r="B462" s="375" t="s">
        <v>2439</v>
      </c>
      <c r="C462" s="375" t="s">
        <v>2446</v>
      </c>
      <c r="D462" s="375" t="str">
        <f t="shared" si="7"/>
        <v>5871375__VED</v>
      </c>
      <c r="E462" s="375" t="s">
        <v>267</v>
      </c>
      <c r="F462" s="376">
        <v>652302</v>
      </c>
      <c r="G462" s="377">
        <v>1.0092000000000001</v>
      </c>
      <c r="H462" s="376">
        <v>40196.239373879704</v>
      </c>
      <c r="I462" s="376">
        <v>43625.791590341214</v>
      </c>
      <c r="J462" s="378">
        <v>40544.829496368002</v>
      </c>
      <c r="K462" s="313"/>
      <c r="L462" s="313"/>
    </row>
    <row r="463" spans="1:12" x14ac:dyDescent="0.25">
      <c r="A463" s="364">
        <v>6514817</v>
      </c>
      <c r="B463" s="365" t="s">
        <v>425</v>
      </c>
      <c r="C463" s="365" t="s">
        <v>2442</v>
      </c>
      <c r="D463" s="365" t="str">
        <f t="shared" si="7"/>
        <v>6514817__ADM</v>
      </c>
      <c r="E463" s="365" t="s">
        <v>267</v>
      </c>
      <c r="F463" s="366">
        <v>202678</v>
      </c>
      <c r="G463" s="367">
        <v>0.3</v>
      </c>
      <c r="H463" s="366">
        <v>42014.510779436154</v>
      </c>
      <c r="I463" s="366">
        <v>31509.419613887083</v>
      </c>
      <c r="J463" s="368">
        <v>32281.720258913574</v>
      </c>
      <c r="K463" s="313"/>
      <c r="L463" s="313"/>
    </row>
    <row r="464" spans="1:12" x14ac:dyDescent="0.25">
      <c r="A464" s="369">
        <v>6514817</v>
      </c>
      <c r="B464" s="370" t="s">
        <v>425</v>
      </c>
      <c r="C464" s="370" t="s">
        <v>2443</v>
      </c>
      <c r="D464" s="370" t="str">
        <f t="shared" si="7"/>
        <v>6514817__MAN</v>
      </c>
      <c r="E464" s="370" t="s">
        <v>267</v>
      </c>
      <c r="F464" s="371">
        <v>0</v>
      </c>
      <c r="G464" s="372">
        <v>0</v>
      </c>
      <c r="H464" s="371">
        <v>0</v>
      </c>
      <c r="I464" s="371">
        <v>33848.21316316817</v>
      </c>
      <c r="J464" s="373">
        <v>22486.571454716974</v>
      </c>
      <c r="K464" s="313"/>
      <c r="L464" s="313"/>
    </row>
    <row r="465" spans="1:12" x14ac:dyDescent="0.25">
      <c r="A465" s="369">
        <v>6514817</v>
      </c>
      <c r="B465" s="370" t="s">
        <v>425</v>
      </c>
      <c r="C465" s="370" t="s">
        <v>2444</v>
      </c>
      <c r="D465" s="370" t="str">
        <f t="shared" si="7"/>
        <v>6514817__PPPs</v>
      </c>
      <c r="E465" s="370" t="s">
        <v>267</v>
      </c>
      <c r="F465" s="371">
        <v>4923868</v>
      </c>
      <c r="G465" s="372">
        <v>9.6</v>
      </c>
      <c r="H465" s="371">
        <v>31896.947553897182</v>
      </c>
      <c r="I465" s="371">
        <v>31986.223177996788</v>
      </c>
      <c r="J465" s="373">
        <v>28276.910051176939</v>
      </c>
      <c r="K465" s="313"/>
      <c r="L465" s="313"/>
    </row>
    <row r="466" spans="1:12" x14ac:dyDescent="0.25">
      <c r="A466" s="369">
        <v>6514817</v>
      </c>
      <c r="B466" s="370" t="s">
        <v>425</v>
      </c>
      <c r="C466" s="370" t="s">
        <v>2445</v>
      </c>
      <c r="D466" s="370" t="str">
        <f t="shared" si="7"/>
        <v>6514817__PPPz</v>
      </c>
      <c r="E466" s="370" t="s">
        <v>267</v>
      </c>
      <c r="F466" s="371">
        <v>0</v>
      </c>
      <c r="G466" s="372">
        <v>0</v>
      </c>
      <c r="H466" s="371">
        <v>0</v>
      </c>
      <c r="I466" s="371">
        <v>41087.375621890547</v>
      </c>
      <c r="J466" s="373">
        <v>31010.217384417389</v>
      </c>
      <c r="K466" s="313"/>
      <c r="L466" s="313"/>
    </row>
    <row r="467" spans="1:12" ht="15.75" thickBot="1" x14ac:dyDescent="0.3">
      <c r="A467" s="374">
        <v>6514817</v>
      </c>
      <c r="B467" s="375" t="s">
        <v>425</v>
      </c>
      <c r="C467" s="375" t="s">
        <v>2446</v>
      </c>
      <c r="D467" s="375" t="str">
        <f t="shared" si="7"/>
        <v>6514817__VED</v>
      </c>
      <c r="E467" s="375" t="s">
        <v>267</v>
      </c>
      <c r="F467" s="376">
        <v>168598</v>
      </c>
      <c r="G467" s="377">
        <v>0.2</v>
      </c>
      <c r="H467" s="376">
        <v>52424.751243781095</v>
      </c>
      <c r="I467" s="376">
        <v>43625.791590341214</v>
      </c>
      <c r="J467" s="378">
        <v>40544.829496368002</v>
      </c>
      <c r="K467" s="313"/>
      <c r="L467" s="313"/>
    </row>
    <row r="468" spans="1:12" x14ac:dyDescent="0.25">
      <c r="A468" s="364">
        <v>6627771</v>
      </c>
      <c r="B468" s="365" t="s">
        <v>760</v>
      </c>
      <c r="C468" s="365" t="s">
        <v>2442</v>
      </c>
      <c r="D468" s="365" t="str">
        <f t="shared" si="7"/>
        <v>6627771__ADM</v>
      </c>
      <c r="E468" s="365" t="s">
        <v>267</v>
      </c>
      <c r="F468" s="366">
        <v>98357</v>
      </c>
      <c r="G468" s="367">
        <v>0.16</v>
      </c>
      <c r="H468" s="366">
        <v>38229.555348258706</v>
      </c>
      <c r="I468" s="366">
        <v>31509.419613887083</v>
      </c>
      <c r="J468" s="368">
        <v>32281.720258913574</v>
      </c>
      <c r="K468" s="313"/>
      <c r="L468" s="313"/>
    </row>
    <row r="469" spans="1:12" x14ac:dyDescent="0.25">
      <c r="A469" s="369">
        <v>6627771</v>
      </c>
      <c r="B469" s="370" t="s">
        <v>760</v>
      </c>
      <c r="C469" s="370" t="s">
        <v>2443</v>
      </c>
      <c r="D469" s="370" t="str">
        <f t="shared" si="7"/>
        <v>6627771__MAN</v>
      </c>
      <c r="E469" s="370" t="s">
        <v>267</v>
      </c>
      <c r="F469" s="371">
        <v>0</v>
      </c>
      <c r="G469" s="372">
        <v>0</v>
      </c>
      <c r="H469" s="371">
        <v>0</v>
      </c>
      <c r="I469" s="371">
        <v>33848.21316316817</v>
      </c>
      <c r="J469" s="373">
        <v>22486.571454716974</v>
      </c>
      <c r="K469" s="313"/>
      <c r="L469" s="313"/>
    </row>
    <row r="470" spans="1:12" x14ac:dyDescent="0.25">
      <c r="A470" s="369">
        <v>6627771</v>
      </c>
      <c r="B470" s="370" t="s">
        <v>760</v>
      </c>
      <c r="C470" s="370" t="s">
        <v>2444</v>
      </c>
      <c r="D470" s="370" t="str">
        <f t="shared" si="7"/>
        <v>6627771__PPPs</v>
      </c>
      <c r="E470" s="370" t="s">
        <v>267</v>
      </c>
      <c r="F470" s="371">
        <v>227023</v>
      </c>
      <c r="G470" s="372">
        <v>0.59199999999999997</v>
      </c>
      <c r="H470" s="371">
        <v>23848.557045851823</v>
      </c>
      <c r="I470" s="371">
        <v>31986.223177996788</v>
      </c>
      <c r="J470" s="373">
        <v>28276.910051176939</v>
      </c>
      <c r="K470" s="313"/>
      <c r="L470" s="313"/>
    </row>
    <row r="471" spans="1:12" x14ac:dyDescent="0.25">
      <c r="A471" s="369">
        <v>6627771</v>
      </c>
      <c r="B471" s="370" t="s">
        <v>760</v>
      </c>
      <c r="C471" s="370" t="s">
        <v>2445</v>
      </c>
      <c r="D471" s="370" t="str">
        <f t="shared" si="7"/>
        <v>6627771__PPPz</v>
      </c>
      <c r="E471" s="370" t="s">
        <v>267</v>
      </c>
      <c r="F471" s="371">
        <v>132137</v>
      </c>
      <c r="G471" s="372">
        <v>0.2</v>
      </c>
      <c r="H471" s="371">
        <v>41087.375621890547</v>
      </c>
      <c r="I471" s="371">
        <v>41087.375621890547</v>
      </c>
      <c r="J471" s="373">
        <v>31010.217384417389</v>
      </c>
      <c r="K471" s="313"/>
      <c r="L471" s="313"/>
    </row>
    <row r="472" spans="1:12" ht="15.75" thickBot="1" x14ac:dyDescent="0.3">
      <c r="A472" s="374">
        <v>6627771</v>
      </c>
      <c r="B472" s="375" t="s">
        <v>760</v>
      </c>
      <c r="C472" s="375" t="s">
        <v>2446</v>
      </c>
      <c r="D472" s="375" t="str">
        <f t="shared" si="7"/>
        <v>6627771__VED</v>
      </c>
      <c r="E472" s="375" t="s">
        <v>267</v>
      </c>
      <c r="F472" s="376">
        <v>27610</v>
      </c>
      <c r="G472" s="377">
        <v>0.05</v>
      </c>
      <c r="H472" s="376">
        <v>34340.796019900496</v>
      </c>
      <c r="I472" s="376">
        <v>43625.791590341214</v>
      </c>
      <c r="J472" s="378">
        <v>40544.829496368002</v>
      </c>
      <c r="K472" s="313"/>
      <c r="L472" s="313"/>
    </row>
    <row r="473" spans="1:12" x14ac:dyDescent="0.25">
      <c r="A473" s="364">
        <v>8051895</v>
      </c>
      <c r="B473" s="365" t="s">
        <v>922</v>
      </c>
      <c r="C473" s="365" t="s">
        <v>2442</v>
      </c>
      <c r="D473" s="365" t="str">
        <f t="shared" si="7"/>
        <v>8051895__ADM</v>
      </c>
      <c r="E473" s="365" t="s">
        <v>267</v>
      </c>
      <c r="F473" s="366">
        <v>0</v>
      </c>
      <c r="G473" s="367">
        <v>0</v>
      </c>
      <c r="H473" s="366">
        <v>0</v>
      </c>
      <c r="I473" s="366">
        <v>31509.419613887083</v>
      </c>
      <c r="J473" s="368">
        <v>32281.720258913574</v>
      </c>
      <c r="K473" s="313"/>
      <c r="L473" s="313"/>
    </row>
    <row r="474" spans="1:12" x14ac:dyDescent="0.25">
      <c r="A474" s="369">
        <v>8051895</v>
      </c>
      <c r="B474" s="370" t="s">
        <v>922</v>
      </c>
      <c r="C474" s="370" t="s">
        <v>2443</v>
      </c>
      <c r="D474" s="370" t="str">
        <f t="shared" si="7"/>
        <v>8051895__MAN</v>
      </c>
      <c r="E474" s="370" t="s">
        <v>267</v>
      </c>
      <c r="F474" s="371">
        <v>34367</v>
      </c>
      <c r="G474" s="372">
        <v>0.22439999999999999</v>
      </c>
      <c r="H474" s="371">
        <v>9524.2925302187796</v>
      </c>
      <c r="I474" s="371">
        <v>33848.21316316817</v>
      </c>
      <c r="J474" s="373">
        <v>22486.571454716974</v>
      </c>
      <c r="K474" s="313"/>
      <c r="L474" s="313"/>
    </row>
    <row r="475" spans="1:12" x14ac:dyDescent="0.25">
      <c r="A475" s="369">
        <v>8051895</v>
      </c>
      <c r="B475" s="370" t="s">
        <v>922</v>
      </c>
      <c r="C475" s="370" t="s">
        <v>2444</v>
      </c>
      <c r="D475" s="370" t="str">
        <f t="shared" si="7"/>
        <v>8051895__PPPs</v>
      </c>
      <c r="E475" s="370" t="s">
        <v>267</v>
      </c>
      <c r="F475" s="371">
        <v>2771393</v>
      </c>
      <c r="G475" s="372">
        <v>6.2249999999999996</v>
      </c>
      <c r="H475" s="371">
        <v>27686.796938999782</v>
      </c>
      <c r="I475" s="371">
        <v>31986.223177996788</v>
      </c>
      <c r="J475" s="373">
        <v>28276.910051176939</v>
      </c>
      <c r="K475" s="313"/>
      <c r="L475" s="313"/>
    </row>
    <row r="476" spans="1:12" x14ac:dyDescent="0.25">
      <c r="A476" s="369">
        <v>8051895</v>
      </c>
      <c r="B476" s="370" t="s">
        <v>922</v>
      </c>
      <c r="C476" s="370" t="s">
        <v>2445</v>
      </c>
      <c r="D476" s="370" t="str">
        <f t="shared" si="7"/>
        <v>8051895__PPPz</v>
      </c>
      <c r="E476" s="370" t="s">
        <v>267</v>
      </c>
      <c r="F476" s="371">
        <v>0</v>
      </c>
      <c r="G476" s="372">
        <v>0</v>
      </c>
      <c r="H476" s="371">
        <v>0</v>
      </c>
      <c r="I476" s="371">
        <v>41087.375621890547</v>
      </c>
      <c r="J476" s="373">
        <v>31010.217384417389</v>
      </c>
      <c r="K476" s="313"/>
      <c r="L476" s="313"/>
    </row>
    <row r="477" spans="1:12" ht="15.75" thickBot="1" x14ac:dyDescent="0.3">
      <c r="A477" s="374">
        <v>8051895</v>
      </c>
      <c r="B477" s="375" t="s">
        <v>922</v>
      </c>
      <c r="C477" s="375" t="s">
        <v>2446</v>
      </c>
      <c r="D477" s="375" t="str">
        <f t="shared" si="7"/>
        <v>8051895__VED</v>
      </c>
      <c r="E477" s="375" t="s">
        <v>267</v>
      </c>
      <c r="F477" s="376">
        <v>283398</v>
      </c>
      <c r="G477" s="377">
        <v>0.75</v>
      </c>
      <c r="H477" s="376">
        <v>23499.004975124379</v>
      </c>
      <c r="I477" s="376">
        <v>43625.791590341214</v>
      </c>
      <c r="J477" s="378">
        <v>40544.829496368002</v>
      </c>
      <c r="K477" s="313"/>
      <c r="L477" s="313"/>
    </row>
    <row r="478" spans="1:12" x14ac:dyDescent="0.25">
      <c r="A478" s="364">
        <v>8504548</v>
      </c>
      <c r="B478" s="365" t="s">
        <v>257</v>
      </c>
      <c r="C478" s="365" t="s">
        <v>2442</v>
      </c>
      <c r="D478" s="365" t="str">
        <f t="shared" si="7"/>
        <v>8504548__ADM</v>
      </c>
      <c r="E478" s="365" t="s">
        <v>267</v>
      </c>
      <c r="F478" s="366">
        <v>723335</v>
      </c>
      <c r="G478" s="367">
        <v>2</v>
      </c>
      <c r="H478" s="366">
        <v>22491.759950248754</v>
      </c>
      <c r="I478" s="366">
        <v>31509.419613887083</v>
      </c>
      <c r="J478" s="368">
        <v>32281.720258913574</v>
      </c>
      <c r="K478" s="313"/>
      <c r="L478" s="313"/>
    </row>
    <row r="479" spans="1:12" x14ac:dyDescent="0.25">
      <c r="A479" s="369">
        <v>8504548</v>
      </c>
      <c r="B479" s="370" t="s">
        <v>257</v>
      </c>
      <c r="C479" s="370" t="s">
        <v>2443</v>
      </c>
      <c r="D479" s="370" t="str">
        <f t="shared" si="7"/>
        <v>8504548__MAN</v>
      </c>
      <c r="E479" s="370" t="s">
        <v>267</v>
      </c>
      <c r="F479" s="371">
        <v>924352</v>
      </c>
      <c r="G479" s="372">
        <v>1</v>
      </c>
      <c r="H479" s="371">
        <v>57484.577114427855</v>
      </c>
      <c r="I479" s="371">
        <v>33848.21316316817</v>
      </c>
      <c r="J479" s="373">
        <v>22486.571454716974</v>
      </c>
      <c r="K479" s="313"/>
      <c r="L479" s="313"/>
    </row>
    <row r="480" spans="1:12" x14ac:dyDescent="0.25">
      <c r="A480" s="369">
        <v>8504548</v>
      </c>
      <c r="B480" s="370" t="s">
        <v>257</v>
      </c>
      <c r="C480" s="370" t="s">
        <v>2444</v>
      </c>
      <c r="D480" s="370" t="str">
        <f t="shared" si="7"/>
        <v>8504548__PPPs</v>
      </c>
      <c r="E480" s="370" t="s">
        <v>267</v>
      </c>
      <c r="F480" s="371">
        <v>21265388</v>
      </c>
      <c r="G480" s="372">
        <v>35.588000000000001</v>
      </c>
      <c r="H480" s="371">
        <v>37160.682761308657</v>
      </c>
      <c r="I480" s="371">
        <v>31986.223177996788</v>
      </c>
      <c r="J480" s="373">
        <v>28276.910051176939</v>
      </c>
      <c r="K480" s="313"/>
      <c r="L480" s="313"/>
    </row>
    <row r="481" spans="1:12" x14ac:dyDescent="0.25">
      <c r="A481" s="369">
        <v>8504548</v>
      </c>
      <c r="B481" s="370" t="s">
        <v>257</v>
      </c>
      <c r="C481" s="370" t="s">
        <v>2445</v>
      </c>
      <c r="D481" s="370" t="str">
        <f t="shared" si="7"/>
        <v>8504548__PPPz</v>
      </c>
      <c r="E481" s="370" t="s">
        <v>267</v>
      </c>
      <c r="F481" s="371">
        <v>0</v>
      </c>
      <c r="G481" s="372">
        <v>0</v>
      </c>
      <c r="H481" s="371">
        <v>0</v>
      </c>
      <c r="I481" s="371">
        <v>41087.375621890547</v>
      </c>
      <c r="J481" s="373">
        <v>31010.217384417389</v>
      </c>
      <c r="K481" s="313"/>
      <c r="L481" s="313"/>
    </row>
    <row r="482" spans="1:12" ht="15.75" thickBot="1" x14ac:dyDescent="0.3">
      <c r="A482" s="374">
        <v>8504548</v>
      </c>
      <c r="B482" s="375" t="s">
        <v>257</v>
      </c>
      <c r="C482" s="375" t="s">
        <v>2446</v>
      </c>
      <c r="D482" s="375" t="str">
        <f t="shared" si="7"/>
        <v>8504548__VED</v>
      </c>
      <c r="E482" s="375" t="s">
        <v>267</v>
      </c>
      <c r="F482" s="376">
        <v>420220</v>
      </c>
      <c r="G482" s="377">
        <v>0.50080000000000002</v>
      </c>
      <c r="H482" s="376">
        <v>52182.676871234878</v>
      </c>
      <c r="I482" s="376">
        <v>43625.791590341214</v>
      </c>
      <c r="J482" s="378">
        <v>40544.829496368002</v>
      </c>
      <c r="K482" s="313"/>
      <c r="L482" s="313"/>
    </row>
    <row r="483" spans="1:12" x14ac:dyDescent="0.25">
      <c r="A483" s="364">
        <v>6585534</v>
      </c>
      <c r="B483" s="365" t="s">
        <v>776</v>
      </c>
      <c r="C483" s="365" t="s">
        <v>2442</v>
      </c>
      <c r="D483" s="365" t="str">
        <f t="shared" si="7"/>
        <v>6585534__ADM</v>
      </c>
      <c r="E483" s="365" t="s">
        <v>796</v>
      </c>
      <c r="F483" s="366">
        <v>434103</v>
      </c>
      <c r="G483" s="367">
        <v>0.628</v>
      </c>
      <c r="H483" s="366">
        <v>42987.986025287573</v>
      </c>
      <c r="I483" s="366">
        <v>42987.986025287573</v>
      </c>
      <c r="J483" s="368">
        <v>31700.329122766034</v>
      </c>
      <c r="K483" s="313"/>
      <c r="L483" s="313"/>
    </row>
    <row r="484" spans="1:12" x14ac:dyDescent="0.25">
      <c r="A484" s="369">
        <v>6585534</v>
      </c>
      <c r="B484" s="370" t="s">
        <v>776</v>
      </c>
      <c r="C484" s="370" t="s">
        <v>2443</v>
      </c>
      <c r="D484" s="370" t="str">
        <f t="shared" si="7"/>
        <v>6585534__MAN</v>
      </c>
      <c r="E484" s="370" t="s">
        <v>796</v>
      </c>
      <c r="F484" s="371">
        <v>71767</v>
      </c>
      <c r="G484" s="372">
        <v>0.188</v>
      </c>
      <c r="H484" s="371">
        <v>23740.010056102466</v>
      </c>
      <c r="I484" s="371">
        <v>23740.010056102466</v>
      </c>
      <c r="J484" s="373">
        <v>15727.484319942163</v>
      </c>
      <c r="K484" s="313"/>
      <c r="L484" s="313"/>
    </row>
    <row r="485" spans="1:12" x14ac:dyDescent="0.25">
      <c r="A485" s="369">
        <v>6585534</v>
      </c>
      <c r="B485" s="370" t="s">
        <v>776</v>
      </c>
      <c r="C485" s="370" t="s">
        <v>2444</v>
      </c>
      <c r="D485" s="370" t="str">
        <f t="shared" si="7"/>
        <v>6585534__PPPs</v>
      </c>
      <c r="E485" s="370" t="s">
        <v>796</v>
      </c>
      <c r="F485" s="371">
        <v>1886370</v>
      </c>
      <c r="G485" s="372">
        <v>3.38</v>
      </c>
      <c r="H485" s="371">
        <v>34707.564249757132</v>
      </c>
      <c r="I485" s="371">
        <v>34707.564249757132</v>
      </c>
      <c r="J485" s="373">
        <v>34616.353338856919</v>
      </c>
      <c r="K485" s="313"/>
      <c r="L485" s="313"/>
    </row>
    <row r="486" spans="1:12" x14ac:dyDescent="0.25">
      <c r="A486" s="369">
        <v>6585534</v>
      </c>
      <c r="B486" s="370" t="s">
        <v>776</v>
      </c>
      <c r="C486" s="370" t="s">
        <v>2445</v>
      </c>
      <c r="D486" s="370" t="str">
        <f t="shared" si="7"/>
        <v>6585534__PPPz</v>
      </c>
      <c r="E486" s="370" t="s">
        <v>796</v>
      </c>
      <c r="F486" s="371">
        <v>0</v>
      </c>
      <c r="G486" s="372">
        <v>0</v>
      </c>
      <c r="H486" s="371">
        <v>0</v>
      </c>
      <c r="I486" s="371">
        <v>0</v>
      </c>
      <c r="J486" s="373">
        <v>0</v>
      </c>
      <c r="K486" s="313"/>
      <c r="L486" s="313"/>
    </row>
    <row r="487" spans="1:12" ht="15.75" thickBot="1" x14ac:dyDescent="0.3">
      <c r="A487" s="374">
        <v>6585534</v>
      </c>
      <c r="B487" s="375" t="s">
        <v>776</v>
      </c>
      <c r="C487" s="375" t="s">
        <v>2446</v>
      </c>
      <c r="D487" s="375" t="str">
        <f t="shared" si="7"/>
        <v>6585534__VED</v>
      </c>
      <c r="E487" s="375" t="s">
        <v>796</v>
      </c>
      <c r="F487" s="376">
        <v>48259</v>
      </c>
      <c r="G487" s="377">
        <v>0.28499999999999998</v>
      </c>
      <c r="H487" s="376">
        <v>10530.461726455442</v>
      </c>
      <c r="I487" s="376">
        <v>10530.461726455442</v>
      </c>
      <c r="J487" s="378">
        <v>44206.415215328721</v>
      </c>
      <c r="K487" s="313"/>
      <c r="L487" s="313"/>
    </row>
    <row r="488" spans="1:12" x14ac:dyDescent="0.25">
      <c r="A488" s="364">
        <v>9870958</v>
      </c>
      <c r="B488" s="365" t="s">
        <v>928</v>
      </c>
      <c r="C488" s="365" t="s">
        <v>2442</v>
      </c>
      <c r="D488" s="365" t="str">
        <f t="shared" si="7"/>
        <v>9870958__ADM</v>
      </c>
      <c r="E488" s="365" t="s">
        <v>599</v>
      </c>
      <c r="F488" s="366">
        <v>80964</v>
      </c>
      <c r="G488" s="367">
        <v>0.2</v>
      </c>
      <c r="H488" s="366">
        <v>25175.373134328358</v>
      </c>
      <c r="I488" s="366">
        <v>25175.373134328358</v>
      </c>
      <c r="J488" s="368">
        <v>31226.789777460188</v>
      </c>
      <c r="K488" s="313"/>
      <c r="L488" s="313"/>
    </row>
    <row r="489" spans="1:12" x14ac:dyDescent="0.25">
      <c r="A489" s="369">
        <v>9870958</v>
      </c>
      <c r="B489" s="370" t="s">
        <v>928</v>
      </c>
      <c r="C489" s="370" t="s">
        <v>2443</v>
      </c>
      <c r="D489" s="370" t="str">
        <f t="shared" si="7"/>
        <v>9870958__MAN</v>
      </c>
      <c r="E489" s="370" t="s">
        <v>599</v>
      </c>
      <c r="F489" s="371">
        <v>106032</v>
      </c>
      <c r="G489" s="372">
        <v>0.47499999999999998</v>
      </c>
      <c r="H489" s="371">
        <v>13882.168106834251</v>
      </c>
      <c r="I489" s="371">
        <v>13882.168106834251</v>
      </c>
      <c r="J489" s="373">
        <v>26082.582870281658</v>
      </c>
      <c r="K489" s="313"/>
      <c r="L489" s="313"/>
    </row>
    <row r="490" spans="1:12" x14ac:dyDescent="0.25">
      <c r="A490" s="369">
        <v>9870958</v>
      </c>
      <c r="B490" s="370" t="s">
        <v>928</v>
      </c>
      <c r="C490" s="370" t="s">
        <v>2444</v>
      </c>
      <c r="D490" s="370" t="str">
        <f t="shared" si="7"/>
        <v>9870958__PPPs</v>
      </c>
      <c r="E490" s="370" t="s">
        <v>599</v>
      </c>
      <c r="F490" s="371">
        <v>1921146</v>
      </c>
      <c r="G490" s="372">
        <v>3.1</v>
      </c>
      <c r="H490" s="371">
        <v>38540.08184882041</v>
      </c>
      <c r="I490" s="371">
        <v>38540.08184882041</v>
      </c>
      <c r="J490" s="373">
        <v>34478.369790155819</v>
      </c>
      <c r="K490" s="313"/>
      <c r="L490" s="313"/>
    </row>
    <row r="491" spans="1:12" x14ac:dyDescent="0.25">
      <c r="A491" s="369">
        <v>9870958</v>
      </c>
      <c r="B491" s="370" t="s">
        <v>928</v>
      </c>
      <c r="C491" s="370" t="s">
        <v>2445</v>
      </c>
      <c r="D491" s="370" t="str">
        <f t="shared" si="7"/>
        <v>9870958__PPPz</v>
      </c>
      <c r="E491" s="370" t="s">
        <v>599</v>
      </c>
      <c r="F491" s="371">
        <v>84812</v>
      </c>
      <c r="G491" s="372">
        <v>0.2</v>
      </c>
      <c r="H491" s="371">
        <v>26371.890547263683</v>
      </c>
      <c r="I491" s="371">
        <v>26371.890547263683</v>
      </c>
      <c r="J491" s="373">
        <v>27078.373842821817</v>
      </c>
      <c r="K491" s="313"/>
      <c r="L491" s="313"/>
    </row>
    <row r="492" spans="1:12" ht="15.75" thickBot="1" x14ac:dyDescent="0.3">
      <c r="A492" s="374">
        <v>9870958</v>
      </c>
      <c r="B492" s="375" t="s">
        <v>928</v>
      </c>
      <c r="C492" s="375" t="s">
        <v>2446</v>
      </c>
      <c r="D492" s="375" t="str">
        <f t="shared" si="7"/>
        <v>9870958__VED</v>
      </c>
      <c r="E492" s="375" t="s">
        <v>599</v>
      </c>
      <c r="F492" s="376">
        <v>128372</v>
      </c>
      <c r="G492" s="377">
        <v>0.1</v>
      </c>
      <c r="H492" s="376">
        <v>79833.333333333328</v>
      </c>
      <c r="I492" s="376">
        <v>79833.333333333328</v>
      </c>
      <c r="J492" s="378">
        <v>45858.850345461498</v>
      </c>
      <c r="K492" s="313"/>
      <c r="L492" s="313"/>
    </row>
    <row r="493" spans="1:12" x14ac:dyDescent="0.25">
      <c r="A493" s="364">
        <v>2757263</v>
      </c>
      <c r="B493" s="365" t="s">
        <v>718</v>
      </c>
      <c r="C493" s="365" t="s">
        <v>2442</v>
      </c>
      <c r="D493" s="365" t="str">
        <f t="shared" si="7"/>
        <v>2757263__ADM</v>
      </c>
      <c r="E493" s="365" t="s">
        <v>720</v>
      </c>
      <c r="F493" s="366">
        <v>99276</v>
      </c>
      <c r="G493" s="367">
        <v>0.28639999999999999</v>
      </c>
      <c r="H493" s="366">
        <v>21556.845659968316</v>
      </c>
      <c r="I493" s="366">
        <v>21556.845659968316</v>
      </c>
      <c r="J493" s="368">
        <v>31559.521544639778</v>
      </c>
      <c r="K493" s="313"/>
      <c r="L493" s="313"/>
    </row>
    <row r="494" spans="1:12" x14ac:dyDescent="0.25">
      <c r="A494" s="369">
        <v>2757263</v>
      </c>
      <c r="B494" s="370" t="s">
        <v>718</v>
      </c>
      <c r="C494" s="370" t="s">
        <v>2443</v>
      </c>
      <c r="D494" s="370" t="str">
        <f t="shared" si="7"/>
        <v>2757263__MAN</v>
      </c>
      <c r="E494" s="370" t="s">
        <v>720</v>
      </c>
      <c r="F494" s="371">
        <v>0</v>
      </c>
      <c r="G494" s="372">
        <v>0</v>
      </c>
      <c r="H494" s="371">
        <v>0</v>
      </c>
      <c r="I494" s="371">
        <v>0</v>
      </c>
      <c r="J494" s="373">
        <v>19300.007830855891</v>
      </c>
      <c r="K494" s="313"/>
      <c r="L494" s="313"/>
    </row>
    <row r="495" spans="1:12" x14ac:dyDescent="0.25">
      <c r="A495" s="369">
        <v>2757263</v>
      </c>
      <c r="B495" s="370" t="s">
        <v>718</v>
      </c>
      <c r="C495" s="370" t="s">
        <v>2444</v>
      </c>
      <c r="D495" s="370" t="str">
        <f t="shared" si="7"/>
        <v>2757263__PPPs</v>
      </c>
      <c r="E495" s="370" t="s">
        <v>720</v>
      </c>
      <c r="F495" s="371">
        <v>525412</v>
      </c>
      <c r="G495" s="372">
        <v>1.06</v>
      </c>
      <c r="H495" s="371">
        <v>30825.354360274101</v>
      </c>
      <c r="I495" s="371">
        <v>30825.354360274101</v>
      </c>
      <c r="J495" s="373">
        <v>32219.561369205225</v>
      </c>
      <c r="K495" s="313"/>
      <c r="L495" s="313"/>
    </row>
    <row r="496" spans="1:12" x14ac:dyDescent="0.25">
      <c r="A496" s="369">
        <v>2757263</v>
      </c>
      <c r="B496" s="370" t="s">
        <v>718</v>
      </c>
      <c r="C496" s="370" t="s">
        <v>2445</v>
      </c>
      <c r="D496" s="370" t="str">
        <f t="shared" si="7"/>
        <v>2757263__PPPz</v>
      </c>
      <c r="E496" s="370" t="s">
        <v>720</v>
      </c>
      <c r="F496" s="371">
        <v>0</v>
      </c>
      <c r="G496" s="372">
        <v>0</v>
      </c>
      <c r="H496" s="371">
        <v>0</v>
      </c>
      <c r="I496" s="371">
        <v>0</v>
      </c>
      <c r="J496" s="373">
        <v>62873.631840796021</v>
      </c>
      <c r="K496" s="313"/>
      <c r="L496" s="313"/>
    </row>
    <row r="497" spans="1:12" ht="15.75" thickBot="1" x14ac:dyDescent="0.3">
      <c r="A497" s="374">
        <v>2757263</v>
      </c>
      <c r="B497" s="375" t="s">
        <v>718</v>
      </c>
      <c r="C497" s="375" t="s">
        <v>2446</v>
      </c>
      <c r="D497" s="375" t="str">
        <f t="shared" si="7"/>
        <v>2757263__VED</v>
      </c>
      <c r="E497" s="375" t="s">
        <v>720</v>
      </c>
      <c r="F497" s="376">
        <v>0</v>
      </c>
      <c r="G497" s="377">
        <v>0</v>
      </c>
      <c r="H497" s="376">
        <v>0</v>
      </c>
      <c r="I497" s="376">
        <v>0</v>
      </c>
      <c r="J497" s="378">
        <v>42228.991592150254</v>
      </c>
      <c r="K497" s="313"/>
      <c r="L497" s="313"/>
    </row>
    <row r="498" spans="1:12" x14ac:dyDescent="0.25">
      <c r="A498" s="364">
        <v>7832444</v>
      </c>
      <c r="B498" s="365" t="s">
        <v>776</v>
      </c>
      <c r="C498" s="365" t="s">
        <v>2442</v>
      </c>
      <c r="D498" s="365" t="str">
        <f t="shared" si="7"/>
        <v>7832444__ADM</v>
      </c>
      <c r="E498" s="365" t="s">
        <v>801</v>
      </c>
      <c r="F498" s="366">
        <v>213292</v>
      </c>
      <c r="G498" s="367">
        <v>0.40100000000000002</v>
      </c>
      <c r="H498" s="366">
        <v>33078.37371744767</v>
      </c>
      <c r="I498" s="366">
        <v>33078.37371744767</v>
      </c>
      <c r="J498" s="368">
        <v>27746.796051833477</v>
      </c>
      <c r="K498" s="313"/>
      <c r="L498" s="313"/>
    </row>
    <row r="499" spans="1:12" x14ac:dyDescent="0.25">
      <c r="A499" s="369">
        <v>7832444</v>
      </c>
      <c r="B499" s="370" t="s">
        <v>776</v>
      </c>
      <c r="C499" s="370" t="s">
        <v>2443</v>
      </c>
      <c r="D499" s="370" t="str">
        <f t="shared" si="7"/>
        <v>7832444__MAN</v>
      </c>
      <c r="E499" s="370" t="s">
        <v>801</v>
      </c>
      <c r="F499" s="371">
        <v>56138</v>
      </c>
      <c r="G499" s="372">
        <v>0.25369999999999998</v>
      </c>
      <c r="H499" s="371">
        <v>13761.013615407393</v>
      </c>
      <c r="I499" s="371">
        <v>13761.013615407393</v>
      </c>
      <c r="J499" s="373">
        <v>21433.667009601628</v>
      </c>
      <c r="K499" s="313"/>
      <c r="L499" s="313"/>
    </row>
    <row r="500" spans="1:12" x14ac:dyDescent="0.25">
      <c r="A500" s="369">
        <v>7832444</v>
      </c>
      <c r="B500" s="370" t="s">
        <v>776</v>
      </c>
      <c r="C500" s="370" t="s">
        <v>2444</v>
      </c>
      <c r="D500" s="370" t="str">
        <f t="shared" si="7"/>
        <v>7832444__PPPs</v>
      </c>
      <c r="E500" s="370" t="s">
        <v>801</v>
      </c>
      <c r="F500" s="371">
        <v>2485845</v>
      </c>
      <c r="G500" s="372">
        <v>5.52</v>
      </c>
      <c r="H500" s="371">
        <v>28005.860642439973</v>
      </c>
      <c r="I500" s="371">
        <v>28005.860642439973</v>
      </c>
      <c r="J500" s="373">
        <v>28113.406621530874</v>
      </c>
      <c r="K500" s="313"/>
      <c r="L500" s="313"/>
    </row>
    <row r="501" spans="1:12" x14ac:dyDescent="0.25">
      <c r="A501" s="369">
        <v>7832444</v>
      </c>
      <c r="B501" s="370" t="s">
        <v>776</v>
      </c>
      <c r="C501" s="370" t="s">
        <v>2445</v>
      </c>
      <c r="D501" s="370" t="str">
        <f t="shared" si="7"/>
        <v>7832444__PPPz</v>
      </c>
      <c r="E501" s="370" t="s">
        <v>801</v>
      </c>
      <c r="F501" s="371">
        <v>0</v>
      </c>
      <c r="G501" s="372">
        <v>0</v>
      </c>
      <c r="H501" s="371">
        <v>0</v>
      </c>
      <c r="I501" s="371">
        <v>0</v>
      </c>
      <c r="J501" s="373">
        <v>0</v>
      </c>
      <c r="K501" s="313"/>
      <c r="L501" s="313"/>
    </row>
    <row r="502" spans="1:12" ht="15.75" thickBot="1" x14ac:dyDescent="0.3">
      <c r="A502" s="374">
        <v>7832444</v>
      </c>
      <c r="B502" s="375" t="s">
        <v>776</v>
      </c>
      <c r="C502" s="375" t="s">
        <v>2446</v>
      </c>
      <c r="D502" s="375" t="str">
        <f t="shared" si="7"/>
        <v>7832444__VED</v>
      </c>
      <c r="E502" s="375" t="s">
        <v>801</v>
      </c>
      <c r="F502" s="376">
        <v>48260</v>
      </c>
      <c r="G502" s="377">
        <v>9.9599999999999994E-2</v>
      </c>
      <c r="H502" s="376">
        <v>30132.969689704089</v>
      </c>
      <c r="I502" s="376">
        <v>30132.969689704089</v>
      </c>
      <c r="J502" s="378">
        <v>37969.847192805384</v>
      </c>
      <c r="K502" s="313"/>
      <c r="L502" s="313"/>
    </row>
    <row r="503" spans="1:12" x14ac:dyDescent="0.25">
      <c r="A503" s="364">
        <v>1738957</v>
      </c>
      <c r="B503" s="365" t="s">
        <v>805</v>
      </c>
      <c r="C503" s="365" t="s">
        <v>2442</v>
      </c>
      <c r="D503" s="365" t="str">
        <f t="shared" si="7"/>
        <v>1738957__ADM</v>
      </c>
      <c r="E503" s="365" t="s">
        <v>538</v>
      </c>
      <c r="F503" s="366">
        <v>105133</v>
      </c>
      <c r="G503" s="367">
        <v>0.2198</v>
      </c>
      <c r="H503" s="366">
        <v>29745.777482016667</v>
      </c>
      <c r="I503" s="366">
        <v>20580.546578937687</v>
      </c>
      <c r="J503" s="368">
        <v>31550.374363824132</v>
      </c>
      <c r="K503" s="313"/>
      <c r="L503" s="313"/>
    </row>
    <row r="504" spans="1:12" x14ac:dyDescent="0.25">
      <c r="A504" s="369">
        <v>1738957</v>
      </c>
      <c r="B504" s="370" t="s">
        <v>805</v>
      </c>
      <c r="C504" s="370" t="s">
        <v>2443</v>
      </c>
      <c r="D504" s="370" t="str">
        <f t="shared" si="7"/>
        <v>1738957__MAN</v>
      </c>
      <c r="E504" s="370" t="s">
        <v>538</v>
      </c>
      <c r="F504" s="371">
        <v>0</v>
      </c>
      <c r="G504" s="372">
        <v>0</v>
      </c>
      <c r="H504" s="371">
        <v>0</v>
      </c>
      <c r="I504" s="371">
        <v>13171.003555439325</v>
      </c>
      <c r="J504" s="373">
        <v>17661.41819434597</v>
      </c>
      <c r="K504" s="313"/>
      <c r="L504" s="313"/>
    </row>
    <row r="505" spans="1:12" x14ac:dyDescent="0.25">
      <c r="A505" s="369">
        <v>1738957</v>
      </c>
      <c r="B505" s="370" t="s">
        <v>805</v>
      </c>
      <c r="C505" s="370" t="s">
        <v>2444</v>
      </c>
      <c r="D505" s="370" t="str">
        <f t="shared" si="7"/>
        <v>1738957__PPPs</v>
      </c>
      <c r="E505" s="370" t="s">
        <v>538</v>
      </c>
      <c r="F505" s="371">
        <v>844026</v>
      </c>
      <c r="G505" s="372">
        <v>2.2879</v>
      </c>
      <c r="H505" s="371">
        <v>22942.077496602829</v>
      </c>
      <c r="I505" s="371">
        <v>24790.173663253689</v>
      </c>
      <c r="J505" s="373">
        <v>25287.261406181333</v>
      </c>
      <c r="K505" s="313"/>
      <c r="L505" s="313"/>
    </row>
    <row r="506" spans="1:12" x14ac:dyDescent="0.25">
      <c r="A506" s="369">
        <v>1738957</v>
      </c>
      <c r="B506" s="370" t="s">
        <v>805</v>
      </c>
      <c r="C506" s="370" t="s">
        <v>2445</v>
      </c>
      <c r="D506" s="370" t="str">
        <f t="shared" si="7"/>
        <v>1738957__PPPz</v>
      </c>
      <c r="E506" s="370" t="s">
        <v>538</v>
      </c>
      <c r="F506" s="371">
        <v>0</v>
      </c>
      <c r="G506" s="372">
        <v>0</v>
      </c>
      <c r="H506" s="371">
        <v>0</v>
      </c>
      <c r="I506" s="371">
        <v>0</v>
      </c>
      <c r="J506" s="373">
        <v>27734.040783344422</v>
      </c>
      <c r="K506" s="313"/>
      <c r="L506" s="313"/>
    </row>
    <row r="507" spans="1:12" ht="15.75" thickBot="1" x14ac:dyDescent="0.3">
      <c r="A507" s="374">
        <v>1738957</v>
      </c>
      <c r="B507" s="375" t="s">
        <v>805</v>
      </c>
      <c r="C507" s="375" t="s">
        <v>2446</v>
      </c>
      <c r="D507" s="375" t="str">
        <f t="shared" si="7"/>
        <v>1738957__VED</v>
      </c>
      <c r="E507" s="375" t="s">
        <v>538</v>
      </c>
      <c r="F507" s="376">
        <v>220705</v>
      </c>
      <c r="G507" s="377">
        <v>0.41270000000000001</v>
      </c>
      <c r="H507" s="376">
        <v>33257.6576772064</v>
      </c>
      <c r="I507" s="376">
        <v>38014.41064494101</v>
      </c>
      <c r="J507" s="378">
        <v>37317.934718645549</v>
      </c>
      <c r="K507" s="313"/>
      <c r="L507" s="313"/>
    </row>
    <row r="508" spans="1:12" x14ac:dyDescent="0.25">
      <c r="A508" s="364">
        <v>2174839</v>
      </c>
      <c r="B508" s="365" t="s">
        <v>897</v>
      </c>
      <c r="C508" s="365" t="s">
        <v>2442</v>
      </c>
      <c r="D508" s="365" t="str">
        <f t="shared" si="7"/>
        <v>2174839__ADM</v>
      </c>
      <c r="E508" s="365" t="s">
        <v>538</v>
      </c>
      <c r="F508" s="366">
        <v>287575</v>
      </c>
      <c r="G508" s="367">
        <v>1.1000000000000001</v>
      </c>
      <c r="H508" s="366">
        <v>16258.197648123018</v>
      </c>
      <c r="I508" s="366">
        <v>20580.546578937687</v>
      </c>
      <c r="J508" s="368">
        <v>31550.374363824132</v>
      </c>
      <c r="K508" s="313"/>
      <c r="L508" s="313"/>
    </row>
    <row r="509" spans="1:12" x14ac:dyDescent="0.25">
      <c r="A509" s="369">
        <v>2174839</v>
      </c>
      <c r="B509" s="370" t="s">
        <v>897</v>
      </c>
      <c r="C509" s="370" t="s">
        <v>2443</v>
      </c>
      <c r="D509" s="370" t="str">
        <f t="shared" si="7"/>
        <v>2174839__MAN</v>
      </c>
      <c r="E509" s="370" t="s">
        <v>538</v>
      </c>
      <c r="F509" s="371">
        <v>0</v>
      </c>
      <c r="G509" s="372">
        <v>0</v>
      </c>
      <c r="H509" s="371">
        <v>0</v>
      </c>
      <c r="I509" s="371">
        <v>13171.003555439325</v>
      </c>
      <c r="J509" s="373">
        <v>17661.41819434597</v>
      </c>
      <c r="K509" s="313"/>
      <c r="L509" s="313"/>
    </row>
    <row r="510" spans="1:12" x14ac:dyDescent="0.25">
      <c r="A510" s="369">
        <v>2174839</v>
      </c>
      <c r="B510" s="370" t="s">
        <v>897</v>
      </c>
      <c r="C510" s="370" t="s">
        <v>2444</v>
      </c>
      <c r="D510" s="370" t="str">
        <f t="shared" si="7"/>
        <v>2174839__PPPs</v>
      </c>
      <c r="E510" s="370" t="s">
        <v>538</v>
      </c>
      <c r="F510" s="371">
        <v>1120818</v>
      </c>
      <c r="G510" s="372">
        <v>3.4</v>
      </c>
      <c r="H510" s="371">
        <v>20500.768217734858</v>
      </c>
      <c r="I510" s="371">
        <v>24790.173663253689</v>
      </c>
      <c r="J510" s="373">
        <v>25287.261406181333</v>
      </c>
      <c r="K510" s="313"/>
      <c r="L510" s="313"/>
    </row>
    <row r="511" spans="1:12" x14ac:dyDescent="0.25">
      <c r="A511" s="369">
        <v>2174839</v>
      </c>
      <c r="B511" s="370" t="s">
        <v>897</v>
      </c>
      <c r="C511" s="370" t="s">
        <v>2445</v>
      </c>
      <c r="D511" s="370" t="str">
        <f t="shared" si="7"/>
        <v>2174839__PPPz</v>
      </c>
      <c r="E511" s="370" t="s">
        <v>538</v>
      </c>
      <c r="F511" s="371">
        <v>0</v>
      </c>
      <c r="G511" s="372">
        <v>0</v>
      </c>
      <c r="H511" s="371">
        <v>0</v>
      </c>
      <c r="I511" s="371">
        <v>0</v>
      </c>
      <c r="J511" s="373">
        <v>27734.040783344422</v>
      </c>
      <c r="K511" s="313"/>
      <c r="L511" s="313"/>
    </row>
    <row r="512" spans="1:12" ht="15.75" thickBot="1" x14ac:dyDescent="0.3">
      <c r="A512" s="374">
        <v>2174839</v>
      </c>
      <c r="B512" s="375" t="s">
        <v>897</v>
      </c>
      <c r="C512" s="375" t="s">
        <v>2446</v>
      </c>
      <c r="D512" s="375" t="str">
        <f t="shared" si="7"/>
        <v>2174839__VED</v>
      </c>
      <c r="E512" s="375" t="s">
        <v>538</v>
      </c>
      <c r="F512" s="376">
        <v>715716</v>
      </c>
      <c r="G512" s="377">
        <v>1</v>
      </c>
      <c r="H512" s="376">
        <v>44509.701492537308</v>
      </c>
      <c r="I512" s="376">
        <v>38014.41064494101</v>
      </c>
      <c r="J512" s="378">
        <v>37317.934718645549</v>
      </c>
      <c r="K512" s="313"/>
      <c r="L512" s="313"/>
    </row>
    <row r="513" spans="1:12" x14ac:dyDescent="0.25">
      <c r="A513" s="364">
        <v>2315315</v>
      </c>
      <c r="B513" s="365" t="s">
        <v>805</v>
      </c>
      <c r="C513" s="365" t="s">
        <v>2442</v>
      </c>
      <c r="D513" s="365" t="str">
        <f t="shared" si="7"/>
        <v>2315315__ADM</v>
      </c>
      <c r="E513" s="365" t="s">
        <v>538</v>
      </c>
      <c r="F513" s="366">
        <v>105133</v>
      </c>
      <c r="G513" s="367">
        <v>0.2198</v>
      </c>
      <c r="H513" s="366">
        <v>29745.777482016667</v>
      </c>
      <c r="I513" s="366">
        <v>20580.546578937687</v>
      </c>
      <c r="J513" s="368">
        <v>31550.374363824132</v>
      </c>
      <c r="K513" s="313"/>
      <c r="L513" s="313"/>
    </row>
    <row r="514" spans="1:12" x14ac:dyDescent="0.25">
      <c r="A514" s="369">
        <v>2315315</v>
      </c>
      <c r="B514" s="370" t="s">
        <v>805</v>
      </c>
      <c r="C514" s="370" t="s">
        <v>2443</v>
      </c>
      <c r="D514" s="370" t="str">
        <f t="shared" si="7"/>
        <v>2315315__MAN</v>
      </c>
      <c r="E514" s="370" t="s">
        <v>538</v>
      </c>
      <c r="F514" s="371">
        <v>0</v>
      </c>
      <c r="G514" s="372">
        <v>0</v>
      </c>
      <c r="H514" s="371">
        <v>0</v>
      </c>
      <c r="I514" s="371">
        <v>13171.003555439325</v>
      </c>
      <c r="J514" s="373">
        <v>17661.41819434597</v>
      </c>
      <c r="K514" s="313"/>
      <c r="L514" s="313"/>
    </row>
    <row r="515" spans="1:12" x14ac:dyDescent="0.25">
      <c r="A515" s="369">
        <v>2315315</v>
      </c>
      <c r="B515" s="370" t="s">
        <v>805</v>
      </c>
      <c r="C515" s="370" t="s">
        <v>2444</v>
      </c>
      <c r="D515" s="370" t="str">
        <f t="shared" ref="D515:D578" si="8">CONCATENATE(A515,"__",C515)</f>
        <v>2315315__PPPs</v>
      </c>
      <c r="E515" s="370" t="s">
        <v>538</v>
      </c>
      <c r="F515" s="371">
        <v>827630</v>
      </c>
      <c r="G515" s="372">
        <v>1.9462999999999999</v>
      </c>
      <c r="H515" s="371">
        <v>26444.806742631699</v>
      </c>
      <c r="I515" s="371">
        <v>24790.173663253689</v>
      </c>
      <c r="J515" s="373">
        <v>25287.261406181333</v>
      </c>
      <c r="K515" s="313"/>
      <c r="L515" s="313"/>
    </row>
    <row r="516" spans="1:12" x14ac:dyDescent="0.25">
      <c r="A516" s="369">
        <v>2315315</v>
      </c>
      <c r="B516" s="370" t="s">
        <v>805</v>
      </c>
      <c r="C516" s="370" t="s">
        <v>2445</v>
      </c>
      <c r="D516" s="370" t="str">
        <f t="shared" si="8"/>
        <v>2315315__PPPz</v>
      </c>
      <c r="E516" s="370" t="s">
        <v>538</v>
      </c>
      <c r="F516" s="371">
        <v>0</v>
      </c>
      <c r="G516" s="372">
        <v>0</v>
      </c>
      <c r="H516" s="371">
        <v>0</v>
      </c>
      <c r="I516" s="371">
        <v>0</v>
      </c>
      <c r="J516" s="373">
        <v>27734.040783344422</v>
      </c>
      <c r="K516" s="313"/>
      <c r="L516" s="313"/>
    </row>
    <row r="517" spans="1:12" ht="15.75" thickBot="1" x14ac:dyDescent="0.3">
      <c r="A517" s="374">
        <v>2315315</v>
      </c>
      <c r="B517" s="375" t="s">
        <v>805</v>
      </c>
      <c r="C517" s="375" t="s">
        <v>2446</v>
      </c>
      <c r="D517" s="375" t="str">
        <f t="shared" si="8"/>
        <v>2315315__VED</v>
      </c>
      <c r="E517" s="375" t="s">
        <v>538</v>
      </c>
      <c r="F517" s="376">
        <v>224049</v>
      </c>
      <c r="G517" s="377">
        <v>0.41270000000000001</v>
      </c>
      <c r="H517" s="376">
        <v>33761.559298250686</v>
      </c>
      <c r="I517" s="376">
        <v>38014.41064494101</v>
      </c>
      <c r="J517" s="378">
        <v>37317.934718645549</v>
      </c>
      <c r="K517" s="313"/>
      <c r="L517" s="313"/>
    </row>
    <row r="518" spans="1:12" x14ac:dyDescent="0.25">
      <c r="A518" s="364">
        <v>5922905</v>
      </c>
      <c r="B518" s="365" t="s">
        <v>928</v>
      </c>
      <c r="C518" s="365" t="s">
        <v>2442</v>
      </c>
      <c r="D518" s="365" t="str">
        <f t="shared" si="8"/>
        <v>5922905__ADM</v>
      </c>
      <c r="E518" s="365" t="s">
        <v>538</v>
      </c>
      <c r="F518" s="366">
        <v>80987</v>
      </c>
      <c r="G518" s="367">
        <v>0.2</v>
      </c>
      <c r="H518" s="366">
        <v>25182.52487562189</v>
      </c>
      <c r="I518" s="366">
        <v>20580.546578937687</v>
      </c>
      <c r="J518" s="368">
        <v>31550.374363824132</v>
      </c>
      <c r="K518" s="313"/>
      <c r="L518" s="313"/>
    </row>
    <row r="519" spans="1:12" x14ac:dyDescent="0.25">
      <c r="A519" s="369">
        <v>5922905</v>
      </c>
      <c r="B519" s="370" t="s">
        <v>928</v>
      </c>
      <c r="C519" s="370" t="s">
        <v>2443</v>
      </c>
      <c r="D519" s="370" t="str">
        <f t="shared" si="8"/>
        <v>5922905__MAN</v>
      </c>
      <c r="E519" s="370" t="s">
        <v>538</v>
      </c>
      <c r="F519" s="371">
        <v>136812</v>
      </c>
      <c r="G519" s="372">
        <v>0.85</v>
      </c>
      <c r="H519" s="371">
        <v>10009.657594381035</v>
      </c>
      <c r="I519" s="371">
        <v>13171.003555439325</v>
      </c>
      <c r="J519" s="373">
        <v>17661.41819434597</v>
      </c>
      <c r="K519" s="313"/>
      <c r="L519" s="313"/>
    </row>
    <row r="520" spans="1:12" x14ac:dyDescent="0.25">
      <c r="A520" s="369">
        <v>5922905</v>
      </c>
      <c r="B520" s="370" t="s">
        <v>928</v>
      </c>
      <c r="C520" s="370" t="s">
        <v>2444</v>
      </c>
      <c r="D520" s="370" t="str">
        <f t="shared" si="8"/>
        <v>5922905__PPPs</v>
      </c>
      <c r="E520" s="370" t="s">
        <v>538</v>
      </c>
      <c r="F520" s="371">
        <v>1261342</v>
      </c>
      <c r="G520" s="372">
        <v>3.52</v>
      </c>
      <c r="H520" s="371">
        <v>22284.564393939392</v>
      </c>
      <c r="I520" s="371">
        <v>24790.173663253689</v>
      </c>
      <c r="J520" s="373">
        <v>25287.261406181333</v>
      </c>
      <c r="K520" s="313"/>
      <c r="L520" s="313"/>
    </row>
    <row r="521" spans="1:12" x14ac:dyDescent="0.25">
      <c r="A521" s="369">
        <v>5922905</v>
      </c>
      <c r="B521" s="370" t="s">
        <v>928</v>
      </c>
      <c r="C521" s="370" t="s">
        <v>2445</v>
      </c>
      <c r="D521" s="370" t="str">
        <f t="shared" si="8"/>
        <v>5922905__PPPz</v>
      </c>
      <c r="E521" s="370" t="s">
        <v>538</v>
      </c>
      <c r="F521" s="371">
        <v>0</v>
      </c>
      <c r="G521" s="372">
        <v>0</v>
      </c>
      <c r="H521" s="371">
        <v>0</v>
      </c>
      <c r="I521" s="371">
        <v>0</v>
      </c>
      <c r="J521" s="373">
        <v>27734.040783344422</v>
      </c>
      <c r="K521" s="313"/>
      <c r="L521" s="313"/>
    </row>
    <row r="522" spans="1:12" ht="15.75" thickBot="1" x14ac:dyDescent="0.3">
      <c r="A522" s="374">
        <v>5922905</v>
      </c>
      <c r="B522" s="375" t="s">
        <v>928</v>
      </c>
      <c r="C522" s="375" t="s">
        <v>2446</v>
      </c>
      <c r="D522" s="375" t="str">
        <f t="shared" si="8"/>
        <v>5922905__VED</v>
      </c>
      <c r="E522" s="375" t="s">
        <v>538</v>
      </c>
      <c r="F522" s="376">
        <v>128373</v>
      </c>
      <c r="G522" s="377">
        <v>0.1</v>
      </c>
      <c r="H522" s="376">
        <v>79833.955223880592</v>
      </c>
      <c r="I522" s="376">
        <v>38014.41064494101</v>
      </c>
      <c r="J522" s="378">
        <v>37317.934718645549</v>
      </c>
      <c r="K522" s="313"/>
      <c r="L522" s="313"/>
    </row>
    <row r="523" spans="1:12" x14ac:dyDescent="0.25">
      <c r="A523" s="364">
        <v>6370376</v>
      </c>
      <c r="B523" s="365" t="s">
        <v>367</v>
      </c>
      <c r="C523" s="365" t="s">
        <v>2442</v>
      </c>
      <c r="D523" s="365" t="str">
        <f t="shared" si="8"/>
        <v>6370376__ADM</v>
      </c>
      <c r="E523" s="365" t="s">
        <v>538</v>
      </c>
      <c r="F523" s="366">
        <v>0</v>
      </c>
      <c r="G523" s="367">
        <v>0</v>
      </c>
      <c r="H523" s="366">
        <v>0</v>
      </c>
      <c r="I523" s="366">
        <v>20580.546578937687</v>
      </c>
      <c r="J523" s="368">
        <v>31550.374363824132</v>
      </c>
      <c r="K523" s="313"/>
      <c r="L523" s="313"/>
    </row>
    <row r="524" spans="1:12" x14ac:dyDescent="0.25">
      <c r="A524" s="369">
        <v>6370376</v>
      </c>
      <c r="B524" s="370" t="s">
        <v>367</v>
      </c>
      <c r="C524" s="370" t="s">
        <v>2443</v>
      </c>
      <c r="D524" s="370" t="str">
        <f t="shared" si="8"/>
        <v>6370376__MAN</v>
      </c>
      <c r="E524" s="370" t="s">
        <v>538</v>
      </c>
      <c r="F524" s="371">
        <v>0</v>
      </c>
      <c r="G524" s="372">
        <v>0</v>
      </c>
      <c r="H524" s="371">
        <v>0</v>
      </c>
      <c r="I524" s="371">
        <v>13171.003555439325</v>
      </c>
      <c r="J524" s="373">
        <v>17661.41819434597</v>
      </c>
      <c r="K524" s="313"/>
      <c r="L524" s="313"/>
    </row>
    <row r="525" spans="1:12" x14ac:dyDescent="0.25">
      <c r="A525" s="369">
        <v>6370376</v>
      </c>
      <c r="B525" s="370" t="s">
        <v>367</v>
      </c>
      <c r="C525" s="370" t="s">
        <v>2444</v>
      </c>
      <c r="D525" s="370" t="str">
        <f t="shared" si="8"/>
        <v>6370376__PPPs</v>
      </c>
      <c r="E525" s="370" t="s">
        <v>538</v>
      </c>
      <c r="F525" s="371">
        <v>0</v>
      </c>
      <c r="G525" s="372">
        <v>0</v>
      </c>
      <c r="H525" s="371">
        <v>0</v>
      </c>
      <c r="I525" s="371">
        <v>24790.173663253689</v>
      </c>
      <c r="J525" s="373">
        <v>25287.261406181333</v>
      </c>
      <c r="K525" s="313"/>
      <c r="L525" s="313"/>
    </row>
    <row r="526" spans="1:12" x14ac:dyDescent="0.25">
      <c r="A526" s="369">
        <v>6370376</v>
      </c>
      <c r="B526" s="370" t="s">
        <v>367</v>
      </c>
      <c r="C526" s="370" t="s">
        <v>2445</v>
      </c>
      <c r="D526" s="370" t="str">
        <f t="shared" si="8"/>
        <v>6370376__PPPz</v>
      </c>
      <c r="E526" s="370" t="s">
        <v>538</v>
      </c>
      <c r="F526" s="371">
        <v>0</v>
      </c>
      <c r="G526" s="372">
        <v>0</v>
      </c>
      <c r="H526" s="371">
        <v>0</v>
      </c>
      <c r="I526" s="371">
        <v>0</v>
      </c>
      <c r="J526" s="373">
        <v>27734.040783344422</v>
      </c>
      <c r="K526" s="313"/>
      <c r="L526" s="313"/>
    </row>
    <row r="527" spans="1:12" ht="15.75" thickBot="1" x14ac:dyDescent="0.3">
      <c r="A527" s="374">
        <v>6370376</v>
      </c>
      <c r="B527" s="375" t="s">
        <v>367</v>
      </c>
      <c r="C527" s="375" t="s">
        <v>2446</v>
      </c>
      <c r="D527" s="375" t="str">
        <f t="shared" si="8"/>
        <v>6370376__VED</v>
      </c>
      <c r="E527" s="375" t="s">
        <v>538</v>
      </c>
      <c r="F527" s="376">
        <v>0</v>
      </c>
      <c r="G527" s="377">
        <v>0</v>
      </c>
      <c r="H527" s="376">
        <v>0</v>
      </c>
      <c r="I527" s="376">
        <v>38014.41064494101</v>
      </c>
      <c r="J527" s="378">
        <v>37317.934718645549</v>
      </c>
      <c r="K527" s="313"/>
      <c r="L527" s="313"/>
    </row>
    <row r="528" spans="1:12" x14ac:dyDescent="0.25">
      <c r="A528" s="364">
        <v>6607461</v>
      </c>
      <c r="B528" s="365" t="s">
        <v>805</v>
      </c>
      <c r="C528" s="365" t="s">
        <v>2442</v>
      </c>
      <c r="D528" s="365" t="str">
        <f t="shared" si="8"/>
        <v>6607461__ADM</v>
      </c>
      <c r="E528" s="365" t="s">
        <v>538</v>
      </c>
      <c r="F528" s="366">
        <v>105132</v>
      </c>
      <c r="G528" s="367">
        <v>0.2198</v>
      </c>
      <c r="H528" s="366">
        <v>29745.494547281789</v>
      </c>
      <c r="I528" s="366">
        <v>20580.546578937687</v>
      </c>
      <c r="J528" s="368">
        <v>31550.374363824132</v>
      </c>
      <c r="K528" s="313"/>
      <c r="L528" s="313"/>
    </row>
    <row r="529" spans="1:12" x14ac:dyDescent="0.25">
      <c r="A529" s="369">
        <v>6607461</v>
      </c>
      <c r="B529" s="370" t="s">
        <v>805</v>
      </c>
      <c r="C529" s="370" t="s">
        <v>2443</v>
      </c>
      <c r="D529" s="370" t="str">
        <f t="shared" si="8"/>
        <v>6607461__MAN</v>
      </c>
      <c r="E529" s="370" t="s">
        <v>538</v>
      </c>
      <c r="F529" s="371">
        <v>0</v>
      </c>
      <c r="G529" s="372">
        <v>0</v>
      </c>
      <c r="H529" s="371">
        <v>0</v>
      </c>
      <c r="I529" s="371">
        <v>13171.003555439325</v>
      </c>
      <c r="J529" s="373">
        <v>17661.41819434597</v>
      </c>
      <c r="K529" s="313"/>
      <c r="L529" s="313"/>
    </row>
    <row r="530" spans="1:12" x14ac:dyDescent="0.25">
      <c r="A530" s="369">
        <v>6607461</v>
      </c>
      <c r="B530" s="370" t="s">
        <v>805</v>
      </c>
      <c r="C530" s="370" t="s">
        <v>2444</v>
      </c>
      <c r="D530" s="370" t="str">
        <f t="shared" si="8"/>
        <v>6607461__PPPs</v>
      </c>
      <c r="E530" s="370" t="s">
        <v>538</v>
      </c>
      <c r="F530" s="371">
        <v>818250</v>
      </c>
      <c r="G530" s="372">
        <v>2.1339999999999999</v>
      </c>
      <c r="H530" s="371">
        <v>23845.451747821342</v>
      </c>
      <c r="I530" s="371">
        <v>24790.173663253689</v>
      </c>
      <c r="J530" s="373">
        <v>25287.261406181333</v>
      </c>
      <c r="K530" s="313"/>
      <c r="L530" s="313"/>
    </row>
    <row r="531" spans="1:12" x14ac:dyDescent="0.25">
      <c r="A531" s="369">
        <v>6607461</v>
      </c>
      <c r="B531" s="370" t="s">
        <v>805</v>
      </c>
      <c r="C531" s="370" t="s">
        <v>2445</v>
      </c>
      <c r="D531" s="370" t="str">
        <f t="shared" si="8"/>
        <v>6607461__PPPz</v>
      </c>
      <c r="E531" s="370" t="s">
        <v>538</v>
      </c>
      <c r="F531" s="371">
        <v>0</v>
      </c>
      <c r="G531" s="372">
        <v>0</v>
      </c>
      <c r="H531" s="371">
        <v>0</v>
      </c>
      <c r="I531" s="371">
        <v>0</v>
      </c>
      <c r="J531" s="373">
        <v>27734.040783344422</v>
      </c>
      <c r="K531" s="313"/>
      <c r="L531" s="313"/>
    </row>
    <row r="532" spans="1:12" ht="15.75" thickBot="1" x14ac:dyDescent="0.3">
      <c r="A532" s="374">
        <v>6607461</v>
      </c>
      <c r="B532" s="375" t="s">
        <v>805</v>
      </c>
      <c r="C532" s="375" t="s">
        <v>2446</v>
      </c>
      <c r="D532" s="375" t="str">
        <f t="shared" si="8"/>
        <v>6607461__VED</v>
      </c>
      <c r="E532" s="375" t="s">
        <v>538</v>
      </c>
      <c r="F532" s="376">
        <v>222689</v>
      </c>
      <c r="G532" s="377">
        <v>0.42270000000000002</v>
      </c>
      <c r="H532" s="376">
        <v>32762.75942266429</v>
      </c>
      <c r="I532" s="376">
        <v>38014.41064494101</v>
      </c>
      <c r="J532" s="378">
        <v>37317.934718645549</v>
      </c>
      <c r="K532" s="313"/>
      <c r="L532" s="313"/>
    </row>
    <row r="533" spans="1:12" x14ac:dyDescent="0.25">
      <c r="A533" s="364">
        <v>6989404</v>
      </c>
      <c r="B533" s="365" t="s">
        <v>531</v>
      </c>
      <c r="C533" s="365" t="s">
        <v>2442</v>
      </c>
      <c r="D533" s="365" t="str">
        <f t="shared" si="8"/>
        <v>6989404__ADM</v>
      </c>
      <c r="E533" s="365" t="s">
        <v>538</v>
      </c>
      <c r="F533" s="366">
        <v>0</v>
      </c>
      <c r="G533" s="367">
        <v>0</v>
      </c>
      <c r="H533" s="366">
        <v>0</v>
      </c>
      <c r="I533" s="366">
        <v>20580.546578937687</v>
      </c>
      <c r="J533" s="368">
        <v>31550.374363824132</v>
      </c>
      <c r="K533" s="313"/>
      <c r="L533" s="313"/>
    </row>
    <row r="534" spans="1:12" x14ac:dyDescent="0.25">
      <c r="A534" s="369">
        <v>6989404</v>
      </c>
      <c r="B534" s="370" t="s">
        <v>531</v>
      </c>
      <c r="C534" s="370" t="s">
        <v>2443</v>
      </c>
      <c r="D534" s="370" t="str">
        <f t="shared" si="8"/>
        <v>6989404__MAN</v>
      </c>
      <c r="E534" s="370" t="s">
        <v>538</v>
      </c>
      <c r="F534" s="371">
        <v>0</v>
      </c>
      <c r="G534" s="372">
        <v>0</v>
      </c>
      <c r="H534" s="371">
        <v>0</v>
      </c>
      <c r="I534" s="371">
        <v>13171.003555439325</v>
      </c>
      <c r="J534" s="373">
        <v>17661.41819434597</v>
      </c>
      <c r="K534" s="313"/>
      <c r="L534" s="313"/>
    </row>
    <row r="535" spans="1:12" x14ac:dyDescent="0.25">
      <c r="A535" s="369">
        <v>6989404</v>
      </c>
      <c r="B535" s="370" t="s">
        <v>531</v>
      </c>
      <c r="C535" s="370" t="s">
        <v>2444</v>
      </c>
      <c r="D535" s="370" t="str">
        <f t="shared" si="8"/>
        <v>6989404__PPPs</v>
      </c>
      <c r="E535" s="370" t="s">
        <v>538</v>
      </c>
      <c r="F535" s="371">
        <v>928318</v>
      </c>
      <c r="G535" s="372">
        <v>2.375</v>
      </c>
      <c r="H535" s="371">
        <v>24307.881644409532</v>
      </c>
      <c r="I535" s="371">
        <v>24790.173663253689</v>
      </c>
      <c r="J535" s="373">
        <v>25287.261406181333</v>
      </c>
      <c r="K535" s="313"/>
      <c r="L535" s="313"/>
    </row>
    <row r="536" spans="1:12" x14ac:dyDescent="0.25">
      <c r="A536" s="369">
        <v>6989404</v>
      </c>
      <c r="B536" s="370" t="s">
        <v>531</v>
      </c>
      <c r="C536" s="370" t="s">
        <v>2445</v>
      </c>
      <c r="D536" s="370" t="str">
        <f t="shared" si="8"/>
        <v>6989404__PPPz</v>
      </c>
      <c r="E536" s="370" t="s">
        <v>538</v>
      </c>
      <c r="F536" s="371">
        <v>0</v>
      </c>
      <c r="G536" s="372">
        <v>0</v>
      </c>
      <c r="H536" s="371">
        <v>0</v>
      </c>
      <c r="I536" s="371">
        <v>0</v>
      </c>
      <c r="J536" s="373">
        <v>27734.040783344422</v>
      </c>
      <c r="K536" s="313"/>
      <c r="L536" s="313"/>
    </row>
    <row r="537" spans="1:12" ht="15.75" thickBot="1" x14ac:dyDescent="0.3">
      <c r="A537" s="374">
        <v>6989404</v>
      </c>
      <c r="B537" s="375" t="s">
        <v>531</v>
      </c>
      <c r="C537" s="375" t="s">
        <v>2446</v>
      </c>
      <c r="D537" s="375" t="str">
        <f t="shared" si="8"/>
        <v>6989404__VED</v>
      </c>
      <c r="E537" s="375" t="s">
        <v>538</v>
      </c>
      <c r="F537" s="376">
        <v>106840</v>
      </c>
      <c r="G537" s="377">
        <v>0.125</v>
      </c>
      <c r="H537" s="376">
        <v>53154.228855721391</v>
      </c>
      <c r="I537" s="376">
        <v>38014.41064494101</v>
      </c>
      <c r="J537" s="378">
        <v>37317.934718645549</v>
      </c>
      <c r="K537" s="313"/>
      <c r="L537" s="313"/>
    </row>
    <row r="538" spans="1:12" x14ac:dyDescent="0.25">
      <c r="A538" s="364">
        <v>7947229</v>
      </c>
      <c r="B538" s="365" t="s">
        <v>897</v>
      </c>
      <c r="C538" s="365" t="s">
        <v>2442</v>
      </c>
      <c r="D538" s="365" t="str">
        <f t="shared" si="8"/>
        <v>7947229__ADM</v>
      </c>
      <c r="E538" s="365" t="s">
        <v>538</v>
      </c>
      <c r="F538" s="366">
        <v>65982</v>
      </c>
      <c r="G538" s="367">
        <v>0.5</v>
      </c>
      <c r="H538" s="366">
        <v>8206.7164179104475</v>
      </c>
      <c r="I538" s="366">
        <v>20580.546578937687</v>
      </c>
      <c r="J538" s="368">
        <v>31550.374363824132</v>
      </c>
      <c r="K538" s="313"/>
      <c r="L538" s="313"/>
    </row>
    <row r="539" spans="1:12" x14ac:dyDescent="0.25">
      <c r="A539" s="369">
        <v>7947229</v>
      </c>
      <c r="B539" s="370" t="s">
        <v>897</v>
      </c>
      <c r="C539" s="370" t="s">
        <v>2443</v>
      </c>
      <c r="D539" s="370" t="str">
        <f t="shared" si="8"/>
        <v>7947229__MAN</v>
      </c>
      <c r="E539" s="370" t="s">
        <v>538</v>
      </c>
      <c r="F539" s="371">
        <v>0</v>
      </c>
      <c r="G539" s="372">
        <v>0</v>
      </c>
      <c r="H539" s="371">
        <v>0</v>
      </c>
      <c r="I539" s="371">
        <v>13171.003555439325</v>
      </c>
      <c r="J539" s="373">
        <v>17661.41819434597</v>
      </c>
      <c r="K539" s="313"/>
      <c r="L539" s="313"/>
    </row>
    <row r="540" spans="1:12" x14ac:dyDescent="0.25">
      <c r="A540" s="369">
        <v>7947229</v>
      </c>
      <c r="B540" s="370" t="s">
        <v>897</v>
      </c>
      <c r="C540" s="370" t="s">
        <v>2444</v>
      </c>
      <c r="D540" s="370" t="str">
        <f t="shared" si="8"/>
        <v>7947229__PPPs</v>
      </c>
      <c r="E540" s="370" t="s">
        <v>538</v>
      </c>
      <c r="F540" s="371">
        <v>214135</v>
      </c>
      <c r="G540" s="372">
        <v>0.66800000000000004</v>
      </c>
      <c r="H540" s="371">
        <v>19935.409032680902</v>
      </c>
      <c r="I540" s="371">
        <v>24790.173663253689</v>
      </c>
      <c r="J540" s="373">
        <v>25287.261406181333</v>
      </c>
      <c r="K540" s="313"/>
      <c r="L540" s="313"/>
    </row>
    <row r="541" spans="1:12" x14ac:dyDescent="0.25">
      <c r="A541" s="369">
        <v>7947229</v>
      </c>
      <c r="B541" s="370" t="s">
        <v>897</v>
      </c>
      <c r="C541" s="370" t="s">
        <v>2445</v>
      </c>
      <c r="D541" s="370" t="str">
        <f t="shared" si="8"/>
        <v>7947229__PPPz</v>
      </c>
      <c r="E541" s="370" t="s">
        <v>538</v>
      </c>
      <c r="F541" s="371">
        <v>0</v>
      </c>
      <c r="G541" s="372">
        <v>0</v>
      </c>
      <c r="H541" s="371">
        <v>0</v>
      </c>
      <c r="I541" s="371">
        <v>0</v>
      </c>
      <c r="J541" s="373">
        <v>27734.040783344422</v>
      </c>
      <c r="K541" s="313"/>
      <c r="L541" s="313"/>
    </row>
    <row r="542" spans="1:12" ht="15.75" thickBot="1" x14ac:dyDescent="0.3">
      <c r="A542" s="374">
        <v>7947229</v>
      </c>
      <c r="B542" s="375" t="s">
        <v>897</v>
      </c>
      <c r="C542" s="375" t="s">
        <v>2446</v>
      </c>
      <c r="D542" s="375" t="str">
        <f t="shared" si="8"/>
        <v>7947229__VED</v>
      </c>
      <c r="E542" s="375" t="s">
        <v>538</v>
      </c>
      <c r="F542" s="376">
        <v>128019</v>
      </c>
      <c r="G542" s="377">
        <v>0.2</v>
      </c>
      <c r="H542" s="376">
        <v>39806.902985074623</v>
      </c>
      <c r="I542" s="376">
        <v>38014.41064494101</v>
      </c>
      <c r="J542" s="378">
        <v>37317.934718645549</v>
      </c>
      <c r="K542" s="313"/>
      <c r="L542" s="313"/>
    </row>
    <row r="543" spans="1:12" x14ac:dyDescent="0.25">
      <c r="A543" s="364">
        <v>8102124</v>
      </c>
      <c r="B543" s="365" t="s">
        <v>553</v>
      </c>
      <c r="C543" s="365" t="s">
        <v>2442</v>
      </c>
      <c r="D543" s="365" t="str">
        <f t="shared" si="8"/>
        <v>8102124__ADM</v>
      </c>
      <c r="E543" s="365" t="s">
        <v>538</v>
      </c>
      <c r="F543" s="366">
        <v>116427</v>
      </c>
      <c r="G543" s="367">
        <v>0.313</v>
      </c>
      <c r="H543" s="366">
        <v>23132.540174526726</v>
      </c>
      <c r="I543" s="366">
        <v>20580.546578937687</v>
      </c>
      <c r="J543" s="368">
        <v>31550.374363824132</v>
      </c>
      <c r="K543" s="313"/>
      <c r="L543" s="313"/>
    </row>
    <row r="544" spans="1:12" x14ac:dyDescent="0.25">
      <c r="A544" s="369">
        <v>8102124</v>
      </c>
      <c r="B544" s="370" t="s">
        <v>553</v>
      </c>
      <c r="C544" s="370" t="s">
        <v>2443</v>
      </c>
      <c r="D544" s="370" t="str">
        <f t="shared" si="8"/>
        <v>8102124__MAN</v>
      </c>
      <c r="E544" s="370" t="s">
        <v>538</v>
      </c>
      <c r="F544" s="371">
        <v>0</v>
      </c>
      <c r="G544" s="372">
        <v>0</v>
      </c>
      <c r="H544" s="371">
        <v>0</v>
      </c>
      <c r="I544" s="371">
        <v>13171.003555439325</v>
      </c>
      <c r="J544" s="373">
        <v>17661.41819434597</v>
      </c>
      <c r="K544" s="313"/>
      <c r="L544" s="313"/>
    </row>
    <row r="545" spans="1:12" x14ac:dyDescent="0.25">
      <c r="A545" s="369">
        <v>8102124</v>
      </c>
      <c r="B545" s="370" t="s">
        <v>553</v>
      </c>
      <c r="C545" s="370" t="s">
        <v>2444</v>
      </c>
      <c r="D545" s="370" t="str">
        <f t="shared" si="8"/>
        <v>8102124__PPPs</v>
      </c>
      <c r="E545" s="370" t="s">
        <v>538</v>
      </c>
      <c r="F545" s="371">
        <v>546065</v>
      </c>
      <c r="G545" s="372">
        <v>1.6183999999999998</v>
      </c>
      <c r="H545" s="371">
        <v>20983.234162848632</v>
      </c>
      <c r="I545" s="371">
        <v>24790.173663253689</v>
      </c>
      <c r="J545" s="373">
        <v>25287.261406181333</v>
      </c>
      <c r="K545" s="313"/>
      <c r="L545" s="313"/>
    </row>
    <row r="546" spans="1:12" x14ac:dyDescent="0.25">
      <c r="A546" s="369">
        <v>8102124</v>
      </c>
      <c r="B546" s="370" t="s">
        <v>553</v>
      </c>
      <c r="C546" s="370" t="s">
        <v>2445</v>
      </c>
      <c r="D546" s="370" t="str">
        <f t="shared" si="8"/>
        <v>8102124__PPPz</v>
      </c>
      <c r="E546" s="370" t="s">
        <v>538</v>
      </c>
      <c r="F546" s="371">
        <v>0</v>
      </c>
      <c r="G546" s="372">
        <v>0</v>
      </c>
      <c r="H546" s="371">
        <v>0</v>
      </c>
      <c r="I546" s="371">
        <v>0</v>
      </c>
      <c r="J546" s="373">
        <v>27734.040783344422</v>
      </c>
      <c r="K546" s="313"/>
      <c r="L546" s="313"/>
    </row>
    <row r="547" spans="1:12" ht="15.75" thickBot="1" x14ac:dyDescent="0.3">
      <c r="A547" s="374">
        <v>8102124</v>
      </c>
      <c r="B547" s="375" t="s">
        <v>553</v>
      </c>
      <c r="C547" s="375" t="s">
        <v>2446</v>
      </c>
      <c r="D547" s="375" t="str">
        <f t="shared" si="8"/>
        <v>8102124__VED</v>
      </c>
      <c r="E547" s="375" t="s">
        <v>538</v>
      </c>
      <c r="F547" s="376">
        <v>237823</v>
      </c>
      <c r="G547" s="377">
        <v>0.42</v>
      </c>
      <c r="H547" s="376">
        <v>35214.256100450126</v>
      </c>
      <c r="I547" s="376">
        <v>38014.41064494101</v>
      </c>
      <c r="J547" s="378">
        <v>37317.934718645549</v>
      </c>
      <c r="K547" s="313"/>
      <c r="L547" s="313"/>
    </row>
    <row r="548" spans="1:12" x14ac:dyDescent="0.25">
      <c r="A548" s="364">
        <v>8350990</v>
      </c>
      <c r="B548" s="365" t="s">
        <v>842</v>
      </c>
      <c r="C548" s="365" t="s">
        <v>2442</v>
      </c>
      <c r="D548" s="365" t="str">
        <f t="shared" si="8"/>
        <v>8350990__ADM</v>
      </c>
      <c r="E548" s="365" t="s">
        <v>538</v>
      </c>
      <c r="F548" s="366">
        <v>229725</v>
      </c>
      <c r="G548" s="367">
        <v>0.752</v>
      </c>
      <c r="H548" s="366">
        <v>18997.846538583679</v>
      </c>
      <c r="I548" s="366">
        <v>20580.546578937687</v>
      </c>
      <c r="J548" s="368">
        <v>31550.374363824132</v>
      </c>
      <c r="K548" s="313"/>
      <c r="L548" s="313"/>
    </row>
    <row r="549" spans="1:12" x14ac:dyDescent="0.25">
      <c r="A549" s="369">
        <v>8350990</v>
      </c>
      <c r="B549" s="370" t="s">
        <v>842</v>
      </c>
      <c r="C549" s="370" t="s">
        <v>2443</v>
      </c>
      <c r="D549" s="370" t="str">
        <f t="shared" si="8"/>
        <v>8350990__MAN</v>
      </c>
      <c r="E549" s="370" t="s">
        <v>538</v>
      </c>
      <c r="F549" s="371">
        <v>201628</v>
      </c>
      <c r="G549" s="372">
        <v>0.748</v>
      </c>
      <c r="H549" s="371">
        <v>16763.442147551017</v>
      </c>
      <c r="I549" s="371">
        <v>13171.003555439325</v>
      </c>
      <c r="J549" s="373">
        <v>17661.41819434597</v>
      </c>
      <c r="K549" s="313"/>
      <c r="L549" s="313"/>
    </row>
    <row r="550" spans="1:12" x14ac:dyDescent="0.25">
      <c r="A550" s="369">
        <v>8350990</v>
      </c>
      <c r="B550" s="370" t="s">
        <v>842</v>
      </c>
      <c r="C550" s="370" t="s">
        <v>2444</v>
      </c>
      <c r="D550" s="370" t="str">
        <f t="shared" si="8"/>
        <v>8350990__PPPs</v>
      </c>
      <c r="E550" s="370" t="s">
        <v>538</v>
      </c>
      <c r="F550" s="371">
        <v>1034790</v>
      </c>
      <c r="G550" s="372">
        <v>1.85</v>
      </c>
      <c r="H550" s="371">
        <v>34785.195643404593</v>
      </c>
      <c r="I550" s="371">
        <v>24790.173663253689</v>
      </c>
      <c r="J550" s="373">
        <v>25287.261406181333</v>
      </c>
      <c r="K550" s="313"/>
      <c r="L550" s="313"/>
    </row>
    <row r="551" spans="1:12" x14ac:dyDescent="0.25">
      <c r="A551" s="369">
        <v>8350990</v>
      </c>
      <c r="B551" s="370" t="s">
        <v>842</v>
      </c>
      <c r="C551" s="370" t="s">
        <v>2445</v>
      </c>
      <c r="D551" s="370" t="str">
        <f t="shared" si="8"/>
        <v>8350990__PPPz</v>
      </c>
      <c r="E551" s="370" t="s">
        <v>538</v>
      </c>
      <c r="F551" s="371">
        <v>0</v>
      </c>
      <c r="G551" s="372">
        <v>0</v>
      </c>
      <c r="H551" s="371">
        <v>0</v>
      </c>
      <c r="I551" s="371">
        <v>0</v>
      </c>
      <c r="J551" s="373">
        <v>27734.040783344422</v>
      </c>
      <c r="K551" s="313"/>
      <c r="L551" s="313"/>
    </row>
    <row r="552" spans="1:12" ht="15.75" thickBot="1" x14ac:dyDescent="0.3">
      <c r="A552" s="374">
        <v>8350990</v>
      </c>
      <c r="B552" s="375" t="s">
        <v>842</v>
      </c>
      <c r="C552" s="375" t="s">
        <v>2446</v>
      </c>
      <c r="D552" s="375" t="str">
        <f t="shared" si="8"/>
        <v>8350990__VED</v>
      </c>
      <c r="E552" s="375" t="s">
        <v>538</v>
      </c>
      <c r="F552" s="376">
        <v>157415</v>
      </c>
      <c r="G552" s="377">
        <v>0.35</v>
      </c>
      <c r="H552" s="376">
        <v>27969.97157071784</v>
      </c>
      <c r="I552" s="376">
        <v>38014.41064494101</v>
      </c>
      <c r="J552" s="378">
        <v>37317.934718645549</v>
      </c>
      <c r="K552" s="313"/>
      <c r="L552" s="313"/>
    </row>
    <row r="553" spans="1:12" x14ac:dyDescent="0.25">
      <c r="A553" s="364">
        <v>8411392</v>
      </c>
      <c r="B553" s="365" t="s">
        <v>909</v>
      </c>
      <c r="C553" s="365" t="s">
        <v>2442</v>
      </c>
      <c r="D553" s="365" t="str">
        <f t="shared" si="8"/>
        <v>8411392__ADM</v>
      </c>
      <c r="E553" s="365" t="s">
        <v>538</v>
      </c>
      <c r="F553" s="366">
        <v>192700</v>
      </c>
      <c r="G553" s="367">
        <v>0.37</v>
      </c>
      <c r="H553" s="366">
        <v>32388.732015597685</v>
      </c>
      <c r="I553" s="366">
        <v>20580.546578937687</v>
      </c>
      <c r="J553" s="368">
        <v>31550.374363824132</v>
      </c>
      <c r="K553" s="313"/>
      <c r="L553" s="313"/>
    </row>
    <row r="554" spans="1:12" x14ac:dyDescent="0.25">
      <c r="A554" s="369">
        <v>8411392</v>
      </c>
      <c r="B554" s="370" t="s">
        <v>909</v>
      </c>
      <c r="C554" s="370" t="s">
        <v>2443</v>
      </c>
      <c r="D554" s="370" t="str">
        <f t="shared" si="8"/>
        <v>8411392__MAN</v>
      </c>
      <c r="E554" s="370" t="s">
        <v>538</v>
      </c>
      <c r="F554" s="371">
        <v>0</v>
      </c>
      <c r="G554" s="372">
        <v>0</v>
      </c>
      <c r="H554" s="371">
        <v>0</v>
      </c>
      <c r="I554" s="371">
        <v>13171.003555439325</v>
      </c>
      <c r="J554" s="373">
        <v>17661.41819434597</v>
      </c>
      <c r="K554" s="313"/>
      <c r="L554" s="313"/>
    </row>
    <row r="555" spans="1:12" x14ac:dyDescent="0.25">
      <c r="A555" s="369">
        <v>8411392</v>
      </c>
      <c r="B555" s="370" t="s">
        <v>909</v>
      </c>
      <c r="C555" s="370" t="s">
        <v>2444</v>
      </c>
      <c r="D555" s="370" t="str">
        <f t="shared" si="8"/>
        <v>8411392__PPPs</v>
      </c>
      <c r="E555" s="370" t="s">
        <v>538</v>
      </c>
      <c r="F555" s="371">
        <v>2254754</v>
      </c>
      <c r="G555" s="372">
        <v>4.9106000000000005</v>
      </c>
      <c r="H555" s="371">
        <v>28554.763145134504</v>
      </c>
      <c r="I555" s="371">
        <v>24790.173663253689</v>
      </c>
      <c r="J555" s="373">
        <v>25287.261406181333</v>
      </c>
      <c r="K555" s="313"/>
      <c r="L555" s="313"/>
    </row>
    <row r="556" spans="1:12" x14ac:dyDescent="0.25">
      <c r="A556" s="369">
        <v>8411392</v>
      </c>
      <c r="B556" s="370" t="s">
        <v>909</v>
      </c>
      <c r="C556" s="370" t="s">
        <v>2445</v>
      </c>
      <c r="D556" s="370" t="str">
        <f t="shared" si="8"/>
        <v>8411392__PPPz</v>
      </c>
      <c r="E556" s="370" t="s">
        <v>538</v>
      </c>
      <c r="F556" s="371">
        <v>0</v>
      </c>
      <c r="G556" s="372">
        <v>0</v>
      </c>
      <c r="H556" s="371">
        <v>0</v>
      </c>
      <c r="I556" s="371">
        <v>0</v>
      </c>
      <c r="J556" s="373">
        <v>27734.040783344422</v>
      </c>
      <c r="K556" s="313"/>
      <c r="L556" s="313"/>
    </row>
    <row r="557" spans="1:12" ht="15.75" thickBot="1" x14ac:dyDescent="0.3">
      <c r="A557" s="374">
        <v>8411392</v>
      </c>
      <c r="B557" s="375" t="s">
        <v>909</v>
      </c>
      <c r="C557" s="375" t="s">
        <v>2446</v>
      </c>
      <c r="D557" s="375" t="str">
        <f t="shared" si="8"/>
        <v>8411392__VED</v>
      </c>
      <c r="E557" s="375" t="s">
        <v>538</v>
      </c>
      <c r="F557" s="376">
        <v>647665</v>
      </c>
      <c r="G557" s="377">
        <v>1.1200000000000001</v>
      </c>
      <c r="H557" s="376">
        <v>35962.209044065377</v>
      </c>
      <c r="I557" s="376">
        <v>38014.41064494101</v>
      </c>
      <c r="J557" s="378">
        <v>37317.934718645549</v>
      </c>
      <c r="K557" s="313"/>
      <c r="L557" s="313"/>
    </row>
    <row r="558" spans="1:12" x14ac:dyDescent="0.25">
      <c r="A558" s="364">
        <v>1696009</v>
      </c>
      <c r="B558" s="365" t="s">
        <v>857</v>
      </c>
      <c r="C558" s="365" t="s">
        <v>2442</v>
      </c>
      <c r="D558" s="365" t="str">
        <f t="shared" si="8"/>
        <v>1696009__ADM</v>
      </c>
      <c r="E558" s="365" t="s">
        <v>783</v>
      </c>
      <c r="F558" s="366">
        <v>42498</v>
      </c>
      <c r="G558" s="367">
        <v>0.03</v>
      </c>
      <c r="H558" s="366">
        <v>88097.014925373136</v>
      </c>
      <c r="I558" s="366">
        <v>45686.891224894862</v>
      </c>
      <c r="J558" s="368">
        <v>30219.437647141651</v>
      </c>
      <c r="K558" s="313"/>
      <c r="L558" s="313"/>
    </row>
    <row r="559" spans="1:12" x14ac:dyDescent="0.25">
      <c r="A559" s="369">
        <v>1696009</v>
      </c>
      <c r="B559" s="370" t="s">
        <v>857</v>
      </c>
      <c r="C559" s="370" t="s">
        <v>2443</v>
      </c>
      <c r="D559" s="370" t="str">
        <f t="shared" si="8"/>
        <v>1696009__MAN</v>
      </c>
      <c r="E559" s="370" t="s">
        <v>783</v>
      </c>
      <c r="F559" s="371">
        <v>116114</v>
      </c>
      <c r="G559" s="372">
        <v>0.3</v>
      </c>
      <c r="H559" s="371">
        <v>24070.066334991709</v>
      </c>
      <c r="I559" s="371">
        <v>27159.095843030856</v>
      </c>
      <c r="J559" s="373">
        <v>25620.729199669808</v>
      </c>
      <c r="K559" s="313"/>
      <c r="L559" s="313"/>
    </row>
    <row r="560" spans="1:12" x14ac:dyDescent="0.25">
      <c r="A560" s="369">
        <v>1696009</v>
      </c>
      <c r="B560" s="370" t="s">
        <v>857</v>
      </c>
      <c r="C560" s="370" t="s">
        <v>2444</v>
      </c>
      <c r="D560" s="370" t="str">
        <f t="shared" si="8"/>
        <v>1696009__PPPs</v>
      </c>
      <c r="E560" s="370" t="s">
        <v>783</v>
      </c>
      <c r="F560" s="371">
        <v>504942</v>
      </c>
      <c r="G560" s="372">
        <v>1.1553</v>
      </c>
      <c r="H560" s="371">
        <v>27180.702563526178</v>
      </c>
      <c r="I560" s="371">
        <v>26785.82439344962</v>
      </c>
      <c r="J560" s="373">
        <v>29279.931534256906</v>
      </c>
      <c r="K560" s="313"/>
      <c r="L560" s="313"/>
    </row>
    <row r="561" spans="1:12" x14ac:dyDescent="0.25">
      <c r="A561" s="369">
        <v>1696009</v>
      </c>
      <c r="B561" s="370" t="s">
        <v>857</v>
      </c>
      <c r="C561" s="370" t="s">
        <v>2445</v>
      </c>
      <c r="D561" s="370" t="str">
        <f t="shared" si="8"/>
        <v>1696009__PPPz</v>
      </c>
      <c r="E561" s="370" t="s">
        <v>783</v>
      </c>
      <c r="F561" s="371">
        <v>0</v>
      </c>
      <c r="G561" s="372">
        <v>0</v>
      </c>
      <c r="H561" s="371">
        <v>0</v>
      </c>
      <c r="I561" s="371">
        <v>0</v>
      </c>
      <c r="J561" s="373">
        <v>0</v>
      </c>
      <c r="K561" s="313"/>
      <c r="L561" s="313"/>
    </row>
    <row r="562" spans="1:12" ht="15.75" thickBot="1" x14ac:dyDescent="0.3">
      <c r="A562" s="374">
        <v>1696009</v>
      </c>
      <c r="B562" s="375" t="s">
        <v>857</v>
      </c>
      <c r="C562" s="375" t="s">
        <v>2446</v>
      </c>
      <c r="D562" s="375" t="str">
        <f t="shared" si="8"/>
        <v>1696009__VED</v>
      </c>
      <c r="E562" s="375" t="s">
        <v>783</v>
      </c>
      <c r="F562" s="376">
        <v>137119</v>
      </c>
      <c r="G562" s="377">
        <v>0.17199999999999999</v>
      </c>
      <c r="H562" s="376">
        <v>49577.331366423692</v>
      </c>
      <c r="I562" s="376">
        <v>49607.969892506917</v>
      </c>
      <c r="J562" s="378">
        <v>39281.190125732246</v>
      </c>
      <c r="K562" s="313"/>
      <c r="L562" s="313"/>
    </row>
    <row r="563" spans="1:12" x14ac:dyDescent="0.25">
      <c r="A563" s="364">
        <v>1968420</v>
      </c>
      <c r="B563" s="365" t="s">
        <v>776</v>
      </c>
      <c r="C563" s="365" t="s">
        <v>2442</v>
      </c>
      <c r="D563" s="365" t="str">
        <f t="shared" si="8"/>
        <v>1968420__ADM</v>
      </c>
      <c r="E563" s="365" t="s">
        <v>783</v>
      </c>
      <c r="F563" s="366">
        <v>610722</v>
      </c>
      <c r="G563" s="367">
        <v>0.86799999999999999</v>
      </c>
      <c r="H563" s="366">
        <v>43756.018295618676</v>
      </c>
      <c r="I563" s="366">
        <v>45686.891224894862</v>
      </c>
      <c r="J563" s="368">
        <v>30219.437647141651</v>
      </c>
      <c r="K563" s="313"/>
      <c r="L563" s="313"/>
    </row>
    <row r="564" spans="1:12" x14ac:dyDescent="0.25">
      <c r="A564" s="369">
        <v>1968420</v>
      </c>
      <c r="B564" s="370" t="s">
        <v>776</v>
      </c>
      <c r="C564" s="370" t="s">
        <v>2443</v>
      </c>
      <c r="D564" s="370" t="str">
        <f t="shared" si="8"/>
        <v>1968420__MAN</v>
      </c>
      <c r="E564" s="370" t="s">
        <v>783</v>
      </c>
      <c r="F564" s="371">
        <v>144433</v>
      </c>
      <c r="G564" s="372">
        <v>0.30320000000000003</v>
      </c>
      <c r="H564" s="371">
        <v>29624.511020097398</v>
      </c>
      <c r="I564" s="371">
        <v>27159.095843030856</v>
      </c>
      <c r="J564" s="373">
        <v>25620.729199669808</v>
      </c>
      <c r="K564" s="313"/>
      <c r="L564" s="313"/>
    </row>
    <row r="565" spans="1:12" x14ac:dyDescent="0.25">
      <c r="A565" s="369">
        <v>1968420</v>
      </c>
      <c r="B565" s="370" t="s">
        <v>776</v>
      </c>
      <c r="C565" s="370" t="s">
        <v>2444</v>
      </c>
      <c r="D565" s="370" t="str">
        <f t="shared" si="8"/>
        <v>1968420__PPPs</v>
      </c>
      <c r="E565" s="370" t="s">
        <v>783</v>
      </c>
      <c r="F565" s="371">
        <v>2970766</v>
      </c>
      <c r="G565" s="372">
        <v>7.1144999999999996</v>
      </c>
      <c r="H565" s="371">
        <v>25967.970954140677</v>
      </c>
      <c r="I565" s="371">
        <v>26785.82439344962</v>
      </c>
      <c r="J565" s="373">
        <v>29279.931534256906</v>
      </c>
      <c r="K565" s="313"/>
      <c r="L565" s="313"/>
    </row>
    <row r="566" spans="1:12" x14ac:dyDescent="0.25">
      <c r="A566" s="369">
        <v>1968420</v>
      </c>
      <c r="B566" s="370" t="s">
        <v>776</v>
      </c>
      <c r="C566" s="370" t="s">
        <v>2445</v>
      </c>
      <c r="D566" s="370" t="str">
        <f t="shared" si="8"/>
        <v>1968420__PPPz</v>
      </c>
      <c r="E566" s="370" t="s">
        <v>783</v>
      </c>
      <c r="F566" s="371">
        <v>0</v>
      </c>
      <c r="G566" s="372">
        <v>0</v>
      </c>
      <c r="H566" s="371">
        <v>0</v>
      </c>
      <c r="I566" s="371">
        <v>0</v>
      </c>
      <c r="J566" s="373">
        <v>0</v>
      </c>
      <c r="K566" s="313"/>
      <c r="L566" s="313"/>
    </row>
    <row r="567" spans="1:12" ht="15.75" thickBot="1" x14ac:dyDescent="0.3">
      <c r="A567" s="374">
        <v>1968420</v>
      </c>
      <c r="B567" s="375" t="s">
        <v>776</v>
      </c>
      <c r="C567" s="375" t="s">
        <v>2446</v>
      </c>
      <c r="D567" s="375" t="str">
        <f t="shared" si="8"/>
        <v>1968420__VED</v>
      </c>
      <c r="E567" s="375" t="s">
        <v>783</v>
      </c>
      <c r="F567" s="376">
        <v>48263</v>
      </c>
      <c r="G567" s="377">
        <v>0.1996</v>
      </c>
      <c r="H567" s="376">
        <v>15037.226193680894</v>
      </c>
      <c r="I567" s="376">
        <v>49607.969892506917</v>
      </c>
      <c r="J567" s="378">
        <v>39281.190125732246</v>
      </c>
      <c r="K567" s="313"/>
      <c r="L567" s="313"/>
    </row>
    <row r="568" spans="1:12" x14ac:dyDescent="0.25">
      <c r="A568" s="364">
        <v>4720531</v>
      </c>
      <c r="B568" s="365" t="s">
        <v>947</v>
      </c>
      <c r="C568" s="365" t="s">
        <v>2442</v>
      </c>
      <c r="D568" s="365" t="str">
        <f t="shared" si="8"/>
        <v>4720531__ADM</v>
      </c>
      <c r="E568" s="365" t="s">
        <v>783</v>
      </c>
      <c r="F568" s="366">
        <v>15601</v>
      </c>
      <c r="G568" s="367">
        <v>1.24E-2</v>
      </c>
      <c r="H568" s="366">
        <v>78242.858289199168</v>
      </c>
      <c r="I568" s="366">
        <v>45686.891224894862</v>
      </c>
      <c r="J568" s="368">
        <v>30219.437647141651</v>
      </c>
      <c r="K568" s="313"/>
      <c r="L568" s="313"/>
    </row>
    <row r="569" spans="1:12" x14ac:dyDescent="0.25">
      <c r="A569" s="369">
        <v>4720531</v>
      </c>
      <c r="B569" s="370" t="s">
        <v>947</v>
      </c>
      <c r="C569" s="370" t="s">
        <v>2443</v>
      </c>
      <c r="D569" s="370" t="str">
        <f t="shared" si="8"/>
        <v>4720531__MAN</v>
      </c>
      <c r="E569" s="370" t="s">
        <v>783</v>
      </c>
      <c r="F569" s="371">
        <v>4672</v>
      </c>
      <c r="G569" s="372">
        <v>4.1000000000000003E-3</v>
      </c>
      <c r="H569" s="371">
        <v>70865.186263802927</v>
      </c>
      <c r="I569" s="371">
        <v>27159.095843030856</v>
      </c>
      <c r="J569" s="373">
        <v>25620.729199669808</v>
      </c>
      <c r="K569" s="313"/>
      <c r="L569" s="313"/>
    </row>
    <row r="570" spans="1:12" x14ac:dyDescent="0.25">
      <c r="A570" s="369">
        <v>4720531</v>
      </c>
      <c r="B570" s="370" t="s">
        <v>947</v>
      </c>
      <c r="C570" s="370" t="s">
        <v>2444</v>
      </c>
      <c r="D570" s="370" t="str">
        <f t="shared" si="8"/>
        <v>4720531__PPPs</v>
      </c>
      <c r="E570" s="370" t="s">
        <v>783</v>
      </c>
      <c r="F570" s="371">
        <v>242836</v>
      </c>
      <c r="G570" s="372">
        <v>0.36360000000000003</v>
      </c>
      <c r="H570" s="371">
        <v>41533.941951409062</v>
      </c>
      <c r="I570" s="371">
        <v>26785.82439344962</v>
      </c>
      <c r="J570" s="373">
        <v>29279.931534256906</v>
      </c>
      <c r="K570" s="313"/>
      <c r="L570" s="313"/>
    </row>
    <row r="571" spans="1:12" x14ac:dyDescent="0.25">
      <c r="A571" s="369">
        <v>4720531</v>
      </c>
      <c r="B571" s="370" t="s">
        <v>947</v>
      </c>
      <c r="C571" s="370" t="s">
        <v>2445</v>
      </c>
      <c r="D571" s="370" t="str">
        <f t="shared" si="8"/>
        <v>4720531__PPPz</v>
      </c>
      <c r="E571" s="370" t="s">
        <v>783</v>
      </c>
      <c r="F571" s="371">
        <v>0</v>
      </c>
      <c r="G571" s="372">
        <v>0</v>
      </c>
      <c r="H571" s="371">
        <v>0</v>
      </c>
      <c r="I571" s="371">
        <v>0</v>
      </c>
      <c r="J571" s="373">
        <v>0</v>
      </c>
      <c r="K571" s="313"/>
      <c r="L571" s="313"/>
    </row>
    <row r="572" spans="1:12" ht="15.75" thickBot="1" x14ac:dyDescent="0.3">
      <c r="A572" s="374">
        <v>4720531</v>
      </c>
      <c r="B572" s="375" t="s">
        <v>947</v>
      </c>
      <c r="C572" s="375" t="s">
        <v>2446</v>
      </c>
      <c r="D572" s="375" t="str">
        <f t="shared" si="8"/>
        <v>4720531__VED</v>
      </c>
      <c r="E572" s="375" t="s">
        <v>783</v>
      </c>
      <c r="F572" s="376">
        <v>117583</v>
      </c>
      <c r="G572" s="377">
        <v>8.2000000000000007E-3</v>
      </c>
      <c r="H572" s="376">
        <v>891753.12462079828</v>
      </c>
      <c r="I572" s="376">
        <v>49607.969892506917</v>
      </c>
      <c r="J572" s="378">
        <v>39281.190125732246</v>
      </c>
      <c r="K572" s="313"/>
      <c r="L572" s="313"/>
    </row>
    <row r="573" spans="1:12" x14ac:dyDescent="0.25">
      <c r="A573" s="364">
        <v>1494293</v>
      </c>
      <c r="B573" s="365" t="s">
        <v>411</v>
      </c>
      <c r="C573" s="365" t="s">
        <v>2442</v>
      </c>
      <c r="D573" s="365" t="str">
        <f t="shared" si="8"/>
        <v>1494293__ADM</v>
      </c>
      <c r="E573" s="365" t="s">
        <v>292</v>
      </c>
      <c r="F573" s="366">
        <v>174430</v>
      </c>
      <c r="G573" s="367">
        <v>0</v>
      </c>
      <c r="H573" s="366">
        <v>0</v>
      </c>
      <c r="I573" s="366">
        <v>20937.725837008096</v>
      </c>
      <c r="J573" s="368">
        <v>28476.54082450884</v>
      </c>
      <c r="K573" s="313"/>
      <c r="L573" s="313"/>
    </row>
    <row r="574" spans="1:12" x14ac:dyDescent="0.25">
      <c r="A574" s="369">
        <v>1494293</v>
      </c>
      <c r="B574" s="370" t="s">
        <v>411</v>
      </c>
      <c r="C574" s="370" t="s">
        <v>2443</v>
      </c>
      <c r="D574" s="370" t="str">
        <f t="shared" si="8"/>
        <v>1494293__MAN</v>
      </c>
      <c r="E574" s="370" t="s">
        <v>292</v>
      </c>
      <c r="F574" s="371">
        <v>0</v>
      </c>
      <c r="G574" s="372">
        <v>0</v>
      </c>
      <c r="H574" s="371">
        <v>0</v>
      </c>
      <c r="I574" s="371">
        <v>12271.856374583018</v>
      </c>
      <c r="J574" s="373">
        <v>20277.010289159494</v>
      </c>
      <c r="K574" s="313"/>
      <c r="L574" s="313"/>
    </row>
    <row r="575" spans="1:12" x14ac:dyDescent="0.25">
      <c r="A575" s="369">
        <v>1494293</v>
      </c>
      <c r="B575" s="370" t="s">
        <v>411</v>
      </c>
      <c r="C575" s="370" t="s">
        <v>2444</v>
      </c>
      <c r="D575" s="370" t="str">
        <f t="shared" si="8"/>
        <v>1494293__PPPs</v>
      </c>
      <c r="E575" s="370" t="s">
        <v>292</v>
      </c>
      <c r="F575" s="371">
        <v>399189</v>
      </c>
      <c r="G575" s="372">
        <v>1</v>
      </c>
      <c r="H575" s="371">
        <v>24825.186567164179</v>
      </c>
      <c r="I575" s="371">
        <v>30443.327137576063</v>
      </c>
      <c r="J575" s="373">
        <v>31127.953171467958</v>
      </c>
      <c r="K575" s="313"/>
      <c r="L575" s="313"/>
    </row>
    <row r="576" spans="1:12" x14ac:dyDescent="0.25">
      <c r="A576" s="369">
        <v>1494293</v>
      </c>
      <c r="B576" s="370" t="s">
        <v>411</v>
      </c>
      <c r="C576" s="370" t="s">
        <v>2445</v>
      </c>
      <c r="D576" s="370" t="str">
        <f t="shared" si="8"/>
        <v>1494293__PPPz</v>
      </c>
      <c r="E576" s="370" t="s">
        <v>292</v>
      </c>
      <c r="F576" s="371">
        <v>83432</v>
      </c>
      <c r="G576" s="372">
        <v>1.1499999999999999</v>
      </c>
      <c r="H576" s="371">
        <v>4511.7888816785635</v>
      </c>
      <c r="I576" s="371">
        <v>11571.589230647987</v>
      </c>
      <c r="J576" s="373">
        <v>28744.797393220182</v>
      </c>
      <c r="K576" s="313"/>
      <c r="L576" s="313"/>
    </row>
    <row r="577" spans="1:12" ht="15.75" thickBot="1" x14ac:dyDescent="0.3">
      <c r="A577" s="374">
        <v>1494293</v>
      </c>
      <c r="B577" s="375" t="s">
        <v>411</v>
      </c>
      <c r="C577" s="375" t="s">
        <v>2446</v>
      </c>
      <c r="D577" s="375" t="str">
        <f t="shared" si="8"/>
        <v>1494293__VED</v>
      </c>
      <c r="E577" s="375" t="s">
        <v>292</v>
      </c>
      <c r="F577" s="376">
        <v>229451</v>
      </c>
      <c r="G577" s="377">
        <v>1</v>
      </c>
      <c r="H577" s="376">
        <v>14269.3407960199</v>
      </c>
      <c r="I577" s="376">
        <v>31859.546291492508</v>
      </c>
      <c r="J577" s="378">
        <v>37545.15477103689</v>
      </c>
      <c r="K577" s="313"/>
      <c r="L577" s="313"/>
    </row>
    <row r="578" spans="1:12" x14ac:dyDescent="0.25">
      <c r="A578" s="364">
        <v>2093343</v>
      </c>
      <c r="B578" s="365" t="s">
        <v>979</v>
      </c>
      <c r="C578" s="365" t="s">
        <v>2442</v>
      </c>
      <c r="D578" s="365" t="str">
        <f t="shared" si="8"/>
        <v>2093343__ADM</v>
      </c>
      <c r="E578" s="365" t="s">
        <v>292</v>
      </c>
      <c r="F578" s="366">
        <v>13553</v>
      </c>
      <c r="G578" s="367">
        <v>0.05</v>
      </c>
      <c r="H578" s="366">
        <v>16856.965174129353</v>
      </c>
      <c r="I578" s="366">
        <v>20937.725837008096</v>
      </c>
      <c r="J578" s="368">
        <v>28476.54082450884</v>
      </c>
      <c r="K578" s="313"/>
      <c r="L578" s="313"/>
    </row>
    <row r="579" spans="1:12" x14ac:dyDescent="0.25">
      <c r="A579" s="369">
        <v>2093343</v>
      </c>
      <c r="B579" s="370" t="s">
        <v>979</v>
      </c>
      <c r="C579" s="370" t="s">
        <v>2443</v>
      </c>
      <c r="D579" s="370" t="str">
        <f t="shared" ref="D579:D608" si="9">CONCATENATE(A579,"__",C579)</f>
        <v>2093343__MAN</v>
      </c>
      <c r="E579" s="370" t="s">
        <v>292</v>
      </c>
      <c r="F579" s="371">
        <v>0</v>
      </c>
      <c r="G579" s="372">
        <v>0</v>
      </c>
      <c r="H579" s="371">
        <v>0</v>
      </c>
      <c r="I579" s="371">
        <v>12271.856374583018</v>
      </c>
      <c r="J579" s="373">
        <v>20277.010289159494</v>
      </c>
      <c r="K579" s="313"/>
      <c r="L579" s="313"/>
    </row>
    <row r="580" spans="1:12" x14ac:dyDescent="0.25">
      <c r="A580" s="369">
        <v>2093343</v>
      </c>
      <c r="B580" s="370" t="s">
        <v>979</v>
      </c>
      <c r="C580" s="370" t="s">
        <v>2444</v>
      </c>
      <c r="D580" s="370" t="str">
        <f t="shared" si="9"/>
        <v>2093343__PPPs</v>
      </c>
      <c r="E580" s="370" t="s">
        <v>292</v>
      </c>
      <c r="F580" s="371">
        <v>487946</v>
      </c>
      <c r="G580" s="372">
        <v>1.1499999999999999</v>
      </c>
      <c r="H580" s="371">
        <v>26386.8699978369</v>
      </c>
      <c r="I580" s="371">
        <v>30443.327137576063</v>
      </c>
      <c r="J580" s="373">
        <v>31127.953171467958</v>
      </c>
      <c r="K580" s="313"/>
      <c r="L580" s="313"/>
    </row>
    <row r="581" spans="1:12" x14ac:dyDescent="0.25">
      <c r="A581" s="369">
        <v>2093343</v>
      </c>
      <c r="B581" s="370" t="s">
        <v>979</v>
      </c>
      <c r="C581" s="370" t="s">
        <v>2445</v>
      </c>
      <c r="D581" s="370" t="str">
        <f t="shared" si="9"/>
        <v>2093343__PPPz</v>
      </c>
      <c r="E581" s="370" t="s">
        <v>292</v>
      </c>
      <c r="F581" s="371">
        <v>0</v>
      </c>
      <c r="G581" s="372">
        <v>0</v>
      </c>
      <c r="H581" s="371">
        <v>0</v>
      </c>
      <c r="I581" s="371">
        <v>11571.589230647987</v>
      </c>
      <c r="J581" s="373">
        <v>28744.797393220182</v>
      </c>
      <c r="K581" s="313"/>
      <c r="L581" s="313"/>
    </row>
    <row r="582" spans="1:12" ht="15.75" thickBot="1" x14ac:dyDescent="0.3">
      <c r="A582" s="374">
        <v>2093343</v>
      </c>
      <c r="B582" s="375" t="s">
        <v>979</v>
      </c>
      <c r="C582" s="375" t="s">
        <v>2446</v>
      </c>
      <c r="D582" s="375" t="str">
        <f t="shared" si="9"/>
        <v>2093343__VED</v>
      </c>
      <c r="E582" s="375" t="s">
        <v>292</v>
      </c>
      <c r="F582" s="376">
        <v>117531</v>
      </c>
      <c r="G582" s="377">
        <v>0.2</v>
      </c>
      <c r="H582" s="376">
        <v>36545.708955223876</v>
      </c>
      <c r="I582" s="376">
        <v>31859.546291492508</v>
      </c>
      <c r="J582" s="378">
        <v>37545.15477103689</v>
      </c>
      <c r="K582" s="313"/>
      <c r="L582" s="313"/>
    </row>
    <row r="583" spans="1:12" x14ac:dyDescent="0.25">
      <c r="A583" s="364">
        <v>2583952</v>
      </c>
      <c r="B583" s="365" t="s">
        <v>405</v>
      </c>
      <c r="C583" s="365" t="s">
        <v>2442</v>
      </c>
      <c r="D583" s="365" t="str">
        <f t="shared" si="9"/>
        <v>2583952__ADM</v>
      </c>
      <c r="E583" s="365" t="s">
        <v>292</v>
      </c>
      <c r="F583" s="366">
        <v>106351</v>
      </c>
      <c r="G583" s="367">
        <v>0.25</v>
      </c>
      <c r="H583" s="366">
        <v>26455.472636815921</v>
      </c>
      <c r="I583" s="366">
        <v>20937.725837008096</v>
      </c>
      <c r="J583" s="368">
        <v>28476.54082450884</v>
      </c>
      <c r="K583" s="313"/>
      <c r="L583" s="313"/>
    </row>
    <row r="584" spans="1:12" x14ac:dyDescent="0.25">
      <c r="A584" s="369">
        <v>2583952</v>
      </c>
      <c r="B584" s="370" t="s">
        <v>405</v>
      </c>
      <c r="C584" s="370" t="s">
        <v>2443</v>
      </c>
      <c r="D584" s="370" t="str">
        <f t="shared" si="9"/>
        <v>2583952__MAN</v>
      </c>
      <c r="E584" s="370" t="s">
        <v>292</v>
      </c>
      <c r="F584" s="371">
        <v>0</v>
      </c>
      <c r="G584" s="372">
        <v>0</v>
      </c>
      <c r="H584" s="371">
        <v>0</v>
      </c>
      <c r="I584" s="371">
        <v>12271.856374583018</v>
      </c>
      <c r="J584" s="373">
        <v>20277.010289159494</v>
      </c>
      <c r="K584" s="313"/>
      <c r="L584" s="313"/>
    </row>
    <row r="585" spans="1:12" x14ac:dyDescent="0.25">
      <c r="A585" s="369">
        <v>2583952</v>
      </c>
      <c r="B585" s="370" t="s">
        <v>405</v>
      </c>
      <c r="C585" s="370" t="s">
        <v>2444</v>
      </c>
      <c r="D585" s="370" t="str">
        <f t="shared" si="9"/>
        <v>2583952__PPPs</v>
      </c>
      <c r="E585" s="370" t="s">
        <v>292</v>
      </c>
      <c r="F585" s="371">
        <v>853250</v>
      </c>
      <c r="G585" s="372">
        <v>1</v>
      </c>
      <c r="H585" s="371">
        <v>53062.810945273632</v>
      </c>
      <c r="I585" s="371">
        <v>30443.327137576063</v>
      </c>
      <c r="J585" s="373">
        <v>31127.953171467958</v>
      </c>
      <c r="K585" s="313"/>
      <c r="L585" s="313"/>
    </row>
    <row r="586" spans="1:12" x14ac:dyDescent="0.25">
      <c r="A586" s="369">
        <v>2583952</v>
      </c>
      <c r="B586" s="370" t="s">
        <v>405</v>
      </c>
      <c r="C586" s="370" t="s">
        <v>2445</v>
      </c>
      <c r="D586" s="370" t="str">
        <f t="shared" si="9"/>
        <v>2583952__PPPz</v>
      </c>
      <c r="E586" s="370" t="s">
        <v>292</v>
      </c>
      <c r="F586" s="371">
        <v>63505</v>
      </c>
      <c r="G586" s="372">
        <v>0.1</v>
      </c>
      <c r="H586" s="371">
        <v>39493.159203980096</v>
      </c>
      <c r="I586" s="371">
        <v>11571.589230647987</v>
      </c>
      <c r="J586" s="373">
        <v>28744.797393220182</v>
      </c>
      <c r="K586" s="313"/>
      <c r="L586" s="313"/>
    </row>
    <row r="587" spans="1:12" ht="15.75" thickBot="1" x14ac:dyDescent="0.3">
      <c r="A587" s="374">
        <v>2583952</v>
      </c>
      <c r="B587" s="375" t="s">
        <v>405</v>
      </c>
      <c r="C587" s="375" t="s">
        <v>2446</v>
      </c>
      <c r="D587" s="375" t="str">
        <f t="shared" si="9"/>
        <v>2583952__VED</v>
      </c>
      <c r="E587" s="375" t="s">
        <v>292</v>
      </c>
      <c r="F587" s="376">
        <v>0</v>
      </c>
      <c r="G587" s="377">
        <v>0</v>
      </c>
      <c r="H587" s="376">
        <v>0</v>
      </c>
      <c r="I587" s="376">
        <v>31859.546291492508</v>
      </c>
      <c r="J587" s="378">
        <v>37545.15477103689</v>
      </c>
      <c r="K587" s="313"/>
      <c r="L587" s="313"/>
    </row>
    <row r="588" spans="1:12" x14ac:dyDescent="0.25">
      <c r="A588" s="364">
        <v>2886510</v>
      </c>
      <c r="B588" s="365" t="s">
        <v>776</v>
      </c>
      <c r="C588" s="365" t="s">
        <v>2442</v>
      </c>
      <c r="D588" s="365" t="str">
        <f t="shared" si="9"/>
        <v>2886510__ADM</v>
      </c>
      <c r="E588" s="365" t="s">
        <v>292</v>
      </c>
      <c r="F588" s="366">
        <v>250990</v>
      </c>
      <c r="G588" s="367">
        <v>0.61780000000000002</v>
      </c>
      <c r="H588" s="366">
        <v>25265.184276094435</v>
      </c>
      <c r="I588" s="366">
        <v>20937.725837008096</v>
      </c>
      <c r="J588" s="368">
        <v>28476.54082450884</v>
      </c>
      <c r="K588" s="313"/>
      <c r="L588" s="313"/>
    </row>
    <row r="589" spans="1:12" x14ac:dyDescent="0.25">
      <c r="A589" s="369">
        <v>2886510</v>
      </c>
      <c r="B589" s="370" t="s">
        <v>776</v>
      </c>
      <c r="C589" s="370" t="s">
        <v>2443</v>
      </c>
      <c r="D589" s="370" t="str">
        <f t="shared" si="9"/>
        <v>2886510__MAN</v>
      </c>
      <c r="E589" s="370" t="s">
        <v>292</v>
      </c>
      <c r="F589" s="371">
        <v>46384</v>
      </c>
      <c r="G589" s="372">
        <v>0.13</v>
      </c>
      <c r="H589" s="371">
        <v>22189.054726368158</v>
      </c>
      <c r="I589" s="371">
        <v>12271.856374583018</v>
      </c>
      <c r="J589" s="373">
        <v>20277.010289159494</v>
      </c>
      <c r="K589" s="313"/>
      <c r="L589" s="313"/>
    </row>
    <row r="590" spans="1:12" x14ac:dyDescent="0.25">
      <c r="A590" s="369">
        <v>2886510</v>
      </c>
      <c r="B590" s="370" t="s">
        <v>776</v>
      </c>
      <c r="C590" s="370" t="s">
        <v>2444</v>
      </c>
      <c r="D590" s="370" t="str">
        <f t="shared" si="9"/>
        <v>2886510__PPPs</v>
      </c>
      <c r="E590" s="370" t="s">
        <v>292</v>
      </c>
      <c r="F590" s="371">
        <v>1625197</v>
      </c>
      <c r="G590" s="372">
        <v>3.585</v>
      </c>
      <c r="H590" s="371">
        <v>28192.319434903584</v>
      </c>
      <c r="I590" s="371">
        <v>30443.327137576063</v>
      </c>
      <c r="J590" s="373">
        <v>31127.953171467958</v>
      </c>
      <c r="K590" s="313"/>
      <c r="L590" s="313"/>
    </row>
    <row r="591" spans="1:12" x14ac:dyDescent="0.25">
      <c r="A591" s="369">
        <v>2886510</v>
      </c>
      <c r="B591" s="370" t="s">
        <v>776</v>
      </c>
      <c r="C591" s="370" t="s">
        <v>2445</v>
      </c>
      <c r="D591" s="370" t="str">
        <f t="shared" si="9"/>
        <v>2886510__PPPz</v>
      </c>
      <c r="E591" s="370" t="s">
        <v>292</v>
      </c>
      <c r="F591" s="371">
        <v>0</v>
      </c>
      <c r="G591" s="372">
        <v>0</v>
      </c>
      <c r="H591" s="371">
        <v>0</v>
      </c>
      <c r="I591" s="371">
        <v>11571.589230647987</v>
      </c>
      <c r="J591" s="373">
        <v>28744.797393220182</v>
      </c>
      <c r="K591" s="313"/>
      <c r="L591" s="313"/>
    </row>
    <row r="592" spans="1:12" ht="15.75" thickBot="1" x14ac:dyDescent="0.3">
      <c r="A592" s="374">
        <v>2886510</v>
      </c>
      <c r="B592" s="375" t="s">
        <v>776</v>
      </c>
      <c r="C592" s="375" t="s">
        <v>2446</v>
      </c>
      <c r="D592" s="375" t="str">
        <f t="shared" si="9"/>
        <v>2886510__VED</v>
      </c>
      <c r="E592" s="375" t="s">
        <v>292</v>
      </c>
      <c r="F592" s="376">
        <v>48258</v>
      </c>
      <c r="G592" s="377">
        <v>7.4999999999999997E-2</v>
      </c>
      <c r="H592" s="376">
        <v>40014.925373134327</v>
      </c>
      <c r="I592" s="376">
        <v>31859.546291492508</v>
      </c>
      <c r="J592" s="378">
        <v>37545.15477103689</v>
      </c>
      <c r="K592" s="313"/>
      <c r="L592" s="313"/>
    </row>
    <row r="593" spans="1:12" x14ac:dyDescent="0.25">
      <c r="A593" s="364">
        <v>3005660</v>
      </c>
      <c r="B593" s="365" t="s">
        <v>367</v>
      </c>
      <c r="C593" s="365" t="s">
        <v>2442</v>
      </c>
      <c r="D593" s="365" t="str">
        <f t="shared" si="9"/>
        <v>3005660__ADM</v>
      </c>
      <c r="E593" s="365" t="s">
        <v>292</v>
      </c>
      <c r="F593" s="366">
        <v>0</v>
      </c>
      <c r="G593" s="367">
        <v>0</v>
      </c>
      <c r="H593" s="366">
        <v>0</v>
      </c>
      <c r="I593" s="366">
        <v>20937.725837008096</v>
      </c>
      <c r="J593" s="368">
        <v>28476.54082450884</v>
      </c>
      <c r="K593" s="313"/>
      <c r="L593" s="313"/>
    </row>
    <row r="594" spans="1:12" x14ac:dyDescent="0.25">
      <c r="A594" s="369">
        <v>3005660</v>
      </c>
      <c r="B594" s="370" t="s">
        <v>367</v>
      </c>
      <c r="C594" s="370" t="s">
        <v>2443</v>
      </c>
      <c r="D594" s="370" t="str">
        <f t="shared" si="9"/>
        <v>3005660__MAN</v>
      </c>
      <c r="E594" s="370" t="s">
        <v>292</v>
      </c>
      <c r="F594" s="371">
        <v>0</v>
      </c>
      <c r="G594" s="372">
        <v>0</v>
      </c>
      <c r="H594" s="371">
        <v>0</v>
      </c>
      <c r="I594" s="371">
        <v>12271.856374583018</v>
      </c>
      <c r="J594" s="373">
        <v>20277.010289159494</v>
      </c>
      <c r="K594" s="313"/>
      <c r="L594" s="313"/>
    </row>
    <row r="595" spans="1:12" x14ac:dyDescent="0.25">
      <c r="A595" s="369">
        <v>3005660</v>
      </c>
      <c r="B595" s="370" t="s">
        <v>367</v>
      </c>
      <c r="C595" s="370" t="s">
        <v>2444</v>
      </c>
      <c r="D595" s="370" t="str">
        <f t="shared" si="9"/>
        <v>3005660__PPPs</v>
      </c>
      <c r="E595" s="370" t="s">
        <v>292</v>
      </c>
      <c r="F595" s="371">
        <v>0</v>
      </c>
      <c r="G595" s="372">
        <v>0</v>
      </c>
      <c r="H595" s="371">
        <v>0</v>
      </c>
      <c r="I595" s="371">
        <v>30443.327137576063</v>
      </c>
      <c r="J595" s="373">
        <v>31127.953171467958</v>
      </c>
      <c r="K595" s="313"/>
      <c r="L595" s="313"/>
    </row>
    <row r="596" spans="1:12" x14ac:dyDescent="0.25">
      <c r="A596" s="369">
        <v>3005660</v>
      </c>
      <c r="B596" s="370" t="s">
        <v>367</v>
      </c>
      <c r="C596" s="370" t="s">
        <v>2445</v>
      </c>
      <c r="D596" s="370" t="str">
        <f t="shared" si="9"/>
        <v>3005660__PPPz</v>
      </c>
      <c r="E596" s="370" t="s">
        <v>292</v>
      </c>
      <c r="F596" s="371">
        <v>0</v>
      </c>
      <c r="G596" s="372">
        <v>0</v>
      </c>
      <c r="H596" s="371">
        <v>0</v>
      </c>
      <c r="I596" s="371">
        <v>11571.589230647987</v>
      </c>
      <c r="J596" s="373">
        <v>28744.797393220182</v>
      </c>
      <c r="K596" s="313"/>
      <c r="L596" s="313"/>
    </row>
    <row r="597" spans="1:12" ht="15.75" thickBot="1" x14ac:dyDescent="0.3">
      <c r="A597" s="374">
        <v>3005660</v>
      </c>
      <c r="B597" s="375" t="s">
        <v>367</v>
      </c>
      <c r="C597" s="375" t="s">
        <v>2446</v>
      </c>
      <c r="D597" s="375" t="str">
        <f t="shared" si="9"/>
        <v>3005660__VED</v>
      </c>
      <c r="E597" s="375" t="s">
        <v>292</v>
      </c>
      <c r="F597" s="376">
        <v>0</v>
      </c>
      <c r="G597" s="377">
        <v>0</v>
      </c>
      <c r="H597" s="376">
        <v>0</v>
      </c>
      <c r="I597" s="376">
        <v>31859.546291492508</v>
      </c>
      <c r="J597" s="378">
        <v>37545.15477103689</v>
      </c>
      <c r="K597" s="313"/>
      <c r="L597" s="313"/>
    </row>
    <row r="598" spans="1:12" x14ac:dyDescent="0.25">
      <c r="A598" s="364">
        <v>3040542</v>
      </c>
      <c r="B598" s="365" t="s">
        <v>733</v>
      </c>
      <c r="C598" s="365" t="s">
        <v>2442</v>
      </c>
      <c r="D598" s="365" t="str">
        <f t="shared" si="9"/>
        <v>3040542__ADM</v>
      </c>
      <c r="E598" s="365" t="s">
        <v>292</v>
      </c>
      <c r="F598" s="366">
        <v>44101</v>
      </c>
      <c r="G598" s="367">
        <v>0.17</v>
      </c>
      <c r="H598" s="366">
        <v>16132.938249926836</v>
      </c>
      <c r="I598" s="366">
        <v>20937.725837008096</v>
      </c>
      <c r="J598" s="368">
        <v>28476.54082450884</v>
      </c>
      <c r="K598" s="313"/>
      <c r="L598" s="313"/>
    </row>
    <row r="599" spans="1:12" x14ac:dyDescent="0.25">
      <c r="A599" s="369">
        <v>3040542</v>
      </c>
      <c r="B599" s="370" t="s">
        <v>733</v>
      </c>
      <c r="C599" s="370" t="s">
        <v>2443</v>
      </c>
      <c r="D599" s="370" t="str">
        <f t="shared" si="9"/>
        <v>3040542__MAN</v>
      </c>
      <c r="E599" s="370" t="s">
        <v>292</v>
      </c>
      <c r="F599" s="371">
        <v>0</v>
      </c>
      <c r="G599" s="372">
        <v>0</v>
      </c>
      <c r="H599" s="371">
        <v>0</v>
      </c>
      <c r="I599" s="371">
        <v>12271.856374583018</v>
      </c>
      <c r="J599" s="373">
        <v>20277.010289159494</v>
      </c>
      <c r="K599" s="313"/>
      <c r="L599" s="313"/>
    </row>
    <row r="600" spans="1:12" x14ac:dyDescent="0.25">
      <c r="A600" s="369">
        <v>3040542</v>
      </c>
      <c r="B600" s="370" t="s">
        <v>733</v>
      </c>
      <c r="C600" s="370" t="s">
        <v>2444</v>
      </c>
      <c r="D600" s="370" t="str">
        <f t="shared" si="9"/>
        <v>3040542__PPPs</v>
      </c>
      <c r="E600" s="370" t="s">
        <v>292</v>
      </c>
      <c r="F600" s="371">
        <v>374987</v>
      </c>
      <c r="G600" s="372">
        <v>1</v>
      </c>
      <c r="H600" s="371">
        <v>23320.087064676616</v>
      </c>
      <c r="I600" s="371">
        <v>30443.327137576063</v>
      </c>
      <c r="J600" s="373">
        <v>31127.953171467958</v>
      </c>
      <c r="K600" s="313"/>
      <c r="L600" s="313"/>
    </row>
    <row r="601" spans="1:12" x14ac:dyDescent="0.25">
      <c r="A601" s="369">
        <v>3040542</v>
      </c>
      <c r="B601" s="370" t="s">
        <v>733</v>
      </c>
      <c r="C601" s="370" t="s">
        <v>2445</v>
      </c>
      <c r="D601" s="370" t="str">
        <f t="shared" si="9"/>
        <v>3040542__PPPz</v>
      </c>
      <c r="E601" s="370" t="s">
        <v>292</v>
      </c>
      <c r="F601" s="371">
        <v>0</v>
      </c>
      <c r="G601" s="372">
        <v>0</v>
      </c>
      <c r="H601" s="371">
        <v>0</v>
      </c>
      <c r="I601" s="371">
        <v>11571.589230647987</v>
      </c>
      <c r="J601" s="373">
        <v>28744.797393220182</v>
      </c>
      <c r="K601" s="313"/>
      <c r="L601" s="313"/>
    </row>
    <row r="602" spans="1:12" ht="15.75" thickBot="1" x14ac:dyDescent="0.3">
      <c r="A602" s="374">
        <v>3040542</v>
      </c>
      <c r="B602" s="375" t="s">
        <v>733</v>
      </c>
      <c r="C602" s="375" t="s">
        <v>2446</v>
      </c>
      <c r="D602" s="375" t="str">
        <f t="shared" si="9"/>
        <v>3040542__VED</v>
      </c>
      <c r="E602" s="375" t="s">
        <v>292</v>
      </c>
      <c r="F602" s="376">
        <v>181395</v>
      </c>
      <c r="G602" s="377">
        <v>0.31</v>
      </c>
      <c r="H602" s="376">
        <v>36389.624458353392</v>
      </c>
      <c r="I602" s="376">
        <v>31859.546291492508</v>
      </c>
      <c r="J602" s="378">
        <v>37545.15477103689</v>
      </c>
      <c r="K602" s="313"/>
      <c r="L602" s="313"/>
    </row>
    <row r="603" spans="1:12" x14ac:dyDescent="0.25">
      <c r="A603" s="364">
        <v>4309907</v>
      </c>
      <c r="B603" s="365" t="s">
        <v>312</v>
      </c>
      <c r="C603" s="365" t="s">
        <v>2442</v>
      </c>
      <c r="D603" s="365" t="str">
        <f t="shared" si="9"/>
        <v>4309907__ADM</v>
      </c>
      <c r="E603" s="365" t="s">
        <v>292</v>
      </c>
      <c r="F603" s="366">
        <v>9054</v>
      </c>
      <c r="G603" s="367">
        <v>2.5000000000000001E-2</v>
      </c>
      <c r="H603" s="366">
        <v>22522.38805970149</v>
      </c>
      <c r="I603" s="366">
        <v>20937.725837008096</v>
      </c>
      <c r="J603" s="368">
        <v>28476.54082450884</v>
      </c>
      <c r="K603" s="313"/>
      <c r="L603" s="313"/>
    </row>
    <row r="604" spans="1:12" x14ac:dyDescent="0.25">
      <c r="A604" s="369">
        <v>4309907</v>
      </c>
      <c r="B604" s="370" t="s">
        <v>312</v>
      </c>
      <c r="C604" s="370" t="s">
        <v>2443</v>
      </c>
      <c r="D604" s="370" t="str">
        <f t="shared" si="9"/>
        <v>4309907__MAN</v>
      </c>
      <c r="E604" s="370" t="s">
        <v>292</v>
      </c>
      <c r="F604" s="371">
        <v>0</v>
      </c>
      <c r="G604" s="372">
        <v>0</v>
      </c>
      <c r="H604" s="371">
        <v>0</v>
      </c>
      <c r="I604" s="371">
        <v>12271.856374583018</v>
      </c>
      <c r="J604" s="373">
        <v>20277.010289159494</v>
      </c>
      <c r="K604" s="313"/>
      <c r="L604" s="313"/>
    </row>
    <row r="605" spans="1:12" x14ac:dyDescent="0.25">
      <c r="A605" s="369">
        <v>4309907</v>
      </c>
      <c r="B605" s="370" t="s">
        <v>312</v>
      </c>
      <c r="C605" s="370" t="s">
        <v>2444</v>
      </c>
      <c r="D605" s="370" t="str">
        <f t="shared" si="9"/>
        <v>4309907__PPPs</v>
      </c>
      <c r="E605" s="370" t="s">
        <v>292</v>
      </c>
      <c r="F605" s="371">
        <v>1714247</v>
      </c>
      <c r="G605" s="372">
        <v>2.1</v>
      </c>
      <c r="H605" s="371">
        <v>50765.428808339253</v>
      </c>
      <c r="I605" s="371">
        <v>30443.327137576063</v>
      </c>
      <c r="J605" s="373">
        <v>31127.953171467958</v>
      </c>
      <c r="K605" s="313"/>
      <c r="L605" s="313"/>
    </row>
    <row r="606" spans="1:12" x14ac:dyDescent="0.25">
      <c r="A606" s="369">
        <v>4309907</v>
      </c>
      <c r="B606" s="370" t="s">
        <v>312</v>
      </c>
      <c r="C606" s="370" t="s">
        <v>2445</v>
      </c>
      <c r="D606" s="370" t="str">
        <f t="shared" si="9"/>
        <v>4309907__PPPz</v>
      </c>
      <c r="E606" s="370" t="s">
        <v>292</v>
      </c>
      <c r="F606" s="371">
        <v>0</v>
      </c>
      <c r="G606" s="372">
        <v>0</v>
      </c>
      <c r="H606" s="371">
        <v>0</v>
      </c>
      <c r="I606" s="371">
        <v>11571.589230647987</v>
      </c>
      <c r="J606" s="373">
        <v>28744.797393220182</v>
      </c>
      <c r="K606" s="313"/>
      <c r="L606" s="313"/>
    </row>
    <row r="607" spans="1:12" ht="15.75" thickBot="1" x14ac:dyDescent="0.3">
      <c r="A607" s="374">
        <v>4309907</v>
      </c>
      <c r="B607" s="375" t="s">
        <v>312</v>
      </c>
      <c r="C607" s="375" t="s">
        <v>2446</v>
      </c>
      <c r="D607" s="375" t="str">
        <f t="shared" si="9"/>
        <v>4309907__VED</v>
      </c>
      <c r="E607" s="375" t="s">
        <v>292</v>
      </c>
      <c r="F607" s="376">
        <v>14810</v>
      </c>
      <c r="G607" s="377">
        <v>2.5000000000000001E-2</v>
      </c>
      <c r="H607" s="376">
        <v>36840.796019900496</v>
      </c>
      <c r="I607" s="376">
        <v>31859.546291492508</v>
      </c>
      <c r="J607" s="378">
        <v>37545.15477103689</v>
      </c>
      <c r="K607" s="313"/>
      <c r="L607" s="313"/>
    </row>
    <row r="608" spans="1:12" x14ac:dyDescent="0.25">
      <c r="A608" s="364">
        <v>4382191</v>
      </c>
      <c r="B608" s="365" t="s">
        <v>332</v>
      </c>
      <c r="C608" s="365" t="s">
        <v>2442</v>
      </c>
      <c r="D608" s="365" t="str">
        <f t="shared" si="9"/>
        <v>4382191__ADM</v>
      </c>
      <c r="E608" s="365" t="s">
        <v>292</v>
      </c>
      <c r="F608" s="366">
        <v>93803</v>
      </c>
      <c r="G608" s="367">
        <v>6.7199999999999996E-2</v>
      </c>
      <c r="H608" s="366">
        <v>86808.331852641553</v>
      </c>
      <c r="I608" s="366">
        <v>20937.725837008096</v>
      </c>
      <c r="J608" s="368">
        <v>28476.54082450884</v>
      </c>
      <c r="K608" s="313"/>
      <c r="L608" s="313"/>
    </row>
    <row r="609" spans="1:12" x14ac:dyDescent="0.25">
      <c r="A609" s="369">
        <v>4382191</v>
      </c>
      <c r="B609" s="370" t="s">
        <v>332</v>
      </c>
      <c r="C609" s="370" t="s">
        <v>2443</v>
      </c>
      <c r="D609" s="370" t="str">
        <f>CONCATENATE(A609,"__",C609)</f>
        <v>4382191__MAN</v>
      </c>
      <c r="E609" s="370" t="s">
        <v>292</v>
      </c>
      <c r="F609" s="371">
        <v>0</v>
      </c>
      <c r="G609" s="372">
        <v>0</v>
      </c>
      <c r="H609" s="371">
        <v>0</v>
      </c>
      <c r="I609" s="371">
        <v>12271.856374583018</v>
      </c>
      <c r="J609" s="373">
        <v>20277.010289159494</v>
      </c>
      <c r="K609" s="313"/>
      <c r="L609" s="313"/>
    </row>
    <row r="610" spans="1:12" x14ac:dyDescent="0.25">
      <c r="A610" s="369">
        <v>4382191</v>
      </c>
      <c r="B610" s="370" t="s">
        <v>332</v>
      </c>
      <c r="C610" s="370" t="s">
        <v>2444</v>
      </c>
      <c r="D610" s="370" t="str">
        <f t="shared" ref="D610:D673" si="10">CONCATENATE(A610,"__",C610)</f>
        <v>4382191__PPPs</v>
      </c>
      <c r="E610" s="370" t="s">
        <v>292</v>
      </c>
      <c r="F610" s="371">
        <v>341375</v>
      </c>
      <c r="G610" s="372">
        <v>0.59840000000000004</v>
      </c>
      <c r="H610" s="371">
        <v>35477.587829568729</v>
      </c>
      <c r="I610" s="371">
        <v>30443.327137576063</v>
      </c>
      <c r="J610" s="373">
        <v>31127.953171467958</v>
      </c>
      <c r="K610" s="313"/>
      <c r="L610" s="313"/>
    </row>
    <row r="611" spans="1:12" x14ac:dyDescent="0.25">
      <c r="A611" s="369">
        <v>4382191</v>
      </c>
      <c r="B611" s="370" t="s">
        <v>332</v>
      </c>
      <c r="C611" s="370" t="s">
        <v>2445</v>
      </c>
      <c r="D611" s="370" t="str">
        <f t="shared" si="10"/>
        <v>4382191__PPPz</v>
      </c>
      <c r="E611" s="370" t="s">
        <v>292</v>
      </c>
      <c r="F611" s="371">
        <v>0</v>
      </c>
      <c r="G611" s="372">
        <v>0</v>
      </c>
      <c r="H611" s="371">
        <v>0</v>
      </c>
      <c r="I611" s="371">
        <v>11571.589230647987</v>
      </c>
      <c r="J611" s="373">
        <v>28744.797393220182</v>
      </c>
      <c r="K611" s="313"/>
      <c r="L611" s="313"/>
    </row>
    <row r="612" spans="1:12" ht="15.75" thickBot="1" x14ac:dyDescent="0.3">
      <c r="A612" s="374">
        <v>4382191</v>
      </c>
      <c r="B612" s="375" t="s">
        <v>332</v>
      </c>
      <c r="C612" s="375" t="s">
        <v>2446</v>
      </c>
      <c r="D612" s="375" t="str">
        <f t="shared" si="10"/>
        <v>4382191__VED</v>
      </c>
      <c r="E612" s="375" t="s">
        <v>292</v>
      </c>
      <c r="F612" s="376">
        <v>29781</v>
      </c>
      <c r="G612" s="377">
        <v>0.25840000000000002</v>
      </c>
      <c r="H612" s="376">
        <v>7167.3848251005029</v>
      </c>
      <c r="I612" s="376">
        <v>31859.546291492508</v>
      </c>
      <c r="J612" s="378">
        <v>37545.15477103689</v>
      </c>
      <c r="K612" s="313"/>
      <c r="L612" s="313"/>
    </row>
    <row r="613" spans="1:12" x14ac:dyDescent="0.25">
      <c r="A613" s="364">
        <v>5133257</v>
      </c>
      <c r="B613" s="365" t="s">
        <v>718</v>
      </c>
      <c r="C613" s="365" t="s">
        <v>2442</v>
      </c>
      <c r="D613" s="365" t="str">
        <f t="shared" si="10"/>
        <v>5133257__ADM</v>
      </c>
      <c r="E613" s="365" t="s">
        <v>292</v>
      </c>
      <c r="F613" s="366">
        <v>166282</v>
      </c>
      <c r="G613" s="367">
        <v>0.65</v>
      </c>
      <c r="H613" s="366">
        <v>15909.108304630692</v>
      </c>
      <c r="I613" s="366">
        <v>20937.725837008096</v>
      </c>
      <c r="J613" s="368">
        <v>28476.54082450884</v>
      </c>
      <c r="K613" s="313"/>
      <c r="L613" s="313"/>
    </row>
    <row r="614" spans="1:12" x14ac:dyDescent="0.25">
      <c r="A614" s="369">
        <v>5133257</v>
      </c>
      <c r="B614" s="370" t="s">
        <v>718</v>
      </c>
      <c r="C614" s="370" t="s">
        <v>2443</v>
      </c>
      <c r="D614" s="370" t="str">
        <f t="shared" si="10"/>
        <v>5133257__MAN</v>
      </c>
      <c r="E614" s="370" t="s">
        <v>292</v>
      </c>
      <c r="F614" s="371">
        <v>0</v>
      </c>
      <c r="G614" s="372">
        <v>0</v>
      </c>
      <c r="H614" s="371">
        <v>0</v>
      </c>
      <c r="I614" s="371">
        <v>12271.856374583018</v>
      </c>
      <c r="J614" s="373">
        <v>20277.010289159494</v>
      </c>
      <c r="K614" s="313"/>
      <c r="L614" s="313"/>
    </row>
    <row r="615" spans="1:12" x14ac:dyDescent="0.25">
      <c r="A615" s="369">
        <v>5133257</v>
      </c>
      <c r="B615" s="370" t="s">
        <v>718</v>
      </c>
      <c r="C615" s="370" t="s">
        <v>2444</v>
      </c>
      <c r="D615" s="370" t="str">
        <f t="shared" si="10"/>
        <v>5133257__PPPs</v>
      </c>
      <c r="E615" s="370" t="s">
        <v>292</v>
      </c>
      <c r="F615" s="371">
        <v>812687</v>
      </c>
      <c r="G615" s="372">
        <v>1.7634000000000001</v>
      </c>
      <c r="H615" s="371">
        <v>28660.676147446949</v>
      </c>
      <c r="I615" s="371">
        <v>30443.327137576063</v>
      </c>
      <c r="J615" s="373">
        <v>31127.953171467958</v>
      </c>
      <c r="K615" s="313"/>
      <c r="L615" s="313"/>
    </row>
    <row r="616" spans="1:12" x14ac:dyDescent="0.25">
      <c r="A616" s="369">
        <v>5133257</v>
      </c>
      <c r="B616" s="370" t="s">
        <v>718</v>
      </c>
      <c r="C616" s="370" t="s">
        <v>2445</v>
      </c>
      <c r="D616" s="370" t="str">
        <f t="shared" si="10"/>
        <v>5133257__PPPz</v>
      </c>
      <c r="E616" s="370" t="s">
        <v>292</v>
      </c>
      <c r="F616" s="371">
        <v>0</v>
      </c>
      <c r="G616" s="372">
        <v>0</v>
      </c>
      <c r="H616" s="371">
        <v>0</v>
      </c>
      <c r="I616" s="371">
        <v>11571.589230647987</v>
      </c>
      <c r="J616" s="373">
        <v>28744.797393220182</v>
      </c>
      <c r="K616" s="313"/>
      <c r="L616" s="313"/>
    </row>
    <row r="617" spans="1:12" ht="15.75" thickBot="1" x14ac:dyDescent="0.3">
      <c r="A617" s="374">
        <v>5133257</v>
      </c>
      <c r="B617" s="375" t="s">
        <v>718</v>
      </c>
      <c r="C617" s="375" t="s">
        <v>2446</v>
      </c>
      <c r="D617" s="375" t="str">
        <f t="shared" si="10"/>
        <v>5133257__VED</v>
      </c>
      <c r="E617" s="375" t="s">
        <v>292</v>
      </c>
      <c r="F617" s="376">
        <v>0</v>
      </c>
      <c r="G617" s="377">
        <v>0</v>
      </c>
      <c r="H617" s="376">
        <v>0</v>
      </c>
      <c r="I617" s="376">
        <v>31859.546291492508</v>
      </c>
      <c r="J617" s="378">
        <v>37545.15477103689</v>
      </c>
      <c r="K617" s="313"/>
      <c r="L617" s="313"/>
    </row>
    <row r="618" spans="1:12" x14ac:dyDescent="0.25">
      <c r="A618" s="364">
        <v>5646573</v>
      </c>
      <c r="B618" s="365" t="s">
        <v>396</v>
      </c>
      <c r="C618" s="365" t="s">
        <v>2442</v>
      </c>
      <c r="D618" s="386" t="str">
        <f t="shared" si="10"/>
        <v>5646573__ADM</v>
      </c>
      <c r="E618" s="365" t="s">
        <v>292</v>
      </c>
      <c r="F618" s="366">
        <v>97542</v>
      </c>
      <c r="G618" s="367">
        <v>0.25</v>
      </c>
      <c r="H618" s="366">
        <v>24264.179104477611</v>
      </c>
      <c r="I618" s="366">
        <v>20937.725837008096</v>
      </c>
      <c r="J618" s="368">
        <v>28476.54082450884</v>
      </c>
      <c r="K618" s="313"/>
      <c r="L618" s="313"/>
    </row>
    <row r="619" spans="1:12" x14ac:dyDescent="0.25">
      <c r="A619" s="369">
        <v>5646573</v>
      </c>
      <c r="B619" s="370" t="s">
        <v>396</v>
      </c>
      <c r="C619" s="370" t="s">
        <v>2443</v>
      </c>
      <c r="D619" s="370" t="str">
        <f t="shared" si="10"/>
        <v>5646573__MAN</v>
      </c>
      <c r="E619" s="370" t="s">
        <v>292</v>
      </c>
      <c r="F619" s="371">
        <v>0</v>
      </c>
      <c r="G619" s="372">
        <v>0</v>
      </c>
      <c r="H619" s="371">
        <v>0</v>
      </c>
      <c r="I619" s="371">
        <v>12271.856374583018</v>
      </c>
      <c r="J619" s="373">
        <v>20277.010289159494</v>
      </c>
      <c r="K619" s="313"/>
      <c r="L619" s="313"/>
    </row>
    <row r="620" spans="1:12" x14ac:dyDescent="0.25">
      <c r="A620" s="369">
        <v>5646573</v>
      </c>
      <c r="B620" s="370" t="s">
        <v>396</v>
      </c>
      <c r="C620" s="370" t="s">
        <v>2444</v>
      </c>
      <c r="D620" s="385" t="str">
        <f t="shared" si="10"/>
        <v>5646573__PPPs</v>
      </c>
      <c r="E620" s="370" t="s">
        <v>292</v>
      </c>
      <c r="F620" s="371">
        <v>918117</v>
      </c>
      <c r="G620" s="372">
        <v>2.1</v>
      </c>
      <c r="H620" s="371">
        <v>27188.965884861402</v>
      </c>
      <c r="I620" s="371">
        <v>30443.327137576063</v>
      </c>
      <c r="J620" s="373">
        <v>31127.953171467958</v>
      </c>
      <c r="K620" s="313"/>
      <c r="L620" s="313"/>
    </row>
    <row r="621" spans="1:12" x14ac:dyDescent="0.25">
      <c r="A621" s="369">
        <v>5646573</v>
      </c>
      <c r="B621" s="370" t="s">
        <v>396</v>
      </c>
      <c r="C621" s="370" t="s">
        <v>2445</v>
      </c>
      <c r="D621" s="370" t="str">
        <f t="shared" si="10"/>
        <v>5646573__PPPz</v>
      </c>
      <c r="E621" s="370" t="s">
        <v>292</v>
      </c>
      <c r="F621" s="371">
        <v>0</v>
      </c>
      <c r="G621" s="372">
        <v>0</v>
      </c>
      <c r="H621" s="371">
        <v>0</v>
      </c>
      <c r="I621" s="371">
        <v>11571.589230647987</v>
      </c>
      <c r="J621" s="373">
        <v>28744.797393220182</v>
      </c>
      <c r="K621" s="313"/>
      <c r="L621" s="313"/>
    </row>
    <row r="622" spans="1:12" ht="15.75" thickBot="1" x14ac:dyDescent="0.3">
      <c r="A622" s="374">
        <v>5646573</v>
      </c>
      <c r="B622" s="375" t="s">
        <v>396</v>
      </c>
      <c r="C622" s="375" t="s">
        <v>2446</v>
      </c>
      <c r="D622" s="375" t="str">
        <f t="shared" si="10"/>
        <v>5646573__VED</v>
      </c>
      <c r="E622" s="375" t="s">
        <v>292</v>
      </c>
      <c r="F622" s="376">
        <v>0</v>
      </c>
      <c r="G622" s="377">
        <v>0</v>
      </c>
      <c r="H622" s="376">
        <v>0</v>
      </c>
      <c r="I622" s="376">
        <v>31859.546291492508</v>
      </c>
      <c r="J622" s="378">
        <v>37545.15477103689</v>
      </c>
      <c r="K622" s="313"/>
      <c r="L622" s="313"/>
    </row>
    <row r="623" spans="1:12" x14ac:dyDescent="0.25">
      <c r="A623" s="364">
        <v>5700178</v>
      </c>
      <c r="B623" s="365" t="s">
        <v>979</v>
      </c>
      <c r="C623" s="365" t="s">
        <v>2442</v>
      </c>
      <c r="D623" s="365" t="str">
        <f t="shared" si="10"/>
        <v>5700178__ADM</v>
      </c>
      <c r="E623" s="365" t="s">
        <v>292</v>
      </c>
      <c r="F623" s="366">
        <v>21745</v>
      </c>
      <c r="G623" s="367">
        <v>0.1</v>
      </c>
      <c r="H623" s="366">
        <v>13523.009950248754</v>
      </c>
      <c r="I623" s="366">
        <v>20937.725837008096</v>
      </c>
      <c r="J623" s="368">
        <v>28476.54082450884</v>
      </c>
      <c r="K623" s="313"/>
      <c r="L623" s="313"/>
    </row>
    <row r="624" spans="1:12" x14ac:dyDescent="0.25">
      <c r="A624" s="369">
        <v>5700178</v>
      </c>
      <c r="B624" s="370" t="s">
        <v>979</v>
      </c>
      <c r="C624" s="370" t="s">
        <v>2443</v>
      </c>
      <c r="D624" s="370" t="str">
        <f t="shared" si="10"/>
        <v>5700178__MAN</v>
      </c>
      <c r="E624" s="370" t="s">
        <v>292</v>
      </c>
      <c r="F624" s="371">
        <v>0</v>
      </c>
      <c r="G624" s="372">
        <v>0</v>
      </c>
      <c r="H624" s="371">
        <v>0</v>
      </c>
      <c r="I624" s="371">
        <v>12271.856374583018</v>
      </c>
      <c r="J624" s="373">
        <v>20277.010289159494</v>
      </c>
      <c r="K624" s="313"/>
      <c r="L624" s="313"/>
    </row>
    <row r="625" spans="1:12" x14ac:dyDescent="0.25">
      <c r="A625" s="369">
        <v>5700178</v>
      </c>
      <c r="B625" s="370" t="s">
        <v>979</v>
      </c>
      <c r="C625" s="370" t="s">
        <v>2444</v>
      </c>
      <c r="D625" s="370" t="str">
        <f t="shared" si="10"/>
        <v>5700178__PPPs</v>
      </c>
      <c r="E625" s="370" t="s">
        <v>292</v>
      </c>
      <c r="F625" s="371">
        <v>579718</v>
      </c>
      <c r="G625" s="372">
        <v>1.25</v>
      </c>
      <c r="H625" s="371">
        <v>28841.691542288558</v>
      </c>
      <c r="I625" s="371">
        <v>30443.327137576063</v>
      </c>
      <c r="J625" s="373">
        <v>31127.953171467958</v>
      </c>
      <c r="K625" s="313"/>
      <c r="L625" s="313"/>
    </row>
    <row r="626" spans="1:12" x14ac:dyDescent="0.25">
      <c r="A626" s="369">
        <v>5700178</v>
      </c>
      <c r="B626" s="370" t="s">
        <v>979</v>
      </c>
      <c r="C626" s="370" t="s">
        <v>2445</v>
      </c>
      <c r="D626" s="370" t="str">
        <f t="shared" si="10"/>
        <v>5700178__PPPz</v>
      </c>
      <c r="E626" s="370" t="s">
        <v>292</v>
      </c>
      <c r="F626" s="371">
        <v>0</v>
      </c>
      <c r="G626" s="372">
        <v>0</v>
      </c>
      <c r="H626" s="371">
        <v>0</v>
      </c>
      <c r="I626" s="371">
        <v>11571.589230647987</v>
      </c>
      <c r="J626" s="373">
        <v>28744.797393220182</v>
      </c>
      <c r="K626" s="313"/>
      <c r="L626" s="313"/>
    </row>
    <row r="627" spans="1:12" ht="15.75" thickBot="1" x14ac:dyDescent="0.3">
      <c r="A627" s="374">
        <v>5700178</v>
      </c>
      <c r="B627" s="375" t="s">
        <v>979</v>
      </c>
      <c r="C627" s="375" t="s">
        <v>2446</v>
      </c>
      <c r="D627" s="375" t="str">
        <f t="shared" si="10"/>
        <v>5700178__VED</v>
      </c>
      <c r="E627" s="375" t="s">
        <v>292</v>
      </c>
      <c r="F627" s="376">
        <v>117531</v>
      </c>
      <c r="G627" s="377">
        <v>0.2</v>
      </c>
      <c r="H627" s="376">
        <v>36545.708955223876</v>
      </c>
      <c r="I627" s="376">
        <v>31859.546291492508</v>
      </c>
      <c r="J627" s="378">
        <v>37545.15477103689</v>
      </c>
      <c r="K627" s="313"/>
      <c r="L627" s="313"/>
    </row>
    <row r="628" spans="1:12" x14ac:dyDescent="0.25">
      <c r="A628" s="364">
        <v>5792625</v>
      </c>
      <c r="B628" s="365" t="s">
        <v>312</v>
      </c>
      <c r="C628" s="365" t="s">
        <v>2442</v>
      </c>
      <c r="D628" s="365" t="str">
        <f t="shared" si="10"/>
        <v>5792625__ADM</v>
      </c>
      <c r="E628" s="365" t="s">
        <v>292</v>
      </c>
      <c r="F628" s="366">
        <v>9054</v>
      </c>
      <c r="G628" s="367">
        <v>0.625</v>
      </c>
      <c r="H628" s="366">
        <v>900.8955223880597</v>
      </c>
      <c r="I628" s="366">
        <v>20937.725837008096</v>
      </c>
      <c r="J628" s="368">
        <v>28476.54082450884</v>
      </c>
      <c r="K628" s="313"/>
      <c r="L628" s="313"/>
    </row>
    <row r="629" spans="1:12" x14ac:dyDescent="0.25">
      <c r="A629" s="369">
        <v>5792625</v>
      </c>
      <c r="B629" s="370" t="s">
        <v>312</v>
      </c>
      <c r="C629" s="370" t="s">
        <v>2443</v>
      </c>
      <c r="D629" s="370" t="str">
        <f t="shared" si="10"/>
        <v>5792625__MAN</v>
      </c>
      <c r="E629" s="370" t="s">
        <v>292</v>
      </c>
      <c r="F629" s="371">
        <v>0</v>
      </c>
      <c r="G629" s="372">
        <v>0</v>
      </c>
      <c r="H629" s="371">
        <v>0</v>
      </c>
      <c r="I629" s="371">
        <v>12271.856374583018</v>
      </c>
      <c r="J629" s="373">
        <v>20277.010289159494</v>
      </c>
      <c r="K629" s="313"/>
      <c r="L629" s="313"/>
    </row>
    <row r="630" spans="1:12" x14ac:dyDescent="0.25">
      <c r="A630" s="369">
        <v>5792625</v>
      </c>
      <c r="B630" s="370" t="s">
        <v>312</v>
      </c>
      <c r="C630" s="370" t="s">
        <v>2444</v>
      </c>
      <c r="D630" s="370" t="str">
        <f t="shared" si="10"/>
        <v>5792625__PPPs</v>
      </c>
      <c r="E630" s="370" t="s">
        <v>292</v>
      </c>
      <c r="F630" s="371">
        <v>1280118</v>
      </c>
      <c r="G630" s="372">
        <v>1.8</v>
      </c>
      <c r="H630" s="371">
        <v>44227.404643449416</v>
      </c>
      <c r="I630" s="371">
        <v>30443.327137576063</v>
      </c>
      <c r="J630" s="373">
        <v>31127.953171467958</v>
      </c>
      <c r="K630" s="313"/>
      <c r="L630" s="313"/>
    </row>
    <row r="631" spans="1:12" x14ac:dyDescent="0.25">
      <c r="A631" s="369">
        <v>5792625</v>
      </c>
      <c r="B631" s="370" t="s">
        <v>312</v>
      </c>
      <c r="C631" s="370" t="s">
        <v>2445</v>
      </c>
      <c r="D631" s="370" t="str">
        <f t="shared" si="10"/>
        <v>5792625__PPPz</v>
      </c>
      <c r="E631" s="370" t="s">
        <v>292</v>
      </c>
      <c r="F631" s="371">
        <v>0</v>
      </c>
      <c r="G631" s="372">
        <v>0</v>
      </c>
      <c r="H631" s="371">
        <v>0</v>
      </c>
      <c r="I631" s="371">
        <v>11571.589230647987</v>
      </c>
      <c r="J631" s="373">
        <v>28744.797393220182</v>
      </c>
      <c r="K631" s="313"/>
      <c r="L631" s="313"/>
    </row>
    <row r="632" spans="1:12" ht="15.75" thickBot="1" x14ac:dyDescent="0.3">
      <c r="A632" s="374">
        <v>5792625</v>
      </c>
      <c r="B632" s="375" t="s">
        <v>312</v>
      </c>
      <c r="C632" s="375" t="s">
        <v>2446</v>
      </c>
      <c r="D632" s="375" t="str">
        <f t="shared" si="10"/>
        <v>5792625__VED</v>
      </c>
      <c r="E632" s="375" t="s">
        <v>292</v>
      </c>
      <c r="F632" s="376">
        <v>14810</v>
      </c>
      <c r="G632" s="377">
        <v>2.5000000000000001E-2</v>
      </c>
      <c r="H632" s="376">
        <v>36840.796019900496</v>
      </c>
      <c r="I632" s="376">
        <v>31859.546291492508</v>
      </c>
      <c r="J632" s="378">
        <v>37545.15477103689</v>
      </c>
      <c r="K632" s="313"/>
      <c r="L632" s="313"/>
    </row>
    <row r="633" spans="1:12" x14ac:dyDescent="0.25">
      <c r="A633" s="364">
        <v>5903063</v>
      </c>
      <c r="B633" s="365" t="s">
        <v>776</v>
      </c>
      <c r="C633" s="365" t="s">
        <v>2442</v>
      </c>
      <c r="D633" s="365" t="str">
        <f t="shared" si="10"/>
        <v>5903063__ADM</v>
      </c>
      <c r="E633" s="365" t="s">
        <v>292</v>
      </c>
      <c r="F633" s="366">
        <v>100400</v>
      </c>
      <c r="G633" s="367">
        <v>0.161</v>
      </c>
      <c r="H633" s="366">
        <v>38781.249034331442</v>
      </c>
      <c r="I633" s="366">
        <v>20937.725837008096</v>
      </c>
      <c r="J633" s="368">
        <v>28476.54082450884</v>
      </c>
      <c r="K633" s="313"/>
      <c r="L633" s="313"/>
    </row>
    <row r="634" spans="1:12" x14ac:dyDescent="0.25">
      <c r="A634" s="369">
        <v>5903063</v>
      </c>
      <c r="B634" s="370" t="s">
        <v>776</v>
      </c>
      <c r="C634" s="370" t="s">
        <v>2443</v>
      </c>
      <c r="D634" s="370" t="str">
        <f t="shared" si="10"/>
        <v>5903063__MAN</v>
      </c>
      <c r="E634" s="370" t="s">
        <v>292</v>
      </c>
      <c r="F634" s="371">
        <v>0</v>
      </c>
      <c r="G634" s="372">
        <v>0</v>
      </c>
      <c r="H634" s="371">
        <v>0</v>
      </c>
      <c r="I634" s="371">
        <v>12271.856374583018</v>
      </c>
      <c r="J634" s="373">
        <v>20277.010289159494</v>
      </c>
      <c r="K634" s="313"/>
      <c r="L634" s="313"/>
    </row>
    <row r="635" spans="1:12" x14ac:dyDescent="0.25">
      <c r="A635" s="369">
        <v>5903063</v>
      </c>
      <c r="B635" s="370" t="s">
        <v>776</v>
      </c>
      <c r="C635" s="370" t="s">
        <v>2444</v>
      </c>
      <c r="D635" s="370" t="str">
        <f t="shared" si="10"/>
        <v>5903063__PPPs</v>
      </c>
      <c r="E635" s="370" t="s">
        <v>292</v>
      </c>
      <c r="F635" s="371">
        <v>432265</v>
      </c>
      <c r="G635" s="372">
        <v>0.91</v>
      </c>
      <c r="H635" s="371">
        <v>29540.826089333546</v>
      </c>
      <c r="I635" s="371">
        <v>30443.327137576063</v>
      </c>
      <c r="J635" s="373">
        <v>31127.953171467958</v>
      </c>
      <c r="K635" s="313"/>
      <c r="L635" s="313"/>
    </row>
    <row r="636" spans="1:12" x14ac:dyDescent="0.25">
      <c r="A636" s="369">
        <v>5903063</v>
      </c>
      <c r="B636" s="370" t="s">
        <v>776</v>
      </c>
      <c r="C636" s="370" t="s">
        <v>2445</v>
      </c>
      <c r="D636" s="370" t="str">
        <f t="shared" si="10"/>
        <v>5903063__PPPz</v>
      </c>
      <c r="E636" s="370" t="s">
        <v>292</v>
      </c>
      <c r="F636" s="371">
        <v>78308</v>
      </c>
      <c r="G636" s="372">
        <v>0.11559999999999999</v>
      </c>
      <c r="H636" s="371">
        <v>42127.166933498593</v>
      </c>
      <c r="I636" s="371">
        <v>11571.589230647987</v>
      </c>
      <c r="J636" s="373">
        <v>28744.797393220182</v>
      </c>
      <c r="K636" s="313"/>
      <c r="L636" s="313"/>
    </row>
    <row r="637" spans="1:12" ht="15.75" thickBot="1" x14ac:dyDescent="0.3">
      <c r="A637" s="374">
        <v>5903063</v>
      </c>
      <c r="B637" s="375" t="s">
        <v>776</v>
      </c>
      <c r="C637" s="375" t="s">
        <v>2446</v>
      </c>
      <c r="D637" s="375" t="str">
        <f t="shared" si="10"/>
        <v>5903063__VED</v>
      </c>
      <c r="E637" s="375" t="s">
        <v>292</v>
      </c>
      <c r="F637" s="376">
        <v>19302</v>
      </c>
      <c r="G637" s="377">
        <v>7.4200000000000002E-2</v>
      </c>
      <c r="H637" s="376">
        <v>16177.535503077603</v>
      </c>
      <c r="I637" s="376">
        <v>31859.546291492508</v>
      </c>
      <c r="J637" s="378">
        <v>37545.15477103689</v>
      </c>
      <c r="K637" s="313"/>
      <c r="L637" s="313"/>
    </row>
    <row r="638" spans="1:12" x14ac:dyDescent="0.25">
      <c r="A638" s="364">
        <v>6191102</v>
      </c>
      <c r="B638" s="365" t="s">
        <v>312</v>
      </c>
      <c r="C638" s="365" t="s">
        <v>2442</v>
      </c>
      <c r="D638" s="365" t="str">
        <f t="shared" si="10"/>
        <v>6191102__ADM</v>
      </c>
      <c r="E638" s="365" t="s">
        <v>292</v>
      </c>
      <c r="F638" s="366">
        <v>62590</v>
      </c>
      <c r="G638" s="367">
        <v>2.5000000000000001E-2</v>
      </c>
      <c r="H638" s="366">
        <v>155696.51741293533</v>
      </c>
      <c r="I638" s="366">
        <v>20937.725837008096</v>
      </c>
      <c r="J638" s="368">
        <v>28476.54082450884</v>
      </c>
      <c r="K638" s="313"/>
      <c r="L638" s="313"/>
    </row>
    <row r="639" spans="1:12" x14ac:dyDescent="0.25">
      <c r="A639" s="369">
        <v>6191102</v>
      </c>
      <c r="B639" s="370" t="s">
        <v>312</v>
      </c>
      <c r="C639" s="370" t="s">
        <v>2443</v>
      </c>
      <c r="D639" s="370" t="str">
        <f t="shared" si="10"/>
        <v>6191102__MAN</v>
      </c>
      <c r="E639" s="370" t="s">
        <v>292</v>
      </c>
      <c r="F639" s="371">
        <v>0</v>
      </c>
      <c r="G639" s="372">
        <v>0</v>
      </c>
      <c r="H639" s="371">
        <v>0</v>
      </c>
      <c r="I639" s="371">
        <v>12271.856374583018</v>
      </c>
      <c r="J639" s="373">
        <v>20277.010289159494</v>
      </c>
      <c r="K639" s="313"/>
      <c r="L639" s="313"/>
    </row>
    <row r="640" spans="1:12" x14ac:dyDescent="0.25">
      <c r="A640" s="369">
        <v>6191102</v>
      </c>
      <c r="B640" s="370" t="s">
        <v>312</v>
      </c>
      <c r="C640" s="370" t="s">
        <v>2444</v>
      </c>
      <c r="D640" s="370" t="str">
        <f t="shared" si="10"/>
        <v>6191102__PPPs</v>
      </c>
      <c r="E640" s="370" t="s">
        <v>292</v>
      </c>
      <c r="F640" s="371">
        <v>0</v>
      </c>
      <c r="G640" s="372">
        <v>0</v>
      </c>
      <c r="H640" s="371">
        <v>0</v>
      </c>
      <c r="I640" s="371">
        <v>30443.327137576063</v>
      </c>
      <c r="J640" s="373">
        <v>31127.953171467958</v>
      </c>
      <c r="K640" s="313"/>
      <c r="L640" s="313"/>
    </row>
    <row r="641" spans="1:12" x14ac:dyDescent="0.25">
      <c r="A641" s="369">
        <v>6191102</v>
      </c>
      <c r="B641" s="370" t="s">
        <v>312</v>
      </c>
      <c r="C641" s="370" t="s">
        <v>2445</v>
      </c>
      <c r="D641" s="370" t="str">
        <f t="shared" si="10"/>
        <v>6191102__PPPz</v>
      </c>
      <c r="E641" s="370" t="s">
        <v>292</v>
      </c>
      <c r="F641" s="371">
        <v>1</v>
      </c>
      <c r="G641" s="372">
        <v>0.1</v>
      </c>
      <c r="H641" s="371">
        <v>0.62189054726368154</v>
      </c>
      <c r="I641" s="371">
        <v>11571.589230647987</v>
      </c>
      <c r="J641" s="373">
        <v>28744.797393220182</v>
      </c>
      <c r="K641" s="313"/>
      <c r="L641" s="313"/>
    </row>
    <row r="642" spans="1:12" ht="15.75" thickBot="1" x14ac:dyDescent="0.3">
      <c r="A642" s="374">
        <v>6191102</v>
      </c>
      <c r="B642" s="375" t="s">
        <v>312</v>
      </c>
      <c r="C642" s="375" t="s">
        <v>2446</v>
      </c>
      <c r="D642" s="375" t="str">
        <f t="shared" si="10"/>
        <v>6191102__VED</v>
      </c>
      <c r="E642" s="375" t="s">
        <v>292</v>
      </c>
      <c r="F642" s="376">
        <v>14809</v>
      </c>
      <c r="G642" s="377">
        <v>2.5000000000000001E-2</v>
      </c>
      <c r="H642" s="376">
        <v>36838.308457711442</v>
      </c>
      <c r="I642" s="376">
        <v>31859.546291492508</v>
      </c>
      <c r="J642" s="378">
        <v>37545.15477103689</v>
      </c>
      <c r="K642" s="313"/>
      <c r="L642" s="313"/>
    </row>
    <row r="643" spans="1:12" x14ac:dyDescent="0.25">
      <c r="A643" s="364">
        <v>6466112</v>
      </c>
      <c r="B643" s="365" t="s">
        <v>760</v>
      </c>
      <c r="C643" s="365" t="s">
        <v>2442</v>
      </c>
      <c r="D643" s="365" t="str">
        <f t="shared" si="10"/>
        <v>6466112__ADM</v>
      </c>
      <c r="E643" s="365" t="s">
        <v>292</v>
      </c>
      <c r="F643" s="366">
        <v>149615</v>
      </c>
      <c r="G643" s="367">
        <v>0.21</v>
      </c>
      <c r="H643" s="366">
        <v>44306.740108978913</v>
      </c>
      <c r="I643" s="366">
        <v>20937.725837008096</v>
      </c>
      <c r="J643" s="368">
        <v>28476.54082450884</v>
      </c>
      <c r="K643" s="313"/>
      <c r="L643" s="313"/>
    </row>
    <row r="644" spans="1:12" x14ac:dyDescent="0.25">
      <c r="A644" s="369">
        <v>6466112</v>
      </c>
      <c r="B644" s="370" t="s">
        <v>760</v>
      </c>
      <c r="C644" s="370" t="s">
        <v>2443</v>
      </c>
      <c r="D644" s="370" t="str">
        <f t="shared" si="10"/>
        <v>6466112__MAN</v>
      </c>
      <c r="E644" s="370" t="s">
        <v>292</v>
      </c>
      <c r="F644" s="371">
        <v>0</v>
      </c>
      <c r="G644" s="372">
        <v>0</v>
      </c>
      <c r="H644" s="371">
        <v>0</v>
      </c>
      <c r="I644" s="371">
        <v>12271.856374583018</v>
      </c>
      <c r="J644" s="373">
        <v>20277.010289159494</v>
      </c>
      <c r="K644" s="313"/>
      <c r="L644" s="313"/>
    </row>
    <row r="645" spans="1:12" x14ac:dyDescent="0.25">
      <c r="A645" s="369">
        <v>6466112</v>
      </c>
      <c r="B645" s="370" t="s">
        <v>760</v>
      </c>
      <c r="C645" s="370" t="s">
        <v>2444</v>
      </c>
      <c r="D645" s="370" t="str">
        <f t="shared" si="10"/>
        <v>6466112__PPPs</v>
      </c>
      <c r="E645" s="370" t="s">
        <v>292</v>
      </c>
      <c r="F645" s="371">
        <v>236639</v>
      </c>
      <c r="G645" s="372">
        <v>0.45219999999999999</v>
      </c>
      <c r="H645" s="371">
        <v>32543.90915832161</v>
      </c>
      <c r="I645" s="371">
        <v>30443.327137576063</v>
      </c>
      <c r="J645" s="373">
        <v>31127.953171467958</v>
      </c>
      <c r="K645" s="313"/>
      <c r="L645" s="313"/>
    </row>
    <row r="646" spans="1:12" x14ac:dyDescent="0.25">
      <c r="A646" s="369">
        <v>6466112</v>
      </c>
      <c r="B646" s="370" t="s">
        <v>760</v>
      </c>
      <c r="C646" s="370" t="s">
        <v>2445</v>
      </c>
      <c r="D646" s="370" t="str">
        <f t="shared" si="10"/>
        <v>6466112__PPPz</v>
      </c>
      <c r="E646" s="370" t="s">
        <v>292</v>
      </c>
      <c r="F646" s="371">
        <v>0</v>
      </c>
      <c r="G646" s="372">
        <v>0</v>
      </c>
      <c r="H646" s="371">
        <v>0</v>
      </c>
      <c r="I646" s="371">
        <v>11571.589230647987</v>
      </c>
      <c r="J646" s="373">
        <v>28744.797393220182</v>
      </c>
      <c r="K646" s="313"/>
      <c r="L646" s="313"/>
    </row>
    <row r="647" spans="1:12" ht="15.75" thickBot="1" x14ac:dyDescent="0.3">
      <c r="A647" s="374">
        <v>6466112</v>
      </c>
      <c r="B647" s="375" t="s">
        <v>760</v>
      </c>
      <c r="C647" s="375" t="s">
        <v>2446</v>
      </c>
      <c r="D647" s="375" t="str">
        <f t="shared" si="10"/>
        <v>6466112__VED</v>
      </c>
      <c r="E647" s="375" t="s">
        <v>292</v>
      </c>
      <c r="F647" s="376">
        <v>104649</v>
      </c>
      <c r="G647" s="377">
        <v>0.2</v>
      </c>
      <c r="H647" s="376">
        <v>32540.111940298506</v>
      </c>
      <c r="I647" s="376">
        <v>31859.546291492508</v>
      </c>
      <c r="J647" s="378">
        <v>37545.15477103689</v>
      </c>
      <c r="K647" s="313"/>
      <c r="L647" s="313"/>
    </row>
    <row r="648" spans="1:12" x14ac:dyDescent="0.25">
      <c r="A648" s="364">
        <v>6565086</v>
      </c>
      <c r="B648" s="365" t="s">
        <v>290</v>
      </c>
      <c r="C648" s="365" t="s">
        <v>2442</v>
      </c>
      <c r="D648" s="365" t="str">
        <f t="shared" si="10"/>
        <v>6565086__ADM</v>
      </c>
      <c r="E648" s="365" t="s">
        <v>292</v>
      </c>
      <c r="F648" s="366">
        <v>712311</v>
      </c>
      <c r="G648" s="367">
        <v>3</v>
      </c>
      <c r="H648" s="366">
        <v>14765.982587064676</v>
      </c>
      <c r="I648" s="366">
        <v>20937.725837008096</v>
      </c>
      <c r="J648" s="368">
        <v>28476.54082450884</v>
      </c>
      <c r="K648" s="313"/>
      <c r="L648" s="313"/>
    </row>
    <row r="649" spans="1:12" x14ac:dyDescent="0.25">
      <c r="A649" s="369">
        <v>6565086</v>
      </c>
      <c r="B649" s="370" t="s">
        <v>290</v>
      </c>
      <c r="C649" s="370" t="s">
        <v>2443</v>
      </c>
      <c r="D649" s="370" t="str">
        <f t="shared" si="10"/>
        <v>6565086__MAN</v>
      </c>
      <c r="E649" s="370" t="s">
        <v>292</v>
      </c>
      <c r="F649" s="371">
        <v>127776</v>
      </c>
      <c r="G649" s="372">
        <v>0.5</v>
      </c>
      <c r="H649" s="371">
        <v>15892.537313432835</v>
      </c>
      <c r="I649" s="371">
        <v>12271.856374583018</v>
      </c>
      <c r="J649" s="373">
        <v>20277.010289159494</v>
      </c>
      <c r="K649" s="313"/>
      <c r="L649" s="313"/>
    </row>
    <row r="650" spans="1:12" x14ac:dyDescent="0.25">
      <c r="A650" s="369">
        <v>6565086</v>
      </c>
      <c r="B650" s="370" t="s">
        <v>290</v>
      </c>
      <c r="C650" s="370" t="s">
        <v>2444</v>
      </c>
      <c r="D650" s="370" t="str">
        <f t="shared" si="10"/>
        <v>6565086__PPPs</v>
      </c>
      <c r="E650" s="370" t="s">
        <v>292</v>
      </c>
      <c r="F650" s="371">
        <v>2248724</v>
      </c>
      <c r="G650" s="372">
        <v>5</v>
      </c>
      <c r="H650" s="371">
        <v>27969.203980099497</v>
      </c>
      <c r="I650" s="371">
        <v>30443.327137576063</v>
      </c>
      <c r="J650" s="373">
        <v>31127.953171467958</v>
      </c>
      <c r="K650" s="313"/>
      <c r="L650" s="313"/>
    </row>
    <row r="651" spans="1:12" x14ac:dyDescent="0.25">
      <c r="A651" s="369">
        <v>6565086</v>
      </c>
      <c r="B651" s="370" t="s">
        <v>290</v>
      </c>
      <c r="C651" s="370" t="s">
        <v>2445</v>
      </c>
      <c r="D651" s="370" t="str">
        <f t="shared" si="10"/>
        <v>6565086__PPPz</v>
      </c>
      <c r="E651" s="370" t="s">
        <v>292</v>
      </c>
      <c r="F651" s="371">
        <v>0</v>
      </c>
      <c r="G651" s="372">
        <v>0</v>
      </c>
      <c r="H651" s="371">
        <v>0</v>
      </c>
      <c r="I651" s="371">
        <v>11571.589230647987</v>
      </c>
      <c r="J651" s="373">
        <v>28744.797393220182</v>
      </c>
      <c r="K651" s="313"/>
      <c r="L651" s="313"/>
    </row>
    <row r="652" spans="1:12" ht="15.75" thickBot="1" x14ac:dyDescent="0.3">
      <c r="A652" s="374">
        <v>6565086</v>
      </c>
      <c r="B652" s="375" t="s">
        <v>290</v>
      </c>
      <c r="C652" s="375" t="s">
        <v>2446</v>
      </c>
      <c r="D652" s="375" t="str">
        <f t="shared" si="10"/>
        <v>6565086__VED</v>
      </c>
      <c r="E652" s="375" t="s">
        <v>292</v>
      </c>
      <c r="F652" s="376">
        <v>0</v>
      </c>
      <c r="G652" s="377">
        <v>0</v>
      </c>
      <c r="H652" s="376">
        <v>0</v>
      </c>
      <c r="I652" s="376">
        <v>31859.546291492508</v>
      </c>
      <c r="J652" s="378">
        <v>37545.15477103689</v>
      </c>
      <c r="K652" s="313"/>
      <c r="L652" s="313"/>
    </row>
    <row r="653" spans="1:12" x14ac:dyDescent="0.25">
      <c r="A653" s="364">
        <v>6698987</v>
      </c>
      <c r="B653" s="365" t="s">
        <v>842</v>
      </c>
      <c r="C653" s="365" t="s">
        <v>2442</v>
      </c>
      <c r="D653" s="365" t="str">
        <f t="shared" si="10"/>
        <v>6698987__ADM</v>
      </c>
      <c r="E653" s="365" t="s">
        <v>292</v>
      </c>
      <c r="F653" s="366">
        <v>68710</v>
      </c>
      <c r="G653" s="367">
        <v>0.15</v>
      </c>
      <c r="H653" s="366">
        <v>28486.733001658376</v>
      </c>
      <c r="I653" s="366">
        <v>20937.725837008096</v>
      </c>
      <c r="J653" s="368">
        <v>28476.54082450884</v>
      </c>
      <c r="K653" s="313"/>
      <c r="L653" s="313"/>
    </row>
    <row r="654" spans="1:12" x14ac:dyDescent="0.25">
      <c r="A654" s="369">
        <v>6698987</v>
      </c>
      <c r="B654" s="370" t="s">
        <v>842</v>
      </c>
      <c r="C654" s="370" t="s">
        <v>2443</v>
      </c>
      <c r="D654" s="370" t="str">
        <f t="shared" si="10"/>
        <v>6698987__MAN</v>
      </c>
      <c r="E654" s="370" t="s">
        <v>292</v>
      </c>
      <c r="F654" s="371">
        <v>0</v>
      </c>
      <c r="G654" s="372">
        <v>0</v>
      </c>
      <c r="H654" s="371">
        <v>0</v>
      </c>
      <c r="I654" s="371">
        <v>12271.856374583018</v>
      </c>
      <c r="J654" s="373">
        <v>20277.010289159494</v>
      </c>
      <c r="K654" s="313"/>
      <c r="L654" s="313"/>
    </row>
    <row r="655" spans="1:12" x14ac:dyDescent="0.25">
      <c r="A655" s="369">
        <v>6698987</v>
      </c>
      <c r="B655" s="370" t="s">
        <v>842</v>
      </c>
      <c r="C655" s="370" t="s">
        <v>2444</v>
      </c>
      <c r="D655" s="370" t="str">
        <f t="shared" si="10"/>
        <v>6698987__PPPs</v>
      </c>
      <c r="E655" s="370" t="s">
        <v>292</v>
      </c>
      <c r="F655" s="371">
        <v>486942</v>
      </c>
      <c r="G655" s="372">
        <v>1.04</v>
      </c>
      <c r="H655" s="371">
        <v>29117.752583237656</v>
      </c>
      <c r="I655" s="371">
        <v>30443.327137576063</v>
      </c>
      <c r="J655" s="373">
        <v>31127.953171467958</v>
      </c>
      <c r="K655" s="313"/>
      <c r="L655" s="313"/>
    </row>
    <row r="656" spans="1:12" x14ac:dyDescent="0.25">
      <c r="A656" s="369">
        <v>6698987</v>
      </c>
      <c r="B656" s="370" t="s">
        <v>842</v>
      </c>
      <c r="C656" s="370" t="s">
        <v>2445</v>
      </c>
      <c r="D656" s="370" t="str">
        <f t="shared" si="10"/>
        <v>6698987__PPPz</v>
      </c>
      <c r="E656" s="370" t="s">
        <v>292</v>
      </c>
      <c r="F656" s="371">
        <v>0</v>
      </c>
      <c r="G656" s="372">
        <v>0</v>
      </c>
      <c r="H656" s="371">
        <v>0</v>
      </c>
      <c r="I656" s="371">
        <v>11571.589230647987</v>
      </c>
      <c r="J656" s="373">
        <v>28744.797393220182</v>
      </c>
      <c r="K656" s="313"/>
      <c r="L656" s="313"/>
    </row>
    <row r="657" spans="1:12" ht="15.75" thickBot="1" x14ac:dyDescent="0.3">
      <c r="A657" s="374">
        <v>6698987</v>
      </c>
      <c r="B657" s="375" t="s">
        <v>842</v>
      </c>
      <c r="C657" s="375" t="s">
        <v>2446</v>
      </c>
      <c r="D657" s="375" t="str">
        <f t="shared" si="10"/>
        <v>6698987__VED</v>
      </c>
      <c r="E657" s="375" t="s">
        <v>292</v>
      </c>
      <c r="F657" s="376">
        <v>0</v>
      </c>
      <c r="G657" s="377">
        <v>0</v>
      </c>
      <c r="H657" s="376">
        <v>0</v>
      </c>
      <c r="I657" s="376">
        <v>31859.546291492508</v>
      </c>
      <c r="J657" s="378">
        <v>37545.15477103689</v>
      </c>
      <c r="K657" s="313"/>
      <c r="L657" s="313"/>
    </row>
    <row r="658" spans="1:12" x14ac:dyDescent="0.25">
      <c r="A658" s="364">
        <v>6811251</v>
      </c>
      <c r="B658" s="365" t="s">
        <v>979</v>
      </c>
      <c r="C658" s="365" t="s">
        <v>2442</v>
      </c>
      <c r="D658" s="365" t="str">
        <f t="shared" si="10"/>
        <v>6811251__ADM</v>
      </c>
      <c r="E658" s="365" t="s">
        <v>292</v>
      </c>
      <c r="F658" s="366">
        <v>12211</v>
      </c>
      <c r="G658" s="367">
        <v>0.05</v>
      </c>
      <c r="H658" s="366">
        <v>15187.810945273632</v>
      </c>
      <c r="I658" s="366">
        <v>20937.725837008096</v>
      </c>
      <c r="J658" s="368">
        <v>28476.54082450884</v>
      </c>
      <c r="K658" s="313"/>
      <c r="L658" s="313"/>
    </row>
    <row r="659" spans="1:12" x14ac:dyDescent="0.25">
      <c r="A659" s="369">
        <v>6811251</v>
      </c>
      <c r="B659" s="370" t="s">
        <v>979</v>
      </c>
      <c r="C659" s="370" t="s">
        <v>2443</v>
      </c>
      <c r="D659" s="370" t="str">
        <f t="shared" si="10"/>
        <v>6811251__MAN</v>
      </c>
      <c r="E659" s="370" t="s">
        <v>292</v>
      </c>
      <c r="F659" s="371">
        <v>0</v>
      </c>
      <c r="G659" s="372">
        <v>0</v>
      </c>
      <c r="H659" s="371">
        <v>0</v>
      </c>
      <c r="I659" s="371">
        <v>12271.856374583018</v>
      </c>
      <c r="J659" s="373">
        <v>20277.010289159494</v>
      </c>
      <c r="K659" s="313"/>
      <c r="L659" s="313"/>
    </row>
    <row r="660" spans="1:12" x14ac:dyDescent="0.25">
      <c r="A660" s="369">
        <v>6811251</v>
      </c>
      <c r="B660" s="370" t="s">
        <v>979</v>
      </c>
      <c r="C660" s="370" t="s">
        <v>2444</v>
      </c>
      <c r="D660" s="370" t="str">
        <f t="shared" si="10"/>
        <v>6811251__PPPs</v>
      </c>
      <c r="E660" s="370" t="s">
        <v>292</v>
      </c>
      <c r="F660" s="371">
        <v>280932</v>
      </c>
      <c r="G660" s="372">
        <v>0.6</v>
      </c>
      <c r="H660" s="371">
        <v>29118.1592039801</v>
      </c>
      <c r="I660" s="371">
        <v>30443.327137576063</v>
      </c>
      <c r="J660" s="373">
        <v>31127.953171467958</v>
      </c>
      <c r="K660" s="313"/>
      <c r="L660" s="313"/>
    </row>
    <row r="661" spans="1:12" x14ac:dyDescent="0.25">
      <c r="A661" s="369">
        <v>6811251</v>
      </c>
      <c r="B661" s="370" t="s">
        <v>979</v>
      </c>
      <c r="C661" s="370" t="s">
        <v>2445</v>
      </c>
      <c r="D661" s="370" t="str">
        <f t="shared" si="10"/>
        <v>6811251__PPPz</v>
      </c>
      <c r="E661" s="370" t="s">
        <v>292</v>
      </c>
      <c r="F661" s="371">
        <v>0</v>
      </c>
      <c r="G661" s="372">
        <v>0</v>
      </c>
      <c r="H661" s="371">
        <v>0</v>
      </c>
      <c r="I661" s="371">
        <v>11571.589230647987</v>
      </c>
      <c r="J661" s="373">
        <v>28744.797393220182</v>
      </c>
      <c r="K661" s="313"/>
      <c r="L661" s="313"/>
    </row>
    <row r="662" spans="1:12" ht="15.75" thickBot="1" x14ac:dyDescent="0.3">
      <c r="A662" s="374">
        <v>6811251</v>
      </c>
      <c r="B662" s="375" t="s">
        <v>979</v>
      </c>
      <c r="C662" s="375" t="s">
        <v>2446</v>
      </c>
      <c r="D662" s="375" t="str">
        <f t="shared" si="10"/>
        <v>6811251__VED</v>
      </c>
      <c r="E662" s="375" t="s">
        <v>292</v>
      </c>
      <c r="F662" s="376">
        <v>57430</v>
      </c>
      <c r="G662" s="377">
        <v>0.1</v>
      </c>
      <c r="H662" s="376">
        <v>35715.174129353232</v>
      </c>
      <c r="I662" s="376">
        <v>31859.546291492508</v>
      </c>
      <c r="J662" s="378">
        <v>37545.15477103689</v>
      </c>
      <c r="K662" s="313"/>
      <c r="L662" s="313"/>
    </row>
    <row r="663" spans="1:12" x14ac:dyDescent="0.25">
      <c r="A663" s="364">
        <v>7634996</v>
      </c>
      <c r="B663" s="365" t="s">
        <v>553</v>
      </c>
      <c r="C663" s="365" t="s">
        <v>2442</v>
      </c>
      <c r="D663" s="365" t="str">
        <f t="shared" si="10"/>
        <v>7634996__ADM</v>
      </c>
      <c r="E663" s="365" t="s">
        <v>292</v>
      </c>
      <c r="F663" s="366">
        <v>94248</v>
      </c>
      <c r="G663" s="367">
        <v>0.28610000000000002</v>
      </c>
      <c r="H663" s="366">
        <v>20486.522299373457</v>
      </c>
      <c r="I663" s="366">
        <v>20937.725837008096</v>
      </c>
      <c r="J663" s="368">
        <v>28476.54082450884</v>
      </c>
      <c r="K663" s="313"/>
      <c r="L663" s="313"/>
    </row>
    <row r="664" spans="1:12" x14ac:dyDescent="0.25">
      <c r="A664" s="369">
        <v>7634996</v>
      </c>
      <c r="B664" s="370" t="s">
        <v>553</v>
      </c>
      <c r="C664" s="370" t="s">
        <v>2443</v>
      </c>
      <c r="D664" s="370" t="str">
        <f t="shared" si="10"/>
        <v>7634996__MAN</v>
      </c>
      <c r="E664" s="370" t="s">
        <v>292</v>
      </c>
      <c r="F664" s="371">
        <v>0</v>
      </c>
      <c r="G664" s="372">
        <v>0</v>
      </c>
      <c r="H664" s="371">
        <v>0</v>
      </c>
      <c r="I664" s="371">
        <v>12271.856374583018</v>
      </c>
      <c r="J664" s="373">
        <v>20277.010289159494</v>
      </c>
      <c r="K664" s="313"/>
      <c r="L664" s="313"/>
    </row>
    <row r="665" spans="1:12" x14ac:dyDescent="0.25">
      <c r="A665" s="369">
        <v>7634996</v>
      </c>
      <c r="B665" s="370" t="s">
        <v>553</v>
      </c>
      <c r="C665" s="370" t="s">
        <v>2444</v>
      </c>
      <c r="D665" s="370" t="str">
        <f t="shared" si="10"/>
        <v>7634996__PPPs</v>
      </c>
      <c r="E665" s="370" t="s">
        <v>292</v>
      </c>
      <c r="F665" s="371">
        <v>132156</v>
      </c>
      <c r="G665" s="372">
        <v>0.4</v>
      </c>
      <c r="H665" s="371">
        <v>20546.641791044774</v>
      </c>
      <c r="I665" s="371">
        <v>30443.327137576063</v>
      </c>
      <c r="J665" s="373">
        <v>31127.953171467958</v>
      </c>
      <c r="K665" s="313"/>
      <c r="L665" s="313"/>
    </row>
    <row r="666" spans="1:12" x14ac:dyDescent="0.25">
      <c r="A666" s="369">
        <v>7634996</v>
      </c>
      <c r="B666" s="370" t="s">
        <v>553</v>
      </c>
      <c r="C666" s="370" t="s">
        <v>2445</v>
      </c>
      <c r="D666" s="370" t="str">
        <f t="shared" si="10"/>
        <v>7634996__PPPz</v>
      </c>
      <c r="E666" s="370" t="s">
        <v>292</v>
      </c>
      <c r="F666" s="371">
        <v>0</v>
      </c>
      <c r="G666" s="372">
        <v>0</v>
      </c>
      <c r="H666" s="371">
        <v>0</v>
      </c>
      <c r="I666" s="371">
        <v>11571.589230647987</v>
      </c>
      <c r="J666" s="373">
        <v>28744.797393220182</v>
      </c>
      <c r="K666" s="313"/>
      <c r="L666" s="313"/>
    </row>
    <row r="667" spans="1:12" ht="15.75" thickBot="1" x14ac:dyDescent="0.3">
      <c r="A667" s="374">
        <v>7634996</v>
      </c>
      <c r="B667" s="375" t="s">
        <v>553</v>
      </c>
      <c r="C667" s="375" t="s">
        <v>2446</v>
      </c>
      <c r="D667" s="375" t="str">
        <f t="shared" si="10"/>
        <v>7634996__VED</v>
      </c>
      <c r="E667" s="375" t="s">
        <v>292</v>
      </c>
      <c r="F667" s="376">
        <v>125064</v>
      </c>
      <c r="G667" s="377">
        <v>0.16</v>
      </c>
      <c r="H667" s="376">
        <v>48610.074626865666</v>
      </c>
      <c r="I667" s="376">
        <v>31859.546291492508</v>
      </c>
      <c r="J667" s="378">
        <v>37545.15477103689</v>
      </c>
      <c r="K667" s="313"/>
      <c r="L667" s="313"/>
    </row>
    <row r="668" spans="1:12" x14ac:dyDescent="0.25">
      <c r="A668" s="364">
        <v>8199881</v>
      </c>
      <c r="B668" s="365" t="s">
        <v>760</v>
      </c>
      <c r="C668" s="365" t="s">
        <v>2442</v>
      </c>
      <c r="D668" s="365" t="str">
        <f t="shared" si="10"/>
        <v>8199881__ADM</v>
      </c>
      <c r="E668" s="365" t="s">
        <v>292</v>
      </c>
      <c r="F668" s="366">
        <v>0</v>
      </c>
      <c r="G668" s="367">
        <v>0</v>
      </c>
      <c r="H668" s="366">
        <v>0</v>
      </c>
      <c r="I668" s="366">
        <v>20937.725837008096</v>
      </c>
      <c r="J668" s="368">
        <v>28476.54082450884</v>
      </c>
      <c r="K668" s="313"/>
      <c r="L668" s="313"/>
    </row>
    <row r="669" spans="1:12" x14ac:dyDescent="0.25">
      <c r="A669" s="369">
        <v>8199881</v>
      </c>
      <c r="B669" s="370" t="s">
        <v>760</v>
      </c>
      <c r="C669" s="370" t="s">
        <v>2443</v>
      </c>
      <c r="D669" s="370" t="str">
        <f t="shared" si="10"/>
        <v>8199881__MAN</v>
      </c>
      <c r="E669" s="370" t="s">
        <v>292</v>
      </c>
      <c r="F669" s="371">
        <v>0</v>
      </c>
      <c r="G669" s="372">
        <v>0</v>
      </c>
      <c r="H669" s="371">
        <v>0</v>
      </c>
      <c r="I669" s="371">
        <v>12271.856374583018</v>
      </c>
      <c r="J669" s="373">
        <v>20277.010289159494</v>
      </c>
      <c r="K669" s="313"/>
      <c r="L669" s="313"/>
    </row>
    <row r="670" spans="1:12" x14ac:dyDescent="0.25">
      <c r="A670" s="369">
        <v>8199881</v>
      </c>
      <c r="B670" s="370" t="s">
        <v>760</v>
      </c>
      <c r="C670" s="370" t="s">
        <v>2444</v>
      </c>
      <c r="D670" s="370" t="str">
        <f t="shared" si="10"/>
        <v>8199881__PPPs</v>
      </c>
      <c r="E670" s="370" t="s">
        <v>292</v>
      </c>
      <c r="F670" s="371">
        <v>58507</v>
      </c>
      <c r="G670" s="372">
        <v>0.15</v>
      </c>
      <c r="H670" s="371">
        <v>24256.633499170814</v>
      </c>
      <c r="I670" s="371">
        <v>30443.327137576063</v>
      </c>
      <c r="J670" s="373">
        <v>31127.953171467958</v>
      </c>
      <c r="K670" s="313"/>
      <c r="L670" s="313"/>
    </row>
    <row r="671" spans="1:12" x14ac:dyDescent="0.25">
      <c r="A671" s="369">
        <v>8199881</v>
      </c>
      <c r="B671" s="370" t="s">
        <v>760</v>
      </c>
      <c r="C671" s="370" t="s">
        <v>2445</v>
      </c>
      <c r="D671" s="370" t="str">
        <f t="shared" si="10"/>
        <v>8199881__PPPz</v>
      </c>
      <c r="E671" s="370" t="s">
        <v>292</v>
      </c>
      <c r="F671" s="371">
        <v>66067</v>
      </c>
      <c r="G671" s="372">
        <v>0.1</v>
      </c>
      <c r="H671" s="371">
        <v>41086.442786069652</v>
      </c>
      <c r="I671" s="371">
        <v>11571.589230647987</v>
      </c>
      <c r="J671" s="373">
        <v>28744.797393220182</v>
      </c>
      <c r="K671" s="313"/>
      <c r="L671" s="313"/>
    </row>
    <row r="672" spans="1:12" ht="15.75" thickBot="1" x14ac:dyDescent="0.3">
      <c r="A672" s="374">
        <v>8199881</v>
      </c>
      <c r="B672" s="375" t="s">
        <v>760</v>
      </c>
      <c r="C672" s="375" t="s">
        <v>2446</v>
      </c>
      <c r="D672" s="375" t="str">
        <f t="shared" si="10"/>
        <v>8199881__VED</v>
      </c>
      <c r="E672" s="375" t="s">
        <v>292</v>
      </c>
      <c r="F672" s="376">
        <v>0</v>
      </c>
      <c r="G672" s="377">
        <v>0</v>
      </c>
      <c r="H672" s="376">
        <v>0</v>
      </c>
      <c r="I672" s="376">
        <v>31859.546291492508</v>
      </c>
      <c r="J672" s="378">
        <v>37545.15477103689</v>
      </c>
      <c r="K672" s="313"/>
      <c r="L672" s="313"/>
    </row>
    <row r="673" spans="1:12" x14ac:dyDescent="0.25">
      <c r="A673" s="364">
        <v>8289298</v>
      </c>
      <c r="B673" s="365" t="s">
        <v>553</v>
      </c>
      <c r="C673" s="365" t="s">
        <v>2442</v>
      </c>
      <c r="D673" s="365" t="str">
        <f t="shared" si="10"/>
        <v>8289298__ADM</v>
      </c>
      <c r="E673" s="365" t="s">
        <v>292</v>
      </c>
      <c r="F673" s="366">
        <v>204198</v>
      </c>
      <c r="G673" s="367">
        <v>0.54730000000000001</v>
      </c>
      <c r="H673" s="366">
        <v>23202.7783610724</v>
      </c>
      <c r="I673" s="366">
        <v>20937.725837008096</v>
      </c>
      <c r="J673" s="368">
        <v>28476.54082450884</v>
      </c>
      <c r="K673" s="313"/>
      <c r="L673" s="313"/>
    </row>
    <row r="674" spans="1:12" x14ac:dyDescent="0.25">
      <c r="A674" s="369">
        <v>8289298</v>
      </c>
      <c r="B674" s="370" t="s">
        <v>553</v>
      </c>
      <c r="C674" s="370" t="s">
        <v>2443</v>
      </c>
      <c r="D674" s="370" t="str">
        <f t="shared" ref="D674:D737" si="11">CONCATENATE(A674,"__",C674)</f>
        <v>8289298__MAN</v>
      </c>
      <c r="E674" s="370" t="s">
        <v>292</v>
      </c>
      <c r="F674" s="371">
        <v>0</v>
      </c>
      <c r="G674" s="372">
        <v>0</v>
      </c>
      <c r="H674" s="371">
        <v>0</v>
      </c>
      <c r="I674" s="371">
        <v>12271.856374583018</v>
      </c>
      <c r="J674" s="373">
        <v>20277.010289159494</v>
      </c>
      <c r="K674" s="313"/>
      <c r="L674" s="313"/>
    </row>
    <row r="675" spans="1:12" x14ac:dyDescent="0.25">
      <c r="A675" s="369">
        <v>8289298</v>
      </c>
      <c r="B675" s="370" t="s">
        <v>553</v>
      </c>
      <c r="C675" s="370" t="s">
        <v>2444</v>
      </c>
      <c r="D675" s="370" t="str">
        <f t="shared" si="11"/>
        <v>8289298__PPPs</v>
      </c>
      <c r="E675" s="370" t="s">
        <v>292</v>
      </c>
      <c r="F675" s="371">
        <v>633249</v>
      </c>
      <c r="G675" s="372">
        <v>1.5312000000000001</v>
      </c>
      <c r="H675" s="371">
        <v>25719.146235905111</v>
      </c>
      <c r="I675" s="371">
        <v>30443.327137576063</v>
      </c>
      <c r="J675" s="373">
        <v>31127.953171467958</v>
      </c>
      <c r="K675" s="313"/>
      <c r="L675" s="313"/>
    </row>
    <row r="676" spans="1:12" x14ac:dyDescent="0.25">
      <c r="A676" s="369">
        <v>8289298</v>
      </c>
      <c r="B676" s="370" t="s">
        <v>553</v>
      </c>
      <c r="C676" s="370" t="s">
        <v>2445</v>
      </c>
      <c r="D676" s="370" t="str">
        <f t="shared" si="11"/>
        <v>8289298__PPPz</v>
      </c>
      <c r="E676" s="370" t="s">
        <v>292</v>
      </c>
      <c r="F676" s="371">
        <v>0</v>
      </c>
      <c r="G676" s="372">
        <v>0</v>
      </c>
      <c r="H676" s="371">
        <v>0</v>
      </c>
      <c r="I676" s="371">
        <v>11571.589230647987</v>
      </c>
      <c r="J676" s="373">
        <v>28744.797393220182</v>
      </c>
      <c r="K676" s="313"/>
      <c r="L676" s="313"/>
    </row>
    <row r="677" spans="1:12" ht="15.75" thickBot="1" x14ac:dyDescent="0.3">
      <c r="A677" s="374">
        <v>8289298</v>
      </c>
      <c r="B677" s="375" t="s">
        <v>553</v>
      </c>
      <c r="C677" s="375" t="s">
        <v>2446</v>
      </c>
      <c r="D677" s="375" t="str">
        <f t="shared" si="11"/>
        <v>8289298__VED</v>
      </c>
      <c r="E677" s="375" t="s">
        <v>292</v>
      </c>
      <c r="F677" s="376">
        <v>234806</v>
      </c>
      <c r="G677" s="377">
        <v>0.37</v>
      </c>
      <c r="H677" s="376">
        <v>39465.84644345838</v>
      </c>
      <c r="I677" s="376">
        <v>31859.546291492508</v>
      </c>
      <c r="J677" s="378">
        <v>37545.15477103689</v>
      </c>
      <c r="K677" s="313"/>
      <c r="L677" s="313"/>
    </row>
    <row r="678" spans="1:12" x14ac:dyDescent="0.25">
      <c r="A678" s="364">
        <v>8299792</v>
      </c>
      <c r="B678" s="365" t="s">
        <v>585</v>
      </c>
      <c r="C678" s="365" t="s">
        <v>2442</v>
      </c>
      <c r="D678" s="365" t="str">
        <f t="shared" si="11"/>
        <v>8299792__ADM</v>
      </c>
      <c r="E678" s="365" t="s">
        <v>292</v>
      </c>
      <c r="F678" s="366">
        <v>185132</v>
      </c>
      <c r="G678" s="367">
        <v>0.55000000000000004</v>
      </c>
      <c r="H678" s="366">
        <v>20933.061962912707</v>
      </c>
      <c r="I678" s="366">
        <v>20937.725837008096</v>
      </c>
      <c r="J678" s="368">
        <v>28476.54082450884</v>
      </c>
      <c r="K678" s="313"/>
      <c r="L678" s="313"/>
    </row>
    <row r="679" spans="1:12" x14ac:dyDescent="0.25">
      <c r="A679" s="369">
        <v>8299792</v>
      </c>
      <c r="B679" s="370" t="s">
        <v>585</v>
      </c>
      <c r="C679" s="370" t="s">
        <v>2443</v>
      </c>
      <c r="D679" s="370" t="str">
        <f t="shared" si="11"/>
        <v>8299792__MAN</v>
      </c>
      <c r="E679" s="370" t="s">
        <v>292</v>
      </c>
      <c r="F679" s="371">
        <v>0</v>
      </c>
      <c r="G679" s="372">
        <v>0</v>
      </c>
      <c r="H679" s="371">
        <v>0</v>
      </c>
      <c r="I679" s="371">
        <v>12271.856374583018</v>
      </c>
      <c r="J679" s="373">
        <v>20277.010289159494</v>
      </c>
      <c r="K679" s="313"/>
      <c r="L679" s="313"/>
    </row>
    <row r="680" spans="1:12" x14ac:dyDescent="0.25">
      <c r="A680" s="369">
        <v>8299792</v>
      </c>
      <c r="B680" s="370" t="s">
        <v>585</v>
      </c>
      <c r="C680" s="370" t="s">
        <v>2444</v>
      </c>
      <c r="D680" s="370" t="str">
        <f t="shared" si="11"/>
        <v>8299792__PPPs</v>
      </c>
      <c r="E680" s="370" t="s">
        <v>292</v>
      </c>
      <c r="F680" s="371">
        <v>464968</v>
      </c>
      <c r="G680" s="372">
        <v>1.03</v>
      </c>
      <c r="H680" s="371">
        <v>28073.7091242815</v>
      </c>
      <c r="I680" s="371">
        <v>30443.327137576063</v>
      </c>
      <c r="J680" s="373">
        <v>31127.953171467958</v>
      </c>
      <c r="K680" s="313"/>
      <c r="L680" s="313"/>
    </row>
    <row r="681" spans="1:12" x14ac:dyDescent="0.25">
      <c r="A681" s="369">
        <v>8299792</v>
      </c>
      <c r="B681" s="370" t="s">
        <v>585</v>
      </c>
      <c r="C681" s="370" t="s">
        <v>2445</v>
      </c>
      <c r="D681" s="370" t="str">
        <f t="shared" si="11"/>
        <v>8299792__PPPz</v>
      </c>
      <c r="E681" s="370" t="s">
        <v>292</v>
      </c>
      <c r="F681" s="371">
        <v>0</v>
      </c>
      <c r="G681" s="372">
        <v>0</v>
      </c>
      <c r="H681" s="371">
        <v>0</v>
      </c>
      <c r="I681" s="371">
        <v>11571.589230647987</v>
      </c>
      <c r="J681" s="373">
        <v>28744.797393220182</v>
      </c>
      <c r="K681" s="313"/>
      <c r="L681" s="313"/>
    </row>
    <row r="682" spans="1:12" ht="15.75" thickBot="1" x14ac:dyDescent="0.3">
      <c r="A682" s="374">
        <v>8299792</v>
      </c>
      <c r="B682" s="375" t="s">
        <v>585</v>
      </c>
      <c r="C682" s="375" t="s">
        <v>2446</v>
      </c>
      <c r="D682" s="375" t="str">
        <f t="shared" si="11"/>
        <v>8299792__VED</v>
      </c>
      <c r="E682" s="375" t="s">
        <v>292</v>
      </c>
      <c r="F682" s="376">
        <v>405667</v>
      </c>
      <c r="G682" s="377">
        <v>0.59430000000000005</v>
      </c>
      <c r="H682" s="376">
        <v>42450.020635506626</v>
      </c>
      <c r="I682" s="376">
        <v>31859.546291492508</v>
      </c>
      <c r="J682" s="378">
        <v>37545.15477103689</v>
      </c>
      <c r="K682" s="313"/>
      <c r="L682" s="313"/>
    </row>
    <row r="683" spans="1:12" x14ac:dyDescent="0.25">
      <c r="A683" s="364">
        <v>8314639</v>
      </c>
      <c r="B683" s="365" t="s">
        <v>928</v>
      </c>
      <c r="C683" s="365" t="s">
        <v>2442</v>
      </c>
      <c r="D683" s="365" t="str">
        <f t="shared" si="11"/>
        <v>8314639__ADM</v>
      </c>
      <c r="E683" s="365" t="s">
        <v>292</v>
      </c>
      <c r="F683" s="366">
        <v>80987</v>
      </c>
      <c r="G683" s="367">
        <v>0.2</v>
      </c>
      <c r="H683" s="366">
        <v>25182.52487562189</v>
      </c>
      <c r="I683" s="366">
        <v>20937.725837008096</v>
      </c>
      <c r="J683" s="368">
        <v>28476.54082450884</v>
      </c>
      <c r="K683" s="313"/>
      <c r="L683" s="313"/>
    </row>
    <row r="684" spans="1:12" x14ac:dyDescent="0.25">
      <c r="A684" s="369">
        <v>8314639</v>
      </c>
      <c r="B684" s="370" t="s">
        <v>928</v>
      </c>
      <c r="C684" s="370" t="s">
        <v>2443</v>
      </c>
      <c r="D684" s="370" t="str">
        <f t="shared" si="11"/>
        <v>8314639__MAN</v>
      </c>
      <c r="E684" s="370" t="s">
        <v>292</v>
      </c>
      <c r="F684" s="371">
        <v>96085</v>
      </c>
      <c r="G684" s="372">
        <v>0.75</v>
      </c>
      <c r="H684" s="371">
        <v>7967.2470978441124</v>
      </c>
      <c r="I684" s="371">
        <v>12271.856374583018</v>
      </c>
      <c r="J684" s="373">
        <v>20277.010289159494</v>
      </c>
      <c r="K684" s="313"/>
      <c r="L684" s="313"/>
    </row>
    <row r="685" spans="1:12" x14ac:dyDescent="0.25">
      <c r="A685" s="369">
        <v>8314639</v>
      </c>
      <c r="B685" s="370" t="s">
        <v>928</v>
      </c>
      <c r="C685" s="370" t="s">
        <v>2444</v>
      </c>
      <c r="D685" s="370" t="str">
        <f t="shared" si="11"/>
        <v>8314639__PPPs</v>
      </c>
      <c r="E685" s="370" t="s">
        <v>292</v>
      </c>
      <c r="F685" s="371">
        <v>2278928</v>
      </c>
      <c r="G685" s="372">
        <v>5.05</v>
      </c>
      <c r="H685" s="371">
        <v>28064.233289000542</v>
      </c>
      <c r="I685" s="371">
        <v>30443.327137576063</v>
      </c>
      <c r="J685" s="373">
        <v>31127.953171467958</v>
      </c>
      <c r="K685" s="313"/>
      <c r="L685" s="313"/>
    </row>
    <row r="686" spans="1:12" x14ac:dyDescent="0.25">
      <c r="A686" s="369">
        <v>8314639</v>
      </c>
      <c r="B686" s="370" t="s">
        <v>928</v>
      </c>
      <c r="C686" s="370" t="s">
        <v>2445</v>
      </c>
      <c r="D686" s="370" t="str">
        <f t="shared" si="11"/>
        <v>8314639__PPPz</v>
      </c>
      <c r="E686" s="370" t="s">
        <v>292</v>
      </c>
      <c r="F686" s="371">
        <v>0</v>
      </c>
      <c r="G686" s="372">
        <v>0</v>
      </c>
      <c r="H686" s="371">
        <v>0</v>
      </c>
      <c r="I686" s="371">
        <v>11571.589230647987</v>
      </c>
      <c r="J686" s="373">
        <v>28744.797393220182</v>
      </c>
      <c r="K686" s="313"/>
      <c r="L686" s="313"/>
    </row>
    <row r="687" spans="1:12" ht="15.75" thickBot="1" x14ac:dyDescent="0.3">
      <c r="A687" s="374">
        <v>8314639</v>
      </c>
      <c r="B687" s="375" t="s">
        <v>928</v>
      </c>
      <c r="C687" s="375" t="s">
        <v>2446</v>
      </c>
      <c r="D687" s="375" t="str">
        <f t="shared" si="11"/>
        <v>8314639__VED</v>
      </c>
      <c r="E687" s="375" t="s">
        <v>292</v>
      </c>
      <c r="F687" s="376">
        <v>128402</v>
      </c>
      <c r="G687" s="377">
        <v>0.1</v>
      </c>
      <c r="H687" s="376">
        <v>79851.990049751243</v>
      </c>
      <c r="I687" s="376">
        <v>31859.546291492508</v>
      </c>
      <c r="J687" s="378">
        <v>37545.15477103689</v>
      </c>
      <c r="K687" s="313"/>
      <c r="L687" s="313"/>
    </row>
    <row r="688" spans="1:12" x14ac:dyDescent="0.25">
      <c r="A688" s="364">
        <v>8615860</v>
      </c>
      <c r="B688" s="365" t="s">
        <v>306</v>
      </c>
      <c r="C688" s="365" t="s">
        <v>2442</v>
      </c>
      <c r="D688" s="365" t="str">
        <f t="shared" si="11"/>
        <v>8615860__ADM</v>
      </c>
      <c r="E688" s="365" t="s">
        <v>292</v>
      </c>
      <c r="F688" s="366">
        <v>0</v>
      </c>
      <c r="G688" s="367">
        <v>0</v>
      </c>
      <c r="H688" s="366">
        <v>0</v>
      </c>
      <c r="I688" s="366">
        <v>20937.725837008096</v>
      </c>
      <c r="J688" s="368">
        <v>28476.54082450884</v>
      </c>
      <c r="K688" s="313"/>
      <c r="L688" s="313"/>
    </row>
    <row r="689" spans="1:12" x14ac:dyDescent="0.25">
      <c r="A689" s="369">
        <v>8615860</v>
      </c>
      <c r="B689" s="370" t="s">
        <v>306</v>
      </c>
      <c r="C689" s="370" t="s">
        <v>2443</v>
      </c>
      <c r="D689" s="370" t="str">
        <f t="shared" si="11"/>
        <v>8615860__MAN</v>
      </c>
      <c r="E689" s="370" t="s">
        <v>292</v>
      </c>
      <c r="F689" s="371">
        <v>0</v>
      </c>
      <c r="G689" s="372">
        <v>0</v>
      </c>
      <c r="H689" s="371">
        <v>0</v>
      </c>
      <c r="I689" s="371">
        <v>12271.856374583018</v>
      </c>
      <c r="J689" s="373">
        <v>20277.010289159494</v>
      </c>
      <c r="K689" s="313"/>
      <c r="L689" s="313"/>
    </row>
    <row r="690" spans="1:12" x14ac:dyDescent="0.25">
      <c r="A690" s="369">
        <v>8615860</v>
      </c>
      <c r="B690" s="370" t="s">
        <v>306</v>
      </c>
      <c r="C690" s="370" t="s">
        <v>2444</v>
      </c>
      <c r="D690" s="370" t="str">
        <f t="shared" si="11"/>
        <v>8615860__PPPs</v>
      </c>
      <c r="E690" s="370" t="s">
        <v>292</v>
      </c>
      <c r="F690" s="371">
        <v>687525</v>
      </c>
      <c r="G690" s="372">
        <v>1.4663999999999999</v>
      </c>
      <c r="H690" s="371">
        <v>29157.480803836785</v>
      </c>
      <c r="I690" s="371">
        <v>30443.327137576063</v>
      </c>
      <c r="J690" s="373">
        <v>31127.953171467958</v>
      </c>
      <c r="K690" s="313"/>
      <c r="L690" s="313"/>
    </row>
    <row r="691" spans="1:12" x14ac:dyDescent="0.25">
      <c r="A691" s="369">
        <v>8615860</v>
      </c>
      <c r="B691" s="370" t="s">
        <v>306</v>
      </c>
      <c r="C691" s="370" t="s">
        <v>2445</v>
      </c>
      <c r="D691" s="370" t="str">
        <f t="shared" si="11"/>
        <v>8615860__PPPz</v>
      </c>
      <c r="E691" s="370" t="s">
        <v>292</v>
      </c>
      <c r="F691" s="371">
        <v>0</v>
      </c>
      <c r="G691" s="372">
        <v>0</v>
      </c>
      <c r="H691" s="371">
        <v>0</v>
      </c>
      <c r="I691" s="371">
        <v>11571.589230647987</v>
      </c>
      <c r="J691" s="373">
        <v>28744.797393220182</v>
      </c>
      <c r="K691" s="313"/>
      <c r="L691" s="313"/>
    </row>
    <row r="692" spans="1:12" ht="15.75" thickBot="1" x14ac:dyDescent="0.3">
      <c r="A692" s="374">
        <v>8615860</v>
      </c>
      <c r="B692" s="375" t="s">
        <v>306</v>
      </c>
      <c r="C692" s="375" t="s">
        <v>2446</v>
      </c>
      <c r="D692" s="375" t="str">
        <f t="shared" si="11"/>
        <v>8615860__VED</v>
      </c>
      <c r="E692" s="375" t="s">
        <v>292</v>
      </c>
      <c r="F692" s="376">
        <v>279276</v>
      </c>
      <c r="G692" s="377">
        <v>0.3</v>
      </c>
      <c r="H692" s="376">
        <v>57893.034825870644</v>
      </c>
      <c r="I692" s="376">
        <v>31859.546291492508</v>
      </c>
      <c r="J692" s="378">
        <v>37545.15477103689</v>
      </c>
      <c r="K692" s="313"/>
      <c r="L692" s="313"/>
    </row>
    <row r="693" spans="1:12" x14ac:dyDescent="0.25">
      <c r="A693" s="364">
        <v>8849001</v>
      </c>
      <c r="B693" s="365" t="s">
        <v>733</v>
      </c>
      <c r="C693" s="365" t="s">
        <v>2442</v>
      </c>
      <c r="D693" s="365" t="str">
        <f t="shared" si="11"/>
        <v>8849001__ADM</v>
      </c>
      <c r="E693" s="365" t="s">
        <v>292</v>
      </c>
      <c r="F693" s="366">
        <v>90949</v>
      </c>
      <c r="G693" s="367">
        <v>0.34</v>
      </c>
      <c r="H693" s="366">
        <v>16635.389230318993</v>
      </c>
      <c r="I693" s="366">
        <v>20937.725837008096</v>
      </c>
      <c r="J693" s="368">
        <v>28476.54082450884</v>
      </c>
      <c r="K693" s="313"/>
      <c r="L693" s="313"/>
    </row>
    <row r="694" spans="1:12" x14ac:dyDescent="0.25">
      <c r="A694" s="369">
        <v>8849001</v>
      </c>
      <c r="B694" s="370" t="s">
        <v>733</v>
      </c>
      <c r="C694" s="370" t="s">
        <v>2443</v>
      </c>
      <c r="D694" s="370" t="str">
        <f t="shared" si="11"/>
        <v>8849001__MAN</v>
      </c>
      <c r="E694" s="370" t="s">
        <v>292</v>
      </c>
      <c r="F694" s="371">
        <v>2250</v>
      </c>
      <c r="G694" s="372">
        <v>8.9999999999999998E-4</v>
      </c>
      <c r="H694" s="371">
        <v>155472.63681592038</v>
      </c>
      <c r="I694" s="371">
        <v>12271.856374583018</v>
      </c>
      <c r="J694" s="373">
        <v>20277.010289159494</v>
      </c>
      <c r="K694" s="313"/>
      <c r="L694" s="313"/>
    </row>
    <row r="695" spans="1:12" x14ac:dyDescent="0.25">
      <c r="A695" s="369">
        <v>8849001</v>
      </c>
      <c r="B695" s="370" t="s">
        <v>733</v>
      </c>
      <c r="C695" s="370" t="s">
        <v>2444</v>
      </c>
      <c r="D695" s="370" t="str">
        <f t="shared" si="11"/>
        <v>8849001__PPPs</v>
      </c>
      <c r="E695" s="370" t="s">
        <v>292</v>
      </c>
      <c r="F695" s="371">
        <v>680536</v>
      </c>
      <c r="G695" s="372">
        <v>1.4100000000000001</v>
      </c>
      <c r="H695" s="371">
        <v>30015.525210825301</v>
      </c>
      <c r="I695" s="371">
        <v>30443.327137576063</v>
      </c>
      <c r="J695" s="373">
        <v>31127.953171467958</v>
      </c>
      <c r="K695" s="313"/>
      <c r="L695" s="313"/>
    </row>
    <row r="696" spans="1:12" x14ac:dyDescent="0.25">
      <c r="A696" s="369">
        <v>8849001</v>
      </c>
      <c r="B696" s="370" t="s">
        <v>733</v>
      </c>
      <c r="C696" s="370" t="s">
        <v>2445</v>
      </c>
      <c r="D696" s="370" t="str">
        <f t="shared" si="11"/>
        <v>8849001__PPPz</v>
      </c>
      <c r="E696" s="370" t="s">
        <v>292</v>
      </c>
      <c r="F696" s="371">
        <v>0</v>
      </c>
      <c r="G696" s="372">
        <v>0</v>
      </c>
      <c r="H696" s="371">
        <v>0</v>
      </c>
      <c r="I696" s="371">
        <v>11571.589230647987</v>
      </c>
      <c r="J696" s="373">
        <v>28744.797393220182</v>
      </c>
      <c r="K696" s="313"/>
      <c r="L696" s="313"/>
    </row>
    <row r="697" spans="1:12" ht="15.75" thickBot="1" x14ac:dyDescent="0.3">
      <c r="A697" s="374">
        <v>8849001</v>
      </c>
      <c r="B697" s="375" t="s">
        <v>733</v>
      </c>
      <c r="C697" s="375" t="s">
        <v>2446</v>
      </c>
      <c r="D697" s="375" t="str">
        <f t="shared" si="11"/>
        <v>8849001__VED</v>
      </c>
      <c r="E697" s="375" t="s">
        <v>292</v>
      </c>
      <c r="F697" s="376">
        <v>148552</v>
      </c>
      <c r="G697" s="377">
        <v>0.31</v>
      </c>
      <c r="H697" s="376">
        <v>29800.995024875621</v>
      </c>
      <c r="I697" s="376">
        <v>31859.546291492508</v>
      </c>
      <c r="J697" s="378">
        <v>37545.15477103689</v>
      </c>
      <c r="K697" s="313"/>
      <c r="L697" s="313"/>
    </row>
    <row r="698" spans="1:12" x14ac:dyDescent="0.25">
      <c r="A698" s="364">
        <v>8984742</v>
      </c>
      <c r="B698" s="365" t="s">
        <v>733</v>
      </c>
      <c r="C698" s="365" t="s">
        <v>2442</v>
      </c>
      <c r="D698" s="365" t="str">
        <f t="shared" si="11"/>
        <v>8984742__ADM</v>
      </c>
      <c r="E698" s="365" t="s">
        <v>292</v>
      </c>
      <c r="F698" s="366">
        <v>44102</v>
      </c>
      <c r="G698" s="367">
        <v>0.19</v>
      </c>
      <c r="H698" s="366">
        <v>14435.061534433096</v>
      </c>
      <c r="I698" s="366">
        <v>20937.725837008096</v>
      </c>
      <c r="J698" s="368">
        <v>28476.54082450884</v>
      </c>
      <c r="K698" s="313"/>
      <c r="L698" s="313"/>
    </row>
    <row r="699" spans="1:12" x14ac:dyDescent="0.25">
      <c r="A699" s="369">
        <v>8984742</v>
      </c>
      <c r="B699" s="370" t="s">
        <v>733</v>
      </c>
      <c r="C699" s="370" t="s">
        <v>2443</v>
      </c>
      <c r="D699" s="370" t="str">
        <f t="shared" si="11"/>
        <v>8984742__MAN</v>
      </c>
      <c r="E699" s="370" t="s">
        <v>292</v>
      </c>
      <c r="F699" s="371">
        <v>0</v>
      </c>
      <c r="G699" s="372">
        <v>0</v>
      </c>
      <c r="H699" s="371">
        <v>0</v>
      </c>
      <c r="I699" s="371">
        <v>12271.856374583018</v>
      </c>
      <c r="J699" s="373">
        <v>20277.010289159494</v>
      </c>
      <c r="K699" s="313"/>
      <c r="L699" s="313"/>
    </row>
    <row r="700" spans="1:12" x14ac:dyDescent="0.25">
      <c r="A700" s="369">
        <v>8984742</v>
      </c>
      <c r="B700" s="370" t="s">
        <v>733</v>
      </c>
      <c r="C700" s="370" t="s">
        <v>2444</v>
      </c>
      <c r="D700" s="370" t="str">
        <f t="shared" si="11"/>
        <v>8984742__PPPs</v>
      </c>
      <c r="E700" s="370" t="s">
        <v>292</v>
      </c>
      <c r="F700" s="371">
        <v>614118</v>
      </c>
      <c r="G700" s="372">
        <v>1</v>
      </c>
      <c r="H700" s="371">
        <v>38191.417910447759</v>
      </c>
      <c r="I700" s="371">
        <v>30443.327137576063</v>
      </c>
      <c r="J700" s="373">
        <v>31127.953171467958</v>
      </c>
      <c r="K700" s="313"/>
      <c r="L700" s="313"/>
    </row>
    <row r="701" spans="1:12" x14ac:dyDescent="0.25">
      <c r="A701" s="369">
        <v>8984742</v>
      </c>
      <c r="B701" s="370" t="s">
        <v>733</v>
      </c>
      <c r="C701" s="370" t="s">
        <v>2445</v>
      </c>
      <c r="D701" s="370" t="str">
        <f t="shared" si="11"/>
        <v>8984742__PPPz</v>
      </c>
      <c r="E701" s="370" t="s">
        <v>292</v>
      </c>
      <c r="F701" s="371">
        <v>0</v>
      </c>
      <c r="G701" s="372">
        <v>0</v>
      </c>
      <c r="H701" s="371">
        <v>0</v>
      </c>
      <c r="I701" s="371">
        <v>11571.589230647987</v>
      </c>
      <c r="J701" s="373">
        <v>28744.797393220182</v>
      </c>
      <c r="K701" s="313"/>
      <c r="L701" s="313"/>
    </row>
    <row r="702" spans="1:12" ht="15.75" thickBot="1" x14ac:dyDescent="0.3">
      <c r="A702" s="374">
        <v>8984742</v>
      </c>
      <c r="B702" s="375" t="s">
        <v>733</v>
      </c>
      <c r="C702" s="375" t="s">
        <v>2446</v>
      </c>
      <c r="D702" s="375" t="str">
        <f t="shared" si="11"/>
        <v>8984742__VED</v>
      </c>
      <c r="E702" s="375" t="s">
        <v>292</v>
      </c>
      <c r="F702" s="376">
        <v>171331</v>
      </c>
      <c r="G702" s="377">
        <v>0.31</v>
      </c>
      <c r="H702" s="376">
        <v>34370.686888139942</v>
      </c>
      <c r="I702" s="376">
        <v>31859.546291492508</v>
      </c>
      <c r="J702" s="378">
        <v>37545.15477103689</v>
      </c>
      <c r="K702" s="313"/>
      <c r="L702" s="313"/>
    </row>
    <row r="703" spans="1:12" x14ac:dyDescent="0.25">
      <c r="A703" s="364">
        <v>9223303</v>
      </c>
      <c r="B703" s="365" t="s">
        <v>1024</v>
      </c>
      <c r="C703" s="365" t="s">
        <v>2442</v>
      </c>
      <c r="D703" s="365" t="str">
        <f t="shared" si="11"/>
        <v>9223303__ADM</v>
      </c>
      <c r="E703" s="365" t="s">
        <v>292</v>
      </c>
      <c r="F703" s="366">
        <v>188743</v>
      </c>
      <c r="G703" s="367">
        <v>0.25</v>
      </c>
      <c r="H703" s="366">
        <v>46950.995024875621</v>
      </c>
      <c r="I703" s="366">
        <v>20937.725837008096</v>
      </c>
      <c r="J703" s="368">
        <v>28476.54082450884</v>
      </c>
      <c r="K703" s="313"/>
      <c r="L703" s="313"/>
    </row>
    <row r="704" spans="1:12" x14ac:dyDescent="0.25">
      <c r="A704" s="369">
        <v>9223303</v>
      </c>
      <c r="B704" s="370" t="s">
        <v>1024</v>
      </c>
      <c r="C704" s="370" t="s">
        <v>2443</v>
      </c>
      <c r="D704" s="370" t="str">
        <f t="shared" si="11"/>
        <v>9223303__MAN</v>
      </c>
      <c r="E704" s="370" t="s">
        <v>292</v>
      </c>
      <c r="F704" s="371">
        <v>0</v>
      </c>
      <c r="G704" s="372">
        <v>0</v>
      </c>
      <c r="H704" s="371">
        <v>0</v>
      </c>
      <c r="I704" s="371">
        <v>12271.856374583018</v>
      </c>
      <c r="J704" s="373">
        <v>20277.010289159494</v>
      </c>
      <c r="K704" s="313"/>
      <c r="L704" s="313"/>
    </row>
    <row r="705" spans="1:12" x14ac:dyDescent="0.25">
      <c r="A705" s="369">
        <v>9223303</v>
      </c>
      <c r="B705" s="370" t="s">
        <v>1024</v>
      </c>
      <c r="C705" s="370" t="s">
        <v>2444</v>
      </c>
      <c r="D705" s="370" t="str">
        <f t="shared" si="11"/>
        <v>9223303__PPPs</v>
      </c>
      <c r="E705" s="370" t="s">
        <v>292</v>
      </c>
      <c r="F705" s="371">
        <v>79270</v>
      </c>
      <c r="G705" s="372">
        <v>0.3</v>
      </c>
      <c r="H705" s="371">
        <v>16432.421227197348</v>
      </c>
      <c r="I705" s="371">
        <v>30443.327137576063</v>
      </c>
      <c r="J705" s="373">
        <v>31127.953171467958</v>
      </c>
      <c r="K705" s="313"/>
      <c r="L705" s="313"/>
    </row>
    <row r="706" spans="1:12" x14ac:dyDescent="0.25">
      <c r="A706" s="369">
        <v>9223303</v>
      </c>
      <c r="B706" s="370" t="s">
        <v>1024</v>
      </c>
      <c r="C706" s="370" t="s">
        <v>2445</v>
      </c>
      <c r="D706" s="370" t="str">
        <f t="shared" si="11"/>
        <v>9223303__PPPz</v>
      </c>
      <c r="E706" s="370" t="s">
        <v>292</v>
      </c>
      <c r="F706" s="371">
        <v>0</v>
      </c>
      <c r="G706" s="372">
        <v>0</v>
      </c>
      <c r="H706" s="371">
        <v>0</v>
      </c>
      <c r="I706" s="371">
        <v>11571.589230647987</v>
      </c>
      <c r="J706" s="373">
        <v>28744.797393220182</v>
      </c>
      <c r="K706" s="313"/>
      <c r="L706" s="313"/>
    </row>
    <row r="707" spans="1:12" ht="15.75" thickBot="1" x14ac:dyDescent="0.3">
      <c r="A707" s="374">
        <v>9223303</v>
      </c>
      <c r="B707" s="375" t="s">
        <v>1024</v>
      </c>
      <c r="C707" s="375" t="s">
        <v>2446</v>
      </c>
      <c r="D707" s="375" t="str">
        <f t="shared" si="11"/>
        <v>9223303__VED</v>
      </c>
      <c r="E707" s="375" t="s">
        <v>292</v>
      </c>
      <c r="F707" s="376">
        <v>36513</v>
      </c>
      <c r="G707" s="377">
        <v>0.2</v>
      </c>
      <c r="H707" s="376">
        <v>11353.544776119403</v>
      </c>
      <c r="I707" s="376">
        <v>31859.546291492508</v>
      </c>
      <c r="J707" s="378">
        <v>37545.15477103689</v>
      </c>
      <c r="K707" s="313"/>
      <c r="L707" s="313"/>
    </row>
    <row r="708" spans="1:12" x14ac:dyDescent="0.25">
      <c r="A708" s="364">
        <v>9503685</v>
      </c>
      <c r="B708" s="365" t="s">
        <v>553</v>
      </c>
      <c r="C708" s="365" t="s">
        <v>2442</v>
      </c>
      <c r="D708" s="365" t="str">
        <f t="shared" si="11"/>
        <v>9503685__ADM</v>
      </c>
      <c r="E708" s="365" t="s">
        <v>292</v>
      </c>
      <c r="F708" s="366">
        <v>100972</v>
      </c>
      <c r="G708" s="367">
        <v>0.28610000000000002</v>
      </c>
      <c r="H708" s="366">
        <v>21948.106374801973</v>
      </c>
      <c r="I708" s="366">
        <v>20937.725837008096</v>
      </c>
      <c r="J708" s="368">
        <v>28476.54082450884</v>
      </c>
      <c r="K708" s="313"/>
      <c r="L708" s="313"/>
    </row>
    <row r="709" spans="1:12" x14ac:dyDescent="0.25">
      <c r="A709" s="369">
        <v>9503685</v>
      </c>
      <c r="B709" s="370" t="s">
        <v>553</v>
      </c>
      <c r="C709" s="370" t="s">
        <v>2443</v>
      </c>
      <c r="D709" s="370" t="str">
        <f t="shared" si="11"/>
        <v>9503685__MAN</v>
      </c>
      <c r="E709" s="370" t="s">
        <v>292</v>
      </c>
      <c r="F709" s="371">
        <v>0</v>
      </c>
      <c r="G709" s="372">
        <v>0</v>
      </c>
      <c r="H709" s="371">
        <v>0</v>
      </c>
      <c r="I709" s="371">
        <v>12271.856374583018</v>
      </c>
      <c r="J709" s="373">
        <v>20277.010289159494</v>
      </c>
      <c r="K709" s="313"/>
      <c r="L709" s="313"/>
    </row>
    <row r="710" spans="1:12" x14ac:dyDescent="0.25">
      <c r="A710" s="369">
        <v>9503685</v>
      </c>
      <c r="B710" s="370" t="s">
        <v>553</v>
      </c>
      <c r="C710" s="370" t="s">
        <v>2444</v>
      </c>
      <c r="D710" s="370" t="str">
        <f t="shared" si="11"/>
        <v>9503685__PPPs</v>
      </c>
      <c r="E710" s="370" t="s">
        <v>292</v>
      </c>
      <c r="F710" s="371">
        <v>249036</v>
      </c>
      <c r="G710" s="372">
        <v>0.6</v>
      </c>
      <c r="H710" s="371">
        <v>25812.189054726368</v>
      </c>
      <c r="I710" s="371">
        <v>30443.327137576063</v>
      </c>
      <c r="J710" s="373">
        <v>31127.953171467958</v>
      </c>
      <c r="K710" s="313"/>
      <c r="L710" s="313"/>
    </row>
    <row r="711" spans="1:12" x14ac:dyDescent="0.25">
      <c r="A711" s="369">
        <v>9503685</v>
      </c>
      <c r="B711" s="370" t="s">
        <v>553</v>
      </c>
      <c r="C711" s="370" t="s">
        <v>2445</v>
      </c>
      <c r="D711" s="370" t="str">
        <f t="shared" si="11"/>
        <v>9503685__PPPz</v>
      </c>
      <c r="E711" s="370" t="s">
        <v>292</v>
      </c>
      <c r="F711" s="371">
        <v>0</v>
      </c>
      <c r="G711" s="372">
        <v>0</v>
      </c>
      <c r="H711" s="371">
        <v>0</v>
      </c>
      <c r="I711" s="371">
        <v>11571.589230647987</v>
      </c>
      <c r="J711" s="373">
        <v>28744.797393220182</v>
      </c>
      <c r="K711" s="313"/>
      <c r="L711" s="313"/>
    </row>
    <row r="712" spans="1:12" ht="15.75" thickBot="1" x14ac:dyDescent="0.3">
      <c r="A712" s="374">
        <v>9503685</v>
      </c>
      <c r="B712" s="375" t="s">
        <v>553</v>
      </c>
      <c r="C712" s="375" t="s">
        <v>2446</v>
      </c>
      <c r="D712" s="375" t="str">
        <f t="shared" si="11"/>
        <v>9503685__VED</v>
      </c>
      <c r="E712" s="375" t="s">
        <v>292</v>
      </c>
      <c r="F712" s="376">
        <v>104164</v>
      </c>
      <c r="G712" s="377">
        <v>0.21</v>
      </c>
      <c r="H712" s="376">
        <v>30846.955697701964</v>
      </c>
      <c r="I712" s="376">
        <v>31859.546291492508</v>
      </c>
      <c r="J712" s="378">
        <v>37545.15477103689</v>
      </c>
      <c r="K712" s="313"/>
      <c r="L712" s="313"/>
    </row>
    <row r="713" spans="1:12" x14ac:dyDescent="0.25">
      <c r="A713" s="364">
        <v>9608144</v>
      </c>
      <c r="B713" s="365" t="s">
        <v>1118</v>
      </c>
      <c r="C713" s="365" t="s">
        <v>2442</v>
      </c>
      <c r="D713" s="365" t="str">
        <f t="shared" si="11"/>
        <v>9608144__ADM</v>
      </c>
      <c r="E713" s="365" t="s">
        <v>292</v>
      </c>
      <c r="F713" s="366">
        <v>13555</v>
      </c>
      <c r="G713" s="367">
        <v>0.14599999999999999</v>
      </c>
      <c r="H713" s="366">
        <v>5773.7851836706877</v>
      </c>
      <c r="I713" s="366">
        <v>20937.725837008096</v>
      </c>
      <c r="J713" s="368">
        <v>28476.54082450884</v>
      </c>
      <c r="K713" s="313"/>
      <c r="L713" s="313"/>
    </row>
    <row r="714" spans="1:12" x14ac:dyDescent="0.25">
      <c r="A714" s="369">
        <v>9608144</v>
      </c>
      <c r="B714" s="370" t="s">
        <v>1118</v>
      </c>
      <c r="C714" s="370" t="s">
        <v>2443</v>
      </c>
      <c r="D714" s="370" t="str">
        <f t="shared" si="11"/>
        <v>9608144__MAN</v>
      </c>
      <c r="E714" s="370" t="s">
        <v>292</v>
      </c>
      <c r="F714" s="371">
        <v>0</v>
      </c>
      <c r="G714" s="372">
        <v>0</v>
      </c>
      <c r="H714" s="371">
        <v>0</v>
      </c>
      <c r="I714" s="371">
        <v>12271.856374583018</v>
      </c>
      <c r="J714" s="373">
        <v>20277.010289159494</v>
      </c>
      <c r="K714" s="313"/>
      <c r="L714" s="313"/>
    </row>
    <row r="715" spans="1:12" x14ac:dyDescent="0.25">
      <c r="A715" s="369">
        <v>9608144</v>
      </c>
      <c r="B715" s="370" t="s">
        <v>1118</v>
      </c>
      <c r="C715" s="370" t="s">
        <v>2444</v>
      </c>
      <c r="D715" s="370" t="str">
        <f t="shared" si="11"/>
        <v>9608144__PPPs</v>
      </c>
      <c r="E715" s="370" t="s">
        <v>292</v>
      </c>
      <c r="F715" s="371">
        <v>653143</v>
      </c>
      <c r="G715" s="372">
        <v>2</v>
      </c>
      <c r="H715" s="371">
        <v>20309.172885572138</v>
      </c>
      <c r="I715" s="371">
        <v>30443.327137576063</v>
      </c>
      <c r="J715" s="373">
        <v>31127.953171467958</v>
      </c>
      <c r="K715" s="313"/>
      <c r="L715" s="313"/>
    </row>
    <row r="716" spans="1:12" x14ac:dyDescent="0.25">
      <c r="A716" s="369">
        <v>9608144</v>
      </c>
      <c r="B716" s="370" t="s">
        <v>1118</v>
      </c>
      <c r="C716" s="370" t="s">
        <v>2445</v>
      </c>
      <c r="D716" s="370" t="str">
        <f t="shared" si="11"/>
        <v>9608144__PPPz</v>
      </c>
      <c r="E716" s="370" t="s">
        <v>292</v>
      </c>
      <c r="F716" s="371">
        <v>0</v>
      </c>
      <c r="G716" s="372">
        <v>0</v>
      </c>
      <c r="H716" s="371">
        <v>0</v>
      </c>
      <c r="I716" s="371">
        <v>11571.589230647987</v>
      </c>
      <c r="J716" s="373">
        <v>28744.797393220182</v>
      </c>
      <c r="K716" s="313"/>
      <c r="L716" s="313"/>
    </row>
    <row r="717" spans="1:12" ht="15.75" thickBot="1" x14ac:dyDescent="0.3">
      <c r="A717" s="374">
        <v>9608144</v>
      </c>
      <c r="B717" s="375" t="s">
        <v>1118</v>
      </c>
      <c r="C717" s="375" t="s">
        <v>2446</v>
      </c>
      <c r="D717" s="375" t="str">
        <f t="shared" si="11"/>
        <v>9608144__VED</v>
      </c>
      <c r="E717" s="375" t="s">
        <v>292</v>
      </c>
      <c r="F717" s="376">
        <v>0</v>
      </c>
      <c r="G717" s="377">
        <v>0</v>
      </c>
      <c r="H717" s="376">
        <v>0</v>
      </c>
      <c r="I717" s="376">
        <v>31859.546291492508</v>
      </c>
      <c r="J717" s="378">
        <v>37545.15477103689</v>
      </c>
      <c r="K717" s="313"/>
      <c r="L717" s="313"/>
    </row>
    <row r="718" spans="1:12" x14ac:dyDescent="0.25">
      <c r="A718" s="364">
        <v>9684449</v>
      </c>
      <c r="B718" s="365" t="s">
        <v>312</v>
      </c>
      <c r="C718" s="365" t="s">
        <v>2442</v>
      </c>
      <c r="D718" s="365" t="str">
        <f t="shared" si="11"/>
        <v>9684449__ADM</v>
      </c>
      <c r="E718" s="365" t="s">
        <v>292</v>
      </c>
      <c r="F718" s="366">
        <v>9054</v>
      </c>
      <c r="G718" s="367">
        <v>2.5000000000000001E-2</v>
      </c>
      <c r="H718" s="366">
        <v>22522.38805970149</v>
      </c>
      <c r="I718" s="366">
        <v>20937.725837008096</v>
      </c>
      <c r="J718" s="368">
        <v>28476.54082450884</v>
      </c>
      <c r="K718" s="313"/>
      <c r="L718" s="313"/>
    </row>
    <row r="719" spans="1:12" x14ac:dyDescent="0.25">
      <c r="A719" s="369">
        <v>9684449</v>
      </c>
      <c r="B719" s="370" t="s">
        <v>312</v>
      </c>
      <c r="C719" s="370" t="s">
        <v>2443</v>
      </c>
      <c r="D719" s="370" t="str">
        <f t="shared" si="11"/>
        <v>9684449__MAN</v>
      </c>
      <c r="E719" s="370" t="s">
        <v>292</v>
      </c>
      <c r="F719" s="371">
        <v>0</v>
      </c>
      <c r="G719" s="372">
        <v>0</v>
      </c>
      <c r="H719" s="371">
        <v>0</v>
      </c>
      <c r="I719" s="371">
        <v>12271.856374583018</v>
      </c>
      <c r="J719" s="373">
        <v>20277.010289159494</v>
      </c>
      <c r="K719" s="313"/>
      <c r="L719" s="313"/>
    </row>
    <row r="720" spans="1:12" x14ac:dyDescent="0.25">
      <c r="A720" s="369">
        <v>9684449</v>
      </c>
      <c r="B720" s="370" t="s">
        <v>312</v>
      </c>
      <c r="C720" s="370" t="s">
        <v>2444</v>
      </c>
      <c r="D720" s="370" t="str">
        <f t="shared" si="11"/>
        <v>9684449__PPPs</v>
      </c>
      <c r="E720" s="370" t="s">
        <v>292</v>
      </c>
      <c r="F720" s="371">
        <v>886238</v>
      </c>
      <c r="G720" s="372">
        <v>1.5699999999999998</v>
      </c>
      <c r="H720" s="371">
        <v>35104.651899736986</v>
      </c>
      <c r="I720" s="371">
        <v>30443.327137576063</v>
      </c>
      <c r="J720" s="373">
        <v>31127.953171467958</v>
      </c>
      <c r="K720" s="313"/>
      <c r="L720" s="313"/>
    </row>
    <row r="721" spans="1:12" x14ac:dyDescent="0.25">
      <c r="A721" s="369">
        <v>9684449</v>
      </c>
      <c r="B721" s="370" t="s">
        <v>312</v>
      </c>
      <c r="C721" s="370" t="s">
        <v>2445</v>
      </c>
      <c r="D721" s="370" t="str">
        <f t="shared" si="11"/>
        <v>9684449__PPPz</v>
      </c>
      <c r="E721" s="370" t="s">
        <v>292</v>
      </c>
      <c r="F721" s="371">
        <v>0</v>
      </c>
      <c r="G721" s="372">
        <v>0</v>
      </c>
      <c r="H721" s="371">
        <v>0</v>
      </c>
      <c r="I721" s="371">
        <v>11571.589230647987</v>
      </c>
      <c r="J721" s="373">
        <v>28744.797393220182</v>
      </c>
      <c r="K721" s="313"/>
      <c r="L721" s="313"/>
    </row>
    <row r="722" spans="1:12" ht="15.75" thickBot="1" x14ac:dyDescent="0.3">
      <c r="A722" s="374">
        <v>9684449</v>
      </c>
      <c r="B722" s="375" t="s">
        <v>312</v>
      </c>
      <c r="C722" s="375" t="s">
        <v>2446</v>
      </c>
      <c r="D722" s="375" t="str">
        <f t="shared" si="11"/>
        <v>9684449__VED</v>
      </c>
      <c r="E722" s="375" t="s">
        <v>292</v>
      </c>
      <c r="F722" s="376">
        <v>14810</v>
      </c>
      <c r="G722" s="377">
        <v>2.5000000000000001E-2</v>
      </c>
      <c r="H722" s="376">
        <v>36840.796019900496</v>
      </c>
      <c r="I722" s="376">
        <v>31859.546291492508</v>
      </c>
      <c r="J722" s="378">
        <v>37545.15477103689</v>
      </c>
      <c r="K722" s="313"/>
      <c r="L722" s="313"/>
    </row>
    <row r="723" spans="1:12" x14ac:dyDescent="0.25">
      <c r="A723" s="364">
        <v>1441233</v>
      </c>
      <c r="B723" s="365" t="s">
        <v>568</v>
      </c>
      <c r="C723" s="365" t="s">
        <v>2442</v>
      </c>
      <c r="D723" s="365" t="str">
        <f t="shared" si="11"/>
        <v>1441233__ADM</v>
      </c>
      <c r="E723" s="365" t="s">
        <v>361</v>
      </c>
      <c r="F723" s="366">
        <v>497206</v>
      </c>
      <c r="G723" s="367">
        <v>1.0249999999999999</v>
      </c>
      <c r="H723" s="366">
        <v>30166.605994418154</v>
      </c>
      <c r="I723" s="366">
        <v>34560.328049956115</v>
      </c>
      <c r="J723" s="368">
        <v>30033.24018674179</v>
      </c>
      <c r="K723" s="313"/>
      <c r="L723" s="313"/>
    </row>
    <row r="724" spans="1:12" x14ac:dyDescent="0.25">
      <c r="A724" s="369">
        <v>1441233</v>
      </c>
      <c r="B724" s="370" t="s">
        <v>568</v>
      </c>
      <c r="C724" s="370" t="s">
        <v>2443</v>
      </c>
      <c r="D724" s="370" t="str">
        <f t="shared" si="11"/>
        <v>1441233__MAN</v>
      </c>
      <c r="E724" s="370" t="s">
        <v>361</v>
      </c>
      <c r="F724" s="371">
        <v>592217</v>
      </c>
      <c r="G724" s="372">
        <v>1.6600000000000001</v>
      </c>
      <c r="H724" s="371">
        <v>22186.394833063594</v>
      </c>
      <c r="I724" s="371">
        <v>21908.248995957834</v>
      </c>
      <c r="J724" s="373">
        <v>18693.404509806744</v>
      </c>
      <c r="K724" s="313"/>
      <c r="L724" s="313"/>
    </row>
    <row r="725" spans="1:12" x14ac:dyDescent="0.25">
      <c r="A725" s="369">
        <v>1441233</v>
      </c>
      <c r="B725" s="370" t="s">
        <v>568</v>
      </c>
      <c r="C725" s="370" t="s">
        <v>2444</v>
      </c>
      <c r="D725" s="370" t="str">
        <f t="shared" si="11"/>
        <v>1441233__PPPs</v>
      </c>
      <c r="E725" s="370" t="s">
        <v>361</v>
      </c>
      <c r="F725" s="371">
        <v>1709897</v>
      </c>
      <c r="G725" s="372">
        <v>4.4420999999999999</v>
      </c>
      <c r="H725" s="371">
        <v>23938.425093863876</v>
      </c>
      <c r="I725" s="371">
        <v>27078.278526243463</v>
      </c>
      <c r="J725" s="373">
        <v>26102.573409149816</v>
      </c>
      <c r="K725" s="313"/>
      <c r="L725" s="313"/>
    </row>
    <row r="726" spans="1:12" x14ac:dyDescent="0.25">
      <c r="A726" s="369">
        <v>1441233</v>
      </c>
      <c r="B726" s="370" t="s">
        <v>568</v>
      </c>
      <c r="C726" s="370" t="s">
        <v>2445</v>
      </c>
      <c r="D726" s="370" t="str">
        <f t="shared" si="11"/>
        <v>1441233__PPPz</v>
      </c>
      <c r="E726" s="370" t="s">
        <v>361</v>
      </c>
      <c r="F726" s="371">
        <v>802459</v>
      </c>
      <c r="G726" s="372">
        <v>2.29</v>
      </c>
      <c r="H726" s="371">
        <v>21792.212518195047</v>
      </c>
      <c r="I726" s="371">
        <v>27909.315580448965</v>
      </c>
      <c r="J726" s="373">
        <v>25541.509141493505</v>
      </c>
      <c r="K726" s="313"/>
      <c r="L726" s="313"/>
    </row>
    <row r="727" spans="1:12" ht="15.75" thickBot="1" x14ac:dyDescent="0.3">
      <c r="A727" s="374">
        <v>1441233</v>
      </c>
      <c r="B727" s="375" t="s">
        <v>568</v>
      </c>
      <c r="C727" s="375" t="s">
        <v>2446</v>
      </c>
      <c r="D727" s="375" t="str">
        <f t="shared" si="11"/>
        <v>1441233__VED</v>
      </c>
      <c r="E727" s="375" t="s">
        <v>361</v>
      </c>
      <c r="F727" s="376">
        <v>284619</v>
      </c>
      <c r="G727" s="377">
        <v>0.61280000000000001</v>
      </c>
      <c r="H727" s="376">
        <v>28884.116460777048</v>
      </c>
      <c r="I727" s="376">
        <v>37080.612836285349</v>
      </c>
      <c r="J727" s="378">
        <v>36005.111530854439</v>
      </c>
      <c r="K727" s="313"/>
      <c r="L727" s="313"/>
    </row>
    <row r="728" spans="1:12" x14ac:dyDescent="0.25">
      <c r="A728" s="364">
        <v>1622964</v>
      </c>
      <c r="B728" s="365" t="s">
        <v>969</v>
      </c>
      <c r="C728" s="365" t="s">
        <v>2442</v>
      </c>
      <c r="D728" s="365" t="str">
        <f t="shared" si="11"/>
        <v>1622964__ADM</v>
      </c>
      <c r="E728" s="365" t="s">
        <v>361</v>
      </c>
      <c r="F728" s="366">
        <v>0</v>
      </c>
      <c r="G728" s="367">
        <v>0</v>
      </c>
      <c r="H728" s="366">
        <v>0</v>
      </c>
      <c r="I728" s="366">
        <v>34560.328049956115</v>
      </c>
      <c r="J728" s="368">
        <v>30033.24018674179</v>
      </c>
      <c r="K728" s="313"/>
      <c r="L728" s="313"/>
    </row>
    <row r="729" spans="1:12" x14ac:dyDescent="0.25">
      <c r="A729" s="369">
        <v>1622964</v>
      </c>
      <c r="B729" s="370" t="s">
        <v>969</v>
      </c>
      <c r="C729" s="370" t="s">
        <v>2443</v>
      </c>
      <c r="D729" s="370" t="str">
        <f t="shared" si="11"/>
        <v>1622964__MAN</v>
      </c>
      <c r="E729" s="370" t="s">
        <v>361</v>
      </c>
      <c r="F729" s="371">
        <v>0</v>
      </c>
      <c r="G729" s="372">
        <v>0</v>
      </c>
      <c r="H729" s="371">
        <v>0</v>
      </c>
      <c r="I729" s="371">
        <v>21908.248995957834</v>
      </c>
      <c r="J729" s="373">
        <v>18693.404509806744</v>
      </c>
      <c r="K729" s="313"/>
      <c r="L729" s="313"/>
    </row>
    <row r="730" spans="1:12" x14ac:dyDescent="0.25">
      <c r="A730" s="369">
        <v>1622964</v>
      </c>
      <c r="B730" s="370" t="s">
        <v>969</v>
      </c>
      <c r="C730" s="370" t="s">
        <v>2444</v>
      </c>
      <c r="D730" s="370" t="str">
        <f t="shared" si="11"/>
        <v>1622964__PPPs</v>
      </c>
      <c r="E730" s="370" t="s">
        <v>361</v>
      </c>
      <c r="F730" s="371">
        <v>3085214</v>
      </c>
      <c r="G730" s="372">
        <v>7.5</v>
      </c>
      <c r="H730" s="371">
        <v>25582.205638474294</v>
      </c>
      <c r="I730" s="371">
        <v>27078.278526243463</v>
      </c>
      <c r="J730" s="373">
        <v>26102.573409149816</v>
      </c>
      <c r="K730" s="313"/>
      <c r="L730" s="313"/>
    </row>
    <row r="731" spans="1:12" x14ac:dyDescent="0.25">
      <c r="A731" s="369">
        <v>1622964</v>
      </c>
      <c r="B731" s="370" t="s">
        <v>969</v>
      </c>
      <c r="C731" s="370" t="s">
        <v>2445</v>
      </c>
      <c r="D731" s="370" t="str">
        <f t="shared" si="11"/>
        <v>1622964__PPPz</v>
      </c>
      <c r="E731" s="370" t="s">
        <v>361</v>
      </c>
      <c r="F731" s="371">
        <v>0</v>
      </c>
      <c r="G731" s="372">
        <v>0</v>
      </c>
      <c r="H731" s="371">
        <v>0</v>
      </c>
      <c r="I731" s="371">
        <v>27909.315580448965</v>
      </c>
      <c r="J731" s="373">
        <v>25541.509141493505</v>
      </c>
      <c r="K731" s="313"/>
      <c r="L731" s="313"/>
    </row>
    <row r="732" spans="1:12" ht="15.75" thickBot="1" x14ac:dyDescent="0.3">
      <c r="A732" s="374">
        <v>1622964</v>
      </c>
      <c r="B732" s="375" t="s">
        <v>969</v>
      </c>
      <c r="C732" s="375" t="s">
        <v>2446</v>
      </c>
      <c r="D732" s="375" t="str">
        <f t="shared" si="11"/>
        <v>1622964__VED</v>
      </c>
      <c r="E732" s="375" t="s">
        <v>361</v>
      </c>
      <c r="F732" s="376">
        <v>0</v>
      </c>
      <c r="G732" s="377">
        <v>0</v>
      </c>
      <c r="H732" s="376">
        <v>0</v>
      </c>
      <c r="I732" s="376">
        <v>37080.612836285349</v>
      </c>
      <c r="J732" s="378">
        <v>36005.111530854439</v>
      </c>
      <c r="K732" s="313"/>
      <c r="L732" s="313"/>
    </row>
    <row r="733" spans="1:12" x14ac:dyDescent="0.25">
      <c r="A733" s="364">
        <v>1878615</v>
      </c>
      <c r="B733" s="365" t="s">
        <v>502</v>
      </c>
      <c r="C733" s="365" t="s">
        <v>2442</v>
      </c>
      <c r="D733" s="365" t="str">
        <f t="shared" si="11"/>
        <v>1878615__ADM</v>
      </c>
      <c r="E733" s="365" t="s">
        <v>361</v>
      </c>
      <c r="F733" s="366">
        <v>64737</v>
      </c>
      <c r="G733" s="367">
        <v>0.08</v>
      </c>
      <c r="H733" s="366">
        <v>50324.160447761191</v>
      </c>
      <c r="I733" s="366">
        <v>34560.328049956115</v>
      </c>
      <c r="J733" s="368">
        <v>30033.24018674179</v>
      </c>
      <c r="K733" s="313"/>
      <c r="L733" s="313"/>
    </row>
    <row r="734" spans="1:12" x14ac:dyDescent="0.25">
      <c r="A734" s="369">
        <v>1878615</v>
      </c>
      <c r="B734" s="370" t="s">
        <v>502</v>
      </c>
      <c r="C734" s="370" t="s">
        <v>2443</v>
      </c>
      <c r="D734" s="370" t="str">
        <f t="shared" si="11"/>
        <v>1878615__MAN</v>
      </c>
      <c r="E734" s="370" t="s">
        <v>361</v>
      </c>
      <c r="F734" s="371">
        <v>162579</v>
      </c>
      <c r="G734" s="372">
        <v>0.51439999999999997</v>
      </c>
      <c r="H734" s="371">
        <v>19655.198927601497</v>
      </c>
      <c r="I734" s="371">
        <v>21908.248995957834</v>
      </c>
      <c r="J734" s="373">
        <v>18693.404509806744</v>
      </c>
      <c r="K734" s="313"/>
      <c r="L734" s="313"/>
    </row>
    <row r="735" spans="1:12" x14ac:dyDescent="0.25">
      <c r="A735" s="369">
        <v>1878615</v>
      </c>
      <c r="B735" s="370" t="s">
        <v>502</v>
      </c>
      <c r="C735" s="370" t="s">
        <v>2444</v>
      </c>
      <c r="D735" s="370" t="str">
        <f t="shared" si="11"/>
        <v>1878615__PPPs</v>
      </c>
      <c r="E735" s="370" t="s">
        <v>361</v>
      </c>
      <c r="F735" s="371">
        <v>264437</v>
      </c>
      <c r="G735" s="372">
        <v>0.63</v>
      </c>
      <c r="H735" s="371">
        <v>26103.312801073993</v>
      </c>
      <c r="I735" s="371">
        <v>27078.278526243463</v>
      </c>
      <c r="J735" s="373">
        <v>26102.573409149816</v>
      </c>
      <c r="K735" s="313"/>
      <c r="L735" s="313"/>
    </row>
    <row r="736" spans="1:12" x14ac:dyDescent="0.25">
      <c r="A736" s="369">
        <v>1878615</v>
      </c>
      <c r="B736" s="370" t="s">
        <v>502</v>
      </c>
      <c r="C736" s="370" t="s">
        <v>2445</v>
      </c>
      <c r="D736" s="370" t="str">
        <f t="shared" si="11"/>
        <v>1878615__PPPz</v>
      </c>
      <c r="E736" s="370" t="s">
        <v>361</v>
      </c>
      <c r="F736" s="371">
        <v>317225</v>
      </c>
      <c r="G736" s="372">
        <v>0.45319999999999999</v>
      </c>
      <c r="H736" s="371">
        <v>43530.279976990598</v>
      </c>
      <c r="I736" s="371">
        <v>27909.315580448965</v>
      </c>
      <c r="J736" s="373">
        <v>25541.509141493505</v>
      </c>
      <c r="K736" s="313"/>
      <c r="L736" s="313"/>
    </row>
    <row r="737" spans="1:12" ht="15.75" thickBot="1" x14ac:dyDescent="0.3">
      <c r="A737" s="374">
        <v>1878615</v>
      </c>
      <c r="B737" s="375" t="s">
        <v>502</v>
      </c>
      <c r="C737" s="375" t="s">
        <v>2446</v>
      </c>
      <c r="D737" s="375" t="str">
        <f t="shared" si="11"/>
        <v>1878615__VED</v>
      </c>
      <c r="E737" s="375" t="s">
        <v>361</v>
      </c>
      <c r="F737" s="376">
        <v>42654</v>
      </c>
      <c r="G737" s="377">
        <v>0.04</v>
      </c>
      <c r="H737" s="376">
        <v>66315.298507462678</v>
      </c>
      <c r="I737" s="376">
        <v>37080.612836285349</v>
      </c>
      <c r="J737" s="378">
        <v>36005.111530854439</v>
      </c>
      <c r="K737" s="313"/>
      <c r="L737" s="313"/>
    </row>
    <row r="738" spans="1:12" x14ac:dyDescent="0.25">
      <c r="A738" s="364">
        <v>1905494</v>
      </c>
      <c r="B738" s="365" t="s">
        <v>415</v>
      </c>
      <c r="C738" s="365" t="s">
        <v>2442</v>
      </c>
      <c r="D738" s="365" t="str">
        <f t="shared" ref="D738:D801" si="12">CONCATENATE(A738,"__",C738)</f>
        <v>1905494__ADM</v>
      </c>
      <c r="E738" s="365" t="s">
        <v>361</v>
      </c>
      <c r="F738" s="366">
        <v>542423</v>
      </c>
      <c r="G738" s="367">
        <v>1.032</v>
      </c>
      <c r="H738" s="366">
        <v>32686.796154884494</v>
      </c>
      <c r="I738" s="366">
        <v>34560.328049956115</v>
      </c>
      <c r="J738" s="368">
        <v>30033.24018674179</v>
      </c>
      <c r="K738" s="313"/>
      <c r="L738" s="313"/>
    </row>
    <row r="739" spans="1:12" x14ac:dyDescent="0.25">
      <c r="A739" s="369">
        <v>1905494</v>
      </c>
      <c r="B739" s="370" t="s">
        <v>415</v>
      </c>
      <c r="C739" s="370" t="s">
        <v>2443</v>
      </c>
      <c r="D739" s="370" t="str">
        <f t="shared" si="12"/>
        <v>1905494__MAN</v>
      </c>
      <c r="E739" s="370" t="s">
        <v>361</v>
      </c>
      <c r="F739" s="371">
        <v>396914</v>
      </c>
      <c r="G739" s="372">
        <v>1.052</v>
      </c>
      <c r="H739" s="371">
        <v>23463.599303860919</v>
      </c>
      <c r="I739" s="371">
        <v>21908.248995957834</v>
      </c>
      <c r="J739" s="373">
        <v>18693.404509806744</v>
      </c>
      <c r="K739" s="313"/>
      <c r="L739" s="313"/>
    </row>
    <row r="740" spans="1:12" x14ac:dyDescent="0.25">
      <c r="A740" s="369">
        <v>1905494</v>
      </c>
      <c r="B740" s="370" t="s">
        <v>415</v>
      </c>
      <c r="C740" s="370" t="s">
        <v>2444</v>
      </c>
      <c r="D740" s="370" t="str">
        <f t="shared" si="12"/>
        <v>1905494__PPPs</v>
      </c>
      <c r="E740" s="370" t="s">
        <v>361</v>
      </c>
      <c r="F740" s="371">
        <v>4159255</v>
      </c>
      <c r="G740" s="372">
        <v>12.068</v>
      </c>
      <c r="H740" s="371">
        <v>21433.554591972188</v>
      </c>
      <c r="I740" s="371">
        <v>27078.278526243463</v>
      </c>
      <c r="J740" s="373">
        <v>26102.573409149816</v>
      </c>
      <c r="K740" s="313"/>
      <c r="L740" s="313"/>
    </row>
    <row r="741" spans="1:12" x14ac:dyDescent="0.25">
      <c r="A741" s="369">
        <v>1905494</v>
      </c>
      <c r="B741" s="370" t="s">
        <v>415</v>
      </c>
      <c r="C741" s="370" t="s">
        <v>2445</v>
      </c>
      <c r="D741" s="370" t="str">
        <f t="shared" si="12"/>
        <v>1905494__PPPz</v>
      </c>
      <c r="E741" s="370" t="s">
        <v>361</v>
      </c>
      <c r="F741" s="371">
        <v>0</v>
      </c>
      <c r="G741" s="372">
        <v>0</v>
      </c>
      <c r="H741" s="371">
        <v>0</v>
      </c>
      <c r="I741" s="371">
        <v>27909.315580448965</v>
      </c>
      <c r="J741" s="373">
        <v>25541.509141493505</v>
      </c>
      <c r="K741" s="313"/>
      <c r="L741" s="313"/>
    </row>
    <row r="742" spans="1:12" ht="15.75" thickBot="1" x14ac:dyDescent="0.3">
      <c r="A742" s="374">
        <v>1905494</v>
      </c>
      <c r="B742" s="375" t="s">
        <v>415</v>
      </c>
      <c r="C742" s="375" t="s">
        <v>2446</v>
      </c>
      <c r="D742" s="375" t="str">
        <f t="shared" si="12"/>
        <v>1905494__VED</v>
      </c>
      <c r="E742" s="375" t="s">
        <v>361</v>
      </c>
      <c r="F742" s="376">
        <v>1346951</v>
      </c>
      <c r="G742" s="377">
        <v>2</v>
      </c>
      <c r="H742" s="376">
        <v>41882.804726368158</v>
      </c>
      <c r="I742" s="376">
        <v>37080.612836285349</v>
      </c>
      <c r="J742" s="378">
        <v>36005.111530854439</v>
      </c>
      <c r="K742" s="313"/>
      <c r="L742" s="313"/>
    </row>
    <row r="743" spans="1:12" x14ac:dyDescent="0.25">
      <c r="A743" s="364">
        <v>2189349</v>
      </c>
      <c r="B743" s="365" t="s">
        <v>753</v>
      </c>
      <c r="C743" s="365" t="s">
        <v>2442</v>
      </c>
      <c r="D743" s="365" t="str">
        <f t="shared" si="12"/>
        <v>2189349__ADM</v>
      </c>
      <c r="E743" s="365" t="s">
        <v>361</v>
      </c>
      <c r="F743" s="366">
        <v>32836</v>
      </c>
      <c r="G743" s="367">
        <v>7.1999999999999998E-3</v>
      </c>
      <c r="H743" s="366">
        <v>283616.63902708679</v>
      </c>
      <c r="I743" s="366">
        <v>34560.328049956115</v>
      </c>
      <c r="J743" s="368">
        <v>30033.24018674179</v>
      </c>
      <c r="K743" s="313"/>
      <c r="L743" s="313"/>
    </row>
    <row r="744" spans="1:12" x14ac:dyDescent="0.25">
      <c r="A744" s="369">
        <v>2189349</v>
      </c>
      <c r="B744" s="370" t="s">
        <v>753</v>
      </c>
      <c r="C744" s="370" t="s">
        <v>2443</v>
      </c>
      <c r="D744" s="370" t="str">
        <f t="shared" si="12"/>
        <v>2189349__MAN</v>
      </c>
      <c r="E744" s="370" t="s">
        <v>361</v>
      </c>
      <c r="F744" s="371">
        <v>0</v>
      </c>
      <c r="G744" s="372">
        <v>0</v>
      </c>
      <c r="H744" s="371">
        <v>0</v>
      </c>
      <c r="I744" s="371">
        <v>21908.248995957834</v>
      </c>
      <c r="J744" s="373">
        <v>18693.404509806744</v>
      </c>
      <c r="K744" s="313"/>
      <c r="L744" s="313"/>
    </row>
    <row r="745" spans="1:12" x14ac:dyDescent="0.25">
      <c r="A745" s="369">
        <v>2189349</v>
      </c>
      <c r="B745" s="370" t="s">
        <v>753</v>
      </c>
      <c r="C745" s="370" t="s">
        <v>2444</v>
      </c>
      <c r="D745" s="370" t="str">
        <f t="shared" si="12"/>
        <v>2189349__PPPs</v>
      </c>
      <c r="E745" s="370" t="s">
        <v>361</v>
      </c>
      <c r="F745" s="371">
        <v>605990</v>
      </c>
      <c r="G745" s="372">
        <v>2.25</v>
      </c>
      <c r="H745" s="371">
        <v>16749.309010503039</v>
      </c>
      <c r="I745" s="371">
        <v>27078.278526243463</v>
      </c>
      <c r="J745" s="373">
        <v>26102.573409149816</v>
      </c>
      <c r="K745" s="313"/>
      <c r="L745" s="313"/>
    </row>
    <row r="746" spans="1:12" x14ac:dyDescent="0.25">
      <c r="A746" s="369">
        <v>2189349</v>
      </c>
      <c r="B746" s="370" t="s">
        <v>753</v>
      </c>
      <c r="C746" s="370" t="s">
        <v>2445</v>
      </c>
      <c r="D746" s="370" t="str">
        <f t="shared" si="12"/>
        <v>2189349__PPPz</v>
      </c>
      <c r="E746" s="370" t="s">
        <v>361</v>
      </c>
      <c r="F746" s="371">
        <v>0</v>
      </c>
      <c r="G746" s="372">
        <v>0</v>
      </c>
      <c r="H746" s="371">
        <v>0</v>
      </c>
      <c r="I746" s="371">
        <v>27909.315580448965</v>
      </c>
      <c r="J746" s="373">
        <v>25541.509141493505</v>
      </c>
      <c r="K746" s="313"/>
      <c r="L746" s="313"/>
    </row>
    <row r="747" spans="1:12" ht="15.75" thickBot="1" x14ac:dyDescent="0.3">
      <c r="A747" s="374">
        <v>2189349</v>
      </c>
      <c r="B747" s="375" t="s">
        <v>753</v>
      </c>
      <c r="C747" s="375" t="s">
        <v>2446</v>
      </c>
      <c r="D747" s="375" t="str">
        <f t="shared" si="12"/>
        <v>2189349__VED</v>
      </c>
      <c r="E747" s="375" t="s">
        <v>361</v>
      </c>
      <c r="F747" s="376">
        <v>15350</v>
      </c>
      <c r="G747" s="377">
        <v>8.0000000000000002E-3</v>
      </c>
      <c r="H747" s="376">
        <v>119325.24875621891</v>
      </c>
      <c r="I747" s="376">
        <v>37080.612836285349</v>
      </c>
      <c r="J747" s="378">
        <v>36005.111530854439</v>
      </c>
      <c r="K747" s="313"/>
      <c r="L747" s="313"/>
    </row>
    <row r="748" spans="1:12" x14ac:dyDescent="0.25">
      <c r="A748" s="364">
        <v>3357963</v>
      </c>
      <c r="B748" s="365" t="s">
        <v>678</v>
      </c>
      <c r="C748" s="365" t="s">
        <v>2442</v>
      </c>
      <c r="D748" s="365" t="str">
        <f t="shared" si="12"/>
        <v>3357963__ADM</v>
      </c>
      <c r="E748" s="365" t="s">
        <v>361</v>
      </c>
      <c r="F748" s="366">
        <v>103813</v>
      </c>
      <c r="G748" s="367">
        <v>0.2</v>
      </c>
      <c r="H748" s="366">
        <v>32280.161691542286</v>
      </c>
      <c r="I748" s="366">
        <v>34560.328049956115</v>
      </c>
      <c r="J748" s="368">
        <v>30033.24018674179</v>
      </c>
      <c r="K748" s="313"/>
      <c r="L748" s="313"/>
    </row>
    <row r="749" spans="1:12" x14ac:dyDescent="0.25">
      <c r="A749" s="369">
        <v>3357963</v>
      </c>
      <c r="B749" s="370" t="s">
        <v>678</v>
      </c>
      <c r="C749" s="370" t="s">
        <v>2443</v>
      </c>
      <c r="D749" s="370" t="str">
        <f t="shared" si="12"/>
        <v>3357963__MAN</v>
      </c>
      <c r="E749" s="370" t="s">
        <v>361</v>
      </c>
      <c r="F749" s="371">
        <v>150489</v>
      </c>
      <c r="G749" s="372">
        <v>0.5</v>
      </c>
      <c r="H749" s="371">
        <v>18717.537313432833</v>
      </c>
      <c r="I749" s="371">
        <v>21908.248995957834</v>
      </c>
      <c r="J749" s="373">
        <v>18693.404509806744</v>
      </c>
      <c r="K749" s="313"/>
      <c r="L749" s="313"/>
    </row>
    <row r="750" spans="1:12" x14ac:dyDescent="0.25">
      <c r="A750" s="369">
        <v>3357963</v>
      </c>
      <c r="B750" s="370" t="s">
        <v>678</v>
      </c>
      <c r="C750" s="370" t="s">
        <v>2444</v>
      </c>
      <c r="D750" s="370" t="str">
        <f t="shared" si="12"/>
        <v>3357963__PPPs</v>
      </c>
      <c r="E750" s="370" t="s">
        <v>361</v>
      </c>
      <c r="F750" s="371">
        <v>527287</v>
      </c>
      <c r="G750" s="372">
        <v>1.1764000000000001</v>
      </c>
      <c r="H750" s="371">
        <v>27874.430550410136</v>
      </c>
      <c r="I750" s="371">
        <v>27078.278526243463</v>
      </c>
      <c r="J750" s="373">
        <v>26102.573409149816</v>
      </c>
      <c r="K750" s="313"/>
      <c r="L750" s="313"/>
    </row>
    <row r="751" spans="1:12" x14ac:dyDescent="0.25">
      <c r="A751" s="369">
        <v>3357963</v>
      </c>
      <c r="B751" s="370" t="s">
        <v>678</v>
      </c>
      <c r="C751" s="370" t="s">
        <v>2445</v>
      </c>
      <c r="D751" s="370" t="str">
        <f t="shared" si="12"/>
        <v>3357963__PPPz</v>
      </c>
      <c r="E751" s="370" t="s">
        <v>361</v>
      </c>
      <c r="F751" s="371">
        <v>425846</v>
      </c>
      <c r="G751" s="372">
        <v>0.73280000000000001</v>
      </c>
      <c r="H751" s="371">
        <v>36139.410751917261</v>
      </c>
      <c r="I751" s="371">
        <v>27909.315580448965</v>
      </c>
      <c r="J751" s="373">
        <v>25541.509141493505</v>
      </c>
      <c r="K751" s="313"/>
      <c r="L751" s="313"/>
    </row>
    <row r="752" spans="1:12" ht="15.75" thickBot="1" x14ac:dyDescent="0.3">
      <c r="A752" s="374">
        <v>3357963</v>
      </c>
      <c r="B752" s="375" t="s">
        <v>678</v>
      </c>
      <c r="C752" s="375" t="s">
        <v>2446</v>
      </c>
      <c r="D752" s="375" t="str">
        <f t="shared" si="12"/>
        <v>3357963__VED</v>
      </c>
      <c r="E752" s="375" t="s">
        <v>361</v>
      </c>
      <c r="F752" s="376">
        <v>82181</v>
      </c>
      <c r="G752" s="377">
        <v>0.1</v>
      </c>
      <c r="H752" s="376">
        <v>51107.58706467662</v>
      </c>
      <c r="I752" s="376">
        <v>37080.612836285349</v>
      </c>
      <c r="J752" s="378">
        <v>36005.111530854439</v>
      </c>
      <c r="K752" s="313"/>
      <c r="L752" s="313"/>
    </row>
    <row r="753" spans="1:12" x14ac:dyDescent="0.25">
      <c r="A753" s="364">
        <v>3854293</v>
      </c>
      <c r="B753" s="365" t="s">
        <v>760</v>
      </c>
      <c r="C753" s="365" t="s">
        <v>2442</v>
      </c>
      <c r="D753" s="365" t="str">
        <f t="shared" si="12"/>
        <v>3854293__ADM</v>
      </c>
      <c r="E753" s="365" t="s">
        <v>361</v>
      </c>
      <c r="F753" s="366">
        <v>2405479</v>
      </c>
      <c r="G753" s="367">
        <v>3.58</v>
      </c>
      <c r="H753" s="366">
        <v>41786.163456460708</v>
      </c>
      <c r="I753" s="366">
        <v>34560.328049956115</v>
      </c>
      <c r="J753" s="368">
        <v>30033.24018674179</v>
      </c>
      <c r="K753" s="313"/>
      <c r="L753" s="313"/>
    </row>
    <row r="754" spans="1:12" x14ac:dyDescent="0.25">
      <c r="A754" s="369">
        <v>3854293</v>
      </c>
      <c r="B754" s="370" t="s">
        <v>760</v>
      </c>
      <c r="C754" s="370" t="s">
        <v>2443</v>
      </c>
      <c r="D754" s="370" t="str">
        <f t="shared" si="12"/>
        <v>3854293__MAN</v>
      </c>
      <c r="E754" s="370" t="s">
        <v>361</v>
      </c>
      <c r="F754" s="371">
        <v>488129</v>
      </c>
      <c r="G754" s="372">
        <v>1.1599999999999999</v>
      </c>
      <c r="H754" s="371">
        <v>26169.207840109801</v>
      </c>
      <c r="I754" s="371">
        <v>21908.248995957834</v>
      </c>
      <c r="J754" s="373">
        <v>18693.404509806744</v>
      </c>
      <c r="K754" s="313"/>
      <c r="L754" s="313"/>
    </row>
    <row r="755" spans="1:12" x14ac:dyDescent="0.25">
      <c r="A755" s="369">
        <v>3854293</v>
      </c>
      <c r="B755" s="370" t="s">
        <v>760</v>
      </c>
      <c r="C755" s="370" t="s">
        <v>2444</v>
      </c>
      <c r="D755" s="370" t="str">
        <f t="shared" si="12"/>
        <v>3854293__PPPs</v>
      </c>
      <c r="E755" s="370" t="s">
        <v>361</v>
      </c>
      <c r="F755" s="371">
        <v>4379684</v>
      </c>
      <c r="G755" s="372">
        <v>11.66</v>
      </c>
      <c r="H755" s="371">
        <v>23359.211660394423</v>
      </c>
      <c r="I755" s="371">
        <v>27078.278526243463</v>
      </c>
      <c r="J755" s="373">
        <v>26102.573409149816</v>
      </c>
      <c r="K755" s="313"/>
      <c r="L755" s="313"/>
    </row>
    <row r="756" spans="1:12" x14ac:dyDescent="0.25">
      <c r="A756" s="369">
        <v>3854293</v>
      </c>
      <c r="B756" s="370" t="s">
        <v>760</v>
      </c>
      <c r="C756" s="370" t="s">
        <v>2445</v>
      </c>
      <c r="D756" s="370" t="str">
        <f t="shared" si="12"/>
        <v>3854293__PPPz</v>
      </c>
      <c r="E756" s="370" t="s">
        <v>361</v>
      </c>
      <c r="F756" s="371">
        <v>1423455</v>
      </c>
      <c r="G756" s="372">
        <v>4.1265999999999998</v>
      </c>
      <c r="H756" s="371">
        <v>21451.87827643154</v>
      </c>
      <c r="I756" s="371">
        <v>27909.315580448965</v>
      </c>
      <c r="J756" s="373">
        <v>25541.509141493505</v>
      </c>
      <c r="K756" s="313"/>
      <c r="L756" s="313"/>
    </row>
    <row r="757" spans="1:12" ht="15.75" thickBot="1" x14ac:dyDescent="0.3">
      <c r="A757" s="374">
        <v>3854293</v>
      </c>
      <c r="B757" s="375" t="s">
        <v>760</v>
      </c>
      <c r="C757" s="375" t="s">
        <v>2446</v>
      </c>
      <c r="D757" s="375" t="str">
        <f t="shared" si="12"/>
        <v>3854293__VED</v>
      </c>
      <c r="E757" s="375" t="s">
        <v>361</v>
      </c>
      <c r="F757" s="376">
        <v>412243</v>
      </c>
      <c r="G757" s="377">
        <v>0.56000000000000005</v>
      </c>
      <c r="H757" s="376">
        <v>45780.361584932478</v>
      </c>
      <c r="I757" s="376">
        <v>37080.612836285349</v>
      </c>
      <c r="J757" s="378">
        <v>36005.111530854439</v>
      </c>
      <c r="K757" s="313"/>
      <c r="L757" s="313"/>
    </row>
    <row r="758" spans="1:12" x14ac:dyDescent="0.25">
      <c r="A758" s="364">
        <v>4075651</v>
      </c>
      <c r="B758" s="365" t="s">
        <v>682</v>
      </c>
      <c r="C758" s="365" t="s">
        <v>2442</v>
      </c>
      <c r="D758" s="365" t="str">
        <f t="shared" si="12"/>
        <v>4075651__ADM</v>
      </c>
      <c r="E758" s="365" t="s">
        <v>361</v>
      </c>
      <c r="F758" s="366">
        <v>230727</v>
      </c>
      <c r="G758" s="367">
        <v>0.45829999999999999</v>
      </c>
      <c r="H758" s="366">
        <v>31308.5185028382</v>
      </c>
      <c r="I758" s="366">
        <v>34560.328049956115</v>
      </c>
      <c r="J758" s="368">
        <v>30033.24018674179</v>
      </c>
      <c r="K758" s="313"/>
      <c r="L758" s="313"/>
    </row>
    <row r="759" spans="1:12" x14ac:dyDescent="0.25">
      <c r="A759" s="369">
        <v>4075651</v>
      </c>
      <c r="B759" s="370" t="s">
        <v>682</v>
      </c>
      <c r="C759" s="370" t="s">
        <v>2443</v>
      </c>
      <c r="D759" s="370" t="str">
        <f t="shared" si="12"/>
        <v>4075651__MAN</v>
      </c>
      <c r="E759" s="370" t="s">
        <v>361</v>
      </c>
      <c r="F759" s="371">
        <v>328775</v>
      </c>
      <c r="G759" s="372">
        <v>0.91080000000000005</v>
      </c>
      <c r="H759" s="371">
        <v>22448.623701868342</v>
      </c>
      <c r="I759" s="371">
        <v>21908.248995957834</v>
      </c>
      <c r="J759" s="373">
        <v>18693.404509806744</v>
      </c>
      <c r="K759" s="313"/>
      <c r="L759" s="313"/>
    </row>
    <row r="760" spans="1:12" x14ac:dyDescent="0.25">
      <c r="A760" s="369">
        <v>4075651</v>
      </c>
      <c r="B760" s="370" t="s">
        <v>682</v>
      </c>
      <c r="C760" s="370" t="s">
        <v>2444</v>
      </c>
      <c r="D760" s="370" t="str">
        <f t="shared" si="12"/>
        <v>4075651__PPPs</v>
      </c>
      <c r="E760" s="370" t="s">
        <v>361</v>
      </c>
      <c r="F760" s="371">
        <v>1170462</v>
      </c>
      <c r="G760" s="372">
        <v>2.4791000000000003</v>
      </c>
      <c r="H760" s="371">
        <v>29361.431718419717</v>
      </c>
      <c r="I760" s="371">
        <v>27078.278526243463</v>
      </c>
      <c r="J760" s="373">
        <v>26102.573409149816</v>
      </c>
      <c r="K760" s="313"/>
      <c r="L760" s="313"/>
    </row>
    <row r="761" spans="1:12" x14ac:dyDescent="0.25">
      <c r="A761" s="369">
        <v>4075651</v>
      </c>
      <c r="B761" s="370" t="s">
        <v>682</v>
      </c>
      <c r="C761" s="370" t="s">
        <v>2445</v>
      </c>
      <c r="D761" s="370" t="str">
        <f t="shared" si="12"/>
        <v>4075651__PPPz</v>
      </c>
      <c r="E761" s="370" t="s">
        <v>361</v>
      </c>
      <c r="F761" s="371">
        <v>521422</v>
      </c>
      <c r="G761" s="372">
        <v>1.48</v>
      </c>
      <c r="H761" s="371">
        <v>21909.960333467796</v>
      </c>
      <c r="I761" s="371">
        <v>27909.315580448965</v>
      </c>
      <c r="J761" s="373">
        <v>25541.509141493505</v>
      </c>
      <c r="K761" s="313"/>
      <c r="L761" s="313"/>
    </row>
    <row r="762" spans="1:12" ht="15.75" thickBot="1" x14ac:dyDescent="0.3">
      <c r="A762" s="374">
        <v>4075651</v>
      </c>
      <c r="B762" s="375" t="s">
        <v>682</v>
      </c>
      <c r="C762" s="375" t="s">
        <v>2446</v>
      </c>
      <c r="D762" s="375" t="str">
        <f t="shared" si="12"/>
        <v>4075651__VED</v>
      </c>
      <c r="E762" s="375" t="s">
        <v>361</v>
      </c>
      <c r="F762" s="376">
        <v>81961</v>
      </c>
      <c r="G762" s="377">
        <v>0.1</v>
      </c>
      <c r="H762" s="376">
        <v>50970.771144278602</v>
      </c>
      <c r="I762" s="376">
        <v>37080.612836285349</v>
      </c>
      <c r="J762" s="378">
        <v>36005.111530854439</v>
      </c>
      <c r="K762" s="313"/>
      <c r="L762" s="313"/>
    </row>
    <row r="763" spans="1:12" x14ac:dyDescent="0.25">
      <c r="A763" s="364">
        <v>4461551</v>
      </c>
      <c r="B763" s="365" t="s">
        <v>760</v>
      </c>
      <c r="C763" s="365" t="s">
        <v>2442</v>
      </c>
      <c r="D763" s="365" t="str">
        <f t="shared" si="12"/>
        <v>4461551__ADM</v>
      </c>
      <c r="E763" s="365" t="s">
        <v>361</v>
      </c>
      <c r="F763" s="366">
        <v>3027150</v>
      </c>
      <c r="G763" s="367">
        <v>6</v>
      </c>
      <c r="H763" s="366">
        <v>31375.932835820895</v>
      </c>
      <c r="I763" s="366">
        <v>34560.328049956115</v>
      </c>
      <c r="J763" s="368">
        <v>30033.24018674179</v>
      </c>
      <c r="K763" s="313"/>
      <c r="L763" s="313"/>
    </row>
    <row r="764" spans="1:12" x14ac:dyDescent="0.25">
      <c r="A764" s="369">
        <v>4461551</v>
      </c>
      <c r="B764" s="370" t="s">
        <v>760</v>
      </c>
      <c r="C764" s="370" t="s">
        <v>2443</v>
      </c>
      <c r="D764" s="370" t="str">
        <f t="shared" si="12"/>
        <v>4461551__MAN</v>
      </c>
      <c r="E764" s="370" t="s">
        <v>361</v>
      </c>
      <c r="F764" s="371">
        <v>1586281</v>
      </c>
      <c r="G764" s="372">
        <v>3.79</v>
      </c>
      <c r="H764" s="371">
        <v>26028.843250764643</v>
      </c>
      <c r="I764" s="371">
        <v>21908.248995957834</v>
      </c>
      <c r="J764" s="373">
        <v>18693.404509806744</v>
      </c>
      <c r="K764" s="313"/>
      <c r="L764" s="313"/>
    </row>
    <row r="765" spans="1:12" x14ac:dyDescent="0.25">
      <c r="A765" s="369">
        <v>4461551</v>
      </c>
      <c r="B765" s="370" t="s">
        <v>760</v>
      </c>
      <c r="C765" s="370" t="s">
        <v>2444</v>
      </c>
      <c r="D765" s="370" t="str">
        <f t="shared" si="12"/>
        <v>4461551__PPPs</v>
      </c>
      <c r="E765" s="370" t="s">
        <v>361</v>
      </c>
      <c r="F765" s="371">
        <v>5047764</v>
      </c>
      <c r="G765" s="372">
        <v>11.88</v>
      </c>
      <c r="H765" s="371">
        <v>26423.878084325843</v>
      </c>
      <c r="I765" s="371">
        <v>27078.278526243463</v>
      </c>
      <c r="J765" s="373">
        <v>26102.573409149816</v>
      </c>
      <c r="K765" s="313"/>
      <c r="L765" s="313"/>
    </row>
    <row r="766" spans="1:12" x14ac:dyDescent="0.25">
      <c r="A766" s="369">
        <v>4461551</v>
      </c>
      <c r="B766" s="370" t="s">
        <v>760</v>
      </c>
      <c r="C766" s="370" t="s">
        <v>2445</v>
      </c>
      <c r="D766" s="370" t="str">
        <f t="shared" si="12"/>
        <v>4461551__PPPz</v>
      </c>
      <c r="E766" s="370" t="s">
        <v>361</v>
      </c>
      <c r="F766" s="371">
        <v>10933092</v>
      </c>
      <c r="G766" s="372">
        <v>20.303999999999998</v>
      </c>
      <c r="H766" s="371">
        <v>33486.931477364953</v>
      </c>
      <c r="I766" s="371">
        <v>27909.315580448965</v>
      </c>
      <c r="J766" s="373">
        <v>25541.509141493505</v>
      </c>
      <c r="K766" s="313"/>
      <c r="L766" s="313"/>
    </row>
    <row r="767" spans="1:12" ht="15.75" thickBot="1" x14ac:dyDescent="0.3">
      <c r="A767" s="374">
        <v>4461551</v>
      </c>
      <c r="B767" s="375" t="s">
        <v>760</v>
      </c>
      <c r="C767" s="375" t="s">
        <v>2446</v>
      </c>
      <c r="D767" s="375" t="str">
        <f t="shared" si="12"/>
        <v>4461551__VED</v>
      </c>
      <c r="E767" s="375" t="s">
        <v>361</v>
      </c>
      <c r="F767" s="376">
        <v>865504</v>
      </c>
      <c r="G767" s="377">
        <v>2</v>
      </c>
      <c r="H767" s="376">
        <v>26912.43781094527</v>
      </c>
      <c r="I767" s="376">
        <v>37080.612836285349</v>
      </c>
      <c r="J767" s="378">
        <v>36005.111530854439</v>
      </c>
      <c r="K767" s="313"/>
      <c r="L767" s="313"/>
    </row>
    <row r="768" spans="1:12" x14ac:dyDescent="0.25">
      <c r="A768" s="364">
        <v>5060032</v>
      </c>
      <c r="B768" s="365" t="s">
        <v>883</v>
      </c>
      <c r="C768" s="365" t="s">
        <v>2442</v>
      </c>
      <c r="D768" s="365" t="str">
        <f t="shared" si="12"/>
        <v>5060032__ADM</v>
      </c>
      <c r="E768" s="365" t="s">
        <v>361</v>
      </c>
      <c r="F768" s="366">
        <v>0</v>
      </c>
      <c r="G768" s="367">
        <v>0</v>
      </c>
      <c r="H768" s="366">
        <v>0</v>
      </c>
      <c r="I768" s="366">
        <v>34560.328049956115</v>
      </c>
      <c r="J768" s="368">
        <v>30033.24018674179</v>
      </c>
      <c r="K768" s="313"/>
      <c r="L768" s="313"/>
    </row>
    <row r="769" spans="1:12" x14ac:dyDescent="0.25">
      <c r="A769" s="369">
        <v>5060032</v>
      </c>
      <c r="B769" s="370" t="s">
        <v>883</v>
      </c>
      <c r="C769" s="370" t="s">
        <v>2443</v>
      </c>
      <c r="D769" s="370" t="str">
        <f t="shared" si="12"/>
        <v>5060032__MAN</v>
      </c>
      <c r="E769" s="370" t="s">
        <v>361</v>
      </c>
      <c r="F769" s="371">
        <v>0</v>
      </c>
      <c r="G769" s="372">
        <v>0</v>
      </c>
      <c r="H769" s="371">
        <v>0</v>
      </c>
      <c r="I769" s="371">
        <v>21908.248995957834</v>
      </c>
      <c r="J769" s="373">
        <v>18693.404509806744</v>
      </c>
      <c r="K769" s="313"/>
      <c r="L769" s="313"/>
    </row>
    <row r="770" spans="1:12" x14ac:dyDescent="0.25">
      <c r="A770" s="369">
        <v>5060032</v>
      </c>
      <c r="B770" s="370" t="s">
        <v>883</v>
      </c>
      <c r="C770" s="370" t="s">
        <v>2444</v>
      </c>
      <c r="D770" s="370" t="str">
        <f t="shared" si="12"/>
        <v>5060032__PPPs</v>
      </c>
      <c r="E770" s="370" t="s">
        <v>361</v>
      </c>
      <c r="F770" s="371">
        <v>427506</v>
      </c>
      <c r="G770" s="372">
        <v>1.2</v>
      </c>
      <c r="H770" s="371">
        <v>22155.161691542289</v>
      </c>
      <c r="I770" s="371">
        <v>27078.278526243463</v>
      </c>
      <c r="J770" s="373">
        <v>26102.573409149816</v>
      </c>
      <c r="K770" s="313"/>
      <c r="L770" s="313"/>
    </row>
    <row r="771" spans="1:12" x14ac:dyDescent="0.25">
      <c r="A771" s="369">
        <v>5060032</v>
      </c>
      <c r="B771" s="370" t="s">
        <v>883</v>
      </c>
      <c r="C771" s="370" t="s">
        <v>2445</v>
      </c>
      <c r="D771" s="370" t="str">
        <f t="shared" si="12"/>
        <v>5060032__PPPz</v>
      </c>
      <c r="E771" s="370" t="s">
        <v>361</v>
      </c>
      <c r="F771" s="371">
        <v>0</v>
      </c>
      <c r="G771" s="372">
        <v>0</v>
      </c>
      <c r="H771" s="371">
        <v>0</v>
      </c>
      <c r="I771" s="371">
        <v>27909.315580448965</v>
      </c>
      <c r="J771" s="373">
        <v>25541.509141493505</v>
      </c>
      <c r="K771" s="313"/>
      <c r="L771" s="313"/>
    </row>
    <row r="772" spans="1:12" ht="15.75" thickBot="1" x14ac:dyDescent="0.3">
      <c r="A772" s="374">
        <v>5060032</v>
      </c>
      <c r="B772" s="375" t="s">
        <v>883</v>
      </c>
      <c r="C772" s="375" t="s">
        <v>2446</v>
      </c>
      <c r="D772" s="375" t="str">
        <f t="shared" si="12"/>
        <v>5060032__VED</v>
      </c>
      <c r="E772" s="375" t="s">
        <v>361</v>
      </c>
      <c r="F772" s="376">
        <v>0</v>
      </c>
      <c r="G772" s="377">
        <v>0</v>
      </c>
      <c r="H772" s="376">
        <v>0</v>
      </c>
      <c r="I772" s="376">
        <v>37080.612836285349</v>
      </c>
      <c r="J772" s="378">
        <v>36005.111530854439</v>
      </c>
      <c r="K772" s="313"/>
      <c r="L772" s="313"/>
    </row>
    <row r="773" spans="1:12" x14ac:dyDescent="0.25">
      <c r="A773" s="364">
        <v>6375207</v>
      </c>
      <c r="B773" s="365" t="s">
        <v>997</v>
      </c>
      <c r="C773" s="365" t="s">
        <v>2442</v>
      </c>
      <c r="D773" s="365" t="str">
        <f t="shared" si="12"/>
        <v>6375207__ADM</v>
      </c>
      <c r="E773" s="365" t="s">
        <v>361</v>
      </c>
      <c r="F773" s="366">
        <v>24275</v>
      </c>
      <c r="G773" s="367">
        <v>0.01</v>
      </c>
      <c r="H773" s="366">
        <v>150963.9303482587</v>
      </c>
      <c r="I773" s="366">
        <v>34560.328049956115</v>
      </c>
      <c r="J773" s="368">
        <v>30033.24018674179</v>
      </c>
      <c r="K773" s="313"/>
      <c r="L773" s="313"/>
    </row>
    <row r="774" spans="1:12" x14ac:dyDescent="0.25">
      <c r="A774" s="369">
        <v>6375207</v>
      </c>
      <c r="B774" s="370" t="s">
        <v>997</v>
      </c>
      <c r="C774" s="370" t="s">
        <v>2443</v>
      </c>
      <c r="D774" s="370" t="str">
        <f t="shared" si="12"/>
        <v>6375207__MAN</v>
      </c>
      <c r="E774" s="370" t="s">
        <v>361</v>
      </c>
      <c r="F774" s="371">
        <v>0</v>
      </c>
      <c r="G774" s="372">
        <v>0</v>
      </c>
      <c r="H774" s="371">
        <v>0</v>
      </c>
      <c r="I774" s="371">
        <v>21908.248995957834</v>
      </c>
      <c r="J774" s="373">
        <v>18693.404509806744</v>
      </c>
      <c r="K774" s="313"/>
      <c r="L774" s="313"/>
    </row>
    <row r="775" spans="1:12" x14ac:dyDescent="0.25">
      <c r="A775" s="369">
        <v>6375207</v>
      </c>
      <c r="B775" s="370" t="s">
        <v>997</v>
      </c>
      <c r="C775" s="370" t="s">
        <v>2444</v>
      </c>
      <c r="D775" s="370" t="str">
        <f t="shared" si="12"/>
        <v>6375207__PPPs</v>
      </c>
      <c r="E775" s="370" t="s">
        <v>361</v>
      </c>
      <c r="F775" s="371">
        <v>1003034</v>
      </c>
      <c r="G775" s="372">
        <v>0.96310000000000007</v>
      </c>
      <c r="H775" s="371">
        <v>64767.66308629213</v>
      </c>
      <c r="I775" s="371">
        <v>27078.278526243463</v>
      </c>
      <c r="J775" s="373">
        <v>26102.573409149816</v>
      </c>
      <c r="K775" s="313"/>
      <c r="L775" s="313"/>
    </row>
    <row r="776" spans="1:12" x14ac:dyDescent="0.25">
      <c r="A776" s="369">
        <v>6375207</v>
      </c>
      <c r="B776" s="370" t="s">
        <v>997</v>
      </c>
      <c r="C776" s="370" t="s">
        <v>2445</v>
      </c>
      <c r="D776" s="370" t="str">
        <f t="shared" si="12"/>
        <v>6375207__PPPz</v>
      </c>
      <c r="E776" s="370" t="s">
        <v>361</v>
      </c>
      <c r="F776" s="371">
        <v>0</v>
      </c>
      <c r="G776" s="372">
        <v>0</v>
      </c>
      <c r="H776" s="371">
        <v>0</v>
      </c>
      <c r="I776" s="371">
        <v>27909.315580448965</v>
      </c>
      <c r="J776" s="373">
        <v>25541.509141493505</v>
      </c>
      <c r="K776" s="313"/>
      <c r="L776" s="313"/>
    </row>
    <row r="777" spans="1:12" ht="15.75" thickBot="1" x14ac:dyDescent="0.3">
      <c r="A777" s="374">
        <v>6375207</v>
      </c>
      <c r="B777" s="375" t="s">
        <v>997</v>
      </c>
      <c r="C777" s="375" t="s">
        <v>2446</v>
      </c>
      <c r="D777" s="375" t="str">
        <f t="shared" si="12"/>
        <v>6375207__VED</v>
      </c>
      <c r="E777" s="375" t="s">
        <v>361</v>
      </c>
      <c r="F777" s="376">
        <v>8061</v>
      </c>
      <c r="G777" s="377">
        <v>0.01</v>
      </c>
      <c r="H777" s="376">
        <v>50130.59701492537</v>
      </c>
      <c r="I777" s="376">
        <v>37080.612836285349</v>
      </c>
      <c r="J777" s="378">
        <v>36005.111530854439</v>
      </c>
      <c r="K777" s="313"/>
      <c r="L777" s="313"/>
    </row>
    <row r="778" spans="1:12" x14ac:dyDescent="0.25">
      <c r="A778" s="364">
        <v>6749255</v>
      </c>
      <c r="B778" s="365" t="s">
        <v>531</v>
      </c>
      <c r="C778" s="365" t="s">
        <v>2442</v>
      </c>
      <c r="D778" s="365" t="str">
        <f t="shared" si="12"/>
        <v>6749255__ADM</v>
      </c>
      <c r="E778" s="365" t="s">
        <v>361</v>
      </c>
      <c r="F778" s="366">
        <v>0</v>
      </c>
      <c r="G778" s="367">
        <v>0</v>
      </c>
      <c r="H778" s="366">
        <v>0</v>
      </c>
      <c r="I778" s="366">
        <v>34560.328049956115</v>
      </c>
      <c r="J778" s="368">
        <v>30033.24018674179</v>
      </c>
      <c r="K778" s="313"/>
      <c r="L778" s="313"/>
    </row>
    <row r="779" spans="1:12" x14ac:dyDescent="0.25">
      <c r="A779" s="369">
        <v>6749255</v>
      </c>
      <c r="B779" s="370" t="s">
        <v>531</v>
      </c>
      <c r="C779" s="370" t="s">
        <v>2443</v>
      </c>
      <c r="D779" s="370" t="str">
        <f t="shared" si="12"/>
        <v>6749255__MAN</v>
      </c>
      <c r="E779" s="370" t="s">
        <v>361</v>
      </c>
      <c r="F779" s="371">
        <v>19647</v>
      </c>
      <c r="G779" s="372">
        <v>0.1008</v>
      </c>
      <c r="H779" s="371">
        <v>12121.313077469795</v>
      </c>
      <c r="I779" s="371">
        <v>21908.248995957834</v>
      </c>
      <c r="J779" s="373">
        <v>18693.404509806744</v>
      </c>
      <c r="K779" s="313"/>
      <c r="L779" s="313"/>
    </row>
    <row r="780" spans="1:12" x14ac:dyDescent="0.25">
      <c r="A780" s="369">
        <v>6749255</v>
      </c>
      <c r="B780" s="370" t="s">
        <v>531</v>
      </c>
      <c r="C780" s="370" t="s">
        <v>2444</v>
      </c>
      <c r="D780" s="370" t="str">
        <f t="shared" si="12"/>
        <v>6749255__PPPs</v>
      </c>
      <c r="E780" s="370" t="s">
        <v>361</v>
      </c>
      <c r="F780" s="371">
        <v>2611601</v>
      </c>
      <c r="G780" s="372">
        <v>6.1749999999999998</v>
      </c>
      <c r="H780" s="371">
        <v>26301.700002014222</v>
      </c>
      <c r="I780" s="371">
        <v>27078.278526243463</v>
      </c>
      <c r="J780" s="373">
        <v>26102.573409149816</v>
      </c>
      <c r="K780" s="313"/>
      <c r="L780" s="313"/>
    </row>
    <row r="781" spans="1:12" x14ac:dyDescent="0.25">
      <c r="A781" s="369">
        <v>6749255</v>
      </c>
      <c r="B781" s="370" t="s">
        <v>531</v>
      </c>
      <c r="C781" s="370" t="s">
        <v>2445</v>
      </c>
      <c r="D781" s="370" t="str">
        <f t="shared" si="12"/>
        <v>6749255__PPPz</v>
      </c>
      <c r="E781" s="370" t="s">
        <v>361</v>
      </c>
      <c r="F781" s="371">
        <v>0</v>
      </c>
      <c r="G781" s="372">
        <v>0</v>
      </c>
      <c r="H781" s="371">
        <v>0</v>
      </c>
      <c r="I781" s="371">
        <v>27909.315580448965</v>
      </c>
      <c r="J781" s="373">
        <v>25541.509141493505</v>
      </c>
      <c r="K781" s="313"/>
      <c r="L781" s="313"/>
    </row>
    <row r="782" spans="1:12" ht="15.75" thickBot="1" x14ac:dyDescent="0.3">
      <c r="A782" s="374">
        <v>6749255</v>
      </c>
      <c r="B782" s="375" t="s">
        <v>531</v>
      </c>
      <c r="C782" s="375" t="s">
        <v>2446</v>
      </c>
      <c r="D782" s="375" t="str">
        <f t="shared" si="12"/>
        <v>6749255__VED</v>
      </c>
      <c r="E782" s="375" t="s">
        <v>361</v>
      </c>
      <c r="F782" s="376">
        <v>108353</v>
      </c>
      <c r="G782" s="377">
        <v>0.125</v>
      </c>
      <c r="H782" s="376">
        <v>53906.965174129349</v>
      </c>
      <c r="I782" s="376">
        <v>37080.612836285349</v>
      </c>
      <c r="J782" s="378">
        <v>36005.111530854439</v>
      </c>
      <c r="K782" s="313"/>
      <c r="L782" s="313"/>
    </row>
    <row r="783" spans="1:12" x14ac:dyDescent="0.25">
      <c r="A783" s="364">
        <v>7071797</v>
      </c>
      <c r="B783" s="365" t="s">
        <v>519</v>
      </c>
      <c r="C783" s="365" t="s">
        <v>2442</v>
      </c>
      <c r="D783" s="365" t="str">
        <f t="shared" si="12"/>
        <v>7071797__ADM</v>
      </c>
      <c r="E783" s="365" t="s">
        <v>361</v>
      </c>
      <c r="F783" s="366">
        <v>215553</v>
      </c>
      <c r="G783" s="367">
        <v>0.4</v>
      </c>
      <c r="H783" s="366">
        <v>33512.593283582086</v>
      </c>
      <c r="I783" s="366">
        <v>34560.328049956115</v>
      </c>
      <c r="J783" s="368">
        <v>30033.24018674179</v>
      </c>
      <c r="K783" s="313"/>
      <c r="L783" s="313"/>
    </row>
    <row r="784" spans="1:12" x14ac:dyDescent="0.25">
      <c r="A784" s="369">
        <v>7071797</v>
      </c>
      <c r="B784" s="370" t="s">
        <v>519</v>
      </c>
      <c r="C784" s="370" t="s">
        <v>2443</v>
      </c>
      <c r="D784" s="370" t="str">
        <f t="shared" si="12"/>
        <v>7071797__MAN</v>
      </c>
      <c r="E784" s="370" t="s">
        <v>361</v>
      </c>
      <c r="F784" s="371">
        <v>32119</v>
      </c>
      <c r="G784" s="372">
        <v>1</v>
      </c>
      <c r="H784" s="371">
        <v>1997.4502487562188</v>
      </c>
      <c r="I784" s="371">
        <v>21908.248995957834</v>
      </c>
      <c r="J784" s="373">
        <v>18693.404509806744</v>
      </c>
      <c r="K784" s="313"/>
      <c r="L784" s="313"/>
    </row>
    <row r="785" spans="1:12" x14ac:dyDescent="0.25">
      <c r="A785" s="369">
        <v>7071797</v>
      </c>
      <c r="B785" s="370" t="s">
        <v>519</v>
      </c>
      <c r="C785" s="370" t="s">
        <v>2444</v>
      </c>
      <c r="D785" s="370" t="str">
        <f t="shared" si="12"/>
        <v>7071797__PPPs</v>
      </c>
      <c r="E785" s="370" t="s">
        <v>361</v>
      </c>
      <c r="F785" s="371">
        <v>3013980</v>
      </c>
      <c r="G785" s="372">
        <v>3.8132000000000001</v>
      </c>
      <c r="H785" s="371">
        <v>49154.664629229803</v>
      </c>
      <c r="I785" s="371">
        <v>27078.278526243463</v>
      </c>
      <c r="J785" s="373">
        <v>26102.573409149816</v>
      </c>
      <c r="K785" s="313"/>
      <c r="L785" s="313"/>
    </row>
    <row r="786" spans="1:12" x14ac:dyDescent="0.25">
      <c r="A786" s="369">
        <v>7071797</v>
      </c>
      <c r="B786" s="370" t="s">
        <v>519</v>
      </c>
      <c r="C786" s="370" t="s">
        <v>2445</v>
      </c>
      <c r="D786" s="370" t="str">
        <f t="shared" si="12"/>
        <v>7071797__PPPz</v>
      </c>
      <c r="E786" s="370" t="s">
        <v>361</v>
      </c>
      <c r="F786" s="371">
        <v>81842</v>
      </c>
      <c r="G786" s="372">
        <v>1.72</v>
      </c>
      <c r="H786" s="371">
        <v>2959.1143121601294</v>
      </c>
      <c r="I786" s="371">
        <v>27909.315580448965</v>
      </c>
      <c r="J786" s="373">
        <v>25541.509141493505</v>
      </c>
      <c r="K786" s="313"/>
      <c r="L786" s="313"/>
    </row>
    <row r="787" spans="1:12" ht="15.75" thickBot="1" x14ac:dyDescent="0.3">
      <c r="A787" s="374">
        <v>7071797</v>
      </c>
      <c r="B787" s="375" t="s">
        <v>519</v>
      </c>
      <c r="C787" s="375" t="s">
        <v>2446</v>
      </c>
      <c r="D787" s="375" t="str">
        <f t="shared" si="12"/>
        <v>7071797__VED</v>
      </c>
      <c r="E787" s="375" t="s">
        <v>361</v>
      </c>
      <c r="F787" s="376">
        <v>143702</v>
      </c>
      <c r="G787" s="377">
        <v>0.2</v>
      </c>
      <c r="H787" s="376">
        <v>44683.457711442788</v>
      </c>
      <c r="I787" s="376">
        <v>37080.612836285349</v>
      </c>
      <c r="J787" s="378">
        <v>36005.111530854439</v>
      </c>
      <c r="K787" s="313"/>
      <c r="L787" s="313"/>
    </row>
    <row r="788" spans="1:12" x14ac:dyDescent="0.25">
      <c r="A788" s="364">
        <v>9223411</v>
      </c>
      <c r="B788" s="365" t="s">
        <v>358</v>
      </c>
      <c r="C788" s="365" t="s">
        <v>2442</v>
      </c>
      <c r="D788" s="365" t="str">
        <f t="shared" si="12"/>
        <v>9223411__ADM</v>
      </c>
      <c r="E788" s="365" t="s">
        <v>361</v>
      </c>
      <c r="F788" s="366">
        <v>76124</v>
      </c>
      <c r="G788" s="367">
        <v>0.2</v>
      </c>
      <c r="H788" s="366">
        <v>23670.398009950248</v>
      </c>
      <c r="I788" s="366">
        <v>34560.328049956115</v>
      </c>
      <c r="J788" s="368">
        <v>30033.24018674179</v>
      </c>
      <c r="K788" s="313"/>
      <c r="L788" s="313"/>
    </row>
    <row r="789" spans="1:12" x14ac:dyDescent="0.25">
      <c r="A789" s="369">
        <v>9223411</v>
      </c>
      <c r="B789" s="370" t="s">
        <v>358</v>
      </c>
      <c r="C789" s="370" t="s">
        <v>2443</v>
      </c>
      <c r="D789" s="370" t="str">
        <f t="shared" si="12"/>
        <v>9223411__MAN</v>
      </c>
      <c r="E789" s="370" t="s">
        <v>361</v>
      </c>
      <c r="F789" s="371">
        <v>126295</v>
      </c>
      <c r="G789" s="372">
        <v>0.33560000000000001</v>
      </c>
      <c r="H789" s="371">
        <v>23403.357171235595</v>
      </c>
      <c r="I789" s="371">
        <v>21908.248995957834</v>
      </c>
      <c r="J789" s="373">
        <v>18693.404509806744</v>
      </c>
      <c r="K789" s="313"/>
      <c r="L789" s="313"/>
    </row>
    <row r="790" spans="1:12" x14ac:dyDescent="0.25">
      <c r="A790" s="369">
        <v>9223411</v>
      </c>
      <c r="B790" s="370" t="s">
        <v>358</v>
      </c>
      <c r="C790" s="370" t="s">
        <v>2444</v>
      </c>
      <c r="D790" s="370" t="str">
        <f t="shared" si="12"/>
        <v>9223411__PPPs</v>
      </c>
      <c r="E790" s="370" t="s">
        <v>361</v>
      </c>
      <c r="F790" s="371">
        <v>1443913</v>
      </c>
      <c r="G790" s="372">
        <v>1.3992</v>
      </c>
      <c r="H790" s="371">
        <v>64176.375483929689</v>
      </c>
      <c r="I790" s="371">
        <v>27078.278526243463</v>
      </c>
      <c r="J790" s="373">
        <v>26102.573409149816</v>
      </c>
      <c r="K790" s="313"/>
      <c r="L790" s="313"/>
    </row>
    <row r="791" spans="1:12" x14ac:dyDescent="0.25">
      <c r="A791" s="369">
        <v>9223411</v>
      </c>
      <c r="B791" s="370" t="s">
        <v>358</v>
      </c>
      <c r="C791" s="370" t="s">
        <v>2445</v>
      </c>
      <c r="D791" s="370" t="str">
        <f t="shared" si="12"/>
        <v>9223411__PPPz</v>
      </c>
      <c r="E791" s="370" t="s">
        <v>361</v>
      </c>
      <c r="F791" s="371">
        <v>262542</v>
      </c>
      <c r="G791" s="372">
        <v>1.8</v>
      </c>
      <c r="H791" s="371">
        <v>9070.6882255389701</v>
      </c>
      <c r="I791" s="371">
        <v>27909.315580448965</v>
      </c>
      <c r="J791" s="373">
        <v>25541.509141493505</v>
      </c>
      <c r="K791" s="313"/>
      <c r="L791" s="313"/>
    </row>
    <row r="792" spans="1:12" ht="15.75" thickBot="1" x14ac:dyDescent="0.3">
      <c r="A792" s="374">
        <v>9223411</v>
      </c>
      <c r="B792" s="375" t="s">
        <v>358</v>
      </c>
      <c r="C792" s="375" t="s">
        <v>2446</v>
      </c>
      <c r="D792" s="375" t="str">
        <f t="shared" si="12"/>
        <v>9223411__VED</v>
      </c>
      <c r="E792" s="375" t="s">
        <v>361</v>
      </c>
      <c r="F792" s="376">
        <v>159604</v>
      </c>
      <c r="G792" s="377">
        <v>0.2</v>
      </c>
      <c r="H792" s="376">
        <v>49628.109452736317</v>
      </c>
      <c r="I792" s="376">
        <v>37080.612836285349</v>
      </c>
      <c r="J792" s="378">
        <v>36005.111530854439</v>
      </c>
      <c r="K792" s="313"/>
      <c r="L792" s="313"/>
    </row>
    <row r="793" spans="1:12" x14ac:dyDescent="0.25">
      <c r="A793" s="364">
        <v>1806042</v>
      </c>
      <c r="B793" s="365" t="s">
        <v>375</v>
      </c>
      <c r="C793" s="365" t="s">
        <v>2442</v>
      </c>
      <c r="D793" s="365" t="str">
        <f t="shared" si="12"/>
        <v>1806042__ADM</v>
      </c>
      <c r="E793" s="365" t="s">
        <v>225</v>
      </c>
      <c r="F793" s="366">
        <v>76420</v>
      </c>
      <c r="G793" s="367">
        <v>3.5999999999999999E-3</v>
      </c>
      <c r="H793" s="366">
        <v>1320135.4339414041</v>
      </c>
      <c r="I793" s="366">
        <v>27021.261431386833</v>
      </c>
      <c r="J793" s="368">
        <v>31920.058895154769</v>
      </c>
      <c r="K793" s="313"/>
      <c r="L793" s="313"/>
    </row>
    <row r="794" spans="1:12" x14ac:dyDescent="0.25">
      <c r="A794" s="369">
        <v>1806042</v>
      </c>
      <c r="B794" s="370" t="s">
        <v>375</v>
      </c>
      <c r="C794" s="370" t="s">
        <v>2443</v>
      </c>
      <c r="D794" s="370" t="str">
        <f t="shared" si="12"/>
        <v>1806042__MAN</v>
      </c>
      <c r="E794" s="370" t="s">
        <v>225</v>
      </c>
      <c r="F794" s="371">
        <v>0</v>
      </c>
      <c r="G794" s="372">
        <v>0</v>
      </c>
      <c r="H794" s="371">
        <v>0</v>
      </c>
      <c r="I794" s="371">
        <v>24186.478548732168</v>
      </c>
      <c r="J794" s="373">
        <v>25373.814491623296</v>
      </c>
      <c r="K794" s="313"/>
      <c r="L794" s="313"/>
    </row>
    <row r="795" spans="1:12" x14ac:dyDescent="0.25">
      <c r="A795" s="369">
        <v>1806042</v>
      </c>
      <c r="B795" s="370" t="s">
        <v>375</v>
      </c>
      <c r="C795" s="370" t="s">
        <v>2444</v>
      </c>
      <c r="D795" s="370" t="str">
        <f t="shared" si="12"/>
        <v>1806042__PPPs</v>
      </c>
      <c r="E795" s="370" t="s">
        <v>225</v>
      </c>
      <c r="F795" s="371">
        <v>2061449</v>
      </c>
      <c r="G795" s="372">
        <v>5.83</v>
      </c>
      <c r="H795" s="371">
        <v>21989.633735268766</v>
      </c>
      <c r="I795" s="371">
        <v>23059.348030624205</v>
      </c>
      <c r="J795" s="373">
        <v>23004.176189640086</v>
      </c>
      <c r="K795" s="313"/>
      <c r="L795" s="313"/>
    </row>
    <row r="796" spans="1:12" x14ac:dyDescent="0.25">
      <c r="A796" s="369">
        <v>1806042</v>
      </c>
      <c r="B796" s="370" t="s">
        <v>375</v>
      </c>
      <c r="C796" s="370" t="s">
        <v>2445</v>
      </c>
      <c r="D796" s="370" t="str">
        <f t="shared" si="12"/>
        <v>1806042__PPPz</v>
      </c>
      <c r="E796" s="370" t="s">
        <v>225</v>
      </c>
      <c r="F796" s="371">
        <v>0</v>
      </c>
      <c r="G796" s="372">
        <v>0</v>
      </c>
      <c r="H796" s="371">
        <v>0</v>
      </c>
      <c r="I796" s="371">
        <v>0</v>
      </c>
      <c r="J796" s="373">
        <v>50671.401983307645</v>
      </c>
      <c r="K796" s="313"/>
      <c r="L796" s="313"/>
    </row>
    <row r="797" spans="1:12" ht="15.75" thickBot="1" x14ac:dyDescent="0.3">
      <c r="A797" s="374">
        <v>1806042</v>
      </c>
      <c r="B797" s="375" t="s">
        <v>375</v>
      </c>
      <c r="C797" s="375" t="s">
        <v>2446</v>
      </c>
      <c r="D797" s="375" t="str">
        <f t="shared" si="12"/>
        <v>1806042__VED</v>
      </c>
      <c r="E797" s="375" t="s">
        <v>225</v>
      </c>
      <c r="F797" s="376">
        <v>116940</v>
      </c>
      <c r="G797" s="377">
        <v>7.4899999999999994E-2</v>
      </c>
      <c r="H797" s="376">
        <v>97094.633640874395</v>
      </c>
      <c r="I797" s="376">
        <v>39371.142465074379</v>
      </c>
      <c r="J797" s="378">
        <v>41349.748151000626</v>
      </c>
      <c r="K797" s="313"/>
      <c r="L797" s="313"/>
    </row>
    <row r="798" spans="1:12" x14ac:dyDescent="0.25">
      <c r="A798" s="364">
        <v>2039109</v>
      </c>
      <c r="B798" s="365" t="s">
        <v>281</v>
      </c>
      <c r="C798" s="365" t="s">
        <v>2442</v>
      </c>
      <c r="D798" s="365" t="str">
        <f t="shared" si="12"/>
        <v>2039109__ADM</v>
      </c>
      <c r="E798" s="365" t="s">
        <v>225</v>
      </c>
      <c r="F798" s="366">
        <v>611898</v>
      </c>
      <c r="G798" s="367">
        <v>1</v>
      </c>
      <c r="H798" s="366">
        <v>38053.358208955222</v>
      </c>
      <c r="I798" s="366">
        <v>27021.261431386833</v>
      </c>
      <c r="J798" s="368">
        <v>31920.058895154769</v>
      </c>
      <c r="K798" s="313"/>
      <c r="L798" s="313"/>
    </row>
    <row r="799" spans="1:12" x14ac:dyDescent="0.25">
      <c r="A799" s="369">
        <v>2039109</v>
      </c>
      <c r="B799" s="370" t="s">
        <v>281</v>
      </c>
      <c r="C799" s="370" t="s">
        <v>2443</v>
      </c>
      <c r="D799" s="370" t="str">
        <f t="shared" si="12"/>
        <v>2039109__MAN</v>
      </c>
      <c r="E799" s="370" t="s">
        <v>225</v>
      </c>
      <c r="F799" s="371">
        <v>0</v>
      </c>
      <c r="G799" s="372">
        <v>0</v>
      </c>
      <c r="H799" s="371">
        <v>0</v>
      </c>
      <c r="I799" s="371">
        <v>24186.478548732168</v>
      </c>
      <c r="J799" s="373">
        <v>25373.814491623296</v>
      </c>
      <c r="K799" s="313"/>
      <c r="L799" s="313"/>
    </row>
    <row r="800" spans="1:12" x14ac:dyDescent="0.25">
      <c r="A800" s="369">
        <v>2039109</v>
      </c>
      <c r="B800" s="370" t="s">
        <v>281</v>
      </c>
      <c r="C800" s="370" t="s">
        <v>2444</v>
      </c>
      <c r="D800" s="370" t="str">
        <f t="shared" si="12"/>
        <v>2039109__PPPs</v>
      </c>
      <c r="E800" s="370" t="s">
        <v>225</v>
      </c>
      <c r="F800" s="371">
        <v>2907521</v>
      </c>
      <c r="G800" s="372">
        <v>6.0590000000000002</v>
      </c>
      <c r="H800" s="371">
        <v>29842.545401397041</v>
      </c>
      <c r="I800" s="371">
        <v>23059.348030624205</v>
      </c>
      <c r="J800" s="373">
        <v>23004.176189640086</v>
      </c>
      <c r="K800" s="313"/>
      <c r="L800" s="313"/>
    </row>
    <row r="801" spans="1:12" x14ac:dyDescent="0.25">
      <c r="A801" s="369">
        <v>2039109</v>
      </c>
      <c r="B801" s="370" t="s">
        <v>281</v>
      </c>
      <c r="C801" s="370" t="s">
        <v>2445</v>
      </c>
      <c r="D801" s="370" t="str">
        <f t="shared" si="12"/>
        <v>2039109__PPPz</v>
      </c>
      <c r="E801" s="370" t="s">
        <v>225</v>
      </c>
      <c r="F801" s="371">
        <v>0</v>
      </c>
      <c r="G801" s="372">
        <v>0</v>
      </c>
      <c r="H801" s="371">
        <v>0</v>
      </c>
      <c r="I801" s="371">
        <v>0</v>
      </c>
      <c r="J801" s="373">
        <v>50671.401983307645</v>
      </c>
      <c r="K801" s="313"/>
      <c r="L801" s="313"/>
    </row>
    <row r="802" spans="1:12" ht="15.75" thickBot="1" x14ac:dyDescent="0.3">
      <c r="A802" s="374">
        <v>2039109</v>
      </c>
      <c r="B802" s="375" t="s">
        <v>281</v>
      </c>
      <c r="C802" s="375" t="s">
        <v>2446</v>
      </c>
      <c r="D802" s="375" t="str">
        <f t="shared" ref="D802:D865" si="13">CONCATENATE(A802,"__",C802)</f>
        <v>2039109__VED</v>
      </c>
      <c r="E802" s="375" t="s">
        <v>225</v>
      </c>
      <c r="F802" s="376">
        <v>214460</v>
      </c>
      <c r="G802" s="377">
        <v>0.29399999999999998</v>
      </c>
      <c r="H802" s="376">
        <v>45364.165566724201</v>
      </c>
      <c r="I802" s="376">
        <v>39371.142465074379</v>
      </c>
      <c r="J802" s="378">
        <v>41349.748151000626</v>
      </c>
      <c r="K802" s="313"/>
      <c r="L802" s="313"/>
    </row>
    <row r="803" spans="1:12" x14ac:dyDescent="0.25">
      <c r="A803" s="364">
        <v>2392006</v>
      </c>
      <c r="B803" s="365" t="s">
        <v>553</v>
      </c>
      <c r="C803" s="365" t="s">
        <v>2442</v>
      </c>
      <c r="D803" s="365" t="str">
        <f t="shared" si="13"/>
        <v>2392006__ADM</v>
      </c>
      <c r="E803" s="365" t="s">
        <v>225</v>
      </c>
      <c r="F803" s="366">
        <v>205835</v>
      </c>
      <c r="G803" s="367">
        <v>0.5121</v>
      </c>
      <c r="H803" s="366">
        <v>24996.453973056025</v>
      </c>
      <c r="I803" s="366">
        <v>27021.261431386833</v>
      </c>
      <c r="J803" s="368">
        <v>31920.058895154769</v>
      </c>
      <c r="K803" s="313"/>
      <c r="L803" s="313"/>
    </row>
    <row r="804" spans="1:12" x14ac:dyDescent="0.25">
      <c r="A804" s="369">
        <v>2392006</v>
      </c>
      <c r="B804" s="370" t="s">
        <v>553</v>
      </c>
      <c r="C804" s="370" t="s">
        <v>2443</v>
      </c>
      <c r="D804" s="370" t="str">
        <f t="shared" si="13"/>
        <v>2392006__MAN</v>
      </c>
      <c r="E804" s="370" t="s">
        <v>225</v>
      </c>
      <c r="F804" s="371">
        <v>0</v>
      </c>
      <c r="G804" s="372">
        <v>0</v>
      </c>
      <c r="H804" s="371">
        <v>0</v>
      </c>
      <c r="I804" s="371">
        <v>24186.478548732168</v>
      </c>
      <c r="J804" s="373">
        <v>25373.814491623296</v>
      </c>
      <c r="K804" s="313"/>
      <c r="L804" s="313"/>
    </row>
    <row r="805" spans="1:12" x14ac:dyDescent="0.25">
      <c r="A805" s="369">
        <v>2392006</v>
      </c>
      <c r="B805" s="370" t="s">
        <v>553</v>
      </c>
      <c r="C805" s="370" t="s">
        <v>2444</v>
      </c>
      <c r="D805" s="370" t="str">
        <f t="shared" si="13"/>
        <v>2392006__PPPs</v>
      </c>
      <c r="E805" s="370" t="s">
        <v>225</v>
      </c>
      <c r="F805" s="371">
        <v>2004106</v>
      </c>
      <c r="G805" s="372">
        <v>6.6315999999999997</v>
      </c>
      <c r="H805" s="371">
        <v>18793.874436251099</v>
      </c>
      <c r="I805" s="371">
        <v>23059.348030624205</v>
      </c>
      <c r="J805" s="373">
        <v>23004.176189640086</v>
      </c>
      <c r="K805" s="313"/>
      <c r="L805" s="313"/>
    </row>
    <row r="806" spans="1:12" x14ac:dyDescent="0.25">
      <c r="A806" s="369">
        <v>2392006</v>
      </c>
      <c r="B806" s="370" t="s">
        <v>553</v>
      </c>
      <c r="C806" s="370" t="s">
        <v>2445</v>
      </c>
      <c r="D806" s="370" t="str">
        <f t="shared" si="13"/>
        <v>2392006__PPPz</v>
      </c>
      <c r="E806" s="370" t="s">
        <v>225</v>
      </c>
      <c r="F806" s="371">
        <v>0</v>
      </c>
      <c r="G806" s="372">
        <v>0</v>
      </c>
      <c r="H806" s="371">
        <v>0</v>
      </c>
      <c r="I806" s="371">
        <v>0</v>
      </c>
      <c r="J806" s="373">
        <v>50671.401983307645</v>
      </c>
      <c r="K806" s="313"/>
      <c r="L806" s="313"/>
    </row>
    <row r="807" spans="1:12" ht="15.75" thickBot="1" x14ac:dyDescent="0.3">
      <c r="A807" s="374">
        <v>2392006</v>
      </c>
      <c r="B807" s="375" t="s">
        <v>553</v>
      </c>
      <c r="C807" s="375" t="s">
        <v>2446</v>
      </c>
      <c r="D807" s="375" t="str">
        <f t="shared" si="13"/>
        <v>2392006__VED</v>
      </c>
      <c r="E807" s="375" t="s">
        <v>225</v>
      </c>
      <c r="F807" s="376">
        <v>335548</v>
      </c>
      <c r="G807" s="377">
        <v>0.48</v>
      </c>
      <c r="H807" s="376">
        <v>43473.776948590385</v>
      </c>
      <c r="I807" s="376">
        <v>39371.142465074379</v>
      </c>
      <c r="J807" s="378">
        <v>41349.748151000626</v>
      </c>
      <c r="K807" s="313"/>
      <c r="L807" s="313"/>
    </row>
    <row r="808" spans="1:12" x14ac:dyDescent="0.25">
      <c r="A808" s="364">
        <v>3198258</v>
      </c>
      <c r="B808" s="365" t="s">
        <v>965</v>
      </c>
      <c r="C808" s="365" t="s">
        <v>2442</v>
      </c>
      <c r="D808" s="365" t="str">
        <f t="shared" si="13"/>
        <v>3198258__ADM</v>
      </c>
      <c r="E808" s="365" t="s">
        <v>225</v>
      </c>
      <c r="F808" s="366">
        <v>0</v>
      </c>
      <c r="G808" s="367">
        <v>0</v>
      </c>
      <c r="H808" s="366">
        <v>0</v>
      </c>
      <c r="I808" s="366">
        <v>27021.261431386833</v>
      </c>
      <c r="J808" s="368">
        <v>31920.058895154769</v>
      </c>
      <c r="K808" s="313"/>
      <c r="L808" s="313"/>
    </row>
    <row r="809" spans="1:12" x14ac:dyDescent="0.25">
      <c r="A809" s="369">
        <v>3198258</v>
      </c>
      <c r="B809" s="370" t="s">
        <v>965</v>
      </c>
      <c r="C809" s="370" t="s">
        <v>2443</v>
      </c>
      <c r="D809" s="370" t="str">
        <f t="shared" si="13"/>
        <v>3198258__MAN</v>
      </c>
      <c r="E809" s="370" t="s">
        <v>225</v>
      </c>
      <c r="F809" s="371">
        <v>0</v>
      </c>
      <c r="G809" s="372">
        <v>0</v>
      </c>
      <c r="H809" s="371">
        <v>0</v>
      </c>
      <c r="I809" s="371">
        <v>24186.478548732168</v>
      </c>
      <c r="J809" s="373">
        <v>25373.814491623296</v>
      </c>
      <c r="K809" s="313"/>
      <c r="L809" s="313"/>
    </row>
    <row r="810" spans="1:12" x14ac:dyDescent="0.25">
      <c r="A810" s="369">
        <v>3198258</v>
      </c>
      <c r="B810" s="370" t="s">
        <v>965</v>
      </c>
      <c r="C810" s="370" t="s">
        <v>2444</v>
      </c>
      <c r="D810" s="370" t="str">
        <f t="shared" si="13"/>
        <v>3198258__PPPs</v>
      </c>
      <c r="E810" s="370" t="s">
        <v>225</v>
      </c>
      <c r="F810" s="371">
        <v>2543295</v>
      </c>
      <c r="G810" s="372">
        <v>7.48</v>
      </c>
      <c r="H810" s="371">
        <v>21145.068441216372</v>
      </c>
      <c r="I810" s="371">
        <v>23059.348030624205</v>
      </c>
      <c r="J810" s="373">
        <v>23004.176189640086</v>
      </c>
      <c r="K810" s="313"/>
      <c r="L810" s="313"/>
    </row>
    <row r="811" spans="1:12" x14ac:dyDescent="0.25">
      <c r="A811" s="369">
        <v>3198258</v>
      </c>
      <c r="B811" s="370" t="s">
        <v>965</v>
      </c>
      <c r="C811" s="370" t="s">
        <v>2445</v>
      </c>
      <c r="D811" s="370" t="str">
        <f t="shared" si="13"/>
        <v>3198258__PPPz</v>
      </c>
      <c r="E811" s="370" t="s">
        <v>225</v>
      </c>
      <c r="F811" s="371">
        <v>0</v>
      </c>
      <c r="G811" s="372">
        <v>0</v>
      </c>
      <c r="H811" s="371">
        <v>0</v>
      </c>
      <c r="I811" s="371">
        <v>0</v>
      </c>
      <c r="J811" s="373">
        <v>50671.401983307645</v>
      </c>
      <c r="K811" s="313"/>
      <c r="L811" s="313"/>
    </row>
    <row r="812" spans="1:12" ht="15.75" thickBot="1" x14ac:dyDescent="0.3">
      <c r="A812" s="374">
        <v>3198258</v>
      </c>
      <c r="B812" s="375" t="s">
        <v>965</v>
      </c>
      <c r="C812" s="375" t="s">
        <v>2446</v>
      </c>
      <c r="D812" s="375" t="str">
        <f t="shared" si="13"/>
        <v>3198258__VED</v>
      </c>
      <c r="E812" s="375" t="s">
        <v>225</v>
      </c>
      <c r="F812" s="376">
        <v>569847</v>
      </c>
      <c r="G812" s="377">
        <v>0.9</v>
      </c>
      <c r="H812" s="376">
        <v>39375.829187396354</v>
      </c>
      <c r="I812" s="376">
        <v>39371.142465074379</v>
      </c>
      <c r="J812" s="378">
        <v>41349.748151000626</v>
      </c>
      <c r="K812" s="313"/>
      <c r="L812" s="313"/>
    </row>
    <row r="813" spans="1:12" x14ac:dyDescent="0.25">
      <c r="A813" s="364">
        <v>4271738</v>
      </c>
      <c r="B813" s="365" t="s">
        <v>1141</v>
      </c>
      <c r="C813" s="365" t="s">
        <v>2442</v>
      </c>
      <c r="D813" s="365" t="str">
        <f t="shared" si="13"/>
        <v>4271738__ADM</v>
      </c>
      <c r="E813" s="365" t="s">
        <v>225</v>
      </c>
      <c r="F813" s="366">
        <v>54300</v>
      </c>
      <c r="G813" s="367">
        <v>0.1</v>
      </c>
      <c r="H813" s="366">
        <v>33768.656716417907</v>
      </c>
      <c r="I813" s="366">
        <v>27021.261431386833</v>
      </c>
      <c r="J813" s="368">
        <v>31920.058895154769</v>
      </c>
      <c r="K813" s="313"/>
      <c r="L813" s="313"/>
    </row>
    <row r="814" spans="1:12" x14ac:dyDescent="0.25">
      <c r="A814" s="369">
        <v>4271738</v>
      </c>
      <c r="B814" s="370" t="s">
        <v>1141</v>
      </c>
      <c r="C814" s="370" t="s">
        <v>2443</v>
      </c>
      <c r="D814" s="370" t="str">
        <f t="shared" si="13"/>
        <v>4271738__MAN</v>
      </c>
      <c r="E814" s="370" t="s">
        <v>225</v>
      </c>
      <c r="F814" s="371">
        <v>0</v>
      </c>
      <c r="G814" s="372">
        <v>0</v>
      </c>
      <c r="H814" s="371">
        <v>0</v>
      </c>
      <c r="I814" s="371">
        <v>24186.478548732168</v>
      </c>
      <c r="J814" s="373">
        <v>25373.814491623296</v>
      </c>
      <c r="K814" s="313"/>
      <c r="L814" s="313"/>
    </row>
    <row r="815" spans="1:12" x14ac:dyDescent="0.25">
      <c r="A815" s="369">
        <v>4271738</v>
      </c>
      <c r="B815" s="370" t="s">
        <v>1141</v>
      </c>
      <c r="C815" s="370" t="s">
        <v>2444</v>
      </c>
      <c r="D815" s="370" t="str">
        <f t="shared" si="13"/>
        <v>4271738__PPPs</v>
      </c>
      <c r="E815" s="370" t="s">
        <v>225</v>
      </c>
      <c r="F815" s="371">
        <v>3722512</v>
      </c>
      <c r="G815" s="372">
        <v>13</v>
      </c>
      <c r="H815" s="371">
        <v>17807.654037504784</v>
      </c>
      <c r="I815" s="371">
        <v>23059.348030624205</v>
      </c>
      <c r="J815" s="373">
        <v>23004.176189640086</v>
      </c>
      <c r="K815" s="313"/>
      <c r="L815" s="313"/>
    </row>
    <row r="816" spans="1:12" x14ac:dyDescent="0.25">
      <c r="A816" s="369">
        <v>4271738</v>
      </c>
      <c r="B816" s="370" t="s">
        <v>1141</v>
      </c>
      <c r="C816" s="370" t="s">
        <v>2445</v>
      </c>
      <c r="D816" s="370" t="str">
        <f t="shared" si="13"/>
        <v>4271738__PPPz</v>
      </c>
      <c r="E816" s="370" t="s">
        <v>225</v>
      </c>
      <c r="F816" s="371">
        <v>0</v>
      </c>
      <c r="G816" s="372">
        <v>0</v>
      </c>
      <c r="H816" s="371">
        <v>0</v>
      </c>
      <c r="I816" s="371">
        <v>0</v>
      </c>
      <c r="J816" s="373">
        <v>50671.401983307645</v>
      </c>
      <c r="K816" s="313"/>
      <c r="L816" s="313"/>
    </row>
    <row r="817" spans="1:12" ht="15.75" thickBot="1" x14ac:dyDescent="0.3">
      <c r="A817" s="374">
        <v>4271738</v>
      </c>
      <c r="B817" s="375" t="s">
        <v>1141</v>
      </c>
      <c r="C817" s="375" t="s">
        <v>2446</v>
      </c>
      <c r="D817" s="375" t="str">
        <f t="shared" si="13"/>
        <v>4271738__VED</v>
      </c>
      <c r="E817" s="375" t="s">
        <v>225</v>
      </c>
      <c r="F817" s="376">
        <v>573527</v>
      </c>
      <c r="G817" s="377">
        <v>1</v>
      </c>
      <c r="H817" s="376">
        <v>35667.101990049749</v>
      </c>
      <c r="I817" s="376">
        <v>39371.142465074379</v>
      </c>
      <c r="J817" s="378">
        <v>41349.748151000626</v>
      </c>
      <c r="K817" s="313"/>
      <c r="L817" s="313"/>
    </row>
    <row r="818" spans="1:12" x14ac:dyDescent="0.25">
      <c r="A818" s="364">
        <v>5991938</v>
      </c>
      <c r="B818" s="365" t="s">
        <v>887</v>
      </c>
      <c r="C818" s="365" t="s">
        <v>2442</v>
      </c>
      <c r="D818" s="365" t="str">
        <f t="shared" si="13"/>
        <v>5991938__ADM</v>
      </c>
      <c r="E818" s="365" t="s">
        <v>225</v>
      </c>
      <c r="F818" s="366">
        <v>221210</v>
      </c>
      <c r="G818" s="367">
        <v>1</v>
      </c>
      <c r="H818" s="366">
        <v>13756.8407960199</v>
      </c>
      <c r="I818" s="366">
        <v>27021.261431386833</v>
      </c>
      <c r="J818" s="368">
        <v>31920.058895154769</v>
      </c>
      <c r="K818" s="313"/>
      <c r="L818" s="313"/>
    </row>
    <row r="819" spans="1:12" x14ac:dyDescent="0.25">
      <c r="A819" s="369">
        <v>5991938</v>
      </c>
      <c r="B819" s="370" t="s">
        <v>887</v>
      </c>
      <c r="C819" s="370" t="s">
        <v>2443</v>
      </c>
      <c r="D819" s="370" t="str">
        <f t="shared" si="13"/>
        <v>5991938__MAN</v>
      </c>
      <c r="E819" s="370" t="s">
        <v>225</v>
      </c>
      <c r="F819" s="371">
        <v>0</v>
      </c>
      <c r="G819" s="372">
        <v>0</v>
      </c>
      <c r="H819" s="371">
        <v>0</v>
      </c>
      <c r="I819" s="371">
        <v>24186.478548732168</v>
      </c>
      <c r="J819" s="373">
        <v>25373.814491623296</v>
      </c>
      <c r="K819" s="313"/>
      <c r="L819" s="313"/>
    </row>
    <row r="820" spans="1:12" x14ac:dyDescent="0.25">
      <c r="A820" s="369">
        <v>5991938</v>
      </c>
      <c r="B820" s="370" t="s">
        <v>887</v>
      </c>
      <c r="C820" s="370" t="s">
        <v>2444</v>
      </c>
      <c r="D820" s="370" t="str">
        <f t="shared" si="13"/>
        <v>5991938__PPPs</v>
      </c>
      <c r="E820" s="370" t="s">
        <v>225</v>
      </c>
      <c r="F820" s="371">
        <v>2023553</v>
      </c>
      <c r="G820" s="372">
        <v>6.1584000000000003</v>
      </c>
      <c r="H820" s="371">
        <v>20434.341429382057</v>
      </c>
      <c r="I820" s="371">
        <v>23059.348030624205</v>
      </c>
      <c r="J820" s="373">
        <v>23004.176189640086</v>
      </c>
      <c r="K820" s="313"/>
      <c r="L820" s="313"/>
    </row>
    <row r="821" spans="1:12" x14ac:dyDescent="0.25">
      <c r="A821" s="369">
        <v>5991938</v>
      </c>
      <c r="B821" s="370" t="s">
        <v>887</v>
      </c>
      <c r="C821" s="370" t="s">
        <v>2445</v>
      </c>
      <c r="D821" s="370" t="str">
        <f t="shared" si="13"/>
        <v>5991938__PPPz</v>
      </c>
      <c r="E821" s="370" t="s">
        <v>225</v>
      </c>
      <c r="F821" s="371">
        <v>0</v>
      </c>
      <c r="G821" s="372">
        <v>0</v>
      </c>
      <c r="H821" s="371">
        <v>0</v>
      </c>
      <c r="I821" s="371">
        <v>0</v>
      </c>
      <c r="J821" s="373">
        <v>50671.401983307645</v>
      </c>
      <c r="K821" s="313"/>
      <c r="L821" s="313"/>
    </row>
    <row r="822" spans="1:12" ht="15.75" thickBot="1" x14ac:dyDescent="0.3">
      <c r="A822" s="374">
        <v>5991938</v>
      </c>
      <c r="B822" s="375" t="s">
        <v>887</v>
      </c>
      <c r="C822" s="375" t="s">
        <v>2446</v>
      </c>
      <c r="D822" s="375" t="str">
        <f t="shared" si="13"/>
        <v>5991938__VED</v>
      </c>
      <c r="E822" s="375" t="s">
        <v>225</v>
      </c>
      <c r="F822" s="376">
        <v>0</v>
      </c>
      <c r="G822" s="377">
        <v>0</v>
      </c>
      <c r="H822" s="376">
        <v>0</v>
      </c>
      <c r="I822" s="376">
        <v>39371.142465074379</v>
      </c>
      <c r="J822" s="378">
        <v>41349.748151000626</v>
      </c>
      <c r="K822" s="313"/>
      <c r="L822" s="313"/>
    </row>
    <row r="823" spans="1:12" x14ac:dyDescent="0.25">
      <c r="A823" s="364">
        <v>6152074</v>
      </c>
      <c r="B823" s="365" t="s">
        <v>214</v>
      </c>
      <c r="C823" s="365" t="s">
        <v>2442</v>
      </c>
      <c r="D823" s="365" t="str">
        <f t="shared" si="13"/>
        <v>6152074__ADM</v>
      </c>
      <c r="E823" s="365" t="s">
        <v>225</v>
      </c>
      <c r="F823" s="366">
        <v>244088</v>
      </c>
      <c r="G823" s="367">
        <v>0.7046</v>
      </c>
      <c r="H823" s="366">
        <v>21543.573644691671</v>
      </c>
      <c r="I823" s="366">
        <v>27021.261431386833</v>
      </c>
      <c r="J823" s="368">
        <v>31920.058895154769</v>
      </c>
      <c r="K823" s="313"/>
      <c r="L823" s="313"/>
    </row>
    <row r="824" spans="1:12" x14ac:dyDescent="0.25">
      <c r="A824" s="369">
        <v>6152074</v>
      </c>
      <c r="B824" s="370" t="s">
        <v>214</v>
      </c>
      <c r="C824" s="370" t="s">
        <v>2443</v>
      </c>
      <c r="D824" s="370" t="str">
        <f t="shared" si="13"/>
        <v>6152074__MAN</v>
      </c>
      <c r="E824" s="370" t="s">
        <v>225</v>
      </c>
      <c r="F824" s="371">
        <v>15376</v>
      </c>
      <c r="G824" s="372">
        <v>5.7200000000000001E-2</v>
      </c>
      <c r="H824" s="371">
        <v>16717.113732039103</v>
      </c>
      <c r="I824" s="371">
        <v>24186.478548732168</v>
      </c>
      <c r="J824" s="373">
        <v>25373.814491623296</v>
      </c>
      <c r="K824" s="313"/>
      <c r="L824" s="313"/>
    </row>
    <row r="825" spans="1:12" x14ac:dyDescent="0.25">
      <c r="A825" s="369">
        <v>6152074</v>
      </c>
      <c r="B825" s="370" t="s">
        <v>214</v>
      </c>
      <c r="C825" s="370" t="s">
        <v>2444</v>
      </c>
      <c r="D825" s="370" t="str">
        <f t="shared" si="13"/>
        <v>6152074__PPPs</v>
      </c>
      <c r="E825" s="370" t="s">
        <v>225</v>
      </c>
      <c r="F825" s="371">
        <v>3184533</v>
      </c>
      <c r="G825" s="372">
        <v>7.7271999999999998</v>
      </c>
      <c r="H825" s="371">
        <v>25629.34788991166</v>
      </c>
      <c r="I825" s="371">
        <v>23059.348030624205</v>
      </c>
      <c r="J825" s="373">
        <v>23004.176189640086</v>
      </c>
      <c r="K825" s="313"/>
      <c r="L825" s="313"/>
    </row>
    <row r="826" spans="1:12" x14ac:dyDescent="0.25">
      <c r="A826" s="369">
        <v>6152074</v>
      </c>
      <c r="B826" s="370" t="s">
        <v>214</v>
      </c>
      <c r="C826" s="370" t="s">
        <v>2445</v>
      </c>
      <c r="D826" s="370" t="str">
        <f t="shared" si="13"/>
        <v>6152074__PPPz</v>
      </c>
      <c r="E826" s="370" t="s">
        <v>225</v>
      </c>
      <c r="F826" s="371">
        <v>0</v>
      </c>
      <c r="G826" s="372">
        <v>0</v>
      </c>
      <c r="H826" s="371">
        <v>0</v>
      </c>
      <c r="I826" s="371">
        <v>0</v>
      </c>
      <c r="J826" s="373">
        <v>50671.401983307645</v>
      </c>
      <c r="K826" s="313"/>
      <c r="L826" s="313"/>
    </row>
    <row r="827" spans="1:12" ht="15.75" thickBot="1" x14ac:dyDescent="0.3">
      <c r="A827" s="374">
        <v>6152074</v>
      </c>
      <c r="B827" s="375" t="s">
        <v>214</v>
      </c>
      <c r="C827" s="375" t="s">
        <v>2446</v>
      </c>
      <c r="D827" s="375" t="str">
        <f t="shared" si="13"/>
        <v>6152074__VED</v>
      </c>
      <c r="E827" s="375" t="s">
        <v>225</v>
      </c>
      <c r="F827" s="376">
        <v>269362</v>
      </c>
      <c r="G827" s="377">
        <v>0.3</v>
      </c>
      <c r="H827" s="376">
        <v>55837.893864013269</v>
      </c>
      <c r="I827" s="376">
        <v>39371.142465074379</v>
      </c>
      <c r="J827" s="378">
        <v>41349.748151000626</v>
      </c>
      <c r="K827" s="313"/>
      <c r="L827" s="313"/>
    </row>
    <row r="828" spans="1:12" x14ac:dyDescent="0.25">
      <c r="A828" s="364">
        <v>7459230</v>
      </c>
      <c r="B828" s="365" t="s">
        <v>826</v>
      </c>
      <c r="C828" s="365" t="s">
        <v>2442</v>
      </c>
      <c r="D828" s="365" t="str">
        <f t="shared" si="13"/>
        <v>7459230__ADM</v>
      </c>
      <c r="E828" s="365" t="s">
        <v>225</v>
      </c>
      <c r="F828" s="366">
        <v>54804</v>
      </c>
      <c r="G828" s="367">
        <v>0.1</v>
      </c>
      <c r="H828" s="366">
        <v>34082.089552238802</v>
      </c>
      <c r="I828" s="366">
        <v>27021.261431386833</v>
      </c>
      <c r="J828" s="368">
        <v>31920.058895154769</v>
      </c>
      <c r="K828" s="313"/>
      <c r="L828" s="313"/>
    </row>
    <row r="829" spans="1:12" x14ac:dyDescent="0.25">
      <c r="A829" s="369">
        <v>7459230</v>
      </c>
      <c r="B829" s="370" t="s">
        <v>826</v>
      </c>
      <c r="C829" s="370" t="s">
        <v>2443</v>
      </c>
      <c r="D829" s="370" t="str">
        <f t="shared" si="13"/>
        <v>7459230__MAN</v>
      </c>
      <c r="E829" s="370" t="s">
        <v>225</v>
      </c>
      <c r="F829" s="371">
        <v>45762</v>
      </c>
      <c r="G829" s="372">
        <v>0.1</v>
      </c>
      <c r="H829" s="371">
        <v>28458.955223880595</v>
      </c>
      <c r="I829" s="371">
        <v>24186.478548732168</v>
      </c>
      <c r="J829" s="373">
        <v>25373.814491623296</v>
      </c>
      <c r="K829" s="313"/>
      <c r="L829" s="313"/>
    </row>
    <row r="830" spans="1:12" x14ac:dyDescent="0.25">
      <c r="A830" s="369">
        <v>7459230</v>
      </c>
      <c r="B830" s="370" t="s">
        <v>826</v>
      </c>
      <c r="C830" s="370" t="s">
        <v>2444</v>
      </c>
      <c r="D830" s="370" t="str">
        <f t="shared" si="13"/>
        <v>7459230__PPPs</v>
      </c>
      <c r="E830" s="370" t="s">
        <v>225</v>
      </c>
      <c r="F830" s="371">
        <v>3763822</v>
      </c>
      <c r="G830" s="372">
        <v>8.1434000000000015</v>
      </c>
      <c r="H830" s="371">
        <v>28743.342134527149</v>
      </c>
      <c r="I830" s="371">
        <v>23059.348030624205</v>
      </c>
      <c r="J830" s="373">
        <v>23004.176189640086</v>
      </c>
      <c r="K830" s="313"/>
      <c r="L830" s="313"/>
    </row>
    <row r="831" spans="1:12" x14ac:dyDescent="0.25">
      <c r="A831" s="369">
        <v>7459230</v>
      </c>
      <c r="B831" s="370" t="s">
        <v>826</v>
      </c>
      <c r="C831" s="370" t="s">
        <v>2445</v>
      </c>
      <c r="D831" s="370" t="str">
        <f t="shared" si="13"/>
        <v>7459230__PPPz</v>
      </c>
      <c r="E831" s="370" t="s">
        <v>225</v>
      </c>
      <c r="F831" s="371">
        <v>0</v>
      </c>
      <c r="G831" s="372">
        <v>0</v>
      </c>
      <c r="H831" s="371">
        <v>0</v>
      </c>
      <c r="I831" s="371">
        <v>0</v>
      </c>
      <c r="J831" s="373">
        <v>50671.401983307645</v>
      </c>
      <c r="K831" s="313"/>
      <c r="L831" s="313"/>
    </row>
    <row r="832" spans="1:12" ht="15.75" thickBot="1" x14ac:dyDescent="0.3">
      <c r="A832" s="374">
        <v>7459230</v>
      </c>
      <c r="B832" s="375" t="s">
        <v>826</v>
      </c>
      <c r="C832" s="375" t="s">
        <v>2446</v>
      </c>
      <c r="D832" s="375" t="str">
        <f t="shared" si="13"/>
        <v>7459230__VED</v>
      </c>
      <c r="E832" s="375" t="s">
        <v>225</v>
      </c>
      <c r="F832" s="376">
        <v>313064</v>
      </c>
      <c r="G832" s="377">
        <v>0.69120000000000004</v>
      </c>
      <c r="H832" s="376">
        <v>28167.179150543576</v>
      </c>
      <c r="I832" s="376">
        <v>39371.142465074379</v>
      </c>
      <c r="J832" s="378">
        <v>41349.748151000626</v>
      </c>
      <c r="K832" s="313"/>
      <c r="L832" s="313"/>
    </row>
    <row r="833" spans="1:12" x14ac:dyDescent="0.25">
      <c r="A833" s="364">
        <v>8507871</v>
      </c>
      <c r="B833" s="365" t="s">
        <v>375</v>
      </c>
      <c r="C833" s="365" t="s">
        <v>2442</v>
      </c>
      <c r="D833" s="365" t="str">
        <f t="shared" si="13"/>
        <v>8507871__ADM</v>
      </c>
      <c r="E833" s="365" t="s">
        <v>225</v>
      </c>
      <c r="F833" s="366">
        <v>19136</v>
      </c>
      <c r="G833" s="367">
        <v>3.5999999999999999E-3</v>
      </c>
      <c r="H833" s="366">
        <v>330569.37534549471</v>
      </c>
      <c r="I833" s="366">
        <v>27021.261431386833</v>
      </c>
      <c r="J833" s="368">
        <v>31920.058895154769</v>
      </c>
      <c r="K833" s="313"/>
      <c r="L833" s="313"/>
    </row>
    <row r="834" spans="1:12" x14ac:dyDescent="0.25">
      <c r="A834" s="369">
        <v>8507871</v>
      </c>
      <c r="B834" s="370" t="s">
        <v>375</v>
      </c>
      <c r="C834" s="370" t="s">
        <v>2443</v>
      </c>
      <c r="D834" s="370" t="str">
        <f t="shared" si="13"/>
        <v>8507871__MAN</v>
      </c>
      <c r="E834" s="370" t="s">
        <v>225</v>
      </c>
      <c r="F834" s="371">
        <v>0</v>
      </c>
      <c r="G834" s="372">
        <v>0</v>
      </c>
      <c r="H834" s="371">
        <v>0</v>
      </c>
      <c r="I834" s="371">
        <v>24186.478548732168</v>
      </c>
      <c r="J834" s="373">
        <v>25373.814491623296</v>
      </c>
      <c r="K834" s="313"/>
      <c r="L834" s="313"/>
    </row>
    <row r="835" spans="1:12" x14ac:dyDescent="0.25">
      <c r="A835" s="369">
        <v>8507871</v>
      </c>
      <c r="B835" s="370" t="s">
        <v>375</v>
      </c>
      <c r="C835" s="370" t="s">
        <v>2444</v>
      </c>
      <c r="D835" s="370" t="str">
        <f t="shared" si="13"/>
        <v>8507871__PPPs</v>
      </c>
      <c r="E835" s="370" t="s">
        <v>225</v>
      </c>
      <c r="F835" s="371">
        <v>377217</v>
      </c>
      <c r="G835" s="372">
        <v>1.0629999999999999</v>
      </c>
      <c r="H835" s="371">
        <v>22068.455932941128</v>
      </c>
      <c r="I835" s="371">
        <v>23059.348030624205</v>
      </c>
      <c r="J835" s="373">
        <v>23004.176189640086</v>
      </c>
      <c r="K835" s="313"/>
      <c r="L835" s="313"/>
    </row>
    <row r="836" spans="1:12" x14ac:dyDescent="0.25">
      <c r="A836" s="369">
        <v>8507871</v>
      </c>
      <c r="B836" s="370" t="s">
        <v>375</v>
      </c>
      <c r="C836" s="370" t="s">
        <v>2445</v>
      </c>
      <c r="D836" s="370" t="str">
        <f t="shared" si="13"/>
        <v>8507871__PPPz</v>
      </c>
      <c r="E836" s="370" t="s">
        <v>225</v>
      </c>
      <c r="F836" s="371">
        <v>0</v>
      </c>
      <c r="G836" s="372">
        <v>0</v>
      </c>
      <c r="H836" s="371">
        <v>0</v>
      </c>
      <c r="I836" s="371">
        <v>0</v>
      </c>
      <c r="J836" s="373">
        <v>50671.401983307645</v>
      </c>
      <c r="K836" s="313"/>
      <c r="L836" s="313"/>
    </row>
    <row r="837" spans="1:12" ht="15.75" thickBot="1" x14ac:dyDescent="0.3">
      <c r="A837" s="374">
        <v>8507871</v>
      </c>
      <c r="B837" s="375" t="s">
        <v>375</v>
      </c>
      <c r="C837" s="375" t="s">
        <v>2446</v>
      </c>
      <c r="D837" s="375" t="str">
        <f t="shared" si="13"/>
        <v>8507871__VED</v>
      </c>
      <c r="E837" s="375" t="s">
        <v>225</v>
      </c>
      <c r="F837" s="376">
        <v>59655</v>
      </c>
      <c r="G837" s="377">
        <v>7.4899999999999994E-2</v>
      </c>
      <c r="H837" s="376">
        <v>49531.215750353702</v>
      </c>
      <c r="I837" s="376">
        <v>39371.142465074379</v>
      </c>
      <c r="J837" s="378">
        <v>41349.748151000626</v>
      </c>
      <c r="K837" s="313"/>
      <c r="L837" s="313"/>
    </row>
    <row r="838" spans="1:12" x14ac:dyDescent="0.25">
      <c r="A838" s="364">
        <v>8902089</v>
      </c>
      <c r="B838" s="365" t="s">
        <v>550</v>
      </c>
      <c r="C838" s="365" t="s">
        <v>2442</v>
      </c>
      <c r="D838" s="365" t="str">
        <f t="shared" si="13"/>
        <v>8902089__ADM</v>
      </c>
      <c r="E838" s="365" t="s">
        <v>225</v>
      </c>
      <c r="F838" s="366">
        <v>0</v>
      </c>
      <c r="G838" s="367">
        <v>0</v>
      </c>
      <c r="H838" s="366">
        <v>0</v>
      </c>
      <c r="I838" s="366">
        <v>27021.261431386833</v>
      </c>
      <c r="J838" s="368">
        <v>31920.058895154769</v>
      </c>
      <c r="K838" s="313"/>
      <c r="L838" s="313"/>
    </row>
    <row r="839" spans="1:12" x14ac:dyDescent="0.25">
      <c r="A839" s="369">
        <v>8902089</v>
      </c>
      <c r="B839" s="370" t="s">
        <v>550</v>
      </c>
      <c r="C839" s="370" t="s">
        <v>2443</v>
      </c>
      <c r="D839" s="370" t="str">
        <f t="shared" si="13"/>
        <v>8902089__MAN</v>
      </c>
      <c r="E839" s="370" t="s">
        <v>225</v>
      </c>
      <c r="F839" s="371">
        <v>0</v>
      </c>
      <c r="G839" s="372">
        <v>0</v>
      </c>
      <c r="H839" s="371">
        <v>0</v>
      </c>
      <c r="I839" s="371">
        <v>24186.478548732168</v>
      </c>
      <c r="J839" s="373">
        <v>25373.814491623296</v>
      </c>
      <c r="K839" s="313"/>
      <c r="L839" s="313"/>
    </row>
    <row r="840" spans="1:12" x14ac:dyDescent="0.25">
      <c r="A840" s="369">
        <v>8902089</v>
      </c>
      <c r="B840" s="370" t="s">
        <v>550</v>
      </c>
      <c r="C840" s="370" t="s">
        <v>2444</v>
      </c>
      <c r="D840" s="370" t="str">
        <f t="shared" si="13"/>
        <v>8902089__PPPs</v>
      </c>
      <c r="E840" s="370" t="s">
        <v>225</v>
      </c>
      <c r="F840" s="371">
        <v>1881673</v>
      </c>
      <c r="G840" s="372">
        <v>3.9</v>
      </c>
      <c r="H840" s="371">
        <v>30004.99107028958</v>
      </c>
      <c r="I840" s="371">
        <v>23059.348030624205</v>
      </c>
      <c r="J840" s="373">
        <v>23004.176189640086</v>
      </c>
      <c r="K840" s="313"/>
      <c r="L840" s="313"/>
    </row>
    <row r="841" spans="1:12" x14ac:dyDescent="0.25">
      <c r="A841" s="369">
        <v>8902089</v>
      </c>
      <c r="B841" s="370" t="s">
        <v>550</v>
      </c>
      <c r="C841" s="370" t="s">
        <v>2445</v>
      </c>
      <c r="D841" s="370" t="str">
        <f t="shared" si="13"/>
        <v>8902089__PPPz</v>
      </c>
      <c r="E841" s="370" t="s">
        <v>225</v>
      </c>
      <c r="F841" s="371">
        <v>0</v>
      </c>
      <c r="G841" s="372">
        <v>0</v>
      </c>
      <c r="H841" s="371">
        <v>0</v>
      </c>
      <c r="I841" s="371">
        <v>0</v>
      </c>
      <c r="J841" s="373">
        <v>50671.401983307645</v>
      </c>
      <c r="K841" s="313"/>
      <c r="L841" s="313"/>
    </row>
    <row r="842" spans="1:12" ht="15.75" thickBot="1" x14ac:dyDescent="0.3">
      <c r="A842" s="374">
        <v>8902089</v>
      </c>
      <c r="B842" s="375" t="s">
        <v>550</v>
      </c>
      <c r="C842" s="375" t="s">
        <v>2446</v>
      </c>
      <c r="D842" s="375" t="str">
        <f t="shared" si="13"/>
        <v>8902089__VED</v>
      </c>
      <c r="E842" s="375" t="s">
        <v>225</v>
      </c>
      <c r="F842" s="376">
        <v>152754</v>
      </c>
      <c r="G842" s="377">
        <v>0.3</v>
      </c>
      <c r="H842" s="376">
        <v>31665.422885572134</v>
      </c>
      <c r="I842" s="376">
        <v>39371.142465074379</v>
      </c>
      <c r="J842" s="378">
        <v>41349.748151000626</v>
      </c>
      <c r="K842" s="313"/>
      <c r="L842" s="313"/>
    </row>
    <row r="843" spans="1:12" x14ac:dyDescent="0.25">
      <c r="A843" s="364">
        <v>1008575</v>
      </c>
      <c r="B843" s="365" t="s">
        <v>384</v>
      </c>
      <c r="C843" s="365" t="s">
        <v>2442</v>
      </c>
      <c r="D843" s="365" t="str">
        <f t="shared" si="13"/>
        <v>1008575__ADM</v>
      </c>
      <c r="E843" s="365" t="s">
        <v>328</v>
      </c>
      <c r="F843" s="366">
        <v>265230</v>
      </c>
      <c r="G843" s="367">
        <v>0.57999999999999996</v>
      </c>
      <c r="H843" s="366">
        <v>28438.625836335566</v>
      </c>
      <c r="I843" s="366">
        <v>32998.569863346675</v>
      </c>
      <c r="J843" s="368">
        <v>31548.047365249331</v>
      </c>
      <c r="K843" s="313"/>
      <c r="L843" s="313"/>
    </row>
    <row r="844" spans="1:12" x14ac:dyDescent="0.25">
      <c r="A844" s="369">
        <v>1008575</v>
      </c>
      <c r="B844" s="370" t="s">
        <v>384</v>
      </c>
      <c r="C844" s="370" t="s">
        <v>2443</v>
      </c>
      <c r="D844" s="370" t="str">
        <f t="shared" si="13"/>
        <v>1008575__MAN</v>
      </c>
      <c r="E844" s="370" t="s">
        <v>328</v>
      </c>
      <c r="F844" s="371">
        <v>741677</v>
      </c>
      <c r="G844" s="372">
        <v>2</v>
      </c>
      <c r="H844" s="371">
        <v>23062.095771144275</v>
      </c>
      <c r="I844" s="371">
        <v>20367.922572671236</v>
      </c>
      <c r="J844" s="373">
        <v>20275.221299280383</v>
      </c>
      <c r="K844" s="313"/>
      <c r="L844" s="313"/>
    </row>
    <row r="845" spans="1:12" x14ac:dyDescent="0.25">
      <c r="A845" s="369">
        <v>1008575</v>
      </c>
      <c r="B845" s="370" t="s">
        <v>384</v>
      </c>
      <c r="C845" s="370" t="s">
        <v>2444</v>
      </c>
      <c r="D845" s="370" t="str">
        <f t="shared" si="13"/>
        <v>1008575__PPPs</v>
      </c>
      <c r="E845" s="370" t="s">
        <v>328</v>
      </c>
      <c r="F845" s="371">
        <v>2642662</v>
      </c>
      <c r="G845" s="372">
        <v>7.1409000000000002</v>
      </c>
      <c r="H845" s="371">
        <v>23014.557232462786</v>
      </c>
      <c r="I845" s="371">
        <v>24125.615822280633</v>
      </c>
      <c r="J845" s="373">
        <v>24448.908771949045</v>
      </c>
      <c r="K845" s="313"/>
      <c r="L845" s="313"/>
    </row>
    <row r="846" spans="1:12" x14ac:dyDescent="0.25">
      <c r="A846" s="369">
        <v>1008575</v>
      </c>
      <c r="B846" s="370" t="s">
        <v>384</v>
      </c>
      <c r="C846" s="370" t="s">
        <v>2445</v>
      </c>
      <c r="D846" s="370" t="str">
        <f t="shared" si="13"/>
        <v>1008575__PPPz</v>
      </c>
      <c r="E846" s="370" t="s">
        <v>328</v>
      </c>
      <c r="F846" s="371">
        <v>0</v>
      </c>
      <c r="G846" s="372">
        <v>0</v>
      </c>
      <c r="H846" s="371">
        <v>0</v>
      </c>
      <c r="I846" s="371">
        <v>0</v>
      </c>
      <c r="J846" s="373">
        <v>19656.29343348063</v>
      </c>
      <c r="K846" s="313"/>
      <c r="L846" s="313"/>
    </row>
    <row r="847" spans="1:12" ht="15.75" thickBot="1" x14ac:dyDescent="0.3">
      <c r="A847" s="374">
        <v>1008575</v>
      </c>
      <c r="B847" s="375" t="s">
        <v>384</v>
      </c>
      <c r="C847" s="375" t="s">
        <v>2446</v>
      </c>
      <c r="D847" s="375" t="str">
        <f t="shared" si="13"/>
        <v>1008575__VED</v>
      </c>
      <c r="E847" s="375" t="s">
        <v>328</v>
      </c>
      <c r="F847" s="376">
        <v>173207</v>
      </c>
      <c r="G847" s="377">
        <v>0.22</v>
      </c>
      <c r="H847" s="376">
        <v>48961.725463591123</v>
      </c>
      <c r="I847" s="376">
        <v>36691.34562336946</v>
      </c>
      <c r="J847" s="378">
        <v>39746.581077957591</v>
      </c>
      <c r="K847" s="313"/>
      <c r="L847" s="313"/>
    </row>
    <row r="848" spans="1:12" x14ac:dyDescent="0.25">
      <c r="A848" s="364">
        <v>1172890</v>
      </c>
      <c r="B848" s="365" t="s">
        <v>618</v>
      </c>
      <c r="C848" s="365" t="s">
        <v>2442</v>
      </c>
      <c r="D848" s="365" t="str">
        <f t="shared" si="13"/>
        <v>1172890__ADM</v>
      </c>
      <c r="E848" s="365" t="s">
        <v>328</v>
      </c>
      <c r="F848" s="366">
        <v>0</v>
      </c>
      <c r="G848" s="367">
        <v>0</v>
      </c>
      <c r="H848" s="366">
        <v>0</v>
      </c>
      <c r="I848" s="366">
        <v>32998.569863346675</v>
      </c>
      <c r="J848" s="368">
        <v>31548.047365249331</v>
      </c>
      <c r="K848" s="313"/>
      <c r="L848" s="313"/>
    </row>
    <row r="849" spans="1:12" x14ac:dyDescent="0.25">
      <c r="A849" s="369">
        <v>1172890</v>
      </c>
      <c r="B849" s="370" t="s">
        <v>618</v>
      </c>
      <c r="C849" s="370" t="s">
        <v>2443</v>
      </c>
      <c r="D849" s="370" t="str">
        <f t="shared" si="13"/>
        <v>1172890__MAN</v>
      </c>
      <c r="E849" s="370" t="s">
        <v>328</v>
      </c>
      <c r="F849" s="371">
        <v>0</v>
      </c>
      <c r="G849" s="372">
        <v>0</v>
      </c>
      <c r="H849" s="371">
        <v>0</v>
      </c>
      <c r="I849" s="371">
        <v>20367.922572671236</v>
      </c>
      <c r="J849" s="373">
        <v>20275.221299280383</v>
      </c>
      <c r="K849" s="313"/>
      <c r="L849" s="313"/>
    </row>
    <row r="850" spans="1:12" x14ac:dyDescent="0.25">
      <c r="A850" s="369">
        <v>1172890</v>
      </c>
      <c r="B850" s="370" t="s">
        <v>618</v>
      </c>
      <c r="C850" s="370" t="s">
        <v>2444</v>
      </c>
      <c r="D850" s="370" t="str">
        <f t="shared" si="13"/>
        <v>1172890__PPPs</v>
      </c>
      <c r="E850" s="370" t="s">
        <v>328</v>
      </c>
      <c r="F850" s="371">
        <v>4967693</v>
      </c>
      <c r="G850" s="372">
        <v>9</v>
      </c>
      <c r="H850" s="371">
        <v>34326.236871199559</v>
      </c>
      <c r="I850" s="371">
        <v>24125.615822280633</v>
      </c>
      <c r="J850" s="373">
        <v>24448.908771949045</v>
      </c>
      <c r="K850" s="313"/>
      <c r="L850" s="313"/>
    </row>
    <row r="851" spans="1:12" x14ac:dyDescent="0.25">
      <c r="A851" s="369">
        <v>1172890</v>
      </c>
      <c r="B851" s="370" t="s">
        <v>618</v>
      </c>
      <c r="C851" s="370" t="s">
        <v>2445</v>
      </c>
      <c r="D851" s="370" t="str">
        <f t="shared" si="13"/>
        <v>1172890__PPPz</v>
      </c>
      <c r="E851" s="370" t="s">
        <v>328</v>
      </c>
      <c r="F851" s="371">
        <v>0</v>
      </c>
      <c r="G851" s="372">
        <v>0</v>
      </c>
      <c r="H851" s="371">
        <v>0</v>
      </c>
      <c r="I851" s="371">
        <v>0</v>
      </c>
      <c r="J851" s="373">
        <v>19656.29343348063</v>
      </c>
      <c r="K851" s="313"/>
      <c r="L851" s="313"/>
    </row>
    <row r="852" spans="1:12" ht="15.75" thickBot="1" x14ac:dyDescent="0.3">
      <c r="A852" s="374">
        <v>1172890</v>
      </c>
      <c r="B852" s="375" t="s">
        <v>618</v>
      </c>
      <c r="C852" s="375" t="s">
        <v>2446</v>
      </c>
      <c r="D852" s="375" t="str">
        <f t="shared" si="13"/>
        <v>1172890__VED</v>
      </c>
      <c r="E852" s="375" t="s">
        <v>328</v>
      </c>
      <c r="F852" s="376">
        <v>519427</v>
      </c>
      <c r="G852" s="377">
        <v>0.8</v>
      </c>
      <c r="H852" s="376">
        <v>40378.342661691539</v>
      </c>
      <c r="I852" s="376">
        <v>36691.34562336946</v>
      </c>
      <c r="J852" s="378">
        <v>39746.581077957591</v>
      </c>
      <c r="K852" s="313"/>
      <c r="L852" s="313"/>
    </row>
    <row r="853" spans="1:12" x14ac:dyDescent="0.25">
      <c r="A853" s="364">
        <v>1225073</v>
      </c>
      <c r="B853" s="365" t="s">
        <v>947</v>
      </c>
      <c r="C853" s="365" t="s">
        <v>2442</v>
      </c>
      <c r="D853" s="365" t="str">
        <f t="shared" si="13"/>
        <v>1225073__ADM</v>
      </c>
      <c r="E853" s="365" t="s">
        <v>328</v>
      </c>
      <c r="F853" s="366">
        <v>390635</v>
      </c>
      <c r="G853" s="367">
        <v>0.70760000000000001</v>
      </c>
      <c r="H853" s="366">
        <v>34331.856123565325</v>
      </c>
      <c r="I853" s="366">
        <v>32998.569863346675</v>
      </c>
      <c r="J853" s="368">
        <v>31548.047365249331</v>
      </c>
      <c r="K853" s="313"/>
      <c r="L853" s="313"/>
    </row>
    <row r="854" spans="1:12" x14ac:dyDescent="0.25">
      <c r="A854" s="369">
        <v>1225073</v>
      </c>
      <c r="B854" s="370" t="s">
        <v>947</v>
      </c>
      <c r="C854" s="370" t="s">
        <v>2443</v>
      </c>
      <c r="D854" s="370" t="str">
        <f t="shared" si="13"/>
        <v>1225073__MAN</v>
      </c>
      <c r="E854" s="370" t="s">
        <v>328</v>
      </c>
      <c r="F854" s="371">
        <v>121485</v>
      </c>
      <c r="G854" s="372">
        <v>0.2359</v>
      </c>
      <c r="H854" s="371">
        <v>32026.440497807696</v>
      </c>
      <c r="I854" s="371">
        <v>20367.922572671236</v>
      </c>
      <c r="J854" s="373">
        <v>20275.221299280383</v>
      </c>
      <c r="K854" s="313"/>
      <c r="L854" s="313"/>
    </row>
    <row r="855" spans="1:12" x14ac:dyDescent="0.25">
      <c r="A855" s="369">
        <v>1225073</v>
      </c>
      <c r="B855" s="370" t="s">
        <v>947</v>
      </c>
      <c r="C855" s="370" t="s">
        <v>2444</v>
      </c>
      <c r="D855" s="370" t="str">
        <f t="shared" si="13"/>
        <v>1225073__PPPs</v>
      </c>
      <c r="E855" s="370" t="s">
        <v>328</v>
      </c>
      <c r="F855" s="371">
        <v>5823862</v>
      </c>
      <c r="G855" s="372">
        <v>16.5168</v>
      </c>
      <c r="H855" s="371">
        <v>21928.004978979945</v>
      </c>
      <c r="I855" s="371">
        <v>24125.615822280633</v>
      </c>
      <c r="J855" s="373">
        <v>24448.908771949045</v>
      </c>
      <c r="K855" s="313"/>
      <c r="L855" s="313"/>
    </row>
    <row r="856" spans="1:12" x14ac:dyDescent="0.25">
      <c r="A856" s="369">
        <v>1225073</v>
      </c>
      <c r="B856" s="370" t="s">
        <v>947</v>
      </c>
      <c r="C856" s="370" t="s">
        <v>2445</v>
      </c>
      <c r="D856" s="370" t="str">
        <f t="shared" si="13"/>
        <v>1225073__PPPz</v>
      </c>
      <c r="E856" s="370" t="s">
        <v>328</v>
      </c>
      <c r="F856" s="371">
        <v>0</v>
      </c>
      <c r="G856" s="372">
        <v>0</v>
      </c>
      <c r="H856" s="371">
        <v>0</v>
      </c>
      <c r="I856" s="371">
        <v>0</v>
      </c>
      <c r="J856" s="373">
        <v>19656.29343348063</v>
      </c>
      <c r="K856" s="313"/>
      <c r="L856" s="313"/>
    </row>
    <row r="857" spans="1:12" ht="15.75" thickBot="1" x14ac:dyDescent="0.3">
      <c r="A857" s="374">
        <v>1225073</v>
      </c>
      <c r="B857" s="375" t="s">
        <v>947</v>
      </c>
      <c r="C857" s="375" t="s">
        <v>2446</v>
      </c>
      <c r="D857" s="375" t="str">
        <f t="shared" si="13"/>
        <v>1225073__VED</v>
      </c>
      <c r="E857" s="375" t="s">
        <v>328</v>
      </c>
      <c r="F857" s="376">
        <v>878945</v>
      </c>
      <c r="G857" s="377">
        <v>1.1718</v>
      </c>
      <c r="H857" s="376">
        <v>46646.832826819984</v>
      </c>
      <c r="I857" s="376">
        <v>36691.34562336946</v>
      </c>
      <c r="J857" s="378">
        <v>39746.581077957591</v>
      </c>
      <c r="K857" s="313"/>
      <c r="L857" s="313"/>
    </row>
    <row r="858" spans="1:12" x14ac:dyDescent="0.25">
      <c r="A858" s="364">
        <v>1356155</v>
      </c>
      <c r="B858" s="365" t="s">
        <v>821</v>
      </c>
      <c r="C858" s="365" t="s">
        <v>2442</v>
      </c>
      <c r="D858" s="365" t="str">
        <f t="shared" si="13"/>
        <v>1356155__ADM</v>
      </c>
      <c r="E858" s="365" t="s">
        <v>328</v>
      </c>
      <c r="F858" s="366">
        <v>0</v>
      </c>
      <c r="G858" s="367">
        <v>0</v>
      </c>
      <c r="H858" s="366">
        <v>0</v>
      </c>
      <c r="I858" s="366">
        <v>32998.569863346675</v>
      </c>
      <c r="J858" s="368">
        <v>31548.047365249331</v>
      </c>
      <c r="K858" s="313"/>
      <c r="L858" s="313"/>
    </row>
    <row r="859" spans="1:12" x14ac:dyDescent="0.25">
      <c r="A859" s="369">
        <v>1356155</v>
      </c>
      <c r="B859" s="370" t="s">
        <v>821</v>
      </c>
      <c r="C859" s="370" t="s">
        <v>2443</v>
      </c>
      <c r="D859" s="370" t="str">
        <f t="shared" si="13"/>
        <v>1356155__MAN</v>
      </c>
      <c r="E859" s="370" t="s">
        <v>328</v>
      </c>
      <c r="F859" s="371">
        <v>0</v>
      </c>
      <c r="G859" s="372">
        <v>0</v>
      </c>
      <c r="H859" s="371">
        <v>0</v>
      </c>
      <c r="I859" s="371">
        <v>20367.922572671236</v>
      </c>
      <c r="J859" s="373">
        <v>20275.221299280383</v>
      </c>
      <c r="K859" s="313"/>
      <c r="L859" s="313"/>
    </row>
    <row r="860" spans="1:12" x14ac:dyDescent="0.25">
      <c r="A860" s="369">
        <v>1356155</v>
      </c>
      <c r="B860" s="370" t="s">
        <v>821</v>
      </c>
      <c r="C860" s="370" t="s">
        <v>2444</v>
      </c>
      <c r="D860" s="370" t="str">
        <f t="shared" si="13"/>
        <v>1356155__PPPs</v>
      </c>
      <c r="E860" s="370" t="s">
        <v>328</v>
      </c>
      <c r="F860" s="371">
        <v>1312824</v>
      </c>
      <c r="G860" s="372">
        <v>3.4</v>
      </c>
      <c r="H860" s="371">
        <v>24012.730465320456</v>
      </c>
      <c r="I860" s="371">
        <v>24125.615822280633</v>
      </c>
      <c r="J860" s="373">
        <v>24448.908771949045</v>
      </c>
      <c r="K860" s="313"/>
      <c r="L860" s="313"/>
    </row>
    <row r="861" spans="1:12" x14ac:dyDescent="0.25">
      <c r="A861" s="369">
        <v>1356155</v>
      </c>
      <c r="B861" s="370" t="s">
        <v>821</v>
      </c>
      <c r="C861" s="370" t="s">
        <v>2445</v>
      </c>
      <c r="D861" s="370" t="str">
        <f t="shared" si="13"/>
        <v>1356155__PPPz</v>
      </c>
      <c r="E861" s="370" t="s">
        <v>328</v>
      </c>
      <c r="F861" s="371">
        <v>0</v>
      </c>
      <c r="G861" s="372">
        <v>0</v>
      </c>
      <c r="H861" s="371">
        <v>0</v>
      </c>
      <c r="I861" s="371">
        <v>0</v>
      </c>
      <c r="J861" s="373">
        <v>19656.29343348063</v>
      </c>
      <c r="K861" s="313"/>
      <c r="L861" s="313"/>
    </row>
    <row r="862" spans="1:12" ht="15.75" thickBot="1" x14ac:dyDescent="0.3">
      <c r="A862" s="374">
        <v>1356155</v>
      </c>
      <c r="B862" s="375" t="s">
        <v>821</v>
      </c>
      <c r="C862" s="375" t="s">
        <v>2446</v>
      </c>
      <c r="D862" s="375" t="str">
        <f t="shared" si="13"/>
        <v>1356155__VED</v>
      </c>
      <c r="E862" s="375" t="s">
        <v>328</v>
      </c>
      <c r="F862" s="376">
        <v>0</v>
      </c>
      <c r="G862" s="377">
        <v>0</v>
      </c>
      <c r="H862" s="376">
        <v>0</v>
      </c>
      <c r="I862" s="376">
        <v>36691.34562336946</v>
      </c>
      <c r="J862" s="378">
        <v>39746.581077957591</v>
      </c>
      <c r="K862" s="313"/>
      <c r="L862" s="313"/>
    </row>
    <row r="863" spans="1:12" x14ac:dyDescent="0.25">
      <c r="A863" s="364">
        <v>1514566</v>
      </c>
      <c r="B863" s="365" t="s">
        <v>652</v>
      </c>
      <c r="C863" s="365" t="s">
        <v>2442</v>
      </c>
      <c r="D863" s="365" t="str">
        <f t="shared" si="13"/>
        <v>1514566__ADM</v>
      </c>
      <c r="E863" s="365" t="s">
        <v>328</v>
      </c>
      <c r="F863" s="366">
        <v>0</v>
      </c>
      <c r="G863" s="367">
        <v>0</v>
      </c>
      <c r="H863" s="366">
        <v>0</v>
      </c>
      <c r="I863" s="366">
        <v>32998.569863346675</v>
      </c>
      <c r="J863" s="368">
        <v>31548.047365249331</v>
      </c>
      <c r="K863" s="313"/>
      <c r="L863" s="313"/>
    </row>
    <row r="864" spans="1:12" x14ac:dyDescent="0.25">
      <c r="A864" s="369">
        <v>1514566</v>
      </c>
      <c r="B864" s="370" t="s">
        <v>652</v>
      </c>
      <c r="C864" s="370" t="s">
        <v>2443</v>
      </c>
      <c r="D864" s="370" t="str">
        <f t="shared" si="13"/>
        <v>1514566__MAN</v>
      </c>
      <c r="E864" s="370" t="s">
        <v>328</v>
      </c>
      <c r="F864" s="371">
        <v>0</v>
      </c>
      <c r="G864" s="372">
        <v>0</v>
      </c>
      <c r="H864" s="371">
        <v>0</v>
      </c>
      <c r="I864" s="371">
        <v>20367.922572671236</v>
      </c>
      <c r="J864" s="373">
        <v>20275.221299280383</v>
      </c>
      <c r="K864" s="313"/>
      <c r="L864" s="313"/>
    </row>
    <row r="865" spans="1:12" x14ac:dyDescent="0.25">
      <c r="A865" s="369">
        <v>1514566</v>
      </c>
      <c r="B865" s="370" t="s">
        <v>652</v>
      </c>
      <c r="C865" s="370" t="s">
        <v>2444</v>
      </c>
      <c r="D865" s="370" t="str">
        <f t="shared" si="13"/>
        <v>1514566__PPPs</v>
      </c>
      <c r="E865" s="370" t="s">
        <v>328</v>
      </c>
      <c r="F865" s="371">
        <v>1132728</v>
      </c>
      <c r="G865" s="372">
        <v>3.25</v>
      </c>
      <c r="H865" s="371">
        <v>21674.856486796783</v>
      </c>
      <c r="I865" s="371">
        <v>24125.615822280633</v>
      </c>
      <c r="J865" s="373">
        <v>24448.908771949045</v>
      </c>
      <c r="K865" s="313"/>
      <c r="L865" s="313"/>
    </row>
    <row r="866" spans="1:12" x14ac:dyDescent="0.25">
      <c r="A866" s="369">
        <v>1514566</v>
      </c>
      <c r="B866" s="370" t="s">
        <v>652</v>
      </c>
      <c r="C866" s="370" t="s">
        <v>2445</v>
      </c>
      <c r="D866" s="370" t="str">
        <f t="shared" ref="D866:D929" si="14">CONCATENATE(A866,"__",C866)</f>
        <v>1514566__PPPz</v>
      </c>
      <c r="E866" s="370" t="s">
        <v>328</v>
      </c>
      <c r="F866" s="371">
        <v>0</v>
      </c>
      <c r="G866" s="372">
        <v>0</v>
      </c>
      <c r="H866" s="371">
        <v>0</v>
      </c>
      <c r="I866" s="371">
        <v>0</v>
      </c>
      <c r="J866" s="373">
        <v>19656.29343348063</v>
      </c>
      <c r="K866" s="313"/>
      <c r="L866" s="313"/>
    </row>
    <row r="867" spans="1:12" ht="15.75" thickBot="1" x14ac:dyDescent="0.3">
      <c r="A867" s="374">
        <v>1514566</v>
      </c>
      <c r="B867" s="375" t="s">
        <v>652</v>
      </c>
      <c r="C867" s="375" t="s">
        <v>2446</v>
      </c>
      <c r="D867" s="375" t="str">
        <f t="shared" si="14"/>
        <v>1514566__VED</v>
      </c>
      <c r="E867" s="375" t="s">
        <v>328</v>
      </c>
      <c r="F867" s="376">
        <v>0</v>
      </c>
      <c r="G867" s="377">
        <v>0</v>
      </c>
      <c r="H867" s="376">
        <v>0</v>
      </c>
      <c r="I867" s="376">
        <v>36691.34562336946</v>
      </c>
      <c r="J867" s="378">
        <v>39746.581077957591</v>
      </c>
      <c r="K867" s="313"/>
      <c r="L867" s="313"/>
    </row>
    <row r="868" spans="1:12" x14ac:dyDescent="0.25">
      <c r="A868" s="364">
        <v>1647194</v>
      </c>
      <c r="B868" s="365" t="s">
        <v>606</v>
      </c>
      <c r="C868" s="365" t="s">
        <v>2442</v>
      </c>
      <c r="D868" s="365" t="str">
        <f t="shared" si="14"/>
        <v>1647194__ADM</v>
      </c>
      <c r="E868" s="365" t="s">
        <v>328</v>
      </c>
      <c r="F868" s="366">
        <v>0</v>
      </c>
      <c r="G868" s="367">
        <v>0</v>
      </c>
      <c r="H868" s="366">
        <v>0</v>
      </c>
      <c r="I868" s="366">
        <v>32998.569863346675</v>
      </c>
      <c r="J868" s="368">
        <v>31548.047365249331</v>
      </c>
      <c r="K868" s="313"/>
      <c r="L868" s="313"/>
    </row>
    <row r="869" spans="1:12" x14ac:dyDescent="0.25">
      <c r="A869" s="369">
        <v>1647194</v>
      </c>
      <c r="B869" s="370" t="s">
        <v>606</v>
      </c>
      <c r="C869" s="370" t="s">
        <v>2443</v>
      </c>
      <c r="D869" s="370" t="str">
        <f t="shared" si="14"/>
        <v>1647194__MAN</v>
      </c>
      <c r="E869" s="370" t="s">
        <v>328</v>
      </c>
      <c r="F869" s="371">
        <v>0</v>
      </c>
      <c r="G869" s="372">
        <v>0</v>
      </c>
      <c r="H869" s="371">
        <v>0</v>
      </c>
      <c r="I869" s="371">
        <v>20367.922572671236</v>
      </c>
      <c r="J869" s="373">
        <v>20275.221299280383</v>
      </c>
      <c r="K869" s="313"/>
      <c r="L869" s="313"/>
    </row>
    <row r="870" spans="1:12" x14ac:dyDescent="0.25">
      <c r="A870" s="369">
        <v>1647194</v>
      </c>
      <c r="B870" s="370" t="s">
        <v>606</v>
      </c>
      <c r="C870" s="370" t="s">
        <v>2444</v>
      </c>
      <c r="D870" s="370" t="str">
        <f t="shared" si="14"/>
        <v>1647194__PPPs</v>
      </c>
      <c r="E870" s="370" t="s">
        <v>328</v>
      </c>
      <c r="F870" s="371">
        <v>2042676</v>
      </c>
      <c r="G870" s="372">
        <v>3.04</v>
      </c>
      <c r="H870" s="371">
        <v>41786.871563236447</v>
      </c>
      <c r="I870" s="371">
        <v>24125.615822280633</v>
      </c>
      <c r="J870" s="373">
        <v>24448.908771949045</v>
      </c>
      <c r="K870" s="313"/>
      <c r="L870" s="313"/>
    </row>
    <row r="871" spans="1:12" x14ac:dyDescent="0.25">
      <c r="A871" s="369">
        <v>1647194</v>
      </c>
      <c r="B871" s="370" t="s">
        <v>606</v>
      </c>
      <c r="C871" s="370" t="s">
        <v>2445</v>
      </c>
      <c r="D871" s="370" t="str">
        <f t="shared" si="14"/>
        <v>1647194__PPPz</v>
      </c>
      <c r="E871" s="370" t="s">
        <v>328</v>
      </c>
      <c r="F871" s="371">
        <v>0</v>
      </c>
      <c r="G871" s="372">
        <v>0</v>
      </c>
      <c r="H871" s="371">
        <v>0</v>
      </c>
      <c r="I871" s="371">
        <v>0</v>
      </c>
      <c r="J871" s="373">
        <v>19656.29343348063</v>
      </c>
      <c r="K871" s="313"/>
      <c r="L871" s="313"/>
    </row>
    <row r="872" spans="1:12" ht="15.75" thickBot="1" x14ac:dyDescent="0.3">
      <c r="A872" s="374">
        <v>1647194</v>
      </c>
      <c r="B872" s="375" t="s">
        <v>606</v>
      </c>
      <c r="C872" s="375" t="s">
        <v>2446</v>
      </c>
      <c r="D872" s="375" t="str">
        <f t="shared" si="14"/>
        <v>1647194__VED</v>
      </c>
      <c r="E872" s="375" t="s">
        <v>328</v>
      </c>
      <c r="F872" s="376">
        <v>0</v>
      </c>
      <c r="G872" s="377">
        <v>0</v>
      </c>
      <c r="H872" s="376">
        <v>0</v>
      </c>
      <c r="I872" s="376">
        <v>36691.34562336946</v>
      </c>
      <c r="J872" s="378">
        <v>39746.581077957591</v>
      </c>
      <c r="K872" s="313"/>
      <c r="L872" s="313"/>
    </row>
    <row r="873" spans="1:12" x14ac:dyDescent="0.25">
      <c r="A873" s="364">
        <v>1671513</v>
      </c>
      <c r="B873" s="365" t="s">
        <v>630</v>
      </c>
      <c r="C873" s="365" t="s">
        <v>2442</v>
      </c>
      <c r="D873" s="365" t="str">
        <f t="shared" si="14"/>
        <v>1671513__ADM</v>
      </c>
      <c r="E873" s="365" t="s">
        <v>328</v>
      </c>
      <c r="F873" s="366">
        <v>0</v>
      </c>
      <c r="G873" s="367">
        <v>0</v>
      </c>
      <c r="H873" s="366">
        <v>0</v>
      </c>
      <c r="I873" s="366">
        <v>32998.569863346675</v>
      </c>
      <c r="J873" s="368">
        <v>31548.047365249331</v>
      </c>
      <c r="K873" s="313"/>
      <c r="L873" s="313"/>
    </row>
    <row r="874" spans="1:12" x14ac:dyDescent="0.25">
      <c r="A874" s="369">
        <v>1671513</v>
      </c>
      <c r="B874" s="370" t="s">
        <v>630</v>
      </c>
      <c r="C874" s="370" t="s">
        <v>2443</v>
      </c>
      <c r="D874" s="370" t="str">
        <f t="shared" si="14"/>
        <v>1671513__MAN</v>
      </c>
      <c r="E874" s="370" t="s">
        <v>328</v>
      </c>
      <c r="F874" s="371">
        <v>0</v>
      </c>
      <c r="G874" s="372">
        <v>0</v>
      </c>
      <c r="H874" s="371">
        <v>0</v>
      </c>
      <c r="I874" s="371">
        <v>20367.922572671236</v>
      </c>
      <c r="J874" s="373">
        <v>20275.221299280383</v>
      </c>
      <c r="K874" s="313"/>
      <c r="L874" s="313"/>
    </row>
    <row r="875" spans="1:12" x14ac:dyDescent="0.25">
      <c r="A875" s="369">
        <v>1671513</v>
      </c>
      <c r="B875" s="370" t="s">
        <v>630</v>
      </c>
      <c r="C875" s="370" t="s">
        <v>2444</v>
      </c>
      <c r="D875" s="370" t="str">
        <f t="shared" si="14"/>
        <v>1671513__PPPs</v>
      </c>
      <c r="E875" s="370" t="s">
        <v>328</v>
      </c>
      <c r="F875" s="371">
        <v>744023</v>
      </c>
      <c r="G875" s="372">
        <v>2</v>
      </c>
      <c r="H875" s="371">
        <v>23135.043532338306</v>
      </c>
      <c r="I875" s="371">
        <v>24125.615822280633</v>
      </c>
      <c r="J875" s="373">
        <v>24448.908771949045</v>
      </c>
      <c r="K875" s="313"/>
      <c r="L875" s="313"/>
    </row>
    <row r="876" spans="1:12" x14ac:dyDescent="0.25">
      <c r="A876" s="369">
        <v>1671513</v>
      </c>
      <c r="B876" s="370" t="s">
        <v>630</v>
      </c>
      <c r="C876" s="370" t="s">
        <v>2445</v>
      </c>
      <c r="D876" s="370" t="str">
        <f t="shared" si="14"/>
        <v>1671513__PPPz</v>
      </c>
      <c r="E876" s="370" t="s">
        <v>328</v>
      </c>
      <c r="F876" s="371">
        <v>0</v>
      </c>
      <c r="G876" s="372">
        <v>0</v>
      </c>
      <c r="H876" s="371">
        <v>0</v>
      </c>
      <c r="I876" s="371">
        <v>0</v>
      </c>
      <c r="J876" s="373">
        <v>19656.29343348063</v>
      </c>
      <c r="K876" s="313"/>
      <c r="L876" s="313"/>
    </row>
    <row r="877" spans="1:12" ht="15.75" thickBot="1" x14ac:dyDescent="0.3">
      <c r="A877" s="374">
        <v>1671513</v>
      </c>
      <c r="B877" s="375" t="s">
        <v>630</v>
      </c>
      <c r="C877" s="375" t="s">
        <v>2446</v>
      </c>
      <c r="D877" s="375" t="str">
        <f t="shared" si="14"/>
        <v>1671513__VED</v>
      </c>
      <c r="E877" s="375" t="s">
        <v>328</v>
      </c>
      <c r="F877" s="376">
        <v>0</v>
      </c>
      <c r="G877" s="377">
        <v>0</v>
      </c>
      <c r="H877" s="376">
        <v>0</v>
      </c>
      <c r="I877" s="376">
        <v>36691.34562336946</v>
      </c>
      <c r="J877" s="378">
        <v>39746.581077957591</v>
      </c>
      <c r="K877" s="313"/>
      <c r="L877" s="313"/>
    </row>
    <row r="878" spans="1:12" x14ac:dyDescent="0.25">
      <c r="A878" s="364">
        <v>1686476</v>
      </c>
      <c r="B878" s="365" t="s">
        <v>1030</v>
      </c>
      <c r="C878" s="365" t="s">
        <v>2442</v>
      </c>
      <c r="D878" s="365" t="str">
        <f t="shared" si="14"/>
        <v>1686476__ADM</v>
      </c>
      <c r="E878" s="365" t="s">
        <v>328</v>
      </c>
      <c r="F878" s="366">
        <v>530778</v>
      </c>
      <c r="G878" s="367">
        <v>0.5</v>
      </c>
      <c r="H878" s="366">
        <v>66017.164179104468</v>
      </c>
      <c r="I878" s="366">
        <v>32998.569863346675</v>
      </c>
      <c r="J878" s="368">
        <v>31548.047365249331</v>
      </c>
      <c r="K878" s="313"/>
      <c r="L878" s="313"/>
    </row>
    <row r="879" spans="1:12" x14ac:dyDescent="0.25">
      <c r="A879" s="369">
        <v>1686476</v>
      </c>
      <c r="B879" s="370" t="s">
        <v>1030</v>
      </c>
      <c r="C879" s="370" t="s">
        <v>2443</v>
      </c>
      <c r="D879" s="370" t="str">
        <f t="shared" si="14"/>
        <v>1686476__MAN</v>
      </c>
      <c r="E879" s="370" t="s">
        <v>328</v>
      </c>
      <c r="F879" s="371">
        <v>0</v>
      </c>
      <c r="G879" s="372">
        <v>0</v>
      </c>
      <c r="H879" s="371">
        <v>0</v>
      </c>
      <c r="I879" s="371">
        <v>20367.922572671236</v>
      </c>
      <c r="J879" s="373">
        <v>20275.221299280383</v>
      </c>
      <c r="K879" s="313"/>
      <c r="L879" s="313"/>
    </row>
    <row r="880" spans="1:12" x14ac:dyDescent="0.25">
      <c r="A880" s="369">
        <v>1686476</v>
      </c>
      <c r="B880" s="370" t="s">
        <v>1030</v>
      </c>
      <c r="C880" s="370" t="s">
        <v>2444</v>
      </c>
      <c r="D880" s="370" t="str">
        <f t="shared" si="14"/>
        <v>1686476__PPPs</v>
      </c>
      <c r="E880" s="370" t="s">
        <v>328</v>
      </c>
      <c r="F880" s="371">
        <v>8542587</v>
      </c>
      <c r="G880" s="372">
        <v>27.613</v>
      </c>
      <c r="H880" s="371">
        <v>19239.322436814586</v>
      </c>
      <c r="I880" s="371">
        <v>24125.615822280633</v>
      </c>
      <c r="J880" s="373">
        <v>24448.908771949045</v>
      </c>
      <c r="K880" s="313"/>
      <c r="L880" s="313"/>
    </row>
    <row r="881" spans="1:12" x14ac:dyDescent="0.25">
      <c r="A881" s="369">
        <v>1686476</v>
      </c>
      <c r="B881" s="370" t="s">
        <v>1030</v>
      </c>
      <c r="C881" s="370" t="s">
        <v>2445</v>
      </c>
      <c r="D881" s="370" t="str">
        <f t="shared" si="14"/>
        <v>1686476__PPPz</v>
      </c>
      <c r="E881" s="370" t="s">
        <v>328</v>
      </c>
      <c r="F881" s="371">
        <v>0</v>
      </c>
      <c r="G881" s="372">
        <v>0</v>
      </c>
      <c r="H881" s="371">
        <v>0</v>
      </c>
      <c r="I881" s="371">
        <v>0</v>
      </c>
      <c r="J881" s="373">
        <v>19656.29343348063</v>
      </c>
      <c r="K881" s="313"/>
      <c r="L881" s="313"/>
    </row>
    <row r="882" spans="1:12" ht="15.75" thickBot="1" x14ac:dyDescent="0.3">
      <c r="A882" s="374">
        <v>1686476</v>
      </c>
      <c r="B882" s="375" t="s">
        <v>1030</v>
      </c>
      <c r="C882" s="375" t="s">
        <v>2446</v>
      </c>
      <c r="D882" s="375" t="str">
        <f t="shared" si="14"/>
        <v>1686476__VED</v>
      </c>
      <c r="E882" s="375" t="s">
        <v>328</v>
      </c>
      <c r="F882" s="376">
        <v>536442</v>
      </c>
      <c r="G882" s="377">
        <v>1</v>
      </c>
      <c r="H882" s="376">
        <v>33360.820895522389</v>
      </c>
      <c r="I882" s="376">
        <v>36691.34562336946</v>
      </c>
      <c r="J882" s="378">
        <v>39746.581077957591</v>
      </c>
      <c r="K882" s="313"/>
      <c r="L882" s="313"/>
    </row>
    <row r="883" spans="1:12" x14ac:dyDescent="0.25">
      <c r="A883" s="364">
        <v>1826777</v>
      </c>
      <c r="B883" s="365" t="s">
        <v>883</v>
      </c>
      <c r="C883" s="365" t="s">
        <v>2442</v>
      </c>
      <c r="D883" s="365" t="str">
        <f t="shared" si="14"/>
        <v>1826777__ADM</v>
      </c>
      <c r="E883" s="365" t="s">
        <v>328</v>
      </c>
      <c r="F883" s="366">
        <v>401423</v>
      </c>
      <c r="G883" s="367">
        <v>1</v>
      </c>
      <c r="H883" s="366">
        <v>24964.116915422881</v>
      </c>
      <c r="I883" s="366">
        <v>32998.569863346675</v>
      </c>
      <c r="J883" s="368">
        <v>31548.047365249331</v>
      </c>
      <c r="K883" s="313"/>
      <c r="L883" s="313"/>
    </row>
    <row r="884" spans="1:12" x14ac:dyDescent="0.25">
      <c r="A884" s="369">
        <v>1826777</v>
      </c>
      <c r="B884" s="370" t="s">
        <v>883</v>
      </c>
      <c r="C884" s="370" t="s">
        <v>2443</v>
      </c>
      <c r="D884" s="370" t="str">
        <f t="shared" si="14"/>
        <v>1826777__MAN</v>
      </c>
      <c r="E884" s="370" t="s">
        <v>328</v>
      </c>
      <c r="F884" s="371">
        <v>0</v>
      </c>
      <c r="G884" s="372">
        <v>0</v>
      </c>
      <c r="H884" s="371">
        <v>0</v>
      </c>
      <c r="I884" s="371">
        <v>20367.922572671236</v>
      </c>
      <c r="J884" s="373">
        <v>20275.221299280383</v>
      </c>
      <c r="K884" s="313"/>
      <c r="L884" s="313"/>
    </row>
    <row r="885" spans="1:12" x14ac:dyDescent="0.25">
      <c r="A885" s="369">
        <v>1826777</v>
      </c>
      <c r="B885" s="370" t="s">
        <v>883</v>
      </c>
      <c r="C885" s="370" t="s">
        <v>2444</v>
      </c>
      <c r="D885" s="370" t="str">
        <f t="shared" si="14"/>
        <v>1826777__PPPs</v>
      </c>
      <c r="E885" s="370" t="s">
        <v>328</v>
      </c>
      <c r="F885" s="371">
        <v>3571541</v>
      </c>
      <c r="G885" s="372">
        <v>10</v>
      </c>
      <c r="H885" s="371">
        <v>22211.075870646764</v>
      </c>
      <c r="I885" s="371">
        <v>24125.615822280633</v>
      </c>
      <c r="J885" s="373">
        <v>24448.908771949045</v>
      </c>
      <c r="K885" s="313"/>
      <c r="L885" s="313"/>
    </row>
    <row r="886" spans="1:12" x14ac:dyDescent="0.25">
      <c r="A886" s="369">
        <v>1826777</v>
      </c>
      <c r="B886" s="370" t="s">
        <v>883</v>
      </c>
      <c r="C886" s="370" t="s">
        <v>2445</v>
      </c>
      <c r="D886" s="370" t="str">
        <f t="shared" si="14"/>
        <v>1826777__PPPz</v>
      </c>
      <c r="E886" s="370" t="s">
        <v>328</v>
      </c>
      <c r="F886" s="371">
        <v>0</v>
      </c>
      <c r="G886" s="372">
        <v>0</v>
      </c>
      <c r="H886" s="371">
        <v>0</v>
      </c>
      <c r="I886" s="371">
        <v>0</v>
      </c>
      <c r="J886" s="373">
        <v>19656.29343348063</v>
      </c>
      <c r="K886" s="313"/>
      <c r="L886" s="313"/>
    </row>
    <row r="887" spans="1:12" ht="15.75" thickBot="1" x14ac:dyDescent="0.3">
      <c r="A887" s="374">
        <v>1826777</v>
      </c>
      <c r="B887" s="375" t="s">
        <v>883</v>
      </c>
      <c r="C887" s="375" t="s">
        <v>2446</v>
      </c>
      <c r="D887" s="375" t="str">
        <f t="shared" si="14"/>
        <v>1826777__VED</v>
      </c>
      <c r="E887" s="375" t="s">
        <v>328</v>
      </c>
      <c r="F887" s="376">
        <v>531138</v>
      </c>
      <c r="G887" s="377">
        <v>0.25</v>
      </c>
      <c r="H887" s="376">
        <v>132123.88059701491</v>
      </c>
      <c r="I887" s="376">
        <v>36691.34562336946</v>
      </c>
      <c r="J887" s="378">
        <v>39746.581077957591</v>
      </c>
      <c r="K887" s="313"/>
      <c r="L887" s="313"/>
    </row>
    <row r="888" spans="1:12" x14ac:dyDescent="0.25">
      <c r="A888" s="364">
        <v>2028356</v>
      </c>
      <c r="B888" s="365" t="s">
        <v>760</v>
      </c>
      <c r="C888" s="365" t="s">
        <v>2442</v>
      </c>
      <c r="D888" s="365" t="str">
        <f t="shared" si="14"/>
        <v>2028356__ADM</v>
      </c>
      <c r="E888" s="365" t="s">
        <v>328</v>
      </c>
      <c r="F888" s="366">
        <v>441671</v>
      </c>
      <c r="G888" s="367">
        <v>0.76959999999999995</v>
      </c>
      <c r="H888" s="366">
        <v>35690.101338422239</v>
      </c>
      <c r="I888" s="366">
        <v>32998.569863346675</v>
      </c>
      <c r="J888" s="368">
        <v>31548.047365249331</v>
      </c>
      <c r="K888" s="313"/>
      <c r="L888" s="313"/>
    </row>
    <row r="889" spans="1:12" x14ac:dyDescent="0.25">
      <c r="A889" s="369">
        <v>2028356</v>
      </c>
      <c r="B889" s="370" t="s">
        <v>760</v>
      </c>
      <c r="C889" s="370" t="s">
        <v>2443</v>
      </c>
      <c r="D889" s="370" t="str">
        <f t="shared" si="14"/>
        <v>2028356__MAN</v>
      </c>
      <c r="E889" s="370" t="s">
        <v>328</v>
      </c>
      <c r="F889" s="371">
        <v>68073</v>
      </c>
      <c r="G889" s="372">
        <v>0.15</v>
      </c>
      <c r="H889" s="371">
        <v>28222.636815920399</v>
      </c>
      <c r="I889" s="371">
        <v>20367.922572671236</v>
      </c>
      <c r="J889" s="373">
        <v>20275.221299280383</v>
      </c>
      <c r="K889" s="313"/>
      <c r="L889" s="313"/>
    </row>
    <row r="890" spans="1:12" x14ac:dyDescent="0.25">
      <c r="A890" s="369">
        <v>2028356</v>
      </c>
      <c r="B890" s="370" t="s">
        <v>760</v>
      </c>
      <c r="C890" s="370" t="s">
        <v>2444</v>
      </c>
      <c r="D890" s="370" t="str">
        <f t="shared" si="14"/>
        <v>2028356__PPPs</v>
      </c>
      <c r="E890" s="370" t="s">
        <v>328</v>
      </c>
      <c r="F890" s="371">
        <v>4068340</v>
      </c>
      <c r="G890" s="372">
        <v>12.55</v>
      </c>
      <c r="H890" s="371">
        <v>20159.858080117341</v>
      </c>
      <c r="I890" s="371">
        <v>24125.615822280633</v>
      </c>
      <c r="J890" s="373">
        <v>24448.908771949045</v>
      </c>
      <c r="K890" s="313"/>
      <c r="L890" s="313"/>
    </row>
    <row r="891" spans="1:12" x14ac:dyDescent="0.25">
      <c r="A891" s="369">
        <v>2028356</v>
      </c>
      <c r="B891" s="370" t="s">
        <v>760</v>
      </c>
      <c r="C891" s="370" t="s">
        <v>2445</v>
      </c>
      <c r="D891" s="370" t="str">
        <f t="shared" si="14"/>
        <v>2028356__PPPz</v>
      </c>
      <c r="E891" s="370" t="s">
        <v>328</v>
      </c>
      <c r="F891" s="371">
        <v>0</v>
      </c>
      <c r="G891" s="372">
        <v>0</v>
      </c>
      <c r="H891" s="371">
        <v>0</v>
      </c>
      <c r="I891" s="371">
        <v>0</v>
      </c>
      <c r="J891" s="373">
        <v>19656.29343348063</v>
      </c>
      <c r="K891" s="313"/>
      <c r="L891" s="313"/>
    </row>
    <row r="892" spans="1:12" ht="15.75" thickBot="1" x14ac:dyDescent="0.3">
      <c r="A892" s="374">
        <v>2028356</v>
      </c>
      <c r="B892" s="375" t="s">
        <v>760</v>
      </c>
      <c r="C892" s="375" t="s">
        <v>2446</v>
      </c>
      <c r="D892" s="375" t="str">
        <f t="shared" si="14"/>
        <v>2028356__VED</v>
      </c>
      <c r="E892" s="375" t="s">
        <v>328</v>
      </c>
      <c r="F892" s="376">
        <v>153978</v>
      </c>
      <c r="G892" s="377">
        <v>0.33</v>
      </c>
      <c r="H892" s="376">
        <v>29017.412935323384</v>
      </c>
      <c r="I892" s="376">
        <v>36691.34562336946</v>
      </c>
      <c r="J892" s="378">
        <v>39746.581077957591</v>
      </c>
      <c r="K892" s="313"/>
      <c r="L892" s="313"/>
    </row>
    <row r="893" spans="1:12" x14ac:dyDescent="0.25">
      <c r="A893" s="364">
        <v>2540162</v>
      </c>
      <c r="B893" s="365" t="s">
        <v>694</v>
      </c>
      <c r="C893" s="365" t="s">
        <v>2442</v>
      </c>
      <c r="D893" s="365" t="str">
        <f t="shared" si="14"/>
        <v>2540162__ADM</v>
      </c>
      <c r="E893" s="365" t="s">
        <v>328</v>
      </c>
      <c r="F893" s="366">
        <v>365249</v>
      </c>
      <c r="G893" s="367">
        <v>1</v>
      </c>
      <c r="H893" s="366">
        <v>22714.490049751243</v>
      </c>
      <c r="I893" s="366">
        <v>32998.569863346675</v>
      </c>
      <c r="J893" s="368">
        <v>31548.047365249331</v>
      </c>
      <c r="K893" s="313"/>
      <c r="L893" s="313"/>
    </row>
    <row r="894" spans="1:12" x14ac:dyDescent="0.25">
      <c r="A894" s="369">
        <v>2540162</v>
      </c>
      <c r="B894" s="370" t="s">
        <v>694</v>
      </c>
      <c r="C894" s="370" t="s">
        <v>2443</v>
      </c>
      <c r="D894" s="370" t="str">
        <f t="shared" si="14"/>
        <v>2540162__MAN</v>
      </c>
      <c r="E894" s="370" t="s">
        <v>328</v>
      </c>
      <c r="F894" s="371">
        <v>0</v>
      </c>
      <c r="G894" s="372">
        <v>0</v>
      </c>
      <c r="H894" s="371">
        <v>0</v>
      </c>
      <c r="I894" s="371">
        <v>20367.922572671236</v>
      </c>
      <c r="J894" s="373">
        <v>20275.221299280383</v>
      </c>
      <c r="K894" s="313"/>
      <c r="L894" s="313"/>
    </row>
    <row r="895" spans="1:12" x14ac:dyDescent="0.25">
      <c r="A895" s="369">
        <v>2540162</v>
      </c>
      <c r="B895" s="370" t="s">
        <v>694</v>
      </c>
      <c r="C895" s="370" t="s">
        <v>2444</v>
      </c>
      <c r="D895" s="370" t="str">
        <f t="shared" si="14"/>
        <v>2540162__PPPs</v>
      </c>
      <c r="E895" s="370" t="s">
        <v>328</v>
      </c>
      <c r="F895" s="371">
        <v>2239956</v>
      </c>
      <c r="G895" s="372">
        <v>6</v>
      </c>
      <c r="H895" s="371">
        <v>23216.791044776117</v>
      </c>
      <c r="I895" s="371">
        <v>24125.615822280633</v>
      </c>
      <c r="J895" s="373">
        <v>24448.908771949045</v>
      </c>
      <c r="K895" s="313"/>
      <c r="L895" s="313"/>
    </row>
    <row r="896" spans="1:12" x14ac:dyDescent="0.25">
      <c r="A896" s="369">
        <v>2540162</v>
      </c>
      <c r="B896" s="370" t="s">
        <v>694</v>
      </c>
      <c r="C896" s="370" t="s">
        <v>2445</v>
      </c>
      <c r="D896" s="370" t="str">
        <f t="shared" si="14"/>
        <v>2540162__PPPz</v>
      </c>
      <c r="E896" s="370" t="s">
        <v>328</v>
      </c>
      <c r="F896" s="371">
        <v>0</v>
      </c>
      <c r="G896" s="372">
        <v>0</v>
      </c>
      <c r="H896" s="371">
        <v>0</v>
      </c>
      <c r="I896" s="371">
        <v>0</v>
      </c>
      <c r="J896" s="373">
        <v>19656.29343348063</v>
      </c>
      <c r="K896" s="313"/>
      <c r="L896" s="313"/>
    </row>
    <row r="897" spans="1:12" ht="15.75" thickBot="1" x14ac:dyDescent="0.3">
      <c r="A897" s="374">
        <v>2540162</v>
      </c>
      <c r="B897" s="375" t="s">
        <v>694</v>
      </c>
      <c r="C897" s="375" t="s">
        <v>2446</v>
      </c>
      <c r="D897" s="375" t="str">
        <f t="shared" si="14"/>
        <v>2540162__VED</v>
      </c>
      <c r="E897" s="375" t="s">
        <v>328</v>
      </c>
      <c r="F897" s="376">
        <v>0</v>
      </c>
      <c r="G897" s="377">
        <v>0</v>
      </c>
      <c r="H897" s="376">
        <v>0</v>
      </c>
      <c r="I897" s="376">
        <v>36691.34562336946</v>
      </c>
      <c r="J897" s="378">
        <v>39746.581077957591</v>
      </c>
      <c r="K897" s="313"/>
      <c r="L897" s="313"/>
    </row>
    <row r="898" spans="1:12" x14ac:dyDescent="0.25">
      <c r="A898" s="364">
        <v>2946425</v>
      </c>
      <c r="B898" s="365" t="s">
        <v>546</v>
      </c>
      <c r="C898" s="365" t="s">
        <v>2442</v>
      </c>
      <c r="D898" s="365" t="str">
        <f t="shared" si="14"/>
        <v>2946425__ADM</v>
      </c>
      <c r="E898" s="365" t="s">
        <v>328</v>
      </c>
      <c r="F898" s="366">
        <v>0</v>
      </c>
      <c r="G898" s="367">
        <v>0</v>
      </c>
      <c r="H898" s="366">
        <v>0</v>
      </c>
      <c r="I898" s="366">
        <v>32998.569863346675</v>
      </c>
      <c r="J898" s="368">
        <v>31548.047365249331</v>
      </c>
      <c r="K898" s="313"/>
      <c r="L898" s="313"/>
    </row>
    <row r="899" spans="1:12" x14ac:dyDescent="0.25">
      <c r="A899" s="369">
        <v>2946425</v>
      </c>
      <c r="B899" s="370" t="s">
        <v>546</v>
      </c>
      <c r="C899" s="370" t="s">
        <v>2443</v>
      </c>
      <c r="D899" s="370" t="str">
        <f t="shared" si="14"/>
        <v>2946425__MAN</v>
      </c>
      <c r="E899" s="370" t="s">
        <v>328</v>
      </c>
      <c r="F899" s="371">
        <v>46771</v>
      </c>
      <c r="G899" s="372">
        <v>0.2</v>
      </c>
      <c r="H899" s="371">
        <v>14543.221393034826</v>
      </c>
      <c r="I899" s="371">
        <v>20367.922572671236</v>
      </c>
      <c r="J899" s="373">
        <v>20275.221299280383</v>
      </c>
      <c r="K899" s="313"/>
      <c r="L899" s="313"/>
    </row>
    <row r="900" spans="1:12" x14ac:dyDescent="0.25">
      <c r="A900" s="369">
        <v>2946425</v>
      </c>
      <c r="B900" s="370" t="s">
        <v>546</v>
      </c>
      <c r="C900" s="370" t="s">
        <v>2444</v>
      </c>
      <c r="D900" s="370" t="str">
        <f t="shared" si="14"/>
        <v>2946425__PPPs</v>
      </c>
      <c r="E900" s="370" t="s">
        <v>328</v>
      </c>
      <c r="F900" s="371">
        <v>1920141</v>
      </c>
      <c r="G900" s="372">
        <v>4.1079999999999997</v>
      </c>
      <c r="H900" s="371">
        <v>29068.099739859612</v>
      </c>
      <c r="I900" s="371">
        <v>24125.615822280633</v>
      </c>
      <c r="J900" s="373">
        <v>24448.908771949045</v>
      </c>
      <c r="K900" s="313"/>
      <c r="L900" s="313"/>
    </row>
    <row r="901" spans="1:12" x14ac:dyDescent="0.25">
      <c r="A901" s="369">
        <v>2946425</v>
      </c>
      <c r="B901" s="370" t="s">
        <v>546</v>
      </c>
      <c r="C901" s="370" t="s">
        <v>2445</v>
      </c>
      <c r="D901" s="370" t="str">
        <f t="shared" si="14"/>
        <v>2946425__PPPz</v>
      </c>
      <c r="E901" s="370" t="s">
        <v>328</v>
      </c>
      <c r="F901" s="371">
        <v>0</v>
      </c>
      <c r="G901" s="372">
        <v>0</v>
      </c>
      <c r="H901" s="371">
        <v>0</v>
      </c>
      <c r="I901" s="371">
        <v>0</v>
      </c>
      <c r="J901" s="373">
        <v>19656.29343348063</v>
      </c>
      <c r="K901" s="313"/>
      <c r="L901" s="313"/>
    </row>
    <row r="902" spans="1:12" ht="15.75" thickBot="1" x14ac:dyDescent="0.3">
      <c r="A902" s="374">
        <v>2946425</v>
      </c>
      <c r="B902" s="375" t="s">
        <v>546</v>
      </c>
      <c r="C902" s="375" t="s">
        <v>2446</v>
      </c>
      <c r="D902" s="375" t="str">
        <f t="shared" si="14"/>
        <v>2946425__VED</v>
      </c>
      <c r="E902" s="375" t="s">
        <v>328</v>
      </c>
      <c r="F902" s="376">
        <v>182863</v>
      </c>
      <c r="G902" s="377">
        <v>0.25</v>
      </c>
      <c r="H902" s="376">
        <v>45488.308457711442</v>
      </c>
      <c r="I902" s="376">
        <v>36691.34562336946</v>
      </c>
      <c r="J902" s="378">
        <v>39746.581077957591</v>
      </c>
      <c r="K902" s="313"/>
      <c r="L902" s="313"/>
    </row>
    <row r="903" spans="1:12" x14ac:dyDescent="0.25">
      <c r="A903" s="364">
        <v>3095940</v>
      </c>
      <c r="B903" s="365" t="s">
        <v>1003</v>
      </c>
      <c r="C903" s="365" t="s">
        <v>2442</v>
      </c>
      <c r="D903" s="365" t="str">
        <f t="shared" si="14"/>
        <v>3095940__ADM</v>
      </c>
      <c r="E903" s="365" t="s">
        <v>328</v>
      </c>
      <c r="F903" s="366">
        <v>260302</v>
      </c>
      <c r="G903" s="367">
        <v>0.2</v>
      </c>
      <c r="H903" s="366">
        <v>80939.676616915429</v>
      </c>
      <c r="I903" s="366">
        <v>32998.569863346675</v>
      </c>
      <c r="J903" s="368">
        <v>31548.047365249331</v>
      </c>
      <c r="K903" s="313"/>
      <c r="L903" s="313"/>
    </row>
    <row r="904" spans="1:12" x14ac:dyDescent="0.25">
      <c r="A904" s="369">
        <v>3095940</v>
      </c>
      <c r="B904" s="370" t="s">
        <v>1003</v>
      </c>
      <c r="C904" s="370" t="s">
        <v>2443</v>
      </c>
      <c r="D904" s="370" t="str">
        <f t="shared" si="14"/>
        <v>3095940__MAN</v>
      </c>
      <c r="E904" s="370" t="s">
        <v>328</v>
      </c>
      <c r="F904" s="371">
        <v>573578</v>
      </c>
      <c r="G904" s="372">
        <v>0.9</v>
      </c>
      <c r="H904" s="371">
        <v>39633.637368711992</v>
      </c>
      <c r="I904" s="371">
        <v>20367.922572671236</v>
      </c>
      <c r="J904" s="373">
        <v>20275.221299280383</v>
      </c>
      <c r="K904" s="313"/>
      <c r="L904" s="313"/>
    </row>
    <row r="905" spans="1:12" x14ac:dyDescent="0.25">
      <c r="A905" s="369">
        <v>3095940</v>
      </c>
      <c r="B905" s="370" t="s">
        <v>1003</v>
      </c>
      <c r="C905" s="370" t="s">
        <v>2444</v>
      </c>
      <c r="D905" s="370" t="str">
        <f t="shared" si="14"/>
        <v>3095940__PPPs</v>
      </c>
      <c r="E905" s="370" t="s">
        <v>328</v>
      </c>
      <c r="F905" s="371">
        <v>2689248</v>
      </c>
      <c r="G905" s="372">
        <v>7.92</v>
      </c>
      <c r="H905" s="371">
        <v>21116.3877581788</v>
      </c>
      <c r="I905" s="371">
        <v>24125.615822280633</v>
      </c>
      <c r="J905" s="373">
        <v>24448.908771949045</v>
      </c>
      <c r="K905" s="313"/>
      <c r="L905" s="313"/>
    </row>
    <row r="906" spans="1:12" x14ac:dyDescent="0.25">
      <c r="A906" s="369">
        <v>3095940</v>
      </c>
      <c r="B906" s="370" t="s">
        <v>1003</v>
      </c>
      <c r="C906" s="370" t="s">
        <v>2445</v>
      </c>
      <c r="D906" s="370" t="str">
        <f t="shared" si="14"/>
        <v>3095940__PPPz</v>
      </c>
      <c r="E906" s="370" t="s">
        <v>328</v>
      </c>
      <c r="F906" s="371">
        <v>0</v>
      </c>
      <c r="G906" s="372">
        <v>0</v>
      </c>
      <c r="H906" s="371">
        <v>0</v>
      </c>
      <c r="I906" s="371">
        <v>0</v>
      </c>
      <c r="J906" s="373">
        <v>19656.29343348063</v>
      </c>
      <c r="K906" s="313"/>
      <c r="L906" s="313"/>
    </row>
    <row r="907" spans="1:12" ht="15.75" thickBot="1" x14ac:dyDescent="0.3">
      <c r="A907" s="374">
        <v>3095940</v>
      </c>
      <c r="B907" s="375" t="s">
        <v>1003</v>
      </c>
      <c r="C907" s="375" t="s">
        <v>2446</v>
      </c>
      <c r="D907" s="375" t="str">
        <f t="shared" si="14"/>
        <v>3095940__VED</v>
      </c>
      <c r="E907" s="375" t="s">
        <v>328</v>
      </c>
      <c r="F907" s="376">
        <v>186532</v>
      </c>
      <c r="G907" s="377">
        <v>0.6</v>
      </c>
      <c r="H907" s="376">
        <v>19333.747927031509</v>
      </c>
      <c r="I907" s="376">
        <v>36691.34562336946</v>
      </c>
      <c r="J907" s="378">
        <v>39746.581077957591</v>
      </c>
      <c r="K907" s="313"/>
      <c r="L907" s="313"/>
    </row>
    <row r="908" spans="1:12" x14ac:dyDescent="0.25">
      <c r="A908" s="364">
        <v>3110951</v>
      </c>
      <c r="B908" s="365" t="s">
        <v>826</v>
      </c>
      <c r="C908" s="365" t="s">
        <v>2442</v>
      </c>
      <c r="D908" s="365" t="str">
        <f t="shared" si="14"/>
        <v>3110951__ADM</v>
      </c>
      <c r="E908" s="365" t="s">
        <v>328</v>
      </c>
      <c r="F908" s="366">
        <v>54806</v>
      </c>
      <c r="G908" s="367">
        <v>0.1</v>
      </c>
      <c r="H908" s="366">
        <v>34083.333333333328</v>
      </c>
      <c r="I908" s="366">
        <v>32998.569863346675</v>
      </c>
      <c r="J908" s="368">
        <v>31548.047365249331</v>
      </c>
      <c r="K908" s="313"/>
      <c r="L908" s="313"/>
    </row>
    <row r="909" spans="1:12" x14ac:dyDescent="0.25">
      <c r="A909" s="369">
        <v>3110951</v>
      </c>
      <c r="B909" s="370" t="s">
        <v>826</v>
      </c>
      <c r="C909" s="370" t="s">
        <v>2443</v>
      </c>
      <c r="D909" s="370" t="str">
        <f t="shared" si="14"/>
        <v>3110951__MAN</v>
      </c>
      <c r="E909" s="370" t="s">
        <v>328</v>
      </c>
      <c r="F909" s="371">
        <v>40168</v>
      </c>
      <c r="G909" s="372">
        <v>0.1</v>
      </c>
      <c r="H909" s="371">
        <v>24980.099502487563</v>
      </c>
      <c r="I909" s="371">
        <v>20367.922572671236</v>
      </c>
      <c r="J909" s="373">
        <v>20275.221299280383</v>
      </c>
      <c r="K909" s="313"/>
      <c r="L909" s="313"/>
    </row>
    <row r="910" spans="1:12" x14ac:dyDescent="0.25">
      <c r="A910" s="369">
        <v>3110951</v>
      </c>
      <c r="B910" s="370" t="s">
        <v>826</v>
      </c>
      <c r="C910" s="370" t="s">
        <v>2444</v>
      </c>
      <c r="D910" s="370" t="str">
        <f t="shared" si="14"/>
        <v>3110951__PPPs</v>
      </c>
      <c r="E910" s="370" t="s">
        <v>328</v>
      </c>
      <c r="F910" s="371">
        <v>2409694</v>
      </c>
      <c r="G910" s="372">
        <v>5.8443999999999994</v>
      </c>
      <c r="H910" s="371">
        <v>25641.056744884161</v>
      </c>
      <c r="I910" s="371">
        <v>24125.615822280633</v>
      </c>
      <c r="J910" s="373">
        <v>24448.908771949045</v>
      </c>
      <c r="K910" s="313"/>
      <c r="L910" s="313"/>
    </row>
    <row r="911" spans="1:12" x14ac:dyDescent="0.25">
      <c r="A911" s="369">
        <v>3110951</v>
      </c>
      <c r="B911" s="370" t="s">
        <v>826</v>
      </c>
      <c r="C911" s="370" t="s">
        <v>2445</v>
      </c>
      <c r="D911" s="370" t="str">
        <f t="shared" si="14"/>
        <v>3110951__PPPz</v>
      </c>
      <c r="E911" s="370" t="s">
        <v>328</v>
      </c>
      <c r="F911" s="371">
        <v>0</v>
      </c>
      <c r="G911" s="372">
        <v>0</v>
      </c>
      <c r="H911" s="371">
        <v>0</v>
      </c>
      <c r="I911" s="371">
        <v>0</v>
      </c>
      <c r="J911" s="373">
        <v>19656.29343348063</v>
      </c>
      <c r="K911" s="313"/>
      <c r="L911" s="313"/>
    </row>
    <row r="912" spans="1:12" ht="15.75" thickBot="1" x14ac:dyDescent="0.3">
      <c r="A912" s="374">
        <v>3110951</v>
      </c>
      <c r="B912" s="375" t="s">
        <v>826</v>
      </c>
      <c r="C912" s="375" t="s">
        <v>2446</v>
      </c>
      <c r="D912" s="375" t="str">
        <f t="shared" si="14"/>
        <v>3110951__VED</v>
      </c>
      <c r="E912" s="375" t="s">
        <v>328</v>
      </c>
      <c r="F912" s="376">
        <v>622010</v>
      </c>
      <c r="G912" s="377">
        <v>1.1000000000000001</v>
      </c>
      <c r="H912" s="376">
        <v>35165.649027589323</v>
      </c>
      <c r="I912" s="376">
        <v>36691.34562336946</v>
      </c>
      <c r="J912" s="378">
        <v>39746.581077957591</v>
      </c>
      <c r="K912" s="313"/>
      <c r="L912" s="313"/>
    </row>
    <row r="913" spans="1:12" x14ac:dyDescent="0.25">
      <c r="A913" s="364">
        <v>3597628</v>
      </c>
      <c r="B913" s="365" t="s">
        <v>332</v>
      </c>
      <c r="C913" s="365" t="s">
        <v>2442</v>
      </c>
      <c r="D913" s="365" t="str">
        <f t="shared" si="14"/>
        <v>3597628__ADM</v>
      </c>
      <c r="E913" s="365" t="s">
        <v>328</v>
      </c>
      <c r="F913" s="366">
        <v>288717</v>
      </c>
      <c r="G913" s="367">
        <v>0.13439999999999999</v>
      </c>
      <c r="H913" s="366">
        <v>133594.02762970861</v>
      </c>
      <c r="I913" s="366">
        <v>32998.569863346675</v>
      </c>
      <c r="J913" s="368">
        <v>31548.047365249331</v>
      </c>
      <c r="K913" s="313"/>
      <c r="L913" s="313"/>
    </row>
    <row r="914" spans="1:12" x14ac:dyDescent="0.25">
      <c r="A914" s="369">
        <v>3597628</v>
      </c>
      <c r="B914" s="370" t="s">
        <v>332</v>
      </c>
      <c r="C914" s="370" t="s">
        <v>2443</v>
      </c>
      <c r="D914" s="370" t="str">
        <f t="shared" si="14"/>
        <v>3597628__MAN</v>
      </c>
      <c r="E914" s="370" t="s">
        <v>328</v>
      </c>
      <c r="F914" s="371">
        <v>251209</v>
      </c>
      <c r="G914" s="372">
        <v>1</v>
      </c>
      <c r="H914" s="371">
        <v>15622.450248756217</v>
      </c>
      <c r="I914" s="371">
        <v>20367.922572671236</v>
      </c>
      <c r="J914" s="373">
        <v>20275.221299280383</v>
      </c>
      <c r="K914" s="313"/>
      <c r="L914" s="313"/>
    </row>
    <row r="915" spans="1:12" x14ac:dyDescent="0.25">
      <c r="A915" s="369">
        <v>3597628</v>
      </c>
      <c r="B915" s="370" t="s">
        <v>332</v>
      </c>
      <c r="C915" s="370" t="s">
        <v>2444</v>
      </c>
      <c r="D915" s="370" t="str">
        <f t="shared" si="14"/>
        <v>3597628__PPPs</v>
      </c>
      <c r="E915" s="370" t="s">
        <v>328</v>
      </c>
      <c r="F915" s="371">
        <v>3521980</v>
      </c>
      <c r="G915" s="372">
        <v>10.084</v>
      </c>
      <c r="H915" s="371">
        <v>21720.409258743966</v>
      </c>
      <c r="I915" s="371">
        <v>24125.615822280633</v>
      </c>
      <c r="J915" s="373">
        <v>24448.908771949045</v>
      </c>
      <c r="K915" s="313"/>
      <c r="L915" s="313"/>
    </row>
    <row r="916" spans="1:12" x14ac:dyDescent="0.25">
      <c r="A916" s="369">
        <v>3597628</v>
      </c>
      <c r="B916" s="370" t="s">
        <v>332</v>
      </c>
      <c r="C916" s="370" t="s">
        <v>2445</v>
      </c>
      <c r="D916" s="370" t="str">
        <f t="shared" si="14"/>
        <v>3597628__PPPz</v>
      </c>
      <c r="E916" s="370" t="s">
        <v>328</v>
      </c>
      <c r="F916" s="371">
        <v>0</v>
      </c>
      <c r="G916" s="372">
        <v>0</v>
      </c>
      <c r="H916" s="371">
        <v>0</v>
      </c>
      <c r="I916" s="371">
        <v>0</v>
      </c>
      <c r="J916" s="373">
        <v>19656.29343348063</v>
      </c>
      <c r="K916" s="313"/>
      <c r="L916" s="313"/>
    </row>
    <row r="917" spans="1:12" ht="15.75" thickBot="1" x14ac:dyDescent="0.3">
      <c r="A917" s="374">
        <v>3597628</v>
      </c>
      <c r="B917" s="375" t="s">
        <v>332</v>
      </c>
      <c r="C917" s="375" t="s">
        <v>2446</v>
      </c>
      <c r="D917" s="375" t="str">
        <f t="shared" si="14"/>
        <v>3597628__VED</v>
      </c>
      <c r="E917" s="375" t="s">
        <v>328</v>
      </c>
      <c r="F917" s="376">
        <v>452813</v>
      </c>
      <c r="G917" s="377">
        <v>1.1168</v>
      </c>
      <c r="H917" s="376">
        <v>25214.910850475415</v>
      </c>
      <c r="I917" s="376">
        <v>36691.34562336946</v>
      </c>
      <c r="J917" s="378">
        <v>39746.581077957591</v>
      </c>
      <c r="K917" s="313"/>
      <c r="L917" s="313"/>
    </row>
    <row r="918" spans="1:12" x14ac:dyDescent="0.25">
      <c r="A918" s="364">
        <v>3810187</v>
      </c>
      <c r="B918" s="365" t="s">
        <v>674</v>
      </c>
      <c r="C918" s="365" t="s">
        <v>2442</v>
      </c>
      <c r="D918" s="365" t="str">
        <f t="shared" si="14"/>
        <v>3810187__ADM</v>
      </c>
      <c r="E918" s="365" t="s">
        <v>328</v>
      </c>
      <c r="F918" s="366">
        <v>31005</v>
      </c>
      <c r="G918" s="367">
        <v>0.1</v>
      </c>
      <c r="H918" s="366">
        <v>19281.716417910447</v>
      </c>
      <c r="I918" s="366">
        <v>32998.569863346675</v>
      </c>
      <c r="J918" s="368">
        <v>31548.047365249331</v>
      </c>
      <c r="K918" s="313"/>
      <c r="L918" s="313"/>
    </row>
    <row r="919" spans="1:12" x14ac:dyDescent="0.25">
      <c r="A919" s="369">
        <v>3810187</v>
      </c>
      <c r="B919" s="370" t="s">
        <v>674</v>
      </c>
      <c r="C919" s="370" t="s">
        <v>2443</v>
      </c>
      <c r="D919" s="370" t="str">
        <f t="shared" si="14"/>
        <v>3810187__MAN</v>
      </c>
      <c r="E919" s="370" t="s">
        <v>328</v>
      </c>
      <c r="F919" s="371">
        <v>0</v>
      </c>
      <c r="G919" s="372">
        <v>0</v>
      </c>
      <c r="H919" s="371">
        <v>0</v>
      </c>
      <c r="I919" s="371">
        <v>20367.922572671236</v>
      </c>
      <c r="J919" s="373">
        <v>20275.221299280383</v>
      </c>
      <c r="K919" s="313"/>
      <c r="L919" s="313"/>
    </row>
    <row r="920" spans="1:12" x14ac:dyDescent="0.25">
      <c r="A920" s="369">
        <v>3810187</v>
      </c>
      <c r="B920" s="370" t="s">
        <v>674</v>
      </c>
      <c r="C920" s="370" t="s">
        <v>2444</v>
      </c>
      <c r="D920" s="370" t="str">
        <f t="shared" si="14"/>
        <v>3810187__PPPs</v>
      </c>
      <c r="E920" s="370" t="s">
        <v>328</v>
      </c>
      <c r="F920" s="371">
        <v>3775974</v>
      </c>
      <c r="G920" s="372">
        <v>8.8000000000000007</v>
      </c>
      <c r="H920" s="371">
        <v>26684.574287652642</v>
      </c>
      <c r="I920" s="371">
        <v>24125.615822280633</v>
      </c>
      <c r="J920" s="373">
        <v>24448.908771949045</v>
      </c>
      <c r="K920" s="313"/>
      <c r="L920" s="313"/>
    </row>
    <row r="921" spans="1:12" x14ac:dyDescent="0.25">
      <c r="A921" s="369">
        <v>3810187</v>
      </c>
      <c r="B921" s="370" t="s">
        <v>674</v>
      </c>
      <c r="C921" s="370" t="s">
        <v>2445</v>
      </c>
      <c r="D921" s="370" t="str">
        <f t="shared" si="14"/>
        <v>3810187__PPPz</v>
      </c>
      <c r="E921" s="370" t="s">
        <v>328</v>
      </c>
      <c r="F921" s="371">
        <v>0</v>
      </c>
      <c r="G921" s="372">
        <v>0</v>
      </c>
      <c r="H921" s="371">
        <v>0</v>
      </c>
      <c r="I921" s="371">
        <v>0</v>
      </c>
      <c r="J921" s="373">
        <v>19656.29343348063</v>
      </c>
      <c r="K921" s="313"/>
      <c r="L921" s="313"/>
    </row>
    <row r="922" spans="1:12" ht="15.75" thickBot="1" x14ac:dyDescent="0.3">
      <c r="A922" s="374">
        <v>3810187</v>
      </c>
      <c r="B922" s="375" t="s">
        <v>674</v>
      </c>
      <c r="C922" s="375" t="s">
        <v>2446</v>
      </c>
      <c r="D922" s="375" t="str">
        <f t="shared" si="14"/>
        <v>3810187__VED</v>
      </c>
      <c r="E922" s="375" t="s">
        <v>328</v>
      </c>
      <c r="F922" s="376">
        <v>498827</v>
      </c>
      <c r="G922" s="377">
        <v>0.85</v>
      </c>
      <c r="H922" s="376">
        <v>36495.976002341238</v>
      </c>
      <c r="I922" s="376">
        <v>36691.34562336946</v>
      </c>
      <c r="J922" s="378">
        <v>39746.581077957591</v>
      </c>
      <c r="K922" s="313"/>
      <c r="L922" s="313"/>
    </row>
    <row r="923" spans="1:12" x14ac:dyDescent="0.25">
      <c r="A923" s="364">
        <v>4383860</v>
      </c>
      <c r="B923" s="365" t="s">
        <v>864</v>
      </c>
      <c r="C923" s="365" t="s">
        <v>2442</v>
      </c>
      <c r="D923" s="365" t="str">
        <f t="shared" si="14"/>
        <v>4383860__ADM</v>
      </c>
      <c r="E923" s="365" t="s">
        <v>328</v>
      </c>
      <c r="F923" s="366">
        <v>1927501</v>
      </c>
      <c r="G923" s="367">
        <v>1.8</v>
      </c>
      <c r="H923" s="366">
        <v>66594.14731896075</v>
      </c>
      <c r="I923" s="366">
        <v>32998.569863346675</v>
      </c>
      <c r="J923" s="368">
        <v>31548.047365249331</v>
      </c>
      <c r="K923" s="313"/>
      <c r="L923" s="313"/>
    </row>
    <row r="924" spans="1:12" x14ac:dyDescent="0.25">
      <c r="A924" s="369">
        <v>4383860</v>
      </c>
      <c r="B924" s="370" t="s">
        <v>864</v>
      </c>
      <c r="C924" s="370" t="s">
        <v>2443</v>
      </c>
      <c r="D924" s="370" t="str">
        <f t="shared" si="14"/>
        <v>4383860__MAN</v>
      </c>
      <c r="E924" s="370" t="s">
        <v>328</v>
      </c>
      <c r="F924" s="371">
        <v>5238</v>
      </c>
      <c r="G924" s="372">
        <v>0.03</v>
      </c>
      <c r="H924" s="371">
        <v>10858.208955223879</v>
      </c>
      <c r="I924" s="371">
        <v>20367.922572671236</v>
      </c>
      <c r="J924" s="373">
        <v>20275.221299280383</v>
      </c>
      <c r="K924" s="313"/>
      <c r="L924" s="313"/>
    </row>
    <row r="925" spans="1:12" x14ac:dyDescent="0.25">
      <c r="A925" s="369">
        <v>4383860</v>
      </c>
      <c r="B925" s="370" t="s">
        <v>864</v>
      </c>
      <c r="C925" s="370" t="s">
        <v>2444</v>
      </c>
      <c r="D925" s="370" t="str">
        <f t="shared" si="14"/>
        <v>4383860__PPPs</v>
      </c>
      <c r="E925" s="370" t="s">
        <v>328</v>
      </c>
      <c r="F925" s="371">
        <v>9519179</v>
      </c>
      <c r="G925" s="372">
        <v>21.997</v>
      </c>
      <c r="H925" s="371">
        <v>26912.249114929058</v>
      </c>
      <c r="I925" s="371">
        <v>24125.615822280633</v>
      </c>
      <c r="J925" s="373">
        <v>24448.908771949045</v>
      </c>
      <c r="K925" s="313"/>
      <c r="L925" s="313"/>
    </row>
    <row r="926" spans="1:12" x14ac:dyDescent="0.25">
      <c r="A926" s="369">
        <v>4383860</v>
      </c>
      <c r="B926" s="370" t="s">
        <v>864</v>
      </c>
      <c r="C926" s="370" t="s">
        <v>2445</v>
      </c>
      <c r="D926" s="370" t="str">
        <f t="shared" si="14"/>
        <v>4383860__PPPz</v>
      </c>
      <c r="E926" s="370" t="s">
        <v>328</v>
      </c>
      <c r="F926" s="371">
        <v>0</v>
      </c>
      <c r="G926" s="372">
        <v>0</v>
      </c>
      <c r="H926" s="371">
        <v>0</v>
      </c>
      <c r="I926" s="371">
        <v>0</v>
      </c>
      <c r="J926" s="373">
        <v>19656.29343348063</v>
      </c>
      <c r="K926" s="313"/>
      <c r="L926" s="313"/>
    </row>
    <row r="927" spans="1:12" ht="15.75" thickBot="1" x14ac:dyDescent="0.3">
      <c r="A927" s="374">
        <v>4383860</v>
      </c>
      <c r="B927" s="375" t="s">
        <v>864</v>
      </c>
      <c r="C927" s="375" t="s">
        <v>2446</v>
      </c>
      <c r="D927" s="375" t="str">
        <f t="shared" si="14"/>
        <v>4383860__VED</v>
      </c>
      <c r="E927" s="375" t="s">
        <v>328</v>
      </c>
      <c r="F927" s="376">
        <v>675575</v>
      </c>
      <c r="G927" s="377">
        <v>2.2000000000000002</v>
      </c>
      <c r="H927" s="376">
        <v>19096.986657620982</v>
      </c>
      <c r="I927" s="376">
        <v>36691.34562336946</v>
      </c>
      <c r="J927" s="378">
        <v>39746.581077957591</v>
      </c>
      <c r="K927" s="313"/>
      <c r="L927" s="313"/>
    </row>
    <row r="928" spans="1:12" x14ac:dyDescent="0.25">
      <c r="A928" s="364">
        <v>4878719</v>
      </c>
      <c r="B928" s="365" t="s">
        <v>942</v>
      </c>
      <c r="C928" s="365" t="s">
        <v>2442</v>
      </c>
      <c r="D928" s="365" t="str">
        <f t="shared" si="14"/>
        <v>4878719__ADM</v>
      </c>
      <c r="E928" s="365" t="s">
        <v>328</v>
      </c>
      <c r="F928" s="366">
        <v>150274</v>
      </c>
      <c r="G928" s="367">
        <v>0.2</v>
      </c>
      <c r="H928" s="366">
        <v>46726.990049751243</v>
      </c>
      <c r="I928" s="366">
        <v>32998.569863346675</v>
      </c>
      <c r="J928" s="368">
        <v>31548.047365249331</v>
      </c>
      <c r="K928" s="313"/>
      <c r="L928" s="313"/>
    </row>
    <row r="929" spans="1:12" x14ac:dyDescent="0.25">
      <c r="A929" s="369">
        <v>4878719</v>
      </c>
      <c r="B929" s="370" t="s">
        <v>942</v>
      </c>
      <c r="C929" s="370" t="s">
        <v>2443</v>
      </c>
      <c r="D929" s="370" t="str">
        <f t="shared" si="14"/>
        <v>4878719__MAN</v>
      </c>
      <c r="E929" s="370" t="s">
        <v>328</v>
      </c>
      <c r="F929" s="371">
        <v>2648</v>
      </c>
      <c r="G929" s="372">
        <v>0.1</v>
      </c>
      <c r="H929" s="371">
        <v>1646.7661691542287</v>
      </c>
      <c r="I929" s="371">
        <v>20367.922572671236</v>
      </c>
      <c r="J929" s="373">
        <v>20275.221299280383</v>
      </c>
      <c r="K929" s="313"/>
      <c r="L929" s="313"/>
    </row>
    <row r="930" spans="1:12" x14ac:dyDescent="0.25">
      <c r="A930" s="369">
        <v>4878719</v>
      </c>
      <c r="B930" s="370" t="s">
        <v>942</v>
      </c>
      <c r="C930" s="370" t="s">
        <v>2444</v>
      </c>
      <c r="D930" s="370" t="str">
        <f t="shared" ref="D930:D993" si="15">CONCATENATE(A930,"__",C930)</f>
        <v>4878719__PPPs</v>
      </c>
      <c r="E930" s="370" t="s">
        <v>328</v>
      </c>
      <c r="F930" s="371">
        <v>2085266</v>
      </c>
      <c r="G930" s="372">
        <v>4.2</v>
      </c>
      <c r="H930" s="371">
        <v>30876.362236436857</v>
      </c>
      <c r="I930" s="371">
        <v>24125.615822280633</v>
      </c>
      <c r="J930" s="373">
        <v>24448.908771949045</v>
      </c>
      <c r="K930" s="313"/>
      <c r="L930" s="313"/>
    </row>
    <row r="931" spans="1:12" x14ac:dyDescent="0.25">
      <c r="A931" s="369">
        <v>4878719</v>
      </c>
      <c r="B931" s="370" t="s">
        <v>942</v>
      </c>
      <c r="C931" s="370" t="s">
        <v>2445</v>
      </c>
      <c r="D931" s="370" t="str">
        <f t="shared" si="15"/>
        <v>4878719__PPPz</v>
      </c>
      <c r="E931" s="370" t="s">
        <v>328</v>
      </c>
      <c r="F931" s="371">
        <v>0</v>
      </c>
      <c r="G931" s="372">
        <v>0</v>
      </c>
      <c r="H931" s="371">
        <v>0</v>
      </c>
      <c r="I931" s="371">
        <v>0</v>
      </c>
      <c r="J931" s="373">
        <v>19656.29343348063</v>
      </c>
      <c r="K931" s="313"/>
      <c r="L931" s="313"/>
    </row>
    <row r="932" spans="1:12" ht="15.75" thickBot="1" x14ac:dyDescent="0.3">
      <c r="A932" s="374">
        <v>4878719</v>
      </c>
      <c r="B932" s="375" t="s">
        <v>942</v>
      </c>
      <c r="C932" s="375" t="s">
        <v>2446</v>
      </c>
      <c r="D932" s="375" t="str">
        <f t="shared" si="15"/>
        <v>4878719__VED</v>
      </c>
      <c r="E932" s="375" t="s">
        <v>328</v>
      </c>
      <c r="F932" s="376">
        <v>0</v>
      </c>
      <c r="G932" s="377">
        <v>0</v>
      </c>
      <c r="H932" s="376">
        <v>0</v>
      </c>
      <c r="I932" s="376">
        <v>36691.34562336946</v>
      </c>
      <c r="J932" s="378">
        <v>39746.581077957591</v>
      </c>
      <c r="K932" s="313"/>
      <c r="L932" s="313"/>
    </row>
    <row r="933" spans="1:12" x14ac:dyDescent="0.25">
      <c r="A933" s="364">
        <v>4936413</v>
      </c>
      <c r="B933" s="365" t="s">
        <v>655</v>
      </c>
      <c r="C933" s="365" t="s">
        <v>2442</v>
      </c>
      <c r="D933" s="365" t="str">
        <f t="shared" si="15"/>
        <v>4936413__ADM</v>
      </c>
      <c r="E933" s="365" t="s">
        <v>328</v>
      </c>
      <c r="F933" s="366">
        <v>0</v>
      </c>
      <c r="G933" s="367">
        <v>0</v>
      </c>
      <c r="H933" s="366">
        <v>0</v>
      </c>
      <c r="I933" s="366">
        <v>32998.569863346675</v>
      </c>
      <c r="J933" s="368">
        <v>31548.047365249331</v>
      </c>
      <c r="K933" s="313"/>
      <c r="L933" s="313"/>
    </row>
    <row r="934" spans="1:12" x14ac:dyDescent="0.25">
      <c r="A934" s="369">
        <v>4936413</v>
      </c>
      <c r="B934" s="370" t="s">
        <v>655</v>
      </c>
      <c r="C934" s="370" t="s">
        <v>2443</v>
      </c>
      <c r="D934" s="370" t="str">
        <f t="shared" si="15"/>
        <v>4936413__MAN</v>
      </c>
      <c r="E934" s="370" t="s">
        <v>328</v>
      </c>
      <c r="F934" s="371">
        <v>0</v>
      </c>
      <c r="G934" s="372">
        <v>0</v>
      </c>
      <c r="H934" s="371">
        <v>0</v>
      </c>
      <c r="I934" s="371">
        <v>20367.922572671236</v>
      </c>
      <c r="J934" s="373">
        <v>20275.221299280383</v>
      </c>
      <c r="K934" s="313"/>
      <c r="L934" s="313"/>
    </row>
    <row r="935" spans="1:12" x14ac:dyDescent="0.25">
      <c r="A935" s="369">
        <v>4936413</v>
      </c>
      <c r="B935" s="370" t="s">
        <v>655</v>
      </c>
      <c r="C935" s="370" t="s">
        <v>2444</v>
      </c>
      <c r="D935" s="370" t="str">
        <f t="shared" si="15"/>
        <v>4936413__PPPs</v>
      </c>
      <c r="E935" s="370" t="s">
        <v>328</v>
      </c>
      <c r="F935" s="371">
        <v>1556373</v>
      </c>
      <c r="G935" s="372">
        <v>3.4</v>
      </c>
      <c r="H935" s="371">
        <v>28467.460491659349</v>
      </c>
      <c r="I935" s="371">
        <v>24125.615822280633</v>
      </c>
      <c r="J935" s="373">
        <v>24448.908771949045</v>
      </c>
      <c r="K935" s="313"/>
      <c r="L935" s="313"/>
    </row>
    <row r="936" spans="1:12" x14ac:dyDescent="0.25">
      <c r="A936" s="369">
        <v>4936413</v>
      </c>
      <c r="B936" s="370" t="s">
        <v>655</v>
      </c>
      <c r="C936" s="370" t="s">
        <v>2445</v>
      </c>
      <c r="D936" s="370" t="str">
        <f t="shared" si="15"/>
        <v>4936413__PPPz</v>
      </c>
      <c r="E936" s="370" t="s">
        <v>328</v>
      </c>
      <c r="F936" s="371">
        <v>0</v>
      </c>
      <c r="G936" s="372">
        <v>0</v>
      </c>
      <c r="H936" s="371">
        <v>0</v>
      </c>
      <c r="I936" s="371">
        <v>0</v>
      </c>
      <c r="J936" s="373">
        <v>19656.29343348063</v>
      </c>
      <c r="K936" s="313"/>
      <c r="L936" s="313"/>
    </row>
    <row r="937" spans="1:12" ht="15.75" thickBot="1" x14ac:dyDescent="0.3">
      <c r="A937" s="374">
        <v>4936413</v>
      </c>
      <c r="B937" s="375" t="s">
        <v>655</v>
      </c>
      <c r="C937" s="375" t="s">
        <v>2446</v>
      </c>
      <c r="D937" s="375" t="str">
        <f t="shared" si="15"/>
        <v>4936413__VED</v>
      </c>
      <c r="E937" s="375" t="s">
        <v>328</v>
      </c>
      <c r="F937" s="376">
        <v>0</v>
      </c>
      <c r="G937" s="377">
        <v>0</v>
      </c>
      <c r="H937" s="376">
        <v>0</v>
      </c>
      <c r="I937" s="376">
        <v>36691.34562336946</v>
      </c>
      <c r="J937" s="378">
        <v>39746.581077957591</v>
      </c>
      <c r="K937" s="313"/>
      <c r="L937" s="313"/>
    </row>
    <row r="938" spans="1:12" x14ac:dyDescent="0.25">
      <c r="A938" s="364">
        <v>5141443</v>
      </c>
      <c r="B938" s="365" t="s">
        <v>636</v>
      </c>
      <c r="C938" s="365" t="s">
        <v>2442</v>
      </c>
      <c r="D938" s="365" t="str">
        <f t="shared" si="15"/>
        <v>5141443__ADM</v>
      </c>
      <c r="E938" s="365" t="s">
        <v>328</v>
      </c>
      <c r="F938" s="366">
        <v>10000</v>
      </c>
      <c r="G938" s="367">
        <v>0.1</v>
      </c>
      <c r="H938" s="366">
        <v>6218.9054726368158</v>
      </c>
      <c r="I938" s="366">
        <v>32998.569863346675</v>
      </c>
      <c r="J938" s="368">
        <v>31548.047365249331</v>
      </c>
      <c r="K938" s="313"/>
      <c r="L938" s="313"/>
    </row>
    <row r="939" spans="1:12" x14ac:dyDescent="0.25">
      <c r="A939" s="369">
        <v>5141443</v>
      </c>
      <c r="B939" s="370" t="s">
        <v>636</v>
      </c>
      <c r="C939" s="370" t="s">
        <v>2443</v>
      </c>
      <c r="D939" s="370" t="str">
        <f t="shared" si="15"/>
        <v>5141443__MAN</v>
      </c>
      <c r="E939" s="370" t="s">
        <v>328</v>
      </c>
      <c r="F939" s="371">
        <v>15000</v>
      </c>
      <c r="G939" s="372">
        <v>0.1</v>
      </c>
      <c r="H939" s="371">
        <v>9328.3582089552237</v>
      </c>
      <c r="I939" s="371">
        <v>20367.922572671236</v>
      </c>
      <c r="J939" s="373">
        <v>20275.221299280383</v>
      </c>
      <c r="K939" s="313"/>
      <c r="L939" s="313"/>
    </row>
    <row r="940" spans="1:12" x14ac:dyDescent="0.25">
      <c r="A940" s="369">
        <v>5141443</v>
      </c>
      <c r="B940" s="370" t="s">
        <v>636</v>
      </c>
      <c r="C940" s="370" t="s">
        <v>2444</v>
      </c>
      <c r="D940" s="370" t="str">
        <f t="shared" si="15"/>
        <v>5141443__PPPs</v>
      </c>
      <c r="E940" s="370" t="s">
        <v>328</v>
      </c>
      <c r="F940" s="371">
        <v>370227</v>
      </c>
      <c r="G940" s="372">
        <v>1.2000000000000002</v>
      </c>
      <c r="H940" s="371">
        <v>19186.722636815917</v>
      </c>
      <c r="I940" s="371">
        <v>24125.615822280633</v>
      </c>
      <c r="J940" s="373">
        <v>24448.908771949045</v>
      </c>
      <c r="K940" s="313"/>
      <c r="L940" s="313"/>
    </row>
    <row r="941" spans="1:12" x14ac:dyDescent="0.25">
      <c r="A941" s="369">
        <v>5141443</v>
      </c>
      <c r="B941" s="370" t="s">
        <v>636</v>
      </c>
      <c r="C941" s="370" t="s">
        <v>2445</v>
      </c>
      <c r="D941" s="370" t="str">
        <f t="shared" si="15"/>
        <v>5141443__PPPz</v>
      </c>
      <c r="E941" s="370" t="s">
        <v>328</v>
      </c>
      <c r="F941" s="371">
        <v>0</v>
      </c>
      <c r="G941" s="372">
        <v>0</v>
      </c>
      <c r="H941" s="371">
        <v>0</v>
      </c>
      <c r="I941" s="371">
        <v>0</v>
      </c>
      <c r="J941" s="373">
        <v>19656.29343348063</v>
      </c>
      <c r="K941" s="313"/>
      <c r="L941" s="313"/>
    </row>
    <row r="942" spans="1:12" ht="15.75" thickBot="1" x14ac:dyDescent="0.3">
      <c r="A942" s="374">
        <v>5141443</v>
      </c>
      <c r="B942" s="375" t="s">
        <v>636</v>
      </c>
      <c r="C942" s="375" t="s">
        <v>2446</v>
      </c>
      <c r="D942" s="375" t="str">
        <f t="shared" si="15"/>
        <v>5141443__VED</v>
      </c>
      <c r="E942" s="375" t="s">
        <v>328</v>
      </c>
      <c r="F942" s="376">
        <v>0</v>
      </c>
      <c r="G942" s="377">
        <v>0</v>
      </c>
      <c r="H942" s="376">
        <v>0</v>
      </c>
      <c r="I942" s="376">
        <v>36691.34562336946</v>
      </c>
      <c r="J942" s="378">
        <v>39746.581077957591</v>
      </c>
      <c r="K942" s="313"/>
      <c r="L942" s="313"/>
    </row>
    <row r="943" spans="1:12" x14ac:dyDescent="0.25">
      <c r="A943" s="364">
        <v>5175408</v>
      </c>
      <c r="B943" s="365" t="s">
        <v>977</v>
      </c>
      <c r="C943" s="365" t="s">
        <v>2442</v>
      </c>
      <c r="D943" s="365" t="str">
        <f t="shared" si="15"/>
        <v>5175408__ADM</v>
      </c>
      <c r="E943" s="365" t="s">
        <v>328</v>
      </c>
      <c r="F943" s="366">
        <v>0</v>
      </c>
      <c r="G943" s="367">
        <v>0</v>
      </c>
      <c r="H943" s="366">
        <v>0</v>
      </c>
      <c r="I943" s="366">
        <v>32998.569863346675</v>
      </c>
      <c r="J943" s="368">
        <v>31548.047365249331</v>
      </c>
      <c r="K943" s="313"/>
      <c r="L943" s="313"/>
    </row>
    <row r="944" spans="1:12" x14ac:dyDescent="0.25">
      <c r="A944" s="369">
        <v>5175408</v>
      </c>
      <c r="B944" s="370" t="s">
        <v>977</v>
      </c>
      <c r="C944" s="370" t="s">
        <v>2443</v>
      </c>
      <c r="D944" s="370" t="str">
        <f t="shared" si="15"/>
        <v>5175408__MAN</v>
      </c>
      <c r="E944" s="370" t="s">
        <v>328</v>
      </c>
      <c r="F944" s="371">
        <v>0</v>
      </c>
      <c r="G944" s="372">
        <v>0</v>
      </c>
      <c r="H944" s="371">
        <v>0</v>
      </c>
      <c r="I944" s="371">
        <v>20367.922572671236</v>
      </c>
      <c r="J944" s="373">
        <v>20275.221299280383</v>
      </c>
      <c r="K944" s="313"/>
      <c r="L944" s="313"/>
    </row>
    <row r="945" spans="1:12" x14ac:dyDescent="0.25">
      <c r="A945" s="369">
        <v>5175408</v>
      </c>
      <c r="B945" s="370" t="s">
        <v>977</v>
      </c>
      <c r="C945" s="370" t="s">
        <v>2444</v>
      </c>
      <c r="D945" s="370" t="str">
        <f t="shared" si="15"/>
        <v>5175408__PPPs</v>
      </c>
      <c r="E945" s="370" t="s">
        <v>328</v>
      </c>
      <c r="F945" s="371">
        <v>665544</v>
      </c>
      <c r="G945" s="372">
        <v>2</v>
      </c>
      <c r="H945" s="371">
        <v>20694.776119402984</v>
      </c>
      <c r="I945" s="371">
        <v>24125.615822280633</v>
      </c>
      <c r="J945" s="373">
        <v>24448.908771949045</v>
      </c>
      <c r="K945" s="313"/>
      <c r="L945" s="313"/>
    </row>
    <row r="946" spans="1:12" x14ac:dyDescent="0.25">
      <c r="A946" s="369">
        <v>5175408</v>
      </c>
      <c r="B946" s="370" t="s">
        <v>977</v>
      </c>
      <c r="C946" s="370" t="s">
        <v>2445</v>
      </c>
      <c r="D946" s="370" t="str">
        <f t="shared" si="15"/>
        <v>5175408__PPPz</v>
      </c>
      <c r="E946" s="370" t="s">
        <v>328</v>
      </c>
      <c r="F946" s="371">
        <v>0</v>
      </c>
      <c r="G946" s="372">
        <v>0</v>
      </c>
      <c r="H946" s="371">
        <v>0</v>
      </c>
      <c r="I946" s="371">
        <v>0</v>
      </c>
      <c r="J946" s="373">
        <v>19656.29343348063</v>
      </c>
      <c r="K946" s="313"/>
      <c r="L946" s="313"/>
    </row>
    <row r="947" spans="1:12" ht="15.75" thickBot="1" x14ac:dyDescent="0.3">
      <c r="A947" s="374">
        <v>5175408</v>
      </c>
      <c r="B947" s="375" t="s">
        <v>977</v>
      </c>
      <c r="C947" s="375" t="s">
        <v>2446</v>
      </c>
      <c r="D947" s="375" t="str">
        <f t="shared" si="15"/>
        <v>5175408__VED</v>
      </c>
      <c r="E947" s="375" t="s">
        <v>328</v>
      </c>
      <c r="F947" s="376">
        <v>279217</v>
      </c>
      <c r="G947" s="377">
        <v>0.5</v>
      </c>
      <c r="H947" s="376">
        <v>34728.482587064675</v>
      </c>
      <c r="I947" s="376">
        <v>36691.34562336946</v>
      </c>
      <c r="J947" s="378">
        <v>39746.581077957591</v>
      </c>
      <c r="K947" s="313"/>
      <c r="L947" s="313"/>
    </row>
    <row r="948" spans="1:12" x14ac:dyDescent="0.25">
      <c r="A948" s="364">
        <v>5204562</v>
      </c>
      <c r="B948" s="365" t="s">
        <v>666</v>
      </c>
      <c r="C948" s="365" t="s">
        <v>2442</v>
      </c>
      <c r="D948" s="365" t="str">
        <f t="shared" si="15"/>
        <v>5204562__ADM</v>
      </c>
      <c r="E948" s="365" t="s">
        <v>328</v>
      </c>
      <c r="F948" s="366">
        <v>0</v>
      </c>
      <c r="G948" s="367">
        <v>0</v>
      </c>
      <c r="H948" s="366">
        <v>0</v>
      </c>
      <c r="I948" s="366">
        <v>32998.569863346675</v>
      </c>
      <c r="J948" s="368">
        <v>31548.047365249331</v>
      </c>
      <c r="K948" s="313"/>
      <c r="L948" s="313"/>
    </row>
    <row r="949" spans="1:12" x14ac:dyDescent="0.25">
      <c r="A949" s="369">
        <v>5204562</v>
      </c>
      <c r="B949" s="370" t="s">
        <v>666</v>
      </c>
      <c r="C949" s="370" t="s">
        <v>2443</v>
      </c>
      <c r="D949" s="370" t="str">
        <f t="shared" si="15"/>
        <v>5204562__MAN</v>
      </c>
      <c r="E949" s="370" t="s">
        <v>328</v>
      </c>
      <c r="F949" s="371">
        <v>0</v>
      </c>
      <c r="G949" s="372">
        <v>0</v>
      </c>
      <c r="H949" s="371">
        <v>0</v>
      </c>
      <c r="I949" s="371">
        <v>20367.922572671236</v>
      </c>
      <c r="J949" s="373">
        <v>20275.221299280383</v>
      </c>
      <c r="K949" s="313"/>
      <c r="L949" s="313"/>
    </row>
    <row r="950" spans="1:12" x14ac:dyDescent="0.25">
      <c r="A950" s="369">
        <v>5204562</v>
      </c>
      <c r="B950" s="370" t="s">
        <v>666</v>
      </c>
      <c r="C950" s="370" t="s">
        <v>2444</v>
      </c>
      <c r="D950" s="370" t="str">
        <f t="shared" si="15"/>
        <v>5204562__PPPs</v>
      </c>
      <c r="E950" s="370" t="s">
        <v>328</v>
      </c>
      <c r="F950" s="371">
        <v>1927850</v>
      </c>
      <c r="G950" s="372">
        <v>5.5823999999999998</v>
      </c>
      <c r="H950" s="371">
        <v>21476.635345770432</v>
      </c>
      <c r="I950" s="371">
        <v>24125.615822280633</v>
      </c>
      <c r="J950" s="373">
        <v>24448.908771949045</v>
      </c>
      <c r="K950" s="313"/>
      <c r="L950" s="313"/>
    </row>
    <row r="951" spans="1:12" x14ac:dyDescent="0.25">
      <c r="A951" s="369">
        <v>5204562</v>
      </c>
      <c r="B951" s="370" t="s">
        <v>666</v>
      </c>
      <c r="C951" s="370" t="s">
        <v>2445</v>
      </c>
      <c r="D951" s="370" t="str">
        <f t="shared" si="15"/>
        <v>5204562__PPPz</v>
      </c>
      <c r="E951" s="370" t="s">
        <v>328</v>
      </c>
      <c r="F951" s="371">
        <v>0</v>
      </c>
      <c r="G951" s="372">
        <v>0</v>
      </c>
      <c r="H951" s="371">
        <v>0</v>
      </c>
      <c r="I951" s="371">
        <v>0</v>
      </c>
      <c r="J951" s="373">
        <v>19656.29343348063</v>
      </c>
      <c r="K951" s="313"/>
      <c r="L951" s="313"/>
    </row>
    <row r="952" spans="1:12" ht="15.75" thickBot="1" x14ac:dyDescent="0.3">
      <c r="A952" s="374">
        <v>5204562</v>
      </c>
      <c r="B952" s="375" t="s">
        <v>666</v>
      </c>
      <c r="C952" s="375" t="s">
        <v>2446</v>
      </c>
      <c r="D952" s="375" t="str">
        <f t="shared" si="15"/>
        <v>5204562__VED</v>
      </c>
      <c r="E952" s="375" t="s">
        <v>328</v>
      </c>
      <c r="F952" s="376">
        <v>0</v>
      </c>
      <c r="G952" s="377">
        <v>0</v>
      </c>
      <c r="H952" s="376">
        <v>0</v>
      </c>
      <c r="I952" s="376">
        <v>36691.34562336946</v>
      </c>
      <c r="J952" s="378">
        <v>39746.581077957591</v>
      </c>
      <c r="K952" s="313"/>
      <c r="L952" s="313"/>
    </row>
    <row r="953" spans="1:12" x14ac:dyDescent="0.25">
      <c r="A953" s="364">
        <v>5376966</v>
      </c>
      <c r="B953" s="365" t="s">
        <v>776</v>
      </c>
      <c r="C953" s="365" t="s">
        <v>2442</v>
      </c>
      <c r="D953" s="365" t="str">
        <f t="shared" si="15"/>
        <v>5376966__ADM</v>
      </c>
      <c r="E953" s="365" t="s">
        <v>328</v>
      </c>
      <c r="F953" s="366">
        <v>508628</v>
      </c>
      <c r="G953" s="367">
        <v>1.0640000000000001</v>
      </c>
      <c r="H953" s="366">
        <v>29728.472300153364</v>
      </c>
      <c r="I953" s="366">
        <v>32998.569863346675</v>
      </c>
      <c r="J953" s="368">
        <v>31548.047365249331</v>
      </c>
      <c r="K953" s="313"/>
      <c r="L953" s="313"/>
    </row>
    <row r="954" spans="1:12" x14ac:dyDescent="0.25">
      <c r="A954" s="369">
        <v>5376966</v>
      </c>
      <c r="B954" s="370" t="s">
        <v>776</v>
      </c>
      <c r="C954" s="370" t="s">
        <v>2443</v>
      </c>
      <c r="D954" s="370" t="str">
        <f t="shared" si="15"/>
        <v>5376966__MAN</v>
      </c>
      <c r="E954" s="370" t="s">
        <v>328</v>
      </c>
      <c r="F954" s="371">
        <v>84925</v>
      </c>
      <c r="G954" s="372">
        <v>0.19570000000000001</v>
      </c>
      <c r="H954" s="371">
        <v>26987.253309334774</v>
      </c>
      <c r="I954" s="371">
        <v>20367.922572671236</v>
      </c>
      <c r="J954" s="373">
        <v>20275.221299280383</v>
      </c>
      <c r="K954" s="313"/>
      <c r="L954" s="313"/>
    </row>
    <row r="955" spans="1:12" x14ac:dyDescent="0.25">
      <c r="A955" s="369">
        <v>5376966</v>
      </c>
      <c r="B955" s="370" t="s">
        <v>776</v>
      </c>
      <c r="C955" s="370" t="s">
        <v>2444</v>
      </c>
      <c r="D955" s="370" t="str">
        <f t="shared" si="15"/>
        <v>5376966__PPPs</v>
      </c>
      <c r="E955" s="370" t="s">
        <v>328</v>
      </c>
      <c r="F955" s="371">
        <v>12046632</v>
      </c>
      <c r="G955" s="372">
        <v>30.4102</v>
      </c>
      <c r="H955" s="371">
        <v>24635.439974627523</v>
      </c>
      <c r="I955" s="371">
        <v>24125.615822280633</v>
      </c>
      <c r="J955" s="373">
        <v>24448.908771949045</v>
      </c>
      <c r="K955" s="313"/>
      <c r="L955" s="313"/>
    </row>
    <row r="956" spans="1:12" x14ac:dyDescent="0.25">
      <c r="A956" s="369">
        <v>5376966</v>
      </c>
      <c r="B956" s="370" t="s">
        <v>776</v>
      </c>
      <c r="C956" s="370" t="s">
        <v>2445</v>
      </c>
      <c r="D956" s="370" t="str">
        <f t="shared" si="15"/>
        <v>5376966__PPPz</v>
      </c>
      <c r="E956" s="370" t="s">
        <v>328</v>
      </c>
      <c r="F956" s="371">
        <v>0</v>
      </c>
      <c r="G956" s="372">
        <v>0</v>
      </c>
      <c r="H956" s="371">
        <v>0</v>
      </c>
      <c r="I956" s="371">
        <v>0</v>
      </c>
      <c r="J956" s="373">
        <v>19656.29343348063</v>
      </c>
      <c r="K956" s="313"/>
      <c r="L956" s="313"/>
    </row>
    <row r="957" spans="1:12" ht="15.75" thickBot="1" x14ac:dyDescent="0.3">
      <c r="A957" s="374">
        <v>5376966</v>
      </c>
      <c r="B957" s="375" t="s">
        <v>776</v>
      </c>
      <c r="C957" s="375" t="s">
        <v>2446</v>
      </c>
      <c r="D957" s="375" t="str">
        <f t="shared" si="15"/>
        <v>5376966__VED</v>
      </c>
      <c r="E957" s="375" t="s">
        <v>328</v>
      </c>
      <c r="F957" s="376">
        <v>144776</v>
      </c>
      <c r="G957" s="377">
        <v>0.35599999999999998</v>
      </c>
      <c r="H957" s="376">
        <v>25290.681424338982</v>
      </c>
      <c r="I957" s="376">
        <v>36691.34562336946</v>
      </c>
      <c r="J957" s="378">
        <v>39746.581077957591</v>
      </c>
      <c r="K957" s="313"/>
      <c r="L957" s="313"/>
    </row>
    <row r="958" spans="1:12" x14ac:dyDescent="0.25">
      <c r="A958" s="364">
        <v>6161785</v>
      </c>
      <c r="B958" s="365" t="s">
        <v>812</v>
      </c>
      <c r="C958" s="365" t="s">
        <v>2442</v>
      </c>
      <c r="D958" s="365" t="str">
        <f t="shared" si="15"/>
        <v>6161785__ADM</v>
      </c>
      <c r="E958" s="365" t="s">
        <v>328</v>
      </c>
      <c r="F958" s="366">
        <v>9789</v>
      </c>
      <c r="G958" s="367">
        <v>1.4999999999999999E-2</v>
      </c>
      <c r="H958" s="366">
        <v>40584.577114427862</v>
      </c>
      <c r="I958" s="366">
        <v>32998.569863346675</v>
      </c>
      <c r="J958" s="368">
        <v>31548.047365249331</v>
      </c>
      <c r="K958" s="313"/>
      <c r="L958" s="313"/>
    </row>
    <row r="959" spans="1:12" x14ac:dyDescent="0.25">
      <c r="A959" s="369">
        <v>6161785</v>
      </c>
      <c r="B959" s="370" t="s">
        <v>812</v>
      </c>
      <c r="C959" s="370" t="s">
        <v>2443</v>
      </c>
      <c r="D959" s="370" t="str">
        <f t="shared" si="15"/>
        <v>6161785__MAN</v>
      </c>
      <c r="E959" s="370" t="s">
        <v>328</v>
      </c>
      <c r="F959" s="371">
        <v>0</v>
      </c>
      <c r="G959" s="372">
        <v>0</v>
      </c>
      <c r="H959" s="371">
        <v>0</v>
      </c>
      <c r="I959" s="371">
        <v>20367.922572671236</v>
      </c>
      <c r="J959" s="373">
        <v>20275.221299280383</v>
      </c>
      <c r="K959" s="313"/>
      <c r="L959" s="313"/>
    </row>
    <row r="960" spans="1:12" x14ac:dyDescent="0.25">
      <c r="A960" s="369">
        <v>6161785</v>
      </c>
      <c r="B960" s="370" t="s">
        <v>812</v>
      </c>
      <c r="C960" s="370" t="s">
        <v>2444</v>
      </c>
      <c r="D960" s="370" t="str">
        <f t="shared" si="15"/>
        <v>6161785__PPPs</v>
      </c>
      <c r="E960" s="370" t="s">
        <v>328</v>
      </c>
      <c r="F960" s="371">
        <v>765373</v>
      </c>
      <c r="G960" s="372">
        <v>2.34</v>
      </c>
      <c r="H960" s="371">
        <v>20340.950163711354</v>
      </c>
      <c r="I960" s="371">
        <v>24125.615822280633</v>
      </c>
      <c r="J960" s="373">
        <v>24448.908771949045</v>
      </c>
      <c r="K960" s="313"/>
      <c r="L960" s="313"/>
    </row>
    <row r="961" spans="1:12" x14ac:dyDescent="0.25">
      <c r="A961" s="369">
        <v>6161785</v>
      </c>
      <c r="B961" s="370" t="s">
        <v>812</v>
      </c>
      <c r="C961" s="370" t="s">
        <v>2445</v>
      </c>
      <c r="D961" s="370" t="str">
        <f t="shared" si="15"/>
        <v>6161785__PPPz</v>
      </c>
      <c r="E961" s="370" t="s">
        <v>328</v>
      </c>
      <c r="F961" s="371">
        <v>0</v>
      </c>
      <c r="G961" s="372">
        <v>0</v>
      </c>
      <c r="H961" s="371">
        <v>0</v>
      </c>
      <c r="I961" s="371">
        <v>0</v>
      </c>
      <c r="J961" s="373">
        <v>19656.29343348063</v>
      </c>
      <c r="K961" s="313"/>
      <c r="L961" s="313"/>
    </row>
    <row r="962" spans="1:12" ht="15.75" thickBot="1" x14ac:dyDescent="0.3">
      <c r="A962" s="374">
        <v>6161785</v>
      </c>
      <c r="B962" s="375" t="s">
        <v>812</v>
      </c>
      <c r="C962" s="375" t="s">
        <v>2446</v>
      </c>
      <c r="D962" s="375" t="str">
        <f t="shared" si="15"/>
        <v>6161785__VED</v>
      </c>
      <c r="E962" s="375" t="s">
        <v>328</v>
      </c>
      <c r="F962" s="376">
        <v>45977</v>
      </c>
      <c r="G962" s="377">
        <v>8.0100000000000005E-2</v>
      </c>
      <c r="H962" s="376">
        <v>35696.206855858036</v>
      </c>
      <c r="I962" s="376">
        <v>36691.34562336946</v>
      </c>
      <c r="J962" s="378">
        <v>39746.581077957591</v>
      </c>
      <c r="K962" s="313"/>
      <c r="L962" s="313"/>
    </row>
    <row r="963" spans="1:12" x14ac:dyDescent="0.25">
      <c r="A963" s="364">
        <v>6181040</v>
      </c>
      <c r="B963" s="365" t="s">
        <v>602</v>
      </c>
      <c r="C963" s="365" t="s">
        <v>2442</v>
      </c>
      <c r="D963" s="365" t="str">
        <f t="shared" si="15"/>
        <v>6181040__ADM</v>
      </c>
      <c r="E963" s="365" t="s">
        <v>328</v>
      </c>
      <c r="F963" s="366">
        <v>0</v>
      </c>
      <c r="G963" s="367">
        <v>0</v>
      </c>
      <c r="H963" s="366">
        <v>0</v>
      </c>
      <c r="I963" s="366">
        <v>32998.569863346675</v>
      </c>
      <c r="J963" s="368">
        <v>31548.047365249331</v>
      </c>
      <c r="K963" s="313"/>
      <c r="L963" s="313"/>
    </row>
    <row r="964" spans="1:12" x14ac:dyDescent="0.25">
      <c r="A964" s="369">
        <v>6181040</v>
      </c>
      <c r="B964" s="370" t="s">
        <v>602</v>
      </c>
      <c r="C964" s="370" t="s">
        <v>2443</v>
      </c>
      <c r="D964" s="370" t="str">
        <f t="shared" si="15"/>
        <v>6181040__MAN</v>
      </c>
      <c r="E964" s="370" t="s">
        <v>328</v>
      </c>
      <c r="F964" s="371">
        <v>133496</v>
      </c>
      <c r="G964" s="372">
        <v>0.5</v>
      </c>
      <c r="H964" s="371">
        <v>16603.980099502485</v>
      </c>
      <c r="I964" s="371">
        <v>20367.922572671236</v>
      </c>
      <c r="J964" s="373">
        <v>20275.221299280383</v>
      </c>
      <c r="K964" s="313"/>
      <c r="L964" s="313"/>
    </row>
    <row r="965" spans="1:12" x14ac:dyDescent="0.25">
      <c r="A965" s="369">
        <v>6181040</v>
      </c>
      <c r="B965" s="370" t="s">
        <v>602</v>
      </c>
      <c r="C965" s="370" t="s">
        <v>2444</v>
      </c>
      <c r="D965" s="370" t="str">
        <f t="shared" si="15"/>
        <v>6181040__PPPs</v>
      </c>
      <c r="E965" s="370" t="s">
        <v>328</v>
      </c>
      <c r="F965" s="371">
        <v>781340</v>
      </c>
      <c r="G965" s="372">
        <v>2.25</v>
      </c>
      <c r="H965" s="371">
        <v>21595.909342178002</v>
      </c>
      <c r="I965" s="371">
        <v>24125.615822280633</v>
      </c>
      <c r="J965" s="373">
        <v>24448.908771949045</v>
      </c>
      <c r="K965" s="313"/>
      <c r="L965" s="313"/>
    </row>
    <row r="966" spans="1:12" x14ac:dyDescent="0.25">
      <c r="A966" s="369">
        <v>6181040</v>
      </c>
      <c r="B966" s="370" t="s">
        <v>602</v>
      </c>
      <c r="C966" s="370" t="s">
        <v>2445</v>
      </c>
      <c r="D966" s="370" t="str">
        <f t="shared" si="15"/>
        <v>6181040__PPPz</v>
      </c>
      <c r="E966" s="370" t="s">
        <v>328</v>
      </c>
      <c r="F966" s="371">
        <v>0</v>
      </c>
      <c r="G966" s="372">
        <v>0</v>
      </c>
      <c r="H966" s="371">
        <v>0</v>
      </c>
      <c r="I966" s="371">
        <v>0</v>
      </c>
      <c r="J966" s="373">
        <v>19656.29343348063</v>
      </c>
      <c r="K966" s="313"/>
      <c r="L966" s="313"/>
    </row>
    <row r="967" spans="1:12" ht="15.75" thickBot="1" x14ac:dyDescent="0.3">
      <c r="A967" s="374">
        <v>6181040</v>
      </c>
      <c r="B967" s="375" t="s">
        <v>602</v>
      </c>
      <c r="C967" s="375" t="s">
        <v>2446</v>
      </c>
      <c r="D967" s="375" t="str">
        <f t="shared" si="15"/>
        <v>6181040__VED</v>
      </c>
      <c r="E967" s="375" t="s">
        <v>328</v>
      </c>
      <c r="F967" s="376">
        <v>383873</v>
      </c>
      <c r="G967" s="377">
        <v>0.75</v>
      </c>
      <c r="H967" s="376">
        <v>31830.265339966831</v>
      </c>
      <c r="I967" s="376">
        <v>36691.34562336946</v>
      </c>
      <c r="J967" s="378">
        <v>39746.581077957591</v>
      </c>
      <c r="K967" s="313"/>
      <c r="L967" s="313"/>
    </row>
    <row r="968" spans="1:12" x14ac:dyDescent="0.25">
      <c r="A968" s="364">
        <v>6232669</v>
      </c>
      <c r="B968" s="365" t="s">
        <v>610</v>
      </c>
      <c r="C968" s="365" t="s">
        <v>2442</v>
      </c>
      <c r="D968" s="365" t="str">
        <f t="shared" si="15"/>
        <v>6232669__ADM</v>
      </c>
      <c r="E968" s="365" t="s">
        <v>328</v>
      </c>
      <c r="F968" s="366">
        <v>63981</v>
      </c>
      <c r="G968" s="367">
        <v>0.1</v>
      </c>
      <c r="H968" s="366">
        <v>39789.179104477611</v>
      </c>
      <c r="I968" s="366">
        <v>32998.569863346675</v>
      </c>
      <c r="J968" s="368">
        <v>31548.047365249331</v>
      </c>
      <c r="K968" s="313"/>
      <c r="L968" s="313"/>
    </row>
    <row r="969" spans="1:12" x14ac:dyDescent="0.25">
      <c r="A969" s="369">
        <v>6232669</v>
      </c>
      <c r="B969" s="370" t="s">
        <v>610</v>
      </c>
      <c r="C969" s="370" t="s">
        <v>2443</v>
      </c>
      <c r="D969" s="370" t="str">
        <f t="shared" si="15"/>
        <v>6232669__MAN</v>
      </c>
      <c r="E969" s="370" t="s">
        <v>328</v>
      </c>
      <c r="F969" s="371">
        <v>0</v>
      </c>
      <c r="G969" s="372">
        <v>0</v>
      </c>
      <c r="H969" s="371">
        <v>0</v>
      </c>
      <c r="I969" s="371">
        <v>20367.922572671236</v>
      </c>
      <c r="J969" s="373">
        <v>20275.221299280383</v>
      </c>
      <c r="K969" s="313"/>
      <c r="L969" s="313"/>
    </row>
    <row r="970" spans="1:12" x14ac:dyDescent="0.25">
      <c r="A970" s="369">
        <v>6232669</v>
      </c>
      <c r="B970" s="370" t="s">
        <v>610</v>
      </c>
      <c r="C970" s="370" t="s">
        <v>2444</v>
      </c>
      <c r="D970" s="370" t="str">
        <f t="shared" si="15"/>
        <v>6232669__PPPs</v>
      </c>
      <c r="E970" s="370" t="s">
        <v>328</v>
      </c>
      <c r="F970" s="371">
        <v>2781118</v>
      </c>
      <c r="G970" s="372">
        <v>7.8</v>
      </c>
      <c r="H970" s="371">
        <v>22173.73070544712</v>
      </c>
      <c r="I970" s="371">
        <v>24125.615822280633</v>
      </c>
      <c r="J970" s="373">
        <v>24448.908771949045</v>
      </c>
      <c r="K970" s="313"/>
      <c r="L970" s="313"/>
    </row>
    <row r="971" spans="1:12" x14ac:dyDescent="0.25">
      <c r="A971" s="369">
        <v>6232669</v>
      </c>
      <c r="B971" s="370" t="s">
        <v>610</v>
      </c>
      <c r="C971" s="370" t="s">
        <v>2445</v>
      </c>
      <c r="D971" s="370" t="str">
        <f t="shared" si="15"/>
        <v>6232669__PPPz</v>
      </c>
      <c r="E971" s="370" t="s">
        <v>328</v>
      </c>
      <c r="F971" s="371">
        <v>0</v>
      </c>
      <c r="G971" s="372">
        <v>0</v>
      </c>
      <c r="H971" s="371">
        <v>0</v>
      </c>
      <c r="I971" s="371">
        <v>0</v>
      </c>
      <c r="J971" s="373">
        <v>19656.29343348063</v>
      </c>
      <c r="K971" s="313"/>
      <c r="L971" s="313"/>
    </row>
    <row r="972" spans="1:12" ht="15.75" thickBot="1" x14ac:dyDescent="0.3">
      <c r="A972" s="374">
        <v>6232669</v>
      </c>
      <c r="B972" s="375" t="s">
        <v>610</v>
      </c>
      <c r="C972" s="375" t="s">
        <v>2446</v>
      </c>
      <c r="D972" s="375" t="str">
        <f t="shared" si="15"/>
        <v>6232669__VED</v>
      </c>
      <c r="E972" s="375" t="s">
        <v>328</v>
      </c>
      <c r="F972" s="376">
        <v>65694</v>
      </c>
      <c r="G972" s="377">
        <v>0.2</v>
      </c>
      <c r="H972" s="376">
        <v>20427.238805970148</v>
      </c>
      <c r="I972" s="376">
        <v>36691.34562336946</v>
      </c>
      <c r="J972" s="378">
        <v>39746.581077957591</v>
      </c>
      <c r="K972" s="313"/>
      <c r="L972" s="313"/>
    </row>
    <row r="973" spans="1:12" x14ac:dyDescent="0.25">
      <c r="A973" s="364">
        <v>6428468</v>
      </c>
      <c r="B973" s="365" t="s">
        <v>613</v>
      </c>
      <c r="C973" s="365" t="s">
        <v>2442</v>
      </c>
      <c r="D973" s="365" t="str">
        <f t="shared" si="15"/>
        <v>6428468__ADM</v>
      </c>
      <c r="E973" s="365" t="s">
        <v>328</v>
      </c>
      <c r="F973" s="366">
        <v>0</v>
      </c>
      <c r="G973" s="367">
        <v>0</v>
      </c>
      <c r="H973" s="366">
        <v>0</v>
      </c>
      <c r="I973" s="366">
        <v>32998.569863346675</v>
      </c>
      <c r="J973" s="368">
        <v>31548.047365249331</v>
      </c>
      <c r="K973" s="313"/>
      <c r="L973" s="313"/>
    </row>
    <row r="974" spans="1:12" x14ac:dyDescent="0.25">
      <c r="A974" s="369">
        <v>6428468</v>
      </c>
      <c r="B974" s="370" t="s">
        <v>613</v>
      </c>
      <c r="C974" s="370" t="s">
        <v>2443</v>
      </c>
      <c r="D974" s="370" t="str">
        <f t="shared" si="15"/>
        <v>6428468__MAN</v>
      </c>
      <c r="E974" s="370" t="s">
        <v>328</v>
      </c>
      <c r="F974" s="371">
        <v>0</v>
      </c>
      <c r="G974" s="372">
        <v>0</v>
      </c>
      <c r="H974" s="371">
        <v>0</v>
      </c>
      <c r="I974" s="371">
        <v>20367.922572671236</v>
      </c>
      <c r="J974" s="373">
        <v>20275.221299280383</v>
      </c>
      <c r="K974" s="313"/>
      <c r="L974" s="313"/>
    </row>
    <row r="975" spans="1:12" x14ac:dyDescent="0.25">
      <c r="A975" s="369">
        <v>6428468</v>
      </c>
      <c r="B975" s="370" t="s">
        <v>613</v>
      </c>
      <c r="C975" s="370" t="s">
        <v>2444</v>
      </c>
      <c r="D975" s="370" t="str">
        <f t="shared" si="15"/>
        <v>6428468__PPPs</v>
      </c>
      <c r="E975" s="370" t="s">
        <v>328</v>
      </c>
      <c r="F975" s="371">
        <v>4296598</v>
      </c>
      <c r="G975" s="372">
        <v>11.6</v>
      </c>
      <c r="H975" s="371">
        <v>23034.600703379649</v>
      </c>
      <c r="I975" s="371">
        <v>24125.615822280633</v>
      </c>
      <c r="J975" s="373">
        <v>24448.908771949045</v>
      </c>
      <c r="K975" s="313"/>
      <c r="L975" s="313"/>
    </row>
    <row r="976" spans="1:12" x14ac:dyDescent="0.25">
      <c r="A976" s="369">
        <v>6428468</v>
      </c>
      <c r="B976" s="370" t="s">
        <v>613</v>
      </c>
      <c r="C976" s="370" t="s">
        <v>2445</v>
      </c>
      <c r="D976" s="370" t="str">
        <f t="shared" si="15"/>
        <v>6428468__PPPz</v>
      </c>
      <c r="E976" s="370" t="s">
        <v>328</v>
      </c>
      <c r="F976" s="371">
        <v>0</v>
      </c>
      <c r="G976" s="372">
        <v>0</v>
      </c>
      <c r="H976" s="371">
        <v>0</v>
      </c>
      <c r="I976" s="371">
        <v>0</v>
      </c>
      <c r="J976" s="373">
        <v>19656.29343348063</v>
      </c>
      <c r="K976" s="313"/>
      <c r="L976" s="313"/>
    </row>
    <row r="977" spans="1:12" ht="15.75" thickBot="1" x14ac:dyDescent="0.3">
      <c r="A977" s="374">
        <v>6428468</v>
      </c>
      <c r="B977" s="375" t="s">
        <v>613</v>
      </c>
      <c r="C977" s="375" t="s">
        <v>2446</v>
      </c>
      <c r="D977" s="375" t="str">
        <f t="shared" si="15"/>
        <v>6428468__VED</v>
      </c>
      <c r="E977" s="375" t="s">
        <v>328</v>
      </c>
      <c r="F977" s="376">
        <v>499644</v>
      </c>
      <c r="G977" s="377">
        <v>1</v>
      </c>
      <c r="H977" s="376">
        <v>31072.38805970149</v>
      </c>
      <c r="I977" s="376">
        <v>36691.34562336946</v>
      </c>
      <c r="J977" s="378">
        <v>39746.581077957591</v>
      </c>
      <c r="K977" s="313"/>
      <c r="L977" s="313"/>
    </row>
    <row r="978" spans="1:12" x14ac:dyDescent="0.25">
      <c r="A978" s="364">
        <v>6697882</v>
      </c>
      <c r="B978" s="365" t="s">
        <v>663</v>
      </c>
      <c r="C978" s="365" t="s">
        <v>2442</v>
      </c>
      <c r="D978" s="365" t="str">
        <f t="shared" si="15"/>
        <v>6697882__ADM</v>
      </c>
      <c r="E978" s="365" t="s">
        <v>328</v>
      </c>
      <c r="F978" s="366">
        <v>48520</v>
      </c>
      <c r="G978" s="367">
        <v>0.1</v>
      </c>
      <c r="H978" s="366">
        <v>30174.129353233831</v>
      </c>
      <c r="I978" s="366">
        <v>32998.569863346675</v>
      </c>
      <c r="J978" s="368">
        <v>31548.047365249331</v>
      </c>
      <c r="K978" s="313"/>
      <c r="L978" s="313"/>
    </row>
    <row r="979" spans="1:12" x14ac:dyDescent="0.25">
      <c r="A979" s="369">
        <v>6697882</v>
      </c>
      <c r="B979" s="370" t="s">
        <v>663</v>
      </c>
      <c r="C979" s="370" t="s">
        <v>2443</v>
      </c>
      <c r="D979" s="370" t="str">
        <f t="shared" si="15"/>
        <v>6697882__MAN</v>
      </c>
      <c r="E979" s="370" t="s">
        <v>328</v>
      </c>
      <c r="F979" s="371">
        <v>0</v>
      </c>
      <c r="G979" s="372">
        <v>0</v>
      </c>
      <c r="H979" s="371">
        <v>0</v>
      </c>
      <c r="I979" s="371">
        <v>20367.922572671236</v>
      </c>
      <c r="J979" s="373">
        <v>20275.221299280383</v>
      </c>
      <c r="K979" s="313"/>
      <c r="L979" s="313"/>
    </row>
    <row r="980" spans="1:12" x14ac:dyDescent="0.25">
      <c r="A980" s="369">
        <v>6697882</v>
      </c>
      <c r="B980" s="370" t="s">
        <v>663</v>
      </c>
      <c r="C980" s="370" t="s">
        <v>2444</v>
      </c>
      <c r="D980" s="370" t="str">
        <f t="shared" si="15"/>
        <v>6697882__PPPs</v>
      </c>
      <c r="E980" s="370" t="s">
        <v>328</v>
      </c>
      <c r="F980" s="371">
        <v>506258</v>
      </c>
      <c r="G980" s="372">
        <v>1.1000000000000001</v>
      </c>
      <c r="H980" s="371">
        <v>28621.551334237898</v>
      </c>
      <c r="I980" s="371">
        <v>24125.615822280633</v>
      </c>
      <c r="J980" s="373">
        <v>24448.908771949045</v>
      </c>
      <c r="K980" s="313"/>
      <c r="L980" s="313"/>
    </row>
    <row r="981" spans="1:12" x14ac:dyDescent="0.25">
      <c r="A981" s="369">
        <v>6697882</v>
      </c>
      <c r="B981" s="370" t="s">
        <v>663</v>
      </c>
      <c r="C981" s="370" t="s">
        <v>2445</v>
      </c>
      <c r="D981" s="370" t="str">
        <f t="shared" si="15"/>
        <v>6697882__PPPz</v>
      </c>
      <c r="E981" s="370" t="s">
        <v>328</v>
      </c>
      <c r="F981" s="371">
        <v>0</v>
      </c>
      <c r="G981" s="372">
        <v>0</v>
      </c>
      <c r="H981" s="371">
        <v>0</v>
      </c>
      <c r="I981" s="371">
        <v>0</v>
      </c>
      <c r="J981" s="373">
        <v>19656.29343348063</v>
      </c>
      <c r="K981" s="313"/>
      <c r="L981" s="313"/>
    </row>
    <row r="982" spans="1:12" ht="15.75" thickBot="1" x14ac:dyDescent="0.3">
      <c r="A982" s="374">
        <v>6697882</v>
      </c>
      <c r="B982" s="375" t="s">
        <v>663</v>
      </c>
      <c r="C982" s="375" t="s">
        <v>2446</v>
      </c>
      <c r="D982" s="375" t="str">
        <f t="shared" si="15"/>
        <v>6697882__VED</v>
      </c>
      <c r="E982" s="375" t="s">
        <v>328</v>
      </c>
      <c r="F982" s="376">
        <v>67502</v>
      </c>
      <c r="G982" s="377">
        <v>0.1</v>
      </c>
      <c r="H982" s="376">
        <v>41978.855721393033</v>
      </c>
      <c r="I982" s="376">
        <v>36691.34562336946</v>
      </c>
      <c r="J982" s="378">
        <v>39746.581077957591</v>
      </c>
      <c r="K982" s="313"/>
      <c r="L982" s="313"/>
    </row>
    <row r="983" spans="1:12" x14ac:dyDescent="0.25">
      <c r="A983" s="364">
        <v>7201840</v>
      </c>
      <c r="B983" s="365" t="s">
        <v>1293</v>
      </c>
      <c r="C983" s="365" t="s">
        <v>2442</v>
      </c>
      <c r="D983" s="365" t="str">
        <f t="shared" si="15"/>
        <v>7201840__ADM</v>
      </c>
      <c r="E983" s="365" t="s">
        <v>328</v>
      </c>
      <c r="F983" s="366">
        <v>1147422</v>
      </c>
      <c r="G983" s="367">
        <v>3.5</v>
      </c>
      <c r="H983" s="366">
        <v>20387.739872068232</v>
      </c>
      <c r="I983" s="366">
        <v>32998.569863346675</v>
      </c>
      <c r="J983" s="368">
        <v>31548.047365249331</v>
      </c>
      <c r="K983" s="313"/>
      <c r="L983" s="313"/>
    </row>
    <row r="984" spans="1:12" x14ac:dyDescent="0.25">
      <c r="A984" s="369">
        <v>7201840</v>
      </c>
      <c r="B984" s="370" t="s">
        <v>1293</v>
      </c>
      <c r="C984" s="370" t="s">
        <v>2443</v>
      </c>
      <c r="D984" s="370" t="str">
        <f t="shared" si="15"/>
        <v>7201840__MAN</v>
      </c>
      <c r="E984" s="370" t="s">
        <v>328</v>
      </c>
      <c r="F984" s="371">
        <v>2652984</v>
      </c>
      <c r="G984" s="372">
        <v>8.4</v>
      </c>
      <c r="H984" s="371">
        <v>19641.257995735607</v>
      </c>
      <c r="I984" s="371">
        <v>20367.922572671236</v>
      </c>
      <c r="J984" s="373">
        <v>20275.221299280383</v>
      </c>
      <c r="K984" s="313"/>
      <c r="L984" s="313"/>
    </row>
    <row r="985" spans="1:12" x14ac:dyDescent="0.25">
      <c r="A985" s="369">
        <v>7201840</v>
      </c>
      <c r="B985" s="370" t="s">
        <v>1293</v>
      </c>
      <c r="C985" s="370" t="s">
        <v>2444</v>
      </c>
      <c r="D985" s="370" t="str">
        <f t="shared" si="15"/>
        <v>7201840__PPPs</v>
      </c>
      <c r="E985" s="370" t="s">
        <v>328</v>
      </c>
      <c r="F985" s="371">
        <v>11935526</v>
      </c>
      <c r="G985" s="372">
        <v>29.216000000000001</v>
      </c>
      <c r="H985" s="371">
        <v>25405.910446398888</v>
      </c>
      <c r="I985" s="371">
        <v>24125.615822280633</v>
      </c>
      <c r="J985" s="373">
        <v>24448.908771949045</v>
      </c>
      <c r="K985" s="313"/>
      <c r="L985" s="313"/>
    </row>
    <row r="986" spans="1:12" x14ac:dyDescent="0.25">
      <c r="A986" s="369">
        <v>7201840</v>
      </c>
      <c r="B986" s="370" t="s">
        <v>1293</v>
      </c>
      <c r="C986" s="370" t="s">
        <v>2445</v>
      </c>
      <c r="D986" s="370" t="str">
        <f t="shared" si="15"/>
        <v>7201840__PPPz</v>
      </c>
      <c r="E986" s="370" t="s">
        <v>328</v>
      </c>
      <c r="F986" s="371">
        <v>0</v>
      </c>
      <c r="G986" s="372">
        <v>0</v>
      </c>
      <c r="H986" s="371">
        <v>0</v>
      </c>
      <c r="I986" s="371">
        <v>0</v>
      </c>
      <c r="J986" s="373">
        <v>19656.29343348063</v>
      </c>
      <c r="K986" s="313"/>
      <c r="L986" s="313"/>
    </row>
    <row r="987" spans="1:12" ht="15.75" thickBot="1" x14ac:dyDescent="0.3">
      <c r="A987" s="374">
        <v>7201840</v>
      </c>
      <c r="B987" s="375" t="s">
        <v>1293</v>
      </c>
      <c r="C987" s="375" t="s">
        <v>2446</v>
      </c>
      <c r="D987" s="375" t="str">
        <f t="shared" si="15"/>
        <v>7201840__VED</v>
      </c>
      <c r="E987" s="375" t="s">
        <v>328</v>
      </c>
      <c r="F987" s="376">
        <v>821804</v>
      </c>
      <c r="G987" s="377">
        <v>7.0000000000000007E-2</v>
      </c>
      <c r="H987" s="376">
        <v>730103.05614783219</v>
      </c>
      <c r="I987" s="376">
        <v>36691.34562336946</v>
      </c>
      <c r="J987" s="378">
        <v>39746.581077957591</v>
      </c>
      <c r="K987" s="313"/>
      <c r="L987" s="313"/>
    </row>
    <row r="988" spans="1:12" x14ac:dyDescent="0.25">
      <c r="A988" s="364">
        <v>7259548</v>
      </c>
      <c r="B988" s="365" t="s">
        <v>678</v>
      </c>
      <c r="C988" s="365" t="s">
        <v>2442</v>
      </c>
      <c r="D988" s="365" t="str">
        <f t="shared" si="15"/>
        <v>7259548__ADM</v>
      </c>
      <c r="E988" s="365" t="s">
        <v>328</v>
      </c>
      <c r="F988" s="366">
        <v>469358</v>
      </c>
      <c r="G988" s="367">
        <v>0.9</v>
      </c>
      <c r="H988" s="366">
        <v>32432.14483139856</v>
      </c>
      <c r="I988" s="366">
        <v>32998.569863346675</v>
      </c>
      <c r="J988" s="368">
        <v>31548.047365249331</v>
      </c>
      <c r="K988" s="313"/>
      <c r="L988" s="313"/>
    </row>
    <row r="989" spans="1:12" x14ac:dyDescent="0.25">
      <c r="A989" s="369">
        <v>7259548</v>
      </c>
      <c r="B989" s="370" t="s">
        <v>678</v>
      </c>
      <c r="C989" s="370" t="s">
        <v>2443</v>
      </c>
      <c r="D989" s="370" t="str">
        <f t="shared" si="15"/>
        <v>7259548__MAN</v>
      </c>
      <c r="E989" s="370" t="s">
        <v>328</v>
      </c>
      <c r="F989" s="371">
        <v>495889</v>
      </c>
      <c r="G989" s="372">
        <v>1.8</v>
      </c>
      <c r="H989" s="371">
        <v>17132.704532891097</v>
      </c>
      <c r="I989" s="371">
        <v>20367.922572671236</v>
      </c>
      <c r="J989" s="373">
        <v>20275.221299280383</v>
      </c>
      <c r="K989" s="313"/>
      <c r="L989" s="313"/>
    </row>
    <row r="990" spans="1:12" x14ac:dyDescent="0.25">
      <c r="A990" s="369">
        <v>7259548</v>
      </c>
      <c r="B990" s="370" t="s">
        <v>678</v>
      </c>
      <c r="C990" s="370" t="s">
        <v>2444</v>
      </c>
      <c r="D990" s="370" t="str">
        <f t="shared" si="15"/>
        <v>7259548__PPPs</v>
      </c>
      <c r="E990" s="370" t="s">
        <v>328</v>
      </c>
      <c r="F990" s="371">
        <v>6294633</v>
      </c>
      <c r="G990" s="372">
        <v>15.412000000000001</v>
      </c>
      <c r="H990" s="371">
        <v>25399.51181672742</v>
      </c>
      <c r="I990" s="371">
        <v>24125.615822280633</v>
      </c>
      <c r="J990" s="373">
        <v>24448.908771949045</v>
      </c>
      <c r="K990" s="313"/>
      <c r="L990" s="313"/>
    </row>
    <row r="991" spans="1:12" x14ac:dyDescent="0.25">
      <c r="A991" s="369">
        <v>7259548</v>
      </c>
      <c r="B991" s="370" t="s">
        <v>678</v>
      </c>
      <c r="C991" s="370" t="s">
        <v>2445</v>
      </c>
      <c r="D991" s="370" t="str">
        <f t="shared" si="15"/>
        <v>7259548__PPPz</v>
      </c>
      <c r="E991" s="370" t="s">
        <v>328</v>
      </c>
      <c r="F991" s="371">
        <v>0</v>
      </c>
      <c r="G991" s="372">
        <v>0</v>
      </c>
      <c r="H991" s="371">
        <v>0</v>
      </c>
      <c r="I991" s="371">
        <v>0</v>
      </c>
      <c r="J991" s="373">
        <v>19656.29343348063</v>
      </c>
      <c r="K991" s="313"/>
      <c r="L991" s="313"/>
    </row>
    <row r="992" spans="1:12" ht="15.75" thickBot="1" x14ac:dyDescent="0.3">
      <c r="A992" s="374">
        <v>7259548</v>
      </c>
      <c r="B992" s="375" t="s">
        <v>678</v>
      </c>
      <c r="C992" s="375" t="s">
        <v>2446</v>
      </c>
      <c r="D992" s="375" t="str">
        <f t="shared" si="15"/>
        <v>7259548__VED</v>
      </c>
      <c r="E992" s="375" t="s">
        <v>328</v>
      </c>
      <c r="F992" s="376">
        <v>897918</v>
      </c>
      <c r="G992" s="377">
        <v>1</v>
      </c>
      <c r="H992" s="376">
        <v>55840.671641791043</v>
      </c>
      <c r="I992" s="376">
        <v>36691.34562336946</v>
      </c>
      <c r="J992" s="378">
        <v>39746.581077957591</v>
      </c>
      <c r="K992" s="313"/>
      <c r="L992" s="313"/>
    </row>
    <row r="993" spans="1:12" x14ac:dyDescent="0.25">
      <c r="A993" s="364">
        <v>7399132</v>
      </c>
      <c r="B993" s="365" t="s">
        <v>576</v>
      </c>
      <c r="C993" s="365" t="s">
        <v>2442</v>
      </c>
      <c r="D993" s="365" t="str">
        <f t="shared" si="15"/>
        <v>7399132__ADM</v>
      </c>
      <c r="E993" s="365" t="s">
        <v>328</v>
      </c>
      <c r="F993" s="366">
        <v>38068</v>
      </c>
      <c r="G993" s="367">
        <v>0.06</v>
      </c>
      <c r="H993" s="366">
        <v>39456.882255389719</v>
      </c>
      <c r="I993" s="366">
        <v>32998.569863346675</v>
      </c>
      <c r="J993" s="368">
        <v>31548.047365249331</v>
      </c>
      <c r="K993" s="313"/>
      <c r="L993" s="313"/>
    </row>
    <row r="994" spans="1:12" x14ac:dyDescent="0.25">
      <c r="A994" s="369">
        <v>7399132</v>
      </c>
      <c r="B994" s="370" t="s">
        <v>576</v>
      </c>
      <c r="C994" s="370" t="s">
        <v>2443</v>
      </c>
      <c r="D994" s="370" t="str">
        <f t="shared" ref="D994:D1057" si="16">CONCATENATE(A994,"__",C994)</f>
        <v>7399132__MAN</v>
      </c>
      <c r="E994" s="370" t="s">
        <v>328</v>
      </c>
      <c r="F994" s="371">
        <v>338577</v>
      </c>
      <c r="G994" s="372">
        <v>0.99409999999999998</v>
      </c>
      <c r="H994" s="371">
        <v>21180.750007131632</v>
      </c>
      <c r="I994" s="371">
        <v>20367.922572671236</v>
      </c>
      <c r="J994" s="373">
        <v>20275.221299280383</v>
      </c>
      <c r="K994" s="313"/>
      <c r="L994" s="313"/>
    </row>
    <row r="995" spans="1:12" x14ac:dyDescent="0.25">
      <c r="A995" s="369">
        <v>7399132</v>
      </c>
      <c r="B995" s="370" t="s">
        <v>576</v>
      </c>
      <c r="C995" s="370" t="s">
        <v>2444</v>
      </c>
      <c r="D995" s="370" t="str">
        <f t="shared" si="16"/>
        <v>7399132__PPPs</v>
      </c>
      <c r="E995" s="370" t="s">
        <v>328</v>
      </c>
      <c r="F995" s="371">
        <v>2888939</v>
      </c>
      <c r="G995" s="372">
        <v>7.1260000000000003</v>
      </c>
      <c r="H995" s="371">
        <v>25211.954191992598</v>
      </c>
      <c r="I995" s="371">
        <v>24125.615822280633</v>
      </c>
      <c r="J995" s="373">
        <v>24448.908771949045</v>
      </c>
      <c r="K995" s="313"/>
      <c r="L995" s="313"/>
    </row>
    <row r="996" spans="1:12" x14ac:dyDescent="0.25">
      <c r="A996" s="369">
        <v>7399132</v>
      </c>
      <c r="B996" s="370" t="s">
        <v>576</v>
      </c>
      <c r="C996" s="370" t="s">
        <v>2445</v>
      </c>
      <c r="D996" s="370" t="str">
        <f t="shared" si="16"/>
        <v>7399132__PPPz</v>
      </c>
      <c r="E996" s="370" t="s">
        <v>328</v>
      </c>
      <c r="F996" s="371">
        <v>0</v>
      </c>
      <c r="G996" s="372">
        <v>0</v>
      </c>
      <c r="H996" s="371">
        <v>0</v>
      </c>
      <c r="I996" s="371">
        <v>0</v>
      </c>
      <c r="J996" s="373">
        <v>19656.29343348063</v>
      </c>
      <c r="K996" s="313"/>
      <c r="L996" s="313"/>
    </row>
    <row r="997" spans="1:12" ht="15.75" thickBot="1" x14ac:dyDescent="0.3">
      <c r="A997" s="374">
        <v>7399132</v>
      </c>
      <c r="B997" s="375" t="s">
        <v>576</v>
      </c>
      <c r="C997" s="375" t="s">
        <v>2446</v>
      </c>
      <c r="D997" s="375" t="str">
        <f t="shared" si="16"/>
        <v>7399132__VED</v>
      </c>
      <c r="E997" s="375" t="s">
        <v>328</v>
      </c>
      <c r="F997" s="376">
        <v>50947</v>
      </c>
      <c r="G997" s="377">
        <v>0.06</v>
      </c>
      <c r="H997" s="376">
        <v>52805.762852404652</v>
      </c>
      <c r="I997" s="376">
        <v>36691.34562336946</v>
      </c>
      <c r="J997" s="378">
        <v>39746.581077957591</v>
      </c>
      <c r="K997" s="313"/>
      <c r="L997" s="313"/>
    </row>
    <row r="998" spans="1:12" x14ac:dyDescent="0.25">
      <c r="A998" s="364">
        <v>7425941</v>
      </c>
      <c r="B998" s="365" t="s">
        <v>2440</v>
      </c>
      <c r="C998" s="365" t="s">
        <v>2442</v>
      </c>
      <c r="D998" s="365" t="str">
        <f t="shared" si="16"/>
        <v>7425941__ADM</v>
      </c>
      <c r="E998" s="365" t="s">
        <v>328</v>
      </c>
      <c r="F998" s="366">
        <v>0</v>
      </c>
      <c r="G998" s="367">
        <v>0</v>
      </c>
      <c r="H998" s="366">
        <v>0</v>
      </c>
      <c r="I998" s="366">
        <v>32998.569863346675</v>
      </c>
      <c r="J998" s="368">
        <v>31548.047365249331</v>
      </c>
      <c r="K998" s="313"/>
      <c r="L998" s="313"/>
    </row>
    <row r="999" spans="1:12" x14ac:dyDescent="0.25">
      <c r="A999" s="369">
        <v>7425941</v>
      </c>
      <c r="B999" s="370" t="s">
        <v>2440</v>
      </c>
      <c r="C999" s="370" t="s">
        <v>2443</v>
      </c>
      <c r="D999" s="370" t="str">
        <f t="shared" si="16"/>
        <v>7425941__MAN</v>
      </c>
      <c r="E999" s="370" t="s">
        <v>328</v>
      </c>
      <c r="F999" s="371">
        <v>0</v>
      </c>
      <c r="G999" s="372">
        <v>0</v>
      </c>
      <c r="H999" s="371">
        <v>0</v>
      </c>
      <c r="I999" s="371">
        <v>20367.922572671236</v>
      </c>
      <c r="J999" s="373">
        <v>20275.221299280383</v>
      </c>
      <c r="K999" s="313"/>
      <c r="L999" s="313"/>
    </row>
    <row r="1000" spans="1:12" x14ac:dyDescent="0.25">
      <c r="A1000" s="369">
        <v>7425941</v>
      </c>
      <c r="B1000" s="370" t="s">
        <v>2440</v>
      </c>
      <c r="C1000" s="370" t="s">
        <v>2444</v>
      </c>
      <c r="D1000" s="370" t="str">
        <f t="shared" si="16"/>
        <v>7425941__PPPs</v>
      </c>
      <c r="E1000" s="370" t="s">
        <v>328</v>
      </c>
      <c r="F1000" s="371">
        <v>352350</v>
      </c>
      <c r="G1000" s="372">
        <v>1</v>
      </c>
      <c r="H1000" s="371">
        <v>21912.313432835821</v>
      </c>
      <c r="I1000" s="371">
        <v>24125.615822280633</v>
      </c>
      <c r="J1000" s="373">
        <v>24448.908771949045</v>
      </c>
      <c r="K1000" s="313"/>
      <c r="L1000" s="313"/>
    </row>
    <row r="1001" spans="1:12" x14ac:dyDescent="0.25">
      <c r="A1001" s="369">
        <v>7425941</v>
      </c>
      <c r="B1001" s="370" t="s">
        <v>2440</v>
      </c>
      <c r="C1001" s="370" t="s">
        <v>2445</v>
      </c>
      <c r="D1001" s="370" t="str">
        <f t="shared" si="16"/>
        <v>7425941__PPPz</v>
      </c>
      <c r="E1001" s="370" t="s">
        <v>328</v>
      </c>
      <c r="F1001" s="371">
        <v>0</v>
      </c>
      <c r="G1001" s="372">
        <v>0</v>
      </c>
      <c r="H1001" s="371">
        <v>0</v>
      </c>
      <c r="I1001" s="371">
        <v>0</v>
      </c>
      <c r="J1001" s="373">
        <v>19656.29343348063</v>
      </c>
      <c r="K1001" s="313"/>
      <c r="L1001" s="313"/>
    </row>
    <row r="1002" spans="1:12" ht="15.75" thickBot="1" x14ac:dyDescent="0.3">
      <c r="A1002" s="374">
        <v>7425941</v>
      </c>
      <c r="B1002" s="375" t="s">
        <v>2440</v>
      </c>
      <c r="C1002" s="375" t="s">
        <v>2446</v>
      </c>
      <c r="D1002" s="375" t="str">
        <f t="shared" si="16"/>
        <v>7425941__VED</v>
      </c>
      <c r="E1002" s="375" t="s">
        <v>328</v>
      </c>
      <c r="F1002" s="376">
        <v>0</v>
      </c>
      <c r="G1002" s="377">
        <v>0</v>
      </c>
      <c r="H1002" s="376">
        <v>0</v>
      </c>
      <c r="I1002" s="376">
        <v>36691.34562336946</v>
      </c>
      <c r="J1002" s="378">
        <v>39746.581077957591</v>
      </c>
      <c r="K1002" s="313"/>
      <c r="L1002" s="313"/>
    </row>
    <row r="1003" spans="1:12" x14ac:dyDescent="0.25">
      <c r="A1003" s="364">
        <v>7702105</v>
      </c>
      <c r="B1003" s="365" t="s">
        <v>626</v>
      </c>
      <c r="C1003" s="365" t="s">
        <v>2442</v>
      </c>
      <c r="D1003" s="365" t="str">
        <f t="shared" si="16"/>
        <v>7702105__ADM</v>
      </c>
      <c r="E1003" s="365" t="s">
        <v>328</v>
      </c>
      <c r="F1003" s="366">
        <v>0</v>
      </c>
      <c r="G1003" s="367">
        <v>0</v>
      </c>
      <c r="H1003" s="366">
        <v>0</v>
      </c>
      <c r="I1003" s="366">
        <v>32998.569863346675</v>
      </c>
      <c r="J1003" s="368">
        <v>31548.047365249331</v>
      </c>
      <c r="K1003" s="313"/>
      <c r="L1003" s="313"/>
    </row>
    <row r="1004" spans="1:12" x14ac:dyDescent="0.25">
      <c r="A1004" s="369">
        <v>7702105</v>
      </c>
      <c r="B1004" s="370" t="s">
        <v>626</v>
      </c>
      <c r="C1004" s="370" t="s">
        <v>2443</v>
      </c>
      <c r="D1004" s="370" t="str">
        <f t="shared" si="16"/>
        <v>7702105__MAN</v>
      </c>
      <c r="E1004" s="370" t="s">
        <v>328</v>
      </c>
      <c r="F1004" s="371">
        <v>0</v>
      </c>
      <c r="G1004" s="372">
        <v>0</v>
      </c>
      <c r="H1004" s="371">
        <v>0</v>
      </c>
      <c r="I1004" s="371">
        <v>20367.922572671236</v>
      </c>
      <c r="J1004" s="373">
        <v>20275.221299280383</v>
      </c>
      <c r="K1004" s="313"/>
      <c r="L1004" s="313"/>
    </row>
    <row r="1005" spans="1:12" x14ac:dyDescent="0.25">
      <c r="A1005" s="369">
        <v>7702105</v>
      </c>
      <c r="B1005" s="370" t="s">
        <v>626</v>
      </c>
      <c r="C1005" s="370" t="s">
        <v>2444</v>
      </c>
      <c r="D1005" s="370" t="str">
        <f t="shared" si="16"/>
        <v>7702105__PPPs</v>
      </c>
      <c r="E1005" s="370" t="s">
        <v>328</v>
      </c>
      <c r="F1005" s="371">
        <v>1709818</v>
      </c>
      <c r="G1005" s="372">
        <v>3.7</v>
      </c>
      <c r="H1005" s="371">
        <v>28738.368965980906</v>
      </c>
      <c r="I1005" s="371">
        <v>24125.615822280633</v>
      </c>
      <c r="J1005" s="373">
        <v>24448.908771949045</v>
      </c>
      <c r="K1005" s="313"/>
      <c r="L1005" s="313"/>
    </row>
    <row r="1006" spans="1:12" x14ac:dyDescent="0.25">
      <c r="A1006" s="369">
        <v>7702105</v>
      </c>
      <c r="B1006" s="370" t="s">
        <v>626</v>
      </c>
      <c r="C1006" s="370" t="s">
        <v>2445</v>
      </c>
      <c r="D1006" s="370" t="str">
        <f t="shared" si="16"/>
        <v>7702105__PPPz</v>
      </c>
      <c r="E1006" s="370" t="s">
        <v>328</v>
      </c>
      <c r="F1006" s="371">
        <v>0</v>
      </c>
      <c r="G1006" s="372">
        <v>0</v>
      </c>
      <c r="H1006" s="371">
        <v>0</v>
      </c>
      <c r="I1006" s="371">
        <v>0</v>
      </c>
      <c r="J1006" s="373">
        <v>19656.29343348063</v>
      </c>
      <c r="K1006" s="313"/>
      <c r="L1006" s="313"/>
    </row>
    <row r="1007" spans="1:12" ht="15.75" thickBot="1" x14ac:dyDescent="0.3">
      <c r="A1007" s="374">
        <v>7702105</v>
      </c>
      <c r="B1007" s="375" t="s">
        <v>626</v>
      </c>
      <c r="C1007" s="375" t="s">
        <v>2446</v>
      </c>
      <c r="D1007" s="375" t="str">
        <f t="shared" si="16"/>
        <v>7702105__VED</v>
      </c>
      <c r="E1007" s="375" t="s">
        <v>328</v>
      </c>
      <c r="F1007" s="376">
        <v>89980</v>
      </c>
      <c r="G1007" s="377">
        <v>0.2</v>
      </c>
      <c r="H1007" s="376">
        <v>27978.855721393033</v>
      </c>
      <c r="I1007" s="376">
        <v>36691.34562336946</v>
      </c>
      <c r="J1007" s="378">
        <v>39746.581077957591</v>
      </c>
      <c r="K1007" s="313"/>
      <c r="L1007" s="313"/>
    </row>
    <row r="1008" spans="1:12" x14ac:dyDescent="0.25">
      <c r="A1008" s="364">
        <v>7741294</v>
      </c>
      <c r="B1008" s="365" t="s">
        <v>760</v>
      </c>
      <c r="C1008" s="365" t="s">
        <v>2442</v>
      </c>
      <c r="D1008" s="365" t="str">
        <f t="shared" si="16"/>
        <v>7741294__ADM</v>
      </c>
      <c r="E1008" s="365" t="s">
        <v>328</v>
      </c>
      <c r="F1008" s="366">
        <v>124132</v>
      </c>
      <c r="G1008" s="367">
        <v>0.21</v>
      </c>
      <c r="H1008" s="366">
        <v>36760.246387112056</v>
      </c>
      <c r="I1008" s="366">
        <v>32998.569863346675</v>
      </c>
      <c r="J1008" s="368">
        <v>31548.047365249331</v>
      </c>
      <c r="K1008" s="313"/>
      <c r="L1008" s="313"/>
    </row>
    <row r="1009" spans="1:12" x14ac:dyDescent="0.25">
      <c r="A1009" s="369">
        <v>7741294</v>
      </c>
      <c r="B1009" s="370" t="s">
        <v>760</v>
      </c>
      <c r="C1009" s="370" t="s">
        <v>2443</v>
      </c>
      <c r="D1009" s="370" t="str">
        <f t="shared" si="16"/>
        <v>7741294__MAN</v>
      </c>
      <c r="E1009" s="370" t="s">
        <v>328</v>
      </c>
      <c r="F1009" s="371">
        <v>177215</v>
      </c>
      <c r="G1009" s="372">
        <v>0.75</v>
      </c>
      <c r="H1009" s="371">
        <v>14694.444444444443</v>
      </c>
      <c r="I1009" s="371">
        <v>20367.922572671236</v>
      </c>
      <c r="J1009" s="373">
        <v>20275.221299280383</v>
      </c>
      <c r="K1009" s="313"/>
      <c r="L1009" s="313"/>
    </row>
    <row r="1010" spans="1:12" x14ac:dyDescent="0.25">
      <c r="A1010" s="369">
        <v>7741294</v>
      </c>
      <c r="B1010" s="370" t="s">
        <v>760</v>
      </c>
      <c r="C1010" s="370" t="s">
        <v>2444</v>
      </c>
      <c r="D1010" s="370" t="str">
        <f t="shared" si="16"/>
        <v>7741294__PPPs</v>
      </c>
      <c r="E1010" s="370" t="s">
        <v>328</v>
      </c>
      <c r="F1010" s="371">
        <v>1303676</v>
      </c>
      <c r="G1010" s="372">
        <v>3</v>
      </c>
      <c r="H1010" s="371">
        <v>27024.792703150913</v>
      </c>
      <c r="I1010" s="371">
        <v>24125.615822280633</v>
      </c>
      <c r="J1010" s="373">
        <v>24448.908771949045</v>
      </c>
      <c r="K1010" s="313"/>
      <c r="L1010" s="313"/>
    </row>
    <row r="1011" spans="1:12" x14ac:dyDescent="0.25">
      <c r="A1011" s="369">
        <v>7741294</v>
      </c>
      <c r="B1011" s="370" t="s">
        <v>760</v>
      </c>
      <c r="C1011" s="370" t="s">
        <v>2445</v>
      </c>
      <c r="D1011" s="370" t="str">
        <f t="shared" si="16"/>
        <v>7741294__PPPz</v>
      </c>
      <c r="E1011" s="370" t="s">
        <v>328</v>
      </c>
      <c r="F1011" s="371">
        <v>0</v>
      </c>
      <c r="G1011" s="372">
        <v>0</v>
      </c>
      <c r="H1011" s="371">
        <v>0</v>
      </c>
      <c r="I1011" s="371">
        <v>0</v>
      </c>
      <c r="J1011" s="373">
        <v>19656.29343348063</v>
      </c>
      <c r="K1011" s="313"/>
      <c r="L1011" s="313"/>
    </row>
    <row r="1012" spans="1:12" ht="15.75" thickBot="1" x14ac:dyDescent="0.3">
      <c r="A1012" s="374">
        <v>7741294</v>
      </c>
      <c r="B1012" s="375" t="s">
        <v>760</v>
      </c>
      <c r="C1012" s="375" t="s">
        <v>2446</v>
      </c>
      <c r="D1012" s="375" t="str">
        <f t="shared" si="16"/>
        <v>7741294__VED</v>
      </c>
      <c r="E1012" s="375" t="s">
        <v>328</v>
      </c>
      <c r="F1012" s="376">
        <v>153978</v>
      </c>
      <c r="G1012" s="377">
        <v>0.27</v>
      </c>
      <c r="H1012" s="376">
        <v>35465.726920950801</v>
      </c>
      <c r="I1012" s="376">
        <v>36691.34562336946</v>
      </c>
      <c r="J1012" s="378">
        <v>39746.581077957591</v>
      </c>
      <c r="K1012" s="313"/>
      <c r="L1012" s="313"/>
    </row>
    <row r="1013" spans="1:12" x14ac:dyDescent="0.25">
      <c r="A1013" s="364">
        <v>8522302</v>
      </c>
      <c r="B1013" s="365" t="s">
        <v>661</v>
      </c>
      <c r="C1013" s="365" t="s">
        <v>2442</v>
      </c>
      <c r="D1013" s="365" t="str">
        <f t="shared" si="16"/>
        <v>8522302__ADM</v>
      </c>
      <c r="E1013" s="365" t="s">
        <v>328</v>
      </c>
      <c r="F1013" s="366">
        <v>0</v>
      </c>
      <c r="G1013" s="367">
        <v>0</v>
      </c>
      <c r="H1013" s="366">
        <v>0</v>
      </c>
      <c r="I1013" s="366">
        <v>32998.569863346675</v>
      </c>
      <c r="J1013" s="368">
        <v>31548.047365249331</v>
      </c>
      <c r="K1013" s="313"/>
      <c r="L1013" s="313"/>
    </row>
    <row r="1014" spans="1:12" x14ac:dyDescent="0.25">
      <c r="A1014" s="369">
        <v>8522302</v>
      </c>
      <c r="B1014" s="370" t="s">
        <v>661</v>
      </c>
      <c r="C1014" s="370" t="s">
        <v>2443</v>
      </c>
      <c r="D1014" s="370" t="str">
        <f t="shared" si="16"/>
        <v>8522302__MAN</v>
      </c>
      <c r="E1014" s="370" t="s">
        <v>328</v>
      </c>
      <c r="F1014" s="371">
        <v>0</v>
      </c>
      <c r="G1014" s="372">
        <v>0</v>
      </c>
      <c r="H1014" s="371">
        <v>0</v>
      </c>
      <c r="I1014" s="371">
        <v>20367.922572671236</v>
      </c>
      <c r="J1014" s="373">
        <v>20275.221299280383</v>
      </c>
      <c r="K1014" s="313"/>
      <c r="L1014" s="313"/>
    </row>
    <row r="1015" spans="1:12" x14ac:dyDescent="0.25">
      <c r="A1015" s="369">
        <v>8522302</v>
      </c>
      <c r="B1015" s="370" t="s">
        <v>661</v>
      </c>
      <c r="C1015" s="370" t="s">
        <v>2444</v>
      </c>
      <c r="D1015" s="370" t="str">
        <f t="shared" si="16"/>
        <v>8522302__PPPs</v>
      </c>
      <c r="E1015" s="370" t="s">
        <v>328</v>
      </c>
      <c r="F1015" s="371">
        <v>1061230</v>
      </c>
      <c r="G1015" s="372">
        <v>2</v>
      </c>
      <c r="H1015" s="371">
        <v>32998.445273631834</v>
      </c>
      <c r="I1015" s="371">
        <v>24125.615822280633</v>
      </c>
      <c r="J1015" s="373">
        <v>24448.908771949045</v>
      </c>
      <c r="K1015" s="313"/>
      <c r="L1015" s="313"/>
    </row>
    <row r="1016" spans="1:12" x14ac:dyDescent="0.25">
      <c r="A1016" s="369">
        <v>8522302</v>
      </c>
      <c r="B1016" s="370" t="s">
        <v>661</v>
      </c>
      <c r="C1016" s="370" t="s">
        <v>2445</v>
      </c>
      <c r="D1016" s="370" t="str">
        <f t="shared" si="16"/>
        <v>8522302__PPPz</v>
      </c>
      <c r="E1016" s="370" t="s">
        <v>328</v>
      </c>
      <c r="F1016" s="371">
        <v>0</v>
      </c>
      <c r="G1016" s="372">
        <v>0</v>
      </c>
      <c r="H1016" s="371">
        <v>0</v>
      </c>
      <c r="I1016" s="371">
        <v>0</v>
      </c>
      <c r="J1016" s="373">
        <v>19656.29343348063</v>
      </c>
      <c r="K1016" s="313"/>
      <c r="L1016" s="313"/>
    </row>
    <row r="1017" spans="1:12" ht="15.75" thickBot="1" x14ac:dyDescent="0.3">
      <c r="A1017" s="374">
        <v>8522302</v>
      </c>
      <c r="B1017" s="375" t="s">
        <v>661</v>
      </c>
      <c r="C1017" s="375" t="s">
        <v>2446</v>
      </c>
      <c r="D1017" s="375" t="str">
        <f t="shared" si="16"/>
        <v>8522302__VED</v>
      </c>
      <c r="E1017" s="375" t="s">
        <v>328</v>
      </c>
      <c r="F1017" s="376">
        <v>0</v>
      </c>
      <c r="G1017" s="377">
        <v>0</v>
      </c>
      <c r="H1017" s="376">
        <v>0</v>
      </c>
      <c r="I1017" s="376">
        <v>36691.34562336946</v>
      </c>
      <c r="J1017" s="378">
        <v>39746.581077957591</v>
      </c>
      <c r="K1017" s="313"/>
      <c r="L1017" s="313"/>
    </row>
    <row r="1018" spans="1:12" x14ac:dyDescent="0.25">
      <c r="A1018" s="364">
        <v>9097155</v>
      </c>
      <c r="B1018" s="365" t="s">
        <v>753</v>
      </c>
      <c r="C1018" s="365" t="s">
        <v>2442</v>
      </c>
      <c r="D1018" s="365" t="str">
        <f t="shared" si="16"/>
        <v>9097155__ADM</v>
      </c>
      <c r="E1018" s="365" t="s">
        <v>328</v>
      </c>
      <c r="F1018" s="366">
        <v>60155</v>
      </c>
      <c r="G1018" s="367">
        <v>0.4</v>
      </c>
      <c r="H1018" s="366">
        <v>9352.4564676616901</v>
      </c>
      <c r="I1018" s="366">
        <v>32998.569863346675</v>
      </c>
      <c r="J1018" s="368">
        <v>31548.047365249331</v>
      </c>
      <c r="K1018" s="313"/>
      <c r="L1018" s="313"/>
    </row>
    <row r="1019" spans="1:12" x14ac:dyDescent="0.25">
      <c r="A1019" s="369">
        <v>9097155</v>
      </c>
      <c r="B1019" s="370" t="s">
        <v>753</v>
      </c>
      <c r="C1019" s="370" t="s">
        <v>2443</v>
      </c>
      <c r="D1019" s="370" t="str">
        <f t="shared" si="16"/>
        <v>9097155__MAN</v>
      </c>
      <c r="E1019" s="370" t="s">
        <v>328</v>
      </c>
      <c r="F1019" s="371">
        <v>0</v>
      </c>
      <c r="G1019" s="372">
        <v>0</v>
      </c>
      <c r="H1019" s="371">
        <v>0</v>
      </c>
      <c r="I1019" s="371">
        <v>20367.922572671236</v>
      </c>
      <c r="J1019" s="373">
        <v>20275.221299280383</v>
      </c>
      <c r="K1019" s="313"/>
      <c r="L1019" s="313"/>
    </row>
    <row r="1020" spans="1:12" x14ac:dyDescent="0.25">
      <c r="A1020" s="369">
        <v>9097155</v>
      </c>
      <c r="B1020" s="370" t="s">
        <v>753</v>
      </c>
      <c r="C1020" s="370" t="s">
        <v>2444</v>
      </c>
      <c r="D1020" s="370" t="str">
        <f t="shared" si="16"/>
        <v>9097155__PPPs</v>
      </c>
      <c r="E1020" s="370" t="s">
        <v>328</v>
      </c>
      <c r="F1020" s="371">
        <v>3443718</v>
      </c>
      <c r="G1020" s="372">
        <v>8.1999999999999993</v>
      </c>
      <c r="H1020" s="371">
        <v>26117.264288314524</v>
      </c>
      <c r="I1020" s="371">
        <v>24125.615822280633</v>
      </c>
      <c r="J1020" s="373">
        <v>24448.908771949045</v>
      </c>
      <c r="K1020" s="313"/>
      <c r="L1020" s="313"/>
    </row>
    <row r="1021" spans="1:12" x14ac:dyDescent="0.25">
      <c r="A1021" s="369">
        <v>9097155</v>
      </c>
      <c r="B1021" s="370" t="s">
        <v>753</v>
      </c>
      <c r="C1021" s="370" t="s">
        <v>2445</v>
      </c>
      <c r="D1021" s="370" t="str">
        <f t="shared" si="16"/>
        <v>9097155__PPPz</v>
      </c>
      <c r="E1021" s="370" t="s">
        <v>328</v>
      </c>
      <c r="F1021" s="371">
        <v>0</v>
      </c>
      <c r="G1021" s="372">
        <v>0</v>
      </c>
      <c r="H1021" s="371">
        <v>0</v>
      </c>
      <c r="I1021" s="371">
        <v>0</v>
      </c>
      <c r="J1021" s="373">
        <v>19656.29343348063</v>
      </c>
      <c r="K1021" s="313"/>
      <c r="L1021" s="313"/>
    </row>
    <row r="1022" spans="1:12" ht="15.75" thickBot="1" x14ac:dyDescent="0.3">
      <c r="A1022" s="374">
        <v>9097155</v>
      </c>
      <c r="B1022" s="375" t="s">
        <v>753</v>
      </c>
      <c r="C1022" s="375" t="s">
        <v>2446</v>
      </c>
      <c r="D1022" s="375" t="str">
        <f t="shared" si="16"/>
        <v>9097155__VED</v>
      </c>
      <c r="E1022" s="375" t="s">
        <v>328</v>
      </c>
      <c r="F1022" s="376">
        <v>1138479</v>
      </c>
      <c r="G1022" s="377">
        <v>1.0880000000000001</v>
      </c>
      <c r="H1022" s="376">
        <v>65074.386797629493</v>
      </c>
      <c r="I1022" s="376">
        <v>36691.34562336946</v>
      </c>
      <c r="J1022" s="378">
        <v>39746.581077957591</v>
      </c>
      <c r="K1022" s="313"/>
      <c r="L1022" s="313"/>
    </row>
    <row r="1023" spans="1:12" x14ac:dyDescent="0.25">
      <c r="A1023" s="364">
        <v>9196018</v>
      </c>
      <c r="B1023" s="365" t="s">
        <v>748</v>
      </c>
      <c r="C1023" s="365" t="s">
        <v>2442</v>
      </c>
      <c r="D1023" s="365" t="str">
        <f t="shared" si="16"/>
        <v>9196018__ADM</v>
      </c>
      <c r="E1023" s="365" t="s">
        <v>328</v>
      </c>
      <c r="F1023" s="366">
        <v>0</v>
      </c>
      <c r="G1023" s="367">
        <v>0</v>
      </c>
      <c r="H1023" s="366">
        <v>0</v>
      </c>
      <c r="I1023" s="366">
        <v>32998.569863346675</v>
      </c>
      <c r="J1023" s="368">
        <v>31548.047365249331</v>
      </c>
      <c r="K1023" s="313"/>
      <c r="L1023" s="313"/>
    </row>
    <row r="1024" spans="1:12" x14ac:dyDescent="0.25">
      <c r="A1024" s="369">
        <v>9196018</v>
      </c>
      <c r="B1024" s="370" t="s">
        <v>748</v>
      </c>
      <c r="C1024" s="370" t="s">
        <v>2443</v>
      </c>
      <c r="D1024" s="370" t="str">
        <f t="shared" si="16"/>
        <v>9196018__MAN</v>
      </c>
      <c r="E1024" s="370" t="s">
        <v>328</v>
      </c>
      <c r="F1024" s="371">
        <v>176167</v>
      </c>
      <c r="G1024" s="372">
        <v>0.625</v>
      </c>
      <c r="H1024" s="371">
        <v>17529.054726368158</v>
      </c>
      <c r="I1024" s="371">
        <v>20367.922572671236</v>
      </c>
      <c r="J1024" s="373">
        <v>20275.221299280383</v>
      </c>
      <c r="K1024" s="313"/>
      <c r="L1024" s="313"/>
    </row>
    <row r="1025" spans="1:12" x14ac:dyDescent="0.25">
      <c r="A1025" s="369">
        <v>9196018</v>
      </c>
      <c r="B1025" s="370" t="s">
        <v>748</v>
      </c>
      <c r="C1025" s="370" t="s">
        <v>2444</v>
      </c>
      <c r="D1025" s="370" t="str">
        <f t="shared" si="16"/>
        <v>9196018__PPPs</v>
      </c>
      <c r="E1025" s="370" t="s">
        <v>328</v>
      </c>
      <c r="F1025" s="371">
        <v>1396952</v>
      </c>
      <c r="G1025" s="372">
        <v>5.3000000000000007</v>
      </c>
      <c r="H1025" s="371">
        <v>16391.532901530081</v>
      </c>
      <c r="I1025" s="371">
        <v>24125.615822280633</v>
      </c>
      <c r="J1025" s="373">
        <v>24448.908771949045</v>
      </c>
      <c r="K1025" s="313"/>
      <c r="L1025" s="313"/>
    </row>
    <row r="1026" spans="1:12" x14ac:dyDescent="0.25">
      <c r="A1026" s="369">
        <v>9196018</v>
      </c>
      <c r="B1026" s="370" t="s">
        <v>748</v>
      </c>
      <c r="C1026" s="370" t="s">
        <v>2445</v>
      </c>
      <c r="D1026" s="370" t="str">
        <f t="shared" si="16"/>
        <v>9196018__PPPz</v>
      </c>
      <c r="E1026" s="370" t="s">
        <v>328</v>
      </c>
      <c r="F1026" s="371">
        <v>0</v>
      </c>
      <c r="G1026" s="372">
        <v>0</v>
      </c>
      <c r="H1026" s="371">
        <v>0</v>
      </c>
      <c r="I1026" s="371">
        <v>0</v>
      </c>
      <c r="J1026" s="373">
        <v>19656.29343348063</v>
      </c>
      <c r="K1026" s="313"/>
      <c r="L1026" s="313"/>
    </row>
    <row r="1027" spans="1:12" ht="15.75" thickBot="1" x14ac:dyDescent="0.3">
      <c r="A1027" s="374">
        <v>9196018</v>
      </c>
      <c r="B1027" s="375" t="s">
        <v>748</v>
      </c>
      <c r="C1027" s="375" t="s">
        <v>2446</v>
      </c>
      <c r="D1027" s="375" t="str">
        <f t="shared" si="16"/>
        <v>9196018__VED</v>
      </c>
      <c r="E1027" s="375" t="s">
        <v>328</v>
      </c>
      <c r="F1027" s="376">
        <v>259990</v>
      </c>
      <c r="G1027" s="377">
        <v>0.45600000000000002</v>
      </c>
      <c r="H1027" s="376">
        <v>35457.307759448369</v>
      </c>
      <c r="I1027" s="376">
        <v>36691.34562336946</v>
      </c>
      <c r="J1027" s="378">
        <v>39746.581077957591</v>
      </c>
      <c r="K1027" s="313"/>
      <c r="L1027" s="313"/>
    </row>
    <row r="1028" spans="1:12" x14ac:dyDescent="0.25">
      <c r="A1028" s="364">
        <v>9199716</v>
      </c>
      <c r="B1028" s="365" t="s">
        <v>531</v>
      </c>
      <c r="C1028" s="365" t="s">
        <v>2442</v>
      </c>
      <c r="D1028" s="365" t="str">
        <f t="shared" si="16"/>
        <v>9199716__ADM</v>
      </c>
      <c r="E1028" s="365" t="s">
        <v>328</v>
      </c>
      <c r="F1028" s="366">
        <v>0</v>
      </c>
      <c r="G1028" s="367">
        <v>0</v>
      </c>
      <c r="H1028" s="366">
        <v>0</v>
      </c>
      <c r="I1028" s="366">
        <v>32998.569863346675</v>
      </c>
      <c r="J1028" s="368">
        <v>31548.047365249331</v>
      </c>
      <c r="K1028" s="313"/>
      <c r="L1028" s="313"/>
    </row>
    <row r="1029" spans="1:12" x14ac:dyDescent="0.25">
      <c r="A1029" s="369">
        <v>9199716</v>
      </c>
      <c r="B1029" s="370" t="s">
        <v>531</v>
      </c>
      <c r="C1029" s="370" t="s">
        <v>2443</v>
      </c>
      <c r="D1029" s="370" t="str">
        <f t="shared" si="16"/>
        <v>9199716__MAN</v>
      </c>
      <c r="E1029" s="370" t="s">
        <v>328</v>
      </c>
      <c r="F1029" s="371">
        <v>19647</v>
      </c>
      <c r="G1029" s="372">
        <v>0.1008</v>
      </c>
      <c r="H1029" s="371">
        <v>12121.313077469795</v>
      </c>
      <c r="I1029" s="371">
        <v>20367.922572671236</v>
      </c>
      <c r="J1029" s="373">
        <v>20275.221299280383</v>
      </c>
      <c r="K1029" s="313"/>
      <c r="L1029" s="313"/>
    </row>
    <row r="1030" spans="1:12" x14ac:dyDescent="0.25">
      <c r="A1030" s="369">
        <v>9199716</v>
      </c>
      <c r="B1030" s="370" t="s">
        <v>531</v>
      </c>
      <c r="C1030" s="370" t="s">
        <v>2444</v>
      </c>
      <c r="D1030" s="370" t="str">
        <f t="shared" si="16"/>
        <v>9199716__PPPs</v>
      </c>
      <c r="E1030" s="370" t="s">
        <v>328</v>
      </c>
      <c r="F1030" s="371">
        <v>2278036</v>
      </c>
      <c r="G1030" s="372">
        <v>6.1749999999999998</v>
      </c>
      <c r="H1030" s="371">
        <v>22942.332870062641</v>
      </c>
      <c r="I1030" s="371">
        <v>24125.615822280633</v>
      </c>
      <c r="J1030" s="373">
        <v>24448.908771949045</v>
      </c>
      <c r="K1030" s="313"/>
      <c r="L1030" s="313"/>
    </row>
    <row r="1031" spans="1:12" x14ac:dyDescent="0.25">
      <c r="A1031" s="369">
        <v>9199716</v>
      </c>
      <c r="B1031" s="370" t="s">
        <v>531</v>
      </c>
      <c r="C1031" s="370" t="s">
        <v>2445</v>
      </c>
      <c r="D1031" s="370" t="str">
        <f t="shared" si="16"/>
        <v>9199716__PPPz</v>
      </c>
      <c r="E1031" s="370" t="s">
        <v>328</v>
      </c>
      <c r="F1031" s="371">
        <v>0</v>
      </c>
      <c r="G1031" s="372">
        <v>0</v>
      </c>
      <c r="H1031" s="371">
        <v>0</v>
      </c>
      <c r="I1031" s="371">
        <v>0</v>
      </c>
      <c r="J1031" s="373">
        <v>19656.29343348063</v>
      </c>
      <c r="K1031" s="313"/>
      <c r="L1031" s="313"/>
    </row>
    <row r="1032" spans="1:12" ht="15.75" thickBot="1" x14ac:dyDescent="0.3">
      <c r="A1032" s="374">
        <v>9199716</v>
      </c>
      <c r="B1032" s="375" t="s">
        <v>531</v>
      </c>
      <c r="C1032" s="375" t="s">
        <v>2446</v>
      </c>
      <c r="D1032" s="375" t="str">
        <f t="shared" si="16"/>
        <v>9199716__VED</v>
      </c>
      <c r="E1032" s="375" t="s">
        <v>328</v>
      </c>
      <c r="F1032" s="376">
        <v>108353</v>
      </c>
      <c r="G1032" s="377">
        <v>0.125</v>
      </c>
      <c r="H1032" s="376">
        <v>53906.965174129349</v>
      </c>
      <c r="I1032" s="376">
        <v>36691.34562336946</v>
      </c>
      <c r="J1032" s="378">
        <v>39746.581077957591</v>
      </c>
      <c r="K1032" s="313"/>
      <c r="L1032" s="313"/>
    </row>
    <row r="1033" spans="1:12" x14ac:dyDescent="0.25">
      <c r="A1033" s="364">
        <v>9476806</v>
      </c>
      <c r="B1033" s="365" t="s">
        <v>2434</v>
      </c>
      <c r="C1033" s="365" t="s">
        <v>2442</v>
      </c>
      <c r="D1033" s="365" t="str">
        <f t="shared" si="16"/>
        <v>9476806__ADM</v>
      </c>
      <c r="E1033" s="365" t="s">
        <v>328</v>
      </c>
      <c r="F1033" s="366">
        <v>0</v>
      </c>
      <c r="G1033" s="367">
        <v>0</v>
      </c>
      <c r="H1033" s="366">
        <v>0</v>
      </c>
      <c r="I1033" s="366">
        <v>32998.569863346675</v>
      </c>
      <c r="J1033" s="368">
        <v>31548.047365249331</v>
      </c>
      <c r="K1033" s="313"/>
      <c r="L1033" s="313"/>
    </row>
    <row r="1034" spans="1:12" x14ac:dyDescent="0.25">
      <c r="A1034" s="369">
        <v>9476806</v>
      </c>
      <c r="B1034" s="370" t="s">
        <v>2434</v>
      </c>
      <c r="C1034" s="370" t="s">
        <v>2443</v>
      </c>
      <c r="D1034" s="370" t="str">
        <f t="shared" si="16"/>
        <v>9476806__MAN</v>
      </c>
      <c r="E1034" s="370" t="s">
        <v>328</v>
      </c>
      <c r="F1034" s="371">
        <v>0</v>
      </c>
      <c r="G1034" s="372">
        <v>0</v>
      </c>
      <c r="H1034" s="371">
        <v>0</v>
      </c>
      <c r="I1034" s="371">
        <v>20367.922572671236</v>
      </c>
      <c r="J1034" s="373">
        <v>20275.221299280383</v>
      </c>
      <c r="K1034" s="313"/>
      <c r="L1034" s="313"/>
    </row>
    <row r="1035" spans="1:12" x14ac:dyDescent="0.25">
      <c r="A1035" s="369">
        <v>9476806</v>
      </c>
      <c r="B1035" s="370" t="s">
        <v>2434</v>
      </c>
      <c r="C1035" s="370" t="s">
        <v>2444</v>
      </c>
      <c r="D1035" s="370" t="str">
        <f t="shared" si="16"/>
        <v>9476806__PPPs</v>
      </c>
      <c r="E1035" s="370" t="s">
        <v>328</v>
      </c>
      <c r="F1035" s="371">
        <v>49710</v>
      </c>
      <c r="G1035" s="372">
        <v>0.52400000000000002</v>
      </c>
      <c r="H1035" s="371">
        <v>5899.652500854505</v>
      </c>
      <c r="I1035" s="371">
        <v>24125.615822280633</v>
      </c>
      <c r="J1035" s="373">
        <v>24448.908771949045</v>
      </c>
      <c r="K1035" s="313"/>
      <c r="L1035" s="313"/>
    </row>
    <row r="1036" spans="1:12" x14ac:dyDescent="0.25">
      <c r="A1036" s="369">
        <v>9476806</v>
      </c>
      <c r="B1036" s="370" t="s">
        <v>2434</v>
      </c>
      <c r="C1036" s="370" t="s">
        <v>2445</v>
      </c>
      <c r="D1036" s="370" t="str">
        <f t="shared" si="16"/>
        <v>9476806__PPPz</v>
      </c>
      <c r="E1036" s="370" t="s">
        <v>328</v>
      </c>
      <c r="F1036" s="371">
        <v>0</v>
      </c>
      <c r="G1036" s="372">
        <v>0</v>
      </c>
      <c r="H1036" s="371">
        <v>0</v>
      </c>
      <c r="I1036" s="371">
        <v>0</v>
      </c>
      <c r="J1036" s="373">
        <v>19656.29343348063</v>
      </c>
      <c r="K1036" s="313"/>
      <c r="L1036" s="313"/>
    </row>
    <row r="1037" spans="1:12" ht="15.75" thickBot="1" x14ac:dyDescent="0.3">
      <c r="A1037" s="374">
        <v>9476806</v>
      </c>
      <c r="B1037" s="375" t="s">
        <v>2434</v>
      </c>
      <c r="C1037" s="375" t="s">
        <v>2446</v>
      </c>
      <c r="D1037" s="375" t="str">
        <f t="shared" si="16"/>
        <v>9476806__VED</v>
      </c>
      <c r="E1037" s="375" t="s">
        <v>328</v>
      </c>
      <c r="F1037" s="376">
        <v>0</v>
      </c>
      <c r="G1037" s="377">
        <v>0</v>
      </c>
      <c r="H1037" s="376">
        <v>0</v>
      </c>
      <c r="I1037" s="376">
        <v>36691.34562336946</v>
      </c>
      <c r="J1037" s="378">
        <v>39746.581077957591</v>
      </c>
      <c r="K1037" s="313"/>
      <c r="L1037" s="313"/>
    </row>
    <row r="1038" spans="1:12" x14ac:dyDescent="0.25">
      <c r="A1038" s="364">
        <v>9478716</v>
      </c>
      <c r="B1038" s="365" t="s">
        <v>940</v>
      </c>
      <c r="C1038" s="365" t="s">
        <v>2442</v>
      </c>
      <c r="D1038" s="365" t="str">
        <f t="shared" si="16"/>
        <v>9478716__ADM</v>
      </c>
      <c r="E1038" s="365" t="s">
        <v>328</v>
      </c>
      <c r="F1038" s="366">
        <v>0</v>
      </c>
      <c r="G1038" s="367">
        <v>0</v>
      </c>
      <c r="H1038" s="366">
        <v>0</v>
      </c>
      <c r="I1038" s="366">
        <v>32998.569863346675</v>
      </c>
      <c r="J1038" s="368">
        <v>31548.047365249331</v>
      </c>
      <c r="K1038" s="313"/>
      <c r="L1038" s="313"/>
    </row>
    <row r="1039" spans="1:12" x14ac:dyDescent="0.25">
      <c r="A1039" s="369">
        <v>9478716</v>
      </c>
      <c r="B1039" s="370" t="s">
        <v>940</v>
      </c>
      <c r="C1039" s="370" t="s">
        <v>2443</v>
      </c>
      <c r="D1039" s="370" t="str">
        <f t="shared" si="16"/>
        <v>9478716__MAN</v>
      </c>
      <c r="E1039" s="370" t="s">
        <v>328</v>
      </c>
      <c r="F1039" s="371">
        <v>0</v>
      </c>
      <c r="G1039" s="372">
        <v>0</v>
      </c>
      <c r="H1039" s="371">
        <v>0</v>
      </c>
      <c r="I1039" s="371">
        <v>20367.922572671236</v>
      </c>
      <c r="J1039" s="373">
        <v>20275.221299280383</v>
      </c>
      <c r="K1039" s="313"/>
      <c r="L1039" s="313"/>
    </row>
    <row r="1040" spans="1:12" x14ac:dyDescent="0.25">
      <c r="A1040" s="369">
        <v>9478716</v>
      </c>
      <c r="B1040" s="370" t="s">
        <v>940</v>
      </c>
      <c r="C1040" s="370" t="s">
        <v>2444</v>
      </c>
      <c r="D1040" s="370" t="str">
        <f t="shared" si="16"/>
        <v>9478716__PPPs</v>
      </c>
      <c r="E1040" s="370" t="s">
        <v>328</v>
      </c>
      <c r="F1040" s="371">
        <v>116839</v>
      </c>
      <c r="G1040" s="372">
        <v>0.36</v>
      </c>
      <c r="H1040" s="371">
        <v>20183.630458817028</v>
      </c>
      <c r="I1040" s="371">
        <v>24125.615822280633</v>
      </c>
      <c r="J1040" s="373">
        <v>24448.908771949045</v>
      </c>
      <c r="K1040" s="313"/>
      <c r="L1040" s="313"/>
    </row>
    <row r="1041" spans="1:12" x14ac:dyDescent="0.25">
      <c r="A1041" s="369">
        <v>9478716</v>
      </c>
      <c r="B1041" s="370" t="s">
        <v>940</v>
      </c>
      <c r="C1041" s="370" t="s">
        <v>2445</v>
      </c>
      <c r="D1041" s="370" t="str">
        <f t="shared" si="16"/>
        <v>9478716__PPPz</v>
      </c>
      <c r="E1041" s="370" t="s">
        <v>328</v>
      </c>
      <c r="F1041" s="371">
        <v>0</v>
      </c>
      <c r="G1041" s="372">
        <v>0</v>
      </c>
      <c r="H1041" s="371">
        <v>0</v>
      </c>
      <c r="I1041" s="371">
        <v>0</v>
      </c>
      <c r="J1041" s="373">
        <v>19656.29343348063</v>
      </c>
      <c r="K1041" s="313"/>
      <c r="L1041" s="313"/>
    </row>
    <row r="1042" spans="1:12" ht="15.75" thickBot="1" x14ac:dyDescent="0.3">
      <c r="A1042" s="374">
        <v>9478716</v>
      </c>
      <c r="B1042" s="375" t="s">
        <v>940</v>
      </c>
      <c r="C1042" s="375" t="s">
        <v>2446</v>
      </c>
      <c r="D1042" s="375" t="str">
        <f t="shared" si="16"/>
        <v>9478716__VED</v>
      </c>
      <c r="E1042" s="375" t="s">
        <v>328</v>
      </c>
      <c r="F1042" s="376">
        <v>0</v>
      </c>
      <c r="G1042" s="377">
        <v>0</v>
      </c>
      <c r="H1042" s="376">
        <v>0</v>
      </c>
      <c r="I1042" s="376">
        <v>36691.34562336946</v>
      </c>
      <c r="J1042" s="378">
        <v>39746.581077957591</v>
      </c>
      <c r="K1042" s="313"/>
      <c r="L1042" s="313"/>
    </row>
    <row r="1043" spans="1:12" x14ac:dyDescent="0.25">
      <c r="A1043" s="364">
        <v>9554713</v>
      </c>
      <c r="B1043" s="365" t="s">
        <v>805</v>
      </c>
      <c r="C1043" s="365" t="s">
        <v>2442</v>
      </c>
      <c r="D1043" s="365" t="str">
        <f t="shared" si="16"/>
        <v>9554713__ADM</v>
      </c>
      <c r="E1043" s="365" t="s">
        <v>328</v>
      </c>
      <c r="F1043" s="366">
        <v>512522</v>
      </c>
      <c r="G1043" s="367">
        <v>1.0718000000000001</v>
      </c>
      <c r="H1043" s="366">
        <v>29738.065596629647</v>
      </c>
      <c r="I1043" s="366">
        <v>32998.569863346675</v>
      </c>
      <c r="J1043" s="368">
        <v>31548.047365249331</v>
      </c>
      <c r="K1043" s="313"/>
      <c r="L1043" s="313"/>
    </row>
    <row r="1044" spans="1:12" x14ac:dyDescent="0.25">
      <c r="A1044" s="369">
        <v>9554713</v>
      </c>
      <c r="B1044" s="370" t="s">
        <v>805</v>
      </c>
      <c r="C1044" s="370" t="s">
        <v>2443</v>
      </c>
      <c r="D1044" s="370" t="str">
        <f t="shared" si="16"/>
        <v>9554713__MAN</v>
      </c>
      <c r="E1044" s="370" t="s">
        <v>328</v>
      </c>
      <c r="F1044" s="371">
        <v>0</v>
      </c>
      <c r="G1044" s="372">
        <v>0</v>
      </c>
      <c r="H1044" s="371">
        <v>0</v>
      </c>
      <c r="I1044" s="371">
        <v>20367.922572671236</v>
      </c>
      <c r="J1044" s="373">
        <v>20275.221299280383</v>
      </c>
      <c r="K1044" s="313"/>
      <c r="L1044" s="313"/>
    </row>
    <row r="1045" spans="1:12" x14ac:dyDescent="0.25">
      <c r="A1045" s="369">
        <v>9554713</v>
      </c>
      <c r="B1045" s="370" t="s">
        <v>805</v>
      </c>
      <c r="C1045" s="370" t="s">
        <v>2444</v>
      </c>
      <c r="D1045" s="370" t="str">
        <f t="shared" si="16"/>
        <v>9554713__PPPs</v>
      </c>
      <c r="E1045" s="370" t="s">
        <v>328</v>
      </c>
      <c r="F1045" s="371">
        <v>5130204</v>
      </c>
      <c r="G1045" s="372">
        <v>12.6</v>
      </c>
      <c r="H1045" s="371">
        <v>25320.83629471689</v>
      </c>
      <c r="I1045" s="371">
        <v>24125.615822280633</v>
      </c>
      <c r="J1045" s="373">
        <v>24448.908771949045</v>
      </c>
      <c r="K1045" s="313"/>
      <c r="L1045" s="313"/>
    </row>
    <row r="1046" spans="1:12" x14ac:dyDescent="0.25">
      <c r="A1046" s="369">
        <v>9554713</v>
      </c>
      <c r="B1046" s="370" t="s">
        <v>805</v>
      </c>
      <c r="C1046" s="370" t="s">
        <v>2445</v>
      </c>
      <c r="D1046" s="370" t="str">
        <f t="shared" si="16"/>
        <v>9554713__PPPz</v>
      </c>
      <c r="E1046" s="370" t="s">
        <v>328</v>
      </c>
      <c r="F1046" s="371">
        <v>0</v>
      </c>
      <c r="G1046" s="372">
        <v>0</v>
      </c>
      <c r="H1046" s="371">
        <v>0</v>
      </c>
      <c r="I1046" s="371">
        <v>0</v>
      </c>
      <c r="J1046" s="373">
        <v>19656.29343348063</v>
      </c>
      <c r="K1046" s="313"/>
      <c r="L1046" s="313"/>
    </row>
    <row r="1047" spans="1:12" ht="15.75" thickBot="1" x14ac:dyDescent="0.3">
      <c r="A1047" s="374">
        <v>9554713</v>
      </c>
      <c r="B1047" s="375" t="s">
        <v>805</v>
      </c>
      <c r="C1047" s="375" t="s">
        <v>2446</v>
      </c>
      <c r="D1047" s="375" t="str">
        <f t="shared" si="16"/>
        <v>9554713__VED</v>
      </c>
      <c r="E1047" s="375" t="s">
        <v>328</v>
      </c>
      <c r="F1047" s="376">
        <v>507960</v>
      </c>
      <c r="G1047" s="377">
        <v>0.90290000000000004</v>
      </c>
      <c r="H1047" s="376">
        <v>34986.767348328685</v>
      </c>
      <c r="I1047" s="376">
        <v>36691.34562336946</v>
      </c>
      <c r="J1047" s="378">
        <v>39746.581077957591</v>
      </c>
      <c r="K1047" s="313"/>
      <c r="L1047" s="313"/>
    </row>
    <row r="1048" spans="1:12" x14ac:dyDescent="0.25">
      <c r="A1048" s="364">
        <v>9583114</v>
      </c>
      <c r="B1048" s="365" t="s">
        <v>868</v>
      </c>
      <c r="C1048" s="365" t="s">
        <v>2442</v>
      </c>
      <c r="D1048" s="365" t="str">
        <f t="shared" si="16"/>
        <v>9583114__ADM</v>
      </c>
      <c r="E1048" s="365" t="s">
        <v>328</v>
      </c>
      <c r="F1048" s="366">
        <v>0</v>
      </c>
      <c r="G1048" s="367">
        <v>0</v>
      </c>
      <c r="H1048" s="366">
        <v>0</v>
      </c>
      <c r="I1048" s="366">
        <v>32998.569863346675</v>
      </c>
      <c r="J1048" s="368">
        <v>31548.047365249331</v>
      </c>
      <c r="K1048" s="313"/>
      <c r="L1048" s="313"/>
    </row>
    <row r="1049" spans="1:12" x14ac:dyDescent="0.25">
      <c r="A1049" s="369">
        <v>9583114</v>
      </c>
      <c r="B1049" s="370" t="s">
        <v>868</v>
      </c>
      <c r="C1049" s="370" t="s">
        <v>2443</v>
      </c>
      <c r="D1049" s="370" t="str">
        <f t="shared" si="16"/>
        <v>9583114__MAN</v>
      </c>
      <c r="E1049" s="370" t="s">
        <v>328</v>
      </c>
      <c r="F1049" s="371">
        <v>0</v>
      </c>
      <c r="G1049" s="372">
        <v>0</v>
      </c>
      <c r="H1049" s="371">
        <v>0</v>
      </c>
      <c r="I1049" s="371">
        <v>20367.922572671236</v>
      </c>
      <c r="J1049" s="373">
        <v>20275.221299280383</v>
      </c>
      <c r="K1049" s="313"/>
      <c r="L1049" s="313"/>
    </row>
    <row r="1050" spans="1:12" x14ac:dyDescent="0.25">
      <c r="A1050" s="369">
        <v>9583114</v>
      </c>
      <c r="B1050" s="370" t="s">
        <v>868</v>
      </c>
      <c r="C1050" s="370" t="s">
        <v>2444</v>
      </c>
      <c r="D1050" s="370" t="str">
        <f t="shared" si="16"/>
        <v>9583114__PPPs</v>
      </c>
      <c r="E1050" s="370" t="s">
        <v>328</v>
      </c>
      <c r="F1050" s="371">
        <v>1104436</v>
      </c>
      <c r="G1050" s="372">
        <v>2.1</v>
      </c>
      <c r="H1050" s="371">
        <v>32706.586117033872</v>
      </c>
      <c r="I1050" s="371">
        <v>24125.615822280633</v>
      </c>
      <c r="J1050" s="373">
        <v>24448.908771949045</v>
      </c>
      <c r="K1050" s="313"/>
      <c r="L1050" s="313"/>
    </row>
    <row r="1051" spans="1:12" x14ac:dyDescent="0.25">
      <c r="A1051" s="369">
        <v>9583114</v>
      </c>
      <c r="B1051" s="370" t="s">
        <v>868</v>
      </c>
      <c r="C1051" s="370" t="s">
        <v>2445</v>
      </c>
      <c r="D1051" s="370" t="str">
        <f t="shared" si="16"/>
        <v>9583114__PPPz</v>
      </c>
      <c r="E1051" s="370" t="s">
        <v>328</v>
      </c>
      <c r="F1051" s="371">
        <v>0</v>
      </c>
      <c r="G1051" s="372">
        <v>0</v>
      </c>
      <c r="H1051" s="371">
        <v>0</v>
      </c>
      <c r="I1051" s="371">
        <v>0</v>
      </c>
      <c r="J1051" s="373">
        <v>19656.29343348063</v>
      </c>
      <c r="K1051" s="313"/>
      <c r="L1051" s="313"/>
    </row>
    <row r="1052" spans="1:12" ht="15.75" thickBot="1" x14ac:dyDescent="0.3">
      <c r="A1052" s="374">
        <v>9583114</v>
      </c>
      <c r="B1052" s="375" t="s">
        <v>868</v>
      </c>
      <c r="C1052" s="375" t="s">
        <v>2446</v>
      </c>
      <c r="D1052" s="375" t="str">
        <f t="shared" si="16"/>
        <v>9583114__VED</v>
      </c>
      <c r="E1052" s="375" t="s">
        <v>328</v>
      </c>
      <c r="F1052" s="376">
        <v>64958</v>
      </c>
      <c r="G1052" s="377">
        <v>0.1</v>
      </c>
      <c r="H1052" s="376">
        <v>40396.766169154223</v>
      </c>
      <c r="I1052" s="376">
        <v>36691.34562336946</v>
      </c>
      <c r="J1052" s="378">
        <v>39746.581077957591</v>
      </c>
      <c r="K1052" s="313"/>
      <c r="L1052" s="313"/>
    </row>
    <row r="1053" spans="1:12" x14ac:dyDescent="0.25">
      <c r="A1053" s="364">
        <v>9735411</v>
      </c>
      <c r="B1053" s="365" t="s">
        <v>312</v>
      </c>
      <c r="C1053" s="365" t="s">
        <v>2442</v>
      </c>
      <c r="D1053" s="365" t="str">
        <f t="shared" si="16"/>
        <v>9735411__ADM</v>
      </c>
      <c r="E1053" s="365" t="s">
        <v>328</v>
      </c>
      <c r="F1053" s="366">
        <v>28973</v>
      </c>
      <c r="G1053" s="367">
        <v>0.8</v>
      </c>
      <c r="H1053" s="366">
        <v>2252.2543532338309</v>
      </c>
      <c r="I1053" s="366">
        <v>32998.569863346675</v>
      </c>
      <c r="J1053" s="368">
        <v>31548.047365249331</v>
      </c>
      <c r="K1053" s="313"/>
      <c r="L1053" s="313"/>
    </row>
    <row r="1054" spans="1:12" x14ac:dyDescent="0.25">
      <c r="A1054" s="369">
        <v>9735411</v>
      </c>
      <c r="B1054" s="370" t="s">
        <v>312</v>
      </c>
      <c r="C1054" s="370" t="s">
        <v>2443</v>
      </c>
      <c r="D1054" s="370" t="str">
        <f t="shared" si="16"/>
        <v>9735411__MAN</v>
      </c>
      <c r="E1054" s="370" t="s">
        <v>328</v>
      </c>
      <c r="F1054" s="371">
        <v>0</v>
      </c>
      <c r="G1054" s="372">
        <v>0</v>
      </c>
      <c r="H1054" s="371">
        <v>0</v>
      </c>
      <c r="I1054" s="371">
        <v>20367.922572671236</v>
      </c>
      <c r="J1054" s="373">
        <v>20275.221299280383</v>
      </c>
      <c r="K1054" s="313"/>
      <c r="L1054" s="313"/>
    </row>
    <row r="1055" spans="1:12" x14ac:dyDescent="0.25">
      <c r="A1055" s="369">
        <v>9735411</v>
      </c>
      <c r="B1055" s="370" t="s">
        <v>312</v>
      </c>
      <c r="C1055" s="370" t="s">
        <v>2444</v>
      </c>
      <c r="D1055" s="370" t="str">
        <f t="shared" si="16"/>
        <v>9735411__PPPs</v>
      </c>
      <c r="E1055" s="370" t="s">
        <v>328</v>
      </c>
      <c r="F1055" s="371">
        <v>14172734</v>
      </c>
      <c r="G1055" s="372">
        <v>34.380000000000003</v>
      </c>
      <c r="H1055" s="371">
        <v>25636.67627540019</v>
      </c>
      <c r="I1055" s="371">
        <v>24125.615822280633</v>
      </c>
      <c r="J1055" s="373">
        <v>24448.908771949045</v>
      </c>
      <c r="K1055" s="313"/>
      <c r="L1055" s="313"/>
    </row>
    <row r="1056" spans="1:12" x14ac:dyDescent="0.25">
      <c r="A1056" s="369">
        <v>9735411</v>
      </c>
      <c r="B1056" s="370" t="s">
        <v>312</v>
      </c>
      <c r="C1056" s="370" t="s">
        <v>2445</v>
      </c>
      <c r="D1056" s="370" t="str">
        <f t="shared" si="16"/>
        <v>9735411__PPPz</v>
      </c>
      <c r="E1056" s="370" t="s">
        <v>328</v>
      </c>
      <c r="F1056" s="371">
        <v>0</v>
      </c>
      <c r="G1056" s="372">
        <v>0</v>
      </c>
      <c r="H1056" s="371">
        <v>0</v>
      </c>
      <c r="I1056" s="371">
        <v>0</v>
      </c>
      <c r="J1056" s="373">
        <v>19656.29343348063</v>
      </c>
      <c r="K1056" s="313"/>
      <c r="L1056" s="313"/>
    </row>
    <row r="1057" spans="1:12" ht="15.75" thickBot="1" x14ac:dyDescent="0.3">
      <c r="A1057" s="374">
        <v>9735411</v>
      </c>
      <c r="B1057" s="375" t="s">
        <v>312</v>
      </c>
      <c r="C1057" s="375" t="s">
        <v>2446</v>
      </c>
      <c r="D1057" s="375" t="str">
        <f t="shared" si="16"/>
        <v>9735411__VED</v>
      </c>
      <c r="E1057" s="375" t="s">
        <v>328</v>
      </c>
      <c r="F1057" s="376">
        <v>47392</v>
      </c>
      <c r="G1057" s="377">
        <v>1</v>
      </c>
      <c r="H1057" s="376">
        <v>2947.2636815920396</v>
      </c>
      <c r="I1057" s="376">
        <v>36691.34562336946</v>
      </c>
      <c r="J1057" s="378">
        <v>39746.581077957591</v>
      </c>
      <c r="K1057" s="313"/>
      <c r="L1057" s="313"/>
    </row>
    <row r="1058" spans="1:12" x14ac:dyDescent="0.25">
      <c r="A1058" s="364">
        <v>9924639</v>
      </c>
      <c r="B1058" s="365" t="s">
        <v>857</v>
      </c>
      <c r="C1058" s="365" t="s">
        <v>2442</v>
      </c>
      <c r="D1058" s="365" t="str">
        <f t="shared" ref="D1058:D1121" si="17">CONCATENATE(A1058,"__",C1058)</f>
        <v>9924639__ADM</v>
      </c>
      <c r="E1058" s="365" t="s">
        <v>328</v>
      </c>
      <c r="F1058" s="366">
        <v>535151</v>
      </c>
      <c r="G1058" s="367">
        <v>0.98340000000000005</v>
      </c>
      <c r="H1058" s="366">
        <v>33842.317292933338</v>
      </c>
      <c r="I1058" s="366">
        <v>32998.569863346675</v>
      </c>
      <c r="J1058" s="368">
        <v>31548.047365249331</v>
      </c>
      <c r="K1058" s="313"/>
      <c r="L1058" s="313"/>
    </row>
    <row r="1059" spans="1:12" x14ac:dyDescent="0.25">
      <c r="A1059" s="369">
        <v>9924639</v>
      </c>
      <c r="B1059" s="370" t="s">
        <v>857</v>
      </c>
      <c r="C1059" s="370" t="s">
        <v>2443</v>
      </c>
      <c r="D1059" s="370" t="str">
        <f t="shared" si="17"/>
        <v>9924639__MAN</v>
      </c>
      <c r="E1059" s="370" t="s">
        <v>328</v>
      </c>
      <c r="F1059" s="371">
        <v>80643</v>
      </c>
      <c r="G1059" s="372">
        <v>0.15179999999999999</v>
      </c>
      <c r="H1059" s="371">
        <v>33037.628065207558</v>
      </c>
      <c r="I1059" s="371">
        <v>20367.922572671236</v>
      </c>
      <c r="J1059" s="373">
        <v>20275.221299280383</v>
      </c>
      <c r="K1059" s="313"/>
      <c r="L1059" s="313"/>
    </row>
    <row r="1060" spans="1:12" x14ac:dyDescent="0.25">
      <c r="A1060" s="369">
        <v>9924639</v>
      </c>
      <c r="B1060" s="370" t="s">
        <v>857</v>
      </c>
      <c r="C1060" s="370" t="s">
        <v>2444</v>
      </c>
      <c r="D1060" s="370" t="str">
        <f t="shared" si="17"/>
        <v>9924639__PPPs</v>
      </c>
      <c r="E1060" s="370" t="s">
        <v>328</v>
      </c>
      <c r="F1060" s="371">
        <v>5897020</v>
      </c>
      <c r="G1060" s="372">
        <v>12.672699999999999</v>
      </c>
      <c r="H1060" s="371">
        <v>28938.592368042133</v>
      </c>
      <c r="I1060" s="371">
        <v>24125.615822280633</v>
      </c>
      <c r="J1060" s="373">
        <v>24448.908771949045</v>
      </c>
      <c r="K1060" s="313"/>
      <c r="L1060" s="313"/>
    </row>
    <row r="1061" spans="1:12" x14ac:dyDescent="0.25">
      <c r="A1061" s="369">
        <v>9924639</v>
      </c>
      <c r="B1061" s="370" t="s">
        <v>857</v>
      </c>
      <c r="C1061" s="370" t="s">
        <v>2445</v>
      </c>
      <c r="D1061" s="370" t="str">
        <f t="shared" si="17"/>
        <v>9924639__PPPz</v>
      </c>
      <c r="E1061" s="370" t="s">
        <v>328</v>
      </c>
      <c r="F1061" s="371">
        <v>0</v>
      </c>
      <c r="G1061" s="372">
        <v>0</v>
      </c>
      <c r="H1061" s="371">
        <v>0</v>
      </c>
      <c r="I1061" s="371">
        <v>0</v>
      </c>
      <c r="J1061" s="373">
        <v>19656.29343348063</v>
      </c>
      <c r="K1061" s="313"/>
      <c r="L1061" s="313"/>
    </row>
    <row r="1062" spans="1:12" ht="15.75" thickBot="1" x14ac:dyDescent="0.3">
      <c r="A1062" s="374">
        <v>9924639</v>
      </c>
      <c r="B1062" s="375" t="s">
        <v>857</v>
      </c>
      <c r="C1062" s="375" t="s">
        <v>2446</v>
      </c>
      <c r="D1062" s="375" t="str">
        <f t="shared" si="17"/>
        <v>9924639__VED</v>
      </c>
      <c r="E1062" s="375" t="s">
        <v>328</v>
      </c>
      <c r="F1062" s="376">
        <v>908155</v>
      </c>
      <c r="G1062" s="377">
        <v>1.99</v>
      </c>
      <c r="H1062" s="376">
        <v>28380.553263831596</v>
      </c>
      <c r="I1062" s="376">
        <v>36691.34562336946</v>
      </c>
      <c r="J1062" s="378">
        <v>39746.581077957591</v>
      </c>
      <c r="K1062" s="313"/>
      <c r="L1062" s="313"/>
    </row>
    <row r="1063" spans="1:12" x14ac:dyDescent="0.25">
      <c r="A1063" s="364">
        <v>9940787</v>
      </c>
      <c r="B1063" s="365" t="s">
        <v>682</v>
      </c>
      <c r="C1063" s="365" t="s">
        <v>2442</v>
      </c>
      <c r="D1063" s="365" t="str">
        <f t="shared" si="17"/>
        <v>9940787__ADM</v>
      </c>
      <c r="E1063" s="365" t="s">
        <v>328</v>
      </c>
      <c r="F1063" s="366">
        <v>115352</v>
      </c>
      <c r="G1063" s="367">
        <v>0.15029999999999999</v>
      </c>
      <c r="H1063" s="366">
        <v>47728.754762448574</v>
      </c>
      <c r="I1063" s="366">
        <v>32998.569863346675</v>
      </c>
      <c r="J1063" s="368">
        <v>31548.047365249331</v>
      </c>
      <c r="K1063" s="313"/>
      <c r="L1063" s="313"/>
    </row>
    <row r="1064" spans="1:12" x14ac:dyDescent="0.25">
      <c r="A1064" s="369">
        <v>9940787</v>
      </c>
      <c r="B1064" s="370" t="s">
        <v>682</v>
      </c>
      <c r="C1064" s="370" t="s">
        <v>2443</v>
      </c>
      <c r="D1064" s="370" t="str">
        <f t="shared" si="17"/>
        <v>9940787__MAN</v>
      </c>
      <c r="E1064" s="370" t="s">
        <v>328</v>
      </c>
      <c r="F1064" s="371">
        <v>169433</v>
      </c>
      <c r="G1064" s="372">
        <v>0.49669999999999997</v>
      </c>
      <c r="H1064" s="371">
        <v>21213.767081644324</v>
      </c>
      <c r="I1064" s="371">
        <v>20367.922572671236</v>
      </c>
      <c r="J1064" s="373">
        <v>20275.221299280383</v>
      </c>
      <c r="K1064" s="313"/>
      <c r="L1064" s="313"/>
    </row>
    <row r="1065" spans="1:12" x14ac:dyDescent="0.25">
      <c r="A1065" s="369">
        <v>9940787</v>
      </c>
      <c r="B1065" s="370" t="s">
        <v>682</v>
      </c>
      <c r="C1065" s="370" t="s">
        <v>2444</v>
      </c>
      <c r="D1065" s="370" t="str">
        <f t="shared" si="17"/>
        <v>9940787__PPPs</v>
      </c>
      <c r="E1065" s="370" t="s">
        <v>328</v>
      </c>
      <c r="F1065" s="371">
        <v>4192561</v>
      </c>
      <c r="G1065" s="372">
        <v>16.783999999999999</v>
      </c>
      <c r="H1065" s="371">
        <v>15534.52129841735</v>
      </c>
      <c r="I1065" s="371">
        <v>24125.615822280633</v>
      </c>
      <c r="J1065" s="373">
        <v>24448.908771949045</v>
      </c>
      <c r="K1065" s="313"/>
      <c r="L1065" s="313"/>
    </row>
    <row r="1066" spans="1:12" x14ac:dyDescent="0.25">
      <c r="A1066" s="369">
        <v>9940787</v>
      </c>
      <c r="B1066" s="370" t="s">
        <v>682</v>
      </c>
      <c r="C1066" s="370" t="s">
        <v>2445</v>
      </c>
      <c r="D1066" s="370" t="str">
        <f t="shared" si="17"/>
        <v>9940787__PPPz</v>
      </c>
      <c r="E1066" s="370" t="s">
        <v>328</v>
      </c>
      <c r="F1066" s="371">
        <v>0</v>
      </c>
      <c r="G1066" s="372">
        <v>0</v>
      </c>
      <c r="H1066" s="371">
        <v>0</v>
      </c>
      <c r="I1066" s="371">
        <v>0</v>
      </c>
      <c r="J1066" s="373">
        <v>19656.29343348063</v>
      </c>
      <c r="K1066" s="313"/>
      <c r="L1066" s="313"/>
    </row>
    <row r="1067" spans="1:12" ht="15.75" thickBot="1" x14ac:dyDescent="0.3">
      <c r="A1067" s="374">
        <v>9940787</v>
      </c>
      <c r="B1067" s="375" t="s">
        <v>682</v>
      </c>
      <c r="C1067" s="375" t="s">
        <v>2446</v>
      </c>
      <c r="D1067" s="375" t="str">
        <f t="shared" si="17"/>
        <v>9940787__VED</v>
      </c>
      <c r="E1067" s="375" t="s">
        <v>328</v>
      </c>
      <c r="F1067" s="376">
        <v>245876</v>
      </c>
      <c r="G1067" s="377">
        <v>0.3</v>
      </c>
      <c r="H1067" s="376">
        <v>50969.320066334993</v>
      </c>
      <c r="I1067" s="376">
        <v>36691.34562336946</v>
      </c>
      <c r="J1067" s="378">
        <v>39746.581077957591</v>
      </c>
      <c r="K1067" s="313"/>
      <c r="L1067" s="313"/>
    </row>
    <row r="1068" spans="1:12" x14ac:dyDescent="0.25">
      <c r="A1068" s="364">
        <v>9949795</v>
      </c>
      <c r="B1068" s="365" t="s">
        <v>690</v>
      </c>
      <c r="C1068" s="365" t="s">
        <v>2442</v>
      </c>
      <c r="D1068" s="365" t="str">
        <f t="shared" si="17"/>
        <v>9949795__ADM</v>
      </c>
      <c r="E1068" s="365" t="s">
        <v>328</v>
      </c>
      <c r="F1068" s="366">
        <v>0</v>
      </c>
      <c r="G1068" s="367">
        <v>0</v>
      </c>
      <c r="H1068" s="366">
        <v>0</v>
      </c>
      <c r="I1068" s="366">
        <v>32998.569863346675</v>
      </c>
      <c r="J1068" s="368">
        <v>31548.047365249331</v>
      </c>
      <c r="K1068" s="313"/>
      <c r="L1068" s="313"/>
    </row>
    <row r="1069" spans="1:12" x14ac:dyDescent="0.25">
      <c r="A1069" s="369">
        <v>9949795</v>
      </c>
      <c r="B1069" s="370" t="s">
        <v>690</v>
      </c>
      <c r="C1069" s="370" t="s">
        <v>2443</v>
      </c>
      <c r="D1069" s="370" t="str">
        <f t="shared" si="17"/>
        <v>9949795__MAN</v>
      </c>
      <c r="E1069" s="370" t="s">
        <v>328</v>
      </c>
      <c r="F1069" s="371">
        <v>54186</v>
      </c>
      <c r="G1069" s="372">
        <v>0.25</v>
      </c>
      <c r="H1069" s="371">
        <v>13479.10447761194</v>
      </c>
      <c r="I1069" s="371">
        <v>20367.922572671236</v>
      </c>
      <c r="J1069" s="373">
        <v>20275.221299280383</v>
      </c>
      <c r="K1069" s="313"/>
      <c r="L1069" s="313"/>
    </row>
    <row r="1070" spans="1:12" x14ac:dyDescent="0.25">
      <c r="A1070" s="369">
        <v>9949795</v>
      </c>
      <c r="B1070" s="370" t="s">
        <v>690</v>
      </c>
      <c r="C1070" s="370" t="s">
        <v>2444</v>
      </c>
      <c r="D1070" s="370" t="str">
        <f t="shared" si="17"/>
        <v>9949795__PPPs</v>
      </c>
      <c r="E1070" s="370" t="s">
        <v>328</v>
      </c>
      <c r="F1070" s="371">
        <v>694474</v>
      </c>
      <c r="G1070" s="372">
        <v>2</v>
      </c>
      <c r="H1070" s="371">
        <v>21594.3407960199</v>
      </c>
      <c r="I1070" s="371">
        <v>24125.615822280633</v>
      </c>
      <c r="J1070" s="373">
        <v>24448.908771949045</v>
      </c>
      <c r="K1070" s="313"/>
      <c r="L1070" s="313"/>
    </row>
    <row r="1071" spans="1:12" x14ac:dyDescent="0.25">
      <c r="A1071" s="369">
        <v>9949795</v>
      </c>
      <c r="B1071" s="370" t="s">
        <v>690</v>
      </c>
      <c r="C1071" s="370" t="s">
        <v>2445</v>
      </c>
      <c r="D1071" s="370" t="str">
        <f t="shared" si="17"/>
        <v>9949795__PPPz</v>
      </c>
      <c r="E1071" s="370" t="s">
        <v>328</v>
      </c>
      <c r="F1071" s="371">
        <v>0</v>
      </c>
      <c r="G1071" s="372">
        <v>0</v>
      </c>
      <c r="H1071" s="371">
        <v>0</v>
      </c>
      <c r="I1071" s="371">
        <v>0</v>
      </c>
      <c r="J1071" s="373">
        <v>19656.29343348063</v>
      </c>
      <c r="K1071" s="313"/>
      <c r="L1071" s="313"/>
    </row>
    <row r="1072" spans="1:12" ht="15.75" thickBot="1" x14ac:dyDescent="0.3">
      <c r="A1072" s="374">
        <v>9949795</v>
      </c>
      <c r="B1072" s="375" t="s">
        <v>690</v>
      </c>
      <c r="C1072" s="375" t="s">
        <v>2446</v>
      </c>
      <c r="D1072" s="375" t="str">
        <f t="shared" si="17"/>
        <v>9949795__VED</v>
      </c>
      <c r="E1072" s="375" t="s">
        <v>328</v>
      </c>
      <c r="F1072" s="376">
        <v>305797</v>
      </c>
      <c r="G1072" s="377">
        <v>0.75</v>
      </c>
      <c r="H1072" s="376">
        <v>25356.301824212271</v>
      </c>
      <c r="I1072" s="376">
        <v>36691.34562336946</v>
      </c>
      <c r="J1072" s="378">
        <v>39746.581077957591</v>
      </c>
      <c r="K1072" s="313"/>
      <c r="L1072" s="313"/>
    </row>
    <row r="1073" spans="1:12" x14ac:dyDescent="0.25">
      <c r="A1073" s="364">
        <v>1378201</v>
      </c>
      <c r="B1073" s="365" t="s">
        <v>874</v>
      </c>
      <c r="C1073" s="365" t="s">
        <v>2442</v>
      </c>
      <c r="D1073" s="365" t="str">
        <f t="shared" si="17"/>
        <v>1378201__ADM</v>
      </c>
      <c r="E1073" s="365" t="s">
        <v>876</v>
      </c>
      <c r="F1073" s="366">
        <v>80330</v>
      </c>
      <c r="G1073" s="367">
        <v>1.1000000000000001</v>
      </c>
      <c r="H1073" s="366">
        <v>4541.4970601537761</v>
      </c>
      <c r="I1073" s="366">
        <v>9282.5943810359931</v>
      </c>
      <c r="J1073" s="368">
        <v>25359.723568172387</v>
      </c>
      <c r="K1073" s="313"/>
      <c r="L1073" s="313"/>
    </row>
    <row r="1074" spans="1:12" x14ac:dyDescent="0.25">
      <c r="A1074" s="369">
        <v>1378201</v>
      </c>
      <c r="B1074" s="370" t="s">
        <v>874</v>
      </c>
      <c r="C1074" s="370" t="s">
        <v>2443</v>
      </c>
      <c r="D1074" s="370" t="str">
        <f t="shared" si="17"/>
        <v>1378201__MAN</v>
      </c>
      <c r="E1074" s="370" t="s">
        <v>876</v>
      </c>
      <c r="F1074" s="371">
        <v>0</v>
      </c>
      <c r="G1074" s="372">
        <v>0</v>
      </c>
      <c r="H1074" s="371">
        <v>0</v>
      </c>
      <c r="I1074" s="371">
        <v>0</v>
      </c>
      <c r="J1074" s="373">
        <v>19510.442258790448</v>
      </c>
      <c r="K1074" s="313"/>
      <c r="L1074" s="313"/>
    </row>
    <row r="1075" spans="1:12" x14ac:dyDescent="0.25">
      <c r="A1075" s="369">
        <v>1378201</v>
      </c>
      <c r="B1075" s="370" t="s">
        <v>874</v>
      </c>
      <c r="C1075" s="370" t="s">
        <v>2444</v>
      </c>
      <c r="D1075" s="370" t="str">
        <f t="shared" si="17"/>
        <v>1378201__PPPs</v>
      </c>
      <c r="E1075" s="370" t="s">
        <v>876</v>
      </c>
      <c r="F1075" s="371">
        <v>1098124</v>
      </c>
      <c r="G1075" s="372">
        <v>2.5270000000000001</v>
      </c>
      <c r="H1075" s="371">
        <v>27024.651180189278</v>
      </c>
      <c r="I1075" s="371">
        <v>26031.165578601303</v>
      </c>
      <c r="J1075" s="373">
        <v>24581.975096862661</v>
      </c>
      <c r="K1075" s="313"/>
      <c r="L1075" s="313"/>
    </row>
    <row r="1076" spans="1:12" x14ac:dyDescent="0.25">
      <c r="A1076" s="369">
        <v>1378201</v>
      </c>
      <c r="B1076" s="370" t="s">
        <v>874</v>
      </c>
      <c r="C1076" s="370" t="s">
        <v>2445</v>
      </c>
      <c r="D1076" s="370" t="str">
        <f t="shared" si="17"/>
        <v>1378201__PPPz</v>
      </c>
      <c r="E1076" s="370" t="s">
        <v>876</v>
      </c>
      <c r="F1076" s="371">
        <v>0</v>
      </c>
      <c r="G1076" s="372">
        <v>0</v>
      </c>
      <c r="H1076" s="371">
        <v>0</v>
      </c>
      <c r="I1076" s="371">
        <v>0</v>
      </c>
      <c r="J1076" s="373">
        <v>2176.6169154228855</v>
      </c>
      <c r="K1076" s="313"/>
      <c r="L1076" s="313"/>
    </row>
    <row r="1077" spans="1:12" ht="15.75" thickBot="1" x14ac:dyDescent="0.3">
      <c r="A1077" s="374">
        <v>1378201</v>
      </c>
      <c r="B1077" s="375" t="s">
        <v>874</v>
      </c>
      <c r="C1077" s="375" t="s">
        <v>2446</v>
      </c>
      <c r="D1077" s="375" t="str">
        <f t="shared" si="17"/>
        <v>1378201__VED</v>
      </c>
      <c r="E1077" s="375" t="s">
        <v>876</v>
      </c>
      <c r="F1077" s="376">
        <v>41368</v>
      </c>
      <c r="G1077" s="377">
        <v>6.5000000000000002E-2</v>
      </c>
      <c r="H1077" s="376">
        <v>39579.02793723689</v>
      </c>
      <c r="I1077" s="376">
        <v>22718.427709671141</v>
      </c>
      <c r="J1077" s="378">
        <v>40472.146951792965</v>
      </c>
      <c r="K1077" s="313"/>
      <c r="L1077" s="313"/>
    </row>
    <row r="1078" spans="1:12" x14ac:dyDescent="0.25">
      <c r="A1078" s="364">
        <v>7846871</v>
      </c>
      <c r="B1078" s="365" t="s">
        <v>2439</v>
      </c>
      <c r="C1078" s="365" t="s">
        <v>2442</v>
      </c>
      <c r="D1078" s="365" t="str">
        <f t="shared" si="17"/>
        <v>7846871__ADM</v>
      </c>
      <c r="E1078" s="365" t="s">
        <v>876</v>
      </c>
      <c r="F1078" s="366">
        <v>173419</v>
      </c>
      <c r="G1078" s="367">
        <v>0.6</v>
      </c>
      <c r="H1078" s="366">
        <v>17974.606135986731</v>
      </c>
      <c r="I1078" s="366">
        <v>9282.5943810359931</v>
      </c>
      <c r="J1078" s="368">
        <v>25359.723568172387</v>
      </c>
      <c r="K1078" s="313"/>
      <c r="L1078" s="313"/>
    </row>
    <row r="1079" spans="1:12" x14ac:dyDescent="0.25">
      <c r="A1079" s="369">
        <v>7846871</v>
      </c>
      <c r="B1079" s="370" t="s">
        <v>2439</v>
      </c>
      <c r="C1079" s="370" t="s">
        <v>2443</v>
      </c>
      <c r="D1079" s="370" t="str">
        <f t="shared" si="17"/>
        <v>7846871__MAN</v>
      </c>
      <c r="E1079" s="370" t="s">
        <v>876</v>
      </c>
      <c r="F1079" s="371">
        <v>0</v>
      </c>
      <c r="G1079" s="372">
        <v>0</v>
      </c>
      <c r="H1079" s="371">
        <v>0</v>
      </c>
      <c r="I1079" s="371">
        <v>0</v>
      </c>
      <c r="J1079" s="373">
        <v>19510.442258790448</v>
      </c>
      <c r="K1079" s="313"/>
      <c r="L1079" s="313"/>
    </row>
    <row r="1080" spans="1:12" x14ac:dyDescent="0.25">
      <c r="A1080" s="369">
        <v>7846871</v>
      </c>
      <c r="B1080" s="370" t="s">
        <v>2439</v>
      </c>
      <c r="C1080" s="370" t="s">
        <v>2444</v>
      </c>
      <c r="D1080" s="370" t="str">
        <f t="shared" si="17"/>
        <v>7846871__PPPs</v>
      </c>
      <c r="E1080" s="370" t="s">
        <v>876</v>
      </c>
      <c r="F1080" s="371">
        <v>1204156</v>
      </c>
      <c r="G1080" s="372">
        <v>2.9732000000000003</v>
      </c>
      <c r="H1080" s="371">
        <v>25186.776329572367</v>
      </c>
      <c r="I1080" s="371">
        <v>26031.165578601303</v>
      </c>
      <c r="J1080" s="373">
        <v>24581.975096862661</v>
      </c>
      <c r="K1080" s="313"/>
      <c r="L1080" s="313"/>
    </row>
    <row r="1081" spans="1:12" x14ac:dyDescent="0.25">
      <c r="A1081" s="369">
        <v>7846871</v>
      </c>
      <c r="B1081" s="370" t="s">
        <v>2439</v>
      </c>
      <c r="C1081" s="370" t="s">
        <v>2445</v>
      </c>
      <c r="D1081" s="370" t="str">
        <f t="shared" si="17"/>
        <v>7846871__PPPz</v>
      </c>
      <c r="E1081" s="370" t="s">
        <v>876</v>
      </c>
      <c r="F1081" s="371">
        <v>0</v>
      </c>
      <c r="G1081" s="372">
        <v>0</v>
      </c>
      <c r="H1081" s="371">
        <v>0</v>
      </c>
      <c r="I1081" s="371">
        <v>0</v>
      </c>
      <c r="J1081" s="373">
        <v>2176.6169154228855</v>
      </c>
      <c r="K1081" s="313"/>
      <c r="L1081" s="313"/>
    </row>
    <row r="1082" spans="1:12" ht="15.75" thickBot="1" x14ac:dyDescent="0.3">
      <c r="A1082" s="374">
        <v>7846871</v>
      </c>
      <c r="B1082" s="375" t="s">
        <v>2439</v>
      </c>
      <c r="C1082" s="375" t="s">
        <v>2446</v>
      </c>
      <c r="D1082" s="375" t="str">
        <f t="shared" si="17"/>
        <v>7846871__VED</v>
      </c>
      <c r="E1082" s="375" t="s">
        <v>876</v>
      </c>
      <c r="F1082" s="376">
        <v>208944</v>
      </c>
      <c r="G1082" s="377">
        <v>0.62019999999999997</v>
      </c>
      <c r="H1082" s="376">
        <v>20951.354161151678</v>
      </c>
      <c r="I1082" s="376">
        <v>22718.427709671141</v>
      </c>
      <c r="J1082" s="378">
        <v>40472.146951792965</v>
      </c>
      <c r="K1082" s="313"/>
      <c r="L1082" s="313"/>
    </row>
    <row r="1083" spans="1:12" x14ac:dyDescent="0.25">
      <c r="A1083" s="364">
        <v>3736692</v>
      </c>
      <c r="B1083" s="365" t="s">
        <v>979</v>
      </c>
      <c r="C1083" s="365" t="s">
        <v>2442</v>
      </c>
      <c r="D1083" s="365" t="str">
        <f t="shared" si="17"/>
        <v>3736692__ADM</v>
      </c>
      <c r="E1083" s="365" t="s">
        <v>989</v>
      </c>
      <c r="F1083" s="366">
        <v>21745</v>
      </c>
      <c r="G1083" s="367">
        <v>0.1</v>
      </c>
      <c r="H1083" s="366">
        <v>13523.009950248754</v>
      </c>
      <c r="I1083" s="366">
        <v>13523.009950248754</v>
      </c>
      <c r="J1083" s="368">
        <v>27878.564346987478</v>
      </c>
      <c r="K1083" s="313"/>
      <c r="L1083" s="313"/>
    </row>
    <row r="1084" spans="1:12" x14ac:dyDescent="0.25">
      <c r="A1084" s="369">
        <v>3736692</v>
      </c>
      <c r="B1084" s="370" t="s">
        <v>979</v>
      </c>
      <c r="C1084" s="370" t="s">
        <v>2443</v>
      </c>
      <c r="D1084" s="370" t="str">
        <f t="shared" si="17"/>
        <v>3736692__MAN</v>
      </c>
      <c r="E1084" s="370" t="s">
        <v>989</v>
      </c>
      <c r="F1084" s="371">
        <v>0</v>
      </c>
      <c r="G1084" s="372">
        <v>0</v>
      </c>
      <c r="H1084" s="371">
        <v>0</v>
      </c>
      <c r="I1084" s="371">
        <v>0</v>
      </c>
      <c r="J1084" s="373">
        <v>13393.0833177725</v>
      </c>
      <c r="K1084" s="313"/>
      <c r="L1084" s="313"/>
    </row>
    <row r="1085" spans="1:12" x14ac:dyDescent="0.25">
      <c r="A1085" s="369">
        <v>3736692</v>
      </c>
      <c r="B1085" s="370" t="s">
        <v>979</v>
      </c>
      <c r="C1085" s="370" t="s">
        <v>2444</v>
      </c>
      <c r="D1085" s="370" t="str">
        <f t="shared" si="17"/>
        <v>3736692__PPPs</v>
      </c>
      <c r="E1085" s="370" t="s">
        <v>989</v>
      </c>
      <c r="F1085" s="371">
        <v>529815</v>
      </c>
      <c r="G1085" s="372">
        <v>1.458</v>
      </c>
      <c r="H1085" s="371">
        <v>22598.555576029317</v>
      </c>
      <c r="I1085" s="371">
        <v>22598.555576029317</v>
      </c>
      <c r="J1085" s="373">
        <v>24910.841440127879</v>
      </c>
      <c r="K1085" s="313"/>
      <c r="L1085" s="313"/>
    </row>
    <row r="1086" spans="1:12" x14ac:dyDescent="0.25">
      <c r="A1086" s="369">
        <v>3736692</v>
      </c>
      <c r="B1086" s="370" t="s">
        <v>979</v>
      </c>
      <c r="C1086" s="370" t="s">
        <v>2445</v>
      </c>
      <c r="D1086" s="370" t="str">
        <f t="shared" si="17"/>
        <v>3736692__PPPz</v>
      </c>
      <c r="E1086" s="370" t="s">
        <v>989</v>
      </c>
      <c r="F1086" s="371">
        <v>0</v>
      </c>
      <c r="G1086" s="372">
        <v>0</v>
      </c>
      <c r="H1086" s="371">
        <v>0</v>
      </c>
      <c r="I1086" s="371">
        <v>0</v>
      </c>
      <c r="J1086" s="373">
        <v>0</v>
      </c>
      <c r="K1086" s="313"/>
      <c r="L1086" s="313"/>
    </row>
    <row r="1087" spans="1:12" ht="15.75" thickBot="1" x14ac:dyDescent="0.3">
      <c r="A1087" s="374">
        <v>3736692</v>
      </c>
      <c r="B1087" s="375" t="s">
        <v>979</v>
      </c>
      <c r="C1087" s="375" t="s">
        <v>2446</v>
      </c>
      <c r="D1087" s="375" t="str">
        <f t="shared" si="17"/>
        <v>3736692__VED</v>
      </c>
      <c r="E1087" s="375" t="s">
        <v>989</v>
      </c>
      <c r="F1087" s="376">
        <v>60103</v>
      </c>
      <c r="G1087" s="377">
        <v>0.1</v>
      </c>
      <c r="H1087" s="376">
        <v>37377.487562189053</v>
      </c>
      <c r="I1087" s="376">
        <v>37377.487562189053</v>
      </c>
      <c r="J1087" s="378">
        <v>31402.02436973458</v>
      </c>
      <c r="K1087" s="313"/>
      <c r="L1087" s="313"/>
    </row>
    <row r="1088" spans="1:12" x14ac:dyDescent="0.25">
      <c r="A1088" s="364">
        <v>1840658</v>
      </c>
      <c r="B1088" s="365" t="s">
        <v>776</v>
      </c>
      <c r="C1088" s="365" t="s">
        <v>2442</v>
      </c>
      <c r="D1088" s="365" t="str">
        <f t="shared" si="17"/>
        <v>1840658__ADM</v>
      </c>
      <c r="E1088" s="365" t="s">
        <v>273</v>
      </c>
      <c r="F1088" s="366">
        <v>484660</v>
      </c>
      <c r="G1088" s="367">
        <v>1.077</v>
      </c>
      <c r="H1088" s="366">
        <v>27985.652055414663</v>
      </c>
      <c r="I1088" s="366">
        <v>30923.659971473375</v>
      </c>
      <c r="J1088" s="368">
        <v>33320.999237779753</v>
      </c>
      <c r="K1088" s="313"/>
      <c r="L1088" s="313"/>
    </row>
    <row r="1089" spans="1:12" x14ac:dyDescent="0.25">
      <c r="A1089" s="369">
        <v>1840658</v>
      </c>
      <c r="B1089" s="370" t="s">
        <v>776</v>
      </c>
      <c r="C1089" s="370" t="s">
        <v>2443</v>
      </c>
      <c r="D1089" s="370" t="str">
        <f t="shared" si="17"/>
        <v>1840658__MAN</v>
      </c>
      <c r="E1089" s="370" t="s">
        <v>273</v>
      </c>
      <c r="F1089" s="371">
        <v>97141</v>
      </c>
      <c r="G1089" s="372">
        <v>0.252</v>
      </c>
      <c r="H1089" s="371">
        <v>23972.646687198925</v>
      </c>
      <c r="I1089" s="371">
        <v>23972.646687198925</v>
      </c>
      <c r="J1089" s="373">
        <v>27116.434732554528</v>
      </c>
      <c r="K1089" s="313"/>
      <c r="L1089" s="313"/>
    </row>
    <row r="1090" spans="1:12" x14ac:dyDescent="0.25">
      <c r="A1090" s="369">
        <v>1840658</v>
      </c>
      <c r="B1090" s="370" t="s">
        <v>776</v>
      </c>
      <c r="C1090" s="370" t="s">
        <v>2444</v>
      </c>
      <c r="D1090" s="370" t="str">
        <f t="shared" si="17"/>
        <v>1840658__PPPs</v>
      </c>
      <c r="E1090" s="370" t="s">
        <v>273</v>
      </c>
      <c r="F1090" s="371">
        <v>2461820</v>
      </c>
      <c r="G1090" s="372">
        <v>5.3</v>
      </c>
      <c r="H1090" s="371">
        <v>28886.46390688069</v>
      </c>
      <c r="I1090" s="371">
        <v>29456.501737885908</v>
      </c>
      <c r="J1090" s="373">
        <v>31439.673906348191</v>
      </c>
      <c r="K1090" s="313"/>
      <c r="L1090" s="313"/>
    </row>
    <row r="1091" spans="1:12" x14ac:dyDescent="0.25">
      <c r="A1091" s="369">
        <v>1840658</v>
      </c>
      <c r="B1091" s="370" t="s">
        <v>776</v>
      </c>
      <c r="C1091" s="370" t="s">
        <v>2445</v>
      </c>
      <c r="D1091" s="370" t="str">
        <f t="shared" si="17"/>
        <v>1840658__PPPz</v>
      </c>
      <c r="E1091" s="370" t="s">
        <v>273</v>
      </c>
      <c r="F1091" s="371">
        <v>0</v>
      </c>
      <c r="G1091" s="372">
        <v>0</v>
      </c>
      <c r="H1091" s="371">
        <v>0</v>
      </c>
      <c r="I1091" s="371">
        <v>0</v>
      </c>
      <c r="J1091" s="373">
        <v>621.89054726368158</v>
      </c>
      <c r="K1091" s="313"/>
      <c r="L1091" s="313"/>
    </row>
    <row r="1092" spans="1:12" ht="15.75" thickBot="1" x14ac:dyDescent="0.3">
      <c r="A1092" s="374">
        <v>1840658</v>
      </c>
      <c r="B1092" s="375" t="s">
        <v>776</v>
      </c>
      <c r="C1092" s="375" t="s">
        <v>2446</v>
      </c>
      <c r="D1092" s="375" t="str">
        <f t="shared" si="17"/>
        <v>1840658__VED</v>
      </c>
      <c r="E1092" s="375" t="s">
        <v>273</v>
      </c>
      <c r="F1092" s="376">
        <v>96518</v>
      </c>
      <c r="G1092" s="377">
        <v>0.1552</v>
      </c>
      <c r="H1092" s="376">
        <v>38675.020515976816</v>
      </c>
      <c r="I1092" s="376">
        <v>49840.162507756737</v>
      </c>
      <c r="J1092" s="378">
        <v>45401.363034036694</v>
      </c>
      <c r="K1092" s="313"/>
      <c r="L1092" s="313"/>
    </row>
    <row r="1093" spans="1:12" x14ac:dyDescent="0.25">
      <c r="A1093" s="364">
        <v>6447139</v>
      </c>
      <c r="B1093" s="365" t="s">
        <v>375</v>
      </c>
      <c r="C1093" s="365" t="s">
        <v>2442</v>
      </c>
      <c r="D1093" s="365" t="str">
        <f t="shared" si="17"/>
        <v>6447139__ADM</v>
      </c>
      <c r="E1093" s="365" t="s">
        <v>273</v>
      </c>
      <c r="F1093" s="366">
        <v>52671</v>
      </c>
      <c r="G1093" s="367">
        <v>3.5999999999999999E-3</v>
      </c>
      <c r="H1093" s="366">
        <v>909877.69485903822</v>
      </c>
      <c r="I1093" s="366">
        <v>30923.659971473375</v>
      </c>
      <c r="J1093" s="368">
        <v>33320.999237779753</v>
      </c>
      <c r="K1093" s="313"/>
      <c r="L1093" s="313"/>
    </row>
    <row r="1094" spans="1:12" x14ac:dyDescent="0.25">
      <c r="A1094" s="369">
        <v>6447139</v>
      </c>
      <c r="B1094" s="370" t="s">
        <v>375</v>
      </c>
      <c r="C1094" s="370" t="s">
        <v>2443</v>
      </c>
      <c r="D1094" s="370" t="str">
        <f t="shared" si="17"/>
        <v>6447139__MAN</v>
      </c>
      <c r="E1094" s="370" t="s">
        <v>273</v>
      </c>
      <c r="F1094" s="371">
        <v>0</v>
      </c>
      <c r="G1094" s="372">
        <v>0</v>
      </c>
      <c r="H1094" s="371">
        <v>0</v>
      </c>
      <c r="I1094" s="371">
        <v>23972.646687198925</v>
      </c>
      <c r="J1094" s="373">
        <v>27116.434732554528</v>
      </c>
      <c r="K1094" s="313"/>
      <c r="L1094" s="313"/>
    </row>
    <row r="1095" spans="1:12" x14ac:dyDescent="0.25">
      <c r="A1095" s="369">
        <v>6447139</v>
      </c>
      <c r="B1095" s="370" t="s">
        <v>375</v>
      </c>
      <c r="C1095" s="370" t="s">
        <v>2444</v>
      </c>
      <c r="D1095" s="370" t="str">
        <f t="shared" si="17"/>
        <v>6447139__PPPs</v>
      </c>
      <c r="E1095" s="370" t="s">
        <v>273</v>
      </c>
      <c r="F1095" s="371">
        <v>995902</v>
      </c>
      <c r="G1095" s="372">
        <v>2</v>
      </c>
      <c r="H1095" s="371">
        <v>30967.101990049749</v>
      </c>
      <c r="I1095" s="371">
        <v>29456.501737885908</v>
      </c>
      <c r="J1095" s="373">
        <v>31439.673906348191</v>
      </c>
      <c r="K1095" s="313"/>
      <c r="L1095" s="313"/>
    </row>
    <row r="1096" spans="1:12" x14ac:dyDescent="0.25">
      <c r="A1096" s="369">
        <v>6447139</v>
      </c>
      <c r="B1096" s="370" t="s">
        <v>375</v>
      </c>
      <c r="C1096" s="370" t="s">
        <v>2445</v>
      </c>
      <c r="D1096" s="370" t="str">
        <f t="shared" si="17"/>
        <v>6447139__PPPz</v>
      </c>
      <c r="E1096" s="370" t="s">
        <v>273</v>
      </c>
      <c r="F1096" s="371">
        <v>0</v>
      </c>
      <c r="G1096" s="372">
        <v>0</v>
      </c>
      <c r="H1096" s="371">
        <v>0</v>
      </c>
      <c r="I1096" s="371">
        <v>0</v>
      </c>
      <c r="J1096" s="373">
        <v>621.89054726368158</v>
      </c>
      <c r="K1096" s="313"/>
      <c r="L1096" s="313"/>
    </row>
    <row r="1097" spans="1:12" ht="15.75" thickBot="1" x14ac:dyDescent="0.3">
      <c r="A1097" s="374">
        <v>6447139</v>
      </c>
      <c r="B1097" s="375" t="s">
        <v>375</v>
      </c>
      <c r="C1097" s="375" t="s">
        <v>2446</v>
      </c>
      <c r="D1097" s="375" t="str">
        <f t="shared" si="17"/>
        <v>6447139__VED</v>
      </c>
      <c r="E1097" s="375" t="s">
        <v>273</v>
      </c>
      <c r="F1097" s="376">
        <v>87891</v>
      </c>
      <c r="G1097" s="377">
        <v>7.4899999999999994E-2</v>
      </c>
      <c r="H1097" s="376">
        <v>72975.409999402196</v>
      </c>
      <c r="I1097" s="376">
        <v>49840.162507756737</v>
      </c>
      <c r="J1097" s="378">
        <v>45401.363034036694</v>
      </c>
      <c r="K1097" s="313"/>
      <c r="L1097" s="313"/>
    </row>
    <row r="1098" spans="1:12" x14ac:dyDescent="0.25">
      <c r="A1098" s="364">
        <v>1272659</v>
      </c>
      <c r="B1098" s="365" t="s">
        <v>647</v>
      </c>
      <c r="C1098" s="365" t="s">
        <v>2442</v>
      </c>
      <c r="D1098" s="365" t="str">
        <f t="shared" si="17"/>
        <v>1272659__ADM</v>
      </c>
      <c r="E1098" s="365" t="s">
        <v>342</v>
      </c>
      <c r="F1098" s="366">
        <v>0</v>
      </c>
      <c r="G1098" s="367">
        <v>0</v>
      </c>
      <c r="H1098" s="366">
        <v>0</v>
      </c>
      <c r="I1098" s="366">
        <v>41457.667112282092</v>
      </c>
      <c r="J1098" s="368">
        <v>33396.466964425337</v>
      </c>
      <c r="K1098" s="313"/>
      <c r="L1098" s="313"/>
    </row>
    <row r="1099" spans="1:12" x14ac:dyDescent="0.25">
      <c r="A1099" s="369">
        <v>1272659</v>
      </c>
      <c r="B1099" s="370" t="s">
        <v>647</v>
      </c>
      <c r="C1099" s="370" t="s">
        <v>2443</v>
      </c>
      <c r="D1099" s="370" t="str">
        <f t="shared" si="17"/>
        <v>1272659__MAN</v>
      </c>
      <c r="E1099" s="370" t="s">
        <v>342</v>
      </c>
      <c r="F1099" s="371">
        <v>0</v>
      </c>
      <c r="G1099" s="372">
        <v>0</v>
      </c>
      <c r="H1099" s="371">
        <v>0</v>
      </c>
      <c r="I1099" s="371">
        <v>17994.073998607644</v>
      </c>
      <c r="J1099" s="373">
        <v>20667.193457173464</v>
      </c>
      <c r="K1099" s="313"/>
      <c r="L1099" s="313"/>
    </row>
    <row r="1100" spans="1:12" x14ac:dyDescent="0.25">
      <c r="A1100" s="369">
        <v>1272659</v>
      </c>
      <c r="B1100" s="370" t="s">
        <v>647</v>
      </c>
      <c r="C1100" s="370" t="s">
        <v>2444</v>
      </c>
      <c r="D1100" s="370" t="str">
        <f t="shared" si="17"/>
        <v>1272659__PPPs</v>
      </c>
      <c r="E1100" s="370" t="s">
        <v>342</v>
      </c>
      <c r="F1100" s="371">
        <v>898168</v>
      </c>
      <c r="G1100" s="372">
        <v>2.1</v>
      </c>
      <c r="H1100" s="371">
        <v>26598.19947879649</v>
      </c>
      <c r="I1100" s="371">
        <v>26857.228949262786</v>
      </c>
      <c r="J1100" s="373">
        <v>26364.572073040395</v>
      </c>
      <c r="K1100" s="313"/>
      <c r="L1100" s="313"/>
    </row>
    <row r="1101" spans="1:12" x14ac:dyDescent="0.25">
      <c r="A1101" s="369">
        <v>1272659</v>
      </c>
      <c r="B1101" s="370" t="s">
        <v>647</v>
      </c>
      <c r="C1101" s="370" t="s">
        <v>2445</v>
      </c>
      <c r="D1101" s="370" t="str">
        <f t="shared" si="17"/>
        <v>1272659__PPPz</v>
      </c>
      <c r="E1101" s="370" t="s">
        <v>342</v>
      </c>
      <c r="F1101" s="371">
        <v>0</v>
      </c>
      <c r="G1101" s="372">
        <v>0</v>
      </c>
      <c r="H1101" s="371">
        <v>0</v>
      </c>
      <c r="I1101" s="371">
        <v>0</v>
      </c>
      <c r="J1101" s="373">
        <v>36225.124378109445</v>
      </c>
      <c r="K1101" s="313"/>
      <c r="L1101" s="313"/>
    </row>
    <row r="1102" spans="1:12" ht="15.75" thickBot="1" x14ac:dyDescent="0.3">
      <c r="A1102" s="374">
        <v>1272659</v>
      </c>
      <c r="B1102" s="375" t="s">
        <v>647</v>
      </c>
      <c r="C1102" s="375" t="s">
        <v>2446</v>
      </c>
      <c r="D1102" s="375" t="str">
        <f t="shared" si="17"/>
        <v>1272659__VED</v>
      </c>
      <c r="E1102" s="375" t="s">
        <v>342</v>
      </c>
      <c r="F1102" s="376">
        <v>0</v>
      </c>
      <c r="G1102" s="377">
        <v>0</v>
      </c>
      <c r="H1102" s="376">
        <v>0</v>
      </c>
      <c r="I1102" s="376">
        <v>31250.891319211569</v>
      </c>
      <c r="J1102" s="378">
        <v>37895.675827330677</v>
      </c>
      <c r="K1102" s="313"/>
      <c r="L1102" s="313"/>
    </row>
    <row r="1103" spans="1:12" x14ac:dyDescent="0.25">
      <c r="A1103" s="364">
        <v>1907533</v>
      </c>
      <c r="B1103" s="365" t="s">
        <v>805</v>
      </c>
      <c r="C1103" s="365" t="s">
        <v>2442</v>
      </c>
      <c r="D1103" s="365" t="str">
        <f t="shared" si="17"/>
        <v>1907533__ADM</v>
      </c>
      <c r="E1103" s="365" t="s">
        <v>342</v>
      </c>
      <c r="F1103" s="366">
        <v>328540</v>
      </c>
      <c r="G1103" s="367">
        <v>0.68720000000000003</v>
      </c>
      <c r="H1103" s="366">
        <v>29731.653142900166</v>
      </c>
      <c r="I1103" s="366">
        <v>41457.667112282092</v>
      </c>
      <c r="J1103" s="368">
        <v>33396.466964425337</v>
      </c>
      <c r="K1103" s="313"/>
      <c r="L1103" s="313"/>
    </row>
    <row r="1104" spans="1:12" x14ac:dyDescent="0.25">
      <c r="A1104" s="369">
        <v>1907533</v>
      </c>
      <c r="B1104" s="370" t="s">
        <v>805</v>
      </c>
      <c r="C1104" s="370" t="s">
        <v>2443</v>
      </c>
      <c r="D1104" s="370" t="str">
        <f t="shared" si="17"/>
        <v>1907533__MAN</v>
      </c>
      <c r="E1104" s="370" t="s">
        <v>342</v>
      </c>
      <c r="F1104" s="371">
        <v>84778</v>
      </c>
      <c r="G1104" s="372">
        <v>0.29299999999999998</v>
      </c>
      <c r="H1104" s="371">
        <v>17994.073998607644</v>
      </c>
      <c r="I1104" s="371">
        <v>17994.073998607644</v>
      </c>
      <c r="J1104" s="373">
        <v>20667.193457173464</v>
      </c>
      <c r="K1104" s="313"/>
      <c r="L1104" s="313"/>
    </row>
    <row r="1105" spans="1:12" x14ac:dyDescent="0.25">
      <c r="A1105" s="369">
        <v>1907533</v>
      </c>
      <c r="B1105" s="370" t="s">
        <v>805</v>
      </c>
      <c r="C1105" s="370" t="s">
        <v>2444</v>
      </c>
      <c r="D1105" s="370" t="str">
        <f t="shared" si="17"/>
        <v>1907533__PPPs</v>
      </c>
      <c r="E1105" s="370" t="s">
        <v>342</v>
      </c>
      <c r="F1105" s="371">
        <v>2694163</v>
      </c>
      <c r="G1105" s="372">
        <v>6.7056000000000004</v>
      </c>
      <c r="H1105" s="371">
        <v>24986.198140174813</v>
      </c>
      <c r="I1105" s="371">
        <v>26857.228949262786</v>
      </c>
      <c r="J1105" s="373">
        <v>26364.572073040395</v>
      </c>
      <c r="K1105" s="313"/>
      <c r="L1105" s="313"/>
    </row>
    <row r="1106" spans="1:12" x14ac:dyDescent="0.25">
      <c r="A1106" s="369">
        <v>1907533</v>
      </c>
      <c r="B1106" s="370" t="s">
        <v>805</v>
      </c>
      <c r="C1106" s="370" t="s">
        <v>2445</v>
      </c>
      <c r="D1106" s="370" t="str">
        <f t="shared" si="17"/>
        <v>1907533__PPPz</v>
      </c>
      <c r="E1106" s="370" t="s">
        <v>342</v>
      </c>
      <c r="F1106" s="371">
        <v>0</v>
      </c>
      <c r="G1106" s="372">
        <v>0</v>
      </c>
      <c r="H1106" s="371">
        <v>0</v>
      </c>
      <c r="I1106" s="371">
        <v>0</v>
      </c>
      <c r="J1106" s="373">
        <v>36225.124378109445</v>
      </c>
      <c r="K1106" s="313"/>
      <c r="L1106" s="313"/>
    </row>
    <row r="1107" spans="1:12" ht="15.75" thickBot="1" x14ac:dyDescent="0.3">
      <c r="A1107" s="374">
        <v>1907533</v>
      </c>
      <c r="B1107" s="375" t="s">
        <v>805</v>
      </c>
      <c r="C1107" s="375" t="s">
        <v>2446</v>
      </c>
      <c r="D1107" s="375" t="str">
        <f t="shared" si="17"/>
        <v>1907533__VED</v>
      </c>
      <c r="E1107" s="375" t="s">
        <v>342</v>
      </c>
      <c r="F1107" s="376">
        <v>603729</v>
      </c>
      <c r="G1107" s="377">
        <v>1.1165</v>
      </c>
      <c r="H1107" s="376">
        <v>33627.707855705798</v>
      </c>
      <c r="I1107" s="376">
        <v>31250.891319211569</v>
      </c>
      <c r="J1107" s="378">
        <v>37895.675827330677</v>
      </c>
      <c r="K1107" s="313"/>
      <c r="L1107" s="313"/>
    </row>
    <row r="1108" spans="1:12" x14ac:dyDescent="0.25">
      <c r="A1108" s="364">
        <v>2584331</v>
      </c>
      <c r="B1108" s="365" t="s">
        <v>805</v>
      </c>
      <c r="C1108" s="365" t="s">
        <v>2442</v>
      </c>
      <c r="D1108" s="365" t="str">
        <f t="shared" si="17"/>
        <v>2584331__ADM</v>
      </c>
      <c r="E1108" s="365" t="s">
        <v>342</v>
      </c>
      <c r="F1108" s="366">
        <v>118274</v>
      </c>
      <c r="G1108" s="367">
        <v>0.2467</v>
      </c>
      <c r="H1108" s="366">
        <v>29814.950379839756</v>
      </c>
      <c r="I1108" s="366">
        <v>41457.667112282092</v>
      </c>
      <c r="J1108" s="368">
        <v>33396.466964425337</v>
      </c>
      <c r="K1108" s="313"/>
      <c r="L1108" s="313"/>
    </row>
    <row r="1109" spans="1:12" x14ac:dyDescent="0.25">
      <c r="A1109" s="369">
        <v>2584331</v>
      </c>
      <c r="B1109" s="370" t="s">
        <v>805</v>
      </c>
      <c r="C1109" s="370" t="s">
        <v>2443</v>
      </c>
      <c r="D1109" s="370" t="str">
        <f t="shared" si="17"/>
        <v>2584331__MAN</v>
      </c>
      <c r="E1109" s="370" t="s">
        <v>342</v>
      </c>
      <c r="F1109" s="371">
        <v>0</v>
      </c>
      <c r="G1109" s="372">
        <v>0</v>
      </c>
      <c r="H1109" s="371">
        <v>0</v>
      </c>
      <c r="I1109" s="371">
        <v>17994.073998607644</v>
      </c>
      <c r="J1109" s="373">
        <v>20667.193457173464</v>
      </c>
      <c r="K1109" s="313"/>
      <c r="L1109" s="313"/>
    </row>
    <row r="1110" spans="1:12" x14ac:dyDescent="0.25">
      <c r="A1110" s="369">
        <v>2584331</v>
      </c>
      <c r="B1110" s="370" t="s">
        <v>805</v>
      </c>
      <c r="C1110" s="370" t="s">
        <v>2444</v>
      </c>
      <c r="D1110" s="370" t="str">
        <f t="shared" si="17"/>
        <v>2584331__PPPs</v>
      </c>
      <c r="E1110" s="370" t="s">
        <v>342</v>
      </c>
      <c r="F1110" s="371">
        <v>1291529</v>
      </c>
      <c r="G1110" s="372">
        <v>3.1139999999999999</v>
      </c>
      <c r="H1110" s="371">
        <v>25792.860520774422</v>
      </c>
      <c r="I1110" s="371">
        <v>26857.228949262786</v>
      </c>
      <c r="J1110" s="373">
        <v>26364.572073040395</v>
      </c>
      <c r="K1110" s="313"/>
      <c r="L1110" s="313"/>
    </row>
    <row r="1111" spans="1:12" x14ac:dyDescent="0.25">
      <c r="A1111" s="369">
        <v>2584331</v>
      </c>
      <c r="B1111" s="370" t="s">
        <v>805</v>
      </c>
      <c r="C1111" s="370" t="s">
        <v>2445</v>
      </c>
      <c r="D1111" s="370" t="str">
        <f t="shared" si="17"/>
        <v>2584331__PPPz</v>
      </c>
      <c r="E1111" s="370" t="s">
        <v>342</v>
      </c>
      <c r="F1111" s="371">
        <v>0</v>
      </c>
      <c r="G1111" s="372">
        <v>0</v>
      </c>
      <c r="H1111" s="371">
        <v>0</v>
      </c>
      <c r="I1111" s="371">
        <v>0</v>
      </c>
      <c r="J1111" s="373">
        <v>36225.124378109445</v>
      </c>
      <c r="K1111" s="313"/>
      <c r="L1111" s="313"/>
    </row>
    <row r="1112" spans="1:12" ht="15.75" thickBot="1" x14ac:dyDescent="0.3">
      <c r="A1112" s="374">
        <v>2584331</v>
      </c>
      <c r="B1112" s="375" t="s">
        <v>805</v>
      </c>
      <c r="C1112" s="375" t="s">
        <v>2446</v>
      </c>
      <c r="D1112" s="375" t="str">
        <f t="shared" si="17"/>
        <v>2584331__VED</v>
      </c>
      <c r="E1112" s="375" t="s">
        <v>342</v>
      </c>
      <c r="F1112" s="376">
        <v>56681</v>
      </c>
      <c r="G1112" s="377">
        <v>9.2999999999999999E-2</v>
      </c>
      <c r="H1112" s="376">
        <v>37902.557106938424</v>
      </c>
      <c r="I1112" s="376">
        <v>31250.891319211569</v>
      </c>
      <c r="J1112" s="378">
        <v>37895.675827330677</v>
      </c>
      <c r="K1112" s="313"/>
      <c r="L1112" s="313"/>
    </row>
    <row r="1113" spans="1:12" x14ac:dyDescent="0.25">
      <c r="A1113" s="364">
        <v>2788586</v>
      </c>
      <c r="B1113" s="365" t="s">
        <v>826</v>
      </c>
      <c r="C1113" s="365" t="s">
        <v>2442</v>
      </c>
      <c r="D1113" s="365" t="str">
        <f t="shared" si="17"/>
        <v>2788586__ADM</v>
      </c>
      <c r="E1113" s="365" t="s">
        <v>342</v>
      </c>
      <c r="F1113" s="366">
        <v>4572</v>
      </c>
      <c r="G1113" s="367">
        <v>0.01</v>
      </c>
      <c r="H1113" s="366">
        <v>28432.835820895521</v>
      </c>
      <c r="I1113" s="366">
        <v>41457.667112282092</v>
      </c>
      <c r="J1113" s="368">
        <v>33396.466964425337</v>
      </c>
      <c r="K1113" s="313"/>
      <c r="L1113" s="313"/>
    </row>
    <row r="1114" spans="1:12" x14ac:dyDescent="0.25">
      <c r="A1114" s="369">
        <v>2788586</v>
      </c>
      <c r="B1114" s="370" t="s">
        <v>826</v>
      </c>
      <c r="C1114" s="370" t="s">
        <v>2443</v>
      </c>
      <c r="D1114" s="370" t="str">
        <f t="shared" si="17"/>
        <v>2788586__MAN</v>
      </c>
      <c r="E1114" s="370" t="s">
        <v>342</v>
      </c>
      <c r="F1114" s="371">
        <v>0</v>
      </c>
      <c r="G1114" s="372">
        <v>0</v>
      </c>
      <c r="H1114" s="371">
        <v>0</v>
      </c>
      <c r="I1114" s="371">
        <v>17994.073998607644</v>
      </c>
      <c r="J1114" s="373">
        <v>20667.193457173464</v>
      </c>
      <c r="K1114" s="313"/>
      <c r="L1114" s="313"/>
    </row>
    <row r="1115" spans="1:12" x14ac:dyDescent="0.25">
      <c r="A1115" s="369">
        <v>2788586</v>
      </c>
      <c r="B1115" s="370" t="s">
        <v>826</v>
      </c>
      <c r="C1115" s="370" t="s">
        <v>2444</v>
      </c>
      <c r="D1115" s="370" t="str">
        <f t="shared" si="17"/>
        <v>2788586__PPPs</v>
      </c>
      <c r="E1115" s="370" t="s">
        <v>342</v>
      </c>
      <c r="F1115" s="371">
        <v>982177</v>
      </c>
      <c r="G1115" s="372">
        <v>2.04</v>
      </c>
      <c r="H1115" s="371">
        <v>29941.499609794166</v>
      </c>
      <c r="I1115" s="371">
        <v>26857.228949262786</v>
      </c>
      <c r="J1115" s="373">
        <v>26364.572073040395</v>
      </c>
      <c r="K1115" s="313"/>
      <c r="L1115" s="313"/>
    </row>
    <row r="1116" spans="1:12" x14ac:dyDescent="0.25">
      <c r="A1116" s="369">
        <v>2788586</v>
      </c>
      <c r="B1116" s="370" t="s">
        <v>826</v>
      </c>
      <c r="C1116" s="370" t="s">
        <v>2445</v>
      </c>
      <c r="D1116" s="370" t="str">
        <f t="shared" si="17"/>
        <v>2788586__PPPz</v>
      </c>
      <c r="E1116" s="370" t="s">
        <v>342</v>
      </c>
      <c r="F1116" s="371">
        <v>0</v>
      </c>
      <c r="G1116" s="372">
        <v>0</v>
      </c>
      <c r="H1116" s="371">
        <v>0</v>
      </c>
      <c r="I1116" s="371">
        <v>0</v>
      </c>
      <c r="J1116" s="373">
        <v>36225.124378109445</v>
      </c>
      <c r="K1116" s="313"/>
      <c r="L1116" s="313"/>
    </row>
    <row r="1117" spans="1:12" ht="15.75" thickBot="1" x14ac:dyDescent="0.3">
      <c r="A1117" s="374">
        <v>2788586</v>
      </c>
      <c r="B1117" s="375" t="s">
        <v>826</v>
      </c>
      <c r="C1117" s="375" t="s">
        <v>2446</v>
      </c>
      <c r="D1117" s="375" t="str">
        <f t="shared" si="17"/>
        <v>2788586__VED</v>
      </c>
      <c r="E1117" s="375" t="s">
        <v>342</v>
      </c>
      <c r="F1117" s="376">
        <v>4029</v>
      </c>
      <c r="G1117" s="377">
        <v>0.25</v>
      </c>
      <c r="H1117" s="376">
        <v>1002.2388059701492</v>
      </c>
      <c r="I1117" s="376">
        <v>31250.891319211569</v>
      </c>
      <c r="J1117" s="378">
        <v>37895.675827330677</v>
      </c>
      <c r="K1117" s="313"/>
      <c r="L1117" s="313"/>
    </row>
    <row r="1118" spans="1:12" x14ac:dyDescent="0.25">
      <c r="A1118" s="364">
        <v>3148048</v>
      </c>
      <c r="B1118" s="365" t="s">
        <v>375</v>
      </c>
      <c r="C1118" s="365" t="s">
        <v>2442</v>
      </c>
      <c r="D1118" s="365" t="str">
        <f t="shared" si="17"/>
        <v>3148048__ADM</v>
      </c>
      <c r="E1118" s="365" t="s">
        <v>342</v>
      </c>
      <c r="F1118" s="366">
        <v>37771</v>
      </c>
      <c r="G1118" s="367">
        <v>3.5999999999999999E-3</v>
      </c>
      <c r="H1118" s="366">
        <v>652484.1072415699</v>
      </c>
      <c r="I1118" s="366">
        <v>41457.667112282092</v>
      </c>
      <c r="J1118" s="368">
        <v>33396.466964425337</v>
      </c>
      <c r="K1118" s="313"/>
      <c r="L1118" s="313"/>
    </row>
    <row r="1119" spans="1:12" x14ac:dyDescent="0.25">
      <c r="A1119" s="369">
        <v>3148048</v>
      </c>
      <c r="B1119" s="370" t="s">
        <v>375</v>
      </c>
      <c r="C1119" s="370" t="s">
        <v>2443</v>
      </c>
      <c r="D1119" s="370" t="str">
        <f t="shared" si="17"/>
        <v>3148048__MAN</v>
      </c>
      <c r="E1119" s="370" t="s">
        <v>342</v>
      </c>
      <c r="F1119" s="371">
        <v>0</v>
      </c>
      <c r="G1119" s="372">
        <v>0</v>
      </c>
      <c r="H1119" s="371">
        <v>0</v>
      </c>
      <c r="I1119" s="371">
        <v>17994.073998607644</v>
      </c>
      <c r="J1119" s="373">
        <v>20667.193457173464</v>
      </c>
      <c r="K1119" s="313"/>
      <c r="L1119" s="313"/>
    </row>
    <row r="1120" spans="1:12" x14ac:dyDescent="0.25">
      <c r="A1120" s="369">
        <v>3148048</v>
      </c>
      <c r="B1120" s="370" t="s">
        <v>375</v>
      </c>
      <c r="C1120" s="370" t="s">
        <v>2444</v>
      </c>
      <c r="D1120" s="370" t="str">
        <f t="shared" si="17"/>
        <v>3148048__PPPs</v>
      </c>
      <c r="E1120" s="370" t="s">
        <v>342</v>
      </c>
      <c r="F1120" s="371">
        <v>1021436</v>
      </c>
      <c r="G1120" s="372">
        <v>2.02</v>
      </c>
      <c r="H1120" s="371">
        <v>31446.603615585434</v>
      </c>
      <c r="I1120" s="371">
        <v>26857.228949262786</v>
      </c>
      <c r="J1120" s="373">
        <v>26364.572073040395</v>
      </c>
      <c r="K1120" s="313"/>
      <c r="L1120" s="313"/>
    </row>
    <row r="1121" spans="1:12" x14ac:dyDescent="0.25">
      <c r="A1121" s="369">
        <v>3148048</v>
      </c>
      <c r="B1121" s="370" t="s">
        <v>375</v>
      </c>
      <c r="C1121" s="370" t="s">
        <v>2445</v>
      </c>
      <c r="D1121" s="370" t="str">
        <f t="shared" si="17"/>
        <v>3148048__PPPz</v>
      </c>
      <c r="E1121" s="370" t="s">
        <v>342</v>
      </c>
      <c r="F1121" s="371">
        <v>0</v>
      </c>
      <c r="G1121" s="372">
        <v>0</v>
      </c>
      <c r="H1121" s="371">
        <v>0</v>
      </c>
      <c r="I1121" s="371">
        <v>0</v>
      </c>
      <c r="J1121" s="373">
        <v>36225.124378109445</v>
      </c>
      <c r="K1121" s="313"/>
      <c r="L1121" s="313"/>
    </row>
    <row r="1122" spans="1:12" ht="15.75" thickBot="1" x14ac:dyDescent="0.3">
      <c r="A1122" s="374">
        <v>3148048</v>
      </c>
      <c r="B1122" s="375" t="s">
        <v>375</v>
      </c>
      <c r="C1122" s="375" t="s">
        <v>2446</v>
      </c>
      <c r="D1122" s="375" t="str">
        <f t="shared" ref="D1122:D1185" si="18">CONCATENATE(A1122,"__",C1122)</f>
        <v>3148048__VED</v>
      </c>
      <c r="E1122" s="375" t="s">
        <v>342</v>
      </c>
      <c r="F1122" s="376">
        <v>87892</v>
      </c>
      <c r="G1122" s="377">
        <v>7.4899999999999994E-2</v>
      </c>
      <c r="H1122" s="376">
        <v>72976.240293857816</v>
      </c>
      <c r="I1122" s="376">
        <v>31250.891319211569</v>
      </c>
      <c r="J1122" s="378">
        <v>37895.675827330677</v>
      </c>
      <c r="K1122" s="313"/>
      <c r="L1122" s="313"/>
    </row>
    <row r="1123" spans="1:12" x14ac:dyDescent="0.25">
      <c r="A1123" s="364">
        <v>3588592</v>
      </c>
      <c r="B1123" s="365" t="s">
        <v>909</v>
      </c>
      <c r="C1123" s="365" t="s">
        <v>2442</v>
      </c>
      <c r="D1123" s="365" t="str">
        <f t="shared" si="18"/>
        <v>3588592__ADM</v>
      </c>
      <c r="E1123" s="365" t="s">
        <v>342</v>
      </c>
      <c r="F1123" s="366">
        <v>74768</v>
      </c>
      <c r="G1123" s="367">
        <v>0.14000000000000001</v>
      </c>
      <c r="H1123" s="366">
        <v>33212.508884150673</v>
      </c>
      <c r="I1123" s="366">
        <v>41457.667112282092</v>
      </c>
      <c r="J1123" s="368">
        <v>33396.466964425337</v>
      </c>
      <c r="K1123" s="313"/>
      <c r="L1123" s="313"/>
    </row>
    <row r="1124" spans="1:12" x14ac:dyDescent="0.25">
      <c r="A1124" s="369">
        <v>3588592</v>
      </c>
      <c r="B1124" s="370" t="s">
        <v>909</v>
      </c>
      <c r="C1124" s="370" t="s">
        <v>2443</v>
      </c>
      <c r="D1124" s="370" t="str">
        <f t="shared" si="18"/>
        <v>3588592__MAN</v>
      </c>
      <c r="E1124" s="370" t="s">
        <v>342</v>
      </c>
      <c r="F1124" s="371">
        <v>0</v>
      </c>
      <c r="G1124" s="372">
        <v>0</v>
      </c>
      <c r="H1124" s="371">
        <v>0</v>
      </c>
      <c r="I1124" s="371">
        <v>17994.073998607644</v>
      </c>
      <c r="J1124" s="373">
        <v>20667.193457173464</v>
      </c>
      <c r="K1124" s="313"/>
      <c r="L1124" s="313"/>
    </row>
    <row r="1125" spans="1:12" x14ac:dyDescent="0.25">
      <c r="A1125" s="369">
        <v>3588592</v>
      </c>
      <c r="B1125" s="370" t="s">
        <v>909</v>
      </c>
      <c r="C1125" s="370" t="s">
        <v>2444</v>
      </c>
      <c r="D1125" s="370" t="str">
        <f t="shared" si="18"/>
        <v>3588592__PPPs</v>
      </c>
      <c r="E1125" s="370" t="s">
        <v>342</v>
      </c>
      <c r="F1125" s="371">
        <v>794715</v>
      </c>
      <c r="G1125" s="372">
        <v>1.9500000000000002</v>
      </c>
      <c r="H1125" s="371">
        <v>25344.910065059314</v>
      </c>
      <c r="I1125" s="371">
        <v>26857.228949262786</v>
      </c>
      <c r="J1125" s="373">
        <v>26364.572073040395</v>
      </c>
      <c r="K1125" s="313"/>
      <c r="L1125" s="313"/>
    </row>
    <row r="1126" spans="1:12" x14ac:dyDescent="0.25">
      <c r="A1126" s="369">
        <v>3588592</v>
      </c>
      <c r="B1126" s="370" t="s">
        <v>909</v>
      </c>
      <c r="C1126" s="370" t="s">
        <v>2445</v>
      </c>
      <c r="D1126" s="370" t="str">
        <f t="shared" si="18"/>
        <v>3588592__PPPz</v>
      </c>
      <c r="E1126" s="370" t="s">
        <v>342</v>
      </c>
      <c r="F1126" s="371">
        <v>0</v>
      </c>
      <c r="G1126" s="372">
        <v>0</v>
      </c>
      <c r="H1126" s="371">
        <v>0</v>
      </c>
      <c r="I1126" s="371">
        <v>0</v>
      </c>
      <c r="J1126" s="373">
        <v>36225.124378109445</v>
      </c>
      <c r="K1126" s="313"/>
      <c r="L1126" s="313"/>
    </row>
    <row r="1127" spans="1:12" ht="15.75" thickBot="1" x14ac:dyDescent="0.3">
      <c r="A1127" s="374">
        <v>3588592</v>
      </c>
      <c r="B1127" s="375" t="s">
        <v>909</v>
      </c>
      <c r="C1127" s="375" t="s">
        <v>2446</v>
      </c>
      <c r="D1127" s="375" t="str">
        <f t="shared" si="18"/>
        <v>3588592__VED</v>
      </c>
      <c r="E1127" s="375" t="s">
        <v>342</v>
      </c>
      <c r="F1127" s="376">
        <v>93107</v>
      </c>
      <c r="G1127" s="377">
        <v>0.14000000000000001</v>
      </c>
      <c r="H1127" s="376">
        <v>41358.830845771132</v>
      </c>
      <c r="I1127" s="376">
        <v>31250.891319211569</v>
      </c>
      <c r="J1127" s="378">
        <v>37895.675827330677</v>
      </c>
      <c r="K1127" s="313"/>
      <c r="L1127" s="313"/>
    </row>
    <row r="1128" spans="1:12" x14ac:dyDescent="0.25">
      <c r="A1128" s="364">
        <v>4467429</v>
      </c>
      <c r="B1128" s="365" t="s">
        <v>909</v>
      </c>
      <c r="C1128" s="365" t="s">
        <v>2442</v>
      </c>
      <c r="D1128" s="365" t="str">
        <f t="shared" si="18"/>
        <v>4467429__ADM</v>
      </c>
      <c r="E1128" s="365" t="s">
        <v>342</v>
      </c>
      <c r="F1128" s="366">
        <v>165172</v>
      </c>
      <c r="G1128" s="367">
        <v>0.32</v>
      </c>
      <c r="H1128" s="366">
        <v>32099.657960199002</v>
      </c>
      <c r="I1128" s="366">
        <v>41457.667112282092</v>
      </c>
      <c r="J1128" s="368">
        <v>33396.466964425337</v>
      </c>
      <c r="K1128" s="313"/>
      <c r="L1128" s="313"/>
    </row>
    <row r="1129" spans="1:12" x14ac:dyDescent="0.25">
      <c r="A1129" s="369">
        <v>4467429</v>
      </c>
      <c r="B1129" s="370" t="s">
        <v>909</v>
      </c>
      <c r="C1129" s="370" t="s">
        <v>2443</v>
      </c>
      <c r="D1129" s="370" t="str">
        <f t="shared" si="18"/>
        <v>4467429__MAN</v>
      </c>
      <c r="E1129" s="370" t="s">
        <v>342</v>
      </c>
      <c r="F1129" s="371">
        <v>0</v>
      </c>
      <c r="G1129" s="372">
        <v>0</v>
      </c>
      <c r="H1129" s="371">
        <v>0</v>
      </c>
      <c r="I1129" s="371">
        <v>17994.073998607644</v>
      </c>
      <c r="J1129" s="373">
        <v>20667.193457173464</v>
      </c>
      <c r="K1129" s="313"/>
      <c r="L1129" s="313"/>
    </row>
    <row r="1130" spans="1:12" x14ac:dyDescent="0.25">
      <c r="A1130" s="369">
        <v>4467429</v>
      </c>
      <c r="B1130" s="370" t="s">
        <v>909</v>
      </c>
      <c r="C1130" s="370" t="s">
        <v>2444</v>
      </c>
      <c r="D1130" s="370" t="str">
        <f t="shared" si="18"/>
        <v>4467429__PPPs</v>
      </c>
      <c r="E1130" s="370" t="s">
        <v>342</v>
      </c>
      <c r="F1130" s="371">
        <v>1705496</v>
      </c>
      <c r="G1130" s="372">
        <v>4.173</v>
      </c>
      <c r="H1130" s="371">
        <v>25416.531051905582</v>
      </c>
      <c r="I1130" s="371">
        <v>26857.228949262786</v>
      </c>
      <c r="J1130" s="373">
        <v>26364.572073040395</v>
      </c>
      <c r="K1130" s="313"/>
      <c r="L1130" s="313"/>
    </row>
    <row r="1131" spans="1:12" x14ac:dyDescent="0.25">
      <c r="A1131" s="369">
        <v>4467429</v>
      </c>
      <c r="B1131" s="370" t="s">
        <v>909</v>
      </c>
      <c r="C1131" s="370" t="s">
        <v>2445</v>
      </c>
      <c r="D1131" s="370" t="str">
        <f t="shared" si="18"/>
        <v>4467429__PPPz</v>
      </c>
      <c r="E1131" s="370" t="s">
        <v>342</v>
      </c>
      <c r="F1131" s="371">
        <v>0</v>
      </c>
      <c r="G1131" s="372">
        <v>0</v>
      </c>
      <c r="H1131" s="371">
        <v>0</v>
      </c>
      <c r="I1131" s="371">
        <v>0</v>
      </c>
      <c r="J1131" s="373">
        <v>36225.124378109445</v>
      </c>
      <c r="K1131" s="313"/>
      <c r="L1131" s="313"/>
    </row>
    <row r="1132" spans="1:12" ht="15.75" thickBot="1" x14ac:dyDescent="0.3">
      <c r="A1132" s="374">
        <v>4467429</v>
      </c>
      <c r="B1132" s="375" t="s">
        <v>909</v>
      </c>
      <c r="C1132" s="375" t="s">
        <v>2446</v>
      </c>
      <c r="D1132" s="375" t="str">
        <f t="shared" si="18"/>
        <v>4467429__VED</v>
      </c>
      <c r="E1132" s="375" t="s">
        <v>342</v>
      </c>
      <c r="F1132" s="376">
        <v>556510</v>
      </c>
      <c r="G1132" s="377">
        <v>1.07</v>
      </c>
      <c r="H1132" s="376">
        <v>32344.701725019757</v>
      </c>
      <c r="I1132" s="376">
        <v>31250.891319211569</v>
      </c>
      <c r="J1132" s="378">
        <v>37895.675827330677</v>
      </c>
      <c r="K1132" s="313"/>
      <c r="L1132" s="313"/>
    </row>
    <row r="1133" spans="1:12" x14ac:dyDescent="0.25">
      <c r="A1133" s="364">
        <v>4526227</v>
      </c>
      <c r="B1133" s="365" t="s">
        <v>553</v>
      </c>
      <c r="C1133" s="365" t="s">
        <v>2442</v>
      </c>
      <c r="D1133" s="365" t="str">
        <f t="shared" si="18"/>
        <v>4526227__ADM</v>
      </c>
      <c r="E1133" s="365" t="s">
        <v>342</v>
      </c>
      <c r="F1133" s="366">
        <v>306228</v>
      </c>
      <c r="G1133" s="367">
        <v>0.7399</v>
      </c>
      <c r="H1133" s="366">
        <v>25738.653670423391</v>
      </c>
      <c r="I1133" s="366">
        <v>41457.667112282092</v>
      </c>
      <c r="J1133" s="368">
        <v>33396.466964425337</v>
      </c>
      <c r="K1133" s="313"/>
      <c r="L1133" s="313"/>
    </row>
    <row r="1134" spans="1:12" x14ac:dyDescent="0.25">
      <c r="A1134" s="369">
        <v>4526227</v>
      </c>
      <c r="B1134" s="370" t="s">
        <v>553</v>
      </c>
      <c r="C1134" s="370" t="s">
        <v>2443</v>
      </c>
      <c r="D1134" s="370" t="str">
        <f t="shared" si="18"/>
        <v>4526227__MAN</v>
      </c>
      <c r="E1134" s="370" t="s">
        <v>342</v>
      </c>
      <c r="F1134" s="371">
        <v>0</v>
      </c>
      <c r="G1134" s="372">
        <v>0</v>
      </c>
      <c r="H1134" s="371">
        <v>0</v>
      </c>
      <c r="I1134" s="371">
        <v>17994.073998607644</v>
      </c>
      <c r="J1134" s="373">
        <v>20667.193457173464</v>
      </c>
      <c r="K1134" s="313"/>
      <c r="L1134" s="313"/>
    </row>
    <row r="1135" spans="1:12" x14ac:dyDescent="0.25">
      <c r="A1135" s="369">
        <v>4526227</v>
      </c>
      <c r="B1135" s="370" t="s">
        <v>553</v>
      </c>
      <c r="C1135" s="370" t="s">
        <v>2444</v>
      </c>
      <c r="D1135" s="370" t="str">
        <f t="shared" si="18"/>
        <v>4526227__PPPs</v>
      </c>
      <c r="E1135" s="370" t="s">
        <v>342</v>
      </c>
      <c r="F1135" s="371">
        <v>1157608</v>
      </c>
      <c r="G1135" s="372">
        <v>2.6</v>
      </c>
      <c r="H1135" s="371">
        <v>27688.672024492917</v>
      </c>
      <c r="I1135" s="371">
        <v>26857.228949262786</v>
      </c>
      <c r="J1135" s="373">
        <v>26364.572073040395</v>
      </c>
      <c r="K1135" s="313"/>
      <c r="L1135" s="313"/>
    </row>
    <row r="1136" spans="1:12" x14ac:dyDescent="0.25">
      <c r="A1136" s="369">
        <v>4526227</v>
      </c>
      <c r="B1136" s="370" t="s">
        <v>553</v>
      </c>
      <c r="C1136" s="370" t="s">
        <v>2445</v>
      </c>
      <c r="D1136" s="370" t="str">
        <f t="shared" si="18"/>
        <v>4526227__PPPz</v>
      </c>
      <c r="E1136" s="370" t="s">
        <v>342</v>
      </c>
      <c r="F1136" s="371">
        <v>0</v>
      </c>
      <c r="G1136" s="372">
        <v>0</v>
      </c>
      <c r="H1136" s="371">
        <v>0</v>
      </c>
      <c r="I1136" s="371">
        <v>0</v>
      </c>
      <c r="J1136" s="373">
        <v>36225.124378109445</v>
      </c>
      <c r="K1136" s="313"/>
      <c r="L1136" s="313"/>
    </row>
    <row r="1137" spans="1:12" ht="15.75" thickBot="1" x14ac:dyDescent="0.3">
      <c r="A1137" s="374">
        <v>4526227</v>
      </c>
      <c r="B1137" s="375" t="s">
        <v>553</v>
      </c>
      <c r="C1137" s="375" t="s">
        <v>2446</v>
      </c>
      <c r="D1137" s="375" t="str">
        <f t="shared" si="18"/>
        <v>4526227__VED</v>
      </c>
      <c r="E1137" s="375" t="s">
        <v>342</v>
      </c>
      <c r="F1137" s="376">
        <v>170682</v>
      </c>
      <c r="G1137" s="377">
        <v>0.23</v>
      </c>
      <c r="H1137" s="376">
        <v>46150.227125243342</v>
      </c>
      <c r="I1137" s="376">
        <v>31250.891319211569</v>
      </c>
      <c r="J1137" s="378">
        <v>37895.675827330677</v>
      </c>
      <c r="K1137" s="313"/>
      <c r="L1137" s="313"/>
    </row>
    <row r="1138" spans="1:12" x14ac:dyDescent="0.25">
      <c r="A1138" s="364">
        <v>4533728</v>
      </c>
      <c r="B1138" s="365" t="s">
        <v>909</v>
      </c>
      <c r="C1138" s="365" t="s">
        <v>2442</v>
      </c>
      <c r="D1138" s="365" t="str">
        <f t="shared" si="18"/>
        <v>4533728__ADM</v>
      </c>
      <c r="E1138" s="365" t="s">
        <v>342</v>
      </c>
      <c r="F1138" s="366">
        <v>192700</v>
      </c>
      <c r="G1138" s="367">
        <v>0.37</v>
      </c>
      <c r="H1138" s="366">
        <v>32388.732015597685</v>
      </c>
      <c r="I1138" s="366">
        <v>41457.667112282092</v>
      </c>
      <c r="J1138" s="368">
        <v>33396.466964425337</v>
      </c>
      <c r="K1138" s="313"/>
      <c r="L1138" s="313"/>
    </row>
    <row r="1139" spans="1:12" x14ac:dyDescent="0.25">
      <c r="A1139" s="369">
        <v>4533728</v>
      </c>
      <c r="B1139" s="370" t="s">
        <v>909</v>
      </c>
      <c r="C1139" s="370" t="s">
        <v>2443</v>
      </c>
      <c r="D1139" s="370" t="str">
        <f t="shared" si="18"/>
        <v>4533728__MAN</v>
      </c>
      <c r="E1139" s="370" t="s">
        <v>342</v>
      </c>
      <c r="F1139" s="371">
        <v>0</v>
      </c>
      <c r="G1139" s="372">
        <v>0</v>
      </c>
      <c r="H1139" s="371">
        <v>0</v>
      </c>
      <c r="I1139" s="371">
        <v>17994.073998607644</v>
      </c>
      <c r="J1139" s="373">
        <v>20667.193457173464</v>
      </c>
      <c r="K1139" s="313"/>
      <c r="L1139" s="313"/>
    </row>
    <row r="1140" spans="1:12" x14ac:dyDescent="0.25">
      <c r="A1140" s="369">
        <v>4533728</v>
      </c>
      <c r="B1140" s="370" t="s">
        <v>909</v>
      </c>
      <c r="C1140" s="370" t="s">
        <v>2444</v>
      </c>
      <c r="D1140" s="370" t="str">
        <f t="shared" si="18"/>
        <v>4533728__PPPs</v>
      </c>
      <c r="E1140" s="370" t="s">
        <v>342</v>
      </c>
      <c r="F1140" s="371">
        <v>2162021</v>
      </c>
      <c r="G1140" s="372">
        <v>4.3654000000000002</v>
      </c>
      <c r="H1140" s="371">
        <v>30799.936383506025</v>
      </c>
      <c r="I1140" s="371">
        <v>26857.228949262786</v>
      </c>
      <c r="J1140" s="373">
        <v>26364.572073040395</v>
      </c>
      <c r="K1140" s="313"/>
      <c r="L1140" s="313"/>
    </row>
    <row r="1141" spans="1:12" x14ac:dyDescent="0.25">
      <c r="A1141" s="369">
        <v>4533728</v>
      </c>
      <c r="B1141" s="370" t="s">
        <v>909</v>
      </c>
      <c r="C1141" s="370" t="s">
        <v>2445</v>
      </c>
      <c r="D1141" s="370" t="str">
        <f t="shared" si="18"/>
        <v>4533728__PPPz</v>
      </c>
      <c r="E1141" s="370" t="s">
        <v>342</v>
      </c>
      <c r="F1141" s="371">
        <v>0</v>
      </c>
      <c r="G1141" s="372">
        <v>0</v>
      </c>
      <c r="H1141" s="371">
        <v>0</v>
      </c>
      <c r="I1141" s="371">
        <v>0</v>
      </c>
      <c r="J1141" s="373">
        <v>36225.124378109445</v>
      </c>
      <c r="K1141" s="313"/>
      <c r="L1141" s="313"/>
    </row>
    <row r="1142" spans="1:12" ht="15.75" thickBot="1" x14ac:dyDescent="0.3">
      <c r="A1142" s="374">
        <v>4533728</v>
      </c>
      <c r="B1142" s="375" t="s">
        <v>909</v>
      </c>
      <c r="C1142" s="375" t="s">
        <v>2446</v>
      </c>
      <c r="D1142" s="375" t="str">
        <f t="shared" si="18"/>
        <v>4533728__VED</v>
      </c>
      <c r="E1142" s="375" t="s">
        <v>342</v>
      </c>
      <c r="F1142" s="376">
        <v>631824</v>
      </c>
      <c r="G1142" s="377">
        <v>1.1200000000000001</v>
      </c>
      <c r="H1142" s="376">
        <v>35082.622601279312</v>
      </c>
      <c r="I1142" s="376">
        <v>31250.891319211569</v>
      </c>
      <c r="J1142" s="378">
        <v>37895.675827330677</v>
      </c>
      <c r="K1142" s="313"/>
      <c r="L1142" s="313"/>
    </row>
    <row r="1143" spans="1:12" x14ac:dyDescent="0.25">
      <c r="A1143" s="364">
        <v>4987165</v>
      </c>
      <c r="B1143" s="365" t="s">
        <v>332</v>
      </c>
      <c r="C1143" s="365" t="s">
        <v>2442</v>
      </c>
      <c r="D1143" s="365" t="str">
        <f t="shared" si="18"/>
        <v>4987165__ADM</v>
      </c>
      <c r="E1143" s="365" t="s">
        <v>342</v>
      </c>
      <c r="F1143" s="366">
        <v>834318</v>
      </c>
      <c r="G1143" s="367">
        <v>0.53439999999999999</v>
      </c>
      <c r="H1143" s="366">
        <v>97091.032487264281</v>
      </c>
      <c r="I1143" s="366">
        <v>41457.667112282092</v>
      </c>
      <c r="J1143" s="368">
        <v>33396.466964425337</v>
      </c>
      <c r="K1143" s="313"/>
      <c r="L1143" s="313"/>
    </row>
    <row r="1144" spans="1:12" x14ac:dyDescent="0.25">
      <c r="A1144" s="369">
        <v>4987165</v>
      </c>
      <c r="B1144" s="370" t="s">
        <v>332</v>
      </c>
      <c r="C1144" s="370" t="s">
        <v>2443</v>
      </c>
      <c r="D1144" s="370" t="str">
        <f t="shared" si="18"/>
        <v>4987165__MAN</v>
      </c>
      <c r="E1144" s="370" t="s">
        <v>342</v>
      </c>
      <c r="F1144" s="371">
        <v>0</v>
      </c>
      <c r="G1144" s="372">
        <v>0</v>
      </c>
      <c r="H1144" s="371">
        <v>0</v>
      </c>
      <c r="I1144" s="371">
        <v>17994.073998607644</v>
      </c>
      <c r="J1144" s="373">
        <v>20667.193457173464</v>
      </c>
      <c r="K1144" s="313"/>
      <c r="L1144" s="313"/>
    </row>
    <row r="1145" spans="1:12" x14ac:dyDescent="0.25">
      <c r="A1145" s="369">
        <v>4987165</v>
      </c>
      <c r="B1145" s="370" t="s">
        <v>332</v>
      </c>
      <c r="C1145" s="370" t="s">
        <v>2444</v>
      </c>
      <c r="D1145" s="370" t="str">
        <f t="shared" si="18"/>
        <v>4987165__PPPs</v>
      </c>
      <c r="E1145" s="370" t="s">
        <v>342</v>
      </c>
      <c r="F1145" s="371">
        <v>1677632</v>
      </c>
      <c r="G1145" s="372">
        <v>4.16</v>
      </c>
      <c r="H1145" s="371">
        <v>25079.410639112131</v>
      </c>
      <c r="I1145" s="371">
        <v>26857.228949262786</v>
      </c>
      <c r="J1145" s="373">
        <v>26364.572073040395</v>
      </c>
      <c r="K1145" s="313"/>
      <c r="L1145" s="313"/>
    </row>
    <row r="1146" spans="1:12" x14ac:dyDescent="0.25">
      <c r="A1146" s="369">
        <v>4987165</v>
      </c>
      <c r="B1146" s="370" t="s">
        <v>332</v>
      </c>
      <c r="C1146" s="370" t="s">
        <v>2445</v>
      </c>
      <c r="D1146" s="370" t="str">
        <f t="shared" si="18"/>
        <v>4987165__PPPz</v>
      </c>
      <c r="E1146" s="370" t="s">
        <v>342</v>
      </c>
      <c r="F1146" s="371">
        <v>0</v>
      </c>
      <c r="G1146" s="372">
        <v>0</v>
      </c>
      <c r="H1146" s="371">
        <v>0</v>
      </c>
      <c r="I1146" s="371">
        <v>0</v>
      </c>
      <c r="J1146" s="373">
        <v>36225.124378109445</v>
      </c>
      <c r="K1146" s="313"/>
      <c r="L1146" s="313"/>
    </row>
    <row r="1147" spans="1:12" ht="15.75" thickBot="1" x14ac:dyDescent="0.3">
      <c r="A1147" s="374">
        <v>4987165</v>
      </c>
      <c r="B1147" s="375" t="s">
        <v>332</v>
      </c>
      <c r="C1147" s="375" t="s">
        <v>2446</v>
      </c>
      <c r="D1147" s="375" t="str">
        <f t="shared" si="18"/>
        <v>4987165__VED</v>
      </c>
      <c r="E1147" s="375" t="s">
        <v>342</v>
      </c>
      <c r="F1147" s="376">
        <v>89343</v>
      </c>
      <c r="G1147" s="377">
        <v>0.81679999999999997</v>
      </c>
      <c r="H1147" s="376">
        <v>6802.3466165743266</v>
      </c>
      <c r="I1147" s="376">
        <v>31250.891319211569</v>
      </c>
      <c r="J1147" s="378">
        <v>37895.675827330677</v>
      </c>
      <c r="K1147" s="313"/>
      <c r="L1147" s="313"/>
    </row>
    <row r="1148" spans="1:12" x14ac:dyDescent="0.25">
      <c r="A1148" s="364">
        <v>5369609</v>
      </c>
      <c r="B1148" s="365" t="s">
        <v>1018</v>
      </c>
      <c r="C1148" s="365" t="s">
        <v>2442</v>
      </c>
      <c r="D1148" s="365" t="str">
        <f t="shared" si="18"/>
        <v>5369609__ADM</v>
      </c>
      <c r="E1148" s="365" t="s">
        <v>342</v>
      </c>
      <c r="F1148" s="366">
        <v>0</v>
      </c>
      <c r="G1148" s="367">
        <v>0</v>
      </c>
      <c r="H1148" s="366">
        <v>0</v>
      </c>
      <c r="I1148" s="366">
        <v>41457.667112282092</v>
      </c>
      <c r="J1148" s="368">
        <v>33396.466964425337</v>
      </c>
      <c r="K1148" s="313"/>
      <c r="L1148" s="313"/>
    </row>
    <row r="1149" spans="1:12" x14ac:dyDescent="0.25">
      <c r="A1149" s="369">
        <v>5369609</v>
      </c>
      <c r="B1149" s="370" t="s">
        <v>1018</v>
      </c>
      <c r="C1149" s="370" t="s">
        <v>2443</v>
      </c>
      <c r="D1149" s="370" t="str">
        <f t="shared" si="18"/>
        <v>5369609__MAN</v>
      </c>
      <c r="E1149" s="370" t="s">
        <v>342</v>
      </c>
      <c r="F1149" s="371">
        <v>0</v>
      </c>
      <c r="G1149" s="372">
        <v>0</v>
      </c>
      <c r="H1149" s="371">
        <v>0</v>
      </c>
      <c r="I1149" s="371">
        <v>17994.073998607644</v>
      </c>
      <c r="J1149" s="373">
        <v>20667.193457173464</v>
      </c>
      <c r="K1149" s="313"/>
      <c r="L1149" s="313"/>
    </row>
    <row r="1150" spans="1:12" x14ac:dyDescent="0.25">
      <c r="A1150" s="369">
        <v>5369609</v>
      </c>
      <c r="B1150" s="370" t="s">
        <v>1018</v>
      </c>
      <c r="C1150" s="370" t="s">
        <v>2444</v>
      </c>
      <c r="D1150" s="370" t="str">
        <f t="shared" si="18"/>
        <v>5369609__PPPs</v>
      </c>
      <c r="E1150" s="370" t="s">
        <v>342</v>
      </c>
      <c r="F1150" s="371">
        <v>1447296</v>
      </c>
      <c r="G1150" s="372">
        <v>4</v>
      </c>
      <c r="H1150" s="371">
        <v>22501.492537313432</v>
      </c>
      <c r="I1150" s="371">
        <v>26857.228949262786</v>
      </c>
      <c r="J1150" s="373">
        <v>26364.572073040395</v>
      </c>
      <c r="K1150" s="313"/>
      <c r="L1150" s="313"/>
    </row>
    <row r="1151" spans="1:12" x14ac:dyDescent="0.25">
      <c r="A1151" s="369">
        <v>5369609</v>
      </c>
      <c r="B1151" s="370" t="s">
        <v>1018</v>
      </c>
      <c r="C1151" s="370" t="s">
        <v>2445</v>
      </c>
      <c r="D1151" s="370" t="str">
        <f t="shared" si="18"/>
        <v>5369609__PPPz</v>
      </c>
      <c r="E1151" s="370" t="s">
        <v>342</v>
      </c>
      <c r="F1151" s="371">
        <v>0</v>
      </c>
      <c r="G1151" s="372">
        <v>0</v>
      </c>
      <c r="H1151" s="371">
        <v>0</v>
      </c>
      <c r="I1151" s="371">
        <v>0</v>
      </c>
      <c r="J1151" s="373">
        <v>36225.124378109445</v>
      </c>
      <c r="K1151" s="313"/>
      <c r="L1151" s="313"/>
    </row>
    <row r="1152" spans="1:12" ht="15.75" thickBot="1" x14ac:dyDescent="0.3">
      <c r="A1152" s="374">
        <v>5369609</v>
      </c>
      <c r="B1152" s="375" t="s">
        <v>1018</v>
      </c>
      <c r="C1152" s="375" t="s">
        <v>2446</v>
      </c>
      <c r="D1152" s="375" t="str">
        <f t="shared" si="18"/>
        <v>5369609__VED</v>
      </c>
      <c r="E1152" s="375" t="s">
        <v>342</v>
      </c>
      <c r="F1152" s="376">
        <v>277205</v>
      </c>
      <c r="G1152" s="377">
        <v>0.5</v>
      </c>
      <c r="H1152" s="376">
        <v>34478.233830845769</v>
      </c>
      <c r="I1152" s="376">
        <v>31250.891319211569</v>
      </c>
      <c r="J1152" s="378">
        <v>37895.675827330677</v>
      </c>
      <c r="K1152" s="313"/>
      <c r="L1152" s="313"/>
    </row>
    <row r="1153" spans="1:12" x14ac:dyDescent="0.25">
      <c r="A1153" s="364">
        <v>6361701</v>
      </c>
      <c r="B1153" s="365" t="s">
        <v>375</v>
      </c>
      <c r="C1153" s="365" t="s">
        <v>2442</v>
      </c>
      <c r="D1153" s="365" t="str">
        <f t="shared" si="18"/>
        <v>6361701__ADM</v>
      </c>
      <c r="E1153" s="365" t="s">
        <v>342</v>
      </c>
      <c r="F1153" s="366">
        <v>32619</v>
      </c>
      <c r="G1153" s="367">
        <v>3.5999999999999999E-3</v>
      </c>
      <c r="H1153" s="366">
        <v>563484.66003316746</v>
      </c>
      <c r="I1153" s="366">
        <v>41457.667112282092</v>
      </c>
      <c r="J1153" s="368">
        <v>33396.466964425337</v>
      </c>
      <c r="K1153" s="313"/>
      <c r="L1153" s="313"/>
    </row>
    <row r="1154" spans="1:12" x14ac:dyDescent="0.25">
      <c r="A1154" s="369">
        <v>6361701</v>
      </c>
      <c r="B1154" s="370" t="s">
        <v>375</v>
      </c>
      <c r="C1154" s="370" t="s">
        <v>2443</v>
      </c>
      <c r="D1154" s="370" t="str">
        <f t="shared" si="18"/>
        <v>6361701__MAN</v>
      </c>
      <c r="E1154" s="370" t="s">
        <v>342</v>
      </c>
      <c r="F1154" s="371">
        <v>0</v>
      </c>
      <c r="G1154" s="372">
        <v>0</v>
      </c>
      <c r="H1154" s="371">
        <v>0</v>
      </c>
      <c r="I1154" s="371">
        <v>17994.073998607644</v>
      </c>
      <c r="J1154" s="373">
        <v>20667.193457173464</v>
      </c>
      <c r="K1154" s="313"/>
      <c r="L1154" s="313"/>
    </row>
    <row r="1155" spans="1:12" x14ac:dyDescent="0.25">
      <c r="A1155" s="369">
        <v>6361701</v>
      </c>
      <c r="B1155" s="370" t="s">
        <v>375</v>
      </c>
      <c r="C1155" s="370" t="s">
        <v>2444</v>
      </c>
      <c r="D1155" s="370" t="str">
        <f t="shared" si="18"/>
        <v>6361701__PPPs</v>
      </c>
      <c r="E1155" s="370" t="s">
        <v>342</v>
      </c>
      <c r="F1155" s="371">
        <v>833562</v>
      </c>
      <c r="G1155" s="372">
        <v>1.62</v>
      </c>
      <c r="H1155" s="371">
        <v>31999.032614704251</v>
      </c>
      <c r="I1155" s="371">
        <v>26857.228949262786</v>
      </c>
      <c r="J1155" s="373">
        <v>26364.572073040395</v>
      </c>
      <c r="K1155" s="313"/>
      <c r="L1155" s="313"/>
    </row>
    <row r="1156" spans="1:12" x14ac:dyDescent="0.25">
      <c r="A1156" s="369">
        <v>6361701</v>
      </c>
      <c r="B1156" s="370" t="s">
        <v>375</v>
      </c>
      <c r="C1156" s="370" t="s">
        <v>2445</v>
      </c>
      <c r="D1156" s="370" t="str">
        <f t="shared" si="18"/>
        <v>6361701__PPPz</v>
      </c>
      <c r="E1156" s="370" t="s">
        <v>342</v>
      </c>
      <c r="F1156" s="371">
        <v>0</v>
      </c>
      <c r="G1156" s="372">
        <v>0</v>
      </c>
      <c r="H1156" s="371">
        <v>0</v>
      </c>
      <c r="I1156" s="371">
        <v>0</v>
      </c>
      <c r="J1156" s="373">
        <v>36225.124378109445</v>
      </c>
      <c r="K1156" s="313"/>
      <c r="L1156" s="313"/>
    </row>
    <row r="1157" spans="1:12" ht="15.75" thickBot="1" x14ac:dyDescent="0.3">
      <c r="A1157" s="374">
        <v>6361701</v>
      </c>
      <c r="B1157" s="375" t="s">
        <v>375</v>
      </c>
      <c r="C1157" s="375" t="s">
        <v>2446</v>
      </c>
      <c r="D1157" s="375" t="str">
        <f t="shared" si="18"/>
        <v>6361701__VED</v>
      </c>
      <c r="E1157" s="375" t="s">
        <v>342</v>
      </c>
      <c r="F1157" s="376">
        <v>73138</v>
      </c>
      <c r="G1157" s="377">
        <v>7.4899999999999994E-2</v>
      </c>
      <c r="H1157" s="376">
        <v>60726.075895555601</v>
      </c>
      <c r="I1157" s="376">
        <v>31250.891319211569</v>
      </c>
      <c r="J1157" s="378">
        <v>37895.675827330677</v>
      </c>
      <c r="K1157" s="313"/>
      <c r="L1157" s="313"/>
    </row>
    <row r="1158" spans="1:12" x14ac:dyDescent="0.25">
      <c r="A1158" s="364">
        <v>8382823</v>
      </c>
      <c r="B1158" s="365" t="s">
        <v>402</v>
      </c>
      <c r="C1158" s="365" t="s">
        <v>2442</v>
      </c>
      <c r="D1158" s="365" t="str">
        <f t="shared" si="18"/>
        <v>8382823__ADM</v>
      </c>
      <c r="E1158" s="365" t="s">
        <v>342</v>
      </c>
      <c r="F1158" s="366">
        <v>0</v>
      </c>
      <c r="G1158" s="367">
        <v>0</v>
      </c>
      <c r="H1158" s="366">
        <v>0</v>
      </c>
      <c r="I1158" s="366">
        <v>41457.667112282092</v>
      </c>
      <c r="J1158" s="368">
        <v>33396.466964425337</v>
      </c>
      <c r="K1158" s="313"/>
      <c r="L1158" s="313"/>
    </row>
    <row r="1159" spans="1:12" x14ac:dyDescent="0.25">
      <c r="A1159" s="369">
        <v>8382823</v>
      </c>
      <c r="B1159" s="370" t="s">
        <v>402</v>
      </c>
      <c r="C1159" s="370" t="s">
        <v>2443</v>
      </c>
      <c r="D1159" s="370" t="str">
        <f t="shared" si="18"/>
        <v>8382823__MAN</v>
      </c>
      <c r="E1159" s="370" t="s">
        <v>342</v>
      </c>
      <c r="F1159" s="371">
        <v>0</v>
      </c>
      <c r="G1159" s="372">
        <v>0</v>
      </c>
      <c r="H1159" s="371">
        <v>0</v>
      </c>
      <c r="I1159" s="371">
        <v>17994.073998607644</v>
      </c>
      <c r="J1159" s="373">
        <v>20667.193457173464</v>
      </c>
      <c r="K1159" s="313"/>
      <c r="L1159" s="313"/>
    </row>
    <row r="1160" spans="1:12" x14ac:dyDescent="0.25">
      <c r="A1160" s="369">
        <v>8382823</v>
      </c>
      <c r="B1160" s="370" t="s">
        <v>402</v>
      </c>
      <c r="C1160" s="370" t="s">
        <v>2444</v>
      </c>
      <c r="D1160" s="370" t="str">
        <f t="shared" si="18"/>
        <v>8382823__PPPs</v>
      </c>
      <c r="E1160" s="370" t="s">
        <v>342</v>
      </c>
      <c r="F1160" s="371">
        <v>1134833</v>
      </c>
      <c r="G1160" s="372">
        <v>2.2000000000000002</v>
      </c>
      <c r="H1160" s="371">
        <v>32079.177973767521</v>
      </c>
      <c r="I1160" s="371">
        <v>26857.228949262786</v>
      </c>
      <c r="J1160" s="373">
        <v>26364.572073040395</v>
      </c>
      <c r="K1160" s="313"/>
      <c r="L1160" s="313"/>
    </row>
    <row r="1161" spans="1:12" x14ac:dyDescent="0.25">
      <c r="A1161" s="369">
        <v>8382823</v>
      </c>
      <c r="B1161" s="370" t="s">
        <v>402</v>
      </c>
      <c r="C1161" s="370" t="s">
        <v>2445</v>
      </c>
      <c r="D1161" s="370" t="str">
        <f t="shared" si="18"/>
        <v>8382823__PPPz</v>
      </c>
      <c r="E1161" s="370" t="s">
        <v>342</v>
      </c>
      <c r="F1161" s="371">
        <v>0</v>
      </c>
      <c r="G1161" s="372">
        <v>0</v>
      </c>
      <c r="H1161" s="371">
        <v>0</v>
      </c>
      <c r="I1161" s="371">
        <v>0</v>
      </c>
      <c r="J1161" s="373">
        <v>36225.124378109445</v>
      </c>
      <c r="K1161" s="313"/>
      <c r="L1161" s="313"/>
    </row>
    <row r="1162" spans="1:12" ht="15.75" thickBot="1" x14ac:dyDescent="0.3">
      <c r="A1162" s="374">
        <v>8382823</v>
      </c>
      <c r="B1162" s="375" t="s">
        <v>402</v>
      </c>
      <c r="C1162" s="375" t="s">
        <v>2446</v>
      </c>
      <c r="D1162" s="375" t="str">
        <f t="shared" si="18"/>
        <v>8382823__VED</v>
      </c>
      <c r="E1162" s="375" t="s">
        <v>342</v>
      </c>
      <c r="F1162" s="376">
        <v>369488</v>
      </c>
      <c r="G1162" s="377">
        <v>0.8</v>
      </c>
      <c r="H1162" s="376">
        <v>28722.636815920399</v>
      </c>
      <c r="I1162" s="376">
        <v>31250.891319211569</v>
      </c>
      <c r="J1162" s="378">
        <v>37895.675827330677</v>
      </c>
      <c r="K1162" s="313"/>
      <c r="L1162" s="313"/>
    </row>
    <row r="1163" spans="1:12" x14ac:dyDescent="0.25">
      <c r="A1163" s="364">
        <v>8946698</v>
      </c>
      <c r="B1163" s="365" t="s">
        <v>367</v>
      </c>
      <c r="C1163" s="365" t="s">
        <v>2442</v>
      </c>
      <c r="D1163" s="365" t="str">
        <f t="shared" si="18"/>
        <v>8946698__ADM</v>
      </c>
      <c r="E1163" s="365" t="s">
        <v>342</v>
      </c>
      <c r="F1163" s="366">
        <v>0</v>
      </c>
      <c r="G1163" s="367">
        <v>0</v>
      </c>
      <c r="H1163" s="366">
        <v>0</v>
      </c>
      <c r="I1163" s="366">
        <v>41457.667112282092</v>
      </c>
      <c r="J1163" s="368">
        <v>33396.466964425337</v>
      </c>
      <c r="K1163" s="313"/>
      <c r="L1163" s="313"/>
    </row>
    <row r="1164" spans="1:12" x14ac:dyDescent="0.25">
      <c r="A1164" s="369">
        <v>8946698</v>
      </c>
      <c r="B1164" s="370" t="s">
        <v>367</v>
      </c>
      <c r="C1164" s="370" t="s">
        <v>2443</v>
      </c>
      <c r="D1164" s="370" t="str">
        <f t="shared" si="18"/>
        <v>8946698__MAN</v>
      </c>
      <c r="E1164" s="370" t="s">
        <v>342</v>
      </c>
      <c r="F1164" s="371">
        <v>0</v>
      </c>
      <c r="G1164" s="372">
        <v>0</v>
      </c>
      <c r="H1164" s="371">
        <v>0</v>
      </c>
      <c r="I1164" s="371">
        <v>17994.073998607644</v>
      </c>
      <c r="J1164" s="373">
        <v>20667.193457173464</v>
      </c>
      <c r="K1164" s="313"/>
      <c r="L1164" s="313"/>
    </row>
    <row r="1165" spans="1:12" x14ac:dyDescent="0.25">
      <c r="A1165" s="369">
        <v>8946698</v>
      </c>
      <c r="B1165" s="370" t="s">
        <v>367</v>
      </c>
      <c r="C1165" s="370" t="s">
        <v>2444</v>
      </c>
      <c r="D1165" s="370" t="str">
        <f t="shared" si="18"/>
        <v>8946698__PPPs</v>
      </c>
      <c r="E1165" s="370" t="s">
        <v>342</v>
      </c>
      <c r="F1165" s="371">
        <v>2269510</v>
      </c>
      <c r="G1165" s="372">
        <v>6.2</v>
      </c>
      <c r="H1165" s="371">
        <v>22764.303482587064</v>
      </c>
      <c r="I1165" s="371">
        <v>26857.228949262786</v>
      </c>
      <c r="J1165" s="373">
        <v>26364.572073040395</v>
      </c>
      <c r="K1165" s="313"/>
      <c r="L1165" s="313"/>
    </row>
    <row r="1166" spans="1:12" x14ac:dyDescent="0.25">
      <c r="A1166" s="369">
        <v>8946698</v>
      </c>
      <c r="B1166" s="370" t="s">
        <v>367</v>
      </c>
      <c r="C1166" s="370" t="s">
        <v>2445</v>
      </c>
      <c r="D1166" s="370" t="str">
        <f t="shared" si="18"/>
        <v>8946698__PPPz</v>
      </c>
      <c r="E1166" s="370" t="s">
        <v>342</v>
      </c>
      <c r="F1166" s="371">
        <v>0</v>
      </c>
      <c r="G1166" s="372">
        <v>0</v>
      </c>
      <c r="H1166" s="371">
        <v>0</v>
      </c>
      <c r="I1166" s="371">
        <v>0</v>
      </c>
      <c r="J1166" s="373">
        <v>36225.124378109445</v>
      </c>
      <c r="K1166" s="313"/>
      <c r="L1166" s="313"/>
    </row>
    <row r="1167" spans="1:12" ht="15.75" thickBot="1" x14ac:dyDescent="0.3">
      <c r="A1167" s="374">
        <v>8946698</v>
      </c>
      <c r="B1167" s="375" t="s">
        <v>367</v>
      </c>
      <c r="C1167" s="375" t="s">
        <v>2446</v>
      </c>
      <c r="D1167" s="375" t="str">
        <f t="shared" si="18"/>
        <v>8946698__VED</v>
      </c>
      <c r="E1167" s="375" t="s">
        <v>342</v>
      </c>
      <c r="F1167" s="376">
        <v>601368</v>
      </c>
      <c r="G1167" s="377">
        <v>1</v>
      </c>
      <c r="H1167" s="376">
        <v>37398.507462686568</v>
      </c>
      <c r="I1167" s="376">
        <v>31250.891319211569</v>
      </c>
      <c r="J1167" s="378">
        <v>37895.675827330677</v>
      </c>
      <c r="K1167" s="313"/>
      <c r="L1167" s="313"/>
    </row>
    <row r="1168" spans="1:12" x14ac:dyDescent="0.25">
      <c r="A1168" s="364">
        <v>9659243</v>
      </c>
      <c r="B1168" s="365" t="s">
        <v>909</v>
      </c>
      <c r="C1168" s="365" t="s">
        <v>2442</v>
      </c>
      <c r="D1168" s="365" t="str">
        <f t="shared" si="18"/>
        <v>9659243__ADM</v>
      </c>
      <c r="E1168" s="365" t="s">
        <v>342</v>
      </c>
      <c r="F1168" s="366">
        <v>201877</v>
      </c>
      <c r="G1168" s="367">
        <v>0.39</v>
      </c>
      <c r="H1168" s="366">
        <v>32191.127694859035</v>
      </c>
      <c r="I1168" s="366">
        <v>41457.667112282092</v>
      </c>
      <c r="J1168" s="368">
        <v>33396.466964425337</v>
      </c>
      <c r="K1168" s="313"/>
      <c r="L1168" s="313"/>
    </row>
    <row r="1169" spans="1:12" x14ac:dyDescent="0.25">
      <c r="A1169" s="369">
        <v>9659243</v>
      </c>
      <c r="B1169" s="370" t="s">
        <v>909</v>
      </c>
      <c r="C1169" s="370" t="s">
        <v>2443</v>
      </c>
      <c r="D1169" s="370" t="str">
        <f t="shared" si="18"/>
        <v>9659243__MAN</v>
      </c>
      <c r="E1169" s="370" t="s">
        <v>342</v>
      </c>
      <c r="F1169" s="371">
        <v>0</v>
      </c>
      <c r="G1169" s="372">
        <v>0</v>
      </c>
      <c r="H1169" s="371">
        <v>0</v>
      </c>
      <c r="I1169" s="371">
        <v>17994.073998607644</v>
      </c>
      <c r="J1169" s="373">
        <v>20667.193457173464</v>
      </c>
      <c r="K1169" s="313"/>
      <c r="L1169" s="313"/>
    </row>
    <row r="1170" spans="1:12" x14ac:dyDescent="0.25">
      <c r="A1170" s="369">
        <v>9659243</v>
      </c>
      <c r="B1170" s="370" t="s">
        <v>909</v>
      </c>
      <c r="C1170" s="370" t="s">
        <v>2444</v>
      </c>
      <c r="D1170" s="370" t="str">
        <f t="shared" si="18"/>
        <v>9659243__PPPs</v>
      </c>
      <c r="E1170" s="370" t="s">
        <v>342</v>
      </c>
      <c r="F1170" s="371">
        <v>2118175</v>
      </c>
      <c r="G1170" s="372">
        <v>4.13</v>
      </c>
      <c r="H1170" s="371">
        <v>31895.230265139191</v>
      </c>
      <c r="I1170" s="371">
        <v>26857.228949262786</v>
      </c>
      <c r="J1170" s="373">
        <v>26364.572073040395</v>
      </c>
      <c r="K1170" s="313"/>
      <c r="L1170" s="313"/>
    </row>
    <row r="1171" spans="1:12" x14ac:dyDescent="0.25">
      <c r="A1171" s="369">
        <v>9659243</v>
      </c>
      <c r="B1171" s="370" t="s">
        <v>909</v>
      </c>
      <c r="C1171" s="370" t="s">
        <v>2445</v>
      </c>
      <c r="D1171" s="370" t="str">
        <f t="shared" si="18"/>
        <v>9659243__PPPz</v>
      </c>
      <c r="E1171" s="370" t="s">
        <v>342</v>
      </c>
      <c r="F1171" s="371">
        <v>0</v>
      </c>
      <c r="G1171" s="372">
        <v>0</v>
      </c>
      <c r="H1171" s="371">
        <v>0</v>
      </c>
      <c r="I1171" s="371">
        <v>0</v>
      </c>
      <c r="J1171" s="373">
        <v>36225.124378109445</v>
      </c>
      <c r="K1171" s="313"/>
      <c r="L1171" s="313"/>
    </row>
    <row r="1172" spans="1:12" ht="15.75" thickBot="1" x14ac:dyDescent="0.3">
      <c r="A1172" s="374">
        <v>9659243</v>
      </c>
      <c r="B1172" s="375" t="s">
        <v>909</v>
      </c>
      <c r="C1172" s="375" t="s">
        <v>2446</v>
      </c>
      <c r="D1172" s="375" t="str">
        <f t="shared" si="18"/>
        <v>9659243__VED</v>
      </c>
      <c r="E1172" s="375" t="s">
        <v>342</v>
      </c>
      <c r="F1172" s="376">
        <v>443360</v>
      </c>
      <c r="G1172" s="377">
        <v>0.79</v>
      </c>
      <c r="H1172" s="376">
        <v>34901.442156307072</v>
      </c>
      <c r="I1172" s="376">
        <v>31250.891319211569</v>
      </c>
      <c r="J1172" s="378">
        <v>37895.675827330677</v>
      </c>
      <c r="K1172" s="313"/>
      <c r="L1172" s="313"/>
    </row>
    <row r="1173" spans="1:12" x14ac:dyDescent="0.25">
      <c r="A1173" s="364">
        <v>1792038</v>
      </c>
      <c r="B1173" s="365" t="s">
        <v>979</v>
      </c>
      <c r="C1173" s="365" t="s">
        <v>2442</v>
      </c>
      <c r="D1173" s="365" t="str">
        <f t="shared" si="18"/>
        <v>1792038__ADM</v>
      </c>
      <c r="E1173" s="365" t="s">
        <v>300</v>
      </c>
      <c r="F1173" s="366">
        <v>21745</v>
      </c>
      <c r="G1173" s="367">
        <v>0.1</v>
      </c>
      <c r="H1173" s="366">
        <v>13523.009950248754</v>
      </c>
      <c r="I1173" s="366">
        <v>17807.835820895521</v>
      </c>
      <c r="J1173" s="368">
        <v>29211.764090651606</v>
      </c>
      <c r="K1173" s="313"/>
      <c r="L1173" s="313"/>
    </row>
    <row r="1174" spans="1:12" x14ac:dyDescent="0.25">
      <c r="A1174" s="369">
        <v>1792038</v>
      </c>
      <c r="B1174" s="370" t="s">
        <v>979</v>
      </c>
      <c r="C1174" s="370" t="s">
        <v>2443</v>
      </c>
      <c r="D1174" s="370" t="str">
        <f t="shared" si="18"/>
        <v>1792038__MAN</v>
      </c>
      <c r="E1174" s="370" t="s">
        <v>300</v>
      </c>
      <c r="F1174" s="371">
        <v>0</v>
      </c>
      <c r="G1174" s="372">
        <v>0</v>
      </c>
      <c r="H1174" s="371">
        <v>0</v>
      </c>
      <c r="I1174" s="371">
        <v>10559.950248756219</v>
      </c>
      <c r="J1174" s="373">
        <v>15322.324339128192</v>
      </c>
      <c r="K1174" s="313"/>
      <c r="L1174" s="313"/>
    </row>
    <row r="1175" spans="1:12" x14ac:dyDescent="0.25">
      <c r="A1175" s="369">
        <v>1792038</v>
      </c>
      <c r="B1175" s="370" t="s">
        <v>979</v>
      </c>
      <c r="C1175" s="370" t="s">
        <v>2444</v>
      </c>
      <c r="D1175" s="370" t="str">
        <f t="shared" si="18"/>
        <v>1792038__PPPs</v>
      </c>
      <c r="E1175" s="370" t="s">
        <v>300</v>
      </c>
      <c r="F1175" s="371">
        <v>746082</v>
      </c>
      <c r="G1175" s="372">
        <v>2.8</v>
      </c>
      <c r="H1175" s="371">
        <v>16570.762260127933</v>
      </c>
      <c r="I1175" s="371">
        <v>20326.238127544097</v>
      </c>
      <c r="J1175" s="373">
        <v>25112.661826156243</v>
      </c>
      <c r="K1175" s="313"/>
      <c r="L1175" s="313"/>
    </row>
    <row r="1176" spans="1:12" x14ac:dyDescent="0.25">
      <c r="A1176" s="369">
        <v>1792038</v>
      </c>
      <c r="B1176" s="370" t="s">
        <v>979</v>
      </c>
      <c r="C1176" s="370" t="s">
        <v>2445</v>
      </c>
      <c r="D1176" s="370" t="str">
        <f t="shared" si="18"/>
        <v>1792038__PPPz</v>
      </c>
      <c r="E1176" s="370" t="s">
        <v>300</v>
      </c>
      <c r="F1176" s="371">
        <v>0</v>
      </c>
      <c r="G1176" s="372">
        <v>0</v>
      </c>
      <c r="H1176" s="371">
        <v>0</v>
      </c>
      <c r="I1176" s="371">
        <v>0</v>
      </c>
      <c r="J1176" s="373">
        <v>35921.684434153045</v>
      </c>
      <c r="K1176" s="313"/>
      <c r="L1176" s="313"/>
    </row>
    <row r="1177" spans="1:12" ht="15.75" thickBot="1" x14ac:dyDescent="0.3">
      <c r="A1177" s="374">
        <v>1792038</v>
      </c>
      <c r="B1177" s="375" t="s">
        <v>979</v>
      </c>
      <c r="C1177" s="375" t="s">
        <v>2446</v>
      </c>
      <c r="D1177" s="375" t="str">
        <f t="shared" si="18"/>
        <v>1792038__VED</v>
      </c>
      <c r="E1177" s="375" t="s">
        <v>300</v>
      </c>
      <c r="F1177" s="376">
        <v>117531</v>
      </c>
      <c r="G1177" s="377">
        <v>0.2</v>
      </c>
      <c r="H1177" s="376">
        <v>36545.708955223876</v>
      </c>
      <c r="I1177" s="376">
        <v>36545.708955223876</v>
      </c>
      <c r="J1177" s="378">
        <v>33028.054228758934</v>
      </c>
      <c r="K1177" s="313"/>
      <c r="L1177" s="313"/>
    </row>
    <row r="1178" spans="1:12" x14ac:dyDescent="0.25">
      <c r="A1178" s="364">
        <v>6630553</v>
      </c>
      <c r="B1178" s="365" t="s">
        <v>290</v>
      </c>
      <c r="C1178" s="365" t="s">
        <v>2442</v>
      </c>
      <c r="D1178" s="365" t="str">
        <f t="shared" si="18"/>
        <v>6630553__ADM</v>
      </c>
      <c r="E1178" s="365" t="s">
        <v>300</v>
      </c>
      <c r="F1178" s="366">
        <v>407780</v>
      </c>
      <c r="G1178" s="367">
        <v>1.4</v>
      </c>
      <c r="H1178" s="366">
        <v>18113.894811656006</v>
      </c>
      <c r="I1178" s="366">
        <v>17807.835820895521</v>
      </c>
      <c r="J1178" s="368">
        <v>29211.764090651606</v>
      </c>
      <c r="K1178" s="313"/>
      <c r="L1178" s="313"/>
    </row>
    <row r="1179" spans="1:12" x14ac:dyDescent="0.25">
      <c r="A1179" s="369">
        <v>6630553</v>
      </c>
      <c r="B1179" s="370" t="s">
        <v>290</v>
      </c>
      <c r="C1179" s="370" t="s">
        <v>2443</v>
      </c>
      <c r="D1179" s="370" t="str">
        <f t="shared" si="18"/>
        <v>6630553__MAN</v>
      </c>
      <c r="E1179" s="370" t="s">
        <v>300</v>
      </c>
      <c r="F1179" s="371">
        <v>84902</v>
      </c>
      <c r="G1179" s="372">
        <v>0.5</v>
      </c>
      <c r="H1179" s="371">
        <v>10559.950248756219</v>
      </c>
      <c r="I1179" s="371">
        <v>10559.950248756219</v>
      </c>
      <c r="J1179" s="373">
        <v>15322.324339128192</v>
      </c>
      <c r="K1179" s="313"/>
      <c r="L1179" s="313"/>
    </row>
    <row r="1180" spans="1:12" x14ac:dyDescent="0.25">
      <c r="A1180" s="369">
        <v>6630553</v>
      </c>
      <c r="B1180" s="370" t="s">
        <v>290</v>
      </c>
      <c r="C1180" s="370" t="s">
        <v>2444</v>
      </c>
      <c r="D1180" s="370" t="str">
        <f t="shared" si="18"/>
        <v>6630553__PPPs</v>
      </c>
      <c r="E1180" s="370" t="s">
        <v>300</v>
      </c>
      <c r="F1180" s="371">
        <v>1411101</v>
      </c>
      <c r="G1180" s="372">
        <v>3.8</v>
      </c>
      <c r="H1180" s="371">
        <v>23093.43087195601</v>
      </c>
      <c r="I1180" s="371">
        <v>20326.238127544097</v>
      </c>
      <c r="J1180" s="373">
        <v>25112.661826156243</v>
      </c>
      <c r="K1180" s="313"/>
      <c r="L1180" s="313"/>
    </row>
    <row r="1181" spans="1:12" x14ac:dyDescent="0.25">
      <c r="A1181" s="369">
        <v>6630553</v>
      </c>
      <c r="B1181" s="370" t="s">
        <v>290</v>
      </c>
      <c r="C1181" s="370" t="s">
        <v>2445</v>
      </c>
      <c r="D1181" s="370" t="str">
        <f t="shared" si="18"/>
        <v>6630553__PPPz</v>
      </c>
      <c r="E1181" s="370" t="s">
        <v>300</v>
      </c>
      <c r="F1181" s="371">
        <v>0</v>
      </c>
      <c r="G1181" s="372">
        <v>0</v>
      </c>
      <c r="H1181" s="371">
        <v>0</v>
      </c>
      <c r="I1181" s="371">
        <v>0</v>
      </c>
      <c r="J1181" s="373">
        <v>35921.684434153045</v>
      </c>
      <c r="K1181" s="313"/>
      <c r="L1181" s="313"/>
    </row>
    <row r="1182" spans="1:12" ht="15.75" thickBot="1" x14ac:dyDescent="0.3">
      <c r="A1182" s="374">
        <v>6630553</v>
      </c>
      <c r="B1182" s="375" t="s">
        <v>290</v>
      </c>
      <c r="C1182" s="375" t="s">
        <v>2446</v>
      </c>
      <c r="D1182" s="375" t="str">
        <f t="shared" si="18"/>
        <v>6630553__VED</v>
      </c>
      <c r="E1182" s="375" t="s">
        <v>300</v>
      </c>
      <c r="F1182" s="376">
        <v>0</v>
      </c>
      <c r="G1182" s="377">
        <v>0</v>
      </c>
      <c r="H1182" s="376">
        <v>0</v>
      </c>
      <c r="I1182" s="376">
        <v>36545.708955223876</v>
      </c>
      <c r="J1182" s="378">
        <v>33028.054228758934</v>
      </c>
      <c r="K1182" s="313"/>
      <c r="L1182" s="313"/>
    </row>
    <row r="1183" spans="1:12" x14ac:dyDescent="0.25">
      <c r="A1183" s="364">
        <v>1552469</v>
      </c>
      <c r="B1183" s="365" t="s">
        <v>874</v>
      </c>
      <c r="C1183" s="365" t="s">
        <v>2442</v>
      </c>
      <c r="D1183" s="365" t="str">
        <f t="shared" si="18"/>
        <v>1552469__ADM</v>
      </c>
      <c r="E1183" s="365" t="s">
        <v>229</v>
      </c>
      <c r="F1183" s="366">
        <v>123448</v>
      </c>
      <c r="G1183" s="367">
        <v>0.2</v>
      </c>
      <c r="H1183" s="366">
        <v>38385.572139303476</v>
      </c>
      <c r="I1183" s="366">
        <v>25052.642525622454</v>
      </c>
      <c r="J1183" s="368">
        <v>29661.074254298292</v>
      </c>
      <c r="K1183" s="313"/>
      <c r="L1183" s="313"/>
    </row>
    <row r="1184" spans="1:12" x14ac:dyDescent="0.25">
      <c r="A1184" s="369">
        <v>1552469</v>
      </c>
      <c r="B1184" s="370" t="s">
        <v>874</v>
      </c>
      <c r="C1184" s="370" t="s">
        <v>2443</v>
      </c>
      <c r="D1184" s="370" t="str">
        <f t="shared" si="18"/>
        <v>1552469__MAN</v>
      </c>
      <c r="E1184" s="370" t="s">
        <v>229</v>
      </c>
      <c r="F1184" s="371">
        <v>0</v>
      </c>
      <c r="G1184" s="372">
        <v>0</v>
      </c>
      <c r="H1184" s="371">
        <v>0</v>
      </c>
      <c r="I1184" s="371">
        <v>47325.870646766161</v>
      </c>
      <c r="J1184" s="373">
        <v>15812.392196783265</v>
      </c>
      <c r="K1184" s="313"/>
      <c r="L1184" s="313"/>
    </row>
    <row r="1185" spans="1:12" x14ac:dyDescent="0.25">
      <c r="A1185" s="369">
        <v>1552469</v>
      </c>
      <c r="B1185" s="370" t="s">
        <v>874</v>
      </c>
      <c r="C1185" s="370" t="s">
        <v>2444</v>
      </c>
      <c r="D1185" s="370" t="str">
        <f t="shared" si="18"/>
        <v>1552469__PPPs</v>
      </c>
      <c r="E1185" s="370" t="s">
        <v>229</v>
      </c>
      <c r="F1185" s="371">
        <v>717557</v>
      </c>
      <c r="G1185" s="372">
        <v>1.625</v>
      </c>
      <c r="H1185" s="371">
        <v>27461.040949100647</v>
      </c>
      <c r="I1185" s="371">
        <v>19294.107457143255</v>
      </c>
      <c r="J1185" s="373">
        <v>25293.255114356805</v>
      </c>
      <c r="K1185" s="313"/>
      <c r="L1185" s="313"/>
    </row>
    <row r="1186" spans="1:12" x14ac:dyDescent="0.25">
      <c r="A1186" s="369">
        <v>1552469</v>
      </c>
      <c r="B1186" s="370" t="s">
        <v>874</v>
      </c>
      <c r="C1186" s="370" t="s">
        <v>2445</v>
      </c>
      <c r="D1186" s="370" t="str">
        <f t="shared" ref="D1186:D1249" si="19">CONCATENATE(A1186,"__",C1186)</f>
        <v>1552469__PPPz</v>
      </c>
      <c r="E1186" s="370" t="s">
        <v>229</v>
      </c>
      <c r="F1186" s="371">
        <v>0</v>
      </c>
      <c r="G1186" s="372">
        <v>0</v>
      </c>
      <c r="H1186" s="371">
        <v>0</v>
      </c>
      <c r="I1186" s="371">
        <v>0</v>
      </c>
      <c r="J1186" s="373">
        <v>5060.6722653370243</v>
      </c>
      <c r="K1186" s="313"/>
      <c r="L1186" s="313"/>
    </row>
    <row r="1187" spans="1:12" ht="15.75" thickBot="1" x14ac:dyDescent="0.3">
      <c r="A1187" s="374">
        <v>1552469</v>
      </c>
      <c r="B1187" s="375" t="s">
        <v>874</v>
      </c>
      <c r="C1187" s="375" t="s">
        <v>2446</v>
      </c>
      <c r="D1187" s="375" t="str">
        <f t="shared" si="19"/>
        <v>1552469__VED</v>
      </c>
      <c r="E1187" s="375" t="s">
        <v>229</v>
      </c>
      <c r="F1187" s="376">
        <v>55170</v>
      </c>
      <c r="G1187" s="377">
        <v>0.125</v>
      </c>
      <c r="H1187" s="376">
        <v>27447.761194029848</v>
      </c>
      <c r="I1187" s="376">
        <v>26564.836101351124</v>
      </c>
      <c r="J1187" s="378">
        <v>35888.200163351954</v>
      </c>
      <c r="K1187" s="313"/>
      <c r="L1187" s="313"/>
    </row>
    <row r="1188" spans="1:12" x14ac:dyDescent="0.25">
      <c r="A1188" s="364">
        <v>6163071</v>
      </c>
      <c r="B1188" s="365" t="s">
        <v>257</v>
      </c>
      <c r="C1188" s="365" t="s">
        <v>2442</v>
      </c>
      <c r="D1188" s="365" t="str">
        <f t="shared" si="19"/>
        <v>6163071__ADM</v>
      </c>
      <c r="E1188" s="365" t="s">
        <v>229</v>
      </c>
      <c r="F1188" s="366">
        <v>52918</v>
      </c>
      <c r="G1188" s="367">
        <v>0.22500000000000001</v>
      </c>
      <c r="H1188" s="366">
        <v>14626.312880044223</v>
      </c>
      <c r="I1188" s="366">
        <v>25052.642525622454</v>
      </c>
      <c r="J1188" s="368">
        <v>29661.074254298292</v>
      </c>
      <c r="K1188" s="313"/>
      <c r="L1188" s="313"/>
    </row>
    <row r="1189" spans="1:12" x14ac:dyDescent="0.25">
      <c r="A1189" s="369">
        <v>6163071</v>
      </c>
      <c r="B1189" s="370" t="s">
        <v>257</v>
      </c>
      <c r="C1189" s="370" t="s">
        <v>2443</v>
      </c>
      <c r="D1189" s="370" t="str">
        <f t="shared" si="19"/>
        <v>6163071__MAN</v>
      </c>
      <c r="E1189" s="370" t="s">
        <v>229</v>
      </c>
      <c r="F1189" s="371">
        <v>76100</v>
      </c>
      <c r="G1189" s="372">
        <v>0.1</v>
      </c>
      <c r="H1189" s="371">
        <v>47325.870646766161</v>
      </c>
      <c r="I1189" s="371">
        <v>47325.870646766161</v>
      </c>
      <c r="J1189" s="373">
        <v>15812.392196783265</v>
      </c>
      <c r="K1189" s="313"/>
      <c r="L1189" s="313"/>
    </row>
    <row r="1190" spans="1:12" x14ac:dyDescent="0.25">
      <c r="A1190" s="369">
        <v>6163071</v>
      </c>
      <c r="B1190" s="370" t="s">
        <v>257</v>
      </c>
      <c r="C1190" s="370" t="s">
        <v>2444</v>
      </c>
      <c r="D1190" s="370" t="str">
        <f t="shared" si="19"/>
        <v>6163071__PPPs</v>
      </c>
      <c r="E1190" s="370" t="s">
        <v>229</v>
      </c>
      <c r="F1190" s="371">
        <v>492852</v>
      </c>
      <c r="G1190" s="372">
        <v>2.1</v>
      </c>
      <c r="H1190" s="371">
        <v>14595.238095238094</v>
      </c>
      <c r="I1190" s="371">
        <v>19294.107457143255</v>
      </c>
      <c r="J1190" s="373">
        <v>25293.255114356805</v>
      </c>
      <c r="K1190" s="313"/>
      <c r="L1190" s="313"/>
    </row>
    <row r="1191" spans="1:12" x14ac:dyDescent="0.25">
      <c r="A1191" s="369">
        <v>6163071</v>
      </c>
      <c r="B1191" s="370" t="s">
        <v>257</v>
      </c>
      <c r="C1191" s="370" t="s">
        <v>2445</v>
      </c>
      <c r="D1191" s="370" t="str">
        <f t="shared" si="19"/>
        <v>6163071__PPPz</v>
      </c>
      <c r="E1191" s="370" t="s">
        <v>229</v>
      </c>
      <c r="F1191" s="371">
        <v>0</v>
      </c>
      <c r="G1191" s="372">
        <v>0</v>
      </c>
      <c r="H1191" s="371">
        <v>0</v>
      </c>
      <c r="I1191" s="371">
        <v>0</v>
      </c>
      <c r="J1191" s="373">
        <v>5060.6722653370243</v>
      </c>
      <c r="K1191" s="313"/>
      <c r="L1191" s="313"/>
    </row>
    <row r="1192" spans="1:12" ht="15.75" thickBot="1" x14ac:dyDescent="0.3">
      <c r="A1192" s="374">
        <v>6163071</v>
      </c>
      <c r="B1192" s="375" t="s">
        <v>257</v>
      </c>
      <c r="C1192" s="375" t="s">
        <v>2446</v>
      </c>
      <c r="D1192" s="375" t="str">
        <f t="shared" si="19"/>
        <v>6163071__VED</v>
      </c>
      <c r="E1192" s="375" t="s">
        <v>229</v>
      </c>
      <c r="F1192" s="376">
        <v>52521</v>
      </c>
      <c r="G1192" s="377">
        <v>6.2600000000000003E-2</v>
      </c>
      <c r="H1192" s="376">
        <v>52176.219541271275</v>
      </c>
      <c r="I1192" s="376">
        <v>26564.836101351124</v>
      </c>
      <c r="J1192" s="378">
        <v>35888.200163351954</v>
      </c>
      <c r="K1192" s="313"/>
      <c r="L1192" s="313"/>
    </row>
    <row r="1193" spans="1:12" x14ac:dyDescent="0.25">
      <c r="A1193" s="364">
        <v>7263765</v>
      </c>
      <c r="B1193" s="365" t="s">
        <v>2439</v>
      </c>
      <c r="C1193" s="365" t="s">
        <v>2442</v>
      </c>
      <c r="D1193" s="365" t="str">
        <f t="shared" si="19"/>
        <v>7263765__ADM</v>
      </c>
      <c r="E1193" s="365" t="s">
        <v>229</v>
      </c>
      <c r="F1193" s="366">
        <v>0</v>
      </c>
      <c r="G1193" s="367">
        <v>0</v>
      </c>
      <c r="H1193" s="366">
        <v>0</v>
      </c>
      <c r="I1193" s="366">
        <v>25052.642525622454</v>
      </c>
      <c r="J1193" s="368">
        <v>29661.074254298292</v>
      </c>
      <c r="K1193" s="313"/>
      <c r="L1193" s="313"/>
    </row>
    <row r="1194" spans="1:12" x14ac:dyDescent="0.25">
      <c r="A1194" s="369">
        <v>7263765</v>
      </c>
      <c r="B1194" s="370" t="s">
        <v>2439</v>
      </c>
      <c r="C1194" s="370" t="s">
        <v>2443</v>
      </c>
      <c r="D1194" s="370" t="str">
        <f t="shared" si="19"/>
        <v>7263765__MAN</v>
      </c>
      <c r="E1194" s="370" t="s">
        <v>229</v>
      </c>
      <c r="F1194" s="371">
        <v>0</v>
      </c>
      <c r="G1194" s="372">
        <v>0</v>
      </c>
      <c r="H1194" s="371">
        <v>0</v>
      </c>
      <c r="I1194" s="371">
        <v>47325.870646766161</v>
      </c>
      <c r="J1194" s="373">
        <v>15812.392196783265</v>
      </c>
      <c r="K1194" s="313"/>
      <c r="L1194" s="313"/>
    </row>
    <row r="1195" spans="1:12" x14ac:dyDescent="0.25">
      <c r="A1195" s="369">
        <v>7263765</v>
      </c>
      <c r="B1195" s="370" t="s">
        <v>2439</v>
      </c>
      <c r="C1195" s="370" t="s">
        <v>2444</v>
      </c>
      <c r="D1195" s="370" t="str">
        <f t="shared" si="19"/>
        <v>7263765__PPPs</v>
      </c>
      <c r="E1195" s="370" t="s">
        <v>229</v>
      </c>
      <c r="F1195" s="371">
        <v>0</v>
      </c>
      <c r="G1195" s="372">
        <v>0</v>
      </c>
      <c r="H1195" s="371">
        <v>0</v>
      </c>
      <c r="I1195" s="371">
        <v>19294.107457143255</v>
      </c>
      <c r="J1195" s="373">
        <v>25293.255114356805</v>
      </c>
      <c r="K1195" s="313"/>
      <c r="L1195" s="313"/>
    </row>
    <row r="1196" spans="1:12" x14ac:dyDescent="0.25">
      <c r="A1196" s="369">
        <v>7263765</v>
      </c>
      <c r="B1196" s="370" t="s">
        <v>2439</v>
      </c>
      <c r="C1196" s="370" t="s">
        <v>2445</v>
      </c>
      <c r="D1196" s="370" t="str">
        <f t="shared" si="19"/>
        <v>7263765__PPPz</v>
      </c>
      <c r="E1196" s="370" t="s">
        <v>229</v>
      </c>
      <c r="F1196" s="371">
        <v>0</v>
      </c>
      <c r="G1196" s="372">
        <v>0</v>
      </c>
      <c r="H1196" s="371">
        <v>0</v>
      </c>
      <c r="I1196" s="371">
        <v>0</v>
      </c>
      <c r="J1196" s="373">
        <v>5060.6722653370243</v>
      </c>
      <c r="K1196" s="313"/>
      <c r="L1196" s="313"/>
    </row>
    <row r="1197" spans="1:12" ht="15.75" thickBot="1" x14ac:dyDescent="0.3">
      <c r="A1197" s="374">
        <v>7263765</v>
      </c>
      <c r="B1197" s="375" t="s">
        <v>2439</v>
      </c>
      <c r="C1197" s="375" t="s">
        <v>2446</v>
      </c>
      <c r="D1197" s="375" t="str">
        <f t="shared" si="19"/>
        <v>7263765__VED</v>
      </c>
      <c r="E1197" s="375" t="s">
        <v>229</v>
      </c>
      <c r="F1197" s="376">
        <v>0</v>
      </c>
      <c r="G1197" s="377">
        <v>0</v>
      </c>
      <c r="H1197" s="376">
        <v>0</v>
      </c>
      <c r="I1197" s="376">
        <v>26564.836101351124</v>
      </c>
      <c r="J1197" s="378">
        <v>35888.200163351954</v>
      </c>
      <c r="K1197" s="313"/>
      <c r="L1197" s="313"/>
    </row>
    <row r="1198" spans="1:12" x14ac:dyDescent="0.25">
      <c r="A1198" s="364">
        <v>7653065</v>
      </c>
      <c r="B1198" s="365" t="s">
        <v>553</v>
      </c>
      <c r="C1198" s="365" t="s">
        <v>2442</v>
      </c>
      <c r="D1198" s="365" t="str">
        <f t="shared" si="19"/>
        <v>7653065__ADM</v>
      </c>
      <c r="E1198" s="365" t="s">
        <v>229</v>
      </c>
      <c r="F1198" s="366">
        <v>428790</v>
      </c>
      <c r="G1198" s="367">
        <v>1.0771999999999999</v>
      </c>
      <c r="H1198" s="366">
        <v>24754.961730523024</v>
      </c>
      <c r="I1198" s="366">
        <v>25052.642525622454</v>
      </c>
      <c r="J1198" s="368">
        <v>29661.074254298292</v>
      </c>
      <c r="K1198" s="313"/>
      <c r="L1198" s="313"/>
    </row>
    <row r="1199" spans="1:12" x14ac:dyDescent="0.25">
      <c r="A1199" s="369">
        <v>7653065</v>
      </c>
      <c r="B1199" s="370" t="s">
        <v>553</v>
      </c>
      <c r="C1199" s="370" t="s">
        <v>2443</v>
      </c>
      <c r="D1199" s="370" t="str">
        <f t="shared" si="19"/>
        <v>7653065__MAN</v>
      </c>
      <c r="E1199" s="370" t="s">
        <v>229</v>
      </c>
      <c r="F1199" s="371">
        <v>0</v>
      </c>
      <c r="G1199" s="372">
        <v>0</v>
      </c>
      <c r="H1199" s="371">
        <v>0</v>
      </c>
      <c r="I1199" s="371">
        <v>47325.870646766161</v>
      </c>
      <c r="J1199" s="373">
        <v>15812.392196783265</v>
      </c>
      <c r="K1199" s="313"/>
      <c r="L1199" s="313"/>
    </row>
    <row r="1200" spans="1:12" x14ac:dyDescent="0.25">
      <c r="A1200" s="369">
        <v>7653065</v>
      </c>
      <c r="B1200" s="370" t="s">
        <v>553</v>
      </c>
      <c r="C1200" s="370" t="s">
        <v>2444</v>
      </c>
      <c r="D1200" s="370" t="str">
        <f t="shared" si="19"/>
        <v>7653065__PPPs</v>
      </c>
      <c r="E1200" s="370" t="s">
        <v>229</v>
      </c>
      <c r="F1200" s="371">
        <v>1574078</v>
      </c>
      <c r="G1200" s="372">
        <v>5.25</v>
      </c>
      <c r="H1200" s="371">
        <v>18645.794835347071</v>
      </c>
      <c r="I1200" s="371">
        <v>19294.107457143255</v>
      </c>
      <c r="J1200" s="373">
        <v>25293.255114356805</v>
      </c>
      <c r="K1200" s="313"/>
      <c r="L1200" s="313"/>
    </row>
    <row r="1201" spans="1:12" x14ac:dyDescent="0.25">
      <c r="A1201" s="369">
        <v>7653065</v>
      </c>
      <c r="B1201" s="370" t="s">
        <v>553</v>
      </c>
      <c r="C1201" s="370" t="s">
        <v>2445</v>
      </c>
      <c r="D1201" s="370" t="str">
        <f t="shared" si="19"/>
        <v>7653065__PPPz</v>
      </c>
      <c r="E1201" s="370" t="s">
        <v>229</v>
      </c>
      <c r="F1201" s="371">
        <v>0</v>
      </c>
      <c r="G1201" s="372">
        <v>0</v>
      </c>
      <c r="H1201" s="371">
        <v>0</v>
      </c>
      <c r="I1201" s="371">
        <v>0</v>
      </c>
      <c r="J1201" s="373">
        <v>5060.6722653370243</v>
      </c>
      <c r="K1201" s="313"/>
      <c r="L1201" s="313"/>
    </row>
    <row r="1202" spans="1:12" ht="15.75" thickBot="1" x14ac:dyDescent="0.3">
      <c r="A1202" s="374">
        <v>7653065</v>
      </c>
      <c r="B1202" s="375" t="s">
        <v>553</v>
      </c>
      <c r="C1202" s="375" t="s">
        <v>2446</v>
      </c>
      <c r="D1202" s="375" t="str">
        <f t="shared" si="19"/>
        <v>7653065__VED</v>
      </c>
      <c r="E1202" s="375" t="s">
        <v>229</v>
      </c>
      <c r="F1202" s="376">
        <v>322718</v>
      </c>
      <c r="G1202" s="377">
        <v>0.82</v>
      </c>
      <c r="H1202" s="376">
        <v>24475.03336973668</v>
      </c>
      <c r="I1202" s="376">
        <v>26564.836101351124</v>
      </c>
      <c r="J1202" s="378">
        <v>35888.200163351954</v>
      </c>
      <c r="K1202" s="313"/>
      <c r="L1202" s="313"/>
    </row>
    <row r="1203" spans="1:12" x14ac:dyDescent="0.25">
      <c r="A1203" s="364">
        <v>2390992</v>
      </c>
      <c r="B1203" s="365" t="s">
        <v>698</v>
      </c>
      <c r="C1203" s="365" t="s">
        <v>2442</v>
      </c>
      <c r="D1203" s="365" t="str">
        <f t="shared" si="19"/>
        <v>2390992__ADM</v>
      </c>
      <c r="E1203" s="365" t="s">
        <v>235</v>
      </c>
      <c r="F1203" s="366">
        <v>0</v>
      </c>
      <c r="G1203" s="367">
        <v>0</v>
      </c>
      <c r="H1203" s="366">
        <v>0</v>
      </c>
      <c r="I1203" s="366">
        <v>29924.163902708682</v>
      </c>
      <c r="J1203" s="368">
        <v>29385.549902549963</v>
      </c>
      <c r="K1203" s="313"/>
      <c r="L1203" s="313"/>
    </row>
    <row r="1204" spans="1:12" x14ac:dyDescent="0.25">
      <c r="A1204" s="369">
        <v>2390992</v>
      </c>
      <c r="B1204" s="370" t="s">
        <v>698</v>
      </c>
      <c r="C1204" s="370" t="s">
        <v>2443</v>
      </c>
      <c r="D1204" s="370" t="str">
        <f t="shared" si="19"/>
        <v>2390992__MAN</v>
      </c>
      <c r="E1204" s="370" t="s">
        <v>235</v>
      </c>
      <c r="F1204" s="371">
        <v>0</v>
      </c>
      <c r="G1204" s="372">
        <v>0</v>
      </c>
      <c r="H1204" s="371">
        <v>0</v>
      </c>
      <c r="I1204" s="371">
        <v>17590.527879202957</v>
      </c>
      <c r="J1204" s="373">
        <v>25045.331823341257</v>
      </c>
      <c r="K1204" s="313"/>
      <c r="L1204" s="313"/>
    </row>
    <row r="1205" spans="1:12" x14ac:dyDescent="0.25">
      <c r="A1205" s="369">
        <v>2390992</v>
      </c>
      <c r="B1205" s="370" t="s">
        <v>698</v>
      </c>
      <c r="C1205" s="370" t="s">
        <v>2444</v>
      </c>
      <c r="D1205" s="370" t="str">
        <f t="shared" si="19"/>
        <v>2390992__PPPs</v>
      </c>
      <c r="E1205" s="370" t="s">
        <v>235</v>
      </c>
      <c r="F1205" s="371">
        <v>424421</v>
      </c>
      <c r="G1205" s="372">
        <v>1.2984</v>
      </c>
      <c r="H1205" s="371">
        <v>20328.358592128698</v>
      </c>
      <c r="I1205" s="371">
        <v>28199.372889022721</v>
      </c>
      <c r="J1205" s="373">
        <v>26837.070867899798</v>
      </c>
      <c r="K1205" s="313"/>
      <c r="L1205" s="313"/>
    </row>
    <row r="1206" spans="1:12" x14ac:dyDescent="0.25">
      <c r="A1206" s="369">
        <v>2390992</v>
      </c>
      <c r="B1206" s="370" t="s">
        <v>698</v>
      </c>
      <c r="C1206" s="370" t="s">
        <v>2445</v>
      </c>
      <c r="D1206" s="370" t="str">
        <f t="shared" si="19"/>
        <v>2390992__PPPz</v>
      </c>
      <c r="E1206" s="370" t="s">
        <v>235</v>
      </c>
      <c r="F1206" s="371">
        <v>0</v>
      </c>
      <c r="G1206" s="372">
        <v>0</v>
      </c>
      <c r="H1206" s="371">
        <v>0</v>
      </c>
      <c r="I1206" s="371">
        <v>55436.981757877285</v>
      </c>
      <c r="J1206" s="373">
        <v>14206.769404494691</v>
      </c>
      <c r="K1206" s="313"/>
      <c r="L1206" s="313"/>
    </row>
    <row r="1207" spans="1:12" ht="15.75" thickBot="1" x14ac:dyDescent="0.3">
      <c r="A1207" s="374">
        <v>2390992</v>
      </c>
      <c r="B1207" s="375" t="s">
        <v>698</v>
      </c>
      <c r="C1207" s="375" t="s">
        <v>2446</v>
      </c>
      <c r="D1207" s="375" t="str">
        <f t="shared" si="19"/>
        <v>2390992__VED</v>
      </c>
      <c r="E1207" s="375" t="s">
        <v>235</v>
      </c>
      <c r="F1207" s="376">
        <v>0</v>
      </c>
      <c r="G1207" s="377">
        <v>0</v>
      </c>
      <c r="H1207" s="376">
        <v>0</v>
      </c>
      <c r="I1207" s="376">
        <v>30311.870256896436</v>
      </c>
      <c r="J1207" s="378">
        <v>38300.591011083714</v>
      </c>
      <c r="K1207" s="313"/>
      <c r="L1207" s="313"/>
    </row>
    <row r="1208" spans="1:12" x14ac:dyDescent="0.25">
      <c r="A1208" s="364">
        <v>2813024</v>
      </c>
      <c r="B1208" s="365" t="s">
        <v>776</v>
      </c>
      <c r="C1208" s="365" t="s">
        <v>2442</v>
      </c>
      <c r="D1208" s="365" t="str">
        <f t="shared" si="19"/>
        <v>2813024__ADM</v>
      </c>
      <c r="E1208" s="365" t="s">
        <v>235</v>
      </c>
      <c r="F1208" s="366">
        <v>348742</v>
      </c>
      <c r="G1208" s="367">
        <v>0.502</v>
      </c>
      <c r="H1208" s="366">
        <v>43203.058413113708</v>
      </c>
      <c r="I1208" s="366">
        <v>29924.163902708682</v>
      </c>
      <c r="J1208" s="368">
        <v>29385.549902549963</v>
      </c>
      <c r="K1208" s="313"/>
      <c r="L1208" s="313"/>
    </row>
    <row r="1209" spans="1:12" x14ac:dyDescent="0.25">
      <c r="A1209" s="369">
        <v>2813024</v>
      </c>
      <c r="B1209" s="370" t="s">
        <v>776</v>
      </c>
      <c r="C1209" s="370" t="s">
        <v>2443</v>
      </c>
      <c r="D1209" s="370" t="str">
        <f t="shared" si="19"/>
        <v>2813024__MAN</v>
      </c>
      <c r="E1209" s="370" t="s">
        <v>235</v>
      </c>
      <c r="F1209" s="371">
        <v>87431</v>
      </c>
      <c r="G1209" s="372">
        <v>0.29099999999999998</v>
      </c>
      <c r="H1209" s="371">
        <v>18684.712177941907</v>
      </c>
      <c r="I1209" s="371">
        <v>17590.527879202957</v>
      </c>
      <c r="J1209" s="373">
        <v>25045.331823341257</v>
      </c>
      <c r="K1209" s="313"/>
      <c r="L1209" s="313"/>
    </row>
    <row r="1210" spans="1:12" x14ac:dyDescent="0.25">
      <c r="A1210" s="369">
        <v>2813024</v>
      </c>
      <c r="B1210" s="370" t="s">
        <v>776</v>
      </c>
      <c r="C1210" s="370" t="s">
        <v>2444</v>
      </c>
      <c r="D1210" s="370" t="str">
        <f t="shared" si="19"/>
        <v>2813024__PPPs</v>
      </c>
      <c r="E1210" s="370" t="s">
        <v>235</v>
      </c>
      <c r="F1210" s="371">
        <v>1587154</v>
      </c>
      <c r="G1210" s="372">
        <v>3.14</v>
      </c>
      <c r="H1210" s="371">
        <v>31434.269734131882</v>
      </c>
      <c r="I1210" s="371">
        <v>28199.372889022721</v>
      </c>
      <c r="J1210" s="373">
        <v>26837.070867899798</v>
      </c>
      <c r="K1210" s="313"/>
      <c r="L1210" s="313"/>
    </row>
    <row r="1211" spans="1:12" x14ac:dyDescent="0.25">
      <c r="A1211" s="369">
        <v>2813024</v>
      </c>
      <c r="B1211" s="370" t="s">
        <v>776</v>
      </c>
      <c r="C1211" s="370" t="s">
        <v>2445</v>
      </c>
      <c r="D1211" s="370" t="str">
        <f t="shared" si="19"/>
        <v>2813024__PPPz</v>
      </c>
      <c r="E1211" s="370" t="s">
        <v>235</v>
      </c>
      <c r="F1211" s="371">
        <v>0</v>
      </c>
      <c r="G1211" s="372">
        <v>0</v>
      </c>
      <c r="H1211" s="371">
        <v>0</v>
      </c>
      <c r="I1211" s="371">
        <v>55436.981757877285</v>
      </c>
      <c r="J1211" s="373">
        <v>14206.769404494691</v>
      </c>
      <c r="K1211" s="313"/>
      <c r="L1211" s="313"/>
    </row>
    <row r="1212" spans="1:12" ht="15.75" thickBot="1" x14ac:dyDescent="0.3">
      <c r="A1212" s="374">
        <v>2813024</v>
      </c>
      <c r="B1212" s="375" t="s">
        <v>776</v>
      </c>
      <c r="C1212" s="375" t="s">
        <v>2446</v>
      </c>
      <c r="D1212" s="375" t="str">
        <f t="shared" si="19"/>
        <v>2813024__VED</v>
      </c>
      <c r="E1212" s="375" t="s">
        <v>235</v>
      </c>
      <c r="F1212" s="376">
        <v>48260</v>
      </c>
      <c r="G1212" s="377">
        <v>0.183</v>
      </c>
      <c r="H1212" s="376">
        <v>16400.239240953702</v>
      </c>
      <c r="I1212" s="376">
        <v>30311.870256896436</v>
      </c>
      <c r="J1212" s="378">
        <v>38300.591011083714</v>
      </c>
      <c r="K1212" s="313"/>
      <c r="L1212" s="313"/>
    </row>
    <row r="1213" spans="1:12" x14ac:dyDescent="0.25">
      <c r="A1213" s="364">
        <v>3054253</v>
      </c>
      <c r="B1213" s="365" t="s">
        <v>713</v>
      </c>
      <c r="C1213" s="365" t="s">
        <v>2442</v>
      </c>
      <c r="D1213" s="365" t="str">
        <f t="shared" si="19"/>
        <v>3054253__ADM</v>
      </c>
      <c r="E1213" s="365" t="s">
        <v>235</v>
      </c>
      <c r="F1213" s="366">
        <v>0</v>
      </c>
      <c r="G1213" s="367">
        <v>0</v>
      </c>
      <c r="H1213" s="366">
        <v>0</v>
      </c>
      <c r="I1213" s="366">
        <v>29924.163902708682</v>
      </c>
      <c r="J1213" s="368">
        <v>29385.549902549963</v>
      </c>
      <c r="K1213" s="313"/>
      <c r="L1213" s="313"/>
    </row>
    <row r="1214" spans="1:12" x14ac:dyDescent="0.25">
      <c r="A1214" s="369">
        <v>3054253</v>
      </c>
      <c r="B1214" s="370" t="s">
        <v>713</v>
      </c>
      <c r="C1214" s="370" t="s">
        <v>2443</v>
      </c>
      <c r="D1214" s="370" t="str">
        <f t="shared" si="19"/>
        <v>3054253__MAN</v>
      </c>
      <c r="E1214" s="370" t="s">
        <v>235</v>
      </c>
      <c r="F1214" s="371">
        <v>0</v>
      </c>
      <c r="G1214" s="372">
        <v>0</v>
      </c>
      <c r="H1214" s="371">
        <v>0</v>
      </c>
      <c r="I1214" s="371">
        <v>17590.527879202957</v>
      </c>
      <c r="J1214" s="373">
        <v>25045.331823341257</v>
      </c>
      <c r="K1214" s="313"/>
      <c r="L1214" s="313"/>
    </row>
    <row r="1215" spans="1:12" x14ac:dyDescent="0.25">
      <c r="A1215" s="369">
        <v>3054253</v>
      </c>
      <c r="B1215" s="370" t="s">
        <v>713</v>
      </c>
      <c r="C1215" s="370" t="s">
        <v>2444</v>
      </c>
      <c r="D1215" s="370" t="str">
        <f t="shared" si="19"/>
        <v>3054253__PPPs</v>
      </c>
      <c r="E1215" s="370" t="s">
        <v>235</v>
      </c>
      <c r="F1215" s="371">
        <v>249028</v>
      </c>
      <c r="G1215" s="372">
        <v>0.6704</v>
      </c>
      <c r="H1215" s="371">
        <v>23100.859069806102</v>
      </c>
      <c r="I1215" s="371">
        <v>28199.372889022721</v>
      </c>
      <c r="J1215" s="373">
        <v>26837.070867899798</v>
      </c>
      <c r="K1215" s="313"/>
      <c r="L1215" s="313"/>
    </row>
    <row r="1216" spans="1:12" x14ac:dyDescent="0.25">
      <c r="A1216" s="369">
        <v>3054253</v>
      </c>
      <c r="B1216" s="370" t="s">
        <v>713</v>
      </c>
      <c r="C1216" s="370" t="s">
        <v>2445</v>
      </c>
      <c r="D1216" s="370" t="str">
        <f t="shared" si="19"/>
        <v>3054253__PPPz</v>
      </c>
      <c r="E1216" s="370" t="s">
        <v>235</v>
      </c>
      <c r="F1216" s="371">
        <v>0</v>
      </c>
      <c r="G1216" s="372">
        <v>0</v>
      </c>
      <c r="H1216" s="371">
        <v>0</v>
      </c>
      <c r="I1216" s="371">
        <v>55436.981757877285</v>
      </c>
      <c r="J1216" s="373">
        <v>14206.769404494691</v>
      </c>
      <c r="K1216" s="313"/>
      <c r="L1216" s="313"/>
    </row>
    <row r="1217" spans="1:12" ht="15.75" thickBot="1" x14ac:dyDescent="0.3">
      <c r="A1217" s="374">
        <v>3054253</v>
      </c>
      <c r="B1217" s="375" t="s">
        <v>713</v>
      </c>
      <c r="C1217" s="375" t="s">
        <v>2446</v>
      </c>
      <c r="D1217" s="375" t="str">
        <f t="shared" si="19"/>
        <v>3054253__VED</v>
      </c>
      <c r="E1217" s="375" t="s">
        <v>235</v>
      </c>
      <c r="F1217" s="376">
        <v>0</v>
      </c>
      <c r="G1217" s="377">
        <v>0</v>
      </c>
      <c r="H1217" s="376">
        <v>0</v>
      </c>
      <c r="I1217" s="376">
        <v>30311.870256896436</v>
      </c>
      <c r="J1217" s="378">
        <v>38300.591011083714</v>
      </c>
      <c r="K1217" s="313"/>
      <c r="L1217" s="313"/>
    </row>
    <row r="1218" spans="1:12" x14ac:dyDescent="0.25">
      <c r="A1218" s="364">
        <v>3595008</v>
      </c>
      <c r="B1218" s="365" t="s">
        <v>2439</v>
      </c>
      <c r="C1218" s="365" t="s">
        <v>2442</v>
      </c>
      <c r="D1218" s="365" t="str">
        <f t="shared" si="19"/>
        <v>3595008__ADM</v>
      </c>
      <c r="E1218" s="365" t="s">
        <v>235</v>
      </c>
      <c r="F1218" s="366">
        <v>438184</v>
      </c>
      <c r="G1218" s="367">
        <v>2.1</v>
      </c>
      <c r="H1218" s="366">
        <v>12976.308931532811</v>
      </c>
      <c r="I1218" s="366">
        <v>29924.163902708682</v>
      </c>
      <c r="J1218" s="368">
        <v>29385.549902549963</v>
      </c>
      <c r="K1218" s="313"/>
      <c r="L1218" s="313"/>
    </row>
    <row r="1219" spans="1:12" x14ac:dyDescent="0.25">
      <c r="A1219" s="369">
        <v>3595008</v>
      </c>
      <c r="B1219" s="370" t="s">
        <v>2439</v>
      </c>
      <c r="C1219" s="370" t="s">
        <v>2443</v>
      </c>
      <c r="D1219" s="370" t="str">
        <f t="shared" si="19"/>
        <v>3595008__MAN</v>
      </c>
      <c r="E1219" s="370" t="s">
        <v>235</v>
      </c>
      <c r="F1219" s="371">
        <v>0</v>
      </c>
      <c r="G1219" s="372">
        <v>0</v>
      </c>
      <c r="H1219" s="371">
        <v>0</v>
      </c>
      <c r="I1219" s="371">
        <v>17590.527879202957</v>
      </c>
      <c r="J1219" s="373">
        <v>25045.331823341257</v>
      </c>
      <c r="K1219" s="313"/>
      <c r="L1219" s="313"/>
    </row>
    <row r="1220" spans="1:12" x14ac:dyDescent="0.25">
      <c r="A1220" s="369">
        <v>3595008</v>
      </c>
      <c r="B1220" s="370" t="s">
        <v>2439</v>
      </c>
      <c r="C1220" s="370" t="s">
        <v>2444</v>
      </c>
      <c r="D1220" s="370" t="str">
        <f t="shared" si="19"/>
        <v>3595008__PPPs</v>
      </c>
      <c r="E1220" s="370" t="s">
        <v>235</v>
      </c>
      <c r="F1220" s="371">
        <v>2547777</v>
      </c>
      <c r="G1220" s="372">
        <v>5.0760000000000005</v>
      </c>
      <c r="H1220" s="371">
        <v>31214.311127577239</v>
      </c>
      <c r="I1220" s="371">
        <v>28199.372889022721</v>
      </c>
      <c r="J1220" s="373">
        <v>26837.070867899798</v>
      </c>
      <c r="K1220" s="313"/>
      <c r="L1220" s="313"/>
    </row>
    <row r="1221" spans="1:12" x14ac:dyDescent="0.25">
      <c r="A1221" s="369">
        <v>3595008</v>
      </c>
      <c r="B1221" s="370" t="s">
        <v>2439</v>
      </c>
      <c r="C1221" s="370" t="s">
        <v>2445</v>
      </c>
      <c r="D1221" s="370" t="str">
        <f t="shared" si="19"/>
        <v>3595008__PPPz</v>
      </c>
      <c r="E1221" s="370" t="s">
        <v>235</v>
      </c>
      <c r="F1221" s="371">
        <v>0</v>
      </c>
      <c r="G1221" s="372">
        <v>0</v>
      </c>
      <c r="H1221" s="371">
        <v>0</v>
      </c>
      <c r="I1221" s="371">
        <v>55436.981757877285</v>
      </c>
      <c r="J1221" s="373">
        <v>14206.769404494691</v>
      </c>
      <c r="K1221" s="313"/>
      <c r="L1221" s="313"/>
    </row>
    <row r="1222" spans="1:12" ht="15.75" thickBot="1" x14ac:dyDescent="0.3">
      <c r="A1222" s="374">
        <v>3595008</v>
      </c>
      <c r="B1222" s="375" t="s">
        <v>2439</v>
      </c>
      <c r="C1222" s="375" t="s">
        <v>2446</v>
      </c>
      <c r="D1222" s="375" t="str">
        <f t="shared" si="19"/>
        <v>3595008__VED</v>
      </c>
      <c r="E1222" s="375" t="s">
        <v>235</v>
      </c>
      <c r="F1222" s="376">
        <v>403860</v>
      </c>
      <c r="G1222" s="377">
        <v>0.99960000000000004</v>
      </c>
      <c r="H1222" s="376">
        <v>25125.721930563264</v>
      </c>
      <c r="I1222" s="376">
        <v>30311.870256896436</v>
      </c>
      <c r="J1222" s="378">
        <v>38300.591011083714</v>
      </c>
      <c r="K1222" s="313"/>
      <c r="L1222" s="313"/>
    </row>
    <row r="1223" spans="1:12" x14ac:dyDescent="0.25">
      <c r="A1223" s="364">
        <v>3650770</v>
      </c>
      <c r="B1223" s="365" t="s">
        <v>257</v>
      </c>
      <c r="C1223" s="365" t="s">
        <v>2442</v>
      </c>
      <c r="D1223" s="365" t="str">
        <f t="shared" si="19"/>
        <v>3650770__ADM</v>
      </c>
      <c r="E1223" s="365" t="s">
        <v>235</v>
      </c>
      <c r="F1223" s="366">
        <v>90425</v>
      </c>
      <c r="G1223" s="367">
        <v>0.22500000000000001</v>
      </c>
      <c r="H1223" s="366">
        <v>24993.090105030398</v>
      </c>
      <c r="I1223" s="366">
        <v>29924.163902708682</v>
      </c>
      <c r="J1223" s="368">
        <v>29385.549902549963</v>
      </c>
      <c r="K1223" s="313"/>
      <c r="L1223" s="313"/>
    </row>
    <row r="1224" spans="1:12" x14ac:dyDescent="0.25">
      <c r="A1224" s="369">
        <v>3650770</v>
      </c>
      <c r="B1224" s="370" t="s">
        <v>257</v>
      </c>
      <c r="C1224" s="370" t="s">
        <v>2443</v>
      </c>
      <c r="D1224" s="370" t="str">
        <f t="shared" si="19"/>
        <v>3650770__MAN</v>
      </c>
      <c r="E1224" s="370" t="s">
        <v>235</v>
      </c>
      <c r="F1224" s="371">
        <v>99497</v>
      </c>
      <c r="G1224" s="372">
        <v>0.25</v>
      </c>
      <c r="H1224" s="371">
        <v>24750.497512437807</v>
      </c>
      <c r="I1224" s="371">
        <v>17590.527879202957</v>
      </c>
      <c r="J1224" s="373">
        <v>25045.331823341257</v>
      </c>
      <c r="K1224" s="313"/>
      <c r="L1224" s="313"/>
    </row>
    <row r="1225" spans="1:12" x14ac:dyDescent="0.25">
      <c r="A1225" s="369">
        <v>3650770</v>
      </c>
      <c r="B1225" s="370" t="s">
        <v>257</v>
      </c>
      <c r="C1225" s="370" t="s">
        <v>2444</v>
      </c>
      <c r="D1225" s="370" t="str">
        <f t="shared" si="19"/>
        <v>3650770__PPPs</v>
      </c>
      <c r="E1225" s="370" t="s">
        <v>235</v>
      </c>
      <c r="F1225" s="371">
        <v>1783271</v>
      </c>
      <c r="G1225" s="372">
        <v>3</v>
      </c>
      <c r="H1225" s="371">
        <v>36966.645936981753</v>
      </c>
      <c r="I1225" s="371">
        <v>28199.372889022721</v>
      </c>
      <c r="J1225" s="373">
        <v>26837.070867899798</v>
      </c>
      <c r="K1225" s="313"/>
      <c r="L1225" s="313"/>
    </row>
    <row r="1226" spans="1:12" x14ac:dyDescent="0.25">
      <c r="A1226" s="369">
        <v>3650770</v>
      </c>
      <c r="B1226" s="370" t="s">
        <v>257</v>
      </c>
      <c r="C1226" s="370" t="s">
        <v>2445</v>
      </c>
      <c r="D1226" s="370" t="str">
        <f t="shared" si="19"/>
        <v>3650770__PPPz</v>
      </c>
      <c r="E1226" s="370" t="s">
        <v>235</v>
      </c>
      <c r="F1226" s="371">
        <v>0</v>
      </c>
      <c r="G1226" s="372">
        <v>0</v>
      </c>
      <c r="H1226" s="371">
        <v>0</v>
      </c>
      <c r="I1226" s="371">
        <v>55436.981757877285</v>
      </c>
      <c r="J1226" s="373">
        <v>14206.769404494691</v>
      </c>
      <c r="K1226" s="313"/>
      <c r="L1226" s="313"/>
    </row>
    <row r="1227" spans="1:12" ht="15.75" thickBot="1" x14ac:dyDescent="0.3">
      <c r="A1227" s="374">
        <v>3650770</v>
      </c>
      <c r="B1227" s="375" t="s">
        <v>257</v>
      </c>
      <c r="C1227" s="375" t="s">
        <v>2446</v>
      </c>
      <c r="D1227" s="375" t="str">
        <f t="shared" si="19"/>
        <v>3650770__VED</v>
      </c>
      <c r="E1227" s="375" t="s">
        <v>235</v>
      </c>
      <c r="F1227" s="376">
        <v>52521</v>
      </c>
      <c r="G1227" s="377">
        <v>6.2600000000000003E-2</v>
      </c>
      <c r="H1227" s="376">
        <v>52176.219541271275</v>
      </c>
      <c r="I1227" s="376">
        <v>30311.870256896436</v>
      </c>
      <c r="J1227" s="378">
        <v>38300.591011083714</v>
      </c>
      <c r="K1227" s="313"/>
      <c r="L1227" s="313"/>
    </row>
    <row r="1228" spans="1:12" x14ac:dyDescent="0.25">
      <c r="A1228" s="364">
        <v>3994122</v>
      </c>
      <c r="B1228" s="365" t="s">
        <v>640</v>
      </c>
      <c r="C1228" s="365" t="s">
        <v>2442</v>
      </c>
      <c r="D1228" s="365" t="str">
        <f t="shared" si="19"/>
        <v>3994122__ADM</v>
      </c>
      <c r="E1228" s="365" t="s">
        <v>235</v>
      </c>
      <c r="F1228" s="366">
        <v>0</v>
      </c>
      <c r="G1228" s="367">
        <v>0</v>
      </c>
      <c r="H1228" s="366">
        <v>0</v>
      </c>
      <c r="I1228" s="366">
        <v>29924.163902708682</v>
      </c>
      <c r="J1228" s="368">
        <v>29385.549902549963</v>
      </c>
      <c r="K1228" s="313"/>
      <c r="L1228" s="313"/>
    </row>
    <row r="1229" spans="1:12" x14ac:dyDescent="0.25">
      <c r="A1229" s="369">
        <v>3994122</v>
      </c>
      <c r="B1229" s="370" t="s">
        <v>640</v>
      </c>
      <c r="C1229" s="370" t="s">
        <v>2443</v>
      </c>
      <c r="D1229" s="370" t="str">
        <f t="shared" si="19"/>
        <v>3994122__MAN</v>
      </c>
      <c r="E1229" s="370" t="s">
        <v>235</v>
      </c>
      <c r="F1229" s="371">
        <v>0</v>
      </c>
      <c r="G1229" s="372">
        <v>0</v>
      </c>
      <c r="H1229" s="371">
        <v>0</v>
      </c>
      <c r="I1229" s="371">
        <v>17590.527879202957</v>
      </c>
      <c r="J1229" s="373">
        <v>25045.331823341257</v>
      </c>
      <c r="K1229" s="313"/>
      <c r="L1229" s="313"/>
    </row>
    <row r="1230" spans="1:12" x14ac:dyDescent="0.25">
      <c r="A1230" s="369">
        <v>3994122</v>
      </c>
      <c r="B1230" s="370" t="s">
        <v>640</v>
      </c>
      <c r="C1230" s="370" t="s">
        <v>2444</v>
      </c>
      <c r="D1230" s="370" t="str">
        <f t="shared" si="19"/>
        <v>3994122__PPPs</v>
      </c>
      <c r="E1230" s="370" t="s">
        <v>235</v>
      </c>
      <c r="F1230" s="371">
        <v>1345710</v>
      </c>
      <c r="G1230" s="372">
        <v>3.1840000000000002</v>
      </c>
      <c r="H1230" s="371">
        <v>26284.055538888468</v>
      </c>
      <c r="I1230" s="371">
        <v>28199.372889022721</v>
      </c>
      <c r="J1230" s="373">
        <v>26837.070867899798</v>
      </c>
      <c r="K1230" s="313"/>
      <c r="L1230" s="313"/>
    </row>
    <row r="1231" spans="1:12" x14ac:dyDescent="0.25">
      <c r="A1231" s="369">
        <v>3994122</v>
      </c>
      <c r="B1231" s="370" t="s">
        <v>640</v>
      </c>
      <c r="C1231" s="370" t="s">
        <v>2445</v>
      </c>
      <c r="D1231" s="370" t="str">
        <f t="shared" si="19"/>
        <v>3994122__PPPz</v>
      </c>
      <c r="E1231" s="370" t="s">
        <v>235</v>
      </c>
      <c r="F1231" s="371">
        <v>0</v>
      </c>
      <c r="G1231" s="372">
        <v>0</v>
      </c>
      <c r="H1231" s="371">
        <v>0</v>
      </c>
      <c r="I1231" s="371">
        <v>55436.981757877285</v>
      </c>
      <c r="J1231" s="373">
        <v>14206.769404494691</v>
      </c>
      <c r="K1231" s="313"/>
      <c r="L1231" s="313"/>
    </row>
    <row r="1232" spans="1:12" ht="15.75" thickBot="1" x14ac:dyDescent="0.3">
      <c r="A1232" s="374">
        <v>3994122</v>
      </c>
      <c r="B1232" s="375" t="s">
        <v>640</v>
      </c>
      <c r="C1232" s="375" t="s">
        <v>2446</v>
      </c>
      <c r="D1232" s="375" t="str">
        <f t="shared" si="19"/>
        <v>3994122__VED</v>
      </c>
      <c r="E1232" s="375" t="s">
        <v>235</v>
      </c>
      <c r="F1232" s="376">
        <v>464038</v>
      </c>
      <c r="G1232" s="377">
        <v>0.8</v>
      </c>
      <c r="H1232" s="376">
        <v>36072.605721393033</v>
      </c>
      <c r="I1232" s="376">
        <v>30311.870256896436</v>
      </c>
      <c r="J1232" s="378">
        <v>38300.591011083714</v>
      </c>
      <c r="K1232" s="313"/>
      <c r="L1232" s="313"/>
    </row>
    <row r="1233" spans="1:12" x14ac:dyDescent="0.25">
      <c r="A1233" s="364">
        <v>4373225</v>
      </c>
      <c r="B1233" s="365" t="s">
        <v>979</v>
      </c>
      <c r="C1233" s="365" t="s">
        <v>2442</v>
      </c>
      <c r="D1233" s="365" t="str">
        <f t="shared" si="19"/>
        <v>4373225__ADM</v>
      </c>
      <c r="E1233" s="365" t="s">
        <v>235</v>
      </c>
      <c r="F1233" s="366">
        <v>21745</v>
      </c>
      <c r="G1233" s="367">
        <v>0.1</v>
      </c>
      <c r="H1233" s="366">
        <v>13523.009950248754</v>
      </c>
      <c r="I1233" s="366">
        <v>29924.163902708682</v>
      </c>
      <c r="J1233" s="368">
        <v>29385.549902549963</v>
      </c>
      <c r="K1233" s="313"/>
      <c r="L1233" s="313"/>
    </row>
    <row r="1234" spans="1:12" x14ac:dyDescent="0.25">
      <c r="A1234" s="369">
        <v>4373225</v>
      </c>
      <c r="B1234" s="370" t="s">
        <v>979</v>
      </c>
      <c r="C1234" s="370" t="s">
        <v>2443</v>
      </c>
      <c r="D1234" s="370" t="str">
        <f t="shared" si="19"/>
        <v>4373225__MAN</v>
      </c>
      <c r="E1234" s="370" t="s">
        <v>235</v>
      </c>
      <c r="F1234" s="371">
        <v>107200</v>
      </c>
      <c r="G1234" s="372">
        <v>0.2</v>
      </c>
      <c r="H1234" s="371">
        <v>33333.333333333328</v>
      </c>
      <c r="I1234" s="371">
        <v>17590.527879202957</v>
      </c>
      <c r="J1234" s="373">
        <v>25045.331823341257</v>
      </c>
      <c r="K1234" s="313"/>
      <c r="L1234" s="313"/>
    </row>
    <row r="1235" spans="1:12" x14ac:dyDescent="0.25">
      <c r="A1235" s="369">
        <v>4373225</v>
      </c>
      <c r="B1235" s="370" t="s">
        <v>979</v>
      </c>
      <c r="C1235" s="370" t="s">
        <v>2444</v>
      </c>
      <c r="D1235" s="370" t="str">
        <f t="shared" si="19"/>
        <v>4373225__PPPs</v>
      </c>
      <c r="E1235" s="370" t="s">
        <v>235</v>
      </c>
      <c r="F1235" s="371">
        <v>809309</v>
      </c>
      <c r="G1235" s="372">
        <v>1.6</v>
      </c>
      <c r="H1235" s="371">
        <v>31456.351057213928</v>
      </c>
      <c r="I1235" s="371">
        <v>28199.372889022721</v>
      </c>
      <c r="J1235" s="373">
        <v>26837.070867899798</v>
      </c>
      <c r="K1235" s="313"/>
      <c r="L1235" s="313"/>
    </row>
    <row r="1236" spans="1:12" x14ac:dyDescent="0.25">
      <c r="A1236" s="369">
        <v>4373225</v>
      </c>
      <c r="B1236" s="370" t="s">
        <v>979</v>
      </c>
      <c r="C1236" s="370" t="s">
        <v>2445</v>
      </c>
      <c r="D1236" s="370" t="str">
        <f t="shared" si="19"/>
        <v>4373225__PPPz</v>
      </c>
      <c r="E1236" s="370" t="s">
        <v>235</v>
      </c>
      <c r="F1236" s="371">
        <v>0</v>
      </c>
      <c r="G1236" s="372">
        <v>0</v>
      </c>
      <c r="H1236" s="371">
        <v>0</v>
      </c>
      <c r="I1236" s="371">
        <v>55436.981757877285</v>
      </c>
      <c r="J1236" s="373">
        <v>14206.769404494691</v>
      </c>
      <c r="K1236" s="313"/>
      <c r="L1236" s="313"/>
    </row>
    <row r="1237" spans="1:12" ht="15.75" thickBot="1" x14ac:dyDescent="0.3">
      <c r="A1237" s="374">
        <v>4373225</v>
      </c>
      <c r="B1237" s="375" t="s">
        <v>979</v>
      </c>
      <c r="C1237" s="375" t="s">
        <v>2446</v>
      </c>
      <c r="D1237" s="375" t="str">
        <f t="shared" si="19"/>
        <v>4373225__VED</v>
      </c>
      <c r="E1237" s="375" t="s">
        <v>235</v>
      </c>
      <c r="F1237" s="376">
        <v>58766</v>
      </c>
      <c r="G1237" s="377">
        <v>0.1</v>
      </c>
      <c r="H1237" s="376">
        <v>36546.019900497507</v>
      </c>
      <c r="I1237" s="376">
        <v>30311.870256896436</v>
      </c>
      <c r="J1237" s="378">
        <v>38300.591011083714</v>
      </c>
      <c r="K1237" s="313"/>
      <c r="L1237" s="313"/>
    </row>
    <row r="1238" spans="1:12" x14ac:dyDescent="0.25">
      <c r="A1238" s="364">
        <v>4885366</v>
      </c>
      <c r="B1238" s="365" t="s">
        <v>240</v>
      </c>
      <c r="C1238" s="365" t="s">
        <v>2442</v>
      </c>
      <c r="D1238" s="365" t="str">
        <f t="shared" si="19"/>
        <v>4885366__ADM</v>
      </c>
      <c r="E1238" s="365" t="s">
        <v>235</v>
      </c>
      <c r="F1238" s="366">
        <v>0</v>
      </c>
      <c r="G1238" s="367">
        <v>0</v>
      </c>
      <c r="H1238" s="366">
        <v>0</v>
      </c>
      <c r="I1238" s="366">
        <v>29924.163902708682</v>
      </c>
      <c r="J1238" s="368">
        <v>29385.549902549963</v>
      </c>
      <c r="K1238" s="313"/>
      <c r="L1238" s="313"/>
    </row>
    <row r="1239" spans="1:12" x14ac:dyDescent="0.25">
      <c r="A1239" s="369">
        <v>4885366</v>
      </c>
      <c r="B1239" s="370" t="s">
        <v>240</v>
      </c>
      <c r="C1239" s="370" t="s">
        <v>2443</v>
      </c>
      <c r="D1239" s="370" t="str">
        <f t="shared" si="19"/>
        <v>4885366__MAN</v>
      </c>
      <c r="E1239" s="370" t="s">
        <v>235</v>
      </c>
      <c r="F1239" s="371">
        <v>0</v>
      </c>
      <c r="G1239" s="372">
        <v>0</v>
      </c>
      <c r="H1239" s="371">
        <v>0</v>
      </c>
      <c r="I1239" s="371">
        <v>17590.527879202957</v>
      </c>
      <c r="J1239" s="373">
        <v>25045.331823341257</v>
      </c>
      <c r="K1239" s="313"/>
      <c r="L1239" s="313"/>
    </row>
    <row r="1240" spans="1:12" x14ac:dyDescent="0.25">
      <c r="A1240" s="369">
        <v>4885366</v>
      </c>
      <c r="B1240" s="370" t="s">
        <v>240</v>
      </c>
      <c r="C1240" s="370" t="s">
        <v>2444</v>
      </c>
      <c r="D1240" s="370" t="str">
        <f t="shared" si="19"/>
        <v>4885366__PPPs</v>
      </c>
      <c r="E1240" s="370" t="s">
        <v>235</v>
      </c>
      <c r="F1240" s="371">
        <v>1831470</v>
      </c>
      <c r="G1240" s="372">
        <v>2.5722</v>
      </c>
      <c r="H1240" s="371">
        <v>44280.144646489964</v>
      </c>
      <c r="I1240" s="371">
        <v>28199.372889022721</v>
      </c>
      <c r="J1240" s="373">
        <v>26837.070867899798</v>
      </c>
      <c r="K1240" s="313"/>
      <c r="L1240" s="313"/>
    </row>
    <row r="1241" spans="1:12" x14ac:dyDescent="0.25">
      <c r="A1241" s="369">
        <v>4885366</v>
      </c>
      <c r="B1241" s="370" t="s">
        <v>240</v>
      </c>
      <c r="C1241" s="370" t="s">
        <v>2445</v>
      </c>
      <c r="D1241" s="370" t="str">
        <f t="shared" si="19"/>
        <v>4885366__PPPz</v>
      </c>
      <c r="E1241" s="370" t="s">
        <v>235</v>
      </c>
      <c r="F1241" s="371">
        <v>0</v>
      </c>
      <c r="G1241" s="372">
        <v>0</v>
      </c>
      <c r="H1241" s="371">
        <v>0</v>
      </c>
      <c r="I1241" s="371">
        <v>55436.981757877285</v>
      </c>
      <c r="J1241" s="373">
        <v>14206.769404494691</v>
      </c>
      <c r="K1241" s="313"/>
      <c r="L1241" s="313"/>
    </row>
    <row r="1242" spans="1:12" ht="15.75" thickBot="1" x14ac:dyDescent="0.3">
      <c r="A1242" s="374">
        <v>4885366</v>
      </c>
      <c r="B1242" s="375" t="s">
        <v>240</v>
      </c>
      <c r="C1242" s="375" t="s">
        <v>2446</v>
      </c>
      <c r="D1242" s="375" t="str">
        <f t="shared" si="19"/>
        <v>4885366__VED</v>
      </c>
      <c r="E1242" s="375" t="s">
        <v>235</v>
      </c>
      <c r="F1242" s="376">
        <v>360597</v>
      </c>
      <c r="G1242" s="377">
        <v>0.61</v>
      </c>
      <c r="H1242" s="376">
        <v>36762.600929777342</v>
      </c>
      <c r="I1242" s="376">
        <v>30311.870256896436</v>
      </c>
      <c r="J1242" s="378">
        <v>38300.591011083714</v>
      </c>
      <c r="K1242" s="313"/>
      <c r="L1242" s="313"/>
    </row>
    <row r="1243" spans="1:12" x14ac:dyDescent="0.25">
      <c r="A1243" s="364">
        <v>5943218</v>
      </c>
      <c r="B1243" s="365" t="s">
        <v>585</v>
      </c>
      <c r="C1243" s="365" t="s">
        <v>2442</v>
      </c>
      <c r="D1243" s="365" t="str">
        <f t="shared" si="19"/>
        <v>5943218__ADM</v>
      </c>
      <c r="E1243" s="365" t="s">
        <v>235</v>
      </c>
      <c r="F1243" s="366">
        <v>159948</v>
      </c>
      <c r="G1243" s="367">
        <v>0.35</v>
      </c>
      <c r="H1243" s="366">
        <v>28420.04264392324</v>
      </c>
      <c r="I1243" s="366">
        <v>29924.163902708682</v>
      </c>
      <c r="J1243" s="368">
        <v>29385.549902549963</v>
      </c>
      <c r="K1243" s="313"/>
      <c r="L1243" s="313"/>
    </row>
    <row r="1244" spans="1:12" x14ac:dyDescent="0.25">
      <c r="A1244" s="369">
        <v>5943218</v>
      </c>
      <c r="B1244" s="370" t="s">
        <v>585</v>
      </c>
      <c r="C1244" s="370" t="s">
        <v>2443</v>
      </c>
      <c r="D1244" s="370" t="str">
        <f t="shared" si="19"/>
        <v>5943218__MAN</v>
      </c>
      <c r="E1244" s="370" t="s">
        <v>235</v>
      </c>
      <c r="F1244" s="371">
        <v>0</v>
      </c>
      <c r="G1244" s="372">
        <v>0</v>
      </c>
      <c r="H1244" s="371">
        <v>0</v>
      </c>
      <c r="I1244" s="371">
        <v>17590.527879202957</v>
      </c>
      <c r="J1244" s="373">
        <v>25045.331823341257</v>
      </c>
      <c r="K1244" s="313"/>
      <c r="L1244" s="313"/>
    </row>
    <row r="1245" spans="1:12" x14ac:dyDescent="0.25">
      <c r="A1245" s="369">
        <v>5943218</v>
      </c>
      <c r="B1245" s="370" t="s">
        <v>585</v>
      </c>
      <c r="C1245" s="370" t="s">
        <v>2444</v>
      </c>
      <c r="D1245" s="370" t="str">
        <f t="shared" si="19"/>
        <v>5943218__PPPs</v>
      </c>
      <c r="E1245" s="370" t="s">
        <v>235</v>
      </c>
      <c r="F1245" s="371">
        <v>485850</v>
      </c>
      <c r="G1245" s="372">
        <v>0.72909999999999997</v>
      </c>
      <c r="H1245" s="371">
        <v>41440.889094508253</v>
      </c>
      <c r="I1245" s="371">
        <v>28199.372889022721</v>
      </c>
      <c r="J1245" s="373">
        <v>26837.070867899798</v>
      </c>
      <c r="K1245" s="313"/>
      <c r="L1245" s="313"/>
    </row>
    <row r="1246" spans="1:12" x14ac:dyDescent="0.25">
      <c r="A1246" s="369">
        <v>5943218</v>
      </c>
      <c r="B1246" s="370" t="s">
        <v>585</v>
      </c>
      <c r="C1246" s="370" t="s">
        <v>2445</v>
      </c>
      <c r="D1246" s="370" t="str">
        <f t="shared" si="19"/>
        <v>5943218__PPPz</v>
      </c>
      <c r="E1246" s="370" t="s">
        <v>235</v>
      </c>
      <c r="F1246" s="371">
        <v>0</v>
      </c>
      <c r="G1246" s="372">
        <v>0</v>
      </c>
      <c r="H1246" s="371">
        <v>0</v>
      </c>
      <c r="I1246" s="371">
        <v>55436.981757877285</v>
      </c>
      <c r="J1246" s="373">
        <v>14206.769404494691</v>
      </c>
      <c r="K1246" s="313"/>
      <c r="L1246" s="313"/>
    </row>
    <row r="1247" spans="1:12" ht="15.75" thickBot="1" x14ac:dyDescent="0.3">
      <c r="A1247" s="374">
        <v>5943218</v>
      </c>
      <c r="B1247" s="375" t="s">
        <v>585</v>
      </c>
      <c r="C1247" s="375" t="s">
        <v>2446</v>
      </c>
      <c r="D1247" s="375" t="str">
        <f t="shared" si="19"/>
        <v>5943218__VED</v>
      </c>
      <c r="E1247" s="375" t="s">
        <v>235</v>
      </c>
      <c r="F1247" s="376">
        <v>325477</v>
      </c>
      <c r="G1247" s="377">
        <v>0.37469999999999998</v>
      </c>
      <c r="H1247" s="376">
        <v>54019.500841137255</v>
      </c>
      <c r="I1247" s="376">
        <v>30311.870256896436</v>
      </c>
      <c r="J1247" s="378">
        <v>38300.591011083714</v>
      </c>
      <c r="K1247" s="313"/>
      <c r="L1247" s="313"/>
    </row>
    <row r="1248" spans="1:12" x14ac:dyDescent="0.25">
      <c r="A1248" s="364">
        <v>5945407</v>
      </c>
      <c r="B1248" s="365" t="s">
        <v>674</v>
      </c>
      <c r="C1248" s="365" t="s">
        <v>2442</v>
      </c>
      <c r="D1248" s="365" t="str">
        <f t="shared" si="19"/>
        <v>5945407__ADM</v>
      </c>
      <c r="E1248" s="365" t="s">
        <v>235</v>
      </c>
      <c r="F1248" s="366">
        <v>13826</v>
      </c>
      <c r="G1248" s="367">
        <v>0.1</v>
      </c>
      <c r="H1248" s="366">
        <v>8598.2587064676609</v>
      </c>
      <c r="I1248" s="366">
        <v>29924.163902708682</v>
      </c>
      <c r="J1248" s="368">
        <v>29385.549902549963</v>
      </c>
      <c r="K1248" s="313"/>
      <c r="L1248" s="313"/>
    </row>
    <row r="1249" spans="1:12" x14ac:dyDescent="0.25">
      <c r="A1249" s="369">
        <v>5945407</v>
      </c>
      <c r="B1249" s="370" t="s">
        <v>674</v>
      </c>
      <c r="C1249" s="370" t="s">
        <v>2443</v>
      </c>
      <c r="D1249" s="370" t="str">
        <f t="shared" si="19"/>
        <v>5945407__MAN</v>
      </c>
      <c r="E1249" s="370" t="s">
        <v>235</v>
      </c>
      <c r="F1249" s="371">
        <v>0</v>
      </c>
      <c r="G1249" s="372">
        <v>0</v>
      </c>
      <c r="H1249" s="371">
        <v>0</v>
      </c>
      <c r="I1249" s="371">
        <v>17590.527879202957</v>
      </c>
      <c r="J1249" s="373">
        <v>25045.331823341257</v>
      </c>
      <c r="K1249" s="313"/>
      <c r="L1249" s="313"/>
    </row>
    <row r="1250" spans="1:12" x14ac:dyDescent="0.25">
      <c r="A1250" s="369">
        <v>5945407</v>
      </c>
      <c r="B1250" s="370" t="s">
        <v>674</v>
      </c>
      <c r="C1250" s="370" t="s">
        <v>2444</v>
      </c>
      <c r="D1250" s="370" t="str">
        <f t="shared" ref="D1250:D1313" si="20">CONCATENATE(A1250,"__",C1250)</f>
        <v>5945407__PPPs</v>
      </c>
      <c r="E1250" s="370" t="s">
        <v>235</v>
      </c>
      <c r="F1250" s="371">
        <v>518702</v>
      </c>
      <c r="G1250" s="372">
        <v>0.52</v>
      </c>
      <c r="H1250" s="371">
        <v>62033.821278224263</v>
      </c>
      <c r="I1250" s="371">
        <v>28199.372889022721</v>
      </c>
      <c r="J1250" s="373">
        <v>26837.070867899798</v>
      </c>
      <c r="K1250" s="313"/>
      <c r="L1250" s="313"/>
    </row>
    <row r="1251" spans="1:12" x14ac:dyDescent="0.25">
      <c r="A1251" s="369">
        <v>5945407</v>
      </c>
      <c r="B1251" s="370" t="s">
        <v>674</v>
      </c>
      <c r="C1251" s="370" t="s">
        <v>2445</v>
      </c>
      <c r="D1251" s="370" t="str">
        <f t="shared" si="20"/>
        <v>5945407__PPPz</v>
      </c>
      <c r="E1251" s="370" t="s">
        <v>235</v>
      </c>
      <c r="F1251" s="371">
        <v>0</v>
      </c>
      <c r="G1251" s="372">
        <v>0</v>
      </c>
      <c r="H1251" s="371">
        <v>0</v>
      </c>
      <c r="I1251" s="371">
        <v>55436.981757877285</v>
      </c>
      <c r="J1251" s="373">
        <v>14206.769404494691</v>
      </c>
      <c r="K1251" s="313"/>
      <c r="L1251" s="313"/>
    </row>
    <row r="1252" spans="1:12" ht="15.75" thickBot="1" x14ac:dyDescent="0.3">
      <c r="A1252" s="374">
        <v>5945407</v>
      </c>
      <c r="B1252" s="375" t="s">
        <v>674</v>
      </c>
      <c r="C1252" s="375" t="s">
        <v>2446</v>
      </c>
      <c r="D1252" s="375" t="str">
        <f t="shared" si="20"/>
        <v>5945407__VED</v>
      </c>
      <c r="E1252" s="375" t="s">
        <v>235</v>
      </c>
      <c r="F1252" s="376">
        <v>45632</v>
      </c>
      <c r="G1252" s="377">
        <v>0.25</v>
      </c>
      <c r="H1252" s="376">
        <v>11351.243781094527</v>
      </c>
      <c r="I1252" s="376">
        <v>30311.870256896436</v>
      </c>
      <c r="J1252" s="378">
        <v>38300.591011083714</v>
      </c>
      <c r="K1252" s="313"/>
      <c r="L1252" s="313"/>
    </row>
    <row r="1253" spans="1:12" x14ac:dyDescent="0.25">
      <c r="A1253" s="364">
        <v>6473703</v>
      </c>
      <c r="B1253" s="365" t="s">
        <v>874</v>
      </c>
      <c r="C1253" s="365" t="s">
        <v>2442</v>
      </c>
      <c r="D1253" s="365" t="str">
        <f t="shared" si="20"/>
        <v>6473703__ADM</v>
      </c>
      <c r="E1253" s="365" t="s">
        <v>235</v>
      </c>
      <c r="F1253" s="366">
        <v>128382</v>
      </c>
      <c r="G1253" s="367">
        <v>0.2</v>
      </c>
      <c r="H1253" s="366">
        <v>39919.776119402981</v>
      </c>
      <c r="I1253" s="366">
        <v>29924.163902708682</v>
      </c>
      <c r="J1253" s="368">
        <v>29385.549902549963</v>
      </c>
      <c r="K1253" s="313"/>
      <c r="L1253" s="313"/>
    </row>
    <row r="1254" spans="1:12" x14ac:dyDescent="0.25">
      <c r="A1254" s="369">
        <v>6473703</v>
      </c>
      <c r="B1254" s="370" t="s">
        <v>874</v>
      </c>
      <c r="C1254" s="370" t="s">
        <v>2443</v>
      </c>
      <c r="D1254" s="370" t="str">
        <f t="shared" si="20"/>
        <v>6473703__MAN</v>
      </c>
      <c r="E1254" s="370" t="s">
        <v>235</v>
      </c>
      <c r="F1254" s="371">
        <v>0</v>
      </c>
      <c r="G1254" s="372">
        <v>0</v>
      </c>
      <c r="H1254" s="371">
        <v>0</v>
      </c>
      <c r="I1254" s="371">
        <v>17590.527879202957</v>
      </c>
      <c r="J1254" s="373">
        <v>25045.331823341257</v>
      </c>
      <c r="K1254" s="313"/>
      <c r="L1254" s="313"/>
    </row>
    <row r="1255" spans="1:12" x14ac:dyDescent="0.25">
      <c r="A1255" s="369">
        <v>6473703</v>
      </c>
      <c r="B1255" s="370" t="s">
        <v>874</v>
      </c>
      <c r="C1255" s="370" t="s">
        <v>2444</v>
      </c>
      <c r="D1255" s="370" t="str">
        <f t="shared" si="20"/>
        <v>6473703__PPPs</v>
      </c>
      <c r="E1255" s="370" t="s">
        <v>235</v>
      </c>
      <c r="F1255" s="371">
        <v>1312188</v>
      </c>
      <c r="G1255" s="372">
        <v>2.5</v>
      </c>
      <c r="H1255" s="371">
        <v>32641.492537313428</v>
      </c>
      <c r="I1255" s="371">
        <v>28199.372889022721</v>
      </c>
      <c r="J1255" s="373">
        <v>26837.070867899798</v>
      </c>
      <c r="K1255" s="313"/>
      <c r="L1255" s="313"/>
    </row>
    <row r="1256" spans="1:12" x14ac:dyDescent="0.25">
      <c r="A1256" s="369">
        <v>6473703</v>
      </c>
      <c r="B1256" s="370" t="s">
        <v>874</v>
      </c>
      <c r="C1256" s="370" t="s">
        <v>2445</v>
      </c>
      <c r="D1256" s="370" t="str">
        <f t="shared" si="20"/>
        <v>6473703__PPPz</v>
      </c>
      <c r="E1256" s="370" t="s">
        <v>235</v>
      </c>
      <c r="F1256" s="371">
        <v>0</v>
      </c>
      <c r="G1256" s="372">
        <v>0</v>
      </c>
      <c r="H1256" s="371">
        <v>0</v>
      </c>
      <c r="I1256" s="371">
        <v>55436.981757877285</v>
      </c>
      <c r="J1256" s="373">
        <v>14206.769404494691</v>
      </c>
      <c r="K1256" s="313"/>
      <c r="L1256" s="313"/>
    </row>
    <row r="1257" spans="1:12" ht="15.75" thickBot="1" x14ac:dyDescent="0.3">
      <c r="A1257" s="374">
        <v>6473703</v>
      </c>
      <c r="B1257" s="375" t="s">
        <v>874</v>
      </c>
      <c r="C1257" s="375" t="s">
        <v>2446</v>
      </c>
      <c r="D1257" s="375" t="str">
        <f t="shared" si="20"/>
        <v>6473703__VED</v>
      </c>
      <c r="E1257" s="375" t="s">
        <v>235</v>
      </c>
      <c r="F1257" s="376">
        <v>55203</v>
      </c>
      <c r="G1257" s="377">
        <v>0.125</v>
      </c>
      <c r="H1257" s="376">
        <v>27464.179104477611</v>
      </c>
      <c r="I1257" s="376">
        <v>30311.870256896436</v>
      </c>
      <c r="J1257" s="378">
        <v>38300.591011083714</v>
      </c>
      <c r="K1257" s="313"/>
      <c r="L1257" s="313"/>
    </row>
    <row r="1258" spans="1:12" x14ac:dyDescent="0.25">
      <c r="A1258" s="364">
        <v>7218817</v>
      </c>
      <c r="B1258" s="365" t="s">
        <v>1024</v>
      </c>
      <c r="C1258" s="365" t="s">
        <v>2442</v>
      </c>
      <c r="D1258" s="365" t="str">
        <f t="shared" si="20"/>
        <v>7218817__ADM</v>
      </c>
      <c r="E1258" s="365" t="s">
        <v>235</v>
      </c>
      <c r="F1258" s="366">
        <v>588514</v>
      </c>
      <c r="G1258" s="367">
        <v>0.8</v>
      </c>
      <c r="H1258" s="366">
        <v>45748.911691542286</v>
      </c>
      <c r="I1258" s="366">
        <v>29924.163902708682</v>
      </c>
      <c r="J1258" s="368">
        <v>29385.549902549963</v>
      </c>
      <c r="K1258" s="313"/>
      <c r="L1258" s="313"/>
    </row>
    <row r="1259" spans="1:12" x14ac:dyDescent="0.25">
      <c r="A1259" s="369">
        <v>7218817</v>
      </c>
      <c r="B1259" s="370" t="s">
        <v>1024</v>
      </c>
      <c r="C1259" s="370" t="s">
        <v>2443</v>
      </c>
      <c r="D1259" s="370" t="str">
        <f t="shared" si="20"/>
        <v>7218817__MAN</v>
      </c>
      <c r="E1259" s="370" t="s">
        <v>235</v>
      </c>
      <c r="F1259" s="371">
        <v>1000</v>
      </c>
      <c r="G1259" s="372">
        <v>0.25</v>
      </c>
      <c r="H1259" s="371">
        <v>248.75621890547262</v>
      </c>
      <c r="I1259" s="371">
        <v>17590.527879202957</v>
      </c>
      <c r="J1259" s="373">
        <v>25045.331823341257</v>
      </c>
      <c r="K1259" s="313"/>
      <c r="L1259" s="313"/>
    </row>
    <row r="1260" spans="1:12" x14ac:dyDescent="0.25">
      <c r="A1260" s="369">
        <v>7218817</v>
      </c>
      <c r="B1260" s="370" t="s">
        <v>1024</v>
      </c>
      <c r="C1260" s="370" t="s">
        <v>2444</v>
      </c>
      <c r="D1260" s="370" t="str">
        <f t="shared" si="20"/>
        <v>7218817__PPPs</v>
      </c>
      <c r="E1260" s="370" t="s">
        <v>235</v>
      </c>
      <c r="F1260" s="371">
        <v>923418</v>
      </c>
      <c r="G1260" s="372">
        <v>3.5</v>
      </c>
      <c r="H1260" s="371">
        <v>16407.569296375263</v>
      </c>
      <c r="I1260" s="371">
        <v>28199.372889022721</v>
      </c>
      <c r="J1260" s="373">
        <v>26837.070867899798</v>
      </c>
      <c r="K1260" s="313"/>
      <c r="L1260" s="313"/>
    </row>
    <row r="1261" spans="1:12" x14ac:dyDescent="0.25">
      <c r="A1261" s="369">
        <v>7218817</v>
      </c>
      <c r="B1261" s="370" t="s">
        <v>1024</v>
      </c>
      <c r="C1261" s="370" t="s">
        <v>2445</v>
      </c>
      <c r="D1261" s="370" t="str">
        <f t="shared" si="20"/>
        <v>7218817__PPPz</v>
      </c>
      <c r="E1261" s="370" t="s">
        <v>235</v>
      </c>
      <c r="F1261" s="371">
        <v>0</v>
      </c>
      <c r="G1261" s="372">
        <v>0</v>
      </c>
      <c r="H1261" s="371">
        <v>0</v>
      </c>
      <c r="I1261" s="371">
        <v>55436.981757877285</v>
      </c>
      <c r="J1261" s="373">
        <v>14206.769404494691</v>
      </c>
      <c r="K1261" s="313"/>
      <c r="L1261" s="313"/>
    </row>
    <row r="1262" spans="1:12" ht="15.75" thickBot="1" x14ac:dyDescent="0.3">
      <c r="A1262" s="374">
        <v>7218817</v>
      </c>
      <c r="B1262" s="375" t="s">
        <v>1024</v>
      </c>
      <c r="C1262" s="375" t="s">
        <v>2446</v>
      </c>
      <c r="D1262" s="375" t="str">
        <f t="shared" si="20"/>
        <v>7218817__VED</v>
      </c>
      <c r="E1262" s="375" t="s">
        <v>235</v>
      </c>
      <c r="F1262" s="376">
        <v>73027</v>
      </c>
      <c r="G1262" s="377">
        <v>0.1</v>
      </c>
      <c r="H1262" s="376">
        <v>45414.800995024874</v>
      </c>
      <c r="I1262" s="376">
        <v>30311.870256896436</v>
      </c>
      <c r="J1262" s="378">
        <v>38300.591011083714</v>
      </c>
      <c r="K1262" s="313"/>
      <c r="L1262" s="313"/>
    </row>
    <row r="1263" spans="1:12" x14ac:dyDescent="0.25">
      <c r="A1263" s="364">
        <v>7381195</v>
      </c>
      <c r="B1263" s="365" t="s">
        <v>728</v>
      </c>
      <c r="C1263" s="365" t="s">
        <v>2442</v>
      </c>
      <c r="D1263" s="365" t="str">
        <f t="shared" si="20"/>
        <v>7381195__ADM</v>
      </c>
      <c r="E1263" s="365" t="s">
        <v>235</v>
      </c>
      <c r="F1263" s="366">
        <v>36847</v>
      </c>
      <c r="G1263" s="367">
        <v>0.06</v>
      </c>
      <c r="H1263" s="366">
        <v>38191.334991708129</v>
      </c>
      <c r="I1263" s="366">
        <v>29924.163902708682</v>
      </c>
      <c r="J1263" s="368">
        <v>29385.549902549963</v>
      </c>
      <c r="K1263" s="313"/>
      <c r="L1263" s="313"/>
    </row>
    <row r="1264" spans="1:12" x14ac:dyDescent="0.25">
      <c r="A1264" s="369">
        <v>7381195</v>
      </c>
      <c r="B1264" s="370" t="s">
        <v>728</v>
      </c>
      <c r="C1264" s="370" t="s">
        <v>2443</v>
      </c>
      <c r="D1264" s="370" t="str">
        <f t="shared" si="20"/>
        <v>7381195__MAN</v>
      </c>
      <c r="E1264" s="370" t="s">
        <v>235</v>
      </c>
      <c r="F1264" s="371">
        <v>0</v>
      </c>
      <c r="G1264" s="372">
        <v>0</v>
      </c>
      <c r="H1264" s="371">
        <v>0</v>
      </c>
      <c r="I1264" s="371">
        <v>17590.527879202957</v>
      </c>
      <c r="J1264" s="373">
        <v>25045.331823341257</v>
      </c>
      <c r="K1264" s="313"/>
      <c r="L1264" s="313"/>
    </row>
    <row r="1265" spans="1:12" x14ac:dyDescent="0.25">
      <c r="A1265" s="369">
        <v>7381195</v>
      </c>
      <c r="B1265" s="370" t="s">
        <v>728</v>
      </c>
      <c r="C1265" s="370" t="s">
        <v>2444</v>
      </c>
      <c r="D1265" s="370" t="str">
        <f t="shared" si="20"/>
        <v>7381195__PPPs</v>
      </c>
      <c r="E1265" s="370" t="s">
        <v>235</v>
      </c>
      <c r="F1265" s="371">
        <v>505958</v>
      </c>
      <c r="G1265" s="372">
        <v>1.0876000000000001</v>
      </c>
      <c r="H1265" s="371">
        <v>28930.718785623183</v>
      </c>
      <c r="I1265" s="371">
        <v>28199.372889022721</v>
      </c>
      <c r="J1265" s="373">
        <v>26837.070867899798</v>
      </c>
      <c r="K1265" s="313"/>
      <c r="L1265" s="313"/>
    </row>
    <row r="1266" spans="1:12" x14ac:dyDescent="0.25">
      <c r="A1266" s="369">
        <v>7381195</v>
      </c>
      <c r="B1266" s="370" t="s">
        <v>728</v>
      </c>
      <c r="C1266" s="370" t="s">
        <v>2445</v>
      </c>
      <c r="D1266" s="370" t="str">
        <f t="shared" si="20"/>
        <v>7381195__PPPz</v>
      </c>
      <c r="E1266" s="370" t="s">
        <v>235</v>
      </c>
      <c r="F1266" s="371">
        <v>0</v>
      </c>
      <c r="G1266" s="372">
        <v>0</v>
      </c>
      <c r="H1266" s="371">
        <v>0</v>
      </c>
      <c r="I1266" s="371">
        <v>55436.981757877285</v>
      </c>
      <c r="J1266" s="373">
        <v>14206.769404494691</v>
      </c>
      <c r="K1266" s="313"/>
      <c r="L1266" s="313"/>
    </row>
    <row r="1267" spans="1:12" ht="15.75" thickBot="1" x14ac:dyDescent="0.3">
      <c r="A1267" s="374">
        <v>7381195</v>
      </c>
      <c r="B1267" s="375" t="s">
        <v>728</v>
      </c>
      <c r="C1267" s="375" t="s">
        <v>2446</v>
      </c>
      <c r="D1267" s="375" t="str">
        <f t="shared" si="20"/>
        <v>7381195__VED</v>
      </c>
      <c r="E1267" s="375" t="s">
        <v>235</v>
      </c>
      <c r="F1267" s="376">
        <v>87146</v>
      </c>
      <c r="G1267" s="377">
        <v>0.125</v>
      </c>
      <c r="H1267" s="376">
        <v>43356.218905472633</v>
      </c>
      <c r="I1267" s="376">
        <v>30311.870256896436</v>
      </c>
      <c r="J1267" s="378">
        <v>38300.591011083714</v>
      </c>
      <c r="K1267" s="313"/>
      <c r="L1267" s="313"/>
    </row>
    <row r="1268" spans="1:12" x14ac:dyDescent="0.25">
      <c r="A1268" s="364">
        <v>7384495</v>
      </c>
      <c r="B1268" s="365" t="s">
        <v>485</v>
      </c>
      <c r="C1268" s="365" t="s">
        <v>2442</v>
      </c>
      <c r="D1268" s="365" t="str">
        <f t="shared" si="20"/>
        <v>7384495__ADM</v>
      </c>
      <c r="E1268" s="365" t="s">
        <v>235</v>
      </c>
      <c r="F1268" s="366">
        <v>313696</v>
      </c>
      <c r="G1268" s="367">
        <v>7.0000000000000007E-2</v>
      </c>
      <c r="H1268" s="366">
        <v>278692.25302061118</v>
      </c>
      <c r="I1268" s="366">
        <v>29924.163902708682</v>
      </c>
      <c r="J1268" s="368">
        <v>29385.549902549963</v>
      </c>
      <c r="K1268" s="313"/>
      <c r="L1268" s="313"/>
    </row>
    <row r="1269" spans="1:12" x14ac:dyDescent="0.25">
      <c r="A1269" s="369">
        <v>7384495</v>
      </c>
      <c r="B1269" s="370" t="s">
        <v>485</v>
      </c>
      <c r="C1269" s="370" t="s">
        <v>2443</v>
      </c>
      <c r="D1269" s="370" t="str">
        <f t="shared" si="20"/>
        <v>7384495__MAN</v>
      </c>
      <c r="E1269" s="370" t="s">
        <v>235</v>
      </c>
      <c r="F1269" s="371">
        <v>0</v>
      </c>
      <c r="G1269" s="372">
        <v>0</v>
      </c>
      <c r="H1269" s="371">
        <v>0</v>
      </c>
      <c r="I1269" s="371">
        <v>17590.527879202957</v>
      </c>
      <c r="J1269" s="373">
        <v>25045.331823341257</v>
      </c>
      <c r="K1269" s="313"/>
      <c r="L1269" s="313"/>
    </row>
    <row r="1270" spans="1:12" x14ac:dyDescent="0.25">
      <c r="A1270" s="369">
        <v>7384495</v>
      </c>
      <c r="B1270" s="370" t="s">
        <v>485</v>
      </c>
      <c r="C1270" s="370" t="s">
        <v>2444</v>
      </c>
      <c r="D1270" s="370" t="str">
        <f t="shared" si="20"/>
        <v>7384495__PPPs</v>
      </c>
      <c r="E1270" s="370" t="s">
        <v>235</v>
      </c>
      <c r="F1270" s="371">
        <v>2108833</v>
      </c>
      <c r="G1270" s="372">
        <v>3.82</v>
      </c>
      <c r="H1270" s="371">
        <v>34331.500221406059</v>
      </c>
      <c r="I1270" s="371">
        <v>28199.372889022721</v>
      </c>
      <c r="J1270" s="373">
        <v>26837.070867899798</v>
      </c>
      <c r="K1270" s="313"/>
      <c r="L1270" s="313"/>
    </row>
    <row r="1271" spans="1:12" x14ac:dyDescent="0.25">
      <c r="A1271" s="369">
        <v>7384495</v>
      </c>
      <c r="B1271" s="370" t="s">
        <v>485</v>
      </c>
      <c r="C1271" s="370" t="s">
        <v>2445</v>
      </c>
      <c r="D1271" s="370" t="str">
        <f t="shared" si="20"/>
        <v>7384495__PPPz</v>
      </c>
      <c r="E1271" s="370" t="s">
        <v>235</v>
      </c>
      <c r="F1271" s="371">
        <v>0</v>
      </c>
      <c r="G1271" s="372">
        <v>0</v>
      </c>
      <c r="H1271" s="371">
        <v>0</v>
      </c>
      <c r="I1271" s="371">
        <v>55436.981757877285</v>
      </c>
      <c r="J1271" s="373">
        <v>14206.769404494691</v>
      </c>
      <c r="K1271" s="313"/>
      <c r="L1271" s="313"/>
    </row>
    <row r="1272" spans="1:12" ht="15.75" thickBot="1" x14ac:dyDescent="0.3">
      <c r="A1272" s="374">
        <v>7384495</v>
      </c>
      <c r="B1272" s="375" t="s">
        <v>485</v>
      </c>
      <c r="C1272" s="375" t="s">
        <v>2446</v>
      </c>
      <c r="D1272" s="375" t="str">
        <f t="shared" si="20"/>
        <v>7384495__VED</v>
      </c>
      <c r="E1272" s="375" t="s">
        <v>235</v>
      </c>
      <c r="F1272" s="376">
        <v>106431</v>
      </c>
      <c r="G1272" s="377">
        <v>0.1416</v>
      </c>
      <c r="H1272" s="376">
        <v>46743.243528122097</v>
      </c>
      <c r="I1272" s="376">
        <v>30311.870256896436</v>
      </c>
      <c r="J1272" s="378">
        <v>38300.591011083714</v>
      </c>
      <c r="K1272" s="313"/>
      <c r="L1272" s="313"/>
    </row>
    <row r="1273" spans="1:12" x14ac:dyDescent="0.25">
      <c r="A1273" s="364">
        <v>7790627</v>
      </c>
      <c r="B1273" s="365" t="s">
        <v>375</v>
      </c>
      <c r="C1273" s="365" t="s">
        <v>2442</v>
      </c>
      <c r="D1273" s="365" t="str">
        <f t="shared" si="20"/>
        <v>7790627__ADM</v>
      </c>
      <c r="E1273" s="365" t="s">
        <v>235</v>
      </c>
      <c r="F1273" s="366">
        <v>25551</v>
      </c>
      <c r="G1273" s="367">
        <v>3.5999999999999999E-3</v>
      </c>
      <c r="H1273" s="366">
        <v>441386.81592039799</v>
      </c>
      <c r="I1273" s="366">
        <v>29924.163902708682</v>
      </c>
      <c r="J1273" s="368">
        <v>29385.549902549963</v>
      </c>
      <c r="K1273" s="313"/>
      <c r="L1273" s="313"/>
    </row>
    <row r="1274" spans="1:12" x14ac:dyDescent="0.25">
      <c r="A1274" s="369">
        <v>7790627</v>
      </c>
      <c r="B1274" s="370" t="s">
        <v>375</v>
      </c>
      <c r="C1274" s="370" t="s">
        <v>2443</v>
      </c>
      <c r="D1274" s="370" t="str">
        <f t="shared" si="20"/>
        <v>7790627__MAN</v>
      </c>
      <c r="E1274" s="370" t="s">
        <v>235</v>
      </c>
      <c r="F1274" s="371">
        <v>0</v>
      </c>
      <c r="G1274" s="372">
        <v>0</v>
      </c>
      <c r="H1274" s="371">
        <v>0</v>
      </c>
      <c r="I1274" s="371">
        <v>17590.527879202957</v>
      </c>
      <c r="J1274" s="373">
        <v>25045.331823341257</v>
      </c>
      <c r="K1274" s="313"/>
      <c r="L1274" s="313"/>
    </row>
    <row r="1275" spans="1:12" x14ac:dyDescent="0.25">
      <c r="A1275" s="369">
        <v>7790627</v>
      </c>
      <c r="B1275" s="370" t="s">
        <v>375</v>
      </c>
      <c r="C1275" s="370" t="s">
        <v>2444</v>
      </c>
      <c r="D1275" s="370" t="str">
        <f t="shared" si="20"/>
        <v>7790627__PPPs</v>
      </c>
      <c r="E1275" s="370" t="s">
        <v>235</v>
      </c>
      <c r="F1275" s="371">
        <v>1299347</v>
      </c>
      <c r="G1275" s="372">
        <v>2.8000000000000003</v>
      </c>
      <c r="H1275" s="371">
        <v>28858.986318407955</v>
      </c>
      <c r="I1275" s="371">
        <v>28199.372889022721</v>
      </c>
      <c r="J1275" s="373">
        <v>26837.070867899798</v>
      </c>
      <c r="K1275" s="313"/>
      <c r="L1275" s="313"/>
    </row>
    <row r="1276" spans="1:12" x14ac:dyDescent="0.25">
      <c r="A1276" s="369">
        <v>7790627</v>
      </c>
      <c r="B1276" s="370" t="s">
        <v>375</v>
      </c>
      <c r="C1276" s="370" t="s">
        <v>2445</v>
      </c>
      <c r="D1276" s="370" t="str">
        <f t="shared" si="20"/>
        <v>7790627__PPPz</v>
      </c>
      <c r="E1276" s="370" t="s">
        <v>235</v>
      </c>
      <c r="F1276" s="371">
        <v>0</v>
      </c>
      <c r="G1276" s="372">
        <v>0</v>
      </c>
      <c r="H1276" s="371">
        <v>0</v>
      </c>
      <c r="I1276" s="371">
        <v>55436.981757877285</v>
      </c>
      <c r="J1276" s="373">
        <v>14206.769404494691</v>
      </c>
      <c r="K1276" s="313"/>
      <c r="L1276" s="313"/>
    </row>
    <row r="1277" spans="1:12" ht="15.75" thickBot="1" x14ac:dyDescent="0.3">
      <c r="A1277" s="374">
        <v>7790627</v>
      </c>
      <c r="B1277" s="375" t="s">
        <v>375</v>
      </c>
      <c r="C1277" s="375" t="s">
        <v>2446</v>
      </c>
      <c r="D1277" s="375" t="str">
        <f t="shared" si="20"/>
        <v>7790627__VED</v>
      </c>
      <c r="E1277" s="375" t="s">
        <v>235</v>
      </c>
      <c r="F1277" s="376">
        <v>66072</v>
      </c>
      <c r="G1277" s="377">
        <v>0.57489999999999997</v>
      </c>
      <c r="H1277" s="376">
        <v>7147.2520853724072</v>
      </c>
      <c r="I1277" s="376">
        <v>30311.870256896436</v>
      </c>
      <c r="J1277" s="378">
        <v>38300.591011083714</v>
      </c>
      <c r="K1277" s="313"/>
      <c r="L1277" s="313"/>
    </row>
    <row r="1278" spans="1:12" x14ac:dyDescent="0.25">
      <c r="A1278" s="364">
        <v>7805491</v>
      </c>
      <c r="B1278" s="365" t="s">
        <v>874</v>
      </c>
      <c r="C1278" s="365" t="s">
        <v>2442</v>
      </c>
      <c r="D1278" s="365" t="str">
        <f t="shared" si="20"/>
        <v>7805491__ADM</v>
      </c>
      <c r="E1278" s="365" t="s">
        <v>235</v>
      </c>
      <c r="F1278" s="366">
        <v>80061</v>
      </c>
      <c r="G1278" s="367">
        <v>0.1</v>
      </c>
      <c r="H1278" s="366">
        <v>49789.179104477611</v>
      </c>
      <c r="I1278" s="366">
        <v>29924.163902708682</v>
      </c>
      <c r="J1278" s="368">
        <v>29385.549902549963</v>
      </c>
      <c r="K1278" s="313"/>
      <c r="L1278" s="313"/>
    </row>
    <row r="1279" spans="1:12" x14ac:dyDescent="0.25">
      <c r="A1279" s="369">
        <v>7805491</v>
      </c>
      <c r="B1279" s="370" t="s">
        <v>874</v>
      </c>
      <c r="C1279" s="370" t="s">
        <v>2443</v>
      </c>
      <c r="D1279" s="370" t="str">
        <f t="shared" si="20"/>
        <v>7805491__MAN</v>
      </c>
      <c r="E1279" s="370" t="s">
        <v>235</v>
      </c>
      <c r="F1279" s="371">
        <v>0</v>
      </c>
      <c r="G1279" s="372">
        <v>0</v>
      </c>
      <c r="H1279" s="371">
        <v>0</v>
      </c>
      <c r="I1279" s="371">
        <v>17590.527879202957</v>
      </c>
      <c r="J1279" s="373">
        <v>25045.331823341257</v>
      </c>
      <c r="K1279" s="313"/>
      <c r="L1279" s="313"/>
    </row>
    <row r="1280" spans="1:12" x14ac:dyDescent="0.25">
      <c r="A1280" s="369">
        <v>7805491</v>
      </c>
      <c r="B1280" s="370" t="s">
        <v>874</v>
      </c>
      <c r="C1280" s="370" t="s">
        <v>2444</v>
      </c>
      <c r="D1280" s="370" t="str">
        <f t="shared" si="20"/>
        <v>7805491__PPPs</v>
      </c>
      <c r="E1280" s="370" t="s">
        <v>235</v>
      </c>
      <c r="F1280" s="371">
        <v>620638</v>
      </c>
      <c r="G1280" s="372">
        <v>1.3919999999999999</v>
      </c>
      <c r="H1280" s="371">
        <v>27727.651255218163</v>
      </c>
      <c r="I1280" s="371">
        <v>28199.372889022721</v>
      </c>
      <c r="J1280" s="373">
        <v>26837.070867899798</v>
      </c>
      <c r="K1280" s="313"/>
      <c r="L1280" s="313"/>
    </row>
    <row r="1281" spans="1:12" x14ac:dyDescent="0.25">
      <c r="A1281" s="369">
        <v>7805491</v>
      </c>
      <c r="B1281" s="370" t="s">
        <v>874</v>
      </c>
      <c r="C1281" s="370" t="s">
        <v>2445</v>
      </c>
      <c r="D1281" s="370" t="str">
        <f t="shared" si="20"/>
        <v>7805491__PPPz</v>
      </c>
      <c r="E1281" s="370" t="s">
        <v>235</v>
      </c>
      <c r="F1281" s="371">
        <v>0</v>
      </c>
      <c r="G1281" s="372">
        <v>0</v>
      </c>
      <c r="H1281" s="371">
        <v>0</v>
      </c>
      <c r="I1281" s="371">
        <v>55436.981757877285</v>
      </c>
      <c r="J1281" s="373">
        <v>14206.769404494691</v>
      </c>
      <c r="K1281" s="313"/>
      <c r="L1281" s="313"/>
    </row>
    <row r="1282" spans="1:12" ht="15.75" thickBot="1" x14ac:dyDescent="0.3">
      <c r="A1282" s="374">
        <v>7805491</v>
      </c>
      <c r="B1282" s="375" t="s">
        <v>874</v>
      </c>
      <c r="C1282" s="375" t="s">
        <v>2446</v>
      </c>
      <c r="D1282" s="375" t="str">
        <f t="shared" si="20"/>
        <v>7805491__VED</v>
      </c>
      <c r="E1282" s="375" t="s">
        <v>235</v>
      </c>
      <c r="F1282" s="376">
        <v>41142</v>
      </c>
      <c r="G1282" s="377">
        <v>0.06</v>
      </c>
      <c r="H1282" s="376">
        <v>42643.034825870644</v>
      </c>
      <c r="I1282" s="376">
        <v>30311.870256896436</v>
      </c>
      <c r="J1282" s="378">
        <v>38300.591011083714</v>
      </c>
      <c r="K1282" s="313"/>
      <c r="L1282" s="313"/>
    </row>
    <row r="1283" spans="1:12" x14ac:dyDescent="0.25">
      <c r="A1283" s="364">
        <v>8098643</v>
      </c>
      <c r="B1283" s="365" t="s">
        <v>1515</v>
      </c>
      <c r="C1283" s="365" t="s">
        <v>2442</v>
      </c>
      <c r="D1283" s="365" t="str">
        <f t="shared" si="20"/>
        <v>8098643__ADM</v>
      </c>
      <c r="E1283" s="365" t="s">
        <v>235</v>
      </c>
      <c r="F1283" s="366">
        <v>85430</v>
      </c>
      <c r="G1283" s="367">
        <v>0.25</v>
      </c>
      <c r="H1283" s="366">
        <v>21251.243781094527</v>
      </c>
      <c r="I1283" s="366">
        <v>29924.163902708682</v>
      </c>
      <c r="J1283" s="368">
        <v>29385.549902549963</v>
      </c>
      <c r="K1283" s="313"/>
      <c r="L1283" s="313"/>
    </row>
    <row r="1284" spans="1:12" x14ac:dyDescent="0.25">
      <c r="A1284" s="369">
        <v>8098643</v>
      </c>
      <c r="B1284" s="370" t="s">
        <v>1515</v>
      </c>
      <c r="C1284" s="370" t="s">
        <v>2443</v>
      </c>
      <c r="D1284" s="370" t="str">
        <f t="shared" si="20"/>
        <v>8098643__MAN</v>
      </c>
      <c r="E1284" s="370" t="s">
        <v>235</v>
      </c>
      <c r="F1284" s="371">
        <v>0</v>
      </c>
      <c r="G1284" s="372">
        <v>0</v>
      </c>
      <c r="H1284" s="371">
        <v>0</v>
      </c>
      <c r="I1284" s="371">
        <v>17590.527879202957</v>
      </c>
      <c r="J1284" s="373">
        <v>25045.331823341257</v>
      </c>
      <c r="K1284" s="313"/>
      <c r="L1284" s="313"/>
    </row>
    <row r="1285" spans="1:12" x14ac:dyDescent="0.25">
      <c r="A1285" s="369">
        <v>8098643</v>
      </c>
      <c r="B1285" s="370" t="s">
        <v>1515</v>
      </c>
      <c r="C1285" s="370" t="s">
        <v>2444</v>
      </c>
      <c r="D1285" s="370" t="str">
        <f t="shared" si="20"/>
        <v>8098643__PPPs</v>
      </c>
      <c r="E1285" s="370" t="s">
        <v>235</v>
      </c>
      <c r="F1285" s="371">
        <v>841267</v>
      </c>
      <c r="G1285" s="372">
        <v>3.9</v>
      </c>
      <c r="H1285" s="371">
        <v>13414.769103201937</v>
      </c>
      <c r="I1285" s="371">
        <v>28199.372889022721</v>
      </c>
      <c r="J1285" s="373">
        <v>26837.070867899798</v>
      </c>
      <c r="K1285" s="313"/>
      <c r="L1285" s="313"/>
    </row>
    <row r="1286" spans="1:12" x14ac:dyDescent="0.25">
      <c r="A1286" s="369">
        <v>8098643</v>
      </c>
      <c r="B1286" s="370" t="s">
        <v>1515</v>
      </c>
      <c r="C1286" s="370" t="s">
        <v>2445</v>
      </c>
      <c r="D1286" s="370" t="str">
        <f t="shared" si="20"/>
        <v>8098643__PPPz</v>
      </c>
      <c r="E1286" s="370" t="s">
        <v>235</v>
      </c>
      <c r="F1286" s="371">
        <v>0</v>
      </c>
      <c r="G1286" s="372">
        <v>0</v>
      </c>
      <c r="H1286" s="371">
        <v>0</v>
      </c>
      <c r="I1286" s="371">
        <v>55436.981757877285</v>
      </c>
      <c r="J1286" s="373">
        <v>14206.769404494691</v>
      </c>
      <c r="K1286" s="313"/>
      <c r="L1286" s="313"/>
    </row>
    <row r="1287" spans="1:12" ht="15.75" thickBot="1" x14ac:dyDescent="0.3">
      <c r="A1287" s="374">
        <v>8098643</v>
      </c>
      <c r="B1287" s="375" t="s">
        <v>1515</v>
      </c>
      <c r="C1287" s="375" t="s">
        <v>2446</v>
      </c>
      <c r="D1287" s="375" t="str">
        <f t="shared" si="20"/>
        <v>8098643__VED</v>
      </c>
      <c r="E1287" s="375" t="s">
        <v>235</v>
      </c>
      <c r="F1287" s="376">
        <v>85430</v>
      </c>
      <c r="G1287" s="377">
        <v>0.5</v>
      </c>
      <c r="H1287" s="376">
        <v>10625.621890547263</v>
      </c>
      <c r="I1287" s="376">
        <v>30311.870256896436</v>
      </c>
      <c r="J1287" s="378">
        <v>38300.591011083714</v>
      </c>
      <c r="K1287" s="313"/>
      <c r="L1287" s="313"/>
    </row>
    <row r="1288" spans="1:12" x14ac:dyDescent="0.25">
      <c r="A1288" s="364">
        <v>9192436</v>
      </c>
      <c r="B1288" s="365" t="s">
        <v>733</v>
      </c>
      <c r="C1288" s="365" t="s">
        <v>2442</v>
      </c>
      <c r="D1288" s="365" t="str">
        <f t="shared" si="20"/>
        <v>9192436__ADM</v>
      </c>
      <c r="E1288" s="365" t="s">
        <v>235</v>
      </c>
      <c r="F1288" s="366">
        <v>0</v>
      </c>
      <c r="G1288" s="367">
        <v>0</v>
      </c>
      <c r="H1288" s="366">
        <v>0</v>
      </c>
      <c r="I1288" s="366">
        <v>29924.163902708682</v>
      </c>
      <c r="J1288" s="368">
        <v>29385.549902549963</v>
      </c>
      <c r="K1288" s="313"/>
      <c r="L1288" s="313"/>
    </row>
    <row r="1289" spans="1:12" x14ac:dyDescent="0.25">
      <c r="A1289" s="369">
        <v>9192436</v>
      </c>
      <c r="B1289" s="370" t="s">
        <v>733</v>
      </c>
      <c r="C1289" s="370" t="s">
        <v>2443</v>
      </c>
      <c r="D1289" s="370" t="str">
        <f t="shared" si="20"/>
        <v>9192436__MAN</v>
      </c>
      <c r="E1289" s="370" t="s">
        <v>235</v>
      </c>
      <c r="F1289" s="371">
        <v>0</v>
      </c>
      <c r="G1289" s="372">
        <v>0</v>
      </c>
      <c r="H1289" s="371">
        <v>0</v>
      </c>
      <c r="I1289" s="371">
        <v>17590.527879202957</v>
      </c>
      <c r="J1289" s="373">
        <v>25045.331823341257</v>
      </c>
      <c r="K1289" s="313"/>
      <c r="L1289" s="313"/>
    </row>
    <row r="1290" spans="1:12" x14ac:dyDescent="0.25">
      <c r="A1290" s="369">
        <v>9192436</v>
      </c>
      <c r="B1290" s="370" t="s">
        <v>733</v>
      </c>
      <c r="C1290" s="370" t="s">
        <v>2444</v>
      </c>
      <c r="D1290" s="370" t="str">
        <f t="shared" si="20"/>
        <v>9192436__PPPs</v>
      </c>
      <c r="E1290" s="370" t="s">
        <v>235</v>
      </c>
      <c r="F1290" s="371">
        <v>45540</v>
      </c>
      <c r="G1290" s="372">
        <v>0.16</v>
      </c>
      <c r="H1290" s="371">
        <v>17700.559701492537</v>
      </c>
      <c r="I1290" s="371">
        <v>28199.372889022721</v>
      </c>
      <c r="J1290" s="373">
        <v>26837.070867899798</v>
      </c>
      <c r="K1290" s="313"/>
      <c r="L1290" s="313"/>
    </row>
    <row r="1291" spans="1:12" x14ac:dyDescent="0.25">
      <c r="A1291" s="369">
        <v>9192436</v>
      </c>
      <c r="B1291" s="370" t="s">
        <v>733</v>
      </c>
      <c r="C1291" s="370" t="s">
        <v>2445</v>
      </c>
      <c r="D1291" s="370" t="str">
        <f t="shared" si="20"/>
        <v>9192436__PPPz</v>
      </c>
      <c r="E1291" s="370" t="s">
        <v>235</v>
      </c>
      <c r="F1291" s="371">
        <v>0</v>
      </c>
      <c r="G1291" s="372">
        <v>0</v>
      </c>
      <c r="H1291" s="371">
        <v>0</v>
      </c>
      <c r="I1291" s="371">
        <v>55436.981757877285</v>
      </c>
      <c r="J1291" s="373">
        <v>14206.769404494691</v>
      </c>
      <c r="K1291" s="313"/>
      <c r="L1291" s="313"/>
    </row>
    <row r="1292" spans="1:12" ht="15.75" thickBot="1" x14ac:dyDescent="0.3">
      <c r="A1292" s="374">
        <v>9192436</v>
      </c>
      <c r="B1292" s="375" t="s">
        <v>733</v>
      </c>
      <c r="C1292" s="375" t="s">
        <v>2446</v>
      </c>
      <c r="D1292" s="375" t="str">
        <f t="shared" si="20"/>
        <v>9192436__VED</v>
      </c>
      <c r="E1292" s="375" t="s">
        <v>235</v>
      </c>
      <c r="F1292" s="376">
        <v>45538</v>
      </c>
      <c r="G1292" s="377">
        <v>7.5200000000000003E-2</v>
      </c>
      <c r="H1292" s="376">
        <v>37659.111358103102</v>
      </c>
      <c r="I1292" s="376">
        <v>30311.870256896436</v>
      </c>
      <c r="J1292" s="378">
        <v>38300.591011083714</v>
      </c>
      <c r="K1292" s="313"/>
      <c r="L1292" s="313"/>
    </row>
    <row r="1293" spans="1:12" x14ac:dyDescent="0.25">
      <c r="A1293" s="364">
        <v>9379121</v>
      </c>
      <c r="B1293" s="365" t="s">
        <v>928</v>
      </c>
      <c r="C1293" s="365" t="s">
        <v>2442</v>
      </c>
      <c r="D1293" s="365" t="str">
        <f t="shared" si="20"/>
        <v>9379121__ADM</v>
      </c>
      <c r="E1293" s="365" t="s">
        <v>235</v>
      </c>
      <c r="F1293" s="366">
        <v>80987</v>
      </c>
      <c r="G1293" s="367">
        <v>0.2</v>
      </c>
      <c r="H1293" s="366">
        <v>25182.52487562189</v>
      </c>
      <c r="I1293" s="366">
        <v>29924.163902708682</v>
      </c>
      <c r="J1293" s="368">
        <v>29385.549902549963</v>
      </c>
      <c r="K1293" s="313"/>
      <c r="L1293" s="313"/>
    </row>
    <row r="1294" spans="1:12" x14ac:dyDescent="0.25">
      <c r="A1294" s="369">
        <v>9379121</v>
      </c>
      <c r="B1294" s="370" t="s">
        <v>928</v>
      </c>
      <c r="C1294" s="370" t="s">
        <v>2443</v>
      </c>
      <c r="D1294" s="370" t="str">
        <f t="shared" si="20"/>
        <v>9379121__MAN</v>
      </c>
      <c r="E1294" s="370" t="s">
        <v>235</v>
      </c>
      <c r="F1294" s="371">
        <v>87050</v>
      </c>
      <c r="G1294" s="372">
        <v>0.35</v>
      </c>
      <c r="H1294" s="371">
        <v>15467.306325515281</v>
      </c>
      <c r="I1294" s="371">
        <v>17590.527879202957</v>
      </c>
      <c r="J1294" s="373">
        <v>25045.331823341257</v>
      </c>
      <c r="K1294" s="313"/>
      <c r="L1294" s="313"/>
    </row>
    <row r="1295" spans="1:12" x14ac:dyDescent="0.25">
      <c r="A1295" s="369">
        <v>9379121</v>
      </c>
      <c r="B1295" s="370" t="s">
        <v>928</v>
      </c>
      <c r="C1295" s="370" t="s">
        <v>2444</v>
      </c>
      <c r="D1295" s="370" t="str">
        <f t="shared" si="20"/>
        <v>9379121__PPPs</v>
      </c>
      <c r="E1295" s="370" t="s">
        <v>235</v>
      </c>
      <c r="F1295" s="371">
        <v>3538729</v>
      </c>
      <c r="G1295" s="372">
        <v>9.1448</v>
      </c>
      <c r="H1295" s="371">
        <v>24065.065550125324</v>
      </c>
      <c r="I1295" s="371">
        <v>28199.372889022721</v>
      </c>
      <c r="J1295" s="373">
        <v>26837.070867899798</v>
      </c>
      <c r="K1295" s="313"/>
      <c r="L1295" s="313"/>
    </row>
    <row r="1296" spans="1:12" x14ac:dyDescent="0.25">
      <c r="A1296" s="369">
        <v>9379121</v>
      </c>
      <c r="B1296" s="370" t="s">
        <v>928</v>
      </c>
      <c r="C1296" s="370" t="s">
        <v>2445</v>
      </c>
      <c r="D1296" s="370" t="str">
        <f t="shared" si="20"/>
        <v>9379121__PPPz</v>
      </c>
      <c r="E1296" s="370" t="s">
        <v>235</v>
      </c>
      <c r="F1296" s="371">
        <v>267428</v>
      </c>
      <c r="G1296" s="372">
        <v>0.3</v>
      </c>
      <c r="H1296" s="371">
        <v>55436.981757877285</v>
      </c>
      <c r="I1296" s="371">
        <v>55436.981757877285</v>
      </c>
      <c r="J1296" s="373">
        <v>14206.769404494691</v>
      </c>
      <c r="K1296" s="313"/>
      <c r="L1296" s="313"/>
    </row>
    <row r="1297" spans="1:12" ht="15.75" thickBot="1" x14ac:dyDescent="0.3">
      <c r="A1297" s="374">
        <v>9379121</v>
      </c>
      <c r="B1297" s="375" t="s">
        <v>928</v>
      </c>
      <c r="C1297" s="375" t="s">
        <v>2446</v>
      </c>
      <c r="D1297" s="375" t="str">
        <f t="shared" si="20"/>
        <v>9379121__VED</v>
      </c>
      <c r="E1297" s="375" t="s">
        <v>235</v>
      </c>
      <c r="F1297" s="376">
        <v>128372</v>
      </c>
      <c r="G1297" s="377">
        <v>0.1</v>
      </c>
      <c r="H1297" s="376">
        <v>79833.333333333328</v>
      </c>
      <c r="I1297" s="376">
        <v>30311.870256896436</v>
      </c>
      <c r="J1297" s="378">
        <v>38300.591011083714</v>
      </c>
      <c r="K1297" s="313"/>
      <c r="L1297" s="313"/>
    </row>
    <row r="1298" spans="1:12" x14ac:dyDescent="0.25">
      <c r="A1298" s="364">
        <v>9767213</v>
      </c>
      <c r="B1298" s="365" t="s">
        <v>214</v>
      </c>
      <c r="C1298" s="365" t="s">
        <v>2442</v>
      </c>
      <c r="D1298" s="365" t="str">
        <f t="shared" si="20"/>
        <v>9767213__ADM</v>
      </c>
      <c r="E1298" s="365" t="s">
        <v>235</v>
      </c>
      <c r="F1298" s="366">
        <v>154352</v>
      </c>
      <c r="G1298" s="367">
        <v>0.34100000000000003</v>
      </c>
      <c r="H1298" s="366">
        <v>28149.574707109612</v>
      </c>
      <c r="I1298" s="366">
        <v>29924.163902708682</v>
      </c>
      <c r="J1298" s="368">
        <v>29385.549902549963</v>
      </c>
      <c r="K1298" s="313"/>
      <c r="L1298" s="313"/>
    </row>
    <row r="1299" spans="1:12" x14ac:dyDescent="0.25">
      <c r="A1299" s="369">
        <v>9767213</v>
      </c>
      <c r="B1299" s="370" t="s">
        <v>214</v>
      </c>
      <c r="C1299" s="370" t="s">
        <v>2443</v>
      </c>
      <c r="D1299" s="370" t="str">
        <f t="shared" si="20"/>
        <v>9767213__MAN</v>
      </c>
      <c r="E1299" s="370" t="s">
        <v>235</v>
      </c>
      <c r="F1299" s="371">
        <v>34525</v>
      </c>
      <c r="G1299" s="372">
        <v>0.13220000000000001</v>
      </c>
      <c r="H1299" s="371">
        <v>16241.12794574781</v>
      </c>
      <c r="I1299" s="371">
        <v>17590.527879202957</v>
      </c>
      <c r="J1299" s="373">
        <v>25045.331823341257</v>
      </c>
      <c r="K1299" s="313"/>
      <c r="L1299" s="313"/>
    </row>
    <row r="1300" spans="1:12" x14ac:dyDescent="0.25">
      <c r="A1300" s="369">
        <v>9767213</v>
      </c>
      <c r="B1300" s="370" t="s">
        <v>214</v>
      </c>
      <c r="C1300" s="370" t="s">
        <v>2444</v>
      </c>
      <c r="D1300" s="370" t="str">
        <f t="shared" si="20"/>
        <v>9767213__PPPs</v>
      </c>
      <c r="E1300" s="370" t="s">
        <v>235</v>
      </c>
      <c r="F1300" s="371">
        <v>1122906</v>
      </c>
      <c r="G1300" s="372">
        <v>2.7399999999999998</v>
      </c>
      <c r="H1300" s="371">
        <v>25486.300250571956</v>
      </c>
      <c r="I1300" s="371">
        <v>28199.372889022721</v>
      </c>
      <c r="J1300" s="373">
        <v>26837.070867899798</v>
      </c>
      <c r="K1300" s="313"/>
      <c r="L1300" s="313"/>
    </row>
    <row r="1301" spans="1:12" x14ac:dyDescent="0.25">
      <c r="A1301" s="369">
        <v>9767213</v>
      </c>
      <c r="B1301" s="370" t="s">
        <v>214</v>
      </c>
      <c r="C1301" s="370" t="s">
        <v>2445</v>
      </c>
      <c r="D1301" s="370" t="str">
        <f t="shared" si="20"/>
        <v>9767213__PPPz</v>
      </c>
      <c r="E1301" s="370" t="s">
        <v>235</v>
      </c>
      <c r="F1301" s="371">
        <v>0</v>
      </c>
      <c r="G1301" s="372">
        <v>0</v>
      </c>
      <c r="H1301" s="371">
        <v>0</v>
      </c>
      <c r="I1301" s="371">
        <v>55436.981757877285</v>
      </c>
      <c r="J1301" s="373">
        <v>14206.769404494691</v>
      </c>
      <c r="K1301" s="313"/>
      <c r="L1301" s="313"/>
    </row>
    <row r="1302" spans="1:12" ht="15.75" thickBot="1" x14ac:dyDescent="0.3">
      <c r="A1302" s="374">
        <v>9767213</v>
      </c>
      <c r="B1302" s="375" t="s">
        <v>214</v>
      </c>
      <c r="C1302" s="375" t="s">
        <v>2446</v>
      </c>
      <c r="D1302" s="375" t="str">
        <f t="shared" si="20"/>
        <v>9767213__VED</v>
      </c>
      <c r="E1302" s="375" t="s">
        <v>235</v>
      </c>
      <c r="F1302" s="376">
        <v>156913</v>
      </c>
      <c r="G1302" s="377">
        <v>0.15</v>
      </c>
      <c r="H1302" s="376">
        <v>65055.140961857374</v>
      </c>
      <c r="I1302" s="376">
        <v>30311.870256896436</v>
      </c>
      <c r="J1302" s="378">
        <v>38300.591011083714</v>
      </c>
      <c r="K1302" s="313"/>
      <c r="L1302" s="313"/>
    </row>
    <row r="1303" spans="1:12" x14ac:dyDescent="0.25">
      <c r="A1303" s="364">
        <v>9818505</v>
      </c>
      <c r="B1303" s="365" t="s">
        <v>874</v>
      </c>
      <c r="C1303" s="365" t="s">
        <v>2442</v>
      </c>
      <c r="D1303" s="365" t="str">
        <f t="shared" si="20"/>
        <v>9818505__ADM</v>
      </c>
      <c r="E1303" s="365" t="s">
        <v>235</v>
      </c>
      <c r="F1303" s="366">
        <v>128691</v>
      </c>
      <c r="G1303" s="367">
        <v>0.2</v>
      </c>
      <c r="H1303" s="366">
        <v>40015.858208955222</v>
      </c>
      <c r="I1303" s="366">
        <v>29924.163902708682</v>
      </c>
      <c r="J1303" s="368">
        <v>29385.549902549963</v>
      </c>
      <c r="K1303" s="313"/>
      <c r="L1303" s="313"/>
    </row>
    <row r="1304" spans="1:12" x14ac:dyDescent="0.25">
      <c r="A1304" s="369">
        <v>9818505</v>
      </c>
      <c r="B1304" s="370" t="s">
        <v>874</v>
      </c>
      <c r="C1304" s="370" t="s">
        <v>2443</v>
      </c>
      <c r="D1304" s="370" t="str">
        <f t="shared" si="20"/>
        <v>9818505__MAN</v>
      </c>
      <c r="E1304" s="370" t="s">
        <v>235</v>
      </c>
      <c r="F1304" s="371">
        <v>0</v>
      </c>
      <c r="G1304" s="372">
        <v>0</v>
      </c>
      <c r="H1304" s="371">
        <v>0</v>
      </c>
      <c r="I1304" s="371">
        <v>17590.527879202957</v>
      </c>
      <c r="J1304" s="373">
        <v>25045.331823341257</v>
      </c>
      <c r="K1304" s="313"/>
      <c r="L1304" s="313"/>
    </row>
    <row r="1305" spans="1:12" x14ac:dyDescent="0.25">
      <c r="A1305" s="369">
        <v>9818505</v>
      </c>
      <c r="B1305" s="370" t="s">
        <v>874</v>
      </c>
      <c r="C1305" s="370" t="s">
        <v>2444</v>
      </c>
      <c r="D1305" s="370" t="str">
        <f t="shared" si="20"/>
        <v>9818505__PPPs</v>
      </c>
      <c r="E1305" s="370" t="s">
        <v>235</v>
      </c>
      <c r="F1305" s="371">
        <v>1416410</v>
      </c>
      <c r="G1305" s="372">
        <v>3</v>
      </c>
      <c r="H1305" s="371">
        <v>29361.733001658376</v>
      </c>
      <c r="I1305" s="371">
        <v>28199.372889022721</v>
      </c>
      <c r="J1305" s="373">
        <v>26837.070867899798</v>
      </c>
      <c r="K1305" s="313"/>
      <c r="L1305" s="313"/>
    </row>
    <row r="1306" spans="1:12" x14ac:dyDescent="0.25">
      <c r="A1306" s="369">
        <v>9818505</v>
      </c>
      <c r="B1306" s="370" t="s">
        <v>874</v>
      </c>
      <c r="C1306" s="370" t="s">
        <v>2445</v>
      </c>
      <c r="D1306" s="370" t="str">
        <f t="shared" si="20"/>
        <v>9818505__PPPz</v>
      </c>
      <c r="E1306" s="370" t="s">
        <v>235</v>
      </c>
      <c r="F1306" s="371">
        <v>0</v>
      </c>
      <c r="G1306" s="372">
        <v>0</v>
      </c>
      <c r="H1306" s="371">
        <v>0</v>
      </c>
      <c r="I1306" s="371">
        <v>55436.981757877285</v>
      </c>
      <c r="J1306" s="373">
        <v>14206.769404494691</v>
      </c>
      <c r="K1306" s="313"/>
      <c r="L1306" s="313"/>
    </row>
    <row r="1307" spans="1:12" ht="15.75" thickBot="1" x14ac:dyDescent="0.3">
      <c r="A1307" s="374">
        <v>9818505</v>
      </c>
      <c r="B1307" s="375" t="s">
        <v>874</v>
      </c>
      <c r="C1307" s="375" t="s">
        <v>2446</v>
      </c>
      <c r="D1307" s="375" t="str">
        <f t="shared" si="20"/>
        <v>9818505__VED</v>
      </c>
      <c r="E1307" s="375" t="s">
        <v>235</v>
      </c>
      <c r="F1307" s="376">
        <v>55203</v>
      </c>
      <c r="G1307" s="377">
        <v>0.125</v>
      </c>
      <c r="H1307" s="376">
        <v>27464.179104477611</v>
      </c>
      <c r="I1307" s="376">
        <v>30311.870256896436</v>
      </c>
      <c r="J1307" s="378">
        <v>38300.591011083714</v>
      </c>
      <c r="K1307" s="313"/>
      <c r="L1307" s="313"/>
    </row>
    <row r="1308" spans="1:12" x14ac:dyDescent="0.25">
      <c r="A1308" s="364">
        <v>9328941</v>
      </c>
      <c r="B1308" s="365" t="s">
        <v>1526</v>
      </c>
      <c r="C1308" s="365" t="s">
        <v>2442</v>
      </c>
      <c r="D1308" s="365" t="str">
        <f t="shared" si="20"/>
        <v>9328941__ADM</v>
      </c>
      <c r="E1308" s="365" t="s">
        <v>837</v>
      </c>
      <c r="F1308" s="366">
        <v>0</v>
      </c>
      <c r="G1308" s="367">
        <v>0</v>
      </c>
      <c r="H1308" s="366">
        <v>0</v>
      </c>
      <c r="I1308" s="366">
        <v>0</v>
      </c>
      <c r="J1308" s="368">
        <v>26834.463728797407</v>
      </c>
      <c r="K1308" s="313"/>
      <c r="L1308" s="313"/>
    </row>
    <row r="1309" spans="1:12" x14ac:dyDescent="0.25">
      <c r="A1309" s="369">
        <v>9328941</v>
      </c>
      <c r="B1309" s="370" t="s">
        <v>1526</v>
      </c>
      <c r="C1309" s="370" t="s">
        <v>2443</v>
      </c>
      <c r="D1309" s="370" t="str">
        <f t="shared" si="20"/>
        <v>9328941__MAN</v>
      </c>
      <c r="E1309" s="370" t="s">
        <v>837</v>
      </c>
      <c r="F1309" s="371">
        <v>0</v>
      </c>
      <c r="G1309" s="372">
        <v>0</v>
      </c>
      <c r="H1309" s="371">
        <v>0</v>
      </c>
      <c r="I1309" s="371">
        <v>0</v>
      </c>
      <c r="J1309" s="373">
        <v>17426.385434475702</v>
      </c>
      <c r="K1309" s="313"/>
      <c r="L1309" s="313"/>
    </row>
    <row r="1310" spans="1:12" x14ac:dyDescent="0.25">
      <c r="A1310" s="369">
        <v>9328941</v>
      </c>
      <c r="B1310" s="370" t="s">
        <v>1526</v>
      </c>
      <c r="C1310" s="370" t="s">
        <v>2444</v>
      </c>
      <c r="D1310" s="370" t="str">
        <f t="shared" si="20"/>
        <v>9328941__PPPs</v>
      </c>
      <c r="E1310" s="370" t="s">
        <v>837</v>
      </c>
      <c r="F1310" s="371">
        <v>4319099</v>
      </c>
      <c r="G1310" s="372">
        <v>4.13</v>
      </c>
      <c r="H1310" s="371">
        <v>65036.485249298297</v>
      </c>
      <c r="I1310" s="371">
        <v>65036.485249298297</v>
      </c>
      <c r="J1310" s="373">
        <v>24181.169027937369</v>
      </c>
      <c r="K1310" s="313"/>
      <c r="L1310" s="313"/>
    </row>
    <row r="1311" spans="1:12" x14ac:dyDescent="0.25">
      <c r="A1311" s="369">
        <v>9328941</v>
      </c>
      <c r="B1311" s="370" t="s">
        <v>1526</v>
      </c>
      <c r="C1311" s="370" t="s">
        <v>2445</v>
      </c>
      <c r="D1311" s="370" t="str">
        <f t="shared" si="20"/>
        <v>9328941__PPPz</v>
      </c>
      <c r="E1311" s="370" t="s">
        <v>837</v>
      </c>
      <c r="F1311" s="371">
        <v>0</v>
      </c>
      <c r="G1311" s="372">
        <v>0</v>
      </c>
      <c r="H1311" s="371">
        <v>0</v>
      </c>
      <c r="I1311" s="371">
        <v>0</v>
      </c>
      <c r="J1311" s="373">
        <v>21862.249622545682</v>
      </c>
      <c r="K1311" s="313"/>
      <c r="L1311" s="313"/>
    </row>
    <row r="1312" spans="1:12" ht="15.75" thickBot="1" x14ac:dyDescent="0.3">
      <c r="A1312" s="374">
        <v>9328941</v>
      </c>
      <c r="B1312" s="375" t="s">
        <v>1526</v>
      </c>
      <c r="C1312" s="375" t="s">
        <v>2446</v>
      </c>
      <c r="D1312" s="375" t="str">
        <f t="shared" si="20"/>
        <v>9328941__VED</v>
      </c>
      <c r="E1312" s="375" t="s">
        <v>837</v>
      </c>
      <c r="F1312" s="376">
        <v>0</v>
      </c>
      <c r="G1312" s="377">
        <v>0</v>
      </c>
      <c r="H1312" s="376">
        <v>0</v>
      </c>
      <c r="I1312" s="376">
        <v>0</v>
      </c>
      <c r="J1312" s="378">
        <v>46482.574539735644</v>
      </c>
      <c r="K1312" s="313"/>
      <c r="L1312" s="313"/>
    </row>
    <row r="1313" spans="1:12" x14ac:dyDescent="0.25">
      <c r="A1313" s="364">
        <v>1758706</v>
      </c>
      <c r="B1313" s="365" t="s">
        <v>249</v>
      </c>
      <c r="C1313" s="365" t="s">
        <v>2442</v>
      </c>
      <c r="D1313" s="365" t="str">
        <f t="shared" si="20"/>
        <v>1758706__ADM</v>
      </c>
      <c r="E1313" s="365" t="s">
        <v>251</v>
      </c>
      <c r="F1313" s="366">
        <v>136356</v>
      </c>
      <c r="G1313" s="367">
        <v>0.29199999999999998</v>
      </c>
      <c r="H1313" s="366">
        <v>29040.584747495399</v>
      </c>
      <c r="I1313" s="366">
        <v>29040.584747495399</v>
      </c>
      <c r="J1313" s="368">
        <v>31640.881882691931</v>
      </c>
      <c r="K1313" s="313"/>
      <c r="L1313" s="313"/>
    </row>
    <row r="1314" spans="1:12" x14ac:dyDescent="0.25">
      <c r="A1314" s="369">
        <v>1758706</v>
      </c>
      <c r="B1314" s="370" t="s">
        <v>249</v>
      </c>
      <c r="C1314" s="370" t="s">
        <v>2443</v>
      </c>
      <c r="D1314" s="370" t="str">
        <f t="shared" ref="D1314:D1347" si="21">CONCATENATE(A1314,"__",C1314)</f>
        <v>1758706__MAN</v>
      </c>
      <c r="E1314" s="370" t="s">
        <v>251</v>
      </c>
      <c r="F1314" s="371">
        <v>0</v>
      </c>
      <c r="G1314" s="372">
        <v>0</v>
      </c>
      <c r="H1314" s="371">
        <v>0</v>
      </c>
      <c r="I1314" s="371">
        <v>0</v>
      </c>
      <c r="J1314" s="373">
        <v>28468.451331710967</v>
      </c>
      <c r="K1314" s="313"/>
      <c r="L1314" s="313"/>
    </row>
    <row r="1315" spans="1:12" x14ac:dyDescent="0.25">
      <c r="A1315" s="369">
        <v>1758706</v>
      </c>
      <c r="B1315" s="370" t="s">
        <v>249</v>
      </c>
      <c r="C1315" s="370" t="s">
        <v>2444</v>
      </c>
      <c r="D1315" s="370" t="str">
        <f t="shared" si="21"/>
        <v>1758706__PPPs</v>
      </c>
      <c r="E1315" s="370" t="s">
        <v>251</v>
      </c>
      <c r="F1315" s="371">
        <v>2977031</v>
      </c>
      <c r="G1315" s="372">
        <v>9.4420000000000002</v>
      </c>
      <c r="H1315" s="371">
        <v>19608.000824093891</v>
      </c>
      <c r="I1315" s="371">
        <v>19608.000824093891</v>
      </c>
      <c r="J1315" s="373">
        <v>26681.862427889606</v>
      </c>
      <c r="K1315" s="313"/>
      <c r="L1315" s="313"/>
    </row>
    <row r="1316" spans="1:12" x14ac:dyDescent="0.25">
      <c r="A1316" s="369">
        <v>1758706</v>
      </c>
      <c r="B1316" s="370" t="s">
        <v>249</v>
      </c>
      <c r="C1316" s="370" t="s">
        <v>2445</v>
      </c>
      <c r="D1316" s="370" t="str">
        <f t="shared" si="21"/>
        <v>1758706__PPPz</v>
      </c>
      <c r="E1316" s="370" t="s">
        <v>251</v>
      </c>
      <c r="F1316" s="371">
        <v>0</v>
      </c>
      <c r="G1316" s="372">
        <v>0</v>
      </c>
      <c r="H1316" s="371">
        <v>0</v>
      </c>
      <c r="I1316" s="371">
        <v>0</v>
      </c>
      <c r="J1316" s="373">
        <v>20886.929357696936</v>
      </c>
      <c r="K1316" s="313"/>
      <c r="L1316" s="313"/>
    </row>
    <row r="1317" spans="1:12" ht="15.75" thickBot="1" x14ac:dyDescent="0.3">
      <c r="A1317" s="374">
        <v>1758706</v>
      </c>
      <c r="B1317" s="375" t="s">
        <v>249</v>
      </c>
      <c r="C1317" s="375" t="s">
        <v>2446</v>
      </c>
      <c r="D1317" s="375" t="str">
        <f t="shared" si="21"/>
        <v>1758706__VED</v>
      </c>
      <c r="E1317" s="375" t="s">
        <v>251</v>
      </c>
      <c r="F1317" s="376">
        <v>490379</v>
      </c>
      <c r="G1317" s="377">
        <v>1</v>
      </c>
      <c r="H1317" s="376">
        <v>30496.206467661686</v>
      </c>
      <c r="I1317" s="376">
        <v>30496.206467661686</v>
      </c>
      <c r="J1317" s="378">
        <v>37757.434835579195</v>
      </c>
      <c r="K1317" s="313"/>
      <c r="L1317" s="313"/>
    </row>
    <row r="1318" spans="1:12" x14ac:dyDescent="0.25">
      <c r="A1318" s="364">
        <v>5947102</v>
      </c>
      <c r="B1318" s="365" t="s">
        <v>760</v>
      </c>
      <c r="C1318" s="365" t="s">
        <v>2442</v>
      </c>
      <c r="D1318" s="365" t="str">
        <f t="shared" si="21"/>
        <v>5947102__ADM</v>
      </c>
      <c r="E1318" s="365" t="s">
        <v>764</v>
      </c>
      <c r="F1318" s="366">
        <v>40975</v>
      </c>
      <c r="G1318" s="367">
        <v>7.0000000000000007E-2</v>
      </c>
      <c r="H1318" s="366">
        <v>36402.807391613358</v>
      </c>
      <c r="I1318" s="366">
        <v>32223.662024605008</v>
      </c>
      <c r="J1318" s="368">
        <v>31579.061368789633</v>
      </c>
      <c r="K1318" s="313"/>
      <c r="L1318" s="313"/>
    </row>
    <row r="1319" spans="1:12" x14ac:dyDescent="0.25">
      <c r="A1319" s="369">
        <v>5947102</v>
      </c>
      <c r="B1319" s="370" t="s">
        <v>760</v>
      </c>
      <c r="C1319" s="370" t="s">
        <v>2443</v>
      </c>
      <c r="D1319" s="370" t="str">
        <f t="shared" si="21"/>
        <v>5947102__MAN</v>
      </c>
      <c r="E1319" s="370" t="s">
        <v>764</v>
      </c>
      <c r="F1319" s="371">
        <v>0</v>
      </c>
      <c r="G1319" s="372">
        <v>0</v>
      </c>
      <c r="H1319" s="371">
        <v>0</v>
      </c>
      <c r="I1319" s="371">
        <v>17658.783008036738</v>
      </c>
      <c r="J1319" s="373">
        <v>19640.631215555553</v>
      </c>
      <c r="K1319" s="313"/>
      <c r="L1319" s="313"/>
    </row>
    <row r="1320" spans="1:12" x14ac:dyDescent="0.25">
      <c r="A1320" s="369">
        <v>5947102</v>
      </c>
      <c r="B1320" s="370" t="s">
        <v>760</v>
      </c>
      <c r="C1320" s="370" t="s">
        <v>2444</v>
      </c>
      <c r="D1320" s="370" t="str">
        <f t="shared" si="21"/>
        <v>5947102__PPPs</v>
      </c>
      <c r="E1320" s="370" t="s">
        <v>764</v>
      </c>
      <c r="F1320" s="371">
        <v>328131</v>
      </c>
      <c r="G1320" s="372">
        <v>0.37629999999999997</v>
      </c>
      <c r="H1320" s="371">
        <v>54228.426033531519</v>
      </c>
      <c r="I1320" s="371">
        <v>12128.941016450084</v>
      </c>
      <c r="J1320" s="373">
        <v>24208.019142085453</v>
      </c>
      <c r="K1320" s="313"/>
      <c r="L1320" s="313"/>
    </row>
    <row r="1321" spans="1:12" x14ac:dyDescent="0.25">
      <c r="A1321" s="369">
        <v>5947102</v>
      </c>
      <c r="B1321" s="370" t="s">
        <v>760</v>
      </c>
      <c r="C1321" s="370" t="s">
        <v>2445</v>
      </c>
      <c r="D1321" s="370" t="str">
        <f t="shared" si="21"/>
        <v>5947102__PPPz</v>
      </c>
      <c r="E1321" s="370" t="s">
        <v>764</v>
      </c>
      <c r="F1321" s="371">
        <v>0</v>
      </c>
      <c r="G1321" s="372">
        <v>0</v>
      </c>
      <c r="H1321" s="371">
        <v>0</v>
      </c>
      <c r="I1321" s="371">
        <v>0</v>
      </c>
      <c r="J1321" s="373">
        <v>26954.868514570004</v>
      </c>
      <c r="K1321" s="313"/>
      <c r="L1321" s="313"/>
    </row>
    <row r="1322" spans="1:12" ht="15.75" thickBot="1" x14ac:dyDescent="0.3">
      <c r="A1322" s="374">
        <v>5947102</v>
      </c>
      <c r="B1322" s="375" t="s">
        <v>760</v>
      </c>
      <c r="C1322" s="375" t="s">
        <v>2446</v>
      </c>
      <c r="D1322" s="375" t="str">
        <f t="shared" si="21"/>
        <v>5947102__VED</v>
      </c>
      <c r="E1322" s="375" t="s">
        <v>764</v>
      </c>
      <c r="F1322" s="376">
        <v>0</v>
      </c>
      <c r="G1322" s="377">
        <v>0</v>
      </c>
      <c r="H1322" s="376">
        <v>0</v>
      </c>
      <c r="I1322" s="376">
        <v>26028.358208955222</v>
      </c>
      <c r="J1322" s="378">
        <v>40027.251734314013</v>
      </c>
      <c r="K1322" s="313"/>
      <c r="L1322" s="313"/>
    </row>
    <row r="1323" spans="1:12" x14ac:dyDescent="0.25">
      <c r="A1323" s="364">
        <v>9509809</v>
      </c>
      <c r="B1323" s="365" t="s">
        <v>2441</v>
      </c>
      <c r="C1323" s="365" t="s">
        <v>2442</v>
      </c>
      <c r="D1323" s="365" t="str">
        <f t="shared" si="21"/>
        <v>9509809__ADM</v>
      </c>
      <c r="E1323" s="365" t="s">
        <v>764</v>
      </c>
      <c r="F1323" s="366">
        <v>289720</v>
      </c>
      <c r="G1323" s="367">
        <v>0.625</v>
      </c>
      <c r="H1323" s="366">
        <v>28827.860696517411</v>
      </c>
      <c r="I1323" s="366">
        <v>32223.662024605008</v>
      </c>
      <c r="J1323" s="368">
        <v>31579.061368789633</v>
      </c>
      <c r="K1323" s="313"/>
      <c r="L1323" s="313"/>
    </row>
    <row r="1324" spans="1:12" x14ac:dyDescent="0.25">
      <c r="A1324" s="369">
        <v>9509809</v>
      </c>
      <c r="B1324" s="370" t="s">
        <v>2441</v>
      </c>
      <c r="C1324" s="370" t="s">
        <v>2443</v>
      </c>
      <c r="D1324" s="370" t="str">
        <f t="shared" si="21"/>
        <v>9509809__MAN</v>
      </c>
      <c r="E1324" s="370" t="s">
        <v>764</v>
      </c>
      <c r="F1324" s="371">
        <v>230712</v>
      </c>
      <c r="G1324" s="372">
        <v>0.8125</v>
      </c>
      <c r="H1324" s="371">
        <v>17658.783008036738</v>
      </c>
      <c r="I1324" s="371">
        <v>17658.783008036738</v>
      </c>
      <c r="J1324" s="373">
        <v>19640.631215555553</v>
      </c>
      <c r="K1324" s="313"/>
      <c r="L1324" s="313"/>
    </row>
    <row r="1325" spans="1:12" x14ac:dyDescent="0.25">
      <c r="A1325" s="369">
        <v>9509809</v>
      </c>
      <c r="B1325" s="370" t="s">
        <v>2441</v>
      </c>
      <c r="C1325" s="370" t="s">
        <v>2444</v>
      </c>
      <c r="D1325" s="370" t="str">
        <f t="shared" si="21"/>
        <v>9509809__PPPs</v>
      </c>
      <c r="E1325" s="370" t="s">
        <v>764</v>
      </c>
      <c r="F1325" s="371">
        <v>1842118</v>
      </c>
      <c r="G1325" s="372">
        <v>9.3759999999999994</v>
      </c>
      <c r="H1325" s="371">
        <v>12218.384931146316</v>
      </c>
      <c r="I1325" s="371">
        <v>12128.941016450084</v>
      </c>
      <c r="J1325" s="373">
        <v>24208.019142085453</v>
      </c>
      <c r="K1325" s="313"/>
      <c r="L1325" s="313"/>
    </row>
    <row r="1326" spans="1:12" x14ac:dyDescent="0.25">
      <c r="A1326" s="369">
        <v>9509809</v>
      </c>
      <c r="B1326" s="370" t="s">
        <v>2441</v>
      </c>
      <c r="C1326" s="370" t="s">
        <v>2445</v>
      </c>
      <c r="D1326" s="370" t="str">
        <f t="shared" si="21"/>
        <v>9509809__PPPz</v>
      </c>
      <c r="E1326" s="370" t="s">
        <v>764</v>
      </c>
      <c r="F1326" s="371">
        <v>0</v>
      </c>
      <c r="G1326" s="372">
        <v>0</v>
      </c>
      <c r="H1326" s="371">
        <v>0</v>
      </c>
      <c r="I1326" s="371">
        <v>0</v>
      </c>
      <c r="J1326" s="373">
        <v>26954.868514570004</v>
      </c>
      <c r="K1326" s="313"/>
      <c r="L1326" s="313"/>
    </row>
    <row r="1327" spans="1:12" ht="15.75" thickBot="1" x14ac:dyDescent="0.3">
      <c r="A1327" s="374">
        <v>9509809</v>
      </c>
      <c r="B1327" s="375" t="s">
        <v>2441</v>
      </c>
      <c r="C1327" s="375" t="s">
        <v>2446</v>
      </c>
      <c r="D1327" s="375" t="str">
        <f t="shared" si="21"/>
        <v>9509809__VED</v>
      </c>
      <c r="E1327" s="375" t="s">
        <v>764</v>
      </c>
      <c r="F1327" s="376">
        <v>300630</v>
      </c>
      <c r="G1327" s="377">
        <v>1</v>
      </c>
      <c r="H1327" s="376">
        <v>18695.895522388058</v>
      </c>
      <c r="I1327" s="376">
        <v>26028.358208955222</v>
      </c>
      <c r="J1327" s="378">
        <v>40027.251734314013</v>
      </c>
      <c r="K1327" s="313"/>
      <c r="L1327" s="313"/>
    </row>
    <row r="1328" spans="1:12" x14ac:dyDescent="0.25">
      <c r="A1328" s="364">
        <v>9577077</v>
      </c>
      <c r="B1328" s="365" t="s">
        <v>1030</v>
      </c>
      <c r="C1328" s="365" t="s">
        <v>2442</v>
      </c>
      <c r="D1328" s="365" t="str">
        <f t="shared" si="21"/>
        <v>9577077__ADM</v>
      </c>
      <c r="E1328" s="365" t="s">
        <v>764</v>
      </c>
      <c r="F1328" s="366">
        <v>288502</v>
      </c>
      <c r="G1328" s="367">
        <v>0.5</v>
      </c>
      <c r="H1328" s="366">
        <v>35883.333333333328</v>
      </c>
      <c r="I1328" s="366">
        <v>32223.662024605008</v>
      </c>
      <c r="J1328" s="368">
        <v>31579.061368789633</v>
      </c>
      <c r="K1328" s="313"/>
      <c r="L1328" s="313"/>
    </row>
    <row r="1329" spans="1:12" x14ac:dyDescent="0.25">
      <c r="A1329" s="369">
        <v>9577077</v>
      </c>
      <c r="B1329" s="370" t="s">
        <v>1030</v>
      </c>
      <c r="C1329" s="370" t="s">
        <v>2443</v>
      </c>
      <c r="D1329" s="370" t="str">
        <f t="shared" si="21"/>
        <v>9577077__MAN</v>
      </c>
      <c r="E1329" s="370" t="s">
        <v>764</v>
      </c>
      <c r="F1329" s="371">
        <v>0</v>
      </c>
      <c r="G1329" s="372">
        <v>0</v>
      </c>
      <c r="H1329" s="371">
        <v>0</v>
      </c>
      <c r="I1329" s="371">
        <v>17658.783008036738</v>
      </c>
      <c r="J1329" s="373">
        <v>19640.631215555553</v>
      </c>
      <c r="K1329" s="313"/>
      <c r="L1329" s="313"/>
    </row>
    <row r="1330" spans="1:12" x14ac:dyDescent="0.25">
      <c r="A1330" s="369">
        <v>9577077</v>
      </c>
      <c r="B1330" s="370" t="s">
        <v>1030</v>
      </c>
      <c r="C1330" s="370" t="s">
        <v>2444</v>
      </c>
      <c r="D1330" s="370" t="str">
        <f t="shared" si="21"/>
        <v>9577077__PPPs</v>
      </c>
      <c r="E1330" s="370" t="s">
        <v>764</v>
      </c>
      <c r="F1330" s="371">
        <v>2712665</v>
      </c>
      <c r="G1330" s="372">
        <v>15.284000000000001</v>
      </c>
      <c r="H1330" s="371">
        <v>11037.560333636709</v>
      </c>
      <c r="I1330" s="371">
        <v>12128.941016450084</v>
      </c>
      <c r="J1330" s="373">
        <v>24208.019142085453</v>
      </c>
      <c r="K1330" s="313"/>
      <c r="L1330" s="313"/>
    </row>
    <row r="1331" spans="1:12" x14ac:dyDescent="0.25">
      <c r="A1331" s="369">
        <v>9577077</v>
      </c>
      <c r="B1331" s="370" t="s">
        <v>1030</v>
      </c>
      <c r="C1331" s="370" t="s">
        <v>2445</v>
      </c>
      <c r="D1331" s="370" t="str">
        <f t="shared" si="21"/>
        <v>9577077__PPPz</v>
      </c>
      <c r="E1331" s="370" t="s">
        <v>764</v>
      </c>
      <c r="F1331" s="371">
        <v>0</v>
      </c>
      <c r="G1331" s="372">
        <v>0</v>
      </c>
      <c r="H1331" s="371">
        <v>0</v>
      </c>
      <c r="I1331" s="371">
        <v>0</v>
      </c>
      <c r="J1331" s="373">
        <v>26954.868514570004</v>
      </c>
      <c r="K1331" s="313"/>
      <c r="L1331" s="313"/>
    </row>
    <row r="1332" spans="1:12" ht="15.75" thickBot="1" x14ac:dyDescent="0.3">
      <c r="A1332" s="374">
        <v>9577077</v>
      </c>
      <c r="B1332" s="375" t="s">
        <v>1030</v>
      </c>
      <c r="C1332" s="375" t="s">
        <v>2446</v>
      </c>
      <c r="D1332" s="375" t="str">
        <f t="shared" si="21"/>
        <v>9577077__VED</v>
      </c>
      <c r="E1332" s="375" t="s">
        <v>764</v>
      </c>
      <c r="F1332" s="376">
        <v>536442</v>
      </c>
      <c r="G1332" s="377">
        <v>1</v>
      </c>
      <c r="H1332" s="376">
        <v>33360.820895522389</v>
      </c>
      <c r="I1332" s="376">
        <v>26028.358208955222</v>
      </c>
      <c r="J1332" s="378">
        <v>40027.251734314013</v>
      </c>
      <c r="K1332" s="313"/>
      <c r="L1332" s="313"/>
    </row>
    <row r="1333" spans="1:12" x14ac:dyDescent="0.25">
      <c r="A1333" s="364">
        <v>8365172</v>
      </c>
      <c r="B1333" s="365" t="s">
        <v>1118</v>
      </c>
      <c r="C1333" s="365" t="s">
        <v>2442</v>
      </c>
      <c r="D1333" s="365" t="str">
        <f t="shared" si="21"/>
        <v>8365172__ADM</v>
      </c>
      <c r="E1333" s="365" t="s">
        <v>1893</v>
      </c>
      <c r="F1333" s="366">
        <v>30659</v>
      </c>
      <c r="G1333" s="367">
        <v>0.14599999999999999</v>
      </c>
      <c r="H1333" s="366">
        <v>13059.275540107681</v>
      </c>
      <c r="I1333" s="366">
        <v>16490.311920788216</v>
      </c>
      <c r="J1333" s="368">
        <v>31434.318551156564</v>
      </c>
      <c r="K1333" s="313"/>
      <c r="L1333" s="313"/>
    </row>
    <row r="1334" spans="1:12" x14ac:dyDescent="0.25">
      <c r="A1334" s="369">
        <v>8365172</v>
      </c>
      <c r="B1334" s="370" t="s">
        <v>1118</v>
      </c>
      <c r="C1334" s="370" t="s">
        <v>2443</v>
      </c>
      <c r="D1334" s="370" t="str">
        <f t="shared" si="21"/>
        <v>8365172__MAN</v>
      </c>
      <c r="E1334" s="370" t="s">
        <v>1893</v>
      </c>
      <c r="F1334" s="371">
        <v>0</v>
      </c>
      <c r="G1334" s="372">
        <v>0</v>
      </c>
      <c r="H1334" s="371">
        <v>0</v>
      </c>
      <c r="I1334" s="371">
        <v>0</v>
      </c>
      <c r="J1334" s="373">
        <v>4100.4353233830843</v>
      </c>
      <c r="K1334" s="313"/>
      <c r="L1334" s="313"/>
    </row>
    <row r="1335" spans="1:12" x14ac:dyDescent="0.25">
      <c r="A1335" s="369">
        <v>8365172</v>
      </c>
      <c r="B1335" s="370" t="s">
        <v>1118</v>
      </c>
      <c r="C1335" s="370" t="s">
        <v>2444</v>
      </c>
      <c r="D1335" s="370" t="str">
        <f t="shared" si="21"/>
        <v>8365172__PPPs</v>
      </c>
      <c r="E1335" s="370" t="s">
        <v>1893</v>
      </c>
      <c r="F1335" s="371">
        <v>722547</v>
      </c>
      <c r="G1335" s="372">
        <v>1.6</v>
      </c>
      <c r="H1335" s="371">
        <v>28084.071828358206</v>
      </c>
      <c r="I1335" s="371">
        <v>19780.551736929385</v>
      </c>
      <c r="J1335" s="373">
        <v>32243.952958531994</v>
      </c>
      <c r="K1335" s="313"/>
      <c r="L1335" s="313"/>
    </row>
    <row r="1336" spans="1:12" x14ac:dyDescent="0.25">
      <c r="A1336" s="369">
        <v>8365172</v>
      </c>
      <c r="B1336" s="370" t="s">
        <v>1118</v>
      </c>
      <c r="C1336" s="370" t="s">
        <v>2445</v>
      </c>
      <c r="D1336" s="370" t="str">
        <f t="shared" si="21"/>
        <v>8365172__PPPz</v>
      </c>
      <c r="E1336" s="370" t="s">
        <v>1893</v>
      </c>
      <c r="F1336" s="371">
        <v>0</v>
      </c>
      <c r="G1336" s="372">
        <v>0</v>
      </c>
      <c r="H1336" s="371">
        <v>0</v>
      </c>
      <c r="I1336" s="371">
        <v>0</v>
      </c>
      <c r="J1336" s="373">
        <v>1.5547263681592038E-2</v>
      </c>
      <c r="K1336" s="313"/>
      <c r="L1336" s="313"/>
    </row>
    <row r="1337" spans="1:12" ht="15.75" thickBot="1" x14ac:dyDescent="0.3">
      <c r="A1337" s="374">
        <v>8365172</v>
      </c>
      <c r="B1337" s="375" t="s">
        <v>1118</v>
      </c>
      <c r="C1337" s="375" t="s">
        <v>2446</v>
      </c>
      <c r="D1337" s="375" t="str">
        <f t="shared" si="21"/>
        <v>8365172__VED</v>
      </c>
      <c r="E1337" s="375" t="s">
        <v>1893</v>
      </c>
      <c r="F1337" s="376">
        <v>0</v>
      </c>
      <c r="G1337" s="377">
        <v>0</v>
      </c>
      <c r="H1337" s="376">
        <v>0</v>
      </c>
      <c r="I1337" s="376">
        <v>0</v>
      </c>
      <c r="J1337" s="378">
        <v>32836.601005216697</v>
      </c>
      <c r="K1337" s="313"/>
      <c r="L1337" s="313"/>
    </row>
    <row r="1338" spans="1:12" x14ac:dyDescent="0.25">
      <c r="A1338" s="364">
        <v>8430922</v>
      </c>
      <c r="B1338" s="365" t="s">
        <v>1380</v>
      </c>
      <c r="C1338" s="365" t="s">
        <v>2442</v>
      </c>
      <c r="D1338" s="365" t="str">
        <f t="shared" si="21"/>
        <v>8430922__ADM</v>
      </c>
      <c r="E1338" s="365" t="s">
        <v>1893</v>
      </c>
      <c r="F1338" s="366">
        <v>185715</v>
      </c>
      <c r="G1338" s="367">
        <v>0.67</v>
      </c>
      <c r="H1338" s="366">
        <v>17237.970594787257</v>
      </c>
      <c r="I1338" s="366">
        <v>16490.311920788216</v>
      </c>
      <c r="J1338" s="368">
        <v>31434.318551156564</v>
      </c>
      <c r="K1338" s="313"/>
      <c r="L1338" s="313"/>
    </row>
    <row r="1339" spans="1:12" x14ac:dyDescent="0.25">
      <c r="A1339" s="369">
        <v>8430922</v>
      </c>
      <c r="B1339" s="370" t="s">
        <v>1380</v>
      </c>
      <c r="C1339" s="370" t="s">
        <v>2443</v>
      </c>
      <c r="D1339" s="370" t="str">
        <f t="shared" si="21"/>
        <v>8430922__MAN</v>
      </c>
      <c r="E1339" s="370" t="s">
        <v>1893</v>
      </c>
      <c r="F1339" s="371">
        <v>0</v>
      </c>
      <c r="G1339" s="372">
        <v>0</v>
      </c>
      <c r="H1339" s="371">
        <v>0</v>
      </c>
      <c r="I1339" s="371">
        <v>0</v>
      </c>
      <c r="J1339" s="373">
        <v>4100.4353233830843</v>
      </c>
      <c r="K1339" s="313"/>
      <c r="L1339" s="313"/>
    </row>
    <row r="1340" spans="1:12" x14ac:dyDescent="0.25">
      <c r="A1340" s="369">
        <v>8430922</v>
      </c>
      <c r="B1340" s="370" t="s">
        <v>1380</v>
      </c>
      <c r="C1340" s="370" t="s">
        <v>2444</v>
      </c>
      <c r="D1340" s="370" t="str">
        <f t="shared" si="21"/>
        <v>8430922__PPPs</v>
      </c>
      <c r="E1340" s="370" t="s">
        <v>1893</v>
      </c>
      <c r="F1340" s="371">
        <v>437777</v>
      </c>
      <c r="G1340" s="372">
        <v>2.048</v>
      </c>
      <c r="H1340" s="371">
        <v>13293.426665500619</v>
      </c>
      <c r="I1340" s="371">
        <v>19780.551736929385</v>
      </c>
      <c r="J1340" s="373">
        <v>32243.952958531994</v>
      </c>
      <c r="K1340" s="313"/>
      <c r="L1340" s="313"/>
    </row>
    <row r="1341" spans="1:12" x14ac:dyDescent="0.25">
      <c r="A1341" s="369">
        <v>8430922</v>
      </c>
      <c r="B1341" s="370" t="s">
        <v>1380</v>
      </c>
      <c r="C1341" s="370" t="s">
        <v>2445</v>
      </c>
      <c r="D1341" s="370" t="str">
        <f t="shared" si="21"/>
        <v>8430922__PPPz</v>
      </c>
      <c r="E1341" s="370" t="s">
        <v>1893</v>
      </c>
      <c r="F1341" s="371">
        <v>0</v>
      </c>
      <c r="G1341" s="372">
        <v>0</v>
      </c>
      <c r="H1341" s="371">
        <v>0</v>
      </c>
      <c r="I1341" s="371">
        <v>0</v>
      </c>
      <c r="J1341" s="373">
        <v>1.5547263681592038E-2</v>
      </c>
      <c r="K1341" s="313"/>
      <c r="L1341" s="313"/>
    </row>
    <row r="1342" spans="1:12" ht="15.75" thickBot="1" x14ac:dyDescent="0.3">
      <c r="A1342" s="374">
        <v>8430922</v>
      </c>
      <c r="B1342" s="375" t="s">
        <v>1380</v>
      </c>
      <c r="C1342" s="375" t="s">
        <v>2446</v>
      </c>
      <c r="D1342" s="375" t="str">
        <f t="shared" si="21"/>
        <v>8430922__VED</v>
      </c>
      <c r="E1342" s="375" t="s">
        <v>1893</v>
      </c>
      <c r="F1342" s="376">
        <v>0</v>
      </c>
      <c r="G1342" s="377">
        <v>0</v>
      </c>
      <c r="H1342" s="376">
        <v>0</v>
      </c>
      <c r="I1342" s="376">
        <v>0</v>
      </c>
      <c r="J1342" s="378">
        <v>32836.601005216697</v>
      </c>
      <c r="K1342" s="313"/>
      <c r="L1342" s="313"/>
    </row>
    <row r="1343" spans="1:12" x14ac:dyDescent="0.25">
      <c r="A1343" s="364">
        <v>2499134</v>
      </c>
      <c r="B1343" s="365" t="s">
        <v>568</v>
      </c>
      <c r="C1343" s="365" t="s">
        <v>2442</v>
      </c>
      <c r="D1343" s="365" t="str">
        <f t="shared" si="21"/>
        <v>2499134__ADM</v>
      </c>
      <c r="E1343" s="365" t="s">
        <v>575</v>
      </c>
      <c r="F1343" s="366">
        <v>392430</v>
      </c>
      <c r="G1343" s="367">
        <v>0.77500000000000002</v>
      </c>
      <c r="H1343" s="366">
        <v>31490.129995185362</v>
      </c>
      <c r="I1343" s="366">
        <v>31490.129995185362</v>
      </c>
      <c r="J1343" s="368">
        <v>50407.515714782217</v>
      </c>
      <c r="K1343" s="313"/>
      <c r="L1343" s="313"/>
    </row>
    <row r="1344" spans="1:12" x14ac:dyDescent="0.25">
      <c r="A1344" s="369">
        <v>2499134</v>
      </c>
      <c r="B1344" s="370" t="s">
        <v>568</v>
      </c>
      <c r="C1344" s="370" t="s">
        <v>2443</v>
      </c>
      <c r="D1344" s="370" t="str">
        <f t="shared" si="21"/>
        <v>2499134__MAN</v>
      </c>
      <c r="E1344" s="370" t="s">
        <v>575</v>
      </c>
      <c r="F1344" s="371">
        <v>537873</v>
      </c>
      <c r="G1344" s="372">
        <v>1.2</v>
      </c>
      <c r="H1344" s="371">
        <v>27874.844527363181</v>
      </c>
      <c r="I1344" s="371">
        <v>27874.844527363181</v>
      </c>
      <c r="J1344" s="373">
        <v>23962.766935681022</v>
      </c>
      <c r="K1344" s="313"/>
      <c r="L1344" s="313"/>
    </row>
    <row r="1345" spans="1:12" x14ac:dyDescent="0.25">
      <c r="A1345" s="369">
        <v>2499134</v>
      </c>
      <c r="B1345" s="370" t="s">
        <v>568</v>
      </c>
      <c r="C1345" s="370" t="s">
        <v>2444</v>
      </c>
      <c r="D1345" s="370" t="str">
        <f t="shared" si="21"/>
        <v>2499134__PPPs</v>
      </c>
      <c r="E1345" s="370" t="s">
        <v>575</v>
      </c>
      <c r="F1345" s="371">
        <v>1739590</v>
      </c>
      <c r="G1345" s="372">
        <v>3.2800000000000002</v>
      </c>
      <c r="H1345" s="371">
        <v>32982.761497391082</v>
      </c>
      <c r="I1345" s="371">
        <v>32982.761497391082</v>
      </c>
      <c r="J1345" s="373">
        <v>28419.032814348084</v>
      </c>
      <c r="K1345" s="313"/>
      <c r="L1345" s="313"/>
    </row>
    <row r="1346" spans="1:12" x14ac:dyDescent="0.25">
      <c r="A1346" s="369">
        <v>2499134</v>
      </c>
      <c r="B1346" s="370" t="s">
        <v>568</v>
      </c>
      <c r="C1346" s="370" t="s">
        <v>2445</v>
      </c>
      <c r="D1346" s="370" t="str">
        <f t="shared" si="21"/>
        <v>2499134__PPPz</v>
      </c>
      <c r="E1346" s="370" t="s">
        <v>575</v>
      </c>
      <c r="F1346" s="371">
        <v>503920</v>
      </c>
      <c r="G1346" s="372">
        <v>1.9500000000000002</v>
      </c>
      <c r="H1346" s="371">
        <v>16070.927414210992</v>
      </c>
      <c r="I1346" s="371">
        <v>16070.927414210992</v>
      </c>
      <c r="J1346" s="373">
        <v>26271.342444870101</v>
      </c>
      <c r="K1346" s="313"/>
      <c r="L1346" s="313"/>
    </row>
    <row r="1347" spans="1:12" ht="15.75" thickBot="1" x14ac:dyDescent="0.3">
      <c r="A1347" s="374">
        <v>2499134</v>
      </c>
      <c r="B1347" s="375" t="s">
        <v>568</v>
      </c>
      <c r="C1347" s="375" t="s">
        <v>2446</v>
      </c>
      <c r="D1347" s="375" t="str">
        <f t="shared" si="21"/>
        <v>2499134__VED</v>
      </c>
      <c r="E1347" s="375" t="s">
        <v>575</v>
      </c>
      <c r="F1347" s="376">
        <v>213525</v>
      </c>
      <c r="G1347" s="377">
        <v>0.45960000000000001</v>
      </c>
      <c r="H1347" s="376">
        <v>28892.336619773196</v>
      </c>
      <c r="I1347" s="376">
        <v>28892.336619773196</v>
      </c>
      <c r="J1347" s="378">
        <v>38881.675112378733</v>
      </c>
      <c r="K1347" s="313"/>
      <c r="L1347" s="313"/>
    </row>
    <row r="1348" spans="1:12" x14ac:dyDescent="0.25">
      <c r="A1348" s="313"/>
      <c r="B1348" s="313"/>
      <c r="C1348" s="313"/>
      <c r="E1348" s="313"/>
      <c r="F1348" s="313"/>
      <c r="G1348" s="313"/>
      <c r="H1348" s="314"/>
      <c r="I1348" s="314"/>
      <c r="J1348" s="314"/>
      <c r="K1348" s="313"/>
      <c r="L1348" s="313"/>
    </row>
    <row r="1349" spans="1:12" x14ac:dyDescent="0.25">
      <c r="A1349" s="313"/>
      <c r="B1349" s="313"/>
      <c r="C1349" s="313"/>
      <c r="E1349" s="313"/>
      <c r="F1349" s="313"/>
      <c r="G1349" s="313"/>
      <c r="H1349" s="314"/>
      <c r="I1349" s="314"/>
      <c r="J1349" s="314"/>
      <c r="K1349" s="313"/>
      <c r="L1349" s="313"/>
    </row>
    <row r="1350" spans="1:12" x14ac:dyDescent="0.25">
      <c r="A1350" s="313"/>
      <c r="B1350" s="313"/>
      <c r="C1350" s="313"/>
      <c r="E1350" s="313"/>
      <c r="F1350" s="313"/>
      <c r="G1350" s="313"/>
      <c r="H1350" s="314"/>
      <c r="I1350" s="314"/>
      <c r="J1350" s="314"/>
      <c r="K1350" s="313"/>
      <c r="L1350" s="313"/>
    </row>
    <row r="1351" spans="1:12" x14ac:dyDescent="0.25">
      <c r="A1351" s="313"/>
      <c r="B1351" s="313"/>
      <c r="C1351" s="313"/>
      <c r="E1351" s="313"/>
      <c r="F1351" s="313"/>
      <c r="G1351" s="313"/>
      <c r="H1351" s="314"/>
      <c r="I1351" s="314"/>
      <c r="J1351" s="314"/>
      <c r="K1351" s="313"/>
      <c r="L1351" s="313"/>
    </row>
    <row r="1352" spans="1:12" x14ac:dyDescent="0.25">
      <c r="A1352" s="313"/>
      <c r="B1352" s="313"/>
      <c r="C1352" s="313"/>
      <c r="E1352" s="313"/>
      <c r="F1352" s="313"/>
      <c r="G1352" s="313"/>
      <c r="H1352" s="314"/>
      <c r="I1352" s="314"/>
      <c r="J1352" s="314"/>
      <c r="K1352" s="313"/>
      <c r="L1352" s="313"/>
    </row>
    <row r="1353" spans="1:12" x14ac:dyDescent="0.25">
      <c r="A1353" s="313"/>
      <c r="B1353" s="313"/>
      <c r="C1353" s="313"/>
      <c r="E1353" s="313"/>
      <c r="F1353" s="313"/>
      <c r="G1353" s="313"/>
      <c r="H1353" s="314"/>
      <c r="I1353" s="314"/>
      <c r="J1353" s="314"/>
      <c r="K1353" s="313"/>
      <c r="L1353" s="313"/>
    </row>
    <row r="1354" spans="1:12" x14ac:dyDescent="0.25">
      <c r="A1354" s="313"/>
      <c r="B1354" s="313"/>
      <c r="C1354" s="313"/>
      <c r="E1354" s="313"/>
      <c r="F1354" s="313"/>
      <c r="G1354" s="313"/>
      <c r="H1354" s="314"/>
      <c r="I1354" s="314"/>
      <c r="J1354" s="314"/>
      <c r="K1354" s="313"/>
      <c r="L1354" s="313"/>
    </row>
    <row r="1355" spans="1:12" x14ac:dyDescent="0.25">
      <c r="A1355" s="313"/>
      <c r="B1355" s="313"/>
      <c r="C1355" s="313"/>
      <c r="E1355" s="313"/>
      <c r="F1355" s="313"/>
      <c r="G1355" s="313"/>
      <c r="H1355" s="314"/>
      <c r="I1355" s="314"/>
      <c r="J1355" s="314"/>
      <c r="K1355" s="313"/>
      <c r="L1355" s="313"/>
    </row>
    <row r="1356" spans="1:12" x14ac:dyDescent="0.25">
      <c r="A1356" s="313"/>
      <c r="B1356" s="313"/>
      <c r="C1356" s="313"/>
      <c r="E1356" s="313"/>
      <c r="F1356" s="313"/>
      <c r="G1356" s="313"/>
      <c r="H1356" s="314"/>
      <c r="I1356" s="314"/>
      <c r="J1356" s="314"/>
      <c r="K1356" s="313"/>
      <c r="L1356" s="313"/>
    </row>
    <row r="1357" spans="1:12" x14ac:dyDescent="0.25">
      <c r="A1357" s="313"/>
      <c r="B1357" s="313"/>
      <c r="C1357" s="313"/>
      <c r="E1357" s="313"/>
      <c r="F1357" s="313"/>
      <c r="G1357" s="313"/>
      <c r="H1357" s="314"/>
      <c r="I1357" s="314"/>
      <c r="J1357" s="314"/>
      <c r="K1357" s="313"/>
      <c r="L1357" s="313"/>
    </row>
    <row r="1358" spans="1:12" x14ac:dyDescent="0.25">
      <c r="A1358" s="313"/>
      <c r="B1358" s="313"/>
      <c r="C1358" s="313"/>
      <c r="E1358" s="313"/>
      <c r="F1358" s="313"/>
      <c r="G1358" s="313"/>
      <c r="H1358" s="314"/>
      <c r="I1358" s="314"/>
      <c r="J1358" s="314"/>
      <c r="K1358" s="313"/>
      <c r="L1358" s="313"/>
    </row>
    <row r="1359" spans="1:12" x14ac:dyDescent="0.25">
      <c r="A1359" s="313"/>
      <c r="B1359" s="313"/>
      <c r="C1359" s="313"/>
      <c r="E1359" s="313"/>
      <c r="F1359" s="313"/>
      <c r="G1359" s="313"/>
      <c r="H1359" s="314"/>
      <c r="I1359" s="314"/>
      <c r="J1359" s="314"/>
      <c r="K1359" s="313"/>
      <c r="L1359" s="313"/>
    </row>
  </sheetData>
  <mergeCells count="1">
    <mergeCell ref="H1:J1"/>
  </mergeCell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22"/>
  <sheetViews>
    <sheetView workbookViewId="0">
      <pane xSplit="7" ySplit="1" topLeftCell="H607" activePane="bottomRight" state="frozen"/>
      <selection pane="topRight" activeCell="D1" sqref="D1"/>
      <selection pane="bottomLeft" activeCell="A2" sqref="A2"/>
      <selection pane="bottomRight" activeCell="E357" sqref="E357"/>
    </sheetView>
  </sheetViews>
  <sheetFormatPr defaultColWidth="9.28515625" defaultRowHeight="15" x14ac:dyDescent="0.25"/>
  <cols>
    <col min="1" max="2" width="15.7109375" style="128" customWidth="1"/>
    <col min="3" max="3" width="13.140625" style="128" customWidth="1"/>
    <col min="4" max="4" width="14.5703125" style="128" customWidth="1"/>
    <col min="5" max="7" width="13.5703125" style="128" customWidth="1"/>
    <col min="8" max="8" width="13.28515625" style="128" customWidth="1"/>
    <col min="9" max="9" width="34" customWidth="1"/>
    <col min="10" max="10" width="34" style="128" customWidth="1"/>
    <col min="11" max="19" width="9.28515625" style="128"/>
    <col min="20" max="20" width="12.28515625" style="128" customWidth="1"/>
    <col min="21" max="16384" width="9.28515625" style="128"/>
  </cols>
  <sheetData>
    <row r="1" spans="1:20" s="246" customFormat="1" ht="47.25" customHeight="1" x14ac:dyDescent="0.25">
      <c r="A1" s="133" t="s">
        <v>40</v>
      </c>
      <c r="B1" s="133" t="s">
        <v>1040</v>
      </c>
      <c r="C1" s="133" t="s">
        <v>1038</v>
      </c>
      <c r="D1" s="133" t="s">
        <v>1039</v>
      </c>
      <c r="E1" s="133" t="s">
        <v>1042</v>
      </c>
      <c r="F1" s="133" t="s">
        <v>1764</v>
      </c>
      <c r="G1" s="133" t="s">
        <v>38</v>
      </c>
      <c r="H1" s="133" t="s">
        <v>1041</v>
      </c>
      <c r="I1" s="246" t="s">
        <v>2540</v>
      </c>
      <c r="J1" s="134" t="s">
        <v>1043</v>
      </c>
      <c r="K1" s="133" t="s">
        <v>1044</v>
      </c>
      <c r="L1" s="133" t="s">
        <v>1045</v>
      </c>
      <c r="M1" s="133" t="s">
        <v>1046</v>
      </c>
      <c r="N1" s="133" t="s">
        <v>1047</v>
      </c>
      <c r="O1" s="133" t="s">
        <v>1048</v>
      </c>
      <c r="P1" s="133" t="s">
        <v>1049</v>
      </c>
      <c r="Q1" s="133" t="s">
        <v>1050</v>
      </c>
      <c r="R1" s="133" t="s">
        <v>1051</v>
      </c>
      <c r="S1" s="133" t="s">
        <v>1052</v>
      </c>
      <c r="T1" s="133" t="s">
        <v>1053</v>
      </c>
    </row>
    <row r="2" spans="1:20" ht="15.75" x14ac:dyDescent="0.25">
      <c r="A2" s="247" t="s">
        <v>594</v>
      </c>
      <c r="B2" s="247" t="s">
        <v>1056</v>
      </c>
      <c r="C2" s="247" t="s">
        <v>1054</v>
      </c>
      <c r="D2" s="247">
        <v>1201932</v>
      </c>
      <c r="E2" s="247" t="s">
        <v>1058</v>
      </c>
      <c r="F2" s="247">
        <v>2020</v>
      </c>
      <c r="G2" s="248" t="s">
        <v>1055</v>
      </c>
      <c r="H2" s="247" t="s">
        <v>1057</v>
      </c>
      <c r="J2" s="249" t="s">
        <v>1059</v>
      </c>
      <c r="K2" s="308">
        <v>3.65</v>
      </c>
      <c r="L2" s="308">
        <v>2.15</v>
      </c>
      <c r="M2" s="308">
        <v>0</v>
      </c>
      <c r="N2" s="308">
        <v>0</v>
      </c>
      <c r="O2" s="308">
        <v>1.5</v>
      </c>
      <c r="P2" s="247">
        <v>0</v>
      </c>
      <c r="Q2" s="247">
        <v>20</v>
      </c>
      <c r="R2" s="247">
        <v>0</v>
      </c>
      <c r="S2" s="247">
        <v>0</v>
      </c>
      <c r="T2" s="250">
        <v>0</v>
      </c>
    </row>
    <row r="3" spans="1:20" ht="15.75" x14ac:dyDescent="0.25">
      <c r="A3" s="247" t="s">
        <v>594</v>
      </c>
      <c r="B3" s="247" t="s">
        <v>1056</v>
      </c>
      <c r="C3" s="247" t="s">
        <v>1060</v>
      </c>
      <c r="D3" s="247">
        <v>1201932</v>
      </c>
      <c r="E3" s="247" t="s">
        <v>1061</v>
      </c>
      <c r="F3" s="247">
        <v>2020</v>
      </c>
      <c r="G3" s="248" t="s">
        <v>1055</v>
      </c>
      <c r="H3" s="247" t="s">
        <v>1057</v>
      </c>
      <c r="J3" s="249" t="s">
        <v>1059</v>
      </c>
      <c r="K3" s="308">
        <v>0.45</v>
      </c>
      <c r="L3" s="308">
        <v>0.45</v>
      </c>
      <c r="M3" s="308">
        <v>0</v>
      </c>
      <c r="N3" s="308">
        <v>0</v>
      </c>
      <c r="O3" s="308">
        <v>0</v>
      </c>
      <c r="P3" s="247">
        <v>0</v>
      </c>
      <c r="Q3" s="247">
        <v>10</v>
      </c>
      <c r="R3" s="247">
        <v>0</v>
      </c>
      <c r="S3" s="247">
        <v>0</v>
      </c>
      <c r="T3" s="250">
        <v>0</v>
      </c>
    </row>
    <row r="4" spans="1:20" ht="15.75" x14ac:dyDescent="0.25">
      <c r="A4" s="247" t="s">
        <v>413</v>
      </c>
      <c r="B4" s="247" t="s">
        <v>411</v>
      </c>
      <c r="C4" s="247" t="s">
        <v>1062</v>
      </c>
      <c r="D4" s="247">
        <v>1494293</v>
      </c>
      <c r="E4" s="247" t="s">
        <v>1063</v>
      </c>
      <c r="F4" s="247">
        <v>2020</v>
      </c>
      <c r="G4" s="248" t="s">
        <v>1055</v>
      </c>
      <c r="H4" s="247" t="s">
        <v>1057</v>
      </c>
      <c r="J4" s="249" t="s">
        <v>1064</v>
      </c>
      <c r="K4" s="308">
        <v>1.34</v>
      </c>
      <c r="L4" s="308">
        <v>0.14000000000000001</v>
      </c>
      <c r="M4" s="308">
        <v>1</v>
      </c>
      <c r="N4" s="308">
        <v>0.2</v>
      </c>
      <c r="O4" s="308">
        <v>0</v>
      </c>
      <c r="P4" s="247">
        <v>0</v>
      </c>
      <c r="Q4" s="247">
        <v>4</v>
      </c>
      <c r="R4" s="247">
        <v>3</v>
      </c>
      <c r="S4" s="247">
        <v>0</v>
      </c>
      <c r="T4" s="250">
        <v>0</v>
      </c>
    </row>
    <row r="5" spans="1:20" ht="15.75" x14ac:dyDescent="0.25">
      <c r="A5" s="247" t="s">
        <v>1066</v>
      </c>
      <c r="B5" s="247" t="s">
        <v>1067</v>
      </c>
      <c r="C5" s="247" t="s">
        <v>1065</v>
      </c>
      <c r="D5" s="247">
        <v>2093343</v>
      </c>
      <c r="E5" s="247" t="s">
        <v>1068</v>
      </c>
      <c r="F5" s="247">
        <v>2020</v>
      </c>
      <c r="G5" s="248" t="s">
        <v>1055</v>
      </c>
      <c r="H5" s="247" t="s">
        <v>1057</v>
      </c>
      <c r="J5" s="249" t="s">
        <v>1069</v>
      </c>
      <c r="K5" s="308">
        <v>1.1499999999999999</v>
      </c>
      <c r="L5" s="308">
        <v>1.1499999999999999</v>
      </c>
      <c r="M5" s="308">
        <v>0</v>
      </c>
      <c r="N5" s="308">
        <v>0</v>
      </c>
      <c r="O5" s="308">
        <v>0</v>
      </c>
      <c r="P5" s="247">
        <v>0</v>
      </c>
      <c r="Q5" s="247">
        <v>4</v>
      </c>
      <c r="R5" s="247">
        <v>0</v>
      </c>
      <c r="S5" s="247">
        <v>0</v>
      </c>
      <c r="T5" s="250">
        <v>0</v>
      </c>
    </row>
    <row r="6" spans="1:20" ht="15.75" x14ac:dyDescent="0.25">
      <c r="A6" s="247" t="s">
        <v>407</v>
      </c>
      <c r="B6" s="247" t="s">
        <v>1071</v>
      </c>
      <c r="C6" s="247" t="s">
        <v>1070</v>
      </c>
      <c r="D6" s="247">
        <v>2583952</v>
      </c>
      <c r="E6" s="247" t="s">
        <v>1068</v>
      </c>
      <c r="F6" s="247">
        <v>2020</v>
      </c>
      <c r="G6" s="248" t="s">
        <v>1055</v>
      </c>
      <c r="H6" s="247" t="s">
        <v>1057</v>
      </c>
      <c r="J6" s="249" t="s">
        <v>1064</v>
      </c>
      <c r="K6" s="308">
        <v>1</v>
      </c>
      <c r="L6" s="308">
        <v>1</v>
      </c>
      <c r="M6" s="308">
        <v>0</v>
      </c>
      <c r="N6" s="308">
        <v>0</v>
      </c>
      <c r="O6" s="308">
        <v>0</v>
      </c>
      <c r="P6" s="247">
        <v>0</v>
      </c>
      <c r="Q6" s="247">
        <v>9</v>
      </c>
      <c r="R6" s="247">
        <v>0</v>
      </c>
      <c r="S6" s="247">
        <v>0</v>
      </c>
      <c r="T6" s="250">
        <v>0</v>
      </c>
    </row>
    <row r="7" spans="1:20" ht="15.75" x14ac:dyDescent="0.25">
      <c r="A7" s="247" t="s">
        <v>407</v>
      </c>
      <c r="B7" s="247" t="s">
        <v>1071</v>
      </c>
      <c r="C7" s="247" t="s">
        <v>1072</v>
      </c>
      <c r="D7" s="247">
        <v>2583952</v>
      </c>
      <c r="E7" s="247" t="s">
        <v>1073</v>
      </c>
      <c r="F7" s="247">
        <v>2020</v>
      </c>
      <c r="G7" s="248" t="s">
        <v>1055</v>
      </c>
      <c r="H7" s="247" t="s">
        <v>1057</v>
      </c>
      <c r="J7" s="249" t="s">
        <v>1064</v>
      </c>
      <c r="K7" s="308">
        <v>1.1000000000000001</v>
      </c>
      <c r="L7" s="308">
        <v>1.1000000000000001</v>
      </c>
      <c r="M7" s="308">
        <v>0</v>
      </c>
      <c r="N7" s="308">
        <v>0</v>
      </c>
      <c r="O7" s="308">
        <v>0</v>
      </c>
      <c r="P7" s="247">
        <v>0</v>
      </c>
      <c r="Q7" s="247">
        <v>9</v>
      </c>
      <c r="R7" s="247">
        <v>0</v>
      </c>
      <c r="S7" s="247">
        <v>0</v>
      </c>
      <c r="T7" s="250">
        <v>0</v>
      </c>
    </row>
    <row r="8" spans="1:20" ht="15.75" x14ac:dyDescent="0.25">
      <c r="A8" s="247" t="s">
        <v>1075</v>
      </c>
      <c r="B8" s="247" t="s">
        <v>776</v>
      </c>
      <c r="C8" s="247" t="s">
        <v>1074</v>
      </c>
      <c r="D8" s="247">
        <v>2886510</v>
      </c>
      <c r="E8" s="247" t="s">
        <v>1058</v>
      </c>
      <c r="F8" s="247">
        <v>2020</v>
      </c>
      <c r="G8" s="248" t="s">
        <v>1055</v>
      </c>
      <c r="H8" s="247" t="s">
        <v>1057</v>
      </c>
      <c r="J8" s="249" t="s">
        <v>1076</v>
      </c>
      <c r="K8" s="308">
        <v>3.25</v>
      </c>
      <c r="L8" s="308">
        <v>2.35</v>
      </c>
      <c r="M8" s="308">
        <v>0</v>
      </c>
      <c r="N8" s="308">
        <v>0</v>
      </c>
      <c r="O8" s="308">
        <v>0.9</v>
      </c>
      <c r="P8" s="247">
        <v>0</v>
      </c>
      <c r="Q8" s="247">
        <v>36</v>
      </c>
      <c r="R8" s="247">
        <v>0</v>
      </c>
      <c r="S8" s="247">
        <v>0</v>
      </c>
      <c r="T8" s="250">
        <v>0</v>
      </c>
    </row>
    <row r="9" spans="1:20" ht="15.75" x14ac:dyDescent="0.25">
      <c r="A9" s="247" t="s">
        <v>735</v>
      </c>
      <c r="B9" s="247" t="s">
        <v>733</v>
      </c>
      <c r="C9" s="247" t="s">
        <v>1077</v>
      </c>
      <c r="D9" s="247">
        <v>3040542</v>
      </c>
      <c r="E9" s="247" t="s">
        <v>1061</v>
      </c>
      <c r="F9" s="247">
        <v>2020</v>
      </c>
      <c r="G9" s="248" t="s">
        <v>1055</v>
      </c>
      <c r="H9" s="247" t="s">
        <v>1057</v>
      </c>
      <c r="J9" s="249" t="s">
        <v>1078</v>
      </c>
      <c r="K9" s="308">
        <v>1.1000000000000001</v>
      </c>
      <c r="L9" s="308">
        <v>1.1000000000000001</v>
      </c>
      <c r="M9" s="308">
        <v>0</v>
      </c>
      <c r="N9" s="308">
        <v>0</v>
      </c>
      <c r="O9" s="308">
        <v>0</v>
      </c>
      <c r="P9" s="247">
        <v>0</v>
      </c>
      <c r="Q9" s="247">
        <v>8</v>
      </c>
      <c r="R9" s="247">
        <v>0</v>
      </c>
      <c r="S9" s="247">
        <v>0</v>
      </c>
      <c r="T9" s="250">
        <v>0</v>
      </c>
    </row>
    <row r="10" spans="1:20" ht="15.75" x14ac:dyDescent="0.25">
      <c r="A10" s="247" t="s">
        <v>735</v>
      </c>
      <c r="B10" s="247" t="s">
        <v>733</v>
      </c>
      <c r="C10" s="247" t="s">
        <v>1079</v>
      </c>
      <c r="D10" s="247">
        <v>3040542</v>
      </c>
      <c r="E10" s="247" t="s">
        <v>1063</v>
      </c>
      <c r="F10" s="247">
        <v>2020</v>
      </c>
      <c r="G10" s="248" t="s">
        <v>1055</v>
      </c>
      <c r="H10" s="247" t="s">
        <v>1057</v>
      </c>
      <c r="J10" s="249" t="s">
        <v>1078</v>
      </c>
      <c r="K10" s="308">
        <v>0.25</v>
      </c>
      <c r="L10" s="308">
        <v>0.2</v>
      </c>
      <c r="M10" s="308">
        <v>0.05</v>
      </c>
      <c r="N10" s="308">
        <v>0</v>
      </c>
      <c r="O10" s="308">
        <v>0</v>
      </c>
      <c r="P10" s="247">
        <v>0</v>
      </c>
      <c r="Q10" s="247">
        <v>8</v>
      </c>
      <c r="R10" s="247">
        <v>0</v>
      </c>
      <c r="S10" s="247">
        <v>0</v>
      </c>
      <c r="T10" s="250">
        <v>0</v>
      </c>
    </row>
    <row r="11" spans="1:20" ht="15.75" x14ac:dyDescent="0.25">
      <c r="A11" s="247" t="s">
        <v>314</v>
      </c>
      <c r="B11" s="247" t="s">
        <v>312</v>
      </c>
      <c r="C11" s="247" t="s">
        <v>1080</v>
      </c>
      <c r="D11" s="247">
        <v>4309907</v>
      </c>
      <c r="E11" s="247" t="s">
        <v>1058</v>
      </c>
      <c r="F11" s="247">
        <v>2020</v>
      </c>
      <c r="G11" s="248" t="s">
        <v>1055</v>
      </c>
      <c r="H11" s="247" t="s">
        <v>1057</v>
      </c>
      <c r="J11" s="249" t="s">
        <v>1081</v>
      </c>
      <c r="K11" s="308">
        <v>3.3</v>
      </c>
      <c r="L11" s="308">
        <v>0.6</v>
      </c>
      <c r="M11" s="308">
        <v>0</v>
      </c>
      <c r="N11" s="308">
        <v>0</v>
      </c>
      <c r="O11" s="308">
        <v>2.7</v>
      </c>
      <c r="P11" s="247">
        <v>0</v>
      </c>
      <c r="Q11" s="247">
        <v>12</v>
      </c>
      <c r="R11" s="247">
        <v>0</v>
      </c>
      <c r="S11" s="247">
        <v>0</v>
      </c>
      <c r="T11" s="250">
        <v>0</v>
      </c>
    </row>
    <row r="12" spans="1:20" ht="15.75" x14ac:dyDescent="0.25">
      <c r="A12" s="247" t="s">
        <v>1082</v>
      </c>
      <c r="B12" s="247" t="s">
        <v>332</v>
      </c>
      <c r="C12" s="247" t="s">
        <v>1077</v>
      </c>
      <c r="D12" s="247">
        <v>4382191</v>
      </c>
      <c r="E12" s="247" t="s">
        <v>1061</v>
      </c>
      <c r="F12" s="247">
        <v>2020</v>
      </c>
      <c r="G12" s="248" t="s">
        <v>1055</v>
      </c>
      <c r="H12" s="247" t="s">
        <v>1057</v>
      </c>
      <c r="J12" s="249" t="s">
        <v>1083</v>
      </c>
      <c r="K12" s="308">
        <v>1</v>
      </c>
      <c r="L12" s="308">
        <v>1</v>
      </c>
      <c r="M12" s="308">
        <v>0</v>
      </c>
      <c r="N12" s="308">
        <v>0</v>
      </c>
      <c r="O12" s="308">
        <v>0</v>
      </c>
      <c r="P12" s="247">
        <v>0</v>
      </c>
      <c r="Q12" s="247">
        <v>6</v>
      </c>
      <c r="R12" s="247">
        <v>0</v>
      </c>
      <c r="S12" s="247">
        <v>0</v>
      </c>
      <c r="T12" s="250"/>
    </row>
    <row r="13" spans="1:20" ht="15.75" x14ac:dyDescent="0.25">
      <c r="A13" s="247" t="s">
        <v>725</v>
      </c>
      <c r="B13" s="247" t="s">
        <v>718</v>
      </c>
      <c r="C13" s="247" t="s">
        <v>1084</v>
      </c>
      <c r="D13" s="247">
        <v>5133257</v>
      </c>
      <c r="E13" s="247" t="s">
        <v>1058</v>
      </c>
      <c r="F13" s="247">
        <v>2020</v>
      </c>
      <c r="G13" s="248" t="s">
        <v>1055</v>
      </c>
      <c r="H13" s="247" t="s">
        <v>1057</v>
      </c>
      <c r="J13" s="249" t="s">
        <v>1076</v>
      </c>
      <c r="K13" s="308">
        <v>2.62</v>
      </c>
      <c r="L13" s="308">
        <v>0.95</v>
      </c>
      <c r="M13" s="308">
        <v>0</v>
      </c>
      <c r="N13" s="308">
        <v>0</v>
      </c>
      <c r="O13" s="308">
        <v>1.67</v>
      </c>
      <c r="P13" s="247">
        <v>0</v>
      </c>
      <c r="Q13" s="247">
        <v>52</v>
      </c>
      <c r="R13" s="247">
        <v>0</v>
      </c>
      <c r="S13" s="247">
        <v>0</v>
      </c>
      <c r="T13" s="250">
        <v>0</v>
      </c>
    </row>
    <row r="14" spans="1:20" ht="15.75" x14ac:dyDescent="0.25">
      <c r="A14" s="247" t="s">
        <v>398</v>
      </c>
      <c r="B14" s="247" t="s">
        <v>396</v>
      </c>
      <c r="C14" s="247" t="s">
        <v>1085</v>
      </c>
      <c r="D14" s="247">
        <v>5646573</v>
      </c>
      <c r="E14" s="247" t="s">
        <v>1087</v>
      </c>
      <c r="F14" s="247">
        <v>2020</v>
      </c>
      <c r="G14" s="248" t="s">
        <v>1055</v>
      </c>
      <c r="H14" s="247" t="s">
        <v>1086</v>
      </c>
      <c r="J14" s="249" t="s">
        <v>1088</v>
      </c>
      <c r="K14" s="308">
        <v>2.1</v>
      </c>
      <c r="L14" s="308">
        <v>2.1</v>
      </c>
      <c r="M14" s="308">
        <v>0</v>
      </c>
      <c r="N14" s="308">
        <v>0</v>
      </c>
      <c r="O14" s="308">
        <v>0</v>
      </c>
      <c r="P14" s="247">
        <v>0</v>
      </c>
      <c r="Q14" s="247">
        <v>12</v>
      </c>
      <c r="R14" s="247">
        <v>0</v>
      </c>
      <c r="S14" s="247">
        <v>0</v>
      </c>
      <c r="T14" s="250">
        <v>0</v>
      </c>
    </row>
    <row r="15" spans="1:20" ht="15.75" x14ac:dyDescent="0.25">
      <c r="A15" s="247" t="s">
        <v>1066</v>
      </c>
      <c r="B15" s="247" t="s">
        <v>1067</v>
      </c>
      <c r="C15" s="247" t="s">
        <v>1089</v>
      </c>
      <c r="D15" s="247">
        <v>5700178</v>
      </c>
      <c r="E15" s="247" t="s">
        <v>1058</v>
      </c>
      <c r="F15" s="247">
        <v>2020</v>
      </c>
      <c r="G15" s="248" t="s">
        <v>1055</v>
      </c>
      <c r="H15" s="247" t="s">
        <v>1057</v>
      </c>
      <c r="J15" s="249" t="s">
        <v>1069</v>
      </c>
      <c r="K15" s="308">
        <v>1.25</v>
      </c>
      <c r="L15" s="308">
        <v>0.75</v>
      </c>
      <c r="M15" s="308">
        <v>0</v>
      </c>
      <c r="N15" s="308">
        <v>0</v>
      </c>
      <c r="O15" s="308">
        <v>0.5</v>
      </c>
      <c r="P15" s="247">
        <v>0</v>
      </c>
      <c r="Q15" s="247">
        <v>3</v>
      </c>
      <c r="R15" s="247">
        <v>0</v>
      </c>
      <c r="S15" s="247">
        <v>0</v>
      </c>
      <c r="T15" s="250">
        <v>0</v>
      </c>
    </row>
    <row r="16" spans="1:20" ht="15.75" x14ac:dyDescent="0.25">
      <c r="A16" s="247" t="s">
        <v>318</v>
      </c>
      <c r="B16" s="247" t="s">
        <v>312</v>
      </c>
      <c r="C16" s="247" t="s">
        <v>1090</v>
      </c>
      <c r="D16" s="247">
        <v>5792625</v>
      </c>
      <c r="E16" s="247" t="s">
        <v>1061</v>
      </c>
      <c r="F16" s="247">
        <v>2020</v>
      </c>
      <c r="G16" s="248" t="s">
        <v>1055</v>
      </c>
      <c r="H16" s="247" t="s">
        <v>1057</v>
      </c>
      <c r="J16" s="249" t="s">
        <v>1081</v>
      </c>
      <c r="K16" s="308">
        <v>2.2999999999999998</v>
      </c>
      <c r="L16" s="308">
        <v>1.5</v>
      </c>
      <c r="M16" s="308">
        <v>0</v>
      </c>
      <c r="N16" s="308">
        <v>0</v>
      </c>
      <c r="O16" s="308">
        <v>0.8</v>
      </c>
      <c r="P16" s="247">
        <v>0</v>
      </c>
      <c r="Q16" s="247">
        <v>8</v>
      </c>
      <c r="R16" s="247">
        <v>0</v>
      </c>
      <c r="S16" s="247">
        <v>0</v>
      </c>
      <c r="T16" s="250">
        <v>0</v>
      </c>
    </row>
    <row r="17" spans="1:20" ht="15.75" x14ac:dyDescent="0.25">
      <c r="A17" s="247" t="s">
        <v>1092</v>
      </c>
      <c r="B17" s="247" t="s">
        <v>776</v>
      </c>
      <c r="C17" s="247" t="s">
        <v>1091</v>
      </c>
      <c r="D17" s="247">
        <v>5903063</v>
      </c>
      <c r="E17" s="247" t="s">
        <v>1058</v>
      </c>
      <c r="F17" s="247">
        <v>2020</v>
      </c>
      <c r="G17" s="248" t="s">
        <v>1055</v>
      </c>
      <c r="H17" s="247" t="s">
        <v>1057</v>
      </c>
      <c r="J17" s="249" t="s">
        <v>1093</v>
      </c>
      <c r="K17" s="308">
        <v>1</v>
      </c>
      <c r="L17" s="308">
        <v>1</v>
      </c>
      <c r="M17" s="308">
        <v>0</v>
      </c>
      <c r="N17" s="308">
        <v>0</v>
      </c>
      <c r="O17" s="308">
        <v>0</v>
      </c>
      <c r="P17" s="247">
        <v>0</v>
      </c>
      <c r="Q17" s="247">
        <v>13</v>
      </c>
      <c r="R17" s="247">
        <v>0</v>
      </c>
      <c r="S17" s="247">
        <v>0</v>
      </c>
      <c r="T17" s="250">
        <v>0</v>
      </c>
    </row>
    <row r="18" spans="1:20" ht="15.75" x14ac:dyDescent="0.25">
      <c r="A18" s="247" t="s">
        <v>1095</v>
      </c>
      <c r="B18" s="247" t="s">
        <v>312</v>
      </c>
      <c r="C18" s="247" t="s">
        <v>1094</v>
      </c>
      <c r="D18" s="247">
        <v>6191102</v>
      </c>
      <c r="E18" s="247" t="s">
        <v>1063</v>
      </c>
      <c r="F18" s="247">
        <v>2020</v>
      </c>
      <c r="G18" s="248" t="s">
        <v>1055</v>
      </c>
      <c r="H18" s="247" t="s">
        <v>1057</v>
      </c>
      <c r="J18" s="249" t="s">
        <v>1081</v>
      </c>
      <c r="K18" s="308">
        <v>1</v>
      </c>
      <c r="L18" s="308">
        <v>0</v>
      </c>
      <c r="M18" s="308">
        <v>0</v>
      </c>
      <c r="N18" s="308">
        <v>0</v>
      </c>
      <c r="O18" s="308">
        <v>1</v>
      </c>
      <c r="P18" s="247">
        <v>0</v>
      </c>
      <c r="Q18" s="247">
        <v>5</v>
      </c>
      <c r="R18" s="247">
        <v>0</v>
      </c>
      <c r="S18" s="247">
        <v>0</v>
      </c>
      <c r="T18" s="250">
        <v>0</v>
      </c>
    </row>
    <row r="19" spans="1:20" ht="15.75" x14ac:dyDescent="0.25">
      <c r="A19" s="251" t="s">
        <v>760</v>
      </c>
      <c r="B19" s="251" t="s">
        <v>760</v>
      </c>
      <c r="C19" s="251" t="s">
        <v>1096</v>
      </c>
      <c r="D19" s="251">
        <v>6466112</v>
      </c>
      <c r="E19" s="251" t="s">
        <v>1087</v>
      </c>
      <c r="F19" s="247">
        <v>2020</v>
      </c>
      <c r="G19" s="252" t="s">
        <v>1055</v>
      </c>
      <c r="H19" s="251" t="s">
        <v>1086</v>
      </c>
      <c r="J19" s="249" t="s">
        <v>1093</v>
      </c>
      <c r="K19" s="309">
        <v>0.4</v>
      </c>
      <c r="L19" s="309">
        <v>0.2</v>
      </c>
      <c r="M19" s="309">
        <v>0</v>
      </c>
      <c r="N19" s="309">
        <v>0.2</v>
      </c>
      <c r="O19" s="309">
        <v>0</v>
      </c>
      <c r="P19" s="251">
        <v>0</v>
      </c>
      <c r="Q19" s="251">
        <v>12</v>
      </c>
      <c r="R19" s="251">
        <v>0</v>
      </c>
      <c r="S19" s="251">
        <v>0</v>
      </c>
      <c r="T19" s="253">
        <v>0</v>
      </c>
    </row>
    <row r="20" spans="1:20" ht="15.75" x14ac:dyDescent="0.25">
      <c r="A20" s="247" t="s">
        <v>294</v>
      </c>
      <c r="B20" s="247" t="s">
        <v>290</v>
      </c>
      <c r="C20" s="247" t="s">
        <v>1097</v>
      </c>
      <c r="D20" s="247">
        <v>6565086</v>
      </c>
      <c r="E20" s="247" t="s">
        <v>1058</v>
      </c>
      <c r="F20" s="247">
        <v>2020</v>
      </c>
      <c r="G20" s="248" t="s">
        <v>1055</v>
      </c>
      <c r="H20" s="247" t="s">
        <v>1057</v>
      </c>
      <c r="J20" s="249" t="s">
        <v>1098</v>
      </c>
      <c r="K20" s="308">
        <v>1.39</v>
      </c>
      <c r="L20" s="308">
        <v>1.39</v>
      </c>
      <c r="M20" s="308">
        <v>0</v>
      </c>
      <c r="N20" s="308">
        <v>0</v>
      </c>
      <c r="O20" s="308">
        <v>0</v>
      </c>
      <c r="P20" s="247">
        <v>0</v>
      </c>
      <c r="Q20" s="247">
        <v>25</v>
      </c>
      <c r="R20" s="247">
        <v>0</v>
      </c>
      <c r="S20" s="247">
        <v>0</v>
      </c>
      <c r="T20" s="250">
        <v>0</v>
      </c>
    </row>
    <row r="21" spans="1:20" ht="15.75" x14ac:dyDescent="0.25">
      <c r="A21" s="247" t="s">
        <v>294</v>
      </c>
      <c r="B21" s="247" t="s">
        <v>290</v>
      </c>
      <c r="C21" s="247" t="s">
        <v>1099</v>
      </c>
      <c r="D21" s="247">
        <v>6565086</v>
      </c>
      <c r="E21" s="247" t="s">
        <v>1068</v>
      </c>
      <c r="F21" s="247">
        <v>2020</v>
      </c>
      <c r="G21" s="248" t="s">
        <v>1055</v>
      </c>
      <c r="H21" s="247" t="s">
        <v>1057</v>
      </c>
      <c r="J21" s="249" t="s">
        <v>1098</v>
      </c>
      <c r="K21" s="308">
        <v>1.1000000000000001</v>
      </c>
      <c r="L21" s="308">
        <v>1.1000000000000001</v>
      </c>
      <c r="M21" s="308">
        <v>0</v>
      </c>
      <c r="N21" s="308">
        <v>0</v>
      </c>
      <c r="O21" s="308">
        <v>0</v>
      </c>
      <c r="P21" s="247">
        <v>0</v>
      </c>
      <c r="Q21" s="247">
        <v>25</v>
      </c>
      <c r="R21" s="247">
        <v>0</v>
      </c>
      <c r="S21" s="247">
        <v>0</v>
      </c>
      <c r="T21" s="250">
        <v>0</v>
      </c>
    </row>
    <row r="22" spans="1:20" ht="15.75" x14ac:dyDescent="0.25">
      <c r="A22" s="247" t="s">
        <v>294</v>
      </c>
      <c r="B22" s="247" t="s">
        <v>290</v>
      </c>
      <c r="C22" s="247" t="s">
        <v>1100</v>
      </c>
      <c r="D22" s="247">
        <v>6565086</v>
      </c>
      <c r="E22" s="247" t="s">
        <v>1061</v>
      </c>
      <c r="F22" s="247">
        <v>2020</v>
      </c>
      <c r="G22" s="248" t="s">
        <v>1055</v>
      </c>
      <c r="H22" s="247" t="s">
        <v>1057</v>
      </c>
      <c r="J22" s="249" t="s">
        <v>1098</v>
      </c>
      <c r="K22" s="308">
        <v>1.28</v>
      </c>
      <c r="L22" s="308">
        <v>1.1000000000000001</v>
      </c>
      <c r="M22" s="308">
        <v>0.18</v>
      </c>
      <c r="N22" s="308">
        <v>0</v>
      </c>
      <c r="O22" s="308">
        <v>0</v>
      </c>
      <c r="P22" s="247">
        <v>0</v>
      </c>
      <c r="Q22" s="247">
        <v>25</v>
      </c>
      <c r="R22" s="247">
        <v>0</v>
      </c>
      <c r="S22" s="247">
        <v>0</v>
      </c>
      <c r="T22" s="250">
        <v>0</v>
      </c>
    </row>
    <row r="23" spans="1:20" ht="15.75" x14ac:dyDescent="0.25">
      <c r="A23" s="247" t="s">
        <v>294</v>
      </c>
      <c r="B23" s="247" t="s">
        <v>290</v>
      </c>
      <c r="C23" s="247" t="s">
        <v>1101</v>
      </c>
      <c r="D23" s="247">
        <v>6565086</v>
      </c>
      <c r="E23" s="247" t="s">
        <v>1063</v>
      </c>
      <c r="F23" s="247">
        <v>2020</v>
      </c>
      <c r="G23" s="248" t="s">
        <v>1055</v>
      </c>
      <c r="H23" s="247" t="s">
        <v>1057</v>
      </c>
      <c r="J23" s="249" t="s">
        <v>1098</v>
      </c>
      <c r="K23" s="308">
        <v>1.1000000000000001</v>
      </c>
      <c r="L23" s="308">
        <v>1.1000000000000001</v>
      </c>
      <c r="M23" s="308">
        <v>0</v>
      </c>
      <c r="N23" s="308">
        <v>0</v>
      </c>
      <c r="O23" s="308">
        <v>0</v>
      </c>
      <c r="P23" s="247">
        <v>0</v>
      </c>
      <c r="Q23" s="247">
        <v>25</v>
      </c>
      <c r="R23" s="247">
        <v>0</v>
      </c>
      <c r="S23" s="247">
        <v>0</v>
      </c>
      <c r="T23" s="250">
        <v>0</v>
      </c>
    </row>
    <row r="24" spans="1:20" ht="15.75" x14ac:dyDescent="0.25">
      <c r="A24" s="247" t="s">
        <v>294</v>
      </c>
      <c r="B24" s="247" t="s">
        <v>290</v>
      </c>
      <c r="C24" s="247" t="s">
        <v>1102</v>
      </c>
      <c r="D24" s="247">
        <v>6565086</v>
      </c>
      <c r="E24" s="247" t="s">
        <v>1073</v>
      </c>
      <c r="F24" s="247">
        <v>2020</v>
      </c>
      <c r="G24" s="248" t="s">
        <v>1055</v>
      </c>
      <c r="H24" s="247" t="s">
        <v>1057</v>
      </c>
      <c r="J24" s="249" t="s">
        <v>1098</v>
      </c>
      <c r="K24" s="308">
        <v>1.2</v>
      </c>
      <c r="L24" s="308">
        <v>1.1000000000000001</v>
      </c>
      <c r="M24" s="308">
        <v>0.1</v>
      </c>
      <c r="N24" s="308">
        <v>0</v>
      </c>
      <c r="O24" s="308">
        <v>0</v>
      </c>
      <c r="P24" s="247">
        <v>0</v>
      </c>
      <c r="Q24" s="247">
        <v>25</v>
      </c>
      <c r="R24" s="247">
        <v>0</v>
      </c>
      <c r="S24" s="247">
        <v>0</v>
      </c>
      <c r="T24" s="250">
        <v>0</v>
      </c>
    </row>
    <row r="25" spans="1:20" ht="15.75" x14ac:dyDescent="0.25">
      <c r="A25" s="247" t="s">
        <v>844</v>
      </c>
      <c r="B25" s="247" t="s">
        <v>842</v>
      </c>
      <c r="C25" s="247" t="s">
        <v>1079</v>
      </c>
      <c r="D25" s="247">
        <v>6698987</v>
      </c>
      <c r="E25" s="247" t="s">
        <v>1063</v>
      </c>
      <c r="F25" s="247">
        <v>2020</v>
      </c>
      <c r="G25" s="248" t="s">
        <v>1055</v>
      </c>
      <c r="H25" s="247" t="s">
        <v>1057</v>
      </c>
      <c r="J25" s="249" t="s">
        <v>1078</v>
      </c>
      <c r="K25" s="308">
        <v>1.1499999999999999</v>
      </c>
      <c r="L25" s="308">
        <v>1</v>
      </c>
      <c r="M25" s="308">
        <v>0.15</v>
      </c>
      <c r="N25" s="308">
        <v>0</v>
      </c>
      <c r="O25" s="308">
        <v>0</v>
      </c>
      <c r="P25" s="247">
        <v>0</v>
      </c>
      <c r="Q25" s="247">
        <v>5</v>
      </c>
      <c r="R25" s="247">
        <v>0</v>
      </c>
      <c r="S25" s="247">
        <v>0</v>
      </c>
      <c r="T25" s="250">
        <v>0</v>
      </c>
    </row>
    <row r="26" spans="1:20" ht="15.75" x14ac:dyDescent="0.25">
      <c r="A26" s="247" t="s">
        <v>1066</v>
      </c>
      <c r="B26" s="247" t="s">
        <v>1067</v>
      </c>
      <c r="C26" s="247" t="s">
        <v>1103</v>
      </c>
      <c r="D26" s="247">
        <v>6811251</v>
      </c>
      <c r="E26" s="247" t="s">
        <v>1061</v>
      </c>
      <c r="F26" s="247">
        <v>2020</v>
      </c>
      <c r="G26" s="248" t="s">
        <v>1055</v>
      </c>
      <c r="H26" s="247" t="s">
        <v>1057</v>
      </c>
      <c r="J26" s="249" t="s">
        <v>1069</v>
      </c>
      <c r="K26" s="308">
        <v>0.6</v>
      </c>
      <c r="L26" s="308">
        <v>0.6</v>
      </c>
      <c r="M26" s="308">
        <v>0</v>
      </c>
      <c r="N26" s="308">
        <v>0</v>
      </c>
      <c r="O26" s="308">
        <v>0</v>
      </c>
      <c r="P26" s="247">
        <v>0</v>
      </c>
      <c r="Q26" s="247">
        <v>2</v>
      </c>
      <c r="R26" s="247">
        <v>0</v>
      </c>
      <c r="S26" s="247">
        <v>0</v>
      </c>
      <c r="T26" s="250">
        <v>0</v>
      </c>
    </row>
    <row r="27" spans="1:20" ht="15.75" x14ac:dyDescent="0.25">
      <c r="A27" s="247" t="s">
        <v>831</v>
      </c>
      <c r="B27" s="247" t="s">
        <v>826</v>
      </c>
      <c r="C27" s="247" t="s">
        <v>1072</v>
      </c>
      <c r="D27" s="247">
        <v>7235281</v>
      </c>
      <c r="E27" s="247" t="s">
        <v>1073</v>
      </c>
      <c r="F27" s="247">
        <v>2020</v>
      </c>
      <c r="G27" s="248" t="s">
        <v>1055</v>
      </c>
      <c r="H27" s="247" t="s">
        <v>1057</v>
      </c>
      <c r="J27" s="249" t="s">
        <v>1064</v>
      </c>
      <c r="K27" s="308">
        <v>0.6</v>
      </c>
      <c r="L27" s="308">
        <v>0.2</v>
      </c>
      <c r="M27" s="308">
        <v>0.2</v>
      </c>
      <c r="N27" s="308">
        <v>0</v>
      </c>
      <c r="O27" s="308">
        <v>0.2</v>
      </c>
      <c r="P27" s="247">
        <v>0</v>
      </c>
      <c r="Q27" s="247">
        <v>0</v>
      </c>
      <c r="R27" s="247">
        <v>1</v>
      </c>
      <c r="S27" s="247">
        <v>0</v>
      </c>
      <c r="T27" s="250">
        <v>0</v>
      </c>
    </row>
    <row r="28" spans="1:20" ht="15.75" x14ac:dyDescent="0.25">
      <c r="A28" s="247" t="s">
        <v>1104</v>
      </c>
      <c r="B28" s="247" t="s">
        <v>553</v>
      </c>
      <c r="C28" s="247" t="s">
        <v>1077</v>
      </c>
      <c r="D28" s="247">
        <v>7634996</v>
      </c>
      <c r="E28" s="247" t="s">
        <v>1061</v>
      </c>
      <c r="F28" s="247">
        <v>2020</v>
      </c>
      <c r="G28" s="248" t="s">
        <v>1055</v>
      </c>
      <c r="H28" s="247" t="s">
        <v>1057</v>
      </c>
      <c r="J28" s="249" t="s">
        <v>1078</v>
      </c>
      <c r="K28" s="308">
        <v>0.4</v>
      </c>
      <c r="L28" s="308">
        <v>0.4</v>
      </c>
      <c r="M28" s="308">
        <v>0</v>
      </c>
      <c r="N28" s="308">
        <v>0</v>
      </c>
      <c r="O28" s="308">
        <v>0</v>
      </c>
      <c r="P28" s="247">
        <v>0</v>
      </c>
      <c r="Q28" s="247">
        <v>14</v>
      </c>
      <c r="R28" s="247">
        <v>0</v>
      </c>
      <c r="S28" s="247">
        <v>0</v>
      </c>
      <c r="T28" s="250">
        <v>0</v>
      </c>
    </row>
    <row r="29" spans="1:20" ht="15.75" x14ac:dyDescent="0.25">
      <c r="A29" s="247" t="s">
        <v>1106</v>
      </c>
      <c r="B29" s="247" t="s">
        <v>553</v>
      </c>
      <c r="C29" s="247" t="s">
        <v>1105</v>
      </c>
      <c r="D29" s="247">
        <v>8289298</v>
      </c>
      <c r="E29" s="247" t="s">
        <v>1073</v>
      </c>
      <c r="F29" s="247">
        <v>2020</v>
      </c>
      <c r="G29" s="248" t="s">
        <v>1055</v>
      </c>
      <c r="H29" s="247" t="s">
        <v>1057</v>
      </c>
      <c r="J29" s="249" t="s">
        <v>1078</v>
      </c>
      <c r="K29" s="308">
        <v>2.25</v>
      </c>
      <c r="L29" s="308">
        <v>2.25</v>
      </c>
      <c r="M29" s="308">
        <v>0</v>
      </c>
      <c r="N29" s="308">
        <v>0</v>
      </c>
      <c r="O29" s="308">
        <v>0</v>
      </c>
      <c r="P29" s="247">
        <v>0</v>
      </c>
      <c r="Q29" s="247">
        <v>20</v>
      </c>
      <c r="R29" s="247">
        <v>3</v>
      </c>
      <c r="S29" s="247">
        <v>0</v>
      </c>
      <c r="T29" s="250">
        <v>0</v>
      </c>
    </row>
    <row r="30" spans="1:20" ht="15.75" x14ac:dyDescent="0.25">
      <c r="A30" s="247" t="s">
        <v>1108</v>
      </c>
      <c r="B30" s="247" t="s">
        <v>585</v>
      </c>
      <c r="C30" s="247" t="s">
        <v>1107</v>
      </c>
      <c r="D30" s="247">
        <v>8299792</v>
      </c>
      <c r="E30" s="247" t="s">
        <v>1087</v>
      </c>
      <c r="F30" s="247">
        <v>2020</v>
      </c>
      <c r="G30" s="248" t="s">
        <v>1055</v>
      </c>
      <c r="H30" s="247" t="s">
        <v>1086</v>
      </c>
      <c r="J30" s="249" t="s">
        <v>1109</v>
      </c>
      <c r="K30" s="308">
        <v>2.72</v>
      </c>
      <c r="L30" s="308">
        <v>1.02</v>
      </c>
      <c r="M30" s="308">
        <v>0.3</v>
      </c>
      <c r="N30" s="308">
        <v>0</v>
      </c>
      <c r="O30" s="308">
        <v>1.4</v>
      </c>
      <c r="P30" s="247">
        <v>0</v>
      </c>
      <c r="Q30" s="247">
        <v>25</v>
      </c>
      <c r="R30" s="247">
        <v>0</v>
      </c>
      <c r="S30" s="247">
        <v>0</v>
      </c>
      <c r="T30" s="250"/>
    </row>
    <row r="31" spans="1:20" ht="15.75" x14ac:dyDescent="0.25">
      <c r="A31" s="247" t="s">
        <v>931</v>
      </c>
      <c r="B31" s="247" t="s">
        <v>928</v>
      </c>
      <c r="C31" s="247" t="s">
        <v>1110</v>
      </c>
      <c r="D31" s="247">
        <v>8314639</v>
      </c>
      <c r="E31" s="247" t="s">
        <v>1073</v>
      </c>
      <c r="F31" s="247">
        <v>2020</v>
      </c>
      <c r="G31" s="248" t="s">
        <v>1055</v>
      </c>
      <c r="H31" s="247" t="s">
        <v>1057</v>
      </c>
      <c r="J31" s="249" t="s">
        <v>1081</v>
      </c>
      <c r="K31" s="308">
        <v>4.1500000000000004</v>
      </c>
      <c r="L31" s="308">
        <v>1</v>
      </c>
      <c r="M31" s="308">
        <v>0</v>
      </c>
      <c r="N31" s="308">
        <v>0</v>
      </c>
      <c r="O31" s="308">
        <v>3.15</v>
      </c>
      <c r="P31" s="247">
        <v>0</v>
      </c>
      <c r="Q31" s="247">
        <v>6352</v>
      </c>
      <c r="R31" s="247">
        <v>0</v>
      </c>
      <c r="S31" s="247">
        <v>0</v>
      </c>
      <c r="T31" s="250">
        <v>0</v>
      </c>
    </row>
    <row r="32" spans="1:20" ht="15.75" x14ac:dyDescent="0.25">
      <c r="A32" s="247" t="s">
        <v>931</v>
      </c>
      <c r="B32" s="247" t="s">
        <v>306</v>
      </c>
      <c r="C32" s="247" t="s">
        <v>1110</v>
      </c>
      <c r="D32" s="247">
        <v>8615860</v>
      </c>
      <c r="E32" s="247" t="s">
        <v>1073</v>
      </c>
      <c r="F32" s="247">
        <v>2020</v>
      </c>
      <c r="G32" s="248" t="s">
        <v>1055</v>
      </c>
      <c r="H32" s="247" t="s">
        <v>1057</v>
      </c>
      <c r="J32" s="249" t="s">
        <v>1081</v>
      </c>
      <c r="K32" s="308">
        <v>2.7</v>
      </c>
      <c r="L32" s="308">
        <v>0.7</v>
      </c>
      <c r="M32" s="308">
        <v>0</v>
      </c>
      <c r="N32" s="308">
        <v>0</v>
      </c>
      <c r="O32" s="308">
        <v>2</v>
      </c>
      <c r="P32" s="247">
        <v>0</v>
      </c>
      <c r="Q32" s="247">
        <v>20</v>
      </c>
      <c r="R32" s="247">
        <v>0</v>
      </c>
      <c r="S32" s="247">
        <v>0</v>
      </c>
      <c r="T32" s="250">
        <v>0</v>
      </c>
    </row>
    <row r="33" spans="1:20" ht="15.75" x14ac:dyDescent="0.25">
      <c r="A33" s="247" t="s">
        <v>740</v>
      </c>
      <c r="B33" s="247" t="s">
        <v>733</v>
      </c>
      <c r="C33" s="247" t="s">
        <v>1074</v>
      </c>
      <c r="D33" s="247">
        <v>8849001</v>
      </c>
      <c r="E33" s="247" t="s">
        <v>1058</v>
      </c>
      <c r="F33" s="247">
        <v>2020</v>
      </c>
      <c r="G33" s="248" t="s">
        <v>1055</v>
      </c>
      <c r="H33" s="247" t="s">
        <v>1057</v>
      </c>
      <c r="J33" s="249" t="s">
        <v>1078</v>
      </c>
      <c r="K33" s="308">
        <v>1.8</v>
      </c>
      <c r="L33" s="308">
        <v>1.8</v>
      </c>
      <c r="M33" s="308">
        <v>0</v>
      </c>
      <c r="N33" s="308">
        <v>0</v>
      </c>
      <c r="O33" s="308">
        <v>0</v>
      </c>
      <c r="P33" s="247">
        <v>0</v>
      </c>
      <c r="Q33" s="247">
        <v>16</v>
      </c>
      <c r="R33" s="247">
        <v>0</v>
      </c>
      <c r="S33" s="247">
        <v>0</v>
      </c>
      <c r="T33" s="250">
        <v>0</v>
      </c>
    </row>
    <row r="34" spans="1:20" ht="15.75" x14ac:dyDescent="0.25">
      <c r="A34" s="247" t="s">
        <v>744</v>
      </c>
      <c r="B34" s="247" t="s">
        <v>733</v>
      </c>
      <c r="C34" s="247" t="s">
        <v>1111</v>
      </c>
      <c r="D34" s="247">
        <v>8984742</v>
      </c>
      <c r="E34" s="247" t="s">
        <v>1068</v>
      </c>
      <c r="F34" s="247">
        <v>2020</v>
      </c>
      <c r="G34" s="248" t="s">
        <v>1055</v>
      </c>
      <c r="H34" s="247" t="s">
        <v>1057</v>
      </c>
      <c r="J34" s="249" t="s">
        <v>1078</v>
      </c>
      <c r="K34" s="308">
        <v>1.5</v>
      </c>
      <c r="L34" s="308">
        <v>1</v>
      </c>
      <c r="M34" s="308">
        <v>0</v>
      </c>
      <c r="N34" s="308">
        <v>0</v>
      </c>
      <c r="O34" s="308">
        <v>0.5</v>
      </c>
      <c r="P34" s="247">
        <v>0</v>
      </c>
      <c r="Q34" s="247">
        <v>8</v>
      </c>
      <c r="R34" s="247">
        <v>0</v>
      </c>
      <c r="S34" s="247">
        <v>0</v>
      </c>
      <c r="T34" s="250">
        <v>0</v>
      </c>
    </row>
    <row r="35" spans="1:20" ht="15.75" x14ac:dyDescent="0.25">
      <c r="A35" s="247" t="s">
        <v>1112</v>
      </c>
      <c r="B35" s="247" t="s">
        <v>1113</v>
      </c>
      <c r="C35" s="247" t="s">
        <v>1099</v>
      </c>
      <c r="D35" s="247">
        <v>9223303</v>
      </c>
      <c r="E35" s="247" t="s">
        <v>1068</v>
      </c>
      <c r="F35" s="247">
        <v>2020</v>
      </c>
      <c r="G35" s="248" t="s">
        <v>1055</v>
      </c>
      <c r="H35" s="247" t="s">
        <v>1057</v>
      </c>
      <c r="J35" s="249" t="s">
        <v>1114</v>
      </c>
      <c r="K35" s="308">
        <v>0.4</v>
      </c>
      <c r="L35" s="308">
        <v>0.4</v>
      </c>
      <c r="M35" s="308">
        <v>0</v>
      </c>
      <c r="N35" s="308">
        <v>0</v>
      </c>
      <c r="O35" s="308">
        <v>0</v>
      </c>
      <c r="P35" s="247">
        <v>0</v>
      </c>
      <c r="Q35" s="247">
        <v>10</v>
      </c>
      <c r="R35" s="247">
        <v>0</v>
      </c>
      <c r="S35" s="247">
        <v>0</v>
      </c>
      <c r="T35" s="250">
        <v>0</v>
      </c>
    </row>
    <row r="36" spans="1:20" ht="15.75" x14ac:dyDescent="0.25">
      <c r="A36" s="247" t="s">
        <v>1115</v>
      </c>
      <c r="B36" s="247" t="s">
        <v>553</v>
      </c>
      <c r="C36" s="247" t="s">
        <v>1111</v>
      </c>
      <c r="D36" s="247">
        <v>9503685</v>
      </c>
      <c r="E36" s="247" t="s">
        <v>1068</v>
      </c>
      <c r="F36" s="247">
        <v>2020</v>
      </c>
      <c r="G36" s="248" t="s">
        <v>1055</v>
      </c>
      <c r="H36" s="247" t="s">
        <v>1057</v>
      </c>
      <c r="J36" s="249" t="s">
        <v>1078</v>
      </c>
      <c r="K36" s="308">
        <v>0.6</v>
      </c>
      <c r="L36" s="308">
        <v>0.6</v>
      </c>
      <c r="M36" s="308">
        <v>0</v>
      </c>
      <c r="N36" s="308">
        <v>0</v>
      </c>
      <c r="O36" s="308">
        <v>0</v>
      </c>
      <c r="P36" s="247">
        <v>0</v>
      </c>
      <c r="Q36" s="247">
        <v>14</v>
      </c>
      <c r="R36" s="247">
        <v>0</v>
      </c>
      <c r="S36" s="247">
        <v>0</v>
      </c>
      <c r="T36" s="250">
        <v>0</v>
      </c>
    </row>
    <row r="37" spans="1:20" ht="15.75" x14ac:dyDescent="0.25">
      <c r="A37" s="247" t="s">
        <v>1117</v>
      </c>
      <c r="B37" s="247" t="s">
        <v>1118</v>
      </c>
      <c r="C37" s="247" t="s">
        <v>1116</v>
      </c>
      <c r="D37" s="247">
        <v>9608144</v>
      </c>
      <c r="E37" s="247" t="s">
        <v>1058</v>
      </c>
      <c r="F37" s="247">
        <v>2020</v>
      </c>
      <c r="G37" s="248" t="s">
        <v>1055</v>
      </c>
      <c r="H37" s="247" t="s">
        <v>1057</v>
      </c>
      <c r="J37" s="249" t="s">
        <v>1119</v>
      </c>
      <c r="K37" s="308">
        <v>1.9</v>
      </c>
      <c r="L37" s="308">
        <v>1.9</v>
      </c>
      <c r="M37" s="308">
        <v>0</v>
      </c>
      <c r="N37" s="308">
        <v>0</v>
      </c>
      <c r="O37" s="308">
        <v>0</v>
      </c>
      <c r="P37" s="247">
        <v>0</v>
      </c>
      <c r="Q37" s="247">
        <v>18</v>
      </c>
      <c r="R37" s="247">
        <v>1</v>
      </c>
      <c r="S37" s="247">
        <v>0</v>
      </c>
      <c r="T37" s="250">
        <v>0</v>
      </c>
    </row>
    <row r="38" spans="1:20" ht="15.75" x14ac:dyDescent="0.25">
      <c r="A38" s="247" t="s">
        <v>327</v>
      </c>
      <c r="B38" s="247" t="s">
        <v>312</v>
      </c>
      <c r="C38" s="247" t="s">
        <v>1120</v>
      </c>
      <c r="D38" s="247">
        <v>9684449</v>
      </c>
      <c r="E38" s="247" t="s">
        <v>1068</v>
      </c>
      <c r="F38" s="247">
        <v>2020</v>
      </c>
      <c r="G38" s="248" t="s">
        <v>1055</v>
      </c>
      <c r="H38" s="247" t="s">
        <v>1057</v>
      </c>
      <c r="J38" s="249" t="s">
        <v>1081</v>
      </c>
      <c r="K38" s="308">
        <v>1.5</v>
      </c>
      <c r="L38" s="308">
        <v>1</v>
      </c>
      <c r="M38" s="308">
        <v>0</v>
      </c>
      <c r="N38" s="308">
        <v>0</v>
      </c>
      <c r="O38" s="308">
        <v>0.5</v>
      </c>
      <c r="P38" s="247">
        <v>0</v>
      </c>
      <c r="Q38" s="247">
        <v>10</v>
      </c>
      <c r="R38" s="247">
        <v>0</v>
      </c>
      <c r="S38" s="247">
        <v>0</v>
      </c>
      <c r="T38" s="250">
        <v>0</v>
      </c>
    </row>
    <row r="39" spans="1:20" ht="15.75" x14ac:dyDescent="0.25">
      <c r="A39" s="247" t="s">
        <v>873</v>
      </c>
      <c r="B39" s="247" t="s">
        <v>871</v>
      </c>
      <c r="C39" s="247" t="s">
        <v>1121</v>
      </c>
      <c r="D39" s="247">
        <v>9775815</v>
      </c>
      <c r="E39" s="247" t="s">
        <v>1087</v>
      </c>
      <c r="F39" s="247">
        <v>2020</v>
      </c>
      <c r="G39" s="248" t="s">
        <v>1055</v>
      </c>
      <c r="H39" s="247" t="s">
        <v>1086</v>
      </c>
      <c r="J39" s="249" t="s">
        <v>1122</v>
      </c>
      <c r="K39" s="308">
        <v>1.1499999999999999</v>
      </c>
      <c r="L39" s="308">
        <v>0.75</v>
      </c>
      <c r="M39" s="308">
        <v>0</v>
      </c>
      <c r="N39" s="308">
        <v>0.2</v>
      </c>
      <c r="O39" s="308">
        <v>0.2</v>
      </c>
      <c r="P39" s="247">
        <v>0</v>
      </c>
      <c r="Q39" s="247">
        <v>7</v>
      </c>
      <c r="R39" s="247">
        <v>0</v>
      </c>
      <c r="S39" s="247">
        <v>0</v>
      </c>
      <c r="T39" s="250">
        <v>0</v>
      </c>
    </row>
    <row r="40" spans="1:20" ht="15.75" x14ac:dyDescent="0.25">
      <c r="A40" s="247" t="s">
        <v>962</v>
      </c>
      <c r="B40" s="247" t="s">
        <v>962</v>
      </c>
      <c r="C40" s="247" t="s">
        <v>1123</v>
      </c>
      <c r="D40" s="247">
        <v>1715626</v>
      </c>
      <c r="E40" s="247" t="s">
        <v>1068</v>
      </c>
      <c r="F40" s="247">
        <v>2020</v>
      </c>
      <c r="G40" s="248" t="s">
        <v>1124</v>
      </c>
      <c r="H40" s="247" t="s">
        <v>1125</v>
      </c>
      <c r="J40" s="249" t="s">
        <v>1126</v>
      </c>
      <c r="K40" s="308">
        <v>10.8</v>
      </c>
      <c r="L40" s="308">
        <v>0.8</v>
      </c>
      <c r="M40" s="308">
        <v>10</v>
      </c>
      <c r="N40" s="308">
        <v>0</v>
      </c>
      <c r="O40" s="308">
        <v>0</v>
      </c>
      <c r="P40" s="247">
        <v>0</v>
      </c>
      <c r="Q40" s="247">
        <v>0</v>
      </c>
      <c r="R40" s="247">
        <v>5</v>
      </c>
      <c r="S40" s="247">
        <v>0</v>
      </c>
      <c r="T40" s="250">
        <v>0</v>
      </c>
    </row>
    <row r="41" spans="1:20" ht="15.75" x14ac:dyDescent="0.25">
      <c r="A41" s="247" t="s">
        <v>225</v>
      </c>
      <c r="B41" s="247" t="s">
        <v>375</v>
      </c>
      <c r="C41" s="247" t="s">
        <v>1127</v>
      </c>
      <c r="D41" s="247">
        <v>1806042</v>
      </c>
      <c r="E41" s="247" t="s">
        <v>1128</v>
      </c>
      <c r="F41" s="247">
        <v>2020</v>
      </c>
      <c r="G41" s="248" t="s">
        <v>1124</v>
      </c>
      <c r="H41" s="247" t="s">
        <v>1125</v>
      </c>
      <c r="J41" s="249" t="s">
        <v>1126</v>
      </c>
      <c r="K41" s="308">
        <v>7.15</v>
      </c>
      <c r="L41" s="308">
        <v>0.7</v>
      </c>
      <c r="M41" s="308">
        <v>6.45</v>
      </c>
      <c r="N41" s="308">
        <v>0</v>
      </c>
      <c r="O41" s="308">
        <v>0</v>
      </c>
      <c r="P41" s="247">
        <v>0</v>
      </c>
      <c r="Q41" s="247">
        <v>8</v>
      </c>
      <c r="R41" s="247">
        <v>6</v>
      </c>
      <c r="S41" s="247">
        <v>0</v>
      </c>
      <c r="T41" s="250">
        <v>43952</v>
      </c>
    </row>
    <row r="42" spans="1:20" ht="15.75" x14ac:dyDescent="0.25">
      <c r="A42" s="247" t="s">
        <v>1130</v>
      </c>
      <c r="B42" s="247" t="s">
        <v>281</v>
      </c>
      <c r="C42" s="247" t="s">
        <v>1129</v>
      </c>
      <c r="D42" s="247">
        <v>2039109</v>
      </c>
      <c r="E42" s="247" t="s">
        <v>1131</v>
      </c>
      <c r="F42" s="247">
        <v>2020</v>
      </c>
      <c r="G42" s="248" t="s">
        <v>1124</v>
      </c>
      <c r="H42" s="247" t="s">
        <v>1125</v>
      </c>
      <c r="J42" s="249" t="s">
        <v>1109</v>
      </c>
      <c r="K42" s="308">
        <v>0.55000000000000004</v>
      </c>
      <c r="L42" s="308">
        <v>0.05</v>
      </c>
      <c r="M42" s="308">
        <v>0.5</v>
      </c>
      <c r="N42" s="308">
        <v>0</v>
      </c>
      <c r="O42" s="308">
        <v>0</v>
      </c>
      <c r="P42" s="247">
        <v>0</v>
      </c>
      <c r="Q42" s="247">
        <v>5</v>
      </c>
      <c r="R42" s="247">
        <v>0</v>
      </c>
      <c r="S42" s="247">
        <v>0</v>
      </c>
      <c r="T42" s="250">
        <v>0</v>
      </c>
    </row>
    <row r="43" spans="1:20" ht="15.75" x14ac:dyDescent="0.25">
      <c r="A43" s="247" t="s">
        <v>1130</v>
      </c>
      <c r="B43" s="247" t="s">
        <v>281</v>
      </c>
      <c r="C43" s="247" t="s">
        <v>1132</v>
      </c>
      <c r="D43" s="247">
        <v>2039109</v>
      </c>
      <c r="E43" s="247" t="s">
        <v>1063</v>
      </c>
      <c r="F43" s="247">
        <v>2020</v>
      </c>
      <c r="G43" s="248" t="s">
        <v>1124</v>
      </c>
      <c r="H43" s="247" t="s">
        <v>1125</v>
      </c>
      <c r="J43" s="249" t="s">
        <v>1109</v>
      </c>
      <c r="K43" s="308">
        <v>8.4499999999999993</v>
      </c>
      <c r="L43" s="308">
        <v>0.95</v>
      </c>
      <c r="M43" s="308">
        <v>7.5</v>
      </c>
      <c r="N43" s="308">
        <v>0</v>
      </c>
      <c r="O43" s="308">
        <v>0</v>
      </c>
      <c r="P43" s="247">
        <v>0</v>
      </c>
      <c r="Q43" s="247">
        <v>50</v>
      </c>
      <c r="R43" s="247">
        <v>0</v>
      </c>
      <c r="S43" s="247">
        <v>0</v>
      </c>
      <c r="T43" s="250">
        <v>0</v>
      </c>
    </row>
    <row r="44" spans="1:20" ht="15.75" x14ac:dyDescent="0.25">
      <c r="A44" s="247" t="s">
        <v>377</v>
      </c>
      <c r="B44" s="247" t="s">
        <v>553</v>
      </c>
      <c r="C44" s="247" t="s">
        <v>1133</v>
      </c>
      <c r="D44" s="247">
        <v>2392006</v>
      </c>
      <c r="E44" s="247" t="s">
        <v>1134</v>
      </c>
      <c r="F44" s="247">
        <v>2020</v>
      </c>
      <c r="G44" s="248" t="s">
        <v>1124</v>
      </c>
      <c r="H44" s="247" t="s">
        <v>1125</v>
      </c>
      <c r="J44" s="249" t="s">
        <v>1126</v>
      </c>
      <c r="K44" s="308">
        <v>4.7</v>
      </c>
      <c r="L44" s="308">
        <v>0.75</v>
      </c>
      <c r="M44" s="308">
        <v>3.95</v>
      </c>
      <c r="N44" s="308">
        <v>0</v>
      </c>
      <c r="O44" s="308">
        <v>0</v>
      </c>
      <c r="P44" s="247">
        <v>0</v>
      </c>
      <c r="Q44" s="247">
        <v>13</v>
      </c>
      <c r="R44" s="247">
        <v>0</v>
      </c>
      <c r="S44" s="247">
        <v>0</v>
      </c>
      <c r="T44" s="250">
        <v>0</v>
      </c>
    </row>
    <row r="45" spans="1:20" ht="15.75" x14ac:dyDescent="0.25">
      <c r="A45" s="247" t="s">
        <v>1010</v>
      </c>
      <c r="B45" s="247" t="s">
        <v>1010</v>
      </c>
      <c r="C45" s="247" t="s">
        <v>1135</v>
      </c>
      <c r="D45" s="247">
        <v>2495303</v>
      </c>
      <c r="E45" s="247" t="s">
        <v>1058</v>
      </c>
      <c r="F45" s="247">
        <v>2020</v>
      </c>
      <c r="G45" s="248" t="s">
        <v>1124</v>
      </c>
      <c r="H45" s="247" t="s">
        <v>1125</v>
      </c>
      <c r="J45" s="249" t="s">
        <v>1109</v>
      </c>
      <c r="K45" s="308">
        <v>8.59</v>
      </c>
      <c r="L45" s="308">
        <v>0.4</v>
      </c>
      <c r="M45" s="308">
        <v>8.19</v>
      </c>
      <c r="N45" s="308">
        <v>0</v>
      </c>
      <c r="O45" s="308">
        <v>0</v>
      </c>
      <c r="P45" s="247">
        <v>0</v>
      </c>
      <c r="Q45" s="247">
        <v>65</v>
      </c>
      <c r="R45" s="247">
        <v>0</v>
      </c>
      <c r="S45" s="247">
        <v>0</v>
      </c>
      <c r="T45" s="250">
        <v>0</v>
      </c>
    </row>
    <row r="46" spans="1:20" ht="15.75" x14ac:dyDescent="0.25">
      <c r="A46" s="247" t="s">
        <v>965</v>
      </c>
      <c r="B46" s="247" t="s">
        <v>965</v>
      </c>
      <c r="C46" s="247" t="s">
        <v>1136</v>
      </c>
      <c r="D46" s="247">
        <v>3198258</v>
      </c>
      <c r="E46" s="247" t="s">
        <v>1061</v>
      </c>
      <c r="F46" s="247">
        <v>2020</v>
      </c>
      <c r="G46" s="248" t="s">
        <v>1124</v>
      </c>
      <c r="H46" s="247" t="s">
        <v>1125</v>
      </c>
      <c r="J46" s="249" t="s">
        <v>1126</v>
      </c>
      <c r="K46" s="308">
        <v>4.43</v>
      </c>
      <c r="L46" s="308">
        <v>0.57999999999999996</v>
      </c>
      <c r="M46" s="308">
        <v>3.85</v>
      </c>
      <c r="N46" s="308">
        <v>0</v>
      </c>
      <c r="O46" s="308">
        <v>0</v>
      </c>
      <c r="P46" s="247">
        <v>0</v>
      </c>
      <c r="Q46" s="247">
        <v>35</v>
      </c>
      <c r="R46" s="247">
        <v>0</v>
      </c>
      <c r="S46" s="247">
        <v>0</v>
      </c>
      <c r="T46" s="250">
        <v>0</v>
      </c>
    </row>
    <row r="47" spans="1:20" ht="15.75" x14ac:dyDescent="0.25">
      <c r="A47" s="247" t="s">
        <v>965</v>
      </c>
      <c r="B47" s="247" t="s">
        <v>965</v>
      </c>
      <c r="C47" s="247" t="s">
        <v>1137</v>
      </c>
      <c r="D47" s="247">
        <v>3198258</v>
      </c>
      <c r="E47" s="247" t="s">
        <v>1138</v>
      </c>
      <c r="F47" s="247">
        <v>2020</v>
      </c>
      <c r="G47" s="248" t="s">
        <v>1124</v>
      </c>
      <c r="H47" s="247" t="s">
        <v>1125</v>
      </c>
      <c r="J47" s="249" t="s">
        <v>1126</v>
      </c>
      <c r="K47" s="308">
        <v>3.57</v>
      </c>
      <c r="L47" s="308">
        <v>0.12</v>
      </c>
      <c r="M47" s="308">
        <v>3.45</v>
      </c>
      <c r="N47" s="308">
        <v>0</v>
      </c>
      <c r="O47" s="308">
        <v>0</v>
      </c>
      <c r="P47" s="247">
        <v>0</v>
      </c>
      <c r="Q47" s="247">
        <v>30</v>
      </c>
      <c r="R47" s="247">
        <v>0</v>
      </c>
      <c r="S47" s="247">
        <v>0</v>
      </c>
      <c r="T47" s="250">
        <v>0</v>
      </c>
    </row>
    <row r="48" spans="1:20" ht="15.75" x14ac:dyDescent="0.25">
      <c r="A48" s="247" t="s">
        <v>1140</v>
      </c>
      <c r="B48" s="247" t="s">
        <v>1141</v>
      </c>
      <c r="C48" s="247" t="s">
        <v>1139</v>
      </c>
      <c r="D48" s="247">
        <v>4271738</v>
      </c>
      <c r="E48" s="247" t="s">
        <v>1142</v>
      </c>
      <c r="F48" s="247">
        <v>2020</v>
      </c>
      <c r="G48" s="248" t="s">
        <v>1124</v>
      </c>
      <c r="H48" s="247" t="s">
        <v>1125</v>
      </c>
      <c r="J48" s="249" t="s">
        <v>1109</v>
      </c>
      <c r="K48" s="308">
        <v>5</v>
      </c>
      <c r="L48" s="308">
        <v>0.5</v>
      </c>
      <c r="M48" s="308">
        <v>4.5</v>
      </c>
      <c r="N48" s="308">
        <v>0</v>
      </c>
      <c r="O48" s="308">
        <v>0</v>
      </c>
      <c r="P48" s="247">
        <v>0</v>
      </c>
      <c r="Q48" s="247">
        <v>15</v>
      </c>
      <c r="R48" s="247">
        <v>0</v>
      </c>
      <c r="S48" s="247">
        <v>0</v>
      </c>
      <c r="T48" s="250">
        <v>0</v>
      </c>
    </row>
    <row r="49" spans="1:20" ht="15.75" x14ac:dyDescent="0.25">
      <c r="A49" s="247" t="s">
        <v>1140</v>
      </c>
      <c r="B49" s="247" t="s">
        <v>1141</v>
      </c>
      <c r="C49" s="247" t="s">
        <v>1143</v>
      </c>
      <c r="D49" s="247">
        <v>4271738</v>
      </c>
      <c r="E49" s="247" t="s">
        <v>1144</v>
      </c>
      <c r="F49" s="247">
        <v>2020</v>
      </c>
      <c r="G49" s="248" t="s">
        <v>1124</v>
      </c>
      <c r="H49" s="247" t="s">
        <v>1125</v>
      </c>
      <c r="J49" s="249" t="s">
        <v>1126</v>
      </c>
      <c r="K49" s="308">
        <v>8.5</v>
      </c>
      <c r="L49" s="308">
        <v>1</v>
      </c>
      <c r="M49" s="308">
        <v>7.5</v>
      </c>
      <c r="N49" s="308">
        <v>0</v>
      </c>
      <c r="O49" s="308">
        <v>0</v>
      </c>
      <c r="P49" s="247">
        <v>0</v>
      </c>
      <c r="Q49" s="247">
        <v>25</v>
      </c>
      <c r="R49" s="247">
        <v>0</v>
      </c>
      <c r="S49" s="247">
        <v>0</v>
      </c>
      <c r="T49" s="250">
        <v>0</v>
      </c>
    </row>
    <row r="50" spans="1:20" ht="15.75" x14ac:dyDescent="0.25">
      <c r="A50" s="247" t="s">
        <v>377</v>
      </c>
      <c r="B50" s="247" t="s">
        <v>887</v>
      </c>
      <c r="C50" s="247" t="s">
        <v>1135</v>
      </c>
      <c r="D50" s="247">
        <v>5991938</v>
      </c>
      <c r="E50" s="247" t="s">
        <v>1058</v>
      </c>
      <c r="F50" s="247">
        <v>2020</v>
      </c>
      <c r="G50" s="248" t="s">
        <v>1124</v>
      </c>
      <c r="H50" s="247" t="s">
        <v>1125</v>
      </c>
      <c r="J50" s="249" t="s">
        <v>1109</v>
      </c>
      <c r="K50" s="308">
        <v>5.5</v>
      </c>
      <c r="L50" s="308">
        <v>0.5</v>
      </c>
      <c r="M50" s="308">
        <v>5</v>
      </c>
      <c r="N50" s="308">
        <v>0</v>
      </c>
      <c r="O50" s="308">
        <v>0</v>
      </c>
      <c r="P50" s="247">
        <v>0</v>
      </c>
      <c r="Q50" s="247">
        <v>25</v>
      </c>
      <c r="R50" s="247">
        <v>0</v>
      </c>
      <c r="S50" s="247">
        <v>0</v>
      </c>
      <c r="T50" s="250">
        <v>0</v>
      </c>
    </row>
    <row r="51" spans="1:20" ht="15.75" x14ac:dyDescent="0.25">
      <c r="A51" s="247" t="s">
        <v>226</v>
      </c>
      <c r="B51" s="247" t="s">
        <v>1145</v>
      </c>
      <c r="C51" s="247" t="s">
        <v>1123</v>
      </c>
      <c r="D51" s="247">
        <v>6152074</v>
      </c>
      <c r="E51" s="247" t="s">
        <v>1068</v>
      </c>
      <c r="F51" s="247">
        <v>2020</v>
      </c>
      <c r="G51" s="248" t="s">
        <v>1124</v>
      </c>
      <c r="H51" s="247" t="s">
        <v>1125</v>
      </c>
      <c r="J51" s="249" t="s">
        <v>1109</v>
      </c>
      <c r="K51" s="308">
        <v>8.9</v>
      </c>
      <c r="L51" s="308">
        <v>1.3</v>
      </c>
      <c r="M51" s="308">
        <v>7.6</v>
      </c>
      <c r="N51" s="308">
        <v>0</v>
      </c>
      <c r="O51" s="308">
        <v>0</v>
      </c>
      <c r="P51" s="247">
        <v>0</v>
      </c>
      <c r="Q51" s="247">
        <v>58</v>
      </c>
      <c r="R51" s="247">
        <v>0</v>
      </c>
      <c r="S51" s="247">
        <v>0</v>
      </c>
      <c r="T51" s="250">
        <v>0</v>
      </c>
    </row>
    <row r="52" spans="1:20" ht="15.75" x14ac:dyDescent="0.25">
      <c r="A52" s="247" t="s">
        <v>377</v>
      </c>
      <c r="B52" s="247" t="s">
        <v>826</v>
      </c>
      <c r="C52" s="247" t="s">
        <v>1146</v>
      </c>
      <c r="D52" s="247">
        <v>7459230</v>
      </c>
      <c r="E52" s="247" t="s">
        <v>1073</v>
      </c>
      <c r="F52" s="247">
        <v>2020</v>
      </c>
      <c r="G52" s="248" t="s">
        <v>1124</v>
      </c>
      <c r="H52" s="247" t="s">
        <v>1125</v>
      </c>
      <c r="J52" s="249" t="s">
        <v>1126</v>
      </c>
      <c r="K52" s="308">
        <v>8.6999999999999993</v>
      </c>
      <c r="L52" s="308">
        <v>0.2</v>
      </c>
      <c r="M52" s="308">
        <v>8.5</v>
      </c>
      <c r="N52" s="308">
        <v>0</v>
      </c>
      <c r="O52" s="308">
        <v>0</v>
      </c>
      <c r="P52" s="247">
        <v>0</v>
      </c>
      <c r="Q52" s="247">
        <v>80</v>
      </c>
      <c r="R52" s="247">
        <v>0</v>
      </c>
      <c r="S52" s="247">
        <v>0</v>
      </c>
      <c r="T52" s="250">
        <v>0</v>
      </c>
    </row>
    <row r="53" spans="1:20" ht="15.75" x14ac:dyDescent="0.25">
      <c r="A53" s="247" t="s">
        <v>377</v>
      </c>
      <c r="B53" s="247" t="s">
        <v>826</v>
      </c>
      <c r="C53" s="247" t="s">
        <v>1127</v>
      </c>
      <c r="D53" s="247">
        <v>7459230</v>
      </c>
      <c r="E53" s="247" t="s">
        <v>1128</v>
      </c>
      <c r="F53" s="247">
        <v>2020</v>
      </c>
      <c r="G53" s="248" t="s">
        <v>1124</v>
      </c>
      <c r="H53" s="247" t="s">
        <v>1125</v>
      </c>
      <c r="J53" s="249" t="s">
        <v>1126</v>
      </c>
      <c r="K53" s="308">
        <v>2.5499999999999998</v>
      </c>
      <c r="L53" s="308">
        <v>0.05</v>
      </c>
      <c r="M53" s="308">
        <v>2.5</v>
      </c>
      <c r="N53" s="308">
        <v>0</v>
      </c>
      <c r="O53" s="308">
        <v>0</v>
      </c>
      <c r="P53" s="247">
        <v>0</v>
      </c>
      <c r="Q53" s="247">
        <v>80</v>
      </c>
      <c r="R53" s="247">
        <v>0</v>
      </c>
      <c r="S53" s="247">
        <v>0</v>
      </c>
      <c r="T53" s="250">
        <v>0</v>
      </c>
    </row>
    <row r="54" spans="1:20" ht="15.75" x14ac:dyDescent="0.25">
      <c r="A54" s="247" t="s">
        <v>1147</v>
      </c>
      <c r="B54" s="247" t="s">
        <v>580</v>
      </c>
      <c r="C54" s="247" t="s">
        <v>1135</v>
      </c>
      <c r="D54" s="247">
        <v>7566271</v>
      </c>
      <c r="E54" s="247" t="s">
        <v>1058</v>
      </c>
      <c r="F54" s="247">
        <v>2020</v>
      </c>
      <c r="G54" s="248" t="s">
        <v>1124</v>
      </c>
      <c r="H54" s="247" t="s">
        <v>1125</v>
      </c>
      <c r="J54" s="249" t="s">
        <v>1126</v>
      </c>
      <c r="K54" s="308">
        <v>21.35</v>
      </c>
      <c r="L54" s="308">
        <v>1.35</v>
      </c>
      <c r="M54" s="308">
        <v>20</v>
      </c>
      <c r="N54" s="308">
        <v>0</v>
      </c>
      <c r="O54" s="308">
        <v>0</v>
      </c>
      <c r="P54" s="247">
        <v>0</v>
      </c>
      <c r="Q54" s="247">
        <v>18</v>
      </c>
      <c r="R54" s="247">
        <v>0</v>
      </c>
      <c r="S54" s="247">
        <v>0</v>
      </c>
      <c r="T54" s="250">
        <v>0</v>
      </c>
    </row>
    <row r="55" spans="1:20" ht="15.75" x14ac:dyDescent="0.25">
      <c r="A55" s="247" t="s">
        <v>1147</v>
      </c>
      <c r="B55" s="247" t="s">
        <v>580</v>
      </c>
      <c r="C55" s="247" t="s">
        <v>1148</v>
      </c>
      <c r="D55" s="247">
        <v>7566271</v>
      </c>
      <c r="E55" s="247" t="s">
        <v>1149</v>
      </c>
      <c r="F55" s="247">
        <v>2020</v>
      </c>
      <c r="G55" s="248" t="s">
        <v>1124</v>
      </c>
      <c r="H55" s="247" t="s">
        <v>1125</v>
      </c>
      <c r="J55" s="249" t="s">
        <v>1126</v>
      </c>
      <c r="K55" s="308">
        <v>1.08</v>
      </c>
      <c r="L55" s="308">
        <v>0.08</v>
      </c>
      <c r="M55" s="308">
        <v>1</v>
      </c>
      <c r="N55" s="308">
        <v>0</v>
      </c>
      <c r="O55" s="308">
        <v>0</v>
      </c>
      <c r="P55" s="247">
        <v>0</v>
      </c>
      <c r="Q55" s="247">
        <v>60</v>
      </c>
      <c r="R55" s="247">
        <v>0</v>
      </c>
      <c r="S55" s="247">
        <v>0</v>
      </c>
      <c r="T55" s="250">
        <v>0</v>
      </c>
    </row>
    <row r="56" spans="1:20" ht="15.75" x14ac:dyDescent="0.25">
      <c r="A56" s="247" t="s">
        <v>1147</v>
      </c>
      <c r="B56" s="247" t="s">
        <v>580</v>
      </c>
      <c r="C56" s="247" t="s">
        <v>1150</v>
      </c>
      <c r="D56" s="247">
        <v>7566271</v>
      </c>
      <c r="E56" s="247" t="s">
        <v>1151</v>
      </c>
      <c r="F56" s="247">
        <v>2020</v>
      </c>
      <c r="G56" s="248" t="s">
        <v>1124</v>
      </c>
      <c r="H56" s="247" t="s">
        <v>1125</v>
      </c>
      <c r="J56" s="249" t="s">
        <v>1126</v>
      </c>
      <c r="K56" s="308">
        <v>2.27</v>
      </c>
      <c r="L56" s="308">
        <v>0.27</v>
      </c>
      <c r="M56" s="308">
        <v>2</v>
      </c>
      <c r="N56" s="308">
        <v>0</v>
      </c>
      <c r="O56" s="308">
        <v>0</v>
      </c>
      <c r="P56" s="247">
        <v>0</v>
      </c>
      <c r="Q56" s="247">
        <v>60</v>
      </c>
      <c r="R56" s="247">
        <v>0</v>
      </c>
      <c r="S56" s="247">
        <v>0</v>
      </c>
      <c r="T56" s="250">
        <v>0</v>
      </c>
    </row>
    <row r="57" spans="1:20" ht="15.75" x14ac:dyDescent="0.25">
      <c r="A57" s="247" t="s">
        <v>1147</v>
      </c>
      <c r="B57" s="247" t="s">
        <v>580</v>
      </c>
      <c r="C57" s="247" t="s">
        <v>1152</v>
      </c>
      <c r="D57" s="247">
        <v>7566271</v>
      </c>
      <c r="E57" s="247" t="s">
        <v>1061</v>
      </c>
      <c r="F57" s="247">
        <v>2020</v>
      </c>
      <c r="G57" s="248" t="s">
        <v>1124</v>
      </c>
      <c r="H57" s="247" t="s">
        <v>1125</v>
      </c>
      <c r="J57" s="249" t="s">
        <v>1126</v>
      </c>
      <c r="K57" s="308">
        <v>1.1000000000000001</v>
      </c>
      <c r="L57" s="308">
        <v>0.1</v>
      </c>
      <c r="M57" s="308">
        <v>1</v>
      </c>
      <c r="N57" s="308">
        <v>0</v>
      </c>
      <c r="O57" s="308">
        <v>0</v>
      </c>
      <c r="P57" s="247">
        <v>0</v>
      </c>
      <c r="Q57" s="247">
        <v>6</v>
      </c>
      <c r="R57" s="247">
        <v>0</v>
      </c>
      <c r="S57" s="247">
        <v>0</v>
      </c>
      <c r="T57" s="250">
        <v>0</v>
      </c>
    </row>
    <row r="58" spans="1:20" ht="15.75" x14ac:dyDescent="0.25">
      <c r="A58" s="247" t="s">
        <v>377</v>
      </c>
      <c r="B58" s="247" t="s">
        <v>550</v>
      </c>
      <c r="C58" s="247" t="s">
        <v>1129</v>
      </c>
      <c r="D58" s="247">
        <v>8902089</v>
      </c>
      <c r="E58" s="247" t="s">
        <v>1131</v>
      </c>
      <c r="F58" s="247">
        <v>2020</v>
      </c>
      <c r="G58" s="248" t="s">
        <v>1124</v>
      </c>
      <c r="H58" s="247" t="s">
        <v>1125</v>
      </c>
      <c r="J58" s="249" t="s">
        <v>1126</v>
      </c>
      <c r="K58" s="308">
        <v>5.3</v>
      </c>
      <c r="L58" s="308">
        <v>0.9</v>
      </c>
      <c r="M58" s="308">
        <v>4.4000000000000004</v>
      </c>
      <c r="N58" s="308">
        <v>0</v>
      </c>
      <c r="O58" s="308">
        <v>0</v>
      </c>
      <c r="P58" s="247">
        <v>0</v>
      </c>
      <c r="Q58" s="247">
        <v>5</v>
      </c>
      <c r="R58" s="247">
        <v>0</v>
      </c>
      <c r="S58" s="247">
        <v>0</v>
      </c>
      <c r="T58" s="250">
        <v>0</v>
      </c>
    </row>
    <row r="59" spans="1:20" ht="15.75" x14ac:dyDescent="0.25">
      <c r="A59" s="254" t="s">
        <v>710</v>
      </c>
      <c r="B59" s="254" t="s">
        <v>708</v>
      </c>
      <c r="C59" s="254" t="s">
        <v>1135</v>
      </c>
      <c r="D59" s="254" t="s">
        <v>1153</v>
      </c>
      <c r="E59" s="247" t="s">
        <v>1058</v>
      </c>
      <c r="F59" s="247">
        <v>2020</v>
      </c>
      <c r="G59" s="248" t="s">
        <v>1124</v>
      </c>
      <c r="H59" s="247" t="s">
        <v>1125</v>
      </c>
      <c r="J59" s="255" t="s">
        <v>1109</v>
      </c>
      <c r="K59" s="256">
        <v>1.1000000000000001</v>
      </c>
      <c r="L59" s="256">
        <v>0.1</v>
      </c>
      <c r="M59" s="256">
        <v>1</v>
      </c>
      <c r="N59" s="256">
        <v>0</v>
      </c>
      <c r="O59" s="256">
        <v>0</v>
      </c>
      <c r="P59" s="256">
        <v>0</v>
      </c>
      <c r="Q59" s="256">
        <v>25</v>
      </c>
      <c r="R59" s="256">
        <v>0</v>
      </c>
      <c r="S59" s="256">
        <v>0</v>
      </c>
      <c r="T59" s="256"/>
    </row>
    <row r="60" spans="1:20" ht="15.75" x14ac:dyDescent="0.25">
      <c r="A60" s="247" t="s">
        <v>386</v>
      </c>
      <c r="B60" s="247" t="s">
        <v>384</v>
      </c>
      <c r="C60" s="247" t="s">
        <v>1154</v>
      </c>
      <c r="D60" s="247">
        <v>1008575</v>
      </c>
      <c r="E60" s="247" t="s">
        <v>1134</v>
      </c>
      <c r="F60" s="247">
        <v>2020</v>
      </c>
      <c r="G60" s="248" t="s">
        <v>1155</v>
      </c>
      <c r="H60" s="247" t="s">
        <v>1156</v>
      </c>
      <c r="J60" s="249" t="s">
        <v>1098</v>
      </c>
      <c r="K60" s="308">
        <v>7</v>
      </c>
      <c r="L60" s="308">
        <v>1</v>
      </c>
      <c r="M60" s="308">
        <v>6</v>
      </c>
      <c r="N60" s="308">
        <v>0</v>
      </c>
      <c r="O60" s="308">
        <v>0</v>
      </c>
      <c r="P60" s="247">
        <v>0</v>
      </c>
      <c r="Q60" s="247">
        <v>188</v>
      </c>
      <c r="R60" s="247">
        <v>6</v>
      </c>
      <c r="S60" s="247">
        <v>0</v>
      </c>
      <c r="T60" s="250">
        <v>0</v>
      </c>
    </row>
    <row r="61" spans="1:20" ht="15.75" x14ac:dyDescent="0.25">
      <c r="A61" s="247" t="s">
        <v>620</v>
      </c>
      <c r="B61" s="247" t="s">
        <v>618</v>
      </c>
      <c r="C61" s="247" t="s">
        <v>1157</v>
      </c>
      <c r="D61" s="247">
        <v>1172890</v>
      </c>
      <c r="E61" s="247" t="s">
        <v>1151</v>
      </c>
      <c r="F61" s="247">
        <v>2020</v>
      </c>
      <c r="G61" s="248" t="s">
        <v>1155</v>
      </c>
      <c r="H61" s="247" t="s">
        <v>1156</v>
      </c>
      <c r="J61" s="249" t="s">
        <v>1158</v>
      </c>
      <c r="K61" s="308">
        <v>11.6</v>
      </c>
      <c r="L61" s="308">
        <v>1.7</v>
      </c>
      <c r="M61" s="308">
        <v>9.9</v>
      </c>
      <c r="N61" s="308">
        <v>0</v>
      </c>
      <c r="O61" s="308">
        <v>0</v>
      </c>
      <c r="P61" s="247">
        <v>0</v>
      </c>
      <c r="Q61" s="247">
        <v>115</v>
      </c>
      <c r="R61" s="247">
        <v>0</v>
      </c>
      <c r="S61" s="247">
        <v>0</v>
      </c>
      <c r="T61" s="250"/>
    </row>
    <row r="62" spans="1:20" ht="15.75" x14ac:dyDescent="0.25">
      <c r="A62" s="254" t="s">
        <v>620</v>
      </c>
      <c r="B62" s="254" t="s">
        <v>618</v>
      </c>
      <c r="C62" s="254" t="s">
        <v>1159</v>
      </c>
      <c r="D62" s="254">
        <v>1172890</v>
      </c>
      <c r="E62" s="247" t="s">
        <v>1160</v>
      </c>
      <c r="F62" s="247">
        <v>2020</v>
      </c>
      <c r="G62" s="248" t="s">
        <v>1155</v>
      </c>
      <c r="H62" s="247" t="s">
        <v>1156</v>
      </c>
      <c r="J62" s="255" t="s">
        <v>1161</v>
      </c>
      <c r="K62" s="256">
        <v>0.1</v>
      </c>
      <c r="L62" s="256">
        <v>0</v>
      </c>
      <c r="M62" s="256">
        <v>0.1</v>
      </c>
      <c r="N62" s="256">
        <v>0</v>
      </c>
      <c r="O62" s="256">
        <v>0</v>
      </c>
      <c r="P62" s="256">
        <v>0</v>
      </c>
      <c r="Q62" s="256">
        <v>5</v>
      </c>
      <c r="R62" s="256">
        <v>0</v>
      </c>
      <c r="S62" s="256">
        <v>0</v>
      </c>
      <c r="T62" s="256"/>
    </row>
    <row r="63" spans="1:20" ht="15.75" x14ac:dyDescent="0.25">
      <c r="A63" s="247" t="s">
        <v>1163</v>
      </c>
      <c r="B63" s="247" t="s">
        <v>947</v>
      </c>
      <c r="C63" s="247" t="s">
        <v>1162</v>
      </c>
      <c r="D63" s="247">
        <v>1225073</v>
      </c>
      <c r="E63" s="247" t="s">
        <v>1068</v>
      </c>
      <c r="F63" s="247">
        <v>2020</v>
      </c>
      <c r="G63" s="248" t="s">
        <v>1155</v>
      </c>
      <c r="H63" s="247" t="s">
        <v>1156</v>
      </c>
      <c r="J63" s="249" t="s">
        <v>1164</v>
      </c>
      <c r="K63" s="308">
        <v>16.34</v>
      </c>
      <c r="L63" s="308">
        <v>0.67</v>
      </c>
      <c r="M63" s="308">
        <v>15.67</v>
      </c>
      <c r="N63" s="308">
        <v>0</v>
      </c>
      <c r="O63" s="308">
        <v>0</v>
      </c>
      <c r="P63" s="247">
        <v>0</v>
      </c>
      <c r="Q63" s="247">
        <v>285</v>
      </c>
      <c r="R63" s="247">
        <v>0</v>
      </c>
      <c r="S63" s="247">
        <v>0</v>
      </c>
      <c r="T63" s="250">
        <v>0</v>
      </c>
    </row>
    <row r="64" spans="1:20" ht="15.75" x14ac:dyDescent="0.25">
      <c r="A64" s="247" t="s">
        <v>1166</v>
      </c>
      <c r="B64" s="247" t="s">
        <v>821</v>
      </c>
      <c r="C64" s="247" t="s">
        <v>1165</v>
      </c>
      <c r="D64" s="247">
        <v>1356155</v>
      </c>
      <c r="E64" s="247" t="s">
        <v>1167</v>
      </c>
      <c r="F64" s="247">
        <v>2020</v>
      </c>
      <c r="G64" s="248" t="s">
        <v>1155</v>
      </c>
      <c r="H64" s="247" t="s">
        <v>1156</v>
      </c>
      <c r="J64" s="249" t="s">
        <v>1126</v>
      </c>
      <c r="K64" s="308">
        <v>4</v>
      </c>
      <c r="L64" s="308">
        <v>1</v>
      </c>
      <c r="M64" s="308">
        <v>3</v>
      </c>
      <c r="N64" s="308">
        <v>0</v>
      </c>
      <c r="O64" s="308">
        <v>0</v>
      </c>
      <c r="P64" s="247">
        <v>0</v>
      </c>
      <c r="Q64" s="247">
        <v>35</v>
      </c>
      <c r="R64" s="247">
        <v>0</v>
      </c>
      <c r="S64" s="247">
        <v>0</v>
      </c>
      <c r="T64" s="250">
        <v>0</v>
      </c>
    </row>
    <row r="65" spans="1:20" ht="15.75" x14ac:dyDescent="0.25">
      <c r="A65" s="247" t="s">
        <v>1169</v>
      </c>
      <c r="B65" s="247" t="s">
        <v>652</v>
      </c>
      <c r="C65" s="247" t="s">
        <v>1168</v>
      </c>
      <c r="D65" s="247">
        <v>1514566</v>
      </c>
      <c r="E65" s="247" t="s">
        <v>1170</v>
      </c>
      <c r="F65" s="247">
        <v>2020</v>
      </c>
      <c r="G65" s="248" t="s">
        <v>1155</v>
      </c>
      <c r="H65" s="247" t="s">
        <v>1156</v>
      </c>
      <c r="J65" s="249" t="s">
        <v>1126</v>
      </c>
      <c r="K65" s="308">
        <v>5.5</v>
      </c>
      <c r="L65" s="308">
        <v>1.5</v>
      </c>
      <c r="M65" s="308">
        <v>4</v>
      </c>
      <c r="N65" s="308">
        <v>0</v>
      </c>
      <c r="O65" s="308">
        <v>0</v>
      </c>
      <c r="P65" s="247">
        <v>0</v>
      </c>
      <c r="Q65" s="247">
        <v>50</v>
      </c>
      <c r="R65" s="247">
        <v>0</v>
      </c>
      <c r="S65" s="247">
        <v>0</v>
      </c>
      <c r="T65" s="250">
        <v>0</v>
      </c>
    </row>
    <row r="66" spans="1:20" ht="15.75" x14ac:dyDescent="0.25">
      <c r="A66" s="247" t="s">
        <v>608</v>
      </c>
      <c r="B66" s="247" t="s">
        <v>606</v>
      </c>
      <c r="C66" s="247" t="s">
        <v>1171</v>
      </c>
      <c r="D66" s="247">
        <v>1647194</v>
      </c>
      <c r="E66" s="247" t="s">
        <v>1131</v>
      </c>
      <c r="F66" s="247">
        <v>2020</v>
      </c>
      <c r="G66" s="248" t="s">
        <v>1155</v>
      </c>
      <c r="H66" s="247" t="s">
        <v>1156</v>
      </c>
      <c r="J66" s="249" t="s">
        <v>1126</v>
      </c>
      <c r="K66" s="308">
        <v>5.2</v>
      </c>
      <c r="L66" s="308">
        <v>1</v>
      </c>
      <c r="M66" s="308">
        <v>4.2</v>
      </c>
      <c r="N66" s="308">
        <v>0</v>
      </c>
      <c r="O66" s="308">
        <v>0</v>
      </c>
      <c r="P66" s="247">
        <v>0</v>
      </c>
      <c r="Q66" s="247">
        <v>50</v>
      </c>
      <c r="R66" s="247">
        <v>0</v>
      </c>
      <c r="S66" s="247">
        <v>0</v>
      </c>
      <c r="T66" s="250">
        <v>0</v>
      </c>
    </row>
    <row r="67" spans="1:20" ht="15.75" x14ac:dyDescent="0.25">
      <c r="A67" s="247" t="s">
        <v>632</v>
      </c>
      <c r="B67" s="247" t="s">
        <v>630</v>
      </c>
      <c r="C67" s="247" t="s">
        <v>1172</v>
      </c>
      <c r="D67" s="247">
        <v>1671513</v>
      </c>
      <c r="E67" s="247" t="s">
        <v>1173</v>
      </c>
      <c r="F67" s="247">
        <v>2020</v>
      </c>
      <c r="G67" s="248" t="s">
        <v>1155</v>
      </c>
      <c r="H67" s="247" t="s">
        <v>1156</v>
      </c>
      <c r="J67" s="249" t="s">
        <v>1164</v>
      </c>
      <c r="K67" s="308">
        <v>2.1</v>
      </c>
      <c r="L67" s="308">
        <v>0.1</v>
      </c>
      <c r="M67" s="308">
        <v>2</v>
      </c>
      <c r="N67" s="308">
        <v>0</v>
      </c>
      <c r="O67" s="308">
        <v>0</v>
      </c>
      <c r="P67" s="247">
        <v>0</v>
      </c>
      <c r="Q67" s="247">
        <v>65</v>
      </c>
      <c r="R67" s="247">
        <v>0</v>
      </c>
      <c r="S67" s="247">
        <v>0</v>
      </c>
      <c r="T67" s="250">
        <v>0</v>
      </c>
    </row>
    <row r="68" spans="1:20" ht="15.75" x14ac:dyDescent="0.25">
      <c r="A68" s="247" t="s">
        <v>386</v>
      </c>
      <c r="B68" s="247" t="s">
        <v>1175</v>
      </c>
      <c r="C68" s="247" t="s">
        <v>1174</v>
      </c>
      <c r="D68" s="247">
        <v>1686476</v>
      </c>
      <c r="E68" s="247" t="s">
        <v>1058</v>
      </c>
      <c r="F68" s="247">
        <v>2020</v>
      </c>
      <c r="G68" s="248" t="s">
        <v>1155</v>
      </c>
      <c r="H68" s="247" t="s">
        <v>1156</v>
      </c>
      <c r="J68" s="249" t="s">
        <v>1098</v>
      </c>
      <c r="K68" s="308">
        <v>26</v>
      </c>
      <c r="L68" s="308">
        <v>2</v>
      </c>
      <c r="M68" s="308">
        <v>24</v>
      </c>
      <c r="N68" s="308">
        <v>0</v>
      </c>
      <c r="O68" s="308">
        <v>0</v>
      </c>
      <c r="P68" s="247">
        <v>0</v>
      </c>
      <c r="Q68" s="247">
        <v>305</v>
      </c>
      <c r="R68" s="247">
        <v>0</v>
      </c>
      <c r="S68" s="247">
        <v>0</v>
      </c>
      <c r="T68" s="250"/>
    </row>
    <row r="69" spans="1:20" ht="15.75" x14ac:dyDescent="0.25">
      <c r="A69" s="247" t="s">
        <v>1176</v>
      </c>
      <c r="B69" s="247" t="s">
        <v>1176</v>
      </c>
      <c r="C69" s="247" t="s">
        <v>1174</v>
      </c>
      <c r="D69" s="247">
        <v>1826777</v>
      </c>
      <c r="E69" s="247" t="s">
        <v>1058</v>
      </c>
      <c r="F69" s="247">
        <v>2020</v>
      </c>
      <c r="G69" s="248" t="s">
        <v>1155</v>
      </c>
      <c r="H69" s="247" t="s">
        <v>1156</v>
      </c>
      <c r="J69" s="249" t="s">
        <v>1177</v>
      </c>
      <c r="K69" s="308">
        <v>9</v>
      </c>
      <c r="L69" s="308">
        <v>1</v>
      </c>
      <c r="M69" s="308">
        <v>8</v>
      </c>
      <c r="N69" s="308">
        <v>0</v>
      </c>
      <c r="O69" s="308">
        <v>0</v>
      </c>
      <c r="P69" s="247">
        <v>0</v>
      </c>
      <c r="Q69" s="247">
        <v>20</v>
      </c>
      <c r="R69" s="247">
        <v>0</v>
      </c>
      <c r="S69" s="247">
        <v>0</v>
      </c>
      <c r="T69" s="250">
        <v>0</v>
      </c>
    </row>
    <row r="70" spans="1:20" ht="15.75" x14ac:dyDescent="0.25">
      <c r="A70" s="251" t="s">
        <v>1179</v>
      </c>
      <c r="B70" s="251" t="s">
        <v>760</v>
      </c>
      <c r="C70" s="251" t="s">
        <v>1178</v>
      </c>
      <c r="D70" s="251">
        <v>2028356</v>
      </c>
      <c r="E70" s="251" t="s">
        <v>1180</v>
      </c>
      <c r="F70" s="247">
        <v>2020</v>
      </c>
      <c r="G70" s="252" t="s">
        <v>1155</v>
      </c>
      <c r="H70" s="251" t="s">
        <v>1156</v>
      </c>
      <c r="J70" s="249" t="s">
        <v>1126</v>
      </c>
      <c r="K70" s="309">
        <v>10.25</v>
      </c>
      <c r="L70" s="309">
        <v>0.9</v>
      </c>
      <c r="M70" s="309">
        <v>9.35</v>
      </c>
      <c r="N70" s="309">
        <v>0</v>
      </c>
      <c r="O70" s="309">
        <v>0</v>
      </c>
      <c r="P70" s="251">
        <v>0</v>
      </c>
      <c r="Q70" s="251">
        <v>200</v>
      </c>
      <c r="R70" s="251">
        <v>0</v>
      </c>
      <c r="S70" s="251">
        <v>0</v>
      </c>
      <c r="T70" s="253">
        <v>0</v>
      </c>
    </row>
    <row r="71" spans="1:20" ht="15.75" x14ac:dyDescent="0.25">
      <c r="A71" s="247" t="s">
        <v>694</v>
      </c>
      <c r="B71" s="247" t="s">
        <v>694</v>
      </c>
      <c r="C71" s="247" t="s">
        <v>1171</v>
      </c>
      <c r="D71" s="247">
        <v>2540162</v>
      </c>
      <c r="E71" s="247" t="s">
        <v>1131</v>
      </c>
      <c r="F71" s="247">
        <v>2020</v>
      </c>
      <c r="G71" s="248" t="s">
        <v>1155</v>
      </c>
      <c r="H71" s="247" t="s">
        <v>1156</v>
      </c>
      <c r="J71" s="249" t="s">
        <v>1098</v>
      </c>
      <c r="K71" s="308">
        <v>1.1000000000000001</v>
      </c>
      <c r="L71" s="308">
        <v>0.2</v>
      </c>
      <c r="M71" s="308">
        <v>0.9</v>
      </c>
      <c r="N71" s="308">
        <v>0</v>
      </c>
      <c r="O71" s="308">
        <v>0</v>
      </c>
      <c r="P71" s="247">
        <v>0</v>
      </c>
      <c r="Q71" s="247">
        <v>50</v>
      </c>
      <c r="R71" s="247">
        <v>0</v>
      </c>
      <c r="S71" s="247">
        <v>0</v>
      </c>
      <c r="T71" s="250">
        <v>0</v>
      </c>
    </row>
    <row r="72" spans="1:20" ht="15.75" x14ac:dyDescent="0.25">
      <c r="A72" s="247" t="s">
        <v>694</v>
      </c>
      <c r="B72" s="247" t="s">
        <v>694</v>
      </c>
      <c r="C72" s="247" t="s">
        <v>1181</v>
      </c>
      <c r="D72" s="247">
        <v>2540162</v>
      </c>
      <c r="E72" s="247" t="s">
        <v>1149</v>
      </c>
      <c r="F72" s="247">
        <v>2020</v>
      </c>
      <c r="G72" s="248" t="s">
        <v>1155</v>
      </c>
      <c r="H72" s="247" t="s">
        <v>1156</v>
      </c>
      <c r="J72" s="249" t="s">
        <v>1098</v>
      </c>
      <c r="K72" s="308">
        <v>0.25</v>
      </c>
      <c r="L72" s="308">
        <v>0.05</v>
      </c>
      <c r="M72" s="308">
        <v>0.2</v>
      </c>
      <c r="N72" s="308">
        <v>0</v>
      </c>
      <c r="O72" s="308">
        <v>0</v>
      </c>
      <c r="P72" s="247">
        <v>0</v>
      </c>
      <c r="Q72" s="247">
        <v>70</v>
      </c>
      <c r="R72" s="247">
        <v>0</v>
      </c>
      <c r="S72" s="247">
        <v>0</v>
      </c>
      <c r="T72" s="250">
        <v>0</v>
      </c>
    </row>
    <row r="73" spans="1:20" ht="15.75" x14ac:dyDescent="0.25">
      <c r="A73" s="247" t="s">
        <v>694</v>
      </c>
      <c r="B73" s="247" t="s">
        <v>694</v>
      </c>
      <c r="C73" s="247" t="s">
        <v>1182</v>
      </c>
      <c r="D73" s="247">
        <v>2540162</v>
      </c>
      <c r="E73" s="247" t="s">
        <v>1183</v>
      </c>
      <c r="F73" s="247">
        <v>2020</v>
      </c>
      <c r="G73" s="248" t="s">
        <v>1155</v>
      </c>
      <c r="H73" s="247" t="s">
        <v>1156</v>
      </c>
      <c r="J73" s="249" t="s">
        <v>1098</v>
      </c>
      <c r="K73" s="308">
        <v>3.9</v>
      </c>
      <c r="L73" s="308">
        <v>0.7</v>
      </c>
      <c r="M73" s="308">
        <v>3.2</v>
      </c>
      <c r="N73" s="308">
        <v>0</v>
      </c>
      <c r="O73" s="308">
        <v>0</v>
      </c>
      <c r="P73" s="247">
        <v>0</v>
      </c>
      <c r="Q73" s="247">
        <v>70</v>
      </c>
      <c r="R73" s="247">
        <v>0</v>
      </c>
      <c r="S73" s="247">
        <v>0</v>
      </c>
      <c r="T73" s="250">
        <v>0</v>
      </c>
    </row>
    <row r="74" spans="1:20" ht="15.75" x14ac:dyDescent="0.25">
      <c r="A74" s="247" t="s">
        <v>694</v>
      </c>
      <c r="B74" s="247" t="s">
        <v>694</v>
      </c>
      <c r="C74" s="247" t="s">
        <v>1159</v>
      </c>
      <c r="D74" s="247">
        <v>2540162</v>
      </c>
      <c r="E74" s="247" t="s">
        <v>1160</v>
      </c>
      <c r="F74" s="247">
        <v>2020</v>
      </c>
      <c r="G74" s="248" t="s">
        <v>1155</v>
      </c>
      <c r="H74" s="247" t="s">
        <v>1156</v>
      </c>
      <c r="J74" s="249" t="s">
        <v>1098</v>
      </c>
      <c r="K74" s="308">
        <v>0.35</v>
      </c>
      <c r="L74" s="308">
        <v>0.05</v>
      </c>
      <c r="M74" s="308">
        <v>0.3</v>
      </c>
      <c r="N74" s="308">
        <v>0</v>
      </c>
      <c r="O74" s="308">
        <v>0</v>
      </c>
      <c r="P74" s="247">
        <v>0</v>
      </c>
      <c r="Q74" s="247">
        <v>70</v>
      </c>
      <c r="R74" s="247">
        <v>0</v>
      </c>
      <c r="S74" s="247">
        <v>0</v>
      </c>
      <c r="T74" s="250">
        <v>0</v>
      </c>
    </row>
    <row r="75" spans="1:20" ht="15.75" x14ac:dyDescent="0.25">
      <c r="A75" s="247" t="s">
        <v>546</v>
      </c>
      <c r="B75" s="247" t="s">
        <v>546</v>
      </c>
      <c r="C75" s="247" t="s">
        <v>1184</v>
      </c>
      <c r="D75" s="247">
        <v>2946425</v>
      </c>
      <c r="E75" s="247" t="s">
        <v>1185</v>
      </c>
      <c r="F75" s="247">
        <v>2020</v>
      </c>
      <c r="G75" s="248" t="s">
        <v>1155</v>
      </c>
      <c r="H75" s="247" t="s">
        <v>1156</v>
      </c>
      <c r="J75" s="249" t="s">
        <v>1126</v>
      </c>
      <c r="K75" s="308">
        <v>4.5</v>
      </c>
      <c r="L75" s="308">
        <v>0.5</v>
      </c>
      <c r="M75" s="308">
        <v>4</v>
      </c>
      <c r="N75" s="308">
        <v>0</v>
      </c>
      <c r="O75" s="308">
        <v>0</v>
      </c>
      <c r="P75" s="247">
        <v>0</v>
      </c>
      <c r="Q75" s="247">
        <v>80</v>
      </c>
      <c r="R75" s="247">
        <v>0</v>
      </c>
      <c r="S75" s="247">
        <v>0</v>
      </c>
      <c r="T75" s="250">
        <v>0</v>
      </c>
    </row>
    <row r="76" spans="1:20" ht="15.75" x14ac:dyDescent="0.25">
      <c r="A76" s="247" t="s">
        <v>386</v>
      </c>
      <c r="B76" s="247" t="s">
        <v>1003</v>
      </c>
      <c r="C76" s="247" t="s">
        <v>1186</v>
      </c>
      <c r="D76" s="247">
        <v>3095940</v>
      </c>
      <c r="E76" s="247" t="s">
        <v>1144</v>
      </c>
      <c r="F76" s="247">
        <v>2020</v>
      </c>
      <c r="G76" s="248" t="s">
        <v>1155</v>
      </c>
      <c r="H76" s="247" t="s">
        <v>1156</v>
      </c>
      <c r="J76" s="249" t="s">
        <v>1187</v>
      </c>
      <c r="K76" s="308">
        <v>8</v>
      </c>
      <c r="L76" s="308">
        <v>1</v>
      </c>
      <c r="M76" s="308">
        <v>7</v>
      </c>
      <c r="N76" s="308">
        <v>0</v>
      </c>
      <c r="O76" s="308">
        <v>0</v>
      </c>
      <c r="P76" s="247">
        <v>0</v>
      </c>
      <c r="Q76" s="247">
        <v>130</v>
      </c>
      <c r="R76" s="247">
        <v>0</v>
      </c>
      <c r="S76" s="247">
        <v>0</v>
      </c>
      <c r="T76" s="250">
        <v>0</v>
      </c>
    </row>
    <row r="77" spans="1:20" ht="15.75" x14ac:dyDescent="0.25">
      <c r="A77" s="247" t="s">
        <v>829</v>
      </c>
      <c r="B77" s="247" t="s">
        <v>826</v>
      </c>
      <c r="C77" s="247" t="s">
        <v>1184</v>
      </c>
      <c r="D77" s="247">
        <v>3110951</v>
      </c>
      <c r="E77" s="247" t="s">
        <v>1185</v>
      </c>
      <c r="F77" s="247">
        <v>2020</v>
      </c>
      <c r="G77" s="248" t="s">
        <v>1155</v>
      </c>
      <c r="H77" s="247" t="s">
        <v>1156</v>
      </c>
      <c r="J77" s="249" t="s">
        <v>1164</v>
      </c>
      <c r="K77" s="308">
        <v>0.27</v>
      </c>
      <c r="L77" s="308">
        <v>0.01</v>
      </c>
      <c r="M77" s="308">
        <v>0.26</v>
      </c>
      <c r="N77" s="308">
        <v>0</v>
      </c>
      <c r="O77" s="308">
        <v>0</v>
      </c>
      <c r="P77" s="247">
        <v>0</v>
      </c>
      <c r="Q77" s="247">
        <v>39</v>
      </c>
      <c r="R77" s="247">
        <v>0</v>
      </c>
      <c r="S77" s="247">
        <v>0</v>
      </c>
      <c r="T77" s="250">
        <v>0</v>
      </c>
    </row>
    <row r="78" spans="1:20" ht="15.75" x14ac:dyDescent="0.25">
      <c r="A78" s="247" t="s">
        <v>829</v>
      </c>
      <c r="B78" s="247" t="s">
        <v>826</v>
      </c>
      <c r="C78" s="247" t="s">
        <v>1188</v>
      </c>
      <c r="D78" s="247">
        <v>3110951</v>
      </c>
      <c r="E78" s="247" t="s">
        <v>1073</v>
      </c>
      <c r="F78" s="247">
        <v>2020</v>
      </c>
      <c r="G78" s="248" t="s">
        <v>1155</v>
      </c>
      <c r="H78" s="247" t="s">
        <v>1156</v>
      </c>
      <c r="J78" s="249" t="s">
        <v>1164</v>
      </c>
      <c r="K78" s="308">
        <v>4.03</v>
      </c>
      <c r="L78" s="308">
        <v>0.11</v>
      </c>
      <c r="M78" s="308">
        <v>3.92</v>
      </c>
      <c r="N78" s="308">
        <v>0</v>
      </c>
      <c r="O78" s="308">
        <v>0</v>
      </c>
      <c r="P78" s="247">
        <v>0</v>
      </c>
      <c r="Q78" s="247">
        <v>39</v>
      </c>
      <c r="R78" s="247">
        <v>0</v>
      </c>
      <c r="S78" s="247">
        <v>0</v>
      </c>
      <c r="T78" s="250">
        <v>0</v>
      </c>
    </row>
    <row r="79" spans="1:20" ht="15.75" x14ac:dyDescent="0.25">
      <c r="A79" s="247" t="s">
        <v>829</v>
      </c>
      <c r="B79" s="247" t="s">
        <v>826</v>
      </c>
      <c r="C79" s="247" t="s">
        <v>1189</v>
      </c>
      <c r="D79" s="247">
        <v>3110951</v>
      </c>
      <c r="E79" s="247" t="s">
        <v>1190</v>
      </c>
      <c r="F79" s="247">
        <v>2020</v>
      </c>
      <c r="G79" s="248" t="s">
        <v>1155</v>
      </c>
      <c r="H79" s="247" t="s">
        <v>1156</v>
      </c>
      <c r="J79" s="249" t="s">
        <v>1164</v>
      </c>
      <c r="K79" s="308">
        <v>2.2000000000000002</v>
      </c>
      <c r="L79" s="308">
        <v>0.08</v>
      </c>
      <c r="M79" s="308">
        <v>2.12</v>
      </c>
      <c r="N79" s="308">
        <v>0</v>
      </c>
      <c r="O79" s="308">
        <v>0</v>
      </c>
      <c r="P79" s="247">
        <v>0</v>
      </c>
      <c r="Q79" s="247">
        <v>39</v>
      </c>
      <c r="R79" s="247">
        <v>0</v>
      </c>
      <c r="S79" s="247">
        <v>0</v>
      </c>
      <c r="T79" s="250">
        <v>0</v>
      </c>
    </row>
    <row r="80" spans="1:20" ht="15.75" x14ac:dyDescent="0.25">
      <c r="A80" s="247" t="s">
        <v>386</v>
      </c>
      <c r="B80" s="247" t="s">
        <v>332</v>
      </c>
      <c r="C80" s="247" t="s">
        <v>1191</v>
      </c>
      <c r="D80" s="247">
        <v>3597628</v>
      </c>
      <c r="E80" s="247" t="s">
        <v>1192</v>
      </c>
      <c r="F80" s="247">
        <v>2020</v>
      </c>
      <c r="G80" s="248" t="s">
        <v>1155</v>
      </c>
      <c r="H80" s="247" t="s">
        <v>1156</v>
      </c>
      <c r="J80" s="249" t="s">
        <v>1177</v>
      </c>
      <c r="K80" s="308">
        <v>9</v>
      </c>
      <c r="L80" s="308">
        <v>1</v>
      </c>
      <c r="M80" s="308">
        <v>8</v>
      </c>
      <c r="N80" s="308">
        <v>0</v>
      </c>
      <c r="O80" s="308">
        <v>0</v>
      </c>
      <c r="P80" s="247">
        <v>0</v>
      </c>
      <c r="Q80" s="247">
        <v>70</v>
      </c>
      <c r="R80" s="247">
        <v>0</v>
      </c>
      <c r="S80" s="247">
        <v>0</v>
      </c>
      <c r="T80" s="250">
        <v>0</v>
      </c>
    </row>
    <row r="81" spans="1:20" ht="15.75" x14ac:dyDescent="0.25">
      <c r="A81" s="247" t="s">
        <v>676</v>
      </c>
      <c r="B81" s="247" t="s">
        <v>674</v>
      </c>
      <c r="C81" s="247" t="s">
        <v>1193</v>
      </c>
      <c r="D81" s="247">
        <v>3810187</v>
      </c>
      <c r="E81" s="247" t="s">
        <v>1128</v>
      </c>
      <c r="F81" s="247">
        <v>2020</v>
      </c>
      <c r="G81" s="248" t="s">
        <v>1155</v>
      </c>
      <c r="H81" s="247" t="s">
        <v>1156</v>
      </c>
      <c r="J81" s="249" t="s">
        <v>1126</v>
      </c>
      <c r="K81" s="308">
        <v>10</v>
      </c>
      <c r="L81" s="308">
        <v>1</v>
      </c>
      <c r="M81" s="308">
        <v>9</v>
      </c>
      <c r="N81" s="308">
        <v>0</v>
      </c>
      <c r="O81" s="308">
        <v>0</v>
      </c>
      <c r="P81" s="247">
        <v>0</v>
      </c>
      <c r="Q81" s="247">
        <v>132</v>
      </c>
      <c r="R81" s="247">
        <v>0</v>
      </c>
      <c r="S81" s="247">
        <v>0</v>
      </c>
      <c r="T81" s="250">
        <v>0</v>
      </c>
    </row>
    <row r="82" spans="1:20" ht="15.75" x14ac:dyDescent="0.25">
      <c r="A82" s="247" t="s">
        <v>962</v>
      </c>
      <c r="B82" s="247" t="s">
        <v>962</v>
      </c>
      <c r="C82" s="247" t="s">
        <v>1162</v>
      </c>
      <c r="D82" s="247">
        <v>3921078</v>
      </c>
      <c r="E82" s="247" t="s">
        <v>1068</v>
      </c>
      <c r="F82" s="247">
        <v>2020</v>
      </c>
      <c r="G82" s="248" t="s">
        <v>1155</v>
      </c>
      <c r="H82" s="247" t="s">
        <v>1156</v>
      </c>
      <c r="J82" s="249" t="s">
        <v>1126</v>
      </c>
      <c r="K82" s="308">
        <v>1.57</v>
      </c>
      <c r="L82" s="308">
        <v>0.1</v>
      </c>
      <c r="M82" s="308">
        <v>1.47</v>
      </c>
      <c r="N82" s="308">
        <v>0</v>
      </c>
      <c r="O82" s="308">
        <v>0</v>
      </c>
      <c r="P82" s="247">
        <v>0</v>
      </c>
      <c r="Q82" s="247">
        <v>0</v>
      </c>
      <c r="R82" s="247">
        <v>3</v>
      </c>
      <c r="S82" s="247">
        <v>0</v>
      </c>
      <c r="T82" s="250">
        <v>0</v>
      </c>
    </row>
    <row r="83" spans="1:20" ht="15.75" x14ac:dyDescent="0.25">
      <c r="A83" s="247" t="s">
        <v>864</v>
      </c>
      <c r="B83" s="247" t="s">
        <v>864</v>
      </c>
      <c r="C83" s="247" t="s">
        <v>1188</v>
      </c>
      <c r="D83" s="247">
        <v>4383860</v>
      </c>
      <c r="E83" s="247" t="s">
        <v>1073</v>
      </c>
      <c r="F83" s="247">
        <v>2020</v>
      </c>
      <c r="G83" s="248" t="s">
        <v>1155</v>
      </c>
      <c r="H83" s="247" t="s">
        <v>1156</v>
      </c>
      <c r="J83" s="249" t="s">
        <v>1187</v>
      </c>
      <c r="K83" s="308">
        <v>24</v>
      </c>
      <c r="L83" s="308">
        <v>2</v>
      </c>
      <c r="M83" s="308">
        <v>22</v>
      </c>
      <c r="N83" s="308">
        <v>0</v>
      </c>
      <c r="O83" s="308">
        <v>0</v>
      </c>
      <c r="P83" s="247">
        <v>0</v>
      </c>
      <c r="Q83" s="247">
        <v>350</v>
      </c>
      <c r="R83" s="247">
        <v>0</v>
      </c>
      <c r="S83" s="247">
        <v>0</v>
      </c>
      <c r="T83" s="250"/>
    </row>
    <row r="84" spans="1:20" ht="15.75" x14ac:dyDescent="0.25">
      <c r="A84" s="247" t="s">
        <v>942</v>
      </c>
      <c r="B84" s="247" t="s">
        <v>942</v>
      </c>
      <c r="C84" s="247" t="s">
        <v>1194</v>
      </c>
      <c r="D84" s="247">
        <v>4878719</v>
      </c>
      <c r="E84" s="247" t="s">
        <v>1142</v>
      </c>
      <c r="F84" s="247">
        <v>2020</v>
      </c>
      <c r="G84" s="248" t="s">
        <v>1155</v>
      </c>
      <c r="H84" s="247" t="s">
        <v>1156</v>
      </c>
      <c r="J84" s="249" t="s">
        <v>1126</v>
      </c>
      <c r="K84" s="308">
        <v>6.5</v>
      </c>
      <c r="L84" s="308">
        <v>0.5</v>
      </c>
      <c r="M84" s="308">
        <v>6</v>
      </c>
      <c r="N84" s="308">
        <v>0</v>
      </c>
      <c r="O84" s="308">
        <v>0</v>
      </c>
      <c r="P84" s="247">
        <v>0</v>
      </c>
      <c r="Q84" s="247">
        <v>120</v>
      </c>
      <c r="R84" s="247">
        <v>0</v>
      </c>
      <c r="S84" s="247">
        <v>0</v>
      </c>
      <c r="T84" s="250">
        <v>0</v>
      </c>
    </row>
    <row r="85" spans="1:20" ht="15.75" x14ac:dyDescent="0.25">
      <c r="A85" s="247" t="s">
        <v>657</v>
      </c>
      <c r="B85" s="247" t="s">
        <v>655</v>
      </c>
      <c r="C85" s="247" t="s">
        <v>1195</v>
      </c>
      <c r="D85" s="247">
        <v>4936413</v>
      </c>
      <c r="E85" s="247" t="s">
        <v>1196</v>
      </c>
      <c r="F85" s="247">
        <v>2020</v>
      </c>
      <c r="G85" s="248" t="s">
        <v>1155</v>
      </c>
      <c r="H85" s="247" t="s">
        <v>1156</v>
      </c>
      <c r="J85" s="249" t="s">
        <v>1098</v>
      </c>
      <c r="K85" s="308">
        <v>3.21</v>
      </c>
      <c r="L85" s="308">
        <v>0.9</v>
      </c>
      <c r="M85" s="308">
        <v>2.31</v>
      </c>
      <c r="N85" s="308">
        <v>0</v>
      </c>
      <c r="O85" s="308">
        <v>0</v>
      </c>
      <c r="P85" s="247">
        <v>0</v>
      </c>
      <c r="Q85" s="247">
        <v>37</v>
      </c>
      <c r="R85" s="247">
        <v>3</v>
      </c>
      <c r="S85" s="247">
        <v>0</v>
      </c>
      <c r="T85" s="250"/>
    </row>
    <row r="86" spans="1:20" ht="15.75" x14ac:dyDescent="0.25">
      <c r="A86" s="247" t="s">
        <v>1197</v>
      </c>
      <c r="B86" s="247" t="s">
        <v>636</v>
      </c>
      <c r="C86" s="247" t="s">
        <v>1194</v>
      </c>
      <c r="D86" s="247">
        <v>5141443</v>
      </c>
      <c r="E86" s="247" t="s">
        <v>1142</v>
      </c>
      <c r="F86" s="247">
        <v>2020</v>
      </c>
      <c r="G86" s="248" t="s">
        <v>1155</v>
      </c>
      <c r="H86" s="247" t="s">
        <v>1156</v>
      </c>
      <c r="J86" s="249" t="s">
        <v>1098</v>
      </c>
      <c r="K86" s="308">
        <v>1.2</v>
      </c>
      <c r="L86" s="308">
        <v>0.1</v>
      </c>
      <c r="M86" s="308">
        <v>1.1000000000000001</v>
      </c>
      <c r="N86" s="308">
        <v>0</v>
      </c>
      <c r="O86" s="308">
        <v>0</v>
      </c>
      <c r="P86" s="247">
        <v>0</v>
      </c>
      <c r="Q86" s="247">
        <v>25</v>
      </c>
      <c r="R86" s="247">
        <v>0</v>
      </c>
      <c r="S86" s="247">
        <v>0</v>
      </c>
      <c r="T86" s="250">
        <v>0</v>
      </c>
    </row>
    <row r="87" spans="1:20" ht="15.75" x14ac:dyDescent="0.25">
      <c r="A87" s="247" t="s">
        <v>977</v>
      </c>
      <c r="B87" s="247" t="s">
        <v>977</v>
      </c>
      <c r="C87" s="247" t="s">
        <v>1198</v>
      </c>
      <c r="D87" s="247">
        <v>5175408</v>
      </c>
      <c r="E87" s="247" t="s">
        <v>1199</v>
      </c>
      <c r="F87" s="247">
        <v>2020</v>
      </c>
      <c r="G87" s="248" t="s">
        <v>1155</v>
      </c>
      <c r="H87" s="247" t="s">
        <v>1156</v>
      </c>
      <c r="J87" s="249" t="s">
        <v>1126</v>
      </c>
      <c r="K87" s="308">
        <v>2</v>
      </c>
      <c r="L87" s="308">
        <v>0</v>
      </c>
      <c r="M87" s="308">
        <v>2</v>
      </c>
      <c r="N87" s="308">
        <v>0</v>
      </c>
      <c r="O87" s="308">
        <v>0</v>
      </c>
      <c r="P87" s="247">
        <v>0</v>
      </c>
      <c r="Q87" s="247">
        <v>70</v>
      </c>
      <c r="R87" s="247">
        <v>0</v>
      </c>
      <c r="S87" s="247">
        <v>0</v>
      </c>
      <c r="T87" s="250">
        <v>0</v>
      </c>
    </row>
    <row r="88" spans="1:20" ht="15.75" x14ac:dyDescent="0.25">
      <c r="A88" s="247" t="s">
        <v>670</v>
      </c>
      <c r="B88" s="247" t="s">
        <v>666</v>
      </c>
      <c r="C88" s="247" t="s">
        <v>1189</v>
      </c>
      <c r="D88" s="247">
        <v>5204562</v>
      </c>
      <c r="E88" s="247" t="s">
        <v>1190</v>
      </c>
      <c r="F88" s="247">
        <v>2020</v>
      </c>
      <c r="G88" s="248" t="s">
        <v>1155</v>
      </c>
      <c r="H88" s="247" t="s">
        <v>1156</v>
      </c>
      <c r="J88" s="249" t="s">
        <v>1126</v>
      </c>
      <c r="K88" s="308">
        <v>5.7</v>
      </c>
      <c r="L88" s="308">
        <v>0.7</v>
      </c>
      <c r="M88" s="308">
        <v>5</v>
      </c>
      <c r="N88" s="308">
        <v>0</v>
      </c>
      <c r="O88" s="308">
        <v>0</v>
      </c>
      <c r="P88" s="247">
        <v>0</v>
      </c>
      <c r="Q88" s="247">
        <v>160</v>
      </c>
      <c r="R88" s="247">
        <v>0</v>
      </c>
      <c r="S88" s="247">
        <v>0</v>
      </c>
      <c r="T88" s="250">
        <v>0</v>
      </c>
    </row>
    <row r="89" spans="1:20" ht="15.75" x14ac:dyDescent="0.25">
      <c r="A89" s="247" t="s">
        <v>1200</v>
      </c>
      <c r="B89" s="247" t="s">
        <v>776</v>
      </c>
      <c r="C89" s="247" t="s">
        <v>1174</v>
      </c>
      <c r="D89" s="247">
        <v>5376966</v>
      </c>
      <c r="E89" s="247" t="s">
        <v>1058</v>
      </c>
      <c r="F89" s="247">
        <v>2020</v>
      </c>
      <c r="G89" s="248" t="s">
        <v>1155</v>
      </c>
      <c r="H89" s="247" t="s">
        <v>1156</v>
      </c>
      <c r="J89" s="249" t="s">
        <v>1187</v>
      </c>
      <c r="K89" s="308">
        <v>21.3</v>
      </c>
      <c r="L89" s="308">
        <v>2.1</v>
      </c>
      <c r="M89" s="308">
        <v>19.2</v>
      </c>
      <c r="N89" s="308">
        <v>0</v>
      </c>
      <c r="O89" s="308">
        <v>0</v>
      </c>
      <c r="P89" s="247">
        <v>0</v>
      </c>
      <c r="Q89" s="247">
        <v>115</v>
      </c>
      <c r="R89" s="247">
        <v>0</v>
      </c>
      <c r="S89" s="247">
        <v>0</v>
      </c>
      <c r="T89" s="250">
        <v>0</v>
      </c>
    </row>
    <row r="90" spans="1:20" ht="15.75" x14ac:dyDescent="0.25">
      <c r="A90" s="247" t="s">
        <v>1200</v>
      </c>
      <c r="B90" s="247" t="s">
        <v>776</v>
      </c>
      <c r="C90" s="247" t="s">
        <v>1201</v>
      </c>
      <c r="D90" s="247">
        <v>5376966</v>
      </c>
      <c r="E90" s="247" t="s">
        <v>1202</v>
      </c>
      <c r="F90" s="247">
        <v>2020</v>
      </c>
      <c r="G90" s="248" t="s">
        <v>1155</v>
      </c>
      <c r="H90" s="247" t="s">
        <v>1156</v>
      </c>
      <c r="J90" s="249" t="s">
        <v>1164</v>
      </c>
      <c r="K90" s="308">
        <v>7.1</v>
      </c>
      <c r="L90" s="308">
        <v>0.9</v>
      </c>
      <c r="M90" s="308">
        <v>6.2</v>
      </c>
      <c r="N90" s="308">
        <v>0</v>
      </c>
      <c r="O90" s="308">
        <v>0</v>
      </c>
      <c r="P90" s="247">
        <v>0</v>
      </c>
      <c r="Q90" s="247">
        <v>115</v>
      </c>
      <c r="R90" s="247">
        <v>0</v>
      </c>
      <c r="S90" s="247">
        <v>0</v>
      </c>
      <c r="T90" s="250">
        <v>0</v>
      </c>
    </row>
    <row r="91" spans="1:20" ht="15.75" x14ac:dyDescent="0.25">
      <c r="A91" s="247" t="s">
        <v>1204</v>
      </c>
      <c r="B91" s="247" t="s">
        <v>812</v>
      </c>
      <c r="C91" s="247" t="s">
        <v>1203</v>
      </c>
      <c r="D91" s="247">
        <v>6161785</v>
      </c>
      <c r="E91" s="247" t="s">
        <v>1061</v>
      </c>
      <c r="F91" s="247">
        <v>2020</v>
      </c>
      <c r="G91" s="248" t="s">
        <v>1155</v>
      </c>
      <c r="H91" s="247" t="s">
        <v>1156</v>
      </c>
      <c r="J91" s="249" t="s">
        <v>1126</v>
      </c>
      <c r="K91" s="308">
        <v>5</v>
      </c>
      <c r="L91" s="308">
        <v>0.5</v>
      </c>
      <c r="M91" s="308">
        <v>4.5</v>
      </c>
      <c r="N91" s="308">
        <v>0</v>
      </c>
      <c r="O91" s="308">
        <v>0</v>
      </c>
      <c r="P91" s="247">
        <v>0</v>
      </c>
      <c r="Q91" s="247">
        <v>45</v>
      </c>
      <c r="R91" s="247">
        <v>0</v>
      </c>
      <c r="S91" s="247">
        <v>0</v>
      </c>
      <c r="T91" s="250">
        <v>0</v>
      </c>
    </row>
    <row r="92" spans="1:20" ht="15.75" x14ac:dyDescent="0.25">
      <c r="A92" s="247" t="s">
        <v>605</v>
      </c>
      <c r="B92" s="247" t="s">
        <v>602</v>
      </c>
      <c r="C92" s="247" t="s">
        <v>1205</v>
      </c>
      <c r="D92" s="247">
        <v>6181040</v>
      </c>
      <c r="E92" s="247" t="s">
        <v>1206</v>
      </c>
      <c r="F92" s="247">
        <v>2020</v>
      </c>
      <c r="G92" s="248" t="s">
        <v>1155</v>
      </c>
      <c r="H92" s="247" t="s">
        <v>1156</v>
      </c>
      <c r="J92" s="249" t="s">
        <v>1126</v>
      </c>
      <c r="K92" s="308">
        <v>2.35</v>
      </c>
      <c r="L92" s="308">
        <v>0.35</v>
      </c>
      <c r="M92" s="308">
        <v>2</v>
      </c>
      <c r="N92" s="308">
        <v>0</v>
      </c>
      <c r="O92" s="308">
        <v>0</v>
      </c>
      <c r="P92" s="247">
        <v>0</v>
      </c>
      <c r="Q92" s="247">
        <v>70</v>
      </c>
      <c r="R92" s="247">
        <v>0</v>
      </c>
      <c r="S92" s="247">
        <v>0</v>
      </c>
      <c r="T92" s="250">
        <v>0</v>
      </c>
    </row>
    <row r="93" spans="1:20" ht="15.75" x14ac:dyDescent="0.25">
      <c r="A93" s="247" t="s">
        <v>1208</v>
      </c>
      <c r="B93" s="247" t="s">
        <v>610</v>
      </c>
      <c r="C93" s="247" t="s">
        <v>1207</v>
      </c>
      <c r="D93" s="247">
        <v>6232669</v>
      </c>
      <c r="E93" s="247" t="s">
        <v>1209</v>
      </c>
      <c r="F93" s="247">
        <v>2020</v>
      </c>
      <c r="G93" s="248" t="s">
        <v>1155</v>
      </c>
      <c r="H93" s="247" t="s">
        <v>1156</v>
      </c>
      <c r="J93" s="249" t="s">
        <v>1126</v>
      </c>
      <c r="K93" s="308">
        <v>8</v>
      </c>
      <c r="L93" s="308">
        <v>1</v>
      </c>
      <c r="M93" s="308">
        <v>7</v>
      </c>
      <c r="N93" s="308">
        <v>0</v>
      </c>
      <c r="O93" s="308">
        <v>0</v>
      </c>
      <c r="P93" s="247">
        <v>0</v>
      </c>
      <c r="Q93" s="247">
        <v>70</v>
      </c>
      <c r="R93" s="247">
        <v>0</v>
      </c>
      <c r="S93" s="247">
        <v>0</v>
      </c>
      <c r="T93" s="250">
        <v>0</v>
      </c>
    </row>
    <row r="94" spans="1:20" ht="15.75" x14ac:dyDescent="0.25">
      <c r="A94" s="247" t="s">
        <v>1210</v>
      </c>
      <c r="B94" s="247" t="s">
        <v>613</v>
      </c>
      <c r="C94" s="247" t="s">
        <v>1181</v>
      </c>
      <c r="D94" s="247">
        <v>6428468</v>
      </c>
      <c r="E94" s="247" t="s">
        <v>1149</v>
      </c>
      <c r="F94" s="247">
        <v>2020</v>
      </c>
      <c r="G94" s="248" t="s">
        <v>1155</v>
      </c>
      <c r="H94" s="247" t="s">
        <v>1156</v>
      </c>
      <c r="J94" s="249" t="s">
        <v>1126</v>
      </c>
      <c r="K94" s="308">
        <v>11.5</v>
      </c>
      <c r="L94" s="308">
        <v>1.5</v>
      </c>
      <c r="M94" s="308">
        <v>10</v>
      </c>
      <c r="N94" s="308">
        <v>0</v>
      </c>
      <c r="O94" s="308">
        <v>0</v>
      </c>
      <c r="P94" s="247">
        <v>0</v>
      </c>
      <c r="Q94" s="247">
        <v>160</v>
      </c>
      <c r="R94" s="247">
        <v>0</v>
      </c>
      <c r="S94" s="247">
        <v>0</v>
      </c>
      <c r="T94" s="250">
        <v>0</v>
      </c>
    </row>
    <row r="95" spans="1:20" ht="15.75" x14ac:dyDescent="0.25">
      <c r="A95" s="247" t="s">
        <v>665</v>
      </c>
      <c r="B95" s="247" t="s">
        <v>663</v>
      </c>
      <c r="C95" s="247" t="s">
        <v>1172</v>
      </c>
      <c r="D95" s="247">
        <v>6697882</v>
      </c>
      <c r="E95" s="247" t="s">
        <v>1173</v>
      </c>
      <c r="F95" s="247">
        <v>2020</v>
      </c>
      <c r="G95" s="248" t="s">
        <v>1155</v>
      </c>
      <c r="H95" s="247" t="s">
        <v>1156</v>
      </c>
      <c r="J95" s="249" t="s">
        <v>1177</v>
      </c>
      <c r="K95" s="308">
        <v>1.7</v>
      </c>
      <c r="L95" s="308">
        <v>0.2</v>
      </c>
      <c r="M95" s="308">
        <v>1.5</v>
      </c>
      <c r="N95" s="308">
        <v>0</v>
      </c>
      <c r="O95" s="308">
        <v>0</v>
      </c>
      <c r="P95" s="247">
        <v>0</v>
      </c>
      <c r="Q95" s="247">
        <v>50</v>
      </c>
      <c r="R95" s="247">
        <v>0</v>
      </c>
      <c r="S95" s="247">
        <v>0</v>
      </c>
      <c r="T95" s="250">
        <v>0</v>
      </c>
    </row>
    <row r="96" spans="1:20" ht="15.75" x14ac:dyDescent="0.25">
      <c r="A96" s="247" t="s">
        <v>1212</v>
      </c>
      <c r="B96" s="247" t="s">
        <v>1213</v>
      </c>
      <c r="C96" s="247" t="s">
        <v>1211</v>
      </c>
      <c r="D96" s="247">
        <v>7201840</v>
      </c>
      <c r="E96" s="247" t="s">
        <v>1063</v>
      </c>
      <c r="F96" s="247">
        <v>2020</v>
      </c>
      <c r="G96" s="248" t="s">
        <v>1155</v>
      </c>
      <c r="H96" s="247" t="s">
        <v>1156</v>
      </c>
      <c r="J96" s="249" t="s">
        <v>1164</v>
      </c>
      <c r="K96" s="308">
        <v>30.25</v>
      </c>
      <c r="L96" s="308">
        <v>1.5</v>
      </c>
      <c r="M96" s="308">
        <v>28.75</v>
      </c>
      <c r="N96" s="308">
        <v>0</v>
      </c>
      <c r="O96" s="308">
        <v>0</v>
      </c>
      <c r="P96" s="247">
        <v>0</v>
      </c>
      <c r="Q96" s="247">
        <v>370</v>
      </c>
      <c r="R96" s="247">
        <v>0</v>
      </c>
      <c r="S96" s="247">
        <v>0</v>
      </c>
      <c r="T96" s="250">
        <v>0</v>
      </c>
    </row>
    <row r="97" spans="1:20" ht="15.75" x14ac:dyDescent="0.25">
      <c r="A97" s="247" t="s">
        <v>386</v>
      </c>
      <c r="B97" s="247" t="s">
        <v>678</v>
      </c>
      <c r="C97" s="247" t="s">
        <v>1203</v>
      </c>
      <c r="D97" s="247">
        <v>7259548</v>
      </c>
      <c r="E97" s="247" t="s">
        <v>1061</v>
      </c>
      <c r="F97" s="247">
        <v>2020</v>
      </c>
      <c r="G97" s="248" t="s">
        <v>1155</v>
      </c>
      <c r="H97" s="247" t="s">
        <v>1156</v>
      </c>
      <c r="J97" s="249" t="s">
        <v>1164</v>
      </c>
      <c r="K97" s="308">
        <v>16</v>
      </c>
      <c r="L97" s="308">
        <v>1</v>
      </c>
      <c r="M97" s="308">
        <v>15</v>
      </c>
      <c r="N97" s="308">
        <v>0</v>
      </c>
      <c r="O97" s="308">
        <v>0</v>
      </c>
      <c r="P97" s="247">
        <v>0</v>
      </c>
      <c r="Q97" s="247">
        <v>260</v>
      </c>
      <c r="R97" s="247">
        <v>0</v>
      </c>
      <c r="S97" s="247">
        <v>0</v>
      </c>
      <c r="T97" s="250">
        <v>0</v>
      </c>
    </row>
    <row r="98" spans="1:20" ht="15.75" x14ac:dyDescent="0.25">
      <c r="A98" s="247" t="s">
        <v>576</v>
      </c>
      <c r="B98" s="247" t="s">
        <v>576</v>
      </c>
      <c r="C98" s="247" t="s">
        <v>1159</v>
      </c>
      <c r="D98" s="247">
        <v>7399132</v>
      </c>
      <c r="E98" s="247" t="s">
        <v>1160</v>
      </c>
      <c r="F98" s="247">
        <v>2020</v>
      </c>
      <c r="G98" s="248" t="s">
        <v>1155</v>
      </c>
      <c r="H98" s="247" t="s">
        <v>1156</v>
      </c>
      <c r="J98" s="249" t="s">
        <v>1126</v>
      </c>
      <c r="K98" s="308">
        <v>8</v>
      </c>
      <c r="L98" s="308">
        <v>1</v>
      </c>
      <c r="M98" s="308">
        <v>7</v>
      </c>
      <c r="N98" s="308">
        <v>0</v>
      </c>
      <c r="O98" s="308">
        <v>0</v>
      </c>
      <c r="P98" s="247">
        <v>0</v>
      </c>
      <c r="Q98" s="247">
        <v>110</v>
      </c>
      <c r="R98" s="247">
        <v>0</v>
      </c>
      <c r="S98" s="247">
        <v>0</v>
      </c>
      <c r="T98" s="250"/>
    </row>
    <row r="99" spans="1:20" ht="15.75" x14ac:dyDescent="0.25">
      <c r="A99" s="247" t="s">
        <v>386</v>
      </c>
      <c r="B99" s="247" t="s">
        <v>626</v>
      </c>
      <c r="C99" s="247" t="s">
        <v>1214</v>
      </c>
      <c r="D99" s="247">
        <v>7702105</v>
      </c>
      <c r="E99" s="247" t="s">
        <v>1215</v>
      </c>
      <c r="F99" s="247">
        <v>2020</v>
      </c>
      <c r="G99" s="248" t="s">
        <v>1155</v>
      </c>
      <c r="H99" s="247" t="s">
        <v>1156</v>
      </c>
      <c r="J99" s="249" t="s">
        <v>1126</v>
      </c>
      <c r="K99" s="308">
        <v>4.9000000000000004</v>
      </c>
      <c r="L99" s="308">
        <v>0.9</v>
      </c>
      <c r="M99" s="308">
        <v>4</v>
      </c>
      <c r="N99" s="308">
        <v>0</v>
      </c>
      <c r="O99" s="308">
        <v>0</v>
      </c>
      <c r="P99" s="247">
        <v>0</v>
      </c>
      <c r="Q99" s="247">
        <v>50</v>
      </c>
      <c r="R99" s="247">
        <v>0</v>
      </c>
      <c r="S99" s="247">
        <v>0</v>
      </c>
      <c r="T99" s="250">
        <v>0</v>
      </c>
    </row>
    <row r="100" spans="1:20" ht="15.75" x14ac:dyDescent="0.25">
      <c r="A100" s="251" t="s">
        <v>772</v>
      </c>
      <c r="B100" s="251" t="s">
        <v>760</v>
      </c>
      <c r="C100" s="251" t="s">
        <v>1216</v>
      </c>
      <c r="D100" s="251">
        <v>7741294</v>
      </c>
      <c r="E100" s="251" t="s">
        <v>1217</v>
      </c>
      <c r="F100" s="247">
        <v>2020</v>
      </c>
      <c r="G100" s="252" t="s">
        <v>1155</v>
      </c>
      <c r="H100" s="251" t="s">
        <v>1156</v>
      </c>
      <c r="J100" s="249" t="s">
        <v>1164</v>
      </c>
      <c r="K100" s="309">
        <v>4</v>
      </c>
      <c r="L100" s="309">
        <v>1</v>
      </c>
      <c r="M100" s="309">
        <v>3</v>
      </c>
      <c r="N100" s="309">
        <v>0</v>
      </c>
      <c r="O100" s="309">
        <v>0</v>
      </c>
      <c r="P100" s="251">
        <v>0</v>
      </c>
      <c r="Q100" s="251">
        <v>125</v>
      </c>
      <c r="R100" s="251">
        <v>0</v>
      </c>
      <c r="S100" s="251">
        <v>0</v>
      </c>
      <c r="T100" s="253">
        <v>0</v>
      </c>
    </row>
    <row r="101" spans="1:20" ht="15.75" x14ac:dyDescent="0.25">
      <c r="A101" s="247" t="s">
        <v>386</v>
      </c>
      <c r="B101" s="247" t="s">
        <v>661</v>
      </c>
      <c r="C101" s="247" t="s">
        <v>1189</v>
      </c>
      <c r="D101" s="247">
        <v>8522302</v>
      </c>
      <c r="E101" s="247" t="s">
        <v>1190</v>
      </c>
      <c r="F101" s="247">
        <v>2020</v>
      </c>
      <c r="G101" s="248" t="s">
        <v>1155</v>
      </c>
      <c r="H101" s="247" t="s">
        <v>1156</v>
      </c>
      <c r="J101" s="249" t="s">
        <v>1164</v>
      </c>
      <c r="K101" s="308">
        <v>2</v>
      </c>
      <c r="L101" s="308">
        <v>0</v>
      </c>
      <c r="M101" s="308">
        <v>2</v>
      </c>
      <c r="N101" s="308">
        <v>0</v>
      </c>
      <c r="O101" s="308">
        <v>0</v>
      </c>
      <c r="P101" s="247">
        <v>0</v>
      </c>
      <c r="Q101" s="247">
        <v>60</v>
      </c>
      <c r="R101" s="247">
        <v>0</v>
      </c>
      <c r="S101" s="247">
        <v>0</v>
      </c>
      <c r="T101" s="250">
        <v>0</v>
      </c>
    </row>
    <row r="102" spans="1:20" ht="15.75" x14ac:dyDescent="0.25">
      <c r="A102" s="247" t="s">
        <v>1219</v>
      </c>
      <c r="B102" s="247" t="s">
        <v>753</v>
      </c>
      <c r="C102" s="247" t="s">
        <v>1218</v>
      </c>
      <c r="D102" s="247">
        <v>9097155</v>
      </c>
      <c r="E102" s="247" t="s">
        <v>1220</v>
      </c>
      <c r="F102" s="247">
        <v>2020</v>
      </c>
      <c r="G102" s="248" t="s">
        <v>1155</v>
      </c>
      <c r="H102" s="247" t="s">
        <v>1156</v>
      </c>
      <c r="J102" s="249" t="s">
        <v>1126</v>
      </c>
      <c r="K102" s="308">
        <v>8.9</v>
      </c>
      <c r="L102" s="308">
        <v>1.1499999999999999</v>
      </c>
      <c r="M102" s="308">
        <v>7.75</v>
      </c>
      <c r="N102" s="308">
        <v>0</v>
      </c>
      <c r="O102" s="308">
        <v>0</v>
      </c>
      <c r="P102" s="247">
        <v>0</v>
      </c>
      <c r="Q102" s="247">
        <v>85</v>
      </c>
      <c r="R102" s="247">
        <v>0</v>
      </c>
      <c r="S102" s="247">
        <v>0</v>
      </c>
      <c r="T102" s="250">
        <v>0</v>
      </c>
    </row>
    <row r="103" spans="1:20" ht="15.75" x14ac:dyDescent="0.25">
      <c r="A103" s="247" t="s">
        <v>750</v>
      </c>
      <c r="B103" s="247" t="s">
        <v>748</v>
      </c>
      <c r="C103" s="247" t="s">
        <v>1211</v>
      </c>
      <c r="D103" s="247">
        <v>9196018</v>
      </c>
      <c r="E103" s="247" t="s">
        <v>1063</v>
      </c>
      <c r="F103" s="247">
        <v>2020</v>
      </c>
      <c r="G103" s="248" t="s">
        <v>1155</v>
      </c>
      <c r="H103" s="247" t="s">
        <v>1156</v>
      </c>
      <c r="J103" s="249" t="s">
        <v>1126</v>
      </c>
      <c r="K103" s="308">
        <v>3.8439999999999999</v>
      </c>
      <c r="L103" s="308">
        <v>9.4E-2</v>
      </c>
      <c r="M103" s="308">
        <v>3.75</v>
      </c>
      <c r="N103" s="308">
        <v>0</v>
      </c>
      <c r="O103" s="308">
        <v>0</v>
      </c>
      <c r="P103" s="247">
        <v>0</v>
      </c>
      <c r="Q103" s="247">
        <v>60</v>
      </c>
      <c r="R103" s="247">
        <v>0</v>
      </c>
      <c r="S103" s="247">
        <v>0</v>
      </c>
      <c r="T103" s="250">
        <v>0</v>
      </c>
    </row>
    <row r="104" spans="1:20" ht="15.75" x14ac:dyDescent="0.25">
      <c r="A104" s="247" t="s">
        <v>1222</v>
      </c>
      <c r="B104" s="247" t="s">
        <v>531</v>
      </c>
      <c r="C104" s="247" t="s">
        <v>1221</v>
      </c>
      <c r="D104" s="247">
        <v>9199716</v>
      </c>
      <c r="E104" s="247" t="s">
        <v>1223</v>
      </c>
      <c r="F104" s="247">
        <v>2020</v>
      </c>
      <c r="G104" s="248" t="s">
        <v>1155</v>
      </c>
      <c r="H104" s="247" t="s">
        <v>1156</v>
      </c>
      <c r="J104" s="249" t="s">
        <v>1126</v>
      </c>
      <c r="K104" s="308">
        <v>7.48</v>
      </c>
      <c r="L104" s="308">
        <v>0.375</v>
      </c>
      <c r="M104" s="308">
        <v>7.1</v>
      </c>
      <c r="N104" s="308">
        <v>0</v>
      </c>
      <c r="O104" s="308">
        <v>0</v>
      </c>
      <c r="P104" s="247">
        <v>0</v>
      </c>
      <c r="Q104" s="247">
        <v>80</v>
      </c>
      <c r="R104" s="247">
        <v>0</v>
      </c>
      <c r="S104" s="247">
        <v>0</v>
      </c>
      <c r="T104" s="250">
        <v>0</v>
      </c>
    </row>
    <row r="105" spans="1:20" ht="15.75" x14ac:dyDescent="0.25">
      <c r="A105" s="247" t="s">
        <v>940</v>
      </c>
      <c r="B105" s="247" t="s">
        <v>940</v>
      </c>
      <c r="C105" s="247" t="s">
        <v>1193</v>
      </c>
      <c r="D105" s="247">
        <v>9478716</v>
      </c>
      <c r="E105" s="247" t="s">
        <v>1128</v>
      </c>
      <c r="F105" s="247">
        <v>2020</v>
      </c>
      <c r="G105" s="248" t="s">
        <v>1155</v>
      </c>
      <c r="H105" s="247" t="s">
        <v>1156</v>
      </c>
      <c r="J105" s="249" t="s">
        <v>1126</v>
      </c>
      <c r="K105" s="308">
        <v>0.54</v>
      </c>
      <c r="L105" s="308">
        <v>0.04</v>
      </c>
      <c r="M105" s="308">
        <v>0.5</v>
      </c>
      <c r="N105" s="308">
        <v>0</v>
      </c>
      <c r="O105" s="308">
        <v>0</v>
      </c>
      <c r="P105" s="247">
        <v>0</v>
      </c>
      <c r="Q105" s="247">
        <v>30</v>
      </c>
      <c r="R105" s="247">
        <v>0</v>
      </c>
      <c r="S105" s="247">
        <v>0</v>
      </c>
      <c r="T105" s="250">
        <v>0</v>
      </c>
    </row>
    <row r="106" spans="1:20" ht="15.75" x14ac:dyDescent="0.25">
      <c r="A106" s="247" t="s">
        <v>792</v>
      </c>
      <c r="B106" s="247" t="s">
        <v>805</v>
      </c>
      <c r="C106" s="247" t="s">
        <v>1162</v>
      </c>
      <c r="D106" s="247">
        <v>9554713</v>
      </c>
      <c r="E106" s="247" t="s">
        <v>1068</v>
      </c>
      <c r="F106" s="247">
        <v>2020</v>
      </c>
      <c r="G106" s="248" t="s">
        <v>1155</v>
      </c>
      <c r="H106" s="247" t="s">
        <v>1156</v>
      </c>
      <c r="J106" s="249" t="s">
        <v>1177</v>
      </c>
      <c r="K106" s="308">
        <v>2</v>
      </c>
      <c r="L106" s="308">
        <v>0.5</v>
      </c>
      <c r="M106" s="308">
        <v>1.5</v>
      </c>
      <c r="N106" s="308">
        <v>0</v>
      </c>
      <c r="O106" s="308">
        <v>0</v>
      </c>
      <c r="P106" s="247">
        <v>0</v>
      </c>
      <c r="Q106" s="247">
        <v>90</v>
      </c>
      <c r="R106" s="247">
        <v>0</v>
      </c>
      <c r="S106" s="247">
        <v>0</v>
      </c>
      <c r="T106" s="250">
        <v>0</v>
      </c>
    </row>
    <row r="107" spans="1:20" ht="15.75" x14ac:dyDescent="0.25">
      <c r="A107" s="247" t="s">
        <v>792</v>
      </c>
      <c r="B107" s="247" t="s">
        <v>805</v>
      </c>
      <c r="C107" s="247" t="s">
        <v>1224</v>
      </c>
      <c r="D107" s="247">
        <v>9554713</v>
      </c>
      <c r="E107" s="247" t="s">
        <v>1225</v>
      </c>
      <c r="F107" s="247">
        <v>2020</v>
      </c>
      <c r="G107" s="248" t="s">
        <v>1155</v>
      </c>
      <c r="H107" s="247" t="s">
        <v>1156</v>
      </c>
      <c r="J107" s="249" t="s">
        <v>1126</v>
      </c>
      <c r="K107" s="308">
        <v>12</v>
      </c>
      <c r="L107" s="308">
        <v>1</v>
      </c>
      <c r="M107" s="308">
        <v>11</v>
      </c>
      <c r="N107" s="308">
        <v>0</v>
      </c>
      <c r="O107" s="308">
        <v>0</v>
      </c>
      <c r="P107" s="247">
        <v>0</v>
      </c>
      <c r="Q107" s="247">
        <v>105</v>
      </c>
      <c r="R107" s="247">
        <v>0</v>
      </c>
      <c r="S107" s="247">
        <v>0</v>
      </c>
      <c r="T107" s="250">
        <v>0</v>
      </c>
    </row>
    <row r="108" spans="1:20" ht="15.75" x14ac:dyDescent="0.25">
      <c r="A108" s="247" t="s">
        <v>868</v>
      </c>
      <c r="B108" s="247" t="s">
        <v>868</v>
      </c>
      <c r="C108" s="247" t="s">
        <v>1226</v>
      </c>
      <c r="D108" s="247">
        <v>9583114</v>
      </c>
      <c r="E108" s="247" t="s">
        <v>1227</v>
      </c>
      <c r="F108" s="247">
        <v>2020</v>
      </c>
      <c r="G108" s="248" t="s">
        <v>1155</v>
      </c>
      <c r="H108" s="247" t="s">
        <v>1156</v>
      </c>
      <c r="J108" s="249" t="s">
        <v>1098</v>
      </c>
      <c r="K108" s="308">
        <v>2.6</v>
      </c>
      <c r="L108" s="308">
        <v>0.1</v>
      </c>
      <c r="M108" s="308">
        <v>2.5</v>
      </c>
      <c r="N108" s="308">
        <v>0</v>
      </c>
      <c r="O108" s="308">
        <v>0</v>
      </c>
      <c r="P108" s="247">
        <v>0</v>
      </c>
      <c r="Q108" s="247">
        <v>90</v>
      </c>
      <c r="R108" s="247">
        <v>0</v>
      </c>
      <c r="S108" s="247">
        <v>0</v>
      </c>
      <c r="T108" s="250">
        <v>0</v>
      </c>
    </row>
    <row r="109" spans="1:20" ht="15.75" x14ac:dyDescent="0.25">
      <c r="A109" s="247" t="s">
        <v>386</v>
      </c>
      <c r="B109" s="247" t="s">
        <v>671</v>
      </c>
      <c r="C109" s="247" t="s">
        <v>1228</v>
      </c>
      <c r="D109" s="247">
        <v>9666094</v>
      </c>
      <c r="E109" s="247" t="s">
        <v>1229</v>
      </c>
      <c r="F109" s="247">
        <v>2020</v>
      </c>
      <c r="G109" s="248" t="s">
        <v>1155</v>
      </c>
      <c r="H109" s="247" t="s">
        <v>1156</v>
      </c>
      <c r="J109" s="249" t="s">
        <v>1126</v>
      </c>
      <c r="K109" s="308">
        <v>7</v>
      </c>
      <c r="L109" s="308">
        <v>1</v>
      </c>
      <c r="M109" s="308">
        <v>6</v>
      </c>
      <c r="N109" s="308">
        <v>0</v>
      </c>
      <c r="O109" s="308">
        <v>0</v>
      </c>
      <c r="P109" s="247">
        <v>0</v>
      </c>
      <c r="Q109" s="247">
        <v>80</v>
      </c>
      <c r="R109" s="247">
        <v>0</v>
      </c>
      <c r="S109" s="247">
        <v>0</v>
      </c>
      <c r="T109" s="250">
        <v>0</v>
      </c>
    </row>
    <row r="110" spans="1:20" ht="15.75" x14ac:dyDescent="0.25">
      <c r="A110" s="247" t="s">
        <v>386</v>
      </c>
      <c r="B110" s="247" t="s">
        <v>312</v>
      </c>
      <c r="C110" s="247" t="s">
        <v>1174</v>
      </c>
      <c r="D110" s="247">
        <v>9735411</v>
      </c>
      <c r="E110" s="247" t="s">
        <v>1058</v>
      </c>
      <c r="F110" s="247">
        <v>2020</v>
      </c>
      <c r="G110" s="248" t="s">
        <v>1155</v>
      </c>
      <c r="H110" s="247" t="s">
        <v>1156</v>
      </c>
      <c r="J110" s="249" t="s">
        <v>1187</v>
      </c>
      <c r="K110" s="308">
        <v>31.15</v>
      </c>
      <c r="L110" s="308">
        <v>1.9</v>
      </c>
      <c r="M110" s="308">
        <v>29.25</v>
      </c>
      <c r="N110" s="308">
        <v>0</v>
      </c>
      <c r="O110" s="308">
        <v>0</v>
      </c>
      <c r="P110" s="247">
        <v>0</v>
      </c>
      <c r="Q110" s="247">
        <v>220</v>
      </c>
      <c r="R110" s="247">
        <v>0</v>
      </c>
      <c r="S110" s="247">
        <v>0</v>
      </c>
      <c r="T110" s="250">
        <v>0</v>
      </c>
    </row>
    <row r="111" spans="1:20" ht="15.75" x14ac:dyDescent="0.25">
      <c r="A111" s="247" t="s">
        <v>857</v>
      </c>
      <c r="B111" s="247" t="s">
        <v>857</v>
      </c>
      <c r="C111" s="247" t="s">
        <v>1154</v>
      </c>
      <c r="D111" s="247">
        <v>9924639</v>
      </c>
      <c r="E111" s="247" t="s">
        <v>1134</v>
      </c>
      <c r="F111" s="247">
        <v>2020</v>
      </c>
      <c r="G111" s="248" t="s">
        <v>1155</v>
      </c>
      <c r="H111" s="247" t="s">
        <v>1156</v>
      </c>
      <c r="J111" s="249" t="s">
        <v>1164</v>
      </c>
      <c r="K111" s="308">
        <v>16.38</v>
      </c>
      <c r="L111" s="308">
        <v>1.38</v>
      </c>
      <c r="M111" s="308">
        <v>15</v>
      </c>
      <c r="N111" s="308">
        <v>0</v>
      </c>
      <c r="O111" s="308">
        <v>0</v>
      </c>
      <c r="P111" s="247">
        <v>0</v>
      </c>
      <c r="Q111" s="247">
        <v>190</v>
      </c>
      <c r="R111" s="247">
        <v>11</v>
      </c>
      <c r="S111" s="247">
        <v>0</v>
      </c>
      <c r="T111" s="250"/>
    </row>
    <row r="112" spans="1:20" ht="15.75" x14ac:dyDescent="0.25">
      <c r="A112" s="247" t="s">
        <v>386</v>
      </c>
      <c r="B112" s="247" t="s">
        <v>682</v>
      </c>
      <c r="C112" s="247" t="s">
        <v>1230</v>
      </c>
      <c r="D112" s="247">
        <v>9940787</v>
      </c>
      <c r="E112" s="247" t="s">
        <v>1138</v>
      </c>
      <c r="F112" s="247">
        <v>2020</v>
      </c>
      <c r="G112" s="248" t="s">
        <v>1155</v>
      </c>
      <c r="H112" s="247" t="s">
        <v>1156</v>
      </c>
      <c r="J112" s="249" t="s">
        <v>1187</v>
      </c>
      <c r="K112" s="308">
        <v>10.65</v>
      </c>
      <c r="L112" s="308">
        <v>1.1499999999999999</v>
      </c>
      <c r="M112" s="308">
        <v>9.5</v>
      </c>
      <c r="N112" s="308">
        <v>0</v>
      </c>
      <c r="O112" s="308">
        <v>0</v>
      </c>
      <c r="P112" s="247">
        <v>0</v>
      </c>
      <c r="Q112" s="247">
        <v>120</v>
      </c>
      <c r="R112" s="247">
        <v>0</v>
      </c>
      <c r="S112" s="247">
        <v>0</v>
      </c>
      <c r="T112" s="250">
        <v>0</v>
      </c>
    </row>
    <row r="113" spans="1:20" ht="15.75" x14ac:dyDescent="0.25">
      <c r="A113" s="247" t="s">
        <v>692</v>
      </c>
      <c r="B113" s="247" t="s">
        <v>690</v>
      </c>
      <c r="C113" s="247" t="s">
        <v>1186</v>
      </c>
      <c r="D113" s="247">
        <v>9949795</v>
      </c>
      <c r="E113" s="247" t="s">
        <v>1144</v>
      </c>
      <c r="F113" s="247">
        <v>2020</v>
      </c>
      <c r="G113" s="248" t="s">
        <v>1155</v>
      </c>
      <c r="H113" s="247" t="s">
        <v>1156</v>
      </c>
      <c r="J113" s="249" t="s">
        <v>1098</v>
      </c>
      <c r="K113" s="308">
        <v>2.75</v>
      </c>
      <c r="L113" s="308">
        <v>0</v>
      </c>
      <c r="M113" s="308">
        <v>2.75</v>
      </c>
      <c r="N113" s="308">
        <v>0</v>
      </c>
      <c r="O113" s="308">
        <v>0</v>
      </c>
      <c r="P113" s="247">
        <v>0</v>
      </c>
      <c r="Q113" s="247">
        <v>27</v>
      </c>
      <c r="R113" s="247">
        <v>0</v>
      </c>
      <c r="S113" s="247">
        <v>0</v>
      </c>
      <c r="T113" s="250">
        <v>0</v>
      </c>
    </row>
    <row r="114" spans="1:20" ht="15.75" x14ac:dyDescent="0.25">
      <c r="A114" s="251" t="s">
        <v>760</v>
      </c>
      <c r="B114" s="251" t="s">
        <v>760</v>
      </c>
      <c r="C114" s="251" t="s">
        <v>1231</v>
      </c>
      <c r="D114" s="251">
        <v>5947102</v>
      </c>
      <c r="E114" s="251" t="s">
        <v>1061</v>
      </c>
      <c r="F114" s="247">
        <v>2020</v>
      </c>
      <c r="G114" s="252" t="s">
        <v>1232</v>
      </c>
      <c r="H114" s="251" t="s">
        <v>1125</v>
      </c>
      <c r="J114" s="249" t="s">
        <v>1177</v>
      </c>
      <c r="K114" s="309">
        <v>0.38</v>
      </c>
      <c r="L114" s="309">
        <v>0.1</v>
      </c>
      <c r="M114" s="309">
        <v>0.28000000000000003</v>
      </c>
      <c r="N114" s="309">
        <v>0</v>
      </c>
      <c r="O114" s="309">
        <v>0</v>
      </c>
      <c r="P114" s="251">
        <v>0</v>
      </c>
      <c r="Q114" s="251">
        <v>78</v>
      </c>
      <c r="R114" s="251">
        <v>0</v>
      </c>
      <c r="S114" s="251">
        <v>0</v>
      </c>
      <c r="T114" s="253">
        <v>0</v>
      </c>
    </row>
    <row r="115" spans="1:20" ht="15.75" x14ac:dyDescent="0.25">
      <c r="A115" s="247" t="s">
        <v>1035</v>
      </c>
      <c r="B115" s="247" t="s">
        <v>1175</v>
      </c>
      <c r="C115" s="247" t="s">
        <v>1233</v>
      </c>
      <c r="D115" s="247">
        <v>9577077</v>
      </c>
      <c r="E115" s="247" t="s">
        <v>1058</v>
      </c>
      <c r="F115" s="247">
        <v>2020</v>
      </c>
      <c r="G115" s="248" t="s">
        <v>1232</v>
      </c>
      <c r="H115" s="247" t="s">
        <v>1125</v>
      </c>
      <c r="J115" s="249" t="s">
        <v>1177</v>
      </c>
      <c r="K115" s="308">
        <v>5.54</v>
      </c>
      <c r="L115" s="308">
        <v>1.1499999999999999</v>
      </c>
      <c r="M115" s="308">
        <v>4.3899999999999997</v>
      </c>
      <c r="N115" s="308">
        <v>0</v>
      </c>
      <c r="O115" s="308">
        <v>0</v>
      </c>
      <c r="P115" s="247">
        <v>0</v>
      </c>
      <c r="Q115" s="247">
        <v>200</v>
      </c>
      <c r="R115" s="247">
        <v>0</v>
      </c>
      <c r="S115" s="247">
        <v>1</v>
      </c>
      <c r="T115" s="250"/>
    </row>
    <row r="116" spans="1:20" ht="15.75" x14ac:dyDescent="0.25">
      <c r="A116" s="247" t="s">
        <v>1035</v>
      </c>
      <c r="B116" s="247" t="s">
        <v>1175</v>
      </c>
      <c r="C116" s="247" t="s">
        <v>1234</v>
      </c>
      <c r="D116" s="247">
        <v>9577077</v>
      </c>
      <c r="E116" s="247" t="s">
        <v>1068</v>
      </c>
      <c r="F116" s="247">
        <v>2020</v>
      </c>
      <c r="G116" s="248" t="s">
        <v>1232</v>
      </c>
      <c r="H116" s="247" t="s">
        <v>1125</v>
      </c>
      <c r="J116" s="249" t="s">
        <v>1177</v>
      </c>
      <c r="K116" s="308">
        <v>0.41</v>
      </c>
      <c r="L116" s="308">
        <v>0.05</v>
      </c>
      <c r="M116" s="308">
        <v>0.36</v>
      </c>
      <c r="N116" s="308">
        <v>0</v>
      </c>
      <c r="O116" s="308">
        <v>0</v>
      </c>
      <c r="P116" s="247">
        <v>0</v>
      </c>
      <c r="Q116" s="247">
        <v>15</v>
      </c>
      <c r="R116" s="247">
        <v>0</v>
      </c>
      <c r="S116" s="247">
        <v>1</v>
      </c>
      <c r="T116" s="250">
        <v>0</v>
      </c>
    </row>
    <row r="117" spans="1:20" ht="15.75" x14ac:dyDescent="0.25">
      <c r="A117" s="247" t="s">
        <v>1035</v>
      </c>
      <c r="B117" s="247" t="s">
        <v>1175</v>
      </c>
      <c r="C117" s="247" t="s">
        <v>1235</v>
      </c>
      <c r="D117" s="247">
        <v>9577077</v>
      </c>
      <c r="E117" s="247" t="s">
        <v>1138</v>
      </c>
      <c r="F117" s="247">
        <v>2020</v>
      </c>
      <c r="G117" s="248" t="s">
        <v>1232</v>
      </c>
      <c r="H117" s="247" t="s">
        <v>1125</v>
      </c>
      <c r="J117" s="249" t="s">
        <v>1177</v>
      </c>
      <c r="K117" s="308">
        <v>0.41</v>
      </c>
      <c r="L117" s="308">
        <v>0.05</v>
      </c>
      <c r="M117" s="308">
        <v>0.36</v>
      </c>
      <c r="N117" s="308">
        <v>0</v>
      </c>
      <c r="O117" s="308">
        <v>0</v>
      </c>
      <c r="P117" s="247">
        <v>0</v>
      </c>
      <c r="Q117" s="247">
        <v>15</v>
      </c>
      <c r="R117" s="247">
        <v>0</v>
      </c>
      <c r="S117" s="247">
        <v>1</v>
      </c>
      <c r="T117" s="250">
        <v>0</v>
      </c>
    </row>
    <row r="118" spans="1:20" ht="15.75" x14ac:dyDescent="0.25">
      <c r="A118" s="247" t="s">
        <v>1035</v>
      </c>
      <c r="B118" s="247" t="s">
        <v>1175</v>
      </c>
      <c r="C118" s="247" t="s">
        <v>1236</v>
      </c>
      <c r="D118" s="247">
        <v>9577077</v>
      </c>
      <c r="E118" s="247" t="s">
        <v>1073</v>
      </c>
      <c r="F118" s="247">
        <v>2020</v>
      </c>
      <c r="G118" s="248" t="s">
        <v>1232</v>
      </c>
      <c r="H118" s="247" t="s">
        <v>1125</v>
      </c>
      <c r="J118" s="249" t="s">
        <v>1177</v>
      </c>
      <c r="K118" s="308">
        <v>0.41</v>
      </c>
      <c r="L118" s="308">
        <v>0.05</v>
      </c>
      <c r="M118" s="308">
        <v>0.36</v>
      </c>
      <c r="N118" s="308">
        <v>0</v>
      </c>
      <c r="O118" s="308">
        <v>0</v>
      </c>
      <c r="P118" s="247">
        <v>0</v>
      </c>
      <c r="Q118" s="247">
        <v>20</v>
      </c>
      <c r="R118" s="247">
        <v>0</v>
      </c>
      <c r="S118" s="247">
        <v>2</v>
      </c>
      <c r="T118" s="250">
        <v>0</v>
      </c>
    </row>
    <row r="119" spans="1:20" ht="15.75" x14ac:dyDescent="0.25">
      <c r="A119" s="247" t="s">
        <v>1239</v>
      </c>
      <c r="B119" s="247" t="s">
        <v>1067</v>
      </c>
      <c r="C119" s="247" t="s">
        <v>1237</v>
      </c>
      <c r="D119" s="247">
        <v>3736692</v>
      </c>
      <c r="E119" s="247" t="s">
        <v>1058</v>
      </c>
      <c r="F119" s="247">
        <v>2020</v>
      </c>
      <c r="G119" s="248" t="s">
        <v>1238</v>
      </c>
      <c r="H119" s="247" t="s">
        <v>1057</v>
      </c>
      <c r="J119" s="249" t="s">
        <v>1069</v>
      </c>
      <c r="K119" s="308">
        <v>1.25</v>
      </c>
      <c r="L119" s="308">
        <v>0.5</v>
      </c>
      <c r="M119" s="308">
        <v>0.75</v>
      </c>
      <c r="N119" s="308">
        <v>0</v>
      </c>
      <c r="O119" s="308">
        <v>0</v>
      </c>
      <c r="P119" s="247">
        <v>0</v>
      </c>
      <c r="Q119" s="247">
        <v>2</v>
      </c>
      <c r="R119" s="247">
        <v>0</v>
      </c>
      <c r="S119" s="247">
        <v>0</v>
      </c>
      <c r="T119" s="250">
        <v>0</v>
      </c>
    </row>
    <row r="120" spans="1:20" ht="15.75" x14ac:dyDescent="0.25">
      <c r="A120" s="247" t="s">
        <v>877</v>
      </c>
      <c r="B120" s="247" t="s">
        <v>874</v>
      </c>
      <c r="C120" s="247" t="s">
        <v>1240</v>
      </c>
      <c r="D120" s="247">
        <v>1378201</v>
      </c>
      <c r="E120" s="247" t="s">
        <v>1061</v>
      </c>
      <c r="F120" s="247">
        <v>2020</v>
      </c>
      <c r="G120" s="248" t="s">
        <v>1241</v>
      </c>
      <c r="H120" s="247" t="s">
        <v>1125</v>
      </c>
      <c r="J120" s="249" t="s">
        <v>1242</v>
      </c>
      <c r="K120" s="308">
        <v>0.75</v>
      </c>
      <c r="L120" s="308">
        <v>0.75</v>
      </c>
      <c r="M120" s="308">
        <v>0</v>
      </c>
      <c r="N120" s="308">
        <v>0</v>
      </c>
      <c r="O120" s="308">
        <v>0</v>
      </c>
      <c r="P120" s="247">
        <v>0</v>
      </c>
      <c r="Q120" s="247">
        <v>8</v>
      </c>
      <c r="R120" s="247">
        <v>0</v>
      </c>
      <c r="S120" s="247">
        <v>0</v>
      </c>
      <c r="T120" s="250">
        <v>0</v>
      </c>
    </row>
    <row r="121" spans="1:20" ht="15.75" x14ac:dyDescent="0.25">
      <c r="A121" s="247" t="s">
        <v>877</v>
      </c>
      <c r="B121" s="247" t="s">
        <v>874</v>
      </c>
      <c r="C121" s="247" t="s">
        <v>1243</v>
      </c>
      <c r="D121" s="247">
        <v>1378201</v>
      </c>
      <c r="E121" s="247" t="s">
        <v>1063</v>
      </c>
      <c r="F121" s="247">
        <v>2020</v>
      </c>
      <c r="G121" s="248" t="s">
        <v>1241</v>
      </c>
      <c r="H121" s="247" t="s">
        <v>1125</v>
      </c>
      <c r="J121" s="249" t="s">
        <v>1242</v>
      </c>
      <c r="K121" s="308">
        <v>2</v>
      </c>
      <c r="L121" s="308">
        <v>0.5</v>
      </c>
      <c r="M121" s="308">
        <v>1.5</v>
      </c>
      <c r="N121" s="308">
        <v>0</v>
      </c>
      <c r="O121" s="308">
        <v>0</v>
      </c>
      <c r="P121" s="247">
        <v>0</v>
      </c>
      <c r="Q121" s="247">
        <v>14</v>
      </c>
      <c r="R121" s="247">
        <v>0</v>
      </c>
      <c r="S121" s="247">
        <v>0</v>
      </c>
      <c r="T121" s="250">
        <v>0</v>
      </c>
    </row>
    <row r="122" spans="1:20" ht="15.75" x14ac:dyDescent="0.25">
      <c r="A122" s="247" t="s">
        <v>877</v>
      </c>
      <c r="B122" s="247" t="s">
        <v>874</v>
      </c>
      <c r="C122" s="247" t="s">
        <v>1244</v>
      </c>
      <c r="D122" s="247">
        <v>1378201</v>
      </c>
      <c r="E122" s="247" t="s">
        <v>1073</v>
      </c>
      <c r="F122" s="247">
        <v>2020</v>
      </c>
      <c r="G122" s="248" t="s">
        <v>1241</v>
      </c>
      <c r="H122" s="247" t="s">
        <v>1125</v>
      </c>
      <c r="J122" s="249" t="s">
        <v>1242</v>
      </c>
      <c r="K122" s="308">
        <v>1.5</v>
      </c>
      <c r="L122" s="308">
        <v>0.5</v>
      </c>
      <c r="M122" s="308">
        <v>1</v>
      </c>
      <c r="N122" s="308">
        <v>0</v>
      </c>
      <c r="O122" s="308">
        <v>0</v>
      </c>
      <c r="P122" s="247">
        <v>0</v>
      </c>
      <c r="Q122" s="247">
        <v>8</v>
      </c>
      <c r="R122" s="247">
        <v>0</v>
      </c>
      <c r="S122" s="247">
        <v>0</v>
      </c>
      <c r="T122" s="250">
        <v>0</v>
      </c>
    </row>
    <row r="123" spans="1:20" ht="15.75" x14ac:dyDescent="0.25">
      <c r="A123" s="247" t="s">
        <v>1246</v>
      </c>
      <c r="B123" s="247" t="s">
        <v>1247</v>
      </c>
      <c r="C123" s="247" t="s">
        <v>1245</v>
      </c>
      <c r="D123" s="247">
        <v>7846871</v>
      </c>
      <c r="E123" s="247" t="s">
        <v>1058</v>
      </c>
      <c r="F123" s="247">
        <v>2020</v>
      </c>
      <c r="G123" s="248" t="s">
        <v>1241</v>
      </c>
      <c r="H123" s="247" t="s">
        <v>1125</v>
      </c>
      <c r="J123" s="249" t="s">
        <v>1248</v>
      </c>
      <c r="K123" s="308">
        <v>4</v>
      </c>
      <c r="L123" s="308">
        <v>3</v>
      </c>
      <c r="M123" s="308">
        <v>1</v>
      </c>
      <c r="N123" s="308">
        <v>0</v>
      </c>
      <c r="O123" s="308">
        <v>0</v>
      </c>
      <c r="P123" s="247">
        <v>0</v>
      </c>
      <c r="Q123" s="247">
        <v>23</v>
      </c>
      <c r="R123" s="247">
        <v>0</v>
      </c>
      <c r="S123" s="247">
        <v>0</v>
      </c>
      <c r="T123" s="250">
        <v>0</v>
      </c>
    </row>
    <row r="124" spans="1:20" ht="15.75" x14ac:dyDescent="0.25">
      <c r="A124" s="247" t="s">
        <v>1251</v>
      </c>
      <c r="B124" s="247" t="s">
        <v>568</v>
      </c>
      <c r="C124" s="247" t="s">
        <v>1249</v>
      </c>
      <c r="D124" s="247">
        <v>1441233</v>
      </c>
      <c r="E124" s="247" t="s">
        <v>1063</v>
      </c>
      <c r="F124" s="247">
        <v>2020</v>
      </c>
      <c r="G124" s="248" t="s">
        <v>1250</v>
      </c>
      <c r="H124" s="247" t="s">
        <v>1057</v>
      </c>
      <c r="J124" s="249" t="s">
        <v>1177</v>
      </c>
      <c r="K124" s="308">
        <v>5.35</v>
      </c>
      <c r="L124" s="308">
        <v>0.3</v>
      </c>
      <c r="M124" s="308">
        <v>3.5</v>
      </c>
      <c r="N124" s="308">
        <v>1.55</v>
      </c>
      <c r="O124" s="308">
        <v>0</v>
      </c>
      <c r="P124" s="247">
        <v>15</v>
      </c>
      <c r="Q124" s="247">
        <v>0</v>
      </c>
      <c r="R124" s="247">
        <v>0</v>
      </c>
      <c r="S124" s="247">
        <v>0</v>
      </c>
      <c r="T124" s="250"/>
    </row>
    <row r="125" spans="1:20" ht="15.75" x14ac:dyDescent="0.25">
      <c r="A125" s="247" t="s">
        <v>684</v>
      </c>
      <c r="B125" s="247" t="s">
        <v>969</v>
      </c>
      <c r="C125" s="247" t="s">
        <v>1252</v>
      </c>
      <c r="D125" s="247">
        <v>1622964</v>
      </c>
      <c r="E125" s="247" t="s">
        <v>1061</v>
      </c>
      <c r="F125" s="247">
        <v>2020</v>
      </c>
      <c r="G125" s="248" t="s">
        <v>1250</v>
      </c>
      <c r="H125" s="247" t="s">
        <v>1057</v>
      </c>
      <c r="J125" s="249" t="s">
        <v>1253</v>
      </c>
      <c r="K125" s="308">
        <v>6.75</v>
      </c>
      <c r="L125" s="308">
        <v>0.5</v>
      </c>
      <c r="M125" s="308">
        <v>6.25</v>
      </c>
      <c r="N125" s="308">
        <v>0</v>
      </c>
      <c r="O125" s="308">
        <v>0</v>
      </c>
      <c r="P125" s="247">
        <v>5</v>
      </c>
      <c r="Q125" s="247">
        <v>0</v>
      </c>
      <c r="R125" s="247">
        <v>5</v>
      </c>
      <c r="S125" s="247">
        <v>0</v>
      </c>
      <c r="T125" s="250">
        <v>0</v>
      </c>
    </row>
    <row r="126" spans="1:20" ht="15.75" x14ac:dyDescent="0.25">
      <c r="A126" s="247" t="s">
        <v>502</v>
      </c>
      <c r="B126" s="247" t="s">
        <v>502</v>
      </c>
      <c r="C126" s="247" t="s">
        <v>1254</v>
      </c>
      <c r="D126" s="247">
        <v>1878615</v>
      </c>
      <c r="E126" s="247" t="s">
        <v>1128</v>
      </c>
      <c r="F126" s="247">
        <v>2020</v>
      </c>
      <c r="G126" s="248" t="s">
        <v>1250</v>
      </c>
      <c r="H126" s="247" t="s">
        <v>1125</v>
      </c>
      <c r="J126" s="249" t="s">
        <v>1177</v>
      </c>
      <c r="K126" s="308">
        <v>1.07</v>
      </c>
      <c r="L126" s="308">
        <v>0.05</v>
      </c>
      <c r="M126" s="308">
        <v>0.55000000000000004</v>
      </c>
      <c r="N126" s="308">
        <v>0.47</v>
      </c>
      <c r="O126" s="308">
        <v>0</v>
      </c>
      <c r="P126" s="247">
        <v>3</v>
      </c>
      <c r="Q126" s="247">
        <v>0</v>
      </c>
      <c r="R126" s="247">
        <v>0</v>
      </c>
      <c r="S126" s="247">
        <v>0</v>
      </c>
      <c r="T126" s="250">
        <v>0</v>
      </c>
    </row>
    <row r="127" spans="1:20" ht="15.75" x14ac:dyDescent="0.25">
      <c r="A127" s="247" t="s">
        <v>415</v>
      </c>
      <c r="B127" s="247" t="s">
        <v>415</v>
      </c>
      <c r="C127" s="247" t="s">
        <v>1255</v>
      </c>
      <c r="D127" s="247">
        <v>1905494</v>
      </c>
      <c r="E127" s="247" t="s">
        <v>1058</v>
      </c>
      <c r="F127" s="247">
        <v>2020</v>
      </c>
      <c r="G127" s="248" t="s">
        <v>1250</v>
      </c>
      <c r="H127" s="247" t="s">
        <v>1125</v>
      </c>
      <c r="J127" s="249" t="s">
        <v>1256</v>
      </c>
      <c r="K127" s="308">
        <v>12.14</v>
      </c>
      <c r="L127" s="308">
        <v>1.1399999999999999</v>
      </c>
      <c r="M127" s="308">
        <v>11</v>
      </c>
      <c r="N127" s="308">
        <v>0</v>
      </c>
      <c r="O127" s="308">
        <v>0</v>
      </c>
      <c r="P127" s="247">
        <v>22</v>
      </c>
      <c r="Q127" s="247">
        <v>0</v>
      </c>
      <c r="R127" s="247">
        <v>0</v>
      </c>
      <c r="S127" s="247">
        <v>0</v>
      </c>
      <c r="T127" s="250">
        <v>0</v>
      </c>
    </row>
    <row r="128" spans="1:20" ht="15.75" x14ac:dyDescent="0.25">
      <c r="A128" s="247" t="s">
        <v>753</v>
      </c>
      <c r="B128" s="247" t="s">
        <v>753</v>
      </c>
      <c r="C128" s="247" t="s">
        <v>1257</v>
      </c>
      <c r="D128" s="247">
        <v>2189349</v>
      </c>
      <c r="E128" s="247" t="s">
        <v>1058</v>
      </c>
      <c r="F128" s="247">
        <v>2020</v>
      </c>
      <c r="G128" s="248" t="s">
        <v>1250</v>
      </c>
      <c r="H128" s="247" t="s">
        <v>1125</v>
      </c>
      <c r="J128" s="249" t="s">
        <v>1177</v>
      </c>
      <c r="K128" s="308">
        <v>2.4</v>
      </c>
      <c r="L128" s="308">
        <v>0.25</v>
      </c>
      <c r="M128" s="308">
        <v>2.15</v>
      </c>
      <c r="N128" s="308">
        <v>0</v>
      </c>
      <c r="O128" s="308">
        <v>0</v>
      </c>
      <c r="P128" s="247">
        <v>0</v>
      </c>
      <c r="Q128" s="247">
        <v>0</v>
      </c>
      <c r="R128" s="247">
        <v>2</v>
      </c>
      <c r="S128" s="247">
        <v>0</v>
      </c>
      <c r="T128" s="250">
        <v>0</v>
      </c>
    </row>
    <row r="129" spans="1:20" ht="15.75" x14ac:dyDescent="0.25">
      <c r="A129" s="247" t="s">
        <v>1259</v>
      </c>
      <c r="B129" s="247" t="s">
        <v>678</v>
      </c>
      <c r="C129" s="247" t="s">
        <v>1258</v>
      </c>
      <c r="D129" s="247">
        <v>3357963</v>
      </c>
      <c r="E129" s="247" t="s">
        <v>1061</v>
      </c>
      <c r="F129" s="247">
        <v>2020</v>
      </c>
      <c r="G129" s="248" t="s">
        <v>1250</v>
      </c>
      <c r="H129" s="247" t="s">
        <v>1125</v>
      </c>
      <c r="J129" s="249" t="s">
        <v>1177</v>
      </c>
      <c r="K129" s="308">
        <v>1.9</v>
      </c>
      <c r="L129" s="308">
        <v>0.1</v>
      </c>
      <c r="M129" s="308">
        <v>1.1000000000000001</v>
      </c>
      <c r="N129" s="308">
        <v>0.7</v>
      </c>
      <c r="O129" s="308">
        <v>0</v>
      </c>
      <c r="P129" s="247">
        <v>4</v>
      </c>
      <c r="Q129" s="247">
        <v>0</v>
      </c>
      <c r="R129" s="247">
        <v>0</v>
      </c>
      <c r="S129" s="247">
        <v>0</v>
      </c>
      <c r="T129" s="250">
        <v>0</v>
      </c>
    </row>
    <row r="130" spans="1:20" ht="15.75" x14ac:dyDescent="0.25">
      <c r="A130" s="247" t="s">
        <v>684</v>
      </c>
      <c r="B130" s="247" t="s">
        <v>682</v>
      </c>
      <c r="C130" s="247" t="s">
        <v>1260</v>
      </c>
      <c r="D130" s="247">
        <v>4075651</v>
      </c>
      <c r="E130" s="247" t="s">
        <v>1138</v>
      </c>
      <c r="F130" s="247">
        <v>2020</v>
      </c>
      <c r="G130" s="248" t="s">
        <v>1250</v>
      </c>
      <c r="H130" s="247" t="s">
        <v>1125</v>
      </c>
      <c r="J130" s="249" t="s">
        <v>1126</v>
      </c>
      <c r="K130" s="308">
        <v>3.2</v>
      </c>
      <c r="L130" s="308">
        <v>0.35</v>
      </c>
      <c r="M130" s="308">
        <v>2</v>
      </c>
      <c r="N130" s="308">
        <v>0.85</v>
      </c>
      <c r="O130" s="308">
        <v>0</v>
      </c>
      <c r="P130" s="247">
        <v>6</v>
      </c>
      <c r="Q130" s="247">
        <v>0</v>
      </c>
      <c r="R130" s="247">
        <v>0</v>
      </c>
      <c r="S130" s="247">
        <v>0</v>
      </c>
      <c r="T130" s="250">
        <v>0</v>
      </c>
    </row>
    <row r="131" spans="1:20" ht="15.75" x14ac:dyDescent="0.25">
      <c r="A131" s="247" t="s">
        <v>997</v>
      </c>
      <c r="B131" s="247" t="s">
        <v>997</v>
      </c>
      <c r="C131" s="247" t="s">
        <v>1261</v>
      </c>
      <c r="D131" s="247">
        <v>6375207</v>
      </c>
      <c r="E131" s="247" t="s">
        <v>1063</v>
      </c>
      <c r="F131" s="247">
        <v>2020</v>
      </c>
      <c r="G131" s="248" t="s">
        <v>1250</v>
      </c>
      <c r="H131" s="247" t="s">
        <v>1057</v>
      </c>
      <c r="J131" s="249" t="s">
        <v>1262</v>
      </c>
      <c r="K131" s="308">
        <v>7.6</v>
      </c>
      <c r="L131" s="308">
        <v>0.6</v>
      </c>
      <c r="M131" s="308">
        <v>7</v>
      </c>
      <c r="N131" s="308">
        <v>0</v>
      </c>
      <c r="O131" s="308">
        <v>0</v>
      </c>
      <c r="P131" s="247">
        <v>4</v>
      </c>
      <c r="Q131" s="247">
        <v>0</v>
      </c>
      <c r="R131" s="247">
        <v>0</v>
      </c>
      <c r="S131" s="247">
        <v>0</v>
      </c>
      <c r="T131" s="250">
        <v>0</v>
      </c>
    </row>
    <row r="132" spans="1:20" ht="15.75" x14ac:dyDescent="0.25">
      <c r="A132" s="247" t="s">
        <v>1264</v>
      </c>
      <c r="B132" s="247" t="s">
        <v>531</v>
      </c>
      <c r="C132" s="247" t="s">
        <v>1263</v>
      </c>
      <c r="D132" s="247">
        <v>6749255</v>
      </c>
      <c r="E132" s="247" t="s">
        <v>1223</v>
      </c>
      <c r="F132" s="247">
        <v>2020</v>
      </c>
      <c r="G132" s="248" t="s">
        <v>1250</v>
      </c>
      <c r="H132" s="247" t="s">
        <v>1125</v>
      </c>
      <c r="J132" s="249" t="s">
        <v>1265</v>
      </c>
      <c r="K132" s="308">
        <v>6.5750000000000002</v>
      </c>
      <c r="L132" s="308">
        <v>0.375</v>
      </c>
      <c r="M132" s="308">
        <v>6.2</v>
      </c>
      <c r="N132" s="308">
        <v>0</v>
      </c>
      <c r="O132" s="308">
        <v>0</v>
      </c>
      <c r="P132" s="247">
        <v>9</v>
      </c>
      <c r="Q132" s="247">
        <v>0</v>
      </c>
      <c r="R132" s="247">
        <v>0</v>
      </c>
      <c r="S132" s="247">
        <v>0</v>
      </c>
      <c r="T132" s="250">
        <v>0</v>
      </c>
    </row>
    <row r="133" spans="1:20" ht="15.75" x14ac:dyDescent="0.25">
      <c r="A133" s="247" t="s">
        <v>1267</v>
      </c>
      <c r="B133" s="247" t="s">
        <v>1268</v>
      </c>
      <c r="C133" s="247" t="s">
        <v>1266</v>
      </c>
      <c r="D133" s="247">
        <v>6907978</v>
      </c>
      <c r="E133" s="247" t="s">
        <v>1073</v>
      </c>
      <c r="F133" s="247">
        <v>2020</v>
      </c>
      <c r="G133" s="248" t="s">
        <v>1250</v>
      </c>
      <c r="H133" s="247" t="s">
        <v>1057</v>
      </c>
      <c r="J133" s="249" t="s">
        <v>1262</v>
      </c>
      <c r="K133" s="308">
        <v>2.1</v>
      </c>
      <c r="L133" s="308">
        <v>0.1</v>
      </c>
      <c r="M133" s="308">
        <v>2</v>
      </c>
      <c r="N133" s="308">
        <v>0</v>
      </c>
      <c r="O133" s="308">
        <v>0</v>
      </c>
      <c r="P133" s="247">
        <v>1</v>
      </c>
      <c r="Q133" s="247">
        <v>0</v>
      </c>
      <c r="R133" s="247">
        <v>0</v>
      </c>
      <c r="S133" s="247">
        <v>0</v>
      </c>
      <c r="T133" s="250">
        <v>0</v>
      </c>
    </row>
    <row r="134" spans="1:20" ht="15.75" x14ac:dyDescent="0.25">
      <c r="A134" s="247" t="s">
        <v>519</v>
      </c>
      <c r="B134" s="247" t="s">
        <v>519</v>
      </c>
      <c r="C134" s="247" t="s">
        <v>1255</v>
      </c>
      <c r="D134" s="247">
        <v>7071797</v>
      </c>
      <c r="E134" s="247" t="s">
        <v>1058</v>
      </c>
      <c r="F134" s="247">
        <v>2020</v>
      </c>
      <c r="G134" s="248" t="s">
        <v>1250</v>
      </c>
      <c r="H134" s="247" t="s">
        <v>1125</v>
      </c>
      <c r="J134" s="249" t="s">
        <v>1269</v>
      </c>
      <c r="K134" s="308">
        <v>7.3</v>
      </c>
      <c r="L134" s="308">
        <v>0.7</v>
      </c>
      <c r="M134" s="308">
        <v>5.3</v>
      </c>
      <c r="N134" s="308">
        <v>1.3</v>
      </c>
      <c r="O134" s="308">
        <v>0</v>
      </c>
      <c r="P134" s="247">
        <v>8</v>
      </c>
      <c r="Q134" s="247">
        <v>0</v>
      </c>
      <c r="R134" s="247">
        <v>0</v>
      </c>
      <c r="S134" s="247">
        <v>0</v>
      </c>
      <c r="T134" s="250">
        <v>0</v>
      </c>
    </row>
    <row r="135" spans="1:20" ht="15.75" x14ac:dyDescent="0.25">
      <c r="A135" s="247" t="s">
        <v>358</v>
      </c>
      <c r="B135" s="247" t="s">
        <v>358</v>
      </c>
      <c r="C135" s="247" t="s">
        <v>1270</v>
      </c>
      <c r="D135" s="247">
        <v>9223411</v>
      </c>
      <c r="E135" s="247" t="s">
        <v>1087</v>
      </c>
      <c r="F135" s="247">
        <v>2020</v>
      </c>
      <c r="G135" s="248" t="s">
        <v>1250</v>
      </c>
      <c r="H135" s="247" t="s">
        <v>1086</v>
      </c>
      <c r="J135" s="249" t="s">
        <v>1271</v>
      </c>
      <c r="K135" s="308">
        <v>4.05</v>
      </c>
      <c r="L135" s="308">
        <v>0.75</v>
      </c>
      <c r="M135" s="308">
        <v>1.65</v>
      </c>
      <c r="N135" s="308">
        <v>1.65</v>
      </c>
      <c r="O135" s="308">
        <v>0</v>
      </c>
      <c r="P135" s="247">
        <v>4</v>
      </c>
      <c r="Q135" s="247">
        <v>0</v>
      </c>
      <c r="R135" s="247">
        <v>0</v>
      </c>
      <c r="S135" s="247">
        <v>0</v>
      </c>
      <c r="T135" s="250">
        <v>0</v>
      </c>
    </row>
    <row r="136" spans="1:20" ht="15.75" x14ac:dyDescent="0.25">
      <c r="A136" s="247" t="s">
        <v>977</v>
      </c>
      <c r="B136" s="247" t="s">
        <v>977</v>
      </c>
      <c r="C136" s="247" t="s">
        <v>1272</v>
      </c>
      <c r="D136" s="247">
        <v>2015983</v>
      </c>
      <c r="E136" s="247" t="s">
        <v>1199</v>
      </c>
      <c r="F136" s="247">
        <v>2020</v>
      </c>
      <c r="G136" s="248" t="s">
        <v>1273</v>
      </c>
      <c r="H136" s="247" t="s">
        <v>1156</v>
      </c>
      <c r="J136" s="249" t="s">
        <v>1265</v>
      </c>
      <c r="K136" s="308">
        <v>2</v>
      </c>
      <c r="L136" s="308">
        <v>0</v>
      </c>
      <c r="M136" s="308">
        <v>2</v>
      </c>
      <c r="N136" s="308">
        <v>0</v>
      </c>
      <c r="O136" s="308">
        <v>0</v>
      </c>
      <c r="P136" s="247">
        <v>0</v>
      </c>
      <c r="Q136" s="247">
        <v>0</v>
      </c>
      <c r="R136" s="247">
        <v>12</v>
      </c>
      <c r="S136" s="247">
        <v>0</v>
      </c>
      <c r="T136" s="250">
        <v>0</v>
      </c>
    </row>
    <row r="137" spans="1:20" ht="15.75" x14ac:dyDescent="0.25">
      <c r="A137" s="256" t="s">
        <v>287</v>
      </c>
      <c r="B137" s="256" t="s">
        <v>682</v>
      </c>
      <c r="C137" s="256" t="s">
        <v>1274</v>
      </c>
      <c r="D137" s="256">
        <v>2506443</v>
      </c>
      <c r="E137" s="247" t="s">
        <v>1138</v>
      </c>
      <c r="F137" s="247">
        <v>2020</v>
      </c>
      <c r="G137" s="248" t="s">
        <v>1273</v>
      </c>
      <c r="H137" s="247" t="s">
        <v>1156</v>
      </c>
      <c r="J137" s="257" t="s">
        <v>1126</v>
      </c>
      <c r="K137" s="256">
        <v>2.41</v>
      </c>
      <c r="L137" s="256">
        <v>0.35</v>
      </c>
      <c r="M137" s="256">
        <v>2</v>
      </c>
      <c r="N137" s="256">
        <v>0.06</v>
      </c>
      <c r="O137" s="256">
        <v>0</v>
      </c>
      <c r="P137" s="256">
        <v>0</v>
      </c>
      <c r="Q137" s="256">
        <v>0</v>
      </c>
      <c r="R137" s="256">
        <v>15</v>
      </c>
      <c r="S137" s="256">
        <v>0</v>
      </c>
      <c r="T137" s="256">
        <v>0</v>
      </c>
    </row>
    <row r="138" spans="1:20" ht="15.75" x14ac:dyDescent="0.25">
      <c r="A138" s="247" t="s">
        <v>668</v>
      </c>
      <c r="B138" s="247" t="s">
        <v>666</v>
      </c>
      <c r="C138" s="247" t="s">
        <v>1275</v>
      </c>
      <c r="D138" s="247">
        <v>2813433</v>
      </c>
      <c r="E138" s="247" t="s">
        <v>1073</v>
      </c>
      <c r="F138" s="247">
        <v>2020</v>
      </c>
      <c r="G138" s="248" t="s">
        <v>1273</v>
      </c>
      <c r="H138" s="247" t="s">
        <v>1125</v>
      </c>
      <c r="J138" s="249" t="s">
        <v>1262</v>
      </c>
      <c r="K138" s="308">
        <v>2.7</v>
      </c>
      <c r="L138" s="308">
        <v>1</v>
      </c>
      <c r="M138" s="308">
        <v>1.7</v>
      </c>
      <c r="N138" s="308">
        <v>0</v>
      </c>
      <c r="O138" s="308">
        <v>0</v>
      </c>
      <c r="P138" s="247">
        <v>0</v>
      </c>
      <c r="Q138" s="247">
        <v>0</v>
      </c>
      <c r="R138" s="247">
        <v>10</v>
      </c>
      <c r="S138" s="247">
        <v>0</v>
      </c>
      <c r="T138" s="250">
        <v>0</v>
      </c>
    </row>
    <row r="139" spans="1:20" ht="15.75" x14ac:dyDescent="0.25">
      <c r="A139" s="247" t="s">
        <v>623</v>
      </c>
      <c r="B139" s="247" t="s">
        <v>618</v>
      </c>
      <c r="C139" s="247" t="s">
        <v>1276</v>
      </c>
      <c r="D139" s="247">
        <v>4531517</v>
      </c>
      <c r="E139" s="247" t="s">
        <v>1151</v>
      </c>
      <c r="F139" s="247">
        <v>2020</v>
      </c>
      <c r="G139" s="248" t="s">
        <v>1273</v>
      </c>
      <c r="H139" s="247" t="s">
        <v>1156</v>
      </c>
      <c r="J139" s="249" t="s">
        <v>1277</v>
      </c>
      <c r="K139" s="308">
        <v>1.3</v>
      </c>
      <c r="L139" s="308">
        <v>0.3</v>
      </c>
      <c r="M139" s="308">
        <v>1</v>
      </c>
      <c r="N139" s="308">
        <v>0</v>
      </c>
      <c r="O139" s="308">
        <v>0</v>
      </c>
      <c r="P139" s="247">
        <v>0</v>
      </c>
      <c r="Q139" s="247">
        <v>0</v>
      </c>
      <c r="R139" s="247">
        <v>9</v>
      </c>
      <c r="S139" s="247">
        <v>0</v>
      </c>
      <c r="T139" s="250">
        <v>0</v>
      </c>
    </row>
    <row r="140" spans="1:20" ht="15.75" x14ac:dyDescent="0.25">
      <c r="A140" s="247" t="s">
        <v>1279</v>
      </c>
      <c r="B140" s="247" t="s">
        <v>531</v>
      </c>
      <c r="C140" s="247" t="s">
        <v>1278</v>
      </c>
      <c r="D140" s="247">
        <v>4547815</v>
      </c>
      <c r="E140" s="247" t="s">
        <v>1223</v>
      </c>
      <c r="F140" s="247">
        <v>2020</v>
      </c>
      <c r="G140" s="248" t="s">
        <v>1273</v>
      </c>
      <c r="H140" s="247" t="s">
        <v>1156</v>
      </c>
      <c r="J140" s="249" t="s">
        <v>1126</v>
      </c>
      <c r="K140" s="308">
        <v>2.0499999999999998</v>
      </c>
      <c r="L140" s="308">
        <v>0.35</v>
      </c>
      <c r="M140" s="308">
        <v>1.7</v>
      </c>
      <c r="N140" s="308">
        <v>0</v>
      </c>
      <c r="O140" s="308">
        <v>0</v>
      </c>
      <c r="P140" s="247">
        <v>0</v>
      </c>
      <c r="Q140" s="247">
        <v>0</v>
      </c>
      <c r="R140" s="247">
        <v>14</v>
      </c>
      <c r="S140" s="247">
        <v>0</v>
      </c>
      <c r="T140" s="250">
        <v>0</v>
      </c>
    </row>
    <row r="141" spans="1:20" ht="15.75" x14ac:dyDescent="0.25">
      <c r="A141" s="247" t="s">
        <v>1130</v>
      </c>
      <c r="B141" s="247" t="s">
        <v>281</v>
      </c>
      <c r="C141" s="247" t="s">
        <v>1280</v>
      </c>
      <c r="D141" s="247">
        <v>5020855</v>
      </c>
      <c r="E141" s="247" t="s">
        <v>1063</v>
      </c>
      <c r="F141" s="247">
        <v>2020</v>
      </c>
      <c r="G141" s="248" t="s">
        <v>1273</v>
      </c>
      <c r="H141" s="247" t="s">
        <v>1125</v>
      </c>
      <c r="J141" s="249" t="s">
        <v>1253</v>
      </c>
      <c r="K141" s="308">
        <v>8.51</v>
      </c>
      <c r="L141" s="308">
        <v>1</v>
      </c>
      <c r="M141" s="308">
        <v>6.31</v>
      </c>
      <c r="N141" s="308">
        <v>0</v>
      </c>
      <c r="O141" s="308">
        <v>1.2</v>
      </c>
      <c r="P141" s="247">
        <v>0</v>
      </c>
      <c r="Q141" s="247">
        <v>0</v>
      </c>
      <c r="R141" s="247">
        <v>40</v>
      </c>
      <c r="S141" s="247">
        <v>0</v>
      </c>
      <c r="T141" s="250">
        <v>0</v>
      </c>
    </row>
    <row r="142" spans="1:20" ht="15.75" x14ac:dyDescent="0.25">
      <c r="A142" s="247" t="s">
        <v>1283</v>
      </c>
      <c r="B142" s="247" t="s">
        <v>384</v>
      </c>
      <c r="C142" s="247" t="s">
        <v>1281</v>
      </c>
      <c r="D142" s="247">
        <v>1567065</v>
      </c>
      <c r="E142" s="247" t="s">
        <v>1134</v>
      </c>
      <c r="F142" s="247">
        <v>2020</v>
      </c>
      <c r="G142" s="248" t="s">
        <v>1282</v>
      </c>
      <c r="H142" s="247" t="s">
        <v>1156</v>
      </c>
      <c r="J142" s="249" t="s">
        <v>1177</v>
      </c>
      <c r="K142" s="308">
        <v>1.7</v>
      </c>
      <c r="L142" s="308">
        <v>0.1</v>
      </c>
      <c r="M142" s="308">
        <v>1.6</v>
      </c>
      <c r="N142" s="308">
        <v>0</v>
      </c>
      <c r="O142" s="308">
        <v>0</v>
      </c>
      <c r="P142" s="247">
        <v>0</v>
      </c>
      <c r="Q142" s="247">
        <v>0</v>
      </c>
      <c r="R142" s="247">
        <v>10</v>
      </c>
      <c r="S142" s="247">
        <v>0</v>
      </c>
      <c r="T142" s="250">
        <v>0</v>
      </c>
    </row>
    <row r="143" spans="1:20" ht="15.75" x14ac:dyDescent="0.25">
      <c r="A143" s="247" t="s">
        <v>1251</v>
      </c>
      <c r="B143" s="247" t="s">
        <v>568</v>
      </c>
      <c r="C143" s="247" t="s">
        <v>1284</v>
      </c>
      <c r="D143" s="247">
        <v>1961902</v>
      </c>
      <c r="E143" s="247" t="s">
        <v>1063</v>
      </c>
      <c r="F143" s="247">
        <v>2020</v>
      </c>
      <c r="G143" s="248" t="s">
        <v>1282</v>
      </c>
      <c r="H143" s="247" t="s">
        <v>1156</v>
      </c>
      <c r="J143" s="249" t="s">
        <v>1177</v>
      </c>
      <c r="K143" s="308">
        <v>2.94</v>
      </c>
      <c r="L143" s="308">
        <v>0.1</v>
      </c>
      <c r="M143" s="308">
        <v>2.64</v>
      </c>
      <c r="N143" s="308">
        <v>0.2</v>
      </c>
      <c r="O143" s="308">
        <v>0</v>
      </c>
      <c r="P143" s="247">
        <v>0</v>
      </c>
      <c r="Q143" s="247">
        <v>0</v>
      </c>
      <c r="R143" s="247">
        <v>10</v>
      </c>
      <c r="S143" s="247">
        <v>0</v>
      </c>
      <c r="T143" s="250">
        <v>0</v>
      </c>
    </row>
    <row r="144" spans="1:20" ht="15.75" x14ac:dyDescent="0.25">
      <c r="A144" s="247" t="s">
        <v>1251</v>
      </c>
      <c r="B144" s="247" t="s">
        <v>568</v>
      </c>
      <c r="C144" s="247" t="s">
        <v>1285</v>
      </c>
      <c r="D144" s="247">
        <v>1961902</v>
      </c>
      <c r="E144" s="247" t="s">
        <v>1063</v>
      </c>
      <c r="F144" s="247">
        <v>2020</v>
      </c>
      <c r="G144" s="248" t="s">
        <v>1282</v>
      </c>
      <c r="H144" s="247" t="s">
        <v>1125</v>
      </c>
      <c r="J144" s="249" t="s">
        <v>1271</v>
      </c>
      <c r="K144" s="308">
        <v>1.25</v>
      </c>
      <c r="L144" s="308">
        <v>0.1</v>
      </c>
      <c r="M144" s="308">
        <v>0.35</v>
      </c>
      <c r="N144" s="308">
        <v>0</v>
      </c>
      <c r="O144" s="308">
        <v>0.8</v>
      </c>
      <c r="P144" s="247">
        <v>0</v>
      </c>
      <c r="Q144" s="247">
        <v>0</v>
      </c>
      <c r="R144" s="247">
        <v>12</v>
      </c>
      <c r="S144" s="247">
        <v>0</v>
      </c>
      <c r="T144" s="250">
        <v>0</v>
      </c>
    </row>
    <row r="145" spans="1:20" ht="15.75" x14ac:dyDescent="0.25">
      <c r="A145" s="247" t="s">
        <v>1287</v>
      </c>
      <c r="B145" s="247" t="s">
        <v>353</v>
      </c>
      <c r="C145" s="247" t="s">
        <v>1286</v>
      </c>
      <c r="D145" s="247">
        <v>2333254</v>
      </c>
      <c r="E145" s="247" t="s">
        <v>1142</v>
      </c>
      <c r="F145" s="247">
        <v>2020</v>
      </c>
      <c r="G145" s="248" t="s">
        <v>1282</v>
      </c>
      <c r="H145" s="247" t="s">
        <v>1125</v>
      </c>
      <c r="J145" s="249" t="s">
        <v>1262</v>
      </c>
      <c r="K145" s="308">
        <v>3.01</v>
      </c>
      <c r="L145" s="308">
        <v>1</v>
      </c>
      <c r="M145" s="308">
        <v>2</v>
      </c>
      <c r="N145" s="308">
        <v>0</v>
      </c>
      <c r="O145" s="308">
        <v>0.01</v>
      </c>
      <c r="P145" s="247">
        <v>0</v>
      </c>
      <c r="Q145" s="247">
        <v>0</v>
      </c>
      <c r="R145" s="247">
        <v>8</v>
      </c>
      <c r="S145" s="247">
        <v>0</v>
      </c>
      <c r="T145" s="250"/>
    </row>
    <row r="146" spans="1:20" ht="15.75" x14ac:dyDescent="0.25">
      <c r="A146" s="247" t="s">
        <v>425</v>
      </c>
      <c r="B146" s="247" t="s">
        <v>425</v>
      </c>
      <c r="C146" s="247" t="s">
        <v>1288</v>
      </c>
      <c r="D146" s="247">
        <v>3446957</v>
      </c>
      <c r="E146" s="247" t="s">
        <v>1131</v>
      </c>
      <c r="F146" s="247">
        <v>2020</v>
      </c>
      <c r="G146" s="248" t="s">
        <v>1282</v>
      </c>
      <c r="H146" s="247" t="s">
        <v>1125</v>
      </c>
      <c r="J146" s="249" t="s">
        <v>1262</v>
      </c>
      <c r="K146" s="308">
        <v>1.4</v>
      </c>
      <c r="L146" s="308">
        <v>0.3</v>
      </c>
      <c r="M146" s="308">
        <v>1</v>
      </c>
      <c r="N146" s="308">
        <v>0</v>
      </c>
      <c r="O146" s="308">
        <v>0.1</v>
      </c>
      <c r="P146" s="247">
        <v>0</v>
      </c>
      <c r="Q146" s="247">
        <v>0</v>
      </c>
      <c r="R146" s="247">
        <v>5</v>
      </c>
      <c r="S146" s="247">
        <v>0</v>
      </c>
      <c r="T146" s="250">
        <v>0</v>
      </c>
    </row>
    <row r="147" spans="1:20" ht="15.75" x14ac:dyDescent="0.25">
      <c r="A147" s="247" t="s">
        <v>219</v>
      </c>
      <c r="B147" s="247" t="s">
        <v>1145</v>
      </c>
      <c r="C147" s="247" t="s">
        <v>1289</v>
      </c>
      <c r="D147" s="247">
        <v>3673053</v>
      </c>
      <c r="E147" s="247" t="s">
        <v>1068</v>
      </c>
      <c r="F147" s="247">
        <v>2020</v>
      </c>
      <c r="G147" s="248" t="s">
        <v>1282</v>
      </c>
      <c r="H147" s="247" t="s">
        <v>1125</v>
      </c>
      <c r="J147" s="249" t="s">
        <v>1253</v>
      </c>
      <c r="K147" s="308">
        <v>17.25</v>
      </c>
      <c r="L147" s="308">
        <v>2.65</v>
      </c>
      <c r="M147" s="308">
        <v>13.4</v>
      </c>
      <c r="N147" s="308">
        <v>0</v>
      </c>
      <c r="O147" s="308">
        <v>1.2</v>
      </c>
      <c r="P147" s="247">
        <v>0</v>
      </c>
      <c r="Q147" s="247">
        <v>0</v>
      </c>
      <c r="R147" s="247">
        <v>32</v>
      </c>
      <c r="S147" s="247">
        <v>0</v>
      </c>
      <c r="T147" s="250">
        <v>0</v>
      </c>
    </row>
    <row r="148" spans="1:20" ht="15.75" x14ac:dyDescent="0.25">
      <c r="A148" s="247" t="s">
        <v>974</v>
      </c>
      <c r="B148" s="247" t="s">
        <v>974</v>
      </c>
      <c r="C148" s="247" t="s">
        <v>1290</v>
      </c>
      <c r="D148" s="247">
        <v>5173305</v>
      </c>
      <c r="E148" s="247" t="s">
        <v>1073</v>
      </c>
      <c r="F148" s="247">
        <v>2020</v>
      </c>
      <c r="G148" s="248" t="s">
        <v>1282</v>
      </c>
      <c r="H148" s="247" t="s">
        <v>1125</v>
      </c>
      <c r="J148" s="249" t="s">
        <v>1291</v>
      </c>
      <c r="K148" s="308">
        <v>13.5</v>
      </c>
      <c r="L148" s="308">
        <v>1.75</v>
      </c>
      <c r="M148" s="308">
        <v>10</v>
      </c>
      <c r="N148" s="308">
        <v>0.5</v>
      </c>
      <c r="O148" s="308">
        <v>1.25</v>
      </c>
      <c r="P148" s="247">
        <v>0</v>
      </c>
      <c r="Q148" s="247">
        <v>0</v>
      </c>
      <c r="R148" s="247">
        <v>65</v>
      </c>
      <c r="S148" s="247">
        <v>0</v>
      </c>
      <c r="T148" s="250">
        <v>0</v>
      </c>
    </row>
    <row r="149" spans="1:20" ht="15.75" x14ac:dyDescent="0.25">
      <c r="A149" s="247" t="s">
        <v>1113</v>
      </c>
      <c r="B149" s="247" t="s">
        <v>1113</v>
      </c>
      <c r="C149" s="247" t="s">
        <v>1292</v>
      </c>
      <c r="D149" s="247">
        <v>5539112</v>
      </c>
      <c r="E149" s="247" t="s">
        <v>1144</v>
      </c>
      <c r="F149" s="247">
        <v>2020</v>
      </c>
      <c r="G149" s="248" t="s">
        <v>1282</v>
      </c>
      <c r="H149" s="247" t="s">
        <v>1125</v>
      </c>
      <c r="J149" s="249" t="s">
        <v>1253</v>
      </c>
      <c r="K149" s="308">
        <v>4.2</v>
      </c>
      <c r="L149" s="308">
        <v>0.3</v>
      </c>
      <c r="M149" s="308">
        <v>3.9</v>
      </c>
      <c r="N149" s="308">
        <v>0</v>
      </c>
      <c r="O149" s="308">
        <v>0</v>
      </c>
      <c r="P149" s="247">
        <v>0</v>
      </c>
      <c r="Q149" s="247">
        <v>0</v>
      </c>
      <c r="R149" s="247">
        <v>21</v>
      </c>
      <c r="S149" s="247">
        <v>0</v>
      </c>
      <c r="T149" s="250"/>
    </row>
    <row r="150" spans="1:20" ht="15.75" x14ac:dyDescent="0.25">
      <c r="A150" s="247" t="s">
        <v>1293</v>
      </c>
      <c r="B150" s="247" t="s">
        <v>1213</v>
      </c>
      <c r="C150" s="247" t="s">
        <v>1284</v>
      </c>
      <c r="D150" s="247">
        <v>5599785</v>
      </c>
      <c r="E150" s="247" t="s">
        <v>1063</v>
      </c>
      <c r="F150" s="247">
        <v>2020</v>
      </c>
      <c r="G150" s="248" t="s">
        <v>1282</v>
      </c>
      <c r="H150" s="247" t="s">
        <v>1156</v>
      </c>
      <c r="J150" s="249" t="s">
        <v>1126</v>
      </c>
      <c r="K150" s="308">
        <v>2.61</v>
      </c>
      <c r="L150" s="308">
        <v>0.11</v>
      </c>
      <c r="M150" s="308">
        <v>2.5</v>
      </c>
      <c r="N150" s="308">
        <v>0</v>
      </c>
      <c r="O150" s="308">
        <v>0</v>
      </c>
      <c r="P150" s="247">
        <v>0</v>
      </c>
      <c r="Q150" s="247">
        <v>0</v>
      </c>
      <c r="R150" s="247">
        <v>20</v>
      </c>
      <c r="S150" s="247">
        <v>0</v>
      </c>
      <c r="T150" s="250">
        <v>0</v>
      </c>
    </row>
    <row r="151" spans="1:20" ht="15.75" x14ac:dyDescent="0.25">
      <c r="A151" s="247" t="s">
        <v>1294</v>
      </c>
      <c r="B151" s="247" t="s">
        <v>922</v>
      </c>
      <c r="C151" s="247" t="s">
        <v>1285</v>
      </c>
      <c r="D151" s="247">
        <v>6041962</v>
      </c>
      <c r="E151" s="247" t="s">
        <v>1063</v>
      </c>
      <c r="F151" s="247">
        <v>2020</v>
      </c>
      <c r="G151" s="248" t="s">
        <v>1282</v>
      </c>
      <c r="H151" s="247" t="s">
        <v>1125</v>
      </c>
      <c r="J151" s="249" t="s">
        <v>1262</v>
      </c>
      <c r="K151" s="308">
        <v>2.5</v>
      </c>
      <c r="L151" s="308">
        <v>0.5</v>
      </c>
      <c r="M151" s="308">
        <v>2</v>
      </c>
      <c r="N151" s="308">
        <v>0</v>
      </c>
      <c r="O151" s="308">
        <v>0</v>
      </c>
      <c r="P151" s="247">
        <v>0</v>
      </c>
      <c r="Q151" s="247">
        <v>0</v>
      </c>
      <c r="R151" s="247">
        <v>5</v>
      </c>
      <c r="S151" s="247">
        <v>0</v>
      </c>
      <c r="T151" s="250"/>
    </row>
    <row r="152" spans="1:20" ht="15.75" x14ac:dyDescent="0.25">
      <c r="A152" s="247" t="s">
        <v>1296</v>
      </c>
      <c r="B152" s="247" t="s">
        <v>1297</v>
      </c>
      <c r="C152" s="247" t="s">
        <v>1295</v>
      </c>
      <c r="D152" s="247">
        <v>6684022</v>
      </c>
      <c r="E152" s="247" t="s">
        <v>1138</v>
      </c>
      <c r="F152" s="247">
        <v>2020</v>
      </c>
      <c r="G152" s="248" t="s">
        <v>1282</v>
      </c>
      <c r="H152" s="247" t="s">
        <v>1125</v>
      </c>
      <c r="J152" s="249" t="s">
        <v>1262</v>
      </c>
      <c r="K152" s="308">
        <v>7.85</v>
      </c>
      <c r="L152" s="308">
        <v>1</v>
      </c>
      <c r="M152" s="308">
        <v>6.85</v>
      </c>
      <c r="N152" s="308">
        <v>0</v>
      </c>
      <c r="O152" s="308">
        <v>0</v>
      </c>
      <c r="P152" s="247">
        <v>0</v>
      </c>
      <c r="Q152" s="247">
        <v>0</v>
      </c>
      <c r="R152" s="247">
        <v>25</v>
      </c>
      <c r="S152" s="247">
        <v>0</v>
      </c>
      <c r="T152" s="250"/>
    </row>
    <row r="153" spans="1:20" ht="15.75" x14ac:dyDescent="0.25">
      <c r="A153" s="247" t="s">
        <v>1299</v>
      </c>
      <c r="B153" s="247" t="s">
        <v>312</v>
      </c>
      <c r="C153" s="247" t="s">
        <v>1298</v>
      </c>
      <c r="D153" s="247">
        <v>7268793</v>
      </c>
      <c r="E153" s="247" t="s">
        <v>1058</v>
      </c>
      <c r="F153" s="247">
        <v>2020</v>
      </c>
      <c r="G153" s="248" t="s">
        <v>1282</v>
      </c>
      <c r="H153" s="247" t="s">
        <v>1156</v>
      </c>
      <c r="J153" s="249" t="s">
        <v>1300</v>
      </c>
      <c r="K153" s="308">
        <v>5.75</v>
      </c>
      <c r="L153" s="308">
        <v>0.5</v>
      </c>
      <c r="M153" s="308">
        <v>5.25</v>
      </c>
      <c r="N153" s="308">
        <v>0</v>
      </c>
      <c r="O153" s="308">
        <v>0</v>
      </c>
      <c r="P153" s="247">
        <v>0</v>
      </c>
      <c r="Q153" s="247">
        <v>0</v>
      </c>
      <c r="R153" s="247">
        <v>20</v>
      </c>
      <c r="S153" s="247">
        <v>0</v>
      </c>
      <c r="T153" s="250">
        <v>0</v>
      </c>
    </row>
    <row r="154" spans="1:20" ht="15.75" x14ac:dyDescent="0.25">
      <c r="A154" s="247" t="s">
        <v>389</v>
      </c>
      <c r="B154" s="247" t="s">
        <v>969</v>
      </c>
      <c r="C154" s="247" t="s">
        <v>1301</v>
      </c>
      <c r="D154" s="247">
        <v>8979890</v>
      </c>
      <c r="E154" s="247" t="s">
        <v>1061</v>
      </c>
      <c r="F154" s="247">
        <v>2020</v>
      </c>
      <c r="G154" s="248" t="s">
        <v>1282</v>
      </c>
      <c r="H154" s="247" t="s">
        <v>1125</v>
      </c>
      <c r="J154" s="249" t="s">
        <v>1253</v>
      </c>
      <c r="K154" s="308">
        <v>5.5</v>
      </c>
      <c r="L154" s="308">
        <v>0.5</v>
      </c>
      <c r="M154" s="308">
        <v>5</v>
      </c>
      <c r="N154" s="308">
        <v>0</v>
      </c>
      <c r="O154" s="308">
        <v>0</v>
      </c>
      <c r="P154" s="247">
        <v>0</v>
      </c>
      <c r="Q154" s="247">
        <v>0</v>
      </c>
      <c r="R154" s="247">
        <v>17</v>
      </c>
      <c r="S154" s="247">
        <v>0</v>
      </c>
      <c r="T154" s="250">
        <v>0</v>
      </c>
    </row>
    <row r="155" spans="1:20" ht="15.75" x14ac:dyDescent="0.25">
      <c r="A155" s="247" t="s">
        <v>1010</v>
      </c>
      <c r="B155" s="247" t="s">
        <v>1010</v>
      </c>
      <c r="C155" s="247" t="s">
        <v>1302</v>
      </c>
      <c r="D155" s="247">
        <v>9268423</v>
      </c>
      <c r="E155" s="247" t="s">
        <v>1058</v>
      </c>
      <c r="F155" s="247">
        <v>2020</v>
      </c>
      <c r="G155" s="248" t="s">
        <v>1282</v>
      </c>
      <c r="H155" s="247" t="s">
        <v>1125</v>
      </c>
      <c r="J155" s="249" t="s">
        <v>1253</v>
      </c>
      <c r="K155" s="308">
        <v>17.399999999999999</v>
      </c>
      <c r="L155" s="308">
        <v>0.7</v>
      </c>
      <c r="M155" s="308">
        <v>12.43</v>
      </c>
      <c r="N155" s="308">
        <v>0</v>
      </c>
      <c r="O155" s="308">
        <v>4.2699999999999996</v>
      </c>
      <c r="P155" s="247">
        <v>0</v>
      </c>
      <c r="Q155" s="247">
        <v>0</v>
      </c>
      <c r="R155" s="247">
        <v>41</v>
      </c>
      <c r="S155" s="247">
        <v>0</v>
      </c>
      <c r="T155" s="250">
        <v>0</v>
      </c>
    </row>
    <row r="156" spans="1:20" ht="15.75" x14ac:dyDescent="0.25">
      <c r="A156" s="247" t="s">
        <v>1304</v>
      </c>
      <c r="B156" s="247" t="s">
        <v>947</v>
      </c>
      <c r="C156" s="247" t="s">
        <v>1303</v>
      </c>
      <c r="D156" s="247">
        <v>9459250</v>
      </c>
      <c r="E156" s="247" t="s">
        <v>1068</v>
      </c>
      <c r="F156" s="247">
        <v>2020</v>
      </c>
      <c r="G156" s="248" t="s">
        <v>1282</v>
      </c>
      <c r="H156" s="247" t="s">
        <v>1156</v>
      </c>
      <c r="J156" s="249" t="s">
        <v>1126</v>
      </c>
      <c r="K156" s="308">
        <v>4.22</v>
      </c>
      <c r="L156" s="308">
        <v>0.11</v>
      </c>
      <c r="M156" s="308">
        <v>4.1100000000000003</v>
      </c>
      <c r="N156" s="308">
        <v>0</v>
      </c>
      <c r="O156" s="308">
        <v>0</v>
      </c>
      <c r="P156" s="247">
        <v>0</v>
      </c>
      <c r="Q156" s="247">
        <v>0</v>
      </c>
      <c r="R156" s="247">
        <v>20</v>
      </c>
      <c r="S156" s="247">
        <v>0</v>
      </c>
      <c r="T156" s="250">
        <v>0</v>
      </c>
    </row>
    <row r="157" spans="1:20" ht="15.75" x14ac:dyDescent="0.25">
      <c r="A157" s="258" t="s">
        <v>389</v>
      </c>
      <c r="B157" s="258" t="s">
        <v>760</v>
      </c>
      <c r="C157" s="258" t="s">
        <v>1301</v>
      </c>
      <c r="D157" s="258" t="s">
        <v>1153</v>
      </c>
      <c r="E157" s="251" t="s">
        <v>1061</v>
      </c>
      <c r="F157" s="247">
        <v>2020</v>
      </c>
      <c r="G157" s="252" t="s">
        <v>1282</v>
      </c>
      <c r="H157" s="251" t="s">
        <v>1125</v>
      </c>
      <c r="J157" s="259" t="s">
        <v>1305</v>
      </c>
      <c r="K157" s="251">
        <v>2.6</v>
      </c>
      <c r="L157" s="251">
        <v>0.2</v>
      </c>
      <c r="M157" s="251">
        <v>2.2999999999999998</v>
      </c>
      <c r="N157" s="251">
        <v>0.1</v>
      </c>
      <c r="O157" s="251">
        <v>0</v>
      </c>
      <c r="P157" s="251">
        <v>0</v>
      </c>
      <c r="Q157" s="251">
        <v>0</v>
      </c>
      <c r="R157" s="251">
        <v>8</v>
      </c>
      <c r="S157" s="251">
        <v>0</v>
      </c>
      <c r="T157" s="253">
        <v>43922</v>
      </c>
    </row>
    <row r="158" spans="1:20" ht="15.75" x14ac:dyDescent="0.25">
      <c r="A158" s="247" t="s">
        <v>1251</v>
      </c>
      <c r="B158" s="247" t="s">
        <v>568</v>
      </c>
      <c r="C158" s="247" t="s">
        <v>1306</v>
      </c>
      <c r="D158" s="247">
        <v>2499134</v>
      </c>
      <c r="E158" s="247" t="s">
        <v>1063</v>
      </c>
      <c r="F158" s="247">
        <v>2020</v>
      </c>
      <c r="G158" s="248" t="s">
        <v>1307</v>
      </c>
      <c r="H158" s="247" t="s">
        <v>1057</v>
      </c>
      <c r="J158" s="249" t="s">
        <v>1177</v>
      </c>
      <c r="K158" s="308">
        <v>4.55</v>
      </c>
      <c r="L158" s="308">
        <v>0.2</v>
      </c>
      <c r="M158" s="308">
        <v>2</v>
      </c>
      <c r="N158" s="308">
        <v>1.55</v>
      </c>
      <c r="O158" s="308">
        <v>0.8</v>
      </c>
      <c r="P158" s="247">
        <v>9</v>
      </c>
      <c r="Q158" s="247">
        <v>0</v>
      </c>
      <c r="R158" s="247">
        <v>0</v>
      </c>
      <c r="S158" s="247">
        <v>0</v>
      </c>
      <c r="T158" s="250">
        <v>0</v>
      </c>
    </row>
    <row r="159" spans="1:20" ht="15.75" x14ac:dyDescent="0.25">
      <c r="A159" s="247" t="s">
        <v>1309</v>
      </c>
      <c r="B159" s="247" t="s">
        <v>1268</v>
      </c>
      <c r="C159" s="247" t="s">
        <v>1308</v>
      </c>
      <c r="D159" s="247">
        <v>5312119</v>
      </c>
      <c r="E159" s="247" t="s">
        <v>1073</v>
      </c>
      <c r="F159" s="247">
        <v>2020</v>
      </c>
      <c r="G159" s="248" t="s">
        <v>1307</v>
      </c>
      <c r="H159" s="247" t="s">
        <v>1057</v>
      </c>
      <c r="J159" s="249" t="s">
        <v>1262</v>
      </c>
      <c r="K159" s="308">
        <v>2.9</v>
      </c>
      <c r="L159" s="308">
        <v>0.2</v>
      </c>
      <c r="M159" s="308">
        <v>1.2</v>
      </c>
      <c r="N159" s="308">
        <v>1.5</v>
      </c>
      <c r="O159" s="308">
        <v>0</v>
      </c>
      <c r="P159" s="247">
        <v>5</v>
      </c>
      <c r="Q159" s="247">
        <v>0</v>
      </c>
      <c r="R159" s="247">
        <v>0</v>
      </c>
      <c r="S159" s="247">
        <v>0</v>
      </c>
      <c r="T159" s="250">
        <v>0</v>
      </c>
    </row>
    <row r="160" spans="1:20" ht="15.75" x14ac:dyDescent="0.25">
      <c r="A160" s="247" t="s">
        <v>997</v>
      </c>
      <c r="B160" s="247" t="s">
        <v>997</v>
      </c>
      <c r="C160" s="247" t="s">
        <v>1310</v>
      </c>
      <c r="D160" s="247">
        <v>1546097</v>
      </c>
      <c r="E160" s="247" t="s">
        <v>1087</v>
      </c>
      <c r="F160" s="247">
        <v>2020</v>
      </c>
      <c r="G160" s="248" t="s">
        <v>1311</v>
      </c>
      <c r="H160" s="247" t="s">
        <v>1086</v>
      </c>
      <c r="J160" s="249" t="s">
        <v>1262</v>
      </c>
      <c r="K160" s="308">
        <v>69.37</v>
      </c>
      <c r="L160" s="308">
        <v>2.4</v>
      </c>
      <c r="M160" s="308">
        <v>58.69</v>
      </c>
      <c r="N160" s="308">
        <v>8.2799999999999994</v>
      </c>
      <c r="O160" s="308">
        <v>0</v>
      </c>
      <c r="P160" s="247">
        <v>98</v>
      </c>
      <c r="Q160" s="247">
        <v>0</v>
      </c>
      <c r="R160" s="247">
        <v>0</v>
      </c>
      <c r="S160" s="247">
        <v>0</v>
      </c>
      <c r="T160" s="250"/>
    </row>
    <row r="161" spans="1:20" ht="15.75" x14ac:dyDescent="0.25">
      <c r="A161" s="247" t="s">
        <v>1001</v>
      </c>
      <c r="B161" s="247" t="s">
        <v>1001</v>
      </c>
      <c r="C161" s="247" t="s">
        <v>1310</v>
      </c>
      <c r="D161" s="247">
        <v>2089762</v>
      </c>
      <c r="E161" s="247" t="s">
        <v>1087</v>
      </c>
      <c r="F161" s="247">
        <v>2020</v>
      </c>
      <c r="G161" s="248" t="s">
        <v>1311</v>
      </c>
      <c r="H161" s="247" t="s">
        <v>1086</v>
      </c>
      <c r="J161" s="249" t="s">
        <v>1262</v>
      </c>
      <c r="K161" s="308">
        <v>49</v>
      </c>
      <c r="L161" s="308">
        <v>2</v>
      </c>
      <c r="M161" s="308">
        <v>40</v>
      </c>
      <c r="N161" s="308">
        <v>7</v>
      </c>
      <c r="O161" s="308">
        <v>0</v>
      </c>
      <c r="P161" s="247">
        <v>65</v>
      </c>
      <c r="Q161" s="247">
        <v>0</v>
      </c>
      <c r="R161" s="247">
        <v>0</v>
      </c>
      <c r="S161" s="247">
        <v>0</v>
      </c>
      <c r="T161" s="250"/>
    </row>
    <row r="162" spans="1:20" ht="15.75" x14ac:dyDescent="0.25">
      <c r="A162" s="247" t="s">
        <v>425</v>
      </c>
      <c r="B162" s="247" t="s">
        <v>425</v>
      </c>
      <c r="C162" s="247" t="s">
        <v>1310</v>
      </c>
      <c r="D162" s="247">
        <v>3473171</v>
      </c>
      <c r="E162" s="247" t="s">
        <v>1087</v>
      </c>
      <c r="F162" s="247">
        <v>2020</v>
      </c>
      <c r="G162" s="248" t="s">
        <v>1311</v>
      </c>
      <c r="H162" s="247" t="s">
        <v>1086</v>
      </c>
      <c r="J162" s="249" t="s">
        <v>1262</v>
      </c>
      <c r="K162" s="308">
        <v>61.585000000000001</v>
      </c>
      <c r="L162" s="308">
        <v>2.8</v>
      </c>
      <c r="M162" s="308">
        <v>51.5</v>
      </c>
      <c r="N162" s="308">
        <v>6.5</v>
      </c>
      <c r="O162" s="308">
        <v>0.78500000000000003</v>
      </c>
      <c r="P162" s="247">
        <v>109</v>
      </c>
      <c r="Q162" s="247">
        <v>0</v>
      </c>
      <c r="R162" s="247">
        <v>0</v>
      </c>
      <c r="S162" s="247">
        <v>0</v>
      </c>
      <c r="T162" s="250"/>
    </row>
    <row r="163" spans="1:20" ht="15.75" x14ac:dyDescent="0.25">
      <c r="A163" s="247" t="s">
        <v>509</v>
      </c>
      <c r="B163" s="247" t="s">
        <v>509</v>
      </c>
      <c r="C163" s="247" t="s">
        <v>1310</v>
      </c>
      <c r="D163" s="247">
        <v>3713907</v>
      </c>
      <c r="E163" s="247" t="s">
        <v>1087</v>
      </c>
      <c r="F163" s="247">
        <v>2020</v>
      </c>
      <c r="G163" s="248" t="s">
        <v>1311</v>
      </c>
      <c r="H163" s="247" t="s">
        <v>1086</v>
      </c>
      <c r="J163" s="249" t="s">
        <v>1262</v>
      </c>
      <c r="K163" s="308">
        <v>37.299999999999997</v>
      </c>
      <c r="L163" s="308">
        <v>1.9</v>
      </c>
      <c r="M163" s="308">
        <v>27.4</v>
      </c>
      <c r="N163" s="308">
        <v>8</v>
      </c>
      <c r="O163" s="308">
        <v>0</v>
      </c>
      <c r="P163" s="247">
        <v>74</v>
      </c>
      <c r="Q163" s="247">
        <v>0</v>
      </c>
      <c r="R163" s="247">
        <v>0</v>
      </c>
      <c r="S163" s="247">
        <v>0</v>
      </c>
      <c r="T163" s="250">
        <v>0</v>
      </c>
    </row>
    <row r="164" spans="1:20" ht="15.75" x14ac:dyDescent="0.25">
      <c r="A164" s="247" t="s">
        <v>420</v>
      </c>
      <c r="B164" s="247" t="s">
        <v>420</v>
      </c>
      <c r="C164" s="247" t="s">
        <v>1312</v>
      </c>
      <c r="D164" s="247">
        <v>4721932</v>
      </c>
      <c r="E164" s="247" t="s">
        <v>1087</v>
      </c>
      <c r="F164" s="247">
        <v>2020</v>
      </c>
      <c r="G164" s="248" t="s">
        <v>1311</v>
      </c>
      <c r="H164" s="247" t="s">
        <v>1086</v>
      </c>
      <c r="J164" s="249" t="s">
        <v>1313</v>
      </c>
      <c r="K164" s="308">
        <v>53.3</v>
      </c>
      <c r="L164" s="308">
        <v>4</v>
      </c>
      <c r="M164" s="308">
        <v>39.700000000000003</v>
      </c>
      <c r="N164" s="308">
        <v>9.6</v>
      </c>
      <c r="O164" s="308">
        <v>0</v>
      </c>
      <c r="P164" s="247">
        <v>79</v>
      </c>
      <c r="Q164" s="247">
        <v>0</v>
      </c>
      <c r="R164" s="247">
        <v>0</v>
      </c>
      <c r="S164" s="247">
        <v>0</v>
      </c>
      <c r="T164" s="250">
        <v>0</v>
      </c>
    </row>
    <row r="165" spans="1:20" ht="15.75" x14ac:dyDescent="0.25">
      <c r="A165" s="247" t="s">
        <v>261</v>
      </c>
      <c r="B165" s="247" t="s">
        <v>257</v>
      </c>
      <c r="C165" s="247" t="s">
        <v>1310</v>
      </c>
      <c r="D165" s="247">
        <v>5000179</v>
      </c>
      <c r="E165" s="247" t="s">
        <v>1087</v>
      </c>
      <c r="F165" s="247">
        <v>2020</v>
      </c>
      <c r="G165" s="248" t="s">
        <v>1311</v>
      </c>
      <c r="H165" s="247" t="s">
        <v>1086</v>
      </c>
      <c r="J165" s="249" t="s">
        <v>1262</v>
      </c>
      <c r="K165" s="308">
        <v>66.5</v>
      </c>
      <c r="L165" s="308">
        <v>2</v>
      </c>
      <c r="M165" s="308">
        <v>54.5</v>
      </c>
      <c r="N165" s="308">
        <v>9</v>
      </c>
      <c r="O165" s="308">
        <v>1</v>
      </c>
      <c r="P165" s="247">
        <v>58</v>
      </c>
      <c r="Q165" s="247">
        <v>0</v>
      </c>
      <c r="R165" s="247">
        <v>0</v>
      </c>
      <c r="S165" s="247">
        <v>0</v>
      </c>
      <c r="T165" s="250"/>
    </row>
    <row r="166" spans="1:20" ht="15.75" x14ac:dyDescent="0.25">
      <c r="A166" s="247" t="s">
        <v>528</v>
      </c>
      <c r="B166" s="247" t="s">
        <v>523</v>
      </c>
      <c r="C166" s="247" t="s">
        <v>1310</v>
      </c>
      <c r="D166" s="247">
        <v>6945387</v>
      </c>
      <c r="E166" s="247" t="s">
        <v>1087</v>
      </c>
      <c r="F166" s="247">
        <v>2020</v>
      </c>
      <c r="G166" s="248" t="s">
        <v>1311</v>
      </c>
      <c r="H166" s="247" t="s">
        <v>1086</v>
      </c>
      <c r="J166" s="249" t="s">
        <v>1262</v>
      </c>
      <c r="K166" s="308">
        <v>19</v>
      </c>
      <c r="L166" s="308">
        <v>1</v>
      </c>
      <c r="M166" s="308">
        <v>12.8</v>
      </c>
      <c r="N166" s="308">
        <v>5.2</v>
      </c>
      <c r="O166" s="308">
        <v>0</v>
      </c>
      <c r="P166" s="247">
        <v>43</v>
      </c>
      <c r="Q166" s="247">
        <v>0</v>
      </c>
      <c r="R166" s="247">
        <v>0</v>
      </c>
      <c r="S166" s="247">
        <v>0</v>
      </c>
      <c r="T166" s="250"/>
    </row>
    <row r="167" spans="1:20" ht="15.75" x14ac:dyDescent="0.25">
      <c r="A167" s="247" t="s">
        <v>485</v>
      </c>
      <c r="B167" s="247" t="s">
        <v>485</v>
      </c>
      <c r="C167" s="247" t="s">
        <v>1310</v>
      </c>
      <c r="D167" s="247">
        <v>8338145</v>
      </c>
      <c r="E167" s="247" t="s">
        <v>1087</v>
      </c>
      <c r="F167" s="247">
        <v>2020</v>
      </c>
      <c r="G167" s="248" t="s">
        <v>1311</v>
      </c>
      <c r="H167" s="247" t="s">
        <v>1086</v>
      </c>
      <c r="J167" s="249" t="s">
        <v>1262</v>
      </c>
      <c r="K167" s="308">
        <v>6.13</v>
      </c>
      <c r="L167" s="308">
        <v>0.2</v>
      </c>
      <c r="M167" s="308">
        <v>4.9499999999999993</v>
      </c>
      <c r="N167" s="308">
        <v>0.98</v>
      </c>
      <c r="O167" s="308">
        <v>0</v>
      </c>
      <c r="P167" s="247">
        <v>5</v>
      </c>
      <c r="Q167" s="247">
        <v>0</v>
      </c>
      <c r="R167" s="247">
        <v>0</v>
      </c>
      <c r="S167" s="247">
        <v>0</v>
      </c>
      <c r="T167" s="250"/>
    </row>
    <row r="168" spans="1:20" ht="15.75" x14ac:dyDescent="0.25">
      <c r="A168" s="247" t="s">
        <v>358</v>
      </c>
      <c r="B168" s="247" t="s">
        <v>358</v>
      </c>
      <c r="C168" s="247" t="s">
        <v>1314</v>
      </c>
      <c r="D168" s="247">
        <v>9264829</v>
      </c>
      <c r="E168" s="247" t="s">
        <v>1087</v>
      </c>
      <c r="F168" s="247">
        <v>2020</v>
      </c>
      <c r="G168" s="248" t="s">
        <v>1311</v>
      </c>
      <c r="H168" s="247" t="s">
        <v>1086</v>
      </c>
      <c r="J168" s="249" t="s">
        <v>1109</v>
      </c>
      <c r="K168" s="308">
        <v>13.95</v>
      </c>
      <c r="L168" s="308">
        <v>0.75</v>
      </c>
      <c r="M168" s="308">
        <v>6.6</v>
      </c>
      <c r="N168" s="308">
        <v>6.6</v>
      </c>
      <c r="O168" s="308">
        <v>0</v>
      </c>
      <c r="P168" s="247">
        <v>16</v>
      </c>
      <c r="Q168" s="247">
        <v>0</v>
      </c>
      <c r="R168" s="247">
        <v>0</v>
      </c>
      <c r="S168" s="247">
        <v>0</v>
      </c>
      <c r="T168" s="250">
        <v>0</v>
      </c>
    </row>
    <row r="169" spans="1:20" ht="15.75" x14ac:dyDescent="0.25">
      <c r="A169" s="247" t="s">
        <v>506</v>
      </c>
      <c r="B169" s="247" t="s">
        <v>506</v>
      </c>
      <c r="C169" s="247" t="s">
        <v>1310</v>
      </c>
      <c r="D169" s="247">
        <v>9445282</v>
      </c>
      <c r="E169" s="247" t="s">
        <v>1087</v>
      </c>
      <c r="F169" s="247">
        <v>2020</v>
      </c>
      <c r="G169" s="248" t="s">
        <v>1311</v>
      </c>
      <c r="H169" s="247" t="s">
        <v>1086</v>
      </c>
      <c r="J169" s="249" t="s">
        <v>1262</v>
      </c>
      <c r="K169" s="308">
        <v>37</v>
      </c>
      <c r="L169" s="308">
        <v>3</v>
      </c>
      <c r="M169" s="308">
        <v>26</v>
      </c>
      <c r="N169" s="308">
        <v>8</v>
      </c>
      <c r="O169" s="308">
        <v>0</v>
      </c>
      <c r="P169" s="247">
        <v>70</v>
      </c>
      <c r="Q169" s="247">
        <v>0</v>
      </c>
      <c r="R169" s="247">
        <v>0</v>
      </c>
      <c r="S169" s="247">
        <v>0</v>
      </c>
      <c r="T169" s="250">
        <v>0</v>
      </c>
    </row>
    <row r="170" spans="1:20" ht="15.75" x14ac:dyDescent="0.25">
      <c r="A170" s="247" t="s">
        <v>390</v>
      </c>
      <c r="B170" s="247" t="s">
        <v>1003</v>
      </c>
      <c r="C170" s="247" t="s">
        <v>1315</v>
      </c>
      <c r="D170" s="247">
        <v>1109434</v>
      </c>
      <c r="E170" s="247" t="s">
        <v>1144</v>
      </c>
      <c r="F170" s="247">
        <v>2020</v>
      </c>
      <c r="G170" s="248" t="s">
        <v>1316</v>
      </c>
      <c r="H170" s="247" t="s">
        <v>1125</v>
      </c>
      <c r="J170" s="249" t="s">
        <v>1177</v>
      </c>
      <c r="K170" s="308">
        <v>29</v>
      </c>
      <c r="L170" s="308">
        <v>2</v>
      </c>
      <c r="M170" s="308">
        <v>19</v>
      </c>
      <c r="N170" s="308">
        <v>8</v>
      </c>
      <c r="O170" s="308">
        <v>0</v>
      </c>
      <c r="P170" s="247">
        <v>65</v>
      </c>
      <c r="Q170" s="247">
        <v>0</v>
      </c>
      <c r="R170" s="247">
        <v>0</v>
      </c>
      <c r="S170" s="247">
        <v>0</v>
      </c>
      <c r="T170" s="250">
        <v>0</v>
      </c>
    </row>
    <row r="171" spans="1:20" ht="15.75" x14ac:dyDescent="0.25">
      <c r="A171" s="247" t="s">
        <v>470</v>
      </c>
      <c r="B171" s="247" t="s">
        <v>470</v>
      </c>
      <c r="C171" s="247" t="s">
        <v>1317</v>
      </c>
      <c r="D171" s="247">
        <v>1665958</v>
      </c>
      <c r="E171" s="247" t="s">
        <v>1068</v>
      </c>
      <c r="F171" s="247">
        <v>2020</v>
      </c>
      <c r="G171" s="248" t="s">
        <v>1316</v>
      </c>
      <c r="H171" s="247" t="s">
        <v>1125</v>
      </c>
      <c r="J171" s="249" t="s">
        <v>1177</v>
      </c>
      <c r="K171" s="308">
        <v>20</v>
      </c>
      <c r="L171" s="308">
        <v>1</v>
      </c>
      <c r="M171" s="308">
        <v>13</v>
      </c>
      <c r="N171" s="308">
        <v>6</v>
      </c>
      <c r="O171" s="308">
        <v>0</v>
      </c>
      <c r="P171" s="247">
        <v>55</v>
      </c>
      <c r="Q171" s="247">
        <v>0</v>
      </c>
      <c r="R171" s="247">
        <v>0</v>
      </c>
      <c r="S171" s="247">
        <v>0</v>
      </c>
      <c r="T171" s="250">
        <v>0</v>
      </c>
    </row>
    <row r="172" spans="1:20" ht="15.75" x14ac:dyDescent="0.25">
      <c r="A172" s="247" t="s">
        <v>1259</v>
      </c>
      <c r="B172" s="247" t="s">
        <v>678</v>
      </c>
      <c r="C172" s="247" t="s">
        <v>1318</v>
      </c>
      <c r="D172" s="247">
        <v>1817339</v>
      </c>
      <c r="E172" s="247" t="s">
        <v>1061</v>
      </c>
      <c r="F172" s="247">
        <v>2020</v>
      </c>
      <c r="G172" s="248" t="s">
        <v>1316</v>
      </c>
      <c r="H172" s="247" t="s">
        <v>1125</v>
      </c>
      <c r="J172" s="249" t="s">
        <v>1177</v>
      </c>
      <c r="K172" s="308">
        <v>17.100000000000001</v>
      </c>
      <c r="L172" s="308">
        <v>0.9</v>
      </c>
      <c r="M172" s="308">
        <v>9.9</v>
      </c>
      <c r="N172" s="308">
        <v>6.3</v>
      </c>
      <c r="O172" s="308">
        <v>0</v>
      </c>
      <c r="P172" s="247">
        <v>58</v>
      </c>
      <c r="Q172" s="247">
        <v>0</v>
      </c>
      <c r="R172" s="247">
        <v>0</v>
      </c>
      <c r="S172" s="247">
        <v>0</v>
      </c>
      <c r="T172" s="250">
        <v>0</v>
      </c>
    </row>
    <row r="173" spans="1:20" ht="15.75" x14ac:dyDescent="0.25">
      <c r="A173" s="247" t="s">
        <v>496</v>
      </c>
      <c r="B173" s="247" t="s">
        <v>496</v>
      </c>
      <c r="C173" s="247" t="s">
        <v>1319</v>
      </c>
      <c r="D173" s="247">
        <v>1872907</v>
      </c>
      <c r="E173" s="247" t="s">
        <v>1073</v>
      </c>
      <c r="F173" s="247">
        <v>2020</v>
      </c>
      <c r="G173" s="248" t="s">
        <v>1316</v>
      </c>
      <c r="H173" s="247" t="s">
        <v>1125</v>
      </c>
      <c r="J173" s="249" t="s">
        <v>1177</v>
      </c>
      <c r="K173" s="308">
        <v>20</v>
      </c>
      <c r="L173" s="308">
        <v>1</v>
      </c>
      <c r="M173" s="308">
        <v>13</v>
      </c>
      <c r="N173" s="308">
        <v>6</v>
      </c>
      <c r="O173" s="308">
        <v>0</v>
      </c>
      <c r="P173" s="247">
        <v>45</v>
      </c>
      <c r="Q173" s="247">
        <v>0</v>
      </c>
      <c r="R173" s="247">
        <v>0</v>
      </c>
      <c r="S173" s="247">
        <v>0</v>
      </c>
      <c r="T173" s="250"/>
    </row>
    <row r="174" spans="1:20" ht="15.75" x14ac:dyDescent="0.25">
      <c r="A174" s="247" t="s">
        <v>459</v>
      </c>
      <c r="B174" s="247" t="s">
        <v>459</v>
      </c>
      <c r="C174" s="247" t="s">
        <v>1320</v>
      </c>
      <c r="D174" s="247">
        <v>2125600</v>
      </c>
      <c r="E174" s="247" t="s">
        <v>1058</v>
      </c>
      <c r="F174" s="247">
        <v>2020</v>
      </c>
      <c r="G174" s="248" t="s">
        <v>1316</v>
      </c>
      <c r="H174" s="247" t="s">
        <v>1125</v>
      </c>
      <c r="J174" s="249" t="s">
        <v>1177</v>
      </c>
      <c r="K174" s="308">
        <v>27.5</v>
      </c>
      <c r="L174" s="308">
        <v>2</v>
      </c>
      <c r="M174" s="308">
        <v>18.5</v>
      </c>
      <c r="N174" s="308">
        <v>7</v>
      </c>
      <c r="O174" s="308">
        <v>0</v>
      </c>
      <c r="P174" s="247">
        <v>54</v>
      </c>
      <c r="Q174" s="247">
        <v>0</v>
      </c>
      <c r="R174" s="247">
        <v>0</v>
      </c>
      <c r="S174" s="247">
        <v>0</v>
      </c>
      <c r="T174" s="250">
        <v>0</v>
      </c>
    </row>
    <row r="175" spans="1:20" ht="15.75" x14ac:dyDescent="0.25">
      <c r="A175" s="247" t="s">
        <v>467</v>
      </c>
      <c r="B175" s="247" t="s">
        <v>467</v>
      </c>
      <c r="C175" s="247" t="s">
        <v>1321</v>
      </c>
      <c r="D175" s="247">
        <v>2749776</v>
      </c>
      <c r="E175" s="247" t="s">
        <v>1061</v>
      </c>
      <c r="F175" s="247">
        <v>2020</v>
      </c>
      <c r="G175" s="248" t="s">
        <v>1316</v>
      </c>
      <c r="H175" s="247" t="s">
        <v>1125</v>
      </c>
      <c r="J175" s="249" t="s">
        <v>1177</v>
      </c>
      <c r="K175" s="308">
        <v>20</v>
      </c>
      <c r="L175" s="308">
        <v>1</v>
      </c>
      <c r="M175" s="308">
        <v>11</v>
      </c>
      <c r="N175" s="308">
        <v>8</v>
      </c>
      <c r="O175" s="308">
        <v>0</v>
      </c>
      <c r="P175" s="247">
        <v>53</v>
      </c>
      <c r="Q175" s="247">
        <v>0</v>
      </c>
      <c r="R175" s="247">
        <v>0</v>
      </c>
      <c r="S175" s="247">
        <v>0</v>
      </c>
      <c r="T175" s="250"/>
    </row>
    <row r="176" spans="1:20" ht="15.75" x14ac:dyDescent="0.25">
      <c r="A176" s="247" t="s">
        <v>477</v>
      </c>
      <c r="B176" s="247" t="s">
        <v>477</v>
      </c>
      <c r="C176" s="247" t="s">
        <v>1321</v>
      </c>
      <c r="D176" s="247">
        <v>2801353</v>
      </c>
      <c r="E176" s="247" t="s">
        <v>1061</v>
      </c>
      <c r="F176" s="247">
        <v>2020</v>
      </c>
      <c r="G176" s="248" t="s">
        <v>1316</v>
      </c>
      <c r="H176" s="247" t="s">
        <v>1125</v>
      </c>
      <c r="J176" s="249" t="s">
        <v>1177</v>
      </c>
      <c r="K176" s="308">
        <v>36</v>
      </c>
      <c r="L176" s="308">
        <v>2</v>
      </c>
      <c r="M176" s="308">
        <v>24</v>
      </c>
      <c r="N176" s="308">
        <v>10</v>
      </c>
      <c r="O176" s="308">
        <v>0</v>
      </c>
      <c r="P176" s="247">
        <v>64</v>
      </c>
      <c r="Q176" s="247">
        <v>0</v>
      </c>
      <c r="R176" s="247">
        <v>0</v>
      </c>
      <c r="S176" s="247">
        <v>0</v>
      </c>
      <c r="T176" s="250"/>
    </row>
    <row r="177" spans="1:20" ht="15.75" x14ac:dyDescent="0.25">
      <c r="A177" s="247" t="s">
        <v>447</v>
      </c>
      <c r="B177" s="247" t="s">
        <v>447</v>
      </c>
      <c r="C177" s="247" t="s">
        <v>1320</v>
      </c>
      <c r="D177" s="247">
        <v>2837121</v>
      </c>
      <c r="E177" s="247" t="s">
        <v>1058</v>
      </c>
      <c r="F177" s="247">
        <v>2020</v>
      </c>
      <c r="G177" s="248" t="s">
        <v>1316</v>
      </c>
      <c r="H177" s="247" t="s">
        <v>1125</v>
      </c>
      <c r="J177" s="249" t="s">
        <v>1177</v>
      </c>
      <c r="K177" s="308">
        <v>10.029999999999999</v>
      </c>
      <c r="L177" s="308">
        <v>0.64</v>
      </c>
      <c r="M177" s="308">
        <v>7.4700000000000006</v>
      </c>
      <c r="N177" s="308">
        <v>1.92</v>
      </c>
      <c r="O177" s="308">
        <v>0</v>
      </c>
      <c r="P177" s="247">
        <v>16</v>
      </c>
      <c r="Q177" s="247">
        <v>0</v>
      </c>
      <c r="R177" s="247">
        <v>0</v>
      </c>
      <c r="S177" s="247">
        <v>0</v>
      </c>
      <c r="T177" s="250"/>
    </row>
    <row r="178" spans="1:20" ht="15.75" x14ac:dyDescent="0.25">
      <c r="A178" s="247" t="s">
        <v>1007</v>
      </c>
      <c r="B178" s="247" t="s">
        <v>1007</v>
      </c>
      <c r="C178" s="247" t="s">
        <v>1317</v>
      </c>
      <c r="D178" s="247">
        <v>3135426</v>
      </c>
      <c r="E178" s="247" t="s">
        <v>1068</v>
      </c>
      <c r="F178" s="247">
        <v>2020</v>
      </c>
      <c r="G178" s="248" t="s">
        <v>1316</v>
      </c>
      <c r="H178" s="247" t="s">
        <v>1125</v>
      </c>
      <c r="J178" s="249" t="s">
        <v>1177</v>
      </c>
      <c r="K178" s="308">
        <v>21.25</v>
      </c>
      <c r="L178" s="308">
        <v>1.25</v>
      </c>
      <c r="M178" s="308">
        <v>14</v>
      </c>
      <c r="N178" s="308">
        <v>6</v>
      </c>
      <c r="O178" s="308">
        <v>0</v>
      </c>
      <c r="P178" s="247">
        <v>68</v>
      </c>
      <c r="Q178" s="247">
        <v>0</v>
      </c>
      <c r="R178" s="247">
        <v>0</v>
      </c>
      <c r="S178" s="247">
        <v>0</v>
      </c>
      <c r="T178" s="250">
        <v>0</v>
      </c>
    </row>
    <row r="179" spans="1:20" ht="15.75" x14ac:dyDescent="0.25">
      <c r="A179" s="247" t="s">
        <v>519</v>
      </c>
      <c r="B179" s="247" t="s">
        <v>519</v>
      </c>
      <c r="C179" s="247" t="s">
        <v>1320</v>
      </c>
      <c r="D179" s="247">
        <v>3529182</v>
      </c>
      <c r="E179" s="247" t="s">
        <v>1058</v>
      </c>
      <c r="F179" s="247">
        <v>2020</v>
      </c>
      <c r="G179" s="248" t="s">
        <v>1316</v>
      </c>
      <c r="H179" s="247" t="s">
        <v>1125</v>
      </c>
      <c r="J179" s="249" t="s">
        <v>1177</v>
      </c>
      <c r="K179" s="308">
        <v>18.3</v>
      </c>
      <c r="L179" s="308">
        <v>2</v>
      </c>
      <c r="M179" s="308">
        <v>10</v>
      </c>
      <c r="N179" s="308">
        <v>6.3</v>
      </c>
      <c r="O179" s="308">
        <v>0</v>
      </c>
      <c r="P179" s="247">
        <v>48</v>
      </c>
      <c r="Q179" s="247">
        <v>0</v>
      </c>
      <c r="R179" s="247">
        <v>0</v>
      </c>
      <c r="S179" s="247">
        <v>0</v>
      </c>
      <c r="T179" s="250">
        <v>0</v>
      </c>
    </row>
    <row r="180" spans="1:20" ht="15.75" x14ac:dyDescent="0.25">
      <c r="A180" s="247" t="s">
        <v>957</v>
      </c>
      <c r="B180" s="247" t="s">
        <v>955</v>
      </c>
      <c r="C180" s="247" t="s">
        <v>1322</v>
      </c>
      <c r="D180" s="247">
        <v>3619533</v>
      </c>
      <c r="E180" s="247" t="s">
        <v>1131</v>
      </c>
      <c r="F180" s="247">
        <v>2020</v>
      </c>
      <c r="G180" s="248" t="s">
        <v>1316</v>
      </c>
      <c r="H180" s="247" t="s">
        <v>1125</v>
      </c>
      <c r="J180" s="249" t="s">
        <v>1177</v>
      </c>
      <c r="K180" s="308">
        <v>17.25</v>
      </c>
      <c r="L180" s="308">
        <v>1</v>
      </c>
      <c r="M180" s="308">
        <v>10</v>
      </c>
      <c r="N180" s="308">
        <v>6.25</v>
      </c>
      <c r="O180" s="308">
        <v>0</v>
      </c>
      <c r="P180" s="247">
        <v>35</v>
      </c>
      <c r="Q180" s="247">
        <v>0</v>
      </c>
      <c r="R180" s="247">
        <v>0</v>
      </c>
      <c r="S180" s="247">
        <v>0</v>
      </c>
      <c r="T180" s="250">
        <v>0</v>
      </c>
    </row>
    <row r="181" spans="1:20" ht="15.75" x14ac:dyDescent="0.25">
      <c r="A181" s="247" t="s">
        <v>464</v>
      </c>
      <c r="B181" s="247" t="s">
        <v>464</v>
      </c>
      <c r="C181" s="247" t="s">
        <v>1319</v>
      </c>
      <c r="D181" s="247">
        <v>3943362</v>
      </c>
      <c r="E181" s="247" t="s">
        <v>1073</v>
      </c>
      <c r="F181" s="247">
        <v>2020</v>
      </c>
      <c r="G181" s="248" t="s">
        <v>1316</v>
      </c>
      <c r="H181" s="247" t="s">
        <v>1125</v>
      </c>
      <c r="J181" s="249" t="s">
        <v>1177</v>
      </c>
      <c r="K181" s="308">
        <v>23</v>
      </c>
      <c r="L181" s="308">
        <v>2</v>
      </c>
      <c r="M181" s="308">
        <v>13</v>
      </c>
      <c r="N181" s="308">
        <v>8</v>
      </c>
      <c r="O181" s="308">
        <v>0</v>
      </c>
      <c r="P181" s="247">
        <v>52</v>
      </c>
      <c r="Q181" s="247">
        <v>0</v>
      </c>
      <c r="R181" s="247">
        <v>0</v>
      </c>
      <c r="S181" s="247">
        <v>0</v>
      </c>
      <c r="T181" s="250">
        <v>0</v>
      </c>
    </row>
    <row r="182" spans="1:20" ht="15.75" x14ac:dyDescent="0.25">
      <c r="A182" s="247" t="s">
        <v>390</v>
      </c>
      <c r="B182" s="247" t="s">
        <v>947</v>
      </c>
      <c r="C182" s="247" t="s">
        <v>1323</v>
      </c>
      <c r="D182" s="247">
        <v>4381530</v>
      </c>
      <c r="E182" s="247" t="s">
        <v>1068</v>
      </c>
      <c r="F182" s="247">
        <v>2020</v>
      </c>
      <c r="G182" s="248" t="s">
        <v>1316</v>
      </c>
      <c r="H182" s="247" t="s">
        <v>1125</v>
      </c>
      <c r="J182" s="249" t="s">
        <v>1177</v>
      </c>
      <c r="K182" s="308">
        <v>35</v>
      </c>
      <c r="L182" s="308">
        <v>3</v>
      </c>
      <c r="M182" s="308">
        <v>23</v>
      </c>
      <c r="N182" s="308">
        <v>9</v>
      </c>
      <c r="O182" s="308">
        <v>0</v>
      </c>
      <c r="P182" s="247">
        <v>61</v>
      </c>
      <c r="Q182" s="247">
        <v>0</v>
      </c>
      <c r="R182" s="247">
        <v>0</v>
      </c>
      <c r="S182" s="247">
        <v>0</v>
      </c>
      <c r="T182" s="250">
        <v>0</v>
      </c>
    </row>
    <row r="183" spans="1:20" ht="15.75" x14ac:dyDescent="0.25">
      <c r="A183" s="247" t="s">
        <v>390</v>
      </c>
      <c r="B183" s="247" t="s">
        <v>1213</v>
      </c>
      <c r="C183" s="247" t="s">
        <v>1324</v>
      </c>
      <c r="D183" s="247">
        <v>4396482</v>
      </c>
      <c r="E183" s="247" t="s">
        <v>1063</v>
      </c>
      <c r="F183" s="247">
        <v>2020</v>
      </c>
      <c r="G183" s="248" t="s">
        <v>1316</v>
      </c>
      <c r="H183" s="247" t="s">
        <v>1125</v>
      </c>
      <c r="J183" s="249" t="s">
        <v>1177</v>
      </c>
      <c r="K183" s="308">
        <v>15</v>
      </c>
      <c r="L183" s="308">
        <v>1</v>
      </c>
      <c r="M183" s="308">
        <v>8</v>
      </c>
      <c r="N183" s="308">
        <v>6</v>
      </c>
      <c r="O183" s="308">
        <v>0</v>
      </c>
      <c r="P183" s="247">
        <v>30</v>
      </c>
      <c r="Q183" s="247">
        <v>0</v>
      </c>
      <c r="R183" s="247">
        <v>0</v>
      </c>
      <c r="S183" s="247">
        <v>0</v>
      </c>
      <c r="T183" s="250">
        <v>0</v>
      </c>
    </row>
    <row r="184" spans="1:20" ht="15.75" x14ac:dyDescent="0.25">
      <c r="A184" s="247" t="s">
        <v>453</v>
      </c>
      <c r="B184" s="247" t="s">
        <v>453</v>
      </c>
      <c r="C184" s="247" t="s">
        <v>1325</v>
      </c>
      <c r="D184" s="247">
        <v>4753225</v>
      </c>
      <c r="E184" s="247" t="s">
        <v>1134</v>
      </c>
      <c r="F184" s="247">
        <v>2020</v>
      </c>
      <c r="G184" s="248" t="s">
        <v>1316</v>
      </c>
      <c r="H184" s="247" t="s">
        <v>1125</v>
      </c>
      <c r="J184" s="249" t="s">
        <v>1177</v>
      </c>
      <c r="K184" s="308">
        <v>38.799999999999997</v>
      </c>
      <c r="L184" s="308">
        <v>4</v>
      </c>
      <c r="M184" s="308">
        <v>24.55</v>
      </c>
      <c r="N184" s="308">
        <v>10.25</v>
      </c>
      <c r="O184" s="308">
        <v>0</v>
      </c>
      <c r="P184" s="247">
        <v>80</v>
      </c>
      <c r="Q184" s="247">
        <v>0</v>
      </c>
      <c r="R184" s="247">
        <v>0</v>
      </c>
      <c r="S184" s="247">
        <v>0</v>
      </c>
      <c r="T184" s="250">
        <v>0</v>
      </c>
    </row>
    <row r="185" spans="1:20" ht="15.75" x14ac:dyDescent="0.25">
      <c r="A185" s="247" t="s">
        <v>390</v>
      </c>
      <c r="B185" s="247" t="s">
        <v>682</v>
      </c>
      <c r="C185" s="247" t="s">
        <v>1321</v>
      </c>
      <c r="D185" s="247">
        <v>4782003</v>
      </c>
      <c r="E185" s="247" t="s">
        <v>1061</v>
      </c>
      <c r="F185" s="247">
        <v>2020</v>
      </c>
      <c r="G185" s="248" t="s">
        <v>1316</v>
      </c>
      <c r="H185" s="247" t="s">
        <v>1125</v>
      </c>
      <c r="J185" s="249" t="s">
        <v>1177</v>
      </c>
      <c r="K185" s="308">
        <v>26.74</v>
      </c>
      <c r="L185" s="308">
        <v>1.1499999999999999</v>
      </c>
      <c r="M185" s="308">
        <v>18</v>
      </c>
      <c r="N185" s="308">
        <v>7.59</v>
      </c>
      <c r="O185" s="308">
        <v>0</v>
      </c>
      <c r="P185" s="247">
        <v>43</v>
      </c>
      <c r="Q185" s="247">
        <v>0</v>
      </c>
      <c r="R185" s="247">
        <v>0</v>
      </c>
      <c r="S185" s="247">
        <v>0</v>
      </c>
      <c r="T185" s="250">
        <v>0</v>
      </c>
    </row>
    <row r="186" spans="1:20" ht="15.75" x14ac:dyDescent="0.25">
      <c r="A186" s="247" t="s">
        <v>456</v>
      </c>
      <c r="B186" s="247" t="s">
        <v>456</v>
      </c>
      <c r="C186" s="247" t="s">
        <v>1326</v>
      </c>
      <c r="D186" s="247">
        <v>5040302</v>
      </c>
      <c r="E186" s="247" t="s">
        <v>1223</v>
      </c>
      <c r="F186" s="247">
        <v>2020</v>
      </c>
      <c r="G186" s="248" t="s">
        <v>1316</v>
      </c>
      <c r="H186" s="247" t="s">
        <v>1125</v>
      </c>
      <c r="J186" s="249" t="s">
        <v>1177</v>
      </c>
      <c r="K186" s="308">
        <v>21</v>
      </c>
      <c r="L186" s="308">
        <v>2</v>
      </c>
      <c r="M186" s="308">
        <v>12</v>
      </c>
      <c r="N186" s="308">
        <v>7</v>
      </c>
      <c r="O186" s="308">
        <v>0</v>
      </c>
      <c r="P186" s="247">
        <v>47</v>
      </c>
      <c r="Q186" s="247">
        <v>0</v>
      </c>
      <c r="R186" s="247">
        <v>0</v>
      </c>
      <c r="S186" s="247">
        <v>0</v>
      </c>
      <c r="T186" s="250">
        <v>0</v>
      </c>
    </row>
    <row r="187" spans="1:20" ht="15.75" x14ac:dyDescent="0.25">
      <c r="A187" s="247" t="s">
        <v>942</v>
      </c>
      <c r="B187" s="247" t="s">
        <v>942</v>
      </c>
      <c r="C187" s="247" t="s">
        <v>1327</v>
      </c>
      <c r="D187" s="247">
        <v>5344327</v>
      </c>
      <c r="E187" s="247" t="s">
        <v>1142</v>
      </c>
      <c r="F187" s="247">
        <v>2020</v>
      </c>
      <c r="G187" s="248" t="s">
        <v>1316</v>
      </c>
      <c r="H187" s="247" t="s">
        <v>1125</v>
      </c>
      <c r="J187" s="249" t="s">
        <v>1177</v>
      </c>
      <c r="K187" s="308">
        <v>22.7</v>
      </c>
      <c r="L187" s="308">
        <v>1.2</v>
      </c>
      <c r="M187" s="308">
        <v>18</v>
      </c>
      <c r="N187" s="308">
        <v>3.5</v>
      </c>
      <c r="O187" s="308">
        <v>0</v>
      </c>
      <c r="P187" s="247">
        <v>60</v>
      </c>
      <c r="Q187" s="247">
        <v>0</v>
      </c>
      <c r="R187" s="247">
        <v>0</v>
      </c>
      <c r="S187" s="247">
        <v>0</v>
      </c>
      <c r="T187" s="250">
        <v>0</v>
      </c>
    </row>
    <row r="188" spans="1:20" ht="15.75" x14ac:dyDescent="0.25">
      <c r="A188" s="247" t="s">
        <v>525</v>
      </c>
      <c r="B188" s="247" t="s">
        <v>523</v>
      </c>
      <c r="C188" s="247" t="s">
        <v>1321</v>
      </c>
      <c r="D188" s="247">
        <v>5869239</v>
      </c>
      <c r="E188" s="247" t="s">
        <v>1061</v>
      </c>
      <c r="F188" s="247">
        <v>2020</v>
      </c>
      <c r="G188" s="248" t="s">
        <v>1316</v>
      </c>
      <c r="H188" s="247" t="s">
        <v>1125</v>
      </c>
      <c r="J188" s="249" t="s">
        <v>1177</v>
      </c>
      <c r="K188" s="308">
        <v>48.5</v>
      </c>
      <c r="L188" s="308">
        <v>4</v>
      </c>
      <c r="M188" s="308">
        <v>31.2</v>
      </c>
      <c r="N188" s="308">
        <v>13.3</v>
      </c>
      <c r="O188" s="308">
        <v>0</v>
      </c>
      <c r="P188" s="247">
        <v>103</v>
      </c>
      <c r="Q188" s="247">
        <v>0</v>
      </c>
      <c r="R188" s="247">
        <v>0</v>
      </c>
      <c r="S188" s="247">
        <v>0</v>
      </c>
      <c r="T188" s="250"/>
    </row>
    <row r="189" spans="1:20" ht="15.75" x14ac:dyDescent="0.25">
      <c r="A189" s="247" t="s">
        <v>1328</v>
      </c>
      <c r="B189" s="247" t="s">
        <v>821</v>
      </c>
      <c r="C189" s="247" t="s">
        <v>1317</v>
      </c>
      <c r="D189" s="247">
        <v>5894253</v>
      </c>
      <c r="E189" s="247" t="s">
        <v>1068</v>
      </c>
      <c r="F189" s="247">
        <v>2020</v>
      </c>
      <c r="G189" s="248" t="s">
        <v>1316</v>
      </c>
      <c r="H189" s="247" t="s">
        <v>1125</v>
      </c>
      <c r="J189" s="249" t="s">
        <v>1177</v>
      </c>
      <c r="K189" s="308">
        <v>11</v>
      </c>
      <c r="L189" s="308">
        <v>1</v>
      </c>
      <c r="M189" s="308">
        <v>7</v>
      </c>
      <c r="N189" s="308">
        <v>3</v>
      </c>
      <c r="O189" s="308">
        <v>0</v>
      </c>
      <c r="P189" s="247">
        <v>25</v>
      </c>
      <c r="Q189" s="247">
        <v>0</v>
      </c>
      <c r="R189" s="247">
        <v>0</v>
      </c>
      <c r="S189" s="247">
        <v>0</v>
      </c>
      <c r="T189" s="250">
        <v>0</v>
      </c>
    </row>
    <row r="190" spans="1:20" ht="15.75" x14ac:dyDescent="0.25">
      <c r="A190" s="247" t="s">
        <v>502</v>
      </c>
      <c r="B190" s="247" t="s">
        <v>502</v>
      </c>
      <c r="C190" s="247" t="s">
        <v>1329</v>
      </c>
      <c r="D190" s="247">
        <v>6565956</v>
      </c>
      <c r="E190" s="247" t="s">
        <v>1128</v>
      </c>
      <c r="F190" s="247">
        <v>2020</v>
      </c>
      <c r="G190" s="248" t="s">
        <v>1316</v>
      </c>
      <c r="H190" s="247" t="s">
        <v>1125</v>
      </c>
      <c r="J190" s="249" t="s">
        <v>1177</v>
      </c>
      <c r="K190" s="308">
        <v>21.68</v>
      </c>
      <c r="L190" s="308">
        <v>1.22</v>
      </c>
      <c r="M190" s="308">
        <v>11.2</v>
      </c>
      <c r="N190" s="308">
        <v>9.26</v>
      </c>
      <c r="O190" s="308">
        <v>0</v>
      </c>
      <c r="P190" s="247">
        <v>55</v>
      </c>
      <c r="Q190" s="247">
        <v>0</v>
      </c>
      <c r="R190" s="247">
        <v>0</v>
      </c>
      <c r="S190" s="247">
        <v>0</v>
      </c>
      <c r="T190" s="250">
        <v>0</v>
      </c>
    </row>
    <row r="191" spans="1:20" ht="15.75" x14ac:dyDescent="0.25">
      <c r="A191" s="247" t="s">
        <v>444</v>
      </c>
      <c r="B191" s="247" t="s">
        <v>444</v>
      </c>
      <c r="C191" s="247" t="s">
        <v>1330</v>
      </c>
      <c r="D191" s="247">
        <v>6581899</v>
      </c>
      <c r="E191" s="247" t="s">
        <v>1151</v>
      </c>
      <c r="F191" s="247">
        <v>2020</v>
      </c>
      <c r="G191" s="248" t="s">
        <v>1316</v>
      </c>
      <c r="H191" s="247" t="s">
        <v>1125</v>
      </c>
      <c r="J191" s="249" t="s">
        <v>1177</v>
      </c>
      <c r="K191" s="308">
        <v>47</v>
      </c>
      <c r="L191" s="308">
        <v>1</v>
      </c>
      <c r="M191" s="308">
        <v>30</v>
      </c>
      <c r="N191" s="308">
        <v>16</v>
      </c>
      <c r="O191" s="308">
        <v>0</v>
      </c>
      <c r="P191" s="247">
        <v>115</v>
      </c>
      <c r="Q191" s="247">
        <v>0</v>
      </c>
      <c r="R191" s="247">
        <v>0</v>
      </c>
      <c r="S191" s="247">
        <v>0</v>
      </c>
      <c r="T191" s="250"/>
    </row>
    <row r="192" spans="1:20" ht="15.75" x14ac:dyDescent="0.25">
      <c r="A192" s="247" t="s">
        <v>1331</v>
      </c>
      <c r="B192" s="247" t="s">
        <v>515</v>
      </c>
      <c r="C192" s="247" t="s">
        <v>1320</v>
      </c>
      <c r="D192" s="247">
        <v>7630615</v>
      </c>
      <c r="E192" s="247" t="s">
        <v>1058</v>
      </c>
      <c r="F192" s="247">
        <v>2020</v>
      </c>
      <c r="G192" s="248" t="s">
        <v>1316</v>
      </c>
      <c r="H192" s="247" t="s">
        <v>1125</v>
      </c>
      <c r="J192" s="249" t="s">
        <v>1177</v>
      </c>
      <c r="K192" s="308">
        <v>130.19999999999999</v>
      </c>
      <c r="L192" s="308">
        <v>6.5</v>
      </c>
      <c r="M192" s="308">
        <v>97.4</v>
      </c>
      <c r="N192" s="308">
        <v>26.3</v>
      </c>
      <c r="O192" s="308">
        <v>0</v>
      </c>
      <c r="P192" s="247">
        <v>282</v>
      </c>
      <c r="Q192" s="247">
        <v>0</v>
      </c>
      <c r="R192" s="247">
        <v>0</v>
      </c>
      <c r="S192" s="247">
        <v>0</v>
      </c>
      <c r="T192" s="250"/>
    </row>
    <row r="193" spans="1:20" ht="15.75" x14ac:dyDescent="0.25">
      <c r="A193" s="247" t="s">
        <v>1332</v>
      </c>
      <c r="B193" s="247" t="s">
        <v>384</v>
      </c>
      <c r="C193" s="247" t="s">
        <v>1325</v>
      </c>
      <c r="D193" s="247">
        <v>7857005</v>
      </c>
      <c r="E193" s="247" t="s">
        <v>1134</v>
      </c>
      <c r="F193" s="247">
        <v>2020</v>
      </c>
      <c r="G193" s="248" t="s">
        <v>1316</v>
      </c>
      <c r="H193" s="247" t="s">
        <v>1125</v>
      </c>
      <c r="J193" s="249" t="s">
        <v>1177</v>
      </c>
      <c r="K193" s="308">
        <v>10.775</v>
      </c>
      <c r="L193" s="308">
        <v>0.375</v>
      </c>
      <c r="M193" s="308">
        <v>7.9</v>
      </c>
      <c r="N193" s="308">
        <v>2.5</v>
      </c>
      <c r="O193" s="308">
        <v>0</v>
      </c>
      <c r="P193" s="247">
        <v>23</v>
      </c>
      <c r="Q193" s="247">
        <v>0</v>
      </c>
      <c r="R193" s="247">
        <v>0</v>
      </c>
      <c r="S193" s="247">
        <v>0</v>
      </c>
      <c r="T193" s="250">
        <v>0</v>
      </c>
    </row>
    <row r="194" spans="1:20" ht="15.75" x14ac:dyDescent="0.25">
      <c r="A194" s="247" t="s">
        <v>390</v>
      </c>
      <c r="B194" s="247" t="s">
        <v>332</v>
      </c>
      <c r="C194" s="247" t="s">
        <v>1333</v>
      </c>
      <c r="D194" s="247">
        <v>7916274</v>
      </c>
      <c r="E194" s="247" t="s">
        <v>1192</v>
      </c>
      <c r="F194" s="247">
        <v>2020</v>
      </c>
      <c r="G194" s="248" t="s">
        <v>1316</v>
      </c>
      <c r="H194" s="247" t="s">
        <v>1125</v>
      </c>
      <c r="J194" s="249" t="s">
        <v>1177</v>
      </c>
      <c r="K194" s="308">
        <v>23</v>
      </c>
      <c r="L194" s="308">
        <v>2</v>
      </c>
      <c r="M194" s="308">
        <v>15</v>
      </c>
      <c r="N194" s="308">
        <v>6</v>
      </c>
      <c r="O194" s="308">
        <v>0</v>
      </c>
      <c r="P194" s="247">
        <v>42</v>
      </c>
      <c r="Q194" s="247">
        <v>0</v>
      </c>
      <c r="R194" s="247">
        <v>0</v>
      </c>
      <c r="S194" s="247">
        <v>0</v>
      </c>
      <c r="T194" s="250"/>
    </row>
    <row r="195" spans="1:20" ht="15.75" x14ac:dyDescent="0.25">
      <c r="A195" s="247" t="s">
        <v>472</v>
      </c>
      <c r="B195" s="247" t="s">
        <v>472</v>
      </c>
      <c r="C195" s="247" t="s">
        <v>1321</v>
      </c>
      <c r="D195" s="247">
        <v>8508078</v>
      </c>
      <c r="E195" s="247" t="s">
        <v>1061</v>
      </c>
      <c r="F195" s="247">
        <v>2020</v>
      </c>
      <c r="G195" s="248" t="s">
        <v>1316</v>
      </c>
      <c r="H195" s="247" t="s">
        <v>1125</v>
      </c>
      <c r="J195" s="249" t="s">
        <v>1177</v>
      </c>
      <c r="K195" s="308">
        <v>36.200000000000003</v>
      </c>
      <c r="L195" s="308">
        <v>2.6</v>
      </c>
      <c r="M195" s="308">
        <v>21</v>
      </c>
      <c r="N195" s="308">
        <v>12.6</v>
      </c>
      <c r="O195" s="308">
        <v>0</v>
      </c>
      <c r="P195" s="247">
        <v>86</v>
      </c>
      <c r="Q195" s="247">
        <v>0</v>
      </c>
      <c r="R195" s="247">
        <v>0</v>
      </c>
      <c r="S195" s="247">
        <v>0</v>
      </c>
      <c r="T195" s="250">
        <v>0</v>
      </c>
    </row>
    <row r="196" spans="1:20" ht="15.75" x14ac:dyDescent="0.25">
      <c r="A196" s="247" t="s">
        <v>493</v>
      </c>
      <c r="B196" s="247" t="s">
        <v>493</v>
      </c>
      <c r="C196" s="247" t="s">
        <v>1334</v>
      </c>
      <c r="D196" s="247">
        <v>8635813</v>
      </c>
      <c r="E196" s="247" t="s">
        <v>1061</v>
      </c>
      <c r="F196" s="247">
        <v>2020</v>
      </c>
      <c r="G196" s="248" t="s">
        <v>1316</v>
      </c>
      <c r="H196" s="247" t="s">
        <v>1125</v>
      </c>
      <c r="J196" s="249" t="s">
        <v>1177</v>
      </c>
      <c r="K196" s="308">
        <v>25.6</v>
      </c>
      <c r="L196" s="308">
        <v>1.75</v>
      </c>
      <c r="M196" s="308">
        <v>17.350000000000001</v>
      </c>
      <c r="N196" s="308">
        <v>6.5</v>
      </c>
      <c r="O196" s="308">
        <v>0</v>
      </c>
      <c r="P196" s="247">
        <v>67</v>
      </c>
      <c r="Q196" s="247">
        <v>0</v>
      </c>
      <c r="R196" s="247">
        <v>0</v>
      </c>
      <c r="S196" s="247">
        <v>0</v>
      </c>
      <c r="T196" s="250">
        <v>0</v>
      </c>
    </row>
    <row r="197" spans="1:20" ht="15.75" x14ac:dyDescent="0.25">
      <c r="A197" s="247" t="s">
        <v>576</v>
      </c>
      <c r="B197" s="247" t="s">
        <v>576</v>
      </c>
      <c r="C197" s="247" t="s">
        <v>1330</v>
      </c>
      <c r="D197" s="247">
        <v>8877013</v>
      </c>
      <c r="E197" s="247" t="s">
        <v>1151</v>
      </c>
      <c r="F197" s="247">
        <v>2020</v>
      </c>
      <c r="G197" s="248" t="s">
        <v>1316</v>
      </c>
      <c r="H197" s="247" t="s">
        <v>1125</v>
      </c>
      <c r="J197" s="249" t="s">
        <v>1177</v>
      </c>
      <c r="K197" s="308">
        <v>21.31</v>
      </c>
      <c r="L197" s="308">
        <v>1</v>
      </c>
      <c r="M197" s="308">
        <v>13.31</v>
      </c>
      <c r="N197" s="308">
        <v>7</v>
      </c>
      <c r="O197" s="308">
        <v>0</v>
      </c>
      <c r="P197" s="247">
        <v>42</v>
      </c>
      <c r="Q197" s="247">
        <v>0</v>
      </c>
      <c r="R197" s="247">
        <v>0</v>
      </c>
      <c r="S197" s="247">
        <v>0</v>
      </c>
      <c r="T197" s="250">
        <v>0</v>
      </c>
    </row>
    <row r="198" spans="1:20" ht="15.75" x14ac:dyDescent="0.25">
      <c r="A198" s="247" t="s">
        <v>959</v>
      </c>
      <c r="B198" s="247" t="s">
        <v>959</v>
      </c>
      <c r="C198" s="247" t="s">
        <v>1327</v>
      </c>
      <c r="D198" s="247">
        <v>8982230</v>
      </c>
      <c r="E198" s="247" t="s">
        <v>1142</v>
      </c>
      <c r="F198" s="247">
        <v>2020</v>
      </c>
      <c r="G198" s="248" t="s">
        <v>1316</v>
      </c>
      <c r="H198" s="247" t="s">
        <v>1125</v>
      </c>
      <c r="J198" s="249" t="s">
        <v>1177</v>
      </c>
      <c r="K198" s="308">
        <v>18</v>
      </c>
      <c r="L198" s="308">
        <v>1</v>
      </c>
      <c r="M198" s="308">
        <v>13</v>
      </c>
      <c r="N198" s="308">
        <v>4</v>
      </c>
      <c r="O198" s="308">
        <v>0</v>
      </c>
      <c r="P198" s="247">
        <v>37</v>
      </c>
      <c r="Q198" s="247">
        <v>0</v>
      </c>
      <c r="R198" s="247">
        <v>0</v>
      </c>
      <c r="S198" s="247">
        <v>0</v>
      </c>
      <c r="T198" s="250"/>
    </row>
    <row r="199" spans="1:20" ht="15.75" x14ac:dyDescent="0.25">
      <c r="A199" s="247" t="s">
        <v>480</v>
      </c>
      <c r="B199" s="247" t="s">
        <v>480</v>
      </c>
      <c r="C199" s="247" t="s">
        <v>1319</v>
      </c>
      <c r="D199" s="247">
        <v>9593192</v>
      </c>
      <c r="E199" s="247" t="s">
        <v>1073</v>
      </c>
      <c r="F199" s="247">
        <v>2020</v>
      </c>
      <c r="G199" s="248" t="s">
        <v>1316</v>
      </c>
      <c r="H199" s="247" t="s">
        <v>1125</v>
      </c>
      <c r="J199" s="249" t="s">
        <v>1177</v>
      </c>
      <c r="K199" s="308">
        <v>34.5</v>
      </c>
      <c r="L199" s="308">
        <v>2.5</v>
      </c>
      <c r="M199" s="308">
        <v>21</v>
      </c>
      <c r="N199" s="308">
        <v>11</v>
      </c>
      <c r="O199" s="308">
        <v>0</v>
      </c>
      <c r="P199" s="247">
        <v>84</v>
      </c>
      <c r="Q199" s="247">
        <v>0</v>
      </c>
      <c r="R199" s="247">
        <v>0</v>
      </c>
      <c r="S199" s="247">
        <v>0</v>
      </c>
      <c r="T199" s="250"/>
    </row>
    <row r="200" spans="1:20" ht="15.75" x14ac:dyDescent="0.25">
      <c r="A200" s="247" t="s">
        <v>499</v>
      </c>
      <c r="B200" s="247" t="s">
        <v>499</v>
      </c>
      <c r="C200" s="247" t="s">
        <v>1319</v>
      </c>
      <c r="D200" s="247">
        <v>9688838</v>
      </c>
      <c r="E200" s="247" t="s">
        <v>1073</v>
      </c>
      <c r="F200" s="247">
        <v>2020</v>
      </c>
      <c r="G200" s="248" t="s">
        <v>1316</v>
      </c>
      <c r="H200" s="247" t="s">
        <v>1125</v>
      </c>
      <c r="J200" s="249" t="s">
        <v>1177</v>
      </c>
      <c r="K200" s="308">
        <v>64</v>
      </c>
      <c r="L200" s="308">
        <v>4</v>
      </c>
      <c r="M200" s="308">
        <v>41</v>
      </c>
      <c r="N200" s="308">
        <v>19</v>
      </c>
      <c r="O200" s="308">
        <v>0</v>
      </c>
      <c r="P200" s="247">
        <v>124</v>
      </c>
      <c r="Q200" s="247">
        <v>0</v>
      </c>
      <c r="R200" s="247">
        <v>0</v>
      </c>
      <c r="S200" s="247">
        <v>0</v>
      </c>
      <c r="T200" s="250">
        <v>0</v>
      </c>
    </row>
    <row r="201" spans="1:20" ht="15.75" x14ac:dyDescent="0.25">
      <c r="A201" s="247" t="s">
        <v>440</v>
      </c>
      <c r="B201" s="247" t="s">
        <v>440</v>
      </c>
      <c r="C201" s="247" t="s">
        <v>1335</v>
      </c>
      <c r="D201" s="247">
        <v>1450637</v>
      </c>
      <c r="E201" s="247" t="s">
        <v>1063</v>
      </c>
      <c r="F201" s="247">
        <v>2020</v>
      </c>
      <c r="G201" s="248" t="s">
        <v>1336</v>
      </c>
      <c r="H201" s="247" t="s">
        <v>1057</v>
      </c>
      <c r="J201" s="249" t="s">
        <v>1269</v>
      </c>
      <c r="K201" s="308">
        <v>50</v>
      </c>
      <c r="L201" s="308">
        <v>2</v>
      </c>
      <c r="M201" s="308">
        <v>36</v>
      </c>
      <c r="N201" s="308">
        <v>12</v>
      </c>
      <c r="O201" s="308">
        <v>0</v>
      </c>
      <c r="P201" s="247">
        <v>81</v>
      </c>
      <c r="Q201" s="247">
        <v>0</v>
      </c>
      <c r="R201" s="247">
        <v>0</v>
      </c>
      <c r="S201" s="247">
        <v>0</v>
      </c>
      <c r="T201" s="250">
        <v>0</v>
      </c>
    </row>
    <row r="202" spans="1:20" ht="15.75" x14ac:dyDescent="0.25">
      <c r="A202" s="247" t="s">
        <v>942</v>
      </c>
      <c r="B202" s="247" t="s">
        <v>942</v>
      </c>
      <c r="C202" s="247" t="s">
        <v>1337</v>
      </c>
      <c r="D202" s="247">
        <v>1642854</v>
      </c>
      <c r="E202" s="247" t="s">
        <v>1068</v>
      </c>
      <c r="F202" s="247">
        <v>2020</v>
      </c>
      <c r="G202" s="248" t="s">
        <v>1336</v>
      </c>
      <c r="H202" s="247" t="s">
        <v>1057</v>
      </c>
      <c r="J202" s="249" t="s">
        <v>1269</v>
      </c>
      <c r="K202" s="308">
        <v>24.5</v>
      </c>
      <c r="L202" s="308">
        <v>1</v>
      </c>
      <c r="M202" s="308">
        <v>20</v>
      </c>
      <c r="N202" s="308">
        <v>3.5</v>
      </c>
      <c r="O202" s="308">
        <v>0</v>
      </c>
      <c r="P202" s="247">
        <v>50</v>
      </c>
      <c r="Q202" s="247">
        <v>0</v>
      </c>
      <c r="R202" s="247">
        <v>0</v>
      </c>
      <c r="S202" s="247">
        <v>0</v>
      </c>
      <c r="T202" s="250">
        <v>0</v>
      </c>
    </row>
    <row r="203" spans="1:20" ht="15.75" x14ac:dyDescent="0.25">
      <c r="A203" s="247" t="s">
        <v>472</v>
      </c>
      <c r="B203" s="247" t="s">
        <v>472</v>
      </c>
      <c r="C203" s="247" t="s">
        <v>1338</v>
      </c>
      <c r="D203" s="247">
        <v>1991772</v>
      </c>
      <c r="E203" s="247" t="s">
        <v>1061</v>
      </c>
      <c r="F203" s="247">
        <v>2020</v>
      </c>
      <c r="G203" s="248" t="s">
        <v>1336</v>
      </c>
      <c r="H203" s="247" t="s">
        <v>1057</v>
      </c>
      <c r="J203" s="249" t="s">
        <v>1269</v>
      </c>
      <c r="K203" s="308">
        <v>25.8</v>
      </c>
      <c r="L203" s="308">
        <v>1.4</v>
      </c>
      <c r="M203" s="308">
        <v>18</v>
      </c>
      <c r="N203" s="308">
        <v>6.4</v>
      </c>
      <c r="O203" s="308">
        <v>0</v>
      </c>
      <c r="P203" s="247">
        <v>60</v>
      </c>
      <c r="Q203" s="247">
        <v>0</v>
      </c>
      <c r="R203" s="247">
        <v>0</v>
      </c>
      <c r="S203" s="247">
        <v>0</v>
      </c>
      <c r="T203" s="250">
        <v>0</v>
      </c>
    </row>
    <row r="204" spans="1:20" ht="15.75" x14ac:dyDescent="0.25">
      <c r="A204" s="247" t="s">
        <v>447</v>
      </c>
      <c r="B204" s="247" t="s">
        <v>447</v>
      </c>
      <c r="C204" s="247" t="s">
        <v>1339</v>
      </c>
      <c r="D204" s="247">
        <v>3754207</v>
      </c>
      <c r="E204" s="247" t="s">
        <v>1058</v>
      </c>
      <c r="F204" s="247">
        <v>2020</v>
      </c>
      <c r="G204" s="248" t="s">
        <v>1336</v>
      </c>
      <c r="H204" s="247" t="s">
        <v>1057</v>
      </c>
      <c r="J204" s="249" t="s">
        <v>1269</v>
      </c>
      <c r="K204" s="308">
        <v>48.57</v>
      </c>
      <c r="L204" s="308">
        <v>3.36</v>
      </c>
      <c r="M204" s="308">
        <v>35.130000000000003</v>
      </c>
      <c r="N204" s="308">
        <v>10.08</v>
      </c>
      <c r="O204" s="308">
        <v>0</v>
      </c>
      <c r="P204" s="247">
        <v>86</v>
      </c>
      <c r="Q204" s="247">
        <v>0</v>
      </c>
      <c r="R204" s="247">
        <v>0</v>
      </c>
      <c r="S204" s="247">
        <v>0</v>
      </c>
      <c r="T204" s="250"/>
    </row>
    <row r="205" spans="1:20" ht="15.75" x14ac:dyDescent="0.25">
      <c r="A205" s="247" t="s">
        <v>485</v>
      </c>
      <c r="B205" s="247" t="s">
        <v>485</v>
      </c>
      <c r="C205" s="247" t="s">
        <v>1340</v>
      </c>
      <c r="D205" s="247">
        <v>5220717</v>
      </c>
      <c r="E205" s="247" t="s">
        <v>1087</v>
      </c>
      <c r="F205" s="247">
        <v>2020</v>
      </c>
      <c r="G205" s="248" t="s">
        <v>1336</v>
      </c>
      <c r="H205" s="247" t="s">
        <v>1086</v>
      </c>
      <c r="J205" s="249" t="s">
        <v>1341</v>
      </c>
      <c r="K205" s="308">
        <v>33.86</v>
      </c>
      <c r="L205" s="308">
        <v>1.1000000000000001</v>
      </c>
      <c r="M205" s="308">
        <v>26.139999999999997</v>
      </c>
      <c r="N205" s="308">
        <v>6.62</v>
      </c>
      <c r="O205" s="308">
        <v>0</v>
      </c>
      <c r="P205" s="247">
        <v>40</v>
      </c>
      <c r="Q205" s="247">
        <v>0</v>
      </c>
      <c r="R205" s="247">
        <v>0</v>
      </c>
      <c r="S205" s="247">
        <v>0</v>
      </c>
      <c r="T205" s="250"/>
    </row>
    <row r="206" spans="1:20" ht="15.75" x14ac:dyDescent="0.25">
      <c r="A206" s="247" t="s">
        <v>519</v>
      </c>
      <c r="B206" s="247" t="s">
        <v>519</v>
      </c>
      <c r="C206" s="247" t="s">
        <v>1339</v>
      </c>
      <c r="D206" s="247">
        <v>5638901</v>
      </c>
      <c r="E206" s="247" t="s">
        <v>1058</v>
      </c>
      <c r="F206" s="247">
        <v>2020</v>
      </c>
      <c r="G206" s="248" t="s">
        <v>1336</v>
      </c>
      <c r="H206" s="247" t="s">
        <v>1057</v>
      </c>
      <c r="J206" s="249" t="s">
        <v>1269</v>
      </c>
      <c r="K206" s="308">
        <v>31</v>
      </c>
      <c r="L206" s="308">
        <v>1.9</v>
      </c>
      <c r="M206" s="308">
        <v>23.7</v>
      </c>
      <c r="N206" s="308">
        <v>5.4</v>
      </c>
      <c r="O206" s="308">
        <v>0</v>
      </c>
      <c r="P206" s="247">
        <v>76</v>
      </c>
      <c r="Q206" s="247">
        <v>0</v>
      </c>
      <c r="R206" s="247">
        <v>0</v>
      </c>
      <c r="S206" s="247">
        <v>0</v>
      </c>
      <c r="T206" s="250">
        <v>0</v>
      </c>
    </row>
    <row r="207" spans="1:20" ht="15.75" x14ac:dyDescent="0.25">
      <c r="A207" s="247" t="s">
        <v>435</v>
      </c>
      <c r="B207" s="247" t="s">
        <v>435</v>
      </c>
      <c r="C207" s="247" t="s">
        <v>1342</v>
      </c>
      <c r="D207" s="247">
        <v>5651221</v>
      </c>
      <c r="E207" s="247" t="s">
        <v>1087</v>
      </c>
      <c r="F207" s="247">
        <v>2020</v>
      </c>
      <c r="G207" s="248" t="s">
        <v>1336</v>
      </c>
      <c r="H207" s="247" t="s">
        <v>1086</v>
      </c>
      <c r="J207" s="249" t="s">
        <v>1059</v>
      </c>
      <c r="K207" s="308">
        <v>33</v>
      </c>
      <c r="L207" s="308">
        <v>2</v>
      </c>
      <c r="M207" s="308">
        <v>23</v>
      </c>
      <c r="N207" s="308">
        <v>8</v>
      </c>
      <c r="O207" s="308">
        <v>0</v>
      </c>
      <c r="P207" s="247">
        <v>49</v>
      </c>
      <c r="Q207" s="247">
        <v>0</v>
      </c>
      <c r="R207" s="247">
        <v>0</v>
      </c>
      <c r="S207" s="247">
        <v>0</v>
      </c>
      <c r="T207" s="250">
        <v>0</v>
      </c>
    </row>
    <row r="208" spans="1:20" ht="15.75" x14ac:dyDescent="0.25">
      <c r="A208" s="247" t="s">
        <v>1343</v>
      </c>
      <c r="B208" s="247" t="s">
        <v>515</v>
      </c>
      <c r="C208" s="247" t="s">
        <v>1339</v>
      </c>
      <c r="D208" s="247">
        <v>5804478</v>
      </c>
      <c r="E208" s="247" t="s">
        <v>1058</v>
      </c>
      <c r="F208" s="247">
        <v>2020</v>
      </c>
      <c r="G208" s="248" t="s">
        <v>1336</v>
      </c>
      <c r="H208" s="247" t="s">
        <v>1057</v>
      </c>
      <c r="J208" s="249" t="s">
        <v>1269</v>
      </c>
      <c r="K208" s="308">
        <v>32.6</v>
      </c>
      <c r="L208" s="308">
        <v>2.4</v>
      </c>
      <c r="M208" s="308">
        <v>26.2</v>
      </c>
      <c r="N208" s="308">
        <v>4</v>
      </c>
      <c r="O208" s="308">
        <v>0</v>
      </c>
      <c r="P208" s="247">
        <v>58</v>
      </c>
      <c r="Q208" s="247">
        <v>0</v>
      </c>
      <c r="R208" s="247">
        <v>0</v>
      </c>
      <c r="S208" s="247">
        <v>0</v>
      </c>
      <c r="T208" s="250"/>
    </row>
    <row r="209" spans="1:20" ht="15.75" x14ac:dyDescent="0.25">
      <c r="A209" s="247" t="s">
        <v>393</v>
      </c>
      <c r="B209" s="247" t="s">
        <v>480</v>
      </c>
      <c r="C209" s="247" t="s">
        <v>1344</v>
      </c>
      <c r="D209" s="247">
        <v>7663376</v>
      </c>
      <c r="E209" s="247" t="s">
        <v>1073</v>
      </c>
      <c r="F209" s="247">
        <v>2020</v>
      </c>
      <c r="G209" s="248" t="s">
        <v>1336</v>
      </c>
      <c r="H209" s="247" t="s">
        <v>1057</v>
      </c>
      <c r="J209" s="249" t="s">
        <v>1269</v>
      </c>
      <c r="K209" s="308">
        <v>9.5</v>
      </c>
      <c r="L209" s="308">
        <v>0.5</v>
      </c>
      <c r="M209" s="308">
        <v>6</v>
      </c>
      <c r="N209" s="308">
        <v>3</v>
      </c>
      <c r="O209" s="308">
        <v>0</v>
      </c>
      <c r="P209" s="247">
        <v>16</v>
      </c>
      <c r="Q209" s="247">
        <v>0</v>
      </c>
      <c r="R209" s="247">
        <v>0</v>
      </c>
      <c r="S209" s="247">
        <v>0</v>
      </c>
      <c r="T209" s="250">
        <v>0</v>
      </c>
    </row>
    <row r="210" spans="1:20" ht="15.75" x14ac:dyDescent="0.25">
      <c r="A210" s="247" t="s">
        <v>1332</v>
      </c>
      <c r="B210" s="247" t="s">
        <v>384</v>
      </c>
      <c r="C210" s="247" t="s">
        <v>1344</v>
      </c>
      <c r="D210" s="247">
        <v>8936486</v>
      </c>
      <c r="E210" s="247" t="s">
        <v>1073</v>
      </c>
      <c r="F210" s="247">
        <v>2020</v>
      </c>
      <c r="G210" s="248" t="s">
        <v>1336</v>
      </c>
      <c r="H210" s="247" t="s">
        <v>1057</v>
      </c>
      <c r="J210" s="249" t="s">
        <v>1269</v>
      </c>
      <c r="K210" s="308">
        <v>7.2</v>
      </c>
      <c r="L210" s="308">
        <v>0.15</v>
      </c>
      <c r="M210" s="308">
        <v>4.25</v>
      </c>
      <c r="N210" s="308">
        <v>2.8</v>
      </c>
      <c r="O210" s="308">
        <v>0</v>
      </c>
      <c r="P210" s="247">
        <v>10</v>
      </c>
      <c r="Q210" s="247">
        <v>0</v>
      </c>
      <c r="R210" s="247">
        <v>0</v>
      </c>
      <c r="S210" s="247">
        <v>0</v>
      </c>
      <c r="T210" s="250">
        <v>0</v>
      </c>
    </row>
    <row r="211" spans="1:20" ht="15.75" x14ac:dyDescent="0.25">
      <c r="A211" s="247" t="s">
        <v>502</v>
      </c>
      <c r="B211" s="247" t="s">
        <v>502</v>
      </c>
      <c r="C211" s="247" t="s">
        <v>1344</v>
      </c>
      <c r="D211" s="247">
        <v>9924037</v>
      </c>
      <c r="E211" s="247" t="s">
        <v>1073</v>
      </c>
      <c r="F211" s="247">
        <v>2020</v>
      </c>
      <c r="G211" s="248" t="s">
        <v>1336</v>
      </c>
      <c r="H211" s="247" t="s">
        <v>1057</v>
      </c>
      <c r="J211" s="249" t="s">
        <v>1269</v>
      </c>
      <c r="K211" s="308">
        <v>7.3</v>
      </c>
      <c r="L211" s="308">
        <v>0.15</v>
      </c>
      <c r="M211" s="308">
        <v>5.5</v>
      </c>
      <c r="N211" s="308">
        <v>1.65</v>
      </c>
      <c r="O211" s="308">
        <v>0</v>
      </c>
      <c r="P211" s="247">
        <v>10</v>
      </c>
      <c r="Q211" s="247">
        <v>0</v>
      </c>
      <c r="R211" s="247">
        <v>0</v>
      </c>
      <c r="S211" s="247">
        <v>0</v>
      </c>
      <c r="T211" s="250">
        <v>0</v>
      </c>
    </row>
    <row r="212" spans="1:20" ht="15.75" x14ac:dyDescent="0.25">
      <c r="A212" s="256" t="s">
        <v>519</v>
      </c>
      <c r="B212" s="256" t="s">
        <v>519</v>
      </c>
      <c r="C212" s="256" t="s">
        <v>1345</v>
      </c>
      <c r="D212" s="256">
        <v>1576566</v>
      </c>
      <c r="E212" s="247" t="s">
        <v>1058</v>
      </c>
      <c r="F212" s="247">
        <v>2020</v>
      </c>
      <c r="G212" s="248" t="s">
        <v>1346</v>
      </c>
      <c r="H212" s="247" t="s">
        <v>1057</v>
      </c>
      <c r="J212" s="257" t="s">
        <v>1262</v>
      </c>
      <c r="K212" s="256">
        <v>3.4</v>
      </c>
      <c r="L212" s="256">
        <v>0.4</v>
      </c>
      <c r="M212" s="256">
        <v>3</v>
      </c>
      <c r="N212" s="256">
        <v>0</v>
      </c>
      <c r="O212" s="256">
        <v>0</v>
      </c>
      <c r="P212" s="256">
        <v>8</v>
      </c>
      <c r="Q212" s="256">
        <v>0</v>
      </c>
      <c r="R212" s="256">
        <v>0</v>
      </c>
      <c r="S212" s="256">
        <v>0</v>
      </c>
      <c r="T212" s="256">
        <v>0</v>
      </c>
    </row>
    <row r="213" spans="1:20" ht="15.75" x14ac:dyDescent="0.25">
      <c r="A213" s="256" t="s">
        <v>509</v>
      </c>
      <c r="B213" s="256" t="s">
        <v>509</v>
      </c>
      <c r="C213" s="256" t="s">
        <v>1347</v>
      </c>
      <c r="D213" s="256">
        <v>4007320</v>
      </c>
      <c r="E213" s="247" t="s">
        <v>1058</v>
      </c>
      <c r="F213" s="247">
        <v>2020</v>
      </c>
      <c r="G213" s="248" t="s">
        <v>1346</v>
      </c>
      <c r="H213" s="247" t="s">
        <v>1057</v>
      </c>
      <c r="J213" s="257" t="s">
        <v>1262</v>
      </c>
      <c r="K213" s="256">
        <v>1.7</v>
      </c>
      <c r="L213" s="256">
        <v>0.1</v>
      </c>
      <c r="M213" s="256">
        <v>1.6</v>
      </c>
      <c r="N213" s="256">
        <v>0</v>
      </c>
      <c r="O213" s="256">
        <v>0</v>
      </c>
      <c r="P213" s="256">
        <v>4</v>
      </c>
      <c r="Q213" s="256">
        <v>0</v>
      </c>
      <c r="R213" s="256">
        <v>0</v>
      </c>
      <c r="S213" s="256">
        <v>0</v>
      </c>
      <c r="T213" s="256">
        <v>0</v>
      </c>
    </row>
    <row r="214" spans="1:20" ht="15.75" x14ac:dyDescent="0.25">
      <c r="A214" s="256" t="s">
        <v>485</v>
      </c>
      <c r="B214" s="256" t="s">
        <v>485</v>
      </c>
      <c r="C214" s="256" t="s">
        <v>1348</v>
      </c>
      <c r="D214" s="256">
        <v>4382500</v>
      </c>
      <c r="E214" s="247" t="s">
        <v>1063</v>
      </c>
      <c r="F214" s="247">
        <v>2020</v>
      </c>
      <c r="G214" s="248" t="s">
        <v>1346</v>
      </c>
      <c r="H214" s="247" t="s">
        <v>1057</v>
      </c>
      <c r="J214" s="257" t="s">
        <v>1341</v>
      </c>
      <c r="K214" s="256">
        <v>3.5</v>
      </c>
      <c r="L214" s="256">
        <v>9.9999999999999978E-2</v>
      </c>
      <c r="M214" s="256">
        <v>3.4000000000000004</v>
      </c>
      <c r="N214" s="256">
        <v>0</v>
      </c>
      <c r="O214" s="256">
        <v>0</v>
      </c>
      <c r="P214" s="256">
        <v>8</v>
      </c>
      <c r="Q214" s="256">
        <v>0</v>
      </c>
      <c r="R214" s="256">
        <v>0</v>
      </c>
      <c r="S214" s="256">
        <v>0</v>
      </c>
      <c r="T214" s="256"/>
    </row>
    <row r="215" spans="1:20" ht="15.75" x14ac:dyDescent="0.25">
      <c r="A215" s="256" t="s">
        <v>1010</v>
      </c>
      <c r="B215" s="256" t="s">
        <v>1010</v>
      </c>
      <c r="C215" s="256" t="s">
        <v>1349</v>
      </c>
      <c r="D215" s="256">
        <v>4497017</v>
      </c>
      <c r="E215" s="247" t="s">
        <v>1058</v>
      </c>
      <c r="F215" s="247">
        <v>2020</v>
      </c>
      <c r="G215" s="248" t="s">
        <v>1346</v>
      </c>
      <c r="H215" s="247" t="s">
        <v>1057</v>
      </c>
      <c r="J215" s="257" t="s">
        <v>1262</v>
      </c>
      <c r="K215" s="256">
        <v>5.5</v>
      </c>
      <c r="L215" s="256">
        <v>0.5</v>
      </c>
      <c r="M215" s="256">
        <v>5</v>
      </c>
      <c r="N215" s="256">
        <v>0</v>
      </c>
      <c r="O215" s="256">
        <v>0</v>
      </c>
      <c r="P215" s="256">
        <v>8</v>
      </c>
      <c r="Q215" s="256">
        <v>0</v>
      </c>
      <c r="R215" s="256">
        <v>0</v>
      </c>
      <c r="S215" s="256">
        <v>0</v>
      </c>
      <c r="T215" s="256">
        <v>0</v>
      </c>
    </row>
    <row r="216" spans="1:20" ht="15.75" x14ac:dyDescent="0.25">
      <c r="A216" s="256" t="s">
        <v>769</v>
      </c>
      <c r="B216" s="256" t="s">
        <v>947</v>
      </c>
      <c r="C216" s="256" t="s">
        <v>1350</v>
      </c>
      <c r="D216" s="256">
        <v>5703553</v>
      </c>
      <c r="E216" s="247" t="s">
        <v>1068</v>
      </c>
      <c r="F216" s="247">
        <v>2020</v>
      </c>
      <c r="G216" s="248" t="s">
        <v>1346</v>
      </c>
      <c r="H216" s="247" t="s">
        <v>1057</v>
      </c>
      <c r="J216" s="257" t="s">
        <v>1341</v>
      </c>
      <c r="K216" s="256">
        <v>3.82</v>
      </c>
      <c r="L216" s="256">
        <v>0.1</v>
      </c>
      <c r="M216" s="256">
        <v>3.72</v>
      </c>
      <c r="N216" s="256">
        <v>0</v>
      </c>
      <c r="O216" s="256">
        <v>0</v>
      </c>
      <c r="P216" s="256">
        <v>11</v>
      </c>
      <c r="Q216" s="256">
        <v>0</v>
      </c>
      <c r="R216" s="256">
        <v>0</v>
      </c>
      <c r="S216" s="256">
        <v>0</v>
      </c>
      <c r="T216" s="256">
        <v>0</v>
      </c>
    </row>
    <row r="217" spans="1:20" ht="15.75" x14ac:dyDescent="0.25">
      <c r="A217" s="256" t="s">
        <v>1351</v>
      </c>
      <c r="B217" s="256" t="s">
        <v>1247</v>
      </c>
      <c r="C217" s="256" t="s">
        <v>1349</v>
      </c>
      <c r="D217" s="256">
        <v>5871375</v>
      </c>
      <c r="E217" s="247" t="s">
        <v>1058</v>
      </c>
      <c r="F217" s="247">
        <v>2020</v>
      </c>
      <c r="G217" s="248" t="s">
        <v>1346</v>
      </c>
      <c r="H217" s="247" t="s">
        <v>1057</v>
      </c>
      <c r="J217" s="257" t="s">
        <v>1262</v>
      </c>
      <c r="K217" s="256">
        <v>12.1</v>
      </c>
      <c r="L217" s="256">
        <v>4.0999999999999996</v>
      </c>
      <c r="M217" s="256">
        <v>8</v>
      </c>
      <c r="N217" s="256">
        <v>0</v>
      </c>
      <c r="O217" s="256">
        <v>0</v>
      </c>
      <c r="P217" s="256">
        <v>17</v>
      </c>
      <c r="Q217" s="256">
        <v>0</v>
      </c>
      <c r="R217" s="256">
        <v>0</v>
      </c>
      <c r="S217" s="256">
        <v>0</v>
      </c>
      <c r="T217" s="256">
        <v>0</v>
      </c>
    </row>
    <row r="218" spans="1:20" ht="15.75" x14ac:dyDescent="0.25">
      <c r="A218" s="256" t="s">
        <v>769</v>
      </c>
      <c r="B218" s="256" t="s">
        <v>425</v>
      </c>
      <c r="C218" s="256" t="s">
        <v>1347</v>
      </c>
      <c r="D218" s="256">
        <v>6514817</v>
      </c>
      <c r="E218" s="247" t="s">
        <v>1058</v>
      </c>
      <c r="F218" s="247">
        <v>2020</v>
      </c>
      <c r="G218" s="248" t="s">
        <v>1346</v>
      </c>
      <c r="H218" s="247" t="s">
        <v>1057</v>
      </c>
      <c r="J218" s="257" t="s">
        <v>1262</v>
      </c>
      <c r="K218" s="256">
        <v>0.93</v>
      </c>
      <c r="L218" s="256">
        <v>0.3</v>
      </c>
      <c r="M218" s="256">
        <v>0.63</v>
      </c>
      <c r="N218" s="256">
        <v>0</v>
      </c>
      <c r="O218" s="256">
        <v>0</v>
      </c>
      <c r="P218" s="256">
        <v>3</v>
      </c>
      <c r="Q218" s="256">
        <v>0</v>
      </c>
      <c r="R218" s="256">
        <v>0</v>
      </c>
      <c r="S218" s="256">
        <v>0</v>
      </c>
      <c r="T218" s="256"/>
    </row>
    <row r="219" spans="1:20" ht="15.75" x14ac:dyDescent="0.25">
      <c r="A219" s="256" t="s">
        <v>769</v>
      </c>
      <c r="B219" s="256" t="s">
        <v>425</v>
      </c>
      <c r="C219" s="256" t="s">
        <v>1352</v>
      </c>
      <c r="D219" s="256">
        <v>6514817</v>
      </c>
      <c r="E219" s="247" t="s">
        <v>1061</v>
      </c>
      <c r="F219" s="247">
        <v>2020</v>
      </c>
      <c r="G219" s="248" t="s">
        <v>1346</v>
      </c>
      <c r="H219" s="247" t="s">
        <v>1057</v>
      </c>
      <c r="J219" s="257" t="s">
        <v>1262</v>
      </c>
      <c r="K219" s="256">
        <v>5.3</v>
      </c>
      <c r="L219" s="256">
        <v>0.3</v>
      </c>
      <c r="M219" s="256">
        <v>5</v>
      </c>
      <c r="N219" s="256">
        <v>0</v>
      </c>
      <c r="O219" s="256">
        <v>0</v>
      </c>
      <c r="P219" s="256">
        <v>6</v>
      </c>
      <c r="Q219" s="256">
        <v>0</v>
      </c>
      <c r="R219" s="256">
        <v>0</v>
      </c>
      <c r="S219" s="256">
        <v>0</v>
      </c>
      <c r="T219" s="256">
        <v>0</v>
      </c>
    </row>
    <row r="220" spans="1:20" ht="15.75" x14ac:dyDescent="0.25">
      <c r="A220" s="256" t="s">
        <v>769</v>
      </c>
      <c r="B220" s="256" t="s">
        <v>425</v>
      </c>
      <c r="C220" s="256" t="s">
        <v>1353</v>
      </c>
      <c r="D220" s="256">
        <v>6514817</v>
      </c>
      <c r="E220" s="247" t="s">
        <v>1061</v>
      </c>
      <c r="F220" s="247">
        <v>2020</v>
      </c>
      <c r="G220" s="248" t="s">
        <v>1346</v>
      </c>
      <c r="H220" s="247" t="s">
        <v>1057</v>
      </c>
      <c r="J220" s="257" t="s">
        <v>1262</v>
      </c>
      <c r="K220" s="256">
        <v>5.3</v>
      </c>
      <c r="L220" s="256">
        <v>0.3</v>
      </c>
      <c r="M220" s="256">
        <v>5</v>
      </c>
      <c r="N220" s="256">
        <v>0</v>
      </c>
      <c r="O220" s="256">
        <v>0</v>
      </c>
      <c r="P220" s="256">
        <v>14</v>
      </c>
      <c r="Q220" s="256">
        <v>0</v>
      </c>
      <c r="R220" s="256">
        <v>0</v>
      </c>
      <c r="S220" s="256">
        <v>0</v>
      </c>
      <c r="T220" s="256"/>
    </row>
    <row r="221" spans="1:20" ht="15.75" x14ac:dyDescent="0.25">
      <c r="A221" s="251" t="s">
        <v>1355</v>
      </c>
      <c r="B221" s="251" t="s">
        <v>760</v>
      </c>
      <c r="C221" s="251" t="s">
        <v>1354</v>
      </c>
      <c r="D221" s="251">
        <v>6627771</v>
      </c>
      <c r="E221" s="251" t="s">
        <v>1087</v>
      </c>
      <c r="F221" s="247">
        <v>2020</v>
      </c>
      <c r="G221" s="252" t="s">
        <v>1346</v>
      </c>
      <c r="H221" s="251" t="s">
        <v>1086</v>
      </c>
      <c r="J221" s="249" t="s">
        <v>1109</v>
      </c>
      <c r="K221" s="251">
        <v>0.3</v>
      </c>
      <c r="L221" s="251">
        <v>0.1</v>
      </c>
      <c r="M221" s="251">
        <v>0.2</v>
      </c>
      <c r="N221" s="251">
        <v>0</v>
      </c>
      <c r="O221" s="251">
        <v>0</v>
      </c>
      <c r="P221" s="251">
        <v>2</v>
      </c>
      <c r="Q221" s="251">
        <v>0</v>
      </c>
      <c r="R221" s="251">
        <v>0</v>
      </c>
      <c r="S221" s="251">
        <v>0</v>
      </c>
      <c r="T221" s="251">
        <v>0</v>
      </c>
    </row>
    <row r="222" spans="1:20" ht="15.75" x14ac:dyDescent="0.25">
      <c r="A222" s="256" t="s">
        <v>1357</v>
      </c>
      <c r="B222" s="256" t="s">
        <v>922</v>
      </c>
      <c r="C222" s="256" t="s">
        <v>1356</v>
      </c>
      <c r="D222" s="256">
        <v>8051895</v>
      </c>
      <c r="E222" s="247" t="s">
        <v>1063</v>
      </c>
      <c r="F222" s="247">
        <v>2020</v>
      </c>
      <c r="G222" s="248" t="s">
        <v>1346</v>
      </c>
      <c r="H222" s="247" t="s">
        <v>1057</v>
      </c>
      <c r="J222" s="257" t="s">
        <v>1262</v>
      </c>
      <c r="K222" s="256">
        <v>6.85</v>
      </c>
      <c r="L222" s="256">
        <v>0.6</v>
      </c>
      <c r="M222" s="256">
        <v>6.25</v>
      </c>
      <c r="N222" s="256">
        <v>0</v>
      </c>
      <c r="O222" s="256">
        <v>0</v>
      </c>
      <c r="P222" s="256">
        <v>25</v>
      </c>
      <c r="Q222" s="256">
        <v>0</v>
      </c>
      <c r="R222" s="256">
        <v>0</v>
      </c>
      <c r="S222" s="256">
        <v>0</v>
      </c>
      <c r="T222" s="256">
        <v>0</v>
      </c>
    </row>
    <row r="223" spans="1:20" ht="15.75" x14ac:dyDescent="0.25">
      <c r="A223" s="256" t="s">
        <v>769</v>
      </c>
      <c r="B223" s="256" t="s">
        <v>257</v>
      </c>
      <c r="C223" s="256" t="s">
        <v>1358</v>
      </c>
      <c r="D223" s="256">
        <v>8504548</v>
      </c>
      <c r="E223" s="247" t="s">
        <v>1073</v>
      </c>
      <c r="F223" s="247">
        <v>2020</v>
      </c>
      <c r="G223" s="248" t="s">
        <v>1346</v>
      </c>
      <c r="H223" s="247" t="s">
        <v>1057</v>
      </c>
      <c r="J223" s="257" t="s">
        <v>1262</v>
      </c>
      <c r="K223" s="256">
        <v>39.799999999999997</v>
      </c>
      <c r="L223" s="256">
        <v>2.2999999999999998</v>
      </c>
      <c r="M223" s="256">
        <v>37.5</v>
      </c>
      <c r="N223" s="256">
        <v>0</v>
      </c>
      <c r="O223" s="256">
        <v>0</v>
      </c>
      <c r="P223" s="256">
        <v>45</v>
      </c>
      <c r="Q223" s="256">
        <v>0</v>
      </c>
      <c r="R223" s="256">
        <v>0</v>
      </c>
      <c r="S223" s="256">
        <v>0</v>
      </c>
      <c r="T223" s="256"/>
    </row>
    <row r="224" spans="1:20" ht="15.75" x14ac:dyDescent="0.25">
      <c r="A224" s="254" t="s">
        <v>1001</v>
      </c>
      <c r="B224" s="254" t="s">
        <v>1001</v>
      </c>
      <c r="C224" s="254" t="s">
        <v>1359</v>
      </c>
      <c r="D224" s="254" t="s">
        <v>1153</v>
      </c>
      <c r="E224" s="247" t="s">
        <v>1063</v>
      </c>
      <c r="F224" s="247">
        <v>2020</v>
      </c>
      <c r="G224" s="248" t="s">
        <v>1346</v>
      </c>
      <c r="H224" s="247" t="s">
        <v>1057</v>
      </c>
      <c r="J224" s="255" t="s">
        <v>1262</v>
      </c>
      <c r="K224" s="256">
        <v>17</v>
      </c>
      <c r="L224" s="256">
        <v>1</v>
      </c>
      <c r="M224" s="256">
        <v>16</v>
      </c>
      <c r="N224" s="256">
        <v>0</v>
      </c>
      <c r="O224" s="256">
        <v>0</v>
      </c>
      <c r="P224" s="256">
        <v>18</v>
      </c>
      <c r="Q224" s="256">
        <v>0</v>
      </c>
      <c r="R224" s="256">
        <v>0</v>
      </c>
      <c r="S224" s="256">
        <v>0</v>
      </c>
      <c r="T224" s="256"/>
    </row>
    <row r="225" spans="1:20" ht="15.75" x14ac:dyDescent="0.25">
      <c r="A225" s="256" t="s">
        <v>1362</v>
      </c>
      <c r="B225" s="256" t="s">
        <v>1362</v>
      </c>
      <c r="C225" s="256" t="s">
        <v>1360</v>
      </c>
      <c r="D225" s="256">
        <v>9142033</v>
      </c>
      <c r="E225" s="247" t="s">
        <v>1087</v>
      </c>
      <c r="F225" s="247">
        <v>2020</v>
      </c>
      <c r="G225" s="248" t="s">
        <v>1361</v>
      </c>
      <c r="H225" s="247" t="s">
        <v>1086</v>
      </c>
      <c r="J225" s="257" t="s">
        <v>1363</v>
      </c>
      <c r="K225" s="256">
        <v>21</v>
      </c>
      <c r="L225" s="256">
        <v>1.5</v>
      </c>
      <c r="M225" s="256">
        <v>18</v>
      </c>
      <c r="N225" s="256">
        <v>1.5</v>
      </c>
      <c r="O225" s="256">
        <v>0</v>
      </c>
      <c r="P225" s="256">
        <v>25</v>
      </c>
      <c r="Q225" s="256">
        <v>0</v>
      </c>
      <c r="R225" s="256">
        <v>0</v>
      </c>
      <c r="S225" s="256">
        <v>0</v>
      </c>
      <c r="T225" s="256">
        <v>0</v>
      </c>
    </row>
    <row r="226" spans="1:20" ht="15.75" x14ac:dyDescent="0.25">
      <c r="A226" s="256" t="s">
        <v>1364</v>
      </c>
      <c r="B226" s="256" t="s">
        <v>1364</v>
      </c>
      <c r="C226" s="256" t="s">
        <v>1360</v>
      </c>
      <c r="D226" s="256">
        <v>9328941</v>
      </c>
      <c r="E226" s="247" t="s">
        <v>1087</v>
      </c>
      <c r="F226" s="247">
        <v>2020</v>
      </c>
      <c r="G226" s="248" t="s">
        <v>1361</v>
      </c>
      <c r="H226" s="247" t="s">
        <v>1086</v>
      </c>
      <c r="J226" s="257" t="s">
        <v>1363</v>
      </c>
      <c r="K226" s="256">
        <v>6.78</v>
      </c>
      <c r="L226" s="256">
        <v>0.08</v>
      </c>
      <c r="M226" s="256">
        <v>0</v>
      </c>
      <c r="N226" s="256">
        <v>6.7</v>
      </c>
      <c r="O226" s="256">
        <v>0</v>
      </c>
      <c r="P226" s="256">
        <v>9</v>
      </c>
      <c r="Q226" s="256">
        <v>0</v>
      </c>
      <c r="R226" s="256">
        <v>0</v>
      </c>
      <c r="S226" s="256">
        <v>0</v>
      </c>
      <c r="T226" s="256">
        <v>0</v>
      </c>
    </row>
    <row r="227" spans="1:20" ht="15.75" x14ac:dyDescent="0.25">
      <c r="A227" s="256" t="s">
        <v>780</v>
      </c>
      <c r="B227" s="256" t="s">
        <v>776</v>
      </c>
      <c r="C227" s="256" t="s">
        <v>1365</v>
      </c>
      <c r="D227" s="256">
        <v>1840658</v>
      </c>
      <c r="E227" s="247" t="s">
        <v>1058</v>
      </c>
      <c r="F227" s="247">
        <v>2020</v>
      </c>
      <c r="G227" s="248" t="s">
        <v>1366</v>
      </c>
      <c r="H227" s="247" t="s">
        <v>1057</v>
      </c>
      <c r="J227" s="257" t="s">
        <v>1367</v>
      </c>
      <c r="K227" s="256">
        <v>1.84</v>
      </c>
      <c r="L227" s="256">
        <v>0.32</v>
      </c>
      <c r="M227" s="256">
        <v>0</v>
      </c>
      <c r="N227" s="256">
        <v>0</v>
      </c>
      <c r="O227" s="256">
        <v>1.52</v>
      </c>
      <c r="P227" s="256">
        <v>0</v>
      </c>
      <c r="Q227" s="256">
        <v>100</v>
      </c>
      <c r="R227" s="256">
        <v>0</v>
      </c>
      <c r="S227" s="256">
        <v>0</v>
      </c>
      <c r="T227" s="256">
        <v>0</v>
      </c>
    </row>
    <row r="228" spans="1:20" ht="15.75" x14ac:dyDescent="0.25">
      <c r="A228" s="256" t="s">
        <v>780</v>
      </c>
      <c r="B228" s="256" t="s">
        <v>776</v>
      </c>
      <c r="C228" s="256" t="s">
        <v>1368</v>
      </c>
      <c r="D228" s="256">
        <v>1840658</v>
      </c>
      <c r="E228" s="247" t="s">
        <v>1068</v>
      </c>
      <c r="F228" s="247">
        <v>2020</v>
      </c>
      <c r="G228" s="248" t="s">
        <v>1366</v>
      </c>
      <c r="H228" s="247" t="s">
        <v>1057</v>
      </c>
      <c r="J228" s="257" t="s">
        <v>1367</v>
      </c>
      <c r="K228" s="256">
        <v>0.69</v>
      </c>
      <c r="L228" s="256">
        <v>0.12</v>
      </c>
      <c r="M228" s="256">
        <v>0</v>
      </c>
      <c r="N228" s="256">
        <v>0</v>
      </c>
      <c r="O228" s="256">
        <v>0.56999999999999995</v>
      </c>
      <c r="P228" s="256">
        <v>0</v>
      </c>
      <c r="Q228" s="256">
        <v>100</v>
      </c>
      <c r="R228" s="256">
        <v>0</v>
      </c>
      <c r="S228" s="256">
        <v>0</v>
      </c>
      <c r="T228" s="256">
        <v>0</v>
      </c>
    </row>
    <row r="229" spans="1:20" ht="15.75" x14ac:dyDescent="0.25">
      <c r="A229" s="256" t="s">
        <v>780</v>
      </c>
      <c r="B229" s="256" t="s">
        <v>776</v>
      </c>
      <c r="C229" s="256" t="s">
        <v>1369</v>
      </c>
      <c r="D229" s="256">
        <v>1840658</v>
      </c>
      <c r="E229" s="247" t="s">
        <v>1061</v>
      </c>
      <c r="F229" s="247">
        <v>2020</v>
      </c>
      <c r="G229" s="248" t="s">
        <v>1366</v>
      </c>
      <c r="H229" s="247" t="s">
        <v>1057</v>
      </c>
      <c r="J229" s="257" t="s">
        <v>1367</v>
      </c>
      <c r="K229" s="256">
        <v>1.37</v>
      </c>
      <c r="L229" s="256">
        <v>0.27</v>
      </c>
      <c r="M229" s="256">
        <v>0</v>
      </c>
      <c r="N229" s="256">
        <v>0</v>
      </c>
      <c r="O229" s="256">
        <v>1.1000000000000001</v>
      </c>
      <c r="P229" s="256">
        <v>0</v>
      </c>
      <c r="Q229" s="256">
        <v>100</v>
      </c>
      <c r="R229" s="256">
        <v>0</v>
      </c>
      <c r="S229" s="256">
        <v>0</v>
      </c>
      <c r="T229" s="256">
        <v>0</v>
      </c>
    </row>
    <row r="230" spans="1:20" ht="15.75" x14ac:dyDescent="0.25">
      <c r="A230" s="256" t="s">
        <v>780</v>
      </c>
      <c r="B230" s="256" t="s">
        <v>776</v>
      </c>
      <c r="C230" s="256" t="s">
        <v>1370</v>
      </c>
      <c r="D230" s="256">
        <v>1840658</v>
      </c>
      <c r="E230" s="247" t="s">
        <v>1063</v>
      </c>
      <c r="F230" s="247">
        <v>2020</v>
      </c>
      <c r="G230" s="248" t="s">
        <v>1366</v>
      </c>
      <c r="H230" s="247" t="s">
        <v>1057</v>
      </c>
      <c r="J230" s="257" t="s">
        <v>1367</v>
      </c>
      <c r="K230" s="256">
        <v>1.1000000000000001</v>
      </c>
      <c r="L230" s="256">
        <v>0.21</v>
      </c>
      <c r="M230" s="256">
        <v>0</v>
      </c>
      <c r="N230" s="256">
        <v>0</v>
      </c>
      <c r="O230" s="256">
        <v>0.89</v>
      </c>
      <c r="P230" s="256">
        <v>0</v>
      </c>
      <c r="Q230" s="256">
        <v>100</v>
      </c>
      <c r="R230" s="256">
        <v>0</v>
      </c>
      <c r="S230" s="256">
        <v>0</v>
      </c>
      <c r="T230" s="256">
        <v>0</v>
      </c>
    </row>
    <row r="231" spans="1:20" ht="15.75" x14ac:dyDescent="0.25">
      <c r="A231" s="256" t="s">
        <v>780</v>
      </c>
      <c r="B231" s="256" t="s">
        <v>776</v>
      </c>
      <c r="C231" s="256" t="s">
        <v>1371</v>
      </c>
      <c r="D231" s="256">
        <v>1840658</v>
      </c>
      <c r="E231" s="247" t="s">
        <v>1073</v>
      </c>
      <c r="F231" s="247">
        <v>2020</v>
      </c>
      <c r="G231" s="248" t="s">
        <v>1366</v>
      </c>
      <c r="H231" s="247" t="s">
        <v>1057</v>
      </c>
      <c r="J231" s="257" t="s">
        <v>1367</v>
      </c>
      <c r="K231" s="256">
        <v>0.5</v>
      </c>
      <c r="L231" s="256">
        <v>0.08</v>
      </c>
      <c r="M231" s="256">
        <v>0</v>
      </c>
      <c r="N231" s="256">
        <v>0</v>
      </c>
      <c r="O231" s="256">
        <v>0.42</v>
      </c>
      <c r="P231" s="256">
        <v>0</v>
      </c>
      <c r="Q231" s="256">
        <v>100</v>
      </c>
      <c r="R231" s="256">
        <v>0</v>
      </c>
      <c r="S231" s="256">
        <v>0</v>
      </c>
      <c r="T231" s="256">
        <v>0</v>
      </c>
    </row>
    <row r="232" spans="1:20" ht="15.75" x14ac:dyDescent="0.25">
      <c r="A232" s="256" t="s">
        <v>1373</v>
      </c>
      <c r="B232" s="256" t="s">
        <v>1373</v>
      </c>
      <c r="C232" s="256" t="s">
        <v>1372</v>
      </c>
      <c r="D232" s="256">
        <v>3346325</v>
      </c>
      <c r="E232" s="247" t="s">
        <v>1087</v>
      </c>
      <c r="F232" s="247">
        <v>2020</v>
      </c>
      <c r="G232" s="248" t="s">
        <v>1366</v>
      </c>
      <c r="H232" s="247" t="s">
        <v>1086</v>
      </c>
      <c r="J232" s="257" t="s">
        <v>1374</v>
      </c>
      <c r="K232" s="256">
        <v>4.5999999999999996</v>
      </c>
      <c r="L232" s="256">
        <v>4.54</v>
      </c>
      <c r="M232" s="256">
        <v>0</v>
      </c>
      <c r="N232" s="256">
        <v>0.02</v>
      </c>
      <c r="O232" s="256">
        <v>0.04</v>
      </c>
      <c r="P232" s="256">
        <v>0</v>
      </c>
      <c r="Q232" s="256">
        <v>56</v>
      </c>
      <c r="R232" s="256">
        <v>6</v>
      </c>
      <c r="S232" s="256">
        <v>0</v>
      </c>
      <c r="T232" s="256">
        <v>0</v>
      </c>
    </row>
    <row r="233" spans="1:20" ht="15.75" x14ac:dyDescent="0.25">
      <c r="A233" s="256" t="s">
        <v>1375</v>
      </c>
      <c r="B233" s="256" t="s">
        <v>375</v>
      </c>
      <c r="C233" s="256" t="s">
        <v>1371</v>
      </c>
      <c r="D233" s="256">
        <v>6447139</v>
      </c>
      <c r="E233" s="247" t="s">
        <v>1073</v>
      </c>
      <c r="F233" s="247">
        <v>2020</v>
      </c>
      <c r="G233" s="248" t="s">
        <v>1366</v>
      </c>
      <c r="H233" s="247" t="s">
        <v>1057</v>
      </c>
      <c r="J233" s="257" t="s">
        <v>1367</v>
      </c>
      <c r="K233" s="256">
        <v>2.85</v>
      </c>
      <c r="L233" s="256">
        <v>2.7</v>
      </c>
      <c r="M233" s="256">
        <v>0.15</v>
      </c>
      <c r="N233" s="256">
        <v>0</v>
      </c>
      <c r="O233" s="256">
        <v>0</v>
      </c>
      <c r="P233" s="256">
        <v>0</v>
      </c>
      <c r="Q233" s="256">
        <v>0</v>
      </c>
      <c r="R233" s="256">
        <v>3</v>
      </c>
      <c r="S233" s="256">
        <v>0</v>
      </c>
      <c r="T233" s="256"/>
    </row>
    <row r="234" spans="1:20" ht="15.75" x14ac:dyDescent="0.25">
      <c r="A234" s="256" t="s">
        <v>1378</v>
      </c>
      <c r="B234" s="256" t="s">
        <v>1118</v>
      </c>
      <c r="C234" s="256" t="s">
        <v>1376</v>
      </c>
      <c r="D234" s="256">
        <v>8365172</v>
      </c>
      <c r="E234" s="247" t="s">
        <v>1058</v>
      </c>
      <c r="F234" s="247">
        <v>2020</v>
      </c>
      <c r="G234" s="248" t="s">
        <v>1377</v>
      </c>
      <c r="H234" s="247" t="s">
        <v>1057</v>
      </c>
      <c r="J234" s="257" t="s">
        <v>1119</v>
      </c>
      <c r="K234" s="256">
        <v>1.9</v>
      </c>
      <c r="L234" s="256">
        <v>1.9</v>
      </c>
      <c r="M234" s="256">
        <v>0</v>
      </c>
      <c r="N234" s="256">
        <v>0</v>
      </c>
      <c r="O234" s="256">
        <v>0</v>
      </c>
      <c r="P234" s="256">
        <v>0</v>
      </c>
      <c r="Q234" s="256">
        <v>8</v>
      </c>
      <c r="R234" s="256">
        <v>2</v>
      </c>
      <c r="S234" s="256">
        <v>0</v>
      </c>
      <c r="T234" s="256">
        <v>0</v>
      </c>
    </row>
    <row r="235" spans="1:20" ht="15.75" x14ac:dyDescent="0.25">
      <c r="A235" s="256" t="s">
        <v>1379</v>
      </c>
      <c r="B235" s="256" t="s">
        <v>1380</v>
      </c>
      <c r="C235" s="256" t="s">
        <v>1376</v>
      </c>
      <c r="D235" s="256">
        <v>8430922</v>
      </c>
      <c r="E235" s="247" t="s">
        <v>1058</v>
      </c>
      <c r="F235" s="247">
        <v>2020</v>
      </c>
      <c r="G235" s="248" t="s">
        <v>1377</v>
      </c>
      <c r="H235" s="247" t="s">
        <v>1057</v>
      </c>
      <c r="J235" s="257" t="s">
        <v>1119</v>
      </c>
      <c r="K235" s="256">
        <v>2</v>
      </c>
      <c r="L235" s="256">
        <v>9.9999999999999978E-2</v>
      </c>
      <c r="M235" s="256">
        <v>1.9</v>
      </c>
      <c r="N235" s="256">
        <v>0</v>
      </c>
      <c r="O235" s="256">
        <v>0</v>
      </c>
      <c r="P235" s="256">
        <v>0</v>
      </c>
      <c r="Q235" s="256">
        <v>0</v>
      </c>
      <c r="R235" s="256">
        <v>3</v>
      </c>
      <c r="S235" s="256">
        <v>0</v>
      </c>
      <c r="T235" s="256"/>
    </row>
    <row r="236" spans="1:20" ht="15.75" x14ac:dyDescent="0.25">
      <c r="A236" s="256" t="s">
        <v>1383</v>
      </c>
      <c r="B236" s="256" t="s">
        <v>776</v>
      </c>
      <c r="C236" s="256" t="s">
        <v>1381</v>
      </c>
      <c r="D236" s="256">
        <v>1236570</v>
      </c>
      <c r="E236" s="247" t="s">
        <v>1058</v>
      </c>
      <c r="F236" s="247">
        <v>2020</v>
      </c>
      <c r="G236" s="248" t="s">
        <v>1382</v>
      </c>
      <c r="H236" s="247" t="s">
        <v>1057</v>
      </c>
      <c r="J236" s="257" t="s">
        <v>1384</v>
      </c>
      <c r="K236" s="256">
        <v>15.96</v>
      </c>
      <c r="L236" s="256">
        <v>4</v>
      </c>
      <c r="M236" s="256">
        <v>10.96</v>
      </c>
      <c r="N236" s="256">
        <v>0</v>
      </c>
      <c r="O236" s="256">
        <v>1</v>
      </c>
      <c r="P236" s="256">
        <v>64</v>
      </c>
      <c r="Q236" s="256">
        <v>0</v>
      </c>
      <c r="R236" s="256">
        <v>0</v>
      </c>
      <c r="S236" s="256">
        <v>0</v>
      </c>
      <c r="T236" s="256">
        <v>0</v>
      </c>
    </row>
    <row r="237" spans="1:20" ht="15.75" x14ac:dyDescent="0.25">
      <c r="A237" s="247" t="s">
        <v>860</v>
      </c>
      <c r="B237" s="247" t="s">
        <v>857</v>
      </c>
      <c r="C237" s="247" t="s">
        <v>1385</v>
      </c>
      <c r="D237" s="247">
        <v>2514714</v>
      </c>
      <c r="E237" s="247" t="s">
        <v>1073</v>
      </c>
      <c r="F237" s="247">
        <v>2020</v>
      </c>
      <c r="G237" s="248" t="s">
        <v>1382</v>
      </c>
      <c r="H237" s="247" t="s">
        <v>1057</v>
      </c>
      <c r="J237" s="249" t="s">
        <v>1386</v>
      </c>
      <c r="K237" s="308">
        <v>2.5</v>
      </c>
      <c r="L237" s="308">
        <v>1</v>
      </c>
      <c r="M237" s="308">
        <v>1.5</v>
      </c>
      <c r="N237" s="308">
        <v>0</v>
      </c>
      <c r="O237" s="308">
        <v>0</v>
      </c>
      <c r="P237" s="247">
        <v>11</v>
      </c>
      <c r="Q237" s="247">
        <v>0</v>
      </c>
      <c r="R237" s="247">
        <v>0</v>
      </c>
      <c r="S237" s="247">
        <v>0</v>
      </c>
      <c r="T237" s="250">
        <v>0</v>
      </c>
    </row>
    <row r="238" spans="1:20" ht="15.75" x14ac:dyDescent="0.25">
      <c r="A238" s="256" t="s">
        <v>1388</v>
      </c>
      <c r="B238" s="256" t="s">
        <v>776</v>
      </c>
      <c r="C238" s="256" t="s">
        <v>1387</v>
      </c>
      <c r="D238" s="256">
        <v>4699567</v>
      </c>
      <c r="E238" s="247" t="s">
        <v>1058</v>
      </c>
      <c r="F238" s="247">
        <v>2020</v>
      </c>
      <c r="G238" s="248" t="s">
        <v>1382</v>
      </c>
      <c r="H238" s="247" t="s">
        <v>1057</v>
      </c>
      <c r="J238" s="257" t="s">
        <v>1386</v>
      </c>
      <c r="K238" s="256">
        <v>6.8</v>
      </c>
      <c r="L238" s="256">
        <v>1</v>
      </c>
      <c r="M238" s="256">
        <v>5.8</v>
      </c>
      <c r="N238" s="256">
        <v>0</v>
      </c>
      <c r="O238" s="256">
        <v>0</v>
      </c>
      <c r="P238" s="256">
        <v>32</v>
      </c>
      <c r="Q238" s="256">
        <v>0</v>
      </c>
      <c r="R238" s="256">
        <v>0</v>
      </c>
      <c r="S238" s="256">
        <v>0</v>
      </c>
      <c r="T238" s="256">
        <v>0</v>
      </c>
    </row>
    <row r="239" spans="1:20" ht="15.75" x14ac:dyDescent="0.25">
      <c r="A239" s="254" t="s">
        <v>703</v>
      </c>
      <c r="B239" s="254" t="s">
        <v>703</v>
      </c>
      <c r="C239" s="254" t="s">
        <v>1389</v>
      </c>
      <c r="D239" s="254">
        <v>5755112</v>
      </c>
      <c r="E239" s="247" t="s">
        <v>1073</v>
      </c>
      <c r="F239" s="247">
        <v>2020</v>
      </c>
      <c r="G239" s="248" t="s">
        <v>1382</v>
      </c>
      <c r="H239" s="247" t="s">
        <v>1057</v>
      </c>
      <c r="J239" s="255" t="s">
        <v>1384</v>
      </c>
      <c r="K239" s="256">
        <v>6</v>
      </c>
      <c r="L239" s="256">
        <v>1</v>
      </c>
      <c r="M239" s="256">
        <v>5</v>
      </c>
      <c r="N239" s="256">
        <v>0</v>
      </c>
      <c r="O239" s="256">
        <v>0</v>
      </c>
      <c r="P239" s="256">
        <v>32</v>
      </c>
      <c r="Q239" s="256">
        <v>0</v>
      </c>
      <c r="R239" s="256">
        <v>0</v>
      </c>
      <c r="S239" s="256">
        <v>0</v>
      </c>
      <c r="T239" s="256"/>
    </row>
    <row r="240" spans="1:20" ht="15.75" x14ac:dyDescent="0.25">
      <c r="A240" s="254" t="s">
        <v>1391</v>
      </c>
      <c r="B240" s="254" t="s">
        <v>947</v>
      </c>
      <c r="C240" s="254" t="s">
        <v>1390</v>
      </c>
      <c r="D240" s="254">
        <v>7190506</v>
      </c>
      <c r="E240" s="247" t="s">
        <v>1068</v>
      </c>
      <c r="F240" s="247">
        <v>2020</v>
      </c>
      <c r="G240" s="260" t="s">
        <v>1382</v>
      </c>
      <c r="H240" s="247" t="s">
        <v>1057</v>
      </c>
      <c r="J240" s="255" t="s">
        <v>1384</v>
      </c>
      <c r="K240" s="256">
        <v>5.85</v>
      </c>
      <c r="L240" s="256">
        <v>1.85</v>
      </c>
      <c r="M240" s="256">
        <v>4</v>
      </c>
      <c r="N240" s="256">
        <v>0</v>
      </c>
      <c r="O240" s="256">
        <v>0</v>
      </c>
      <c r="P240" s="256">
        <v>14</v>
      </c>
      <c r="Q240" s="256">
        <v>0</v>
      </c>
      <c r="R240" s="256">
        <v>0</v>
      </c>
      <c r="S240" s="256">
        <v>0</v>
      </c>
      <c r="T240" s="256"/>
    </row>
    <row r="241" spans="1:20" ht="15.75" x14ac:dyDescent="0.25">
      <c r="A241" s="256" t="s">
        <v>814</v>
      </c>
      <c r="B241" s="256" t="s">
        <v>812</v>
      </c>
      <c r="C241" s="256" t="s">
        <v>1392</v>
      </c>
      <c r="D241" s="256">
        <v>8891712</v>
      </c>
      <c r="E241" s="247" t="s">
        <v>1061</v>
      </c>
      <c r="F241" s="247">
        <v>2020</v>
      </c>
      <c r="G241" s="247" t="s">
        <v>1382</v>
      </c>
      <c r="H241" s="247" t="s">
        <v>1057</v>
      </c>
      <c r="J241" s="257" t="s">
        <v>1384</v>
      </c>
      <c r="K241" s="256">
        <v>6.5</v>
      </c>
      <c r="L241" s="256">
        <v>1</v>
      </c>
      <c r="M241" s="256">
        <v>5.5</v>
      </c>
      <c r="N241" s="256">
        <v>0</v>
      </c>
      <c r="O241" s="256">
        <v>0</v>
      </c>
      <c r="P241" s="256">
        <v>11</v>
      </c>
      <c r="Q241" s="256">
        <v>0</v>
      </c>
      <c r="R241" s="256">
        <v>0</v>
      </c>
      <c r="S241" s="256">
        <v>0</v>
      </c>
      <c r="T241" s="256">
        <v>0</v>
      </c>
    </row>
    <row r="242" spans="1:20" ht="15.75" x14ac:dyDescent="0.25">
      <c r="A242" s="256" t="s">
        <v>818</v>
      </c>
      <c r="B242" s="256" t="s">
        <v>812</v>
      </c>
      <c r="C242" s="256" t="s">
        <v>1392</v>
      </c>
      <c r="D242" s="256">
        <v>9064643</v>
      </c>
      <c r="E242" s="247" t="s">
        <v>1061</v>
      </c>
      <c r="F242" s="247">
        <v>2020</v>
      </c>
      <c r="G242" s="248" t="s">
        <v>1382</v>
      </c>
      <c r="H242" s="247" t="s">
        <v>1057</v>
      </c>
      <c r="J242" s="257" t="s">
        <v>1384</v>
      </c>
      <c r="K242" s="256">
        <v>7</v>
      </c>
      <c r="L242" s="256">
        <v>1.5</v>
      </c>
      <c r="M242" s="256">
        <v>5</v>
      </c>
      <c r="N242" s="256">
        <v>0</v>
      </c>
      <c r="O242" s="256">
        <v>0.5</v>
      </c>
      <c r="P242" s="256">
        <v>72</v>
      </c>
      <c r="Q242" s="256">
        <v>0</v>
      </c>
      <c r="R242" s="256">
        <v>0</v>
      </c>
      <c r="S242" s="256">
        <v>0</v>
      </c>
      <c r="T242" s="256">
        <v>0</v>
      </c>
    </row>
    <row r="243" spans="1:20" ht="15.75" x14ac:dyDescent="0.25">
      <c r="A243" s="247" t="s">
        <v>1395</v>
      </c>
      <c r="B243" s="247" t="s">
        <v>1056</v>
      </c>
      <c r="C243" s="247" t="s">
        <v>1393</v>
      </c>
      <c r="D243" s="247">
        <v>5814347</v>
      </c>
      <c r="E243" s="247" t="s">
        <v>1058</v>
      </c>
      <c r="F243" s="247">
        <v>2020</v>
      </c>
      <c r="G243" s="261" t="s">
        <v>1394</v>
      </c>
      <c r="H243" s="247" t="s">
        <v>1057</v>
      </c>
      <c r="J243" s="249" t="s">
        <v>1059</v>
      </c>
      <c r="K243" s="308">
        <v>4</v>
      </c>
      <c r="L243" s="308">
        <v>3</v>
      </c>
      <c r="M243" s="308">
        <v>1</v>
      </c>
      <c r="N243" s="308">
        <v>0</v>
      </c>
      <c r="O243" s="308">
        <v>0</v>
      </c>
      <c r="P243" s="247">
        <v>0</v>
      </c>
      <c r="Q243" s="247">
        <v>0</v>
      </c>
      <c r="R243" s="247">
        <v>4</v>
      </c>
      <c r="S243" s="247">
        <v>0</v>
      </c>
      <c r="T243" s="250">
        <v>0</v>
      </c>
    </row>
    <row r="244" spans="1:20" ht="15.75" x14ac:dyDescent="0.25">
      <c r="A244" s="247" t="s">
        <v>935</v>
      </c>
      <c r="B244" s="247" t="s">
        <v>928</v>
      </c>
      <c r="C244" s="247" t="s">
        <v>1396</v>
      </c>
      <c r="D244" s="247">
        <v>9870958</v>
      </c>
      <c r="E244" s="247" t="s">
        <v>1073</v>
      </c>
      <c r="F244" s="247">
        <v>2020</v>
      </c>
      <c r="G244" s="262" t="s">
        <v>1394</v>
      </c>
      <c r="H244" s="247" t="s">
        <v>1057</v>
      </c>
      <c r="J244" s="249" t="s">
        <v>1059</v>
      </c>
      <c r="K244" s="308">
        <v>3.3</v>
      </c>
      <c r="L244" s="308">
        <v>3.1</v>
      </c>
      <c r="M244" s="308">
        <v>0</v>
      </c>
      <c r="N244" s="308">
        <v>0.2</v>
      </c>
      <c r="O244" s="308">
        <v>0</v>
      </c>
      <c r="P244" s="247">
        <v>0</v>
      </c>
      <c r="Q244" s="247">
        <v>0</v>
      </c>
      <c r="R244" s="247">
        <v>9</v>
      </c>
      <c r="S244" s="247">
        <v>0</v>
      </c>
      <c r="T244" s="250">
        <v>0</v>
      </c>
    </row>
    <row r="245" spans="1:20" ht="15.75" x14ac:dyDescent="0.25">
      <c r="A245" s="247" t="s">
        <v>721</v>
      </c>
      <c r="B245" s="247" t="s">
        <v>718</v>
      </c>
      <c r="C245" s="247" t="s">
        <v>1397</v>
      </c>
      <c r="D245" s="247">
        <v>2757263</v>
      </c>
      <c r="E245" s="247" t="s">
        <v>1058</v>
      </c>
      <c r="F245" s="247">
        <v>2020</v>
      </c>
      <c r="G245" s="248" t="s">
        <v>1398</v>
      </c>
      <c r="H245" s="247" t="s">
        <v>1057</v>
      </c>
      <c r="J245" s="249" t="s">
        <v>1122</v>
      </c>
      <c r="K245" s="308">
        <v>1.35</v>
      </c>
      <c r="L245" s="308">
        <v>0.3</v>
      </c>
      <c r="M245" s="308">
        <v>0</v>
      </c>
      <c r="N245" s="308">
        <v>0</v>
      </c>
      <c r="O245" s="308">
        <v>1.05</v>
      </c>
      <c r="P245" s="247">
        <v>0</v>
      </c>
      <c r="Q245" s="247">
        <v>21</v>
      </c>
      <c r="R245" s="247">
        <v>0</v>
      </c>
      <c r="S245" s="247">
        <v>0</v>
      </c>
      <c r="T245" s="250">
        <v>0</v>
      </c>
    </row>
    <row r="246" spans="1:20" ht="15.75" x14ac:dyDescent="0.25">
      <c r="A246" s="247" t="s">
        <v>1401</v>
      </c>
      <c r="B246" s="247" t="s">
        <v>776</v>
      </c>
      <c r="C246" s="247" t="s">
        <v>1399</v>
      </c>
      <c r="D246" s="247">
        <v>6585534</v>
      </c>
      <c r="E246" s="247" t="s">
        <v>1087</v>
      </c>
      <c r="F246" s="247">
        <v>2020</v>
      </c>
      <c r="G246" s="248" t="s">
        <v>1400</v>
      </c>
      <c r="H246" s="247" t="s">
        <v>1086</v>
      </c>
      <c r="J246" s="249" t="s">
        <v>1076</v>
      </c>
      <c r="K246" s="308">
        <v>4</v>
      </c>
      <c r="L246" s="308">
        <v>4</v>
      </c>
      <c r="M246" s="308">
        <v>0</v>
      </c>
      <c r="N246" s="308">
        <v>0</v>
      </c>
      <c r="O246" s="308">
        <v>0</v>
      </c>
      <c r="P246" s="247">
        <v>0</v>
      </c>
      <c r="Q246" s="247">
        <v>16</v>
      </c>
      <c r="R246" s="247">
        <v>0</v>
      </c>
      <c r="S246" s="247">
        <v>0</v>
      </c>
      <c r="T246" s="250">
        <v>0</v>
      </c>
    </row>
    <row r="247" spans="1:20" ht="15.75" x14ac:dyDescent="0.25">
      <c r="A247" s="247" t="s">
        <v>1388</v>
      </c>
      <c r="B247" s="247" t="s">
        <v>776</v>
      </c>
      <c r="C247" s="247" t="s">
        <v>1402</v>
      </c>
      <c r="D247" s="247">
        <v>7832444</v>
      </c>
      <c r="E247" s="247" t="s">
        <v>1058</v>
      </c>
      <c r="F247" s="247">
        <v>2020</v>
      </c>
      <c r="G247" s="248" t="s">
        <v>1403</v>
      </c>
      <c r="H247" s="247" t="s">
        <v>1125</v>
      </c>
      <c r="J247" s="249" t="s">
        <v>1386</v>
      </c>
      <c r="K247" s="308">
        <v>6.89</v>
      </c>
      <c r="L247" s="308">
        <v>2.75</v>
      </c>
      <c r="M247" s="308">
        <v>4.1399999999999997</v>
      </c>
      <c r="N247" s="308">
        <v>0</v>
      </c>
      <c r="O247" s="308">
        <v>0</v>
      </c>
      <c r="P247" s="247">
        <v>0</v>
      </c>
      <c r="Q247" s="247">
        <v>0</v>
      </c>
      <c r="R247" s="247">
        <v>30</v>
      </c>
      <c r="S247" s="247">
        <v>0</v>
      </c>
      <c r="T247" s="250">
        <v>0</v>
      </c>
    </row>
    <row r="248" spans="1:20" ht="15.75" x14ac:dyDescent="0.25">
      <c r="A248" s="247" t="s">
        <v>1406</v>
      </c>
      <c r="B248" s="247" t="s">
        <v>805</v>
      </c>
      <c r="C248" s="247" t="s">
        <v>1404</v>
      </c>
      <c r="D248" s="247">
        <v>1738957</v>
      </c>
      <c r="E248" s="247" t="s">
        <v>1142</v>
      </c>
      <c r="F248" s="247">
        <v>2020</v>
      </c>
      <c r="G248" s="248" t="s">
        <v>1405</v>
      </c>
      <c r="H248" s="247" t="s">
        <v>1156</v>
      </c>
      <c r="J248" s="249" t="s">
        <v>1407</v>
      </c>
      <c r="K248" s="308">
        <v>2</v>
      </c>
      <c r="L248" s="308">
        <v>2</v>
      </c>
      <c r="M248" s="308">
        <v>0</v>
      </c>
      <c r="N248" s="308">
        <v>0</v>
      </c>
      <c r="O248" s="308">
        <v>0</v>
      </c>
      <c r="P248" s="247">
        <v>0</v>
      </c>
      <c r="Q248" s="247">
        <v>0</v>
      </c>
      <c r="R248" s="247">
        <v>20</v>
      </c>
      <c r="S248" s="247">
        <v>0</v>
      </c>
      <c r="T248" s="250">
        <v>0</v>
      </c>
    </row>
    <row r="249" spans="1:20" ht="15.75" x14ac:dyDescent="0.25">
      <c r="A249" s="247" t="s">
        <v>899</v>
      </c>
      <c r="B249" s="247" t="s">
        <v>897</v>
      </c>
      <c r="C249" s="247" t="s">
        <v>1408</v>
      </c>
      <c r="D249" s="247">
        <v>2174839</v>
      </c>
      <c r="E249" s="247" t="s">
        <v>1058</v>
      </c>
      <c r="F249" s="247">
        <v>2020</v>
      </c>
      <c r="G249" s="248" t="s">
        <v>1405</v>
      </c>
      <c r="H249" s="247" t="s">
        <v>1156</v>
      </c>
      <c r="J249" s="249" t="s">
        <v>1407</v>
      </c>
      <c r="K249" s="308">
        <v>5.5</v>
      </c>
      <c r="L249" s="308">
        <v>5.5</v>
      </c>
      <c r="M249" s="308">
        <v>0</v>
      </c>
      <c r="N249" s="308">
        <v>0</v>
      </c>
      <c r="O249" s="308">
        <v>0</v>
      </c>
      <c r="P249" s="247">
        <v>0</v>
      </c>
      <c r="Q249" s="247">
        <v>0</v>
      </c>
      <c r="R249" s="247">
        <v>55</v>
      </c>
      <c r="S249" s="247">
        <v>0</v>
      </c>
      <c r="T249" s="250"/>
    </row>
    <row r="250" spans="1:20" ht="15.75" x14ac:dyDescent="0.25">
      <c r="A250" s="254" t="s">
        <v>899</v>
      </c>
      <c r="B250" s="254" t="s">
        <v>897</v>
      </c>
      <c r="C250" s="254" t="s">
        <v>1409</v>
      </c>
      <c r="D250" s="254">
        <v>2174839</v>
      </c>
      <c r="E250" s="247" t="s">
        <v>1151</v>
      </c>
      <c r="F250" s="247">
        <v>2020</v>
      </c>
      <c r="G250" s="248" t="s">
        <v>1405</v>
      </c>
      <c r="H250" s="247" t="s">
        <v>1156</v>
      </c>
      <c r="J250" s="255" t="s">
        <v>1407</v>
      </c>
      <c r="K250" s="256">
        <v>0.5</v>
      </c>
      <c r="L250" s="256">
        <v>0.5</v>
      </c>
      <c r="M250" s="256">
        <v>0</v>
      </c>
      <c r="N250" s="256">
        <v>0</v>
      </c>
      <c r="O250" s="256">
        <v>0</v>
      </c>
      <c r="P250" s="256">
        <v>0</v>
      </c>
      <c r="Q250" s="256">
        <v>0</v>
      </c>
      <c r="R250" s="256">
        <v>15</v>
      </c>
      <c r="S250" s="256">
        <v>0</v>
      </c>
      <c r="T250" s="256"/>
    </row>
    <row r="251" spans="1:20" ht="15.75" x14ac:dyDescent="0.25">
      <c r="A251" s="247" t="s">
        <v>1411</v>
      </c>
      <c r="B251" s="247" t="s">
        <v>805</v>
      </c>
      <c r="C251" s="247" t="s">
        <v>1410</v>
      </c>
      <c r="D251" s="247">
        <v>2315315</v>
      </c>
      <c r="E251" s="247" t="s">
        <v>1068</v>
      </c>
      <c r="F251" s="247">
        <v>2020</v>
      </c>
      <c r="G251" s="248" t="s">
        <v>1405</v>
      </c>
      <c r="H251" s="247" t="s">
        <v>1156</v>
      </c>
      <c r="J251" s="249" t="s">
        <v>1407</v>
      </c>
      <c r="K251" s="308">
        <v>2</v>
      </c>
      <c r="L251" s="308">
        <v>2</v>
      </c>
      <c r="M251" s="308">
        <v>0</v>
      </c>
      <c r="N251" s="308">
        <v>0</v>
      </c>
      <c r="O251" s="308">
        <v>0</v>
      </c>
      <c r="P251" s="247">
        <v>0</v>
      </c>
      <c r="Q251" s="247">
        <v>0</v>
      </c>
      <c r="R251" s="247">
        <v>20</v>
      </c>
      <c r="S251" s="247">
        <v>0</v>
      </c>
      <c r="T251" s="250">
        <v>0</v>
      </c>
    </row>
    <row r="252" spans="1:20" ht="15.75" x14ac:dyDescent="0.25">
      <c r="A252" s="247" t="s">
        <v>1413</v>
      </c>
      <c r="B252" s="247" t="s">
        <v>928</v>
      </c>
      <c r="C252" s="247" t="s">
        <v>1412</v>
      </c>
      <c r="D252" s="247">
        <v>5922905</v>
      </c>
      <c r="E252" s="247" t="s">
        <v>1073</v>
      </c>
      <c r="F252" s="247">
        <v>2020</v>
      </c>
      <c r="G252" s="248" t="s">
        <v>1405</v>
      </c>
      <c r="H252" s="247" t="s">
        <v>1156</v>
      </c>
      <c r="J252" s="249" t="s">
        <v>1407</v>
      </c>
      <c r="K252" s="308">
        <v>3.3</v>
      </c>
      <c r="L252" s="308">
        <v>3.3</v>
      </c>
      <c r="M252" s="308">
        <v>0</v>
      </c>
      <c r="N252" s="308">
        <v>0</v>
      </c>
      <c r="O252" s="308">
        <v>0</v>
      </c>
      <c r="P252" s="247">
        <v>0</v>
      </c>
      <c r="Q252" s="247">
        <v>0</v>
      </c>
      <c r="R252" s="247">
        <v>30</v>
      </c>
      <c r="S252" s="247">
        <v>0</v>
      </c>
      <c r="T252" s="250">
        <v>0</v>
      </c>
    </row>
    <row r="253" spans="1:20" ht="15.75" x14ac:dyDescent="0.25">
      <c r="A253" s="247" t="s">
        <v>810</v>
      </c>
      <c r="B253" s="247" t="s">
        <v>805</v>
      </c>
      <c r="C253" s="247" t="s">
        <v>1414</v>
      </c>
      <c r="D253" s="247">
        <v>6607461</v>
      </c>
      <c r="E253" s="247" t="s">
        <v>1144</v>
      </c>
      <c r="F253" s="247">
        <v>2020</v>
      </c>
      <c r="G253" s="248" t="s">
        <v>1405</v>
      </c>
      <c r="H253" s="247" t="s">
        <v>1156</v>
      </c>
      <c r="J253" s="249" t="s">
        <v>1407</v>
      </c>
      <c r="K253" s="308">
        <v>2</v>
      </c>
      <c r="L253" s="308">
        <v>2</v>
      </c>
      <c r="M253" s="308">
        <v>0</v>
      </c>
      <c r="N253" s="308">
        <v>0</v>
      </c>
      <c r="O253" s="308">
        <v>0</v>
      </c>
      <c r="P253" s="247">
        <v>0</v>
      </c>
      <c r="Q253" s="247">
        <v>0</v>
      </c>
      <c r="R253" s="247">
        <v>20</v>
      </c>
      <c r="S253" s="247">
        <v>0</v>
      </c>
      <c r="T253" s="250">
        <v>0</v>
      </c>
    </row>
    <row r="254" spans="1:20" ht="15.75" x14ac:dyDescent="0.25">
      <c r="A254" s="247" t="s">
        <v>1416</v>
      </c>
      <c r="B254" s="247" t="s">
        <v>531</v>
      </c>
      <c r="C254" s="247" t="s">
        <v>1415</v>
      </c>
      <c r="D254" s="247">
        <v>6989404</v>
      </c>
      <c r="E254" s="247" t="s">
        <v>1223</v>
      </c>
      <c r="F254" s="247">
        <v>2020</v>
      </c>
      <c r="G254" s="248" t="s">
        <v>1405</v>
      </c>
      <c r="H254" s="247" t="s">
        <v>1156</v>
      </c>
      <c r="J254" s="249" t="s">
        <v>1407</v>
      </c>
      <c r="K254" s="308">
        <v>2.35</v>
      </c>
      <c r="L254" s="308">
        <v>0.35</v>
      </c>
      <c r="M254" s="308">
        <v>2</v>
      </c>
      <c r="N254" s="308">
        <v>0</v>
      </c>
      <c r="O254" s="308">
        <v>0</v>
      </c>
      <c r="P254" s="247">
        <v>0</v>
      </c>
      <c r="Q254" s="247">
        <v>0</v>
      </c>
      <c r="R254" s="247">
        <v>20</v>
      </c>
      <c r="S254" s="247">
        <v>0</v>
      </c>
      <c r="T254" s="250">
        <v>0</v>
      </c>
    </row>
    <row r="255" spans="1:20" ht="15.75" x14ac:dyDescent="0.25">
      <c r="A255" s="247" t="s">
        <v>1418</v>
      </c>
      <c r="B255" s="247" t="s">
        <v>553</v>
      </c>
      <c r="C255" s="247" t="s">
        <v>1417</v>
      </c>
      <c r="D255" s="247">
        <v>8102124</v>
      </c>
      <c r="E255" s="247" t="s">
        <v>1134</v>
      </c>
      <c r="F255" s="247">
        <v>2020</v>
      </c>
      <c r="G255" s="248" t="s">
        <v>1405</v>
      </c>
      <c r="H255" s="247" t="s">
        <v>1156</v>
      </c>
      <c r="J255" s="249" t="s">
        <v>1407</v>
      </c>
      <c r="K255" s="308">
        <v>1.6</v>
      </c>
      <c r="L255" s="308">
        <v>1.3</v>
      </c>
      <c r="M255" s="308">
        <v>0.3</v>
      </c>
      <c r="N255" s="308">
        <v>0</v>
      </c>
      <c r="O255" s="308">
        <v>0</v>
      </c>
      <c r="P255" s="247">
        <v>0</v>
      </c>
      <c r="Q255" s="247">
        <v>0</v>
      </c>
      <c r="R255" s="247">
        <v>25</v>
      </c>
      <c r="S255" s="247">
        <v>0</v>
      </c>
      <c r="T255" s="250">
        <v>0</v>
      </c>
    </row>
    <row r="256" spans="1:20" ht="15.75" x14ac:dyDescent="0.25">
      <c r="A256" s="247" t="s">
        <v>846</v>
      </c>
      <c r="B256" s="247" t="s">
        <v>842</v>
      </c>
      <c r="C256" s="247" t="s">
        <v>1419</v>
      </c>
      <c r="D256" s="247">
        <v>8350990</v>
      </c>
      <c r="E256" s="247" t="s">
        <v>1063</v>
      </c>
      <c r="F256" s="247">
        <v>2020</v>
      </c>
      <c r="G256" s="248" t="s">
        <v>1405</v>
      </c>
      <c r="H256" s="247" t="s">
        <v>1156</v>
      </c>
      <c r="J256" s="249" t="s">
        <v>1407</v>
      </c>
      <c r="K256" s="308">
        <v>3</v>
      </c>
      <c r="L256" s="308">
        <v>1</v>
      </c>
      <c r="M256" s="308">
        <v>2</v>
      </c>
      <c r="N256" s="308">
        <v>0</v>
      </c>
      <c r="O256" s="308">
        <v>0</v>
      </c>
      <c r="P256" s="247">
        <v>0</v>
      </c>
      <c r="Q256" s="247">
        <v>0</v>
      </c>
      <c r="R256" s="247">
        <v>50</v>
      </c>
      <c r="S256" s="247">
        <v>0</v>
      </c>
      <c r="T256" s="250"/>
    </row>
    <row r="257" spans="1:20" ht="15.75" x14ac:dyDescent="0.25">
      <c r="A257" s="247" t="s">
        <v>1421</v>
      </c>
      <c r="B257" s="247" t="s">
        <v>909</v>
      </c>
      <c r="C257" s="247" t="s">
        <v>1420</v>
      </c>
      <c r="D257" s="247">
        <v>8411392</v>
      </c>
      <c r="E257" s="247" t="s">
        <v>1058</v>
      </c>
      <c r="F257" s="247">
        <v>2020</v>
      </c>
      <c r="G257" s="248" t="s">
        <v>1405</v>
      </c>
      <c r="H257" s="247" t="s">
        <v>1156</v>
      </c>
      <c r="J257" s="249" t="s">
        <v>1407</v>
      </c>
      <c r="K257" s="308">
        <v>6.5</v>
      </c>
      <c r="L257" s="308">
        <v>6.25</v>
      </c>
      <c r="M257" s="308">
        <v>0.25</v>
      </c>
      <c r="N257" s="308">
        <v>0</v>
      </c>
      <c r="O257" s="308">
        <v>0</v>
      </c>
      <c r="P257" s="247">
        <v>0</v>
      </c>
      <c r="Q257" s="247">
        <v>0</v>
      </c>
      <c r="R257" s="247">
        <v>57</v>
      </c>
      <c r="S257" s="247">
        <v>0</v>
      </c>
      <c r="T257" s="250">
        <v>0</v>
      </c>
    </row>
    <row r="258" spans="1:20" ht="15.75" x14ac:dyDescent="0.25">
      <c r="A258" s="247" t="s">
        <v>859</v>
      </c>
      <c r="B258" s="247" t="s">
        <v>857</v>
      </c>
      <c r="C258" s="247" t="s">
        <v>1422</v>
      </c>
      <c r="D258" s="247">
        <v>1696009</v>
      </c>
      <c r="E258" s="247" t="s">
        <v>1134</v>
      </c>
      <c r="F258" s="247">
        <v>2020</v>
      </c>
      <c r="G258" s="262" t="s">
        <v>1423</v>
      </c>
      <c r="H258" s="247" t="s">
        <v>1125</v>
      </c>
      <c r="J258" s="249" t="s">
        <v>1386</v>
      </c>
      <c r="K258" s="308">
        <v>1</v>
      </c>
      <c r="L258" s="308">
        <v>0.30000000000000004</v>
      </c>
      <c r="M258" s="308">
        <v>0.7</v>
      </c>
      <c r="N258" s="308">
        <v>0</v>
      </c>
      <c r="O258" s="308">
        <v>0</v>
      </c>
      <c r="P258" s="247">
        <v>7</v>
      </c>
      <c r="Q258" s="247">
        <v>0</v>
      </c>
      <c r="R258" s="247">
        <v>0</v>
      </c>
      <c r="S258" s="247">
        <v>0</v>
      </c>
      <c r="T258" s="250"/>
    </row>
    <row r="259" spans="1:20" ht="15.75" x14ac:dyDescent="0.25">
      <c r="A259" s="247" t="s">
        <v>1388</v>
      </c>
      <c r="B259" s="247" t="s">
        <v>776</v>
      </c>
      <c r="C259" s="247" t="s">
        <v>1424</v>
      </c>
      <c r="D259" s="247">
        <v>1968420</v>
      </c>
      <c r="E259" s="247" t="s">
        <v>1058</v>
      </c>
      <c r="F259" s="247">
        <v>2020</v>
      </c>
      <c r="G259" s="261" t="s">
        <v>1423</v>
      </c>
      <c r="H259" s="247" t="s">
        <v>1125</v>
      </c>
      <c r="J259" s="249" t="s">
        <v>1386</v>
      </c>
      <c r="K259" s="308">
        <v>6.11</v>
      </c>
      <c r="L259" s="308">
        <v>0.25</v>
      </c>
      <c r="M259" s="308">
        <v>5.86</v>
      </c>
      <c r="N259" s="308">
        <v>0</v>
      </c>
      <c r="O259" s="308">
        <v>0</v>
      </c>
      <c r="P259" s="247">
        <v>67</v>
      </c>
      <c r="Q259" s="247">
        <v>0</v>
      </c>
      <c r="R259" s="247">
        <v>90</v>
      </c>
      <c r="S259" s="247">
        <v>0</v>
      </c>
      <c r="T259" s="250"/>
    </row>
    <row r="260" spans="1:20" ht="15.75" x14ac:dyDescent="0.25">
      <c r="A260" s="247" t="s">
        <v>859</v>
      </c>
      <c r="B260" s="247" t="s">
        <v>947</v>
      </c>
      <c r="C260" s="247" t="s">
        <v>1425</v>
      </c>
      <c r="D260" s="247">
        <v>4720531</v>
      </c>
      <c r="E260" s="247" t="s">
        <v>1068</v>
      </c>
      <c r="F260" s="247">
        <v>2020</v>
      </c>
      <c r="G260" s="261" t="s">
        <v>1423</v>
      </c>
      <c r="H260" s="247" t="s">
        <v>1125</v>
      </c>
      <c r="J260" s="249" t="s">
        <v>1386</v>
      </c>
      <c r="K260" s="308">
        <v>1.25</v>
      </c>
      <c r="L260" s="308">
        <v>0</v>
      </c>
      <c r="M260" s="308">
        <v>1.25</v>
      </c>
      <c r="N260" s="308">
        <v>0</v>
      </c>
      <c r="O260" s="308">
        <v>0</v>
      </c>
      <c r="P260" s="247">
        <v>6</v>
      </c>
      <c r="Q260" s="247">
        <v>0</v>
      </c>
      <c r="R260" s="247">
        <v>0</v>
      </c>
      <c r="S260" s="247">
        <v>0</v>
      </c>
      <c r="T260" s="250">
        <v>0</v>
      </c>
    </row>
    <row r="261" spans="1:20" ht="15.75" x14ac:dyDescent="0.25">
      <c r="A261" s="247" t="s">
        <v>647</v>
      </c>
      <c r="B261" s="247" t="s">
        <v>647</v>
      </c>
      <c r="C261" s="247" t="s">
        <v>1426</v>
      </c>
      <c r="D261" s="247">
        <v>1272659</v>
      </c>
      <c r="E261" s="247" t="s">
        <v>1223</v>
      </c>
      <c r="F261" s="247">
        <v>2020</v>
      </c>
      <c r="G261" s="260" t="s">
        <v>1427</v>
      </c>
      <c r="H261" s="247" t="s">
        <v>1125</v>
      </c>
      <c r="J261" s="249" t="s">
        <v>1428</v>
      </c>
      <c r="K261" s="308">
        <v>2</v>
      </c>
      <c r="L261" s="308">
        <v>1</v>
      </c>
      <c r="M261" s="308">
        <v>1</v>
      </c>
      <c r="N261" s="308">
        <v>0</v>
      </c>
      <c r="O261" s="308">
        <v>0</v>
      </c>
      <c r="P261" s="247">
        <v>0</v>
      </c>
      <c r="Q261" s="247">
        <v>168</v>
      </c>
      <c r="R261" s="247">
        <v>0</v>
      </c>
      <c r="S261" s="247">
        <v>0</v>
      </c>
      <c r="T261" s="250">
        <v>0</v>
      </c>
    </row>
    <row r="262" spans="1:20" ht="15.75" x14ac:dyDescent="0.25">
      <c r="A262" s="247" t="s">
        <v>379</v>
      </c>
      <c r="B262" s="247" t="s">
        <v>805</v>
      </c>
      <c r="C262" s="247" t="s">
        <v>1429</v>
      </c>
      <c r="D262" s="247">
        <v>1907533</v>
      </c>
      <c r="E262" s="247" t="s">
        <v>1068</v>
      </c>
      <c r="F262" s="247">
        <v>2020</v>
      </c>
      <c r="G262" s="248" t="s">
        <v>1427</v>
      </c>
      <c r="H262" s="247" t="s">
        <v>1057</v>
      </c>
      <c r="J262" s="249" t="s">
        <v>1407</v>
      </c>
      <c r="K262" s="308">
        <v>6.7</v>
      </c>
      <c r="L262" s="308">
        <v>5.5</v>
      </c>
      <c r="M262" s="308">
        <v>0</v>
      </c>
      <c r="N262" s="308">
        <v>0</v>
      </c>
      <c r="O262" s="308">
        <v>1.2</v>
      </c>
      <c r="P262" s="247">
        <v>0</v>
      </c>
      <c r="Q262" s="247">
        <v>0</v>
      </c>
      <c r="R262" s="247">
        <v>40</v>
      </c>
      <c r="S262" s="247">
        <v>0</v>
      </c>
      <c r="T262" s="250">
        <v>0</v>
      </c>
    </row>
    <row r="263" spans="1:20" ht="15.75" x14ac:dyDescent="0.25">
      <c r="A263" s="247" t="s">
        <v>379</v>
      </c>
      <c r="B263" s="247" t="s">
        <v>805</v>
      </c>
      <c r="C263" s="247" t="s">
        <v>1430</v>
      </c>
      <c r="D263" s="247">
        <v>1907533</v>
      </c>
      <c r="E263" s="247" t="s">
        <v>1068</v>
      </c>
      <c r="F263" s="247">
        <v>2020</v>
      </c>
      <c r="G263" s="248" t="s">
        <v>1427</v>
      </c>
      <c r="H263" s="247" t="s">
        <v>1125</v>
      </c>
      <c r="J263" s="249" t="s">
        <v>1428</v>
      </c>
      <c r="K263" s="308">
        <v>2</v>
      </c>
      <c r="L263" s="308">
        <v>2</v>
      </c>
      <c r="M263" s="308">
        <v>0</v>
      </c>
      <c r="N263" s="308">
        <v>0</v>
      </c>
      <c r="O263" s="308">
        <v>0</v>
      </c>
      <c r="P263" s="247">
        <v>0</v>
      </c>
      <c r="Q263" s="247">
        <v>0</v>
      </c>
      <c r="R263" s="247">
        <v>40</v>
      </c>
      <c r="S263" s="247">
        <v>0</v>
      </c>
      <c r="T263" s="250">
        <v>0</v>
      </c>
    </row>
    <row r="264" spans="1:20" ht="15.75" x14ac:dyDescent="0.25">
      <c r="A264" s="247" t="s">
        <v>828</v>
      </c>
      <c r="B264" s="247" t="s">
        <v>826</v>
      </c>
      <c r="C264" s="247" t="s">
        <v>1431</v>
      </c>
      <c r="D264" s="247">
        <v>2788586</v>
      </c>
      <c r="E264" s="247" t="s">
        <v>1073</v>
      </c>
      <c r="F264" s="247">
        <v>2020</v>
      </c>
      <c r="G264" s="248" t="s">
        <v>1427</v>
      </c>
      <c r="H264" s="247" t="s">
        <v>1057</v>
      </c>
      <c r="J264" s="249" t="s">
        <v>1407</v>
      </c>
      <c r="K264" s="308">
        <v>2.25</v>
      </c>
      <c r="L264" s="308">
        <v>2.25</v>
      </c>
      <c r="M264" s="308">
        <v>0</v>
      </c>
      <c r="N264" s="308">
        <v>0</v>
      </c>
      <c r="O264" s="308">
        <v>0</v>
      </c>
      <c r="P264" s="247">
        <v>0</v>
      </c>
      <c r="Q264" s="247">
        <v>23</v>
      </c>
      <c r="R264" s="247">
        <v>3</v>
      </c>
      <c r="S264" s="247">
        <v>0</v>
      </c>
      <c r="T264" s="250"/>
    </row>
    <row r="265" spans="1:20" ht="15.75" x14ac:dyDescent="0.25">
      <c r="A265" s="247" t="s">
        <v>1433</v>
      </c>
      <c r="B265" s="247" t="s">
        <v>553</v>
      </c>
      <c r="C265" s="247" t="s">
        <v>1432</v>
      </c>
      <c r="D265" s="247">
        <v>4526227</v>
      </c>
      <c r="E265" s="247" t="s">
        <v>1134</v>
      </c>
      <c r="F265" s="247">
        <v>2020</v>
      </c>
      <c r="G265" s="260" t="s">
        <v>1427</v>
      </c>
      <c r="H265" s="247" t="s">
        <v>1125</v>
      </c>
      <c r="J265" s="249" t="s">
        <v>1428</v>
      </c>
      <c r="K265" s="308">
        <v>2.95</v>
      </c>
      <c r="L265" s="308">
        <v>1.5</v>
      </c>
      <c r="M265" s="308">
        <v>1.45</v>
      </c>
      <c r="N265" s="308">
        <v>0</v>
      </c>
      <c r="O265" s="308">
        <v>0</v>
      </c>
      <c r="P265" s="247">
        <v>0</v>
      </c>
      <c r="Q265" s="247">
        <v>29</v>
      </c>
      <c r="R265" s="247">
        <v>0</v>
      </c>
      <c r="S265" s="247">
        <v>0</v>
      </c>
      <c r="T265" s="250">
        <v>0</v>
      </c>
    </row>
    <row r="266" spans="1:20" ht="15.75" x14ac:dyDescent="0.25">
      <c r="A266" s="247" t="s">
        <v>911</v>
      </c>
      <c r="B266" s="247" t="s">
        <v>909</v>
      </c>
      <c r="C266" s="247" t="s">
        <v>1434</v>
      </c>
      <c r="D266" s="247">
        <v>4533728</v>
      </c>
      <c r="E266" s="247" t="s">
        <v>1058</v>
      </c>
      <c r="F266" s="247">
        <v>2020</v>
      </c>
      <c r="G266" s="248" t="s">
        <v>1427</v>
      </c>
      <c r="H266" s="247" t="s">
        <v>1125</v>
      </c>
      <c r="J266" s="249" t="s">
        <v>1428</v>
      </c>
      <c r="K266" s="308">
        <v>6.55</v>
      </c>
      <c r="L266" s="308">
        <v>5</v>
      </c>
      <c r="M266" s="308">
        <v>1.5</v>
      </c>
      <c r="N266" s="308">
        <v>0</v>
      </c>
      <c r="O266" s="308">
        <v>0.05</v>
      </c>
      <c r="P266" s="247">
        <v>0</v>
      </c>
      <c r="Q266" s="247">
        <v>128</v>
      </c>
      <c r="R266" s="247">
        <v>40</v>
      </c>
      <c r="S266" s="247">
        <v>0</v>
      </c>
      <c r="T266" s="250">
        <v>0</v>
      </c>
    </row>
    <row r="267" spans="1:20" ht="15.75" x14ac:dyDescent="0.25">
      <c r="A267" s="247" t="s">
        <v>1436</v>
      </c>
      <c r="B267" s="247" t="s">
        <v>332</v>
      </c>
      <c r="C267" s="247" t="s">
        <v>1435</v>
      </c>
      <c r="D267" s="247">
        <v>4987165</v>
      </c>
      <c r="E267" s="247" t="s">
        <v>1192</v>
      </c>
      <c r="F267" s="247">
        <v>2020</v>
      </c>
      <c r="G267" s="248" t="s">
        <v>1427</v>
      </c>
      <c r="H267" s="247" t="s">
        <v>1125</v>
      </c>
      <c r="J267" s="249" t="s">
        <v>1428</v>
      </c>
      <c r="K267" s="308">
        <v>4.5</v>
      </c>
      <c r="L267" s="308">
        <v>2.5</v>
      </c>
      <c r="M267" s="308">
        <v>2</v>
      </c>
      <c r="N267" s="308">
        <v>0</v>
      </c>
      <c r="O267" s="308">
        <v>0</v>
      </c>
      <c r="P267" s="247">
        <v>0</v>
      </c>
      <c r="Q267" s="247">
        <v>234</v>
      </c>
      <c r="R267" s="247">
        <v>0</v>
      </c>
      <c r="S267" s="247">
        <v>0</v>
      </c>
      <c r="T267" s="250">
        <v>0</v>
      </c>
    </row>
    <row r="268" spans="1:20" ht="15.75" x14ac:dyDescent="0.25">
      <c r="A268" s="247" t="s">
        <v>1020</v>
      </c>
      <c r="B268" s="247" t="s">
        <v>1018</v>
      </c>
      <c r="C268" s="247" t="s">
        <v>1437</v>
      </c>
      <c r="D268" s="247">
        <v>5369609</v>
      </c>
      <c r="E268" s="247" t="s">
        <v>1192</v>
      </c>
      <c r="F268" s="247">
        <v>2020</v>
      </c>
      <c r="G268" s="248" t="s">
        <v>1427</v>
      </c>
      <c r="H268" s="247" t="s">
        <v>1125</v>
      </c>
      <c r="J268" s="249" t="s">
        <v>1428</v>
      </c>
      <c r="K268" s="308">
        <v>3.5</v>
      </c>
      <c r="L268" s="308">
        <v>1.5</v>
      </c>
      <c r="M268" s="308">
        <v>2</v>
      </c>
      <c r="N268" s="308">
        <v>0</v>
      </c>
      <c r="O268" s="308">
        <v>0</v>
      </c>
      <c r="P268" s="247">
        <v>0</v>
      </c>
      <c r="Q268" s="247">
        <v>120</v>
      </c>
      <c r="R268" s="247">
        <v>0</v>
      </c>
      <c r="S268" s="247">
        <v>0</v>
      </c>
      <c r="T268" s="250">
        <v>0</v>
      </c>
    </row>
    <row r="269" spans="1:20" ht="15.75" x14ac:dyDescent="0.25">
      <c r="A269" s="247" t="s">
        <v>1438</v>
      </c>
      <c r="B269" s="247" t="s">
        <v>375</v>
      </c>
      <c r="C269" s="247" t="s">
        <v>1431</v>
      </c>
      <c r="D269" s="247">
        <v>6361701</v>
      </c>
      <c r="E269" s="247" t="s">
        <v>1073</v>
      </c>
      <c r="F269" s="247">
        <v>2020</v>
      </c>
      <c r="G269" s="248" t="s">
        <v>1427</v>
      </c>
      <c r="H269" s="247" t="s">
        <v>1057</v>
      </c>
      <c r="J269" s="249" t="s">
        <v>1407</v>
      </c>
      <c r="K269" s="308">
        <v>1.7</v>
      </c>
      <c r="L269" s="308">
        <v>1.7</v>
      </c>
      <c r="M269" s="308">
        <v>0</v>
      </c>
      <c r="N269" s="308">
        <v>0</v>
      </c>
      <c r="O269" s="308">
        <v>0</v>
      </c>
      <c r="P269" s="247">
        <v>0</v>
      </c>
      <c r="Q269" s="247">
        <v>20</v>
      </c>
      <c r="R269" s="247">
        <v>0</v>
      </c>
      <c r="S269" s="247">
        <v>0</v>
      </c>
      <c r="T269" s="250">
        <v>0</v>
      </c>
    </row>
    <row r="270" spans="1:20" ht="15.75" x14ac:dyDescent="0.25">
      <c r="A270" s="247" t="s">
        <v>1440</v>
      </c>
      <c r="B270" s="247" t="s">
        <v>402</v>
      </c>
      <c r="C270" s="247" t="s">
        <v>1439</v>
      </c>
      <c r="D270" s="247">
        <v>8382823</v>
      </c>
      <c r="E270" s="247" t="s">
        <v>1061</v>
      </c>
      <c r="F270" s="247">
        <v>2020</v>
      </c>
      <c r="G270" s="248" t="s">
        <v>1427</v>
      </c>
      <c r="H270" s="247" t="s">
        <v>1125</v>
      </c>
      <c r="J270" s="249" t="s">
        <v>1428</v>
      </c>
      <c r="K270" s="308">
        <v>3</v>
      </c>
      <c r="L270" s="308">
        <v>2.2000000000000002</v>
      </c>
      <c r="M270" s="308">
        <v>0.8</v>
      </c>
      <c r="N270" s="308">
        <v>0</v>
      </c>
      <c r="O270" s="308">
        <v>0</v>
      </c>
      <c r="P270" s="247">
        <v>0</v>
      </c>
      <c r="Q270" s="247">
        <v>35</v>
      </c>
      <c r="R270" s="247">
        <v>20</v>
      </c>
      <c r="S270" s="247">
        <v>0</v>
      </c>
      <c r="T270" s="250">
        <v>0</v>
      </c>
    </row>
    <row r="271" spans="1:20" ht="15.75" x14ac:dyDescent="0.25">
      <c r="A271" s="247" t="s">
        <v>372</v>
      </c>
      <c r="B271" s="247" t="s">
        <v>367</v>
      </c>
      <c r="C271" s="247" t="s">
        <v>1441</v>
      </c>
      <c r="D271" s="247">
        <v>8946698</v>
      </c>
      <c r="E271" s="247" t="s">
        <v>1149</v>
      </c>
      <c r="F271" s="247">
        <v>2020</v>
      </c>
      <c r="G271" s="248" t="s">
        <v>1427</v>
      </c>
      <c r="H271" s="247" t="s">
        <v>1125</v>
      </c>
      <c r="J271" s="249" t="s">
        <v>1428</v>
      </c>
      <c r="K271" s="308">
        <v>4</v>
      </c>
      <c r="L271" s="308">
        <v>2</v>
      </c>
      <c r="M271" s="308">
        <v>2</v>
      </c>
      <c r="N271" s="308">
        <v>0</v>
      </c>
      <c r="O271" s="308">
        <v>0</v>
      </c>
      <c r="P271" s="247">
        <v>0</v>
      </c>
      <c r="Q271" s="247">
        <v>55</v>
      </c>
      <c r="R271" s="247">
        <v>0</v>
      </c>
      <c r="S271" s="247">
        <v>0</v>
      </c>
      <c r="T271" s="250">
        <v>0</v>
      </c>
    </row>
    <row r="272" spans="1:20" ht="15.75" x14ac:dyDescent="0.25">
      <c r="A272" s="247" t="s">
        <v>372</v>
      </c>
      <c r="B272" s="247" t="s">
        <v>367</v>
      </c>
      <c r="C272" s="247" t="s">
        <v>1442</v>
      </c>
      <c r="D272" s="247">
        <v>8946698</v>
      </c>
      <c r="E272" s="247" t="s">
        <v>1149</v>
      </c>
      <c r="F272" s="247">
        <v>2020</v>
      </c>
      <c r="G272" s="248" t="s">
        <v>1427</v>
      </c>
      <c r="H272" s="247" t="s">
        <v>1125</v>
      </c>
      <c r="J272" s="249" t="s">
        <v>1428</v>
      </c>
      <c r="K272" s="308">
        <v>2</v>
      </c>
      <c r="L272" s="308">
        <v>1</v>
      </c>
      <c r="M272" s="308">
        <v>1</v>
      </c>
      <c r="N272" s="308">
        <v>0</v>
      </c>
      <c r="O272" s="308">
        <v>0</v>
      </c>
      <c r="P272" s="247">
        <v>0</v>
      </c>
      <c r="Q272" s="247">
        <v>35</v>
      </c>
      <c r="R272" s="247">
        <v>0</v>
      </c>
      <c r="S272" s="247">
        <v>0</v>
      </c>
      <c r="T272" s="250">
        <v>0</v>
      </c>
    </row>
    <row r="273" spans="1:20" ht="15.75" x14ac:dyDescent="0.25">
      <c r="A273" s="247" t="s">
        <v>918</v>
      </c>
      <c r="B273" s="247" t="s">
        <v>909</v>
      </c>
      <c r="C273" s="247" t="s">
        <v>1443</v>
      </c>
      <c r="D273" s="247">
        <v>9659243</v>
      </c>
      <c r="E273" s="247" t="s">
        <v>1058</v>
      </c>
      <c r="F273" s="247">
        <v>2020</v>
      </c>
      <c r="G273" s="248" t="s">
        <v>1427</v>
      </c>
      <c r="H273" s="247" t="s">
        <v>1057</v>
      </c>
      <c r="J273" s="249" t="s">
        <v>1407</v>
      </c>
      <c r="K273" s="308">
        <v>1.2</v>
      </c>
      <c r="L273" s="308">
        <v>1.2</v>
      </c>
      <c r="M273" s="308">
        <v>0</v>
      </c>
      <c r="N273" s="308">
        <v>0</v>
      </c>
      <c r="O273" s="308">
        <v>0</v>
      </c>
      <c r="P273" s="247">
        <v>0</v>
      </c>
      <c r="Q273" s="247">
        <v>44</v>
      </c>
      <c r="R273" s="247">
        <v>0</v>
      </c>
      <c r="S273" s="247">
        <v>0</v>
      </c>
      <c r="T273" s="250"/>
    </row>
    <row r="274" spans="1:20" ht="15.75" x14ac:dyDescent="0.25">
      <c r="A274" s="247" t="s">
        <v>918</v>
      </c>
      <c r="B274" s="247" t="s">
        <v>909</v>
      </c>
      <c r="C274" s="247" t="s">
        <v>1444</v>
      </c>
      <c r="D274" s="247">
        <v>9659243</v>
      </c>
      <c r="E274" s="247" t="s">
        <v>1061</v>
      </c>
      <c r="F274" s="247">
        <v>2020</v>
      </c>
      <c r="G274" s="248" t="s">
        <v>1427</v>
      </c>
      <c r="H274" s="247" t="s">
        <v>1057</v>
      </c>
      <c r="J274" s="249" t="s">
        <v>1407</v>
      </c>
      <c r="K274" s="308">
        <v>2.2000000000000002</v>
      </c>
      <c r="L274" s="308">
        <v>1.2</v>
      </c>
      <c r="M274" s="308">
        <v>1</v>
      </c>
      <c r="N274" s="308">
        <v>0</v>
      </c>
      <c r="O274" s="308">
        <v>0</v>
      </c>
      <c r="P274" s="247">
        <v>0</v>
      </c>
      <c r="Q274" s="247">
        <v>44</v>
      </c>
      <c r="R274" s="247">
        <v>0</v>
      </c>
      <c r="S274" s="247">
        <v>0</v>
      </c>
      <c r="T274" s="250">
        <v>0</v>
      </c>
    </row>
    <row r="275" spans="1:20" ht="15.75" x14ac:dyDescent="0.25">
      <c r="A275" s="247" t="s">
        <v>918</v>
      </c>
      <c r="B275" s="247" t="s">
        <v>909</v>
      </c>
      <c r="C275" s="247" t="s">
        <v>1445</v>
      </c>
      <c r="D275" s="247">
        <v>9659243</v>
      </c>
      <c r="E275" s="247" t="s">
        <v>1063</v>
      </c>
      <c r="F275" s="247">
        <v>2020</v>
      </c>
      <c r="G275" s="248" t="s">
        <v>1427</v>
      </c>
      <c r="H275" s="247" t="s">
        <v>1057</v>
      </c>
      <c r="J275" s="249" t="s">
        <v>1407</v>
      </c>
      <c r="K275" s="308">
        <v>3.5</v>
      </c>
      <c r="L275" s="308">
        <v>3.5</v>
      </c>
      <c r="M275" s="308">
        <v>0</v>
      </c>
      <c r="N275" s="308">
        <v>0</v>
      </c>
      <c r="O275" s="308">
        <v>0</v>
      </c>
      <c r="P275" s="247">
        <v>0</v>
      </c>
      <c r="Q275" s="247">
        <v>44</v>
      </c>
      <c r="R275" s="247">
        <v>0</v>
      </c>
      <c r="S275" s="247">
        <v>0</v>
      </c>
      <c r="T275" s="250">
        <v>0</v>
      </c>
    </row>
    <row r="276" spans="1:20" ht="15.75" x14ac:dyDescent="0.25">
      <c r="A276" s="247" t="s">
        <v>918</v>
      </c>
      <c r="B276" s="247" t="s">
        <v>909</v>
      </c>
      <c r="C276" s="247" t="s">
        <v>1431</v>
      </c>
      <c r="D276" s="247">
        <v>9659243</v>
      </c>
      <c r="E276" s="247" t="s">
        <v>1073</v>
      </c>
      <c r="F276" s="247">
        <v>2020</v>
      </c>
      <c r="G276" s="248" t="s">
        <v>1427</v>
      </c>
      <c r="H276" s="247" t="s">
        <v>1057</v>
      </c>
      <c r="J276" s="249" t="s">
        <v>1407</v>
      </c>
      <c r="K276" s="308">
        <v>0.6</v>
      </c>
      <c r="L276" s="308">
        <v>0.6</v>
      </c>
      <c r="M276" s="308">
        <v>0</v>
      </c>
      <c r="N276" s="308">
        <v>0</v>
      </c>
      <c r="O276" s="308">
        <v>0</v>
      </c>
      <c r="P276" s="247">
        <v>0</v>
      </c>
      <c r="Q276" s="247">
        <v>44</v>
      </c>
      <c r="R276" s="247">
        <v>0</v>
      </c>
      <c r="S276" s="247">
        <v>0</v>
      </c>
      <c r="T276" s="250">
        <v>0</v>
      </c>
    </row>
    <row r="277" spans="1:20" ht="15.75" x14ac:dyDescent="0.25">
      <c r="A277" s="247" t="s">
        <v>1448</v>
      </c>
      <c r="B277" s="247" t="s">
        <v>1067</v>
      </c>
      <c r="C277" s="247" t="s">
        <v>1446</v>
      </c>
      <c r="D277" s="247">
        <v>1792038</v>
      </c>
      <c r="E277" s="247" t="s">
        <v>1058</v>
      </c>
      <c r="F277" s="247">
        <v>2020</v>
      </c>
      <c r="G277" s="248" t="s">
        <v>1447</v>
      </c>
      <c r="H277" s="247" t="s">
        <v>1156</v>
      </c>
      <c r="J277" s="249" t="s">
        <v>1069</v>
      </c>
      <c r="K277" s="308">
        <v>1.75</v>
      </c>
      <c r="L277" s="308">
        <v>1</v>
      </c>
      <c r="M277" s="308">
        <v>0.75</v>
      </c>
      <c r="N277" s="308">
        <v>0</v>
      </c>
      <c r="O277" s="308">
        <v>0</v>
      </c>
      <c r="P277" s="247">
        <v>0</v>
      </c>
      <c r="Q277" s="247">
        <v>0</v>
      </c>
      <c r="R277" s="247">
        <v>5</v>
      </c>
      <c r="S277" s="247">
        <v>0</v>
      </c>
      <c r="T277" s="250">
        <v>0</v>
      </c>
    </row>
    <row r="278" spans="1:20" ht="15.75" x14ac:dyDescent="0.25">
      <c r="A278" s="247" t="s">
        <v>294</v>
      </c>
      <c r="B278" s="247" t="s">
        <v>290</v>
      </c>
      <c r="C278" s="247" t="s">
        <v>1449</v>
      </c>
      <c r="D278" s="247">
        <v>6630553</v>
      </c>
      <c r="E278" s="247" t="s">
        <v>1058</v>
      </c>
      <c r="F278" s="247">
        <v>2020</v>
      </c>
      <c r="G278" s="248" t="s">
        <v>1447</v>
      </c>
      <c r="H278" s="247" t="s">
        <v>1156</v>
      </c>
      <c r="J278" s="249" t="s">
        <v>1341</v>
      </c>
      <c r="K278" s="308">
        <v>4</v>
      </c>
      <c r="L278" s="308">
        <v>3.8</v>
      </c>
      <c r="M278" s="308">
        <v>0</v>
      </c>
      <c r="N278" s="308">
        <v>0</v>
      </c>
      <c r="O278" s="308">
        <v>0.2</v>
      </c>
      <c r="P278" s="247">
        <v>0</v>
      </c>
      <c r="Q278" s="247">
        <v>30</v>
      </c>
      <c r="R278" s="247">
        <v>0</v>
      </c>
      <c r="S278" s="247">
        <v>0</v>
      </c>
      <c r="T278" s="250">
        <v>0</v>
      </c>
    </row>
    <row r="279" spans="1:20" ht="15.75" x14ac:dyDescent="0.25">
      <c r="A279" s="247" t="s">
        <v>878</v>
      </c>
      <c r="B279" s="247" t="s">
        <v>874</v>
      </c>
      <c r="C279" s="247" t="s">
        <v>1450</v>
      </c>
      <c r="D279" s="247">
        <v>1552469</v>
      </c>
      <c r="E279" s="247" t="s">
        <v>1063</v>
      </c>
      <c r="F279" s="247">
        <v>2020</v>
      </c>
      <c r="G279" s="248" t="s">
        <v>1451</v>
      </c>
      <c r="H279" s="247" t="s">
        <v>1125</v>
      </c>
      <c r="J279" s="249" t="s">
        <v>1262</v>
      </c>
      <c r="K279" s="308">
        <v>1.62</v>
      </c>
      <c r="L279" s="308">
        <v>0.7</v>
      </c>
      <c r="M279" s="308">
        <v>0.92</v>
      </c>
      <c r="N279" s="308">
        <v>0</v>
      </c>
      <c r="O279" s="308">
        <v>0</v>
      </c>
      <c r="P279" s="247">
        <v>0</v>
      </c>
      <c r="Q279" s="247">
        <v>0</v>
      </c>
      <c r="R279" s="247">
        <v>3</v>
      </c>
      <c r="S279" s="247">
        <v>0</v>
      </c>
      <c r="T279" s="250">
        <v>0</v>
      </c>
    </row>
    <row r="280" spans="1:20" ht="15.75" x14ac:dyDescent="0.25">
      <c r="A280" s="247" t="s">
        <v>1453</v>
      </c>
      <c r="B280" s="247" t="s">
        <v>257</v>
      </c>
      <c r="C280" s="247" t="s">
        <v>1452</v>
      </c>
      <c r="D280" s="247">
        <v>6163071</v>
      </c>
      <c r="E280" s="247" t="s">
        <v>1134</v>
      </c>
      <c r="F280" s="247">
        <v>2020</v>
      </c>
      <c r="G280" s="248" t="s">
        <v>1451</v>
      </c>
      <c r="H280" s="247" t="s">
        <v>1125</v>
      </c>
      <c r="J280" s="249" t="s">
        <v>1262</v>
      </c>
      <c r="K280" s="308">
        <v>1.1000000000000001</v>
      </c>
      <c r="L280" s="308">
        <v>0.1</v>
      </c>
      <c r="M280" s="308">
        <v>1</v>
      </c>
      <c r="N280" s="308">
        <v>0</v>
      </c>
      <c r="O280" s="308">
        <v>0</v>
      </c>
      <c r="P280" s="247">
        <v>0</v>
      </c>
      <c r="Q280" s="247">
        <v>0</v>
      </c>
      <c r="R280" s="247">
        <v>1</v>
      </c>
      <c r="S280" s="247">
        <v>0</v>
      </c>
      <c r="T280" s="250">
        <v>0</v>
      </c>
    </row>
    <row r="281" spans="1:20" ht="15.75" x14ac:dyDescent="0.25">
      <c r="A281" s="247" t="s">
        <v>1455</v>
      </c>
      <c r="B281" s="247" t="s">
        <v>1247</v>
      </c>
      <c r="C281" s="247" t="s">
        <v>1454</v>
      </c>
      <c r="D281" s="247">
        <v>7263765</v>
      </c>
      <c r="E281" s="247" t="s">
        <v>1058</v>
      </c>
      <c r="F281" s="247">
        <v>2020</v>
      </c>
      <c r="G281" s="248" t="s">
        <v>1451</v>
      </c>
      <c r="H281" s="247" t="s">
        <v>1125</v>
      </c>
      <c r="J281" s="249" t="s">
        <v>1262</v>
      </c>
      <c r="K281" s="308">
        <v>2</v>
      </c>
      <c r="L281" s="308">
        <v>1</v>
      </c>
      <c r="M281" s="308">
        <v>1</v>
      </c>
      <c r="N281" s="308">
        <v>0</v>
      </c>
      <c r="O281" s="308">
        <v>0</v>
      </c>
      <c r="P281" s="247">
        <v>0</v>
      </c>
      <c r="Q281" s="247">
        <v>0</v>
      </c>
      <c r="R281" s="247">
        <v>8</v>
      </c>
      <c r="S281" s="247">
        <v>0</v>
      </c>
      <c r="T281" s="250">
        <v>0</v>
      </c>
    </row>
    <row r="282" spans="1:20" ht="15.75" x14ac:dyDescent="0.25">
      <c r="A282" s="247" t="s">
        <v>231</v>
      </c>
      <c r="B282" s="247" t="s">
        <v>1145</v>
      </c>
      <c r="C282" s="247" t="s">
        <v>1456</v>
      </c>
      <c r="D282" s="247">
        <v>7365832</v>
      </c>
      <c r="E282" s="247" t="s">
        <v>1068</v>
      </c>
      <c r="F282" s="247">
        <v>2020</v>
      </c>
      <c r="G282" s="248" t="s">
        <v>1451</v>
      </c>
      <c r="H282" s="247" t="s">
        <v>1125</v>
      </c>
      <c r="J282" s="249" t="s">
        <v>1262</v>
      </c>
      <c r="K282" s="308">
        <v>1.8</v>
      </c>
      <c r="L282" s="308">
        <v>0.3</v>
      </c>
      <c r="M282" s="308">
        <v>1.5</v>
      </c>
      <c r="N282" s="308">
        <v>0</v>
      </c>
      <c r="O282" s="308">
        <v>0</v>
      </c>
      <c r="P282" s="247">
        <v>0</v>
      </c>
      <c r="Q282" s="247">
        <v>0</v>
      </c>
      <c r="R282" s="247">
        <v>20</v>
      </c>
      <c r="S282" s="247">
        <v>0</v>
      </c>
      <c r="T282" s="250">
        <v>0</v>
      </c>
    </row>
    <row r="283" spans="1:20" ht="15.75" x14ac:dyDescent="0.25">
      <c r="A283" s="247" t="s">
        <v>1457</v>
      </c>
      <c r="B283" s="247" t="s">
        <v>553</v>
      </c>
      <c r="C283" s="247" t="s">
        <v>1452</v>
      </c>
      <c r="D283" s="247">
        <v>7653065</v>
      </c>
      <c r="E283" s="247" t="s">
        <v>1134</v>
      </c>
      <c r="F283" s="247">
        <v>2020</v>
      </c>
      <c r="G283" s="248" t="s">
        <v>1451</v>
      </c>
      <c r="H283" s="247" t="s">
        <v>1125</v>
      </c>
      <c r="J283" s="249" t="s">
        <v>1271</v>
      </c>
      <c r="K283" s="308">
        <v>5</v>
      </c>
      <c r="L283" s="308">
        <v>1</v>
      </c>
      <c r="M283" s="308">
        <v>4</v>
      </c>
      <c r="N283" s="308">
        <v>0</v>
      </c>
      <c r="O283" s="308">
        <v>0</v>
      </c>
      <c r="P283" s="247">
        <v>0</v>
      </c>
      <c r="Q283" s="247">
        <v>0</v>
      </c>
      <c r="R283" s="247">
        <v>14</v>
      </c>
      <c r="S283" s="247">
        <v>0</v>
      </c>
      <c r="T283" s="250">
        <v>0</v>
      </c>
    </row>
    <row r="284" spans="1:20" ht="15.75" x14ac:dyDescent="0.25">
      <c r="A284" s="247" t="s">
        <v>1460</v>
      </c>
      <c r="B284" s="247" t="s">
        <v>1056</v>
      </c>
      <c r="C284" s="247" t="s">
        <v>1458</v>
      </c>
      <c r="D284" s="247">
        <v>1537615</v>
      </c>
      <c r="E284" s="247" t="s">
        <v>1058</v>
      </c>
      <c r="F284" s="247">
        <v>2020</v>
      </c>
      <c r="G284" s="248" t="s">
        <v>1459</v>
      </c>
      <c r="H284" s="247" t="s">
        <v>1057</v>
      </c>
      <c r="J284" s="249" t="s">
        <v>1059</v>
      </c>
      <c r="K284" s="308">
        <v>0.53</v>
      </c>
      <c r="L284" s="308">
        <v>0.53</v>
      </c>
      <c r="M284" s="308">
        <v>0</v>
      </c>
      <c r="N284" s="308">
        <v>0</v>
      </c>
      <c r="O284" s="308">
        <v>0</v>
      </c>
      <c r="P284" s="247">
        <v>0</v>
      </c>
      <c r="Q284" s="247">
        <v>20</v>
      </c>
      <c r="R284" s="247">
        <v>0</v>
      </c>
      <c r="S284" s="247">
        <v>0</v>
      </c>
      <c r="T284" s="250">
        <v>0</v>
      </c>
    </row>
    <row r="285" spans="1:20" ht="15.75" x14ac:dyDescent="0.25">
      <c r="A285" s="247" t="s">
        <v>1460</v>
      </c>
      <c r="B285" s="247" t="s">
        <v>1056</v>
      </c>
      <c r="C285" s="247" t="s">
        <v>1461</v>
      </c>
      <c r="D285" s="247">
        <v>1537615</v>
      </c>
      <c r="E285" s="247" t="s">
        <v>1068</v>
      </c>
      <c r="F285" s="247">
        <v>2020</v>
      </c>
      <c r="G285" s="248" t="s">
        <v>1459</v>
      </c>
      <c r="H285" s="247" t="s">
        <v>1057</v>
      </c>
      <c r="J285" s="249" t="s">
        <v>1059</v>
      </c>
      <c r="K285" s="308">
        <v>1.74</v>
      </c>
      <c r="L285" s="308">
        <v>1.74</v>
      </c>
      <c r="M285" s="308">
        <v>0</v>
      </c>
      <c r="N285" s="308">
        <v>0</v>
      </c>
      <c r="O285" s="308">
        <v>0</v>
      </c>
      <c r="P285" s="247">
        <v>0</v>
      </c>
      <c r="Q285" s="247">
        <v>20</v>
      </c>
      <c r="R285" s="247">
        <v>0</v>
      </c>
      <c r="S285" s="247">
        <v>0</v>
      </c>
      <c r="T285" s="250">
        <v>0</v>
      </c>
    </row>
    <row r="286" spans="1:20" ht="15.75" x14ac:dyDescent="0.25">
      <c r="A286" s="247" t="s">
        <v>1460</v>
      </c>
      <c r="B286" s="247" t="s">
        <v>1056</v>
      </c>
      <c r="C286" s="247" t="s">
        <v>1462</v>
      </c>
      <c r="D286" s="247">
        <v>1537615</v>
      </c>
      <c r="E286" s="247" t="s">
        <v>1061</v>
      </c>
      <c r="F286" s="247">
        <v>2020</v>
      </c>
      <c r="G286" s="248" t="s">
        <v>1459</v>
      </c>
      <c r="H286" s="247" t="s">
        <v>1057</v>
      </c>
      <c r="J286" s="249" t="s">
        <v>1059</v>
      </c>
      <c r="K286" s="308">
        <v>1.74</v>
      </c>
      <c r="L286" s="308">
        <v>1.74</v>
      </c>
      <c r="M286" s="308">
        <v>0</v>
      </c>
      <c r="N286" s="308">
        <v>0</v>
      </c>
      <c r="O286" s="308">
        <v>0</v>
      </c>
      <c r="P286" s="247">
        <v>0</v>
      </c>
      <c r="Q286" s="247">
        <v>20</v>
      </c>
      <c r="R286" s="247">
        <v>0</v>
      </c>
      <c r="S286" s="247">
        <v>0</v>
      </c>
      <c r="T286" s="250">
        <v>0</v>
      </c>
    </row>
    <row r="287" spans="1:20" ht="15.75" x14ac:dyDescent="0.25">
      <c r="A287" s="247" t="s">
        <v>1460</v>
      </c>
      <c r="B287" s="247" t="s">
        <v>1056</v>
      </c>
      <c r="C287" s="247" t="s">
        <v>1463</v>
      </c>
      <c r="D287" s="247">
        <v>1537615</v>
      </c>
      <c r="E287" s="247" t="s">
        <v>1063</v>
      </c>
      <c r="F287" s="247">
        <v>2020</v>
      </c>
      <c r="G287" s="248" t="s">
        <v>1459</v>
      </c>
      <c r="H287" s="247" t="s">
        <v>1057</v>
      </c>
      <c r="J287" s="249" t="s">
        <v>1059</v>
      </c>
      <c r="K287" s="308">
        <v>1.74</v>
      </c>
      <c r="L287" s="308">
        <v>1.74</v>
      </c>
      <c r="M287" s="308">
        <v>0</v>
      </c>
      <c r="N287" s="308">
        <v>0</v>
      </c>
      <c r="O287" s="308">
        <v>0</v>
      </c>
      <c r="P287" s="247">
        <v>0</v>
      </c>
      <c r="Q287" s="247">
        <v>20</v>
      </c>
      <c r="R287" s="247">
        <v>0</v>
      </c>
      <c r="S287" s="247">
        <v>0</v>
      </c>
      <c r="T287" s="250">
        <v>0</v>
      </c>
    </row>
    <row r="288" spans="1:20" ht="15.75" x14ac:dyDescent="0.25">
      <c r="A288" s="247" t="s">
        <v>1465</v>
      </c>
      <c r="B288" s="247" t="s">
        <v>249</v>
      </c>
      <c r="C288" s="247" t="s">
        <v>1464</v>
      </c>
      <c r="D288" s="247">
        <v>1758706</v>
      </c>
      <c r="E288" s="247" t="s">
        <v>1058</v>
      </c>
      <c r="F288" s="247">
        <v>2020</v>
      </c>
      <c r="G288" s="248" t="s">
        <v>1459</v>
      </c>
      <c r="H288" s="247" t="s">
        <v>1057</v>
      </c>
      <c r="J288" s="249" t="s">
        <v>1466</v>
      </c>
      <c r="K288" s="308">
        <v>1.7</v>
      </c>
      <c r="L288" s="308">
        <v>1</v>
      </c>
      <c r="M288" s="308">
        <v>0.7</v>
      </c>
      <c r="N288" s="308">
        <v>0</v>
      </c>
      <c r="O288" s="308">
        <v>0</v>
      </c>
      <c r="P288" s="247">
        <v>0</v>
      </c>
      <c r="Q288" s="247">
        <v>10</v>
      </c>
      <c r="R288" s="247">
        <v>0</v>
      </c>
      <c r="S288" s="247">
        <v>0</v>
      </c>
      <c r="T288" s="250">
        <v>0</v>
      </c>
    </row>
    <row r="289" spans="1:20" ht="15.75" x14ac:dyDescent="0.25">
      <c r="A289" s="247" t="s">
        <v>1465</v>
      </c>
      <c r="B289" s="247" t="s">
        <v>249</v>
      </c>
      <c r="C289" s="247" t="s">
        <v>1467</v>
      </c>
      <c r="D289" s="247">
        <v>1758706</v>
      </c>
      <c r="E289" s="247" t="s">
        <v>1068</v>
      </c>
      <c r="F289" s="247">
        <v>2020</v>
      </c>
      <c r="G289" s="248" t="s">
        <v>1459</v>
      </c>
      <c r="H289" s="247" t="s">
        <v>1057</v>
      </c>
      <c r="J289" s="249" t="s">
        <v>1466</v>
      </c>
      <c r="K289" s="308">
        <v>1.65</v>
      </c>
      <c r="L289" s="308">
        <v>0.9</v>
      </c>
      <c r="M289" s="308">
        <v>0.75</v>
      </c>
      <c r="N289" s="308">
        <v>0</v>
      </c>
      <c r="O289" s="308">
        <v>0</v>
      </c>
      <c r="P289" s="247">
        <v>0</v>
      </c>
      <c r="Q289" s="247">
        <v>10</v>
      </c>
      <c r="R289" s="247">
        <v>0</v>
      </c>
      <c r="S289" s="247">
        <v>0</v>
      </c>
      <c r="T289" s="250">
        <v>0</v>
      </c>
    </row>
    <row r="290" spans="1:20" ht="15.75" x14ac:dyDescent="0.25">
      <c r="A290" s="247" t="s">
        <v>1465</v>
      </c>
      <c r="B290" s="247" t="s">
        <v>249</v>
      </c>
      <c r="C290" s="247" t="s">
        <v>1468</v>
      </c>
      <c r="D290" s="247">
        <v>1758706</v>
      </c>
      <c r="E290" s="247" t="s">
        <v>1061</v>
      </c>
      <c r="F290" s="247">
        <v>2020</v>
      </c>
      <c r="G290" s="248" t="s">
        <v>1459</v>
      </c>
      <c r="H290" s="247" t="s">
        <v>1057</v>
      </c>
      <c r="J290" s="249" t="s">
        <v>1466</v>
      </c>
      <c r="K290" s="308">
        <v>1.7</v>
      </c>
      <c r="L290" s="308">
        <v>1.2</v>
      </c>
      <c r="M290" s="308">
        <v>0.5</v>
      </c>
      <c r="N290" s="308">
        <v>0</v>
      </c>
      <c r="O290" s="308">
        <v>0</v>
      </c>
      <c r="P290" s="247">
        <v>0</v>
      </c>
      <c r="Q290" s="247">
        <v>10</v>
      </c>
      <c r="R290" s="247">
        <v>0</v>
      </c>
      <c r="S290" s="247">
        <v>0</v>
      </c>
      <c r="T290" s="250">
        <v>0</v>
      </c>
    </row>
    <row r="291" spans="1:20" ht="15.75" x14ac:dyDescent="0.25">
      <c r="A291" s="247" t="s">
        <v>1465</v>
      </c>
      <c r="B291" s="247" t="s">
        <v>249</v>
      </c>
      <c r="C291" s="247" t="s">
        <v>1469</v>
      </c>
      <c r="D291" s="247">
        <v>1758706</v>
      </c>
      <c r="E291" s="247" t="s">
        <v>1063</v>
      </c>
      <c r="F291" s="247">
        <v>2020</v>
      </c>
      <c r="G291" s="248" t="s">
        <v>1459</v>
      </c>
      <c r="H291" s="247" t="s">
        <v>1057</v>
      </c>
      <c r="J291" s="249" t="s">
        <v>1466</v>
      </c>
      <c r="K291" s="308">
        <v>2.0499999999999998</v>
      </c>
      <c r="L291" s="308">
        <v>1.8</v>
      </c>
      <c r="M291" s="308">
        <v>0.25</v>
      </c>
      <c r="N291" s="308">
        <v>0</v>
      </c>
      <c r="O291" s="308">
        <v>0</v>
      </c>
      <c r="P291" s="247">
        <v>0</v>
      </c>
      <c r="Q291" s="247">
        <v>10</v>
      </c>
      <c r="R291" s="247">
        <v>0</v>
      </c>
      <c r="S291" s="247">
        <v>0</v>
      </c>
      <c r="T291" s="250">
        <v>0</v>
      </c>
    </row>
    <row r="292" spans="1:20" ht="15.75" x14ac:dyDescent="0.25">
      <c r="A292" s="247" t="s">
        <v>1465</v>
      </c>
      <c r="B292" s="247" t="s">
        <v>249</v>
      </c>
      <c r="C292" s="247" t="s">
        <v>1470</v>
      </c>
      <c r="D292" s="247">
        <v>1758706</v>
      </c>
      <c r="E292" s="247" t="s">
        <v>1073</v>
      </c>
      <c r="F292" s="247">
        <v>2020</v>
      </c>
      <c r="G292" s="248" t="s">
        <v>1459</v>
      </c>
      <c r="H292" s="247" t="s">
        <v>1057</v>
      </c>
      <c r="J292" s="249" t="s">
        <v>1466</v>
      </c>
      <c r="K292" s="308">
        <v>1.9</v>
      </c>
      <c r="L292" s="308">
        <v>1.4</v>
      </c>
      <c r="M292" s="308">
        <v>0.5</v>
      </c>
      <c r="N292" s="308">
        <v>0</v>
      </c>
      <c r="O292" s="308">
        <v>0</v>
      </c>
      <c r="P292" s="247">
        <v>0</v>
      </c>
      <c r="Q292" s="247">
        <v>10</v>
      </c>
      <c r="R292" s="247">
        <v>0</v>
      </c>
      <c r="S292" s="247">
        <v>0</v>
      </c>
      <c r="T292" s="250">
        <v>0</v>
      </c>
    </row>
    <row r="293" spans="1:20" ht="15.75" x14ac:dyDescent="0.25">
      <c r="A293" s="247" t="s">
        <v>1473</v>
      </c>
      <c r="B293" s="247" t="s">
        <v>698</v>
      </c>
      <c r="C293" s="247" t="s">
        <v>1471</v>
      </c>
      <c r="D293" s="247">
        <v>2390992</v>
      </c>
      <c r="E293" s="247" t="s">
        <v>1134</v>
      </c>
      <c r="F293" s="247">
        <v>2020</v>
      </c>
      <c r="G293" s="248" t="s">
        <v>1472</v>
      </c>
      <c r="H293" s="247" t="s">
        <v>1125</v>
      </c>
      <c r="J293" s="249" t="s">
        <v>1466</v>
      </c>
      <c r="K293" s="308">
        <v>1.75</v>
      </c>
      <c r="L293" s="308">
        <v>1</v>
      </c>
      <c r="M293" s="308">
        <v>0.75</v>
      </c>
      <c r="N293" s="308">
        <v>0</v>
      </c>
      <c r="O293" s="308">
        <v>0</v>
      </c>
      <c r="P293" s="247">
        <v>0</v>
      </c>
      <c r="Q293" s="247">
        <v>12</v>
      </c>
      <c r="R293" s="247">
        <v>0</v>
      </c>
      <c r="S293" s="247">
        <v>0</v>
      </c>
      <c r="T293" s="250"/>
    </row>
    <row r="294" spans="1:20" ht="15.75" x14ac:dyDescent="0.25">
      <c r="A294" s="247" t="s">
        <v>1388</v>
      </c>
      <c r="B294" s="247" t="s">
        <v>776</v>
      </c>
      <c r="C294" s="247" t="s">
        <v>1474</v>
      </c>
      <c r="D294" s="247">
        <v>2813024</v>
      </c>
      <c r="E294" s="247" t="s">
        <v>1058</v>
      </c>
      <c r="F294" s="247">
        <v>2020</v>
      </c>
      <c r="G294" s="248" t="s">
        <v>1472</v>
      </c>
      <c r="H294" s="247" t="s">
        <v>1125</v>
      </c>
      <c r="J294" s="249" t="s">
        <v>1466</v>
      </c>
      <c r="K294" s="308">
        <v>4.2</v>
      </c>
      <c r="L294" s="308">
        <v>1</v>
      </c>
      <c r="M294" s="308">
        <v>3.2</v>
      </c>
      <c r="N294" s="308">
        <v>0</v>
      </c>
      <c r="O294" s="308">
        <v>0</v>
      </c>
      <c r="P294" s="247">
        <v>0</v>
      </c>
      <c r="Q294" s="247">
        <v>30</v>
      </c>
      <c r="R294" s="247">
        <v>0</v>
      </c>
      <c r="S294" s="247">
        <v>0</v>
      </c>
      <c r="T294" s="250"/>
    </row>
    <row r="295" spans="1:20" ht="15.75" x14ac:dyDescent="0.25">
      <c r="A295" s="247" t="s">
        <v>1476</v>
      </c>
      <c r="B295" s="247" t="s">
        <v>713</v>
      </c>
      <c r="C295" s="247" t="s">
        <v>1475</v>
      </c>
      <c r="D295" s="247">
        <v>3054253</v>
      </c>
      <c r="E295" s="247" t="s">
        <v>1142</v>
      </c>
      <c r="F295" s="247">
        <v>2020</v>
      </c>
      <c r="G295" s="248" t="s">
        <v>1472</v>
      </c>
      <c r="H295" s="247" t="s">
        <v>1125</v>
      </c>
      <c r="J295" s="249" t="s">
        <v>1477</v>
      </c>
      <c r="K295" s="308">
        <v>3.2</v>
      </c>
      <c r="L295" s="308">
        <v>1</v>
      </c>
      <c r="M295" s="308">
        <v>2</v>
      </c>
      <c r="N295" s="308">
        <v>0</v>
      </c>
      <c r="O295" s="308">
        <v>0.2</v>
      </c>
      <c r="P295" s="247">
        <v>0</v>
      </c>
      <c r="Q295" s="247">
        <v>0</v>
      </c>
      <c r="R295" s="247">
        <v>12</v>
      </c>
      <c r="S295" s="247">
        <v>0</v>
      </c>
      <c r="T295" s="250">
        <v>0</v>
      </c>
    </row>
    <row r="296" spans="1:20" ht="15.75" x14ac:dyDescent="0.25">
      <c r="A296" s="247" t="s">
        <v>1479</v>
      </c>
      <c r="B296" s="247" t="s">
        <v>1247</v>
      </c>
      <c r="C296" s="247" t="s">
        <v>1478</v>
      </c>
      <c r="D296" s="247">
        <v>3595008</v>
      </c>
      <c r="E296" s="247" t="s">
        <v>1058</v>
      </c>
      <c r="F296" s="247">
        <v>2020</v>
      </c>
      <c r="G296" s="248" t="s">
        <v>1472</v>
      </c>
      <c r="H296" s="247" t="s">
        <v>1125</v>
      </c>
      <c r="J296" s="249" t="s">
        <v>1271</v>
      </c>
      <c r="K296" s="308">
        <v>6</v>
      </c>
      <c r="L296" s="308">
        <v>4</v>
      </c>
      <c r="M296" s="308">
        <v>2</v>
      </c>
      <c r="N296" s="308">
        <v>0</v>
      </c>
      <c r="O296" s="308">
        <v>0</v>
      </c>
      <c r="P296" s="247">
        <v>0</v>
      </c>
      <c r="Q296" s="247">
        <v>15</v>
      </c>
      <c r="R296" s="247">
        <v>0</v>
      </c>
      <c r="S296" s="247">
        <v>0</v>
      </c>
      <c r="T296" s="250">
        <v>0</v>
      </c>
    </row>
    <row r="297" spans="1:20" ht="15.75" x14ac:dyDescent="0.25">
      <c r="A297" s="247" t="s">
        <v>257</v>
      </c>
      <c r="B297" s="247" t="s">
        <v>257</v>
      </c>
      <c r="C297" s="247" t="s">
        <v>1480</v>
      </c>
      <c r="D297" s="247">
        <v>3650770</v>
      </c>
      <c r="E297" s="247" t="s">
        <v>1073</v>
      </c>
      <c r="F297" s="247">
        <v>2020</v>
      </c>
      <c r="G297" s="248" t="s">
        <v>1472</v>
      </c>
      <c r="H297" s="247" t="s">
        <v>1125</v>
      </c>
      <c r="J297" s="249" t="s">
        <v>1262</v>
      </c>
      <c r="K297" s="308">
        <v>3.6</v>
      </c>
      <c r="L297" s="308">
        <v>1.6</v>
      </c>
      <c r="M297" s="308">
        <v>2</v>
      </c>
      <c r="N297" s="308">
        <v>0</v>
      </c>
      <c r="O297" s="308">
        <v>0</v>
      </c>
      <c r="P297" s="247">
        <v>0</v>
      </c>
      <c r="Q297" s="247">
        <v>10</v>
      </c>
      <c r="R297" s="247">
        <v>0</v>
      </c>
      <c r="S297" s="247">
        <v>0</v>
      </c>
      <c r="T297" s="250">
        <v>0</v>
      </c>
    </row>
    <row r="298" spans="1:20" ht="15.75" x14ac:dyDescent="0.25">
      <c r="A298" s="247" t="s">
        <v>1482</v>
      </c>
      <c r="B298" s="247" t="s">
        <v>849</v>
      </c>
      <c r="C298" s="247" t="s">
        <v>1481</v>
      </c>
      <c r="D298" s="247">
        <v>3741470</v>
      </c>
      <c r="E298" s="247" t="s">
        <v>1068</v>
      </c>
      <c r="F298" s="247">
        <v>2020</v>
      </c>
      <c r="G298" s="248" t="s">
        <v>1472</v>
      </c>
      <c r="H298" s="247" t="s">
        <v>1057</v>
      </c>
      <c r="J298" s="249" t="s">
        <v>1242</v>
      </c>
      <c r="K298" s="308">
        <v>7.5</v>
      </c>
      <c r="L298" s="308">
        <v>7.5</v>
      </c>
      <c r="M298" s="308">
        <v>0</v>
      </c>
      <c r="N298" s="308">
        <v>0</v>
      </c>
      <c r="O298" s="308">
        <v>0</v>
      </c>
      <c r="P298" s="247">
        <v>0</v>
      </c>
      <c r="Q298" s="247">
        <v>30</v>
      </c>
      <c r="R298" s="247">
        <v>0</v>
      </c>
      <c r="S298" s="247">
        <v>0</v>
      </c>
      <c r="T298" s="250"/>
    </row>
    <row r="299" spans="1:20" ht="15.75" x14ac:dyDescent="0.25">
      <c r="A299" s="247" t="s">
        <v>642</v>
      </c>
      <c r="B299" s="247" t="s">
        <v>640</v>
      </c>
      <c r="C299" s="247" t="s">
        <v>1483</v>
      </c>
      <c r="D299" s="247">
        <v>3994122</v>
      </c>
      <c r="E299" s="247" t="s">
        <v>1138</v>
      </c>
      <c r="F299" s="247">
        <v>2020</v>
      </c>
      <c r="G299" s="248" t="s">
        <v>1472</v>
      </c>
      <c r="H299" s="247" t="s">
        <v>1125</v>
      </c>
      <c r="J299" s="249" t="s">
        <v>1466</v>
      </c>
      <c r="K299" s="308">
        <v>3.2</v>
      </c>
      <c r="L299" s="308">
        <v>2.2000000000000002</v>
      </c>
      <c r="M299" s="308">
        <v>1</v>
      </c>
      <c r="N299" s="308">
        <v>0</v>
      </c>
      <c r="O299" s="308">
        <v>0</v>
      </c>
      <c r="P299" s="247">
        <v>0</v>
      </c>
      <c r="Q299" s="247">
        <v>15</v>
      </c>
      <c r="R299" s="247">
        <v>25</v>
      </c>
      <c r="S299" s="247">
        <v>0</v>
      </c>
      <c r="T299" s="250">
        <v>0</v>
      </c>
    </row>
    <row r="300" spans="1:20" ht="15.75" x14ac:dyDescent="0.25">
      <c r="A300" s="247" t="s">
        <v>1485</v>
      </c>
      <c r="B300" s="247" t="s">
        <v>1067</v>
      </c>
      <c r="C300" s="247" t="s">
        <v>1484</v>
      </c>
      <c r="D300" s="247">
        <v>4373225</v>
      </c>
      <c r="E300" s="247" t="s">
        <v>1087</v>
      </c>
      <c r="F300" s="247">
        <v>2020</v>
      </c>
      <c r="G300" s="248" t="s">
        <v>1472</v>
      </c>
      <c r="H300" s="247" t="s">
        <v>1086</v>
      </c>
      <c r="J300" s="249" t="s">
        <v>1069</v>
      </c>
      <c r="K300" s="308">
        <v>1.6</v>
      </c>
      <c r="L300" s="308">
        <v>1.1000000000000001</v>
      </c>
      <c r="M300" s="308">
        <v>0</v>
      </c>
      <c r="N300" s="308">
        <v>0</v>
      </c>
      <c r="O300" s="308">
        <v>0.5</v>
      </c>
      <c r="P300" s="247">
        <v>0</v>
      </c>
      <c r="Q300" s="247">
        <v>2</v>
      </c>
      <c r="R300" s="247">
        <v>0</v>
      </c>
      <c r="S300" s="247">
        <v>0</v>
      </c>
      <c r="T300" s="250">
        <v>0</v>
      </c>
    </row>
    <row r="301" spans="1:20" ht="15.75" x14ac:dyDescent="0.25">
      <c r="A301" s="247" t="s">
        <v>905</v>
      </c>
      <c r="B301" s="247" t="s">
        <v>902</v>
      </c>
      <c r="C301" s="247" t="s">
        <v>1486</v>
      </c>
      <c r="D301" s="247">
        <v>4659873</v>
      </c>
      <c r="E301" s="247" t="s">
        <v>1087</v>
      </c>
      <c r="F301" s="247">
        <v>2020</v>
      </c>
      <c r="G301" s="248" t="s">
        <v>1472</v>
      </c>
      <c r="H301" s="247" t="s">
        <v>1086</v>
      </c>
      <c r="J301" s="249" t="s">
        <v>1428</v>
      </c>
      <c r="K301" s="308">
        <v>2</v>
      </c>
      <c r="L301" s="308">
        <v>2</v>
      </c>
      <c r="M301" s="308">
        <v>0</v>
      </c>
      <c r="N301" s="308">
        <v>0</v>
      </c>
      <c r="O301" s="308">
        <v>0</v>
      </c>
      <c r="P301" s="247">
        <v>0</v>
      </c>
      <c r="Q301" s="247">
        <v>55</v>
      </c>
      <c r="R301" s="247">
        <v>0</v>
      </c>
      <c r="S301" s="247">
        <v>0</v>
      </c>
      <c r="T301" s="250">
        <v>0</v>
      </c>
    </row>
    <row r="302" spans="1:20" ht="15.75" x14ac:dyDescent="0.25">
      <c r="A302" s="247" t="s">
        <v>1488</v>
      </c>
      <c r="B302" s="247" t="s">
        <v>240</v>
      </c>
      <c r="C302" s="247" t="s">
        <v>1487</v>
      </c>
      <c r="D302" s="247">
        <v>4885366</v>
      </c>
      <c r="E302" s="247" t="s">
        <v>1061</v>
      </c>
      <c r="F302" s="247">
        <v>2020</v>
      </c>
      <c r="G302" s="248" t="s">
        <v>1472</v>
      </c>
      <c r="H302" s="247" t="s">
        <v>1057</v>
      </c>
      <c r="J302" s="249" t="s">
        <v>1109</v>
      </c>
      <c r="K302" s="308">
        <v>2</v>
      </c>
      <c r="L302" s="308">
        <v>1</v>
      </c>
      <c r="M302" s="308">
        <v>1</v>
      </c>
      <c r="N302" s="308">
        <v>0</v>
      </c>
      <c r="O302" s="308">
        <v>0</v>
      </c>
      <c r="P302" s="247">
        <v>0</v>
      </c>
      <c r="Q302" s="247">
        <v>0</v>
      </c>
      <c r="R302" s="247">
        <v>21</v>
      </c>
      <c r="S302" s="247">
        <v>0</v>
      </c>
      <c r="T302" s="250">
        <v>0</v>
      </c>
    </row>
    <row r="303" spans="1:20" ht="15.75" x14ac:dyDescent="0.25">
      <c r="A303" s="247" t="s">
        <v>1488</v>
      </c>
      <c r="B303" s="247" t="s">
        <v>240</v>
      </c>
      <c r="C303" s="247" t="s">
        <v>1489</v>
      </c>
      <c r="D303" s="247">
        <v>4885366</v>
      </c>
      <c r="E303" s="247" t="s">
        <v>1063</v>
      </c>
      <c r="F303" s="247">
        <v>2020</v>
      </c>
      <c r="G303" s="248" t="s">
        <v>1472</v>
      </c>
      <c r="H303" s="247" t="s">
        <v>1057</v>
      </c>
      <c r="J303" s="249" t="s">
        <v>1109</v>
      </c>
      <c r="K303" s="308">
        <v>2</v>
      </c>
      <c r="L303" s="308">
        <v>1</v>
      </c>
      <c r="M303" s="308">
        <v>1</v>
      </c>
      <c r="N303" s="308">
        <v>0</v>
      </c>
      <c r="O303" s="308">
        <v>0</v>
      </c>
      <c r="P303" s="247">
        <v>0</v>
      </c>
      <c r="Q303" s="247">
        <v>0</v>
      </c>
      <c r="R303" s="247">
        <v>21</v>
      </c>
      <c r="S303" s="247">
        <v>0</v>
      </c>
      <c r="T303" s="250">
        <v>0</v>
      </c>
    </row>
    <row r="304" spans="1:20" ht="15.75" x14ac:dyDescent="0.25">
      <c r="A304" s="247" t="s">
        <v>585</v>
      </c>
      <c r="B304" s="247" t="s">
        <v>585</v>
      </c>
      <c r="C304" s="247" t="s">
        <v>1490</v>
      </c>
      <c r="D304" s="247">
        <v>5943218</v>
      </c>
      <c r="E304" s="247" t="s">
        <v>1087</v>
      </c>
      <c r="F304" s="247">
        <v>2020</v>
      </c>
      <c r="G304" s="248" t="s">
        <v>1472</v>
      </c>
      <c r="H304" s="247" t="s">
        <v>1086</v>
      </c>
      <c r="J304" s="249" t="s">
        <v>1341</v>
      </c>
      <c r="K304" s="308">
        <v>1.75</v>
      </c>
      <c r="L304" s="308">
        <v>0.6</v>
      </c>
      <c r="M304" s="308">
        <v>0.22500000000000001</v>
      </c>
      <c r="N304" s="308">
        <v>0</v>
      </c>
      <c r="O304" s="308">
        <v>0.92499999999999993</v>
      </c>
      <c r="P304" s="247">
        <v>0</v>
      </c>
      <c r="Q304" s="247">
        <v>15</v>
      </c>
      <c r="R304" s="247">
        <v>2</v>
      </c>
      <c r="S304" s="247">
        <v>0</v>
      </c>
      <c r="T304" s="250"/>
    </row>
    <row r="305" spans="1:20" ht="15.75" x14ac:dyDescent="0.25">
      <c r="A305" s="247" t="s">
        <v>674</v>
      </c>
      <c r="B305" s="247" t="s">
        <v>674</v>
      </c>
      <c r="C305" s="247" t="s">
        <v>1491</v>
      </c>
      <c r="D305" s="247">
        <v>5945407</v>
      </c>
      <c r="E305" s="247" t="s">
        <v>1128</v>
      </c>
      <c r="F305" s="247">
        <v>2020</v>
      </c>
      <c r="G305" s="248" t="s">
        <v>1472</v>
      </c>
      <c r="H305" s="247" t="s">
        <v>1125</v>
      </c>
      <c r="J305" s="249" t="s">
        <v>1466</v>
      </c>
      <c r="K305" s="308">
        <v>2</v>
      </c>
      <c r="L305" s="308">
        <v>1</v>
      </c>
      <c r="M305" s="308">
        <v>1</v>
      </c>
      <c r="N305" s="308">
        <v>0</v>
      </c>
      <c r="O305" s="308">
        <v>0</v>
      </c>
      <c r="P305" s="247">
        <v>0</v>
      </c>
      <c r="Q305" s="247">
        <v>6</v>
      </c>
      <c r="R305" s="247">
        <v>0</v>
      </c>
      <c r="S305" s="247">
        <v>0</v>
      </c>
      <c r="T305" s="250"/>
    </row>
    <row r="306" spans="1:20" ht="15.75" x14ac:dyDescent="0.25">
      <c r="A306" s="247" t="s">
        <v>1493</v>
      </c>
      <c r="B306" s="247" t="s">
        <v>874</v>
      </c>
      <c r="C306" s="247" t="s">
        <v>1492</v>
      </c>
      <c r="D306" s="247">
        <v>6473703</v>
      </c>
      <c r="E306" s="247" t="s">
        <v>1061</v>
      </c>
      <c r="F306" s="247">
        <v>2020</v>
      </c>
      <c r="G306" s="248" t="s">
        <v>1472</v>
      </c>
      <c r="H306" s="247" t="s">
        <v>1125</v>
      </c>
      <c r="J306" s="249" t="s">
        <v>1271</v>
      </c>
      <c r="K306" s="308">
        <v>3</v>
      </c>
      <c r="L306" s="308">
        <v>0.6</v>
      </c>
      <c r="M306" s="308">
        <v>2.4</v>
      </c>
      <c r="N306" s="308">
        <v>0</v>
      </c>
      <c r="O306" s="308">
        <v>0</v>
      </c>
      <c r="P306" s="247">
        <v>0</v>
      </c>
      <c r="Q306" s="247">
        <v>20</v>
      </c>
      <c r="R306" s="247">
        <v>0</v>
      </c>
      <c r="S306" s="247">
        <v>0</v>
      </c>
      <c r="T306" s="250"/>
    </row>
    <row r="307" spans="1:20" ht="15.75" x14ac:dyDescent="0.25">
      <c r="A307" s="247" t="s">
        <v>1495</v>
      </c>
      <c r="B307" s="247" t="s">
        <v>849</v>
      </c>
      <c r="C307" s="247" t="s">
        <v>1494</v>
      </c>
      <c r="D307" s="247">
        <v>6948137</v>
      </c>
      <c r="E307" s="247" t="s">
        <v>1061</v>
      </c>
      <c r="F307" s="247">
        <v>2020</v>
      </c>
      <c r="G307" s="248" t="s">
        <v>1472</v>
      </c>
      <c r="H307" s="247" t="s">
        <v>1057</v>
      </c>
      <c r="J307" s="249" t="s">
        <v>1341</v>
      </c>
      <c r="K307" s="308">
        <v>5</v>
      </c>
      <c r="L307" s="308">
        <v>5</v>
      </c>
      <c r="M307" s="308">
        <v>0</v>
      </c>
      <c r="N307" s="308">
        <v>0</v>
      </c>
      <c r="O307" s="308">
        <v>0</v>
      </c>
      <c r="P307" s="247">
        <v>0</v>
      </c>
      <c r="Q307" s="247">
        <v>30</v>
      </c>
      <c r="R307" s="247">
        <v>0</v>
      </c>
      <c r="S307" s="247">
        <v>0</v>
      </c>
      <c r="T307" s="250">
        <v>0</v>
      </c>
    </row>
    <row r="308" spans="1:20" ht="15.75" x14ac:dyDescent="0.25">
      <c r="A308" s="247" t="s">
        <v>1495</v>
      </c>
      <c r="B308" s="247" t="s">
        <v>849</v>
      </c>
      <c r="C308" s="247" t="s">
        <v>1496</v>
      </c>
      <c r="D308" s="247">
        <v>6948137</v>
      </c>
      <c r="E308" s="247" t="s">
        <v>1063</v>
      </c>
      <c r="F308" s="247">
        <v>2020</v>
      </c>
      <c r="G308" s="248" t="s">
        <v>1472</v>
      </c>
      <c r="H308" s="247" t="s">
        <v>1057</v>
      </c>
      <c r="J308" s="249" t="s">
        <v>1341</v>
      </c>
      <c r="K308" s="308">
        <v>5.5</v>
      </c>
      <c r="L308" s="308">
        <v>5.5</v>
      </c>
      <c r="M308" s="308">
        <v>0</v>
      </c>
      <c r="N308" s="308">
        <v>0</v>
      </c>
      <c r="O308" s="308">
        <v>0</v>
      </c>
      <c r="P308" s="247">
        <v>0</v>
      </c>
      <c r="Q308" s="247">
        <v>30</v>
      </c>
      <c r="R308" s="247">
        <v>0</v>
      </c>
      <c r="S308" s="247">
        <v>0</v>
      </c>
      <c r="T308" s="250">
        <v>0</v>
      </c>
    </row>
    <row r="309" spans="1:20" ht="15.75" x14ac:dyDescent="0.25">
      <c r="A309" s="247" t="s">
        <v>1112</v>
      </c>
      <c r="B309" s="247" t="s">
        <v>1113</v>
      </c>
      <c r="C309" s="247" t="s">
        <v>1497</v>
      </c>
      <c r="D309" s="247">
        <v>7218817</v>
      </c>
      <c r="E309" s="247" t="s">
        <v>1144</v>
      </c>
      <c r="F309" s="247">
        <v>2020</v>
      </c>
      <c r="G309" s="248" t="s">
        <v>1472</v>
      </c>
      <c r="H309" s="247" t="s">
        <v>1125</v>
      </c>
      <c r="J309" s="249" t="s">
        <v>1498</v>
      </c>
      <c r="K309" s="308">
        <v>2.5</v>
      </c>
      <c r="L309" s="308">
        <v>0.5</v>
      </c>
      <c r="M309" s="308">
        <v>2</v>
      </c>
      <c r="N309" s="308">
        <v>0</v>
      </c>
      <c r="O309" s="308">
        <v>0</v>
      </c>
      <c r="P309" s="247">
        <v>0</v>
      </c>
      <c r="Q309" s="247">
        <v>20</v>
      </c>
      <c r="R309" s="247">
        <v>0</v>
      </c>
      <c r="S309" s="247">
        <v>0</v>
      </c>
      <c r="T309" s="250">
        <v>0</v>
      </c>
    </row>
    <row r="310" spans="1:20" ht="15.75" x14ac:dyDescent="0.25">
      <c r="A310" s="247" t="s">
        <v>731</v>
      </c>
      <c r="B310" s="247" t="s">
        <v>1297</v>
      </c>
      <c r="C310" s="247" t="s">
        <v>1499</v>
      </c>
      <c r="D310" s="247">
        <v>7381195</v>
      </c>
      <c r="E310" s="247" t="s">
        <v>1138</v>
      </c>
      <c r="F310" s="247">
        <v>2020</v>
      </c>
      <c r="G310" s="248" t="s">
        <v>1472</v>
      </c>
      <c r="H310" s="247" t="s">
        <v>1125</v>
      </c>
      <c r="J310" s="249" t="s">
        <v>1500</v>
      </c>
      <c r="K310" s="308">
        <v>1.1499999999999999</v>
      </c>
      <c r="L310" s="308">
        <v>0.25</v>
      </c>
      <c r="M310" s="308">
        <v>0.9</v>
      </c>
      <c r="N310" s="308">
        <v>0</v>
      </c>
      <c r="O310" s="308">
        <v>0</v>
      </c>
      <c r="P310" s="247">
        <v>0</v>
      </c>
      <c r="Q310" s="247">
        <v>4</v>
      </c>
      <c r="R310" s="247">
        <v>0</v>
      </c>
      <c r="S310" s="247">
        <v>0</v>
      </c>
      <c r="T310" s="250">
        <v>0</v>
      </c>
    </row>
    <row r="311" spans="1:20" ht="15.75" x14ac:dyDescent="0.25">
      <c r="A311" s="247" t="s">
        <v>485</v>
      </c>
      <c r="B311" s="247" t="s">
        <v>485</v>
      </c>
      <c r="C311" s="247" t="s">
        <v>1496</v>
      </c>
      <c r="D311" s="247">
        <v>7384495</v>
      </c>
      <c r="E311" s="247" t="s">
        <v>1063</v>
      </c>
      <c r="F311" s="247">
        <v>2020</v>
      </c>
      <c r="G311" s="248" t="s">
        <v>1472</v>
      </c>
      <c r="H311" s="247" t="s">
        <v>1057</v>
      </c>
      <c r="J311" s="249" t="s">
        <v>1341</v>
      </c>
      <c r="K311" s="308">
        <v>4.6099999999999994</v>
      </c>
      <c r="L311" s="308">
        <v>1.6</v>
      </c>
      <c r="M311" s="308">
        <v>3.01</v>
      </c>
      <c r="N311" s="308">
        <v>0</v>
      </c>
      <c r="O311" s="308">
        <v>0</v>
      </c>
      <c r="P311" s="247">
        <v>0</v>
      </c>
      <c r="Q311" s="247">
        <v>15</v>
      </c>
      <c r="R311" s="247">
        <v>15</v>
      </c>
      <c r="S311" s="247">
        <v>0</v>
      </c>
      <c r="T311" s="250"/>
    </row>
    <row r="312" spans="1:20" ht="15.75" x14ac:dyDescent="0.25">
      <c r="A312" s="247" t="s">
        <v>700</v>
      </c>
      <c r="B312" s="247" t="s">
        <v>375</v>
      </c>
      <c r="C312" s="247" t="s">
        <v>1501</v>
      </c>
      <c r="D312" s="247">
        <v>7790627</v>
      </c>
      <c r="E312" s="247" t="s">
        <v>1128</v>
      </c>
      <c r="F312" s="247">
        <v>2020</v>
      </c>
      <c r="G312" s="248" t="s">
        <v>1472</v>
      </c>
      <c r="H312" s="247" t="s">
        <v>1125</v>
      </c>
      <c r="J312" s="249" t="s">
        <v>1262</v>
      </c>
      <c r="K312" s="308">
        <v>4.74</v>
      </c>
      <c r="L312" s="308">
        <v>0.6</v>
      </c>
      <c r="M312" s="308">
        <v>4.1400000000000006</v>
      </c>
      <c r="N312" s="308">
        <v>0</v>
      </c>
      <c r="O312" s="308">
        <v>0</v>
      </c>
      <c r="P312" s="247">
        <v>0</v>
      </c>
      <c r="Q312" s="247">
        <v>30</v>
      </c>
      <c r="R312" s="247">
        <v>9</v>
      </c>
      <c r="S312" s="247">
        <v>0</v>
      </c>
      <c r="T312" s="250">
        <v>43952</v>
      </c>
    </row>
    <row r="313" spans="1:20" ht="15.75" x14ac:dyDescent="0.25">
      <c r="A313" s="247" t="s">
        <v>881</v>
      </c>
      <c r="B313" s="247" t="s">
        <v>874</v>
      </c>
      <c r="C313" s="247" t="s">
        <v>1502</v>
      </c>
      <c r="D313" s="247">
        <v>7805491</v>
      </c>
      <c r="E313" s="247" t="s">
        <v>1063</v>
      </c>
      <c r="F313" s="247">
        <v>2020</v>
      </c>
      <c r="G313" s="248" t="s">
        <v>1472</v>
      </c>
      <c r="H313" s="247" t="s">
        <v>1125</v>
      </c>
      <c r="J313" s="249" t="s">
        <v>1248</v>
      </c>
      <c r="K313" s="308">
        <v>3.5</v>
      </c>
      <c r="L313" s="308">
        <v>0.6</v>
      </c>
      <c r="M313" s="308">
        <v>2.9</v>
      </c>
      <c r="N313" s="308">
        <v>0</v>
      </c>
      <c r="O313" s="308">
        <v>0</v>
      </c>
      <c r="P313" s="247">
        <v>0</v>
      </c>
      <c r="Q313" s="247">
        <v>6</v>
      </c>
      <c r="R313" s="247">
        <v>0</v>
      </c>
      <c r="S313" s="247">
        <v>0</v>
      </c>
      <c r="T313" s="250"/>
    </row>
    <row r="314" spans="1:20" ht="15.75" x14ac:dyDescent="0.25">
      <c r="A314" s="247" t="s">
        <v>1504</v>
      </c>
      <c r="B314" s="247" t="s">
        <v>849</v>
      </c>
      <c r="C314" s="247" t="s">
        <v>1503</v>
      </c>
      <c r="D314" s="247">
        <v>8172268</v>
      </c>
      <c r="E314" s="247" t="s">
        <v>1058</v>
      </c>
      <c r="F314" s="247">
        <v>2020</v>
      </c>
      <c r="G314" s="248" t="s">
        <v>1472</v>
      </c>
      <c r="H314" s="247" t="s">
        <v>1057</v>
      </c>
      <c r="J314" s="249" t="s">
        <v>1341</v>
      </c>
      <c r="K314" s="308">
        <v>10.5</v>
      </c>
      <c r="L314" s="308">
        <v>10.5</v>
      </c>
      <c r="M314" s="308">
        <v>0</v>
      </c>
      <c r="N314" s="308">
        <v>0</v>
      </c>
      <c r="O314" s="308">
        <v>0</v>
      </c>
      <c r="P314" s="247">
        <v>0</v>
      </c>
      <c r="Q314" s="247">
        <v>32</v>
      </c>
      <c r="R314" s="247">
        <v>0</v>
      </c>
      <c r="S314" s="247">
        <v>0</v>
      </c>
      <c r="T314" s="250">
        <v>0</v>
      </c>
    </row>
    <row r="315" spans="1:20" ht="15.75" x14ac:dyDescent="0.25">
      <c r="A315" s="247" t="s">
        <v>933</v>
      </c>
      <c r="B315" s="247" t="s">
        <v>928</v>
      </c>
      <c r="C315" s="247" t="s">
        <v>1505</v>
      </c>
      <c r="D315" s="247">
        <v>9379121</v>
      </c>
      <c r="E315" s="247" t="s">
        <v>1073</v>
      </c>
      <c r="F315" s="247">
        <v>2020</v>
      </c>
      <c r="G315" s="248" t="s">
        <v>1472</v>
      </c>
      <c r="H315" s="247" t="s">
        <v>1057</v>
      </c>
      <c r="J315" s="249" t="s">
        <v>1341</v>
      </c>
      <c r="K315" s="308">
        <v>9</v>
      </c>
      <c r="L315" s="308">
        <v>8.6999999999999993</v>
      </c>
      <c r="M315" s="308">
        <v>0</v>
      </c>
      <c r="N315" s="308">
        <v>0.3</v>
      </c>
      <c r="O315" s="308">
        <v>0</v>
      </c>
      <c r="P315" s="247">
        <v>0</v>
      </c>
      <c r="Q315" s="247">
        <v>15</v>
      </c>
      <c r="R315" s="247">
        <v>0</v>
      </c>
      <c r="S315" s="247">
        <v>0</v>
      </c>
      <c r="T315" s="250">
        <v>0</v>
      </c>
    </row>
    <row r="316" spans="1:20" ht="15.75" x14ac:dyDescent="0.25">
      <c r="A316" s="247" t="s">
        <v>236</v>
      </c>
      <c r="B316" s="247" t="s">
        <v>1145</v>
      </c>
      <c r="C316" s="247" t="s">
        <v>1506</v>
      </c>
      <c r="D316" s="247">
        <v>9767213</v>
      </c>
      <c r="E316" s="247" t="s">
        <v>1068</v>
      </c>
      <c r="F316" s="247">
        <v>2020</v>
      </c>
      <c r="G316" s="248" t="s">
        <v>1472</v>
      </c>
      <c r="H316" s="247" t="s">
        <v>1125</v>
      </c>
      <c r="J316" s="249" t="s">
        <v>1271</v>
      </c>
      <c r="K316" s="308">
        <v>4.7</v>
      </c>
      <c r="L316" s="308">
        <v>1.6</v>
      </c>
      <c r="M316" s="308">
        <v>3.1</v>
      </c>
      <c r="N316" s="308">
        <v>0</v>
      </c>
      <c r="O316" s="308">
        <v>0</v>
      </c>
      <c r="P316" s="247">
        <v>0</v>
      </c>
      <c r="Q316" s="247">
        <v>32</v>
      </c>
      <c r="R316" s="247">
        <v>12</v>
      </c>
      <c r="S316" s="247">
        <v>0</v>
      </c>
      <c r="T316" s="250"/>
    </row>
    <row r="320" spans="1:20" x14ac:dyDescent="0.25">
      <c r="G320" s="310" t="s">
        <v>1807</v>
      </c>
      <c r="H320" t="s">
        <v>2582</v>
      </c>
    </row>
    <row r="321" spans="7:8" x14ac:dyDescent="0.25">
      <c r="G321" s="311" t="s">
        <v>1055</v>
      </c>
      <c r="H321" s="345">
        <v>0</v>
      </c>
    </row>
    <row r="322" spans="7:8" x14ac:dyDescent="0.25">
      <c r="G322" s="311" t="s">
        <v>1124</v>
      </c>
      <c r="H322" s="345">
        <v>0</v>
      </c>
    </row>
    <row r="323" spans="7:8" x14ac:dyDescent="0.25">
      <c r="G323" s="311" t="s">
        <v>1155</v>
      </c>
      <c r="H323" s="345">
        <v>0</v>
      </c>
    </row>
    <row r="324" spans="7:8" x14ac:dyDescent="0.25">
      <c r="G324" s="311" t="s">
        <v>1232</v>
      </c>
      <c r="H324" s="345">
        <v>0</v>
      </c>
    </row>
    <row r="325" spans="7:8" x14ac:dyDescent="0.25">
      <c r="G325" s="311" t="s">
        <v>1238</v>
      </c>
      <c r="H325" s="345">
        <v>0</v>
      </c>
    </row>
    <row r="326" spans="7:8" x14ac:dyDescent="0.25">
      <c r="G326" s="311" t="s">
        <v>1241</v>
      </c>
      <c r="H326" s="345">
        <v>0</v>
      </c>
    </row>
    <row r="327" spans="7:8" x14ac:dyDescent="0.25">
      <c r="G327" s="311" t="s">
        <v>1250</v>
      </c>
      <c r="H327" s="345">
        <v>81</v>
      </c>
    </row>
    <row r="328" spans="7:8" x14ac:dyDescent="0.25">
      <c r="G328" s="311" t="s">
        <v>1273</v>
      </c>
      <c r="H328" s="345">
        <v>0</v>
      </c>
    </row>
    <row r="329" spans="7:8" x14ac:dyDescent="0.25">
      <c r="G329" s="311" t="s">
        <v>1282</v>
      </c>
      <c r="H329" s="345">
        <v>0</v>
      </c>
    </row>
    <row r="330" spans="7:8" x14ac:dyDescent="0.25">
      <c r="G330" s="311" t="s">
        <v>1307</v>
      </c>
      <c r="H330" s="345">
        <v>14</v>
      </c>
    </row>
    <row r="331" spans="7:8" x14ac:dyDescent="0.25">
      <c r="G331" s="311" t="s">
        <v>1311</v>
      </c>
      <c r="H331" s="345">
        <v>617</v>
      </c>
    </row>
    <row r="332" spans="7:8" x14ac:dyDescent="0.25">
      <c r="G332" s="311" t="s">
        <v>1316</v>
      </c>
      <c r="H332" s="345">
        <v>2019</v>
      </c>
    </row>
    <row r="333" spans="7:8" x14ac:dyDescent="0.25">
      <c r="G333" s="311" t="s">
        <v>1336</v>
      </c>
      <c r="H333" s="345">
        <v>536</v>
      </c>
    </row>
    <row r="334" spans="7:8" x14ac:dyDescent="0.25">
      <c r="G334" s="311" t="s">
        <v>1346</v>
      </c>
      <c r="H334" s="345">
        <v>169</v>
      </c>
    </row>
    <row r="335" spans="7:8" x14ac:dyDescent="0.25">
      <c r="G335" s="311" t="s">
        <v>1361</v>
      </c>
      <c r="H335" s="345">
        <v>34</v>
      </c>
    </row>
    <row r="336" spans="7:8" x14ac:dyDescent="0.25">
      <c r="G336" s="311" t="s">
        <v>1366</v>
      </c>
      <c r="H336" s="345">
        <v>0</v>
      </c>
    </row>
    <row r="337" spans="7:8" x14ac:dyDescent="0.25">
      <c r="G337" s="311" t="s">
        <v>1377</v>
      </c>
      <c r="H337" s="345">
        <v>0</v>
      </c>
    </row>
    <row r="338" spans="7:8" x14ac:dyDescent="0.25">
      <c r="G338" s="311" t="s">
        <v>1382</v>
      </c>
      <c r="H338" s="345">
        <v>236</v>
      </c>
    </row>
    <row r="339" spans="7:8" x14ac:dyDescent="0.25">
      <c r="G339" s="311" t="s">
        <v>1394</v>
      </c>
      <c r="H339" s="345">
        <v>0</v>
      </c>
    </row>
    <row r="340" spans="7:8" x14ac:dyDescent="0.25">
      <c r="G340" s="311" t="s">
        <v>1398</v>
      </c>
      <c r="H340" s="345">
        <v>0</v>
      </c>
    </row>
    <row r="341" spans="7:8" x14ac:dyDescent="0.25">
      <c r="G341" s="311" t="s">
        <v>1400</v>
      </c>
      <c r="H341" s="345">
        <v>0</v>
      </c>
    </row>
    <row r="342" spans="7:8" x14ac:dyDescent="0.25">
      <c r="G342" s="311" t="s">
        <v>1403</v>
      </c>
      <c r="H342" s="345">
        <v>0</v>
      </c>
    </row>
    <row r="343" spans="7:8" x14ac:dyDescent="0.25">
      <c r="G343" s="311" t="s">
        <v>1405</v>
      </c>
      <c r="H343" s="345">
        <v>0</v>
      </c>
    </row>
    <row r="344" spans="7:8" x14ac:dyDescent="0.25">
      <c r="G344" s="311" t="s">
        <v>1423</v>
      </c>
      <c r="H344" s="345">
        <v>80</v>
      </c>
    </row>
    <row r="345" spans="7:8" x14ac:dyDescent="0.25">
      <c r="G345" s="311" t="s">
        <v>1427</v>
      </c>
      <c r="H345" s="345">
        <v>0</v>
      </c>
    </row>
    <row r="346" spans="7:8" x14ac:dyDescent="0.25">
      <c r="G346" s="311" t="s">
        <v>1447</v>
      </c>
      <c r="H346" s="345">
        <v>0</v>
      </c>
    </row>
    <row r="347" spans="7:8" x14ac:dyDescent="0.25">
      <c r="G347" s="311" t="s">
        <v>1451</v>
      </c>
      <c r="H347" s="345">
        <v>0</v>
      </c>
    </row>
    <row r="348" spans="7:8" x14ac:dyDescent="0.25">
      <c r="G348" s="311" t="s">
        <v>1459</v>
      </c>
      <c r="H348" s="345">
        <v>0</v>
      </c>
    </row>
    <row r="349" spans="7:8" x14ac:dyDescent="0.25">
      <c r="G349" s="311" t="s">
        <v>1472</v>
      </c>
      <c r="H349" s="345">
        <v>0</v>
      </c>
    </row>
    <row r="350" spans="7:8" x14ac:dyDescent="0.25">
      <c r="G350" s="311" t="s">
        <v>1808</v>
      </c>
      <c r="H350" s="345">
        <v>3786</v>
      </c>
    </row>
    <row r="357" spans="4:7" x14ac:dyDescent="0.25">
      <c r="D357" s="310" t="s">
        <v>1807</v>
      </c>
      <c r="E357" s="313" t="s">
        <v>2844</v>
      </c>
      <c r="F357" s="313" t="s">
        <v>2582</v>
      </c>
      <c r="G357" s="313" t="s">
        <v>2845</v>
      </c>
    </row>
    <row r="358" spans="4:7" x14ac:dyDescent="0.25">
      <c r="D358" s="311">
        <v>1008575</v>
      </c>
      <c r="E358" s="345">
        <v>7</v>
      </c>
      <c r="F358" s="345">
        <v>0</v>
      </c>
      <c r="G358" s="345">
        <v>6</v>
      </c>
    </row>
    <row r="359" spans="4:7" x14ac:dyDescent="0.25">
      <c r="D359" s="311">
        <v>1109434</v>
      </c>
      <c r="E359" s="345">
        <v>29</v>
      </c>
      <c r="F359" s="345">
        <v>65</v>
      </c>
      <c r="G359" s="345">
        <v>0</v>
      </c>
    </row>
    <row r="360" spans="4:7" x14ac:dyDescent="0.25">
      <c r="D360" s="311">
        <v>1172890</v>
      </c>
      <c r="E360" s="345">
        <v>11.7</v>
      </c>
      <c r="F360" s="345">
        <v>0</v>
      </c>
      <c r="G360" s="345">
        <v>0</v>
      </c>
    </row>
    <row r="361" spans="4:7" x14ac:dyDescent="0.25">
      <c r="D361" s="311">
        <v>1201932</v>
      </c>
      <c r="E361" s="345">
        <v>4.0999999999999996</v>
      </c>
      <c r="F361" s="345">
        <v>0</v>
      </c>
      <c r="G361" s="345">
        <v>0</v>
      </c>
    </row>
    <row r="362" spans="4:7" x14ac:dyDescent="0.25">
      <c r="D362" s="311">
        <v>1225073</v>
      </c>
      <c r="E362" s="345">
        <v>16.34</v>
      </c>
      <c r="F362" s="345">
        <v>0</v>
      </c>
      <c r="G362" s="345">
        <v>0</v>
      </c>
    </row>
    <row r="363" spans="4:7" x14ac:dyDescent="0.25">
      <c r="D363" s="311">
        <v>1236570</v>
      </c>
      <c r="E363" s="345">
        <v>15.96</v>
      </c>
      <c r="F363" s="345">
        <v>64</v>
      </c>
      <c r="G363" s="345">
        <v>0</v>
      </c>
    </row>
    <row r="364" spans="4:7" x14ac:dyDescent="0.25">
      <c r="D364" s="311">
        <v>1272659</v>
      </c>
      <c r="E364" s="345">
        <v>2</v>
      </c>
      <c r="F364" s="345">
        <v>0</v>
      </c>
      <c r="G364" s="345">
        <v>0</v>
      </c>
    </row>
    <row r="365" spans="4:7" x14ac:dyDescent="0.25">
      <c r="D365" s="311">
        <v>1356155</v>
      </c>
      <c r="E365" s="345">
        <v>4</v>
      </c>
      <c r="F365" s="345">
        <v>0</v>
      </c>
      <c r="G365" s="345">
        <v>0</v>
      </c>
    </row>
    <row r="366" spans="4:7" x14ac:dyDescent="0.25">
      <c r="D366" s="311">
        <v>1378201</v>
      </c>
      <c r="E366" s="345">
        <v>4.25</v>
      </c>
      <c r="F366" s="345">
        <v>0</v>
      </c>
      <c r="G366" s="345">
        <v>0</v>
      </c>
    </row>
    <row r="367" spans="4:7" x14ac:dyDescent="0.25">
      <c r="D367" s="311">
        <v>1441233</v>
      </c>
      <c r="E367" s="345">
        <v>5.35</v>
      </c>
      <c r="F367" s="345">
        <v>15</v>
      </c>
      <c r="G367" s="345">
        <v>0</v>
      </c>
    </row>
    <row r="368" spans="4:7" x14ac:dyDescent="0.25">
      <c r="D368" s="311">
        <v>1450637</v>
      </c>
      <c r="E368" s="345">
        <v>50</v>
      </c>
      <c r="F368" s="345">
        <v>81</v>
      </c>
      <c r="G368" s="345">
        <v>0</v>
      </c>
    </row>
    <row r="369" spans="4:7" x14ac:dyDescent="0.25">
      <c r="D369" s="311">
        <v>1494293</v>
      </c>
      <c r="E369" s="345">
        <v>1.34</v>
      </c>
      <c r="F369" s="345">
        <v>0</v>
      </c>
      <c r="G369" s="345">
        <v>3</v>
      </c>
    </row>
    <row r="370" spans="4:7" x14ac:dyDescent="0.25">
      <c r="D370" s="311">
        <v>1514566</v>
      </c>
      <c r="E370" s="345">
        <v>5.5</v>
      </c>
      <c r="F370" s="345">
        <v>0</v>
      </c>
      <c r="G370" s="345">
        <v>0</v>
      </c>
    </row>
    <row r="371" spans="4:7" x14ac:dyDescent="0.25">
      <c r="D371" s="311">
        <v>1537615</v>
      </c>
      <c r="E371" s="345">
        <v>5.75</v>
      </c>
      <c r="F371" s="345">
        <v>0</v>
      </c>
      <c r="G371" s="345">
        <v>0</v>
      </c>
    </row>
    <row r="372" spans="4:7" x14ac:dyDescent="0.25">
      <c r="D372" s="311">
        <v>1546097</v>
      </c>
      <c r="E372" s="345">
        <v>69.37</v>
      </c>
      <c r="F372" s="345">
        <v>98</v>
      </c>
      <c r="G372" s="345">
        <v>0</v>
      </c>
    </row>
    <row r="373" spans="4:7" x14ac:dyDescent="0.25">
      <c r="D373" s="311">
        <v>1552469</v>
      </c>
      <c r="E373" s="345">
        <v>1.62</v>
      </c>
      <c r="F373" s="345">
        <v>0</v>
      </c>
      <c r="G373" s="345">
        <v>3</v>
      </c>
    </row>
    <row r="374" spans="4:7" x14ac:dyDescent="0.25">
      <c r="D374" s="311">
        <v>1567065</v>
      </c>
      <c r="E374" s="345">
        <v>1.7</v>
      </c>
      <c r="F374" s="345">
        <v>0</v>
      </c>
      <c r="G374" s="345">
        <v>10</v>
      </c>
    </row>
    <row r="375" spans="4:7" x14ac:dyDescent="0.25">
      <c r="D375" s="311">
        <v>1576566</v>
      </c>
      <c r="E375" s="345">
        <v>3.4</v>
      </c>
      <c r="F375" s="345">
        <v>8</v>
      </c>
      <c r="G375" s="345">
        <v>0</v>
      </c>
    </row>
    <row r="376" spans="4:7" x14ac:dyDescent="0.25">
      <c r="D376" s="311">
        <v>1622964</v>
      </c>
      <c r="E376" s="345">
        <v>6.75</v>
      </c>
      <c r="F376" s="345">
        <v>5</v>
      </c>
      <c r="G376" s="345">
        <v>5</v>
      </c>
    </row>
    <row r="377" spans="4:7" x14ac:dyDescent="0.25">
      <c r="D377" s="311">
        <v>1642854</v>
      </c>
      <c r="E377" s="345">
        <v>24.5</v>
      </c>
      <c r="F377" s="345">
        <v>50</v>
      </c>
      <c r="G377" s="345">
        <v>0</v>
      </c>
    </row>
    <row r="378" spans="4:7" x14ac:dyDescent="0.25">
      <c r="D378" s="311">
        <v>1647194</v>
      </c>
      <c r="E378" s="345">
        <v>5.2</v>
      </c>
      <c r="F378" s="345">
        <v>0</v>
      </c>
      <c r="G378" s="345">
        <v>0</v>
      </c>
    </row>
    <row r="379" spans="4:7" x14ac:dyDescent="0.25">
      <c r="D379" s="311">
        <v>1665958</v>
      </c>
      <c r="E379" s="345">
        <v>20</v>
      </c>
      <c r="F379" s="345">
        <v>55</v>
      </c>
      <c r="G379" s="345">
        <v>0</v>
      </c>
    </row>
    <row r="380" spans="4:7" x14ac:dyDescent="0.25">
      <c r="D380" s="311">
        <v>1671513</v>
      </c>
      <c r="E380" s="345">
        <v>2.1</v>
      </c>
      <c r="F380" s="345">
        <v>0</v>
      </c>
      <c r="G380" s="345">
        <v>0</v>
      </c>
    </row>
    <row r="381" spans="4:7" x14ac:dyDescent="0.25">
      <c r="D381" s="311">
        <v>1686476</v>
      </c>
      <c r="E381" s="345">
        <v>26</v>
      </c>
      <c r="F381" s="345">
        <v>0</v>
      </c>
      <c r="G381" s="345">
        <v>0</v>
      </c>
    </row>
    <row r="382" spans="4:7" x14ac:dyDescent="0.25">
      <c r="D382" s="311">
        <v>1696009</v>
      </c>
      <c r="E382" s="345">
        <v>1</v>
      </c>
      <c r="F382" s="345">
        <v>7</v>
      </c>
      <c r="G382" s="345">
        <v>0</v>
      </c>
    </row>
    <row r="383" spans="4:7" x14ac:dyDescent="0.25">
      <c r="D383" s="311">
        <v>1715626</v>
      </c>
      <c r="E383" s="345">
        <v>10.8</v>
      </c>
      <c r="F383" s="345">
        <v>0</v>
      </c>
      <c r="G383" s="345">
        <v>5</v>
      </c>
    </row>
    <row r="384" spans="4:7" x14ac:dyDescent="0.25">
      <c r="D384" s="311">
        <v>1738957</v>
      </c>
      <c r="E384" s="345">
        <v>2</v>
      </c>
      <c r="F384" s="345">
        <v>0</v>
      </c>
      <c r="G384" s="345">
        <v>20</v>
      </c>
    </row>
    <row r="385" spans="4:7" x14ac:dyDescent="0.25">
      <c r="D385" s="311">
        <v>1758706</v>
      </c>
      <c r="E385" s="345">
        <v>9</v>
      </c>
      <c r="F385" s="345">
        <v>0</v>
      </c>
      <c r="G385" s="345">
        <v>0</v>
      </c>
    </row>
    <row r="386" spans="4:7" x14ac:dyDescent="0.25">
      <c r="D386" s="311">
        <v>1792038</v>
      </c>
      <c r="E386" s="345">
        <v>1.75</v>
      </c>
      <c r="F386" s="345">
        <v>0</v>
      </c>
      <c r="G386" s="345">
        <v>5</v>
      </c>
    </row>
    <row r="387" spans="4:7" x14ac:dyDescent="0.25">
      <c r="D387" s="311">
        <v>1806042</v>
      </c>
      <c r="E387" s="345">
        <v>7.15</v>
      </c>
      <c r="F387" s="345">
        <v>0</v>
      </c>
      <c r="G387" s="345">
        <v>6</v>
      </c>
    </row>
    <row r="388" spans="4:7" x14ac:dyDescent="0.25">
      <c r="D388" s="311">
        <v>1817339</v>
      </c>
      <c r="E388" s="345">
        <v>17.100000000000001</v>
      </c>
      <c r="F388" s="345">
        <v>58</v>
      </c>
      <c r="G388" s="345">
        <v>0</v>
      </c>
    </row>
    <row r="389" spans="4:7" x14ac:dyDescent="0.25">
      <c r="D389" s="311">
        <v>1826777</v>
      </c>
      <c r="E389" s="345">
        <v>9</v>
      </c>
      <c r="F389" s="345">
        <v>0</v>
      </c>
      <c r="G389" s="345">
        <v>0</v>
      </c>
    </row>
    <row r="390" spans="4:7" x14ac:dyDescent="0.25">
      <c r="D390" s="311">
        <v>1840658</v>
      </c>
      <c r="E390" s="345">
        <v>5.5</v>
      </c>
      <c r="F390" s="345">
        <v>0</v>
      </c>
      <c r="G390" s="345">
        <v>0</v>
      </c>
    </row>
    <row r="391" spans="4:7" x14ac:dyDescent="0.25">
      <c r="D391" s="311">
        <v>1872907</v>
      </c>
      <c r="E391" s="345">
        <v>20</v>
      </c>
      <c r="F391" s="345">
        <v>45</v>
      </c>
      <c r="G391" s="345">
        <v>0</v>
      </c>
    </row>
    <row r="392" spans="4:7" x14ac:dyDescent="0.25">
      <c r="D392" s="311">
        <v>1878615</v>
      </c>
      <c r="E392" s="345">
        <v>1.07</v>
      </c>
      <c r="F392" s="345">
        <v>3</v>
      </c>
      <c r="G392" s="345">
        <v>0</v>
      </c>
    </row>
    <row r="393" spans="4:7" x14ac:dyDescent="0.25">
      <c r="D393" s="311">
        <v>1905494</v>
      </c>
      <c r="E393" s="345">
        <v>12.14</v>
      </c>
      <c r="F393" s="345">
        <v>22</v>
      </c>
      <c r="G393" s="345">
        <v>0</v>
      </c>
    </row>
    <row r="394" spans="4:7" x14ac:dyDescent="0.25">
      <c r="D394" s="311">
        <v>1907533</v>
      </c>
      <c r="E394" s="345">
        <v>8.6999999999999993</v>
      </c>
      <c r="F394" s="345">
        <v>0</v>
      </c>
      <c r="G394" s="345">
        <v>80</v>
      </c>
    </row>
    <row r="395" spans="4:7" x14ac:dyDescent="0.25">
      <c r="D395" s="311">
        <v>1961902</v>
      </c>
      <c r="E395" s="345">
        <v>4.1899999999999995</v>
      </c>
      <c r="F395" s="345">
        <v>0</v>
      </c>
      <c r="G395" s="345">
        <v>22</v>
      </c>
    </row>
    <row r="396" spans="4:7" x14ac:dyDescent="0.25">
      <c r="D396" s="311">
        <v>1968420</v>
      </c>
      <c r="E396" s="345">
        <v>6.11</v>
      </c>
      <c r="F396" s="345">
        <v>67</v>
      </c>
      <c r="G396" s="345">
        <v>90</v>
      </c>
    </row>
    <row r="397" spans="4:7" x14ac:dyDescent="0.25">
      <c r="D397" s="311">
        <v>1991772</v>
      </c>
      <c r="E397" s="345">
        <v>25.8</v>
      </c>
      <c r="F397" s="345">
        <v>60</v>
      </c>
      <c r="G397" s="345">
        <v>0</v>
      </c>
    </row>
    <row r="398" spans="4:7" x14ac:dyDescent="0.25">
      <c r="D398" s="311">
        <v>2015983</v>
      </c>
      <c r="E398" s="345">
        <v>2</v>
      </c>
      <c r="F398" s="345">
        <v>0</v>
      </c>
      <c r="G398" s="345">
        <v>12</v>
      </c>
    </row>
    <row r="399" spans="4:7" x14ac:dyDescent="0.25">
      <c r="D399" s="311">
        <v>2028356</v>
      </c>
      <c r="E399" s="345">
        <v>10.25</v>
      </c>
      <c r="F399" s="345">
        <v>0</v>
      </c>
      <c r="G399" s="345">
        <v>0</v>
      </c>
    </row>
    <row r="400" spans="4:7" x14ac:dyDescent="0.25">
      <c r="D400" s="311">
        <v>2039109</v>
      </c>
      <c r="E400" s="345">
        <v>9</v>
      </c>
      <c r="F400" s="345">
        <v>0</v>
      </c>
      <c r="G400" s="345">
        <v>0</v>
      </c>
    </row>
    <row r="401" spans="4:7" x14ac:dyDescent="0.25">
      <c r="D401" s="311">
        <v>2089762</v>
      </c>
      <c r="E401" s="345">
        <v>49</v>
      </c>
      <c r="F401" s="345">
        <v>65</v>
      </c>
      <c r="G401" s="345">
        <v>0</v>
      </c>
    </row>
    <row r="402" spans="4:7" x14ac:dyDescent="0.25">
      <c r="D402" s="311">
        <v>2093343</v>
      </c>
      <c r="E402" s="345">
        <v>1.1499999999999999</v>
      </c>
      <c r="F402" s="345">
        <v>0</v>
      </c>
      <c r="G402" s="345">
        <v>0</v>
      </c>
    </row>
    <row r="403" spans="4:7" x14ac:dyDescent="0.25">
      <c r="D403" s="311">
        <v>2125600</v>
      </c>
      <c r="E403" s="345">
        <v>27.5</v>
      </c>
      <c r="F403" s="345">
        <v>54</v>
      </c>
      <c r="G403" s="345">
        <v>0</v>
      </c>
    </row>
    <row r="404" spans="4:7" x14ac:dyDescent="0.25">
      <c r="D404" s="311">
        <v>2174839</v>
      </c>
      <c r="E404" s="345">
        <v>6</v>
      </c>
      <c r="F404" s="345">
        <v>0</v>
      </c>
      <c r="G404" s="345">
        <v>70</v>
      </c>
    </row>
    <row r="405" spans="4:7" x14ac:dyDescent="0.25">
      <c r="D405" s="311">
        <v>2189349</v>
      </c>
      <c r="E405" s="345">
        <v>2.4</v>
      </c>
      <c r="F405" s="345">
        <v>0</v>
      </c>
      <c r="G405" s="345">
        <v>2</v>
      </c>
    </row>
    <row r="406" spans="4:7" x14ac:dyDescent="0.25">
      <c r="D406" s="311">
        <v>2315315</v>
      </c>
      <c r="E406" s="345">
        <v>2</v>
      </c>
      <c r="F406" s="345">
        <v>0</v>
      </c>
      <c r="G406" s="345">
        <v>20</v>
      </c>
    </row>
    <row r="407" spans="4:7" x14ac:dyDescent="0.25">
      <c r="D407" s="311">
        <v>2333254</v>
      </c>
      <c r="E407" s="345">
        <v>3.01</v>
      </c>
      <c r="F407" s="345">
        <v>0</v>
      </c>
      <c r="G407" s="345">
        <v>8</v>
      </c>
    </row>
    <row r="408" spans="4:7" x14ac:dyDescent="0.25">
      <c r="D408" s="311">
        <v>2390992</v>
      </c>
      <c r="E408" s="345">
        <v>1.75</v>
      </c>
      <c r="F408" s="345">
        <v>0</v>
      </c>
      <c r="G408" s="345">
        <v>0</v>
      </c>
    </row>
    <row r="409" spans="4:7" x14ac:dyDescent="0.25">
      <c r="D409" s="311">
        <v>2392006</v>
      </c>
      <c r="E409" s="345">
        <v>4.7</v>
      </c>
      <c r="F409" s="345">
        <v>0</v>
      </c>
      <c r="G409" s="345">
        <v>0</v>
      </c>
    </row>
    <row r="410" spans="4:7" x14ac:dyDescent="0.25">
      <c r="D410" s="311">
        <v>2495303</v>
      </c>
      <c r="E410" s="345">
        <v>8.59</v>
      </c>
      <c r="F410" s="345">
        <v>0</v>
      </c>
      <c r="G410" s="345">
        <v>0</v>
      </c>
    </row>
    <row r="411" spans="4:7" x14ac:dyDescent="0.25">
      <c r="D411" s="311">
        <v>2499134</v>
      </c>
      <c r="E411" s="345">
        <v>4.55</v>
      </c>
      <c r="F411" s="345">
        <v>9</v>
      </c>
      <c r="G411" s="345">
        <v>0</v>
      </c>
    </row>
    <row r="412" spans="4:7" x14ac:dyDescent="0.25">
      <c r="D412" s="311">
        <v>2506443</v>
      </c>
      <c r="E412" s="345">
        <v>2.41</v>
      </c>
      <c r="F412" s="345">
        <v>0</v>
      </c>
      <c r="G412" s="345">
        <v>15</v>
      </c>
    </row>
    <row r="413" spans="4:7" x14ac:dyDescent="0.25">
      <c r="D413" s="311">
        <v>2514714</v>
      </c>
      <c r="E413" s="345">
        <v>2.5</v>
      </c>
      <c r="F413" s="345">
        <v>11</v>
      </c>
      <c r="G413" s="345">
        <v>0</v>
      </c>
    </row>
    <row r="414" spans="4:7" x14ac:dyDescent="0.25">
      <c r="D414" s="311">
        <v>2540162</v>
      </c>
      <c r="E414" s="345">
        <v>5.6</v>
      </c>
      <c r="F414" s="345">
        <v>0</v>
      </c>
      <c r="G414" s="345">
        <v>0</v>
      </c>
    </row>
    <row r="415" spans="4:7" x14ac:dyDescent="0.25">
      <c r="D415" s="311">
        <v>2583952</v>
      </c>
      <c r="E415" s="345">
        <v>2.1</v>
      </c>
      <c r="F415" s="345">
        <v>0</v>
      </c>
      <c r="G415" s="345">
        <v>0</v>
      </c>
    </row>
    <row r="416" spans="4:7" x14ac:dyDescent="0.25">
      <c r="D416" s="311">
        <v>2749776</v>
      </c>
      <c r="E416" s="345">
        <v>20</v>
      </c>
      <c r="F416" s="345">
        <v>53</v>
      </c>
      <c r="G416" s="345">
        <v>0</v>
      </c>
    </row>
    <row r="417" spans="4:7" x14ac:dyDescent="0.25">
      <c r="D417" s="311">
        <v>2757263</v>
      </c>
      <c r="E417" s="345">
        <v>1.35</v>
      </c>
      <c r="F417" s="345">
        <v>0</v>
      </c>
      <c r="G417" s="345">
        <v>0</v>
      </c>
    </row>
    <row r="418" spans="4:7" x14ac:dyDescent="0.25">
      <c r="D418" s="311">
        <v>2788586</v>
      </c>
      <c r="E418" s="345">
        <v>2.25</v>
      </c>
      <c r="F418" s="345">
        <v>0</v>
      </c>
      <c r="G418" s="345">
        <v>3</v>
      </c>
    </row>
    <row r="419" spans="4:7" x14ac:dyDescent="0.25">
      <c r="D419" s="311">
        <v>2801353</v>
      </c>
      <c r="E419" s="345">
        <v>36</v>
      </c>
      <c r="F419" s="345">
        <v>64</v>
      </c>
      <c r="G419" s="345">
        <v>0</v>
      </c>
    </row>
    <row r="420" spans="4:7" x14ac:dyDescent="0.25">
      <c r="D420" s="311">
        <v>2813024</v>
      </c>
      <c r="E420" s="345">
        <v>4.2</v>
      </c>
      <c r="F420" s="345">
        <v>0</v>
      </c>
      <c r="G420" s="345">
        <v>0</v>
      </c>
    </row>
    <row r="421" spans="4:7" x14ac:dyDescent="0.25">
      <c r="D421" s="311">
        <v>2813433</v>
      </c>
      <c r="E421" s="345">
        <v>2.7</v>
      </c>
      <c r="F421" s="345">
        <v>0</v>
      </c>
      <c r="G421" s="345">
        <v>10</v>
      </c>
    </row>
    <row r="422" spans="4:7" x14ac:dyDescent="0.25">
      <c r="D422" s="311">
        <v>2837121</v>
      </c>
      <c r="E422" s="345">
        <v>10.029999999999999</v>
      </c>
      <c r="F422" s="345">
        <v>16</v>
      </c>
      <c r="G422" s="345">
        <v>0</v>
      </c>
    </row>
    <row r="423" spans="4:7" x14ac:dyDescent="0.25">
      <c r="D423" s="311">
        <v>2886510</v>
      </c>
      <c r="E423" s="345">
        <v>3.25</v>
      </c>
      <c r="F423" s="345">
        <v>0</v>
      </c>
      <c r="G423" s="345">
        <v>0</v>
      </c>
    </row>
    <row r="424" spans="4:7" x14ac:dyDescent="0.25">
      <c r="D424" s="311">
        <v>2946425</v>
      </c>
      <c r="E424" s="345">
        <v>4.5</v>
      </c>
      <c r="F424" s="345">
        <v>0</v>
      </c>
      <c r="G424" s="345">
        <v>0</v>
      </c>
    </row>
    <row r="425" spans="4:7" x14ac:dyDescent="0.25">
      <c r="D425" s="311">
        <v>3040542</v>
      </c>
      <c r="E425" s="345">
        <v>1.35</v>
      </c>
      <c r="F425" s="345">
        <v>0</v>
      </c>
      <c r="G425" s="345">
        <v>0</v>
      </c>
    </row>
    <row r="426" spans="4:7" x14ac:dyDescent="0.25">
      <c r="D426" s="311">
        <v>3054253</v>
      </c>
      <c r="E426" s="345">
        <v>3.2</v>
      </c>
      <c r="F426" s="345">
        <v>0</v>
      </c>
      <c r="G426" s="345">
        <v>12</v>
      </c>
    </row>
    <row r="427" spans="4:7" x14ac:dyDescent="0.25">
      <c r="D427" s="311">
        <v>3095940</v>
      </c>
      <c r="E427" s="345">
        <v>8</v>
      </c>
      <c r="F427" s="345">
        <v>0</v>
      </c>
      <c r="G427" s="345">
        <v>0</v>
      </c>
    </row>
    <row r="428" spans="4:7" x14ac:dyDescent="0.25">
      <c r="D428" s="311">
        <v>3110951</v>
      </c>
      <c r="E428" s="345">
        <v>6.5000000000000009</v>
      </c>
      <c r="F428" s="345">
        <v>0</v>
      </c>
      <c r="G428" s="345">
        <v>0</v>
      </c>
    </row>
    <row r="429" spans="4:7" x14ac:dyDescent="0.25">
      <c r="D429" s="311">
        <v>3135426</v>
      </c>
      <c r="E429" s="345">
        <v>21.25</v>
      </c>
      <c r="F429" s="345">
        <v>68</v>
      </c>
      <c r="G429" s="345">
        <v>0</v>
      </c>
    </row>
    <row r="430" spans="4:7" x14ac:dyDescent="0.25">
      <c r="D430" s="311">
        <v>3198258</v>
      </c>
      <c r="E430" s="345">
        <v>8</v>
      </c>
      <c r="F430" s="345">
        <v>0</v>
      </c>
      <c r="G430" s="345">
        <v>0</v>
      </c>
    </row>
    <row r="431" spans="4:7" x14ac:dyDescent="0.25">
      <c r="D431" s="311">
        <v>3346325</v>
      </c>
      <c r="E431" s="345">
        <v>4.5999999999999996</v>
      </c>
      <c r="F431" s="345">
        <v>0</v>
      </c>
      <c r="G431" s="345">
        <v>6</v>
      </c>
    </row>
    <row r="432" spans="4:7" x14ac:dyDescent="0.25">
      <c r="D432" s="311">
        <v>3357963</v>
      </c>
      <c r="E432" s="345">
        <v>1.9</v>
      </c>
      <c r="F432" s="345">
        <v>4</v>
      </c>
      <c r="G432" s="345">
        <v>0</v>
      </c>
    </row>
    <row r="433" spans="4:7" x14ac:dyDescent="0.25">
      <c r="D433" s="311">
        <v>3446957</v>
      </c>
      <c r="E433" s="345">
        <v>1.4</v>
      </c>
      <c r="F433" s="345">
        <v>0</v>
      </c>
      <c r="G433" s="345">
        <v>5</v>
      </c>
    </row>
    <row r="434" spans="4:7" x14ac:dyDescent="0.25">
      <c r="D434" s="311">
        <v>3473171</v>
      </c>
      <c r="E434" s="345">
        <v>61.585000000000001</v>
      </c>
      <c r="F434" s="345">
        <v>109</v>
      </c>
      <c r="G434" s="345">
        <v>0</v>
      </c>
    </row>
    <row r="435" spans="4:7" x14ac:dyDescent="0.25">
      <c r="D435" s="311">
        <v>3529182</v>
      </c>
      <c r="E435" s="345">
        <v>18.3</v>
      </c>
      <c r="F435" s="345">
        <v>48</v>
      </c>
      <c r="G435" s="345">
        <v>0</v>
      </c>
    </row>
    <row r="436" spans="4:7" x14ac:dyDescent="0.25">
      <c r="D436" s="311">
        <v>3595008</v>
      </c>
      <c r="E436" s="345">
        <v>6</v>
      </c>
      <c r="F436" s="345">
        <v>0</v>
      </c>
      <c r="G436" s="345">
        <v>0</v>
      </c>
    </row>
    <row r="437" spans="4:7" x14ac:dyDescent="0.25">
      <c r="D437" s="311">
        <v>3597628</v>
      </c>
      <c r="E437" s="345">
        <v>9</v>
      </c>
      <c r="F437" s="345">
        <v>0</v>
      </c>
      <c r="G437" s="345">
        <v>0</v>
      </c>
    </row>
    <row r="438" spans="4:7" x14ac:dyDescent="0.25">
      <c r="D438" s="311">
        <v>3619533</v>
      </c>
      <c r="E438" s="345">
        <v>17.25</v>
      </c>
      <c r="F438" s="345">
        <v>35</v>
      </c>
      <c r="G438" s="345">
        <v>0</v>
      </c>
    </row>
    <row r="439" spans="4:7" x14ac:dyDescent="0.25">
      <c r="D439" s="311">
        <v>3650770</v>
      </c>
      <c r="E439" s="345">
        <v>3.6</v>
      </c>
      <c r="F439" s="345">
        <v>0</v>
      </c>
      <c r="G439" s="345">
        <v>0</v>
      </c>
    </row>
    <row r="440" spans="4:7" x14ac:dyDescent="0.25">
      <c r="D440" s="311">
        <v>3673053</v>
      </c>
      <c r="E440" s="345">
        <v>17.25</v>
      </c>
      <c r="F440" s="345">
        <v>0</v>
      </c>
      <c r="G440" s="345">
        <v>32</v>
      </c>
    </row>
    <row r="441" spans="4:7" x14ac:dyDescent="0.25">
      <c r="D441" s="311">
        <v>3713907</v>
      </c>
      <c r="E441" s="345">
        <v>37.299999999999997</v>
      </c>
      <c r="F441" s="345">
        <v>74</v>
      </c>
      <c r="G441" s="345">
        <v>0</v>
      </c>
    </row>
    <row r="442" spans="4:7" x14ac:dyDescent="0.25">
      <c r="D442" s="311">
        <v>3736692</v>
      </c>
      <c r="E442" s="345">
        <v>1.25</v>
      </c>
      <c r="F442" s="345">
        <v>0</v>
      </c>
      <c r="G442" s="345">
        <v>0</v>
      </c>
    </row>
    <row r="443" spans="4:7" x14ac:dyDescent="0.25">
      <c r="D443" s="311">
        <v>3741470</v>
      </c>
      <c r="E443" s="345">
        <v>7.5</v>
      </c>
      <c r="F443" s="345">
        <v>0</v>
      </c>
      <c r="G443" s="345">
        <v>0</v>
      </c>
    </row>
    <row r="444" spans="4:7" x14ac:dyDescent="0.25">
      <c r="D444" s="311">
        <v>3754207</v>
      </c>
      <c r="E444" s="345">
        <v>48.57</v>
      </c>
      <c r="F444" s="345">
        <v>86</v>
      </c>
      <c r="G444" s="345">
        <v>0</v>
      </c>
    </row>
    <row r="445" spans="4:7" x14ac:dyDescent="0.25">
      <c r="D445" s="311">
        <v>3810187</v>
      </c>
      <c r="E445" s="345">
        <v>10</v>
      </c>
      <c r="F445" s="345">
        <v>0</v>
      </c>
      <c r="G445" s="345">
        <v>0</v>
      </c>
    </row>
    <row r="446" spans="4:7" x14ac:dyDescent="0.25">
      <c r="D446" s="311">
        <v>3921078</v>
      </c>
      <c r="E446" s="345">
        <v>1.57</v>
      </c>
      <c r="F446" s="345">
        <v>0</v>
      </c>
      <c r="G446" s="345">
        <v>3</v>
      </c>
    </row>
    <row r="447" spans="4:7" x14ac:dyDescent="0.25">
      <c r="D447" s="311">
        <v>3943362</v>
      </c>
      <c r="E447" s="345">
        <v>23</v>
      </c>
      <c r="F447" s="345">
        <v>52</v>
      </c>
      <c r="G447" s="345">
        <v>0</v>
      </c>
    </row>
    <row r="448" spans="4:7" x14ac:dyDescent="0.25">
      <c r="D448" s="311">
        <v>3994122</v>
      </c>
      <c r="E448" s="345">
        <v>3.2</v>
      </c>
      <c r="F448" s="345">
        <v>0</v>
      </c>
      <c r="G448" s="345">
        <v>25</v>
      </c>
    </row>
    <row r="449" spans="4:7" x14ac:dyDescent="0.25">
      <c r="D449" s="311">
        <v>4007320</v>
      </c>
      <c r="E449" s="345">
        <v>1.7</v>
      </c>
      <c r="F449" s="345">
        <v>4</v>
      </c>
      <c r="G449" s="345">
        <v>0</v>
      </c>
    </row>
    <row r="450" spans="4:7" x14ac:dyDescent="0.25">
      <c r="D450" s="311">
        <v>4075651</v>
      </c>
      <c r="E450" s="345">
        <v>3.2</v>
      </c>
      <c r="F450" s="345">
        <v>6</v>
      </c>
      <c r="G450" s="345">
        <v>0</v>
      </c>
    </row>
    <row r="451" spans="4:7" x14ac:dyDescent="0.25">
      <c r="D451" s="311">
        <v>4271738</v>
      </c>
      <c r="E451" s="345">
        <v>13.5</v>
      </c>
      <c r="F451" s="345">
        <v>0</v>
      </c>
      <c r="G451" s="345">
        <v>0</v>
      </c>
    </row>
    <row r="452" spans="4:7" x14ac:dyDescent="0.25">
      <c r="D452" s="311">
        <v>4309907</v>
      </c>
      <c r="E452" s="345">
        <v>3.3</v>
      </c>
      <c r="F452" s="345">
        <v>0</v>
      </c>
      <c r="G452" s="345">
        <v>0</v>
      </c>
    </row>
    <row r="453" spans="4:7" x14ac:dyDescent="0.25">
      <c r="D453" s="311">
        <v>4373225</v>
      </c>
      <c r="E453" s="345">
        <v>1.6</v>
      </c>
      <c r="F453" s="345">
        <v>0</v>
      </c>
      <c r="G453" s="345">
        <v>0</v>
      </c>
    </row>
    <row r="454" spans="4:7" x14ac:dyDescent="0.25">
      <c r="D454" s="311">
        <v>4381530</v>
      </c>
      <c r="E454" s="345">
        <v>35</v>
      </c>
      <c r="F454" s="345">
        <v>61</v>
      </c>
      <c r="G454" s="345">
        <v>0</v>
      </c>
    </row>
    <row r="455" spans="4:7" x14ac:dyDescent="0.25">
      <c r="D455" s="311">
        <v>4382191</v>
      </c>
      <c r="E455" s="345">
        <v>1</v>
      </c>
      <c r="F455" s="345">
        <v>0</v>
      </c>
      <c r="G455" s="345">
        <v>0</v>
      </c>
    </row>
    <row r="456" spans="4:7" x14ac:dyDescent="0.25">
      <c r="D456" s="311">
        <v>4382500</v>
      </c>
      <c r="E456" s="345">
        <v>3.5</v>
      </c>
      <c r="F456" s="345">
        <v>8</v>
      </c>
      <c r="G456" s="345">
        <v>0</v>
      </c>
    </row>
    <row r="457" spans="4:7" x14ac:dyDescent="0.25">
      <c r="D457" s="311">
        <v>4383860</v>
      </c>
      <c r="E457" s="345">
        <v>24</v>
      </c>
      <c r="F457" s="345">
        <v>0</v>
      </c>
      <c r="G457" s="345">
        <v>0</v>
      </c>
    </row>
    <row r="458" spans="4:7" x14ac:dyDescent="0.25">
      <c r="D458" s="311">
        <v>4396482</v>
      </c>
      <c r="E458" s="345">
        <v>15</v>
      </c>
      <c r="F458" s="345">
        <v>30</v>
      </c>
      <c r="G458" s="345">
        <v>0</v>
      </c>
    </row>
    <row r="459" spans="4:7" x14ac:dyDescent="0.25">
      <c r="D459" s="311">
        <v>4497017</v>
      </c>
      <c r="E459" s="345">
        <v>5.5</v>
      </c>
      <c r="F459" s="345">
        <v>8</v>
      </c>
      <c r="G459" s="345">
        <v>0</v>
      </c>
    </row>
    <row r="460" spans="4:7" x14ac:dyDescent="0.25">
      <c r="D460" s="311">
        <v>4526227</v>
      </c>
      <c r="E460" s="345">
        <v>2.95</v>
      </c>
      <c r="F460" s="345">
        <v>0</v>
      </c>
      <c r="G460" s="345">
        <v>0</v>
      </c>
    </row>
    <row r="461" spans="4:7" x14ac:dyDescent="0.25">
      <c r="D461" s="311">
        <v>4531517</v>
      </c>
      <c r="E461" s="345">
        <v>1.3</v>
      </c>
      <c r="F461" s="345">
        <v>0</v>
      </c>
      <c r="G461" s="345">
        <v>9</v>
      </c>
    </row>
    <row r="462" spans="4:7" x14ac:dyDescent="0.25">
      <c r="D462" s="311">
        <v>4533728</v>
      </c>
      <c r="E462" s="345">
        <v>6.55</v>
      </c>
      <c r="F462" s="345">
        <v>0</v>
      </c>
      <c r="G462" s="345">
        <v>40</v>
      </c>
    </row>
    <row r="463" spans="4:7" x14ac:dyDescent="0.25">
      <c r="D463" s="311">
        <v>4547815</v>
      </c>
      <c r="E463" s="345">
        <v>2.0499999999999998</v>
      </c>
      <c r="F463" s="345">
        <v>0</v>
      </c>
      <c r="G463" s="345">
        <v>14</v>
      </c>
    </row>
    <row r="464" spans="4:7" x14ac:dyDescent="0.25">
      <c r="D464" s="311">
        <v>4659873</v>
      </c>
      <c r="E464" s="345">
        <v>2</v>
      </c>
      <c r="F464" s="345">
        <v>0</v>
      </c>
      <c r="G464" s="345">
        <v>0</v>
      </c>
    </row>
    <row r="465" spans="4:7" x14ac:dyDescent="0.25">
      <c r="D465" s="311">
        <v>4699567</v>
      </c>
      <c r="E465" s="345">
        <v>6.8</v>
      </c>
      <c r="F465" s="345">
        <v>32</v>
      </c>
      <c r="G465" s="345">
        <v>0</v>
      </c>
    </row>
    <row r="466" spans="4:7" x14ac:dyDescent="0.25">
      <c r="D466" s="311">
        <v>4720531</v>
      </c>
      <c r="E466" s="345">
        <v>1.25</v>
      </c>
      <c r="F466" s="345">
        <v>6</v>
      </c>
      <c r="G466" s="345">
        <v>0</v>
      </c>
    </row>
    <row r="467" spans="4:7" x14ac:dyDescent="0.25">
      <c r="D467" s="311">
        <v>4721932</v>
      </c>
      <c r="E467" s="345">
        <v>53.3</v>
      </c>
      <c r="F467" s="345">
        <v>79</v>
      </c>
      <c r="G467" s="345">
        <v>0</v>
      </c>
    </row>
    <row r="468" spans="4:7" x14ac:dyDescent="0.25">
      <c r="D468" s="311">
        <v>4753225</v>
      </c>
      <c r="E468" s="345">
        <v>38.799999999999997</v>
      </c>
      <c r="F468" s="345">
        <v>80</v>
      </c>
      <c r="G468" s="345">
        <v>0</v>
      </c>
    </row>
    <row r="469" spans="4:7" x14ac:dyDescent="0.25">
      <c r="D469" s="311">
        <v>4782003</v>
      </c>
      <c r="E469" s="345">
        <v>26.74</v>
      </c>
      <c r="F469" s="345">
        <v>43</v>
      </c>
      <c r="G469" s="345">
        <v>0</v>
      </c>
    </row>
    <row r="470" spans="4:7" x14ac:dyDescent="0.25">
      <c r="D470" s="311">
        <v>4878719</v>
      </c>
      <c r="E470" s="345">
        <v>6.5</v>
      </c>
      <c r="F470" s="345">
        <v>0</v>
      </c>
      <c r="G470" s="345">
        <v>0</v>
      </c>
    </row>
    <row r="471" spans="4:7" x14ac:dyDescent="0.25">
      <c r="D471" s="311">
        <v>4885366</v>
      </c>
      <c r="E471" s="345">
        <v>4</v>
      </c>
      <c r="F471" s="345">
        <v>0</v>
      </c>
      <c r="G471" s="345">
        <v>42</v>
      </c>
    </row>
    <row r="472" spans="4:7" x14ac:dyDescent="0.25">
      <c r="D472" s="311">
        <v>4936413</v>
      </c>
      <c r="E472" s="345">
        <v>3.21</v>
      </c>
      <c r="F472" s="345">
        <v>0</v>
      </c>
      <c r="G472" s="345">
        <v>3</v>
      </c>
    </row>
    <row r="473" spans="4:7" x14ac:dyDescent="0.25">
      <c r="D473" s="311">
        <v>4987165</v>
      </c>
      <c r="E473" s="345">
        <v>4.5</v>
      </c>
      <c r="F473" s="345">
        <v>0</v>
      </c>
      <c r="G473" s="345">
        <v>0</v>
      </c>
    </row>
    <row r="474" spans="4:7" x14ac:dyDescent="0.25">
      <c r="D474" s="311">
        <v>5000179</v>
      </c>
      <c r="E474" s="345">
        <v>66.5</v>
      </c>
      <c r="F474" s="345">
        <v>58</v>
      </c>
      <c r="G474" s="345">
        <v>0</v>
      </c>
    </row>
    <row r="475" spans="4:7" x14ac:dyDescent="0.25">
      <c r="D475" s="311">
        <v>5020855</v>
      </c>
      <c r="E475" s="345">
        <v>8.51</v>
      </c>
      <c r="F475" s="345">
        <v>0</v>
      </c>
      <c r="G475" s="345">
        <v>40</v>
      </c>
    </row>
    <row r="476" spans="4:7" x14ac:dyDescent="0.25">
      <c r="D476" s="311">
        <v>5040302</v>
      </c>
      <c r="E476" s="345">
        <v>21</v>
      </c>
      <c r="F476" s="345">
        <v>47</v>
      </c>
      <c r="G476" s="345">
        <v>0</v>
      </c>
    </row>
    <row r="477" spans="4:7" x14ac:dyDescent="0.25">
      <c r="D477" s="311">
        <v>5133257</v>
      </c>
      <c r="E477" s="345">
        <v>2.62</v>
      </c>
      <c r="F477" s="345">
        <v>0</v>
      </c>
      <c r="G477" s="345">
        <v>0</v>
      </c>
    </row>
    <row r="478" spans="4:7" x14ac:dyDescent="0.25">
      <c r="D478" s="311">
        <v>5141443</v>
      </c>
      <c r="E478" s="345">
        <v>1.2</v>
      </c>
      <c r="F478" s="345">
        <v>0</v>
      </c>
      <c r="G478" s="345">
        <v>0</v>
      </c>
    </row>
    <row r="479" spans="4:7" x14ac:dyDescent="0.25">
      <c r="D479" s="311">
        <v>5173305</v>
      </c>
      <c r="E479" s="345">
        <v>13.5</v>
      </c>
      <c r="F479" s="345">
        <v>0</v>
      </c>
      <c r="G479" s="345">
        <v>65</v>
      </c>
    </row>
    <row r="480" spans="4:7" x14ac:dyDescent="0.25">
      <c r="D480" s="311">
        <v>5175408</v>
      </c>
      <c r="E480" s="345">
        <v>2</v>
      </c>
      <c r="F480" s="345">
        <v>0</v>
      </c>
      <c r="G480" s="345">
        <v>0</v>
      </c>
    </row>
    <row r="481" spans="4:7" x14ac:dyDescent="0.25">
      <c r="D481" s="311">
        <v>5204562</v>
      </c>
      <c r="E481" s="345">
        <v>5.7</v>
      </c>
      <c r="F481" s="345">
        <v>0</v>
      </c>
      <c r="G481" s="345">
        <v>0</v>
      </c>
    </row>
    <row r="482" spans="4:7" x14ac:dyDescent="0.25">
      <c r="D482" s="311">
        <v>5220717</v>
      </c>
      <c r="E482" s="345">
        <v>33.86</v>
      </c>
      <c r="F482" s="345">
        <v>40</v>
      </c>
      <c r="G482" s="345">
        <v>0</v>
      </c>
    </row>
    <row r="483" spans="4:7" x14ac:dyDescent="0.25">
      <c r="D483" s="311">
        <v>5312119</v>
      </c>
      <c r="E483" s="345">
        <v>2.9</v>
      </c>
      <c r="F483" s="345">
        <v>5</v>
      </c>
      <c r="G483" s="345">
        <v>0</v>
      </c>
    </row>
    <row r="484" spans="4:7" x14ac:dyDescent="0.25">
      <c r="D484" s="311">
        <v>5344327</v>
      </c>
      <c r="E484" s="345">
        <v>22.7</v>
      </c>
      <c r="F484" s="345">
        <v>60</v>
      </c>
      <c r="G484" s="345">
        <v>0</v>
      </c>
    </row>
    <row r="485" spans="4:7" x14ac:dyDescent="0.25">
      <c r="D485" s="311">
        <v>5369609</v>
      </c>
      <c r="E485" s="345">
        <v>3.5</v>
      </c>
      <c r="F485" s="345">
        <v>0</v>
      </c>
      <c r="G485" s="345">
        <v>0</v>
      </c>
    </row>
    <row r="486" spans="4:7" x14ac:dyDescent="0.25">
      <c r="D486" s="311">
        <v>5376966</v>
      </c>
      <c r="E486" s="345">
        <v>28.4</v>
      </c>
      <c r="F486" s="345">
        <v>0</v>
      </c>
      <c r="G486" s="345">
        <v>0</v>
      </c>
    </row>
    <row r="487" spans="4:7" x14ac:dyDescent="0.25">
      <c r="D487" s="311">
        <v>5539112</v>
      </c>
      <c r="E487" s="345">
        <v>4.2</v>
      </c>
      <c r="F487" s="345">
        <v>0</v>
      </c>
      <c r="G487" s="345">
        <v>21</v>
      </c>
    </row>
    <row r="488" spans="4:7" x14ac:dyDescent="0.25">
      <c r="D488" s="311">
        <v>5599785</v>
      </c>
      <c r="E488" s="345">
        <v>2.61</v>
      </c>
      <c r="F488" s="345">
        <v>0</v>
      </c>
      <c r="G488" s="345">
        <v>20</v>
      </c>
    </row>
    <row r="489" spans="4:7" x14ac:dyDescent="0.25">
      <c r="D489" s="311">
        <v>5638901</v>
      </c>
      <c r="E489" s="345">
        <v>31</v>
      </c>
      <c r="F489" s="345">
        <v>76</v>
      </c>
      <c r="G489" s="345">
        <v>0</v>
      </c>
    </row>
    <row r="490" spans="4:7" x14ac:dyDescent="0.25">
      <c r="D490" s="311">
        <v>5646573</v>
      </c>
      <c r="E490" s="345">
        <v>2.1</v>
      </c>
      <c r="F490" s="345">
        <v>0</v>
      </c>
      <c r="G490" s="345">
        <v>0</v>
      </c>
    </row>
    <row r="491" spans="4:7" x14ac:dyDescent="0.25">
      <c r="D491" s="311">
        <v>5651221</v>
      </c>
      <c r="E491" s="345">
        <v>33</v>
      </c>
      <c r="F491" s="345">
        <v>49</v>
      </c>
      <c r="G491" s="345">
        <v>0</v>
      </c>
    </row>
    <row r="492" spans="4:7" x14ac:dyDescent="0.25">
      <c r="D492" s="311">
        <v>5700178</v>
      </c>
      <c r="E492" s="345">
        <v>1.25</v>
      </c>
      <c r="F492" s="345">
        <v>0</v>
      </c>
      <c r="G492" s="345">
        <v>0</v>
      </c>
    </row>
    <row r="493" spans="4:7" x14ac:dyDescent="0.25">
      <c r="D493" s="311">
        <v>5703553</v>
      </c>
      <c r="E493" s="345">
        <v>3.82</v>
      </c>
      <c r="F493" s="345">
        <v>11</v>
      </c>
      <c r="G493" s="345">
        <v>0</v>
      </c>
    </row>
    <row r="494" spans="4:7" x14ac:dyDescent="0.25">
      <c r="D494" s="311">
        <v>5755112</v>
      </c>
      <c r="E494" s="345">
        <v>6</v>
      </c>
      <c r="F494" s="345">
        <v>32</v>
      </c>
      <c r="G494" s="345">
        <v>0</v>
      </c>
    </row>
    <row r="495" spans="4:7" x14ac:dyDescent="0.25">
      <c r="D495" s="311">
        <v>5792625</v>
      </c>
      <c r="E495" s="345">
        <v>2.2999999999999998</v>
      </c>
      <c r="F495" s="345">
        <v>0</v>
      </c>
      <c r="G495" s="345">
        <v>0</v>
      </c>
    </row>
    <row r="496" spans="4:7" x14ac:dyDescent="0.25">
      <c r="D496" s="311">
        <v>5804478</v>
      </c>
      <c r="E496" s="345">
        <v>32.6</v>
      </c>
      <c r="F496" s="345">
        <v>58</v>
      </c>
      <c r="G496" s="345">
        <v>0</v>
      </c>
    </row>
    <row r="497" spans="4:7" x14ac:dyDescent="0.25">
      <c r="D497" s="311">
        <v>5814347</v>
      </c>
      <c r="E497" s="345">
        <v>4</v>
      </c>
      <c r="F497" s="345">
        <v>0</v>
      </c>
      <c r="G497" s="345">
        <v>4</v>
      </c>
    </row>
    <row r="498" spans="4:7" x14ac:dyDescent="0.25">
      <c r="D498" s="311">
        <v>5869239</v>
      </c>
      <c r="E498" s="345">
        <v>48.5</v>
      </c>
      <c r="F498" s="345">
        <v>103</v>
      </c>
      <c r="G498" s="345">
        <v>0</v>
      </c>
    </row>
    <row r="499" spans="4:7" x14ac:dyDescent="0.25">
      <c r="D499" s="311">
        <v>5871375</v>
      </c>
      <c r="E499" s="345">
        <v>12.1</v>
      </c>
      <c r="F499" s="345">
        <v>17</v>
      </c>
      <c r="G499" s="345">
        <v>0</v>
      </c>
    </row>
    <row r="500" spans="4:7" x14ac:dyDescent="0.25">
      <c r="D500" s="311">
        <v>5894253</v>
      </c>
      <c r="E500" s="345">
        <v>11</v>
      </c>
      <c r="F500" s="345">
        <v>25</v>
      </c>
      <c r="G500" s="345">
        <v>0</v>
      </c>
    </row>
    <row r="501" spans="4:7" x14ac:dyDescent="0.25">
      <c r="D501" s="311">
        <v>5903063</v>
      </c>
      <c r="E501" s="345">
        <v>1</v>
      </c>
      <c r="F501" s="345">
        <v>0</v>
      </c>
      <c r="G501" s="345">
        <v>0</v>
      </c>
    </row>
    <row r="502" spans="4:7" x14ac:dyDescent="0.25">
      <c r="D502" s="311">
        <v>5922905</v>
      </c>
      <c r="E502" s="345">
        <v>3.3</v>
      </c>
      <c r="F502" s="345">
        <v>0</v>
      </c>
      <c r="G502" s="345">
        <v>30</v>
      </c>
    </row>
    <row r="503" spans="4:7" x14ac:dyDescent="0.25">
      <c r="D503" s="311">
        <v>5943218</v>
      </c>
      <c r="E503" s="345">
        <v>1.75</v>
      </c>
      <c r="F503" s="345">
        <v>0</v>
      </c>
      <c r="G503" s="345">
        <v>2</v>
      </c>
    </row>
    <row r="504" spans="4:7" x14ac:dyDescent="0.25">
      <c r="D504" s="311">
        <v>5945407</v>
      </c>
      <c r="E504" s="345">
        <v>2</v>
      </c>
      <c r="F504" s="345">
        <v>0</v>
      </c>
      <c r="G504" s="345">
        <v>0</v>
      </c>
    </row>
    <row r="505" spans="4:7" x14ac:dyDescent="0.25">
      <c r="D505" s="311">
        <v>5947102</v>
      </c>
      <c r="E505" s="345">
        <v>0.38</v>
      </c>
      <c r="F505" s="345">
        <v>0</v>
      </c>
      <c r="G505" s="345">
        <v>0</v>
      </c>
    </row>
    <row r="506" spans="4:7" x14ac:dyDescent="0.25">
      <c r="D506" s="311">
        <v>5991938</v>
      </c>
      <c r="E506" s="345">
        <v>5.5</v>
      </c>
      <c r="F506" s="345">
        <v>0</v>
      </c>
      <c r="G506" s="345">
        <v>0</v>
      </c>
    </row>
    <row r="507" spans="4:7" x14ac:dyDescent="0.25">
      <c r="D507" s="311">
        <v>6041962</v>
      </c>
      <c r="E507" s="345">
        <v>2.5</v>
      </c>
      <c r="F507" s="345">
        <v>0</v>
      </c>
      <c r="G507" s="345">
        <v>5</v>
      </c>
    </row>
    <row r="508" spans="4:7" x14ac:dyDescent="0.25">
      <c r="D508" s="311">
        <v>6152074</v>
      </c>
      <c r="E508" s="345">
        <v>8.9</v>
      </c>
      <c r="F508" s="345">
        <v>0</v>
      </c>
      <c r="G508" s="345">
        <v>0</v>
      </c>
    </row>
    <row r="509" spans="4:7" x14ac:dyDescent="0.25">
      <c r="D509" s="311">
        <v>6161785</v>
      </c>
      <c r="E509" s="345">
        <v>5</v>
      </c>
      <c r="F509" s="345">
        <v>0</v>
      </c>
      <c r="G509" s="345">
        <v>0</v>
      </c>
    </row>
    <row r="510" spans="4:7" x14ac:dyDescent="0.25">
      <c r="D510" s="311">
        <v>6163071</v>
      </c>
      <c r="E510" s="345">
        <v>1.1000000000000001</v>
      </c>
      <c r="F510" s="345">
        <v>0</v>
      </c>
      <c r="G510" s="345">
        <v>1</v>
      </c>
    </row>
    <row r="511" spans="4:7" x14ac:dyDescent="0.25">
      <c r="D511" s="311">
        <v>6181040</v>
      </c>
      <c r="E511" s="345">
        <v>2.35</v>
      </c>
      <c r="F511" s="345">
        <v>0</v>
      </c>
      <c r="G511" s="345">
        <v>0</v>
      </c>
    </row>
    <row r="512" spans="4:7" x14ac:dyDescent="0.25">
      <c r="D512" s="311">
        <v>6191102</v>
      </c>
      <c r="E512" s="345">
        <v>1</v>
      </c>
      <c r="F512" s="345">
        <v>0</v>
      </c>
      <c r="G512" s="345">
        <v>0</v>
      </c>
    </row>
    <row r="513" spans="4:7" x14ac:dyDescent="0.25">
      <c r="D513" s="311">
        <v>6232669</v>
      </c>
      <c r="E513" s="345">
        <v>8</v>
      </c>
      <c r="F513" s="345">
        <v>0</v>
      </c>
      <c r="G513" s="345">
        <v>0</v>
      </c>
    </row>
    <row r="514" spans="4:7" x14ac:dyDescent="0.25">
      <c r="D514" s="311">
        <v>6361701</v>
      </c>
      <c r="E514" s="345">
        <v>1.7</v>
      </c>
      <c r="F514" s="345">
        <v>0</v>
      </c>
      <c r="G514" s="345">
        <v>0</v>
      </c>
    </row>
    <row r="515" spans="4:7" x14ac:dyDescent="0.25">
      <c r="D515" s="311">
        <v>6375207</v>
      </c>
      <c r="E515" s="345">
        <v>7.6</v>
      </c>
      <c r="F515" s="345">
        <v>4</v>
      </c>
      <c r="G515" s="345">
        <v>0</v>
      </c>
    </row>
    <row r="516" spans="4:7" x14ac:dyDescent="0.25">
      <c r="D516" s="311">
        <v>6428468</v>
      </c>
      <c r="E516" s="345">
        <v>11.5</v>
      </c>
      <c r="F516" s="345">
        <v>0</v>
      </c>
      <c r="G516" s="345">
        <v>0</v>
      </c>
    </row>
    <row r="517" spans="4:7" x14ac:dyDescent="0.25">
      <c r="D517" s="311">
        <v>6447139</v>
      </c>
      <c r="E517" s="345">
        <v>2.85</v>
      </c>
      <c r="F517" s="345">
        <v>0</v>
      </c>
      <c r="G517" s="345">
        <v>3</v>
      </c>
    </row>
    <row r="518" spans="4:7" x14ac:dyDescent="0.25">
      <c r="D518" s="311">
        <v>6466112</v>
      </c>
      <c r="E518" s="345">
        <v>0.4</v>
      </c>
      <c r="F518" s="345">
        <v>0</v>
      </c>
      <c r="G518" s="345">
        <v>0</v>
      </c>
    </row>
    <row r="519" spans="4:7" x14ac:dyDescent="0.25">
      <c r="D519" s="311">
        <v>6473703</v>
      </c>
      <c r="E519" s="345">
        <v>3</v>
      </c>
      <c r="F519" s="345">
        <v>0</v>
      </c>
      <c r="G519" s="345">
        <v>0</v>
      </c>
    </row>
    <row r="520" spans="4:7" x14ac:dyDescent="0.25">
      <c r="D520" s="311">
        <v>6514817</v>
      </c>
      <c r="E520" s="345">
        <v>11.53</v>
      </c>
      <c r="F520" s="345">
        <v>23</v>
      </c>
      <c r="G520" s="345">
        <v>0</v>
      </c>
    </row>
    <row r="521" spans="4:7" x14ac:dyDescent="0.25">
      <c r="D521" s="311">
        <v>6565086</v>
      </c>
      <c r="E521" s="345">
        <v>6.0700000000000012</v>
      </c>
      <c r="F521" s="345">
        <v>0</v>
      </c>
      <c r="G521" s="345">
        <v>0</v>
      </c>
    </row>
    <row r="522" spans="4:7" x14ac:dyDescent="0.25">
      <c r="D522" s="311">
        <v>6565956</v>
      </c>
      <c r="E522" s="345">
        <v>21.68</v>
      </c>
      <c r="F522" s="345">
        <v>55</v>
      </c>
      <c r="G522" s="345">
        <v>0</v>
      </c>
    </row>
    <row r="523" spans="4:7" x14ac:dyDescent="0.25">
      <c r="D523" s="311">
        <v>6581899</v>
      </c>
      <c r="E523" s="345">
        <v>47</v>
      </c>
      <c r="F523" s="345">
        <v>115</v>
      </c>
      <c r="G523" s="345">
        <v>0</v>
      </c>
    </row>
    <row r="524" spans="4:7" x14ac:dyDescent="0.25">
      <c r="D524" s="311">
        <v>6585534</v>
      </c>
      <c r="E524" s="345">
        <v>4</v>
      </c>
      <c r="F524" s="345">
        <v>0</v>
      </c>
      <c r="G524" s="345">
        <v>0</v>
      </c>
    </row>
    <row r="525" spans="4:7" x14ac:dyDescent="0.25">
      <c r="D525" s="311">
        <v>6607461</v>
      </c>
      <c r="E525" s="345">
        <v>2</v>
      </c>
      <c r="F525" s="345">
        <v>0</v>
      </c>
      <c r="G525" s="345">
        <v>20</v>
      </c>
    </row>
    <row r="526" spans="4:7" x14ac:dyDescent="0.25">
      <c r="D526" s="311">
        <v>6627771</v>
      </c>
      <c r="E526" s="345">
        <v>0.3</v>
      </c>
      <c r="F526" s="345">
        <v>2</v>
      </c>
      <c r="G526" s="345">
        <v>0</v>
      </c>
    </row>
    <row r="527" spans="4:7" x14ac:dyDescent="0.25">
      <c r="D527" s="311">
        <v>6630553</v>
      </c>
      <c r="E527" s="345">
        <v>4</v>
      </c>
      <c r="F527" s="345">
        <v>0</v>
      </c>
      <c r="G527" s="345">
        <v>0</v>
      </c>
    </row>
    <row r="528" spans="4:7" x14ac:dyDescent="0.25">
      <c r="D528" s="311">
        <v>6684022</v>
      </c>
      <c r="E528" s="345">
        <v>7.85</v>
      </c>
      <c r="F528" s="345">
        <v>0</v>
      </c>
      <c r="G528" s="345">
        <v>25</v>
      </c>
    </row>
    <row r="529" spans="4:7" x14ac:dyDescent="0.25">
      <c r="D529" s="311">
        <v>6697882</v>
      </c>
      <c r="E529" s="345">
        <v>1.7</v>
      </c>
      <c r="F529" s="345">
        <v>0</v>
      </c>
      <c r="G529" s="345">
        <v>0</v>
      </c>
    </row>
    <row r="530" spans="4:7" x14ac:dyDescent="0.25">
      <c r="D530" s="311">
        <v>6698987</v>
      </c>
      <c r="E530" s="345">
        <v>1.1499999999999999</v>
      </c>
      <c r="F530" s="345">
        <v>0</v>
      </c>
      <c r="G530" s="345">
        <v>0</v>
      </c>
    </row>
    <row r="531" spans="4:7" x14ac:dyDescent="0.25">
      <c r="D531" s="311">
        <v>6749255</v>
      </c>
      <c r="E531" s="345">
        <v>6.5750000000000002</v>
      </c>
      <c r="F531" s="345">
        <v>9</v>
      </c>
      <c r="G531" s="345">
        <v>0</v>
      </c>
    </row>
    <row r="532" spans="4:7" x14ac:dyDescent="0.25">
      <c r="D532" s="311">
        <v>6811251</v>
      </c>
      <c r="E532" s="345">
        <v>0.6</v>
      </c>
      <c r="F532" s="345">
        <v>0</v>
      </c>
      <c r="G532" s="345">
        <v>0</v>
      </c>
    </row>
    <row r="533" spans="4:7" x14ac:dyDescent="0.25">
      <c r="D533" s="311">
        <v>6907978</v>
      </c>
      <c r="E533" s="345">
        <v>2.1</v>
      </c>
      <c r="F533" s="345">
        <v>1</v>
      </c>
      <c r="G533" s="345">
        <v>0</v>
      </c>
    </row>
    <row r="534" spans="4:7" x14ac:dyDescent="0.25">
      <c r="D534" s="311">
        <v>6945387</v>
      </c>
      <c r="E534" s="345">
        <v>19</v>
      </c>
      <c r="F534" s="345">
        <v>43</v>
      </c>
      <c r="G534" s="345">
        <v>0</v>
      </c>
    </row>
    <row r="535" spans="4:7" x14ac:dyDescent="0.25">
      <c r="D535" s="311">
        <v>6948137</v>
      </c>
      <c r="E535" s="345">
        <v>10.5</v>
      </c>
      <c r="F535" s="345">
        <v>0</v>
      </c>
      <c r="G535" s="345">
        <v>0</v>
      </c>
    </row>
    <row r="536" spans="4:7" x14ac:dyDescent="0.25">
      <c r="D536" s="311">
        <v>6989404</v>
      </c>
      <c r="E536" s="345">
        <v>2.35</v>
      </c>
      <c r="F536" s="345">
        <v>0</v>
      </c>
      <c r="G536" s="345">
        <v>20</v>
      </c>
    </row>
    <row r="537" spans="4:7" x14ac:dyDescent="0.25">
      <c r="D537" s="311">
        <v>7071797</v>
      </c>
      <c r="E537" s="345">
        <v>7.3</v>
      </c>
      <c r="F537" s="345">
        <v>8</v>
      </c>
      <c r="G537" s="345">
        <v>0</v>
      </c>
    </row>
    <row r="538" spans="4:7" x14ac:dyDescent="0.25">
      <c r="D538" s="311">
        <v>7190506</v>
      </c>
      <c r="E538" s="345">
        <v>5.85</v>
      </c>
      <c r="F538" s="345">
        <v>14</v>
      </c>
      <c r="G538" s="345">
        <v>0</v>
      </c>
    </row>
    <row r="539" spans="4:7" x14ac:dyDescent="0.25">
      <c r="D539" s="311">
        <v>7201840</v>
      </c>
      <c r="E539" s="345">
        <v>30.25</v>
      </c>
      <c r="F539" s="345">
        <v>0</v>
      </c>
      <c r="G539" s="345">
        <v>0</v>
      </c>
    </row>
    <row r="540" spans="4:7" x14ac:dyDescent="0.25">
      <c r="D540" s="311">
        <v>7218817</v>
      </c>
      <c r="E540" s="345">
        <v>2.5</v>
      </c>
      <c r="F540" s="345">
        <v>0</v>
      </c>
      <c r="G540" s="345">
        <v>0</v>
      </c>
    </row>
    <row r="541" spans="4:7" x14ac:dyDescent="0.25">
      <c r="D541" s="311">
        <v>7235281</v>
      </c>
      <c r="E541" s="345">
        <v>0.6</v>
      </c>
      <c r="F541" s="345">
        <v>0</v>
      </c>
      <c r="G541" s="345">
        <v>1</v>
      </c>
    </row>
    <row r="542" spans="4:7" x14ac:dyDescent="0.25">
      <c r="D542" s="311">
        <v>7259548</v>
      </c>
      <c r="E542" s="345">
        <v>16</v>
      </c>
      <c r="F542" s="345">
        <v>0</v>
      </c>
      <c r="G542" s="345">
        <v>0</v>
      </c>
    </row>
    <row r="543" spans="4:7" x14ac:dyDescent="0.25">
      <c r="D543" s="311">
        <v>7263765</v>
      </c>
      <c r="E543" s="345">
        <v>2</v>
      </c>
      <c r="F543" s="345">
        <v>0</v>
      </c>
      <c r="G543" s="345">
        <v>8</v>
      </c>
    </row>
    <row r="544" spans="4:7" x14ac:dyDescent="0.25">
      <c r="D544" s="311">
        <v>7268793</v>
      </c>
      <c r="E544" s="345">
        <v>5.75</v>
      </c>
      <c r="F544" s="345">
        <v>0</v>
      </c>
      <c r="G544" s="345">
        <v>20</v>
      </c>
    </row>
    <row r="545" spans="4:7" x14ac:dyDescent="0.25">
      <c r="D545" s="311">
        <v>7365832</v>
      </c>
      <c r="E545" s="345">
        <v>1.8</v>
      </c>
      <c r="F545" s="345">
        <v>0</v>
      </c>
      <c r="G545" s="345">
        <v>20</v>
      </c>
    </row>
    <row r="546" spans="4:7" x14ac:dyDescent="0.25">
      <c r="D546" s="311">
        <v>7381195</v>
      </c>
      <c r="E546" s="345">
        <v>1.1499999999999999</v>
      </c>
      <c r="F546" s="345">
        <v>0</v>
      </c>
      <c r="G546" s="345">
        <v>0</v>
      </c>
    </row>
    <row r="547" spans="4:7" x14ac:dyDescent="0.25">
      <c r="D547" s="311">
        <v>7384495</v>
      </c>
      <c r="E547" s="345">
        <v>4.6099999999999994</v>
      </c>
      <c r="F547" s="345">
        <v>0</v>
      </c>
      <c r="G547" s="345">
        <v>15</v>
      </c>
    </row>
    <row r="548" spans="4:7" x14ac:dyDescent="0.25">
      <c r="D548" s="311">
        <v>7399132</v>
      </c>
      <c r="E548" s="345">
        <v>8</v>
      </c>
      <c r="F548" s="345">
        <v>0</v>
      </c>
      <c r="G548" s="345">
        <v>0</v>
      </c>
    </row>
    <row r="549" spans="4:7" x14ac:dyDescent="0.25">
      <c r="D549" s="311">
        <v>7459230</v>
      </c>
      <c r="E549" s="345">
        <v>11.25</v>
      </c>
      <c r="F549" s="345">
        <v>0</v>
      </c>
      <c r="G549" s="345">
        <v>0</v>
      </c>
    </row>
    <row r="550" spans="4:7" x14ac:dyDescent="0.25">
      <c r="D550" s="311">
        <v>7566271</v>
      </c>
      <c r="E550" s="345">
        <v>25.8</v>
      </c>
      <c r="F550" s="345">
        <v>0</v>
      </c>
      <c r="G550" s="345">
        <v>0</v>
      </c>
    </row>
    <row r="551" spans="4:7" x14ac:dyDescent="0.25">
      <c r="D551" s="311">
        <v>7630615</v>
      </c>
      <c r="E551" s="345">
        <v>130.19999999999999</v>
      </c>
      <c r="F551" s="345">
        <v>282</v>
      </c>
      <c r="G551" s="345">
        <v>0</v>
      </c>
    </row>
    <row r="552" spans="4:7" x14ac:dyDescent="0.25">
      <c r="D552" s="311">
        <v>7634996</v>
      </c>
      <c r="E552" s="345">
        <v>0.4</v>
      </c>
      <c r="F552" s="345">
        <v>0</v>
      </c>
      <c r="G552" s="345">
        <v>0</v>
      </c>
    </row>
    <row r="553" spans="4:7" x14ac:dyDescent="0.25">
      <c r="D553" s="311">
        <v>7653065</v>
      </c>
      <c r="E553" s="345">
        <v>5</v>
      </c>
      <c r="F553" s="345">
        <v>0</v>
      </c>
      <c r="G553" s="345">
        <v>14</v>
      </c>
    </row>
    <row r="554" spans="4:7" x14ac:dyDescent="0.25">
      <c r="D554" s="311">
        <v>7663376</v>
      </c>
      <c r="E554" s="345">
        <v>9.5</v>
      </c>
      <c r="F554" s="345">
        <v>16</v>
      </c>
      <c r="G554" s="345">
        <v>0</v>
      </c>
    </row>
    <row r="555" spans="4:7" x14ac:dyDescent="0.25">
      <c r="D555" s="311">
        <v>7702105</v>
      </c>
      <c r="E555" s="345">
        <v>4.9000000000000004</v>
      </c>
      <c r="F555" s="345">
        <v>0</v>
      </c>
      <c r="G555" s="345">
        <v>0</v>
      </c>
    </row>
    <row r="556" spans="4:7" x14ac:dyDescent="0.25">
      <c r="D556" s="311">
        <v>7741294</v>
      </c>
      <c r="E556" s="345">
        <v>4</v>
      </c>
      <c r="F556" s="345">
        <v>0</v>
      </c>
      <c r="G556" s="345">
        <v>0</v>
      </c>
    </row>
    <row r="557" spans="4:7" x14ac:dyDescent="0.25">
      <c r="D557" s="311">
        <v>7790627</v>
      </c>
      <c r="E557" s="345">
        <v>4.74</v>
      </c>
      <c r="F557" s="345">
        <v>0</v>
      </c>
      <c r="G557" s="345">
        <v>9</v>
      </c>
    </row>
    <row r="558" spans="4:7" x14ac:dyDescent="0.25">
      <c r="D558" s="311">
        <v>7805491</v>
      </c>
      <c r="E558" s="345">
        <v>3.5</v>
      </c>
      <c r="F558" s="345">
        <v>0</v>
      </c>
      <c r="G558" s="345">
        <v>0</v>
      </c>
    </row>
    <row r="559" spans="4:7" x14ac:dyDescent="0.25">
      <c r="D559" s="311">
        <v>7832444</v>
      </c>
      <c r="E559" s="345">
        <v>6.89</v>
      </c>
      <c r="F559" s="345">
        <v>0</v>
      </c>
      <c r="G559" s="345">
        <v>30</v>
      </c>
    </row>
    <row r="560" spans="4:7" x14ac:dyDescent="0.25">
      <c r="D560" s="311">
        <v>7846871</v>
      </c>
      <c r="E560" s="345">
        <v>4</v>
      </c>
      <c r="F560" s="345">
        <v>0</v>
      </c>
      <c r="G560" s="345">
        <v>0</v>
      </c>
    </row>
    <row r="561" spans="4:7" x14ac:dyDescent="0.25">
      <c r="D561" s="311">
        <v>7857005</v>
      </c>
      <c r="E561" s="345">
        <v>10.775</v>
      </c>
      <c r="F561" s="345">
        <v>23</v>
      </c>
      <c r="G561" s="345">
        <v>0</v>
      </c>
    </row>
    <row r="562" spans="4:7" x14ac:dyDescent="0.25">
      <c r="D562" s="311">
        <v>7916274</v>
      </c>
      <c r="E562" s="345">
        <v>23</v>
      </c>
      <c r="F562" s="345">
        <v>42</v>
      </c>
      <c r="G562" s="345">
        <v>0</v>
      </c>
    </row>
    <row r="563" spans="4:7" x14ac:dyDescent="0.25">
      <c r="D563" s="311">
        <v>8051895</v>
      </c>
      <c r="E563" s="345">
        <v>6.85</v>
      </c>
      <c r="F563" s="345">
        <v>25</v>
      </c>
      <c r="G563" s="345">
        <v>0</v>
      </c>
    </row>
    <row r="564" spans="4:7" x14ac:dyDescent="0.25">
      <c r="D564" s="311">
        <v>8102124</v>
      </c>
      <c r="E564" s="345">
        <v>1.6</v>
      </c>
      <c r="F564" s="345">
        <v>0</v>
      </c>
      <c r="G564" s="345">
        <v>25</v>
      </c>
    </row>
    <row r="565" spans="4:7" x14ac:dyDescent="0.25">
      <c r="D565" s="311">
        <v>8172268</v>
      </c>
      <c r="E565" s="345">
        <v>10.5</v>
      </c>
      <c r="F565" s="345">
        <v>0</v>
      </c>
      <c r="G565" s="345">
        <v>0</v>
      </c>
    </row>
    <row r="566" spans="4:7" x14ac:dyDescent="0.25">
      <c r="D566" s="311">
        <v>8289298</v>
      </c>
      <c r="E566" s="345">
        <v>2.25</v>
      </c>
      <c r="F566" s="345">
        <v>0</v>
      </c>
      <c r="G566" s="345">
        <v>3</v>
      </c>
    </row>
    <row r="567" spans="4:7" x14ac:dyDescent="0.25">
      <c r="D567" s="311">
        <v>8299792</v>
      </c>
      <c r="E567" s="345">
        <v>2.72</v>
      </c>
      <c r="F567" s="345">
        <v>0</v>
      </c>
      <c r="G567" s="345">
        <v>0</v>
      </c>
    </row>
    <row r="568" spans="4:7" x14ac:dyDescent="0.25">
      <c r="D568" s="311">
        <v>8314639</v>
      </c>
      <c r="E568" s="345">
        <v>4.1500000000000004</v>
      </c>
      <c r="F568" s="345">
        <v>0</v>
      </c>
      <c r="G568" s="345">
        <v>0</v>
      </c>
    </row>
    <row r="569" spans="4:7" x14ac:dyDescent="0.25">
      <c r="D569" s="311">
        <v>8338145</v>
      </c>
      <c r="E569" s="345">
        <v>6.13</v>
      </c>
      <c r="F569" s="345">
        <v>5</v>
      </c>
      <c r="G569" s="345">
        <v>0</v>
      </c>
    </row>
    <row r="570" spans="4:7" x14ac:dyDescent="0.25">
      <c r="D570" s="311">
        <v>8350990</v>
      </c>
      <c r="E570" s="345">
        <v>3</v>
      </c>
      <c r="F570" s="345">
        <v>0</v>
      </c>
      <c r="G570" s="345">
        <v>50</v>
      </c>
    </row>
    <row r="571" spans="4:7" x14ac:dyDescent="0.25">
      <c r="D571" s="311">
        <v>8365172</v>
      </c>
      <c r="E571" s="345">
        <v>1.9</v>
      </c>
      <c r="F571" s="345">
        <v>0</v>
      </c>
      <c r="G571" s="345">
        <v>2</v>
      </c>
    </row>
    <row r="572" spans="4:7" x14ac:dyDescent="0.25">
      <c r="D572" s="311">
        <v>8382823</v>
      </c>
      <c r="E572" s="345">
        <v>3</v>
      </c>
      <c r="F572" s="345">
        <v>0</v>
      </c>
      <c r="G572" s="345">
        <v>20</v>
      </c>
    </row>
    <row r="573" spans="4:7" x14ac:dyDescent="0.25">
      <c r="D573" s="311">
        <v>8411392</v>
      </c>
      <c r="E573" s="345">
        <v>6.5</v>
      </c>
      <c r="F573" s="345">
        <v>0</v>
      </c>
      <c r="G573" s="345">
        <v>57</v>
      </c>
    </row>
    <row r="574" spans="4:7" x14ac:dyDescent="0.25">
      <c r="D574" s="311">
        <v>8430922</v>
      </c>
      <c r="E574" s="345">
        <v>2</v>
      </c>
      <c r="F574" s="345">
        <v>0</v>
      </c>
      <c r="G574" s="345">
        <v>3</v>
      </c>
    </row>
    <row r="575" spans="4:7" x14ac:dyDescent="0.25">
      <c r="D575" s="311">
        <v>8504548</v>
      </c>
      <c r="E575" s="345">
        <v>39.799999999999997</v>
      </c>
      <c r="F575" s="345">
        <v>45</v>
      </c>
      <c r="G575" s="345">
        <v>0</v>
      </c>
    </row>
    <row r="576" spans="4:7" x14ac:dyDescent="0.25">
      <c r="D576" s="311">
        <v>8508078</v>
      </c>
      <c r="E576" s="345">
        <v>36.200000000000003</v>
      </c>
      <c r="F576" s="345">
        <v>86</v>
      </c>
      <c r="G576" s="345">
        <v>0</v>
      </c>
    </row>
    <row r="577" spans="4:7" x14ac:dyDescent="0.25">
      <c r="D577" s="311">
        <v>8522302</v>
      </c>
      <c r="E577" s="345">
        <v>2</v>
      </c>
      <c r="F577" s="345">
        <v>0</v>
      </c>
      <c r="G577" s="345">
        <v>0</v>
      </c>
    </row>
    <row r="578" spans="4:7" x14ac:dyDescent="0.25">
      <c r="D578" s="311">
        <v>8615860</v>
      </c>
      <c r="E578" s="345">
        <v>2.7</v>
      </c>
      <c r="F578" s="345">
        <v>0</v>
      </c>
      <c r="G578" s="345">
        <v>0</v>
      </c>
    </row>
    <row r="579" spans="4:7" x14ac:dyDescent="0.25">
      <c r="D579" s="311">
        <v>8635813</v>
      </c>
      <c r="E579" s="345">
        <v>25.6</v>
      </c>
      <c r="F579" s="345">
        <v>67</v>
      </c>
      <c r="G579" s="345">
        <v>0</v>
      </c>
    </row>
    <row r="580" spans="4:7" x14ac:dyDescent="0.25">
      <c r="D580" s="311">
        <v>8849001</v>
      </c>
      <c r="E580" s="345">
        <v>1.8</v>
      </c>
      <c r="F580" s="345">
        <v>0</v>
      </c>
      <c r="G580" s="345">
        <v>0</v>
      </c>
    </row>
    <row r="581" spans="4:7" x14ac:dyDescent="0.25">
      <c r="D581" s="311">
        <v>8877013</v>
      </c>
      <c r="E581" s="345">
        <v>21.31</v>
      </c>
      <c r="F581" s="345">
        <v>42</v>
      </c>
      <c r="G581" s="345">
        <v>0</v>
      </c>
    </row>
    <row r="582" spans="4:7" x14ac:dyDescent="0.25">
      <c r="D582" s="311">
        <v>8891712</v>
      </c>
      <c r="E582" s="345">
        <v>6.5</v>
      </c>
      <c r="F582" s="345">
        <v>11</v>
      </c>
      <c r="G582" s="345">
        <v>0</v>
      </c>
    </row>
    <row r="583" spans="4:7" x14ac:dyDescent="0.25">
      <c r="D583" s="311">
        <v>8902089</v>
      </c>
      <c r="E583" s="345">
        <v>5.3</v>
      </c>
      <c r="F583" s="345">
        <v>0</v>
      </c>
      <c r="G583" s="345">
        <v>0</v>
      </c>
    </row>
    <row r="584" spans="4:7" x14ac:dyDescent="0.25">
      <c r="D584" s="311">
        <v>8936486</v>
      </c>
      <c r="E584" s="345">
        <v>7.2</v>
      </c>
      <c r="F584" s="345">
        <v>10</v>
      </c>
      <c r="G584" s="345">
        <v>0</v>
      </c>
    </row>
    <row r="585" spans="4:7" x14ac:dyDescent="0.25">
      <c r="D585" s="311">
        <v>8946698</v>
      </c>
      <c r="E585" s="345">
        <v>6</v>
      </c>
      <c r="F585" s="345">
        <v>0</v>
      </c>
      <c r="G585" s="345">
        <v>0</v>
      </c>
    </row>
    <row r="586" spans="4:7" x14ac:dyDescent="0.25">
      <c r="D586" s="311">
        <v>8979890</v>
      </c>
      <c r="E586" s="345">
        <v>5.5</v>
      </c>
      <c r="F586" s="345">
        <v>0</v>
      </c>
      <c r="G586" s="345">
        <v>17</v>
      </c>
    </row>
    <row r="587" spans="4:7" x14ac:dyDescent="0.25">
      <c r="D587" s="311">
        <v>8982230</v>
      </c>
      <c r="E587" s="345">
        <v>18</v>
      </c>
      <c r="F587" s="345">
        <v>37</v>
      </c>
      <c r="G587" s="345">
        <v>0</v>
      </c>
    </row>
    <row r="588" spans="4:7" x14ac:dyDescent="0.25">
      <c r="D588" s="311">
        <v>8984742</v>
      </c>
      <c r="E588" s="345">
        <v>1.5</v>
      </c>
      <c r="F588" s="345">
        <v>0</v>
      </c>
      <c r="G588" s="345">
        <v>0</v>
      </c>
    </row>
    <row r="589" spans="4:7" x14ac:dyDescent="0.25">
      <c r="D589" s="311">
        <v>9064643</v>
      </c>
      <c r="E589" s="345">
        <v>7</v>
      </c>
      <c r="F589" s="345">
        <v>72</v>
      </c>
      <c r="G589" s="345">
        <v>0</v>
      </c>
    </row>
    <row r="590" spans="4:7" x14ac:dyDescent="0.25">
      <c r="D590" s="311">
        <v>9097155</v>
      </c>
      <c r="E590" s="345">
        <v>8.9</v>
      </c>
      <c r="F590" s="345">
        <v>0</v>
      </c>
      <c r="G590" s="345">
        <v>0</v>
      </c>
    </row>
    <row r="591" spans="4:7" x14ac:dyDescent="0.25">
      <c r="D591" s="311">
        <v>9142033</v>
      </c>
      <c r="E591" s="345">
        <v>21</v>
      </c>
      <c r="F591" s="345">
        <v>25</v>
      </c>
      <c r="G591" s="345">
        <v>0</v>
      </c>
    </row>
    <row r="592" spans="4:7" x14ac:dyDescent="0.25">
      <c r="D592" s="311">
        <v>9196018</v>
      </c>
      <c r="E592" s="345">
        <v>3.8439999999999999</v>
      </c>
      <c r="F592" s="345">
        <v>0</v>
      </c>
      <c r="G592" s="345">
        <v>0</v>
      </c>
    </row>
    <row r="593" spans="4:7" x14ac:dyDescent="0.25">
      <c r="D593" s="311">
        <v>9199716</v>
      </c>
      <c r="E593" s="345">
        <v>7.48</v>
      </c>
      <c r="F593" s="345">
        <v>0</v>
      </c>
      <c r="G593" s="345">
        <v>0</v>
      </c>
    </row>
    <row r="594" spans="4:7" x14ac:dyDescent="0.25">
      <c r="D594" s="311">
        <v>9223303</v>
      </c>
      <c r="E594" s="345">
        <v>0.4</v>
      </c>
      <c r="F594" s="345">
        <v>0</v>
      </c>
      <c r="G594" s="345">
        <v>0</v>
      </c>
    </row>
    <row r="595" spans="4:7" x14ac:dyDescent="0.25">
      <c r="D595" s="311">
        <v>9223411</v>
      </c>
      <c r="E595" s="345">
        <v>4.05</v>
      </c>
      <c r="F595" s="345">
        <v>4</v>
      </c>
      <c r="G595" s="345">
        <v>0</v>
      </c>
    </row>
    <row r="596" spans="4:7" x14ac:dyDescent="0.25">
      <c r="D596" s="311">
        <v>9264829</v>
      </c>
      <c r="E596" s="345">
        <v>13.95</v>
      </c>
      <c r="F596" s="345">
        <v>16</v>
      </c>
      <c r="G596" s="345">
        <v>0</v>
      </c>
    </row>
    <row r="597" spans="4:7" x14ac:dyDescent="0.25">
      <c r="D597" s="311">
        <v>9268423</v>
      </c>
      <c r="E597" s="345">
        <v>17.399999999999999</v>
      </c>
      <c r="F597" s="345">
        <v>0</v>
      </c>
      <c r="G597" s="345">
        <v>41</v>
      </c>
    </row>
    <row r="598" spans="4:7" x14ac:dyDescent="0.25">
      <c r="D598" s="311">
        <v>9328941</v>
      </c>
      <c r="E598" s="345">
        <v>6.78</v>
      </c>
      <c r="F598" s="345">
        <v>9</v>
      </c>
      <c r="G598" s="345">
        <v>0</v>
      </c>
    </row>
    <row r="599" spans="4:7" x14ac:dyDescent="0.25">
      <c r="D599" s="311">
        <v>9379121</v>
      </c>
      <c r="E599" s="345">
        <v>9</v>
      </c>
      <c r="F599" s="345">
        <v>0</v>
      </c>
      <c r="G599" s="345">
        <v>0</v>
      </c>
    </row>
    <row r="600" spans="4:7" x14ac:dyDescent="0.25">
      <c r="D600" s="311">
        <v>9445282</v>
      </c>
      <c r="E600" s="345">
        <v>37</v>
      </c>
      <c r="F600" s="345">
        <v>70</v>
      </c>
      <c r="G600" s="345">
        <v>0</v>
      </c>
    </row>
    <row r="601" spans="4:7" x14ac:dyDescent="0.25">
      <c r="D601" s="311">
        <v>9459250</v>
      </c>
      <c r="E601" s="345">
        <v>4.22</v>
      </c>
      <c r="F601" s="345">
        <v>0</v>
      </c>
      <c r="G601" s="345">
        <v>20</v>
      </c>
    </row>
    <row r="602" spans="4:7" x14ac:dyDescent="0.25">
      <c r="D602" s="311">
        <v>9478716</v>
      </c>
      <c r="E602" s="345">
        <v>0.54</v>
      </c>
      <c r="F602" s="345">
        <v>0</v>
      </c>
      <c r="G602" s="345">
        <v>0</v>
      </c>
    </row>
    <row r="603" spans="4:7" x14ac:dyDescent="0.25">
      <c r="D603" s="311">
        <v>9503685</v>
      </c>
      <c r="E603" s="345">
        <v>0.6</v>
      </c>
      <c r="F603" s="345">
        <v>0</v>
      </c>
      <c r="G603" s="345">
        <v>0</v>
      </c>
    </row>
    <row r="604" spans="4:7" x14ac:dyDescent="0.25">
      <c r="D604" s="311">
        <v>9554713</v>
      </c>
      <c r="E604" s="345">
        <v>14</v>
      </c>
      <c r="F604" s="345">
        <v>0</v>
      </c>
      <c r="G604" s="345">
        <v>0</v>
      </c>
    </row>
    <row r="605" spans="4:7" x14ac:dyDescent="0.25">
      <c r="D605" s="311">
        <v>9577077</v>
      </c>
      <c r="E605" s="345">
        <v>6.7700000000000005</v>
      </c>
      <c r="F605" s="345">
        <v>0</v>
      </c>
      <c r="G605" s="345">
        <v>0</v>
      </c>
    </row>
    <row r="606" spans="4:7" x14ac:dyDescent="0.25">
      <c r="D606" s="311">
        <v>9583114</v>
      </c>
      <c r="E606" s="345">
        <v>2.6</v>
      </c>
      <c r="F606" s="345">
        <v>0</v>
      </c>
      <c r="G606" s="345">
        <v>0</v>
      </c>
    </row>
    <row r="607" spans="4:7" x14ac:dyDescent="0.25">
      <c r="D607" s="311">
        <v>9593192</v>
      </c>
      <c r="E607" s="345">
        <v>34.5</v>
      </c>
      <c r="F607" s="345">
        <v>84</v>
      </c>
      <c r="G607" s="345">
        <v>0</v>
      </c>
    </row>
    <row r="608" spans="4:7" x14ac:dyDescent="0.25">
      <c r="D608" s="311">
        <v>9608144</v>
      </c>
      <c r="E608" s="345">
        <v>1.9</v>
      </c>
      <c r="F608" s="345">
        <v>0</v>
      </c>
      <c r="G608" s="345">
        <v>1</v>
      </c>
    </row>
    <row r="609" spans="4:7" x14ac:dyDescent="0.25">
      <c r="D609" s="311">
        <v>9659243</v>
      </c>
      <c r="E609" s="345">
        <v>7.5</v>
      </c>
      <c r="F609" s="345">
        <v>0</v>
      </c>
      <c r="G609" s="345">
        <v>0</v>
      </c>
    </row>
    <row r="610" spans="4:7" x14ac:dyDescent="0.25">
      <c r="D610" s="311">
        <v>9666094</v>
      </c>
      <c r="E610" s="345">
        <v>7</v>
      </c>
      <c r="F610" s="345">
        <v>0</v>
      </c>
      <c r="G610" s="345">
        <v>0</v>
      </c>
    </row>
    <row r="611" spans="4:7" x14ac:dyDescent="0.25">
      <c r="D611" s="311">
        <v>9684449</v>
      </c>
      <c r="E611" s="345">
        <v>1.5</v>
      </c>
      <c r="F611" s="345">
        <v>0</v>
      </c>
      <c r="G611" s="345">
        <v>0</v>
      </c>
    </row>
    <row r="612" spans="4:7" x14ac:dyDescent="0.25">
      <c r="D612" s="311">
        <v>9688838</v>
      </c>
      <c r="E612" s="345">
        <v>64</v>
      </c>
      <c r="F612" s="345">
        <v>124</v>
      </c>
      <c r="G612" s="345">
        <v>0</v>
      </c>
    </row>
    <row r="613" spans="4:7" x14ac:dyDescent="0.25">
      <c r="D613" s="311">
        <v>9735411</v>
      </c>
      <c r="E613" s="345">
        <v>31.15</v>
      </c>
      <c r="F613" s="345">
        <v>0</v>
      </c>
      <c r="G613" s="345">
        <v>0</v>
      </c>
    </row>
    <row r="614" spans="4:7" x14ac:dyDescent="0.25">
      <c r="D614" s="311">
        <v>9767213</v>
      </c>
      <c r="E614" s="345">
        <v>4.7</v>
      </c>
      <c r="F614" s="345">
        <v>0</v>
      </c>
      <c r="G614" s="345">
        <v>12</v>
      </c>
    </row>
    <row r="615" spans="4:7" x14ac:dyDescent="0.25">
      <c r="D615" s="311">
        <v>9775815</v>
      </c>
      <c r="E615" s="345">
        <v>1.1499999999999999</v>
      </c>
      <c r="F615" s="345">
        <v>0</v>
      </c>
      <c r="G615" s="345">
        <v>0</v>
      </c>
    </row>
    <row r="616" spans="4:7" x14ac:dyDescent="0.25">
      <c r="D616" s="311">
        <v>9870958</v>
      </c>
      <c r="E616" s="345">
        <v>3.3</v>
      </c>
      <c r="F616" s="345">
        <v>0</v>
      </c>
      <c r="G616" s="345">
        <v>9</v>
      </c>
    </row>
    <row r="617" spans="4:7" x14ac:dyDescent="0.25">
      <c r="D617" s="311">
        <v>9924037</v>
      </c>
      <c r="E617" s="345">
        <v>7.3</v>
      </c>
      <c r="F617" s="345">
        <v>10</v>
      </c>
      <c r="G617" s="345">
        <v>0</v>
      </c>
    </row>
    <row r="618" spans="4:7" x14ac:dyDescent="0.25">
      <c r="D618" s="311">
        <v>9924639</v>
      </c>
      <c r="E618" s="345">
        <v>16.38</v>
      </c>
      <c r="F618" s="345">
        <v>0</v>
      </c>
      <c r="G618" s="345">
        <v>11</v>
      </c>
    </row>
    <row r="619" spans="4:7" x14ac:dyDescent="0.25">
      <c r="D619" s="311">
        <v>9940787</v>
      </c>
      <c r="E619" s="345">
        <v>10.65</v>
      </c>
      <c r="F619" s="345">
        <v>0</v>
      </c>
      <c r="G619" s="345">
        <v>0</v>
      </c>
    </row>
    <row r="620" spans="4:7" x14ac:dyDescent="0.25">
      <c r="D620" s="311">
        <v>9949795</v>
      </c>
      <c r="E620" s="345">
        <v>2.75</v>
      </c>
      <c r="F620" s="345">
        <v>0</v>
      </c>
      <c r="G620" s="345">
        <v>0</v>
      </c>
    </row>
    <row r="621" spans="4:7" x14ac:dyDescent="0.25">
      <c r="D621" s="311" t="s">
        <v>1153</v>
      </c>
      <c r="E621" s="345">
        <v>20.7</v>
      </c>
      <c r="F621" s="345">
        <v>18</v>
      </c>
      <c r="G621" s="345">
        <v>8</v>
      </c>
    </row>
    <row r="622" spans="4:7" x14ac:dyDescent="0.25">
      <c r="D622" s="311" t="s">
        <v>1808</v>
      </c>
      <c r="E622" s="345">
        <v>2846.7489999999993</v>
      </c>
      <c r="F622" s="345">
        <v>3786</v>
      </c>
      <c r="G622" s="345">
        <v>1238</v>
      </c>
    </row>
  </sheetData>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01"/>
  <sheetViews>
    <sheetView workbookViewId="0">
      <pane xSplit="4" ySplit="3" topLeftCell="E4" activePane="bottomRight" state="frozen"/>
      <selection pane="topRight" activeCell="E1" sqref="E1"/>
      <selection pane="bottomLeft" activeCell="A4" sqref="A4"/>
      <selection pane="bottomRight" activeCell="F4" sqref="F4"/>
    </sheetView>
  </sheetViews>
  <sheetFormatPr defaultRowHeight="15" x14ac:dyDescent="0.25"/>
  <cols>
    <col min="4" max="4" width="14.7109375" bestFit="1" customWidth="1"/>
  </cols>
  <sheetData>
    <row r="1" spans="1:37" x14ac:dyDescent="0.25">
      <c r="A1" s="313"/>
      <c r="B1" s="313"/>
      <c r="C1" s="313"/>
      <c r="D1" s="313">
        <v>1</v>
      </c>
      <c r="E1" s="313">
        <v>2</v>
      </c>
      <c r="F1" s="313">
        <v>3</v>
      </c>
      <c r="G1" s="313">
        <v>4</v>
      </c>
      <c r="H1" s="313">
        <v>5</v>
      </c>
      <c r="I1" s="313">
        <v>6</v>
      </c>
      <c r="J1" s="313">
        <v>7</v>
      </c>
      <c r="K1" s="313">
        <v>8</v>
      </c>
      <c r="L1" s="313">
        <v>9</v>
      </c>
      <c r="M1" s="313">
        <v>10</v>
      </c>
      <c r="N1" s="313">
        <v>11</v>
      </c>
      <c r="O1" s="313">
        <v>12</v>
      </c>
      <c r="P1" s="313">
        <v>13</v>
      </c>
      <c r="Q1" s="313">
        <v>14</v>
      </c>
      <c r="R1" s="313">
        <v>15</v>
      </c>
      <c r="S1" s="313">
        <v>16</v>
      </c>
      <c r="T1" s="313">
        <v>17</v>
      </c>
      <c r="U1" s="313">
        <v>18</v>
      </c>
      <c r="V1" s="313">
        <v>19</v>
      </c>
      <c r="W1" s="313">
        <v>20</v>
      </c>
      <c r="X1" s="313">
        <v>21</v>
      </c>
      <c r="Y1" s="313">
        <v>22</v>
      </c>
      <c r="Z1" s="313">
        <v>23</v>
      </c>
      <c r="AA1" s="313">
        <v>24</v>
      </c>
      <c r="AB1" s="313">
        <v>25</v>
      </c>
      <c r="AC1" s="313">
        <v>26</v>
      </c>
      <c r="AD1" s="313">
        <v>27</v>
      </c>
      <c r="AE1" s="313">
        <v>28</v>
      </c>
      <c r="AF1" s="313">
        <v>29</v>
      </c>
      <c r="AG1" s="313">
        <v>30</v>
      </c>
      <c r="AH1" s="313">
        <v>31</v>
      </c>
      <c r="AI1" s="313">
        <v>32</v>
      </c>
      <c r="AJ1" s="313">
        <v>33</v>
      </c>
      <c r="AK1" s="313">
        <v>34</v>
      </c>
    </row>
    <row r="2" spans="1:37" ht="15.75" thickBot="1" x14ac:dyDescent="0.3">
      <c r="A2" s="264" t="s">
        <v>1675</v>
      </c>
      <c r="B2" s="264" t="s">
        <v>1676</v>
      </c>
      <c r="C2" s="264" t="s">
        <v>1677</v>
      </c>
      <c r="D2" s="264" t="s">
        <v>1678</v>
      </c>
      <c r="E2" s="264" t="s">
        <v>1765</v>
      </c>
      <c r="F2" s="264" t="s">
        <v>1679</v>
      </c>
      <c r="G2" s="264" t="s">
        <v>1691</v>
      </c>
      <c r="H2" s="264" t="s">
        <v>1692</v>
      </c>
      <c r="I2" s="264" t="s">
        <v>1693</v>
      </c>
      <c r="J2" s="264" t="s">
        <v>1694</v>
      </c>
      <c r="K2" s="264" t="s">
        <v>1695</v>
      </c>
      <c r="L2" s="264" t="s">
        <v>1696</v>
      </c>
      <c r="M2" s="264" t="s">
        <v>1697</v>
      </c>
      <c r="N2" s="264" t="s">
        <v>1698</v>
      </c>
      <c r="O2" s="264" t="s">
        <v>1699</v>
      </c>
      <c r="P2" s="263"/>
      <c r="Q2" s="313"/>
      <c r="R2" s="313" t="s">
        <v>1700</v>
      </c>
      <c r="S2" s="313"/>
      <c r="T2" s="313"/>
      <c r="U2" s="313"/>
      <c r="V2" s="313"/>
      <c r="W2" s="313"/>
      <c r="X2" s="313"/>
      <c r="Y2" s="313"/>
      <c r="Z2" s="263" t="s">
        <v>174</v>
      </c>
      <c r="AA2" s="263"/>
      <c r="AB2" s="263"/>
      <c r="AC2" s="263"/>
      <c r="AD2" s="263"/>
      <c r="AE2" s="266"/>
      <c r="AF2" s="263" t="s">
        <v>1701</v>
      </c>
      <c r="AG2" s="263"/>
      <c r="AH2" s="263"/>
      <c r="AI2" s="263"/>
      <c r="AJ2" s="263"/>
      <c r="AK2" s="267"/>
    </row>
    <row r="3" spans="1:37" ht="41.65" customHeight="1" x14ac:dyDescent="0.25">
      <c r="A3" s="268" t="s">
        <v>40</v>
      </c>
      <c r="B3" s="269" t="s">
        <v>1040</v>
      </c>
      <c r="C3" s="269" t="s">
        <v>1038</v>
      </c>
      <c r="D3" s="269" t="s">
        <v>1039</v>
      </c>
      <c r="E3" s="269" t="s">
        <v>1878</v>
      </c>
      <c r="F3" s="269" t="s">
        <v>1538</v>
      </c>
      <c r="G3" s="271" t="s">
        <v>1702</v>
      </c>
      <c r="H3" s="271" t="s">
        <v>1703</v>
      </c>
      <c r="I3" s="269" t="s">
        <v>1704</v>
      </c>
      <c r="J3" s="269" t="s">
        <v>1705</v>
      </c>
      <c r="K3" s="271" t="s">
        <v>1706</v>
      </c>
      <c r="L3" s="271" t="s">
        <v>1049</v>
      </c>
      <c r="M3" s="269" t="s">
        <v>1050</v>
      </c>
      <c r="N3" s="269" t="s">
        <v>1051</v>
      </c>
      <c r="O3" s="271" t="s">
        <v>1052</v>
      </c>
      <c r="P3" s="352"/>
      <c r="Q3" s="313"/>
      <c r="R3" s="272" t="s">
        <v>1702</v>
      </c>
      <c r="S3" s="272" t="s">
        <v>1703</v>
      </c>
      <c r="T3" s="272" t="s">
        <v>1704</v>
      </c>
      <c r="U3" s="272" t="s">
        <v>1705</v>
      </c>
      <c r="V3" s="272" t="s">
        <v>1706</v>
      </c>
      <c r="W3" s="272" t="s">
        <v>1049</v>
      </c>
      <c r="X3" s="272" t="s">
        <v>1051</v>
      </c>
      <c r="Y3" s="313"/>
      <c r="Z3" s="273" t="s">
        <v>1707</v>
      </c>
      <c r="AA3" s="274" t="s">
        <v>1708</v>
      </c>
      <c r="AB3" s="274" t="s">
        <v>1709</v>
      </c>
      <c r="AC3" s="275" t="s">
        <v>1710</v>
      </c>
      <c r="AD3" s="275" t="s">
        <v>1711</v>
      </c>
      <c r="AE3" s="276"/>
      <c r="AF3" s="273" t="s">
        <v>1707</v>
      </c>
      <c r="AG3" s="274" t="s">
        <v>1708</v>
      </c>
      <c r="AH3" s="274" t="s">
        <v>1709</v>
      </c>
      <c r="AI3" s="275" t="s">
        <v>1710</v>
      </c>
      <c r="AJ3" s="275" t="s">
        <v>1711</v>
      </c>
      <c r="AK3" s="277" t="s">
        <v>1712</v>
      </c>
    </row>
    <row r="4" spans="1:37" x14ac:dyDescent="0.25">
      <c r="A4" s="264" t="s">
        <v>314</v>
      </c>
      <c r="B4" s="264" t="s">
        <v>312</v>
      </c>
      <c r="C4" s="264" t="s">
        <v>1080</v>
      </c>
      <c r="D4" s="264">
        <v>4309907</v>
      </c>
      <c r="E4" s="264" t="s">
        <v>1879</v>
      </c>
      <c r="F4" s="264">
        <v>2018</v>
      </c>
      <c r="G4" s="281">
        <v>3.3</v>
      </c>
      <c r="H4" s="264">
        <v>0.6</v>
      </c>
      <c r="I4" s="282">
        <v>0</v>
      </c>
      <c r="J4" s="281">
        <v>0</v>
      </c>
      <c r="K4" s="281">
        <v>2.7</v>
      </c>
      <c r="L4" s="264">
        <v>0</v>
      </c>
      <c r="M4" s="282">
        <v>12</v>
      </c>
      <c r="N4" s="281">
        <v>0</v>
      </c>
      <c r="O4" s="281"/>
      <c r="P4" s="263"/>
      <c r="Q4" s="313"/>
      <c r="R4" s="284">
        <v>3.3</v>
      </c>
      <c r="S4" s="284">
        <v>0.6</v>
      </c>
      <c r="T4" s="284">
        <v>0</v>
      </c>
      <c r="U4" s="284">
        <v>0</v>
      </c>
      <c r="V4" s="284">
        <v>2.7</v>
      </c>
      <c r="W4" s="284">
        <v>0</v>
      </c>
      <c r="X4" s="284">
        <v>0</v>
      </c>
      <c r="Y4" s="313"/>
      <c r="Z4" s="285">
        <v>2007485.3544629016</v>
      </c>
      <c r="AA4" s="286">
        <v>0</v>
      </c>
      <c r="AB4" s="287">
        <v>147220.61538461538</v>
      </c>
      <c r="AC4" s="288">
        <v>0</v>
      </c>
      <c r="AD4" s="289">
        <v>2154705.9698475171</v>
      </c>
      <c r="AE4" s="266"/>
      <c r="AF4" s="285">
        <v>0</v>
      </c>
      <c r="AG4" s="286">
        <v>0</v>
      </c>
      <c r="AH4" s="286">
        <v>0</v>
      </c>
      <c r="AI4" s="290">
        <v>0</v>
      </c>
      <c r="AJ4" s="289">
        <v>0</v>
      </c>
      <c r="AK4" s="291">
        <v>2154705.9698475171</v>
      </c>
    </row>
    <row r="5" spans="1:37" x14ac:dyDescent="0.25">
      <c r="A5" s="264" t="s">
        <v>1092</v>
      </c>
      <c r="B5" s="264" t="s">
        <v>776</v>
      </c>
      <c r="C5" s="264" t="s">
        <v>1091</v>
      </c>
      <c r="D5" s="264">
        <v>5903063</v>
      </c>
      <c r="E5" s="264" t="s">
        <v>1879</v>
      </c>
      <c r="F5" s="264">
        <v>2018</v>
      </c>
      <c r="G5" s="281">
        <v>1</v>
      </c>
      <c r="H5" s="264">
        <v>1</v>
      </c>
      <c r="I5" s="282">
        <v>0</v>
      </c>
      <c r="J5" s="281">
        <v>0</v>
      </c>
      <c r="K5" s="281">
        <v>0</v>
      </c>
      <c r="L5" s="264">
        <v>0</v>
      </c>
      <c r="M5" s="282">
        <v>13</v>
      </c>
      <c r="N5" s="281">
        <v>0</v>
      </c>
      <c r="O5" s="281"/>
      <c r="P5" s="263"/>
      <c r="Q5" s="313"/>
      <c r="R5" s="284">
        <v>1</v>
      </c>
      <c r="S5" s="284">
        <v>1</v>
      </c>
      <c r="T5" s="284">
        <v>0</v>
      </c>
      <c r="U5" s="284">
        <v>0</v>
      </c>
      <c r="V5" s="284">
        <v>0</v>
      </c>
      <c r="W5" s="284">
        <v>0</v>
      </c>
      <c r="X5" s="284">
        <v>0</v>
      </c>
      <c r="Y5" s="313"/>
      <c r="Z5" s="285">
        <v>608328.89529178839</v>
      </c>
      <c r="AA5" s="286">
        <v>0</v>
      </c>
      <c r="AB5" s="287">
        <v>44612.307692307695</v>
      </c>
      <c r="AC5" s="288">
        <v>0</v>
      </c>
      <c r="AD5" s="289">
        <v>652941.20298409613</v>
      </c>
      <c r="AE5" s="266"/>
      <c r="AF5" s="285">
        <v>0</v>
      </c>
      <c r="AG5" s="286">
        <v>0</v>
      </c>
      <c r="AH5" s="286">
        <v>0</v>
      </c>
      <c r="AI5" s="290">
        <v>0</v>
      </c>
      <c r="AJ5" s="289">
        <v>0</v>
      </c>
      <c r="AK5" s="291">
        <v>652941.20298409613</v>
      </c>
    </row>
    <row r="6" spans="1:37" x14ac:dyDescent="0.25">
      <c r="A6" s="264" t="s">
        <v>1075</v>
      </c>
      <c r="B6" s="264" t="s">
        <v>776</v>
      </c>
      <c r="C6" s="264" t="s">
        <v>1074</v>
      </c>
      <c r="D6" s="264">
        <v>2886510</v>
      </c>
      <c r="E6" s="264" t="s">
        <v>1879</v>
      </c>
      <c r="F6" s="264">
        <v>2018</v>
      </c>
      <c r="G6" s="281">
        <v>3.25</v>
      </c>
      <c r="H6" s="264">
        <v>2.35</v>
      </c>
      <c r="I6" s="282">
        <v>0</v>
      </c>
      <c r="J6" s="281">
        <v>0</v>
      </c>
      <c r="K6" s="281">
        <v>0.9</v>
      </c>
      <c r="L6" s="264">
        <v>0</v>
      </c>
      <c r="M6" s="282">
        <v>36</v>
      </c>
      <c r="N6" s="281">
        <v>0</v>
      </c>
      <c r="O6" s="281"/>
      <c r="P6" s="263"/>
      <c r="Q6" s="313"/>
      <c r="R6" s="284">
        <v>3.25</v>
      </c>
      <c r="S6" s="284">
        <v>2.35</v>
      </c>
      <c r="T6" s="284">
        <v>0</v>
      </c>
      <c r="U6" s="284">
        <v>0</v>
      </c>
      <c r="V6" s="284">
        <v>0.9</v>
      </c>
      <c r="W6" s="284">
        <v>0</v>
      </c>
      <c r="X6" s="284">
        <v>0</v>
      </c>
      <c r="Y6" s="313"/>
      <c r="Z6" s="285">
        <v>1977068.9096983122</v>
      </c>
      <c r="AA6" s="286">
        <v>0</v>
      </c>
      <c r="AB6" s="287">
        <v>144990</v>
      </c>
      <c r="AC6" s="288">
        <v>0</v>
      </c>
      <c r="AD6" s="289">
        <v>2122058.9096983122</v>
      </c>
      <c r="AE6" s="266"/>
      <c r="AF6" s="285">
        <v>0</v>
      </c>
      <c r="AG6" s="286">
        <v>0</v>
      </c>
      <c r="AH6" s="286">
        <v>0</v>
      </c>
      <c r="AI6" s="290">
        <v>0</v>
      </c>
      <c r="AJ6" s="289">
        <v>0</v>
      </c>
      <c r="AK6" s="291">
        <v>2122058.9096983122</v>
      </c>
    </row>
    <row r="7" spans="1:37" x14ac:dyDescent="0.25">
      <c r="A7" s="264" t="s">
        <v>740</v>
      </c>
      <c r="B7" s="264" t="s">
        <v>733</v>
      </c>
      <c r="C7" s="264" t="s">
        <v>1074</v>
      </c>
      <c r="D7" s="264">
        <v>8849001</v>
      </c>
      <c r="E7" s="264" t="s">
        <v>1879</v>
      </c>
      <c r="F7" s="264">
        <v>2018</v>
      </c>
      <c r="G7" s="281">
        <v>1.8</v>
      </c>
      <c r="H7" s="264">
        <v>1.8</v>
      </c>
      <c r="I7" s="282">
        <v>0</v>
      </c>
      <c r="J7" s="281">
        <v>0</v>
      </c>
      <c r="K7" s="281">
        <v>0</v>
      </c>
      <c r="L7" s="264">
        <v>0</v>
      </c>
      <c r="M7" s="282">
        <v>16</v>
      </c>
      <c r="N7" s="281">
        <v>0</v>
      </c>
      <c r="O7" s="281"/>
      <c r="P7" s="263"/>
      <c r="Q7" s="313"/>
      <c r="R7" s="284">
        <v>1.8</v>
      </c>
      <c r="S7" s="284">
        <v>1.8</v>
      </c>
      <c r="T7" s="284">
        <v>0</v>
      </c>
      <c r="U7" s="284">
        <v>0</v>
      </c>
      <c r="V7" s="284">
        <v>0</v>
      </c>
      <c r="W7" s="284">
        <v>0</v>
      </c>
      <c r="X7" s="284">
        <v>0</v>
      </c>
      <c r="Y7" s="313"/>
      <c r="Z7" s="285">
        <v>1094992.0115252191</v>
      </c>
      <c r="AA7" s="286">
        <v>0</v>
      </c>
      <c r="AB7" s="287">
        <v>80302.153846153858</v>
      </c>
      <c r="AC7" s="288">
        <v>0</v>
      </c>
      <c r="AD7" s="289">
        <v>1175294.1653713728</v>
      </c>
      <c r="AE7" s="266"/>
      <c r="AF7" s="285">
        <v>0</v>
      </c>
      <c r="AG7" s="286">
        <v>0</v>
      </c>
      <c r="AH7" s="286">
        <v>0</v>
      </c>
      <c r="AI7" s="290">
        <v>0</v>
      </c>
      <c r="AJ7" s="289">
        <v>0</v>
      </c>
      <c r="AK7" s="291">
        <v>1175294.1653713728</v>
      </c>
    </row>
    <row r="8" spans="1:37" x14ac:dyDescent="0.25">
      <c r="A8" s="264" t="s">
        <v>594</v>
      </c>
      <c r="B8" s="264" t="s">
        <v>1056</v>
      </c>
      <c r="C8" s="264" t="s">
        <v>1054</v>
      </c>
      <c r="D8" s="264">
        <v>1201932</v>
      </c>
      <c r="E8" s="264" t="s">
        <v>1879</v>
      </c>
      <c r="F8" s="264">
        <v>2018</v>
      </c>
      <c r="G8" s="281">
        <v>2.4</v>
      </c>
      <c r="H8" s="264">
        <v>1.9</v>
      </c>
      <c r="I8" s="282">
        <v>0</v>
      </c>
      <c r="J8" s="281">
        <v>0</v>
      </c>
      <c r="K8" s="281">
        <v>0.5</v>
      </c>
      <c r="L8" s="264">
        <v>0</v>
      </c>
      <c r="M8" s="282">
        <v>10</v>
      </c>
      <c r="N8" s="281">
        <v>0</v>
      </c>
      <c r="O8" s="281"/>
      <c r="P8" s="263"/>
      <c r="Q8" s="313"/>
      <c r="R8" s="284">
        <v>2.4</v>
      </c>
      <c r="S8" s="284">
        <v>1.9</v>
      </c>
      <c r="T8" s="284">
        <v>0</v>
      </c>
      <c r="U8" s="284">
        <v>0</v>
      </c>
      <c r="V8" s="284">
        <v>0.5</v>
      </c>
      <c r="W8" s="284">
        <v>0</v>
      </c>
      <c r="X8" s="284">
        <v>0</v>
      </c>
      <c r="Y8" s="313"/>
      <c r="Z8" s="285">
        <v>1459989.3487002922</v>
      </c>
      <c r="AA8" s="286">
        <v>0</v>
      </c>
      <c r="AB8" s="287">
        <v>107069.53846153847</v>
      </c>
      <c r="AC8" s="288">
        <v>0</v>
      </c>
      <c r="AD8" s="289">
        <v>1567058.8871618307</v>
      </c>
      <c r="AE8" s="266"/>
      <c r="AF8" s="285">
        <v>0</v>
      </c>
      <c r="AG8" s="286">
        <v>0</v>
      </c>
      <c r="AH8" s="286">
        <v>0</v>
      </c>
      <c r="AI8" s="290">
        <v>0</v>
      </c>
      <c r="AJ8" s="289">
        <v>0</v>
      </c>
      <c r="AK8" s="291">
        <v>1567058.8871618307</v>
      </c>
    </row>
    <row r="9" spans="1:37" x14ac:dyDescent="0.25">
      <c r="A9" s="264" t="s">
        <v>725</v>
      </c>
      <c r="B9" s="264" t="s">
        <v>718</v>
      </c>
      <c r="C9" s="264" t="s">
        <v>1084</v>
      </c>
      <c r="D9" s="264">
        <v>5133257</v>
      </c>
      <c r="E9" s="264" t="s">
        <v>1879</v>
      </c>
      <c r="F9" s="264">
        <v>2018</v>
      </c>
      <c r="G9" s="281">
        <v>1.82</v>
      </c>
      <c r="H9" s="264">
        <v>0.95</v>
      </c>
      <c r="I9" s="282">
        <v>0</v>
      </c>
      <c r="J9" s="281">
        <v>0</v>
      </c>
      <c r="K9" s="281">
        <v>0.87</v>
      </c>
      <c r="L9" s="264">
        <v>0</v>
      </c>
      <c r="M9" s="282">
        <v>36</v>
      </c>
      <c r="N9" s="281">
        <v>0</v>
      </c>
      <c r="O9" s="281"/>
      <c r="P9" s="263"/>
      <c r="Q9" s="313"/>
      <c r="R9" s="284">
        <v>1.82</v>
      </c>
      <c r="S9" s="284">
        <v>0.95</v>
      </c>
      <c r="T9" s="284">
        <v>0</v>
      </c>
      <c r="U9" s="284">
        <v>0</v>
      </c>
      <c r="V9" s="284">
        <v>0.87</v>
      </c>
      <c r="W9" s="284">
        <v>0</v>
      </c>
      <c r="X9" s="284">
        <v>0</v>
      </c>
      <c r="Y9" s="313"/>
      <c r="Z9" s="285">
        <v>1107158.5894310549</v>
      </c>
      <c r="AA9" s="286">
        <v>0</v>
      </c>
      <c r="AB9" s="287">
        <v>81194.400000000009</v>
      </c>
      <c r="AC9" s="288">
        <v>0</v>
      </c>
      <c r="AD9" s="289">
        <v>1188352.9894310548</v>
      </c>
      <c r="AE9" s="266"/>
      <c r="AF9" s="285">
        <v>0</v>
      </c>
      <c r="AG9" s="286">
        <v>0</v>
      </c>
      <c r="AH9" s="286">
        <v>0</v>
      </c>
      <c r="AI9" s="290">
        <v>0</v>
      </c>
      <c r="AJ9" s="289">
        <v>0</v>
      </c>
      <c r="AK9" s="291">
        <v>1188352.9894310548</v>
      </c>
    </row>
    <row r="10" spans="1:37" x14ac:dyDescent="0.25">
      <c r="A10" s="264" t="s">
        <v>1117</v>
      </c>
      <c r="B10" s="264" t="s">
        <v>1118</v>
      </c>
      <c r="C10" s="264" t="s">
        <v>1116</v>
      </c>
      <c r="D10" s="264">
        <v>9608144</v>
      </c>
      <c r="E10" s="264" t="s">
        <v>1879</v>
      </c>
      <c r="F10" s="264">
        <v>2018</v>
      </c>
      <c r="G10" s="281">
        <v>1.9</v>
      </c>
      <c r="H10" s="264">
        <v>1.9</v>
      </c>
      <c r="I10" s="282">
        <v>0</v>
      </c>
      <c r="J10" s="281">
        <v>0</v>
      </c>
      <c r="K10" s="281">
        <v>0</v>
      </c>
      <c r="L10" s="264">
        <v>0</v>
      </c>
      <c r="M10" s="282">
        <v>18</v>
      </c>
      <c r="N10" s="281">
        <v>1</v>
      </c>
      <c r="O10" s="281"/>
      <c r="P10" s="263"/>
      <c r="Q10" s="313"/>
      <c r="R10" s="284">
        <v>1.9</v>
      </c>
      <c r="S10" s="284">
        <v>1.9</v>
      </c>
      <c r="T10" s="284">
        <v>0</v>
      </c>
      <c r="U10" s="284">
        <v>0</v>
      </c>
      <c r="V10" s="284">
        <v>0</v>
      </c>
      <c r="W10" s="284">
        <v>0</v>
      </c>
      <c r="X10" s="284">
        <v>1</v>
      </c>
      <c r="Y10" s="313"/>
      <c r="Z10" s="285">
        <v>1155824.9010543979</v>
      </c>
      <c r="AA10" s="286">
        <v>0</v>
      </c>
      <c r="AB10" s="287">
        <v>84763.38461538461</v>
      </c>
      <c r="AC10" s="288">
        <v>0</v>
      </c>
      <c r="AD10" s="289">
        <v>1240588.2856697824</v>
      </c>
      <c r="AE10" s="266"/>
      <c r="AF10" s="285">
        <v>0</v>
      </c>
      <c r="AG10" s="286">
        <v>0</v>
      </c>
      <c r="AH10" s="286">
        <v>0</v>
      </c>
      <c r="AI10" s="290">
        <v>0</v>
      </c>
      <c r="AJ10" s="289">
        <v>0</v>
      </c>
      <c r="AK10" s="291">
        <v>1240588.2856697824</v>
      </c>
    </row>
    <row r="11" spans="1:37" x14ac:dyDescent="0.25">
      <c r="A11" s="264" t="s">
        <v>294</v>
      </c>
      <c r="B11" s="264" t="s">
        <v>290</v>
      </c>
      <c r="C11" s="264" t="s">
        <v>1097</v>
      </c>
      <c r="D11" s="264">
        <v>6565086</v>
      </c>
      <c r="E11" s="264" t="s">
        <v>1879</v>
      </c>
      <c r="F11" s="264">
        <v>2018</v>
      </c>
      <c r="G11" s="281">
        <v>1.39</v>
      </c>
      <c r="H11" s="264">
        <v>1.39</v>
      </c>
      <c r="I11" s="282">
        <v>0</v>
      </c>
      <c r="J11" s="281">
        <v>0</v>
      </c>
      <c r="K11" s="281">
        <v>0</v>
      </c>
      <c r="L11" s="264">
        <v>0</v>
      </c>
      <c r="M11" s="282">
        <v>25</v>
      </c>
      <c r="N11" s="281">
        <v>0</v>
      </c>
      <c r="O11" s="281"/>
      <c r="P11" s="263"/>
      <c r="Q11" s="313"/>
      <c r="R11" s="284">
        <v>1.39</v>
      </c>
      <c r="S11" s="284">
        <v>1.39</v>
      </c>
      <c r="T11" s="284">
        <v>0</v>
      </c>
      <c r="U11" s="284">
        <v>0</v>
      </c>
      <c r="V11" s="284">
        <v>0</v>
      </c>
      <c r="W11" s="284">
        <v>0</v>
      </c>
      <c r="X11" s="284">
        <v>0</v>
      </c>
      <c r="Y11" s="313"/>
      <c r="Z11" s="285">
        <v>845577.16445558576</v>
      </c>
      <c r="AA11" s="286">
        <v>0</v>
      </c>
      <c r="AB11" s="287">
        <v>62011.107692307691</v>
      </c>
      <c r="AC11" s="288">
        <v>0</v>
      </c>
      <c r="AD11" s="289">
        <v>907588.27214789344</v>
      </c>
      <c r="AE11" s="266"/>
      <c r="AF11" s="285">
        <v>0</v>
      </c>
      <c r="AG11" s="286">
        <v>0</v>
      </c>
      <c r="AH11" s="286">
        <v>0</v>
      </c>
      <c r="AI11" s="290">
        <v>0</v>
      </c>
      <c r="AJ11" s="289">
        <v>0</v>
      </c>
      <c r="AK11" s="291">
        <v>907588.27214789344</v>
      </c>
    </row>
    <row r="12" spans="1:37" x14ac:dyDescent="0.25">
      <c r="A12" s="264" t="s">
        <v>1066</v>
      </c>
      <c r="B12" s="264" t="s">
        <v>1067</v>
      </c>
      <c r="C12" s="264" t="s">
        <v>1089</v>
      </c>
      <c r="D12" s="264">
        <v>5700178</v>
      </c>
      <c r="E12" s="264" t="s">
        <v>1879</v>
      </c>
      <c r="F12" s="264">
        <v>2018</v>
      </c>
      <c r="G12" s="281">
        <v>1.25</v>
      </c>
      <c r="H12" s="264">
        <v>0.75</v>
      </c>
      <c r="I12" s="282">
        <v>0</v>
      </c>
      <c r="J12" s="281">
        <v>0</v>
      </c>
      <c r="K12" s="281">
        <v>0.5</v>
      </c>
      <c r="L12" s="264">
        <v>0</v>
      </c>
      <c r="M12" s="282">
        <v>3</v>
      </c>
      <c r="N12" s="281">
        <v>0</v>
      </c>
      <c r="O12" s="281"/>
      <c r="P12" s="263"/>
      <c r="Q12" s="313"/>
      <c r="R12" s="284">
        <v>1.25</v>
      </c>
      <c r="S12" s="284">
        <v>0.75</v>
      </c>
      <c r="T12" s="284">
        <v>0</v>
      </c>
      <c r="U12" s="284">
        <v>0</v>
      </c>
      <c r="V12" s="284">
        <v>0.5</v>
      </c>
      <c r="W12" s="284">
        <v>0</v>
      </c>
      <c r="X12" s="284">
        <v>0</v>
      </c>
      <c r="Y12" s="313"/>
      <c r="Z12" s="285">
        <v>760411.11911473551</v>
      </c>
      <c r="AA12" s="286">
        <v>0</v>
      </c>
      <c r="AB12" s="287">
        <v>55765.384615384617</v>
      </c>
      <c r="AC12" s="288">
        <v>0</v>
      </c>
      <c r="AD12" s="289">
        <v>816176.50373012014</v>
      </c>
      <c r="AE12" s="266"/>
      <c r="AF12" s="285">
        <v>0</v>
      </c>
      <c r="AG12" s="286">
        <v>0</v>
      </c>
      <c r="AH12" s="286">
        <v>0</v>
      </c>
      <c r="AI12" s="290">
        <v>0</v>
      </c>
      <c r="AJ12" s="289">
        <v>0</v>
      </c>
      <c r="AK12" s="291">
        <v>816176.50373012014</v>
      </c>
    </row>
    <row r="13" spans="1:37" x14ac:dyDescent="0.25">
      <c r="A13" s="264" t="s">
        <v>327</v>
      </c>
      <c r="B13" s="264" t="s">
        <v>312</v>
      </c>
      <c r="C13" s="264" t="s">
        <v>1120</v>
      </c>
      <c r="D13" s="264">
        <v>9684449</v>
      </c>
      <c r="E13" s="264" t="s">
        <v>1781</v>
      </c>
      <c r="F13" s="264">
        <v>2018</v>
      </c>
      <c r="G13" s="281">
        <v>1.5</v>
      </c>
      <c r="H13" s="264">
        <v>1</v>
      </c>
      <c r="I13" s="282">
        <v>0</v>
      </c>
      <c r="J13" s="281">
        <v>0</v>
      </c>
      <c r="K13" s="281">
        <v>0.5</v>
      </c>
      <c r="L13" s="264">
        <v>0</v>
      </c>
      <c r="M13" s="282">
        <v>10</v>
      </c>
      <c r="N13" s="281">
        <v>0</v>
      </c>
      <c r="O13" s="281"/>
      <c r="P13" s="263"/>
      <c r="Q13" s="313"/>
      <c r="R13" s="284">
        <v>1.5</v>
      </c>
      <c r="S13" s="284">
        <v>1</v>
      </c>
      <c r="T13" s="284">
        <v>0</v>
      </c>
      <c r="U13" s="284">
        <v>0</v>
      </c>
      <c r="V13" s="284">
        <v>0.5</v>
      </c>
      <c r="W13" s="284">
        <v>0</v>
      </c>
      <c r="X13" s="284">
        <v>0</v>
      </c>
      <c r="Y13" s="313"/>
      <c r="Z13" s="285">
        <v>912493.34293768252</v>
      </c>
      <c r="AA13" s="286">
        <v>0</v>
      </c>
      <c r="AB13" s="287">
        <v>66918.461538461546</v>
      </c>
      <c r="AC13" s="288">
        <v>0</v>
      </c>
      <c r="AD13" s="289">
        <v>979411.80447614403</v>
      </c>
      <c r="AE13" s="266"/>
      <c r="AF13" s="285">
        <v>0</v>
      </c>
      <c r="AG13" s="286">
        <v>0</v>
      </c>
      <c r="AH13" s="286">
        <v>0</v>
      </c>
      <c r="AI13" s="290">
        <v>0</v>
      </c>
      <c r="AJ13" s="289">
        <v>0</v>
      </c>
      <c r="AK13" s="291">
        <v>979411.80447614403</v>
      </c>
    </row>
    <row r="14" spans="1:37" x14ac:dyDescent="0.25">
      <c r="A14" s="264" t="s">
        <v>407</v>
      </c>
      <c r="B14" s="264" t="s">
        <v>1071</v>
      </c>
      <c r="C14" s="264" t="s">
        <v>1070</v>
      </c>
      <c r="D14" s="264">
        <v>2583952</v>
      </c>
      <c r="E14" s="264" t="s">
        <v>1781</v>
      </c>
      <c r="F14" s="264">
        <v>2018</v>
      </c>
      <c r="G14" s="281">
        <v>1</v>
      </c>
      <c r="H14" s="264">
        <v>1</v>
      </c>
      <c r="I14" s="282">
        <v>0</v>
      </c>
      <c r="J14" s="281">
        <v>0</v>
      </c>
      <c r="K14" s="281">
        <v>0</v>
      </c>
      <c r="L14" s="264">
        <v>0</v>
      </c>
      <c r="M14" s="282">
        <v>9</v>
      </c>
      <c r="N14" s="281">
        <v>0</v>
      </c>
      <c r="O14" s="281"/>
      <c r="P14" s="263"/>
      <c r="Q14" s="313"/>
      <c r="R14" s="284">
        <v>1</v>
      </c>
      <c r="S14" s="284">
        <v>1</v>
      </c>
      <c r="T14" s="284">
        <v>0</v>
      </c>
      <c r="U14" s="284">
        <v>0</v>
      </c>
      <c r="V14" s="284">
        <v>0</v>
      </c>
      <c r="W14" s="284">
        <v>0</v>
      </c>
      <c r="X14" s="284">
        <v>0</v>
      </c>
      <c r="Y14" s="313"/>
      <c r="Z14" s="285">
        <v>608328.89529178839</v>
      </c>
      <c r="AA14" s="286">
        <v>0</v>
      </c>
      <c r="AB14" s="287">
        <v>44612.307692307695</v>
      </c>
      <c r="AC14" s="288">
        <v>0</v>
      </c>
      <c r="AD14" s="289">
        <v>652941.20298409613</v>
      </c>
      <c r="AE14" s="266"/>
      <c r="AF14" s="285">
        <v>0</v>
      </c>
      <c r="AG14" s="286">
        <v>0</v>
      </c>
      <c r="AH14" s="286">
        <v>0</v>
      </c>
      <c r="AI14" s="290">
        <v>0</v>
      </c>
      <c r="AJ14" s="289">
        <v>0</v>
      </c>
      <c r="AK14" s="291">
        <v>652941.20298409613</v>
      </c>
    </row>
    <row r="15" spans="1:37" x14ac:dyDescent="0.25">
      <c r="A15" s="264" t="s">
        <v>1115</v>
      </c>
      <c r="B15" s="264" t="s">
        <v>553</v>
      </c>
      <c r="C15" s="264" t="s">
        <v>1111</v>
      </c>
      <c r="D15" s="264">
        <v>9503685</v>
      </c>
      <c r="E15" s="264" t="s">
        <v>1781</v>
      </c>
      <c r="F15" s="264">
        <v>2018</v>
      </c>
      <c r="G15" s="281">
        <v>0.6</v>
      </c>
      <c r="H15" s="264">
        <v>0.6</v>
      </c>
      <c r="I15" s="282">
        <v>0</v>
      </c>
      <c r="J15" s="281">
        <v>0</v>
      </c>
      <c r="K15" s="281">
        <v>0</v>
      </c>
      <c r="L15" s="264">
        <v>0</v>
      </c>
      <c r="M15" s="282">
        <v>14</v>
      </c>
      <c r="N15" s="281">
        <v>0</v>
      </c>
      <c r="O15" s="281"/>
      <c r="P15" s="263"/>
      <c r="Q15" s="313"/>
      <c r="R15" s="284">
        <v>0.6</v>
      </c>
      <c r="S15" s="284">
        <v>0.6</v>
      </c>
      <c r="T15" s="284">
        <v>0</v>
      </c>
      <c r="U15" s="284">
        <v>0</v>
      </c>
      <c r="V15" s="284">
        <v>0</v>
      </c>
      <c r="W15" s="284">
        <v>0</v>
      </c>
      <c r="X15" s="284">
        <v>0</v>
      </c>
      <c r="Y15" s="313"/>
      <c r="Z15" s="285">
        <v>364997.33717507304</v>
      </c>
      <c r="AA15" s="286">
        <v>0</v>
      </c>
      <c r="AB15" s="287">
        <v>26767.384615384617</v>
      </c>
      <c r="AC15" s="288">
        <v>0</v>
      </c>
      <c r="AD15" s="289">
        <v>391764.72179045767</v>
      </c>
      <c r="AE15" s="266"/>
      <c r="AF15" s="285">
        <v>0</v>
      </c>
      <c r="AG15" s="286">
        <v>0</v>
      </c>
      <c r="AH15" s="286">
        <v>0</v>
      </c>
      <c r="AI15" s="290">
        <v>0</v>
      </c>
      <c r="AJ15" s="289">
        <v>0</v>
      </c>
      <c r="AK15" s="291">
        <v>391764.72179045767</v>
      </c>
    </row>
    <row r="16" spans="1:37" x14ac:dyDescent="0.25">
      <c r="A16" s="264" t="s">
        <v>744</v>
      </c>
      <c r="B16" s="264" t="s">
        <v>733</v>
      </c>
      <c r="C16" s="264" t="s">
        <v>1111</v>
      </c>
      <c r="D16" s="264">
        <v>8984742</v>
      </c>
      <c r="E16" s="264" t="s">
        <v>1781</v>
      </c>
      <c r="F16" s="264">
        <v>2018</v>
      </c>
      <c r="G16" s="281">
        <v>1.5</v>
      </c>
      <c r="H16" s="264">
        <v>1</v>
      </c>
      <c r="I16" s="282">
        <v>0</v>
      </c>
      <c r="J16" s="281">
        <v>0</v>
      </c>
      <c r="K16" s="281">
        <v>0.5</v>
      </c>
      <c r="L16" s="264">
        <v>0</v>
      </c>
      <c r="M16" s="282">
        <v>8</v>
      </c>
      <c r="N16" s="281">
        <v>0</v>
      </c>
      <c r="O16" s="281"/>
      <c r="P16" s="263"/>
      <c r="Q16" s="313"/>
      <c r="R16" s="284">
        <v>1.5</v>
      </c>
      <c r="S16" s="284">
        <v>1</v>
      </c>
      <c r="T16" s="284">
        <v>0</v>
      </c>
      <c r="U16" s="284">
        <v>0</v>
      </c>
      <c r="V16" s="284">
        <v>0.5</v>
      </c>
      <c r="W16" s="284">
        <v>0</v>
      </c>
      <c r="X16" s="284">
        <v>0</v>
      </c>
      <c r="Y16" s="313"/>
      <c r="Z16" s="285">
        <v>912493.34293768252</v>
      </c>
      <c r="AA16" s="286">
        <v>0</v>
      </c>
      <c r="AB16" s="287">
        <v>66918.461538461546</v>
      </c>
      <c r="AC16" s="288">
        <v>0</v>
      </c>
      <c r="AD16" s="289">
        <v>979411.80447614403</v>
      </c>
      <c r="AE16" s="266"/>
      <c r="AF16" s="285">
        <v>0</v>
      </c>
      <c r="AG16" s="286">
        <v>0</v>
      </c>
      <c r="AH16" s="286">
        <v>0</v>
      </c>
      <c r="AI16" s="290">
        <v>0</v>
      </c>
      <c r="AJ16" s="289">
        <v>0</v>
      </c>
      <c r="AK16" s="291">
        <v>979411.80447614403</v>
      </c>
    </row>
    <row r="17" spans="1:37" x14ac:dyDescent="0.25">
      <c r="A17" s="264" t="s">
        <v>294</v>
      </c>
      <c r="B17" s="264" t="s">
        <v>290</v>
      </c>
      <c r="C17" s="264" t="s">
        <v>1099</v>
      </c>
      <c r="D17" s="264">
        <v>6565086</v>
      </c>
      <c r="E17" s="264" t="s">
        <v>1781</v>
      </c>
      <c r="F17" s="264">
        <v>2018</v>
      </c>
      <c r="G17" s="281">
        <v>1.1000000000000001</v>
      </c>
      <c r="H17" s="264">
        <v>1.1000000000000001</v>
      </c>
      <c r="I17" s="282">
        <v>0</v>
      </c>
      <c r="J17" s="281">
        <v>0</v>
      </c>
      <c r="K17" s="281">
        <v>0</v>
      </c>
      <c r="L17" s="264">
        <v>0</v>
      </c>
      <c r="M17" s="282">
        <v>25</v>
      </c>
      <c r="N17" s="281">
        <v>0</v>
      </c>
      <c r="O17" s="281"/>
      <c r="P17" s="263"/>
      <c r="Q17" s="313"/>
      <c r="R17" s="284">
        <v>1.1000000000000001</v>
      </c>
      <c r="S17" s="284">
        <v>1.1000000000000001</v>
      </c>
      <c r="T17" s="284">
        <v>0</v>
      </c>
      <c r="U17" s="284">
        <v>0</v>
      </c>
      <c r="V17" s="284">
        <v>0</v>
      </c>
      <c r="W17" s="284">
        <v>0</v>
      </c>
      <c r="X17" s="284">
        <v>0</v>
      </c>
      <c r="Y17" s="313"/>
      <c r="Z17" s="285">
        <v>669161.78482096724</v>
      </c>
      <c r="AA17" s="286">
        <v>0</v>
      </c>
      <c r="AB17" s="287">
        <v>49073.538461538468</v>
      </c>
      <c r="AC17" s="288">
        <v>0</v>
      </c>
      <c r="AD17" s="289">
        <v>718235.32328250573</v>
      </c>
      <c r="AE17" s="266"/>
      <c r="AF17" s="285">
        <v>0</v>
      </c>
      <c r="AG17" s="286">
        <v>0</v>
      </c>
      <c r="AH17" s="286">
        <v>0</v>
      </c>
      <c r="AI17" s="290">
        <v>0</v>
      </c>
      <c r="AJ17" s="289">
        <v>0</v>
      </c>
      <c r="AK17" s="291">
        <v>718235.32328250573</v>
      </c>
    </row>
    <row r="18" spans="1:37" x14ac:dyDescent="0.25">
      <c r="A18" s="264" t="s">
        <v>1112</v>
      </c>
      <c r="B18" s="264" t="s">
        <v>1113</v>
      </c>
      <c r="C18" s="264" t="s">
        <v>1099</v>
      </c>
      <c r="D18" s="264">
        <v>9223303</v>
      </c>
      <c r="E18" s="264" t="s">
        <v>1781</v>
      </c>
      <c r="F18" s="264">
        <v>2018</v>
      </c>
      <c r="G18" s="281">
        <v>0.4</v>
      </c>
      <c r="H18" s="264">
        <v>0.4</v>
      </c>
      <c r="I18" s="282">
        <v>0</v>
      </c>
      <c r="J18" s="281">
        <v>0</v>
      </c>
      <c r="K18" s="281">
        <v>0</v>
      </c>
      <c r="L18" s="264">
        <v>0</v>
      </c>
      <c r="M18" s="282">
        <v>10</v>
      </c>
      <c r="N18" s="281">
        <v>0</v>
      </c>
      <c r="O18" s="281"/>
      <c r="P18" s="263"/>
      <c r="Q18" s="313"/>
      <c r="R18" s="284">
        <v>0.4</v>
      </c>
      <c r="S18" s="284">
        <v>0.4</v>
      </c>
      <c r="T18" s="284">
        <v>0</v>
      </c>
      <c r="U18" s="284">
        <v>0</v>
      </c>
      <c r="V18" s="284">
        <v>0</v>
      </c>
      <c r="W18" s="284">
        <v>0</v>
      </c>
      <c r="X18" s="284">
        <v>0</v>
      </c>
      <c r="Y18" s="313"/>
      <c r="Z18" s="285">
        <v>243331.55811671537</v>
      </c>
      <c r="AA18" s="286">
        <v>0</v>
      </c>
      <c r="AB18" s="287">
        <v>17844.923076923078</v>
      </c>
      <c r="AC18" s="288">
        <v>0</v>
      </c>
      <c r="AD18" s="289">
        <v>261176.48119363846</v>
      </c>
      <c r="AE18" s="266"/>
      <c r="AF18" s="285">
        <v>0</v>
      </c>
      <c r="AG18" s="286">
        <v>0</v>
      </c>
      <c r="AH18" s="286">
        <v>0</v>
      </c>
      <c r="AI18" s="290">
        <v>0</v>
      </c>
      <c r="AJ18" s="289">
        <v>0</v>
      </c>
      <c r="AK18" s="291">
        <v>261176.48119363846</v>
      </c>
    </row>
    <row r="19" spans="1:37" x14ac:dyDescent="0.25">
      <c r="A19" s="264" t="s">
        <v>1066</v>
      </c>
      <c r="B19" s="264" t="s">
        <v>1067</v>
      </c>
      <c r="C19" s="264" t="s">
        <v>1065</v>
      </c>
      <c r="D19" s="264">
        <v>2093343</v>
      </c>
      <c r="E19" s="264" t="s">
        <v>1781</v>
      </c>
      <c r="F19" s="264">
        <v>2018</v>
      </c>
      <c r="G19" s="281">
        <v>1.1499999999999999</v>
      </c>
      <c r="H19" s="264">
        <v>1.1499999999999999</v>
      </c>
      <c r="I19" s="282">
        <v>0</v>
      </c>
      <c r="J19" s="281">
        <v>0</v>
      </c>
      <c r="K19" s="281">
        <v>0</v>
      </c>
      <c r="L19" s="264">
        <v>0</v>
      </c>
      <c r="M19" s="282">
        <v>4</v>
      </c>
      <c r="N19" s="281">
        <v>0</v>
      </c>
      <c r="O19" s="281"/>
      <c r="P19" s="263"/>
      <c r="Q19" s="313"/>
      <c r="R19" s="284">
        <v>1.1499999999999999</v>
      </c>
      <c r="S19" s="284">
        <v>1.1499999999999999</v>
      </c>
      <c r="T19" s="284">
        <v>0</v>
      </c>
      <c r="U19" s="284">
        <v>0</v>
      </c>
      <c r="V19" s="284">
        <v>0</v>
      </c>
      <c r="W19" s="284">
        <v>0</v>
      </c>
      <c r="X19" s="284">
        <v>0</v>
      </c>
      <c r="Y19" s="313"/>
      <c r="Z19" s="285">
        <v>699578.22958555655</v>
      </c>
      <c r="AA19" s="286">
        <v>0</v>
      </c>
      <c r="AB19" s="287">
        <v>51304.153846153844</v>
      </c>
      <c r="AC19" s="288">
        <v>0</v>
      </c>
      <c r="AD19" s="289">
        <v>750882.38343171042</v>
      </c>
      <c r="AE19" s="266"/>
      <c r="AF19" s="285">
        <v>0</v>
      </c>
      <c r="AG19" s="286">
        <v>0</v>
      </c>
      <c r="AH19" s="286">
        <v>0</v>
      </c>
      <c r="AI19" s="290">
        <v>0</v>
      </c>
      <c r="AJ19" s="289">
        <v>0</v>
      </c>
      <c r="AK19" s="291">
        <v>750882.38343171042</v>
      </c>
    </row>
    <row r="20" spans="1:37" x14ac:dyDescent="0.25">
      <c r="A20" s="264" t="s">
        <v>760</v>
      </c>
      <c r="B20" s="264" t="s">
        <v>760</v>
      </c>
      <c r="C20" s="264" t="s">
        <v>1096</v>
      </c>
      <c r="D20" s="264">
        <v>6466112</v>
      </c>
      <c r="E20" s="264" t="s">
        <v>1086</v>
      </c>
      <c r="F20" s="264">
        <v>2018</v>
      </c>
      <c r="G20" s="281">
        <v>0.4</v>
      </c>
      <c r="H20" s="264">
        <v>0.2</v>
      </c>
      <c r="I20" s="282">
        <v>0</v>
      </c>
      <c r="J20" s="281">
        <v>0.2</v>
      </c>
      <c r="K20" s="281">
        <v>0</v>
      </c>
      <c r="L20" s="264">
        <v>0</v>
      </c>
      <c r="M20" s="282">
        <v>12</v>
      </c>
      <c r="N20" s="281">
        <v>0</v>
      </c>
      <c r="O20" s="281"/>
      <c r="P20" s="263"/>
      <c r="Q20" s="313"/>
      <c r="R20" s="284">
        <v>0.4</v>
      </c>
      <c r="S20" s="284">
        <v>0.2</v>
      </c>
      <c r="T20" s="284">
        <v>0</v>
      </c>
      <c r="U20" s="284">
        <v>0.2</v>
      </c>
      <c r="V20" s="284">
        <v>0</v>
      </c>
      <c r="W20" s="284">
        <v>0</v>
      </c>
      <c r="X20" s="284">
        <v>0</v>
      </c>
      <c r="Y20" s="313"/>
      <c r="Z20" s="285">
        <v>243331.55811671537</v>
      </c>
      <c r="AA20" s="286">
        <v>0</v>
      </c>
      <c r="AB20" s="287">
        <v>17844.923076923078</v>
      </c>
      <c r="AC20" s="288">
        <v>0</v>
      </c>
      <c r="AD20" s="289">
        <v>261176.48119363846</v>
      </c>
      <c r="AE20" s="266"/>
      <c r="AF20" s="285">
        <v>0</v>
      </c>
      <c r="AG20" s="286">
        <v>0</v>
      </c>
      <c r="AH20" s="286">
        <v>0</v>
      </c>
      <c r="AI20" s="290">
        <v>0</v>
      </c>
      <c r="AJ20" s="289">
        <v>0</v>
      </c>
      <c r="AK20" s="291">
        <v>261176.48119363846</v>
      </c>
    </row>
    <row r="21" spans="1:37" x14ac:dyDescent="0.25">
      <c r="A21" s="264" t="s">
        <v>398</v>
      </c>
      <c r="B21" s="264" t="s">
        <v>396</v>
      </c>
      <c r="C21" s="264" t="s">
        <v>1085</v>
      </c>
      <c r="D21" s="264">
        <v>5646573</v>
      </c>
      <c r="E21" s="264" t="s">
        <v>1086</v>
      </c>
      <c r="F21" s="264">
        <v>2018</v>
      </c>
      <c r="G21" s="281">
        <v>2.1</v>
      </c>
      <c r="H21" s="264">
        <v>2.1</v>
      </c>
      <c r="I21" s="282">
        <v>0</v>
      </c>
      <c r="J21" s="281">
        <v>0</v>
      </c>
      <c r="K21" s="281">
        <v>0</v>
      </c>
      <c r="L21" s="264">
        <v>0</v>
      </c>
      <c r="M21" s="282">
        <v>12</v>
      </c>
      <c r="N21" s="281">
        <v>0</v>
      </c>
      <c r="O21" s="281"/>
      <c r="P21" s="263"/>
      <c r="Q21" s="313"/>
      <c r="R21" s="284">
        <v>2.1</v>
      </c>
      <c r="S21" s="284">
        <v>2.1</v>
      </c>
      <c r="T21" s="284">
        <v>0</v>
      </c>
      <c r="U21" s="284">
        <v>0</v>
      </c>
      <c r="V21" s="284">
        <v>0</v>
      </c>
      <c r="W21" s="284">
        <v>0</v>
      </c>
      <c r="X21" s="284">
        <v>0</v>
      </c>
      <c r="Y21" s="313"/>
      <c r="Z21" s="285">
        <v>1277490.6801127556</v>
      </c>
      <c r="AA21" s="286">
        <v>0</v>
      </c>
      <c r="AB21" s="287">
        <v>93685.846153846171</v>
      </c>
      <c r="AC21" s="288">
        <v>0</v>
      </c>
      <c r="AD21" s="289">
        <v>1371176.5262666019</v>
      </c>
      <c r="AE21" s="266"/>
      <c r="AF21" s="285">
        <v>0</v>
      </c>
      <c r="AG21" s="286">
        <v>0</v>
      </c>
      <c r="AH21" s="286">
        <v>0</v>
      </c>
      <c r="AI21" s="290">
        <v>0</v>
      </c>
      <c r="AJ21" s="289">
        <v>0</v>
      </c>
      <c r="AK21" s="291">
        <v>1371176.5262666019</v>
      </c>
    </row>
    <row r="22" spans="1:37" x14ac:dyDescent="0.25">
      <c r="A22" s="264" t="s">
        <v>1108</v>
      </c>
      <c r="B22" s="264" t="s">
        <v>585</v>
      </c>
      <c r="C22" s="264" t="s">
        <v>1107</v>
      </c>
      <c r="D22" s="264">
        <v>8299792</v>
      </c>
      <c r="E22" s="264" t="s">
        <v>1086</v>
      </c>
      <c r="F22" s="264">
        <v>2018</v>
      </c>
      <c r="G22" s="281">
        <v>1.85</v>
      </c>
      <c r="H22" s="264">
        <v>0.7</v>
      </c>
      <c r="I22" s="282">
        <v>0</v>
      </c>
      <c r="J22" s="281">
        <v>0</v>
      </c>
      <c r="K22" s="281">
        <v>1.1499999999999999</v>
      </c>
      <c r="L22" s="264">
        <v>0</v>
      </c>
      <c r="M22" s="282">
        <v>25</v>
      </c>
      <c r="N22" s="281">
        <v>0</v>
      </c>
      <c r="O22" s="281"/>
      <c r="P22" s="263"/>
      <c r="Q22" s="313"/>
      <c r="R22" s="284">
        <v>1.85</v>
      </c>
      <c r="S22" s="284">
        <v>0.7</v>
      </c>
      <c r="T22" s="284">
        <v>0</v>
      </c>
      <c r="U22" s="284">
        <v>0</v>
      </c>
      <c r="V22" s="284">
        <v>1.1499999999999999</v>
      </c>
      <c r="W22" s="284">
        <v>0</v>
      </c>
      <c r="X22" s="284">
        <v>0</v>
      </c>
      <c r="Y22" s="313"/>
      <c r="Z22" s="285">
        <v>1125408.4562898085</v>
      </c>
      <c r="AA22" s="286">
        <v>0</v>
      </c>
      <c r="AB22" s="287">
        <v>82532.769230769234</v>
      </c>
      <c r="AC22" s="288">
        <v>0</v>
      </c>
      <c r="AD22" s="289">
        <v>1207941.2255205777</v>
      </c>
      <c r="AE22" s="266"/>
      <c r="AF22" s="285">
        <v>0</v>
      </c>
      <c r="AG22" s="286">
        <v>0</v>
      </c>
      <c r="AH22" s="286">
        <v>0</v>
      </c>
      <c r="AI22" s="290">
        <v>0</v>
      </c>
      <c r="AJ22" s="289">
        <v>0</v>
      </c>
      <c r="AK22" s="291">
        <v>1207941.2255205777</v>
      </c>
    </row>
    <row r="23" spans="1:37" x14ac:dyDescent="0.25">
      <c r="A23" s="264" t="s">
        <v>318</v>
      </c>
      <c r="B23" s="264" t="s">
        <v>312</v>
      </c>
      <c r="C23" s="264" t="s">
        <v>1090</v>
      </c>
      <c r="D23" s="264">
        <v>5792625</v>
      </c>
      <c r="E23" s="264" t="s">
        <v>1787</v>
      </c>
      <c r="F23" s="264">
        <v>2018</v>
      </c>
      <c r="G23" s="281">
        <v>2.2999999999999998</v>
      </c>
      <c r="H23" s="264">
        <v>1.5</v>
      </c>
      <c r="I23" s="282">
        <v>0</v>
      </c>
      <c r="J23" s="281">
        <v>0</v>
      </c>
      <c r="K23" s="281">
        <v>0.8</v>
      </c>
      <c r="L23" s="264">
        <v>0</v>
      </c>
      <c r="M23" s="282">
        <v>8</v>
      </c>
      <c r="N23" s="281">
        <v>0</v>
      </c>
      <c r="O23" s="281"/>
      <c r="P23" s="263"/>
      <c r="Q23" s="313"/>
      <c r="R23" s="284">
        <v>2.2999999999999998</v>
      </c>
      <c r="S23" s="284">
        <v>1.5</v>
      </c>
      <c r="T23" s="284">
        <v>0</v>
      </c>
      <c r="U23" s="284">
        <v>0</v>
      </c>
      <c r="V23" s="284">
        <v>0.8</v>
      </c>
      <c r="W23" s="284">
        <v>0</v>
      </c>
      <c r="X23" s="284">
        <v>0</v>
      </c>
      <c r="Y23" s="313"/>
      <c r="Z23" s="285">
        <v>1399156.4591711131</v>
      </c>
      <c r="AA23" s="286">
        <v>0</v>
      </c>
      <c r="AB23" s="287">
        <v>102608.30769230769</v>
      </c>
      <c r="AC23" s="288">
        <v>0</v>
      </c>
      <c r="AD23" s="289">
        <v>1501764.7668634208</v>
      </c>
      <c r="AE23" s="266"/>
      <c r="AF23" s="285">
        <v>0</v>
      </c>
      <c r="AG23" s="286">
        <v>0</v>
      </c>
      <c r="AH23" s="286">
        <v>0</v>
      </c>
      <c r="AI23" s="290">
        <v>0</v>
      </c>
      <c r="AJ23" s="289">
        <v>0</v>
      </c>
      <c r="AK23" s="291">
        <v>1501764.7668634208</v>
      </c>
    </row>
    <row r="24" spans="1:37" x14ac:dyDescent="0.25">
      <c r="A24" s="264" t="s">
        <v>1104</v>
      </c>
      <c r="B24" s="264" t="s">
        <v>553</v>
      </c>
      <c r="C24" s="264" t="s">
        <v>1077</v>
      </c>
      <c r="D24" s="264">
        <v>7634996</v>
      </c>
      <c r="E24" s="264" t="s">
        <v>1787</v>
      </c>
      <c r="F24" s="264">
        <v>2018</v>
      </c>
      <c r="G24" s="281">
        <v>0.4</v>
      </c>
      <c r="H24" s="264">
        <v>0.4</v>
      </c>
      <c r="I24" s="282">
        <v>0</v>
      </c>
      <c r="J24" s="281">
        <v>0</v>
      </c>
      <c r="K24" s="281">
        <v>0</v>
      </c>
      <c r="L24" s="264">
        <v>0</v>
      </c>
      <c r="M24" s="282">
        <v>14</v>
      </c>
      <c r="N24" s="281">
        <v>0</v>
      </c>
      <c r="O24" s="281"/>
      <c r="P24" s="263"/>
      <c r="Q24" s="313"/>
      <c r="R24" s="284">
        <v>0.4</v>
      </c>
      <c r="S24" s="284">
        <v>0.4</v>
      </c>
      <c r="T24" s="284">
        <v>0</v>
      </c>
      <c r="U24" s="284">
        <v>0</v>
      </c>
      <c r="V24" s="284">
        <v>0</v>
      </c>
      <c r="W24" s="284">
        <v>0</v>
      </c>
      <c r="X24" s="284">
        <v>0</v>
      </c>
      <c r="Y24" s="313"/>
      <c r="Z24" s="285">
        <v>243331.55811671537</v>
      </c>
      <c r="AA24" s="286">
        <v>0</v>
      </c>
      <c r="AB24" s="287">
        <v>17844.923076923078</v>
      </c>
      <c r="AC24" s="288">
        <v>0</v>
      </c>
      <c r="AD24" s="289">
        <v>261176.48119363846</v>
      </c>
      <c r="AE24" s="266"/>
      <c r="AF24" s="285">
        <v>0</v>
      </c>
      <c r="AG24" s="286">
        <v>0</v>
      </c>
      <c r="AH24" s="286">
        <v>0</v>
      </c>
      <c r="AI24" s="290">
        <v>0</v>
      </c>
      <c r="AJ24" s="289">
        <v>0</v>
      </c>
      <c r="AK24" s="291">
        <v>261176.48119363846</v>
      </c>
    </row>
    <row r="25" spans="1:37" x14ac:dyDescent="0.25">
      <c r="A25" s="264" t="s">
        <v>1082</v>
      </c>
      <c r="B25" s="264" t="s">
        <v>332</v>
      </c>
      <c r="C25" s="264" t="s">
        <v>1077</v>
      </c>
      <c r="D25" s="264">
        <v>4382191</v>
      </c>
      <c r="E25" s="264" t="s">
        <v>1787</v>
      </c>
      <c r="F25" s="264">
        <v>2018</v>
      </c>
      <c r="G25" s="281">
        <v>0.7</v>
      </c>
      <c r="H25" s="264">
        <v>0.7</v>
      </c>
      <c r="I25" s="282">
        <v>0</v>
      </c>
      <c r="J25" s="281">
        <v>0</v>
      </c>
      <c r="K25" s="281">
        <v>0</v>
      </c>
      <c r="L25" s="264">
        <v>0</v>
      </c>
      <c r="M25" s="282">
        <v>6</v>
      </c>
      <c r="N25" s="281">
        <v>0</v>
      </c>
      <c r="O25" s="281"/>
      <c r="P25" s="263"/>
      <c r="Q25" s="313"/>
      <c r="R25" s="284">
        <v>0.7</v>
      </c>
      <c r="S25" s="284">
        <v>0.7</v>
      </c>
      <c r="T25" s="284">
        <v>0</v>
      </c>
      <c r="U25" s="284">
        <v>0</v>
      </c>
      <c r="V25" s="284">
        <v>0</v>
      </c>
      <c r="W25" s="284">
        <v>0</v>
      </c>
      <c r="X25" s="284">
        <v>0</v>
      </c>
      <c r="Y25" s="313"/>
      <c r="Z25" s="285">
        <v>425830.22670425184</v>
      </c>
      <c r="AA25" s="286">
        <v>0</v>
      </c>
      <c r="AB25" s="287">
        <v>31228.615384615383</v>
      </c>
      <c r="AC25" s="288">
        <v>0</v>
      </c>
      <c r="AD25" s="289">
        <v>457058.84208886721</v>
      </c>
      <c r="AE25" s="266"/>
      <c r="AF25" s="285">
        <v>0</v>
      </c>
      <c r="AG25" s="286">
        <v>0</v>
      </c>
      <c r="AH25" s="286">
        <v>0</v>
      </c>
      <c r="AI25" s="290">
        <v>0</v>
      </c>
      <c r="AJ25" s="289">
        <v>0</v>
      </c>
      <c r="AK25" s="291">
        <v>457058.84208886721</v>
      </c>
    </row>
    <row r="26" spans="1:37" x14ac:dyDescent="0.25">
      <c r="A26" s="264" t="s">
        <v>735</v>
      </c>
      <c r="B26" s="264" t="s">
        <v>733</v>
      </c>
      <c r="C26" s="264" t="s">
        <v>1077</v>
      </c>
      <c r="D26" s="264">
        <v>3040542</v>
      </c>
      <c r="E26" s="264" t="s">
        <v>1787</v>
      </c>
      <c r="F26" s="264">
        <v>2018</v>
      </c>
      <c r="G26" s="281">
        <v>1.1000000000000001</v>
      </c>
      <c r="H26" s="264">
        <v>1.1000000000000001</v>
      </c>
      <c r="I26" s="282">
        <v>0</v>
      </c>
      <c r="J26" s="281">
        <v>0</v>
      </c>
      <c r="K26" s="281">
        <v>0</v>
      </c>
      <c r="L26" s="264">
        <v>0</v>
      </c>
      <c r="M26" s="282">
        <v>8</v>
      </c>
      <c r="N26" s="281">
        <v>0</v>
      </c>
      <c r="O26" s="281"/>
      <c r="P26" s="263"/>
      <c r="Q26" s="313"/>
      <c r="R26" s="284">
        <v>1.1000000000000001</v>
      </c>
      <c r="S26" s="284">
        <v>1.1000000000000001</v>
      </c>
      <c r="T26" s="284">
        <v>0</v>
      </c>
      <c r="U26" s="284">
        <v>0</v>
      </c>
      <c r="V26" s="284">
        <v>0</v>
      </c>
      <c r="W26" s="284">
        <v>0</v>
      </c>
      <c r="X26" s="284">
        <v>0</v>
      </c>
      <c r="Y26" s="313"/>
      <c r="Z26" s="285">
        <v>669161.78482096724</v>
      </c>
      <c r="AA26" s="286">
        <v>0</v>
      </c>
      <c r="AB26" s="287">
        <v>49073.538461538468</v>
      </c>
      <c r="AC26" s="288">
        <v>0</v>
      </c>
      <c r="AD26" s="289">
        <v>718235.32328250573</v>
      </c>
      <c r="AE26" s="266"/>
      <c r="AF26" s="285">
        <v>0</v>
      </c>
      <c r="AG26" s="286">
        <v>0</v>
      </c>
      <c r="AH26" s="286">
        <v>0</v>
      </c>
      <c r="AI26" s="290">
        <v>0</v>
      </c>
      <c r="AJ26" s="289">
        <v>0</v>
      </c>
      <c r="AK26" s="291">
        <v>718235.32328250573</v>
      </c>
    </row>
    <row r="27" spans="1:37" x14ac:dyDescent="0.25">
      <c r="A27" s="264" t="s">
        <v>294</v>
      </c>
      <c r="B27" s="264" t="s">
        <v>290</v>
      </c>
      <c r="C27" s="264" t="s">
        <v>1100</v>
      </c>
      <c r="D27" s="264">
        <v>6565086</v>
      </c>
      <c r="E27" s="264" t="s">
        <v>1787</v>
      </c>
      <c r="F27" s="264">
        <v>2018</v>
      </c>
      <c r="G27" s="281">
        <v>1.28</v>
      </c>
      <c r="H27" s="264">
        <v>1.1000000000000001</v>
      </c>
      <c r="I27" s="282">
        <v>0.18</v>
      </c>
      <c r="J27" s="281">
        <v>0</v>
      </c>
      <c r="K27" s="281">
        <v>0</v>
      </c>
      <c r="L27" s="264">
        <v>0</v>
      </c>
      <c r="M27" s="282">
        <v>25</v>
      </c>
      <c r="N27" s="281">
        <v>0</v>
      </c>
      <c r="O27" s="281"/>
      <c r="P27" s="263"/>
      <c r="Q27" s="313"/>
      <c r="R27" s="284">
        <v>1.28</v>
      </c>
      <c r="S27" s="284">
        <v>1.1000000000000001</v>
      </c>
      <c r="T27" s="284">
        <v>0.18</v>
      </c>
      <c r="U27" s="284">
        <v>0</v>
      </c>
      <c r="V27" s="284">
        <v>0</v>
      </c>
      <c r="W27" s="284">
        <v>0</v>
      </c>
      <c r="X27" s="284">
        <v>0</v>
      </c>
      <c r="Y27" s="313"/>
      <c r="Z27" s="285">
        <v>778660.98597348912</v>
      </c>
      <c r="AA27" s="286">
        <v>0</v>
      </c>
      <c r="AB27" s="287">
        <v>57103.75384615385</v>
      </c>
      <c r="AC27" s="288">
        <v>0</v>
      </c>
      <c r="AD27" s="289">
        <v>835764.73981964297</v>
      </c>
      <c r="AE27" s="266"/>
      <c r="AF27" s="285">
        <v>0</v>
      </c>
      <c r="AG27" s="286">
        <v>0</v>
      </c>
      <c r="AH27" s="286">
        <v>0</v>
      </c>
      <c r="AI27" s="290">
        <v>0</v>
      </c>
      <c r="AJ27" s="289">
        <v>0</v>
      </c>
      <c r="AK27" s="291">
        <v>835764.73981964297</v>
      </c>
    </row>
    <row r="28" spans="1:37" x14ac:dyDescent="0.25">
      <c r="A28" s="264" t="s">
        <v>1066</v>
      </c>
      <c r="B28" s="264" t="s">
        <v>1067</v>
      </c>
      <c r="C28" s="264" t="s">
        <v>1103</v>
      </c>
      <c r="D28" s="264">
        <v>6811251</v>
      </c>
      <c r="E28" s="264" t="s">
        <v>1787</v>
      </c>
      <c r="F28" s="264">
        <v>2018</v>
      </c>
      <c r="G28" s="281">
        <v>0.6</v>
      </c>
      <c r="H28" s="264">
        <v>0.6</v>
      </c>
      <c r="I28" s="282">
        <v>0</v>
      </c>
      <c r="J28" s="281">
        <v>0</v>
      </c>
      <c r="K28" s="281">
        <v>0</v>
      </c>
      <c r="L28" s="264">
        <v>0</v>
      </c>
      <c r="M28" s="282">
        <v>2</v>
      </c>
      <c r="N28" s="281">
        <v>0</v>
      </c>
      <c r="O28" s="281"/>
      <c r="P28" s="263"/>
      <c r="Q28" s="313"/>
      <c r="R28" s="284">
        <v>0.6</v>
      </c>
      <c r="S28" s="284">
        <v>0.6</v>
      </c>
      <c r="T28" s="284">
        <v>0</v>
      </c>
      <c r="U28" s="284">
        <v>0</v>
      </c>
      <c r="V28" s="284">
        <v>0</v>
      </c>
      <c r="W28" s="284">
        <v>0</v>
      </c>
      <c r="X28" s="284">
        <v>0</v>
      </c>
      <c r="Y28" s="313"/>
      <c r="Z28" s="285">
        <v>364997.33717507304</v>
      </c>
      <c r="AA28" s="286">
        <v>0</v>
      </c>
      <c r="AB28" s="287">
        <v>26767.384615384617</v>
      </c>
      <c r="AC28" s="288">
        <v>0</v>
      </c>
      <c r="AD28" s="289">
        <v>391764.72179045767</v>
      </c>
      <c r="AE28" s="266"/>
      <c r="AF28" s="285">
        <v>0</v>
      </c>
      <c r="AG28" s="286">
        <v>0</v>
      </c>
      <c r="AH28" s="286">
        <v>0</v>
      </c>
      <c r="AI28" s="290">
        <v>0</v>
      </c>
      <c r="AJ28" s="289">
        <v>0</v>
      </c>
      <c r="AK28" s="291">
        <v>391764.72179045767</v>
      </c>
    </row>
    <row r="29" spans="1:37" x14ac:dyDescent="0.25">
      <c r="A29" s="264" t="s">
        <v>1095</v>
      </c>
      <c r="B29" s="264" t="s">
        <v>312</v>
      </c>
      <c r="C29" s="264" t="s">
        <v>1094</v>
      </c>
      <c r="D29" s="264">
        <v>6191102</v>
      </c>
      <c r="E29" s="264" t="s">
        <v>1796</v>
      </c>
      <c r="F29" s="264">
        <v>2018</v>
      </c>
      <c r="G29" s="281">
        <v>1</v>
      </c>
      <c r="H29" s="264">
        <v>0</v>
      </c>
      <c r="I29" s="282">
        <v>0</v>
      </c>
      <c r="J29" s="281">
        <v>0</v>
      </c>
      <c r="K29" s="281">
        <v>1</v>
      </c>
      <c r="L29" s="264">
        <v>0</v>
      </c>
      <c r="M29" s="282">
        <v>5</v>
      </c>
      <c r="N29" s="281">
        <v>0</v>
      </c>
      <c r="O29" s="281"/>
      <c r="P29" s="263"/>
      <c r="Q29" s="313"/>
      <c r="R29" s="284">
        <v>1</v>
      </c>
      <c r="S29" s="284">
        <v>0</v>
      </c>
      <c r="T29" s="284">
        <v>0</v>
      </c>
      <c r="U29" s="284">
        <v>0</v>
      </c>
      <c r="V29" s="284">
        <v>1</v>
      </c>
      <c r="W29" s="284">
        <v>0</v>
      </c>
      <c r="X29" s="284">
        <v>0</v>
      </c>
      <c r="Y29" s="313"/>
      <c r="Z29" s="285">
        <v>608328.89529178839</v>
      </c>
      <c r="AA29" s="286">
        <v>0</v>
      </c>
      <c r="AB29" s="287">
        <v>44612.307692307695</v>
      </c>
      <c r="AC29" s="288">
        <v>0</v>
      </c>
      <c r="AD29" s="289">
        <v>652941.20298409613</v>
      </c>
      <c r="AE29" s="266"/>
      <c r="AF29" s="285">
        <v>0</v>
      </c>
      <c r="AG29" s="286">
        <v>0</v>
      </c>
      <c r="AH29" s="286">
        <v>0</v>
      </c>
      <c r="AI29" s="290">
        <v>0</v>
      </c>
      <c r="AJ29" s="289">
        <v>0</v>
      </c>
      <c r="AK29" s="291">
        <v>652941.20298409613</v>
      </c>
    </row>
    <row r="30" spans="1:37" x14ac:dyDescent="0.25">
      <c r="A30" s="264" t="s">
        <v>413</v>
      </c>
      <c r="B30" s="264" t="s">
        <v>411</v>
      </c>
      <c r="C30" s="264" t="s">
        <v>1062</v>
      </c>
      <c r="D30" s="264">
        <v>1494293</v>
      </c>
      <c r="E30" s="264" t="s">
        <v>1796</v>
      </c>
      <c r="F30" s="264">
        <v>2018</v>
      </c>
      <c r="G30" s="281">
        <v>1.34</v>
      </c>
      <c r="H30" s="264">
        <v>0.14000000000000001</v>
      </c>
      <c r="I30" s="282">
        <v>1</v>
      </c>
      <c r="J30" s="281">
        <v>0.2</v>
      </c>
      <c r="K30" s="281">
        <v>0</v>
      </c>
      <c r="L30" s="264">
        <v>0</v>
      </c>
      <c r="M30" s="282">
        <v>4</v>
      </c>
      <c r="N30" s="281">
        <v>3</v>
      </c>
      <c r="O30" s="281"/>
      <c r="P30" s="263"/>
      <c r="Q30" s="313"/>
      <c r="R30" s="284">
        <v>1.34</v>
      </c>
      <c r="S30" s="284">
        <v>0.14000000000000001</v>
      </c>
      <c r="T30" s="284">
        <v>1</v>
      </c>
      <c r="U30" s="284">
        <v>0.2</v>
      </c>
      <c r="V30" s="284">
        <v>0</v>
      </c>
      <c r="W30" s="284">
        <v>0</v>
      </c>
      <c r="X30" s="284">
        <v>3</v>
      </c>
      <c r="Y30" s="313"/>
      <c r="Z30" s="285">
        <v>815160.71969099646</v>
      </c>
      <c r="AA30" s="286">
        <v>0</v>
      </c>
      <c r="AB30" s="287">
        <v>59780.492307692315</v>
      </c>
      <c r="AC30" s="288">
        <v>0</v>
      </c>
      <c r="AD30" s="289">
        <v>874941.21199868876</v>
      </c>
      <c r="AE30" s="266"/>
      <c r="AF30" s="285">
        <v>0</v>
      </c>
      <c r="AG30" s="286">
        <v>0</v>
      </c>
      <c r="AH30" s="286">
        <v>0</v>
      </c>
      <c r="AI30" s="290">
        <v>0</v>
      </c>
      <c r="AJ30" s="289">
        <v>0</v>
      </c>
      <c r="AK30" s="291">
        <v>874941.21199868876</v>
      </c>
    </row>
    <row r="31" spans="1:37" x14ac:dyDescent="0.25">
      <c r="A31" s="264" t="s">
        <v>735</v>
      </c>
      <c r="B31" s="264" t="s">
        <v>733</v>
      </c>
      <c r="C31" s="264" t="s">
        <v>1079</v>
      </c>
      <c r="D31" s="264">
        <v>3040542</v>
      </c>
      <c r="E31" s="264" t="s">
        <v>1796</v>
      </c>
      <c r="F31" s="264">
        <v>2018</v>
      </c>
      <c r="G31" s="281">
        <v>0.25</v>
      </c>
      <c r="H31" s="264">
        <v>0.2</v>
      </c>
      <c r="I31" s="282">
        <v>0.05</v>
      </c>
      <c r="J31" s="281">
        <v>0</v>
      </c>
      <c r="K31" s="281">
        <v>0</v>
      </c>
      <c r="L31" s="264">
        <v>0</v>
      </c>
      <c r="M31" s="282">
        <v>8</v>
      </c>
      <c r="N31" s="281">
        <v>0</v>
      </c>
      <c r="O31" s="281"/>
      <c r="P31" s="263"/>
      <c r="Q31" s="313"/>
      <c r="R31" s="284">
        <v>0.25</v>
      </c>
      <c r="S31" s="284">
        <v>0.2</v>
      </c>
      <c r="T31" s="284">
        <v>0.05</v>
      </c>
      <c r="U31" s="284">
        <v>0</v>
      </c>
      <c r="V31" s="284">
        <v>0</v>
      </c>
      <c r="W31" s="284">
        <v>0</v>
      </c>
      <c r="X31" s="284">
        <v>0</v>
      </c>
      <c r="Y31" s="313"/>
      <c r="Z31" s="285">
        <v>152082.2238229471</v>
      </c>
      <c r="AA31" s="286">
        <v>0</v>
      </c>
      <c r="AB31" s="287">
        <v>11153.076923076924</v>
      </c>
      <c r="AC31" s="288">
        <v>0</v>
      </c>
      <c r="AD31" s="289">
        <v>163235.30074602403</v>
      </c>
      <c r="AE31" s="266"/>
      <c r="AF31" s="285">
        <v>0</v>
      </c>
      <c r="AG31" s="286">
        <v>0</v>
      </c>
      <c r="AH31" s="286">
        <v>0</v>
      </c>
      <c r="AI31" s="290">
        <v>0</v>
      </c>
      <c r="AJ31" s="289">
        <v>0</v>
      </c>
      <c r="AK31" s="291">
        <v>163235.30074602403</v>
      </c>
    </row>
    <row r="32" spans="1:37" x14ac:dyDescent="0.25">
      <c r="A32" s="264" t="s">
        <v>844</v>
      </c>
      <c r="B32" s="264" t="s">
        <v>842</v>
      </c>
      <c r="C32" s="264" t="s">
        <v>1079</v>
      </c>
      <c r="D32" s="264">
        <v>6698987</v>
      </c>
      <c r="E32" s="264" t="s">
        <v>1796</v>
      </c>
      <c r="F32" s="264">
        <v>2018</v>
      </c>
      <c r="G32" s="281">
        <v>1.1499999999999999</v>
      </c>
      <c r="H32" s="264">
        <v>1.1499999999999999</v>
      </c>
      <c r="I32" s="282">
        <v>0</v>
      </c>
      <c r="J32" s="281">
        <v>0</v>
      </c>
      <c r="K32" s="281">
        <v>0</v>
      </c>
      <c r="L32" s="264">
        <v>0</v>
      </c>
      <c r="M32" s="282">
        <v>5</v>
      </c>
      <c r="N32" s="281">
        <v>0</v>
      </c>
      <c r="O32" s="281"/>
      <c r="P32" s="263"/>
      <c r="Q32" s="313"/>
      <c r="R32" s="284">
        <v>1.1499999999999999</v>
      </c>
      <c r="S32" s="284">
        <v>1.1499999999999999</v>
      </c>
      <c r="T32" s="284">
        <v>0</v>
      </c>
      <c r="U32" s="284">
        <v>0</v>
      </c>
      <c r="V32" s="284">
        <v>0</v>
      </c>
      <c r="W32" s="284">
        <v>0</v>
      </c>
      <c r="X32" s="284">
        <v>0</v>
      </c>
      <c r="Y32" s="313"/>
      <c r="Z32" s="285">
        <v>699578.22958555655</v>
      </c>
      <c r="AA32" s="286">
        <v>0</v>
      </c>
      <c r="AB32" s="287">
        <v>51304.153846153844</v>
      </c>
      <c r="AC32" s="288">
        <v>0</v>
      </c>
      <c r="AD32" s="289">
        <v>750882.38343171042</v>
      </c>
      <c r="AE32" s="266"/>
      <c r="AF32" s="285">
        <v>0</v>
      </c>
      <c r="AG32" s="286">
        <v>0</v>
      </c>
      <c r="AH32" s="286">
        <v>0</v>
      </c>
      <c r="AI32" s="290">
        <v>0</v>
      </c>
      <c r="AJ32" s="289">
        <v>0</v>
      </c>
      <c r="AK32" s="291">
        <v>750882.38343171042</v>
      </c>
    </row>
    <row r="33" spans="1:37" x14ac:dyDescent="0.25">
      <c r="A33" s="264" t="s">
        <v>294</v>
      </c>
      <c r="B33" s="264" t="s">
        <v>290</v>
      </c>
      <c r="C33" s="264" t="s">
        <v>1101</v>
      </c>
      <c r="D33" s="264">
        <v>6565086</v>
      </c>
      <c r="E33" s="264" t="s">
        <v>1796</v>
      </c>
      <c r="F33" s="264">
        <v>2018</v>
      </c>
      <c r="G33" s="281">
        <v>1.1000000000000001</v>
      </c>
      <c r="H33" s="264">
        <v>1.1000000000000001</v>
      </c>
      <c r="I33" s="282">
        <v>0</v>
      </c>
      <c r="J33" s="281">
        <v>0</v>
      </c>
      <c r="K33" s="281">
        <v>0</v>
      </c>
      <c r="L33" s="264">
        <v>0</v>
      </c>
      <c r="M33" s="282">
        <v>25</v>
      </c>
      <c r="N33" s="281">
        <v>0</v>
      </c>
      <c r="O33" s="281"/>
      <c r="P33" s="263"/>
      <c r="Q33" s="313"/>
      <c r="R33" s="284">
        <v>1.1000000000000001</v>
      </c>
      <c r="S33" s="284">
        <v>1.1000000000000001</v>
      </c>
      <c r="T33" s="284">
        <v>0</v>
      </c>
      <c r="U33" s="284">
        <v>0</v>
      </c>
      <c r="V33" s="284">
        <v>0</v>
      </c>
      <c r="W33" s="284">
        <v>0</v>
      </c>
      <c r="X33" s="284">
        <v>0</v>
      </c>
      <c r="Y33" s="313"/>
      <c r="Z33" s="285">
        <v>669161.78482096724</v>
      </c>
      <c r="AA33" s="286">
        <v>0</v>
      </c>
      <c r="AB33" s="287">
        <v>49073.538461538468</v>
      </c>
      <c r="AC33" s="288">
        <v>0</v>
      </c>
      <c r="AD33" s="289">
        <v>718235.32328250573</v>
      </c>
      <c r="AE33" s="266"/>
      <c r="AF33" s="285">
        <v>0</v>
      </c>
      <c r="AG33" s="286">
        <v>0</v>
      </c>
      <c r="AH33" s="286">
        <v>0</v>
      </c>
      <c r="AI33" s="290">
        <v>0</v>
      </c>
      <c r="AJ33" s="289">
        <v>0</v>
      </c>
      <c r="AK33" s="291">
        <v>718235.32328250573</v>
      </c>
    </row>
    <row r="34" spans="1:37" x14ac:dyDescent="0.25">
      <c r="A34" s="264" t="s">
        <v>931</v>
      </c>
      <c r="B34" s="264" t="s">
        <v>928</v>
      </c>
      <c r="C34" s="264" t="s">
        <v>1110</v>
      </c>
      <c r="D34" s="264">
        <v>8314639</v>
      </c>
      <c r="E34" s="264" t="s">
        <v>1799</v>
      </c>
      <c r="F34" s="264">
        <v>2018</v>
      </c>
      <c r="G34" s="281">
        <v>4.1500000000000004</v>
      </c>
      <c r="H34" s="264">
        <v>1</v>
      </c>
      <c r="I34" s="282">
        <v>0</v>
      </c>
      <c r="J34" s="281">
        <v>0</v>
      </c>
      <c r="K34" s="281">
        <v>3.15</v>
      </c>
      <c r="L34" s="264">
        <v>0</v>
      </c>
      <c r="M34" s="282">
        <v>6352</v>
      </c>
      <c r="N34" s="281">
        <v>0</v>
      </c>
      <c r="O34" s="281"/>
      <c r="P34" s="263"/>
      <c r="Q34" s="313"/>
      <c r="R34" s="284">
        <v>4.1500000000000004</v>
      </c>
      <c r="S34" s="284">
        <v>1</v>
      </c>
      <c r="T34" s="284">
        <v>0</v>
      </c>
      <c r="U34" s="284">
        <v>0</v>
      </c>
      <c r="V34" s="284">
        <v>3.15</v>
      </c>
      <c r="W34" s="284">
        <v>0</v>
      </c>
      <c r="X34" s="284">
        <v>0</v>
      </c>
      <c r="Y34" s="313"/>
      <c r="Z34" s="285">
        <v>2524564.9154609218</v>
      </c>
      <c r="AA34" s="286">
        <v>0</v>
      </c>
      <c r="AB34" s="287">
        <v>185141.07692307694</v>
      </c>
      <c r="AC34" s="288">
        <v>0</v>
      </c>
      <c r="AD34" s="289">
        <v>2709705.9923839988</v>
      </c>
      <c r="AE34" s="266"/>
      <c r="AF34" s="285">
        <v>0</v>
      </c>
      <c r="AG34" s="286">
        <v>0</v>
      </c>
      <c r="AH34" s="286">
        <v>0</v>
      </c>
      <c r="AI34" s="290">
        <v>0</v>
      </c>
      <c r="AJ34" s="289">
        <v>0</v>
      </c>
      <c r="AK34" s="291">
        <v>2709705.9923839988</v>
      </c>
    </row>
    <row r="35" spans="1:37" x14ac:dyDescent="0.25">
      <c r="A35" s="264" t="s">
        <v>931</v>
      </c>
      <c r="B35" s="264" t="s">
        <v>306</v>
      </c>
      <c r="C35" s="264" t="s">
        <v>1110</v>
      </c>
      <c r="D35" s="264">
        <v>8615860</v>
      </c>
      <c r="E35" s="264" t="s">
        <v>1799</v>
      </c>
      <c r="F35" s="264">
        <v>2018</v>
      </c>
      <c r="G35" s="281">
        <v>2</v>
      </c>
      <c r="H35" s="264">
        <v>0.5</v>
      </c>
      <c r="I35" s="282">
        <v>0</v>
      </c>
      <c r="J35" s="281">
        <v>0</v>
      </c>
      <c r="K35" s="281">
        <v>1.5</v>
      </c>
      <c r="L35" s="264">
        <v>0</v>
      </c>
      <c r="M35" s="282">
        <v>20</v>
      </c>
      <c r="N35" s="281">
        <v>0</v>
      </c>
      <c r="O35" s="281"/>
      <c r="P35" s="263"/>
      <c r="Q35" s="313"/>
      <c r="R35" s="284">
        <v>2</v>
      </c>
      <c r="S35" s="284">
        <v>0.5</v>
      </c>
      <c r="T35" s="284">
        <v>0</v>
      </c>
      <c r="U35" s="284">
        <v>0</v>
      </c>
      <c r="V35" s="284">
        <v>1.5</v>
      </c>
      <c r="W35" s="284">
        <v>0</v>
      </c>
      <c r="X35" s="284">
        <v>0</v>
      </c>
      <c r="Y35" s="313"/>
      <c r="Z35" s="285">
        <v>1216657.7905835768</v>
      </c>
      <c r="AA35" s="286">
        <v>0</v>
      </c>
      <c r="AB35" s="287">
        <v>89224.61538461539</v>
      </c>
      <c r="AC35" s="288">
        <v>0</v>
      </c>
      <c r="AD35" s="289">
        <v>1305882.4059681923</v>
      </c>
      <c r="AE35" s="266"/>
      <c r="AF35" s="285">
        <v>0</v>
      </c>
      <c r="AG35" s="286">
        <v>0</v>
      </c>
      <c r="AH35" s="286">
        <v>0</v>
      </c>
      <c r="AI35" s="290">
        <v>0</v>
      </c>
      <c r="AJ35" s="289">
        <v>0</v>
      </c>
      <c r="AK35" s="291">
        <v>1305882.4059681923</v>
      </c>
    </row>
    <row r="36" spans="1:37" x14ac:dyDescent="0.25">
      <c r="A36" s="264" t="s">
        <v>407</v>
      </c>
      <c r="B36" s="264" t="s">
        <v>1071</v>
      </c>
      <c r="C36" s="264" t="s">
        <v>1072</v>
      </c>
      <c r="D36" s="264">
        <v>2583952</v>
      </c>
      <c r="E36" s="264" t="s">
        <v>1799</v>
      </c>
      <c r="F36" s="264">
        <v>2018</v>
      </c>
      <c r="G36" s="281">
        <v>1.1000000000000001</v>
      </c>
      <c r="H36" s="264">
        <v>1.1000000000000001</v>
      </c>
      <c r="I36" s="282">
        <v>0</v>
      </c>
      <c r="J36" s="281">
        <v>0</v>
      </c>
      <c r="K36" s="281">
        <v>0</v>
      </c>
      <c r="L36" s="264">
        <v>0</v>
      </c>
      <c r="M36" s="282">
        <v>9</v>
      </c>
      <c r="N36" s="281">
        <v>0</v>
      </c>
      <c r="O36" s="281"/>
      <c r="P36" s="263"/>
      <c r="Q36" s="313"/>
      <c r="R36" s="284">
        <v>1.1000000000000001</v>
      </c>
      <c r="S36" s="284">
        <v>1.1000000000000001</v>
      </c>
      <c r="T36" s="284">
        <v>0</v>
      </c>
      <c r="U36" s="284">
        <v>0</v>
      </c>
      <c r="V36" s="284">
        <v>0</v>
      </c>
      <c r="W36" s="284">
        <v>0</v>
      </c>
      <c r="X36" s="284">
        <v>0</v>
      </c>
      <c r="Y36" s="313"/>
      <c r="Z36" s="285">
        <v>669161.78482096724</v>
      </c>
      <c r="AA36" s="286">
        <v>0</v>
      </c>
      <c r="AB36" s="287">
        <v>49073.538461538468</v>
      </c>
      <c r="AC36" s="288">
        <v>0</v>
      </c>
      <c r="AD36" s="289">
        <v>718235.32328250573</v>
      </c>
      <c r="AE36" s="266"/>
      <c r="AF36" s="285">
        <v>0</v>
      </c>
      <c r="AG36" s="286">
        <v>0</v>
      </c>
      <c r="AH36" s="286">
        <v>0</v>
      </c>
      <c r="AI36" s="290">
        <v>0</v>
      </c>
      <c r="AJ36" s="289">
        <v>0</v>
      </c>
      <c r="AK36" s="291">
        <v>718235.32328250573</v>
      </c>
    </row>
    <row r="37" spans="1:37" x14ac:dyDescent="0.25">
      <c r="A37" s="264" t="s">
        <v>1106</v>
      </c>
      <c r="B37" s="264" t="s">
        <v>553</v>
      </c>
      <c r="C37" s="264" t="s">
        <v>1105</v>
      </c>
      <c r="D37" s="264">
        <v>8289298</v>
      </c>
      <c r="E37" s="264" t="s">
        <v>1799</v>
      </c>
      <c r="F37" s="264">
        <v>2018</v>
      </c>
      <c r="G37" s="281">
        <v>1.35</v>
      </c>
      <c r="H37" s="264">
        <v>1.35</v>
      </c>
      <c r="I37" s="282">
        <v>0</v>
      </c>
      <c r="J37" s="281">
        <v>0</v>
      </c>
      <c r="K37" s="281">
        <v>0</v>
      </c>
      <c r="L37" s="264">
        <v>0</v>
      </c>
      <c r="M37" s="282">
        <v>20</v>
      </c>
      <c r="N37" s="281">
        <v>0</v>
      </c>
      <c r="O37" s="281"/>
      <c r="P37" s="263"/>
      <c r="Q37" s="313"/>
      <c r="R37" s="284">
        <v>1.35</v>
      </c>
      <c r="S37" s="284">
        <v>1.35</v>
      </c>
      <c r="T37" s="284">
        <v>0</v>
      </c>
      <c r="U37" s="284">
        <v>0</v>
      </c>
      <c r="V37" s="284">
        <v>0</v>
      </c>
      <c r="W37" s="284">
        <v>0</v>
      </c>
      <c r="X37" s="284">
        <v>0</v>
      </c>
      <c r="Y37" s="313"/>
      <c r="Z37" s="285">
        <v>821244.00864391436</v>
      </c>
      <c r="AA37" s="286">
        <v>0</v>
      </c>
      <c r="AB37" s="287">
        <v>60226.61538461539</v>
      </c>
      <c r="AC37" s="288">
        <v>0</v>
      </c>
      <c r="AD37" s="289">
        <v>881470.62402852974</v>
      </c>
      <c r="AE37" s="266"/>
      <c r="AF37" s="285">
        <v>0</v>
      </c>
      <c r="AG37" s="286">
        <v>0</v>
      </c>
      <c r="AH37" s="286">
        <v>0</v>
      </c>
      <c r="AI37" s="290">
        <v>0</v>
      </c>
      <c r="AJ37" s="289">
        <v>0</v>
      </c>
      <c r="AK37" s="291">
        <v>881470.62402852974</v>
      </c>
    </row>
    <row r="38" spans="1:37" x14ac:dyDescent="0.25">
      <c r="A38" s="264" t="s">
        <v>294</v>
      </c>
      <c r="B38" s="264" t="s">
        <v>290</v>
      </c>
      <c r="C38" s="264" t="s">
        <v>1102</v>
      </c>
      <c r="D38" s="264">
        <v>6565086</v>
      </c>
      <c r="E38" s="264" t="s">
        <v>1799</v>
      </c>
      <c r="F38" s="264">
        <v>2018</v>
      </c>
      <c r="G38" s="281">
        <v>1.2</v>
      </c>
      <c r="H38" s="264">
        <v>1.1000000000000001</v>
      </c>
      <c r="I38" s="282">
        <v>0.1</v>
      </c>
      <c r="J38" s="281">
        <v>0</v>
      </c>
      <c r="K38" s="281">
        <v>0</v>
      </c>
      <c r="L38" s="264">
        <v>0</v>
      </c>
      <c r="M38" s="282">
        <v>25</v>
      </c>
      <c r="N38" s="281">
        <v>0</v>
      </c>
      <c r="O38" s="281"/>
      <c r="P38" s="263"/>
      <c r="Q38" s="313"/>
      <c r="R38" s="284">
        <v>1.2</v>
      </c>
      <c r="S38" s="284">
        <v>1.1000000000000001</v>
      </c>
      <c r="T38" s="284">
        <v>0.1</v>
      </c>
      <c r="U38" s="284">
        <v>0</v>
      </c>
      <c r="V38" s="284">
        <v>0</v>
      </c>
      <c r="W38" s="284">
        <v>0</v>
      </c>
      <c r="X38" s="284">
        <v>0</v>
      </c>
      <c r="Y38" s="313"/>
      <c r="Z38" s="285">
        <v>729994.67435014609</v>
      </c>
      <c r="AA38" s="286">
        <v>0</v>
      </c>
      <c r="AB38" s="287">
        <v>53534.769230769234</v>
      </c>
      <c r="AC38" s="288">
        <v>0</v>
      </c>
      <c r="AD38" s="289">
        <v>783529.44358091534</v>
      </c>
      <c r="AE38" s="266"/>
      <c r="AF38" s="285">
        <v>0</v>
      </c>
      <c r="AG38" s="286">
        <v>0</v>
      </c>
      <c r="AH38" s="286">
        <v>0</v>
      </c>
      <c r="AI38" s="290">
        <v>0</v>
      </c>
      <c r="AJ38" s="289">
        <v>0</v>
      </c>
      <c r="AK38" s="291">
        <v>783529.44358091534</v>
      </c>
    </row>
    <row r="39" spans="1:37" x14ac:dyDescent="0.25">
      <c r="A39" s="264" t="s">
        <v>1130</v>
      </c>
      <c r="B39" s="264" t="s">
        <v>281</v>
      </c>
      <c r="C39" s="264" t="s">
        <v>1129</v>
      </c>
      <c r="D39" s="264">
        <v>2039109</v>
      </c>
      <c r="E39" s="264" t="s">
        <v>1774</v>
      </c>
      <c r="F39" s="264">
        <v>2018</v>
      </c>
      <c r="G39" s="281">
        <v>0.55000000000000004</v>
      </c>
      <c r="H39" s="264">
        <v>0.05</v>
      </c>
      <c r="I39" s="282">
        <v>0.5</v>
      </c>
      <c r="J39" s="281">
        <v>0</v>
      </c>
      <c r="K39" s="281">
        <v>0</v>
      </c>
      <c r="L39" s="264">
        <v>0</v>
      </c>
      <c r="M39" s="282">
        <v>5</v>
      </c>
      <c r="N39" s="281">
        <v>0</v>
      </c>
      <c r="O39" s="281"/>
      <c r="P39" s="263"/>
      <c r="Q39" s="313"/>
      <c r="R39" s="284">
        <v>0.55000000000000004</v>
      </c>
      <c r="S39" s="284">
        <v>0.05</v>
      </c>
      <c r="T39" s="284">
        <v>0.5</v>
      </c>
      <c r="U39" s="284">
        <v>0</v>
      </c>
      <c r="V39" s="284">
        <v>0</v>
      </c>
      <c r="W39" s="284">
        <v>0</v>
      </c>
      <c r="X39" s="284">
        <v>0</v>
      </c>
      <c r="Y39" s="313"/>
      <c r="Z39" s="285">
        <v>255818.56433739423</v>
      </c>
      <c r="AA39" s="286">
        <v>0</v>
      </c>
      <c r="AB39" s="287">
        <v>10293.377309232612</v>
      </c>
      <c r="AC39" s="288">
        <v>0</v>
      </c>
      <c r="AD39" s="289">
        <v>266111.94164662686</v>
      </c>
      <c r="AE39" s="266"/>
      <c r="AF39" s="285">
        <v>62484.420240337902</v>
      </c>
      <c r="AG39" s="286">
        <v>0</v>
      </c>
      <c r="AH39" s="286">
        <v>0</v>
      </c>
      <c r="AI39" s="290">
        <v>0</v>
      </c>
      <c r="AJ39" s="289">
        <v>62484.420240337902</v>
      </c>
      <c r="AK39" s="291">
        <v>203627.52140628896</v>
      </c>
    </row>
    <row r="40" spans="1:37" x14ac:dyDescent="0.25">
      <c r="A40" s="264" t="s">
        <v>377</v>
      </c>
      <c r="B40" s="264" t="s">
        <v>550</v>
      </c>
      <c r="C40" s="264" t="s">
        <v>1129</v>
      </c>
      <c r="D40" s="264">
        <v>8902089</v>
      </c>
      <c r="E40" s="264" t="s">
        <v>1774</v>
      </c>
      <c r="F40" s="264">
        <v>2018</v>
      </c>
      <c r="G40" s="281">
        <v>5.3</v>
      </c>
      <c r="H40" s="264">
        <v>0.9</v>
      </c>
      <c r="I40" s="282">
        <v>4.4000000000000004</v>
      </c>
      <c r="J40" s="281">
        <v>0</v>
      </c>
      <c r="K40" s="281">
        <v>0</v>
      </c>
      <c r="L40" s="264">
        <v>0</v>
      </c>
      <c r="M40" s="282">
        <v>5</v>
      </c>
      <c r="N40" s="281">
        <v>0</v>
      </c>
      <c r="O40" s="281"/>
      <c r="P40" s="263"/>
      <c r="Q40" s="313"/>
      <c r="R40" s="284">
        <v>5.3</v>
      </c>
      <c r="S40" s="284">
        <v>0.9</v>
      </c>
      <c r="T40" s="284">
        <v>4.4000000000000004</v>
      </c>
      <c r="U40" s="284">
        <v>0</v>
      </c>
      <c r="V40" s="284">
        <v>0</v>
      </c>
      <c r="W40" s="284">
        <v>0</v>
      </c>
      <c r="X40" s="284">
        <v>0</v>
      </c>
      <c r="Y40" s="313"/>
      <c r="Z40" s="285">
        <v>2465160.710887617</v>
      </c>
      <c r="AA40" s="286">
        <v>0</v>
      </c>
      <c r="AB40" s="287">
        <v>99190.726798059695</v>
      </c>
      <c r="AC40" s="288">
        <v>0</v>
      </c>
      <c r="AD40" s="289">
        <v>2564351.4376856769</v>
      </c>
      <c r="AE40" s="266"/>
      <c r="AF40" s="285">
        <v>549862.89811497356</v>
      </c>
      <c r="AG40" s="286">
        <v>0</v>
      </c>
      <c r="AH40" s="286">
        <v>0</v>
      </c>
      <c r="AI40" s="290">
        <v>0</v>
      </c>
      <c r="AJ40" s="289">
        <v>549862.89811497356</v>
      </c>
      <c r="AK40" s="291">
        <v>2014488.5395707032</v>
      </c>
    </row>
    <row r="41" spans="1:37" x14ac:dyDescent="0.25">
      <c r="A41" s="264" t="s">
        <v>377</v>
      </c>
      <c r="B41" s="264" t="s">
        <v>553</v>
      </c>
      <c r="C41" s="264" t="s">
        <v>1133</v>
      </c>
      <c r="D41" s="264">
        <v>2392006</v>
      </c>
      <c r="E41" s="264" t="s">
        <v>1776</v>
      </c>
      <c r="F41" s="264">
        <v>2018</v>
      </c>
      <c r="G41" s="281">
        <v>4.7</v>
      </c>
      <c r="H41" s="264">
        <v>0.75</v>
      </c>
      <c r="I41" s="282">
        <v>3.95</v>
      </c>
      <c r="J41" s="281">
        <v>0</v>
      </c>
      <c r="K41" s="281">
        <v>0</v>
      </c>
      <c r="L41" s="264">
        <v>0</v>
      </c>
      <c r="M41" s="282">
        <v>13</v>
      </c>
      <c r="N41" s="281">
        <v>0</v>
      </c>
      <c r="O41" s="281"/>
      <c r="P41" s="263"/>
      <c r="Q41" s="313"/>
      <c r="R41" s="284">
        <v>4.7</v>
      </c>
      <c r="S41" s="284">
        <v>0.75</v>
      </c>
      <c r="T41" s="284">
        <v>3.95</v>
      </c>
      <c r="U41" s="284">
        <v>0</v>
      </c>
      <c r="V41" s="284">
        <v>0</v>
      </c>
      <c r="W41" s="284">
        <v>0</v>
      </c>
      <c r="X41" s="284">
        <v>0</v>
      </c>
      <c r="Y41" s="313"/>
      <c r="Z41" s="285">
        <v>2186085.9134286414</v>
      </c>
      <c r="AA41" s="286">
        <v>0</v>
      </c>
      <c r="AB41" s="287">
        <v>87961.58791526049</v>
      </c>
      <c r="AC41" s="288">
        <v>0</v>
      </c>
      <c r="AD41" s="289">
        <v>2274047.5013439017</v>
      </c>
      <c r="AE41" s="266"/>
      <c r="AF41" s="285">
        <v>493626.91989866947</v>
      </c>
      <c r="AG41" s="286">
        <v>0</v>
      </c>
      <c r="AH41" s="286">
        <v>0</v>
      </c>
      <c r="AI41" s="290">
        <v>0</v>
      </c>
      <c r="AJ41" s="289">
        <v>493626.91989866947</v>
      </c>
      <c r="AK41" s="291">
        <v>1780420.5814452323</v>
      </c>
    </row>
    <row r="42" spans="1:37" x14ac:dyDescent="0.25">
      <c r="A42" s="264" t="s">
        <v>965</v>
      </c>
      <c r="B42" s="264" t="s">
        <v>965</v>
      </c>
      <c r="C42" s="264" t="s">
        <v>1133</v>
      </c>
      <c r="D42" s="264">
        <v>3198258</v>
      </c>
      <c r="E42" s="264" t="s">
        <v>1776</v>
      </c>
      <c r="F42" s="264">
        <v>2018</v>
      </c>
      <c r="G42" s="281">
        <v>0.64</v>
      </c>
      <c r="H42" s="264">
        <v>0.04</v>
      </c>
      <c r="I42" s="282">
        <v>0.6</v>
      </c>
      <c r="J42" s="281">
        <v>0</v>
      </c>
      <c r="K42" s="281">
        <v>0</v>
      </c>
      <c r="L42" s="264">
        <v>0</v>
      </c>
      <c r="M42" s="282">
        <v>5</v>
      </c>
      <c r="N42" s="281">
        <v>0</v>
      </c>
      <c r="O42" s="281"/>
      <c r="P42" s="263"/>
      <c r="Q42" s="313"/>
      <c r="R42" s="284">
        <v>0.64</v>
      </c>
      <c r="S42" s="284">
        <v>0.04</v>
      </c>
      <c r="T42" s="284">
        <v>0.6</v>
      </c>
      <c r="U42" s="284">
        <v>0</v>
      </c>
      <c r="V42" s="284">
        <v>0</v>
      </c>
      <c r="W42" s="284">
        <v>0</v>
      </c>
      <c r="X42" s="284">
        <v>0</v>
      </c>
      <c r="Y42" s="313"/>
      <c r="Z42" s="285">
        <v>297679.78395624051</v>
      </c>
      <c r="AA42" s="286">
        <v>0</v>
      </c>
      <c r="AB42" s="287">
        <v>11977.748141652493</v>
      </c>
      <c r="AC42" s="288">
        <v>0</v>
      </c>
      <c r="AD42" s="289">
        <v>309657.53209789301</v>
      </c>
      <c r="AE42" s="266"/>
      <c r="AF42" s="285">
        <v>74981.304288405474</v>
      </c>
      <c r="AG42" s="286">
        <v>0</v>
      </c>
      <c r="AH42" s="286">
        <v>0</v>
      </c>
      <c r="AI42" s="290">
        <v>0</v>
      </c>
      <c r="AJ42" s="289">
        <v>74981.304288405474</v>
      </c>
      <c r="AK42" s="291">
        <v>234676.22780948755</v>
      </c>
    </row>
    <row r="43" spans="1:37" x14ac:dyDescent="0.25">
      <c r="A43" s="264" t="s">
        <v>1140</v>
      </c>
      <c r="B43" s="264" t="s">
        <v>1141</v>
      </c>
      <c r="C43" s="264" t="s">
        <v>1139</v>
      </c>
      <c r="D43" s="264">
        <v>4271738</v>
      </c>
      <c r="E43" s="264" t="s">
        <v>1777</v>
      </c>
      <c r="F43" s="264">
        <v>2018</v>
      </c>
      <c r="G43" s="281">
        <v>2.2999999999999998</v>
      </c>
      <c r="H43" s="264">
        <v>0.3</v>
      </c>
      <c r="I43" s="282">
        <v>2</v>
      </c>
      <c r="J43" s="281">
        <v>0</v>
      </c>
      <c r="K43" s="281">
        <v>0</v>
      </c>
      <c r="L43" s="264">
        <v>0</v>
      </c>
      <c r="M43" s="282">
        <v>5</v>
      </c>
      <c r="N43" s="281">
        <v>0</v>
      </c>
      <c r="O43" s="281"/>
      <c r="P43" s="263"/>
      <c r="Q43" s="313"/>
      <c r="R43" s="284">
        <v>2.2999999999999998</v>
      </c>
      <c r="S43" s="284">
        <v>0.3</v>
      </c>
      <c r="T43" s="284">
        <v>2</v>
      </c>
      <c r="U43" s="284">
        <v>0</v>
      </c>
      <c r="V43" s="284">
        <v>0</v>
      </c>
      <c r="W43" s="284">
        <v>0</v>
      </c>
      <c r="X43" s="284">
        <v>0</v>
      </c>
      <c r="Y43" s="313"/>
      <c r="Z43" s="285">
        <v>1069786.7235927393</v>
      </c>
      <c r="AA43" s="286">
        <v>0</v>
      </c>
      <c r="AB43" s="287">
        <v>43045.032384063641</v>
      </c>
      <c r="AC43" s="288">
        <v>0</v>
      </c>
      <c r="AD43" s="289">
        <v>1112831.7559768029</v>
      </c>
      <c r="AE43" s="266"/>
      <c r="AF43" s="285">
        <v>249937.68096135161</v>
      </c>
      <c r="AG43" s="286">
        <v>0</v>
      </c>
      <c r="AH43" s="286">
        <v>0</v>
      </c>
      <c r="AI43" s="290">
        <v>0</v>
      </c>
      <c r="AJ43" s="289">
        <v>249937.68096135161</v>
      </c>
      <c r="AK43" s="291">
        <v>862894.07501545129</v>
      </c>
    </row>
    <row r="44" spans="1:37" x14ac:dyDescent="0.25">
      <c r="A44" s="264" t="s">
        <v>1147</v>
      </c>
      <c r="B44" s="264" t="s">
        <v>580</v>
      </c>
      <c r="C44" s="264" t="s">
        <v>1135</v>
      </c>
      <c r="D44" s="264">
        <v>7566271</v>
      </c>
      <c r="E44" s="264" t="s">
        <v>1879</v>
      </c>
      <c r="F44" s="264">
        <v>2018</v>
      </c>
      <c r="G44" s="281">
        <v>19.350000000000001</v>
      </c>
      <c r="H44" s="264">
        <v>1.35</v>
      </c>
      <c r="I44" s="282">
        <v>18</v>
      </c>
      <c r="J44" s="281">
        <v>0</v>
      </c>
      <c r="K44" s="281">
        <v>0</v>
      </c>
      <c r="L44" s="264">
        <v>0</v>
      </c>
      <c r="M44" s="282">
        <v>18</v>
      </c>
      <c r="N44" s="281">
        <v>0</v>
      </c>
      <c r="O44" s="281"/>
      <c r="P44" s="263"/>
      <c r="Q44" s="313"/>
      <c r="R44" s="284">
        <v>19.350000000000001</v>
      </c>
      <c r="S44" s="284">
        <v>1.35</v>
      </c>
      <c r="T44" s="284">
        <v>18</v>
      </c>
      <c r="U44" s="284">
        <v>0</v>
      </c>
      <c r="V44" s="284">
        <v>0</v>
      </c>
      <c r="W44" s="284">
        <v>0</v>
      </c>
      <c r="X44" s="284">
        <v>0</v>
      </c>
      <c r="Y44" s="313"/>
      <c r="Z44" s="285">
        <v>9000162.2180519607</v>
      </c>
      <c r="AA44" s="286">
        <v>0</v>
      </c>
      <c r="AB44" s="287">
        <v>362139.72897027462</v>
      </c>
      <c r="AC44" s="288">
        <v>0</v>
      </c>
      <c r="AD44" s="289">
        <v>9362301.947022235</v>
      </c>
      <c r="AE44" s="266"/>
      <c r="AF44" s="285">
        <v>2249439.1286521647</v>
      </c>
      <c r="AG44" s="286">
        <v>0</v>
      </c>
      <c r="AH44" s="286">
        <v>0</v>
      </c>
      <c r="AI44" s="290">
        <v>0</v>
      </c>
      <c r="AJ44" s="289">
        <v>2249439.1286521647</v>
      </c>
      <c r="AK44" s="291">
        <v>7112862.8183700703</v>
      </c>
    </row>
    <row r="45" spans="1:37" x14ac:dyDescent="0.25">
      <c r="A45" s="264" t="s">
        <v>377</v>
      </c>
      <c r="B45" s="264" t="s">
        <v>887</v>
      </c>
      <c r="C45" s="264" t="s">
        <v>1135</v>
      </c>
      <c r="D45" s="264">
        <v>5991938</v>
      </c>
      <c r="E45" s="264" t="s">
        <v>1879</v>
      </c>
      <c r="F45" s="264">
        <v>2018</v>
      </c>
      <c r="G45" s="281">
        <v>5.5</v>
      </c>
      <c r="H45" s="264">
        <v>0.5</v>
      </c>
      <c r="I45" s="282">
        <v>5</v>
      </c>
      <c r="J45" s="281">
        <v>0</v>
      </c>
      <c r="K45" s="281">
        <v>0</v>
      </c>
      <c r="L45" s="264">
        <v>0</v>
      </c>
      <c r="M45" s="282">
        <v>25</v>
      </c>
      <c r="N45" s="281">
        <v>0</v>
      </c>
      <c r="O45" s="281"/>
      <c r="P45" s="263"/>
      <c r="Q45" s="313"/>
      <c r="R45" s="284">
        <v>5.5</v>
      </c>
      <c r="S45" s="284">
        <v>0.5</v>
      </c>
      <c r="T45" s="284">
        <v>5</v>
      </c>
      <c r="U45" s="284">
        <v>0</v>
      </c>
      <c r="V45" s="284">
        <v>0</v>
      </c>
      <c r="W45" s="284">
        <v>0</v>
      </c>
      <c r="X45" s="284">
        <v>0</v>
      </c>
      <c r="Y45" s="313"/>
      <c r="Z45" s="285">
        <v>2558185.643373942</v>
      </c>
      <c r="AA45" s="286">
        <v>0</v>
      </c>
      <c r="AB45" s="287">
        <v>102933.77309232611</v>
      </c>
      <c r="AC45" s="288">
        <v>0</v>
      </c>
      <c r="AD45" s="289">
        <v>2661119.4164662682</v>
      </c>
      <c r="AE45" s="266"/>
      <c r="AF45" s="285">
        <v>624844.20240337902</v>
      </c>
      <c r="AG45" s="286">
        <v>0</v>
      </c>
      <c r="AH45" s="286">
        <v>0</v>
      </c>
      <c r="AI45" s="290">
        <v>0</v>
      </c>
      <c r="AJ45" s="289">
        <v>624844.20240337902</v>
      </c>
      <c r="AK45" s="291">
        <v>2036275.2140628891</v>
      </c>
    </row>
    <row r="46" spans="1:37" x14ac:dyDescent="0.25">
      <c r="A46" s="264" t="s">
        <v>1010</v>
      </c>
      <c r="B46" s="264" t="s">
        <v>1010</v>
      </c>
      <c r="C46" s="264" t="s">
        <v>1135</v>
      </c>
      <c r="D46" s="264">
        <v>2495303</v>
      </c>
      <c r="E46" s="264" t="s">
        <v>1879</v>
      </c>
      <c r="F46" s="264">
        <v>2018</v>
      </c>
      <c r="G46" s="281">
        <v>8.59</v>
      </c>
      <c r="H46" s="264">
        <v>0.4</v>
      </c>
      <c r="I46" s="282">
        <v>8.19</v>
      </c>
      <c r="J46" s="281">
        <v>0</v>
      </c>
      <c r="K46" s="281">
        <v>0</v>
      </c>
      <c r="L46" s="264">
        <v>0</v>
      </c>
      <c r="M46" s="282">
        <v>65</v>
      </c>
      <c r="N46" s="281">
        <v>0</v>
      </c>
      <c r="O46" s="281"/>
      <c r="P46" s="263"/>
      <c r="Q46" s="313"/>
      <c r="R46" s="284">
        <v>8.59</v>
      </c>
      <c r="S46" s="284">
        <v>0.4</v>
      </c>
      <c r="T46" s="284">
        <v>8.19</v>
      </c>
      <c r="U46" s="284">
        <v>0</v>
      </c>
      <c r="V46" s="284">
        <v>0</v>
      </c>
      <c r="W46" s="284">
        <v>0</v>
      </c>
      <c r="X46" s="284">
        <v>0</v>
      </c>
      <c r="Y46" s="313"/>
      <c r="Z46" s="285">
        <v>3995420.8502876656</v>
      </c>
      <c r="AA46" s="286">
        <v>0</v>
      </c>
      <c r="AB46" s="287">
        <v>160763.83833874203</v>
      </c>
      <c r="AC46" s="288">
        <v>0</v>
      </c>
      <c r="AD46" s="289">
        <v>4156184.6886264076</v>
      </c>
      <c r="AE46" s="266"/>
      <c r="AF46" s="285">
        <v>1023494.8035367348</v>
      </c>
      <c r="AG46" s="286">
        <v>0</v>
      </c>
      <c r="AH46" s="286">
        <v>0</v>
      </c>
      <c r="AI46" s="290">
        <v>0</v>
      </c>
      <c r="AJ46" s="289">
        <v>1023494.8035367348</v>
      </c>
      <c r="AK46" s="291">
        <v>3132689.8850896731</v>
      </c>
    </row>
    <row r="47" spans="1:37" x14ac:dyDescent="0.25">
      <c r="A47" s="264" t="s">
        <v>1147</v>
      </c>
      <c r="B47" s="264" t="s">
        <v>580</v>
      </c>
      <c r="C47" s="264" t="s">
        <v>1148</v>
      </c>
      <c r="D47" s="264">
        <v>7566271</v>
      </c>
      <c r="E47" s="264" t="s">
        <v>1780</v>
      </c>
      <c r="F47" s="264">
        <v>2018</v>
      </c>
      <c r="G47" s="281">
        <v>1.08</v>
      </c>
      <c r="H47" s="264">
        <v>0.08</v>
      </c>
      <c r="I47" s="282">
        <v>1</v>
      </c>
      <c r="J47" s="281">
        <v>0</v>
      </c>
      <c r="K47" s="281">
        <v>0</v>
      </c>
      <c r="L47" s="264">
        <v>0</v>
      </c>
      <c r="M47" s="282">
        <v>60</v>
      </c>
      <c r="N47" s="281">
        <v>0</v>
      </c>
      <c r="O47" s="281"/>
      <c r="P47" s="263"/>
      <c r="Q47" s="313"/>
      <c r="R47" s="284">
        <v>1.08</v>
      </c>
      <c r="S47" s="284">
        <v>0.08</v>
      </c>
      <c r="T47" s="284">
        <v>1</v>
      </c>
      <c r="U47" s="284">
        <v>0</v>
      </c>
      <c r="V47" s="284">
        <v>0</v>
      </c>
      <c r="W47" s="284">
        <v>0</v>
      </c>
      <c r="X47" s="284">
        <v>0</v>
      </c>
      <c r="Y47" s="313"/>
      <c r="Z47" s="285">
        <v>502334.63542615593</v>
      </c>
      <c r="AA47" s="286">
        <v>0</v>
      </c>
      <c r="AB47" s="287">
        <v>20212.449989038581</v>
      </c>
      <c r="AC47" s="288">
        <v>0</v>
      </c>
      <c r="AD47" s="289">
        <v>522547.08541519451</v>
      </c>
      <c r="AE47" s="266"/>
      <c r="AF47" s="285">
        <v>124968.8404806758</v>
      </c>
      <c r="AG47" s="286">
        <v>0</v>
      </c>
      <c r="AH47" s="286">
        <v>0</v>
      </c>
      <c r="AI47" s="290">
        <v>0</v>
      </c>
      <c r="AJ47" s="289">
        <v>124968.8404806758</v>
      </c>
      <c r="AK47" s="291">
        <v>397578.24493451871</v>
      </c>
    </row>
    <row r="48" spans="1:37" x14ac:dyDescent="0.25">
      <c r="A48" s="264" t="s">
        <v>226</v>
      </c>
      <c r="B48" s="264" t="s">
        <v>1145</v>
      </c>
      <c r="C48" s="264" t="s">
        <v>1123</v>
      </c>
      <c r="D48" s="264">
        <v>6152074</v>
      </c>
      <c r="E48" s="264" t="s">
        <v>1781</v>
      </c>
      <c r="F48" s="264">
        <v>2018</v>
      </c>
      <c r="G48" s="281">
        <v>8.9</v>
      </c>
      <c r="H48" s="264">
        <v>1.3</v>
      </c>
      <c r="I48" s="282">
        <v>7.6</v>
      </c>
      <c r="J48" s="281">
        <v>0</v>
      </c>
      <c r="K48" s="281">
        <v>0</v>
      </c>
      <c r="L48" s="264">
        <v>0</v>
      </c>
      <c r="M48" s="282">
        <v>52</v>
      </c>
      <c r="N48" s="281">
        <v>0</v>
      </c>
      <c r="O48" s="281"/>
      <c r="P48" s="263"/>
      <c r="Q48" s="313"/>
      <c r="R48" s="284">
        <v>8.9</v>
      </c>
      <c r="S48" s="284">
        <v>1.3</v>
      </c>
      <c r="T48" s="284">
        <v>7.6</v>
      </c>
      <c r="U48" s="284">
        <v>0</v>
      </c>
      <c r="V48" s="284">
        <v>0</v>
      </c>
      <c r="W48" s="284">
        <v>0</v>
      </c>
      <c r="X48" s="284">
        <v>0</v>
      </c>
      <c r="Y48" s="313"/>
      <c r="Z48" s="285">
        <v>4139609.49564147</v>
      </c>
      <c r="AA48" s="286">
        <v>0</v>
      </c>
      <c r="AB48" s="287">
        <v>166565.56009485497</v>
      </c>
      <c r="AC48" s="288">
        <v>0</v>
      </c>
      <c r="AD48" s="289">
        <v>4306175.0557363247</v>
      </c>
      <c r="AE48" s="266"/>
      <c r="AF48" s="285">
        <v>949763.18765313609</v>
      </c>
      <c r="AG48" s="286">
        <v>0</v>
      </c>
      <c r="AH48" s="286">
        <v>0</v>
      </c>
      <c r="AI48" s="290">
        <v>0</v>
      </c>
      <c r="AJ48" s="289">
        <v>949763.18765313609</v>
      </c>
      <c r="AK48" s="291">
        <v>3356411.8680831888</v>
      </c>
    </row>
    <row r="49" spans="1:37" x14ac:dyDescent="0.25">
      <c r="A49" s="264" t="s">
        <v>962</v>
      </c>
      <c r="B49" s="264" t="s">
        <v>962</v>
      </c>
      <c r="C49" s="264" t="s">
        <v>1123</v>
      </c>
      <c r="D49" s="264">
        <v>1715626</v>
      </c>
      <c r="E49" s="264" t="s">
        <v>1781</v>
      </c>
      <c r="F49" s="264">
        <v>2018</v>
      </c>
      <c r="G49" s="281">
        <v>9.8000000000000007</v>
      </c>
      <c r="H49" s="264">
        <v>0.8</v>
      </c>
      <c r="I49" s="282">
        <v>9</v>
      </c>
      <c r="J49" s="281">
        <v>0</v>
      </c>
      <c r="K49" s="281">
        <v>0</v>
      </c>
      <c r="L49" s="264">
        <v>0</v>
      </c>
      <c r="M49" s="282">
        <v>0</v>
      </c>
      <c r="N49" s="281">
        <v>5</v>
      </c>
      <c r="O49" s="281"/>
      <c r="P49" s="263"/>
      <c r="Q49" s="313"/>
      <c r="R49" s="284">
        <v>9.8000000000000007</v>
      </c>
      <c r="S49" s="284">
        <v>0.8</v>
      </c>
      <c r="T49" s="284">
        <v>9</v>
      </c>
      <c r="U49" s="284">
        <v>0</v>
      </c>
      <c r="V49" s="284">
        <v>0</v>
      </c>
      <c r="W49" s="284">
        <v>0</v>
      </c>
      <c r="X49" s="284">
        <v>5</v>
      </c>
      <c r="Y49" s="313"/>
      <c r="Z49" s="285">
        <v>4558221.6918299338</v>
      </c>
      <c r="AA49" s="286">
        <v>0</v>
      </c>
      <c r="AB49" s="287">
        <v>183409.26841905381</v>
      </c>
      <c r="AC49" s="288">
        <v>0</v>
      </c>
      <c r="AD49" s="289">
        <v>4741630.9602489872</v>
      </c>
      <c r="AE49" s="266"/>
      <c r="AF49" s="285">
        <v>1124719.5643260824</v>
      </c>
      <c r="AG49" s="286">
        <v>0</v>
      </c>
      <c r="AH49" s="286">
        <v>0</v>
      </c>
      <c r="AI49" s="290">
        <v>0</v>
      </c>
      <c r="AJ49" s="289">
        <v>1124719.5643260824</v>
      </c>
      <c r="AK49" s="291">
        <v>3616911.3959229048</v>
      </c>
    </row>
    <row r="50" spans="1:37" x14ac:dyDescent="0.25">
      <c r="A50" s="264" t="s">
        <v>1147</v>
      </c>
      <c r="B50" s="264" t="s">
        <v>580</v>
      </c>
      <c r="C50" s="264" t="s">
        <v>1150</v>
      </c>
      <c r="D50" s="264">
        <v>7566271</v>
      </c>
      <c r="E50" s="264" t="s">
        <v>1782</v>
      </c>
      <c r="F50" s="264">
        <v>2018</v>
      </c>
      <c r="G50" s="281">
        <v>2.27</v>
      </c>
      <c r="H50" s="264">
        <v>0.27</v>
      </c>
      <c r="I50" s="282">
        <v>2</v>
      </c>
      <c r="J50" s="281">
        <v>0</v>
      </c>
      <c r="K50" s="281">
        <v>0</v>
      </c>
      <c r="L50" s="264">
        <v>0</v>
      </c>
      <c r="M50" s="282">
        <v>60</v>
      </c>
      <c r="N50" s="281">
        <v>0</v>
      </c>
      <c r="O50" s="281"/>
      <c r="P50" s="263"/>
      <c r="Q50" s="313"/>
      <c r="R50" s="284">
        <v>2.27</v>
      </c>
      <c r="S50" s="284">
        <v>0.27</v>
      </c>
      <c r="T50" s="284">
        <v>2</v>
      </c>
      <c r="U50" s="284">
        <v>0</v>
      </c>
      <c r="V50" s="284">
        <v>0</v>
      </c>
      <c r="W50" s="284">
        <v>0</v>
      </c>
      <c r="X50" s="284">
        <v>0</v>
      </c>
      <c r="Y50" s="313"/>
      <c r="Z50" s="285">
        <v>1055832.9837197906</v>
      </c>
      <c r="AA50" s="286">
        <v>0</v>
      </c>
      <c r="AB50" s="287">
        <v>42483.575439923683</v>
      </c>
      <c r="AC50" s="288">
        <v>0</v>
      </c>
      <c r="AD50" s="289">
        <v>1098316.5591597143</v>
      </c>
      <c r="AE50" s="266"/>
      <c r="AF50" s="285">
        <v>249937.68096135161</v>
      </c>
      <c r="AG50" s="286">
        <v>0</v>
      </c>
      <c r="AH50" s="286">
        <v>0</v>
      </c>
      <c r="AI50" s="290">
        <v>0</v>
      </c>
      <c r="AJ50" s="289">
        <v>249937.68096135161</v>
      </c>
      <c r="AK50" s="291">
        <v>848378.87819836265</v>
      </c>
    </row>
    <row r="51" spans="1:37" x14ac:dyDescent="0.25">
      <c r="A51" s="264" t="s">
        <v>1147</v>
      </c>
      <c r="B51" s="264" t="s">
        <v>580</v>
      </c>
      <c r="C51" s="264" t="s">
        <v>1152</v>
      </c>
      <c r="D51" s="264">
        <v>7566271</v>
      </c>
      <c r="E51" s="264" t="s">
        <v>1787</v>
      </c>
      <c r="F51" s="264">
        <v>2018</v>
      </c>
      <c r="G51" s="281">
        <v>1.1000000000000001</v>
      </c>
      <c r="H51" s="264">
        <v>0.1</v>
      </c>
      <c r="I51" s="282">
        <v>1</v>
      </c>
      <c r="J51" s="281">
        <v>0</v>
      </c>
      <c r="K51" s="281">
        <v>0</v>
      </c>
      <c r="L51" s="264">
        <v>0</v>
      </c>
      <c r="M51" s="282">
        <v>6</v>
      </c>
      <c r="N51" s="281">
        <v>0</v>
      </c>
      <c r="O51" s="281"/>
      <c r="P51" s="263"/>
      <c r="Q51" s="313"/>
      <c r="R51" s="284">
        <v>1.1000000000000001</v>
      </c>
      <c r="S51" s="284">
        <v>0.1</v>
      </c>
      <c r="T51" s="284">
        <v>1</v>
      </c>
      <c r="U51" s="284">
        <v>0</v>
      </c>
      <c r="V51" s="284">
        <v>0</v>
      </c>
      <c r="W51" s="284">
        <v>0</v>
      </c>
      <c r="X51" s="284">
        <v>0</v>
      </c>
      <c r="Y51" s="313"/>
      <c r="Z51" s="285">
        <v>511637.12867478846</v>
      </c>
      <c r="AA51" s="286">
        <v>0</v>
      </c>
      <c r="AB51" s="287">
        <v>20586.754618465224</v>
      </c>
      <c r="AC51" s="288">
        <v>0</v>
      </c>
      <c r="AD51" s="289">
        <v>532223.88329325372</v>
      </c>
      <c r="AE51" s="266"/>
      <c r="AF51" s="285">
        <v>124968.8404806758</v>
      </c>
      <c r="AG51" s="286">
        <v>0</v>
      </c>
      <c r="AH51" s="286">
        <v>0</v>
      </c>
      <c r="AI51" s="290">
        <v>0</v>
      </c>
      <c r="AJ51" s="289">
        <v>124968.8404806758</v>
      </c>
      <c r="AK51" s="291">
        <v>407255.04281257791</v>
      </c>
    </row>
    <row r="52" spans="1:37" x14ac:dyDescent="0.25">
      <c r="A52" s="264" t="s">
        <v>965</v>
      </c>
      <c r="B52" s="264" t="s">
        <v>965</v>
      </c>
      <c r="C52" s="264" t="s">
        <v>1136</v>
      </c>
      <c r="D52" s="264">
        <v>3198258</v>
      </c>
      <c r="E52" s="264" t="s">
        <v>1787</v>
      </c>
      <c r="F52" s="264">
        <v>2018</v>
      </c>
      <c r="G52" s="281">
        <v>3.79</v>
      </c>
      <c r="H52" s="264">
        <v>0.54</v>
      </c>
      <c r="I52" s="282">
        <v>3.25</v>
      </c>
      <c r="J52" s="281">
        <v>0</v>
      </c>
      <c r="K52" s="281">
        <v>0</v>
      </c>
      <c r="L52" s="264">
        <v>0</v>
      </c>
      <c r="M52" s="282">
        <v>35</v>
      </c>
      <c r="N52" s="281">
        <v>0</v>
      </c>
      <c r="O52" s="281"/>
      <c r="P52" s="263"/>
      <c r="Q52" s="313"/>
      <c r="R52" s="284">
        <v>3.79</v>
      </c>
      <c r="S52" s="284">
        <v>0.54</v>
      </c>
      <c r="T52" s="284">
        <v>3.25</v>
      </c>
      <c r="U52" s="284">
        <v>0</v>
      </c>
      <c r="V52" s="284">
        <v>0</v>
      </c>
      <c r="W52" s="284">
        <v>0</v>
      </c>
      <c r="X52" s="284">
        <v>0</v>
      </c>
      <c r="Y52" s="313"/>
      <c r="Z52" s="285">
        <v>1762822.4706158619</v>
      </c>
      <c r="AA52" s="286">
        <v>0</v>
      </c>
      <c r="AB52" s="287">
        <v>70930.727276348349</v>
      </c>
      <c r="AC52" s="288">
        <v>0</v>
      </c>
      <c r="AD52" s="289">
        <v>1833753.1978922102</v>
      </c>
      <c r="AE52" s="266"/>
      <c r="AF52" s="285">
        <v>406148.73156219639</v>
      </c>
      <c r="AG52" s="286">
        <v>0</v>
      </c>
      <c r="AH52" s="286">
        <v>0</v>
      </c>
      <c r="AI52" s="290">
        <v>0</v>
      </c>
      <c r="AJ52" s="289">
        <v>406148.73156219639</v>
      </c>
      <c r="AK52" s="291">
        <v>1427604.4663300137</v>
      </c>
    </row>
    <row r="53" spans="1:37" x14ac:dyDescent="0.25">
      <c r="A53" s="264" t="s">
        <v>1140</v>
      </c>
      <c r="B53" s="264" t="s">
        <v>1141</v>
      </c>
      <c r="C53" s="264" t="s">
        <v>1143</v>
      </c>
      <c r="D53" s="264">
        <v>4271738</v>
      </c>
      <c r="E53" s="264" t="s">
        <v>1788</v>
      </c>
      <c r="F53" s="264">
        <v>2018</v>
      </c>
      <c r="G53" s="281">
        <v>8.5</v>
      </c>
      <c r="H53" s="264">
        <v>1</v>
      </c>
      <c r="I53" s="282">
        <v>7.5</v>
      </c>
      <c r="J53" s="281">
        <v>0</v>
      </c>
      <c r="K53" s="281">
        <v>0</v>
      </c>
      <c r="L53" s="264">
        <v>0</v>
      </c>
      <c r="M53" s="282">
        <v>25</v>
      </c>
      <c r="N53" s="281">
        <v>0</v>
      </c>
      <c r="O53" s="281"/>
      <c r="P53" s="263"/>
      <c r="Q53" s="313"/>
      <c r="R53" s="284">
        <v>8.5</v>
      </c>
      <c r="S53" s="284">
        <v>1</v>
      </c>
      <c r="T53" s="284">
        <v>7.5</v>
      </c>
      <c r="U53" s="284">
        <v>0</v>
      </c>
      <c r="V53" s="284">
        <v>0</v>
      </c>
      <c r="W53" s="284">
        <v>0</v>
      </c>
      <c r="X53" s="284">
        <v>0</v>
      </c>
      <c r="Y53" s="313"/>
      <c r="Z53" s="285">
        <v>3953559.6306688194</v>
      </c>
      <c r="AA53" s="286">
        <v>0</v>
      </c>
      <c r="AB53" s="287">
        <v>159079.46750632217</v>
      </c>
      <c r="AC53" s="288">
        <v>0</v>
      </c>
      <c r="AD53" s="289">
        <v>4112639.0981751415</v>
      </c>
      <c r="AE53" s="266"/>
      <c r="AF53" s="285">
        <v>937266.30360506848</v>
      </c>
      <c r="AG53" s="286">
        <v>0</v>
      </c>
      <c r="AH53" s="286">
        <v>0</v>
      </c>
      <c r="AI53" s="290">
        <v>0</v>
      </c>
      <c r="AJ53" s="289">
        <v>937266.30360506848</v>
      </c>
      <c r="AK53" s="291">
        <v>3175372.794570073</v>
      </c>
    </row>
    <row r="54" spans="1:37" x14ac:dyDescent="0.25">
      <c r="A54" s="264" t="s">
        <v>965</v>
      </c>
      <c r="B54" s="264" t="s">
        <v>965</v>
      </c>
      <c r="C54" s="264" t="s">
        <v>1137</v>
      </c>
      <c r="D54" s="264">
        <v>3198258</v>
      </c>
      <c r="E54" s="264" t="s">
        <v>1789</v>
      </c>
      <c r="F54" s="264">
        <v>2018</v>
      </c>
      <c r="G54" s="281">
        <v>3.57</v>
      </c>
      <c r="H54" s="264">
        <v>0.12</v>
      </c>
      <c r="I54" s="282">
        <v>3.45</v>
      </c>
      <c r="J54" s="281">
        <v>0</v>
      </c>
      <c r="K54" s="281">
        <v>0</v>
      </c>
      <c r="L54" s="264">
        <v>0</v>
      </c>
      <c r="M54" s="282">
        <v>30</v>
      </c>
      <c r="N54" s="281">
        <v>0</v>
      </c>
      <c r="O54" s="281"/>
      <c r="P54" s="263"/>
      <c r="Q54" s="313"/>
      <c r="R54" s="284">
        <v>3.57</v>
      </c>
      <c r="S54" s="284">
        <v>0.12</v>
      </c>
      <c r="T54" s="284">
        <v>3.45</v>
      </c>
      <c r="U54" s="284">
        <v>0</v>
      </c>
      <c r="V54" s="284">
        <v>0</v>
      </c>
      <c r="W54" s="284">
        <v>0</v>
      </c>
      <c r="X54" s="284">
        <v>0</v>
      </c>
      <c r="Y54" s="313"/>
      <c r="Z54" s="285">
        <v>1660495.044880904</v>
      </c>
      <c r="AA54" s="286">
        <v>0</v>
      </c>
      <c r="AB54" s="287">
        <v>66813.376352655308</v>
      </c>
      <c r="AC54" s="288">
        <v>0</v>
      </c>
      <c r="AD54" s="289">
        <v>1727308.4212335593</v>
      </c>
      <c r="AE54" s="266"/>
      <c r="AF54" s="285">
        <v>431142.49965833157</v>
      </c>
      <c r="AG54" s="286">
        <v>0</v>
      </c>
      <c r="AH54" s="286">
        <v>0</v>
      </c>
      <c r="AI54" s="290">
        <v>0</v>
      </c>
      <c r="AJ54" s="289">
        <v>431142.49965833157</v>
      </c>
      <c r="AK54" s="291">
        <v>1296165.9215752278</v>
      </c>
    </row>
    <row r="55" spans="1:37" x14ac:dyDescent="0.25">
      <c r="A55" s="264" t="s">
        <v>1130</v>
      </c>
      <c r="B55" s="264" t="s">
        <v>281</v>
      </c>
      <c r="C55" s="264" t="s">
        <v>1132</v>
      </c>
      <c r="D55" s="264">
        <v>2039109</v>
      </c>
      <c r="E55" s="264" t="s">
        <v>1796</v>
      </c>
      <c r="F55" s="264">
        <v>2018</v>
      </c>
      <c r="G55" s="281">
        <v>8.4499999999999993</v>
      </c>
      <c r="H55" s="264">
        <v>0.95</v>
      </c>
      <c r="I55" s="282">
        <v>7.5</v>
      </c>
      <c r="J55" s="281">
        <v>0</v>
      </c>
      <c r="K55" s="281">
        <v>0</v>
      </c>
      <c r="L55" s="264">
        <v>0</v>
      </c>
      <c r="M55" s="282">
        <v>50</v>
      </c>
      <c r="N55" s="281">
        <v>0</v>
      </c>
      <c r="O55" s="281"/>
      <c r="P55" s="263"/>
      <c r="Q55" s="313"/>
      <c r="R55" s="284">
        <v>8.4499999999999993</v>
      </c>
      <c r="S55" s="284">
        <v>0.95</v>
      </c>
      <c r="T55" s="284">
        <v>7.5</v>
      </c>
      <c r="U55" s="284">
        <v>0</v>
      </c>
      <c r="V55" s="284">
        <v>0</v>
      </c>
      <c r="W55" s="284">
        <v>0</v>
      </c>
      <c r="X55" s="284">
        <v>0</v>
      </c>
      <c r="Y55" s="313"/>
      <c r="Z55" s="285">
        <v>3930303.397547238</v>
      </c>
      <c r="AA55" s="286">
        <v>0</v>
      </c>
      <c r="AB55" s="287">
        <v>158143.70593275555</v>
      </c>
      <c r="AC55" s="288">
        <v>0</v>
      </c>
      <c r="AD55" s="289">
        <v>4088447.1034799935</v>
      </c>
      <c r="AE55" s="266"/>
      <c r="AF55" s="285">
        <v>937266.30360506848</v>
      </c>
      <c r="AG55" s="286">
        <v>0</v>
      </c>
      <c r="AH55" s="286">
        <v>0</v>
      </c>
      <c r="AI55" s="290">
        <v>0</v>
      </c>
      <c r="AJ55" s="289">
        <v>937266.30360506848</v>
      </c>
      <c r="AK55" s="291">
        <v>3151180.7998749251</v>
      </c>
    </row>
    <row r="56" spans="1:37" x14ac:dyDescent="0.25">
      <c r="A56" s="264" t="s">
        <v>377</v>
      </c>
      <c r="B56" s="264" t="s">
        <v>826</v>
      </c>
      <c r="C56" s="264" t="s">
        <v>1146</v>
      </c>
      <c r="D56" s="264">
        <v>7459230</v>
      </c>
      <c r="E56" s="264" t="s">
        <v>1799</v>
      </c>
      <c r="F56" s="264">
        <v>2018</v>
      </c>
      <c r="G56" s="281">
        <v>6.7</v>
      </c>
      <c r="H56" s="264">
        <v>0.2</v>
      </c>
      <c r="I56" s="282">
        <v>6.5</v>
      </c>
      <c r="J56" s="281">
        <v>0</v>
      </c>
      <c r="K56" s="281">
        <v>0</v>
      </c>
      <c r="L56" s="264">
        <v>0</v>
      </c>
      <c r="M56" s="282">
        <v>80</v>
      </c>
      <c r="N56" s="281">
        <v>0</v>
      </c>
      <c r="O56" s="281"/>
      <c r="P56" s="263"/>
      <c r="Q56" s="313"/>
      <c r="R56" s="284">
        <v>6.7</v>
      </c>
      <c r="S56" s="284">
        <v>0.2</v>
      </c>
      <c r="T56" s="284">
        <v>6.5</v>
      </c>
      <c r="U56" s="284">
        <v>0</v>
      </c>
      <c r="V56" s="284">
        <v>0</v>
      </c>
      <c r="W56" s="284">
        <v>0</v>
      </c>
      <c r="X56" s="284">
        <v>0</v>
      </c>
      <c r="Y56" s="313"/>
      <c r="Z56" s="285">
        <v>3116335.2382918932</v>
      </c>
      <c r="AA56" s="286">
        <v>0</v>
      </c>
      <c r="AB56" s="287">
        <v>125392.05085792454</v>
      </c>
      <c r="AC56" s="288">
        <v>0</v>
      </c>
      <c r="AD56" s="289">
        <v>3241727.2891498175</v>
      </c>
      <c r="AE56" s="266"/>
      <c r="AF56" s="285">
        <v>812297.46312439279</v>
      </c>
      <c r="AG56" s="286">
        <v>0</v>
      </c>
      <c r="AH56" s="286">
        <v>0</v>
      </c>
      <c r="AI56" s="290">
        <v>0</v>
      </c>
      <c r="AJ56" s="289">
        <v>812297.46312439279</v>
      </c>
      <c r="AK56" s="291">
        <v>2429429.8260254245</v>
      </c>
    </row>
    <row r="57" spans="1:37" x14ac:dyDescent="0.25">
      <c r="A57" s="264" t="s">
        <v>377</v>
      </c>
      <c r="B57" s="264" t="s">
        <v>826</v>
      </c>
      <c r="C57" s="264" t="s">
        <v>1127</v>
      </c>
      <c r="D57" s="264">
        <v>7459230</v>
      </c>
      <c r="E57" s="264" t="s">
        <v>1804</v>
      </c>
      <c r="F57" s="264">
        <v>2018</v>
      </c>
      <c r="G57" s="281">
        <v>2.5499999999999998</v>
      </c>
      <c r="H57" s="264">
        <v>0.05</v>
      </c>
      <c r="I57" s="282">
        <v>2.5</v>
      </c>
      <c r="J57" s="281">
        <v>0</v>
      </c>
      <c r="K57" s="281">
        <v>0</v>
      </c>
      <c r="L57" s="264">
        <v>0</v>
      </c>
      <c r="M57" s="282">
        <v>80</v>
      </c>
      <c r="N57" s="281">
        <v>0</v>
      </c>
      <c r="O57" s="281"/>
      <c r="P57" s="263"/>
      <c r="Q57" s="313"/>
      <c r="R57" s="284">
        <v>2.5499999999999998</v>
      </c>
      <c r="S57" s="284">
        <v>0.05</v>
      </c>
      <c r="T57" s="284">
        <v>2.5</v>
      </c>
      <c r="U57" s="284">
        <v>0</v>
      </c>
      <c r="V57" s="284">
        <v>0</v>
      </c>
      <c r="W57" s="284">
        <v>0</v>
      </c>
      <c r="X57" s="284">
        <v>0</v>
      </c>
      <c r="Y57" s="313"/>
      <c r="Z57" s="285">
        <v>1186067.8892006457</v>
      </c>
      <c r="AA57" s="286">
        <v>0</v>
      </c>
      <c r="AB57" s="287">
        <v>47723.840251896647</v>
      </c>
      <c r="AC57" s="288">
        <v>0</v>
      </c>
      <c r="AD57" s="289">
        <v>1233791.7294525425</v>
      </c>
      <c r="AE57" s="266"/>
      <c r="AF57" s="285">
        <v>312422.10120168951</v>
      </c>
      <c r="AG57" s="286">
        <v>0</v>
      </c>
      <c r="AH57" s="286">
        <v>0</v>
      </c>
      <c r="AI57" s="290">
        <v>0</v>
      </c>
      <c r="AJ57" s="289">
        <v>312422.10120168951</v>
      </c>
      <c r="AK57" s="291">
        <v>921369.62825085293</v>
      </c>
    </row>
    <row r="58" spans="1:37" x14ac:dyDescent="0.25">
      <c r="A58" s="264" t="s">
        <v>225</v>
      </c>
      <c r="B58" s="264" t="s">
        <v>375</v>
      </c>
      <c r="C58" s="264" t="s">
        <v>1127</v>
      </c>
      <c r="D58" s="264">
        <v>1806042</v>
      </c>
      <c r="E58" s="264" t="s">
        <v>1804</v>
      </c>
      <c r="F58" s="264">
        <v>2018</v>
      </c>
      <c r="G58" s="281">
        <v>6</v>
      </c>
      <c r="H58" s="264">
        <v>1</v>
      </c>
      <c r="I58" s="282">
        <v>5</v>
      </c>
      <c r="J58" s="281">
        <v>0</v>
      </c>
      <c r="K58" s="281">
        <v>0</v>
      </c>
      <c r="L58" s="264">
        <v>0</v>
      </c>
      <c r="M58" s="282">
        <v>8</v>
      </c>
      <c r="N58" s="281">
        <v>0</v>
      </c>
      <c r="O58" s="281"/>
      <c r="P58" s="263"/>
      <c r="Q58" s="313"/>
      <c r="R58" s="284">
        <v>6</v>
      </c>
      <c r="S58" s="284">
        <v>1</v>
      </c>
      <c r="T58" s="284">
        <v>5</v>
      </c>
      <c r="U58" s="284">
        <v>0</v>
      </c>
      <c r="V58" s="284">
        <v>0</v>
      </c>
      <c r="W58" s="284">
        <v>0</v>
      </c>
      <c r="X58" s="284">
        <v>0</v>
      </c>
      <c r="Y58" s="313"/>
      <c r="Z58" s="285">
        <v>2790747.9745897548</v>
      </c>
      <c r="AA58" s="286">
        <v>0</v>
      </c>
      <c r="AB58" s="287">
        <v>112291.38882799211</v>
      </c>
      <c r="AC58" s="288">
        <v>0</v>
      </c>
      <c r="AD58" s="289">
        <v>2903039.363417747</v>
      </c>
      <c r="AE58" s="266"/>
      <c r="AF58" s="285">
        <v>624844.20240337902</v>
      </c>
      <c r="AG58" s="286">
        <v>0</v>
      </c>
      <c r="AH58" s="286">
        <v>0</v>
      </c>
      <c r="AI58" s="290">
        <v>0</v>
      </c>
      <c r="AJ58" s="289">
        <v>624844.20240337902</v>
      </c>
      <c r="AK58" s="291">
        <v>2278195.1610143678</v>
      </c>
    </row>
    <row r="59" spans="1:37" x14ac:dyDescent="0.25">
      <c r="A59" s="264" t="s">
        <v>386</v>
      </c>
      <c r="B59" s="264" t="s">
        <v>332</v>
      </c>
      <c r="C59" s="264" t="s">
        <v>1191</v>
      </c>
      <c r="D59" s="264">
        <v>3597628</v>
      </c>
      <c r="E59" s="264" t="s">
        <v>1772</v>
      </c>
      <c r="F59" s="264">
        <v>2018</v>
      </c>
      <c r="G59" s="281">
        <v>9</v>
      </c>
      <c r="H59" s="264">
        <v>1</v>
      </c>
      <c r="I59" s="282">
        <v>8</v>
      </c>
      <c r="J59" s="281">
        <v>0</v>
      </c>
      <c r="K59" s="281">
        <v>0</v>
      </c>
      <c r="L59" s="264">
        <v>0</v>
      </c>
      <c r="M59" s="282">
        <v>70</v>
      </c>
      <c r="N59" s="281">
        <v>0</v>
      </c>
      <c r="O59" s="281"/>
      <c r="P59" s="263"/>
      <c r="Q59" s="313"/>
      <c r="R59" s="284">
        <v>9</v>
      </c>
      <c r="S59" s="284">
        <v>1</v>
      </c>
      <c r="T59" s="284">
        <v>8</v>
      </c>
      <c r="U59" s="284">
        <v>0</v>
      </c>
      <c r="V59" s="284">
        <v>0</v>
      </c>
      <c r="W59" s="284">
        <v>0</v>
      </c>
      <c r="X59" s="284">
        <v>0</v>
      </c>
      <c r="Y59" s="313"/>
      <c r="Z59" s="285">
        <v>4527840.0205401815</v>
      </c>
      <c r="AA59" s="286">
        <v>0</v>
      </c>
      <c r="AB59" s="287">
        <v>359875.75124521088</v>
      </c>
      <c r="AC59" s="288">
        <v>0</v>
      </c>
      <c r="AD59" s="289">
        <v>4887715.7717853924</v>
      </c>
      <c r="AE59" s="266"/>
      <c r="AF59" s="285">
        <v>1110041.8823529412</v>
      </c>
      <c r="AG59" s="286">
        <v>0</v>
      </c>
      <c r="AH59" s="286">
        <v>0</v>
      </c>
      <c r="AI59" s="290">
        <v>0</v>
      </c>
      <c r="AJ59" s="289">
        <v>1110041.8823529412</v>
      </c>
      <c r="AK59" s="291">
        <v>3777673.8894324512</v>
      </c>
    </row>
    <row r="60" spans="1:37" x14ac:dyDescent="0.25">
      <c r="A60" s="264" t="s">
        <v>1179</v>
      </c>
      <c r="B60" s="264" t="s">
        <v>760</v>
      </c>
      <c r="C60" s="264" t="s">
        <v>1178</v>
      </c>
      <c r="D60" s="264">
        <v>2028356</v>
      </c>
      <c r="E60" s="264" t="s">
        <v>1880</v>
      </c>
      <c r="F60" s="264">
        <v>2018</v>
      </c>
      <c r="G60" s="281">
        <v>10.25</v>
      </c>
      <c r="H60" s="264">
        <v>0.9</v>
      </c>
      <c r="I60" s="282">
        <v>9.35</v>
      </c>
      <c r="J60" s="281">
        <v>0</v>
      </c>
      <c r="K60" s="281">
        <v>0</v>
      </c>
      <c r="L60" s="264">
        <v>0</v>
      </c>
      <c r="M60" s="282">
        <v>200</v>
      </c>
      <c r="N60" s="281">
        <v>0</v>
      </c>
      <c r="O60" s="281"/>
      <c r="P60" s="263"/>
      <c r="Q60" s="313"/>
      <c r="R60" s="284">
        <v>10.25</v>
      </c>
      <c r="S60" s="284">
        <v>0.9</v>
      </c>
      <c r="T60" s="284">
        <v>9.35</v>
      </c>
      <c r="U60" s="284">
        <v>0</v>
      </c>
      <c r="V60" s="284">
        <v>0</v>
      </c>
      <c r="W60" s="284">
        <v>0</v>
      </c>
      <c r="X60" s="284">
        <v>0</v>
      </c>
      <c r="Y60" s="313"/>
      <c r="Z60" s="285">
        <v>5156706.6900596516</v>
      </c>
      <c r="AA60" s="286">
        <v>0</v>
      </c>
      <c r="AB60" s="287">
        <v>409858.4944737124</v>
      </c>
      <c r="AC60" s="288">
        <v>0</v>
      </c>
      <c r="AD60" s="289">
        <v>5566565.1845333641</v>
      </c>
      <c r="AE60" s="266"/>
      <c r="AF60" s="285">
        <v>1297361.45</v>
      </c>
      <c r="AG60" s="286">
        <v>0</v>
      </c>
      <c r="AH60" s="286">
        <v>0</v>
      </c>
      <c r="AI60" s="290">
        <v>0</v>
      </c>
      <c r="AJ60" s="289">
        <v>1297361.45</v>
      </c>
      <c r="AK60" s="291">
        <v>4269203.734533364</v>
      </c>
    </row>
    <row r="61" spans="1:37" x14ac:dyDescent="0.25">
      <c r="A61" s="264" t="s">
        <v>605</v>
      </c>
      <c r="B61" s="264" t="s">
        <v>602</v>
      </c>
      <c r="C61" s="264" t="s">
        <v>1205</v>
      </c>
      <c r="D61" s="264">
        <v>6181040</v>
      </c>
      <c r="E61" s="264" t="s">
        <v>1773</v>
      </c>
      <c r="F61" s="264">
        <v>2018</v>
      </c>
      <c r="G61" s="281">
        <v>2.35</v>
      </c>
      <c r="H61" s="264">
        <v>0.35</v>
      </c>
      <c r="I61" s="282">
        <v>2</v>
      </c>
      <c r="J61" s="281">
        <v>0</v>
      </c>
      <c r="K61" s="281">
        <v>0</v>
      </c>
      <c r="L61" s="264">
        <v>0</v>
      </c>
      <c r="M61" s="282">
        <v>70</v>
      </c>
      <c r="N61" s="281">
        <v>0</v>
      </c>
      <c r="O61" s="281"/>
      <c r="P61" s="263"/>
      <c r="Q61" s="313"/>
      <c r="R61" s="284">
        <v>2.35</v>
      </c>
      <c r="S61" s="284">
        <v>0.35</v>
      </c>
      <c r="T61" s="284">
        <v>2</v>
      </c>
      <c r="U61" s="284">
        <v>0</v>
      </c>
      <c r="V61" s="284">
        <v>0</v>
      </c>
      <c r="W61" s="284">
        <v>0</v>
      </c>
      <c r="X61" s="284">
        <v>0</v>
      </c>
      <c r="Y61" s="313"/>
      <c r="Z61" s="285">
        <v>1182269.3386966032</v>
      </c>
      <c r="AA61" s="286">
        <v>0</v>
      </c>
      <c r="AB61" s="287">
        <v>93967.557269582845</v>
      </c>
      <c r="AC61" s="288">
        <v>0</v>
      </c>
      <c r="AD61" s="289">
        <v>1276236.895966186</v>
      </c>
      <c r="AE61" s="266"/>
      <c r="AF61" s="285">
        <v>277510.4705882353</v>
      </c>
      <c r="AG61" s="286">
        <v>0</v>
      </c>
      <c r="AH61" s="286">
        <v>0</v>
      </c>
      <c r="AI61" s="290">
        <v>0</v>
      </c>
      <c r="AJ61" s="289">
        <v>277510.4705882353</v>
      </c>
      <c r="AK61" s="291">
        <v>998726.42537795065</v>
      </c>
    </row>
    <row r="62" spans="1:37" x14ac:dyDescent="0.25">
      <c r="A62" s="292" t="s">
        <v>694</v>
      </c>
      <c r="B62" s="292" t="s">
        <v>694</v>
      </c>
      <c r="C62" s="292" t="s">
        <v>1171</v>
      </c>
      <c r="D62" s="292">
        <v>2540162</v>
      </c>
      <c r="E62" s="292" t="s">
        <v>1774</v>
      </c>
      <c r="F62" s="292">
        <v>2018</v>
      </c>
      <c r="G62" s="297">
        <v>1.1000000000000001</v>
      </c>
      <c r="H62" s="292">
        <v>0.2</v>
      </c>
      <c r="I62" s="298">
        <v>0.9</v>
      </c>
      <c r="J62" s="297">
        <v>0</v>
      </c>
      <c r="K62" s="297">
        <v>0</v>
      </c>
      <c r="L62" s="292">
        <v>0</v>
      </c>
      <c r="M62" s="298">
        <v>50</v>
      </c>
      <c r="N62" s="297">
        <v>0</v>
      </c>
      <c r="O62" s="297"/>
      <c r="P62" s="292"/>
      <c r="Q62" s="292"/>
      <c r="R62" s="298">
        <v>1.1000000000000001</v>
      </c>
      <c r="S62" s="298">
        <v>0.2</v>
      </c>
      <c r="T62" s="298">
        <v>0.9</v>
      </c>
      <c r="U62" s="298">
        <v>0</v>
      </c>
      <c r="V62" s="298">
        <v>0</v>
      </c>
      <c r="W62" s="298">
        <v>0</v>
      </c>
      <c r="X62" s="298">
        <v>0</v>
      </c>
      <c r="Y62" s="313"/>
      <c r="Z62" s="285">
        <v>553402.66917713336</v>
      </c>
      <c r="AA62" s="286">
        <v>0</v>
      </c>
      <c r="AB62" s="287">
        <v>43984.814041081336</v>
      </c>
      <c r="AC62" s="288">
        <v>0</v>
      </c>
      <c r="AD62" s="289">
        <v>597387.48321821471</v>
      </c>
      <c r="AE62" s="266"/>
      <c r="AF62" s="285">
        <v>124879.71176470589</v>
      </c>
      <c r="AG62" s="286">
        <v>0</v>
      </c>
      <c r="AH62" s="286">
        <v>0</v>
      </c>
      <c r="AI62" s="290">
        <v>0</v>
      </c>
      <c r="AJ62" s="289">
        <v>124879.71176470589</v>
      </c>
      <c r="AK62" s="299">
        <v>472507.77145350882</v>
      </c>
    </row>
    <row r="63" spans="1:37" x14ac:dyDescent="0.25">
      <c r="A63" s="264" t="s">
        <v>608</v>
      </c>
      <c r="B63" s="264" t="s">
        <v>606</v>
      </c>
      <c r="C63" s="264" t="s">
        <v>1171</v>
      </c>
      <c r="D63" s="264">
        <v>1647194</v>
      </c>
      <c r="E63" s="264" t="s">
        <v>1774</v>
      </c>
      <c r="F63" s="264">
        <v>2018</v>
      </c>
      <c r="G63" s="281">
        <v>5.2</v>
      </c>
      <c r="H63" s="264">
        <v>1</v>
      </c>
      <c r="I63" s="282">
        <v>4.2</v>
      </c>
      <c r="J63" s="281">
        <v>0</v>
      </c>
      <c r="K63" s="281">
        <v>0</v>
      </c>
      <c r="L63" s="264">
        <v>0</v>
      </c>
      <c r="M63" s="282">
        <v>50</v>
      </c>
      <c r="N63" s="281">
        <v>0</v>
      </c>
      <c r="O63" s="281"/>
      <c r="P63" s="263"/>
      <c r="Q63" s="313"/>
      <c r="R63" s="284">
        <v>5.2</v>
      </c>
      <c r="S63" s="284">
        <v>1</v>
      </c>
      <c r="T63" s="284">
        <v>4.2</v>
      </c>
      <c r="U63" s="284">
        <v>0</v>
      </c>
      <c r="V63" s="284">
        <v>0</v>
      </c>
      <c r="W63" s="284">
        <v>0</v>
      </c>
      <c r="X63" s="284">
        <v>0</v>
      </c>
      <c r="Y63" s="313"/>
      <c r="Z63" s="285">
        <v>2616085.3452009941</v>
      </c>
      <c r="AA63" s="286">
        <v>0</v>
      </c>
      <c r="AB63" s="287">
        <v>207928.21183056629</v>
      </c>
      <c r="AC63" s="288">
        <v>0</v>
      </c>
      <c r="AD63" s="289">
        <v>2824013.5570315602</v>
      </c>
      <c r="AE63" s="266"/>
      <c r="AF63" s="285">
        <v>582771.98823529412</v>
      </c>
      <c r="AG63" s="286">
        <v>0</v>
      </c>
      <c r="AH63" s="286">
        <v>0</v>
      </c>
      <c r="AI63" s="290">
        <v>0</v>
      </c>
      <c r="AJ63" s="289">
        <v>582771.98823529412</v>
      </c>
      <c r="AK63" s="291">
        <v>2241241.5687962659</v>
      </c>
    </row>
    <row r="64" spans="1:37" x14ac:dyDescent="0.25">
      <c r="A64" s="264" t="s">
        <v>857</v>
      </c>
      <c r="B64" s="264" t="s">
        <v>857</v>
      </c>
      <c r="C64" s="264" t="s">
        <v>1154</v>
      </c>
      <c r="D64" s="264">
        <v>9924639</v>
      </c>
      <c r="E64" s="264" t="s">
        <v>1776</v>
      </c>
      <c r="F64" s="264">
        <v>2018</v>
      </c>
      <c r="G64" s="281">
        <v>13.6</v>
      </c>
      <c r="H64" s="264">
        <v>1.1000000000000001</v>
      </c>
      <c r="I64" s="282">
        <v>12.5</v>
      </c>
      <c r="J64" s="281">
        <v>0</v>
      </c>
      <c r="K64" s="281">
        <v>0</v>
      </c>
      <c r="L64" s="264">
        <v>0</v>
      </c>
      <c r="M64" s="282">
        <v>190</v>
      </c>
      <c r="N64" s="281">
        <v>11</v>
      </c>
      <c r="O64" s="281"/>
      <c r="P64" s="263"/>
      <c r="Q64" s="313"/>
      <c r="R64" s="284">
        <v>13.6</v>
      </c>
      <c r="S64" s="284">
        <v>1.1000000000000001</v>
      </c>
      <c r="T64" s="284">
        <v>12.5</v>
      </c>
      <c r="U64" s="284">
        <v>0</v>
      </c>
      <c r="V64" s="284">
        <v>0</v>
      </c>
      <c r="W64" s="284">
        <v>0</v>
      </c>
      <c r="X64" s="284">
        <v>11</v>
      </c>
      <c r="Y64" s="313"/>
      <c r="Z64" s="285">
        <v>6842069.3643718306</v>
      </c>
      <c r="AA64" s="286">
        <v>0</v>
      </c>
      <c r="AB64" s="287">
        <v>543812.24632609647</v>
      </c>
      <c r="AC64" s="288">
        <v>0</v>
      </c>
      <c r="AD64" s="289">
        <v>7385881.610697927</v>
      </c>
      <c r="AE64" s="266"/>
      <c r="AF64" s="285">
        <v>1734440.4411764706</v>
      </c>
      <c r="AG64" s="286">
        <v>0</v>
      </c>
      <c r="AH64" s="286">
        <v>0</v>
      </c>
      <c r="AI64" s="290">
        <v>0</v>
      </c>
      <c r="AJ64" s="289">
        <v>1734440.4411764706</v>
      </c>
      <c r="AK64" s="291">
        <v>5651441.1695214566</v>
      </c>
    </row>
    <row r="65" spans="1:37" x14ac:dyDescent="0.25">
      <c r="A65" s="264" t="s">
        <v>386</v>
      </c>
      <c r="B65" s="264" t="s">
        <v>384</v>
      </c>
      <c r="C65" s="264" t="s">
        <v>1154</v>
      </c>
      <c r="D65" s="264">
        <v>1008575</v>
      </c>
      <c r="E65" s="264" t="s">
        <v>1776</v>
      </c>
      <c r="F65" s="264">
        <v>2018</v>
      </c>
      <c r="G65" s="281">
        <v>7</v>
      </c>
      <c r="H65" s="264">
        <v>1</v>
      </c>
      <c r="I65" s="282">
        <v>6</v>
      </c>
      <c r="J65" s="281">
        <v>0</v>
      </c>
      <c r="K65" s="281">
        <v>0</v>
      </c>
      <c r="L65" s="264">
        <v>0</v>
      </c>
      <c r="M65" s="282">
        <v>188</v>
      </c>
      <c r="N65" s="281">
        <v>6</v>
      </c>
      <c r="O65" s="281"/>
      <c r="P65" s="263"/>
      <c r="Q65" s="313"/>
      <c r="R65" s="284">
        <v>7</v>
      </c>
      <c r="S65" s="284">
        <v>1</v>
      </c>
      <c r="T65" s="284">
        <v>6</v>
      </c>
      <c r="U65" s="284">
        <v>0</v>
      </c>
      <c r="V65" s="284">
        <v>0</v>
      </c>
      <c r="W65" s="284">
        <v>0</v>
      </c>
      <c r="X65" s="284">
        <v>6</v>
      </c>
      <c r="Y65" s="313"/>
      <c r="Z65" s="285">
        <v>3521653.3493090305</v>
      </c>
      <c r="AA65" s="286">
        <v>0</v>
      </c>
      <c r="AB65" s="287">
        <v>279903.36207960849</v>
      </c>
      <c r="AC65" s="288">
        <v>0</v>
      </c>
      <c r="AD65" s="289">
        <v>3801556.7113886392</v>
      </c>
      <c r="AE65" s="266"/>
      <c r="AF65" s="285">
        <v>832531.4117647059</v>
      </c>
      <c r="AG65" s="286">
        <v>0</v>
      </c>
      <c r="AH65" s="286">
        <v>0</v>
      </c>
      <c r="AI65" s="290">
        <v>0</v>
      </c>
      <c r="AJ65" s="289">
        <v>832531.4117647059</v>
      </c>
      <c r="AK65" s="291">
        <v>2969025.2996239332</v>
      </c>
    </row>
    <row r="66" spans="1:37" x14ac:dyDescent="0.25">
      <c r="A66" s="264" t="s">
        <v>1197</v>
      </c>
      <c r="B66" s="264" t="s">
        <v>636</v>
      </c>
      <c r="C66" s="264" t="s">
        <v>1194</v>
      </c>
      <c r="D66" s="264">
        <v>5141443</v>
      </c>
      <c r="E66" s="264" t="s">
        <v>1777</v>
      </c>
      <c r="F66" s="264">
        <v>2018</v>
      </c>
      <c r="G66" s="281">
        <v>1.2</v>
      </c>
      <c r="H66" s="264">
        <v>0.1</v>
      </c>
      <c r="I66" s="282">
        <v>1.1000000000000001</v>
      </c>
      <c r="J66" s="281">
        <v>0</v>
      </c>
      <c r="K66" s="281">
        <v>0</v>
      </c>
      <c r="L66" s="264">
        <v>0</v>
      </c>
      <c r="M66" s="282">
        <v>25</v>
      </c>
      <c r="N66" s="281">
        <v>0</v>
      </c>
      <c r="O66" s="281"/>
      <c r="P66" s="263"/>
      <c r="Q66" s="313"/>
      <c r="R66" s="284">
        <v>1.2</v>
      </c>
      <c r="S66" s="284">
        <v>0.1</v>
      </c>
      <c r="T66" s="284">
        <v>1.1000000000000001</v>
      </c>
      <c r="U66" s="284">
        <v>0</v>
      </c>
      <c r="V66" s="284">
        <v>0</v>
      </c>
      <c r="W66" s="284">
        <v>0</v>
      </c>
      <c r="X66" s="284">
        <v>0</v>
      </c>
      <c r="Y66" s="313"/>
      <c r="Z66" s="285">
        <v>603712.00273869094</v>
      </c>
      <c r="AA66" s="286">
        <v>0</v>
      </c>
      <c r="AB66" s="287">
        <v>47983.433499361454</v>
      </c>
      <c r="AC66" s="288">
        <v>0</v>
      </c>
      <c r="AD66" s="289">
        <v>651695.43623805244</v>
      </c>
      <c r="AE66" s="266"/>
      <c r="AF66" s="285">
        <v>152630.75882352944</v>
      </c>
      <c r="AG66" s="286">
        <v>0</v>
      </c>
      <c r="AH66" s="286">
        <v>0</v>
      </c>
      <c r="AI66" s="290">
        <v>0</v>
      </c>
      <c r="AJ66" s="289">
        <v>152630.75882352944</v>
      </c>
      <c r="AK66" s="291">
        <v>499064.67741452297</v>
      </c>
    </row>
    <row r="67" spans="1:37" x14ac:dyDescent="0.25">
      <c r="A67" s="264" t="s">
        <v>942</v>
      </c>
      <c r="B67" s="264" t="s">
        <v>942</v>
      </c>
      <c r="C67" s="264" t="s">
        <v>1194</v>
      </c>
      <c r="D67" s="264">
        <v>4878719</v>
      </c>
      <c r="E67" s="264" t="s">
        <v>1777</v>
      </c>
      <c r="F67" s="264">
        <v>2018</v>
      </c>
      <c r="G67" s="281">
        <v>4.5</v>
      </c>
      <c r="H67" s="264">
        <v>0.5</v>
      </c>
      <c r="I67" s="282">
        <v>4</v>
      </c>
      <c r="J67" s="281">
        <v>0</v>
      </c>
      <c r="K67" s="281">
        <v>0</v>
      </c>
      <c r="L67" s="264">
        <v>0</v>
      </c>
      <c r="M67" s="282">
        <v>85</v>
      </c>
      <c r="N67" s="281">
        <v>0</v>
      </c>
      <c r="O67" s="281"/>
      <c r="P67" s="263"/>
      <c r="Q67" s="313"/>
      <c r="R67" s="284">
        <v>4.5</v>
      </c>
      <c r="S67" s="284">
        <v>0.5</v>
      </c>
      <c r="T67" s="284">
        <v>4</v>
      </c>
      <c r="U67" s="284">
        <v>0</v>
      </c>
      <c r="V67" s="284">
        <v>0</v>
      </c>
      <c r="W67" s="284">
        <v>0</v>
      </c>
      <c r="X67" s="284">
        <v>0</v>
      </c>
      <c r="Y67" s="313"/>
      <c r="Z67" s="285">
        <v>2263920.0102700908</v>
      </c>
      <c r="AA67" s="286">
        <v>0</v>
      </c>
      <c r="AB67" s="287">
        <v>179937.87562260544</v>
      </c>
      <c r="AC67" s="288">
        <v>0</v>
      </c>
      <c r="AD67" s="289">
        <v>2443857.8858926962</v>
      </c>
      <c r="AE67" s="266"/>
      <c r="AF67" s="285">
        <v>555020.9411764706</v>
      </c>
      <c r="AG67" s="286">
        <v>0</v>
      </c>
      <c r="AH67" s="286">
        <v>0</v>
      </c>
      <c r="AI67" s="290">
        <v>0</v>
      </c>
      <c r="AJ67" s="289">
        <v>555020.9411764706</v>
      </c>
      <c r="AK67" s="291">
        <v>1888836.9447162256</v>
      </c>
    </row>
    <row r="68" spans="1:37" x14ac:dyDescent="0.25">
      <c r="A68" s="264" t="s">
        <v>772</v>
      </c>
      <c r="B68" s="264" t="s">
        <v>760</v>
      </c>
      <c r="C68" s="264" t="s">
        <v>1216</v>
      </c>
      <c r="D68" s="264">
        <v>7741294</v>
      </c>
      <c r="E68" s="264" t="s">
        <v>1881</v>
      </c>
      <c r="F68" s="264">
        <v>2018</v>
      </c>
      <c r="G68" s="281">
        <v>4</v>
      </c>
      <c r="H68" s="264">
        <v>1</v>
      </c>
      <c r="I68" s="282">
        <v>3</v>
      </c>
      <c r="J68" s="281">
        <v>0</v>
      </c>
      <c r="K68" s="281">
        <v>0</v>
      </c>
      <c r="L68" s="264">
        <v>0</v>
      </c>
      <c r="M68" s="282">
        <v>125</v>
      </c>
      <c r="N68" s="281">
        <v>0</v>
      </c>
      <c r="O68" s="281"/>
      <c r="P68" s="263"/>
      <c r="Q68" s="313"/>
      <c r="R68" s="284">
        <v>4</v>
      </c>
      <c r="S68" s="284">
        <v>1</v>
      </c>
      <c r="T68" s="284">
        <v>3</v>
      </c>
      <c r="U68" s="284">
        <v>0</v>
      </c>
      <c r="V68" s="284">
        <v>0</v>
      </c>
      <c r="W68" s="284">
        <v>0</v>
      </c>
      <c r="X68" s="284">
        <v>0</v>
      </c>
      <c r="Y68" s="313"/>
      <c r="Z68" s="285">
        <v>2012373.3424623031</v>
      </c>
      <c r="AA68" s="286">
        <v>0</v>
      </c>
      <c r="AB68" s="287">
        <v>159944.77833120484</v>
      </c>
      <c r="AC68" s="288">
        <v>0</v>
      </c>
      <c r="AD68" s="289">
        <v>2172318.1207935079</v>
      </c>
      <c r="AE68" s="266"/>
      <c r="AF68" s="285">
        <v>416265.70588235295</v>
      </c>
      <c r="AG68" s="286">
        <v>0</v>
      </c>
      <c r="AH68" s="286">
        <v>0</v>
      </c>
      <c r="AI68" s="290">
        <v>0</v>
      </c>
      <c r="AJ68" s="289">
        <v>416265.70588235295</v>
      </c>
      <c r="AK68" s="291">
        <v>1756052.4149111549</v>
      </c>
    </row>
    <row r="69" spans="1:37" x14ac:dyDescent="0.25">
      <c r="A69" s="264" t="s">
        <v>386</v>
      </c>
      <c r="B69" s="264" t="s">
        <v>312</v>
      </c>
      <c r="C69" s="264" t="s">
        <v>1174</v>
      </c>
      <c r="D69" s="264">
        <v>9735411</v>
      </c>
      <c r="E69" s="264" t="s">
        <v>1879</v>
      </c>
      <c r="F69" s="264">
        <v>2018</v>
      </c>
      <c r="G69" s="281">
        <v>31.15</v>
      </c>
      <c r="H69" s="264">
        <v>1.9</v>
      </c>
      <c r="I69" s="282">
        <v>29.25</v>
      </c>
      <c r="J69" s="281">
        <v>0</v>
      </c>
      <c r="K69" s="281">
        <v>0</v>
      </c>
      <c r="L69" s="264">
        <v>0</v>
      </c>
      <c r="M69" s="282">
        <v>220</v>
      </c>
      <c r="N69" s="281">
        <v>0</v>
      </c>
      <c r="O69" s="281"/>
      <c r="P69" s="263"/>
      <c r="Q69" s="313"/>
      <c r="R69" s="284">
        <v>31.15</v>
      </c>
      <c r="S69" s="284">
        <v>1.9</v>
      </c>
      <c r="T69" s="284">
        <v>29.25</v>
      </c>
      <c r="U69" s="284">
        <v>0</v>
      </c>
      <c r="V69" s="284">
        <v>0</v>
      </c>
      <c r="W69" s="284">
        <v>0</v>
      </c>
      <c r="X69" s="284">
        <v>0</v>
      </c>
      <c r="Y69" s="313"/>
      <c r="Z69" s="285">
        <v>15671357.404425185</v>
      </c>
      <c r="AA69" s="286">
        <v>0</v>
      </c>
      <c r="AB69" s="287">
        <v>1245569.9612542577</v>
      </c>
      <c r="AC69" s="288">
        <v>0</v>
      </c>
      <c r="AD69" s="289">
        <v>16916927.365679443</v>
      </c>
      <c r="AE69" s="266"/>
      <c r="AF69" s="285">
        <v>4058590.6323529412</v>
      </c>
      <c r="AG69" s="286">
        <v>0</v>
      </c>
      <c r="AH69" s="286">
        <v>0</v>
      </c>
      <c r="AI69" s="290">
        <v>0</v>
      </c>
      <c r="AJ69" s="289">
        <v>4058590.6323529412</v>
      </c>
      <c r="AK69" s="291">
        <v>12858336.733326502</v>
      </c>
    </row>
    <row r="70" spans="1:37" x14ac:dyDescent="0.25">
      <c r="A70" s="264" t="s">
        <v>1200</v>
      </c>
      <c r="B70" s="264" t="s">
        <v>776</v>
      </c>
      <c r="C70" s="264" t="s">
        <v>1174</v>
      </c>
      <c r="D70" s="264">
        <v>5376966</v>
      </c>
      <c r="E70" s="264" t="s">
        <v>1879</v>
      </c>
      <c r="F70" s="264">
        <v>2018</v>
      </c>
      <c r="G70" s="281">
        <v>21.3</v>
      </c>
      <c r="H70" s="264">
        <v>2.1</v>
      </c>
      <c r="I70" s="282">
        <v>19.2</v>
      </c>
      <c r="J70" s="281">
        <v>0</v>
      </c>
      <c r="K70" s="281">
        <v>0</v>
      </c>
      <c r="L70" s="264">
        <v>0</v>
      </c>
      <c r="M70" s="282">
        <v>115</v>
      </c>
      <c r="N70" s="281">
        <v>0</v>
      </c>
      <c r="O70" s="281">
        <v>0</v>
      </c>
      <c r="P70" s="263"/>
      <c r="Q70" s="313"/>
      <c r="R70" s="284">
        <v>21.3</v>
      </c>
      <c r="S70" s="284">
        <v>2.1</v>
      </c>
      <c r="T70" s="284">
        <v>19.2</v>
      </c>
      <c r="U70" s="284">
        <v>0</v>
      </c>
      <c r="V70" s="284">
        <v>0</v>
      </c>
      <c r="W70" s="284">
        <v>0</v>
      </c>
      <c r="X70" s="284">
        <v>0</v>
      </c>
      <c r="Y70" s="313"/>
      <c r="Z70" s="285">
        <v>10715888.048611764</v>
      </c>
      <c r="AA70" s="286">
        <v>0</v>
      </c>
      <c r="AB70" s="287">
        <v>851705.94461366581</v>
      </c>
      <c r="AC70" s="288">
        <v>0</v>
      </c>
      <c r="AD70" s="289">
        <v>11567593.993225429</v>
      </c>
      <c r="AE70" s="266"/>
      <c r="AF70" s="285">
        <v>2664100.5176470587</v>
      </c>
      <c r="AG70" s="286">
        <v>0</v>
      </c>
      <c r="AH70" s="286">
        <v>0</v>
      </c>
      <c r="AI70" s="290">
        <v>0</v>
      </c>
      <c r="AJ70" s="289">
        <v>2664100.5176470587</v>
      </c>
      <c r="AK70" s="291">
        <v>8903493.4755783714</v>
      </c>
    </row>
    <row r="71" spans="1:37" x14ac:dyDescent="0.25">
      <c r="A71" s="264" t="s">
        <v>386</v>
      </c>
      <c r="B71" s="264" t="s">
        <v>1175</v>
      </c>
      <c r="C71" s="264" t="s">
        <v>1174</v>
      </c>
      <c r="D71" s="264">
        <v>1686476</v>
      </c>
      <c r="E71" s="264" t="s">
        <v>1879</v>
      </c>
      <c r="F71" s="264">
        <v>2018</v>
      </c>
      <c r="G71" s="281">
        <v>24</v>
      </c>
      <c r="H71" s="264">
        <v>1.5</v>
      </c>
      <c r="I71" s="282">
        <v>22.5</v>
      </c>
      <c r="J71" s="281">
        <v>0</v>
      </c>
      <c r="K71" s="281">
        <v>0</v>
      </c>
      <c r="L71" s="264">
        <v>0</v>
      </c>
      <c r="M71" s="282">
        <v>175</v>
      </c>
      <c r="N71" s="281">
        <v>0</v>
      </c>
      <c r="O71" s="281"/>
      <c r="P71" s="263"/>
      <c r="Q71" s="313"/>
      <c r="R71" s="284">
        <v>24</v>
      </c>
      <c r="S71" s="284">
        <v>1.5</v>
      </c>
      <c r="T71" s="284">
        <v>22.5</v>
      </c>
      <c r="U71" s="284">
        <v>0</v>
      </c>
      <c r="V71" s="284">
        <v>0</v>
      </c>
      <c r="W71" s="284">
        <v>0</v>
      </c>
      <c r="X71" s="284">
        <v>0</v>
      </c>
      <c r="Y71" s="313"/>
      <c r="Z71" s="285">
        <v>12074240.054773819</v>
      </c>
      <c r="AA71" s="286">
        <v>0</v>
      </c>
      <c r="AB71" s="287">
        <v>959668.66998722905</v>
      </c>
      <c r="AC71" s="288">
        <v>0</v>
      </c>
      <c r="AD71" s="289">
        <v>13033908.724761048</v>
      </c>
      <c r="AE71" s="266"/>
      <c r="AF71" s="285">
        <v>3121992.7941176472</v>
      </c>
      <c r="AG71" s="286">
        <v>0</v>
      </c>
      <c r="AH71" s="286">
        <v>0</v>
      </c>
      <c r="AI71" s="290">
        <v>0</v>
      </c>
      <c r="AJ71" s="289">
        <v>3121992.7941176472</v>
      </c>
      <c r="AK71" s="291">
        <v>9911915.930643402</v>
      </c>
    </row>
    <row r="72" spans="1:37" x14ac:dyDescent="0.25">
      <c r="A72" s="264" t="s">
        <v>1832</v>
      </c>
      <c r="B72" s="264" t="s">
        <v>1833</v>
      </c>
      <c r="C72" s="264" t="s">
        <v>1174</v>
      </c>
      <c r="D72" s="264">
        <v>6311728</v>
      </c>
      <c r="E72" s="264" t="s">
        <v>1879</v>
      </c>
      <c r="F72" s="264">
        <v>2018</v>
      </c>
      <c r="G72" s="281">
        <v>0</v>
      </c>
      <c r="H72" s="264">
        <v>0</v>
      </c>
      <c r="I72" s="282">
        <v>0</v>
      </c>
      <c r="J72" s="281">
        <v>0</v>
      </c>
      <c r="K72" s="281">
        <v>0</v>
      </c>
      <c r="L72" s="264">
        <v>0</v>
      </c>
      <c r="M72" s="282">
        <v>0</v>
      </c>
      <c r="N72" s="281">
        <v>0</v>
      </c>
      <c r="O72" s="281">
        <v>0</v>
      </c>
      <c r="P72" s="263"/>
      <c r="Q72" s="313"/>
      <c r="R72" s="284">
        <v>0</v>
      </c>
      <c r="S72" s="284">
        <v>0</v>
      </c>
      <c r="T72" s="284">
        <v>0</v>
      </c>
      <c r="U72" s="284">
        <v>0</v>
      </c>
      <c r="V72" s="284">
        <v>0</v>
      </c>
      <c r="W72" s="284">
        <v>0</v>
      </c>
      <c r="X72" s="284">
        <v>0</v>
      </c>
      <c r="Y72" s="313"/>
      <c r="Z72" s="285">
        <v>0</v>
      </c>
      <c r="AA72" s="286">
        <v>0</v>
      </c>
      <c r="AB72" s="287">
        <v>0</v>
      </c>
      <c r="AC72" s="288">
        <v>0</v>
      </c>
      <c r="AD72" s="289">
        <v>0</v>
      </c>
      <c r="AE72" s="266"/>
      <c r="AF72" s="285">
        <v>0</v>
      </c>
      <c r="AG72" s="286">
        <v>0</v>
      </c>
      <c r="AH72" s="286">
        <v>0</v>
      </c>
      <c r="AI72" s="290">
        <v>0</v>
      </c>
      <c r="AJ72" s="289">
        <v>0</v>
      </c>
      <c r="AK72" s="291">
        <v>0</v>
      </c>
    </row>
    <row r="73" spans="1:37" x14ac:dyDescent="0.25">
      <c r="A73" s="264" t="s">
        <v>1176</v>
      </c>
      <c r="B73" s="264" t="s">
        <v>1176</v>
      </c>
      <c r="C73" s="264" t="s">
        <v>1174</v>
      </c>
      <c r="D73" s="264">
        <v>1826777</v>
      </c>
      <c r="E73" s="264" t="s">
        <v>1879</v>
      </c>
      <c r="F73" s="264">
        <v>2018</v>
      </c>
      <c r="G73" s="281">
        <v>9</v>
      </c>
      <c r="H73" s="264">
        <v>1</v>
      </c>
      <c r="I73" s="282">
        <v>8</v>
      </c>
      <c r="J73" s="281">
        <v>0</v>
      </c>
      <c r="K73" s="281">
        <v>0</v>
      </c>
      <c r="L73" s="264">
        <v>0</v>
      </c>
      <c r="M73" s="282">
        <v>20</v>
      </c>
      <c r="N73" s="281">
        <v>0</v>
      </c>
      <c r="O73" s="281"/>
      <c r="P73" s="263"/>
      <c r="Q73" s="313"/>
      <c r="R73" s="284">
        <v>9</v>
      </c>
      <c r="S73" s="284">
        <v>1</v>
      </c>
      <c r="T73" s="284">
        <v>8</v>
      </c>
      <c r="U73" s="284">
        <v>0</v>
      </c>
      <c r="V73" s="284">
        <v>0</v>
      </c>
      <c r="W73" s="284">
        <v>0</v>
      </c>
      <c r="X73" s="284">
        <v>0</v>
      </c>
      <c r="Y73" s="313"/>
      <c r="Z73" s="285">
        <v>4527840.0205401815</v>
      </c>
      <c r="AA73" s="286">
        <v>0</v>
      </c>
      <c r="AB73" s="287">
        <v>359875.75124521088</v>
      </c>
      <c r="AC73" s="288">
        <v>0</v>
      </c>
      <c r="AD73" s="289">
        <v>4887715.7717853924</v>
      </c>
      <c r="AE73" s="266"/>
      <c r="AF73" s="285">
        <v>1110041.8823529412</v>
      </c>
      <c r="AG73" s="286">
        <v>0</v>
      </c>
      <c r="AH73" s="286">
        <v>0</v>
      </c>
      <c r="AI73" s="290">
        <v>0</v>
      </c>
      <c r="AJ73" s="289">
        <v>1110041.8823529412</v>
      </c>
      <c r="AK73" s="291">
        <v>3777673.8894324512</v>
      </c>
    </row>
    <row r="74" spans="1:37" x14ac:dyDescent="0.25">
      <c r="A74" s="264" t="s">
        <v>1208</v>
      </c>
      <c r="B74" s="264" t="s">
        <v>610</v>
      </c>
      <c r="C74" s="264" t="s">
        <v>1207</v>
      </c>
      <c r="D74" s="264">
        <v>6232669</v>
      </c>
      <c r="E74" s="264" t="s">
        <v>1778</v>
      </c>
      <c r="F74" s="264">
        <v>2018</v>
      </c>
      <c r="G74" s="281">
        <v>6</v>
      </c>
      <c r="H74" s="264">
        <v>1</v>
      </c>
      <c r="I74" s="282">
        <v>5</v>
      </c>
      <c r="J74" s="281">
        <v>0</v>
      </c>
      <c r="K74" s="281">
        <v>0</v>
      </c>
      <c r="L74" s="264">
        <v>0</v>
      </c>
      <c r="M74" s="282">
        <v>70</v>
      </c>
      <c r="N74" s="281">
        <v>0</v>
      </c>
      <c r="O74" s="281"/>
      <c r="P74" s="263"/>
      <c r="Q74" s="313"/>
      <c r="R74" s="284">
        <v>6</v>
      </c>
      <c r="S74" s="284">
        <v>1</v>
      </c>
      <c r="T74" s="284">
        <v>5</v>
      </c>
      <c r="U74" s="284">
        <v>0</v>
      </c>
      <c r="V74" s="284">
        <v>0</v>
      </c>
      <c r="W74" s="284">
        <v>0</v>
      </c>
      <c r="X74" s="284">
        <v>0</v>
      </c>
      <c r="Y74" s="313"/>
      <c r="Z74" s="285">
        <v>3018560.0136934547</v>
      </c>
      <c r="AA74" s="286">
        <v>0</v>
      </c>
      <c r="AB74" s="287">
        <v>239917.16749680726</v>
      </c>
      <c r="AC74" s="288">
        <v>0</v>
      </c>
      <c r="AD74" s="289">
        <v>3258477.1811902621</v>
      </c>
      <c r="AE74" s="266"/>
      <c r="AF74" s="285">
        <v>693776.17647058819</v>
      </c>
      <c r="AG74" s="286">
        <v>0</v>
      </c>
      <c r="AH74" s="286">
        <v>0</v>
      </c>
      <c r="AI74" s="290">
        <v>0</v>
      </c>
      <c r="AJ74" s="289">
        <v>693776.17647058819</v>
      </c>
      <c r="AK74" s="291">
        <v>2564701.0047196737</v>
      </c>
    </row>
    <row r="75" spans="1:37" x14ac:dyDescent="0.25">
      <c r="A75" s="264" t="s">
        <v>977</v>
      </c>
      <c r="B75" s="264" t="s">
        <v>977</v>
      </c>
      <c r="C75" s="264" t="s">
        <v>1198</v>
      </c>
      <c r="D75" s="264">
        <v>5175408</v>
      </c>
      <c r="E75" s="264" t="s">
        <v>1779</v>
      </c>
      <c r="F75" s="264">
        <v>2018</v>
      </c>
      <c r="G75" s="281">
        <v>2</v>
      </c>
      <c r="H75" s="264">
        <v>0</v>
      </c>
      <c r="I75" s="282">
        <v>2</v>
      </c>
      <c r="J75" s="281">
        <v>0</v>
      </c>
      <c r="K75" s="281">
        <v>0</v>
      </c>
      <c r="L75" s="264">
        <v>0</v>
      </c>
      <c r="M75" s="282">
        <v>70</v>
      </c>
      <c r="N75" s="281">
        <v>0</v>
      </c>
      <c r="O75" s="281"/>
      <c r="P75" s="263"/>
      <c r="Q75" s="313"/>
      <c r="R75" s="284">
        <v>2</v>
      </c>
      <c r="S75" s="284">
        <v>0</v>
      </c>
      <c r="T75" s="284">
        <v>2</v>
      </c>
      <c r="U75" s="284">
        <v>0</v>
      </c>
      <c r="V75" s="284">
        <v>0</v>
      </c>
      <c r="W75" s="284">
        <v>0</v>
      </c>
      <c r="X75" s="284">
        <v>0</v>
      </c>
      <c r="Y75" s="313"/>
      <c r="Z75" s="285">
        <v>1006186.6712311516</v>
      </c>
      <c r="AA75" s="286">
        <v>0</v>
      </c>
      <c r="AB75" s="287">
        <v>79972.389165602421</v>
      </c>
      <c r="AC75" s="288">
        <v>0</v>
      </c>
      <c r="AD75" s="289">
        <v>1086159.060396754</v>
      </c>
      <c r="AE75" s="266"/>
      <c r="AF75" s="285">
        <v>277510.4705882353</v>
      </c>
      <c r="AG75" s="286">
        <v>0</v>
      </c>
      <c r="AH75" s="286">
        <v>0</v>
      </c>
      <c r="AI75" s="290">
        <v>0</v>
      </c>
      <c r="AJ75" s="289">
        <v>277510.4705882353</v>
      </c>
      <c r="AK75" s="291">
        <v>808648.58980851865</v>
      </c>
    </row>
    <row r="76" spans="1:37" x14ac:dyDescent="0.25">
      <c r="A76" s="264" t="s">
        <v>694</v>
      </c>
      <c r="B76" s="264" t="s">
        <v>694</v>
      </c>
      <c r="C76" s="264" t="s">
        <v>1181</v>
      </c>
      <c r="D76" s="264">
        <v>2540162</v>
      </c>
      <c r="E76" s="264" t="s">
        <v>1780</v>
      </c>
      <c r="F76" s="264">
        <v>2018</v>
      </c>
      <c r="G76" s="281">
        <v>0.25</v>
      </c>
      <c r="H76" s="264">
        <v>0.05</v>
      </c>
      <c r="I76" s="282">
        <v>0.2</v>
      </c>
      <c r="J76" s="281">
        <v>0</v>
      </c>
      <c r="K76" s="281">
        <v>0</v>
      </c>
      <c r="L76" s="264">
        <v>0</v>
      </c>
      <c r="M76" s="282">
        <v>70</v>
      </c>
      <c r="N76" s="281">
        <v>0</v>
      </c>
      <c r="O76" s="281"/>
      <c r="P76" s="263"/>
      <c r="Q76" s="313"/>
      <c r="R76" s="284">
        <v>0.25</v>
      </c>
      <c r="S76" s="284">
        <v>0.05</v>
      </c>
      <c r="T76" s="284">
        <v>0.2</v>
      </c>
      <c r="U76" s="284">
        <v>0</v>
      </c>
      <c r="V76" s="284">
        <v>0</v>
      </c>
      <c r="W76" s="284">
        <v>0</v>
      </c>
      <c r="X76" s="284">
        <v>0</v>
      </c>
      <c r="Y76" s="313"/>
      <c r="Z76" s="285">
        <v>125773.33390389394</v>
      </c>
      <c r="AA76" s="286">
        <v>0</v>
      </c>
      <c r="AB76" s="287">
        <v>9996.5486457003026</v>
      </c>
      <c r="AC76" s="288">
        <v>0</v>
      </c>
      <c r="AD76" s="289">
        <v>135769.88254959424</v>
      </c>
      <c r="AE76" s="266"/>
      <c r="AF76" s="285">
        <v>27751.047058823533</v>
      </c>
      <c r="AG76" s="286">
        <v>0</v>
      </c>
      <c r="AH76" s="286">
        <v>0</v>
      </c>
      <c r="AI76" s="290">
        <v>0</v>
      </c>
      <c r="AJ76" s="289">
        <v>27751.047058823533</v>
      </c>
      <c r="AK76" s="291">
        <v>108018.83549077071</v>
      </c>
    </row>
    <row r="77" spans="1:37" x14ac:dyDescent="0.25">
      <c r="A77" s="264" t="s">
        <v>1210</v>
      </c>
      <c r="B77" s="264" t="s">
        <v>613</v>
      </c>
      <c r="C77" s="264" t="s">
        <v>1181</v>
      </c>
      <c r="D77" s="264">
        <v>6428468</v>
      </c>
      <c r="E77" s="264" t="s">
        <v>1780</v>
      </c>
      <c r="F77" s="264">
        <v>2018</v>
      </c>
      <c r="G77" s="281">
        <v>11.5</v>
      </c>
      <c r="H77" s="264">
        <v>1.5</v>
      </c>
      <c r="I77" s="282">
        <v>10</v>
      </c>
      <c r="J77" s="281">
        <v>0</v>
      </c>
      <c r="K77" s="281">
        <v>0</v>
      </c>
      <c r="L77" s="264">
        <v>0</v>
      </c>
      <c r="M77" s="282">
        <v>160</v>
      </c>
      <c r="N77" s="281">
        <v>0</v>
      </c>
      <c r="O77" s="281"/>
      <c r="P77" s="263"/>
      <c r="Q77" s="313"/>
      <c r="R77" s="284">
        <v>11.5</v>
      </c>
      <c r="S77" s="284">
        <v>1.5</v>
      </c>
      <c r="T77" s="284">
        <v>10</v>
      </c>
      <c r="U77" s="284">
        <v>0</v>
      </c>
      <c r="V77" s="284">
        <v>0</v>
      </c>
      <c r="W77" s="284">
        <v>0</v>
      </c>
      <c r="X77" s="284">
        <v>0</v>
      </c>
      <c r="Y77" s="313"/>
      <c r="Z77" s="285">
        <v>5785573.3595791217</v>
      </c>
      <c r="AA77" s="286">
        <v>0</v>
      </c>
      <c r="AB77" s="287">
        <v>459841.23770221393</v>
      </c>
      <c r="AC77" s="288">
        <v>0</v>
      </c>
      <c r="AD77" s="289">
        <v>6245414.5972813359</v>
      </c>
      <c r="AE77" s="266"/>
      <c r="AF77" s="285">
        <v>1387552.3529411764</v>
      </c>
      <c r="AG77" s="286">
        <v>0</v>
      </c>
      <c r="AH77" s="286">
        <v>0</v>
      </c>
      <c r="AI77" s="290">
        <v>0</v>
      </c>
      <c r="AJ77" s="289">
        <v>1387552.3529411764</v>
      </c>
      <c r="AK77" s="291">
        <v>4857862.244340159</v>
      </c>
    </row>
    <row r="78" spans="1:37" x14ac:dyDescent="0.25">
      <c r="A78" s="264" t="s">
        <v>1163</v>
      </c>
      <c r="B78" s="264" t="s">
        <v>947</v>
      </c>
      <c r="C78" s="264" t="s">
        <v>1162</v>
      </c>
      <c r="D78" s="264">
        <v>1225073</v>
      </c>
      <c r="E78" s="264" t="s">
        <v>1781</v>
      </c>
      <c r="F78" s="264">
        <v>2018</v>
      </c>
      <c r="G78" s="281">
        <v>16.34</v>
      </c>
      <c r="H78" s="264">
        <v>0.67</v>
      </c>
      <c r="I78" s="282">
        <v>15.67</v>
      </c>
      <c r="J78" s="281">
        <v>0</v>
      </c>
      <c r="K78" s="281">
        <v>0</v>
      </c>
      <c r="L78" s="264">
        <v>0</v>
      </c>
      <c r="M78" s="282">
        <v>285</v>
      </c>
      <c r="N78" s="281">
        <v>0</v>
      </c>
      <c r="O78" s="281"/>
      <c r="P78" s="263"/>
      <c r="Q78" s="313"/>
      <c r="R78" s="284">
        <v>16.34</v>
      </c>
      <c r="S78" s="284">
        <v>0.67</v>
      </c>
      <c r="T78" s="284">
        <v>15.67</v>
      </c>
      <c r="U78" s="284">
        <v>0</v>
      </c>
      <c r="V78" s="284">
        <v>0</v>
      </c>
      <c r="W78" s="284">
        <v>0</v>
      </c>
      <c r="X78" s="284">
        <v>0</v>
      </c>
      <c r="Y78" s="313"/>
      <c r="Z78" s="285">
        <v>8220545.103958508</v>
      </c>
      <c r="AA78" s="286">
        <v>0</v>
      </c>
      <c r="AB78" s="287">
        <v>653374.41948297177</v>
      </c>
      <c r="AC78" s="288">
        <v>0</v>
      </c>
      <c r="AD78" s="289">
        <v>8873919.5234414805</v>
      </c>
      <c r="AE78" s="266"/>
      <c r="AF78" s="285">
        <v>2174294.5370588237</v>
      </c>
      <c r="AG78" s="286">
        <v>0</v>
      </c>
      <c r="AH78" s="286">
        <v>0</v>
      </c>
      <c r="AI78" s="290">
        <v>0</v>
      </c>
      <c r="AJ78" s="289">
        <v>2174294.5370588237</v>
      </c>
      <c r="AK78" s="291">
        <v>6699624.9863826567</v>
      </c>
    </row>
    <row r="79" spans="1:37" x14ac:dyDescent="0.25">
      <c r="A79" s="264" t="s">
        <v>962</v>
      </c>
      <c r="B79" s="264" t="s">
        <v>962</v>
      </c>
      <c r="C79" s="264" t="s">
        <v>1162</v>
      </c>
      <c r="D79" s="264">
        <v>3921078</v>
      </c>
      <c r="E79" s="264" t="s">
        <v>1781</v>
      </c>
      <c r="F79" s="264">
        <v>2018</v>
      </c>
      <c r="G79" s="281">
        <v>0.95</v>
      </c>
      <c r="H79" s="264">
        <v>0.1</v>
      </c>
      <c r="I79" s="282">
        <v>0.85</v>
      </c>
      <c r="J79" s="281">
        <v>0</v>
      </c>
      <c r="K79" s="281">
        <v>0</v>
      </c>
      <c r="L79" s="264">
        <v>0</v>
      </c>
      <c r="M79" s="282">
        <v>0</v>
      </c>
      <c r="N79" s="281">
        <v>3</v>
      </c>
      <c r="O79" s="281"/>
      <c r="P79" s="263"/>
      <c r="Q79" s="313"/>
      <c r="R79" s="284">
        <v>0.95</v>
      </c>
      <c r="S79" s="284">
        <v>0.1</v>
      </c>
      <c r="T79" s="284">
        <v>0.85</v>
      </c>
      <c r="U79" s="284">
        <v>0</v>
      </c>
      <c r="V79" s="284">
        <v>0</v>
      </c>
      <c r="W79" s="284">
        <v>0</v>
      </c>
      <c r="X79" s="284">
        <v>3</v>
      </c>
      <c r="Y79" s="313"/>
      <c r="Z79" s="285">
        <v>477938.66883479699</v>
      </c>
      <c r="AA79" s="286">
        <v>0</v>
      </c>
      <c r="AB79" s="287">
        <v>37986.884853661148</v>
      </c>
      <c r="AC79" s="288">
        <v>0</v>
      </c>
      <c r="AD79" s="289">
        <v>515925.55368845817</v>
      </c>
      <c r="AE79" s="266"/>
      <c r="AF79" s="285">
        <v>117941.95</v>
      </c>
      <c r="AG79" s="286">
        <v>0</v>
      </c>
      <c r="AH79" s="286">
        <v>0</v>
      </c>
      <c r="AI79" s="290">
        <v>0</v>
      </c>
      <c r="AJ79" s="289">
        <v>117941.95</v>
      </c>
      <c r="AK79" s="291">
        <v>397983.60368845816</v>
      </c>
    </row>
    <row r="80" spans="1:37" x14ac:dyDescent="0.25">
      <c r="A80" s="264" t="s">
        <v>792</v>
      </c>
      <c r="B80" s="264" t="s">
        <v>805</v>
      </c>
      <c r="C80" s="264" t="s">
        <v>1162</v>
      </c>
      <c r="D80" s="264">
        <v>9554713</v>
      </c>
      <c r="E80" s="264" t="s">
        <v>1781</v>
      </c>
      <c r="F80" s="264">
        <v>2018</v>
      </c>
      <c r="G80" s="281">
        <v>2</v>
      </c>
      <c r="H80" s="264">
        <v>0.5</v>
      </c>
      <c r="I80" s="282">
        <v>1.5</v>
      </c>
      <c r="J80" s="281">
        <v>0</v>
      </c>
      <c r="K80" s="281">
        <v>0</v>
      </c>
      <c r="L80" s="264">
        <v>0</v>
      </c>
      <c r="M80" s="282">
        <v>90</v>
      </c>
      <c r="N80" s="281">
        <v>0</v>
      </c>
      <c r="O80" s="281"/>
      <c r="P80" s="263"/>
      <c r="Q80" s="313"/>
      <c r="R80" s="284">
        <v>2</v>
      </c>
      <c r="S80" s="284">
        <v>0.5</v>
      </c>
      <c r="T80" s="284">
        <v>1.5</v>
      </c>
      <c r="U80" s="284">
        <v>0</v>
      </c>
      <c r="V80" s="284">
        <v>0</v>
      </c>
      <c r="W80" s="284">
        <v>0</v>
      </c>
      <c r="X80" s="284">
        <v>0</v>
      </c>
      <c r="Y80" s="313"/>
      <c r="Z80" s="285">
        <v>1006186.6712311516</v>
      </c>
      <c r="AA80" s="286">
        <v>0</v>
      </c>
      <c r="AB80" s="287">
        <v>79972.389165602421</v>
      </c>
      <c r="AC80" s="288">
        <v>0</v>
      </c>
      <c r="AD80" s="289">
        <v>1086159.060396754</v>
      </c>
      <c r="AE80" s="266"/>
      <c r="AF80" s="285">
        <v>208132.85294117648</v>
      </c>
      <c r="AG80" s="286">
        <v>0</v>
      </c>
      <c r="AH80" s="286">
        <v>0</v>
      </c>
      <c r="AI80" s="290">
        <v>0</v>
      </c>
      <c r="AJ80" s="289">
        <v>208132.85294117648</v>
      </c>
      <c r="AK80" s="291">
        <v>878026.20745557745</v>
      </c>
    </row>
    <row r="81" spans="1:37" x14ac:dyDescent="0.25">
      <c r="A81" s="264" t="s">
        <v>792</v>
      </c>
      <c r="B81" s="264" t="s">
        <v>805</v>
      </c>
      <c r="C81" s="264" t="s">
        <v>1224</v>
      </c>
      <c r="D81" s="264">
        <v>9554713</v>
      </c>
      <c r="E81" s="264" t="s">
        <v>1882</v>
      </c>
      <c r="F81" s="264">
        <v>2018</v>
      </c>
      <c r="G81" s="281">
        <v>11</v>
      </c>
      <c r="H81" s="264">
        <v>1</v>
      </c>
      <c r="I81" s="282">
        <v>10</v>
      </c>
      <c r="J81" s="281">
        <v>0</v>
      </c>
      <c r="K81" s="281">
        <v>0</v>
      </c>
      <c r="L81" s="264">
        <v>0</v>
      </c>
      <c r="M81" s="282">
        <v>90</v>
      </c>
      <c r="N81" s="281">
        <v>0</v>
      </c>
      <c r="O81" s="281"/>
      <c r="P81" s="263"/>
      <c r="Q81" s="313"/>
      <c r="R81" s="284">
        <v>11</v>
      </c>
      <c r="S81" s="284">
        <v>1</v>
      </c>
      <c r="T81" s="284">
        <v>10</v>
      </c>
      <c r="U81" s="284">
        <v>0</v>
      </c>
      <c r="V81" s="284">
        <v>0</v>
      </c>
      <c r="W81" s="284">
        <v>0</v>
      </c>
      <c r="X81" s="284">
        <v>0</v>
      </c>
      <c r="Y81" s="313"/>
      <c r="Z81" s="285">
        <v>5534026.691771334</v>
      </c>
      <c r="AA81" s="286">
        <v>0</v>
      </c>
      <c r="AB81" s="287">
        <v>439848.14041081333</v>
      </c>
      <c r="AC81" s="288">
        <v>0</v>
      </c>
      <c r="AD81" s="289">
        <v>5973874.8321821475</v>
      </c>
      <c r="AE81" s="266"/>
      <c r="AF81" s="285">
        <v>1387552.3529411764</v>
      </c>
      <c r="AG81" s="286">
        <v>0</v>
      </c>
      <c r="AH81" s="286">
        <v>0</v>
      </c>
      <c r="AI81" s="290">
        <v>0</v>
      </c>
      <c r="AJ81" s="289">
        <v>1387552.3529411764</v>
      </c>
      <c r="AK81" s="291">
        <v>4586322.4792409707</v>
      </c>
    </row>
    <row r="82" spans="1:37" x14ac:dyDescent="0.25">
      <c r="A82" s="264" t="s">
        <v>620</v>
      </c>
      <c r="B82" s="264" t="s">
        <v>618</v>
      </c>
      <c r="C82" s="264" t="s">
        <v>1157</v>
      </c>
      <c r="D82" s="264">
        <v>1172890</v>
      </c>
      <c r="E82" s="264" t="s">
        <v>1782</v>
      </c>
      <c r="F82" s="264">
        <v>2018</v>
      </c>
      <c r="G82" s="281">
        <v>11.7</v>
      </c>
      <c r="H82" s="264">
        <v>1.7</v>
      </c>
      <c r="I82" s="282">
        <v>10</v>
      </c>
      <c r="J82" s="281">
        <v>0</v>
      </c>
      <c r="K82" s="281">
        <v>0</v>
      </c>
      <c r="L82" s="264">
        <v>0</v>
      </c>
      <c r="M82" s="282">
        <v>120</v>
      </c>
      <c r="N82" s="281">
        <v>0</v>
      </c>
      <c r="O82" s="281"/>
      <c r="P82" s="263"/>
      <c r="Q82" s="313"/>
      <c r="R82" s="284">
        <v>11.7</v>
      </c>
      <c r="S82" s="284">
        <v>1.7</v>
      </c>
      <c r="T82" s="284">
        <v>10</v>
      </c>
      <c r="U82" s="284">
        <v>0</v>
      </c>
      <c r="V82" s="284">
        <v>0</v>
      </c>
      <c r="W82" s="284">
        <v>0</v>
      </c>
      <c r="X82" s="284">
        <v>0</v>
      </c>
      <c r="Y82" s="313"/>
      <c r="Z82" s="285">
        <v>5886192.0267022364</v>
      </c>
      <c r="AA82" s="286">
        <v>0</v>
      </c>
      <c r="AB82" s="287">
        <v>467838.47661877412</v>
      </c>
      <c r="AC82" s="288">
        <v>0</v>
      </c>
      <c r="AD82" s="289">
        <v>6354030.5033210106</v>
      </c>
      <c r="AE82" s="266"/>
      <c r="AF82" s="285">
        <v>1387552.3529411764</v>
      </c>
      <c r="AG82" s="286">
        <v>0</v>
      </c>
      <c r="AH82" s="286">
        <v>0</v>
      </c>
      <c r="AI82" s="290">
        <v>0</v>
      </c>
      <c r="AJ82" s="289">
        <v>1387552.3529411764</v>
      </c>
      <c r="AK82" s="291">
        <v>4966478.1503798347</v>
      </c>
    </row>
    <row r="83" spans="1:37" x14ac:dyDescent="0.25">
      <c r="A83" s="264" t="s">
        <v>386</v>
      </c>
      <c r="B83" s="264" t="s">
        <v>626</v>
      </c>
      <c r="C83" s="264" t="s">
        <v>1214</v>
      </c>
      <c r="D83" s="264">
        <v>7702105</v>
      </c>
      <c r="E83" s="264" t="s">
        <v>1784</v>
      </c>
      <c r="F83" s="264">
        <v>2018</v>
      </c>
      <c r="G83" s="281">
        <v>4.3</v>
      </c>
      <c r="H83" s="264">
        <v>0.8</v>
      </c>
      <c r="I83" s="282">
        <v>3.5</v>
      </c>
      <c r="J83" s="281">
        <v>0</v>
      </c>
      <c r="K83" s="281">
        <v>0</v>
      </c>
      <c r="L83" s="264">
        <v>0</v>
      </c>
      <c r="M83" s="282">
        <v>45</v>
      </c>
      <c r="N83" s="281">
        <v>0</v>
      </c>
      <c r="O83" s="281"/>
      <c r="P83" s="263"/>
      <c r="Q83" s="313"/>
      <c r="R83" s="284">
        <v>4.3</v>
      </c>
      <c r="S83" s="284">
        <v>0.8</v>
      </c>
      <c r="T83" s="284">
        <v>3.5</v>
      </c>
      <c r="U83" s="284">
        <v>0</v>
      </c>
      <c r="V83" s="284">
        <v>0</v>
      </c>
      <c r="W83" s="284">
        <v>0</v>
      </c>
      <c r="X83" s="284">
        <v>0</v>
      </c>
      <c r="Y83" s="313"/>
      <c r="Z83" s="285">
        <v>2163301.3431469756</v>
      </c>
      <c r="AA83" s="286">
        <v>0</v>
      </c>
      <c r="AB83" s="287">
        <v>171940.63670604519</v>
      </c>
      <c r="AC83" s="288">
        <v>0</v>
      </c>
      <c r="AD83" s="289">
        <v>2335241.979853021</v>
      </c>
      <c r="AE83" s="266"/>
      <c r="AF83" s="285">
        <v>485643.32352941181</v>
      </c>
      <c r="AG83" s="286">
        <v>0</v>
      </c>
      <c r="AH83" s="286">
        <v>0</v>
      </c>
      <c r="AI83" s="290">
        <v>0</v>
      </c>
      <c r="AJ83" s="289">
        <v>485643.32352941181</v>
      </c>
      <c r="AK83" s="291">
        <v>1849598.6563236092</v>
      </c>
    </row>
    <row r="84" spans="1:37" x14ac:dyDescent="0.25">
      <c r="A84" s="264" t="s">
        <v>386</v>
      </c>
      <c r="B84" s="264" t="s">
        <v>678</v>
      </c>
      <c r="C84" s="264" t="s">
        <v>1203</v>
      </c>
      <c r="D84" s="264">
        <v>7259548</v>
      </c>
      <c r="E84" s="264" t="s">
        <v>1787</v>
      </c>
      <c r="F84" s="264">
        <v>2018</v>
      </c>
      <c r="G84" s="281">
        <v>16</v>
      </c>
      <c r="H84" s="264">
        <v>1</v>
      </c>
      <c r="I84" s="282">
        <v>15</v>
      </c>
      <c r="J84" s="281">
        <v>0</v>
      </c>
      <c r="K84" s="281">
        <v>0</v>
      </c>
      <c r="L84" s="264">
        <v>0</v>
      </c>
      <c r="M84" s="282">
        <v>260</v>
      </c>
      <c r="N84" s="281">
        <v>0</v>
      </c>
      <c r="O84" s="281"/>
      <c r="P84" s="263"/>
      <c r="Q84" s="313"/>
      <c r="R84" s="284">
        <v>16</v>
      </c>
      <c r="S84" s="284">
        <v>1</v>
      </c>
      <c r="T84" s="284">
        <v>15</v>
      </c>
      <c r="U84" s="284">
        <v>0</v>
      </c>
      <c r="V84" s="284">
        <v>0</v>
      </c>
      <c r="W84" s="284">
        <v>0</v>
      </c>
      <c r="X84" s="284">
        <v>0</v>
      </c>
      <c r="Y84" s="313"/>
      <c r="Z84" s="285">
        <v>8049493.3698492125</v>
      </c>
      <c r="AA84" s="286">
        <v>0</v>
      </c>
      <c r="AB84" s="287">
        <v>639779.11332481937</v>
      </c>
      <c r="AC84" s="288">
        <v>0</v>
      </c>
      <c r="AD84" s="289">
        <v>8689272.4831740316</v>
      </c>
      <c r="AE84" s="266"/>
      <c r="AF84" s="285">
        <v>2081328.5294117648</v>
      </c>
      <c r="AG84" s="286">
        <v>0</v>
      </c>
      <c r="AH84" s="286">
        <v>0</v>
      </c>
      <c r="AI84" s="290">
        <v>0</v>
      </c>
      <c r="AJ84" s="289">
        <v>2081328.5294117648</v>
      </c>
      <c r="AK84" s="291">
        <v>6607943.9537622668</v>
      </c>
    </row>
    <row r="85" spans="1:37" x14ac:dyDescent="0.25">
      <c r="A85" s="264" t="s">
        <v>1222</v>
      </c>
      <c r="B85" s="264" t="s">
        <v>531</v>
      </c>
      <c r="C85" s="264" t="s">
        <v>1221</v>
      </c>
      <c r="D85" s="264">
        <v>9199716</v>
      </c>
      <c r="E85" s="264" t="s">
        <v>1790</v>
      </c>
      <c r="F85" s="264">
        <v>2018</v>
      </c>
      <c r="G85" s="281">
        <v>6.4749999999999996</v>
      </c>
      <c r="H85" s="264">
        <v>0.375</v>
      </c>
      <c r="I85" s="282">
        <v>6.1</v>
      </c>
      <c r="J85" s="281">
        <v>0</v>
      </c>
      <c r="K85" s="281">
        <v>0</v>
      </c>
      <c r="L85" s="264">
        <v>0</v>
      </c>
      <c r="M85" s="282">
        <v>80</v>
      </c>
      <c r="N85" s="281">
        <v>0</v>
      </c>
      <c r="O85" s="281"/>
      <c r="P85" s="263"/>
      <c r="Q85" s="313"/>
      <c r="R85" s="284">
        <v>6.4749999999999996</v>
      </c>
      <c r="S85" s="284">
        <v>0.375</v>
      </c>
      <c r="T85" s="284">
        <v>6.1</v>
      </c>
      <c r="U85" s="284">
        <v>0</v>
      </c>
      <c r="V85" s="284">
        <v>0</v>
      </c>
      <c r="W85" s="284">
        <v>0</v>
      </c>
      <c r="X85" s="284">
        <v>0</v>
      </c>
      <c r="Y85" s="313"/>
      <c r="Z85" s="285">
        <v>3257529.3481108528</v>
      </c>
      <c r="AA85" s="286">
        <v>0</v>
      </c>
      <c r="AB85" s="287">
        <v>258910.60992363782</v>
      </c>
      <c r="AC85" s="288">
        <v>0</v>
      </c>
      <c r="AD85" s="289">
        <v>3516439.9580344907</v>
      </c>
      <c r="AE85" s="266"/>
      <c r="AF85" s="285">
        <v>846406.93529411766</v>
      </c>
      <c r="AG85" s="286">
        <v>0</v>
      </c>
      <c r="AH85" s="286">
        <v>0</v>
      </c>
      <c r="AI85" s="290">
        <v>0</v>
      </c>
      <c r="AJ85" s="289">
        <v>846406.93529411766</v>
      </c>
      <c r="AK85" s="291">
        <v>2670033.0227403729</v>
      </c>
    </row>
    <row r="86" spans="1:37" x14ac:dyDescent="0.25">
      <c r="A86" s="264" t="s">
        <v>386</v>
      </c>
      <c r="B86" s="264" t="s">
        <v>1003</v>
      </c>
      <c r="C86" s="264" t="s">
        <v>1186</v>
      </c>
      <c r="D86" s="264">
        <v>3095940</v>
      </c>
      <c r="E86" s="264" t="s">
        <v>1788</v>
      </c>
      <c r="F86" s="264">
        <v>2018</v>
      </c>
      <c r="G86" s="281">
        <v>7</v>
      </c>
      <c r="H86" s="264">
        <v>1</v>
      </c>
      <c r="I86" s="282">
        <v>6</v>
      </c>
      <c r="J86" s="281">
        <v>0</v>
      </c>
      <c r="K86" s="281">
        <v>0</v>
      </c>
      <c r="L86" s="264">
        <v>0</v>
      </c>
      <c r="M86" s="282">
        <v>110</v>
      </c>
      <c r="N86" s="281">
        <v>0</v>
      </c>
      <c r="O86" s="281"/>
      <c r="P86" s="263"/>
      <c r="Q86" s="313"/>
      <c r="R86" s="284">
        <v>7</v>
      </c>
      <c r="S86" s="284">
        <v>1</v>
      </c>
      <c r="T86" s="284">
        <v>6</v>
      </c>
      <c r="U86" s="284">
        <v>0</v>
      </c>
      <c r="V86" s="284">
        <v>0</v>
      </c>
      <c r="W86" s="284">
        <v>0</v>
      </c>
      <c r="X86" s="284">
        <v>0</v>
      </c>
      <c r="Y86" s="313"/>
      <c r="Z86" s="285">
        <v>3521653.3493090305</v>
      </c>
      <c r="AA86" s="286">
        <v>0</v>
      </c>
      <c r="AB86" s="287">
        <v>279903.36207960849</v>
      </c>
      <c r="AC86" s="288">
        <v>0</v>
      </c>
      <c r="AD86" s="289">
        <v>3801556.7113886392</v>
      </c>
      <c r="AE86" s="266"/>
      <c r="AF86" s="285">
        <v>832531.4117647059</v>
      </c>
      <c r="AG86" s="286">
        <v>0</v>
      </c>
      <c r="AH86" s="286">
        <v>0</v>
      </c>
      <c r="AI86" s="290">
        <v>0</v>
      </c>
      <c r="AJ86" s="289">
        <v>832531.4117647059</v>
      </c>
      <c r="AK86" s="291">
        <v>2969025.2996239332</v>
      </c>
    </row>
    <row r="87" spans="1:37" x14ac:dyDescent="0.25">
      <c r="A87" s="264" t="s">
        <v>692</v>
      </c>
      <c r="B87" s="264" t="s">
        <v>690</v>
      </c>
      <c r="C87" s="264" t="s">
        <v>1186</v>
      </c>
      <c r="D87" s="264">
        <v>9949795</v>
      </c>
      <c r="E87" s="264" t="s">
        <v>1788</v>
      </c>
      <c r="F87" s="264">
        <v>2018</v>
      </c>
      <c r="G87" s="281">
        <v>2.75</v>
      </c>
      <c r="H87" s="264">
        <v>0</v>
      </c>
      <c r="I87" s="282">
        <v>2.75</v>
      </c>
      <c r="J87" s="281">
        <v>0</v>
      </c>
      <c r="K87" s="281">
        <v>0</v>
      </c>
      <c r="L87" s="264">
        <v>0</v>
      </c>
      <c r="M87" s="282">
        <v>27</v>
      </c>
      <c r="N87" s="281">
        <v>0</v>
      </c>
      <c r="O87" s="281"/>
      <c r="P87" s="263"/>
      <c r="Q87" s="313"/>
      <c r="R87" s="284">
        <v>2.75</v>
      </c>
      <c r="S87" s="284">
        <v>0</v>
      </c>
      <c r="T87" s="284">
        <v>2.75</v>
      </c>
      <c r="U87" s="284">
        <v>0</v>
      </c>
      <c r="V87" s="284">
        <v>0</v>
      </c>
      <c r="W87" s="284">
        <v>0</v>
      </c>
      <c r="X87" s="284">
        <v>0</v>
      </c>
      <c r="Y87" s="313"/>
      <c r="Z87" s="285">
        <v>1383506.6729428335</v>
      </c>
      <c r="AA87" s="286">
        <v>0</v>
      </c>
      <c r="AB87" s="287">
        <v>109962.03510270333</v>
      </c>
      <c r="AC87" s="288">
        <v>0</v>
      </c>
      <c r="AD87" s="289">
        <v>1493468.7080455369</v>
      </c>
      <c r="AE87" s="266"/>
      <c r="AF87" s="285">
        <v>381576.89705882355</v>
      </c>
      <c r="AG87" s="286">
        <v>0</v>
      </c>
      <c r="AH87" s="286">
        <v>0</v>
      </c>
      <c r="AI87" s="290">
        <v>0</v>
      </c>
      <c r="AJ87" s="289">
        <v>381576.89705882355</v>
      </c>
      <c r="AK87" s="291">
        <v>1111891.8109867133</v>
      </c>
    </row>
    <row r="88" spans="1:37" x14ac:dyDescent="0.25">
      <c r="A88" s="264" t="s">
        <v>386</v>
      </c>
      <c r="B88" s="264" t="s">
        <v>682</v>
      </c>
      <c r="C88" s="264" t="s">
        <v>1230</v>
      </c>
      <c r="D88" s="264">
        <v>9940787</v>
      </c>
      <c r="E88" s="264" t="s">
        <v>1789</v>
      </c>
      <c r="F88" s="264">
        <v>2018</v>
      </c>
      <c r="G88" s="281">
        <v>8.65</v>
      </c>
      <c r="H88" s="264">
        <v>1.1499999999999999</v>
      </c>
      <c r="I88" s="282">
        <v>7.5</v>
      </c>
      <c r="J88" s="281">
        <v>0</v>
      </c>
      <c r="K88" s="281">
        <v>0</v>
      </c>
      <c r="L88" s="264">
        <v>0</v>
      </c>
      <c r="M88" s="282">
        <v>120</v>
      </c>
      <c r="N88" s="281">
        <v>0</v>
      </c>
      <c r="O88" s="281"/>
      <c r="P88" s="263"/>
      <c r="Q88" s="313"/>
      <c r="R88" s="284">
        <v>8.65</v>
      </c>
      <c r="S88" s="284">
        <v>1.1499999999999999</v>
      </c>
      <c r="T88" s="284">
        <v>7.5</v>
      </c>
      <c r="U88" s="284">
        <v>0</v>
      </c>
      <c r="V88" s="284">
        <v>0</v>
      </c>
      <c r="W88" s="284">
        <v>0</v>
      </c>
      <c r="X88" s="284">
        <v>0</v>
      </c>
      <c r="Y88" s="313"/>
      <c r="Z88" s="285">
        <v>4351757.3530747304</v>
      </c>
      <c r="AA88" s="286">
        <v>0</v>
      </c>
      <c r="AB88" s="287">
        <v>345880.58314123051</v>
      </c>
      <c r="AC88" s="288">
        <v>0</v>
      </c>
      <c r="AD88" s="289">
        <v>4697637.9362159614</v>
      </c>
      <c r="AE88" s="266"/>
      <c r="AF88" s="285">
        <v>1040664.2647058824</v>
      </c>
      <c r="AG88" s="286">
        <v>0</v>
      </c>
      <c r="AH88" s="286">
        <v>0</v>
      </c>
      <c r="AI88" s="290">
        <v>0</v>
      </c>
      <c r="AJ88" s="289">
        <v>1040664.2647058824</v>
      </c>
      <c r="AK88" s="291">
        <v>3656973.6715100789</v>
      </c>
    </row>
    <row r="89" spans="1:37" x14ac:dyDescent="0.25">
      <c r="A89" s="264" t="s">
        <v>694</v>
      </c>
      <c r="B89" s="264" t="s">
        <v>694</v>
      </c>
      <c r="C89" s="264" t="s">
        <v>1182</v>
      </c>
      <c r="D89" s="264">
        <v>2540162</v>
      </c>
      <c r="E89" s="264" t="s">
        <v>1791</v>
      </c>
      <c r="F89" s="264">
        <v>2018</v>
      </c>
      <c r="G89" s="281">
        <v>3.9</v>
      </c>
      <c r="H89" s="264">
        <v>0.7</v>
      </c>
      <c r="I89" s="282">
        <v>3.2</v>
      </c>
      <c r="J89" s="281">
        <v>0</v>
      </c>
      <c r="K89" s="281">
        <v>0</v>
      </c>
      <c r="L89" s="264">
        <v>0</v>
      </c>
      <c r="M89" s="282">
        <v>70</v>
      </c>
      <c r="N89" s="281">
        <v>0</v>
      </c>
      <c r="O89" s="281"/>
      <c r="P89" s="263"/>
      <c r="Q89" s="313"/>
      <c r="R89" s="284">
        <v>3.9</v>
      </c>
      <c r="S89" s="284">
        <v>0.7</v>
      </c>
      <c r="T89" s="284">
        <v>3.2</v>
      </c>
      <c r="U89" s="284">
        <v>0</v>
      </c>
      <c r="V89" s="284">
        <v>0</v>
      </c>
      <c r="W89" s="284">
        <v>0</v>
      </c>
      <c r="X89" s="284">
        <v>0</v>
      </c>
      <c r="Y89" s="313"/>
      <c r="Z89" s="285">
        <v>1962064.0089007455</v>
      </c>
      <c r="AA89" s="286">
        <v>0</v>
      </c>
      <c r="AB89" s="287">
        <v>155946.15887292472</v>
      </c>
      <c r="AC89" s="288">
        <v>0</v>
      </c>
      <c r="AD89" s="289">
        <v>2118010.1677736701</v>
      </c>
      <c r="AE89" s="266"/>
      <c r="AF89" s="285">
        <v>444016.75294117653</v>
      </c>
      <c r="AG89" s="286">
        <v>0</v>
      </c>
      <c r="AH89" s="286">
        <v>0</v>
      </c>
      <c r="AI89" s="290">
        <v>0</v>
      </c>
      <c r="AJ89" s="289">
        <v>444016.75294117653</v>
      </c>
      <c r="AK89" s="291">
        <v>1673993.4148324935</v>
      </c>
    </row>
    <row r="90" spans="1:37" x14ac:dyDescent="0.25">
      <c r="A90" s="264" t="s">
        <v>1169</v>
      </c>
      <c r="B90" s="264" t="s">
        <v>652</v>
      </c>
      <c r="C90" s="264" t="s">
        <v>1168</v>
      </c>
      <c r="D90" s="264">
        <v>1514566</v>
      </c>
      <c r="E90" s="264" t="s">
        <v>1793</v>
      </c>
      <c r="F90" s="264">
        <v>2018</v>
      </c>
      <c r="G90" s="281">
        <v>3.5</v>
      </c>
      <c r="H90" s="264">
        <v>0.5</v>
      </c>
      <c r="I90" s="282">
        <v>3</v>
      </c>
      <c r="J90" s="281">
        <v>0</v>
      </c>
      <c r="K90" s="281">
        <v>0</v>
      </c>
      <c r="L90" s="264">
        <v>0</v>
      </c>
      <c r="M90" s="282">
        <v>50</v>
      </c>
      <c r="N90" s="281">
        <v>0</v>
      </c>
      <c r="O90" s="281"/>
      <c r="P90" s="263"/>
      <c r="Q90" s="313"/>
      <c r="R90" s="284">
        <v>3.5</v>
      </c>
      <c r="S90" s="284">
        <v>0.5</v>
      </c>
      <c r="T90" s="284">
        <v>3</v>
      </c>
      <c r="U90" s="284">
        <v>0</v>
      </c>
      <c r="V90" s="284">
        <v>0</v>
      </c>
      <c r="W90" s="284">
        <v>0</v>
      </c>
      <c r="X90" s="284">
        <v>0</v>
      </c>
      <c r="Y90" s="313"/>
      <c r="Z90" s="285">
        <v>1760826.6746545152</v>
      </c>
      <c r="AA90" s="286">
        <v>0</v>
      </c>
      <c r="AB90" s="287">
        <v>139951.68103980424</v>
      </c>
      <c r="AC90" s="288">
        <v>0</v>
      </c>
      <c r="AD90" s="289">
        <v>1900778.3556943196</v>
      </c>
      <c r="AE90" s="266"/>
      <c r="AF90" s="285">
        <v>416265.70588235295</v>
      </c>
      <c r="AG90" s="286">
        <v>0</v>
      </c>
      <c r="AH90" s="286">
        <v>0</v>
      </c>
      <c r="AI90" s="290">
        <v>0</v>
      </c>
      <c r="AJ90" s="289">
        <v>416265.70588235295</v>
      </c>
      <c r="AK90" s="291">
        <v>1484512.6498119666</v>
      </c>
    </row>
    <row r="91" spans="1:37" x14ac:dyDescent="0.25">
      <c r="A91" s="264" t="s">
        <v>657</v>
      </c>
      <c r="B91" s="264" t="s">
        <v>655</v>
      </c>
      <c r="C91" s="264" t="s">
        <v>1195</v>
      </c>
      <c r="D91" s="264">
        <v>4936413</v>
      </c>
      <c r="E91" s="264" t="s">
        <v>1794</v>
      </c>
      <c r="F91" s="264">
        <v>2018</v>
      </c>
      <c r="G91" s="281">
        <v>3.21</v>
      </c>
      <c r="H91" s="264">
        <v>0.9</v>
      </c>
      <c r="I91" s="282">
        <v>2.31</v>
      </c>
      <c r="J91" s="281">
        <v>0</v>
      </c>
      <c r="K91" s="281">
        <v>0</v>
      </c>
      <c r="L91" s="264">
        <v>0</v>
      </c>
      <c r="M91" s="282">
        <v>36</v>
      </c>
      <c r="N91" s="281">
        <v>3</v>
      </c>
      <c r="O91" s="281"/>
      <c r="P91" s="263"/>
      <c r="Q91" s="313"/>
      <c r="R91" s="284">
        <v>3.21</v>
      </c>
      <c r="S91" s="284">
        <v>0.9</v>
      </c>
      <c r="T91" s="284">
        <v>2.31</v>
      </c>
      <c r="U91" s="284">
        <v>0</v>
      </c>
      <c r="V91" s="284">
        <v>0</v>
      </c>
      <c r="W91" s="284">
        <v>0</v>
      </c>
      <c r="X91" s="284">
        <v>3</v>
      </c>
      <c r="Y91" s="313"/>
      <c r="Z91" s="285">
        <v>1614929.6073259981</v>
      </c>
      <c r="AA91" s="286">
        <v>0</v>
      </c>
      <c r="AB91" s="287">
        <v>128355.68461079188</v>
      </c>
      <c r="AC91" s="288">
        <v>0</v>
      </c>
      <c r="AD91" s="289">
        <v>1743285.2919367901</v>
      </c>
      <c r="AE91" s="266"/>
      <c r="AF91" s="285">
        <v>320524.59352941177</v>
      </c>
      <c r="AG91" s="286">
        <v>0</v>
      </c>
      <c r="AH91" s="286">
        <v>0</v>
      </c>
      <c r="AI91" s="290">
        <v>0</v>
      </c>
      <c r="AJ91" s="289">
        <v>320524.59352941177</v>
      </c>
      <c r="AK91" s="291">
        <v>1422760.6984073783</v>
      </c>
    </row>
    <row r="92" spans="1:37" x14ac:dyDescent="0.25">
      <c r="A92" s="264" t="s">
        <v>1212</v>
      </c>
      <c r="B92" s="264" t="s">
        <v>1213</v>
      </c>
      <c r="C92" s="264" t="s">
        <v>1211</v>
      </c>
      <c r="D92" s="264">
        <v>7201840</v>
      </c>
      <c r="E92" s="264" t="s">
        <v>1796</v>
      </c>
      <c r="F92" s="264">
        <v>2018</v>
      </c>
      <c r="G92" s="281">
        <v>30.25</v>
      </c>
      <c r="H92" s="264">
        <v>1.5</v>
      </c>
      <c r="I92" s="282">
        <v>28.75</v>
      </c>
      <c r="J92" s="281">
        <v>0</v>
      </c>
      <c r="K92" s="281">
        <v>0</v>
      </c>
      <c r="L92" s="264">
        <v>0</v>
      </c>
      <c r="M92" s="282">
        <v>370</v>
      </c>
      <c r="N92" s="281">
        <v>0</v>
      </c>
      <c r="O92" s="281"/>
      <c r="P92" s="263"/>
      <c r="Q92" s="313"/>
      <c r="R92" s="284">
        <v>30.25</v>
      </c>
      <c r="S92" s="284">
        <v>1.5</v>
      </c>
      <c r="T92" s="284">
        <v>28.75</v>
      </c>
      <c r="U92" s="284">
        <v>0</v>
      </c>
      <c r="V92" s="284">
        <v>0</v>
      </c>
      <c r="W92" s="284">
        <v>0</v>
      </c>
      <c r="X92" s="284">
        <v>0</v>
      </c>
      <c r="Y92" s="313"/>
      <c r="Z92" s="285">
        <v>15218573.402371168</v>
      </c>
      <c r="AA92" s="286">
        <v>0</v>
      </c>
      <c r="AB92" s="287">
        <v>1209582.3861297367</v>
      </c>
      <c r="AC92" s="288">
        <v>0</v>
      </c>
      <c r="AD92" s="289">
        <v>16428155.788500905</v>
      </c>
      <c r="AE92" s="266"/>
      <c r="AF92" s="285">
        <v>3989213.0147058824</v>
      </c>
      <c r="AG92" s="286">
        <v>0</v>
      </c>
      <c r="AH92" s="286">
        <v>0</v>
      </c>
      <c r="AI92" s="290">
        <v>0</v>
      </c>
      <c r="AJ92" s="289">
        <v>3989213.0147058824</v>
      </c>
      <c r="AK92" s="291">
        <v>12438942.773795024</v>
      </c>
    </row>
    <row r="93" spans="1:37" x14ac:dyDescent="0.25">
      <c r="A93" s="264" t="s">
        <v>750</v>
      </c>
      <c r="B93" s="264" t="s">
        <v>748</v>
      </c>
      <c r="C93" s="264" t="s">
        <v>1211</v>
      </c>
      <c r="D93" s="264">
        <v>9196018</v>
      </c>
      <c r="E93" s="264" t="s">
        <v>1796</v>
      </c>
      <c r="F93" s="264">
        <v>2018</v>
      </c>
      <c r="G93" s="281">
        <v>3.8439999999999999</v>
      </c>
      <c r="H93" s="264">
        <v>9.4E-2</v>
      </c>
      <c r="I93" s="282">
        <v>3.75</v>
      </c>
      <c r="J93" s="281">
        <v>0</v>
      </c>
      <c r="K93" s="281">
        <v>0</v>
      </c>
      <c r="L93" s="264">
        <v>0</v>
      </c>
      <c r="M93" s="282">
        <v>60</v>
      </c>
      <c r="N93" s="281">
        <v>0</v>
      </c>
      <c r="O93" s="281"/>
      <c r="P93" s="263"/>
      <c r="Q93" s="313"/>
      <c r="R93" s="284">
        <v>3.8439999999999999</v>
      </c>
      <c r="S93" s="284">
        <v>9.4E-2</v>
      </c>
      <c r="T93" s="284">
        <v>3.75</v>
      </c>
      <c r="U93" s="284">
        <v>0</v>
      </c>
      <c r="V93" s="284">
        <v>0</v>
      </c>
      <c r="W93" s="284">
        <v>0</v>
      </c>
      <c r="X93" s="284">
        <v>0</v>
      </c>
      <c r="Y93" s="313"/>
      <c r="Z93" s="285">
        <v>1933890.7821062733</v>
      </c>
      <c r="AA93" s="286">
        <v>0</v>
      </c>
      <c r="AB93" s="287">
        <v>153706.93197628786</v>
      </c>
      <c r="AC93" s="288">
        <v>0</v>
      </c>
      <c r="AD93" s="289">
        <v>2087597.7140825612</v>
      </c>
      <c r="AE93" s="266"/>
      <c r="AF93" s="285">
        <v>520332.1323529412</v>
      </c>
      <c r="AG93" s="286">
        <v>0</v>
      </c>
      <c r="AH93" s="286">
        <v>0</v>
      </c>
      <c r="AI93" s="290">
        <v>0</v>
      </c>
      <c r="AJ93" s="289">
        <v>520332.1323529412</v>
      </c>
      <c r="AK93" s="291">
        <v>1567265.58172962</v>
      </c>
    </row>
    <row r="94" spans="1:37" x14ac:dyDescent="0.25">
      <c r="A94" s="264" t="s">
        <v>1219</v>
      </c>
      <c r="B94" s="264" t="s">
        <v>753</v>
      </c>
      <c r="C94" s="264" t="s">
        <v>1218</v>
      </c>
      <c r="D94" s="264">
        <v>9097155</v>
      </c>
      <c r="E94" s="264" t="s">
        <v>1883</v>
      </c>
      <c r="F94" s="264">
        <v>2018</v>
      </c>
      <c r="G94" s="281">
        <v>8.5</v>
      </c>
      <c r="H94" s="264">
        <v>1</v>
      </c>
      <c r="I94" s="282">
        <v>7.5</v>
      </c>
      <c r="J94" s="281">
        <v>0</v>
      </c>
      <c r="K94" s="281">
        <v>0</v>
      </c>
      <c r="L94" s="264">
        <v>0</v>
      </c>
      <c r="M94" s="282">
        <v>85</v>
      </c>
      <c r="N94" s="281">
        <v>0</v>
      </c>
      <c r="O94" s="281"/>
      <c r="P94" s="263"/>
      <c r="Q94" s="313"/>
      <c r="R94" s="284">
        <v>8.5</v>
      </c>
      <c r="S94" s="284">
        <v>1</v>
      </c>
      <c r="T94" s="284">
        <v>7.5</v>
      </c>
      <c r="U94" s="284">
        <v>0</v>
      </c>
      <c r="V94" s="284">
        <v>0</v>
      </c>
      <c r="W94" s="284">
        <v>0</v>
      </c>
      <c r="X94" s="284">
        <v>0</v>
      </c>
      <c r="Y94" s="313"/>
      <c r="Z94" s="285">
        <v>4276293.3527323939</v>
      </c>
      <c r="AA94" s="286">
        <v>0</v>
      </c>
      <c r="AB94" s="287">
        <v>339882.65395381028</v>
      </c>
      <c r="AC94" s="288">
        <v>0</v>
      </c>
      <c r="AD94" s="289">
        <v>4616176.0066862041</v>
      </c>
      <c r="AE94" s="266"/>
      <c r="AF94" s="285">
        <v>1040664.2647058824</v>
      </c>
      <c r="AG94" s="286">
        <v>0</v>
      </c>
      <c r="AH94" s="286">
        <v>0</v>
      </c>
      <c r="AI94" s="290">
        <v>0</v>
      </c>
      <c r="AJ94" s="289">
        <v>1040664.2647058824</v>
      </c>
      <c r="AK94" s="291">
        <v>3575511.7419803217</v>
      </c>
    </row>
    <row r="95" spans="1:37" x14ac:dyDescent="0.25">
      <c r="A95" s="264" t="s">
        <v>1166</v>
      </c>
      <c r="B95" s="264" t="s">
        <v>821</v>
      </c>
      <c r="C95" s="264" t="s">
        <v>1165</v>
      </c>
      <c r="D95" s="264">
        <v>1356155</v>
      </c>
      <c r="E95" s="264" t="s">
        <v>1884</v>
      </c>
      <c r="F95" s="264">
        <v>2018</v>
      </c>
      <c r="G95" s="281">
        <v>4</v>
      </c>
      <c r="H95" s="264">
        <v>1</v>
      </c>
      <c r="I95" s="282">
        <v>3</v>
      </c>
      <c r="J95" s="281">
        <v>0</v>
      </c>
      <c r="K95" s="281">
        <v>0</v>
      </c>
      <c r="L95" s="264">
        <v>0</v>
      </c>
      <c r="M95" s="282">
        <v>35</v>
      </c>
      <c r="N95" s="281">
        <v>0</v>
      </c>
      <c r="O95" s="281"/>
      <c r="P95" s="263"/>
      <c r="Q95" s="313"/>
      <c r="R95" s="284">
        <v>4</v>
      </c>
      <c r="S95" s="284">
        <v>1</v>
      </c>
      <c r="T95" s="284">
        <v>3</v>
      </c>
      <c r="U95" s="284">
        <v>0</v>
      </c>
      <c r="V95" s="284">
        <v>0</v>
      </c>
      <c r="W95" s="284">
        <v>0</v>
      </c>
      <c r="X95" s="284">
        <v>0</v>
      </c>
      <c r="Y95" s="313"/>
      <c r="Z95" s="285">
        <v>2012373.3424623031</v>
      </c>
      <c r="AA95" s="286">
        <v>0</v>
      </c>
      <c r="AB95" s="287">
        <v>159944.77833120484</v>
      </c>
      <c r="AC95" s="288">
        <v>0</v>
      </c>
      <c r="AD95" s="289">
        <v>2172318.1207935079</v>
      </c>
      <c r="AE95" s="266"/>
      <c r="AF95" s="285">
        <v>416265.70588235295</v>
      </c>
      <c r="AG95" s="286">
        <v>0</v>
      </c>
      <c r="AH95" s="286">
        <v>0</v>
      </c>
      <c r="AI95" s="290">
        <v>0</v>
      </c>
      <c r="AJ95" s="289">
        <v>416265.70588235295</v>
      </c>
      <c r="AK95" s="291">
        <v>1756052.4149111549</v>
      </c>
    </row>
    <row r="96" spans="1:37" x14ac:dyDescent="0.25">
      <c r="A96" s="264" t="s">
        <v>546</v>
      </c>
      <c r="B96" s="264" t="s">
        <v>546</v>
      </c>
      <c r="C96" s="264" t="s">
        <v>1184</v>
      </c>
      <c r="D96" s="264">
        <v>2946425</v>
      </c>
      <c r="E96" s="264" t="s">
        <v>1797</v>
      </c>
      <c r="F96" s="264">
        <v>2018</v>
      </c>
      <c r="G96" s="281">
        <v>5</v>
      </c>
      <c r="H96" s="264">
        <v>1</v>
      </c>
      <c r="I96" s="282">
        <v>4</v>
      </c>
      <c r="J96" s="281">
        <v>0</v>
      </c>
      <c r="K96" s="281">
        <v>0</v>
      </c>
      <c r="L96" s="264">
        <v>0</v>
      </c>
      <c r="M96" s="282">
        <v>80</v>
      </c>
      <c r="N96" s="281">
        <v>0</v>
      </c>
      <c r="O96" s="281"/>
      <c r="P96" s="263"/>
      <c r="Q96" s="313"/>
      <c r="R96" s="284">
        <v>5</v>
      </c>
      <c r="S96" s="284">
        <v>1</v>
      </c>
      <c r="T96" s="284">
        <v>4</v>
      </c>
      <c r="U96" s="284">
        <v>0</v>
      </c>
      <c r="V96" s="284">
        <v>0</v>
      </c>
      <c r="W96" s="284">
        <v>0</v>
      </c>
      <c r="X96" s="284">
        <v>0</v>
      </c>
      <c r="Y96" s="313"/>
      <c r="Z96" s="285">
        <v>2515466.6780778789</v>
      </c>
      <c r="AA96" s="286">
        <v>0</v>
      </c>
      <c r="AB96" s="287">
        <v>199930.97291400604</v>
      </c>
      <c r="AC96" s="288">
        <v>0</v>
      </c>
      <c r="AD96" s="289">
        <v>2715397.650991885</v>
      </c>
      <c r="AE96" s="266"/>
      <c r="AF96" s="285">
        <v>555020.9411764706</v>
      </c>
      <c r="AG96" s="286">
        <v>0</v>
      </c>
      <c r="AH96" s="286">
        <v>0</v>
      </c>
      <c r="AI96" s="290">
        <v>0</v>
      </c>
      <c r="AJ96" s="289">
        <v>555020.9411764706</v>
      </c>
      <c r="AK96" s="291">
        <v>2160376.7098154146</v>
      </c>
    </row>
    <row r="97" spans="1:37" x14ac:dyDescent="0.25">
      <c r="A97" s="264" t="s">
        <v>829</v>
      </c>
      <c r="B97" s="264" t="s">
        <v>826</v>
      </c>
      <c r="C97" s="264" t="s">
        <v>1184</v>
      </c>
      <c r="D97" s="264">
        <v>3110951</v>
      </c>
      <c r="E97" s="264" t="s">
        <v>1797</v>
      </c>
      <c r="F97" s="264">
        <v>2018</v>
      </c>
      <c r="G97" s="281">
        <v>0.27</v>
      </c>
      <c r="H97" s="264">
        <v>0.01</v>
      </c>
      <c r="I97" s="282">
        <v>0.26</v>
      </c>
      <c r="J97" s="281">
        <v>0</v>
      </c>
      <c r="K97" s="281">
        <v>0</v>
      </c>
      <c r="L97" s="264">
        <v>0</v>
      </c>
      <c r="M97" s="282">
        <v>32</v>
      </c>
      <c r="N97" s="281">
        <v>0</v>
      </c>
      <c r="O97" s="281"/>
      <c r="P97" s="263"/>
      <c r="Q97" s="313"/>
      <c r="R97" s="284">
        <v>0.27</v>
      </c>
      <c r="S97" s="284">
        <v>0.01</v>
      </c>
      <c r="T97" s="284">
        <v>0.26</v>
      </c>
      <c r="U97" s="284">
        <v>0</v>
      </c>
      <c r="V97" s="284">
        <v>0</v>
      </c>
      <c r="W97" s="284">
        <v>0</v>
      </c>
      <c r="X97" s="284">
        <v>0</v>
      </c>
      <c r="Y97" s="313"/>
      <c r="Z97" s="285">
        <v>135835.20061620546</v>
      </c>
      <c r="AA97" s="286">
        <v>0</v>
      </c>
      <c r="AB97" s="287">
        <v>10796.272537356328</v>
      </c>
      <c r="AC97" s="288">
        <v>0</v>
      </c>
      <c r="AD97" s="289">
        <v>146631.47315356179</v>
      </c>
      <c r="AE97" s="266"/>
      <c r="AF97" s="285">
        <v>36076.361176470593</v>
      </c>
      <c r="AG97" s="286">
        <v>0</v>
      </c>
      <c r="AH97" s="286">
        <v>0</v>
      </c>
      <c r="AI97" s="290">
        <v>0</v>
      </c>
      <c r="AJ97" s="289">
        <v>36076.361176470593</v>
      </c>
      <c r="AK97" s="291">
        <v>110555.1119770912</v>
      </c>
    </row>
    <row r="98" spans="1:37" x14ac:dyDescent="0.25">
      <c r="A98" s="264" t="s">
        <v>632</v>
      </c>
      <c r="B98" s="264" t="s">
        <v>630</v>
      </c>
      <c r="C98" s="264" t="s">
        <v>1172</v>
      </c>
      <c r="D98" s="264">
        <v>1671513</v>
      </c>
      <c r="E98" s="264" t="s">
        <v>1798</v>
      </c>
      <c r="F98" s="264">
        <v>2018</v>
      </c>
      <c r="G98" s="281">
        <v>2.1</v>
      </c>
      <c r="H98" s="264">
        <v>0.1</v>
      </c>
      <c r="I98" s="282">
        <v>2</v>
      </c>
      <c r="J98" s="281">
        <v>0</v>
      </c>
      <c r="K98" s="281">
        <v>0</v>
      </c>
      <c r="L98" s="264">
        <v>0</v>
      </c>
      <c r="M98" s="282">
        <v>65</v>
      </c>
      <c r="N98" s="281">
        <v>0</v>
      </c>
      <c r="O98" s="281"/>
      <c r="P98" s="263"/>
      <c r="Q98" s="313"/>
      <c r="R98" s="284">
        <v>2.1</v>
      </c>
      <c r="S98" s="284">
        <v>0.1</v>
      </c>
      <c r="T98" s="284">
        <v>2</v>
      </c>
      <c r="U98" s="284">
        <v>0</v>
      </c>
      <c r="V98" s="284">
        <v>0</v>
      </c>
      <c r="W98" s="284">
        <v>0</v>
      </c>
      <c r="X98" s="284">
        <v>0</v>
      </c>
      <c r="Y98" s="313"/>
      <c r="Z98" s="285">
        <v>1056496.0047927091</v>
      </c>
      <c r="AA98" s="286">
        <v>0</v>
      </c>
      <c r="AB98" s="287">
        <v>83971.008623882546</v>
      </c>
      <c r="AC98" s="288">
        <v>0</v>
      </c>
      <c r="AD98" s="289">
        <v>1140467.0134165916</v>
      </c>
      <c r="AE98" s="266"/>
      <c r="AF98" s="285">
        <v>277510.4705882353</v>
      </c>
      <c r="AG98" s="286">
        <v>0</v>
      </c>
      <c r="AH98" s="286">
        <v>0</v>
      </c>
      <c r="AI98" s="290">
        <v>0</v>
      </c>
      <c r="AJ98" s="289">
        <v>277510.4705882353</v>
      </c>
      <c r="AK98" s="291">
        <v>862956.54282835627</v>
      </c>
    </row>
    <row r="99" spans="1:37" x14ac:dyDescent="0.25">
      <c r="A99" s="264" t="s">
        <v>665</v>
      </c>
      <c r="B99" s="264" t="s">
        <v>663</v>
      </c>
      <c r="C99" s="264" t="s">
        <v>1172</v>
      </c>
      <c r="D99" s="264">
        <v>6697882</v>
      </c>
      <c r="E99" s="264" t="s">
        <v>1798</v>
      </c>
      <c r="F99" s="264">
        <v>2018</v>
      </c>
      <c r="G99" s="281">
        <v>1.7</v>
      </c>
      <c r="H99" s="264">
        <v>0.2</v>
      </c>
      <c r="I99" s="282">
        <v>1.5</v>
      </c>
      <c r="J99" s="281">
        <v>0</v>
      </c>
      <c r="K99" s="281">
        <v>0</v>
      </c>
      <c r="L99" s="264">
        <v>0</v>
      </c>
      <c r="M99" s="282">
        <v>50</v>
      </c>
      <c r="N99" s="281">
        <v>0</v>
      </c>
      <c r="O99" s="281"/>
      <c r="P99" s="263"/>
      <c r="Q99" s="313"/>
      <c r="R99" s="284">
        <v>1.7</v>
      </c>
      <c r="S99" s="284">
        <v>0.2</v>
      </c>
      <c r="T99" s="284">
        <v>1.5</v>
      </c>
      <c r="U99" s="284">
        <v>0</v>
      </c>
      <c r="V99" s="284">
        <v>0</v>
      </c>
      <c r="W99" s="284">
        <v>0</v>
      </c>
      <c r="X99" s="284">
        <v>0</v>
      </c>
      <c r="Y99" s="313"/>
      <c r="Z99" s="285">
        <v>855258.67054647882</v>
      </c>
      <c r="AA99" s="286">
        <v>0</v>
      </c>
      <c r="AB99" s="287">
        <v>67976.530790762059</v>
      </c>
      <c r="AC99" s="288">
        <v>0</v>
      </c>
      <c r="AD99" s="289">
        <v>923235.20133724087</v>
      </c>
      <c r="AE99" s="266"/>
      <c r="AF99" s="285">
        <v>208132.85294117648</v>
      </c>
      <c r="AG99" s="286">
        <v>0</v>
      </c>
      <c r="AH99" s="286">
        <v>0</v>
      </c>
      <c r="AI99" s="290">
        <v>0</v>
      </c>
      <c r="AJ99" s="289">
        <v>208132.85294117648</v>
      </c>
      <c r="AK99" s="291">
        <v>715102.34839606436</v>
      </c>
    </row>
    <row r="100" spans="1:37" x14ac:dyDescent="0.25">
      <c r="A100" s="264" t="s">
        <v>1832</v>
      </c>
      <c r="B100" s="264" t="s">
        <v>1833</v>
      </c>
      <c r="C100" s="264" t="s">
        <v>1201</v>
      </c>
      <c r="D100" s="264">
        <v>6311728</v>
      </c>
      <c r="E100" s="264" t="s">
        <v>1800</v>
      </c>
      <c r="F100" s="264">
        <v>2018</v>
      </c>
      <c r="G100" s="281">
        <v>0</v>
      </c>
      <c r="H100" s="264">
        <v>0</v>
      </c>
      <c r="I100" s="282">
        <v>0</v>
      </c>
      <c r="J100" s="281">
        <v>0</v>
      </c>
      <c r="K100" s="281">
        <v>0</v>
      </c>
      <c r="L100" s="264">
        <v>0</v>
      </c>
      <c r="M100" s="282">
        <v>0</v>
      </c>
      <c r="N100" s="281">
        <v>0</v>
      </c>
      <c r="O100" s="281">
        <v>0</v>
      </c>
      <c r="P100" s="263"/>
      <c r="Q100" s="313"/>
      <c r="R100" s="284">
        <v>0</v>
      </c>
      <c r="S100" s="284">
        <v>0</v>
      </c>
      <c r="T100" s="284">
        <v>0</v>
      </c>
      <c r="U100" s="284">
        <v>0</v>
      </c>
      <c r="V100" s="284">
        <v>0</v>
      </c>
      <c r="W100" s="284">
        <v>0</v>
      </c>
      <c r="X100" s="284">
        <v>0</v>
      </c>
      <c r="Y100" s="313"/>
      <c r="Z100" s="285">
        <v>0</v>
      </c>
      <c r="AA100" s="286">
        <v>0</v>
      </c>
      <c r="AB100" s="287">
        <v>0</v>
      </c>
      <c r="AC100" s="288">
        <v>0</v>
      </c>
      <c r="AD100" s="289">
        <v>0</v>
      </c>
      <c r="AE100" s="266"/>
      <c r="AF100" s="285">
        <v>0</v>
      </c>
      <c r="AG100" s="286">
        <v>0</v>
      </c>
      <c r="AH100" s="286">
        <v>0</v>
      </c>
      <c r="AI100" s="290">
        <v>0</v>
      </c>
      <c r="AJ100" s="289">
        <v>0</v>
      </c>
      <c r="AK100" s="291">
        <v>0</v>
      </c>
    </row>
    <row r="101" spans="1:37" x14ac:dyDescent="0.25">
      <c r="A101" s="264" t="s">
        <v>1200</v>
      </c>
      <c r="B101" s="264" t="s">
        <v>776</v>
      </c>
      <c r="C101" s="264" t="s">
        <v>1201</v>
      </c>
      <c r="D101" s="264">
        <v>5376966</v>
      </c>
      <c r="E101" s="264" t="s">
        <v>1800</v>
      </c>
      <c r="F101" s="264">
        <v>2018</v>
      </c>
      <c r="G101" s="281">
        <v>7.1</v>
      </c>
      <c r="H101" s="264">
        <v>0.9</v>
      </c>
      <c r="I101" s="282">
        <v>6.2</v>
      </c>
      <c r="J101" s="281">
        <v>0</v>
      </c>
      <c r="K101" s="281">
        <v>0</v>
      </c>
      <c r="L101" s="264">
        <v>0</v>
      </c>
      <c r="M101" s="282">
        <v>115</v>
      </c>
      <c r="N101" s="281">
        <v>0</v>
      </c>
      <c r="O101" s="281">
        <v>0</v>
      </c>
      <c r="P101" s="263"/>
      <c r="Q101" s="313"/>
      <c r="R101" s="284">
        <v>7.1</v>
      </c>
      <c r="S101" s="284">
        <v>0.9</v>
      </c>
      <c r="T101" s="284">
        <v>6.2</v>
      </c>
      <c r="U101" s="284">
        <v>0</v>
      </c>
      <c r="V101" s="284">
        <v>0</v>
      </c>
      <c r="W101" s="284">
        <v>0</v>
      </c>
      <c r="X101" s="284">
        <v>0</v>
      </c>
      <c r="Y101" s="313"/>
      <c r="Z101" s="285">
        <v>3571962.6828705878</v>
      </c>
      <c r="AA101" s="286">
        <v>0</v>
      </c>
      <c r="AB101" s="287">
        <v>283901.98153788858</v>
      </c>
      <c r="AC101" s="288">
        <v>0</v>
      </c>
      <c r="AD101" s="289">
        <v>3855864.6644084766</v>
      </c>
      <c r="AE101" s="266"/>
      <c r="AF101" s="285">
        <v>860282.45882352942</v>
      </c>
      <c r="AG101" s="286">
        <v>0</v>
      </c>
      <c r="AH101" s="286">
        <v>0</v>
      </c>
      <c r="AI101" s="290">
        <v>0</v>
      </c>
      <c r="AJ101" s="289">
        <v>860282.45882352942</v>
      </c>
      <c r="AK101" s="291">
        <v>2995582.205584947</v>
      </c>
    </row>
    <row r="102" spans="1:37" x14ac:dyDescent="0.25">
      <c r="A102" s="264" t="s">
        <v>829</v>
      </c>
      <c r="B102" s="264" t="s">
        <v>826</v>
      </c>
      <c r="C102" s="264" t="s">
        <v>1188</v>
      </c>
      <c r="D102" s="264">
        <v>3110951</v>
      </c>
      <c r="E102" s="264" t="s">
        <v>1799</v>
      </c>
      <c r="F102" s="264">
        <v>2018</v>
      </c>
      <c r="G102" s="281">
        <v>3.03</v>
      </c>
      <c r="H102" s="264">
        <v>0.11</v>
      </c>
      <c r="I102" s="282">
        <v>2.92</v>
      </c>
      <c r="J102" s="281">
        <v>0</v>
      </c>
      <c r="K102" s="281">
        <v>0</v>
      </c>
      <c r="L102" s="264">
        <v>0</v>
      </c>
      <c r="M102" s="282">
        <v>32</v>
      </c>
      <c r="N102" s="281">
        <v>0</v>
      </c>
      <c r="O102" s="281"/>
      <c r="P102" s="263"/>
      <c r="Q102" s="313"/>
      <c r="R102" s="284">
        <v>3.03</v>
      </c>
      <c r="S102" s="284">
        <v>0.11</v>
      </c>
      <c r="T102" s="284">
        <v>2.92</v>
      </c>
      <c r="U102" s="284">
        <v>0</v>
      </c>
      <c r="V102" s="284">
        <v>0</v>
      </c>
      <c r="W102" s="284">
        <v>0</v>
      </c>
      <c r="X102" s="284">
        <v>0</v>
      </c>
      <c r="Y102" s="313"/>
      <c r="Z102" s="285">
        <v>1524372.8069151945</v>
      </c>
      <c r="AA102" s="286">
        <v>0</v>
      </c>
      <c r="AB102" s="287">
        <v>121158.16958588766</v>
      </c>
      <c r="AC102" s="288">
        <v>0</v>
      </c>
      <c r="AD102" s="289">
        <v>1645530.9765010821</v>
      </c>
      <c r="AE102" s="266"/>
      <c r="AF102" s="285">
        <v>405165.28705882351</v>
      </c>
      <c r="AG102" s="286">
        <v>0</v>
      </c>
      <c r="AH102" s="286">
        <v>0</v>
      </c>
      <c r="AI102" s="290">
        <v>0</v>
      </c>
      <c r="AJ102" s="289">
        <v>405165.28705882351</v>
      </c>
      <c r="AK102" s="291">
        <v>1240365.6894422586</v>
      </c>
    </row>
    <row r="103" spans="1:37" x14ac:dyDescent="0.25">
      <c r="A103" s="264" t="s">
        <v>864</v>
      </c>
      <c r="B103" s="264" t="s">
        <v>864</v>
      </c>
      <c r="C103" s="264" t="s">
        <v>1188</v>
      </c>
      <c r="D103" s="264">
        <v>4383860</v>
      </c>
      <c r="E103" s="264" t="s">
        <v>1799</v>
      </c>
      <c r="F103" s="264">
        <v>2018</v>
      </c>
      <c r="G103" s="281">
        <v>22.3</v>
      </c>
      <c r="H103" s="264">
        <v>1.5</v>
      </c>
      <c r="I103" s="282">
        <v>20.8</v>
      </c>
      <c r="J103" s="281">
        <v>0</v>
      </c>
      <c r="K103" s="281">
        <v>0</v>
      </c>
      <c r="L103" s="264">
        <v>0</v>
      </c>
      <c r="M103" s="282">
        <v>350</v>
      </c>
      <c r="N103" s="281">
        <v>0</v>
      </c>
      <c r="O103" s="281"/>
      <c r="P103" s="263"/>
      <c r="Q103" s="313"/>
      <c r="R103" s="284">
        <v>22.3</v>
      </c>
      <c r="S103" s="284">
        <v>1.5</v>
      </c>
      <c r="T103" s="284">
        <v>20.8</v>
      </c>
      <c r="U103" s="284">
        <v>0</v>
      </c>
      <c r="V103" s="284">
        <v>0</v>
      </c>
      <c r="W103" s="284">
        <v>0</v>
      </c>
      <c r="X103" s="284">
        <v>0</v>
      </c>
      <c r="Y103" s="313"/>
      <c r="Z103" s="285">
        <v>11218981.384227341</v>
      </c>
      <c r="AA103" s="286">
        <v>0</v>
      </c>
      <c r="AB103" s="287">
        <v>891692.139196467</v>
      </c>
      <c r="AC103" s="288">
        <v>0</v>
      </c>
      <c r="AD103" s="289">
        <v>12110673.523423808</v>
      </c>
      <c r="AE103" s="266"/>
      <c r="AF103" s="285">
        <v>2886108.8941176473</v>
      </c>
      <c r="AG103" s="286">
        <v>0</v>
      </c>
      <c r="AH103" s="286">
        <v>0</v>
      </c>
      <c r="AI103" s="290">
        <v>0</v>
      </c>
      <c r="AJ103" s="289">
        <v>2886108.8941176473</v>
      </c>
      <c r="AK103" s="291">
        <v>9224564.6293061599</v>
      </c>
    </row>
    <row r="104" spans="1:37" x14ac:dyDescent="0.25">
      <c r="A104" s="264" t="s">
        <v>576</v>
      </c>
      <c r="B104" s="264" t="s">
        <v>576</v>
      </c>
      <c r="C104" s="264" t="s">
        <v>1159</v>
      </c>
      <c r="D104" s="264">
        <v>7399132</v>
      </c>
      <c r="E104" s="264" t="s">
        <v>1801</v>
      </c>
      <c r="F104" s="264">
        <v>2018</v>
      </c>
      <c r="G104" s="281">
        <v>7</v>
      </c>
      <c r="H104" s="264">
        <v>1</v>
      </c>
      <c r="I104" s="282">
        <v>6</v>
      </c>
      <c r="J104" s="281">
        <v>0</v>
      </c>
      <c r="K104" s="281">
        <v>0</v>
      </c>
      <c r="L104" s="264">
        <v>0</v>
      </c>
      <c r="M104" s="282">
        <v>110</v>
      </c>
      <c r="N104" s="281">
        <v>0</v>
      </c>
      <c r="O104" s="281"/>
      <c r="P104" s="263"/>
      <c r="Q104" s="313"/>
      <c r="R104" s="284">
        <v>7</v>
      </c>
      <c r="S104" s="284">
        <v>1</v>
      </c>
      <c r="T104" s="284">
        <v>6</v>
      </c>
      <c r="U104" s="284">
        <v>0</v>
      </c>
      <c r="V104" s="284">
        <v>0</v>
      </c>
      <c r="W104" s="284">
        <v>0</v>
      </c>
      <c r="X104" s="284">
        <v>0</v>
      </c>
      <c r="Y104" s="313"/>
      <c r="Z104" s="285">
        <v>3521653.3493090305</v>
      </c>
      <c r="AA104" s="286">
        <v>0</v>
      </c>
      <c r="AB104" s="287">
        <v>279903.36207960849</v>
      </c>
      <c r="AC104" s="288">
        <v>0</v>
      </c>
      <c r="AD104" s="289">
        <v>3801556.7113886392</v>
      </c>
      <c r="AE104" s="266"/>
      <c r="AF104" s="285">
        <v>832531.4117647059</v>
      </c>
      <c r="AG104" s="286">
        <v>0</v>
      </c>
      <c r="AH104" s="286">
        <v>0</v>
      </c>
      <c r="AI104" s="290">
        <v>0</v>
      </c>
      <c r="AJ104" s="289">
        <v>832531.4117647059</v>
      </c>
      <c r="AK104" s="291">
        <v>2969025.2996239332</v>
      </c>
    </row>
    <row r="105" spans="1:37" x14ac:dyDescent="0.25">
      <c r="A105" s="264" t="s">
        <v>694</v>
      </c>
      <c r="B105" s="264" t="s">
        <v>694</v>
      </c>
      <c r="C105" s="264" t="s">
        <v>1159</v>
      </c>
      <c r="D105" s="264">
        <v>2540162</v>
      </c>
      <c r="E105" s="264" t="s">
        <v>1801</v>
      </c>
      <c r="F105" s="264">
        <v>2018</v>
      </c>
      <c r="G105" s="281">
        <v>0.35</v>
      </c>
      <c r="H105" s="264">
        <v>0.05</v>
      </c>
      <c r="I105" s="282">
        <v>0.3</v>
      </c>
      <c r="J105" s="281">
        <v>0</v>
      </c>
      <c r="K105" s="281">
        <v>0</v>
      </c>
      <c r="L105" s="264">
        <v>0</v>
      </c>
      <c r="M105" s="282">
        <v>70</v>
      </c>
      <c r="N105" s="281">
        <v>0</v>
      </c>
      <c r="O105" s="281"/>
      <c r="P105" s="263"/>
      <c r="Q105" s="313"/>
      <c r="R105" s="284">
        <v>0.35</v>
      </c>
      <c r="S105" s="284">
        <v>0.05</v>
      </c>
      <c r="T105" s="284">
        <v>0.3</v>
      </c>
      <c r="U105" s="284">
        <v>0</v>
      </c>
      <c r="V105" s="284">
        <v>0</v>
      </c>
      <c r="W105" s="284">
        <v>0</v>
      </c>
      <c r="X105" s="284">
        <v>0</v>
      </c>
      <c r="Y105" s="313"/>
      <c r="Z105" s="285">
        <v>176082.66746545152</v>
      </c>
      <c r="AA105" s="286">
        <v>0</v>
      </c>
      <c r="AB105" s="287">
        <v>13995.168103980423</v>
      </c>
      <c r="AC105" s="288">
        <v>0</v>
      </c>
      <c r="AD105" s="289">
        <v>190077.83556943195</v>
      </c>
      <c r="AE105" s="266"/>
      <c r="AF105" s="285">
        <v>41626.570588235292</v>
      </c>
      <c r="AG105" s="286">
        <v>0</v>
      </c>
      <c r="AH105" s="286">
        <v>0</v>
      </c>
      <c r="AI105" s="290">
        <v>0</v>
      </c>
      <c r="AJ105" s="289">
        <v>41626.570588235292</v>
      </c>
      <c r="AK105" s="291">
        <v>148451.26498119667</v>
      </c>
    </row>
    <row r="106" spans="1:37" x14ac:dyDescent="0.25">
      <c r="A106" s="264" t="s">
        <v>829</v>
      </c>
      <c r="B106" s="264" t="s">
        <v>826</v>
      </c>
      <c r="C106" s="264" t="s">
        <v>1189</v>
      </c>
      <c r="D106" s="264">
        <v>3110951</v>
      </c>
      <c r="E106" s="264" t="s">
        <v>1802</v>
      </c>
      <c r="F106" s="264">
        <v>2018</v>
      </c>
      <c r="G106" s="281">
        <v>2.2000000000000002</v>
      </c>
      <c r="H106" s="264">
        <v>0.08</v>
      </c>
      <c r="I106" s="282">
        <v>2.12</v>
      </c>
      <c r="J106" s="281">
        <v>0</v>
      </c>
      <c r="K106" s="281">
        <v>0</v>
      </c>
      <c r="L106" s="264">
        <v>0</v>
      </c>
      <c r="M106" s="282">
        <v>32</v>
      </c>
      <c r="N106" s="281">
        <v>0</v>
      </c>
      <c r="O106" s="281"/>
      <c r="P106" s="263"/>
      <c r="Q106" s="313"/>
      <c r="R106" s="284">
        <v>2.2000000000000002</v>
      </c>
      <c r="S106" s="284">
        <v>0.08</v>
      </c>
      <c r="T106" s="284">
        <v>2.12</v>
      </c>
      <c r="U106" s="284">
        <v>0</v>
      </c>
      <c r="V106" s="284">
        <v>0</v>
      </c>
      <c r="W106" s="284">
        <v>0</v>
      </c>
      <c r="X106" s="284">
        <v>0</v>
      </c>
      <c r="Y106" s="313"/>
      <c r="Z106" s="285">
        <v>1106805.3383542667</v>
      </c>
      <c r="AA106" s="286">
        <v>0</v>
      </c>
      <c r="AB106" s="287">
        <v>87969.628082162671</v>
      </c>
      <c r="AC106" s="288">
        <v>0</v>
      </c>
      <c r="AD106" s="289">
        <v>1194774.9664364294</v>
      </c>
      <c r="AE106" s="266"/>
      <c r="AF106" s="285">
        <v>294161.09882352944</v>
      </c>
      <c r="AG106" s="286">
        <v>0</v>
      </c>
      <c r="AH106" s="286">
        <v>0</v>
      </c>
      <c r="AI106" s="290">
        <v>0</v>
      </c>
      <c r="AJ106" s="289">
        <v>294161.09882352944</v>
      </c>
      <c r="AK106" s="291">
        <v>900613.86761289998</v>
      </c>
    </row>
    <row r="107" spans="1:37" x14ac:dyDescent="0.25">
      <c r="A107" s="264" t="s">
        <v>670</v>
      </c>
      <c r="B107" s="264" t="s">
        <v>666</v>
      </c>
      <c r="C107" s="264" t="s">
        <v>1189</v>
      </c>
      <c r="D107" s="264">
        <v>5204562</v>
      </c>
      <c r="E107" s="264" t="s">
        <v>1802</v>
      </c>
      <c r="F107" s="264">
        <v>2018</v>
      </c>
      <c r="G107" s="281">
        <v>5.7</v>
      </c>
      <c r="H107" s="264">
        <v>0.7</v>
      </c>
      <c r="I107" s="282">
        <v>5</v>
      </c>
      <c r="J107" s="281">
        <v>0</v>
      </c>
      <c r="K107" s="281">
        <v>0</v>
      </c>
      <c r="L107" s="264">
        <v>0</v>
      </c>
      <c r="M107" s="282">
        <v>160</v>
      </c>
      <c r="N107" s="281">
        <v>0</v>
      </c>
      <c r="O107" s="281"/>
      <c r="P107" s="263"/>
      <c r="Q107" s="313"/>
      <c r="R107" s="284">
        <v>5.7</v>
      </c>
      <c r="S107" s="284">
        <v>0.7</v>
      </c>
      <c r="T107" s="284">
        <v>5</v>
      </c>
      <c r="U107" s="284">
        <v>0</v>
      </c>
      <c r="V107" s="284">
        <v>0</v>
      </c>
      <c r="W107" s="284">
        <v>0</v>
      </c>
      <c r="X107" s="284">
        <v>0</v>
      </c>
      <c r="Y107" s="313"/>
      <c r="Z107" s="285">
        <v>2867632.0130087822</v>
      </c>
      <c r="AA107" s="286">
        <v>0</v>
      </c>
      <c r="AB107" s="287">
        <v>227921.30912196691</v>
      </c>
      <c r="AC107" s="288">
        <v>0</v>
      </c>
      <c r="AD107" s="289">
        <v>3095553.322130749</v>
      </c>
      <c r="AE107" s="266"/>
      <c r="AF107" s="285">
        <v>693776.17647058819</v>
      </c>
      <c r="AG107" s="286">
        <v>0</v>
      </c>
      <c r="AH107" s="286">
        <v>0</v>
      </c>
      <c r="AI107" s="290">
        <v>0</v>
      </c>
      <c r="AJ107" s="289">
        <v>693776.17647058819</v>
      </c>
      <c r="AK107" s="291">
        <v>2401777.145660161</v>
      </c>
    </row>
    <row r="108" spans="1:37" x14ac:dyDescent="0.25">
      <c r="A108" s="264" t="s">
        <v>386</v>
      </c>
      <c r="B108" s="264" t="s">
        <v>661</v>
      </c>
      <c r="C108" s="264" t="s">
        <v>1189</v>
      </c>
      <c r="D108" s="264">
        <v>8522302</v>
      </c>
      <c r="E108" s="264" t="s">
        <v>1802</v>
      </c>
      <c r="F108" s="264">
        <v>2018</v>
      </c>
      <c r="G108" s="281">
        <v>2</v>
      </c>
      <c r="H108" s="264">
        <v>0</v>
      </c>
      <c r="I108" s="282">
        <v>2</v>
      </c>
      <c r="J108" s="281">
        <v>0</v>
      </c>
      <c r="K108" s="281">
        <v>0</v>
      </c>
      <c r="L108" s="264">
        <v>0</v>
      </c>
      <c r="M108" s="282">
        <v>60</v>
      </c>
      <c r="N108" s="281">
        <v>0</v>
      </c>
      <c r="O108" s="281"/>
      <c r="P108" s="263"/>
      <c r="Q108" s="313"/>
      <c r="R108" s="284">
        <v>2</v>
      </c>
      <c r="S108" s="284">
        <v>0</v>
      </c>
      <c r="T108" s="284">
        <v>2</v>
      </c>
      <c r="U108" s="284">
        <v>0</v>
      </c>
      <c r="V108" s="284">
        <v>0</v>
      </c>
      <c r="W108" s="284">
        <v>0</v>
      </c>
      <c r="X108" s="284">
        <v>0</v>
      </c>
      <c r="Y108" s="313"/>
      <c r="Z108" s="285">
        <v>1006186.6712311516</v>
      </c>
      <c r="AA108" s="286">
        <v>0</v>
      </c>
      <c r="AB108" s="287">
        <v>79972.389165602421</v>
      </c>
      <c r="AC108" s="288">
        <v>0</v>
      </c>
      <c r="AD108" s="289">
        <v>1086159.060396754</v>
      </c>
      <c r="AE108" s="266"/>
      <c r="AF108" s="285">
        <v>277510.4705882353</v>
      </c>
      <c r="AG108" s="286">
        <v>0</v>
      </c>
      <c r="AH108" s="286">
        <v>0</v>
      </c>
      <c r="AI108" s="290">
        <v>0</v>
      </c>
      <c r="AJ108" s="289">
        <v>277510.4705882353</v>
      </c>
      <c r="AK108" s="291">
        <v>808648.58980851865</v>
      </c>
    </row>
    <row r="109" spans="1:37" x14ac:dyDescent="0.25">
      <c r="A109" s="264" t="s">
        <v>386</v>
      </c>
      <c r="B109" s="264" t="s">
        <v>671</v>
      </c>
      <c r="C109" s="264" t="s">
        <v>1228</v>
      </c>
      <c r="D109" s="264">
        <v>9666094</v>
      </c>
      <c r="E109" s="264" t="s">
        <v>1803</v>
      </c>
      <c r="F109" s="264">
        <v>2018</v>
      </c>
      <c r="G109" s="281">
        <v>4.5</v>
      </c>
      <c r="H109" s="264">
        <v>0.5</v>
      </c>
      <c r="I109" s="282">
        <v>4</v>
      </c>
      <c r="J109" s="281">
        <v>0</v>
      </c>
      <c r="K109" s="281">
        <v>0</v>
      </c>
      <c r="L109" s="264">
        <v>0</v>
      </c>
      <c r="M109" s="282">
        <v>62</v>
      </c>
      <c r="N109" s="281">
        <v>0</v>
      </c>
      <c r="O109" s="281"/>
      <c r="P109" s="263"/>
      <c r="Q109" s="313"/>
      <c r="R109" s="284">
        <v>4.5</v>
      </c>
      <c r="S109" s="284">
        <v>0.5</v>
      </c>
      <c r="T109" s="284">
        <v>4</v>
      </c>
      <c r="U109" s="284">
        <v>0</v>
      </c>
      <c r="V109" s="284">
        <v>0</v>
      </c>
      <c r="W109" s="284">
        <v>0</v>
      </c>
      <c r="X109" s="284">
        <v>0</v>
      </c>
      <c r="Y109" s="313"/>
      <c r="Z109" s="285">
        <v>2263920.0102700908</v>
      </c>
      <c r="AA109" s="286">
        <v>0</v>
      </c>
      <c r="AB109" s="287">
        <v>179937.87562260544</v>
      </c>
      <c r="AC109" s="288">
        <v>0</v>
      </c>
      <c r="AD109" s="289">
        <v>2443857.8858926962</v>
      </c>
      <c r="AE109" s="266"/>
      <c r="AF109" s="285">
        <v>555020.9411764706</v>
      </c>
      <c r="AG109" s="286">
        <v>0</v>
      </c>
      <c r="AH109" s="286">
        <v>0</v>
      </c>
      <c r="AI109" s="290">
        <v>0</v>
      </c>
      <c r="AJ109" s="289">
        <v>555020.9411764706</v>
      </c>
      <c r="AK109" s="291">
        <v>1888836.9447162256</v>
      </c>
    </row>
    <row r="110" spans="1:37" x14ac:dyDescent="0.25">
      <c r="A110" s="264" t="s">
        <v>940</v>
      </c>
      <c r="B110" s="264" t="s">
        <v>940</v>
      </c>
      <c r="C110" s="264" t="s">
        <v>1193</v>
      </c>
      <c r="D110" s="264">
        <v>9478716</v>
      </c>
      <c r="E110" s="264" t="s">
        <v>1804</v>
      </c>
      <c r="F110" s="264">
        <v>2018</v>
      </c>
      <c r="G110" s="281">
        <v>0.54</v>
      </c>
      <c r="H110" s="264">
        <v>0.04</v>
      </c>
      <c r="I110" s="282">
        <v>0.5</v>
      </c>
      <c r="J110" s="281">
        <v>0</v>
      </c>
      <c r="K110" s="281">
        <v>0</v>
      </c>
      <c r="L110" s="264">
        <v>0</v>
      </c>
      <c r="M110" s="282">
        <v>30</v>
      </c>
      <c r="N110" s="281">
        <v>0</v>
      </c>
      <c r="O110" s="281"/>
      <c r="P110" s="263"/>
      <c r="Q110" s="313"/>
      <c r="R110" s="284">
        <v>0.54</v>
      </c>
      <c r="S110" s="284">
        <v>0.04</v>
      </c>
      <c r="T110" s="284">
        <v>0.5</v>
      </c>
      <c r="U110" s="284">
        <v>0</v>
      </c>
      <c r="V110" s="284">
        <v>0</v>
      </c>
      <c r="W110" s="284">
        <v>0</v>
      </c>
      <c r="X110" s="284">
        <v>0</v>
      </c>
      <c r="Y110" s="313"/>
      <c r="Z110" s="285">
        <v>271670.40123241092</v>
      </c>
      <c r="AA110" s="286">
        <v>0</v>
      </c>
      <c r="AB110" s="287">
        <v>21592.545074712656</v>
      </c>
      <c r="AC110" s="288">
        <v>0</v>
      </c>
      <c r="AD110" s="289">
        <v>293262.94630712358</v>
      </c>
      <c r="AE110" s="266"/>
      <c r="AF110" s="285">
        <v>69377.617647058825</v>
      </c>
      <c r="AG110" s="286">
        <v>0</v>
      </c>
      <c r="AH110" s="286">
        <v>0</v>
      </c>
      <c r="AI110" s="290">
        <v>0</v>
      </c>
      <c r="AJ110" s="289">
        <v>69377.617647058825</v>
      </c>
      <c r="AK110" s="291">
        <v>223885.32866006476</v>
      </c>
    </row>
    <row r="111" spans="1:37" x14ac:dyDescent="0.25">
      <c r="A111" s="264" t="s">
        <v>676</v>
      </c>
      <c r="B111" s="264" t="s">
        <v>674</v>
      </c>
      <c r="C111" s="264" t="s">
        <v>1193</v>
      </c>
      <c r="D111" s="264">
        <v>3810187</v>
      </c>
      <c r="E111" s="264" t="s">
        <v>1804</v>
      </c>
      <c r="F111" s="264">
        <v>2018</v>
      </c>
      <c r="G111" s="281">
        <v>9</v>
      </c>
      <c r="H111" s="264">
        <v>1</v>
      </c>
      <c r="I111" s="282">
        <v>8</v>
      </c>
      <c r="J111" s="281">
        <v>0</v>
      </c>
      <c r="K111" s="281">
        <v>0</v>
      </c>
      <c r="L111" s="264">
        <v>0</v>
      </c>
      <c r="M111" s="282">
        <v>132</v>
      </c>
      <c r="N111" s="281">
        <v>0</v>
      </c>
      <c r="O111" s="281"/>
      <c r="P111" s="263"/>
      <c r="Q111" s="313"/>
      <c r="R111" s="284">
        <v>9</v>
      </c>
      <c r="S111" s="284">
        <v>1</v>
      </c>
      <c r="T111" s="284">
        <v>8</v>
      </c>
      <c r="U111" s="284">
        <v>0</v>
      </c>
      <c r="V111" s="284">
        <v>0</v>
      </c>
      <c r="W111" s="284">
        <v>0</v>
      </c>
      <c r="X111" s="284">
        <v>0</v>
      </c>
      <c r="Y111" s="313"/>
      <c r="Z111" s="285">
        <v>4527840.0205401815</v>
      </c>
      <c r="AA111" s="286">
        <v>0</v>
      </c>
      <c r="AB111" s="287">
        <v>359875.75124521088</v>
      </c>
      <c r="AC111" s="288">
        <v>0</v>
      </c>
      <c r="AD111" s="289">
        <v>4887715.7717853924</v>
      </c>
      <c r="AE111" s="266"/>
      <c r="AF111" s="285">
        <v>1110041.8823529412</v>
      </c>
      <c r="AG111" s="286">
        <v>0</v>
      </c>
      <c r="AH111" s="286">
        <v>0</v>
      </c>
      <c r="AI111" s="290">
        <v>0</v>
      </c>
      <c r="AJ111" s="289">
        <v>1110041.8823529412</v>
      </c>
      <c r="AK111" s="291">
        <v>3777673.8894324512</v>
      </c>
    </row>
    <row r="112" spans="1:37" x14ac:dyDescent="0.25">
      <c r="A112" s="264" t="s">
        <v>868</v>
      </c>
      <c r="B112" s="264" t="s">
        <v>868</v>
      </c>
      <c r="C112" s="264" t="s">
        <v>1226</v>
      </c>
      <c r="D112" s="264">
        <v>9583114</v>
      </c>
      <c r="E112" s="264" t="s">
        <v>1805</v>
      </c>
      <c r="F112" s="264">
        <v>2018</v>
      </c>
      <c r="G112" s="281">
        <v>2.6</v>
      </c>
      <c r="H112" s="264">
        <v>0.1</v>
      </c>
      <c r="I112" s="282">
        <v>2.5</v>
      </c>
      <c r="J112" s="281">
        <v>0</v>
      </c>
      <c r="K112" s="281">
        <v>0</v>
      </c>
      <c r="L112" s="264">
        <v>0</v>
      </c>
      <c r="M112" s="282">
        <v>90</v>
      </c>
      <c r="N112" s="281">
        <v>0</v>
      </c>
      <c r="O112" s="281"/>
      <c r="P112" s="263"/>
      <c r="Q112" s="313"/>
      <c r="R112" s="284">
        <v>2.6</v>
      </c>
      <c r="S112" s="284">
        <v>0.1</v>
      </c>
      <c r="T112" s="284">
        <v>2.5</v>
      </c>
      <c r="U112" s="284">
        <v>0</v>
      </c>
      <c r="V112" s="284">
        <v>0</v>
      </c>
      <c r="W112" s="284">
        <v>0</v>
      </c>
      <c r="X112" s="284">
        <v>0</v>
      </c>
      <c r="Y112" s="313"/>
      <c r="Z112" s="285">
        <v>1308042.672600497</v>
      </c>
      <c r="AA112" s="286">
        <v>0</v>
      </c>
      <c r="AB112" s="287">
        <v>103964.10591528314</v>
      </c>
      <c r="AC112" s="288">
        <v>0</v>
      </c>
      <c r="AD112" s="289">
        <v>1412006.7785157801</v>
      </c>
      <c r="AE112" s="266"/>
      <c r="AF112" s="285">
        <v>346888.0882352941</v>
      </c>
      <c r="AG112" s="286">
        <v>0</v>
      </c>
      <c r="AH112" s="286">
        <v>0</v>
      </c>
      <c r="AI112" s="290">
        <v>0</v>
      </c>
      <c r="AJ112" s="289">
        <v>346888.0882352941</v>
      </c>
      <c r="AK112" s="291">
        <v>1065118.6902804859</v>
      </c>
    </row>
    <row r="113" spans="1:37" x14ac:dyDescent="0.25">
      <c r="A113" s="264" t="s">
        <v>1035</v>
      </c>
      <c r="B113" s="264" t="s">
        <v>1175</v>
      </c>
      <c r="C113" s="264" t="s">
        <v>1233</v>
      </c>
      <c r="D113" s="264">
        <v>9577077</v>
      </c>
      <c r="E113" s="264" t="s">
        <v>1879</v>
      </c>
      <c r="F113" s="264">
        <v>2018</v>
      </c>
      <c r="G113" s="281">
        <v>5.65</v>
      </c>
      <c r="H113" s="264">
        <v>0.9</v>
      </c>
      <c r="I113" s="282">
        <v>4.75</v>
      </c>
      <c r="J113" s="281">
        <v>0</v>
      </c>
      <c r="K113" s="281">
        <v>0</v>
      </c>
      <c r="L113" s="264">
        <v>0</v>
      </c>
      <c r="M113" s="282">
        <v>150</v>
      </c>
      <c r="N113" s="281">
        <v>0</v>
      </c>
      <c r="O113" s="281"/>
      <c r="P113" s="263"/>
      <c r="Q113" s="313"/>
      <c r="R113" s="284">
        <v>5.65</v>
      </c>
      <c r="S113" s="284">
        <v>0.9</v>
      </c>
      <c r="T113" s="284">
        <v>4.75</v>
      </c>
      <c r="U113" s="284">
        <v>0</v>
      </c>
      <c r="V113" s="284">
        <v>0</v>
      </c>
      <c r="W113" s="284">
        <v>0</v>
      </c>
      <c r="X113" s="284">
        <v>0</v>
      </c>
      <c r="Y113" s="313"/>
      <c r="Z113" s="285">
        <v>3489377.85</v>
      </c>
      <c r="AA113" s="286">
        <v>0</v>
      </c>
      <c r="AB113" s="287">
        <v>222595.75575953326</v>
      </c>
      <c r="AC113" s="288">
        <v>0</v>
      </c>
      <c r="AD113" s="289">
        <v>3711973.6057595331</v>
      </c>
      <c r="AE113" s="266"/>
      <c r="AF113" s="285">
        <v>581715.5244173141</v>
      </c>
      <c r="AG113" s="286">
        <v>0</v>
      </c>
      <c r="AH113" s="286">
        <v>0</v>
      </c>
      <c r="AI113" s="290">
        <v>0</v>
      </c>
      <c r="AJ113" s="289">
        <v>581715.5244173141</v>
      </c>
      <c r="AK113" s="291">
        <v>3130258.0813422189</v>
      </c>
    </row>
    <row r="114" spans="1:37" x14ac:dyDescent="0.25">
      <c r="A114" s="264" t="s">
        <v>1035</v>
      </c>
      <c r="B114" s="264" t="s">
        <v>1175</v>
      </c>
      <c r="C114" s="264" t="s">
        <v>1234</v>
      </c>
      <c r="D114" s="264">
        <v>9577077</v>
      </c>
      <c r="E114" s="264" t="s">
        <v>1781</v>
      </c>
      <c r="F114" s="264">
        <v>2018</v>
      </c>
      <c r="G114" s="281">
        <v>0.41</v>
      </c>
      <c r="H114" s="264">
        <v>0.05</v>
      </c>
      <c r="I114" s="282">
        <v>0.36</v>
      </c>
      <c r="J114" s="281">
        <v>0</v>
      </c>
      <c r="K114" s="281">
        <v>0</v>
      </c>
      <c r="L114" s="264">
        <v>0</v>
      </c>
      <c r="M114" s="282">
        <v>25</v>
      </c>
      <c r="N114" s="281">
        <v>0</v>
      </c>
      <c r="O114" s="281"/>
      <c r="P114" s="263"/>
      <c r="Q114" s="313"/>
      <c r="R114" s="284">
        <v>0.41</v>
      </c>
      <c r="S114" s="284">
        <v>0.05</v>
      </c>
      <c r="T114" s="284">
        <v>0.36</v>
      </c>
      <c r="U114" s="284">
        <v>0</v>
      </c>
      <c r="V114" s="284">
        <v>0</v>
      </c>
      <c r="W114" s="284">
        <v>0</v>
      </c>
      <c r="X114" s="284">
        <v>0</v>
      </c>
      <c r="Y114" s="313"/>
      <c r="Z114" s="285">
        <v>253211.49</v>
      </c>
      <c r="AA114" s="286">
        <v>0</v>
      </c>
      <c r="AB114" s="287">
        <v>16152.966347151971</v>
      </c>
      <c r="AC114" s="288">
        <v>0</v>
      </c>
      <c r="AD114" s="289">
        <v>269364.45634715195</v>
      </c>
      <c r="AE114" s="266"/>
      <c r="AF114" s="285">
        <v>44087.913429522749</v>
      </c>
      <c r="AG114" s="286">
        <v>0</v>
      </c>
      <c r="AH114" s="286">
        <v>0</v>
      </c>
      <c r="AI114" s="290">
        <v>0</v>
      </c>
      <c r="AJ114" s="289">
        <v>44087.913429522749</v>
      </c>
      <c r="AK114" s="291">
        <v>225276.54291762921</v>
      </c>
    </row>
    <row r="115" spans="1:37" x14ac:dyDescent="0.25">
      <c r="A115" s="264" t="s">
        <v>760</v>
      </c>
      <c r="B115" s="264" t="s">
        <v>760</v>
      </c>
      <c r="C115" s="264" t="s">
        <v>1231</v>
      </c>
      <c r="D115" s="264">
        <v>5947102</v>
      </c>
      <c r="E115" s="264" t="s">
        <v>1787</v>
      </c>
      <c r="F115" s="264">
        <v>2018</v>
      </c>
      <c r="G115" s="281">
        <v>0.38</v>
      </c>
      <c r="H115" s="264">
        <v>0.1</v>
      </c>
      <c r="I115" s="282">
        <v>0.28000000000000003</v>
      </c>
      <c r="J115" s="281">
        <v>0</v>
      </c>
      <c r="K115" s="281">
        <v>0</v>
      </c>
      <c r="L115" s="264">
        <v>0</v>
      </c>
      <c r="M115" s="282">
        <v>78</v>
      </c>
      <c r="N115" s="281">
        <v>0</v>
      </c>
      <c r="O115" s="281"/>
      <c r="P115" s="263"/>
      <c r="Q115" s="313"/>
      <c r="R115" s="284">
        <v>0.38</v>
      </c>
      <c r="S115" s="284">
        <v>0.1</v>
      </c>
      <c r="T115" s="284">
        <v>0.28000000000000003</v>
      </c>
      <c r="U115" s="284">
        <v>0</v>
      </c>
      <c r="V115" s="284">
        <v>0</v>
      </c>
      <c r="W115" s="284">
        <v>0</v>
      </c>
      <c r="X115" s="284">
        <v>0</v>
      </c>
      <c r="Y115" s="313"/>
      <c r="Z115" s="285">
        <v>234683.82</v>
      </c>
      <c r="AA115" s="286">
        <v>0</v>
      </c>
      <c r="AB115" s="287">
        <v>14971.041980287193</v>
      </c>
      <c r="AC115" s="288">
        <v>0</v>
      </c>
      <c r="AD115" s="289">
        <v>249654.86198028721</v>
      </c>
      <c r="AE115" s="266"/>
      <c r="AF115" s="285">
        <v>34290.599334073253</v>
      </c>
      <c r="AG115" s="286">
        <v>0</v>
      </c>
      <c r="AH115" s="286">
        <v>0</v>
      </c>
      <c r="AI115" s="290">
        <v>0</v>
      </c>
      <c r="AJ115" s="289">
        <v>34290.599334073253</v>
      </c>
      <c r="AK115" s="291">
        <v>215364.26264621396</v>
      </c>
    </row>
    <row r="116" spans="1:37" x14ac:dyDescent="0.25">
      <c r="A116" s="264" t="s">
        <v>1035</v>
      </c>
      <c r="B116" s="264" t="s">
        <v>1175</v>
      </c>
      <c r="C116" s="264" t="s">
        <v>1235</v>
      </c>
      <c r="D116" s="264">
        <v>9577077</v>
      </c>
      <c r="E116" s="264" t="s">
        <v>1789</v>
      </c>
      <c r="F116" s="264">
        <v>2018</v>
      </c>
      <c r="G116" s="281">
        <v>0.41</v>
      </c>
      <c r="H116" s="264">
        <v>0.05</v>
      </c>
      <c r="I116" s="282">
        <v>0.36</v>
      </c>
      <c r="J116" s="281">
        <v>0</v>
      </c>
      <c r="K116" s="281">
        <v>0</v>
      </c>
      <c r="L116" s="264">
        <v>0</v>
      </c>
      <c r="M116" s="282">
        <v>25</v>
      </c>
      <c r="N116" s="281">
        <v>0</v>
      </c>
      <c r="O116" s="281"/>
      <c r="P116" s="263"/>
      <c r="Q116" s="313"/>
      <c r="R116" s="284">
        <v>0.41</v>
      </c>
      <c r="S116" s="284">
        <v>0.05</v>
      </c>
      <c r="T116" s="284">
        <v>0.36</v>
      </c>
      <c r="U116" s="284">
        <v>0</v>
      </c>
      <c r="V116" s="284">
        <v>0</v>
      </c>
      <c r="W116" s="284">
        <v>0</v>
      </c>
      <c r="X116" s="284">
        <v>0</v>
      </c>
      <c r="Y116" s="313"/>
      <c r="Z116" s="285">
        <v>253211.49</v>
      </c>
      <c r="AA116" s="286">
        <v>0</v>
      </c>
      <c r="AB116" s="287">
        <v>16152.966347151971</v>
      </c>
      <c r="AC116" s="288">
        <v>0</v>
      </c>
      <c r="AD116" s="289">
        <v>269364.45634715195</v>
      </c>
      <c r="AE116" s="266"/>
      <c r="AF116" s="285">
        <v>44087.913429522749</v>
      </c>
      <c r="AG116" s="286">
        <v>0</v>
      </c>
      <c r="AH116" s="286">
        <v>0</v>
      </c>
      <c r="AI116" s="290">
        <v>0</v>
      </c>
      <c r="AJ116" s="289">
        <v>44087.913429522749</v>
      </c>
      <c r="AK116" s="291">
        <v>225276.54291762921</v>
      </c>
    </row>
    <row r="117" spans="1:37" x14ac:dyDescent="0.25">
      <c r="A117" s="264" t="s">
        <v>1239</v>
      </c>
      <c r="B117" s="264" t="s">
        <v>1067</v>
      </c>
      <c r="C117" s="264" t="s">
        <v>1237</v>
      </c>
      <c r="D117" s="264">
        <v>3736692</v>
      </c>
      <c r="E117" s="264" t="s">
        <v>1879</v>
      </c>
      <c r="F117" s="264">
        <v>2018</v>
      </c>
      <c r="G117" s="281">
        <v>1.25</v>
      </c>
      <c r="H117" s="264">
        <v>0.5</v>
      </c>
      <c r="I117" s="282">
        <v>0.75</v>
      </c>
      <c r="J117" s="281">
        <v>0</v>
      </c>
      <c r="K117" s="281">
        <v>0</v>
      </c>
      <c r="L117" s="264">
        <v>0</v>
      </c>
      <c r="M117" s="282">
        <v>2</v>
      </c>
      <c r="N117" s="281">
        <v>0</v>
      </c>
      <c r="O117" s="281"/>
      <c r="P117" s="263"/>
      <c r="Q117" s="313"/>
      <c r="R117" s="284">
        <v>1.25</v>
      </c>
      <c r="S117" s="284">
        <v>0.5</v>
      </c>
      <c r="T117" s="284">
        <v>0.75</v>
      </c>
      <c r="U117" s="284">
        <v>0</v>
      </c>
      <c r="V117" s="284">
        <v>0</v>
      </c>
      <c r="W117" s="284">
        <v>0</v>
      </c>
      <c r="X117" s="284">
        <v>0</v>
      </c>
      <c r="Y117" s="313"/>
      <c r="Z117" s="285">
        <v>706975.23148148146</v>
      </c>
      <c r="AA117" s="286">
        <v>0</v>
      </c>
      <c r="AB117" s="287">
        <v>50747.725251722921</v>
      </c>
      <c r="AC117" s="288">
        <v>0</v>
      </c>
      <c r="AD117" s="289">
        <v>757722.95673320442</v>
      </c>
      <c r="AE117" s="266"/>
      <c r="AF117" s="285">
        <v>64209.269521410584</v>
      </c>
      <c r="AG117" s="286">
        <v>0</v>
      </c>
      <c r="AH117" s="286">
        <v>0</v>
      </c>
      <c r="AI117" s="290">
        <v>0</v>
      </c>
      <c r="AJ117" s="289">
        <v>64209.269521410584</v>
      </c>
      <c r="AK117" s="291">
        <v>693513.68721179385</v>
      </c>
    </row>
    <row r="118" spans="1:37" x14ac:dyDescent="0.25">
      <c r="A118" s="264" t="s">
        <v>1246</v>
      </c>
      <c r="B118" s="264" t="s">
        <v>1247</v>
      </c>
      <c r="C118" s="264" t="s">
        <v>1245</v>
      </c>
      <c r="D118" s="264">
        <v>7846871</v>
      </c>
      <c r="E118" s="264" t="s">
        <v>1879</v>
      </c>
      <c r="F118" s="264">
        <v>2018</v>
      </c>
      <c r="G118" s="281">
        <v>3</v>
      </c>
      <c r="H118" s="264">
        <v>2</v>
      </c>
      <c r="I118" s="282">
        <v>1</v>
      </c>
      <c r="J118" s="281">
        <v>0</v>
      </c>
      <c r="K118" s="281">
        <v>0</v>
      </c>
      <c r="L118" s="264">
        <v>0</v>
      </c>
      <c r="M118" s="282">
        <v>20</v>
      </c>
      <c r="N118" s="281">
        <v>0</v>
      </c>
      <c r="O118" s="281"/>
      <c r="P118" s="263"/>
      <c r="Q118" s="313"/>
      <c r="R118" s="284">
        <v>3</v>
      </c>
      <c r="S118" s="284">
        <v>2</v>
      </c>
      <c r="T118" s="284">
        <v>1</v>
      </c>
      <c r="U118" s="284">
        <v>0</v>
      </c>
      <c r="V118" s="284">
        <v>0</v>
      </c>
      <c r="W118" s="284">
        <v>0</v>
      </c>
      <c r="X118" s="284">
        <v>0</v>
      </c>
      <c r="Y118" s="313"/>
      <c r="Z118" s="285">
        <v>1681546.8308823528</v>
      </c>
      <c r="AA118" s="286">
        <v>0</v>
      </c>
      <c r="AB118" s="287">
        <v>43491.149632352943</v>
      </c>
      <c r="AC118" s="288">
        <v>0</v>
      </c>
      <c r="AD118" s="289">
        <v>1725037.9805147056</v>
      </c>
      <c r="AE118" s="266"/>
      <c r="AF118" s="285">
        <v>107302.76000000001</v>
      </c>
      <c r="AG118" s="286">
        <v>0</v>
      </c>
      <c r="AH118" s="286">
        <v>0</v>
      </c>
      <c r="AI118" s="290">
        <v>0</v>
      </c>
      <c r="AJ118" s="289">
        <v>107302.76000000001</v>
      </c>
      <c r="AK118" s="291">
        <v>1617735.2205147056</v>
      </c>
    </row>
    <row r="119" spans="1:37" x14ac:dyDescent="0.25">
      <c r="A119" s="264" t="s">
        <v>877</v>
      </c>
      <c r="B119" s="264" t="s">
        <v>874</v>
      </c>
      <c r="C119" s="264" t="s">
        <v>1240</v>
      </c>
      <c r="D119" s="264">
        <v>1378201</v>
      </c>
      <c r="E119" s="264" t="s">
        <v>1787</v>
      </c>
      <c r="F119" s="264">
        <v>2018</v>
      </c>
      <c r="G119" s="281">
        <v>0.75</v>
      </c>
      <c r="H119" s="264">
        <v>0.75</v>
      </c>
      <c r="I119" s="282">
        <v>0</v>
      </c>
      <c r="J119" s="281">
        <v>0</v>
      </c>
      <c r="K119" s="281">
        <v>0</v>
      </c>
      <c r="L119" s="264">
        <v>0</v>
      </c>
      <c r="M119" s="282">
        <v>8</v>
      </c>
      <c r="N119" s="281">
        <v>0</v>
      </c>
      <c r="O119" s="281"/>
      <c r="P119" s="263"/>
      <c r="Q119" s="313"/>
      <c r="R119" s="284">
        <v>0.75</v>
      </c>
      <c r="S119" s="284">
        <v>0.75</v>
      </c>
      <c r="T119" s="284">
        <v>0</v>
      </c>
      <c r="U119" s="284">
        <v>0</v>
      </c>
      <c r="V119" s="284">
        <v>0</v>
      </c>
      <c r="W119" s="284">
        <v>0</v>
      </c>
      <c r="X119" s="284">
        <v>0</v>
      </c>
      <c r="Y119" s="313"/>
      <c r="Z119" s="285">
        <v>420386.70772058819</v>
      </c>
      <c r="AA119" s="286">
        <v>0</v>
      </c>
      <c r="AB119" s="287">
        <v>10872.787408088236</v>
      </c>
      <c r="AC119" s="288">
        <v>0</v>
      </c>
      <c r="AD119" s="289">
        <v>431259.49512867641</v>
      </c>
      <c r="AE119" s="266"/>
      <c r="AF119" s="285">
        <v>0</v>
      </c>
      <c r="AG119" s="286">
        <v>0</v>
      </c>
      <c r="AH119" s="286">
        <v>0</v>
      </c>
      <c r="AI119" s="290">
        <v>0</v>
      </c>
      <c r="AJ119" s="289">
        <v>0</v>
      </c>
      <c r="AK119" s="291">
        <v>431259.49512867641</v>
      </c>
    </row>
    <row r="120" spans="1:37" x14ac:dyDescent="0.25">
      <c r="A120" s="264" t="s">
        <v>877</v>
      </c>
      <c r="B120" s="264" t="s">
        <v>874</v>
      </c>
      <c r="C120" s="264" t="s">
        <v>1243</v>
      </c>
      <c r="D120" s="264">
        <v>1378201</v>
      </c>
      <c r="E120" s="264" t="s">
        <v>1796</v>
      </c>
      <c r="F120" s="264">
        <v>2018</v>
      </c>
      <c r="G120" s="281">
        <v>1.5</v>
      </c>
      <c r="H120" s="264">
        <v>0.75</v>
      </c>
      <c r="I120" s="282">
        <v>0.75</v>
      </c>
      <c r="J120" s="281">
        <v>0</v>
      </c>
      <c r="K120" s="281">
        <v>0</v>
      </c>
      <c r="L120" s="264">
        <v>0</v>
      </c>
      <c r="M120" s="282">
        <v>10</v>
      </c>
      <c r="N120" s="281">
        <v>0</v>
      </c>
      <c r="O120" s="281"/>
      <c r="P120" s="263"/>
      <c r="Q120" s="313"/>
      <c r="R120" s="284">
        <v>1.5</v>
      </c>
      <c r="S120" s="284">
        <v>0.75</v>
      </c>
      <c r="T120" s="284">
        <v>0.75</v>
      </c>
      <c r="U120" s="284">
        <v>0</v>
      </c>
      <c r="V120" s="284">
        <v>0</v>
      </c>
      <c r="W120" s="284">
        <v>0</v>
      </c>
      <c r="X120" s="284">
        <v>0</v>
      </c>
      <c r="Y120" s="313"/>
      <c r="Z120" s="285">
        <v>840773.41544117639</v>
      </c>
      <c r="AA120" s="286">
        <v>0</v>
      </c>
      <c r="AB120" s="287">
        <v>21745.574816176471</v>
      </c>
      <c r="AC120" s="288">
        <v>0</v>
      </c>
      <c r="AD120" s="289">
        <v>862518.99025735282</v>
      </c>
      <c r="AE120" s="266"/>
      <c r="AF120" s="285">
        <v>80477.070000000007</v>
      </c>
      <c r="AG120" s="286">
        <v>0</v>
      </c>
      <c r="AH120" s="286">
        <v>0</v>
      </c>
      <c r="AI120" s="290">
        <v>0</v>
      </c>
      <c r="AJ120" s="289">
        <v>80477.070000000007</v>
      </c>
      <c r="AK120" s="291">
        <v>782041.92025735276</v>
      </c>
    </row>
    <row r="121" spans="1:37" x14ac:dyDescent="0.25">
      <c r="A121" s="264" t="s">
        <v>519</v>
      </c>
      <c r="B121" s="264" t="s">
        <v>519</v>
      </c>
      <c r="C121" s="264" t="s">
        <v>1255</v>
      </c>
      <c r="D121" s="264">
        <v>7071797</v>
      </c>
      <c r="E121" s="264" t="s">
        <v>1879</v>
      </c>
      <c r="F121" s="264">
        <v>2018</v>
      </c>
      <c r="G121" s="281">
        <v>7.3</v>
      </c>
      <c r="H121" s="264">
        <v>0.7</v>
      </c>
      <c r="I121" s="282">
        <v>5.3</v>
      </c>
      <c r="J121" s="281">
        <v>1.3</v>
      </c>
      <c r="K121" s="281">
        <v>0</v>
      </c>
      <c r="L121" s="264">
        <v>8</v>
      </c>
      <c r="M121" s="282">
        <v>0</v>
      </c>
      <c r="N121" s="281">
        <v>0</v>
      </c>
      <c r="O121" s="281"/>
      <c r="P121" s="263"/>
      <c r="Q121" s="313"/>
      <c r="R121" s="284">
        <v>7.3</v>
      </c>
      <c r="S121" s="284">
        <v>0.7</v>
      </c>
      <c r="T121" s="284">
        <v>5.3</v>
      </c>
      <c r="U121" s="284">
        <v>1.3</v>
      </c>
      <c r="V121" s="284">
        <v>0</v>
      </c>
      <c r="W121" s="284">
        <v>8</v>
      </c>
      <c r="X121" s="284">
        <v>0</v>
      </c>
      <c r="Y121" s="313"/>
      <c r="Z121" s="285">
        <v>3746766.2740613427</v>
      </c>
      <c r="AA121" s="286">
        <v>0</v>
      </c>
      <c r="AB121" s="287">
        <v>416931.84438254411</v>
      </c>
      <c r="AC121" s="288">
        <v>227735.40740740742</v>
      </c>
      <c r="AD121" s="289">
        <v>4391433.5258512944</v>
      </c>
      <c r="AE121" s="266"/>
      <c r="AF121" s="285">
        <v>840710.12041614403</v>
      </c>
      <c r="AG121" s="286">
        <v>0</v>
      </c>
      <c r="AH121" s="286">
        <v>307642.5</v>
      </c>
      <c r="AI121" s="290">
        <v>191163.6</v>
      </c>
      <c r="AJ121" s="289">
        <v>1339516.220416144</v>
      </c>
      <c r="AK121" s="291">
        <v>3051917.3054351504</v>
      </c>
    </row>
    <row r="122" spans="1:37" x14ac:dyDescent="0.25">
      <c r="A122" s="264" t="s">
        <v>415</v>
      </c>
      <c r="B122" s="264" t="s">
        <v>415</v>
      </c>
      <c r="C122" s="264" t="s">
        <v>1255</v>
      </c>
      <c r="D122" s="264">
        <v>1905494</v>
      </c>
      <c r="E122" s="264" t="s">
        <v>1879</v>
      </c>
      <c r="F122" s="264">
        <v>2018</v>
      </c>
      <c r="G122" s="281">
        <v>12.14</v>
      </c>
      <c r="H122" s="264">
        <v>1.1399999999999999</v>
      </c>
      <c r="I122" s="282">
        <v>11</v>
      </c>
      <c r="J122" s="281">
        <v>0</v>
      </c>
      <c r="K122" s="281">
        <v>0</v>
      </c>
      <c r="L122" s="264">
        <v>22</v>
      </c>
      <c r="M122" s="282">
        <v>0</v>
      </c>
      <c r="N122" s="281">
        <v>0</v>
      </c>
      <c r="O122" s="281"/>
      <c r="P122" s="263"/>
      <c r="Q122" s="313"/>
      <c r="R122" s="284">
        <v>12.14</v>
      </c>
      <c r="S122" s="284">
        <v>1.1399999999999999</v>
      </c>
      <c r="T122" s="284">
        <v>11</v>
      </c>
      <c r="U122" s="284">
        <v>0</v>
      </c>
      <c r="V122" s="284">
        <v>0</v>
      </c>
      <c r="W122" s="284">
        <v>22</v>
      </c>
      <c r="X122" s="284">
        <v>0</v>
      </c>
      <c r="Y122" s="313"/>
      <c r="Z122" s="285">
        <v>6230923.639329412</v>
      </c>
      <c r="AA122" s="286">
        <v>0</v>
      </c>
      <c r="AB122" s="287">
        <v>1146562.5720519964</v>
      </c>
      <c r="AC122" s="288">
        <v>626272.37037037034</v>
      </c>
      <c r="AD122" s="289">
        <v>8003758.5817517787</v>
      </c>
      <c r="AE122" s="266"/>
      <c r="AF122" s="285">
        <v>1401183.5340269068</v>
      </c>
      <c r="AG122" s="286">
        <v>0</v>
      </c>
      <c r="AH122" s="286">
        <v>846016.875</v>
      </c>
      <c r="AI122" s="290">
        <v>525699.9</v>
      </c>
      <c r="AJ122" s="289">
        <v>2772900.3090269067</v>
      </c>
      <c r="AK122" s="291">
        <v>5230858.2727248725</v>
      </c>
    </row>
    <row r="123" spans="1:37" x14ac:dyDescent="0.25">
      <c r="A123" s="264" t="s">
        <v>1176</v>
      </c>
      <c r="B123" s="264" t="s">
        <v>1176</v>
      </c>
      <c r="C123" s="264" t="s">
        <v>1257</v>
      </c>
      <c r="D123" s="264">
        <v>5060032</v>
      </c>
      <c r="E123" s="264" t="s">
        <v>1879</v>
      </c>
      <c r="F123" s="264">
        <v>2018</v>
      </c>
      <c r="G123" s="281">
        <v>2.2000000000000002</v>
      </c>
      <c r="H123" s="264">
        <v>0.2</v>
      </c>
      <c r="I123" s="282">
        <v>2</v>
      </c>
      <c r="J123" s="281">
        <v>0</v>
      </c>
      <c r="K123" s="281">
        <v>0</v>
      </c>
      <c r="L123" s="264">
        <v>0</v>
      </c>
      <c r="M123" s="282">
        <v>10</v>
      </c>
      <c r="N123" s="281">
        <v>0</v>
      </c>
      <c r="O123" s="281"/>
      <c r="P123" s="263"/>
      <c r="Q123" s="313"/>
      <c r="R123" s="284">
        <v>2.2000000000000002</v>
      </c>
      <c r="S123" s="284">
        <v>0.2</v>
      </c>
      <c r="T123" s="284">
        <v>2</v>
      </c>
      <c r="U123" s="284">
        <v>0</v>
      </c>
      <c r="V123" s="284">
        <v>0</v>
      </c>
      <c r="W123" s="284">
        <v>0</v>
      </c>
      <c r="X123" s="284">
        <v>0</v>
      </c>
      <c r="Y123" s="313"/>
      <c r="Z123" s="285">
        <v>1129162.4387582131</v>
      </c>
      <c r="AA123" s="286">
        <v>0</v>
      </c>
      <c r="AB123" s="287">
        <v>0</v>
      </c>
      <c r="AC123" s="288">
        <v>0</v>
      </c>
      <c r="AD123" s="289">
        <v>1129162.4387582131</v>
      </c>
      <c r="AE123" s="266"/>
      <c r="AF123" s="285">
        <v>254760.6425503467</v>
      </c>
      <c r="AG123" s="286">
        <v>0</v>
      </c>
      <c r="AH123" s="286">
        <v>0</v>
      </c>
      <c r="AI123" s="290">
        <v>0</v>
      </c>
      <c r="AJ123" s="289">
        <v>254760.6425503467</v>
      </c>
      <c r="AK123" s="291">
        <v>874401.7962078664</v>
      </c>
    </row>
    <row r="124" spans="1:37" x14ac:dyDescent="0.25">
      <c r="A124" s="353" t="s">
        <v>753</v>
      </c>
      <c r="B124" s="353" t="s">
        <v>753</v>
      </c>
      <c r="C124" s="353" t="s">
        <v>1257</v>
      </c>
      <c r="D124" s="353">
        <v>2189349</v>
      </c>
      <c r="E124" s="353" t="s">
        <v>1879</v>
      </c>
      <c r="F124" s="353">
        <v>2018</v>
      </c>
      <c r="G124" s="281">
        <v>2.4</v>
      </c>
      <c r="H124" s="264">
        <v>0.25</v>
      </c>
      <c r="I124" s="282">
        <v>2.15</v>
      </c>
      <c r="J124" s="281">
        <v>0</v>
      </c>
      <c r="K124" s="281">
        <v>0</v>
      </c>
      <c r="L124" s="264">
        <v>0</v>
      </c>
      <c r="M124" s="282">
        <v>0</v>
      </c>
      <c r="N124" s="281">
        <v>2</v>
      </c>
      <c r="O124" s="281"/>
      <c r="P124" s="263"/>
      <c r="Q124" s="313"/>
      <c r="R124" s="284">
        <v>2.4</v>
      </c>
      <c r="S124" s="284">
        <v>0.25</v>
      </c>
      <c r="T124" s="284">
        <v>2.15</v>
      </c>
      <c r="U124" s="284">
        <v>0</v>
      </c>
      <c r="V124" s="284">
        <v>0</v>
      </c>
      <c r="W124" s="284">
        <v>0</v>
      </c>
      <c r="X124" s="300">
        <v>2</v>
      </c>
      <c r="Y124" s="313"/>
      <c r="Z124" s="285">
        <v>1231813.5695544141</v>
      </c>
      <c r="AA124" s="286">
        <v>0</v>
      </c>
      <c r="AB124" s="287">
        <v>0</v>
      </c>
      <c r="AC124" s="288">
        <v>0</v>
      </c>
      <c r="AD124" s="289">
        <v>1231813.5695544141</v>
      </c>
      <c r="AE124" s="266"/>
      <c r="AF124" s="285">
        <v>273867.6907416227</v>
      </c>
      <c r="AG124" s="286">
        <v>0</v>
      </c>
      <c r="AH124" s="286">
        <v>0</v>
      </c>
      <c r="AI124" s="290">
        <v>0</v>
      </c>
      <c r="AJ124" s="289">
        <v>273867.6907416227</v>
      </c>
      <c r="AK124" s="291">
        <v>957945.87881279143</v>
      </c>
    </row>
    <row r="125" spans="1:37" x14ac:dyDescent="0.25">
      <c r="A125" s="264" t="s">
        <v>1355</v>
      </c>
      <c r="B125" s="264" t="s">
        <v>760</v>
      </c>
      <c r="C125" s="264" t="s">
        <v>1735</v>
      </c>
      <c r="D125" s="264">
        <v>3854293</v>
      </c>
      <c r="E125" s="264" t="s">
        <v>1086</v>
      </c>
      <c r="F125" s="264">
        <v>2018</v>
      </c>
      <c r="G125" s="281">
        <v>0</v>
      </c>
      <c r="H125" s="264">
        <v>0</v>
      </c>
      <c r="I125" s="282">
        <v>0</v>
      </c>
      <c r="J125" s="281">
        <v>0</v>
      </c>
      <c r="K125" s="281">
        <v>0</v>
      </c>
      <c r="L125" s="264">
        <v>0</v>
      </c>
      <c r="M125" s="282">
        <v>0</v>
      </c>
      <c r="N125" s="281">
        <v>0</v>
      </c>
      <c r="O125" s="281"/>
      <c r="P125" s="263"/>
      <c r="Q125" s="313"/>
      <c r="R125" s="284">
        <v>0</v>
      </c>
      <c r="S125" s="284">
        <v>0</v>
      </c>
      <c r="T125" s="284">
        <v>0</v>
      </c>
      <c r="U125" s="284">
        <v>0</v>
      </c>
      <c r="V125" s="284">
        <v>0</v>
      </c>
      <c r="W125" s="284">
        <v>0</v>
      </c>
      <c r="X125" s="284">
        <v>0</v>
      </c>
      <c r="Y125" s="313"/>
      <c r="Z125" s="285">
        <v>0</v>
      </c>
      <c r="AA125" s="286">
        <v>0</v>
      </c>
      <c r="AB125" s="287">
        <v>0</v>
      </c>
      <c r="AC125" s="288">
        <v>0</v>
      </c>
      <c r="AD125" s="289">
        <v>0</v>
      </c>
      <c r="AE125" s="266"/>
      <c r="AF125" s="285">
        <v>0</v>
      </c>
      <c r="AG125" s="286">
        <v>0</v>
      </c>
      <c r="AH125" s="286">
        <v>0</v>
      </c>
      <c r="AI125" s="290">
        <v>0</v>
      </c>
      <c r="AJ125" s="289">
        <v>0</v>
      </c>
      <c r="AK125" s="291">
        <v>0</v>
      </c>
    </row>
    <row r="126" spans="1:37" x14ac:dyDescent="0.25">
      <c r="A126" s="264" t="s">
        <v>760</v>
      </c>
      <c r="B126" s="264" t="s">
        <v>760</v>
      </c>
      <c r="C126" s="264" t="s">
        <v>1736</v>
      </c>
      <c r="D126" s="264">
        <v>4461551</v>
      </c>
      <c r="E126" s="264" t="s">
        <v>1086</v>
      </c>
      <c r="F126" s="264">
        <v>2018</v>
      </c>
      <c r="G126" s="281">
        <v>31.55</v>
      </c>
      <c r="H126" s="264">
        <v>0.8</v>
      </c>
      <c r="I126" s="282">
        <v>12</v>
      </c>
      <c r="J126" s="281">
        <v>18.75</v>
      </c>
      <c r="K126" s="281">
        <v>0</v>
      </c>
      <c r="L126" s="264">
        <v>30</v>
      </c>
      <c r="M126" s="282">
        <v>0</v>
      </c>
      <c r="N126" s="281">
        <v>0</v>
      </c>
      <c r="O126" s="281"/>
      <c r="P126" s="263"/>
      <c r="Q126" s="313"/>
      <c r="R126" s="284">
        <v>31.55</v>
      </c>
      <c r="S126" s="284">
        <v>0.8</v>
      </c>
      <c r="T126" s="284">
        <v>12</v>
      </c>
      <c r="U126" s="284">
        <v>18.75</v>
      </c>
      <c r="V126" s="284">
        <v>0</v>
      </c>
      <c r="W126" s="284">
        <v>30</v>
      </c>
      <c r="X126" s="284">
        <v>0</v>
      </c>
      <c r="Y126" s="313"/>
      <c r="Z126" s="285">
        <v>16193215.883100737</v>
      </c>
      <c r="AA126" s="286">
        <v>0</v>
      </c>
      <c r="AB126" s="287">
        <v>1563494.4164345404</v>
      </c>
      <c r="AC126" s="288">
        <v>854007.77777777775</v>
      </c>
      <c r="AD126" s="289">
        <v>18610718.077313054</v>
      </c>
      <c r="AE126" s="266"/>
      <c r="AF126" s="285">
        <v>3916944.8792115804</v>
      </c>
      <c r="AG126" s="286">
        <v>0</v>
      </c>
      <c r="AH126" s="286">
        <v>1153659.375</v>
      </c>
      <c r="AI126" s="290">
        <v>716863.5</v>
      </c>
      <c r="AJ126" s="289">
        <v>5787467.7542115804</v>
      </c>
      <c r="AK126" s="291">
        <v>12823250.323101474</v>
      </c>
    </row>
    <row r="127" spans="1:37" x14ac:dyDescent="0.25">
      <c r="A127" s="264" t="s">
        <v>358</v>
      </c>
      <c r="B127" s="264" t="s">
        <v>358</v>
      </c>
      <c r="C127" s="264" t="s">
        <v>1270</v>
      </c>
      <c r="D127" s="264">
        <v>9223411</v>
      </c>
      <c r="E127" s="264" t="s">
        <v>1086</v>
      </c>
      <c r="F127" s="264">
        <v>2018</v>
      </c>
      <c r="G127" s="281">
        <v>4.05</v>
      </c>
      <c r="H127" s="264">
        <v>0.75</v>
      </c>
      <c r="I127" s="282">
        <v>1.65</v>
      </c>
      <c r="J127" s="281">
        <v>1.65</v>
      </c>
      <c r="K127" s="281">
        <v>0</v>
      </c>
      <c r="L127" s="264">
        <v>4</v>
      </c>
      <c r="M127" s="282">
        <v>0</v>
      </c>
      <c r="N127" s="281">
        <v>0</v>
      </c>
      <c r="O127" s="281"/>
      <c r="P127" s="263"/>
      <c r="Q127" s="313"/>
      <c r="R127" s="284">
        <v>4.05</v>
      </c>
      <c r="S127" s="284">
        <v>0.75</v>
      </c>
      <c r="T127" s="284">
        <v>1.65</v>
      </c>
      <c r="U127" s="284">
        <v>1.65</v>
      </c>
      <c r="V127" s="284">
        <v>0</v>
      </c>
      <c r="W127" s="284">
        <v>4</v>
      </c>
      <c r="X127" s="284">
        <v>0</v>
      </c>
      <c r="Y127" s="313"/>
      <c r="Z127" s="285">
        <v>2078685.3986230737</v>
      </c>
      <c r="AA127" s="286">
        <v>0</v>
      </c>
      <c r="AB127" s="287">
        <v>208465.92219127205</v>
      </c>
      <c r="AC127" s="288">
        <v>113867.70370370371</v>
      </c>
      <c r="AD127" s="289">
        <v>2401019.0245180498</v>
      </c>
      <c r="AE127" s="266"/>
      <c r="AF127" s="285">
        <v>420355.06020807201</v>
      </c>
      <c r="AG127" s="286">
        <v>0</v>
      </c>
      <c r="AH127" s="286">
        <v>153821.25</v>
      </c>
      <c r="AI127" s="290">
        <v>95581.8</v>
      </c>
      <c r="AJ127" s="289">
        <v>669758.110208072</v>
      </c>
      <c r="AK127" s="291">
        <v>1731260.9143099778</v>
      </c>
    </row>
    <row r="128" spans="1:37" x14ac:dyDescent="0.25">
      <c r="A128" s="264" t="s">
        <v>684</v>
      </c>
      <c r="B128" s="264" t="s">
        <v>969</v>
      </c>
      <c r="C128" s="264" t="s">
        <v>1252</v>
      </c>
      <c r="D128" s="264">
        <v>1622964</v>
      </c>
      <c r="E128" s="264" t="s">
        <v>1787</v>
      </c>
      <c r="F128" s="264">
        <v>2018</v>
      </c>
      <c r="G128" s="281">
        <v>6.75</v>
      </c>
      <c r="H128" s="264">
        <v>0.5</v>
      </c>
      <c r="I128" s="282">
        <v>6.25</v>
      </c>
      <c r="J128" s="281">
        <v>0</v>
      </c>
      <c r="K128" s="281">
        <v>0</v>
      </c>
      <c r="L128" s="264">
        <v>5</v>
      </c>
      <c r="M128" s="282">
        <v>0</v>
      </c>
      <c r="N128" s="281">
        <v>5</v>
      </c>
      <c r="O128" s="281"/>
      <c r="P128" s="263"/>
      <c r="Q128" s="313"/>
      <c r="R128" s="284">
        <v>6.75</v>
      </c>
      <c r="S128" s="284">
        <v>0.5</v>
      </c>
      <c r="T128" s="284">
        <v>6.25</v>
      </c>
      <c r="U128" s="284">
        <v>0</v>
      </c>
      <c r="V128" s="284">
        <v>0</v>
      </c>
      <c r="W128" s="284">
        <v>5</v>
      </c>
      <c r="X128" s="284">
        <v>5</v>
      </c>
      <c r="Y128" s="313"/>
      <c r="Z128" s="285">
        <v>3464475.6643717899</v>
      </c>
      <c r="AA128" s="286">
        <v>0</v>
      </c>
      <c r="AB128" s="287">
        <v>260582.40273909006</v>
      </c>
      <c r="AC128" s="288">
        <v>142334.62962962964</v>
      </c>
      <c r="AD128" s="289">
        <v>3867392.6967405095</v>
      </c>
      <c r="AE128" s="266"/>
      <c r="AF128" s="285">
        <v>796127.00796983344</v>
      </c>
      <c r="AG128" s="286">
        <v>0</v>
      </c>
      <c r="AH128" s="286">
        <v>192276.5625</v>
      </c>
      <c r="AI128" s="290">
        <v>119477.25</v>
      </c>
      <c r="AJ128" s="289">
        <v>1107880.8204698334</v>
      </c>
      <c r="AK128" s="291">
        <v>2759511.876270676</v>
      </c>
    </row>
    <row r="129" spans="1:37" x14ac:dyDescent="0.25">
      <c r="A129" s="264" t="s">
        <v>1259</v>
      </c>
      <c r="B129" s="264" t="s">
        <v>678</v>
      </c>
      <c r="C129" s="264" t="s">
        <v>1258</v>
      </c>
      <c r="D129" s="264">
        <v>3357963</v>
      </c>
      <c r="E129" s="264" t="s">
        <v>1787</v>
      </c>
      <c r="F129" s="264">
        <v>2018</v>
      </c>
      <c r="G129" s="281">
        <v>1.9</v>
      </c>
      <c r="H129" s="264">
        <v>0.1</v>
      </c>
      <c r="I129" s="282">
        <v>1.1000000000000001</v>
      </c>
      <c r="J129" s="281">
        <v>0.7</v>
      </c>
      <c r="K129" s="281">
        <v>0</v>
      </c>
      <c r="L129" s="264">
        <v>4</v>
      </c>
      <c r="M129" s="282">
        <v>0</v>
      </c>
      <c r="N129" s="281">
        <v>0</v>
      </c>
      <c r="O129" s="281"/>
      <c r="P129" s="263"/>
      <c r="Q129" s="313"/>
      <c r="R129" s="284">
        <v>1.9</v>
      </c>
      <c r="S129" s="284">
        <v>0.1</v>
      </c>
      <c r="T129" s="284">
        <v>1.1000000000000001</v>
      </c>
      <c r="U129" s="284">
        <v>0.7</v>
      </c>
      <c r="V129" s="284">
        <v>0</v>
      </c>
      <c r="W129" s="284">
        <v>4</v>
      </c>
      <c r="X129" s="284">
        <v>0</v>
      </c>
      <c r="Y129" s="313"/>
      <c r="Z129" s="285">
        <v>975185.74256391113</v>
      </c>
      <c r="AA129" s="286">
        <v>0</v>
      </c>
      <c r="AB129" s="287">
        <v>208465.92219127205</v>
      </c>
      <c r="AC129" s="288">
        <v>113867.70370370371</v>
      </c>
      <c r="AD129" s="289">
        <v>1297519.3684588871</v>
      </c>
      <c r="AE129" s="266"/>
      <c r="AF129" s="285">
        <v>229284.57829531204</v>
      </c>
      <c r="AG129" s="286">
        <v>0</v>
      </c>
      <c r="AH129" s="286">
        <v>153821.25</v>
      </c>
      <c r="AI129" s="290">
        <v>95581.8</v>
      </c>
      <c r="AJ129" s="289">
        <v>478687.628295312</v>
      </c>
      <c r="AK129" s="291">
        <v>818831.74016357516</v>
      </c>
    </row>
    <row r="130" spans="1:37" x14ac:dyDescent="0.25">
      <c r="A130" s="264" t="s">
        <v>1264</v>
      </c>
      <c r="B130" s="264" t="s">
        <v>531</v>
      </c>
      <c r="C130" s="264" t="s">
        <v>1263</v>
      </c>
      <c r="D130" s="264">
        <v>6749255</v>
      </c>
      <c r="E130" s="264" t="s">
        <v>1790</v>
      </c>
      <c r="F130" s="264">
        <v>2018</v>
      </c>
      <c r="G130" s="281">
        <v>6.5750000000000002</v>
      </c>
      <c r="H130" s="264">
        <v>0.375</v>
      </c>
      <c r="I130" s="282">
        <v>6.2</v>
      </c>
      <c r="J130" s="281">
        <v>0</v>
      </c>
      <c r="K130" s="281">
        <v>0</v>
      </c>
      <c r="L130" s="264">
        <v>9</v>
      </c>
      <c r="M130" s="282">
        <v>0</v>
      </c>
      <c r="N130" s="281">
        <v>0</v>
      </c>
      <c r="O130" s="281"/>
      <c r="P130" s="263"/>
      <c r="Q130" s="313"/>
      <c r="R130" s="284">
        <v>6.5750000000000002</v>
      </c>
      <c r="S130" s="284">
        <v>0.375</v>
      </c>
      <c r="T130" s="284">
        <v>6.2</v>
      </c>
      <c r="U130" s="284">
        <v>0</v>
      </c>
      <c r="V130" s="284">
        <v>0</v>
      </c>
      <c r="W130" s="284">
        <v>9</v>
      </c>
      <c r="X130" s="284">
        <v>0</v>
      </c>
      <c r="Y130" s="313"/>
      <c r="Z130" s="285">
        <v>3374655.924925114</v>
      </c>
      <c r="AA130" s="286">
        <v>0</v>
      </c>
      <c r="AB130" s="287">
        <v>469048.32493036211</v>
      </c>
      <c r="AC130" s="288">
        <v>256202.33333333334</v>
      </c>
      <c r="AD130" s="289">
        <v>4099906.5831888095</v>
      </c>
      <c r="AE130" s="266"/>
      <c r="AF130" s="285">
        <v>789757.99190607481</v>
      </c>
      <c r="AG130" s="286">
        <v>0</v>
      </c>
      <c r="AH130" s="286">
        <v>346097.8125</v>
      </c>
      <c r="AI130" s="290">
        <v>215059.05000000002</v>
      </c>
      <c r="AJ130" s="289">
        <v>1350914.8544060749</v>
      </c>
      <c r="AK130" s="291">
        <v>2748991.7287827348</v>
      </c>
    </row>
    <row r="131" spans="1:37" x14ac:dyDescent="0.25">
      <c r="A131" s="264" t="s">
        <v>684</v>
      </c>
      <c r="B131" s="264" t="s">
        <v>682</v>
      </c>
      <c r="C131" s="264" t="s">
        <v>1260</v>
      </c>
      <c r="D131" s="264">
        <v>4075651</v>
      </c>
      <c r="E131" s="264" t="s">
        <v>1789</v>
      </c>
      <c r="F131" s="264">
        <v>2018</v>
      </c>
      <c r="G131" s="281">
        <v>3.2</v>
      </c>
      <c r="H131" s="264">
        <v>0.35</v>
      </c>
      <c r="I131" s="282">
        <v>2</v>
      </c>
      <c r="J131" s="281">
        <v>0.85</v>
      </c>
      <c r="K131" s="281">
        <v>0</v>
      </c>
      <c r="L131" s="264">
        <v>6</v>
      </c>
      <c r="M131" s="282">
        <v>0</v>
      </c>
      <c r="N131" s="281">
        <v>0</v>
      </c>
      <c r="O131" s="281"/>
      <c r="P131" s="263"/>
      <c r="Q131" s="313"/>
      <c r="R131" s="301">
        <v>3.2</v>
      </c>
      <c r="S131" s="301">
        <v>0.35</v>
      </c>
      <c r="T131" s="301">
        <v>2</v>
      </c>
      <c r="U131" s="301">
        <v>0.85</v>
      </c>
      <c r="V131" s="284">
        <v>0</v>
      </c>
      <c r="W131" s="284">
        <v>6</v>
      </c>
      <c r="X131" s="284">
        <v>0</v>
      </c>
      <c r="Y131" s="313"/>
      <c r="Z131" s="285">
        <v>1642418.0927392188</v>
      </c>
      <c r="AA131" s="286">
        <v>0</v>
      </c>
      <c r="AB131" s="287">
        <v>312698.88328690809</v>
      </c>
      <c r="AC131" s="288">
        <v>170801.55555555556</v>
      </c>
      <c r="AD131" s="289">
        <v>2125918.5315816826</v>
      </c>
      <c r="AE131" s="266"/>
      <c r="AF131" s="285">
        <v>363033.91563424404</v>
      </c>
      <c r="AG131" s="286">
        <v>0</v>
      </c>
      <c r="AH131" s="286">
        <v>230731.875</v>
      </c>
      <c r="AI131" s="290">
        <v>143372.70000000001</v>
      </c>
      <c r="AJ131" s="289">
        <v>737138.49063424394</v>
      </c>
      <c r="AK131" s="291">
        <v>1388780.0409474387</v>
      </c>
    </row>
    <row r="132" spans="1:37" x14ac:dyDescent="0.25">
      <c r="A132" s="264" t="s">
        <v>997</v>
      </c>
      <c r="B132" s="264" t="s">
        <v>997</v>
      </c>
      <c r="C132" s="264" t="s">
        <v>1261</v>
      </c>
      <c r="D132" s="264">
        <v>6375207</v>
      </c>
      <c r="E132" s="264" t="s">
        <v>1796</v>
      </c>
      <c r="F132" s="264">
        <v>2018</v>
      </c>
      <c r="G132" s="281">
        <v>7.6</v>
      </c>
      <c r="H132" s="264">
        <v>0.6</v>
      </c>
      <c r="I132" s="282">
        <v>7</v>
      </c>
      <c r="J132" s="281">
        <v>0</v>
      </c>
      <c r="K132" s="281">
        <v>0</v>
      </c>
      <c r="L132" s="264">
        <v>4</v>
      </c>
      <c r="M132" s="282">
        <v>0</v>
      </c>
      <c r="N132" s="281">
        <v>0</v>
      </c>
      <c r="O132" s="281"/>
      <c r="P132" s="263"/>
      <c r="Q132" s="313"/>
      <c r="R132" s="284">
        <v>7.6</v>
      </c>
      <c r="S132" s="284">
        <v>0.6</v>
      </c>
      <c r="T132" s="284">
        <v>7</v>
      </c>
      <c r="U132" s="284">
        <v>0</v>
      </c>
      <c r="V132" s="284">
        <v>0</v>
      </c>
      <c r="W132" s="284">
        <v>4</v>
      </c>
      <c r="X132" s="284">
        <v>0</v>
      </c>
      <c r="Y132" s="313"/>
      <c r="Z132" s="285">
        <v>3900742.9702556445</v>
      </c>
      <c r="AA132" s="286">
        <v>0</v>
      </c>
      <c r="AB132" s="287">
        <v>208465.92219127205</v>
      </c>
      <c r="AC132" s="288">
        <v>113867.70370370371</v>
      </c>
      <c r="AD132" s="289">
        <v>4223076.5961506199</v>
      </c>
      <c r="AE132" s="266"/>
      <c r="AF132" s="285">
        <v>891662.24892621348</v>
      </c>
      <c r="AG132" s="286">
        <v>0</v>
      </c>
      <c r="AH132" s="286">
        <v>153821.25</v>
      </c>
      <c r="AI132" s="290">
        <v>95581.8</v>
      </c>
      <c r="AJ132" s="289">
        <v>1141065.2989262135</v>
      </c>
      <c r="AK132" s="291">
        <v>3082011.2972244062</v>
      </c>
    </row>
    <row r="133" spans="1:37" x14ac:dyDescent="0.25">
      <c r="A133" s="264" t="s">
        <v>1251</v>
      </c>
      <c r="B133" s="264" t="s">
        <v>568</v>
      </c>
      <c r="C133" s="264" t="s">
        <v>1249</v>
      </c>
      <c r="D133" s="264">
        <v>1441233</v>
      </c>
      <c r="E133" s="264" t="s">
        <v>1796</v>
      </c>
      <c r="F133" s="264">
        <v>2018</v>
      </c>
      <c r="G133" s="281">
        <v>5.35</v>
      </c>
      <c r="H133" s="264">
        <v>0.3</v>
      </c>
      <c r="I133" s="282">
        <v>3.5</v>
      </c>
      <c r="J133" s="281">
        <v>1.55</v>
      </c>
      <c r="K133" s="281">
        <v>0</v>
      </c>
      <c r="L133" s="264">
        <v>13</v>
      </c>
      <c r="M133" s="282">
        <v>0</v>
      </c>
      <c r="N133" s="281">
        <v>0</v>
      </c>
      <c r="O133" s="281"/>
      <c r="P133" s="263"/>
      <c r="Q133" s="313"/>
      <c r="R133" s="284">
        <v>5.35</v>
      </c>
      <c r="S133" s="284">
        <v>0.3</v>
      </c>
      <c r="T133" s="284">
        <v>3.5</v>
      </c>
      <c r="U133" s="284">
        <v>1.55</v>
      </c>
      <c r="V133" s="284">
        <v>0</v>
      </c>
      <c r="W133" s="284">
        <v>13</v>
      </c>
      <c r="X133" s="284">
        <v>0</v>
      </c>
      <c r="Y133" s="313"/>
      <c r="Z133" s="285">
        <v>2745917.7487983815</v>
      </c>
      <c r="AA133" s="286">
        <v>0</v>
      </c>
      <c r="AB133" s="287">
        <v>677514.24712163419</v>
      </c>
      <c r="AC133" s="288">
        <v>370070.03703703708</v>
      </c>
      <c r="AD133" s="289">
        <v>3793502.0329570528</v>
      </c>
      <c r="AE133" s="266"/>
      <c r="AF133" s="285">
        <v>643270.62243962544</v>
      </c>
      <c r="AG133" s="286">
        <v>0</v>
      </c>
      <c r="AH133" s="286">
        <v>499919.0625</v>
      </c>
      <c r="AI133" s="290">
        <v>310640.85000000003</v>
      </c>
      <c r="AJ133" s="289">
        <v>1453830.5349396255</v>
      </c>
      <c r="AK133" s="291">
        <v>2339671.4980174275</v>
      </c>
    </row>
    <row r="134" spans="1:37" x14ac:dyDescent="0.25">
      <c r="A134" s="264" t="s">
        <v>502</v>
      </c>
      <c r="B134" s="264" t="s">
        <v>502</v>
      </c>
      <c r="C134" s="264" t="s">
        <v>1254</v>
      </c>
      <c r="D134" s="264">
        <v>1878615</v>
      </c>
      <c r="E134" s="264" t="s">
        <v>1804</v>
      </c>
      <c r="F134" s="264">
        <v>2018</v>
      </c>
      <c r="G134" s="281">
        <v>1.07</v>
      </c>
      <c r="H134" s="264">
        <v>0.05</v>
      </c>
      <c r="I134" s="282">
        <v>0.55000000000000004</v>
      </c>
      <c r="J134" s="281">
        <v>0.47</v>
      </c>
      <c r="K134" s="281">
        <v>0</v>
      </c>
      <c r="L134" s="264">
        <v>3</v>
      </c>
      <c r="M134" s="282">
        <v>0</v>
      </c>
      <c r="N134" s="281">
        <v>0</v>
      </c>
      <c r="O134" s="281"/>
      <c r="P134" s="263"/>
      <c r="Q134" s="313"/>
      <c r="R134" s="284">
        <v>1.07</v>
      </c>
      <c r="S134" s="284">
        <v>0.05</v>
      </c>
      <c r="T134" s="284">
        <v>0.55000000000000004</v>
      </c>
      <c r="U134" s="284">
        <v>0.47</v>
      </c>
      <c r="V134" s="284">
        <v>0</v>
      </c>
      <c r="W134" s="284">
        <v>3</v>
      </c>
      <c r="X134" s="284">
        <v>0</v>
      </c>
      <c r="Y134" s="313"/>
      <c r="Z134" s="285">
        <v>549183.54975967633</v>
      </c>
      <c r="AA134" s="286">
        <v>0</v>
      </c>
      <c r="AB134" s="287">
        <v>156349.44164345405</v>
      </c>
      <c r="AC134" s="288">
        <v>85400.777777777781</v>
      </c>
      <c r="AD134" s="289">
        <v>790933.7691809081</v>
      </c>
      <c r="AE134" s="266"/>
      <c r="AF134" s="285">
        <v>129927.92770067682</v>
      </c>
      <c r="AG134" s="286">
        <v>0</v>
      </c>
      <c r="AH134" s="286">
        <v>115365.9375</v>
      </c>
      <c r="AI134" s="290">
        <v>71686.350000000006</v>
      </c>
      <c r="AJ134" s="289">
        <v>316980.21520067682</v>
      </c>
      <c r="AK134" s="291">
        <v>473953.55398023129</v>
      </c>
    </row>
    <row r="135" spans="1:37" x14ac:dyDescent="0.25">
      <c r="A135" s="264" t="s">
        <v>977</v>
      </c>
      <c r="B135" s="264" t="s">
        <v>977</v>
      </c>
      <c r="C135" s="264" t="s">
        <v>1272</v>
      </c>
      <c r="D135" s="264">
        <v>2015983</v>
      </c>
      <c r="E135" s="264" t="s">
        <v>1779</v>
      </c>
      <c r="F135" s="264">
        <v>2018</v>
      </c>
      <c r="G135" s="281">
        <v>2</v>
      </c>
      <c r="H135" s="264">
        <v>0</v>
      </c>
      <c r="I135" s="282">
        <v>2</v>
      </c>
      <c r="J135" s="281">
        <v>0</v>
      </c>
      <c r="K135" s="281">
        <v>0</v>
      </c>
      <c r="L135" s="264">
        <v>0</v>
      </c>
      <c r="M135" s="282">
        <v>0</v>
      </c>
      <c r="N135" s="281">
        <v>12</v>
      </c>
      <c r="O135" s="281"/>
      <c r="P135" s="263"/>
      <c r="Q135" s="313"/>
      <c r="R135" s="284">
        <v>2</v>
      </c>
      <c r="S135" s="284">
        <v>0</v>
      </c>
      <c r="T135" s="284">
        <v>2</v>
      </c>
      <c r="U135" s="284">
        <v>0</v>
      </c>
      <c r="V135" s="284">
        <v>0</v>
      </c>
      <c r="W135" s="284">
        <v>0</v>
      </c>
      <c r="X135" s="284">
        <v>12</v>
      </c>
      <c r="Y135" s="313"/>
      <c r="Z135" s="285">
        <v>1039537.808219178</v>
      </c>
      <c r="AA135" s="286">
        <v>0</v>
      </c>
      <c r="AB135" s="287">
        <v>213708.24304267165</v>
      </c>
      <c r="AC135" s="288">
        <v>5878.4</v>
      </c>
      <c r="AD135" s="289">
        <v>1259124.4512618496</v>
      </c>
      <c r="AE135" s="266"/>
      <c r="AF135" s="285">
        <v>227202</v>
      </c>
      <c r="AG135" s="286">
        <v>0</v>
      </c>
      <c r="AH135" s="286">
        <v>0</v>
      </c>
      <c r="AI135" s="290">
        <v>0</v>
      </c>
      <c r="AJ135" s="289">
        <v>227202</v>
      </c>
      <c r="AK135" s="291">
        <v>1031922.4512618496</v>
      </c>
    </row>
    <row r="136" spans="1:37" x14ac:dyDescent="0.25">
      <c r="A136" s="264" t="s">
        <v>623</v>
      </c>
      <c r="B136" s="264" t="s">
        <v>618</v>
      </c>
      <c r="C136" s="264" t="s">
        <v>1276</v>
      </c>
      <c r="D136" s="264">
        <v>4531517</v>
      </c>
      <c r="E136" s="264" t="s">
        <v>1782</v>
      </c>
      <c r="F136" s="264">
        <v>2018</v>
      </c>
      <c r="G136" s="281">
        <v>1.3</v>
      </c>
      <c r="H136" s="264">
        <v>0.3</v>
      </c>
      <c r="I136" s="282">
        <v>1</v>
      </c>
      <c r="J136" s="281">
        <v>0</v>
      </c>
      <c r="K136" s="281">
        <v>0</v>
      </c>
      <c r="L136" s="264">
        <v>0</v>
      </c>
      <c r="M136" s="282">
        <v>0</v>
      </c>
      <c r="N136" s="281">
        <v>9</v>
      </c>
      <c r="O136" s="281"/>
      <c r="P136" s="263"/>
      <c r="Q136" s="313"/>
      <c r="R136" s="284">
        <v>1.3</v>
      </c>
      <c r="S136" s="284">
        <v>0.3</v>
      </c>
      <c r="T136" s="284">
        <v>1</v>
      </c>
      <c r="U136" s="284">
        <v>0</v>
      </c>
      <c r="V136" s="284">
        <v>0</v>
      </c>
      <c r="W136" s="284">
        <v>0</v>
      </c>
      <c r="X136" s="284">
        <v>9</v>
      </c>
      <c r="Y136" s="313"/>
      <c r="Z136" s="285">
        <v>675699.57534246577</v>
      </c>
      <c r="AA136" s="286">
        <v>0</v>
      </c>
      <c r="AB136" s="287">
        <v>160281.18228200372</v>
      </c>
      <c r="AC136" s="288">
        <v>4408.8</v>
      </c>
      <c r="AD136" s="289">
        <v>840389.55762446951</v>
      </c>
      <c r="AE136" s="266"/>
      <c r="AF136" s="285">
        <v>113601</v>
      </c>
      <c r="AG136" s="286">
        <v>0</v>
      </c>
      <c r="AH136" s="286">
        <v>0</v>
      </c>
      <c r="AI136" s="290">
        <v>0</v>
      </c>
      <c r="AJ136" s="289">
        <v>113601</v>
      </c>
      <c r="AK136" s="291">
        <v>726788.55762446951</v>
      </c>
    </row>
    <row r="137" spans="1:37" x14ac:dyDescent="0.25">
      <c r="A137" s="292" t="s">
        <v>1279</v>
      </c>
      <c r="B137" s="292" t="s">
        <v>531</v>
      </c>
      <c r="C137" s="292" t="s">
        <v>1278</v>
      </c>
      <c r="D137" s="292">
        <v>4547815</v>
      </c>
      <c r="E137" s="292" t="s">
        <v>1790</v>
      </c>
      <c r="F137" s="292">
        <v>2018</v>
      </c>
      <c r="G137" s="297">
        <v>2.0499999999999998</v>
      </c>
      <c r="H137" s="292">
        <v>0.35</v>
      </c>
      <c r="I137" s="298">
        <v>1.7</v>
      </c>
      <c r="J137" s="297">
        <v>0</v>
      </c>
      <c r="K137" s="297">
        <v>0</v>
      </c>
      <c r="L137" s="292">
        <v>0</v>
      </c>
      <c r="M137" s="298">
        <v>0</v>
      </c>
      <c r="N137" s="297">
        <v>14</v>
      </c>
      <c r="O137" s="297"/>
      <c r="P137" s="292"/>
      <c r="Q137" s="292"/>
      <c r="R137" s="298">
        <v>2.0499999999999998</v>
      </c>
      <c r="S137" s="298">
        <v>0.35</v>
      </c>
      <c r="T137" s="298">
        <v>1.7</v>
      </c>
      <c r="U137" s="298">
        <v>0</v>
      </c>
      <c r="V137" s="298">
        <v>0</v>
      </c>
      <c r="W137" s="298">
        <v>0</v>
      </c>
      <c r="X137" s="298">
        <v>14</v>
      </c>
      <c r="Y137" s="292"/>
      <c r="Z137" s="285">
        <v>1065526.2534246573</v>
      </c>
      <c r="AA137" s="302">
        <v>0</v>
      </c>
      <c r="AB137" s="302">
        <v>249326.28354978358</v>
      </c>
      <c r="AC137" s="303">
        <v>6858.1333333333332</v>
      </c>
      <c r="AD137" s="303">
        <v>1321710.6703077741</v>
      </c>
      <c r="AE137" s="304"/>
      <c r="AF137" s="285">
        <v>193121.69999999998</v>
      </c>
      <c r="AG137" s="286">
        <v>0</v>
      </c>
      <c r="AH137" s="286">
        <v>0</v>
      </c>
      <c r="AI137" s="290">
        <v>0</v>
      </c>
      <c r="AJ137" s="289">
        <v>193121.69999999998</v>
      </c>
      <c r="AK137" s="291">
        <v>1128588.9703077741</v>
      </c>
    </row>
    <row r="138" spans="1:37" x14ac:dyDescent="0.25">
      <c r="A138" s="264" t="s">
        <v>287</v>
      </c>
      <c r="B138" s="264" t="s">
        <v>682</v>
      </c>
      <c r="C138" s="264" t="s">
        <v>1274</v>
      </c>
      <c r="D138" s="264">
        <v>2506443</v>
      </c>
      <c r="E138" s="264" t="s">
        <v>1789</v>
      </c>
      <c r="F138" s="264">
        <v>2018</v>
      </c>
      <c r="G138" s="281">
        <v>2.41</v>
      </c>
      <c r="H138" s="264">
        <v>0.35</v>
      </c>
      <c r="I138" s="282">
        <v>2</v>
      </c>
      <c r="J138" s="281">
        <v>0.06</v>
      </c>
      <c r="K138" s="281">
        <v>0</v>
      </c>
      <c r="L138" s="264">
        <v>0</v>
      </c>
      <c r="M138" s="282">
        <v>0</v>
      </c>
      <c r="N138" s="281">
        <v>15</v>
      </c>
      <c r="O138" s="281"/>
      <c r="P138" s="263"/>
      <c r="Q138" s="313"/>
      <c r="R138" s="284">
        <v>2.41</v>
      </c>
      <c r="S138" s="284">
        <v>0.35</v>
      </c>
      <c r="T138" s="284">
        <v>2</v>
      </c>
      <c r="U138" s="284">
        <v>0.06</v>
      </c>
      <c r="V138" s="284">
        <v>0</v>
      </c>
      <c r="W138" s="284">
        <v>0</v>
      </c>
      <c r="X138" s="284">
        <v>15</v>
      </c>
      <c r="Y138" s="313"/>
      <c r="Z138" s="285">
        <v>1252643.0589041095</v>
      </c>
      <c r="AA138" s="286">
        <v>0</v>
      </c>
      <c r="AB138" s="287">
        <v>267135.30380333954</v>
      </c>
      <c r="AC138" s="288">
        <v>7348</v>
      </c>
      <c r="AD138" s="289">
        <v>1527126.3627074491</v>
      </c>
      <c r="AE138" s="266"/>
      <c r="AF138" s="285">
        <v>234018.06</v>
      </c>
      <c r="AG138" s="286">
        <v>0</v>
      </c>
      <c r="AH138" s="286">
        <v>0</v>
      </c>
      <c r="AI138" s="290">
        <v>0</v>
      </c>
      <c r="AJ138" s="289">
        <v>234018.06</v>
      </c>
      <c r="AK138" s="291">
        <v>1293108.3027074491</v>
      </c>
    </row>
    <row r="139" spans="1:37" x14ac:dyDescent="0.25">
      <c r="A139" s="264" t="s">
        <v>1130</v>
      </c>
      <c r="B139" s="264" t="s">
        <v>281</v>
      </c>
      <c r="C139" s="264" t="s">
        <v>1280</v>
      </c>
      <c r="D139" s="264">
        <v>5020855</v>
      </c>
      <c r="E139" s="264" t="s">
        <v>1796</v>
      </c>
      <c r="F139" s="264">
        <v>2018</v>
      </c>
      <c r="G139" s="281">
        <v>8.51</v>
      </c>
      <c r="H139" s="264">
        <v>1</v>
      </c>
      <c r="I139" s="282">
        <v>6.31</v>
      </c>
      <c r="J139" s="281">
        <v>0</v>
      </c>
      <c r="K139" s="281">
        <v>1.2</v>
      </c>
      <c r="L139" s="264">
        <v>0</v>
      </c>
      <c r="M139" s="282">
        <v>0</v>
      </c>
      <c r="N139" s="281">
        <v>40</v>
      </c>
      <c r="O139" s="281"/>
      <c r="P139" s="263"/>
      <c r="Q139" s="313"/>
      <c r="R139" s="284">
        <v>8.51</v>
      </c>
      <c r="S139" s="284">
        <v>1</v>
      </c>
      <c r="T139" s="284">
        <v>6.31</v>
      </c>
      <c r="U139" s="284">
        <v>0</v>
      </c>
      <c r="V139" s="284">
        <v>1.2</v>
      </c>
      <c r="W139" s="284">
        <v>0</v>
      </c>
      <c r="X139" s="284">
        <v>40</v>
      </c>
      <c r="Y139" s="313"/>
      <c r="Z139" s="285">
        <v>4423233.3739726022</v>
      </c>
      <c r="AA139" s="286">
        <v>0</v>
      </c>
      <c r="AB139" s="287">
        <v>712360.81014223874</v>
      </c>
      <c r="AC139" s="288">
        <v>19594.666666666668</v>
      </c>
      <c r="AD139" s="289">
        <v>5155188.8507815078</v>
      </c>
      <c r="AE139" s="266"/>
      <c r="AF139" s="285">
        <v>853143.51</v>
      </c>
      <c r="AG139" s="286">
        <v>0</v>
      </c>
      <c r="AH139" s="286">
        <v>0</v>
      </c>
      <c r="AI139" s="290">
        <v>0</v>
      </c>
      <c r="AJ139" s="289">
        <v>853143.51</v>
      </c>
      <c r="AK139" s="291">
        <v>4302045.340781508</v>
      </c>
    </row>
    <row r="140" spans="1:37" x14ac:dyDescent="0.25">
      <c r="A140" s="264" t="s">
        <v>668</v>
      </c>
      <c r="B140" s="264" t="s">
        <v>666</v>
      </c>
      <c r="C140" s="264" t="s">
        <v>1275</v>
      </c>
      <c r="D140" s="264">
        <v>2813433</v>
      </c>
      <c r="E140" s="264" t="s">
        <v>1799</v>
      </c>
      <c r="F140" s="264">
        <v>2018</v>
      </c>
      <c r="G140" s="281">
        <v>2.7</v>
      </c>
      <c r="H140" s="264">
        <v>1</v>
      </c>
      <c r="I140" s="282">
        <v>1.7</v>
      </c>
      <c r="J140" s="281">
        <v>0</v>
      </c>
      <c r="K140" s="281">
        <v>0</v>
      </c>
      <c r="L140" s="264">
        <v>0</v>
      </c>
      <c r="M140" s="282">
        <v>0</v>
      </c>
      <c r="N140" s="281">
        <v>10</v>
      </c>
      <c r="O140" s="281"/>
      <c r="P140" s="263"/>
      <c r="Q140" s="313"/>
      <c r="R140" s="284">
        <v>2.7</v>
      </c>
      <c r="S140" s="284">
        <v>1</v>
      </c>
      <c r="T140" s="284">
        <v>1.7</v>
      </c>
      <c r="U140" s="284">
        <v>0</v>
      </c>
      <c r="V140" s="284">
        <v>0</v>
      </c>
      <c r="W140" s="284">
        <v>0</v>
      </c>
      <c r="X140" s="284">
        <v>10</v>
      </c>
      <c r="Y140" s="313"/>
      <c r="Z140" s="285">
        <v>1403376.0410958903</v>
      </c>
      <c r="AA140" s="286">
        <v>0</v>
      </c>
      <c r="AB140" s="287">
        <v>178090.20253555969</v>
      </c>
      <c r="AC140" s="288">
        <v>4898.666666666667</v>
      </c>
      <c r="AD140" s="289">
        <v>1586364.9102981167</v>
      </c>
      <c r="AE140" s="266"/>
      <c r="AF140" s="285">
        <v>193121.69999999998</v>
      </c>
      <c r="AG140" s="286">
        <v>0</v>
      </c>
      <c r="AH140" s="286">
        <v>0</v>
      </c>
      <c r="AI140" s="290">
        <v>0</v>
      </c>
      <c r="AJ140" s="289">
        <v>193121.69999999998</v>
      </c>
      <c r="AK140" s="291">
        <v>1393243.2102981168</v>
      </c>
    </row>
    <row r="141" spans="1:37" x14ac:dyDescent="0.25">
      <c r="A141" s="264" t="s">
        <v>287</v>
      </c>
      <c r="B141" s="264" t="s">
        <v>375</v>
      </c>
      <c r="C141" s="264" t="s">
        <v>1738</v>
      </c>
      <c r="D141" s="264">
        <v>8090757</v>
      </c>
      <c r="E141" s="264" t="s">
        <v>1804</v>
      </c>
      <c r="F141" s="264">
        <v>2018</v>
      </c>
      <c r="G141" s="281">
        <v>2.5</v>
      </c>
      <c r="H141" s="264">
        <v>0.35</v>
      </c>
      <c r="I141" s="282">
        <v>2.15</v>
      </c>
      <c r="J141" s="281">
        <v>0</v>
      </c>
      <c r="K141" s="281">
        <v>0</v>
      </c>
      <c r="L141" s="264">
        <v>0</v>
      </c>
      <c r="M141" s="282">
        <v>0</v>
      </c>
      <c r="N141" s="281">
        <v>10</v>
      </c>
      <c r="O141" s="281"/>
      <c r="P141" s="263"/>
      <c r="Q141" s="313"/>
      <c r="R141" s="284">
        <v>2.5</v>
      </c>
      <c r="S141" s="284">
        <v>0.35</v>
      </c>
      <c r="T141" s="284">
        <v>2.15</v>
      </c>
      <c r="U141" s="284">
        <v>0</v>
      </c>
      <c r="V141" s="284">
        <v>0</v>
      </c>
      <c r="W141" s="284">
        <v>0</v>
      </c>
      <c r="X141" s="284">
        <v>10</v>
      </c>
      <c r="Y141" s="313"/>
      <c r="Z141" s="285">
        <v>1299422.2602739725</v>
      </c>
      <c r="AA141" s="286">
        <v>0</v>
      </c>
      <c r="AB141" s="287">
        <v>178090.20253555969</v>
      </c>
      <c r="AC141" s="288">
        <v>4898.666666666667</v>
      </c>
      <c r="AD141" s="289">
        <v>1482411.1294761989</v>
      </c>
      <c r="AE141" s="266"/>
      <c r="AF141" s="285">
        <v>244242.15</v>
      </c>
      <c r="AG141" s="286">
        <v>0</v>
      </c>
      <c r="AH141" s="286">
        <v>0</v>
      </c>
      <c r="AI141" s="290">
        <v>0</v>
      </c>
      <c r="AJ141" s="289">
        <v>244242.15</v>
      </c>
      <c r="AK141" s="291">
        <v>1238168.979476199</v>
      </c>
    </row>
    <row r="142" spans="1:37" x14ac:dyDescent="0.25">
      <c r="A142" s="264" t="s">
        <v>425</v>
      </c>
      <c r="B142" s="264" t="s">
        <v>425</v>
      </c>
      <c r="C142" s="264" t="s">
        <v>1288</v>
      </c>
      <c r="D142" s="264">
        <v>3446957</v>
      </c>
      <c r="E142" s="264" t="s">
        <v>1774</v>
      </c>
      <c r="F142" s="264">
        <v>2018</v>
      </c>
      <c r="G142" s="281">
        <v>1.4</v>
      </c>
      <c r="H142" s="264">
        <v>0.3</v>
      </c>
      <c r="I142" s="282">
        <v>1</v>
      </c>
      <c r="J142" s="281">
        <v>0</v>
      </c>
      <c r="K142" s="281">
        <v>0.1</v>
      </c>
      <c r="L142" s="264">
        <v>0</v>
      </c>
      <c r="M142" s="282">
        <v>0</v>
      </c>
      <c r="N142" s="281">
        <v>5</v>
      </c>
      <c r="O142" s="281"/>
      <c r="P142" s="263"/>
      <c r="Q142" s="313"/>
      <c r="R142" s="284">
        <v>1.4</v>
      </c>
      <c r="S142" s="284">
        <v>0.3</v>
      </c>
      <c r="T142" s="284">
        <v>1</v>
      </c>
      <c r="U142" s="284">
        <v>0</v>
      </c>
      <c r="V142" s="284">
        <v>0.1</v>
      </c>
      <c r="W142" s="284">
        <v>0</v>
      </c>
      <c r="X142" s="284">
        <v>5</v>
      </c>
      <c r="Y142" s="313"/>
      <c r="Z142" s="285">
        <v>914068.92842786154</v>
      </c>
      <c r="AA142" s="286">
        <v>0</v>
      </c>
      <c r="AB142" s="287">
        <v>129119.95975609755</v>
      </c>
      <c r="AC142" s="288">
        <v>24969</v>
      </c>
      <c r="AD142" s="289">
        <v>1068157.8881839591</v>
      </c>
      <c r="AE142" s="266"/>
      <c r="AF142" s="285">
        <v>148382.81045751635</v>
      </c>
      <c r="AG142" s="286">
        <v>0</v>
      </c>
      <c r="AH142" s="286">
        <v>0</v>
      </c>
      <c r="AI142" s="290">
        <v>27261.538461538461</v>
      </c>
      <c r="AJ142" s="289">
        <v>175644.34891905481</v>
      </c>
      <c r="AK142" s="291">
        <v>892513.53926490422</v>
      </c>
    </row>
    <row r="143" spans="1:37" x14ac:dyDescent="0.25">
      <c r="A143" s="264" t="s">
        <v>1283</v>
      </c>
      <c r="B143" s="264" t="s">
        <v>384</v>
      </c>
      <c r="C143" s="264" t="s">
        <v>1281</v>
      </c>
      <c r="D143" s="264">
        <v>1567065</v>
      </c>
      <c r="E143" s="264" t="s">
        <v>1776</v>
      </c>
      <c r="F143" s="264">
        <v>2018</v>
      </c>
      <c r="G143" s="281">
        <v>1.7</v>
      </c>
      <c r="H143" s="264">
        <v>0.1</v>
      </c>
      <c r="I143" s="282">
        <v>1.6</v>
      </c>
      <c r="J143" s="281">
        <v>0</v>
      </c>
      <c r="K143" s="281">
        <v>0</v>
      </c>
      <c r="L143" s="264">
        <v>0</v>
      </c>
      <c r="M143" s="282">
        <v>0</v>
      </c>
      <c r="N143" s="281">
        <v>10</v>
      </c>
      <c r="O143" s="281"/>
      <c r="P143" s="263"/>
      <c r="Q143" s="313"/>
      <c r="R143" s="284">
        <v>1.7</v>
      </c>
      <c r="S143" s="284">
        <v>0.1</v>
      </c>
      <c r="T143" s="284">
        <v>1.6</v>
      </c>
      <c r="U143" s="284">
        <v>0</v>
      </c>
      <c r="V143" s="284">
        <v>0</v>
      </c>
      <c r="W143" s="284">
        <v>0</v>
      </c>
      <c r="X143" s="284">
        <v>10</v>
      </c>
      <c r="Y143" s="313"/>
      <c r="Z143" s="285">
        <v>1109940.8416624032</v>
      </c>
      <c r="AA143" s="286">
        <v>0</v>
      </c>
      <c r="AB143" s="287">
        <v>258239.91951219511</v>
      </c>
      <c r="AC143" s="288">
        <v>49938</v>
      </c>
      <c r="AD143" s="289">
        <v>1418118.7611745982</v>
      </c>
      <c r="AE143" s="266"/>
      <c r="AF143" s="285">
        <v>215829.54248366013</v>
      </c>
      <c r="AG143" s="286">
        <v>0</v>
      </c>
      <c r="AH143" s="286">
        <v>0</v>
      </c>
      <c r="AI143" s="290">
        <v>54523.076923076922</v>
      </c>
      <c r="AJ143" s="289">
        <v>270352.61940673704</v>
      </c>
      <c r="AK143" s="291">
        <v>1147766.1417678613</v>
      </c>
    </row>
    <row r="144" spans="1:37" x14ac:dyDescent="0.25">
      <c r="A144" s="264" t="s">
        <v>1287</v>
      </c>
      <c r="B144" s="264" t="s">
        <v>353</v>
      </c>
      <c r="C144" s="264" t="s">
        <v>1286</v>
      </c>
      <c r="D144" s="264">
        <v>2333254</v>
      </c>
      <c r="E144" s="264" t="s">
        <v>1777</v>
      </c>
      <c r="F144" s="264">
        <v>2018</v>
      </c>
      <c r="G144" s="281">
        <v>1.5</v>
      </c>
      <c r="H144" s="264">
        <v>0.15</v>
      </c>
      <c r="I144" s="282">
        <v>1.35</v>
      </c>
      <c r="J144" s="281">
        <v>0</v>
      </c>
      <c r="K144" s="281">
        <v>0</v>
      </c>
      <c r="L144" s="264">
        <v>0</v>
      </c>
      <c r="M144" s="282">
        <v>0</v>
      </c>
      <c r="N144" s="281">
        <v>6</v>
      </c>
      <c r="O144" s="281"/>
      <c r="P144" s="263"/>
      <c r="Q144" s="313"/>
      <c r="R144" s="284">
        <v>1.5</v>
      </c>
      <c r="S144" s="284">
        <v>0.15</v>
      </c>
      <c r="T144" s="284">
        <v>1.35</v>
      </c>
      <c r="U144" s="284">
        <v>0</v>
      </c>
      <c r="V144" s="284">
        <v>0</v>
      </c>
      <c r="W144" s="284">
        <v>0</v>
      </c>
      <c r="X144" s="284">
        <v>6</v>
      </c>
      <c r="Y144" s="313"/>
      <c r="Z144" s="285">
        <v>979359.56617270876</v>
      </c>
      <c r="AA144" s="286">
        <v>0</v>
      </c>
      <c r="AB144" s="287">
        <v>154943.95170731709</v>
      </c>
      <c r="AC144" s="288">
        <v>29962.800000000003</v>
      </c>
      <c r="AD144" s="289">
        <v>1164266.3178800258</v>
      </c>
      <c r="AE144" s="266"/>
      <c r="AF144" s="285">
        <v>182106.17647058822</v>
      </c>
      <c r="AG144" s="286">
        <v>0</v>
      </c>
      <c r="AH144" s="286">
        <v>0</v>
      </c>
      <c r="AI144" s="290">
        <v>32713.846153846156</v>
      </c>
      <c r="AJ144" s="289">
        <v>214820.02262443438</v>
      </c>
      <c r="AK144" s="291">
        <v>949446.29525559139</v>
      </c>
    </row>
    <row r="145" spans="1:37" x14ac:dyDescent="0.25">
      <c r="A145" s="264" t="s">
        <v>1299</v>
      </c>
      <c r="B145" s="264" t="s">
        <v>312</v>
      </c>
      <c r="C145" s="264" t="s">
        <v>1298</v>
      </c>
      <c r="D145" s="264">
        <v>7268793</v>
      </c>
      <c r="E145" s="264" t="s">
        <v>1879</v>
      </c>
      <c r="F145" s="264">
        <v>2018</v>
      </c>
      <c r="G145" s="281">
        <v>5.75</v>
      </c>
      <c r="H145" s="264">
        <v>0.5</v>
      </c>
      <c r="I145" s="282">
        <v>5.25</v>
      </c>
      <c r="J145" s="281">
        <v>0</v>
      </c>
      <c r="K145" s="281">
        <v>0</v>
      </c>
      <c r="L145" s="264">
        <v>0</v>
      </c>
      <c r="M145" s="282">
        <v>0</v>
      </c>
      <c r="N145" s="281">
        <v>20</v>
      </c>
      <c r="O145" s="281"/>
      <c r="P145" s="263"/>
      <c r="Q145" s="313"/>
      <c r="R145" s="284">
        <v>5.75</v>
      </c>
      <c r="S145" s="284">
        <v>0.5</v>
      </c>
      <c r="T145" s="284">
        <v>5.25</v>
      </c>
      <c r="U145" s="284">
        <v>0</v>
      </c>
      <c r="V145" s="284">
        <v>0</v>
      </c>
      <c r="W145" s="284">
        <v>0</v>
      </c>
      <c r="X145" s="284">
        <v>20</v>
      </c>
      <c r="Y145" s="313"/>
      <c r="Z145" s="285">
        <v>3754211.6703287172</v>
      </c>
      <c r="AA145" s="286">
        <v>0</v>
      </c>
      <c r="AB145" s="287">
        <v>516479.83902439021</v>
      </c>
      <c r="AC145" s="288">
        <v>99876</v>
      </c>
      <c r="AD145" s="289">
        <v>4370567.5093531078</v>
      </c>
      <c r="AE145" s="266"/>
      <c r="AF145" s="285">
        <v>708190.68627450976</v>
      </c>
      <c r="AG145" s="286">
        <v>0</v>
      </c>
      <c r="AH145" s="286">
        <v>0</v>
      </c>
      <c r="AI145" s="290">
        <v>109046.15384615384</v>
      </c>
      <c r="AJ145" s="289">
        <v>817236.84012066363</v>
      </c>
      <c r="AK145" s="291">
        <v>3553330.6692324439</v>
      </c>
    </row>
    <row r="146" spans="1:37" x14ac:dyDescent="0.25">
      <c r="A146" s="264" t="s">
        <v>1010</v>
      </c>
      <c r="B146" s="264" t="s">
        <v>1010</v>
      </c>
      <c r="C146" s="264" t="s">
        <v>1302</v>
      </c>
      <c r="D146" s="264">
        <v>9268423</v>
      </c>
      <c r="E146" s="264" t="s">
        <v>1879</v>
      </c>
      <c r="F146" s="264">
        <v>2018</v>
      </c>
      <c r="G146" s="281">
        <v>17.399999999999999</v>
      </c>
      <c r="H146" s="264">
        <v>0.7</v>
      </c>
      <c r="I146" s="282">
        <v>12.43</v>
      </c>
      <c r="J146" s="281">
        <v>0</v>
      </c>
      <c r="K146" s="281">
        <v>4.2699999999999996</v>
      </c>
      <c r="L146" s="264">
        <v>0</v>
      </c>
      <c r="M146" s="282">
        <v>0</v>
      </c>
      <c r="N146" s="281">
        <v>41</v>
      </c>
      <c r="O146" s="281"/>
      <c r="P146" s="263"/>
      <c r="Q146" s="313"/>
      <c r="R146" s="284">
        <v>17.399999999999999</v>
      </c>
      <c r="S146" s="284">
        <v>0.7</v>
      </c>
      <c r="T146" s="284">
        <v>12.43</v>
      </c>
      <c r="U146" s="284">
        <v>0</v>
      </c>
      <c r="V146" s="284">
        <v>4.2699999999999996</v>
      </c>
      <c r="W146" s="284">
        <v>0</v>
      </c>
      <c r="X146" s="284">
        <v>41</v>
      </c>
      <c r="Y146" s="313"/>
      <c r="Z146" s="285">
        <v>11360570.967603421</v>
      </c>
      <c r="AA146" s="286">
        <v>0</v>
      </c>
      <c r="AB146" s="287">
        <v>1058783.67</v>
      </c>
      <c r="AC146" s="288">
        <v>204745.80000000002</v>
      </c>
      <c r="AD146" s="289">
        <v>12624100.437603422</v>
      </c>
      <c r="AE146" s="266"/>
      <c r="AF146" s="285">
        <v>2252720.8496732023</v>
      </c>
      <c r="AG146" s="286">
        <v>0</v>
      </c>
      <c r="AH146" s="286">
        <v>0</v>
      </c>
      <c r="AI146" s="290">
        <v>223544.61538461538</v>
      </c>
      <c r="AJ146" s="289">
        <v>2476265.4650578178</v>
      </c>
      <c r="AK146" s="291">
        <v>10147834.972545603</v>
      </c>
    </row>
    <row r="147" spans="1:37" x14ac:dyDescent="0.25">
      <c r="A147" s="264" t="s">
        <v>1304</v>
      </c>
      <c r="B147" s="264" t="s">
        <v>947</v>
      </c>
      <c r="C147" s="264" t="s">
        <v>1303</v>
      </c>
      <c r="D147" s="264">
        <v>9459250</v>
      </c>
      <c r="E147" s="264" t="s">
        <v>1781</v>
      </c>
      <c r="F147" s="264">
        <v>2018</v>
      </c>
      <c r="G147" s="281">
        <v>4.22</v>
      </c>
      <c r="H147" s="264">
        <v>0.11</v>
      </c>
      <c r="I147" s="282">
        <v>4.1100000000000003</v>
      </c>
      <c r="J147" s="281">
        <v>0</v>
      </c>
      <c r="K147" s="281">
        <v>0</v>
      </c>
      <c r="L147" s="264">
        <v>0</v>
      </c>
      <c r="M147" s="282">
        <v>0</v>
      </c>
      <c r="N147" s="281">
        <v>20</v>
      </c>
      <c r="O147" s="281"/>
      <c r="P147" s="263"/>
      <c r="Q147" s="313"/>
      <c r="R147" s="284">
        <v>4.22</v>
      </c>
      <c r="S147" s="284">
        <v>0.11</v>
      </c>
      <c r="T147" s="284">
        <v>4.1100000000000003</v>
      </c>
      <c r="U147" s="284">
        <v>0</v>
      </c>
      <c r="V147" s="284">
        <v>0</v>
      </c>
      <c r="W147" s="284">
        <v>0</v>
      </c>
      <c r="X147" s="284">
        <v>20</v>
      </c>
      <c r="Y147" s="313"/>
      <c r="Z147" s="285">
        <v>2755264.912832554</v>
      </c>
      <c r="AA147" s="286">
        <v>0</v>
      </c>
      <c r="AB147" s="287">
        <v>516479.83902439021</v>
      </c>
      <c r="AC147" s="288">
        <v>99876</v>
      </c>
      <c r="AD147" s="289">
        <v>3371620.7518569441</v>
      </c>
      <c r="AE147" s="266"/>
      <c r="AF147" s="285">
        <v>554412.13725490193</v>
      </c>
      <c r="AG147" s="286">
        <v>0</v>
      </c>
      <c r="AH147" s="286">
        <v>0</v>
      </c>
      <c r="AI147" s="290">
        <v>109046.15384615384</v>
      </c>
      <c r="AJ147" s="289">
        <v>663458.2911010558</v>
      </c>
      <c r="AK147" s="291">
        <v>2708162.4607558884</v>
      </c>
    </row>
    <row r="148" spans="1:37" x14ac:dyDescent="0.25">
      <c r="A148" s="264" t="s">
        <v>219</v>
      </c>
      <c r="B148" s="264" t="s">
        <v>1145</v>
      </c>
      <c r="C148" s="264" t="s">
        <v>1289</v>
      </c>
      <c r="D148" s="264">
        <v>3673053</v>
      </c>
      <c r="E148" s="264" t="s">
        <v>1781</v>
      </c>
      <c r="F148" s="264">
        <v>2018</v>
      </c>
      <c r="G148" s="281">
        <v>16.649999999999999</v>
      </c>
      <c r="H148" s="264">
        <v>2.65</v>
      </c>
      <c r="I148" s="282">
        <v>13.4</v>
      </c>
      <c r="J148" s="281">
        <v>0</v>
      </c>
      <c r="K148" s="281">
        <v>0.6</v>
      </c>
      <c r="L148" s="264">
        <v>0</v>
      </c>
      <c r="M148" s="282">
        <v>0</v>
      </c>
      <c r="N148" s="281">
        <v>32</v>
      </c>
      <c r="O148" s="281"/>
      <c r="P148" s="263"/>
      <c r="Q148" s="313"/>
      <c r="R148" s="284">
        <v>16.649999999999999</v>
      </c>
      <c r="S148" s="284">
        <v>2.65</v>
      </c>
      <c r="T148" s="284">
        <v>13.4</v>
      </c>
      <c r="U148" s="284">
        <v>0</v>
      </c>
      <c r="V148" s="284">
        <v>0.6</v>
      </c>
      <c r="W148" s="284">
        <v>0</v>
      </c>
      <c r="X148" s="284">
        <v>32</v>
      </c>
      <c r="Y148" s="313"/>
      <c r="Z148" s="285">
        <v>10870891.184517067</v>
      </c>
      <c r="AA148" s="286">
        <v>0</v>
      </c>
      <c r="AB148" s="287">
        <v>826367.74243902438</v>
      </c>
      <c r="AC148" s="288">
        <v>159801.60000000001</v>
      </c>
      <c r="AD148" s="289">
        <v>11857060.526956091</v>
      </c>
      <c r="AE148" s="266"/>
      <c r="AF148" s="285">
        <v>1888508.4967320259</v>
      </c>
      <c r="AG148" s="286">
        <v>0</v>
      </c>
      <c r="AH148" s="286">
        <v>0</v>
      </c>
      <c r="AI148" s="290">
        <v>174473.84615384616</v>
      </c>
      <c r="AJ148" s="289">
        <v>2062982.3428858721</v>
      </c>
      <c r="AK148" s="291">
        <v>9794078.1840702184</v>
      </c>
    </row>
    <row r="149" spans="1:37" x14ac:dyDescent="0.25">
      <c r="A149" s="264" t="s">
        <v>389</v>
      </c>
      <c r="B149" s="264" t="s">
        <v>969</v>
      </c>
      <c r="C149" s="264" t="s">
        <v>1301</v>
      </c>
      <c r="D149" s="264">
        <v>8979890</v>
      </c>
      <c r="E149" s="264" t="s">
        <v>1787</v>
      </c>
      <c r="F149" s="264">
        <v>2018</v>
      </c>
      <c r="G149" s="281">
        <v>5.5</v>
      </c>
      <c r="H149" s="264">
        <v>0.5</v>
      </c>
      <c r="I149" s="282">
        <v>5</v>
      </c>
      <c r="J149" s="281">
        <v>0</v>
      </c>
      <c r="K149" s="281">
        <v>0</v>
      </c>
      <c r="L149" s="264">
        <v>0</v>
      </c>
      <c r="M149" s="282">
        <v>0</v>
      </c>
      <c r="N149" s="281">
        <v>17</v>
      </c>
      <c r="O149" s="281"/>
      <c r="P149" s="263"/>
      <c r="Q149" s="313"/>
      <c r="R149" s="284">
        <v>5.5</v>
      </c>
      <c r="S149" s="284">
        <v>0.5</v>
      </c>
      <c r="T149" s="284">
        <v>5</v>
      </c>
      <c r="U149" s="284">
        <v>0</v>
      </c>
      <c r="V149" s="284">
        <v>0</v>
      </c>
      <c r="W149" s="284">
        <v>0</v>
      </c>
      <c r="X149" s="284">
        <v>17</v>
      </c>
      <c r="Y149" s="313"/>
      <c r="Z149" s="285">
        <v>3590985.0759665989</v>
      </c>
      <c r="AA149" s="286">
        <v>0</v>
      </c>
      <c r="AB149" s="287">
        <v>439007.8631707317</v>
      </c>
      <c r="AC149" s="288">
        <v>84894.6</v>
      </c>
      <c r="AD149" s="289">
        <v>4114887.5391373308</v>
      </c>
      <c r="AE149" s="266"/>
      <c r="AF149" s="285">
        <v>674467.32026143791</v>
      </c>
      <c r="AG149" s="286">
        <v>0</v>
      </c>
      <c r="AH149" s="286">
        <v>0</v>
      </c>
      <c r="AI149" s="290">
        <v>92689.230769230766</v>
      </c>
      <c r="AJ149" s="289">
        <v>767156.55103066866</v>
      </c>
      <c r="AK149" s="291">
        <v>3347730.9881066624</v>
      </c>
    </row>
    <row r="150" spans="1:37" x14ac:dyDescent="0.25">
      <c r="A150" s="264" t="s">
        <v>1113</v>
      </c>
      <c r="B150" s="264" t="s">
        <v>1113</v>
      </c>
      <c r="C150" s="264" t="s">
        <v>1292</v>
      </c>
      <c r="D150" s="264">
        <v>5539112</v>
      </c>
      <c r="E150" s="264" t="s">
        <v>1788</v>
      </c>
      <c r="F150" s="264">
        <v>2018</v>
      </c>
      <c r="G150" s="281">
        <v>3.3</v>
      </c>
      <c r="H150" s="264">
        <v>0.3</v>
      </c>
      <c r="I150" s="282">
        <v>3</v>
      </c>
      <c r="J150" s="281">
        <v>0</v>
      </c>
      <c r="K150" s="281">
        <v>0</v>
      </c>
      <c r="L150" s="264">
        <v>0</v>
      </c>
      <c r="M150" s="282">
        <v>0</v>
      </c>
      <c r="N150" s="281">
        <v>15</v>
      </c>
      <c r="O150" s="281"/>
      <c r="P150" s="263"/>
      <c r="Q150" s="313"/>
      <c r="R150" s="284">
        <v>3.3</v>
      </c>
      <c r="S150" s="284">
        <v>0.3</v>
      </c>
      <c r="T150" s="284">
        <v>3</v>
      </c>
      <c r="U150" s="284">
        <v>0</v>
      </c>
      <c r="V150" s="284">
        <v>0</v>
      </c>
      <c r="W150" s="284">
        <v>0</v>
      </c>
      <c r="X150" s="284">
        <v>15</v>
      </c>
      <c r="Y150" s="313"/>
      <c r="Z150" s="285">
        <v>2154591.0455799592</v>
      </c>
      <c r="AA150" s="286">
        <v>0</v>
      </c>
      <c r="AB150" s="287">
        <v>387359.87926829269</v>
      </c>
      <c r="AC150" s="288">
        <v>74907</v>
      </c>
      <c r="AD150" s="289">
        <v>2616857.924848252</v>
      </c>
      <c r="AE150" s="266"/>
      <c r="AF150" s="285">
        <v>404680.39215686271</v>
      </c>
      <c r="AG150" s="286">
        <v>0</v>
      </c>
      <c r="AH150" s="286">
        <v>0</v>
      </c>
      <c r="AI150" s="290">
        <v>81784.61538461539</v>
      </c>
      <c r="AJ150" s="289">
        <v>486465.00754147809</v>
      </c>
      <c r="AK150" s="291">
        <v>2130392.9173067738</v>
      </c>
    </row>
    <row r="151" spans="1:37" x14ac:dyDescent="0.25">
      <c r="A151" s="264" t="s">
        <v>1296</v>
      </c>
      <c r="B151" s="264" t="s">
        <v>1297</v>
      </c>
      <c r="C151" s="264" t="s">
        <v>1295</v>
      </c>
      <c r="D151" s="264">
        <v>6684022</v>
      </c>
      <c r="E151" s="264" t="s">
        <v>1789</v>
      </c>
      <c r="F151" s="264">
        <v>2018</v>
      </c>
      <c r="G151" s="281">
        <v>6.85</v>
      </c>
      <c r="H151" s="264">
        <v>1</v>
      </c>
      <c r="I151" s="282">
        <v>5.85</v>
      </c>
      <c r="J151" s="281">
        <v>0</v>
      </c>
      <c r="K151" s="281">
        <v>0</v>
      </c>
      <c r="L151" s="264">
        <v>0</v>
      </c>
      <c r="M151" s="282">
        <v>0</v>
      </c>
      <c r="N151" s="281">
        <v>25</v>
      </c>
      <c r="O151" s="281"/>
      <c r="P151" s="263"/>
      <c r="Q151" s="313"/>
      <c r="R151" s="284">
        <v>6.85</v>
      </c>
      <c r="S151" s="284">
        <v>1</v>
      </c>
      <c r="T151" s="284">
        <v>5.85</v>
      </c>
      <c r="U151" s="284">
        <v>0</v>
      </c>
      <c r="V151" s="284">
        <v>0</v>
      </c>
      <c r="W151" s="284">
        <v>0</v>
      </c>
      <c r="X151" s="284">
        <v>25</v>
      </c>
      <c r="Y151" s="313"/>
      <c r="Z151" s="285">
        <v>4472408.6855220366</v>
      </c>
      <c r="AA151" s="286">
        <v>0</v>
      </c>
      <c r="AB151" s="287">
        <v>645599.79878048785</v>
      </c>
      <c r="AC151" s="288">
        <v>124845</v>
      </c>
      <c r="AD151" s="289">
        <v>5242853.4843025245</v>
      </c>
      <c r="AE151" s="266"/>
      <c r="AF151" s="285">
        <v>789126.76470588229</v>
      </c>
      <c r="AG151" s="286">
        <v>0</v>
      </c>
      <c r="AH151" s="286">
        <v>0</v>
      </c>
      <c r="AI151" s="290">
        <v>136307.69230769231</v>
      </c>
      <c r="AJ151" s="289">
        <v>925434.45701357466</v>
      </c>
      <c r="AK151" s="291">
        <v>4317419.02728895</v>
      </c>
    </row>
    <row r="152" spans="1:37" x14ac:dyDescent="0.25">
      <c r="A152" s="264" t="s">
        <v>1251</v>
      </c>
      <c r="B152" s="264" t="s">
        <v>568</v>
      </c>
      <c r="C152" s="264" t="s">
        <v>1284</v>
      </c>
      <c r="D152" s="264">
        <v>1961902</v>
      </c>
      <c r="E152" s="264" t="s">
        <v>1796</v>
      </c>
      <c r="F152" s="264">
        <v>2018</v>
      </c>
      <c r="G152" s="281">
        <v>2.94</v>
      </c>
      <c r="H152" s="264">
        <v>0.1</v>
      </c>
      <c r="I152" s="282">
        <v>2.64</v>
      </c>
      <c r="J152" s="281">
        <v>0.2</v>
      </c>
      <c r="K152" s="281">
        <v>0</v>
      </c>
      <c r="L152" s="264">
        <v>0</v>
      </c>
      <c r="M152" s="282">
        <v>0</v>
      </c>
      <c r="N152" s="281">
        <v>10</v>
      </c>
      <c r="O152" s="281"/>
      <c r="P152" s="263"/>
      <c r="Q152" s="313"/>
      <c r="R152" s="284">
        <v>2.94</v>
      </c>
      <c r="S152" s="284">
        <v>0.1</v>
      </c>
      <c r="T152" s="284">
        <v>2.64</v>
      </c>
      <c r="U152" s="284">
        <v>0.2</v>
      </c>
      <c r="V152" s="284">
        <v>0</v>
      </c>
      <c r="W152" s="284">
        <v>0</v>
      </c>
      <c r="X152" s="284">
        <v>10</v>
      </c>
      <c r="Y152" s="313"/>
      <c r="Z152" s="285">
        <v>1919544.7496985092</v>
      </c>
      <c r="AA152" s="286">
        <v>0</v>
      </c>
      <c r="AB152" s="287">
        <v>258239.91951219511</v>
      </c>
      <c r="AC152" s="288">
        <v>49938</v>
      </c>
      <c r="AD152" s="289">
        <v>2227722.6692107045</v>
      </c>
      <c r="AE152" s="266"/>
      <c r="AF152" s="285">
        <v>383097.43790849677</v>
      </c>
      <c r="AG152" s="286">
        <v>0</v>
      </c>
      <c r="AH152" s="286">
        <v>0</v>
      </c>
      <c r="AI152" s="290">
        <v>54523.076923076922</v>
      </c>
      <c r="AJ152" s="289">
        <v>437620.5148315737</v>
      </c>
      <c r="AK152" s="291">
        <v>1790102.1543791308</v>
      </c>
    </row>
    <row r="153" spans="1:37" x14ac:dyDescent="0.25">
      <c r="A153" s="264" t="s">
        <v>1293</v>
      </c>
      <c r="B153" s="264" t="s">
        <v>1213</v>
      </c>
      <c r="C153" s="264" t="s">
        <v>1284</v>
      </c>
      <c r="D153" s="264">
        <v>5599785</v>
      </c>
      <c r="E153" s="264" t="s">
        <v>1796</v>
      </c>
      <c r="F153" s="264">
        <v>2018</v>
      </c>
      <c r="G153" s="281">
        <v>2.61</v>
      </c>
      <c r="H153" s="264">
        <v>0.11</v>
      </c>
      <c r="I153" s="282">
        <v>2.5</v>
      </c>
      <c r="J153" s="281">
        <v>0</v>
      </c>
      <c r="K153" s="281">
        <v>0</v>
      </c>
      <c r="L153" s="264">
        <v>0</v>
      </c>
      <c r="M153" s="282">
        <v>0</v>
      </c>
      <c r="N153" s="281">
        <v>20</v>
      </c>
      <c r="O153" s="281"/>
      <c r="P153" s="263"/>
      <c r="Q153" s="313"/>
      <c r="R153" s="284">
        <v>2.61</v>
      </c>
      <c r="S153" s="284">
        <v>0.11</v>
      </c>
      <c r="T153" s="284">
        <v>2.5</v>
      </c>
      <c r="U153" s="284">
        <v>0</v>
      </c>
      <c r="V153" s="284">
        <v>0</v>
      </c>
      <c r="W153" s="284">
        <v>0</v>
      </c>
      <c r="X153" s="284">
        <v>20</v>
      </c>
      <c r="Y153" s="313"/>
      <c r="Z153" s="285">
        <v>1704085.6451405133</v>
      </c>
      <c r="AA153" s="286">
        <v>0</v>
      </c>
      <c r="AB153" s="287">
        <v>516479.83902439021</v>
      </c>
      <c r="AC153" s="288">
        <v>99876</v>
      </c>
      <c r="AD153" s="289">
        <v>2320441.4841649034</v>
      </c>
      <c r="AE153" s="266"/>
      <c r="AF153" s="285">
        <v>337233.66013071896</v>
      </c>
      <c r="AG153" s="286">
        <v>0</v>
      </c>
      <c r="AH153" s="286">
        <v>0</v>
      </c>
      <c r="AI153" s="290">
        <v>109046.15384615384</v>
      </c>
      <c r="AJ153" s="289">
        <v>446279.81397687283</v>
      </c>
      <c r="AK153" s="291">
        <v>1874161.6701880307</v>
      </c>
    </row>
    <row r="154" spans="1:37" x14ac:dyDescent="0.25">
      <c r="A154" s="264" t="s">
        <v>1251</v>
      </c>
      <c r="B154" s="264" t="s">
        <v>568</v>
      </c>
      <c r="C154" s="264" t="s">
        <v>1285</v>
      </c>
      <c r="D154" s="264">
        <v>1961902</v>
      </c>
      <c r="E154" s="264" t="s">
        <v>1796</v>
      </c>
      <c r="F154" s="264">
        <v>2018</v>
      </c>
      <c r="G154" s="281">
        <v>1.25</v>
      </c>
      <c r="H154" s="264">
        <v>0.1</v>
      </c>
      <c r="I154" s="282">
        <v>0.35</v>
      </c>
      <c r="J154" s="281">
        <v>0</v>
      </c>
      <c r="K154" s="281">
        <v>0.8</v>
      </c>
      <c r="L154" s="264">
        <v>0</v>
      </c>
      <c r="M154" s="282">
        <v>0</v>
      </c>
      <c r="N154" s="281">
        <v>12</v>
      </c>
      <c r="O154" s="281"/>
      <c r="P154" s="263"/>
      <c r="Q154" s="313"/>
      <c r="R154" s="284">
        <v>1.25</v>
      </c>
      <c r="S154" s="284">
        <v>0.1</v>
      </c>
      <c r="T154" s="284">
        <v>0.35</v>
      </c>
      <c r="U154" s="284">
        <v>0</v>
      </c>
      <c r="V154" s="284">
        <v>0.8</v>
      </c>
      <c r="W154" s="284">
        <v>0</v>
      </c>
      <c r="X154" s="284">
        <v>12</v>
      </c>
      <c r="Y154" s="313"/>
      <c r="Z154" s="285">
        <v>816132.97181059071</v>
      </c>
      <c r="AA154" s="286">
        <v>0</v>
      </c>
      <c r="AB154" s="287">
        <v>309887.90341463417</v>
      </c>
      <c r="AC154" s="288">
        <v>59925.600000000006</v>
      </c>
      <c r="AD154" s="289">
        <v>1185946.4752252251</v>
      </c>
      <c r="AE154" s="266"/>
      <c r="AF154" s="285">
        <v>155127.4836601307</v>
      </c>
      <c r="AG154" s="286">
        <v>0</v>
      </c>
      <c r="AH154" s="286">
        <v>0</v>
      </c>
      <c r="AI154" s="290">
        <v>65427.692307692312</v>
      </c>
      <c r="AJ154" s="289">
        <v>220555.17596782302</v>
      </c>
      <c r="AK154" s="291">
        <v>965391.29925740208</v>
      </c>
    </row>
    <row r="155" spans="1:37" x14ac:dyDescent="0.25">
      <c r="A155" s="264" t="s">
        <v>974</v>
      </c>
      <c r="B155" s="264" t="s">
        <v>974</v>
      </c>
      <c r="C155" s="264" t="s">
        <v>1290</v>
      </c>
      <c r="D155" s="264">
        <v>5173305</v>
      </c>
      <c r="E155" s="264" t="s">
        <v>1799</v>
      </c>
      <c r="F155" s="264">
        <v>2018</v>
      </c>
      <c r="G155" s="281">
        <v>13.5</v>
      </c>
      <c r="H155" s="264">
        <v>1.75</v>
      </c>
      <c r="I155" s="282">
        <v>10</v>
      </c>
      <c r="J155" s="281">
        <v>0.5</v>
      </c>
      <c r="K155" s="281">
        <v>1.25</v>
      </c>
      <c r="L155" s="264">
        <v>0</v>
      </c>
      <c r="M155" s="282">
        <v>0</v>
      </c>
      <c r="N155" s="281">
        <v>65</v>
      </c>
      <c r="O155" s="281"/>
      <c r="P155" s="263"/>
      <c r="Q155" s="313"/>
      <c r="R155" s="284">
        <v>13.5</v>
      </c>
      <c r="S155" s="284">
        <v>1.75</v>
      </c>
      <c r="T155" s="284">
        <v>10</v>
      </c>
      <c r="U155" s="284">
        <v>0.5</v>
      </c>
      <c r="V155" s="284">
        <v>1.25</v>
      </c>
      <c r="W155" s="284">
        <v>0</v>
      </c>
      <c r="X155" s="284">
        <v>65</v>
      </c>
      <c r="Y155" s="313"/>
      <c r="Z155" s="285">
        <v>8814236.0955543797</v>
      </c>
      <c r="AA155" s="286">
        <v>0</v>
      </c>
      <c r="AB155" s="287">
        <v>1678559.4768292683</v>
      </c>
      <c r="AC155" s="288">
        <v>324597</v>
      </c>
      <c r="AD155" s="289">
        <v>10817392.572383648</v>
      </c>
      <c r="AE155" s="266"/>
      <c r="AF155" s="285">
        <v>1584998.2026143789</v>
      </c>
      <c r="AG155" s="286">
        <v>0</v>
      </c>
      <c r="AH155" s="286">
        <v>0</v>
      </c>
      <c r="AI155" s="290">
        <v>354400</v>
      </c>
      <c r="AJ155" s="289">
        <v>1939398.2026143789</v>
      </c>
      <c r="AK155" s="291">
        <v>8877994.3697692696</v>
      </c>
    </row>
    <row r="156" spans="1:37" x14ac:dyDescent="0.25">
      <c r="A156" s="264" t="s">
        <v>1251</v>
      </c>
      <c r="B156" s="264" t="s">
        <v>568</v>
      </c>
      <c r="C156" s="264" t="s">
        <v>1306</v>
      </c>
      <c r="D156" s="264">
        <v>2499134</v>
      </c>
      <c r="E156" s="264" t="s">
        <v>1796</v>
      </c>
      <c r="F156" s="264">
        <v>2018</v>
      </c>
      <c r="G156" s="281">
        <v>4.55</v>
      </c>
      <c r="H156" s="264">
        <v>0.2</v>
      </c>
      <c r="I156" s="282">
        <v>2</v>
      </c>
      <c r="J156" s="281">
        <v>1.55</v>
      </c>
      <c r="K156" s="281">
        <v>0.8</v>
      </c>
      <c r="L156" s="264">
        <v>9</v>
      </c>
      <c r="M156" s="282">
        <v>0</v>
      </c>
      <c r="N156" s="281">
        <v>0</v>
      </c>
      <c r="O156" s="281"/>
      <c r="P156" s="263"/>
      <c r="Q156" s="313"/>
      <c r="R156" s="284">
        <v>4.55</v>
      </c>
      <c r="S156" s="284">
        <v>0.2</v>
      </c>
      <c r="T156" s="284">
        <v>2</v>
      </c>
      <c r="U156" s="284">
        <v>1.55</v>
      </c>
      <c r="V156" s="284">
        <v>0.8</v>
      </c>
      <c r="W156" s="284">
        <v>9</v>
      </c>
      <c r="X156" s="284">
        <v>0</v>
      </c>
      <c r="Y156" s="313"/>
      <c r="Z156" s="285">
        <v>2384336.0513730687</v>
      </c>
      <c r="AA156" s="286">
        <v>1008442.7024821603</v>
      </c>
      <c r="AB156" s="287">
        <v>685802.7989615621</v>
      </c>
      <c r="AC156" s="288">
        <v>287714.57142857142</v>
      </c>
      <c r="AD156" s="289">
        <v>4366296.1242453624</v>
      </c>
      <c r="AE156" s="266"/>
      <c r="AF156" s="285">
        <v>588986</v>
      </c>
      <c r="AG156" s="286">
        <v>0</v>
      </c>
      <c r="AH156" s="286">
        <v>277020</v>
      </c>
      <c r="AI156" s="290">
        <v>233260</v>
      </c>
      <c r="AJ156" s="289">
        <v>1099266</v>
      </c>
      <c r="AK156" s="291">
        <v>3267030.1242453624</v>
      </c>
    </row>
    <row r="157" spans="1:37" x14ac:dyDescent="0.25">
      <c r="A157" s="264" t="s">
        <v>1532</v>
      </c>
      <c r="B157" s="264" t="s">
        <v>760</v>
      </c>
      <c r="C157" s="264" t="s">
        <v>1739</v>
      </c>
      <c r="D157" s="264">
        <v>4167967</v>
      </c>
      <c r="E157" s="264" t="s">
        <v>1086</v>
      </c>
      <c r="F157" s="264">
        <v>2018</v>
      </c>
      <c r="G157" s="281">
        <v>0</v>
      </c>
      <c r="H157" s="264">
        <v>0</v>
      </c>
      <c r="I157" s="282">
        <v>0</v>
      </c>
      <c r="J157" s="281">
        <v>0</v>
      </c>
      <c r="K157" s="281">
        <v>0</v>
      </c>
      <c r="L157" s="264">
        <v>0</v>
      </c>
      <c r="M157" s="282">
        <v>0</v>
      </c>
      <c r="N157" s="281">
        <v>0</v>
      </c>
      <c r="O157" s="281"/>
      <c r="P157" s="263"/>
      <c r="Q157" s="313"/>
      <c r="R157" s="284">
        <v>0</v>
      </c>
      <c r="S157" s="284">
        <v>0</v>
      </c>
      <c r="T157" s="284">
        <v>0</v>
      </c>
      <c r="U157" s="284">
        <v>0</v>
      </c>
      <c r="V157" s="284">
        <v>0</v>
      </c>
      <c r="W157" s="284">
        <v>0</v>
      </c>
      <c r="X157" s="284">
        <v>0</v>
      </c>
      <c r="Y157" s="313"/>
      <c r="Z157" s="285">
        <v>0</v>
      </c>
      <c r="AA157" s="286">
        <v>0</v>
      </c>
      <c r="AB157" s="287">
        <v>0</v>
      </c>
      <c r="AC157" s="288">
        <v>0</v>
      </c>
      <c r="AD157" s="289">
        <v>0</v>
      </c>
      <c r="AE157" s="266"/>
      <c r="AF157" s="285">
        <v>0</v>
      </c>
      <c r="AG157" s="286">
        <v>0</v>
      </c>
      <c r="AH157" s="286">
        <v>0</v>
      </c>
      <c r="AI157" s="290">
        <v>0</v>
      </c>
      <c r="AJ157" s="289">
        <v>0</v>
      </c>
      <c r="AK157" s="291">
        <v>0</v>
      </c>
    </row>
    <row r="158" spans="1:37" x14ac:dyDescent="0.25">
      <c r="A158" s="264" t="s">
        <v>509</v>
      </c>
      <c r="B158" s="264" t="s">
        <v>509</v>
      </c>
      <c r="C158" s="264" t="s">
        <v>1310</v>
      </c>
      <c r="D158" s="264">
        <v>3713907</v>
      </c>
      <c r="E158" s="264" t="s">
        <v>1086</v>
      </c>
      <c r="F158" s="264">
        <v>2018</v>
      </c>
      <c r="G158" s="281">
        <v>37.299999999999997</v>
      </c>
      <c r="H158" s="264">
        <v>1.9</v>
      </c>
      <c r="I158" s="282">
        <v>27.4</v>
      </c>
      <c r="J158" s="281">
        <v>8</v>
      </c>
      <c r="K158" s="281">
        <v>0</v>
      </c>
      <c r="L158" s="264">
        <v>74</v>
      </c>
      <c r="M158" s="282">
        <v>0</v>
      </c>
      <c r="N158" s="281">
        <v>0</v>
      </c>
      <c r="O158" s="281"/>
      <c r="P158" s="263"/>
      <c r="Q158" s="313"/>
      <c r="R158" s="284">
        <v>37.299999999999997</v>
      </c>
      <c r="S158" s="284">
        <v>1.9</v>
      </c>
      <c r="T158" s="284">
        <v>27.4</v>
      </c>
      <c r="U158" s="284">
        <v>8</v>
      </c>
      <c r="V158" s="284">
        <v>0</v>
      </c>
      <c r="W158" s="284">
        <v>74</v>
      </c>
      <c r="X158" s="284">
        <v>0</v>
      </c>
      <c r="Y158" s="313"/>
      <c r="Z158" s="285">
        <v>17025306.383753505</v>
      </c>
      <c r="AA158" s="286">
        <v>5890579.7592610037</v>
      </c>
      <c r="AB158" s="287">
        <v>7179638.816023591</v>
      </c>
      <c r="AC158" s="288">
        <v>4612011.4938788824</v>
      </c>
      <c r="AD158" s="289">
        <v>34707536.45291698</v>
      </c>
      <c r="AE158" s="266"/>
      <c r="AF158" s="285">
        <v>7852906.3352941182</v>
      </c>
      <c r="AG158" s="286">
        <v>1949879.6862745096</v>
      </c>
      <c r="AH158" s="286">
        <v>3539809.4736842108</v>
      </c>
      <c r="AI158" s="290">
        <v>3349954.1</v>
      </c>
      <c r="AJ158" s="289">
        <v>16692549.595252838</v>
      </c>
      <c r="AK158" s="291">
        <v>18014986.857664142</v>
      </c>
    </row>
    <row r="159" spans="1:37" x14ac:dyDescent="0.25">
      <c r="A159" s="264" t="s">
        <v>997</v>
      </c>
      <c r="B159" s="264" t="s">
        <v>997</v>
      </c>
      <c r="C159" s="264" t="s">
        <v>1310</v>
      </c>
      <c r="D159" s="264">
        <v>1546097</v>
      </c>
      <c r="E159" s="264" t="s">
        <v>1086</v>
      </c>
      <c r="F159" s="264">
        <v>2018</v>
      </c>
      <c r="G159" s="281">
        <v>62.37</v>
      </c>
      <c r="H159" s="264">
        <v>2.4</v>
      </c>
      <c r="I159" s="282">
        <v>51.69</v>
      </c>
      <c r="J159" s="281">
        <v>8.2799999999999994</v>
      </c>
      <c r="K159" s="281">
        <v>0</v>
      </c>
      <c r="L159" s="264">
        <v>102</v>
      </c>
      <c r="M159" s="282">
        <v>0</v>
      </c>
      <c r="N159" s="281">
        <v>0</v>
      </c>
      <c r="O159" s="281"/>
      <c r="P159" s="263"/>
      <c r="Q159" s="313"/>
      <c r="R159" s="284">
        <v>62.37</v>
      </c>
      <c r="S159" s="284">
        <v>2.4</v>
      </c>
      <c r="T159" s="284">
        <v>51.69</v>
      </c>
      <c r="U159" s="284">
        <v>8.2799999999999994</v>
      </c>
      <c r="V159" s="284">
        <v>0</v>
      </c>
      <c r="W159" s="284">
        <v>102</v>
      </c>
      <c r="X159" s="284">
        <v>0</v>
      </c>
      <c r="Y159" s="313"/>
      <c r="Z159" s="285">
        <v>31429993.935058948</v>
      </c>
      <c r="AA159" s="286">
        <v>6096750.0508351382</v>
      </c>
      <c r="AB159" s="287">
        <v>9896258.9085730575</v>
      </c>
      <c r="AC159" s="288">
        <v>6357096.9239952164</v>
      </c>
      <c r="AD159" s="289">
        <v>53780099.818462364</v>
      </c>
      <c r="AE159" s="266"/>
      <c r="AF159" s="285">
        <v>10824276.300000001</v>
      </c>
      <c r="AG159" s="286">
        <v>2687672</v>
      </c>
      <c r="AH159" s="286">
        <v>4879196.8421052638</v>
      </c>
      <c r="AI159" s="290">
        <v>4617504.3</v>
      </c>
      <c r="AJ159" s="289">
        <v>23008649.442105267</v>
      </c>
      <c r="AK159" s="291">
        <v>30771450.376357097</v>
      </c>
    </row>
    <row r="160" spans="1:37" x14ac:dyDescent="0.25">
      <c r="A160" s="264" t="s">
        <v>528</v>
      </c>
      <c r="B160" s="264" t="s">
        <v>523</v>
      </c>
      <c r="C160" s="264" t="s">
        <v>1310</v>
      </c>
      <c r="D160" s="264">
        <v>6945387</v>
      </c>
      <c r="E160" s="264" t="s">
        <v>1086</v>
      </c>
      <c r="F160" s="264">
        <v>2018</v>
      </c>
      <c r="G160" s="281">
        <v>22.524999999999999</v>
      </c>
      <c r="H160" s="264">
        <v>1.325</v>
      </c>
      <c r="I160" s="282">
        <v>15</v>
      </c>
      <c r="J160" s="281">
        <v>6.2</v>
      </c>
      <c r="K160" s="281">
        <v>0</v>
      </c>
      <c r="L160" s="264">
        <v>57</v>
      </c>
      <c r="M160" s="282">
        <v>0</v>
      </c>
      <c r="N160" s="281">
        <v>0</v>
      </c>
      <c r="O160" s="281"/>
      <c r="P160" s="263"/>
      <c r="Q160" s="313"/>
      <c r="R160" s="284">
        <v>22.524999999999999</v>
      </c>
      <c r="S160" s="284">
        <v>1.325</v>
      </c>
      <c r="T160" s="284">
        <v>15</v>
      </c>
      <c r="U160" s="284">
        <v>6.2</v>
      </c>
      <c r="V160" s="284">
        <v>0</v>
      </c>
      <c r="W160" s="284">
        <v>57</v>
      </c>
      <c r="X160" s="284">
        <v>0</v>
      </c>
      <c r="Y160" s="313"/>
      <c r="Z160" s="285">
        <v>9485942.8912892826</v>
      </c>
      <c r="AA160" s="286">
        <v>4565199.3134272778</v>
      </c>
      <c r="AB160" s="287">
        <v>5530262.331261415</v>
      </c>
      <c r="AC160" s="288">
        <v>3552495.33987968</v>
      </c>
      <c r="AD160" s="289">
        <v>23133899.875857655</v>
      </c>
      <c r="AE160" s="266"/>
      <c r="AF160" s="285">
        <v>6048860.2852941183</v>
      </c>
      <c r="AG160" s="286">
        <v>1501934.3529411764</v>
      </c>
      <c r="AH160" s="286">
        <v>2726610</v>
      </c>
      <c r="AI160" s="290">
        <v>2580370.0500000003</v>
      </c>
      <c r="AJ160" s="289">
        <v>12857774.688235296</v>
      </c>
      <c r="AK160" s="291">
        <v>10276125.187622359</v>
      </c>
    </row>
    <row r="161" spans="1:37" x14ac:dyDescent="0.25">
      <c r="A161" s="264" t="s">
        <v>485</v>
      </c>
      <c r="B161" s="264" t="s">
        <v>485</v>
      </c>
      <c r="C161" s="264" t="s">
        <v>1310</v>
      </c>
      <c r="D161" s="264">
        <v>8338145</v>
      </c>
      <c r="E161" s="264" t="s">
        <v>1086</v>
      </c>
      <c r="F161" s="264">
        <v>2018</v>
      </c>
      <c r="G161" s="281">
        <v>6.46</v>
      </c>
      <c r="H161" s="264">
        <v>0.17</v>
      </c>
      <c r="I161" s="282">
        <v>4.91</v>
      </c>
      <c r="J161" s="281">
        <v>1.38</v>
      </c>
      <c r="K161" s="281">
        <v>0</v>
      </c>
      <c r="L161" s="264">
        <v>6</v>
      </c>
      <c r="M161" s="282">
        <v>0</v>
      </c>
      <c r="N161" s="281">
        <v>0</v>
      </c>
      <c r="O161" s="281"/>
      <c r="P161" s="263"/>
      <c r="Q161" s="313"/>
      <c r="R161" s="284">
        <v>6.46</v>
      </c>
      <c r="S161" s="284">
        <v>0.17</v>
      </c>
      <c r="T161" s="284">
        <v>4.91</v>
      </c>
      <c r="U161" s="284">
        <v>1.38</v>
      </c>
      <c r="V161" s="284">
        <v>0</v>
      </c>
      <c r="W161" s="284">
        <v>6</v>
      </c>
      <c r="X161" s="284">
        <v>0</v>
      </c>
      <c r="Y161" s="313"/>
      <c r="Z161" s="285">
        <v>2951827.864486956</v>
      </c>
      <c r="AA161" s="286">
        <v>1016125.0084725231</v>
      </c>
      <c r="AB161" s="287">
        <v>582132.87697488582</v>
      </c>
      <c r="AC161" s="288">
        <v>373946.87788207154</v>
      </c>
      <c r="AD161" s="289">
        <v>4924032.6278164368</v>
      </c>
      <c r="AE161" s="266"/>
      <c r="AF161" s="285">
        <v>636722.13529411773</v>
      </c>
      <c r="AG161" s="286">
        <v>158098.35294117645</v>
      </c>
      <c r="AH161" s="286">
        <v>287011.57894736843</v>
      </c>
      <c r="AI161" s="290">
        <v>271617.90000000002</v>
      </c>
      <c r="AJ161" s="289">
        <v>1353449.9671826623</v>
      </c>
      <c r="AK161" s="291">
        <v>3570582.6606337745</v>
      </c>
    </row>
    <row r="162" spans="1:37" x14ac:dyDescent="0.25">
      <c r="A162" s="264" t="s">
        <v>506</v>
      </c>
      <c r="B162" s="264" t="s">
        <v>506</v>
      </c>
      <c r="C162" s="264" t="s">
        <v>1310</v>
      </c>
      <c r="D162" s="264">
        <v>9445282</v>
      </c>
      <c r="E162" s="264" t="s">
        <v>1086</v>
      </c>
      <c r="F162" s="264">
        <v>2018</v>
      </c>
      <c r="G162" s="281">
        <v>37</v>
      </c>
      <c r="H162" s="264">
        <v>3</v>
      </c>
      <c r="I162" s="282">
        <v>26</v>
      </c>
      <c r="J162" s="281">
        <v>8</v>
      </c>
      <c r="K162" s="281">
        <v>0</v>
      </c>
      <c r="L162" s="264">
        <v>74</v>
      </c>
      <c r="M162" s="282">
        <v>0</v>
      </c>
      <c r="N162" s="281">
        <v>0</v>
      </c>
      <c r="O162" s="281"/>
      <c r="P162" s="263"/>
      <c r="Q162" s="313"/>
      <c r="R162" s="284">
        <v>37</v>
      </c>
      <c r="S162" s="284">
        <v>3</v>
      </c>
      <c r="T162" s="284">
        <v>26</v>
      </c>
      <c r="U162" s="284">
        <v>8</v>
      </c>
      <c r="V162" s="284">
        <v>0</v>
      </c>
      <c r="W162" s="284">
        <v>74</v>
      </c>
      <c r="X162" s="284">
        <v>0</v>
      </c>
      <c r="Y162" s="313"/>
      <c r="Z162" s="285">
        <v>16850985.840575144</v>
      </c>
      <c r="AA162" s="286">
        <v>5890579.7592610037</v>
      </c>
      <c r="AB162" s="287">
        <v>7179638.816023591</v>
      </c>
      <c r="AC162" s="288">
        <v>4612011.4938788824</v>
      </c>
      <c r="AD162" s="289">
        <v>34533215.909738623</v>
      </c>
      <c r="AE162" s="266"/>
      <c r="AF162" s="285">
        <v>7852906.3352941182</v>
      </c>
      <c r="AG162" s="286">
        <v>1949879.6862745096</v>
      </c>
      <c r="AH162" s="286">
        <v>3539809.4736842108</v>
      </c>
      <c r="AI162" s="290">
        <v>3349954.1</v>
      </c>
      <c r="AJ162" s="289">
        <v>16692549.595252838</v>
      </c>
      <c r="AK162" s="291">
        <v>17840666.314485785</v>
      </c>
    </row>
    <row r="163" spans="1:37" x14ac:dyDescent="0.25">
      <c r="A163" s="264" t="s">
        <v>261</v>
      </c>
      <c r="B163" s="264" t="s">
        <v>257</v>
      </c>
      <c r="C163" s="264" t="s">
        <v>1310</v>
      </c>
      <c r="D163" s="264">
        <v>5000179</v>
      </c>
      <c r="E163" s="264" t="s">
        <v>1086</v>
      </c>
      <c r="F163" s="264">
        <v>2018</v>
      </c>
      <c r="G163" s="281">
        <v>66</v>
      </c>
      <c r="H163" s="264">
        <v>2.5</v>
      </c>
      <c r="I163" s="282">
        <v>54.5</v>
      </c>
      <c r="J163" s="281">
        <v>9</v>
      </c>
      <c r="K163" s="281">
        <v>0</v>
      </c>
      <c r="L163" s="264">
        <v>58</v>
      </c>
      <c r="M163" s="282">
        <v>0</v>
      </c>
      <c r="N163" s="281">
        <v>0</v>
      </c>
      <c r="O163" s="281"/>
      <c r="P163" s="263"/>
      <c r="Q163" s="313"/>
      <c r="R163" s="284">
        <v>66</v>
      </c>
      <c r="S163" s="284">
        <v>2.5</v>
      </c>
      <c r="T163" s="284">
        <v>54.5</v>
      </c>
      <c r="U163" s="284">
        <v>9</v>
      </c>
      <c r="V163" s="284">
        <v>0</v>
      </c>
      <c r="W163" s="284">
        <v>58</v>
      </c>
      <c r="X163" s="284">
        <v>0</v>
      </c>
      <c r="Y163" s="313"/>
      <c r="Z163" s="285">
        <v>33120903.203889076</v>
      </c>
      <c r="AA163" s="286">
        <v>6626902.2291686293</v>
      </c>
      <c r="AB163" s="287">
        <v>5627284.4774238961</v>
      </c>
      <c r="AC163" s="288">
        <v>3614819.8195266915</v>
      </c>
      <c r="AD163" s="289">
        <v>48989909.730008297</v>
      </c>
      <c r="AE163" s="266"/>
      <c r="AF163" s="285">
        <v>6154980.6411764706</v>
      </c>
      <c r="AG163" s="286">
        <v>1528284.0784313725</v>
      </c>
      <c r="AH163" s="286">
        <v>2774445.2631578948</v>
      </c>
      <c r="AI163" s="290">
        <v>2625639.7000000002</v>
      </c>
      <c r="AJ163" s="289">
        <v>13083349.682765737</v>
      </c>
      <c r="AK163" s="291">
        <v>35906560.047242559</v>
      </c>
    </row>
    <row r="164" spans="1:37" x14ac:dyDescent="0.25">
      <c r="A164" s="264" t="s">
        <v>1001</v>
      </c>
      <c r="B164" s="264" t="s">
        <v>1001</v>
      </c>
      <c r="C164" s="264" t="s">
        <v>1310</v>
      </c>
      <c r="D164" s="264">
        <v>2089762</v>
      </c>
      <c r="E164" s="264" t="s">
        <v>1086</v>
      </c>
      <c r="F164" s="264">
        <v>2018</v>
      </c>
      <c r="G164" s="281">
        <v>50</v>
      </c>
      <c r="H164" s="264">
        <v>3</v>
      </c>
      <c r="I164" s="282">
        <v>40</v>
      </c>
      <c r="J164" s="281">
        <v>7</v>
      </c>
      <c r="K164" s="281">
        <v>0</v>
      </c>
      <c r="L164" s="264">
        <v>80</v>
      </c>
      <c r="M164" s="282">
        <v>0</v>
      </c>
      <c r="N164" s="281">
        <v>0</v>
      </c>
      <c r="O164" s="281"/>
      <c r="P164" s="263"/>
      <c r="Q164" s="313"/>
      <c r="R164" s="284">
        <v>50</v>
      </c>
      <c r="S164" s="284">
        <v>3</v>
      </c>
      <c r="T164" s="284">
        <v>40</v>
      </c>
      <c r="U164" s="284">
        <v>7</v>
      </c>
      <c r="V164" s="284">
        <v>0</v>
      </c>
      <c r="W164" s="284">
        <v>80</v>
      </c>
      <c r="X164" s="284">
        <v>0</v>
      </c>
      <c r="Y164" s="313"/>
      <c r="Z164" s="285">
        <v>24985944.522232108</v>
      </c>
      <c r="AA164" s="286">
        <v>5154257.2893533781</v>
      </c>
      <c r="AB164" s="287">
        <v>7761771.6929984763</v>
      </c>
      <c r="AC164" s="288">
        <v>4985958.3717609541</v>
      </c>
      <c r="AD164" s="289">
        <v>42887931.876344919</v>
      </c>
      <c r="AE164" s="266"/>
      <c r="AF164" s="285">
        <v>8489628.4705882352</v>
      </c>
      <c r="AG164" s="286">
        <v>2107978.0392156863</v>
      </c>
      <c r="AH164" s="286">
        <v>3826821.0526315793</v>
      </c>
      <c r="AI164" s="290">
        <v>3621572</v>
      </c>
      <c r="AJ164" s="289">
        <v>18045999.5624355</v>
      </c>
      <c r="AK164" s="291">
        <v>24841932.313909419</v>
      </c>
    </row>
    <row r="165" spans="1:37" x14ac:dyDescent="0.25">
      <c r="A165" s="264" t="s">
        <v>425</v>
      </c>
      <c r="B165" s="264" t="s">
        <v>425</v>
      </c>
      <c r="C165" s="264" t="s">
        <v>1310</v>
      </c>
      <c r="D165" s="264">
        <v>3473171</v>
      </c>
      <c r="E165" s="264" t="s">
        <v>1086</v>
      </c>
      <c r="F165" s="264">
        <v>2018</v>
      </c>
      <c r="G165" s="281">
        <v>60.075000000000003</v>
      </c>
      <c r="H165" s="264">
        <v>2.8</v>
      </c>
      <c r="I165" s="282">
        <v>48.5</v>
      </c>
      <c r="J165" s="281">
        <v>8</v>
      </c>
      <c r="K165" s="281">
        <v>0.77500000000000002</v>
      </c>
      <c r="L165" s="264">
        <v>111</v>
      </c>
      <c r="M165" s="282">
        <v>0</v>
      </c>
      <c r="N165" s="281">
        <v>0</v>
      </c>
      <c r="O165" s="281"/>
      <c r="P165" s="263"/>
      <c r="Q165" s="313"/>
      <c r="R165" s="284">
        <v>60.075000000000003</v>
      </c>
      <c r="S165" s="284">
        <v>2.8</v>
      </c>
      <c r="T165" s="284">
        <v>48.5</v>
      </c>
      <c r="U165" s="284">
        <v>8</v>
      </c>
      <c r="V165" s="284">
        <v>0.77500000000000002</v>
      </c>
      <c r="W165" s="284">
        <v>111</v>
      </c>
      <c r="X165" s="284">
        <v>0</v>
      </c>
      <c r="Y165" s="313"/>
      <c r="Z165" s="285">
        <v>30259140.953377604</v>
      </c>
      <c r="AA165" s="286">
        <v>5890579.7592610037</v>
      </c>
      <c r="AB165" s="287">
        <v>10769458.224035386</v>
      </c>
      <c r="AC165" s="288">
        <v>6918017.2408183236</v>
      </c>
      <c r="AD165" s="289">
        <v>53837196.177492321</v>
      </c>
      <c r="AE165" s="266"/>
      <c r="AF165" s="285">
        <v>11779359.502941176</v>
      </c>
      <c r="AG165" s="286">
        <v>2924819.5294117643</v>
      </c>
      <c r="AH165" s="286">
        <v>5309714.2105263164</v>
      </c>
      <c r="AI165" s="290">
        <v>5024931.1500000004</v>
      </c>
      <c r="AJ165" s="289">
        <v>25038824.392879255</v>
      </c>
      <c r="AK165" s="291">
        <v>28798371.784613065</v>
      </c>
    </row>
    <row r="166" spans="1:37" x14ac:dyDescent="0.25">
      <c r="A166" s="264" t="s">
        <v>420</v>
      </c>
      <c r="B166" s="264" t="s">
        <v>420</v>
      </c>
      <c r="C166" s="264" t="s">
        <v>1312</v>
      </c>
      <c r="D166" s="264">
        <v>4721932</v>
      </c>
      <c r="E166" s="264" t="s">
        <v>1086</v>
      </c>
      <c r="F166" s="264">
        <v>2018</v>
      </c>
      <c r="G166" s="281">
        <v>53.3</v>
      </c>
      <c r="H166" s="264">
        <v>3</v>
      </c>
      <c r="I166" s="282">
        <v>37.700000000000003</v>
      </c>
      <c r="J166" s="281">
        <v>12.6</v>
      </c>
      <c r="K166" s="281">
        <v>0</v>
      </c>
      <c r="L166" s="264">
        <v>79</v>
      </c>
      <c r="M166" s="282">
        <v>0</v>
      </c>
      <c r="N166" s="281">
        <v>0</v>
      </c>
      <c r="O166" s="281"/>
      <c r="P166" s="263"/>
      <c r="Q166" s="313"/>
      <c r="R166" s="284">
        <v>53.3</v>
      </c>
      <c r="S166" s="284">
        <v>3</v>
      </c>
      <c r="T166" s="284">
        <v>37.700000000000003</v>
      </c>
      <c r="U166" s="284">
        <v>12.6</v>
      </c>
      <c r="V166" s="284">
        <v>0</v>
      </c>
      <c r="W166" s="284">
        <v>79</v>
      </c>
      <c r="X166" s="284">
        <v>0</v>
      </c>
      <c r="Y166" s="313"/>
      <c r="Z166" s="285">
        <v>23649487.024531323</v>
      </c>
      <c r="AA166" s="286">
        <v>9277663.120836081</v>
      </c>
      <c r="AB166" s="287">
        <v>7664749.5468359962</v>
      </c>
      <c r="AC166" s="288">
        <v>4923633.8921139417</v>
      </c>
      <c r="AD166" s="289">
        <v>45515533.584317341</v>
      </c>
      <c r="AE166" s="266"/>
      <c r="AF166" s="285">
        <v>8383508.114705883</v>
      </c>
      <c r="AG166" s="286">
        <v>2081628.3137254901</v>
      </c>
      <c r="AH166" s="286">
        <v>3778985.7894736845</v>
      </c>
      <c r="AI166" s="290">
        <v>3576302.35</v>
      </c>
      <c r="AJ166" s="289">
        <v>17820424.567905057</v>
      </c>
      <c r="AK166" s="291">
        <v>27695109.016412284</v>
      </c>
    </row>
    <row r="167" spans="1:37" x14ac:dyDescent="0.25">
      <c r="A167" s="264" t="s">
        <v>358</v>
      </c>
      <c r="B167" s="264" t="s">
        <v>358</v>
      </c>
      <c r="C167" s="264" t="s">
        <v>1314</v>
      </c>
      <c r="D167" s="264">
        <v>9264829</v>
      </c>
      <c r="E167" s="264" t="s">
        <v>1086</v>
      </c>
      <c r="F167" s="264">
        <v>2018</v>
      </c>
      <c r="G167" s="281">
        <v>13.95</v>
      </c>
      <c r="H167" s="264">
        <v>0.75</v>
      </c>
      <c r="I167" s="282">
        <v>6.6</v>
      </c>
      <c r="J167" s="281">
        <v>6.6</v>
      </c>
      <c r="K167" s="281">
        <v>0</v>
      </c>
      <c r="L167" s="264">
        <v>16</v>
      </c>
      <c r="M167" s="282">
        <v>0</v>
      </c>
      <c r="N167" s="281">
        <v>0</v>
      </c>
      <c r="O167" s="281"/>
      <c r="P167" s="263"/>
      <c r="Q167" s="313"/>
      <c r="R167" s="284">
        <v>13.95</v>
      </c>
      <c r="S167" s="284">
        <v>0.75</v>
      </c>
      <c r="T167" s="284">
        <v>6.6</v>
      </c>
      <c r="U167" s="284">
        <v>6.6</v>
      </c>
      <c r="V167" s="284">
        <v>0</v>
      </c>
      <c r="W167" s="284">
        <v>16</v>
      </c>
      <c r="X167" s="284">
        <v>0</v>
      </c>
      <c r="Y167" s="313"/>
      <c r="Z167" s="285">
        <v>4270853.3078699065</v>
      </c>
      <c r="AA167" s="286">
        <v>4859728.3013903275</v>
      </c>
      <c r="AB167" s="287">
        <v>1552354.3385996954</v>
      </c>
      <c r="AC167" s="288">
        <v>997191.67435219081</v>
      </c>
      <c r="AD167" s="289">
        <v>11680127.622212121</v>
      </c>
      <c r="AE167" s="266"/>
      <c r="AF167" s="285">
        <v>1697925.6941176471</v>
      </c>
      <c r="AG167" s="286">
        <v>421595.60784313723</v>
      </c>
      <c r="AH167" s="286">
        <v>765364.21052631584</v>
      </c>
      <c r="AI167" s="290">
        <v>724314.4</v>
      </c>
      <c r="AJ167" s="289">
        <v>3609199.9124871003</v>
      </c>
      <c r="AK167" s="291">
        <v>8070927.7097250205</v>
      </c>
    </row>
    <row r="168" spans="1:37" x14ac:dyDescent="0.25">
      <c r="A168" s="264" t="s">
        <v>390</v>
      </c>
      <c r="B168" s="264" t="s">
        <v>332</v>
      </c>
      <c r="C168" s="264" t="s">
        <v>1333</v>
      </c>
      <c r="D168" s="264">
        <v>7916274</v>
      </c>
      <c r="E168" s="264" t="s">
        <v>1772</v>
      </c>
      <c r="F168" s="264">
        <v>2018</v>
      </c>
      <c r="G168" s="281">
        <v>21</v>
      </c>
      <c r="H168" s="264">
        <v>1</v>
      </c>
      <c r="I168" s="282">
        <v>14</v>
      </c>
      <c r="J168" s="281">
        <v>6</v>
      </c>
      <c r="K168" s="281">
        <v>0</v>
      </c>
      <c r="L168" s="264">
        <v>38</v>
      </c>
      <c r="M168" s="282">
        <v>0</v>
      </c>
      <c r="N168" s="281">
        <v>0</v>
      </c>
      <c r="O168" s="281"/>
      <c r="P168" s="263"/>
      <c r="Q168" s="313"/>
      <c r="R168" s="284">
        <v>21</v>
      </c>
      <c r="S168" s="284">
        <v>1</v>
      </c>
      <c r="T168" s="284">
        <v>14</v>
      </c>
      <c r="U168" s="284">
        <v>6</v>
      </c>
      <c r="V168" s="284">
        <v>0</v>
      </c>
      <c r="W168" s="284">
        <v>38</v>
      </c>
      <c r="X168" s="284">
        <v>0</v>
      </c>
      <c r="Y168" s="313"/>
      <c r="Z168" s="285">
        <v>8908467.2544830777</v>
      </c>
      <c r="AA168" s="286">
        <v>4419896.9388641827</v>
      </c>
      <c r="AB168" s="287">
        <v>3520608.3144235048</v>
      </c>
      <c r="AC168" s="288">
        <v>2470855.3685138263</v>
      </c>
      <c r="AD168" s="289">
        <v>19319827.876284592</v>
      </c>
      <c r="AE168" s="266"/>
      <c r="AF168" s="285">
        <v>4266278.4359228099</v>
      </c>
      <c r="AG168" s="286">
        <v>1111305.0128824476</v>
      </c>
      <c r="AH168" s="286">
        <v>2467103.4357762015</v>
      </c>
      <c r="AI168" s="290">
        <v>1933328.3924632354</v>
      </c>
      <c r="AJ168" s="289">
        <v>9778015.2770446949</v>
      </c>
      <c r="AK168" s="291">
        <v>9541812.599239897</v>
      </c>
    </row>
    <row r="169" spans="1:37" x14ac:dyDescent="0.25">
      <c r="A169" s="264" t="s">
        <v>957</v>
      </c>
      <c r="B169" s="264" t="s">
        <v>955</v>
      </c>
      <c r="C169" s="264" t="s">
        <v>1322</v>
      </c>
      <c r="D169" s="264">
        <v>3619533</v>
      </c>
      <c r="E169" s="264" t="s">
        <v>1774</v>
      </c>
      <c r="F169" s="264">
        <v>2018</v>
      </c>
      <c r="G169" s="281">
        <v>16</v>
      </c>
      <c r="H169" s="264">
        <v>1</v>
      </c>
      <c r="I169" s="282">
        <v>10</v>
      </c>
      <c r="J169" s="281">
        <v>5</v>
      </c>
      <c r="K169" s="281">
        <v>0</v>
      </c>
      <c r="L169" s="264">
        <v>35</v>
      </c>
      <c r="M169" s="282">
        <v>0</v>
      </c>
      <c r="N169" s="281">
        <v>0</v>
      </c>
      <c r="O169" s="281"/>
      <c r="P169" s="263"/>
      <c r="Q169" s="313"/>
      <c r="R169" s="284">
        <v>16</v>
      </c>
      <c r="S169" s="284">
        <v>1</v>
      </c>
      <c r="T169" s="284">
        <v>10</v>
      </c>
      <c r="U169" s="284">
        <v>5</v>
      </c>
      <c r="V169" s="284">
        <v>0</v>
      </c>
      <c r="W169" s="284">
        <v>35</v>
      </c>
      <c r="X169" s="284">
        <v>0</v>
      </c>
      <c r="Y169" s="313"/>
      <c r="Z169" s="285">
        <v>6532875.9866209235</v>
      </c>
      <c r="AA169" s="286">
        <v>3683247.4490534849</v>
      </c>
      <c r="AB169" s="287">
        <v>3242665.5527584911</v>
      </c>
      <c r="AC169" s="288">
        <v>2275787.8394206292</v>
      </c>
      <c r="AD169" s="289">
        <v>15734576.827853529</v>
      </c>
      <c r="AE169" s="266"/>
      <c r="AF169" s="285">
        <v>3929466.9804552197</v>
      </c>
      <c r="AG169" s="286">
        <v>1023570.4066022544</v>
      </c>
      <c r="AH169" s="286">
        <v>2272332.1118991333</v>
      </c>
      <c r="AI169" s="290">
        <v>1780697.2035845588</v>
      </c>
      <c r="AJ169" s="289">
        <v>9006066.7025411669</v>
      </c>
      <c r="AK169" s="291">
        <v>6728510.1253123619</v>
      </c>
    </row>
    <row r="170" spans="1:37" x14ac:dyDescent="0.25">
      <c r="A170" s="264" t="s">
        <v>1332</v>
      </c>
      <c r="B170" s="264" t="s">
        <v>384</v>
      </c>
      <c r="C170" s="264" t="s">
        <v>1325</v>
      </c>
      <c r="D170" s="264">
        <v>7857005</v>
      </c>
      <c r="E170" s="264" t="s">
        <v>1776</v>
      </c>
      <c r="F170" s="264">
        <v>2018</v>
      </c>
      <c r="G170" s="281">
        <v>10.775</v>
      </c>
      <c r="H170" s="264">
        <v>0.375</v>
      </c>
      <c r="I170" s="282">
        <v>7.9</v>
      </c>
      <c r="J170" s="281">
        <v>2.5</v>
      </c>
      <c r="K170" s="281">
        <v>0</v>
      </c>
      <c r="L170" s="264">
        <v>23</v>
      </c>
      <c r="M170" s="282">
        <v>0</v>
      </c>
      <c r="N170" s="281">
        <v>0</v>
      </c>
      <c r="O170" s="281"/>
      <c r="P170" s="263"/>
      <c r="Q170" s="313"/>
      <c r="R170" s="284">
        <v>10.775</v>
      </c>
      <c r="S170" s="284">
        <v>0.375</v>
      </c>
      <c r="T170" s="284">
        <v>7.9</v>
      </c>
      <c r="U170" s="284">
        <v>2.5</v>
      </c>
      <c r="V170" s="284">
        <v>0</v>
      </c>
      <c r="W170" s="284">
        <v>23</v>
      </c>
      <c r="X170" s="284">
        <v>0</v>
      </c>
      <c r="Y170" s="313"/>
      <c r="Z170" s="285">
        <v>4914504.4353898317</v>
      </c>
      <c r="AA170" s="286">
        <v>1841623.7245267425</v>
      </c>
      <c r="AB170" s="287">
        <v>2130894.5060984371</v>
      </c>
      <c r="AC170" s="288">
        <v>1495517.7230478423</v>
      </c>
      <c r="AD170" s="289">
        <v>10382540.389062852</v>
      </c>
      <c r="AE170" s="266"/>
      <c r="AF170" s="285">
        <v>2582221.1585848588</v>
      </c>
      <c r="AG170" s="286">
        <v>672631.98148148146</v>
      </c>
      <c r="AH170" s="286">
        <v>1493246.816390859</v>
      </c>
      <c r="AI170" s="290">
        <v>1170172.448069853</v>
      </c>
      <c r="AJ170" s="289">
        <v>5918272.4045270523</v>
      </c>
      <c r="AK170" s="291">
        <v>4464267.9845357994</v>
      </c>
    </row>
    <row r="171" spans="1:37" x14ac:dyDescent="0.25">
      <c r="A171" s="264" t="s">
        <v>453</v>
      </c>
      <c r="B171" s="264" t="s">
        <v>453</v>
      </c>
      <c r="C171" s="264" t="s">
        <v>1325</v>
      </c>
      <c r="D171" s="264">
        <v>4753225</v>
      </c>
      <c r="E171" s="264" t="s">
        <v>1776</v>
      </c>
      <c r="F171" s="264">
        <v>2018</v>
      </c>
      <c r="G171" s="281">
        <v>36.799999999999997</v>
      </c>
      <c r="H171" s="264">
        <v>4</v>
      </c>
      <c r="I171" s="282">
        <v>22.55</v>
      </c>
      <c r="J171" s="281">
        <v>10.25</v>
      </c>
      <c r="K171" s="281">
        <v>0</v>
      </c>
      <c r="L171" s="264">
        <v>80</v>
      </c>
      <c r="M171" s="282">
        <v>0</v>
      </c>
      <c r="N171" s="281">
        <v>0</v>
      </c>
      <c r="O171" s="281"/>
      <c r="P171" s="263"/>
      <c r="Q171" s="313"/>
      <c r="R171" s="284">
        <v>36.799999999999997</v>
      </c>
      <c r="S171" s="284">
        <v>4</v>
      </c>
      <c r="T171" s="284">
        <v>22.55</v>
      </c>
      <c r="U171" s="284">
        <v>10.25</v>
      </c>
      <c r="V171" s="284">
        <v>0</v>
      </c>
      <c r="W171" s="284">
        <v>80</v>
      </c>
      <c r="X171" s="284">
        <v>0</v>
      </c>
      <c r="Y171" s="313"/>
      <c r="Z171" s="285">
        <v>15767987.040435048</v>
      </c>
      <c r="AA171" s="286">
        <v>7550657.2705596443</v>
      </c>
      <c r="AB171" s="287">
        <v>7411806.977733694</v>
      </c>
      <c r="AC171" s="288">
        <v>5201800.7758185817</v>
      </c>
      <c r="AD171" s="289">
        <v>35932252.064546965</v>
      </c>
      <c r="AE171" s="266"/>
      <c r="AF171" s="285">
        <v>8981638.8124690745</v>
      </c>
      <c r="AG171" s="286">
        <v>2339589.500805153</v>
      </c>
      <c r="AH171" s="286">
        <v>5193901.970055161</v>
      </c>
      <c r="AI171" s="290">
        <v>4070165.036764706</v>
      </c>
      <c r="AJ171" s="289">
        <v>20585295.320094094</v>
      </c>
      <c r="AK171" s="291">
        <v>15346956.744452871</v>
      </c>
    </row>
    <row r="172" spans="1:37" x14ac:dyDescent="0.25">
      <c r="A172" s="264" t="s">
        <v>959</v>
      </c>
      <c r="B172" s="264" t="s">
        <v>959</v>
      </c>
      <c r="C172" s="264" t="s">
        <v>1327</v>
      </c>
      <c r="D172" s="264">
        <v>8982230</v>
      </c>
      <c r="E172" s="264" t="s">
        <v>1777</v>
      </c>
      <c r="F172" s="264">
        <v>2018</v>
      </c>
      <c r="G172" s="281">
        <v>15.5</v>
      </c>
      <c r="H172" s="264">
        <v>1</v>
      </c>
      <c r="I172" s="282">
        <v>11</v>
      </c>
      <c r="J172" s="281">
        <v>3.5</v>
      </c>
      <c r="K172" s="281">
        <v>0</v>
      </c>
      <c r="L172" s="264">
        <v>37</v>
      </c>
      <c r="M172" s="282">
        <v>0</v>
      </c>
      <c r="N172" s="281">
        <v>0</v>
      </c>
      <c r="O172" s="281"/>
      <c r="P172" s="263"/>
      <c r="Q172" s="313"/>
      <c r="R172" s="284">
        <v>15.5</v>
      </c>
      <c r="S172" s="284">
        <v>1</v>
      </c>
      <c r="T172" s="284">
        <v>11</v>
      </c>
      <c r="U172" s="284">
        <v>3.5</v>
      </c>
      <c r="V172" s="284">
        <v>0</v>
      </c>
      <c r="W172" s="284">
        <v>37</v>
      </c>
      <c r="X172" s="284">
        <v>0</v>
      </c>
      <c r="Y172" s="313"/>
      <c r="Z172" s="285">
        <v>7126773.8035864625</v>
      </c>
      <c r="AA172" s="286">
        <v>2578273.2143374397</v>
      </c>
      <c r="AB172" s="287">
        <v>3427960.7272018334</v>
      </c>
      <c r="AC172" s="288">
        <v>2405832.8588160938</v>
      </c>
      <c r="AD172" s="289">
        <v>15538840.603941832</v>
      </c>
      <c r="AE172" s="266"/>
      <c r="AF172" s="285">
        <v>4154007.9507669467</v>
      </c>
      <c r="AG172" s="286">
        <v>1082060.1441223833</v>
      </c>
      <c r="AH172" s="286">
        <v>2402179.6611505123</v>
      </c>
      <c r="AI172" s="290">
        <v>1882451.3295036766</v>
      </c>
      <c r="AJ172" s="289">
        <v>9520699.0855435189</v>
      </c>
      <c r="AK172" s="291">
        <v>6018141.5183983129</v>
      </c>
    </row>
    <row r="173" spans="1:37" x14ac:dyDescent="0.25">
      <c r="A173" s="264" t="s">
        <v>942</v>
      </c>
      <c r="B173" s="264" t="s">
        <v>942</v>
      </c>
      <c r="C173" s="264" t="s">
        <v>1327</v>
      </c>
      <c r="D173" s="264">
        <v>5344327</v>
      </c>
      <c r="E173" s="264" t="s">
        <v>1777</v>
      </c>
      <c r="F173" s="264">
        <v>2018</v>
      </c>
      <c r="G173" s="281">
        <v>22.7</v>
      </c>
      <c r="H173" s="264">
        <v>1.2</v>
      </c>
      <c r="I173" s="282">
        <v>18</v>
      </c>
      <c r="J173" s="281">
        <v>3.5</v>
      </c>
      <c r="K173" s="281">
        <v>0</v>
      </c>
      <c r="L173" s="264">
        <v>60</v>
      </c>
      <c r="M173" s="282">
        <v>0</v>
      </c>
      <c r="N173" s="281">
        <v>0</v>
      </c>
      <c r="O173" s="281"/>
      <c r="P173" s="263"/>
      <c r="Q173" s="313"/>
      <c r="R173" s="284">
        <v>22.7</v>
      </c>
      <c r="S173" s="284">
        <v>1.2</v>
      </c>
      <c r="T173" s="284">
        <v>18</v>
      </c>
      <c r="U173" s="284">
        <v>3.5</v>
      </c>
      <c r="V173" s="284">
        <v>0</v>
      </c>
      <c r="W173" s="284">
        <v>60</v>
      </c>
      <c r="X173" s="284">
        <v>0</v>
      </c>
      <c r="Y173" s="313"/>
      <c r="Z173" s="285">
        <v>11402838.08573834</v>
      </c>
      <c r="AA173" s="286">
        <v>2578273.2143374397</v>
      </c>
      <c r="AB173" s="287">
        <v>5558855.2333002705</v>
      </c>
      <c r="AC173" s="288">
        <v>3901350.581863936</v>
      </c>
      <c r="AD173" s="289">
        <v>23441317.115239989</v>
      </c>
      <c r="AE173" s="266"/>
      <c r="AF173" s="285">
        <v>6736229.1093518054</v>
      </c>
      <c r="AG173" s="286">
        <v>1754692.1256038647</v>
      </c>
      <c r="AH173" s="286">
        <v>3895426.4775413712</v>
      </c>
      <c r="AI173" s="290">
        <v>3052623.7775735296</v>
      </c>
      <c r="AJ173" s="289">
        <v>15438971.49007057</v>
      </c>
      <c r="AK173" s="291">
        <v>8002345.6251694188</v>
      </c>
    </row>
    <row r="174" spans="1:37" x14ac:dyDescent="0.25">
      <c r="A174" s="264" t="s">
        <v>1331</v>
      </c>
      <c r="B174" s="264" t="s">
        <v>515</v>
      </c>
      <c r="C174" s="264" t="s">
        <v>1320</v>
      </c>
      <c r="D174" s="264">
        <v>7630615</v>
      </c>
      <c r="E174" s="264" t="s">
        <v>1879</v>
      </c>
      <c r="F174" s="264">
        <v>2018</v>
      </c>
      <c r="G174" s="281">
        <v>122.2</v>
      </c>
      <c r="H174" s="264">
        <v>6.5</v>
      </c>
      <c r="I174" s="282">
        <v>90.4</v>
      </c>
      <c r="J174" s="281">
        <v>25.3</v>
      </c>
      <c r="K174" s="281">
        <v>0</v>
      </c>
      <c r="L174" s="264">
        <v>282</v>
      </c>
      <c r="M174" s="282">
        <v>0</v>
      </c>
      <c r="N174" s="281">
        <v>0</v>
      </c>
      <c r="O174" s="281">
        <v>0</v>
      </c>
      <c r="P174" s="263"/>
      <c r="Q174" s="313"/>
      <c r="R174" s="284">
        <v>122.2</v>
      </c>
      <c r="S174" s="284">
        <v>6.5</v>
      </c>
      <c r="T174" s="284">
        <v>90.4</v>
      </c>
      <c r="U174" s="284">
        <v>25.3</v>
      </c>
      <c r="V174" s="284">
        <v>0</v>
      </c>
      <c r="W174" s="284">
        <v>282</v>
      </c>
      <c r="X174" s="284">
        <v>0</v>
      </c>
      <c r="Y174" s="313"/>
      <c r="Z174" s="285">
        <v>57548698.463960685</v>
      </c>
      <c r="AA174" s="286">
        <v>18637232.092210636</v>
      </c>
      <c r="AB174" s="287">
        <v>26126619.596511271</v>
      </c>
      <c r="AC174" s="288">
        <v>18336347.7347605</v>
      </c>
      <c r="AD174" s="289">
        <v>120648897.8874431</v>
      </c>
      <c r="AE174" s="266"/>
      <c r="AF174" s="285">
        <v>31660276.813953485</v>
      </c>
      <c r="AG174" s="286">
        <v>8247052.9903381644</v>
      </c>
      <c r="AH174" s="286">
        <v>18308504.444444444</v>
      </c>
      <c r="AI174" s="290">
        <v>14347331.754595589</v>
      </c>
      <c r="AJ174" s="289">
        <v>72563166.003331691</v>
      </c>
      <c r="AK174" s="291">
        <v>48085731.884111404</v>
      </c>
    </row>
    <row r="175" spans="1:37" x14ac:dyDescent="0.25">
      <c r="A175" s="264" t="s">
        <v>519</v>
      </c>
      <c r="B175" s="264" t="s">
        <v>519</v>
      </c>
      <c r="C175" s="264" t="s">
        <v>1320</v>
      </c>
      <c r="D175" s="264">
        <v>3529182</v>
      </c>
      <c r="E175" s="264" t="s">
        <v>1879</v>
      </c>
      <c r="F175" s="264">
        <v>2018</v>
      </c>
      <c r="G175" s="281">
        <v>18.3</v>
      </c>
      <c r="H175" s="264">
        <v>2</v>
      </c>
      <c r="I175" s="282">
        <v>10</v>
      </c>
      <c r="J175" s="281">
        <v>6.3</v>
      </c>
      <c r="K175" s="281">
        <v>0</v>
      </c>
      <c r="L175" s="264">
        <v>48</v>
      </c>
      <c r="M175" s="282">
        <v>0</v>
      </c>
      <c r="N175" s="281">
        <v>0</v>
      </c>
      <c r="O175" s="281"/>
      <c r="P175" s="263"/>
      <c r="Q175" s="313"/>
      <c r="R175" s="284">
        <v>18.3</v>
      </c>
      <c r="S175" s="284">
        <v>2</v>
      </c>
      <c r="T175" s="284">
        <v>10</v>
      </c>
      <c r="U175" s="284">
        <v>6.3</v>
      </c>
      <c r="V175" s="284">
        <v>0</v>
      </c>
      <c r="W175" s="284">
        <v>48</v>
      </c>
      <c r="X175" s="284">
        <v>0</v>
      </c>
      <c r="Y175" s="313"/>
      <c r="Z175" s="285">
        <v>7126773.8035864625</v>
      </c>
      <c r="AA175" s="286">
        <v>4640891.7858073916</v>
      </c>
      <c r="AB175" s="287">
        <v>4447084.186640216</v>
      </c>
      <c r="AC175" s="288">
        <v>3121080.4654911486</v>
      </c>
      <c r="AD175" s="289">
        <v>19335830.241525218</v>
      </c>
      <c r="AE175" s="266"/>
      <c r="AF175" s="285">
        <v>5388983.287481444</v>
      </c>
      <c r="AG175" s="286">
        <v>1403753.7004830916</v>
      </c>
      <c r="AH175" s="286">
        <v>3116341.1820330969</v>
      </c>
      <c r="AI175" s="290">
        <v>2442099.0220588236</v>
      </c>
      <c r="AJ175" s="289">
        <v>12351177.192056457</v>
      </c>
      <c r="AK175" s="291">
        <v>6984653.0494687613</v>
      </c>
    </row>
    <row r="176" spans="1:37" x14ac:dyDescent="0.25">
      <c r="A176" s="264" t="s">
        <v>459</v>
      </c>
      <c r="B176" s="264" t="s">
        <v>459</v>
      </c>
      <c r="C176" s="264" t="s">
        <v>1320</v>
      </c>
      <c r="D176" s="264">
        <v>2125600</v>
      </c>
      <c r="E176" s="264" t="s">
        <v>1879</v>
      </c>
      <c r="F176" s="264">
        <v>2018</v>
      </c>
      <c r="G176" s="281">
        <v>27.5</v>
      </c>
      <c r="H176" s="264">
        <v>2</v>
      </c>
      <c r="I176" s="282">
        <v>18.5</v>
      </c>
      <c r="J176" s="281">
        <v>7</v>
      </c>
      <c r="K176" s="281">
        <v>0</v>
      </c>
      <c r="L176" s="264">
        <v>54</v>
      </c>
      <c r="M176" s="282">
        <v>0</v>
      </c>
      <c r="N176" s="281">
        <v>0</v>
      </c>
      <c r="O176" s="281"/>
      <c r="P176" s="263"/>
      <c r="Q176" s="313"/>
      <c r="R176" s="284">
        <v>27.5</v>
      </c>
      <c r="S176" s="284">
        <v>2</v>
      </c>
      <c r="T176" s="284">
        <v>18.5</v>
      </c>
      <c r="U176" s="284">
        <v>7</v>
      </c>
      <c r="V176" s="284">
        <v>0</v>
      </c>
      <c r="W176" s="284">
        <v>54</v>
      </c>
      <c r="X176" s="284">
        <v>0</v>
      </c>
      <c r="Y176" s="313"/>
      <c r="Z176" s="285">
        <v>12174905.24779354</v>
      </c>
      <c r="AA176" s="286">
        <v>5156546.4286748795</v>
      </c>
      <c r="AB176" s="287">
        <v>5002969.7099702433</v>
      </c>
      <c r="AC176" s="288">
        <v>3511215.5236775423</v>
      </c>
      <c r="AD176" s="289">
        <v>25845636.910116207</v>
      </c>
      <c r="AE176" s="266"/>
      <c r="AF176" s="285">
        <v>6062606.1984166251</v>
      </c>
      <c r="AG176" s="286">
        <v>1579222.9130434783</v>
      </c>
      <c r="AH176" s="286">
        <v>3505883.8297872338</v>
      </c>
      <c r="AI176" s="290">
        <v>2747361.3998161764</v>
      </c>
      <c r="AJ176" s="289">
        <v>13895074.341063512</v>
      </c>
      <c r="AK176" s="291">
        <v>11950562.569052694</v>
      </c>
    </row>
    <row r="177" spans="1:37" x14ac:dyDescent="0.25">
      <c r="A177" s="264" t="s">
        <v>447</v>
      </c>
      <c r="B177" s="264" t="s">
        <v>447</v>
      </c>
      <c r="C177" s="264" t="s">
        <v>1320</v>
      </c>
      <c r="D177" s="264">
        <v>2837121</v>
      </c>
      <c r="E177" s="264" t="s">
        <v>1879</v>
      </c>
      <c r="F177" s="264">
        <v>2018</v>
      </c>
      <c r="G177" s="281">
        <v>13.34</v>
      </c>
      <c r="H177" s="264">
        <v>0.96</v>
      </c>
      <c r="I177" s="282">
        <v>9.74</v>
      </c>
      <c r="J177" s="281">
        <v>2.64</v>
      </c>
      <c r="K177" s="281">
        <v>0</v>
      </c>
      <c r="L177" s="264">
        <v>24</v>
      </c>
      <c r="M177" s="282">
        <v>0</v>
      </c>
      <c r="N177" s="281">
        <v>0</v>
      </c>
      <c r="O177" s="281">
        <v>0</v>
      </c>
      <c r="P177" s="263"/>
      <c r="Q177" s="313"/>
      <c r="R177" s="284">
        <v>13.34</v>
      </c>
      <c r="S177" s="284">
        <v>0.96</v>
      </c>
      <c r="T177" s="284">
        <v>9.74</v>
      </c>
      <c r="U177" s="284">
        <v>2.64</v>
      </c>
      <c r="V177" s="284">
        <v>0</v>
      </c>
      <c r="W177" s="284">
        <v>24</v>
      </c>
      <c r="X177" s="284">
        <v>0</v>
      </c>
      <c r="Y177" s="313"/>
      <c r="Z177" s="285">
        <v>6354706.6415312616</v>
      </c>
      <c r="AA177" s="286">
        <v>1944754.6531002403</v>
      </c>
      <c r="AB177" s="287">
        <v>2223542.093320108</v>
      </c>
      <c r="AC177" s="288">
        <v>1560540.2327455743</v>
      </c>
      <c r="AD177" s="289">
        <v>12083543.620697184</v>
      </c>
      <c r="AE177" s="266"/>
      <c r="AF177" s="285">
        <v>2694491.643740722</v>
      </c>
      <c r="AG177" s="286">
        <v>701876.85024154582</v>
      </c>
      <c r="AH177" s="286">
        <v>1558170.5910165485</v>
      </c>
      <c r="AI177" s="290">
        <v>1221049.5110294118</v>
      </c>
      <c r="AJ177" s="289">
        <v>6175588.5960282283</v>
      </c>
      <c r="AK177" s="291">
        <v>5907955.0246689552</v>
      </c>
    </row>
    <row r="178" spans="1:37" x14ac:dyDescent="0.25">
      <c r="A178" s="264" t="s">
        <v>1007</v>
      </c>
      <c r="B178" s="264" t="s">
        <v>1007</v>
      </c>
      <c r="C178" s="264" t="s">
        <v>1317</v>
      </c>
      <c r="D178" s="264">
        <v>3135426</v>
      </c>
      <c r="E178" s="264" t="s">
        <v>1781</v>
      </c>
      <c r="F178" s="264">
        <v>2018</v>
      </c>
      <c r="G178" s="281">
        <v>21.25</v>
      </c>
      <c r="H178" s="264">
        <v>1.25</v>
      </c>
      <c r="I178" s="282">
        <v>14</v>
      </c>
      <c r="J178" s="281">
        <v>6</v>
      </c>
      <c r="K178" s="281">
        <v>0</v>
      </c>
      <c r="L178" s="264">
        <v>68</v>
      </c>
      <c r="M178" s="282">
        <v>0</v>
      </c>
      <c r="N178" s="281">
        <v>0</v>
      </c>
      <c r="O178" s="281"/>
      <c r="P178" s="263"/>
      <c r="Q178" s="313"/>
      <c r="R178" s="284">
        <v>21.25</v>
      </c>
      <c r="S178" s="284">
        <v>1.25</v>
      </c>
      <c r="T178" s="284">
        <v>14</v>
      </c>
      <c r="U178" s="284">
        <v>6</v>
      </c>
      <c r="V178" s="284">
        <v>0</v>
      </c>
      <c r="W178" s="284">
        <v>68</v>
      </c>
      <c r="X178" s="284">
        <v>0</v>
      </c>
      <c r="Y178" s="313"/>
      <c r="Z178" s="285">
        <v>9056941.7087244634</v>
      </c>
      <c r="AA178" s="286">
        <v>4419896.9388641827</v>
      </c>
      <c r="AB178" s="287">
        <v>6300035.9310736395</v>
      </c>
      <c r="AC178" s="288">
        <v>4421530.6594457943</v>
      </c>
      <c r="AD178" s="289">
        <v>24198405.238108076</v>
      </c>
      <c r="AE178" s="266"/>
      <c r="AF178" s="285">
        <v>7634392.990598713</v>
      </c>
      <c r="AG178" s="286">
        <v>1988651.07568438</v>
      </c>
      <c r="AH178" s="286">
        <v>4414816.6745468872</v>
      </c>
      <c r="AI178" s="290">
        <v>3459640.28125</v>
      </c>
      <c r="AJ178" s="289">
        <v>17497501.022079982</v>
      </c>
      <c r="AK178" s="291">
        <v>6700904.2160280943</v>
      </c>
    </row>
    <row r="179" spans="1:37" x14ac:dyDescent="0.25">
      <c r="A179" s="264" t="s">
        <v>1328</v>
      </c>
      <c r="B179" s="264" t="s">
        <v>821</v>
      </c>
      <c r="C179" s="264" t="s">
        <v>1317</v>
      </c>
      <c r="D179" s="264">
        <v>5894253</v>
      </c>
      <c r="E179" s="264" t="s">
        <v>1781</v>
      </c>
      <c r="F179" s="264">
        <v>2018</v>
      </c>
      <c r="G179" s="281">
        <v>11</v>
      </c>
      <c r="H179" s="264">
        <v>1</v>
      </c>
      <c r="I179" s="282">
        <v>7</v>
      </c>
      <c r="J179" s="281">
        <v>3</v>
      </c>
      <c r="K179" s="281">
        <v>0</v>
      </c>
      <c r="L179" s="264">
        <v>25</v>
      </c>
      <c r="M179" s="282">
        <v>0</v>
      </c>
      <c r="N179" s="281">
        <v>0</v>
      </c>
      <c r="O179" s="281"/>
      <c r="P179" s="263"/>
      <c r="Q179" s="313"/>
      <c r="R179" s="284">
        <v>11</v>
      </c>
      <c r="S179" s="284">
        <v>1</v>
      </c>
      <c r="T179" s="284">
        <v>7</v>
      </c>
      <c r="U179" s="284">
        <v>3</v>
      </c>
      <c r="V179" s="284">
        <v>0</v>
      </c>
      <c r="W179" s="284">
        <v>25</v>
      </c>
      <c r="X179" s="284">
        <v>0</v>
      </c>
      <c r="Y179" s="313"/>
      <c r="Z179" s="285">
        <v>4751182.5357243083</v>
      </c>
      <c r="AA179" s="286">
        <v>2209948.4694320913</v>
      </c>
      <c r="AB179" s="287">
        <v>2316189.6805417794</v>
      </c>
      <c r="AC179" s="288">
        <v>1625562.7424433066</v>
      </c>
      <c r="AD179" s="289">
        <v>10902883.428141486</v>
      </c>
      <c r="AE179" s="266"/>
      <c r="AF179" s="285">
        <v>2806762.1288965857</v>
      </c>
      <c r="AG179" s="286">
        <v>731121.7190016103</v>
      </c>
      <c r="AH179" s="286">
        <v>1623094.3656422379</v>
      </c>
      <c r="AI179" s="290">
        <v>1271926.5739889706</v>
      </c>
      <c r="AJ179" s="289">
        <v>6432904.7875294043</v>
      </c>
      <c r="AK179" s="291">
        <v>4469978.6406120816</v>
      </c>
    </row>
    <row r="180" spans="1:37" x14ac:dyDescent="0.25">
      <c r="A180" s="264" t="s">
        <v>470</v>
      </c>
      <c r="B180" s="264" t="s">
        <v>470</v>
      </c>
      <c r="C180" s="264" t="s">
        <v>1317</v>
      </c>
      <c r="D180" s="264">
        <v>1665958</v>
      </c>
      <c r="E180" s="264" t="s">
        <v>1781</v>
      </c>
      <c r="F180" s="264">
        <v>2018</v>
      </c>
      <c r="G180" s="281">
        <v>20</v>
      </c>
      <c r="H180" s="264">
        <v>1</v>
      </c>
      <c r="I180" s="282">
        <v>13</v>
      </c>
      <c r="J180" s="281">
        <v>6</v>
      </c>
      <c r="K180" s="281">
        <v>0</v>
      </c>
      <c r="L180" s="264">
        <v>55</v>
      </c>
      <c r="M180" s="282">
        <v>0</v>
      </c>
      <c r="N180" s="281">
        <v>0</v>
      </c>
      <c r="O180" s="281"/>
      <c r="P180" s="263"/>
      <c r="Q180" s="313"/>
      <c r="R180" s="284">
        <v>20</v>
      </c>
      <c r="S180" s="284">
        <v>1</v>
      </c>
      <c r="T180" s="284">
        <v>13</v>
      </c>
      <c r="U180" s="284">
        <v>6</v>
      </c>
      <c r="V180" s="284">
        <v>0</v>
      </c>
      <c r="W180" s="284">
        <v>55</v>
      </c>
      <c r="X180" s="284">
        <v>0</v>
      </c>
      <c r="Y180" s="313"/>
      <c r="Z180" s="285">
        <v>8314569.4375175396</v>
      </c>
      <c r="AA180" s="286">
        <v>4419896.9388641827</v>
      </c>
      <c r="AB180" s="287">
        <v>5095617.2971919142</v>
      </c>
      <c r="AC180" s="288">
        <v>3576238.0333752749</v>
      </c>
      <c r="AD180" s="289">
        <v>21406321.70694891</v>
      </c>
      <c r="AE180" s="266"/>
      <c r="AF180" s="285">
        <v>6174876.6835724888</v>
      </c>
      <c r="AG180" s="286">
        <v>1608467.7818035427</v>
      </c>
      <c r="AH180" s="286">
        <v>3570807.6044129236</v>
      </c>
      <c r="AI180" s="290">
        <v>2798238.4627757352</v>
      </c>
      <c r="AJ180" s="289">
        <v>14152390.53256469</v>
      </c>
      <c r="AK180" s="291">
        <v>7253931.1743842196</v>
      </c>
    </row>
    <row r="181" spans="1:37" x14ac:dyDescent="0.25">
      <c r="A181" s="264" t="s">
        <v>390</v>
      </c>
      <c r="B181" s="264" t="s">
        <v>947</v>
      </c>
      <c r="C181" s="264" t="s">
        <v>1323</v>
      </c>
      <c r="D181" s="264">
        <v>4381530</v>
      </c>
      <c r="E181" s="264" t="s">
        <v>1781</v>
      </c>
      <c r="F181" s="264">
        <v>2018</v>
      </c>
      <c r="G181" s="281">
        <v>35</v>
      </c>
      <c r="H181" s="264">
        <v>3</v>
      </c>
      <c r="I181" s="282">
        <v>23</v>
      </c>
      <c r="J181" s="281">
        <v>9</v>
      </c>
      <c r="K181" s="281">
        <v>0</v>
      </c>
      <c r="L181" s="264">
        <v>61</v>
      </c>
      <c r="M181" s="282">
        <v>0</v>
      </c>
      <c r="N181" s="281">
        <v>0</v>
      </c>
      <c r="O181" s="281"/>
      <c r="P181" s="263"/>
      <c r="Q181" s="313"/>
      <c r="R181" s="284">
        <v>35</v>
      </c>
      <c r="S181" s="284">
        <v>3</v>
      </c>
      <c r="T181" s="284">
        <v>23</v>
      </c>
      <c r="U181" s="284">
        <v>9</v>
      </c>
      <c r="V181" s="284">
        <v>0</v>
      </c>
      <c r="W181" s="284">
        <v>61</v>
      </c>
      <c r="X181" s="284">
        <v>0</v>
      </c>
      <c r="Y181" s="313"/>
      <c r="Z181" s="285">
        <v>15441343.241104003</v>
      </c>
      <c r="AA181" s="286">
        <v>6629845.4082962731</v>
      </c>
      <c r="AB181" s="287">
        <v>5651502.8205219414</v>
      </c>
      <c r="AC181" s="288">
        <v>3966373.0915616686</v>
      </c>
      <c r="AD181" s="289">
        <v>31689064.561483882</v>
      </c>
      <c r="AE181" s="266"/>
      <c r="AF181" s="285">
        <v>6848499.5945076691</v>
      </c>
      <c r="AG181" s="286">
        <v>1783936.9943639291</v>
      </c>
      <c r="AH181" s="286">
        <v>3960350.2521670605</v>
      </c>
      <c r="AI181" s="290">
        <v>3103500.8405330884</v>
      </c>
      <c r="AJ181" s="289">
        <v>15696287.681571748</v>
      </c>
      <c r="AK181" s="291">
        <v>15992776.879912134</v>
      </c>
    </row>
    <row r="182" spans="1:37" x14ac:dyDescent="0.25">
      <c r="A182" s="264" t="s">
        <v>444</v>
      </c>
      <c r="B182" s="264" t="s">
        <v>444</v>
      </c>
      <c r="C182" s="264" t="s">
        <v>1330</v>
      </c>
      <c r="D182" s="264">
        <v>6581899</v>
      </c>
      <c r="E182" s="264" t="s">
        <v>1782</v>
      </c>
      <c r="F182" s="264">
        <v>2018</v>
      </c>
      <c r="G182" s="281">
        <v>44</v>
      </c>
      <c r="H182" s="264">
        <v>1</v>
      </c>
      <c r="I182" s="282">
        <v>25</v>
      </c>
      <c r="J182" s="281">
        <v>18</v>
      </c>
      <c r="K182" s="281">
        <v>0</v>
      </c>
      <c r="L182" s="264">
        <v>118</v>
      </c>
      <c r="M182" s="282">
        <v>0</v>
      </c>
      <c r="N182" s="281">
        <v>0</v>
      </c>
      <c r="O182" s="281"/>
      <c r="P182" s="263"/>
      <c r="Q182" s="313"/>
      <c r="R182" s="284">
        <v>44</v>
      </c>
      <c r="S182" s="284">
        <v>1</v>
      </c>
      <c r="T182" s="284">
        <v>25</v>
      </c>
      <c r="U182" s="284">
        <v>18</v>
      </c>
      <c r="V182" s="284">
        <v>0</v>
      </c>
      <c r="W182" s="284">
        <v>118</v>
      </c>
      <c r="X182" s="284">
        <v>0</v>
      </c>
      <c r="Y182" s="313"/>
      <c r="Z182" s="285">
        <v>15441343.241104003</v>
      </c>
      <c r="AA182" s="286">
        <v>13259690.816592546</v>
      </c>
      <c r="AB182" s="287">
        <v>10932415.292157199</v>
      </c>
      <c r="AC182" s="288">
        <v>7672656.144332408</v>
      </c>
      <c r="AD182" s="289">
        <v>47306105.494186163</v>
      </c>
      <c r="AE182" s="266"/>
      <c r="AF182" s="285">
        <v>13247917.248391883</v>
      </c>
      <c r="AG182" s="286">
        <v>3450894.5136876004</v>
      </c>
      <c r="AH182" s="286">
        <v>7661005.4058313631</v>
      </c>
      <c r="AI182" s="290">
        <v>6003493.4292279417</v>
      </c>
      <c r="AJ182" s="289">
        <v>30363310.597138789</v>
      </c>
      <c r="AK182" s="291">
        <v>16942794.897047374</v>
      </c>
    </row>
    <row r="183" spans="1:37" x14ac:dyDescent="0.25">
      <c r="A183" s="264" t="s">
        <v>576</v>
      </c>
      <c r="B183" s="264" t="s">
        <v>576</v>
      </c>
      <c r="C183" s="264" t="s">
        <v>1330</v>
      </c>
      <c r="D183" s="264">
        <v>8877013</v>
      </c>
      <c r="E183" s="264" t="s">
        <v>1782</v>
      </c>
      <c r="F183" s="264">
        <v>2018</v>
      </c>
      <c r="G183" s="281">
        <v>20.5</v>
      </c>
      <c r="H183" s="264">
        <v>1</v>
      </c>
      <c r="I183" s="282">
        <v>12.5</v>
      </c>
      <c r="J183" s="281">
        <v>7</v>
      </c>
      <c r="K183" s="281">
        <v>0</v>
      </c>
      <c r="L183" s="264">
        <v>42</v>
      </c>
      <c r="M183" s="282">
        <v>0</v>
      </c>
      <c r="N183" s="281">
        <v>0</v>
      </c>
      <c r="O183" s="281"/>
      <c r="P183" s="263"/>
      <c r="Q183" s="313"/>
      <c r="R183" s="284">
        <v>20.5</v>
      </c>
      <c r="S183" s="284">
        <v>1</v>
      </c>
      <c r="T183" s="284">
        <v>12.5</v>
      </c>
      <c r="U183" s="284">
        <v>7</v>
      </c>
      <c r="V183" s="284">
        <v>0</v>
      </c>
      <c r="W183" s="284">
        <v>42</v>
      </c>
      <c r="X183" s="284">
        <v>0</v>
      </c>
      <c r="Y183" s="313"/>
      <c r="Z183" s="285">
        <v>8017620.5290347701</v>
      </c>
      <c r="AA183" s="286">
        <v>5156546.4286748795</v>
      </c>
      <c r="AB183" s="287">
        <v>3891198.6633101893</v>
      </c>
      <c r="AC183" s="288">
        <v>2730945.4073047554</v>
      </c>
      <c r="AD183" s="289">
        <v>19796311.028324597</v>
      </c>
      <c r="AE183" s="266"/>
      <c r="AF183" s="285">
        <v>4715360.3765462637</v>
      </c>
      <c r="AG183" s="286">
        <v>1228284.4879227052</v>
      </c>
      <c r="AH183" s="286">
        <v>2726798.53427896</v>
      </c>
      <c r="AI183" s="290">
        <v>2136836.6443014708</v>
      </c>
      <c r="AJ183" s="289">
        <v>10807280.043049399</v>
      </c>
      <c r="AK183" s="291">
        <v>8989030.9852751978</v>
      </c>
    </row>
    <row r="184" spans="1:37" x14ac:dyDescent="0.25">
      <c r="A184" s="264" t="s">
        <v>525</v>
      </c>
      <c r="B184" s="264" t="s">
        <v>523</v>
      </c>
      <c r="C184" s="264" t="s">
        <v>1321</v>
      </c>
      <c r="D184" s="264">
        <v>5869239</v>
      </c>
      <c r="E184" s="264" t="s">
        <v>1787</v>
      </c>
      <c r="F184" s="264">
        <v>2018</v>
      </c>
      <c r="G184" s="281">
        <v>42.3</v>
      </c>
      <c r="H184" s="264">
        <v>4</v>
      </c>
      <c r="I184" s="282">
        <v>26</v>
      </c>
      <c r="J184" s="281">
        <v>12.3</v>
      </c>
      <c r="K184" s="281">
        <v>0</v>
      </c>
      <c r="L184" s="264">
        <v>95</v>
      </c>
      <c r="M184" s="282">
        <v>0</v>
      </c>
      <c r="N184" s="281">
        <v>0</v>
      </c>
      <c r="O184" s="281"/>
      <c r="P184" s="263"/>
      <c r="Q184" s="313"/>
      <c r="R184" s="284">
        <v>42.3</v>
      </c>
      <c r="S184" s="284">
        <v>4</v>
      </c>
      <c r="T184" s="284">
        <v>26</v>
      </c>
      <c r="U184" s="284">
        <v>12.3</v>
      </c>
      <c r="V184" s="284">
        <v>0</v>
      </c>
      <c r="W184" s="284">
        <v>95</v>
      </c>
      <c r="X184" s="284">
        <v>0</v>
      </c>
      <c r="Y184" s="313"/>
      <c r="Z184" s="285">
        <v>17816934.508966155</v>
      </c>
      <c r="AA184" s="286">
        <v>9060788.7246715743</v>
      </c>
      <c r="AB184" s="287">
        <v>8801520.7860587612</v>
      </c>
      <c r="AC184" s="288">
        <v>6177138.4212845657</v>
      </c>
      <c r="AD184" s="289">
        <v>41856382.440981053</v>
      </c>
      <c r="AE184" s="266"/>
      <c r="AF184" s="285">
        <v>10665696.089807026</v>
      </c>
      <c r="AG184" s="286">
        <v>2778262.532206119</v>
      </c>
      <c r="AH184" s="286">
        <v>6167758.5894405041</v>
      </c>
      <c r="AI184" s="290">
        <v>4833320.981158088</v>
      </c>
      <c r="AJ184" s="289">
        <v>24445038.192611735</v>
      </c>
      <c r="AK184" s="291">
        <v>17411344.248369318</v>
      </c>
    </row>
    <row r="185" spans="1:37" x14ac:dyDescent="0.25">
      <c r="A185" s="264" t="s">
        <v>467</v>
      </c>
      <c r="B185" s="264" t="s">
        <v>467</v>
      </c>
      <c r="C185" s="264" t="s">
        <v>1321</v>
      </c>
      <c r="D185" s="264">
        <v>2749776</v>
      </c>
      <c r="E185" s="264" t="s">
        <v>1787</v>
      </c>
      <c r="F185" s="264">
        <v>2018</v>
      </c>
      <c r="G185" s="281">
        <v>17</v>
      </c>
      <c r="H185" s="264">
        <v>1</v>
      </c>
      <c r="I185" s="282">
        <v>9</v>
      </c>
      <c r="J185" s="281">
        <v>7</v>
      </c>
      <c r="K185" s="281">
        <v>0</v>
      </c>
      <c r="L185" s="264">
        <v>53</v>
      </c>
      <c r="M185" s="282">
        <v>0</v>
      </c>
      <c r="N185" s="281">
        <v>0</v>
      </c>
      <c r="O185" s="281"/>
      <c r="P185" s="263"/>
      <c r="Q185" s="313"/>
      <c r="R185" s="284">
        <v>17</v>
      </c>
      <c r="S185" s="284">
        <v>1</v>
      </c>
      <c r="T185" s="284">
        <v>9</v>
      </c>
      <c r="U185" s="284">
        <v>7</v>
      </c>
      <c r="V185" s="284">
        <v>0</v>
      </c>
      <c r="W185" s="284">
        <v>53</v>
      </c>
      <c r="X185" s="284">
        <v>0</v>
      </c>
      <c r="Y185" s="313"/>
      <c r="Z185" s="285">
        <v>5938978.1696553854</v>
      </c>
      <c r="AA185" s="286">
        <v>5156546.4286748795</v>
      </c>
      <c r="AB185" s="287">
        <v>4910322.1227485724</v>
      </c>
      <c r="AC185" s="288">
        <v>3446193.0139798103</v>
      </c>
      <c r="AD185" s="289">
        <v>19452039.735058647</v>
      </c>
      <c r="AE185" s="266"/>
      <c r="AF185" s="285">
        <v>5950335.7132607615</v>
      </c>
      <c r="AG185" s="286">
        <v>1549978.0442834138</v>
      </c>
      <c r="AH185" s="286">
        <v>3440960.0551615446</v>
      </c>
      <c r="AI185" s="290">
        <v>2696484.3368566176</v>
      </c>
      <c r="AJ185" s="289">
        <v>13637758.149562337</v>
      </c>
      <c r="AK185" s="291">
        <v>5814281.5854963101</v>
      </c>
    </row>
    <row r="186" spans="1:37" x14ac:dyDescent="0.25">
      <c r="A186" s="264" t="s">
        <v>472</v>
      </c>
      <c r="B186" s="264" t="s">
        <v>472</v>
      </c>
      <c r="C186" s="264" t="s">
        <v>1321</v>
      </c>
      <c r="D186" s="264">
        <v>8508078</v>
      </c>
      <c r="E186" s="264" t="s">
        <v>1787</v>
      </c>
      <c r="F186" s="264">
        <v>2018</v>
      </c>
      <c r="G186" s="281">
        <v>34.200000000000003</v>
      </c>
      <c r="H186" s="264">
        <v>2.6</v>
      </c>
      <c r="I186" s="282">
        <v>19</v>
      </c>
      <c r="J186" s="281">
        <v>12.6</v>
      </c>
      <c r="K186" s="281">
        <v>0</v>
      </c>
      <c r="L186" s="264">
        <v>86</v>
      </c>
      <c r="M186" s="282">
        <v>0</v>
      </c>
      <c r="N186" s="281">
        <v>0</v>
      </c>
      <c r="O186" s="281"/>
      <c r="P186" s="263"/>
      <c r="Q186" s="313"/>
      <c r="R186" s="284">
        <v>34.200000000000003</v>
      </c>
      <c r="S186" s="284">
        <v>2.6</v>
      </c>
      <c r="T186" s="284">
        <v>19</v>
      </c>
      <c r="U186" s="284">
        <v>12.6</v>
      </c>
      <c r="V186" s="284">
        <v>0</v>
      </c>
      <c r="W186" s="284">
        <v>86</v>
      </c>
      <c r="X186" s="284">
        <v>0</v>
      </c>
      <c r="Y186" s="313"/>
      <c r="Z186" s="285">
        <v>12828192.846455634</v>
      </c>
      <c r="AA186" s="286">
        <v>9281783.5716147833</v>
      </c>
      <c r="AB186" s="287">
        <v>7967692.5010637213</v>
      </c>
      <c r="AC186" s="288">
        <v>5591935.8340049749</v>
      </c>
      <c r="AD186" s="289">
        <v>35669604.753139116</v>
      </c>
      <c r="AE186" s="266"/>
      <c r="AF186" s="285">
        <v>9655261.7234042548</v>
      </c>
      <c r="AG186" s="286">
        <v>2515058.7133655394</v>
      </c>
      <c r="AH186" s="286">
        <v>5583444.6178092984</v>
      </c>
      <c r="AI186" s="290">
        <v>4375427.4145220593</v>
      </c>
      <c r="AJ186" s="289">
        <v>22129192.469101153</v>
      </c>
      <c r="AK186" s="291">
        <v>13540412.284037963</v>
      </c>
    </row>
    <row r="187" spans="1:37" x14ac:dyDescent="0.25">
      <c r="A187" s="264" t="s">
        <v>390</v>
      </c>
      <c r="B187" s="264" t="s">
        <v>682</v>
      </c>
      <c r="C187" s="264" t="s">
        <v>1321</v>
      </c>
      <c r="D187" s="264">
        <v>4782003</v>
      </c>
      <c r="E187" s="264" t="s">
        <v>1787</v>
      </c>
      <c r="F187" s="264">
        <v>2018</v>
      </c>
      <c r="G187" s="281">
        <v>26.74</v>
      </c>
      <c r="H187" s="264">
        <v>1.1499999999999999</v>
      </c>
      <c r="I187" s="282">
        <v>18</v>
      </c>
      <c r="J187" s="281">
        <v>7.59</v>
      </c>
      <c r="K187" s="281">
        <v>0</v>
      </c>
      <c r="L187" s="264">
        <v>43</v>
      </c>
      <c r="M187" s="282">
        <v>0</v>
      </c>
      <c r="N187" s="281">
        <v>0</v>
      </c>
      <c r="O187" s="281"/>
      <c r="P187" s="263"/>
      <c r="Q187" s="313"/>
      <c r="R187" s="284">
        <v>26.74</v>
      </c>
      <c r="S187" s="284">
        <v>1.1499999999999999</v>
      </c>
      <c r="T187" s="284">
        <v>18</v>
      </c>
      <c r="U187" s="284">
        <v>7.59</v>
      </c>
      <c r="V187" s="284">
        <v>0</v>
      </c>
      <c r="W187" s="284">
        <v>43</v>
      </c>
      <c r="X187" s="284">
        <v>0</v>
      </c>
      <c r="Y187" s="313"/>
      <c r="Z187" s="285">
        <v>11373143.194890061</v>
      </c>
      <c r="AA187" s="286">
        <v>5591169.6276631905</v>
      </c>
      <c r="AB187" s="287">
        <v>3983846.2505318606</v>
      </c>
      <c r="AC187" s="288">
        <v>2795967.9170024875</v>
      </c>
      <c r="AD187" s="289">
        <v>23744126.990087599</v>
      </c>
      <c r="AE187" s="266"/>
      <c r="AF187" s="285">
        <v>4827630.8617021274</v>
      </c>
      <c r="AG187" s="286">
        <v>1257529.3566827697</v>
      </c>
      <c r="AH187" s="286">
        <v>2791722.3089046492</v>
      </c>
      <c r="AI187" s="290">
        <v>2187713.7072610296</v>
      </c>
      <c r="AJ187" s="289">
        <v>11064596.234550577</v>
      </c>
      <c r="AK187" s="291">
        <v>12679530.755537022</v>
      </c>
    </row>
    <row r="188" spans="1:37" x14ac:dyDescent="0.25">
      <c r="A188" s="264" t="s">
        <v>477</v>
      </c>
      <c r="B188" s="264" t="s">
        <v>477</v>
      </c>
      <c r="C188" s="264" t="s">
        <v>1321</v>
      </c>
      <c r="D188" s="264">
        <v>2801353</v>
      </c>
      <c r="E188" s="264" t="s">
        <v>1787</v>
      </c>
      <c r="F188" s="264">
        <v>2018</v>
      </c>
      <c r="G188" s="281">
        <v>31</v>
      </c>
      <c r="H188" s="264">
        <v>3</v>
      </c>
      <c r="I188" s="282">
        <v>18</v>
      </c>
      <c r="J188" s="281">
        <v>10</v>
      </c>
      <c r="K188" s="281">
        <v>0</v>
      </c>
      <c r="L188" s="264">
        <v>64</v>
      </c>
      <c r="M188" s="282">
        <v>0</v>
      </c>
      <c r="N188" s="281">
        <v>0</v>
      </c>
      <c r="O188" s="281"/>
      <c r="P188" s="263"/>
      <c r="Q188" s="313"/>
      <c r="R188" s="284">
        <v>31</v>
      </c>
      <c r="S188" s="284">
        <v>3</v>
      </c>
      <c r="T188" s="284">
        <v>18</v>
      </c>
      <c r="U188" s="284">
        <v>10</v>
      </c>
      <c r="V188" s="284">
        <v>0</v>
      </c>
      <c r="W188" s="284">
        <v>64</v>
      </c>
      <c r="X188" s="284">
        <v>0</v>
      </c>
      <c r="Y188" s="313"/>
      <c r="Z188" s="285">
        <v>12471854.15627631</v>
      </c>
      <c r="AA188" s="286">
        <v>7366494.8981069699</v>
      </c>
      <c r="AB188" s="287">
        <v>5929445.582186955</v>
      </c>
      <c r="AC188" s="288">
        <v>4161440.6206548652</v>
      </c>
      <c r="AD188" s="289">
        <v>29929235.2572251</v>
      </c>
      <c r="AE188" s="266"/>
      <c r="AF188" s="285">
        <v>7185311.0499752592</v>
      </c>
      <c r="AG188" s="286">
        <v>1871671.6006441223</v>
      </c>
      <c r="AH188" s="286">
        <v>4155121.5760441292</v>
      </c>
      <c r="AI188" s="290">
        <v>3256132.0294117648</v>
      </c>
      <c r="AJ188" s="289">
        <v>16468236.256075276</v>
      </c>
      <c r="AK188" s="291">
        <v>13460999.001149824</v>
      </c>
    </row>
    <row r="189" spans="1:37" x14ac:dyDescent="0.25">
      <c r="A189" s="264" t="s">
        <v>493</v>
      </c>
      <c r="B189" s="264" t="s">
        <v>493</v>
      </c>
      <c r="C189" s="264" t="s">
        <v>1334</v>
      </c>
      <c r="D189" s="264">
        <v>8635813</v>
      </c>
      <c r="E189" s="264" t="s">
        <v>1787</v>
      </c>
      <c r="F189" s="264">
        <v>2018</v>
      </c>
      <c r="G189" s="281">
        <v>25.6</v>
      </c>
      <c r="H189" s="264">
        <v>2.1</v>
      </c>
      <c r="I189" s="282">
        <v>17</v>
      </c>
      <c r="J189" s="281">
        <v>6.5</v>
      </c>
      <c r="K189" s="281">
        <v>0</v>
      </c>
      <c r="L189" s="264">
        <v>67</v>
      </c>
      <c r="M189" s="282">
        <v>0</v>
      </c>
      <c r="N189" s="281">
        <v>0</v>
      </c>
      <c r="O189" s="281"/>
      <c r="P189" s="263"/>
      <c r="Q189" s="313"/>
      <c r="R189" s="284">
        <v>25.6</v>
      </c>
      <c r="S189" s="284">
        <v>2.1</v>
      </c>
      <c r="T189" s="284">
        <v>17</v>
      </c>
      <c r="U189" s="284">
        <v>6.5</v>
      </c>
      <c r="V189" s="284">
        <v>0</v>
      </c>
      <c r="W189" s="284">
        <v>67</v>
      </c>
      <c r="X189" s="284">
        <v>0</v>
      </c>
      <c r="Y189" s="313"/>
      <c r="Z189" s="285">
        <v>11343448.304041786</v>
      </c>
      <c r="AA189" s="286">
        <v>4788221.6837695306</v>
      </c>
      <c r="AB189" s="287">
        <v>6207388.3438519686</v>
      </c>
      <c r="AC189" s="288">
        <v>4356508.1497480618</v>
      </c>
      <c r="AD189" s="289">
        <v>26695566.481411345</v>
      </c>
      <c r="AE189" s="266"/>
      <c r="AF189" s="285">
        <v>7522122.5054428494</v>
      </c>
      <c r="AG189" s="286">
        <v>1959406.2069243155</v>
      </c>
      <c r="AH189" s="286">
        <v>4349892.8999211974</v>
      </c>
      <c r="AI189" s="290">
        <v>3408763.2182904412</v>
      </c>
      <c r="AJ189" s="289">
        <v>17240184.830578804</v>
      </c>
      <c r="AK189" s="291">
        <v>9455381.6508325413</v>
      </c>
    </row>
    <row r="190" spans="1:37" x14ac:dyDescent="0.25">
      <c r="A190" s="264" t="s">
        <v>1259</v>
      </c>
      <c r="B190" s="264" t="s">
        <v>678</v>
      </c>
      <c r="C190" s="264" t="s">
        <v>1318</v>
      </c>
      <c r="D190" s="264">
        <v>1817339</v>
      </c>
      <c r="E190" s="264" t="s">
        <v>1787</v>
      </c>
      <c r="F190" s="264">
        <v>2018</v>
      </c>
      <c r="G190" s="281">
        <v>17.100000000000001</v>
      </c>
      <c r="H190" s="264">
        <v>0.9</v>
      </c>
      <c r="I190" s="282">
        <v>9.9</v>
      </c>
      <c r="J190" s="281">
        <v>6.3</v>
      </c>
      <c r="K190" s="281">
        <v>0</v>
      </c>
      <c r="L190" s="264">
        <v>58</v>
      </c>
      <c r="M190" s="282">
        <v>0</v>
      </c>
      <c r="N190" s="281">
        <v>0</v>
      </c>
      <c r="O190" s="281"/>
      <c r="P190" s="263"/>
      <c r="Q190" s="313"/>
      <c r="R190" s="284">
        <v>17.100000000000001</v>
      </c>
      <c r="S190" s="284">
        <v>0.9</v>
      </c>
      <c r="T190" s="284">
        <v>9.9</v>
      </c>
      <c r="U190" s="284">
        <v>6.3</v>
      </c>
      <c r="V190" s="284">
        <v>0</v>
      </c>
      <c r="W190" s="284">
        <v>58</v>
      </c>
      <c r="X190" s="284">
        <v>0</v>
      </c>
      <c r="Y190" s="313"/>
      <c r="Z190" s="285">
        <v>6414096.4232278168</v>
      </c>
      <c r="AA190" s="286">
        <v>4640891.7858073916</v>
      </c>
      <c r="AB190" s="287">
        <v>5373560.0588569278</v>
      </c>
      <c r="AC190" s="288">
        <v>3771305.5624684715</v>
      </c>
      <c r="AD190" s="289">
        <v>20199853.83036061</v>
      </c>
      <c r="AE190" s="266"/>
      <c r="AF190" s="285">
        <v>6511688.139040079</v>
      </c>
      <c r="AG190" s="286">
        <v>1696202.3880837359</v>
      </c>
      <c r="AH190" s="286">
        <v>3765578.9282899923</v>
      </c>
      <c r="AI190" s="290">
        <v>2950869.651654412</v>
      </c>
      <c r="AJ190" s="289">
        <v>14924339.107068218</v>
      </c>
      <c r="AK190" s="291">
        <v>5275514.7232923917</v>
      </c>
    </row>
    <row r="191" spans="1:37" x14ac:dyDescent="0.25">
      <c r="A191" s="264" t="s">
        <v>456</v>
      </c>
      <c r="B191" s="264" t="s">
        <v>456</v>
      </c>
      <c r="C191" s="264" t="s">
        <v>1326</v>
      </c>
      <c r="D191" s="264">
        <v>5040302</v>
      </c>
      <c r="E191" s="264" t="s">
        <v>1790</v>
      </c>
      <c r="F191" s="264">
        <v>2018</v>
      </c>
      <c r="G191" s="281">
        <v>19</v>
      </c>
      <c r="H191" s="264">
        <v>2</v>
      </c>
      <c r="I191" s="282">
        <v>10</v>
      </c>
      <c r="J191" s="281">
        <v>7</v>
      </c>
      <c r="K191" s="281">
        <v>0</v>
      </c>
      <c r="L191" s="264">
        <v>47</v>
      </c>
      <c r="M191" s="282">
        <v>0</v>
      </c>
      <c r="N191" s="281">
        <v>0</v>
      </c>
      <c r="O191" s="281"/>
      <c r="P191" s="263"/>
      <c r="Q191" s="313"/>
      <c r="R191" s="284">
        <v>19</v>
      </c>
      <c r="S191" s="284">
        <v>2</v>
      </c>
      <c r="T191" s="284">
        <v>10</v>
      </c>
      <c r="U191" s="284">
        <v>7</v>
      </c>
      <c r="V191" s="284">
        <v>0</v>
      </c>
      <c r="W191" s="284">
        <v>47</v>
      </c>
      <c r="X191" s="284">
        <v>0</v>
      </c>
      <c r="Y191" s="313"/>
      <c r="Z191" s="285">
        <v>7126773.8035864625</v>
      </c>
      <c r="AA191" s="286">
        <v>5156546.4286748795</v>
      </c>
      <c r="AB191" s="287">
        <v>4354436.5994185451</v>
      </c>
      <c r="AC191" s="288">
        <v>3056057.9557934166</v>
      </c>
      <c r="AD191" s="289">
        <v>19693814.787473302</v>
      </c>
      <c r="AE191" s="266"/>
      <c r="AF191" s="285">
        <v>5276712.8023255812</v>
      </c>
      <c r="AG191" s="286">
        <v>1374508.8317230274</v>
      </c>
      <c r="AH191" s="286">
        <v>3051417.4074074072</v>
      </c>
      <c r="AI191" s="290">
        <v>2391221.9590992648</v>
      </c>
      <c r="AJ191" s="289">
        <v>12093861.000555281</v>
      </c>
      <c r="AK191" s="291">
        <v>7599953.7869180217</v>
      </c>
    </row>
    <row r="192" spans="1:37" x14ac:dyDescent="0.25">
      <c r="A192" s="264" t="s">
        <v>390</v>
      </c>
      <c r="B192" s="264" t="s">
        <v>1003</v>
      </c>
      <c r="C192" s="264" t="s">
        <v>1315</v>
      </c>
      <c r="D192" s="264">
        <v>1109434</v>
      </c>
      <c r="E192" s="264" t="s">
        <v>1788</v>
      </c>
      <c r="F192" s="264">
        <v>2018</v>
      </c>
      <c r="G192" s="281">
        <v>29</v>
      </c>
      <c r="H192" s="264">
        <v>2</v>
      </c>
      <c r="I192" s="282">
        <v>19</v>
      </c>
      <c r="J192" s="281">
        <v>8</v>
      </c>
      <c r="K192" s="281">
        <v>0</v>
      </c>
      <c r="L192" s="264">
        <v>65</v>
      </c>
      <c r="M192" s="282">
        <v>0</v>
      </c>
      <c r="N192" s="281">
        <v>0</v>
      </c>
      <c r="O192" s="281"/>
      <c r="P192" s="263"/>
      <c r="Q192" s="313"/>
      <c r="R192" s="284">
        <v>29</v>
      </c>
      <c r="S192" s="284">
        <v>2</v>
      </c>
      <c r="T192" s="284">
        <v>19</v>
      </c>
      <c r="U192" s="284">
        <v>8</v>
      </c>
      <c r="V192" s="284">
        <v>0</v>
      </c>
      <c r="W192" s="284">
        <v>65</v>
      </c>
      <c r="X192" s="284">
        <v>0</v>
      </c>
      <c r="Y192" s="313"/>
      <c r="Z192" s="285">
        <v>12471854.15627631</v>
      </c>
      <c r="AA192" s="286">
        <v>5893195.9184855763</v>
      </c>
      <c r="AB192" s="287">
        <v>6022093.1694086259</v>
      </c>
      <c r="AC192" s="288">
        <v>4226463.1303525977</v>
      </c>
      <c r="AD192" s="289">
        <v>28613606.374523111</v>
      </c>
      <c r="AE192" s="266"/>
      <c r="AF192" s="285">
        <v>7297581.5351311229</v>
      </c>
      <c r="AG192" s="286">
        <v>1900916.4694041868</v>
      </c>
      <c r="AH192" s="286">
        <v>4220045.3506698189</v>
      </c>
      <c r="AI192" s="290">
        <v>3307009.0923713236</v>
      </c>
      <c r="AJ192" s="289">
        <v>16725552.447576454</v>
      </c>
      <c r="AK192" s="291">
        <v>11888053.926946657</v>
      </c>
    </row>
    <row r="193" spans="1:37" x14ac:dyDescent="0.25">
      <c r="A193" s="264" t="s">
        <v>496</v>
      </c>
      <c r="B193" s="264" t="s">
        <v>496</v>
      </c>
      <c r="C193" s="264" t="s">
        <v>1319</v>
      </c>
      <c r="D193" s="264">
        <v>1872907</v>
      </c>
      <c r="E193" s="264" t="s">
        <v>1799</v>
      </c>
      <c r="F193" s="264">
        <v>2018</v>
      </c>
      <c r="G193" s="281">
        <v>18</v>
      </c>
      <c r="H193" s="264">
        <v>1</v>
      </c>
      <c r="I193" s="282">
        <v>11</v>
      </c>
      <c r="J193" s="281">
        <v>6</v>
      </c>
      <c r="K193" s="281">
        <v>0</v>
      </c>
      <c r="L193" s="264">
        <v>42</v>
      </c>
      <c r="M193" s="282">
        <v>0</v>
      </c>
      <c r="N193" s="281">
        <v>0</v>
      </c>
      <c r="O193" s="281"/>
      <c r="P193" s="263"/>
      <c r="Q193" s="313"/>
      <c r="R193" s="284">
        <v>18</v>
      </c>
      <c r="S193" s="284">
        <v>1</v>
      </c>
      <c r="T193" s="284">
        <v>11</v>
      </c>
      <c r="U193" s="284">
        <v>6</v>
      </c>
      <c r="V193" s="284">
        <v>0</v>
      </c>
      <c r="W193" s="284">
        <v>42</v>
      </c>
      <c r="X193" s="284">
        <v>0</v>
      </c>
      <c r="Y193" s="313"/>
      <c r="Z193" s="285">
        <v>7126773.8035864625</v>
      </c>
      <c r="AA193" s="286">
        <v>4419896.9388641827</v>
      </c>
      <c r="AB193" s="287">
        <v>3891198.6633101893</v>
      </c>
      <c r="AC193" s="288">
        <v>2730945.4073047554</v>
      </c>
      <c r="AD193" s="289">
        <v>18168814.813065588</v>
      </c>
      <c r="AE193" s="266"/>
      <c r="AF193" s="285">
        <v>4715360.3765462637</v>
      </c>
      <c r="AG193" s="286">
        <v>1228284.4879227052</v>
      </c>
      <c r="AH193" s="286">
        <v>2726798.53427896</v>
      </c>
      <c r="AI193" s="290">
        <v>2136836.6443014708</v>
      </c>
      <c r="AJ193" s="289">
        <v>10807280.043049399</v>
      </c>
      <c r="AK193" s="291">
        <v>7361534.7700161897</v>
      </c>
    </row>
    <row r="194" spans="1:37" x14ac:dyDescent="0.25">
      <c r="A194" s="264" t="s">
        <v>464</v>
      </c>
      <c r="B194" s="264" t="s">
        <v>464</v>
      </c>
      <c r="C194" s="264" t="s">
        <v>1319</v>
      </c>
      <c r="D194" s="264">
        <v>3943362</v>
      </c>
      <c r="E194" s="264" t="s">
        <v>1799</v>
      </c>
      <c r="F194" s="264">
        <v>2018</v>
      </c>
      <c r="G194" s="281">
        <v>22</v>
      </c>
      <c r="H194" s="264">
        <v>2</v>
      </c>
      <c r="I194" s="282">
        <v>12</v>
      </c>
      <c r="J194" s="281">
        <v>8</v>
      </c>
      <c r="K194" s="281">
        <v>0</v>
      </c>
      <c r="L194" s="264">
        <v>52</v>
      </c>
      <c r="M194" s="282">
        <v>0</v>
      </c>
      <c r="N194" s="281">
        <v>0</v>
      </c>
      <c r="O194" s="281"/>
      <c r="P194" s="263"/>
      <c r="Q194" s="313"/>
      <c r="R194" s="284">
        <v>22</v>
      </c>
      <c r="S194" s="284">
        <v>2</v>
      </c>
      <c r="T194" s="284">
        <v>12</v>
      </c>
      <c r="U194" s="284">
        <v>8</v>
      </c>
      <c r="V194" s="284">
        <v>0</v>
      </c>
      <c r="W194" s="284">
        <v>52</v>
      </c>
      <c r="X194" s="284">
        <v>0</v>
      </c>
      <c r="Y194" s="313"/>
      <c r="Z194" s="285">
        <v>8314569.4375175396</v>
      </c>
      <c r="AA194" s="286">
        <v>5893195.9184855763</v>
      </c>
      <c r="AB194" s="287">
        <v>4817674.5355269006</v>
      </c>
      <c r="AC194" s="288">
        <v>3381170.5042820778</v>
      </c>
      <c r="AD194" s="289">
        <v>22406610.395812094</v>
      </c>
      <c r="AE194" s="266"/>
      <c r="AF194" s="285">
        <v>5838065.2281048978</v>
      </c>
      <c r="AG194" s="286">
        <v>1520733.1755233493</v>
      </c>
      <c r="AH194" s="286">
        <v>3376036.2805358549</v>
      </c>
      <c r="AI194" s="290">
        <v>2645607.2738970588</v>
      </c>
      <c r="AJ194" s="289">
        <v>13380441.958061161</v>
      </c>
      <c r="AK194" s="291">
        <v>9026168.4377509337</v>
      </c>
    </row>
    <row r="195" spans="1:37" x14ac:dyDescent="0.25">
      <c r="A195" s="264" t="s">
        <v>480</v>
      </c>
      <c r="B195" s="264" t="s">
        <v>480</v>
      </c>
      <c r="C195" s="264" t="s">
        <v>1319</v>
      </c>
      <c r="D195" s="264">
        <v>9593192</v>
      </c>
      <c r="E195" s="264" t="s">
        <v>1799</v>
      </c>
      <c r="F195" s="264">
        <v>2018</v>
      </c>
      <c r="G195" s="281">
        <v>41</v>
      </c>
      <c r="H195" s="264">
        <v>2</v>
      </c>
      <c r="I195" s="282">
        <v>25</v>
      </c>
      <c r="J195" s="281">
        <v>14</v>
      </c>
      <c r="K195" s="281">
        <v>0</v>
      </c>
      <c r="L195" s="264">
        <v>100</v>
      </c>
      <c r="M195" s="282">
        <v>0</v>
      </c>
      <c r="N195" s="281">
        <v>0</v>
      </c>
      <c r="O195" s="281"/>
      <c r="P195" s="263"/>
      <c r="Q195" s="313"/>
      <c r="R195" s="284">
        <v>41</v>
      </c>
      <c r="S195" s="284">
        <v>2</v>
      </c>
      <c r="T195" s="284">
        <v>25</v>
      </c>
      <c r="U195" s="284">
        <v>14</v>
      </c>
      <c r="V195" s="284">
        <v>0</v>
      </c>
      <c r="W195" s="284">
        <v>100</v>
      </c>
      <c r="X195" s="284">
        <v>0</v>
      </c>
      <c r="Y195" s="313"/>
      <c r="Z195" s="285">
        <v>16035241.05806954</v>
      </c>
      <c r="AA195" s="286">
        <v>10313092.857349759</v>
      </c>
      <c r="AB195" s="287">
        <v>9264758.7221671175</v>
      </c>
      <c r="AC195" s="288">
        <v>6502250.9697732264</v>
      </c>
      <c r="AD195" s="289">
        <v>42115343.60735964</v>
      </c>
      <c r="AE195" s="266"/>
      <c r="AF195" s="285">
        <v>11227048.515586343</v>
      </c>
      <c r="AG195" s="286">
        <v>2924486.8760064412</v>
      </c>
      <c r="AH195" s="286">
        <v>6492377.4625689518</v>
      </c>
      <c r="AI195" s="290">
        <v>5087706.2959558824</v>
      </c>
      <c r="AJ195" s="289">
        <v>25731619.150117617</v>
      </c>
      <c r="AK195" s="291">
        <v>16383724.457242023</v>
      </c>
    </row>
    <row r="196" spans="1:37" x14ac:dyDescent="0.25">
      <c r="A196" s="264" t="s">
        <v>499</v>
      </c>
      <c r="B196" s="264" t="s">
        <v>499</v>
      </c>
      <c r="C196" s="264" t="s">
        <v>1319</v>
      </c>
      <c r="D196" s="264">
        <v>9688838</v>
      </c>
      <c r="E196" s="264" t="s">
        <v>1799</v>
      </c>
      <c r="F196" s="264">
        <v>2018</v>
      </c>
      <c r="G196" s="281">
        <v>62</v>
      </c>
      <c r="H196" s="264">
        <v>4</v>
      </c>
      <c r="I196" s="282">
        <v>39</v>
      </c>
      <c r="J196" s="281">
        <v>19</v>
      </c>
      <c r="K196" s="281">
        <v>0</v>
      </c>
      <c r="L196" s="264">
        <v>124</v>
      </c>
      <c r="M196" s="282">
        <v>0</v>
      </c>
      <c r="N196" s="281">
        <v>0</v>
      </c>
      <c r="O196" s="281"/>
      <c r="P196" s="263"/>
      <c r="Q196" s="313"/>
      <c r="R196" s="284">
        <v>62</v>
      </c>
      <c r="S196" s="284">
        <v>4</v>
      </c>
      <c r="T196" s="284">
        <v>39</v>
      </c>
      <c r="U196" s="284">
        <v>19</v>
      </c>
      <c r="V196" s="284">
        <v>0</v>
      </c>
      <c r="W196" s="284">
        <v>124</v>
      </c>
      <c r="X196" s="284">
        <v>0</v>
      </c>
      <c r="Y196" s="313"/>
      <c r="Z196" s="285">
        <v>25537606.129518159</v>
      </c>
      <c r="AA196" s="286">
        <v>13996340.306403244</v>
      </c>
      <c r="AB196" s="287">
        <v>11488300.815487225</v>
      </c>
      <c r="AC196" s="288">
        <v>8062791.2025188012</v>
      </c>
      <c r="AD196" s="289">
        <v>59085038.45392742</v>
      </c>
      <c r="AE196" s="266"/>
      <c r="AF196" s="285">
        <v>13921540.159327066</v>
      </c>
      <c r="AG196" s="286">
        <v>3626363.7262479872</v>
      </c>
      <c r="AH196" s="286">
        <v>8050548.0535855005</v>
      </c>
      <c r="AI196" s="290">
        <v>6308755.8069852944</v>
      </c>
      <c r="AJ196" s="289">
        <v>31907207.746145844</v>
      </c>
      <c r="AK196" s="291">
        <v>27177830.707781576</v>
      </c>
    </row>
    <row r="197" spans="1:37" x14ac:dyDescent="0.25">
      <c r="A197" s="264" t="s">
        <v>502</v>
      </c>
      <c r="B197" s="264" t="s">
        <v>502</v>
      </c>
      <c r="C197" s="264" t="s">
        <v>1329</v>
      </c>
      <c r="D197" s="264">
        <v>6565956</v>
      </c>
      <c r="E197" s="264" t="s">
        <v>1804</v>
      </c>
      <c r="F197" s="264">
        <v>2018</v>
      </c>
      <c r="G197" s="281">
        <v>19.68</v>
      </c>
      <c r="H197" s="264">
        <v>1.22</v>
      </c>
      <c r="I197" s="282">
        <v>9.1999999999999993</v>
      </c>
      <c r="J197" s="281">
        <v>9.26</v>
      </c>
      <c r="K197" s="281">
        <v>0</v>
      </c>
      <c r="L197" s="264">
        <v>55</v>
      </c>
      <c r="M197" s="282">
        <v>0</v>
      </c>
      <c r="N197" s="281">
        <v>0</v>
      </c>
      <c r="O197" s="281"/>
      <c r="P197" s="263"/>
      <c r="Q197" s="313"/>
      <c r="R197" s="284">
        <v>19.68</v>
      </c>
      <c r="S197" s="284">
        <v>1.22</v>
      </c>
      <c r="T197" s="284">
        <v>9.1999999999999993</v>
      </c>
      <c r="U197" s="284">
        <v>9.26</v>
      </c>
      <c r="V197" s="284">
        <v>0</v>
      </c>
      <c r="W197" s="284">
        <v>55</v>
      </c>
      <c r="X197" s="284">
        <v>0</v>
      </c>
      <c r="Y197" s="313"/>
      <c r="Z197" s="285">
        <v>6188415.2527809115</v>
      </c>
      <c r="AA197" s="286">
        <v>6821374.2756470544</v>
      </c>
      <c r="AB197" s="287">
        <v>5095617.2971919142</v>
      </c>
      <c r="AC197" s="288">
        <v>3576238.0333752749</v>
      </c>
      <c r="AD197" s="289">
        <v>21681644.858995155</v>
      </c>
      <c r="AE197" s="266"/>
      <c r="AF197" s="285">
        <v>6174876.6835724888</v>
      </c>
      <c r="AG197" s="286">
        <v>1608467.7818035427</v>
      </c>
      <c r="AH197" s="286">
        <v>3570807.6044129236</v>
      </c>
      <c r="AI197" s="290">
        <v>2798238.4627757352</v>
      </c>
      <c r="AJ197" s="289">
        <v>14152390.53256469</v>
      </c>
      <c r="AK197" s="291">
        <v>7529254.3264304642</v>
      </c>
    </row>
    <row r="198" spans="1:37" x14ac:dyDescent="0.25">
      <c r="A198" s="264" t="s">
        <v>447</v>
      </c>
      <c r="B198" s="264" t="s">
        <v>447</v>
      </c>
      <c r="C198" s="264" t="s">
        <v>1339</v>
      </c>
      <c r="D198" s="264">
        <v>3754207</v>
      </c>
      <c r="E198" s="264" t="s">
        <v>1879</v>
      </c>
      <c r="F198" s="264">
        <v>2018</v>
      </c>
      <c r="G198" s="281">
        <v>42.26</v>
      </c>
      <c r="H198" s="264">
        <v>3.04</v>
      </c>
      <c r="I198" s="282">
        <v>30.86</v>
      </c>
      <c r="J198" s="281">
        <v>8.36</v>
      </c>
      <c r="K198" s="281">
        <v>0</v>
      </c>
      <c r="L198" s="264">
        <v>78</v>
      </c>
      <c r="M198" s="282">
        <v>0</v>
      </c>
      <c r="N198" s="281">
        <v>0</v>
      </c>
      <c r="O198" s="281">
        <v>0</v>
      </c>
      <c r="P198" s="263"/>
      <c r="Q198" s="313"/>
      <c r="R198" s="284">
        <v>42.26</v>
      </c>
      <c r="S198" s="284">
        <v>3.04</v>
      </c>
      <c r="T198" s="284">
        <v>30.86</v>
      </c>
      <c r="U198" s="284">
        <v>8.36</v>
      </c>
      <c r="V198" s="284">
        <v>0</v>
      </c>
      <c r="W198" s="284">
        <v>78</v>
      </c>
      <c r="X198" s="284">
        <v>0</v>
      </c>
      <c r="Y198" s="313"/>
      <c r="Z198" s="285">
        <v>19686771.924220186</v>
      </c>
      <c r="AA198" s="286">
        <v>6133823.2172180275</v>
      </c>
      <c r="AB198" s="287">
        <v>7122478.9981125928</v>
      </c>
      <c r="AC198" s="288">
        <v>4781113.7803947311</v>
      </c>
      <c r="AD198" s="289">
        <v>37724187.919945538</v>
      </c>
      <c r="AE198" s="266"/>
      <c r="AF198" s="285">
        <v>9365321.1600000001</v>
      </c>
      <c r="AG198" s="286">
        <v>1753603.5074999998</v>
      </c>
      <c r="AH198" s="286">
        <v>4714462.5517241377</v>
      </c>
      <c r="AI198" s="290">
        <v>3978105.3</v>
      </c>
      <c r="AJ198" s="289">
        <v>19811492.519224137</v>
      </c>
      <c r="AK198" s="291">
        <v>17912695.400721401</v>
      </c>
    </row>
    <row r="199" spans="1:37" x14ac:dyDescent="0.25">
      <c r="A199" s="264" t="s">
        <v>1343</v>
      </c>
      <c r="B199" s="264" t="s">
        <v>515</v>
      </c>
      <c r="C199" s="264" t="s">
        <v>1339</v>
      </c>
      <c r="D199" s="264">
        <v>5804478</v>
      </c>
      <c r="E199" s="264" t="s">
        <v>1879</v>
      </c>
      <c r="F199" s="264">
        <v>2018</v>
      </c>
      <c r="G199" s="281">
        <v>31.8</v>
      </c>
      <c r="H199" s="264">
        <v>1.6</v>
      </c>
      <c r="I199" s="282">
        <v>25.5</v>
      </c>
      <c r="J199" s="281">
        <v>4.7</v>
      </c>
      <c r="K199" s="281">
        <v>0</v>
      </c>
      <c r="L199" s="264">
        <v>58</v>
      </c>
      <c r="M199" s="282">
        <v>0</v>
      </c>
      <c r="N199" s="281">
        <v>0</v>
      </c>
      <c r="O199" s="281"/>
      <c r="P199" s="263"/>
      <c r="Q199" s="313"/>
      <c r="R199" s="284">
        <v>31.8</v>
      </c>
      <c r="S199" s="284">
        <v>1.6</v>
      </c>
      <c r="T199" s="284">
        <v>25.5</v>
      </c>
      <c r="U199" s="284">
        <v>4.7</v>
      </c>
      <c r="V199" s="284">
        <v>0</v>
      </c>
      <c r="W199" s="284">
        <v>58</v>
      </c>
      <c r="X199" s="284">
        <v>0</v>
      </c>
      <c r="Y199" s="313"/>
      <c r="Z199" s="285">
        <v>15737802.924671594</v>
      </c>
      <c r="AA199" s="286">
        <v>3448441.2824072647</v>
      </c>
      <c r="AB199" s="287">
        <v>5296202.3319298765</v>
      </c>
      <c r="AC199" s="288">
        <v>3555187.170037108</v>
      </c>
      <c r="AD199" s="289">
        <v>28037633.709045846</v>
      </c>
      <c r="AE199" s="266"/>
      <c r="AF199" s="285">
        <v>6963956.7599999998</v>
      </c>
      <c r="AG199" s="286">
        <v>1303961.5825</v>
      </c>
      <c r="AH199" s="286">
        <v>3505626</v>
      </c>
      <c r="AI199" s="290">
        <v>2958078.3</v>
      </c>
      <c r="AJ199" s="289">
        <v>14731622.642499998</v>
      </c>
      <c r="AK199" s="291">
        <v>13306011.066545848</v>
      </c>
    </row>
    <row r="200" spans="1:37" x14ac:dyDescent="0.25">
      <c r="A200" s="264" t="s">
        <v>519</v>
      </c>
      <c r="B200" s="264" t="s">
        <v>519</v>
      </c>
      <c r="C200" s="264" t="s">
        <v>1339</v>
      </c>
      <c r="D200" s="264">
        <v>5638901</v>
      </c>
      <c r="E200" s="264" t="s">
        <v>1879</v>
      </c>
      <c r="F200" s="264">
        <v>2018</v>
      </c>
      <c r="G200" s="281">
        <v>31</v>
      </c>
      <c r="H200" s="264">
        <v>1.9</v>
      </c>
      <c r="I200" s="282">
        <v>23.7</v>
      </c>
      <c r="J200" s="281">
        <v>5.4</v>
      </c>
      <c r="K200" s="281">
        <v>0</v>
      </c>
      <c r="L200" s="264">
        <v>76</v>
      </c>
      <c r="M200" s="282">
        <v>0</v>
      </c>
      <c r="N200" s="281">
        <v>0</v>
      </c>
      <c r="O200" s="281"/>
      <c r="P200" s="263"/>
      <c r="Q200" s="313"/>
      <c r="R200" s="284">
        <v>31</v>
      </c>
      <c r="S200" s="284">
        <v>1.9</v>
      </c>
      <c r="T200" s="284">
        <v>23.7</v>
      </c>
      <c r="U200" s="284">
        <v>5.4</v>
      </c>
      <c r="V200" s="284">
        <v>0</v>
      </c>
      <c r="W200" s="284">
        <v>76</v>
      </c>
      <c r="X200" s="284">
        <v>0</v>
      </c>
      <c r="Y200" s="313"/>
      <c r="Z200" s="285">
        <v>14866706.821829991</v>
      </c>
      <c r="AA200" s="286">
        <v>3962038.9202126018</v>
      </c>
      <c r="AB200" s="287">
        <v>6939851.3314943211</v>
      </c>
      <c r="AC200" s="288">
        <v>4658521.1193589689</v>
      </c>
      <c r="AD200" s="289">
        <v>30427118.192895882</v>
      </c>
      <c r="AE200" s="266"/>
      <c r="AF200" s="285">
        <v>9125184.7200000007</v>
      </c>
      <c r="AG200" s="286">
        <v>1708639.3149999999</v>
      </c>
      <c r="AH200" s="286">
        <v>4593578.8965517245</v>
      </c>
      <c r="AI200" s="290">
        <v>3876102.6</v>
      </c>
      <c r="AJ200" s="289">
        <v>19303505.531551726</v>
      </c>
      <c r="AK200" s="291">
        <v>11123612.661344156</v>
      </c>
    </row>
    <row r="201" spans="1:37" x14ac:dyDescent="0.25">
      <c r="A201" s="264" t="s">
        <v>942</v>
      </c>
      <c r="B201" s="264" t="s">
        <v>942</v>
      </c>
      <c r="C201" s="264" t="s">
        <v>1337</v>
      </c>
      <c r="D201" s="264">
        <v>1642854</v>
      </c>
      <c r="E201" s="264" t="s">
        <v>1781</v>
      </c>
      <c r="F201" s="264">
        <v>2018</v>
      </c>
      <c r="G201" s="281">
        <v>24.5</v>
      </c>
      <c r="H201" s="264">
        <v>1</v>
      </c>
      <c r="I201" s="282">
        <v>20</v>
      </c>
      <c r="J201" s="281">
        <v>3.5</v>
      </c>
      <c r="K201" s="281">
        <v>0</v>
      </c>
      <c r="L201" s="264">
        <v>50</v>
      </c>
      <c r="M201" s="282">
        <v>0</v>
      </c>
      <c r="N201" s="281">
        <v>0</v>
      </c>
      <c r="O201" s="281"/>
      <c r="P201" s="263"/>
      <c r="Q201" s="313"/>
      <c r="R201" s="284">
        <v>24.5</v>
      </c>
      <c r="S201" s="284">
        <v>1</v>
      </c>
      <c r="T201" s="284">
        <v>20</v>
      </c>
      <c r="U201" s="284">
        <v>3.5</v>
      </c>
      <c r="V201" s="284">
        <v>0</v>
      </c>
      <c r="W201" s="284">
        <v>50</v>
      </c>
      <c r="X201" s="284">
        <v>0</v>
      </c>
      <c r="Y201" s="313"/>
      <c r="Z201" s="285">
        <v>12195345.439782416</v>
      </c>
      <c r="AA201" s="286">
        <v>2567988.1890266864</v>
      </c>
      <c r="AB201" s="287">
        <v>4565691.6654567905</v>
      </c>
      <c r="AC201" s="288">
        <v>3064816.5258940584</v>
      </c>
      <c r="AD201" s="289">
        <v>22393841.820159949</v>
      </c>
      <c r="AE201" s="266"/>
      <c r="AF201" s="285">
        <v>6003411</v>
      </c>
      <c r="AG201" s="286">
        <v>1124104.8125</v>
      </c>
      <c r="AH201" s="286">
        <v>3022091.3793103448</v>
      </c>
      <c r="AI201" s="290">
        <v>2550067.5</v>
      </c>
      <c r="AJ201" s="289">
        <v>12699674.691810345</v>
      </c>
      <c r="AK201" s="291">
        <v>9694167.1283496041</v>
      </c>
    </row>
    <row r="202" spans="1:37" x14ac:dyDescent="0.25">
      <c r="A202" s="264" t="s">
        <v>1531</v>
      </c>
      <c r="B202" s="264" t="s">
        <v>708</v>
      </c>
      <c r="C202" s="264" t="s">
        <v>1740</v>
      </c>
      <c r="D202" s="264">
        <v>3523407</v>
      </c>
      <c r="E202" s="264" t="s">
        <v>1086</v>
      </c>
      <c r="F202" s="264">
        <v>2018</v>
      </c>
      <c r="G202" s="281">
        <v>0</v>
      </c>
      <c r="H202" s="264">
        <v>0</v>
      </c>
      <c r="I202" s="282">
        <v>0</v>
      </c>
      <c r="J202" s="281">
        <v>0</v>
      </c>
      <c r="K202" s="281">
        <v>0</v>
      </c>
      <c r="L202" s="264">
        <v>0</v>
      </c>
      <c r="M202" s="282">
        <v>0</v>
      </c>
      <c r="N202" s="281">
        <v>0</v>
      </c>
      <c r="O202" s="281"/>
      <c r="P202" s="263"/>
      <c r="Q202" s="313"/>
      <c r="R202" s="284">
        <v>0</v>
      </c>
      <c r="S202" s="284">
        <v>0</v>
      </c>
      <c r="T202" s="284">
        <v>0</v>
      </c>
      <c r="U202" s="284">
        <v>0</v>
      </c>
      <c r="V202" s="284">
        <v>0</v>
      </c>
      <c r="W202" s="284">
        <v>0</v>
      </c>
      <c r="X202" s="284">
        <v>0</v>
      </c>
      <c r="Y202" s="313"/>
      <c r="Z202" s="285">
        <v>0</v>
      </c>
      <c r="AA202" s="286">
        <v>0</v>
      </c>
      <c r="AB202" s="287">
        <v>0</v>
      </c>
      <c r="AC202" s="288">
        <v>0</v>
      </c>
      <c r="AD202" s="289">
        <v>0</v>
      </c>
      <c r="AE202" s="266"/>
      <c r="AF202" s="285">
        <v>0</v>
      </c>
      <c r="AG202" s="286">
        <v>0</v>
      </c>
      <c r="AH202" s="286">
        <v>0</v>
      </c>
      <c r="AI202" s="290">
        <v>0</v>
      </c>
      <c r="AJ202" s="289">
        <v>0</v>
      </c>
      <c r="AK202" s="291">
        <v>0</v>
      </c>
    </row>
    <row r="203" spans="1:37" x14ac:dyDescent="0.25">
      <c r="A203" s="264" t="s">
        <v>485</v>
      </c>
      <c r="B203" s="264" t="s">
        <v>485</v>
      </c>
      <c r="C203" s="264" t="s">
        <v>1340</v>
      </c>
      <c r="D203" s="264">
        <v>5220717</v>
      </c>
      <c r="E203" s="264" t="s">
        <v>1086</v>
      </c>
      <c r="F203" s="264">
        <v>2018</v>
      </c>
      <c r="G203" s="281">
        <v>32.520000000000003</v>
      </c>
      <c r="H203" s="264">
        <v>1.1299999999999999</v>
      </c>
      <c r="I203" s="282">
        <v>26.18</v>
      </c>
      <c r="J203" s="281">
        <v>5.21</v>
      </c>
      <c r="K203" s="281">
        <v>0</v>
      </c>
      <c r="L203" s="264">
        <v>40</v>
      </c>
      <c r="M203" s="282">
        <v>0</v>
      </c>
      <c r="N203" s="281">
        <v>0</v>
      </c>
      <c r="O203" s="281"/>
      <c r="P203" s="263"/>
      <c r="Q203" s="313"/>
      <c r="R203" s="284">
        <v>32.520000000000003</v>
      </c>
      <c r="S203" s="284">
        <v>1.1299999999999999</v>
      </c>
      <c r="T203" s="284">
        <v>26.18</v>
      </c>
      <c r="U203" s="284">
        <v>5.21</v>
      </c>
      <c r="V203" s="284">
        <v>0</v>
      </c>
      <c r="W203" s="284">
        <v>40</v>
      </c>
      <c r="X203" s="284">
        <v>0</v>
      </c>
      <c r="Y203" s="313"/>
      <c r="Z203" s="285">
        <v>15859756.379069418</v>
      </c>
      <c r="AA203" s="286">
        <v>3822633.8470940101</v>
      </c>
      <c r="AB203" s="287">
        <v>3652553.3323654323</v>
      </c>
      <c r="AC203" s="288">
        <v>2451853.2207152471</v>
      </c>
      <c r="AD203" s="289">
        <v>25786796.779244106</v>
      </c>
      <c r="AE203" s="266"/>
      <c r="AF203" s="285">
        <v>4802728.8</v>
      </c>
      <c r="AG203" s="286">
        <v>899283.85</v>
      </c>
      <c r="AH203" s="286">
        <v>2417673.1034482759</v>
      </c>
      <c r="AI203" s="290">
        <v>2040054</v>
      </c>
      <c r="AJ203" s="289">
        <v>10159739.753448276</v>
      </c>
      <c r="AK203" s="291">
        <v>15627057.02579583</v>
      </c>
    </row>
    <row r="204" spans="1:37" x14ac:dyDescent="0.25">
      <c r="A204" s="264" t="s">
        <v>435</v>
      </c>
      <c r="B204" s="264" t="s">
        <v>435</v>
      </c>
      <c r="C204" s="264" t="s">
        <v>1342</v>
      </c>
      <c r="D204" s="264">
        <v>5651221</v>
      </c>
      <c r="E204" s="264" t="s">
        <v>1086</v>
      </c>
      <c r="F204" s="264">
        <v>2018</v>
      </c>
      <c r="G204" s="281">
        <v>33</v>
      </c>
      <c r="H204" s="264">
        <v>2</v>
      </c>
      <c r="I204" s="282">
        <v>23</v>
      </c>
      <c r="J204" s="281">
        <v>8</v>
      </c>
      <c r="K204" s="281">
        <v>0</v>
      </c>
      <c r="L204" s="264">
        <v>49</v>
      </c>
      <c r="M204" s="282">
        <v>0</v>
      </c>
      <c r="N204" s="281">
        <v>0</v>
      </c>
      <c r="O204" s="281"/>
      <c r="P204" s="263"/>
      <c r="Q204" s="313"/>
      <c r="R204" s="284">
        <v>33</v>
      </c>
      <c r="S204" s="284">
        <v>2</v>
      </c>
      <c r="T204" s="284">
        <v>23</v>
      </c>
      <c r="U204" s="284">
        <v>8</v>
      </c>
      <c r="V204" s="284">
        <v>0</v>
      </c>
      <c r="W204" s="284">
        <v>49</v>
      </c>
      <c r="X204" s="284">
        <v>0</v>
      </c>
      <c r="Y204" s="313"/>
      <c r="Z204" s="285">
        <v>14518268.380693352</v>
      </c>
      <c r="AA204" s="286">
        <v>5869687.2892038543</v>
      </c>
      <c r="AB204" s="287">
        <v>4474377.8321476541</v>
      </c>
      <c r="AC204" s="288">
        <v>3003520.1953761773</v>
      </c>
      <c r="AD204" s="289">
        <v>27865853.697421037</v>
      </c>
      <c r="AE204" s="266"/>
      <c r="AF204" s="285">
        <v>5883342.7800000003</v>
      </c>
      <c r="AG204" s="286">
        <v>1101622.7162499998</v>
      </c>
      <c r="AH204" s="286">
        <v>2961649.5517241382</v>
      </c>
      <c r="AI204" s="290">
        <v>2499066.15</v>
      </c>
      <c r="AJ204" s="289">
        <v>12445681.197974138</v>
      </c>
      <c r="AK204" s="291">
        <v>15420172.499446899</v>
      </c>
    </row>
    <row r="205" spans="1:37" x14ac:dyDescent="0.25">
      <c r="A205" s="264" t="s">
        <v>472</v>
      </c>
      <c r="B205" s="264" t="s">
        <v>472</v>
      </c>
      <c r="C205" s="264" t="s">
        <v>1338</v>
      </c>
      <c r="D205" s="264">
        <v>1991772</v>
      </c>
      <c r="E205" s="264" t="s">
        <v>1787</v>
      </c>
      <c r="F205" s="264">
        <v>2018</v>
      </c>
      <c r="G205" s="281">
        <v>25.8</v>
      </c>
      <c r="H205" s="264">
        <v>1.4</v>
      </c>
      <c r="I205" s="282">
        <v>18</v>
      </c>
      <c r="J205" s="281">
        <v>6.4</v>
      </c>
      <c r="K205" s="281">
        <v>0</v>
      </c>
      <c r="L205" s="264">
        <v>60</v>
      </c>
      <c r="M205" s="282">
        <v>0</v>
      </c>
      <c r="N205" s="281">
        <v>0</v>
      </c>
      <c r="O205" s="281"/>
      <c r="P205" s="263"/>
      <c r="Q205" s="313"/>
      <c r="R205" s="284">
        <v>25.8</v>
      </c>
      <c r="S205" s="284">
        <v>1.4</v>
      </c>
      <c r="T205" s="284">
        <v>18</v>
      </c>
      <c r="U205" s="284">
        <v>6.4</v>
      </c>
      <c r="V205" s="284">
        <v>0</v>
      </c>
      <c r="W205" s="284">
        <v>60</v>
      </c>
      <c r="X205" s="284">
        <v>0</v>
      </c>
      <c r="Y205" s="313"/>
      <c r="Z205" s="285">
        <v>11266176.263418041</v>
      </c>
      <c r="AA205" s="286">
        <v>4695749.8313630838</v>
      </c>
      <c r="AB205" s="287">
        <v>5478829.9985481482</v>
      </c>
      <c r="AC205" s="288">
        <v>3677779.8310728702</v>
      </c>
      <c r="AD205" s="289">
        <v>25118535.924402144</v>
      </c>
      <c r="AE205" s="266"/>
      <c r="AF205" s="285">
        <v>7204093.2000000002</v>
      </c>
      <c r="AG205" s="286">
        <v>1348925.7749999999</v>
      </c>
      <c r="AH205" s="286">
        <v>3626509.6551724141</v>
      </c>
      <c r="AI205" s="290">
        <v>3060081</v>
      </c>
      <c r="AJ205" s="289">
        <v>15239609.630172413</v>
      </c>
      <c r="AK205" s="291">
        <v>9878926.294229731</v>
      </c>
    </row>
    <row r="206" spans="1:37" x14ac:dyDescent="0.25">
      <c r="A206" s="264" t="s">
        <v>440</v>
      </c>
      <c r="B206" s="264" t="s">
        <v>440</v>
      </c>
      <c r="C206" s="264" t="s">
        <v>1335</v>
      </c>
      <c r="D206" s="264">
        <v>1450637</v>
      </c>
      <c r="E206" s="264" t="s">
        <v>1796</v>
      </c>
      <c r="F206" s="264">
        <v>2018</v>
      </c>
      <c r="G206" s="281">
        <v>50</v>
      </c>
      <c r="H206" s="264">
        <v>2</v>
      </c>
      <c r="I206" s="282">
        <v>36</v>
      </c>
      <c r="J206" s="281">
        <v>12</v>
      </c>
      <c r="K206" s="281">
        <v>0</v>
      </c>
      <c r="L206" s="264">
        <v>81</v>
      </c>
      <c r="M206" s="282">
        <v>0</v>
      </c>
      <c r="N206" s="281">
        <v>0</v>
      </c>
      <c r="O206" s="281"/>
      <c r="P206" s="263"/>
      <c r="Q206" s="313"/>
      <c r="R206" s="284">
        <v>50</v>
      </c>
      <c r="S206" s="284">
        <v>2</v>
      </c>
      <c r="T206" s="284">
        <v>36</v>
      </c>
      <c r="U206" s="284">
        <v>12</v>
      </c>
      <c r="V206" s="284">
        <v>0</v>
      </c>
      <c r="W206" s="284">
        <v>81</v>
      </c>
      <c r="X206" s="284">
        <v>0</v>
      </c>
      <c r="Y206" s="313"/>
      <c r="Z206" s="285">
        <v>22067767.938653894</v>
      </c>
      <c r="AA206" s="286">
        <v>8804530.9338057823</v>
      </c>
      <c r="AB206" s="287">
        <v>7396420.49804</v>
      </c>
      <c r="AC206" s="288">
        <v>4965002.7719483748</v>
      </c>
      <c r="AD206" s="289">
        <v>43233722.142448053</v>
      </c>
      <c r="AE206" s="266"/>
      <c r="AF206" s="285">
        <v>9725525.8200000003</v>
      </c>
      <c r="AG206" s="286">
        <v>1821049.7962499999</v>
      </c>
      <c r="AH206" s="286">
        <v>4895788.0344827585</v>
      </c>
      <c r="AI206" s="290">
        <v>4131109.35</v>
      </c>
      <c r="AJ206" s="289">
        <v>20573473.000732761</v>
      </c>
      <c r="AK206" s="291">
        <v>22660249.141715292</v>
      </c>
    </row>
    <row r="207" spans="1:37" x14ac:dyDescent="0.25">
      <c r="A207" s="264" t="s">
        <v>1332</v>
      </c>
      <c r="B207" s="264" t="s">
        <v>384</v>
      </c>
      <c r="C207" s="264" t="s">
        <v>1344</v>
      </c>
      <c r="D207" s="264">
        <v>8936486</v>
      </c>
      <c r="E207" s="264" t="s">
        <v>1799</v>
      </c>
      <c r="F207" s="264">
        <v>2018</v>
      </c>
      <c r="G207" s="281">
        <v>7.2</v>
      </c>
      <c r="H207" s="264">
        <v>0.15</v>
      </c>
      <c r="I207" s="282">
        <v>4.25</v>
      </c>
      <c r="J207" s="281">
        <v>2.8</v>
      </c>
      <c r="K207" s="281">
        <v>0</v>
      </c>
      <c r="L207" s="264">
        <v>10</v>
      </c>
      <c r="M207" s="282">
        <v>0</v>
      </c>
      <c r="N207" s="281">
        <v>0</v>
      </c>
      <c r="O207" s="281"/>
      <c r="P207" s="263"/>
      <c r="Q207" s="313"/>
      <c r="R207" s="284">
        <v>7.2</v>
      </c>
      <c r="S207" s="284">
        <v>0.15</v>
      </c>
      <c r="T207" s="284">
        <v>4.25</v>
      </c>
      <c r="U207" s="284">
        <v>2.8</v>
      </c>
      <c r="V207" s="284">
        <v>0</v>
      </c>
      <c r="W207" s="284">
        <v>10</v>
      </c>
      <c r="X207" s="284">
        <v>0</v>
      </c>
      <c r="Y207" s="313"/>
      <c r="Z207" s="285">
        <v>2555215.2350020302</v>
      </c>
      <c r="AA207" s="286">
        <v>2054390.5512213488</v>
      </c>
      <c r="AB207" s="287">
        <v>913138.33309135807</v>
      </c>
      <c r="AC207" s="288">
        <v>612963.30517881177</v>
      </c>
      <c r="AD207" s="289">
        <v>6135707.4244935485</v>
      </c>
      <c r="AE207" s="266"/>
      <c r="AF207" s="285">
        <v>1200682.2</v>
      </c>
      <c r="AG207" s="286">
        <v>224820.96249999999</v>
      </c>
      <c r="AH207" s="286">
        <v>604418.27586206899</v>
      </c>
      <c r="AI207" s="290">
        <v>510013.5</v>
      </c>
      <c r="AJ207" s="289">
        <v>2539934.938362069</v>
      </c>
      <c r="AK207" s="291">
        <v>3595772.4861314795</v>
      </c>
    </row>
    <row r="208" spans="1:37" x14ac:dyDescent="0.25">
      <c r="A208" s="264" t="s">
        <v>502</v>
      </c>
      <c r="B208" s="264" t="s">
        <v>502</v>
      </c>
      <c r="C208" s="264" t="s">
        <v>1344</v>
      </c>
      <c r="D208" s="264">
        <v>9924037</v>
      </c>
      <c r="E208" s="264" t="s">
        <v>1799</v>
      </c>
      <c r="F208" s="264">
        <v>2018</v>
      </c>
      <c r="G208" s="281">
        <v>7.3</v>
      </c>
      <c r="H208" s="264">
        <v>0.15</v>
      </c>
      <c r="I208" s="282">
        <v>5.5</v>
      </c>
      <c r="J208" s="281">
        <v>1.65</v>
      </c>
      <c r="K208" s="281">
        <v>0</v>
      </c>
      <c r="L208" s="264">
        <v>10</v>
      </c>
      <c r="M208" s="282">
        <v>0</v>
      </c>
      <c r="N208" s="281">
        <v>0</v>
      </c>
      <c r="O208" s="281"/>
      <c r="P208" s="263"/>
      <c r="Q208" s="313"/>
      <c r="R208" s="284">
        <v>7.3</v>
      </c>
      <c r="S208" s="284">
        <v>0.15</v>
      </c>
      <c r="T208" s="284">
        <v>5.5</v>
      </c>
      <c r="U208" s="284">
        <v>1.65</v>
      </c>
      <c r="V208" s="284">
        <v>0</v>
      </c>
      <c r="W208" s="284">
        <v>10</v>
      </c>
      <c r="X208" s="284">
        <v>0</v>
      </c>
      <c r="Y208" s="313"/>
      <c r="Z208" s="285">
        <v>3281128.6540366979</v>
      </c>
      <c r="AA208" s="286">
        <v>1210623.0033982948</v>
      </c>
      <c r="AB208" s="287">
        <v>913138.33309135807</v>
      </c>
      <c r="AC208" s="288">
        <v>612963.30517881177</v>
      </c>
      <c r="AD208" s="289">
        <v>6017853.295705162</v>
      </c>
      <c r="AE208" s="266"/>
      <c r="AF208" s="285">
        <v>1200682.2</v>
      </c>
      <c r="AG208" s="286">
        <v>224820.96249999999</v>
      </c>
      <c r="AH208" s="286">
        <v>604418.27586206899</v>
      </c>
      <c r="AI208" s="290">
        <v>510013.5</v>
      </c>
      <c r="AJ208" s="289">
        <v>2539934.938362069</v>
      </c>
      <c r="AK208" s="291">
        <v>3477918.357343093</v>
      </c>
    </row>
    <row r="209" spans="1:37" x14ac:dyDescent="0.25">
      <c r="A209" s="264" t="s">
        <v>1010</v>
      </c>
      <c r="B209" s="264" t="s">
        <v>1010</v>
      </c>
      <c r="C209" s="264" t="s">
        <v>1349</v>
      </c>
      <c r="D209" s="264">
        <v>4497017</v>
      </c>
      <c r="E209" s="264" t="s">
        <v>1879</v>
      </c>
      <c r="F209" s="264">
        <v>2018</v>
      </c>
      <c r="G209" s="281">
        <v>5.5</v>
      </c>
      <c r="H209" s="264">
        <v>0.5</v>
      </c>
      <c r="I209" s="282">
        <v>5</v>
      </c>
      <c r="J209" s="281">
        <v>0</v>
      </c>
      <c r="K209" s="281">
        <v>0</v>
      </c>
      <c r="L209" s="264">
        <v>8</v>
      </c>
      <c r="M209" s="282">
        <v>0</v>
      </c>
      <c r="N209" s="281">
        <v>0</v>
      </c>
      <c r="O209" s="281"/>
      <c r="P209" s="263"/>
      <c r="Q209" s="313"/>
      <c r="R209" s="284">
        <v>5.5</v>
      </c>
      <c r="S209" s="284">
        <v>0.5</v>
      </c>
      <c r="T209" s="284">
        <v>5</v>
      </c>
      <c r="U209" s="284">
        <v>0</v>
      </c>
      <c r="V209" s="284">
        <v>0</v>
      </c>
      <c r="W209" s="284">
        <v>8</v>
      </c>
      <c r="X209" s="284">
        <v>0</v>
      </c>
      <c r="Y209" s="313"/>
      <c r="Z209" s="285">
        <v>3217202.332314474</v>
      </c>
      <c r="AA209" s="286">
        <v>0</v>
      </c>
      <c r="AB209" s="287">
        <v>428354.31130111648</v>
      </c>
      <c r="AC209" s="288">
        <v>142889.46133333334</v>
      </c>
      <c r="AD209" s="289">
        <v>3788446.1049489239</v>
      </c>
      <c r="AE209" s="266"/>
      <c r="AF209" s="285">
        <v>409851.97164948453</v>
      </c>
      <c r="AG209" s="286">
        <v>0</v>
      </c>
      <c r="AH209" s="286">
        <v>346258.16000000003</v>
      </c>
      <c r="AI209" s="290">
        <v>150451.5</v>
      </c>
      <c r="AJ209" s="289">
        <v>906561.63164948463</v>
      </c>
      <c r="AK209" s="291">
        <v>2881884.4732994391</v>
      </c>
    </row>
    <row r="210" spans="1:37" x14ac:dyDescent="0.25">
      <c r="A210" s="264" t="s">
        <v>1351</v>
      </c>
      <c r="B210" s="264" t="s">
        <v>1247</v>
      </c>
      <c r="C210" s="264" t="s">
        <v>1349</v>
      </c>
      <c r="D210" s="264">
        <v>5871375</v>
      </c>
      <c r="E210" s="264" t="s">
        <v>1879</v>
      </c>
      <c r="F210" s="264">
        <v>2018</v>
      </c>
      <c r="G210" s="281">
        <v>12.1</v>
      </c>
      <c r="H210" s="264">
        <v>4.0999999999999996</v>
      </c>
      <c r="I210" s="282">
        <v>8</v>
      </c>
      <c r="J210" s="281">
        <v>0</v>
      </c>
      <c r="K210" s="281">
        <v>0</v>
      </c>
      <c r="L210" s="264">
        <v>17</v>
      </c>
      <c r="M210" s="282">
        <v>0</v>
      </c>
      <c r="N210" s="281">
        <v>0</v>
      </c>
      <c r="O210" s="281"/>
      <c r="P210" s="263"/>
      <c r="Q210" s="313"/>
      <c r="R210" s="284">
        <v>12.1</v>
      </c>
      <c r="S210" s="284">
        <v>4.0999999999999996</v>
      </c>
      <c r="T210" s="284">
        <v>8</v>
      </c>
      <c r="U210" s="284">
        <v>0</v>
      </c>
      <c r="V210" s="284">
        <v>0</v>
      </c>
      <c r="W210" s="284">
        <v>17</v>
      </c>
      <c r="X210" s="284">
        <v>0</v>
      </c>
      <c r="Y210" s="313"/>
      <c r="Z210" s="285">
        <v>7077845.1310918424</v>
      </c>
      <c r="AA210" s="286">
        <v>0</v>
      </c>
      <c r="AB210" s="287">
        <v>910252.91151487257</v>
      </c>
      <c r="AC210" s="288">
        <v>303640.10533333337</v>
      </c>
      <c r="AD210" s="289">
        <v>8291738.1479400489</v>
      </c>
      <c r="AE210" s="266"/>
      <c r="AF210" s="285">
        <v>655763.15463917528</v>
      </c>
      <c r="AG210" s="286">
        <v>0</v>
      </c>
      <c r="AH210" s="286">
        <v>735798.59000000008</v>
      </c>
      <c r="AI210" s="290">
        <v>319709.4375</v>
      </c>
      <c r="AJ210" s="289">
        <v>1711271.1821391755</v>
      </c>
      <c r="AK210" s="291">
        <v>6580466.9658008739</v>
      </c>
    </row>
    <row r="211" spans="1:37" x14ac:dyDescent="0.25">
      <c r="A211" s="264" t="s">
        <v>519</v>
      </c>
      <c r="B211" s="264" t="s">
        <v>519</v>
      </c>
      <c r="C211" s="264" t="s">
        <v>1345</v>
      </c>
      <c r="D211" s="264">
        <v>1576566</v>
      </c>
      <c r="E211" s="264" t="s">
        <v>1879</v>
      </c>
      <c r="F211" s="264">
        <v>2018</v>
      </c>
      <c r="G211" s="281">
        <v>3.4</v>
      </c>
      <c r="H211" s="264">
        <v>0.4</v>
      </c>
      <c r="I211" s="282">
        <v>3</v>
      </c>
      <c r="J211" s="281">
        <v>0</v>
      </c>
      <c r="K211" s="281">
        <v>0</v>
      </c>
      <c r="L211" s="264">
        <v>8</v>
      </c>
      <c r="M211" s="282">
        <v>0</v>
      </c>
      <c r="N211" s="281">
        <v>0</v>
      </c>
      <c r="O211" s="281"/>
      <c r="P211" s="263"/>
      <c r="Q211" s="313"/>
      <c r="R211" s="284">
        <v>3.4</v>
      </c>
      <c r="S211" s="284">
        <v>0.4</v>
      </c>
      <c r="T211" s="284">
        <v>3</v>
      </c>
      <c r="U211" s="284">
        <v>0</v>
      </c>
      <c r="V211" s="284">
        <v>0</v>
      </c>
      <c r="W211" s="284">
        <v>8</v>
      </c>
      <c r="X211" s="284">
        <v>0</v>
      </c>
      <c r="Y211" s="313"/>
      <c r="Z211" s="285">
        <v>1988815.9872489474</v>
      </c>
      <c r="AA211" s="286">
        <v>0</v>
      </c>
      <c r="AB211" s="287">
        <v>428354.31130111648</v>
      </c>
      <c r="AC211" s="288">
        <v>142889.46133333334</v>
      </c>
      <c r="AD211" s="289">
        <v>2560059.7598833973</v>
      </c>
      <c r="AE211" s="266"/>
      <c r="AF211" s="285">
        <v>245911.18298969074</v>
      </c>
      <c r="AG211" s="286">
        <v>0</v>
      </c>
      <c r="AH211" s="286">
        <v>346258.16000000003</v>
      </c>
      <c r="AI211" s="290">
        <v>150451.5</v>
      </c>
      <c r="AJ211" s="289">
        <v>742620.84298969083</v>
      </c>
      <c r="AK211" s="291">
        <v>1817438.9168937064</v>
      </c>
    </row>
    <row r="212" spans="1:37" x14ac:dyDescent="0.25">
      <c r="A212" s="264" t="s">
        <v>509</v>
      </c>
      <c r="B212" s="264" t="s">
        <v>509</v>
      </c>
      <c r="C212" s="264" t="s">
        <v>1347</v>
      </c>
      <c r="D212" s="264">
        <v>4007320</v>
      </c>
      <c r="E212" s="264" t="s">
        <v>1879</v>
      </c>
      <c r="F212" s="264">
        <v>2018</v>
      </c>
      <c r="G212" s="281">
        <v>1.7</v>
      </c>
      <c r="H212" s="264">
        <v>0.1</v>
      </c>
      <c r="I212" s="282">
        <v>1.6</v>
      </c>
      <c r="J212" s="281">
        <v>0</v>
      </c>
      <c r="K212" s="281">
        <v>0</v>
      </c>
      <c r="L212" s="264">
        <v>4</v>
      </c>
      <c r="M212" s="282">
        <v>0</v>
      </c>
      <c r="N212" s="281">
        <v>0</v>
      </c>
      <c r="O212" s="281"/>
      <c r="P212" s="263"/>
      <c r="Q212" s="313"/>
      <c r="R212" s="284">
        <v>1.7</v>
      </c>
      <c r="S212" s="284">
        <v>0.1</v>
      </c>
      <c r="T212" s="284">
        <v>1.6</v>
      </c>
      <c r="U212" s="284">
        <v>0</v>
      </c>
      <c r="V212" s="284">
        <v>0</v>
      </c>
      <c r="W212" s="284">
        <v>4</v>
      </c>
      <c r="X212" s="284">
        <v>0</v>
      </c>
      <c r="Y212" s="313"/>
      <c r="Z212" s="285">
        <v>994407.99362447369</v>
      </c>
      <c r="AA212" s="286">
        <v>0</v>
      </c>
      <c r="AB212" s="287">
        <v>214177.15565055824</v>
      </c>
      <c r="AC212" s="288">
        <v>71444.73066666667</v>
      </c>
      <c r="AD212" s="289">
        <v>1280029.8799416986</v>
      </c>
      <c r="AE212" s="266"/>
      <c r="AF212" s="285">
        <v>131152.63092783507</v>
      </c>
      <c r="AG212" s="286">
        <v>0</v>
      </c>
      <c r="AH212" s="286">
        <v>173129.08000000002</v>
      </c>
      <c r="AI212" s="290">
        <v>75225.75</v>
      </c>
      <c r="AJ212" s="289">
        <v>379507.46092783508</v>
      </c>
      <c r="AK212" s="291">
        <v>900522.41901386355</v>
      </c>
    </row>
    <row r="213" spans="1:37" x14ac:dyDescent="0.25">
      <c r="A213" s="264" t="s">
        <v>769</v>
      </c>
      <c r="B213" s="264" t="s">
        <v>425</v>
      </c>
      <c r="C213" s="264" t="s">
        <v>1347</v>
      </c>
      <c r="D213" s="264">
        <v>6514817</v>
      </c>
      <c r="E213" s="264" t="s">
        <v>1879</v>
      </c>
      <c r="F213" s="264">
        <v>2018</v>
      </c>
      <c r="G213" s="281">
        <v>1.3</v>
      </c>
      <c r="H213" s="264">
        <v>0.3</v>
      </c>
      <c r="I213" s="282">
        <v>1</v>
      </c>
      <c r="J213" s="281">
        <v>0</v>
      </c>
      <c r="K213" s="281">
        <v>0</v>
      </c>
      <c r="L213" s="264">
        <v>3</v>
      </c>
      <c r="M213" s="282">
        <v>0</v>
      </c>
      <c r="N213" s="281">
        <v>0</v>
      </c>
      <c r="O213" s="281"/>
      <c r="P213" s="263"/>
      <c r="Q213" s="313"/>
      <c r="R213" s="284">
        <v>1.3</v>
      </c>
      <c r="S213" s="284">
        <v>0.3</v>
      </c>
      <c r="T213" s="284">
        <v>1</v>
      </c>
      <c r="U213" s="284">
        <v>0</v>
      </c>
      <c r="V213" s="284">
        <v>0</v>
      </c>
      <c r="W213" s="284">
        <v>3</v>
      </c>
      <c r="X213" s="284">
        <v>0</v>
      </c>
      <c r="Y213" s="313"/>
      <c r="Z213" s="285">
        <v>760429.64218342118</v>
      </c>
      <c r="AA213" s="286">
        <v>0</v>
      </c>
      <c r="AB213" s="287">
        <v>160632.8667379187</v>
      </c>
      <c r="AC213" s="288">
        <v>53583.548000000003</v>
      </c>
      <c r="AD213" s="289">
        <v>974646.05692133983</v>
      </c>
      <c r="AE213" s="266"/>
      <c r="AF213" s="285">
        <v>81970.39432989691</v>
      </c>
      <c r="AG213" s="286">
        <v>0</v>
      </c>
      <c r="AH213" s="286">
        <v>129846.81000000001</v>
      </c>
      <c r="AI213" s="290">
        <v>56419.3125</v>
      </c>
      <c r="AJ213" s="289">
        <v>268236.51682989695</v>
      </c>
      <c r="AK213" s="291">
        <v>706409.54009144288</v>
      </c>
    </row>
    <row r="214" spans="1:37" x14ac:dyDescent="0.25">
      <c r="A214" s="264" t="s">
        <v>769</v>
      </c>
      <c r="B214" s="264" t="s">
        <v>947</v>
      </c>
      <c r="C214" s="264" t="s">
        <v>1350</v>
      </c>
      <c r="D214" s="264">
        <v>5703553</v>
      </c>
      <c r="E214" s="264" t="s">
        <v>1781</v>
      </c>
      <c r="F214" s="264">
        <v>2018</v>
      </c>
      <c r="G214" s="281">
        <v>3.82</v>
      </c>
      <c r="H214" s="264">
        <v>0.1</v>
      </c>
      <c r="I214" s="282">
        <v>3.72</v>
      </c>
      <c r="J214" s="281">
        <v>0</v>
      </c>
      <c r="K214" s="281">
        <v>0</v>
      </c>
      <c r="L214" s="264">
        <v>11</v>
      </c>
      <c r="M214" s="282">
        <v>0</v>
      </c>
      <c r="N214" s="281">
        <v>0</v>
      </c>
      <c r="O214" s="281"/>
      <c r="P214" s="263"/>
      <c r="Q214" s="313"/>
      <c r="R214" s="284">
        <v>3.82</v>
      </c>
      <c r="S214" s="284">
        <v>0.1</v>
      </c>
      <c r="T214" s="284">
        <v>3.72</v>
      </c>
      <c r="U214" s="284">
        <v>0</v>
      </c>
      <c r="V214" s="284">
        <v>0</v>
      </c>
      <c r="W214" s="284">
        <v>11</v>
      </c>
      <c r="X214" s="284">
        <v>0</v>
      </c>
      <c r="Y214" s="313"/>
      <c r="Z214" s="285">
        <v>2234493.2562620528</v>
      </c>
      <c r="AA214" s="286">
        <v>0</v>
      </c>
      <c r="AB214" s="287">
        <v>588987.17803903518</v>
      </c>
      <c r="AC214" s="288">
        <v>196473.00933333335</v>
      </c>
      <c r="AD214" s="289">
        <v>3019953.4436344216</v>
      </c>
      <c r="AE214" s="266"/>
      <c r="AF214" s="285">
        <v>304929.86690721649</v>
      </c>
      <c r="AG214" s="286">
        <v>0</v>
      </c>
      <c r="AH214" s="286">
        <v>476104.97000000003</v>
      </c>
      <c r="AI214" s="290">
        <v>206870.8125</v>
      </c>
      <c r="AJ214" s="289">
        <v>987905.64940721658</v>
      </c>
      <c r="AK214" s="291">
        <v>2032047.794227205</v>
      </c>
    </row>
    <row r="215" spans="1:37" x14ac:dyDescent="0.25">
      <c r="A215" s="264" t="s">
        <v>1355</v>
      </c>
      <c r="B215" s="264" t="s">
        <v>760</v>
      </c>
      <c r="C215" s="264" t="s">
        <v>1354</v>
      </c>
      <c r="D215" s="264">
        <v>6627771</v>
      </c>
      <c r="E215" s="264" t="s">
        <v>1086</v>
      </c>
      <c r="F215" s="264">
        <v>2018</v>
      </c>
      <c r="G215" s="305">
        <v>0.3</v>
      </c>
      <c r="H215" s="305">
        <v>0.1</v>
      </c>
      <c r="I215" s="305">
        <v>0.2</v>
      </c>
      <c r="J215" s="305">
        <v>0</v>
      </c>
      <c r="K215" s="305">
        <v>0</v>
      </c>
      <c r="L215" s="264">
        <v>2</v>
      </c>
      <c r="M215" s="282">
        <v>0</v>
      </c>
      <c r="N215" s="281">
        <v>0</v>
      </c>
      <c r="O215" s="281"/>
      <c r="P215" s="263"/>
      <c r="Q215" s="313"/>
      <c r="R215" s="284">
        <v>0.3</v>
      </c>
      <c r="S215" s="284">
        <v>0.1</v>
      </c>
      <c r="T215" s="284">
        <v>0.2</v>
      </c>
      <c r="U215" s="284">
        <v>0</v>
      </c>
      <c r="V215" s="284">
        <v>0</v>
      </c>
      <c r="W215" s="284">
        <v>2</v>
      </c>
      <c r="X215" s="284">
        <v>0</v>
      </c>
      <c r="Y215" s="313"/>
      <c r="Z215" s="285">
        <v>175483.76358078947</v>
      </c>
      <c r="AA215" s="286">
        <v>0</v>
      </c>
      <c r="AB215" s="287">
        <v>107088.57782527912</v>
      </c>
      <c r="AC215" s="288">
        <v>35722.365333333335</v>
      </c>
      <c r="AD215" s="289">
        <v>318294.70673940191</v>
      </c>
      <c r="AE215" s="266"/>
      <c r="AF215" s="285">
        <v>16394.078865979383</v>
      </c>
      <c r="AG215" s="286">
        <v>0</v>
      </c>
      <c r="AH215" s="286">
        <v>86564.540000000008</v>
      </c>
      <c r="AI215" s="290">
        <v>37612.875</v>
      </c>
      <c r="AJ215" s="289">
        <v>140571.4938659794</v>
      </c>
      <c r="AK215" s="291">
        <v>177723.21287342251</v>
      </c>
    </row>
    <row r="216" spans="1:37" x14ac:dyDescent="0.25">
      <c r="A216" s="264" t="s">
        <v>769</v>
      </c>
      <c r="B216" s="264" t="s">
        <v>425</v>
      </c>
      <c r="C216" s="264" t="s">
        <v>1352</v>
      </c>
      <c r="D216" s="264">
        <v>6514817</v>
      </c>
      <c r="E216" s="264" t="s">
        <v>1787</v>
      </c>
      <c r="F216" s="264">
        <v>2018</v>
      </c>
      <c r="G216" s="281">
        <v>5.3</v>
      </c>
      <c r="H216" s="264">
        <v>0.3</v>
      </c>
      <c r="I216" s="282">
        <v>5</v>
      </c>
      <c r="J216" s="281">
        <v>0</v>
      </c>
      <c r="K216" s="281">
        <v>0</v>
      </c>
      <c r="L216" s="264">
        <v>6</v>
      </c>
      <c r="M216" s="282">
        <v>0</v>
      </c>
      <c r="N216" s="281">
        <v>0</v>
      </c>
      <c r="O216" s="281"/>
      <c r="P216" s="263"/>
      <c r="Q216" s="313"/>
      <c r="R216" s="284">
        <v>5.3</v>
      </c>
      <c r="S216" s="284">
        <v>0.3</v>
      </c>
      <c r="T216" s="284">
        <v>5</v>
      </c>
      <c r="U216" s="284">
        <v>0</v>
      </c>
      <c r="V216" s="284">
        <v>0</v>
      </c>
      <c r="W216" s="284">
        <v>6</v>
      </c>
      <c r="X216" s="284">
        <v>0</v>
      </c>
      <c r="Y216" s="313"/>
      <c r="Z216" s="285">
        <v>3100213.1565939477</v>
      </c>
      <c r="AA216" s="286">
        <v>0</v>
      </c>
      <c r="AB216" s="287">
        <v>321265.73347583739</v>
      </c>
      <c r="AC216" s="288">
        <v>107167.09600000001</v>
      </c>
      <c r="AD216" s="289">
        <v>3528645.986069785</v>
      </c>
      <c r="AE216" s="266"/>
      <c r="AF216" s="285">
        <v>409851.97164948453</v>
      </c>
      <c r="AG216" s="286">
        <v>0</v>
      </c>
      <c r="AH216" s="286">
        <v>259693.62000000002</v>
      </c>
      <c r="AI216" s="290">
        <v>112838.625</v>
      </c>
      <c r="AJ216" s="289">
        <v>782384.21664948459</v>
      </c>
      <c r="AK216" s="291">
        <v>2746261.7694203006</v>
      </c>
    </row>
    <row r="217" spans="1:37" x14ac:dyDescent="0.25">
      <c r="A217" s="264" t="s">
        <v>769</v>
      </c>
      <c r="B217" s="264" t="s">
        <v>425</v>
      </c>
      <c r="C217" s="264" t="s">
        <v>1353</v>
      </c>
      <c r="D217" s="264">
        <v>6514817</v>
      </c>
      <c r="E217" s="264" t="s">
        <v>1787</v>
      </c>
      <c r="F217" s="264">
        <v>2018</v>
      </c>
      <c r="G217" s="281">
        <v>3.3</v>
      </c>
      <c r="H217" s="264">
        <v>0.3</v>
      </c>
      <c r="I217" s="282">
        <v>3</v>
      </c>
      <c r="J217" s="281">
        <v>0</v>
      </c>
      <c r="K217" s="281">
        <v>0</v>
      </c>
      <c r="L217" s="264">
        <v>8</v>
      </c>
      <c r="M217" s="282">
        <v>0</v>
      </c>
      <c r="N217" s="281">
        <v>0</v>
      </c>
      <c r="O217" s="281"/>
      <c r="P217" s="263"/>
      <c r="Q217" s="313"/>
      <c r="R217" s="284">
        <v>3.3</v>
      </c>
      <c r="S217" s="284">
        <v>0.3</v>
      </c>
      <c r="T217" s="284">
        <v>3</v>
      </c>
      <c r="U217" s="284">
        <v>0</v>
      </c>
      <c r="V217" s="284">
        <v>0</v>
      </c>
      <c r="W217" s="284">
        <v>8</v>
      </c>
      <c r="X217" s="284">
        <v>0</v>
      </c>
      <c r="Y217" s="313"/>
      <c r="Z217" s="285">
        <v>1930321.3993886842</v>
      </c>
      <c r="AA217" s="286">
        <v>0</v>
      </c>
      <c r="AB217" s="287">
        <v>428354.31130111648</v>
      </c>
      <c r="AC217" s="288">
        <v>142889.46133333334</v>
      </c>
      <c r="AD217" s="289">
        <v>2501565.1720231343</v>
      </c>
      <c r="AE217" s="266"/>
      <c r="AF217" s="285">
        <v>245911.18298969074</v>
      </c>
      <c r="AG217" s="286">
        <v>0</v>
      </c>
      <c r="AH217" s="286">
        <v>346258.16000000003</v>
      </c>
      <c r="AI217" s="290">
        <v>150451.5</v>
      </c>
      <c r="AJ217" s="289">
        <v>742620.84298969083</v>
      </c>
      <c r="AK217" s="291">
        <v>1758944.3290334435</v>
      </c>
    </row>
    <row r="218" spans="1:37" x14ac:dyDescent="0.25">
      <c r="A218" s="264" t="s">
        <v>485</v>
      </c>
      <c r="B218" s="264" t="s">
        <v>485</v>
      </c>
      <c r="C218" s="264" t="s">
        <v>1348</v>
      </c>
      <c r="D218" s="264">
        <v>4382500</v>
      </c>
      <c r="E218" s="264" t="s">
        <v>1796</v>
      </c>
      <c r="F218" s="264">
        <v>2018</v>
      </c>
      <c r="G218" s="281">
        <v>1.6</v>
      </c>
      <c r="H218" s="264">
        <v>0.2</v>
      </c>
      <c r="I218" s="282">
        <v>1.4</v>
      </c>
      <c r="J218" s="281">
        <v>0</v>
      </c>
      <c r="K218" s="281">
        <v>0</v>
      </c>
      <c r="L218" s="264">
        <v>4</v>
      </c>
      <c r="M218" s="282">
        <v>0</v>
      </c>
      <c r="N218" s="281">
        <v>0</v>
      </c>
      <c r="O218" s="281"/>
      <c r="P218" s="263"/>
      <c r="Q218" s="313"/>
      <c r="R218" s="284">
        <v>1.6</v>
      </c>
      <c r="S218" s="284">
        <v>0.2</v>
      </c>
      <c r="T218" s="284">
        <v>1.4</v>
      </c>
      <c r="U218" s="284">
        <v>0</v>
      </c>
      <c r="V218" s="284">
        <v>0</v>
      </c>
      <c r="W218" s="284">
        <v>4</v>
      </c>
      <c r="X218" s="284">
        <v>0</v>
      </c>
      <c r="Y218" s="313"/>
      <c r="Z218" s="285">
        <v>935913.40576421062</v>
      </c>
      <c r="AA218" s="286">
        <v>0</v>
      </c>
      <c r="AB218" s="287">
        <v>214177.15565055824</v>
      </c>
      <c r="AC218" s="288">
        <v>71444.73066666667</v>
      </c>
      <c r="AD218" s="289">
        <v>1221535.2920814357</v>
      </c>
      <c r="AE218" s="266"/>
      <c r="AF218" s="285">
        <v>114758.55206185566</v>
      </c>
      <c r="AG218" s="286">
        <v>0</v>
      </c>
      <c r="AH218" s="286">
        <v>173129.08000000002</v>
      </c>
      <c r="AI218" s="290">
        <v>75225.75</v>
      </c>
      <c r="AJ218" s="289">
        <v>363113.38206185569</v>
      </c>
      <c r="AK218" s="291">
        <v>858421.91001958004</v>
      </c>
    </row>
    <row r="219" spans="1:37" x14ac:dyDescent="0.25">
      <c r="A219" s="264" t="s">
        <v>1357</v>
      </c>
      <c r="B219" s="264" t="s">
        <v>922</v>
      </c>
      <c r="C219" s="264" t="s">
        <v>1356</v>
      </c>
      <c r="D219" s="264">
        <v>8051895</v>
      </c>
      <c r="E219" s="264" t="s">
        <v>1796</v>
      </c>
      <c r="F219" s="264">
        <v>2018</v>
      </c>
      <c r="G219" s="281">
        <v>6.85</v>
      </c>
      <c r="H219" s="264">
        <v>0.6</v>
      </c>
      <c r="I219" s="282">
        <v>6.25</v>
      </c>
      <c r="J219" s="281">
        <v>0</v>
      </c>
      <c r="K219" s="281">
        <v>0</v>
      </c>
      <c r="L219" s="264">
        <v>25</v>
      </c>
      <c r="M219" s="282">
        <v>0</v>
      </c>
      <c r="N219" s="281">
        <v>0</v>
      </c>
      <c r="O219" s="281"/>
      <c r="P219" s="263"/>
      <c r="Q219" s="313"/>
      <c r="R219" s="284">
        <v>6.85</v>
      </c>
      <c r="S219" s="284">
        <v>0.6</v>
      </c>
      <c r="T219" s="284">
        <v>6.25</v>
      </c>
      <c r="U219" s="284">
        <v>0</v>
      </c>
      <c r="V219" s="284">
        <v>0</v>
      </c>
      <c r="W219" s="284">
        <v>25</v>
      </c>
      <c r="X219" s="284">
        <v>0</v>
      </c>
      <c r="Y219" s="313"/>
      <c r="Z219" s="285">
        <v>4006879.2684280262</v>
      </c>
      <c r="AA219" s="286">
        <v>0</v>
      </c>
      <c r="AB219" s="287">
        <v>1338607.2228159891</v>
      </c>
      <c r="AC219" s="288">
        <v>446529.56666666671</v>
      </c>
      <c r="AD219" s="289">
        <v>5792016.0579106817</v>
      </c>
      <c r="AE219" s="266"/>
      <c r="AF219" s="285">
        <v>512314.96456185571</v>
      </c>
      <c r="AG219" s="286">
        <v>0</v>
      </c>
      <c r="AH219" s="286">
        <v>1082056.75</v>
      </c>
      <c r="AI219" s="290">
        <v>470160.9375</v>
      </c>
      <c r="AJ219" s="289">
        <v>2064532.6520618557</v>
      </c>
      <c r="AK219" s="291">
        <v>3727483.4058488263</v>
      </c>
    </row>
    <row r="220" spans="1:37" x14ac:dyDescent="0.25">
      <c r="A220" s="264" t="s">
        <v>769</v>
      </c>
      <c r="B220" s="264" t="s">
        <v>257</v>
      </c>
      <c r="C220" s="264" t="s">
        <v>1358</v>
      </c>
      <c r="D220" s="264">
        <v>8504548</v>
      </c>
      <c r="E220" s="264" t="s">
        <v>1799</v>
      </c>
      <c r="F220" s="264">
        <v>2018</v>
      </c>
      <c r="G220" s="281">
        <v>40.299999999999997</v>
      </c>
      <c r="H220" s="264">
        <v>1.8</v>
      </c>
      <c r="I220" s="282">
        <v>38.5</v>
      </c>
      <c r="J220" s="281">
        <v>0</v>
      </c>
      <c r="K220" s="281">
        <v>0</v>
      </c>
      <c r="L220" s="264">
        <v>45</v>
      </c>
      <c r="M220" s="282">
        <v>0</v>
      </c>
      <c r="N220" s="281">
        <v>0</v>
      </c>
      <c r="O220" s="281"/>
      <c r="P220" s="263"/>
      <c r="Q220" s="313"/>
      <c r="R220" s="284">
        <v>40.299999999999997</v>
      </c>
      <c r="S220" s="284">
        <v>1.8</v>
      </c>
      <c r="T220" s="284">
        <v>38.5</v>
      </c>
      <c r="U220" s="284">
        <v>0</v>
      </c>
      <c r="V220" s="284">
        <v>0</v>
      </c>
      <c r="W220" s="284">
        <v>45</v>
      </c>
      <c r="X220" s="284">
        <v>0</v>
      </c>
      <c r="Y220" s="313"/>
      <c r="Z220" s="285">
        <v>23573318.907686051</v>
      </c>
      <c r="AA220" s="286">
        <v>0</v>
      </c>
      <c r="AB220" s="287">
        <v>2409493.0010687802</v>
      </c>
      <c r="AC220" s="288">
        <v>803753.22000000009</v>
      </c>
      <c r="AD220" s="289">
        <v>26786565.128754832</v>
      </c>
      <c r="AE220" s="266"/>
      <c r="AF220" s="285">
        <v>3155860.181701031</v>
      </c>
      <c r="AG220" s="286">
        <v>0</v>
      </c>
      <c r="AH220" s="286">
        <v>1947702.1500000001</v>
      </c>
      <c r="AI220" s="290">
        <v>846289.6875</v>
      </c>
      <c r="AJ220" s="289">
        <v>5949852.019201031</v>
      </c>
      <c r="AK220" s="291">
        <v>20836713.109553799</v>
      </c>
    </row>
    <row r="221" spans="1:37" x14ac:dyDescent="0.25">
      <c r="A221" s="264" t="s">
        <v>1526</v>
      </c>
      <c r="B221" s="264" t="s">
        <v>1364</v>
      </c>
      <c r="C221" s="264" t="s">
        <v>1360</v>
      </c>
      <c r="D221" s="264">
        <v>9328941</v>
      </c>
      <c r="E221" s="264" t="s">
        <v>1086</v>
      </c>
      <c r="F221" s="264">
        <v>2018</v>
      </c>
      <c r="G221" s="281">
        <v>6.78</v>
      </c>
      <c r="H221" s="264">
        <v>0.08</v>
      </c>
      <c r="I221" s="282">
        <v>0</v>
      </c>
      <c r="J221" s="281">
        <v>6.7</v>
      </c>
      <c r="K221" s="281">
        <v>0</v>
      </c>
      <c r="L221" s="264">
        <v>9</v>
      </c>
      <c r="M221" s="282">
        <v>0</v>
      </c>
      <c r="N221" s="281">
        <v>0</v>
      </c>
      <c r="O221" s="281"/>
      <c r="P221" s="263"/>
      <c r="Q221" s="313"/>
      <c r="R221" s="284">
        <v>6.78</v>
      </c>
      <c r="S221" s="284">
        <v>0.08</v>
      </c>
      <c r="T221" s="284">
        <v>0</v>
      </c>
      <c r="U221" s="284">
        <v>6.7</v>
      </c>
      <c r="V221" s="284">
        <v>0</v>
      </c>
      <c r="W221" s="284">
        <v>9</v>
      </c>
      <c r="X221" s="284">
        <v>0</v>
      </c>
      <c r="Y221" s="313"/>
      <c r="Z221" s="285">
        <v>34856.969925131634</v>
      </c>
      <c r="AA221" s="286">
        <v>3260598.5934190094</v>
      </c>
      <c r="AB221" s="287">
        <v>433790.83607472363</v>
      </c>
      <c r="AC221" s="288">
        <v>285709.90966180409</v>
      </c>
      <c r="AD221" s="289">
        <v>4014956.3090806687</v>
      </c>
      <c r="AE221" s="266"/>
      <c r="AF221" s="285">
        <v>624477.74999999988</v>
      </c>
      <c r="AG221" s="286">
        <v>55362.5</v>
      </c>
      <c r="AH221" s="286">
        <v>429706.50000000006</v>
      </c>
      <c r="AI221" s="290">
        <v>305324.85000000003</v>
      </c>
      <c r="AJ221" s="289">
        <v>1414871.6</v>
      </c>
      <c r="AK221" s="291">
        <v>2600084.7090806686</v>
      </c>
    </row>
    <row r="222" spans="1:37" x14ac:dyDescent="0.25">
      <c r="A222" s="264" t="s">
        <v>1362</v>
      </c>
      <c r="B222" s="264" t="s">
        <v>1362</v>
      </c>
      <c r="C222" s="264" t="s">
        <v>1360</v>
      </c>
      <c r="D222" s="264">
        <v>9142033</v>
      </c>
      <c r="E222" s="264" t="s">
        <v>1086</v>
      </c>
      <c r="F222" s="264">
        <v>2018</v>
      </c>
      <c r="G222" s="281">
        <v>3.58</v>
      </c>
      <c r="H222" s="264">
        <v>0.5</v>
      </c>
      <c r="I222" s="282">
        <v>2.63</v>
      </c>
      <c r="J222" s="281">
        <v>0.45</v>
      </c>
      <c r="K222" s="281"/>
      <c r="L222" s="264">
        <v>5</v>
      </c>
      <c r="M222" s="282"/>
      <c r="N222" s="281"/>
      <c r="O222" s="281"/>
      <c r="P222" s="263"/>
      <c r="Q222" s="313"/>
      <c r="R222" s="284">
        <v>3.58</v>
      </c>
      <c r="S222" s="284">
        <v>0.5</v>
      </c>
      <c r="T222" s="284">
        <v>2.63</v>
      </c>
      <c r="U222" s="284">
        <v>0.45</v>
      </c>
      <c r="V222" s="284">
        <v>0</v>
      </c>
      <c r="W222" s="284">
        <v>5</v>
      </c>
      <c r="X222" s="284">
        <v>0</v>
      </c>
      <c r="Y222" s="313"/>
      <c r="Z222" s="285">
        <v>1363778.9483207751</v>
      </c>
      <c r="AA222" s="286">
        <v>218995.42791620211</v>
      </c>
      <c r="AB222" s="287">
        <v>240994.90893040202</v>
      </c>
      <c r="AC222" s="288">
        <v>158727.72758989115</v>
      </c>
      <c r="AD222" s="289">
        <v>1982497.0127572701</v>
      </c>
      <c r="AE222" s="266"/>
      <c r="AF222" s="285">
        <v>346932.08333333326</v>
      </c>
      <c r="AG222" s="286">
        <v>30756.944444444445</v>
      </c>
      <c r="AH222" s="286">
        <v>238725.83333333337</v>
      </c>
      <c r="AI222" s="290">
        <v>169624.91666666669</v>
      </c>
      <c r="AJ222" s="289">
        <v>786039.77777777775</v>
      </c>
      <c r="AK222" s="291">
        <v>1196457.2349794924</v>
      </c>
    </row>
    <row r="223" spans="1:37" x14ac:dyDescent="0.25">
      <c r="A223" s="264" t="s">
        <v>780</v>
      </c>
      <c r="B223" s="264" t="s">
        <v>776</v>
      </c>
      <c r="C223" s="264" t="s">
        <v>1365</v>
      </c>
      <c r="D223" s="264">
        <v>1840658</v>
      </c>
      <c r="E223" s="264" t="s">
        <v>1879</v>
      </c>
      <c r="F223" s="264">
        <v>2018</v>
      </c>
      <c r="G223" s="281">
        <v>1.44</v>
      </c>
      <c r="H223" s="264">
        <v>0.32</v>
      </c>
      <c r="I223" s="282">
        <v>0</v>
      </c>
      <c r="J223" s="281">
        <v>0</v>
      </c>
      <c r="K223" s="281">
        <v>1.1200000000000001</v>
      </c>
      <c r="L223" s="264">
        <v>0</v>
      </c>
      <c r="M223" s="282">
        <v>95</v>
      </c>
      <c r="N223" s="281">
        <v>0</v>
      </c>
      <c r="O223" s="281"/>
      <c r="P223" s="263"/>
      <c r="Q223" s="313"/>
      <c r="R223" s="284">
        <v>1.44</v>
      </c>
      <c r="S223" s="284">
        <v>0.32</v>
      </c>
      <c r="T223" s="284">
        <v>0</v>
      </c>
      <c r="U223" s="284">
        <v>0</v>
      </c>
      <c r="V223" s="284">
        <v>1.1200000000000001</v>
      </c>
      <c r="W223" s="284">
        <v>0</v>
      </c>
      <c r="X223" s="284">
        <v>0</v>
      </c>
      <c r="Y223" s="313"/>
      <c r="Z223" s="285">
        <v>1029203.4592667283</v>
      </c>
      <c r="AA223" s="286">
        <v>0</v>
      </c>
      <c r="AB223" s="287">
        <v>87664.575905763981</v>
      </c>
      <c r="AC223" s="288">
        <v>0</v>
      </c>
      <c r="AD223" s="289">
        <v>1116868.0351724923</v>
      </c>
      <c r="AE223" s="266"/>
      <c r="AF223" s="285">
        <v>0</v>
      </c>
      <c r="AG223" s="286">
        <v>0</v>
      </c>
      <c r="AH223" s="286">
        <v>0</v>
      </c>
      <c r="AI223" s="290">
        <v>0</v>
      </c>
      <c r="AJ223" s="289">
        <v>0</v>
      </c>
      <c r="AK223" s="291">
        <v>1116868.0351724923</v>
      </c>
    </row>
    <row r="224" spans="1:37" x14ac:dyDescent="0.25">
      <c r="A224" s="264" t="s">
        <v>780</v>
      </c>
      <c r="B224" s="264" t="s">
        <v>776</v>
      </c>
      <c r="C224" s="264" t="s">
        <v>1368</v>
      </c>
      <c r="D224" s="264">
        <v>1840658</v>
      </c>
      <c r="E224" s="264" t="s">
        <v>1781</v>
      </c>
      <c r="F224" s="264">
        <v>2018</v>
      </c>
      <c r="G224" s="281">
        <v>0.54</v>
      </c>
      <c r="H224" s="264">
        <v>0.12</v>
      </c>
      <c r="I224" s="282">
        <v>0</v>
      </c>
      <c r="J224" s="281">
        <v>0</v>
      </c>
      <c r="K224" s="281">
        <v>0.42</v>
      </c>
      <c r="L224" s="264">
        <v>0</v>
      </c>
      <c r="M224" s="282">
        <v>95</v>
      </c>
      <c r="N224" s="281">
        <v>0</v>
      </c>
      <c r="O224" s="281"/>
      <c r="P224" s="263"/>
      <c r="Q224" s="313"/>
      <c r="R224" s="284">
        <v>0.54</v>
      </c>
      <c r="S224" s="284">
        <v>0.12</v>
      </c>
      <c r="T224" s="284">
        <v>0</v>
      </c>
      <c r="U224" s="284">
        <v>0</v>
      </c>
      <c r="V224" s="284">
        <v>0.42</v>
      </c>
      <c r="W224" s="284">
        <v>0</v>
      </c>
      <c r="X224" s="284">
        <v>0</v>
      </c>
      <c r="Y224" s="313"/>
      <c r="Z224" s="285">
        <v>385951.29722502315</v>
      </c>
      <c r="AA224" s="286">
        <v>0</v>
      </c>
      <c r="AB224" s="287">
        <v>32874.215964661496</v>
      </c>
      <c r="AC224" s="288">
        <v>0</v>
      </c>
      <c r="AD224" s="289">
        <v>418825.51318968466</v>
      </c>
      <c r="AE224" s="266"/>
      <c r="AF224" s="285">
        <v>0</v>
      </c>
      <c r="AG224" s="286">
        <v>0</v>
      </c>
      <c r="AH224" s="286">
        <v>0</v>
      </c>
      <c r="AI224" s="290">
        <v>0</v>
      </c>
      <c r="AJ224" s="289">
        <v>0</v>
      </c>
      <c r="AK224" s="291">
        <v>418825.51318968466</v>
      </c>
    </row>
    <row r="225" spans="1:37" x14ac:dyDescent="0.25">
      <c r="A225" s="264" t="s">
        <v>1530</v>
      </c>
      <c r="B225" s="264" t="s">
        <v>1529</v>
      </c>
      <c r="C225" s="264" t="s">
        <v>1741</v>
      </c>
      <c r="D225" s="264">
        <v>5002625</v>
      </c>
      <c r="E225" s="264" t="s">
        <v>1086</v>
      </c>
      <c r="F225" s="264">
        <v>2018</v>
      </c>
      <c r="G225" s="281">
        <v>0</v>
      </c>
      <c r="H225" s="264">
        <v>0</v>
      </c>
      <c r="I225" s="282">
        <v>0</v>
      </c>
      <c r="J225" s="281">
        <v>0</v>
      </c>
      <c r="K225" s="281">
        <v>0</v>
      </c>
      <c r="L225" s="264">
        <v>0</v>
      </c>
      <c r="M225" s="282">
        <v>0</v>
      </c>
      <c r="N225" s="281">
        <v>0</v>
      </c>
      <c r="O225" s="281"/>
      <c r="P225" s="263"/>
      <c r="Q225" s="313"/>
      <c r="R225" s="284">
        <v>0</v>
      </c>
      <c r="S225" s="284">
        <v>0</v>
      </c>
      <c r="T225" s="284">
        <v>0</v>
      </c>
      <c r="U225" s="284">
        <v>0</v>
      </c>
      <c r="V225" s="284">
        <v>0</v>
      </c>
      <c r="W225" s="284">
        <v>0</v>
      </c>
      <c r="X225" s="284">
        <v>0</v>
      </c>
      <c r="Y225" s="313"/>
      <c r="Z225" s="285">
        <v>0</v>
      </c>
      <c r="AA225" s="286">
        <v>0</v>
      </c>
      <c r="AB225" s="287">
        <v>0</v>
      </c>
      <c r="AC225" s="288">
        <v>0</v>
      </c>
      <c r="AD225" s="289">
        <v>0</v>
      </c>
      <c r="AE225" s="266"/>
      <c r="AF225" s="285">
        <v>0</v>
      </c>
      <c r="AG225" s="286">
        <v>0</v>
      </c>
      <c r="AH225" s="286">
        <v>0</v>
      </c>
      <c r="AI225" s="290">
        <v>0</v>
      </c>
      <c r="AJ225" s="289">
        <v>0</v>
      </c>
      <c r="AK225" s="291">
        <v>0</v>
      </c>
    </row>
    <row r="226" spans="1:37" x14ac:dyDescent="0.25">
      <c r="A226" s="264" t="s">
        <v>1373</v>
      </c>
      <c r="B226" s="264" t="s">
        <v>1373</v>
      </c>
      <c r="C226" s="264" t="s">
        <v>1372</v>
      </c>
      <c r="D226" s="264">
        <v>3346325</v>
      </c>
      <c r="E226" s="264" t="s">
        <v>1086</v>
      </c>
      <c r="F226" s="264">
        <v>2018</v>
      </c>
      <c r="G226" s="281">
        <v>4.0599999999999996</v>
      </c>
      <c r="H226" s="264">
        <v>4</v>
      </c>
      <c r="I226" s="282">
        <v>0</v>
      </c>
      <c r="J226" s="281">
        <v>0.01</v>
      </c>
      <c r="K226" s="281">
        <v>0.05</v>
      </c>
      <c r="L226" s="264">
        <v>0</v>
      </c>
      <c r="M226" s="282">
        <v>56</v>
      </c>
      <c r="N226" s="281">
        <v>6</v>
      </c>
      <c r="O226" s="281"/>
      <c r="P226" s="263"/>
      <c r="Q226" s="313"/>
      <c r="R226" s="284">
        <v>4.0599999999999996</v>
      </c>
      <c r="S226" s="284">
        <v>4</v>
      </c>
      <c r="T226" s="284">
        <v>0</v>
      </c>
      <c r="U226" s="284">
        <v>0.01</v>
      </c>
      <c r="V226" s="284">
        <v>0.05</v>
      </c>
      <c r="W226" s="284">
        <v>0</v>
      </c>
      <c r="X226" s="284">
        <v>6</v>
      </c>
      <c r="Y226" s="313"/>
      <c r="Z226" s="285">
        <v>2901781.9754325808</v>
      </c>
      <c r="AA226" s="286">
        <v>0</v>
      </c>
      <c r="AB226" s="287">
        <v>247165.40151208456</v>
      </c>
      <c r="AC226" s="288">
        <v>0</v>
      </c>
      <c r="AD226" s="289">
        <v>3148947.3769446653</v>
      </c>
      <c r="AE226" s="266"/>
      <c r="AF226" s="285">
        <v>0</v>
      </c>
      <c r="AG226" s="286">
        <v>0</v>
      </c>
      <c r="AH226" s="286">
        <v>0</v>
      </c>
      <c r="AI226" s="290">
        <v>0</v>
      </c>
      <c r="AJ226" s="289">
        <v>0</v>
      </c>
      <c r="AK226" s="291">
        <v>3148947.3769446653</v>
      </c>
    </row>
    <row r="227" spans="1:37" x14ac:dyDescent="0.25">
      <c r="A227" s="264" t="s">
        <v>780</v>
      </c>
      <c r="B227" s="264" t="s">
        <v>776</v>
      </c>
      <c r="C227" s="264" t="s">
        <v>1369</v>
      </c>
      <c r="D227" s="264">
        <v>1840658</v>
      </c>
      <c r="E227" s="264" t="s">
        <v>1787</v>
      </c>
      <c r="F227" s="264">
        <v>2018</v>
      </c>
      <c r="G227" s="281">
        <v>1.22</v>
      </c>
      <c r="H227" s="264">
        <v>0.27</v>
      </c>
      <c r="I227" s="282">
        <v>0</v>
      </c>
      <c r="J227" s="281">
        <v>0</v>
      </c>
      <c r="K227" s="281">
        <v>0.95</v>
      </c>
      <c r="L227" s="264">
        <v>0</v>
      </c>
      <c r="M227" s="282">
        <v>95</v>
      </c>
      <c r="N227" s="281">
        <v>0</v>
      </c>
      <c r="O227" s="281"/>
      <c r="P227" s="263"/>
      <c r="Q227" s="313"/>
      <c r="R227" s="284">
        <v>1.22</v>
      </c>
      <c r="S227" s="284">
        <v>0.27</v>
      </c>
      <c r="T227" s="284">
        <v>0</v>
      </c>
      <c r="U227" s="284">
        <v>0</v>
      </c>
      <c r="V227" s="284">
        <v>0.95</v>
      </c>
      <c r="W227" s="284">
        <v>0</v>
      </c>
      <c r="X227" s="284">
        <v>0</v>
      </c>
      <c r="Y227" s="313"/>
      <c r="Z227" s="285">
        <v>871964.0418787559</v>
      </c>
      <c r="AA227" s="286">
        <v>0</v>
      </c>
      <c r="AB227" s="287">
        <v>74271.376809050038</v>
      </c>
      <c r="AC227" s="288">
        <v>0</v>
      </c>
      <c r="AD227" s="289">
        <v>946235.418687806</v>
      </c>
      <c r="AE227" s="266"/>
      <c r="AF227" s="285">
        <v>0</v>
      </c>
      <c r="AG227" s="286">
        <v>0</v>
      </c>
      <c r="AH227" s="286">
        <v>0</v>
      </c>
      <c r="AI227" s="290">
        <v>0</v>
      </c>
      <c r="AJ227" s="289">
        <v>0</v>
      </c>
      <c r="AK227" s="291">
        <v>946235.418687806</v>
      </c>
    </row>
    <row r="228" spans="1:37" x14ac:dyDescent="0.25">
      <c r="A228" s="264" t="s">
        <v>780</v>
      </c>
      <c r="B228" s="264" t="s">
        <v>776</v>
      </c>
      <c r="C228" s="264" t="s">
        <v>1370</v>
      </c>
      <c r="D228" s="264">
        <v>1840658</v>
      </c>
      <c r="E228" s="264" t="s">
        <v>1796</v>
      </c>
      <c r="F228" s="264">
        <v>2018</v>
      </c>
      <c r="G228" s="281">
        <v>0.95</v>
      </c>
      <c r="H228" s="264">
        <v>0.21</v>
      </c>
      <c r="I228" s="282">
        <v>0</v>
      </c>
      <c r="J228" s="281">
        <v>0</v>
      </c>
      <c r="K228" s="281">
        <v>0.74</v>
      </c>
      <c r="L228" s="264">
        <v>0</v>
      </c>
      <c r="M228" s="282">
        <v>95</v>
      </c>
      <c r="N228" s="281">
        <v>0</v>
      </c>
      <c r="O228" s="281"/>
      <c r="P228" s="263"/>
      <c r="Q228" s="313"/>
      <c r="R228" s="284">
        <v>0.95</v>
      </c>
      <c r="S228" s="284">
        <v>0.21</v>
      </c>
      <c r="T228" s="284">
        <v>0</v>
      </c>
      <c r="U228" s="284">
        <v>0</v>
      </c>
      <c r="V228" s="284">
        <v>0.74</v>
      </c>
      <c r="W228" s="284">
        <v>0</v>
      </c>
      <c r="X228" s="284">
        <v>0</v>
      </c>
      <c r="Y228" s="313"/>
      <c r="Z228" s="285">
        <v>678988.39326624433</v>
      </c>
      <c r="AA228" s="286">
        <v>0</v>
      </c>
      <c r="AB228" s="287">
        <v>57834.268826719293</v>
      </c>
      <c r="AC228" s="288">
        <v>0</v>
      </c>
      <c r="AD228" s="289">
        <v>736822.66209296358</v>
      </c>
      <c r="AE228" s="266"/>
      <c r="AF228" s="285">
        <v>0</v>
      </c>
      <c r="AG228" s="286">
        <v>0</v>
      </c>
      <c r="AH228" s="286">
        <v>0</v>
      </c>
      <c r="AI228" s="290">
        <v>0</v>
      </c>
      <c r="AJ228" s="289">
        <v>0</v>
      </c>
      <c r="AK228" s="291">
        <v>736822.66209296358</v>
      </c>
    </row>
    <row r="229" spans="1:37" x14ac:dyDescent="0.25">
      <c r="A229" s="264" t="s">
        <v>1375</v>
      </c>
      <c r="B229" s="264" t="s">
        <v>375</v>
      </c>
      <c r="C229" s="264" t="s">
        <v>1371</v>
      </c>
      <c r="D229" s="264">
        <v>6447139</v>
      </c>
      <c r="E229" s="264" t="s">
        <v>1799</v>
      </c>
      <c r="F229" s="264">
        <v>2018</v>
      </c>
      <c r="G229" s="281">
        <v>1.7</v>
      </c>
      <c r="H229" s="264">
        <v>1.7</v>
      </c>
      <c r="I229" s="282">
        <v>0</v>
      </c>
      <c r="J229" s="281">
        <v>0</v>
      </c>
      <c r="K229" s="281">
        <v>0</v>
      </c>
      <c r="L229" s="264">
        <v>0</v>
      </c>
      <c r="M229" s="282">
        <v>6</v>
      </c>
      <c r="N229" s="281">
        <v>0</v>
      </c>
      <c r="O229" s="281"/>
      <c r="P229" s="263"/>
      <c r="Q229" s="313"/>
      <c r="R229" s="284">
        <v>1.7</v>
      </c>
      <c r="S229" s="284">
        <v>1.7</v>
      </c>
      <c r="T229" s="284">
        <v>0</v>
      </c>
      <c r="U229" s="284">
        <v>0</v>
      </c>
      <c r="V229" s="284">
        <v>0</v>
      </c>
      <c r="W229" s="284">
        <v>0</v>
      </c>
      <c r="X229" s="284">
        <v>0</v>
      </c>
      <c r="Y229" s="313"/>
      <c r="Z229" s="285">
        <v>1215031.861634332</v>
      </c>
      <c r="AA229" s="286">
        <v>0</v>
      </c>
      <c r="AB229" s="287">
        <v>103492.90211097136</v>
      </c>
      <c r="AC229" s="288">
        <v>0</v>
      </c>
      <c r="AD229" s="289">
        <v>1318524.7637453033</v>
      </c>
      <c r="AE229" s="266"/>
      <c r="AF229" s="285">
        <v>0</v>
      </c>
      <c r="AG229" s="286">
        <v>0</v>
      </c>
      <c r="AH229" s="286">
        <v>0</v>
      </c>
      <c r="AI229" s="290">
        <v>0</v>
      </c>
      <c r="AJ229" s="289">
        <v>0</v>
      </c>
      <c r="AK229" s="291">
        <v>1318524.7637453033</v>
      </c>
    </row>
    <row r="230" spans="1:37" x14ac:dyDescent="0.25">
      <c r="A230" s="264" t="s">
        <v>780</v>
      </c>
      <c r="B230" s="264" t="s">
        <v>776</v>
      </c>
      <c r="C230" s="264" t="s">
        <v>1371</v>
      </c>
      <c r="D230" s="264">
        <v>1840658</v>
      </c>
      <c r="E230" s="264" t="s">
        <v>1799</v>
      </c>
      <c r="F230" s="264">
        <v>2018</v>
      </c>
      <c r="G230" s="281">
        <v>0.35</v>
      </c>
      <c r="H230" s="264">
        <v>0.08</v>
      </c>
      <c r="I230" s="282">
        <v>0</v>
      </c>
      <c r="J230" s="281">
        <v>0</v>
      </c>
      <c r="K230" s="281">
        <v>0.27</v>
      </c>
      <c r="L230" s="264">
        <v>0</v>
      </c>
      <c r="M230" s="282">
        <v>95</v>
      </c>
      <c r="N230" s="281">
        <v>0</v>
      </c>
      <c r="O230" s="281"/>
      <c r="P230" s="263"/>
      <c r="Q230" s="313"/>
      <c r="R230" s="284">
        <v>0.35</v>
      </c>
      <c r="S230" s="284">
        <v>0.08</v>
      </c>
      <c r="T230" s="284">
        <v>0</v>
      </c>
      <c r="U230" s="284">
        <v>0</v>
      </c>
      <c r="V230" s="284">
        <v>0.27</v>
      </c>
      <c r="W230" s="284">
        <v>0</v>
      </c>
      <c r="X230" s="284">
        <v>0</v>
      </c>
      <c r="Y230" s="313"/>
      <c r="Z230" s="285">
        <v>250153.61857177422</v>
      </c>
      <c r="AA230" s="286">
        <v>0</v>
      </c>
      <c r="AB230" s="287">
        <v>21307.362199317635</v>
      </c>
      <c r="AC230" s="288">
        <v>0</v>
      </c>
      <c r="AD230" s="289">
        <v>271460.98077109188</v>
      </c>
      <c r="AE230" s="266"/>
      <c r="AF230" s="285">
        <v>0</v>
      </c>
      <c r="AG230" s="286">
        <v>0</v>
      </c>
      <c r="AH230" s="286">
        <v>0</v>
      </c>
      <c r="AI230" s="290">
        <v>0</v>
      </c>
      <c r="AJ230" s="289">
        <v>0</v>
      </c>
      <c r="AK230" s="291">
        <v>271460.98077109188</v>
      </c>
    </row>
    <row r="231" spans="1:37" x14ac:dyDescent="0.25">
      <c r="A231" s="264" t="s">
        <v>1378</v>
      </c>
      <c r="B231" s="264" t="s">
        <v>1118</v>
      </c>
      <c r="C231" s="264" t="s">
        <v>1376</v>
      </c>
      <c r="D231" s="264">
        <v>8365172</v>
      </c>
      <c r="E231" s="264" t="s">
        <v>1879</v>
      </c>
      <c r="F231" s="264">
        <v>2018</v>
      </c>
      <c r="G231" s="281">
        <v>1.9</v>
      </c>
      <c r="H231" s="264">
        <v>1.9</v>
      </c>
      <c r="I231" s="282">
        <v>0</v>
      </c>
      <c r="J231" s="281">
        <v>0</v>
      </c>
      <c r="K231" s="281">
        <v>0</v>
      </c>
      <c r="L231" s="264">
        <v>0</v>
      </c>
      <c r="M231" s="282">
        <v>8</v>
      </c>
      <c r="N231" s="281">
        <v>2</v>
      </c>
      <c r="O231" s="281"/>
      <c r="P231" s="263"/>
      <c r="Q231" s="313"/>
      <c r="R231" s="284">
        <v>1.9</v>
      </c>
      <c r="S231" s="284">
        <v>1.9</v>
      </c>
      <c r="T231" s="284">
        <v>0</v>
      </c>
      <c r="U231" s="284">
        <v>0</v>
      </c>
      <c r="V231" s="284">
        <v>0</v>
      </c>
      <c r="W231" s="284">
        <v>0</v>
      </c>
      <c r="X231" s="284">
        <v>2</v>
      </c>
      <c r="Y231" s="313"/>
      <c r="Z231" s="285">
        <v>1127164.5558257725</v>
      </c>
      <c r="AA231" s="286">
        <v>0</v>
      </c>
      <c r="AB231" s="287">
        <v>70597.623151404667</v>
      </c>
      <c r="AC231" s="288">
        <v>0</v>
      </c>
      <c r="AD231" s="289">
        <v>1197762.178977177</v>
      </c>
      <c r="AE231" s="266"/>
      <c r="AF231" s="285">
        <v>0</v>
      </c>
      <c r="AG231" s="286">
        <v>0</v>
      </c>
      <c r="AH231" s="286">
        <v>0</v>
      </c>
      <c r="AI231" s="290">
        <v>0</v>
      </c>
      <c r="AJ231" s="289">
        <v>0</v>
      </c>
      <c r="AK231" s="291">
        <v>1197762.178977177</v>
      </c>
    </row>
    <row r="232" spans="1:37" x14ac:dyDescent="0.25">
      <c r="A232" s="264" t="s">
        <v>1379</v>
      </c>
      <c r="B232" s="264" t="s">
        <v>1380</v>
      </c>
      <c r="C232" s="264" t="s">
        <v>1376</v>
      </c>
      <c r="D232" s="264">
        <v>8430922</v>
      </c>
      <c r="E232" s="264" t="s">
        <v>1879</v>
      </c>
      <c r="F232" s="264">
        <v>2018</v>
      </c>
      <c r="G232" s="281">
        <v>4</v>
      </c>
      <c r="H232" s="264">
        <v>1</v>
      </c>
      <c r="I232" s="282">
        <v>0</v>
      </c>
      <c r="J232" s="281">
        <v>0</v>
      </c>
      <c r="K232" s="281">
        <v>3</v>
      </c>
      <c r="L232" s="264">
        <v>0</v>
      </c>
      <c r="M232" s="282">
        <v>0</v>
      </c>
      <c r="N232" s="281">
        <v>3</v>
      </c>
      <c r="O232" s="281"/>
      <c r="P232" s="263"/>
      <c r="Q232" s="313"/>
      <c r="R232" s="284">
        <v>4</v>
      </c>
      <c r="S232" s="284">
        <v>1</v>
      </c>
      <c r="T232" s="284">
        <v>0</v>
      </c>
      <c r="U232" s="284">
        <v>0</v>
      </c>
      <c r="V232" s="284">
        <v>3</v>
      </c>
      <c r="W232" s="284">
        <v>0</v>
      </c>
      <c r="X232" s="284">
        <v>3</v>
      </c>
      <c r="Y232" s="313"/>
      <c r="Z232" s="285">
        <v>2372978.0122647844</v>
      </c>
      <c r="AA232" s="286">
        <v>0</v>
      </c>
      <c r="AB232" s="287">
        <v>148626.57505558879</v>
      </c>
      <c r="AC232" s="288">
        <v>0</v>
      </c>
      <c r="AD232" s="289">
        <v>2521604.5873203734</v>
      </c>
      <c r="AE232" s="266"/>
      <c r="AF232" s="285">
        <v>0</v>
      </c>
      <c r="AG232" s="286">
        <v>0</v>
      </c>
      <c r="AH232" s="286">
        <v>0</v>
      </c>
      <c r="AI232" s="290">
        <v>0</v>
      </c>
      <c r="AJ232" s="289">
        <v>0</v>
      </c>
      <c r="AK232" s="291">
        <v>2521604.5873203734</v>
      </c>
    </row>
    <row r="233" spans="1:37" x14ac:dyDescent="0.25">
      <c r="A233" s="264" t="s">
        <v>1388</v>
      </c>
      <c r="B233" s="264" t="s">
        <v>776</v>
      </c>
      <c r="C233" s="264" t="s">
        <v>1387</v>
      </c>
      <c r="D233" s="264">
        <v>4699567</v>
      </c>
      <c r="E233" s="264" t="s">
        <v>1879</v>
      </c>
      <c r="F233" s="264">
        <v>2018</v>
      </c>
      <c r="G233" s="281">
        <v>6.8</v>
      </c>
      <c r="H233" s="264">
        <v>1</v>
      </c>
      <c r="I233" s="282">
        <v>5.8</v>
      </c>
      <c r="J233" s="281">
        <v>0</v>
      </c>
      <c r="K233" s="281">
        <v>0</v>
      </c>
      <c r="L233" s="264">
        <v>32</v>
      </c>
      <c r="M233" s="282">
        <v>0</v>
      </c>
      <c r="N233" s="281">
        <v>0</v>
      </c>
      <c r="O233" s="281"/>
      <c r="P233" s="263"/>
      <c r="Q233" s="313"/>
      <c r="R233" s="284">
        <v>6.8</v>
      </c>
      <c r="S233" s="284">
        <v>1</v>
      </c>
      <c r="T233" s="284">
        <v>5.8</v>
      </c>
      <c r="U233" s="284">
        <v>0</v>
      </c>
      <c r="V233" s="284">
        <v>0</v>
      </c>
      <c r="W233" s="284">
        <v>32</v>
      </c>
      <c r="X233" s="284">
        <v>0</v>
      </c>
      <c r="Y233" s="313"/>
      <c r="Z233" s="285">
        <v>3854321.1162318136</v>
      </c>
      <c r="AA233" s="286">
        <v>0</v>
      </c>
      <c r="AB233" s="287">
        <v>807254.69336222089</v>
      </c>
      <c r="AC233" s="288">
        <v>0</v>
      </c>
      <c r="AD233" s="289">
        <v>4661575.8095940342</v>
      </c>
      <c r="AE233" s="266"/>
      <c r="AF233" s="285">
        <v>0</v>
      </c>
      <c r="AG233" s="286">
        <v>0</v>
      </c>
      <c r="AH233" s="286">
        <v>727523.7333333334</v>
      </c>
      <c r="AI233" s="290">
        <v>0</v>
      </c>
      <c r="AJ233" s="289">
        <v>727523.7333333334</v>
      </c>
      <c r="AK233" s="291">
        <v>3934052.0762607008</v>
      </c>
    </row>
    <row r="234" spans="1:37" x14ac:dyDescent="0.25">
      <c r="A234" s="264" t="s">
        <v>1383</v>
      </c>
      <c r="B234" s="264" t="s">
        <v>776</v>
      </c>
      <c r="C234" s="264" t="s">
        <v>1381</v>
      </c>
      <c r="D234" s="264">
        <v>1236570</v>
      </c>
      <c r="E234" s="264" t="s">
        <v>1879</v>
      </c>
      <c r="F234" s="264">
        <v>2018</v>
      </c>
      <c r="G234" s="281">
        <v>15.96</v>
      </c>
      <c r="H234" s="264">
        <v>4</v>
      </c>
      <c r="I234" s="282">
        <v>10.96</v>
      </c>
      <c r="J234" s="281">
        <v>0</v>
      </c>
      <c r="K234" s="281">
        <v>1</v>
      </c>
      <c r="L234" s="264">
        <v>64</v>
      </c>
      <c r="M234" s="282">
        <v>0</v>
      </c>
      <c r="N234" s="281">
        <v>0</v>
      </c>
      <c r="O234" s="281"/>
      <c r="P234" s="263"/>
      <c r="Q234" s="313"/>
      <c r="R234" s="284">
        <v>15.96</v>
      </c>
      <c r="S234" s="284">
        <v>4</v>
      </c>
      <c r="T234" s="284">
        <v>10.96</v>
      </c>
      <c r="U234" s="284">
        <v>0</v>
      </c>
      <c r="V234" s="284">
        <v>1</v>
      </c>
      <c r="W234" s="284">
        <v>64</v>
      </c>
      <c r="X234" s="284">
        <v>0</v>
      </c>
      <c r="Y234" s="313"/>
      <c r="Z234" s="285">
        <v>9046318.3845676091</v>
      </c>
      <c r="AA234" s="286">
        <v>0</v>
      </c>
      <c r="AB234" s="287">
        <v>1614509.3867244418</v>
      </c>
      <c r="AC234" s="288">
        <v>0</v>
      </c>
      <c r="AD234" s="289">
        <v>10660827.771292051</v>
      </c>
      <c r="AE234" s="266"/>
      <c r="AF234" s="285">
        <v>0</v>
      </c>
      <c r="AG234" s="286">
        <v>0</v>
      </c>
      <c r="AH234" s="286">
        <v>1455047.4666666668</v>
      </c>
      <c r="AI234" s="290">
        <v>0</v>
      </c>
      <c r="AJ234" s="289">
        <v>1455047.4666666668</v>
      </c>
      <c r="AK234" s="291">
        <v>9205780.3046253845</v>
      </c>
    </row>
    <row r="235" spans="1:37" x14ac:dyDescent="0.25">
      <c r="A235" s="264" t="s">
        <v>1391</v>
      </c>
      <c r="B235" s="264" t="s">
        <v>1521</v>
      </c>
      <c r="C235" s="264" t="s">
        <v>1390</v>
      </c>
      <c r="D235" s="264">
        <v>2438469</v>
      </c>
      <c r="E235" s="264" t="s">
        <v>1781</v>
      </c>
      <c r="F235" s="264">
        <v>2018</v>
      </c>
      <c r="G235" s="281">
        <v>5.85</v>
      </c>
      <c r="H235" s="264">
        <v>1.85</v>
      </c>
      <c r="I235" s="282">
        <v>4</v>
      </c>
      <c r="J235" s="281">
        <v>0</v>
      </c>
      <c r="K235" s="281">
        <v>0</v>
      </c>
      <c r="L235" s="264">
        <v>14</v>
      </c>
      <c r="M235" s="282">
        <v>0</v>
      </c>
      <c r="N235" s="281">
        <v>0</v>
      </c>
      <c r="O235" s="281"/>
      <c r="P235" s="263"/>
      <c r="Q235" s="313"/>
      <c r="R235" s="284">
        <v>5.85</v>
      </c>
      <c r="S235" s="284">
        <v>1.85</v>
      </c>
      <c r="T235" s="284">
        <v>4</v>
      </c>
      <c r="U235" s="284">
        <v>0</v>
      </c>
      <c r="V235" s="284">
        <v>0</v>
      </c>
      <c r="W235" s="284">
        <v>14</v>
      </c>
      <c r="X235" s="284">
        <v>0</v>
      </c>
      <c r="Y235" s="313"/>
      <c r="Z235" s="285">
        <v>3315849.7838170747</v>
      </c>
      <c r="AA235" s="286">
        <v>0</v>
      </c>
      <c r="AB235" s="287">
        <v>353173.92834597162</v>
      </c>
      <c r="AC235" s="288">
        <v>0</v>
      </c>
      <c r="AD235" s="289">
        <v>3669023.7121630465</v>
      </c>
      <c r="AE235" s="266"/>
      <c r="AF235" s="285">
        <v>0</v>
      </c>
      <c r="AG235" s="286">
        <v>0</v>
      </c>
      <c r="AH235" s="286">
        <v>318291.63333333336</v>
      </c>
      <c r="AI235" s="290">
        <v>0</v>
      </c>
      <c r="AJ235" s="289">
        <v>318291.63333333336</v>
      </c>
      <c r="AK235" s="291">
        <v>3350732.0788297132</v>
      </c>
    </row>
    <row r="236" spans="1:37" x14ac:dyDescent="0.25">
      <c r="A236" s="264" t="s">
        <v>818</v>
      </c>
      <c r="B236" s="264" t="s">
        <v>812</v>
      </c>
      <c r="C236" s="264" t="s">
        <v>1392</v>
      </c>
      <c r="D236" s="264">
        <v>9064643</v>
      </c>
      <c r="E236" s="264" t="s">
        <v>1787</v>
      </c>
      <c r="F236" s="264">
        <v>2018</v>
      </c>
      <c r="G236" s="281">
        <v>5.5</v>
      </c>
      <c r="H236" s="264">
        <v>1.5</v>
      </c>
      <c r="I236" s="282">
        <v>4</v>
      </c>
      <c r="J236" s="281">
        <v>0</v>
      </c>
      <c r="K236" s="281">
        <v>0</v>
      </c>
      <c r="L236" s="264">
        <v>72</v>
      </c>
      <c r="M236" s="282">
        <v>0</v>
      </c>
      <c r="N236" s="281">
        <v>0</v>
      </c>
      <c r="O236" s="281"/>
      <c r="P236" s="263"/>
      <c r="Q236" s="313"/>
      <c r="R236" s="284">
        <v>5.5</v>
      </c>
      <c r="S236" s="284">
        <v>1.5</v>
      </c>
      <c r="T236" s="284">
        <v>4</v>
      </c>
      <c r="U236" s="284">
        <v>0</v>
      </c>
      <c r="V236" s="284">
        <v>0</v>
      </c>
      <c r="W236" s="284">
        <v>72</v>
      </c>
      <c r="X236" s="284">
        <v>0</v>
      </c>
      <c r="Y236" s="313"/>
      <c r="Z236" s="285">
        <v>3117465.6087169079</v>
      </c>
      <c r="AA236" s="286">
        <v>0</v>
      </c>
      <c r="AB236" s="287">
        <v>1816323.0600649971</v>
      </c>
      <c r="AC236" s="288">
        <v>0</v>
      </c>
      <c r="AD236" s="289">
        <v>4933788.6687819045</v>
      </c>
      <c r="AE236" s="266"/>
      <c r="AF236" s="285">
        <v>0</v>
      </c>
      <c r="AG236" s="286">
        <v>0</v>
      </c>
      <c r="AH236" s="286">
        <v>1636928.4000000001</v>
      </c>
      <c r="AI236" s="290">
        <v>0</v>
      </c>
      <c r="AJ236" s="289">
        <v>1636928.4000000001</v>
      </c>
      <c r="AK236" s="291">
        <v>3296860.2687819041</v>
      </c>
    </row>
    <row r="237" spans="1:37" x14ac:dyDescent="0.25">
      <c r="A237" s="264" t="s">
        <v>860</v>
      </c>
      <c r="B237" s="264" t="s">
        <v>857</v>
      </c>
      <c r="C237" s="264" t="s">
        <v>1385</v>
      </c>
      <c r="D237" s="264">
        <v>2514714</v>
      </c>
      <c r="E237" s="264" t="s">
        <v>1799</v>
      </c>
      <c r="F237" s="264">
        <v>2018</v>
      </c>
      <c r="G237" s="281">
        <v>2.5</v>
      </c>
      <c r="H237" s="264">
        <v>0.8</v>
      </c>
      <c r="I237" s="282">
        <v>1.7</v>
      </c>
      <c r="J237" s="281">
        <v>0</v>
      </c>
      <c r="K237" s="281">
        <v>0</v>
      </c>
      <c r="L237" s="264">
        <v>11</v>
      </c>
      <c r="M237" s="282">
        <v>0</v>
      </c>
      <c r="N237" s="281">
        <v>0</v>
      </c>
      <c r="O237" s="281"/>
      <c r="P237" s="263"/>
      <c r="Q237" s="313"/>
      <c r="R237" s="284">
        <v>2.5</v>
      </c>
      <c r="S237" s="284">
        <v>0.8</v>
      </c>
      <c r="T237" s="284">
        <v>1.7</v>
      </c>
      <c r="U237" s="284">
        <v>0</v>
      </c>
      <c r="V237" s="284">
        <v>0</v>
      </c>
      <c r="W237" s="284">
        <v>11</v>
      </c>
      <c r="X237" s="284">
        <v>0</v>
      </c>
      <c r="Y237" s="313"/>
      <c r="Z237" s="285">
        <v>1417029.8221440492</v>
      </c>
      <c r="AA237" s="286">
        <v>0</v>
      </c>
      <c r="AB237" s="287">
        <v>277493.80084326345</v>
      </c>
      <c r="AC237" s="288">
        <v>0</v>
      </c>
      <c r="AD237" s="289">
        <v>1694523.6229873127</v>
      </c>
      <c r="AE237" s="266"/>
      <c r="AF237" s="285">
        <v>0</v>
      </c>
      <c r="AG237" s="286">
        <v>0</v>
      </c>
      <c r="AH237" s="286">
        <v>250086.28333333335</v>
      </c>
      <c r="AI237" s="290">
        <v>0</v>
      </c>
      <c r="AJ237" s="289">
        <v>250086.28333333335</v>
      </c>
      <c r="AK237" s="291">
        <v>1444437.3396539793</v>
      </c>
    </row>
    <row r="238" spans="1:37" x14ac:dyDescent="0.25">
      <c r="A238" s="264" t="s">
        <v>1517</v>
      </c>
      <c r="B238" s="264" t="s">
        <v>1517</v>
      </c>
      <c r="C238" s="264" t="s">
        <v>1389</v>
      </c>
      <c r="D238" s="264">
        <v>3028344</v>
      </c>
      <c r="E238" s="264" t="s">
        <v>1799</v>
      </c>
      <c r="F238" s="264">
        <v>2018</v>
      </c>
      <c r="G238" s="281">
        <v>6</v>
      </c>
      <c r="H238" s="264">
        <v>1</v>
      </c>
      <c r="I238" s="282">
        <v>5</v>
      </c>
      <c r="J238" s="281">
        <v>0</v>
      </c>
      <c r="K238" s="281">
        <v>0</v>
      </c>
      <c r="L238" s="264">
        <v>32</v>
      </c>
      <c r="M238" s="282">
        <v>0</v>
      </c>
      <c r="N238" s="281">
        <v>0</v>
      </c>
      <c r="O238" s="281"/>
      <c r="P238" s="263"/>
      <c r="Q238" s="313"/>
      <c r="R238" s="284">
        <v>6</v>
      </c>
      <c r="S238" s="284">
        <v>1</v>
      </c>
      <c r="T238" s="284">
        <v>5</v>
      </c>
      <c r="U238" s="284">
        <v>0</v>
      </c>
      <c r="V238" s="284">
        <v>0</v>
      </c>
      <c r="W238" s="284">
        <v>32</v>
      </c>
      <c r="X238" s="284">
        <v>0</v>
      </c>
      <c r="Y238" s="313"/>
      <c r="Z238" s="285">
        <v>3400871.5731457178</v>
      </c>
      <c r="AA238" s="286">
        <v>0</v>
      </c>
      <c r="AB238" s="287">
        <v>807254.69336222089</v>
      </c>
      <c r="AC238" s="288">
        <v>0</v>
      </c>
      <c r="AD238" s="289">
        <v>4208126.2665079385</v>
      </c>
      <c r="AE238" s="266"/>
      <c r="AF238" s="285">
        <v>0</v>
      </c>
      <c r="AG238" s="286">
        <v>0</v>
      </c>
      <c r="AH238" s="286">
        <v>727523.7333333334</v>
      </c>
      <c r="AI238" s="290">
        <v>0</v>
      </c>
      <c r="AJ238" s="289">
        <v>727523.7333333334</v>
      </c>
      <c r="AK238" s="291">
        <v>3480602.5331746051</v>
      </c>
    </row>
    <row r="239" spans="1:37" x14ac:dyDescent="0.25">
      <c r="A239" s="264" t="s">
        <v>1519</v>
      </c>
      <c r="B239" s="264" t="s">
        <v>812</v>
      </c>
      <c r="C239" s="264" t="s">
        <v>1744</v>
      </c>
      <c r="D239" s="264">
        <v>3961063</v>
      </c>
      <c r="E239" s="264" t="s">
        <v>1787</v>
      </c>
      <c r="F239" s="264">
        <v>2018</v>
      </c>
      <c r="G239" s="281">
        <v>5</v>
      </c>
      <c r="H239" s="264">
        <v>1</v>
      </c>
      <c r="I239" s="282">
        <v>4</v>
      </c>
      <c r="J239" s="281">
        <v>0</v>
      </c>
      <c r="K239" s="281">
        <v>0</v>
      </c>
      <c r="L239" s="264">
        <v>11</v>
      </c>
      <c r="M239" s="282">
        <v>0</v>
      </c>
      <c r="N239" s="281">
        <v>0</v>
      </c>
      <c r="O239" s="281"/>
      <c r="P239" s="263"/>
      <c r="Q239" s="313"/>
      <c r="R239" s="284">
        <v>5</v>
      </c>
      <c r="S239" s="284">
        <v>1</v>
      </c>
      <c r="T239" s="284">
        <v>4</v>
      </c>
      <c r="U239" s="284">
        <v>0</v>
      </c>
      <c r="V239" s="284">
        <v>0</v>
      </c>
      <c r="W239" s="284">
        <v>11</v>
      </c>
      <c r="X239" s="284">
        <v>0</v>
      </c>
      <c r="Y239" s="313"/>
      <c r="Z239" s="285">
        <v>2909090.5558721442</v>
      </c>
      <c r="AA239" s="286">
        <v>0</v>
      </c>
      <c r="AB239" s="287">
        <v>368403.52135271521</v>
      </c>
      <c r="AC239" s="288">
        <v>0</v>
      </c>
      <c r="AD239" s="289">
        <v>3277494.0772248595</v>
      </c>
      <c r="AE239" s="266"/>
      <c r="AF239" s="285">
        <v>0</v>
      </c>
      <c r="AG239" s="286">
        <v>0</v>
      </c>
      <c r="AH239" s="286">
        <v>260086.75</v>
      </c>
      <c r="AI239" s="290">
        <v>0</v>
      </c>
      <c r="AJ239" s="289">
        <v>260086.75</v>
      </c>
      <c r="AK239" s="291">
        <v>3017407.3272248595</v>
      </c>
    </row>
    <row r="240" spans="1:37" x14ac:dyDescent="0.25">
      <c r="A240" s="264" t="s">
        <v>1395</v>
      </c>
      <c r="B240" s="264" t="s">
        <v>1056</v>
      </c>
      <c r="C240" s="264" t="s">
        <v>1393</v>
      </c>
      <c r="D240" s="264">
        <v>5814347</v>
      </c>
      <c r="E240" s="264" t="s">
        <v>1879</v>
      </c>
      <c r="F240" s="264">
        <v>2018</v>
      </c>
      <c r="G240" s="281">
        <v>4</v>
      </c>
      <c r="H240" s="264">
        <v>3</v>
      </c>
      <c r="I240" s="282">
        <v>1</v>
      </c>
      <c r="J240" s="281">
        <v>0</v>
      </c>
      <c r="K240" s="281">
        <v>0</v>
      </c>
      <c r="L240" s="264">
        <v>0</v>
      </c>
      <c r="M240" s="282">
        <v>0</v>
      </c>
      <c r="N240" s="281">
        <v>4</v>
      </c>
      <c r="O240" s="281"/>
      <c r="P240" s="263"/>
      <c r="Q240" s="313"/>
      <c r="R240" s="284">
        <v>4</v>
      </c>
      <c r="S240" s="284">
        <v>3</v>
      </c>
      <c r="T240" s="284">
        <v>1</v>
      </c>
      <c r="U240" s="284">
        <v>0</v>
      </c>
      <c r="V240" s="284">
        <v>0</v>
      </c>
      <c r="W240" s="284">
        <v>0</v>
      </c>
      <c r="X240" s="284">
        <v>4</v>
      </c>
      <c r="Y240" s="313"/>
      <c r="Z240" s="285">
        <v>3267506.8920220118</v>
      </c>
      <c r="AA240" s="286">
        <v>0</v>
      </c>
      <c r="AB240" s="287">
        <v>308670.45206888363</v>
      </c>
      <c r="AC240" s="288">
        <v>2906.833333333333</v>
      </c>
      <c r="AD240" s="289">
        <v>3579084.1774242288</v>
      </c>
      <c r="AE240" s="266"/>
      <c r="AF240" s="285">
        <v>0</v>
      </c>
      <c r="AG240" s="286">
        <v>0</v>
      </c>
      <c r="AH240" s="286">
        <v>0</v>
      </c>
      <c r="AI240" s="290">
        <v>0</v>
      </c>
      <c r="AJ240" s="289">
        <v>0</v>
      </c>
      <c r="AK240" s="291">
        <v>3579084.1774242288</v>
      </c>
    </row>
    <row r="241" spans="1:37" x14ac:dyDescent="0.25">
      <c r="A241" s="264" t="s">
        <v>935</v>
      </c>
      <c r="B241" s="264" t="s">
        <v>928</v>
      </c>
      <c r="C241" s="264" t="s">
        <v>1396</v>
      </c>
      <c r="D241" s="264">
        <v>9870958</v>
      </c>
      <c r="E241" s="264" t="s">
        <v>1799</v>
      </c>
      <c r="F241" s="264">
        <v>2018</v>
      </c>
      <c r="G241" s="281">
        <v>3.3</v>
      </c>
      <c r="H241" s="264">
        <v>1.3</v>
      </c>
      <c r="I241" s="282">
        <v>0</v>
      </c>
      <c r="J241" s="281">
        <v>2</v>
      </c>
      <c r="K241" s="281">
        <v>0</v>
      </c>
      <c r="L241" s="264">
        <v>0</v>
      </c>
      <c r="M241" s="282">
        <v>0</v>
      </c>
      <c r="N241" s="281">
        <v>9</v>
      </c>
      <c r="O241" s="281"/>
      <c r="P241" s="263"/>
      <c r="Q241" s="313"/>
      <c r="R241" s="284">
        <v>3.3</v>
      </c>
      <c r="S241" s="284">
        <v>1.3</v>
      </c>
      <c r="T241" s="284">
        <v>0</v>
      </c>
      <c r="U241" s="284">
        <v>2</v>
      </c>
      <c r="V241" s="284">
        <v>0</v>
      </c>
      <c r="W241" s="284">
        <v>0</v>
      </c>
      <c r="X241" s="284">
        <v>9</v>
      </c>
      <c r="Y241" s="313"/>
      <c r="Z241" s="285">
        <v>2695693.1859181598</v>
      </c>
      <c r="AA241" s="286">
        <v>0</v>
      </c>
      <c r="AB241" s="287">
        <v>694508.51715498813</v>
      </c>
      <c r="AC241" s="288">
        <v>6540.3749999999991</v>
      </c>
      <c r="AD241" s="289">
        <v>3396742.0780731477</v>
      </c>
      <c r="AE241" s="266"/>
      <c r="AF241" s="285">
        <v>0</v>
      </c>
      <c r="AG241" s="286">
        <v>0</v>
      </c>
      <c r="AH241" s="286">
        <v>0</v>
      </c>
      <c r="AI241" s="290">
        <v>0</v>
      </c>
      <c r="AJ241" s="289">
        <v>0</v>
      </c>
      <c r="AK241" s="291">
        <v>3396742.0780731477</v>
      </c>
    </row>
    <row r="242" spans="1:37" x14ac:dyDescent="0.25">
      <c r="A242" s="264" t="s">
        <v>721</v>
      </c>
      <c r="B242" s="264" t="s">
        <v>718</v>
      </c>
      <c r="C242" s="264" t="s">
        <v>1397</v>
      </c>
      <c r="D242" s="264">
        <v>2757263</v>
      </c>
      <c r="E242" s="264" t="s">
        <v>1879</v>
      </c>
      <c r="F242" s="264">
        <v>2018</v>
      </c>
      <c r="G242" s="281">
        <v>1.1499999999999999</v>
      </c>
      <c r="H242" s="264">
        <v>0.3</v>
      </c>
      <c r="I242" s="282">
        <v>0</v>
      </c>
      <c r="J242" s="281">
        <v>0</v>
      </c>
      <c r="K242" s="281">
        <v>0.85</v>
      </c>
      <c r="L242" s="264">
        <v>0</v>
      </c>
      <c r="M242" s="282">
        <v>15</v>
      </c>
      <c r="N242" s="281">
        <v>0</v>
      </c>
      <c r="O242" s="281"/>
      <c r="P242" s="263"/>
      <c r="Q242" s="313"/>
      <c r="R242" s="284">
        <v>1.1499999999999999</v>
      </c>
      <c r="S242" s="284">
        <v>0.3</v>
      </c>
      <c r="T242" s="284">
        <v>0</v>
      </c>
      <c r="U242" s="284">
        <v>0</v>
      </c>
      <c r="V242" s="284">
        <v>0.85</v>
      </c>
      <c r="W242" s="284">
        <v>0</v>
      </c>
      <c r="X242" s="284">
        <v>0</v>
      </c>
      <c r="Y242" s="313"/>
      <c r="Z242" s="285">
        <v>740828.74025327514</v>
      </c>
      <c r="AA242" s="286">
        <v>0</v>
      </c>
      <c r="AB242" s="287">
        <v>93731.412639405185</v>
      </c>
      <c r="AC242" s="288">
        <v>0</v>
      </c>
      <c r="AD242" s="289">
        <v>834560.15289268037</v>
      </c>
      <c r="AE242" s="266"/>
      <c r="AF242" s="285">
        <v>0</v>
      </c>
      <c r="AG242" s="286">
        <v>0</v>
      </c>
      <c r="AH242" s="286">
        <v>0</v>
      </c>
      <c r="AI242" s="290">
        <v>0</v>
      </c>
      <c r="AJ242" s="289">
        <v>0</v>
      </c>
      <c r="AK242" s="291">
        <v>834560.15289268037</v>
      </c>
    </row>
    <row r="243" spans="1:37" x14ac:dyDescent="0.25">
      <c r="A243" s="264" t="s">
        <v>1388</v>
      </c>
      <c r="B243" s="264" t="s">
        <v>776</v>
      </c>
      <c r="C243" s="264" t="s">
        <v>1402</v>
      </c>
      <c r="D243" s="264">
        <v>7832444</v>
      </c>
      <c r="E243" s="264" t="s">
        <v>1879</v>
      </c>
      <c r="F243" s="264">
        <v>2018</v>
      </c>
      <c r="G243" s="281">
        <v>6.2</v>
      </c>
      <c r="H243" s="264">
        <v>2.7</v>
      </c>
      <c r="I243" s="282">
        <v>3.5</v>
      </c>
      <c r="J243" s="281">
        <v>0</v>
      </c>
      <c r="K243" s="281">
        <v>0</v>
      </c>
      <c r="L243" s="264">
        <v>0</v>
      </c>
      <c r="M243" s="282">
        <v>0</v>
      </c>
      <c r="N243" s="281">
        <v>30</v>
      </c>
      <c r="O243" s="281"/>
      <c r="P243" s="263"/>
      <c r="Q243" s="313"/>
      <c r="R243" s="284">
        <v>6.2</v>
      </c>
      <c r="S243" s="284">
        <v>2.7</v>
      </c>
      <c r="T243" s="284">
        <v>3.5</v>
      </c>
      <c r="U243" s="284">
        <v>0</v>
      </c>
      <c r="V243" s="284">
        <v>0</v>
      </c>
      <c r="W243" s="284">
        <v>0</v>
      </c>
      <c r="X243" s="284">
        <v>30</v>
      </c>
      <c r="Y243" s="313"/>
      <c r="Z243" s="285">
        <v>3182814.1833693455</v>
      </c>
      <c r="AA243" s="286">
        <v>0</v>
      </c>
      <c r="AB243" s="287">
        <v>506110.35071076796</v>
      </c>
      <c r="AC243" s="288">
        <v>0</v>
      </c>
      <c r="AD243" s="289">
        <v>3688924.5340801133</v>
      </c>
      <c r="AE243" s="266"/>
      <c r="AF243" s="285">
        <v>0</v>
      </c>
      <c r="AG243" s="286">
        <v>0</v>
      </c>
      <c r="AH243" s="286">
        <v>0</v>
      </c>
      <c r="AI243" s="290">
        <v>0</v>
      </c>
      <c r="AJ243" s="289">
        <v>0</v>
      </c>
      <c r="AK243" s="291">
        <v>3688924.5340801133</v>
      </c>
    </row>
    <row r="244" spans="1:37" x14ac:dyDescent="0.25">
      <c r="A244" s="264" t="s">
        <v>1418</v>
      </c>
      <c r="B244" s="264" t="s">
        <v>553</v>
      </c>
      <c r="C244" s="264" t="s">
        <v>1417</v>
      </c>
      <c r="D244" s="264">
        <v>8102124</v>
      </c>
      <c r="E244" s="264" t="s">
        <v>1776</v>
      </c>
      <c r="F244" s="264">
        <v>2018</v>
      </c>
      <c r="G244" s="281">
        <v>1.6</v>
      </c>
      <c r="H244" s="264">
        <v>1.3</v>
      </c>
      <c r="I244" s="282">
        <v>0.3</v>
      </c>
      <c r="J244" s="281">
        <v>0</v>
      </c>
      <c r="K244" s="281">
        <v>0</v>
      </c>
      <c r="L244" s="264">
        <v>0</v>
      </c>
      <c r="M244" s="282">
        <v>0</v>
      </c>
      <c r="N244" s="281">
        <v>25</v>
      </c>
      <c r="O244" s="281"/>
      <c r="P244" s="263"/>
      <c r="Q244" s="313"/>
      <c r="R244" s="284">
        <v>1.6</v>
      </c>
      <c r="S244" s="284">
        <v>1.3</v>
      </c>
      <c r="T244" s="284">
        <v>0.3</v>
      </c>
      <c r="U244" s="284">
        <v>0</v>
      </c>
      <c r="V244" s="284">
        <v>0</v>
      </c>
      <c r="W244" s="284">
        <v>0</v>
      </c>
      <c r="X244" s="284">
        <v>25</v>
      </c>
      <c r="Y244" s="313"/>
      <c r="Z244" s="285">
        <v>838010.87103324616</v>
      </c>
      <c r="AA244" s="286">
        <v>0</v>
      </c>
      <c r="AB244" s="287">
        <v>86095.950046338956</v>
      </c>
      <c r="AC244" s="288">
        <v>0</v>
      </c>
      <c r="AD244" s="289">
        <v>924106.82107958512</v>
      </c>
      <c r="AE244" s="266"/>
      <c r="AF244" s="285">
        <v>0</v>
      </c>
      <c r="AG244" s="286">
        <v>0</v>
      </c>
      <c r="AH244" s="286">
        <v>0</v>
      </c>
      <c r="AI244" s="290">
        <v>0</v>
      </c>
      <c r="AJ244" s="289">
        <v>0</v>
      </c>
      <c r="AK244" s="291">
        <v>924106.82107958512</v>
      </c>
    </row>
    <row r="245" spans="1:37" x14ac:dyDescent="0.25">
      <c r="A245" s="264" t="s">
        <v>1406</v>
      </c>
      <c r="B245" s="264" t="s">
        <v>805</v>
      </c>
      <c r="C245" s="264" t="s">
        <v>1404</v>
      </c>
      <c r="D245" s="264">
        <v>1738957</v>
      </c>
      <c r="E245" s="264" t="s">
        <v>1777</v>
      </c>
      <c r="F245" s="264">
        <v>2018</v>
      </c>
      <c r="G245" s="281">
        <v>2</v>
      </c>
      <c r="H245" s="264">
        <v>2</v>
      </c>
      <c r="I245" s="282">
        <v>0</v>
      </c>
      <c r="J245" s="281">
        <v>0</v>
      </c>
      <c r="K245" s="281">
        <v>0</v>
      </c>
      <c r="L245" s="264">
        <v>0</v>
      </c>
      <c r="M245" s="282">
        <v>0</v>
      </c>
      <c r="N245" s="281">
        <v>20</v>
      </c>
      <c r="O245" s="281"/>
      <c r="P245" s="263"/>
      <c r="Q245" s="313"/>
      <c r="R245" s="284">
        <v>2</v>
      </c>
      <c r="S245" s="284">
        <v>2</v>
      </c>
      <c r="T245" s="284">
        <v>0</v>
      </c>
      <c r="U245" s="284">
        <v>0</v>
      </c>
      <c r="V245" s="284">
        <v>0</v>
      </c>
      <c r="W245" s="284">
        <v>0</v>
      </c>
      <c r="X245" s="284">
        <v>20</v>
      </c>
      <c r="Y245" s="313"/>
      <c r="Z245" s="285">
        <v>1047513.5887915576</v>
      </c>
      <c r="AA245" s="286">
        <v>0</v>
      </c>
      <c r="AB245" s="287">
        <v>107619.93755792368</v>
      </c>
      <c r="AC245" s="288">
        <v>0</v>
      </c>
      <c r="AD245" s="289">
        <v>1155133.5263494812</v>
      </c>
      <c r="AE245" s="266"/>
      <c r="AF245" s="285">
        <v>0</v>
      </c>
      <c r="AG245" s="286">
        <v>0</v>
      </c>
      <c r="AH245" s="286">
        <v>0</v>
      </c>
      <c r="AI245" s="290">
        <v>0</v>
      </c>
      <c r="AJ245" s="289">
        <v>0</v>
      </c>
      <c r="AK245" s="291">
        <v>1155133.5263494812</v>
      </c>
    </row>
    <row r="246" spans="1:37" x14ac:dyDescent="0.25">
      <c r="A246" s="264" t="s">
        <v>1421</v>
      </c>
      <c r="B246" s="264" t="s">
        <v>909</v>
      </c>
      <c r="C246" s="264" t="s">
        <v>1420</v>
      </c>
      <c r="D246" s="264">
        <v>8411392</v>
      </c>
      <c r="E246" s="264" t="s">
        <v>1879</v>
      </c>
      <c r="F246" s="264">
        <v>2018</v>
      </c>
      <c r="G246" s="281">
        <v>6</v>
      </c>
      <c r="H246" s="264">
        <v>5.75</v>
      </c>
      <c r="I246" s="282">
        <v>0.25</v>
      </c>
      <c r="J246" s="281">
        <v>0</v>
      </c>
      <c r="K246" s="281">
        <v>0</v>
      </c>
      <c r="L246" s="264">
        <v>0</v>
      </c>
      <c r="M246" s="282">
        <v>0</v>
      </c>
      <c r="N246" s="281">
        <v>57</v>
      </c>
      <c r="O246" s="281"/>
      <c r="P246" s="263"/>
      <c r="Q246" s="313"/>
      <c r="R246" s="284">
        <v>6</v>
      </c>
      <c r="S246" s="284">
        <v>5.75</v>
      </c>
      <c r="T246" s="284">
        <v>0.25</v>
      </c>
      <c r="U246" s="284">
        <v>0</v>
      </c>
      <c r="V246" s="284">
        <v>0</v>
      </c>
      <c r="W246" s="284">
        <v>0</v>
      </c>
      <c r="X246" s="284">
        <v>57</v>
      </c>
      <c r="Y246" s="313"/>
      <c r="Z246" s="285">
        <v>3142540.7663746728</v>
      </c>
      <c r="AA246" s="286">
        <v>0</v>
      </c>
      <c r="AB246" s="287">
        <v>322859.81267377106</v>
      </c>
      <c r="AC246" s="288">
        <v>0</v>
      </c>
      <c r="AD246" s="289">
        <v>3465400.5790484436</v>
      </c>
      <c r="AE246" s="266"/>
      <c r="AF246" s="285">
        <v>0</v>
      </c>
      <c r="AG246" s="286">
        <v>0</v>
      </c>
      <c r="AH246" s="286">
        <v>0</v>
      </c>
      <c r="AI246" s="290">
        <v>0</v>
      </c>
      <c r="AJ246" s="289">
        <v>0</v>
      </c>
      <c r="AK246" s="291">
        <v>3465400.5790484436</v>
      </c>
    </row>
    <row r="247" spans="1:37" x14ac:dyDescent="0.25">
      <c r="A247" s="264" t="s">
        <v>1834</v>
      </c>
      <c r="B247" s="264" t="s">
        <v>897</v>
      </c>
      <c r="C247" s="264" t="s">
        <v>1408</v>
      </c>
      <c r="D247" s="264">
        <v>7947229</v>
      </c>
      <c r="E247" s="264" t="s">
        <v>1879</v>
      </c>
      <c r="F247" s="264">
        <v>2018</v>
      </c>
      <c r="G247" s="281">
        <v>0</v>
      </c>
      <c r="H247" s="264">
        <v>0</v>
      </c>
      <c r="I247" s="282">
        <v>0</v>
      </c>
      <c r="J247" s="281">
        <v>0</v>
      </c>
      <c r="K247" s="281">
        <v>0</v>
      </c>
      <c r="L247" s="264">
        <v>0</v>
      </c>
      <c r="M247" s="282">
        <v>0</v>
      </c>
      <c r="N247" s="281">
        <v>20</v>
      </c>
      <c r="O247" s="281"/>
      <c r="P247" s="263"/>
      <c r="Q247" s="313"/>
      <c r="R247" s="284">
        <v>0</v>
      </c>
      <c r="S247" s="284">
        <v>0</v>
      </c>
      <c r="T247" s="284">
        <v>0</v>
      </c>
      <c r="U247" s="284">
        <v>0</v>
      </c>
      <c r="V247" s="284">
        <v>0</v>
      </c>
      <c r="W247" s="284">
        <v>0</v>
      </c>
      <c r="X247" s="284">
        <v>20</v>
      </c>
      <c r="Y247" s="313"/>
      <c r="Z247" s="285">
        <v>0</v>
      </c>
      <c r="AA247" s="286">
        <v>0</v>
      </c>
      <c r="AB247" s="287">
        <v>0</v>
      </c>
      <c r="AC247" s="288">
        <v>0</v>
      </c>
      <c r="AD247" s="289">
        <v>0</v>
      </c>
      <c r="AE247" s="266"/>
      <c r="AF247" s="285">
        <v>0</v>
      </c>
      <c r="AG247" s="286">
        <v>0</v>
      </c>
      <c r="AH247" s="286">
        <v>0</v>
      </c>
      <c r="AI247" s="290">
        <v>0</v>
      </c>
      <c r="AJ247" s="289">
        <v>0</v>
      </c>
      <c r="AK247" s="291">
        <v>0</v>
      </c>
    </row>
    <row r="248" spans="1:37" x14ac:dyDescent="0.25">
      <c r="A248" s="264" t="s">
        <v>899</v>
      </c>
      <c r="B248" s="264" t="s">
        <v>897</v>
      </c>
      <c r="C248" s="264" t="s">
        <v>1408</v>
      </c>
      <c r="D248" s="264">
        <v>2174839</v>
      </c>
      <c r="E248" s="264" t="s">
        <v>1879</v>
      </c>
      <c r="F248" s="264">
        <v>2018</v>
      </c>
      <c r="G248" s="281">
        <v>5</v>
      </c>
      <c r="H248" s="264">
        <v>5</v>
      </c>
      <c r="I248" s="282">
        <v>0</v>
      </c>
      <c r="J248" s="281">
        <v>0</v>
      </c>
      <c r="K248" s="281">
        <v>0</v>
      </c>
      <c r="L248" s="264">
        <v>0</v>
      </c>
      <c r="M248" s="282">
        <v>0</v>
      </c>
      <c r="N248" s="281">
        <v>20</v>
      </c>
      <c r="O248" s="281"/>
      <c r="P248" s="263"/>
      <c r="Q248" s="313"/>
      <c r="R248" s="284">
        <v>5</v>
      </c>
      <c r="S248" s="284">
        <v>5</v>
      </c>
      <c r="T248" s="284">
        <v>0</v>
      </c>
      <c r="U248" s="284">
        <v>0</v>
      </c>
      <c r="V248" s="284">
        <v>0</v>
      </c>
      <c r="W248" s="284">
        <v>0</v>
      </c>
      <c r="X248" s="284">
        <v>20</v>
      </c>
      <c r="Y248" s="313"/>
      <c r="Z248" s="285">
        <v>2618783.971978894</v>
      </c>
      <c r="AA248" s="286">
        <v>0</v>
      </c>
      <c r="AB248" s="287">
        <v>269049.84389480919</v>
      </c>
      <c r="AC248" s="288">
        <v>0</v>
      </c>
      <c r="AD248" s="289">
        <v>2887833.815873703</v>
      </c>
      <c r="AE248" s="266"/>
      <c r="AF248" s="285">
        <v>0</v>
      </c>
      <c r="AG248" s="286">
        <v>0</v>
      </c>
      <c r="AH248" s="286">
        <v>0</v>
      </c>
      <c r="AI248" s="290">
        <v>0</v>
      </c>
      <c r="AJ248" s="289">
        <v>0</v>
      </c>
      <c r="AK248" s="291">
        <v>2887833.815873703</v>
      </c>
    </row>
    <row r="249" spans="1:37" x14ac:dyDescent="0.25">
      <c r="A249" s="264" t="s">
        <v>1411</v>
      </c>
      <c r="B249" s="264" t="s">
        <v>805</v>
      </c>
      <c r="C249" s="264" t="s">
        <v>1410</v>
      </c>
      <c r="D249" s="264">
        <v>2315315</v>
      </c>
      <c r="E249" s="264" t="s">
        <v>1781</v>
      </c>
      <c r="F249" s="264">
        <v>2018</v>
      </c>
      <c r="G249" s="281">
        <v>2</v>
      </c>
      <c r="H249" s="264">
        <v>2</v>
      </c>
      <c r="I249" s="282">
        <v>0</v>
      </c>
      <c r="J249" s="281">
        <v>0</v>
      </c>
      <c r="K249" s="281">
        <v>0</v>
      </c>
      <c r="L249" s="264">
        <v>0</v>
      </c>
      <c r="M249" s="282">
        <v>0</v>
      </c>
      <c r="N249" s="281">
        <v>20</v>
      </c>
      <c r="O249" s="281"/>
      <c r="P249" s="263"/>
      <c r="Q249" s="313"/>
      <c r="R249" s="284">
        <v>2</v>
      </c>
      <c r="S249" s="284">
        <v>2</v>
      </c>
      <c r="T249" s="284">
        <v>0</v>
      </c>
      <c r="U249" s="284">
        <v>0</v>
      </c>
      <c r="V249" s="284">
        <v>0</v>
      </c>
      <c r="W249" s="284">
        <v>0</v>
      </c>
      <c r="X249" s="284">
        <v>20</v>
      </c>
      <c r="Y249" s="313"/>
      <c r="Z249" s="285">
        <v>1047513.5887915576</v>
      </c>
      <c r="AA249" s="286">
        <v>0</v>
      </c>
      <c r="AB249" s="287">
        <v>107619.93755792368</v>
      </c>
      <c r="AC249" s="288">
        <v>0</v>
      </c>
      <c r="AD249" s="289">
        <v>1155133.5263494812</v>
      </c>
      <c r="AE249" s="266"/>
      <c r="AF249" s="285">
        <v>0</v>
      </c>
      <c r="AG249" s="286">
        <v>0</v>
      </c>
      <c r="AH249" s="286">
        <v>0</v>
      </c>
      <c r="AI249" s="290">
        <v>0</v>
      </c>
      <c r="AJ249" s="289">
        <v>0</v>
      </c>
      <c r="AK249" s="291">
        <v>1155133.5263494812</v>
      </c>
    </row>
    <row r="250" spans="1:37" x14ac:dyDescent="0.25">
      <c r="A250" s="264" t="s">
        <v>1416</v>
      </c>
      <c r="B250" s="264" t="s">
        <v>531</v>
      </c>
      <c r="C250" s="264" t="s">
        <v>1415</v>
      </c>
      <c r="D250" s="264">
        <v>6989404</v>
      </c>
      <c r="E250" s="264" t="s">
        <v>1790</v>
      </c>
      <c r="F250" s="264">
        <v>2018</v>
      </c>
      <c r="G250" s="281">
        <v>2.35</v>
      </c>
      <c r="H250" s="264">
        <v>0.35</v>
      </c>
      <c r="I250" s="282">
        <v>2</v>
      </c>
      <c r="J250" s="281">
        <v>0</v>
      </c>
      <c r="K250" s="281">
        <v>0</v>
      </c>
      <c r="L250" s="264">
        <v>0</v>
      </c>
      <c r="M250" s="282">
        <v>0</v>
      </c>
      <c r="N250" s="281">
        <v>20</v>
      </c>
      <c r="O250" s="281"/>
      <c r="P250" s="263"/>
      <c r="Q250" s="313"/>
      <c r="R250" s="284">
        <v>2.35</v>
      </c>
      <c r="S250" s="284">
        <v>0.35</v>
      </c>
      <c r="T250" s="284">
        <v>2</v>
      </c>
      <c r="U250" s="284">
        <v>0</v>
      </c>
      <c r="V250" s="284">
        <v>0</v>
      </c>
      <c r="W250" s="284">
        <v>0</v>
      </c>
      <c r="X250" s="284">
        <v>20</v>
      </c>
      <c r="Y250" s="313"/>
      <c r="Z250" s="285">
        <v>1230828.4668300801</v>
      </c>
      <c r="AA250" s="286">
        <v>0</v>
      </c>
      <c r="AB250" s="287">
        <v>126453.42663056032</v>
      </c>
      <c r="AC250" s="288">
        <v>0</v>
      </c>
      <c r="AD250" s="289">
        <v>1357281.8934606405</v>
      </c>
      <c r="AE250" s="266"/>
      <c r="AF250" s="285">
        <v>0</v>
      </c>
      <c r="AG250" s="286">
        <v>0</v>
      </c>
      <c r="AH250" s="286">
        <v>0</v>
      </c>
      <c r="AI250" s="290">
        <v>0</v>
      </c>
      <c r="AJ250" s="289">
        <v>0</v>
      </c>
      <c r="AK250" s="291">
        <v>1357281.8934606405</v>
      </c>
    </row>
    <row r="251" spans="1:37" x14ac:dyDescent="0.25">
      <c r="A251" s="264" t="s">
        <v>810</v>
      </c>
      <c r="B251" s="264" t="s">
        <v>805</v>
      </c>
      <c r="C251" s="264" t="s">
        <v>1414</v>
      </c>
      <c r="D251" s="264">
        <v>6607461</v>
      </c>
      <c r="E251" s="264" t="s">
        <v>1788</v>
      </c>
      <c r="F251" s="264">
        <v>2018</v>
      </c>
      <c r="G251" s="281">
        <v>2</v>
      </c>
      <c r="H251" s="264">
        <v>2</v>
      </c>
      <c r="I251" s="282">
        <v>0</v>
      </c>
      <c r="J251" s="281">
        <v>0</v>
      </c>
      <c r="K251" s="281">
        <v>0</v>
      </c>
      <c r="L251" s="264">
        <v>0</v>
      </c>
      <c r="M251" s="282">
        <v>0</v>
      </c>
      <c r="N251" s="281">
        <v>20</v>
      </c>
      <c r="O251" s="281"/>
      <c r="P251" s="263"/>
      <c r="Q251" s="313"/>
      <c r="R251" s="284">
        <v>2</v>
      </c>
      <c r="S251" s="284">
        <v>2</v>
      </c>
      <c r="T251" s="284">
        <v>0</v>
      </c>
      <c r="U251" s="284">
        <v>0</v>
      </c>
      <c r="V251" s="284">
        <v>0</v>
      </c>
      <c r="W251" s="284">
        <v>0</v>
      </c>
      <c r="X251" s="284">
        <v>20</v>
      </c>
      <c r="Y251" s="313"/>
      <c r="Z251" s="285">
        <v>1047513.5887915576</v>
      </c>
      <c r="AA251" s="286">
        <v>0</v>
      </c>
      <c r="AB251" s="287">
        <v>107619.93755792368</v>
      </c>
      <c r="AC251" s="288">
        <v>0</v>
      </c>
      <c r="AD251" s="289">
        <v>1155133.5263494812</v>
      </c>
      <c r="AE251" s="266"/>
      <c r="AF251" s="285">
        <v>0</v>
      </c>
      <c r="AG251" s="286">
        <v>0</v>
      </c>
      <c r="AH251" s="286">
        <v>0</v>
      </c>
      <c r="AI251" s="290">
        <v>0</v>
      </c>
      <c r="AJ251" s="289">
        <v>0</v>
      </c>
      <c r="AK251" s="291">
        <v>1155133.5263494812</v>
      </c>
    </row>
    <row r="252" spans="1:37" x14ac:dyDescent="0.25">
      <c r="A252" s="264" t="s">
        <v>846</v>
      </c>
      <c r="B252" s="264" t="s">
        <v>842</v>
      </c>
      <c r="C252" s="264" t="s">
        <v>1419</v>
      </c>
      <c r="D252" s="264">
        <v>8350990</v>
      </c>
      <c r="E252" s="264" t="s">
        <v>1796</v>
      </c>
      <c r="F252" s="264">
        <v>2018</v>
      </c>
      <c r="G252" s="281">
        <v>2.5</v>
      </c>
      <c r="H252" s="264">
        <v>1</v>
      </c>
      <c r="I252" s="282">
        <v>1.5</v>
      </c>
      <c r="J252" s="281">
        <v>0</v>
      </c>
      <c r="K252" s="281">
        <v>0</v>
      </c>
      <c r="L252" s="264">
        <v>0</v>
      </c>
      <c r="M252" s="282">
        <v>0</v>
      </c>
      <c r="N252" s="281">
        <v>40</v>
      </c>
      <c r="O252" s="281"/>
      <c r="P252" s="263"/>
      <c r="Q252" s="313"/>
      <c r="R252" s="284">
        <v>2.5</v>
      </c>
      <c r="S252" s="284">
        <v>1</v>
      </c>
      <c r="T252" s="284">
        <v>1.5</v>
      </c>
      <c r="U252" s="284">
        <v>0</v>
      </c>
      <c r="V252" s="284">
        <v>0</v>
      </c>
      <c r="W252" s="284">
        <v>0</v>
      </c>
      <c r="X252" s="284">
        <v>40</v>
      </c>
      <c r="Y252" s="313"/>
      <c r="Z252" s="285">
        <v>1309391.985989447</v>
      </c>
      <c r="AA252" s="286">
        <v>0</v>
      </c>
      <c r="AB252" s="287">
        <v>134524.9219474046</v>
      </c>
      <c r="AC252" s="288">
        <v>0</v>
      </c>
      <c r="AD252" s="289">
        <v>1443916.9079368515</v>
      </c>
      <c r="AE252" s="266"/>
      <c r="AF252" s="285">
        <v>0</v>
      </c>
      <c r="AG252" s="286">
        <v>0</v>
      </c>
      <c r="AH252" s="286">
        <v>0</v>
      </c>
      <c r="AI252" s="290">
        <v>0</v>
      </c>
      <c r="AJ252" s="289">
        <v>0</v>
      </c>
      <c r="AK252" s="291">
        <v>1443916.9079368515</v>
      </c>
    </row>
    <row r="253" spans="1:37" x14ac:dyDescent="0.25">
      <c r="A253" s="264" t="s">
        <v>1413</v>
      </c>
      <c r="B253" s="264" t="s">
        <v>928</v>
      </c>
      <c r="C253" s="264" t="s">
        <v>1412</v>
      </c>
      <c r="D253" s="264">
        <v>5922905</v>
      </c>
      <c r="E253" s="264" t="s">
        <v>1799</v>
      </c>
      <c r="F253" s="264">
        <v>2018</v>
      </c>
      <c r="G253" s="281">
        <v>3.3</v>
      </c>
      <c r="H253" s="264">
        <v>3.3</v>
      </c>
      <c r="I253" s="282">
        <v>0</v>
      </c>
      <c r="J253" s="281">
        <v>0</v>
      </c>
      <c r="K253" s="281">
        <v>0</v>
      </c>
      <c r="L253" s="264">
        <v>0</v>
      </c>
      <c r="M253" s="282">
        <v>0</v>
      </c>
      <c r="N253" s="281">
        <v>30</v>
      </c>
      <c r="O253" s="281"/>
      <c r="P253" s="263"/>
      <c r="Q253" s="313"/>
      <c r="R253" s="284">
        <v>3.3</v>
      </c>
      <c r="S253" s="284">
        <v>3.3</v>
      </c>
      <c r="T253" s="284">
        <v>0</v>
      </c>
      <c r="U253" s="284">
        <v>0</v>
      </c>
      <c r="V253" s="284">
        <v>0</v>
      </c>
      <c r="W253" s="284">
        <v>0</v>
      </c>
      <c r="X253" s="284">
        <v>30</v>
      </c>
      <c r="Y253" s="313"/>
      <c r="Z253" s="285">
        <v>1728397.4215060698</v>
      </c>
      <c r="AA253" s="286">
        <v>0</v>
      </c>
      <c r="AB253" s="287">
        <v>177572.89697057407</v>
      </c>
      <c r="AC253" s="288">
        <v>0</v>
      </c>
      <c r="AD253" s="289">
        <v>1905970.3184766439</v>
      </c>
      <c r="AE253" s="266"/>
      <c r="AF253" s="285">
        <v>0</v>
      </c>
      <c r="AG253" s="286">
        <v>0</v>
      </c>
      <c r="AH253" s="286">
        <v>0</v>
      </c>
      <c r="AI253" s="290">
        <v>0</v>
      </c>
      <c r="AJ253" s="289">
        <v>0</v>
      </c>
      <c r="AK253" s="291">
        <v>1905970.3184766439</v>
      </c>
    </row>
    <row r="254" spans="1:37" x14ac:dyDescent="0.25">
      <c r="A254" s="264" t="s">
        <v>859</v>
      </c>
      <c r="B254" s="264" t="s">
        <v>857</v>
      </c>
      <c r="C254" s="264" t="s">
        <v>1422</v>
      </c>
      <c r="D254" s="264">
        <v>1696009</v>
      </c>
      <c r="E254" s="264" t="s">
        <v>1776</v>
      </c>
      <c r="F254" s="264">
        <v>2018</v>
      </c>
      <c r="G254" s="281">
        <v>0.9</v>
      </c>
      <c r="H254" s="264">
        <v>0.4</v>
      </c>
      <c r="I254" s="282">
        <v>0.5</v>
      </c>
      <c r="J254" s="281">
        <v>0</v>
      </c>
      <c r="K254" s="281">
        <v>0</v>
      </c>
      <c r="L254" s="264">
        <v>7</v>
      </c>
      <c r="M254" s="282">
        <v>0</v>
      </c>
      <c r="N254" s="281">
        <v>0</v>
      </c>
      <c r="O254" s="281"/>
      <c r="P254" s="263"/>
      <c r="Q254" s="313"/>
      <c r="R254" s="284">
        <v>0.9</v>
      </c>
      <c r="S254" s="284">
        <v>0.4</v>
      </c>
      <c r="T254" s="284">
        <v>0.5</v>
      </c>
      <c r="U254" s="284">
        <v>0</v>
      </c>
      <c r="V254" s="284">
        <v>0</v>
      </c>
      <c r="W254" s="284">
        <v>7</v>
      </c>
      <c r="X254" s="284">
        <v>0</v>
      </c>
      <c r="Y254" s="313"/>
      <c r="Z254" s="285">
        <v>558266.75976619928</v>
      </c>
      <c r="AA254" s="286">
        <v>0</v>
      </c>
      <c r="AB254" s="287">
        <v>143673.44989670083</v>
      </c>
      <c r="AC254" s="288">
        <v>0</v>
      </c>
      <c r="AD254" s="289">
        <v>701940.20966290007</v>
      </c>
      <c r="AE254" s="266"/>
      <c r="AF254" s="285">
        <v>0</v>
      </c>
      <c r="AG254" s="286">
        <v>0</v>
      </c>
      <c r="AH254" s="286">
        <v>48944</v>
      </c>
      <c r="AI254" s="290">
        <v>0</v>
      </c>
      <c r="AJ254" s="289">
        <v>48944</v>
      </c>
      <c r="AK254" s="291">
        <v>652996.20966290007</v>
      </c>
    </row>
    <row r="255" spans="1:37" x14ac:dyDescent="0.25">
      <c r="A255" s="264" t="s">
        <v>1388</v>
      </c>
      <c r="B255" s="264" t="s">
        <v>776</v>
      </c>
      <c r="C255" s="264" t="s">
        <v>1424</v>
      </c>
      <c r="D255" s="264">
        <v>1968420</v>
      </c>
      <c r="E255" s="264" t="s">
        <v>1879</v>
      </c>
      <c r="F255" s="264">
        <v>2018</v>
      </c>
      <c r="G255" s="281">
        <v>6.8</v>
      </c>
      <c r="H255" s="264">
        <v>0.2</v>
      </c>
      <c r="I255" s="282">
        <v>6.6</v>
      </c>
      <c r="J255" s="281">
        <v>0</v>
      </c>
      <c r="K255" s="281">
        <v>0</v>
      </c>
      <c r="L255" s="264">
        <v>58</v>
      </c>
      <c r="M255" s="282">
        <v>0</v>
      </c>
      <c r="N255" s="281">
        <v>0</v>
      </c>
      <c r="O255" s="281"/>
      <c r="P255" s="263"/>
      <c r="Q255" s="313"/>
      <c r="R255" s="284">
        <v>6.8</v>
      </c>
      <c r="S255" s="284">
        <v>0.2</v>
      </c>
      <c r="T255" s="284">
        <v>6.6</v>
      </c>
      <c r="U255" s="284">
        <v>0</v>
      </c>
      <c r="V255" s="284">
        <v>0</v>
      </c>
      <c r="W255" s="284">
        <v>58</v>
      </c>
      <c r="X255" s="284">
        <v>0</v>
      </c>
      <c r="Y255" s="313"/>
      <c r="Z255" s="285">
        <v>4218015.518233506</v>
      </c>
      <c r="AA255" s="286">
        <v>0</v>
      </c>
      <c r="AB255" s="287">
        <v>1190437.1562869498</v>
      </c>
      <c r="AC255" s="288">
        <v>0</v>
      </c>
      <c r="AD255" s="289">
        <v>5408452.6745204553</v>
      </c>
      <c r="AE255" s="266"/>
      <c r="AF255" s="285">
        <v>0</v>
      </c>
      <c r="AG255" s="286">
        <v>0</v>
      </c>
      <c r="AH255" s="286">
        <v>405536</v>
      </c>
      <c r="AI255" s="290">
        <v>0</v>
      </c>
      <c r="AJ255" s="289">
        <v>405536</v>
      </c>
      <c r="AK255" s="291">
        <v>5002916.6745204553</v>
      </c>
    </row>
    <row r="256" spans="1:37" x14ac:dyDescent="0.25">
      <c r="A256" s="264" t="s">
        <v>859</v>
      </c>
      <c r="B256" s="264" t="s">
        <v>947</v>
      </c>
      <c r="C256" s="264" t="s">
        <v>1425</v>
      </c>
      <c r="D256" s="264">
        <v>4720531</v>
      </c>
      <c r="E256" s="264" t="s">
        <v>1781</v>
      </c>
      <c r="F256" s="264">
        <v>2018</v>
      </c>
      <c r="G256" s="281">
        <v>1.25</v>
      </c>
      <c r="H256" s="264">
        <v>0</v>
      </c>
      <c r="I256" s="282">
        <v>1.25</v>
      </c>
      <c r="J256" s="281">
        <v>0</v>
      </c>
      <c r="K256" s="281">
        <v>0</v>
      </c>
      <c r="L256" s="264">
        <v>6</v>
      </c>
      <c r="M256" s="282">
        <v>0</v>
      </c>
      <c r="N256" s="281">
        <v>0</v>
      </c>
      <c r="O256" s="281"/>
      <c r="P256" s="263"/>
      <c r="Q256" s="313"/>
      <c r="R256" s="284">
        <v>1.25</v>
      </c>
      <c r="S256" s="284">
        <v>0</v>
      </c>
      <c r="T256" s="284">
        <v>1.25</v>
      </c>
      <c r="U256" s="284">
        <v>0</v>
      </c>
      <c r="V256" s="284">
        <v>0</v>
      </c>
      <c r="W256" s="284">
        <v>6</v>
      </c>
      <c r="X256" s="284">
        <v>0</v>
      </c>
      <c r="Y256" s="313"/>
      <c r="Z256" s="285">
        <v>775370.49967527681</v>
      </c>
      <c r="AA256" s="286">
        <v>0</v>
      </c>
      <c r="AB256" s="287">
        <v>123148.67134002928</v>
      </c>
      <c r="AC256" s="288">
        <v>0</v>
      </c>
      <c r="AD256" s="289">
        <v>898519.17101530614</v>
      </c>
      <c r="AE256" s="266"/>
      <c r="AF256" s="285">
        <v>0</v>
      </c>
      <c r="AG256" s="286">
        <v>0</v>
      </c>
      <c r="AH256" s="286">
        <v>41952</v>
      </c>
      <c r="AI256" s="290">
        <v>0</v>
      </c>
      <c r="AJ256" s="289">
        <v>41952</v>
      </c>
      <c r="AK256" s="291">
        <v>856567.17101530614</v>
      </c>
    </row>
    <row r="257" spans="1:37" x14ac:dyDescent="0.25">
      <c r="A257" s="264" t="s">
        <v>594</v>
      </c>
      <c r="B257" s="264" t="s">
        <v>1056</v>
      </c>
      <c r="C257" s="264" t="s">
        <v>1745</v>
      </c>
      <c r="D257" s="264">
        <v>3454870</v>
      </c>
      <c r="E257" s="264" t="s">
        <v>1086</v>
      </c>
      <c r="F257" s="264">
        <v>2018</v>
      </c>
      <c r="G257" s="281">
        <v>1.25</v>
      </c>
      <c r="H257" s="264">
        <v>1</v>
      </c>
      <c r="I257" s="282">
        <v>0</v>
      </c>
      <c r="J257" s="281">
        <v>0</v>
      </c>
      <c r="K257" s="281">
        <v>0.25</v>
      </c>
      <c r="L257" s="264">
        <v>0</v>
      </c>
      <c r="M257" s="282">
        <v>5</v>
      </c>
      <c r="N257" s="281">
        <v>0</v>
      </c>
      <c r="O257" s="281"/>
      <c r="P257" s="263"/>
      <c r="Q257" s="313"/>
      <c r="R257" s="284">
        <v>1.25</v>
      </c>
      <c r="S257" s="284">
        <v>1</v>
      </c>
      <c r="T257" s="284">
        <v>0</v>
      </c>
      <c r="U257" s="284">
        <v>0</v>
      </c>
      <c r="V257" s="284">
        <v>0.25</v>
      </c>
      <c r="W257" s="284">
        <v>0</v>
      </c>
      <c r="X257" s="284">
        <v>0</v>
      </c>
      <c r="Y257" s="313"/>
      <c r="Z257" s="285">
        <v>892535.21843834571</v>
      </c>
      <c r="AA257" s="286">
        <v>0</v>
      </c>
      <c r="AB257" s="287">
        <v>141670.04962495959</v>
      </c>
      <c r="AC257" s="288">
        <v>0</v>
      </c>
      <c r="AD257" s="289">
        <v>1034205.2680633053</v>
      </c>
      <c r="AE257" s="266"/>
      <c r="AF257" s="285">
        <v>0</v>
      </c>
      <c r="AG257" s="286">
        <v>0</v>
      </c>
      <c r="AH257" s="286">
        <v>0</v>
      </c>
      <c r="AI257" s="290">
        <v>0</v>
      </c>
      <c r="AJ257" s="289">
        <v>0</v>
      </c>
      <c r="AK257" s="291">
        <v>1034205.2680633053</v>
      </c>
    </row>
    <row r="258" spans="1:37" x14ac:dyDescent="0.25">
      <c r="A258" s="264" t="s">
        <v>1020</v>
      </c>
      <c r="B258" s="264" t="s">
        <v>1018</v>
      </c>
      <c r="C258" s="264" t="s">
        <v>1437</v>
      </c>
      <c r="D258" s="264">
        <v>5369609</v>
      </c>
      <c r="E258" s="264" t="s">
        <v>1772</v>
      </c>
      <c r="F258" s="264">
        <v>2018</v>
      </c>
      <c r="G258" s="281">
        <v>3.5</v>
      </c>
      <c r="H258" s="264">
        <v>1.5</v>
      </c>
      <c r="I258" s="282">
        <v>2</v>
      </c>
      <c r="J258" s="281">
        <v>0</v>
      </c>
      <c r="K258" s="281">
        <v>0</v>
      </c>
      <c r="L258" s="264">
        <v>0</v>
      </c>
      <c r="M258" s="282">
        <v>120</v>
      </c>
      <c r="N258" s="281">
        <v>0</v>
      </c>
      <c r="O258" s="281"/>
      <c r="P258" s="263"/>
      <c r="Q258" s="313"/>
      <c r="R258" s="284">
        <v>3.5</v>
      </c>
      <c r="S258" s="284">
        <v>1.5</v>
      </c>
      <c r="T258" s="284">
        <v>2</v>
      </c>
      <c r="U258" s="284">
        <v>0</v>
      </c>
      <c r="V258" s="284">
        <v>0</v>
      </c>
      <c r="W258" s="284">
        <v>0</v>
      </c>
      <c r="X258" s="284">
        <v>0</v>
      </c>
      <c r="Y258" s="313"/>
      <c r="Z258" s="285">
        <v>2054479.6393949222</v>
      </c>
      <c r="AA258" s="286">
        <v>0</v>
      </c>
      <c r="AB258" s="287">
        <v>149314.07824300879</v>
      </c>
      <c r="AC258" s="288">
        <v>0</v>
      </c>
      <c r="AD258" s="289">
        <v>2203793.717637931</v>
      </c>
      <c r="AE258" s="266"/>
      <c r="AF258" s="285">
        <v>0</v>
      </c>
      <c r="AG258" s="286">
        <v>0</v>
      </c>
      <c r="AH258" s="286">
        <v>0</v>
      </c>
      <c r="AI258" s="290">
        <v>0</v>
      </c>
      <c r="AJ258" s="289">
        <v>0</v>
      </c>
      <c r="AK258" s="291">
        <v>2203793.717637931</v>
      </c>
    </row>
    <row r="259" spans="1:37" x14ac:dyDescent="0.25">
      <c r="A259" s="264" t="s">
        <v>1436</v>
      </c>
      <c r="B259" s="264" t="s">
        <v>332</v>
      </c>
      <c r="C259" s="264" t="s">
        <v>1435</v>
      </c>
      <c r="D259" s="264">
        <v>4987165</v>
      </c>
      <c r="E259" s="264" t="s">
        <v>1772</v>
      </c>
      <c r="F259" s="264">
        <v>2018</v>
      </c>
      <c r="G259" s="281">
        <v>4.5</v>
      </c>
      <c r="H259" s="264">
        <v>2.5</v>
      </c>
      <c r="I259" s="282">
        <v>2</v>
      </c>
      <c r="J259" s="281">
        <v>0</v>
      </c>
      <c r="K259" s="281">
        <v>0</v>
      </c>
      <c r="L259" s="264">
        <v>0</v>
      </c>
      <c r="M259" s="282">
        <v>234</v>
      </c>
      <c r="N259" s="281">
        <v>0</v>
      </c>
      <c r="O259" s="281"/>
      <c r="P259" s="263"/>
      <c r="Q259" s="313"/>
      <c r="R259" s="284">
        <v>4.5</v>
      </c>
      <c r="S259" s="284">
        <v>2.5</v>
      </c>
      <c r="T259" s="284">
        <v>2</v>
      </c>
      <c r="U259" s="284">
        <v>0</v>
      </c>
      <c r="V259" s="284">
        <v>0</v>
      </c>
      <c r="W259" s="284">
        <v>0</v>
      </c>
      <c r="X259" s="284">
        <v>0</v>
      </c>
      <c r="Y259" s="313"/>
      <c r="Z259" s="285">
        <v>2641473.8220791854</v>
      </c>
      <c r="AA259" s="286">
        <v>0</v>
      </c>
      <c r="AB259" s="287">
        <v>191975.24345529699</v>
      </c>
      <c r="AC259" s="288">
        <v>0</v>
      </c>
      <c r="AD259" s="289">
        <v>2833449.0655344822</v>
      </c>
      <c r="AE259" s="266"/>
      <c r="AF259" s="285">
        <v>0</v>
      </c>
      <c r="AG259" s="286">
        <v>0</v>
      </c>
      <c r="AH259" s="286">
        <v>0</v>
      </c>
      <c r="AI259" s="290">
        <v>0</v>
      </c>
      <c r="AJ259" s="289">
        <v>0</v>
      </c>
      <c r="AK259" s="291">
        <v>2833449.0655344822</v>
      </c>
    </row>
    <row r="260" spans="1:37" x14ac:dyDescent="0.25">
      <c r="A260" s="264" t="s">
        <v>1433</v>
      </c>
      <c r="B260" s="264" t="s">
        <v>553</v>
      </c>
      <c r="C260" s="264" t="s">
        <v>1432</v>
      </c>
      <c r="D260" s="264">
        <v>4526227</v>
      </c>
      <c r="E260" s="264" t="s">
        <v>1776</v>
      </c>
      <c r="F260" s="264">
        <v>2018</v>
      </c>
      <c r="G260" s="281">
        <v>2.95</v>
      </c>
      <c r="H260" s="264">
        <v>1.5</v>
      </c>
      <c r="I260" s="282">
        <v>1.45</v>
      </c>
      <c r="J260" s="281">
        <v>0</v>
      </c>
      <c r="K260" s="281">
        <v>0</v>
      </c>
      <c r="L260" s="264">
        <v>0</v>
      </c>
      <c r="M260" s="282">
        <v>29</v>
      </c>
      <c r="N260" s="281">
        <v>0</v>
      </c>
      <c r="O260" s="281"/>
      <c r="P260" s="263"/>
      <c r="Q260" s="313"/>
      <c r="R260" s="284">
        <v>2.95</v>
      </c>
      <c r="S260" s="284">
        <v>1.5</v>
      </c>
      <c r="T260" s="284">
        <v>1.45</v>
      </c>
      <c r="U260" s="284">
        <v>0</v>
      </c>
      <c r="V260" s="284">
        <v>0</v>
      </c>
      <c r="W260" s="284">
        <v>0</v>
      </c>
      <c r="X260" s="284">
        <v>0</v>
      </c>
      <c r="Y260" s="313"/>
      <c r="Z260" s="285">
        <v>1731632.8389185772</v>
      </c>
      <c r="AA260" s="286">
        <v>0</v>
      </c>
      <c r="AB260" s="287">
        <v>125850.43737625027</v>
      </c>
      <c r="AC260" s="288">
        <v>0</v>
      </c>
      <c r="AD260" s="289">
        <v>1857483.2762948275</v>
      </c>
      <c r="AE260" s="266"/>
      <c r="AF260" s="285">
        <v>0</v>
      </c>
      <c r="AG260" s="286">
        <v>0</v>
      </c>
      <c r="AH260" s="286">
        <v>0</v>
      </c>
      <c r="AI260" s="290">
        <v>0</v>
      </c>
      <c r="AJ260" s="289">
        <v>0</v>
      </c>
      <c r="AK260" s="291">
        <v>1857483.2762948275</v>
      </c>
    </row>
    <row r="261" spans="1:37" x14ac:dyDescent="0.25">
      <c r="A261" s="264" t="s">
        <v>918</v>
      </c>
      <c r="B261" s="264" t="s">
        <v>909</v>
      </c>
      <c r="C261" s="264" t="s">
        <v>1443</v>
      </c>
      <c r="D261" s="264">
        <v>9659243</v>
      </c>
      <c r="E261" s="264" t="s">
        <v>1879</v>
      </c>
      <c r="F261" s="264">
        <v>2018</v>
      </c>
      <c r="G261" s="281">
        <v>1.2</v>
      </c>
      <c r="H261" s="264">
        <v>1.2</v>
      </c>
      <c r="I261" s="282">
        <v>0</v>
      </c>
      <c r="J261" s="281">
        <v>0</v>
      </c>
      <c r="K261" s="281">
        <v>0</v>
      </c>
      <c r="L261" s="264">
        <v>0</v>
      </c>
      <c r="M261" s="282">
        <v>44</v>
      </c>
      <c r="N261" s="281">
        <v>0</v>
      </c>
      <c r="O261" s="281"/>
      <c r="P261" s="263"/>
      <c r="Q261" s="313"/>
      <c r="R261" s="284">
        <v>1.2</v>
      </c>
      <c r="S261" s="284">
        <v>1.2</v>
      </c>
      <c r="T261" s="284">
        <v>0</v>
      </c>
      <c r="U261" s="284">
        <v>0</v>
      </c>
      <c r="V261" s="284">
        <v>0</v>
      </c>
      <c r="W261" s="284">
        <v>0</v>
      </c>
      <c r="X261" s="284">
        <v>0</v>
      </c>
      <c r="Y261" s="313"/>
      <c r="Z261" s="285">
        <v>704393.01922111609</v>
      </c>
      <c r="AA261" s="286">
        <v>0</v>
      </c>
      <c r="AB261" s="287">
        <v>51193.398254745865</v>
      </c>
      <c r="AC261" s="288">
        <v>0</v>
      </c>
      <c r="AD261" s="289">
        <v>755586.41747586196</v>
      </c>
      <c r="AE261" s="266"/>
      <c r="AF261" s="285">
        <v>0</v>
      </c>
      <c r="AG261" s="286">
        <v>0</v>
      </c>
      <c r="AH261" s="286">
        <v>0</v>
      </c>
      <c r="AI261" s="290">
        <v>0</v>
      </c>
      <c r="AJ261" s="289">
        <v>0</v>
      </c>
      <c r="AK261" s="291">
        <v>755586.41747586196</v>
      </c>
    </row>
    <row r="262" spans="1:37" x14ac:dyDescent="0.25">
      <c r="A262" s="264" t="s">
        <v>1549</v>
      </c>
      <c r="B262" s="264" t="s">
        <v>909</v>
      </c>
      <c r="C262" s="264" t="s">
        <v>1746</v>
      </c>
      <c r="D262" s="264">
        <v>3588592</v>
      </c>
      <c r="E262" s="264" t="s">
        <v>1879</v>
      </c>
      <c r="F262" s="264">
        <v>2018</v>
      </c>
      <c r="G262" s="281">
        <v>0.62</v>
      </c>
      <c r="H262" s="264">
        <v>0.62</v>
      </c>
      <c r="I262" s="282">
        <v>0</v>
      </c>
      <c r="J262" s="281">
        <v>0</v>
      </c>
      <c r="K262" s="281">
        <v>0</v>
      </c>
      <c r="L262" s="264">
        <v>0</v>
      </c>
      <c r="M262" s="282">
        <v>26</v>
      </c>
      <c r="N262" s="281">
        <v>0</v>
      </c>
      <c r="O262" s="281"/>
      <c r="P262" s="263"/>
      <c r="Q262" s="313"/>
      <c r="R262" s="284">
        <v>0.62</v>
      </c>
      <c r="S262" s="284">
        <v>0.62</v>
      </c>
      <c r="T262" s="284">
        <v>0</v>
      </c>
      <c r="U262" s="284">
        <v>0</v>
      </c>
      <c r="V262" s="284">
        <v>0</v>
      </c>
      <c r="W262" s="284">
        <v>0</v>
      </c>
      <c r="X262" s="284">
        <v>0</v>
      </c>
      <c r="Y262" s="313"/>
      <c r="Z262" s="285">
        <v>363936.39326424332</v>
      </c>
      <c r="AA262" s="286">
        <v>0</v>
      </c>
      <c r="AB262" s="287">
        <v>26449.922431618699</v>
      </c>
      <c r="AC262" s="288">
        <v>0</v>
      </c>
      <c r="AD262" s="289">
        <v>390386.31569586199</v>
      </c>
      <c r="AE262" s="266"/>
      <c r="AF262" s="285">
        <v>0</v>
      </c>
      <c r="AG262" s="286">
        <v>0</v>
      </c>
      <c r="AH262" s="286">
        <v>0</v>
      </c>
      <c r="AI262" s="290">
        <v>0</v>
      </c>
      <c r="AJ262" s="289">
        <v>0</v>
      </c>
      <c r="AK262" s="291">
        <v>390386.31569586199</v>
      </c>
    </row>
    <row r="263" spans="1:37" x14ac:dyDescent="0.25">
      <c r="A263" s="264" t="s">
        <v>1524</v>
      </c>
      <c r="B263" s="264" t="s">
        <v>909</v>
      </c>
      <c r="C263" s="264" t="s">
        <v>1434</v>
      </c>
      <c r="D263" s="264">
        <v>4533728</v>
      </c>
      <c r="E263" s="264" t="s">
        <v>1879</v>
      </c>
      <c r="F263" s="264">
        <v>2018</v>
      </c>
      <c r="G263" s="281">
        <v>5.8</v>
      </c>
      <c r="H263" s="264">
        <v>5.25</v>
      </c>
      <c r="I263" s="282">
        <v>0.5</v>
      </c>
      <c r="J263" s="281">
        <v>0</v>
      </c>
      <c r="K263" s="281">
        <v>0.05</v>
      </c>
      <c r="L263" s="264">
        <v>0</v>
      </c>
      <c r="M263" s="282">
        <v>128</v>
      </c>
      <c r="N263" s="281">
        <v>40</v>
      </c>
      <c r="O263" s="281"/>
      <c r="P263" s="263"/>
      <c r="Q263" s="313"/>
      <c r="R263" s="284">
        <v>5.8</v>
      </c>
      <c r="S263" s="284">
        <v>5.25</v>
      </c>
      <c r="T263" s="284">
        <v>0.5</v>
      </c>
      <c r="U263" s="284">
        <v>0</v>
      </c>
      <c r="V263" s="284">
        <v>0.05</v>
      </c>
      <c r="W263" s="284">
        <v>0</v>
      </c>
      <c r="X263" s="284">
        <v>40</v>
      </c>
      <c r="Y263" s="313"/>
      <c r="Z263" s="285">
        <v>3404566.259568728</v>
      </c>
      <c r="AA263" s="286">
        <v>0</v>
      </c>
      <c r="AB263" s="287">
        <v>247434.75823127167</v>
      </c>
      <c r="AC263" s="288">
        <v>0</v>
      </c>
      <c r="AD263" s="289">
        <v>3652001.0177999996</v>
      </c>
      <c r="AE263" s="266"/>
      <c r="AF263" s="285">
        <v>0</v>
      </c>
      <c r="AG263" s="286">
        <v>0</v>
      </c>
      <c r="AH263" s="286">
        <v>0</v>
      </c>
      <c r="AI263" s="290">
        <v>0</v>
      </c>
      <c r="AJ263" s="289">
        <v>0</v>
      </c>
      <c r="AK263" s="291">
        <v>3652001.0177999996</v>
      </c>
    </row>
    <row r="264" spans="1:37" x14ac:dyDescent="0.25">
      <c r="A264" s="264" t="s">
        <v>1553</v>
      </c>
      <c r="B264" s="264" t="s">
        <v>909</v>
      </c>
      <c r="C264" s="264" t="s">
        <v>1747</v>
      </c>
      <c r="D264" s="264">
        <v>4467429</v>
      </c>
      <c r="E264" s="264" t="s">
        <v>1879</v>
      </c>
      <c r="F264" s="264">
        <v>2018</v>
      </c>
      <c r="G264" s="281">
        <v>5.75</v>
      </c>
      <c r="H264" s="264">
        <v>5</v>
      </c>
      <c r="I264" s="282">
        <v>0</v>
      </c>
      <c r="J264" s="281">
        <v>0</v>
      </c>
      <c r="K264" s="281">
        <v>0.75</v>
      </c>
      <c r="L264" s="264">
        <v>0</v>
      </c>
      <c r="M264" s="282">
        <v>132</v>
      </c>
      <c r="N264" s="281">
        <v>42</v>
      </c>
      <c r="O264" s="281"/>
      <c r="P264" s="263"/>
      <c r="Q264" s="313"/>
      <c r="R264" s="284">
        <v>5.75</v>
      </c>
      <c r="S264" s="284">
        <v>5</v>
      </c>
      <c r="T264" s="284">
        <v>0</v>
      </c>
      <c r="U264" s="284">
        <v>0</v>
      </c>
      <c r="V264" s="284">
        <v>0.75</v>
      </c>
      <c r="W264" s="284">
        <v>0</v>
      </c>
      <c r="X264" s="284">
        <v>42</v>
      </c>
      <c r="Y264" s="313"/>
      <c r="Z264" s="285">
        <v>3375216.5504345149</v>
      </c>
      <c r="AA264" s="286">
        <v>0</v>
      </c>
      <c r="AB264" s="287">
        <v>245301.69997065727</v>
      </c>
      <c r="AC264" s="288">
        <v>0</v>
      </c>
      <c r="AD264" s="289">
        <v>3620518.2504051724</v>
      </c>
      <c r="AE264" s="266"/>
      <c r="AF264" s="285">
        <v>0</v>
      </c>
      <c r="AG264" s="286">
        <v>0</v>
      </c>
      <c r="AH264" s="286">
        <v>0</v>
      </c>
      <c r="AI264" s="290">
        <v>0</v>
      </c>
      <c r="AJ264" s="289">
        <v>0</v>
      </c>
      <c r="AK264" s="291">
        <v>3620518.2504051724</v>
      </c>
    </row>
    <row r="265" spans="1:37" x14ac:dyDescent="0.25">
      <c r="A265" s="264" t="s">
        <v>372</v>
      </c>
      <c r="B265" s="264" t="s">
        <v>367</v>
      </c>
      <c r="C265" s="264" t="s">
        <v>1441</v>
      </c>
      <c r="D265" s="264">
        <v>8946698</v>
      </c>
      <c r="E265" s="264" t="s">
        <v>1780</v>
      </c>
      <c r="F265" s="264">
        <v>2018</v>
      </c>
      <c r="G265" s="281">
        <v>4</v>
      </c>
      <c r="H265" s="264">
        <v>2</v>
      </c>
      <c r="I265" s="282">
        <v>2</v>
      </c>
      <c r="J265" s="281">
        <v>0</v>
      </c>
      <c r="K265" s="281">
        <v>0</v>
      </c>
      <c r="L265" s="264">
        <v>0</v>
      </c>
      <c r="M265" s="282">
        <v>55</v>
      </c>
      <c r="N265" s="281">
        <v>0</v>
      </c>
      <c r="O265" s="281"/>
      <c r="P265" s="263"/>
      <c r="Q265" s="313"/>
      <c r="R265" s="284">
        <v>4</v>
      </c>
      <c r="S265" s="284">
        <v>2</v>
      </c>
      <c r="T265" s="284">
        <v>2</v>
      </c>
      <c r="U265" s="284">
        <v>0</v>
      </c>
      <c r="V265" s="284">
        <v>0</v>
      </c>
      <c r="W265" s="284">
        <v>0</v>
      </c>
      <c r="X265" s="284">
        <v>0</v>
      </c>
      <c r="Y265" s="313"/>
      <c r="Z265" s="285">
        <v>2347976.7307370538</v>
      </c>
      <c r="AA265" s="286">
        <v>0</v>
      </c>
      <c r="AB265" s="287">
        <v>170644.66084915289</v>
      </c>
      <c r="AC265" s="288">
        <v>0</v>
      </c>
      <c r="AD265" s="289">
        <v>2518621.3915862069</v>
      </c>
      <c r="AE265" s="266"/>
      <c r="AF265" s="285">
        <v>0</v>
      </c>
      <c r="AG265" s="286">
        <v>0</v>
      </c>
      <c r="AH265" s="286">
        <v>0</v>
      </c>
      <c r="AI265" s="290">
        <v>0</v>
      </c>
      <c r="AJ265" s="289">
        <v>0</v>
      </c>
      <c r="AK265" s="291">
        <v>2518621.3915862069</v>
      </c>
    </row>
    <row r="266" spans="1:37" x14ac:dyDescent="0.25">
      <c r="A266" s="264" t="s">
        <v>372</v>
      </c>
      <c r="B266" s="264" t="s">
        <v>367</v>
      </c>
      <c r="C266" s="264" t="s">
        <v>1442</v>
      </c>
      <c r="D266" s="264">
        <v>8946698</v>
      </c>
      <c r="E266" s="264" t="s">
        <v>1780</v>
      </c>
      <c r="F266" s="264">
        <v>2018</v>
      </c>
      <c r="G266" s="281">
        <v>2</v>
      </c>
      <c r="H266" s="264">
        <v>1</v>
      </c>
      <c r="I266" s="282">
        <v>1</v>
      </c>
      <c r="J266" s="281">
        <v>0</v>
      </c>
      <c r="K266" s="281">
        <v>0</v>
      </c>
      <c r="L266" s="264">
        <v>0</v>
      </c>
      <c r="M266" s="282">
        <v>35</v>
      </c>
      <c r="N266" s="281">
        <v>0</v>
      </c>
      <c r="O266" s="281"/>
      <c r="P266" s="263"/>
      <c r="Q266" s="313"/>
      <c r="R266" s="284">
        <v>2</v>
      </c>
      <c r="S266" s="284">
        <v>1</v>
      </c>
      <c r="T266" s="284">
        <v>1</v>
      </c>
      <c r="U266" s="284">
        <v>0</v>
      </c>
      <c r="V266" s="284">
        <v>0</v>
      </c>
      <c r="W266" s="284">
        <v>0</v>
      </c>
      <c r="X266" s="284">
        <v>0</v>
      </c>
      <c r="Y266" s="313"/>
      <c r="Z266" s="285">
        <v>1173988.3653685269</v>
      </c>
      <c r="AA266" s="286">
        <v>0</v>
      </c>
      <c r="AB266" s="287">
        <v>85322.330424576445</v>
      </c>
      <c r="AC266" s="288">
        <v>0</v>
      </c>
      <c r="AD266" s="289">
        <v>1259310.6957931034</v>
      </c>
      <c r="AE266" s="266"/>
      <c r="AF266" s="285">
        <v>0</v>
      </c>
      <c r="AG266" s="286">
        <v>0</v>
      </c>
      <c r="AH266" s="286">
        <v>0</v>
      </c>
      <c r="AI266" s="290">
        <v>0</v>
      </c>
      <c r="AJ266" s="289">
        <v>0</v>
      </c>
      <c r="AK266" s="291">
        <v>1259310.6957931034</v>
      </c>
    </row>
    <row r="267" spans="1:37" x14ac:dyDescent="0.25">
      <c r="A267" s="264" t="s">
        <v>379</v>
      </c>
      <c r="B267" s="264" t="s">
        <v>805</v>
      </c>
      <c r="C267" s="264" t="s">
        <v>1429</v>
      </c>
      <c r="D267" s="264">
        <v>1907533</v>
      </c>
      <c r="E267" s="264" t="s">
        <v>1781</v>
      </c>
      <c r="F267" s="264">
        <v>2018</v>
      </c>
      <c r="G267" s="281">
        <v>5.5</v>
      </c>
      <c r="H267" s="264">
        <v>4.5</v>
      </c>
      <c r="I267" s="282">
        <v>0</v>
      </c>
      <c r="J267" s="281">
        <v>0</v>
      </c>
      <c r="K267" s="281">
        <v>1</v>
      </c>
      <c r="L267" s="264">
        <v>0</v>
      </c>
      <c r="M267" s="282">
        <v>0</v>
      </c>
      <c r="N267" s="281">
        <v>40</v>
      </c>
      <c r="O267" s="281"/>
      <c r="P267" s="263"/>
      <c r="Q267" s="313"/>
      <c r="R267" s="284">
        <v>5.5</v>
      </c>
      <c r="S267" s="284">
        <v>4.5</v>
      </c>
      <c r="T267" s="284">
        <v>0</v>
      </c>
      <c r="U267" s="284">
        <v>0</v>
      </c>
      <c r="V267" s="284">
        <v>1</v>
      </c>
      <c r="W267" s="284">
        <v>0</v>
      </c>
      <c r="X267" s="284">
        <v>40</v>
      </c>
      <c r="Y267" s="313"/>
      <c r="Z267" s="285">
        <v>3228468.0047634491</v>
      </c>
      <c r="AA267" s="286">
        <v>0</v>
      </c>
      <c r="AB267" s="287">
        <v>234636.40866758523</v>
      </c>
      <c r="AC267" s="288">
        <v>0</v>
      </c>
      <c r="AD267" s="289">
        <v>3463104.4134310344</v>
      </c>
      <c r="AE267" s="266"/>
      <c r="AF267" s="285">
        <v>0</v>
      </c>
      <c r="AG267" s="286">
        <v>0</v>
      </c>
      <c r="AH267" s="286">
        <v>0</v>
      </c>
      <c r="AI267" s="290">
        <v>0</v>
      </c>
      <c r="AJ267" s="289">
        <v>0</v>
      </c>
      <c r="AK267" s="291">
        <v>3463104.4134310344</v>
      </c>
    </row>
    <row r="268" spans="1:37" x14ac:dyDescent="0.25">
      <c r="A268" s="264" t="s">
        <v>918</v>
      </c>
      <c r="B268" s="264" t="s">
        <v>909</v>
      </c>
      <c r="C268" s="264" t="s">
        <v>1429</v>
      </c>
      <c r="D268" s="264">
        <v>9659243</v>
      </c>
      <c r="E268" s="264" t="s">
        <v>1781</v>
      </c>
      <c r="F268" s="264">
        <v>2018</v>
      </c>
      <c r="G268" s="281">
        <v>0.9</v>
      </c>
      <c r="H268" s="264">
        <v>0.9</v>
      </c>
      <c r="I268" s="282">
        <v>0</v>
      </c>
      <c r="J268" s="281">
        <v>0</v>
      </c>
      <c r="K268" s="281">
        <v>0</v>
      </c>
      <c r="L268" s="264">
        <v>0</v>
      </c>
      <c r="M268" s="282">
        <v>44</v>
      </c>
      <c r="N268" s="281">
        <v>0</v>
      </c>
      <c r="O268" s="281"/>
      <c r="P268" s="263"/>
      <c r="Q268" s="313"/>
      <c r="R268" s="284">
        <v>0.9</v>
      </c>
      <c r="S268" s="284">
        <v>0.9</v>
      </c>
      <c r="T268" s="284">
        <v>0</v>
      </c>
      <c r="U268" s="284">
        <v>0</v>
      </c>
      <c r="V268" s="284">
        <v>0</v>
      </c>
      <c r="W268" s="284">
        <v>0</v>
      </c>
      <c r="X268" s="284">
        <v>0</v>
      </c>
      <c r="Y268" s="313"/>
      <c r="Z268" s="285">
        <v>528294.76441583713</v>
      </c>
      <c r="AA268" s="286">
        <v>0</v>
      </c>
      <c r="AB268" s="287">
        <v>38395.048691059405</v>
      </c>
      <c r="AC268" s="288">
        <v>0</v>
      </c>
      <c r="AD268" s="289">
        <v>566689.81310689659</v>
      </c>
      <c r="AE268" s="266"/>
      <c r="AF268" s="285">
        <v>0</v>
      </c>
      <c r="AG268" s="286">
        <v>0</v>
      </c>
      <c r="AH268" s="286">
        <v>0</v>
      </c>
      <c r="AI268" s="290">
        <v>0</v>
      </c>
      <c r="AJ268" s="289">
        <v>0</v>
      </c>
      <c r="AK268" s="291">
        <v>566689.81310689659</v>
      </c>
    </row>
    <row r="269" spans="1:37" x14ac:dyDescent="0.25">
      <c r="A269" s="264" t="s">
        <v>1549</v>
      </c>
      <c r="B269" s="264" t="s">
        <v>909</v>
      </c>
      <c r="C269" s="264" t="s">
        <v>1748</v>
      </c>
      <c r="D269" s="264">
        <v>3588592</v>
      </c>
      <c r="E269" s="264" t="s">
        <v>1781</v>
      </c>
      <c r="F269" s="264">
        <v>2018</v>
      </c>
      <c r="G269" s="281">
        <v>0.3</v>
      </c>
      <c r="H269" s="264">
        <v>0.3</v>
      </c>
      <c r="I269" s="282">
        <v>0</v>
      </c>
      <c r="J269" s="281">
        <v>0</v>
      </c>
      <c r="K269" s="281">
        <v>0</v>
      </c>
      <c r="L269" s="264">
        <v>0</v>
      </c>
      <c r="M269" s="282">
        <v>26</v>
      </c>
      <c r="N269" s="281">
        <v>0</v>
      </c>
      <c r="O269" s="281"/>
      <c r="P269" s="263"/>
      <c r="Q269" s="313"/>
      <c r="R269" s="284">
        <v>0.3</v>
      </c>
      <c r="S269" s="284">
        <v>0.3</v>
      </c>
      <c r="T269" s="284">
        <v>0</v>
      </c>
      <c r="U269" s="284">
        <v>0</v>
      </c>
      <c r="V269" s="284">
        <v>0</v>
      </c>
      <c r="W269" s="284">
        <v>0</v>
      </c>
      <c r="X269" s="284">
        <v>0</v>
      </c>
      <c r="Y269" s="313"/>
      <c r="Z269" s="285">
        <v>176098.25480527902</v>
      </c>
      <c r="AA269" s="286">
        <v>0</v>
      </c>
      <c r="AB269" s="287">
        <v>12798.349563686466</v>
      </c>
      <c r="AC269" s="288">
        <v>0</v>
      </c>
      <c r="AD269" s="289">
        <v>188896.60436896549</v>
      </c>
      <c r="AE269" s="266"/>
      <c r="AF269" s="285">
        <v>0</v>
      </c>
      <c r="AG269" s="286">
        <v>0</v>
      </c>
      <c r="AH269" s="286">
        <v>0</v>
      </c>
      <c r="AI269" s="290">
        <v>0</v>
      </c>
      <c r="AJ269" s="289">
        <v>0</v>
      </c>
      <c r="AK269" s="291">
        <v>188896.60436896549</v>
      </c>
    </row>
    <row r="270" spans="1:37" x14ac:dyDescent="0.25">
      <c r="A270" s="264" t="s">
        <v>379</v>
      </c>
      <c r="B270" s="264" t="s">
        <v>805</v>
      </c>
      <c r="C270" s="264" t="s">
        <v>1430</v>
      </c>
      <c r="D270" s="264">
        <v>1907533</v>
      </c>
      <c r="E270" s="264" t="s">
        <v>1781</v>
      </c>
      <c r="F270" s="264">
        <v>2018</v>
      </c>
      <c r="G270" s="281">
        <v>2</v>
      </c>
      <c r="H270" s="264">
        <v>2</v>
      </c>
      <c r="I270" s="282">
        <v>0</v>
      </c>
      <c r="J270" s="281">
        <v>0</v>
      </c>
      <c r="K270" s="281">
        <v>0</v>
      </c>
      <c r="L270" s="264">
        <v>0</v>
      </c>
      <c r="M270" s="282">
        <v>0</v>
      </c>
      <c r="N270" s="281">
        <v>40</v>
      </c>
      <c r="O270" s="281"/>
      <c r="P270" s="263"/>
      <c r="Q270" s="313"/>
      <c r="R270" s="284">
        <v>2</v>
      </c>
      <c r="S270" s="284">
        <v>2</v>
      </c>
      <c r="T270" s="284">
        <v>0</v>
      </c>
      <c r="U270" s="284">
        <v>0</v>
      </c>
      <c r="V270" s="284">
        <v>0</v>
      </c>
      <c r="W270" s="284">
        <v>0</v>
      </c>
      <c r="X270" s="284">
        <v>40</v>
      </c>
      <c r="Y270" s="313"/>
      <c r="Z270" s="285">
        <v>1173988.3653685269</v>
      </c>
      <c r="AA270" s="286">
        <v>0</v>
      </c>
      <c r="AB270" s="287">
        <v>85322.330424576445</v>
      </c>
      <c r="AC270" s="288">
        <v>0</v>
      </c>
      <c r="AD270" s="289">
        <v>1259310.6957931034</v>
      </c>
      <c r="AE270" s="266"/>
      <c r="AF270" s="285">
        <v>0</v>
      </c>
      <c r="AG270" s="286">
        <v>0</v>
      </c>
      <c r="AH270" s="286">
        <v>0</v>
      </c>
      <c r="AI270" s="290">
        <v>0</v>
      </c>
      <c r="AJ270" s="289">
        <v>0</v>
      </c>
      <c r="AK270" s="291">
        <v>1259310.6957931034</v>
      </c>
    </row>
    <row r="271" spans="1:37" x14ac:dyDescent="0.25">
      <c r="A271" s="264" t="s">
        <v>379</v>
      </c>
      <c r="B271" s="264" t="s">
        <v>1529</v>
      </c>
      <c r="C271" s="264" t="s">
        <v>1749</v>
      </c>
      <c r="D271" s="264">
        <v>8535980</v>
      </c>
      <c r="E271" s="264" t="s">
        <v>1086</v>
      </c>
      <c r="F271" s="264">
        <v>2018</v>
      </c>
      <c r="G271" s="281">
        <v>0</v>
      </c>
      <c r="H271" s="264">
        <v>0</v>
      </c>
      <c r="I271" s="282">
        <v>0</v>
      </c>
      <c r="J271" s="281">
        <v>0</v>
      </c>
      <c r="K271" s="281">
        <v>0</v>
      </c>
      <c r="L271" s="264">
        <v>0</v>
      </c>
      <c r="M271" s="282">
        <v>0</v>
      </c>
      <c r="N271" s="281">
        <v>0</v>
      </c>
      <c r="O271" s="281"/>
      <c r="P271" s="263"/>
      <c r="Q271" s="313"/>
      <c r="R271" s="284">
        <v>0</v>
      </c>
      <c r="S271" s="284">
        <v>0</v>
      </c>
      <c r="T271" s="284">
        <v>0</v>
      </c>
      <c r="U271" s="284">
        <v>0</v>
      </c>
      <c r="V271" s="284">
        <v>0</v>
      </c>
      <c r="W271" s="284">
        <v>0</v>
      </c>
      <c r="X271" s="284">
        <v>0</v>
      </c>
      <c r="Y271" s="313"/>
      <c r="Z271" s="285">
        <v>0</v>
      </c>
      <c r="AA271" s="286">
        <v>0</v>
      </c>
      <c r="AB271" s="287">
        <v>0</v>
      </c>
      <c r="AC271" s="288">
        <v>0</v>
      </c>
      <c r="AD271" s="289">
        <v>0</v>
      </c>
      <c r="AE271" s="266"/>
      <c r="AF271" s="285">
        <v>0</v>
      </c>
      <c r="AG271" s="286">
        <v>0</v>
      </c>
      <c r="AH271" s="286">
        <v>0</v>
      </c>
      <c r="AI271" s="290">
        <v>0</v>
      </c>
      <c r="AJ271" s="289">
        <v>0</v>
      </c>
      <c r="AK271" s="291">
        <v>0</v>
      </c>
    </row>
    <row r="272" spans="1:37" x14ac:dyDescent="0.25">
      <c r="A272" s="264" t="s">
        <v>918</v>
      </c>
      <c r="B272" s="264" t="s">
        <v>909</v>
      </c>
      <c r="C272" s="264" t="s">
        <v>1444</v>
      </c>
      <c r="D272" s="264">
        <v>9659243</v>
      </c>
      <c r="E272" s="264" t="s">
        <v>1787</v>
      </c>
      <c r="F272" s="264">
        <v>2018</v>
      </c>
      <c r="G272" s="281">
        <v>1.5</v>
      </c>
      <c r="H272" s="264">
        <v>0.5</v>
      </c>
      <c r="I272" s="282">
        <v>1</v>
      </c>
      <c r="J272" s="281">
        <v>0</v>
      </c>
      <c r="K272" s="281">
        <v>0</v>
      </c>
      <c r="L272" s="264">
        <v>0</v>
      </c>
      <c r="M272" s="282">
        <v>44</v>
      </c>
      <c r="N272" s="281">
        <v>0</v>
      </c>
      <c r="O272" s="281"/>
      <c r="P272" s="263"/>
      <c r="Q272" s="313"/>
      <c r="R272" s="284">
        <v>1.5</v>
      </c>
      <c r="S272" s="284">
        <v>0.5</v>
      </c>
      <c r="T272" s="284">
        <v>1</v>
      </c>
      <c r="U272" s="284">
        <v>0</v>
      </c>
      <c r="V272" s="284">
        <v>0</v>
      </c>
      <c r="W272" s="284">
        <v>0</v>
      </c>
      <c r="X272" s="284">
        <v>0</v>
      </c>
      <c r="Y272" s="313"/>
      <c r="Z272" s="285">
        <v>880491.27402639517</v>
      </c>
      <c r="AA272" s="286">
        <v>0</v>
      </c>
      <c r="AB272" s="287">
        <v>63991.747818432334</v>
      </c>
      <c r="AC272" s="288">
        <v>0</v>
      </c>
      <c r="AD272" s="289">
        <v>944483.02184482745</v>
      </c>
      <c r="AE272" s="266"/>
      <c r="AF272" s="285">
        <v>0</v>
      </c>
      <c r="AG272" s="286">
        <v>0</v>
      </c>
      <c r="AH272" s="286">
        <v>0</v>
      </c>
      <c r="AI272" s="290">
        <v>0</v>
      </c>
      <c r="AJ272" s="289">
        <v>0</v>
      </c>
      <c r="AK272" s="291">
        <v>944483.02184482745</v>
      </c>
    </row>
    <row r="273" spans="1:37" x14ac:dyDescent="0.25">
      <c r="A273" s="264" t="s">
        <v>1549</v>
      </c>
      <c r="B273" s="264" t="s">
        <v>909</v>
      </c>
      <c r="C273" s="264" t="s">
        <v>1750</v>
      </c>
      <c r="D273" s="264">
        <v>3588592</v>
      </c>
      <c r="E273" s="264" t="s">
        <v>1787</v>
      </c>
      <c r="F273" s="264">
        <v>2018</v>
      </c>
      <c r="G273" s="281">
        <v>0.28000000000000003</v>
      </c>
      <c r="H273" s="264">
        <v>0.28000000000000003</v>
      </c>
      <c r="I273" s="282">
        <v>0</v>
      </c>
      <c r="J273" s="281">
        <v>0</v>
      </c>
      <c r="K273" s="281">
        <v>0</v>
      </c>
      <c r="L273" s="264">
        <v>0</v>
      </c>
      <c r="M273" s="282">
        <v>26</v>
      </c>
      <c r="N273" s="281">
        <v>0</v>
      </c>
      <c r="O273" s="281"/>
      <c r="P273" s="263"/>
      <c r="Q273" s="313"/>
      <c r="R273" s="284">
        <v>0.28000000000000003</v>
      </c>
      <c r="S273" s="284">
        <v>0.28000000000000003</v>
      </c>
      <c r="T273" s="284">
        <v>0</v>
      </c>
      <c r="U273" s="284">
        <v>0</v>
      </c>
      <c r="V273" s="284">
        <v>0</v>
      </c>
      <c r="W273" s="284">
        <v>0</v>
      </c>
      <c r="X273" s="284">
        <v>0</v>
      </c>
      <c r="Y273" s="313"/>
      <c r="Z273" s="285">
        <v>164358.37115159378</v>
      </c>
      <c r="AA273" s="286">
        <v>0</v>
      </c>
      <c r="AB273" s="287">
        <v>11945.126259440704</v>
      </c>
      <c r="AC273" s="288">
        <v>0</v>
      </c>
      <c r="AD273" s="289">
        <v>176303.49741103448</v>
      </c>
      <c r="AE273" s="266"/>
      <c r="AF273" s="285">
        <v>0</v>
      </c>
      <c r="AG273" s="286">
        <v>0</v>
      </c>
      <c r="AH273" s="286">
        <v>0</v>
      </c>
      <c r="AI273" s="290">
        <v>0</v>
      </c>
      <c r="AJ273" s="289">
        <v>0</v>
      </c>
      <c r="AK273" s="291">
        <v>176303.49741103448</v>
      </c>
    </row>
    <row r="274" spans="1:37" x14ac:dyDescent="0.25">
      <c r="A274" s="264" t="s">
        <v>1440</v>
      </c>
      <c r="B274" s="264" t="s">
        <v>402</v>
      </c>
      <c r="C274" s="264" t="s">
        <v>1439</v>
      </c>
      <c r="D274" s="264">
        <v>8382823</v>
      </c>
      <c r="E274" s="264" t="s">
        <v>1787</v>
      </c>
      <c r="F274" s="264">
        <v>2018</v>
      </c>
      <c r="G274" s="281">
        <v>3</v>
      </c>
      <c r="H274" s="264">
        <v>2.2000000000000002</v>
      </c>
      <c r="I274" s="282">
        <v>0.8</v>
      </c>
      <c r="J274" s="281">
        <v>0</v>
      </c>
      <c r="K274" s="281">
        <v>0</v>
      </c>
      <c r="L274" s="264">
        <v>0</v>
      </c>
      <c r="M274" s="282">
        <v>35</v>
      </c>
      <c r="N274" s="281">
        <v>20</v>
      </c>
      <c r="O274" s="281">
        <v>0</v>
      </c>
      <c r="P274" s="263"/>
      <c r="Q274" s="313"/>
      <c r="R274" s="284">
        <v>3</v>
      </c>
      <c r="S274" s="284">
        <v>2.2000000000000002</v>
      </c>
      <c r="T274" s="284">
        <v>0.8</v>
      </c>
      <c r="U274" s="284">
        <v>0</v>
      </c>
      <c r="V274" s="284">
        <v>0</v>
      </c>
      <c r="W274" s="284">
        <v>0</v>
      </c>
      <c r="X274" s="284">
        <v>20</v>
      </c>
      <c r="Y274" s="313"/>
      <c r="Z274" s="285">
        <v>1760982.5480527903</v>
      </c>
      <c r="AA274" s="286">
        <v>0</v>
      </c>
      <c r="AB274" s="287">
        <v>127983.49563686467</v>
      </c>
      <c r="AC274" s="288">
        <v>0</v>
      </c>
      <c r="AD274" s="289">
        <v>1888966.0436896549</v>
      </c>
      <c r="AE274" s="266"/>
      <c r="AF274" s="285">
        <v>0</v>
      </c>
      <c r="AG274" s="286">
        <v>0</v>
      </c>
      <c r="AH274" s="286">
        <v>0</v>
      </c>
      <c r="AI274" s="290">
        <v>0</v>
      </c>
      <c r="AJ274" s="289">
        <v>0</v>
      </c>
      <c r="AK274" s="291">
        <v>1888966.0436896549</v>
      </c>
    </row>
    <row r="275" spans="1:37" x14ac:dyDescent="0.25">
      <c r="A275" s="264" t="s">
        <v>647</v>
      </c>
      <c r="B275" s="264" t="s">
        <v>647</v>
      </c>
      <c r="C275" s="264" t="s">
        <v>1426</v>
      </c>
      <c r="D275" s="264">
        <v>1272659</v>
      </c>
      <c r="E275" s="264" t="s">
        <v>1790</v>
      </c>
      <c r="F275" s="264">
        <v>2018</v>
      </c>
      <c r="G275" s="281">
        <v>2</v>
      </c>
      <c r="H275" s="264">
        <v>1</v>
      </c>
      <c r="I275" s="282">
        <v>1</v>
      </c>
      <c r="J275" s="281">
        <v>0</v>
      </c>
      <c r="K275" s="281">
        <v>0</v>
      </c>
      <c r="L275" s="264">
        <v>0</v>
      </c>
      <c r="M275" s="282">
        <v>168</v>
      </c>
      <c r="N275" s="281">
        <v>0</v>
      </c>
      <c r="O275" s="281"/>
      <c r="P275" s="263"/>
      <c r="Q275" s="313"/>
      <c r="R275" s="284">
        <v>2</v>
      </c>
      <c r="S275" s="284">
        <v>1</v>
      </c>
      <c r="T275" s="284">
        <v>1</v>
      </c>
      <c r="U275" s="284">
        <v>0</v>
      </c>
      <c r="V275" s="284">
        <v>0</v>
      </c>
      <c r="W275" s="284">
        <v>0</v>
      </c>
      <c r="X275" s="284">
        <v>0</v>
      </c>
      <c r="Y275" s="313"/>
      <c r="Z275" s="285">
        <v>1173988.3653685269</v>
      </c>
      <c r="AA275" s="286">
        <v>0</v>
      </c>
      <c r="AB275" s="287">
        <v>85322.330424576445</v>
      </c>
      <c r="AC275" s="288">
        <v>0</v>
      </c>
      <c r="AD275" s="289">
        <v>1259310.6957931034</v>
      </c>
      <c r="AE275" s="266"/>
      <c r="AF275" s="285">
        <v>0</v>
      </c>
      <c r="AG275" s="286">
        <v>0</v>
      </c>
      <c r="AH275" s="286">
        <v>0</v>
      </c>
      <c r="AI275" s="290">
        <v>0</v>
      </c>
      <c r="AJ275" s="289">
        <v>0</v>
      </c>
      <c r="AK275" s="291">
        <v>1259310.6957931034</v>
      </c>
    </row>
    <row r="276" spans="1:37" x14ac:dyDescent="0.25">
      <c r="A276" s="264" t="s">
        <v>918</v>
      </c>
      <c r="B276" s="264" t="s">
        <v>909</v>
      </c>
      <c r="C276" s="264" t="s">
        <v>1445</v>
      </c>
      <c r="D276" s="264">
        <v>9659243</v>
      </c>
      <c r="E276" s="264" t="s">
        <v>1796</v>
      </c>
      <c r="F276" s="264">
        <v>2018</v>
      </c>
      <c r="G276" s="281">
        <v>1.6</v>
      </c>
      <c r="H276" s="264">
        <v>1.6</v>
      </c>
      <c r="I276" s="282">
        <v>0</v>
      </c>
      <c r="J276" s="281">
        <v>0</v>
      </c>
      <c r="K276" s="281">
        <v>0</v>
      </c>
      <c r="L276" s="264">
        <v>0</v>
      </c>
      <c r="M276" s="282">
        <v>44</v>
      </c>
      <c r="N276" s="281">
        <v>0</v>
      </c>
      <c r="O276" s="281"/>
      <c r="P276" s="263"/>
      <c r="Q276" s="313"/>
      <c r="R276" s="284">
        <v>1.6</v>
      </c>
      <c r="S276" s="284">
        <v>1.6</v>
      </c>
      <c r="T276" s="284">
        <v>0</v>
      </c>
      <c r="U276" s="284">
        <v>0</v>
      </c>
      <c r="V276" s="284">
        <v>0</v>
      </c>
      <c r="W276" s="284">
        <v>0</v>
      </c>
      <c r="X276" s="284">
        <v>0</v>
      </c>
      <c r="Y276" s="313"/>
      <c r="Z276" s="285">
        <v>939190.69229482161</v>
      </c>
      <c r="AA276" s="286">
        <v>0</v>
      </c>
      <c r="AB276" s="287">
        <v>68257.864339661159</v>
      </c>
      <c r="AC276" s="288">
        <v>0</v>
      </c>
      <c r="AD276" s="289">
        <v>1007448.5566344828</v>
      </c>
      <c r="AE276" s="266"/>
      <c r="AF276" s="285">
        <v>0</v>
      </c>
      <c r="AG276" s="286">
        <v>0</v>
      </c>
      <c r="AH276" s="286">
        <v>0</v>
      </c>
      <c r="AI276" s="290">
        <v>0</v>
      </c>
      <c r="AJ276" s="289">
        <v>0</v>
      </c>
      <c r="AK276" s="291">
        <v>1007448.5566344828</v>
      </c>
    </row>
    <row r="277" spans="1:37" x14ac:dyDescent="0.25">
      <c r="A277" s="264" t="s">
        <v>1549</v>
      </c>
      <c r="B277" s="264" t="s">
        <v>909</v>
      </c>
      <c r="C277" s="264" t="s">
        <v>1751</v>
      </c>
      <c r="D277" s="264">
        <v>3588592</v>
      </c>
      <c r="E277" s="264" t="s">
        <v>1796</v>
      </c>
      <c r="F277" s="264">
        <v>2018</v>
      </c>
      <c r="G277" s="281">
        <v>0.21</v>
      </c>
      <c r="H277" s="264">
        <v>0.21</v>
      </c>
      <c r="I277" s="282">
        <v>0</v>
      </c>
      <c r="J277" s="281">
        <v>0</v>
      </c>
      <c r="K277" s="281">
        <v>0</v>
      </c>
      <c r="L277" s="264">
        <v>0</v>
      </c>
      <c r="M277" s="282">
        <v>26</v>
      </c>
      <c r="N277" s="281">
        <v>0</v>
      </c>
      <c r="O277" s="281"/>
      <c r="P277" s="263"/>
      <c r="Q277" s="313"/>
      <c r="R277" s="284">
        <v>0.21</v>
      </c>
      <c r="S277" s="284">
        <v>0.21</v>
      </c>
      <c r="T277" s="284">
        <v>0</v>
      </c>
      <c r="U277" s="284">
        <v>0</v>
      </c>
      <c r="V277" s="284">
        <v>0</v>
      </c>
      <c r="W277" s="284">
        <v>0</v>
      </c>
      <c r="X277" s="284">
        <v>0</v>
      </c>
      <c r="Y277" s="313"/>
      <c r="Z277" s="285">
        <v>123268.77836369532</v>
      </c>
      <c r="AA277" s="286">
        <v>0</v>
      </c>
      <c r="AB277" s="287">
        <v>8958.8446945805263</v>
      </c>
      <c r="AC277" s="288">
        <v>0</v>
      </c>
      <c r="AD277" s="289">
        <v>132227.62305827584</v>
      </c>
      <c r="AE277" s="266"/>
      <c r="AF277" s="285">
        <v>0</v>
      </c>
      <c r="AG277" s="286">
        <v>0</v>
      </c>
      <c r="AH277" s="286">
        <v>0</v>
      </c>
      <c r="AI277" s="290">
        <v>0</v>
      </c>
      <c r="AJ277" s="289">
        <v>0</v>
      </c>
      <c r="AK277" s="291">
        <v>132227.62305827584</v>
      </c>
    </row>
    <row r="278" spans="1:37" x14ac:dyDescent="0.25">
      <c r="A278" s="264" t="s">
        <v>828</v>
      </c>
      <c r="B278" s="264" t="s">
        <v>826</v>
      </c>
      <c r="C278" s="264" t="s">
        <v>1431</v>
      </c>
      <c r="D278" s="264">
        <v>2788586</v>
      </c>
      <c r="E278" s="264" t="s">
        <v>1799</v>
      </c>
      <c r="F278" s="264">
        <v>2018</v>
      </c>
      <c r="G278" s="281">
        <v>1.75</v>
      </c>
      <c r="H278" s="264">
        <v>1.5</v>
      </c>
      <c r="I278" s="282">
        <v>0.25</v>
      </c>
      <c r="J278" s="281">
        <v>0</v>
      </c>
      <c r="K278" s="281">
        <v>0</v>
      </c>
      <c r="L278" s="264">
        <v>0</v>
      </c>
      <c r="M278" s="282">
        <v>17</v>
      </c>
      <c r="N278" s="281">
        <v>0</v>
      </c>
      <c r="O278" s="281"/>
      <c r="P278" s="263"/>
      <c r="Q278" s="313"/>
      <c r="R278" s="284">
        <v>1.75</v>
      </c>
      <c r="S278" s="284">
        <v>1.5</v>
      </c>
      <c r="T278" s="284">
        <v>0.25</v>
      </c>
      <c r="U278" s="284">
        <v>0</v>
      </c>
      <c r="V278" s="284">
        <v>0</v>
      </c>
      <c r="W278" s="284">
        <v>0</v>
      </c>
      <c r="X278" s="284">
        <v>0</v>
      </c>
      <c r="Y278" s="313"/>
      <c r="Z278" s="285">
        <v>1027239.8196974611</v>
      </c>
      <c r="AA278" s="286">
        <v>0</v>
      </c>
      <c r="AB278" s="287">
        <v>74657.039121504393</v>
      </c>
      <c r="AC278" s="288">
        <v>0</v>
      </c>
      <c r="AD278" s="289">
        <v>1101896.8588189655</v>
      </c>
      <c r="AE278" s="266"/>
      <c r="AF278" s="285">
        <v>0</v>
      </c>
      <c r="AG278" s="286">
        <v>0</v>
      </c>
      <c r="AH278" s="286">
        <v>0</v>
      </c>
      <c r="AI278" s="290">
        <v>0</v>
      </c>
      <c r="AJ278" s="289">
        <v>0</v>
      </c>
      <c r="AK278" s="291">
        <v>1101896.8588189655</v>
      </c>
    </row>
    <row r="279" spans="1:37" x14ac:dyDescent="0.25">
      <c r="A279" s="264" t="s">
        <v>918</v>
      </c>
      <c r="B279" s="264" t="s">
        <v>909</v>
      </c>
      <c r="C279" s="264" t="s">
        <v>1431</v>
      </c>
      <c r="D279" s="264">
        <v>9659243</v>
      </c>
      <c r="E279" s="264" t="s">
        <v>1799</v>
      </c>
      <c r="F279" s="264">
        <v>2018</v>
      </c>
      <c r="G279" s="281">
        <v>0.3</v>
      </c>
      <c r="H279" s="264">
        <v>0.3</v>
      </c>
      <c r="I279" s="282">
        <v>0</v>
      </c>
      <c r="J279" s="281">
        <v>0</v>
      </c>
      <c r="K279" s="281">
        <v>0</v>
      </c>
      <c r="L279" s="264">
        <v>0</v>
      </c>
      <c r="M279" s="282">
        <v>44</v>
      </c>
      <c r="N279" s="281">
        <v>0</v>
      </c>
      <c r="O279" s="281"/>
      <c r="P279" s="263"/>
      <c r="Q279" s="313"/>
      <c r="R279" s="284">
        <v>0.3</v>
      </c>
      <c r="S279" s="284">
        <v>0.3</v>
      </c>
      <c r="T279" s="284">
        <v>0</v>
      </c>
      <c r="U279" s="284">
        <v>0</v>
      </c>
      <c r="V279" s="284">
        <v>0</v>
      </c>
      <c r="W279" s="284">
        <v>0</v>
      </c>
      <c r="X279" s="284">
        <v>0</v>
      </c>
      <c r="Y279" s="313"/>
      <c r="Z279" s="285">
        <v>176098.25480527902</v>
      </c>
      <c r="AA279" s="286">
        <v>0</v>
      </c>
      <c r="AB279" s="287">
        <v>12798.349563686466</v>
      </c>
      <c r="AC279" s="288">
        <v>0</v>
      </c>
      <c r="AD279" s="289">
        <v>188896.60436896549</v>
      </c>
      <c r="AE279" s="266"/>
      <c r="AF279" s="285">
        <v>0</v>
      </c>
      <c r="AG279" s="286">
        <v>0</v>
      </c>
      <c r="AH279" s="286">
        <v>0</v>
      </c>
      <c r="AI279" s="290">
        <v>0</v>
      </c>
      <c r="AJ279" s="289">
        <v>0</v>
      </c>
      <c r="AK279" s="291">
        <v>188896.60436896549</v>
      </c>
    </row>
    <row r="280" spans="1:37" x14ac:dyDescent="0.25">
      <c r="A280" s="264" t="s">
        <v>1438</v>
      </c>
      <c r="B280" s="264" t="s">
        <v>375</v>
      </c>
      <c r="C280" s="264" t="s">
        <v>1431</v>
      </c>
      <c r="D280" s="264">
        <v>6361701</v>
      </c>
      <c r="E280" s="264" t="s">
        <v>1799</v>
      </c>
      <c r="F280" s="264">
        <v>2018</v>
      </c>
      <c r="G280" s="281">
        <v>1.7</v>
      </c>
      <c r="H280" s="264">
        <v>1.7</v>
      </c>
      <c r="I280" s="282">
        <v>0</v>
      </c>
      <c r="J280" s="281">
        <v>0</v>
      </c>
      <c r="K280" s="281">
        <v>0</v>
      </c>
      <c r="L280" s="264">
        <v>0</v>
      </c>
      <c r="M280" s="282">
        <v>20</v>
      </c>
      <c r="N280" s="281">
        <v>0</v>
      </c>
      <c r="O280" s="281"/>
      <c r="P280" s="263"/>
      <c r="Q280" s="313"/>
      <c r="R280" s="284">
        <v>1.7</v>
      </c>
      <c r="S280" s="284">
        <v>1.7</v>
      </c>
      <c r="T280" s="284">
        <v>0</v>
      </c>
      <c r="U280" s="284">
        <v>0</v>
      </c>
      <c r="V280" s="284">
        <v>0</v>
      </c>
      <c r="W280" s="284">
        <v>0</v>
      </c>
      <c r="X280" s="284">
        <v>0</v>
      </c>
      <c r="Y280" s="313"/>
      <c r="Z280" s="285">
        <v>997890.11056324781</v>
      </c>
      <c r="AA280" s="286">
        <v>0</v>
      </c>
      <c r="AB280" s="287">
        <v>72523.980860889977</v>
      </c>
      <c r="AC280" s="288">
        <v>0</v>
      </c>
      <c r="AD280" s="289">
        <v>1070414.0914241378</v>
      </c>
      <c r="AE280" s="266"/>
      <c r="AF280" s="285">
        <v>0</v>
      </c>
      <c r="AG280" s="286">
        <v>0</v>
      </c>
      <c r="AH280" s="286">
        <v>0</v>
      </c>
      <c r="AI280" s="290">
        <v>0</v>
      </c>
      <c r="AJ280" s="289">
        <v>0</v>
      </c>
      <c r="AK280" s="291">
        <v>1070414.0914241378</v>
      </c>
    </row>
    <row r="281" spans="1:37" x14ac:dyDescent="0.25">
      <c r="A281" s="264" t="s">
        <v>1549</v>
      </c>
      <c r="B281" s="264" t="s">
        <v>909</v>
      </c>
      <c r="C281" s="264" t="s">
        <v>1752</v>
      </c>
      <c r="D281" s="264">
        <v>3588592</v>
      </c>
      <c r="E281" s="264" t="s">
        <v>1799</v>
      </c>
      <c r="F281" s="264">
        <v>2018</v>
      </c>
      <c r="G281" s="281">
        <v>0.59</v>
      </c>
      <c r="H281" s="264">
        <v>0.59</v>
      </c>
      <c r="I281" s="282">
        <v>0</v>
      </c>
      <c r="J281" s="281">
        <v>0</v>
      </c>
      <c r="K281" s="281">
        <v>0</v>
      </c>
      <c r="L281" s="264">
        <v>0</v>
      </c>
      <c r="M281" s="282">
        <v>26</v>
      </c>
      <c r="N281" s="281">
        <v>0</v>
      </c>
      <c r="O281" s="281"/>
      <c r="P281" s="263"/>
      <c r="Q281" s="313"/>
      <c r="R281" s="284">
        <v>0.59</v>
      </c>
      <c r="S281" s="284">
        <v>0.59</v>
      </c>
      <c r="T281" s="284">
        <v>0</v>
      </c>
      <c r="U281" s="284">
        <v>0</v>
      </c>
      <c r="V281" s="284">
        <v>0</v>
      </c>
      <c r="W281" s="284">
        <v>0</v>
      </c>
      <c r="X281" s="284">
        <v>0</v>
      </c>
      <c r="Y281" s="313"/>
      <c r="Z281" s="285">
        <v>346326.56778371544</v>
      </c>
      <c r="AA281" s="286">
        <v>0</v>
      </c>
      <c r="AB281" s="287">
        <v>25170.087475250049</v>
      </c>
      <c r="AC281" s="288">
        <v>0</v>
      </c>
      <c r="AD281" s="289">
        <v>371496.6552589655</v>
      </c>
      <c r="AE281" s="266"/>
      <c r="AF281" s="285">
        <v>0</v>
      </c>
      <c r="AG281" s="286">
        <v>0</v>
      </c>
      <c r="AH281" s="286">
        <v>0</v>
      </c>
      <c r="AI281" s="290">
        <v>0</v>
      </c>
      <c r="AJ281" s="289">
        <v>0</v>
      </c>
      <c r="AK281" s="291">
        <v>371496.6552589655</v>
      </c>
    </row>
    <row r="282" spans="1:37" x14ac:dyDescent="0.25">
      <c r="A282" s="264" t="s">
        <v>294</v>
      </c>
      <c r="B282" s="264" t="s">
        <v>290</v>
      </c>
      <c r="C282" s="264" t="s">
        <v>1449</v>
      </c>
      <c r="D282" s="264">
        <v>6630553</v>
      </c>
      <c r="E282" s="264" t="s">
        <v>1879</v>
      </c>
      <c r="F282" s="264">
        <v>2018</v>
      </c>
      <c r="G282" s="281">
        <v>4</v>
      </c>
      <c r="H282" s="264">
        <v>3.8</v>
      </c>
      <c r="I282" s="282">
        <v>0</v>
      </c>
      <c r="J282" s="281">
        <v>0</v>
      </c>
      <c r="K282" s="281">
        <v>0.2</v>
      </c>
      <c r="L282" s="264">
        <v>0</v>
      </c>
      <c r="M282" s="282">
        <v>30</v>
      </c>
      <c r="N282" s="281">
        <v>0</v>
      </c>
      <c r="O282" s="281"/>
      <c r="P282" s="263"/>
      <c r="Q282" s="313"/>
      <c r="R282" s="284">
        <v>4</v>
      </c>
      <c r="S282" s="284">
        <v>3.8</v>
      </c>
      <c r="T282" s="284">
        <v>0</v>
      </c>
      <c r="U282" s="284">
        <v>0</v>
      </c>
      <c r="V282" s="284">
        <v>0.2</v>
      </c>
      <c r="W282" s="284">
        <v>0</v>
      </c>
      <c r="X282" s="284">
        <v>0</v>
      </c>
      <c r="Y282" s="313"/>
      <c r="Z282" s="285">
        <v>2499446.2685816367</v>
      </c>
      <c r="AA282" s="286">
        <v>0</v>
      </c>
      <c r="AB282" s="287">
        <v>143367.02523688209</v>
      </c>
      <c r="AC282" s="288">
        <v>0</v>
      </c>
      <c r="AD282" s="289">
        <v>2642813.293818519</v>
      </c>
      <c r="AE282" s="266"/>
      <c r="AF282" s="285">
        <v>0</v>
      </c>
      <c r="AG282" s="286">
        <v>0</v>
      </c>
      <c r="AH282" s="286">
        <v>0</v>
      </c>
      <c r="AI282" s="290">
        <v>0</v>
      </c>
      <c r="AJ282" s="289">
        <v>0</v>
      </c>
      <c r="AK282" s="291">
        <v>2642813.293818519</v>
      </c>
    </row>
    <row r="283" spans="1:37" x14ac:dyDescent="0.25">
      <c r="A283" s="264" t="s">
        <v>1448</v>
      </c>
      <c r="B283" s="264" t="s">
        <v>1067</v>
      </c>
      <c r="C283" s="264" t="s">
        <v>1446</v>
      </c>
      <c r="D283" s="264">
        <v>1792038</v>
      </c>
      <c r="E283" s="264" t="s">
        <v>1879</v>
      </c>
      <c r="F283" s="264">
        <v>2018</v>
      </c>
      <c r="G283" s="281">
        <v>1.75</v>
      </c>
      <c r="H283" s="264">
        <v>1</v>
      </c>
      <c r="I283" s="282">
        <v>0.75</v>
      </c>
      <c r="J283" s="281">
        <v>0</v>
      </c>
      <c r="K283" s="281">
        <v>0</v>
      </c>
      <c r="L283" s="264">
        <v>0</v>
      </c>
      <c r="M283" s="282">
        <v>0</v>
      </c>
      <c r="N283" s="281">
        <v>5</v>
      </c>
      <c r="O283" s="281"/>
      <c r="P283" s="263"/>
      <c r="Q283" s="313"/>
      <c r="R283" s="284">
        <v>1.75</v>
      </c>
      <c r="S283" s="284">
        <v>1</v>
      </c>
      <c r="T283" s="284">
        <v>0.75</v>
      </c>
      <c r="U283" s="284">
        <v>0</v>
      </c>
      <c r="V283" s="284">
        <v>0</v>
      </c>
      <c r="W283" s="284">
        <v>0</v>
      </c>
      <c r="X283" s="284">
        <v>5</v>
      </c>
      <c r="Y283" s="313"/>
      <c r="Z283" s="285">
        <v>1093507.7425044661</v>
      </c>
      <c r="AA283" s="286">
        <v>0</v>
      </c>
      <c r="AB283" s="287">
        <v>62723.07354113592</v>
      </c>
      <c r="AC283" s="288">
        <v>0</v>
      </c>
      <c r="AD283" s="289">
        <v>1156230.8160456021</v>
      </c>
      <c r="AE283" s="266"/>
      <c r="AF283" s="285">
        <v>0</v>
      </c>
      <c r="AG283" s="286">
        <v>0</v>
      </c>
      <c r="AH283" s="286">
        <v>0</v>
      </c>
      <c r="AI283" s="290">
        <v>0</v>
      </c>
      <c r="AJ283" s="289">
        <v>0</v>
      </c>
      <c r="AK283" s="291">
        <v>1156230.8160456021</v>
      </c>
    </row>
    <row r="284" spans="1:37" x14ac:dyDescent="0.25">
      <c r="A284" s="264" t="s">
        <v>1453</v>
      </c>
      <c r="B284" s="264" t="s">
        <v>257</v>
      </c>
      <c r="C284" s="264" t="s">
        <v>1452</v>
      </c>
      <c r="D284" s="264">
        <v>6163071</v>
      </c>
      <c r="E284" s="264" t="s">
        <v>1776</v>
      </c>
      <c r="F284" s="264">
        <v>2018</v>
      </c>
      <c r="G284" s="281">
        <v>1.1000000000000001</v>
      </c>
      <c r="H284" s="264">
        <v>0.1</v>
      </c>
      <c r="I284" s="282">
        <v>1</v>
      </c>
      <c r="J284" s="281">
        <v>0</v>
      </c>
      <c r="K284" s="281">
        <v>0</v>
      </c>
      <c r="L284" s="264">
        <v>0</v>
      </c>
      <c r="M284" s="282">
        <v>0</v>
      </c>
      <c r="N284" s="281">
        <v>1</v>
      </c>
      <c r="O284" s="281"/>
      <c r="P284" s="263"/>
      <c r="Q284" s="313"/>
      <c r="R284" s="284">
        <v>1.1000000000000001</v>
      </c>
      <c r="S284" s="284">
        <v>0.1</v>
      </c>
      <c r="T284" s="284">
        <v>1</v>
      </c>
      <c r="U284" s="284">
        <v>0</v>
      </c>
      <c r="V284" s="284">
        <v>0</v>
      </c>
      <c r="W284" s="284">
        <v>0</v>
      </c>
      <c r="X284" s="284">
        <v>1</v>
      </c>
      <c r="Y284" s="313"/>
      <c r="Z284" s="285">
        <v>596205.41711344477</v>
      </c>
      <c r="AA284" s="286">
        <v>0</v>
      </c>
      <c r="AB284" s="287">
        <v>85212.446591239044</v>
      </c>
      <c r="AC284" s="288">
        <v>0</v>
      </c>
      <c r="AD284" s="289">
        <v>681417.86370468384</v>
      </c>
      <c r="AE284" s="266"/>
      <c r="AF284" s="285">
        <v>0</v>
      </c>
      <c r="AG284" s="286">
        <v>0</v>
      </c>
      <c r="AH284" s="286">
        <v>0</v>
      </c>
      <c r="AI284" s="290">
        <v>0</v>
      </c>
      <c r="AJ284" s="289">
        <v>0</v>
      </c>
      <c r="AK284" s="291">
        <v>681417.86370468384</v>
      </c>
    </row>
    <row r="285" spans="1:37" x14ac:dyDescent="0.25">
      <c r="A285" s="264" t="s">
        <v>1457</v>
      </c>
      <c r="B285" s="264" t="s">
        <v>553</v>
      </c>
      <c r="C285" s="264" t="s">
        <v>1452</v>
      </c>
      <c r="D285" s="264">
        <v>7653065</v>
      </c>
      <c r="E285" s="264" t="s">
        <v>1776</v>
      </c>
      <c r="F285" s="264">
        <v>2018</v>
      </c>
      <c r="G285" s="281">
        <v>5</v>
      </c>
      <c r="H285" s="264">
        <v>1</v>
      </c>
      <c r="I285" s="282">
        <v>4</v>
      </c>
      <c r="J285" s="281">
        <v>0</v>
      </c>
      <c r="K285" s="281">
        <v>0</v>
      </c>
      <c r="L285" s="264">
        <v>0</v>
      </c>
      <c r="M285" s="282">
        <v>0</v>
      </c>
      <c r="N285" s="281">
        <v>14</v>
      </c>
      <c r="O285" s="281"/>
      <c r="P285" s="263"/>
      <c r="Q285" s="313"/>
      <c r="R285" s="284">
        <v>5</v>
      </c>
      <c r="S285" s="284">
        <v>1</v>
      </c>
      <c r="T285" s="284">
        <v>4</v>
      </c>
      <c r="U285" s="284">
        <v>0</v>
      </c>
      <c r="V285" s="284">
        <v>0</v>
      </c>
      <c r="W285" s="284">
        <v>0</v>
      </c>
      <c r="X285" s="284">
        <v>14</v>
      </c>
      <c r="Y285" s="313"/>
      <c r="Z285" s="285">
        <v>2710024.6232429305</v>
      </c>
      <c r="AA285" s="286">
        <v>0</v>
      </c>
      <c r="AB285" s="287">
        <v>387329.3026874502</v>
      </c>
      <c r="AC285" s="288">
        <v>0</v>
      </c>
      <c r="AD285" s="289">
        <v>3097353.9259303808</v>
      </c>
      <c r="AE285" s="266"/>
      <c r="AF285" s="285">
        <v>0</v>
      </c>
      <c r="AG285" s="286">
        <v>0</v>
      </c>
      <c r="AH285" s="286">
        <v>0</v>
      </c>
      <c r="AI285" s="290">
        <v>0</v>
      </c>
      <c r="AJ285" s="289">
        <v>0</v>
      </c>
      <c r="AK285" s="291">
        <v>3097353.9259303808</v>
      </c>
    </row>
    <row r="286" spans="1:37" x14ac:dyDescent="0.25">
      <c r="A286" s="264" t="s">
        <v>878</v>
      </c>
      <c r="B286" s="264" t="s">
        <v>874</v>
      </c>
      <c r="C286" s="264" t="s">
        <v>1450</v>
      </c>
      <c r="D286" s="264">
        <v>1552469</v>
      </c>
      <c r="E286" s="264" t="s">
        <v>1796</v>
      </c>
      <c r="F286" s="264">
        <v>2018</v>
      </c>
      <c r="G286" s="281">
        <v>1.62</v>
      </c>
      <c r="H286" s="264">
        <v>0.7</v>
      </c>
      <c r="I286" s="282">
        <v>0.92</v>
      </c>
      <c r="J286" s="281">
        <v>0</v>
      </c>
      <c r="K286" s="281">
        <v>0</v>
      </c>
      <c r="L286" s="264">
        <v>0</v>
      </c>
      <c r="M286" s="282">
        <v>0</v>
      </c>
      <c r="N286" s="281">
        <v>3</v>
      </c>
      <c r="O286" s="281"/>
      <c r="P286" s="263"/>
      <c r="Q286" s="313"/>
      <c r="R286" s="284">
        <v>1.62</v>
      </c>
      <c r="S286" s="284">
        <v>0.7</v>
      </c>
      <c r="T286" s="284">
        <v>0.92</v>
      </c>
      <c r="U286" s="284">
        <v>0</v>
      </c>
      <c r="V286" s="284">
        <v>0</v>
      </c>
      <c r="W286" s="284">
        <v>0</v>
      </c>
      <c r="X286" s="284">
        <v>3</v>
      </c>
      <c r="Y286" s="313"/>
      <c r="Z286" s="285">
        <v>878047.97793070949</v>
      </c>
      <c r="AA286" s="286">
        <v>0</v>
      </c>
      <c r="AB286" s="287">
        <v>125494.69407073387</v>
      </c>
      <c r="AC286" s="288">
        <v>0</v>
      </c>
      <c r="AD286" s="289">
        <v>1003542.6720014433</v>
      </c>
      <c r="AE286" s="266"/>
      <c r="AF286" s="285">
        <v>0</v>
      </c>
      <c r="AG286" s="286">
        <v>0</v>
      </c>
      <c r="AH286" s="286">
        <v>0</v>
      </c>
      <c r="AI286" s="290">
        <v>0</v>
      </c>
      <c r="AJ286" s="289">
        <v>0</v>
      </c>
      <c r="AK286" s="291">
        <v>1003542.6720014433</v>
      </c>
    </row>
    <row r="287" spans="1:37" x14ac:dyDescent="0.25">
      <c r="A287" s="264" t="s">
        <v>1460</v>
      </c>
      <c r="B287" s="264" t="s">
        <v>1056</v>
      </c>
      <c r="C287" s="264" t="s">
        <v>1458</v>
      </c>
      <c r="D287" s="264">
        <v>1537615</v>
      </c>
      <c r="E287" s="264" t="s">
        <v>1879</v>
      </c>
      <c r="F287" s="264">
        <v>2018</v>
      </c>
      <c r="G287" s="281">
        <v>0.53</v>
      </c>
      <c r="H287" s="264">
        <v>0.53</v>
      </c>
      <c r="I287" s="282">
        <v>0</v>
      </c>
      <c r="J287" s="281">
        <v>0</v>
      </c>
      <c r="K287" s="281">
        <v>0</v>
      </c>
      <c r="L287" s="264">
        <v>0</v>
      </c>
      <c r="M287" s="282">
        <v>20</v>
      </c>
      <c r="N287" s="281">
        <v>0</v>
      </c>
      <c r="O287" s="281"/>
      <c r="P287" s="263"/>
      <c r="Q287" s="313"/>
      <c r="R287" s="284">
        <v>0.53</v>
      </c>
      <c r="S287" s="284">
        <v>0.53</v>
      </c>
      <c r="T287" s="284">
        <v>0</v>
      </c>
      <c r="U287" s="284">
        <v>0</v>
      </c>
      <c r="V287" s="284">
        <v>0</v>
      </c>
      <c r="W287" s="284">
        <v>0</v>
      </c>
      <c r="X287" s="284">
        <v>0</v>
      </c>
      <c r="Y287" s="313"/>
      <c r="Z287" s="285">
        <v>293077.02102238673</v>
      </c>
      <c r="AA287" s="286">
        <v>0</v>
      </c>
      <c r="AB287" s="287">
        <v>16043.257667299618</v>
      </c>
      <c r="AC287" s="288">
        <v>0</v>
      </c>
      <c r="AD287" s="289">
        <v>309120.27868968633</v>
      </c>
      <c r="AE287" s="266"/>
      <c r="AF287" s="285">
        <v>0</v>
      </c>
      <c r="AG287" s="286">
        <v>0</v>
      </c>
      <c r="AH287" s="286">
        <v>0</v>
      </c>
      <c r="AI287" s="290">
        <v>0</v>
      </c>
      <c r="AJ287" s="289">
        <v>0</v>
      </c>
      <c r="AK287" s="291">
        <v>309120.27868968633</v>
      </c>
    </row>
    <row r="288" spans="1:37" x14ac:dyDescent="0.25">
      <c r="A288" s="264" t="s">
        <v>1465</v>
      </c>
      <c r="B288" s="264" t="s">
        <v>249</v>
      </c>
      <c r="C288" s="264" t="s">
        <v>1464</v>
      </c>
      <c r="D288" s="264">
        <v>1758706</v>
      </c>
      <c r="E288" s="264" t="s">
        <v>1879</v>
      </c>
      <c r="F288" s="264">
        <v>2018</v>
      </c>
      <c r="G288" s="281">
        <v>2.25</v>
      </c>
      <c r="H288" s="264">
        <v>1.5</v>
      </c>
      <c r="I288" s="282">
        <v>0.75</v>
      </c>
      <c r="J288" s="281">
        <v>0</v>
      </c>
      <c r="K288" s="281">
        <v>0</v>
      </c>
      <c r="L288" s="264">
        <v>0</v>
      </c>
      <c r="M288" s="282">
        <v>10</v>
      </c>
      <c r="N288" s="281">
        <v>0</v>
      </c>
      <c r="O288" s="281"/>
      <c r="P288" s="263"/>
      <c r="Q288" s="313"/>
      <c r="R288" s="284">
        <v>2.25</v>
      </c>
      <c r="S288" s="284">
        <v>1.5</v>
      </c>
      <c r="T288" s="284">
        <v>0.75</v>
      </c>
      <c r="U288" s="284">
        <v>0</v>
      </c>
      <c r="V288" s="284">
        <v>0</v>
      </c>
      <c r="W288" s="284">
        <v>0</v>
      </c>
      <c r="X288" s="284">
        <v>0</v>
      </c>
      <c r="Y288" s="313"/>
      <c r="Z288" s="285">
        <v>1244194.9005667362</v>
      </c>
      <c r="AA288" s="286">
        <v>0</v>
      </c>
      <c r="AB288" s="287">
        <v>68108.169342309702</v>
      </c>
      <c r="AC288" s="288">
        <v>0</v>
      </c>
      <c r="AD288" s="289">
        <v>1312303.0699090459</v>
      </c>
      <c r="AE288" s="266"/>
      <c r="AF288" s="285">
        <v>0</v>
      </c>
      <c r="AG288" s="286">
        <v>0</v>
      </c>
      <c r="AH288" s="286">
        <v>0</v>
      </c>
      <c r="AI288" s="290">
        <v>0</v>
      </c>
      <c r="AJ288" s="289">
        <v>0</v>
      </c>
      <c r="AK288" s="291">
        <v>1312303.0699090459</v>
      </c>
    </row>
    <row r="289" spans="1:37" x14ac:dyDescent="0.25">
      <c r="A289" s="264" t="s">
        <v>1460</v>
      </c>
      <c r="B289" s="264" t="s">
        <v>1056</v>
      </c>
      <c r="C289" s="264" t="s">
        <v>1461</v>
      </c>
      <c r="D289" s="264">
        <v>1537615</v>
      </c>
      <c r="E289" s="264" t="s">
        <v>1781</v>
      </c>
      <c r="F289" s="264">
        <v>2018</v>
      </c>
      <c r="G289" s="281">
        <v>1.74</v>
      </c>
      <c r="H289" s="264">
        <v>1.74</v>
      </c>
      <c r="I289" s="282">
        <v>0</v>
      </c>
      <c r="J289" s="281">
        <v>0</v>
      </c>
      <c r="K289" s="281">
        <v>0</v>
      </c>
      <c r="L289" s="264">
        <v>0</v>
      </c>
      <c r="M289" s="282">
        <v>20</v>
      </c>
      <c r="N289" s="281">
        <v>0</v>
      </c>
      <c r="O289" s="281"/>
      <c r="P289" s="263"/>
      <c r="Q289" s="313"/>
      <c r="R289" s="284">
        <v>1.74</v>
      </c>
      <c r="S289" s="284">
        <v>1.74</v>
      </c>
      <c r="T289" s="284">
        <v>0</v>
      </c>
      <c r="U289" s="284">
        <v>0</v>
      </c>
      <c r="V289" s="284">
        <v>0</v>
      </c>
      <c r="W289" s="284">
        <v>0</v>
      </c>
      <c r="X289" s="284">
        <v>0</v>
      </c>
      <c r="Y289" s="313"/>
      <c r="Z289" s="285">
        <v>962177.38977160933</v>
      </c>
      <c r="AA289" s="286">
        <v>0</v>
      </c>
      <c r="AB289" s="287">
        <v>52670.317624719501</v>
      </c>
      <c r="AC289" s="288">
        <v>0</v>
      </c>
      <c r="AD289" s="289">
        <v>1014847.7073963288</v>
      </c>
      <c r="AE289" s="266"/>
      <c r="AF289" s="285">
        <v>0</v>
      </c>
      <c r="AG289" s="286">
        <v>0</v>
      </c>
      <c r="AH289" s="286">
        <v>0</v>
      </c>
      <c r="AI289" s="290">
        <v>0</v>
      </c>
      <c r="AJ289" s="289">
        <v>0</v>
      </c>
      <c r="AK289" s="291">
        <v>1014847.7073963288</v>
      </c>
    </row>
    <row r="290" spans="1:37" x14ac:dyDescent="0.25">
      <c r="A290" s="292" t="s">
        <v>1465</v>
      </c>
      <c r="B290" s="292" t="s">
        <v>249</v>
      </c>
      <c r="C290" s="292" t="s">
        <v>1467</v>
      </c>
      <c r="D290" s="292">
        <v>1758706</v>
      </c>
      <c r="E290" s="292" t="s">
        <v>1781</v>
      </c>
      <c r="F290" s="292">
        <v>2018</v>
      </c>
      <c r="G290" s="297">
        <v>1.75</v>
      </c>
      <c r="H290" s="292">
        <v>1</v>
      </c>
      <c r="I290" s="298">
        <v>0.75</v>
      </c>
      <c r="J290" s="297">
        <v>0</v>
      </c>
      <c r="K290" s="297">
        <v>0</v>
      </c>
      <c r="L290" s="292">
        <v>0</v>
      </c>
      <c r="M290" s="298">
        <v>10</v>
      </c>
      <c r="N290" s="297">
        <v>0</v>
      </c>
      <c r="O290" s="297"/>
      <c r="P290" s="292"/>
      <c r="Q290" s="292"/>
      <c r="R290" s="298">
        <v>1.75</v>
      </c>
      <c r="S290" s="298">
        <v>1</v>
      </c>
      <c r="T290" s="298">
        <v>0.75</v>
      </c>
      <c r="U290" s="298">
        <v>0</v>
      </c>
      <c r="V290" s="298">
        <v>0</v>
      </c>
      <c r="W290" s="298">
        <v>0</v>
      </c>
      <c r="X290" s="298">
        <v>0</v>
      </c>
      <c r="Y290" s="292"/>
      <c r="Z290" s="285">
        <v>967707.14488523919</v>
      </c>
      <c r="AA290" s="302">
        <v>0</v>
      </c>
      <c r="AB290" s="302">
        <v>52973.020599574207</v>
      </c>
      <c r="AC290" s="303">
        <v>0</v>
      </c>
      <c r="AD290" s="303">
        <v>1020680.1654848134</v>
      </c>
      <c r="AE290" s="304"/>
      <c r="AF290" s="285">
        <v>0</v>
      </c>
      <c r="AG290" s="286">
        <v>0</v>
      </c>
      <c r="AH290" s="286">
        <v>0</v>
      </c>
      <c r="AI290" s="290">
        <v>0</v>
      </c>
      <c r="AJ290" s="289">
        <v>0</v>
      </c>
      <c r="AK290" s="299">
        <v>1020680.1654848134</v>
      </c>
    </row>
    <row r="291" spans="1:37" x14ac:dyDescent="0.25">
      <c r="A291" s="264" t="s">
        <v>1551</v>
      </c>
      <c r="B291" s="264" t="s">
        <v>1552</v>
      </c>
      <c r="C291" s="264" t="s">
        <v>1753</v>
      </c>
      <c r="D291" s="264">
        <v>4441304</v>
      </c>
      <c r="E291" s="264" t="s">
        <v>1086</v>
      </c>
      <c r="F291" s="264">
        <v>2018</v>
      </c>
      <c r="G291" s="281">
        <v>0</v>
      </c>
      <c r="H291" s="264">
        <v>0</v>
      </c>
      <c r="I291" s="282">
        <v>0</v>
      </c>
      <c r="J291" s="281">
        <v>0</v>
      </c>
      <c r="K291" s="281">
        <v>0</v>
      </c>
      <c r="L291" s="264">
        <v>0</v>
      </c>
      <c r="M291" s="282">
        <v>0</v>
      </c>
      <c r="N291" s="281">
        <v>0</v>
      </c>
      <c r="O291" s="281"/>
      <c r="P291" s="263"/>
      <c r="Q291" s="313"/>
      <c r="R291" s="284">
        <v>0</v>
      </c>
      <c r="S291" s="284">
        <v>0</v>
      </c>
      <c r="T291" s="284">
        <v>0</v>
      </c>
      <c r="U291" s="284">
        <v>0</v>
      </c>
      <c r="V291" s="284">
        <v>0</v>
      </c>
      <c r="W291" s="284">
        <v>0</v>
      </c>
      <c r="X291" s="284">
        <v>0</v>
      </c>
      <c r="Y291" s="313"/>
      <c r="Z291" s="285">
        <v>0</v>
      </c>
      <c r="AA291" s="286">
        <v>0</v>
      </c>
      <c r="AB291" s="287">
        <v>0</v>
      </c>
      <c r="AC291" s="288">
        <v>0</v>
      </c>
      <c r="AD291" s="289">
        <v>0</v>
      </c>
      <c r="AE291" s="266"/>
      <c r="AF291" s="285">
        <v>0</v>
      </c>
      <c r="AG291" s="286">
        <v>0</v>
      </c>
      <c r="AH291" s="286">
        <v>0</v>
      </c>
      <c r="AI291" s="290">
        <v>0</v>
      </c>
      <c r="AJ291" s="289">
        <v>0</v>
      </c>
      <c r="AK291" s="291">
        <v>0</v>
      </c>
    </row>
    <row r="292" spans="1:37" x14ac:dyDescent="0.25">
      <c r="A292" s="264" t="s">
        <v>1460</v>
      </c>
      <c r="B292" s="264" t="s">
        <v>1056</v>
      </c>
      <c r="C292" s="264" t="s">
        <v>1462</v>
      </c>
      <c r="D292" s="264">
        <v>1537615</v>
      </c>
      <c r="E292" s="264" t="s">
        <v>1787</v>
      </c>
      <c r="F292" s="264">
        <v>2018</v>
      </c>
      <c r="G292" s="281">
        <v>1.74</v>
      </c>
      <c r="H292" s="264">
        <v>1.74</v>
      </c>
      <c r="I292" s="282">
        <v>0</v>
      </c>
      <c r="J292" s="281">
        <v>0</v>
      </c>
      <c r="K292" s="281">
        <v>0</v>
      </c>
      <c r="L292" s="264">
        <v>0</v>
      </c>
      <c r="M292" s="282">
        <v>20</v>
      </c>
      <c r="N292" s="281">
        <v>0</v>
      </c>
      <c r="O292" s="281"/>
      <c r="P292" s="263"/>
      <c r="Q292" s="313"/>
      <c r="R292" s="284">
        <v>1.74</v>
      </c>
      <c r="S292" s="284">
        <v>1.74</v>
      </c>
      <c r="T292" s="284">
        <v>0</v>
      </c>
      <c r="U292" s="284">
        <v>0</v>
      </c>
      <c r="V292" s="284">
        <v>0</v>
      </c>
      <c r="W292" s="284">
        <v>0</v>
      </c>
      <c r="X292" s="284">
        <v>0</v>
      </c>
      <c r="Y292" s="313"/>
      <c r="Z292" s="285">
        <v>962177.38977160933</v>
      </c>
      <c r="AA292" s="286">
        <v>0</v>
      </c>
      <c r="AB292" s="287">
        <v>52670.317624719501</v>
      </c>
      <c r="AC292" s="288">
        <v>0</v>
      </c>
      <c r="AD292" s="289">
        <v>1014847.7073963288</v>
      </c>
      <c r="AE292" s="266"/>
      <c r="AF292" s="285">
        <v>0</v>
      </c>
      <c r="AG292" s="286">
        <v>0</v>
      </c>
      <c r="AH292" s="286">
        <v>0</v>
      </c>
      <c r="AI292" s="290">
        <v>0</v>
      </c>
      <c r="AJ292" s="289">
        <v>0</v>
      </c>
      <c r="AK292" s="291">
        <v>1014847.7073963288</v>
      </c>
    </row>
    <row r="293" spans="1:37" x14ac:dyDescent="0.25">
      <c r="A293" s="264" t="s">
        <v>1465</v>
      </c>
      <c r="B293" s="264" t="s">
        <v>249</v>
      </c>
      <c r="C293" s="264" t="s">
        <v>1468</v>
      </c>
      <c r="D293" s="264">
        <v>1758706</v>
      </c>
      <c r="E293" s="264" t="s">
        <v>1787</v>
      </c>
      <c r="F293" s="264">
        <v>2018</v>
      </c>
      <c r="G293" s="281">
        <v>2</v>
      </c>
      <c r="H293" s="264">
        <v>1.5</v>
      </c>
      <c r="I293" s="282">
        <v>0.5</v>
      </c>
      <c r="J293" s="281">
        <v>0</v>
      </c>
      <c r="K293" s="281">
        <v>0</v>
      </c>
      <c r="L293" s="264">
        <v>0</v>
      </c>
      <c r="M293" s="282">
        <v>10</v>
      </c>
      <c r="N293" s="281">
        <v>0</v>
      </c>
      <c r="O293" s="281"/>
      <c r="P293" s="263"/>
      <c r="Q293" s="313"/>
      <c r="R293" s="284">
        <v>2</v>
      </c>
      <c r="S293" s="284">
        <v>1.5</v>
      </c>
      <c r="T293" s="284">
        <v>0.5</v>
      </c>
      <c r="U293" s="284">
        <v>0</v>
      </c>
      <c r="V293" s="284">
        <v>0</v>
      </c>
      <c r="W293" s="284">
        <v>0</v>
      </c>
      <c r="X293" s="284">
        <v>0</v>
      </c>
      <c r="Y293" s="313"/>
      <c r="Z293" s="285">
        <v>1105951.0227259877</v>
      </c>
      <c r="AA293" s="286">
        <v>0</v>
      </c>
      <c r="AB293" s="287">
        <v>60540.594970941951</v>
      </c>
      <c r="AC293" s="288">
        <v>0</v>
      </c>
      <c r="AD293" s="289">
        <v>1166491.6176969297</v>
      </c>
      <c r="AE293" s="266"/>
      <c r="AF293" s="285">
        <v>0</v>
      </c>
      <c r="AG293" s="286">
        <v>0</v>
      </c>
      <c r="AH293" s="286">
        <v>0</v>
      </c>
      <c r="AI293" s="290">
        <v>0</v>
      </c>
      <c r="AJ293" s="289">
        <v>0</v>
      </c>
      <c r="AK293" s="291">
        <v>1166491.6176969297</v>
      </c>
    </row>
    <row r="294" spans="1:37" x14ac:dyDescent="0.25">
      <c r="A294" s="264" t="s">
        <v>1460</v>
      </c>
      <c r="B294" s="264" t="s">
        <v>1056</v>
      </c>
      <c r="C294" s="264" t="s">
        <v>1463</v>
      </c>
      <c r="D294" s="264">
        <v>1537615</v>
      </c>
      <c r="E294" s="264" t="s">
        <v>1796</v>
      </c>
      <c r="F294" s="264">
        <v>2018</v>
      </c>
      <c r="G294" s="281">
        <v>1.74</v>
      </c>
      <c r="H294" s="264">
        <v>1.74</v>
      </c>
      <c r="I294" s="282">
        <v>0</v>
      </c>
      <c r="J294" s="281">
        <v>0</v>
      </c>
      <c r="K294" s="281">
        <v>0</v>
      </c>
      <c r="L294" s="264">
        <v>0</v>
      </c>
      <c r="M294" s="282">
        <v>20</v>
      </c>
      <c r="N294" s="281">
        <v>0</v>
      </c>
      <c r="O294" s="281"/>
      <c r="P294" s="263"/>
      <c r="Q294" s="313"/>
      <c r="R294" s="284">
        <v>1.74</v>
      </c>
      <c r="S294" s="284">
        <v>1.74</v>
      </c>
      <c r="T294" s="284">
        <v>0</v>
      </c>
      <c r="U294" s="284">
        <v>0</v>
      </c>
      <c r="V294" s="284">
        <v>0</v>
      </c>
      <c r="W294" s="284">
        <v>0</v>
      </c>
      <c r="X294" s="284">
        <v>0</v>
      </c>
      <c r="Y294" s="313"/>
      <c r="Z294" s="285">
        <v>962177.38977160933</v>
      </c>
      <c r="AA294" s="286">
        <v>0</v>
      </c>
      <c r="AB294" s="287">
        <v>52670.317624719501</v>
      </c>
      <c r="AC294" s="288">
        <v>0</v>
      </c>
      <c r="AD294" s="289">
        <v>1014847.7073963288</v>
      </c>
      <c r="AE294" s="266"/>
      <c r="AF294" s="285">
        <v>0</v>
      </c>
      <c r="AG294" s="286">
        <v>0</v>
      </c>
      <c r="AH294" s="286">
        <v>0</v>
      </c>
      <c r="AI294" s="290">
        <v>0</v>
      </c>
      <c r="AJ294" s="289">
        <v>0</v>
      </c>
      <c r="AK294" s="291">
        <v>1014847.7073963288</v>
      </c>
    </row>
    <row r="295" spans="1:37" x14ac:dyDescent="0.25">
      <c r="A295" s="264" t="s">
        <v>1465</v>
      </c>
      <c r="B295" s="264" t="s">
        <v>249</v>
      </c>
      <c r="C295" s="264" t="s">
        <v>1469</v>
      </c>
      <c r="D295" s="264">
        <v>1758706</v>
      </c>
      <c r="E295" s="264" t="s">
        <v>1796</v>
      </c>
      <c r="F295" s="264">
        <v>2018</v>
      </c>
      <c r="G295" s="281">
        <v>2</v>
      </c>
      <c r="H295" s="264">
        <v>1</v>
      </c>
      <c r="I295" s="282">
        <v>1</v>
      </c>
      <c r="J295" s="281">
        <v>0</v>
      </c>
      <c r="K295" s="281">
        <v>0</v>
      </c>
      <c r="L295" s="264">
        <v>0</v>
      </c>
      <c r="M295" s="282">
        <v>10</v>
      </c>
      <c r="N295" s="281">
        <v>0</v>
      </c>
      <c r="O295" s="281"/>
      <c r="P295" s="263"/>
      <c r="Q295" s="313"/>
      <c r="R295" s="284">
        <v>2</v>
      </c>
      <c r="S295" s="284">
        <v>1</v>
      </c>
      <c r="T295" s="284">
        <v>1</v>
      </c>
      <c r="U295" s="284">
        <v>0</v>
      </c>
      <c r="V295" s="284">
        <v>0</v>
      </c>
      <c r="W295" s="284">
        <v>0</v>
      </c>
      <c r="X295" s="284">
        <v>0</v>
      </c>
      <c r="Y295" s="313"/>
      <c r="Z295" s="285">
        <v>1105951.0227259877</v>
      </c>
      <c r="AA295" s="286">
        <v>0</v>
      </c>
      <c r="AB295" s="287">
        <v>60540.594970941951</v>
      </c>
      <c r="AC295" s="288">
        <v>0</v>
      </c>
      <c r="AD295" s="289">
        <v>1166491.6176969297</v>
      </c>
      <c r="AE295" s="266"/>
      <c r="AF295" s="285">
        <v>0</v>
      </c>
      <c r="AG295" s="286">
        <v>0</v>
      </c>
      <c r="AH295" s="286">
        <v>0</v>
      </c>
      <c r="AI295" s="290">
        <v>0</v>
      </c>
      <c r="AJ295" s="289">
        <v>0</v>
      </c>
      <c r="AK295" s="291">
        <v>1166491.6176969297</v>
      </c>
    </row>
    <row r="296" spans="1:37" x14ac:dyDescent="0.25">
      <c r="A296" s="264" t="s">
        <v>1465</v>
      </c>
      <c r="B296" s="264" t="s">
        <v>249</v>
      </c>
      <c r="C296" s="264" t="s">
        <v>1470</v>
      </c>
      <c r="D296" s="264">
        <v>1758706</v>
      </c>
      <c r="E296" s="264" t="s">
        <v>1799</v>
      </c>
      <c r="F296" s="264">
        <v>2018</v>
      </c>
      <c r="G296" s="281">
        <v>2</v>
      </c>
      <c r="H296" s="264">
        <v>1.5</v>
      </c>
      <c r="I296" s="282">
        <v>0.5</v>
      </c>
      <c r="J296" s="281">
        <v>0</v>
      </c>
      <c r="K296" s="281">
        <v>0</v>
      </c>
      <c r="L296" s="264">
        <v>0</v>
      </c>
      <c r="M296" s="282">
        <v>10</v>
      </c>
      <c r="N296" s="281">
        <v>0</v>
      </c>
      <c r="O296" s="281"/>
      <c r="P296" s="263"/>
      <c r="Q296" s="313"/>
      <c r="R296" s="284">
        <v>2</v>
      </c>
      <c r="S296" s="284">
        <v>1.5</v>
      </c>
      <c r="T296" s="284">
        <v>0.5</v>
      </c>
      <c r="U296" s="284">
        <v>0</v>
      </c>
      <c r="V296" s="284">
        <v>0</v>
      </c>
      <c r="W296" s="284">
        <v>0</v>
      </c>
      <c r="X296" s="284">
        <v>0</v>
      </c>
      <c r="Y296" s="313"/>
      <c r="Z296" s="285">
        <v>1105951.0227259877</v>
      </c>
      <c r="AA296" s="286">
        <v>0</v>
      </c>
      <c r="AB296" s="287">
        <v>60540.594970941951</v>
      </c>
      <c r="AC296" s="288">
        <v>0</v>
      </c>
      <c r="AD296" s="289">
        <v>1166491.6176969297</v>
      </c>
      <c r="AE296" s="266"/>
      <c r="AF296" s="285">
        <v>0</v>
      </c>
      <c r="AG296" s="286">
        <v>0</v>
      </c>
      <c r="AH296" s="286">
        <v>0</v>
      </c>
      <c r="AI296" s="290">
        <v>0</v>
      </c>
      <c r="AJ296" s="289">
        <v>0</v>
      </c>
      <c r="AK296" s="291">
        <v>1166491.6176969297</v>
      </c>
    </row>
    <row r="297" spans="1:37" x14ac:dyDescent="0.25">
      <c r="A297" s="264" t="s">
        <v>1401</v>
      </c>
      <c r="B297" s="264" t="s">
        <v>776</v>
      </c>
      <c r="C297" s="264" t="s">
        <v>1399</v>
      </c>
      <c r="D297" s="264">
        <v>6585534</v>
      </c>
      <c r="E297" s="264" t="s">
        <v>1086</v>
      </c>
      <c r="F297" s="264">
        <v>2018</v>
      </c>
      <c r="G297" s="281">
        <v>4</v>
      </c>
      <c r="H297" s="264">
        <v>4</v>
      </c>
      <c r="I297" s="282">
        <v>0</v>
      </c>
      <c r="J297" s="281">
        <v>0</v>
      </c>
      <c r="K297" s="281">
        <v>0</v>
      </c>
      <c r="L297" s="264">
        <v>0</v>
      </c>
      <c r="M297" s="282">
        <v>16</v>
      </c>
      <c r="N297" s="281">
        <v>0</v>
      </c>
      <c r="O297" s="281"/>
      <c r="P297" s="263"/>
      <c r="Q297" s="313"/>
      <c r="R297" s="284">
        <v>4</v>
      </c>
      <c r="S297" s="284">
        <v>4</v>
      </c>
      <c r="T297" s="284">
        <v>0</v>
      </c>
      <c r="U297" s="284">
        <v>0</v>
      </c>
      <c r="V297" s="284">
        <v>0</v>
      </c>
      <c r="W297" s="284">
        <v>0</v>
      </c>
      <c r="X297" s="284">
        <v>0</v>
      </c>
      <c r="Y297" s="313"/>
      <c r="Z297" s="285">
        <v>2826782.4217242533</v>
      </c>
      <c r="AA297" s="286">
        <v>0</v>
      </c>
      <c r="AB297" s="287">
        <v>255728.42606270988</v>
      </c>
      <c r="AC297" s="288">
        <v>0</v>
      </c>
      <c r="AD297" s="289">
        <v>3082510.847786963</v>
      </c>
      <c r="AE297" s="266"/>
      <c r="AF297" s="285">
        <v>0</v>
      </c>
      <c r="AG297" s="286">
        <v>0</v>
      </c>
      <c r="AH297" s="286">
        <v>0</v>
      </c>
      <c r="AI297" s="290">
        <v>0</v>
      </c>
      <c r="AJ297" s="289">
        <v>0</v>
      </c>
      <c r="AK297" s="291">
        <v>3082510.847786963</v>
      </c>
    </row>
    <row r="298" spans="1:37" x14ac:dyDescent="0.25">
      <c r="A298" s="264" t="s">
        <v>1473</v>
      </c>
      <c r="B298" s="264" t="s">
        <v>698</v>
      </c>
      <c r="C298" s="264" t="s">
        <v>1471</v>
      </c>
      <c r="D298" s="264">
        <v>2390992</v>
      </c>
      <c r="E298" s="264" t="s">
        <v>1776</v>
      </c>
      <c r="F298" s="264">
        <v>2018</v>
      </c>
      <c r="G298" s="281">
        <v>1.5</v>
      </c>
      <c r="H298" s="264">
        <v>0.75</v>
      </c>
      <c r="I298" s="282">
        <v>0.75</v>
      </c>
      <c r="J298" s="281">
        <v>0</v>
      </c>
      <c r="K298" s="281">
        <v>0</v>
      </c>
      <c r="L298" s="264">
        <v>0</v>
      </c>
      <c r="M298" s="282">
        <v>12</v>
      </c>
      <c r="N298" s="281">
        <v>0</v>
      </c>
      <c r="O298" s="281"/>
      <c r="P298" s="263"/>
      <c r="Q298" s="313"/>
      <c r="R298" s="284">
        <v>1.5</v>
      </c>
      <c r="S298" s="284">
        <v>0.75</v>
      </c>
      <c r="T298" s="284">
        <v>0.75</v>
      </c>
      <c r="U298" s="284">
        <v>0</v>
      </c>
      <c r="V298" s="284">
        <v>0</v>
      </c>
      <c r="W298" s="284">
        <v>0</v>
      </c>
      <c r="X298" s="284">
        <v>0</v>
      </c>
      <c r="Y298" s="313"/>
      <c r="Z298" s="285">
        <v>917488.67082556593</v>
      </c>
      <c r="AA298" s="286">
        <v>0</v>
      </c>
      <c r="AB298" s="287">
        <v>62195.201224556055</v>
      </c>
      <c r="AC298" s="288">
        <v>0</v>
      </c>
      <c r="AD298" s="289">
        <v>979683.87205012201</v>
      </c>
      <c r="AE298" s="266"/>
      <c r="AF298" s="285">
        <v>0</v>
      </c>
      <c r="AG298" s="286">
        <v>0</v>
      </c>
      <c r="AH298" s="286">
        <v>0</v>
      </c>
      <c r="AI298" s="290">
        <v>0</v>
      </c>
      <c r="AJ298" s="289">
        <v>0</v>
      </c>
      <c r="AK298" s="291">
        <v>979683.87205012201</v>
      </c>
    </row>
    <row r="299" spans="1:37" x14ac:dyDescent="0.25">
      <c r="A299" s="264" t="s">
        <v>1476</v>
      </c>
      <c r="B299" s="264" t="s">
        <v>713</v>
      </c>
      <c r="C299" s="264" t="s">
        <v>1475</v>
      </c>
      <c r="D299" s="264">
        <v>3054253</v>
      </c>
      <c r="E299" s="264" t="s">
        <v>1777</v>
      </c>
      <c r="F299" s="264">
        <v>2018</v>
      </c>
      <c r="G299" s="281">
        <v>3.2</v>
      </c>
      <c r="H299" s="264">
        <v>1</v>
      </c>
      <c r="I299" s="282">
        <v>2</v>
      </c>
      <c r="J299" s="281">
        <v>0</v>
      </c>
      <c r="K299" s="281">
        <v>0.2</v>
      </c>
      <c r="L299" s="264">
        <v>0</v>
      </c>
      <c r="M299" s="282">
        <v>0</v>
      </c>
      <c r="N299" s="281">
        <v>12</v>
      </c>
      <c r="O299" s="281"/>
      <c r="P299" s="263"/>
      <c r="Q299" s="313"/>
      <c r="R299" s="284">
        <v>3.2</v>
      </c>
      <c r="S299" s="284">
        <v>1</v>
      </c>
      <c r="T299" s="284">
        <v>2</v>
      </c>
      <c r="U299" s="284">
        <v>0</v>
      </c>
      <c r="V299" s="284">
        <v>0.2</v>
      </c>
      <c r="W299" s="284">
        <v>0</v>
      </c>
      <c r="X299" s="284">
        <v>12</v>
      </c>
      <c r="Y299" s="313"/>
      <c r="Z299" s="285">
        <v>1957309.1644278739</v>
      </c>
      <c r="AA299" s="286">
        <v>0</v>
      </c>
      <c r="AB299" s="287">
        <v>132683.0959457196</v>
      </c>
      <c r="AC299" s="288">
        <v>0</v>
      </c>
      <c r="AD299" s="289">
        <v>2089992.2603735935</v>
      </c>
      <c r="AE299" s="266"/>
      <c r="AF299" s="285">
        <v>0</v>
      </c>
      <c r="AG299" s="286">
        <v>0</v>
      </c>
      <c r="AH299" s="286">
        <v>0</v>
      </c>
      <c r="AI299" s="290">
        <v>0</v>
      </c>
      <c r="AJ299" s="289">
        <v>0</v>
      </c>
      <c r="AK299" s="291">
        <v>2089992.2603735935</v>
      </c>
    </row>
    <row r="300" spans="1:37" x14ac:dyDescent="0.25">
      <c r="A300" s="264" t="s">
        <v>1504</v>
      </c>
      <c r="B300" s="264" t="s">
        <v>849</v>
      </c>
      <c r="C300" s="264" t="s">
        <v>1503</v>
      </c>
      <c r="D300" s="264">
        <v>8172268</v>
      </c>
      <c r="E300" s="264" t="s">
        <v>1879</v>
      </c>
      <c r="F300" s="264">
        <v>2018</v>
      </c>
      <c r="G300" s="281">
        <v>8.5</v>
      </c>
      <c r="H300" s="264">
        <v>8.5</v>
      </c>
      <c r="I300" s="282">
        <v>0</v>
      </c>
      <c r="J300" s="281">
        <v>0</v>
      </c>
      <c r="K300" s="281">
        <v>0</v>
      </c>
      <c r="L300" s="264">
        <v>0</v>
      </c>
      <c r="M300" s="282">
        <v>32</v>
      </c>
      <c r="N300" s="281">
        <v>0</v>
      </c>
      <c r="O300" s="281"/>
      <c r="P300" s="263"/>
      <c r="Q300" s="313"/>
      <c r="R300" s="284">
        <v>8.5</v>
      </c>
      <c r="S300" s="284">
        <v>8.5</v>
      </c>
      <c r="T300" s="284">
        <v>0</v>
      </c>
      <c r="U300" s="284">
        <v>0</v>
      </c>
      <c r="V300" s="284">
        <v>0</v>
      </c>
      <c r="W300" s="284">
        <v>0</v>
      </c>
      <c r="X300" s="284">
        <v>0</v>
      </c>
      <c r="Y300" s="313"/>
      <c r="Z300" s="285">
        <v>5199102.4680115404</v>
      </c>
      <c r="AA300" s="286">
        <v>0</v>
      </c>
      <c r="AB300" s="287">
        <v>352439.47360581765</v>
      </c>
      <c r="AC300" s="288">
        <v>0</v>
      </c>
      <c r="AD300" s="289">
        <v>5551541.9416173585</v>
      </c>
      <c r="AE300" s="266"/>
      <c r="AF300" s="285">
        <v>0</v>
      </c>
      <c r="AG300" s="286">
        <v>0</v>
      </c>
      <c r="AH300" s="286">
        <v>0</v>
      </c>
      <c r="AI300" s="290">
        <v>0</v>
      </c>
      <c r="AJ300" s="289">
        <v>0</v>
      </c>
      <c r="AK300" s="291">
        <v>5551541.9416173585</v>
      </c>
    </row>
    <row r="301" spans="1:37" x14ac:dyDescent="0.25">
      <c r="A301" s="264" t="s">
        <v>1479</v>
      </c>
      <c r="B301" s="264" t="s">
        <v>1247</v>
      </c>
      <c r="C301" s="264" t="s">
        <v>1478</v>
      </c>
      <c r="D301" s="264">
        <v>3595008</v>
      </c>
      <c r="E301" s="264" t="s">
        <v>1879</v>
      </c>
      <c r="F301" s="264">
        <v>2018</v>
      </c>
      <c r="G301" s="281">
        <v>6</v>
      </c>
      <c r="H301" s="264">
        <v>4</v>
      </c>
      <c r="I301" s="282">
        <v>2</v>
      </c>
      <c r="J301" s="281">
        <v>0</v>
      </c>
      <c r="K301" s="281">
        <v>0</v>
      </c>
      <c r="L301" s="264">
        <v>0</v>
      </c>
      <c r="M301" s="282">
        <v>15</v>
      </c>
      <c r="N301" s="281">
        <v>0</v>
      </c>
      <c r="O301" s="281"/>
      <c r="P301" s="263"/>
      <c r="Q301" s="313"/>
      <c r="R301" s="284">
        <v>6</v>
      </c>
      <c r="S301" s="284">
        <v>4</v>
      </c>
      <c r="T301" s="284">
        <v>2</v>
      </c>
      <c r="U301" s="284">
        <v>0</v>
      </c>
      <c r="V301" s="284">
        <v>0</v>
      </c>
      <c r="W301" s="284">
        <v>0</v>
      </c>
      <c r="X301" s="284">
        <v>0</v>
      </c>
      <c r="Y301" s="313"/>
      <c r="Z301" s="285">
        <v>3669954.6833022637</v>
      </c>
      <c r="AA301" s="286">
        <v>0</v>
      </c>
      <c r="AB301" s="287">
        <v>248780.80489822422</v>
      </c>
      <c r="AC301" s="288">
        <v>0</v>
      </c>
      <c r="AD301" s="289">
        <v>3918735.488200488</v>
      </c>
      <c r="AE301" s="266"/>
      <c r="AF301" s="285">
        <v>0</v>
      </c>
      <c r="AG301" s="286">
        <v>0</v>
      </c>
      <c r="AH301" s="286">
        <v>0</v>
      </c>
      <c r="AI301" s="290">
        <v>0</v>
      </c>
      <c r="AJ301" s="289">
        <v>0</v>
      </c>
      <c r="AK301" s="291">
        <v>3918735.488200488</v>
      </c>
    </row>
    <row r="302" spans="1:37" x14ac:dyDescent="0.25">
      <c r="A302" s="264" t="s">
        <v>1388</v>
      </c>
      <c r="B302" s="264" t="s">
        <v>776</v>
      </c>
      <c r="C302" s="264" t="s">
        <v>1474</v>
      </c>
      <c r="D302" s="264">
        <v>2813024</v>
      </c>
      <c r="E302" s="264" t="s">
        <v>1879</v>
      </c>
      <c r="F302" s="264">
        <v>2018</v>
      </c>
      <c r="G302" s="281">
        <v>3.93</v>
      </c>
      <c r="H302" s="264">
        <v>1</v>
      </c>
      <c r="I302" s="282">
        <v>2.93</v>
      </c>
      <c r="J302" s="281">
        <v>0</v>
      </c>
      <c r="K302" s="281">
        <v>0</v>
      </c>
      <c r="L302" s="264">
        <v>0</v>
      </c>
      <c r="M302" s="282">
        <v>30</v>
      </c>
      <c r="N302" s="281">
        <v>0</v>
      </c>
      <c r="O302" s="281"/>
      <c r="P302" s="263"/>
      <c r="Q302" s="313"/>
      <c r="R302" s="284">
        <v>3.93</v>
      </c>
      <c r="S302" s="284">
        <v>1</v>
      </c>
      <c r="T302" s="284">
        <v>2.93</v>
      </c>
      <c r="U302" s="284">
        <v>0</v>
      </c>
      <c r="V302" s="284">
        <v>0</v>
      </c>
      <c r="W302" s="284">
        <v>0</v>
      </c>
      <c r="X302" s="284">
        <v>0</v>
      </c>
      <c r="Y302" s="313"/>
      <c r="Z302" s="285">
        <v>2403820.3175629829</v>
      </c>
      <c r="AA302" s="286">
        <v>0</v>
      </c>
      <c r="AB302" s="287">
        <v>162951.42720833686</v>
      </c>
      <c r="AC302" s="288">
        <v>0</v>
      </c>
      <c r="AD302" s="289">
        <v>2566771.7447713199</v>
      </c>
      <c r="AE302" s="266"/>
      <c r="AF302" s="285">
        <v>0</v>
      </c>
      <c r="AG302" s="286">
        <v>0</v>
      </c>
      <c r="AH302" s="286">
        <v>0</v>
      </c>
      <c r="AI302" s="290">
        <v>0</v>
      </c>
      <c r="AJ302" s="289">
        <v>0</v>
      </c>
      <c r="AK302" s="291">
        <v>2566771.7447713199</v>
      </c>
    </row>
    <row r="303" spans="1:37" x14ac:dyDescent="0.25">
      <c r="A303" s="292" t="s">
        <v>1482</v>
      </c>
      <c r="B303" s="292" t="s">
        <v>849</v>
      </c>
      <c r="C303" s="292" t="s">
        <v>1481</v>
      </c>
      <c r="D303" s="292">
        <v>3741470</v>
      </c>
      <c r="E303" s="292" t="s">
        <v>1781</v>
      </c>
      <c r="F303" s="292">
        <v>2018</v>
      </c>
      <c r="G303" s="297">
        <v>5.5</v>
      </c>
      <c r="H303" s="292">
        <v>5.5</v>
      </c>
      <c r="I303" s="298">
        <v>0</v>
      </c>
      <c r="J303" s="297">
        <v>0</v>
      </c>
      <c r="K303" s="297">
        <v>0</v>
      </c>
      <c r="L303" s="292">
        <v>0</v>
      </c>
      <c r="M303" s="298">
        <v>30</v>
      </c>
      <c r="N303" s="297">
        <v>0</v>
      </c>
      <c r="O303" s="297"/>
      <c r="P303" s="292"/>
      <c r="Q303" s="292"/>
      <c r="R303" s="298">
        <v>5.5</v>
      </c>
      <c r="S303" s="298">
        <v>5.5</v>
      </c>
      <c r="T303" s="298">
        <v>0</v>
      </c>
      <c r="U303" s="298">
        <v>0</v>
      </c>
      <c r="V303" s="298">
        <v>0</v>
      </c>
      <c r="W303" s="298">
        <v>0</v>
      </c>
      <c r="X303" s="298">
        <v>0</v>
      </c>
      <c r="Y303" s="292"/>
      <c r="Z303" s="285">
        <v>3364125.126360408</v>
      </c>
      <c r="AA303" s="302">
        <v>0</v>
      </c>
      <c r="AB303" s="302">
        <v>228049.07115670553</v>
      </c>
      <c r="AC303" s="303">
        <v>0</v>
      </c>
      <c r="AD303" s="303">
        <v>3592174.1975171138</v>
      </c>
      <c r="AE303" s="304"/>
      <c r="AF303" s="285">
        <v>0</v>
      </c>
      <c r="AG303" s="286">
        <v>0</v>
      </c>
      <c r="AH303" s="286">
        <v>0</v>
      </c>
      <c r="AI303" s="290">
        <v>0</v>
      </c>
      <c r="AJ303" s="289">
        <v>0</v>
      </c>
      <c r="AK303" s="299">
        <v>3592174.1975171138</v>
      </c>
    </row>
    <row r="304" spans="1:37" x14ac:dyDescent="0.25">
      <c r="A304" s="264" t="s">
        <v>1482</v>
      </c>
      <c r="B304" s="264" t="s">
        <v>849</v>
      </c>
      <c r="C304" s="264" t="s">
        <v>1758</v>
      </c>
      <c r="D304" s="264">
        <v>3741470</v>
      </c>
      <c r="E304" s="264" t="s">
        <v>1781</v>
      </c>
      <c r="F304" s="264">
        <v>2018</v>
      </c>
      <c r="G304" s="281">
        <v>2</v>
      </c>
      <c r="H304" s="264">
        <v>2</v>
      </c>
      <c r="I304" s="282">
        <v>0</v>
      </c>
      <c r="J304" s="281">
        <v>0</v>
      </c>
      <c r="K304" s="281">
        <v>0</v>
      </c>
      <c r="L304" s="264">
        <v>0</v>
      </c>
      <c r="M304" s="282">
        <v>30</v>
      </c>
      <c r="N304" s="281">
        <v>0</v>
      </c>
      <c r="O304" s="281"/>
      <c r="P304" s="263"/>
      <c r="Q304" s="313"/>
      <c r="R304" s="284">
        <v>2</v>
      </c>
      <c r="S304" s="284">
        <v>2</v>
      </c>
      <c r="T304" s="284">
        <v>0</v>
      </c>
      <c r="U304" s="284">
        <v>0</v>
      </c>
      <c r="V304" s="284">
        <v>0</v>
      </c>
      <c r="W304" s="284">
        <v>0</v>
      </c>
      <c r="X304" s="284">
        <v>0</v>
      </c>
      <c r="Y304" s="313"/>
      <c r="Z304" s="285">
        <v>1223318.2277674212</v>
      </c>
      <c r="AA304" s="286">
        <v>0</v>
      </c>
      <c r="AB304" s="287">
        <v>82926.934966074739</v>
      </c>
      <c r="AC304" s="288">
        <v>0</v>
      </c>
      <c r="AD304" s="289">
        <v>1306245.1627334959</v>
      </c>
      <c r="AE304" s="266"/>
      <c r="AF304" s="285">
        <v>0</v>
      </c>
      <c r="AG304" s="286">
        <v>0</v>
      </c>
      <c r="AH304" s="286">
        <v>0</v>
      </c>
      <c r="AI304" s="290">
        <v>0</v>
      </c>
      <c r="AJ304" s="289">
        <v>0</v>
      </c>
      <c r="AK304" s="291">
        <v>1306245.1627334959</v>
      </c>
    </row>
    <row r="305" spans="1:37" x14ac:dyDescent="0.25">
      <c r="A305" s="264" t="s">
        <v>1516</v>
      </c>
      <c r="B305" s="264" t="s">
        <v>1515</v>
      </c>
      <c r="C305" s="264" t="s">
        <v>1759</v>
      </c>
      <c r="D305" s="264">
        <v>8098643</v>
      </c>
      <c r="E305" s="264" t="s">
        <v>1781</v>
      </c>
      <c r="F305" s="264">
        <v>2018</v>
      </c>
      <c r="G305" s="281">
        <v>2.5</v>
      </c>
      <c r="H305" s="264">
        <v>0.5</v>
      </c>
      <c r="I305" s="282">
        <v>2</v>
      </c>
      <c r="J305" s="281">
        <v>0</v>
      </c>
      <c r="K305" s="281">
        <v>0</v>
      </c>
      <c r="L305" s="264">
        <v>0</v>
      </c>
      <c r="M305" s="282">
        <v>14</v>
      </c>
      <c r="N305" s="281">
        <v>0</v>
      </c>
      <c r="O305" s="281"/>
      <c r="P305" s="263"/>
      <c r="Q305" s="313"/>
      <c r="R305" s="284">
        <v>2.5</v>
      </c>
      <c r="S305" s="284">
        <v>0.5</v>
      </c>
      <c r="T305" s="284">
        <v>2</v>
      </c>
      <c r="U305" s="284">
        <v>0</v>
      </c>
      <c r="V305" s="284">
        <v>0</v>
      </c>
      <c r="W305" s="284">
        <v>0</v>
      </c>
      <c r="X305" s="284">
        <v>0</v>
      </c>
      <c r="Y305" s="313"/>
      <c r="Z305" s="285">
        <v>1529147.7847092764</v>
      </c>
      <c r="AA305" s="286">
        <v>0</v>
      </c>
      <c r="AB305" s="287">
        <v>103658.66870759343</v>
      </c>
      <c r="AC305" s="288">
        <v>0</v>
      </c>
      <c r="AD305" s="289">
        <v>1632806.4534168697</v>
      </c>
      <c r="AE305" s="266"/>
      <c r="AF305" s="285">
        <v>0</v>
      </c>
      <c r="AG305" s="286">
        <v>0</v>
      </c>
      <c r="AH305" s="286">
        <v>0</v>
      </c>
      <c r="AI305" s="290">
        <v>0</v>
      </c>
      <c r="AJ305" s="289">
        <v>0</v>
      </c>
      <c r="AK305" s="291">
        <v>1632806.4534168697</v>
      </c>
    </row>
    <row r="306" spans="1:37" x14ac:dyDescent="0.25">
      <c r="A306" s="264" t="s">
        <v>236</v>
      </c>
      <c r="B306" s="264" t="s">
        <v>1145</v>
      </c>
      <c r="C306" s="264" t="s">
        <v>1506</v>
      </c>
      <c r="D306" s="264">
        <v>9767213</v>
      </c>
      <c r="E306" s="264" t="s">
        <v>1781</v>
      </c>
      <c r="F306" s="264">
        <v>2018</v>
      </c>
      <c r="G306" s="281">
        <v>2.5</v>
      </c>
      <c r="H306" s="264">
        <v>0.5</v>
      </c>
      <c r="I306" s="282">
        <v>2</v>
      </c>
      <c r="J306" s="281">
        <v>0</v>
      </c>
      <c r="K306" s="281">
        <v>0</v>
      </c>
      <c r="L306" s="264">
        <v>0</v>
      </c>
      <c r="M306" s="282">
        <v>25</v>
      </c>
      <c r="N306" s="281">
        <v>7</v>
      </c>
      <c r="O306" s="281"/>
      <c r="P306" s="263"/>
      <c r="Q306" s="313"/>
      <c r="R306" s="284">
        <v>2.5</v>
      </c>
      <c r="S306" s="284">
        <v>0.5</v>
      </c>
      <c r="T306" s="284">
        <v>2</v>
      </c>
      <c r="U306" s="284">
        <v>0</v>
      </c>
      <c r="V306" s="284">
        <v>0</v>
      </c>
      <c r="W306" s="284">
        <v>0</v>
      </c>
      <c r="X306" s="284">
        <v>7</v>
      </c>
      <c r="Y306" s="313"/>
      <c r="Z306" s="285">
        <v>1529147.7847092764</v>
      </c>
      <c r="AA306" s="286">
        <v>0</v>
      </c>
      <c r="AB306" s="287">
        <v>103658.66870759343</v>
      </c>
      <c r="AC306" s="288">
        <v>0</v>
      </c>
      <c r="AD306" s="289">
        <v>1632806.4534168697</v>
      </c>
      <c r="AE306" s="266"/>
      <c r="AF306" s="285">
        <v>0</v>
      </c>
      <c r="AG306" s="286">
        <v>0</v>
      </c>
      <c r="AH306" s="286">
        <v>0</v>
      </c>
      <c r="AI306" s="290">
        <v>0</v>
      </c>
      <c r="AJ306" s="289">
        <v>0</v>
      </c>
      <c r="AK306" s="291">
        <v>1632806.4534168697</v>
      </c>
    </row>
    <row r="307" spans="1:37" x14ac:dyDescent="0.25">
      <c r="A307" s="264" t="s">
        <v>1535</v>
      </c>
      <c r="B307" s="264" t="s">
        <v>1533</v>
      </c>
      <c r="C307" s="264" t="s">
        <v>1760</v>
      </c>
      <c r="D307" s="264">
        <v>4385424</v>
      </c>
      <c r="E307" s="264" t="s">
        <v>1086</v>
      </c>
      <c r="F307" s="264">
        <v>2018</v>
      </c>
      <c r="G307" s="281">
        <v>0</v>
      </c>
      <c r="H307" s="264">
        <v>0</v>
      </c>
      <c r="I307" s="282">
        <v>0</v>
      </c>
      <c r="J307" s="281">
        <v>0</v>
      </c>
      <c r="K307" s="281">
        <v>0</v>
      </c>
      <c r="L307" s="264">
        <v>0</v>
      </c>
      <c r="M307" s="282">
        <v>0</v>
      </c>
      <c r="N307" s="281">
        <v>3</v>
      </c>
      <c r="O307" s="281"/>
      <c r="P307" s="263"/>
      <c r="Q307" s="313"/>
      <c r="R307" s="284">
        <v>0</v>
      </c>
      <c r="S307" s="284">
        <v>0</v>
      </c>
      <c r="T307" s="284">
        <v>0</v>
      </c>
      <c r="U307" s="284">
        <v>0</v>
      </c>
      <c r="V307" s="284">
        <v>0</v>
      </c>
      <c r="W307" s="284">
        <v>0</v>
      </c>
      <c r="X307" s="284">
        <v>3</v>
      </c>
      <c r="Y307" s="313"/>
      <c r="Z307" s="285">
        <v>0</v>
      </c>
      <c r="AA307" s="286">
        <v>0</v>
      </c>
      <c r="AB307" s="287">
        <v>0</v>
      </c>
      <c r="AC307" s="288">
        <v>0</v>
      </c>
      <c r="AD307" s="289">
        <v>0</v>
      </c>
      <c r="AE307" s="266"/>
      <c r="AF307" s="285">
        <v>0</v>
      </c>
      <c r="AG307" s="286">
        <v>0</v>
      </c>
      <c r="AH307" s="286">
        <v>0</v>
      </c>
      <c r="AI307" s="290">
        <v>0</v>
      </c>
      <c r="AJ307" s="289">
        <v>0</v>
      </c>
      <c r="AK307" s="291">
        <v>0</v>
      </c>
    </row>
    <row r="308" spans="1:37" x14ac:dyDescent="0.25">
      <c r="A308" s="264" t="s">
        <v>905</v>
      </c>
      <c r="B308" s="264" t="s">
        <v>902</v>
      </c>
      <c r="C308" s="264" t="s">
        <v>1486</v>
      </c>
      <c r="D308" s="264">
        <v>4659873</v>
      </c>
      <c r="E308" s="264" t="s">
        <v>1086</v>
      </c>
      <c r="F308" s="264">
        <v>2018</v>
      </c>
      <c r="G308" s="281">
        <v>2</v>
      </c>
      <c r="H308" s="264">
        <v>2</v>
      </c>
      <c r="I308" s="282">
        <v>0</v>
      </c>
      <c r="J308" s="281">
        <v>0</v>
      </c>
      <c r="K308" s="281">
        <v>0</v>
      </c>
      <c r="L308" s="264">
        <v>0</v>
      </c>
      <c r="M308" s="282">
        <v>55</v>
      </c>
      <c r="N308" s="281">
        <v>0</v>
      </c>
      <c r="O308" s="281"/>
      <c r="P308" s="263"/>
      <c r="Q308" s="313"/>
      <c r="R308" s="284">
        <v>2</v>
      </c>
      <c r="S308" s="284">
        <v>2</v>
      </c>
      <c r="T308" s="284">
        <v>0</v>
      </c>
      <c r="U308" s="284">
        <v>0</v>
      </c>
      <c r="V308" s="284">
        <v>0</v>
      </c>
      <c r="W308" s="284">
        <v>0</v>
      </c>
      <c r="X308" s="284">
        <v>0</v>
      </c>
      <c r="Y308" s="313"/>
      <c r="Z308" s="285">
        <v>1223318.2277674212</v>
      </c>
      <c r="AA308" s="286">
        <v>0</v>
      </c>
      <c r="AB308" s="287">
        <v>82926.934966074739</v>
      </c>
      <c r="AC308" s="288">
        <v>0</v>
      </c>
      <c r="AD308" s="289">
        <v>1306245.1627334959</v>
      </c>
      <c r="AE308" s="266"/>
      <c r="AF308" s="285">
        <v>0</v>
      </c>
      <c r="AG308" s="286">
        <v>0</v>
      </c>
      <c r="AH308" s="286">
        <v>0</v>
      </c>
      <c r="AI308" s="290">
        <v>0</v>
      </c>
      <c r="AJ308" s="289">
        <v>0</v>
      </c>
      <c r="AK308" s="291">
        <v>1306245.1627334959</v>
      </c>
    </row>
    <row r="309" spans="1:37" x14ac:dyDescent="0.25">
      <c r="A309" s="264" t="s">
        <v>585</v>
      </c>
      <c r="B309" s="264" t="s">
        <v>585</v>
      </c>
      <c r="C309" s="264" t="s">
        <v>1490</v>
      </c>
      <c r="D309" s="264">
        <v>5943218</v>
      </c>
      <c r="E309" s="264" t="s">
        <v>1086</v>
      </c>
      <c r="F309" s="264">
        <v>2018</v>
      </c>
      <c r="G309" s="281">
        <v>1.45</v>
      </c>
      <c r="H309" s="264">
        <v>0.5</v>
      </c>
      <c r="I309" s="282">
        <v>0</v>
      </c>
      <c r="J309" s="281">
        <v>0</v>
      </c>
      <c r="K309" s="281">
        <v>0.95</v>
      </c>
      <c r="L309" s="264">
        <v>0</v>
      </c>
      <c r="M309" s="282">
        <v>15</v>
      </c>
      <c r="N309" s="281">
        <v>2</v>
      </c>
      <c r="O309" s="281"/>
      <c r="P309" s="263"/>
      <c r="Q309" s="313"/>
      <c r="R309" s="284">
        <v>1.45</v>
      </c>
      <c r="S309" s="284">
        <v>0.5</v>
      </c>
      <c r="T309" s="284">
        <v>0</v>
      </c>
      <c r="U309" s="284">
        <v>0</v>
      </c>
      <c r="V309" s="284">
        <v>0.95</v>
      </c>
      <c r="W309" s="284">
        <v>0</v>
      </c>
      <c r="X309" s="284">
        <v>2</v>
      </c>
      <c r="Y309" s="313"/>
      <c r="Z309" s="285">
        <v>886905.71513138036</v>
      </c>
      <c r="AA309" s="286">
        <v>0</v>
      </c>
      <c r="AB309" s="287">
        <v>60122.027850404185</v>
      </c>
      <c r="AC309" s="288">
        <v>0</v>
      </c>
      <c r="AD309" s="289">
        <v>947027.74298178451</v>
      </c>
      <c r="AE309" s="266"/>
      <c r="AF309" s="285">
        <v>0</v>
      </c>
      <c r="AG309" s="286">
        <v>0</v>
      </c>
      <c r="AH309" s="286">
        <v>0</v>
      </c>
      <c r="AI309" s="290">
        <v>0</v>
      </c>
      <c r="AJ309" s="289">
        <v>0</v>
      </c>
      <c r="AK309" s="291">
        <v>947027.74298178451</v>
      </c>
    </row>
    <row r="310" spans="1:37" x14ac:dyDescent="0.25">
      <c r="A310" s="264" t="s">
        <v>1537</v>
      </c>
      <c r="B310" s="264" t="s">
        <v>1536</v>
      </c>
      <c r="C310" s="264" t="s">
        <v>1761</v>
      </c>
      <c r="D310" s="264">
        <v>7175172</v>
      </c>
      <c r="E310" s="264" t="s">
        <v>1086</v>
      </c>
      <c r="F310" s="264">
        <v>2018</v>
      </c>
      <c r="G310" s="281">
        <v>2</v>
      </c>
      <c r="H310" s="264">
        <v>2</v>
      </c>
      <c r="I310" s="282">
        <v>0</v>
      </c>
      <c r="J310" s="281">
        <v>0</v>
      </c>
      <c r="K310" s="281">
        <v>0</v>
      </c>
      <c r="L310" s="264">
        <v>0</v>
      </c>
      <c r="M310" s="282">
        <v>5</v>
      </c>
      <c r="N310" s="281">
        <v>0</v>
      </c>
      <c r="O310" s="281"/>
      <c r="P310" s="263"/>
      <c r="Q310" s="313"/>
      <c r="R310" s="284">
        <v>2</v>
      </c>
      <c r="S310" s="284">
        <v>2</v>
      </c>
      <c r="T310" s="284">
        <v>0</v>
      </c>
      <c r="U310" s="284">
        <v>0</v>
      </c>
      <c r="V310" s="284">
        <v>0</v>
      </c>
      <c r="W310" s="284">
        <v>0</v>
      </c>
      <c r="X310" s="284">
        <v>0</v>
      </c>
      <c r="Y310" s="313"/>
      <c r="Z310" s="285">
        <v>1223318.2277674212</v>
      </c>
      <c r="AA310" s="286">
        <v>0</v>
      </c>
      <c r="AB310" s="287">
        <v>82926.934966074739</v>
      </c>
      <c r="AC310" s="288">
        <v>0</v>
      </c>
      <c r="AD310" s="289">
        <v>1306245.1627334959</v>
      </c>
      <c r="AE310" s="266"/>
      <c r="AF310" s="285">
        <v>0</v>
      </c>
      <c r="AG310" s="286">
        <v>0</v>
      </c>
      <c r="AH310" s="286">
        <v>0</v>
      </c>
      <c r="AI310" s="290">
        <v>0</v>
      </c>
      <c r="AJ310" s="289">
        <v>0</v>
      </c>
      <c r="AK310" s="291">
        <v>1306245.1627334959</v>
      </c>
    </row>
    <row r="311" spans="1:37" x14ac:dyDescent="0.25">
      <c r="A311" s="264" t="s">
        <v>1485</v>
      </c>
      <c r="B311" s="264" t="s">
        <v>1067</v>
      </c>
      <c r="C311" s="264" t="s">
        <v>1484</v>
      </c>
      <c r="D311" s="264">
        <v>4373225</v>
      </c>
      <c r="E311" s="264" t="s">
        <v>1086</v>
      </c>
      <c r="F311" s="264">
        <v>2018</v>
      </c>
      <c r="G311" s="281">
        <v>1.6</v>
      </c>
      <c r="H311" s="264">
        <v>1.1000000000000001</v>
      </c>
      <c r="I311" s="282">
        <v>0</v>
      </c>
      <c r="J311" s="281">
        <v>0</v>
      </c>
      <c r="K311" s="281">
        <v>0.5</v>
      </c>
      <c r="L311" s="264">
        <v>0</v>
      </c>
      <c r="M311" s="282">
        <v>2</v>
      </c>
      <c r="N311" s="281">
        <v>0</v>
      </c>
      <c r="O311" s="281"/>
      <c r="P311" s="263"/>
      <c r="Q311" s="313"/>
      <c r="R311" s="284">
        <v>1.6</v>
      </c>
      <c r="S311" s="284">
        <v>1.1000000000000001</v>
      </c>
      <c r="T311" s="284">
        <v>0</v>
      </c>
      <c r="U311" s="284">
        <v>0</v>
      </c>
      <c r="V311" s="284">
        <v>0.5</v>
      </c>
      <c r="W311" s="284">
        <v>0</v>
      </c>
      <c r="X311" s="284">
        <v>0</v>
      </c>
      <c r="Y311" s="313"/>
      <c r="Z311" s="285">
        <v>978654.58221393696</v>
      </c>
      <c r="AA311" s="286">
        <v>0</v>
      </c>
      <c r="AB311" s="287">
        <v>66341.5479728598</v>
      </c>
      <c r="AC311" s="288">
        <v>0</v>
      </c>
      <c r="AD311" s="289">
        <v>1044996.1301867968</v>
      </c>
      <c r="AE311" s="266"/>
      <c r="AF311" s="285">
        <v>0</v>
      </c>
      <c r="AG311" s="286">
        <v>0</v>
      </c>
      <c r="AH311" s="286">
        <v>0</v>
      </c>
      <c r="AI311" s="290">
        <v>0</v>
      </c>
      <c r="AJ311" s="289">
        <v>0</v>
      </c>
      <c r="AK311" s="291">
        <v>1044996.1301867968</v>
      </c>
    </row>
    <row r="312" spans="1:37" x14ac:dyDescent="0.25">
      <c r="A312" s="264" t="s">
        <v>1495</v>
      </c>
      <c r="B312" s="264" t="s">
        <v>849</v>
      </c>
      <c r="C312" s="264" t="s">
        <v>1494</v>
      </c>
      <c r="D312" s="264">
        <v>6948137</v>
      </c>
      <c r="E312" s="264" t="s">
        <v>1787</v>
      </c>
      <c r="F312" s="264">
        <v>2018</v>
      </c>
      <c r="G312" s="281">
        <v>5</v>
      </c>
      <c r="H312" s="264">
        <v>5</v>
      </c>
      <c r="I312" s="282">
        <v>0</v>
      </c>
      <c r="J312" s="281">
        <v>0</v>
      </c>
      <c r="K312" s="281">
        <v>0</v>
      </c>
      <c r="L312" s="264">
        <v>0</v>
      </c>
      <c r="M312" s="282">
        <v>30</v>
      </c>
      <c r="N312" s="281">
        <v>0</v>
      </c>
      <c r="O312" s="281"/>
      <c r="P312" s="263"/>
      <c r="Q312" s="313"/>
      <c r="R312" s="284">
        <v>5</v>
      </c>
      <c r="S312" s="284">
        <v>5</v>
      </c>
      <c r="T312" s="284">
        <v>0</v>
      </c>
      <c r="U312" s="284">
        <v>0</v>
      </c>
      <c r="V312" s="284">
        <v>0</v>
      </c>
      <c r="W312" s="284">
        <v>0</v>
      </c>
      <c r="X312" s="284">
        <v>0</v>
      </c>
      <c r="Y312" s="313"/>
      <c r="Z312" s="285">
        <v>3058295.5694185528</v>
      </c>
      <c r="AA312" s="286">
        <v>0</v>
      </c>
      <c r="AB312" s="287">
        <v>207317.33741518686</v>
      </c>
      <c r="AC312" s="288">
        <v>0</v>
      </c>
      <c r="AD312" s="289">
        <v>3265612.9068337395</v>
      </c>
      <c r="AE312" s="266"/>
      <c r="AF312" s="285">
        <v>0</v>
      </c>
      <c r="AG312" s="286">
        <v>0</v>
      </c>
      <c r="AH312" s="286">
        <v>0</v>
      </c>
      <c r="AI312" s="290">
        <v>0</v>
      </c>
      <c r="AJ312" s="289">
        <v>0</v>
      </c>
      <c r="AK312" s="291">
        <v>3265612.9068337395</v>
      </c>
    </row>
    <row r="313" spans="1:37" x14ac:dyDescent="0.25">
      <c r="A313" s="264" t="s">
        <v>1488</v>
      </c>
      <c r="B313" s="264" t="s">
        <v>240</v>
      </c>
      <c r="C313" s="264" t="s">
        <v>1487</v>
      </c>
      <c r="D313" s="264">
        <v>4885366</v>
      </c>
      <c r="E313" s="264" t="s">
        <v>1787</v>
      </c>
      <c r="F313" s="264">
        <v>2018</v>
      </c>
      <c r="G313" s="281">
        <v>2</v>
      </c>
      <c r="H313" s="264">
        <v>1</v>
      </c>
      <c r="I313" s="282">
        <v>1</v>
      </c>
      <c r="J313" s="281">
        <v>0</v>
      </c>
      <c r="K313" s="281">
        <v>0</v>
      </c>
      <c r="L313" s="264">
        <v>0</v>
      </c>
      <c r="M313" s="282">
        <v>0</v>
      </c>
      <c r="N313" s="281">
        <v>21</v>
      </c>
      <c r="O313" s="281"/>
      <c r="P313" s="263"/>
      <c r="Q313" s="313"/>
      <c r="R313" s="284">
        <v>2</v>
      </c>
      <c r="S313" s="284">
        <v>1</v>
      </c>
      <c r="T313" s="284">
        <v>1</v>
      </c>
      <c r="U313" s="284">
        <v>0</v>
      </c>
      <c r="V313" s="284">
        <v>0</v>
      </c>
      <c r="W313" s="284">
        <v>0</v>
      </c>
      <c r="X313" s="284">
        <v>21</v>
      </c>
      <c r="Y313" s="313"/>
      <c r="Z313" s="285">
        <v>1223318.2277674212</v>
      </c>
      <c r="AA313" s="286">
        <v>0</v>
      </c>
      <c r="AB313" s="287">
        <v>82926.934966074739</v>
      </c>
      <c r="AC313" s="288">
        <v>0</v>
      </c>
      <c r="AD313" s="289">
        <v>1306245.1627334959</v>
      </c>
      <c r="AE313" s="266"/>
      <c r="AF313" s="285">
        <v>0</v>
      </c>
      <c r="AG313" s="286">
        <v>0</v>
      </c>
      <c r="AH313" s="286">
        <v>0</v>
      </c>
      <c r="AI313" s="290">
        <v>0</v>
      </c>
      <c r="AJ313" s="289">
        <v>0</v>
      </c>
      <c r="AK313" s="291">
        <v>1306245.1627334959</v>
      </c>
    </row>
    <row r="314" spans="1:37" x14ac:dyDescent="0.25">
      <c r="A314" s="264" t="s">
        <v>879</v>
      </c>
      <c r="B314" s="264" t="s">
        <v>874</v>
      </c>
      <c r="C314" s="264" t="s">
        <v>1492</v>
      </c>
      <c r="D314" s="264">
        <v>6473703</v>
      </c>
      <c r="E314" s="264" t="s">
        <v>1787</v>
      </c>
      <c r="F314" s="264">
        <v>2018</v>
      </c>
      <c r="G314" s="281">
        <v>3</v>
      </c>
      <c r="H314" s="264">
        <v>1.25</v>
      </c>
      <c r="I314" s="282">
        <v>1.75</v>
      </c>
      <c r="J314" s="281">
        <v>0</v>
      </c>
      <c r="K314" s="281">
        <v>0</v>
      </c>
      <c r="L314" s="264">
        <v>0</v>
      </c>
      <c r="M314" s="282">
        <v>20</v>
      </c>
      <c r="N314" s="281">
        <v>0</v>
      </c>
      <c r="O314" s="281"/>
      <c r="P314" s="263"/>
      <c r="Q314" s="313"/>
      <c r="R314" s="284">
        <v>3</v>
      </c>
      <c r="S314" s="284">
        <v>1.25</v>
      </c>
      <c r="T314" s="284">
        <v>1.75</v>
      </c>
      <c r="U314" s="284">
        <v>0</v>
      </c>
      <c r="V314" s="284">
        <v>0</v>
      </c>
      <c r="W314" s="284">
        <v>0</v>
      </c>
      <c r="X314" s="284">
        <v>0</v>
      </c>
      <c r="Y314" s="313"/>
      <c r="Z314" s="285">
        <v>1834977.3416511319</v>
      </c>
      <c r="AA314" s="286">
        <v>0</v>
      </c>
      <c r="AB314" s="287">
        <v>124390.40244911211</v>
      </c>
      <c r="AC314" s="288">
        <v>0</v>
      </c>
      <c r="AD314" s="289">
        <v>1959367.744100244</v>
      </c>
      <c r="AE314" s="266"/>
      <c r="AF314" s="285">
        <v>0</v>
      </c>
      <c r="AG314" s="286">
        <v>0</v>
      </c>
      <c r="AH314" s="286">
        <v>0</v>
      </c>
      <c r="AI314" s="290">
        <v>0</v>
      </c>
      <c r="AJ314" s="289">
        <v>0</v>
      </c>
      <c r="AK314" s="291">
        <v>1959367.744100244</v>
      </c>
    </row>
    <row r="315" spans="1:37" x14ac:dyDescent="0.25">
      <c r="A315" s="264" t="s">
        <v>1112</v>
      </c>
      <c r="B315" s="264" t="s">
        <v>1113</v>
      </c>
      <c r="C315" s="264" t="s">
        <v>1497</v>
      </c>
      <c r="D315" s="264">
        <v>7218817</v>
      </c>
      <c r="E315" s="264" t="s">
        <v>1788</v>
      </c>
      <c r="F315" s="264">
        <v>2018</v>
      </c>
      <c r="G315" s="281">
        <v>2.5</v>
      </c>
      <c r="H315" s="264">
        <v>0.5</v>
      </c>
      <c r="I315" s="282">
        <v>2</v>
      </c>
      <c r="J315" s="281">
        <v>0</v>
      </c>
      <c r="K315" s="281">
        <v>0</v>
      </c>
      <c r="L315" s="264">
        <v>0</v>
      </c>
      <c r="M315" s="282">
        <v>20</v>
      </c>
      <c r="N315" s="281">
        <v>0</v>
      </c>
      <c r="O315" s="281"/>
      <c r="P315" s="263"/>
      <c r="Q315" s="313"/>
      <c r="R315" s="284">
        <v>2.5</v>
      </c>
      <c r="S315" s="284">
        <v>0.5</v>
      </c>
      <c r="T315" s="284">
        <v>2</v>
      </c>
      <c r="U315" s="284">
        <v>0</v>
      </c>
      <c r="V315" s="284">
        <v>0</v>
      </c>
      <c r="W315" s="284">
        <v>0</v>
      </c>
      <c r="X315" s="284">
        <v>0</v>
      </c>
      <c r="Y315" s="313"/>
      <c r="Z315" s="285">
        <v>1529147.7847092764</v>
      </c>
      <c r="AA315" s="286">
        <v>0</v>
      </c>
      <c r="AB315" s="287">
        <v>103658.66870759343</v>
      </c>
      <c r="AC315" s="288">
        <v>0</v>
      </c>
      <c r="AD315" s="289">
        <v>1632806.4534168697</v>
      </c>
      <c r="AE315" s="266"/>
      <c r="AF315" s="285">
        <v>0</v>
      </c>
      <c r="AG315" s="286">
        <v>0</v>
      </c>
      <c r="AH315" s="286">
        <v>0</v>
      </c>
      <c r="AI315" s="290">
        <v>0</v>
      </c>
      <c r="AJ315" s="289">
        <v>0</v>
      </c>
      <c r="AK315" s="291">
        <v>1632806.4534168697</v>
      </c>
    </row>
    <row r="316" spans="1:37" x14ac:dyDescent="0.25">
      <c r="A316" s="264" t="s">
        <v>731</v>
      </c>
      <c r="B316" s="264" t="s">
        <v>1297</v>
      </c>
      <c r="C316" s="264" t="s">
        <v>1499</v>
      </c>
      <c r="D316" s="264">
        <v>7381195</v>
      </c>
      <c r="E316" s="264" t="s">
        <v>1789</v>
      </c>
      <c r="F316" s="264">
        <v>2018</v>
      </c>
      <c r="G316" s="281">
        <v>1.1499999999999999</v>
      </c>
      <c r="H316" s="264">
        <v>0.25</v>
      </c>
      <c r="I316" s="282">
        <v>0.9</v>
      </c>
      <c r="J316" s="281">
        <v>0</v>
      </c>
      <c r="K316" s="281">
        <v>0</v>
      </c>
      <c r="L316" s="264">
        <v>0</v>
      </c>
      <c r="M316" s="282">
        <v>4</v>
      </c>
      <c r="N316" s="281">
        <v>0</v>
      </c>
      <c r="O316" s="281"/>
      <c r="P316" s="263"/>
      <c r="Q316" s="313"/>
      <c r="R316" s="284">
        <v>1.1499999999999999</v>
      </c>
      <c r="S316" s="284">
        <v>0.25</v>
      </c>
      <c r="T316" s="284">
        <v>0.9</v>
      </c>
      <c r="U316" s="284">
        <v>0</v>
      </c>
      <c r="V316" s="284">
        <v>0</v>
      </c>
      <c r="W316" s="284">
        <v>0</v>
      </c>
      <c r="X316" s="284">
        <v>0</v>
      </c>
      <c r="Y316" s="313"/>
      <c r="Z316" s="285">
        <v>703407.98096626706</v>
      </c>
      <c r="AA316" s="286">
        <v>0</v>
      </c>
      <c r="AB316" s="287">
        <v>47682.98760549297</v>
      </c>
      <c r="AC316" s="288">
        <v>0</v>
      </c>
      <c r="AD316" s="289">
        <v>751090.96857175999</v>
      </c>
      <c r="AE316" s="266"/>
      <c r="AF316" s="285">
        <v>0</v>
      </c>
      <c r="AG316" s="286">
        <v>0</v>
      </c>
      <c r="AH316" s="286">
        <v>0</v>
      </c>
      <c r="AI316" s="290">
        <v>0</v>
      </c>
      <c r="AJ316" s="289">
        <v>0</v>
      </c>
      <c r="AK316" s="291">
        <v>751090.96857175999</v>
      </c>
    </row>
    <row r="317" spans="1:37" x14ac:dyDescent="0.25">
      <c r="A317" s="264" t="s">
        <v>642</v>
      </c>
      <c r="B317" s="264" t="s">
        <v>640</v>
      </c>
      <c r="C317" s="264" t="s">
        <v>1483</v>
      </c>
      <c r="D317" s="264">
        <v>3994122</v>
      </c>
      <c r="E317" s="264" t="s">
        <v>1787</v>
      </c>
      <c r="F317" s="264">
        <v>2018</v>
      </c>
      <c r="G317" s="281">
        <v>3.2</v>
      </c>
      <c r="H317" s="264">
        <v>2.2000000000000002</v>
      </c>
      <c r="I317" s="282">
        <v>1</v>
      </c>
      <c r="J317" s="281">
        <v>0</v>
      </c>
      <c r="K317" s="281">
        <v>0</v>
      </c>
      <c r="L317" s="264">
        <v>0</v>
      </c>
      <c r="M317" s="282">
        <v>15</v>
      </c>
      <c r="N317" s="281">
        <v>25</v>
      </c>
      <c r="O317" s="281"/>
      <c r="P317" s="263"/>
      <c r="Q317" s="313"/>
      <c r="R317" s="284">
        <v>3.2</v>
      </c>
      <c r="S317" s="284">
        <v>2.2000000000000002</v>
      </c>
      <c r="T317" s="284">
        <v>1</v>
      </c>
      <c r="U317" s="284">
        <v>0</v>
      </c>
      <c r="V317" s="284">
        <v>0</v>
      </c>
      <c r="W317" s="284">
        <v>0</v>
      </c>
      <c r="X317" s="284">
        <v>25</v>
      </c>
      <c r="Y317" s="313"/>
      <c r="Z317" s="285">
        <v>1957309.1644278739</v>
      </c>
      <c r="AA317" s="286">
        <v>0</v>
      </c>
      <c r="AB317" s="287">
        <v>132683.0959457196</v>
      </c>
      <c r="AC317" s="288">
        <v>0</v>
      </c>
      <c r="AD317" s="289">
        <v>2089992.2603735935</v>
      </c>
      <c r="AE317" s="266"/>
      <c r="AF317" s="285">
        <v>0</v>
      </c>
      <c r="AG317" s="286">
        <v>0</v>
      </c>
      <c r="AH317" s="286">
        <v>0</v>
      </c>
      <c r="AI317" s="290">
        <v>0</v>
      </c>
      <c r="AJ317" s="289">
        <v>0</v>
      </c>
      <c r="AK317" s="291">
        <v>2089992.2603735935</v>
      </c>
    </row>
    <row r="318" spans="1:37" x14ac:dyDescent="0.25">
      <c r="A318" s="264" t="s">
        <v>1495</v>
      </c>
      <c r="B318" s="264" t="s">
        <v>849</v>
      </c>
      <c r="C318" s="264" t="s">
        <v>1496</v>
      </c>
      <c r="D318" s="264">
        <v>6948137</v>
      </c>
      <c r="E318" s="264" t="s">
        <v>1796</v>
      </c>
      <c r="F318" s="264">
        <v>2018</v>
      </c>
      <c r="G318" s="281">
        <v>5.5</v>
      </c>
      <c r="H318" s="264">
        <v>5.5</v>
      </c>
      <c r="I318" s="282">
        <v>0</v>
      </c>
      <c r="J318" s="281">
        <v>0</v>
      </c>
      <c r="K318" s="281">
        <v>0</v>
      </c>
      <c r="L318" s="264">
        <v>0</v>
      </c>
      <c r="M318" s="282">
        <v>30</v>
      </c>
      <c r="N318" s="281">
        <v>0</v>
      </c>
      <c r="O318" s="281"/>
      <c r="P318" s="263"/>
      <c r="Q318" s="313"/>
      <c r="R318" s="284">
        <v>5.5</v>
      </c>
      <c r="S318" s="284">
        <v>5.5</v>
      </c>
      <c r="T318" s="284">
        <v>0</v>
      </c>
      <c r="U318" s="284">
        <v>0</v>
      </c>
      <c r="V318" s="284">
        <v>0</v>
      </c>
      <c r="W318" s="284">
        <v>0</v>
      </c>
      <c r="X318" s="284">
        <v>0</v>
      </c>
      <c r="Y318" s="313"/>
      <c r="Z318" s="285">
        <v>3364125.126360408</v>
      </c>
      <c r="AA318" s="286">
        <v>0</v>
      </c>
      <c r="AB318" s="287">
        <v>228049.07115670553</v>
      </c>
      <c r="AC318" s="288">
        <v>0</v>
      </c>
      <c r="AD318" s="289">
        <v>3592174.1975171138</v>
      </c>
      <c r="AE318" s="266"/>
      <c r="AF318" s="285">
        <v>0</v>
      </c>
      <c r="AG318" s="286">
        <v>0</v>
      </c>
      <c r="AH318" s="286">
        <v>0</v>
      </c>
      <c r="AI318" s="290">
        <v>0</v>
      </c>
      <c r="AJ318" s="289">
        <v>0</v>
      </c>
      <c r="AK318" s="291">
        <v>3592174.1975171138</v>
      </c>
    </row>
    <row r="319" spans="1:37" x14ac:dyDescent="0.25">
      <c r="A319" s="264" t="s">
        <v>485</v>
      </c>
      <c r="B319" s="264" t="s">
        <v>485</v>
      </c>
      <c r="C319" s="264" t="s">
        <v>1496</v>
      </c>
      <c r="D319" s="264">
        <v>7384495</v>
      </c>
      <c r="E319" s="264" t="s">
        <v>1796</v>
      </c>
      <c r="F319" s="264">
        <v>2018</v>
      </c>
      <c r="G319" s="281">
        <v>4.3099999999999996</v>
      </c>
      <c r="H319" s="264">
        <v>0.6</v>
      </c>
      <c r="I319" s="282">
        <v>3.71</v>
      </c>
      <c r="J319" s="281">
        <v>0</v>
      </c>
      <c r="K319" s="281">
        <v>0</v>
      </c>
      <c r="L319" s="264">
        <v>0</v>
      </c>
      <c r="M319" s="282">
        <v>15</v>
      </c>
      <c r="N319" s="281">
        <v>15</v>
      </c>
      <c r="O319" s="281"/>
      <c r="P319" s="263"/>
      <c r="Q319" s="313"/>
      <c r="R319" s="284">
        <v>4.3099999999999996</v>
      </c>
      <c r="S319" s="284">
        <v>0.6</v>
      </c>
      <c r="T319" s="284">
        <v>3.71</v>
      </c>
      <c r="U319" s="284">
        <v>0</v>
      </c>
      <c r="V319" s="284">
        <v>0</v>
      </c>
      <c r="W319" s="284">
        <v>0</v>
      </c>
      <c r="X319" s="284">
        <v>15</v>
      </c>
      <c r="Y319" s="313"/>
      <c r="Z319" s="285">
        <v>2636250.7808387922</v>
      </c>
      <c r="AA319" s="286">
        <v>0</v>
      </c>
      <c r="AB319" s="287">
        <v>178707.54485189106</v>
      </c>
      <c r="AC319" s="288">
        <v>0</v>
      </c>
      <c r="AD319" s="289">
        <v>2814958.3256906834</v>
      </c>
      <c r="AE319" s="266"/>
      <c r="AF319" s="285">
        <v>0</v>
      </c>
      <c r="AG319" s="286">
        <v>0</v>
      </c>
      <c r="AH319" s="286">
        <v>0</v>
      </c>
      <c r="AI319" s="290">
        <v>0</v>
      </c>
      <c r="AJ319" s="289">
        <v>0</v>
      </c>
      <c r="AK319" s="291">
        <v>2814958.3256906834</v>
      </c>
    </row>
    <row r="320" spans="1:37" x14ac:dyDescent="0.25">
      <c r="A320" s="264" t="s">
        <v>1488</v>
      </c>
      <c r="B320" s="264" t="s">
        <v>240</v>
      </c>
      <c r="C320" s="264" t="s">
        <v>1489</v>
      </c>
      <c r="D320" s="264">
        <v>4885366</v>
      </c>
      <c r="E320" s="264" t="s">
        <v>1796</v>
      </c>
      <c r="F320" s="264">
        <v>2018</v>
      </c>
      <c r="G320" s="281">
        <v>2</v>
      </c>
      <c r="H320" s="264">
        <v>1</v>
      </c>
      <c r="I320" s="282">
        <v>1</v>
      </c>
      <c r="J320" s="281">
        <v>0</v>
      </c>
      <c r="K320" s="281">
        <v>0</v>
      </c>
      <c r="L320" s="264">
        <v>0</v>
      </c>
      <c r="M320" s="282">
        <v>0</v>
      </c>
      <c r="N320" s="281">
        <v>21</v>
      </c>
      <c r="O320" s="281"/>
      <c r="P320" s="263"/>
      <c r="Q320" s="313"/>
      <c r="R320" s="284">
        <v>2</v>
      </c>
      <c r="S320" s="284">
        <v>1</v>
      </c>
      <c r="T320" s="284">
        <v>1</v>
      </c>
      <c r="U320" s="284">
        <v>0</v>
      </c>
      <c r="V320" s="284">
        <v>0</v>
      </c>
      <c r="W320" s="284">
        <v>0</v>
      </c>
      <c r="X320" s="284">
        <v>21</v>
      </c>
      <c r="Y320" s="313"/>
      <c r="Z320" s="285">
        <v>1223318.2277674212</v>
      </c>
      <c r="AA320" s="286">
        <v>0</v>
      </c>
      <c r="AB320" s="287">
        <v>82926.934966074739</v>
      </c>
      <c r="AC320" s="288">
        <v>0</v>
      </c>
      <c r="AD320" s="289">
        <v>1306245.1627334959</v>
      </c>
      <c r="AE320" s="266"/>
      <c r="AF320" s="285">
        <v>0</v>
      </c>
      <c r="AG320" s="286">
        <v>0</v>
      </c>
      <c r="AH320" s="286">
        <v>0</v>
      </c>
      <c r="AI320" s="290">
        <v>0</v>
      </c>
      <c r="AJ320" s="289">
        <v>0</v>
      </c>
      <c r="AK320" s="291">
        <v>1306245.1627334959</v>
      </c>
    </row>
    <row r="321" spans="1:37" x14ac:dyDescent="0.25">
      <c r="A321" s="264" t="s">
        <v>1522</v>
      </c>
      <c r="B321" s="264" t="s">
        <v>874</v>
      </c>
      <c r="C321" s="264" t="s">
        <v>1713</v>
      </c>
      <c r="D321" s="264">
        <v>9818505</v>
      </c>
      <c r="E321" s="264" t="s">
        <v>1796</v>
      </c>
      <c r="F321" s="264">
        <v>2018</v>
      </c>
      <c r="G321" s="281">
        <v>3.5</v>
      </c>
      <c r="H321" s="264">
        <v>2</v>
      </c>
      <c r="I321" s="282">
        <v>1.5</v>
      </c>
      <c r="J321" s="281">
        <v>0</v>
      </c>
      <c r="K321" s="281">
        <v>0</v>
      </c>
      <c r="L321" s="264">
        <v>0</v>
      </c>
      <c r="M321" s="282">
        <v>20</v>
      </c>
      <c r="N321" s="281">
        <v>0</v>
      </c>
      <c r="O321" s="281"/>
      <c r="P321" s="263"/>
      <c r="Q321" s="313"/>
      <c r="R321" s="284">
        <v>3.5</v>
      </c>
      <c r="S321" s="284">
        <v>2</v>
      </c>
      <c r="T321" s="284">
        <v>1.5</v>
      </c>
      <c r="U321" s="284">
        <v>0</v>
      </c>
      <c r="V321" s="284">
        <v>0</v>
      </c>
      <c r="W321" s="284">
        <v>0</v>
      </c>
      <c r="X321" s="284">
        <v>0</v>
      </c>
      <c r="Y321" s="313"/>
      <c r="Z321" s="285">
        <v>2140806.8985929871</v>
      </c>
      <c r="AA321" s="286">
        <v>0</v>
      </c>
      <c r="AB321" s="287">
        <v>145122.13619063079</v>
      </c>
      <c r="AC321" s="288">
        <v>0</v>
      </c>
      <c r="AD321" s="289">
        <v>2285929.0347836181</v>
      </c>
      <c r="AE321" s="266"/>
      <c r="AF321" s="285">
        <v>0</v>
      </c>
      <c r="AG321" s="286">
        <v>0</v>
      </c>
      <c r="AH321" s="286">
        <v>0</v>
      </c>
      <c r="AI321" s="290">
        <v>0</v>
      </c>
      <c r="AJ321" s="289">
        <v>0</v>
      </c>
      <c r="AK321" s="291">
        <v>2285929.0347836181</v>
      </c>
    </row>
    <row r="322" spans="1:37" x14ac:dyDescent="0.25">
      <c r="A322" s="264" t="s">
        <v>1523</v>
      </c>
      <c r="B322" s="264" t="s">
        <v>874</v>
      </c>
      <c r="C322" s="264" t="s">
        <v>1502</v>
      </c>
      <c r="D322" s="264">
        <v>7805491</v>
      </c>
      <c r="E322" s="264" t="s">
        <v>1796</v>
      </c>
      <c r="F322" s="264">
        <v>2018</v>
      </c>
      <c r="G322" s="281">
        <v>1.35</v>
      </c>
      <c r="H322" s="264">
        <v>1.35</v>
      </c>
      <c r="I322" s="282">
        <v>0</v>
      </c>
      <c r="J322" s="281">
        <v>0</v>
      </c>
      <c r="K322" s="281">
        <v>0</v>
      </c>
      <c r="L322" s="264">
        <v>0</v>
      </c>
      <c r="M322" s="282">
        <v>6</v>
      </c>
      <c r="N322" s="281">
        <v>0</v>
      </c>
      <c r="O322" s="281"/>
      <c r="P322" s="263"/>
      <c r="Q322" s="313"/>
      <c r="R322" s="284">
        <v>1.35</v>
      </c>
      <c r="S322" s="284">
        <v>1.35</v>
      </c>
      <c r="T322" s="284">
        <v>0</v>
      </c>
      <c r="U322" s="284">
        <v>0</v>
      </c>
      <c r="V322" s="284">
        <v>0</v>
      </c>
      <c r="W322" s="284">
        <v>0</v>
      </c>
      <c r="X322" s="284">
        <v>0</v>
      </c>
      <c r="Y322" s="313"/>
      <c r="Z322" s="285">
        <v>825739.80374300934</v>
      </c>
      <c r="AA322" s="286">
        <v>0</v>
      </c>
      <c r="AB322" s="287">
        <v>55975.681102100454</v>
      </c>
      <c r="AC322" s="288">
        <v>0</v>
      </c>
      <c r="AD322" s="289">
        <v>881715.48484510975</v>
      </c>
      <c r="AE322" s="266"/>
      <c r="AF322" s="285">
        <v>0</v>
      </c>
      <c r="AG322" s="286">
        <v>0</v>
      </c>
      <c r="AH322" s="286">
        <v>0</v>
      </c>
      <c r="AI322" s="290">
        <v>0</v>
      </c>
      <c r="AJ322" s="289">
        <v>0</v>
      </c>
      <c r="AK322" s="291">
        <v>881715.48484510975</v>
      </c>
    </row>
    <row r="323" spans="1:37" x14ac:dyDescent="0.25">
      <c r="A323" s="264" t="s">
        <v>933</v>
      </c>
      <c r="B323" s="264" t="s">
        <v>928</v>
      </c>
      <c r="C323" s="264" t="s">
        <v>1505</v>
      </c>
      <c r="D323" s="264">
        <v>9379121</v>
      </c>
      <c r="E323" s="264" t="s">
        <v>1799</v>
      </c>
      <c r="F323" s="264">
        <v>2018</v>
      </c>
      <c r="G323" s="281">
        <v>8.1</v>
      </c>
      <c r="H323" s="264">
        <v>7.8</v>
      </c>
      <c r="I323" s="282">
        <v>0</v>
      </c>
      <c r="J323" s="281">
        <v>0.3</v>
      </c>
      <c r="K323" s="281">
        <v>0</v>
      </c>
      <c r="L323" s="264">
        <v>0</v>
      </c>
      <c r="M323" s="282">
        <v>15</v>
      </c>
      <c r="N323" s="281">
        <v>0</v>
      </c>
      <c r="O323" s="281"/>
      <c r="P323" s="263"/>
      <c r="Q323" s="313"/>
      <c r="R323" s="284">
        <v>8.1</v>
      </c>
      <c r="S323" s="284">
        <v>7.8</v>
      </c>
      <c r="T323" s="284">
        <v>0</v>
      </c>
      <c r="U323" s="284">
        <v>0.3</v>
      </c>
      <c r="V323" s="284">
        <v>0</v>
      </c>
      <c r="W323" s="284">
        <v>0</v>
      </c>
      <c r="X323" s="284">
        <v>0</v>
      </c>
      <c r="Y323" s="313"/>
      <c r="Z323" s="285">
        <v>4954438.8224580558</v>
      </c>
      <c r="AA323" s="286">
        <v>0</v>
      </c>
      <c r="AB323" s="287">
        <v>335854.0866126027</v>
      </c>
      <c r="AC323" s="288">
        <v>0</v>
      </c>
      <c r="AD323" s="289">
        <v>5290292.9090706585</v>
      </c>
      <c r="AE323" s="266"/>
      <c r="AF323" s="285">
        <v>0</v>
      </c>
      <c r="AG323" s="286">
        <v>0</v>
      </c>
      <c r="AH323" s="286">
        <v>0</v>
      </c>
      <c r="AI323" s="290">
        <v>0</v>
      </c>
      <c r="AJ323" s="289">
        <v>0</v>
      </c>
      <c r="AK323" s="291">
        <v>5290292.9090706585</v>
      </c>
    </row>
    <row r="324" spans="1:37" x14ac:dyDescent="0.25">
      <c r="A324" s="264" t="s">
        <v>257</v>
      </c>
      <c r="B324" s="264" t="s">
        <v>257</v>
      </c>
      <c r="C324" s="264" t="s">
        <v>1480</v>
      </c>
      <c r="D324" s="264">
        <v>3650770</v>
      </c>
      <c r="E324" s="264" t="s">
        <v>1799</v>
      </c>
      <c r="F324" s="264">
        <v>2018</v>
      </c>
      <c r="G324" s="281">
        <v>3.6</v>
      </c>
      <c r="H324" s="264">
        <v>1.6</v>
      </c>
      <c r="I324" s="282">
        <v>2</v>
      </c>
      <c r="J324" s="281">
        <v>0</v>
      </c>
      <c r="K324" s="281">
        <v>0</v>
      </c>
      <c r="L324" s="264">
        <v>0</v>
      </c>
      <c r="M324" s="282">
        <v>10</v>
      </c>
      <c r="N324" s="281">
        <v>0</v>
      </c>
      <c r="O324" s="281"/>
      <c r="P324" s="263"/>
      <c r="Q324" s="313"/>
      <c r="R324" s="284">
        <v>3.6</v>
      </c>
      <c r="S324" s="284">
        <v>1.6</v>
      </c>
      <c r="T324" s="284">
        <v>2</v>
      </c>
      <c r="U324" s="284">
        <v>0</v>
      </c>
      <c r="V324" s="284">
        <v>0</v>
      </c>
      <c r="W324" s="284">
        <v>0</v>
      </c>
      <c r="X324" s="284">
        <v>0</v>
      </c>
      <c r="Y324" s="313"/>
      <c r="Z324" s="285">
        <v>2201972.8099813582</v>
      </c>
      <c r="AA324" s="286">
        <v>0</v>
      </c>
      <c r="AB324" s="287">
        <v>149268.48293893453</v>
      </c>
      <c r="AC324" s="288">
        <v>0</v>
      </c>
      <c r="AD324" s="289">
        <v>2351241.2929202928</v>
      </c>
      <c r="AE324" s="266"/>
      <c r="AF324" s="285">
        <v>0</v>
      </c>
      <c r="AG324" s="286">
        <v>0</v>
      </c>
      <c r="AH324" s="286">
        <v>0</v>
      </c>
      <c r="AI324" s="290">
        <v>0</v>
      </c>
      <c r="AJ324" s="289">
        <v>0</v>
      </c>
      <c r="AK324" s="291">
        <v>2351241.2929202928</v>
      </c>
    </row>
    <row r="325" spans="1:37" x14ac:dyDescent="0.25">
      <c r="A325" s="264" t="s">
        <v>700</v>
      </c>
      <c r="B325" s="264" t="s">
        <v>375</v>
      </c>
      <c r="C325" s="264" t="s">
        <v>1501</v>
      </c>
      <c r="D325" s="264">
        <v>7790627</v>
      </c>
      <c r="E325" s="264" t="s">
        <v>1804</v>
      </c>
      <c r="F325" s="264">
        <v>2018</v>
      </c>
      <c r="G325" s="281">
        <v>3.64</v>
      </c>
      <c r="H325" s="264">
        <v>0.5</v>
      </c>
      <c r="I325" s="282">
        <v>3.14</v>
      </c>
      <c r="J325" s="281">
        <v>0</v>
      </c>
      <c r="K325" s="281">
        <v>0</v>
      </c>
      <c r="L325" s="264">
        <v>0</v>
      </c>
      <c r="M325" s="282">
        <v>10</v>
      </c>
      <c r="N325" s="281">
        <v>5</v>
      </c>
      <c r="O325" s="281"/>
      <c r="P325" s="263"/>
      <c r="Q325" s="313"/>
      <c r="R325" s="284">
        <v>3.64</v>
      </c>
      <c r="S325" s="284">
        <v>0.5</v>
      </c>
      <c r="T325" s="284">
        <v>3.14</v>
      </c>
      <c r="U325" s="284">
        <v>0</v>
      </c>
      <c r="V325" s="284">
        <v>0</v>
      </c>
      <c r="W325" s="284">
        <v>0</v>
      </c>
      <c r="X325" s="284">
        <v>5</v>
      </c>
      <c r="Y325" s="313"/>
      <c r="Z325" s="285">
        <v>2226439.1745367064</v>
      </c>
      <c r="AA325" s="286">
        <v>0</v>
      </c>
      <c r="AB325" s="287">
        <v>150927.02163825603</v>
      </c>
      <c r="AC325" s="288">
        <v>0</v>
      </c>
      <c r="AD325" s="289">
        <v>2377366.1961749624</v>
      </c>
      <c r="AE325" s="266"/>
      <c r="AF325" s="285">
        <v>0</v>
      </c>
      <c r="AG325" s="286">
        <v>0</v>
      </c>
      <c r="AH325" s="286">
        <v>0</v>
      </c>
      <c r="AI325" s="290">
        <v>0</v>
      </c>
      <c r="AJ325" s="289">
        <v>0</v>
      </c>
      <c r="AK325" s="291">
        <v>2377366.1961749624</v>
      </c>
    </row>
    <row r="326" spans="1:37" x14ac:dyDescent="0.25">
      <c r="A326" s="264" t="s">
        <v>674</v>
      </c>
      <c r="B326" s="264" t="s">
        <v>674</v>
      </c>
      <c r="C326" s="264" t="s">
        <v>1491</v>
      </c>
      <c r="D326" s="264">
        <v>5945407</v>
      </c>
      <c r="E326" s="264" t="s">
        <v>1804</v>
      </c>
      <c r="F326" s="264">
        <v>2018</v>
      </c>
      <c r="G326" s="281">
        <v>1.25</v>
      </c>
      <c r="H326" s="264">
        <v>1.25</v>
      </c>
      <c r="I326" s="282">
        <v>0</v>
      </c>
      <c r="J326" s="281">
        <v>0</v>
      </c>
      <c r="K326" s="281">
        <v>0</v>
      </c>
      <c r="L326" s="264">
        <v>0</v>
      </c>
      <c r="M326" s="282">
        <v>6</v>
      </c>
      <c r="N326" s="281">
        <v>0</v>
      </c>
      <c r="O326" s="281"/>
      <c r="P326" s="263"/>
      <c r="Q326" s="313"/>
      <c r="R326" s="284">
        <v>1.25</v>
      </c>
      <c r="S326" s="284">
        <v>1.25</v>
      </c>
      <c r="T326" s="284">
        <v>0</v>
      </c>
      <c r="U326" s="284">
        <v>0</v>
      </c>
      <c r="V326" s="284">
        <v>0</v>
      </c>
      <c r="W326" s="284">
        <v>0</v>
      </c>
      <c r="X326" s="284">
        <v>0</v>
      </c>
      <c r="Y326" s="313"/>
      <c r="Z326" s="285">
        <v>764573.8923546382</v>
      </c>
      <c r="AA326" s="286">
        <v>0</v>
      </c>
      <c r="AB326" s="287">
        <v>51829.334353796716</v>
      </c>
      <c r="AC326" s="288">
        <v>0</v>
      </c>
      <c r="AD326" s="289">
        <v>816403.22670843487</v>
      </c>
      <c r="AE326" s="266"/>
      <c r="AF326" s="285">
        <v>0</v>
      </c>
      <c r="AG326" s="286">
        <v>0</v>
      </c>
      <c r="AH326" s="286">
        <v>0</v>
      </c>
      <c r="AI326" s="290">
        <v>0</v>
      </c>
      <c r="AJ326" s="289">
        <v>0</v>
      </c>
      <c r="AK326" s="291">
        <v>816403.22670843487</v>
      </c>
    </row>
    <row r="329" spans="1:37" x14ac:dyDescent="0.25">
      <c r="D329" s="310" t="s">
        <v>1807</v>
      </c>
    </row>
    <row r="330" spans="1:37" x14ac:dyDescent="0.25">
      <c r="D330" s="311">
        <v>1008575</v>
      </c>
      <c r="R330">
        <f>SUMIFS(R$4:R$326,$D$4:$D$326,$D330)</f>
        <v>7</v>
      </c>
      <c r="S330" s="313">
        <f t="shared" ref="S330:AK344" si="0">SUMIFS(S$4:S$326,$D$4:$D$326,$D330)</f>
        <v>1</v>
      </c>
      <c r="T330" s="313">
        <f t="shared" si="0"/>
        <v>6</v>
      </c>
      <c r="U330" s="313">
        <f t="shared" si="0"/>
        <v>0</v>
      </c>
      <c r="V330" s="313">
        <f t="shared" si="0"/>
        <v>0</v>
      </c>
      <c r="W330" s="313">
        <f t="shared" si="0"/>
        <v>0</v>
      </c>
      <c r="X330" s="313">
        <f t="shared" si="0"/>
        <v>6</v>
      </c>
      <c r="Y330" s="313">
        <f t="shared" si="0"/>
        <v>0</v>
      </c>
      <c r="Z330" s="313">
        <f t="shared" si="0"/>
        <v>3521653.3493090305</v>
      </c>
      <c r="AA330" s="313">
        <f t="shared" si="0"/>
        <v>0</v>
      </c>
      <c r="AB330" s="313">
        <f t="shared" si="0"/>
        <v>279903.36207960849</v>
      </c>
      <c r="AC330" s="313">
        <f t="shared" si="0"/>
        <v>0</v>
      </c>
      <c r="AD330" s="313">
        <f t="shared" si="0"/>
        <v>3801556.7113886392</v>
      </c>
      <c r="AE330" s="313">
        <f t="shared" si="0"/>
        <v>0</v>
      </c>
      <c r="AF330" s="313">
        <f t="shared" si="0"/>
        <v>832531.4117647059</v>
      </c>
      <c r="AG330" s="313">
        <f t="shared" si="0"/>
        <v>0</v>
      </c>
      <c r="AH330" s="313">
        <f t="shared" si="0"/>
        <v>0</v>
      </c>
      <c r="AI330" s="313">
        <f t="shared" si="0"/>
        <v>0</v>
      </c>
      <c r="AJ330" s="313">
        <f t="shared" si="0"/>
        <v>832531.4117647059</v>
      </c>
      <c r="AK330" s="313">
        <f t="shared" si="0"/>
        <v>2969025.2996239332</v>
      </c>
    </row>
    <row r="331" spans="1:37" x14ac:dyDescent="0.25">
      <c r="D331" s="311">
        <v>1109434</v>
      </c>
      <c r="R331" s="313">
        <f t="shared" ref="R331:AG394" si="1">SUMIFS(R$4:R$326,$D$4:$D$326,$D331)</f>
        <v>29</v>
      </c>
      <c r="S331" s="313">
        <f t="shared" si="1"/>
        <v>2</v>
      </c>
      <c r="T331" s="313">
        <f t="shared" si="1"/>
        <v>19</v>
      </c>
      <c r="U331" s="313">
        <f t="shared" si="1"/>
        <v>8</v>
      </c>
      <c r="V331" s="313">
        <f t="shared" si="1"/>
        <v>0</v>
      </c>
      <c r="W331" s="313">
        <f t="shared" si="1"/>
        <v>65</v>
      </c>
      <c r="X331" s="313">
        <f t="shared" si="1"/>
        <v>0</v>
      </c>
      <c r="Y331" s="313">
        <f t="shared" si="1"/>
        <v>0</v>
      </c>
      <c r="Z331" s="313">
        <f t="shared" si="1"/>
        <v>12471854.15627631</v>
      </c>
      <c r="AA331" s="313">
        <f t="shared" si="1"/>
        <v>5893195.9184855763</v>
      </c>
      <c r="AB331" s="313">
        <f t="shared" si="1"/>
        <v>6022093.1694086259</v>
      </c>
      <c r="AC331" s="313">
        <f t="shared" si="1"/>
        <v>4226463.1303525977</v>
      </c>
      <c r="AD331" s="313">
        <f t="shared" si="1"/>
        <v>28613606.374523111</v>
      </c>
      <c r="AE331" s="313">
        <f t="shared" si="1"/>
        <v>0</v>
      </c>
      <c r="AF331" s="313">
        <f t="shared" si="1"/>
        <v>7297581.5351311229</v>
      </c>
      <c r="AG331" s="313">
        <f t="shared" si="1"/>
        <v>1900916.4694041868</v>
      </c>
      <c r="AH331" s="313">
        <f t="shared" si="0"/>
        <v>4220045.3506698189</v>
      </c>
      <c r="AI331" s="313">
        <f t="shared" si="0"/>
        <v>3307009.0923713236</v>
      </c>
      <c r="AJ331" s="313">
        <f t="shared" si="0"/>
        <v>16725552.447576454</v>
      </c>
      <c r="AK331" s="313">
        <f t="shared" si="0"/>
        <v>11888053.926946657</v>
      </c>
    </row>
    <row r="332" spans="1:37" x14ac:dyDescent="0.25">
      <c r="D332" s="311">
        <v>1172890</v>
      </c>
      <c r="R332" s="313">
        <f t="shared" si="1"/>
        <v>11.7</v>
      </c>
      <c r="S332" s="313">
        <f t="shared" si="0"/>
        <v>1.7</v>
      </c>
      <c r="T332" s="313">
        <f t="shared" si="0"/>
        <v>10</v>
      </c>
      <c r="U332" s="313">
        <f t="shared" si="0"/>
        <v>0</v>
      </c>
      <c r="V332" s="313">
        <f t="shared" si="0"/>
        <v>0</v>
      </c>
      <c r="W332" s="313">
        <f t="shared" si="0"/>
        <v>0</v>
      </c>
      <c r="X332" s="313">
        <f t="shared" si="0"/>
        <v>0</v>
      </c>
      <c r="Y332" s="313">
        <f t="shared" si="0"/>
        <v>0</v>
      </c>
      <c r="Z332" s="313">
        <f t="shared" si="0"/>
        <v>5886192.0267022364</v>
      </c>
      <c r="AA332" s="313">
        <f t="shared" si="0"/>
        <v>0</v>
      </c>
      <c r="AB332" s="313">
        <f t="shared" si="0"/>
        <v>467838.47661877412</v>
      </c>
      <c r="AC332" s="313">
        <f t="shared" si="0"/>
        <v>0</v>
      </c>
      <c r="AD332" s="313">
        <f t="shared" si="0"/>
        <v>6354030.5033210106</v>
      </c>
      <c r="AE332" s="313">
        <f t="shared" si="0"/>
        <v>0</v>
      </c>
      <c r="AF332" s="313">
        <f t="shared" si="0"/>
        <v>1387552.3529411764</v>
      </c>
      <c r="AG332" s="313">
        <f t="shared" si="0"/>
        <v>0</v>
      </c>
      <c r="AH332" s="313">
        <f t="shared" si="0"/>
        <v>0</v>
      </c>
      <c r="AI332" s="313">
        <f t="shared" si="0"/>
        <v>0</v>
      </c>
      <c r="AJ332" s="313">
        <f t="shared" si="0"/>
        <v>1387552.3529411764</v>
      </c>
      <c r="AK332" s="313">
        <f t="shared" si="0"/>
        <v>4966478.1503798347</v>
      </c>
    </row>
    <row r="333" spans="1:37" x14ac:dyDescent="0.25">
      <c r="D333" s="311">
        <v>1201932</v>
      </c>
      <c r="R333" s="313">
        <f t="shared" si="1"/>
        <v>2.4</v>
      </c>
      <c r="S333" s="313">
        <f t="shared" si="0"/>
        <v>1.9</v>
      </c>
      <c r="T333" s="313">
        <f t="shared" si="0"/>
        <v>0</v>
      </c>
      <c r="U333" s="313">
        <f t="shared" si="0"/>
        <v>0</v>
      </c>
      <c r="V333" s="313">
        <f t="shared" si="0"/>
        <v>0.5</v>
      </c>
      <c r="W333" s="313">
        <f t="shared" si="0"/>
        <v>0</v>
      </c>
      <c r="X333" s="313">
        <f t="shared" si="0"/>
        <v>0</v>
      </c>
      <c r="Y333" s="313">
        <f t="shared" si="0"/>
        <v>0</v>
      </c>
      <c r="Z333" s="313">
        <f t="shared" si="0"/>
        <v>1459989.3487002922</v>
      </c>
      <c r="AA333" s="313">
        <f t="shared" si="0"/>
        <v>0</v>
      </c>
      <c r="AB333" s="313">
        <f t="shared" si="0"/>
        <v>107069.53846153847</v>
      </c>
      <c r="AC333" s="313">
        <f t="shared" si="0"/>
        <v>0</v>
      </c>
      <c r="AD333" s="313">
        <f t="shared" si="0"/>
        <v>1567058.8871618307</v>
      </c>
      <c r="AE333" s="313">
        <f t="shared" si="0"/>
        <v>0</v>
      </c>
      <c r="AF333" s="313">
        <f t="shared" si="0"/>
        <v>0</v>
      </c>
      <c r="AG333" s="313">
        <f t="shared" si="0"/>
        <v>0</v>
      </c>
      <c r="AH333" s="313">
        <f t="shared" si="0"/>
        <v>0</v>
      </c>
      <c r="AI333" s="313">
        <f t="shared" si="0"/>
        <v>0</v>
      </c>
      <c r="AJ333" s="313">
        <f t="shared" si="0"/>
        <v>0</v>
      </c>
      <c r="AK333" s="313">
        <f t="shared" si="0"/>
        <v>1567058.8871618307</v>
      </c>
    </row>
    <row r="334" spans="1:37" x14ac:dyDescent="0.25">
      <c r="D334" s="311">
        <v>1225073</v>
      </c>
      <c r="R334" s="313">
        <f t="shared" si="1"/>
        <v>16.34</v>
      </c>
      <c r="S334" s="313">
        <f t="shared" si="0"/>
        <v>0.67</v>
      </c>
      <c r="T334" s="313">
        <f t="shared" si="0"/>
        <v>15.67</v>
      </c>
      <c r="U334" s="313">
        <f t="shared" si="0"/>
        <v>0</v>
      </c>
      <c r="V334" s="313">
        <f t="shared" si="0"/>
        <v>0</v>
      </c>
      <c r="W334" s="313">
        <f t="shared" si="0"/>
        <v>0</v>
      </c>
      <c r="X334" s="313">
        <f t="shared" si="0"/>
        <v>0</v>
      </c>
      <c r="Y334" s="313">
        <f t="shared" si="0"/>
        <v>0</v>
      </c>
      <c r="Z334" s="313">
        <f t="shared" si="0"/>
        <v>8220545.103958508</v>
      </c>
      <c r="AA334" s="313">
        <f t="shared" si="0"/>
        <v>0</v>
      </c>
      <c r="AB334" s="313">
        <f t="shared" si="0"/>
        <v>653374.41948297177</v>
      </c>
      <c r="AC334" s="313">
        <f t="shared" si="0"/>
        <v>0</v>
      </c>
      <c r="AD334" s="313">
        <f t="shared" si="0"/>
        <v>8873919.5234414805</v>
      </c>
      <c r="AE334" s="313">
        <f t="shared" si="0"/>
        <v>0</v>
      </c>
      <c r="AF334" s="313">
        <f t="shared" si="0"/>
        <v>2174294.5370588237</v>
      </c>
      <c r="AG334" s="313">
        <f t="shared" si="0"/>
        <v>0</v>
      </c>
      <c r="AH334" s="313">
        <f t="shared" si="0"/>
        <v>0</v>
      </c>
      <c r="AI334" s="313">
        <f t="shared" si="0"/>
        <v>0</v>
      </c>
      <c r="AJ334" s="313">
        <f t="shared" si="0"/>
        <v>2174294.5370588237</v>
      </c>
      <c r="AK334" s="313">
        <f t="shared" si="0"/>
        <v>6699624.9863826567</v>
      </c>
    </row>
    <row r="335" spans="1:37" x14ac:dyDescent="0.25">
      <c r="D335" s="311">
        <v>1236570</v>
      </c>
      <c r="R335" s="313">
        <f t="shared" si="1"/>
        <v>15.96</v>
      </c>
      <c r="S335" s="313">
        <f t="shared" si="0"/>
        <v>4</v>
      </c>
      <c r="T335" s="313">
        <f t="shared" si="0"/>
        <v>10.96</v>
      </c>
      <c r="U335" s="313">
        <f t="shared" si="0"/>
        <v>0</v>
      </c>
      <c r="V335" s="313">
        <f t="shared" si="0"/>
        <v>1</v>
      </c>
      <c r="W335" s="313">
        <f t="shared" si="0"/>
        <v>64</v>
      </c>
      <c r="X335" s="313">
        <f t="shared" si="0"/>
        <v>0</v>
      </c>
      <c r="Y335" s="313">
        <f t="shared" si="0"/>
        <v>0</v>
      </c>
      <c r="Z335" s="313">
        <f t="shared" si="0"/>
        <v>9046318.3845676091</v>
      </c>
      <c r="AA335" s="313">
        <f t="shared" si="0"/>
        <v>0</v>
      </c>
      <c r="AB335" s="313">
        <f t="shared" si="0"/>
        <v>1614509.3867244418</v>
      </c>
      <c r="AC335" s="313">
        <f t="shared" si="0"/>
        <v>0</v>
      </c>
      <c r="AD335" s="313">
        <f t="shared" si="0"/>
        <v>10660827.771292051</v>
      </c>
      <c r="AE335" s="313">
        <f t="shared" si="0"/>
        <v>0</v>
      </c>
      <c r="AF335" s="313">
        <f t="shared" si="0"/>
        <v>0</v>
      </c>
      <c r="AG335" s="313">
        <f t="shared" si="0"/>
        <v>0</v>
      </c>
      <c r="AH335" s="313">
        <f t="shared" si="0"/>
        <v>1455047.4666666668</v>
      </c>
      <c r="AI335" s="313">
        <f t="shared" si="0"/>
        <v>0</v>
      </c>
      <c r="AJ335" s="313">
        <f t="shared" si="0"/>
        <v>1455047.4666666668</v>
      </c>
      <c r="AK335" s="313">
        <f t="shared" si="0"/>
        <v>9205780.3046253845</v>
      </c>
    </row>
    <row r="336" spans="1:37" x14ac:dyDescent="0.25">
      <c r="D336" s="311">
        <v>1272659</v>
      </c>
      <c r="R336" s="313">
        <f t="shared" si="1"/>
        <v>2</v>
      </c>
      <c r="S336" s="313">
        <f t="shared" si="0"/>
        <v>1</v>
      </c>
      <c r="T336" s="313">
        <f t="shared" si="0"/>
        <v>1</v>
      </c>
      <c r="U336" s="313">
        <f t="shared" si="0"/>
        <v>0</v>
      </c>
      <c r="V336" s="313">
        <f t="shared" si="0"/>
        <v>0</v>
      </c>
      <c r="W336" s="313">
        <f t="shared" si="0"/>
        <v>0</v>
      </c>
      <c r="X336" s="313">
        <f t="shared" si="0"/>
        <v>0</v>
      </c>
      <c r="Y336" s="313">
        <f t="shared" si="0"/>
        <v>0</v>
      </c>
      <c r="Z336" s="313">
        <f t="shared" si="0"/>
        <v>1173988.3653685269</v>
      </c>
      <c r="AA336" s="313">
        <f t="shared" si="0"/>
        <v>0</v>
      </c>
      <c r="AB336" s="313">
        <f t="shared" si="0"/>
        <v>85322.330424576445</v>
      </c>
      <c r="AC336" s="313">
        <f t="shared" si="0"/>
        <v>0</v>
      </c>
      <c r="AD336" s="313">
        <f t="shared" si="0"/>
        <v>1259310.6957931034</v>
      </c>
      <c r="AE336" s="313">
        <f t="shared" si="0"/>
        <v>0</v>
      </c>
      <c r="AF336" s="313">
        <f t="shared" si="0"/>
        <v>0</v>
      </c>
      <c r="AG336" s="313">
        <f t="shared" si="0"/>
        <v>0</v>
      </c>
      <c r="AH336" s="313">
        <f t="shared" si="0"/>
        <v>0</v>
      </c>
      <c r="AI336" s="313">
        <f t="shared" si="0"/>
        <v>0</v>
      </c>
      <c r="AJ336" s="313">
        <f t="shared" si="0"/>
        <v>0</v>
      </c>
      <c r="AK336" s="313">
        <f t="shared" si="0"/>
        <v>1259310.6957931034</v>
      </c>
    </row>
    <row r="337" spans="4:37" x14ac:dyDescent="0.25">
      <c r="D337" s="311">
        <v>1356155</v>
      </c>
      <c r="R337" s="313">
        <f t="shared" si="1"/>
        <v>4</v>
      </c>
      <c r="S337" s="313">
        <f t="shared" si="0"/>
        <v>1</v>
      </c>
      <c r="T337" s="313">
        <f t="shared" si="0"/>
        <v>3</v>
      </c>
      <c r="U337" s="313">
        <f t="shared" si="0"/>
        <v>0</v>
      </c>
      <c r="V337" s="313">
        <f t="shared" si="0"/>
        <v>0</v>
      </c>
      <c r="W337" s="313">
        <f t="shared" si="0"/>
        <v>0</v>
      </c>
      <c r="X337" s="313">
        <f t="shared" si="0"/>
        <v>0</v>
      </c>
      <c r="Y337" s="313">
        <f t="shared" si="0"/>
        <v>0</v>
      </c>
      <c r="Z337" s="313">
        <f t="shared" si="0"/>
        <v>2012373.3424623031</v>
      </c>
      <c r="AA337" s="313">
        <f t="shared" si="0"/>
        <v>0</v>
      </c>
      <c r="AB337" s="313">
        <f t="shared" si="0"/>
        <v>159944.77833120484</v>
      </c>
      <c r="AC337" s="313">
        <f t="shared" si="0"/>
        <v>0</v>
      </c>
      <c r="AD337" s="313">
        <f t="shared" si="0"/>
        <v>2172318.1207935079</v>
      </c>
      <c r="AE337" s="313">
        <f t="shared" si="0"/>
        <v>0</v>
      </c>
      <c r="AF337" s="313">
        <f t="shared" si="0"/>
        <v>416265.70588235295</v>
      </c>
      <c r="AG337" s="313">
        <f t="shared" si="0"/>
        <v>0</v>
      </c>
      <c r="AH337" s="313">
        <f t="shared" si="0"/>
        <v>0</v>
      </c>
      <c r="AI337" s="313">
        <f t="shared" si="0"/>
        <v>0</v>
      </c>
      <c r="AJ337" s="313">
        <f t="shared" si="0"/>
        <v>416265.70588235295</v>
      </c>
      <c r="AK337" s="313">
        <f t="shared" si="0"/>
        <v>1756052.4149111549</v>
      </c>
    </row>
    <row r="338" spans="4:37" x14ac:dyDescent="0.25">
      <c r="D338" s="311">
        <v>1378201</v>
      </c>
      <c r="R338" s="313">
        <f t="shared" si="1"/>
        <v>2.25</v>
      </c>
      <c r="S338" s="313">
        <f t="shared" si="0"/>
        <v>1.5</v>
      </c>
      <c r="T338" s="313">
        <f t="shared" si="0"/>
        <v>0.75</v>
      </c>
      <c r="U338" s="313">
        <f t="shared" si="0"/>
        <v>0</v>
      </c>
      <c r="V338" s="313">
        <f t="shared" si="0"/>
        <v>0</v>
      </c>
      <c r="W338" s="313">
        <f t="shared" si="0"/>
        <v>0</v>
      </c>
      <c r="X338" s="313">
        <f t="shared" si="0"/>
        <v>0</v>
      </c>
      <c r="Y338" s="313">
        <f t="shared" si="0"/>
        <v>0</v>
      </c>
      <c r="Z338" s="313">
        <f t="shared" si="0"/>
        <v>1261160.1231617646</v>
      </c>
      <c r="AA338" s="313">
        <f t="shared" si="0"/>
        <v>0</v>
      </c>
      <c r="AB338" s="313">
        <f t="shared" si="0"/>
        <v>32618.362224264707</v>
      </c>
      <c r="AC338" s="313">
        <f t="shared" si="0"/>
        <v>0</v>
      </c>
      <c r="AD338" s="313">
        <f t="shared" si="0"/>
        <v>1293778.4853860294</v>
      </c>
      <c r="AE338" s="313">
        <f t="shared" si="0"/>
        <v>0</v>
      </c>
      <c r="AF338" s="313">
        <f t="shared" si="0"/>
        <v>80477.070000000007</v>
      </c>
      <c r="AG338" s="313">
        <f t="shared" si="0"/>
        <v>0</v>
      </c>
      <c r="AH338" s="313">
        <f t="shared" si="0"/>
        <v>0</v>
      </c>
      <c r="AI338" s="313">
        <f t="shared" si="0"/>
        <v>0</v>
      </c>
      <c r="AJ338" s="313">
        <f t="shared" si="0"/>
        <v>80477.070000000007</v>
      </c>
      <c r="AK338" s="313">
        <f t="shared" si="0"/>
        <v>1213301.4153860291</v>
      </c>
    </row>
    <row r="339" spans="4:37" x14ac:dyDescent="0.25">
      <c r="D339" s="311">
        <v>1441233</v>
      </c>
      <c r="R339" s="313">
        <f t="shared" si="1"/>
        <v>5.35</v>
      </c>
      <c r="S339" s="313">
        <f t="shared" si="0"/>
        <v>0.3</v>
      </c>
      <c r="T339" s="313">
        <f t="shared" si="0"/>
        <v>3.5</v>
      </c>
      <c r="U339" s="313">
        <f t="shared" si="0"/>
        <v>1.55</v>
      </c>
      <c r="V339" s="313">
        <f t="shared" si="0"/>
        <v>0</v>
      </c>
      <c r="W339" s="313">
        <f t="shared" si="0"/>
        <v>13</v>
      </c>
      <c r="X339" s="313">
        <f t="shared" si="0"/>
        <v>0</v>
      </c>
      <c r="Y339" s="313">
        <f t="shared" si="0"/>
        <v>0</v>
      </c>
      <c r="Z339" s="313">
        <f t="shared" si="0"/>
        <v>2745917.7487983815</v>
      </c>
      <c r="AA339" s="313">
        <f t="shared" si="0"/>
        <v>0</v>
      </c>
      <c r="AB339" s="313">
        <f t="shared" si="0"/>
        <v>677514.24712163419</v>
      </c>
      <c r="AC339" s="313">
        <f t="shared" si="0"/>
        <v>370070.03703703708</v>
      </c>
      <c r="AD339" s="313">
        <f t="shared" si="0"/>
        <v>3793502.0329570528</v>
      </c>
      <c r="AE339" s="313">
        <f t="shared" si="0"/>
        <v>0</v>
      </c>
      <c r="AF339" s="313">
        <f t="shared" si="0"/>
        <v>643270.62243962544</v>
      </c>
      <c r="AG339" s="313">
        <f t="shared" si="0"/>
        <v>0</v>
      </c>
      <c r="AH339" s="313">
        <f t="shared" si="0"/>
        <v>499919.0625</v>
      </c>
      <c r="AI339" s="313">
        <f t="shared" si="0"/>
        <v>310640.85000000003</v>
      </c>
      <c r="AJ339" s="313">
        <f t="shared" si="0"/>
        <v>1453830.5349396255</v>
      </c>
      <c r="AK339" s="313">
        <f t="shared" si="0"/>
        <v>2339671.4980174275</v>
      </c>
    </row>
    <row r="340" spans="4:37" x14ac:dyDescent="0.25">
      <c r="D340" s="311">
        <v>1450637</v>
      </c>
      <c r="R340" s="313">
        <f t="shared" si="1"/>
        <v>50</v>
      </c>
      <c r="S340" s="313">
        <f t="shared" si="0"/>
        <v>2</v>
      </c>
      <c r="T340" s="313">
        <f t="shared" si="0"/>
        <v>36</v>
      </c>
      <c r="U340" s="313">
        <f t="shared" si="0"/>
        <v>12</v>
      </c>
      <c r="V340" s="313">
        <f t="shared" si="0"/>
        <v>0</v>
      </c>
      <c r="W340" s="313">
        <f t="shared" si="0"/>
        <v>81</v>
      </c>
      <c r="X340" s="313">
        <f t="shared" si="0"/>
        <v>0</v>
      </c>
      <c r="Y340" s="313">
        <f t="shared" si="0"/>
        <v>0</v>
      </c>
      <c r="Z340" s="313">
        <f t="shared" si="0"/>
        <v>22067767.938653894</v>
      </c>
      <c r="AA340" s="313">
        <f t="shared" si="0"/>
        <v>8804530.9338057823</v>
      </c>
      <c r="AB340" s="313">
        <f t="shared" si="0"/>
        <v>7396420.49804</v>
      </c>
      <c r="AC340" s="313">
        <f t="shared" si="0"/>
        <v>4965002.7719483748</v>
      </c>
      <c r="AD340" s="313">
        <f t="shared" si="0"/>
        <v>43233722.142448053</v>
      </c>
      <c r="AE340" s="313">
        <f t="shared" si="0"/>
        <v>0</v>
      </c>
      <c r="AF340" s="313">
        <f t="shared" si="0"/>
        <v>9725525.8200000003</v>
      </c>
      <c r="AG340" s="313">
        <f t="shared" si="0"/>
        <v>1821049.7962499999</v>
      </c>
      <c r="AH340" s="313">
        <f t="shared" si="0"/>
        <v>4895788.0344827585</v>
      </c>
      <c r="AI340" s="313">
        <f t="shared" si="0"/>
        <v>4131109.35</v>
      </c>
      <c r="AJ340" s="313">
        <f t="shared" si="0"/>
        <v>20573473.000732761</v>
      </c>
      <c r="AK340" s="313">
        <f t="shared" si="0"/>
        <v>22660249.141715292</v>
      </c>
    </row>
    <row r="341" spans="4:37" x14ac:dyDescent="0.25">
      <c r="D341" s="311">
        <v>1494293</v>
      </c>
      <c r="R341" s="313">
        <f t="shared" si="1"/>
        <v>1.34</v>
      </c>
      <c r="S341" s="313">
        <f t="shared" si="0"/>
        <v>0.14000000000000001</v>
      </c>
      <c r="T341" s="313">
        <f t="shared" si="0"/>
        <v>1</v>
      </c>
      <c r="U341" s="313">
        <f t="shared" si="0"/>
        <v>0.2</v>
      </c>
      <c r="V341" s="313">
        <f t="shared" si="0"/>
        <v>0</v>
      </c>
      <c r="W341" s="313">
        <f t="shared" si="0"/>
        <v>0</v>
      </c>
      <c r="X341" s="313">
        <f t="shared" si="0"/>
        <v>3</v>
      </c>
      <c r="Y341" s="313">
        <f t="shared" si="0"/>
        <v>0</v>
      </c>
      <c r="Z341" s="313">
        <f t="shared" si="0"/>
        <v>815160.71969099646</v>
      </c>
      <c r="AA341" s="313">
        <f t="shared" si="0"/>
        <v>0</v>
      </c>
      <c r="AB341" s="313">
        <f t="shared" si="0"/>
        <v>59780.492307692315</v>
      </c>
      <c r="AC341" s="313">
        <f t="shared" si="0"/>
        <v>0</v>
      </c>
      <c r="AD341" s="313">
        <f t="shared" si="0"/>
        <v>874941.21199868876</v>
      </c>
      <c r="AE341" s="313">
        <f t="shared" si="0"/>
        <v>0</v>
      </c>
      <c r="AF341" s="313">
        <f t="shared" si="0"/>
        <v>0</v>
      </c>
      <c r="AG341" s="313">
        <f t="shared" si="0"/>
        <v>0</v>
      </c>
      <c r="AH341" s="313">
        <f t="shared" si="0"/>
        <v>0</v>
      </c>
      <c r="AI341" s="313">
        <f t="shared" si="0"/>
        <v>0</v>
      </c>
      <c r="AJ341" s="313">
        <f t="shared" si="0"/>
        <v>0</v>
      </c>
      <c r="AK341" s="313">
        <f t="shared" si="0"/>
        <v>874941.21199868876</v>
      </c>
    </row>
    <row r="342" spans="4:37" x14ac:dyDescent="0.25">
      <c r="D342" s="311">
        <v>1514566</v>
      </c>
      <c r="R342" s="313">
        <f t="shared" si="1"/>
        <v>3.5</v>
      </c>
      <c r="S342" s="313">
        <f t="shared" si="0"/>
        <v>0.5</v>
      </c>
      <c r="T342" s="313">
        <f t="shared" si="0"/>
        <v>3</v>
      </c>
      <c r="U342" s="313">
        <f t="shared" si="0"/>
        <v>0</v>
      </c>
      <c r="V342" s="313">
        <f t="shared" si="0"/>
        <v>0</v>
      </c>
      <c r="W342" s="313">
        <f t="shared" si="0"/>
        <v>0</v>
      </c>
      <c r="X342" s="313">
        <f t="shared" si="0"/>
        <v>0</v>
      </c>
      <c r="Y342" s="313">
        <f t="shared" si="0"/>
        <v>0</v>
      </c>
      <c r="Z342" s="313">
        <f t="shared" si="0"/>
        <v>1760826.6746545152</v>
      </c>
      <c r="AA342" s="313">
        <f t="shared" si="0"/>
        <v>0</v>
      </c>
      <c r="AB342" s="313">
        <f t="shared" si="0"/>
        <v>139951.68103980424</v>
      </c>
      <c r="AC342" s="313">
        <f t="shared" si="0"/>
        <v>0</v>
      </c>
      <c r="AD342" s="313">
        <f t="shared" si="0"/>
        <v>1900778.3556943196</v>
      </c>
      <c r="AE342" s="313">
        <f t="shared" si="0"/>
        <v>0</v>
      </c>
      <c r="AF342" s="313">
        <f t="shared" si="0"/>
        <v>416265.70588235295</v>
      </c>
      <c r="AG342" s="313">
        <f t="shared" si="0"/>
        <v>0</v>
      </c>
      <c r="AH342" s="313">
        <f t="shared" si="0"/>
        <v>0</v>
      </c>
      <c r="AI342" s="313">
        <f t="shared" si="0"/>
        <v>0</v>
      </c>
      <c r="AJ342" s="313">
        <f t="shared" si="0"/>
        <v>416265.70588235295</v>
      </c>
      <c r="AK342" s="313">
        <f t="shared" si="0"/>
        <v>1484512.6498119666</v>
      </c>
    </row>
    <row r="343" spans="4:37" x14ac:dyDescent="0.25">
      <c r="D343" s="311">
        <v>1537615</v>
      </c>
      <c r="R343" s="313">
        <f t="shared" si="1"/>
        <v>5.75</v>
      </c>
      <c r="S343" s="313">
        <f t="shared" si="0"/>
        <v>5.75</v>
      </c>
      <c r="T343" s="313">
        <f t="shared" si="0"/>
        <v>0</v>
      </c>
      <c r="U343" s="313">
        <f t="shared" si="0"/>
        <v>0</v>
      </c>
      <c r="V343" s="313">
        <f t="shared" si="0"/>
        <v>0</v>
      </c>
      <c r="W343" s="313">
        <f t="shared" si="0"/>
        <v>0</v>
      </c>
      <c r="X343" s="313">
        <f t="shared" si="0"/>
        <v>0</v>
      </c>
      <c r="Y343" s="313">
        <f t="shared" si="0"/>
        <v>0</v>
      </c>
      <c r="Z343" s="313">
        <f t="shared" si="0"/>
        <v>3179609.1903372146</v>
      </c>
      <c r="AA343" s="313">
        <f t="shared" si="0"/>
        <v>0</v>
      </c>
      <c r="AB343" s="313">
        <f t="shared" si="0"/>
        <v>174054.2105414581</v>
      </c>
      <c r="AC343" s="313">
        <f t="shared" si="0"/>
        <v>0</v>
      </c>
      <c r="AD343" s="313">
        <f t="shared" si="0"/>
        <v>3353663.400878673</v>
      </c>
      <c r="AE343" s="313">
        <f t="shared" si="0"/>
        <v>0</v>
      </c>
      <c r="AF343" s="313">
        <f t="shared" si="0"/>
        <v>0</v>
      </c>
      <c r="AG343" s="313">
        <f t="shared" si="0"/>
        <v>0</v>
      </c>
      <c r="AH343" s="313">
        <f t="shared" si="0"/>
        <v>0</v>
      </c>
      <c r="AI343" s="313">
        <f t="shared" si="0"/>
        <v>0</v>
      </c>
      <c r="AJ343" s="313">
        <f t="shared" si="0"/>
        <v>0</v>
      </c>
      <c r="AK343" s="313">
        <f t="shared" si="0"/>
        <v>3353663.400878673</v>
      </c>
    </row>
    <row r="344" spans="4:37" x14ac:dyDescent="0.25">
      <c r="D344" s="311">
        <v>1546097</v>
      </c>
      <c r="R344" s="313">
        <f t="shared" si="1"/>
        <v>62.37</v>
      </c>
      <c r="S344" s="313">
        <f t="shared" si="0"/>
        <v>2.4</v>
      </c>
      <c r="T344" s="313">
        <f t="shared" si="0"/>
        <v>51.69</v>
      </c>
      <c r="U344" s="313">
        <f t="shared" si="0"/>
        <v>8.2799999999999994</v>
      </c>
      <c r="V344" s="313">
        <f t="shared" si="0"/>
        <v>0</v>
      </c>
      <c r="W344" s="313">
        <f t="shared" ref="S344:AK357" si="2">SUMIFS(W$4:W$326,$D$4:$D$326,$D344)</f>
        <v>102</v>
      </c>
      <c r="X344" s="313">
        <f t="shared" si="2"/>
        <v>0</v>
      </c>
      <c r="Y344" s="313">
        <f t="shared" si="2"/>
        <v>0</v>
      </c>
      <c r="Z344" s="313">
        <f t="shared" si="2"/>
        <v>31429993.935058948</v>
      </c>
      <c r="AA344" s="313">
        <f t="shared" si="2"/>
        <v>6096750.0508351382</v>
      </c>
      <c r="AB344" s="313">
        <f t="shared" si="2"/>
        <v>9896258.9085730575</v>
      </c>
      <c r="AC344" s="313">
        <f t="shared" si="2"/>
        <v>6357096.9239952164</v>
      </c>
      <c r="AD344" s="313">
        <f t="shared" si="2"/>
        <v>53780099.818462364</v>
      </c>
      <c r="AE344" s="313">
        <f t="shared" si="2"/>
        <v>0</v>
      </c>
      <c r="AF344" s="313">
        <f t="shared" si="2"/>
        <v>10824276.300000001</v>
      </c>
      <c r="AG344" s="313">
        <f t="shared" si="2"/>
        <v>2687672</v>
      </c>
      <c r="AH344" s="313">
        <f t="shared" si="2"/>
        <v>4879196.8421052638</v>
      </c>
      <c r="AI344" s="313">
        <f t="shared" si="2"/>
        <v>4617504.3</v>
      </c>
      <c r="AJ344" s="313">
        <f t="shared" si="2"/>
        <v>23008649.442105267</v>
      </c>
      <c r="AK344" s="313">
        <f t="shared" si="2"/>
        <v>30771450.376357097</v>
      </c>
    </row>
    <row r="345" spans="4:37" x14ac:dyDescent="0.25">
      <c r="D345" s="311">
        <v>1552469</v>
      </c>
      <c r="R345" s="313">
        <f t="shared" si="1"/>
        <v>1.62</v>
      </c>
      <c r="S345" s="313">
        <f t="shared" si="2"/>
        <v>0.7</v>
      </c>
      <c r="T345" s="313">
        <f t="shared" si="2"/>
        <v>0.92</v>
      </c>
      <c r="U345" s="313">
        <f t="shared" si="2"/>
        <v>0</v>
      </c>
      <c r="V345" s="313">
        <f t="shared" si="2"/>
        <v>0</v>
      </c>
      <c r="W345" s="313">
        <f t="shared" si="2"/>
        <v>0</v>
      </c>
      <c r="X345" s="313">
        <f t="shared" si="2"/>
        <v>3</v>
      </c>
      <c r="Y345" s="313">
        <f t="shared" si="2"/>
        <v>0</v>
      </c>
      <c r="Z345" s="313">
        <f t="shared" si="2"/>
        <v>878047.97793070949</v>
      </c>
      <c r="AA345" s="313">
        <f t="shared" si="2"/>
        <v>0</v>
      </c>
      <c r="AB345" s="313">
        <f t="shared" si="2"/>
        <v>125494.69407073387</v>
      </c>
      <c r="AC345" s="313">
        <f t="shared" si="2"/>
        <v>0</v>
      </c>
      <c r="AD345" s="313">
        <f t="shared" si="2"/>
        <v>1003542.6720014433</v>
      </c>
      <c r="AE345" s="313">
        <f t="shared" si="2"/>
        <v>0</v>
      </c>
      <c r="AF345" s="313">
        <f t="shared" si="2"/>
        <v>0</v>
      </c>
      <c r="AG345" s="313">
        <f t="shared" si="2"/>
        <v>0</v>
      </c>
      <c r="AH345" s="313">
        <f t="shared" si="2"/>
        <v>0</v>
      </c>
      <c r="AI345" s="313">
        <f t="shared" si="2"/>
        <v>0</v>
      </c>
      <c r="AJ345" s="313">
        <f t="shared" si="2"/>
        <v>0</v>
      </c>
      <c r="AK345" s="313">
        <f t="shared" si="2"/>
        <v>1003542.6720014433</v>
      </c>
    </row>
    <row r="346" spans="4:37" x14ac:dyDescent="0.25">
      <c r="D346" s="311">
        <v>1567065</v>
      </c>
      <c r="R346" s="313">
        <f t="shared" si="1"/>
        <v>1.7</v>
      </c>
      <c r="S346" s="313">
        <f t="shared" si="2"/>
        <v>0.1</v>
      </c>
      <c r="T346" s="313">
        <f t="shared" si="2"/>
        <v>1.6</v>
      </c>
      <c r="U346" s="313">
        <f t="shared" si="2"/>
        <v>0</v>
      </c>
      <c r="V346" s="313">
        <f t="shared" si="2"/>
        <v>0</v>
      </c>
      <c r="W346" s="313">
        <f t="shared" si="2"/>
        <v>0</v>
      </c>
      <c r="X346" s="313">
        <f t="shared" si="2"/>
        <v>10</v>
      </c>
      <c r="Y346" s="313">
        <f t="shared" si="2"/>
        <v>0</v>
      </c>
      <c r="Z346" s="313">
        <f t="shared" si="2"/>
        <v>1109940.8416624032</v>
      </c>
      <c r="AA346" s="313">
        <f t="shared" si="2"/>
        <v>0</v>
      </c>
      <c r="AB346" s="313">
        <f t="shared" si="2"/>
        <v>258239.91951219511</v>
      </c>
      <c r="AC346" s="313">
        <f t="shared" si="2"/>
        <v>49938</v>
      </c>
      <c r="AD346" s="313">
        <f t="shared" si="2"/>
        <v>1418118.7611745982</v>
      </c>
      <c r="AE346" s="313">
        <f t="shared" si="2"/>
        <v>0</v>
      </c>
      <c r="AF346" s="313">
        <f t="shared" si="2"/>
        <v>215829.54248366013</v>
      </c>
      <c r="AG346" s="313">
        <f t="shared" si="2"/>
        <v>0</v>
      </c>
      <c r="AH346" s="313">
        <f t="shared" si="2"/>
        <v>0</v>
      </c>
      <c r="AI346" s="313">
        <f t="shared" si="2"/>
        <v>54523.076923076922</v>
      </c>
      <c r="AJ346" s="313">
        <f t="shared" si="2"/>
        <v>270352.61940673704</v>
      </c>
      <c r="AK346" s="313">
        <f t="shared" si="2"/>
        <v>1147766.1417678613</v>
      </c>
    </row>
    <row r="347" spans="4:37" x14ac:dyDescent="0.25">
      <c r="D347" s="311">
        <v>1576566</v>
      </c>
      <c r="R347" s="313">
        <f t="shared" si="1"/>
        <v>3.4</v>
      </c>
      <c r="S347" s="313">
        <f t="shared" si="2"/>
        <v>0.4</v>
      </c>
      <c r="T347" s="313">
        <f t="shared" si="2"/>
        <v>3</v>
      </c>
      <c r="U347" s="313">
        <f t="shared" si="2"/>
        <v>0</v>
      </c>
      <c r="V347" s="313">
        <f t="shared" si="2"/>
        <v>0</v>
      </c>
      <c r="W347" s="313">
        <f t="shared" si="2"/>
        <v>8</v>
      </c>
      <c r="X347" s="313">
        <f t="shared" si="2"/>
        <v>0</v>
      </c>
      <c r="Y347" s="313">
        <f t="shared" si="2"/>
        <v>0</v>
      </c>
      <c r="Z347" s="313">
        <f t="shared" si="2"/>
        <v>1988815.9872489474</v>
      </c>
      <c r="AA347" s="313">
        <f t="shared" si="2"/>
        <v>0</v>
      </c>
      <c r="AB347" s="313">
        <f t="shared" si="2"/>
        <v>428354.31130111648</v>
      </c>
      <c r="AC347" s="313">
        <f t="shared" si="2"/>
        <v>142889.46133333334</v>
      </c>
      <c r="AD347" s="313">
        <f t="shared" si="2"/>
        <v>2560059.7598833973</v>
      </c>
      <c r="AE347" s="313">
        <f t="shared" si="2"/>
        <v>0</v>
      </c>
      <c r="AF347" s="313">
        <f t="shared" si="2"/>
        <v>245911.18298969074</v>
      </c>
      <c r="AG347" s="313">
        <f t="shared" si="2"/>
        <v>0</v>
      </c>
      <c r="AH347" s="313">
        <f t="shared" si="2"/>
        <v>346258.16000000003</v>
      </c>
      <c r="AI347" s="313">
        <f t="shared" si="2"/>
        <v>150451.5</v>
      </c>
      <c r="AJ347" s="313">
        <f t="shared" si="2"/>
        <v>742620.84298969083</v>
      </c>
      <c r="AK347" s="313">
        <f t="shared" si="2"/>
        <v>1817438.9168937064</v>
      </c>
    </row>
    <row r="348" spans="4:37" x14ac:dyDescent="0.25">
      <c r="D348" s="311">
        <v>1622964</v>
      </c>
      <c r="R348" s="313">
        <f t="shared" si="1"/>
        <v>6.75</v>
      </c>
      <c r="S348" s="313">
        <f t="shared" si="2"/>
        <v>0.5</v>
      </c>
      <c r="T348" s="313">
        <f t="shared" si="2"/>
        <v>6.25</v>
      </c>
      <c r="U348" s="313">
        <f t="shared" si="2"/>
        <v>0</v>
      </c>
      <c r="V348" s="313">
        <f t="shared" si="2"/>
        <v>0</v>
      </c>
      <c r="W348" s="313">
        <f t="shared" si="2"/>
        <v>5</v>
      </c>
      <c r="X348" s="313">
        <f t="shared" si="2"/>
        <v>5</v>
      </c>
      <c r="Y348" s="313">
        <f t="shared" si="2"/>
        <v>0</v>
      </c>
      <c r="Z348" s="313">
        <f t="shared" si="2"/>
        <v>3464475.6643717899</v>
      </c>
      <c r="AA348" s="313">
        <f t="shared" si="2"/>
        <v>0</v>
      </c>
      <c r="AB348" s="313">
        <f t="shared" si="2"/>
        <v>260582.40273909006</v>
      </c>
      <c r="AC348" s="313">
        <f t="shared" si="2"/>
        <v>142334.62962962964</v>
      </c>
      <c r="AD348" s="313">
        <f t="shared" si="2"/>
        <v>3867392.6967405095</v>
      </c>
      <c r="AE348" s="313">
        <f t="shared" si="2"/>
        <v>0</v>
      </c>
      <c r="AF348" s="313">
        <f t="shared" si="2"/>
        <v>796127.00796983344</v>
      </c>
      <c r="AG348" s="313">
        <f t="shared" si="2"/>
        <v>0</v>
      </c>
      <c r="AH348" s="313">
        <f t="shared" si="2"/>
        <v>192276.5625</v>
      </c>
      <c r="AI348" s="313">
        <f t="shared" si="2"/>
        <v>119477.25</v>
      </c>
      <c r="AJ348" s="313">
        <f t="shared" si="2"/>
        <v>1107880.8204698334</v>
      </c>
      <c r="AK348" s="313">
        <f t="shared" si="2"/>
        <v>2759511.876270676</v>
      </c>
    </row>
    <row r="349" spans="4:37" x14ac:dyDescent="0.25">
      <c r="D349" s="311">
        <v>1642854</v>
      </c>
      <c r="R349" s="313">
        <f t="shared" si="1"/>
        <v>24.5</v>
      </c>
      <c r="S349" s="313">
        <f t="shared" si="2"/>
        <v>1</v>
      </c>
      <c r="T349" s="313">
        <f t="shared" si="2"/>
        <v>20</v>
      </c>
      <c r="U349" s="313">
        <f t="shared" si="2"/>
        <v>3.5</v>
      </c>
      <c r="V349" s="313">
        <f t="shared" si="2"/>
        <v>0</v>
      </c>
      <c r="W349" s="313">
        <f t="shared" si="2"/>
        <v>50</v>
      </c>
      <c r="X349" s="313">
        <f t="shared" si="2"/>
        <v>0</v>
      </c>
      <c r="Y349" s="313">
        <f t="shared" si="2"/>
        <v>0</v>
      </c>
      <c r="Z349" s="313">
        <f t="shared" si="2"/>
        <v>12195345.439782416</v>
      </c>
      <c r="AA349" s="313">
        <f t="shared" si="2"/>
        <v>2567988.1890266864</v>
      </c>
      <c r="AB349" s="313">
        <f t="shared" si="2"/>
        <v>4565691.6654567905</v>
      </c>
      <c r="AC349" s="313">
        <f t="shared" si="2"/>
        <v>3064816.5258940584</v>
      </c>
      <c r="AD349" s="313">
        <f t="shared" si="2"/>
        <v>22393841.820159949</v>
      </c>
      <c r="AE349" s="313">
        <f t="shared" si="2"/>
        <v>0</v>
      </c>
      <c r="AF349" s="313">
        <f t="shared" si="2"/>
        <v>6003411</v>
      </c>
      <c r="AG349" s="313">
        <f t="shared" si="2"/>
        <v>1124104.8125</v>
      </c>
      <c r="AH349" s="313">
        <f t="shared" si="2"/>
        <v>3022091.3793103448</v>
      </c>
      <c r="AI349" s="313">
        <f t="shared" si="2"/>
        <v>2550067.5</v>
      </c>
      <c r="AJ349" s="313">
        <f t="shared" si="2"/>
        <v>12699674.691810345</v>
      </c>
      <c r="AK349" s="313">
        <f t="shared" si="2"/>
        <v>9694167.1283496041</v>
      </c>
    </row>
    <row r="350" spans="4:37" x14ac:dyDescent="0.25">
      <c r="D350" s="311">
        <v>1647194</v>
      </c>
      <c r="R350" s="313">
        <f t="shared" si="1"/>
        <v>5.2</v>
      </c>
      <c r="S350" s="313">
        <f t="shared" si="2"/>
        <v>1</v>
      </c>
      <c r="T350" s="313">
        <f t="shared" si="2"/>
        <v>4.2</v>
      </c>
      <c r="U350" s="313">
        <f t="shared" si="2"/>
        <v>0</v>
      </c>
      <c r="V350" s="313">
        <f t="shared" si="2"/>
        <v>0</v>
      </c>
      <c r="W350" s="313">
        <f t="shared" si="2"/>
        <v>0</v>
      </c>
      <c r="X350" s="313">
        <f t="shared" si="2"/>
        <v>0</v>
      </c>
      <c r="Y350" s="313">
        <f t="shared" si="2"/>
        <v>0</v>
      </c>
      <c r="Z350" s="313">
        <f t="shared" si="2"/>
        <v>2616085.3452009941</v>
      </c>
      <c r="AA350" s="313">
        <f t="shared" si="2"/>
        <v>0</v>
      </c>
      <c r="AB350" s="313">
        <f t="shared" si="2"/>
        <v>207928.21183056629</v>
      </c>
      <c r="AC350" s="313">
        <f t="shared" si="2"/>
        <v>0</v>
      </c>
      <c r="AD350" s="313">
        <f t="shared" si="2"/>
        <v>2824013.5570315602</v>
      </c>
      <c r="AE350" s="313">
        <f t="shared" si="2"/>
        <v>0</v>
      </c>
      <c r="AF350" s="313">
        <f t="shared" si="2"/>
        <v>582771.98823529412</v>
      </c>
      <c r="AG350" s="313">
        <f t="shared" si="2"/>
        <v>0</v>
      </c>
      <c r="AH350" s="313">
        <f t="shared" si="2"/>
        <v>0</v>
      </c>
      <c r="AI350" s="313">
        <f t="shared" si="2"/>
        <v>0</v>
      </c>
      <c r="AJ350" s="313">
        <f t="shared" si="2"/>
        <v>582771.98823529412</v>
      </c>
      <c r="AK350" s="313">
        <f t="shared" si="2"/>
        <v>2241241.5687962659</v>
      </c>
    </row>
    <row r="351" spans="4:37" x14ac:dyDescent="0.25">
      <c r="D351" s="311">
        <v>1665958</v>
      </c>
      <c r="R351" s="313">
        <f t="shared" si="1"/>
        <v>20</v>
      </c>
      <c r="S351" s="313">
        <f t="shared" si="2"/>
        <v>1</v>
      </c>
      <c r="T351" s="313">
        <f t="shared" si="2"/>
        <v>13</v>
      </c>
      <c r="U351" s="313">
        <f t="shared" si="2"/>
        <v>6</v>
      </c>
      <c r="V351" s="313">
        <f t="shared" si="2"/>
        <v>0</v>
      </c>
      <c r="W351" s="313">
        <f t="shared" si="2"/>
        <v>55</v>
      </c>
      <c r="X351" s="313">
        <f t="shared" si="2"/>
        <v>0</v>
      </c>
      <c r="Y351" s="313">
        <f t="shared" si="2"/>
        <v>0</v>
      </c>
      <c r="Z351" s="313">
        <f t="shared" si="2"/>
        <v>8314569.4375175396</v>
      </c>
      <c r="AA351" s="313">
        <f t="shared" si="2"/>
        <v>4419896.9388641827</v>
      </c>
      <c r="AB351" s="313">
        <f t="shared" si="2"/>
        <v>5095617.2971919142</v>
      </c>
      <c r="AC351" s="313">
        <f t="shared" si="2"/>
        <v>3576238.0333752749</v>
      </c>
      <c r="AD351" s="313">
        <f t="shared" si="2"/>
        <v>21406321.70694891</v>
      </c>
      <c r="AE351" s="313">
        <f t="shared" si="2"/>
        <v>0</v>
      </c>
      <c r="AF351" s="313">
        <f t="shared" si="2"/>
        <v>6174876.6835724888</v>
      </c>
      <c r="AG351" s="313">
        <f t="shared" si="2"/>
        <v>1608467.7818035427</v>
      </c>
      <c r="AH351" s="313">
        <f t="shared" si="2"/>
        <v>3570807.6044129236</v>
      </c>
      <c r="AI351" s="313">
        <f t="shared" si="2"/>
        <v>2798238.4627757352</v>
      </c>
      <c r="AJ351" s="313">
        <f t="shared" si="2"/>
        <v>14152390.53256469</v>
      </c>
      <c r="AK351" s="313">
        <f t="shared" si="2"/>
        <v>7253931.1743842196</v>
      </c>
    </row>
    <row r="352" spans="4:37" x14ac:dyDescent="0.25">
      <c r="D352" s="311">
        <v>1671513</v>
      </c>
      <c r="R352" s="313">
        <f t="shared" si="1"/>
        <v>2.1</v>
      </c>
      <c r="S352" s="313">
        <f t="shared" si="2"/>
        <v>0.1</v>
      </c>
      <c r="T352" s="313">
        <f t="shared" si="2"/>
        <v>2</v>
      </c>
      <c r="U352" s="313">
        <f t="shared" si="2"/>
        <v>0</v>
      </c>
      <c r="V352" s="313">
        <f t="shared" si="2"/>
        <v>0</v>
      </c>
      <c r="W352" s="313">
        <f t="shared" si="2"/>
        <v>0</v>
      </c>
      <c r="X352" s="313">
        <f t="shared" si="2"/>
        <v>0</v>
      </c>
      <c r="Y352" s="313">
        <f t="shared" si="2"/>
        <v>0</v>
      </c>
      <c r="Z352" s="313">
        <f t="shared" si="2"/>
        <v>1056496.0047927091</v>
      </c>
      <c r="AA352" s="313">
        <f t="shared" si="2"/>
        <v>0</v>
      </c>
      <c r="AB352" s="313">
        <f t="shared" si="2"/>
        <v>83971.008623882546</v>
      </c>
      <c r="AC352" s="313">
        <f t="shared" si="2"/>
        <v>0</v>
      </c>
      <c r="AD352" s="313">
        <f t="shared" si="2"/>
        <v>1140467.0134165916</v>
      </c>
      <c r="AE352" s="313">
        <f t="shared" si="2"/>
        <v>0</v>
      </c>
      <c r="AF352" s="313">
        <f t="shared" si="2"/>
        <v>277510.4705882353</v>
      </c>
      <c r="AG352" s="313">
        <f t="shared" si="2"/>
        <v>0</v>
      </c>
      <c r="AH352" s="313">
        <f t="shared" si="2"/>
        <v>0</v>
      </c>
      <c r="AI352" s="313">
        <f t="shared" si="2"/>
        <v>0</v>
      </c>
      <c r="AJ352" s="313">
        <f t="shared" si="2"/>
        <v>277510.4705882353</v>
      </c>
      <c r="AK352" s="313">
        <f t="shared" si="2"/>
        <v>862956.54282835627</v>
      </c>
    </row>
    <row r="353" spans="4:37" x14ac:dyDescent="0.25">
      <c r="D353" s="311">
        <v>1686476</v>
      </c>
      <c r="R353" s="313">
        <f t="shared" si="1"/>
        <v>24</v>
      </c>
      <c r="S353" s="313">
        <f t="shared" si="2"/>
        <v>1.5</v>
      </c>
      <c r="T353" s="313">
        <f t="shared" si="2"/>
        <v>22.5</v>
      </c>
      <c r="U353" s="313">
        <f t="shared" si="2"/>
        <v>0</v>
      </c>
      <c r="V353" s="313">
        <f t="shared" si="2"/>
        <v>0</v>
      </c>
      <c r="W353" s="313">
        <f t="shared" si="2"/>
        <v>0</v>
      </c>
      <c r="X353" s="313">
        <f t="shared" si="2"/>
        <v>0</v>
      </c>
      <c r="Y353" s="313">
        <f t="shared" si="2"/>
        <v>0</v>
      </c>
      <c r="Z353" s="313">
        <f t="shared" si="2"/>
        <v>12074240.054773819</v>
      </c>
      <c r="AA353" s="313">
        <f t="shared" si="2"/>
        <v>0</v>
      </c>
      <c r="AB353" s="313">
        <f t="shared" si="2"/>
        <v>959668.66998722905</v>
      </c>
      <c r="AC353" s="313">
        <f t="shared" si="2"/>
        <v>0</v>
      </c>
      <c r="AD353" s="313">
        <f t="shared" si="2"/>
        <v>13033908.724761048</v>
      </c>
      <c r="AE353" s="313">
        <f t="shared" si="2"/>
        <v>0</v>
      </c>
      <c r="AF353" s="313">
        <f t="shared" si="2"/>
        <v>3121992.7941176472</v>
      </c>
      <c r="AG353" s="313">
        <f t="shared" si="2"/>
        <v>0</v>
      </c>
      <c r="AH353" s="313">
        <f t="shared" si="2"/>
        <v>0</v>
      </c>
      <c r="AI353" s="313">
        <f t="shared" si="2"/>
        <v>0</v>
      </c>
      <c r="AJ353" s="313">
        <f t="shared" si="2"/>
        <v>3121992.7941176472</v>
      </c>
      <c r="AK353" s="313">
        <f t="shared" si="2"/>
        <v>9911915.930643402</v>
      </c>
    </row>
    <row r="354" spans="4:37" x14ac:dyDescent="0.25">
      <c r="D354" s="311">
        <v>1696009</v>
      </c>
      <c r="R354" s="313">
        <f t="shared" si="1"/>
        <v>0.9</v>
      </c>
      <c r="S354" s="313">
        <f t="shared" si="2"/>
        <v>0.4</v>
      </c>
      <c r="T354" s="313">
        <f t="shared" si="2"/>
        <v>0.5</v>
      </c>
      <c r="U354" s="313">
        <f t="shared" si="2"/>
        <v>0</v>
      </c>
      <c r="V354" s="313">
        <f t="shared" si="2"/>
        <v>0</v>
      </c>
      <c r="W354" s="313">
        <f t="shared" si="2"/>
        <v>7</v>
      </c>
      <c r="X354" s="313">
        <f t="shared" si="2"/>
        <v>0</v>
      </c>
      <c r="Y354" s="313">
        <f t="shared" si="2"/>
        <v>0</v>
      </c>
      <c r="Z354" s="313">
        <f t="shared" si="2"/>
        <v>558266.75976619928</v>
      </c>
      <c r="AA354" s="313">
        <f t="shared" si="2"/>
        <v>0</v>
      </c>
      <c r="AB354" s="313">
        <f t="shared" si="2"/>
        <v>143673.44989670083</v>
      </c>
      <c r="AC354" s="313">
        <f t="shared" si="2"/>
        <v>0</v>
      </c>
      <c r="AD354" s="313">
        <f t="shared" si="2"/>
        <v>701940.20966290007</v>
      </c>
      <c r="AE354" s="313">
        <f t="shared" si="2"/>
        <v>0</v>
      </c>
      <c r="AF354" s="313">
        <f t="shared" si="2"/>
        <v>0</v>
      </c>
      <c r="AG354" s="313">
        <f t="shared" si="2"/>
        <v>0</v>
      </c>
      <c r="AH354" s="313">
        <f t="shared" si="2"/>
        <v>48944</v>
      </c>
      <c r="AI354" s="313">
        <f t="shared" si="2"/>
        <v>0</v>
      </c>
      <c r="AJ354" s="313">
        <f t="shared" si="2"/>
        <v>48944</v>
      </c>
      <c r="AK354" s="313">
        <f t="shared" si="2"/>
        <v>652996.20966290007</v>
      </c>
    </row>
    <row r="355" spans="4:37" x14ac:dyDescent="0.25">
      <c r="D355" s="311">
        <v>1715626</v>
      </c>
      <c r="R355" s="313">
        <f t="shared" si="1"/>
        <v>9.8000000000000007</v>
      </c>
      <c r="S355" s="313">
        <f t="shared" si="2"/>
        <v>0.8</v>
      </c>
      <c r="T355" s="313">
        <f t="shared" si="2"/>
        <v>9</v>
      </c>
      <c r="U355" s="313">
        <f t="shared" si="2"/>
        <v>0</v>
      </c>
      <c r="V355" s="313">
        <f t="shared" si="2"/>
        <v>0</v>
      </c>
      <c r="W355" s="313">
        <f t="shared" si="2"/>
        <v>0</v>
      </c>
      <c r="X355" s="313">
        <f t="shared" si="2"/>
        <v>5</v>
      </c>
      <c r="Y355" s="313">
        <f t="shared" si="2"/>
        <v>0</v>
      </c>
      <c r="Z355" s="313">
        <f t="shared" si="2"/>
        <v>4558221.6918299338</v>
      </c>
      <c r="AA355" s="313">
        <f t="shared" si="2"/>
        <v>0</v>
      </c>
      <c r="AB355" s="313">
        <f t="shared" si="2"/>
        <v>183409.26841905381</v>
      </c>
      <c r="AC355" s="313">
        <f t="shared" si="2"/>
        <v>0</v>
      </c>
      <c r="AD355" s="313">
        <f t="shared" si="2"/>
        <v>4741630.9602489872</v>
      </c>
      <c r="AE355" s="313">
        <f t="shared" si="2"/>
        <v>0</v>
      </c>
      <c r="AF355" s="313">
        <f t="shared" si="2"/>
        <v>1124719.5643260824</v>
      </c>
      <c r="AG355" s="313">
        <f t="shared" si="2"/>
        <v>0</v>
      </c>
      <c r="AH355" s="313">
        <f t="shared" si="2"/>
        <v>0</v>
      </c>
      <c r="AI355" s="313">
        <f t="shared" si="2"/>
        <v>0</v>
      </c>
      <c r="AJ355" s="313">
        <f t="shared" si="2"/>
        <v>1124719.5643260824</v>
      </c>
      <c r="AK355" s="313">
        <f t="shared" si="2"/>
        <v>3616911.3959229048</v>
      </c>
    </row>
    <row r="356" spans="4:37" x14ac:dyDescent="0.25">
      <c r="D356" s="311">
        <v>1738957</v>
      </c>
      <c r="R356" s="313">
        <f t="shared" si="1"/>
        <v>2</v>
      </c>
      <c r="S356" s="313">
        <f t="shared" si="2"/>
        <v>2</v>
      </c>
      <c r="T356" s="313">
        <f t="shared" si="2"/>
        <v>0</v>
      </c>
      <c r="U356" s="313">
        <f t="shared" si="2"/>
        <v>0</v>
      </c>
      <c r="V356" s="313">
        <f t="shared" si="2"/>
        <v>0</v>
      </c>
      <c r="W356" s="313">
        <f t="shared" si="2"/>
        <v>0</v>
      </c>
      <c r="X356" s="313">
        <f t="shared" si="2"/>
        <v>20</v>
      </c>
      <c r="Y356" s="313">
        <f t="shared" si="2"/>
        <v>0</v>
      </c>
      <c r="Z356" s="313">
        <f t="shared" si="2"/>
        <v>1047513.5887915576</v>
      </c>
      <c r="AA356" s="313">
        <f t="shared" si="2"/>
        <v>0</v>
      </c>
      <c r="AB356" s="313">
        <f t="shared" si="2"/>
        <v>107619.93755792368</v>
      </c>
      <c r="AC356" s="313">
        <f t="shared" si="2"/>
        <v>0</v>
      </c>
      <c r="AD356" s="313">
        <f t="shared" si="2"/>
        <v>1155133.5263494812</v>
      </c>
      <c r="AE356" s="313">
        <f t="shared" si="2"/>
        <v>0</v>
      </c>
      <c r="AF356" s="313">
        <f t="shared" si="2"/>
        <v>0</v>
      </c>
      <c r="AG356" s="313">
        <f t="shared" si="2"/>
        <v>0</v>
      </c>
      <c r="AH356" s="313">
        <f t="shared" si="2"/>
        <v>0</v>
      </c>
      <c r="AI356" s="313">
        <f t="shared" si="2"/>
        <v>0</v>
      </c>
      <c r="AJ356" s="313">
        <f t="shared" si="2"/>
        <v>0</v>
      </c>
      <c r="AK356" s="313">
        <f t="shared" si="2"/>
        <v>1155133.5263494812</v>
      </c>
    </row>
    <row r="357" spans="4:37" x14ac:dyDescent="0.25">
      <c r="D357" s="311">
        <v>1758706</v>
      </c>
      <c r="R357" s="313">
        <f t="shared" si="1"/>
        <v>10</v>
      </c>
      <c r="S357" s="313">
        <f t="shared" si="2"/>
        <v>6.5</v>
      </c>
      <c r="T357" s="313">
        <f t="shared" si="2"/>
        <v>3.5</v>
      </c>
      <c r="U357" s="313">
        <f t="shared" si="2"/>
        <v>0</v>
      </c>
      <c r="V357" s="313">
        <f t="shared" si="2"/>
        <v>0</v>
      </c>
      <c r="W357" s="313">
        <f t="shared" si="2"/>
        <v>0</v>
      </c>
      <c r="X357" s="313">
        <f t="shared" si="2"/>
        <v>0</v>
      </c>
      <c r="Y357" s="313">
        <f t="shared" si="2"/>
        <v>0</v>
      </c>
      <c r="Z357" s="313">
        <f t="shared" si="2"/>
        <v>5529755.113629939</v>
      </c>
      <c r="AA357" s="313">
        <f t="shared" si="2"/>
        <v>0</v>
      </c>
      <c r="AB357" s="313">
        <f t="shared" si="2"/>
        <v>302702.97485470976</v>
      </c>
      <c r="AC357" s="313">
        <f t="shared" si="2"/>
        <v>0</v>
      </c>
      <c r="AD357" s="313">
        <f t="shared" si="2"/>
        <v>5832458.0884846486</v>
      </c>
      <c r="AE357" s="313">
        <f t="shared" ref="S357:AK371" si="3">SUMIFS(AE$4:AE$326,$D$4:$D$326,$D357)</f>
        <v>0</v>
      </c>
      <c r="AF357" s="313">
        <f t="shared" si="3"/>
        <v>0</v>
      </c>
      <c r="AG357" s="313">
        <f t="shared" si="3"/>
        <v>0</v>
      </c>
      <c r="AH357" s="313">
        <f t="shared" si="3"/>
        <v>0</v>
      </c>
      <c r="AI357" s="313">
        <f t="shared" si="3"/>
        <v>0</v>
      </c>
      <c r="AJ357" s="313">
        <f t="shared" si="3"/>
        <v>0</v>
      </c>
      <c r="AK357" s="313">
        <f t="shared" si="3"/>
        <v>5832458.0884846486</v>
      </c>
    </row>
    <row r="358" spans="4:37" x14ac:dyDescent="0.25">
      <c r="D358" s="311">
        <v>1792038</v>
      </c>
      <c r="R358" s="313">
        <f t="shared" si="1"/>
        <v>1.75</v>
      </c>
      <c r="S358" s="313">
        <f t="shared" si="3"/>
        <v>1</v>
      </c>
      <c r="T358" s="313">
        <f t="shared" si="3"/>
        <v>0.75</v>
      </c>
      <c r="U358" s="313">
        <f t="shared" si="3"/>
        <v>0</v>
      </c>
      <c r="V358" s="313">
        <f t="shared" si="3"/>
        <v>0</v>
      </c>
      <c r="W358" s="313">
        <f t="shared" si="3"/>
        <v>0</v>
      </c>
      <c r="X358" s="313">
        <f t="shared" si="3"/>
        <v>5</v>
      </c>
      <c r="Y358" s="313">
        <f t="shared" si="3"/>
        <v>0</v>
      </c>
      <c r="Z358" s="313">
        <f t="shared" si="3"/>
        <v>1093507.7425044661</v>
      </c>
      <c r="AA358" s="313">
        <f t="shared" si="3"/>
        <v>0</v>
      </c>
      <c r="AB358" s="313">
        <f t="shared" si="3"/>
        <v>62723.07354113592</v>
      </c>
      <c r="AC358" s="313">
        <f t="shared" si="3"/>
        <v>0</v>
      </c>
      <c r="AD358" s="313">
        <f t="shared" si="3"/>
        <v>1156230.8160456021</v>
      </c>
      <c r="AE358" s="313">
        <f t="shared" si="3"/>
        <v>0</v>
      </c>
      <c r="AF358" s="313">
        <f t="shared" si="3"/>
        <v>0</v>
      </c>
      <c r="AG358" s="313">
        <f t="shared" si="3"/>
        <v>0</v>
      </c>
      <c r="AH358" s="313">
        <f t="shared" si="3"/>
        <v>0</v>
      </c>
      <c r="AI358" s="313">
        <f t="shared" si="3"/>
        <v>0</v>
      </c>
      <c r="AJ358" s="313">
        <f t="shared" si="3"/>
        <v>0</v>
      </c>
      <c r="AK358" s="313">
        <f t="shared" si="3"/>
        <v>1156230.8160456021</v>
      </c>
    </row>
    <row r="359" spans="4:37" x14ac:dyDescent="0.25">
      <c r="D359" s="311">
        <v>1806042</v>
      </c>
      <c r="R359" s="313">
        <f t="shared" si="1"/>
        <v>6</v>
      </c>
      <c r="S359" s="313">
        <f t="shared" si="3"/>
        <v>1</v>
      </c>
      <c r="T359" s="313">
        <f t="shared" si="3"/>
        <v>5</v>
      </c>
      <c r="U359" s="313">
        <f t="shared" si="3"/>
        <v>0</v>
      </c>
      <c r="V359" s="313">
        <f t="shared" si="3"/>
        <v>0</v>
      </c>
      <c r="W359" s="313">
        <f t="shared" si="3"/>
        <v>0</v>
      </c>
      <c r="X359" s="313">
        <f t="shared" si="3"/>
        <v>0</v>
      </c>
      <c r="Y359" s="313">
        <f t="shared" si="3"/>
        <v>0</v>
      </c>
      <c r="Z359" s="313">
        <f t="shared" si="3"/>
        <v>2790747.9745897548</v>
      </c>
      <c r="AA359" s="313">
        <f t="shared" si="3"/>
        <v>0</v>
      </c>
      <c r="AB359" s="313">
        <f t="shared" si="3"/>
        <v>112291.38882799211</v>
      </c>
      <c r="AC359" s="313">
        <f t="shared" si="3"/>
        <v>0</v>
      </c>
      <c r="AD359" s="313">
        <f t="shared" si="3"/>
        <v>2903039.363417747</v>
      </c>
      <c r="AE359" s="313">
        <f t="shared" si="3"/>
        <v>0</v>
      </c>
      <c r="AF359" s="313">
        <f t="shared" si="3"/>
        <v>624844.20240337902</v>
      </c>
      <c r="AG359" s="313">
        <f t="shared" si="3"/>
        <v>0</v>
      </c>
      <c r="AH359" s="313">
        <f t="shared" si="3"/>
        <v>0</v>
      </c>
      <c r="AI359" s="313">
        <f t="shared" si="3"/>
        <v>0</v>
      </c>
      <c r="AJ359" s="313">
        <f t="shared" si="3"/>
        <v>624844.20240337902</v>
      </c>
      <c r="AK359" s="313">
        <f t="shared" si="3"/>
        <v>2278195.1610143678</v>
      </c>
    </row>
    <row r="360" spans="4:37" x14ac:dyDescent="0.25">
      <c r="D360" s="311">
        <v>1817339</v>
      </c>
      <c r="R360" s="313">
        <f t="shared" si="1"/>
        <v>17.100000000000001</v>
      </c>
      <c r="S360" s="313">
        <f t="shared" si="3"/>
        <v>0.9</v>
      </c>
      <c r="T360" s="313">
        <f t="shared" si="3"/>
        <v>9.9</v>
      </c>
      <c r="U360" s="313">
        <f t="shared" si="3"/>
        <v>6.3</v>
      </c>
      <c r="V360" s="313">
        <f t="shared" si="3"/>
        <v>0</v>
      </c>
      <c r="W360" s="313">
        <f t="shared" si="3"/>
        <v>58</v>
      </c>
      <c r="X360" s="313">
        <f t="shared" si="3"/>
        <v>0</v>
      </c>
      <c r="Y360" s="313">
        <f t="shared" si="3"/>
        <v>0</v>
      </c>
      <c r="Z360" s="313">
        <f t="shared" si="3"/>
        <v>6414096.4232278168</v>
      </c>
      <c r="AA360" s="313">
        <f t="shared" si="3"/>
        <v>4640891.7858073916</v>
      </c>
      <c r="AB360" s="313">
        <f t="shared" si="3"/>
        <v>5373560.0588569278</v>
      </c>
      <c r="AC360" s="313">
        <f t="shared" si="3"/>
        <v>3771305.5624684715</v>
      </c>
      <c r="AD360" s="313">
        <f t="shared" si="3"/>
        <v>20199853.83036061</v>
      </c>
      <c r="AE360" s="313">
        <f t="shared" si="3"/>
        <v>0</v>
      </c>
      <c r="AF360" s="313">
        <f t="shared" si="3"/>
        <v>6511688.139040079</v>
      </c>
      <c r="AG360" s="313">
        <f t="shared" si="3"/>
        <v>1696202.3880837359</v>
      </c>
      <c r="AH360" s="313">
        <f t="shared" si="3"/>
        <v>3765578.9282899923</v>
      </c>
      <c r="AI360" s="313">
        <f t="shared" si="3"/>
        <v>2950869.651654412</v>
      </c>
      <c r="AJ360" s="313">
        <f t="shared" si="3"/>
        <v>14924339.107068218</v>
      </c>
      <c r="AK360" s="313">
        <f t="shared" si="3"/>
        <v>5275514.7232923917</v>
      </c>
    </row>
    <row r="361" spans="4:37" x14ac:dyDescent="0.25">
      <c r="D361" s="311">
        <v>1826777</v>
      </c>
      <c r="R361" s="313">
        <f t="shared" si="1"/>
        <v>9</v>
      </c>
      <c r="S361" s="313">
        <f t="shared" si="3"/>
        <v>1</v>
      </c>
      <c r="T361" s="313">
        <f t="shared" si="3"/>
        <v>8</v>
      </c>
      <c r="U361" s="313">
        <f t="shared" si="3"/>
        <v>0</v>
      </c>
      <c r="V361" s="313">
        <f t="shared" si="3"/>
        <v>0</v>
      </c>
      <c r="W361" s="313">
        <f t="shared" si="3"/>
        <v>0</v>
      </c>
      <c r="X361" s="313">
        <f t="shared" si="3"/>
        <v>0</v>
      </c>
      <c r="Y361" s="313">
        <f t="shared" si="3"/>
        <v>0</v>
      </c>
      <c r="Z361" s="313">
        <f t="shared" si="3"/>
        <v>4527840.0205401815</v>
      </c>
      <c r="AA361" s="313">
        <f t="shared" si="3"/>
        <v>0</v>
      </c>
      <c r="AB361" s="313">
        <f t="shared" si="3"/>
        <v>359875.75124521088</v>
      </c>
      <c r="AC361" s="313">
        <f t="shared" si="3"/>
        <v>0</v>
      </c>
      <c r="AD361" s="313">
        <f t="shared" si="3"/>
        <v>4887715.7717853924</v>
      </c>
      <c r="AE361" s="313">
        <f t="shared" si="3"/>
        <v>0</v>
      </c>
      <c r="AF361" s="313">
        <f t="shared" si="3"/>
        <v>1110041.8823529412</v>
      </c>
      <c r="AG361" s="313">
        <f t="shared" si="3"/>
        <v>0</v>
      </c>
      <c r="AH361" s="313">
        <f t="shared" si="3"/>
        <v>0</v>
      </c>
      <c r="AI361" s="313">
        <f t="shared" si="3"/>
        <v>0</v>
      </c>
      <c r="AJ361" s="313">
        <f t="shared" si="3"/>
        <v>1110041.8823529412</v>
      </c>
      <c r="AK361" s="313">
        <f t="shared" si="3"/>
        <v>3777673.8894324512</v>
      </c>
    </row>
    <row r="362" spans="4:37" x14ac:dyDescent="0.25">
      <c r="D362" s="311">
        <v>1840658</v>
      </c>
      <c r="R362" s="313">
        <f t="shared" si="1"/>
        <v>4.5</v>
      </c>
      <c r="S362" s="313">
        <f t="shared" si="3"/>
        <v>0.99999999999999989</v>
      </c>
      <c r="T362" s="313">
        <f t="shared" si="3"/>
        <v>0</v>
      </c>
      <c r="U362" s="313">
        <f t="shared" si="3"/>
        <v>0</v>
      </c>
      <c r="V362" s="313">
        <f t="shared" si="3"/>
        <v>3.5000000000000004</v>
      </c>
      <c r="W362" s="313">
        <f t="shared" si="3"/>
        <v>0</v>
      </c>
      <c r="X362" s="313">
        <f t="shared" si="3"/>
        <v>0</v>
      </c>
      <c r="Y362" s="313">
        <f t="shared" si="3"/>
        <v>0</v>
      </c>
      <c r="Z362" s="313">
        <f t="shared" si="3"/>
        <v>3216260.810208526</v>
      </c>
      <c r="AA362" s="313">
        <f t="shared" si="3"/>
        <v>0</v>
      </c>
      <c r="AB362" s="313">
        <f t="shared" si="3"/>
        <v>273951.79970551247</v>
      </c>
      <c r="AC362" s="313">
        <f t="shared" si="3"/>
        <v>0</v>
      </c>
      <c r="AD362" s="313">
        <f t="shared" si="3"/>
        <v>3490212.6099140383</v>
      </c>
      <c r="AE362" s="313">
        <f t="shared" si="3"/>
        <v>0</v>
      </c>
      <c r="AF362" s="313">
        <f t="shared" si="3"/>
        <v>0</v>
      </c>
      <c r="AG362" s="313">
        <f t="shared" si="3"/>
        <v>0</v>
      </c>
      <c r="AH362" s="313">
        <f t="shared" si="3"/>
        <v>0</v>
      </c>
      <c r="AI362" s="313">
        <f t="shared" si="3"/>
        <v>0</v>
      </c>
      <c r="AJ362" s="313">
        <f t="shared" si="3"/>
        <v>0</v>
      </c>
      <c r="AK362" s="313">
        <f t="shared" si="3"/>
        <v>3490212.6099140383</v>
      </c>
    </row>
    <row r="363" spans="4:37" x14ac:dyDescent="0.25">
      <c r="D363" s="311">
        <v>1872907</v>
      </c>
      <c r="R363" s="313">
        <f t="shared" si="1"/>
        <v>18</v>
      </c>
      <c r="S363" s="313">
        <f t="shared" si="3"/>
        <v>1</v>
      </c>
      <c r="T363" s="313">
        <f t="shared" si="3"/>
        <v>11</v>
      </c>
      <c r="U363" s="313">
        <f t="shared" si="3"/>
        <v>6</v>
      </c>
      <c r="V363" s="313">
        <f t="shared" si="3"/>
        <v>0</v>
      </c>
      <c r="W363" s="313">
        <f t="shared" si="3"/>
        <v>42</v>
      </c>
      <c r="X363" s="313">
        <f t="shared" si="3"/>
        <v>0</v>
      </c>
      <c r="Y363" s="313">
        <f t="shared" si="3"/>
        <v>0</v>
      </c>
      <c r="Z363" s="313">
        <f t="shared" si="3"/>
        <v>7126773.8035864625</v>
      </c>
      <c r="AA363" s="313">
        <f t="shared" si="3"/>
        <v>4419896.9388641827</v>
      </c>
      <c r="AB363" s="313">
        <f t="shared" si="3"/>
        <v>3891198.6633101893</v>
      </c>
      <c r="AC363" s="313">
        <f t="shared" si="3"/>
        <v>2730945.4073047554</v>
      </c>
      <c r="AD363" s="313">
        <f t="shared" si="3"/>
        <v>18168814.813065588</v>
      </c>
      <c r="AE363" s="313">
        <f t="shared" si="3"/>
        <v>0</v>
      </c>
      <c r="AF363" s="313">
        <f t="shared" si="3"/>
        <v>4715360.3765462637</v>
      </c>
      <c r="AG363" s="313">
        <f t="shared" si="3"/>
        <v>1228284.4879227052</v>
      </c>
      <c r="AH363" s="313">
        <f t="shared" si="3"/>
        <v>2726798.53427896</v>
      </c>
      <c r="AI363" s="313">
        <f t="shared" si="3"/>
        <v>2136836.6443014708</v>
      </c>
      <c r="AJ363" s="313">
        <f t="shared" si="3"/>
        <v>10807280.043049399</v>
      </c>
      <c r="AK363" s="313">
        <f t="shared" si="3"/>
        <v>7361534.7700161897</v>
      </c>
    </row>
    <row r="364" spans="4:37" x14ac:dyDescent="0.25">
      <c r="D364" s="311">
        <v>1878615</v>
      </c>
      <c r="R364" s="313">
        <f t="shared" si="1"/>
        <v>1.07</v>
      </c>
      <c r="S364" s="313">
        <f t="shared" si="3"/>
        <v>0.05</v>
      </c>
      <c r="T364" s="313">
        <f t="shared" si="3"/>
        <v>0.55000000000000004</v>
      </c>
      <c r="U364" s="313">
        <f t="shared" si="3"/>
        <v>0.47</v>
      </c>
      <c r="V364" s="313">
        <f t="shared" si="3"/>
        <v>0</v>
      </c>
      <c r="W364" s="313">
        <f t="shared" si="3"/>
        <v>3</v>
      </c>
      <c r="X364" s="313">
        <f t="shared" si="3"/>
        <v>0</v>
      </c>
      <c r="Y364" s="313">
        <f t="shared" si="3"/>
        <v>0</v>
      </c>
      <c r="Z364" s="313">
        <f t="shared" si="3"/>
        <v>549183.54975967633</v>
      </c>
      <c r="AA364" s="313">
        <f t="shared" si="3"/>
        <v>0</v>
      </c>
      <c r="AB364" s="313">
        <f t="shared" si="3"/>
        <v>156349.44164345405</v>
      </c>
      <c r="AC364" s="313">
        <f t="shared" si="3"/>
        <v>85400.777777777781</v>
      </c>
      <c r="AD364" s="313">
        <f t="shared" si="3"/>
        <v>790933.7691809081</v>
      </c>
      <c r="AE364" s="313">
        <f t="shared" si="3"/>
        <v>0</v>
      </c>
      <c r="AF364" s="313">
        <f t="shared" si="3"/>
        <v>129927.92770067682</v>
      </c>
      <c r="AG364" s="313">
        <f t="shared" si="3"/>
        <v>0</v>
      </c>
      <c r="AH364" s="313">
        <f t="shared" si="3"/>
        <v>115365.9375</v>
      </c>
      <c r="AI364" s="313">
        <f t="shared" si="3"/>
        <v>71686.350000000006</v>
      </c>
      <c r="AJ364" s="313">
        <f t="shared" si="3"/>
        <v>316980.21520067682</v>
      </c>
      <c r="AK364" s="313">
        <f t="shared" si="3"/>
        <v>473953.55398023129</v>
      </c>
    </row>
    <row r="365" spans="4:37" x14ac:dyDescent="0.25">
      <c r="D365" s="311">
        <v>1905494</v>
      </c>
      <c r="R365" s="313">
        <f t="shared" si="1"/>
        <v>12.14</v>
      </c>
      <c r="S365" s="313">
        <f t="shared" si="3"/>
        <v>1.1399999999999999</v>
      </c>
      <c r="T365" s="313">
        <f t="shared" si="3"/>
        <v>11</v>
      </c>
      <c r="U365" s="313">
        <f t="shared" si="3"/>
        <v>0</v>
      </c>
      <c r="V365" s="313">
        <f t="shared" si="3"/>
        <v>0</v>
      </c>
      <c r="W365" s="313">
        <f t="shared" si="3"/>
        <v>22</v>
      </c>
      <c r="X365" s="313">
        <f t="shared" si="3"/>
        <v>0</v>
      </c>
      <c r="Y365" s="313">
        <f t="shared" si="3"/>
        <v>0</v>
      </c>
      <c r="Z365" s="313">
        <f t="shared" si="3"/>
        <v>6230923.639329412</v>
      </c>
      <c r="AA365" s="313">
        <f t="shared" si="3"/>
        <v>0</v>
      </c>
      <c r="AB365" s="313">
        <f t="shared" si="3"/>
        <v>1146562.5720519964</v>
      </c>
      <c r="AC365" s="313">
        <f t="shared" si="3"/>
        <v>626272.37037037034</v>
      </c>
      <c r="AD365" s="313">
        <f t="shared" si="3"/>
        <v>8003758.5817517787</v>
      </c>
      <c r="AE365" s="313">
        <f t="shared" si="3"/>
        <v>0</v>
      </c>
      <c r="AF365" s="313">
        <f t="shared" si="3"/>
        <v>1401183.5340269068</v>
      </c>
      <c r="AG365" s="313">
        <f t="shared" si="3"/>
        <v>0</v>
      </c>
      <c r="AH365" s="313">
        <f t="shared" si="3"/>
        <v>846016.875</v>
      </c>
      <c r="AI365" s="313">
        <f t="shared" si="3"/>
        <v>525699.9</v>
      </c>
      <c r="AJ365" s="313">
        <f t="shared" si="3"/>
        <v>2772900.3090269067</v>
      </c>
      <c r="AK365" s="313">
        <f t="shared" si="3"/>
        <v>5230858.2727248725</v>
      </c>
    </row>
    <row r="366" spans="4:37" x14ac:dyDescent="0.25">
      <c r="D366" s="311">
        <v>1907533</v>
      </c>
      <c r="R366" s="313">
        <f t="shared" si="1"/>
        <v>7.5</v>
      </c>
      <c r="S366" s="313">
        <f t="shared" si="3"/>
        <v>6.5</v>
      </c>
      <c r="T366" s="313">
        <f t="shared" si="3"/>
        <v>0</v>
      </c>
      <c r="U366" s="313">
        <f t="shared" si="3"/>
        <v>0</v>
      </c>
      <c r="V366" s="313">
        <f t="shared" si="3"/>
        <v>1</v>
      </c>
      <c r="W366" s="313">
        <f t="shared" si="3"/>
        <v>0</v>
      </c>
      <c r="X366" s="313">
        <f t="shared" si="3"/>
        <v>80</v>
      </c>
      <c r="Y366" s="313">
        <f t="shared" si="3"/>
        <v>0</v>
      </c>
      <c r="Z366" s="313">
        <f t="shared" si="3"/>
        <v>4402456.370131976</v>
      </c>
      <c r="AA366" s="313">
        <f t="shared" si="3"/>
        <v>0</v>
      </c>
      <c r="AB366" s="313">
        <f t="shared" si="3"/>
        <v>319958.73909216165</v>
      </c>
      <c r="AC366" s="313">
        <f t="shared" si="3"/>
        <v>0</v>
      </c>
      <c r="AD366" s="313">
        <f t="shared" si="3"/>
        <v>4722415.1092241379</v>
      </c>
      <c r="AE366" s="313">
        <f t="shared" si="3"/>
        <v>0</v>
      </c>
      <c r="AF366" s="313">
        <f t="shared" si="3"/>
        <v>0</v>
      </c>
      <c r="AG366" s="313">
        <f t="shared" si="3"/>
        <v>0</v>
      </c>
      <c r="AH366" s="313">
        <f t="shared" si="3"/>
        <v>0</v>
      </c>
      <c r="AI366" s="313">
        <f t="shared" si="3"/>
        <v>0</v>
      </c>
      <c r="AJ366" s="313">
        <f t="shared" si="3"/>
        <v>0</v>
      </c>
      <c r="AK366" s="313">
        <f t="shared" si="3"/>
        <v>4722415.1092241379</v>
      </c>
    </row>
    <row r="367" spans="4:37" x14ac:dyDescent="0.25">
      <c r="D367" s="311">
        <v>1961902</v>
      </c>
      <c r="R367" s="313">
        <f t="shared" si="1"/>
        <v>4.1899999999999995</v>
      </c>
      <c r="S367" s="313">
        <f t="shared" si="3"/>
        <v>0.2</v>
      </c>
      <c r="T367" s="313">
        <f t="shared" si="3"/>
        <v>2.99</v>
      </c>
      <c r="U367" s="313">
        <f t="shared" si="3"/>
        <v>0.2</v>
      </c>
      <c r="V367" s="313">
        <f t="shared" si="3"/>
        <v>0.8</v>
      </c>
      <c r="W367" s="313">
        <f t="shared" si="3"/>
        <v>0</v>
      </c>
      <c r="X367" s="313">
        <f t="shared" si="3"/>
        <v>22</v>
      </c>
      <c r="Y367" s="313">
        <f t="shared" si="3"/>
        <v>0</v>
      </c>
      <c r="Z367" s="313">
        <f t="shared" si="3"/>
        <v>2735677.7215090999</v>
      </c>
      <c r="AA367" s="313">
        <f t="shared" si="3"/>
        <v>0</v>
      </c>
      <c r="AB367" s="313">
        <f t="shared" si="3"/>
        <v>568127.82292682934</v>
      </c>
      <c r="AC367" s="313">
        <f t="shared" si="3"/>
        <v>109863.6</v>
      </c>
      <c r="AD367" s="313">
        <f t="shared" si="3"/>
        <v>3413669.1444359296</v>
      </c>
      <c r="AE367" s="313">
        <f t="shared" si="3"/>
        <v>0</v>
      </c>
      <c r="AF367" s="313">
        <f t="shared" si="3"/>
        <v>538224.92156862747</v>
      </c>
      <c r="AG367" s="313">
        <f t="shared" si="3"/>
        <v>0</v>
      </c>
      <c r="AH367" s="313">
        <f t="shared" si="3"/>
        <v>0</v>
      </c>
      <c r="AI367" s="313">
        <f t="shared" si="3"/>
        <v>119950.76923076923</v>
      </c>
      <c r="AJ367" s="313">
        <f t="shared" si="3"/>
        <v>658175.69079939672</v>
      </c>
      <c r="AK367" s="313">
        <f t="shared" si="3"/>
        <v>2755493.4536365326</v>
      </c>
    </row>
    <row r="368" spans="4:37" x14ac:dyDescent="0.25">
      <c r="D368" s="311">
        <v>1968420</v>
      </c>
      <c r="R368" s="313">
        <f t="shared" si="1"/>
        <v>6.8</v>
      </c>
      <c r="S368" s="313">
        <f t="shared" si="3"/>
        <v>0.2</v>
      </c>
      <c r="T368" s="313">
        <f t="shared" si="3"/>
        <v>6.6</v>
      </c>
      <c r="U368" s="313">
        <f t="shared" si="3"/>
        <v>0</v>
      </c>
      <c r="V368" s="313">
        <f t="shared" si="3"/>
        <v>0</v>
      </c>
      <c r="W368" s="313">
        <f t="shared" si="3"/>
        <v>58</v>
      </c>
      <c r="X368" s="313">
        <f t="shared" si="3"/>
        <v>0</v>
      </c>
      <c r="Y368" s="313">
        <f t="shared" si="3"/>
        <v>0</v>
      </c>
      <c r="Z368" s="313">
        <f t="shared" si="3"/>
        <v>4218015.518233506</v>
      </c>
      <c r="AA368" s="313">
        <f t="shared" si="3"/>
        <v>0</v>
      </c>
      <c r="AB368" s="313">
        <f t="shared" si="3"/>
        <v>1190437.1562869498</v>
      </c>
      <c r="AC368" s="313">
        <f t="shared" si="3"/>
        <v>0</v>
      </c>
      <c r="AD368" s="313">
        <f t="shared" si="3"/>
        <v>5408452.6745204553</v>
      </c>
      <c r="AE368" s="313">
        <f t="shared" si="3"/>
        <v>0</v>
      </c>
      <c r="AF368" s="313">
        <f t="shared" si="3"/>
        <v>0</v>
      </c>
      <c r="AG368" s="313">
        <f t="shared" si="3"/>
        <v>0</v>
      </c>
      <c r="AH368" s="313">
        <f t="shared" si="3"/>
        <v>405536</v>
      </c>
      <c r="AI368" s="313">
        <f t="shared" si="3"/>
        <v>0</v>
      </c>
      <c r="AJ368" s="313">
        <f t="shared" si="3"/>
        <v>405536</v>
      </c>
      <c r="AK368" s="313">
        <f t="shared" si="3"/>
        <v>5002916.6745204553</v>
      </c>
    </row>
    <row r="369" spans="4:37" x14ac:dyDescent="0.25">
      <c r="D369" s="311">
        <v>1991772</v>
      </c>
      <c r="R369" s="313">
        <f t="shared" si="1"/>
        <v>25.8</v>
      </c>
      <c r="S369" s="313">
        <f t="shared" si="3"/>
        <v>1.4</v>
      </c>
      <c r="T369" s="313">
        <f t="shared" si="3"/>
        <v>18</v>
      </c>
      <c r="U369" s="313">
        <f t="shared" si="3"/>
        <v>6.4</v>
      </c>
      <c r="V369" s="313">
        <f t="shared" si="3"/>
        <v>0</v>
      </c>
      <c r="W369" s="313">
        <f t="shared" si="3"/>
        <v>60</v>
      </c>
      <c r="X369" s="313">
        <f t="shared" si="3"/>
        <v>0</v>
      </c>
      <c r="Y369" s="313">
        <f t="shared" si="3"/>
        <v>0</v>
      </c>
      <c r="Z369" s="313">
        <f t="shared" si="3"/>
        <v>11266176.263418041</v>
      </c>
      <c r="AA369" s="313">
        <f t="shared" si="3"/>
        <v>4695749.8313630838</v>
      </c>
      <c r="AB369" s="313">
        <f t="shared" si="3"/>
        <v>5478829.9985481482</v>
      </c>
      <c r="AC369" s="313">
        <f t="shared" si="3"/>
        <v>3677779.8310728702</v>
      </c>
      <c r="AD369" s="313">
        <f t="shared" si="3"/>
        <v>25118535.924402144</v>
      </c>
      <c r="AE369" s="313">
        <f t="shared" si="3"/>
        <v>0</v>
      </c>
      <c r="AF369" s="313">
        <f t="shared" si="3"/>
        <v>7204093.2000000002</v>
      </c>
      <c r="AG369" s="313">
        <f t="shared" si="3"/>
        <v>1348925.7749999999</v>
      </c>
      <c r="AH369" s="313">
        <f t="shared" si="3"/>
        <v>3626509.6551724141</v>
      </c>
      <c r="AI369" s="313">
        <f t="shared" si="3"/>
        <v>3060081</v>
      </c>
      <c r="AJ369" s="313">
        <f t="shared" si="3"/>
        <v>15239609.630172413</v>
      </c>
      <c r="AK369" s="313">
        <f t="shared" si="3"/>
        <v>9878926.294229731</v>
      </c>
    </row>
    <row r="370" spans="4:37" x14ac:dyDescent="0.25">
      <c r="D370" s="311">
        <v>2015983</v>
      </c>
      <c r="R370" s="313">
        <f t="shared" si="1"/>
        <v>2</v>
      </c>
      <c r="S370" s="313">
        <f t="shared" si="3"/>
        <v>0</v>
      </c>
      <c r="T370" s="313">
        <f t="shared" si="3"/>
        <v>2</v>
      </c>
      <c r="U370" s="313">
        <f t="shared" si="3"/>
        <v>0</v>
      </c>
      <c r="V370" s="313">
        <f t="shared" si="3"/>
        <v>0</v>
      </c>
      <c r="W370" s="313">
        <f t="shared" si="3"/>
        <v>0</v>
      </c>
      <c r="X370" s="313">
        <f t="shared" si="3"/>
        <v>12</v>
      </c>
      <c r="Y370" s="313">
        <f t="shared" si="3"/>
        <v>0</v>
      </c>
      <c r="Z370" s="313">
        <f t="shared" si="3"/>
        <v>1039537.808219178</v>
      </c>
      <c r="AA370" s="313">
        <f t="shared" si="3"/>
        <v>0</v>
      </c>
      <c r="AB370" s="313">
        <f t="shared" si="3"/>
        <v>213708.24304267165</v>
      </c>
      <c r="AC370" s="313">
        <f t="shared" si="3"/>
        <v>5878.4</v>
      </c>
      <c r="AD370" s="313">
        <f t="shared" si="3"/>
        <v>1259124.4512618496</v>
      </c>
      <c r="AE370" s="313">
        <f t="shared" si="3"/>
        <v>0</v>
      </c>
      <c r="AF370" s="313">
        <f t="shared" si="3"/>
        <v>227202</v>
      </c>
      <c r="AG370" s="313">
        <f t="shared" si="3"/>
        <v>0</v>
      </c>
      <c r="AH370" s="313">
        <f t="shared" si="3"/>
        <v>0</v>
      </c>
      <c r="AI370" s="313">
        <f t="shared" si="3"/>
        <v>0</v>
      </c>
      <c r="AJ370" s="313">
        <f t="shared" si="3"/>
        <v>227202</v>
      </c>
      <c r="AK370" s="313">
        <f t="shared" si="3"/>
        <v>1031922.4512618496</v>
      </c>
    </row>
    <row r="371" spans="4:37" x14ac:dyDescent="0.25">
      <c r="D371" s="311">
        <v>2028356</v>
      </c>
      <c r="R371" s="313">
        <f t="shared" si="1"/>
        <v>10.25</v>
      </c>
      <c r="S371" s="313">
        <f t="shared" si="3"/>
        <v>0.9</v>
      </c>
      <c r="T371" s="313">
        <f t="shared" ref="S371:AK384" si="4">SUMIFS(T$4:T$326,$D$4:$D$326,$D371)</f>
        <v>9.35</v>
      </c>
      <c r="U371" s="313">
        <f t="shared" si="4"/>
        <v>0</v>
      </c>
      <c r="V371" s="313">
        <f t="shared" si="4"/>
        <v>0</v>
      </c>
      <c r="W371" s="313">
        <f t="shared" si="4"/>
        <v>0</v>
      </c>
      <c r="X371" s="313">
        <f t="shared" si="4"/>
        <v>0</v>
      </c>
      <c r="Y371" s="313">
        <f t="shared" si="4"/>
        <v>0</v>
      </c>
      <c r="Z371" s="313">
        <f t="shared" si="4"/>
        <v>5156706.6900596516</v>
      </c>
      <c r="AA371" s="313">
        <f t="shared" si="4"/>
        <v>0</v>
      </c>
      <c r="AB371" s="313">
        <f t="shared" si="4"/>
        <v>409858.4944737124</v>
      </c>
      <c r="AC371" s="313">
        <f t="shared" si="4"/>
        <v>0</v>
      </c>
      <c r="AD371" s="313">
        <f t="shared" si="4"/>
        <v>5566565.1845333641</v>
      </c>
      <c r="AE371" s="313">
        <f t="shared" si="4"/>
        <v>0</v>
      </c>
      <c r="AF371" s="313">
        <f t="shared" si="4"/>
        <v>1297361.45</v>
      </c>
      <c r="AG371" s="313">
        <f t="shared" si="4"/>
        <v>0</v>
      </c>
      <c r="AH371" s="313">
        <f t="shared" si="4"/>
        <v>0</v>
      </c>
      <c r="AI371" s="313">
        <f t="shared" si="4"/>
        <v>0</v>
      </c>
      <c r="AJ371" s="313">
        <f t="shared" si="4"/>
        <v>1297361.45</v>
      </c>
      <c r="AK371" s="313">
        <f t="shared" si="4"/>
        <v>4269203.734533364</v>
      </c>
    </row>
    <row r="372" spans="4:37" x14ac:dyDescent="0.25">
      <c r="D372" s="311">
        <v>2039109</v>
      </c>
      <c r="R372" s="313">
        <f t="shared" si="1"/>
        <v>9</v>
      </c>
      <c r="S372" s="313">
        <f t="shared" si="4"/>
        <v>1</v>
      </c>
      <c r="T372" s="313">
        <f t="shared" si="4"/>
        <v>8</v>
      </c>
      <c r="U372" s="313">
        <f t="shared" si="4"/>
        <v>0</v>
      </c>
      <c r="V372" s="313">
        <f t="shared" si="4"/>
        <v>0</v>
      </c>
      <c r="W372" s="313">
        <f t="shared" si="4"/>
        <v>0</v>
      </c>
      <c r="X372" s="313">
        <f t="shared" si="4"/>
        <v>0</v>
      </c>
      <c r="Y372" s="313">
        <f t="shared" si="4"/>
        <v>0</v>
      </c>
      <c r="Z372" s="313">
        <f t="shared" si="4"/>
        <v>4186121.9618846322</v>
      </c>
      <c r="AA372" s="313">
        <f t="shared" si="4"/>
        <v>0</v>
      </c>
      <c r="AB372" s="313">
        <f t="shared" si="4"/>
        <v>168437.08324198815</v>
      </c>
      <c r="AC372" s="313">
        <f t="shared" si="4"/>
        <v>0</v>
      </c>
      <c r="AD372" s="313">
        <f t="shared" si="4"/>
        <v>4354559.0451266207</v>
      </c>
      <c r="AE372" s="313">
        <f t="shared" si="4"/>
        <v>0</v>
      </c>
      <c r="AF372" s="313">
        <f t="shared" si="4"/>
        <v>999750.72384540644</v>
      </c>
      <c r="AG372" s="313">
        <f t="shared" si="4"/>
        <v>0</v>
      </c>
      <c r="AH372" s="313">
        <f t="shared" si="4"/>
        <v>0</v>
      </c>
      <c r="AI372" s="313">
        <f t="shared" si="4"/>
        <v>0</v>
      </c>
      <c r="AJ372" s="313">
        <f t="shared" si="4"/>
        <v>999750.72384540644</v>
      </c>
      <c r="AK372" s="313">
        <f t="shared" si="4"/>
        <v>3354808.3212812142</v>
      </c>
    </row>
    <row r="373" spans="4:37" x14ac:dyDescent="0.25">
      <c r="D373" s="311">
        <v>2089762</v>
      </c>
      <c r="R373" s="313">
        <f t="shared" si="1"/>
        <v>50</v>
      </c>
      <c r="S373" s="313">
        <f t="shared" si="4"/>
        <v>3</v>
      </c>
      <c r="T373" s="313">
        <f t="shared" si="4"/>
        <v>40</v>
      </c>
      <c r="U373" s="313">
        <f t="shared" si="4"/>
        <v>7</v>
      </c>
      <c r="V373" s="313">
        <f t="shared" si="4"/>
        <v>0</v>
      </c>
      <c r="W373" s="313">
        <f t="shared" si="4"/>
        <v>80</v>
      </c>
      <c r="X373" s="313">
        <f t="shared" si="4"/>
        <v>0</v>
      </c>
      <c r="Y373" s="313">
        <f t="shared" si="4"/>
        <v>0</v>
      </c>
      <c r="Z373" s="313">
        <f t="shared" si="4"/>
        <v>24985944.522232108</v>
      </c>
      <c r="AA373" s="313">
        <f t="shared" si="4"/>
        <v>5154257.2893533781</v>
      </c>
      <c r="AB373" s="313">
        <f t="shared" si="4"/>
        <v>7761771.6929984763</v>
      </c>
      <c r="AC373" s="313">
        <f t="shared" si="4"/>
        <v>4985958.3717609541</v>
      </c>
      <c r="AD373" s="313">
        <f t="shared" si="4"/>
        <v>42887931.876344919</v>
      </c>
      <c r="AE373" s="313">
        <f t="shared" si="4"/>
        <v>0</v>
      </c>
      <c r="AF373" s="313">
        <f t="shared" si="4"/>
        <v>8489628.4705882352</v>
      </c>
      <c r="AG373" s="313">
        <f t="shared" si="4"/>
        <v>2107978.0392156863</v>
      </c>
      <c r="AH373" s="313">
        <f t="shared" si="4"/>
        <v>3826821.0526315793</v>
      </c>
      <c r="AI373" s="313">
        <f t="shared" si="4"/>
        <v>3621572</v>
      </c>
      <c r="AJ373" s="313">
        <f t="shared" si="4"/>
        <v>18045999.5624355</v>
      </c>
      <c r="AK373" s="313">
        <f t="shared" si="4"/>
        <v>24841932.313909419</v>
      </c>
    </row>
    <row r="374" spans="4:37" x14ac:dyDescent="0.25">
      <c r="D374" s="311">
        <v>2093343</v>
      </c>
      <c r="R374" s="313">
        <f t="shared" si="1"/>
        <v>1.1499999999999999</v>
      </c>
      <c r="S374" s="313">
        <f t="shared" si="4"/>
        <v>1.1499999999999999</v>
      </c>
      <c r="T374" s="313">
        <f t="shared" si="4"/>
        <v>0</v>
      </c>
      <c r="U374" s="313">
        <f t="shared" si="4"/>
        <v>0</v>
      </c>
      <c r="V374" s="313">
        <f t="shared" si="4"/>
        <v>0</v>
      </c>
      <c r="W374" s="313">
        <f t="shared" si="4"/>
        <v>0</v>
      </c>
      <c r="X374" s="313">
        <f t="shared" si="4"/>
        <v>0</v>
      </c>
      <c r="Y374" s="313">
        <f t="shared" si="4"/>
        <v>0</v>
      </c>
      <c r="Z374" s="313">
        <f t="shared" si="4"/>
        <v>699578.22958555655</v>
      </c>
      <c r="AA374" s="313">
        <f t="shared" si="4"/>
        <v>0</v>
      </c>
      <c r="AB374" s="313">
        <f t="shared" si="4"/>
        <v>51304.153846153844</v>
      </c>
      <c r="AC374" s="313">
        <f t="shared" si="4"/>
        <v>0</v>
      </c>
      <c r="AD374" s="313">
        <f t="shared" si="4"/>
        <v>750882.38343171042</v>
      </c>
      <c r="AE374" s="313">
        <f t="shared" si="4"/>
        <v>0</v>
      </c>
      <c r="AF374" s="313">
        <f t="shared" si="4"/>
        <v>0</v>
      </c>
      <c r="AG374" s="313">
        <f t="shared" si="4"/>
        <v>0</v>
      </c>
      <c r="AH374" s="313">
        <f t="shared" si="4"/>
        <v>0</v>
      </c>
      <c r="AI374" s="313">
        <f t="shared" si="4"/>
        <v>0</v>
      </c>
      <c r="AJ374" s="313">
        <f t="shared" si="4"/>
        <v>0</v>
      </c>
      <c r="AK374" s="313">
        <f t="shared" si="4"/>
        <v>750882.38343171042</v>
      </c>
    </row>
    <row r="375" spans="4:37" x14ac:dyDescent="0.25">
      <c r="D375" s="311">
        <v>2125600</v>
      </c>
      <c r="R375" s="313">
        <f t="shared" si="1"/>
        <v>27.5</v>
      </c>
      <c r="S375" s="313">
        <f t="shared" si="4"/>
        <v>2</v>
      </c>
      <c r="T375" s="313">
        <f t="shared" si="4"/>
        <v>18.5</v>
      </c>
      <c r="U375" s="313">
        <f t="shared" si="4"/>
        <v>7</v>
      </c>
      <c r="V375" s="313">
        <f t="shared" si="4"/>
        <v>0</v>
      </c>
      <c r="W375" s="313">
        <f t="shared" si="4"/>
        <v>54</v>
      </c>
      <c r="X375" s="313">
        <f t="shared" si="4"/>
        <v>0</v>
      </c>
      <c r="Y375" s="313">
        <f t="shared" si="4"/>
        <v>0</v>
      </c>
      <c r="Z375" s="313">
        <f t="shared" si="4"/>
        <v>12174905.24779354</v>
      </c>
      <c r="AA375" s="313">
        <f t="shared" si="4"/>
        <v>5156546.4286748795</v>
      </c>
      <c r="AB375" s="313">
        <f t="shared" si="4"/>
        <v>5002969.7099702433</v>
      </c>
      <c r="AC375" s="313">
        <f t="shared" si="4"/>
        <v>3511215.5236775423</v>
      </c>
      <c r="AD375" s="313">
        <f t="shared" si="4"/>
        <v>25845636.910116207</v>
      </c>
      <c r="AE375" s="313">
        <f t="shared" si="4"/>
        <v>0</v>
      </c>
      <c r="AF375" s="313">
        <f t="shared" si="4"/>
        <v>6062606.1984166251</v>
      </c>
      <c r="AG375" s="313">
        <f t="shared" si="4"/>
        <v>1579222.9130434783</v>
      </c>
      <c r="AH375" s="313">
        <f t="shared" si="4"/>
        <v>3505883.8297872338</v>
      </c>
      <c r="AI375" s="313">
        <f t="shared" si="4"/>
        <v>2747361.3998161764</v>
      </c>
      <c r="AJ375" s="313">
        <f t="shared" si="4"/>
        <v>13895074.341063512</v>
      </c>
      <c r="AK375" s="313">
        <f t="shared" si="4"/>
        <v>11950562.569052694</v>
      </c>
    </row>
    <row r="376" spans="4:37" x14ac:dyDescent="0.25">
      <c r="D376" s="311">
        <v>2174839</v>
      </c>
      <c r="R376" s="313">
        <f t="shared" si="1"/>
        <v>5</v>
      </c>
      <c r="S376" s="313">
        <f t="shared" si="4"/>
        <v>5</v>
      </c>
      <c r="T376" s="313">
        <f t="shared" si="4"/>
        <v>0</v>
      </c>
      <c r="U376" s="313">
        <f t="shared" si="4"/>
        <v>0</v>
      </c>
      <c r="V376" s="313">
        <f t="shared" si="4"/>
        <v>0</v>
      </c>
      <c r="W376" s="313">
        <f t="shared" si="4"/>
        <v>0</v>
      </c>
      <c r="X376" s="313">
        <f t="shared" si="4"/>
        <v>20</v>
      </c>
      <c r="Y376" s="313">
        <f t="shared" si="4"/>
        <v>0</v>
      </c>
      <c r="Z376" s="313">
        <f t="shared" si="4"/>
        <v>2618783.971978894</v>
      </c>
      <c r="AA376" s="313">
        <f t="shared" si="4"/>
        <v>0</v>
      </c>
      <c r="AB376" s="313">
        <f t="shared" si="4"/>
        <v>269049.84389480919</v>
      </c>
      <c r="AC376" s="313">
        <f t="shared" si="4"/>
        <v>0</v>
      </c>
      <c r="AD376" s="313">
        <f t="shared" si="4"/>
        <v>2887833.815873703</v>
      </c>
      <c r="AE376" s="313">
        <f t="shared" si="4"/>
        <v>0</v>
      </c>
      <c r="AF376" s="313">
        <f t="shared" si="4"/>
        <v>0</v>
      </c>
      <c r="AG376" s="313">
        <f t="shared" si="4"/>
        <v>0</v>
      </c>
      <c r="AH376" s="313">
        <f t="shared" si="4"/>
        <v>0</v>
      </c>
      <c r="AI376" s="313">
        <f t="shared" si="4"/>
        <v>0</v>
      </c>
      <c r="AJ376" s="313">
        <f t="shared" si="4"/>
        <v>0</v>
      </c>
      <c r="AK376" s="313">
        <f t="shared" si="4"/>
        <v>2887833.815873703</v>
      </c>
    </row>
    <row r="377" spans="4:37" x14ac:dyDescent="0.25">
      <c r="D377" s="311">
        <v>2189349</v>
      </c>
      <c r="R377" s="313">
        <f t="shared" si="1"/>
        <v>2.4</v>
      </c>
      <c r="S377" s="313">
        <f t="shared" si="4"/>
        <v>0.25</v>
      </c>
      <c r="T377" s="313">
        <f t="shared" si="4"/>
        <v>2.15</v>
      </c>
      <c r="U377" s="313">
        <f t="shared" si="4"/>
        <v>0</v>
      </c>
      <c r="V377" s="313">
        <f t="shared" si="4"/>
        <v>0</v>
      </c>
      <c r="W377" s="313">
        <f t="shared" si="4"/>
        <v>0</v>
      </c>
      <c r="X377" s="313">
        <f t="shared" si="4"/>
        <v>2</v>
      </c>
      <c r="Y377" s="313">
        <f t="shared" si="4"/>
        <v>0</v>
      </c>
      <c r="Z377" s="313">
        <f t="shared" si="4"/>
        <v>1231813.5695544141</v>
      </c>
      <c r="AA377" s="313">
        <f t="shared" si="4"/>
        <v>0</v>
      </c>
      <c r="AB377" s="313">
        <f t="shared" si="4"/>
        <v>0</v>
      </c>
      <c r="AC377" s="313">
        <f t="shared" si="4"/>
        <v>0</v>
      </c>
      <c r="AD377" s="313">
        <f t="shared" si="4"/>
        <v>1231813.5695544141</v>
      </c>
      <c r="AE377" s="313">
        <f t="shared" si="4"/>
        <v>0</v>
      </c>
      <c r="AF377" s="313">
        <f t="shared" si="4"/>
        <v>273867.6907416227</v>
      </c>
      <c r="AG377" s="313">
        <f t="shared" si="4"/>
        <v>0</v>
      </c>
      <c r="AH377" s="313">
        <f t="shared" si="4"/>
        <v>0</v>
      </c>
      <c r="AI377" s="313">
        <f t="shared" si="4"/>
        <v>0</v>
      </c>
      <c r="AJ377" s="313">
        <f t="shared" si="4"/>
        <v>273867.6907416227</v>
      </c>
      <c r="AK377" s="313">
        <f t="shared" si="4"/>
        <v>957945.87881279143</v>
      </c>
    </row>
    <row r="378" spans="4:37" x14ac:dyDescent="0.25">
      <c r="D378" s="311">
        <v>2315315</v>
      </c>
      <c r="R378" s="313">
        <f t="shared" si="1"/>
        <v>2</v>
      </c>
      <c r="S378" s="313">
        <f t="shared" si="4"/>
        <v>2</v>
      </c>
      <c r="T378" s="313">
        <f t="shared" si="4"/>
        <v>0</v>
      </c>
      <c r="U378" s="313">
        <f t="shared" si="4"/>
        <v>0</v>
      </c>
      <c r="V378" s="313">
        <f t="shared" si="4"/>
        <v>0</v>
      </c>
      <c r="W378" s="313">
        <f t="shared" si="4"/>
        <v>0</v>
      </c>
      <c r="X378" s="313">
        <f t="shared" si="4"/>
        <v>20</v>
      </c>
      <c r="Y378" s="313">
        <f t="shared" si="4"/>
        <v>0</v>
      </c>
      <c r="Z378" s="313">
        <f t="shared" si="4"/>
        <v>1047513.5887915576</v>
      </c>
      <c r="AA378" s="313">
        <f t="shared" si="4"/>
        <v>0</v>
      </c>
      <c r="AB378" s="313">
        <f t="shared" si="4"/>
        <v>107619.93755792368</v>
      </c>
      <c r="AC378" s="313">
        <f t="shared" si="4"/>
        <v>0</v>
      </c>
      <c r="AD378" s="313">
        <f t="shared" si="4"/>
        <v>1155133.5263494812</v>
      </c>
      <c r="AE378" s="313">
        <f t="shared" si="4"/>
        <v>0</v>
      </c>
      <c r="AF378" s="313">
        <f t="shared" si="4"/>
        <v>0</v>
      </c>
      <c r="AG378" s="313">
        <f t="shared" si="4"/>
        <v>0</v>
      </c>
      <c r="AH378" s="313">
        <f t="shared" si="4"/>
        <v>0</v>
      </c>
      <c r="AI378" s="313">
        <f t="shared" si="4"/>
        <v>0</v>
      </c>
      <c r="AJ378" s="313">
        <f t="shared" si="4"/>
        <v>0</v>
      </c>
      <c r="AK378" s="313">
        <f t="shared" si="4"/>
        <v>1155133.5263494812</v>
      </c>
    </row>
    <row r="379" spans="4:37" x14ac:dyDescent="0.25">
      <c r="D379" s="311">
        <v>2333254</v>
      </c>
      <c r="R379" s="313">
        <f t="shared" si="1"/>
        <v>1.5</v>
      </c>
      <c r="S379" s="313">
        <f t="shared" si="4"/>
        <v>0.15</v>
      </c>
      <c r="T379" s="313">
        <f t="shared" si="4"/>
        <v>1.35</v>
      </c>
      <c r="U379" s="313">
        <f t="shared" si="4"/>
        <v>0</v>
      </c>
      <c r="V379" s="313">
        <f t="shared" si="4"/>
        <v>0</v>
      </c>
      <c r="W379" s="313">
        <f t="shared" si="4"/>
        <v>0</v>
      </c>
      <c r="X379" s="313">
        <f t="shared" si="4"/>
        <v>6</v>
      </c>
      <c r="Y379" s="313">
        <f t="shared" si="4"/>
        <v>0</v>
      </c>
      <c r="Z379" s="313">
        <f t="shared" si="4"/>
        <v>979359.56617270876</v>
      </c>
      <c r="AA379" s="313">
        <f t="shared" si="4"/>
        <v>0</v>
      </c>
      <c r="AB379" s="313">
        <f t="shared" si="4"/>
        <v>154943.95170731709</v>
      </c>
      <c r="AC379" s="313">
        <f t="shared" si="4"/>
        <v>29962.800000000003</v>
      </c>
      <c r="AD379" s="313">
        <f t="shared" si="4"/>
        <v>1164266.3178800258</v>
      </c>
      <c r="AE379" s="313">
        <f t="shared" si="4"/>
        <v>0</v>
      </c>
      <c r="AF379" s="313">
        <f t="shared" si="4"/>
        <v>182106.17647058822</v>
      </c>
      <c r="AG379" s="313">
        <f t="shared" si="4"/>
        <v>0</v>
      </c>
      <c r="AH379" s="313">
        <f t="shared" si="4"/>
        <v>0</v>
      </c>
      <c r="AI379" s="313">
        <f t="shared" si="4"/>
        <v>32713.846153846156</v>
      </c>
      <c r="AJ379" s="313">
        <f t="shared" si="4"/>
        <v>214820.02262443438</v>
      </c>
      <c r="AK379" s="313">
        <f t="shared" si="4"/>
        <v>949446.29525559139</v>
      </c>
    </row>
    <row r="380" spans="4:37" x14ac:dyDescent="0.25">
      <c r="D380" s="311">
        <v>2390992</v>
      </c>
      <c r="R380" s="313">
        <f t="shared" si="1"/>
        <v>1.5</v>
      </c>
      <c r="S380" s="313">
        <f t="shared" si="4"/>
        <v>0.75</v>
      </c>
      <c r="T380" s="313">
        <f t="shared" si="4"/>
        <v>0.75</v>
      </c>
      <c r="U380" s="313">
        <f t="shared" si="4"/>
        <v>0</v>
      </c>
      <c r="V380" s="313">
        <f t="shared" si="4"/>
        <v>0</v>
      </c>
      <c r="W380" s="313">
        <f t="shared" si="4"/>
        <v>0</v>
      </c>
      <c r="X380" s="313">
        <f t="shared" si="4"/>
        <v>0</v>
      </c>
      <c r="Y380" s="313">
        <f t="shared" si="4"/>
        <v>0</v>
      </c>
      <c r="Z380" s="313">
        <f t="shared" si="4"/>
        <v>917488.67082556593</v>
      </c>
      <c r="AA380" s="313">
        <f t="shared" si="4"/>
        <v>0</v>
      </c>
      <c r="AB380" s="313">
        <f t="shared" si="4"/>
        <v>62195.201224556055</v>
      </c>
      <c r="AC380" s="313">
        <f t="shared" si="4"/>
        <v>0</v>
      </c>
      <c r="AD380" s="313">
        <f t="shared" si="4"/>
        <v>979683.87205012201</v>
      </c>
      <c r="AE380" s="313">
        <f t="shared" si="4"/>
        <v>0</v>
      </c>
      <c r="AF380" s="313">
        <f t="shared" si="4"/>
        <v>0</v>
      </c>
      <c r="AG380" s="313">
        <f t="shared" si="4"/>
        <v>0</v>
      </c>
      <c r="AH380" s="313">
        <f t="shared" si="4"/>
        <v>0</v>
      </c>
      <c r="AI380" s="313">
        <f t="shared" si="4"/>
        <v>0</v>
      </c>
      <c r="AJ380" s="313">
        <f t="shared" si="4"/>
        <v>0</v>
      </c>
      <c r="AK380" s="313">
        <f t="shared" si="4"/>
        <v>979683.87205012201</v>
      </c>
    </row>
    <row r="381" spans="4:37" x14ac:dyDescent="0.25">
      <c r="D381" s="311">
        <v>2392006</v>
      </c>
      <c r="R381" s="313">
        <f t="shared" si="1"/>
        <v>4.7</v>
      </c>
      <c r="S381" s="313">
        <f t="shared" si="4"/>
        <v>0.75</v>
      </c>
      <c r="T381" s="313">
        <f t="shared" si="4"/>
        <v>3.95</v>
      </c>
      <c r="U381" s="313">
        <f t="shared" si="4"/>
        <v>0</v>
      </c>
      <c r="V381" s="313">
        <f t="shared" si="4"/>
        <v>0</v>
      </c>
      <c r="W381" s="313">
        <f t="shared" si="4"/>
        <v>0</v>
      </c>
      <c r="X381" s="313">
        <f t="shared" si="4"/>
        <v>0</v>
      </c>
      <c r="Y381" s="313">
        <f t="shared" si="4"/>
        <v>0</v>
      </c>
      <c r="Z381" s="313">
        <f t="shared" si="4"/>
        <v>2186085.9134286414</v>
      </c>
      <c r="AA381" s="313">
        <f t="shared" si="4"/>
        <v>0</v>
      </c>
      <c r="AB381" s="313">
        <f t="shared" si="4"/>
        <v>87961.58791526049</v>
      </c>
      <c r="AC381" s="313">
        <f t="shared" si="4"/>
        <v>0</v>
      </c>
      <c r="AD381" s="313">
        <f t="shared" si="4"/>
        <v>2274047.5013439017</v>
      </c>
      <c r="AE381" s="313">
        <f t="shared" si="4"/>
        <v>0</v>
      </c>
      <c r="AF381" s="313">
        <f t="shared" si="4"/>
        <v>493626.91989866947</v>
      </c>
      <c r="AG381" s="313">
        <f t="shared" si="4"/>
        <v>0</v>
      </c>
      <c r="AH381" s="313">
        <f t="shared" si="4"/>
        <v>0</v>
      </c>
      <c r="AI381" s="313">
        <f t="shared" si="4"/>
        <v>0</v>
      </c>
      <c r="AJ381" s="313">
        <f t="shared" si="4"/>
        <v>493626.91989866947</v>
      </c>
      <c r="AK381" s="313">
        <f t="shared" si="4"/>
        <v>1780420.5814452323</v>
      </c>
    </row>
    <row r="382" spans="4:37" x14ac:dyDescent="0.25">
      <c r="D382" s="311">
        <v>2438469</v>
      </c>
      <c r="R382" s="313">
        <f t="shared" si="1"/>
        <v>5.85</v>
      </c>
      <c r="S382" s="313">
        <f t="shared" si="4"/>
        <v>1.85</v>
      </c>
      <c r="T382" s="313">
        <f t="shared" si="4"/>
        <v>4</v>
      </c>
      <c r="U382" s="313">
        <f t="shared" si="4"/>
        <v>0</v>
      </c>
      <c r="V382" s="313">
        <f t="shared" si="4"/>
        <v>0</v>
      </c>
      <c r="W382" s="313">
        <f t="shared" si="4"/>
        <v>14</v>
      </c>
      <c r="X382" s="313">
        <f t="shared" si="4"/>
        <v>0</v>
      </c>
      <c r="Y382" s="313">
        <f t="shared" si="4"/>
        <v>0</v>
      </c>
      <c r="Z382" s="313">
        <f t="shared" si="4"/>
        <v>3315849.7838170747</v>
      </c>
      <c r="AA382" s="313">
        <f t="shared" si="4"/>
        <v>0</v>
      </c>
      <c r="AB382" s="313">
        <f t="shared" si="4"/>
        <v>353173.92834597162</v>
      </c>
      <c r="AC382" s="313">
        <f t="shared" si="4"/>
        <v>0</v>
      </c>
      <c r="AD382" s="313">
        <f t="shared" si="4"/>
        <v>3669023.7121630465</v>
      </c>
      <c r="AE382" s="313">
        <f t="shared" si="4"/>
        <v>0</v>
      </c>
      <c r="AF382" s="313">
        <f t="shared" si="4"/>
        <v>0</v>
      </c>
      <c r="AG382" s="313">
        <f t="shared" si="4"/>
        <v>0</v>
      </c>
      <c r="AH382" s="313">
        <f t="shared" si="4"/>
        <v>318291.63333333336</v>
      </c>
      <c r="AI382" s="313">
        <f t="shared" si="4"/>
        <v>0</v>
      </c>
      <c r="AJ382" s="313">
        <f t="shared" si="4"/>
        <v>318291.63333333336</v>
      </c>
      <c r="AK382" s="313">
        <f t="shared" si="4"/>
        <v>3350732.0788297132</v>
      </c>
    </row>
    <row r="383" spans="4:37" x14ac:dyDescent="0.25">
      <c r="D383" s="311">
        <v>2495303</v>
      </c>
      <c r="R383" s="313">
        <f t="shared" si="1"/>
        <v>8.59</v>
      </c>
      <c r="S383" s="313">
        <f t="shared" si="4"/>
        <v>0.4</v>
      </c>
      <c r="T383" s="313">
        <f t="shared" si="4"/>
        <v>8.19</v>
      </c>
      <c r="U383" s="313">
        <f t="shared" si="4"/>
        <v>0</v>
      </c>
      <c r="V383" s="313">
        <f t="shared" si="4"/>
        <v>0</v>
      </c>
      <c r="W383" s="313">
        <f t="shared" si="4"/>
        <v>0</v>
      </c>
      <c r="X383" s="313">
        <f t="shared" si="4"/>
        <v>0</v>
      </c>
      <c r="Y383" s="313">
        <f t="shared" si="4"/>
        <v>0</v>
      </c>
      <c r="Z383" s="313">
        <f t="shared" si="4"/>
        <v>3995420.8502876656</v>
      </c>
      <c r="AA383" s="313">
        <f t="shared" si="4"/>
        <v>0</v>
      </c>
      <c r="AB383" s="313">
        <f t="shared" si="4"/>
        <v>160763.83833874203</v>
      </c>
      <c r="AC383" s="313">
        <f t="shared" si="4"/>
        <v>0</v>
      </c>
      <c r="AD383" s="313">
        <f t="shared" si="4"/>
        <v>4156184.6886264076</v>
      </c>
      <c r="AE383" s="313">
        <f t="shared" si="4"/>
        <v>0</v>
      </c>
      <c r="AF383" s="313">
        <f t="shared" si="4"/>
        <v>1023494.8035367348</v>
      </c>
      <c r="AG383" s="313">
        <f t="shared" si="4"/>
        <v>0</v>
      </c>
      <c r="AH383" s="313">
        <f t="shared" si="4"/>
        <v>0</v>
      </c>
      <c r="AI383" s="313">
        <f t="shared" si="4"/>
        <v>0</v>
      </c>
      <c r="AJ383" s="313">
        <f t="shared" si="4"/>
        <v>1023494.8035367348</v>
      </c>
      <c r="AK383" s="313">
        <f t="shared" si="4"/>
        <v>3132689.8850896731</v>
      </c>
    </row>
    <row r="384" spans="4:37" x14ac:dyDescent="0.25">
      <c r="D384" s="311">
        <v>2499134</v>
      </c>
      <c r="R384" s="313">
        <f t="shared" si="1"/>
        <v>4.55</v>
      </c>
      <c r="S384" s="313">
        <f t="shared" si="4"/>
        <v>0.2</v>
      </c>
      <c r="T384" s="313">
        <f t="shared" si="4"/>
        <v>2</v>
      </c>
      <c r="U384" s="313">
        <f t="shared" si="4"/>
        <v>1.55</v>
      </c>
      <c r="V384" s="313">
        <f t="shared" si="4"/>
        <v>0.8</v>
      </c>
      <c r="W384" s="313">
        <f t="shared" si="4"/>
        <v>9</v>
      </c>
      <c r="X384" s="313">
        <f t="shared" si="4"/>
        <v>0</v>
      </c>
      <c r="Y384" s="313">
        <f t="shared" si="4"/>
        <v>0</v>
      </c>
      <c r="Z384" s="313">
        <f t="shared" si="4"/>
        <v>2384336.0513730687</v>
      </c>
      <c r="AA384" s="313">
        <f t="shared" si="4"/>
        <v>1008442.7024821603</v>
      </c>
      <c r="AB384" s="313">
        <f t="shared" ref="S384:AK398" si="5">SUMIFS(AB$4:AB$326,$D$4:$D$326,$D384)</f>
        <v>685802.7989615621</v>
      </c>
      <c r="AC384" s="313">
        <f t="shared" si="5"/>
        <v>287714.57142857142</v>
      </c>
      <c r="AD384" s="313">
        <f t="shared" si="5"/>
        <v>4366296.1242453624</v>
      </c>
      <c r="AE384" s="313">
        <f t="shared" si="5"/>
        <v>0</v>
      </c>
      <c r="AF384" s="313">
        <f t="shared" si="5"/>
        <v>588986</v>
      </c>
      <c r="AG384" s="313">
        <f t="shared" si="5"/>
        <v>0</v>
      </c>
      <c r="AH384" s="313">
        <f t="shared" si="5"/>
        <v>277020</v>
      </c>
      <c r="AI384" s="313">
        <f t="shared" si="5"/>
        <v>233260</v>
      </c>
      <c r="AJ384" s="313">
        <f t="shared" si="5"/>
        <v>1099266</v>
      </c>
      <c r="AK384" s="313">
        <f t="shared" si="5"/>
        <v>3267030.1242453624</v>
      </c>
    </row>
    <row r="385" spans="4:37" x14ac:dyDescent="0.25">
      <c r="D385" s="311">
        <v>2506443</v>
      </c>
      <c r="R385" s="313">
        <f t="shared" si="1"/>
        <v>2.41</v>
      </c>
      <c r="S385" s="313">
        <f t="shared" si="5"/>
        <v>0.35</v>
      </c>
      <c r="T385" s="313">
        <f t="shared" si="5"/>
        <v>2</v>
      </c>
      <c r="U385" s="313">
        <f t="shared" si="5"/>
        <v>0.06</v>
      </c>
      <c r="V385" s="313">
        <f t="shared" si="5"/>
        <v>0</v>
      </c>
      <c r="W385" s="313">
        <f t="shared" si="5"/>
        <v>0</v>
      </c>
      <c r="X385" s="313">
        <f t="shared" si="5"/>
        <v>15</v>
      </c>
      <c r="Y385" s="313">
        <f t="shared" si="5"/>
        <v>0</v>
      </c>
      <c r="Z385" s="313">
        <f t="shared" si="5"/>
        <v>1252643.0589041095</v>
      </c>
      <c r="AA385" s="313">
        <f t="shared" si="5"/>
        <v>0</v>
      </c>
      <c r="AB385" s="313">
        <f t="shared" si="5"/>
        <v>267135.30380333954</v>
      </c>
      <c r="AC385" s="313">
        <f t="shared" si="5"/>
        <v>7348</v>
      </c>
      <c r="AD385" s="313">
        <f t="shared" si="5"/>
        <v>1527126.3627074491</v>
      </c>
      <c r="AE385" s="313">
        <f t="shared" si="5"/>
        <v>0</v>
      </c>
      <c r="AF385" s="313">
        <f t="shared" si="5"/>
        <v>234018.06</v>
      </c>
      <c r="AG385" s="313">
        <f t="shared" si="5"/>
        <v>0</v>
      </c>
      <c r="AH385" s="313">
        <f t="shared" si="5"/>
        <v>0</v>
      </c>
      <c r="AI385" s="313">
        <f t="shared" si="5"/>
        <v>0</v>
      </c>
      <c r="AJ385" s="313">
        <f t="shared" si="5"/>
        <v>234018.06</v>
      </c>
      <c r="AK385" s="313">
        <f t="shared" si="5"/>
        <v>1293108.3027074491</v>
      </c>
    </row>
    <row r="386" spans="4:37" x14ac:dyDescent="0.25">
      <c r="D386" s="311">
        <v>2514714</v>
      </c>
      <c r="R386" s="313">
        <f t="shared" si="1"/>
        <v>2.5</v>
      </c>
      <c r="S386" s="313">
        <f t="shared" si="5"/>
        <v>0.8</v>
      </c>
      <c r="T386" s="313">
        <f t="shared" si="5"/>
        <v>1.7</v>
      </c>
      <c r="U386" s="313">
        <f t="shared" si="5"/>
        <v>0</v>
      </c>
      <c r="V386" s="313">
        <f t="shared" si="5"/>
        <v>0</v>
      </c>
      <c r="W386" s="313">
        <f t="shared" si="5"/>
        <v>11</v>
      </c>
      <c r="X386" s="313">
        <f t="shared" si="5"/>
        <v>0</v>
      </c>
      <c r="Y386" s="313">
        <f t="shared" si="5"/>
        <v>0</v>
      </c>
      <c r="Z386" s="313">
        <f t="shared" si="5"/>
        <v>1417029.8221440492</v>
      </c>
      <c r="AA386" s="313">
        <f t="shared" si="5"/>
        <v>0</v>
      </c>
      <c r="AB386" s="313">
        <f t="shared" si="5"/>
        <v>277493.80084326345</v>
      </c>
      <c r="AC386" s="313">
        <f t="shared" si="5"/>
        <v>0</v>
      </c>
      <c r="AD386" s="313">
        <f t="shared" si="5"/>
        <v>1694523.6229873127</v>
      </c>
      <c r="AE386" s="313">
        <f t="shared" si="5"/>
        <v>0</v>
      </c>
      <c r="AF386" s="313">
        <f t="shared" si="5"/>
        <v>0</v>
      </c>
      <c r="AG386" s="313">
        <f t="shared" si="5"/>
        <v>0</v>
      </c>
      <c r="AH386" s="313">
        <f t="shared" si="5"/>
        <v>250086.28333333335</v>
      </c>
      <c r="AI386" s="313">
        <f t="shared" si="5"/>
        <v>0</v>
      </c>
      <c r="AJ386" s="313">
        <f t="shared" si="5"/>
        <v>250086.28333333335</v>
      </c>
      <c r="AK386" s="313">
        <f t="shared" si="5"/>
        <v>1444437.3396539793</v>
      </c>
    </row>
    <row r="387" spans="4:37" x14ac:dyDescent="0.25">
      <c r="D387" s="311">
        <v>2540162</v>
      </c>
      <c r="R387" s="313">
        <f t="shared" si="1"/>
        <v>5.6</v>
      </c>
      <c r="S387" s="313">
        <f t="shared" si="5"/>
        <v>1</v>
      </c>
      <c r="T387" s="313">
        <f t="shared" si="5"/>
        <v>4.6000000000000005</v>
      </c>
      <c r="U387" s="313">
        <f t="shared" si="5"/>
        <v>0</v>
      </c>
      <c r="V387" s="313">
        <f t="shared" si="5"/>
        <v>0</v>
      </c>
      <c r="W387" s="313">
        <f t="shared" si="5"/>
        <v>0</v>
      </c>
      <c r="X387" s="313">
        <f t="shared" si="5"/>
        <v>0</v>
      </c>
      <c r="Y387" s="313">
        <f t="shared" si="5"/>
        <v>0</v>
      </c>
      <c r="Z387" s="313">
        <f t="shared" si="5"/>
        <v>2817322.6794472244</v>
      </c>
      <c r="AA387" s="313">
        <f t="shared" si="5"/>
        <v>0</v>
      </c>
      <c r="AB387" s="313">
        <f t="shared" si="5"/>
        <v>223922.68966368679</v>
      </c>
      <c r="AC387" s="313">
        <f t="shared" si="5"/>
        <v>0</v>
      </c>
      <c r="AD387" s="313">
        <f t="shared" si="5"/>
        <v>3041245.3691109112</v>
      </c>
      <c r="AE387" s="313">
        <f t="shared" si="5"/>
        <v>0</v>
      </c>
      <c r="AF387" s="313">
        <f t="shared" si="5"/>
        <v>638274.08235294116</v>
      </c>
      <c r="AG387" s="313">
        <f t="shared" si="5"/>
        <v>0</v>
      </c>
      <c r="AH387" s="313">
        <f t="shared" si="5"/>
        <v>0</v>
      </c>
      <c r="AI387" s="313">
        <f t="shared" si="5"/>
        <v>0</v>
      </c>
      <c r="AJ387" s="313">
        <f t="shared" si="5"/>
        <v>638274.08235294116</v>
      </c>
      <c r="AK387" s="313">
        <f t="shared" si="5"/>
        <v>2402971.2867579698</v>
      </c>
    </row>
    <row r="388" spans="4:37" x14ac:dyDescent="0.25">
      <c r="D388" s="311">
        <v>2583952</v>
      </c>
      <c r="R388" s="313">
        <f t="shared" si="1"/>
        <v>2.1</v>
      </c>
      <c r="S388" s="313">
        <f t="shared" si="5"/>
        <v>2.1</v>
      </c>
      <c r="T388" s="313">
        <f t="shared" si="5"/>
        <v>0</v>
      </c>
      <c r="U388" s="313">
        <f t="shared" si="5"/>
        <v>0</v>
      </c>
      <c r="V388" s="313">
        <f t="shared" si="5"/>
        <v>0</v>
      </c>
      <c r="W388" s="313">
        <f t="shared" si="5"/>
        <v>0</v>
      </c>
      <c r="X388" s="313">
        <f t="shared" si="5"/>
        <v>0</v>
      </c>
      <c r="Y388" s="313">
        <f t="shared" si="5"/>
        <v>0</v>
      </c>
      <c r="Z388" s="313">
        <f t="shared" si="5"/>
        <v>1277490.6801127556</v>
      </c>
      <c r="AA388" s="313">
        <f t="shared" si="5"/>
        <v>0</v>
      </c>
      <c r="AB388" s="313">
        <f t="shared" si="5"/>
        <v>93685.846153846156</v>
      </c>
      <c r="AC388" s="313">
        <f t="shared" si="5"/>
        <v>0</v>
      </c>
      <c r="AD388" s="313">
        <f t="shared" si="5"/>
        <v>1371176.5262666019</v>
      </c>
      <c r="AE388" s="313">
        <f t="shared" si="5"/>
        <v>0</v>
      </c>
      <c r="AF388" s="313">
        <f t="shared" si="5"/>
        <v>0</v>
      </c>
      <c r="AG388" s="313">
        <f t="shared" si="5"/>
        <v>0</v>
      </c>
      <c r="AH388" s="313">
        <f t="shared" si="5"/>
        <v>0</v>
      </c>
      <c r="AI388" s="313">
        <f t="shared" si="5"/>
        <v>0</v>
      </c>
      <c r="AJ388" s="313">
        <f t="shared" si="5"/>
        <v>0</v>
      </c>
      <c r="AK388" s="313">
        <f t="shared" si="5"/>
        <v>1371176.5262666019</v>
      </c>
    </row>
    <row r="389" spans="4:37" x14ac:dyDescent="0.25">
      <c r="D389" s="311">
        <v>2749776</v>
      </c>
      <c r="R389" s="313">
        <f t="shared" si="1"/>
        <v>17</v>
      </c>
      <c r="S389" s="313">
        <f t="shared" si="5"/>
        <v>1</v>
      </c>
      <c r="T389" s="313">
        <f t="shared" si="5"/>
        <v>9</v>
      </c>
      <c r="U389" s="313">
        <f t="shared" si="5"/>
        <v>7</v>
      </c>
      <c r="V389" s="313">
        <f t="shared" si="5"/>
        <v>0</v>
      </c>
      <c r="W389" s="313">
        <f t="shared" si="5"/>
        <v>53</v>
      </c>
      <c r="X389" s="313">
        <f t="shared" si="5"/>
        <v>0</v>
      </c>
      <c r="Y389" s="313">
        <f t="shared" si="5"/>
        <v>0</v>
      </c>
      <c r="Z389" s="313">
        <f t="shared" si="5"/>
        <v>5938978.1696553854</v>
      </c>
      <c r="AA389" s="313">
        <f t="shared" si="5"/>
        <v>5156546.4286748795</v>
      </c>
      <c r="AB389" s="313">
        <f t="shared" si="5"/>
        <v>4910322.1227485724</v>
      </c>
      <c r="AC389" s="313">
        <f t="shared" si="5"/>
        <v>3446193.0139798103</v>
      </c>
      <c r="AD389" s="313">
        <f t="shared" si="5"/>
        <v>19452039.735058647</v>
      </c>
      <c r="AE389" s="313">
        <f t="shared" si="5"/>
        <v>0</v>
      </c>
      <c r="AF389" s="313">
        <f t="shared" si="5"/>
        <v>5950335.7132607615</v>
      </c>
      <c r="AG389" s="313">
        <f t="shared" si="5"/>
        <v>1549978.0442834138</v>
      </c>
      <c r="AH389" s="313">
        <f t="shared" si="5"/>
        <v>3440960.0551615446</v>
      </c>
      <c r="AI389" s="313">
        <f t="shared" si="5"/>
        <v>2696484.3368566176</v>
      </c>
      <c r="AJ389" s="313">
        <f t="shared" si="5"/>
        <v>13637758.149562337</v>
      </c>
      <c r="AK389" s="313">
        <f t="shared" si="5"/>
        <v>5814281.5854963101</v>
      </c>
    </row>
    <row r="390" spans="4:37" x14ac:dyDescent="0.25">
      <c r="D390" s="311">
        <v>2757263</v>
      </c>
      <c r="R390" s="313">
        <f t="shared" si="1"/>
        <v>1.1499999999999999</v>
      </c>
      <c r="S390" s="313">
        <f t="shared" si="5"/>
        <v>0.3</v>
      </c>
      <c r="T390" s="313">
        <f t="shared" si="5"/>
        <v>0</v>
      </c>
      <c r="U390" s="313">
        <f t="shared" si="5"/>
        <v>0</v>
      </c>
      <c r="V390" s="313">
        <f t="shared" si="5"/>
        <v>0.85</v>
      </c>
      <c r="W390" s="313">
        <f t="shared" si="5"/>
        <v>0</v>
      </c>
      <c r="X390" s="313">
        <f t="shared" si="5"/>
        <v>0</v>
      </c>
      <c r="Y390" s="313">
        <f t="shared" si="5"/>
        <v>0</v>
      </c>
      <c r="Z390" s="313">
        <f t="shared" si="5"/>
        <v>740828.74025327514</v>
      </c>
      <c r="AA390" s="313">
        <f t="shared" si="5"/>
        <v>0</v>
      </c>
      <c r="AB390" s="313">
        <f t="shared" si="5"/>
        <v>93731.412639405185</v>
      </c>
      <c r="AC390" s="313">
        <f t="shared" si="5"/>
        <v>0</v>
      </c>
      <c r="AD390" s="313">
        <f t="shared" si="5"/>
        <v>834560.15289268037</v>
      </c>
      <c r="AE390" s="313">
        <f t="shared" si="5"/>
        <v>0</v>
      </c>
      <c r="AF390" s="313">
        <f t="shared" si="5"/>
        <v>0</v>
      </c>
      <c r="AG390" s="313">
        <f t="shared" si="5"/>
        <v>0</v>
      </c>
      <c r="AH390" s="313">
        <f t="shared" si="5"/>
        <v>0</v>
      </c>
      <c r="AI390" s="313">
        <f t="shared" si="5"/>
        <v>0</v>
      </c>
      <c r="AJ390" s="313">
        <f t="shared" si="5"/>
        <v>0</v>
      </c>
      <c r="AK390" s="313">
        <f t="shared" si="5"/>
        <v>834560.15289268037</v>
      </c>
    </row>
    <row r="391" spans="4:37" x14ac:dyDescent="0.25">
      <c r="D391" s="311">
        <v>2788586</v>
      </c>
      <c r="R391" s="313">
        <f t="shared" si="1"/>
        <v>1.75</v>
      </c>
      <c r="S391" s="313">
        <f t="shared" si="5"/>
        <v>1.5</v>
      </c>
      <c r="T391" s="313">
        <f t="shared" si="5"/>
        <v>0.25</v>
      </c>
      <c r="U391" s="313">
        <f t="shared" si="5"/>
        <v>0</v>
      </c>
      <c r="V391" s="313">
        <f t="shared" si="5"/>
        <v>0</v>
      </c>
      <c r="W391" s="313">
        <f t="shared" si="5"/>
        <v>0</v>
      </c>
      <c r="X391" s="313">
        <f t="shared" si="5"/>
        <v>0</v>
      </c>
      <c r="Y391" s="313">
        <f t="shared" si="5"/>
        <v>0</v>
      </c>
      <c r="Z391" s="313">
        <f t="shared" si="5"/>
        <v>1027239.8196974611</v>
      </c>
      <c r="AA391" s="313">
        <f t="shared" si="5"/>
        <v>0</v>
      </c>
      <c r="AB391" s="313">
        <f t="shared" si="5"/>
        <v>74657.039121504393</v>
      </c>
      <c r="AC391" s="313">
        <f t="shared" si="5"/>
        <v>0</v>
      </c>
      <c r="AD391" s="313">
        <f t="shared" si="5"/>
        <v>1101896.8588189655</v>
      </c>
      <c r="AE391" s="313">
        <f t="shared" si="5"/>
        <v>0</v>
      </c>
      <c r="AF391" s="313">
        <f t="shared" si="5"/>
        <v>0</v>
      </c>
      <c r="AG391" s="313">
        <f t="shared" si="5"/>
        <v>0</v>
      </c>
      <c r="AH391" s="313">
        <f t="shared" si="5"/>
        <v>0</v>
      </c>
      <c r="AI391" s="313">
        <f t="shared" si="5"/>
        <v>0</v>
      </c>
      <c r="AJ391" s="313">
        <f t="shared" si="5"/>
        <v>0</v>
      </c>
      <c r="AK391" s="313">
        <f t="shared" si="5"/>
        <v>1101896.8588189655</v>
      </c>
    </row>
    <row r="392" spans="4:37" x14ac:dyDescent="0.25">
      <c r="D392" s="311">
        <v>2801353</v>
      </c>
      <c r="R392" s="313">
        <f t="shared" si="1"/>
        <v>31</v>
      </c>
      <c r="S392" s="313">
        <f t="shared" si="5"/>
        <v>3</v>
      </c>
      <c r="T392" s="313">
        <f t="shared" si="5"/>
        <v>18</v>
      </c>
      <c r="U392" s="313">
        <f t="shared" si="5"/>
        <v>10</v>
      </c>
      <c r="V392" s="313">
        <f t="shared" si="5"/>
        <v>0</v>
      </c>
      <c r="W392" s="313">
        <f t="shared" si="5"/>
        <v>64</v>
      </c>
      <c r="X392" s="313">
        <f t="shared" si="5"/>
        <v>0</v>
      </c>
      <c r="Y392" s="313">
        <f t="shared" si="5"/>
        <v>0</v>
      </c>
      <c r="Z392" s="313">
        <f t="shared" si="5"/>
        <v>12471854.15627631</v>
      </c>
      <c r="AA392" s="313">
        <f t="shared" si="5"/>
        <v>7366494.8981069699</v>
      </c>
      <c r="AB392" s="313">
        <f t="shared" si="5"/>
        <v>5929445.582186955</v>
      </c>
      <c r="AC392" s="313">
        <f t="shared" si="5"/>
        <v>4161440.6206548652</v>
      </c>
      <c r="AD392" s="313">
        <f t="shared" si="5"/>
        <v>29929235.2572251</v>
      </c>
      <c r="AE392" s="313">
        <f t="shared" si="5"/>
        <v>0</v>
      </c>
      <c r="AF392" s="313">
        <f t="shared" si="5"/>
        <v>7185311.0499752592</v>
      </c>
      <c r="AG392" s="313">
        <f t="shared" si="5"/>
        <v>1871671.6006441223</v>
      </c>
      <c r="AH392" s="313">
        <f t="shared" si="5"/>
        <v>4155121.5760441292</v>
      </c>
      <c r="AI392" s="313">
        <f t="shared" si="5"/>
        <v>3256132.0294117648</v>
      </c>
      <c r="AJ392" s="313">
        <f t="shared" si="5"/>
        <v>16468236.256075276</v>
      </c>
      <c r="AK392" s="313">
        <f t="shared" si="5"/>
        <v>13460999.001149824</v>
      </c>
    </row>
    <row r="393" spans="4:37" x14ac:dyDescent="0.25">
      <c r="D393" s="311">
        <v>2813024</v>
      </c>
      <c r="R393" s="313">
        <f t="shared" si="1"/>
        <v>3.93</v>
      </c>
      <c r="S393" s="313">
        <f t="shared" si="5"/>
        <v>1</v>
      </c>
      <c r="T393" s="313">
        <f t="shared" si="5"/>
        <v>2.93</v>
      </c>
      <c r="U393" s="313">
        <f t="shared" si="5"/>
        <v>0</v>
      </c>
      <c r="V393" s="313">
        <f t="shared" si="5"/>
        <v>0</v>
      </c>
      <c r="W393" s="313">
        <f t="shared" si="5"/>
        <v>0</v>
      </c>
      <c r="X393" s="313">
        <f t="shared" si="5"/>
        <v>0</v>
      </c>
      <c r="Y393" s="313">
        <f t="shared" si="5"/>
        <v>0</v>
      </c>
      <c r="Z393" s="313">
        <f t="shared" si="5"/>
        <v>2403820.3175629829</v>
      </c>
      <c r="AA393" s="313">
        <f t="shared" si="5"/>
        <v>0</v>
      </c>
      <c r="AB393" s="313">
        <f t="shared" si="5"/>
        <v>162951.42720833686</v>
      </c>
      <c r="AC393" s="313">
        <f t="shared" si="5"/>
        <v>0</v>
      </c>
      <c r="AD393" s="313">
        <f t="shared" si="5"/>
        <v>2566771.7447713199</v>
      </c>
      <c r="AE393" s="313">
        <f t="shared" si="5"/>
        <v>0</v>
      </c>
      <c r="AF393" s="313">
        <f t="shared" si="5"/>
        <v>0</v>
      </c>
      <c r="AG393" s="313">
        <f t="shared" si="5"/>
        <v>0</v>
      </c>
      <c r="AH393" s="313">
        <f t="shared" si="5"/>
        <v>0</v>
      </c>
      <c r="AI393" s="313">
        <f t="shared" si="5"/>
        <v>0</v>
      </c>
      <c r="AJ393" s="313">
        <f t="shared" si="5"/>
        <v>0</v>
      </c>
      <c r="AK393" s="313">
        <f t="shared" si="5"/>
        <v>2566771.7447713199</v>
      </c>
    </row>
    <row r="394" spans="4:37" x14ac:dyDescent="0.25">
      <c r="D394" s="311">
        <v>2813433</v>
      </c>
      <c r="R394" s="313">
        <f t="shared" si="1"/>
        <v>2.7</v>
      </c>
      <c r="S394" s="313">
        <f t="shared" si="5"/>
        <v>1</v>
      </c>
      <c r="T394" s="313">
        <f t="shared" si="5"/>
        <v>1.7</v>
      </c>
      <c r="U394" s="313">
        <f t="shared" si="5"/>
        <v>0</v>
      </c>
      <c r="V394" s="313">
        <f t="shared" si="5"/>
        <v>0</v>
      </c>
      <c r="W394" s="313">
        <f t="shared" si="5"/>
        <v>0</v>
      </c>
      <c r="X394" s="313">
        <f t="shared" si="5"/>
        <v>10</v>
      </c>
      <c r="Y394" s="313">
        <f t="shared" si="5"/>
        <v>0</v>
      </c>
      <c r="Z394" s="313">
        <f t="shared" si="5"/>
        <v>1403376.0410958903</v>
      </c>
      <c r="AA394" s="313">
        <f t="shared" si="5"/>
        <v>0</v>
      </c>
      <c r="AB394" s="313">
        <f t="shared" si="5"/>
        <v>178090.20253555969</v>
      </c>
      <c r="AC394" s="313">
        <f t="shared" si="5"/>
        <v>4898.666666666667</v>
      </c>
      <c r="AD394" s="313">
        <f t="shared" si="5"/>
        <v>1586364.9102981167</v>
      </c>
      <c r="AE394" s="313">
        <f t="shared" si="5"/>
        <v>0</v>
      </c>
      <c r="AF394" s="313">
        <f t="shared" si="5"/>
        <v>193121.69999999998</v>
      </c>
      <c r="AG394" s="313">
        <f t="shared" si="5"/>
        <v>0</v>
      </c>
      <c r="AH394" s="313">
        <f t="shared" si="5"/>
        <v>0</v>
      </c>
      <c r="AI394" s="313">
        <f t="shared" si="5"/>
        <v>0</v>
      </c>
      <c r="AJ394" s="313">
        <f t="shared" si="5"/>
        <v>193121.69999999998</v>
      </c>
      <c r="AK394" s="313">
        <f t="shared" si="5"/>
        <v>1393243.2102981168</v>
      </c>
    </row>
    <row r="395" spans="4:37" x14ac:dyDescent="0.25">
      <c r="D395" s="311">
        <v>2837121</v>
      </c>
      <c r="R395" s="313">
        <f t="shared" ref="R395:AG458" si="6">SUMIFS(R$4:R$326,$D$4:$D$326,$D395)</f>
        <v>13.34</v>
      </c>
      <c r="S395" s="313">
        <f t="shared" si="6"/>
        <v>0.96</v>
      </c>
      <c r="T395" s="313">
        <f t="shared" si="6"/>
        <v>9.74</v>
      </c>
      <c r="U395" s="313">
        <f t="shared" si="6"/>
        <v>2.64</v>
      </c>
      <c r="V395" s="313">
        <f t="shared" si="6"/>
        <v>0</v>
      </c>
      <c r="W395" s="313">
        <f t="shared" si="6"/>
        <v>24</v>
      </c>
      <c r="X395" s="313">
        <f t="shared" si="6"/>
        <v>0</v>
      </c>
      <c r="Y395" s="313">
        <f t="shared" si="6"/>
        <v>0</v>
      </c>
      <c r="Z395" s="313">
        <f t="shared" si="6"/>
        <v>6354706.6415312616</v>
      </c>
      <c r="AA395" s="313">
        <f t="shared" si="6"/>
        <v>1944754.6531002403</v>
      </c>
      <c r="AB395" s="313">
        <f t="shared" si="6"/>
        <v>2223542.093320108</v>
      </c>
      <c r="AC395" s="313">
        <f t="shared" si="6"/>
        <v>1560540.2327455743</v>
      </c>
      <c r="AD395" s="313">
        <f t="shared" si="6"/>
        <v>12083543.620697184</v>
      </c>
      <c r="AE395" s="313">
        <f t="shared" si="6"/>
        <v>0</v>
      </c>
      <c r="AF395" s="313">
        <f t="shared" si="6"/>
        <v>2694491.643740722</v>
      </c>
      <c r="AG395" s="313">
        <f t="shared" si="6"/>
        <v>701876.85024154582</v>
      </c>
      <c r="AH395" s="313">
        <f t="shared" si="5"/>
        <v>1558170.5910165485</v>
      </c>
      <c r="AI395" s="313">
        <f t="shared" si="5"/>
        <v>1221049.5110294118</v>
      </c>
      <c r="AJ395" s="313">
        <f t="shared" si="5"/>
        <v>6175588.5960282283</v>
      </c>
      <c r="AK395" s="313">
        <f t="shared" si="5"/>
        <v>5907955.0246689552</v>
      </c>
    </row>
    <row r="396" spans="4:37" x14ac:dyDescent="0.25">
      <c r="D396" s="311">
        <v>2886510</v>
      </c>
      <c r="R396" s="313">
        <f t="shared" si="6"/>
        <v>3.25</v>
      </c>
      <c r="S396" s="313">
        <f t="shared" si="5"/>
        <v>2.35</v>
      </c>
      <c r="T396" s="313">
        <f t="shared" si="5"/>
        <v>0</v>
      </c>
      <c r="U396" s="313">
        <f t="shared" si="5"/>
        <v>0</v>
      </c>
      <c r="V396" s="313">
        <f t="shared" si="5"/>
        <v>0.9</v>
      </c>
      <c r="W396" s="313">
        <f t="shared" si="5"/>
        <v>0</v>
      </c>
      <c r="X396" s="313">
        <f t="shared" si="5"/>
        <v>0</v>
      </c>
      <c r="Y396" s="313">
        <f t="shared" si="5"/>
        <v>0</v>
      </c>
      <c r="Z396" s="313">
        <f t="shared" si="5"/>
        <v>1977068.9096983122</v>
      </c>
      <c r="AA396" s="313">
        <f t="shared" si="5"/>
        <v>0</v>
      </c>
      <c r="AB396" s="313">
        <f t="shared" si="5"/>
        <v>144990</v>
      </c>
      <c r="AC396" s="313">
        <f t="shared" si="5"/>
        <v>0</v>
      </c>
      <c r="AD396" s="313">
        <f t="shared" si="5"/>
        <v>2122058.9096983122</v>
      </c>
      <c r="AE396" s="313">
        <f t="shared" si="5"/>
        <v>0</v>
      </c>
      <c r="AF396" s="313">
        <f t="shared" si="5"/>
        <v>0</v>
      </c>
      <c r="AG396" s="313">
        <f t="shared" si="5"/>
        <v>0</v>
      </c>
      <c r="AH396" s="313">
        <f t="shared" si="5"/>
        <v>0</v>
      </c>
      <c r="AI396" s="313">
        <f t="shared" si="5"/>
        <v>0</v>
      </c>
      <c r="AJ396" s="313">
        <f t="shared" si="5"/>
        <v>0</v>
      </c>
      <c r="AK396" s="313">
        <f t="shared" si="5"/>
        <v>2122058.9096983122</v>
      </c>
    </row>
    <row r="397" spans="4:37" x14ac:dyDescent="0.25">
      <c r="D397" s="311">
        <v>2946425</v>
      </c>
      <c r="R397" s="313">
        <f t="shared" si="6"/>
        <v>5</v>
      </c>
      <c r="S397" s="313">
        <f t="shared" si="5"/>
        <v>1</v>
      </c>
      <c r="T397" s="313">
        <f t="shared" si="5"/>
        <v>4</v>
      </c>
      <c r="U397" s="313">
        <f t="shared" si="5"/>
        <v>0</v>
      </c>
      <c r="V397" s="313">
        <f t="shared" si="5"/>
        <v>0</v>
      </c>
      <c r="W397" s="313">
        <f t="shared" si="5"/>
        <v>0</v>
      </c>
      <c r="X397" s="313">
        <f t="shared" si="5"/>
        <v>0</v>
      </c>
      <c r="Y397" s="313">
        <f t="shared" si="5"/>
        <v>0</v>
      </c>
      <c r="Z397" s="313">
        <f t="shared" si="5"/>
        <v>2515466.6780778789</v>
      </c>
      <c r="AA397" s="313">
        <f t="shared" si="5"/>
        <v>0</v>
      </c>
      <c r="AB397" s="313">
        <f t="shared" si="5"/>
        <v>199930.97291400604</v>
      </c>
      <c r="AC397" s="313">
        <f t="shared" si="5"/>
        <v>0</v>
      </c>
      <c r="AD397" s="313">
        <f t="shared" si="5"/>
        <v>2715397.650991885</v>
      </c>
      <c r="AE397" s="313">
        <f t="shared" si="5"/>
        <v>0</v>
      </c>
      <c r="AF397" s="313">
        <f t="shared" si="5"/>
        <v>555020.9411764706</v>
      </c>
      <c r="AG397" s="313">
        <f t="shared" si="5"/>
        <v>0</v>
      </c>
      <c r="AH397" s="313">
        <f t="shared" si="5"/>
        <v>0</v>
      </c>
      <c r="AI397" s="313">
        <f t="shared" si="5"/>
        <v>0</v>
      </c>
      <c r="AJ397" s="313">
        <f t="shared" si="5"/>
        <v>555020.9411764706</v>
      </c>
      <c r="AK397" s="313">
        <f t="shared" si="5"/>
        <v>2160376.7098154146</v>
      </c>
    </row>
    <row r="398" spans="4:37" x14ac:dyDescent="0.25">
      <c r="D398" s="311">
        <v>3028344</v>
      </c>
      <c r="R398" s="313">
        <f t="shared" si="6"/>
        <v>6</v>
      </c>
      <c r="S398" s="313">
        <f t="shared" si="5"/>
        <v>1</v>
      </c>
      <c r="T398" s="313">
        <f t="shared" si="5"/>
        <v>5</v>
      </c>
      <c r="U398" s="313">
        <f t="shared" si="5"/>
        <v>0</v>
      </c>
      <c r="V398" s="313">
        <f t="shared" si="5"/>
        <v>0</v>
      </c>
      <c r="W398" s="313">
        <f t="shared" si="5"/>
        <v>32</v>
      </c>
      <c r="X398" s="313">
        <f t="shared" si="5"/>
        <v>0</v>
      </c>
      <c r="Y398" s="313">
        <f t="shared" si="5"/>
        <v>0</v>
      </c>
      <c r="Z398" s="313">
        <f t="shared" si="5"/>
        <v>3400871.5731457178</v>
      </c>
      <c r="AA398" s="313">
        <f t="shared" si="5"/>
        <v>0</v>
      </c>
      <c r="AB398" s="313">
        <f t="shared" si="5"/>
        <v>807254.69336222089</v>
      </c>
      <c r="AC398" s="313">
        <f t="shared" si="5"/>
        <v>0</v>
      </c>
      <c r="AD398" s="313">
        <f t="shared" si="5"/>
        <v>4208126.2665079385</v>
      </c>
      <c r="AE398" s="313">
        <f t="shared" si="5"/>
        <v>0</v>
      </c>
      <c r="AF398" s="313">
        <f t="shared" ref="S398:AK412" si="7">SUMIFS(AF$4:AF$326,$D$4:$D$326,$D398)</f>
        <v>0</v>
      </c>
      <c r="AG398" s="313">
        <f t="shared" si="7"/>
        <v>0</v>
      </c>
      <c r="AH398" s="313">
        <f t="shared" si="7"/>
        <v>727523.7333333334</v>
      </c>
      <c r="AI398" s="313">
        <f t="shared" si="7"/>
        <v>0</v>
      </c>
      <c r="AJ398" s="313">
        <f t="shared" si="7"/>
        <v>727523.7333333334</v>
      </c>
      <c r="AK398" s="313">
        <f t="shared" si="7"/>
        <v>3480602.5331746051</v>
      </c>
    </row>
    <row r="399" spans="4:37" x14ac:dyDescent="0.25">
      <c r="D399" s="311">
        <v>3040542</v>
      </c>
      <c r="R399" s="313">
        <f t="shared" si="6"/>
        <v>1.35</v>
      </c>
      <c r="S399" s="313">
        <f t="shared" si="7"/>
        <v>1.3</v>
      </c>
      <c r="T399" s="313">
        <f t="shared" si="7"/>
        <v>0.05</v>
      </c>
      <c r="U399" s="313">
        <f t="shared" si="7"/>
        <v>0</v>
      </c>
      <c r="V399" s="313">
        <f t="shared" si="7"/>
        <v>0</v>
      </c>
      <c r="W399" s="313">
        <f t="shared" si="7"/>
        <v>0</v>
      </c>
      <c r="X399" s="313">
        <f t="shared" si="7"/>
        <v>0</v>
      </c>
      <c r="Y399" s="313">
        <f t="shared" si="7"/>
        <v>0</v>
      </c>
      <c r="Z399" s="313">
        <f t="shared" si="7"/>
        <v>821244.00864391436</v>
      </c>
      <c r="AA399" s="313">
        <f t="shared" si="7"/>
        <v>0</v>
      </c>
      <c r="AB399" s="313">
        <f t="shared" si="7"/>
        <v>60226.61538461539</v>
      </c>
      <c r="AC399" s="313">
        <f t="shared" si="7"/>
        <v>0</v>
      </c>
      <c r="AD399" s="313">
        <f t="shared" si="7"/>
        <v>881470.62402852974</v>
      </c>
      <c r="AE399" s="313">
        <f t="shared" si="7"/>
        <v>0</v>
      </c>
      <c r="AF399" s="313">
        <f t="shared" si="7"/>
        <v>0</v>
      </c>
      <c r="AG399" s="313">
        <f t="shared" si="7"/>
        <v>0</v>
      </c>
      <c r="AH399" s="313">
        <f t="shared" si="7"/>
        <v>0</v>
      </c>
      <c r="AI399" s="313">
        <f t="shared" si="7"/>
        <v>0</v>
      </c>
      <c r="AJ399" s="313">
        <f t="shared" si="7"/>
        <v>0</v>
      </c>
      <c r="AK399" s="313">
        <f t="shared" si="7"/>
        <v>881470.62402852974</v>
      </c>
    </row>
    <row r="400" spans="4:37" x14ac:dyDescent="0.25">
      <c r="D400" s="311">
        <v>3054253</v>
      </c>
      <c r="R400" s="313">
        <f t="shared" si="6"/>
        <v>3.2</v>
      </c>
      <c r="S400" s="313">
        <f t="shared" si="7"/>
        <v>1</v>
      </c>
      <c r="T400" s="313">
        <f t="shared" si="7"/>
        <v>2</v>
      </c>
      <c r="U400" s="313">
        <f t="shared" si="7"/>
        <v>0</v>
      </c>
      <c r="V400" s="313">
        <f t="shared" si="7"/>
        <v>0.2</v>
      </c>
      <c r="W400" s="313">
        <f t="shared" si="7"/>
        <v>0</v>
      </c>
      <c r="X400" s="313">
        <f t="shared" si="7"/>
        <v>12</v>
      </c>
      <c r="Y400" s="313">
        <f t="shared" si="7"/>
        <v>0</v>
      </c>
      <c r="Z400" s="313">
        <f t="shared" si="7"/>
        <v>1957309.1644278739</v>
      </c>
      <c r="AA400" s="313">
        <f t="shared" si="7"/>
        <v>0</v>
      </c>
      <c r="AB400" s="313">
        <f t="shared" si="7"/>
        <v>132683.0959457196</v>
      </c>
      <c r="AC400" s="313">
        <f t="shared" si="7"/>
        <v>0</v>
      </c>
      <c r="AD400" s="313">
        <f t="shared" si="7"/>
        <v>2089992.2603735935</v>
      </c>
      <c r="AE400" s="313">
        <f t="shared" si="7"/>
        <v>0</v>
      </c>
      <c r="AF400" s="313">
        <f t="shared" si="7"/>
        <v>0</v>
      </c>
      <c r="AG400" s="313">
        <f t="shared" si="7"/>
        <v>0</v>
      </c>
      <c r="AH400" s="313">
        <f t="shared" si="7"/>
        <v>0</v>
      </c>
      <c r="AI400" s="313">
        <f t="shared" si="7"/>
        <v>0</v>
      </c>
      <c r="AJ400" s="313">
        <f t="shared" si="7"/>
        <v>0</v>
      </c>
      <c r="AK400" s="313">
        <f t="shared" si="7"/>
        <v>2089992.2603735935</v>
      </c>
    </row>
    <row r="401" spans="4:37" x14ac:dyDescent="0.25">
      <c r="D401" s="311">
        <v>3095940</v>
      </c>
      <c r="R401" s="313">
        <f t="shared" si="6"/>
        <v>7</v>
      </c>
      <c r="S401" s="313">
        <f t="shared" si="7"/>
        <v>1</v>
      </c>
      <c r="T401" s="313">
        <f t="shared" si="7"/>
        <v>6</v>
      </c>
      <c r="U401" s="313">
        <f t="shared" si="7"/>
        <v>0</v>
      </c>
      <c r="V401" s="313">
        <f t="shared" si="7"/>
        <v>0</v>
      </c>
      <c r="W401" s="313">
        <f t="shared" si="7"/>
        <v>0</v>
      </c>
      <c r="X401" s="313">
        <f t="shared" si="7"/>
        <v>0</v>
      </c>
      <c r="Y401" s="313">
        <f t="shared" si="7"/>
        <v>0</v>
      </c>
      <c r="Z401" s="313">
        <f t="shared" si="7"/>
        <v>3521653.3493090305</v>
      </c>
      <c r="AA401" s="313">
        <f t="shared" si="7"/>
        <v>0</v>
      </c>
      <c r="AB401" s="313">
        <f t="shared" si="7"/>
        <v>279903.36207960849</v>
      </c>
      <c r="AC401" s="313">
        <f t="shared" si="7"/>
        <v>0</v>
      </c>
      <c r="AD401" s="313">
        <f t="shared" si="7"/>
        <v>3801556.7113886392</v>
      </c>
      <c r="AE401" s="313">
        <f t="shared" si="7"/>
        <v>0</v>
      </c>
      <c r="AF401" s="313">
        <f t="shared" si="7"/>
        <v>832531.4117647059</v>
      </c>
      <c r="AG401" s="313">
        <f t="shared" si="7"/>
        <v>0</v>
      </c>
      <c r="AH401" s="313">
        <f t="shared" si="7"/>
        <v>0</v>
      </c>
      <c r="AI401" s="313">
        <f t="shared" si="7"/>
        <v>0</v>
      </c>
      <c r="AJ401" s="313">
        <f t="shared" si="7"/>
        <v>832531.4117647059</v>
      </c>
      <c r="AK401" s="313">
        <f t="shared" si="7"/>
        <v>2969025.2996239332</v>
      </c>
    </row>
    <row r="402" spans="4:37" x14ac:dyDescent="0.25">
      <c r="D402" s="311">
        <v>3110951</v>
      </c>
      <c r="R402" s="313">
        <f t="shared" si="6"/>
        <v>5.5</v>
      </c>
      <c r="S402" s="313">
        <f t="shared" si="7"/>
        <v>0.2</v>
      </c>
      <c r="T402" s="313">
        <f t="shared" si="7"/>
        <v>5.3</v>
      </c>
      <c r="U402" s="313">
        <f t="shared" si="7"/>
        <v>0</v>
      </c>
      <c r="V402" s="313">
        <f t="shared" si="7"/>
        <v>0</v>
      </c>
      <c r="W402" s="313">
        <f t="shared" si="7"/>
        <v>0</v>
      </c>
      <c r="X402" s="313">
        <f t="shared" si="7"/>
        <v>0</v>
      </c>
      <c r="Y402" s="313">
        <f t="shared" si="7"/>
        <v>0</v>
      </c>
      <c r="Z402" s="313">
        <f t="shared" si="7"/>
        <v>2767013.3458856666</v>
      </c>
      <c r="AA402" s="313">
        <f t="shared" si="7"/>
        <v>0</v>
      </c>
      <c r="AB402" s="313">
        <f t="shared" si="7"/>
        <v>219924.07020540666</v>
      </c>
      <c r="AC402" s="313">
        <f t="shared" si="7"/>
        <v>0</v>
      </c>
      <c r="AD402" s="313">
        <f t="shared" si="7"/>
        <v>2986937.4160910733</v>
      </c>
      <c r="AE402" s="313">
        <f t="shared" si="7"/>
        <v>0</v>
      </c>
      <c r="AF402" s="313">
        <f t="shared" si="7"/>
        <v>735402.74705882347</v>
      </c>
      <c r="AG402" s="313">
        <f t="shared" si="7"/>
        <v>0</v>
      </c>
      <c r="AH402" s="313">
        <f t="shared" si="7"/>
        <v>0</v>
      </c>
      <c r="AI402" s="313">
        <f t="shared" si="7"/>
        <v>0</v>
      </c>
      <c r="AJ402" s="313">
        <f t="shared" si="7"/>
        <v>735402.74705882347</v>
      </c>
      <c r="AK402" s="313">
        <f t="shared" si="7"/>
        <v>2251534.6690322496</v>
      </c>
    </row>
    <row r="403" spans="4:37" x14ac:dyDescent="0.25">
      <c r="D403" s="311">
        <v>3135426</v>
      </c>
      <c r="R403" s="313">
        <f t="shared" si="6"/>
        <v>21.25</v>
      </c>
      <c r="S403" s="313">
        <f t="shared" si="7"/>
        <v>1.25</v>
      </c>
      <c r="T403" s="313">
        <f t="shared" si="7"/>
        <v>14</v>
      </c>
      <c r="U403" s="313">
        <f t="shared" si="7"/>
        <v>6</v>
      </c>
      <c r="V403" s="313">
        <f t="shared" si="7"/>
        <v>0</v>
      </c>
      <c r="W403" s="313">
        <f t="shared" si="7"/>
        <v>68</v>
      </c>
      <c r="X403" s="313">
        <f t="shared" si="7"/>
        <v>0</v>
      </c>
      <c r="Y403" s="313">
        <f t="shared" si="7"/>
        <v>0</v>
      </c>
      <c r="Z403" s="313">
        <f t="shared" si="7"/>
        <v>9056941.7087244634</v>
      </c>
      <c r="AA403" s="313">
        <f t="shared" si="7"/>
        <v>4419896.9388641827</v>
      </c>
      <c r="AB403" s="313">
        <f t="shared" si="7"/>
        <v>6300035.9310736395</v>
      </c>
      <c r="AC403" s="313">
        <f t="shared" si="7"/>
        <v>4421530.6594457943</v>
      </c>
      <c r="AD403" s="313">
        <f t="shared" si="7"/>
        <v>24198405.238108076</v>
      </c>
      <c r="AE403" s="313">
        <f t="shared" si="7"/>
        <v>0</v>
      </c>
      <c r="AF403" s="313">
        <f t="shared" si="7"/>
        <v>7634392.990598713</v>
      </c>
      <c r="AG403" s="313">
        <f t="shared" si="7"/>
        <v>1988651.07568438</v>
      </c>
      <c r="AH403" s="313">
        <f t="shared" si="7"/>
        <v>4414816.6745468872</v>
      </c>
      <c r="AI403" s="313">
        <f t="shared" si="7"/>
        <v>3459640.28125</v>
      </c>
      <c r="AJ403" s="313">
        <f t="shared" si="7"/>
        <v>17497501.022079982</v>
      </c>
      <c r="AK403" s="313">
        <f t="shared" si="7"/>
        <v>6700904.2160280943</v>
      </c>
    </row>
    <row r="404" spans="4:37" x14ac:dyDescent="0.25">
      <c r="D404" s="311">
        <v>3198258</v>
      </c>
      <c r="R404" s="313">
        <f t="shared" si="6"/>
        <v>8</v>
      </c>
      <c r="S404" s="313">
        <f t="shared" si="7"/>
        <v>0.70000000000000007</v>
      </c>
      <c r="T404" s="313">
        <f t="shared" si="7"/>
        <v>7.3000000000000007</v>
      </c>
      <c r="U404" s="313">
        <f t="shared" si="7"/>
        <v>0</v>
      </c>
      <c r="V404" s="313">
        <f t="shared" si="7"/>
        <v>0</v>
      </c>
      <c r="W404" s="313">
        <f t="shared" si="7"/>
        <v>0</v>
      </c>
      <c r="X404" s="313">
        <f t="shared" si="7"/>
        <v>0</v>
      </c>
      <c r="Y404" s="313">
        <f t="shared" si="7"/>
        <v>0</v>
      </c>
      <c r="Z404" s="313">
        <f t="shared" si="7"/>
        <v>3720997.2994530061</v>
      </c>
      <c r="AA404" s="313">
        <f t="shared" si="7"/>
        <v>0</v>
      </c>
      <c r="AB404" s="313">
        <f t="shared" si="7"/>
        <v>149721.85177065615</v>
      </c>
      <c r="AC404" s="313">
        <f t="shared" si="7"/>
        <v>0</v>
      </c>
      <c r="AD404" s="313">
        <f t="shared" si="7"/>
        <v>3870719.1512236623</v>
      </c>
      <c r="AE404" s="313">
        <f t="shared" si="7"/>
        <v>0</v>
      </c>
      <c r="AF404" s="313">
        <f t="shared" si="7"/>
        <v>912272.53550893348</v>
      </c>
      <c r="AG404" s="313">
        <f t="shared" si="7"/>
        <v>0</v>
      </c>
      <c r="AH404" s="313">
        <f t="shared" si="7"/>
        <v>0</v>
      </c>
      <c r="AI404" s="313">
        <f t="shared" si="7"/>
        <v>0</v>
      </c>
      <c r="AJ404" s="313">
        <f t="shared" si="7"/>
        <v>912272.53550893348</v>
      </c>
      <c r="AK404" s="313">
        <f t="shared" si="7"/>
        <v>2958446.6157147288</v>
      </c>
    </row>
    <row r="405" spans="4:37" x14ac:dyDescent="0.25">
      <c r="D405" s="311">
        <v>3346325</v>
      </c>
      <c r="R405" s="313">
        <f t="shared" si="6"/>
        <v>4.0599999999999996</v>
      </c>
      <c r="S405" s="313">
        <f t="shared" si="7"/>
        <v>4</v>
      </c>
      <c r="T405" s="313">
        <f t="shared" si="7"/>
        <v>0</v>
      </c>
      <c r="U405" s="313">
        <f t="shared" si="7"/>
        <v>0.01</v>
      </c>
      <c r="V405" s="313">
        <f t="shared" si="7"/>
        <v>0.05</v>
      </c>
      <c r="W405" s="313">
        <f t="shared" si="7"/>
        <v>0</v>
      </c>
      <c r="X405" s="313">
        <f t="shared" si="7"/>
        <v>6</v>
      </c>
      <c r="Y405" s="313">
        <f t="shared" si="7"/>
        <v>0</v>
      </c>
      <c r="Z405" s="313">
        <f t="shared" si="7"/>
        <v>2901781.9754325808</v>
      </c>
      <c r="AA405" s="313">
        <f t="shared" si="7"/>
        <v>0</v>
      </c>
      <c r="AB405" s="313">
        <f t="shared" si="7"/>
        <v>247165.40151208456</v>
      </c>
      <c r="AC405" s="313">
        <f t="shared" si="7"/>
        <v>0</v>
      </c>
      <c r="AD405" s="313">
        <f t="shared" si="7"/>
        <v>3148947.3769446653</v>
      </c>
      <c r="AE405" s="313">
        <f t="shared" si="7"/>
        <v>0</v>
      </c>
      <c r="AF405" s="313">
        <f t="shared" si="7"/>
        <v>0</v>
      </c>
      <c r="AG405" s="313">
        <f t="shared" si="7"/>
        <v>0</v>
      </c>
      <c r="AH405" s="313">
        <f t="shared" si="7"/>
        <v>0</v>
      </c>
      <c r="AI405" s="313">
        <f t="shared" si="7"/>
        <v>0</v>
      </c>
      <c r="AJ405" s="313">
        <f t="shared" si="7"/>
        <v>0</v>
      </c>
      <c r="AK405" s="313">
        <f t="shared" si="7"/>
        <v>3148947.3769446653</v>
      </c>
    </row>
    <row r="406" spans="4:37" x14ac:dyDescent="0.25">
      <c r="D406" s="311">
        <v>3357963</v>
      </c>
      <c r="R406" s="313">
        <f t="shared" si="6"/>
        <v>1.9</v>
      </c>
      <c r="S406" s="313">
        <f t="shared" si="7"/>
        <v>0.1</v>
      </c>
      <c r="T406" s="313">
        <f t="shared" si="7"/>
        <v>1.1000000000000001</v>
      </c>
      <c r="U406" s="313">
        <f t="shared" si="7"/>
        <v>0.7</v>
      </c>
      <c r="V406" s="313">
        <f t="shared" si="7"/>
        <v>0</v>
      </c>
      <c r="W406" s="313">
        <f t="shared" si="7"/>
        <v>4</v>
      </c>
      <c r="X406" s="313">
        <f t="shared" si="7"/>
        <v>0</v>
      </c>
      <c r="Y406" s="313">
        <f t="shared" si="7"/>
        <v>0</v>
      </c>
      <c r="Z406" s="313">
        <f t="shared" si="7"/>
        <v>975185.74256391113</v>
      </c>
      <c r="AA406" s="313">
        <f t="shared" si="7"/>
        <v>0</v>
      </c>
      <c r="AB406" s="313">
        <f t="shared" si="7"/>
        <v>208465.92219127205</v>
      </c>
      <c r="AC406" s="313">
        <f t="shared" si="7"/>
        <v>113867.70370370371</v>
      </c>
      <c r="AD406" s="313">
        <f t="shared" si="7"/>
        <v>1297519.3684588871</v>
      </c>
      <c r="AE406" s="313">
        <f t="shared" si="7"/>
        <v>0</v>
      </c>
      <c r="AF406" s="313">
        <f t="shared" si="7"/>
        <v>229284.57829531204</v>
      </c>
      <c r="AG406" s="313">
        <f t="shared" si="7"/>
        <v>0</v>
      </c>
      <c r="AH406" s="313">
        <f t="shared" si="7"/>
        <v>153821.25</v>
      </c>
      <c r="AI406" s="313">
        <f t="shared" si="7"/>
        <v>95581.8</v>
      </c>
      <c r="AJ406" s="313">
        <f t="shared" si="7"/>
        <v>478687.628295312</v>
      </c>
      <c r="AK406" s="313">
        <f t="shared" si="7"/>
        <v>818831.74016357516</v>
      </c>
    </row>
    <row r="407" spans="4:37" x14ac:dyDescent="0.25">
      <c r="D407" s="311">
        <v>3446957</v>
      </c>
      <c r="R407" s="313">
        <f t="shared" si="6"/>
        <v>1.4</v>
      </c>
      <c r="S407" s="313">
        <f t="shared" si="7"/>
        <v>0.3</v>
      </c>
      <c r="T407" s="313">
        <f t="shared" si="7"/>
        <v>1</v>
      </c>
      <c r="U407" s="313">
        <f t="shared" si="7"/>
        <v>0</v>
      </c>
      <c r="V407" s="313">
        <f t="shared" si="7"/>
        <v>0.1</v>
      </c>
      <c r="W407" s="313">
        <f t="shared" si="7"/>
        <v>0</v>
      </c>
      <c r="X407" s="313">
        <f t="shared" si="7"/>
        <v>5</v>
      </c>
      <c r="Y407" s="313">
        <f t="shared" si="7"/>
        <v>0</v>
      </c>
      <c r="Z407" s="313">
        <f t="shared" si="7"/>
        <v>914068.92842786154</v>
      </c>
      <c r="AA407" s="313">
        <f t="shared" si="7"/>
        <v>0</v>
      </c>
      <c r="AB407" s="313">
        <f t="shared" si="7"/>
        <v>129119.95975609755</v>
      </c>
      <c r="AC407" s="313">
        <f t="shared" si="7"/>
        <v>24969</v>
      </c>
      <c r="AD407" s="313">
        <f t="shared" si="7"/>
        <v>1068157.8881839591</v>
      </c>
      <c r="AE407" s="313">
        <f t="shared" si="7"/>
        <v>0</v>
      </c>
      <c r="AF407" s="313">
        <f t="shared" si="7"/>
        <v>148382.81045751635</v>
      </c>
      <c r="AG407" s="313">
        <f t="shared" si="7"/>
        <v>0</v>
      </c>
      <c r="AH407" s="313">
        <f t="shared" si="7"/>
        <v>0</v>
      </c>
      <c r="AI407" s="313">
        <f t="shared" si="7"/>
        <v>27261.538461538461</v>
      </c>
      <c r="AJ407" s="313">
        <f t="shared" si="7"/>
        <v>175644.34891905481</v>
      </c>
      <c r="AK407" s="313">
        <f t="shared" si="7"/>
        <v>892513.53926490422</v>
      </c>
    </row>
    <row r="408" spans="4:37" x14ac:dyDescent="0.25">
      <c r="D408" s="311">
        <v>3454870</v>
      </c>
      <c r="R408" s="313">
        <f t="shared" si="6"/>
        <v>1.25</v>
      </c>
      <c r="S408" s="313">
        <f t="shared" si="7"/>
        <v>1</v>
      </c>
      <c r="T408" s="313">
        <f t="shared" si="7"/>
        <v>0</v>
      </c>
      <c r="U408" s="313">
        <f t="shared" si="7"/>
        <v>0</v>
      </c>
      <c r="V408" s="313">
        <f t="shared" si="7"/>
        <v>0.25</v>
      </c>
      <c r="W408" s="313">
        <f t="shared" si="7"/>
        <v>0</v>
      </c>
      <c r="X408" s="313">
        <f t="shared" si="7"/>
        <v>0</v>
      </c>
      <c r="Y408" s="313">
        <f t="shared" si="7"/>
        <v>0</v>
      </c>
      <c r="Z408" s="313">
        <f t="shared" si="7"/>
        <v>892535.21843834571</v>
      </c>
      <c r="AA408" s="313">
        <f t="shared" si="7"/>
        <v>0</v>
      </c>
      <c r="AB408" s="313">
        <f t="shared" si="7"/>
        <v>141670.04962495959</v>
      </c>
      <c r="AC408" s="313">
        <f t="shared" si="7"/>
        <v>0</v>
      </c>
      <c r="AD408" s="313">
        <f t="shared" si="7"/>
        <v>1034205.2680633053</v>
      </c>
      <c r="AE408" s="313">
        <f t="shared" si="7"/>
        <v>0</v>
      </c>
      <c r="AF408" s="313">
        <f t="shared" si="7"/>
        <v>0</v>
      </c>
      <c r="AG408" s="313">
        <f t="shared" si="7"/>
        <v>0</v>
      </c>
      <c r="AH408" s="313">
        <f t="shared" si="7"/>
        <v>0</v>
      </c>
      <c r="AI408" s="313">
        <f t="shared" si="7"/>
        <v>0</v>
      </c>
      <c r="AJ408" s="313">
        <f t="shared" si="7"/>
        <v>0</v>
      </c>
      <c r="AK408" s="313">
        <f t="shared" si="7"/>
        <v>1034205.2680633053</v>
      </c>
    </row>
    <row r="409" spans="4:37" x14ac:dyDescent="0.25">
      <c r="D409" s="311">
        <v>3473171</v>
      </c>
      <c r="R409" s="313">
        <f t="shared" si="6"/>
        <v>60.075000000000003</v>
      </c>
      <c r="S409" s="313">
        <f t="shared" si="7"/>
        <v>2.8</v>
      </c>
      <c r="T409" s="313">
        <f t="shared" si="7"/>
        <v>48.5</v>
      </c>
      <c r="U409" s="313">
        <f t="shared" si="7"/>
        <v>8</v>
      </c>
      <c r="V409" s="313">
        <f t="shared" si="7"/>
        <v>0.77500000000000002</v>
      </c>
      <c r="W409" s="313">
        <f t="shared" si="7"/>
        <v>111</v>
      </c>
      <c r="X409" s="313">
        <f t="shared" si="7"/>
        <v>0</v>
      </c>
      <c r="Y409" s="313">
        <f t="shared" si="7"/>
        <v>0</v>
      </c>
      <c r="Z409" s="313">
        <f t="shared" si="7"/>
        <v>30259140.953377604</v>
      </c>
      <c r="AA409" s="313">
        <f t="shared" si="7"/>
        <v>5890579.7592610037</v>
      </c>
      <c r="AB409" s="313">
        <f t="shared" si="7"/>
        <v>10769458.224035386</v>
      </c>
      <c r="AC409" s="313">
        <f t="shared" si="7"/>
        <v>6918017.2408183236</v>
      </c>
      <c r="AD409" s="313">
        <f t="shared" si="7"/>
        <v>53837196.177492321</v>
      </c>
      <c r="AE409" s="313">
        <f t="shared" si="7"/>
        <v>0</v>
      </c>
      <c r="AF409" s="313">
        <f t="shared" si="7"/>
        <v>11779359.502941176</v>
      </c>
      <c r="AG409" s="313">
        <f t="shared" si="7"/>
        <v>2924819.5294117643</v>
      </c>
      <c r="AH409" s="313">
        <f t="shared" si="7"/>
        <v>5309714.2105263164</v>
      </c>
      <c r="AI409" s="313">
        <f t="shared" si="7"/>
        <v>5024931.1500000004</v>
      </c>
      <c r="AJ409" s="313">
        <f t="shared" si="7"/>
        <v>25038824.392879255</v>
      </c>
      <c r="AK409" s="313">
        <f t="shared" si="7"/>
        <v>28798371.784613065</v>
      </c>
    </row>
    <row r="410" spans="4:37" x14ac:dyDescent="0.25">
      <c r="D410" s="311">
        <v>3523407</v>
      </c>
      <c r="R410" s="313">
        <f t="shared" si="6"/>
        <v>0</v>
      </c>
      <c r="S410" s="313">
        <f t="shared" si="7"/>
        <v>0</v>
      </c>
      <c r="T410" s="313">
        <f t="shared" si="7"/>
        <v>0</v>
      </c>
      <c r="U410" s="313">
        <f t="shared" si="7"/>
        <v>0</v>
      </c>
      <c r="V410" s="313">
        <f t="shared" si="7"/>
        <v>0</v>
      </c>
      <c r="W410" s="313">
        <f t="shared" si="7"/>
        <v>0</v>
      </c>
      <c r="X410" s="313">
        <f t="shared" si="7"/>
        <v>0</v>
      </c>
      <c r="Y410" s="313">
        <f t="shared" si="7"/>
        <v>0</v>
      </c>
      <c r="Z410" s="313">
        <f t="shared" si="7"/>
        <v>0</v>
      </c>
      <c r="AA410" s="313">
        <f t="shared" si="7"/>
        <v>0</v>
      </c>
      <c r="AB410" s="313">
        <f t="shared" si="7"/>
        <v>0</v>
      </c>
      <c r="AC410" s="313">
        <f t="shared" si="7"/>
        <v>0</v>
      </c>
      <c r="AD410" s="313">
        <f t="shared" si="7"/>
        <v>0</v>
      </c>
      <c r="AE410" s="313">
        <f t="shared" si="7"/>
        <v>0</v>
      </c>
      <c r="AF410" s="313">
        <f t="shared" si="7"/>
        <v>0</v>
      </c>
      <c r="AG410" s="313">
        <f t="shared" si="7"/>
        <v>0</v>
      </c>
      <c r="AH410" s="313">
        <f t="shared" si="7"/>
        <v>0</v>
      </c>
      <c r="AI410" s="313">
        <f t="shared" si="7"/>
        <v>0</v>
      </c>
      <c r="AJ410" s="313">
        <f t="shared" si="7"/>
        <v>0</v>
      </c>
      <c r="AK410" s="313">
        <f t="shared" si="7"/>
        <v>0</v>
      </c>
    </row>
    <row r="411" spans="4:37" x14ac:dyDescent="0.25">
      <c r="D411" s="311">
        <v>3529182</v>
      </c>
      <c r="R411" s="313">
        <f t="shared" si="6"/>
        <v>18.3</v>
      </c>
      <c r="S411" s="313">
        <f t="shared" si="7"/>
        <v>2</v>
      </c>
      <c r="T411" s="313">
        <f t="shared" si="7"/>
        <v>10</v>
      </c>
      <c r="U411" s="313">
        <f t="shared" si="7"/>
        <v>6.3</v>
      </c>
      <c r="V411" s="313">
        <f t="shared" si="7"/>
        <v>0</v>
      </c>
      <c r="W411" s="313">
        <f t="shared" si="7"/>
        <v>48</v>
      </c>
      <c r="X411" s="313">
        <f t="shared" si="7"/>
        <v>0</v>
      </c>
      <c r="Y411" s="313">
        <f t="shared" si="7"/>
        <v>0</v>
      </c>
      <c r="Z411" s="313">
        <f t="shared" si="7"/>
        <v>7126773.8035864625</v>
      </c>
      <c r="AA411" s="313">
        <f t="shared" si="7"/>
        <v>4640891.7858073916</v>
      </c>
      <c r="AB411" s="313">
        <f t="shared" si="7"/>
        <v>4447084.186640216</v>
      </c>
      <c r="AC411" s="313">
        <f t="shared" si="7"/>
        <v>3121080.4654911486</v>
      </c>
      <c r="AD411" s="313">
        <f t="shared" si="7"/>
        <v>19335830.241525218</v>
      </c>
      <c r="AE411" s="313">
        <f t="shared" si="7"/>
        <v>0</v>
      </c>
      <c r="AF411" s="313">
        <f t="shared" si="7"/>
        <v>5388983.287481444</v>
      </c>
      <c r="AG411" s="313">
        <f t="shared" si="7"/>
        <v>1403753.7004830916</v>
      </c>
      <c r="AH411" s="313">
        <f t="shared" si="7"/>
        <v>3116341.1820330969</v>
      </c>
      <c r="AI411" s="313">
        <f t="shared" si="7"/>
        <v>2442099.0220588236</v>
      </c>
      <c r="AJ411" s="313">
        <f t="shared" si="7"/>
        <v>12351177.192056457</v>
      </c>
      <c r="AK411" s="313">
        <f t="shared" si="7"/>
        <v>6984653.0494687613</v>
      </c>
    </row>
    <row r="412" spans="4:37" x14ac:dyDescent="0.25">
      <c r="D412" s="311">
        <v>3588592</v>
      </c>
      <c r="R412" s="313">
        <f t="shared" si="6"/>
        <v>2</v>
      </c>
      <c r="S412" s="313">
        <f t="shared" si="7"/>
        <v>2</v>
      </c>
      <c r="T412" s="313">
        <f t="shared" si="7"/>
        <v>0</v>
      </c>
      <c r="U412" s="313">
        <f t="shared" ref="S412:AK425" si="8">SUMIFS(U$4:U$326,$D$4:$D$326,$D412)</f>
        <v>0</v>
      </c>
      <c r="V412" s="313">
        <f t="shared" si="8"/>
        <v>0</v>
      </c>
      <c r="W412" s="313">
        <f t="shared" si="8"/>
        <v>0</v>
      </c>
      <c r="X412" s="313">
        <f t="shared" si="8"/>
        <v>0</v>
      </c>
      <c r="Y412" s="313">
        <f t="shared" si="8"/>
        <v>0</v>
      </c>
      <c r="Z412" s="313">
        <f t="shared" si="8"/>
        <v>1173988.3653685269</v>
      </c>
      <c r="AA412" s="313">
        <f t="shared" si="8"/>
        <v>0</v>
      </c>
      <c r="AB412" s="313">
        <f t="shared" si="8"/>
        <v>85322.330424576445</v>
      </c>
      <c r="AC412" s="313">
        <f t="shared" si="8"/>
        <v>0</v>
      </c>
      <c r="AD412" s="313">
        <f t="shared" si="8"/>
        <v>1259310.6957931032</v>
      </c>
      <c r="AE412" s="313">
        <f t="shared" si="8"/>
        <v>0</v>
      </c>
      <c r="AF412" s="313">
        <f t="shared" si="8"/>
        <v>0</v>
      </c>
      <c r="AG412" s="313">
        <f t="shared" si="8"/>
        <v>0</v>
      </c>
      <c r="AH412" s="313">
        <f t="shared" si="8"/>
        <v>0</v>
      </c>
      <c r="AI412" s="313">
        <f t="shared" si="8"/>
        <v>0</v>
      </c>
      <c r="AJ412" s="313">
        <f t="shared" si="8"/>
        <v>0</v>
      </c>
      <c r="AK412" s="313">
        <f t="shared" si="8"/>
        <v>1259310.6957931032</v>
      </c>
    </row>
    <row r="413" spans="4:37" x14ac:dyDescent="0.25">
      <c r="D413" s="311">
        <v>3595008</v>
      </c>
      <c r="R413" s="313">
        <f t="shared" si="6"/>
        <v>6</v>
      </c>
      <c r="S413" s="313">
        <f t="shared" si="8"/>
        <v>4</v>
      </c>
      <c r="T413" s="313">
        <f t="shared" si="8"/>
        <v>2</v>
      </c>
      <c r="U413" s="313">
        <f t="shared" si="8"/>
        <v>0</v>
      </c>
      <c r="V413" s="313">
        <f t="shared" si="8"/>
        <v>0</v>
      </c>
      <c r="W413" s="313">
        <f t="shared" si="8"/>
        <v>0</v>
      </c>
      <c r="X413" s="313">
        <f t="shared" si="8"/>
        <v>0</v>
      </c>
      <c r="Y413" s="313">
        <f t="shared" si="8"/>
        <v>0</v>
      </c>
      <c r="Z413" s="313">
        <f t="shared" si="8"/>
        <v>3669954.6833022637</v>
      </c>
      <c r="AA413" s="313">
        <f t="shared" si="8"/>
        <v>0</v>
      </c>
      <c r="AB413" s="313">
        <f t="shared" si="8"/>
        <v>248780.80489822422</v>
      </c>
      <c r="AC413" s="313">
        <f t="shared" si="8"/>
        <v>0</v>
      </c>
      <c r="AD413" s="313">
        <f t="shared" si="8"/>
        <v>3918735.488200488</v>
      </c>
      <c r="AE413" s="313">
        <f t="shared" si="8"/>
        <v>0</v>
      </c>
      <c r="AF413" s="313">
        <f t="shared" si="8"/>
        <v>0</v>
      </c>
      <c r="AG413" s="313">
        <f t="shared" si="8"/>
        <v>0</v>
      </c>
      <c r="AH413" s="313">
        <f t="shared" si="8"/>
        <v>0</v>
      </c>
      <c r="AI413" s="313">
        <f t="shared" si="8"/>
        <v>0</v>
      </c>
      <c r="AJ413" s="313">
        <f t="shared" si="8"/>
        <v>0</v>
      </c>
      <c r="AK413" s="313">
        <f t="shared" si="8"/>
        <v>3918735.488200488</v>
      </c>
    </row>
    <row r="414" spans="4:37" x14ac:dyDescent="0.25">
      <c r="D414" s="311">
        <v>3597628</v>
      </c>
      <c r="R414" s="313">
        <f t="shared" si="6"/>
        <v>9</v>
      </c>
      <c r="S414" s="313">
        <f t="shared" si="8"/>
        <v>1</v>
      </c>
      <c r="T414" s="313">
        <f t="shared" si="8"/>
        <v>8</v>
      </c>
      <c r="U414" s="313">
        <f t="shared" si="8"/>
        <v>0</v>
      </c>
      <c r="V414" s="313">
        <f t="shared" si="8"/>
        <v>0</v>
      </c>
      <c r="W414" s="313">
        <f t="shared" si="8"/>
        <v>0</v>
      </c>
      <c r="X414" s="313">
        <f t="shared" si="8"/>
        <v>0</v>
      </c>
      <c r="Y414" s="313">
        <f t="shared" si="8"/>
        <v>0</v>
      </c>
      <c r="Z414" s="313">
        <f t="shared" si="8"/>
        <v>4527840.0205401815</v>
      </c>
      <c r="AA414" s="313">
        <f t="shared" si="8"/>
        <v>0</v>
      </c>
      <c r="AB414" s="313">
        <f t="shared" si="8"/>
        <v>359875.75124521088</v>
      </c>
      <c r="AC414" s="313">
        <f t="shared" si="8"/>
        <v>0</v>
      </c>
      <c r="AD414" s="313">
        <f t="shared" si="8"/>
        <v>4887715.7717853924</v>
      </c>
      <c r="AE414" s="313">
        <f t="shared" si="8"/>
        <v>0</v>
      </c>
      <c r="AF414" s="313">
        <f t="shared" si="8"/>
        <v>1110041.8823529412</v>
      </c>
      <c r="AG414" s="313">
        <f t="shared" si="8"/>
        <v>0</v>
      </c>
      <c r="AH414" s="313">
        <f t="shared" si="8"/>
        <v>0</v>
      </c>
      <c r="AI414" s="313">
        <f t="shared" si="8"/>
        <v>0</v>
      </c>
      <c r="AJ414" s="313">
        <f t="shared" si="8"/>
        <v>1110041.8823529412</v>
      </c>
      <c r="AK414" s="313">
        <f t="shared" si="8"/>
        <v>3777673.8894324512</v>
      </c>
    </row>
    <row r="415" spans="4:37" x14ac:dyDescent="0.25">
      <c r="D415" s="311">
        <v>3619533</v>
      </c>
      <c r="R415" s="313">
        <f t="shared" si="6"/>
        <v>16</v>
      </c>
      <c r="S415" s="313">
        <f t="shared" si="8"/>
        <v>1</v>
      </c>
      <c r="T415" s="313">
        <f t="shared" si="8"/>
        <v>10</v>
      </c>
      <c r="U415" s="313">
        <f t="shared" si="8"/>
        <v>5</v>
      </c>
      <c r="V415" s="313">
        <f t="shared" si="8"/>
        <v>0</v>
      </c>
      <c r="W415" s="313">
        <f t="shared" si="8"/>
        <v>35</v>
      </c>
      <c r="X415" s="313">
        <f t="shared" si="8"/>
        <v>0</v>
      </c>
      <c r="Y415" s="313">
        <f t="shared" si="8"/>
        <v>0</v>
      </c>
      <c r="Z415" s="313">
        <f t="shared" si="8"/>
        <v>6532875.9866209235</v>
      </c>
      <c r="AA415" s="313">
        <f t="shared" si="8"/>
        <v>3683247.4490534849</v>
      </c>
      <c r="AB415" s="313">
        <f t="shared" si="8"/>
        <v>3242665.5527584911</v>
      </c>
      <c r="AC415" s="313">
        <f t="shared" si="8"/>
        <v>2275787.8394206292</v>
      </c>
      <c r="AD415" s="313">
        <f t="shared" si="8"/>
        <v>15734576.827853529</v>
      </c>
      <c r="AE415" s="313">
        <f t="shared" si="8"/>
        <v>0</v>
      </c>
      <c r="AF415" s="313">
        <f t="shared" si="8"/>
        <v>3929466.9804552197</v>
      </c>
      <c r="AG415" s="313">
        <f t="shared" si="8"/>
        <v>1023570.4066022544</v>
      </c>
      <c r="AH415" s="313">
        <f t="shared" si="8"/>
        <v>2272332.1118991333</v>
      </c>
      <c r="AI415" s="313">
        <f t="shared" si="8"/>
        <v>1780697.2035845588</v>
      </c>
      <c r="AJ415" s="313">
        <f t="shared" si="8"/>
        <v>9006066.7025411669</v>
      </c>
      <c r="AK415" s="313">
        <f t="shared" si="8"/>
        <v>6728510.1253123619</v>
      </c>
    </row>
    <row r="416" spans="4:37" x14ac:dyDescent="0.25">
      <c r="D416" s="311">
        <v>3650770</v>
      </c>
      <c r="R416" s="313">
        <f t="shared" si="6"/>
        <v>3.6</v>
      </c>
      <c r="S416" s="313">
        <f t="shared" si="8"/>
        <v>1.6</v>
      </c>
      <c r="T416" s="313">
        <f t="shared" si="8"/>
        <v>2</v>
      </c>
      <c r="U416" s="313">
        <f t="shared" si="8"/>
        <v>0</v>
      </c>
      <c r="V416" s="313">
        <f t="shared" si="8"/>
        <v>0</v>
      </c>
      <c r="W416" s="313">
        <f t="shared" si="8"/>
        <v>0</v>
      </c>
      <c r="X416" s="313">
        <f t="shared" si="8"/>
        <v>0</v>
      </c>
      <c r="Y416" s="313">
        <f t="shared" si="8"/>
        <v>0</v>
      </c>
      <c r="Z416" s="313">
        <f t="shared" si="8"/>
        <v>2201972.8099813582</v>
      </c>
      <c r="AA416" s="313">
        <f t="shared" si="8"/>
        <v>0</v>
      </c>
      <c r="AB416" s="313">
        <f t="shared" si="8"/>
        <v>149268.48293893453</v>
      </c>
      <c r="AC416" s="313">
        <f t="shared" si="8"/>
        <v>0</v>
      </c>
      <c r="AD416" s="313">
        <f t="shared" si="8"/>
        <v>2351241.2929202928</v>
      </c>
      <c r="AE416" s="313">
        <f t="shared" si="8"/>
        <v>0</v>
      </c>
      <c r="AF416" s="313">
        <f t="shared" si="8"/>
        <v>0</v>
      </c>
      <c r="AG416" s="313">
        <f t="shared" si="8"/>
        <v>0</v>
      </c>
      <c r="AH416" s="313">
        <f t="shared" si="8"/>
        <v>0</v>
      </c>
      <c r="AI416" s="313">
        <f t="shared" si="8"/>
        <v>0</v>
      </c>
      <c r="AJ416" s="313">
        <f t="shared" si="8"/>
        <v>0</v>
      </c>
      <c r="AK416" s="313">
        <f t="shared" si="8"/>
        <v>2351241.2929202928</v>
      </c>
    </row>
    <row r="417" spans="4:37" x14ac:dyDescent="0.25">
      <c r="D417" s="311">
        <v>3673053</v>
      </c>
      <c r="R417" s="313">
        <f t="shared" si="6"/>
        <v>16.649999999999999</v>
      </c>
      <c r="S417" s="313">
        <f t="shared" si="8"/>
        <v>2.65</v>
      </c>
      <c r="T417" s="313">
        <f t="shared" si="8"/>
        <v>13.4</v>
      </c>
      <c r="U417" s="313">
        <f t="shared" si="8"/>
        <v>0</v>
      </c>
      <c r="V417" s="313">
        <f t="shared" si="8"/>
        <v>0.6</v>
      </c>
      <c r="W417" s="313">
        <f t="shared" si="8"/>
        <v>0</v>
      </c>
      <c r="X417" s="313">
        <f t="shared" si="8"/>
        <v>32</v>
      </c>
      <c r="Y417" s="313">
        <f t="shared" si="8"/>
        <v>0</v>
      </c>
      <c r="Z417" s="313">
        <f t="shared" si="8"/>
        <v>10870891.184517067</v>
      </c>
      <c r="AA417" s="313">
        <f t="shared" si="8"/>
        <v>0</v>
      </c>
      <c r="AB417" s="313">
        <f t="shared" si="8"/>
        <v>826367.74243902438</v>
      </c>
      <c r="AC417" s="313">
        <f t="shared" si="8"/>
        <v>159801.60000000001</v>
      </c>
      <c r="AD417" s="313">
        <f t="shared" si="8"/>
        <v>11857060.526956091</v>
      </c>
      <c r="AE417" s="313">
        <f t="shared" si="8"/>
        <v>0</v>
      </c>
      <c r="AF417" s="313">
        <f t="shared" si="8"/>
        <v>1888508.4967320259</v>
      </c>
      <c r="AG417" s="313">
        <f t="shared" si="8"/>
        <v>0</v>
      </c>
      <c r="AH417" s="313">
        <f t="shared" si="8"/>
        <v>0</v>
      </c>
      <c r="AI417" s="313">
        <f t="shared" si="8"/>
        <v>174473.84615384616</v>
      </c>
      <c r="AJ417" s="313">
        <f t="shared" si="8"/>
        <v>2062982.3428858721</v>
      </c>
      <c r="AK417" s="313">
        <f t="shared" si="8"/>
        <v>9794078.1840702184</v>
      </c>
    </row>
    <row r="418" spans="4:37" x14ac:dyDescent="0.25">
      <c r="D418" s="311">
        <v>3713907</v>
      </c>
      <c r="R418" s="313">
        <f t="shared" si="6"/>
        <v>37.299999999999997</v>
      </c>
      <c r="S418" s="313">
        <f t="shared" si="8"/>
        <v>1.9</v>
      </c>
      <c r="T418" s="313">
        <f t="shared" si="8"/>
        <v>27.4</v>
      </c>
      <c r="U418" s="313">
        <f t="shared" si="8"/>
        <v>8</v>
      </c>
      <c r="V418" s="313">
        <f t="shared" si="8"/>
        <v>0</v>
      </c>
      <c r="W418" s="313">
        <f t="shared" si="8"/>
        <v>74</v>
      </c>
      <c r="X418" s="313">
        <f t="shared" si="8"/>
        <v>0</v>
      </c>
      <c r="Y418" s="313">
        <f t="shared" si="8"/>
        <v>0</v>
      </c>
      <c r="Z418" s="313">
        <f t="shared" si="8"/>
        <v>17025306.383753505</v>
      </c>
      <c r="AA418" s="313">
        <f t="shared" si="8"/>
        <v>5890579.7592610037</v>
      </c>
      <c r="AB418" s="313">
        <f t="shared" si="8"/>
        <v>7179638.816023591</v>
      </c>
      <c r="AC418" s="313">
        <f t="shared" si="8"/>
        <v>4612011.4938788824</v>
      </c>
      <c r="AD418" s="313">
        <f t="shared" si="8"/>
        <v>34707536.45291698</v>
      </c>
      <c r="AE418" s="313">
        <f t="shared" si="8"/>
        <v>0</v>
      </c>
      <c r="AF418" s="313">
        <f t="shared" si="8"/>
        <v>7852906.3352941182</v>
      </c>
      <c r="AG418" s="313">
        <f t="shared" si="8"/>
        <v>1949879.6862745096</v>
      </c>
      <c r="AH418" s="313">
        <f t="shared" si="8"/>
        <v>3539809.4736842108</v>
      </c>
      <c r="AI418" s="313">
        <f t="shared" si="8"/>
        <v>3349954.1</v>
      </c>
      <c r="AJ418" s="313">
        <f t="shared" si="8"/>
        <v>16692549.595252838</v>
      </c>
      <c r="AK418" s="313">
        <f t="shared" si="8"/>
        <v>18014986.857664142</v>
      </c>
    </row>
    <row r="419" spans="4:37" x14ac:dyDescent="0.25">
      <c r="D419" s="311">
        <v>3736692</v>
      </c>
      <c r="R419" s="313">
        <f t="shared" si="6"/>
        <v>1.25</v>
      </c>
      <c r="S419" s="313">
        <f t="shared" si="8"/>
        <v>0.5</v>
      </c>
      <c r="T419" s="313">
        <f t="shared" si="8"/>
        <v>0.75</v>
      </c>
      <c r="U419" s="313">
        <f t="shared" si="8"/>
        <v>0</v>
      </c>
      <c r="V419" s="313">
        <f t="shared" si="8"/>
        <v>0</v>
      </c>
      <c r="W419" s="313">
        <f t="shared" si="8"/>
        <v>0</v>
      </c>
      <c r="X419" s="313">
        <f t="shared" si="8"/>
        <v>0</v>
      </c>
      <c r="Y419" s="313">
        <f t="shared" si="8"/>
        <v>0</v>
      </c>
      <c r="Z419" s="313">
        <f t="shared" si="8"/>
        <v>706975.23148148146</v>
      </c>
      <c r="AA419" s="313">
        <f t="shared" si="8"/>
        <v>0</v>
      </c>
      <c r="AB419" s="313">
        <f t="shared" si="8"/>
        <v>50747.725251722921</v>
      </c>
      <c r="AC419" s="313">
        <f t="shared" si="8"/>
        <v>0</v>
      </c>
      <c r="AD419" s="313">
        <f t="shared" si="8"/>
        <v>757722.95673320442</v>
      </c>
      <c r="AE419" s="313">
        <f t="shared" si="8"/>
        <v>0</v>
      </c>
      <c r="AF419" s="313">
        <f t="shared" si="8"/>
        <v>64209.269521410584</v>
      </c>
      <c r="AG419" s="313">
        <f t="shared" si="8"/>
        <v>0</v>
      </c>
      <c r="AH419" s="313">
        <f t="shared" si="8"/>
        <v>0</v>
      </c>
      <c r="AI419" s="313">
        <f t="shared" si="8"/>
        <v>0</v>
      </c>
      <c r="AJ419" s="313">
        <f t="shared" si="8"/>
        <v>64209.269521410584</v>
      </c>
      <c r="AK419" s="313">
        <f t="shared" si="8"/>
        <v>693513.68721179385</v>
      </c>
    </row>
    <row r="420" spans="4:37" x14ac:dyDescent="0.25">
      <c r="D420" s="311">
        <v>3741470</v>
      </c>
      <c r="R420" s="313">
        <f t="shared" si="6"/>
        <v>7.5</v>
      </c>
      <c r="S420" s="313">
        <f t="shared" si="8"/>
        <v>7.5</v>
      </c>
      <c r="T420" s="313">
        <f t="shared" si="8"/>
        <v>0</v>
      </c>
      <c r="U420" s="313">
        <f t="shared" si="8"/>
        <v>0</v>
      </c>
      <c r="V420" s="313">
        <f t="shared" si="8"/>
        <v>0</v>
      </c>
      <c r="W420" s="313">
        <f t="shared" si="8"/>
        <v>0</v>
      </c>
      <c r="X420" s="313">
        <f t="shared" si="8"/>
        <v>0</v>
      </c>
      <c r="Y420" s="313">
        <f t="shared" si="8"/>
        <v>0</v>
      </c>
      <c r="Z420" s="313">
        <f t="shared" si="8"/>
        <v>4587443.354127829</v>
      </c>
      <c r="AA420" s="313">
        <f t="shared" si="8"/>
        <v>0</v>
      </c>
      <c r="AB420" s="313">
        <f t="shared" si="8"/>
        <v>310976.00612278027</v>
      </c>
      <c r="AC420" s="313">
        <f t="shared" si="8"/>
        <v>0</v>
      </c>
      <c r="AD420" s="313">
        <f t="shared" si="8"/>
        <v>4898419.3602506099</v>
      </c>
      <c r="AE420" s="313">
        <f t="shared" si="8"/>
        <v>0</v>
      </c>
      <c r="AF420" s="313">
        <f t="shared" si="8"/>
        <v>0</v>
      </c>
      <c r="AG420" s="313">
        <f t="shared" si="8"/>
        <v>0</v>
      </c>
      <c r="AH420" s="313">
        <f t="shared" si="8"/>
        <v>0</v>
      </c>
      <c r="AI420" s="313">
        <f t="shared" si="8"/>
        <v>0</v>
      </c>
      <c r="AJ420" s="313">
        <f t="shared" si="8"/>
        <v>0</v>
      </c>
      <c r="AK420" s="313">
        <f t="shared" si="8"/>
        <v>4898419.3602506099</v>
      </c>
    </row>
    <row r="421" spans="4:37" x14ac:dyDescent="0.25">
      <c r="D421" s="311">
        <v>3754207</v>
      </c>
      <c r="R421" s="313">
        <f t="shared" si="6"/>
        <v>42.26</v>
      </c>
      <c r="S421" s="313">
        <f t="shared" si="8"/>
        <v>3.04</v>
      </c>
      <c r="T421" s="313">
        <f t="shared" si="8"/>
        <v>30.86</v>
      </c>
      <c r="U421" s="313">
        <f t="shared" si="8"/>
        <v>8.36</v>
      </c>
      <c r="V421" s="313">
        <f t="shared" si="8"/>
        <v>0</v>
      </c>
      <c r="W421" s="313">
        <f t="shared" si="8"/>
        <v>78</v>
      </c>
      <c r="X421" s="313">
        <f t="shared" si="8"/>
        <v>0</v>
      </c>
      <c r="Y421" s="313">
        <f t="shared" si="8"/>
        <v>0</v>
      </c>
      <c r="Z421" s="313">
        <f t="shared" si="8"/>
        <v>19686771.924220186</v>
      </c>
      <c r="AA421" s="313">
        <f t="shared" si="8"/>
        <v>6133823.2172180275</v>
      </c>
      <c r="AB421" s="313">
        <f t="shared" si="8"/>
        <v>7122478.9981125928</v>
      </c>
      <c r="AC421" s="313">
        <f t="shared" si="8"/>
        <v>4781113.7803947311</v>
      </c>
      <c r="AD421" s="313">
        <f t="shared" si="8"/>
        <v>37724187.919945538</v>
      </c>
      <c r="AE421" s="313">
        <f t="shared" si="8"/>
        <v>0</v>
      </c>
      <c r="AF421" s="313">
        <f t="shared" si="8"/>
        <v>9365321.1600000001</v>
      </c>
      <c r="AG421" s="313">
        <f t="shared" si="8"/>
        <v>1753603.5074999998</v>
      </c>
      <c r="AH421" s="313">
        <f t="shared" si="8"/>
        <v>4714462.5517241377</v>
      </c>
      <c r="AI421" s="313">
        <f t="shared" si="8"/>
        <v>3978105.3</v>
      </c>
      <c r="AJ421" s="313">
        <f t="shared" si="8"/>
        <v>19811492.519224137</v>
      </c>
      <c r="AK421" s="313">
        <f t="shared" si="8"/>
        <v>17912695.400721401</v>
      </c>
    </row>
    <row r="422" spans="4:37" x14ac:dyDescent="0.25">
      <c r="D422" s="311">
        <v>3810187</v>
      </c>
      <c r="R422" s="313">
        <f t="shared" si="6"/>
        <v>9</v>
      </c>
      <c r="S422" s="313">
        <f t="shared" si="8"/>
        <v>1</v>
      </c>
      <c r="T422" s="313">
        <f t="shared" si="8"/>
        <v>8</v>
      </c>
      <c r="U422" s="313">
        <f t="shared" si="8"/>
        <v>0</v>
      </c>
      <c r="V422" s="313">
        <f t="shared" si="8"/>
        <v>0</v>
      </c>
      <c r="W422" s="313">
        <f t="shared" si="8"/>
        <v>0</v>
      </c>
      <c r="X422" s="313">
        <f t="shared" si="8"/>
        <v>0</v>
      </c>
      <c r="Y422" s="313">
        <f t="shared" si="8"/>
        <v>0</v>
      </c>
      <c r="Z422" s="313">
        <f t="shared" si="8"/>
        <v>4527840.0205401815</v>
      </c>
      <c r="AA422" s="313">
        <f t="shared" si="8"/>
        <v>0</v>
      </c>
      <c r="AB422" s="313">
        <f t="shared" si="8"/>
        <v>359875.75124521088</v>
      </c>
      <c r="AC422" s="313">
        <f t="shared" si="8"/>
        <v>0</v>
      </c>
      <c r="AD422" s="313">
        <f t="shared" si="8"/>
        <v>4887715.7717853924</v>
      </c>
      <c r="AE422" s="313">
        <f t="shared" si="8"/>
        <v>0</v>
      </c>
      <c r="AF422" s="313">
        <f t="shared" si="8"/>
        <v>1110041.8823529412</v>
      </c>
      <c r="AG422" s="313">
        <f t="shared" si="8"/>
        <v>0</v>
      </c>
      <c r="AH422" s="313">
        <f t="shared" si="8"/>
        <v>0</v>
      </c>
      <c r="AI422" s="313">
        <f t="shared" si="8"/>
        <v>0</v>
      </c>
      <c r="AJ422" s="313">
        <f t="shared" si="8"/>
        <v>1110041.8823529412</v>
      </c>
      <c r="AK422" s="313">
        <f t="shared" si="8"/>
        <v>3777673.8894324512</v>
      </c>
    </row>
    <row r="423" spans="4:37" x14ac:dyDescent="0.25">
      <c r="D423" s="311">
        <v>3854293</v>
      </c>
      <c r="R423" s="313">
        <f t="shared" si="6"/>
        <v>0</v>
      </c>
      <c r="S423" s="313">
        <f t="shared" si="8"/>
        <v>0</v>
      </c>
      <c r="T423" s="313">
        <f t="shared" si="8"/>
        <v>0</v>
      </c>
      <c r="U423" s="313">
        <f t="shared" si="8"/>
        <v>0</v>
      </c>
      <c r="V423" s="313">
        <f t="shared" si="8"/>
        <v>0</v>
      </c>
      <c r="W423" s="313">
        <f t="shared" si="8"/>
        <v>0</v>
      </c>
      <c r="X423" s="313">
        <f t="shared" si="8"/>
        <v>0</v>
      </c>
      <c r="Y423" s="313">
        <f t="shared" si="8"/>
        <v>0</v>
      </c>
      <c r="Z423" s="313">
        <f t="shared" si="8"/>
        <v>0</v>
      </c>
      <c r="AA423" s="313">
        <f t="shared" si="8"/>
        <v>0</v>
      </c>
      <c r="AB423" s="313">
        <f t="shared" si="8"/>
        <v>0</v>
      </c>
      <c r="AC423" s="313">
        <f t="shared" si="8"/>
        <v>0</v>
      </c>
      <c r="AD423" s="313">
        <f t="shared" si="8"/>
        <v>0</v>
      </c>
      <c r="AE423" s="313">
        <f t="shared" si="8"/>
        <v>0</v>
      </c>
      <c r="AF423" s="313">
        <f t="shared" si="8"/>
        <v>0</v>
      </c>
      <c r="AG423" s="313">
        <f t="shared" si="8"/>
        <v>0</v>
      </c>
      <c r="AH423" s="313">
        <f t="shared" si="8"/>
        <v>0</v>
      </c>
      <c r="AI423" s="313">
        <f t="shared" si="8"/>
        <v>0</v>
      </c>
      <c r="AJ423" s="313">
        <f t="shared" si="8"/>
        <v>0</v>
      </c>
      <c r="AK423" s="313">
        <f t="shared" si="8"/>
        <v>0</v>
      </c>
    </row>
    <row r="424" spans="4:37" x14ac:dyDescent="0.25">
      <c r="D424" s="311">
        <v>3921078</v>
      </c>
      <c r="R424" s="313">
        <f t="shared" si="6"/>
        <v>0.95</v>
      </c>
      <c r="S424" s="313">
        <f t="shared" si="8"/>
        <v>0.1</v>
      </c>
      <c r="T424" s="313">
        <f t="shared" si="8"/>
        <v>0.85</v>
      </c>
      <c r="U424" s="313">
        <f t="shared" si="8"/>
        <v>0</v>
      </c>
      <c r="V424" s="313">
        <f t="shared" si="8"/>
        <v>0</v>
      </c>
      <c r="W424" s="313">
        <f t="shared" si="8"/>
        <v>0</v>
      </c>
      <c r="X424" s="313">
        <f t="shared" si="8"/>
        <v>3</v>
      </c>
      <c r="Y424" s="313">
        <f t="shared" si="8"/>
        <v>0</v>
      </c>
      <c r="Z424" s="313">
        <f t="shared" si="8"/>
        <v>477938.66883479699</v>
      </c>
      <c r="AA424" s="313">
        <f t="shared" si="8"/>
        <v>0</v>
      </c>
      <c r="AB424" s="313">
        <f t="shared" si="8"/>
        <v>37986.884853661148</v>
      </c>
      <c r="AC424" s="313">
        <f t="shared" si="8"/>
        <v>0</v>
      </c>
      <c r="AD424" s="313">
        <f t="shared" si="8"/>
        <v>515925.55368845817</v>
      </c>
      <c r="AE424" s="313">
        <f t="shared" si="8"/>
        <v>0</v>
      </c>
      <c r="AF424" s="313">
        <f t="shared" si="8"/>
        <v>117941.95</v>
      </c>
      <c r="AG424" s="313">
        <f t="shared" si="8"/>
        <v>0</v>
      </c>
      <c r="AH424" s="313">
        <f t="shared" si="8"/>
        <v>0</v>
      </c>
      <c r="AI424" s="313">
        <f t="shared" si="8"/>
        <v>0</v>
      </c>
      <c r="AJ424" s="313">
        <f t="shared" si="8"/>
        <v>117941.95</v>
      </c>
      <c r="AK424" s="313">
        <f t="shared" si="8"/>
        <v>397983.60368845816</v>
      </c>
    </row>
    <row r="425" spans="4:37" x14ac:dyDescent="0.25">
      <c r="D425" s="311">
        <v>3943362</v>
      </c>
      <c r="R425" s="313">
        <f t="shared" si="6"/>
        <v>22</v>
      </c>
      <c r="S425" s="313">
        <f t="shared" si="8"/>
        <v>2</v>
      </c>
      <c r="T425" s="313">
        <f t="shared" si="8"/>
        <v>12</v>
      </c>
      <c r="U425" s="313">
        <f t="shared" si="8"/>
        <v>8</v>
      </c>
      <c r="V425" s="313">
        <f t="shared" si="8"/>
        <v>0</v>
      </c>
      <c r="W425" s="313">
        <f t="shared" si="8"/>
        <v>52</v>
      </c>
      <c r="X425" s="313">
        <f t="shared" si="8"/>
        <v>0</v>
      </c>
      <c r="Y425" s="313">
        <f t="shared" si="8"/>
        <v>0</v>
      </c>
      <c r="Z425" s="313">
        <f t="shared" si="8"/>
        <v>8314569.4375175396</v>
      </c>
      <c r="AA425" s="313">
        <f t="shared" si="8"/>
        <v>5893195.9184855763</v>
      </c>
      <c r="AB425" s="313">
        <f t="shared" si="8"/>
        <v>4817674.5355269006</v>
      </c>
      <c r="AC425" s="313">
        <f t="shared" ref="S425:AK438" si="9">SUMIFS(AC$4:AC$326,$D$4:$D$326,$D425)</f>
        <v>3381170.5042820778</v>
      </c>
      <c r="AD425" s="313">
        <f t="shared" si="9"/>
        <v>22406610.395812094</v>
      </c>
      <c r="AE425" s="313">
        <f t="shared" si="9"/>
        <v>0</v>
      </c>
      <c r="AF425" s="313">
        <f t="shared" si="9"/>
        <v>5838065.2281048978</v>
      </c>
      <c r="AG425" s="313">
        <f t="shared" si="9"/>
        <v>1520733.1755233493</v>
      </c>
      <c r="AH425" s="313">
        <f t="shared" si="9"/>
        <v>3376036.2805358549</v>
      </c>
      <c r="AI425" s="313">
        <f t="shared" si="9"/>
        <v>2645607.2738970588</v>
      </c>
      <c r="AJ425" s="313">
        <f t="shared" si="9"/>
        <v>13380441.958061161</v>
      </c>
      <c r="AK425" s="313">
        <f t="shared" si="9"/>
        <v>9026168.4377509337</v>
      </c>
    </row>
    <row r="426" spans="4:37" x14ac:dyDescent="0.25">
      <c r="D426" s="311">
        <v>3961063</v>
      </c>
      <c r="R426" s="313">
        <f t="shared" si="6"/>
        <v>5</v>
      </c>
      <c r="S426" s="313">
        <f t="shared" si="9"/>
        <v>1</v>
      </c>
      <c r="T426" s="313">
        <f t="shared" si="9"/>
        <v>4</v>
      </c>
      <c r="U426" s="313">
        <f t="shared" si="9"/>
        <v>0</v>
      </c>
      <c r="V426" s="313">
        <f t="shared" si="9"/>
        <v>0</v>
      </c>
      <c r="W426" s="313">
        <f t="shared" si="9"/>
        <v>11</v>
      </c>
      <c r="X426" s="313">
        <f t="shared" si="9"/>
        <v>0</v>
      </c>
      <c r="Y426" s="313">
        <f t="shared" si="9"/>
        <v>0</v>
      </c>
      <c r="Z426" s="313">
        <f t="shared" si="9"/>
        <v>2909090.5558721442</v>
      </c>
      <c r="AA426" s="313">
        <f t="shared" si="9"/>
        <v>0</v>
      </c>
      <c r="AB426" s="313">
        <f t="shared" si="9"/>
        <v>368403.52135271521</v>
      </c>
      <c r="AC426" s="313">
        <f t="shared" si="9"/>
        <v>0</v>
      </c>
      <c r="AD426" s="313">
        <f t="shared" si="9"/>
        <v>3277494.0772248595</v>
      </c>
      <c r="AE426" s="313">
        <f t="shared" si="9"/>
        <v>0</v>
      </c>
      <c r="AF426" s="313">
        <f t="shared" si="9"/>
        <v>0</v>
      </c>
      <c r="AG426" s="313">
        <f t="shared" si="9"/>
        <v>0</v>
      </c>
      <c r="AH426" s="313">
        <f t="shared" si="9"/>
        <v>260086.75</v>
      </c>
      <c r="AI426" s="313">
        <f t="shared" si="9"/>
        <v>0</v>
      </c>
      <c r="AJ426" s="313">
        <f t="shared" si="9"/>
        <v>260086.75</v>
      </c>
      <c r="AK426" s="313">
        <f t="shared" si="9"/>
        <v>3017407.3272248595</v>
      </c>
    </row>
    <row r="427" spans="4:37" x14ac:dyDescent="0.25">
      <c r="D427" s="311">
        <v>3994122</v>
      </c>
      <c r="R427" s="313">
        <f t="shared" si="6"/>
        <v>3.2</v>
      </c>
      <c r="S427" s="313">
        <f t="shared" si="9"/>
        <v>2.2000000000000002</v>
      </c>
      <c r="T427" s="313">
        <f t="shared" si="9"/>
        <v>1</v>
      </c>
      <c r="U427" s="313">
        <f t="shared" si="9"/>
        <v>0</v>
      </c>
      <c r="V427" s="313">
        <f t="shared" si="9"/>
        <v>0</v>
      </c>
      <c r="W427" s="313">
        <f t="shared" si="9"/>
        <v>0</v>
      </c>
      <c r="X427" s="313">
        <f t="shared" si="9"/>
        <v>25</v>
      </c>
      <c r="Y427" s="313">
        <f t="shared" si="9"/>
        <v>0</v>
      </c>
      <c r="Z427" s="313">
        <f t="shared" si="9"/>
        <v>1957309.1644278739</v>
      </c>
      <c r="AA427" s="313">
        <f t="shared" si="9"/>
        <v>0</v>
      </c>
      <c r="AB427" s="313">
        <f t="shared" si="9"/>
        <v>132683.0959457196</v>
      </c>
      <c r="AC427" s="313">
        <f t="shared" si="9"/>
        <v>0</v>
      </c>
      <c r="AD427" s="313">
        <f t="shared" si="9"/>
        <v>2089992.2603735935</v>
      </c>
      <c r="AE427" s="313">
        <f t="shared" si="9"/>
        <v>0</v>
      </c>
      <c r="AF427" s="313">
        <f t="shared" si="9"/>
        <v>0</v>
      </c>
      <c r="AG427" s="313">
        <f t="shared" si="9"/>
        <v>0</v>
      </c>
      <c r="AH427" s="313">
        <f t="shared" si="9"/>
        <v>0</v>
      </c>
      <c r="AI427" s="313">
        <f t="shared" si="9"/>
        <v>0</v>
      </c>
      <c r="AJ427" s="313">
        <f t="shared" si="9"/>
        <v>0</v>
      </c>
      <c r="AK427" s="313">
        <f t="shared" si="9"/>
        <v>2089992.2603735935</v>
      </c>
    </row>
    <row r="428" spans="4:37" x14ac:dyDescent="0.25">
      <c r="D428" s="311">
        <v>4007320</v>
      </c>
      <c r="R428" s="313">
        <f t="shared" si="6"/>
        <v>1.7</v>
      </c>
      <c r="S428" s="313">
        <f t="shared" si="9"/>
        <v>0.1</v>
      </c>
      <c r="T428" s="313">
        <f t="shared" si="9"/>
        <v>1.6</v>
      </c>
      <c r="U428" s="313">
        <f t="shared" si="9"/>
        <v>0</v>
      </c>
      <c r="V428" s="313">
        <f t="shared" si="9"/>
        <v>0</v>
      </c>
      <c r="W428" s="313">
        <f t="shared" si="9"/>
        <v>4</v>
      </c>
      <c r="X428" s="313">
        <f t="shared" si="9"/>
        <v>0</v>
      </c>
      <c r="Y428" s="313">
        <f t="shared" si="9"/>
        <v>0</v>
      </c>
      <c r="Z428" s="313">
        <f t="shared" si="9"/>
        <v>994407.99362447369</v>
      </c>
      <c r="AA428" s="313">
        <f t="shared" si="9"/>
        <v>0</v>
      </c>
      <c r="AB428" s="313">
        <f t="shared" si="9"/>
        <v>214177.15565055824</v>
      </c>
      <c r="AC428" s="313">
        <f t="shared" si="9"/>
        <v>71444.73066666667</v>
      </c>
      <c r="AD428" s="313">
        <f t="shared" si="9"/>
        <v>1280029.8799416986</v>
      </c>
      <c r="AE428" s="313">
        <f t="shared" si="9"/>
        <v>0</v>
      </c>
      <c r="AF428" s="313">
        <f t="shared" si="9"/>
        <v>131152.63092783507</v>
      </c>
      <c r="AG428" s="313">
        <f t="shared" si="9"/>
        <v>0</v>
      </c>
      <c r="AH428" s="313">
        <f t="shared" si="9"/>
        <v>173129.08000000002</v>
      </c>
      <c r="AI428" s="313">
        <f t="shared" si="9"/>
        <v>75225.75</v>
      </c>
      <c r="AJ428" s="313">
        <f t="shared" si="9"/>
        <v>379507.46092783508</v>
      </c>
      <c r="AK428" s="313">
        <f t="shared" si="9"/>
        <v>900522.41901386355</v>
      </c>
    </row>
    <row r="429" spans="4:37" x14ac:dyDescent="0.25">
      <c r="D429" s="311">
        <v>4075651</v>
      </c>
      <c r="R429" s="313">
        <f t="shared" si="6"/>
        <v>3.2</v>
      </c>
      <c r="S429" s="313">
        <f t="shared" si="9"/>
        <v>0.35</v>
      </c>
      <c r="T429" s="313">
        <f t="shared" si="9"/>
        <v>2</v>
      </c>
      <c r="U429" s="313">
        <f t="shared" si="9"/>
        <v>0.85</v>
      </c>
      <c r="V429" s="313">
        <f t="shared" si="9"/>
        <v>0</v>
      </c>
      <c r="W429" s="313">
        <f t="shared" si="9"/>
        <v>6</v>
      </c>
      <c r="X429" s="313">
        <f t="shared" si="9"/>
        <v>0</v>
      </c>
      <c r="Y429" s="313">
        <f t="shared" si="9"/>
        <v>0</v>
      </c>
      <c r="Z429" s="313">
        <f t="shared" si="9"/>
        <v>1642418.0927392188</v>
      </c>
      <c r="AA429" s="313">
        <f t="shared" si="9"/>
        <v>0</v>
      </c>
      <c r="AB429" s="313">
        <f t="shared" si="9"/>
        <v>312698.88328690809</v>
      </c>
      <c r="AC429" s="313">
        <f t="shared" si="9"/>
        <v>170801.55555555556</v>
      </c>
      <c r="AD429" s="313">
        <f t="shared" si="9"/>
        <v>2125918.5315816826</v>
      </c>
      <c r="AE429" s="313">
        <f t="shared" si="9"/>
        <v>0</v>
      </c>
      <c r="AF429" s="313">
        <f t="shared" si="9"/>
        <v>363033.91563424404</v>
      </c>
      <c r="AG429" s="313">
        <f t="shared" si="9"/>
        <v>0</v>
      </c>
      <c r="AH429" s="313">
        <f t="shared" si="9"/>
        <v>230731.875</v>
      </c>
      <c r="AI429" s="313">
        <f t="shared" si="9"/>
        <v>143372.70000000001</v>
      </c>
      <c r="AJ429" s="313">
        <f t="shared" si="9"/>
        <v>737138.49063424394</v>
      </c>
      <c r="AK429" s="313">
        <f t="shared" si="9"/>
        <v>1388780.0409474387</v>
      </c>
    </row>
    <row r="430" spans="4:37" x14ac:dyDescent="0.25">
      <c r="D430" s="311">
        <v>4167967</v>
      </c>
      <c r="R430" s="313">
        <f t="shared" si="6"/>
        <v>0</v>
      </c>
      <c r="S430" s="313">
        <f t="shared" si="9"/>
        <v>0</v>
      </c>
      <c r="T430" s="313">
        <f t="shared" si="9"/>
        <v>0</v>
      </c>
      <c r="U430" s="313">
        <f t="shared" si="9"/>
        <v>0</v>
      </c>
      <c r="V430" s="313">
        <f t="shared" si="9"/>
        <v>0</v>
      </c>
      <c r="W430" s="313">
        <f t="shared" si="9"/>
        <v>0</v>
      </c>
      <c r="X430" s="313">
        <f t="shared" si="9"/>
        <v>0</v>
      </c>
      <c r="Y430" s="313">
        <f t="shared" si="9"/>
        <v>0</v>
      </c>
      <c r="Z430" s="313">
        <f t="shared" si="9"/>
        <v>0</v>
      </c>
      <c r="AA430" s="313">
        <f t="shared" si="9"/>
        <v>0</v>
      </c>
      <c r="AB430" s="313">
        <f t="shared" si="9"/>
        <v>0</v>
      </c>
      <c r="AC430" s="313">
        <f t="shared" si="9"/>
        <v>0</v>
      </c>
      <c r="AD430" s="313">
        <f t="shared" si="9"/>
        <v>0</v>
      </c>
      <c r="AE430" s="313">
        <f t="shared" si="9"/>
        <v>0</v>
      </c>
      <c r="AF430" s="313">
        <f t="shared" si="9"/>
        <v>0</v>
      </c>
      <c r="AG430" s="313">
        <f t="shared" si="9"/>
        <v>0</v>
      </c>
      <c r="AH430" s="313">
        <f t="shared" si="9"/>
        <v>0</v>
      </c>
      <c r="AI430" s="313">
        <f t="shared" si="9"/>
        <v>0</v>
      </c>
      <c r="AJ430" s="313">
        <f t="shared" si="9"/>
        <v>0</v>
      </c>
      <c r="AK430" s="313">
        <f t="shared" si="9"/>
        <v>0</v>
      </c>
    </row>
    <row r="431" spans="4:37" x14ac:dyDescent="0.25">
      <c r="D431" s="311">
        <v>4271738</v>
      </c>
      <c r="R431" s="313">
        <f t="shared" si="6"/>
        <v>10.8</v>
      </c>
      <c r="S431" s="313">
        <f t="shared" si="9"/>
        <v>1.3</v>
      </c>
      <c r="T431" s="313">
        <f t="shared" si="9"/>
        <v>9.5</v>
      </c>
      <c r="U431" s="313">
        <f t="shared" si="9"/>
        <v>0</v>
      </c>
      <c r="V431" s="313">
        <f t="shared" si="9"/>
        <v>0</v>
      </c>
      <c r="W431" s="313">
        <f t="shared" si="9"/>
        <v>0</v>
      </c>
      <c r="X431" s="313">
        <f t="shared" si="9"/>
        <v>0</v>
      </c>
      <c r="Y431" s="313">
        <f t="shared" si="9"/>
        <v>0</v>
      </c>
      <c r="Z431" s="313">
        <f t="shared" si="9"/>
        <v>5023346.3542615585</v>
      </c>
      <c r="AA431" s="313">
        <f t="shared" si="9"/>
        <v>0</v>
      </c>
      <c r="AB431" s="313">
        <f t="shared" si="9"/>
        <v>202124.49989038581</v>
      </c>
      <c r="AC431" s="313">
        <f t="shared" si="9"/>
        <v>0</v>
      </c>
      <c r="AD431" s="313">
        <f t="shared" si="9"/>
        <v>5225470.8541519446</v>
      </c>
      <c r="AE431" s="313">
        <f t="shared" si="9"/>
        <v>0</v>
      </c>
      <c r="AF431" s="313">
        <f t="shared" si="9"/>
        <v>1187203.9845664201</v>
      </c>
      <c r="AG431" s="313">
        <f t="shared" si="9"/>
        <v>0</v>
      </c>
      <c r="AH431" s="313">
        <f t="shared" si="9"/>
        <v>0</v>
      </c>
      <c r="AI431" s="313">
        <f t="shared" si="9"/>
        <v>0</v>
      </c>
      <c r="AJ431" s="313">
        <f t="shared" si="9"/>
        <v>1187203.9845664201</v>
      </c>
      <c r="AK431" s="313">
        <f t="shared" si="9"/>
        <v>4038266.8695855243</v>
      </c>
    </row>
    <row r="432" spans="4:37" x14ac:dyDescent="0.25">
      <c r="D432" s="311">
        <v>4309907</v>
      </c>
      <c r="R432" s="313">
        <f t="shared" si="6"/>
        <v>3.3</v>
      </c>
      <c r="S432" s="313">
        <f t="shared" si="9"/>
        <v>0.6</v>
      </c>
      <c r="T432" s="313">
        <f t="shared" si="9"/>
        <v>0</v>
      </c>
      <c r="U432" s="313">
        <f t="shared" si="9"/>
        <v>0</v>
      </c>
      <c r="V432" s="313">
        <f t="shared" si="9"/>
        <v>2.7</v>
      </c>
      <c r="W432" s="313">
        <f t="shared" si="9"/>
        <v>0</v>
      </c>
      <c r="X432" s="313">
        <f t="shared" si="9"/>
        <v>0</v>
      </c>
      <c r="Y432" s="313">
        <f t="shared" si="9"/>
        <v>0</v>
      </c>
      <c r="Z432" s="313">
        <f t="shared" si="9"/>
        <v>2007485.3544629016</v>
      </c>
      <c r="AA432" s="313">
        <f t="shared" si="9"/>
        <v>0</v>
      </c>
      <c r="AB432" s="313">
        <f t="shared" si="9"/>
        <v>147220.61538461538</v>
      </c>
      <c r="AC432" s="313">
        <f t="shared" si="9"/>
        <v>0</v>
      </c>
      <c r="AD432" s="313">
        <f t="shared" si="9"/>
        <v>2154705.9698475171</v>
      </c>
      <c r="AE432" s="313">
        <f t="shared" si="9"/>
        <v>0</v>
      </c>
      <c r="AF432" s="313">
        <f t="shared" si="9"/>
        <v>0</v>
      </c>
      <c r="AG432" s="313">
        <f t="shared" si="9"/>
        <v>0</v>
      </c>
      <c r="AH432" s="313">
        <f t="shared" si="9"/>
        <v>0</v>
      </c>
      <c r="AI432" s="313">
        <f t="shared" si="9"/>
        <v>0</v>
      </c>
      <c r="AJ432" s="313">
        <f t="shared" si="9"/>
        <v>0</v>
      </c>
      <c r="AK432" s="313">
        <f t="shared" si="9"/>
        <v>2154705.9698475171</v>
      </c>
    </row>
    <row r="433" spans="4:37" x14ac:dyDescent="0.25">
      <c r="D433" s="311">
        <v>4373225</v>
      </c>
      <c r="R433" s="313">
        <f t="shared" si="6"/>
        <v>1.6</v>
      </c>
      <c r="S433" s="313">
        <f t="shared" si="9"/>
        <v>1.1000000000000001</v>
      </c>
      <c r="T433" s="313">
        <f t="shared" si="9"/>
        <v>0</v>
      </c>
      <c r="U433" s="313">
        <f t="shared" si="9"/>
        <v>0</v>
      </c>
      <c r="V433" s="313">
        <f t="shared" si="9"/>
        <v>0.5</v>
      </c>
      <c r="W433" s="313">
        <f t="shared" si="9"/>
        <v>0</v>
      </c>
      <c r="X433" s="313">
        <f t="shared" si="9"/>
        <v>0</v>
      </c>
      <c r="Y433" s="313">
        <f t="shared" si="9"/>
        <v>0</v>
      </c>
      <c r="Z433" s="313">
        <f t="shared" si="9"/>
        <v>978654.58221393696</v>
      </c>
      <c r="AA433" s="313">
        <f t="shared" si="9"/>
        <v>0</v>
      </c>
      <c r="AB433" s="313">
        <f t="shared" si="9"/>
        <v>66341.5479728598</v>
      </c>
      <c r="AC433" s="313">
        <f t="shared" si="9"/>
        <v>0</v>
      </c>
      <c r="AD433" s="313">
        <f t="shared" si="9"/>
        <v>1044996.1301867968</v>
      </c>
      <c r="AE433" s="313">
        <f t="shared" si="9"/>
        <v>0</v>
      </c>
      <c r="AF433" s="313">
        <f t="shared" si="9"/>
        <v>0</v>
      </c>
      <c r="AG433" s="313">
        <f t="shared" si="9"/>
        <v>0</v>
      </c>
      <c r="AH433" s="313">
        <f t="shared" si="9"/>
        <v>0</v>
      </c>
      <c r="AI433" s="313">
        <f t="shared" si="9"/>
        <v>0</v>
      </c>
      <c r="AJ433" s="313">
        <f t="shared" si="9"/>
        <v>0</v>
      </c>
      <c r="AK433" s="313">
        <f t="shared" si="9"/>
        <v>1044996.1301867968</v>
      </c>
    </row>
    <row r="434" spans="4:37" x14ac:dyDescent="0.25">
      <c r="D434" s="311">
        <v>4381530</v>
      </c>
      <c r="R434" s="313">
        <f t="shared" si="6"/>
        <v>35</v>
      </c>
      <c r="S434" s="313">
        <f t="shared" si="9"/>
        <v>3</v>
      </c>
      <c r="T434" s="313">
        <f t="shared" si="9"/>
        <v>23</v>
      </c>
      <c r="U434" s="313">
        <f t="shared" si="9"/>
        <v>9</v>
      </c>
      <c r="V434" s="313">
        <f t="shared" si="9"/>
        <v>0</v>
      </c>
      <c r="W434" s="313">
        <f t="shared" si="9"/>
        <v>61</v>
      </c>
      <c r="X434" s="313">
        <f t="shared" si="9"/>
        <v>0</v>
      </c>
      <c r="Y434" s="313">
        <f t="shared" si="9"/>
        <v>0</v>
      </c>
      <c r="Z434" s="313">
        <f t="shared" si="9"/>
        <v>15441343.241104003</v>
      </c>
      <c r="AA434" s="313">
        <f t="shared" si="9"/>
        <v>6629845.4082962731</v>
      </c>
      <c r="AB434" s="313">
        <f t="shared" si="9"/>
        <v>5651502.8205219414</v>
      </c>
      <c r="AC434" s="313">
        <f t="shared" si="9"/>
        <v>3966373.0915616686</v>
      </c>
      <c r="AD434" s="313">
        <f t="shared" si="9"/>
        <v>31689064.561483882</v>
      </c>
      <c r="AE434" s="313">
        <f t="shared" si="9"/>
        <v>0</v>
      </c>
      <c r="AF434" s="313">
        <f t="shared" si="9"/>
        <v>6848499.5945076691</v>
      </c>
      <c r="AG434" s="313">
        <f t="shared" si="9"/>
        <v>1783936.9943639291</v>
      </c>
      <c r="AH434" s="313">
        <f t="shared" si="9"/>
        <v>3960350.2521670605</v>
      </c>
      <c r="AI434" s="313">
        <f t="shared" si="9"/>
        <v>3103500.8405330884</v>
      </c>
      <c r="AJ434" s="313">
        <f t="shared" si="9"/>
        <v>15696287.681571748</v>
      </c>
      <c r="AK434" s="313">
        <f t="shared" si="9"/>
        <v>15992776.879912134</v>
      </c>
    </row>
    <row r="435" spans="4:37" x14ac:dyDescent="0.25">
      <c r="D435" s="311">
        <v>4382191</v>
      </c>
      <c r="R435" s="313">
        <f t="shared" si="6"/>
        <v>0.7</v>
      </c>
      <c r="S435" s="313">
        <f t="shared" si="9"/>
        <v>0.7</v>
      </c>
      <c r="T435" s="313">
        <f t="shared" si="9"/>
        <v>0</v>
      </c>
      <c r="U435" s="313">
        <f t="shared" si="9"/>
        <v>0</v>
      </c>
      <c r="V435" s="313">
        <f t="shared" si="9"/>
        <v>0</v>
      </c>
      <c r="W435" s="313">
        <f t="shared" si="9"/>
        <v>0</v>
      </c>
      <c r="X435" s="313">
        <f t="shared" si="9"/>
        <v>0</v>
      </c>
      <c r="Y435" s="313">
        <f t="shared" si="9"/>
        <v>0</v>
      </c>
      <c r="Z435" s="313">
        <f t="shared" si="9"/>
        <v>425830.22670425184</v>
      </c>
      <c r="AA435" s="313">
        <f t="shared" si="9"/>
        <v>0</v>
      </c>
      <c r="AB435" s="313">
        <f t="shared" si="9"/>
        <v>31228.615384615383</v>
      </c>
      <c r="AC435" s="313">
        <f t="shared" si="9"/>
        <v>0</v>
      </c>
      <c r="AD435" s="313">
        <f t="shared" si="9"/>
        <v>457058.84208886721</v>
      </c>
      <c r="AE435" s="313">
        <f t="shared" si="9"/>
        <v>0</v>
      </c>
      <c r="AF435" s="313">
        <f t="shared" si="9"/>
        <v>0</v>
      </c>
      <c r="AG435" s="313">
        <f t="shared" si="9"/>
        <v>0</v>
      </c>
      <c r="AH435" s="313">
        <f t="shared" si="9"/>
        <v>0</v>
      </c>
      <c r="AI435" s="313">
        <f t="shared" si="9"/>
        <v>0</v>
      </c>
      <c r="AJ435" s="313">
        <f t="shared" si="9"/>
        <v>0</v>
      </c>
      <c r="AK435" s="313">
        <f t="shared" si="9"/>
        <v>457058.84208886721</v>
      </c>
    </row>
    <row r="436" spans="4:37" x14ac:dyDescent="0.25">
      <c r="D436" s="311">
        <v>4382500</v>
      </c>
      <c r="R436" s="313">
        <f t="shared" si="6"/>
        <v>1.6</v>
      </c>
      <c r="S436" s="313">
        <f t="shared" si="9"/>
        <v>0.2</v>
      </c>
      <c r="T436" s="313">
        <f t="shared" si="9"/>
        <v>1.4</v>
      </c>
      <c r="U436" s="313">
        <f t="shared" si="9"/>
        <v>0</v>
      </c>
      <c r="V436" s="313">
        <f t="shared" si="9"/>
        <v>0</v>
      </c>
      <c r="W436" s="313">
        <f t="shared" si="9"/>
        <v>4</v>
      </c>
      <c r="X436" s="313">
        <f t="shared" si="9"/>
        <v>0</v>
      </c>
      <c r="Y436" s="313">
        <f t="shared" si="9"/>
        <v>0</v>
      </c>
      <c r="Z436" s="313">
        <f t="shared" si="9"/>
        <v>935913.40576421062</v>
      </c>
      <c r="AA436" s="313">
        <f t="shared" si="9"/>
        <v>0</v>
      </c>
      <c r="AB436" s="313">
        <f t="shared" si="9"/>
        <v>214177.15565055824</v>
      </c>
      <c r="AC436" s="313">
        <f t="shared" si="9"/>
        <v>71444.73066666667</v>
      </c>
      <c r="AD436" s="313">
        <f t="shared" si="9"/>
        <v>1221535.2920814357</v>
      </c>
      <c r="AE436" s="313">
        <f t="shared" si="9"/>
        <v>0</v>
      </c>
      <c r="AF436" s="313">
        <f t="shared" si="9"/>
        <v>114758.55206185566</v>
      </c>
      <c r="AG436" s="313">
        <f t="shared" si="9"/>
        <v>0</v>
      </c>
      <c r="AH436" s="313">
        <f t="shared" si="9"/>
        <v>173129.08000000002</v>
      </c>
      <c r="AI436" s="313">
        <f t="shared" si="9"/>
        <v>75225.75</v>
      </c>
      <c r="AJ436" s="313">
        <f t="shared" si="9"/>
        <v>363113.38206185569</v>
      </c>
      <c r="AK436" s="313">
        <f t="shared" si="9"/>
        <v>858421.91001958004</v>
      </c>
    </row>
    <row r="437" spans="4:37" x14ac:dyDescent="0.25">
      <c r="D437" s="311">
        <v>4383860</v>
      </c>
      <c r="R437" s="313">
        <f t="shared" si="6"/>
        <v>22.3</v>
      </c>
      <c r="S437" s="313">
        <f t="shared" si="9"/>
        <v>1.5</v>
      </c>
      <c r="T437" s="313">
        <f t="shared" si="9"/>
        <v>20.8</v>
      </c>
      <c r="U437" s="313">
        <f t="shared" si="9"/>
        <v>0</v>
      </c>
      <c r="V437" s="313">
        <f t="shared" si="9"/>
        <v>0</v>
      </c>
      <c r="W437" s="313">
        <f t="shared" si="9"/>
        <v>0</v>
      </c>
      <c r="X437" s="313">
        <f t="shared" si="9"/>
        <v>0</v>
      </c>
      <c r="Y437" s="313">
        <f t="shared" si="9"/>
        <v>0</v>
      </c>
      <c r="Z437" s="313">
        <f t="shared" si="9"/>
        <v>11218981.384227341</v>
      </c>
      <c r="AA437" s="313">
        <f t="shared" si="9"/>
        <v>0</v>
      </c>
      <c r="AB437" s="313">
        <f t="shared" si="9"/>
        <v>891692.139196467</v>
      </c>
      <c r="AC437" s="313">
        <f t="shared" si="9"/>
        <v>0</v>
      </c>
      <c r="AD437" s="313">
        <f t="shared" si="9"/>
        <v>12110673.523423808</v>
      </c>
      <c r="AE437" s="313">
        <f t="shared" si="9"/>
        <v>0</v>
      </c>
      <c r="AF437" s="313">
        <f t="shared" si="9"/>
        <v>2886108.8941176473</v>
      </c>
      <c r="AG437" s="313">
        <f t="shared" si="9"/>
        <v>0</v>
      </c>
      <c r="AH437" s="313">
        <f t="shared" si="9"/>
        <v>0</v>
      </c>
      <c r="AI437" s="313">
        <f t="shared" si="9"/>
        <v>0</v>
      </c>
      <c r="AJ437" s="313">
        <f t="shared" si="9"/>
        <v>2886108.8941176473</v>
      </c>
      <c r="AK437" s="313">
        <f t="shared" si="9"/>
        <v>9224564.6293061599</v>
      </c>
    </row>
    <row r="438" spans="4:37" x14ac:dyDescent="0.25">
      <c r="D438" s="311">
        <v>4385424</v>
      </c>
      <c r="R438" s="313">
        <f t="shared" si="6"/>
        <v>0</v>
      </c>
      <c r="S438" s="313">
        <f t="shared" si="9"/>
        <v>0</v>
      </c>
      <c r="T438" s="313">
        <f t="shared" si="9"/>
        <v>0</v>
      </c>
      <c r="U438" s="313">
        <f t="shared" si="9"/>
        <v>0</v>
      </c>
      <c r="V438" s="313">
        <f t="shared" si="9"/>
        <v>0</v>
      </c>
      <c r="W438" s="313">
        <f t="shared" si="9"/>
        <v>0</v>
      </c>
      <c r="X438" s="313">
        <f t="shared" si="9"/>
        <v>3</v>
      </c>
      <c r="Y438" s="313">
        <f t="shared" si="9"/>
        <v>0</v>
      </c>
      <c r="Z438" s="313">
        <f t="shared" si="9"/>
        <v>0</v>
      </c>
      <c r="AA438" s="313">
        <f t="shared" si="9"/>
        <v>0</v>
      </c>
      <c r="AB438" s="313">
        <f t="shared" si="9"/>
        <v>0</v>
      </c>
      <c r="AC438" s="313">
        <f t="shared" si="9"/>
        <v>0</v>
      </c>
      <c r="AD438" s="313">
        <f t="shared" si="9"/>
        <v>0</v>
      </c>
      <c r="AE438" s="313">
        <f t="shared" si="9"/>
        <v>0</v>
      </c>
      <c r="AF438" s="313">
        <f t="shared" si="9"/>
        <v>0</v>
      </c>
      <c r="AG438" s="313">
        <f t="shared" si="9"/>
        <v>0</v>
      </c>
      <c r="AH438" s="313">
        <f t="shared" si="9"/>
        <v>0</v>
      </c>
      <c r="AI438" s="313">
        <f t="shared" si="9"/>
        <v>0</v>
      </c>
      <c r="AJ438" s="313">
        <f t="shared" si="9"/>
        <v>0</v>
      </c>
      <c r="AK438" s="313">
        <f t="shared" ref="S438:AK452" si="10">SUMIFS(AK$4:AK$326,$D$4:$D$326,$D438)</f>
        <v>0</v>
      </c>
    </row>
    <row r="439" spans="4:37" x14ac:dyDescent="0.25">
      <c r="D439" s="311">
        <v>4441304</v>
      </c>
      <c r="R439" s="313">
        <f t="shared" si="6"/>
        <v>0</v>
      </c>
      <c r="S439" s="313">
        <f t="shared" si="10"/>
        <v>0</v>
      </c>
      <c r="T439" s="313">
        <f t="shared" si="10"/>
        <v>0</v>
      </c>
      <c r="U439" s="313">
        <f t="shared" si="10"/>
        <v>0</v>
      </c>
      <c r="V439" s="313">
        <f t="shared" si="10"/>
        <v>0</v>
      </c>
      <c r="W439" s="313">
        <f t="shared" si="10"/>
        <v>0</v>
      </c>
      <c r="X439" s="313">
        <f t="shared" si="10"/>
        <v>0</v>
      </c>
      <c r="Y439" s="313">
        <f t="shared" si="10"/>
        <v>0</v>
      </c>
      <c r="Z439" s="313">
        <f t="shared" si="10"/>
        <v>0</v>
      </c>
      <c r="AA439" s="313">
        <f t="shared" si="10"/>
        <v>0</v>
      </c>
      <c r="AB439" s="313">
        <f t="shared" si="10"/>
        <v>0</v>
      </c>
      <c r="AC439" s="313">
        <f t="shared" si="10"/>
        <v>0</v>
      </c>
      <c r="AD439" s="313">
        <f t="shared" si="10"/>
        <v>0</v>
      </c>
      <c r="AE439" s="313">
        <f t="shared" si="10"/>
        <v>0</v>
      </c>
      <c r="AF439" s="313">
        <f t="shared" si="10"/>
        <v>0</v>
      </c>
      <c r="AG439" s="313">
        <f t="shared" si="10"/>
        <v>0</v>
      </c>
      <c r="AH439" s="313">
        <f t="shared" si="10"/>
        <v>0</v>
      </c>
      <c r="AI439" s="313">
        <f t="shared" si="10"/>
        <v>0</v>
      </c>
      <c r="AJ439" s="313">
        <f t="shared" si="10"/>
        <v>0</v>
      </c>
      <c r="AK439" s="313">
        <f t="shared" si="10"/>
        <v>0</v>
      </c>
    </row>
    <row r="440" spans="4:37" x14ac:dyDescent="0.25">
      <c r="D440" s="311">
        <v>4461551</v>
      </c>
      <c r="R440" s="313">
        <f t="shared" si="6"/>
        <v>31.55</v>
      </c>
      <c r="S440" s="313">
        <f t="shared" si="10"/>
        <v>0.8</v>
      </c>
      <c r="T440" s="313">
        <f t="shared" si="10"/>
        <v>12</v>
      </c>
      <c r="U440" s="313">
        <f t="shared" si="10"/>
        <v>18.75</v>
      </c>
      <c r="V440" s="313">
        <f t="shared" si="10"/>
        <v>0</v>
      </c>
      <c r="W440" s="313">
        <f t="shared" si="10"/>
        <v>30</v>
      </c>
      <c r="X440" s="313">
        <f t="shared" si="10"/>
        <v>0</v>
      </c>
      <c r="Y440" s="313">
        <f t="shared" si="10"/>
        <v>0</v>
      </c>
      <c r="Z440" s="313">
        <f t="shared" si="10"/>
        <v>16193215.883100737</v>
      </c>
      <c r="AA440" s="313">
        <f t="shared" si="10"/>
        <v>0</v>
      </c>
      <c r="AB440" s="313">
        <f t="shared" si="10"/>
        <v>1563494.4164345404</v>
      </c>
      <c r="AC440" s="313">
        <f t="shared" si="10"/>
        <v>854007.77777777775</v>
      </c>
      <c r="AD440" s="313">
        <f t="shared" si="10"/>
        <v>18610718.077313054</v>
      </c>
      <c r="AE440" s="313">
        <f t="shared" si="10"/>
        <v>0</v>
      </c>
      <c r="AF440" s="313">
        <f t="shared" si="10"/>
        <v>3916944.8792115804</v>
      </c>
      <c r="AG440" s="313">
        <f t="shared" si="10"/>
        <v>0</v>
      </c>
      <c r="AH440" s="313">
        <f t="shared" si="10"/>
        <v>1153659.375</v>
      </c>
      <c r="AI440" s="313">
        <f t="shared" si="10"/>
        <v>716863.5</v>
      </c>
      <c r="AJ440" s="313">
        <f t="shared" si="10"/>
        <v>5787467.7542115804</v>
      </c>
      <c r="AK440" s="313">
        <f t="shared" si="10"/>
        <v>12823250.323101474</v>
      </c>
    </row>
    <row r="441" spans="4:37" x14ac:dyDescent="0.25">
      <c r="D441" s="311">
        <v>4467429</v>
      </c>
      <c r="R441" s="313">
        <f t="shared" si="6"/>
        <v>5.75</v>
      </c>
      <c r="S441" s="313">
        <f t="shared" si="10"/>
        <v>5</v>
      </c>
      <c r="T441" s="313">
        <f t="shared" si="10"/>
        <v>0</v>
      </c>
      <c r="U441" s="313">
        <f t="shared" si="10"/>
        <v>0</v>
      </c>
      <c r="V441" s="313">
        <f t="shared" si="10"/>
        <v>0.75</v>
      </c>
      <c r="W441" s="313">
        <f t="shared" si="10"/>
        <v>0</v>
      </c>
      <c r="X441" s="313">
        <f t="shared" si="10"/>
        <v>42</v>
      </c>
      <c r="Y441" s="313">
        <f t="shared" si="10"/>
        <v>0</v>
      </c>
      <c r="Z441" s="313">
        <f t="shared" si="10"/>
        <v>3375216.5504345149</v>
      </c>
      <c r="AA441" s="313">
        <f t="shared" si="10"/>
        <v>0</v>
      </c>
      <c r="AB441" s="313">
        <f t="shared" si="10"/>
        <v>245301.69997065727</v>
      </c>
      <c r="AC441" s="313">
        <f t="shared" si="10"/>
        <v>0</v>
      </c>
      <c r="AD441" s="313">
        <f t="shared" si="10"/>
        <v>3620518.2504051724</v>
      </c>
      <c r="AE441" s="313">
        <f t="shared" si="10"/>
        <v>0</v>
      </c>
      <c r="AF441" s="313">
        <f t="shared" si="10"/>
        <v>0</v>
      </c>
      <c r="AG441" s="313">
        <f t="shared" si="10"/>
        <v>0</v>
      </c>
      <c r="AH441" s="313">
        <f t="shared" si="10"/>
        <v>0</v>
      </c>
      <c r="AI441" s="313">
        <f t="shared" si="10"/>
        <v>0</v>
      </c>
      <c r="AJ441" s="313">
        <f t="shared" si="10"/>
        <v>0</v>
      </c>
      <c r="AK441" s="313">
        <f t="shared" si="10"/>
        <v>3620518.2504051724</v>
      </c>
    </row>
    <row r="442" spans="4:37" x14ac:dyDescent="0.25">
      <c r="D442" s="311">
        <v>4497017</v>
      </c>
      <c r="R442" s="313">
        <f t="shared" si="6"/>
        <v>5.5</v>
      </c>
      <c r="S442" s="313">
        <f t="shared" si="10"/>
        <v>0.5</v>
      </c>
      <c r="T442" s="313">
        <f t="shared" si="10"/>
        <v>5</v>
      </c>
      <c r="U442" s="313">
        <f t="shared" si="10"/>
        <v>0</v>
      </c>
      <c r="V442" s="313">
        <f t="shared" si="10"/>
        <v>0</v>
      </c>
      <c r="W442" s="313">
        <f t="shared" si="10"/>
        <v>8</v>
      </c>
      <c r="X442" s="313">
        <f t="shared" si="10"/>
        <v>0</v>
      </c>
      <c r="Y442" s="313">
        <f t="shared" si="10"/>
        <v>0</v>
      </c>
      <c r="Z442" s="313">
        <f t="shared" si="10"/>
        <v>3217202.332314474</v>
      </c>
      <c r="AA442" s="313">
        <f t="shared" si="10"/>
        <v>0</v>
      </c>
      <c r="AB442" s="313">
        <f t="shared" si="10"/>
        <v>428354.31130111648</v>
      </c>
      <c r="AC442" s="313">
        <f t="shared" si="10"/>
        <v>142889.46133333334</v>
      </c>
      <c r="AD442" s="313">
        <f t="shared" si="10"/>
        <v>3788446.1049489239</v>
      </c>
      <c r="AE442" s="313">
        <f t="shared" si="10"/>
        <v>0</v>
      </c>
      <c r="AF442" s="313">
        <f t="shared" si="10"/>
        <v>409851.97164948453</v>
      </c>
      <c r="AG442" s="313">
        <f t="shared" si="10"/>
        <v>0</v>
      </c>
      <c r="AH442" s="313">
        <f t="shared" si="10"/>
        <v>346258.16000000003</v>
      </c>
      <c r="AI442" s="313">
        <f t="shared" si="10"/>
        <v>150451.5</v>
      </c>
      <c r="AJ442" s="313">
        <f t="shared" si="10"/>
        <v>906561.63164948463</v>
      </c>
      <c r="AK442" s="313">
        <f t="shared" si="10"/>
        <v>2881884.4732994391</v>
      </c>
    </row>
    <row r="443" spans="4:37" x14ac:dyDescent="0.25">
      <c r="D443" s="311">
        <v>4526227</v>
      </c>
      <c r="R443" s="313">
        <f t="shared" si="6"/>
        <v>2.95</v>
      </c>
      <c r="S443" s="313">
        <f t="shared" si="10"/>
        <v>1.5</v>
      </c>
      <c r="T443" s="313">
        <f t="shared" si="10"/>
        <v>1.45</v>
      </c>
      <c r="U443" s="313">
        <f t="shared" si="10"/>
        <v>0</v>
      </c>
      <c r="V443" s="313">
        <f t="shared" si="10"/>
        <v>0</v>
      </c>
      <c r="W443" s="313">
        <f t="shared" si="10"/>
        <v>0</v>
      </c>
      <c r="X443" s="313">
        <f t="shared" si="10"/>
        <v>0</v>
      </c>
      <c r="Y443" s="313">
        <f t="shared" si="10"/>
        <v>0</v>
      </c>
      <c r="Z443" s="313">
        <f t="shared" si="10"/>
        <v>1731632.8389185772</v>
      </c>
      <c r="AA443" s="313">
        <f t="shared" si="10"/>
        <v>0</v>
      </c>
      <c r="AB443" s="313">
        <f t="shared" si="10"/>
        <v>125850.43737625027</v>
      </c>
      <c r="AC443" s="313">
        <f t="shared" si="10"/>
        <v>0</v>
      </c>
      <c r="AD443" s="313">
        <f t="shared" si="10"/>
        <v>1857483.2762948275</v>
      </c>
      <c r="AE443" s="313">
        <f t="shared" si="10"/>
        <v>0</v>
      </c>
      <c r="AF443" s="313">
        <f t="shared" si="10"/>
        <v>0</v>
      </c>
      <c r="AG443" s="313">
        <f t="shared" si="10"/>
        <v>0</v>
      </c>
      <c r="AH443" s="313">
        <f t="shared" si="10"/>
        <v>0</v>
      </c>
      <c r="AI443" s="313">
        <f t="shared" si="10"/>
        <v>0</v>
      </c>
      <c r="AJ443" s="313">
        <f t="shared" si="10"/>
        <v>0</v>
      </c>
      <c r="AK443" s="313">
        <f t="shared" si="10"/>
        <v>1857483.2762948275</v>
      </c>
    </row>
    <row r="444" spans="4:37" x14ac:dyDescent="0.25">
      <c r="D444" s="311">
        <v>4531517</v>
      </c>
      <c r="R444" s="313">
        <f t="shared" si="6"/>
        <v>1.3</v>
      </c>
      <c r="S444" s="313">
        <f t="shared" si="10"/>
        <v>0.3</v>
      </c>
      <c r="T444" s="313">
        <f t="shared" si="10"/>
        <v>1</v>
      </c>
      <c r="U444" s="313">
        <f t="shared" si="10"/>
        <v>0</v>
      </c>
      <c r="V444" s="313">
        <f t="shared" si="10"/>
        <v>0</v>
      </c>
      <c r="W444" s="313">
        <f t="shared" si="10"/>
        <v>0</v>
      </c>
      <c r="X444" s="313">
        <f t="shared" si="10"/>
        <v>9</v>
      </c>
      <c r="Y444" s="313">
        <f t="shared" si="10"/>
        <v>0</v>
      </c>
      <c r="Z444" s="313">
        <f t="shared" si="10"/>
        <v>675699.57534246577</v>
      </c>
      <c r="AA444" s="313">
        <f t="shared" si="10"/>
        <v>0</v>
      </c>
      <c r="AB444" s="313">
        <f t="shared" si="10"/>
        <v>160281.18228200372</v>
      </c>
      <c r="AC444" s="313">
        <f t="shared" si="10"/>
        <v>4408.8</v>
      </c>
      <c r="AD444" s="313">
        <f t="shared" si="10"/>
        <v>840389.55762446951</v>
      </c>
      <c r="AE444" s="313">
        <f t="shared" si="10"/>
        <v>0</v>
      </c>
      <c r="AF444" s="313">
        <f t="shared" si="10"/>
        <v>113601</v>
      </c>
      <c r="AG444" s="313">
        <f t="shared" si="10"/>
        <v>0</v>
      </c>
      <c r="AH444" s="313">
        <f t="shared" si="10"/>
        <v>0</v>
      </c>
      <c r="AI444" s="313">
        <f t="shared" si="10"/>
        <v>0</v>
      </c>
      <c r="AJ444" s="313">
        <f t="shared" si="10"/>
        <v>113601</v>
      </c>
      <c r="AK444" s="313">
        <f t="shared" si="10"/>
        <v>726788.55762446951</v>
      </c>
    </row>
    <row r="445" spans="4:37" x14ac:dyDescent="0.25">
      <c r="D445" s="311">
        <v>4533728</v>
      </c>
      <c r="R445" s="313">
        <f t="shared" si="6"/>
        <v>5.8</v>
      </c>
      <c r="S445" s="313">
        <f t="shared" si="10"/>
        <v>5.25</v>
      </c>
      <c r="T445" s="313">
        <f t="shared" si="10"/>
        <v>0.5</v>
      </c>
      <c r="U445" s="313">
        <f t="shared" si="10"/>
        <v>0</v>
      </c>
      <c r="V445" s="313">
        <f t="shared" si="10"/>
        <v>0.05</v>
      </c>
      <c r="W445" s="313">
        <f t="shared" si="10"/>
        <v>0</v>
      </c>
      <c r="X445" s="313">
        <f t="shared" si="10"/>
        <v>40</v>
      </c>
      <c r="Y445" s="313">
        <f t="shared" si="10"/>
        <v>0</v>
      </c>
      <c r="Z445" s="313">
        <f t="shared" si="10"/>
        <v>3404566.259568728</v>
      </c>
      <c r="AA445" s="313">
        <f t="shared" si="10"/>
        <v>0</v>
      </c>
      <c r="AB445" s="313">
        <f t="shared" si="10"/>
        <v>247434.75823127167</v>
      </c>
      <c r="AC445" s="313">
        <f t="shared" si="10"/>
        <v>0</v>
      </c>
      <c r="AD445" s="313">
        <f t="shared" si="10"/>
        <v>3652001.0177999996</v>
      </c>
      <c r="AE445" s="313">
        <f t="shared" si="10"/>
        <v>0</v>
      </c>
      <c r="AF445" s="313">
        <f t="shared" si="10"/>
        <v>0</v>
      </c>
      <c r="AG445" s="313">
        <f t="shared" si="10"/>
        <v>0</v>
      </c>
      <c r="AH445" s="313">
        <f t="shared" si="10"/>
        <v>0</v>
      </c>
      <c r="AI445" s="313">
        <f t="shared" si="10"/>
        <v>0</v>
      </c>
      <c r="AJ445" s="313">
        <f t="shared" si="10"/>
        <v>0</v>
      </c>
      <c r="AK445" s="313">
        <f t="shared" si="10"/>
        <v>3652001.0177999996</v>
      </c>
    </row>
    <row r="446" spans="4:37" x14ac:dyDescent="0.25">
      <c r="D446" s="311">
        <v>4547815</v>
      </c>
      <c r="R446" s="313">
        <f t="shared" si="6"/>
        <v>2.0499999999999998</v>
      </c>
      <c r="S446" s="313">
        <f t="shared" si="10"/>
        <v>0.35</v>
      </c>
      <c r="T446" s="313">
        <f t="shared" si="10"/>
        <v>1.7</v>
      </c>
      <c r="U446" s="313">
        <f t="shared" si="10"/>
        <v>0</v>
      </c>
      <c r="V446" s="313">
        <f t="shared" si="10"/>
        <v>0</v>
      </c>
      <c r="W446" s="313">
        <f t="shared" si="10"/>
        <v>0</v>
      </c>
      <c r="X446" s="313">
        <f t="shared" si="10"/>
        <v>14</v>
      </c>
      <c r="Y446" s="313">
        <f t="shared" si="10"/>
        <v>0</v>
      </c>
      <c r="Z446" s="313">
        <f t="shared" si="10"/>
        <v>1065526.2534246573</v>
      </c>
      <c r="AA446" s="313">
        <f t="shared" si="10"/>
        <v>0</v>
      </c>
      <c r="AB446" s="313">
        <f t="shared" si="10"/>
        <v>249326.28354978358</v>
      </c>
      <c r="AC446" s="313">
        <f t="shared" si="10"/>
        <v>6858.1333333333332</v>
      </c>
      <c r="AD446" s="313">
        <f t="shared" si="10"/>
        <v>1321710.6703077741</v>
      </c>
      <c r="AE446" s="313">
        <f t="shared" si="10"/>
        <v>0</v>
      </c>
      <c r="AF446" s="313">
        <f t="shared" si="10"/>
        <v>193121.69999999998</v>
      </c>
      <c r="AG446" s="313">
        <f t="shared" si="10"/>
        <v>0</v>
      </c>
      <c r="AH446" s="313">
        <f t="shared" si="10"/>
        <v>0</v>
      </c>
      <c r="AI446" s="313">
        <f t="shared" si="10"/>
        <v>0</v>
      </c>
      <c r="AJ446" s="313">
        <f t="shared" si="10"/>
        <v>193121.69999999998</v>
      </c>
      <c r="AK446" s="313">
        <f t="shared" si="10"/>
        <v>1128588.9703077741</v>
      </c>
    </row>
    <row r="447" spans="4:37" x14ac:dyDescent="0.25">
      <c r="D447" s="311">
        <v>4659873</v>
      </c>
      <c r="R447" s="313">
        <f t="shared" si="6"/>
        <v>2</v>
      </c>
      <c r="S447" s="313">
        <f t="shared" si="10"/>
        <v>2</v>
      </c>
      <c r="T447" s="313">
        <f t="shared" si="10"/>
        <v>0</v>
      </c>
      <c r="U447" s="313">
        <f t="shared" si="10"/>
        <v>0</v>
      </c>
      <c r="V447" s="313">
        <f t="shared" si="10"/>
        <v>0</v>
      </c>
      <c r="W447" s="313">
        <f t="shared" si="10"/>
        <v>0</v>
      </c>
      <c r="X447" s="313">
        <f t="shared" si="10"/>
        <v>0</v>
      </c>
      <c r="Y447" s="313">
        <f t="shared" si="10"/>
        <v>0</v>
      </c>
      <c r="Z447" s="313">
        <f t="shared" si="10"/>
        <v>1223318.2277674212</v>
      </c>
      <c r="AA447" s="313">
        <f t="shared" si="10"/>
        <v>0</v>
      </c>
      <c r="AB447" s="313">
        <f t="shared" si="10"/>
        <v>82926.934966074739</v>
      </c>
      <c r="AC447" s="313">
        <f t="shared" si="10"/>
        <v>0</v>
      </c>
      <c r="AD447" s="313">
        <f t="shared" si="10"/>
        <v>1306245.1627334959</v>
      </c>
      <c r="AE447" s="313">
        <f t="shared" si="10"/>
        <v>0</v>
      </c>
      <c r="AF447" s="313">
        <f t="shared" si="10"/>
        <v>0</v>
      </c>
      <c r="AG447" s="313">
        <f t="shared" si="10"/>
        <v>0</v>
      </c>
      <c r="AH447" s="313">
        <f t="shared" si="10"/>
        <v>0</v>
      </c>
      <c r="AI447" s="313">
        <f t="shared" si="10"/>
        <v>0</v>
      </c>
      <c r="AJ447" s="313">
        <f t="shared" si="10"/>
        <v>0</v>
      </c>
      <c r="AK447" s="313">
        <f t="shared" si="10"/>
        <v>1306245.1627334959</v>
      </c>
    </row>
    <row r="448" spans="4:37" x14ac:dyDescent="0.25">
      <c r="D448" s="311">
        <v>4699567</v>
      </c>
      <c r="R448" s="313">
        <f t="shared" si="6"/>
        <v>6.8</v>
      </c>
      <c r="S448" s="313">
        <f t="shared" si="10"/>
        <v>1</v>
      </c>
      <c r="T448" s="313">
        <f t="shared" si="10"/>
        <v>5.8</v>
      </c>
      <c r="U448" s="313">
        <f t="shared" si="10"/>
        <v>0</v>
      </c>
      <c r="V448" s="313">
        <f t="shared" si="10"/>
        <v>0</v>
      </c>
      <c r="W448" s="313">
        <f t="shared" si="10"/>
        <v>32</v>
      </c>
      <c r="X448" s="313">
        <f t="shared" si="10"/>
        <v>0</v>
      </c>
      <c r="Y448" s="313">
        <f t="shared" si="10"/>
        <v>0</v>
      </c>
      <c r="Z448" s="313">
        <f t="shared" si="10"/>
        <v>3854321.1162318136</v>
      </c>
      <c r="AA448" s="313">
        <f t="shared" si="10"/>
        <v>0</v>
      </c>
      <c r="AB448" s="313">
        <f t="shared" si="10"/>
        <v>807254.69336222089</v>
      </c>
      <c r="AC448" s="313">
        <f t="shared" si="10"/>
        <v>0</v>
      </c>
      <c r="AD448" s="313">
        <f t="shared" si="10"/>
        <v>4661575.8095940342</v>
      </c>
      <c r="AE448" s="313">
        <f t="shared" si="10"/>
        <v>0</v>
      </c>
      <c r="AF448" s="313">
        <f t="shared" si="10"/>
        <v>0</v>
      </c>
      <c r="AG448" s="313">
        <f t="shared" si="10"/>
        <v>0</v>
      </c>
      <c r="AH448" s="313">
        <f t="shared" si="10"/>
        <v>727523.7333333334</v>
      </c>
      <c r="AI448" s="313">
        <f t="shared" si="10"/>
        <v>0</v>
      </c>
      <c r="AJ448" s="313">
        <f t="shared" si="10"/>
        <v>727523.7333333334</v>
      </c>
      <c r="AK448" s="313">
        <f t="shared" si="10"/>
        <v>3934052.0762607008</v>
      </c>
    </row>
    <row r="449" spans="4:37" x14ac:dyDescent="0.25">
      <c r="D449" s="311">
        <v>4720531</v>
      </c>
      <c r="R449" s="313">
        <f t="shared" si="6"/>
        <v>1.25</v>
      </c>
      <c r="S449" s="313">
        <f t="shared" si="10"/>
        <v>0</v>
      </c>
      <c r="T449" s="313">
        <f t="shared" si="10"/>
        <v>1.25</v>
      </c>
      <c r="U449" s="313">
        <f t="shared" si="10"/>
        <v>0</v>
      </c>
      <c r="V449" s="313">
        <f t="shared" si="10"/>
        <v>0</v>
      </c>
      <c r="W449" s="313">
        <f t="shared" si="10"/>
        <v>6</v>
      </c>
      <c r="X449" s="313">
        <f t="shared" si="10"/>
        <v>0</v>
      </c>
      <c r="Y449" s="313">
        <f t="shared" si="10"/>
        <v>0</v>
      </c>
      <c r="Z449" s="313">
        <f t="shared" si="10"/>
        <v>775370.49967527681</v>
      </c>
      <c r="AA449" s="313">
        <f t="shared" si="10"/>
        <v>0</v>
      </c>
      <c r="AB449" s="313">
        <f t="shared" si="10"/>
        <v>123148.67134002928</v>
      </c>
      <c r="AC449" s="313">
        <f t="shared" si="10"/>
        <v>0</v>
      </c>
      <c r="AD449" s="313">
        <f t="shared" si="10"/>
        <v>898519.17101530614</v>
      </c>
      <c r="AE449" s="313">
        <f t="shared" si="10"/>
        <v>0</v>
      </c>
      <c r="AF449" s="313">
        <f t="shared" si="10"/>
        <v>0</v>
      </c>
      <c r="AG449" s="313">
        <f t="shared" si="10"/>
        <v>0</v>
      </c>
      <c r="AH449" s="313">
        <f t="shared" si="10"/>
        <v>41952</v>
      </c>
      <c r="AI449" s="313">
        <f t="shared" si="10"/>
        <v>0</v>
      </c>
      <c r="AJ449" s="313">
        <f t="shared" si="10"/>
        <v>41952</v>
      </c>
      <c r="AK449" s="313">
        <f t="shared" si="10"/>
        <v>856567.17101530614</v>
      </c>
    </row>
    <row r="450" spans="4:37" x14ac:dyDescent="0.25">
      <c r="D450" s="311">
        <v>4721932</v>
      </c>
      <c r="R450" s="313">
        <f t="shared" si="6"/>
        <v>53.3</v>
      </c>
      <c r="S450" s="313">
        <f t="shared" si="10"/>
        <v>3</v>
      </c>
      <c r="T450" s="313">
        <f t="shared" si="10"/>
        <v>37.700000000000003</v>
      </c>
      <c r="U450" s="313">
        <f t="shared" si="10"/>
        <v>12.6</v>
      </c>
      <c r="V450" s="313">
        <f t="shared" si="10"/>
        <v>0</v>
      </c>
      <c r="W450" s="313">
        <f t="shared" si="10"/>
        <v>79</v>
      </c>
      <c r="X450" s="313">
        <f t="shared" si="10"/>
        <v>0</v>
      </c>
      <c r="Y450" s="313">
        <f t="shared" si="10"/>
        <v>0</v>
      </c>
      <c r="Z450" s="313">
        <f t="shared" si="10"/>
        <v>23649487.024531323</v>
      </c>
      <c r="AA450" s="313">
        <f t="shared" si="10"/>
        <v>9277663.120836081</v>
      </c>
      <c r="AB450" s="313">
        <f t="shared" si="10"/>
        <v>7664749.5468359962</v>
      </c>
      <c r="AC450" s="313">
        <f t="shared" si="10"/>
        <v>4923633.8921139417</v>
      </c>
      <c r="AD450" s="313">
        <f t="shared" si="10"/>
        <v>45515533.584317341</v>
      </c>
      <c r="AE450" s="313">
        <f t="shared" si="10"/>
        <v>0</v>
      </c>
      <c r="AF450" s="313">
        <f t="shared" si="10"/>
        <v>8383508.114705883</v>
      </c>
      <c r="AG450" s="313">
        <f t="shared" si="10"/>
        <v>2081628.3137254901</v>
      </c>
      <c r="AH450" s="313">
        <f t="shared" si="10"/>
        <v>3778985.7894736845</v>
      </c>
      <c r="AI450" s="313">
        <f t="shared" si="10"/>
        <v>3576302.35</v>
      </c>
      <c r="AJ450" s="313">
        <f t="shared" si="10"/>
        <v>17820424.567905057</v>
      </c>
      <c r="AK450" s="313">
        <f t="shared" si="10"/>
        <v>27695109.016412284</v>
      </c>
    </row>
    <row r="451" spans="4:37" x14ac:dyDescent="0.25">
      <c r="D451" s="311">
        <v>4753225</v>
      </c>
      <c r="R451" s="313">
        <f t="shared" si="6"/>
        <v>36.799999999999997</v>
      </c>
      <c r="S451" s="313">
        <f t="shared" si="10"/>
        <v>4</v>
      </c>
      <c r="T451" s="313">
        <f t="shared" si="10"/>
        <v>22.55</v>
      </c>
      <c r="U451" s="313">
        <f t="shared" si="10"/>
        <v>10.25</v>
      </c>
      <c r="V451" s="313">
        <f t="shared" si="10"/>
        <v>0</v>
      </c>
      <c r="W451" s="313">
        <f t="shared" si="10"/>
        <v>80</v>
      </c>
      <c r="X451" s="313">
        <f t="shared" si="10"/>
        <v>0</v>
      </c>
      <c r="Y451" s="313">
        <f t="shared" si="10"/>
        <v>0</v>
      </c>
      <c r="Z451" s="313">
        <f t="shared" si="10"/>
        <v>15767987.040435048</v>
      </c>
      <c r="AA451" s="313">
        <f t="shared" si="10"/>
        <v>7550657.2705596443</v>
      </c>
      <c r="AB451" s="313">
        <f t="shared" si="10"/>
        <v>7411806.977733694</v>
      </c>
      <c r="AC451" s="313">
        <f t="shared" si="10"/>
        <v>5201800.7758185817</v>
      </c>
      <c r="AD451" s="313">
        <f t="shared" si="10"/>
        <v>35932252.064546965</v>
      </c>
      <c r="AE451" s="313">
        <f t="shared" si="10"/>
        <v>0</v>
      </c>
      <c r="AF451" s="313">
        <f t="shared" si="10"/>
        <v>8981638.8124690745</v>
      </c>
      <c r="AG451" s="313">
        <f t="shared" si="10"/>
        <v>2339589.500805153</v>
      </c>
      <c r="AH451" s="313">
        <f t="shared" si="10"/>
        <v>5193901.970055161</v>
      </c>
      <c r="AI451" s="313">
        <f t="shared" si="10"/>
        <v>4070165.036764706</v>
      </c>
      <c r="AJ451" s="313">
        <f t="shared" si="10"/>
        <v>20585295.320094094</v>
      </c>
      <c r="AK451" s="313">
        <f t="shared" si="10"/>
        <v>15346956.744452871</v>
      </c>
    </row>
    <row r="452" spans="4:37" x14ac:dyDescent="0.25">
      <c r="D452" s="311">
        <v>4782003</v>
      </c>
      <c r="R452" s="313">
        <f t="shared" si="6"/>
        <v>26.74</v>
      </c>
      <c r="S452" s="313">
        <f t="shared" si="10"/>
        <v>1.1499999999999999</v>
      </c>
      <c r="T452" s="313">
        <f t="shared" si="10"/>
        <v>18</v>
      </c>
      <c r="U452" s="313">
        <f t="shared" si="10"/>
        <v>7.59</v>
      </c>
      <c r="V452" s="313">
        <f t="shared" si="10"/>
        <v>0</v>
      </c>
      <c r="W452" s="313">
        <f t="shared" si="10"/>
        <v>43</v>
      </c>
      <c r="X452" s="313">
        <f t="shared" si="10"/>
        <v>0</v>
      </c>
      <c r="Y452" s="313">
        <f t="shared" si="10"/>
        <v>0</v>
      </c>
      <c r="Z452" s="313">
        <f t="shared" ref="S452:AK466" si="11">SUMIFS(Z$4:Z$326,$D$4:$D$326,$D452)</f>
        <v>11373143.194890061</v>
      </c>
      <c r="AA452" s="313">
        <f t="shared" si="11"/>
        <v>5591169.6276631905</v>
      </c>
      <c r="AB452" s="313">
        <f t="shared" si="11"/>
        <v>3983846.2505318606</v>
      </c>
      <c r="AC452" s="313">
        <f t="shared" si="11"/>
        <v>2795967.9170024875</v>
      </c>
      <c r="AD452" s="313">
        <f t="shared" si="11"/>
        <v>23744126.990087599</v>
      </c>
      <c r="AE452" s="313">
        <f t="shared" si="11"/>
        <v>0</v>
      </c>
      <c r="AF452" s="313">
        <f t="shared" si="11"/>
        <v>4827630.8617021274</v>
      </c>
      <c r="AG452" s="313">
        <f t="shared" si="11"/>
        <v>1257529.3566827697</v>
      </c>
      <c r="AH452" s="313">
        <f t="shared" si="11"/>
        <v>2791722.3089046492</v>
      </c>
      <c r="AI452" s="313">
        <f t="shared" si="11"/>
        <v>2187713.7072610296</v>
      </c>
      <c r="AJ452" s="313">
        <f t="shared" si="11"/>
        <v>11064596.234550577</v>
      </c>
      <c r="AK452" s="313">
        <f t="shared" si="11"/>
        <v>12679530.755537022</v>
      </c>
    </row>
    <row r="453" spans="4:37" x14ac:dyDescent="0.25">
      <c r="D453" s="311">
        <v>4878719</v>
      </c>
      <c r="R453" s="313">
        <f t="shared" si="6"/>
        <v>4.5</v>
      </c>
      <c r="S453" s="313">
        <f t="shared" si="11"/>
        <v>0.5</v>
      </c>
      <c r="T453" s="313">
        <f t="shared" si="11"/>
        <v>4</v>
      </c>
      <c r="U453" s="313">
        <f t="shared" si="11"/>
        <v>0</v>
      </c>
      <c r="V453" s="313">
        <f t="shared" si="11"/>
        <v>0</v>
      </c>
      <c r="W453" s="313">
        <f t="shared" si="11"/>
        <v>0</v>
      </c>
      <c r="X453" s="313">
        <f t="shared" si="11"/>
        <v>0</v>
      </c>
      <c r="Y453" s="313">
        <f t="shared" si="11"/>
        <v>0</v>
      </c>
      <c r="Z453" s="313">
        <f t="shared" si="11"/>
        <v>2263920.0102700908</v>
      </c>
      <c r="AA453" s="313">
        <f t="shared" si="11"/>
        <v>0</v>
      </c>
      <c r="AB453" s="313">
        <f t="shared" si="11"/>
        <v>179937.87562260544</v>
      </c>
      <c r="AC453" s="313">
        <f t="shared" si="11"/>
        <v>0</v>
      </c>
      <c r="AD453" s="313">
        <f t="shared" si="11"/>
        <v>2443857.8858926962</v>
      </c>
      <c r="AE453" s="313">
        <f t="shared" si="11"/>
        <v>0</v>
      </c>
      <c r="AF453" s="313">
        <f t="shared" si="11"/>
        <v>555020.9411764706</v>
      </c>
      <c r="AG453" s="313">
        <f t="shared" si="11"/>
        <v>0</v>
      </c>
      <c r="AH453" s="313">
        <f t="shared" si="11"/>
        <v>0</v>
      </c>
      <c r="AI453" s="313">
        <f t="shared" si="11"/>
        <v>0</v>
      </c>
      <c r="AJ453" s="313">
        <f t="shared" si="11"/>
        <v>555020.9411764706</v>
      </c>
      <c r="AK453" s="313">
        <f t="shared" si="11"/>
        <v>1888836.9447162256</v>
      </c>
    </row>
    <row r="454" spans="4:37" x14ac:dyDescent="0.25">
      <c r="D454" s="311">
        <v>4885366</v>
      </c>
      <c r="R454" s="313">
        <f t="shared" si="6"/>
        <v>4</v>
      </c>
      <c r="S454" s="313">
        <f t="shared" si="11"/>
        <v>2</v>
      </c>
      <c r="T454" s="313">
        <f t="shared" si="11"/>
        <v>2</v>
      </c>
      <c r="U454" s="313">
        <f t="shared" si="11"/>
        <v>0</v>
      </c>
      <c r="V454" s="313">
        <f t="shared" si="11"/>
        <v>0</v>
      </c>
      <c r="W454" s="313">
        <f t="shared" si="11"/>
        <v>0</v>
      </c>
      <c r="X454" s="313">
        <f t="shared" si="11"/>
        <v>42</v>
      </c>
      <c r="Y454" s="313">
        <f t="shared" si="11"/>
        <v>0</v>
      </c>
      <c r="Z454" s="313">
        <f t="shared" si="11"/>
        <v>2446636.4555348423</v>
      </c>
      <c r="AA454" s="313">
        <f t="shared" si="11"/>
        <v>0</v>
      </c>
      <c r="AB454" s="313">
        <f t="shared" si="11"/>
        <v>165853.86993214948</v>
      </c>
      <c r="AC454" s="313">
        <f t="shared" si="11"/>
        <v>0</v>
      </c>
      <c r="AD454" s="313">
        <f t="shared" si="11"/>
        <v>2612490.3254669919</v>
      </c>
      <c r="AE454" s="313">
        <f t="shared" si="11"/>
        <v>0</v>
      </c>
      <c r="AF454" s="313">
        <f t="shared" si="11"/>
        <v>0</v>
      </c>
      <c r="AG454" s="313">
        <f t="shared" si="11"/>
        <v>0</v>
      </c>
      <c r="AH454" s="313">
        <f t="shared" si="11"/>
        <v>0</v>
      </c>
      <c r="AI454" s="313">
        <f t="shared" si="11"/>
        <v>0</v>
      </c>
      <c r="AJ454" s="313">
        <f t="shared" si="11"/>
        <v>0</v>
      </c>
      <c r="AK454" s="313">
        <f t="shared" si="11"/>
        <v>2612490.3254669919</v>
      </c>
    </row>
    <row r="455" spans="4:37" x14ac:dyDescent="0.25">
      <c r="D455" s="311">
        <v>4936413</v>
      </c>
      <c r="R455" s="313">
        <f t="shared" si="6"/>
        <v>3.21</v>
      </c>
      <c r="S455" s="313">
        <f t="shared" si="11"/>
        <v>0.9</v>
      </c>
      <c r="T455" s="313">
        <f t="shared" si="11"/>
        <v>2.31</v>
      </c>
      <c r="U455" s="313">
        <f t="shared" si="11"/>
        <v>0</v>
      </c>
      <c r="V455" s="313">
        <f t="shared" si="11"/>
        <v>0</v>
      </c>
      <c r="W455" s="313">
        <f t="shared" si="11"/>
        <v>0</v>
      </c>
      <c r="X455" s="313">
        <f t="shared" si="11"/>
        <v>3</v>
      </c>
      <c r="Y455" s="313">
        <f t="shared" si="11"/>
        <v>0</v>
      </c>
      <c r="Z455" s="313">
        <f t="shared" si="11"/>
        <v>1614929.6073259981</v>
      </c>
      <c r="AA455" s="313">
        <f t="shared" si="11"/>
        <v>0</v>
      </c>
      <c r="AB455" s="313">
        <f t="shared" si="11"/>
        <v>128355.68461079188</v>
      </c>
      <c r="AC455" s="313">
        <f t="shared" si="11"/>
        <v>0</v>
      </c>
      <c r="AD455" s="313">
        <f t="shared" si="11"/>
        <v>1743285.2919367901</v>
      </c>
      <c r="AE455" s="313">
        <f t="shared" si="11"/>
        <v>0</v>
      </c>
      <c r="AF455" s="313">
        <f t="shared" si="11"/>
        <v>320524.59352941177</v>
      </c>
      <c r="AG455" s="313">
        <f t="shared" si="11"/>
        <v>0</v>
      </c>
      <c r="AH455" s="313">
        <f t="shared" si="11"/>
        <v>0</v>
      </c>
      <c r="AI455" s="313">
        <f t="shared" si="11"/>
        <v>0</v>
      </c>
      <c r="AJ455" s="313">
        <f t="shared" si="11"/>
        <v>320524.59352941177</v>
      </c>
      <c r="AK455" s="313">
        <f t="shared" si="11"/>
        <v>1422760.6984073783</v>
      </c>
    </row>
    <row r="456" spans="4:37" x14ac:dyDescent="0.25">
      <c r="D456" s="311">
        <v>4987165</v>
      </c>
      <c r="R456" s="313">
        <f t="shared" si="6"/>
        <v>4.5</v>
      </c>
      <c r="S456" s="313">
        <f t="shared" si="11"/>
        <v>2.5</v>
      </c>
      <c r="T456" s="313">
        <f t="shared" si="11"/>
        <v>2</v>
      </c>
      <c r="U456" s="313">
        <f t="shared" si="11"/>
        <v>0</v>
      </c>
      <c r="V456" s="313">
        <f t="shared" si="11"/>
        <v>0</v>
      </c>
      <c r="W456" s="313">
        <f t="shared" si="11"/>
        <v>0</v>
      </c>
      <c r="X456" s="313">
        <f t="shared" si="11"/>
        <v>0</v>
      </c>
      <c r="Y456" s="313">
        <f t="shared" si="11"/>
        <v>0</v>
      </c>
      <c r="Z456" s="313">
        <f t="shared" si="11"/>
        <v>2641473.8220791854</v>
      </c>
      <c r="AA456" s="313">
        <f t="shared" si="11"/>
        <v>0</v>
      </c>
      <c r="AB456" s="313">
        <f t="shared" si="11"/>
        <v>191975.24345529699</v>
      </c>
      <c r="AC456" s="313">
        <f t="shared" si="11"/>
        <v>0</v>
      </c>
      <c r="AD456" s="313">
        <f t="shared" si="11"/>
        <v>2833449.0655344822</v>
      </c>
      <c r="AE456" s="313">
        <f t="shared" si="11"/>
        <v>0</v>
      </c>
      <c r="AF456" s="313">
        <f t="shared" si="11"/>
        <v>0</v>
      </c>
      <c r="AG456" s="313">
        <f t="shared" si="11"/>
        <v>0</v>
      </c>
      <c r="AH456" s="313">
        <f t="shared" si="11"/>
        <v>0</v>
      </c>
      <c r="AI456" s="313">
        <f t="shared" si="11"/>
        <v>0</v>
      </c>
      <c r="AJ456" s="313">
        <f t="shared" si="11"/>
        <v>0</v>
      </c>
      <c r="AK456" s="313">
        <f t="shared" si="11"/>
        <v>2833449.0655344822</v>
      </c>
    </row>
    <row r="457" spans="4:37" x14ac:dyDescent="0.25">
      <c r="D457" s="311">
        <v>5000179</v>
      </c>
      <c r="R457" s="313">
        <f t="shared" si="6"/>
        <v>66</v>
      </c>
      <c r="S457" s="313">
        <f t="shared" si="11"/>
        <v>2.5</v>
      </c>
      <c r="T457" s="313">
        <f t="shared" si="11"/>
        <v>54.5</v>
      </c>
      <c r="U457" s="313">
        <f t="shared" si="11"/>
        <v>9</v>
      </c>
      <c r="V457" s="313">
        <f t="shared" si="11"/>
        <v>0</v>
      </c>
      <c r="W457" s="313">
        <f t="shared" si="11"/>
        <v>58</v>
      </c>
      <c r="X457" s="313">
        <f t="shared" si="11"/>
        <v>0</v>
      </c>
      <c r="Y457" s="313">
        <f t="shared" si="11"/>
        <v>0</v>
      </c>
      <c r="Z457" s="313">
        <f t="shared" si="11"/>
        <v>33120903.203889076</v>
      </c>
      <c r="AA457" s="313">
        <f t="shared" si="11"/>
        <v>6626902.2291686293</v>
      </c>
      <c r="AB457" s="313">
        <f t="shared" si="11"/>
        <v>5627284.4774238961</v>
      </c>
      <c r="AC457" s="313">
        <f t="shared" si="11"/>
        <v>3614819.8195266915</v>
      </c>
      <c r="AD457" s="313">
        <f t="shared" si="11"/>
        <v>48989909.730008297</v>
      </c>
      <c r="AE457" s="313">
        <f t="shared" si="11"/>
        <v>0</v>
      </c>
      <c r="AF457" s="313">
        <f t="shared" si="11"/>
        <v>6154980.6411764706</v>
      </c>
      <c r="AG457" s="313">
        <f t="shared" si="11"/>
        <v>1528284.0784313725</v>
      </c>
      <c r="AH457" s="313">
        <f t="shared" si="11"/>
        <v>2774445.2631578948</v>
      </c>
      <c r="AI457" s="313">
        <f t="shared" si="11"/>
        <v>2625639.7000000002</v>
      </c>
      <c r="AJ457" s="313">
        <f t="shared" si="11"/>
        <v>13083349.682765737</v>
      </c>
      <c r="AK457" s="313">
        <f t="shared" si="11"/>
        <v>35906560.047242559</v>
      </c>
    </row>
    <row r="458" spans="4:37" x14ac:dyDescent="0.25">
      <c r="D458" s="311">
        <v>5002625</v>
      </c>
      <c r="R458" s="313">
        <f t="shared" si="6"/>
        <v>0</v>
      </c>
      <c r="S458" s="313">
        <f t="shared" si="11"/>
        <v>0</v>
      </c>
      <c r="T458" s="313">
        <f t="shared" si="11"/>
        <v>0</v>
      </c>
      <c r="U458" s="313">
        <f t="shared" si="11"/>
        <v>0</v>
      </c>
      <c r="V458" s="313">
        <f t="shared" si="11"/>
        <v>0</v>
      </c>
      <c r="W458" s="313">
        <f t="shared" si="11"/>
        <v>0</v>
      </c>
      <c r="X458" s="313">
        <f t="shared" si="11"/>
        <v>0</v>
      </c>
      <c r="Y458" s="313">
        <f t="shared" si="11"/>
        <v>0</v>
      </c>
      <c r="Z458" s="313">
        <f t="shared" si="11"/>
        <v>0</v>
      </c>
      <c r="AA458" s="313">
        <f t="shared" si="11"/>
        <v>0</v>
      </c>
      <c r="AB458" s="313">
        <f t="shared" si="11"/>
        <v>0</v>
      </c>
      <c r="AC458" s="313">
        <f t="shared" si="11"/>
        <v>0</v>
      </c>
      <c r="AD458" s="313">
        <f t="shared" si="11"/>
        <v>0</v>
      </c>
      <c r="AE458" s="313">
        <f t="shared" si="11"/>
        <v>0</v>
      </c>
      <c r="AF458" s="313">
        <f t="shared" si="11"/>
        <v>0</v>
      </c>
      <c r="AG458" s="313">
        <f t="shared" si="11"/>
        <v>0</v>
      </c>
      <c r="AH458" s="313">
        <f t="shared" si="11"/>
        <v>0</v>
      </c>
      <c r="AI458" s="313">
        <f t="shared" si="11"/>
        <v>0</v>
      </c>
      <c r="AJ458" s="313">
        <f t="shared" si="11"/>
        <v>0</v>
      </c>
      <c r="AK458" s="313">
        <f t="shared" si="11"/>
        <v>0</v>
      </c>
    </row>
    <row r="459" spans="4:37" x14ac:dyDescent="0.25">
      <c r="D459" s="311">
        <v>5020855</v>
      </c>
      <c r="R459" s="313">
        <f t="shared" ref="R459:AG522" si="12">SUMIFS(R$4:R$326,$D$4:$D$326,$D459)</f>
        <v>8.51</v>
      </c>
      <c r="S459" s="313">
        <f t="shared" si="12"/>
        <v>1</v>
      </c>
      <c r="T459" s="313">
        <f t="shared" si="12"/>
        <v>6.31</v>
      </c>
      <c r="U459" s="313">
        <f t="shared" si="12"/>
        <v>0</v>
      </c>
      <c r="V459" s="313">
        <f t="shared" si="12"/>
        <v>1.2</v>
      </c>
      <c r="W459" s="313">
        <f t="shared" si="12"/>
        <v>0</v>
      </c>
      <c r="X459" s="313">
        <f t="shared" si="12"/>
        <v>40</v>
      </c>
      <c r="Y459" s="313">
        <f t="shared" si="12"/>
        <v>0</v>
      </c>
      <c r="Z459" s="313">
        <f t="shared" si="12"/>
        <v>4423233.3739726022</v>
      </c>
      <c r="AA459" s="313">
        <f t="shared" si="12"/>
        <v>0</v>
      </c>
      <c r="AB459" s="313">
        <f t="shared" si="12"/>
        <v>712360.81014223874</v>
      </c>
      <c r="AC459" s="313">
        <f t="shared" si="12"/>
        <v>19594.666666666668</v>
      </c>
      <c r="AD459" s="313">
        <f t="shared" si="12"/>
        <v>5155188.8507815078</v>
      </c>
      <c r="AE459" s="313">
        <f t="shared" si="12"/>
        <v>0</v>
      </c>
      <c r="AF459" s="313">
        <f t="shared" si="12"/>
        <v>853143.51</v>
      </c>
      <c r="AG459" s="313">
        <f t="shared" si="12"/>
        <v>0</v>
      </c>
      <c r="AH459" s="313">
        <f t="shared" si="11"/>
        <v>0</v>
      </c>
      <c r="AI459" s="313">
        <f t="shared" si="11"/>
        <v>0</v>
      </c>
      <c r="AJ459" s="313">
        <f t="shared" si="11"/>
        <v>853143.51</v>
      </c>
      <c r="AK459" s="313">
        <f t="shared" si="11"/>
        <v>4302045.340781508</v>
      </c>
    </row>
    <row r="460" spans="4:37" x14ac:dyDescent="0.25">
      <c r="D460" s="311">
        <v>5040302</v>
      </c>
      <c r="R460" s="313">
        <f t="shared" si="12"/>
        <v>19</v>
      </c>
      <c r="S460" s="313">
        <f t="shared" si="11"/>
        <v>2</v>
      </c>
      <c r="T460" s="313">
        <f t="shared" si="11"/>
        <v>10</v>
      </c>
      <c r="U460" s="313">
        <f t="shared" si="11"/>
        <v>7</v>
      </c>
      <c r="V460" s="313">
        <f t="shared" si="11"/>
        <v>0</v>
      </c>
      <c r="W460" s="313">
        <f t="shared" si="11"/>
        <v>47</v>
      </c>
      <c r="X460" s="313">
        <f t="shared" si="11"/>
        <v>0</v>
      </c>
      <c r="Y460" s="313">
        <f t="shared" si="11"/>
        <v>0</v>
      </c>
      <c r="Z460" s="313">
        <f t="shared" si="11"/>
        <v>7126773.8035864625</v>
      </c>
      <c r="AA460" s="313">
        <f t="shared" si="11"/>
        <v>5156546.4286748795</v>
      </c>
      <c r="AB460" s="313">
        <f t="shared" si="11"/>
        <v>4354436.5994185451</v>
      </c>
      <c r="AC460" s="313">
        <f t="shared" si="11"/>
        <v>3056057.9557934166</v>
      </c>
      <c r="AD460" s="313">
        <f t="shared" si="11"/>
        <v>19693814.787473302</v>
      </c>
      <c r="AE460" s="313">
        <f t="shared" si="11"/>
        <v>0</v>
      </c>
      <c r="AF460" s="313">
        <f t="shared" si="11"/>
        <v>5276712.8023255812</v>
      </c>
      <c r="AG460" s="313">
        <f t="shared" si="11"/>
        <v>1374508.8317230274</v>
      </c>
      <c r="AH460" s="313">
        <f t="shared" si="11"/>
        <v>3051417.4074074072</v>
      </c>
      <c r="AI460" s="313">
        <f t="shared" si="11"/>
        <v>2391221.9590992648</v>
      </c>
      <c r="AJ460" s="313">
        <f t="shared" si="11"/>
        <v>12093861.000555281</v>
      </c>
      <c r="AK460" s="313">
        <f t="shared" si="11"/>
        <v>7599953.7869180217</v>
      </c>
    </row>
    <row r="461" spans="4:37" x14ac:dyDescent="0.25">
      <c r="D461" s="311">
        <v>5060032</v>
      </c>
      <c r="R461" s="313">
        <f t="shared" si="12"/>
        <v>2.2000000000000002</v>
      </c>
      <c r="S461" s="313">
        <f t="shared" si="11"/>
        <v>0.2</v>
      </c>
      <c r="T461" s="313">
        <f t="shared" si="11"/>
        <v>2</v>
      </c>
      <c r="U461" s="313">
        <f t="shared" si="11"/>
        <v>0</v>
      </c>
      <c r="V461" s="313">
        <f t="shared" si="11"/>
        <v>0</v>
      </c>
      <c r="W461" s="313">
        <f t="shared" si="11"/>
        <v>0</v>
      </c>
      <c r="X461" s="313">
        <f t="shared" si="11"/>
        <v>0</v>
      </c>
      <c r="Y461" s="313">
        <f t="shared" si="11"/>
        <v>0</v>
      </c>
      <c r="Z461" s="313">
        <f t="shared" si="11"/>
        <v>1129162.4387582131</v>
      </c>
      <c r="AA461" s="313">
        <f t="shared" si="11"/>
        <v>0</v>
      </c>
      <c r="AB461" s="313">
        <f t="shared" si="11"/>
        <v>0</v>
      </c>
      <c r="AC461" s="313">
        <f t="shared" si="11"/>
        <v>0</v>
      </c>
      <c r="AD461" s="313">
        <f t="shared" si="11"/>
        <v>1129162.4387582131</v>
      </c>
      <c r="AE461" s="313">
        <f t="shared" si="11"/>
        <v>0</v>
      </c>
      <c r="AF461" s="313">
        <f t="shared" si="11"/>
        <v>254760.6425503467</v>
      </c>
      <c r="AG461" s="313">
        <f t="shared" si="11"/>
        <v>0</v>
      </c>
      <c r="AH461" s="313">
        <f t="shared" si="11"/>
        <v>0</v>
      </c>
      <c r="AI461" s="313">
        <f t="shared" si="11"/>
        <v>0</v>
      </c>
      <c r="AJ461" s="313">
        <f t="shared" si="11"/>
        <v>254760.6425503467</v>
      </c>
      <c r="AK461" s="313">
        <f t="shared" si="11"/>
        <v>874401.7962078664</v>
      </c>
    </row>
    <row r="462" spans="4:37" x14ac:dyDescent="0.25">
      <c r="D462" s="311">
        <v>5133257</v>
      </c>
      <c r="R462" s="313">
        <f t="shared" si="12"/>
        <v>1.82</v>
      </c>
      <c r="S462" s="313">
        <f t="shared" si="11"/>
        <v>0.95</v>
      </c>
      <c r="T462" s="313">
        <f t="shared" si="11"/>
        <v>0</v>
      </c>
      <c r="U462" s="313">
        <f t="shared" si="11"/>
        <v>0</v>
      </c>
      <c r="V462" s="313">
        <f t="shared" si="11"/>
        <v>0.87</v>
      </c>
      <c r="W462" s="313">
        <f t="shared" si="11"/>
        <v>0</v>
      </c>
      <c r="X462" s="313">
        <f t="shared" si="11"/>
        <v>0</v>
      </c>
      <c r="Y462" s="313">
        <f t="shared" si="11"/>
        <v>0</v>
      </c>
      <c r="Z462" s="313">
        <f t="shared" si="11"/>
        <v>1107158.5894310549</v>
      </c>
      <c r="AA462" s="313">
        <f t="shared" si="11"/>
        <v>0</v>
      </c>
      <c r="AB462" s="313">
        <f t="shared" si="11"/>
        <v>81194.400000000009</v>
      </c>
      <c r="AC462" s="313">
        <f t="shared" si="11"/>
        <v>0</v>
      </c>
      <c r="AD462" s="313">
        <f t="shared" si="11"/>
        <v>1188352.9894310548</v>
      </c>
      <c r="AE462" s="313">
        <f t="shared" si="11"/>
        <v>0</v>
      </c>
      <c r="AF462" s="313">
        <f t="shared" si="11"/>
        <v>0</v>
      </c>
      <c r="AG462" s="313">
        <f t="shared" si="11"/>
        <v>0</v>
      </c>
      <c r="AH462" s="313">
        <f t="shared" si="11"/>
        <v>0</v>
      </c>
      <c r="AI462" s="313">
        <f t="shared" si="11"/>
        <v>0</v>
      </c>
      <c r="AJ462" s="313">
        <f t="shared" si="11"/>
        <v>0</v>
      </c>
      <c r="AK462" s="313">
        <f t="shared" si="11"/>
        <v>1188352.9894310548</v>
      </c>
    </row>
    <row r="463" spans="4:37" x14ac:dyDescent="0.25">
      <c r="D463" s="311">
        <v>5141443</v>
      </c>
      <c r="R463" s="313">
        <f t="shared" si="12"/>
        <v>1.2</v>
      </c>
      <c r="S463" s="313">
        <f t="shared" si="11"/>
        <v>0.1</v>
      </c>
      <c r="T463" s="313">
        <f t="shared" si="11"/>
        <v>1.1000000000000001</v>
      </c>
      <c r="U463" s="313">
        <f t="shared" si="11"/>
        <v>0</v>
      </c>
      <c r="V463" s="313">
        <f t="shared" si="11"/>
        <v>0</v>
      </c>
      <c r="W463" s="313">
        <f t="shared" si="11"/>
        <v>0</v>
      </c>
      <c r="X463" s="313">
        <f t="shared" si="11"/>
        <v>0</v>
      </c>
      <c r="Y463" s="313">
        <f t="shared" si="11"/>
        <v>0</v>
      </c>
      <c r="Z463" s="313">
        <f t="shared" si="11"/>
        <v>603712.00273869094</v>
      </c>
      <c r="AA463" s="313">
        <f t="shared" si="11"/>
        <v>0</v>
      </c>
      <c r="AB463" s="313">
        <f t="shared" si="11"/>
        <v>47983.433499361454</v>
      </c>
      <c r="AC463" s="313">
        <f t="shared" si="11"/>
        <v>0</v>
      </c>
      <c r="AD463" s="313">
        <f t="shared" si="11"/>
        <v>651695.43623805244</v>
      </c>
      <c r="AE463" s="313">
        <f t="shared" si="11"/>
        <v>0</v>
      </c>
      <c r="AF463" s="313">
        <f t="shared" si="11"/>
        <v>152630.75882352944</v>
      </c>
      <c r="AG463" s="313">
        <f t="shared" si="11"/>
        <v>0</v>
      </c>
      <c r="AH463" s="313">
        <f t="shared" si="11"/>
        <v>0</v>
      </c>
      <c r="AI463" s="313">
        <f t="shared" si="11"/>
        <v>0</v>
      </c>
      <c r="AJ463" s="313">
        <f t="shared" si="11"/>
        <v>152630.75882352944</v>
      </c>
      <c r="AK463" s="313">
        <f t="shared" si="11"/>
        <v>499064.67741452297</v>
      </c>
    </row>
    <row r="464" spans="4:37" x14ac:dyDescent="0.25">
      <c r="D464" s="311">
        <v>5173305</v>
      </c>
      <c r="R464" s="313">
        <f t="shared" si="12"/>
        <v>13.5</v>
      </c>
      <c r="S464" s="313">
        <f t="shared" si="11"/>
        <v>1.75</v>
      </c>
      <c r="T464" s="313">
        <f t="shared" si="11"/>
        <v>10</v>
      </c>
      <c r="U464" s="313">
        <f t="shared" si="11"/>
        <v>0.5</v>
      </c>
      <c r="V464" s="313">
        <f t="shared" si="11"/>
        <v>1.25</v>
      </c>
      <c r="W464" s="313">
        <f t="shared" si="11"/>
        <v>0</v>
      </c>
      <c r="X464" s="313">
        <f t="shared" si="11"/>
        <v>65</v>
      </c>
      <c r="Y464" s="313">
        <f t="shared" si="11"/>
        <v>0</v>
      </c>
      <c r="Z464" s="313">
        <f t="shared" si="11"/>
        <v>8814236.0955543797</v>
      </c>
      <c r="AA464" s="313">
        <f t="shared" si="11"/>
        <v>0</v>
      </c>
      <c r="AB464" s="313">
        <f t="shared" si="11"/>
        <v>1678559.4768292683</v>
      </c>
      <c r="AC464" s="313">
        <f t="shared" si="11"/>
        <v>324597</v>
      </c>
      <c r="AD464" s="313">
        <f t="shared" si="11"/>
        <v>10817392.572383648</v>
      </c>
      <c r="AE464" s="313">
        <f t="shared" si="11"/>
        <v>0</v>
      </c>
      <c r="AF464" s="313">
        <f t="shared" si="11"/>
        <v>1584998.2026143789</v>
      </c>
      <c r="AG464" s="313">
        <f t="shared" si="11"/>
        <v>0</v>
      </c>
      <c r="AH464" s="313">
        <f t="shared" si="11"/>
        <v>0</v>
      </c>
      <c r="AI464" s="313">
        <f t="shared" si="11"/>
        <v>354400</v>
      </c>
      <c r="AJ464" s="313">
        <f t="shared" si="11"/>
        <v>1939398.2026143789</v>
      </c>
      <c r="AK464" s="313">
        <f t="shared" si="11"/>
        <v>8877994.3697692696</v>
      </c>
    </row>
    <row r="465" spans="4:37" x14ac:dyDescent="0.25">
      <c r="D465" s="311">
        <v>5175408</v>
      </c>
      <c r="R465" s="313">
        <f t="shared" si="12"/>
        <v>2</v>
      </c>
      <c r="S465" s="313">
        <f t="shared" si="11"/>
        <v>0</v>
      </c>
      <c r="T465" s="313">
        <f t="shared" si="11"/>
        <v>2</v>
      </c>
      <c r="U465" s="313">
        <f t="shared" si="11"/>
        <v>0</v>
      </c>
      <c r="V465" s="313">
        <f t="shared" si="11"/>
        <v>0</v>
      </c>
      <c r="W465" s="313">
        <f t="shared" si="11"/>
        <v>0</v>
      </c>
      <c r="X465" s="313">
        <f t="shared" si="11"/>
        <v>0</v>
      </c>
      <c r="Y465" s="313">
        <f t="shared" si="11"/>
        <v>0</v>
      </c>
      <c r="Z465" s="313">
        <f t="shared" si="11"/>
        <v>1006186.6712311516</v>
      </c>
      <c r="AA465" s="313">
        <f t="shared" si="11"/>
        <v>0</v>
      </c>
      <c r="AB465" s="313">
        <f t="shared" si="11"/>
        <v>79972.389165602421</v>
      </c>
      <c r="AC465" s="313">
        <f t="shared" si="11"/>
        <v>0</v>
      </c>
      <c r="AD465" s="313">
        <f t="shared" si="11"/>
        <v>1086159.060396754</v>
      </c>
      <c r="AE465" s="313">
        <f t="shared" si="11"/>
        <v>0</v>
      </c>
      <c r="AF465" s="313">
        <f t="shared" si="11"/>
        <v>277510.4705882353</v>
      </c>
      <c r="AG465" s="313">
        <f t="shared" si="11"/>
        <v>0</v>
      </c>
      <c r="AH465" s="313">
        <f t="shared" si="11"/>
        <v>0</v>
      </c>
      <c r="AI465" s="313">
        <f t="shared" si="11"/>
        <v>0</v>
      </c>
      <c r="AJ465" s="313">
        <f t="shared" si="11"/>
        <v>277510.4705882353</v>
      </c>
      <c r="AK465" s="313">
        <f t="shared" si="11"/>
        <v>808648.58980851865</v>
      </c>
    </row>
    <row r="466" spans="4:37" x14ac:dyDescent="0.25">
      <c r="D466" s="311">
        <v>5204562</v>
      </c>
      <c r="R466" s="313">
        <f t="shared" si="12"/>
        <v>5.7</v>
      </c>
      <c r="S466" s="313">
        <f t="shared" si="11"/>
        <v>0.7</v>
      </c>
      <c r="T466" s="313">
        <f t="shared" si="11"/>
        <v>5</v>
      </c>
      <c r="U466" s="313">
        <f t="shared" si="11"/>
        <v>0</v>
      </c>
      <c r="V466" s="313">
        <f t="shared" si="11"/>
        <v>0</v>
      </c>
      <c r="W466" s="313">
        <f t="shared" si="11"/>
        <v>0</v>
      </c>
      <c r="X466" s="313">
        <f t="shared" si="11"/>
        <v>0</v>
      </c>
      <c r="Y466" s="313">
        <f t="shared" si="11"/>
        <v>0</v>
      </c>
      <c r="Z466" s="313">
        <f t="shared" si="11"/>
        <v>2867632.0130087822</v>
      </c>
      <c r="AA466" s="313">
        <f t="shared" si="11"/>
        <v>0</v>
      </c>
      <c r="AB466" s="313">
        <f t="shared" si="11"/>
        <v>227921.30912196691</v>
      </c>
      <c r="AC466" s="313">
        <f t="shared" si="11"/>
        <v>0</v>
      </c>
      <c r="AD466" s="313">
        <f t="shared" ref="S466:AK479" si="13">SUMIFS(AD$4:AD$326,$D$4:$D$326,$D466)</f>
        <v>3095553.322130749</v>
      </c>
      <c r="AE466" s="313">
        <f t="shared" si="13"/>
        <v>0</v>
      </c>
      <c r="AF466" s="313">
        <f t="shared" si="13"/>
        <v>693776.17647058819</v>
      </c>
      <c r="AG466" s="313">
        <f t="shared" si="13"/>
        <v>0</v>
      </c>
      <c r="AH466" s="313">
        <f t="shared" si="13"/>
        <v>0</v>
      </c>
      <c r="AI466" s="313">
        <f t="shared" si="13"/>
        <v>0</v>
      </c>
      <c r="AJ466" s="313">
        <f t="shared" si="13"/>
        <v>693776.17647058819</v>
      </c>
      <c r="AK466" s="313">
        <f t="shared" si="13"/>
        <v>2401777.145660161</v>
      </c>
    </row>
    <row r="467" spans="4:37" x14ac:dyDescent="0.25">
      <c r="D467" s="311">
        <v>5220717</v>
      </c>
      <c r="R467" s="313">
        <f t="shared" si="12"/>
        <v>32.520000000000003</v>
      </c>
      <c r="S467" s="313">
        <f t="shared" si="13"/>
        <v>1.1299999999999999</v>
      </c>
      <c r="T467" s="313">
        <f t="shared" si="13"/>
        <v>26.18</v>
      </c>
      <c r="U467" s="313">
        <f t="shared" si="13"/>
        <v>5.21</v>
      </c>
      <c r="V467" s="313">
        <f t="shared" si="13"/>
        <v>0</v>
      </c>
      <c r="W467" s="313">
        <f t="shared" si="13"/>
        <v>40</v>
      </c>
      <c r="X467" s="313">
        <f t="shared" si="13"/>
        <v>0</v>
      </c>
      <c r="Y467" s="313">
        <f t="shared" si="13"/>
        <v>0</v>
      </c>
      <c r="Z467" s="313">
        <f t="shared" si="13"/>
        <v>15859756.379069418</v>
      </c>
      <c r="AA467" s="313">
        <f t="shared" si="13"/>
        <v>3822633.8470940101</v>
      </c>
      <c r="AB467" s="313">
        <f t="shared" si="13"/>
        <v>3652553.3323654323</v>
      </c>
      <c r="AC467" s="313">
        <f t="shared" si="13"/>
        <v>2451853.2207152471</v>
      </c>
      <c r="AD467" s="313">
        <f t="shared" si="13"/>
        <v>25786796.779244106</v>
      </c>
      <c r="AE467" s="313">
        <f t="shared" si="13"/>
        <v>0</v>
      </c>
      <c r="AF467" s="313">
        <f t="shared" si="13"/>
        <v>4802728.8</v>
      </c>
      <c r="AG467" s="313">
        <f t="shared" si="13"/>
        <v>899283.85</v>
      </c>
      <c r="AH467" s="313">
        <f t="shared" si="13"/>
        <v>2417673.1034482759</v>
      </c>
      <c r="AI467" s="313">
        <f t="shared" si="13"/>
        <v>2040054</v>
      </c>
      <c r="AJ467" s="313">
        <f t="shared" si="13"/>
        <v>10159739.753448276</v>
      </c>
      <c r="AK467" s="313">
        <f t="shared" si="13"/>
        <v>15627057.02579583</v>
      </c>
    </row>
    <row r="468" spans="4:37" x14ac:dyDescent="0.25">
      <c r="D468" s="311">
        <v>5344327</v>
      </c>
      <c r="R468" s="313">
        <f t="shared" si="12"/>
        <v>22.7</v>
      </c>
      <c r="S468" s="313">
        <f t="shared" si="13"/>
        <v>1.2</v>
      </c>
      <c r="T468" s="313">
        <f t="shared" si="13"/>
        <v>18</v>
      </c>
      <c r="U468" s="313">
        <f t="shared" si="13"/>
        <v>3.5</v>
      </c>
      <c r="V468" s="313">
        <f t="shared" si="13"/>
        <v>0</v>
      </c>
      <c r="W468" s="313">
        <f t="shared" si="13"/>
        <v>60</v>
      </c>
      <c r="X468" s="313">
        <f t="shared" si="13"/>
        <v>0</v>
      </c>
      <c r="Y468" s="313">
        <f t="shared" si="13"/>
        <v>0</v>
      </c>
      <c r="Z468" s="313">
        <f t="shared" si="13"/>
        <v>11402838.08573834</v>
      </c>
      <c r="AA468" s="313">
        <f t="shared" si="13"/>
        <v>2578273.2143374397</v>
      </c>
      <c r="AB468" s="313">
        <f t="shared" si="13"/>
        <v>5558855.2333002705</v>
      </c>
      <c r="AC468" s="313">
        <f t="shared" si="13"/>
        <v>3901350.581863936</v>
      </c>
      <c r="AD468" s="313">
        <f t="shared" si="13"/>
        <v>23441317.115239989</v>
      </c>
      <c r="AE468" s="313">
        <f t="shared" si="13"/>
        <v>0</v>
      </c>
      <c r="AF468" s="313">
        <f t="shared" si="13"/>
        <v>6736229.1093518054</v>
      </c>
      <c r="AG468" s="313">
        <f t="shared" si="13"/>
        <v>1754692.1256038647</v>
      </c>
      <c r="AH468" s="313">
        <f t="shared" si="13"/>
        <v>3895426.4775413712</v>
      </c>
      <c r="AI468" s="313">
        <f t="shared" si="13"/>
        <v>3052623.7775735296</v>
      </c>
      <c r="AJ468" s="313">
        <f t="shared" si="13"/>
        <v>15438971.49007057</v>
      </c>
      <c r="AK468" s="313">
        <f t="shared" si="13"/>
        <v>8002345.6251694188</v>
      </c>
    </row>
    <row r="469" spans="4:37" x14ac:dyDescent="0.25">
      <c r="D469" s="311">
        <v>5369609</v>
      </c>
      <c r="R469" s="313">
        <f t="shared" si="12"/>
        <v>3.5</v>
      </c>
      <c r="S469" s="313">
        <f t="shared" si="13"/>
        <v>1.5</v>
      </c>
      <c r="T469" s="313">
        <f t="shared" si="13"/>
        <v>2</v>
      </c>
      <c r="U469" s="313">
        <f t="shared" si="13"/>
        <v>0</v>
      </c>
      <c r="V469" s="313">
        <f t="shared" si="13"/>
        <v>0</v>
      </c>
      <c r="W469" s="313">
        <f t="shared" si="13"/>
        <v>0</v>
      </c>
      <c r="X469" s="313">
        <f t="shared" si="13"/>
        <v>0</v>
      </c>
      <c r="Y469" s="313">
        <f t="shared" si="13"/>
        <v>0</v>
      </c>
      <c r="Z469" s="313">
        <f t="shared" si="13"/>
        <v>2054479.6393949222</v>
      </c>
      <c r="AA469" s="313">
        <f t="shared" si="13"/>
        <v>0</v>
      </c>
      <c r="AB469" s="313">
        <f t="shared" si="13"/>
        <v>149314.07824300879</v>
      </c>
      <c r="AC469" s="313">
        <f t="shared" si="13"/>
        <v>0</v>
      </c>
      <c r="AD469" s="313">
        <f t="shared" si="13"/>
        <v>2203793.717637931</v>
      </c>
      <c r="AE469" s="313">
        <f t="shared" si="13"/>
        <v>0</v>
      </c>
      <c r="AF469" s="313">
        <f t="shared" si="13"/>
        <v>0</v>
      </c>
      <c r="AG469" s="313">
        <f t="shared" si="13"/>
        <v>0</v>
      </c>
      <c r="AH469" s="313">
        <f t="shared" si="13"/>
        <v>0</v>
      </c>
      <c r="AI469" s="313">
        <f t="shared" si="13"/>
        <v>0</v>
      </c>
      <c r="AJ469" s="313">
        <f t="shared" si="13"/>
        <v>0</v>
      </c>
      <c r="AK469" s="313">
        <f t="shared" si="13"/>
        <v>2203793.717637931</v>
      </c>
    </row>
    <row r="470" spans="4:37" x14ac:dyDescent="0.25">
      <c r="D470" s="311">
        <v>5376966</v>
      </c>
      <c r="R470" s="313">
        <f t="shared" si="12"/>
        <v>28.4</v>
      </c>
      <c r="S470" s="313">
        <f t="shared" si="13"/>
        <v>3</v>
      </c>
      <c r="T470" s="313">
        <f t="shared" si="13"/>
        <v>25.4</v>
      </c>
      <c r="U470" s="313">
        <f t="shared" si="13"/>
        <v>0</v>
      </c>
      <c r="V470" s="313">
        <f t="shared" si="13"/>
        <v>0</v>
      </c>
      <c r="W470" s="313">
        <f t="shared" si="13"/>
        <v>0</v>
      </c>
      <c r="X470" s="313">
        <f t="shared" si="13"/>
        <v>0</v>
      </c>
      <c r="Y470" s="313">
        <f t="shared" si="13"/>
        <v>0</v>
      </c>
      <c r="Z470" s="313">
        <f t="shared" si="13"/>
        <v>14287850.731482351</v>
      </c>
      <c r="AA470" s="313">
        <f t="shared" si="13"/>
        <v>0</v>
      </c>
      <c r="AB470" s="313">
        <f t="shared" si="13"/>
        <v>1135607.9261515543</v>
      </c>
      <c r="AC470" s="313">
        <f t="shared" si="13"/>
        <v>0</v>
      </c>
      <c r="AD470" s="313">
        <f t="shared" si="13"/>
        <v>15423458.657633906</v>
      </c>
      <c r="AE470" s="313">
        <f t="shared" si="13"/>
        <v>0</v>
      </c>
      <c r="AF470" s="313">
        <f t="shared" si="13"/>
        <v>3524382.9764705882</v>
      </c>
      <c r="AG470" s="313">
        <f t="shared" si="13"/>
        <v>0</v>
      </c>
      <c r="AH470" s="313">
        <f t="shared" si="13"/>
        <v>0</v>
      </c>
      <c r="AI470" s="313">
        <f t="shared" si="13"/>
        <v>0</v>
      </c>
      <c r="AJ470" s="313">
        <f t="shared" si="13"/>
        <v>3524382.9764705882</v>
      </c>
      <c r="AK470" s="313">
        <f t="shared" si="13"/>
        <v>11899075.681163318</v>
      </c>
    </row>
    <row r="471" spans="4:37" x14ac:dyDescent="0.25">
      <c r="D471" s="311">
        <v>5539112</v>
      </c>
      <c r="R471" s="313">
        <f t="shared" si="12"/>
        <v>3.3</v>
      </c>
      <c r="S471" s="313">
        <f t="shared" si="13"/>
        <v>0.3</v>
      </c>
      <c r="T471" s="313">
        <f t="shared" si="13"/>
        <v>3</v>
      </c>
      <c r="U471" s="313">
        <f t="shared" si="13"/>
        <v>0</v>
      </c>
      <c r="V471" s="313">
        <f t="shared" si="13"/>
        <v>0</v>
      </c>
      <c r="W471" s="313">
        <f t="shared" si="13"/>
        <v>0</v>
      </c>
      <c r="X471" s="313">
        <f t="shared" si="13"/>
        <v>15</v>
      </c>
      <c r="Y471" s="313">
        <f t="shared" si="13"/>
        <v>0</v>
      </c>
      <c r="Z471" s="313">
        <f t="shared" si="13"/>
        <v>2154591.0455799592</v>
      </c>
      <c r="AA471" s="313">
        <f t="shared" si="13"/>
        <v>0</v>
      </c>
      <c r="AB471" s="313">
        <f t="shared" si="13"/>
        <v>387359.87926829269</v>
      </c>
      <c r="AC471" s="313">
        <f t="shared" si="13"/>
        <v>74907</v>
      </c>
      <c r="AD471" s="313">
        <f t="shared" si="13"/>
        <v>2616857.924848252</v>
      </c>
      <c r="AE471" s="313">
        <f t="shared" si="13"/>
        <v>0</v>
      </c>
      <c r="AF471" s="313">
        <f t="shared" si="13"/>
        <v>404680.39215686271</v>
      </c>
      <c r="AG471" s="313">
        <f t="shared" si="13"/>
        <v>0</v>
      </c>
      <c r="AH471" s="313">
        <f t="shared" si="13"/>
        <v>0</v>
      </c>
      <c r="AI471" s="313">
        <f t="shared" si="13"/>
        <v>81784.61538461539</v>
      </c>
      <c r="AJ471" s="313">
        <f t="shared" si="13"/>
        <v>486465.00754147809</v>
      </c>
      <c r="AK471" s="313">
        <f t="shared" si="13"/>
        <v>2130392.9173067738</v>
      </c>
    </row>
    <row r="472" spans="4:37" x14ac:dyDescent="0.25">
      <c r="D472" s="311">
        <v>5599785</v>
      </c>
      <c r="R472" s="313">
        <f t="shared" si="12"/>
        <v>2.61</v>
      </c>
      <c r="S472" s="313">
        <f t="shared" si="13"/>
        <v>0.11</v>
      </c>
      <c r="T472" s="313">
        <f t="shared" si="13"/>
        <v>2.5</v>
      </c>
      <c r="U472" s="313">
        <f t="shared" si="13"/>
        <v>0</v>
      </c>
      <c r="V472" s="313">
        <f t="shared" si="13"/>
        <v>0</v>
      </c>
      <c r="W472" s="313">
        <f t="shared" si="13"/>
        <v>0</v>
      </c>
      <c r="X472" s="313">
        <f t="shared" si="13"/>
        <v>20</v>
      </c>
      <c r="Y472" s="313">
        <f t="shared" si="13"/>
        <v>0</v>
      </c>
      <c r="Z472" s="313">
        <f t="shared" si="13"/>
        <v>1704085.6451405133</v>
      </c>
      <c r="AA472" s="313">
        <f t="shared" si="13"/>
        <v>0</v>
      </c>
      <c r="AB472" s="313">
        <f t="shared" si="13"/>
        <v>516479.83902439021</v>
      </c>
      <c r="AC472" s="313">
        <f t="shared" si="13"/>
        <v>99876</v>
      </c>
      <c r="AD472" s="313">
        <f t="shared" si="13"/>
        <v>2320441.4841649034</v>
      </c>
      <c r="AE472" s="313">
        <f t="shared" si="13"/>
        <v>0</v>
      </c>
      <c r="AF472" s="313">
        <f t="shared" si="13"/>
        <v>337233.66013071896</v>
      </c>
      <c r="AG472" s="313">
        <f t="shared" si="13"/>
        <v>0</v>
      </c>
      <c r="AH472" s="313">
        <f t="shared" si="13"/>
        <v>0</v>
      </c>
      <c r="AI472" s="313">
        <f t="shared" si="13"/>
        <v>109046.15384615384</v>
      </c>
      <c r="AJ472" s="313">
        <f t="shared" si="13"/>
        <v>446279.81397687283</v>
      </c>
      <c r="AK472" s="313">
        <f t="shared" si="13"/>
        <v>1874161.6701880307</v>
      </c>
    </row>
    <row r="473" spans="4:37" x14ac:dyDescent="0.25">
      <c r="D473" s="311">
        <v>5638901</v>
      </c>
      <c r="R473" s="313">
        <f t="shared" si="12"/>
        <v>31</v>
      </c>
      <c r="S473" s="313">
        <f t="shared" si="13"/>
        <v>1.9</v>
      </c>
      <c r="T473" s="313">
        <f t="shared" si="13"/>
        <v>23.7</v>
      </c>
      <c r="U473" s="313">
        <f t="shared" si="13"/>
        <v>5.4</v>
      </c>
      <c r="V473" s="313">
        <f t="shared" si="13"/>
        <v>0</v>
      </c>
      <c r="W473" s="313">
        <f t="shared" si="13"/>
        <v>76</v>
      </c>
      <c r="X473" s="313">
        <f t="shared" si="13"/>
        <v>0</v>
      </c>
      <c r="Y473" s="313">
        <f t="shared" si="13"/>
        <v>0</v>
      </c>
      <c r="Z473" s="313">
        <f t="shared" si="13"/>
        <v>14866706.821829991</v>
      </c>
      <c r="AA473" s="313">
        <f t="shared" si="13"/>
        <v>3962038.9202126018</v>
      </c>
      <c r="AB473" s="313">
        <f t="shared" si="13"/>
        <v>6939851.3314943211</v>
      </c>
      <c r="AC473" s="313">
        <f t="shared" si="13"/>
        <v>4658521.1193589689</v>
      </c>
      <c r="AD473" s="313">
        <f t="shared" si="13"/>
        <v>30427118.192895882</v>
      </c>
      <c r="AE473" s="313">
        <f t="shared" si="13"/>
        <v>0</v>
      </c>
      <c r="AF473" s="313">
        <f t="shared" si="13"/>
        <v>9125184.7200000007</v>
      </c>
      <c r="AG473" s="313">
        <f t="shared" si="13"/>
        <v>1708639.3149999999</v>
      </c>
      <c r="AH473" s="313">
        <f t="shared" si="13"/>
        <v>4593578.8965517245</v>
      </c>
      <c r="AI473" s="313">
        <f t="shared" si="13"/>
        <v>3876102.6</v>
      </c>
      <c r="AJ473" s="313">
        <f t="shared" si="13"/>
        <v>19303505.531551726</v>
      </c>
      <c r="AK473" s="313">
        <f t="shared" si="13"/>
        <v>11123612.661344156</v>
      </c>
    </row>
    <row r="474" spans="4:37" x14ac:dyDescent="0.25">
      <c r="D474" s="311">
        <v>5646573</v>
      </c>
      <c r="R474" s="313">
        <f t="shared" si="12"/>
        <v>2.1</v>
      </c>
      <c r="S474" s="313">
        <f t="shared" si="13"/>
        <v>2.1</v>
      </c>
      <c r="T474" s="313">
        <f t="shared" si="13"/>
        <v>0</v>
      </c>
      <c r="U474" s="313">
        <f t="shared" si="13"/>
        <v>0</v>
      </c>
      <c r="V474" s="313">
        <f t="shared" si="13"/>
        <v>0</v>
      </c>
      <c r="W474" s="313">
        <f t="shared" si="13"/>
        <v>0</v>
      </c>
      <c r="X474" s="313">
        <f t="shared" si="13"/>
        <v>0</v>
      </c>
      <c r="Y474" s="313">
        <f t="shared" si="13"/>
        <v>0</v>
      </c>
      <c r="Z474" s="313">
        <f t="shared" si="13"/>
        <v>1277490.6801127556</v>
      </c>
      <c r="AA474" s="313">
        <f t="shared" si="13"/>
        <v>0</v>
      </c>
      <c r="AB474" s="313">
        <f t="shared" si="13"/>
        <v>93685.846153846171</v>
      </c>
      <c r="AC474" s="313">
        <f t="shared" si="13"/>
        <v>0</v>
      </c>
      <c r="AD474" s="313">
        <f t="shared" si="13"/>
        <v>1371176.5262666019</v>
      </c>
      <c r="AE474" s="313">
        <f t="shared" si="13"/>
        <v>0</v>
      </c>
      <c r="AF474" s="313">
        <f t="shared" si="13"/>
        <v>0</v>
      </c>
      <c r="AG474" s="313">
        <f t="shared" si="13"/>
        <v>0</v>
      </c>
      <c r="AH474" s="313">
        <f t="shared" si="13"/>
        <v>0</v>
      </c>
      <c r="AI474" s="313">
        <f t="shared" si="13"/>
        <v>0</v>
      </c>
      <c r="AJ474" s="313">
        <f t="shared" si="13"/>
        <v>0</v>
      </c>
      <c r="AK474" s="313">
        <f t="shared" si="13"/>
        <v>1371176.5262666019</v>
      </c>
    </row>
    <row r="475" spans="4:37" x14ac:dyDescent="0.25">
      <c r="D475" s="311">
        <v>5651221</v>
      </c>
      <c r="R475" s="313">
        <f t="shared" si="12"/>
        <v>33</v>
      </c>
      <c r="S475" s="313">
        <f t="shared" si="13"/>
        <v>2</v>
      </c>
      <c r="T475" s="313">
        <f t="shared" si="13"/>
        <v>23</v>
      </c>
      <c r="U475" s="313">
        <f t="shared" si="13"/>
        <v>8</v>
      </c>
      <c r="V475" s="313">
        <f t="shared" si="13"/>
        <v>0</v>
      </c>
      <c r="W475" s="313">
        <f t="shared" si="13"/>
        <v>49</v>
      </c>
      <c r="X475" s="313">
        <f t="shared" si="13"/>
        <v>0</v>
      </c>
      <c r="Y475" s="313">
        <f t="shared" si="13"/>
        <v>0</v>
      </c>
      <c r="Z475" s="313">
        <f t="shared" si="13"/>
        <v>14518268.380693352</v>
      </c>
      <c r="AA475" s="313">
        <f t="shared" si="13"/>
        <v>5869687.2892038543</v>
      </c>
      <c r="AB475" s="313">
        <f t="shared" si="13"/>
        <v>4474377.8321476541</v>
      </c>
      <c r="AC475" s="313">
        <f t="shared" si="13"/>
        <v>3003520.1953761773</v>
      </c>
      <c r="AD475" s="313">
        <f t="shared" si="13"/>
        <v>27865853.697421037</v>
      </c>
      <c r="AE475" s="313">
        <f t="shared" si="13"/>
        <v>0</v>
      </c>
      <c r="AF475" s="313">
        <f t="shared" si="13"/>
        <v>5883342.7800000003</v>
      </c>
      <c r="AG475" s="313">
        <f t="shared" si="13"/>
        <v>1101622.7162499998</v>
      </c>
      <c r="AH475" s="313">
        <f t="shared" si="13"/>
        <v>2961649.5517241382</v>
      </c>
      <c r="AI475" s="313">
        <f t="shared" si="13"/>
        <v>2499066.15</v>
      </c>
      <c r="AJ475" s="313">
        <f t="shared" si="13"/>
        <v>12445681.197974138</v>
      </c>
      <c r="AK475" s="313">
        <f t="shared" si="13"/>
        <v>15420172.499446899</v>
      </c>
    </row>
    <row r="476" spans="4:37" x14ac:dyDescent="0.25">
      <c r="D476" s="311">
        <v>5700178</v>
      </c>
      <c r="R476" s="313">
        <f t="shared" si="12"/>
        <v>1.25</v>
      </c>
      <c r="S476" s="313">
        <f t="shared" si="13"/>
        <v>0.75</v>
      </c>
      <c r="T476" s="313">
        <f t="shared" si="13"/>
        <v>0</v>
      </c>
      <c r="U476" s="313">
        <f t="shared" si="13"/>
        <v>0</v>
      </c>
      <c r="V476" s="313">
        <f t="shared" si="13"/>
        <v>0.5</v>
      </c>
      <c r="W476" s="313">
        <f t="shared" si="13"/>
        <v>0</v>
      </c>
      <c r="X476" s="313">
        <f t="shared" si="13"/>
        <v>0</v>
      </c>
      <c r="Y476" s="313">
        <f t="shared" si="13"/>
        <v>0</v>
      </c>
      <c r="Z476" s="313">
        <f t="shared" si="13"/>
        <v>760411.11911473551</v>
      </c>
      <c r="AA476" s="313">
        <f t="shared" si="13"/>
        <v>0</v>
      </c>
      <c r="AB476" s="313">
        <f t="shared" si="13"/>
        <v>55765.384615384617</v>
      </c>
      <c r="AC476" s="313">
        <f t="shared" si="13"/>
        <v>0</v>
      </c>
      <c r="AD476" s="313">
        <f t="shared" si="13"/>
        <v>816176.50373012014</v>
      </c>
      <c r="AE476" s="313">
        <f t="shared" si="13"/>
        <v>0</v>
      </c>
      <c r="AF476" s="313">
        <f t="shared" si="13"/>
        <v>0</v>
      </c>
      <c r="AG476" s="313">
        <f t="shared" si="13"/>
        <v>0</v>
      </c>
      <c r="AH476" s="313">
        <f t="shared" si="13"/>
        <v>0</v>
      </c>
      <c r="AI476" s="313">
        <f t="shared" si="13"/>
        <v>0</v>
      </c>
      <c r="AJ476" s="313">
        <f t="shared" si="13"/>
        <v>0</v>
      </c>
      <c r="AK476" s="313">
        <f t="shared" si="13"/>
        <v>816176.50373012014</v>
      </c>
    </row>
    <row r="477" spans="4:37" x14ac:dyDescent="0.25">
      <c r="D477" s="311">
        <v>5703553</v>
      </c>
      <c r="R477" s="313">
        <f t="shared" si="12"/>
        <v>3.82</v>
      </c>
      <c r="S477" s="313">
        <f t="shared" si="13"/>
        <v>0.1</v>
      </c>
      <c r="T477" s="313">
        <f t="shared" si="13"/>
        <v>3.72</v>
      </c>
      <c r="U477" s="313">
        <f t="shared" si="13"/>
        <v>0</v>
      </c>
      <c r="V477" s="313">
        <f t="shared" si="13"/>
        <v>0</v>
      </c>
      <c r="W477" s="313">
        <f t="shared" si="13"/>
        <v>11</v>
      </c>
      <c r="X477" s="313">
        <f t="shared" si="13"/>
        <v>0</v>
      </c>
      <c r="Y477" s="313">
        <f t="shared" si="13"/>
        <v>0</v>
      </c>
      <c r="Z477" s="313">
        <f t="shared" si="13"/>
        <v>2234493.2562620528</v>
      </c>
      <c r="AA477" s="313">
        <f t="shared" si="13"/>
        <v>0</v>
      </c>
      <c r="AB477" s="313">
        <f t="shared" si="13"/>
        <v>588987.17803903518</v>
      </c>
      <c r="AC477" s="313">
        <f t="shared" si="13"/>
        <v>196473.00933333335</v>
      </c>
      <c r="AD477" s="313">
        <f t="shared" si="13"/>
        <v>3019953.4436344216</v>
      </c>
      <c r="AE477" s="313">
        <f t="shared" si="13"/>
        <v>0</v>
      </c>
      <c r="AF477" s="313">
        <f t="shared" si="13"/>
        <v>304929.86690721649</v>
      </c>
      <c r="AG477" s="313">
        <f t="shared" si="13"/>
        <v>0</v>
      </c>
      <c r="AH477" s="313">
        <f t="shared" si="13"/>
        <v>476104.97000000003</v>
      </c>
      <c r="AI477" s="313">
        <f t="shared" si="13"/>
        <v>206870.8125</v>
      </c>
      <c r="AJ477" s="313">
        <f t="shared" si="13"/>
        <v>987905.64940721658</v>
      </c>
      <c r="AK477" s="313">
        <f t="shared" si="13"/>
        <v>2032047.794227205</v>
      </c>
    </row>
    <row r="478" spans="4:37" x14ac:dyDescent="0.25">
      <c r="D478" s="311">
        <v>5792625</v>
      </c>
      <c r="R478" s="313">
        <f t="shared" si="12"/>
        <v>2.2999999999999998</v>
      </c>
      <c r="S478" s="313">
        <f t="shared" si="13"/>
        <v>1.5</v>
      </c>
      <c r="T478" s="313">
        <f t="shared" si="13"/>
        <v>0</v>
      </c>
      <c r="U478" s="313">
        <f t="shared" si="13"/>
        <v>0</v>
      </c>
      <c r="V478" s="313">
        <f t="shared" si="13"/>
        <v>0.8</v>
      </c>
      <c r="W478" s="313">
        <f t="shared" si="13"/>
        <v>0</v>
      </c>
      <c r="X478" s="313">
        <f t="shared" si="13"/>
        <v>0</v>
      </c>
      <c r="Y478" s="313">
        <f t="shared" si="13"/>
        <v>0</v>
      </c>
      <c r="Z478" s="313">
        <f t="shared" si="13"/>
        <v>1399156.4591711131</v>
      </c>
      <c r="AA478" s="313">
        <f t="shared" si="13"/>
        <v>0</v>
      </c>
      <c r="AB478" s="313">
        <f t="shared" si="13"/>
        <v>102608.30769230769</v>
      </c>
      <c r="AC478" s="313">
        <f t="shared" si="13"/>
        <v>0</v>
      </c>
      <c r="AD478" s="313">
        <f t="shared" si="13"/>
        <v>1501764.7668634208</v>
      </c>
      <c r="AE478" s="313">
        <f t="shared" si="13"/>
        <v>0</v>
      </c>
      <c r="AF478" s="313">
        <f t="shared" si="13"/>
        <v>0</v>
      </c>
      <c r="AG478" s="313">
        <f t="shared" si="13"/>
        <v>0</v>
      </c>
      <c r="AH478" s="313">
        <f t="shared" si="13"/>
        <v>0</v>
      </c>
      <c r="AI478" s="313">
        <f t="shared" si="13"/>
        <v>0</v>
      </c>
      <c r="AJ478" s="313">
        <f t="shared" si="13"/>
        <v>0</v>
      </c>
      <c r="AK478" s="313">
        <f t="shared" si="13"/>
        <v>1501764.7668634208</v>
      </c>
    </row>
    <row r="479" spans="4:37" x14ac:dyDescent="0.25">
      <c r="D479" s="311">
        <v>5804478</v>
      </c>
      <c r="R479" s="313">
        <f t="shared" si="12"/>
        <v>31.8</v>
      </c>
      <c r="S479" s="313">
        <f t="shared" si="13"/>
        <v>1.6</v>
      </c>
      <c r="T479" s="313">
        <f t="shared" si="13"/>
        <v>25.5</v>
      </c>
      <c r="U479" s="313">
        <f t="shared" si="13"/>
        <v>4.7</v>
      </c>
      <c r="V479" s="313">
        <f t="shared" si="13"/>
        <v>0</v>
      </c>
      <c r="W479" s="313">
        <f t="shared" si="13"/>
        <v>58</v>
      </c>
      <c r="X479" s="313">
        <f t="shared" si="13"/>
        <v>0</v>
      </c>
      <c r="Y479" s="313">
        <f t="shared" si="13"/>
        <v>0</v>
      </c>
      <c r="Z479" s="313">
        <f t="shared" si="13"/>
        <v>15737802.924671594</v>
      </c>
      <c r="AA479" s="313">
        <f t="shared" si="13"/>
        <v>3448441.2824072647</v>
      </c>
      <c r="AB479" s="313">
        <f t="shared" si="13"/>
        <v>5296202.3319298765</v>
      </c>
      <c r="AC479" s="313">
        <f t="shared" si="13"/>
        <v>3555187.170037108</v>
      </c>
      <c r="AD479" s="313">
        <f t="shared" si="13"/>
        <v>28037633.709045846</v>
      </c>
      <c r="AE479" s="313">
        <f t="shared" si="13"/>
        <v>0</v>
      </c>
      <c r="AF479" s="313">
        <f t="shared" si="13"/>
        <v>6963956.7599999998</v>
      </c>
      <c r="AG479" s="313">
        <f t="shared" si="13"/>
        <v>1303961.5825</v>
      </c>
      <c r="AH479" s="313">
        <f t="shared" si="13"/>
        <v>3505626</v>
      </c>
      <c r="AI479" s="313">
        <f t="shared" si="13"/>
        <v>2958078.3</v>
      </c>
      <c r="AJ479" s="313">
        <f t="shared" si="13"/>
        <v>14731622.642499998</v>
      </c>
      <c r="AK479" s="313">
        <f t="shared" si="13"/>
        <v>13306011.066545848</v>
      </c>
    </row>
    <row r="480" spans="4:37" x14ac:dyDescent="0.25">
      <c r="D480" s="311">
        <v>5814347</v>
      </c>
      <c r="R480" s="313">
        <f t="shared" si="12"/>
        <v>4</v>
      </c>
      <c r="S480" s="313">
        <f t="shared" ref="S480:AK493" si="14">SUMIFS(S$4:S$326,$D$4:$D$326,$D480)</f>
        <v>3</v>
      </c>
      <c r="T480" s="313">
        <f t="shared" si="14"/>
        <v>1</v>
      </c>
      <c r="U480" s="313">
        <f t="shared" si="14"/>
        <v>0</v>
      </c>
      <c r="V480" s="313">
        <f t="shared" si="14"/>
        <v>0</v>
      </c>
      <c r="W480" s="313">
        <f t="shared" si="14"/>
        <v>0</v>
      </c>
      <c r="X480" s="313">
        <f t="shared" si="14"/>
        <v>4</v>
      </c>
      <c r="Y480" s="313">
        <f t="shared" si="14"/>
        <v>0</v>
      </c>
      <c r="Z480" s="313">
        <f t="shared" si="14"/>
        <v>3267506.8920220118</v>
      </c>
      <c r="AA480" s="313">
        <f t="shared" si="14"/>
        <v>0</v>
      </c>
      <c r="AB480" s="313">
        <f t="shared" si="14"/>
        <v>308670.45206888363</v>
      </c>
      <c r="AC480" s="313">
        <f t="shared" si="14"/>
        <v>2906.833333333333</v>
      </c>
      <c r="AD480" s="313">
        <f t="shared" si="14"/>
        <v>3579084.1774242288</v>
      </c>
      <c r="AE480" s="313">
        <f t="shared" si="14"/>
        <v>0</v>
      </c>
      <c r="AF480" s="313">
        <f t="shared" si="14"/>
        <v>0</v>
      </c>
      <c r="AG480" s="313">
        <f t="shared" si="14"/>
        <v>0</v>
      </c>
      <c r="AH480" s="313">
        <f t="shared" si="14"/>
        <v>0</v>
      </c>
      <c r="AI480" s="313">
        <f t="shared" si="14"/>
        <v>0</v>
      </c>
      <c r="AJ480" s="313">
        <f t="shared" si="14"/>
        <v>0</v>
      </c>
      <c r="AK480" s="313">
        <f t="shared" si="14"/>
        <v>3579084.1774242288</v>
      </c>
    </row>
    <row r="481" spans="4:37" x14ac:dyDescent="0.25">
      <c r="D481" s="311">
        <v>5869239</v>
      </c>
      <c r="R481" s="313">
        <f t="shared" si="12"/>
        <v>42.3</v>
      </c>
      <c r="S481" s="313">
        <f t="shared" si="14"/>
        <v>4</v>
      </c>
      <c r="T481" s="313">
        <f t="shared" si="14"/>
        <v>26</v>
      </c>
      <c r="U481" s="313">
        <f t="shared" si="14"/>
        <v>12.3</v>
      </c>
      <c r="V481" s="313">
        <f t="shared" si="14"/>
        <v>0</v>
      </c>
      <c r="W481" s="313">
        <f t="shared" si="14"/>
        <v>95</v>
      </c>
      <c r="X481" s="313">
        <f t="shared" si="14"/>
        <v>0</v>
      </c>
      <c r="Y481" s="313">
        <f t="shared" si="14"/>
        <v>0</v>
      </c>
      <c r="Z481" s="313">
        <f t="shared" si="14"/>
        <v>17816934.508966155</v>
      </c>
      <c r="AA481" s="313">
        <f t="shared" si="14"/>
        <v>9060788.7246715743</v>
      </c>
      <c r="AB481" s="313">
        <f t="shared" si="14"/>
        <v>8801520.7860587612</v>
      </c>
      <c r="AC481" s="313">
        <f t="shared" si="14"/>
        <v>6177138.4212845657</v>
      </c>
      <c r="AD481" s="313">
        <f t="shared" si="14"/>
        <v>41856382.440981053</v>
      </c>
      <c r="AE481" s="313">
        <f t="shared" si="14"/>
        <v>0</v>
      </c>
      <c r="AF481" s="313">
        <f t="shared" si="14"/>
        <v>10665696.089807026</v>
      </c>
      <c r="AG481" s="313">
        <f t="shared" si="14"/>
        <v>2778262.532206119</v>
      </c>
      <c r="AH481" s="313">
        <f t="shared" si="14"/>
        <v>6167758.5894405041</v>
      </c>
      <c r="AI481" s="313">
        <f t="shared" si="14"/>
        <v>4833320.981158088</v>
      </c>
      <c r="AJ481" s="313">
        <f t="shared" si="14"/>
        <v>24445038.192611735</v>
      </c>
      <c r="AK481" s="313">
        <f t="shared" si="14"/>
        <v>17411344.248369318</v>
      </c>
    </row>
    <row r="482" spans="4:37" x14ac:dyDescent="0.25">
      <c r="D482" s="311">
        <v>5871375</v>
      </c>
      <c r="R482" s="313">
        <f t="shared" si="12"/>
        <v>12.1</v>
      </c>
      <c r="S482" s="313">
        <f t="shared" si="14"/>
        <v>4.0999999999999996</v>
      </c>
      <c r="T482" s="313">
        <f t="shared" si="14"/>
        <v>8</v>
      </c>
      <c r="U482" s="313">
        <f t="shared" si="14"/>
        <v>0</v>
      </c>
      <c r="V482" s="313">
        <f t="shared" si="14"/>
        <v>0</v>
      </c>
      <c r="W482" s="313">
        <f t="shared" si="14"/>
        <v>17</v>
      </c>
      <c r="X482" s="313">
        <f t="shared" si="14"/>
        <v>0</v>
      </c>
      <c r="Y482" s="313">
        <f t="shared" si="14"/>
        <v>0</v>
      </c>
      <c r="Z482" s="313">
        <f t="shared" si="14"/>
        <v>7077845.1310918424</v>
      </c>
      <c r="AA482" s="313">
        <f t="shared" si="14"/>
        <v>0</v>
      </c>
      <c r="AB482" s="313">
        <f t="shared" si="14"/>
        <v>910252.91151487257</v>
      </c>
      <c r="AC482" s="313">
        <f t="shared" si="14"/>
        <v>303640.10533333337</v>
      </c>
      <c r="AD482" s="313">
        <f t="shared" si="14"/>
        <v>8291738.1479400489</v>
      </c>
      <c r="AE482" s="313">
        <f t="shared" si="14"/>
        <v>0</v>
      </c>
      <c r="AF482" s="313">
        <f t="shared" si="14"/>
        <v>655763.15463917528</v>
      </c>
      <c r="AG482" s="313">
        <f t="shared" si="14"/>
        <v>0</v>
      </c>
      <c r="AH482" s="313">
        <f t="shared" si="14"/>
        <v>735798.59000000008</v>
      </c>
      <c r="AI482" s="313">
        <f t="shared" si="14"/>
        <v>319709.4375</v>
      </c>
      <c r="AJ482" s="313">
        <f t="shared" si="14"/>
        <v>1711271.1821391755</v>
      </c>
      <c r="AK482" s="313">
        <f t="shared" si="14"/>
        <v>6580466.9658008739</v>
      </c>
    </row>
    <row r="483" spans="4:37" x14ac:dyDescent="0.25">
      <c r="D483" s="311">
        <v>5894253</v>
      </c>
      <c r="R483" s="313">
        <f t="shared" si="12"/>
        <v>11</v>
      </c>
      <c r="S483" s="313">
        <f t="shared" si="14"/>
        <v>1</v>
      </c>
      <c r="T483" s="313">
        <f t="shared" si="14"/>
        <v>7</v>
      </c>
      <c r="U483" s="313">
        <f t="shared" si="14"/>
        <v>3</v>
      </c>
      <c r="V483" s="313">
        <f t="shared" si="14"/>
        <v>0</v>
      </c>
      <c r="W483" s="313">
        <f t="shared" si="14"/>
        <v>25</v>
      </c>
      <c r="X483" s="313">
        <f t="shared" si="14"/>
        <v>0</v>
      </c>
      <c r="Y483" s="313">
        <f t="shared" si="14"/>
        <v>0</v>
      </c>
      <c r="Z483" s="313">
        <f t="shared" si="14"/>
        <v>4751182.5357243083</v>
      </c>
      <c r="AA483" s="313">
        <f t="shared" si="14"/>
        <v>2209948.4694320913</v>
      </c>
      <c r="AB483" s="313">
        <f t="shared" si="14"/>
        <v>2316189.6805417794</v>
      </c>
      <c r="AC483" s="313">
        <f t="shared" si="14"/>
        <v>1625562.7424433066</v>
      </c>
      <c r="AD483" s="313">
        <f t="shared" si="14"/>
        <v>10902883.428141486</v>
      </c>
      <c r="AE483" s="313">
        <f t="shared" si="14"/>
        <v>0</v>
      </c>
      <c r="AF483" s="313">
        <f t="shared" si="14"/>
        <v>2806762.1288965857</v>
      </c>
      <c r="AG483" s="313">
        <f t="shared" si="14"/>
        <v>731121.7190016103</v>
      </c>
      <c r="AH483" s="313">
        <f t="shared" si="14"/>
        <v>1623094.3656422379</v>
      </c>
      <c r="AI483" s="313">
        <f t="shared" si="14"/>
        <v>1271926.5739889706</v>
      </c>
      <c r="AJ483" s="313">
        <f t="shared" si="14"/>
        <v>6432904.7875294043</v>
      </c>
      <c r="AK483" s="313">
        <f t="shared" si="14"/>
        <v>4469978.6406120816</v>
      </c>
    </row>
    <row r="484" spans="4:37" x14ac:dyDescent="0.25">
      <c r="D484" s="311">
        <v>5903063</v>
      </c>
      <c r="R484" s="313">
        <f t="shared" si="12"/>
        <v>1</v>
      </c>
      <c r="S484" s="313">
        <f t="shared" si="14"/>
        <v>1</v>
      </c>
      <c r="T484" s="313">
        <f t="shared" si="14"/>
        <v>0</v>
      </c>
      <c r="U484" s="313">
        <f t="shared" si="14"/>
        <v>0</v>
      </c>
      <c r="V484" s="313">
        <f t="shared" si="14"/>
        <v>0</v>
      </c>
      <c r="W484" s="313">
        <f t="shared" si="14"/>
        <v>0</v>
      </c>
      <c r="X484" s="313">
        <f t="shared" si="14"/>
        <v>0</v>
      </c>
      <c r="Y484" s="313">
        <f t="shared" si="14"/>
        <v>0</v>
      </c>
      <c r="Z484" s="313">
        <f t="shared" si="14"/>
        <v>608328.89529178839</v>
      </c>
      <c r="AA484" s="313">
        <f t="shared" si="14"/>
        <v>0</v>
      </c>
      <c r="AB484" s="313">
        <f t="shared" si="14"/>
        <v>44612.307692307695</v>
      </c>
      <c r="AC484" s="313">
        <f t="shared" si="14"/>
        <v>0</v>
      </c>
      <c r="AD484" s="313">
        <f t="shared" si="14"/>
        <v>652941.20298409613</v>
      </c>
      <c r="AE484" s="313">
        <f t="shared" si="14"/>
        <v>0</v>
      </c>
      <c r="AF484" s="313">
        <f t="shared" si="14"/>
        <v>0</v>
      </c>
      <c r="AG484" s="313">
        <f t="shared" si="14"/>
        <v>0</v>
      </c>
      <c r="AH484" s="313">
        <f t="shared" si="14"/>
        <v>0</v>
      </c>
      <c r="AI484" s="313">
        <f t="shared" si="14"/>
        <v>0</v>
      </c>
      <c r="AJ484" s="313">
        <f t="shared" si="14"/>
        <v>0</v>
      </c>
      <c r="AK484" s="313">
        <f t="shared" si="14"/>
        <v>652941.20298409613</v>
      </c>
    </row>
    <row r="485" spans="4:37" x14ac:dyDescent="0.25">
      <c r="D485" s="311">
        <v>5922905</v>
      </c>
      <c r="R485" s="313">
        <f t="shared" si="12"/>
        <v>3.3</v>
      </c>
      <c r="S485" s="313">
        <f t="shared" si="14"/>
        <v>3.3</v>
      </c>
      <c r="T485" s="313">
        <f t="shared" si="14"/>
        <v>0</v>
      </c>
      <c r="U485" s="313">
        <f t="shared" si="14"/>
        <v>0</v>
      </c>
      <c r="V485" s="313">
        <f t="shared" si="14"/>
        <v>0</v>
      </c>
      <c r="W485" s="313">
        <f t="shared" si="14"/>
        <v>0</v>
      </c>
      <c r="X485" s="313">
        <f t="shared" si="14"/>
        <v>30</v>
      </c>
      <c r="Y485" s="313">
        <f t="shared" si="14"/>
        <v>0</v>
      </c>
      <c r="Z485" s="313">
        <f t="shared" si="14"/>
        <v>1728397.4215060698</v>
      </c>
      <c r="AA485" s="313">
        <f t="shared" si="14"/>
        <v>0</v>
      </c>
      <c r="AB485" s="313">
        <f t="shared" si="14"/>
        <v>177572.89697057407</v>
      </c>
      <c r="AC485" s="313">
        <f t="shared" si="14"/>
        <v>0</v>
      </c>
      <c r="AD485" s="313">
        <f t="shared" si="14"/>
        <v>1905970.3184766439</v>
      </c>
      <c r="AE485" s="313">
        <f t="shared" si="14"/>
        <v>0</v>
      </c>
      <c r="AF485" s="313">
        <f t="shared" si="14"/>
        <v>0</v>
      </c>
      <c r="AG485" s="313">
        <f t="shared" si="14"/>
        <v>0</v>
      </c>
      <c r="AH485" s="313">
        <f t="shared" si="14"/>
        <v>0</v>
      </c>
      <c r="AI485" s="313">
        <f t="shared" si="14"/>
        <v>0</v>
      </c>
      <c r="AJ485" s="313">
        <f t="shared" si="14"/>
        <v>0</v>
      </c>
      <c r="AK485" s="313">
        <f t="shared" si="14"/>
        <v>1905970.3184766439</v>
      </c>
    </row>
    <row r="486" spans="4:37" x14ac:dyDescent="0.25">
      <c r="D486" s="311">
        <v>5943218</v>
      </c>
      <c r="R486" s="313">
        <f t="shared" si="12"/>
        <v>1.45</v>
      </c>
      <c r="S486" s="313">
        <f t="shared" si="14"/>
        <v>0.5</v>
      </c>
      <c r="T486" s="313">
        <f t="shared" si="14"/>
        <v>0</v>
      </c>
      <c r="U486" s="313">
        <f t="shared" si="14"/>
        <v>0</v>
      </c>
      <c r="V486" s="313">
        <f t="shared" si="14"/>
        <v>0.95</v>
      </c>
      <c r="W486" s="313">
        <f t="shared" si="14"/>
        <v>0</v>
      </c>
      <c r="X486" s="313">
        <f t="shared" si="14"/>
        <v>2</v>
      </c>
      <c r="Y486" s="313">
        <f t="shared" si="14"/>
        <v>0</v>
      </c>
      <c r="Z486" s="313">
        <f t="shared" si="14"/>
        <v>886905.71513138036</v>
      </c>
      <c r="AA486" s="313">
        <f t="shared" si="14"/>
        <v>0</v>
      </c>
      <c r="AB486" s="313">
        <f t="shared" si="14"/>
        <v>60122.027850404185</v>
      </c>
      <c r="AC486" s="313">
        <f t="shared" si="14"/>
        <v>0</v>
      </c>
      <c r="AD486" s="313">
        <f t="shared" si="14"/>
        <v>947027.74298178451</v>
      </c>
      <c r="AE486" s="313">
        <f t="shared" si="14"/>
        <v>0</v>
      </c>
      <c r="AF486" s="313">
        <f t="shared" si="14"/>
        <v>0</v>
      </c>
      <c r="AG486" s="313">
        <f t="shared" si="14"/>
        <v>0</v>
      </c>
      <c r="AH486" s="313">
        <f t="shared" si="14"/>
        <v>0</v>
      </c>
      <c r="AI486" s="313">
        <f t="shared" si="14"/>
        <v>0</v>
      </c>
      <c r="AJ486" s="313">
        <f t="shared" si="14"/>
        <v>0</v>
      </c>
      <c r="AK486" s="313">
        <f t="shared" si="14"/>
        <v>947027.74298178451</v>
      </c>
    </row>
    <row r="487" spans="4:37" x14ac:dyDescent="0.25">
      <c r="D487" s="311">
        <v>5945407</v>
      </c>
      <c r="R487" s="313">
        <f t="shared" si="12"/>
        <v>1.25</v>
      </c>
      <c r="S487" s="313">
        <f t="shared" si="14"/>
        <v>1.25</v>
      </c>
      <c r="T487" s="313">
        <f t="shared" si="14"/>
        <v>0</v>
      </c>
      <c r="U487" s="313">
        <f t="shared" si="14"/>
        <v>0</v>
      </c>
      <c r="V487" s="313">
        <f t="shared" si="14"/>
        <v>0</v>
      </c>
      <c r="W487" s="313">
        <f t="shared" si="14"/>
        <v>0</v>
      </c>
      <c r="X487" s="313">
        <f t="shared" si="14"/>
        <v>0</v>
      </c>
      <c r="Y487" s="313">
        <f t="shared" si="14"/>
        <v>0</v>
      </c>
      <c r="Z487" s="313">
        <f t="shared" si="14"/>
        <v>764573.8923546382</v>
      </c>
      <c r="AA487" s="313">
        <f t="shared" si="14"/>
        <v>0</v>
      </c>
      <c r="AB487" s="313">
        <f t="shared" si="14"/>
        <v>51829.334353796716</v>
      </c>
      <c r="AC487" s="313">
        <f t="shared" si="14"/>
        <v>0</v>
      </c>
      <c r="AD487" s="313">
        <f t="shared" si="14"/>
        <v>816403.22670843487</v>
      </c>
      <c r="AE487" s="313">
        <f t="shared" si="14"/>
        <v>0</v>
      </c>
      <c r="AF487" s="313">
        <f t="shared" si="14"/>
        <v>0</v>
      </c>
      <c r="AG487" s="313">
        <f t="shared" si="14"/>
        <v>0</v>
      </c>
      <c r="AH487" s="313">
        <f t="shared" si="14"/>
        <v>0</v>
      </c>
      <c r="AI487" s="313">
        <f t="shared" si="14"/>
        <v>0</v>
      </c>
      <c r="AJ487" s="313">
        <f t="shared" si="14"/>
        <v>0</v>
      </c>
      <c r="AK487" s="313">
        <f t="shared" si="14"/>
        <v>816403.22670843487</v>
      </c>
    </row>
    <row r="488" spans="4:37" x14ac:dyDescent="0.25">
      <c r="D488" s="311">
        <v>5947102</v>
      </c>
      <c r="R488" s="313">
        <f t="shared" si="12"/>
        <v>0.38</v>
      </c>
      <c r="S488" s="313">
        <f t="shared" si="14"/>
        <v>0.1</v>
      </c>
      <c r="T488" s="313">
        <f t="shared" si="14"/>
        <v>0.28000000000000003</v>
      </c>
      <c r="U488" s="313">
        <f t="shared" si="14"/>
        <v>0</v>
      </c>
      <c r="V488" s="313">
        <f t="shared" si="14"/>
        <v>0</v>
      </c>
      <c r="W488" s="313">
        <f t="shared" si="14"/>
        <v>0</v>
      </c>
      <c r="X488" s="313">
        <f t="shared" si="14"/>
        <v>0</v>
      </c>
      <c r="Y488" s="313">
        <f t="shared" si="14"/>
        <v>0</v>
      </c>
      <c r="Z488" s="313">
        <f t="shared" si="14"/>
        <v>234683.82</v>
      </c>
      <c r="AA488" s="313">
        <f t="shared" si="14"/>
        <v>0</v>
      </c>
      <c r="AB488" s="313">
        <f t="shared" si="14"/>
        <v>14971.041980287193</v>
      </c>
      <c r="AC488" s="313">
        <f t="shared" si="14"/>
        <v>0</v>
      </c>
      <c r="AD488" s="313">
        <f t="shared" si="14"/>
        <v>249654.86198028721</v>
      </c>
      <c r="AE488" s="313">
        <f t="shared" si="14"/>
        <v>0</v>
      </c>
      <c r="AF488" s="313">
        <f t="shared" si="14"/>
        <v>34290.599334073253</v>
      </c>
      <c r="AG488" s="313">
        <f t="shared" si="14"/>
        <v>0</v>
      </c>
      <c r="AH488" s="313">
        <f t="shared" si="14"/>
        <v>0</v>
      </c>
      <c r="AI488" s="313">
        <f t="shared" si="14"/>
        <v>0</v>
      </c>
      <c r="AJ488" s="313">
        <f t="shared" si="14"/>
        <v>34290.599334073253</v>
      </c>
      <c r="AK488" s="313">
        <f t="shared" si="14"/>
        <v>215364.26264621396</v>
      </c>
    </row>
    <row r="489" spans="4:37" x14ac:dyDescent="0.25">
      <c r="D489" s="311">
        <v>5991938</v>
      </c>
      <c r="R489" s="313">
        <f t="shared" si="12"/>
        <v>5.5</v>
      </c>
      <c r="S489" s="313">
        <f t="shared" si="14"/>
        <v>0.5</v>
      </c>
      <c r="T489" s="313">
        <f t="shared" si="14"/>
        <v>5</v>
      </c>
      <c r="U489" s="313">
        <f t="shared" si="14"/>
        <v>0</v>
      </c>
      <c r="V489" s="313">
        <f t="shared" si="14"/>
        <v>0</v>
      </c>
      <c r="W489" s="313">
        <f t="shared" si="14"/>
        <v>0</v>
      </c>
      <c r="X489" s="313">
        <f t="shared" si="14"/>
        <v>0</v>
      </c>
      <c r="Y489" s="313">
        <f t="shared" si="14"/>
        <v>0</v>
      </c>
      <c r="Z489" s="313">
        <f t="shared" si="14"/>
        <v>2558185.643373942</v>
      </c>
      <c r="AA489" s="313">
        <f t="shared" si="14"/>
        <v>0</v>
      </c>
      <c r="AB489" s="313">
        <f t="shared" si="14"/>
        <v>102933.77309232611</v>
      </c>
      <c r="AC489" s="313">
        <f t="shared" si="14"/>
        <v>0</v>
      </c>
      <c r="AD489" s="313">
        <f t="shared" si="14"/>
        <v>2661119.4164662682</v>
      </c>
      <c r="AE489" s="313">
        <f t="shared" si="14"/>
        <v>0</v>
      </c>
      <c r="AF489" s="313">
        <f t="shared" si="14"/>
        <v>624844.20240337902</v>
      </c>
      <c r="AG489" s="313">
        <f t="shared" si="14"/>
        <v>0</v>
      </c>
      <c r="AH489" s="313">
        <f t="shared" si="14"/>
        <v>0</v>
      </c>
      <c r="AI489" s="313">
        <f t="shared" si="14"/>
        <v>0</v>
      </c>
      <c r="AJ489" s="313">
        <f t="shared" si="14"/>
        <v>624844.20240337902</v>
      </c>
      <c r="AK489" s="313">
        <f t="shared" si="14"/>
        <v>2036275.2140628891</v>
      </c>
    </row>
    <row r="490" spans="4:37" x14ac:dyDescent="0.25">
      <c r="D490" s="311">
        <v>6152074</v>
      </c>
      <c r="R490" s="313">
        <f t="shared" si="12"/>
        <v>8.9</v>
      </c>
      <c r="S490" s="313">
        <f t="shared" si="14"/>
        <v>1.3</v>
      </c>
      <c r="T490" s="313">
        <f t="shared" si="14"/>
        <v>7.6</v>
      </c>
      <c r="U490" s="313">
        <f t="shared" si="14"/>
        <v>0</v>
      </c>
      <c r="V490" s="313">
        <f t="shared" si="14"/>
        <v>0</v>
      </c>
      <c r="W490" s="313">
        <f t="shared" si="14"/>
        <v>0</v>
      </c>
      <c r="X490" s="313">
        <f t="shared" si="14"/>
        <v>0</v>
      </c>
      <c r="Y490" s="313">
        <f t="shared" si="14"/>
        <v>0</v>
      </c>
      <c r="Z490" s="313">
        <f t="shared" si="14"/>
        <v>4139609.49564147</v>
      </c>
      <c r="AA490" s="313">
        <f t="shared" si="14"/>
        <v>0</v>
      </c>
      <c r="AB490" s="313">
        <f t="shared" si="14"/>
        <v>166565.56009485497</v>
      </c>
      <c r="AC490" s="313">
        <f t="shared" si="14"/>
        <v>0</v>
      </c>
      <c r="AD490" s="313">
        <f t="shared" si="14"/>
        <v>4306175.0557363247</v>
      </c>
      <c r="AE490" s="313">
        <f t="shared" si="14"/>
        <v>0</v>
      </c>
      <c r="AF490" s="313">
        <f t="shared" si="14"/>
        <v>949763.18765313609</v>
      </c>
      <c r="AG490" s="313">
        <f t="shared" si="14"/>
        <v>0</v>
      </c>
      <c r="AH490" s="313">
        <f t="shared" si="14"/>
        <v>0</v>
      </c>
      <c r="AI490" s="313">
        <f t="shared" si="14"/>
        <v>0</v>
      </c>
      <c r="AJ490" s="313">
        <f t="shared" si="14"/>
        <v>949763.18765313609</v>
      </c>
      <c r="AK490" s="313">
        <f t="shared" si="14"/>
        <v>3356411.8680831888</v>
      </c>
    </row>
    <row r="491" spans="4:37" x14ac:dyDescent="0.25">
      <c r="D491" s="311">
        <v>6163071</v>
      </c>
      <c r="R491" s="313">
        <f t="shared" si="12"/>
        <v>1.1000000000000001</v>
      </c>
      <c r="S491" s="313">
        <f t="shared" si="14"/>
        <v>0.1</v>
      </c>
      <c r="T491" s="313">
        <f t="shared" si="14"/>
        <v>1</v>
      </c>
      <c r="U491" s="313">
        <f t="shared" si="14"/>
        <v>0</v>
      </c>
      <c r="V491" s="313">
        <f t="shared" si="14"/>
        <v>0</v>
      </c>
      <c r="W491" s="313">
        <f t="shared" si="14"/>
        <v>0</v>
      </c>
      <c r="X491" s="313">
        <f t="shared" si="14"/>
        <v>1</v>
      </c>
      <c r="Y491" s="313">
        <f t="shared" si="14"/>
        <v>0</v>
      </c>
      <c r="Z491" s="313">
        <f t="shared" si="14"/>
        <v>596205.41711344477</v>
      </c>
      <c r="AA491" s="313">
        <f t="shared" si="14"/>
        <v>0</v>
      </c>
      <c r="AB491" s="313">
        <f t="shared" si="14"/>
        <v>85212.446591239044</v>
      </c>
      <c r="AC491" s="313">
        <f t="shared" si="14"/>
        <v>0</v>
      </c>
      <c r="AD491" s="313">
        <f t="shared" si="14"/>
        <v>681417.86370468384</v>
      </c>
      <c r="AE491" s="313">
        <f t="shared" si="14"/>
        <v>0</v>
      </c>
      <c r="AF491" s="313">
        <f t="shared" si="14"/>
        <v>0</v>
      </c>
      <c r="AG491" s="313">
        <f t="shared" si="14"/>
        <v>0</v>
      </c>
      <c r="AH491" s="313">
        <f t="shared" si="14"/>
        <v>0</v>
      </c>
      <c r="AI491" s="313">
        <f t="shared" si="14"/>
        <v>0</v>
      </c>
      <c r="AJ491" s="313">
        <f t="shared" si="14"/>
        <v>0</v>
      </c>
      <c r="AK491" s="313">
        <f t="shared" si="14"/>
        <v>681417.86370468384</v>
      </c>
    </row>
    <row r="492" spans="4:37" x14ac:dyDescent="0.25">
      <c r="D492" s="311">
        <v>6181040</v>
      </c>
      <c r="R492" s="313">
        <f t="shared" si="12"/>
        <v>2.35</v>
      </c>
      <c r="S492" s="313">
        <f t="shared" si="14"/>
        <v>0.35</v>
      </c>
      <c r="T492" s="313">
        <f t="shared" si="14"/>
        <v>2</v>
      </c>
      <c r="U492" s="313">
        <f t="shared" si="14"/>
        <v>0</v>
      </c>
      <c r="V492" s="313">
        <f t="shared" si="14"/>
        <v>0</v>
      </c>
      <c r="W492" s="313">
        <f t="shared" si="14"/>
        <v>0</v>
      </c>
      <c r="X492" s="313">
        <f t="shared" si="14"/>
        <v>0</v>
      </c>
      <c r="Y492" s="313">
        <f t="shared" si="14"/>
        <v>0</v>
      </c>
      <c r="Z492" s="313">
        <f t="shared" si="14"/>
        <v>1182269.3386966032</v>
      </c>
      <c r="AA492" s="313">
        <f t="shared" si="14"/>
        <v>0</v>
      </c>
      <c r="AB492" s="313">
        <f t="shared" si="14"/>
        <v>93967.557269582845</v>
      </c>
      <c r="AC492" s="313">
        <f t="shared" si="14"/>
        <v>0</v>
      </c>
      <c r="AD492" s="313">
        <f t="shared" si="14"/>
        <v>1276236.895966186</v>
      </c>
      <c r="AE492" s="313">
        <f t="shared" si="14"/>
        <v>0</v>
      </c>
      <c r="AF492" s="313">
        <f t="shared" si="14"/>
        <v>277510.4705882353</v>
      </c>
      <c r="AG492" s="313">
        <f t="shared" si="14"/>
        <v>0</v>
      </c>
      <c r="AH492" s="313">
        <f t="shared" si="14"/>
        <v>0</v>
      </c>
      <c r="AI492" s="313">
        <f t="shared" si="14"/>
        <v>0</v>
      </c>
      <c r="AJ492" s="313">
        <f t="shared" si="14"/>
        <v>277510.4705882353</v>
      </c>
      <c r="AK492" s="313">
        <f t="shared" si="14"/>
        <v>998726.42537795065</v>
      </c>
    </row>
    <row r="493" spans="4:37" x14ac:dyDescent="0.25">
      <c r="D493" s="311">
        <v>6191102</v>
      </c>
      <c r="R493" s="313">
        <f t="shared" si="12"/>
        <v>1</v>
      </c>
      <c r="S493" s="313">
        <f t="shared" si="14"/>
        <v>0</v>
      </c>
      <c r="T493" s="313">
        <f t="shared" si="14"/>
        <v>0</v>
      </c>
      <c r="U493" s="313">
        <f t="shared" si="14"/>
        <v>0</v>
      </c>
      <c r="V493" s="313">
        <f t="shared" si="14"/>
        <v>1</v>
      </c>
      <c r="W493" s="313">
        <f t="shared" si="14"/>
        <v>0</v>
      </c>
      <c r="X493" s="313">
        <f t="shared" si="14"/>
        <v>0</v>
      </c>
      <c r="Y493" s="313">
        <f t="shared" si="14"/>
        <v>0</v>
      </c>
      <c r="Z493" s="313">
        <f t="shared" si="14"/>
        <v>608328.89529178839</v>
      </c>
      <c r="AA493" s="313">
        <f t="shared" ref="S493:AK506" si="15">SUMIFS(AA$4:AA$326,$D$4:$D$326,$D493)</f>
        <v>0</v>
      </c>
      <c r="AB493" s="313">
        <f t="shared" si="15"/>
        <v>44612.307692307695</v>
      </c>
      <c r="AC493" s="313">
        <f t="shared" si="15"/>
        <v>0</v>
      </c>
      <c r="AD493" s="313">
        <f t="shared" si="15"/>
        <v>652941.20298409613</v>
      </c>
      <c r="AE493" s="313">
        <f t="shared" si="15"/>
        <v>0</v>
      </c>
      <c r="AF493" s="313">
        <f t="shared" si="15"/>
        <v>0</v>
      </c>
      <c r="AG493" s="313">
        <f t="shared" si="15"/>
        <v>0</v>
      </c>
      <c r="AH493" s="313">
        <f t="shared" si="15"/>
        <v>0</v>
      </c>
      <c r="AI493" s="313">
        <f t="shared" si="15"/>
        <v>0</v>
      </c>
      <c r="AJ493" s="313">
        <f t="shared" si="15"/>
        <v>0</v>
      </c>
      <c r="AK493" s="313">
        <f t="shared" si="15"/>
        <v>652941.20298409613</v>
      </c>
    </row>
    <row r="494" spans="4:37" x14ac:dyDescent="0.25">
      <c r="D494" s="311">
        <v>6232669</v>
      </c>
      <c r="R494" s="313">
        <f t="shared" si="12"/>
        <v>6</v>
      </c>
      <c r="S494" s="313">
        <f t="shared" si="15"/>
        <v>1</v>
      </c>
      <c r="T494" s="313">
        <f t="shared" si="15"/>
        <v>5</v>
      </c>
      <c r="U494" s="313">
        <f t="shared" si="15"/>
        <v>0</v>
      </c>
      <c r="V494" s="313">
        <f t="shared" si="15"/>
        <v>0</v>
      </c>
      <c r="W494" s="313">
        <f t="shared" si="15"/>
        <v>0</v>
      </c>
      <c r="X494" s="313">
        <f t="shared" si="15"/>
        <v>0</v>
      </c>
      <c r="Y494" s="313">
        <f t="shared" si="15"/>
        <v>0</v>
      </c>
      <c r="Z494" s="313">
        <f t="shared" si="15"/>
        <v>3018560.0136934547</v>
      </c>
      <c r="AA494" s="313">
        <f t="shared" si="15"/>
        <v>0</v>
      </c>
      <c r="AB494" s="313">
        <f t="shared" si="15"/>
        <v>239917.16749680726</v>
      </c>
      <c r="AC494" s="313">
        <f t="shared" si="15"/>
        <v>0</v>
      </c>
      <c r="AD494" s="313">
        <f t="shared" si="15"/>
        <v>3258477.1811902621</v>
      </c>
      <c r="AE494" s="313">
        <f t="shared" si="15"/>
        <v>0</v>
      </c>
      <c r="AF494" s="313">
        <f t="shared" si="15"/>
        <v>693776.17647058819</v>
      </c>
      <c r="AG494" s="313">
        <f t="shared" si="15"/>
        <v>0</v>
      </c>
      <c r="AH494" s="313">
        <f t="shared" si="15"/>
        <v>0</v>
      </c>
      <c r="AI494" s="313">
        <f t="shared" si="15"/>
        <v>0</v>
      </c>
      <c r="AJ494" s="313">
        <f t="shared" si="15"/>
        <v>693776.17647058819</v>
      </c>
      <c r="AK494" s="313">
        <f t="shared" si="15"/>
        <v>2564701.0047196737</v>
      </c>
    </row>
    <row r="495" spans="4:37" x14ac:dyDescent="0.25">
      <c r="D495" s="311">
        <v>6311728</v>
      </c>
      <c r="R495" s="313">
        <f t="shared" si="12"/>
        <v>0</v>
      </c>
      <c r="S495" s="313">
        <f t="shared" si="15"/>
        <v>0</v>
      </c>
      <c r="T495" s="313">
        <f t="shared" si="15"/>
        <v>0</v>
      </c>
      <c r="U495" s="313">
        <f t="shared" si="15"/>
        <v>0</v>
      </c>
      <c r="V495" s="313">
        <f t="shared" si="15"/>
        <v>0</v>
      </c>
      <c r="W495" s="313">
        <f t="shared" si="15"/>
        <v>0</v>
      </c>
      <c r="X495" s="313">
        <f t="shared" si="15"/>
        <v>0</v>
      </c>
      <c r="Y495" s="313">
        <f t="shared" si="15"/>
        <v>0</v>
      </c>
      <c r="Z495" s="313">
        <f t="shared" si="15"/>
        <v>0</v>
      </c>
      <c r="AA495" s="313">
        <f t="shared" si="15"/>
        <v>0</v>
      </c>
      <c r="AB495" s="313">
        <f t="shared" si="15"/>
        <v>0</v>
      </c>
      <c r="AC495" s="313">
        <f t="shared" si="15"/>
        <v>0</v>
      </c>
      <c r="AD495" s="313">
        <f t="shared" si="15"/>
        <v>0</v>
      </c>
      <c r="AE495" s="313">
        <f t="shared" si="15"/>
        <v>0</v>
      </c>
      <c r="AF495" s="313">
        <f t="shared" si="15"/>
        <v>0</v>
      </c>
      <c r="AG495" s="313">
        <f t="shared" si="15"/>
        <v>0</v>
      </c>
      <c r="AH495" s="313">
        <f t="shared" si="15"/>
        <v>0</v>
      </c>
      <c r="AI495" s="313">
        <f t="shared" si="15"/>
        <v>0</v>
      </c>
      <c r="AJ495" s="313">
        <f t="shared" si="15"/>
        <v>0</v>
      </c>
      <c r="AK495" s="313">
        <f t="shared" si="15"/>
        <v>0</v>
      </c>
    </row>
    <row r="496" spans="4:37" x14ac:dyDescent="0.25">
      <c r="D496" s="311">
        <v>6361701</v>
      </c>
      <c r="R496" s="313">
        <f t="shared" si="12"/>
        <v>1.7</v>
      </c>
      <c r="S496" s="313">
        <f t="shared" si="15"/>
        <v>1.7</v>
      </c>
      <c r="T496" s="313">
        <f t="shared" si="15"/>
        <v>0</v>
      </c>
      <c r="U496" s="313">
        <f t="shared" si="15"/>
        <v>0</v>
      </c>
      <c r="V496" s="313">
        <f t="shared" si="15"/>
        <v>0</v>
      </c>
      <c r="W496" s="313">
        <f t="shared" si="15"/>
        <v>0</v>
      </c>
      <c r="X496" s="313">
        <f t="shared" si="15"/>
        <v>0</v>
      </c>
      <c r="Y496" s="313">
        <f t="shared" si="15"/>
        <v>0</v>
      </c>
      <c r="Z496" s="313">
        <f t="shared" si="15"/>
        <v>997890.11056324781</v>
      </c>
      <c r="AA496" s="313">
        <f t="shared" si="15"/>
        <v>0</v>
      </c>
      <c r="AB496" s="313">
        <f t="shared" si="15"/>
        <v>72523.980860889977</v>
      </c>
      <c r="AC496" s="313">
        <f t="shared" si="15"/>
        <v>0</v>
      </c>
      <c r="AD496" s="313">
        <f t="shared" si="15"/>
        <v>1070414.0914241378</v>
      </c>
      <c r="AE496" s="313">
        <f t="shared" si="15"/>
        <v>0</v>
      </c>
      <c r="AF496" s="313">
        <f t="shared" si="15"/>
        <v>0</v>
      </c>
      <c r="AG496" s="313">
        <f t="shared" si="15"/>
        <v>0</v>
      </c>
      <c r="AH496" s="313">
        <f t="shared" si="15"/>
        <v>0</v>
      </c>
      <c r="AI496" s="313">
        <f t="shared" si="15"/>
        <v>0</v>
      </c>
      <c r="AJ496" s="313">
        <f t="shared" si="15"/>
        <v>0</v>
      </c>
      <c r="AK496" s="313">
        <f t="shared" si="15"/>
        <v>1070414.0914241378</v>
      </c>
    </row>
    <row r="497" spans="4:37" x14ac:dyDescent="0.25">
      <c r="D497" s="311">
        <v>6375207</v>
      </c>
      <c r="R497" s="313">
        <f t="shared" si="12"/>
        <v>7.6</v>
      </c>
      <c r="S497" s="313">
        <f t="shared" si="15"/>
        <v>0.6</v>
      </c>
      <c r="T497" s="313">
        <f t="shared" si="15"/>
        <v>7</v>
      </c>
      <c r="U497" s="313">
        <f t="shared" si="15"/>
        <v>0</v>
      </c>
      <c r="V497" s="313">
        <f t="shared" si="15"/>
        <v>0</v>
      </c>
      <c r="W497" s="313">
        <f t="shared" si="15"/>
        <v>4</v>
      </c>
      <c r="X497" s="313">
        <f t="shared" si="15"/>
        <v>0</v>
      </c>
      <c r="Y497" s="313">
        <f t="shared" si="15"/>
        <v>0</v>
      </c>
      <c r="Z497" s="313">
        <f t="shared" si="15"/>
        <v>3900742.9702556445</v>
      </c>
      <c r="AA497" s="313">
        <f t="shared" si="15"/>
        <v>0</v>
      </c>
      <c r="AB497" s="313">
        <f t="shared" si="15"/>
        <v>208465.92219127205</v>
      </c>
      <c r="AC497" s="313">
        <f t="shared" si="15"/>
        <v>113867.70370370371</v>
      </c>
      <c r="AD497" s="313">
        <f t="shared" si="15"/>
        <v>4223076.5961506199</v>
      </c>
      <c r="AE497" s="313">
        <f t="shared" si="15"/>
        <v>0</v>
      </c>
      <c r="AF497" s="313">
        <f t="shared" si="15"/>
        <v>891662.24892621348</v>
      </c>
      <c r="AG497" s="313">
        <f t="shared" si="15"/>
        <v>0</v>
      </c>
      <c r="AH497" s="313">
        <f t="shared" si="15"/>
        <v>153821.25</v>
      </c>
      <c r="AI497" s="313">
        <f t="shared" si="15"/>
        <v>95581.8</v>
      </c>
      <c r="AJ497" s="313">
        <f t="shared" si="15"/>
        <v>1141065.2989262135</v>
      </c>
      <c r="AK497" s="313">
        <f t="shared" si="15"/>
        <v>3082011.2972244062</v>
      </c>
    </row>
    <row r="498" spans="4:37" x14ac:dyDescent="0.25">
      <c r="D498" s="311">
        <v>6428468</v>
      </c>
      <c r="R498" s="313">
        <f t="shared" si="12"/>
        <v>11.5</v>
      </c>
      <c r="S498" s="313">
        <f t="shared" si="15"/>
        <v>1.5</v>
      </c>
      <c r="T498" s="313">
        <f t="shared" si="15"/>
        <v>10</v>
      </c>
      <c r="U498" s="313">
        <f t="shared" si="15"/>
        <v>0</v>
      </c>
      <c r="V498" s="313">
        <f t="shared" si="15"/>
        <v>0</v>
      </c>
      <c r="W498" s="313">
        <f t="shared" si="15"/>
        <v>0</v>
      </c>
      <c r="X498" s="313">
        <f t="shared" si="15"/>
        <v>0</v>
      </c>
      <c r="Y498" s="313">
        <f t="shared" si="15"/>
        <v>0</v>
      </c>
      <c r="Z498" s="313">
        <f t="shared" si="15"/>
        <v>5785573.3595791217</v>
      </c>
      <c r="AA498" s="313">
        <f t="shared" si="15"/>
        <v>0</v>
      </c>
      <c r="AB498" s="313">
        <f t="shared" si="15"/>
        <v>459841.23770221393</v>
      </c>
      <c r="AC498" s="313">
        <f t="shared" si="15"/>
        <v>0</v>
      </c>
      <c r="AD498" s="313">
        <f t="shared" si="15"/>
        <v>6245414.5972813359</v>
      </c>
      <c r="AE498" s="313">
        <f t="shared" si="15"/>
        <v>0</v>
      </c>
      <c r="AF498" s="313">
        <f t="shared" si="15"/>
        <v>1387552.3529411764</v>
      </c>
      <c r="AG498" s="313">
        <f t="shared" si="15"/>
        <v>0</v>
      </c>
      <c r="AH498" s="313">
        <f t="shared" si="15"/>
        <v>0</v>
      </c>
      <c r="AI498" s="313">
        <f t="shared" si="15"/>
        <v>0</v>
      </c>
      <c r="AJ498" s="313">
        <f t="shared" si="15"/>
        <v>1387552.3529411764</v>
      </c>
      <c r="AK498" s="313">
        <f t="shared" si="15"/>
        <v>4857862.244340159</v>
      </c>
    </row>
    <row r="499" spans="4:37" x14ac:dyDescent="0.25">
      <c r="D499" s="311">
        <v>6447139</v>
      </c>
      <c r="R499" s="313">
        <f t="shared" si="12"/>
        <v>1.7</v>
      </c>
      <c r="S499" s="313">
        <f t="shared" si="15"/>
        <v>1.7</v>
      </c>
      <c r="T499" s="313">
        <f t="shared" si="15"/>
        <v>0</v>
      </c>
      <c r="U499" s="313">
        <f t="shared" si="15"/>
        <v>0</v>
      </c>
      <c r="V499" s="313">
        <f t="shared" si="15"/>
        <v>0</v>
      </c>
      <c r="W499" s="313">
        <f t="shared" si="15"/>
        <v>0</v>
      </c>
      <c r="X499" s="313">
        <f t="shared" si="15"/>
        <v>0</v>
      </c>
      <c r="Y499" s="313">
        <f t="shared" si="15"/>
        <v>0</v>
      </c>
      <c r="Z499" s="313">
        <f t="shared" si="15"/>
        <v>1215031.861634332</v>
      </c>
      <c r="AA499" s="313">
        <f t="shared" si="15"/>
        <v>0</v>
      </c>
      <c r="AB499" s="313">
        <f t="shared" si="15"/>
        <v>103492.90211097136</v>
      </c>
      <c r="AC499" s="313">
        <f t="shared" si="15"/>
        <v>0</v>
      </c>
      <c r="AD499" s="313">
        <f t="shared" si="15"/>
        <v>1318524.7637453033</v>
      </c>
      <c r="AE499" s="313">
        <f t="shared" si="15"/>
        <v>0</v>
      </c>
      <c r="AF499" s="313">
        <f t="shared" si="15"/>
        <v>0</v>
      </c>
      <c r="AG499" s="313">
        <f t="shared" si="15"/>
        <v>0</v>
      </c>
      <c r="AH499" s="313">
        <f t="shared" si="15"/>
        <v>0</v>
      </c>
      <c r="AI499" s="313">
        <f t="shared" si="15"/>
        <v>0</v>
      </c>
      <c r="AJ499" s="313">
        <f t="shared" si="15"/>
        <v>0</v>
      </c>
      <c r="AK499" s="313">
        <f t="shared" si="15"/>
        <v>1318524.7637453033</v>
      </c>
    </row>
    <row r="500" spans="4:37" x14ac:dyDescent="0.25">
      <c r="D500" s="311">
        <v>6466112</v>
      </c>
      <c r="R500" s="313">
        <f t="shared" si="12"/>
        <v>0.4</v>
      </c>
      <c r="S500" s="313">
        <f t="shared" si="15"/>
        <v>0.2</v>
      </c>
      <c r="T500" s="313">
        <f t="shared" si="15"/>
        <v>0</v>
      </c>
      <c r="U500" s="313">
        <f t="shared" si="15"/>
        <v>0.2</v>
      </c>
      <c r="V500" s="313">
        <f t="shared" si="15"/>
        <v>0</v>
      </c>
      <c r="W500" s="313">
        <f t="shared" si="15"/>
        <v>0</v>
      </c>
      <c r="X500" s="313">
        <f t="shared" si="15"/>
        <v>0</v>
      </c>
      <c r="Y500" s="313">
        <f t="shared" si="15"/>
        <v>0</v>
      </c>
      <c r="Z500" s="313">
        <f t="shared" si="15"/>
        <v>243331.55811671537</v>
      </c>
      <c r="AA500" s="313">
        <f t="shared" si="15"/>
        <v>0</v>
      </c>
      <c r="AB500" s="313">
        <f t="shared" si="15"/>
        <v>17844.923076923078</v>
      </c>
      <c r="AC500" s="313">
        <f t="shared" si="15"/>
        <v>0</v>
      </c>
      <c r="AD500" s="313">
        <f t="shared" si="15"/>
        <v>261176.48119363846</v>
      </c>
      <c r="AE500" s="313">
        <f t="shared" si="15"/>
        <v>0</v>
      </c>
      <c r="AF500" s="313">
        <f t="shared" si="15"/>
        <v>0</v>
      </c>
      <c r="AG500" s="313">
        <f t="shared" si="15"/>
        <v>0</v>
      </c>
      <c r="AH500" s="313">
        <f t="shared" si="15"/>
        <v>0</v>
      </c>
      <c r="AI500" s="313">
        <f t="shared" si="15"/>
        <v>0</v>
      </c>
      <c r="AJ500" s="313">
        <f t="shared" si="15"/>
        <v>0</v>
      </c>
      <c r="AK500" s="313">
        <f t="shared" si="15"/>
        <v>261176.48119363846</v>
      </c>
    </row>
    <row r="501" spans="4:37" x14ac:dyDescent="0.25">
      <c r="D501" s="311">
        <v>6473703</v>
      </c>
      <c r="R501" s="313">
        <f t="shared" si="12"/>
        <v>3</v>
      </c>
      <c r="S501" s="313">
        <f t="shared" si="15"/>
        <v>1.25</v>
      </c>
      <c r="T501" s="313">
        <f t="shared" si="15"/>
        <v>1.75</v>
      </c>
      <c r="U501" s="313">
        <f t="shared" si="15"/>
        <v>0</v>
      </c>
      <c r="V501" s="313">
        <f t="shared" si="15"/>
        <v>0</v>
      </c>
      <c r="W501" s="313">
        <f t="shared" si="15"/>
        <v>0</v>
      </c>
      <c r="X501" s="313">
        <f t="shared" si="15"/>
        <v>0</v>
      </c>
      <c r="Y501" s="313">
        <f t="shared" si="15"/>
        <v>0</v>
      </c>
      <c r="Z501" s="313">
        <f t="shared" si="15"/>
        <v>1834977.3416511319</v>
      </c>
      <c r="AA501" s="313">
        <f t="shared" si="15"/>
        <v>0</v>
      </c>
      <c r="AB501" s="313">
        <f t="shared" si="15"/>
        <v>124390.40244911211</v>
      </c>
      <c r="AC501" s="313">
        <f t="shared" si="15"/>
        <v>0</v>
      </c>
      <c r="AD501" s="313">
        <f t="shared" si="15"/>
        <v>1959367.744100244</v>
      </c>
      <c r="AE501" s="313">
        <f t="shared" si="15"/>
        <v>0</v>
      </c>
      <c r="AF501" s="313">
        <f t="shared" si="15"/>
        <v>0</v>
      </c>
      <c r="AG501" s="313">
        <f t="shared" si="15"/>
        <v>0</v>
      </c>
      <c r="AH501" s="313">
        <f t="shared" si="15"/>
        <v>0</v>
      </c>
      <c r="AI501" s="313">
        <f t="shared" si="15"/>
        <v>0</v>
      </c>
      <c r="AJ501" s="313">
        <f t="shared" si="15"/>
        <v>0</v>
      </c>
      <c r="AK501" s="313">
        <f t="shared" si="15"/>
        <v>1959367.744100244</v>
      </c>
    </row>
    <row r="502" spans="4:37" x14ac:dyDescent="0.25">
      <c r="D502" s="311">
        <v>6514817</v>
      </c>
      <c r="R502" s="313">
        <f t="shared" si="12"/>
        <v>9.8999999999999986</v>
      </c>
      <c r="S502" s="313">
        <f t="shared" si="15"/>
        <v>0.89999999999999991</v>
      </c>
      <c r="T502" s="313">
        <f t="shared" si="15"/>
        <v>9</v>
      </c>
      <c r="U502" s="313">
        <f t="shared" si="15"/>
        <v>0</v>
      </c>
      <c r="V502" s="313">
        <f t="shared" si="15"/>
        <v>0</v>
      </c>
      <c r="W502" s="313">
        <f t="shared" si="15"/>
        <v>17</v>
      </c>
      <c r="X502" s="313">
        <f t="shared" si="15"/>
        <v>0</v>
      </c>
      <c r="Y502" s="313">
        <f t="shared" si="15"/>
        <v>0</v>
      </c>
      <c r="Z502" s="313">
        <f t="shared" si="15"/>
        <v>5790964.1981660528</v>
      </c>
      <c r="AA502" s="313">
        <f t="shared" si="15"/>
        <v>0</v>
      </c>
      <c r="AB502" s="313">
        <f t="shared" si="15"/>
        <v>910252.91151487257</v>
      </c>
      <c r="AC502" s="313">
        <f t="shared" si="15"/>
        <v>303640.10533333337</v>
      </c>
      <c r="AD502" s="313">
        <f t="shared" si="15"/>
        <v>7004857.2150142593</v>
      </c>
      <c r="AE502" s="313">
        <f t="shared" si="15"/>
        <v>0</v>
      </c>
      <c r="AF502" s="313">
        <f t="shared" si="15"/>
        <v>737733.54896907217</v>
      </c>
      <c r="AG502" s="313">
        <f t="shared" si="15"/>
        <v>0</v>
      </c>
      <c r="AH502" s="313">
        <f t="shared" si="15"/>
        <v>735798.59000000008</v>
      </c>
      <c r="AI502" s="313">
        <f t="shared" si="15"/>
        <v>319709.4375</v>
      </c>
      <c r="AJ502" s="313">
        <f t="shared" si="15"/>
        <v>1793241.5764690724</v>
      </c>
      <c r="AK502" s="313">
        <f t="shared" si="15"/>
        <v>5211615.6385451872</v>
      </c>
    </row>
    <row r="503" spans="4:37" x14ac:dyDescent="0.25">
      <c r="D503" s="311">
        <v>6565086</v>
      </c>
      <c r="R503" s="313">
        <f t="shared" si="12"/>
        <v>6.0700000000000012</v>
      </c>
      <c r="S503" s="313">
        <f t="shared" si="15"/>
        <v>5.7900000000000009</v>
      </c>
      <c r="T503" s="313">
        <f t="shared" si="15"/>
        <v>0.28000000000000003</v>
      </c>
      <c r="U503" s="313">
        <f t="shared" si="15"/>
        <v>0</v>
      </c>
      <c r="V503" s="313">
        <f t="shared" si="15"/>
        <v>0</v>
      </c>
      <c r="W503" s="313">
        <f t="shared" si="15"/>
        <v>0</v>
      </c>
      <c r="X503" s="313">
        <f t="shared" si="15"/>
        <v>0</v>
      </c>
      <c r="Y503" s="313">
        <f t="shared" si="15"/>
        <v>0</v>
      </c>
      <c r="Z503" s="313">
        <f t="shared" si="15"/>
        <v>3692556.3944211556</v>
      </c>
      <c r="AA503" s="313">
        <f t="shared" si="15"/>
        <v>0</v>
      </c>
      <c r="AB503" s="313">
        <f t="shared" si="15"/>
        <v>270796.70769230771</v>
      </c>
      <c r="AC503" s="313">
        <f t="shared" si="15"/>
        <v>0</v>
      </c>
      <c r="AD503" s="313">
        <f t="shared" si="15"/>
        <v>3963353.1021134635</v>
      </c>
      <c r="AE503" s="313">
        <f t="shared" si="15"/>
        <v>0</v>
      </c>
      <c r="AF503" s="313">
        <f t="shared" si="15"/>
        <v>0</v>
      </c>
      <c r="AG503" s="313">
        <f t="shared" si="15"/>
        <v>0</v>
      </c>
      <c r="AH503" s="313">
        <f t="shared" si="15"/>
        <v>0</v>
      </c>
      <c r="AI503" s="313">
        <f t="shared" si="15"/>
        <v>0</v>
      </c>
      <c r="AJ503" s="313">
        <f t="shared" si="15"/>
        <v>0</v>
      </c>
      <c r="AK503" s="313">
        <f t="shared" si="15"/>
        <v>3963353.1021134635</v>
      </c>
    </row>
    <row r="504" spans="4:37" x14ac:dyDescent="0.25">
      <c r="D504" s="311">
        <v>6565956</v>
      </c>
      <c r="R504" s="313">
        <f t="shared" si="12"/>
        <v>19.68</v>
      </c>
      <c r="S504" s="313">
        <f t="shared" si="15"/>
        <v>1.22</v>
      </c>
      <c r="T504" s="313">
        <f t="shared" si="15"/>
        <v>9.1999999999999993</v>
      </c>
      <c r="U504" s="313">
        <f t="shared" si="15"/>
        <v>9.26</v>
      </c>
      <c r="V504" s="313">
        <f t="shared" si="15"/>
        <v>0</v>
      </c>
      <c r="W504" s="313">
        <f t="shared" si="15"/>
        <v>55</v>
      </c>
      <c r="X504" s="313">
        <f t="shared" si="15"/>
        <v>0</v>
      </c>
      <c r="Y504" s="313">
        <f t="shared" si="15"/>
        <v>0</v>
      </c>
      <c r="Z504" s="313">
        <f t="shared" si="15"/>
        <v>6188415.2527809115</v>
      </c>
      <c r="AA504" s="313">
        <f t="shared" si="15"/>
        <v>6821374.2756470544</v>
      </c>
      <c r="AB504" s="313">
        <f t="shared" si="15"/>
        <v>5095617.2971919142</v>
      </c>
      <c r="AC504" s="313">
        <f t="shared" si="15"/>
        <v>3576238.0333752749</v>
      </c>
      <c r="AD504" s="313">
        <f t="shared" si="15"/>
        <v>21681644.858995155</v>
      </c>
      <c r="AE504" s="313">
        <f t="shared" si="15"/>
        <v>0</v>
      </c>
      <c r="AF504" s="313">
        <f t="shared" si="15"/>
        <v>6174876.6835724888</v>
      </c>
      <c r="AG504" s="313">
        <f t="shared" si="15"/>
        <v>1608467.7818035427</v>
      </c>
      <c r="AH504" s="313">
        <f t="shared" si="15"/>
        <v>3570807.6044129236</v>
      </c>
      <c r="AI504" s="313">
        <f t="shared" si="15"/>
        <v>2798238.4627757352</v>
      </c>
      <c r="AJ504" s="313">
        <f t="shared" si="15"/>
        <v>14152390.53256469</v>
      </c>
      <c r="AK504" s="313">
        <f t="shared" si="15"/>
        <v>7529254.3264304642</v>
      </c>
    </row>
    <row r="505" spans="4:37" x14ac:dyDescent="0.25">
      <c r="D505" s="311">
        <v>6581899</v>
      </c>
      <c r="R505" s="313">
        <f t="shared" si="12"/>
        <v>44</v>
      </c>
      <c r="S505" s="313">
        <f t="shared" si="15"/>
        <v>1</v>
      </c>
      <c r="T505" s="313">
        <f t="shared" si="15"/>
        <v>25</v>
      </c>
      <c r="U505" s="313">
        <f t="shared" si="15"/>
        <v>18</v>
      </c>
      <c r="V505" s="313">
        <f t="shared" si="15"/>
        <v>0</v>
      </c>
      <c r="W505" s="313">
        <f t="shared" si="15"/>
        <v>118</v>
      </c>
      <c r="X505" s="313">
        <f t="shared" si="15"/>
        <v>0</v>
      </c>
      <c r="Y505" s="313">
        <f t="shared" si="15"/>
        <v>0</v>
      </c>
      <c r="Z505" s="313">
        <f t="shared" si="15"/>
        <v>15441343.241104003</v>
      </c>
      <c r="AA505" s="313">
        <f t="shared" si="15"/>
        <v>13259690.816592546</v>
      </c>
      <c r="AB505" s="313">
        <f t="shared" si="15"/>
        <v>10932415.292157199</v>
      </c>
      <c r="AC505" s="313">
        <f t="shared" si="15"/>
        <v>7672656.144332408</v>
      </c>
      <c r="AD505" s="313">
        <f t="shared" si="15"/>
        <v>47306105.494186163</v>
      </c>
      <c r="AE505" s="313">
        <f t="shared" si="15"/>
        <v>0</v>
      </c>
      <c r="AF505" s="313">
        <f t="shared" si="15"/>
        <v>13247917.248391883</v>
      </c>
      <c r="AG505" s="313">
        <f t="shared" si="15"/>
        <v>3450894.5136876004</v>
      </c>
      <c r="AH505" s="313">
        <f t="shared" si="15"/>
        <v>7661005.4058313631</v>
      </c>
      <c r="AI505" s="313">
        <f t="shared" si="15"/>
        <v>6003493.4292279417</v>
      </c>
      <c r="AJ505" s="313">
        <f t="shared" si="15"/>
        <v>30363310.597138789</v>
      </c>
      <c r="AK505" s="313">
        <f t="shared" si="15"/>
        <v>16942794.897047374</v>
      </c>
    </row>
    <row r="506" spans="4:37" x14ac:dyDescent="0.25">
      <c r="D506" s="311">
        <v>6585534</v>
      </c>
      <c r="R506" s="313">
        <f t="shared" si="12"/>
        <v>4</v>
      </c>
      <c r="S506" s="313">
        <f t="shared" si="15"/>
        <v>4</v>
      </c>
      <c r="T506" s="313">
        <f t="shared" si="15"/>
        <v>0</v>
      </c>
      <c r="U506" s="313">
        <f t="shared" si="15"/>
        <v>0</v>
      </c>
      <c r="V506" s="313">
        <f t="shared" si="15"/>
        <v>0</v>
      </c>
      <c r="W506" s="313">
        <f t="shared" si="15"/>
        <v>0</v>
      </c>
      <c r="X506" s="313">
        <f t="shared" si="15"/>
        <v>0</v>
      </c>
      <c r="Y506" s="313">
        <f t="shared" si="15"/>
        <v>0</v>
      </c>
      <c r="Z506" s="313">
        <f t="shared" si="15"/>
        <v>2826782.4217242533</v>
      </c>
      <c r="AA506" s="313">
        <f t="shared" si="15"/>
        <v>0</v>
      </c>
      <c r="AB506" s="313">
        <f t="shared" si="15"/>
        <v>255728.42606270988</v>
      </c>
      <c r="AC506" s="313">
        <f t="shared" si="15"/>
        <v>0</v>
      </c>
      <c r="AD506" s="313">
        <f t="shared" si="15"/>
        <v>3082510.847786963</v>
      </c>
      <c r="AE506" s="313">
        <f t="shared" si="15"/>
        <v>0</v>
      </c>
      <c r="AF506" s="313">
        <f t="shared" si="15"/>
        <v>0</v>
      </c>
      <c r="AG506" s="313">
        <f t="shared" si="15"/>
        <v>0</v>
      </c>
      <c r="AH506" s="313">
        <f t="shared" si="15"/>
        <v>0</v>
      </c>
      <c r="AI506" s="313">
        <f t="shared" ref="S506:AK520" si="16">SUMIFS(AI$4:AI$326,$D$4:$D$326,$D506)</f>
        <v>0</v>
      </c>
      <c r="AJ506" s="313">
        <f t="shared" si="16"/>
        <v>0</v>
      </c>
      <c r="AK506" s="313">
        <f t="shared" si="16"/>
        <v>3082510.847786963</v>
      </c>
    </row>
    <row r="507" spans="4:37" x14ac:dyDescent="0.25">
      <c r="D507" s="311">
        <v>6607461</v>
      </c>
      <c r="R507" s="313">
        <f t="shared" si="12"/>
        <v>2</v>
      </c>
      <c r="S507" s="313">
        <f t="shared" si="16"/>
        <v>2</v>
      </c>
      <c r="T507" s="313">
        <f t="shared" si="16"/>
        <v>0</v>
      </c>
      <c r="U507" s="313">
        <f t="shared" si="16"/>
        <v>0</v>
      </c>
      <c r="V507" s="313">
        <f t="shared" si="16"/>
        <v>0</v>
      </c>
      <c r="W507" s="313">
        <f t="shared" si="16"/>
        <v>0</v>
      </c>
      <c r="X507" s="313">
        <f t="shared" si="16"/>
        <v>20</v>
      </c>
      <c r="Y507" s="313">
        <f t="shared" si="16"/>
        <v>0</v>
      </c>
      <c r="Z507" s="313">
        <f t="shared" si="16"/>
        <v>1047513.5887915576</v>
      </c>
      <c r="AA507" s="313">
        <f t="shared" si="16"/>
        <v>0</v>
      </c>
      <c r="AB507" s="313">
        <f t="shared" si="16"/>
        <v>107619.93755792368</v>
      </c>
      <c r="AC507" s="313">
        <f t="shared" si="16"/>
        <v>0</v>
      </c>
      <c r="AD507" s="313">
        <f t="shared" si="16"/>
        <v>1155133.5263494812</v>
      </c>
      <c r="AE507" s="313">
        <f t="shared" si="16"/>
        <v>0</v>
      </c>
      <c r="AF507" s="313">
        <f t="shared" si="16"/>
        <v>0</v>
      </c>
      <c r="AG507" s="313">
        <f t="shared" si="16"/>
        <v>0</v>
      </c>
      <c r="AH507" s="313">
        <f t="shared" si="16"/>
        <v>0</v>
      </c>
      <c r="AI507" s="313">
        <f t="shared" si="16"/>
        <v>0</v>
      </c>
      <c r="AJ507" s="313">
        <f t="shared" si="16"/>
        <v>0</v>
      </c>
      <c r="AK507" s="313">
        <f t="shared" si="16"/>
        <v>1155133.5263494812</v>
      </c>
    </row>
    <row r="508" spans="4:37" x14ac:dyDescent="0.25">
      <c r="D508" s="311">
        <v>6627771</v>
      </c>
      <c r="R508" s="313">
        <f t="shared" si="12"/>
        <v>0.3</v>
      </c>
      <c r="S508" s="313">
        <f t="shared" si="16"/>
        <v>0.1</v>
      </c>
      <c r="T508" s="313">
        <f t="shared" si="16"/>
        <v>0.2</v>
      </c>
      <c r="U508" s="313">
        <f t="shared" si="16"/>
        <v>0</v>
      </c>
      <c r="V508" s="313">
        <f t="shared" si="16"/>
        <v>0</v>
      </c>
      <c r="W508" s="313">
        <f t="shared" si="16"/>
        <v>2</v>
      </c>
      <c r="X508" s="313">
        <f t="shared" si="16"/>
        <v>0</v>
      </c>
      <c r="Y508" s="313">
        <f t="shared" si="16"/>
        <v>0</v>
      </c>
      <c r="Z508" s="313">
        <f t="shared" si="16"/>
        <v>175483.76358078947</v>
      </c>
      <c r="AA508" s="313">
        <f t="shared" si="16"/>
        <v>0</v>
      </c>
      <c r="AB508" s="313">
        <f t="shared" si="16"/>
        <v>107088.57782527912</v>
      </c>
      <c r="AC508" s="313">
        <f t="shared" si="16"/>
        <v>35722.365333333335</v>
      </c>
      <c r="AD508" s="313">
        <f t="shared" si="16"/>
        <v>318294.70673940191</v>
      </c>
      <c r="AE508" s="313">
        <f t="shared" si="16"/>
        <v>0</v>
      </c>
      <c r="AF508" s="313">
        <f t="shared" si="16"/>
        <v>16394.078865979383</v>
      </c>
      <c r="AG508" s="313">
        <f t="shared" si="16"/>
        <v>0</v>
      </c>
      <c r="AH508" s="313">
        <f t="shared" si="16"/>
        <v>86564.540000000008</v>
      </c>
      <c r="AI508" s="313">
        <f t="shared" si="16"/>
        <v>37612.875</v>
      </c>
      <c r="AJ508" s="313">
        <f t="shared" si="16"/>
        <v>140571.4938659794</v>
      </c>
      <c r="AK508" s="313">
        <f t="shared" si="16"/>
        <v>177723.21287342251</v>
      </c>
    </row>
    <row r="509" spans="4:37" x14ac:dyDescent="0.25">
      <c r="D509" s="311">
        <v>6630553</v>
      </c>
      <c r="R509" s="313">
        <f t="shared" si="12"/>
        <v>4</v>
      </c>
      <c r="S509" s="313">
        <f t="shared" si="16"/>
        <v>3.8</v>
      </c>
      <c r="T509" s="313">
        <f t="shared" si="16"/>
        <v>0</v>
      </c>
      <c r="U509" s="313">
        <f t="shared" si="16"/>
        <v>0</v>
      </c>
      <c r="V509" s="313">
        <f t="shared" si="16"/>
        <v>0.2</v>
      </c>
      <c r="W509" s="313">
        <f t="shared" si="16"/>
        <v>0</v>
      </c>
      <c r="X509" s="313">
        <f t="shared" si="16"/>
        <v>0</v>
      </c>
      <c r="Y509" s="313">
        <f t="shared" si="16"/>
        <v>0</v>
      </c>
      <c r="Z509" s="313">
        <f t="shared" si="16"/>
        <v>2499446.2685816367</v>
      </c>
      <c r="AA509" s="313">
        <f t="shared" si="16"/>
        <v>0</v>
      </c>
      <c r="AB509" s="313">
        <f t="shared" si="16"/>
        <v>143367.02523688209</v>
      </c>
      <c r="AC509" s="313">
        <f t="shared" si="16"/>
        <v>0</v>
      </c>
      <c r="AD509" s="313">
        <f t="shared" si="16"/>
        <v>2642813.293818519</v>
      </c>
      <c r="AE509" s="313">
        <f t="shared" si="16"/>
        <v>0</v>
      </c>
      <c r="AF509" s="313">
        <f t="shared" si="16"/>
        <v>0</v>
      </c>
      <c r="AG509" s="313">
        <f t="shared" si="16"/>
        <v>0</v>
      </c>
      <c r="AH509" s="313">
        <f t="shared" si="16"/>
        <v>0</v>
      </c>
      <c r="AI509" s="313">
        <f t="shared" si="16"/>
        <v>0</v>
      </c>
      <c r="AJ509" s="313">
        <f t="shared" si="16"/>
        <v>0</v>
      </c>
      <c r="AK509" s="313">
        <f t="shared" si="16"/>
        <v>2642813.293818519</v>
      </c>
    </row>
    <row r="510" spans="4:37" x14ac:dyDescent="0.25">
      <c r="D510" s="311">
        <v>6684022</v>
      </c>
      <c r="R510" s="313">
        <f t="shared" si="12"/>
        <v>6.85</v>
      </c>
      <c r="S510" s="313">
        <f t="shared" si="16"/>
        <v>1</v>
      </c>
      <c r="T510" s="313">
        <f t="shared" si="16"/>
        <v>5.85</v>
      </c>
      <c r="U510" s="313">
        <f t="shared" si="16"/>
        <v>0</v>
      </c>
      <c r="V510" s="313">
        <f t="shared" si="16"/>
        <v>0</v>
      </c>
      <c r="W510" s="313">
        <f t="shared" si="16"/>
        <v>0</v>
      </c>
      <c r="X510" s="313">
        <f t="shared" si="16"/>
        <v>25</v>
      </c>
      <c r="Y510" s="313">
        <f t="shared" si="16"/>
        <v>0</v>
      </c>
      <c r="Z510" s="313">
        <f t="shared" si="16"/>
        <v>4472408.6855220366</v>
      </c>
      <c r="AA510" s="313">
        <f t="shared" si="16"/>
        <v>0</v>
      </c>
      <c r="AB510" s="313">
        <f t="shared" si="16"/>
        <v>645599.79878048785</v>
      </c>
      <c r="AC510" s="313">
        <f t="shared" si="16"/>
        <v>124845</v>
      </c>
      <c r="AD510" s="313">
        <f t="shared" si="16"/>
        <v>5242853.4843025245</v>
      </c>
      <c r="AE510" s="313">
        <f t="shared" si="16"/>
        <v>0</v>
      </c>
      <c r="AF510" s="313">
        <f t="shared" si="16"/>
        <v>789126.76470588229</v>
      </c>
      <c r="AG510" s="313">
        <f t="shared" si="16"/>
        <v>0</v>
      </c>
      <c r="AH510" s="313">
        <f t="shared" si="16"/>
        <v>0</v>
      </c>
      <c r="AI510" s="313">
        <f t="shared" si="16"/>
        <v>136307.69230769231</v>
      </c>
      <c r="AJ510" s="313">
        <f t="shared" si="16"/>
        <v>925434.45701357466</v>
      </c>
      <c r="AK510" s="313">
        <f t="shared" si="16"/>
        <v>4317419.02728895</v>
      </c>
    </row>
    <row r="511" spans="4:37" x14ac:dyDescent="0.25">
      <c r="D511" s="311">
        <v>6697882</v>
      </c>
      <c r="R511" s="313">
        <f t="shared" si="12"/>
        <v>1.7</v>
      </c>
      <c r="S511" s="313">
        <f t="shared" si="16"/>
        <v>0.2</v>
      </c>
      <c r="T511" s="313">
        <f t="shared" si="16"/>
        <v>1.5</v>
      </c>
      <c r="U511" s="313">
        <f t="shared" si="16"/>
        <v>0</v>
      </c>
      <c r="V511" s="313">
        <f t="shared" si="16"/>
        <v>0</v>
      </c>
      <c r="W511" s="313">
        <f t="shared" si="16"/>
        <v>0</v>
      </c>
      <c r="X511" s="313">
        <f t="shared" si="16"/>
        <v>0</v>
      </c>
      <c r="Y511" s="313">
        <f t="shared" si="16"/>
        <v>0</v>
      </c>
      <c r="Z511" s="313">
        <f t="shared" si="16"/>
        <v>855258.67054647882</v>
      </c>
      <c r="AA511" s="313">
        <f t="shared" si="16"/>
        <v>0</v>
      </c>
      <c r="AB511" s="313">
        <f t="shared" si="16"/>
        <v>67976.530790762059</v>
      </c>
      <c r="AC511" s="313">
        <f t="shared" si="16"/>
        <v>0</v>
      </c>
      <c r="AD511" s="313">
        <f t="shared" si="16"/>
        <v>923235.20133724087</v>
      </c>
      <c r="AE511" s="313">
        <f t="shared" si="16"/>
        <v>0</v>
      </c>
      <c r="AF511" s="313">
        <f t="shared" si="16"/>
        <v>208132.85294117648</v>
      </c>
      <c r="AG511" s="313">
        <f t="shared" si="16"/>
        <v>0</v>
      </c>
      <c r="AH511" s="313">
        <f t="shared" si="16"/>
        <v>0</v>
      </c>
      <c r="AI511" s="313">
        <f t="shared" si="16"/>
        <v>0</v>
      </c>
      <c r="AJ511" s="313">
        <f t="shared" si="16"/>
        <v>208132.85294117648</v>
      </c>
      <c r="AK511" s="313">
        <f t="shared" si="16"/>
        <v>715102.34839606436</v>
      </c>
    </row>
    <row r="512" spans="4:37" x14ac:dyDescent="0.25">
      <c r="D512" s="311">
        <v>6698987</v>
      </c>
      <c r="R512" s="313">
        <f t="shared" si="12"/>
        <v>1.1499999999999999</v>
      </c>
      <c r="S512" s="313">
        <f t="shared" si="16"/>
        <v>1.1499999999999999</v>
      </c>
      <c r="T512" s="313">
        <f t="shared" si="16"/>
        <v>0</v>
      </c>
      <c r="U512" s="313">
        <f t="shared" si="16"/>
        <v>0</v>
      </c>
      <c r="V512" s="313">
        <f t="shared" si="16"/>
        <v>0</v>
      </c>
      <c r="W512" s="313">
        <f t="shared" si="16"/>
        <v>0</v>
      </c>
      <c r="X512" s="313">
        <f t="shared" si="16"/>
        <v>0</v>
      </c>
      <c r="Y512" s="313">
        <f t="shared" si="16"/>
        <v>0</v>
      </c>
      <c r="Z512" s="313">
        <f t="shared" si="16"/>
        <v>699578.22958555655</v>
      </c>
      <c r="AA512" s="313">
        <f t="shared" si="16"/>
        <v>0</v>
      </c>
      <c r="AB512" s="313">
        <f t="shared" si="16"/>
        <v>51304.153846153844</v>
      </c>
      <c r="AC512" s="313">
        <f t="shared" si="16"/>
        <v>0</v>
      </c>
      <c r="AD512" s="313">
        <f t="shared" si="16"/>
        <v>750882.38343171042</v>
      </c>
      <c r="AE512" s="313">
        <f t="shared" si="16"/>
        <v>0</v>
      </c>
      <c r="AF512" s="313">
        <f t="shared" si="16"/>
        <v>0</v>
      </c>
      <c r="AG512" s="313">
        <f t="shared" si="16"/>
        <v>0</v>
      </c>
      <c r="AH512" s="313">
        <f t="shared" si="16"/>
        <v>0</v>
      </c>
      <c r="AI512" s="313">
        <f t="shared" si="16"/>
        <v>0</v>
      </c>
      <c r="AJ512" s="313">
        <f t="shared" si="16"/>
        <v>0</v>
      </c>
      <c r="AK512" s="313">
        <f t="shared" si="16"/>
        <v>750882.38343171042</v>
      </c>
    </row>
    <row r="513" spans="4:37" x14ac:dyDescent="0.25">
      <c r="D513" s="311">
        <v>6749255</v>
      </c>
      <c r="R513" s="313">
        <f t="shared" si="12"/>
        <v>6.5750000000000002</v>
      </c>
      <c r="S513" s="313">
        <f t="shared" si="16"/>
        <v>0.375</v>
      </c>
      <c r="T513" s="313">
        <f t="shared" si="16"/>
        <v>6.2</v>
      </c>
      <c r="U513" s="313">
        <f t="shared" si="16"/>
        <v>0</v>
      </c>
      <c r="V513" s="313">
        <f t="shared" si="16"/>
        <v>0</v>
      </c>
      <c r="W513" s="313">
        <f t="shared" si="16"/>
        <v>9</v>
      </c>
      <c r="X513" s="313">
        <f t="shared" si="16"/>
        <v>0</v>
      </c>
      <c r="Y513" s="313">
        <f t="shared" si="16"/>
        <v>0</v>
      </c>
      <c r="Z513" s="313">
        <f t="shared" si="16"/>
        <v>3374655.924925114</v>
      </c>
      <c r="AA513" s="313">
        <f t="shared" si="16"/>
        <v>0</v>
      </c>
      <c r="AB513" s="313">
        <f t="shared" si="16"/>
        <v>469048.32493036211</v>
      </c>
      <c r="AC513" s="313">
        <f t="shared" si="16"/>
        <v>256202.33333333334</v>
      </c>
      <c r="AD513" s="313">
        <f t="shared" si="16"/>
        <v>4099906.5831888095</v>
      </c>
      <c r="AE513" s="313">
        <f t="shared" si="16"/>
        <v>0</v>
      </c>
      <c r="AF513" s="313">
        <f t="shared" si="16"/>
        <v>789757.99190607481</v>
      </c>
      <c r="AG513" s="313">
        <f t="shared" si="16"/>
        <v>0</v>
      </c>
      <c r="AH513" s="313">
        <f t="shared" si="16"/>
        <v>346097.8125</v>
      </c>
      <c r="AI513" s="313">
        <f t="shared" si="16"/>
        <v>215059.05000000002</v>
      </c>
      <c r="AJ513" s="313">
        <f t="shared" si="16"/>
        <v>1350914.8544060749</v>
      </c>
      <c r="AK513" s="313">
        <f t="shared" si="16"/>
        <v>2748991.7287827348</v>
      </c>
    </row>
    <row r="514" spans="4:37" x14ac:dyDescent="0.25">
      <c r="D514" s="311">
        <v>6811251</v>
      </c>
      <c r="R514" s="313">
        <f t="shared" si="12"/>
        <v>0.6</v>
      </c>
      <c r="S514" s="313">
        <f t="shared" si="16"/>
        <v>0.6</v>
      </c>
      <c r="T514" s="313">
        <f t="shared" si="16"/>
        <v>0</v>
      </c>
      <c r="U514" s="313">
        <f t="shared" si="16"/>
        <v>0</v>
      </c>
      <c r="V514" s="313">
        <f t="shared" si="16"/>
        <v>0</v>
      </c>
      <c r="W514" s="313">
        <f t="shared" si="16"/>
        <v>0</v>
      </c>
      <c r="X514" s="313">
        <f t="shared" si="16"/>
        <v>0</v>
      </c>
      <c r="Y514" s="313">
        <f t="shared" si="16"/>
        <v>0</v>
      </c>
      <c r="Z514" s="313">
        <f t="shared" si="16"/>
        <v>364997.33717507304</v>
      </c>
      <c r="AA514" s="313">
        <f t="shared" si="16"/>
        <v>0</v>
      </c>
      <c r="AB514" s="313">
        <f t="shared" si="16"/>
        <v>26767.384615384617</v>
      </c>
      <c r="AC514" s="313">
        <f t="shared" si="16"/>
        <v>0</v>
      </c>
      <c r="AD514" s="313">
        <f t="shared" si="16"/>
        <v>391764.72179045767</v>
      </c>
      <c r="AE514" s="313">
        <f t="shared" si="16"/>
        <v>0</v>
      </c>
      <c r="AF514" s="313">
        <f t="shared" si="16"/>
        <v>0</v>
      </c>
      <c r="AG514" s="313">
        <f t="shared" si="16"/>
        <v>0</v>
      </c>
      <c r="AH514" s="313">
        <f t="shared" si="16"/>
        <v>0</v>
      </c>
      <c r="AI514" s="313">
        <f t="shared" si="16"/>
        <v>0</v>
      </c>
      <c r="AJ514" s="313">
        <f t="shared" si="16"/>
        <v>0</v>
      </c>
      <c r="AK514" s="313">
        <f t="shared" si="16"/>
        <v>391764.72179045767</v>
      </c>
    </row>
    <row r="515" spans="4:37" x14ac:dyDescent="0.25">
      <c r="D515" s="311">
        <v>6945387</v>
      </c>
      <c r="R515" s="313">
        <f t="shared" si="12"/>
        <v>22.524999999999999</v>
      </c>
      <c r="S515" s="313">
        <f t="shared" si="16"/>
        <v>1.325</v>
      </c>
      <c r="T515" s="313">
        <f t="shared" si="16"/>
        <v>15</v>
      </c>
      <c r="U515" s="313">
        <f t="shared" si="16"/>
        <v>6.2</v>
      </c>
      <c r="V515" s="313">
        <f t="shared" si="16"/>
        <v>0</v>
      </c>
      <c r="W515" s="313">
        <f t="shared" si="16"/>
        <v>57</v>
      </c>
      <c r="X515" s="313">
        <f t="shared" si="16"/>
        <v>0</v>
      </c>
      <c r="Y515" s="313">
        <f t="shared" si="16"/>
        <v>0</v>
      </c>
      <c r="Z515" s="313">
        <f t="shared" si="16"/>
        <v>9485942.8912892826</v>
      </c>
      <c r="AA515" s="313">
        <f t="shared" si="16"/>
        <v>4565199.3134272778</v>
      </c>
      <c r="AB515" s="313">
        <f t="shared" si="16"/>
        <v>5530262.331261415</v>
      </c>
      <c r="AC515" s="313">
        <f t="shared" si="16"/>
        <v>3552495.33987968</v>
      </c>
      <c r="AD515" s="313">
        <f t="shared" si="16"/>
        <v>23133899.875857655</v>
      </c>
      <c r="AE515" s="313">
        <f t="shared" si="16"/>
        <v>0</v>
      </c>
      <c r="AF515" s="313">
        <f t="shared" si="16"/>
        <v>6048860.2852941183</v>
      </c>
      <c r="AG515" s="313">
        <f t="shared" si="16"/>
        <v>1501934.3529411764</v>
      </c>
      <c r="AH515" s="313">
        <f t="shared" si="16"/>
        <v>2726610</v>
      </c>
      <c r="AI515" s="313">
        <f t="shared" si="16"/>
        <v>2580370.0500000003</v>
      </c>
      <c r="AJ515" s="313">
        <f t="shared" si="16"/>
        <v>12857774.688235296</v>
      </c>
      <c r="AK515" s="313">
        <f t="shared" si="16"/>
        <v>10276125.187622359</v>
      </c>
    </row>
    <row r="516" spans="4:37" x14ac:dyDescent="0.25">
      <c r="D516" s="311">
        <v>6948137</v>
      </c>
      <c r="R516" s="313">
        <f t="shared" si="12"/>
        <v>10.5</v>
      </c>
      <c r="S516" s="313">
        <f t="shared" si="16"/>
        <v>10.5</v>
      </c>
      <c r="T516" s="313">
        <f t="shared" si="16"/>
        <v>0</v>
      </c>
      <c r="U516" s="313">
        <f t="shared" si="16"/>
        <v>0</v>
      </c>
      <c r="V516" s="313">
        <f t="shared" si="16"/>
        <v>0</v>
      </c>
      <c r="W516" s="313">
        <f t="shared" si="16"/>
        <v>0</v>
      </c>
      <c r="X516" s="313">
        <f t="shared" si="16"/>
        <v>0</v>
      </c>
      <c r="Y516" s="313">
        <f t="shared" si="16"/>
        <v>0</v>
      </c>
      <c r="Z516" s="313">
        <f t="shared" si="16"/>
        <v>6422420.6957789604</v>
      </c>
      <c r="AA516" s="313">
        <f t="shared" si="16"/>
        <v>0</v>
      </c>
      <c r="AB516" s="313">
        <f t="shared" si="16"/>
        <v>435366.40857189242</v>
      </c>
      <c r="AC516" s="313">
        <f t="shared" si="16"/>
        <v>0</v>
      </c>
      <c r="AD516" s="313">
        <f t="shared" si="16"/>
        <v>6857787.1043508537</v>
      </c>
      <c r="AE516" s="313">
        <f t="shared" si="16"/>
        <v>0</v>
      </c>
      <c r="AF516" s="313">
        <f t="shared" si="16"/>
        <v>0</v>
      </c>
      <c r="AG516" s="313">
        <f t="shared" si="16"/>
        <v>0</v>
      </c>
      <c r="AH516" s="313">
        <f t="shared" si="16"/>
        <v>0</v>
      </c>
      <c r="AI516" s="313">
        <f t="shared" si="16"/>
        <v>0</v>
      </c>
      <c r="AJ516" s="313">
        <f t="shared" si="16"/>
        <v>0</v>
      </c>
      <c r="AK516" s="313">
        <f t="shared" si="16"/>
        <v>6857787.1043508537</v>
      </c>
    </row>
    <row r="517" spans="4:37" x14ac:dyDescent="0.25">
      <c r="D517" s="311">
        <v>6989404</v>
      </c>
      <c r="R517" s="313">
        <f t="shared" si="12"/>
        <v>2.35</v>
      </c>
      <c r="S517" s="313">
        <f t="shared" si="16"/>
        <v>0.35</v>
      </c>
      <c r="T517" s="313">
        <f t="shared" si="16"/>
        <v>2</v>
      </c>
      <c r="U517" s="313">
        <f t="shared" si="16"/>
        <v>0</v>
      </c>
      <c r="V517" s="313">
        <f t="shared" si="16"/>
        <v>0</v>
      </c>
      <c r="W517" s="313">
        <f t="shared" si="16"/>
        <v>0</v>
      </c>
      <c r="X517" s="313">
        <f t="shared" si="16"/>
        <v>20</v>
      </c>
      <c r="Y517" s="313">
        <f t="shared" si="16"/>
        <v>0</v>
      </c>
      <c r="Z517" s="313">
        <f t="shared" si="16"/>
        <v>1230828.4668300801</v>
      </c>
      <c r="AA517" s="313">
        <f t="shared" si="16"/>
        <v>0</v>
      </c>
      <c r="AB517" s="313">
        <f t="shared" si="16"/>
        <v>126453.42663056032</v>
      </c>
      <c r="AC517" s="313">
        <f t="shared" si="16"/>
        <v>0</v>
      </c>
      <c r="AD517" s="313">
        <f t="shared" si="16"/>
        <v>1357281.8934606405</v>
      </c>
      <c r="AE517" s="313">
        <f t="shared" si="16"/>
        <v>0</v>
      </c>
      <c r="AF517" s="313">
        <f t="shared" si="16"/>
        <v>0</v>
      </c>
      <c r="AG517" s="313">
        <f t="shared" si="16"/>
        <v>0</v>
      </c>
      <c r="AH517" s="313">
        <f t="shared" si="16"/>
        <v>0</v>
      </c>
      <c r="AI517" s="313">
        <f t="shared" si="16"/>
        <v>0</v>
      </c>
      <c r="AJ517" s="313">
        <f t="shared" si="16"/>
        <v>0</v>
      </c>
      <c r="AK517" s="313">
        <f t="shared" si="16"/>
        <v>1357281.8934606405</v>
      </c>
    </row>
    <row r="518" spans="4:37" x14ac:dyDescent="0.25">
      <c r="D518" s="311">
        <v>7071797</v>
      </c>
      <c r="R518" s="313">
        <f t="shared" si="12"/>
        <v>7.3</v>
      </c>
      <c r="S518" s="313">
        <f t="shared" si="16"/>
        <v>0.7</v>
      </c>
      <c r="T518" s="313">
        <f t="shared" si="16"/>
        <v>5.3</v>
      </c>
      <c r="U518" s="313">
        <f t="shared" si="16"/>
        <v>1.3</v>
      </c>
      <c r="V518" s="313">
        <f t="shared" si="16"/>
        <v>0</v>
      </c>
      <c r="W518" s="313">
        <f t="shared" si="16"/>
        <v>8</v>
      </c>
      <c r="X518" s="313">
        <f t="shared" si="16"/>
        <v>0</v>
      </c>
      <c r="Y518" s="313">
        <f t="shared" si="16"/>
        <v>0</v>
      </c>
      <c r="Z518" s="313">
        <f t="shared" si="16"/>
        <v>3746766.2740613427</v>
      </c>
      <c r="AA518" s="313">
        <f t="shared" si="16"/>
        <v>0</v>
      </c>
      <c r="AB518" s="313">
        <f t="shared" si="16"/>
        <v>416931.84438254411</v>
      </c>
      <c r="AC518" s="313">
        <f t="shared" si="16"/>
        <v>227735.40740740742</v>
      </c>
      <c r="AD518" s="313">
        <f t="shared" si="16"/>
        <v>4391433.5258512944</v>
      </c>
      <c r="AE518" s="313">
        <f t="shared" si="16"/>
        <v>0</v>
      </c>
      <c r="AF518" s="313">
        <f t="shared" si="16"/>
        <v>840710.12041614403</v>
      </c>
      <c r="AG518" s="313">
        <f t="shared" si="16"/>
        <v>0</v>
      </c>
      <c r="AH518" s="313">
        <f t="shared" si="16"/>
        <v>307642.5</v>
      </c>
      <c r="AI518" s="313">
        <f t="shared" si="16"/>
        <v>191163.6</v>
      </c>
      <c r="AJ518" s="313">
        <f t="shared" si="16"/>
        <v>1339516.220416144</v>
      </c>
      <c r="AK518" s="313">
        <f t="shared" si="16"/>
        <v>3051917.3054351504</v>
      </c>
    </row>
    <row r="519" spans="4:37" x14ac:dyDescent="0.25">
      <c r="D519" s="311">
        <v>7175172</v>
      </c>
      <c r="R519" s="313">
        <f t="shared" si="12"/>
        <v>2</v>
      </c>
      <c r="S519" s="313">
        <f t="shared" si="16"/>
        <v>2</v>
      </c>
      <c r="T519" s="313">
        <f t="shared" si="16"/>
        <v>0</v>
      </c>
      <c r="U519" s="313">
        <f t="shared" si="16"/>
        <v>0</v>
      </c>
      <c r="V519" s="313">
        <f t="shared" si="16"/>
        <v>0</v>
      </c>
      <c r="W519" s="313">
        <f t="shared" si="16"/>
        <v>0</v>
      </c>
      <c r="X519" s="313">
        <f t="shared" si="16"/>
        <v>0</v>
      </c>
      <c r="Y519" s="313">
        <f t="shared" si="16"/>
        <v>0</v>
      </c>
      <c r="Z519" s="313">
        <f t="shared" si="16"/>
        <v>1223318.2277674212</v>
      </c>
      <c r="AA519" s="313">
        <f t="shared" si="16"/>
        <v>0</v>
      </c>
      <c r="AB519" s="313">
        <f t="shared" si="16"/>
        <v>82926.934966074739</v>
      </c>
      <c r="AC519" s="313">
        <f t="shared" si="16"/>
        <v>0</v>
      </c>
      <c r="AD519" s="313">
        <f t="shared" si="16"/>
        <v>1306245.1627334959</v>
      </c>
      <c r="AE519" s="313">
        <f t="shared" si="16"/>
        <v>0</v>
      </c>
      <c r="AF519" s="313">
        <f t="shared" si="16"/>
        <v>0</v>
      </c>
      <c r="AG519" s="313">
        <f t="shared" si="16"/>
        <v>0</v>
      </c>
      <c r="AH519" s="313">
        <f t="shared" si="16"/>
        <v>0</v>
      </c>
      <c r="AI519" s="313">
        <f t="shared" si="16"/>
        <v>0</v>
      </c>
      <c r="AJ519" s="313">
        <f t="shared" si="16"/>
        <v>0</v>
      </c>
      <c r="AK519" s="313">
        <f t="shared" si="16"/>
        <v>1306245.1627334959</v>
      </c>
    </row>
    <row r="520" spans="4:37" x14ac:dyDescent="0.25">
      <c r="D520" s="311">
        <v>7201840</v>
      </c>
      <c r="R520" s="313">
        <f t="shared" si="12"/>
        <v>30.25</v>
      </c>
      <c r="S520" s="313">
        <f t="shared" si="16"/>
        <v>1.5</v>
      </c>
      <c r="T520" s="313">
        <f t="shared" si="16"/>
        <v>28.75</v>
      </c>
      <c r="U520" s="313">
        <f t="shared" si="16"/>
        <v>0</v>
      </c>
      <c r="V520" s="313">
        <f t="shared" si="16"/>
        <v>0</v>
      </c>
      <c r="W520" s="313">
        <f t="shared" si="16"/>
        <v>0</v>
      </c>
      <c r="X520" s="313">
        <f t="shared" ref="S520:AK534" si="17">SUMIFS(X$4:X$326,$D$4:$D$326,$D520)</f>
        <v>0</v>
      </c>
      <c r="Y520" s="313">
        <f t="shared" si="17"/>
        <v>0</v>
      </c>
      <c r="Z520" s="313">
        <f t="shared" si="17"/>
        <v>15218573.402371168</v>
      </c>
      <c r="AA520" s="313">
        <f t="shared" si="17"/>
        <v>0</v>
      </c>
      <c r="AB520" s="313">
        <f t="shared" si="17"/>
        <v>1209582.3861297367</v>
      </c>
      <c r="AC520" s="313">
        <f t="shared" si="17"/>
        <v>0</v>
      </c>
      <c r="AD520" s="313">
        <f t="shared" si="17"/>
        <v>16428155.788500905</v>
      </c>
      <c r="AE520" s="313">
        <f t="shared" si="17"/>
        <v>0</v>
      </c>
      <c r="AF520" s="313">
        <f t="shared" si="17"/>
        <v>3989213.0147058824</v>
      </c>
      <c r="AG520" s="313">
        <f t="shared" si="17"/>
        <v>0</v>
      </c>
      <c r="AH520" s="313">
        <f t="shared" si="17"/>
        <v>0</v>
      </c>
      <c r="AI520" s="313">
        <f t="shared" si="17"/>
        <v>0</v>
      </c>
      <c r="AJ520" s="313">
        <f t="shared" si="17"/>
        <v>3989213.0147058824</v>
      </c>
      <c r="AK520" s="313">
        <f t="shared" si="17"/>
        <v>12438942.773795024</v>
      </c>
    </row>
    <row r="521" spans="4:37" x14ac:dyDescent="0.25">
      <c r="D521" s="311">
        <v>7218817</v>
      </c>
      <c r="R521" s="313">
        <f t="shared" si="12"/>
        <v>2.5</v>
      </c>
      <c r="S521" s="313">
        <f t="shared" si="17"/>
        <v>0.5</v>
      </c>
      <c r="T521" s="313">
        <f t="shared" si="17"/>
        <v>2</v>
      </c>
      <c r="U521" s="313">
        <f t="shared" si="17"/>
        <v>0</v>
      </c>
      <c r="V521" s="313">
        <f t="shared" si="17"/>
        <v>0</v>
      </c>
      <c r="W521" s="313">
        <f t="shared" si="17"/>
        <v>0</v>
      </c>
      <c r="X521" s="313">
        <f t="shared" si="17"/>
        <v>0</v>
      </c>
      <c r="Y521" s="313">
        <f t="shared" si="17"/>
        <v>0</v>
      </c>
      <c r="Z521" s="313">
        <f t="shared" si="17"/>
        <v>1529147.7847092764</v>
      </c>
      <c r="AA521" s="313">
        <f t="shared" si="17"/>
        <v>0</v>
      </c>
      <c r="AB521" s="313">
        <f t="shared" si="17"/>
        <v>103658.66870759343</v>
      </c>
      <c r="AC521" s="313">
        <f t="shared" si="17"/>
        <v>0</v>
      </c>
      <c r="AD521" s="313">
        <f t="shared" si="17"/>
        <v>1632806.4534168697</v>
      </c>
      <c r="AE521" s="313">
        <f t="shared" si="17"/>
        <v>0</v>
      </c>
      <c r="AF521" s="313">
        <f t="shared" si="17"/>
        <v>0</v>
      </c>
      <c r="AG521" s="313">
        <f t="shared" si="17"/>
        <v>0</v>
      </c>
      <c r="AH521" s="313">
        <f t="shared" si="17"/>
        <v>0</v>
      </c>
      <c r="AI521" s="313">
        <f t="shared" si="17"/>
        <v>0</v>
      </c>
      <c r="AJ521" s="313">
        <f t="shared" si="17"/>
        <v>0</v>
      </c>
      <c r="AK521" s="313">
        <f t="shared" si="17"/>
        <v>1632806.4534168697</v>
      </c>
    </row>
    <row r="522" spans="4:37" x14ac:dyDescent="0.25">
      <c r="D522" s="311">
        <v>7259548</v>
      </c>
      <c r="R522" s="313">
        <f t="shared" si="12"/>
        <v>16</v>
      </c>
      <c r="S522" s="313">
        <f t="shared" si="17"/>
        <v>1</v>
      </c>
      <c r="T522" s="313">
        <f t="shared" si="17"/>
        <v>15</v>
      </c>
      <c r="U522" s="313">
        <f t="shared" si="17"/>
        <v>0</v>
      </c>
      <c r="V522" s="313">
        <f t="shared" si="17"/>
        <v>0</v>
      </c>
      <c r="W522" s="313">
        <f t="shared" si="17"/>
        <v>0</v>
      </c>
      <c r="X522" s="313">
        <f t="shared" si="17"/>
        <v>0</v>
      </c>
      <c r="Y522" s="313">
        <f t="shared" si="17"/>
        <v>0</v>
      </c>
      <c r="Z522" s="313">
        <f t="shared" si="17"/>
        <v>8049493.3698492125</v>
      </c>
      <c r="AA522" s="313">
        <f t="shared" si="17"/>
        <v>0</v>
      </c>
      <c r="AB522" s="313">
        <f t="shared" si="17"/>
        <v>639779.11332481937</v>
      </c>
      <c r="AC522" s="313">
        <f t="shared" si="17"/>
        <v>0</v>
      </c>
      <c r="AD522" s="313">
        <f t="shared" si="17"/>
        <v>8689272.4831740316</v>
      </c>
      <c r="AE522" s="313">
        <f t="shared" si="17"/>
        <v>0</v>
      </c>
      <c r="AF522" s="313">
        <f t="shared" si="17"/>
        <v>2081328.5294117648</v>
      </c>
      <c r="AG522" s="313">
        <f t="shared" si="17"/>
        <v>0</v>
      </c>
      <c r="AH522" s="313">
        <f t="shared" si="17"/>
        <v>0</v>
      </c>
      <c r="AI522" s="313">
        <f t="shared" si="17"/>
        <v>0</v>
      </c>
      <c r="AJ522" s="313">
        <f t="shared" si="17"/>
        <v>2081328.5294117648</v>
      </c>
      <c r="AK522" s="313">
        <f t="shared" si="17"/>
        <v>6607943.9537622668</v>
      </c>
    </row>
    <row r="523" spans="4:37" x14ac:dyDescent="0.25">
      <c r="D523" s="311">
        <v>7268793</v>
      </c>
      <c r="R523" s="313">
        <f t="shared" ref="R523:AG586" si="18">SUMIFS(R$4:R$326,$D$4:$D$326,$D523)</f>
        <v>5.75</v>
      </c>
      <c r="S523" s="313">
        <f t="shared" si="18"/>
        <v>0.5</v>
      </c>
      <c r="T523" s="313">
        <f t="shared" si="18"/>
        <v>5.25</v>
      </c>
      <c r="U523" s="313">
        <f t="shared" si="18"/>
        <v>0</v>
      </c>
      <c r="V523" s="313">
        <f t="shared" si="18"/>
        <v>0</v>
      </c>
      <c r="W523" s="313">
        <f t="shared" si="18"/>
        <v>0</v>
      </c>
      <c r="X523" s="313">
        <f t="shared" si="18"/>
        <v>20</v>
      </c>
      <c r="Y523" s="313">
        <f t="shared" si="18"/>
        <v>0</v>
      </c>
      <c r="Z523" s="313">
        <f t="shared" si="18"/>
        <v>3754211.6703287172</v>
      </c>
      <c r="AA523" s="313">
        <f t="shared" si="18"/>
        <v>0</v>
      </c>
      <c r="AB523" s="313">
        <f t="shared" si="18"/>
        <v>516479.83902439021</v>
      </c>
      <c r="AC523" s="313">
        <f t="shared" si="18"/>
        <v>99876</v>
      </c>
      <c r="AD523" s="313">
        <f t="shared" si="18"/>
        <v>4370567.5093531078</v>
      </c>
      <c r="AE523" s="313">
        <f t="shared" si="18"/>
        <v>0</v>
      </c>
      <c r="AF523" s="313">
        <f t="shared" si="18"/>
        <v>708190.68627450976</v>
      </c>
      <c r="AG523" s="313">
        <f t="shared" si="18"/>
        <v>0</v>
      </c>
      <c r="AH523" s="313">
        <f t="shared" si="17"/>
        <v>0</v>
      </c>
      <c r="AI523" s="313">
        <f t="shared" si="17"/>
        <v>109046.15384615384</v>
      </c>
      <c r="AJ523" s="313">
        <f t="shared" si="17"/>
        <v>817236.84012066363</v>
      </c>
      <c r="AK523" s="313">
        <f t="shared" si="17"/>
        <v>3553330.6692324439</v>
      </c>
    </row>
    <row r="524" spans="4:37" x14ac:dyDescent="0.25">
      <c r="D524" s="311">
        <v>7381195</v>
      </c>
      <c r="R524" s="313">
        <f t="shared" si="18"/>
        <v>1.1499999999999999</v>
      </c>
      <c r="S524" s="313">
        <f t="shared" si="17"/>
        <v>0.25</v>
      </c>
      <c r="T524" s="313">
        <f t="shared" si="17"/>
        <v>0.9</v>
      </c>
      <c r="U524" s="313">
        <f t="shared" si="17"/>
        <v>0</v>
      </c>
      <c r="V524" s="313">
        <f t="shared" si="17"/>
        <v>0</v>
      </c>
      <c r="W524" s="313">
        <f t="shared" si="17"/>
        <v>0</v>
      </c>
      <c r="X524" s="313">
        <f t="shared" si="17"/>
        <v>0</v>
      </c>
      <c r="Y524" s="313">
        <f t="shared" si="17"/>
        <v>0</v>
      </c>
      <c r="Z524" s="313">
        <f t="shared" si="17"/>
        <v>703407.98096626706</v>
      </c>
      <c r="AA524" s="313">
        <f t="shared" si="17"/>
        <v>0</v>
      </c>
      <c r="AB524" s="313">
        <f t="shared" si="17"/>
        <v>47682.98760549297</v>
      </c>
      <c r="AC524" s="313">
        <f t="shared" si="17"/>
        <v>0</v>
      </c>
      <c r="AD524" s="313">
        <f t="shared" si="17"/>
        <v>751090.96857175999</v>
      </c>
      <c r="AE524" s="313">
        <f t="shared" si="17"/>
        <v>0</v>
      </c>
      <c r="AF524" s="313">
        <f t="shared" si="17"/>
        <v>0</v>
      </c>
      <c r="AG524" s="313">
        <f t="shared" si="17"/>
        <v>0</v>
      </c>
      <c r="AH524" s="313">
        <f t="shared" si="17"/>
        <v>0</v>
      </c>
      <c r="AI524" s="313">
        <f t="shared" si="17"/>
        <v>0</v>
      </c>
      <c r="AJ524" s="313">
        <f t="shared" si="17"/>
        <v>0</v>
      </c>
      <c r="AK524" s="313">
        <f t="shared" si="17"/>
        <v>751090.96857175999</v>
      </c>
    </row>
    <row r="525" spans="4:37" x14ac:dyDescent="0.25">
      <c r="D525" s="311">
        <v>7384495</v>
      </c>
      <c r="R525" s="313">
        <f t="shared" si="18"/>
        <v>4.3099999999999996</v>
      </c>
      <c r="S525" s="313">
        <f t="shared" si="17"/>
        <v>0.6</v>
      </c>
      <c r="T525" s="313">
        <f t="shared" si="17"/>
        <v>3.71</v>
      </c>
      <c r="U525" s="313">
        <f t="shared" si="17"/>
        <v>0</v>
      </c>
      <c r="V525" s="313">
        <f t="shared" si="17"/>
        <v>0</v>
      </c>
      <c r="W525" s="313">
        <f t="shared" si="17"/>
        <v>0</v>
      </c>
      <c r="X525" s="313">
        <f t="shared" si="17"/>
        <v>15</v>
      </c>
      <c r="Y525" s="313">
        <f t="shared" si="17"/>
        <v>0</v>
      </c>
      <c r="Z525" s="313">
        <f t="shared" si="17"/>
        <v>2636250.7808387922</v>
      </c>
      <c r="AA525" s="313">
        <f t="shared" si="17"/>
        <v>0</v>
      </c>
      <c r="AB525" s="313">
        <f t="shared" si="17"/>
        <v>178707.54485189106</v>
      </c>
      <c r="AC525" s="313">
        <f t="shared" si="17"/>
        <v>0</v>
      </c>
      <c r="AD525" s="313">
        <f t="shared" si="17"/>
        <v>2814958.3256906834</v>
      </c>
      <c r="AE525" s="313">
        <f t="shared" si="17"/>
        <v>0</v>
      </c>
      <c r="AF525" s="313">
        <f t="shared" si="17"/>
        <v>0</v>
      </c>
      <c r="AG525" s="313">
        <f t="shared" si="17"/>
        <v>0</v>
      </c>
      <c r="AH525" s="313">
        <f t="shared" si="17"/>
        <v>0</v>
      </c>
      <c r="AI525" s="313">
        <f t="shared" si="17"/>
        <v>0</v>
      </c>
      <c r="AJ525" s="313">
        <f t="shared" si="17"/>
        <v>0</v>
      </c>
      <c r="AK525" s="313">
        <f t="shared" si="17"/>
        <v>2814958.3256906834</v>
      </c>
    </row>
    <row r="526" spans="4:37" x14ac:dyDescent="0.25">
      <c r="D526" s="311">
        <v>7399132</v>
      </c>
      <c r="R526" s="313">
        <f t="shared" si="18"/>
        <v>7</v>
      </c>
      <c r="S526" s="313">
        <f t="shared" si="17"/>
        <v>1</v>
      </c>
      <c r="T526" s="313">
        <f t="shared" si="17"/>
        <v>6</v>
      </c>
      <c r="U526" s="313">
        <f t="shared" si="17"/>
        <v>0</v>
      </c>
      <c r="V526" s="313">
        <f t="shared" si="17"/>
        <v>0</v>
      </c>
      <c r="W526" s="313">
        <f t="shared" si="17"/>
        <v>0</v>
      </c>
      <c r="X526" s="313">
        <f t="shared" si="17"/>
        <v>0</v>
      </c>
      <c r="Y526" s="313">
        <f t="shared" si="17"/>
        <v>0</v>
      </c>
      <c r="Z526" s="313">
        <f t="shared" si="17"/>
        <v>3521653.3493090305</v>
      </c>
      <c r="AA526" s="313">
        <f t="shared" si="17"/>
        <v>0</v>
      </c>
      <c r="AB526" s="313">
        <f t="shared" si="17"/>
        <v>279903.36207960849</v>
      </c>
      <c r="AC526" s="313">
        <f t="shared" si="17"/>
        <v>0</v>
      </c>
      <c r="AD526" s="313">
        <f t="shared" si="17"/>
        <v>3801556.7113886392</v>
      </c>
      <c r="AE526" s="313">
        <f t="shared" si="17"/>
        <v>0</v>
      </c>
      <c r="AF526" s="313">
        <f t="shared" si="17"/>
        <v>832531.4117647059</v>
      </c>
      <c r="AG526" s="313">
        <f t="shared" si="17"/>
        <v>0</v>
      </c>
      <c r="AH526" s="313">
        <f t="shared" si="17"/>
        <v>0</v>
      </c>
      <c r="AI526" s="313">
        <f t="shared" si="17"/>
        <v>0</v>
      </c>
      <c r="AJ526" s="313">
        <f t="shared" si="17"/>
        <v>832531.4117647059</v>
      </c>
      <c r="AK526" s="313">
        <f t="shared" si="17"/>
        <v>2969025.2996239332</v>
      </c>
    </row>
    <row r="527" spans="4:37" x14ac:dyDescent="0.25">
      <c r="D527" s="311">
        <v>7459230</v>
      </c>
      <c r="R527" s="313">
        <f t="shared" si="18"/>
        <v>9.25</v>
      </c>
      <c r="S527" s="313">
        <f t="shared" si="17"/>
        <v>0.25</v>
      </c>
      <c r="T527" s="313">
        <f t="shared" si="17"/>
        <v>9</v>
      </c>
      <c r="U527" s="313">
        <f t="shared" si="17"/>
        <v>0</v>
      </c>
      <c r="V527" s="313">
        <f t="shared" si="17"/>
        <v>0</v>
      </c>
      <c r="W527" s="313">
        <f t="shared" si="17"/>
        <v>0</v>
      </c>
      <c r="X527" s="313">
        <f t="shared" si="17"/>
        <v>0</v>
      </c>
      <c r="Y527" s="313">
        <f t="shared" si="17"/>
        <v>0</v>
      </c>
      <c r="Z527" s="313">
        <f t="shared" si="17"/>
        <v>4302403.1274925387</v>
      </c>
      <c r="AA527" s="313">
        <f t="shared" si="17"/>
        <v>0</v>
      </c>
      <c r="AB527" s="313">
        <f t="shared" si="17"/>
        <v>173115.89110982118</v>
      </c>
      <c r="AC527" s="313">
        <f t="shared" si="17"/>
        <v>0</v>
      </c>
      <c r="AD527" s="313">
        <f t="shared" si="17"/>
        <v>4475519.01860236</v>
      </c>
      <c r="AE527" s="313">
        <f t="shared" si="17"/>
        <v>0</v>
      </c>
      <c r="AF527" s="313">
        <f t="shared" si="17"/>
        <v>1124719.5643260824</v>
      </c>
      <c r="AG527" s="313">
        <f t="shared" si="17"/>
        <v>0</v>
      </c>
      <c r="AH527" s="313">
        <f t="shared" si="17"/>
        <v>0</v>
      </c>
      <c r="AI527" s="313">
        <f t="shared" si="17"/>
        <v>0</v>
      </c>
      <c r="AJ527" s="313">
        <f t="shared" si="17"/>
        <v>1124719.5643260824</v>
      </c>
      <c r="AK527" s="313">
        <f t="shared" si="17"/>
        <v>3350799.4542762777</v>
      </c>
    </row>
    <row r="528" spans="4:37" x14ac:dyDescent="0.25">
      <c r="D528" s="311">
        <v>7566271</v>
      </c>
      <c r="R528" s="313">
        <f t="shared" si="18"/>
        <v>23.8</v>
      </c>
      <c r="S528" s="313">
        <f t="shared" si="17"/>
        <v>1.8000000000000003</v>
      </c>
      <c r="T528" s="313">
        <f t="shared" si="17"/>
        <v>22</v>
      </c>
      <c r="U528" s="313">
        <f t="shared" si="17"/>
        <v>0</v>
      </c>
      <c r="V528" s="313">
        <f t="shared" si="17"/>
        <v>0</v>
      </c>
      <c r="W528" s="313">
        <f t="shared" si="17"/>
        <v>0</v>
      </c>
      <c r="X528" s="313">
        <f t="shared" si="17"/>
        <v>0</v>
      </c>
      <c r="Y528" s="313">
        <f t="shared" si="17"/>
        <v>0</v>
      </c>
      <c r="Z528" s="313">
        <f t="shared" si="17"/>
        <v>11069966.965872696</v>
      </c>
      <c r="AA528" s="313">
        <f t="shared" si="17"/>
        <v>0</v>
      </c>
      <c r="AB528" s="313">
        <f t="shared" si="17"/>
        <v>445422.50901770208</v>
      </c>
      <c r="AC528" s="313">
        <f t="shared" si="17"/>
        <v>0</v>
      </c>
      <c r="AD528" s="313">
        <f t="shared" si="17"/>
        <v>11515389.474890398</v>
      </c>
      <c r="AE528" s="313">
        <f t="shared" si="17"/>
        <v>0</v>
      </c>
      <c r="AF528" s="313">
        <f t="shared" si="17"/>
        <v>2749314.4905748684</v>
      </c>
      <c r="AG528" s="313">
        <f t="shared" si="17"/>
        <v>0</v>
      </c>
      <c r="AH528" s="313">
        <f t="shared" si="17"/>
        <v>0</v>
      </c>
      <c r="AI528" s="313">
        <f t="shared" si="17"/>
        <v>0</v>
      </c>
      <c r="AJ528" s="313">
        <f t="shared" si="17"/>
        <v>2749314.4905748684</v>
      </c>
      <c r="AK528" s="313">
        <f t="shared" si="17"/>
        <v>8766074.9843155295</v>
      </c>
    </row>
    <row r="529" spans="4:37" x14ac:dyDescent="0.25">
      <c r="D529" s="311">
        <v>7630615</v>
      </c>
      <c r="R529" s="313">
        <f t="shared" si="18"/>
        <v>122.2</v>
      </c>
      <c r="S529" s="313">
        <f t="shared" si="17"/>
        <v>6.5</v>
      </c>
      <c r="T529" s="313">
        <f t="shared" si="17"/>
        <v>90.4</v>
      </c>
      <c r="U529" s="313">
        <f t="shared" si="17"/>
        <v>25.3</v>
      </c>
      <c r="V529" s="313">
        <f t="shared" si="17"/>
        <v>0</v>
      </c>
      <c r="W529" s="313">
        <f t="shared" si="17"/>
        <v>282</v>
      </c>
      <c r="X529" s="313">
        <f t="shared" si="17"/>
        <v>0</v>
      </c>
      <c r="Y529" s="313">
        <f t="shared" si="17"/>
        <v>0</v>
      </c>
      <c r="Z529" s="313">
        <f t="shared" si="17"/>
        <v>57548698.463960685</v>
      </c>
      <c r="AA529" s="313">
        <f t="shared" si="17"/>
        <v>18637232.092210636</v>
      </c>
      <c r="AB529" s="313">
        <f t="shared" si="17"/>
        <v>26126619.596511271</v>
      </c>
      <c r="AC529" s="313">
        <f t="shared" si="17"/>
        <v>18336347.7347605</v>
      </c>
      <c r="AD529" s="313">
        <f t="shared" si="17"/>
        <v>120648897.8874431</v>
      </c>
      <c r="AE529" s="313">
        <f t="shared" si="17"/>
        <v>0</v>
      </c>
      <c r="AF529" s="313">
        <f t="shared" si="17"/>
        <v>31660276.813953485</v>
      </c>
      <c r="AG529" s="313">
        <f t="shared" si="17"/>
        <v>8247052.9903381644</v>
      </c>
      <c r="AH529" s="313">
        <f t="shared" si="17"/>
        <v>18308504.444444444</v>
      </c>
      <c r="AI529" s="313">
        <f t="shared" si="17"/>
        <v>14347331.754595589</v>
      </c>
      <c r="AJ529" s="313">
        <f t="shared" si="17"/>
        <v>72563166.003331691</v>
      </c>
      <c r="AK529" s="313">
        <f t="shared" si="17"/>
        <v>48085731.884111404</v>
      </c>
    </row>
    <row r="530" spans="4:37" x14ac:dyDescent="0.25">
      <c r="D530" s="311">
        <v>7634996</v>
      </c>
      <c r="R530" s="313">
        <f t="shared" si="18"/>
        <v>0.4</v>
      </c>
      <c r="S530" s="313">
        <f t="shared" si="17"/>
        <v>0.4</v>
      </c>
      <c r="T530" s="313">
        <f t="shared" si="17"/>
        <v>0</v>
      </c>
      <c r="U530" s="313">
        <f t="shared" si="17"/>
        <v>0</v>
      </c>
      <c r="V530" s="313">
        <f t="shared" si="17"/>
        <v>0</v>
      </c>
      <c r="W530" s="313">
        <f t="shared" si="17"/>
        <v>0</v>
      </c>
      <c r="X530" s="313">
        <f t="shared" si="17"/>
        <v>0</v>
      </c>
      <c r="Y530" s="313">
        <f t="shared" si="17"/>
        <v>0</v>
      </c>
      <c r="Z530" s="313">
        <f t="shared" si="17"/>
        <v>243331.55811671537</v>
      </c>
      <c r="AA530" s="313">
        <f t="shared" si="17"/>
        <v>0</v>
      </c>
      <c r="AB530" s="313">
        <f t="shared" si="17"/>
        <v>17844.923076923078</v>
      </c>
      <c r="AC530" s="313">
        <f t="shared" si="17"/>
        <v>0</v>
      </c>
      <c r="AD530" s="313">
        <f t="shared" si="17"/>
        <v>261176.48119363846</v>
      </c>
      <c r="AE530" s="313">
        <f t="shared" si="17"/>
        <v>0</v>
      </c>
      <c r="AF530" s="313">
        <f t="shared" si="17"/>
        <v>0</v>
      </c>
      <c r="AG530" s="313">
        <f t="shared" si="17"/>
        <v>0</v>
      </c>
      <c r="AH530" s="313">
        <f t="shared" si="17"/>
        <v>0</v>
      </c>
      <c r="AI530" s="313">
        <f t="shared" si="17"/>
        <v>0</v>
      </c>
      <c r="AJ530" s="313">
        <f t="shared" si="17"/>
        <v>0</v>
      </c>
      <c r="AK530" s="313">
        <f t="shared" si="17"/>
        <v>261176.48119363846</v>
      </c>
    </row>
    <row r="531" spans="4:37" x14ac:dyDescent="0.25">
      <c r="D531" s="311">
        <v>7653065</v>
      </c>
      <c r="R531" s="313">
        <f t="shared" si="18"/>
        <v>5</v>
      </c>
      <c r="S531" s="313">
        <f t="shared" si="17"/>
        <v>1</v>
      </c>
      <c r="T531" s="313">
        <f t="shared" si="17"/>
        <v>4</v>
      </c>
      <c r="U531" s="313">
        <f t="shared" si="17"/>
        <v>0</v>
      </c>
      <c r="V531" s="313">
        <f t="shared" si="17"/>
        <v>0</v>
      </c>
      <c r="W531" s="313">
        <f t="shared" si="17"/>
        <v>0</v>
      </c>
      <c r="X531" s="313">
        <f t="shared" si="17"/>
        <v>14</v>
      </c>
      <c r="Y531" s="313">
        <f t="shared" si="17"/>
        <v>0</v>
      </c>
      <c r="Z531" s="313">
        <f t="shared" si="17"/>
        <v>2710024.6232429305</v>
      </c>
      <c r="AA531" s="313">
        <f t="shared" si="17"/>
        <v>0</v>
      </c>
      <c r="AB531" s="313">
        <f t="shared" si="17"/>
        <v>387329.3026874502</v>
      </c>
      <c r="AC531" s="313">
        <f t="shared" si="17"/>
        <v>0</v>
      </c>
      <c r="AD531" s="313">
        <f t="shared" si="17"/>
        <v>3097353.9259303808</v>
      </c>
      <c r="AE531" s="313">
        <f t="shared" si="17"/>
        <v>0</v>
      </c>
      <c r="AF531" s="313">
        <f t="shared" si="17"/>
        <v>0</v>
      </c>
      <c r="AG531" s="313">
        <f t="shared" si="17"/>
        <v>0</v>
      </c>
      <c r="AH531" s="313">
        <f t="shared" si="17"/>
        <v>0</v>
      </c>
      <c r="AI531" s="313">
        <f t="shared" si="17"/>
        <v>0</v>
      </c>
      <c r="AJ531" s="313">
        <f t="shared" si="17"/>
        <v>0</v>
      </c>
      <c r="AK531" s="313">
        <f t="shared" si="17"/>
        <v>3097353.9259303808</v>
      </c>
    </row>
    <row r="532" spans="4:37" x14ac:dyDescent="0.25">
      <c r="D532" s="311">
        <v>7702105</v>
      </c>
      <c r="R532" s="313">
        <f t="shared" si="18"/>
        <v>4.3</v>
      </c>
      <c r="S532" s="313">
        <f t="shared" si="17"/>
        <v>0.8</v>
      </c>
      <c r="T532" s="313">
        <f t="shared" si="17"/>
        <v>3.5</v>
      </c>
      <c r="U532" s="313">
        <f t="shared" si="17"/>
        <v>0</v>
      </c>
      <c r="V532" s="313">
        <f t="shared" si="17"/>
        <v>0</v>
      </c>
      <c r="W532" s="313">
        <f t="shared" si="17"/>
        <v>0</v>
      </c>
      <c r="X532" s="313">
        <f t="shared" si="17"/>
        <v>0</v>
      </c>
      <c r="Y532" s="313">
        <f t="shared" si="17"/>
        <v>0</v>
      </c>
      <c r="Z532" s="313">
        <f t="shared" si="17"/>
        <v>2163301.3431469756</v>
      </c>
      <c r="AA532" s="313">
        <f t="shared" si="17"/>
        <v>0</v>
      </c>
      <c r="AB532" s="313">
        <f t="shared" si="17"/>
        <v>171940.63670604519</v>
      </c>
      <c r="AC532" s="313">
        <f t="shared" si="17"/>
        <v>0</v>
      </c>
      <c r="AD532" s="313">
        <f t="shared" si="17"/>
        <v>2335241.979853021</v>
      </c>
      <c r="AE532" s="313">
        <f t="shared" si="17"/>
        <v>0</v>
      </c>
      <c r="AF532" s="313">
        <f t="shared" si="17"/>
        <v>485643.32352941181</v>
      </c>
      <c r="AG532" s="313">
        <f t="shared" si="17"/>
        <v>0</v>
      </c>
      <c r="AH532" s="313">
        <f t="shared" si="17"/>
        <v>0</v>
      </c>
      <c r="AI532" s="313">
        <f t="shared" si="17"/>
        <v>0</v>
      </c>
      <c r="AJ532" s="313">
        <f t="shared" si="17"/>
        <v>485643.32352941181</v>
      </c>
      <c r="AK532" s="313">
        <f t="shared" si="17"/>
        <v>1849598.6563236092</v>
      </c>
    </row>
    <row r="533" spans="4:37" x14ac:dyDescent="0.25">
      <c r="D533" s="311">
        <v>7741294</v>
      </c>
      <c r="R533" s="313">
        <f t="shared" si="18"/>
        <v>4</v>
      </c>
      <c r="S533" s="313">
        <f t="shared" si="17"/>
        <v>1</v>
      </c>
      <c r="T533" s="313">
        <f t="shared" si="17"/>
        <v>3</v>
      </c>
      <c r="U533" s="313">
        <f t="shared" si="17"/>
        <v>0</v>
      </c>
      <c r="V533" s="313">
        <f t="shared" si="17"/>
        <v>0</v>
      </c>
      <c r="W533" s="313">
        <f t="shared" si="17"/>
        <v>0</v>
      </c>
      <c r="X533" s="313">
        <f t="shared" si="17"/>
        <v>0</v>
      </c>
      <c r="Y533" s="313">
        <f t="shared" si="17"/>
        <v>0</v>
      </c>
      <c r="Z533" s="313">
        <f t="shared" si="17"/>
        <v>2012373.3424623031</v>
      </c>
      <c r="AA533" s="313">
        <f t="shared" si="17"/>
        <v>0</v>
      </c>
      <c r="AB533" s="313">
        <f t="shared" si="17"/>
        <v>159944.77833120484</v>
      </c>
      <c r="AC533" s="313">
        <f t="shared" si="17"/>
        <v>0</v>
      </c>
      <c r="AD533" s="313">
        <f t="shared" si="17"/>
        <v>2172318.1207935079</v>
      </c>
      <c r="AE533" s="313">
        <f t="shared" si="17"/>
        <v>0</v>
      </c>
      <c r="AF533" s="313">
        <f t="shared" si="17"/>
        <v>416265.70588235295</v>
      </c>
      <c r="AG533" s="313">
        <f t="shared" si="17"/>
        <v>0</v>
      </c>
      <c r="AH533" s="313">
        <f t="shared" si="17"/>
        <v>0</v>
      </c>
      <c r="AI533" s="313">
        <f t="shared" si="17"/>
        <v>0</v>
      </c>
      <c r="AJ533" s="313">
        <f t="shared" si="17"/>
        <v>416265.70588235295</v>
      </c>
      <c r="AK533" s="313">
        <f t="shared" si="17"/>
        <v>1756052.4149111549</v>
      </c>
    </row>
    <row r="534" spans="4:37" x14ac:dyDescent="0.25">
      <c r="D534" s="311">
        <v>7790627</v>
      </c>
      <c r="R534" s="313">
        <f t="shared" si="18"/>
        <v>3.64</v>
      </c>
      <c r="S534" s="313">
        <f t="shared" si="17"/>
        <v>0.5</v>
      </c>
      <c r="T534" s="313">
        <f t="shared" si="17"/>
        <v>3.14</v>
      </c>
      <c r="U534" s="313">
        <f t="shared" si="17"/>
        <v>0</v>
      </c>
      <c r="V534" s="313">
        <f t="shared" si="17"/>
        <v>0</v>
      </c>
      <c r="W534" s="313">
        <f t="shared" si="17"/>
        <v>0</v>
      </c>
      <c r="X534" s="313">
        <f t="shared" si="17"/>
        <v>5</v>
      </c>
      <c r="Y534" s="313">
        <f t="shared" si="17"/>
        <v>0</v>
      </c>
      <c r="Z534" s="313">
        <f t="shared" si="17"/>
        <v>2226439.1745367064</v>
      </c>
      <c r="AA534" s="313">
        <f t="shared" si="17"/>
        <v>0</v>
      </c>
      <c r="AB534" s="313">
        <f t="shared" ref="S534:AK547" si="19">SUMIFS(AB$4:AB$326,$D$4:$D$326,$D534)</f>
        <v>150927.02163825603</v>
      </c>
      <c r="AC534" s="313">
        <f t="shared" si="19"/>
        <v>0</v>
      </c>
      <c r="AD534" s="313">
        <f t="shared" si="19"/>
        <v>2377366.1961749624</v>
      </c>
      <c r="AE534" s="313">
        <f t="shared" si="19"/>
        <v>0</v>
      </c>
      <c r="AF534" s="313">
        <f t="shared" si="19"/>
        <v>0</v>
      </c>
      <c r="AG534" s="313">
        <f t="shared" si="19"/>
        <v>0</v>
      </c>
      <c r="AH534" s="313">
        <f t="shared" si="19"/>
        <v>0</v>
      </c>
      <c r="AI534" s="313">
        <f t="shared" si="19"/>
        <v>0</v>
      </c>
      <c r="AJ534" s="313">
        <f t="shared" si="19"/>
        <v>0</v>
      </c>
      <c r="AK534" s="313">
        <f t="shared" si="19"/>
        <v>2377366.1961749624</v>
      </c>
    </row>
    <row r="535" spans="4:37" x14ac:dyDescent="0.25">
      <c r="D535" s="311">
        <v>7805491</v>
      </c>
      <c r="R535" s="313">
        <f t="shared" si="18"/>
        <v>1.35</v>
      </c>
      <c r="S535" s="313">
        <f t="shared" si="19"/>
        <v>1.35</v>
      </c>
      <c r="T535" s="313">
        <f t="shared" si="19"/>
        <v>0</v>
      </c>
      <c r="U535" s="313">
        <f t="shared" si="19"/>
        <v>0</v>
      </c>
      <c r="V535" s="313">
        <f t="shared" si="19"/>
        <v>0</v>
      </c>
      <c r="W535" s="313">
        <f t="shared" si="19"/>
        <v>0</v>
      </c>
      <c r="X535" s="313">
        <f t="shared" si="19"/>
        <v>0</v>
      </c>
      <c r="Y535" s="313">
        <f t="shared" si="19"/>
        <v>0</v>
      </c>
      <c r="Z535" s="313">
        <f t="shared" si="19"/>
        <v>825739.80374300934</v>
      </c>
      <c r="AA535" s="313">
        <f t="shared" si="19"/>
        <v>0</v>
      </c>
      <c r="AB535" s="313">
        <f t="shared" si="19"/>
        <v>55975.681102100454</v>
      </c>
      <c r="AC535" s="313">
        <f t="shared" si="19"/>
        <v>0</v>
      </c>
      <c r="AD535" s="313">
        <f t="shared" si="19"/>
        <v>881715.48484510975</v>
      </c>
      <c r="AE535" s="313">
        <f t="shared" si="19"/>
        <v>0</v>
      </c>
      <c r="AF535" s="313">
        <f t="shared" si="19"/>
        <v>0</v>
      </c>
      <c r="AG535" s="313">
        <f t="shared" si="19"/>
        <v>0</v>
      </c>
      <c r="AH535" s="313">
        <f t="shared" si="19"/>
        <v>0</v>
      </c>
      <c r="AI535" s="313">
        <f t="shared" si="19"/>
        <v>0</v>
      </c>
      <c r="AJ535" s="313">
        <f t="shared" si="19"/>
        <v>0</v>
      </c>
      <c r="AK535" s="313">
        <f t="shared" si="19"/>
        <v>881715.48484510975</v>
      </c>
    </row>
    <row r="536" spans="4:37" x14ac:dyDescent="0.25">
      <c r="D536" s="311">
        <v>7832444</v>
      </c>
      <c r="R536" s="313">
        <f t="shared" si="18"/>
        <v>6.2</v>
      </c>
      <c r="S536" s="313">
        <f t="shared" si="19"/>
        <v>2.7</v>
      </c>
      <c r="T536" s="313">
        <f t="shared" si="19"/>
        <v>3.5</v>
      </c>
      <c r="U536" s="313">
        <f t="shared" si="19"/>
        <v>0</v>
      </c>
      <c r="V536" s="313">
        <f t="shared" si="19"/>
        <v>0</v>
      </c>
      <c r="W536" s="313">
        <f t="shared" si="19"/>
        <v>0</v>
      </c>
      <c r="X536" s="313">
        <f t="shared" si="19"/>
        <v>30</v>
      </c>
      <c r="Y536" s="313">
        <f t="shared" si="19"/>
        <v>0</v>
      </c>
      <c r="Z536" s="313">
        <f t="shared" si="19"/>
        <v>3182814.1833693455</v>
      </c>
      <c r="AA536" s="313">
        <f t="shared" si="19"/>
        <v>0</v>
      </c>
      <c r="AB536" s="313">
        <f t="shared" si="19"/>
        <v>506110.35071076796</v>
      </c>
      <c r="AC536" s="313">
        <f t="shared" si="19"/>
        <v>0</v>
      </c>
      <c r="AD536" s="313">
        <f t="shared" si="19"/>
        <v>3688924.5340801133</v>
      </c>
      <c r="AE536" s="313">
        <f t="shared" si="19"/>
        <v>0</v>
      </c>
      <c r="AF536" s="313">
        <f t="shared" si="19"/>
        <v>0</v>
      </c>
      <c r="AG536" s="313">
        <f t="shared" si="19"/>
        <v>0</v>
      </c>
      <c r="AH536" s="313">
        <f t="shared" si="19"/>
        <v>0</v>
      </c>
      <c r="AI536" s="313">
        <f t="shared" si="19"/>
        <v>0</v>
      </c>
      <c r="AJ536" s="313">
        <f t="shared" si="19"/>
        <v>0</v>
      </c>
      <c r="AK536" s="313">
        <f t="shared" si="19"/>
        <v>3688924.5340801133</v>
      </c>
    </row>
    <row r="537" spans="4:37" x14ac:dyDescent="0.25">
      <c r="D537" s="311">
        <v>7846871</v>
      </c>
      <c r="R537" s="313">
        <f t="shared" si="18"/>
        <v>3</v>
      </c>
      <c r="S537" s="313">
        <f t="shared" si="19"/>
        <v>2</v>
      </c>
      <c r="T537" s="313">
        <f t="shared" si="19"/>
        <v>1</v>
      </c>
      <c r="U537" s="313">
        <f t="shared" si="19"/>
        <v>0</v>
      </c>
      <c r="V537" s="313">
        <f t="shared" si="19"/>
        <v>0</v>
      </c>
      <c r="W537" s="313">
        <f t="shared" si="19"/>
        <v>0</v>
      </c>
      <c r="X537" s="313">
        <f t="shared" si="19"/>
        <v>0</v>
      </c>
      <c r="Y537" s="313">
        <f t="shared" si="19"/>
        <v>0</v>
      </c>
      <c r="Z537" s="313">
        <f t="shared" si="19"/>
        <v>1681546.8308823528</v>
      </c>
      <c r="AA537" s="313">
        <f t="shared" si="19"/>
        <v>0</v>
      </c>
      <c r="AB537" s="313">
        <f t="shared" si="19"/>
        <v>43491.149632352943</v>
      </c>
      <c r="AC537" s="313">
        <f t="shared" si="19"/>
        <v>0</v>
      </c>
      <c r="AD537" s="313">
        <f t="shared" si="19"/>
        <v>1725037.9805147056</v>
      </c>
      <c r="AE537" s="313">
        <f t="shared" si="19"/>
        <v>0</v>
      </c>
      <c r="AF537" s="313">
        <f t="shared" si="19"/>
        <v>107302.76000000001</v>
      </c>
      <c r="AG537" s="313">
        <f t="shared" si="19"/>
        <v>0</v>
      </c>
      <c r="AH537" s="313">
        <f t="shared" si="19"/>
        <v>0</v>
      </c>
      <c r="AI537" s="313">
        <f t="shared" si="19"/>
        <v>0</v>
      </c>
      <c r="AJ537" s="313">
        <f t="shared" si="19"/>
        <v>107302.76000000001</v>
      </c>
      <c r="AK537" s="313">
        <f t="shared" si="19"/>
        <v>1617735.2205147056</v>
      </c>
    </row>
    <row r="538" spans="4:37" x14ac:dyDescent="0.25">
      <c r="D538" s="311">
        <v>7857005</v>
      </c>
      <c r="R538" s="313">
        <f t="shared" si="18"/>
        <v>10.775</v>
      </c>
      <c r="S538" s="313">
        <f t="shared" si="19"/>
        <v>0.375</v>
      </c>
      <c r="T538" s="313">
        <f t="shared" si="19"/>
        <v>7.9</v>
      </c>
      <c r="U538" s="313">
        <f t="shared" si="19"/>
        <v>2.5</v>
      </c>
      <c r="V538" s="313">
        <f t="shared" si="19"/>
        <v>0</v>
      </c>
      <c r="W538" s="313">
        <f t="shared" si="19"/>
        <v>23</v>
      </c>
      <c r="X538" s="313">
        <f t="shared" si="19"/>
        <v>0</v>
      </c>
      <c r="Y538" s="313">
        <f t="shared" si="19"/>
        <v>0</v>
      </c>
      <c r="Z538" s="313">
        <f t="shared" si="19"/>
        <v>4914504.4353898317</v>
      </c>
      <c r="AA538" s="313">
        <f t="shared" si="19"/>
        <v>1841623.7245267425</v>
      </c>
      <c r="AB538" s="313">
        <f t="shared" si="19"/>
        <v>2130894.5060984371</v>
      </c>
      <c r="AC538" s="313">
        <f t="shared" si="19"/>
        <v>1495517.7230478423</v>
      </c>
      <c r="AD538" s="313">
        <f t="shared" si="19"/>
        <v>10382540.389062852</v>
      </c>
      <c r="AE538" s="313">
        <f t="shared" si="19"/>
        <v>0</v>
      </c>
      <c r="AF538" s="313">
        <f t="shared" si="19"/>
        <v>2582221.1585848588</v>
      </c>
      <c r="AG538" s="313">
        <f t="shared" si="19"/>
        <v>672631.98148148146</v>
      </c>
      <c r="AH538" s="313">
        <f t="shared" si="19"/>
        <v>1493246.816390859</v>
      </c>
      <c r="AI538" s="313">
        <f t="shared" si="19"/>
        <v>1170172.448069853</v>
      </c>
      <c r="AJ538" s="313">
        <f t="shared" si="19"/>
        <v>5918272.4045270523</v>
      </c>
      <c r="AK538" s="313">
        <f t="shared" si="19"/>
        <v>4464267.9845357994</v>
      </c>
    </row>
    <row r="539" spans="4:37" x14ac:dyDescent="0.25">
      <c r="D539" s="311">
        <v>7916274</v>
      </c>
      <c r="R539" s="313">
        <f t="shared" si="18"/>
        <v>21</v>
      </c>
      <c r="S539" s="313">
        <f t="shared" si="19"/>
        <v>1</v>
      </c>
      <c r="T539" s="313">
        <f t="shared" si="19"/>
        <v>14</v>
      </c>
      <c r="U539" s="313">
        <f t="shared" si="19"/>
        <v>6</v>
      </c>
      <c r="V539" s="313">
        <f t="shared" si="19"/>
        <v>0</v>
      </c>
      <c r="W539" s="313">
        <f t="shared" si="19"/>
        <v>38</v>
      </c>
      <c r="X539" s="313">
        <f t="shared" si="19"/>
        <v>0</v>
      </c>
      <c r="Y539" s="313">
        <f t="shared" si="19"/>
        <v>0</v>
      </c>
      <c r="Z539" s="313">
        <f t="shared" si="19"/>
        <v>8908467.2544830777</v>
      </c>
      <c r="AA539" s="313">
        <f t="shared" si="19"/>
        <v>4419896.9388641827</v>
      </c>
      <c r="AB539" s="313">
        <f t="shared" si="19"/>
        <v>3520608.3144235048</v>
      </c>
      <c r="AC539" s="313">
        <f t="shared" si="19"/>
        <v>2470855.3685138263</v>
      </c>
      <c r="AD539" s="313">
        <f t="shared" si="19"/>
        <v>19319827.876284592</v>
      </c>
      <c r="AE539" s="313">
        <f t="shared" si="19"/>
        <v>0</v>
      </c>
      <c r="AF539" s="313">
        <f t="shared" si="19"/>
        <v>4266278.4359228099</v>
      </c>
      <c r="AG539" s="313">
        <f t="shared" si="19"/>
        <v>1111305.0128824476</v>
      </c>
      <c r="AH539" s="313">
        <f t="shared" si="19"/>
        <v>2467103.4357762015</v>
      </c>
      <c r="AI539" s="313">
        <f t="shared" si="19"/>
        <v>1933328.3924632354</v>
      </c>
      <c r="AJ539" s="313">
        <f t="shared" si="19"/>
        <v>9778015.2770446949</v>
      </c>
      <c r="AK539" s="313">
        <f t="shared" si="19"/>
        <v>9541812.599239897</v>
      </c>
    </row>
    <row r="540" spans="4:37" x14ac:dyDescent="0.25">
      <c r="D540" s="311">
        <v>7947229</v>
      </c>
      <c r="R540" s="313">
        <f t="shared" si="18"/>
        <v>0</v>
      </c>
      <c r="S540" s="313">
        <f t="shared" si="19"/>
        <v>0</v>
      </c>
      <c r="T540" s="313">
        <f t="shared" si="19"/>
        <v>0</v>
      </c>
      <c r="U540" s="313">
        <f t="shared" si="19"/>
        <v>0</v>
      </c>
      <c r="V540" s="313">
        <f t="shared" si="19"/>
        <v>0</v>
      </c>
      <c r="W540" s="313">
        <f t="shared" si="19"/>
        <v>0</v>
      </c>
      <c r="X540" s="313">
        <f t="shared" si="19"/>
        <v>20</v>
      </c>
      <c r="Y540" s="313">
        <f t="shared" si="19"/>
        <v>0</v>
      </c>
      <c r="Z540" s="313">
        <f t="shared" si="19"/>
        <v>0</v>
      </c>
      <c r="AA540" s="313">
        <f t="shared" si="19"/>
        <v>0</v>
      </c>
      <c r="AB540" s="313">
        <f t="shared" si="19"/>
        <v>0</v>
      </c>
      <c r="AC540" s="313">
        <f t="shared" si="19"/>
        <v>0</v>
      </c>
      <c r="AD540" s="313">
        <f t="shared" si="19"/>
        <v>0</v>
      </c>
      <c r="AE540" s="313">
        <f t="shared" si="19"/>
        <v>0</v>
      </c>
      <c r="AF540" s="313">
        <f t="shared" si="19"/>
        <v>0</v>
      </c>
      <c r="AG540" s="313">
        <f t="shared" si="19"/>
        <v>0</v>
      </c>
      <c r="AH540" s="313">
        <f t="shared" si="19"/>
        <v>0</v>
      </c>
      <c r="AI540" s="313">
        <f t="shared" si="19"/>
        <v>0</v>
      </c>
      <c r="AJ540" s="313">
        <f t="shared" si="19"/>
        <v>0</v>
      </c>
      <c r="AK540" s="313">
        <f t="shared" si="19"/>
        <v>0</v>
      </c>
    </row>
    <row r="541" spans="4:37" x14ac:dyDescent="0.25">
      <c r="D541" s="311">
        <v>8051895</v>
      </c>
      <c r="R541" s="313">
        <f t="shared" si="18"/>
        <v>6.85</v>
      </c>
      <c r="S541" s="313">
        <f t="shared" si="19"/>
        <v>0.6</v>
      </c>
      <c r="T541" s="313">
        <f t="shared" si="19"/>
        <v>6.25</v>
      </c>
      <c r="U541" s="313">
        <f t="shared" si="19"/>
        <v>0</v>
      </c>
      <c r="V541" s="313">
        <f t="shared" si="19"/>
        <v>0</v>
      </c>
      <c r="W541" s="313">
        <f t="shared" si="19"/>
        <v>25</v>
      </c>
      <c r="X541" s="313">
        <f t="shared" si="19"/>
        <v>0</v>
      </c>
      <c r="Y541" s="313">
        <f t="shared" si="19"/>
        <v>0</v>
      </c>
      <c r="Z541" s="313">
        <f t="shared" si="19"/>
        <v>4006879.2684280262</v>
      </c>
      <c r="AA541" s="313">
        <f t="shared" si="19"/>
        <v>0</v>
      </c>
      <c r="AB541" s="313">
        <f t="shared" si="19"/>
        <v>1338607.2228159891</v>
      </c>
      <c r="AC541" s="313">
        <f t="shared" si="19"/>
        <v>446529.56666666671</v>
      </c>
      <c r="AD541" s="313">
        <f t="shared" si="19"/>
        <v>5792016.0579106817</v>
      </c>
      <c r="AE541" s="313">
        <f t="shared" si="19"/>
        <v>0</v>
      </c>
      <c r="AF541" s="313">
        <f t="shared" si="19"/>
        <v>512314.96456185571</v>
      </c>
      <c r="AG541" s="313">
        <f t="shared" si="19"/>
        <v>0</v>
      </c>
      <c r="AH541" s="313">
        <f t="shared" si="19"/>
        <v>1082056.75</v>
      </c>
      <c r="AI541" s="313">
        <f t="shared" si="19"/>
        <v>470160.9375</v>
      </c>
      <c r="AJ541" s="313">
        <f t="shared" si="19"/>
        <v>2064532.6520618557</v>
      </c>
      <c r="AK541" s="313">
        <f t="shared" si="19"/>
        <v>3727483.4058488263</v>
      </c>
    </row>
    <row r="542" spans="4:37" x14ac:dyDescent="0.25">
      <c r="D542" s="311">
        <v>8090757</v>
      </c>
      <c r="R542" s="313">
        <f t="shared" si="18"/>
        <v>2.5</v>
      </c>
      <c r="S542" s="313">
        <f t="shared" si="19"/>
        <v>0.35</v>
      </c>
      <c r="T542" s="313">
        <f t="shared" si="19"/>
        <v>2.15</v>
      </c>
      <c r="U542" s="313">
        <f t="shared" si="19"/>
        <v>0</v>
      </c>
      <c r="V542" s="313">
        <f t="shared" si="19"/>
        <v>0</v>
      </c>
      <c r="W542" s="313">
        <f t="shared" si="19"/>
        <v>0</v>
      </c>
      <c r="X542" s="313">
        <f t="shared" si="19"/>
        <v>10</v>
      </c>
      <c r="Y542" s="313">
        <f t="shared" si="19"/>
        <v>0</v>
      </c>
      <c r="Z542" s="313">
        <f t="shared" si="19"/>
        <v>1299422.2602739725</v>
      </c>
      <c r="AA542" s="313">
        <f t="shared" si="19"/>
        <v>0</v>
      </c>
      <c r="AB542" s="313">
        <f t="shared" si="19"/>
        <v>178090.20253555969</v>
      </c>
      <c r="AC542" s="313">
        <f t="shared" si="19"/>
        <v>4898.666666666667</v>
      </c>
      <c r="AD542" s="313">
        <f t="shared" si="19"/>
        <v>1482411.1294761989</v>
      </c>
      <c r="AE542" s="313">
        <f t="shared" si="19"/>
        <v>0</v>
      </c>
      <c r="AF542" s="313">
        <f t="shared" si="19"/>
        <v>244242.15</v>
      </c>
      <c r="AG542" s="313">
        <f t="shared" si="19"/>
        <v>0</v>
      </c>
      <c r="AH542" s="313">
        <f t="shared" si="19"/>
        <v>0</v>
      </c>
      <c r="AI542" s="313">
        <f t="shared" si="19"/>
        <v>0</v>
      </c>
      <c r="AJ542" s="313">
        <f t="shared" si="19"/>
        <v>244242.15</v>
      </c>
      <c r="AK542" s="313">
        <f t="shared" si="19"/>
        <v>1238168.979476199</v>
      </c>
    </row>
    <row r="543" spans="4:37" x14ac:dyDescent="0.25">
      <c r="D543" s="311">
        <v>8098643</v>
      </c>
      <c r="R543" s="313">
        <f t="shared" si="18"/>
        <v>2.5</v>
      </c>
      <c r="S543" s="313">
        <f t="shared" si="19"/>
        <v>0.5</v>
      </c>
      <c r="T543" s="313">
        <f t="shared" si="19"/>
        <v>2</v>
      </c>
      <c r="U543" s="313">
        <f t="shared" si="19"/>
        <v>0</v>
      </c>
      <c r="V543" s="313">
        <f t="shared" si="19"/>
        <v>0</v>
      </c>
      <c r="W543" s="313">
        <f t="shared" si="19"/>
        <v>0</v>
      </c>
      <c r="X543" s="313">
        <f t="shared" si="19"/>
        <v>0</v>
      </c>
      <c r="Y543" s="313">
        <f t="shared" si="19"/>
        <v>0</v>
      </c>
      <c r="Z543" s="313">
        <f t="shared" si="19"/>
        <v>1529147.7847092764</v>
      </c>
      <c r="AA543" s="313">
        <f t="shared" si="19"/>
        <v>0</v>
      </c>
      <c r="AB543" s="313">
        <f t="shared" si="19"/>
        <v>103658.66870759343</v>
      </c>
      <c r="AC543" s="313">
        <f t="shared" si="19"/>
        <v>0</v>
      </c>
      <c r="AD543" s="313">
        <f t="shared" si="19"/>
        <v>1632806.4534168697</v>
      </c>
      <c r="AE543" s="313">
        <f t="shared" si="19"/>
        <v>0</v>
      </c>
      <c r="AF543" s="313">
        <f t="shared" si="19"/>
        <v>0</v>
      </c>
      <c r="AG543" s="313">
        <f t="shared" si="19"/>
        <v>0</v>
      </c>
      <c r="AH543" s="313">
        <f t="shared" si="19"/>
        <v>0</v>
      </c>
      <c r="AI543" s="313">
        <f t="shared" si="19"/>
        <v>0</v>
      </c>
      <c r="AJ543" s="313">
        <f t="shared" si="19"/>
        <v>0</v>
      </c>
      <c r="AK543" s="313">
        <f t="shared" si="19"/>
        <v>1632806.4534168697</v>
      </c>
    </row>
    <row r="544" spans="4:37" x14ac:dyDescent="0.25">
      <c r="D544" s="311">
        <v>8102124</v>
      </c>
      <c r="R544" s="313">
        <f t="shared" si="18"/>
        <v>1.6</v>
      </c>
      <c r="S544" s="313">
        <f t="shared" si="19"/>
        <v>1.3</v>
      </c>
      <c r="T544" s="313">
        <f t="shared" si="19"/>
        <v>0.3</v>
      </c>
      <c r="U544" s="313">
        <f t="shared" si="19"/>
        <v>0</v>
      </c>
      <c r="V544" s="313">
        <f t="shared" si="19"/>
        <v>0</v>
      </c>
      <c r="W544" s="313">
        <f t="shared" si="19"/>
        <v>0</v>
      </c>
      <c r="X544" s="313">
        <f t="shared" si="19"/>
        <v>25</v>
      </c>
      <c r="Y544" s="313">
        <f t="shared" si="19"/>
        <v>0</v>
      </c>
      <c r="Z544" s="313">
        <f t="shared" si="19"/>
        <v>838010.87103324616</v>
      </c>
      <c r="AA544" s="313">
        <f t="shared" si="19"/>
        <v>0</v>
      </c>
      <c r="AB544" s="313">
        <f t="shared" si="19"/>
        <v>86095.950046338956</v>
      </c>
      <c r="AC544" s="313">
        <f t="shared" si="19"/>
        <v>0</v>
      </c>
      <c r="AD544" s="313">
        <f t="shared" si="19"/>
        <v>924106.82107958512</v>
      </c>
      <c r="AE544" s="313">
        <f t="shared" si="19"/>
        <v>0</v>
      </c>
      <c r="AF544" s="313">
        <f t="shared" si="19"/>
        <v>0</v>
      </c>
      <c r="AG544" s="313">
        <f t="shared" si="19"/>
        <v>0</v>
      </c>
      <c r="AH544" s="313">
        <f t="shared" si="19"/>
        <v>0</v>
      </c>
      <c r="AI544" s="313">
        <f t="shared" si="19"/>
        <v>0</v>
      </c>
      <c r="AJ544" s="313">
        <f t="shared" si="19"/>
        <v>0</v>
      </c>
      <c r="AK544" s="313">
        <f t="shared" si="19"/>
        <v>924106.82107958512</v>
      </c>
    </row>
    <row r="545" spans="4:37" x14ac:dyDescent="0.25">
      <c r="D545" s="311">
        <v>8172268</v>
      </c>
      <c r="R545" s="313">
        <f t="shared" si="18"/>
        <v>8.5</v>
      </c>
      <c r="S545" s="313">
        <f t="shared" si="19"/>
        <v>8.5</v>
      </c>
      <c r="T545" s="313">
        <f t="shared" si="19"/>
        <v>0</v>
      </c>
      <c r="U545" s="313">
        <f t="shared" si="19"/>
        <v>0</v>
      </c>
      <c r="V545" s="313">
        <f t="shared" si="19"/>
        <v>0</v>
      </c>
      <c r="W545" s="313">
        <f t="shared" si="19"/>
        <v>0</v>
      </c>
      <c r="X545" s="313">
        <f t="shared" si="19"/>
        <v>0</v>
      </c>
      <c r="Y545" s="313">
        <f t="shared" si="19"/>
        <v>0</v>
      </c>
      <c r="Z545" s="313">
        <f t="shared" si="19"/>
        <v>5199102.4680115404</v>
      </c>
      <c r="AA545" s="313">
        <f t="shared" si="19"/>
        <v>0</v>
      </c>
      <c r="AB545" s="313">
        <f t="shared" si="19"/>
        <v>352439.47360581765</v>
      </c>
      <c r="AC545" s="313">
        <f t="shared" si="19"/>
        <v>0</v>
      </c>
      <c r="AD545" s="313">
        <f t="shared" si="19"/>
        <v>5551541.9416173585</v>
      </c>
      <c r="AE545" s="313">
        <f t="shared" si="19"/>
        <v>0</v>
      </c>
      <c r="AF545" s="313">
        <f t="shared" si="19"/>
        <v>0</v>
      </c>
      <c r="AG545" s="313">
        <f t="shared" si="19"/>
        <v>0</v>
      </c>
      <c r="AH545" s="313">
        <f t="shared" si="19"/>
        <v>0</v>
      </c>
      <c r="AI545" s="313">
        <f t="shared" si="19"/>
        <v>0</v>
      </c>
      <c r="AJ545" s="313">
        <f t="shared" si="19"/>
        <v>0</v>
      </c>
      <c r="AK545" s="313">
        <f t="shared" si="19"/>
        <v>5551541.9416173585</v>
      </c>
    </row>
    <row r="546" spans="4:37" x14ac:dyDescent="0.25">
      <c r="D546" s="311">
        <v>8289298</v>
      </c>
      <c r="R546" s="313">
        <f t="shared" si="18"/>
        <v>1.35</v>
      </c>
      <c r="S546" s="313">
        <f t="shared" si="19"/>
        <v>1.35</v>
      </c>
      <c r="T546" s="313">
        <f t="shared" si="19"/>
        <v>0</v>
      </c>
      <c r="U546" s="313">
        <f t="shared" si="19"/>
        <v>0</v>
      </c>
      <c r="V546" s="313">
        <f t="shared" si="19"/>
        <v>0</v>
      </c>
      <c r="W546" s="313">
        <f t="shared" si="19"/>
        <v>0</v>
      </c>
      <c r="X546" s="313">
        <f t="shared" si="19"/>
        <v>0</v>
      </c>
      <c r="Y546" s="313">
        <f t="shared" si="19"/>
        <v>0</v>
      </c>
      <c r="Z546" s="313">
        <f t="shared" si="19"/>
        <v>821244.00864391436</v>
      </c>
      <c r="AA546" s="313">
        <f t="shared" si="19"/>
        <v>0</v>
      </c>
      <c r="AB546" s="313">
        <f t="shared" si="19"/>
        <v>60226.61538461539</v>
      </c>
      <c r="AC546" s="313">
        <f t="shared" si="19"/>
        <v>0</v>
      </c>
      <c r="AD546" s="313">
        <f t="shared" si="19"/>
        <v>881470.62402852974</v>
      </c>
      <c r="AE546" s="313">
        <f t="shared" si="19"/>
        <v>0</v>
      </c>
      <c r="AF546" s="313">
        <f t="shared" si="19"/>
        <v>0</v>
      </c>
      <c r="AG546" s="313">
        <f t="shared" si="19"/>
        <v>0</v>
      </c>
      <c r="AH546" s="313">
        <f t="shared" si="19"/>
        <v>0</v>
      </c>
      <c r="AI546" s="313">
        <f t="shared" si="19"/>
        <v>0</v>
      </c>
      <c r="AJ546" s="313">
        <f t="shared" si="19"/>
        <v>0</v>
      </c>
      <c r="AK546" s="313">
        <f t="shared" si="19"/>
        <v>881470.62402852974</v>
      </c>
    </row>
    <row r="547" spans="4:37" x14ac:dyDescent="0.25">
      <c r="D547" s="311">
        <v>8299792</v>
      </c>
      <c r="R547" s="313">
        <f t="shared" si="18"/>
        <v>1.85</v>
      </c>
      <c r="S547" s="313">
        <f t="shared" si="19"/>
        <v>0.7</v>
      </c>
      <c r="T547" s="313">
        <f t="shared" si="19"/>
        <v>0</v>
      </c>
      <c r="U547" s="313">
        <f t="shared" si="19"/>
        <v>0</v>
      </c>
      <c r="V547" s="313">
        <f t="shared" si="19"/>
        <v>1.1499999999999999</v>
      </c>
      <c r="W547" s="313">
        <f t="shared" si="19"/>
        <v>0</v>
      </c>
      <c r="X547" s="313">
        <f t="shared" si="19"/>
        <v>0</v>
      </c>
      <c r="Y547" s="313">
        <f t="shared" si="19"/>
        <v>0</v>
      </c>
      <c r="Z547" s="313">
        <f t="shared" si="19"/>
        <v>1125408.4562898085</v>
      </c>
      <c r="AA547" s="313">
        <f t="shared" si="19"/>
        <v>0</v>
      </c>
      <c r="AB547" s="313">
        <f t="shared" si="19"/>
        <v>82532.769230769234</v>
      </c>
      <c r="AC547" s="313">
        <f t="shared" si="19"/>
        <v>0</v>
      </c>
      <c r="AD547" s="313">
        <f t="shared" si="19"/>
        <v>1207941.2255205777</v>
      </c>
      <c r="AE547" s="313">
        <f t="shared" si="19"/>
        <v>0</v>
      </c>
      <c r="AF547" s="313">
        <f t="shared" si="19"/>
        <v>0</v>
      </c>
      <c r="AG547" s="313">
        <f t="shared" si="19"/>
        <v>0</v>
      </c>
      <c r="AH547" s="313">
        <f t="shared" si="19"/>
        <v>0</v>
      </c>
      <c r="AI547" s="313">
        <f t="shared" si="19"/>
        <v>0</v>
      </c>
      <c r="AJ547" s="313">
        <f t="shared" ref="S547:AK561" si="20">SUMIFS(AJ$4:AJ$326,$D$4:$D$326,$D547)</f>
        <v>0</v>
      </c>
      <c r="AK547" s="313">
        <f t="shared" si="20"/>
        <v>1207941.2255205777</v>
      </c>
    </row>
    <row r="548" spans="4:37" x14ac:dyDescent="0.25">
      <c r="D548" s="311">
        <v>8314639</v>
      </c>
      <c r="R548" s="313">
        <f t="shared" si="18"/>
        <v>4.1500000000000004</v>
      </c>
      <c r="S548" s="313">
        <f t="shared" si="20"/>
        <v>1</v>
      </c>
      <c r="T548" s="313">
        <f t="shared" si="20"/>
        <v>0</v>
      </c>
      <c r="U548" s="313">
        <f t="shared" si="20"/>
        <v>0</v>
      </c>
      <c r="V548" s="313">
        <f t="shared" si="20"/>
        <v>3.15</v>
      </c>
      <c r="W548" s="313">
        <f t="shared" si="20"/>
        <v>0</v>
      </c>
      <c r="X548" s="313">
        <f t="shared" si="20"/>
        <v>0</v>
      </c>
      <c r="Y548" s="313">
        <f t="shared" si="20"/>
        <v>0</v>
      </c>
      <c r="Z548" s="313">
        <f t="shared" si="20"/>
        <v>2524564.9154609218</v>
      </c>
      <c r="AA548" s="313">
        <f t="shared" si="20"/>
        <v>0</v>
      </c>
      <c r="AB548" s="313">
        <f t="shared" si="20"/>
        <v>185141.07692307694</v>
      </c>
      <c r="AC548" s="313">
        <f t="shared" si="20"/>
        <v>0</v>
      </c>
      <c r="AD548" s="313">
        <f t="shared" si="20"/>
        <v>2709705.9923839988</v>
      </c>
      <c r="AE548" s="313">
        <f t="shared" si="20"/>
        <v>0</v>
      </c>
      <c r="AF548" s="313">
        <f t="shared" si="20"/>
        <v>0</v>
      </c>
      <c r="AG548" s="313">
        <f t="shared" si="20"/>
        <v>0</v>
      </c>
      <c r="AH548" s="313">
        <f t="shared" si="20"/>
        <v>0</v>
      </c>
      <c r="AI548" s="313">
        <f t="shared" si="20"/>
        <v>0</v>
      </c>
      <c r="AJ548" s="313">
        <f t="shared" si="20"/>
        <v>0</v>
      </c>
      <c r="AK548" s="313">
        <f t="shared" si="20"/>
        <v>2709705.9923839988</v>
      </c>
    </row>
    <row r="549" spans="4:37" x14ac:dyDescent="0.25">
      <c r="D549" s="311">
        <v>8338145</v>
      </c>
      <c r="R549" s="313">
        <f t="shared" si="18"/>
        <v>6.46</v>
      </c>
      <c r="S549" s="313">
        <f t="shared" si="20"/>
        <v>0.17</v>
      </c>
      <c r="T549" s="313">
        <f t="shared" si="20"/>
        <v>4.91</v>
      </c>
      <c r="U549" s="313">
        <f t="shared" si="20"/>
        <v>1.38</v>
      </c>
      <c r="V549" s="313">
        <f t="shared" si="20"/>
        <v>0</v>
      </c>
      <c r="W549" s="313">
        <f t="shared" si="20"/>
        <v>6</v>
      </c>
      <c r="X549" s="313">
        <f t="shared" si="20"/>
        <v>0</v>
      </c>
      <c r="Y549" s="313">
        <f t="shared" si="20"/>
        <v>0</v>
      </c>
      <c r="Z549" s="313">
        <f t="shared" si="20"/>
        <v>2951827.864486956</v>
      </c>
      <c r="AA549" s="313">
        <f t="shared" si="20"/>
        <v>1016125.0084725231</v>
      </c>
      <c r="AB549" s="313">
        <f t="shared" si="20"/>
        <v>582132.87697488582</v>
      </c>
      <c r="AC549" s="313">
        <f t="shared" si="20"/>
        <v>373946.87788207154</v>
      </c>
      <c r="AD549" s="313">
        <f t="shared" si="20"/>
        <v>4924032.6278164368</v>
      </c>
      <c r="AE549" s="313">
        <f t="shared" si="20"/>
        <v>0</v>
      </c>
      <c r="AF549" s="313">
        <f t="shared" si="20"/>
        <v>636722.13529411773</v>
      </c>
      <c r="AG549" s="313">
        <f t="shared" si="20"/>
        <v>158098.35294117645</v>
      </c>
      <c r="AH549" s="313">
        <f t="shared" si="20"/>
        <v>287011.57894736843</v>
      </c>
      <c r="AI549" s="313">
        <f t="shared" si="20"/>
        <v>271617.90000000002</v>
      </c>
      <c r="AJ549" s="313">
        <f t="shared" si="20"/>
        <v>1353449.9671826623</v>
      </c>
      <c r="AK549" s="313">
        <f t="shared" si="20"/>
        <v>3570582.6606337745</v>
      </c>
    </row>
    <row r="550" spans="4:37" x14ac:dyDescent="0.25">
      <c r="D550" s="311">
        <v>8350990</v>
      </c>
      <c r="R550" s="313">
        <f t="shared" si="18"/>
        <v>2.5</v>
      </c>
      <c r="S550" s="313">
        <f t="shared" si="20"/>
        <v>1</v>
      </c>
      <c r="T550" s="313">
        <f t="shared" si="20"/>
        <v>1.5</v>
      </c>
      <c r="U550" s="313">
        <f t="shared" si="20"/>
        <v>0</v>
      </c>
      <c r="V550" s="313">
        <f t="shared" si="20"/>
        <v>0</v>
      </c>
      <c r="W550" s="313">
        <f t="shared" si="20"/>
        <v>0</v>
      </c>
      <c r="X550" s="313">
        <f t="shared" si="20"/>
        <v>40</v>
      </c>
      <c r="Y550" s="313">
        <f t="shared" si="20"/>
        <v>0</v>
      </c>
      <c r="Z550" s="313">
        <f t="shared" si="20"/>
        <v>1309391.985989447</v>
      </c>
      <c r="AA550" s="313">
        <f t="shared" si="20"/>
        <v>0</v>
      </c>
      <c r="AB550" s="313">
        <f t="shared" si="20"/>
        <v>134524.9219474046</v>
      </c>
      <c r="AC550" s="313">
        <f t="shared" si="20"/>
        <v>0</v>
      </c>
      <c r="AD550" s="313">
        <f t="shared" si="20"/>
        <v>1443916.9079368515</v>
      </c>
      <c r="AE550" s="313">
        <f t="shared" si="20"/>
        <v>0</v>
      </c>
      <c r="AF550" s="313">
        <f t="shared" si="20"/>
        <v>0</v>
      </c>
      <c r="AG550" s="313">
        <f t="shared" si="20"/>
        <v>0</v>
      </c>
      <c r="AH550" s="313">
        <f t="shared" si="20"/>
        <v>0</v>
      </c>
      <c r="AI550" s="313">
        <f t="shared" si="20"/>
        <v>0</v>
      </c>
      <c r="AJ550" s="313">
        <f t="shared" si="20"/>
        <v>0</v>
      </c>
      <c r="AK550" s="313">
        <f t="shared" si="20"/>
        <v>1443916.9079368515</v>
      </c>
    </row>
    <row r="551" spans="4:37" x14ac:dyDescent="0.25">
      <c r="D551" s="311">
        <v>8365172</v>
      </c>
      <c r="R551" s="313">
        <f t="shared" si="18"/>
        <v>1.9</v>
      </c>
      <c r="S551" s="313">
        <f t="shared" si="20"/>
        <v>1.9</v>
      </c>
      <c r="T551" s="313">
        <f t="shared" si="20"/>
        <v>0</v>
      </c>
      <c r="U551" s="313">
        <f t="shared" si="20"/>
        <v>0</v>
      </c>
      <c r="V551" s="313">
        <f t="shared" si="20"/>
        <v>0</v>
      </c>
      <c r="W551" s="313">
        <f t="shared" si="20"/>
        <v>0</v>
      </c>
      <c r="X551" s="313">
        <f t="shared" si="20"/>
        <v>2</v>
      </c>
      <c r="Y551" s="313">
        <f t="shared" si="20"/>
        <v>0</v>
      </c>
      <c r="Z551" s="313">
        <f t="shared" si="20"/>
        <v>1127164.5558257725</v>
      </c>
      <c r="AA551" s="313">
        <f t="shared" si="20"/>
        <v>0</v>
      </c>
      <c r="AB551" s="313">
        <f t="shared" si="20"/>
        <v>70597.623151404667</v>
      </c>
      <c r="AC551" s="313">
        <f t="shared" si="20"/>
        <v>0</v>
      </c>
      <c r="AD551" s="313">
        <f t="shared" si="20"/>
        <v>1197762.178977177</v>
      </c>
      <c r="AE551" s="313">
        <f t="shared" si="20"/>
        <v>0</v>
      </c>
      <c r="AF551" s="313">
        <f t="shared" si="20"/>
        <v>0</v>
      </c>
      <c r="AG551" s="313">
        <f t="shared" si="20"/>
        <v>0</v>
      </c>
      <c r="AH551" s="313">
        <f t="shared" si="20"/>
        <v>0</v>
      </c>
      <c r="AI551" s="313">
        <f t="shared" si="20"/>
        <v>0</v>
      </c>
      <c r="AJ551" s="313">
        <f t="shared" si="20"/>
        <v>0</v>
      </c>
      <c r="AK551" s="313">
        <f t="shared" si="20"/>
        <v>1197762.178977177</v>
      </c>
    </row>
    <row r="552" spans="4:37" x14ac:dyDescent="0.25">
      <c r="D552" s="311">
        <v>8382823</v>
      </c>
      <c r="R552" s="313">
        <f t="shared" si="18"/>
        <v>3</v>
      </c>
      <c r="S552" s="313">
        <f t="shared" si="20"/>
        <v>2.2000000000000002</v>
      </c>
      <c r="T552" s="313">
        <f t="shared" si="20"/>
        <v>0.8</v>
      </c>
      <c r="U552" s="313">
        <f t="shared" si="20"/>
        <v>0</v>
      </c>
      <c r="V552" s="313">
        <f t="shared" si="20"/>
        <v>0</v>
      </c>
      <c r="W552" s="313">
        <f t="shared" si="20"/>
        <v>0</v>
      </c>
      <c r="X552" s="313">
        <f t="shared" si="20"/>
        <v>20</v>
      </c>
      <c r="Y552" s="313">
        <f t="shared" si="20"/>
        <v>0</v>
      </c>
      <c r="Z552" s="313">
        <f t="shared" si="20"/>
        <v>1760982.5480527903</v>
      </c>
      <c r="AA552" s="313">
        <f t="shared" si="20"/>
        <v>0</v>
      </c>
      <c r="AB552" s="313">
        <f t="shared" si="20"/>
        <v>127983.49563686467</v>
      </c>
      <c r="AC552" s="313">
        <f t="shared" si="20"/>
        <v>0</v>
      </c>
      <c r="AD552" s="313">
        <f t="shared" si="20"/>
        <v>1888966.0436896549</v>
      </c>
      <c r="AE552" s="313">
        <f t="shared" si="20"/>
        <v>0</v>
      </c>
      <c r="AF552" s="313">
        <f t="shared" si="20"/>
        <v>0</v>
      </c>
      <c r="AG552" s="313">
        <f t="shared" si="20"/>
        <v>0</v>
      </c>
      <c r="AH552" s="313">
        <f t="shared" si="20"/>
        <v>0</v>
      </c>
      <c r="AI552" s="313">
        <f t="shared" si="20"/>
        <v>0</v>
      </c>
      <c r="AJ552" s="313">
        <f t="shared" si="20"/>
        <v>0</v>
      </c>
      <c r="AK552" s="313">
        <f t="shared" si="20"/>
        <v>1888966.0436896549</v>
      </c>
    </row>
    <row r="553" spans="4:37" x14ac:dyDescent="0.25">
      <c r="D553" s="311">
        <v>8411392</v>
      </c>
      <c r="R553" s="313">
        <f t="shared" si="18"/>
        <v>6</v>
      </c>
      <c r="S553" s="313">
        <f t="shared" si="20"/>
        <v>5.75</v>
      </c>
      <c r="T553" s="313">
        <f t="shared" si="20"/>
        <v>0.25</v>
      </c>
      <c r="U553" s="313">
        <f t="shared" si="20"/>
        <v>0</v>
      </c>
      <c r="V553" s="313">
        <f t="shared" si="20"/>
        <v>0</v>
      </c>
      <c r="W553" s="313">
        <f t="shared" si="20"/>
        <v>0</v>
      </c>
      <c r="X553" s="313">
        <f t="shared" si="20"/>
        <v>57</v>
      </c>
      <c r="Y553" s="313">
        <f t="shared" si="20"/>
        <v>0</v>
      </c>
      <c r="Z553" s="313">
        <f t="shared" si="20"/>
        <v>3142540.7663746728</v>
      </c>
      <c r="AA553" s="313">
        <f t="shared" si="20"/>
        <v>0</v>
      </c>
      <c r="AB553" s="313">
        <f t="shared" si="20"/>
        <v>322859.81267377106</v>
      </c>
      <c r="AC553" s="313">
        <f t="shared" si="20"/>
        <v>0</v>
      </c>
      <c r="AD553" s="313">
        <f t="shared" si="20"/>
        <v>3465400.5790484436</v>
      </c>
      <c r="AE553" s="313">
        <f t="shared" si="20"/>
        <v>0</v>
      </c>
      <c r="AF553" s="313">
        <f t="shared" si="20"/>
        <v>0</v>
      </c>
      <c r="AG553" s="313">
        <f t="shared" si="20"/>
        <v>0</v>
      </c>
      <c r="AH553" s="313">
        <f t="shared" si="20"/>
        <v>0</v>
      </c>
      <c r="AI553" s="313">
        <f t="shared" si="20"/>
        <v>0</v>
      </c>
      <c r="AJ553" s="313">
        <f t="shared" si="20"/>
        <v>0</v>
      </c>
      <c r="AK553" s="313">
        <f t="shared" si="20"/>
        <v>3465400.5790484436</v>
      </c>
    </row>
    <row r="554" spans="4:37" x14ac:dyDescent="0.25">
      <c r="D554" s="311">
        <v>8430922</v>
      </c>
      <c r="R554" s="313">
        <f t="shared" si="18"/>
        <v>4</v>
      </c>
      <c r="S554" s="313">
        <f t="shared" si="20"/>
        <v>1</v>
      </c>
      <c r="T554" s="313">
        <f t="shared" si="20"/>
        <v>0</v>
      </c>
      <c r="U554" s="313">
        <f t="shared" si="20"/>
        <v>0</v>
      </c>
      <c r="V554" s="313">
        <f t="shared" si="20"/>
        <v>3</v>
      </c>
      <c r="W554" s="313">
        <f t="shared" si="20"/>
        <v>0</v>
      </c>
      <c r="X554" s="313">
        <f t="shared" si="20"/>
        <v>3</v>
      </c>
      <c r="Y554" s="313">
        <f t="shared" si="20"/>
        <v>0</v>
      </c>
      <c r="Z554" s="313">
        <f t="shared" si="20"/>
        <v>2372978.0122647844</v>
      </c>
      <c r="AA554" s="313">
        <f t="shared" si="20"/>
        <v>0</v>
      </c>
      <c r="AB554" s="313">
        <f t="shared" si="20"/>
        <v>148626.57505558879</v>
      </c>
      <c r="AC554" s="313">
        <f t="shared" si="20"/>
        <v>0</v>
      </c>
      <c r="AD554" s="313">
        <f t="shared" si="20"/>
        <v>2521604.5873203734</v>
      </c>
      <c r="AE554" s="313">
        <f t="shared" si="20"/>
        <v>0</v>
      </c>
      <c r="AF554" s="313">
        <f t="shared" si="20"/>
        <v>0</v>
      </c>
      <c r="AG554" s="313">
        <f t="shared" si="20"/>
        <v>0</v>
      </c>
      <c r="AH554" s="313">
        <f t="shared" si="20"/>
        <v>0</v>
      </c>
      <c r="AI554" s="313">
        <f t="shared" si="20"/>
        <v>0</v>
      </c>
      <c r="AJ554" s="313">
        <f t="shared" si="20"/>
        <v>0</v>
      </c>
      <c r="AK554" s="313">
        <f t="shared" si="20"/>
        <v>2521604.5873203734</v>
      </c>
    </row>
    <row r="555" spans="4:37" x14ac:dyDescent="0.25">
      <c r="D555" s="311">
        <v>8504548</v>
      </c>
      <c r="R555" s="313">
        <f t="shared" si="18"/>
        <v>40.299999999999997</v>
      </c>
      <c r="S555" s="313">
        <f t="shared" si="20"/>
        <v>1.8</v>
      </c>
      <c r="T555" s="313">
        <f t="shared" si="20"/>
        <v>38.5</v>
      </c>
      <c r="U555" s="313">
        <f t="shared" si="20"/>
        <v>0</v>
      </c>
      <c r="V555" s="313">
        <f t="shared" si="20"/>
        <v>0</v>
      </c>
      <c r="W555" s="313">
        <f t="shared" si="20"/>
        <v>45</v>
      </c>
      <c r="X555" s="313">
        <f t="shared" si="20"/>
        <v>0</v>
      </c>
      <c r="Y555" s="313">
        <f t="shared" si="20"/>
        <v>0</v>
      </c>
      <c r="Z555" s="313">
        <f t="shared" si="20"/>
        <v>23573318.907686051</v>
      </c>
      <c r="AA555" s="313">
        <f t="shared" si="20"/>
        <v>0</v>
      </c>
      <c r="AB555" s="313">
        <f t="shared" si="20"/>
        <v>2409493.0010687802</v>
      </c>
      <c r="AC555" s="313">
        <f t="shared" si="20"/>
        <v>803753.22000000009</v>
      </c>
      <c r="AD555" s="313">
        <f t="shared" si="20"/>
        <v>26786565.128754832</v>
      </c>
      <c r="AE555" s="313">
        <f t="shared" si="20"/>
        <v>0</v>
      </c>
      <c r="AF555" s="313">
        <f t="shared" si="20"/>
        <v>3155860.181701031</v>
      </c>
      <c r="AG555" s="313">
        <f t="shared" si="20"/>
        <v>0</v>
      </c>
      <c r="AH555" s="313">
        <f t="shared" si="20"/>
        <v>1947702.1500000001</v>
      </c>
      <c r="AI555" s="313">
        <f t="shared" si="20"/>
        <v>846289.6875</v>
      </c>
      <c r="AJ555" s="313">
        <f t="shared" si="20"/>
        <v>5949852.019201031</v>
      </c>
      <c r="AK555" s="313">
        <f t="shared" si="20"/>
        <v>20836713.109553799</v>
      </c>
    </row>
    <row r="556" spans="4:37" x14ac:dyDescent="0.25">
      <c r="D556" s="311">
        <v>8508078</v>
      </c>
      <c r="R556" s="313">
        <f t="shared" si="18"/>
        <v>34.200000000000003</v>
      </c>
      <c r="S556" s="313">
        <f t="shared" si="20"/>
        <v>2.6</v>
      </c>
      <c r="T556" s="313">
        <f t="shared" si="20"/>
        <v>19</v>
      </c>
      <c r="U556" s="313">
        <f t="shared" si="20"/>
        <v>12.6</v>
      </c>
      <c r="V556" s="313">
        <f t="shared" si="20"/>
        <v>0</v>
      </c>
      <c r="W556" s="313">
        <f t="shared" si="20"/>
        <v>86</v>
      </c>
      <c r="X556" s="313">
        <f t="shared" si="20"/>
        <v>0</v>
      </c>
      <c r="Y556" s="313">
        <f t="shared" si="20"/>
        <v>0</v>
      </c>
      <c r="Z556" s="313">
        <f t="shared" si="20"/>
        <v>12828192.846455634</v>
      </c>
      <c r="AA556" s="313">
        <f t="shared" si="20"/>
        <v>9281783.5716147833</v>
      </c>
      <c r="AB556" s="313">
        <f t="shared" si="20"/>
        <v>7967692.5010637213</v>
      </c>
      <c r="AC556" s="313">
        <f t="shared" si="20"/>
        <v>5591935.8340049749</v>
      </c>
      <c r="AD556" s="313">
        <f t="shared" si="20"/>
        <v>35669604.753139116</v>
      </c>
      <c r="AE556" s="313">
        <f t="shared" si="20"/>
        <v>0</v>
      </c>
      <c r="AF556" s="313">
        <f t="shared" si="20"/>
        <v>9655261.7234042548</v>
      </c>
      <c r="AG556" s="313">
        <f t="shared" si="20"/>
        <v>2515058.7133655394</v>
      </c>
      <c r="AH556" s="313">
        <f t="shared" si="20"/>
        <v>5583444.6178092984</v>
      </c>
      <c r="AI556" s="313">
        <f t="shared" si="20"/>
        <v>4375427.4145220593</v>
      </c>
      <c r="AJ556" s="313">
        <f t="shared" si="20"/>
        <v>22129192.469101153</v>
      </c>
      <c r="AK556" s="313">
        <f t="shared" si="20"/>
        <v>13540412.284037963</v>
      </c>
    </row>
    <row r="557" spans="4:37" x14ac:dyDescent="0.25">
      <c r="D557" s="311">
        <v>8522302</v>
      </c>
      <c r="R557" s="313">
        <f t="shared" si="18"/>
        <v>2</v>
      </c>
      <c r="S557" s="313">
        <f t="shared" si="20"/>
        <v>0</v>
      </c>
      <c r="T557" s="313">
        <f t="shared" si="20"/>
        <v>2</v>
      </c>
      <c r="U557" s="313">
        <f t="shared" si="20"/>
        <v>0</v>
      </c>
      <c r="V557" s="313">
        <f t="shared" si="20"/>
        <v>0</v>
      </c>
      <c r="W557" s="313">
        <f t="shared" si="20"/>
        <v>0</v>
      </c>
      <c r="X557" s="313">
        <f t="shared" si="20"/>
        <v>0</v>
      </c>
      <c r="Y557" s="313">
        <f t="shared" si="20"/>
        <v>0</v>
      </c>
      <c r="Z557" s="313">
        <f t="shared" si="20"/>
        <v>1006186.6712311516</v>
      </c>
      <c r="AA557" s="313">
        <f t="shared" si="20"/>
        <v>0</v>
      </c>
      <c r="AB557" s="313">
        <f t="shared" si="20"/>
        <v>79972.389165602421</v>
      </c>
      <c r="AC557" s="313">
        <f t="shared" si="20"/>
        <v>0</v>
      </c>
      <c r="AD557" s="313">
        <f t="shared" si="20"/>
        <v>1086159.060396754</v>
      </c>
      <c r="AE557" s="313">
        <f t="shared" si="20"/>
        <v>0</v>
      </c>
      <c r="AF557" s="313">
        <f t="shared" si="20"/>
        <v>277510.4705882353</v>
      </c>
      <c r="AG557" s="313">
        <f t="shared" si="20"/>
        <v>0</v>
      </c>
      <c r="AH557" s="313">
        <f t="shared" si="20"/>
        <v>0</v>
      </c>
      <c r="AI557" s="313">
        <f t="shared" si="20"/>
        <v>0</v>
      </c>
      <c r="AJ557" s="313">
        <f t="shared" si="20"/>
        <v>277510.4705882353</v>
      </c>
      <c r="AK557" s="313">
        <f t="shared" si="20"/>
        <v>808648.58980851865</v>
      </c>
    </row>
    <row r="558" spans="4:37" x14ac:dyDescent="0.25">
      <c r="D558" s="311">
        <v>8535980</v>
      </c>
      <c r="R558" s="313">
        <f t="shared" si="18"/>
        <v>0</v>
      </c>
      <c r="S558" s="313">
        <f t="shared" si="20"/>
        <v>0</v>
      </c>
      <c r="T558" s="313">
        <f t="shared" si="20"/>
        <v>0</v>
      </c>
      <c r="U558" s="313">
        <f t="shared" si="20"/>
        <v>0</v>
      </c>
      <c r="V558" s="313">
        <f t="shared" si="20"/>
        <v>0</v>
      </c>
      <c r="W558" s="313">
        <f t="shared" si="20"/>
        <v>0</v>
      </c>
      <c r="X558" s="313">
        <f t="shared" si="20"/>
        <v>0</v>
      </c>
      <c r="Y558" s="313">
        <f t="shared" si="20"/>
        <v>0</v>
      </c>
      <c r="Z558" s="313">
        <f t="shared" si="20"/>
        <v>0</v>
      </c>
      <c r="AA558" s="313">
        <f t="shared" si="20"/>
        <v>0</v>
      </c>
      <c r="AB558" s="313">
        <f t="shared" si="20"/>
        <v>0</v>
      </c>
      <c r="AC558" s="313">
        <f t="shared" si="20"/>
        <v>0</v>
      </c>
      <c r="AD558" s="313">
        <f t="shared" si="20"/>
        <v>0</v>
      </c>
      <c r="AE558" s="313">
        <f t="shared" si="20"/>
        <v>0</v>
      </c>
      <c r="AF558" s="313">
        <f t="shared" si="20"/>
        <v>0</v>
      </c>
      <c r="AG558" s="313">
        <f t="shared" si="20"/>
        <v>0</v>
      </c>
      <c r="AH558" s="313">
        <f t="shared" si="20"/>
        <v>0</v>
      </c>
      <c r="AI558" s="313">
        <f t="shared" si="20"/>
        <v>0</v>
      </c>
      <c r="AJ558" s="313">
        <f t="shared" si="20"/>
        <v>0</v>
      </c>
      <c r="AK558" s="313">
        <f t="shared" si="20"/>
        <v>0</v>
      </c>
    </row>
    <row r="559" spans="4:37" x14ac:dyDescent="0.25">
      <c r="D559" s="311">
        <v>8615860</v>
      </c>
      <c r="R559" s="313">
        <f t="shared" si="18"/>
        <v>2</v>
      </c>
      <c r="S559" s="313">
        <f t="shared" si="20"/>
        <v>0.5</v>
      </c>
      <c r="T559" s="313">
        <f t="shared" si="20"/>
        <v>0</v>
      </c>
      <c r="U559" s="313">
        <f t="shared" si="20"/>
        <v>0</v>
      </c>
      <c r="V559" s="313">
        <f t="shared" si="20"/>
        <v>1.5</v>
      </c>
      <c r="W559" s="313">
        <f t="shared" si="20"/>
        <v>0</v>
      </c>
      <c r="X559" s="313">
        <f t="shared" si="20"/>
        <v>0</v>
      </c>
      <c r="Y559" s="313">
        <f t="shared" si="20"/>
        <v>0</v>
      </c>
      <c r="Z559" s="313">
        <f t="shared" si="20"/>
        <v>1216657.7905835768</v>
      </c>
      <c r="AA559" s="313">
        <f t="shared" si="20"/>
        <v>0</v>
      </c>
      <c r="AB559" s="313">
        <f t="shared" si="20"/>
        <v>89224.61538461539</v>
      </c>
      <c r="AC559" s="313">
        <f t="shared" si="20"/>
        <v>0</v>
      </c>
      <c r="AD559" s="313">
        <f t="shared" si="20"/>
        <v>1305882.4059681923</v>
      </c>
      <c r="AE559" s="313">
        <f t="shared" si="20"/>
        <v>0</v>
      </c>
      <c r="AF559" s="313">
        <f t="shared" si="20"/>
        <v>0</v>
      </c>
      <c r="AG559" s="313">
        <f t="shared" si="20"/>
        <v>0</v>
      </c>
      <c r="AH559" s="313">
        <f t="shared" si="20"/>
        <v>0</v>
      </c>
      <c r="AI559" s="313">
        <f t="shared" si="20"/>
        <v>0</v>
      </c>
      <c r="AJ559" s="313">
        <f t="shared" si="20"/>
        <v>0</v>
      </c>
      <c r="AK559" s="313">
        <f t="shared" si="20"/>
        <v>1305882.4059681923</v>
      </c>
    </row>
    <row r="560" spans="4:37" x14ac:dyDescent="0.25">
      <c r="D560" s="311">
        <v>8635813</v>
      </c>
      <c r="R560" s="313">
        <f t="shared" si="18"/>
        <v>25.6</v>
      </c>
      <c r="S560" s="313">
        <f t="shared" si="20"/>
        <v>2.1</v>
      </c>
      <c r="T560" s="313">
        <f t="shared" si="20"/>
        <v>17</v>
      </c>
      <c r="U560" s="313">
        <f t="shared" si="20"/>
        <v>6.5</v>
      </c>
      <c r="V560" s="313">
        <f t="shared" si="20"/>
        <v>0</v>
      </c>
      <c r="W560" s="313">
        <f t="shared" si="20"/>
        <v>67</v>
      </c>
      <c r="X560" s="313">
        <f t="shared" si="20"/>
        <v>0</v>
      </c>
      <c r="Y560" s="313">
        <f t="shared" si="20"/>
        <v>0</v>
      </c>
      <c r="Z560" s="313">
        <f t="shared" si="20"/>
        <v>11343448.304041786</v>
      </c>
      <c r="AA560" s="313">
        <f t="shared" si="20"/>
        <v>4788221.6837695306</v>
      </c>
      <c r="AB560" s="313">
        <f t="shared" si="20"/>
        <v>6207388.3438519686</v>
      </c>
      <c r="AC560" s="313">
        <f t="shared" si="20"/>
        <v>4356508.1497480618</v>
      </c>
      <c r="AD560" s="313">
        <f t="shared" si="20"/>
        <v>26695566.481411345</v>
      </c>
      <c r="AE560" s="313">
        <f t="shared" si="20"/>
        <v>0</v>
      </c>
      <c r="AF560" s="313">
        <f t="shared" si="20"/>
        <v>7522122.5054428494</v>
      </c>
      <c r="AG560" s="313">
        <f t="shared" si="20"/>
        <v>1959406.2069243155</v>
      </c>
      <c r="AH560" s="313">
        <f t="shared" si="20"/>
        <v>4349892.8999211974</v>
      </c>
      <c r="AI560" s="313">
        <f t="shared" si="20"/>
        <v>3408763.2182904412</v>
      </c>
      <c r="AJ560" s="313">
        <f t="shared" si="20"/>
        <v>17240184.830578804</v>
      </c>
      <c r="AK560" s="313">
        <f t="shared" si="20"/>
        <v>9455381.6508325413</v>
      </c>
    </row>
    <row r="561" spans="4:37" x14ac:dyDescent="0.25">
      <c r="D561" s="311">
        <v>8849001</v>
      </c>
      <c r="R561" s="313">
        <f t="shared" si="18"/>
        <v>1.8</v>
      </c>
      <c r="S561" s="313">
        <f t="shared" si="20"/>
        <v>1.8</v>
      </c>
      <c r="T561" s="313">
        <f t="shared" si="20"/>
        <v>0</v>
      </c>
      <c r="U561" s="313">
        <f t="shared" si="20"/>
        <v>0</v>
      </c>
      <c r="V561" s="313">
        <f t="shared" si="20"/>
        <v>0</v>
      </c>
      <c r="W561" s="313">
        <f t="shared" si="20"/>
        <v>0</v>
      </c>
      <c r="X561" s="313">
        <f t="shared" si="20"/>
        <v>0</v>
      </c>
      <c r="Y561" s="313">
        <f t="shared" ref="S561:AK574" si="21">SUMIFS(Y$4:Y$326,$D$4:$D$326,$D561)</f>
        <v>0</v>
      </c>
      <c r="Z561" s="313">
        <f t="shared" si="21"/>
        <v>1094992.0115252191</v>
      </c>
      <c r="AA561" s="313">
        <f t="shared" si="21"/>
        <v>0</v>
      </c>
      <c r="AB561" s="313">
        <f t="shared" si="21"/>
        <v>80302.153846153858</v>
      </c>
      <c r="AC561" s="313">
        <f t="shared" si="21"/>
        <v>0</v>
      </c>
      <c r="AD561" s="313">
        <f t="shared" si="21"/>
        <v>1175294.1653713728</v>
      </c>
      <c r="AE561" s="313">
        <f t="shared" si="21"/>
        <v>0</v>
      </c>
      <c r="AF561" s="313">
        <f t="shared" si="21"/>
        <v>0</v>
      </c>
      <c r="AG561" s="313">
        <f t="shared" si="21"/>
        <v>0</v>
      </c>
      <c r="AH561" s="313">
        <f t="shared" si="21"/>
        <v>0</v>
      </c>
      <c r="AI561" s="313">
        <f t="shared" si="21"/>
        <v>0</v>
      </c>
      <c r="AJ561" s="313">
        <f t="shared" si="21"/>
        <v>0</v>
      </c>
      <c r="AK561" s="313">
        <f t="shared" si="21"/>
        <v>1175294.1653713728</v>
      </c>
    </row>
    <row r="562" spans="4:37" x14ac:dyDescent="0.25">
      <c r="D562" s="311">
        <v>8877013</v>
      </c>
      <c r="R562" s="313">
        <f t="shared" si="18"/>
        <v>20.5</v>
      </c>
      <c r="S562" s="313">
        <f t="shared" si="21"/>
        <v>1</v>
      </c>
      <c r="T562" s="313">
        <f t="shared" si="21"/>
        <v>12.5</v>
      </c>
      <c r="U562" s="313">
        <f t="shared" si="21"/>
        <v>7</v>
      </c>
      <c r="V562" s="313">
        <f t="shared" si="21"/>
        <v>0</v>
      </c>
      <c r="W562" s="313">
        <f t="shared" si="21"/>
        <v>42</v>
      </c>
      <c r="X562" s="313">
        <f t="shared" si="21"/>
        <v>0</v>
      </c>
      <c r="Y562" s="313">
        <f t="shared" si="21"/>
        <v>0</v>
      </c>
      <c r="Z562" s="313">
        <f t="shared" si="21"/>
        <v>8017620.5290347701</v>
      </c>
      <c r="AA562" s="313">
        <f t="shared" si="21"/>
        <v>5156546.4286748795</v>
      </c>
      <c r="AB562" s="313">
        <f t="shared" si="21"/>
        <v>3891198.6633101893</v>
      </c>
      <c r="AC562" s="313">
        <f t="shared" si="21"/>
        <v>2730945.4073047554</v>
      </c>
      <c r="AD562" s="313">
        <f t="shared" si="21"/>
        <v>19796311.028324597</v>
      </c>
      <c r="AE562" s="313">
        <f t="shared" si="21"/>
        <v>0</v>
      </c>
      <c r="AF562" s="313">
        <f t="shared" si="21"/>
        <v>4715360.3765462637</v>
      </c>
      <c r="AG562" s="313">
        <f t="shared" si="21"/>
        <v>1228284.4879227052</v>
      </c>
      <c r="AH562" s="313">
        <f t="shared" si="21"/>
        <v>2726798.53427896</v>
      </c>
      <c r="AI562" s="313">
        <f t="shared" si="21"/>
        <v>2136836.6443014708</v>
      </c>
      <c r="AJ562" s="313">
        <f t="shared" si="21"/>
        <v>10807280.043049399</v>
      </c>
      <c r="AK562" s="313">
        <f t="shared" si="21"/>
        <v>8989030.9852751978</v>
      </c>
    </row>
    <row r="563" spans="4:37" x14ac:dyDescent="0.25">
      <c r="D563" s="311">
        <v>8902089</v>
      </c>
      <c r="R563" s="313">
        <f t="shared" si="18"/>
        <v>5.3</v>
      </c>
      <c r="S563" s="313">
        <f t="shared" si="21"/>
        <v>0.9</v>
      </c>
      <c r="T563" s="313">
        <f t="shared" si="21"/>
        <v>4.4000000000000004</v>
      </c>
      <c r="U563" s="313">
        <f t="shared" si="21"/>
        <v>0</v>
      </c>
      <c r="V563" s="313">
        <f t="shared" si="21"/>
        <v>0</v>
      </c>
      <c r="W563" s="313">
        <f t="shared" si="21"/>
        <v>0</v>
      </c>
      <c r="X563" s="313">
        <f t="shared" si="21"/>
        <v>0</v>
      </c>
      <c r="Y563" s="313">
        <f t="shared" si="21"/>
        <v>0</v>
      </c>
      <c r="Z563" s="313">
        <f t="shared" si="21"/>
        <v>2465160.710887617</v>
      </c>
      <c r="AA563" s="313">
        <f t="shared" si="21"/>
        <v>0</v>
      </c>
      <c r="AB563" s="313">
        <f t="shared" si="21"/>
        <v>99190.726798059695</v>
      </c>
      <c r="AC563" s="313">
        <f t="shared" si="21"/>
        <v>0</v>
      </c>
      <c r="AD563" s="313">
        <f t="shared" si="21"/>
        <v>2564351.4376856769</v>
      </c>
      <c r="AE563" s="313">
        <f t="shared" si="21"/>
        <v>0</v>
      </c>
      <c r="AF563" s="313">
        <f t="shared" si="21"/>
        <v>549862.89811497356</v>
      </c>
      <c r="AG563" s="313">
        <f t="shared" si="21"/>
        <v>0</v>
      </c>
      <c r="AH563" s="313">
        <f t="shared" si="21"/>
        <v>0</v>
      </c>
      <c r="AI563" s="313">
        <f t="shared" si="21"/>
        <v>0</v>
      </c>
      <c r="AJ563" s="313">
        <f t="shared" si="21"/>
        <v>549862.89811497356</v>
      </c>
      <c r="AK563" s="313">
        <f t="shared" si="21"/>
        <v>2014488.5395707032</v>
      </c>
    </row>
    <row r="564" spans="4:37" x14ac:dyDescent="0.25">
      <c r="D564" s="311">
        <v>8936486</v>
      </c>
      <c r="R564" s="313">
        <f t="shared" si="18"/>
        <v>7.2</v>
      </c>
      <c r="S564" s="313">
        <f t="shared" si="21"/>
        <v>0.15</v>
      </c>
      <c r="T564" s="313">
        <f t="shared" si="21"/>
        <v>4.25</v>
      </c>
      <c r="U564" s="313">
        <f t="shared" si="21"/>
        <v>2.8</v>
      </c>
      <c r="V564" s="313">
        <f t="shared" si="21"/>
        <v>0</v>
      </c>
      <c r="W564" s="313">
        <f t="shared" si="21"/>
        <v>10</v>
      </c>
      <c r="X564" s="313">
        <f t="shared" si="21"/>
        <v>0</v>
      </c>
      <c r="Y564" s="313">
        <f t="shared" si="21"/>
        <v>0</v>
      </c>
      <c r="Z564" s="313">
        <f t="shared" si="21"/>
        <v>2555215.2350020302</v>
      </c>
      <c r="AA564" s="313">
        <f t="shared" si="21"/>
        <v>2054390.5512213488</v>
      </c>
      <c r="AB564" s="313">
        <f t="shared" si="21"/>
        <v>913138.33309135807</v>
      </c>
      <c r="AC564" s="313">
        <f t="shared" si="21"/>
        <v>612963.30517881177</v>
      </c>
      <c r="AD564" s="313">
        <f t="shared" si="21"/>
        <v>6135707.4244935485</v>
      </c>
      <c r="AE564" s="313">
        <f t="shared" si="21"/>
        <v>0</v>
      </c>
      <c r="AF564" s="313">
        <f t="shared" si="21"/>
        <v>1200682.2</v>
      </c>
      <c r="AG564" s="313">
        <f t="shared" si="21"/>
        <v>224820.96249999999</v>
      </c>
      <c r="AH564" s="313">
        <f t="shared" si="21"/>
        <v>604418.27586206899</v>
      </c>
      <c r="AI564" s="313">
        <f t="shared" si="21"/>
        <v>510013.5</v>
      </c>
      <c r="AJ564" s="313">
        <f t="shared" si="21"/>
        <v>2539934.938362069</v>
      </c>
      <c r="AK564" s="313">
        <f t="shared" si="21"/>
        <v>3595772.4861314795</v>
      </c>
    </row>
    <row r="565" spans="4:37" x14ac:dyDescent="0.25">
      <c r="D565" s="311">
        <v>8946698</v>
      </c>
      <c r="R565" s="313">
        <f t="shared" si="18"/>
        <v>6</v>
      </c>
      <c r="S565" s="313">
        <f t="shared" si="21"/>
        <v>3</v>
      </c>
      <c r="T565" s="313">
        <f t="shared" si="21"/>
        <v>3</v>
      </c>
      <c r="U565" s="313">
        <f t="shared" si="21"/>
        <v>0</v>
      </c>
      <c r="V565" s="313">
        <f t="shared" si="21"/>
        <v>0</v>
      </c>
      <c r="W565" s="313">
        <f t="shared" si="21"/>
        <v>0</v>
      </c>
      <c r="X565" s="313">
        <f t="shared" si="21"/>
        <v>0</v>
      </c>
      <c r="Y565" s="313">
        <f t="shared" si="21"/>
        <v>0</v>
      </c>
      <c r="Z565" s="313">
        <f t="shared" si="21"/>
        <v>3521965.0961055807</v>
      </c>
      <c r="AA565" s="313">
        <f t="shared" si="21"/>
        <v>0</v>
      </c>
      <c r="AB565" s="313">
        <f t="shared" si="21"/>
        <v>255966.99127372933</v>
      </c>
      <c r="AC565" s="313">
        <f t="shared" si="21"/>
        <v>0</v>
      </c>
      <c r="AD565" s="313">
        <f t="shared" si="21"/>
        <v>3777932.0873793103</v>
      </c>
      <c r="AE565" s="313">
        <f t="shared" si="21"/>
        <v>0</v>
      </c>
      <c r="AF565" s="313">
        <f t="shared" si="21"/>
        <v>0</v>
      </c>
      <c r="AG565" s="313">
        <f t="shared" si="21"/>
        <v>0</v>
      </c>
      <c r="AH565" s="313">
        <f t="shared" si="21"/>
        <v>0</v>
      </c>
      <c r="AI565" s="313">
        <f t="shared" si="21"/>
        <v>0</v>
      </c>
      <c r="AJ565" s="313">
        <f t="shared" si="21"/>
        <v>0</v>
      </c>
      <c r="AK565" s="313">
        <f t="shared" si="21"/>
        <v>3777932.0873793103</v>
      </c>
    </row>
    <row r="566" spans="4:37" x14ac:dyDescent="0.25">
      <c r="D566" s="311">
        <v>8979890</v>
      </c>
      <c r="R566" s="313">
        <f t="shared" si="18"/>
        <v>5.5</v>
      </c>
      <c r="S566" s="313">
        <f t="shared" si="21"/>
        <v>0.5</v>
      </c>
      <c r="T566" s="313">
        <f t="shared" si="21"/>
        <v>5</v>
      </c>
      <c r="U566" s="313">
        <f t="shared" si="21"/>
        <v>0</v>
      </c>
      <c r="V566" s="313">
        <f t="shared" si="21"/>
        <v>0</v>
      </c>
      <c r="W566" s="313">
        <f t="shared" si="21"/>
        <v>0</v>
      </c>
      <c r="X566" s="313">
        <f t="shared" si="21"/>
        <v>17</v>
      </c>
      <c r="Y566" s="313">
        <f t="shared" si="21"/>
        <v>0</v>
      </c>
      <c r="Z566" s="313">
        <f t="shared" si="21"/>
        <v>3590985.0759665989</v>
      </c>
      <c r="AA566" s="313">
        <f t="shared" si="21"/>
        <v>0</v>
      </c>
      <c r="AB566" s="313">
        <f t="shared" si="21"/>
        <v>439007.8631707317</v>
      </c>
      <c r="AC566" s="313">
        <f t="shared" si="21"/>
        <v>84894.6</v>
      </c>
      <c r="AD566" s="313">
        <f t="shared" si="21"/>
        <v>4114887.5391373308</v>
      </c>
      <c r="AE566" s="313">
        <f t="shared" si="21"/>
        <v>0</v>
      </c>
      <c r="AF566" s="313">
        <f t="shared" si="21"/>
        <v>674467.32026143791</v>
      </c>
      <c r="AG566" s="313">
        <f t="shared" si="21"/>
        <v>0</v>
      </c>
      <c r="AH566" s="313">
        <f t="shared" si="21"/>
        <v>0</v>
      </c>
      <c r="AI566" s="313">
        <f t="shared" si="21"/>
        <v>92689.230769230766</v>
      </c>
      <c r="AJ566" s="313">
        <f t="shared" si="21"/>
        <v>767156.55103066866</v>
      </c>
      <c r="AK566" s="313">
        <f t="shared" si="21"/>
        <v>3347730.9881066624</v>
      </c>
    </row>
    <row r="567" spans="4:37" x14ac:dyDescent="0.25">
      <c r="D567" s="311">
        <v>8982230</v>
      </c>
      <c r="R567" s="313">
        <f t="shared" si="18"/>
        <v>15.5</v>
      </c>
      <c r="S567" s="313">
        <f t="shared" si="21"/>
        <v>1</v>
      </c>
      <c r="T567" s="313">
        <f t="shared" si="21"/>
        <v>11</v>
      </c>
      <c r="U567" s="313">
        <f t="shared" si="21"/>
        <v>3.5</v>
      </c>
      <c r="V567" s="313">
        <f t="shared" si="21"/>
        <v>0</v>
      </c>
      <c r="W567" s="313">
        <f t="shared" si="21"/>
        <v>37</v>
      </c>
      <c r="X567" s="313">
        <f t="shared" si="21"/>
        <v>0</v>
      </c>
      <c r="Y567" s="313">
        <f t="shared" si="21"/>
        <v>0</v>
      </c>
      <c r="Z567" s="313">
        <f t="shared" si="21"/>
        <v>7126773.8035864625</v>
      </c>
      <c r="AA567" s="313">
        <f t="shared" si="21"/>
        <v>2578273.2143374397</v>
      </c>
      <c r="AB567" s="313">
        <f t="shared" si="21"/>
        <v>3427960.7272018334</v>
      </c>
      <c r="AC567" s="313">
        <f t="shared" si="21"/>
        <v>2405832.8588160938</v>
      </c>
      <c r="AD567" s="313">
        <f t="shared" si="21"/>
        <v>15538840.603941832</v>
      </c>
      <c r="AE567" s="313">
        <f t="shared" si="21"/>
        <v>0</v>
      </c>
      <c r="AF567" s="313">
        <f t="shared" si="21"/>
        <v>4154007.9507669467</v>
      </c>
      <c r="AG567" s="313">
        <f t="shared" si="21"/>
        <v>1082060.1441223833</v>
      </c>
      <c r="AH567" s="313">
        <f t="shared" si="21"/>
        <v>2402179.6611505123</v>
      </c>
      <c r="AI567" s="313">
        <f t="shared" si="21"/>
        <v>1882451.3295036766</v>
      </c>
      <c r="AJ567" s="313">
        <f t="shared" si="21"/>
        <v>9520699.0855435189</v>
      </c>
      <c r="AK567" s="313">
        <f t="shared" si="21"/>
        <v>6018141.5183983129</v>
      </c>
    </row>
    <row r="568" spans="4:37" x14ac:dyDescent="0.25">
      <c r="D568" s="311">
        <v>8984742</v>
      </c>
      <c r="R568" s="313">
        <f t="shared" si="18"/>
        <v>1.5</v>
      </c>
      <c r="S568" s="313">
        <f t="shared" si="21"/>
        <v>1</v>
      </c>
      <c r="T568" s="313">
        <f t="shared" si="21"/>
        <v>0</v>
      </c>
      <c r="U568" s="313">
        <f t="shared" si="21"/>
        <v>0</v>
      </c>
      <c r="V568" s="313">
        <f t="shared" si="21"/>
        <v>0.5</v>
      </c>
      <c r="W568" s="313">
        <f t="shared" si="21"/>
        <v>0</v>
      </c>
      <c r="X568" s="313">
        <f t="shared" si="21"/>
        <v>0</v>
      </c>
      <c r="Y568" s="313">
        <f t="shared" si="21"/>
        <v>0</v>
      </c>
      <c r="Z568" s="313">
        <f t="shared" si="21"/>
        <v>912493.34293768252</v>
      </c>
      <c r="AA568" s="313">
        <f t="shared" si="21"/>
        <v>0</v>
      </c>
      <c r="AB568" s="313">
        <f t="shared" si="21"/>
        <v>66918.461538461546</v>
      </c>
      <c r="AC568" s="313">
        <f t="shared" si="21"/>
        <v>0</v>
      </c>
      <c r="AD568" s="313">
        <f t="shared" si="21"/>
        <v>979411.80447614403</v>
      </c>
      <c r="AE568" s="313">
        <f t="shared" si="21"/>
        <v>0</v>
      </c>
      <c r="AF568" s="313">
        <f t="shared" si="21"/>
        <v>0</v>
      </c>
      <c r="AG568" s="313">
        <f t="shared" si="21"/>
        <v>0</v>
      </c>
      <c r="AH568" s="313">
        <f t="shared" si="21"/>
        <v>0</v>
      </c>
      <c r="AI568" s="313">
        <f t="shared" si="21"/>
        <v>0</v>
      </c>
      <c r="AJ568" s="313">
        <f t="shared" si="21"/>
        <v>0</v>
      </c>
      <c r="AK568" s="313">
        <f t="shared" si="21"/>
        <v>979411.80447614403</v>
      </c>
    </row>
    <row r="569" spans="4:37" x14ac:dyDescent="0.25">
      <c r="D569" s="311">
        <v>9064643</v>
      </c>
      <c r="R569" s="313">
        <f t="shared" si="18"/>
        <v>5.5</v>
      </c>
      <c r="S569" s="313">
        <f t="shared" si="21"/>
        <v>1.5</v>
      </c>
      <c r="T569" s="313">
        <f t="shared" si="21"/>
        <v>4</v>
      </c>
      <c r="U569" s="313">
        <f t="shared" si="21"/>
        <v>0</v>
      </c>
      <c r="V569" s="313">
        <f t="shared" si="21"/>
        <v>0</v>
      </c>
      <c r="W569" s="313">
        <f t="shared" si="21"/>
        <v>72</v>
      </c>
      <c r="X569" s="313">
        <f t="shared" si="21"/>
        <v>0</v>
      </c>
      <c r="Y569" s="313">
        <f t="shared" si="21"/>
        <v>0</v>
      </c>
      <c r="Z569" s="313">
        <f t="shared" si="21"/>
        <v>3117465.6087169079</v>
      </c>
      <c r="AA569" s="313">
        <f t="shared" si="21"/>
        <v>0</v>
      </c>
      <c r="AB569" s="313">
        <f t="shared" si="21"/>
        <v>1816323.0600649971</v>
      </c>
      <c r="AC569" s="313">
        <f t="shared" si="21"/>
        <v>0</v>
      </c>
      <c r="AD569" s="313">
        <f t="shared" si="21"/>
        <v>4933788.6687819045</v>
      </c>
      <c r="AE569" s="313">
        <f t="shared" si="21"/>
        <v>0</v>
      </c>
      <c r="AF569" s="313">
        <f t="shared" si="21"/>
        <v>0</v>
      </c>
      <c r="AG569" s="313">
        <f t="shared" si="21"/>
        <v>0</v>
      </c>
      <c r="AH569" s="313">
        <f t="shared" si="21"/>
        <v>1636928.4000000001</v>
      </c>
      <c r="AI569" s="313">
        <f t="shared" si="21"/>
        <v>0</v>
      </c>
      <c r="AJ569" s="313">
        <f t="shared" si="21"/>
        <v>1636928.4000000001</v>
      </c>
      <c r="AK569" s="313">
        <f t="shared" si="21"/>
        <v>3296860.2687819041</v>
      </c>
    </row>
    <row r="570" spans="4:37" x14ac:dyDescent="0.25">
      <c r="D570" s="311">
        <v>9097155</v>
      </c>
      <c r="R570" s="313">
        <f t="shared" si="18"/>
        <v>8.5</v>
      </c>
      <c r="S570" s="313">
        <f t="shared" si="21"/>
        <v>1</v>
      </c>
      <c r="T570" s="313">
        <f t="shared" si="21"/>
        <v>7.5</v>
      </c>
      <c r="U570" s="313">
        <f t="shared" si="21"/>
        <v>0</v>
      </c>
      <c r="V570" s="313">
        <f t="shared" si="21"/>
        <v>0</v>
      </c>
      <c r="W570" s="313">
        <f t="shared" si="21"/>
        <v>0</v>
      </c>
      <c r="X570" s="313">
        <f t="shared" si="21"/>
        <v>0</v>
      </c>
      <c r="Y570" s="313">
        <f t="shared" si="21"/>
        <v>0</v>
      </c>
      <c r="Z570" s="313">
        <f t="shared" si="21"/>
        <v>4276293.3527323939</v>
      </c>
      <c r="AA570" s="313">
        <f t="shared" si="21"/>
        <v>0</v>
      </c>
      <c r="AB570" s="313">
        <f t="shared" si="21"/>
        <v>339882.65395381028</v>
      </c>
      <c r="AC570" s="313">
        <f t="shared" si="21"/>
        <v>0</v>
      </c>
      <c r="AD570" s="313">
        <f t="shared" si="21"/>
        <v>4616176.0066862041</v>
      </c>
      <c r="AE570" s="313">
        <f t="shared" si="21"/>
        <v>0</v>
      </c>
      <c r="AF570" s="313">
        <f t="shared" si="21"/>
        <v>1040664.2647058824</v>
      </c>
      <c r="AG570" s="313">
        <f t="shared" si="21"/>
        <v>0</v>
      </c>
      <c r="AH570" s="313">
        <f t="shared" si="21"/>
        <v>0</v>
      </c>
      <c r="AI570" s="313">
        <f t="shared" si="21"/>
        <v>0</v>
      </c>
      <c r="AJ570" s="313">
        <f t="shared" si="21"/>
        <v>1040664.2647058824</v>
      </c>
      <c r="AK570" s="313">
        <f t="shared" si="21"/>
        <v>3575511.7419803217</v>
      </c>
    </row>
    <row r="571" spans="4:37" x14ac:dyDescent="0.25">
      <c r="D571" s="311">
        <v>9142033</v>
      </c>
      <c r="R571" s="313">
        <f t="shared" si="18"/>
        <v>3.58</v>
      </c>
      <c r="S571" s="313">
        <f t="shared" si="21"/>
        <v>0.5</v>
      </c>
      <c r="T571" s="313">
        <f t="shared" si="21"/>
        <v>2.63</v>
      </c>
      <c r="U571" s="313">
        <f t="shared" si="21"/>
        <v>0.45</v>
      </c>
      <c r="V571" s="313">
        <f t="shared" si="21"/>
        <v>0</v>
      </c>
      <c r="W571" s="313">
        <f t="shared" si="21"/>
        <v>5</v>
      </c>
      <c r="X571" s="313">
        <f t="shared" si="21"/>
        <v>0</v>
      </c>
      <c r="Y571" s="313">
        <f t="shared" si="21"/>
        <v>0</v>
      </c>
      <c r="Z571" s="313">
        <f t="shared" si="21"/>
        <v>1363778.9483207751</v>
      </c>
      <c r="AA571" s="313">
        <f t="shared" si="21"/>
        <v>218995.42791620211</v>
      </c>
      <c r="AB571" s="313">
        <f t="shared" si="21"/>
        <v>240994.90893040202</v>
      </c>
      <c r="AC571" s="313">
        <f t="shared" si="21"/>
        <v>158727.72758989115</v>
      </c>
      <c r="AD571" s="313">
        <f t="shared" si="21"/>
        <v>1982497.0127572701</v>
      </c>
      <c r="AE571" s="313">
        <f t="shared" si="21"/>
        <v>0</v>
      </c>
      <c r="AF571" s="313">
        <f t="shared" si="21"/>
        <v>346932.08333333326</v>
      </c>
      <c r="AG571" s="313">
        <f t="shared" si="21"/>
        <v>30756.944444444445</v>
      </c>
      <c r="AH571" s="313">
        <f t="shared" si="21"/>
        <v>238725.83333333337</v>
      </c>
      <c r="AI571" s="313">
        <f t="shared" si="21"/>
        <v>169624.91666666669</v>
      </c>
      <c r="AJ571" s="313">
        <f t="shared" si="21"/>
        <v>786039.77777777775</v>
      </c>
      <c r="AK571" s="313">
        <f t="shared" si="21"/>
        <v>1196457.2349794924</v>
      </c>
    </row>
    <row r="572" spans="4:37" x14ac:dyDescent="0.25">
      <c r="D572" s="311">
        <v>9196018</v>
      </c>
      <c r="R572" s="313">
        <f t="shared" si="18"/>
        <v>3.8439999999999999</v>
      </c>
      <c r="S572" s="313">
        <f t="shared" si="21"/>
        <v>9.4E-2</v>
      </c>
      <c r="T572" s="313">
        <f t="shared" si="21"/>
        <v>3.75</v>
      </c>
      <c r="U572" s="313">
        <f t="shared" si="21"/>
        <v>0</v>
      </c>
      <c r="V572" s="313">
        <f t="shared" si="21"/>
        <v>0</v>
      </c>
      <c r="W572" s="313">
        <f t="shared" si="21"/>
        <v>0</v>
      </c>
      <c r="X572" s="313">
        <f t="shared" si="21"/>
        <v>0</v>
      </c>
      <c r="Y572" s="313">
        <f t="shared" si="21"/>
        <v>0</v>
      </c>
      <c r="Z572" s="313">
        <f t="shared" si="21"/>
        <v>1933890.7821062733</v>
      </c>
      <c r="AA572" s="313">
        <f t="shared" si="21"/>
        <v>0</v>
      </c>
      <c r="AB572" s="313">
        <f t="shared" si="21"/>
        <v>153706.93197628786</v>
      </c>
      <c r="AC572" s="313">
        <f t="shared" si="21"/>
        <v>0</v>
      </c>
      <c r="AD572" s="313">
        <f t="shared" si="21"/>
        <v>2087597.7140825612</v>
      </c>
      <c r="AE572" s="313">
        <f t="shared" si="21"/>
        <v>0</v>
      </c>
      <c r="AF572" s="313">
        <f t="shared" si="21"/>
        <v>520332.1323529412</v>
      </c>
      <c r="AG572" s="313">
        <f t="shared" si="21"/>
        <v>0</v>
      </c>
      <c r="AH572" s="313">
        <f t="shared" si="21"/>
        <v>0</v>
      </c>
      <c r="AI572" s="313">
        <f t="shared" si="21"/>
        <v>0</v>
      </c>
      <c r="AJ572" s="313">
        <f t="shared" si="21"/>
        <v>520332.1323529412</v>
      </c>
      <c r="AK572" s="313">
        <f t="shared" si="21"/>
        <v>1567265.58172962</v>
      </c>
    </row>
    <row r="573" spans="4:37" x14ac:dyDescent="0.25">
      <c r="D573" s="311">
        <v>9199716</v>
      </c>
      <c r="R573" s="313">
        <f t="shared" si="18"/>
        <v>6.4749999999999996</v>
      </c>
      <c r="S573" s="313">
        <f t="shared" si="21"/>
        <v>0.375</v>
      </c>
      <c r="T573" s="313">
        <f t="shared" si="21"/>
        <v>6.1</v>
      </c>
      <c r="U573" s="313">
        <f t="shared" si="21"/>
        <v>0</v>
      </c>
      <c r="V573" s="313">
        <f t="shared" si="21"/>
        <v>0</v>
      </c>
      <c r="W573" s="313">
        <f t="shared" si="21"/>
        <v>0</v>
      </c>
      <c r="X573" s="313">
        <f t="shared" si="21"/>
        <v>0</v>
      </c>
      <c r="Y573" s="313">
        <f t="shared" si="21"/>
        <v>0</v>
      </c>
      <c r="Z573" s="313">
        <f t="shared" si="21"/>
        <v>3257529.3481108528</v>
      </c>
      <c r="AA573" s="313">
        <f t="shared" si="21"/>
        <v>0</v>
      </c>
      <c r="AB573" s="313">
        <f t="shared" si="21"/>
        <v>258910.60992363782</v>
      </c>
      <c r="AC573" s="313">
        <f t="shared" si="21"/>
        <v>0</v>
      </c>
      <c r="AD573" s="313">
        <f t="shared" si="21"/>
        <v>3516439.9580344907</v>
      </c>
      <c r="AE573" s="313">
        <f t="shared" si="21"/>
        <v>0</v>
      </c>
      <c r="AF573" s="313">
        <f t="shared" si="21"/>
        <v>846406.93529411766</v>
      </c>
      <c r="AG573" s="313">
        <f t="shared" si="21"/>
        <v>0</v>
      </c>
      <c r="AH573" s="313">
        <f t="shared" si="21"/>
        <v>0</v>
      </c>
      <c r="AI573" s="313">
        <f t="shared" si="21"/>
        <v>0</v>
      </c>
      <c r="AJ573" s="313">
        <f t="shared" si="21"/>
        <v>846406.93529411766</v>
      </c>
      <c r="AK573" s="313">
        <f t="shared" si="21"/>
        <v>2670033.0227403729</v>
      </c>
    </row>
    <row r="574" spans="4:37" x14ac:dyDescent="0.25">
      <c r="D574" s="311">
        <v>9223303</v>
      </c>
      <c r="R574" s="313">
        <f t="shared" si="18"/>
        <v>0.4</v>
      </c>
      <c r="S574" s="313">
        <f t="shared" si="21"/>
        <v>0.4</v>
      </c>
      <c r="T574" s="313">
        <f t="shared" si="21"/>
        <v>0</v>
      </c>
      <c r="U574" s="313">
        <f t="shared" si="21"/>
        <v>0</v>
      </c>
      <c r="V574" s="313">
        <f t="shared" si="21"/>
        <v>0</v>
      </c>
      <c r="W574" s="313">
        <f t="shared" si="21"/>
        <v>0</v>
      </c>
      <c r="X574" s="313">
        <f t="shared" si="21"/>
        <v>0</v>
      </c>
      <c r="Y574" s="313">
        <f t="shared" si="21"/>
        <v>0</v>
      </c>
      <c r="Z574" s="313">
        <f t="shared" si="21"/>
        <v>243331.55811671537</v>
      </c>
      <c r="AA574" s="313">
        <f t="shared" si="21"/>
        <v>0</v>
      </c>
      <c r="AB574" s="313">
        <f t="shared" si="21"/>
        <v>17844.923076923078</v>
      </c>
      <c r="AC574" s="313">
        <f t="shared" si="21"/>
        <v>0</v>
      </c>
      <c r="AD574" s="313">
        <f t="shared" si="21"/>
        <v>261176.48119363846</v>
      </c>
      <c r="AE574" s="313">
        <f t="shared" si="21"/>
        <v>0</v>
      </c>
      <c r="AF574" s="313">
        <f t="shared" si="21"/>
        <v>0</v>
      </c>
      <c r="AG574" s="313">
        <f t="shared" ref="S574:AK588" si="22">SUMIFS(AG$4:AG$326,$D$4:$D$326,$D574)</f>
        <v>0</v>
      </c>
      <c r="AH574" s="313">
        <f t="shared" si="22"/>
        <v>0</v>
      </c>
      <c r="AI574" s="313">
        <f t="shared" si="22"/>
        <v>0</v>
      </c>
      <c r="AJ574" s="313">
        <f t="shared" si="22"/>
        <v>0</v>
      </c>
      <c r="AK574" s="313">
        <f t="shared" si="22"/>
        <v>261176.48119363846</v>
      </c>
    </row>
    <row r="575" spans="4:37" x14ac:dyDescent="0.25">
      <c r="D575" s="311">
        <v>9223411</v>
      </c>
      <c r="R575" s="313">
        <f t="shared" si="18"/>
        <v>4.05</v>
      </c>
      <c r="S575" s="313">
        <f t="shared" si="22"/>
        <v>0.75</v>
      </c>
      <c r="T575" s="313">
        <f t="shared" si="22"/>
        <v>1.65</v>
      </c>
      <c r="U575" s="313">
        <f t="shared" si="22"/>
        <v>1.65</v>
      </c>
      <c r="V575" s="313">
        <f t="shared" si="22"/>
        <v>0</v>
      </c>
      <c r="W575" s="313">
        <f t="shared" si="22"/>
        <v>4</v>
      </c>
      <c r="X575" s="313">
        <f t="shared" si="22"/>
        <v>0</v>
      </c>
      <c r="Y575" s="313">
        <f t="shared" si="22"/>
        <v>0</v>
      </c>
      <c r="Z575" s="313">
        <f t="shared" si="22"/>
        <v>2078685.3986230737</v>
      </c>
      <c r="AA575" s="313">
        <f t="shared" si="22"/>
        <v>0</v>
      </c>
      <c r="AB575" s="313">
        <f t="shared" si="22"/>
        <v>208465.92219127205</v>
      </c>
      <c r="AC575" s="313">
        <f t="shared" si="22"/>
        <v>113867.70370370371</v>
      </c>
      <c r="AD575" s="313">
        <f t="shared" si="22"/>
        <v>2401019.0245180498</v>
      </c>
      <c r="AE575" s="313">
        <f t="shared" si="22"/>
        <v>0</v>
      </c>
      <c r="AF575" s="313">
        <f t="shared" si="22"/>
        <v>420355.06020807201</v>
      </c>
      <c r="AG575" s="313">
        <f t="shared" si="22"/>
        <v>0</v>
      </c>
      <c r="AH575" s="313">
        <f t="shared" si="22"/>
        <v>153821.25</v>
      </c>
      <c r="AI575" s="313">
        <f t="shared" si="22"/>
        <v>95581.8</v>
      </c>
      <c r="AJ575" s="313">
        <f t="shared" si="22"/>
        <v>669758.110208072</v>
      </c>
      <c r="AK575" s="313">
        <f t="shared" si="22"/>
        <v>1731260.9143099778</v>
      </c>
    </row>
    <row r="576" spans="4:37" x14ac:dyDescent="0.25">
      <c r="D576" s="311">
        <v>9264829</v>
      </c>
      <c r="R576" s="313">
        <f t="shared" si="18"/>
        <v>13.95</v>
      </c>
      <c r="S576" s="313">
        <f t="shared" si="22"/>
        <v>0.75</v>
      </c>
      <c r="T576" s="313">
        <f t="shared" si="22"/>
        <v>6.6</v>
      </c>
      <c r="U576" s="313">
        <f t="shared" si="22"/>
        <v>6.6</v>
      </c>
      <c r="V576" s="313">
        <f t="shared" si="22"/>
        <v>0</v>
      </c>
      <c r="W576" s="313">
        <f t="shared" si="22"/>
        <v>16</v>
      </c>
      <c r="X576" s="313">
        <f t="shared" si="22"/>
        <v>0</v>
      </c>
      <c r="Y576" s="313">
        <f t="shared" si="22"/>
        <v>0</v>
      </c>
      <c r="Z576" s="313">
        <f t="shared" si="22"/>
        <v>4270853.3078699065</v>
      </c>
      <c r="AA576" s="313">
        <f t="shared" si="22"/>
        <v>4859728.3013903275</v>
      </c>
      <c r="AB576" s="313">
        <f t="shared" si="22"/>
        <v>1552354.3385996954</v>
      </c>
      <c r="AC576" s="313">
        <f t="shared" si="22"/>
        <v>997191.67435219081</v>
      </c>
      <c r="AD576" s="313">
        <f t="shared" si="22"/>
        <v>11680127.622212121</v>
      </c>
      <c r="AE576" s="313">
        <f t="shared" si="22"/>
        <v>0</v>
      </c>
      <c r="AF576" s="313">
        <f t="shared" si="22"/>
        <v>1697925.6941176471</v>
      </c>
      <c r="AG576" s="313">
        <f t="shared" si="22"/>
        <v>421595.60784313723</v>
      </c>
      <c r="AH576" s="313">
        <f t="shared" si="22"/>
        <v>765364.21052631584</v>
      </c>
      <c r="AI576" s="313">
        <f t="shared" si="22"/>
        <v>724314.4</v>
      </c>
      <c r="AJ576" s="313">
        <f t="shared" si="22"/>
        <v>3609199.9124871003</v>
      </c>
      <c r="AK576" s="313">
        <f t="shared" si="22"/>
        <v>8070927.7097250205</v>
      </c>
    </row>
    <row r="577" spans="4:37" x14ac:dyDescent="0.25">
      <c r="D577" s="311">
        <v>9268423</v>
      </c>
      <c r="R577" s="313">
        <f t="shared" si="18"/>
        <v>17.399999999999999</v>
      </c>
      <c r="S577" s="313">
        <f t="shared" si="22"/>
        <v>0.7</v>
      </c>
      <c r="T577" s="313">
        <f t="shared" si="22"/>
        <v>12.43</v>
      </c>
      <c r="U577" s="313">
        <f t="shared" si="22"/>
        <v>0</v>
      </c>
      <c r="V577" s="313">
        <f t="shared" si="22"/>
        <v>4.2699999999999996</v>
      </c>
      <c r="W577" s="313">
        <f t="shared" si="22"/>
        <v>0</v>
      </c>
      <c r="X577" s="313">
        <f t="shared" si="22"/>
        <v>41</v>
      </c>
      <c r="Y577" s="313">
        <f t="shared" si="22"/>
        <v>0</v>
      </c>
      <c r="Z577" s="313">
        <f t="shared" si="22"/>
        <v>11360570.967603421</v>
      </c>
      <c r="AA577" s="313">
        <f t="shared" si="22"/>
        <v>0</v>
      </c>
      <c r="AB577" s="313">
        <f t="shared" si="22"/>
        <v>1058783.67</v>
      </c>
      <c r="AC577" s="313">
        <f t="shared" si="22"/>
        <v>204745.80000000002</v>
      </c>
      <c r="AD577" s="313">
        <f t="shared" si="22"/>
        <v>12624100.437603422</v>
      </c>
      <c r="AE577" s="313">
        <f t="shared" si="22"/>
        <v>0</v>
      </c>
      <c r="AF577" s="313">
        <f t="shared" si="22"/>
        <v>2252720.8496732023</v>
      </c>
      <c r="AG577" s="313">
        <f t="shared" si="22"/>
        <v>0</v>
      </c>
      <c r="AH577" s="313">
        <f t="shared" si="22"/>
        <v>0</v>
      </c>
      <c r="AI577" s="313">
        <f t="shared" si="22"/>
        <v>223544.61538461538</v>
      </c>
      <c r="AJ577" s="313">
        <f t="shared" si="22"/>
        <v>2476265.4650578178</v>
      </c>
      <c r="AK577" s="313">
        <f t="shared" si="22"/>
        <v>10147834.972545603</v>
      </c>
    </row>
    <row r="578" spans="4:37" x14ac:dyDescent="0.25">
      <c r="D578" s="311">
        <v>9328941</v>
      </c>
      <c r="R578" s="313">
        <f t="shared" si="18"/>
        <v>6.78</v>
      </c>
      <c r="S578" s="313">
        <f t="shared" si="22"/>
        <v>0.08</v>
      </c>
      <c r="T578" s="313">
        <f t="shared" si="22"/>
        <v>0</v>
      </c>
      <c r="U578" s="313">
        <f t="shared" si="22"/>
        <v>6.7</v>
      </c>
      <c r="V578" s="313">
        <f t="shared" si="22"/>
        <v>0</v>
      </c>
      <c r="W578" s="313">
        <f t="shared" si="22"/>
        <v>9</v>
      </c>
      <c r="X578" s="313">
        <f t="shared" si="22"/>
        <v>0</v>
      </c>
      <c r="Y578" s="313">
        <f t="shared" si="22"/>
        <v>0</v>
      </c>
      <c r="Z578" s="313">
        <f t="shared" si="22"/>
        <v>34856.969925131634</v>
      </c>
      <c r="AA578" s="313">
        <f t="shared" si="22"/>
        <v>3260598.5934190094</v>
      </c>
      <c r="AB578" s="313">
        <f t="shared" si="22"/>
        <v>433790.83607472363</v>
      </c>
      <c r="AC578" s="313">
        <f t="shared" si="22"/>
        <v>285709.90966180409</v>
      </c>
      <c r="AD578" s="313">
        <f t="shared" si="22"/>
        <v>4014956.3090806687</v>
      </c>
      <c r="AE578" s="313">
        <f t="shared" si="22"/>
        <v>0</v>
      </c>
      <c r="AF578" s="313">
        <f t="shared" si="22"/>
        <v>624477.74999999988</v>
      </c>
      <c r="AG578" s="313">
        <f t="shared" si="22"/>
        <v>55362.5</v>
      </c>
      <c r="AH578" s="313">
        <f t="shared" si="22"/>
        <v>429706.50000000006</v>
      </c>
      <c r="AI578" s="313">
        <f t="shared" si="22"/>
        <v>305324.85000000003</v>
      </c>
      <c r="AJ578" s="313">
        <f t="shared" si="22"/>
        <v>1414871.6</v>
      </c>
      <c r="AK578" s="313">
        <f t="shared" si="22"/>
        <v>2600084.7090806686</v>
      </c>
    </row>
    <row r="579" spans="4:37" x14ac:dyDescent="0.25">
      <c r="D579" s="311">
        <v>9379121</v>
      </c>
      <c r="R579" s="313">
        <f t="shared" si="18"/>
        <v>8.1</v>
      </c>
      <c r="S579" s="313">
        <f t="shared" si="22"/>
        <v>7.8</v>
      </c>
      <c r="T579" s="313">
        <f t="shared" si="22"/>
        <v>0</v>
      </c>
      <c r="U579" s="313">
        <f t="shared" si="22"/>
        <v>0.3</v>
      </c>
      <c r="V579" s="313">
        <f t="shared" si="22"/>
        <v>0</v>
      </c>
      <c r="W579" s="313">
        <f t="shared" si="22"/>
        <v>0</v>
      </c>
      <c r="X579" s="313">
        <f t="shared" si="22"/>
        <v>0</v>
      </c>
      <c r="Y579" s="313">
        <f t="shared" si="22"/>
        <v>0</v>
      </c>
      <c r="Z579" s="313">
        <f t="shared" si="22"/>
        <v>4954438.8224580558</v>
      </c>
      <c r="AA579" s="313">
        <f t="shared" si="22"/>
        <v>0</v>
      </c>
      <c r="AB579" s="313">
        <f t="shared" si="22"/>
        <v>335854.0866126027</v>
      </c>
      <c r="AC579" s="313">
        <f t="shared" si="22"/>
        <v>0</v>
      </c>
      <c r="AD579" s="313">
        <f t="shared" si="22"/>
        <v>5290292.9090706585</v>
      </c>
      <c r="AE579" s="313">
        <f t="shared" si="22"/>
        <v>0</v>
      </c>
      <c r="AF579" s="313">
        <f t="shared" si="22"/>
        <v>0</v>
      </c>
      <c r="AG579" s="313">
        <f t="shared" si="22"/>
        <v>0</v>
      </c>
      <c r="AH579" s="313">
        <f t="shared" si="22"/>
        <v>0</v>
      </c>
      <c r="AI579" s="313">
        <f t="shared" si="22"/>
        <v>0</v>
      </c>
      <c r="AJ579" s="313">
        <f t="shared" si="22"/>
        <v>0</v>
      </c>
      <c r="AK579" s="313">
        <f t="shared" si="22"/>
        <v>5290292.9090706585</v>
      </c>
    </row>
    <row r="580" spans="4:37" x14ac:dyDescent="0.25">
      <c r="D580" s="311">
        <v>9445282</v>
      </c>
      <c r="R580" s="313">
        <f t="shared" si="18"/>
        <v>37</v>
      </c>
      <c r="S580" s="313">
        <f t="shared" si="22"/>
        <v>3</v>
      </c>
      <c r="T580" s="313">
        <f t="shared" si="22"/>
        <v>26</v>
      </c>
      <c r="U580" s="313">
        <f t="shared" si="22"/>
        <v>8</v>
      </c>
      <c r="V580" s="313">
        <f t="shared" si="22"/>
        <v>0</v>
      </c>
      <c r="W580" s="313">
        <f t="shared" si="22"/>
        <v>74</v>
      </c>
      <c r="X580" s="313">
        <f t="shared" si="22"/>
        <v>0</v>
      </c>
      <c r="Y580" s="313">
        <f t="shared" si="22"/>
        <v>0</v>
      </c>
      <c r="Z580" s="313">
        <f t="shared" si="22"/>
        <v>16850985.840575144</v>
      </c>
      <c r="AA580" s="313">
        <f t="shared" si="22"/>
        <v>5890579.7592610037</v>
      </c>
      <c r="AB580" s="313">
        <f t="shared" si="22"/>
        <v>7179638.816023591</v>
      </c>
      <c r="AC580" s="313">
        <f t="shared" si="22"/>
        <v>4612011.4938788824</v>
      </c>
      <c r="AD580" s="313">
        <f t="shared" si="22"/>
        <v>34533215.909738623</v>
      </c>
      <c r="AE580" s="313">
        <f t="shared" si="22"/>
        <v>0</v>
      </c>
      <c r="AF580" s="313">
        <f t="shared" si="22"/>
        <v>7852906.3352941182</v>
      </c>
      <c r="AG580" s="313">
        <f t="shared" si="22"/>
        <v>1949879.6862745096</v>
      </c>
      <c r="AH580" s="313">
        <f t="shared" si="22"/>
        <v>3539809.4736842108</v>
      </c>
      <c r="AI580" s="313">
        <f t="shared" si="22"/>
        <v>3349954.1</v>
      </c>
      <c r="AJ580" s="313">
        <f t="shared" si="22"/>
        <v>16692549.595252838</v>
      </c>
      <c r="AK580" s="313">
        <f t="shared" si="22"/>
        <v>17840666.314485785</v>
      </c>
    </row>
    <row r="581" spans="4:37" x14ac:dyDescent="0.25">
      <c r="D581" s="311">
        <v>9459250</v>
      </c>
      <c r="R581" s="313">
        <f t="shared" si="18"/>
        <v>4.22</v>
      </c>
      <c r="S581" s="313">
        <f t="shared" si="22"/>
        <v>0.11</v>
      </c>
      <c r="T581" s="313">
        <f t="shared" si="22"/>
        <v>4.1100000000000003</v>
      </c>
      <c r="U581" s="313">
        <f t="shared" si="22"/>
        <v>0</v>
      </c>
      <c r="V581" s="313">
        <f t="shared" si="22"/>
        <v>0</v>
      </c>
      <c r="W581" s="313">
        <f t="shared" si="22"/>
        <v>0</v>
      </c>
      <c r="X581" s="313">
        <f t="shared" si="22"/>
        <v>20</v>
      </c>
      <c r="Y581" s="313">
        <f t="shared" si="22"/>
        <v>0</v>
      </c>
      <c r="Z581" s="313">
        <f t="shared" si="22"/>
        <v>2755264.912832554</v>
      </c>
      <c r="AA581" s="313">
        <f t="shared" si="22"/>
        <v>0</v>
      </c>
      <c r="AB581" s="313">
        <f t="shared" si="22"/>
        <v>516479.83902439021</v>
      </c>
      <c r="AC581" s="313">
        <f t="shared" si="22"/>
        <v>99876</v>
      </c>
      <c r="AD581" s="313">
        <f t="shared" si="22"/>
        <v>3371620.7518569441</v>
      </c>
      <c r="AE581" s="313">
        <f t="shared" si="22"/>
        <v>0</v>
      </c>
      <c r="AF581" s="313">
        <f t="shared" si="22"/>
        <v>554412.13725490193</v>
      </c>
      <c r="AG581" s="313">
        <f t="shared" si="22"/>
        <v>0</v>
      </c>
      <c r="AH581" s="313">
        <f t="shared" si="22"/>
        <v>0</v>
      </c>
      <c r="AI581" s="313">
        <f t="shared" si="22"/>
        <v>109046.15384615384</v>
      </c>
      <c r="AJ581" s="313">
        <f t="shared" si="22"/>
        <v>663458.2911010558</v>
      </c>
      <c r="AK581" s="313">
        <f t="shared" si="22"/>
        <v>2708162.4607558884</v>
      </c>
    </row>
    <row r="582" spans="4:37" x14ac:dyDescent="0.25">
      <c r="D582" s="311">
        <v>9478716</v>
      </c>
      <c r="R582" s="313">
        <f t="shared" si="18"/>
        <v>0.54</v>
      </c>
      <c r="S582" s="313">
        <f t="shared" si="22"/>
        <v>0.04</v>
      </c>
      <c r="T582" s="313">
        <f t="shared" si="22"/>
        <v>0.5</v>
      </c>
      <c r="U582" s="313">
        <f t="shared" si="22"/>
        <v>0</v>
      </c>
      <c r="V582" s="313">
        <f t="shared" si="22"/>
        <v>0</v>
      </c>
      <c r="W582" s="313">
        <f t="shared" si="22"/>
        <v>0</v>
      </c>
      <c r="X582" s="313">
        <f t="shared" si="22"/>
        <v>0</v>
      </c>
      <c r="Y582" s="313">
        <f t="shared" si="22"/>
        <v>0</v>
      </c>
      <c r="Z582" s="313">
        <f t="shared" si="22"/>
        <v>271670.40123241092</v>
      </c>
      <c r="AA582" s="313">
        <f t="shared" si="22"/>
        <v>0</v>
      </c>
      <c r="AB582" s="313">
        <f t="shared" si="22"/>
        <v>21592.545074712656</v>
      </c>
      <c r="AC582" s="313">
        <f t="shared" si="22"/>
        <v>0</v>
      </c>
      <c r="AD582" s="313">
        <f t="shared" si="22"/>
        <v>293262.94630712358</v>
      </c>
      <c r="AE582" s="313">
        <f t="shared" si="22"/>
        <v>0</v>
      </c>
      <c r="AF582" s="313">
        <f t="shared" si="22"/>
        <v>69377.617647058825</v>
      </c>
      <c r="AG582" s="313">
        <f t="shared" si="22"/>
        <v>0</v>
      </c>
      <c r="AH582" s="313">
        <f t="shared" si="22"/>
        <v>0</v>
      </c>
      <c r="AI582" s="313">
        <f t="shared" si="22"/>
        <v>0</v>
      </c>
      <c r="AJ582" s="313">
        <f t="shared" si="22"/>
        <v>69377.617647058825</v>
      </c>
      <c r="AK582" s="313">
        <f t="shared" si="22"/>
        <v>223885.32866006476</v>
      </c>
    </row>
    <row r="583" spans="4:37" x14ac:dyDescent="0.25">
      <c r="D583" s="311">
        <v>9503685</v>
      </c>
      <c r="R583" s="313">
        <f t="shared" si="18"/>
        <v>0.6</v>
      </c>
      <c r="S583" s="313">
        <f t="shared" si="22"/>
        <v>0.6</v>
      </c>
      <c r="T583" s="313">
        <f t="shared" si="22"/>
        <v>0</v>
      </c>
      <c r="U583" s="313">
        <f t="shared" si="22"/>
        <v>0</v>
      </c>
      <c r="V583" s="313">
        <f t="shared" si="22"/>
        <v>0</v>
      </c>
      <c r="W583" s="313">
        <f t="shared" si="22"/>
        <v>0</v>
      </c>
      <c r="X583" s="313">
        <f t="shared" si="22"/>
        <v>0</v>
      </c>
      <c r="Y583" s="313">
        <f t="shared" si="22"/>
        <v>0</v>
      </c>
      <c r="Z583" s="313">
        <f t="shared" si="22"/>
        <v>364997.33717507304</v>
      </c>
      <c r="AA583" s="313">
        <f t="shared" si="22"/>
        <v>0</v>
      </c>
      <c r="AB583" s="313">
        <f t="shared" si="22"/>
        <v>26767.384615384617</v>
      </c>
      <c r="AC583" s="313">
        <f t="shared" si="22"/>
        <v>0</v>
      </c>
      <c r="AD583" s="313">
        <f t="shared" si="22"/>
        <v>391764.72179045767</v>
      </c>
      <c r="AE583" s="313">
        <f t="shared" si="22"/>
        <v>0</v>
      </c>
      <c r="AF583" s="313">
        <f t="shared" si="22"/>
        <v>0</v>
      </c>
      <c r="AG583" s="313">
        <f t="shared" si="22"/>
        <v>0</v>
      </c>
      <c r="AH583" s="313">
        <f t="shared" si="22"/>
        <v>0</v>
      </c>
      <c r="AI583" s="313">
        <f t="shared" si="22"/>
        <v>0</v>
      </c>
      <c r="AJ583" s="313">
        <f t="shared" si="22"/>
        <v>0</v>
      </c>
      <c r="AK583" s="313">
        <f t="shared" si="22"/>
        <v>391764.72179045767</v>
      </c>
    </row>
    <row r="584" spans="4:37" x14ac:dyDescent="0.25">
      <c r="D584" s="311">
        <v>9554713</v>
      </c>
      <c r="R584" s="313">
        <f t="shared" si="18"/>
        <v>13</v>
      </c>
      <c r="S584" s="313">
        <f t="shared" si="22"/>
        <v>1.5</v>
      </c>
      <c r="T584" s="313">
        <f t="shared" si="22"/>
        <v>11.5</v>
      </c>
      <c r="U584" s="313">
        <f t="shared" si="22"/>
        <v>0</v>
      </c>
      <c r="V584" s="313">
        <f t="shared" si="22"/>
        <v>0</v>
      </c>
      <c r="W584" s="313">
        <f t="shared" si="22"/>
        <v>0</v>
      </c>
      <c r="X584" s="313">
        <f t="shared" si="22"/>
        <v>0</v>
      </c>
      <c r="Y584" s="313">
        <f t="shared" si="22"/>
        <v>0</v>
      </c>
      <c r="Z584" s="313">
        <f t="shared" si="22"/>
        <v>6540213.3630024856</v>
      </c>
      <c r="AA584" s="313">
        <f t="shared" si="22"/>
        <v>0</v>
      </c>
      <c r="AB584" s="313">
        <f t="shared" si="22"/>
        <v>519820.52957641578</v>
      </c>
      <c r="AC584" s="313">
        <f t="shared" si="22"/>
        <v>0</v>
      </c>
      <c r="AD584" s="313">
        <f t="shared" si="22"/>
        <v>7060033.8925789017</v>
      </c>
      <c r="AE584" s="313">
        <f t="shared" si="22"/>
        <v>0</v>
      </c>
      <c r="AF584" s="313">
        <f t="shared" si="22"/>
        <v>1595685.2058823528</v>
      </c>
      <c r="AG584" s="313">
        <f t="shared" si="22"/>
        <v>0</v>
      </c>
      <c r="AH584" s="313">
        <f t="shared" si="22"/>
        <v>0</v>
      </c>
      <c r="AI584" s="313">
        <f t="shared" si="22"/>
        <v>0</v>
      </c>
      <c r="AJ584" s="313">
        <f t="shared" si="22"/>
        <v>1595685.2058823528</v>
      </c>
      <c r="AK584" s="313">
        <f t="shared" si="22"/>
        <v>5464348.686696548</v>
      </c>
    </row>
    <row r="585" spans="4:37" x14ac:dyDescent="0.25">
      <c r="D585" s="311">
        <v>9577077</v>
      </c>
      <c r="R585" s="313">
        <f t="shared" si="18"/>
        <v>6.4700000000000006</v>
      </c>
      <c r="S585" s="313">
        <f t="shared" si="22"/>
        <v>1</v>
      </c>
      <c r="T585" s="313">
        <f t="shared" si="22"/>
        <v>5.4700000000000006</v>
      </c>
      <c r="U585" s="313">
        <f t="shared" si="22"/>
        <v>0</v>
      </c>
      <c r="V585" s="313">
        <f t="shared" si="22"/>
        <v>0</v>
      </c>
      <c r="W585" s="313">
        <f t="shared" si="22"/>
        <v>0</v>
      </c>
      <c r="X585" s="313">
        <f t="shared" si="22"/>
        <v>0</v>
      </c>
      <c r="Y585" s="313">
        <f t="shared" si="22"/>
        <v>0</v>
      </c>
      <c r="Z585" s="313">
        <f t="shared" si="22"/>
        <v>3995800.83</v>
      </c>
      <c r="AA585" s="313">
        <f t="shared" si="22"/>
        <v>0</v>
      </c>
      <c r="AB585" s="313">
        <f t="shared" si="22"/>
        <v>254901.68845383718</v>
      </c>
      <c r="AC585" s="313">
        <f t="shared" si="22"/>
        <v>0</v>
      </c>
      <c r="AD585" s="313">
        <f t="shared" si="22"/>
        <v>4250702.5184538374</v>
      </c>
      <c r="AE585" s="313">
        <f t="shared" si="22"/>
        <v>0</v>
      </c>
      <c r="AF585" s="313">
        <f t="shared" si="22"/>
        <v>669891.35127635964</v>
      </c>
      <c r="AG585" s="313">
        <f t="shared" si="22"/>
        <v>0</v>
      </c>
      <c r="AH585" s="313">
        <f t="shared" si="22"/>
        <v>0</v>
      </c>
      <c r="AI585" s="313">
        <f t="shared" si="22"/>
        <v>0</v>
      </c>
      <c r="AJ585" s="313">
        <f t="shared" si="22"/>
        <v>669891.35127635964</v>
      </c>
      <c r="AK585" s="313">
        <f t="shared" si="22"/>
        <v>3580811.1671774774</v>
      </c>
    </row>
    <row r="586" spans="4:37" x14ac:dyDescent="0.25">
      <c r="D586" s="311">
        <v>9583114</v>
      </c>
      <c r="R586" s="313">
        <f t="shared" si="18"/>
        <v>2.6</v>
      </c>
      <c r="S586" s="313">
        <f t="shared" si="22"/>
        <v>0.1</v>
      </c>
      <c r="T586" s="313">
        <f t="shared" si="22"/>
        <v>2.5</v>
      </c>
      <c r="U586" s="313">
        <f t="shared" si="22"/>
        <v>0</v>
      </c>
      <c r="V586" s="313">
        <f t="shared" si="22"/>
        <v>0</v>
      </c>
      <c r="W586" s="313">
        <f t="shared" si="22"/>
        <v>0</v>
      </c>
      <c r="X586" s="313">
        <f t="shared" si="22"/>
        <v>0</v>
      </c>
      <c r="Y586" s="313">
        <f t="shared" si="22"/>
        <v>0</v>
      </c>
      <c r="Z586" s="313">
        <f t="shared" si="22"/>
        <v>1308042.672600497</v>
      </c>
      <c r="AA586" s="313">
        <f t="shared" si="22"/>
        <v>0</v>
      </c>
      <c r="AB586" s="313">
        <f t="shared" si="22"/>
        <v>103964.10591528314</v>
      </c>
      <c r="AC586" s="313">
        <f t="shared" si="22"/>
        <v>0</v>
      </c>
      <c r="AD586" s="313">
        <f t="shared" si="22"/>
        <v>1412006.7785157801</v>
      </c>
      <c r="AE586" s="313">
        <f t="shared" si="22"/>
        <v>0</v>
      </c>
      <c r="AF586" s="313">
        <f t="shared" si="22"/>
        <v>346888.0882352941</v>
      </c>
      <c r="AG586" s="313">
        <f t="shared" si="22"/>
        <v>0</v>
      </c>
      <c r="AH586" s="313">
        <f t="shared" si="22"/>
        <v>0</v>
      </c>
      <c r="AI586" s="313">
        <f t="shared" si="22"/>
        <v>0</v>
      </c>
      <c r="AJ586" s="313">
        <f t="shared" si="22"/>
        <v>346888.0882352941</v>
      </c>
      <c r="AK586" s="313">
        <f t="shared" si="22"/>
        <v>1065118.6902804859</v>
      </c>
    </row>
    <row r="587" spans="4:37" x14ac:dyDescent="0.25">
      <c r="D587" s="311">
        <v>9593192</v>
      </c>
      <c r="R587" s="313">
        <f t="shared" ref="R587:AG600" si="23">SUMIFS(R$4:R$326,$D$4:$D$326,$D587)</f>
        <v>41</v>
      </c>
      <c r="S587" s="313">
        <f t="shared" si="23"/>
        <v>2</v>
      </c>
      <c r="T587" s="313">
        <f t="shared" si="23"/>
        <v>25</v>
      </c>
      <c r="U587" s="313">
        <f t="shared" si="23"/>
        <v>14</v>
      </c>
      <c r="V587" s="313">
        <f t="shared" si="23"/>
        <v>0</v>
      </c>
      <c r="W587" s="313">
        <f t="shared" si="23"/>
        <v>100</v>
      </c>
      <c r="X587" s="313">
        <f t="shared" si="23"/>
        <v>0</v>
      </c>
      <c r="Y587" s="313">
        <f t="shared" si="23"/>
        <v>0</v>
      </c>
      <c r="Z587" s="313">
        <f t="shared" si="23"/>
        <v>16035241.05806954</v>
      </c>
      <c r="AA587" s="313">
        <f t="shared" si="23"/>
        <v>10313092.857349759</v>
      </c>
      <c r="AB587" s="313">
        <f t="shared" si="23"/>
        <v>9264758.7221671175</v>
      </c>
      <c r="AC587" s="313">
        <f t="shared" si="23"/>
        <v>6502250.9697732264</v>
      </c>
      <c r="AD587" s="313">
        <f t="shared" si="23"/>
        <v>42115343.60735964</v>
      </c>
      <c r="AE587" s="313">
        <f t="shared" si="23"/>
        <v>0</v>
      </c>
      <c r="AF587" s="313">
        <f t="shared" si="23"/>
        <v>11227048.515586343</v>
      </c>
      <c r="AG587" s="313">
        <f t="shared" si="23"/>
        <v>2924486.8760064412</v>
      </c>
      <c r="AH587" s="313">
        <f t="shared" si="22"/>
        <v>6492377.4625689518</v>
      </c>
      <c r="AI587" s="313">
        <f t="shared" si="22"/>
        <v>5087706.2959558824</v>
      </c>
      <c r="AJ587" s="313">
        <f t="shared" si="22"/>
        <v>25731619.150117617</v>
      </c>
      <c r="AK587" s="313">
        <f t="shared" si="22"/>
        <v>16383724.457242023</v>
      </c>
    </row>
    <row r="588" spans="4:37" x14ac:dyDescent="0.25">
      <c r="D588" s="311">
        <v>9608144</v>
      </c>
      <c r="R588" s="313">
        <f t="shared" si="23"/>
        <v>1.9</v>
      </c>
      <c r="S588" s="313">
        <f t="shared" si="22"/>
        <v>1.9</v>
      </c>
      <c r="T588" s="313">
        <f t="shared" si="22"/>
        <v>0</v>
      </c>
      <c r="U588" s="313">
        <f t="shared" si="22"/>
        <v>0</v>
      </c>
      <c r="V588" s="313">
        <f t="shared" si="22"/>
        <v>0</v>
      </c>
      <c r="W588" s="313">
        <f t="shared" si="22"/>
        <v>0</v>
      </c>
      <c r="X588" s="313">
        <f t="shared" si="22"/>
        <v>1</v>
      </c>
      <c r="Y588" s="313">
        <f t="shared" si="22"/>
        <v>0</v>
      </c>
      <c r="Z588" s="313">
        <f t="shared" si="22"/>
        <v>1155824.9010543979</v>
      </c>
      <c r="AA588" s="313">
        <f t="shared" si="22"/>
        <v>0</v>
      </c>
      <c r="AB588" s="313">
        <f t="shared" si="22"/>
        <v>84763.38461538461</v>
      </c>
      <c r="AC588" s="313">
        <f t="shared" si="22"/>
        <v>0</v>
      </c>
      <c r="AD588" s="313">
        <f t="shared" si="22"/>
        <v>1240588.2856697824</v>
      </c>
      <c r="AE588" s="313">
        <f t="shared" si="22"/>
        <v>0</v>
      </c>
      <c r="AF588" s="313">
        <f t="shared" si="22"/>
        <v>0</v>
      </c>
      <c r="AG588" s="313">
        <f t="shared" si="22"/>
        <v>0</v>
      </c>
      <c r="AH588" s="313">
        <f t="shared" si="22"/>
        <v>0</v>
      </c>
      <c r="AI588" s="313">
        <f t="shared" si="22"/>
        <v>0</v>
      </c>
      <c r="AJ588" s="313">
        <f t="shared" si="22"/>
        <v>0</v>
      </c>
      <c r="AK588" s="313">
        <f t="shared" ref="S588:AK600" si="24">SUMIFS(AK$4:AK$326,$D$4:$D$326,$D588)</f>
        <v>1240588.2856697824</v>
      </c>
    </row>
    <row r="589" spans="4:37" x14ac:dyDescent="0.25">
      <c r="D589" s="311">
        <v>9659243</v>
      </c>
      <c r="R589" s="313">
        <f t="shared" si="23"/>
        <v>5.5</v>
      </c>
      <c r="S589" s="313">
        <f t="shared" si="24"/>
        <v>4.5</v>
      </c>
      <c r="T589" s="313">
        <f t="shared" si="24"/>
        <v>1</v>
      </c>
      <c r="U589" s="313">
        <f t="shared" si="24"/>
        <v>0</v>
      </c>
      <c r="V589" s="313">
        <f t="shared" si="24"/>
        <v>0</v>
      </c>
      <c r="W589" s="313">
        <f t="shared" si="24"/>
        <v>0</v>
      </c>
      <c r="X589" s="313">
        <f t="shared" si="24"/>
        <v>0</v>
      </c>
      <c r="Y589" s="313">
        <f t="shared" si="24"/>
        <v>0</v>
      </c>
      <c r="Z589" s="313">
        <f t="shared" si="24"/>
        <v>3228468.0047634491</v>
      </c>
      <c r="AA589" s="313">
        <f t="shared" si="24"/>
        <v>0</v>
      </c>
      <c r="AB589" s="313">
        <f t="shared" si="24"/>
        <v>234636.40866758523</v>
      </c>
      <c r="AC589" s="313">
        <f t="shared" si="24"/>
        <v>0</v>
      </c>
      <c r="AD589" s="313">
        <f t="shared" si="24"/>
        <v>3463104.4134310344</v>
      </c>
      <c r="AE589" s="313">
        <f t="shared" si="24"/>
        <v>0</v>
      </c>
      <c r="AF589" s="313">
        <f t="shared" si="24"/>
        <v>0</v>
      </c>
      <c r="AG589" s="313">
        <f t="shared" si="24"/>
        <v>0</v>
      </c>
      <c r="AH589" s="313">
        <f t="shared" si="24"/>
        <v>0</v>
      </c>
      <c r="AI589" s="313">
        <f t="shared" si="24"/>
        <v>0</v>
      </c>
      <c r="AJ589" s="313">
        <f t="shared" si="24"/>
        <v>0</v>
      </c>
      <c r="AK589" s="313">
        <f t="shared" si="24"/>
        <v>3463104.4134310344</v>
      </c>
    </row>
    <row r="590" spans="4:37" x14ac:dyDescent="0.25">
      <c r="D590" s="311">
        <v>9666094</v>
      </c>
      <c r="R590" s="313">
        <f t="shared" si="23"/>
        <v>4.5</v>
      </c>
      <c r="S590" s="313">
        <f t="shared" si="24"/>
        <v>0.5</v>
      </c>
      <c r="T590" s="313">
        <f t="shared" si="24"/>
        <v>4</v>
      </c>
      <c r="U590" s="313">
        <f t="shared" si="24"/>
        <v>0</v>
      </c>
      <c r="V590" s="313">
        <f t="shared" si="24"/>
        <v>0</v>
      </c>
      <c r="W590" s="313">
        <f t="shared" si="24"/>
        <v>0</v>
      </c>
      <c r="X590" s="313">
        <f t="shared" si="24"/>
        <v>0</v>
      </c>
      <c r="Y590" s="313">
        <f t="shared" si="24"/>
        <v>0</v>
      </c>
      <c r="Z590" s="313">
        <f t="shared" si="24"/>
        <v>2263920.0102700908</v>
      </c>
      <c r="AA590" s="313">
        <f t="shared" si="24"/>
        <v>0</v>
      </c>
      <c r="AB590" s="313">
        <f t="shared" si="24"/>
        <v>179937.87562260544</v>
      </c>
      <c r="AC590" s="313">
        <f t="shared" si="24"/>
        <v>0</v>
      </c>
      <c r="AD590" s="313">
        <f t="shared" si="24"/>
        <v>2443857.8858926962</v>
      </c>
      <c r="AE590" s="313">
        <f t="shared" si="24"/>
        <v>0</v>
      </c>
      <c r="AF590" s="313">
        <f t="shared" si="24"/>
        <v>555020.9411764706</v>
      </c>
      <c r="AG590" s="313">
        <f t="shared" si="24"/>
        <v>0</v>
      </c>
      <c r="AH590" s="313">
        <f t="shared" si="24"/>
        <v>0</v>
      </c>
      <c r="AI590" s="313">
        <f t="shared" si="24"/>
        <v>0</v>
      </c>
      <c r="AJ590" s="313">
        <f t="shared" si="24"/>
        <v>555020.9411764706</v>
      </c>
      <c r="AK590" s="313">
        <f t="shared" si="24"/>
        <v>1888836.9447162256</v>
      </c>
    </row>
    <row r="591" spans="4:37" x14ac:dyDescent="0.25">
      <c r="D591" s="311">
        <v>9684449</v>
      </c>
      <c r="R591" s="313">
        <f t="shared" si="23"/>
        <v>1.5</v>
      </c>
      <c r="S591" s="313">
        <f t="shared" si="24"/>
        <v>1</v>
      </c>
      <c r="T591" s="313">
        <f t="shared" si="24"/>
        <v>0</v>
      </c>
      <c r="U591" s="313">
        <f t="shared" si="24"/>
        <v>0</v>
      </c>
      <c r="V591" s="313">
        <f t="shared" si="24"/>
        <v>0.5</v>
      </c>
      <c r="W591" s="313">
        <f t="shared" si="24"/>
        <v>0</v>
      </c>
      <c r="X591" s="313">
        <f t="shared" si="24"/>
        <v>0</v>
      </c>
      <c r="Y591" s="313">
        <f t="shared" si="24"/>
        <v>0</v>
      </c>
      <c r="Z591" s="313">
        <f t="shared" si="24"/>
        <v>912493.34293768252</v>
      </c>
      <c r="AA591" s="313">
        <f t="shared" si="24"/>
        <v>0</v>
      </c>
      <c r="AB591" s="313">
        <f t="shared" si="24"/>
        <v>66918.461538461546</v>
      </c>
      <c r="AC591" s="313">
        <f t="shared" si="24"/>
        <v>0</v>
      </c>
      <c r="AD591" s="313">
        <f t="shared" si="24"/>
        <v>979411.80447614403</v>
      </c>
      <c r="AE591" s="313">
        <f t="shared" si="24"/>
        <v>0</v>
      </c>
      <c r="AF591" s="313">
        <f t="shared" si="24"/>
        <v>0</v>
      </c>
      <c r="AG591" s="313">
        <f t="shared" si="24"/>
        <v>0</v>
      </c>
      <c r="AH591" s="313">
        <f t="shared" si="24"/>
        <v>0</v>
      </c>
      <c r="AI591" s="313">
        <f t="shared" si="24"/>
        <v>0</v>
      </c>
      <c r="AJ591" s="313">
        <f t="shared" si="24"/>
        <v>0</v>
      </c>
      <c r="AK591" s="313">
        <f t="shared" si="24"/>
        <v>979411.80447614403</v>
      </c>
    </row>
    <row r="592" spans="4:37" x14ac:dyDescent="0.25">
      <c r="D592" s="311">
        <v>9688838</v>
      </c>
      <c r="R592" s="313">
        <f t="shared" si="23"/>
        <v>62</v>
      </c>
      <c r="S592" s="313">
        <f t="shared" si="24"/>
        <v>4</v>
      </c>
      <c r="T592" s="313">
        <f t="shared" si="24"/>
        <v>39</v>
      </c>
      <c r="U592" s="313">
        <f t="shared" si="24"/>
        <v>19</v>
      </c>
      <c r="V592" s="313">
        <f t="shared" si="24"/>
        <v>0</v>
      </c>
      <c r="W592" s="313">
        <f t="shared" si="24"/>
        <v>124</v>
      </c>
      <c r="X592" s="313">
        <f t="shared" si="24"/>
        <v>0</v>
      </c>
      <c r="Y592" s="313">
        <f t="shared" si="24"/>
        <v>0</v>
      </c>
      <c r="Z592" s="313">
        <f t="shared" si="24"/>
        <v>25537606.129518159</v>
      </c>
      <c r="AA592" s="313">
        <f t="shared" si="24"/>
        <v>13996340.306403244</v>
      </c>
      <c r="AB592" s="313">
        <f t="shared" si="24"/>
        <v>11488300.815487225</v>
      </c>
      <c r="AC592" s="313">
        <f t="shared" si="24"/>
        <v>8062791.2025188012</v>
      </c>
      <c r="AD592" s="313">
        <f t="shared" si="24"/>
        <v>59085038.45392742</v>
      </c>
      <c r="AE592" s="313">
        <f t="shared" si="24"/>
        <v>0</v>
      </c>
      <c r="AF592" s="313">
        <f t="shared" si="24"/>
        <v>13921540.159327066</v>
      </c>
      <c r="AG592" s="313">
        <f t="shared" si="24"/>
        <v>3626363.7262479872</v>
      </c>
      <c r="AH592" s="313">
        <f t="shared" si="24"/>
        <v>8050548.0535855005</v>
      </c>
      <c r="AI592" s="313">
        <f t="shared" si="24"/>
        <v>6308755.8069852944</v>
      </c>
      <c r="AJ592" s="313">
        <f t="shared" si="24"/>
        <v>31907207.746145844</v>
      </c>
      <c r="AK592" s="313">
        <f t="shared" si="24"/>
        <v>27177830.707781576</v>
      </c>
    </row>
    <row r="593" spans="4:37" x14ac:dyDescent="0.25">
      <c r="D593" s="311">
        <v>9735411</v>
      </c>
      <c r="R593" s="313">
        <f t="shared" si="23"/>
        <v>31.15</v>
      </c>
      <c r="S593" s="313">
        <f t="shared" si="24"/>
        <v>1.9</v>
      </c>
      <c r="T593" s="313">
        <f t="shared" si="24"/>
        <v>29.25</v>
      </c>
      <c r="U593" s="313">
        <f t="shared" si="24"/>
        <v>0</v>
      </c>
      <c r="V593" s="313">
        <f t="shared" si="24"/>
        <v>0</v>
      </c>
      <c r="W593" s="313">
        <f t="shared" si="24"/>
        <v>0</v>
      </c>
      <c r="X593" s="313">
        <f t="shared" si="24"/>
        <v>0</v>
      </c>
      <c r="Y593" s="313">
        <f t="shared" si="24"/>
        <v>0</v>
      </c>
      <c r="Z593" s="313">
        <f t="shared" si="24"/>
        <v>15671357.404425185</v>
      </c>
      <c r="AA593" s="313">
        <f t="shared" si="24"/>
        <v>0</v>
      </c>
      <c r="AB593" s="313">
        <f t="shared" si="24"/>
        <v>1245569.9612542577</v>
      </c>
      <c r="AC593" s="313">
        <f t="shared" si="24"/>
        <v>0</v>
      </c>
      <c r="AD593" s="313">
        <f t="shared" si="24"/>
        <v>16916927.365679443</v>
      </c>
      <c r="AE593" s="313">
        <f t="shared" si="24"/>
        <v>0</v>
      </c>
      <c r="AF593" s="313">
        <f t="shared" si="24"/>
        <v>4058590.6323529412</v>
      </c>
      <c r="AG593" s="313">
        <f t="shared" si="24"/>
        <v>0</v>
      </c>
      <c r="AH593" s="313">
        <f t="shared" si="24"/>
        <v>0</v>
      </c>
      <c r="AI593" s="313">
        <f t="shared" si="24"/>
        <v>0</v>
      </c>
      <c r="AJ593" s="313">
        <f t="shared" si="24"/>
        <v>4058590.6323529412</v>
      </c>
      <c r="AK593" s="313">
        <f t="shared" si="24"/>
        <v>12858336.733326502</v>
      </c>
    </row>
    <row r="594" spans="4:37" x14ac:dyDescent="0.25">
      <c r="D594" s="311">
        <v>9767213</v>
      </c>
      <c r="R594" s="313">
        <f t="shared" si="23"/>
        <v>2.5</v>
      </c>
      <c r="S594" s="313">
        <f t="shared" si="24"/>
        <v>0.5</v>
      </c>
      <c r="T594" s="313">
        <f t="shared" si="24"/>
        <v>2</v>
      </c>
      <c r="U594" s="313">
        <f t="shared" si="24"/>
        <v>0</v>
      </c>
      <c r="V594" s="313">
        <f t="shared" si="24"/>
        <v>0</v>
      </c>
      <c r="W594" s="313">
        <f t="shared" si="24"/>
        <v>0</v>
      </c>
      <c r="X594" s="313">
        <f t="shared" si="24"/>
        <v>7</v>
      </c>
      <c r="Y594" s="313">
        <f t="shared" si="24"/>
        <v>0</v>
      </c>
      <c r="Z594" s="313">
        <f t="shared" si="24"/>
        <v>1529147.7847092764</v>
      </c>
      <c r="AA594" s="313">
        <f t="shared" si="24"/>
        <v>0</v>
      </c>
      <c r="AB594" s="313">
        <f t="shared" si="24"/>
        <v>103658.66870759343</v>
      </c>
      <c r="AC594" s="313">
        <f t="shared" si="24"/>
        <v>0</v>
      </c>
      <c r="AD594" s="313">
        <f t="shared" si="24"/>
        <v>1632806.4534168697</v>
      </c>
      <c r="AE594" s="313">
        <f t="shared" si="24"/>
        <v>0</v>
      </c>
      <c r="AF594" s="313">
        <f t="shared" si="24"/>
        <v>0</v>
      </c>
      <c r="AG594" s="313">
        <f t="shared" si="24"/>
        <v>0</v>
      </c>
      <c r="AH594" s="313">
        <f t="shared" si="24"/>
        <v>0</v>
      </c>
      <c r="AI594" s="313">
        <f t="shared" si="24"/>
        <v>0</v>
      </c>
      <c r="AJ594" s="313">
        <f t="shared" si="24"/>
        <v>0</v>
      </c>
      <c r="AK594" s="313">
        <f t="shared" si="24"/>
        <v>1632806.4534168697</v>
      </c>
    </row>
    <row r="595" spans="4:37" x14ac:dyDescent="0.25">
      <c r="D595" s="311">
        <v>9818505</v>
      </c>
      <c r="R595" s="313">
        <f t="shared" si="23"/>
        <v>3.5</v>
      </c>
      <c r="S595" s="313">
        <f t="shared" si="24"/>
        <v>2</v>
      </c>
      <c r="T595" s="313">
        <f t="shared" si="24"/>
        <v>1.5</v>
      </c>
      <c r="U595" s="313">
        <f t="shared" si="24"/>
        <v>0</v>
      </c>
      <c r="V595" s="313">
        <f t="shared" si="24"/>
        <v>0</v>
      </c>
      <c r="W595" s="313">
        <f t="shared" si="24"/>
        <v>0</v>
      </c>
      <c r="X595" s="313">
        <f t="shared" si="24"/>
        <v>0</v>
      </c>
      <c r="Y595" s="313">
        <f t="shared" si="24"/>
        <v>0</v>
      </c>
      <c r="Z595" s="313">
        <f t="shared" si="24"/>
        <v>2140806.8985929871</v>
      </c>
      <c r="AA595" s="313">
        <f t="shared" si="24"/>
        <v>0</v>
      </c>
      <c r="AB595" s="313">
        <f t="shared" si="24"/>
        <v>145122.13619063079</v>
      </c>
      <c r="AC595" s="313">
        <f t="shared" si="24"/>
        <v>0</v>
      </c>
      <c r="AD595" s="313">
        <f t="shared" si="24"/>
        <v>2285929.0347836181</v>
      </c>
      <c r="AE595" s="313">
        <f t="shared" si="24"/>
        <v>0</v>
      </c>
      <c r="AF595" s="313">
        <f t="shared" si="24"/>
        <v>0</v>
      </c>
      <c r="AG595" s="313">
        <f t="shared" si="24"/>
        <v>0</v>
      </c>
      <c r="AH595" s="313">
        <f t="shared" si="24"/>
        <v>0</v>
      </c>
      <c r="AI595" s="313">
        <f t="shared" si="24"/>
        <v>0</v>
      </c>
      <c r="AJ595" s="313">
        <f t="shared" si="24"/>
        <v>0</v>
      </c>
      <c r="AK595" s="313">
        <f t="shared" si="24"/>
        <v>2285929.0347836181</v>
      </c>
    </row>
    <row r="596" spans="4:37" x14ac:dyDescent="0.25">
      <c r="D596" s="311">
        <v>9870958</v>
      </c>
      <c r="R596" s="313">
        <f t="shared" si="23"/>
        <v>3.3</v>
      </c>
      <c r="S596" s="313">
        <f t="shared" si="24"/>
        <v>1.3</v>
      </c>
      <c r="T596" s="313">
        <f t="shared" si="24"/>
        <v>0</v>
      </c>
      <c r="U596" s="313">
        <f t="shared" si="24"/>
        <v>2</v>
      </c>
      <c r="V596" s="313">
        <f t="shared" si="24"/>
        <v>0</v>
      </c>
      <c r="W596" s="313">
        <f t="shared" si="24"/>
        <v>0</v>
      </c>
      <c r="X596" s="313">
        <f t="shared" si="24"/>
        <v>9</v>
      </c>
      <c r="Y596" s="313">
        <f t="shared" si="24"/>
        <v>0</v>
      </c>
      <c r="Z596" s="313">
        <f t="shared" si="24"/>
        <v>2695693.1859181598</v>
      </c>
      <c r="AA596" s="313">
        <f t="shared" si="24"/>
        <v>0</v>
      </c>
      <c r="AB596" s="313">
        <f t="shared" si="24"/>
        <v>694508.51715498813</v>
      </c>
      <c r="AC596" s="313">
        <f t="shared" si="24"/>
        <v>6540.3749999999991</v>
      </c>
      <c r="AD596" s="313">
        <f t="shared" si="24"/>
        <v>3396742.0780731477</v>
      </c>
      <c r="AE596" s="313">
        <f t="shared" si="24"/>
        <v>0</v>
      </c>
      <c r="AF596" s="313">
        <f t="shared" si="24"/>
        <v>0</v>
      </c>
      <c r="AG596" s="313">
        <f t="shared" si="24"/>
        <v>0</v>
      </c>
      <c r="AH596" s="313">
        <f t="shared" si="24"/>
        <v>0</v>
      </c>
      <c r="AI596" s="313">
        <f t="shared" si="24"/>
        <v>0</v>
      </c>
      <c r="AJ596" s="313">
        <f t="shared" si="24"/>
        <v>0</v>
      </c>
      <c r="AK596" s="313">
        <f t="shared" si="24"/>
        <v>3396742.0780731477</v>
      </c>
    </row>
    <row r="597" spans="4:37" x14ac:dyDescent="0.25">
      <c r="D597" s="311">
        <v>9924037</v>
      </c>
      <c r="R597" s="313">
        <f t="shared" si="23"/>
        <v>7.3</v>
      </c>
      <c r="S597" s="313">
        <f t="shared" si="24"/>
        <v>0.15</v>
      </c>
      <c r="T597" s="313">
        <f t="shared" si="24"/>
        <v>5.5</v>
      </c>
      <c r="U597" s="313">
        <f t="shared" si="24"/>
        <v>1.65</v>
      </c>
      <c r="V597" s="313">
        <f t="shared" si="24"/>
        <v>0</v>
      </c>
      <c r="W597" s="313">
        <f t="shared" si="24"/>
        <v>10</v>
      </c>
      <c r="X597" s="313">
        <f t="shared" si="24"/>
        <v>0</v>
      </c>
      <c r="Y597" s="313">
        <f t="shared" si="24"/>
        <v>0</v>
      </c>
      <c r="Z597" s="313">
        <f t="shared" si="24"/>
        <v>3281128.6540366979</v>
      </c>
      <c r="AA597" s="313">
        <f t="shared" si="24"/>
        <v>1210623.0033982948</v>
      </c>
      <c r="AB597" s="313">
        <f t="shared" si="24"/>
        <v>913138.33309135807</v>
      </c>
      <c r="AC597" s="313">
        <f t="shared" si="24"/>
        <v>612963.30517881177</v>
      </c>
      <c r="AD597" s="313">
        <f t="shared" si="24"/>
        <v>6017853.295705162</v>
      </c>
      <c r="AE597" s="313">
        <f t="shared" si="24"/>
        <v>0</v>
      </c>
      <c r="AF597" s="313">
        <f t="shared" si="24"/>
        <v>1200682.2</v>
      </c>
      <c r="AG597" s="313">
        <f t="shared" si="24"/>
        <v>224820.96249999999</v>
      </c>
      <c r="AH597" s="313">
        <f t="shared" si="24"/>
        <v>604418.27586206899</v>
      </c>
      <c r="AI597" s="313">
        <f t="shared" si="24"/>
        <v>510013.5</v>
      </c>
      <c r="AJ597" s="313">
        <f t="shared" si="24"/>
        <v>2539934.938362069</v>
      </c>
      <c r="AK597" s="313">
        <f t="shared" si="24"/>
        <v>3477918.357343093</v>
      </c>
    </row>
    <row r="598" spans="4:37" x14ac:dyDescent="0.25">
      <c r="D598" s="311">
        <v>9924639</v>
      </c>
      <c r="R598" s="313">
        <f t="shared" si="23"/>
        <v>13.6</v>
      </c>
      <c r="S598" s="313">
        <f t="shared" si="24"/>
        <v>1.1000000000000001</v>
      </c>
      <c r="T598" s="313">
        <f t="shared" si="24"/>
        <v>12.5</v>
      </c>
      <c r="U598" s="313">
        <f t="shared" si="24"/>
        <v>0</v>
      </c>
      <c r="V598" s="313">
        <f t="shared" si="24"/>
        <v>0</v>
      </c>
      <c r="W598" s="313">
        <f t="shared" si="24"/>
        <v>0</v>
      </c>
      <c r="X598" s="313">
        <f t="shared" si="24"/>
        <v>11</v>
      </c>
      <c r="Y598" s="313">
        <f t="shared" si="24"/>
        <v>0</v>
      </c>
      <c r="Z598" s="313">
        <f t="shared" si="24"/>
        <v>6842069.3643718306</v>
      </c>
      <c r="AA598" s="313">
        <f t="shared" si="24"/>
        <v>0</v>
      </c>
      <c r="AB598" s="313">
        <f t="shared" si="24"/>
        <v>543812.24632609647</v>
      </c>
      <c r="AC598" s="313">
        <f t="shared" si="24"/>
        <v>0</v>
      </c>
      <c r="AD598" s="313">
        <f t="shared" si="24"/>
        <v>7385881.610697927</v>
      </c>
      <c r="AE598" s="313">
        <f t="shared" si="24"/>
        <v>0</v>
      </c>
      <c r="AF598" s="313">
        <f t="shared" si="24"/>
        <v>1734440.4411764706</v>
      </c>
      <c r="AG598" s="313">
        <f t="shared" si="24"/>
        <v>0</v>
      </c>
      <c r="AH598" s="313">
        <f t="shared" si="24"/>
        <v>0</v>
      </c>
      <c r="AI598" s="313">
        <f t="shared" si="24"/>
        <v>0</v>
      </c>
      <c r="AJ598" s="313">
        <f t="shared" si="24"/>
        <v>1734440.4411764706</v>
      </c>
      <c r="AK598" s="313">
        <f t="shared" si="24"/>
        <v>5651441.1695214566</v>
      </c>
    </row>
    <row r="599" spans="4:37" x14ac:dyDescent="0.25">
      <c r="D599" s="311">
        <v>9940787</v>
      </c>
      <c r="R599" s="313">
        <f t="shared" si="23"/>
        <v>8.65</v>
      </c>
      <c r="S599" s="313">
        <f t="shared" si="24"/>
        <v>1.1499999999999999</v>
      </c>
      <c r="T599" s="313">
        <f t="shared" si="24"/>
        <v>7.5</v>
      </c>
      <c r="U599" s="313">
        <f t="shared" si="24"/>
        <v>0</v>
      </c>
      <c r="V599" s="313">
        <f t="shared" si="24"/>
        <v>0</v>
      </c>
      <c r="W599" s="313">
        <f t="shared" si="24"/>
        <v>0</v>
      </c>
      <c r="X599" s="313">
        <f t="shared" si="24"/>
        <v>0</v>
      </c>
      <c r="Y599" s="313">
        <f t="shared" si="24"/>
        <v>0</v>
      </c>
      <c r="Z599" s="313">
        <f t="shared" si="24"/>
        <v>4351757.3530747304</v>
      </c>
      <c r="AA599" s="313">
        <f t="shared" si="24"/>
        <v>0</v>
      </c>
      <c r="AB599" s="313">
        <f t="shared" si="24"/>
        <v>345880.58314123051</v>
      </c>
      <c r="AC599" s="313">
        <f t="shared" si="24"/>
        <v>0</v>
      </c>
      <c r="AD599" s="313">
        <f t="shared" si="24"/>
        <v>4697637.9362159614</v>
      </c>
      <c r="AE599" s="313">
        <f t="shared" si="24"/>
        <v>0</v>
      </c>
      <c r="AF599" s="313">
        <f t="shared" si="24"/>
        <v>1040664.2647058824</v>
      </c>
      <c r="AG599" s="313">
        <f t="shared" si="24"/>
        <v>0</v>
      </c>
      <c r="AH599" s="313">
        <f t="shared" si="24"/>
        <v>0</v>
      </c>
      <c r="AI599" s="313">
        <f t="shared" si="24"/>
        <v>0</v>
      </c>
      <c r="AJ599" s="313">
        <f t="shared" si="24"/>
        <v>1040664.2647058824</v>
      </c>
      <c r="AK599" s="313">
        <f t="shared" si="24"/>
        <v>3656973.6715100789</v>
      </c>
    </row>
    <row r="600" spans="4:37" x14ac:dyDescent="0.25">
      <c r="D600" s="311">
        <v>9949795</v>
      </c>
      <c r="R600" s="313">
        <f t="shared" si="23"/>
        <v>2.75</v>
      </c>
      <c r="S600" s="313">
        <f t="shared" si="24"/>
        <v>0</v>
      </c>
      <c r="T600" s="313">
        <f t="shared" si="24"/>
        <v>2.75</v>
      </c>
      <c r="U600" s="313">
        <f t="shared" si="24"/>
        <v>0</v>
      </c>
      <c r="V600" s="313">
        <f t="shared" si="24"/>
        <v>0</v>
      </c>
      <c r="W600" s="313">
        <f t="shared" si="24"/>
        <v>0</v>
      </c>
      <c r="X600" s="313">
        <f t="shared" si="24"/>
        <v>0</v>
      </c>
      <c r="Y600" s="313">
        <f t="shared" si="24"/>
        <v>0</v>
      </c>
      <c r="Z600" s="313">
        <f t="shared" si="24"/>
        <v>1383506.6729428335</v>
      </c>
      <c r="AA600" s="313">
        <f t="shared" si="24"/>
        <v>0</v>
      </c>
      <c r="AB600" s="313">
        <f t="shared" si="24"/>
        <v>109962.03510270333</v>
      </c>
      <c r="AC600" s="313">
        <f t="shared" si="24"/>
        <v>0</v>
      </c>
      <c r="AD600" s="313">
        <f t="shared" si="24"/>
        <v>1493468.7080455369</v>
      </c>
      <c r="AE600" s="313">
        <f t="shared" si="24"/>
        <v>0</v>
      </c>
      <c r="AF600" s="313">
        <f t="shared" si="24"/>
        <v>381576.89705882355</v>
      </c>
      <c r="AG600" s="313">
        <f t="shared" si="24"/>
        <v>0</v>
      </c>
      <c r="AH600" s="313">
        <f t="shared" si="24"/>
        <v>0</v>
      </c>
      <c r="AI600" s="313">
        <f t="shared" si="24"/>
        <v>0</v>
      </c>
      <c r="AJ600" s="313">
        <f t="shared" si="24"/>
        <v>381576.89705882355</v>
      </c>
      <c r="AK600" s="313">
        <f t="shared" si="24"/>
        <v>1111891.8109867133</v>
      </c>
    </row>
    <row r="601" spans="4:37" x14ac:dyDescent="0.25">
      <c r="D601" s="311" t="s">
        <v>1808</v>
      </c>
    </row>
  </sheetData>
  <conditionalFormatting sqref="A2:Y2">
    <cfRule type="cellIs" dxfId="21" priority="8" operator="equal">
      <formula>"Změna"</formula>
    </cfRule>
  </conditionalFormatting>
  <conditionalFormatting sqref="I4:I326 M4:M326">
    <cfRule type="cellIs" dxfId="20" priority="4" operator="lessThan">
      <formula>0</formula>
    </cfRule>
    <cfRule type="cellIs" dxfId="19" priority="5" operator="greaterThan">
      <formula>0</formula>
    </cfRule>
  </conditionalFormatting>
  <conditionalFormatting sqref="R3:X326">
    <cfRule type="cellIs" dxfId="18" priority="3" operator="equal">
      <formula>0</formula>
    </cfRule>
  </conditionalFormatting>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623"/>
  <sheetViews>
    <sheetView zoomScale="85" zoomScaleNormal="85" workbookViewId="0">
      <pane xSplit="5" ySplit="3" topLeftCell="AR607" activePane="bottomRight" state="frozen"/>
      <selection pane="topRight" activeCell="E1" sqref="E1"/>
      <selection pane="bottomLeft" activeCell="A4" sqref="A4"/>
      <selection pane="bottomRight" activeCell="BA622" sqref="BA622"/>
    </sheetView>
  </sheetViews>
  <sheetFormatPr defaultRowHeight="15" x14ac:dyDescent="0.25"/>
  <cols>
    <col min="1" max="1" width="15.140625" style="313" bestFit="1" customWidth="1"/>
    <col min="2" max="2" width="15.140625" style="313" customWidth="1"/>
    <col min="3" max="3" width="17.28515625" bestFit="1" customWidth="1"/>
    <col min="29" max="29" width="9.28515625" customWidth="1"/>
    <col min="38" max="38" width="9.7109375" bestFit="1" customWidth="1"/>
    <col min="49" max="49" width="11.7109375" customWidth="1"/>
  </cols>
  <sheetData>
    <row r="1" spans="1:49" x14ac:dyDescent="0.25">
      <c r="F1" s="203">
        <v>1</v>
      </c>
      <c r="G1" s="203">
        <v>2</v>
      </c>
      <c r="H1" s="203">
        <v>3</v>
      </c>
      <c r="I1" s="203">
        <v>4</v>
      </c>
      <c r="J1" s="203">
        <v>5</v>
      </c>
      <c r="K1" s="203">
        <v>6</v>
      </c>
      <c r="L1" s="203">
        <v>7</v>
      </c>
      <c r="M1" s="203">
        <v>8</v>
      </c>
      <c r="N1" s="203">
        <v>9</v>
      </c>
      <c r="O1" s="203">
        <v>10</v>
      </c>
      <c r="P1" s="203">
        <v>11</v>
      </c>
      <c r="Q1" s="203">
        <v>12</v>
      </c>
      <c r="R1" s="203">
        <v>13</v>
      </c>
      <c r="S1" s="203">
        <v>14</v>
      </c>
      <c r="T1" s="203">
        <v>15</v>
      </c>
      <c r="U1" s="203">
        <v>16</v>
      </c>
      <c r="V1" s="203">
        <v>17</v>
      </c>
      <c r="W1" s="203">
        <v>18</v>
      </c>
      <c r="X1" s="203">
        <v>19</v>
      </c>
      <c r="Y1" s="203">
        <v>20</v>
      </c>
      <c r="Z1" s="203">
        <v>21</v>
      </c>
      <c r="AA1" s="203">
        <v>22</v>
      </c>
      <c r="AB1" s="203">
        <v>23</v>
      </c>
      <c r="AC1" s="203">
        <v>24</v>
      </c>
      <c r="AD1" s="203">
        <v>25</v>
      </c>
      <c r="AE1" s="203">
        <v>26</v>
      </c>
      <c r="AF1" s="203">
        <v>27</v>
      </c>
      <c r="AG1" s="203">
        <v>28</v>
      </c>
      <c r="AH1" s="203">
        <v>29</v>
      </c>
      <c r="AI1" s="203">
        <v>30</v>
      </c>
      <c r="AJ1" s="203">
        <v>31</v>
      </c>
      <c r="AK1" s="203">
        <v>32</v>
      </c>
      <c r="AL1" s="203">
        <v>33</v>
      </c>
      <c r="AM1" s="203">
        <v>34</v>
      </c>
      <c r="AN1" s="203">
        <v>35</v>
      </c>
      <c r="AO1" s="203">
        <v>36</v>
      </c>
      <c r="AP1" s="203">
        <v>37</v>
      </c>
      <c r="AQ1" s="203">
        <v>38</v>
      </c>
      <c r="AR1" s="203">
        <v>39</v>
      </c>
      <c r="AS1" s="203">
        <v>40</v>
      </c>
      <c r="AT1" s="203">
        <v>41</v>
      </c>
      <c r="AU1" s="203">
        <v>42</v>
      </c>
      <c r="AV1" s="203">
        <v>43</v>
      </c>
      <c r="AW1" s="203">
        <v>44</v>
      </c>
    </row>
    <row r="2" spans="1:49" ht="15.75" thickBot="1" x14ac:dyDescent="0.3">
      <c r="A2" s="264" t="s">
        <v>1678</v>
      </c>
      <c r="B2" s="264"/>
      <c r="C2" s="264" t="s">
        <v>1675</v>
      </c>
      <c r="D2" s="264" t="s">
        <v>1676</v>
      </c>
      <c r="E2" s="264" t="s">
        <v>1677</v>
      </c>
      <c r="F2" s="264" t="s">
        <v>1678</v>
      </c>
      <c r="G2" s="264"/>
      <c r="H2" s="264" t="s">
        <v>1679</v>
      </c>
      <c r="I2" s="265" t="s">
        <v>1680</v>
      </c>
      <c r="J2" s="265" t="s">
        <v>1681</v>
      </c>
      <c r="K2" s="264" t="s">
        <v>1682</v>
      </c>
      <c r="L2" s="264" t="s">
        <v>1683</v>
      </c>
      <c r="M2" s="264" t="s">
        <v>1684</v>
      </c>
      <c r="N2" s="264" t="s">
        <v>1685</v>
      </c>
      <c r="O2" s="264" t="s">
        <v>1686</v>
      </c>
      <c r="P2" s="264" t="s">
        <v>1687</v>
      </c>
      <c r="Q2" s="264" t="s">
        <v>1688</v>
      </c>
      <c r="R2" s="264" t="s">
        <v>1689</v>
      </c>
      <c r="S2" s="264" t="s">
        <v>1690</v>
      </c>
      <c r="T2" s="264" t="s">
        <v>1691</v>
      </c>
      <c r="U2" s="264" t="s">
        <v>1692</v>
      </c>
      <c r="V2" s="264" t="s">
        <v>1693</v>
      </c>
      <c r="W2" s="264" t="s">
        <v>1694</v>
      </c>
      <c r="X2" s="264" t="s">
        <v>1695</v>
      </c>
      <c r="Y2" s="264" t="s">
        <v>1696</v>
      </c>
      <c r="Z2" s="264" t="s">
        <v>1697</v>
      </c>
      <c r="AA2" s="264" t="s">
        <v>1698</v>
      </c>
      <c r="AB2" s="264" t="s">
        <v>1699</v>
      </c>
      <c r="AD2" t="s">
        <v>1700</v>
      </c>
      <c r="AL2" s="263" t="s">
        <v>174</v>
      </c>
      <c r="AM2" s="263"/>
      <c r="AN2" s="263"/>
      <c r="AO2" s="263"/>
      <c r="AP2" s="263"/>
      <c r="AQ2" s="266"/>
      <c r="AR2" s="263" t="s">
        <v>1701</v>
      </c>
      <c r="AS2" s="263"/>
      <c r="AT2" s="263"/>
      <c r="AU2" s="263"/>
      <c r="AV2" s="263"/>
      <c r="AW2" s="267"/>
    </row>
    <row r="3" spans="1:49" ht="45" customHeight="1" x14ac:dyDescent="0.25">
      <c r="A3" s="269" t="s">
        <v>1039</v>
      </c>
      <c r="B3" s="269"/>
      <c r="C3" s="268" t="s">
        <v>40</v>
      </c>
      <c r="D3" s="269" t="s">
        <v>1040</v>
      </c>
      <c r="E3" s="269" t="s">
        <v>1038</v>
      </c>
      <c r="F3" s="269" t="s">
        <v>1039</v>
      </c>
      <c r="G3" s="269" t="s">
        <v>1714</v>
      </c>
      <c r="H3" s="269" t="s">
        <v>1538</v>
      </c>
      <c r="I3" s="270" t="s">
        <v>1715</v>
      </c>
      <c r="J3" s="270" t="s">
        <v>1716</v>
      </c>
      <c r="K3" s="269" t="s">
        <v>1717</v>
      </c>
      <c r="L3" s="271" t="s">
        <v>604</v>
      </c>
      <c r="M3" s="271" t="s">
        <v>1718</v>
      </c>
      <c r="N3" s="269" t="s">
        <v>1719</v>
      </c>
      <c r="O3" s="269" t="s">
        <v>1720</v>
      </c>
      <c r="P3" s="271" t="s">
        <v>1043</v>
      </c>
      <c r="Q3" s="271" t="s">
        <v>1721</v>
      </c>
      <c r="R3" s="269" t="s">
        <v>1722</v>
      </c>
      <c r="S3" s="269" t="s">
        <v>1723</v>
      </c>
      <c r="T3" s="271" t="s">
        <v>1724</v>
      </c>
      <c r="U3" s="271" t="s">
        <v>1725</v>
      </c>
      <c r="V3" s="269" t="s">
        <v>1726</v>
      </c>
      <c r="W3" s="269" t="s">
        <v>1727</v>
      </c>
      <c r="X3" s="271" t="s">
        <v>1728</v>
      </c>
      <c r="Y3" s="271" t="s">
        <v>1729</v>
      </c>
      <c r="Z3" s="269" t="s">
        <v>1730</v>
      </c>
      <c r="AA3" s="269" t="s">
        <v>1731</v>
      </c>
      <c r="AB3" s="271" t="s">
        <v>1732</v>
      </c>
      <c r="AD3" s="272" t="s">
        <v>1702</v>
      </c>
      <c r="AE3" s="272" t="s">
        <v>1703</v>
      </c>
      <c r="AF3" s="272" t="s">
        <v>1704</v>
      </c>
      <c r="AG3" s="272" t="s">
        <v>1705</v>
      </c>
      <c r="AH3" s="272" t="s">
        <v>1706</v>
      </c>
      <c r="AI3" s="272" t="s">
        <v>1049</v>
      </c>
      <c r="AJ3" s="272" t="s">
        <v>1051</v>
      </c>
      <c r="AL3" s="273" t="s">
        <v>1707</v>
      </c>
      <c r="AM3" s="274" t="s">
        <v>1708</v>
      </c>
      <c r="AN3" s="274" t="s">
        <v>1709</v>
      </c>
      <c r="AO3" s="275" t="s">
        <v>1710</v>
      </c>
      <c r="AP3" s="275" t="s">
        <v>1711</v>
      </c>
      <c r="AQ3" s="276"/>
      <c r="AR3" s="273" t="s">
        <v>1707</v>
      </c>
      <c r="AS3" s="274" t="s">
        <v>1708</v>
      </c>
      <c r="AT3" s="274" t="s">
        <v>1709</v>
      </c>
      <c r="AU3" s="275" t="s">
        <v>1710</v>
      </c>
      <c r="AV3" s="275" t="s">
        <v>1711</v>
      </c>
      <c r="AW3" s="277" t="s">
        <v>1712</v>
      </c>
    </row>
    <row r="4" spans="1:49" x14ac:dyDescent="0.25">
      <c r="A4" s="264">
        <v>8982230</v>
      </c>
      <c r="B4" s="264" t="str">
        <f>VLOOKUP(A4,'Výpočet VP 2020'!$A$4:$B$318,2,FALSE)</f>
        <v>KHK</v>
      </c>
      <c r="C4" s="264" t="s">
        <v>959</v>
      </c>
      <c r="D4" s="264" t="s">
        <v>959</v>
      </c>
      <c r="E4" s="264" t="s">
        <v>1327</v>
      </c>
      <c r="F4" s="264">
        <v>8982230</v>
      </c>
      <c r="G4" s="264" t="s">
        <v>1142</v>
      </c>
      <c r="H4" s="264">
        <v>2019</v>
      </c>
      <c r="I4" s="265"/>
      <c r="J4" s="278"/>
      <c r="K4" s="279">
        <v>1007</v>
      </c>
      <c r="L4" s="279"/>
      <c r="M4" s="280"/>
      <c r="N4" s="280"/>
      <c r="O4" s="279"/>
      <c r="P4" s="281" t="s">
        <v>1177</v>
      </c>
      <c r="Q4" s="264"/>
      <c r="R4" s="282"/>
      <c r="S4" s="281" t="s">
        <v>1733</v>
      </c>
      <c r="T4" s="281">
        <v>15.5</v>
      </c>
      <c r="U4" s="264">
        <v>1</v>
      </c>
      <c r="V4" s="282">
        <v>11</v>
      </c>
      <c r="W4" s="281">
        <v>3.5</v>
      </c>
      <c r="X4" s="281">
        <v>0</v>
      </c>
      <c r="Y4" s="264">
        <v>37</v>
      </c>
      <c r="Z4" s="282">
        <v>0</v>
      </c>
      <c r="AA4" s="281">
        <v>0</v>
      </c>
      <c r="AB4" s="281">
        <v>0</v>
      </c>
      <c r="AD4" s="284">
        <v>15.5</v>
      </c>
      <c r="AE4" s="284">
        <v>1</v>
      </c>
      <c r="AF4" s="284">
        <v>11</v>
      </c>
      <c r="AG4" s="284">
        <v>3.5</v>
      </c>
      <c r="AH4" s="284">
        <v>0</v>
      </c>
      <c r="AI4" s="284">
        <v>37</v>
      </c>
      <c r="AJ4" s="284">
        <v>0</v>
      </c>
      <c r="AL4" s="285">
        <v>7824055.0745526161</v>
      </c>
      <c r="AM4" s="286">
        <v>2837473.4273768477</v>
      </c>
      <c r="AN4" s="287">
        <v>3628798.0606569354</v>
      </c>
      <c r="AO4" s="288">
        <v>2544530.698679328</v>
      </c>
      <c r="AP4" s="289">
        <v>16834857.261265725</v>
      </c>
      <c r="AQ4" s="266"/>
      <c r="AR4" s="285">
        <v>4154007.9507669467</v>
      </c>
      <c r="AS4" s="286">
        <v>1082060.1441223833</v>
      </c>
      <c r="AT4" s="286">
        <v>2624179.6611505123</v>
      </c>
      <c r="AU4" s="290">
        <v>1882451.3295036766</v>
      </c>
      <c r="AV4" s="289">
        <v>9742699.0855435189</v>
      </c>
      <c r="AW4" s="291">
        <v>7092158.175722206</v>
      </c>
    </row>
    <row r="5" spans="1:49" x14ac:dyDescent="0.25">
      <c r="A5" s="264">
        <v>1665958</v>
      </c>
      <c r="B5" s="264" t="str">
        <f>VLOOKUP(A5,'Výpočet VP 2020'!$A$4:$B$318,2,FALSE)</f>
        <v>KHK</v>
      </c>
      <c r="C5" s="264" t="s">
        <v>470</v>
      </c>
      <c r="D5" s="264" t="s">
        <v>470</v>
      </c>
      <c r="E5" s="264" t="s">
        <v>1317</v>
      </c>
      <c r="F5" s="264">
        <v>1665958</v>
      </c>
      <c r="G5" s="264" t="s">
        <v>1068</v>
      </c>
      <c r="H5" s="264">
        <v>2019</v>
      </c>
      <c r="I5" s="265"/>
      <c r="J5" s="278"/>
      <c r="K5" s="279">
        <v>1015</v>
      </c>
      <c r="L5" s="279"/>
      <c r="M5" s="280"/>
      <c r="N5" s="280"/>
      <c r="O5" s="279"/>
      <c r="P5" s="281" t="s">
        <v>1177</v>
      </c>
      <c r="Q5" s="264"/>
      <c r="R5" s="282"/>
      <c r="S5" s="281" t="s">
        <v>1733</v>
      </c>
      <c r="T5" s="281">
        <v>20</v>
      </c>
      <c r="U5" s="264">
        <v>1</v>
      </c>
      <c r="V5" s="282">
        <v>13</v>
      </c>
      <c r="W5" s="281">
        <v>6</v>
      </c>
      <c r="X5" s="281">
        <v>0</v>
      </c>
      <c r="Y5" s="264">
        <v>55</v>
      </c>
      <c r="Z5" s="282">
        <v>0</v>
      </c>
      <c r="AA5" s="281">
        <v>0</v>
      </c>
      <c r="AB5" s="281">
        <v>0</v>
      </c>
      <c r="AD5" s="284">
        <v>20</v>
      </c>
      <c r="AE5" s="284">
        <v>1</v>
      </c>
      <c r="AF5" s="284">
        <v>13</v>
      </c>
      <c r="AG5" s="284">
        <v>6</v>
      </c>
      <c r="AH5" s="284">
        <v>0</v>
      </c>
      <c r="AI5" s="284">
        <v>55</v>
      </c>
      <c r="AJ5" s="284">
        <v>0</v>
      </c>
      <c r="AL5" s="285">
        <v>9128064.2536447197</v>
      </c>
      <c r="AM5" s="286">
        <v>4864240.161217453</v>
      </c>
      <c r="AN5" s="287">
        <v>5394159.2793549038</v>
      </c>
      <c r="AO5" s="288">
        <v>3782410.4980368391</v>
      </c>
      <c r="AP5" s="289">
        <v>23168874.192253917</v>
      </c>
      <c r="AQ5" s="266"/>
      <c r="AR5" s="285">
        <v>6174876.6835724888</v>
      </c>
      <c r="AS5" s="286">
        <v>1608467.7818035427</v>
      </c>
      <c r="AT5" s="286">
        <v>3900807.6044129236</v>
      </c>
      <c r="AU5" s="290">
        <v>2798238.4627757352</v>
      </c>
      <c r="AV5" s="289">
        <v>14482390.53256469</v>
      </c>
      <c r="AW5" s="291">
        <v>8686483.6596892271</v>
      </c>
    </row>
    <row r="6" spans="1:49" x14ac:dyDescent="0.25">
      <c r="A6" s="264">
        <v>3135426</v>
      </c>
      <c r="B6" s="264" t="str">
        <f>VLOOKUP(A6,'Výpočet VP 2020'!$A$4:$B$318,2,FALSE)</f>
        <v>KHK</v>
      </c>
      <c r="C6" s="264" t="s">
        <v>1007</v>
      </c>
      <c r="D6" s="264" t="s">
        <v>1007</v>
      </c>
      <c r="E6" s="264" t="s">
        <v>1317</v>
      </c>
      <c r="F6" s="264">
        <v>3135426</v>
      </c>
      <c r="G6" s="264" t="s">
        <v>1068</v>
      </c>
      <c r="H6" s="264">
        <v>2019</v>
      </c>
      <c r="I6" s="265"/>
      <c r="J6" s="278"/>
      <c r="K6" s="279">
        <v>1015</v>
      </c>
      <c r="L6" s="279"/>
      <c r="M6" s="280"/>
      <c r="N6" s="280"/>
      <c r="O6" s="279"/>
      <c r="P6" s="281" t="s">
        <v>1177</v>
      </c>
      <c r="Q6" s="264"/>
      <c r="R6" s="282"/>
      <c r="S6" s="281" t="s">
        <v>1733</v>
      </c>
      <c r="T6" s="281">
        <v>21.25</v>
      </c>
      <c r="U6" s="264">
        <v>1.25</v>
      </c>
      <c r="V6" s="282">
        <v>14</v>
      </c>
      <c r="W6" s="281">
        <v>6</v>
      </c>
      <c r="X6" s="281">
        <v>0</v>
      </c>
      <c r="Y6" s="264">
        <v>68</v>
      </c>
      <c r="Z6" s="282">
        <v>0</v>
      </c>
      <c r="AA6" s="281">
        <v>0</v>
      </c>
      <c r="AB6" s="281">
        <v>0</v>
      </c>
      <c r="AD6" s="284">
        <v>21.25</v>
      </c>
      <c r="AE6" s="284">
        <v>1.25</v>
      </c>
      <c r="AF6" s="284">
        <v>14</v>
      </c>
      <c r="AG6" s="284">
        <v>6</v>
      </c>
      <c r="AH6" s="284">
        <v>0</v>
      </c>
      <c r="AI6" s="284">
        <v>68</v>
      </c>
      <c r="AJ6" s="284">
        <v>0</v>
      </c>
      <c r="AL6" s="285">
        <v>9943069.9905772824</v>
      </c>
      <c r="AM6" s="286">
        <v>4864240.161217453</v>
      </c>
      <c r="AN6" s="287">
        <v>6669142.381747881</v>
      </c>
      <c r="AO6" s="288">
        <v>4676434.7975728195</v>
      </c>
      <c r="AP6" s="289">
        <v>26152887.33111544</v>
      </c>
      <c r="AQ6" s="266"/>
      <c r="AR6" s="285">
        <v>7634392.990598713</v>
      </c>
      <c r="AS6" s="286">
        <v>1988651.07568438</v>
      </c>
      <c r="AT6" s="286">
        <v>4822816.6745468872</v>
      </c>
      <c r="AU6" s="290">
        <v>3459640.28125</v>
      </c>
      <c r="AV6" s="289">
        <v>17905501.022079982</v>
      </c>
      <c r="AW6" s="291">
        <v>8247386.3090354577</v>
      </c>
    </row>
    <row r="7" spans="1:49" x14ac:dyDescent="0.25">
      <c r="A7" s="264">
        <v>4309907</v>
      </c>
      <c r="B7" s="264" t="str">
        <f>VLOOKUP(A7,'Výpočet VP 2020'!$A$4:$B$318,2,FALSE)</f>
        <v>NZO</v>
      </c>
      <c r="C7" s="264" t="s">
        <v>314</v>
      </c>
      <c r="D7" s="264" t="s">
        <v>312</v>
      </c>
      <c r="E7" s="264" t="s">
        <v>1080</v>
      </c>
      <c r="F7" s="264">
        <v>4309907</v>
      </c>
      <c r="G7" s="264" t="s">
        <v>1058</v>
      </c>
      <c r="H7" s="264">
        <v>2019</v>
      </c>
      <c r="I7" s="265"/>
      <c r="J7" s="278"/>
      <c r="K7" s="279"/>
      <c r="L7" s="279"/>
      <c r="M7" s="280"/>
      <c r="N7" s="280"/>
      <c r="O7" s="279">
        <v>3602</v>
      </c>
      <c r="P7" s="281" t="s">
        <v>1081</v>
      </c>
      <c r="Q7" s="264"/>
      <c r="R7" s="282"/>
      <c r="S7" s="281" t="s">
        <v>1733</v>
      </c>
      <c r="T7" s="281">
        <v>3.3</v>
      </c>
      <c r="U7" s="264">
        <v>0.6</v>
      </c>
      <c r="V7" s="282">
        <v>0</v>
      </c>
      <c r="W7" s="281">
        <v>0</v>
      </c>
      <c r="X7" s="281">
        <v>2.7</v>
      </c>
      <c r="Y7" s="264">
        <v>0</v>
      </c>
      <c r="Z7" s="282">
        <v>12</v>
      </c>
      <c r="AA7" s="281">
        <v>0</v>
      </c>
      <c r="AB7" s="281">
        <v>0</v>
      </c>
      <c r="AD7" s="284">
        <v>3.3</v>
      </c>
      <c r="AE7" s="284">
        <v>0.6</v>
      </c>
      <c r="AF7" s="284">
        <v>0</v>
      </c>
      <c r="AG7" s="284">
        <v>0</v>
      </c>
      <c r="AH7" s="284">
        <v>2.7</v>
      </c>
      <c r="AI7" s="284">
        <v>0</v>
      </c>
      <c r="AJ7" s="284">
        <v>0</v>
      </c>
      <c r="AL7" s="285">
        <v>2197401.511792114</v>
      </c>
      <c r="AM7" s="286">
        <v>0</v>
      </c>
      <c r="AN7" s="287">
        <v>152482.47501890143</v>
      </c>
      <c r="AO7" s="288">
        <v>0</v>
      </c>
      <c r="AP7" s="289">
        <v>2349883.9868110153</v>
      </c>
      <c r="AQ7" s="266"/>
      <c r="AR7" s="285">
        <v>0</v>
      </c>
      <c r="AS7" s="286">
        <v>0</v>
      </c>
      <c r="AT7" s="286">
        <v>0</v>
      </c>
      <c r="AU7" s="290">
        <v>0</v>
      </c>
      <c r="AV7" s="289">
        <v>0</v>
      </c>
      <c r="AW7" s="291">
        <v>2349883.9868110153</v>
      </c>
    </row>
    <row r="8" spans="1:49" x14ac:dyDescent="0.25">
      <c r="A8" s="264">
        <v>5903063</v>
      </c>
      <c r="B8" s="264" t="str">
        <f>VLOOKUP(A8,'Výpočet VP 2020'!$A$4:$B$318,2,FALSE)</f>
        <v>NZO</v>
      </c>
      <c r="C8" s="264" t="s">
        <v>1092</v>
      </c>
      <c r="D8" s="264" t="s">
        <v>776</v>
      </c>
      <c r="E8" s="264" t="s">
        <v>1091</v>
      </c>
      <c r="F8" s="264">
        <v>5903063</v>
      </c>
      <c r="G8" s="264" t="s">
        <v>1058</v>
      </c>
      <c r="H8" s="264">
        <v>2019</v>
      </c>
      <c r="I8" s="265"/>
      <c r="J8" s="278"/>
      <c r="K8" s="279"/>
      <c r="L8" s="279"/>
      <c r="M8" s="280"/>
      <c r="N8" s="280"/>
      <c r="O8" s="279">
        <v>3602</v>
      </c>
      <c r="P8" s="281" t="s">
        <v>1093</v>
      </c>
      <c r="Q8" s="264"/>
      <c r="R8" s="282"/>
      <c r="S8" s="281" t="s">
        <v>1733</v>
      </c>
      <c r="T8" s="281">
        <v>1</v>
      </c>
      <c r="U8" s="264">
        <v>1</v>
      </c>
      <c r="V8" s="282">
        <v>0</v>
      </c>
      <c r="W8" s="281">
        <v>0</v>
      </c>
      <c r="X8" s="281">
        <v>0</v>
      </c>
      <c r="Y8" s="264">
        <v>0</v>
      </c>
      <c r="Z8" s="282">
        <v>13</v>
      </c>
      <c r="AA8" s="281">
        <v>0</v>
      </c>
      <c r="AB8" s="281">
        <v>0</v>
      </c>
      <c r="AD8" s="284">
        <v>1</v>
      </c>
      <c r="AE8" s="284">
        <v>1</v>
      </c>
      <c r="AF8" s="284">
        <v>0</v>
      </c>
      <c r="AG8" s="284">
        <v>0</v>
      </c>
      <c r="AH8" s="284">
        <v>0</v>
      </c>
      <c r="AI8" s="284">
        <v>0</v>
      </c>
      <c r="AJ8" s="284">
        <v>0</v>
      </c>
      <c r="AL8" s="285">
        <v>665879.24599761039</v>
      </c>
      <c r="AM8" s="286">
        <v>0</v>
      </c>
      <c r="AN8" s="287">
        <v>46206.810611788314</v>
      </c>
      <c r="AO8" s="288">
        <v>0</v>
      </c>
      <c r="AP8" s="289">
        <v>712086.05660939869</v>
      </c>
      <c r="AQ8" s="266"/>
      <c r="AR8" s="285">
        <v>0</v>
      </c>
      <c r="AS8" s="286">
        <v>0</v>
      </c>
      <c r="AT8" s="286">
        <v>0</v>
      </c>
      <c r="AU8" s="290">
        <v>0</v>
      </c>
      <c r="AV8" s="289">
        <v>0</v>
      </c>
      <c r="AW8" s="291">
        <v>712086.05660939869</v>
      </c>
    </row>
    <row r="9" spans="1:49" x14ac:dyDescent="0.25">
      <c r="A9" s="264">
        <v>8849001</v>
      </c>
      <c r="B9" s="264" t="str">
        <f>VLOOKUP(A9,'Výpočet VP 2020'!$A$4:$B$318,2,FALSE)</f>
        <v>NZO</v>
      </c>
      <c r="C9" s="264" t="s">
        <v>740</v>
      </c>
      <c r="D9" s="264" t="s">
        <v>733</v>
      </c>
      <c r="E9" s="264" t="s">
        <v>1074</v>
      </c>
      <c r="F9" s="264">
        <v>8849001</v>
      </c>
      <c r="G9" s="264" t="s">
        <v>1058</v>
      </c>
      <c r="H9" s="264">
        <v>2019</v>
      </c>
      <c r="I9" s="265"/>
      <c r="J9" s="278"/>
      <c r="K9" s="279"/>
      <c r="L9" s="279"/>
      <c r="M9" s="280"/>
      <c r="N9" s="280"/>
      <c r="O9" s="279">
        <v>3602</v>
      </c>
      <c r="P9" s="281" t="s">
        <v>1078</v>
      </c>
      <c r="Q9" s="264"/>
      <c r="R9" s="282"/>
      <c r="S9" s="281" t="s">
        <v>1733</v>
      </c>
      <c r="T9" s="281">
        <v>1.8</v>
      </c>
      <c r="U9" s="264">
        <v>1.8</v>
      </c>
      <c r="V9" s="282">
        <v>0</v>
      </c>
      <c r="W9" s="281">
        <v>0</v>
      </c>
      <c r="X9" s="281">
        <v>0</v>
      </c>
      <c r="Y9" s="264">
        <v>0</v>
      </c>
      <c r="Z9" s="282">
        <v>16</v>
      </c>
      <c r="AA9" s="281">
        <v>0</v>
      </c>
      <c r="AB9" s="281">
        <v>0</v>
      </c>
      <c r="AD9" s="284">
        <v>1.8</v>
      </c>
      <c r="AE9" s="284">
        <v>1.8</v>
      </c>
      <c r="AF9" s="284">
        <v>0</v>
      </c>
      <c r="AG9" s="284">
        <v>0</v>
      </c>
      <c r="AH9" s="284">
        <v>0</v>
      </c>
      <c r="AI9" s="284">
        <v>0</v>
      </c>
      <c r="AJ9" s="284">
        <v>0</v>
      </c>
      <c r="AL9" s="285">
        <v>1198582.6427956987</v>
      </c>
      <c r="AM9" s="286">
        <v>0</v>
      </c>
      <c r="AN9" s="287">
        <v>83172.259101218966</v>
      </c>
      <c r="AO9" s="288">
        <v>0</v>
      </c>
      <c r="AP9" s="289">
        <v>1281754.9018969177</v>
      </c>
      <c r="AQ9" s="266"/>
      <c r="AR9" s="285">
        <v>0</v>
      </c>
      <c r="AS9" s="286">
        <v>0</v>
      </c>
      <c r="AT9" s="286">
        <v>0</v>
      </c>
      <c r="AU9" s="290">
        <v>0</v>
      </c>
      <c r="AV9" s="289">
        <v>0</v>
      </c>
      <c r="AW9" s="291">
        <v>1281754.9018969177</v>
      </c>
    </row>
    <row r="10" spans="1:49" x14ac:dyDescent="0.25">
      <c r="A10" s="264">
        <v>2886510</v>
      </c>
      <c r="B10" s="264" t="str">
        <f>VLOOKUP(A10,'Výpočet VP 2020'!$A$4:$B$318,2,FALSE)</f>
        <v>NZO</v>
      </c>
      <c r="C10" s="264" t="s">
        <v>1075</v>
      </c>
      <c r="D10" s="264" t="s">
        <v>776</v>
      </c>
      <c r="E10" s="264" t="s">
        <v>1074</v>
      </c>
      <c r="F10" s="264">
        <v>2886510</v>
      </c>
      <c r="G10" s="264" t="s">
        <v>1058</v>
      </c>
      <c r="H10" s="264">
        <v>2019</v>
      </c>
      <c r="I10" s="265"/>
      <c r="J10" s="278"/>
      <c r="K10" s="279"/>
      <c r="L10" s="279"/>
      <c r="M10" s="280"/>
      <c r="N10" s="280"/>
      <c r="O10" s="279">
        <v>3602</v>
      </c>
      <c r="P10" s="281" t="s">
        <v>1076</v>
      </c>
      <c r="Q10" s="264"/>
      <c r="R10" s="282"/>
      <c r="S10" s="281" t="s">
        <v>1733</v>
      </c>
      <c r="T10" s="281">
        <v>3.25</v>
      </c>
      <c r="U10" s="264">
        <v>2.35</v>
      </c>
      <c r="V10" s="282">
        <v>0</v>
      </c>
      <c r="W10" s="281">
        <v>0</v>
      </c>
      <c r="X10" s="281">
        <v>0.9</v>
      </c>
      <c r="Y10" s="264">
        <v>0</v>
      </c>
      <c r="Z10" s="282">
        <v>36</v>
      </c>
      <c r="AA10" s="281">
        <v>0</v>
      </c>
      <c r="AB10" s="281">
        <v>0</v>
      </c>
      <c r="AD10" s="284">
        <v>3.25</v>
      </c>
      <c r="AE10" s="284">
        <v>2.35</v>
      </c>
      <c r="AF10" s="284">
        <v>0</v>
      </c>
      <c r="AG10" s="284">
        <v>0</v>
      </c>
      <c r="AH10" s="284">
        <v>0.9</v>
      </c>
      <c r="AI10" s="284">
        <v>0</v>
      </c>
      <c r="AJ10" s="284">
        <v>0</v>
      </c>
      <c r="AL10" s="285">
        <v>2164107.5494922339</v>
      </c>
      <c r="AM10" s="286">
        <v>0</v>
      </c>
      <c r="AN10" s="287">
        <v>150172.13448831203</v>
      </c>
      <c r="AO10" s="288">
        <v>0</v>
      </c>
      <c r="AP10" s="289">
        <v>2314279.683980546</v>
      </c>
      <c r="AQ10" s="266"/>
      <c r="AR10" s="285">
        <v>0</v>
      </c>
      <c r="AS10" s="286">
        <v>0</v>
      </c>
      <c r="AT10" s="286">
        <v>0</v>
      </c>
      <c r="AU10" s="290">
        <v>0</v>
      </c>
      <c r="AV10" s="289">
        <v>0</v>
      </c>
      <c r="AW10" s="291">
        <v>2314279.683980546</v>
      </c>
    </row>
    <row r="11" spans="1:49" x14ac:dyDescent="0.25">
      <c r="A11" s="264">
        <v>1201932</v>
      </c>
      <c r="B11" s="264" t="str">
        <f>VLOOKUP(A11,'Výpočet VP 2020'!$A$4:$B$318,2,FALSE)</f>
        <v>NZO</v>
      </c>
      <c r="C11" s="264" t="s">
        <v>594</v>
      </c>
      <c r="D11" s="264" t="s">
        <v>1056</v>
      </c>
      <c r="E11" s="264" t="s">
        <v>1054</v>
      </c>
      <c r="F11" s="264">
        <v>1201932</v>
      </c>
      <c r="G11" s="264" t="s">
        <v>1058</v>
      </c>
      <c r="H11" s="264">
        <v>2019</v>
      </c>
      <c r="I11" s="265"/>
      <c r="J11" s="278"/>
      <c r="K11" s="279"/>
      <c r="L11" s="279"/>
      <c r="M11" s="280"/>
      <c r="N11" s="280"/>
      <c r="O11" s="279">
        <v>3602</v>
      </c>
      <c r="P11" s="281" t="s">
        <v>1059</v>
      </c>
      <c r="Q11" s="264"/>
      <c r="R11" s="282">
        <v>43647</v>
      </c>
      <c r="S11" s="281" t="s">
        <v>1733</v>
      </c>
      <c r="T11" s="281">
        <v>3.65</v>
      </c>
      <c r="U11" s="264">
        <v>2.15</v>
      </c>
      <c r="V11" s="282">
        <v>0</v>
      </c>
      <c r="W11" s="281">
        <v>0</v>
      </c>
      <c r="X11" s="281">
        <v>1.5</v>
      </c>
      <c r="Y11" s="264">
        <v>0</v>
      </c>
      <c r="Z11" s="282">
        <v>20</v>
      </c>
      <c r="AA11" s="281">
        <v>0</v>
      </c>
      <c r="AB11" s="281">
        <v>0</v>
      </c>
      <c r="AD11" s="284">
        <v>3.65</v>
      </c>
      <c r="AE11" s="284">
        <v>2.15</v>
      </c>
      <c r="AF11" s="284">
        <v>0</v>
      </c>
      <c r="AG11" s="284">
        <v>0</v>
      </c>
      <c r="AH11" s="284">
        <v>1.5</v>
      </c>
      <c r="AI11" s="284">
        <v>0</v>
      </c>
      <c r="AJ11" s="284">
        <v>0</v>
      </c>
      <c r="AL11" s="285">
        <v>2430459.247891278</v>
      </c>
      <c r="AM11" s="286">
        <v>0</v>
      </c>
      <c r="AN11" s="287">
        <v>168654.85873302733</v>
      </c>
      <c r="AO11" s="288">
        <v>0</v>
      </c>
      <c r="AP11" s="289">
        <v>2599114.1066243052</v>
      </c>
      <c r="AQ11" s="266"/>
      <c r="AR11" s="285">
        <v>0</v>
      </c>
      <c r="AS11" s="286">
        <v>0</v>
      </c>
      <c r="AT11" s="286">
        <v>0</v>
      </c>
      <c r="AU11" s="290">
        <v>0</v>
      </c>
      <c r="AV11" s="289">
        <v>0</v>
      </c>
      <c r="AW11" s="291">
        <v>2599114.1066243052</v>
      </c>
    </row>
    <row r="12" spans="1:49" x14ac:dyDescent="0.25">
      <c r="A12" s="264">
        <v>5133257</v>
      </c>
      <c r="B12" s="264" t="str">
        <f>VLOOKUP(A12,'Výpočet VP 2020'!$A$4:$B$318,2,FALSE)</f>
        <v>NZO</v>
      </c>
      <c r="C12" s="264" t="s">
        <v>725</v>
      </c>
      <c r="D12" s="264" t="s">
        <v>718</v>
      </c>
      <c r="E12" s="264" t="s">
        <v>1084</v>
      </c>
      <c r="F12" s="264">
        <v>5133257</v>
      </c>
      <c r="G12" s="264" t="s">
        <v>1058</v>
      </c>
      <c r="H12" s="264">
        <v>2019</v>
      </c>
      <c r="I12" s="265"/>
      <c r="J12" s="278"/>
      <c r="K12" s="279"/>
      <c r="L12" s="279"/>
      <c r="M12" s="280"/>
      <c r="N12" s="280"/>
      <c r="O12" s="279">
        <v>3602</v>
      </c>
      <c r="P12" s="281" t="s">
        <v>1076</v>
      </c>
      <c r="Q12" s="264"/>
      <c r="R12" s="282"/>
      <c r="S12" s="281" t="s">
        <v>1733</v>
      </c>
      <c r="T12" s="281">
        <v>2.62</v>
      </c>
      <c r="U12" s="264">
        <v>0.95</v>
      </c>
      <c r="V12" s="282">
        <v>0</v>
      </c>
      <c r="W12" s="281">
        <v>0</v>
      </c>
      <c r="X12" s="281">
        <v>1.67</v>
      </c>
      <c r="Y12" s="264">
        <v>0</v>
      </c>
      <c r="Z12" s="282">
        <v>52</v>
      </c>
      <c r="AA12" s="281">
        <v>0</v>
      </c>
      <c r="AB12" s="281">
        <v>0</v>
      </c>
      <c r="AD12" s="284">
        <v>2.62</v>
      </c>
      <c r="AE12" s="284">
        <v>0.95</v>
      </c>
      <c r="AF12" s="284">
        <v>0</v>
      </c>
      <c r="AG12" s="284">
        <v>0</v>
      </c>
      <c r="AH12" s="284">
        <v>1.67</v>
      </c>
      <c r="AI12" s="284">
        <v>0</v>
      </c>
      <c r="AJ12" s="284">
        <v>0</v>
      </c>
      <c r="AL12" s="285">
        <v>1744603.6245137393</v>
      </c>
      <c r="AM12" s="286">
        <v>0</v>
      </c>
      <c r="AN12" s="287">
        <v>121061.84380288539</v>
      </c>
      <c r="AO12" s="288">
        <v>0</v>
      </c>
      <c r="AP12" s="289">
        <v>1865665.4683166246</v>
      </c>
      <c r="AQ12" s="266"/>
      <c r="AR12" s="285">
        <v>0</v>
      </c>
      <c r="AS12" s="286">
        <v>0</v>
      </c>
      <c r="AT12" s="286">
        <v>0</v>
      </c>
      <c r="AU12" s="290">
        <v>0</v>
      </c>
      <c r="AV12" s="289">
        <v>0</v>
      </c>
      <c r="AW12" s="291">
        <v>1865665.4683166246</v>
      </c>
    </row>
    <row r="13" spans="1:49" x14ac:dyDescent="0.25">
      <c r="A13" s="264">
        <v>9608144</v>
      </c>
      <c r="B13" s="264" t="str">
        <f>VLOOKUP(A13,'Výpočet VP 2020'!$A$4:$B$318,2,FALSE)</f>
        <v>NZO</v>
      </c>
      <c r="C13" s="264" t="s">
        <v>1117</v>
      </c>
      <c r="D13" s="264" t="s">
        <v>1118</v>
      </c>
      <c r="E13" s="264" t="s">
        <v>1116</v>
      </c>
      <c r="F13" s="264">
        <v>9608144</v>
      </c>
      <c r="G13" s="264" t="s">
        <v>1058</v>
      </c>
      <c r="H13" s="264">
        <v>2019</v>
      </c>
      <c r="I13" s="265"/>
      <c r="J13" s="278"/>
      <c r="K13" s="279"/>
      <c r="L13" s="279"/>
      <c r="M13" s="280"/>
      <c r="N13" s="280"/>
      <c r="O13" s="279">
        <v>3602</v>
      </c>
      <c r="P13" s="281" t="s">
        <v>1119</v>
      </c>
      <c r="Q13" s="264"/>
      <c r="R13" s="282"/>
      <c r="S13" s="281" t="s">
        <v>1733</v>
      </c>
      <c r="T13" s="281">
        <v>1.9</v>
      </c>
      <c r="U13" s="264">
        <v>1.9</v>
      </c>
      <c r="V13" s="282">
        <v>0</v>
      </c>
      <c r="W13" s="281">
        <v>0</v>
      </c>
      <c r="X13" s="281">
        <v>0</v>
      </c>
      <c r="Y13" s="264">
        <v>0</v>
      </c>
      <c r="Z13" s="282">
        <v>18</v>
      </c>
      <c r="AA13" s="281">
        <v>1</v>
      </c>
      <c r="AB13" s="281">
        <v>0</v>
      </c>
      <c r="AD13" s="284">
        <v>1.9</v>
      </c>
      <c r="AE13" s="284">
        <v>1.9</v>
      </c>
      <c r="AF13" s="284">
        <v>0</v>
      </c>
      <c r="AG13" s="284">
        <v>0</v>
      </c>
      <c r="AH13" s="284">
        <v>0</v>
      </c>
      <c r="AI13" s="284">
        <v>0</v>
      </c>
      <c r="AJ13" s="284">
        <v>1</v>
      </c>
      <c r="AL13" s="285">
        <v>1265170.5673954596</v>
      </c>
      <c r="AM13" s="286">
        <v>0</v>
      </c>
      <c r="AN13" s="287">
        <v>87792.94016239779</v>
      </c>
      <c r="AO13" s="288">
        <v>0</v>
      </c>
      <c r="AP13" s="289">
        <v>1352963.5075578573</v>
      </c>
      <c r="AQ13" s="266"/>
      <c r="AR13" s="285">
        <v>0</v>
      </c>
      <c r="AS13" s="286">
        <v>0</v>
      </c>
      <c r="AT13" s="286">
        <v>0</v>
      </c>
      <c r="AU13" s="290">
        <v>0</v>
      </c>
      <c r="AV13" s="289">
        <v>0</v>
      </c>
      <c r="AW13" s="291">
        <v>1352963.5075578573</v>
      </c>
    </row>
    <row r="14" spans="1:49" x14ac:dyDescent="0.25">
      <c r="A14" s="264">
        <v>6565086</v>
      </c>
      <c r="B14" s="264" t="str">
        <f>VLOOKUP(A14,'Výpočet VP 2020'!$A$4:$B$318,2,FALSE)</f>
        <v>NZO</v>
      </c>
      <c r="C14" s="264" t="s">
        <v>294</v>
      </c>
      <c r="D14" s="264" t="s">
        <v>290</v>
      </c>
      <c r="E14" s="264" t="s">
        <v>1097</v>
      </c>
      <c r="F14" s="264">
        <v>6565086</v>
      </c>
      <c r="G14" s="264" t="s">
        <v>1058</v>
      </c>
      <c r="H14" s="264">
        <v>2019</v>
      </c>
      <c r="I14" s="265"/>
      <c r="J14" s="278"/>
      <c r="K14" s="279"/>
      <c r="L14" s="279"/>
      <c r="M14" s="280"/>
      <c r="N14" s="280"/>
      <c r="O14" s="279">
        <v>3602</v>
      </c>
      <c r="P14" s="281" t="s">
        <v>1098</v>
      </c>
      <c r="Q14" s="264"/>
      <c r="R14" s="282"/>
      <c r="S14" s="281" t="s">
        <v>1733</v>
      </c>
      <c r="T14" s="281">
        <v>1.39</v>
      </c>
      <c r="U14" s="264">
        <v>1.39</v>
      </c>
      <c r="V14" s="282">
        <v>0</v>
      </c>
      <c r="W14" s="281">
        <v>0</v>
      </c>
      <c r="X14" s="281">
        <v>0</v>
      </c>
      <c r="Y14" s="264">
        <v>0</v>
      </c>
      <c r="Z14" s="282">
        <v>25</v>
      </c>
      <c r="AA14" s="281">
        <v>0</v>
      </c>
      <c r="AB14" s="281">
        <v>0</v>
      </c>
      <c r="AD14" s="284">
        <v>1.39</v>
      </c>
      <c r="AE14" s="284">
        <v>1.39</v>
      </c>
      <c r="AF14" s="284">
        <v>0</v>
      </c>
      <c r="AG14" s="284">
        <v>0</v>
      </c>
      <c r="AH14" s="284">
        <v>0</v>
      </c>
      <c r="AI14" s="284">
        <v>0</v>
      </c>
      <c r="AJ14" s="284">
        <v>0</v>
      </c>
      <c r="AL14" s="285">
        <v>925572.15193667833</v>
      </c>
      <c r="AM14" s="286">
        <v>0</v>
      </c>
      <c r="AN14" s="287">
        <v>64227.466750385749</v>
      </c>
      <c r="AO14" s="288">
        <v>0</v>
      </c>
      <c r="AP14" s="289">
        <v>989799.61868706404</v>
      </c>
      <c r="AQ14" s="266"/>
      <c r="AR14" s="285">
        <v>0</v>
      </c>
      <c r="AS14" s="286">
        <v>0</v>
      </c>
      <c r="AT14" s="286">
        <v>0</v>
      </c>
      <c r="AU14" s="290">
        <v>0</v>
      </c>
      <c r="AV14" s="289">
        <v>0</v>
      </c>
      <c r="AW14" s="291">
        <v>989799.61868706404</v>
      </c>
    </row>
    <row r="15" spans="1:49" x14ac:dyDescent="0.25">
      <c r="A15" s="264">
        <v>5700178</v>
      </c>
      <c r="B15" s="264" t="str">
        <f>VLOOKUP(A15,'Výpočet VP 2020'!$A$4:$B$318,2,FALSE)</f>
        <v>NZO</v>
      </c>
      <c r="C15" s="264" t="s">
        <v>1066</v>
      </c>
      <c r="D15" s="264" t="s">
        <v>1067</v>
      </c>
      <c r="E15" s="264" t="s">
        <v>1089</v>
      </c>
      <c r="F15" s="264">
        <v>5700178</v>
      </c>
      <c r="G15" s="264" t="s">
        <v>1058</v>
      </c>
      <c r="H15" s="264">
        <v>2019</v>
      </c>
      <c r="I15" s="265"/>
      <c r="J15" s="278"/>
      <c r="K15" s="279"/>
      <c r="L15" s="279"/>
      <c r="M15" s="280"/>
      <c r="N15" s="280"/>
      <c r="O15" s="279">
        <v>3602</v>
      </c>
      <c r="P15" s="281" t="s">
        <v>1069</v>
      </c>
      <c r="Q15" s="264"/>
      <c r="R15" s="282"/>
      <c r="S15" s="281" t="s">
        <v>1733</v>
      </c>
      <c r="T15" s="281">
        <v>1.25</v>
      </c>
      <c r="U15" s="264">
        <v>0.75</v>
      </c>
      <c r="V15" s="282">
        <v>0</v>
      </c>
      <c r="W15" s="281">
        <v>0</v>
      </c>
      <c r="X15" s="281">
        <v>0.5</v>
      </c>
      <c r="Y15" s="264">
        <v>0</v>
      </c>
      <c r="Z15" s="282">
        <v>3</v>
      </c>
      <c r="AA15" s="281">
        <v>0</v>
      </c>
      <c r="AB15" s="281">
        <v>0</v>
      </c>
      <c r="AD15" s="284">
        <v>1.25</v>
      </c>
      <c r="AE15" s="284">
        <v>0.75</v>
      </c>
      <c r="AF15" s="284">
        <v>0</v>
      </c>
      <c r="AG15" s="284">
        <v>0</v>
      </c>
      <c r="AH15" s="284">
        <v>0.5</v>
      </c>
      <c r="AI15" s="284">
        <v>0</v>
      </c>
      <c r="AJ15" s="284">
        <v>0</v>
      </c>
      <c r="AL15" s="285">
        <v>832349.05749701301</v>
      </c>
      <c r="AM15" s="286">
        <v>0</v>
      </c>
      <c r="AN15" s="287">
        <v>57758.513264735389</v>
      </c>
      <c r="AO15" s="288">
        <v>0</v>
      </c>
      <c r="AP15" s="289">
        <v>890107.57076174836</v>
      </c>
      <c r="AQ15" s="266"/>
      <c r="AR15" s="285">
        <v>0</v>
      </c>
      <c r="AS15" s="286">
        <v>0</v>
      </c>
      <c r="AT15" s="286">
        <v>0</v>
      </c>
      <c r="AU15" s="290">
        <v>0</v>
      </c>
      <c r="AV15" s="289">
        <v>0</v>
      </c>
      <c r="AW15" s="291">
        <v>890107.57076174836</v>
      </c>
    </row>
    <row r="16" spans="1:49" x14ac:dyDescent="0.25">
      <c r="A16" s="264">
        <v>9684449</v>
      </c>
      <c r="B16" s="264" t="str">
        <f>VLOOKUP(A16,'Výpočet VP 2020'!$A$4:$B$318,2,FALSE)</f>
        <v>NZO</v>
      </c>
      <c r="C16" s="264" t="s">
        <v>327</v>
      </c>
      <c r="D16" s="264" t="s">
        <v>312</v>
      </c>
      <c r="E16" s="264" t="s">
        <v>1120</v>
      </c>
      <c r="F16" s="264">
        <v>9684449</v>
      </c>
      <c r="G16" s="264" t="s">
        <v>1068</v>
      </c>
      <c r="H16" s="264">
        <v>2019</v>
      </c>
      <c r="I16" s="265"/>
      <c r="J16" s="278"/>
      <c r="K16" s="279"/>
      <c r="L16" s="279"/>
      <c r="M16" s="280"/>
      <c r="N16" s="280"/>
      <c r="O16" s="279">
        <v>3604</v>
      </c>
      <c r="P16" s="281" t="s">
        <v>1081</v>
      </c>
      <c r="Q16" s="264"/>
      <c r="R16" s="282"/>
      <c r="S16" s="281" t="s">
        <v>1733</v>
      </c>
      <c r="T16" s="281">
        <v>1.5</v>
      </c>
      <c r="U16" s="264">
        <v>1</v>
      </c>
      <c r="V16" s="282">
        <v>0</v>
      </c>
      <c r="W16" s="281">
        <v>0</v>
      </c>
      <c r="X16" s="281">
        <v>0.5</v>
      </c>
      <c r="Y16" s="264">
        <v>0</v>
      </c>
      <c r="Z16" s="282">
        <v>10</v>
      </c>
      <c r="AA16" s="281">
        <v>0</v>
      </c>
      <c r="AB16" s="281">
        <v>0</v>
      </c>
      <c r="AD16" s="284">
        <v>1.5</v>
      </c>
      <c r="AE16" s="284">
        <v>1</v>
      </c>
      <c r="AF16" s="284">
        <v>0</v>
      </c>
      <c r="AG16" s="284">
        <v>0</v>
      </c>
      <c r="AH16" s="284">
        <v>0.5</v>
      </c>
      <c r="AI16" s="284">
        <v>0</v>
      </c>
      <c r="AJ16" s="284">
        <v>0</v>
      </c>
      <c r="AL16" s="285">
        <v>998818.86899641552</v>
      </c>
      <c r="AM16" s="286">
        <v>0</v>
      </c>
      <c r="AN16" s="287">
        <v>69310.215917682479</v>
      </c>
      <c r="AO16" s="288">
        <v>0</v>
      </c>
      <c r="AP16" s="289">
        <v>1068129.084914098</v>
      </c>
      <c r="AQ16" s="266"/>
      <c r="AR16" s="285">
        <v>0</v>
      </c>
      <c r="AS16" s="286">
        <v>0</v>
      </c>
      <c r="AT16" s="286">
        <v>0</v>
      </c>
      <c r="AU16" s="290">
        <v>0</v>
      </c>
      <c r="AV16" s="289">
        <v>0</v>
      </c>
      <c r="AW16" s="291">
        <v>1068129.084914098</v>
      </c>
    </row>
    <row r="17" spans="1:49" x14ac:dyDescent="0.25">
      <c r="A17" s="264">
        <v>2583952</v>
      </c>
      <c r="B17" s="264" t="str">
        <f>VLOOKUP(A17,'Výpočet VP 2020'!$A$4:$B$318,2,FALSE)</f>
        <v>NZO</v>
      </c>
      <c r="C17" s="264" t="s">
        <v>407</v>
      </c>
      <c r="D17" s="264" t="s">
        <v>1071</v>
      </c>
      <c r="E17" s="264" t="s">
        <v>1070</v>
      </c>
      <c r="F17" s="264">
        <v>2583952</v>
      </c>
      <c r="G17" s="264" t="s">
        <v>1068</v>
      </c>
      <c r="H17" s="264">
        <v>2019</v>
      </c>
      <c r="I17" s="265"/>
      <c r="J17" s="278"/>
      <c r="K17" s="279"/>
      <c r="L17" s="279"/>
      <c r="M17" s="280"/>
      <c r="N17" s="280"/>
      <c r="O17" s="279">
        <v>3604</v>
      </c>
      <c r="P17" s="281" t="s">
        <v>1064</v>
      </c>
      <c r="Q17" s="264"/>
      <c r="R17" s="282"/>
      <c r="S17" s="281" t="s">
        <v>1733</v>
      </c>
      <c r="T17" s="281">
        <v>1</v>
      </c>
      <c r="U17" s="264">
        <v>1</v>
      </c>
      <c r="V17" s="282">
        <v>0</v>
      </c>
      <c r="W17" s="281">
        <v>0</v>
      </c>
      <c r="X17" s="281">
        <v>0</v>
      </c>
      <c r="Y17" s="264">
        <v>0</v>
      </c>
      <c r="Z17" s="282">
        <v>9</v>
      </c>
      <c r="AA17" s="281">
        <v>0</v>
      </c>
      <c r="AB17" s="281">
        <v>0</v>
      </c>
      <c r="AD17" s="284">
        <v>1</v>
      </c>
      <c r="AE17" s="284">
        <v>1</v>
      </c>
      <c r="AF17" s="284">
        <v>0</v>
      </c>
      <c r="AG17" s="284">
        <v>0</v>
      </c>
      <c r="AH17" s="284">
        <v>0</v>
      </c>
      <c r="AI17" s="284">
        <v>0</v>
      </c>
      <c r="AJ17" s="284">
        <v>0</v>
      </c>
      <c r="AL17" s="285">
        <v>665879.24599761039</v>
      </c>
      <c r="AM17" s="286">
        <v>0</v>
      </c>
      <c r="AN17" s="287">
        <v>46206.810611788314</v>
      </c>
      <c r="AO17" s="288">
        <v>0</v>
      </c>
      <c r="AP17" s="289">
        <v>712086.05660939869</v>
      </c>
      <c r="AQ17" s="266"/>
      <c r="AR17" s="285">
        <v>0</v>
      </c>
      <c r="AS17" s="286">
        <v>0</v>
      </c>
      <c r="AT17" s="286">
        <v>0</v>
      </c>
      <c r="AU17" s="290">
        <v>0</v>
      </c>
      <c r="AV17" s="289">
        <v>0</v>
      </c>
      <c r="AW17" s="291">
        <v>712086.05660939869</v>
      </c>
    </row>
    <row r="18" spans="1:49" x14ac:dyDescent="0.25">
      <c r="A18" s="264">
        <v>9503685</v>
      </c>
      <c r="B18" s="264" t="str">
        <f>VLOOKUP(A18,'Výpočet VP 2020'!$A$4:$B$318,2,FALSE)</f>
        <v>NZO</v>
      </c>
      <c r="C18" s="264" t="s">
        <v>1115</v>
      </c>
      <c r="D18" s="264" t="s">
        <v>553</v>
      </c>
      <c r="E18" s="264" t="s">
        <v>1111</v>
      </c>
      <c r="F18" s="264">
        <v>9503685</v>
      </c>
      <c r="G18" s="264" t="s">
        <v>1068</v>
      </c>
      <c r="H18" s="264">
        <v>2019</v>
      </c>
      <c r="I18" s="265"/>
      <c r="J18" s="278"/>
      <c r="K18" s="279"/>
      <c r="L18" s="279"/>
      <c r="M18" s="280"/>
      <c r="N18" s="280"/>
      <c r="O18" s="279">
        <v>3604</v>
      </c>
      <c r="P18" s="281" t="s">
        <v>1078</v>
      </c>
      <c r="Q18" s="264"/>
      <c r="R18" s="282"/>
      <c r="S18" s="281" t="s">
        <v>1733</v>
      </c>
      <c r="T18" s="281">
        <v>0.6</v>
      </c>
      <c r="U18" s="264">
        <v>0.6</v>
      </c>
      <c r="V18" s="282">
        <v>0</v>
      </c>
      <c r="W18" s="281">
        <v>0</v>
      </c>
      <c r="X18" s="281">
        <v>0</v>
      </c>
      <c r="Y18" s="264">
        <v>0</v>
      </c>
      <c r="Z18" s="282">
        <v>14</v>
      </c>
      <c r="AA18" s="281">
        <v>0</v>
      </c>
      <c r="AB18" s="281">
        <v>0</v>
      </c>
      <c r="AD18" s="284">
        <v>0.6</v>
      </c>
      <c r="AE18" s="284">
        <v>0.6</v>
      </c>
      <c r="AF18" s="284">
        <v>0</v>
      </c>
      <c r="AG18" s="284">
        <v>0</v>
      </c>
      <c r="AH18" s="284">
        <v>0</v>
      </c>
      <c r="AI18" s="284">
        <v>0</v>
      </c>
      <c r="AJ18" s="284">
        <v>0</v>
      </c>
      <c r="AL18" s="285">
        <v>399527.54759856622</v>
      </c>
      <c r="AM18" s="286">
        <v>0</v>
      </c>
      <c r="AN18" s="287">
        <v>27724.086367072989</v>
      </c>
      <c r="AO18" s="288">
        <v>0</v>
      </c>
      <c r="AP18" s="289">
        <v>427251.63396563922</v>
      </c>
      <c r="AQ18" s="266"/>
      <c r="AR18" s="285">
        <v>0</v>
      </c>
      <c r="AS18" s="286">
        <v>0</v>
      </c>
      <c r="AT18" s="286">
        <v>0</v>
      </c>
      <c r="AU18" s="290">
        <v>0</v>
      </c>
      <c r="AV18" s="289">
        <v>0</v>
      </c>
      <c r="AW18" s="291">
        <v>427251.63396563922</v>
      </c>
    </row>
    <row r="19" spans="1:49" x14ac:dyDescent="0.25">
      <c r="A19" s="264">
        <v>8984742</v>
      </c>
      <c r="B19" s="264" t="str">
        <f>VLOOKUP(A19,'Výpočet VP 2020'!$A$4:$B$318,2,FALSE)</f>
        <v>NZO</v>
      </c>
      <c r="C19" s="264" t="s">
        <v>744</v>
      </c>
      <c r="D19" s="264" t="s">
        <v>733</v>
      </c>
      <c r="E19" s="264" t="s">
        <v>1111</v>
      </c>
      <c r="F19" s="264">
        <v>8984742</v>
      </c>
      <c r="G19" s="264" t="s">
        <v>1068</v>
      </c>
      <c r="H19" s="264">
        <v>2019</v>
      </c>
      <c r="I19" s="265"/>
      <c r="J19" s="278"/>
      <c r="K19" s="279"/>
      <c r="L19" s="279"/>
      <c r="M19" s="280"/>
      <c r="N19" s="280"/>
      <c r="O19" s="279">
        <v>3604</v>
      </c>
      <c r="P19" s="281" t="s">
        <v>1078</v>
      </c>
      <c r="Q19" s="264"/>
      <c r="R19" s="282"/>
      <c r="S19" s="281" t="s">
        <v>1733</v>
      </c>
      <c r="T19" s="281">
        <v>1.5</v>
      </c>
      <c r="U19" s="264">
        <v>1</v>
      </c>
      <c r="V19" s="282">
        <v>0</v>
      </c>
      <c r="W19" s="281">
        <v>0</v>
      </c>
      <c r="X19" s="281">
        <v>0.5</v>
      </c>
      <c r="Y19" s="264">
        <v>0</v>
      </c>
      <c r="Z19" s="282">
        <v>8</v>
      </c>
      <c r="AA19" s="281">
        <v>0</v>
      </c>
      <c r="AB19" s="281">
        <v>0</v>
      </c>
      <c r="AD19" s="284">
        <v>1.5</v>
      </c>
      <c r="AE19" s="284">
        <v>1</v>
      </c>
      <c r="AF19" s="284">
        <v>0</v>
      </c>
      <c r="AG19" s="284">
        <v>0</v>
      </c>
      <c r="AH19" s="284">
        <v>0.5</v>
      </c>
      <c r="AI19" s="284">
        <v>0</v>
      </c>
      <c r="AJ19" s="284">
        <v>0</v>
      </c>
      <c r="AL19" s="285">
        <v>998818.86899641552</v>
      </c>
      <c r="AM19" s="286">
        <v>0</v>
      </c>
      <c r="AN19" s="287">
        <v>69310.215917682479</v>
      </c>
      <c r="AO19" s="288">
        <v>0</v>
      </c>
      <c r="AP19" s="289">
        <v>1068129.084914098</v>
      </c>
      <c r="AQ19" s="266"/>
      <c r="AR19" s="285">
        <v>0</v>
      </c>
      <c r="AS19" s="286">
        <v>0</v>
      </c>
      <c r="AT19" s="286">
        <v>0</v>
      </c>
      <c r="AU19" s="290">
        <v>0</v>
      </c>
      <c r="AV19" s="289">
        <v>0</v>
      </c>
      <c r="AW19" s="291">
        <v>1068129.084914098</v>
      </c>
    </row>
    <row r="20" spans="1:49" x14ac:dyDescent="0.25">
      <c r="A20" s="264">
        <v>6565086</v>
      </c>
      <c r="B20" s="264" t="str">
        <f>VLOOKUP(A20,'Výpočet VP 2020'!$A$4:$B$318,2,FALSE)</f>
        <v>NZO</v>
      </c>
      <c r="C20" s="264" t="s">
        <v>294</v>
      </c>
      <c r="D20" s="264" t="s">
        <v>290</v>
      </c>
      <c r="E20" s="264" t="s">
        <v>1099</v>
      </c>
      <c r="F20" s="264">
        <v>6565086</v>
      </c>
      <c r="G20" s="264" t="s">
        <v>1068</v>
      </c>
      <c r="H20" s="264">
        <v>2019</v>
      </c>
      <c r="I20" s="265"/>
      <c r="J20" s="278"/>
      <c r="K20" s="279"/>
      <c r="L20" s="279"/>
      <c r="M20" s="280"/>
      <c r="N20" s="280"/>
      <c r="O20" s="279">
        <v>3604</v>
      </c>
      <c r="P20" s="281" t="s">
        <v>1098</v>
      </c>
      <c r="Q20" s="264"/>
      <c r="R20" s="282"/>
      <c r="S20" s="281" t="s">
        <v>1733</v>
      </c>
      <c r="T20" s="281">
        <v>1.1000000000000001</v>
      </c>
      <c r="U20" s="264">
        <v>1.1000000000000001</v>
      </c>
      <c r="V20" s="282">
        <v>0</v>
      </c>
      <c r="W20" s="281">
        <v>0</v>
      </c>
      <c r="X20" s="281">
        <v>0</v>
      </c>
      <c r="Y20" s="264">
        <v>0</v>
      </c>
      <c r="Z20" s="282">
        <v>25</v>
      </c>
      <c r="AA20" s="281">
        <v>0</v>
      </c>
      <c r="AB20" s="281">
        <v>0</v>
      </c>
      <c r="AD20" s="284">
        <v>1.1000000000000001</v>
      </c>
      <c r="AE20" s="284">
        <v>1.1000000000000001</v>
      </c>
      <c r="AF20" s="284">
        <v>0</v>
      </c>
      <c r="AG20" s="284">
        <v>0</v>
      </c>
      <c r="AH20" s="284">
        <v>0</v>
      </c>
      <c r="AI20" s="284">
        <v>0</v>
      </c>
      <c r="AJ20" s="284">
        <v>0</v>
      </c>
      <c r="AL20" s="285">
        <v>732467.17059737153</v>
      </c>
      <c r="AM20" s="286">
        <v>0</v>
      </c>
      <c r="AN20" s="287">
        <v>50827.491672967153</v>
      </c>
      <c r="AO20" s="288">
        <v>0</v>
      </c>
      <c r="AP20" s="289">
        <v>783294.66227033874</v>
      </c>
      <c r="AQ20" s="266"/>
      <c r="AR20" s="285">
        <v>0</v>
      </c>
      <c r="AS20" s="286">
        <v>0</v>
      </c>
      <c r="AT20" s="286">
        <v>0</v>
      </c>
      <c r="AU20" s="290">
        <v>0</v>
      </c>
      <c r="AV20" s="289">
        <v>0</v>
      </c>
      <c r="AW20" s="291">
        <v>783294.66227033874</v>
      </c>
    </row>
    <row r="21" spans="1:49" x14ac:dyDescent="0.25">
      <c r="A21" s="264">
        <v>9223303</v>
      </c>
      <c r="B21" s="264" t="str">
        <f>VLOOKUP(A21,'Výpočet VP 2020'!$A$4:$B$318,2,FALSE)</f>
        <v>NZO</v>
      </c>
      <c r="C21" s="264" t="s">
        <v>1112</v>
      </c>
      <c r="D21" s="264" t="s">
        <v>1113</v>
      </c>
      <c r="E21" s="264" t="s">
        <v>1099</v>
      </c>
      <c r="F21" s="264">
        <v>9223303</v>
      </c>
      <c r="G21" s="264" t="s">
        <v>1068</v>
      </c>
      <c r="H21" s="264">
        <v>2019</v>
      </c>
      <c r="I21" s="265"/>
      <c r="J21" s="278"/>
      <c r="K21" s="279"/>
      <c r="L21" s="279"/>
      <c r="M21" s="280"/>
      <c r="N21" s="280"/>
      <c r="O21" s="279">
        <v>3604</v>
      </c>
      <c r="P21" s="281" t="s">
        <v>1114</v>
      </c>
      <c r="Q21" s="264"/>
      <c r="R21" s="282"/>
      <c r="S21" s="281" t="s">
        <v>1733</v>
      </c>
      <c r="T21" s="281">
        <v>0.4</v>
      </c>
      <c r="U21" s="264">
        <v>0.4</v>
      </c>
      <c r="V21" s="282">
        <v>0</v>
      </c>
      <c r="W21" s="281">
        <v>0</v>
      </c>
      <c r="X21" s="281">
        <v>0</v>
      </c>
      <c r="Y21" s="264">
        <v>0</v>
      </c>
      <c r="Z21" s="282">
        <v>10</v>
      </c>
      <c r="AA21" s="281">
        <v>0</v>
      </c>
      <c r="AB21" s="281">
        <v>0</v>
      </c>
      <c r="AD21" s="284">
        <v>0.4</v>
      </c>
      <c r="AE21" s="284">
        <v>0.4</v>
      </c>
      <c r="AF21" s="284">
        <v>0</v>
      </c>
      <c r="AG21" s="284">
        <v>0</v>
      </c>
      <c r="AH21" s="284">
        <v>0</v>
      </c>
      <c r="AI21" s="284">
        <v>0</v>
      </c>
      <c r="AJ21" s="284">
        <v>0</v>
      </c>
      <c r="AL21" s="285">
        <v>266351.69839904417</v>
      </c>
      <c r="AM21" s="286">
        <v>0</v>
      </c>
      <c r="AN21" s="287">
        <v>18482.724244715326</v>
      </c>
      <c r="AO21" s="288">
        <v>0</v>
      </c>
      <c r="AP21" s="289">
        <v>284834.42264375952</v>
      </c>
      <c r="AQ21" s="266"/>
      <c r="AR21" s="285">
        <v>0</v>
      </c>
      <c r="AS21" s="286">
        <v>0</v>
      </c>
      <c r="AT21" s="286">
        <v>0</v>
      </c>
      <c r="AU21" s="290">
        <v>0</v>
      </c>
      <c r="AV21" s="289">
        <v>0</v>
      </c>
      <c r="AW21" s="291">
        <v>284834.42264375952</v>
      </c>
    </row>
    <row r="22" spans="1:49" x14ac:dyDescent="0.25">
      <c r="A22" s="264">
        <v>2093343</v>
      </c>
      <c r="B22" s="264" t="str">
        <f>VLOOKUP(A22,'Výpočet VP 2020'!$A$4:$B$318,2,FALSE)</f>
        <v>NZO</v>
      </c>
      <c r="C22" s="264" t="s">
        <v>1066</v>
      </c>
      <c r="D22" s="264" t="s">
        <v>1067</v>
      </c>
      <c r="E22" s="264" t="s">
        <v>1065</v>
      </c>
      <c r="F22" s="264">
        <v>2093343</v>
      </c>
      <c r="G22" s="264" t="s">
        <v>1068</v>
      </c>
      <c r="H22" s="264">
        <v>2019</v>
      </c>
      <c r="I22" s="265"/>
      <c r="J22" s="278"/>
      <c r="K22" s="279"/>
      <c r="L22" s="279"/>
      <c r="M22" s="280"/>
      <c r="N22" s="280"/>
      <c r="O22" s="279">
        <v>3604</v>
      </c>
      <c r="P22" s="281" t="s">
        <v>1069</v>
      </c>
      <c r="Q22" s="264"/>
      <c r="R22" s="282"/>
      <c r="S22" s="281" t="s">
        <v>1733</v>
      </c>
      <c r="T22" s="281">
        <v>1.1499999999999999</v>
      </c>
      <c r="U22" s="264">
        <v>1.1499999999999999</v>
      </c>
      <c r="V22" s="282">
        <v>0</v>
      </c>
      <c r="W22" s="281">
        <v>0</v>
      </c>
      <c r="X22" s="281">
        <v>0</v>
      </c>
      <c r="Y22" s="264">
        <v>0</v>
      </c>
      <c r="Z22" s="282">
        <v>4</v>
      </c>
      <c r="AA22" s="281">
        <v>0</v>
      </c>
      <c r="AB22" s="281">
        <v>0</v>
      </c>
      <c r="AD22" s="284">
        <v>1.1499999999999999</v>
      </c>
      <c r="AE22" s="284">
        <v>1.1499999999999999</v>
      </c>
      <c r="AF22" s="284">
        <v>0</v>
      </c>
      <c r="AG22" s="284">
        <v>0</v>
      </c>
      <c r="AH22" s="284">
        <v>0</v>
      </c>
      <c r="AI22" s="284">
        <v>0</v>
      </c>
      <c r="AJ22" s="284">
        <v>0</v>
      </c>
      <c r="AL22" s="285">
        <v>765761.13289725187</v>
      </c>
      <c r="AM22" s="286">
        <v>0</v>
      </c>
      <c r="AN22" s="287">
        <v>53137.832203556558</v>
      </c>
      <c r="AO22" s="288">
        <v>0</v>
      </c>
      <c r="AP22" s="289">
        <v>818898.96510080842</v>
      </c>
      <c r="AQ22" s="266"/>
      <c r="AR22" s="285">
        <v>0</v>
      </c>
      <c r="AS22" s="286">
        <v>0</v>
      </c>
      <c r="AT22" s="286">
        <v>0</v>
      </c>
      <c r="AU22" s="290">
        <v>0</v>
      </c>
      <c r="AV22" s="289">
        <v>0</v>
      </c>
      <c r="AW22" s="291">
        <v>818898.96510080842</v>
      </c>
    </row>
    <row r="23" spans="1:49" x14ac:dyDescent="0.25">
      <c r="A23" s="264">
        <v>6466112</v>
      </c>
      <c r="B23" s="264" t="str">
        <f>VLOOKUP(A23,'Výpočet VP 2020'!$A$4:$B$318,2,FALSE)</f>
        <v>NZO</v>
      </c>
      <c r="C23" s="264" t="s">
        <v>760</v>
      </c>
      <c r="D23" s="264" t="s">
        <v>760</v>
      </c>
      <c r="E23" s="264" t="s">
        <v>1096</v>
      </c>
      <c r="F23" s="264">
        <v>6466112</v>
      </c>
      <c r="G23" s="264" t="s">
        <v>1087</v>
      </c>
      <c r="H23" s="264">
        <v>2019</v>
      </c>
      <c r="I23" s="265"/>
      <c r="J23" s="278"/>
      <c r="K23" s="279"/>
      <c r="L23" s="279"/>
      <c r="M23" s="280">
        <v>86</v>
      </c>
      <c r="N23" s="280"/>
      <c r="O23" s="279"/>
      <c r="P23" s="281" t="s">
        <v>1093</v>
      </c>
      <c r="Q23" s="264"/>
      <c r="R23" s="282"/>
      <c r="S23" s="281" t="s">
        <v>1733</v>
      </c>
      <c r="T23" s="281">
        <v>0.4</v>
      </c>
      <c r="U23" s="264">
        <v>0.2</v>
      </c>
      <c r="V23" s="282">
        <v>0</v>
      </c>
      <c r="W23" s="281">
        <v>0.2</v>
      </c>
      <c r="X23" s="281">
        <v>0</v>
      </c>
      <c r="Y23" s="264">
        <v>0</v>
      </c>
      <c r="Z23" s="282">
        <v>12</v>
      </c>
      <c r="AA23" s="281">
        <v>0</v>
      </c>
      <c r="AB23" s="281">
        <v>0</v>
      </c>
      <c r="AD23" s="284">
        <v>0.4</v>
      </c>
      <c r="AE23" s="284">
        <v>0.2</v>
      </c>
      <c r="AF23" s="284">
        <v>0</v>
      </c>
      <c r="AG23" s="284">
        <v>0.2</v>
      </c>
      <c r="AH23" s="284">
        <v>0</v>
      </c>
      <c r="AI23" s="284">
        <v>0</v>
      </c>
      <c r="AJ23" s="284">
        <v>0</v>
      </c>
      <c r="AL23" s="285">
        <v>266351.69839904417</v>
      </c>
      <c r="AM23" s="286">
        <v>0</v>
      </c>
      <c r="AN23" s="287">
        <v>18482.724244715326</v>
      </c>
      <c r="AO23" s="288">
        <v>0</v>
      </c>
      <c r="AP23" s="289">
        <v>284834.42264375952</v>
      </c>
      <c r="AQ23" s="266"/>
      <c r="AR23" s="285">
        <v>0</v>
      </c>
      <c r="AS23" s="286">
        <v>0</v>
      </c>
      <c r="AT23" s="286">
        <v>0</v>
      </c>
      <c r="AU23" s="290">
        <v>0</v>
      </c>
      <c r="AV23" s="289">
        <v>0</v>
      </c>
      <c r="AW23" s="291">
        <v>284834.42264375952</v>
      </c>
    </row>
    <row r="24" spans="1:49" x14ac:dyDescent="0.25">
      <c r="A24" s="264">
        <v>5646573</v>
      </c>
      <c r="B24" s="264" t="str">
        <f>VLOOKUP(A24,'Výpočet VP 2020'!$A$4:$B$318,2,FALSE)</f>
        <v>NZO</v>
      </c>
      <c r="C24" s="264" t="s">
        <v>398</v>
      </c>
      <c r="D24" s="264" t="s">
        <v>396</v>
      </c>
      <c r="E24" s="264" t="s">
        <v>1085</v>
      </c>
      <c r="F24" s="264">
        <v>5646573</v>
      </c>
      <c r="G24" s="264" t="s">
        <v>1087</v>
      </c>
      <c r="H24" s="264">
        <v>2019</v>
      </c>
      <c r="I24" s="265"/>
      <c r="J24" s="278"/>
      <c r="K24" s="279"/>
      <c r="L24" s="279"/>
      <c r="M24" s="280">
        <v>86</v>
      </c>
      <c r="N24" s="280"/>
      <c r="O24" s="279"/>
      <c r="P24" s="281" t="s">
        <v>1088</v>
      </c>
      <c r="Q24" s="264"/>
      <c r="R24" s="282"/>
      <c r="S24" s="281" t="s">
        <v>1733</v>
      </c>
      <c r="T24" s="281">
        <v>2.1</v>
      </c>
      <c r="U24" s="264">
        <v>2.1</v>
      </c>
      <c r="V24" s="282">
        <v>0</v>
      </c>
      <c r="W24" s="281">
        <v>0</v>
      </c>
      <c r="X24" s="281">
        <v>0</v>
      </c>
      <c r="Y24" s="264">
        <v>0</v>
      </c>
      <c r="Z24" s="282">
        <v>12</v>
      </c>
      <c r="AA24" s="281">
        <v>0</v>
      </c>
      <c r="AB24" s="281">
        <v>0</v>
      </c>
      <c r="AD24" s="284">
        <v>2.1</v>
      </c>
      <c r="AE24" s="284">
        <v>2.1</v>
      </c>
      <c r="AF24" s="284">
        <v>0</v>
      </c>
      <c r="AG24" s="284">
        <v>0</v>
      </c>
      <c r="AH24" s="284">
        <v>0</v>
      </c>
      <c r="AI24" s="284">
        <v>0</v>
      </c>
      <c r="AJ24" s="284">
        <v>0</v>
      </c>
      <c r="AL24" s="285">
        <v>1398346.4165949819</v>
      </c>
      <c r="AM24" s="286">
        <v>0</v>
      </c>
      <c r="AN24" s="287">
        <v>97034.302284755468</v>
      </c>
      <c r="AO24" s="288">
        <v>0</v>
      </c>
      <c r="AP24" s="289">
        <v>1495380.7188797374</v>
      </c>
      <c r="AQ24" s="266"/>
      <c r="AR24" s="285">
        <v>0</v>
      </c>
      <c r="AS24" s="286">
        <v>0</v>
      </c>
      <c r="AT24" s="286">
        <v>0</v>
      </c>
      <c r="AU24" s="290">
        <v>0</v>
      </c>
      <c r="AV24" s="289">
        <v>0</v>
      </c>
      <c r="AW24" s="291">
        <v>1495380.7188797374</v>
      </c>
    </row>
    <row r="25" spans="1:49" x14ac:dyDescent="0.25">
      <c r="A25" s="264">
        <v>9775815</v>
      </c>
      <c r="B25" s="264" t="str">
        <f>VLOOKUP(A25,'Výpočet VP 2020'!$A$4:$B$318,2,FALSE)</f>
        <v>NZO</v>
      </c>
      <c r="C25" s="264" t="s">
        <v>873</v>
      </c>
      <c r="D25" s="264" t="s">
        <v>871</v>
      </c>
      <c r="E25" s="264" t="s">
        <v>1121</v>
      </c>
      <c r="F25" s="264">
        <v>9775815</v>
      </c>
      <c r="G25" s="264" t="s">
        <v>1087</v>
      </c>
      <c r="H25" s="264">
        <v>2019</v>
      </c>
      <c r="I25" s="265"/>
      <c r="J25" s="278"/>
      <c r="K25" s="279"/>
      <c r="L25" s="279"/>
      <c r="M25" s="280">
        <v>86</v>
      </c>
      <c r="N25" s="280"/>
      <c r="O25" s="279"/>
      <c r="P25" s="281" t="s">
        <v>1122</v>
      </c>
      <c r="Q25" s="264"/>
      <c r="R25" s="282"/>
      <c r="S25" s="281" t="s">
        <v>1733</v>
      </c>
      <c r="T25" s="281">
        <v>1.1499999999999999</v>
      </c>
      <c r="U25" s="264">
        <v>0.75</v>
      </c>
      <c r="V25" s="282">
        <v>0</v>
      </c>
      <c r="W25" s="281">
        <v>0.2</v>
      </c>
      <c r="X25" s="281">
        <v>0.2</v>
      </c>
      <c r="Y25" s="264">
        <v>0</v>
      </c>
      <c r="Z25" s="282">
        <v>7</v>
      </c>
      <c r="AA25" s="281">
        <v>0</v>
      </c>
      <c r="AB25" s="281">
        <v>0</v>
      </c>
      <c r="AD25" s="284">
        <v>1.1499999999999999</v>
      </c>
      <c r="AE25" s="284">
        <v>0.75</v>
      </c>
      <c r="AF25" s="284">
        <v>0</v>
      </c>
      <c r="AG25" s="284">
        <v>0.2</v>
      </c>
      <c r="AH25" s="284">
        <v>0.2</v>
      </c>
      <c r="AI25" s="284">
        <v>0</v>
      </c>
      <c r="AJ25" s="284">
        <v>0</v>
      </c>
      <c r="AL25" s="285">
        <v>765761.13289725187</v>
      </c>
      <c r="AM25" s="286">
        <v>0</v>
      </c>
      <c r="AN25" s="287">
        <v>53137.832203556558</v>
      </c>
      <c r="AO25" s="288">
        <v>0</v>
      </c>
      <c r="AP25" s="289">
        <v>818898.96510080842</v>
      </c>
      <c r="AQ25" s="266"/>
      <c r="AR25" s="285">
        <v>0</v>
      </c>
      <c r="AS25" s="286">
        <v>0</v>
      </c>
      <c r="AT25" s="286">
        <v>0</v>
      </c>
      <c r="AU25" s="290">
        <v>0</v>
      </c>
      <c r="AV25" s="289">
        <v>0</v>
      </c>
      <c r="AW25" s="291">
        <v>818898.96510080842</v>
      </c>
    </row>
    <row r="26" spans="1:49" x14ac:dyDescent="0.25">
      <c r="A26" s="264">
        <v>8299792</v>
      </c>
      <c r="B26" s="264" t="str">
        <f>VLOOKUP(A26,'Výpočet VP 2020'!$A$4:$B$318,2,FALSE)</f>
        <v>NZO</v>
      </c>
      <c r="C26" s="264" t="s">
        <v>1108</v>
      </c>
      <c r="D26" s="264" t="s">
        <v>585</v>
      </c>
      <c r="E26" s="264" t="s">
        <v>1107</v>
      </c>
      <c r="F26" s="264">
        <v>8299792</v>
      </c>
      <c r="G26" s="264" t="s">
        <v>1087</v>
      </c>
      <c r="H26" s="264">
        <v>2019</v>
      </c>
      <c r="I26" s="265"/>
      <c r="J26" s="278"/>
      <c r="K26" s="279"/>
      <c r="L26" s="279"/>
      <c r="M26" s="280">
        <v>86</v>
      </c>
      <c r="N26" s="280"/>
      <c r="O26" s="279"/>
      <c r="P26" s="281" t="s">
        <v>1109</v>
      </c>
      <c r="Q26" s="264"/>
      <c r="R26" s="282"/>
      <c r="S26" s="281" t="s">
        <v>1733</v>
      </c>
      <c r="T26" s="281">
        <v>1.85</v>
      </c>
      <c r="U26" s="264">
        <v>0.7</v>
      </c>
      <c r="V26" s="282">
        <v>0</v>
      </c>
      <c r="W26" s="281">
        <v>0</v>
      </c>
      <c r="X26" s="281">
        <v>1.1499999999999999</v>
      </c>
      <c r="Y26" s="264">
        <v>0</v>
      </c>
      <c r="Z26" s="282">
        <v>25</v>
      </c>
      <c r="AA26" s="281">
        <v>0</v>
      </c>
      <c r="AB26" s="281">
        <v>0</v>
      </c>
      <c r="AD26" s="284">
        <v>1.85</v>
      </c>
      <c r="AE26" s="284">
        <v>0.7</v>
      </c>
      <c r="AF26" s="284">
        <v>0</v>
      </c>
      <c r="AG26" s="284">
        <v>0</v>
      </c>
      <c r="AH26" s="284">
        <v>1.1499999999999999</v>
      </c>
      <c r="AI26" s="284">
        <v>0</v>
      </c>
      <c r="AJ26" s="284">
        <v>0</v>
      </c>
      <c r="AL26" s="285">
        <v>1231876.6050955793</v>
      </c>
      <c r="AM26" s="286">
        <v>0</v>
      </c>
      <c r="AN26" s="287">
        <v>85482.599631808393</v>
      </c>
      <c r="AO26" s="288">
        <v>0</v>
      </c>
      <c r="AP26" s="289">
        <v>1317359.2047273878</v>
      </c>
      <c r="AQ26" s="266"/>
      <c r="AR26" s="285">
        <v>0</v>
      </c>
      <c r="AS26" s="286">
        <v>0</v>
      </c>
      <c r="AT26" s="286">
        <v>0</v>
      </c>
      <c r="AU26" s="290">
        <v>0</v>
      </c>
      <c r="AV26" s="289">
        <v>0</v>
      </c>
      <c r="AW26" s="291">
        <v>1317359.2047273878</v>
      </c>
    </row>
    <row r="27" spans="1:49" x14ac:dyDescent="0.25">
      <c r="A27" s="264">
        <v>5792625</v>
      </c>
      <c r="B27" s="264" t="str">
        <f>VLOOKUP(A27,'Výpočet VP 2020'!$A$4:$B$318,2,FALSE)</f>
        <v>NZO</v>
      </c>
      <c r="C27" s="264" t="s">
        <v>318</v>
      </c>
      <c r="D27" s="264" t="s">
        <v>312</v>
      </c>
      <c r="E27" s="264" t="s">
        <v>1090</v>
      </c>
      <c r="F27" s="264">
        <v>5792625</v>
      </c>
      <c r="G27" s="264" t="s">
        <v>1061</v>
      </c>
      <c r="H27" s="264">
        <v>2019</v>
      </c>
      <c r="I27" s="265"/>
      <c r="J27" s="278"/>
      <c r="K27" s="279"/>
      <c r="L27" s="279"/>
      <c r="M27" s="280"/>
      <c r="N27" s="280"/>
      <c r="O27" s="279">
        <v>3605</v>
      </c>
      <c r="P27" s="281" t="s">
        <v>1081</v>
      </c>
      <c r="Q27" s="264"/>
      <c r="R27" s="282"/>
      <c r="S27" s="281" t="s">
        <v>1733</v>
      </c>
      <c r="T27" s="281">
        <v>2.2999999999999998</v>
      </c>
      <c r="U27" s="264">
        <v>1.5</v>
      </c>
      <c r="V27" s="282">
        <v>0</v>
      </c>
      <c r="W27" s="281">
        <v>0</v>
      </c>
      <c r="X27" s="281">
        <v>0.8</v>
      </c>
      <c r="Y27" s="264">
        <v>0</v>
      </c>
      <c r="Z27" s="282">
        <v>8</v>
      </c>
      <c r="AA27" s="281">
        <v>0</v>
      </c>
      <c r="AB27" s="281">
        <v>0</v>
      </c>
      <c r="AD27" s="284">
        <v>2.2999999999999998</v>
      </c>
      <c r="AE27" s="284">
        <v>1.5</v>
      </c>
      <c r="AF27" s="284">
        <v>0</v>
      </c>
      <c r="AG27" s="284">
        <v>0</v>
      </c>
      <c r="AH27" s="284">
        <v>0.8</v>
      </c>
      <c r="AI27" s="284">
        <v>0</v>
      </c>
      <c r="AJ27" s="284">
        <v>0</v>
      </c>
      <c r="AL27" s="285">
        <v>1531522.2657945037</v>
      </c>
      <c r="AM27" s="286">
        <v>0</v>
      </c>
      <c r="AN27" s="287">
        <v>106275.66440711312</v>
      </c>
      <c r="AO27" s="288">
        <v>0</v>
      </c>
      <c r="AP27" s="289">
        <v>1637797.9302016168</v>
      </c>
      <c r="AQ27" s="266"/>
      <c r="AR27" s="285">
        <v>0</v>
      </c>
      <c r="AS27" s="286">
        <v>0</v>
      </c>
      <c r="AT27" s="286">
        <v>0</v>
      </c>
      <c r="AU27" s="290">
        <v>0</v>
      </c>
      <c r="AV27" s="289">
        <v>0</v>
      </c>
      <c r="AW27" s="291">
        <v>1637797.9302016168</v>
      </c>
    </row>
    <row r="28" spans="1:49" x14ac:dyDescent="0.25">
      <c r="A28" s="264">
        <v>7634996</v>
      </c>
      <c r="B28" s="264" t="str">
        <f>VLOOKUP(A28,'Výpočet VP 2020'!$A$4:$B$318,2,FALSE)</f>
        <v>NZO</v>
      </c>
      <c r="C28" s="264" t="s">
        <v>1104</v>
      </c>
      <c r="D28" s="264" t="s">
        <v>553</v>
      </c>
      <c r="E28" s="264" t="s">
        <v>1077</v>
      </c>
      <c r="F28" s="264">
        <v>7634996</v>
      </c>
      <c r="G28" s="264" t="s">
        <v>1061</v>
      </c>
      <c r="H28" s="264">
        <v>2019</v>
      </c>
      <c r="I28" s="265"/>
      <c r="J28" s="278"/>
      <c r="K28" s="279"/>
      <c r="L28" s="279"/>
      <c r="M28" s="280"/>
      <c r="N28" s="280"/>
      <c r="O28" s="279">
        <v>3605</v>
      </c>
      <c r="P28" s="281" t="s">
        <v>1078</v>
      </c>
      <c r="Q28" s="264"/>
      <c r="R28" s="282"/>
      <c r="S28" s="281" t="s">
        <v>1733</v>
      </c>
      <c r="T28" s="281">
        <v>0.4</v>
      </c>
      <c r="U28" s="264">
        <v>0.4</v>
      </c>
      <c r="V28" s="282">
        <v>0</v>
      </c>
      <c r="W28" s="281">
        <v>0</v>
      </c>
      <c r="X28" s="281">
        <v>0</v>
      </c>
      <c r="Y28" s="264">
        <v>0</v>
      </c>
      <c r="Z28" s="282">
        <v>14</v>
      </c>
      <c r="AA28" s="281">
        <v>0</v>
      </c>
      <c r="AB28" s="281">
        <v>0</v>
      </c>
      <c r="AD28" s="284">
        <v>0.4</v>
      </c>
      <c r="AE28" s="284">
        <v>0.4</v>
      </c>
      <c r="AF28" s="284">
        <v>0</v>
      </c>
      <c r="AG28" s="284">
        <v>0</v>
      </c>
      <c r="AH28" s="284">
        <v>0</v>
      </c>
      <c r="AI28" s="284">
        <v>0</v>
      </c>
      <c r="AJ28" s="284">
        <v>0</v>
      </c>
      <c r="AL28" s="285">
        <v>266351.69839904417</v>
      </c>
      <c r="AM28" s="286">
        <v>0</v>
      </c>
      <c r="AN28" s="287">
        <v>18482.724244715326</v>
      </c>
      <c r="AO28" s="288">
        <v>0</v>
      </c>
      <c r="AP28" s="289">
        <v>284834.42264375952</v>
      </c>
      <c r="AQ28" s="266"/>
      <c r="AR28" s="285">
        <v>0</v>
      </c>
      <c r="AS28" s="286">
        <v>0</v>
      </c>
      <c r="AT28" s="286">
        <v>0</v>
      </c>
      <c r="AU28" s="290">
        <v>0</v>
      </c>
      <c r="AV28" s="289">
        <v>0</v>
      </c>
      <c r="AW28" s="291">
        <v>284834.42264375952</v>
      </c>
    </row>
    <row r="29" spans="1:49" x14ac:dyDescent="0.25">
      <c r="A29" s="264">
        <v>3040542</v>
      </c>
      <c r="B29" s="264" t="str">
        <f>VLOOKUP(A29,'Výpočet VP 2020'!$A$4:$B$318,2,FALSE)</f>
        <v>NZO</v>
      </c>
      <c r="C29" s="264" t="s">
        <v>735</v>
      </c>
      <c r="D29" s="264" t="s">
        <v>733</v>
      </c>
      <c r="E29" s="264" t="s">
        <v>1077</v>
      </c>
      <c r="F29" s="264">
        <v>3040542</v>
      </c>
      <c r="G29" s="264" t="s">
        <v>1061</v>
      </c>
      <c r="H29" s="264">
        <v>2019</v>
      </c>
      <c r="I29" s="265"/>
      <c r="J29" s="278"/>
      <c r="K29" s="279"/>
      <c r="L29" s="279"/>
      <c r="M29" s="280"/>
      <c r="N29" s="280"/>
      <c r="O29" s="279">
        <v>3605</v>
      </c>
      <c r="P29" s="281" t="s">
        <v>1078</v>
      </c>
      <c r="Q29" s="264"/>
      <c r="R29" s="282"/>
      <c r="S29" s="281" t="s">
        <v>1733</v>
      </c>
      <c r="T29" s="281">
        <v>1.1000000000000001</v>
      </c>
      <c r="U29" s="264">
        <v>1.1000000000000001</v>
      </c>
      <c r="V29" s="282">
        <v>0</v>
      </c>
      <c r="W29" s="281">
        <v>0</v>
      </c>
      <c r="X29" s="281">
        <v>0</v>
      </c>
      <c r="Y29" s="264">
        <v>0</v>
      </c>
      <c r="Z29" s="282">
        <v>8</v>
      </c>
      <c r="AA29" s="281">
        <v>0</v>
      </c>
      <c r="AB29" s="281">
        <v>0</v>
      </c>
      <c r="AD29" s="284">
        <v>1.1000000000000001</v>
      </c>
      <c r="AE29" s="284">
        <v>1.1000000000000001</v>
      </c>
      <c r="AF29" s="284">
        <v>0</v>
      </c>
      <c r="AG29" s="284">
        <v>0</v>
      </c>
      <c r="AH29" s="284">
        <v>0</v>
      </c>
      <c r="AI29" s="284">
        <v>0</v>
      </c>
      <c r="AJ29" s="284">
        <v>0</v>
      </c>
      <c r="AL29" s="285">
        <v>732467.17059737153</v>
      </c>
      <c r="AM29" s="286">
        <v>0</v>
      </c>
      <c r="AN29" s="287">
        <v>50827.491672967153</v>
      </c>
      <c r="AO29" s="288">
        <v>0</v>
      </c>
      <c r="AP29" s="289">
        <v>783294.66227033874</v>
      </c>
      <c r="AQ29" s="266"/>
      <c r="AR29" s="285">
        <v>0</v>
      </c>
      <c r="AS29" s="286">
        <v>0</v>
      </c>
      <c r="AT29" s="286">
        <v>0</v>
      </c>
      <c r="AU29" s="290">
        <v>0</v>
      </c>
      <c r="AV29" s="289">
        <v>0</v>
      </c>
      <c r="AW29" s="291">
        <v>783294.66227033874</v>
      </c>
    </row>
    <row r="30" spans="1:49" x14ac:dyDescent="0.25">
      <c r="A30" s="264">
        <v>1201932</v>
      </c>
      <c r="B30" s="264" t="str">
        <f>VLOOKUP(A30,'Výpočet VP 2020'!$A$4:$B$318,2,FALSE)</f>
        <v>NZO</v>
      </c>
      <c r="C30" s="264" t="s">
        <v>594</v>
      </c>
      <c r="D30" s="264" t="s">
        <v>1056</v>
      </c>
      <c r="E30" s="264" t="s">
        <v>1060</v>
      </c>
      <c r="F30" s="264">
        <v>1201932</v>
      </c>
      <c r="G30" s="264" t="s">
        <v>1061</v>
      </c>
      <c r="H30" s="264">
        <v>2019</v>
      </c>
      <c r="I30" s="265"/>
      <c r="J30" s="278"/>
      <c r="K30" s="279"/>
      <c r="L30" s="279"/>
      <c r="M30" s="280"/>
      <c r="N30" s="280"/>
      <c r="O30" s="279">
        <v>3605</v>
      </c>
      <c r="P30" s="281" t="s">
        <v>1059</v>
      </c>
      <c r="Q30" s="264"/>
      <c r="R30" s="282">
        <v>43647</v>
      </c>
      <c r="S30" s="281" t="s">
        <v>1733</v>
      </c>
      <c r="T30" s="281">
        <v>0.45</v>
      </c>
      <c r="U30" s="264">
        <v>0.45</v>
      </c>
      <c r="V30" s="282">
        <v>0</v>
      </c>
      <c r="W30" s="281">
        <v>0</v>
      </c>
      <c r="X30" s="281">
        <v>0</v>
      </c>
      <c r="Y30" s="264"/>
      <c r="Z30" s="282">
        <v>10</v>
      </c>
      <c r="AA30" s="281"/>
      <c r="AB30" s="281"/>
      <c r="AD30" s="284">
        <v>0.45</v>
      </c>
      <c r="AE30" s="284">
        <v>0.45</v>
      </c>
      <c r="AF30" s="284">
        <v>0</v>
      </c>
      <c r="AG30" s="284">
        <v>0</v>
      </c>
      <c r="AH30" s="284">
        <v>0</v>
      </c>
      <c r="AI30" s="284">
        <v>0</v>
      </c>
      <c r="AJ30" s="284">
        <v>0</v>
      </c>
      <c r="AL30" s="285">
        <v>299645.66069892468</v>
      </c>
      <c r="AM30" s="286">
        <v>0</v>
      </c>
      <c r="AN30" s="287">
        <v>20793.064775304741</v>
      </c>
      <c r="AO30" s="288">
        <v>0</v>
      </c>
      <c r="AP30" s="289">
        <v>320438.72547422943</v>
      </c>
      <c r="AQ30" s="266"/>
      <c r="AR30" s="285">
        <v>0</v>
      </c>
      <c r="AS30" s="286">
        <v>0</v>
      </c>
      <c r="AT30" s="286">
        <v>0</v>
      </c>
      <c r="AU30" s="290">
        <v>0</v>
      </c>
      <c r="AV30" s="289">
        <v>0</v>
      </c>
      <c r="AW30" s="291">
        <v>320438.72547422943</v>
      </c>
    </row>
    <row r="31" spans="1:49" x14ac:dyDescent="0.25">
      <c r="A31" s="264">
        <v>6565086</v>
      </c>
      <c r="B31" s="264" t="str">
        <f>VLOOKUP(A31,'Výpočet VP 2020'!$A$4:$B$318,2,FALSE)</f>
        <v>NZO</v>
      </c>
      <c r="C31" s="264" t="s">
        <v>294</v>
      </c>
      <c r="D31" s="264" t="s">
        <v>290</v>
      </c>
      <c r="E31" s="264" t="s">
        <v>1100</v>
      </c>
      <c r="F31" s="264">
        <v>6565086</v>
      </c>
      <c r="G31" s="264" t="s">
        <v>1061</v>
      </c>
      <c r="H31" s="264">
        <v>2019</v>
      </c>
      <c r="I31" s="265"/>
      <c r="J31" s="278"/>
      <c r="K31" s="279"/>
      <c r="L31" s="279"/>
      <c r="M31" s="280"/>
      <c r="N31" s="280"/>
      <c r="O31" s="279">
        <v>3605</v>
      </c>
      <c r="P31" s="281" t="s">
        <v>1098</v>
      </c>
      <c r="Q31" s="264"/>
      <c r="R31" s="282"/>
      <c r="S31" s="281" t="s">
        <v>1733</v>
      </c>
      <c r="T31" s="281">
        <v>1.28</v>
      </c>
      <c r="U31" s="264">
        <v>1.1000000000000001</v>
      </c>
      <c r="V31" s="282">
        <v>0.18</v>
      </c>
      <c r="W31" s="281">
        <v>0</v>
      </c>
      <c r="X31" s="281">
        <v>0</v>
      </c>
      <c r="Y31" s="264">
        <v>0</v>
      </c>
      <c r="Z31" s="282">
        <v>25</v>
      </c>
      <c r="AA31" s="281">
        <v>0</v>
      </c>
      <c r="AB31" s="281">
        <v>0</v>
      </c>
      <c r="AD31" s="284">
        <v>1.28</v>
      </c>
      <c r="AE31" s="284">
        <v>1.1000000000000001</v>
      </c>
      <c r="AF31" s="284">
        <v>0.18</v>
      </c>
      <c r="AG31" s="284">
        <v>0</v>
      </c>
      <c r="AH31" s="284">
        <v>0</v>
      </c>
      <c r="AI31" s="284">
        <v>0</v>
      </c>
      <c r="AJ31" s="284">
        <v>0</v>
      </c>
      <c r="AL31" s="285">
        <v>852325.43487694126</v>
      </c>
      <c r="AM31" s="286">
        <v>0</v>
      </c>
      <c r="AN31" s="287">
        <v>59144.717583089041</v>
      </c>
      <c r="AO31" s="288">
        <v>0</v>
      </c>
      <c r="AP31" s="289">
        <v>911470.15246003028</v>
      </c>
      <c r="AQ31" s="266"/>
      <c r="AR31" s="285">
        <v>0</v>
      </c>
      <c r="AS31" s="286">
        <v>0</v>
      </c>
      <c r="AT31" s="286">
        <v>0</v>
      </c>
      <c r="AU31" s="290">
        <v>0</v>
      </c>
      <c r="AV31" s="289">
        <v>0</v>
      </c>
      <c r="AW31" s="291">
        <v>911470.15246003028</v>
      </c>
    </row>
    <row r="32" spans="1:49" x14ac:dyDescent="0.25">
      <c r="A32" s="264">
        <v>6811251</v>
      </c>
      <c r="B32" s="264" t="str">
        <f>VLOOKUP(A32,'Výpočet VP 2020'!$A$4:$B$318,2,FALSE)</f>
        <v>NZO</v>
      </c>
      <c r="C32" s="264" t="s">
        <v>1066</v>
      </c>
      <c r="D32" s="264" t="s">
        <v>1067</v>
      </c>
      <c r="E32" s="264" t="s">
        <v>1103</v>
      </c>
      <c r="F32" s="264">
        <v>6811251</v>
      </c>
      <c r="G32" s="264" t="s">
        <v>1061</v>
      </c>
      <c r="H32" s="264">
        <v>2019</v>
      </c>
      <c r="I32" s="265"/>
      <c r="J32" s="278"/>
      <c r="K32" s="279"/>
      <c r="L32" s="279"/>
      <c r="M32" s="280"/>
      <c r="N32" s="280"/>
      <c r="O32" s="279">
        <v>3605</v>
      </c>
      <c r="P32" s="281" t="s">
        <v>1069</v>
      </c>
      <c r="Q32" s="264"/>
      <c r="R32" s="282"/>
      <c r="S32" s="281" t="s">
        <v>1733</v>
      </c>
      <c r="T32" s="281">
        <v>0.6</v>
      </c>
      <c r="U32" s="264">
        <v>0.6</v>
      </c>
      <c r="V32" s="282">
        <v>0</v>
      </c>
      <c r="W32" s="281">
        <v>0</v>
      </c>
      <c r="X32" s="281">
        <v>0</v>
      </c>
      <c r="Y32" s="264">
        <v>0</v>
      </c>
      <c r="Z32" s="282">
        <v>2</v>
      </c>
      <c r="AA32" s="281">
        <v>0</v>
      </c>
      <c r="AB32" s="281">
        <v>0</v>
      </c>
      <c r="AD32" s="284">
        <v>0.6</v>
      </c>
      <c r="AE32" s="284">
        <v>0.6</v>
      </c>
      <c r="AF32" s="284">
        <v>0</v>
      </c>
      <c r="AG32" s="284">
        <v>0</v>
      </c>
      <c r="AH32" s="284">
        <v>0</v>
      </c>
      <c r="AI32" s="284">
        <v>0</v>
      </c>
      <c r="AJ32" s="284">
        <v>0</v>
      </c>
      <c r="AL32" s="285">
        <v>399527.54759856622</v>
      </c>
      <c r="AM32" s="286">
        <v>0</v>
      </c>
      <c r="AN32" s="287">
        <v>27724.086367072989</v>
      </c>
      <c r="AO32" s="288">
        <v>0</v>
      </c>
      <c r="AP32" s="289">
        <v>427251.63396563922</v>
      </c>
      <c r="AQ32" s="266"/>
      <c r="AR32" s="285">
        <v>0</v>
      </c>
      <c r="AS32" s="286">
        <v>0</v>
      </c>
      <c r="AT32" s="286">
        <v>0</v>
      </c>
      <c r="AU32" s="290">
        <v>0</v>
      </c>
      <c r="AV32" s="289">
        <v>0</v>
      </c>
      <c r="AW32" s="291">
        <v>427251.63396563922</v>
      </c>
    </row>
    <row r="33" spans="1:49" x14ac:dyDescent="0.25">
      <c r="A33" s="264">
        <v>6191102</v>
      </c>
      <c r="B33" s="264" t="str">
        <f>VLOOKUP(A33,'Výpočet VP 2020'!$A$4:$B$318,2,FALSE)</f>
        <v>NZO</v>
      </c>
      <c r="C33" s="264" t="s">
        <v>1095</v>
      </c>
      <c r="D33" s="264" t="s">
        <v>312</v>
      </c>
      <c r="E33" s="264" t="s">
        <v>1094</v>
      </c>
      <c r="F33" s="264">
        <v>6191102</v>
      </c>
      <c r="G33" s="264" t="s">
        <v>1063</v>
      </c>
      <c r="H33" s="264">
        <v>2019</v>
      </c>
      <c r="I33" s="265"/>
      <c r="J33" s="278"/>
      <c r="K33" s="279"/>
      <c r="L33" s="279"/>
      <c r="M33" s="280"/>
      <c r="N33" s="280"/>
      <c r="O33" s="279">
        <v>3607</v>
      </c>
      <c r="P33" s="281" t="s">
        <v>1081</v>
      </c>
      <c r="Q33" s="264"/>
      <c r="R33" s="282"/>
      <c r="S33" s="281" t="s">
        <v>1733</v>
      </c>
      <c r="T33" s="281">
        <v>1</v>
      </c>
      <c r="U33" s="264">
        <v>0</v>
      </c>
      <c r="V33" s="282">
        <v>0</v>
      </c>
      <c r="W33" s="281">
        <v>0</v>
      </c>
      <c r="X33" s="281">
        <v>1</v>
      </c>
      <c r="Y33" s="264">
        <v>0</v>
      </c>
      <c r="Z33" s="282">
        <v>5</v>
      </c>
      <c r="AA33" s="281">
        <v>0</v>
      </c>
      <c r="AB33" s="281">
        <v>0</v>
      </c>
      <c r="AD33" s="284">
        <v>1</v>
      </c>
      <c r="AE33" s="284">
        <v>0</v>
      </c>
      <c r="AF33" s="284">
        <v>0</v>
      </c>
      <c r="AG33" s="284">
        <v>0</v>
      </c>
      <c r="AH33" s="284">
        <v>1</v>
      </c>
      <c r="AI33" s="284">
        <v>0</v>
      </c>
      <c r="AJ33" s="284">
        <v>0</v>
      </c>
      <c r="AL33" s="285">
        <v>665879.24599761039</v>
      </c>
      <c r="AM33" s="286">
        <v>0</v>
      </c>
      <c r="AN33" s="287">
        <v>46206.810611788314</v>
      </c>
      <c r="AO33" s="288">
        <v>0</v>
      </c>
      <c r="AP33" s="289">
        <v>712086.05660939869</v>
      </c>
      <c r="AQ33" s="266"/>
      <c r="AR33" s="285">
        <v>0</v>
      </c>
      <c r="AS33" s="286">
        <v>0</v>
      </c>
      <c r="AT33" s="286">
        <v>0</v>
      </c>
      <c r="AU33" s="290">
        <v>0</v>
      </c>
      <c r="AV33" s="289">
        <v>0</v>
      </c>
      <c r="AW33" s="291">
        <v>712086.05660939869</v>
      </c>
    </row>
    <row r="34" spans="1:49" x14ac:dyDescent="0.25">
      <c r="A34" s="264">
        <v>1494293</v>
      </c>
      <c r="B34" s="264" t="str">
        <f>VLOOKUP(A34,'Výpočet VP 2020'!$A$4:$B$318,2,FALSE)</f>
        <v>NZO</v>
      </c>
      <c r="C34" s="264" t="s">
        <v>413</v>
      </c>
      <c r="D34" s="264" t="s">
        <v>411</v>
      </c>
      <c r="E34" s="264" t="s">
        <v>1062</v>
      </c>
      <c r="F34" s="264">
        <v>1494293</v>
      </c>
      <c r="G34" s="264" t="s">
        <v>1063</v>
      </c>
      <c r="H34" s="264">
        <v>2019</v>
      </c>
      <c r="I34" s="265"/>
      <c r="J34" s="278"/>
      <c r="K34" s="279"/>
      <c r="L34" s="279"/>
      <c r="M34" s="280"/>
      <c r="N34" s="280"/>
      <c r="O34" s="279">
        <v>3607</v>
      </c>
      <c r="P34" s="281" t="s">
        <v>1064</v>
      </c>
      <c r="Q34" s="264"/>
      <c r="R34" s="282"/>
      <c r="S34" s="281" t="s">
        <v>1733</v>
      </c>
      <c r="T34" s="281">
        <v>1.34</v>
      </c>
      <c r="U34" s="264">
        <v>0.14000000000000001</v>
      </c>
      <c r="V34" s="282">
        <v>1</v>
      </c>
      <c r="W34" s="281">
        <v>0.2</v>
      </c>
      <c r="X34" s="281">
        <v>0</v>
      </c>
      <c r="Y34" s="264">
        <v>0</v>
      </c>
      <c r="Z34" s="282">
        <v>4</v>
      </c>
      <c r="AA34" s="281">
        <v>3</v>
      </c>
      <c r="AB34" s="281">
        <v>0</v>
      </c>
      <c r="AD34" s="284">
        <v>1.34</v>
      </c>
      <c r="AE34" s="284">
        <v>0.14000000000000001</v>
      </c>
      <c r="AF34" s="284">
        <v>1</v>
      </c>
      <c r="AG34" s="284">
        <v>0.2</v>
      </c>
      <c r="AH34" s="284">
        <v>0</v>
      </c>
      <c r="AI34" s="284">
        <v>0</v>
      </c>
      <c r="AJ34" s="284">
        <v>3</v>
      </c>
      <c r="AL34" s="285">
        <v>892278.18963679799</v>
      </c>
      <c r="AM34" s="286">
        <v>0</v>
      </c>
      <c r="AN34" s="287">
        <v>61917.126219796344</v>
      </c>
      <c r="AO34" s="288">
        <v>0</v>
      </c>
      <c r="AP34" s="289">
        <v>954195.31585659436</v>
      </c>
      <c r="AQ34" s="266"/>
      <c r="AR34" s="285">
        <v>0</v>
      </c>
      <c r="AS34" s="286">
        <v>0</v>
      </c>
      <c r="AT34" s="286">
        <v>0</v>
      </c>
      <c r="AU34" s="290">
        <v>0</v>
      </c>
      <c r="AV34" s="289">
        <v>0</v>
      </c>
      <c r="AW34" s="291">
        <v>954195.31585659436</v>
      </c>
    </row>
    <row r="35" spans="1:49" x14ac:dyDescent="0.25">
      <c r="A35" s="264">
        <v>3040542</v>
      </c>
      <c r="B35" s="264" t="str">
        <f>VLOOKUP(A35,'Výpočet VP 2020'!$A$4:$B$318,2,FALSE)</f>
        <v>NZO</v>
      </c>
      <c r="C35" s="264" t="s">
        <v>735</v>
      </c>
      <c r="D35" s="264" t="s">
        <v>733</v>
      </c>
      <c r="E35" s="264" t="s">
        <v>1079</v>
      </c>
      <c r="F35" s="264">
        <v>3040542</v>
      </c>
      <c r="G35" s="264" t="s">
        <v>1063</v>
      </c>
      <c r="H35" s="264">
        <v>2019</v>
      </c>
      <c r="I35" s="265"/>
      <c r="J35" s="278"/>
      <c r="K35" s="279"/>
      <c r="L35" s="279"/>
      <c r="M35" s="280"/>
      <c r="N35" s="280"/>
      <c r="O35" s="279">
        <v>3607</v>
      </c>
      <c r="P35" s="281" t="s">
        <v>1078</v>
      </c>
      <c r="Q35" s="264"/>
      <c r="R35" s="282"/>
      <c r="S35" s="281" t="s">
        <v>1733</v>
      </c>
      <c r="T35" s="281">
        <v>0.25</v>
      </c>
      <c r="U35" s="264">
        <v>0.2</v>
      </c>
      <c r="V35" s="282">
        <v>0.05</v>
      </c>
      <c r="W35" s="281">
        <v>0</v>
      </c>
      <c r="X35" s="281">
        <v>0</v>
      </c>
      <c r="Y35" s="264">
        <v>0</v>
      </c>
      <c r="Z35" s="282">
        <v>8</v>
      </c>
      <c r="AA35" s="281">
        <v>0</v>
      </c>
      <c r="AB35" s="281">
        <v>0</v>
      </c>
      <c r="AD35" s="284">
        <v>0.25</v>
      </c>
      <c r="AE35" s="284">
        <v>0.2</v>
      </c>
      <c r="AF35" s="284">
        <v>0.05</v>
      </c>
      <c r="AG35" s="284">
        <v>0</v>
      </c>
      <c r="AH35" s="284">
        <v>0</v>
      </c>
      <c r="AI35" s="284">
        <v>0</v>
      </c>
      <c r="AJ35" s="284">
        <v>0</v>
      </c>
      <c r="AL35" s="285">
        <v>166469.8114994026</v>
      </c>
      <c r="AM35" s="286">
        <v>0</v>
      </c>
      <c r="AN35" s="287">
        <v>11551.702652947079</v>
      </c>
      <c r="AO35" s="288">
        <v>0</v>
      </c>
      <c r="AP35" s="289">
        <v>178021.51415234967</v>
      </c>
      <c r="AQ35" s="266"/>
      <c r="AR35" s="285">
        <v>0</v>
      </c>
      <c r="AS35" s="286">
        <v>0</v>
      </c>
      <c r="AT35" s="286">
        <v>0</v>
      </c>
      <c r="AU35" s="290">
        <v>0</v>
      </c>
      <c r="AV35" s="289">
        <v>0</v>
      </c>
      <c r="AW35" s="291">
        <v>178021.51415234967</v>
      </c>
    </row>
    <row r="36" spans="1:49" x14ac:dyDescent="0.25">
      <c r="A36" s="264">
        <v>6698987</v>
      </c>
      <c r="B36" s="264" t="str">
        <f>VLOOKUP(A36,'Výpočet VP 2020'!$A$4:$B$318,2,FALSE)</f>
        <v>NZO</v>
      </c>
      <c r="C36" s="264" t="s">
        <v>844</v>
      </c>
      <c r="D36" s="264" t="s">
        <v>842</v>
      </c>
      <c r="E36" s="264" t="s">
        <v>1079</v>
      </c>
      <c r="F36" s="264">
        <v>6698987</v>
      </c>
      <c r="G36" s="264" t="s">
        <v>1063</v>
      </c>
      <c r="H36" s="264">
        <v>2019</v>
      </c>
      <c r="I36" s="265"/>
      <c r="J36" s="278"/>
      <c r="K36" s="279"/>
      <c r="L36" s="279"/>
      <c r="M36" s="280"/>
      <c r="N36" s="280"/>
      <c r="O36" s="279">
        <v>3607</v>
      </c>
      <c r="P36" s="281" t="s">
        <v>1078</v>
      </c>
      <c r="Q36" s="264"/>
      <c r="R36" s="282"/>
      <c r="S36" s="281" t="s">
        <v>1733</v>
      </c>
      <c r="T36" s="281">
        <v>1.1499999999999999</v>
      </c>
      <c r="U36" s="264">
        <v>1</v>
      </c>
      <c r="V36" s="282">
        <v>0.15</v>
      </c>
      <c r="W36" s="281">
        <v>0</v>
      </c>
      <c r="X36" s="281">
        <v>0</v>
      </c>
      <c r="Y36" s="264">
        <v>0</v>
      </c>
      <c r="Z36" s="282">
        <v>5</v>
      </c>
      <c r="AA36" s="281">
        <v>0</v>
      </c>
      <c r="AB36" s="281">
        <v>0</v>
      </c>
      <c r="AD36" s="284">
        <v>1.1499999999999999</v>
      </c>
      <c r="AE36" s="284">
        <v>1</v>
      </c>
      <c r="AF36" s="284">
        <v>0.15</v>
      </c>
      <c r="AG36" s="284">
        <v>0</v>
      </c>
      <c r="AH36" s="284">
        <v>0</v>
      </c>
      <c r="AI36" s="284">
        <v>0</v>
      </c>
      <c r="AJ36" s="284">
        <v>0</v>
      </c>
      <c r="AL36" s="285">
        <v>765761.13289725187</v>
      </c>
      <c r="AM36" s="286">
        <v>0</v>
      </c>
      <c r="AN36" s="287">
        <v>53137.832203556558</v>
      </c>
      <c r="AO36" s="288">
        <v>0</v>
      </c>
      <c r="AP36" s="289">
        <v>818898.96510080842</v>
      </c>
      <c r="AQ36" s="266"/>
      <c r="AR36" s="285">
        <v>0</v>
      </c>
      <c r="AS36" s="286">
        <v>0</v>
      </c>
      <c r="AT36" s="286">
        <v>0</v>
      </c>
      <c r="AU36" s="290">
        <v>0</v>
      </c>
      <c r="AV36" s="289">
        <v>0</v>
      </c>
      <c r="AW36" s="291">
        <v>818898.96510080842</v>
      </c>
    </row>
    <row r="37" spans="1:49" x14ac:dyDescent="0.25">
      <c r="A37" s="264">
        <v>6565086</v>
      </c>
      <c r="B37" s="264" t="str">
        <f>VLOOKUP(A37,'Výpočet VP 2020'!$A$4:$B$318,2,FALSE)</f>
        <v>NZO</v>
      </c>
      <c r="C37" s="264" t="s">
        <v>294</v>
      </c>
      <c r="D37" s="264" t="s">
        <v>290</v>
      </c>
      <c r="E37" s="264" t="s">
        <v>1101</v>
      </c>
      <c r="F37" s="264">
        <v>6565086</v>
      </c>
      <c r="G37" s="264" t="s">
        <v>1063</v>
      </c>
      <c r="H37" s="264">
        <v>2019</v>
      </c>
      <c r="I37" s="265"/>
      <c r="J37" s="278"/>
      <c r="K37" s="279"/>
      <c r="L37" s="279"/>
      <c r="M37" s="280"/>
      <c r="N37" s="280"/>
      <c r="O37" s="279">
        <v>3607</v>
      </c>
      <c r="P37" s="281" t="s">
        <v>1098</v>
      </c>
      <c r="Q37" s="264"/>
      <c r="R37" s="282"/>
      <c r="S37" s="281" t="s">
        <v>1733</v>
      </c>
      <c r="T37" s="281">
        <v>1.1000000000000001</v>
      </c>
      <c r="U37" s="264">
        <v>1.1000000000000001</v>
      </c>
      <c r="V37" s="282">
        <v>0</v>
      </c>
      <c r="W37" s="281">
        <v>0</v>
      </c>
      <c r="X37" s="281">
        <v>0</v>
      </c>
      <c r="Y37" s="264">
        <v>0</v>
      </c>
      <c r="Z37" s="282">
        <v>25</v>
      </c>
      <c r="AA37" s="281">
        <v>0</v>
      </c>
      <c r="AB37" s="281">
        <v>0</v>
      </c>
      <c r="AD37" s="284">
        <v>1.1000000000000001</v>
      </c>
      <c r="AE37" s="284">
        <v>1.1000000000000001</v>
      </c>
      <c r="AF37" s="284">
        <v>0</v>
      </c>
      <c r="AG37" s="284">
        <v>0</v>
      </c>
      <c r="AH37" s="284">
        <v>0</v>
      </c>
      <c r="AI37" s="284">
        <v>0</v>
      </c>
      <c r="AJ37" s="284">
        <v>0</v>
      </c>
      <c r="AL37" s="285">
        <v>732467.17059737153</v>
      </c>
      <c r="AM37" s="286">
        <v>0</v>
      </c>
      <c r="AN37" s="287">
        <v>50827.491672967153</v>
      </c>
      <c r="AO37" s="288">
        <v>0</v>
      </c>
      <c r="AP37" s="289">
        <v>783294.66227033874</v>
      </c>
      <c r="AQ37" s="266"/>
      <c r="AR37" s="285">
        <v>0</v>
      </c>
      <c r="AS37" s="286">
        <v>0</v>
      </c>
      <c r="AT37" s="286">
        <v>0</v>
      </c>
      <c r="AU37" s="290">
        <v>0</v>
      </c>
      <c r="AV37" s="289">
        <v>0</v>
      </c>
      <c r="AW37" s="291">
        <v>783294.66227033874</v>
      </c>
    </row>
    <row r="38" spans="1:49" x14ac:dyDescent="0.25">
      <c r="A38" s="264">
        <v>8615860</v>
      </c>
      <c r="B38" s="264" t="str">
        <f>VLOOKUP(A38,'Výpočet VP 2020'!$A$4:$B$318,2,FALSE)</f>
        <v>NZO</v>
      </c>
      <c r="C38" s="264" t="s">
        <v>931</v>
      </c>
      <c r="D38" s="264" t="s">
        <v>306</v>
      </c>
      <c r="E38" s="264" t="s">
        <v>1110</v>
      </c>
      <c r="F38" s="264">
        <v>8615860</v>
      </c>
      <c r="G38" s="264" t="s">
        <v>1073</v>
      </c>
      <c r="H38" s="264">
        <v>2019</v>
      </c>
      <c r="I38" s="265"/>
      <c r="J38" s="278"/>
      <c r="K38" s="279"/>
      <c r="L38" s="279"/>
      <c r="M38" s="280"/>
      <c r="N38" s="280"/>
      <c r="O38" s="279">
        <v>3610</v>
      </c>
      <c r="P38" s="281" t="s">
        <v>1081</v>
      </c>
      <c r="Q38" s="264"/>
      <c r="R38" s="282"/>
      <c r="S38" s="281" t="s">
        <v>1733</v>
      </c>
      <c r="T38" s="281">
        <v>2.7</v>
      </c>
      <c r="U38" s="264">
        <v>0.7</v>
      </c>
      <c r="V38" s="282">
        <v>0</v>
      </c>
      <c r="W38" s="281">
        <v>0</v>
      </c>
      <c r="X38" s="281">
        <v>2</v>
      </c>
      <c r="Y38" s="264">
        <v>0</v>
      </c>
      <c r="Z38" s="282">
        <v>20</v>
      </c>
      <c r="AA38" s="281">
        <v>0</v>
      </c>
      <c r="AB38" s="281">
        <v>0</v>
      </c>
      <c r="AD38" s="284">
        <v>2.7</v>
      </c>
      <c r="AE38" s="284">
        <v>0.7</v>
      </c>
      <c r="AF38" s="284">
        <v>0</v>
      </c>
      <c r="AG38" s="284">
        <v>0</v>
      </c>
      <c r="AH38" s="284">
        <v>2</v>
      </c>
      <c r="AI38" s="284">
        <v>0</v>
      </c>
      <c r="AJ38" s="284">
        <v>0</v>
      </c>
      <c r="AL38" s="285">
        <v>1797873.9641935481</v>
      </c>
      <c r="AM38" s="286">
        <v>0</v>
      </c>
      <c r="AN38" s="287">
        <v>124758.38865182846</v>
      </c>
      <c r="AO38" s="288">
        <v>0</v>
      </c>
      <c r="AP38" s="289">
        <v>1922632.3528453766</v>
      </c>
      <c r="AQ38" s="266"/>
      <c r="AR38" s="285">
        <v>0</v>
      </c>
      <c r="AS38" s="286">
        <v>0</v>
      </c>
      <c r="AT38" s="286">
        <v>0</v>
      </c>
      <c r="AU38" s="290">
        <v>0</v>
      </c>
      <c r="AV38" s="289">
        <v>0</v>
      </c>
      <c r="AW38" s="291">
        <v>1922632.3528453766</v>
      </c>
    </row>
    <row r="39" spans="1:49" x14ac:dyDescent="0.25">
      <c r="A39" s="264">
        <v>2583952</v>
      </c>
      <c r="B39" s="264" t="str">
        <f>VLOOKUP(A39,'Výpočet VP 2020'!$A$4:$B$318,2,FALSE)</f>
        <v>NZO</v>
      </c>
      <c r="C39" s="264" t="s">
        <v>407</v>
      </c>
      <c r="D39" s="264" t="s">
        <v>1071</v>
      </c>
      <c r="E39" s="264" t="s">
        <v>1072</v>
      </c>
      <c r="F39" s="264">
        <v>2583952</v>
      </c>
      <c r="G39" s="264" t="s">
        <v>1073</v>
      </c>
      <c r="H39" s="264">
        <v>2019</v>
      </c>
      <c r="I39" s="265"/>
      <c r="J39" s="278"/>
      <c r="K39" s="279"/>
      <c r="L39" s="279"/>
      <c r="M39" s="280"/>
      <c r="N39" s="280"/>
      <c r="O39" s="279">
        <v>3610</v>
      </c>
      <c r="P39" s="281" t="s">
        <v>1064</v>
      </c>
      <c r="Q39" s="264"/>
      <c r="R39" s="282"/>
      <c r="S39" s="281" t="s">
        <v>1733</v>
      </c>
      <c r="T39" s="281">
        <v>1.1000000000000001</v>
      </c>
      <c r="U39" s="264">
        <v>1.1000000000000001</v>
      </c>
      <c r="V39" s="282">
        <v>0</v>
      </c>
      <c r="W39" s="281">
        <v>0</v>
      </c>
      <c r="X39" s="281">
        <v>0</v>
      </c>
      <c r="Y39" s="264">
        <v>0</v>
      </c>
      <c r="Z39" s="282">
        <v>9</v>
      </c>
      <c r="AA39" s="281">
        <v>0</v>
      </c>
      <c r="AB39" s="281">
        <v>0</v>
      </c>
      <c r="AD39" s="284">
        <v>1.1000000000000001</v>
      </c>
      <c r="AE39" s="284">
        <v>1.1000000000000001</v>
      </c>
      <c r="AF39" s="284">
        <v>0</v>
      </c>
      <c r="AG39" s="284">
        <v>0</v>
      </c>
      <c r="AH39" s="284">
        <v>0</v>
      </c>
      <c r="AI39" s="284">
        <v>0</v>
      </c>
      <c r="AJ39" s="284">
        <v>0</v>
      </c>
      <c r="AL39" s="285">
        <v>732467.17059737153</v>
      </c>
      <c r="AM39" s="286">
        <v>0</v>
      </c>
      <c r="AN39" s="287">
        <v>50827.491672967153</v>
      </c>
      <c r="AO39" s="288">
        <v>0</v>
      </c>
      <c r="AP39" s="289">
        <v>783294.66227033874</v>
      </c>
      <c r="AQ39" s="266"/>
      <c r="AR39" s="285">
        <v>0</v>
      </c>
      <c r="AS39" s="286">
        <v>0</v>
      </c>
      <c r="AT39" s="286">
        <v>0</v>
      </c>
      <c r="AU39" s="290">
        <v>0</v>
      </c>
      <c r="AV39" s="289">
        <v>0</v>
      </c>
      <c r="AW39" s="291">
        <v>783294.66227033874</v>
      </c>
    </row>
    <row r="40" spans="1:49" x14ac:dyDescent="0.25">
      <c r="A40" s="264">
        <v>7235281</v>
      </c>
      <c r="B40" s="264" t="str">
        <f>VLOOKUP(A40,'Výpočet VP 2020'!$A$4:$B$318,2,FALSE)</f>
        <v>NZO</v>
      </c>
      <c r="C40" s="264" t="s">
        <v>831</v>
      </c>
      <c r="D40" s="264" t="s">
        <v>826</v>
      </c>
      <c r="E40" s="264" t="s">
        <v>1072</v>
      </c>
      <c r="F40" s="264">
        <v>7235281</v>
      </c>
      <c r="G40" s="264" t="s">
        <v>1073</v>
      </c>
      <c r="H40" s="264">
        <v>2019</v>
      </c>
      <c r="I40" s="265"/>
      <c r="J40" s="278"/>
      <c r="K40" s="279"/>
      <c r="L40" s="279"/>
      <c r="M40" s="280"/>
      <c r="N40" s="280"/>
      <c r="O40" s="279">
        <v>3610</v>
      </c>
      <c r="P40" s="281" t="s">
        <v>1064</v>
      </c>
      <c r="Q40" s="264"/>
      <c r="R40" s="282"/>
      <c r="S40" s="281" t="s">
        <v>1733</v>
      </c>
      <c r="T40" s="281">
        <v>0.6</v>
      </c>
      <c r="U40" s="264">
        <v>0.2</v>
      </c>
      <c r="V40" s="282">
        <v>0.2</v>
      </c>
      <c r="W40" s="281">
        <v>0</v>
      </c>
      <c r="X40" s="281">
        <v>0.2</v>
      </c>
      <c r="Y40" s="264">
        <v>0</v>
      </c>
      <c r="Z40" s="282">
        <v>0</v>
      </c>
      <c r="AA40" s="281">
        <v>1</v>
      </c>
      <c r="AB40" s="281">
        <v>0</v>
      </c>
      <c r="AD40" s="284">
        <v>0.6</v>
      </c>
      <c r="AE40" s="284">
        <v>0.2</v>
      </c>
      <c r="AF40" s="284">
        <v>0.2</v>
      </c>
      <c r="AG40" s="284">
        <v>0</v>
      </c>
      <c r="AH40" s="284">
        <v>0.2</v>
      </c>
      <c r="AI40" s="284">
        <v>0</v>
      </c>
      <c r="AJ40" s="284">
        <v>1</v>
      </c>
      <c r="AL40" s="285">
        <v>399527.54759856622</v>
      </c>
      <c r="AM40" s="286">
        <v>0</v>
      </c>
      <c r="AN40" s="287">
        <v>27724.086367072989</v>
      </c>
      <c r="AO40" s="288">
        <v>0</v>
      </c>
      <c r="AP40" s="289">
        <v>427251.63396563922</v>
      </c>
      <c r="AQ40" s="266"/>
      <c r="AR40" s="285">
        <v>0</v>
      </c>
      <c r="AS40" s="286">
        <v>0</v>
      </c>
      <c r="AT40" s="286">
        <v>0</v>
      </c>
      <c r="AU40" s="290">
        <v>0</v>
      </c>
      <c r="AV40" s="289">
        <v>0</v>
      </c>
      <c r="AW40" s="291">
        <v>427251.63396563922</v>
      </c>
    </row>
    <row r="41" spans="1:49" x14ac:dyDescent="0.25">
      <c r="A41" s="264">
        <v>8289298</v>
      </c>
      <c r="B41" s="264" t="str">
        <f>VLOOKUP(A41,'Výpočet VP 2020'!$A$4:$B$318,2,FALSE)</f>
        <v>NZO</v>
      </c>
      <c r="C41" s="264" t="s">
        <v>1106</v>
      </c>
      <c r="D41" s="264" t="s">
        <v>553</v>
      </c>
      <c r="E41" s="264" t="s">
        <v>1105</v>
      </c>
      <c r="F41" s="264">
        <v>8289298</v>
      </c>
      <c r="G41" s="264" t="s">
        <v>1073</v>
      </c>
      <c r="H41" s="264">
        <v>2019</v>
      </c>
      <c r="I41" s="265"/>
      <c r="J41" s="278"/>
      <c r="K41" s="279"/>
      <c r="L41" s="279"/>
      <c r="M41" s="280"/>
      <c r="N41" s="280"/>
      <c r="O41" s="279">
        <v>3610</v>
      </c>
      <c r="P41" s="281" t="s">
        <v>1078</v>
      </c>
      <c r="Q41" s="264"/>
      <c r="R41" s="282">
        <v>43647</v>
      </c>
      <c r="S41" s="281" t="s">
        <v>1733</v>
      </c>
      <c r="T41" s="281">
        <v>2.25</v>
      </c>
      <c r="U41" s="264">
        <v>2.25</v>
      </c>
      <c r="V41" s="282">
        <v>0</v>
      </c>
      <c r="W41" s="281">
        <v>0</v>
      </c>
      <c r="X41" s="281">
        <v>0</v>
      </c>
      <c r="Y41" s="264">
        <v>0</v>
      </c>
      <c r="Z41" s="282">
        <v>20</v>
      </c>
      <c r="AA41" s="281">
        <v>3</v>
      </c>
      <c r="AB41" s="281">
        <v>0</v>
      </c>
      <c r="AD41" s="284">
        <v>2.25</v>
      </c>
      <c r="AE41" s="284">
        <v>2.25</v>
      </c>
      <c r="AF41" s="284">
        <v>0</v>
      </c>
      <c r="AG41" s="284">
        <v>0</v>
      </c>
      <c r="AH41" s="284">
        <v>0</v>
      </c>
      <c r="AI41" s="284">
        <v>0</v>
      </c>
      <c r="AJ41" s="284">
        <v>3</v>
      </c>
      <c r="AL41" s="285">
        <v>1498228.3034946234</v>
      </c>
      <c r="AM41" s="286">
        <v>0</v>
      </c>
      <c r="AN41" s="287">
        <v>103965.3238765237</v>
      </c>
      <c r="AO41" s="288">
        <v>0</v>
      </c>
      <c r="AP41" s="289">
        <v>1602193.627371147</v>
      </c>
      <c r="AQ41" s="266"/>
      <c r="AR41" s="285">
        <v>0</v>
      </c>
      <c r="AS41" s="286">
        <v>0</v>
      </c>
      <c r="AT41" s="286">
        <v>0</v>
      </c>
      <c r="AU41" s="290">
        <v>0</v>
      </c>
      <c r="AV41" s="289">
        <v>0</v>
      </c>
      <c r="AW41" s="291">
        <v>1602193.627371147</v>
      </c>
    </row>
    <row r="42" spans="1:49" x14ac:dyDescent="0.25">
      <c r="A42" s="264">
        <v>6565086</v>
      </c>
      <c r="B42" s="264" t="str">
        <f>VLOOKUP(A42,'Výpočet VP 2020'!$A$4:$B$318,2,FALSE)</f>
        <v>NZO</v>
      </c>
      <c r="C42" s="264" t="s">
        <v>294</v>
      </c>
      <c r="D42" s="264" t="s">
        <v>290</v>
      </c>
      <c r="E42" s="264" t="s">
        <v>1102</v>
      </c>
      <c r="F42" s="264">
        <v>6565086</v>
      </c>
      <c r="G42" s="264" t="s">
        <v>1073</v>
      </c>
      <c r="H42" s="264">
        <v>2019</v>
      </c>
      <c r="I42" s="265"/>
      <c r="J42" s="278"/>
      <c r="K42" s="279"/>
      <c r="L42" s="279"/>
      <c r="M42" s="280"/>
      <c r="N42" s="280"/>
      <c r="O42" s="279">
        <v>3610</v>
      </c>
      <c r="P42" s="281" t="s">
        <v>1098</v>
      </c>
      <c r="Q42" s="264"/>
      <c r="R42" s="282"/>
      <c r="S42" s="281" t="s">
        <v>1733</v>
      </c>
      <c r="T42" s="281">
        <v>1.2</v>
      </c>
      <c r="U42" s="264">
        <v>1.1000000000000001</v>
      </c>
      <c r="V42" s="282">
        <v>0.1</v>
      </c>
      <c r="W42" s="281">
        <v>0</v>
      </c>
      <c r="X42" s="281">
        <v>0</v>
      </c>
      <c r="Y42" s="264">
        <v>0</v>
      </c>
      <c r="Z42" s="282">
        <v>25</v>
      </c>
      <c r="AA42" s="281">
        <v>0</v>
      </c>
      <c r="AB42" s="281">
        <v>0</v>
      </c>
      <c r="AD42" s="284">
        <v>1.2</v>
      </c>
      <c r="AE42" s="284">
        <v>1.1000000000000001</v>
      </c>
      <c r="AF42" s="284">
        <v>0.1</v>
      </c>
      <c r="AG42" s="284">
        <v>0</v>
      </c>
      <c r="AH42" s="284">
        <v>0</v>
      </c>
      <c r="AI42" s="284">
        <v>0</v>
      </c>
      <c r="AJ42" s="284">
        <v>0</v>
      </c>
      <c r="AL42" s="285">
        <v>799055.09519713244</v>
      </c>
      <c r="AM42" s="286">
        <v>0</v>
      </c>
      <c r="AN42" s="287">
        <v>55448.172734145977</v>
      </c>
      <c r="AO42" s="288">
        <v>0</v>
      </c>
      <c r="AP42" s="289">
        <v>854503.26793127845</v>
      </c>
      <c r="AQ42" s="266"/>
      <c r="AR42" s="285">
        <v>0</v>
      </c>
      <c r="AS42" s="286">
        <v>0</v>
      </c>
      <c r="AT42" s="286">
        <v>0</v>
      </c>
      <c r="AU42" s="290">
        <v>0</v>
      </c>
      <c r="AV42" s="289">
        <v>0</v>
      </c>
      <c r="AW42" s="291">
        <v>854503.26793127845</v>
      </c>
    </row>
    <row r="43" spans="1:49" x14ac:dyDescent="0.25">
      <c r="A43" s="264">
        <v>2039109</v>
      </c>
      <c r="B43" s="264" t="str">
        <f>VLOOKUP(A43,'Výpočet VP 2020'!$A$4:$B$318,2,FALSE)</f>
        <v>NZO</v>
      </c>
      <c r="C43" s="264" t="s">
        <v>1130</v>
      </c>
      <c r="D43" s="264" t="s">
        <v>281</v>
      </c>
      <c r="E43" s="264" t="s">
        <v>1129</v>
      </c>
      <c r="F43" s="264">
        <v>2039109</v>
      </c>
      <c r="G43" s="264" t="s">
        <v>1131</v>
      </c>
      <c r="H43" s="264">
        <v>2019</v>
      </c>
      <c r="I43" s="265"/>
      <c r="J43" s="278"/>
      <c r="K43" s="279">
        <v>1104</v>
      </c>
      <c r="L43" s="279"/>
      <c r="M43" s="280"/>
      <c r="N43" s="280"/>
      <c r="O43" s="279"/>
      <c r="P43" s="281" t="s">
        <v>1109</v>
      </c>
      <c r="Q43" s="264"/>
      <c r="R43" s="282"/>
      <c r="S43" s="281" t="s">
        <v>1733</v>
      </c>
      <c r="T43" s="281">
        <v>0.55000000000000004</v>
      </c>
      <c r="U43" s="264">
        <v>0.05</v>
      </c>
      <c r="V43" s="282">
        <v>0.5</v>
      </c>
      <c r="W43" s="281">
        <v>0</v>
      </c>
      <c r="X43" s="281">
        <v>0</v>
      </c>
      <c r="Y43" s="264">
        <v>0</v>
      </c>
      <c r="Z43" s="282">
        <v>5</v>
      </c>
      <c r="AA43" s="281">
        <v>0</v>
      </c>
      <c r="AB43" s="281">
        <v>0</v>
      </c>
      <c r="AD43" s="284">
        <v>0.55000000000000004</v>
      </c>
      <c r="AE43" s="284">
        <v>0.05</v>
      </c>
      <c r="AF43" s="284">
        <v>0.5</v>
      </c>
      <c r="AG43" s="284">
        <v>0</v>
      </c>
      <c r="AH43" s="284">
        <v>0</v>
      </c>
      <c r="AI43" s="284">
        <v>0</v>
      </c>
      <c r="AJ43" s="284">
        <v>0</v>
      </c>
      <c r="AL43" s="285">
        <v>280923.30019306956</v>
      </c>
      <c r="AM43" s="286">
        <v>0</v>
      </c>
      <c r="AN43" s="287">
        <v>10641.271685385773</v>
      </c>
      <c r="AO43" s="288">
        <v>0</v>
      </c>
      <c r="AP43" s="289">
        <v>291564.57187845535</v>
      </c>
      <c r="AQ43" s="266"/>
      <c r="AR43" s="285">
        <v>62484.420240337902</v>
      </c>
      <c r="AS43" s="286">
        <v>0</v>
      </c>
      <c r="AT43" s="286">
        <v>0</v>
      </c>
      <c r="AU43" s="290">
        <v>0</v>
      </c>
      <c r="AV43" s="289">
        <v>62484.420240337902</v>
      </c>
      <c r="AW43" s="291">
        <v>229080.15163811744</v>
      </c>
    </row>
    <row r="44" spans="1:49" x14ac:dyDescent="0.25">
      <c r="A44" s="264">
        <v>8902089</v>
      </c>
      <c r="B44" s="264" t="str">
        <f>VLOOKUP(A44,'Výpočet VP 2020'!$A$4:$B$318,2,FALSE)</f>
        <v>NZO</v>
      </c>
      <c r="C44" s="264" t="s">
        <v>377</v>
      </c>
      <c r="D44" s="264" t="s">
        <v>550</v>
      </c>
      <c r="E44" s="264" t="s">
        <v>1129</v>
      </c>
      <c r="F44" s="264">
        <v>8902089</v>
      </c>
      <c r="G44" s="264" t="s">
        <v>1131</v>
      </c>
      <c r="H44" s="264">
        <v>2019</v>
      </c>
      <c r="I44" s="265"/>
      <c r="J44" s="278"/>
      <c r="K44" s="279">
        <v>1104</v>
      </c>
      <c r="L44" s="279"/>
      <c r="M44" s="280"/>
      <c r="N44" s="280"/>
      <c r="O44" s="279"/>
      <c r="P44" s="281" t="s">
        <v>1126</v>
      </c>
      <c r="Q44" s="264"/>
      <c r="R44" s="282"/>
      <c r="S44" s="281" t="s">
        <v>1733</v>
      </c>
      <c r="T44" s="281">
        <v>5.3</v>
      </c>
      <c r="U44" s="264">
        <v>0.9</v>
      </c>
      <c r="V44" s="282">
        <v>4.4000000000000004</v>
      </c>
      <c r="W44" s="281">
        <v>0</v>
      </c>
      <c r="X44" s="281">
        <v>0</v>
      </c>
      <c r="Y44" s="264">
        <v>0</v>
      </c>
      <c r="Z44" s="282">
        <v>5</v>
      </c>
      <c r="AA44" s="281">
        <v>0</v>
      </c>
      <c r="AB44" s="281">
        <v>0</v>
      </c>
      <c r="AD44" s="284">
        <v>5.3</v>
      </c>
      <c r="AE44" s="284">
        <v>0.9</v>
      </c>
      <c r="AF44" s="284">
        <v>4.4000000000000004</v>
      </c>
      <c r="AG44" s="284">
        <v>0</v>
      </c>
      <c r="AH44" s="284">
        <v>0</v>
      </c>
      <c r="AI44" s="284">
        <v>0</v>
      </c>
      <c r="AJ44" s="284">
        <v>0</v>
      </c>
      <c r="AL44" s="285">
        <v>2707079.074587761</v>
      </c>
      <c r="AM44" s="286">
        <v>0</v>
      </c>
      <c r="AN44" s="287">
        <v>102543.16351371743</v>
      </c>
      <c r="AO44" s="288">
        <v>0</v>
      </c>
      <c r="AP44" s="289">
        <v>2809622.2381014782</v>
      </c>
      <c r="AQ44" s="266"/>
      <c r="AR44" s="285">
        <v>549862.89811497356</v>
      </c>
      <c r="AS44" s="286">
        <v>0</v>
      </c>
      <c r="AT44" s="286">
        <v>0</v>
      </c>
      <c r="AU44" s="290">
        <v>0</v>
      </c>
      <c r="AV44" s="289">
        <v>549862.89811497356</v>
      </c>
      <c r="AW44" s="291">
        <v>2259759.3399865045</v>
      </c>
    </row>
    <row r="45" spans="1:49" x14ac:dyDescent="0.25">
      <c r="A45" s="264">
        <v>2392006</v>
      </c>
      <c r="B45" s="264" t="str">
        <f>VLOOKUP(A45,'Výpočet VP 2020'!$A$4:$B$318,2,FALSE)</f>
        <v>NZO</v>
      </c>
      <c r="C45" s="264" t="s">
        <v>377</v>
      </c>
      <c r="D45" s="264" t="s">
        <v>553</v>
      </c>
      <c r="E45" s="264" t="s">
        <v>1133</v>
      </c>
      <c r="F45" s="264">
        <v>2392006</v>
      </c>
      <c r="G45" s="264" t="s">
        <v>1134</v>
      </c>
      <c r="H45" s="264">
        <v>2019</v>
      </c>
      <c r="I45" s="265"/>
      <c r="J45" s="278"/>
      <c r="K45" s="279">
        <v>1201</v>
      </c>
      <c r="L45" s="279"/>
      <c r="M45" s="280"/>
      <c r="N45" s="280"/>
      <c r="O45" s="279"/>
      <c r="P45" s="281" t="s">
        <v>1126</v>
      </c>
      <c r="Q45" s="264"/>
      <c r="R45" s="282"/>
      <c r="S45" s="281" t="s">
        <v>1733</v>
      </c>
      <c r="T45" s="281">
        <v>4.7</v>
      </c>
      <c r="U45" s="264">
        <v>0.75</v>
      </c>
      <c r="V45" s="282">
        <v>3.95</v>
      </c>
      <c r="W45" s="281">
        <v>0</v>
      </c>
      <c r="X45" s="281">
        <v>0</v>
      </c>
      <c r="Y45" s="264">
        <v>0</v>
      </c>
      <c r="Z45" s="282">
        <v>13</v>
      </c>
      <c r="AA45" s="281">
        <v>0</v>
      </c>
      <c r="AB45" s="281">
        <v>0</v>
      </c>
      <c r="AD45" s="284">
        <v>4.7</v>
      </c>
      <c r="AE45" s="284">
        <v>0.75</v>
      </c>
      <c r="AF45" s="284">
        <v>3.95</v>
      </c>
      <c r="AG45" s="284">
        <v>0</v>
      </c>
      <c r="AH45" s="284">
        <v>0</v>
      </c>
      <c r="AI45" s="284">
        <v>0</v>
      </c>
      <c r="AJ45" s="284">
        <v>0</v>
      </c>
      <c r="AL45" s="285">
        <v>2400617.2925589578</v>
      </c>
      <c r="AM45" s="286">
        <v>0</v>
      </c>
      <c r="AN45" s="287">
        <v>90934.503493296594</v>
      </c>
      <c r="AO45" s="288">
        <v>0</v>
      </c>
      <c r="AP45" s="289">
        <v>2491551.7960522543</v>
      </c>
      <c r="AQ45" s="266"/>
      <c r="AR45" s="285">
        <v>493626.91989866947</v>
      </c>
      <c r="AS45" s="286">
        <v>0</v>
      </c>
      <c r="AT45" s="286">
        <v>0</v>
      </c>
      <c r="AU45" s="290">
        <v>0</v>
      </c>
      <c r="AV45" s="289">
        <v>493626.91989866947</v>
      </c>
      <c r="AW45" s="291">
        <v>1997924.8761535848</v>
      </c>
    </row>
    <row r="46" spans="1:49" x14ac:dyDescent="0.25">
      <c r="A46" s="264">
        <v>3198258</v>
      </c>
      <c r="B46" s="264" t="str">
        <f>VLOOKUP(A46,'Výpočet VP 2020'!$A$4:$B$318,2,FALSE)</f>
        <v>NZO</v>
      </c>
      <c r="C46" s="264" t="s">
        <v>1525</v>
      </c>
      <c r="D46" s="264" t="s">
        <v>965</v>
      </c>
      <c r="E46" s="264" t="s">
        <v>1133</v>
      </c>
      <c r="F46" s="264">
        <v>3198258</v>
      </c>
      <c r="G46" s="264" t="s">
        <v>1134</v>
      </c>
      <c r="H46" s="264">
        <v>2019</v>
      </c>
      <c r="I46" s="265"/>
      <c r="J46" s="278"/>
      <c r="K46" s="279">
        <v>1201</v>
      </c>
      <c r="L46" s="279"/>
      <c r="M46" s="280"/>
      <c r="N46" s="280"/>
      <c r="O46" s="279"/>
      <c r="P46" s="281" t="s">
        <v>1126</v>
      </c>
      <c r="Q46" s="264"/>
      <c r="R46" s="282"/>
      <c r="S46" s="281" t="s">
        <v>1733</v>
      </c>
      <c r="T46" s="305">
        <v>4.43</v>
      </c>
      <c r="U46" s="305">
        <v>0.57999999999999996</v>
      </c>
      <c r="V46" s="305">
        <v>3.85</v>
      </c>
      <c r="W46" s="305">
        <v>0</v>
      </c>
      <c r="X46" s="305">
        <v>0</v>
      </c>
      <c r="Y46" s="264">
        <v>0</v>
      </c>
      <c r="Z46" s="282">
        <v>5</v>
      </c>
      <c r="AA46" s="281">
        <v>0</v>
      </c>
      <c r="AB46" s="281">
        <v>0</v>
      </c>
      <c r="AD46" s="284">
        <v>4.43</v>
      </c>
      <c r="AE46" s="284">
        <v>0.57999999999999996</v>
      </c>
      <c r="AF46" s="284">
        <v>3.85</v>
      </c>
      <c r="AG46" s="284">
        <v>0</v>
      </c>
      <c r="AH46" s="284">
        <v>0</v>
      </c>
      <c r="AI46" s="284">
        <v>0</v>
      </c>
      <c r="AJ46" s="284">
        <v>0</v>
      </c>
      <c r="AL46" s="285">
        <v>2262709.4906459963</v>
      </c>
      <c r="AM46" s="286">
        <v>0</v>
      </c>
      <c r="AN46" s="287">
        <v>85710.606484107208</v>
      </c>
      <c r="AO46" s="288">
        <v>0</v>
      </c>
      <c r="AP46" s="289">
        <v>2348420.0971301035</v>
      </c>
      <c r="AQ46" s="266"/>
      <c r="AR46" s="285">
        <v>481130.03585060185</v>
      </c>
      <c r="AS46" s="286">
        <v>0</v>
      </c>
      <c r="AT46" s="286">
        <v>0</v>
      </c>
      <c r="AU46" s="290">
        <v>0</v>
      </c>
      <c r="AV46" s="289">
        <v>481130.03585060185</v>
      </c>
      <c r="AW46" s="291">
        <v>1867290.0612795018</v>
      </c>
    </row>
    <row r="47" spans="1:49" x14ac:dyDescent="0.25">
      <c r="A47" s="264">
        <v>4271738</v>
      </c>
      <c r="B47" s="264" t="str">
        <f>VLOOKUP(A47,'Výpočet VP 2020'!$A$4:$B$318,2,FALSE)</f>
        <v>NZO</v>
      </c>
      <c r="C47" s="264" t="s">
        <v>1140</v>
      </c>
      <c r="D47" s="264" t="s">
        <v>1141</v>
      </c>
      <c r="E47" s="264" t="s">
        <v>1139</v>
      </c>
      <c r="F47" s="264">
        <v>4271738</v>
      </c>
      <c r="G47" s="264" t="s">
        <v>1142</v>
      </c>
      <c r="H47" s="264">
        <v>2019</v>
      </c>
      <c r="I47" s="265"/>
      <c r="J47" s="278"/>
      <c r="K47" s="279">
        <v>1007</v>
      </c>
      <c r="L47" s="279"/>
      <c r="M47" s="280"/>
      <c r="N47" s="280"/>
      <c r="O47" s="279"/>
      <c r="P47" s="281" t="s">
        <v>1109</v>
      </c>
      <c r="Q47" s="264"/>
      <c r="R47" s="282"/>
      <c r="S47" s="281" t="s">
        <v>1733</v>
      </c>
      <c r="T47" s="281">
        <v>5</v>
      </c>
      <c r="U47" s="264">
        <v>0.5</v>
      </c>
      <c r="V47" s="282">
        <v>4.5</v>
      </c>
      <c r="W47" s="281">
        <v>0</v>
      </c>
      <c r="X47" s="281">
        <v>0</v>
      </c>
      <c r="Y47" s="264">
        <v>0</v>
      </c>
      <c r="Z47" s="282">
        <v>15</v>
      </c>
      <c r="AA47" s="281">
        <v>0</v>
      </c>
      <c r="AB47" s="281">
        <v>0</v>
      </c>
      <c r="AD47" s="284">
        <v>5</v>
      </c>
      <c r="AE47" s="284">
        <v>0.5</v>
      </c>
      <c r="AF47" s="284">
        <v>4.5</v>
      </c>
      <c r="AG47" s="284">
        <v>0</v>
      </c>
      <c r="AH47" s="284">
        <v>0</v>
      </c>
      <c r="AI47" s="284">
        <v>0</v>
      </c>
      <c r="AJ47" s="284">
        <v>0</v>
      </c>
      <c r="AL47" s="285">
        <v>2553848.1835733592</v>
      </c>
      <c r="AM47" s="286">
        <v>0</v>
      </c>
      <c r="AN47" s="287">
        <v>96738.833503507019</v>
      </c>
      <c r="AO47" s="288">
        <v>0</v>
      </c>
      <c r="AP47" s="289">
        <v>2650587.0170768662</v>
      </c>
      <c r="AQ47" s="266"/>
      <c r="AR47" s="285">
        <v>562359.78216304118</v>
      </c>
      <c r="AS47" s="286">
        <v>0</v>
      </c>
      <c r="AT47" s="286">
        <v>0</v>
      </c>
      <c r="AU47" s="290">
        <v>0</v>
      </c>
      <c r="AV47" s="289">
        <v>562359.78216304118</v>
      </c>
      <c r="AW47" s="291">
        <v>2088227.2349138251</v>
      </c>
    </row>
    <row r="48" spans="1:49" x14ac:dyDescent="0.25">
      <c r="A48" s="264">
        <v>7566271</v>
      </c>
      <c r="B48" s="264" t="str">
        <f>VLOOKUP(A48,'Výpočet VP 2020'!$A$4:$B$318,2,FALSE)</f>
        <v>NZO</v>
      </c>
      <c r="C48" s="264" t="s">
        <v>1147</v>
      </c>
      <c r="D48" s="264" t="s">
        <v>580</v>
      </c>
      <c r="E48" s="264" t="s">
        <v>1135</v>
      </c>
      <c r="F48" s="264">
        <v>7566271</v>
      </c>
      <c r="G48" s="264" t="s">
        <v>1058</v>
      </c>
      <c r="H48" s="264">
        <v>2019</v>
      </c>
      <c r="I48" s="265"/>
      <c r="J48" s="278"/>
      <c r="K48" s="279">
        <v>965</v>
      </c>
      <c r="L48" s="279"/>
      <c r="M48" s="280"/>
      <c r="N48" s="280"/>
      <c r="O48" s="279"/>
      <c r="P48" s="281" t="s">
        <v>1126</v>
      </c>
      <c r="Q48" s="264"/>
      <c r="R48" s="282"/>
      <c r="S48" s="281" t="s">
        <v>1733</v>
      </c>
      <c r="T48" s="281">
        <v>21.35</v>
      </c>
      <c r="U48" s="264">
        <v>1.35</v>
      </c>
      <c r="V48" s="282">
        <v>20</v>
      </c>
      <c r="W48" s="281">
        <v>0</v>
      </c>
      <c r="X48" s="281">
        <v>0</v>
      </c>
      <c r="Y48" s="264">
        <v>0</v>
      </c>
      <c r="Z48" s="282">
        <v>18</v>
      </c>
      <c r="AA48" s="281">
        <v>0</v>
      </c>
      <c r="AB48" s="281">
        <v>0</v>
      </c>
      <c r="AD48" s="284">
        <v>21.35</v>
      </c>
      <c r="AE48" s="284">
        <v>1.35</v>
      </c>
      <c r="AF48" s="284">
        <v>20</v>
      </c>
      <c r="AG48" s="284">
        <v>0</v>
      </c>
      <c r="AH48" s="284">
        <v>0</v>
      </c>
      <c r="AI48" s="284">
        <v>0</v>
      </c>
      <c r="AJ48" s="284">
        <v>0</v>
      </c>
      <c r="AL48" s="285">
        <v>10904931.743858244</v>
      </c>
      <c r="AM48" s="286">
        <v>0</v>
      </c>
      <c r="AN48" s="287">
        <v>413074.81905997498</v>
      </c>
      <c r="AO48" s="288">
        <v>0</v>
      </c>
      <c r="AP48" s="289">
        <v>11318006.56291822</v>
      </c>
      <c r="AQ48" s="266"/>
      <c r="AR48" s="285">
        <v>2499376.8096135161</v>
      </c>
      <c r="AS48" s="286">
        <v>0</v>
      </c>
      <c r="AT48" s="286">
        <v>0</v>
      </c>
      <c r="AU48" s="290">
        <v>0</v>
      </c>
      <c r="AV48" s="289">
        <v>2499376.8096135161</v>
      </c>
      <c r="AW48" s="291">
        <v>8818629.7533047032</v>
      </c>
    </row>
    <row r="49" spans="1:49" x14ac:dyDescent="0.25">
      <c r="A49" s="264">
        <v>5991938</v>
      </c>
      <c r="B49" s="264" t="str">
        <f>VLOOKUP(A49,'Výpočet VP 2020'!$A$4:$B$318,2,FALSE)</f>
        <v>NZO</v>
      </c>
      <c r="C49" s="264" t="s">
        <v>377</v>
      </c>
      <c r="D49" s="264" t="s">
        <v>887</v>
      </c>
      <c r="E49" s="264" t="s">
        <v>1135</v>
      </c>
      <c r="F49" s="264">
        <v>5991938</v>
      </c>
      <c r="G49" s="264" t="s">
        <v>1058</v>
      </c>
      <c r="H49" s="264">
        <v>2019</v>
      </c>
      <c r="I49" s="265"/>
      <c r="J49" s="278"/>
      <c r="K49" s="279">
        <v>965</v>
      </c>
      <c r="L49" s="279"/>
      <c r="M49" s="280"/>
      <c r="N49" s="280"/>
      <c r="O49" s="279"/>
      <c r="P49" s="281" t="s">
        <v>1109</v>
      </c>
      <c r="Q49" s="264"/>
      <c r="R49" s="282"/>
      <c r="S49" s="281" t="s">
        <v>1733</v>
      </c>
      <c r="T49" s="281">
        <v>5.5</v>
      </c>
      <c r="U49" s="264">
        <v>0.5</v>
      </c>
      <c r="V49" s="282">
        <v>5</v>
      </c>
      <c r="W49" s="281">
        <v>0</v>
      </c>
      <c r="X49" s="281">
        <v>0</v>
      </c>
      <c r="Y49" s="264">
        <v>0</v>
      </c>
      <c r="Z49" s="282">
        <v>25</v>
      </c>
      <c r="AA49" s="281">
        <v>0</v>
      </c>
      <c r="AB49" s="281">
        <v>0</v>
      </c>
      <c r="AD49" s="284">
        <v>5.5</v>
      </c>
      <c r="AE49" s="284">
        <v>0.5</v>
      </c>
      <c r="AF49" s="284">
        <v>5</v>
      </c>
      <c r="AG49" s="284">
        <v>0</v>
      </c>
      <c r="AH49" s="284">
        <v>0</v>
      </c>
      <c r="AI49" s="284">
        <v>0</v>
      </c>
      <c r="AJ49" s="284">
        <v>0</v>
      </c>
      <c r="AL49" s="285">
        <v>2809233.001930695</v>
      </c>
      <c r="AM49" s="286">
        <v>0</v>
      </c>
      <c r="AN49" s="287">
        <v>106412.71685385771</v>
      </c>
      <c r="AO49" s="288">
        <v>0</v>
      </c>
      <c r="AP49" s="289">
        <v>2915645.7187845525</v>
      </c>
      <c r="AQ49" s="266"/>
      <c r="AR49" s="285">
        <v>624844.20240337902</v>
      </c>
      <c r="AS49" s="286">
        <v>0</v>
      </c>
      <c r="AT49" s="286">
        <v>0</v>
      </c>
      <c r="AU49" s="290">
        <v>0</v>
      </c>
      <c r="AV49" s="289">
        <v>624844.20240337902</v>
      </c>
      <c r="AW49" s="291">
        <v>2290801.5163811734</v>
      </c>
    </row>
    <row r="50" spans="1:49" x14ac:dyDescent="0.25">
      <c r="A50" s="264">
        <v>2495303</v>
      </c>
      <c r="B50" s="264" t="str">
        <f>VLOOKUP(A50,'Výpočet VP 2020'!$A$4:$B$318,2,FALSE)</f>
        <v>NZO</v>
      </c>
      <c r="C50" s="264" t="s">
        <v>1010</v>
      </c>
      <c r="D50" s="264" t="s">
        <v>1010</v>
      </c>
      <c r="E50" s="264" t="s">
        <v>1135</v>
      </c>
      <c r="F50" s="264">
        <v>2495303</v>
      </c>
      <c r="G50" s="264" t="s">
        <v>1058</v>
      </c>
      <c r="H50" s="264">
        <v>2019</v>
      </c>
      <c r="I50" s="265"/>
      <c r="J50" s="278"/>
      <c r="K50" s="279">
        <v>965</v>
      </c>
      <c r="L50" s="279"/>
      <c r="M50" s="280"/>
      <c r="N50" s="280"/>
      <c r="O50" s="279"/>
      <c r="P50" s="281" t="s">
        <v>1109</v>
      </c>
      <c r="Q50" s="264"/>
      <c r="R50" s="282"/>
      <c r="S50" s="281" t="s">
        <v>1733</v>
      </c>
      <c r="T50" s="281">
        <v>8.59</v>
      </c>
      <c r="U50" s="264">
        <v>0.4</v>
      </c>
      <c r="V50" s="282">
        <v>8.19</v>
      </c>
      <c r="W50" s="281">
        <v>0</v>
      </c>
      <c r="X50" s="281">
        <v>0</v>
      </c>
      <c r="Y50" s="264">
        <v>0</v>
      </c>
      <c r="Z50" s="282">
        <v>65</v>
      </c>
      <c r="AA50" s="281">
        <v>0</v>
      </c>
      <c r="AB50" s="281">
        <v>0</v>
      </c>
      <c r="AD50" s="284">
        <v>8.59</v>
      </c>
      <c r="AE50" s="284">
        <v>0.4</v>
      </c>
      <c r="AF50" s="284">
        <v>8.19</v>
      </c>
      <c r="AG50" s="284">
        <v>0</v>
      </c>
      <c r="AH50" s="284">
        <v>0</v>
      </c>
      <c r="AI50" s="284">
        <v>0</v>
      </c>
      <c r="AJ50" s="284">
        <v>0</v>
      </c>
      <c r="AL50" s="285">
        <v>4387511.1793790311</v>
      </c>
      <c r="AM50" s="286">
        <v>0</v>
      </c>
      <c r="AN50" s="287">
        <v>166197.31595902506</v>
      </c>
      <c r="AO50" s="288">
        <v>0</v>
      </c>
      <c r="AP50" s="289">
        <v>4553708.4953380562</v>
      </c>
      <c r="AQ50" s="266"/>
      <c r="AR50" s="285">
        <v>1023494.8035367348</v>
      </c>
      <c r="AS50" s="286">
        <v>0</v>
      </c>
      <c r="AT50" s="286">
        <v>0</v>
      </c>
      <c r="AU50" s="290">
        <v>0</v>
      </c>
      <c r="AV50" s="289">
        <v>1023494.8035367348</v>
      </c>
      <c r="AW50" s="291">
        <v>3530213.6918013217</v>
      </c>
    </row>
    <row r="51" spans="1:49" x14ac:dyDescent="0.25">
      <c r="A51" s="264">
        <v>7566271</v>
      </c>
      <c r="B51" s="264" t="str">
        <f>VLOOKUP(A51,'Výpočet VP 2020'!$A$4:$B$318,2,FALSE)</f>
        <v>NZO</v>
      </c>
      <c r="C51" s="264" t="s">
        <v>1147</v>
      </c>
      <c r="D51" s="264" t="s">
        <v>580</v>
      </c>
      <c r="E51" s="264" t="s">
        <v>1148</v>
      </c>
      <c r="F51" s="264">
        <v>7566271</v>
      </c>
      <c r="G51" s="264" t="s">
        <v>1149</v>
      </c>
      <c r="H51" s="264">
        <v>2019</v>
      </c>
      <c r="I51" s="265"/>
      <c r="J51" s="278"/>
      <c r="K51" s="279">
        <v>1040</v>
      </c>
      <c r="L51" s="279"/>
      <c r="M51" s="280"/>
      <c r="N51" s="280"/>
      <c r="O51" s="279"/>
      <c r="P51" s="281" t="s">
        <v>1126</v>
      </c>
      <c r="Q51" s="264"/>
      <c r="R51" s="282"/>
      <c r="S51" s="281" t="s">
        <v>1733</v>
      </c>
      <c r="T51" s="281">
        <v>1.08</v>
      </c>
      <c r="U51" s="264">
        <v>0.08</v>
      </c>
      <c r="V51" s="282">
        <v>1</v>
      </c>
      <c r="W51" s="281">
        <v>0</v>
      </c>
      <c r="X51" s="281">
        <v>0</v>
      </c>
      <c r="Y51" s="264">
        <v>0</v>
      </c>
      <c r="Z51" s="282">
        <v>60</v>
      </c>
      <c r="AA51" s="281">
        <v>0</v>
      </c>
      <c r="AB51" s="281">
        <v>0</v>
      </c>
      <c r="AD51" s="284">
        <v>1.08</v>
      </c>
      <c r="AE51" s="284">
        <v>0.08</v>
      </c>
      <c r="AF51" s="284">
        <v>1</v>
      </c>
      <c r="AG51" s="284">
        <v>0</v>
      </c>
      <c r="AH51" s="284">
        <v>0</v>
      </c>
      <c r="AI51" s="284">
        <v>0</v>
      </c>
      <c r="AJ51" s="284">
        <v>0</v>
      </c>
      <c r="AL51" s="285">
        <v>551631.20765184565</v>
      </c>
      <c r="AM51" s="286">
        <v>0</v>
      </c>
      <c r="AN51" s="287">
        <v>20895.588036757516</v>
      </c>
      <c r="AO51" s="288">
        <v>0</v>
      </c>
      <c r="AP51" s="289">
        <v>572526.79568860319</v>
      </c>
      <c r="AQ51" s="266"/>
      <c r="AR51" s="285">
        <v>124968.8404806758</v>
      </c>
      <c r="AS51" s="286">
        <v>0</v>
      </c>
      <c r="AT51" s="286">
        <v>0</v>
      </c>
      <c r="AU51" s="290">
        <v>0</v>
      </c>
      <c r="AV51" s="289">
        <v>124968.8404806758</v>
      </c>
      <c r="AW51" s="291">
        <v>447557.95520792739</v>
      </c>
    </row>
    <row r="52" spans="1:49" x14ac:dyDescent="0.25">
      <c r="A52" s="264">
        <v>6152074</v>
      </c>
      <c r="B52" s="264" t="str">
        <f>VLOOKUP(A52,'Výpočet VP 2020'!$A$4:$B$318,2,FALSE)</f>
        <v>NZO</v>
      </c>
      <c r="C52" s="264" t="s">
        <v>226</v>
      </c>
      <c r="D52" s="264" t="s">
        <v>1145</v>
      </c>
      <c r="E52" s="264" t="s">
        <v>1123</v>
      </c>
      <c r="F52" s="264">
        <v>6152074</v>
      </c>
      <c r="G52" s="264" t="s">
        <v>1068</v>
      </c>
      <c r="H52" s="264">
        <v>2019</v>
      </c>
      <c r="I52" s="265"/>
      <c r="J52" s="278"/>
      <c r="K52" s="279">
        <v>1015</v>
      </c>
      <c r="L52" s="279"/>
      <c r="M52" s="280"/>
      <c r="N52" s="280"/>
      <c r="O52" s="279"/>
      <c r="P52" s="281" t="s">
        <v>1109</v>
      </c>
      <c r="Q52" s="264"/>
      <c r="R52" s="282"/>
      <c r="S52" s="281" t="s">
        <v>1733</v>
      </c>
      <c r="T52" s="281">
        <v>8.9</v>
      </c>
      <c r="U52" s="264">
        <v>1.3</v>
      </c>
      <c r="V52" s="282">
        <v>7.6</v>
      </c>
      <c r="W52" s="281">
        <v>0</v>
      </c>
      <c r="X52" s="281">
        <v>0</v>
      </c>
      <c r="Y52" s="264">
        <v>0</v>
      </c>
      <c r="Z52" s="282">
        <v>58</v>
      </c>
      <c r="AA52" s="281">
        <v>0</v>
      </c>
      <c r="AB52" s="281">
        <v>0</v>
      </c>
      <c r="AD52" s="284">
        <v>8.9</v>
      </c>
      <c r="AE52" s="284">
        <v>1.3</v>
      </c>
      <c r="AF52" s="284">
        <v>7.6</v>
      </c>
      <c r="AG52" s="284">
        <v>0</v>
      </c>
      <c r="AH52" s="284">
        <v>0</v>
      </c>
      <c r="AI52" s="284">
        <v>0</v>
      </c>
      <c r="AJ52" s="284">
        <v>0</v>
      </c>
      <c r="AL52" s="285">
        <v>4545849.7667605793</v>
      </c>
      <c r="AM52" s="286">
        <v>0</v>
      </c>
      <c r="AN52" s="287">
        <v>172195.1236362425</v>
      </c>
      <c r="AO52" s="288">
        <v>0</v>
      </c>
      <c r="AP52" s="289">
        <v>4718044.8903968222</v>
      </c>
      <c r="AQ52" s="266"/>
      <c r="AR52" s="285">
        <v>949763.18765313609</v>
      </c>
      <c r="AS52" s="286">
        <v>0</v>
      </c>
      <c r="AT52" s="286">
        <v>0</v>
      </c>
      <c r="AU52" s="290">
        <v>0</v>
      </c>
      <c r="AV52" s="289">
        <v>949763.18765313609</v>
      </c>
      <c r="AW52" s="291">
        <v>3768281.7027436863</v>
      </c>
    </row>
    <row r="53" spans="1:49" x14ac:dyDescent="0.25">
      <c r="A53" s="264">
        <v>1715626</v>
      </c>
      <c r="B53" s="264" t="str">
        <f>VLOOKUP(A53,'Výpočet VP 2020'!$A$4:$B$318,2,FALSE)</f>
        <v>NZO</v>
      </c>
      <c r="C53" s="264" t="s">
        <v>962</v>
      </c>
      <c r="D53" s="264" t="s">
        <v>962</v>
      </c>
      <c r="E53" s="264" t="s">
        <v>1123</v>
      </c>
      <c r="F53" s="264">
        <v>1715626</v>
      </c>
      <c r="G53" s="264" t="s">
        <v>1068</v>
      </c>
      <c r="H53" s="264">
        <v>2019</v>
      </c>
      <c r="I53" s="265"/>
      <c r="J53" s="278"/>
      <c r="K53" s="279">
        <v>1015</v>
      </c>
      <c r="L53" s="279"/>
      <c r="M53" s="280"/>
      <c r="N53" s="280"/>
      <c r="O53" s="279"/>
      <c r="P53" s="281" t="s">
        <v>1126</v>
      </c>
      <c r="Q53" s="264"/>
      <c r="R53" s="282"/>
      <c r="S53" s="281" t="s">
        <v>1733</v>
      </c>
      <c r="T53" s="281">
        <v>10.8</v>
      </c>
      <c r="U53" s="264">
        <v>0.8</v>
      </c>
      <c r="V53" s="282">
        <v>10</v>
      </c>
      <c r="W53" s="281">
        <v>0</v>
      </c>
      <c r="X53" s="281">
        <v>0</v>
      </c>
      <c r="Y53" s="264">
        <v>0</v>
      </c>
      <c r="Z53" s="282">
        <v>0</v>
      </c>
      <c r="AA53" s="281">
        <v>5</v>
      </c>
      <c r="AB53" s="281">
        <v>0</v>
      </c>
      <c r="AD53" s="284">
        <v>10.8</v>
      </c>
      <c r="AE53" s="284">
        <v>0.8</v>
      </c>
      <c r="AF53" s="284">
        <v>10</v>
      </c>
      <c r="AG53" s="284">
        <v>0</v>
      </c>
      <c r="AH53" s="284">
        <v>0</v>
      </c>
      <c r="AI53" s="284">
        <v>0</v>
      </c>
      <c r="AJ53" s="284">
        <v>5</v>
      </c>
      <c r="AL53" s="285">
        <v>5516312.0765184565</v>
      </c>
      <c r="AM53" s="286">
        <v>0</v>
      </c>
      <c r="AN53" s="287">
        <v>208955.88036757516</v>
      </c>
      <c r="AO53" s="288">
        <v>0</v>
      </c>
      <c r="AP53" s="289">
        <v>5725267.9568860317</v>
      </c>
      <c r="AQ53" s="266"/>
      <c r="AR53" s="285">
        <v>1249688.404806758</v>
      </c>
      <c r="AS53" s="286">
        <v>0</v>
      </c>
      <c r="AT53" s="286">
        <v>0</v>
      </c>
      <c r="AU53" s="290">
        <v>0</v>
      </c>
      <c r="AV53" s="289">
        <v>1249688.404806758</v>
      </c>
      <c r="AW53" s="291">
        <v>4475579.5520792734</v>
      </c>
    </row>
    <row r="54" spans="1:49" x14ac:dyDescent="0.25">
      <c r="A54" s="264">
        <v>7566271</v>
      </c>
      <c r="B54" s="264" t="str">
        <f>VLOOKUP(A54,'Výpočet VP 2020'!$A$4:$B$318,2,FALSE)</f>
        <v>NZO</v>
      </c>
      <c r="C54" s="264" t="s">
        <v>1147</v>
      </c>
      <c r="D54" s="264" t="s">
        <v>580</v>
      </c>
      <c r="E54" s="264" t="s">
        <v>1150</v>
      </c>
      <c r="F54" s="264">
        <v>7566271</v>
      </c>
      <c r="G54" s="264" t="s">
        <v>1151</v>
      </c>
      <c r="H54" s="264">
        <v>2019</v>
      </c>
      <c r="I54" s="265"/>
      <c r="J54" s="278"/>
      <c r="K54" s="279">
        <v>1112</v>
      </c>
      <c r="L54" s="279"/>
      <c r="M54" s="280"/>
      <c r="N54" s="280"/>
      <c r="O54" s="279"/>
      <c r="P54" s="281" t="s">
        <v>1126</v>
      </c>
      <c r="Q54" s="264"/>
      <c r="R54" s="282"/>
      <c r="S54" s="281" t="s">
        <v>1733</v>
      </c>
      <c r="T54" s="281">
        <v>2.27</v>
      </c>
      <c r="U54" s="264">
        <v>0.27</v>
      </c>
      <c r="V54" s="282">
        <v>2</v>
      </c>
      <c r="W54" s="281">
        <v>0</v>
      </c>
      <c r="X54" s="281">
        <v>0</v>
      </c>
      <c r="Y54" s="264">
        <v>0</v>
      </c>
      <c r="Z54" s="282">
        <v>60</v>
      </c>
      <c r="AA54" s="281">
        <v>0</v>
      </c>
      <c r="AB54" s="281">
        <v>0</v>
      </c>
      <c r="AD54" s="284">
        <v>2.27</v>
      </c>
      <c r="AE54" s="284">
        <v>0.27</v>
      </c>
      <c r="AF54" s="284">
        <v>2</v>
      </c>
      <c r="AG54" s="284">
        <v>0</v>
      </c>
      <c r="AH54" s="284">
        <v>0</v>
      </c>
      <c r="AI54" s="284">
        <v>0</v>
      </c>
      <c r="AJ54" s="284">
        <v>0</v>
      </c>
      <c r="AL54" s="285">
        <v>1159447.075342305</v>
      </c>
      <c r="AM54" s="286">
        <v>0</v>
      </c>
      <c r="AN54" s="287">
        <v>43919.430410592184</v>
      </c>
      <c r="AO54" s="288">
        <v>0</v>
      </c>
      <c r="AP54" s="289">
        <v>1203366.5057528971</v>
      </c>
      <c r="AQ54" s="266"/>
      <c r="AR54" s="285">
        <v>249937.68096135161</v>
      </c>
      <c r="AS54" s="286">
        <v>0</v>
      </c>
      <c r="AT54" s="286">
        <v>0</v>
      </c>
      <c r="AU54" s="290">
        <v>0</v>
      </c>
      <c r="AV54" s="289">
        <v>249937.68096135161</v>
      </c>
      <c r="AW54" s="291">
        <v>953428.82479154551</v>
      </c>
    </row>
    <row r="55" spans="1:49" x14ac:dyDescent="0.25">
      <c r="A55" s="264">
        <v>7566271</v>
      </c>
      <c r="B55" s="264" t="str">
        <f>VLOOKUP(A55,'Výpočet VP 2020'!$A$4:$B$318,2,FALSE)</f>
        <v>NZO</v>
      </c>
      <c r="C55" s="264" t="s">
        <v>1147</v>
      </c>
      <c r="D55" s="264" t="s">
        <v>580</v>
      </c>
      <c r="E55" s="264" t="s">
        <v>1152</v>
      </c>
      <c r="F55" s="264">
        <v>7566271</v>
      </c>
      <c r="G55" s="264" t="s">
        <v>1061</v>
      </c>
      <c r="H55" s="264">
        <v>2019</v>
      </c>
      <c r="I55" s="265"/>
      <c r="J55" s="278"/>
      <c r="K55" s="279">
        <v>1066</v>
      </c>
      <c r="L55" s="279"/>
      <c r="M55" s="280"/>
      <c r="N55" s="280"/>
      <c r="O55" s="279"/>
      <c r="P55" s="281" t="s">
        <v>1126</v>
      </c>
      <c r="Q55" s="264"/>
      <c r="R55" s="282"/>
      <c r="S55" s="281" t="s">
        <v>1733</v>
      </c>
      <c r="T55" s="281">
        <v>1.1000000000000001</v>
      </c>
      <c r="U55" s="264">
        <v>0.1</v>
      </c>
      <c r="V55" s="282">
        <v>1</v>
      </c>
      <c r="W55" s="281">
        <v>0</v>
      </c>
      <c r="X55" s="281">
        <v>0</v>
      </c>
      <c r="Y55" s="264">
        <v>0</v>
      </c>
      <c r="Z55" s="282">
        <v>6</v>
      </c>
      <c r="AA55" s="281">
        <v>0</v>
      </c>
      <c r="AB55" s="281">
        <v>0</v>
      </c>
      <c r="AD55" s="284">
        <v>1.1000000000000001</v>
      </c>
      <c r="AE55" s="284">
        <v>0.1</v>
      </c>
      <c r="AF55" s="284">
        <v>1</v>
      </c>
      <c r="AG55" s="284">
        <v>0</v>
      </c>
      <c r="AH55" s="284">
        <v>0</v>
      </c>
      <c r="AI55" s="284">
        <v>0</v>
      </c>
      <c r="AJ55" s="284">
        <v>0</v>
      </c>
      <c r="AL55" s="285">
        <v>561846.60038613912</v>
      </c>
      <c r="AM55" s="286">
        <v>0</v>
      </c>
      <c r="AN55" s="287">
        <v>21282.543370771546</v>
      </c>
      <c r="AO55" s="288">
        <v>0</v>
      </c>
      <c r="AP55" s="289">
        <v>583129.14375691069</v>
      </c>
      <c r="AQ55" s="266"/>
      <c r="AR55" s="285">
        <v>124968.8404806758</v>
      </c>
      <c r="AS55" s="286">
        <v>0</v>
      </c>
      <c r="AT55" s="286">
        <v>0</v>
      </c>
      <c r="AU55" s="290">
        <v>0</v>
      </c>
      <c r="AV55" s="289">
        <v>124968.8404806758</v>
      </c>
      <c r="AW55" s="291">
        <v>458160.30327623489</v>
      </c>
    </row>
    <row r="56" spans="1:49" x14ac:dyDescent="0.25">
      <c r="A56" s="264">
        <v>3198258</v>
      </c>
      <c r="B56" s="264" t="str">
        <f>VLOOKUP(A56,'Výpočet VP 2020'!$A$4:$B$318,2,FALSE)</f>
        <v>NZO</v>
      </c>
      <c r="C56" s="264" t="s">
        <v>1525</v>
      </c>
      <c r="D56" s="264" t="s">
        <v>965</v>
      </c>
      <c r="E56" s="264" t="s">
        <v>1136</v>
      </c>
      <c r="F56" s="264">
        <v>3198258</v>
      </c>
      <c r="G56" s="264" t="s">
        <v>1061</v>
      </c>
      <c r="H56" s="264">
        <v>2019</v>
      </c>
      <c r="I56" s="265"/>
      <c r="J56" s="278"/>
      <c r="K56" s="279">
        <v>1066</v>
      </c>
      <c r="L56" s="279"/>
      <c r="M56" s="280"/>
      <c r="N56" s="280"/>
      <c r="O56" s="279"/>
      <c r="P56" s="281" t="s">
        <v>1126</v>
      </c>
      <c r="Q56" s="264"/>
      <c r="R56" s="282"/>
      <c r="S56" s="281" t="s">
        <v>1733</v>
      </c>
      <c r="T56" s="281">
        <v>4.43</v>
      </c>
      <c r="U56" s="264">
        <v>0.57999999999999996</v>
      </c>
      <c r="V56" s="282">
        <v>3.85</v>
      </c>
      <c r="W56" s="281">
        <v>0</v>
      </c>
      <c r="X56" s="281">
        <v>0</v>
      </c>
      <c r="Y56" s="264">
        <v>0</v>
      </c>
      <c r="Z56" s="282">
        <v>35</v>
      </c>
      <c r="AA56" s="281">
        <v>0</v>
      </c>
      <c r="AB56" s="281">
        <v>0</v>
      </c>
      <c r="AD56" s="284">
        <v>4.43</v>
      </c>
      <c r="AE56" s="284">
        <v>0.57999999999999996</v>
      </c>
      <c r="AF56" s="284">
        <v>3.85</v>
      </c>
      <c r="AG56" s="284">
        <v>0</v>
      </c>
      <c r="AH56" s="284">
        <v>0</v>
      </c>
      <c r="AI56" s="284">
        <v>0</v>
      </c>
      <c r="AJ56" s="284">
        <v>0</v>
      </c>
      <c r="AL56" s="285">
        <v>2262709.4906459963</v>
      </c>
      <c r="AM56" s="286">
        <v>0</v>
      </c>
      <c r="AN56" s="287">
        <v>85710.606484107208</v>
      </c>
      <c r="AO56" s="288">
        <v>0</v>
      </c>
      <c r="AP56" s="289">
        <v>2348420.0971301035</v>
      </c>
      <c r="AQ56" s="266"/>
      <c r="AR56" s="285">
        <v>481130.03585060185</v>
      </c>
      <c r="AS56" s="286">
        <v>0</v>
      </c>
      <c r="AT56" s="286">
        <v>0</v>
      </c>
      <c r="AU56" s="290">
        <v>0</v>
      </c>
      <c r="AV56" s="289">
        <v>481130.03585060185</v>
      </c>
      <c r="AW56" s="291">
        <v>1867290.0612795018</v>
      </c>
    </row>
    <row r="57" spans="1:49" x14ac:dyDescent="0.25">
      <c r="A57" s="264">
        <v>4271738</v>
      </c>
      <c r="B57" s="264" t="str">
        <f>VLOOKUP(A57,'Výpočet VP 2020'!$A$4:$B$318,2,FALSE)</f>
        <v>NZO</v>
      </c>
      <c r="C57" s="264" t="s">
        <v>1140</v>
      </c>
      <c r="D57" s="264" t="s">
        <v>1141</v>
      </c>
      <c r="E57" s="264" t="s">
        <v>1143</v>
      </c>
      <c r="F57" s="264">
        <v>4271738</v>
      </c>
      <c r="G57" s="264" t="s">
        <v>1144</v>
      </c>
      <c r="H57" s="264">
        <v>2019</v>
      </c>
      <c r="I57" s="265"/>
      <c r="J57" s="278"/>
      <c r="K57" s="279">
        <v>1023</v>
      </c>
      <c r="L57" s="279"/>
      <c r="M57" s="280"/>
      <c r="N57" s="280"/>
      <c r="O57" s="279"/>
      <c r="P57" s="281" t="s">
        <v>1126</v>
      </c>
      <c r="Q57" s="264"/>
      <c r="R57" s="282"/>
      <c r="S57" s="281" t="s">
        <v>1733</v>
      </c>
      <c r="T57" s="281">
        <v>8.5</v>
      </c>
      <c r="U57" s="264">
        <v>1</v>
      </c>
      <c r="V57" s="282">
        <v>7.5</v>
      </c>
      <c r="W57" s="281">
        <v>0</v>
      </c>
      <c r="X57" s="281">
        <v>0</v>
      </c>
      <c r="Y57" s="264">
        <v>0</v>
      </c>
      <c r="Z57" s="282">
        <v>25</v>
      </c>
      <c r="AA57" s="281">
        <v>0</v>
      </c>
      <c r="AB57" s="281">
        <v>0</v>
      </c>
      <c r="AD57" s="284">
        <v>8.5</v>
      </c>
      <c r="AE57" s="284">
        <v>1</v>
      </c>
      <c r="AF57" s="284">
        <v>7.5</v>
      </c>
      <c r="AG57" s="284">
        <v>0</v>
      </c>
      <c r="AH57" s="284">
        <v>0</v>
      </c>
      <c r="AI57" s="284">
        <v>0</v>
      </c>
      <c r="AJ57" s="284">
        <v>0</v>
      </c>
      <c r="AL57" s="285">
        <v>4341541.9120747112</v>
      </c>
      <c r="AM57" s="286">
        <v>0</v>
      </c>
      <c r="AN57" s="287">
        <v>164456.01695596191</v>
      </c>
      <c r="AO57" s="288">
        <v>0</v>
      </c>
      <c r="AP57" s="289">
        <v>4505997.9290306726</v>
      </c>
      <c r="AQ57" s="266"/>
      <c r="AR57" s="285">
        <v>937266.30360506848</v>
      </c>
      <c r="AS57" s="286">
        <v>0</v>
      </c>
      <c r="AT57" s="286">
        <v>0</v>
      </c>
      <c r="AU57" s="290">
        <v>0</v>
      </c>
      <c r="AV57" s="289">
        <v>937266.30360506848</v>
      </c>
      <c r="AW57" s="291">
        <v>3568731.6254256042</v>
      </c>
    </row>
    <row r="58" spans="1:49" x14ac:dyDescent="0.25">
      <c r="A58" s="264">
        <v>3198258</v>
      </c>
      <c r="B58" s="264" t="str">
        <f>VLOOKUP(A58,'Výpočet VP 2020'!$A$4:$B$318,2,FALSE)</f>
        <v>NZO</v>
      </c>
      <c r="C58" s="264" t="s">
        <v>1525</v>
      </c>
      <c r="D58" s="264" t="s">
        <v>965</v>
      </c>
      <c r="E58" s="264" t="s">
        <v>1137</v>
      </c>
      <c r="F58" s="264">
        <v>3198258</v>
      </c>
      <c r="G58" s="264" t="s">
        <v>1138</v>
      </c>
      <c r="H58" s="264">
        <v>2019</v>
      </c>
      <c r="I58" s="265"/>
      <c r="J58" s="278"/>
      <c r="K58" s="279">
        <v>1058</v>
      </c>
      <c r="L58" s="279"/>
      <c r="M58" s="280"/>
      <c r="N58" s="280"/>
      <c r="O58" s="279"/>
      <c r="P58" s="281" t="s">
        <v>1126</v>
      </c>
      <c r="Q58" s="264"/>
      <c r="R58" s="282"/>
      <c r="S58" s="281" t="s">
        <v>1733</v>
      </c>
      <c r="T58" s="281">
        <v>3.57</v>
      </c>
      <c r="U58" s="264">
        <v>0.12</v>
      </c>
      <c r="V58" s="282">
        <v>3.45</v>
      </c>
      <c r="W58" s="281">
        <v>0</v>
      </c>
      <c r="X58" s="281">
        <v>0</v>
      </c>
      <c r="Y58" s="264">
        <v>0</v>
      </c>
      <c r="Z58" s="282">
        <v>30</v>
      </c>
      <c r="AA58" s="281">
        <v>0</v>
      </c>
      <c r="AB58" s="281">
        <v>0</v>
      </c>
      <c r="AD58" s="284">
        <v>3.57</v>
      </c>
      <c r="AE58" s="284">
        <v>0.12</v>
      </c>
      <c r="AF58" s="284">
        <v>3.45</v>
      </c>
      <c r="AG58" s="284">
        <v>0</v>
      </c>
      <c r="AH58" s="284">
        <v>0</v>
      </c>
      <c r="AI58" s="284">
        <v>0</v>
      </c>
      <c r="AJ58" s="284">
        <v>0</v>
      </c>
      <c r="AL58" s="285">
        <v>1823447.6030713785</v>
      </c>
      <c r="AM58" s="286">
        <v>0</v>
      </c>
      <c r="AN58" s="287">
        <v>69071.527121503997</v>
      </c>
      <c r="AO58" s="288">
        <v>0</v>
      </c>
      <c r="AP58" s="289">
        <v>1892519.1301928826</v>
      </c>
      <c r="AQ58" s="266"/>
      <c r="AR58" s="285">
        <v>431142.49965833157</v>
      </c>
      <c r="AS58" s="286">
        <v>0</v>
      </c>
      <c r="AT58" s="286">
        <v>0</v>
      </c>
      <c r="AU58" s="290">
        <v>0</v>
      </c>
      <c r="AV58" s="289">
        <v>431142.49965833157</v>
      </c>
      <c r="AW58" s="291">
        <v>1461376.6305345511</v>
      </c>
    </row>
    <row r="59" spans="1:49" x14ac:dyDescent="0.25">
      <c r="A59" s="264">
        <v>2039109</v>
      </c>
      <c r="B59" s="264" t="str">
        <f>VLOOKUP(A59,'Výpočet VP 2020'!$A$4:$B$318,2,FALSE)</f>
        <v>NZO</v>
      </c>
      <c r="C59" s="264" t="s">
        <v>1130</v>
      </c>
      <c r="D59" s="264" t="s">
        <v>281</v>
      </c>
      <c r="E59" s="264" t="s">
        <v>1132</v>
      </c>
      <c r="F59" s="264">
        <v>2039109</v>
      </c>
      <c r="G59" s="264" t="s">
        <v>1063</v>
      </c>
      <c r="H59" s="264">
        <v>2019</v>
      </c>
      <c r="I59" s="265"/>
      <c r="J59" s="278"/>
      <c r="K59" s="279">
        <v>1121</v>
      </c>
      <c r="L59" s="279"/>
      <c r="M59" s="280"/>
      <c r="N59" s="280"/>
      <c r="O59" s="279"/>
      <c r="P59" s="281" t="s">
        <v>1109</v>
      </c>
      <c r="Q59" s="264"/>
      <c r="R59" s="282"/>
      <c r="S59" s="281" t="s">
        <v>1733</v>
      </c>
      <c r="T59" s="281">
        <v>8.4499999999999993</v>
      </c>
      <c r="U59" s="264">
        <v>0.95</v>
      </c>
      <c r="V59" s="282">
        <v>7.5</v>
      </c>
      <c r="W59" s="281">
        <v>0</v>
      </c>
      <c r="X59" s="281">
        <v>0</v>
      </c>
      <c r="Y59" s="264">
        <v>0</v>
      </c>
      <c r="Z59" s="282">
        <v>50</v>
      </c>
      <c r="AA59" s="281">
        <v>0</v>
      </c>
      <c r="AB59" s="281">
        <v>0</v>
      </c>
      <c r="AD59" s="284">
        <v>8.4499999999999993</v>
      </c>
      <c r="AE59" s="284">
        <v>0.95</v>
      </c>
      <c r="AF59" s="284">
        <v>7.5</v>
      </c>
      <c r="AG59" s="284">
        <v>0</v>
      </c>
      <c r="AH59" s="284">
        <v>0</v>
      </c>
      <c r="AI59" s="284">
        <v>0</v>
      </c>
      <c r="AJ59" s="284">
        <v>0</v>
      </c>
      <c r="AL59" s="285">
        <v>4316003.4302389771</v>
      </c>
      <c r="AM59" s="286">
        <v>0</v>
      </c>
      <c r="AN59" s="287">
        <v>163488.62862092684</v>
      </c>
      <c r="AO59" s="288">
        <v>0</v>
      </c>
      <c r="AP59" s="289">
        <v>4479492.0588599043</v>
      </c>
      <c r="AQ59" s="266"/>
      <c r="AR59" s="285">
        <v>937266.30360506848</v>
      </c>
      <c r="AS59" s="286">
        <v>0</v>
      </c>
      <c r="AT59" s="286">
        <v>0</v>
      </c>
      <c r="AU59" s="290">
        <v>0</v>
      </c>
      <c r="AV59" s="289">
        <v>937266.30360506848</v>
      </c>
      <c r="AW59" s="291">
        <v>3542225.7552548358</v>
      </c>
    </row>
    <row r="60" spans="1:49" x14ac:dyDescent="0.25">
      <c r="A60" s="264">
        <v>7459230</v>
      </c>
      <c r="B60" s="264" t="str">
        <f>VLOOKUP(A60,'Výpočet VP 2020'!$A$4:$B$318,2,FALSE)</f>
        <v>NZO</v>
      </c>
      <c r="C60" s="264" t="s">
        <v>377</v>
      </c>
      <c r="D60" s="264" t="s">
        <v>826</v>
      </c>
      <c r="E60" s="264" t="s">
        <v>1146</v>
      </c>
      <c r="F60" s="264">
        <v>7459230</v>
      </c>
      <c r="G60" s="264" t="s">
        <v>1073</v>
      </c>
      <c r="H60" s="264">
        <v>2019</v>
      </c>
      <c r="I60" s="265"/>
      <c r="J60" s="278"/>
      <c r="K60" s="279">
        <v>1210</v>
      </c>
      <c r="L60" s="279"/>
      <c r="M60" s="280"/>
      <c r="N60" s="280"/>
      <c r="O60" s="279"/>
      <c r="P60" s="281" t="s">
        <v>1126</v>
      </c>
      <c r="Q60" s="264"/>
      <c r="R60" s="282"/>
      <c r="S60" s="281" t="s">
        <v>1733</v>
      </c>
      <c r="T60" s="281">
        <v>8.6999999999999993</v>
      </c>
      <c r="U60" s="264">
        <v>0.2</v>
      </c>
      <c r="V60" s="282">
        <v>8.5</v>
      </c>
      <c r="W60" s="281">
        <v>0</v>
      </c>
      <c r="X60" s="281">
        <v>0</v>
      </c>
      <c r="Y60" s="264">
        <v>0</v>
      </c>
      <c r="Z60" s="282">
        <v>80</v>
      </c>
      <c r="AA60" s="281">
        <v>0</v>
      </c>
      <c r="AB60" s="281">
        <v>0</v>
      </c>
      <c r="AD60" s="284">
        <v>8.6999999999999993</v>
      </c>
      <c r="AE60" s="284">
        <v>0.2</v>
      </c>
      <c r="AF60" s="284">
        <v>8.5</v>
      </c>
      <c r="AG60" s="284">
        <v>0</v>
      </c>
      <c r="AH60" s="284">
        <v>0</v>
      </c>
      <c r="AI60" s="284">
        <v>0</v>
      </c>
      <c r="AJ60" s="284">
        <v>0</v>
      </c>
      <c r="AL60" s="285">
        <v>4443695.8394176448</v>
      </c>
      <c r="AM60" s="286">
        <v>0</v>
      </c>
      <c r="AN60" s="287">
        <v>168325.57029610217</v>
      </c>
      <c r="AO60" s="288">
        <v>0</v>
      </c>
      <c r="AP60" s="289">
        <v>4612021.409713747</v>
      </c>
      <c r="AQ60" s="266"/>
      <c r="AR60" s="285">
        <v>1062235.1440857444</v>
      </c>
      <c r="AS60" s="286">
        <v>0</v>
      </c>
      <c r="AT60" s="286">
        <v>0</v>
      </c>
      <c r="AU60" s="290">
        <v>0</v>
      </c>
      <c r="AV60" s="289">
        <v>1062235.1440857444</v>
      </c>
      <c r="AW60" s="291">
        <v>3549786.2656280026</v>
      </c>
    </row>
    <row r="61" spans="1:49" x14ac:dyDescent="0.25">
      <c r="A61" s="264">
        <v>1806042</v>
      </c>
      <c r="B61" s="264" t="str">
        <f>VLOOKUP(A61,'Výpočet VP 2020'!$A$4:$B$318,2,FALSE)</f>
        <v>NZO</v>
      </c>
      <c r="C61" s="264" t="s">
        <v>225</v>
      </c>
      <c r="D61" s="264" t="s">
        <v>375</v>
      </c>
      <c r="E61" s="264" t="s">
        <v>1127</v>
      </c>
      <c r="F61" s="264">
        <v>1806042</v>
      </c>
      <c r="G61" s="264" t="s">
        <v>1128</v>
      </c>
      <c r="H61" s="264">
        <v>2019</v>
      </c>
      <c r="I61" s="265"/>
      <c r="J61" s="278"/>
      <c r="K61" s="279">
        <v>1228</v>
      </c>
      <c r="L61" s="279"/>
      <c r="M61" s="280"/>
      <c r="N61" s="280"/>
      <c r="O61" s="279"/>
      <c r="P61" s="281" t="s">
        <v>1126</v>
      </c>
      <c r="Q61" s="264"/>
      <c r="R61" s="282"/>
      <c r="S61" s="281" t="s">
        <v>1733</v>
      </c>
      <c r="T61" s="281">
        <v>6</v>
      </c>
      <c r="U61" s="264">
        <v>1</v>
      </c>
      <c r="V61" s="282">
        <v>5</v>
      </c>
      <c r="W61" s="281">
        <v>0</v>
      </c>
      <c r="X61" s="281">
        <v>0</v>
      </c>
      <c r="Y61" s="264">
        <v>0</v>
      </c>
      <c r="Z61" s="282">
        <v>8</v>
      </c>
      <c r="AA61" s="281">
        <v>0</v>
      </c>
      <c r="AB61" s="281">
        <v>0</v>
      </c>
      <c r="AD61" s="284">
        <v>6</v>
      </c>
      <c r="AE61" s="284">
        <v>1</v>
      </c>
      <c r="AF61" s="284">
        <v>5</v>
      </c>
      <c r="AG61" s="284">
        <v>0</v>
      </c>
      <c r="AH61" s="284">
        <v>0</v>
      </c>
      <c r="AI61" s="284">
        <v>0</v>
      </c>
      <c r="AJ61" s="284">
        <v>0</v>
      </c>
      <c r="AL61" s="285">
        <v>3064617.8202880314</v>
      </c>
      <c r="AM61" s="286">
        <v>0</v>
      </c>
      <c r="AN61" s="287">
        <v>116086.60020420841</v>
      </c>
      <c r="AO61" s="288">
        <v>0</v>
      </c>
      <c r="AP61" s="289">
        <v>3180704.4204922398</v>
      </c>
      <c r="AQ61" s="266"/>
      <c r="AR61" s="285">
        <v>624844.20240337902</v>
      </c>
      <c r="AS61" s="286">
        <v>0</v>
      </c>
      <c r="AT61" s="286">
        <v>0</v>
      </c>
      <c r="AU61" s="290">
        <v>0</v>
      </c>
      <c r="AV61" s="289">
        <v>624844.20240337902</v>
      </c>
      <c r="AW61" s="291">
        <v>2555860.2180888606</v>
      </c>
    </row>
    <row r="62" spans="1:49" x14ac:dyDescent="0.25">
      <c r="A62" s="264">
        <v>7459230</v>
      </c>
      <c r="B62" s="264" t="str">
        <f>VLOOKUP(A62,'Výpočet VP 2020'!$A$4:$B$318,2,FALSE)</f>
        <v>NZO</v>
      </c>
      <c r="C62" s="264" t="s">
        <v>377</v>
      </c>
      <c r="D62" s="264" t="s">
        <v>826</v>
      </c>
      <c r="E62" s="264" t="s">
        <v>1127</v>
      </c>
      <c r="F62" s="264">
        <v>7459230</v>
      </c>
      <c r="G62" s="264" t="s">
        <v>1128</v>
      </c>
      <c r="H62" s="264">
        <v>2019</v>
      </c>
      <c r="I62" s="265"/>
      <c r="J62" s="278"/>
      <c r="K62" s="279">
        <v>1228</v>
      </c>
      <c r="L62" s="279"/>
      <c r="M62" s="280"/>
      <c r="N62" s="280"/>
      <c r="O62" s="279"/>
      <c r="P62" s="281" t="s">
        <v>1126</v>
      </c>
      <c r="Q62" s="264"/>
      <c r="R62" s="282"/>
      <c r="S62" s="281" t="s">
        <v>1733</v>
      </c>
      <c r="T62" s="281">
        <v>2.5499999999999998</v>
      </c>
      <c r="U62" s="264">
        <v>0.05</v>
      </c>
      <c r="V62" s="282">
        <v>2.5</v>
      </c>
      <c r="W62" s="281">
        <v>0</v>
      </c>
      <c r="X62" s="281">
        <v>0</v>
      </c>
      <c r="Y62" s="264">
        <v>0</v>
      </c>
      <c r="Z62" s="282">
        <v>80</v>
      </c>
      <c r="AA62" s="281">
        <v>0</v>
      </c>
      <c r="AB62" s="281">
        <v>0</v>
      </c>
      <c r="AC62" s="313"/>
      <c r="AD62" s="284">
        <v>2.5499999999999998</v>
      </c>
      <c r="AE62" s="284">
        <v>0.05</v>
      </c>
      <c r="AF62" s="284">
        <v>2.5</v>
      </c>
      <c r="AG62" s="284">
        <v>0</v>
      </c>
      <c r="AH62" s="284">
        <v>0</v>
      </c>
      <c r="AI62" s="284">
        <v>0</v>
      </c>
      <c r="AJ62" s="284">
        <v>0</v>
      </c>
      <c r="AL62" s="285">
        <v>1302462.5736224132</v>
      </c>
      <c r="AM62" s="286">
        <v>0</v>
      </c>
      <c r="AN62" s="287">
        <v>49336.805086788576</v>
      </c>
      <c r="AO62" s="288">
        <v>0</v>
      </c>
      <c r="AP62" s="289">
        <v>1351799.3787092017</v>
      </c>
      <c r="AQ62" s="266"/>
      <c r="AR62" s="285">
        <v>312422.10120168951</v>
      </c>
      <c r="AS62" s="286">
        <v>0</v>
      </c>
      <c r="AT62" s="286">
        <v>0</v>
      </c>
      <c r="AU62" s="290">
        <v>0</v>
      </c>
      <c r="AV62" s="289">
        <v>312422.10120168951</v>
      </c>
      <c r="AW62" s="291">
        <v>1039377.2775075121</v>
      </c>
    </row>
    <row r="63" spans="1:49" x14ac:dyDescent="0.25">
      <c r="A63" s="264">
        <v>2028356</v>
      </c>
      <c r="B63" s="264" t="str">
        <f>VLOOKUP(A63,'Výpočet VP 2020'!$A$4:$B$318,2,FALSE)</f>
        <v>NZO</v>
      </c>
      <c r="C63" s="264" t="s">
        <v>1179</v>
      </c>
      <c r="D63" s="264" t="s">
        <v>760</v>
      </c>
      <c r="E63" s="264" t="s">
        <v>1178</v>
      </c>
      <c r="F63" s="264">
        <v>2028356</v>
      </c>
      <c r="G63" s="264" t="s">
        <v>1180</v>
      </c>
      <c r="H63" s="264">
        <v>2019</v>
      </c>
      <c r="I63" s="265"/>
      <c r="J63" s="278"/>
      <c r="K63" s="279"/>
      <c r="L63" s="279"/>
      <c r="M63" s="280"/>
      <c r="N63" s="280">
        <v>2291</v>
      </c>
      <c r="O63" s="279"/>
      <c r="P63" s="281" t="s">
        <v>1126</v>
      </c>
      <c r="Q63" s="264"/>
      <c r="R63" s="282"/>
      <c r="S63" s="281" t="s">
        <v>1733</v>
      </c>
      <c r="T63" s="281">
        <v>10.25</v>
      </c>
      <c r="U63" s="264">
        <v>0.9</v>
      </c>
      <c r="V63" s="282">
        <v>9.35</v>
      </c>
      <c r="W63" s="281">
        <v>0</v>
      </c>
      <c r="X63" s="281">
        <v>0</v>
      </c>
      <c r="Y63" s="264">
        <v>0</v>
      </c>
      <c r="Z63" s="282">
        <v>200</v>
      </c>
      <c r="AA63" s="281">
        <v>0</v>
      </c>
      <c r="AB63" s="281">
        <v>0</v>
      </c>
      <c r="AD63" s="284">
        <v>10.25</v>
      </c>
      <c r="AE63" s="284">
        <v>0.9</v>
      </c>
      <c r="AF63" s="284">
        <v>9.35</v>
      </c>
      <c r="AG63" s="284">
        <v>0</v>
      </c>
      <c r="AH63" s="284">
        <v>0</v>
      </c>
      <c r="AI63" s="284">
        <v>0</v>
      </c>
      <c r="AJ63" s="284">
        <v>0</v>
      </c>
      <c r="AL63" s="285">
        <v>5661669.5111799678</v>
      </c>
      <c r="AM63" s="286">
        <v>0</v>
      </c>
      <c r="AN63" s="287">
        <v>428865.79184497957</v>
      </c>
      <c r="AO63" s="288">
        <v>0</v>
      </c>
      <c r="AP63" s="289">
        <v>6090535.3030249476</v>
      </c>
      <c r="AQ63" s="266"/>
      <c r="AR63" s="285">
        <v>1297361.45</v>
      </c>
      <c r="AS63" s="286">
        <v>0</v>
      </c>
      <c r="AT63" s="286">
        <v>0</v>
      </c>
      <c r="AU63" s="290">
        <v>0</v>
      </c>
      <c r="AV63" s="289">
        <v>1297361.45</v>
      </c>
      <c r="AW63" s="291">
        <v>4793173.8530249475</v>
      </c>
    </row>
    <row r="64" spans="1:49" x14ac:dyDescent="0.25">
      <c r="A64" s="264">
        <v>2540162</v>
      </c>
      <c r="B64" s="264" t="str">
        <f>VLOOKUP(A64,'Výpočet VP 2020'!$A$4:$B$318,2,FALSE)</f>
        <v>NZO</v>
      </c>
      <c r="C64" s="264" t="s">
        <v>694</v>
      </c>
      <c r="D64" s="264" t="s">
        <v>694</v>
      </c>
      <c r="E64" s="264" t="s">
        <v>1171</v>
      </c>
      <c r="F64" s="264">
        <v>2540162</v>
      </c>
      <c r="G64" s="264" t="s">
        <v>1131</v>
      </c>
      <c r="H64" s="264">
        <v>2019</v>
      </c>
      <c r="I64" s="265"/>
      <c r="J64" s="278"/>
      <c r="K64" s="279"/>
      <c r="L64" s="279"/>
      <c r="M64" s="280"/>
      <c r="N64" s="280">
        <v>2364</v>
      </c>
      <c r="O64" s="279"/>
      <c r="P64" s="281" t="s">
        <v>1098</v>
      </c>
      <c r="Q64" s="264"/>
      <c r="R64" s="282"/>
      <c r="S64" s="281" t="s">
        <v>1733</v>
      </c>
      <c r="T64" s="281">
        <v>1.1000000000000001</v>
      </c>
      <c r="U64" s="264">
        <v>0.2</v>
      </c>
      <c r="V64" s="282">
        <v>0.9</v>
      </c>
      <c r="W64" s="281">
        <v>0</v>
      </c>
      <c r="X64" s="281">
        <v>0</v>
      </c>
      <c r="Y64" s="264">
        <v>0</v>
      </c>
      <c r="Z64" s="282">
        <v>50</v>
      </c>
      <c r="AA64" s="281">
        <v>0</v>
      </c>
      <c r="AB64" s="281">
        <v>0</v>
      </c>
      <c r="AD64" s="284">
        <v>1.1000000000000001</v>
      </c>
      <c r="AE64" s="284">
        <v>0.2</v>
      </c>
      <c r="AF64" s="284">
        <v>0.9</v>
      </c>
      <c r="AG64" s="284">
        <v>0</v>
      </c>
      <c r="AH64" s="284">
        <v>0</v>
      </c>
      <c r="AI64" s="284">
        <v>0</v>
      </c>
      <c r="AJ64" s="284">
        <v>0</v>
      </c>
      <c r="AL64" s="285">
        <v>607593.8011998015</v>
      </c>
      <c r="AM64" s="286">
        <v>0</v>
      </c>
      <c r="AN64" s="287">
        <v>46024.62156385147</v>
      </c>
      <c r="AO64" s="288">
        <v>0</v>
      </c>
      <c r="AP64" s="289">
        <v>653618.42276365298</v>
      </c>
      <c r="AQ64" s="266"/>
      <c r="AR64" s="285">
        <v>124879.71176470589</v>
      </c>
      <c r="AS64" s="286">
        <v>0</v>
      </c>
      <c r="AT64" s="286">
        <v>0</v>
      </c>
      <c r="AU64" s="290">
        <v>0</v>
      </c>
      <c r="AV64" s="289">
        <v>124879.71176470589</v>
      </c>
      <c r="AW64" s="291">
        <v>528738.71099894703</v>
      </c>
    </row>
    <row r="65" spans="1:49" x14ac:dyDescent="0.25">
      <c r="A65" s="264">
        <v>1008575</v>
      </c>
      <c r="B65" s="264" t="str">
        <f>VLOOKUP(A65,'Výpočet VP 2020'!$A$4:$B$318,2,FALSE)</f>
        <v>NZO</v>
      </c>
      <c r="C65" s="264" t="s">
        <v>386</v>
      </c>
      <c r="D65" s="264" t="s">
        <v>384</v>
      </c>
      <c r="E65" s="264" t="s">
        <v>1154</v>
      </c>
      <c r="F65" s="264">
        <v>1008575</v>
      </c>
      <c r="G65" s="264" t="s">
        <v>1134</v>
      </c>
      <c r="H65" s="264">
        <v>2019</v>
      </c>
      <c r="I65" s="265"/>
      <c r="J65" s="278"/>
      <c r="K65" s="279"/>
      <c r="L65" s="279"/>
      <c r="M65" s="280"/>
      <c r="N65" s="280">
        <v>2534</v>
      </c>
      <c r="O65" s="279"/>
      <c r="P65" s="281" t="s">
        <v>1098</v>
      </c>
      <c r="Q65" s="264"/>
      <c r="R65" s="282"/>
      <c r="S65" s="281" t="s">
        <v>1733</v>
      </c>
      <c r="T65" s="281">
        <v>7</v>
      </c>
      <c r="U65" s="264">
        <v>1</v>
      </c>
      <c r="V65" s="282">
        <v>6</v>
      </c>
      <c r="W65" s="281">
        <v>0</v>
      </c>
      <c r="X65" s="281">
        <v>0</v>
      </c>
      <c r="Y65" s="264">
        <v>0</v>
      </c>
      <c r="Z65" s="282">
        <v>188</v>
      </c>
      <c r="AA65" s="281">
        <v>6</v>
      </c>
      <c r="AB65" s="281">
        <v>0</v>
      </c>
      <c r="AD65" s="284">
        <v>7</v>
      </c>
      <c r="AE65" s="284">
        <v>1</v>
      </c>
      <c r="AF65" s="284">
        <v>6</v>
      </c>
      <c r="AG65" s="284">
        <v>0</v>
      </c>
      <c r="AH65" s="284">
        <v>0</v>
      </c>
      <c r="AI65" s="284">
        <v>0</v>
      </c>
      <c r="AJ65" s="284">
        <v>6</v>
      </c>
      <c r="AL65" s="285">
        <v>3866506.0076350998</v>
      </c>
      <c r="AM65" s="286">
        <v>0</v>
      </c>
      <c r="AN65" s="287">
        <v>292883.9554063275</v>
      </c>
      <c r="AO65" s="288">
        <v>0</v>
      </c>
      <c r="AP65" s="289">
        <v>4159389.9630414275</v>
      </c>
      <c r="AQ65" s="266"/>
      <c r="AR65" s="285">
        <v>832531.4117647059</v>
      </c>
      <c r="AS65" s="286">
        <v>0</v>
      </c>
      <c r="AT65" s="286">
        <v>0</v>
      </c>
      <c r="AU65" s="290">
        <v>0</v>
      </c>
      <c r="AV65" s="289">
        <v>832531.4117647059</v>
      </c>
      <c r="AW65" s="291">
        <v>3326858.5512767215</v>
      </c>
    </row>
    <row r="66" spans="1:49" x14ac:dyDescent="0.25">
      <c r="A66" s="264">
        <v>7741294</v>
      </c>
      <c r="B66" s="264" t="str">
        <f>VLOOKUP(A66,'Výpočet VP 2020'!$A$4:$B$318,2,FALSE)</f>
        <v>NZO</v>
      </c>
      <c r="C66" s="264" t="s">
        <v>772</v>
      </c>
      <c r="D66" s="264" t="s">
        <v>760</v>
      </c>
      <c r="E66" s="264" t="s">
        <v>1216</v>
      </c>
      <c r="F66" s="264">
        <v>7741294</v>
      </c>
      <c r="G66" s="264" t="s">
        <v>1217</v>
      </c>
      <c r="H66" s="264">
        <v>2019</v>
      </c>
      <c r="I66" s="265"/>
      <c r="J66" s="278"/>
      <c r="K66" s="279"/>
      <c r="L66" s="279"/>
      <c r="M66" s="280"/>
      <c r="N66" s="280">
        <v>2542</v>
      </c>
      <c r="O66" s="279"/>
      <c r="P66" s="281" t="s">
        <v>1164</v>
      </c>
      <c r="Q66" s="264"/>
      <c r="R66" s="282"/>
      <c r="S66" s="281" t="s">
        <v>1733</v>
      </c>
      <c r="T66" s="281">
        <v>4</v>
      </c>
      <c r="U66" s="264">
        <v>1</v>
      </c>
      <c r="V66" s="282">
        <v>3</v>
      </c>
      <c r="W66" s="281">
        <v>0</v>
      </c>
      <c r="X66" s="281">
        <v>0</v>
      </c>
      <c r="Y66" s="264">
        <v>0</v>
      </c>
      <c r="Z66" s="282">
        <v>125</v>
      </c>
      <c r="AA66" s="281">
        <v>0</v>
      </c>
      <c r="AB66" s="281">
        <v>0</v>
      </c>
      <c r="AD66" s="284">
        <v>4</v>
      </c>
      <c r="AE66" s="284">
        <v>1</v>
      </c>
      <c r="AF66" s="284">
        <v>3</v>
      </c>
      <c r="AG66" s="284">
        <v>0</v>
      </c>
      <c r="AH66" s="284">
        <v>0</v>
      </c>
      <c r="AI66" s="284">
        <v>0</v>
      </c>
      <c r="AJ66" s="284">
        <v>0</v>
      </c>
      <c r="AL66" s="285">
        <v>2209432.0043629142</v>
      </c>
      <c r="AM66" s="286">
        <v>0</v>
      </c>
      <c r="AN66" s="287">
        <v>167362.26023218714</v>
      </c>
      <c r="AO66" s="288">
        <v>0</v>
      </c>
      <c r="AP66" s="289">
        <v>2376794.2645951016</v>
      </c>
      <c r="AQ66" s="266"/>
      <c r="AR66" s="285">
        <v>416265.70588235295</v>
      </c>
      <c r="AS66" s="286">
        <v>0</v>
      </c>
      <c r="AT66" s="286">
        <v>0</v>
      </c>
      <c r="AU66" s="290">
        <v>0</v>
      </c>
      <c r="AV66" s="289">
        <v>416265.70588235295</v>
      </c>
      <c r="AW66" s="291">
        <v>1960528.5587127486</v>
      </c>
    </row>
    <row r="67" spans="1:49" x14ac:dyDescent="0.25">
      <c r="A67" s="264">
        <v>9735411</v>
      </c>
      <c r="B67" s="264" t="str">
        <f>VLOOKUP(A67,'Výpočet VP 2020'!$A$4:$B$318,2,FALSE)</f>
        <v>NZO</v>
      </c>
      <c r="C67" s="264" t="s">
        <v>386</v>
      </c>
      <c r="D67" s="264" t="s">
        <v>312</v>
      </c>
      <c r="E67" s="264" t="s">
        <v>1174</v>
      </c>
      <c r="F67" s="264">
        <v>9735411</v>
      </c>
      <c r="G67" s="264" t="s">
        <v>1058</v>
      </c>
      <c r="H67" s="264">
        <v>2019</v>
      </c>
      <c r="I67" s="265"/>
      <c r="J67" s="278"/>
      <c r="K67" s="279"/>
      <c r="L67" s="279"/>
      <c r="M67" s="280"/>
      <c r="N67" s="280">
        <v>2046</v>
      </c>
      <c r="O67" s="279"/>
      <c r="P67" s="281" t="s">
        <v>1187</v>
      </c>
      <c r="Q67" s="264"/>
      <c r="R67" s="282"/>
      <c r="S67" s="281" t="s">
        <v>1733</v>
      </c>
      <c r="T67" s="281">
        <v>31.15</v>
      </c>
      <c r="U67" s="264">
        <v>1.9</v>
      </c>
      <c r="V67" s="282">
        <v>29.25</v>
      </c>
      <c r="W67" s="281">
        <v>0</v>
      </c>
      <c r="X67" s="281">
        <v>0</v>
      </c>
      <c r="Y67" s="264">
        <v>0</v>
      </c>
      <c r="Z67" s="282">
        <v>220</v>
      </c>
      <c r="AA67" s="281">
        <v>0</v>
      </c>
      <c r="AB67" s="281">
        <v>0</v>
      </c>
      <c r="AD67" s="284">
        <v>31.15</v>
      </c>
      <c r="AE67" s="284">
        <v>1.9</v>
      </c>
      <c r="AF67" s="284">
        <v>29.25</v>
      </c>
      <c r="AG67" s="284">
        <v>0</v>
      </c>
      <c r="AH67" s="284">
        <v>0</v>
      </c>
      <c r="AI67" s="284">
        <v>0</v>
      </c>
      <c r="AJ67" s="284">
        <v>0</v>
      </c>
      <c r="AL67" s="285">
        <v>17205951.733976193</v>
      </c>
      <c r="AM67" s="286">
        <v>0</v>
      </c>
      <c r="AN67" s="287">
        <v>1303333.6015581572</v>
      </c>
      <c r="AO67" s="288">
        <v>0</v>
      </c>
      <c r="AP67" s="289">
        <v>18509285.335534349</v>
      </c>
      <c r="AQ67" s="266"/>
      <c r="AR67" s="285">
        <v>4058590.6323529412</v>
      </c>
      <c r="AS67" s="286">
        <v>0</v>
      </c>
      <c r="AT67" s="286">
        <v>0</v>
      </c>
      <c r="AU67" s="290">
        <v>0</v>
      </c>
      <c r="AV67" s="289">
        <v>4058590.6323529412</v>
      </c>
      <c r="AW67" s="291">
        <v>14450694.703181408</v>
      </c>
    </row>
    <row r="68" spans="1:49" x14ac:dyDescent="0.25">
      <c r="A68" s="264">
        <v>5376966</v>
      </c>
      <c r="B68" s="264" t="str">
        <f>VLOOKUP(A68,'Výpočet VP 2020'!$A$4:$B$318,2,FALSE)</f>
        <v>NZO</v>
      </c>
      <c r="C68" s="264" t="s">
        <v>1200</v>
      </c>
      <c r="D68" s="264" t="s">
        <v>776</v>
      </c>
      <c r="E68" s="264" t="s">
        <v>1174</v>
      </c>
      <c r="F68" s="264">
        <v>5376966</v>
      </c>
      <c r="G68" s="264" t="s">
        <v>1058</v>
      </c>
      <c r="H68" s="264">
        <v>2019</v>
      </c>
      <c r="I68" s="265"/>
      <c r="J68" s="278"/>
      <c r="K68" s="279"/>
      <c r="L68" s="279"/>
      <c r="M68" s="280"/>
      <c r="N68" s="280">
        <v>2046</v>
      </c>
      <c r="O68" s="279"/>
      <c r="P68" s="281" t="s">
        <v>1187</v>
      </c>
      <c r="Q68" s="264"/>
      <c r="R68" s="282"/>
      <c r="S68" s="281" t="s">
        <v>1733</v>
      </c>
      <c r="T68" s="281">
        <v>21.3</v>
      </c>
      <c r="U68" s="264">
        <v>2.1</v>
      </c>
      <c r="V68" s="282">
        <v>19.2</v>
      </c>
      <c r="W68" s="281">
        <v>0</v>
      </c>
      <c r="X68" s="281">
        <v>0</v>
      </c>
      <c r="Y68" s="264">
        <v>0</v>
      </c>
      <c r="Z68" s="282">
        <v>115</v>
      </c>
      <c r="AA68" s="281">
        <v>0</v>
      </c>
      <c r="AB68" s="281">
        <v>0</v>
      </c>
      <c r="AD68" s="284">
        <v>21.3</v>
      </c>
      <c r="AE68" s="284">
        <v>2.1</v>
      </c>
      <c r="AF68" s="284">
        <v>19.2</v>
      </c>
      <c r="AG68" s="284">
        <v>0</v>
      </c>
      <c r="AH68" s="284">
        <v>0</v>
      </c>
      <c r="AI68" s="284">
        <v>0</v>
      </c>
      <c r="AJ68" s="284">
        <v>0</v>
      </c>
      <c r="AL68" s="285">
        <v>11765225.423232518</v>
      </c>
      <c r="AM68" s="286">
        <v>0</v>
      </c>
      <c r="AN68" s="287">
        <v>891204.03573639656</v>
      </c>
      <c r="AO68" s="288">
        <v>0</v>
      </c>
      <c r="AP68" s="289">
        <v>12656429.458968915</v>
      </c>
      <c r="AQ68" s="266"/>
      <c r="AR68" s="285">
        <v>2664100.5176470587</v>
      </c>
      <c r="AS68" s="286">
        <v>0</v>
      </c>
      <c r="AT68" s="286">
        <v>0</v>
      </c>
      <c r="AU68" s="290">
        <v>0</v>
      </c>
      <c r="AV68" s="289">
        <v>2664100.5176470587</v>
      </c>
      <c r="AW68" s="291">
        <v>9992328.9413218573</v>
      </c>
    </row>
    <row r="69" spans="1:49" x14ac:dyDescent="0.25">
      <c r="A69" s="264">
        <v>1826777</v>
      </c>
      <c r="B69" s="264" t="str">
        <f>VLOOKUP(A69,'Výpočet VP 2020'!$A$4:$B$318,2,FALSE)</f>
        <v>NZO</v>
      </c>
      <c r="C69" s="264" t="s">
        <v>1176</v>
      </c>
      <c r="D69" s="264" t="s">
        <v>1176</v>
      </c>
      <c r="E69" s="264" t="s">
        <v>1174</v>
      </c>
      <c r="F69" s="264">
        <v>1826777</v>
      </c>
      <c r="G69" s="264" t="s">
        <v>1058</v>
      </c>
      <c r="H69" s="264">
        <v>2019</v>
      </c>
      <c r="I69" s="265"/>
      <c r="J69" s="278"/>
      <c r="K69" s="279"/>
      <c r="L69" s="279"/>
      <c r="M69" s="280"/>
      <c r="N69" s="280">
        <v>2046</v>
      </c>
      <c r="O69" s="279"/>
      <c r="P69" s="281" t="s">
        <v>1177</v>
      </c>
      <c r="Q69" s="264"/>
      <c r="R69" s="282"/>
      <c r="S69" s="281" t="s">
        <v>1733</v>
      </c>
      <c r="T69" s="281">
        <v>9</v>
      </c>
      <c r="U69" s="264">
        <v>1</v>
      </c>
      <c r="V69" s="282">
        <v>8</v>
      </c>
      <c r="W69" s="281">
        <v>0</v>
      </c>
      <c r="X69" s="281">
        <v>0</v>
      </c>
      <c r="Y69" s="264">
        <v>0</v>
      </c>
      <c r="Z69" s="282">
        <v>20</v>
      </c>
      <c r="AA69" s="281">
        <v>0</v>
      </c>
      <c r="AB69" s="281">
        <v>0</v>
      </c>
      <c r="AD69" s="284">
        <v>9</v>
      </c>
      <c r="AE69" s="284">
        <v>1</v>
      </c>
      <c r="AF69" s="284">
        <v>8</v>
      </c>
      <c r="AG69" s="284">
        <v>0</v>
      </c>
      <c r="AH69" s="284">
        <v>0</v>
      </c>
      <c r="AI69" s="284">
        <v>0</v>
      </c>
      <c r="AJ69" s="284">
        <v>0</v>
      </c>
      <c r="AL69" s="285">
        <v>4971222.0098165572</v>
      </c>
      <c r="AM69" s="286">
        <v>0</v>
      </c>
      <c r="AN69" s="287">
        <v>376565.08552242105</v>
      </c>
      <c r="AO69" s="288">
        <v>0</v>
      </c>
      <c r="AP69" s="289">
        <v>5347787.0953389779</v>
      </c>
      <c r="AQ69" s="266"/>
      <c r="AR69" s="285">
        <v>1110041.8823529412</v>
      </c>
      <c r="AS69" s="286">
        <v>0</v>
      </c>
      <c r="AT69" s="286">
        <v>0</v>
      </c>
      <c r="AU69" s="290">
        <v>0</v>
      </c>
      <c r="AV69" s="289">
        <v>1110041.8823529412</v>
      </c>
      <c r="AW69" s="291">
        <v>4237745.2129860371</v>
      </c>
    </row>
    <row r="70" spans="1:49" x14ac:dyDescent="0.25">
      <c r="A70" s="264">
        <v>1686476</v>
      </c>
      <c r="B70" s="264" t="str">
        <f>VLOOKUP(A70,'Výpočet VP 2020'!$A$4:$B$318,2,FALSE)</f>
        <v>NZO</v>
      </c>
      <c r="C70" s="264" t="s">
        <v>386</v>
      </c>
      <c r="D70" s="264" t="s">
        <v>1175</v>
      </c>
      <c r="E70" s="264" t="s">
        <v>1174</v>
      </c>
      <c r="F70" s="264">
        <v>1686476</v>
      </c>
      <c r="G70" s="264" t="s">
        <v>1058</v>
      </c>
      <c r="H70" s="264">
        <v>2019</v>
      </c>
      <c r="I70" s="265"/>
      <c r="J70" s="278"/>
      <c r="K70" s="279"/>
      <c r="L70" s="279"/>
      <c r="M70" s="280"/>
      <c r="N70" s="280">
        <v>2046</v>
      </c>
      <c r="O70" s="279"/>
      <c r="P70" s="281" t="s">
        <v>1098</v>
      </c>
      <c r="Q70" s="264"/>
      <c r="R70" s="282"/>
      <c r="S70" s="281" t="s">
        <v>1733</v>
      </c>
      <c r="T70" s="281">
        <v>25.5</v>
      </c>
      <c r="U70" s="264">
        <v>1.5</v>
      </c>
      <c r="V70" s="282">
        <v>24</v>
      </c>
      <c r="W70" s="281">
        <v>0</v>
      </c>
      <c r="X70" s="281">
        <v>0</v>
      </c>
      <c r="Y70" s="264">
        <v>0</v>
      </c>
      <c r="Z70" s="282">
        <v>265</v>
      </c>
      <c r="AA70" s="281">
        <v>0</v>
      </c>
      <c r="AB70" s="281">
        <v>0</v>
      </c>
      <c r="AD70" s="284">
        <v>25.5</v>
      </c>
      <c r="AE70" s="284">
        <v>1.5</v>
      </c>
      <c r="AF70" s="284">
        <v>24</v>
      </c>
      <c r="AG70" s="284">
        <v>0</v>
      </c>
      <c r="AH70" s="284">
        <v>0</v>
      </c>
      <c r="AI70" s="284">
        <v>0</v>
      </c>
      <c r="AJ70" s="284">
        <v>0</v>
      </c>
      <c r="AL70" s="285">
        <v>14085129.027813578</v>
      </c>
      <c r="AM70" s="286">
        <v>0</v>
      </c>
      <c r="AN70" s="287">
        <v>1066934.4089801931</v>
      </c>
      <c r="AO70" s="288">
        <v>0</v>
      </c>
      <c r="AP70" s="289">
        <v>15152063.436793771</v>
      </c>
      <c r="AQ70" s="266"/>
      <c r="AR70" s="285">
        <v>3330125.6470588236</v>
      </c>
      <c r="AS70" s="286">
        <v>0</v>
      </c>
      <c r="AT70" s="286">
        <v>0</v>
      </c>
      <c r="AU70" s="290">
        <v>0</v>
      </c>
      <c r="AV70" s="289">
        <v>3330125.6470588236</v>
      </c>
      <c r="AW70" s="291">
        <v>11821937.789734947</v>
      </c>
    </row>
    <row r="71" spans="1:49" x14ac:dyDescent="0.25">
      <c r="A71" s="264">
        <v>2540162</v>
      </c>
      <c r="B71" s="264" t="str">
        <f>VLOOKUP(A71,'Výpočet VP 2020'!$A$4:$B$318,2,FALSE)</f>
        <v>NZO</v>
      </c>
      <c r="C71" s="264" t="s">
        <v>694</v>
      </c>
      <c r="D71" s="264" t="s">
        <v>694</v>
      </c>
      <c r="E71" s="264" t="s">
        <v>1181</v>
      </c>
      <c r="F71" s="264">
        <v>2540162</v>
      </c>
      <c r="G71" s="264" t="s">
        <v>1149</v>
      </c>
      <c r="H71" s="264">
        <v>2019</v>
      </c>
      <c r="I71" s="265"/>
      <c r="J71" s="278"/>
      <c r="K71" s="279"/>
      <c r="L71" s="279"/>
      <c r="M71" s="280"/>
      <c r="N71" s="280">
        <v>2241</v>
      </c>
      <c r="O71" s="279"/>
      <c r="P71" s="281" t="s">
        <v>1098</v>
      </c>
      <c r="Q71" s="264"/>
      <c r="R71" s="282"/>
      <c r="S71" s="281" t="s">
        <v>1733</v>
      </c>
      <c r="T71" s="281">
        <v>0.25</v>
      </c>
      <c r="U71" s="264">
        <v>0.05</v>
      </c>
      <c r="V71" s="282">
        <v>0.2</v>
      </c>
      <c r="W71" s="281">
        <v>0</v>
      </c>
      <c r="X71" s="281">
        <v>0</v>
      </c>
      <c r="Y71" s="264">
        <v>0</v>
      </c>
      <c r="Z71" s="282">
        <v>70</v>
      </c>
      <c r="AA71" s="281">
        <v>0</v>
      </c>
      <c r="AB71" s="281">
        <v>0</v>
      </c>
      <c r="AD71" s="284">
        <v>0.25</v>
      </c>
      <c r="AE71" s="284">
        <v>0.05</v>
      </c>
      <c r="AF71" s="284">
        <v>0.2</v>
      </c>
      <c r="AG71" s="284">
        <v>0</v>
      </c>
      <c r="AH71" s="284">
        <v>0</v>
      </c>
      <c r="AI71" s="284">
        <v>0</v>
      </c>
      <c r="AJ71" s="284">
        <v>0</v>
      </c>
      <c r="AL71" s="285">
        <v>138089.50027268214</v>
      </c>
      <c r="AM71" s="286">
        <v>0</v>
      </c>
      <c r="AN71" s="287">
        <v>10460.141264511696</v>
      </c>
      <c r="AO71" s="288">
        <v>0</v>
      </c>
      <c r="AP71" s="289">
        <v>148549.64153719385</v>
      </c>
      <c r="AQ71" s="266"/>
      <c r="AR71" s="285">
        <v>27751.047058823533</v>
      </c>
      <c r="AS71" s="286">
        <v>0</v>
      </c>
      <c r="AT71" s="286">
        <v>0</v>
      </c>
      <c r="AU71" s="290">
        <v>0</v>
      </c>
      <c r="AV71" s="289">
        <v>27751.047058823533</v>
      </c>
      <c r="AW71" s="291">
        <v>120798.59447837032</v>
      </c>
    </row>
    <row r="72" spans="1:49" x14ac:dyDescent="0.25">
      <c r="A72" s="264">
        <v>9554713</v>
      </c>
      <c r="B72" s="264" t="str">
        <f>VLOOKUP(A72,'Výpočet VP 2020'!$A$4:$B$318,2,FALSE)</f>
        <v>NZO</v>
      </c>
      <c r="C72" s="264" t="s">
        <v>792</v>
      </c>
      <c r="D72" s="264" t="s">
        <v>805</v>
      </c>
      <c r="E72" s="264" t="s">
        <v>1162</v>
      </c>
      <c r="F72" s="264">
        <v>9554713</v>
      </c>
      <c r="G72" s="264" t="s">
        <v>1068</v>
      </c>
      <c r="H72" s="264">
        <v>2019</v>
      </c>
      <c r="I72" s="265"/>
      <c r="J72" s="278"/>
      <c r="K72" s="279"/>
      <c r="L72" s="279"/>
      <c r="M72" s="280"/>
      <c r="N72" s="280">
        <v>2178</v>
      </c>
      <c r="O72" s="279"/>
      <c r="P72" s="281" t="s">
        <v>1177</v>
      </c>
      <c r="Q72" s="264"/>
      <c r="R72" s="282"/>
      <c r="S72" s="281" t="s">
        <v>1733</v>
      </c>
      <c r="T72" s="281">
        <v>2</v>
      </c>
      <c r="U72" s="264">
        <v>0.5</v>
      </c>
      <c r="V72" s="282">
        <v>1.5</v>
      </c>
      <c r="W72" s="281">
        <v>0</v>
      </c>
      <c r="X72" s="281">
        <v>0</v>
      </c>
      <c r="Y72" s="264">
        <v>0</v>
      </c>
      <c r="Z72" s="282">
        <v>90</v>
      </c>
      <c r="AA72" s="281">
        <v>0</v>
      </c>
      <c r="AB72" s="281">
        <v>0</v>
      </c>
      <c r="AD72" s="284">
        <v>2</v>
      </c>
      <c r="AE72" s="284">
        <v>0.5</v>
      </c>
      <c r="AF72" s="284">
        <v>1.5</v>
      </c>
      <c r="AG72" s="284">
        <v>0</v>
      </c>
      <c r="AH72" s="284">
        <v>0</v>
      </c>
      <c r="AI72" s="284">
        <v>0</v>
      </c>
      <c r="AJ72" s="284">
        <v>0</v>
      </c>
      <c r="AL72" s="285">
        <v>1104716.0021814571</v>
      </c>
      <c r="AM72" s="286">
        <v>0</v>
      </c>
      <c r="AN72" s="287">
        <v>83681.130116093569</v>
      </c>
      <c r="AO72" s="288">
        <v>0</v>
      </c>
      <c r="AP72" s="289">
        <v>1188397.1322975508</v>
      </c>
      <c r="AQ72" s="266"/>
      <c r="AR72" s="285">
        <v>208132.85294117648</v>
      </c>
      <c r="AS72" s="286">
        <v>0</v>
      </c>
      <c r="AT72" s="286">
        <v>0</v>
      </c>
      <c r="AU72" s="290">
        <v>0</v>
      </c>
      <c r="AV72" s="289">
        <v>208132.85294117648</v>
      </c>
      <c r="AW72" s="291">
        <v>980264.27935637429</v>
      </c>
    </row>
    <row r="73" spans="1:49" x14ac:dyDescent="0.25">
      <c r="A73" s="264">
        <v>3921078</v>
      </c>
      <c r="B73" s="264" t="str">
        <f>VLOOKUP(A73,'Výpočet VP 2020'!$A$4:$B$318,2,FALSE)</f>
        <v>NZO</v>
      </c>
      <c r="C73" s="264" t="s">
        <v>962</v>
      </c>
      <c r="D73" s="264" t="s">
        <v>962</v>
      </c>
      <c r="E73" s="264" t="s">
        <v>1162</v>
      </c>
      <c r="F73" s="264">
        <v>3921078</v>
      </c>
      <c r="G73" s="264" t="s">
        <v>1068</v>
      </c>
      <c r="H73" s="264">
        <v>2019</v>
      </c>
      <c r="I73" s="265"/>
      <c r="J73" s="278"/>
      <c r="K73" s="279"/>
      <c r="L73" s="279"/>
      <c r="M73" s="280"/>
      <c r="N73" s="280">
        <v>2178</v>
      </c>
      <c r="O73" s="279"/>
      <c r="P73" s="281" t="s">
        <v>1126</v>
      </c>
      <c r="Q73" s="264"/>
      <c r="R73" s="282"/>
      <c r="S73" s="281" t="s">
        <v>1733</v>
      </c>
      <c r="T73" s="281">
        <v>1.57</v>
      </c>
      <c r="U73" s="264">
        <v>0.1</v>
      </c>
      <c r="V73" s="282">
        <v>1.47</v>
      </c>
      <c r="W73" s="281">
        <v>0</v>
      </c>
      <c r="X73" s="281">
        <v>0</v>
      </c>
      <c r="Y73" s="264">
        <v>0</v>
      </c>
      <c r="Z73" s="282">
        <v>0</v>
      </c>
      <c r="AA73" s="281">
        <v>3</v>
      </c>
      <c r="AB73" s="281">
        <v>0</v>
      </c>
      <c r="AD73" s="284">
        <v>1.57</v>
      </c>
      <c r="AE73" s="284">
        <v>0.1</v>
      </c>
      <c r="AF73" s="284">
        <v>1.47</v>
      </c>
      <c r="AG73" s="284">
        <v>0</v>
      </c>
      <c r="AH73" s="284">
        <v>0</v>
      </c>
      <c r="AI73" s="284">
        <v>0</v>
      </c>
      <c r="AJ73" s="284">
        <v>3</v>
      </c>
      <c r="AL73" s="285">
        <v>867202.06171244383</v>
      </c>
      <c r="AM73" s="286">
        <v>0</v>
      </c>
      <c r="AN73" s="287">
        <v>65689.687141133458</v>
      </c>
      <c r="AO73" s="288">
        <v>0</v>
      </c>
      <c r="AP73" s="289">
        <v>932891.7488535773</v>
      </c>
      <c r="AQ73" s="266"/>
      <c r="AR73" s="285">
        <v>203970.19588235294</v>
      </c>
      <c r="AS73" s="286">
        <v>0</v>
      </c>
      <c r="AT73" s="286">
        <v>0</v>
      </c>
      <c r="AU73" s="290">
        <v>0</v>
      </c>
      <c r="AV73" s="289">
        <v>203970.19588235294</v>
      </c>
      <c r="AW73" s="291">
        <v>728921.5529712243</v>
      </c>
    </row>
    <row r="74" spans="1:49" x14ac:dyDescent="0.25">
      <c r="A74" s="264">
        <v>9554713</v>
      </c>
      <c r="B74" s="264" t="str">
        <f>VLOOKUP(A74,'Výpočet VP 2020'!$A$4:$B$318,2,FALSE)</f>
        <v>NZO</v>
      </c>
      <c r="C74" s="264" t="s">
        <v>792</v>
      </c>
      <c r="D74" s="264" t="s">
        <v>805</v>
      </c>
      <c r="E74" s="264" t="s">
        <v>1224</v>
      </c>
      <c r="F74" s="264">
        <v>9554713</v>
      </c>
      <c r="G74" s="264" t="s">
        <v>1225</v>
      </c>
      <c r="H74" s="264">
        <v>2019</v>
      </c>
      <c r="I74" s="265"/>
      <c r="J74" s="278"/>
      <c r="K74" s="279"/>
      <c r="L74" s="279"/>
      <c r="M74" s="280"/>
      <c r="N74" s="280">
        <v>2186</v>
      </c>
      <c r="O74" s="279"/>
      <c r="P74" s="281" t="s">
        <v>1126</v>
      </c>
      <c r="Q74" s="264"/>
      <c r="R74" s="282"/>
      <c r="S74" s="281" t="s">
        <v>1733</v>
      </c>
      <c r="T74" s="281">
        <v>12</v>
      </c>
      <c r="U74" s="264">
        <v>1</v>
      </c>
      <c r="V74" s="282">
        <v>11</v>
      </c>
      <c r="W74" s="281">
        <v>0</v>
      </c>
      <c r="X74" s="281">
        <v>0</v>
      </c>
      <c r="Y74" s="264">
        <v>0</v>
      </c>
      <c r="Z74" s="282">
        <v>105</v>
      </c>
      <c r="AA74" s="281">
        <v>0</v>
      </c>
      <c r="AB74" s="281">
        <v>0</v>
      </c>
      <c r="AD74" s="284">
        <v>12</v>
      </c>
      <c r="AE74" s="284">
        <v>1</v>
      </c>
      <c r="AF74" s="284">
        <v>11</v>
      </c>
      <c r="AG74" s="284">
        <v>0</v>
      </c>
      <c r="AH74" s="284">
        <v>0</v>
      </c>
      <c r="AI74" s="284">
        <v>0</v>
      </c>
      <c r="AJ74" s="284">
        <v>0</v>
      </c>
      <c r="AL74" s="285">
        <v>6628296.0130887423</v>
      </c>
      <c r="AM74" s="286">
        <v>0</v>
      </c>
      <c r="AN74" s="287">
        <v>502086.78069656144</v>
      </c>
      <c r="AO74" s="288">
        <v>0</v>
      </c>
      <c r="AP74" s="289">
        <v>7130382.7937853038</v>
      </c>
      <c r="AQ74" s="266"/>
      <c r="AR74" s="285">
        <v>1526307.5882352942</v>
      </c>
      <c r="AS74" s="286">
        <v>0</v>
      </c>
      <c r="AT74" s="286">
        <v>0</v>
      </c>
      <c r="AU74" s="290">
        <v>0</v>
      </c>
      <c r="AV74" s="289">
        <v>1526307.5882352942</v>
      </c>
      <c r="AW74" s="291">
        <v>5604075.2055500094</v>
      </c>
    </row>
    <row r="75" spans="1:49" x14ac:dyDescent="0.25">
      <c r="A75" s="264">
        <v>6161785</v>
      </c>
      <c r="B75" s="264" t="str">
        <f>VLOOKUP(A75,'Výpočet VP 2020'!$A$4:$B$318,2,FALSE)</f>
        <v>NZO</v>
      </c>
      <c r="C75" s="264" t="s">
        <v>1204</v>
      </c>
      <c r="D75" s="264" t="s">
        <v>812</v>
      </c>
      <c r="E75" s="264" t="s">
        <v>1203</v>
      </c>
      <c r="F75" s="264">
        <v>6161785</v>
      </c>
      <c r="G75" s="264" t="s">
        <v>1061</v>
      </c>
      <c r="H75" s="264">
        <v>2019</v>
      </c>
      <c r="I75" s="265"/>
      <c r="J75" s="278"/>
      <c r="K75" s="279"/>
      <c r="L75" s="279"/>
      <c r="M75" s="280"/>
      <c r="N75" s="280">
        <v>2267</v>
      </c>
      <c r="O75" s="279"/>
      <c r="P75" s="281" t="s">
        <v>1126</v>
      </c>
      <c r="Q75" s="264"/>
      <c r="R75" s="282"/>
      <c r="S75" s="281" t="s">
        <v>1733</v>
      </c>
      <c r="T75" s="281">
        <v>5</v>
      </c>
      <c r="U75" s="264">
        <v>0.5</v>
      </c>
      <c r="V75" s="282">
        <v>4.5</v>
      </c>
      <c r="W75" s="281">
        <v>0</v>
      </c>
      <c r="X75" s="281">
        <v>0</v>
      </c>
      <c r="Y75" s="264">
        <v>0</v>
      </c>
      <c r="Z75" s="282">
        <v>45</v>
      </c>
      <c r="AA75" s="281">
        <v>0</v>
      </c>
      <c r="AB75" s="281">
        <v>0</v>
      </c>
      <c r="AD75" s="284">
        <v>5</v>
      </c>
      <c r="AE75" s="284">
        <v>0.5</v>
      </c>
      <c r="AF75" s="284">
        <v>4.5</v>
      </c>
      <c r="AG75" s="284">
        <v>0</v>
      </c>
      <c r="AH75" s="284">
        <v>0</v>
      </c>
      <c r="AI75" s="284">
        <v>0</v>
      </c>
      <c r="AJ75" s="284">
        <v>0</v>
      </c>
      <c r="AL75" s="285">
        <v>2761790.0054536429</v>
      </c>
      <c r="AM75" s="286">
        <v>0</v>
      </c>
      <c r="AN75" s="287">
        <v>209202.82529023392</v>
      </c>
      <c r="AO75" s="288">
        <v>0</v>
      </c>
      <c r="AP75" s="289">
        <v>2970992.8307438768</v>
      </c>
      <c r="AQ75" s="266"/>
      <c r="AR75" s="285">
        <v>624398.5588235294</v>
      </c>
      <c r="AS75" s="286">
        <v>0</v>
      </c>
      <c r="AT75" s="286">
        <v>0</v>
      </c>
      <c r="AU75" s="290">
        <v>0</v>
      </c>
      <c r="AV75" s="289">
        <v>624398.5588235294</v>
      </c>
      <c r="AW75" s="291">
        <v>2346594.2719203476</v>
      </c>
    </row>
    <row r="76" spans="1:49" x14ac:dyDescent="0.25">
      <c r="A76" s="264">
        <v>2540162</v>
      </c>
      <c r="B76" s="264" t="str">
        <f>VLOOKUP(A76,'Výpočet VP 2020'!$A$4:$B$318,2,FALSE)</f>
        <v>NZO</v>
      </c>
      <c r="C76" s="264" t="s">
        <v>694</v>
      </c>
      <c r="D76" s="264" t="s">
        <v>694</v>
      </c>
      <c r="E76" s="264" t="s">
        <v>1182</v>
      </c>
      <c r="F76" s="264">
        <v>2540162</v>
      </c>
      <c r="G76" s="264" t="s">
        <v>1183</v>
      </c>
      <c r="H76" s="264">
        <v>2019</v>
      </c>
      <c r="I76" s="265"/>
      <c r="J76" s="278"/>
      <c r="K76" s="279"/>
      <c r="L76" s="279"/>
      <c r="M76" s="280"/>
      <c r="N76" s="280">
        <v>2381</v>
      </c>
      <c r="O76" s="279"/>
      <c r="P76" s="281" t="s">
        <v>1098</v>
      </c>
      <c r="Q76" s="264"/>
      <c r="R76" s="282"/>
      <c r="S76" s="281" t="s">
        <v>1733</v>
      </c>
      <c r="T76" s="281">
        <v>3.9</v>
      </c>
      <c r="U76" s="264">
        <v>0.7</v>
      </c>
      <c r="V76" s="282">
        <v>3.2</v>
      </c>
      <c r="W76" s="281">
        <v>0</v>
      </c>
      <c r="X76" s="281">
        <v>0</v>
      </c>
      <c r="Y76" s="264">
        <v>0</v>
      </c>
      <c r="Z76" s="282">
        <v>70</v>
      </c>
      <c r="AA76" s="281">
        <v>0</v>
      </c>
      <c r="AB76" s="281">
        <v>0</v>
      </c>
      <c r="AD76" s="284">
        <v>3.9</v>
      </c>
      <c r="AE76" s="284">
        <v>0.7</v>
      </c>
      <c r="AF76" s="284">
        <v>3.2</v>
      </c>
      <c r="AG76" s="284">
        <v>0</v>
      </c>
      <c r="AH76" s="284">
        <v>0</v>
      </c>
      <c r="AI76" s="284">
        <v>0</v>
      </c>
      <c r="AJ76" s="284">
        <v>0</v>
      </c>
      <c r="AL76" s="285">
        <v>2154196.2042538412</v>
      </c>
      <c r="AM76" s="286">
        <v>0</v>
      </c>
      <c r="AN76" s="287">
        <v>163178.20372638246</v>
      </c>
      <c r="AO76" s="288">
        <v>0</v>
      </c>
      <c r="AP76" s="289">
        <v>2317374.4079802237</v>
      </c>
      <c r="AQ76" s="266"/>
      <c r="AR76" s="285">
        <v>444016.75294117653</v>
      </c>
      <c r="AS76" s="286">
        <v>0</v>
      </c>
      <c r="AT76" s="286">
        <v>0</v>
      </c>
      <c r="AU76" s="290">
        <v>0</v>
      </c>
      <c r="AV76" s="289">
        <v>444016.75294117653</v>
      </c>
      <c r="AW76" s="291">
        <v>1873357.6550390471</v>
      </c>
    </row>
    <row r="77" spans="1:49" x14ac:dyDescent="0.25">
      <c r="A77" s="264">
        <v>9097155</v>
      </c>
      <c r="B77" s="264" t="str">
        <f>VLOOKUP(A77,'Výpočet VP 2020'!$A$4:$B$318,2,FALSE)</f>
        <v>NZO</v>
      </c>
      <c r="C77" s="264" t="s">
        <v>1219</v>
      </c>
      <c r="D77" s="264" t="s">
        <v>753</v>
      </c>
      <c r="E77" s="264" t="s">
        <v>1218</v>
      </c>
      <c r="F77" s="264">
        <v>9097155</v>
      </c>
      <c r="G77" s="264" t="s">
        <v>1220</v>
      </c>
      <c r="H77" s="264">
        <v>2019</v>
      </c>
      <c r="I77" s="265"/>
      <c r="J77" s="278"/>
      <c r="K77" s="279"/>
      <c r="L77" s="279"/>
      <c r="M77" s="280"/>
      <c r="N77" s="280">
        <v>2071</v>
      </c>
      <c r="O77" s="279"/>
      <c r="P77" s="281" t="s">
        <v>1126</v>
      </c>
      <c r="Q77" s="264"/>
      <c r="R77" s="282">
        <v>43647</v>
      </c>
      <c r="S77" s="281" t="s">
        <v>1733</v>
      </c>
      <c r="T77" s="281">
        <v>8.9</v>
      </c>
      <c r="U77" s="264">
        <v>1.1499999999999999</v>
      </c>
      <c r="V77" s="282">
        <v>7.75</v>
      </c>
      <c r="W77" s="281">
        <v>0</v>
      </c>
      <c r="X77" s="281">
        <v>0</v>
      </c>
      <c r="Y77" s="264">
        <v>0</v>
      </c>
      <c r="Z77" s="282">
        <v>85</v>
      </c>
      <c r="AA77" s="281">
        <v>0</v>
      </c>
      <c r="AB77" s="281">
        <v>0</v>
      </c>
      <c r="AD77" s="284">
        <v>8.9</v>
      </c>
      <c r="AE77" s="284">
        <v>1.1499999999999999</v>
      </c>
      <c r="AF77" s="284">
        <v>7.75</v>
      </c>
      <c r="AG77" s="284">
        <v>0</v>
      </c>
      <c r="AH77" s="284">
        <v>0</v>
      </c>
      <c r="AI77" s="284">
        <v>0</v>
      </c>
      <c r="AJ77" s="284">
        <v>0</v>
      </c>
      <c r="AL77" s="285">
        <v>4915986.2097074846</v>
      </c>
      <c r="AM77" s="286">
        <v>0</v>
      </c>
      <c r="AN77" s="287">
        <v>372381.0290166164</v>
      </c>
      <c r="AO77" s="288">
        <v>0</v>
      </c>
      <c r="AP77" s="289">
        <v>5288367.2387241013</v>
      </c>
      <c r="AQ77" s="266"/>
      <c r="AR77" s="285">
        <v>1075353.0735294118</v>
      </c>
      <c r="AS77" s="286">
        <v>0</v>
      </c>
      <c r="AT77" s="286">
        <v>0</v>
      </c>
      <c r="AU77" s="290">
        <v>0</v>
      </c>
      <c r="AV77" s="289">
        <v>1075353.0735294118</v>
      </c>
      <c r="AW77" s="291">
        <v>4213014.1651946893</v>
      </c>
    </row>
    <row r="78" spans="1:49" x14ac:dyDescent="0.25">
      <c r="A78" s="264">
        <v>1356155</v>
      </c>
      <c r="B78" s="264" t="str">
        <f>VLOOKUP(A78,'Výpočet VP 2020'!$A$4:$B$318,2,FALSE)</f>
        <v>NZO</v>
      </c>
      <c r="C78" s="264" t="s">
        <v>1166</v>
      </c>
      <c r="D78" s="264" t="s">
        <v>821</v>
      </c>
      <c r="E78" s="264" t="s">
        <v>1165</v>
      </c>
      <c r="F78" s="264">
        <v>1356155</v>
      </c>
      <c r="G78" s="264" t="s">
        <v>1167</v>
      </c>
      <c r="H78" s="264">
        <v>2019</v>
      </c>
      <c r="I78" s="265"/>
      <c r="J78" s="278"/>
      <c r="K78" s="279"/>
      <c r="L78" s="279"/>
      <c r="M78" s="280"/>
      <c r="N78" s="280">
        <v>2216</v>
      </c>
      <c r="O78" s="279"/>
      <c r="P78" s="281" t="s">
        <v>1126</v>
      </c>
      <c r="Q78" s="264"/>
      <c r="R78" s="282"/>
      <c r="S78" s="281" t="s">
        <v>1733</v>
      </c>
      <c r="T78" s="281">
        <v>4</v>
      </c>
      <c r="U78" s="264">
        <v>1</v>
      </c>
      <c r="V78" s="282">
        <v>3</v>
      </c>
      <c r="W78" s="281">
        <v>0</v>
      </c>
      <c r="X78" s="281">
        <v>0</v>
      </c>
      <c r="Y78" s="264">
        <v>0</v>
      </c>
      <c r="Z78" s="282">
        <v>35</v>
      </c>
      <c r="AA78" s="281">
        <v>0</v>
      </c>
      <c r="AB78" s="281">
        <v>0</v>
      </c>
      <c r="AD78" s="284">
        <v>4</v>
      </c>
      <c r="AE78" s="284">
        <v>1</v>
      </c>
      <c r="AF78" s="284">
        <v>3</v>
      </c>
      <c r="AG78" s="284">
        <v>0</v>
      </c>
      <c r="AH78" s="284">
        <v>0</v>
      </c>
      <c r="AI78" s="284">
        <v>0</v>
      </c>
      <c r="AJ78" s="284">
        <v>0</v>
      </c>
      <c r="AL78" s="285">
        <v>2209432.0043629142</v>
      </c>
      <c r="AM78" s="286">
        <v>0</v>
      </c>
      <c r="AN78" s="287">
        <v>167362.26023218714</v>
      </c>
      <c r="AO78" s="288">
        <v>0</v>
      </c>
      <c r="AP78" s="289">
        <v>2376794.2645951016</v>
      </c>
      <c r="AQ78" s="266"/>
      <c r="AR78" s="285">
        <v>416265.70588235295</v>
      </c>
      <c r="AS78" s="286">
        <v>0</v>
      </c>
      <c r="AT78" s="286">
        <v>0</v>
      </c>
      <c r="AU78" s="290">
        <v>0</v>
      </c>
      <c r="AV78" s="289">
        <v>416265.70588235295</v>
      </c>
      <c r="AW78" s="291">
        <v>1960528.5587127486</v>
      </c>
    </row>
    <row r="79" spans="1:49" x14ac:dyDescent="0.25">
      <c r="A79" s="264">
        <v>3110951</v>
      </c>
      <c r="B79" s="264" t="str">
        <f>VLOOKUP(A79,'Výpočet VP 2020'!$A$4:$B$318,2,FALSE)</f>
        <v>NZO</v>
      </c>
      <c r="C79" s="264" t="s">
        <v>829</v>
      </c>
      <c r="D79" s="264" t="s">
        <v>826</v>
      </c>
      <c r="E79" s="264" t="s">
        <v>1184</v>
      </c>
      <c r="F79" s="264">
        <v>3110951</v>
      </c>
      <c r="G79" s="264" t="s">
        <v>1185</v>
      </c>
      <c r="H79" s="264">
        <v>2019</v>
      </c>
      <c r="I79" s="265"/>
      <c r="J79" s="278"/>
      <c r="K79" s="279"/>
      <c r="L79" s="279"/>
      <c r="M79" s="280"/>
      <c r="N79" s="280">
        <v>2551</v>
      </c>
      <c r="O79" s="279"/>
      <c r="P79" s="281" t="s">
        <v>1164</v>
      </c>
      <c r="Q79" s="264"/>
      <c r="R79" s="282"/>
      <c r="S79" s="281" t="s">
        <v>1733</v>
      </c>
      <c r="T79" s="281">
        <v>0.27</v>
      </c>
      <c r="U79" s="264">
        <v>0.01</v>
      </c>
      <c r="V79" s="282">
        <v>0.26</v>
      </c>
      <c r="W79" s="281">
        <v>0</v>
      </c>
      <c r="X79" s="281">
        <v>0</v>
      </c>
      <c r="Y79" s="264">
        <v>0</v>
      </c>
      <c r="Z79" s="282">
        <v>39</v>
      </c>
      <c r="AA79" s="281">
        <v>0</v>
      </c>
      <c r="AB79" s="281">
        <v>0</v>
      </c>
      <c r="AD79" s="284">
        <v>0.27</v>
      </c>
      <c r="AE79" s="284">
        <v>0.01</v>
      </c>
      <c r="AF79" s="284">
        <v>0.26</v>
      </c>
      <c r="AG79" s="284">
        <v>0</v>
      </c>
      <c r="AH79" s="284">
        <v>0</v>
      </c>
      <c r="AI79" s="284">
        <v>0</v>
      </c>
      <c r="AJ79" s="284">
        <v>0</v>
      </c>
      <c r="AL79" s="285">
        <v>149136.66029449672</v>
      </c>
      <c r="AM79" s="286">
        <v>0</v>
      </c>
      <c r="AN79" s="287">
        <v>11296.952565672633</v>
      </c>
      <c r="AO79" s="288">
        <v>0</v>
      </c>
      <c r="AP79" s="289">
        <v>160433.61286016935</v>
      </c>
      <c r="AQ79" s="266"/>
      <c r="AR79" s="285">
        <v>36076.361176470593</v>
      </c>
      <c r="AS79" s="286">
        <v>0</v>
      </c>
      <c r="AT79" s="286">
        <v>0</v>
      </c>
      <c r="AU79" s="290">
        <v>0</v>
      </c>
      <c r="AV79" s="289">
        <v>36076.361176470593</v>
      </c>
      <c r="AW79" s="291">
        <v>124357.25168369876</v>
      </c>
    </row>
    <row r="80" spans="1:49" x14ac:dyDescent="0.25">
      <c r="A80" s="264">
        <v>5376966</v>
      </c>
      <c r="B80" s="264" t="str">
        <f>VLOOKUP(A80,'Výpočet VP 2020'!$A$4:$B$318,2,FALSE)</f>
        <v>NZO</v>
      </c>
      <c r="C80" s="264" t="s">
        <v>1200</v>
      </c>
      <c r="D80" s="264" t="s">
        <v>776</v>
      </c>
      <c r="E80" s="264" t="s">
        <v>1201</v>
      </c>
      <c r="F80" s="264">
        <v>5376966</v>
      </c>
      <c r="G80" s="264" t="s">
        <v>1202</v>
      </c>
      <c r="H80" s="264">
        <v>2019</v>
      </c>
      <c r="I80" s="265"/>
      <c r="J80" s="278"/>
      <c r="K80" s="279"/>
      <c r="L80" s="279"/>
      <c r="M80" s="280"/>
      <c r="N80" s="280">
        <v>2089</v>
      </c>
      <c r="O80" s="279"/>
      <c r="P80" s="281" t="s">
        <v>1164</v>
      </c>
      <c r="Q80" s="264"/>
      <c r="R80" s="282"/>
      <c r="S80" s="281" t="s">
        <v>1733</v>
      </c>
      <c r="T80" s="281">
        <v>7.1</v>
      </c>
      <c r="U80" s="264">
        <v>0.9</v>
      </c>
      <c r="V80" s="282">
        <v>6.2</v>
      </c>
      <c r="W80" s="281">
        <v>0</v>
      </c>
      <c r="X80" s="281">
        <v>0</v>
      </c>
      <c r="Y80" s="264">
        <v>0</v>
      </c>
      <c r="Z80" s="282">
        <v>115</v>
      </c>
      <c r="AA80" s="281">
        <v>0</v>
      </c>
      <c r="AB80" s="281">
        <v>0</v>
      </c>
      <c r="AD80" s="284">
        <v>7.1</v>
      </c>
      <c r="AE80" s="284">
        <v>0.9</v>
      </c>
      <c r="AF80" s="284">
        <v>6.2</v>
      </c>
      <c r="AG80" s="284">
        <v>0</v>
      </c>
      <c r="AH80" s="284">
        <v>0</v>
      </c>
      <c r="AI80" s="284">
        <v>0</v>
      </c>
      <c r="AJ80" s="284">
        <v>0</v>
      </c>
      <c r="AL80" s="285">
        <v>3921741.8077441724</v>
      </c>
      <c r="AM80" s="286">
        <v>0</v>
      </c>
      <c r="AN80" s="287">
        <v>297068.01191213215</v>
      </c>
      <c r="AO80" s="288">
        <v>0</v>
      </c>
      <c r="AP80" s="289">
        <v>4218809.819656305</v>
      </c>
      <c r="AQ80" s="266"/>
      <c r="AR80" s="285">
        <v>860282.45882352942</v>
      </c>
      <c r="AS80" s="286">
        <v>0</v>
      </c>
      <c r="AT80" s="286">
        <v>0</v>
      </c>
      <c r="AU80" s="290">
        <v>0</v>
      </c>
      <c r="AV80" s="289">
        <v>860282.45882352942</v>
      </c>
      <c r="AW80" s="291">
        <v>3358527.3608327755</v>
      </c>
    </row>
    <row r="81" spans="1:49" x14ac:dyDescent="0.25">
      <c r="A81" s="264">
        <v>3110951</v>
      </c>
      <c r="B81" s="264" t="str">
        <f>VLOOKUP(A81,'Výpočet VP 2020'!$A$4:$B$318,2,FALSE)</f>
        <v>NZO</v>
      </c>
      <c r="C81" s="264" t="s">
        <v>829</v>
      </c>
      <c r="D81" s="264" t="s">
        <v>826</v>
      </c>
      <c r="E81" s="264" t="s">
        <v>1188</v>
      </c>
      <c r="F81" s="264">
        <v>3110951</v>
      </c>
      <c r="G81" s="264" t="s">
        <v>1073</v>
      </c>
      <c r="H81" s="264">
        <v>2019</v>
      </c>
      <c r="I81" s="265"/>
      <c r="J81" s="278"/>
      <c r="K81" s="279"/>
      <c r="L81" s="279"/>
      <c r="M81" s="280"/>
      <c r="N81" s="280">
        <v>2569</v>
      </c>
      <c r="O81" s="279"/>
      <c r="P81" s="281" t="s">
        <v>1164</v>
      </c>
      <c r="Q81" s="264"/>
      <c r="R81" s="282"/>
      <c r="S81" s="281" t="s">
        <v>1733</v>
      </c>
      <c r="T81" s="281">
        <v>4.03</v>
      </c>
      <c r="U81" s="264">
        <v>0.11</v>
      </c>
      <c r="V81" s="282">
        <v>3.92</v>
      </c>
      <c r="W81" s="281">
        <v>0</v>
      </c>
      <c r="X81" s="281">
        <v>0</v>
      </c>
      <c r="Y81" s="264">
        <v>0</v>
      </c>
      <c r="Z81" s="282">
        <v>39</v>
      </c>
      <c r="AA81" s="281">
        <v>0</v>
      </c>
      <c r="AB81" s="281">
        <v>0</v>
      </c>
      <c r="AD81" s="284">
        <v>4.03</v>
      </c>
      <c r="AE81" s="284">
        <v>0.11</v>
      </c>
      <c r="AF81" s="284">
        <v>3.92</v>
      </c>
      <c r="AG81" s="284">
        <v>0</v>
      </c>
      <c r="AH81" s="284">
        <v>0</v>
      </c>
      <c r="AI81" s="284">
        <v>0</v>
      </c>
      <c r="AJ81" s="284">
        <v>0</v>
      </c>
      <c r="AL81" s="285">
        <v>2226002.744395636</v>
      </c>
      <c r="AM81" s="286">
        <v>0</v>
      </c>
      <c r="AN81" s="287">
        <v>168617.47718392854</v>
      </c>
      <c r="AO81" s="288">
        <v>0</v>
      </c>
      <c r="AP81" s="289">
        <v>2394620.2215795647</v>
      </c>
      <c r="AQ81" s="266"/>
      <c r="AR81" s="285">
        <v>543920.52235294122</v>
      </c>
      <c r="AS81" s="286">
        <v>0</v>
      </c>
      <c r="AT81" s="286">
        <v>0</v>
      </c>
      <c r="AU81" s="290">
        <v>0</v>
      </c>
      <c r="AV81" s="289">
        <v>543920.52235294122</v>
      </c>
      <c r="AW81" s="291">
        <v>1850699.6992266234</v>
      </c>
    </row>
    <row r="82" spans="1:49" x14ac:dyDescent="0.25">
      <c r="A82" s="264">
        <v>2540162</v>
      </c>
      <c r="B82" s="264" t="str">
        <f>VLOOKUP(A82,'Výpočet VP 2020'!$A$4:$B$318,2,FALSE)</f>
        <v>NZO</v>
      </c>
      <c r="C82" s="264" t="s">
        <v>694</v>
      </c>
      <c r="D82" s="264" t="s">
        <v>694</v>
      </c>
      <c r="E82" s="264" t="s">
        <v>1159</v>
      </c>
      <c r="F82" s="264">
        <v>2540162</v>
      </c>
      <c r="G82" s="264" t="s">
        <v>1160</v>
      </c>
      <c r="H82" s="264">
        <v>2019</v>
      </c>
      <c r="I82" s="265"/>
      <c r="J82" s="278"/>
      <c r="K82" s="279"/>
      <c r="L82" s="279"/>
      <c r="M82" s="280"/>
      <c r="N82" s="280">
        <v>2411</v>
      </c>
      <c r="O82" s="279"/>
      <c r="P82" s="281" t="s">
        <v>1098</v>
      </c>
      <c r="Q82" s="264"/>
      <c r="R82" s="282"/>
      <c r="S82" s="281" t="s">
        <v>1733</v>
      </c>
      <c r="T82" s="281">
        <v>0.35</v>
      </c>
      <c r="U82" s="264">
        <v>0.05</v>
      </c>
      <c r="V82" s="282">
        <v>0.3</v>
      </c>
      <c r="W82" s="281">
        <v>0</v>
      </c>
      <c r="X82" s="281">
        <v>0</v>
      </c>
      <c r="Y82" s="264">
        <v>0</v>
      </c>
      <c r="Z82" s="282">
        <v>70</v>
      </c>
      <c r="AA82" s="281">
        <v>0</v>
      </c>
      <c r="AB82" s="281">
        <v>0</v>
      </c>
      <c r="AD82" s="284">
        <v>0.35</v>
      </c>
      <c r="AE82" s="284">
        <v>0.05</v>
      </c>
      <c r="AF82" s="284">
        <v>0.3</v>
      </c>
      <c r="AG82" s="284">
        <v>0</v>
      </c>
      <c r="AH82" s="284">
        <v>0</v>
      </c>
      <c r="AI82" s="284">
        <v>0</v>
      </c>
      <c r="AJ82" s="284">
        <v>0</v>
      </c>
      <c r="AL82" s="285">
        <v>193325.30038175499</v>
      </c>
      <c r="AM82" s="286">
        <v>0</v>
      </c>
      <c r="AN82" s="287">
        <v>14644.197770316374</v>
      </c>
      <c r="AO82" s="288">
        <v>0</v>
      </c>
      <c r="AP82" s="289">
        <v>207969.49815207138</v>
      </c>
      <c r="AQ82" s="266"/>
      <c r="AR82" s="285">
        <v>41626.570588235292</v>
      </c>
      <c r="AS82" s="286">
        <v>0</v>
      </c>
      <c r="AT82" s="286">
        <v>0</v>
      </c>
      <c r="AU82" s="290">
        <v>0</v>
      </c>
      <c r="AV82" s="289">
        <v>41626.570588235292</v>
      </c>
      <c r="AW82" s="291">
        <v>166342.9275638361</v>
      </c>
    </row>
    <row r="83" spans="1:49" x14ac:dyDescent="0.25">
      <c r="A83" s="264">
        <v>3110951</v>
      </c>
      <c r="B83" s="264" t="str">
        <f>VLOOKUP(A83,'Výpočet VP 2020'!$A$4:$B$318,2,FALSE)</f>
        <v>NZO</v>
      </c>
      <c r="C83" s="264" t="s">
        <v>829</v>
      </c>
      <c r="D83" s="264" t="s">
        <v>826</v>
      </c>
      <c r="E83" s="264" t="s">
        <v>1189</v>
      </c>
      <c r="F83" s="264">
        <v>3110951</v>
      </c>
      <c r="G83" s="264" t="s">
        <v>1190</v>
      </c>
      <c r="H83" s="264">
        <v>2019</v>
      </c>
      <c r="I83" s="265"/>
      <c r="J83" s="278"/>
      <c r="K83" s="279"/>
      <c r="L83" s="279"/>
      <c r="M83" s="280"/>
      <c r="N83" s="280">
        <v>2593</v>
      </c>
      <c r="O83" s="279"/>
      <c r="P83" s="281" t="s">
        <v>1164</v>
      </c>
      <c r="Q83" s="264"/>
      <c r="R83" s="282"/>
      <c r="S83" s="281" t="s">
        <v>1733</v>
      </c>
      <c r="T83" s="281">
        <v>2.2000000000000002</v>
      </c>
      <c r="U83" s="264">
        <v>0.08</v>
      </c>
      <c r="V83" s="282">
        <v>2.12</v>
      </c>
      <c r="W83" s="281">
        <v>0</v>
      </c>
      <c r="X83" s="281">
        <v>0</v>
      </c>
      <c r="Y83" s="264">
        <v>0</v>
      </c>
      <c r="Z83" s="282">
        <v>39</v>
      </c>
      <c r="AA83" s="281">
        <v>0</v>
      </c>
      <c r="AB83" s="281">
        <v>0</v>
      </c>
      <c r="AD83" s="284">
        <v>2.2000000000000002</v>
      </c>
      <c r="AE83" s="284">
        <v>0.08</v>
      </c>
      <c r="AF83" s="284">
        <v>2.12</v>
      </c>
      <c r="AG83" s="284">
        <v>0</v>
      </c>
      <c r="AH83" s="284">
        <v>0</v>
      </c>
      <c r="AI83" s="284">
        <v>0</v>
      </c>
      <c r="AJ83" s="284">
        <v>0</v>
      </c>
      <c r="AL83" s="285">
        <v>1215187.602399603</v>
      </c>
      <c r="AM83" s="286">
        <v>0</v>
      </c>
      <c r="AN83" s="287">
        <v>92049.243127702939</v>
      </c>
      <c r="AO83" s="288">
        <v>0</v>
      </c>
      <c r="AP83" s="289">
        <v>1307236.845527306</v>
      </c>
      <c r="AQ83" s="266"/>
      <c r="AR83" s="285">
        <v>294161.09882352944</v>
      </c>
      <c r="AS83" s="286">
        <v>0</v>
      </c>
      <c r="AT83" s="286">
        <v>0</v>
      </c>
      <c r="AU83" s="290">
        <v>0</v>
      </c>
      <c r="AV83" s="289">
        <v>294161.09882352944</v>
      </c>
      <c r="AW83" s="291">
        <v>1013075.7467037765</v>
      </c>
    </row>
    <row r="84" spans="1:49" x14ac:dyDescent="0.25">
      <c r="A84" s="264">
        <v>9577077</v>
      </c>
      <c r="B84" s="264" t="str">
        <f>VLOOKUP(A84,'Výpočet VP 2020'!$A$4:$B$318,2,FALSE)</f>
        <v>NZO</v>
      </c>
      <c r="C84" s="264" t="s">
        <v>1035</v>
      </c>
      <c r="D84" s="264" t="s">
        <v>1175</v>
      </c>
      <c r="E84" s="264" t="s">
        <v>1233</v>
      </c>
      <c r="F84" s="264">
        <v>9577077</v>
      </c>
      <c r="G84" s="264" t="s">
        <v>1058</v>
      </c>
      <c r="H84" s="264">
        <v>2019</v>
      </c>
      <c r="I84" s="265"/>
      <c r="J84" s="278"/>
      <c r="K84" s="279">
        <v>965</v>
      </c>
      <c r="L84" s="279"/>
      <c r="M84" s="280"/>
      <c r="N84" s="280"/>
      <c r="O84" s="279"/>
      <c r="P84" s="281" t="s">
        <v>1177</v>
      </c>
      <c r="Q84" s="264"/>
      <c r="R84" s="282"/>
      <c r="S84" s="281" t="s">
        <v>1733</v>
      </c>
      <c r="T84" s="281">
        <v>5.24</v>
      </c>
      <c r="U84" s="264">
        <v>0.85</v>
      </c>
      <c r="V84" s="282">
        <v>4.3899999999999997</v>
      </c>
      <c r="W84" s="281">
        <v>0</v>
      </c>
      <c r="X84" s="281">
        <v>0</v>
      </c>
      <c r="Y84" s="264">
        <v>0</v>
      </c>
      <c r="Z84" s="282">
        <v>150</v>
      </c>
      <c r="AA84" s="281">
        <v>0</v>
      </c>
      <c r="AB84" s="281">
        <v>1</v>
      </c>
      <c r="AD84" s="284">
        <v>5.24</v>
      </c>
      <c r="AE84" s="284">
        <v>0.85</v>
      </c>
      <c r="AF84" s="284">
        <v>4.3899999999999997</v>
      </c>
      <c r="AG84" s="284">
        <v>0</v>
      </c>
      <c r="AH84" s="284">
        <v>0</v>
      </c>
      <c r="AI84" s="284">
        <v>0</v>
      </c>
      <c r="AJ84" s="284">
        <v>0</v>
      </c>
      <c r="AL84" s="285">
        <v>3536945.6588007146</v>
      </c>
      <c r="AM84" s="286">
        <v>0</v>
      </c>
      <c r="AN84" s="287">
        <v>210571.6452006289</v>
      </c>
      <c r="AO84" s="288">
        <v>0</v>
      </c>
      <c r="AP84" s="289">
        <v>3747517.3040013434</v>
      </c>
      <c r="AQ84" s="266"/>
      <c r="AR84" s="285">
        <v>537627.61098779133</v>
      </c>
      <c r="AS84" s="286">
        <v>0</v>
      </c>
      <c r="AT84" s="286">
        <v>0</v>
      </c>
      <c r="AU84" s="290">
        <v>0</v>
      </c>
      <c r="AV84" s="289">
        <v>537627.61098779133</v>
      </c>
      <c r="AW84" s="291">
        <v>3209889.6930135521</v>
      </c>
    </row>
    <row r="85" spans="1:49" x14ac:dyDescent="0.25">
      <c r="A85" s="264">
        <v>9577077</v>
      </c>
      <c r="B85" s="264" t="str">
        <f>VLOOKUP(A85,'Výpočet VP 2020'!$A$4:$B$318,2,FALSE)</f>
        <v>NZO</v>
      </c>
      <c r="C85" s="264" t="s">
        <v>1035</v>
      </c>
      <c r="D85" s="264" t="s">
        <v>1175</v>
      </c>
      <c r="E85" s="264" t="s">
        <v>1234</v>
      </c>
      <c r="F85" s="264">
        <v>9577077</v>
      </c>
      <c r="G85" s="264" t="s">
        <v>1068</v>
      </c>
      <c r="H85" s="264">
        <v>2019</v>
      </c>
      <c r="I85" s="265"/>
      <c r="J85" s="278"/>
      <c r="K85" s="279">
        <v>1015</v>
      </c>
      <c r="L85" s="279"/>
      <c r="M85" s="280"/>
      <c r="N85" s="280"/>
      <c r="O85" s="279"/>
      <c r="P85" s="281" t="s">
        <v>1177</v>
      </c>
      <c r="Q85" s="264"/>
      <c r="R85" s="282"/>
      <c r="S85" s="281" t="s">
        <v>1733</v>
      </c>
      <c r="T85" s="281">
        <v>0.41</v>
      </c>
      <c r="U85" s="264">
        <v>0.05</v>
      </c>
      <c r="V85" s="282">
        <v>0.36</v>
      </c>
      <c r="W85" s="281">
        <v>0</v>
      </c>
      <c r="X85" s="281">
        <v>0</v>
      </c>
      <c r="Y85" s="264">
        <v>0</v>
      </c>
      <c r="Z85" s="282">
        <v>15</v>
      </c>
      <c r="AA85" s="281">
        <v>0</v>
      </c>
      <c r="AB85" s="281">
        <v>1</v>
      </c>
      <c r="AD85" s="284">
        <v>0.41</v>
      </c>
      <c r="AE85" s="284">
        <v>0.05</v>
      </c>
      <c r="AF85" s="284">
        <v>0.36</v>
      </c>
      <c r="AG85" s="284">
        <v>0</v>
      </c>
      <c r="AH85" s="284">
        <v>0</v>
      </c>
      <c r="AI85" s="284">
        <v>0</v>
      </c>
      <c r="AJ85" s="284">
        <v>0</v>
      </c>
      <c r="AL85" s="285">
        <v>276745.74811226962</v>
      </c>
      <c r="AM85" s="286">
        <v>0</v>
      </c>
      <c r="AN85" s="287">
        <v>16476.02567409501</v>
      </c>
      <c r="AO85" s="288">
        <v>0</v>
      </c>
      <c r="AP85" s="289">
        <v>293221.77378636465</v>
      </c>
      <c r="AQ85" s="266"/>
      <c r="AR85" s="285">
        <v>44087.913429522749</v>
      </c>
      <c r="AS85" s="286">
        <v>0</v>
      </c>
      <c r="AT85" s="286">
        <v>0</v>
      </c>
      <c r="AU85" s="290">
        <v>0</v>
      </c>
      <c r="AV85" s="289">
        <v>44087.913429522749</v>
      </c>
      <c r="AW85" s="291">
        <v>249133.86035684191</v>
      </c>
    </row>
    <row r="86" spans="1:49" x14ac:dyDescent="0.25">
      <c r="A86" s="264">
        <v>5947102</v>
      </c>
      <c r="B86" s="264" t="str">
        <f>VLOOKUP(A86,'Výpočet VP 2020'!$A$4:$B$318,2,FALSE)</f>
        <v>NZO</v>
      </c>
      <c r="C86" s="264" t="s">
        <v>760</v>
      </c>
      <c r="D86" s="264" t="s">
        <v>760</v>
      </c>
      <c r="E86" s="264" t="s">
        <v>1231</v>
      </c>
      <c r="F86" s="264">
        <v>5947102</v>
      </c>
      <c r="G86" s="264" t="s">
        <v>1061</v>
      </c>
      <c r="H86" s="264">
        <v>2019</v>
      </c>
      <c r="I86" s="265"/>
      <c r="J86" s="278"/>
      <c r="K86" s="279">
        <v>1066</v>
      </c>
      <c r="L86" s="279"/>
      <c r="M86" s="280"/>
      <c r="N86" s="280"/>
      <c r="O86" s="279"/>
      <c r="P86" s="281" t="s">
        <v>1177</v>
      </c>
      <c r="Q86" s="264"/>
      <c r="R86" s="282"/>
      <c r="S86" s="281" t="s">
        <v>1733</v>
      </c>
      <c r="T86" s="281">
        <v>0.38</v>
      </c>
      <c r="U86" s="264">
        <v>0.1</v>
      </c>
      <c r="V86" s="282">
        <v>0.28000000000000003</v>
      </c>
      <c r="W86" s="281">
        <v>0</v>
      </c>
      <c r="X86" s="281">
        <v>0</v>
      </c>
      <c r="Y86" s="264">
        <v>0</v>
      </c>
      <c r="Z86" s="282">
        <v>78</v>
      </c>
      <c r="AA86" s="281">
        <v>0</v>
      </c>
      <c r="AB86" s="281">
        <v>0</v>
      </c>
      <c r="AD86" s="284">
        <v>0.38</v>
      </c>
      <c r="AE86" s="284">
        <v>0.1</v>
      </c>
      <c r="AF86" s="284">
        <v>0.28000000000000003</v>
      </c>
      <c r="AG86" s="284">
        <v>0</v>
      </c>
      <c r="AH86" s="284">
        <v>0</v>
      </c>
      <c r="AI86" s="284">
        <v>0</v>
      </c>
      <c r="AJ86" s="284">
        <v>0</v>
      </c>
      <c r="AL86" s="285">
        <v>256496.05922600601</v>
      </c>
      <c r="AM86" s="286">
        <v>0</v>
      </c>
      <c r="AN86" s="287">
        <v>15270.462819892935</v>
      </c>
      <c r="AO86" s="288">
        <v>0</v>
      </c>
      <c r="AP86" s="289">
        <v>271766.52204589895</v>
      </c>
      <c r="AQ86" s="266"/>
      <c r="AR86" s="285">
        <v>34290.599334073253</v>
      </c>
      <c r="AS86" s="286">
        <v>0</v>
      </c>
      <c r="AT86" s="286">
        <v>0</v>
      </c>
      <c r="AU86" s="290">
        <v>0</v>
      </c>
      <c r="AV86" s="289">
        <v>34290.599334073253</v>
      </c>
      <c r="AW86" s="291">
        <v>237475.9227118257</v>
      </c>
    </row>
    <row r="87" spans="1:49" x14ac:dyDescent="0.25">
      <c r="A87" s="264">
        <v>9577077</v>
      </c>
      <c r="B87" s="264" t="str">
        <f>VLOOKUP(A87,'Výpočet VP 2020'!$A$4:$B$318,2,FALSE)</f>
        <v>NZO</v>
      </c>
      <c r="C87" s="264" t="s">
        <v>1035</v>
      </c>
      <c r="D87" s="264" t="s">
        <v>1175</v>
      </c>
      <c r="E87" s="264" t="s">
        <v>1235</v>
      </c>
      <c r="F87" s="264">
        <v>9577077</v>
      </c>
      <c r="G87" s="264" t="s">
        <v>1138</v>
      </c>
      <c r="H87" s="264">
        <v>2019</v>
      </c>
      <c r="I87" s="265"/>
      <c r="J87" s="278"/>
      <c r="K87" s="279">
        <v>1058</v>
      </c>
      <c r="L87" s="279"/>
      <c r="M87" s="280"/>
      <c r="N87" s="280"/>
      <c r="O87" s="279"/>
      <c r="P87" s="281" t="s">
        <v>1177</v>
      </c>
      <c r="Q87" s="264"/>
      <c r="R87" s="282"/>
      <c r="S87" s="281" t="s">
        <v>1733</v>
      </c>
      <c r="T87" s="281">
        <v>0.41</v>
      </c>
      <c r="U87" s="264">
        <v>0.05</v>
      </c>
      <c r="V87" s="282">
        <v>0.36</v>
      </c>
      <c r="W87" s="281">
        <v>0</v>
      </c>
      <c r="X87" s="281">
        <v>0</v>
      </c>
      <c r="Y87" s="264">
        <v>0</v>
      </c>
      <c r="Z87" s="282">
        <v>15</v>
      </c>
      <c r="AA87" s="281">
        <v>0</v>
      </c>
      <c r="AB87" s="281">
        <v>1</v>
      </c>
      <c r="AD87" s="284">
        <v>0.41</v>
      </c>
      <c r="AE87" s="284">
        <v>0.05</v>
      </c>
      <c r="AF87" s="284">
        <v>0.36</v>
      </c>
      <c r="AG87" s="284">
        <v>0</v>
      </c>
      <c r="AH87" s="284">
        <v>0</v>
      </c>
      <c r="AI87" s="284">
        <v>0</v>
      </c>
      <c r="AJ87" s="284">
        <v>0</v>
      </c>
      <c r="AL87" s="285">
        <v>276745.74811226962</v>
      </c>
      <c r="AM87" s="286">
        <v>0</v>
      </c>
      <c r="AN87" s="287">
        <v>16476.02567409501</v>
      </c>
      <c r="AO87" s="288">
        <v>0</v>
      </c>
      <c r="AP87" s="289">
        <v>293221.77378636465</v>
      </c>
      <c r="AQ87" s="266"/>
      <c r="AR87" s="285">
        <v>44087.913429522749</v>
      </c>
      <c r="AS87" s="286">
        <v>0</v>
      </c>
      <c r="AT87" s="286">
        <v>0</v>
      </c>
      <c r="AU87" s="290">
        <v>0</v>
      </c>
      <c r="AV87" s="289">
        <v>44087.913429522749</v>
      </c>
      <c r="AW87" s="291">
        <v>249133.86035684191</v>
      </c>
    </row>
    <row r="88" spans="1:49" x14ac:dyDescent="0.25">
      <c r="A88" s="264">
        <v>9577077</v>
      </c>
      <c r="B88" s="264" t="str">
        <f>VLOOKUP(A88,'Výpočet VP 2020'!$A$4:$B$318,2,FALSE)</f>
        <v>NZO</v>
      </c>
      <c r="C88" s="264" t="s">
        <v>1035</v>
      </c>
      <c r="D88" s="264" t="s">
        <v>1175</v>
      </c>
      <c r="E88" s="264" t="s">
        <v>1236</v>
      </c>
      <c r="F88" s="264">
        <v>9577077</v>
      </c>
      <c r="G88" s="264" t="s">
        <v>1073</v>
      </c>
      <c r="H88" s="264">
        <v>2019</v>
      </c>
      <c r="I88" s="265"/>
      <c r="J88" s="278"/>
      <c r="K88" s="279">
        <v>1210</v>
      </c>
      <c r="L88" s="279"/>
      <c r="M88" s="280"/>
      <c r="N88" s="280"/>
      <c r="O88" s="279"/>
      <c r="P88" s="281" t="s">
        <v>1126</v>
      </c>
      <c r="Q88" s="264"/>
      <c r="R88" s="282"/>
      <c r="S88" s="281" t="s">
        <v>1733</v>
      </c>
      <c r="T88" s="281">
        <v>0.41</v>
      </c>
      <c r="U88" s="264">
        <v>0.05</v>
      </c>
      <c r="V88" s="282">
        <v>0.36</v>
      </c>
      <c r="W88" s="281">
        <v>0</v>
      </c>
      <c r="X88" s="281">
        <v>0</v>
      </c>
      <c r="Y88" s="264">
        <v>0</v>
      </c>
      <c r="Z88" s="282">
        <v>20</v>
      </c>
      <c r="AA88" s="281">
        <v>0</v>
      </c>
      <c r="AB88" s="281">
        <v>2</v>
      </c>
      <c r="AD88" s="284">
        <v>0.41</v>
      </c>
      <c r="AE88" s="284">
        <v>0.05</v>
      </c>
      <c r="AF88" s="284">
        <v>0.36</v>
      </c>
      <c r="AG88" s="284">
        <v>0</v>
      </c>
      <c r="AH88" s="284">
        <v>0</v>
      </c>
      <c r="AI88" s="284">
        <v>0</v>
      </c>
      <c r="AJ88" s="284">
        <v>0</v>
      </c>
      <c r="AL88" s="285">
        <v>276745.74811226962</v>
      </c>
      <c r="AM88" s="286">
        <v>0</v>
      </c>
      <c r="AN88" s="287">
        <v>16476.02567409501</v>
      </c>
      <c r="AO88" s="288">
        <v>0</v>
      </c>
      <c r="AP88" s="289">
        <v>293221.77378636465</v>
      </c>
      <c r="AQ88" s="266"/>
      <c r="AR88" s="285">
        <v>44087.913429522749</v>
      </c>
      <c r="AS88" s="286">
        <v>0</v>
      </c>
      <c r="AT88" s="286">
        <v>0</v>
      </c>
      <c r="AU88" s="290">
        <v>0</v>
      </c>
      <c r="AV88" s="289">
        <v>44087.913429522749</v>
      </c>
      <c r="AW88" s="291">
        <v>249133.86035684191</v>
      </c>
    </row>
    <row r="89" spans="1:49" x14ac:dyDescent="0.25">
      <c r="A89" s="264">
        <v>3736692</v>
      </c>
      <c r="B89" s="264" t="str">
        <f>VLOOKUP(A89,'Výpočet VP 2020'!$A$4:$B$318,2,FALSE)</f>
        <v>NZO</v>
      </c>
      <c r="C89" s="264" t="s">
        <v>1239</v>
      </c>
      <c r="D89" s="264" t="s">
        <v>1067</v>
      </c>
      <c r="E89" s="264" t="s">
        <v>1237</v>
      </c>
      <c r="F89" s="264">
        <v>3736692</v>
      </c>
      <c r="G89" s="264" t="s">
        <v>1058</v>
      </c>
      <c r="H89" s="264">
        <v>2019</v>
      </c>
      <c r="I89" s="265"/>
      <c r="J89" s="278"/>
      <c r="K89" s="279"/>
      <c r="L89" s="279"/>
      <c r="M89" s="280"/>
      <c r="N89" s="280"/>
      <c r="O89" s="279">
        <v>3602</v>
      </c>
      <c r="P89" s="281" t="s">
        <v>1069</v>
      </c>
      <c r="Q89" s="264"/>
      <c r="R89" s="282"/>
      <c r="S89" s="281" t="s">
        <v>1733</v>
      </c>
      <c r="T89" s="281">
        <v>1.25</v>
      </c>
      <c r="U89" s="264">
        <v>0.5</v>
      </c>
      <c r="V89" s="282">
        <v>0.75</v>
      </c>
      <c r="W89" s="281">
        <v>0</v>
      </c>
      <c r="X89" s="281">
        <v>0</v>
      </c>
      <c r="Y89" s="264">
        <v>0</v>
      </c>
      <c r="Z89" s="282">
        <v>2</v>
      </c>
      <c r="AA89" s="281">
        <v>0</v>
      </c>
      <c r="AB89" s="281">
        <v>0</v>
      </c>
      <c r="AD89" s="284">
        <v>1.25</v>
      </c>
      <c r="AE89" s="284">
        <v>0.5</v>
      </c>
      <c r="AF89" s="284">
        <v>0.75</v>
      </c>
      <c r="AG89" s="284">
        <v>0</v>
      </c>
      <c r="AH89" s="284">
        <v>0</v>
      </c>
      <c r="AI89" s="284">
        <v>0</v>
      </c>
      <c r="AJ89" s="284">
        <v>0</v>
      </c>
      <c r="AL89" s="285">
        <v>776085.28003299283</v>
      </c>
      <c r="AM89" s="286">
        <v>0</v>
      </c>
      <c r="AN89" s="287">
        <v>51762.679756757381</v>
      </c>
      <c r="AO89" s="288">
        <v>0</v>
      </c>
      <c r="AP89" s="289">
        <v>827847.95978975017</v>
      </c>
      <c r="AQ89" s="266"/>
      <c r="AR89" s="285">
        <v>64209.269521410584</v>
      </c>
      <c r="AS89" s="286">
        <v>0</v>
      </c>
      <c r="AT89" s="286">
        <v>0</v>
      </c>
      <c r="AU89" s="290">
        <v>0</v>
      </c>
      <c r="AV89" s="289">
        <v>64209.269521410584</v>
      </c>
      <c r="AW89" s="291">
        <v>763638.69026833959</v>
      </c>
    </row>
    <row r="90" spans="1:49" x14ac:dyDescent="0.25">
      <c r="A90" s="264">
        <v>7846871</v>
      </c>
      <c r="B90" s="264" t="str">
        <f>VLOOKUP(A90,'Výpočet VP 2020'!$A$4:$B$318,2,FALSE)</f>
        <v>NZO</v>
      </c>
      <c r="C90" s="264" t="s">
        <v>1246</v>
      </c>
      <c r="D90" s="264" t="s">
        <v>1247</v>
      </c>
      <c r="E90" s="264" t="s">
        <v>1245</v>
      </c>
      <c r="F90" s="264">
        <v>7846871</v>
      </c>
      <c r="G90" s="264" t="s">
        <v>1058</v>
      </c>
      <c r="H90" s="264">
        <v>2019</v>
      </c>
      <c r="I90" s="265"/>
      <c r="J90" s="278"/>
      <c r="K90" s="279">
        <v>965</v>
      </c>
      <c r="L90" s="279"/>
      <c r="M90" s="280"/>
      <c r="N90" s="280"/>
      <c r="O90" s="279"/>
      <c r="P90" s="281" t="s">
        <v>1248</v>
      </c>
      <c r="Q90" s="264"/>
      <c r="R90" s="282"/>
      <c r="S90" s="281">
        <v>44196</v>
      </c>
      <c r="T90" s="281">
        <v>4</v>
      </c>
      <c r="U90" s="264">
        <v>3</v>
      </c>
      <c r="V90" s="282">
        <v>1</v>
      </c>
      <c r="W90" s="281">
        <v>0</v>
      </c>
      <c r="X90" s="281">
        <v>0</v>
      </c>
      <c r="Y90" s="264">
        <v>0</v>
      </c>
      <c r="Z90" s="282">
        <v>23</v>
      </c>
      <c r="AA90" s="281">
        <v>0</v>
      </c>
      <c r="AB90" s="281">
        <v>0</v>
      </c>
      <c r="AD90" s="284">
        <v>4</v>
      </c>
      <c r="AE90" s="284">
        <v>3</v>
      </c>
      <c r="AF90" s="284">
        <v>1</v>
      </c>
      <c r="AG90" s="284">
        <v>0</v>
      </c>
      <c r="AH90" s="284">
        <v>0</v>
      </c>
      <c r="AI90" s="284">
        <v>0</v>
      </c>
      <c r="AJ90" s="284">
        <v>0</v>
      </c>
      <c r="AL90" s="285">
        <v>2470282.0503947739</v>
      </c>
      <c r="AM90" s="286">
        <v>0</v>
      </c>
      <c r="AN90" s="287">
        <v>59147.963499999998</v>
      </c>
      <c r="AO90" s="288">
        <v>0</v>
      </c>
      <c r="AP90" s="289">
        <v>2529430.013894774</v>
      </c>
      <c r="AQ90" s="266"/>
      <c r="AR90" s="285">
        <v>107302.76000000001</v>
      </c>
      <c r="AS90" s="286">
        <v>0</v>
      </c>
      <c r="AT90" s="286">
        <v>0</v>
      </c>
      <c r="AU90" s="290">
        <v>0</v>
      </c>
      <c r="AV90" s="289">
        <v>107302.76000000001</v>
      </c>
      <c r="AW90" s="291">
        <v>2422127.2538947742</v>
      </c>
    </row>
    <row r="91" spans="1:49" x14ac:dyDescent="0.25">
      <c r="A91" s="264">
        <v>1378201</v>
      </c>
      <c r="B91" s="264" t="str">
        <f>VLOOKUP(A91,'Výpočet VP 2020'!$A$4:$B$318,2,FALSE)</f>
        <v>NZO</v>
      </c>
      <c r="C91" s="264" t="s">
        <v>877</v>
      </c>
      <c r="D91" s="264" t="s">
        <v>874</v>
      </c>
      <c r="E91" s="264" t="s">
        <v>1240</v>
      </c>
      <c r="F91" s="264">
        <v>1378201</v>
      </c>
      <c r="G91" s="264" t="s">
        <v>1061</v>
      </c>
      <c r="H91" s="264">
        <v>2019</v>
      </c>
      <c r="I91" s="265"/>
      <c r="J91" s="278"/>
      <c r="K91" s="279">
        <v>1066</v>
      </c>
      <c r="L91" s="279"/>
      <c r="M91" s="280"/>
      <c r="N91" s="280"/>
      <c r="O91" s="279"/>
      <c r="P91" s="281" t="s">
        <v>1242</v>
      </c>
      <c r="Q91" s="264"/>
      <c r="R91" s="282">
        <v>43647</v>
      </c>
      <c r="S91" s="281">
        <v>44377</v>
      </c>
      <c r="T91" s="281">
        <v>0.75</v>
      </c>
      <c r="U91" s="264">
        <v>0.75</v>
      </c>
      <c r="V91" s="282">
        <v>0</v>
      </c>
      <c r="W91" s="281">
        <v>0</v>
      </c>
      <c r="X91" s="281">
        <v>0</v>
      </c>
      <c r="Y91" s="264">
        <v>0</v>
      </c>
      <c r="Z91" s="282">
        <v>8</v>
      </c>
      <c r="AA91" s="281">
        <v>0</v>
      </c>
      <c r="AB91" s="281">
        <v>0</v>
      </c>
      <c r="AD91" s="284">
        <v>0.75</v>
      </c>
      <c r="AE91" s="284">
        <v>0.75</v>
      </c>
      <c r="AF91" s="284">
        <v>0</v>
      </c>
      <c r="AG91" s="284">
        <v>0</v>
      </c>
      <c r="AH91" s="284">
        <v>0</v>
      </c>
      <c r="AI91" s="284">
        <v>0</v>
      </c>
      <c r="AJ91" s="284">
        <v>0</v>
      </c>
      <c r="AL91" s="285">
        <v>463177.88444902014</v>
      </c>
      <c r="AM91" s="286">
        <v>0</v>
      </c>
      <c r="AN91" s="287">
        <v>11090.243156249999</v>
      </c>
      <c r="AO91" s="288">
        <v>0</v>
      </c>
      <c r="AP91" s="289">
        <v>474268.12760527013</v>
      </c>
      <c r="AQ91" s="266"/>
      <c r="AR91" s="285">
        <v>0</v>
      </c>
      <c r="AS91" s="286">
        <v>0</v>
      </c>
      <c r="AT91" s="286">
        <v>0</v>
      </c>
      <c r="AU91" s="290">
        <v>0</v>
      </c>
      <c r="AV91" s="289">
        <v>0</v>
      </c>
      <c r="AW91" s="291">
        <v>474268.12760527013</v>
      </c>
    </row>
    <row r="92" spans="1:49" x14ac:dyDescent="0.25">
      <c r="A92" s="264">
        <v>1378201</v>
      </c>
      <c r="B92" s="264" t="str">
        <f>VLOOKUP(A92,'Výpočet VP 2020'!$A$4:$B$318,2,FALSE)</f>
        <v>NZO</v>
      </c>
      <c r="C92" s="264" t="s">
        <v>877</v>
      </c>
      <c r="D92" s="264" t="s">
        <v>874</v>
      </c>
      <c r="E92" s="264" t="s">
        <v>1243</v>
      </c>
      <c r="F92" s="264">
        <v>1378201</v>
      </c>
      <c r="G92" s="264" t="s">
        <v>1063</v>
      </c>
      <c r="H92" s="264">
        <v>2019</v>
      </c>
      <c r="I92" s="265"/>
      <c r="J92" s="278"/>
      <c r="K92" s="279">
        <v>1121</v>
      </c>
      <c r="L92" s="279"/>
      <c r="M92" s="280"/>
      <c r="N92" s="280"/>
      <c r="O92" s="279"/>
      <c r="P92" s="281" t="s">
        <v>1242</v>
      </c>
      <c r="Q92" s="264"/>
      <c r="R92" s="282">
        <v>43647</v>
      </c>
      <c r="S92" s="281">
        <v>44377</v>
      </c>
      <c r="T92" s="281">
        <v>2</v>
      </c>
      <c r="U92" s="264">
        <v>0.5</v>
      </c>
      <c r="V92" s="282">
        <v>1.5</v>
      </c>
      <c r="W92" s="281">
        <v>0</v>
      </c>
      <c r="X92" s="281">
        <v>0</v>
      </c>
      <c r="Y92" s="264">
        <v>0</v>
      </c>
      <c r="Z92" s="282">
        <v>14</v>
      </c>
      <c r="AA92" s="281">
        <v>0</v>
      </c>
      <c r="AB92" s="281">
        <v>0</v>
      </c>
      <c r="AD92" s="284">
        <v>2</v>
      </c>
      <c r="AE92" s="284">
        <v>0.5</v>
      </c>
      <c r="AF92" s="284">
        <v>1.5</v>
      </c>
      <c r="AG92" s="284">
        <v>0</v>
      </c>
      <c r="AH92" s="284">
        <v>0</v>
      </c>
      <c r="AI92" s="284">
        <v>0</v>
      </c>
      <c r="AJ92" s="284">
        <v>0</v>
      </c>
      <c r="AL92" s="285">
        <v>1235141.025197387</v>
      </c>
      <c r="AM92" s="286">
        <v>0</v>
      </c>
      <c r="AN92" s="287">
        <v>29573.981749999999</v>
      </c>
      <c r="AO92" s="288">
        <v>0</v>
      </c>
      <c r="AP92" s="289">
        <v>1264715.006947387</v>
      </c>
      <c r="AQ92" s="266"/>
      <c r="AR92" s="285">
        <v>160954.14000000001</v>
      </c>
      <c r="AS92" s="286">
        <v>0</v>
      </c>
      <c r="AT92" s="286">
        <v>0</v>
      </c>
      <c r="AU92" s="290">
        <v>0</v>
      </c>
      <c r="AV92" s="289">
        <v>160954.14000000001</v>
      </c>
      <c r="AW92" s="291">
        <v>1103760.8669473869</v>
      </c>
    </row>
    <row r="93" spans="1:49" x14ac:dyDescent="0.25">
      <c r="A93" s="264">
        <v>1378201</v>
      </c>
      <c r="B93" s="264" t="str">
        <f>VLOOKUP(A93,'Výpočet VP 2020'!$A$4:$B$318,2,FALSE)</f>
        <v>NZO</v>
      </c>
      <c r="C93" s="264" t="s">
        <v>877</v>
      </c>
      <c r="D93" s="264" t="s">
        <v>874</v>
      </c>
      <c r="E93" s="264" t="s">
        <v>1244</v>
      </c>
      <c r="F93" s="264">
        <v>1378201</v>
      </c>
      <c r="G93" s="264" t="s">
        <v>1073</v>
      </c>
      <c r="H93" s="264">
        <v>2019</v>
      </c>
      <c r="I93" s="265"/>
      <c r="J93" s="278"/>
      <c r="K93" s="279">
        <v>1210</v>
      </c>
      <c r="L93" s="279"/>
      <c r="M93" s="280"/>
      <c r="N93" s="280"/>
      <c r="O93" s="279"/>
      <c r="P93" s="281" t="s">
        <v>1242</v>
      </c>
      <c r="Q93" s="264"/>
      <c r="R93" s="282">
        <v>43647</v>
      </c>
      <c r="S93" s="281">
        <v>44377</v>
      </c>
      <c r="T93" s="281">
        <v>1.5</v>
      </c>
      <c r="U93" s="264">
        <v>0.5</v>
      </c>
      <c r="V93" s="282">
        <v>1</v>
      </c>
      <c r="W93" s="281"/>
      <c r="X93" s="281"/>
      <c r="Y93" s="264"/>
      <c r="Z93" s="282">
        <v>8</v>
      </c>
      <c r="AA93" s="281"/>
      <c r="AB93" s="281"/>
      <c r="AD93" s="284">
        <v>1.5</v>
      </c>
      <c r="AE93" s="284">
        <v>0.5</v>
      </c>
      <c r="AF93" s="284">
        <v>1</v>
      </c>
      <c r="AG93" s="284">
        <v>0</v>
      </c>
      <c r="AH93" s="284">
        <v>0</v>
      </c>
      <c r="AI93" s="284">
        <v>0</v>
      </c>
      <c r="AJ93" s="300">
        <v>0</v>
      </c>
      <c r="AL93" s="285">
        <v>926355.76889804029</v>
      </c>
      <c r="AM93" s="286">
        <v>0</v>
      </c>
      <c r="AN93" s="287">
        <v>22180.486312499997</v>
      </c>
      <c r="AO93" s="288">
        <v>0</v>
      </c>
      <c r="AP93" s="289">
        <v>948536.25521054026</v>
      </c>
      <c r="AQ93" s="266"/>
      <c r="AR93" s="285">
        <v>107302.76000000001</v>
      </c>
      <c r="AS93" s="286">
        <v>0</v>
      </c>
      <c r="AT93" s="286">
        <v>0</v>
      </c>
      <c r="AU93" s="290">
        <v>0</v>
      </c>
      <c r="AV93" s="289">
        <v>107302.76000000001</v>
      </c>
      <c r="AW93" s="291">
        <v>841233.49521054025</v>
      </c>
    </row>
    <row r="94" spans="1:49" x14ac:dyDescent="0.25">
      <c r="A94" s="264">
        <v>1905494</v>
      </c>
      <c r="B94" s="264" t="str">
        <f>VLOOKUP(A94,'Výpočet VP 2020'!$A$4:$B$318,2,FALSE)</f>
        <v>NZO</v>
      </c>
      <c r="C94" s="264" t="s">
        <v>415</v>
      </c>
      <c r="D94" s="264" t="s">
        <v>415</v>
      </c>
      <c r="E94" s="264" t="s">
        <v>1255</v>
      </c>
      <c r="F94" s="264">
        <v>1905494</v>
      </c>
      <c r="G94" s="264" t="s">
        <v>1058</v>
      </c>
      <c r="H94" s="264">
        <v>2019</v>
      </c>
      <c r="I94" s="265"/>
      <c r="J94" s="278"/>
      <c r="K94" s="279">
        <v>965</v>
      </c>
      <c r="L94" s="279"/>
      <c r="M94" s="280"/>
      <c r="N94" s="280"/>
      <c r="O94" s="279"/>
      <c r="P94" s="281" t="s">
        <v>1256</v>
      </c>
      <c r="Q94" s="264"/>
      <c r="R94" s="282"/>
      <c r="S94" s="281" t="s">
        <v>1733</v>
      </c>
      <c r="T94" s="281">
        <v>12.14</v>
      </c>
      <c r="U94" s="264">
        <v>1.1399999999999999</v>
      </c>
      <c r="V94" s="282">
        <v>11</v>
      </c>
      <c r="W94" s="281">
        <v>0</v>
      </c>
      <c r="X94" s="281">
        <v>0</v>
      </c>
      <c r="Y94" s="264">
        <v>22</v>
      </c>
      <c r="Z94" s="282">
        <v>0</v>
      </c>
      <c r="AA94" s="281">
        <v>0</v>
      </c>
      <c r="AB94" s="281">
        <v>0</v>
      </c>
      <c r="AD94" s="284">
        <v>12.14</v>
      </c>
      <c r="AE94" s="284">
        <v>1.1399999999999999</v>
      </c>
      <c r="AF94" s="284">
        <v>11</v>
      </c>
      <c r="AG94" s="284">
        <v>0</v>
      </c>
      <c r="AH94" s="284">
        <v>0</v>
      </c>
      <c r="AI94" s="284">
        <v>22</v>
      </c>
      <c r="AJ94" s="284">
        <v>0</v>
      </c>
      <c r="AL94" s="285">
        <v>6849981.5918275556</v>
      </c>
      <c r="AM94" s="286">
        <v>0</v>
      </c>
      <c r="AN94" s="287">
        <v>1205209.6779296163</v>
      </c>
      <c r="AO94" s="288">
        <v>660499.50609499903</v>
      </c>
      <c r="AP94" s="289">
        <v>8715690.7758521717</v>
      </c>
      <c r="AQ94" s="266"/>
      <c r="AR94" s="285">
        <v>1401183.5340269068</v>
      </c>
      <c r="AS94" s="286">
        <v>0</v>
      </c>
      <c r="AT94" s="286">
        <v>846016.875</v>
      </c>
      <c r="AU94" s="290">
        <v>525699.9</v>
      </c>
      <c r="AV94" s="289">
        <v>2772900.3090269067</v>
      </c>
      <c r="AW94" s="291">
        <v>5942790.4668252654</v>
      </c>
    </row>
    <row r="95" spans="1:49" x14ac:dyDescent="0.25">
      <c r="A95" s="264">
        <v>2189349</v>
      </c>
      <c r="B95" s="264" t="str">
        <f>VLOOKUP(A95,'Výpočet VP 2020'!$A$4:$B$318,2,FALSE)</f>
        <v>NZO</v>
      </c>
      <c r="C95" s="264" t="s">
        <v>753</v>
      </c>
      <c r="D95" s="264" t="s">
        <v>753</v>
      </c>
      <c r="E95" s="264" t="s">
        <v>1257</v>
      </c>
      <c r="F95" s="264">
        <v>2189349</v>
      </c>
      <c r="G95" s="264" t="s">
        <v>1058</v>
      </c>
      <c r="H95" s="264">
        <v>2019</v>
      </c>
      <c r="I95" s="265"/>
      <c r="J95" s="278"/>
      <c r="K95" s="279">
        <v>965</v>
      </c>
      <c r="L95" s="279"/>
      <c r="M95" s="280"/>
      <c r="N95" s="280"/>
      <c r="O95" s="279"/>
      <c r="P95" s="281" t="s">
        <v>1177</v>
      </c>
      <c r="Q95" s="264"/>
      <c r="R95" s="282"/>
      <c r="S95" s="281">
        <v>44196</v>
      </c>
      <c r="T95" s="281">
        <v>2.4</v>
      </c>
      <c r="U95" s="264">
        <v>0.25</v>
      </c>
      <c r="V95" s="282">
        <v>2.15</v>
      </c>
      <c r="W95" s="281">
        <v>0</v>
      </c>
      <c r="X95" s="281">
        <v>0</v>
      </c>
      <c r="Y95" s="264">
        <v>0</v>
      </c>
      <c r="Z95" s="282">
        <v>0</v>
      </c>
      <c r="AA95" s="281">
        <v>2</v>
      </c>
      <c r="AB95" s="281">
        <v>0</v>
      </c>
      <c r="AD95" s="284">
        <v>2.4</v>
      </c>
      <c r="AE95" s="284">
        <v>0.25</v>
      </c>
      <c r="AF95" s="284">
        <v>2.15</v>
      </c>
      <c r="AG95" s="284">
        <v>0</v>
      </c>
      <c r="AH95" s="284">
        <v>0</v>
      </c>
      <c r="AI95" s="284">
        <v>0</v>
      </c>
      <c r="AJ95" s="284">
        <v>2</v>
      </c>
      <c r="AL95" s="285">
        <v>1354197.3492904557</v>
      </c>
      <c r="AM95" s="286">
        <v>0</v>
      </c>
      <c r="AN95" s="287">
        <v>0</v>
      </c>
      <c r="AO95" s="288">
        <v>0</v>
      </c>
      <c r="AP95" s="289">
        <v>1354197.3492904557</v>
      </c>
      <c r="AQ95" s="266"/>
      <c r="AR95" s="285">
        <v>273867.6907416227</v>
      </c>
      <c r="AS95" s="286">
        <v>0</v>
      </c>
      <c r="AT95" s="286">
        <v>0</v>
      </c>
      <c r="AU95" s="290">
        <v>0</v>
      </c>
      <c r="AV95" s="289">
        <v>273867.6907416227</v>
      </c>
      <c r="AW95" s="291">
        <v>1080329.6585488329</v>
      </c>
    </row>
    <row r="96" spans="1:49" x14ac:dyDescent="0.25">
      <c r="A96" s="264">
        <v>3854293</v>
      </c>
      <c r="B96" s="353" t="s">
        <v>1770</v>
      </c>
      <c r="C96" s="264" t="s">
        <v>1355</v>
      </c>
      <c r="D96" s="264" t="s">
        <v>760</v>
      </c>
      <c r="E96" s="264" t="s">
        <v>1735</v>
      </c>
      <c r="F96" s="264">
        <v>3854293</v>
      </c>
      <c r="G96" s="264" t="s">
        <v>1087</v>
      </c>
      <c r="H96" s="264">
        <v>2019</v>
      </c>
      <c r="I96" s="265"/>
      <c r="J96" s="278"/>
      <c r="K96" s="279"/>
      <c r="L96" s="279"/>
      <c r="M96" s="280">
        <v>86</v>
      </c>
      <c r="N96" s="280"/>
      <c r="O96" s="279"/>
      <c r="P96" s="281" t="s">
        <v>1109</v>
      </c>
      <c r="Q96" s="264"/>
      <c r="R96" s="282"/>
      <c r="S96" s="281"/>
      <c r="T96" s="281"/>
      <c r="U96" s="264"/>
      <c r="V96" s="282"/>
      <c r="W96" s="281"/>
      <c r="X96" s="281"/>
      <c r="Y96" s="264"/>
      <c r="Z96" s="282"/>
      <c r="AA96" s="281"/>
      <c r="AB96" s="281"/>
      <c r="AD96" s="284">
        <v>0</v>
      </c>
      <c r="AE96" s="284">
        <v>0</v>
      </c>
      <c r="AF96" s="284">
        <v>0</v>
      </c>
      <c r="AG96" s="284">
        <v>0</v>
      </c>
      <c r="AH96" s="284">
        <v>0</v>
      </c>
      <c r="AI96" s="284">
        <v>0</v>
      </c>
      <c r="AJ96" s="284">
        <v>0</v>
      </c>
      <c r="AL96" s="285">
        <v>0</v>
      </c>
      <c r="AM96" s="286">
        <v>0</v>
      </c>
      <c r="AN96" s="287">
        <v>0</v>
      </c>
      <c r="AO96" s="288">
        <v>0</v>
      </c>
      <c r="AP96" s="289">
        <v>0</v>
      </c>
      <c r="AQ96" s="266"/>
      <c r="AR96" s="285">
        <v>0</v>
      </c>
      <c r="AS96" s="286">
        <v>0</v>
      </c>
      <c r="AT96" s="286">
        <v>0</v>
      </c>
      <c r="AU96" s="290">
        <v>0</v>
      </c>
      <c r="AV96" s="289">
        <v>0</v>
      </c>
      <c r="AW96" s="291">
        <v>0</v>
      </c>
    </row>
    <row r="97" spans="1:49" x14ac:dyDescent="0.25">
      <c r="A97" s="264">
        <v>4461551</v>
      </c>
      <c r="B97" s="353" t="s">
        <v>1770</v>
      </c>
      <c r="C97" s="264" t="s">
        <v>760</v>
      </c>
      <c r="D97" s="264" t="s">
        <v>760</v>
      </c>
      <c r="E97" s="264" t="s">
        <v>1736</v>
      </c>
      <c r="F97" s="264">
        <v>4461551</v>
      </c>
      <c r="G97" s="264" t="s">
        <v>1087</v>
      </c>
      <c r="H97" s="264">
        <v>2019</v>
      </c>
      <c r="I97" s="265"/>
      <c r="J97" s="278"/>
      <c r="K97" s="279"/>
      <c r="L97" s="279"/>
      <c r="M97" s="280">
        <v>86</v>
      </c>
      <c r="N97" s="280"/>
      <c r="O97" s="279"/>
      <c r="P97" s="281" t="s">
        <v>1093</v>
      </c>
      <c r="Q97" s="264"/>
      <c r="R97" s="282"/>
      <c r="S97" s="281" t="s">
        <v>1733</v>
      </c>
      <c r="T97" s="281">
        <v>0</v>
      </c>
      <c r="U97" s="264">
        <v>0</v>
      </c>
      <c r="V97" s="282">
        <v>0</v>
      </c>
      <c r="W97" s="281">
        <v>0</v>
      </c>
      <c r="X97" s="281">
        <v>0</v>
      </c>
      <c r="Y97" s="264">
        <v>0</v>
      </c>
      <c r="Z97" s="282">
        <v>0</v>
      </c>
      <c r="AA97" s="281">
        <v>0</v>
      </c>
      <c r="AB97" s="281">
        <v>0</v>
      </c>
      <c r="AD97" s="284">
        <v>0</v>
      </c>
      <c r="AE97" s="284">
        <v>0</v>
      </c>
      <c r="AF97" s="284">
        <v>0</v>
      </c>
      <c r="AG97" s="284">
        <v>0</v>
      </c>
      <c r="AH97" s="284">
        <v>0</v>
      </c>
      <c r="AI97" s="284">
        <v>0</v>
      </c>
      <c r="AJ97" s="284">
        <v>0</v>
      </c>
      <c r="AL97" s="285">
        <v>0</v>
      </c>
      <c r="AM97" s="286">
        <v>0</v>
      </c>
      <c r="AN97" s="287">
        <v>0</v>
      </c>
      <c r="AO97" s="288">
        <v>0</v>
      </c>
      <c r="AP97" s="289">
        <v>0</v>
      </c>
      <c r="AQ97" s="266"/>
      <c r="AR97" s="285">
        <v>0</v>
      </c>
      <c r="AS97" s="286">
        <v>0</v>
      </c>
      <c r="AT97" s="286">
        <v>0</v>
      </c>
      <c r="AU97" s="290">
        <v>0</v>
      </c>
      <c r="AV97" s="289">
        <v>0</v>
      </c>
      <c r="AW97" s="291">
        <v>0</v>
      </c>
    </row>
    <row r="98" spans="1:49" x14ac:dyDescent="0.25">
      <c r="A98" s="264">
        <v>9223411</v>
      </c>
      <c r="B98" s="264" t="str">
        <f>VLOOKUP(A98,'Výpočet VP 2020'!$A$4:$B$318,2,FALSE)</f>
        <v>NZO</v>
      </c>
      <c r="C98" s="264" t="s">
        <v>358</v>
      </c>
      <c r="D98" s="264" t="s">
        <v>358</v>
      </c>
      <c r="E98" s="264" t="s">
        <v>1270</v>
      </c>
      <c r="F98" s="264">
        <v>9223411</v>
      </c>
      <c r="G98" s="264" t="s">
        <v>1087</v>
      </c>
      <c r="H98" s="264">
        <v>2019</v>
      </c>
      <c r="I98" s="265"/>
      <c r="J98" s="278"/>
      <c r="K98" s="279"/>
      <c r="L98" s="279"/>
      <c r="M98" s="280">
        <v>86</v>
      </c>
      <c r="N98" s="280"/>
      <c r="O98" s="279"/>
      <c r="P98" s="281" t="s">
        <v>1271</v>
      </c>
      <c r="Q98" s="264"/>
      <c r="R98" s="282"/>
      <c r="S98" s="281" t="s">
        <v>1733</v>
      </c>
      <c r="T98" s="281">
        <v>4.05</v>
      </c>
      <c r="U98" s="264">
        <v>0.75</v>
      </c>
      <c r="V98" s="282">
        <v>1.65</v>
      </c>
      <c r="W98" s="281">
        <v>1.65</v>
      </c>
      <c r="X98" s="281">
        <v>0</v>
      </c>
      <c r="Y98" s="264">
        <v>4</v>
      </c>
      <c r="Z98" s="282">
        <v>0</v>
      </c>
      <c r="AA98" s="281">
        <v>0</v>
      </c>
      <c r="AB98" s="281">
        <v>0</v>
      </c>
      <c r="AD98" s="284">
        <v>4.05</v>
      </c>
      <c r="AE98" s="284">
        <v>0.75</v>
      </c>
      <c r="AF98" s="284">
        <v>1.65</v>
      </c>
      <c r="AG98" s="284">
        <v>1.65</v>
      </c>
      <c r="AH98" s="284">
        <v>0</v>
      </c>
      <c r="AI98" s="284">
        <v>4</v>
      </c>
      <c r="AJ98" s="284">
        <v>0</v>
      </c>
      <c r="AL98" s="285">
        <v>2285208.0269276439</v>
      </c>
      <c r="AM98" s="286">
        <v>0</v>
      </c>
      <c r="AN98" s="287">
        <v>219129.03235083932</v>
      </c>
      <c r="AO98" s="288">
        <v>120090.81928999982</v>
      </c>
      <c r="AP98" s="289">
        <v>2624427.8785684831</v>
      </c>
      <c r="AQ98" s="266"/>
      <c r="AR98" s="285">
        <v>420355.06020807201</v>
      </c>
      <c r="AS98" s="286">
        <v>0</v>
      </c>
      <c r="AT98" s="286">
        <v>153821.25</v>
      </c>
      <c r="AU98" s="290">
        <v>95581.8</v>
      </c>
      <c r="AV98" s="289">
        <v>669758.110208072</v>
      </c>
      <c r="AW98" s="291">
        <v>1954669.768360411</v>
      </c>
    </row>
    <row r="99" spans="1:49" x14ac:dyDescent="0.25">
      <c r="A99" s="264">
        <v>1622964</v>
      </c>
      <c r="B99" s="264" t="str">
        <f>VLOOKUP(A99,'Výpočet VP 2020'!$A$4:$B$318,2,FALSE)</f>
        <v>NZO</v>
      </c>
      <c r="C99" s="264" t="s">
        <v>684</v>
      </c>
      <c r="D99" s="264" t="s">
        <v>969</v>
      </c>
      <c r="E99" s="264" t="s">
        <v>1252</v>
      </c>
      <c r="F99" s="264">
        <v>1622964</v>
      </c>
      <c r="G99" s="264" t="s">
        <v>1061</v>
      </c>
      <c r="H99" s="264">
        <v>2019</v>
      </c>
      <c r="I99" s="265"/>
      <c r="J99" s="278"/>
      <c r="K99" s="279"/>
      <c r="L99" s="279"/>
      <c r="M99" s="280"/>
      <c r="N99" s="280"/>
      <c r="O99" s="279">
        <v>3605</v>
      </c>
      <c r="P99" s="281" t="s">
        <v>1253</v>
      </c>
      <c r="Q99" s="264"/>
      <c r="R99" s="282"/>
      <c r="S99" s="281" t="s">
        <v>1733</v>
      </c>
      <c r="T99" s="281">
        <v>6.75</v>
      </c>
      <c r="U99" s="264">
        <v>0.5</v>
      </c>
      <c r="V99" s="282">
        <v>6.25</v>
      </c>
      <c r="W99" s="281">
        <v>0</v>
      </c>
      <c r="X99" s="281">
        <v>0</v>
      </c>
      <c r="Y99" s="264">
        <v>5</v>
      </c>
      <c r="Z99" s="282">
        <v>0</v>
      </c>
      <c r="AA99" s="281">
        <v>5</v>
      </c>
      <c r="AB99" s="281">
        <v>0</v>
      </c>
      <c r="AD99" s="301">
        <v>6.75</v>
      </c>
      <c r="AE99" s="301">
        <v>0.5</v>
      </c>
      <c r="AF99" s="301">
        <v>6.25</v>
      </c>
      <c r="AG99" s="301">
        <v>0</v>
      </c>
      <c r="AH99" s="284">
        <v>0</v>
      </c>
      <c r="AI99" s="284">
        <v>5</v>
      </c>
      <c r="AJ99" s="284">
        <v>5</v>
      </c>
      <c r="AL99" s="285">
        <v>3808680.0448794067</v>
      </c>
      <c r="AM99" s="286">
        <v>0</v>
      </c>
      <c r="AN99" s="287">
        <v>273911.29043854913</v>
      </c>
      <c r="AO99" s="288">
        <v>150113.52411249978</v>
      </c>
      <c r="AP99" s="289">
        <v>4232704.8594304556</v>
      </c>
      <c r="AQ99" s="266"/>
      <c r="AR99" s="285">
        <v>796127.00796983344</v>
      </c>
      <c r="AS99" s="286">
        <v>0</v>
      </c>
      <c r="AT99" s="286">
        <v>192276.5625</v>
      </c>
      <c r="AU99" s="290">
        <v>119477.25</v>
      </c>
      <c r="AV99" s="289">
        <v>1107880.8204698334</v>
      </c>
      <c r="AW99" s="291">
        <v>3124824.0389606222</v>
      </c>
    </row>
    <row r="100" spans="1:49" x14ac:dyDescent="0.25">
      <c r="A100" s="264">
        <v>1441233</v>
      </c>
      <c r="B100" s="264" t="str">
        <f>VLOOKUP(A100,'Výpočet VP 2020'!$A$4:$B$318,2,FALSE)</f>
        <v>NZO</v>
      </c>
      <c r="C100" s="264" t="s">
        <v>1251</v>
      </c>
      <c r="D100" s="264" t="s">
        <v>568</v>
      </c>
      <c r="E100" s="264" t="s">
        <v>1249</v>
      </c>
      <c r="F100" s="264">
        <v>1441233</v>
      </c>
      <c r="G100" s="264" t="s">
        <v>1063</v>
      </c>
      <c r="H100" s="264">
        <v>2019</v>
      </c>
      <c r="I100" s="265"/>
      <c r="J100" s="278"/>
      <c r="K100" s="279"/>
      <c r="L100" s="279"/>
      <c r="M100" s="280"/>
      <c r="N100" s="280"/>
      <c r="O100" s="279">
        <v>3607</v>
      </c>
      <c r="P100" s="281" t="s">
        <v>1177</v>
      </c>
      <c r="Q100" s="264"/>
      <c r="R100" s="282"/>
      <c r="S100" s="281" t="s">
        <v>1733</v>
      </c>
      <c r="T100" s="281">
        <v>5.35</v>
      </c>
      <c r="U100" s="264">
        <v>0.3</v>
      </c>
      <c r="V100" s="282">
        <v>3.5</v>
      </c>
      <c r="W100" s="281">
        <v>1.55</v>
      </c>
      <c r="X100" s="281">
        <v>0</v>
      </c>
      <c r="Y100" s="264">
        <v>13</v>
      </c>
      <c r="Z100" s="282">
        <v>0</v>
      </c>
      <c r="AA100" s="281">
        <v>0</v>
      </c>
      <c r="AB100" s="281">
        <v>0</v>
      </c>
      <c r="AD100" s="284">
        <v>5.35</v>
      </c>
      <c r="AE100" s="284">
        <v>0.3</v>
      </c>
      <c r="AF100" s="284">
        <v>3.5</v>
      </c>
      <c r="AG100" s="284">
        <v>1.55</v>
      </c>
      <c r="AH100" s="284">
        <v>0</v>
      </c>
      <c r="AI100" s="284">
        <v>13</v>
      </c>
      <c r="AJ100" s="284">
        <v>0</v>
      </c>
      <c r="AL100" s="285">
        <v>3018731.5911266408</v>
      </c>
      <c r="AM100" s="286">
        <v>0</v>
      </c>
      <c r="AN100" s="287">
        <v>712169.35514022782</v>
      </c>
      <c r="AO100" s="288">
        <v>390295.16269249941</v>
      </c>
      <c r="AP100" s="289">
        <v>4121196.108959368</v>
      </c>
      <c r="AQ100" s="266"/>
      <c r="AR100" s="285">
        <v>643270.62243962544</v>
      </c>
      <c r="AS100" s="286">
        <v>0</v>
      </c>
      <c r="AT100" s="286">
        <v>499919.0625</v>
      </c>
      <c r="AU100" s="290">
        <v>310640.85000000003</v>
      </c>
      <c r="AV100" s="289">
        <v>1453830.5349396255</v>
      </c>
      <c r="AW100" s="291">
        <v>2667365.5740197422</v>
      </c>
    </row>
    <row r="101" spans="1:49" x14ac:dyDescent="0.25">
      <c r="A101" s="264">
        <v>5020855</v>
      </c>
      <c r="B101" s="264" t="str">
        <f>VLOOKUP(A101,'Výpočet VP 2020'!$A$4:$B$318,2,FALSE)</f>
        <v>NZO</v>
      </c>
      <c r="C101" s="264" t="s">
        <v>1130</v>
      </c>
      <c r="D101" s="264" t="s">
        <v>281</v>
      </c>
      <c r="E101" s="264" t="s">
        <v>1280</v>
      </c>
      <c r="F101" s="264">
        <v>5020855</v>
      </c>
      <c r="G101" s="264" t="s">
        <v>1063</v>
      </c>
      <c r="H101" s="264">
        <v>2019</v>
      </c>
      <c r="I101" s="265"/>
      <c r="J101" s="278"/>
      <c r="K101" s="279">
        <v>1121</v>
      </c>
      <c r="L101" s="279"/>
      <c r="M101" s="280"/>
      <c r="N101" s="280"/>
      <c r="O101" s="279"/>
      <c r="P101" s="281" t="s">
        <v>1253</v>
      </c>
      <c r="Q101" s="264"/>
      <c r="R101" s="282"/>
      <c r="S101" s="281" t="s">
        <v>1733</v>
      </c>
      <c r="T101" s="281">
        <v>8.51</v>
      </c>
      <c r="U101" s="264">
        <v>1</v>
      </c>
      <c r="V101" s="282">
        <v>6.31</v>
      </c>
      <c r="W101" s="281">
        <v>0</v>
      </c>
      <c r="X101" s="281">
        <v>1.2</v>
      </c>
      <c r="Y101" s="264">
        <v>0</v>
      </c>
      <c r="Z101" s="282">
        <v>0</v>
      </c>
      <c r="AA101" s="281">
        <v>40</v>
      </c>
      <c r="AB101" s="281">
        <v>0</v>
      </c>
      <c r="AD101" s="284">
        <v>8.51</v>
      </c>
      <c r="AE101" s="284">
        <v>1</v>
      </c>
      <c r="AF101" s="284">
        <v>6.31</v>
      </c>
      <c r="AG101" s="284">
        <v>0</v>
      </c>
      <c r="AH101" s="284">
        <v>1.2</v>
      </c>
      <c r="AI101" s="284">
        <v>0</v>
      </c>
      <c r="AJ101" s="284">
        <v>40</v>
      </c>
      <c r="AL101" s="285">
        <v>4861249.2307161232</v>
      </c>
      <c r="AM101" s="286">
        <v>0</v>
      </c>
      <c r="AN101" s="287">
        <v>744153.48223945813</v>
      </c>
      <c r="AO101" s="288">
        <v>21113.322596042926</v>
      </c>
      <c r="AP101" s="289">
        <v>5626516.0355516244</v>
      </c>
      <c r="AQ101" s="266"/>
      <c r="AR101" s="285">
        <v>853143.51</v>
      </c>
      <c r="AS101" s="286">
        <v>0</v>
      </c>
      <c r="AT101" s="286">
        <v>0</v>
      </c>
      <c r="AU101" s="290">
        <v>0</v>
      </c>
      <c r="AV101" s="289">
        <v>853143.51</v>
      </c>
      <c r="AW101" s="291">
        <v>4773372.5255516246</v>
      </c>
    </row>
    <row r="102" spans="1:49" x14ac:dyDescent="0.25">
      <c r="A102" s="264">
        <v>8090757</v>
      </c>
      <c r="B102" s="353" t="s">
        <v>1770</v>
      </c>
      <c r="C102" s="264" t="s">
        <v>287</v>
      </c>
      <c r="D102" s="264" t="s">
        <v>375</v>
      </c>
      <c r="E102" s="264" t="s">
        <v>1738</v>
      </c>
      <c r="F102" s="264">
        <v>8090757</v>
      </c>
      <c r="G102" s="264" t="s">
        <v>1128</v>
      </c>
      <c r="H102" s="264">
        <v>2019</v>
      </c>
      <c r="I102" s="265"/>
      <c r="J102" s="278"/>
      <c r="K102" s="279">
        <v>1228</v>
      </c>
      <c r="L102" s="279"/>
      <c r="M102" s="280"/>
      <c r="N102" s="280"/>
      <c r="O102" s="279"/>
      <c r="P102" s="281" t="s">
        <v>1262</v>
      </c>
      <c r="Q102" s="264"/>
      <c r="R102" s="282"/>
      <c r="S102" s="281" t="s">
        <v>1733</v>
      </c>
      <c r="T102" s="281">
        <v>2.5</v>
      </c>
      <c r="U102" s="264">
        <v>0.35</v>
      </c>
      <c r="V102" s="282">
        <v>2.15</v>
      </c>
      <c r="W102" s="281">
        <v>0</v>
      </c>
      <c r="X102" s="281">
        <v>0</v>
      </c>
      <c r="Y102" s="264">
        <v>0</v>
      </c>
      <c r="Z102" s="282">
        <v>0</v>
      </c>
      <c r="AA102" s="281">
        <v>10</v>
      </c>
      <c r="AB102" s="281">
        <v>0</v>
      </c>
      <c r="AD102" s="284">
        <v>2.5</v>
      </c>
      <c r="AE102" s="284">
        <v>0.35</v>
      </c>
      <c r="AF102" s="284">
        <v>2.15</v>
      </c>
      <c r="AG102" s="284">
        <v>0</v>
      </c>
      <c r="AH102" s="284">
        <v>0</v>
      </c>
      <c r="AI102" s="284">
        <v>0</v>
      </c>
      <c r="AJ102" s="284">
        <v>10</v>
      </c>
      <c r="AL102" s="285">
        <v>1428099.0689530328</v>
      </c>
      <c r="AM102" s="286">
        <v>0</v>
      </c>
      <c r="AN102" s="287">
        <v>186038.37055986453</v>
      </c>
      <c r="AO102" s="288">
        <v>5278.3306490107316</v>
      </c>
      <c r="AP102" s="289">
        <v>1619415.7701619081</v>
      </c>
      <c r="AQ102" s="266"/>
      <c r="AR102" s="285">
        <v>244242.15</v>
      </c>
      <c r="AS102" s="286">
        <v>0</v>
      </c>
      <c r="AT102" s="286">
        <v>0</v>
      </c>
      <c r="AU102" s="290">
        <v>0</v>
      </c>
      <c r="AV102" s="289">
        <v>244242.15</v>
      </c>
      <c r="AW102" s="291">
        <v>1375173.6201619082</v>
      </c>
    </row>
    <row r="103" spans="1:49" x14ac:dyDescent="0.25">
      <c r="A103" s="264">
        <v>1567065</v>
      </c>
      <c r="B103" s="264" t="str">
        <f>VLOOKUP(A103,'Výpočet VP 2020'!$A$4:$B$318,2,FALSE)</f>
        <v>NZO</v>
      </c>
      <c r="C103" s="264" t="s">
        <v>1283</v>
      </c>
      <c r="D103" s="264" t="s">
        <v>384</v>
      </c>
      <c r="E103" s="264" t="s">
        <v>1281</v>
      </c>
      <c r="F103" s="264">
        <v>1567065</v>
      </c>
      <c r="G103" s="264" t="s">
        <v>1134</v>
      </c>
      <c r="H103" s="264">
        <v>2019</v>
      </c>
      <c r="I103" s="265"/>
      <c r="J103" s="278"/>
      <c r="K103" s="279"/>
      <c r="L103" s="279"/>
      <c r="M103" s="280"/>
      <c r="N103" s="280">
        <v>2534</v>
      </c>
      <c r="O103" s="279"/>
      <c r="P103" s="281" t="s">
        <v>1177</v>
      </c>
      <c r="Q103" s="264"/>
      <c r="R103" s="282"/>
      <c r="S103" s="281" t="s">
        <v>1733</v>
      </c>
      <c r="T103" s="281">
        <v>1.7</v>
      </c>
      <c r="U103" s="264">
        <v>0.1</v>
      </c>
      <c r="V103" s="282">
        <v>1.6</v>
      </c>
      <c r="W103" s="281">
        <v>0</v>
      </c>
      <c r="X103" s="281">
        <v>0</v>
      </c>
      <c r="Y103" s="264">
        <v>0</v>
      </c>
      <c r="Z103" s="282">
        <v>0</v>
      </c>
      <c r="AA103" s="281">
        <v>10</v>
      </c>
      <c r="AB103" s="281">
        <v>0</v>
      </c>
      <c r="AD103" s="284">
        <v>1.7</v>
      </c>
      <c r="AE103" s="284">
        <v>0.1</v>
      </c>
      <c r="AF103" s="284">
        <v>1.6</v>
      </c>
      <c r="AG103" s="284">
        <v>0</v>
      </c>
      <c r="AH103" s="284">
        <v>0</v>
      </c>
      <c r="AI103" s="284">
        <v>0</v>
      </c>
      <c r="AJ103" s="284">
        <v>10</v>
      </c>
      <c r="AL103" s="285">
        <v>1211770.0685759482</v>
      </c>
      <c r="AM103" s="286">
        <v>0</v>
      </c>
      <c r="AN103" s="287">
        <v>270950.73563117511</v>
      </c>
      <c r="AO103" s="288">
        <v>52980.56889244201</v>
      </c>
      <c r="AP103" s="289">
        <v>1535701.3730995653</v>
      </c>
      <c r="AQ103" s="266"/>
      <c r="AR103" s="285">
        <v>215829.54248366013</v>
      </c>
      <c r="AS103" s="286">
        <v>0</v>
      </c>
      <c r="AT103" s="286">
        <v>0</v>
      </c>
      <c r="AU103" s="290">
        <v>54523.076923076922</v>
      </c>
      <c r="AV103" s="289">
        <v>270352.61940673704</v>
      </c>
      <c r="AW103" s="291">
        <v>1265348.7536928281</v>
      </c>
    </row>
    <row r="104" spans="1:49" x14ac:dyDescent="0.25">
      <c r="A104" s="264">
        <v>2333254</v>
      </c>
      <c r="B104" s="264" t="str">
        <f>VLOOKUP(A104,'Výpočet VP 2020'!$A$4:$B$318,2,FALSE)</f>
        <v>NZO</v>
      </c>
      <c r="C104" s="264" t="s">
        <v>1287</v>
      </c>
      <c r="D104" s="264" t="s">
        <v>353</v>
      </c>
      <c r="E104" s="264" t="s">
        <v>1286</v>
      </c>
      <c r="F104" s="264">
        <v>2333254</v>
      </c>
      <c r="G104" s="264" t="s">
        <v>1142</v>
      </c>
      <c r="H104" s="264">
        <v>2019</v>
      </c>
      <c r="I104" s="265"/>
      <c r="J104" s="278"/>
      <c r="K104" s="279">
        <v>1007</v>
      </c>
      <c r="L104" s="279"/>
      <c r="M104" s="280"/>
      <c r="N104" s="280"/>
      <c r="O104" s="279"/>
      <c r="P104" s="281" t="s">
        <v>1262</v>
      </c>
      <c r="Q104" s="264"/>
      <c r="R104" s="282"/>
      <c r="S104" s="281" t="s">
        <v>1733</v>
      </c>
      <c r="T104" s="281">
        <v>2.0099999999999998</v>
      </c>
      <c r="U104" s="264">
        <v>1</v>
      </c>
      <c r="V104" s="282">
        <v>1</v>
      </c>
      <c r="W104" s="281">
        <v>0</v>
      </c>
      <c r="X104" s="281">
        <v>0.01</v>
      </c>
      <c r="Y104" s="264">
        <v>0</v>
      </c>
      <c r="Z104" s="282">
        <v>0</v>
      </c>
      <c r="AA104" s="281">
        <v>6</v>
      </c>
      <c r="AB104" s="281">
        <v>0</v>
      </c>
      <c r="AD104" s="284">
        <v>2.0099999999999998</v>
      </c>
      <c r="AE104" s="284">
        <v>1</v>
      </c>
      <c r="AF104" s="284">
        <v>1</v>
      </c>
      <c r="AG104" s="284">
        <v>0</v>
      </c>
      <c r="AH104" s="284">
        <v>0.01</v>
      </c>
      <c r="AI104" s="284">
        <v>0</v>
      </c>
      <c r="AJ104" s="284">
        <v>6</v>
      </c>
      <c r="AL104" s="285">
        <v>1432739.9046103857</v>
      </c>
      <c r="AM104" s="286">
        <v>0</v>
      </c>
      <c r="AN104" s="287">
        <v>162570.44137870509</v>
      </c>
      <c r="AO104" s="288">
        <v>31788.341335465204</v>
      </c>
      <c r="AP104" s="289">
        <v>1627098.6873245561</v>
      </c>
      <c r="AQ104" s="266"/>
      <c r="AR104" s="285">
        <v>136242.39869281044</v>
      </c>
      <c r="AS104" s="286">
        <v>0</v>
      </c>
      <c r="AT104" s="286">
        <v>0</v>
      </c>
      <c r="AU104" s="290">
        <v>32713.846153846156</v>
      </c>
      <c r="AV104" s="289">
        <v>168956.2448466566</v>
      </c>
      <c r="AW104" s="291">
        <v>1458142.4424778994</v>
      </c>
    </row>
    <row r="105" spans="1:49" x14ac:dyDescent="0.25">
      <c r="A105" s="264">
        <v>7268793</v>
      </c>
      <c r="B105" s="264" t="str">
        <f>VLOOKUP(A105,'Výpočet VP 2020'!$A$4:$B$318,2,FALSE)</f>
        <v>NZO</v>
      </c>
      <c r="C105" s="264" t="s">
        <v>1299</v>
      </c>
      <c r="D105" s="264" t="s">
        <v>312</v>
      </c>
      <c r="E105" s="264" t="s">
        <v>1298</v>
      </c>
      <c r="F105" s="264">
        <v>7268793</v>
      </c>
      <c r="G105" s="264" t="s">
        <v>1058</v>
      </c>
      <c r="H105" s="264">
        <v>2019</v>
      </c>
      <c r="I105" s="265"/>
      <c r="J105" s="278"/>
      <c r="K105" s="279"/>
      <c r="L105" s="279"/>
      <c r="M105" s="280"/>
      <c r="N105" s="280">
        <v>2046</v>
      </c>
      <c r="O105" s="279"/>
      <c r="P105" s="281" t="s">
        <v>1300</v>
      </c>
      <c r="Q105" s="264"/>
      <c r="R105" s="282"/>
      <c r="S105" s="281" t="s">
        <v>1733</v>
      </c>
      <c r="T105" s="281">
        <v>5.75</v>
      </c>
      <c r="U105" s="264">
        <v>0.5</v>
      </c>
      <c r="V105" s="282">
        <v>5.25</v>
      </c>
      <c r="W105" s="281">
        <v>0</v>
      </c>
      <c r="X105" s="281">
        <v>0</v>
      </c>
      <c r="Y105" s="264">
        <v>0</v>
      </c>
      <c r="Z105" s="282">
        <v>0</v>
      </c>
      <c r="AA105" s="281">
        <v>20</v>
      </c>
      <c r="AB105" s="281">
        <v>0</v>
      </c>
      <c r="AD105" s="284">
        <v>5.75</v>
      </c>
      <c r="AE105" s="284">
        <v>0.5</v>
      </c>
      <c r="AF105" s="284">
        <v>5.25</v>
      </c>
      <c r="AG105" s="284">
        <v>0</v>
      </c>
      <c r="AH105" s="284">
        <v>0</v>
      </c>
      <c r="AI105" s="284">
        <v>0</v>
      </c>
      <c r="AJ105" s="284">
        <v>20</v>
      </c>
      <c r="AL105" s="285">
        <v>4098634.055477472</v>
      </c>
      <c r="AM105" s="286">
        <v>0</v>
      </c>
      <c r="AN105" s="287">
        <v>541901.47126235021</v>
      </c>
      <c r="AO105" s="288">
        <v>105961.13778488402</v>
      </c>
      <c r="AP105" s="289">
        <v>4746496.664524707</v>
      </c>
      <c r="AQ105" s="266"/>
      <c r="AR105" s="285">
        <v>708190.68627450976</v>
      </c>
      <c r="AS105" s="286">
        <v>0</v>
      </c>
      <c r="AT105" s="286">
        <v>0</v>
      </c>
      <c r="AU105" s="290">
        <v>109046.15384615384</v>
      </c>
      <c r="AV105" s="289">
        <v>817236.84012066363</v>
      </c>
      <c r="AW105" s="291">
        <v>3929259.8244040431</v>
      </c>
    </row>
    <row r="106" spans="1:49" x14ac:dyDescent="0.25">
      <c r="A106" s="264">
        <v>9268423</v>
      </c>
      <c r="B106" s="264" t="str">
        <f>VLOOKUP(A106,'Výpočet VP 2020'!$A$4:$B$318,2,FALSE)</f>
        <v>NZO</v>
      </c>
      <c r="C106" s="264" t="s">
        <v>1010</v>
      </c>
      <c r="D106" s="264" t="s">
        <v>1010</v>
      </c>
      <c r="E106" s="264" t="s">
        <v>1302</v>
      </c>
      <c r="F106" s="264">
        <v>9268423</v>
      </c>
      <c r="G106" s="264" t="s">
        <v>1058</v>
      </c>
      <c r="H106" s="264">
        <v>2019</v>
      </c>
      <c r="I106" s="265"/>
      <c r="J106" s="278"/>
      <c r="K106" s="279">
        <v>965</v>
      </c>
      <c r="L106" s="279"/>
      <c r="M106" s="280"/>
      <c r="N106" s="280"/>
      <c r="O106" s="279"/>
      <c r="P106" s="281" t="s">
        <v>1253</v>
      </c>
      <c r="Q106" s="264"/>
      <c r="R106" s="282"/>
      <c r="S106" s="281" t="s">
        <v>1733</v>
      </c>
      <c r="T106" s="281">
        <v>17.399999999999999</v>
      </c>
      <c r="U106" s="264">
        <v>0.7</v>
      </c>
      <c r="V106" s="282">
        <v>12.43</v>
      </c>
      <c r="W106" s="281">
        <v>0</v>
      </c>
      <c r="X106" s="281">
        <v>4.2699999999999996</v>
      </c>
      <c r="Y106" s="264">
        <v>0</v>
      </c>
      <c r="Z106" s="282">
        <v>0</v>
      </c>
      <c r="AA106" s="281">
        <v>41</v>
      </c>
      <c r="AB106" s="281">
        <v>0</v>
      </c>
      <c r="AD106" s="284">
        <v>17.399999999999999</v>
      </c>
      <c r="AE106" s="284">
        <v>0.7</v>
      </c>
      <c r="AF106" s="284">
        <v>12.43</v>
      </c>
      <c r="AG106" s="284">
        <v>0</v>
      </c>
      <c r="AH106" s="284">
        <v>4.2699999999999996</v>
      </c>
      <c r="AI106" s="284">
        <v>0</v>
      </c>
      <c r="AJ106" s="284">
        <v>41</v>
      </c>
      <c r="AL106" s="285">
        <v>12402823.054836174</v>
      </c>
      <c r="AM106" s="286">
        <v>0</v>
      </c>
      <c r="AN106" s="287">
        <v>1110898.016087818</v>
      </c>
      <c r="AO106" s="288">
        <v>217220.33245901222</v>
      </c>
      <c r="AP106" s="289">
        <v>13730941.403383004</v>
      </c>
      <c r="AQ106" s="266"/>
      <c r="AR106" s="285">
        <v>2252720.8496732023</v>
      </c>
      <c r="AS106" s="286">
        <v>0</v>
      </c>
      <c r="AT106" s="286">
        <v>0</v>
      </c>
      <c r="AU106" s="290">
        <v>223544.61538461538</v>
      </c>
      <c r="AV106" s="289">
        <v>2476265.4650578178</v>
      </c>
      <c r="AW106" s="291">
        <v>11254675.938325185</v>
      </c>
    </row>
    <row r="107" spans="1:49" x14ac:dyDescent="0.25">
      <c r="A107" s="264">
        <v>3673053</v>
      </c>
      <c r="B107" s="264" t="str">
        <f>VLOOKUP(A107,'Výpočet VP 2020'!$A$4:$B$318,2,FALSE)</f>
        <v>NZO</v>
      </c>
      <c r="C107" s="264" t="s">
        <v>219</v>
      </c>
      <c r="D107" s="264" t="s">
        <v>1145</v>
      </c>
      <c r="E107" s="264" t="s">
        <v>1289</v>
      </c>
      <c r="F107" s="264">
        <v>3673053</v>
      </c>
      <c r="G107" s="264" t="s">
        <v>1068</v>
      </c>
      <c r="H107" s="264">
        <v>2019</v>
      </c>
      <c r="I107" s="265"/>
      <c r="J107" s="278"/>
      <c r="K107" s="279">
        <v>1015</v>
      </c>
      <c r="L107" s="279"/>
      <c r="M107" s="280"/>
      <c r="N107" s="280"/>
      <c r="O107" s="279"/>
      <c r="P107" s="281" t="s">
        <v>1253</v>
      </c>
      <c r="Q107" s="264"/>
      <c r="R107" s="282"/>
      <c r="S107" s="281" t="s">
        <v>1733</v>
      </c>
      <c r="T107" s="281">
        <v>17.25</v>
      </c>
      <c r="U107" s="264">
        <v>2.65</v>
      </c>
      <c r="V107" s="282">
        <v>13.4</v>
      </c>
      <c r="W107" s="281">
        <v>0</v>
      </c>
      <c r="X107" s="281">
        <v>1.2</v>
      </c>
      <c r="Y107" s="264">
        <v>0</v>
      </c>
      <c r="Z107" s="282">
        <v>0</v>
      </c>
      <c r="AA107" s="281">
        <v>32</v>
      </c>
      <c r="AB107" s="281">
        <v>0</v>
      </c>
      <c r="AD107" s="284">
        <v>17.25</v>
      </c>
      <c r="AE107" s="284">
        <v>2.65</v>
      </c>
      <c r="AF107" s="284">
        <v>13.4</v>
      </c>
      <c r="AG107" s="284">
        <v>0</v>
      </c>
      <c r="AH107" s="284">
        <v>1.2</v>
      </c>
      <c r="AI107" s="284">
        <v>0</v>
      </c>
      <c r="AJ107" s="284">
        <v>32</v>
      </c>
      <c r="AL107" s="285">
        <v>12295902.166432416</v>
      </c>
      <c r="AM107" s="286">
        <v>0</v>
      </c>
      <c r="AN107" s="287">
        <v>867042.35401976039</v>
      </c>
      <c r="AO107" s="288">
        <v>169537.82045581442</v>
      </c>
      <c r="AP107" s="289">
        <v>13332482.340907991</v>
      </c>
      <c r="AQ107" s="266"/>
      <c r="AR107" s="285">
        <v>1969444.5751633984</v>
      </c>
      <c r="AS107" s="286">
        <v>0</v>
      </c>
      <c r="AT107" s="286">
        <v>0</v>
      </c>
      <c r="AU107" s="290">
        <v>174473.84615384616</v>
      </c>
      <c r="AV107" s="289">
        <v>2143918.4213172444</v>
      </c>
      <c r="AW107" s="291">
        <v>11188563.919590747</v>
      </c>
    </row>
    <row r="108" spans="1:49" x14ac:dyDescent="0.25">
      <c r="A108" s="264">
        <v>8979890</v>
      </c>
      <c r="B108" s="264" t="str">
        <f>VLOOKUP(A108,'Výpočet VP 2020'!$A$4:$B$318,2,FALSE)</f>
        <v>NZO</v>
      </c>
      <c r="C108" s="264" t="s">
        <v>389</v>
      </c>
      <c r="D108" s="264" t="s">
        <v>969</v>
      </c>
      <c r="E108" s="264" t="s">
        <v>1301</v>
      </c>
      <c r="F108" s="264">
        <v>8979890</v>
      </c>
      <c r="G108" s="264" t="s">
        <v>1061</v>
      </c>
      <c r="H108" s="264">
        <v>2019</v>
      </c>
      <c r="I108" s="265"/>
      <c r="J108" s="278"/>
      <c r="K108" s="279">
        <v>1066</v>
      </c>
      <c r="L108" s="279"/>
      <c r="M108" s="280"/>
      <c r="N108" s="280"/>
      <c r="O108" s="279"/>
      <c r="P108" s="281" t="s">
        <v>1253</v>
      </c>
      <c r="Q108" s="264"/>
      <c r="R108" s="282"/>
      <c r="S108" s="281" t="s">
        <v>1733</v>
      </c>
      <c r="T108" s="281">
        <v>5.5</v>
      </c>
      <c r="U108" s="264">
        <v>0.5</v>
      </c>
      <c r="V108" s="282">
        <v>5</v>
      </c>
      <c r="W108" s="281">
        <v>0</v>
      </c>
      <c r="X108" s="281">
        <v>0</v>
      </c>
      <c r="Y108" s="264">
        <v>0</v>
      </c>
      <c r="Z108" s="282">
        <v>0</v>
      </c>
      <c r="AA108" s="281">
        <v>17</v>
      </c>
      <c r="AB108" s="281">
        <v>0</v>
      </c>
      <c r="AD108" s="284">
        <v>5.5</v>
      </c>
      <c r="AE108" s="284">
        <v>0.5</v>
      </c>
      <c r="AF108" s="284">
        <v>5</v>
      </c>
      <c r="AG108" s="284">
        <v>0</v>
      </c>
      <c r="AH108" s="284">
        <v>0</v>
      </c>
      <c r="AI108" s="284">
        <v>0</v>
      </c>
      <c r="AJ108" s="284">
        <v>17</v>
      </c>
      <c r="AL108" s="285">
        <v>3920432.5748045384</v>
      </c>
      <c r="AM108" s="286">
        <v>0</v>
      </c>
      <c r="AN108" s="287">
        <v>460616.25057299773</v>
      </c>
      <c r="AO108" s="288">
        <v>90066.967117151406</v>
      </c>
      <c r="AP108" s="289">
        <v>4471115.7924946873</v>
      </c>
      <c r="AQ108" s="266"/>
      <c r="AR108" s="285">
        <v>674467.32026143791</v>
      </c>
      <c r="AS108" s="286">
        <v>0</v>
      </c>
      <c r="AT108" s="286">
        <v>0</v>
      </c>
      <c r="AU108" s="290">
        <v>92689.230769230766</v>
      </c>
      <c r="AV108" s="289">
        <v>767156.55103066866</v>
      </c>
      <c r="AW108" s="291">
        <v>3703959.2414640188</v>
      </c>
    </row>
    <row r="109" spans="1:49" x14ac:dyDescent="0.25">
      <c r="A109" s="264">
        <v>5539112</v>
      </c>
      <c r="B109" s="264" t="str">
        <f>VLOOKUP(A109,'Výpočet VP 2020'!$A$4:$B$318,2,FALSE)</f>
        <v>NZO</v>
      </c>
      <c r="C109" s="264" t="s">
        <v>1113</v>
      </c>
      <c r="D109" s="264" t="s">
        <v>1113</v>
      </c>
      <c r="E109" s="264" t="s">
        <v>1292</v>
      </c>
      <c r="F109" s="264">
        <v>5539112</v>
      </c>
      <c r="G109" s="264" t="s">
        <v>1144</v>
      </c>
      <c r="H109" s="264">
        <v>2019</v>
      </c>
      <c r="I109" s="265"/>
      <c r="J109" s="278"/>
      <c r="K109" s="279">
        <v>1023</v>
      </c>
      <c r="L109" s="279"/>
      <c r="M109" s="280"/>
      <c r="N109" s="280"/>
      <c r="O109" s="279"/>
      <c r="P109" s="281" t="s">
        <v>1253</v>
      </c>
      <c r="Q109" s="264"/>
      <c r="R109" s="282"/>
      <c r="S109" s="281" t="s">
        <v>1733</v>
      </c>
      <c r="T109" s="281">
        <v>3.3</v>
      </c>
      <c r="U109" s="264">
        <v>0.3</v>
      </c>
      <c r="V109" s="282">
        <v>3</v>
      </c>
      <c r="W109" s="281">
        <v>0</v>
      </c>
      <c r="X109" s="281">
        <v>0</v>
      </c>
      <c r="Y109" s="264">
        <v>0</v>
      </c>
      <c r="Z109" s="282">
        <v>0</v>
      </c>
      <c r="AA109" s="281">
        <v>15</v>
      </c>
      <c r="AB109" s="281">
        <v>0</v>
      </c>
      <c r="AD109" s="284">
        <v>3.3</v>
      </c>
      <c r="AE109" s="284">
        <v>0.3</v>
      </c>
      <c r="AF109" s="284">
        <v>3</v>
      </c>
      <c r="AG109" s="284">
        <v>0</v>
      </c>
      <c r="AH109" s="284">
        <v>0</v>
      </c>
      <c r="AI109" s="284">
        <v>0</v>
      </c>
      <c r="AJ109" s="284">
        <v>15</v>
      </c>
      <c r="AL109" s="285">
        <v>2352259.5448827231</v>
      </c>
      <c r="AM109" s="286">
        <v>0</v>
      </c>
      <c r="AN109" s="287">
        <v>406426.10344676266</v>
      </c>
      <c r="AO109" s="288">
        <v>79470.853338663015</v>
      </c>
      <c r="AP109" s="289">
        <v>2838156.5016681487</v>
      </c>
      <c r="AQ109" s="266"/>
      <c r="AR109" s="285">
        <v>404680.39215686271</v>
      </c>
      <c r="AS109" s="286">
        <v>0</v>
      </c>
      <c r="AT109" s="286">
        <v>0</v>
      </c>
      <c r="AU109" s="290">
        <v>81784.61538461539</v>
      </c>
      <c r="AV109" s="289">
        <v>486465.00754147809</v>
      </c>
      <c r="AW109" s="291">
        <v>2351691.4941266705</v>
      </c>
    </row>
    <row r="110" spans="1:49" x14ac:dyDescent="0.25">
      <c r="A110" s="264">
        <v>6684022</v>
      </c>
      <c r="B110" s="264" t="str">
        <f>VLOOKUP(A110,'Výpočet VP 2020'!$A$4:$B$318,2,FALSE)</f>
        <v>NZO</v>
      </c>
      <c r="C110" s="264" t="s">
        <v>1296</v>
      </c>
      <c r="D110" s="264" t="s">
        <v>1297</v>
      </c>
      <c r="E110" s="264" t="s">
        <v>1295</v>
      </c>
      <c r="F110" s="264">
        <v>6684022</v>
      </c>
      <c r="G110" s="264" t="s">
        <v>1138</v>
      </c>
      <c r="H110" s="264">
        <v>2019</v>
      </c>
      <c r="I110" s="265"/>
      <c r="J110" s="278"/>
      <c r="K110" s="279">
        <v>1058</v>
      </c>
      <c r="L110" s="279"/>
      <c r="M110" s="280"/>
      <c r="N110" s="280"/>
      <c r="O110" s="279"/>
      <c r="P110" s="281" t="s">
        <v>1262</v>
      </c>
      <c r="Q110" s="264"/>
      <c r="R110" s="282"/>
      <c r="S110" s="281" t="s">
        <v>1733</v>
      </c>
      <c r="T110" s="281">
        <v>6.85</v>
      </c>
      <c r="U110" s="264">
        <v>1</v>
      </c>
      <c r="V110" s="282">
        <v>5.85</v>
      </c>
      <c r="W110" s="281">
        <v>0</v>
      </c>
      <c r="X110" s="281">
        <v>0</v>
      </c>
      <c r="Y110" s="264">
        <v>0</v>
      </c>
      <c r="Z110" s="282">
        <v>0</v>
      </c>
      <c r="AA110" s="281">
        <v>25</v>
      </c>
      <c r="AB110" s="281">
        <v>0</v>
      </c>
      <c r="AD110" s="284">
        <v>6.85</v>
      </c>
      <c r="AE110" s="284">
        <v>1</v>
      </c>
      <c r="AF110" s="284">
        <v>5.85</v>
      </c>
      <c r="AG110" s="284">
        <v>0</v>
      </c>
      <c r="AH110" s="284">
        <v>0</v>
      </c>
      <c r="AI110" s="284">
        <v>0</v>
      </c>
      <c r="AJ110" s="284">
        <v>25</v>
      </c>
      <c r="AL110" s="285">
        <v>4882720.5704383794</v>
      </c>
      <c r="AM110" s="286">
        <v>0</v>
      </c>
      <c r="AN110" s="287">
        <v>677376.83907793777</v>
      </c>
      <c r="AO110" s="288">
        <v>132451.42223110501</v>
      </c>
      <c r="AP110" s="289">
        <v>5692548.831747422</v>
      </c>
      <c r="AQ110" s="266"/>
      <c r="AR110" s="285">
        <v>789126.76470588229</v>
      </c>
      <c r="AS110" s="286">
        <v>0</v>
      </c>
      <c r="AT110" s="286">
        <v>0</v>
      </c>
      <c r="AU110" s="290">
        <v>136307.69230769231</v>
      </c>
      <c r="AV110" s="289">
        <v>925434.45701357466</v>
      </c>
      <c r="AW110" s="291">
        <v>4767114.3747338476</v>
      </c>
    </row>
    <row r="111" spans="1:49" x14ac:dyDescent="0.25">
      <c r="A111" s="264">
        <v>1961902</v>
      </c>
      <c r="B111" s="264" t="str">
        <f>VLOOKUP(A111,'Výpočet VP 2020'!$A$4:$B$318,2,FALSE)</f>
        <v>NZO</v>
      </c>
      <c r="C111" s="264" t="s">
        <v>1251</v>
      </c>
      <c r="D111" s="264" t="s">
        <v>568</v>
      </c>
      <c r="E111" s="264" t="s">
        <v>1284</v>
      </c>
      <c r="F111" s="264">
        <v>1961902</v>
      </c>
      <c r="G111" s="264" t="s">
        <v>1063</v>
      </c>
      <c r="H111" s="264">
        <v>2019</v>
      </c>
      <c r="I111" s="265"/>
      <c r="J111" s="278"/>
      <c r="K111" s="279"/>
      <c r="L111" s="279"/>
      <c r="M111" s="280"/>
      <c r="N111" s="280">
        <v>2402</v>
      </c>
      <c r="O111" s="279"/>
      <c r="P111" s="281" t="s">
        <v>1177</v>
      </c>
      <c r="Q111" s="264"/>
      <c r="R111" s="282"/>
      <c r="S111" s="281" t="s">
        <v>1733</v>
      </c>
      <c r="T111" s="281">
        <v>2.94</v>
      </c>
      <c r="U111" s="264">
        <v>0.1</v>
      </c>
      <c r="V111" s="282">
        <v>2.64</v>
      </c>
      <c r="W111" s="281">
        <v>0.2</v>
      </c>
      <c r="X111" s="281">
        <v>0</v>
      </c>
      <c r="Y111" s="264">
        <v>0</v>
      </c>
      <c r="Z111" s="282">
        <v>0</v>
      </c>
      <c r="AA111" s="281">
        <v>10</v>
      </c>
      <c r="AB111" s="281">
        <v>0</v>
      </c>
      <c r="AD111" s="284">
        <v>2.94</v>
      </c>
      <c r="AE111" s="284">
        <v>0.1</v>
      </c>
      <c r="AF111" s="284">
        <v>2.64</v>
      </c>
      <c r="AG111" s="284">
        <v>0.2</v>
      </c>
      <c r="AH111" s="284">
        <v>0</v>
      </c>
      <c r="AI111" s="284">
        <v>0</v>
      </c>
      <c r="AJ111" s="284">
        <v>10</v>
      </c>
      <c r="AL111" s="285">
        <v>2095649.4127136988</v>
      </c>
      <c r="AM111" s="286">
        <v>0</v>
      </c>
      <c r="AN111" s="287">
        <v>270950.73563117511</v>
      </c>
      <c r="AO111" s="288">
        <v>52980.56889244201</v>
      </c>
      <c r="AP111" s="289">
        <v>2419580.7172373161</v>
      </c>
      <c r="AQ111" s="266"/>
      <c r="AR111" s="285">
        <v>383097.43790849677</v>
      </c>
      <c r="AS111" s="286">
        <v>0</v>
      </c>
      <c r="AT111" s="286">
        <v>0</v>
      </c>
      <c r="AU111" s="290">
        <v>54523.076923076922</v>
      </c>
      <c r="AV111" s="289">
        <v>437620.5148315737</v>
      </c>
      <c r="AW111" s="291">
        <v>1981960.2024057424</v>
      </c>
    </row>
    <row r="112" spans="1:49" x14ac:dyDescent="0.25">
      <c r="A112" s="264">
        <v>1961902</v>
      </c>
      <c r="B112" s="264" t="str">
        <f>VLOOKUP(A112,'Výpočet VP 2020'!$A$4:$B$318,2,FALSE)</f>
        <v>NZO</v>
      </c>
      <c r="C112" s="264" t="s">
        <v>1251</v>
      </c>
      <c r="D112" s="264" t="s">
        <v>568</v>
      </c>
      <c r="E112" s="264" t="s">
        <v>1285</v>
      </c>
      <c r="F112" s="264">
        <v>1961902</v>
      </c>
      <c r="G112" s="264" t="s">
        <v>1063</v>
      </c>
      <c r="H112" s="264">
        <v>2019</v>
      </c>
      <c r="I112" s="265"/>
      <c r="J112" s="278"/>
      <c r="K112" s="279">
        <v>1121</v>
      </c>
      <c r="L112" s="279"/>
      <c r="M112" s="280"/>
      <c r="N112" s="280"/>
      <c r="O112" s="279"/>
      <c r="P112" s="281" t="s">
        <v>1271</v>
      </c>
      <c r="Q112" s="264"/>
      <c r="R112" s="282"/>
      <c r="S112" s="281" t="s">
        <v>1733</v>
      </c>
      <c r="T112" s="281">
        <v>1.25</v>
      </c>
      <c r="U112" s="264">
        <v>0.1</v>
      </c>
      <c r="V112" s="282">
        <v>0.35</v>
      </c>
      <c r="W112" s="281">
        <v>0</v>
      </c>
      <c r="X112" s="281">
        <v>0.8</v>
      </c>
      <c r="Y112" s="264">
        <v>0</v>
      </c>
      <c r="Z112" s="282">
        <v>0</v>
      </c>
      <c r="AA112" s="281">
        <v>12</v>
      </c>
      <c r="AB112" s="281">
        <v>0</v>
      </c>
      <c r="AD112" s="284">
        <v>1.25</v>
      </c>
      <c r="AE112" s="284">
        <v>0.1</v>
      </c>
      <c r="AF112" s="284">
        <v>0.35</v>
      </c>
      <c r="AG112" s="284">
        <v>0</v>
      </c>
      <c r="AH112" s="284">
        <v>0.8</v>
      </c>
      <c r="AI112" s="284">
        <v>0</v>
      </c>
      <c r="AJ112" s="284">
        <v>12</v>
      </c>
      <c r="AL112" s="285">
        <v>891007.4033646679</v>
      </c>
      <c r="AM112" s="286">
        <v>0</v>
      </c>
      <c r="AN112" s="287">
        <v>325140.88275741017</v>
      </c>
      <c r="AO112" s="288">
        <v>63576.682670930408</v>
      </c>
      <c r="AP112" s="289">
        <v>1279724.9687930085</v>
      </c>
      <c r="AQ112" s="266"/>
      <c r="AR112" s="285">
        <v>155127.4836601307</v>
      </c>
      <c r="AS112" s="286">
        <v>0</v>
      </c>
      <c r="AT112" s="286">
        <v>0</v>
      </c>
      <c r="AU112" s="290">
        <v>65427.692307692312</v>
      </c>
      <c r="AV112" s="289">
        <v>220555.17596782302</v>
      </c>
      <c r="AW112" s="291">
        <v>1059169.7928251855</v>
      </c>
    </row>
    <row r="113" spans="1:49" x14ac:dyDescent="0.25">
      <c r="A113" s="264">
        <v>6041962</v>
      </c>
      <c r="B113" s="264" t="str">
        <f>VLOOKUP(A113,'Výpočet VP 2020'!$A$4:$B$318,2,FALSE)</f>
        <v>NZO</v>
      </c>
      <c r="C113" s="264" t="s">
        <v>1294</v>
      </c>
      <c r="D113" s="264" t="s">
        <v>922</v>
      </c>
      <c r="E113" s="264" t="s">
        <v>1285</v>
      </c>
      <c r="F113" s="264">
        <v>6041962</v>
      </c>
      <c r="G113" s="264" t="s">
        <v>1063</v>
      </c>
      <c r="H113" s="264">
        <v>2019</v>
      </c>
      <c r="I113" s="265"/>
      <c r="J113" s="278"/>
      <c r="K113" s="279">
        <v>1121</v>
      </c>
      <c r="L113" s="279"/>
      <c r="M113" s="280"/>
      <c r="N113" s="280"/>
      <c r="O113" s="279"/>
      <c r="P113" s="281" t="s">
        <v>1262</v>
      </c>
      <c r="Q113" s="264"/>
      <c r="R113" s="282"/>
      <c r="S113" s="281" t="s">
        <v>1733</v>
      </c>
      <c r="T113" s="281">
        <v>3.5</v>
      </c>
      <c r="U113" s="264">
        <v>0.5</v>
      </c>
      <c r="V113" s="282">
        <v>3</v>
      </c>
      <c r="W113" s="281">
        <v>0</v>
      </c>
      <c r="X113" s="281">
        <v>0</v>
      </c>
      <c r="Y113" s="264">
        <v>0</v>
      </c>
      <c r="Z113" s="282">
        <v>0</v>
      </c>
      <c r="AA113" s="281">
        <v>10</v>
      </c>
      <c r="AB113" s="281">
        <v>0</v>
      </c>
      <c r="AD113" s="284">
        <v>3.5</v>
      </c>
      <c r="AE113" s="284">
        <v>0.5</v>
      </c>
      <c r="AF113" s="284">
        <v>3</v>
      </c>
      <c r="AG113" s="284">
        <v>0</v>
      </c>
      <c r="AH113" s="284">
        <v>0</v>
      </c>
      <c r="AI113" s="284">
        <v>0</v>
      </c>
      <c r="AJ113" s="284">
        <v>10</v>
      </c>
      <c r="AL113" s="285">
        <v>2494820.7294210698</v>
      </c>
      <c r="AM113" s="286">
        <v>0</v>
      </c>
      <c r="AN113" s="287">
        <v>270950.73563117511</v>
      </c>
      <c r="AO113" s="288">
        <v>52980.56889244201</v>
      </c>
      <c r="AP113" s="289">
        <v>2818752.0339446873</v>
      </c>
      <c r="AQ113" s="266"/>
      <c r="AR113" s="285">
        <v>404680.39215686271</v>
      </c>
      <c r="AS113" s="286">
        <v>0</v>
      </c>
      <c r="AT113" s="286">
        <v>0</v>
      </c>
      <c r="AU113" s="290">
        <v>54523.076923076922</v>
      </c>
      <c r="AV113" s="289">
        <v>459203.46907993965</v>
      </c>
      <c r="AW113" s="291">
        <v>2359548.5648647477</v>
      </c>
    </row>
    <row r="114" spans="1:49" x14ac:dyDescent="0.25">
      <c r="A114" s="264">
        <v>2499134</v>
      </c>
      <c r="B114" s="264" t="str">
        <f>VLOOKUP(A114,'Výpočet VP 2020'!$A$4:$B$318,2,FALSE)</f>
        <v>NZO</v>
      </c>
      <c r="C114" s="264" t="s">
        <v>1251</v>
      </c>
      <c r="D114" s="264" t="s">
        <v>568</v>
      </c>
      <c r="E114" s="264" t="s">
        <v>1306</v>
      </c>
      <c r="F114" s="264">
        <v>2499134</v>
      </c>
      <c r="G114" s="264" t="s">
        <v>1063</v>
      </c>
      <c r="H114" s="264">
        <v>2019</v>
      </c>
      <c r="I114" s="265"/>
      <c r="J114" s="278"/>
      <c r="K114" s="279"/>
      <c r="L114" s="279"/>
      <c r="M114" s="280"/>
      <c r="N114" s="280"/>
      <c r="O114" s="279">
        <v>3607</v>
      </c>
      <c r="P114" s="281" t="s">
        <v>1177</v>
      </c>
      <c r="Q114" s="264"/>
      <c r="R114" s="282"/>
      <c r="S114" s="281" t="s">
        <v>1733</v>
      </c>
      <c r="T114" s="281">
        <v>4.55</v>
      </c>
      <c r="U114" s="264">
        <v>0.2</v>
      </c>
      <c r="V114" s="282">
        <v>2</v>
      </c>
      <c r="W114" s="281">
        <v>1.55</v>
      </c>
      <c r="X114" s="281">
        <v>0.8</v>
      </c>
      <c r="Y114" s="264">
        <v>9</v>
      </c>
      <c r="Z114" s="282">
        <v>0</v>
      </c>
      <c r="AA114" s="281">
        <v>0</v>
      </c>
      <c r="AB114" s="281">
        <v>0</v>
      </c>
      <c r="AD114" s="284">
        <v>4.55</v>
      </c>
      <c r="AE114" s="284">
        <v>0.2</v>
      </c>
      <c r="AF114" s="284">
        <v>2</v>
      </c>
      <c r="AG114" s="284">
        <v>1.55</v>
      </c>
      <c r="AH114" s="284">
        <v>0.8</v>
      </c>
      <c r="AI114" s="284">
        <v>9</v>
      </c>
      <c r="AJ114" s="284">
        <v>0</v>
      </c>
      <c r="AL114" s="285">
        <v>2627426.2960000481</v>
      </c>
      <c r="AM114" s="286">
        <v>1112857.5803584273</v>
      </c>
      <c r="AN114" s="287">
        <v>729656.40946563228</v>
      </c>
      <c r="AO114" s="288">
        <v>309929.9083858282</v>
      </c>
      <c r="AP114" s="289">
        <v>4779870.1942099361</v>
      </c>
      <c r="AQ114" s="266"/>
      <c r="AR114" s="285">
        <v>588986</v>
      </c>
      <c r="AS114" s="286">
        <v>0</v>
      </c>
      <c r="AT114" s="286">
        <v>277020</v>
      </c>
      <c r="AU114" s="290">
        <v>233260</v>
      </c>
      <c r="AV114" s="289">
        <v>1099266</v>
      </c>
      <c r="AW114" s="291">
        <v>3680604.1942099361</v>
      </c>
    </row>
    <row r="115" spans="1:49" x14ac:dyDescent="0.25">
      <c r="A115" s="264">
        <v>4167967</v>
      </c>
      <c r="B115" s="353" t="s">
        <v>1770</v>
      </c>
      <c r="C115" s="264" t="s">
        <v>1532</v>
      </c>
      <c r="D115" s="264" t="s">
        <v>760</v>
      </c>
      <c r="E115" s="264" t="s">
        <v>1739</v>
      </c>
      <c r="F115" s="264">
        <v>4167967</v>
      </c>
      <c r="G115" s="264" t="s">
        <v>1087</v>
      </c>
      <c r="H115" s="264">
        <v>2019</v>
      </c>
      <c r="I115" s="265"/>
      <c r="J115" s="278"/>
      <c r="K115" s="279"/>
      <c r="L115" s="279"/>
      <c r="M115" s="280">
        <v>86</v>
      </c>
      <c r="N115" s="280"/>
      <c r="O115" s="279"/>
      <c r="P115" s="281" t="s">
        <v>1109</v>
      </c>
      <c r="Q115" s="264"/>
      <c r="R115" s="282"/>
      <c r="S115" s="281"/>
      <c r="T115" s="281"/>
      <c r="U115" s="264"/>
      <c r="V115" s="282"/>
      <c r="W115" s="281"/>
      <c r="X115" s="281"/>
      <c r="Y115" s="264"/>
      <c r="Z115" s="282"/>
      <c r="AA115" s="281"/>
      <c r="AB115" s="281"/>
      <c r="AD115" s="284">
        <v>0</v>
      </c>
      <c r="AE115" s="284">
        <v>0</v>
      </c>
      <c r="AF115" s="284">
        <v>0</v>
      </c>
      <c r="AG115" s="284">
        <v>0</v>
      </c>
      <c r="AH115" s="284">
        <v>0</v>
      </c>
      <c r="AI115" s="284">
        <v>0</v>
      </c>
      <c r="AJ115" s="284">
        <v>0</v>
      </c>
      <c r="AL115" s="285">
        <v>0</v>
      </c>
      <c r="AM115" s="286">
        <v>0</v>
      </c>
      <c r="AN115" s="287">
        <v>0</v>
      </c>
      <c r="AO115" s="288">
        <v>0</v>
      </c>
      <c r="AP115" s="289">
        <v>0</v>
      </c>
      <c r="AQ115" s="266"/>
      <c r="AR115" s="285">
        <v>0</v>
      </c>
      <c r="AS115" s="286">
        <v>0</v>
      </c>
      <c r="AT115" s="286">
        <v>0</v>
      </c>
      <c r="AU115" s="290">
        <v>0</v>
      </c>
      <c r="AV115" s="289">
        <v>0</v>
      </c>
      <c r="AW115" s="291">
        <v>0</v>
      </c>
    </row>
    <row r="116" spans="1:49" x14ac:dyDescent="0.25">
      <c r="A116" s="264">
        <v>9264829</v>
      </c>
      <c r="B116" s="264" t="str">
        <f>VLOOKUP(A116,'Výpočet VP 2020'!$A$4:$B$318,2,FALSE)</f>
        <v>NZO</v>
      </c>
      <c r="C116" s="264" t="s">
        <v>358</v>
      </c>
      <c r="D116" s="264" t="s">
        <v>358</v>
      </c>
      <c r="E116" s="264" t="s">
        <v>1314</v>
      </c>
      <c r="F116" s="264">
        <v>9264829</v>
      </c>
      <c r="G116" s="264" t="s">
        <v>1087</v>
      </c>
      <c r="H116" s="264">
        <v>2019</v>
      </c>
      <c r="I116" s="265"/>
      <c r="J116" s="278"/>
      <c r="K116" s="279"/>
      <c r="L116" s="279"/>
      <c r="M116" s="280">
        <v>86</v>
      </c>
      <c r="N116" s="280"/>
      <c r="O116" s="279"/>
      <c r="P116" s="281" t="s">
        <v>1109</v>
      </c>
      <c r="Q116" s="264"/>
      <c r="R116" s="282"/>
      <c r="S116" s="281" t="s">
        <v>1733</v>
      </c>
      <c r="T116" s="281">
        <v>13.95</v>
      </c>
      <c r="U116" s="264">
        <v>0.75</v>
      </c>
      <c r="V116" s="282">
        <v>6.6</v>
      </c>
      <c r="W116" s="281">
        <v>6.6</v>
      </c>
      <c r="X116" s="281">
        <v>0</v>
      </c>
      <c r="Y116" s="264">
        <v>16</v>
      </c>
      <c r="Z116" s="282">
        <v>0</v>
      </c>
      <c r="AA116" s="281">
        <v>0</v>
      </c>
      <c r="AB116" s="281">
        <v>0</v>
      </c>
      <c r="AD116" s="284">
        <v>13.95</v>
      </c>
      <c r="AE116" s="284">
        <v>0.75</v>
      </c>
      <c r="AF116" s="284">
        <v>6.6</v>
      </c>
      <c r="AG116" s="284">
        <v>6.6</v>
      </c>
      <c r="AH116" s="284">
        <v>0</v>
      </c>
      <c r="AI116" s="284">
        <v>16</v>
      </c>
      <c r="AJ116" s="284">
        <v>0</v>
      </c>
      <c r="AL116" s="285">
        <v>4700380.2841110844</v>
      </c>
      <c r="AM116" s="286">
        <v>5355437.7880708175</v>
      </c>
      <c r="AN116" s="287">
        <v>1632783.7699234525</v>
      </c>
      <c r="AO116" s="288">
        <v>1048784.0591598696</v>
      </c>
      <c r="AP116" s="289">
        <v>12737385.901265224</v>
      </c>
      <c r="AQ116" s="266"/>
      <c r="AR116" s="285">
        <v>1697925.6941176471</v>
      </c>
      <c r="AS116" s="286">
        <v>421595.60784313723</v>
      </c>
      <c r="AT116" s="286">
        <v>765364.21052631584</v>
      </c>
      <c r="AU116" s="290">
        <v>724314.4</v>
      </c>
      <c r="AV116" s="289">
        <v>3609199.9124871003</v>
      </c>
      <c r="AW116" s="291">
        <v>9128185.9887781236</v>
      </c>
    </row>
    <row r="117" spans="1:49" x14ac:dyDescent="0.25">
      <c r="A117" s="264">
        <v>7857005</v>
      </c>
      <c r="B117" s="264" t="str">
        <f>VLOOKUP(A117,'Výpočet VP 2020'!$A$4:$B$318,2,FALSE)</f>
        <v>NZO</v>
      </c>
      <c r="C117" s="264" t="s">
        <v>1332</v>
      </c>
      <c r="D117" s="264" t="s">
        <v>384</v>
      </c>
      <c r="E117" s="264" t="s">
        <v>1325</v>
      </c>
      <c r="F117" s="264">
        <v>7857005</v>
      </c>
      <c r="G117" s="264" t="s">
        <v>1134</v>
      </c>
      <c r="H117" s="264">
        <v>2019</v>
      </c>
      <c r="I117" s="265"/>
      <c r="J117" s="278"/>
      <c r="K117" s="279">
        <v>1201</v>
      </c>
      <c r="L117" s="279"/>
      <c r="M117" s="280"/>
      <c r="N117" s="280"/>
      <c r="O117" s="279"/>
      <c r="P117" s="281" t="s">
        <v>1177</v>
      </c>
      <c r="Q117" s="264"/>
      <c r="R117" s="282"/>
      <c r="S117" s="281" t="s">
        <v>1733</v>
      </c>
      <c r="T117" s="281">
        <v>10.775</v>
      </c>
      <c r="U117" s="264">
        <v>0.375</v>
      </c>
      <c r="V117" s="282">
        <v>7.9</v>
      </c>
      <c r="W117" s="281">
        <v>2.5</v>
      </c>
      <c r="X117" s="281">
        <v>0</v>
      </c>
      <c r="Y117" s="264">
        <v>23</v>
      </c>
      <c r="Z117" s="282">
        <v>0</v>
      </c>
      <c r="AA117" s="281">
        <v>0</v>
      </c>
      <c r="AB117" s="281">
        <v>0</v>
      </c>
      <c r="AD117" s="284">
        <v>10.775</v>
      </c>
      <c r="AE117" s="284">
        <v>0.375</v>
      </c>
      <c r="AF117" s="284">
        <v>7.9</v>
      </c>
      <c r="AG117" s="284">
        <v>2.5</v>
      </c>
      <c r="AH117" s="284">
        <v>0</v>
      </c>
      <c r="AI117" s="284">
        <v>23</v>
      </c>
      <c r="AJ117" s="284">
        <v>0</v>
      </c>
      <c r="AL117" s="285">
        <v>5395337.978493575</v>
      </c>
      <c r="AM117" s="286">
        <v>2026766.7338406057</v>
      </c>
      <c r="AN117" s="287">
        <v>2255739.3350029597</v>
      </c>
      <c r="AO117" s="288">
        <v>1581735.2991790418</v>
      </c>
      <c r="AP117" s="289">
        <v>11259579.346516183</v>
      </c>
      <c r="AQ117" s="266"/>
      <c r="AR117" s="285">
        <v>2582221.1585848588</v>
      </c>
      <c r="AS117" s="286">
        <v>672631.98148148146</v>
      </c>
      <c r="AT117" s="286">
        <v>1631246.816390859</v>
      </c>
      <c r="AU117" s="290">
        <v>1170172.448069853</v>
      </c>
      <c r="AV117" s="289">
        <v>6056272.4045270523</v>
      </c>
      <c r="AW117" s="291">
        <v>5203306.9419891303</v>
      </c>
    </row>
    <row r="118" spans="1:49" x14ac:dyDescent="0.25">
      <c r="A118" s="264">
        <v>5894253</v>
      </c>
      <c r="B118" s="264" t="str">
        <f>VLOOKUP(A118,'Výpočet VP 2020'!$A$4:$B$318,2,FALSE)</f>
        <v>NZO</v>
      </c>
      <c r="C118" s="264" t="s">
        <v>1328</v>
      </c>
      <c r="D118" s="264" t="s">
        <v>821</v>
      </c>
      <c r="E118" s="264" t="s">
        <v>1317</v>
      </c>
      <c r="F118" s="264">
        <v>5894253</v>
      </c>
      <c r="G118" s="264" t="s">
        <v>1068</v>
      </c>
      <c r="H118" s="264">
        <v>2019</v>
      </c>
      <c r="I118" s="265"/>
      <c r="J118" s="278"/>
      <c r="K118" s="279">
        <v>1015</v>
      </c>
      <c r="L118" s="279"/>
      <c r="M118" s="280"/>
      <c r="N118" s="280"/>
      <c r="O118" s="279"/>
      <c r="P118" s="281" t="s">
        <v>1177</v>
      </c>
      <c r="Q118" s="264"/>
      <c r="R118" s="282"/>
      <c r="S118" s="281" t="s">
        <v>1733</v>
      </c>
      <c r="T118" s="281">
        <v>11</v>
      </c>
      <c r="U118" s="264">
        <v>1</v>
      </c>
      <c r="V118" s="282">
        <v>7</v>
      </c>
      <c r="W118" s="281">
        <v>3</v>
      </c>
      <c r="X118" s="281">
        <v>0</v>
      </c>
      <c r="Y118" s="264">
        <v>25</v>
      </c>
      <c r="Z118" s="282">
        <v>0</v>
      </c>
      <c r="AA118" s="281">
        <v>0</v>
      </c>
      <c r="AB118" s="281">
        <v>0</v>
      </c>
      <c r="AD118" s="284">
        <v>11</v>
      </c>
      <c r="AE118" s="284">
        <v>1</v>
      </c>
      <c r="AF118" s="284">
        <v>7</v>
      </c>
      <c r="AG118" s="284">
        <v>3</v>
      </c>
      <c r="AH118" s="284">
        <v>0</v>
      </c>
      <c r="AI118" s="284">
        <v>25</v>
      </c>
      <c r="AJ118" s="284">
        <v>0</v>
      </c>
      <c r="AL118" s="285">
        <v>5216036.7163684107</v>
      </c>
      <c r="AM118" s="286">
        <v>2432120.0806087265</v>
      </c>
      <c r="AN118" s="287">
        <v>2451890.5815249565</v>
      </c>
      <c r="AO118" s="288">
        <v>1719277.4991076542</v>
      </c>
      <c r="AP118" s="289">
        <v>11819324.877609748</v>
      </c>
      <c r="AQ118" s="266"/>
      <c r="AR118" s="285">
        <v>2806762.1288965857</v>
      </c>
      <c r="AS118" s="286">
        <v>731121.7190016103</v>
      </c>
      <c r="AT118" s="286">
        <v>1773094.3656422379</v>
      </c>
      <c r="AU118" s="290">
        <v>1271926.5739889706</v>
      </c>
      <c r="AV118" s="289">
        <v>6582904.7875294043</v>
      </c>
      <c r="AW118" s="291">
        <v>5236420.0900803441</v>
      </c>
    </row>
    <row r="119" spans="1:49" x14ac:dyDescent="0.25">
      <c r="A119" s="264">
        <v>3523407</v>
      </c>
      <c r="B119" s="353" t="s">
        <v>1770</v>
      </c>
      <c r="C119" s="264" t="s">
        <v>1531</v>
      </c>
      <c r="D119" s="264" t="s">
        <v>708</v>
      </c>
      <c r="E119" s="264" t="s">
        <v>1740</v>
      </c>
      <c r="F119" s="264">
        <v>3523407</v>
      </c>
      <c r="G119" s="264" t="s">
        <v>1087</v>
      </c>
      <c r="H119" s="264">
        <v>2019</v>
      </c>
      <c r="I119" s="265"/>
      <c r="J119" s="278"/>
      <c r="K119" s="279"/>
      <c r="L119" s="279"/>
      <c r="M119" s="280">
        <v>86</v>
      </c>
      <c r="N119" s="280"/>
      <c r="O119" s="279"/>
      <c r="P119" s="281" t="s">
        <v>1262</v>
      </c>
      <c r="Q119" s="264"/>
      <c r="R119" s="282"/>
      <c r="S119" s="281"/>
      <c r="T119" s="281"/>
      <c r="U119" s="264"/>
      <c r="V119" s="282"/>
      <c r="W119" s="281"/>
      <c r="X119" s="281"/>
      <c r="Y119" s="264"/>
      <c r="Z119" s="282"/>
      <c r="AA119" s="281"/>
      <c r="AB119" s="281"/>
      <c r="AD119" s="284">
        <v>0</v>
      </c>
      <c r="AE119" s="284">
        <v>0</v>
      </c>
      <c r="AF119" s="284">
        <v>0</v>
      </c>
      <c r="AG119" s="284">
        <v>0</v>
      </c>
      <c r="AH119" s="284">
        <v>0</v>
      </c>
      <c r="AI119" s="284">
        <v>0</v>
      </c>
      <c r="AJ119" s="284">
        <v>0</v>
      </c>
      <c r="AL119" s="285">
        <v>0</v>
      </c>
      <c r="AM119" s="286">
        <v>0</v>
      </c>
      <c r="AN119" s="287">
        <v>0</v>
      </c>
      <c r="AO119" s="288">
        <v>0</v>
      </c>
      <c r="AP119" s="289">
        <v>0</v>
      </c>
      <c r="AQ119" s="266"/>
      <c r="AR119" s="285">
        <v>0</v>
      </c>
      <c r="AS119" s="286">
        <v>0</v>
      </c>
      <c r="AT119" s="286">
        <v>0</v>
      </c>
      <c r="AU119" s="290">
        <v>0</v>
      </c>
      <c r="AV119" s="289">
        <v>0</v>
      </c>
      <c r="AW119" s="291">
        <v>0</v>
      </c>
    </row>
    <row r="120" spans="1:49" x14ac:dyDescent="0.25">
      <c r="A120" s="264">
        <v>8936486</v>
      </c>
      <c r="B120" s="264" t="str">
        <f>VLOOKUP(A120,'Výpočet VP 2020'!$A$4:$B$318,2,FALSE)</f>
        <v>NZO</v>
      </c>
      <c r="C120" s="264" t="s">
        <v>1332</v>
      </c>
      <c r="D120" s="264" t="s">
        <v>384</v>
      </c>
      <c r="E120" s="264" t="s">
        <v>1344</v>
      </c>
      <c r="F120" s="264">
        <v>8936486</v>
      </c>
      <c r="G120" s="264" t="s">
        <v>1073</v>
      </c>
      <c r="H120" s="264">
        <v>2019</v>
      </c>
      <c r="I120" s="265"/>
      <c r="J120" s="278"/>
      <c r="K120" s="279"/>
      <c r="L120" s="279"/>
      <c r="M120" s="280"/>
      <c r="N120" s="280"/>
      <c r="O120" s="279">
        <v>3610</v>
      </c>
      <c r="P120" s="281" t="s">
        <v>1269</v>
      </c>
      <c r="Q120" s="264"/>
      <c r="R120" s="282"/>
      <c r="S120" s="281" t="s">
        <v>1733</v>
      </c>
      <c r="T120" s="281">
        <v>7.2</v>
      </c>
      <c r="U120" s="264">
        <v>0.15</v>
      </c>
      <c r="V120" s="282">
        <v>4.25</v>
      </c>
      <c r="W120" s="281">
        <v>2.8</v>
      </c>
      <c r="X120" s="281">
        <v>0</v>
      </c>
      <c r="Y120" s="264">
        <v>10</v>
      </c>
      <c r="Z120" s="282">
        <v>0</v>
      </c>
      <c r="AA120" s="281">
        <v>0</v>
      </c>
      <c r="AB120" s="281">
        <v>0</v>
      </c>
      <c r="AD120" s="284">
        <v>7.2</v>
      </c>
      <c r="AE120" s="284">
        <v>0.15</v>
      </c>
      <c r="AF120" s="284">
        <v>4.25</v>
      </c>
      <c r="AG120" s="284">
        <v>2.8</v>
      </c>
      <c r="AH120" s="284">
        <v>0</v>
      </c>
      <c r="AI120" s="284">
        <v>10</v>
      </c>
      <c r="AJ120" s="284">
        <v>0</v>
      </c>
      <c r="AL120" s="285">
        <v>2807763.599048533</v>
      </c>
      <c r="AM120" s="286">
        <v>2263371.8409716981</v>
      </c>
      <c r="AN120" s="287">
        <v>965209.15090422682</v>
      </c>
      <c r="AO120" s="288">
        <v>650874.59271680634</v>
      </c>
      <c r="AP120" s="289">
        <v>6687219.1836412651</v>
      </c>
      <c r="AQ120" s="266"/>
      <c r="AR120" s="285">
        <v>1200682.2</v>
      </c>
      <c r="AS120" s="286">
        <v>224820.96249999999</v>
      </c>
      <c r="AT120" s="286">
        <v>664418.27586206899</v>
      </c>
      <c r="AU120" s="290">
        <v>510013.5</v>
      </c>
      <c r="AV120" s="289">
        <v>2599934.938362069</v>
      </c>
      <c r="AW120" s="291">
        <v>4087284.2452791962</v>
      </c>
    </row>
    <row r="121" spans="1:49" x14ac:dyDescent="0.25">
      <c r="A121" s="264">
        <v>5871375</v>
      </c>
      <c r="B121" s="264" t="str">
        <f>VLOOKUP(A121,'Výpočet VP 2020'!$A$4:$B$318,2,FALSE)</f>
        <v>NZO</v>
      </c>
      <c r="C121" s="264" t="s">
        <v>1351</v>
      </c>
      <c r="D121" s="264" t="s">
        <v>1247</v>
      </c>
      <c r="E121" s="264" t="s">
        <v>1349</v>
      </c>
      <c r="F121" s="264">
        <v>5871375</v>
      </c>
      <c r="G121" s="264" t="s">
        <v>1058</v>
      </c>
      <c r="H121" s="264">
        <v>2019</v>
      </c>
      <c r="I121" s="265"/>
      <c r="J121" s="278"/>
      <c r="K121" s="279"/>
      <c r="L121" s="279"/>
      <c r="M121" s="280"/>
      <c r="N121" s="280"/>
      <c r="O121" s="279">
        <v>3602</v>
      </c>
      <c r="P121" s="281" t="s">
        <v>1262</v>
      </c>
      <c r="Q121" s="264"/>
      <c r="R121" s="282"/>
      <c r="S121" s="281" t="s">
        <v>1733</v>
      </c>
      <c r="T121" s="281">
        <v>12.1</v>
      </c>
      <c r="U121" s="264">
        <v>4.0999999999999996</v>
      </c>
      <c r="V121" s="282">
        <v>8</v>
      </c>
      <c r="W121" s="281">
        <v>0</v>
      </c>
      <c r="X121" s="281">
        <v>0</v>
      </c>
      <c r="Y121" s="264">
        <v>17</v>
      </c>
      <c r="Z121" s="282">
        <v>0</v>
      </c>
      <c r="AA121" s="281">
        <v>0</v>
      </c>
      <c r="AB121" s="281">
        <v>0</v>
      </c>
      <c r="AD121" s="284">
        <v>12.1</v>
      </c>
      <c r="AE121" s="284">
        <v>4.0999999999999996</v>
      </c>
      <c r="AF121" s="284">
        <v>8</v>
      </c>
      <c r="AG121" s="284">
        <v>0</v>
      </c>
      <c r="AH121" s="284">
        <v>0</v>
      </c>
      <c r="AI121" s="284">
        <v>17</v>
      </c>
      <c r="AJ121" s="284">
        <v>0</v>
      </c>
      <c r="AL121" s="285">
        <v>7786945.7823408218</v>
      </c>
      <c r="AM121" s="286">
        <v>0</v>
      </c>
      <c r="AN121" s="287">
        <v>940585.81224097044</v>
      </c>
      <c r="AO121" s="288">
        <v>310797.78476909414</v>
      </c>
      <c r="AP121" s="289">
        <v>9038329.3793508857</v>
      </c>
      <c r="AQ121" s="266"/>
      <c r="AR121" s="285">
        <v>655763.15463917528</v>
      </c>
      <c r="AS121" s="286">
        <v>0</v>
      </c>
      <c r="AT121" s="286">
        <v>735798.59000000008</v>
      </c>
      <c r="AU121" s="290">
        <v>319709.4375</v>
      </c>
      <c r="AV121" s="289">
        <v>1711271.1821391755</v>
      </c>
      <c r="AW121" s="291">
        <v>7327058.1972117107</v>
      </c>
    </row>
    <row r="122" spans="1:49" x14ac:dyDescent="0.25">
      <c r="A122" s="264">
        <v>4497017</v>
      </c>
      <c r="B122" s="264" t="str">
        <f>VLOOKUP(A122,'Výpočet VP 2020'!$A$4:$B$318,2,FALSE)</f>
        <v>NZO</v>
      </c>
      <c r="C122" s="264" t="s">
        <v>1010</v>
      </c>
      <c r="D122" s="264" t="s">
        <v>1010</v>
      </c>
      <c r="E122" s="264" t="s">
        <v>1349</v>
      </c>
      <c r="F122" s="264">
        <v>4497017</v>
      </c>
      <c r="G122" s="264" t="s">
        <v>1058</v>
      </c>
      <c r="H122" s="264">
        <v>2019</v>
      </c>
      <c r="I122" s="265"/>
      <c r="J122" s="278"/>
      <c r="K122" s="279"/>
      <c r="L122" s="279"/>
      <c r="M122" s="280"/>
      <c r="N122" s="280"/>
      <c r="O122" s="279">
        <v>3602</v>
      </c>
      <c r="P122" s="281" t="s">
        <v>1262</v>
      </c>
      <c r="Q122" s="264"/>
      <c r="R122" s="282"/>
      <c r="S122" s="281" t="s">
        <v>1733</v>
      </c>
      <c r="T122" s="281">
        <v>5.5</v>
      </c>
      <c r="U122" s="264">
        <v>0.5</v>
      </c>
      <c r="V122" s="282">
        <v>5</v>
      </c>
      <c r="W122" s="281">
        <v>0</v>
      </c>
      <c r="X122" s="281">
        <v>0</v>
      </c>
      <c r="Y122" s="264">
        <v>8</v>
      </c>
      <c r="Z122" s="282">
        <v>0</v>
      </c>
      <c r="AA122" s="281">
        <v>0</v>
      </c>
      <c r="AB122" s="281">
        <v>0</v>
      </c>
      <c r="AD122" s="284">
        <v>5.5</v>
      </c>
      <c r="AE122" s="284">
        <v>0.5</v>
      </c>
      <c r="AF122" s="284">
        <v>5</v>
      </c>
      <c r="AG122" s="284">
        <v>0</v>
      </c>
      <c r="AH122" s="284">
        <v>0</v>
      </c>
      <c r="AI122" s="284">
        <v>8</v>
      </c>
      <c r="AJ122" s="284">
        <v>0</v>
      </c>
      <c r="AL122" s="285">
        <v>3539520.810154919</v>
      </c>
      <c r="AM122" s="286">
        <v>0</v>
      </c>
      <c r="AN122" s="287">
        <v>442628.61752516258</v>
      </c>
      <c r="AO122" s="288">
        <v>146257.781067809</v>
      </c>
      <c r="AP122" s="289">
        <v>4128407.2087478908</v>
      </c>
      <c r="AQ122" s="266"/>
      <c r="AR122" s="285">
        <v>409851.97164948453</v>
      </c>
      <c r="AS122" s="286">
        <v>0</v>
      </c>
      <c r="AT122" s="286">
        <v>346258.16000000003</v>
      </c>
      <c r="AU122" s="290">
        <v>150451.5</v>
      </c>
      <c r="AV122" s="289">
        <v>906561.63164948463</v>
      </c>
      <c r="AW122" s="291">
        <v>3221845.5770984059</v>
      </c>
    </row>
    <row r="123" spans="1:49" x14ac:dyDescent="0.25">
      <c r="A123" s="264">
        <v>6627771</v>
      </c>
      <c r="B123" s="264" t="str">
        <f>VLOOKUP(A123,'Výpočet VP 2020'!$A$4:$B$318,2,FALSE)</f>
        <v>NZO</v>
      </c>
      <c r="C123" s="264" t="s">
        <v>1355</v>
      </c>
      <c r="D123" s="264" t="s">
        <v>760</v>
      </c>
      <c r="E123" s="264" t="s">
        <v>1354</v>
      </c>
      <c r="F123" s="264">
        <v>6627771</v>
      </c>
      <c r="G123" s="264" t="s">
        <v>1087</v>
      </c>
      <c r="H123" s="264">
        <v>2019</v>
      </c>
      <c r="I123" s="265"/>
      <c r="J123" s="278"/>
      <c r="K123" s="279"/>
      <c r="L123" s="279"/>
      <c r="M123" s="280">
        <v>86</v>
      </c>
      <c r="N123" s="280"/>
      <c r="O123" s="279"/>
      <c r="P123" s="281" t="s">
        <v>1109</v>
      </c>
      <c r="Q123" s="264"/>
      <c r="R123" s="282"/>
      <c r="S123" s="281" t="s">
        <v>1733</v>
      </c>
      <c r="T123" s="281">
        <v>0.3</v>
      </c>
      <c r="U123" s="264">
        <v>0.1</v>
      </c>
      <c r="V123" s="282">
        <v>0.2</v>
      </c>
      <c r="W123" s="281">
        <v>0</v>
      </c>
      <c r="X123" s="281">
        <v>0</v>
      </c>
      <c r="Y123" s="264">
        <v>2</v>
      </c>
      <c r="Z123" s="282">
        <v>0</v>
      </c>
      <c r="AA123" s="281">
        <v>0</v>
      </c>
      <c r="AB123" s="281">
        <v>0</v>
      </c>
      <c r="AD123" s="284">
        <v>0.3</v>
      </c>
      <c r="AE123" s="284">
        <v>0.1</v>
      </c>
      <c r="AF123" s="284">
        <v>0.2</v>
      </c>
      <c r="AG123" s="284">
        <v>0</v>
      </c>
      <c r="AH123" s="284">
        <v>0</v>
      </c>
      <c r="AI123" s="284">
        <v>2</v>
      </c>
      <c r="AJ123" s="284">
        <v>0</v>
      </c>
      <c r="AL123" s="285">
        <v>193064.77146299559</v>
      </c>
      <c r="AM123" s="286">
        <v>0</v>
      </c>
      <c r="AN123" s="287">
        <v>110657.15438129065</v>
      </c>
      <c r="AO123" s="288">
        <v>36564.445266952251</v>
      </c>
      <c r="AP123" s="289">
        <v>340286.37111123849</v>
      </c>
      <c r="AQ123" s="266"/>
      <c r="AR123" s="285">
        <v>16394.078865979383</v>
      </c>
      <c r="AS123" s="286">
        <v>0</v>
      </c>
      <c r="AT123" s="286">
        <v>86564.540000000008</v>
      </c>
      <c r="AU123" s="290">
        <v>37612.875</v>
      </c>
      <c r="AV123" s="289">
        <v>140571.4938659794</v>
      </c>
      <c r="AW123" s="291">
        <v>199714.87724525909</v>
      </c>
    </row>
    <row r="124" spans="1:49" x14ac:dyDescent="0.25">
      <c r="A124" s="264">
        <v>8051895</v>
      </c>
      <c r="B124" s="264" t="str">
        <f>VLOOKUP(A124,'Výpočet VP 2020'!$A$4:$B$318,2,FALSE)</f>
        <v>NZO</v>
      </c>
      <c r="C124" s="264" t="s">
        <v>1357</v>
      </c>
      <c r="D124" s="264" t="s">
        <v>922</v>
      </c>
      <c r="E124" s="264" t="s">
        <v>1356</v>
      </c>
      <c r="F124" s="264">
        <v>8051895</v>
      </c>
      <c r="G124" s="264" t="s">
        <v>1063</v>
      </c>
      <c r="H124" s="264">
        <v>2019</v>
      </c>
      <c r="I124" s="265"/>
      <c r="J124" s="278"/>
      <c r="K124" s="279"/>
      <c r="L124" s="279"/>
      <c r="M124" s="280"/>
      <c r="N124" s="280"/>
      <c r="O124" s="279">
        <v>3607</v>
      </c>
      <c r="P124" s="281" t="s">
        <v>1262</v>
      </c>
      <c r="Q124" s="264"/>
      <c r="R124" s="282"/>
      <c r="S124" s="281" t="s">
        <v>1733</v>
      </c>
      <c r="T124" s="281">
        <v>6.85</v>
      </c>
      <c r="U124" s="264">
        <v>0.6</v>
      </c>
      <c r="V124" s="282">
        <v>6.25</v>
      </c>
      <c r="W124" s="281">
        <v>0</v>
      </c>
      <c r="X124" s="281">
        <v>0</v>
      </c>
      <c r="Y124" s="264">
        <v>25</v>
      </c>
      <c r="Z124" s="282">
        <v>0</v>
      </c>
      <c r="AA124" s="281">
        <v>0</v>
      </c>
      <c r="AB124" s="281">
        <v>0</v>
      </c>
      <c r="AD124" s="284">
        <v>6.85</v>
      </c>
      <c r="AE124" s="284">
        <v>0.6</v>
      </c>
      <c r="AF124" s="284">
        <v>6.25</v>
      </c>
      <c r="AG124" s="284">
        <v>0</v>
      </c>
      <c r="AH124" s="284">
        <v>0</v>
      </c>
      <c r="AI124" s="284">
        <v>25</v>
      </c>
      <c r="AJ124" s="284">
        <v>0</v>
      </c>
      <c r="AL124" s="285">
        <v>4408312.2817383995</v>
      </c>
      <c r="AM124" s="286">
        <v>0</v>
      </c>
      <c r="AN124" s="287">
        <v>1383214.429766133</v>
      </c>
      <c r="AO124" s="288">
        <v>457055.56583690312</v>
      </c>
      <c r="AP124" s="289">
        <v>6248582.2773414347</v>
      </c>
      <c r="AQ124" s="266"/>
      <c r="AR124" s="285">
        <v>512314.96456185571</v>
      </c>
      <c r="AS124" s="286">
        <v>0</v>
      </c>
      <c r="AT124" s="286">
        <v>1082056.75</v>
      </c>
      <c r="AU124" s="290">
        <v>470160.9375</v>
      </c>
      <c r="AV124" s="289">
        <v>2064532.6520618557</v>
      </c>
      <c r="AW124" s="291">
        <v>4184049.6252795793</v>
      </c>
    </row>
    <row r="125" spans="1:49" x14ac:dyDescent="0.25">
      <c r="A125" s="264">
        <v>9328941</v>
      </c>
      <c r="B125" s="264" t="str">
        <f>VLOOKUP(A125,'Výpočet VP 2020'!$A$4:$B$318,2,FALSE)</f>
        <v>NZO</v>
      </c>
      <c r="C125" s="264" t="s">
        <v>1526</v>
      </c>
      <c r="D125" s="264" t="s">
        <v>1364</v>
      </c>
      <c r="E125" s="264" t="s">
        <v>1360</v>
      </c>
      <c r="F125" s="264">
        <v>9328941</v>
      </c>
      <c r="G125" s="264" t="s">
        <v>1087</v>
      </c>
      <c r="H125" s="264">
        <v>2019</v>
      </c>
      <c r="I125" s="265"/>
      <c r="J125" s="278"/>
      <c r="K125" s="279"/>
      <c r="L125" s="279"/>
      <c r="M125" s="280">
        <v>86</v>
      </c>
      <c r="N125" s="280"/>
      <c r="O125" s="279"/>
      <c r="P125" s="281" t="s">
        <v>1363</v>
      </c>
      <c r="Q125" s="264"/>
      <c r="R125" s="282"/>
      <c r="S125" s="281" t="s">
        <v>1733</v>
      </c>
      <c r="T125" s="281">
        <v>6.78</v>
      </c>
      <c r="U125" s="264">
        <v>0.08</v>
      </c>
      <c r="V125" s="282">
        <v>0</v>
      </c>
      <c r="W125" s="281">
        <v>6.7</v>
      </c>
      <c r="X125" s="281">
        <v>0</v>
      </c>
      <c r="Y125" s="264">
        <v>9</v>
      </c>
      <c r="Z125" s="282">
        <v>0</v>
      </c>
      <c r="AA125" s="281">
        <v>0</v>
      </c>
      <c r="AB125" s="281">
        <v>0</v>
      </c>
      <c r="AD125" s="284">
        <v>6.78</v>
      </c>
      <c r="AE125" s="284">
        <v>0.08</v>
      </c>
      <c r="AF125" s="284">
        <v>0</v>
      </c>
      <c r="AG125" s="284">
        <v>6.7</v>
      </c>
      <c r="AH125" s="284">
        <v>0</v>
      </c>
      <c r="AI125" s="284">
        <v>9</v>
      </c>
      <c r="AJ125" s="284">
        <v>0</v>
      </c>
      <c r="AL125" s="285">
        <v>37797.076014543025</v>
      </c>
      <c r="AM125" s="286">
        <v>3578047.4161367365</v>
      </c>
      <c r="AN125" s="287">
        <v>442466.65279621811</v>
      </c>
      <c r="AO125" s="288">
        <v>291424.10785504017</v>
      </c>
      <c r="AP125" s="289">
        <v>4349735.2528025378</v>
      </c>
      <c r="AQ125" s="266"/>
      <c r="AR125" s="285">
        <v>624477.74999999988</v>
      </c>
      <c r="AS125" s="286">
        <v>55362.5</v>
      </c>
      <c r="AT125" s="286">
        <v>429706.50000000006</v>
      </c>
      <c r="AU125" s="290">
        <v>305324.85000000003</v>
      </c>
      <c r="AV125" s="289">
        <v>1414871.6</v>
      </c>
      <c r="AW125" s="291">
        <v>2934863.6528025377</v>
      </c>
    </row>
    <row r="126" spans="1:49" x14ac:dyDescent="0.25">
      <c r="A126" s="264">
        <v>9142033</v>
      </c>
      <c r="B126" s="264" t="str">
        <f>VLOOKUP(A126,'Výpočet VP 2020'!$A$4:$B$318,2,FALSE)</f>
        <v>NZO</v>
      </c>
      <c r="C126" s="264" t="s">
        <v>1362</v>
      </c>
      <c r="D126" s="264" t="s">
        <v>1362</v>
      </c>
      <c r="E126" s="264" t="s">
        <v>1360</v>
      </c>
      <c r="F126" s="264">
        <v>9142033</v>
      </c>
      <c r="G126" s="264" t="s">
        <v>1087</v>
      </c>
      <c r="H126" s="264">
        <v>2019</v>
      </c>
      <c r="I126" s="265"/>
      <c r="J126" s="278"/>
      <c r="K126" s="279"/>
      <c r="L126" s="279"/>
      <c r="M126" s="280">
        <v>86</v>
      </c>
      <c r="N126" s="280"/>
      <c r="O126" s="279"/>
      <c r="P126" s="281" t="s">
        <v>1363</v>
      </c>
      <c r="Q126" s="264"/>
      <c r="R126" s="282"/>
      <c r="S126" s="281" t="s">
        <v>1733</v>
      </c>
      <c r="T126" s="281">
        <v>21</v>
      </c>
      <c r="U126" s="264">
        <v>1.5</v>
      </c>
      <c r="V126" s="282">
        <v>18</v>
      </c>
      <c r="W126" s="281">
        <v>1.5</v>
      </c>
      <c r="X126" s="281">
        <v>0</v>
      </c>
      <c r="Y126" s="264">
        <v>25</v>
      </c>
      <c r="Z126" s="282">
        <v>0</v>
      </c>
      <c r="AA126" s="281">
        <v>0</v>
      </c>
      <c r="AB126" s="281">
        <v>0</v>
      </c>
      <c r="AD126" s="284">
        <v>21</v>
      </c>
      <c r="AE126" s="284">
        <v>1.5</v>
      </c>
      <c r="AF126" s="284">
        <v>18</v>
      </c>
      <c r="AG126" s="284">
        <v>1.5</v>
      </c>
      <c r="AH126" s="284">
        <v>0</v>
      </c>
      <c r="AI126" s="284">
        <v>25</v>
      </c>
      <c r="AJ126" s="284">
        <v>0</v>
      </c>
      <c r="AL126" s="285">
        <v>9213037.2785448618</v>
      </c>
      <c r="AM126" s="286">
        <v>801055.39167240378</v>
      </c>
      <c r="AN126" s="287">
        <v>1229074.0355450504</v>
      </c>
      <c r="AO126" s="288">
        <v>809511.41070844489</v>
      </c>
      <c r="AP126" s="289">
        <v>12052678.116470762</v>
      </c>
      <c r="AQ126" s="266"/>
      <c r="AR126" s="285">
        <v>1734660.4166666665</v>
      </c>
      <c r="AS126" s="286">
        <v>153784.72222222222</v>
      </c>
      <c r="AT126" s="286">
        <v>1193629.1666666667</v>
      </c>
      <c r="AU126" s="290">
        <v>848124.58333333349</v>
      </c>
      <c r="AV126" s="289">
        <v>3930198.888888889</v>
      </c>
      <c r="AW126" s="291">
        <v>8122479.2275818726</v>
      </c>
    </row>
    <row r="127" spans="1:49" x14ac:dyDescent="0.25">
      <c r="A127" s="264">
        <v>1840658</v>
      </c>
      <c r="B127" s="264" t="str">
        <f>VLOOKUP(A127,'Výpočet VP 2020'!$A$4:$B$318,2,FALSE)</f>
        <v>NZO</v>
      </c>
      <c r="C127" s="264" t="s">
        <v>780</v>
      </c>
      <c r="D127" s="264" t="s">
        <v>776</v>
      </c>
      <c r="E127" s="264" t="s">
        <v>1365</v>
      </c>
      <c r="F127" s="264">
        <v>1840658</v>
      </c>
      <c r="G127" s="264" t="s">
        <v>1058</v>
      </c>
      <c r="H127" s="264">
        <v>2019</v>
      </c>
      <c r="I127" s="265"/>
      <c r="J127" s="278"/>
      <c r="K127" s="279"/>
      <c r="L127" s="279"/>
      <c r="M127" s="280"/>
      <c r="N127" s="280"/>
      <c r="O127" s="279">
        <v>3602</v>
      </c>
      <c r="P127" s="281" t="s">
        <v>1367</v>
      </c>
      <c r="Q127" s="264"/>
      <c r="R127" s="282"/>
      <c r="S127" s="281" t="s">
        <v>1733</v>
      </c>
      <c r="T127" s="281">
        <v>1.84</v>
      </c>
      <c r="U127" s="264">
        <v>0.32</v>
      </c>
      <c r="V127" s="282">
        <v>0</v>
      </c>
      <c r="W127" s="281">
        <v>0</v>
      </c>
      <c r="X127" s="281">
        <v>1.52</v>
      </c>
      <c r="Y127" s="264">
        <v>0</v>
      </c>
      <c r="Z127" s="282">
        <v>100</v>
      </c>
      <c r="AA127" s="281">
        <v>0</v>
      </c>
      <c r="AB127" s="281">
        <v>0</v>
      </c>
      <c r="AD127" s="284">
        <v>1.84</v>
      </c>
      <c r="AE127" s="284">
        <v>0.32</v>
      </c>
      <c r="AF127" s="284">
        <v>0</v>
      </c>
      <c r="AG127" s="284">
        <v>0</v>
      </c>
      <c r="AH127" s="284">
        <v>1.52</v>
      </c>
      <c r="AI127" s="284">
        <v>0</v>
      </c>
      <c r="AJ127" s="284">
        <v>0</v>
      </c>
      <c r="AL127" s="285">
        <v>1433445.3538105704</v>
      </c>
      <c r="AM127" s="286">
        <v>0</v>
      </c>
      <c r="AN127" s="287">
        <v>115112.32958014954</v>
      </c>
      <c r="AO127" s="288">
        <v>0</v>
      </c>
      <c r="AP127" s="289">
        <v>1548557.68339072</v>
      </c>
      <c r="AQ127" s="266"/>
      <c r="AR127" s="285">
        <v>0</v>
      </c>
      <c r="AS127" s="286">
        <v>0</v>
      </c>
      <c r="AT127" s="286">
        <v>0</v>
      </c>
      <c r="AU127" s="290">
        <v>0</v>
      </c>
      <c r="AV127" s="289">
        <v>0</v>
      </c>
      <c r="AW127" s="291">
        <v>1548557.68339072</v>
      </c>
    </row>
    <row r="128" spans="1:49" x14ac:dyDescent="0.25">
      <c r="A128" s="264">
        <v>1840658</v>
      </c>
      <c r="B128" s="264" t="str">
        <f>VLOOKUP(A128,'Výpočet VP 2020'!$A$4:$B$318,2,FALSE)</f>
        <v>NZO</v>
      </c>
      <c r="C128" s="264" t="s">
        <v>780</v>
      </c>
      <c r="D128" s="264" t="s">
        <v>776</v>
      </c>
      <c r="E128" s="264" t="s">
        <v>1368</v>
      </c>
      <c r="F128" s="264">
        <v>1840658</v>
      </c>
      <c r="G128" s="264" t="s">
        <v>1068</v>
      </c>
      <c r="H128" s="264">
        <v>2019</v>
      </c>
      <c r="I128" s="265"/>
      <c r="J128" s="278"/>
      <c r="K128" s="279"/>
      <c r="L128" s="279"/>
      <c r="M128" s="280"/>
      <c r="N128" s="280"/>
      <c r="O128" s="279">
        <v>3604</v>
      </c>
      <c r="P128" s="281" t="s">
        <v>1367</v>
      </c>
      <c r="Q128" s="264"/>
      <c r="R128" s="282"/>
      <c r="S128" s="281" t="s">
        <v>1733</v>
      </c>
      <c r="T128" s="281">
        <v>0.69</v>
      </c>
      <c r="U128" s="264">
        <v>0.12</v>
      </c>
      <c r="V128" s="282">
        <v>0</v>
      </c>
      <c r="W128" s="281">
        <v>0</v>
      </c>
      <c r="X128" s="281">
        <v>0.56999999999999995</v>
      </c>
      <c r="Y128" s="264">
        <v>0</v>
      </c>
      <c r="Z128" s="282">
        <v>100</v>
      </c>
      <c r="AA128" s="281">
        <v>0</v>
      </c>
      <c r="AB128" s="281">
        <v>0</v>
      </c>
      <c r="AD128" s="284">
        <v>0.69</v>
      </c>
      <c r="AE128" s="284">
        <v>0.12</v>
      </c>
      <c r="AF128" s="284">
        <v>0</v>
      </c>
      <c r="AG128" s="284">
        <v>0</v>
      </c>
      <c r="AH128" s="284">
        <v>0.56999999999999995</v>
      </c>
      <c r="AI128" s="284">
        <v>0</v>
      </c>
      <c r="AJ128" s="284">
        <v>0</v>
      </c>
      <c r="AL128" s="285">
        <v>537542.00767896383</v>
      </c>
      <c r="AM128" s="286">
        <v>0</v>
      </c>
      <c r="AN128" s="287">
        <v>43167.123592556069</v>
      </c>
      <c r="AO128" s="288">
        <v>0</v>
      </c>
      <c r="AP128" s="289">
        <v>580709.13127151993</v>
      </c>
      <c r="AQ128" s="266"/>
      <c r="AR128" s="285">
        <v>0</v>
      </c>
      <c r="AS128" s="286">
        <v>0</v>
      </c>
      <c r="AT128" s="286">
        <v>0</v>
      </c>
      <c r="AU128" s="290">
        <v>0</v>
      </c>
      <c r="AV128" s="289">
        <v>0</v>
      </c>
      <c r="AW128" s="291">
        <v>580709.13127151993</v>
      </c>
    </row>
    <row r="129" spans="1:49" x14ac:dyDescent="0.25">
      <c r="A129" s="264">
        <v>5002625</v>
      </c>
      <c r="B129" s="353" t="s">
        <v>1770</v>
      </c>
      <c r="C129" s="264" t="s">
        <v>1530</v>
      </c>
      <c r="D129" s="264" t="s">
        <v>1529</v>
      </c>
      <c r="E129" s="264" t="s">
        <v>1741</v>
      </c>
      <c r="F129" s="264">
        <v>5002625</v>
      </c>
      <c r="G129" s="264" t="s">
        <v>1087</v>
      </c>
      <c r="H129" s="264">
        <v>2019</v>
      </c>
      <c r="I129" s="265"/>
      <c r="J129" s="278"/>
      <c r="K129" s="279"/>
      <c r="L129" s="279"/>
      <c r="M129" s="280">
        <v>86</v>
      </c>
      <c r="N129" s="280"/>
      <c r="O129" s="279"/>
      <c r="P129" s="281" t="s">
        <v>1742</v>
      </c>
      <c r="Q129" s="264"/>
      <c r="R129" s="282"/>
      <c r="S129" s="281"/>
      <c r="T129" s="281"/>
      <c r="U129" s="264"/>
      <c r="V129" s="282"/>
      <c r="W129" s="281"/>
      <c r="X129" s="281"/>
      <c r="Y129" s="264"/>
      <c r="Z129" s="282"/>
      <c r="AA129" s="281"/>
      <c r="AB129" s="281"/>
      <c r="AD129" s="284">
        <v>0</v>
      </c>
      <c r="AE129" s="284">
        <v>0</v>
      </c>
      <c r="AF129" s="284">
        <v>0</v>
      </c>
      <c r="AG129" s="284">
        <v>0</v>
      </c>
      <c r="AH129" s="284">
        <v>0</v>
      </c>
      <c r="AI129" s="284">
        <v>0</v>
      </c>
      <c r="AJ129" s="284">
        <v>0</v>
      </c>
      <c r="AL129" s="285">
        <v>0</v>
      </c>
      <c r="AM129" s="286">
        <v>0</v>
      </c>
      <c r="AN129" s="287">
        <v>0</v>
      </c>
      <c r="AO129" s="288">
        <v>0</v>
      </c>
      <c r="AP129" s="289">
        <v>0</v>
      </c>
      <c r="AQ129" s="266"/>
      <c r="AR129" s="285">
        <v>0</v>
      </c>
      <c r="AS129" s="286">
        <v>0</v>
      </c>
      <c r="AT129" s="286">
        <v>0</v>
      </c>
      <c r="AU129" s="290">
        <v>0</v>
      </c>
      <c r="AV129" s="289">
        <v>0</v>
      </c>
      <c r="AW129" s="291">
        <v>0</v>
      </c>
    </row>
    <row r="130" spans="1:49" x14ac:dyDescent="0.25">
      <c r="A130" s="264">
        <v>3346325</v>
      </c>
      <c r="B130" s="264" t="str">
        <f>VLOOKUP(A130,'Výpočet VP 2020'!$A$4:$B$318,2,FALSE)</f>
        <v>NZO</v>
      </c>
      <c r="C130" s="264" t="s">
        <v>1373</v>
      </c>
      <c r="D130" s="264" t="s">
        <v>1373</v>
      </c>
      <c r="E130" s="264" t="s">
        <v>1372</v>
      </c>
      <c r="F130" s="264">
        <v>3346325</v>
      </c>
      <c r="G130" s="264" t="s">
        <v>1087</v>
      </c>
      <c r="H130" s="264">
        <v>2019</v>
      </c>
      <c r="I130" s="265"/>
      <c r="J130" s="278"/>
      <c r="K130" s="279"/>
      <c r="L130" s="279"/>
      <c r="M130" s="280">
        <v>86</v>
      </c>
      <c r="N130" s="280"/>
      <c r="O130" s="279"/>
      <c r="P130" s="281" t="s">
        <v>1374</v>
      </c>
      <c r="Q130" s="264"/>
      <c r="R130" s="282"/>
      <c r="S130" s="281" t="s">
        <v>1733</v>
      </c>
      <c r="T130" s="281">
        <v>4.5999999999999996</v>
      </c>
      <c r="U130" s="264">
        <v>4.54</v>
      </c>
      <c r="V130" s="282">
        <v>0</v>
      </c>
      <c r="W130" s="281">
        <v>0.02</v>
      </c>
      <c r="X130" s="281">
        <v>0.04</v>
      </c>
      <c r="Y130" s="264">
        <v>0</v>
      </c>
      <c r="Z130" s="282">
        <v>56</v>
      </c>
      <c r="AA130" s="281">
        <v>6</v>
      </c>
      <c r="AB130" s="281">
        <v>0</v>
      </c>
      <c r="AD130" s="284">
        <v>4.5999999999999996</v>
      </c>
      <c r="AE130" s="284">
        <v>4.54</v>
      </c>
      <c r="AF130" s="284">
        <v>0</v>
      </c>
      <c r="AG130" s="284">
        <v>0.02</v>
      </c>
      <c r="AH130" s="284">
        <v>0.04</v>
      </c>
      <c r="AI130" s="284">
        <v>0</v>
      </c>
      <c r="AJ130" s="284">
        <v>6</v>
      </c>
      <c r="AL130" s="285">
        <v>3583613.384526426</v>
      </c>
      <c r="AM130" s="286">
        <v>0</v>
      </c>
      <c r="AN130" s="287">
        <v>287780.8239503738</v>
      </c>
      <c r="AO130" s="288">
        <v>0</v>
      </c>
      <c r="AP130" s="289">
        <v>3871394.2084767995</v>
      </c>
      <c r="AQ130" s="266"/>
      <c r="AR130" s="285">
        <v>0</v>
      </c>
      <c r="AS130" s="286">
        <v>0</v>
      </c>
      <c r="AT130" s="286">
        <v>0</v>
      </c>
      <c r="AU130" s="290">
        <v>0</v>
      </c>
      <c r="AV130" s="289">
        <v>0</v>
      </c>
      <c r="AW130" s="291">
        <v>3871394.2084767995</v>
      </c>
    </row>
    <row r="131" spans="1:49" x14ac:dyDescent="0.25">
      <c r="A131" s="264">
        <v>1840658</v>
      </c>
      <c r="B131" s="264" t="str">
        <f>VLOOKUP(A131,'Výpočet VP 2020'!$A$4:$B$318,2,FALSE)</f>
        <v>NZO</v>
      </c>
      <c r="C131" s="264" t="s">
        <v>780</v>
      </c>
      <c r="D131" s="264" t="s">
        <v>776</v>
      </c>
      <c r="E131" s="264" t="s">
        <v>1369</v>
      </c>
      <c r="F131" s="264">
        <v>1840658</v>
      </c>
      <c r="G131" s="264" t="s">
        <v>1061</v>
      </c>
      <c r="H131" s="264">
        <v>2019</v>
      </c>
      <c r="I131" s="265"/>
      <c r="J131" s="278"/>
      <c r="K131" s="279"/>
      <c r="L131" s="279"/>
      <c r="M131" s="280"/>
      <c r="N131" s="280"/>
      <c r="O131" s="279">
        <v>3605</v>
      </c>
      <c r="P131" s="281" t="s">
        <v>1367</v>
      </c>
      <c r="Q131" s="264"/>
      <c r="R131" s="282"/>
      <c r="S131" s="281" t="s">
        <v>1733</v>
      </c>
      <c r="T131" s="281">
        <v>1.37</v>
      </c>
      <c r="U131" s="264">
        <v>0.27</v>
      </c>
      <c r="V131" s="282">
        <v>0</v>
      </c>
      <c r="W131" s="281">
        <v>0</v>
      </c>
      <c r="X131" s="281">
        <v>1.1000000000000001</v>
      </c>
      <c r="Y131" s="264">
        <v>0</v>
      </c>
      <c r="Z131" s="282">
        <v>100</v>
      </c>
      <c r="AA131" s="281">
        <v>0</v>
      </c>
      <c r="AB131" s="281">
        <v>0</v>
      </c>
      <c r="AD131" s="284">
        <v>1.37</v>
      </c>
      <c r="AE131" s="284">
        <v>0.27</v>
      </c>
      <c r="AF131" s="284">
        <v>0</v>
      </c>
      <c r="AG131" s="284">
        <v>0</v>
      </c>
      <c r="AH131" s="284">
        <v>1.1000000000000001</v>
      </c>
      <c r="AI131" s="284">
        <v>0</v>
      </c>
      <c r="AJ131" s="284">
        <v>0</v>
      </c>
      <c r="AL131" s="285">
        <v>1067293.5514785226</v>
      </c>
      <c r="AM131" s="286">
        <v>0</v>
      </c>
      <c r="AN131" s="287">
        <v>85708.636698263523</v>
      </c>
      <c r="AO131" s="288">
        <v>0</v>
      </c>
      <c r="AP131" s="289">
        <v>1153002.1881767861</v>
      </c>
      <c r="AQ131" s="266"/>
      <c r="AR131" s="285">
        <v>0</v>
      </c>
      <c r="AS131" s="286">
        <v>0</v>
      </c>
      <c r="AT131" s="286">
        <v>0</v>
      </c>
      <c r="AU131" s="290">
        <v>0</v>
      </c>
      <c r="AV131" s="289">
        <v>0</v>
      </c>
      <c r="AW131" s="291">
        <v>1153002.1881767861</v>
      </c>
    </row>
    <row r="132" spans="1:49" x14ac:dyDescent="0.25">
      <c r="A132" s="264">
        <v>1840658</v>
      </c>
      <c r="B132" s="264" t="str">
        <f>VLOOKUP(A132,'Výpočet VP 2020'!$A$4:$B$318,2,FALSE)</f>
        <v>NZO</v>
      </c>
      <c r="C132" s="264" t="s">
        <v>780</v>
      </c>
      <c r="D132" s="264" t="s">
        <v>776</v>
      </c>
      <c r="E132" s="264" t="s">
        <v>1370</v>
      </c>
      <c r="F132" s="264">
        <v>1840658</v>
      </c>
      <c r="G132" s="264" t="s">
        <v>1063</v>
      </c>
      <c r="H132" s="264">
        <v>2019</v>
      </c>
      <c r="I132" s="265"/>
      <c r="J132" s="278"/>
      <c r="K132" s="279"/>
      <c r="L132" s="279"/>
      <c r="M132" s="280"/>
      <c r="N132" s="280"/>
      <c r="O132" s="279">
        <v>3607</v>
      </c>
      <c r="P132" s="281" t="s">
        <v>1367</v>
      </c>
      <c r="Q132" s="264"/>
      <c r="R132" s="282"/>
      <c r="S132" s="281" t="s">
        <v>1733</v>
      </c>
      <c r="T132" s="281">
        <v>1.1000000000000001</v>
      </c>
      <c r="U132" s="264">
        <v>0.21</v>
      </c>
      <c r="V132" s="282">
        <v>0</v>
      </c>
      <c r="W132" s="281">
        <v>0</v>
      </c>
      <c r="X132" s="281">
        <v>0.89</v>
      </c>
      <c r="Y132" s="264">
        <v>0</v>
      </c>
      <c r="Z132" s="282">
        <v>100</v>
      </c>
      <c r="AA132" s="281">
        <v>0</v>
      </c>
      <c r="AB132" s="281">
        <v>0</v>
      </c>
      <c r="AD132" s="284">
        <v>1.1000000000000001</v>
      </c>
      <c r="AE132" s="284">
        <v>0.21</v>
      </c>
      <c r="AF132" s="284">
        <v>0</v>
      </c>
      <c r="AG132" s="284">
        <v>0</v>
      </c>
      <c r="AH132" s="284">
        <v>0.89</v>
      </c>
      <c r="AI132" s="284">
        <v>0</v>
      </c>
      <c r="AJ132" s="284">
        <v>0</v>
      </c>
      <c r="AL132" s="285">
        <v>856951.02673458017</v>
      </c>
      <c r="AM132" s="286">
        <v>0</v>
      </c>
      <c r="AN132" s="287">
        <v>68817.153553350276</v>
      </c>
      <c r="AO132" s="288">
        <v>0</v>
      </c>
      <c r="AP132" s="289">
        <v>925768.18028793042</v>
      </c>
      <c r="AQ132" s="266"/>
      <c r="AR132" s="285">
        <v>0</v>
      </c>
      <c r="AS132" s="286">
        <v>0</v>
      </c>
      <c r="AT132" s="286">
        <v>0</v>
      </c>
      <c r="AU132" s="290">
        <v>0</v>
      </c>
      <c r="AV132" s="289">
        <v>0</v>
      </c>
      <c r="AW132" s="291">
        <v>925768.18028793042</v>
      </c>
    </row>
    <row r="133" spans="1:49" x14ac:dyDescent="0.25">
      <c r="A133" s="264">
        <v>6447139</v>
      </c>
      <c r="B133" s="264" t="str">
        <f>VLOOKUP(A133,'Výpočet VP 2020'!$A$4:$B$318,2,FALSE)</f>
        <v>NZO</v>
      </c>
      <c r="C133" s="264" t="s">
        <v>1375</v>
      </c>
      <c r="D133" s="264" t="s">
        <v>375</v>
      </c>
      <c r="E133" s="264" t="s">
        <v>1371</v>
      </c>
      <c r="F133" s="264">
        <v>6447139</v>
      </c>
      <c r="G133" s="264" t="s">
        <v>1073</v>
      </c>
      <c r="H133" s="264">
        <v>2019</v>
      </c>
      <c r="I133" s="265"/>
      <c r="J133" s="278"/>
      <c r="K133" s="279"/>
      <c r="L133" s="279"/>
      <c r="M133" s="280"/>
      <c r="N133" s="280"/>
      <c r="O133" s="279">
        <v>3610</v>
      </c>
      <c r="P133" s="281" t="s">
        <v>1367</v>
      </c>
      <c r="Q133" s="264"/>
      <c r="R133" s="282"/>
      <c r="S133" s="281" t="s">
        <v>1733</v>
      </c>
      <c r="T133" s="281">
        <v>1.85</v>
      </c>
      <c r="U133" s="264">
        <v>1.7</v>
      </c>
      <c r="V133" s="282">
        <v>0.15</v>
      </c>
      <c r="W133" s="281">
        <v>0</v>
      </c>
      <c r="X133" s="281">
        <v>0</v>
      </c>
      <c r="Y133" s="264">
        <v>0</v>
      </c>
      <c r="Z133" s="282">
        <v>6</v>
      </c>
      <c r="AA133" s="281">
        <v>0</v>
      </c>
      <c r="AB133" s="281">
        <v>0</v>
      </c>
      <c r="AD133" s="284">
        <v>1.85</v>
      </c>
      <c r="AE133" s="284">
        <v>1.7</v>
      </c>
      <c r="AF133" s="284">
        <v>0.15</v>
      </c>
      <c r="AG133" s="284">
        <v>0</v>
      </c>
      <c r="AH133" s="284">
        <v>0</v>
      </c>
      <c r="AI133" s="284">
        <v>0</v>
      </c>
      <c r="AJ133" s="284">
        <v>0</v>
      </c>
      <c r="AL133" s="285">
        <v>1441235.8176899757</v>
      </c>
      <c r="AM133" s="286">
        <v>0</v>
      </c>
      <c r="AN133" s="287">
        <v>115737.94006699817</v>
      </c>
      <c r="AO133" s="288">
        <v>0</v>
      </c>
      <c r="AP133" s="289">
        <v>1556973.7577569738</v>
      </c>
      <c r="AQ133" s="266"/>
      <c r="AR133" s="285">
        <v>0</v>
      </c>
      <c r="AS133" s="286">
        <v>0</v>
      </c>
      <c r="AT133" s="286">
        <v>0</v>
      </c>
      <c r="AU133" s="290">
        <v>0</v>
      </c>
      <c r="AV133" s="289">
        <v>0</v>
      </c>
      <c r="AW133" s="291">
        <v>1556973.7577569738</v>
      </c>
    </row>
    <row r="134" spans="1:49" x14ac:dyDescent="0.25">
      <c r="A134" s="264">
        <v>1840658</v>
      </c>
      <c r="B134" s="264" t="str">
        <f>VLOOKUP(A134,'Výpočet VP 2020'!$A$4:$B$318,2,FALSE)</f>
        <v>NZO</v>
      </c>
      <c r="C134" s="264" t="s">
        <v>780</v>
      </c>
      <c r="D134" s="264" t="s">
        <v>776</v>
      </c>
      <c r="E134" s="264" t="s">
        <v>1371</v>
      </c>
      <c r="F134" s="264">
        <v>1840658</v>
      </c>
      <c r="G134" s="264" t="s">
        <v>1073</v>
      </c>
      <c r="H134" s="264">
        <v>2019</v>
      </c>
      <c r="I134" s="265"/>
      <c r="J134" s="278"/>
      <c r="K134" s="279"/>
      <c r="L134" s="279"/>
      <c r="M134" s="280"/>
      <c r="N134" s="280"/>
      <c r="O134" s="279">
        <v>3610</v>
      </c>
      <c r="P134" s="281" t="s">
        <v>1367</v>
      </c>
      <c r="Q134" s="264"/>
      <c r="R134" s="282"/>
      <c r="S134" s="281" t="s">
        <v>1733</v>
      </c>
      <c r="T134" s="281">
        <v>0.5</v>
      </c>
      <c r="U134" s="264">
        <v>0.08</v>
      </c>
      <c r="V134" s="282">
        <v>0</v>
      </c>
      <c r="W134" s="281">
        <v>0</v>
      </c>
      <c r="X134" s="281">
        <v>0.42</v>
      </c>
      <c r="Y134" s="264">
        <v>0</v>
      </c>
      <c r="Z134" s="282">
        <v>100</v>
      </c>
      <c r="AA134" s="281">
        <v>0</v>
      </c>
      <c r="AB134" s="281">
        <v>0</v>
      </c>
      <c r="AD134" s="284">
        <v>0.5</v>
      </c>
      <c r="AE134" s="284">
        <v>0.08</v>
      </c>
      <c r="AF134" s="284">
        <v>0</v>
      </c>
      <c r="AG134" s="284">
        <v>0</v>
      </c>
      <c r="AH134" s="284">
        <v>0.42</v>
      </c>
      <c r="AI134" s="284">
        <v>0</v>
      </c>
      <c r="AJ134" s="284">
        <v>0</v>
      </c>
      <c r="AL134" s="285">
        <v>389523.1939702637</v>
      </c>
      <c r="AM134" s="286">
        <v>0</v>
      </c>
      <c r="AN134" s="287">
        <v>31280.524342431938</v>
      </c>
      <c r="AO134" s="288">
        <v>0</v>
      </c>
      <c r="AP134" s="289">
        <v>420803.71831269562</v>
      </c>
      <c r="AQ134" s="266"/>
      <c r="AR134" s="285">
        <v>0</v>
      </c>
      <c r="AS134" s="286">
        <v>0</v>
      </c>
      <c r="AT134" s="286">
        <v>0</v>
      </c>
      <c r="AU134" s="290">
        <v>0</v>
      </c>
      <c r="AV134" s="289">
        <v>0</v>
      </c>
      <c r="AW134" s="291">
        <v>420803.71831269562</v>
      </c>
    </row>
    <row r="135" spans="1:49" x14ac:dyDescent="0.25">
      <c r="A135" s="264">
        <v>8365172</v>
      </c>
      <c r="B135" s="264" t="str">
        <f>VLOOKUP(A135,'Výpočet VP 2020'!$A$4:$B$318,2,FALSE)</f>
        <v>NZO</v>
      </c>
      <c r="C135" s="264" t="s">
        <v>1378</v>
      </c>
      <c r="D135" s="264" t="s">
        <v>1118</v>
      </c>
      <c r="E135" s="264" t="s">
        <v>1376</v>
      </c>
      <c r="F135" s="264">
        <v>8365172</v>
      </c>
      <c r="G135" s="264" t="s">
        <v>1058</v>
      </c>
      <c r="H135" s="264">
        <v>2019</v>
      </c>
      <c r="I135" s="265"/>
      <c r="J135" s="278"/>
      <c r="K135" s="279"/>
      <c r="L135" s="279"/>
      <c r="M135" s="280"/>
      <c r="N135" s="280"/>
      <c r="O135" s="279">
        <v>3602</v>
      </c>
      <c r="P135" s="281" t="s">
        <v>1119</v>
      </c>
      <c r="Q135" s="264"/>
      <c r="R135" s="282"/>
      <c r="S135" s="281" t="s">
        <v>1733</v>
      </c>
      <c r="T135" s="281">
        <v>1.9</v>
      </c>
      <c r="U135" s="264">
        <v>1.9</v>
      </c>
      <c r="V135" s="282">
        <v>0</v>
      </c>
      <c r="W135" s="281">
        <v>0</v>
      </c>
      <c r="X135" s="281">
        <v>0</v>
      </c>
      <c r="Y135" s="264">
        <v>0</v>
      </c>
      <c r="Z135" s="282">
        <v>8</v>
      </c>
      <c r="AA135" s="281">
        <v>2</v>
      </c>
      <c r="AB135" s="281">
        <v>0</v>
      </c>
      <c r="AD135" s="284">
        <v>1.9</v>
      </c>
      <c r="AE135" s="284">
        <v>1.9</v>
      </c>
      <c r="AF135" s="284">
        <v>0</v>
      </c>
      <c r="AG135" s="284">
        <v>0</v>
      </c>
      <c r="AH135" s="284">
        <v>0</v>
      </c>
      <c r="AI135" s="284">
        <v>0</v>
      </c>
      <c r="AJ135" s="284">
        <v>2</v>
      </c>
      <c r="AL135" s="285">
        <v>1230403.1552200965</v>
      </c>
      <c r="AM135" s="286">
        <v>0</v>
      </c>
      <c r="AN135" s="287">
        <v>74541.084413898541</v>
      </c>
      <c r="AO135" s="288">
        <v>0</v>
      </c>
      <c r="AP135" s="289">
        <v>1304944.2396339951</v>
      </c>
      <c r="AQ135" s="266"/>
      <c r="AR135" s="285">
        <v>0</v>
      </c>
      <c r="AS135" s="286">
        <v>0</v>
      </c>
      <c r="AT135" s="286">
        <v>0</v>
      </c>
      <c r="AU135" s="290">
        <v>0</v>
      </c>
      <c r="AV135" s="289">
        <v>0</v>
      </c>
      <c r="AW135" s="291">
        <v>1304944.2396339951</v>
      </c>
    </row>
    <row r="136" spans="1:49" x14ac:dyDescent="0.25">
      <c r="A136" s="264">
        <v>8477576</v>
      </c>
      <c r="B136" s="353" t="s">
        <v>1770</v>
      </c>
      <c r="C136" s="264" t="s">
        <v>1534</v>
      </c>
      <c r="D136" s="264" t="s">
        <v>1533</v>
      </c>
      <c r="E136" s="264" t="s">
        <v>1743</v>
      </c>
      <c r="F136" s="264">
        <v>8477576</v>
      </c>
      <c r="G136" s="264" t="s">
        <v>1087</v>
      </c>
      <c r="H136" s="264">
        <v>2019</v>
      </c>
      <c r="I136" s="265"/>
      <c r="J136" s="278"/>
      <c r="K136" s="279"/>
      <c r="L136" s="279"/>
      <c r="M136" s="280">
        <v>86</v>
      </c>
      <c r="N136" s="280"/>
      <c r="O136" s="279"/>
      <c r="P136" s="281" t="s">
        <v>1119</v>
      </c>
      <c r="Q136" s="264"/>
      <c r="R136" s="282"/>
      <c r="S136" s="281"/>
      <c r="T136" s="281"/>
      <c r="U136" s="264"/>
      <c r="V136" s="282"/>
      <c r="W136" s="281"/>
      <c r="X136" s="281"/>
      <c r="Y136" s="264"/>
      <c r="Z136" s="282"/>
      <c r="AA136" s="281"/>
      <c r="AB136" s="281"/>
      <c r="AD136" s="284">
        <v>0</v>
      </c>
      <c r="AE136" s="284">
        <v>0</v>
      </c>
      <c r="AF136" s="284">
        <v>0</v>
      </c>
      <c r="AG136" s="284">
        <v>0</v>
      </c>
      <c r="AH136" s="284">
        <v>0</v>
      </c>
      <c r="AI136" s="284">
        <v>0</v>
      </c>
      <c r="AJ136" s="284">
        <v>0</v>
      </c>
      <c r="AL136" s="285">
        <v>0</v>
      </c>
      <c r="AM136" s="286">
        <v>0</v>
      </c>
      <c r="AN136" s="287">
        <v>0</v>
      </c>
      <c r="AO136" s="288">
        <v>0</v>
      </c>
      <c r="AP136" s="289">
        <v>0</v>
      </c>
      <c r="AQ136" s="266"/>
      <c r="AR136" s="285">
        <v>0</v>
      </c>
      <c r="AS136" s="286">
        <v>0</v>
      </c>
      <c r="AT136" s="286">
        <v>0</v>
      </c>
      <c r="AU136" s="290">
        <v>0</v>
      </c>
      <c r="AV136" s="289">
        <v>0</v>
      </c>
      <c r="AW136" s="291">
        <v>0</v>
      </c>
    </row>
    <row r="137" spans="1:49" x14ac:dyDescent="0.25">
      <c r="A137" s="264">
        <v>4699567</v>
      </c>
      <c r="B137" s="264" t="str">
        <f>VLOOKUP(A137,'Výpočet VP 2020'!$A$4:$B$318,2,FALSE)</f>
        <v>NZO</v>
      </c>
      <c r="C137" s="264" t="s">
        <v>1388</v>
      </c>
      <c r="D137" s="264" t="s">
        <v>776</v>
      </c>
      <c r="E137" s="264" t="s">
        <v>1387</v>
      </c>
      <c r="F137" s="264">
        <v>4699567</v>
      </c>
      <c r="G137" s="264" t="s">
        <v>1058</v>
      </c>
      <c r="H137" s="264">
        <v>2019</v>
      </c>
      <c r="I137" s="265"/>
      <c r="J137" s="278"/>
      <c r="K137" s="279"/>
      <c r="L137" s="279"/>
      <c r="M137" s="280"/>
      <c r="N137" s="280"/>
      <c r="O137" s="279">
        <v>3602</v>
      </c>
      <c r="P137" s="281" t="s">
        <v>1386</v>
      </c>
      <c r="Q137" s="264"/>
      <c r="R137" s="282"/>
      <c r="S137" s="281">
        <v>44196</v>
      </c>
      <c r="T137" s="281">
        <v>6.8</v>
      </c>
      <c r="U137" s="264">
        <v>1</v>
      </c>
      <c r="V137" s="282">
        <v>5.8</v>
      </c>
      <c r="W137" s="281">
        <v>0</v>
      </c>
      <c r="X137" s="281">
        <v>0</v>
      </c>
      <c r="Y137" s="264">
        <v>32</v>
      </c>
      <c r="Z137" s="282">
        <v>0</v>
      </c>
      <c r="AA137" s="281">
        <v>0</v>
      </c>
      <c r="AB137" s="281">
        <v>0</v>
      </c>
      <c r="AC137" s="313"/>
      <c r="AD137" s="284">
        <v>6.8</v>
      </c>
      <c r="AE137" s="284">
        <v>1</v>
      </c>
      <c r="AF137" s="284">
        <v>5.8</v>
      </c>
      <c r="AG137" s="284">
        <v>0</v>
      </c>
      <c r="AH137" s="284">
        <v>0</v>
      </c>
      <c r="AI137" s="284">
        <v>32</v>
      </c>
      <c r="AJ137" s="284">
        <v>0</v>
      </c>
      <c r="AK137" s="313"/>
      <c r="AL137" s="285">
        <v>4219900.1888792161</v>
      </c>
      <c r="AM137" s="286">
        <v>0</v>
      </c>
      <c r="AN137" s="287">
        <v>834231.36994117859</v>
      </c>
      <c r="AO137" s="288">
        <v>0</v>
      </c>
      <c r="AP137" s="289">
        <v>5054131.5588203948</v>
      </c>
      <c r="AQ137" s="266"/>
      <c r="AR137" s="285">
        <v>0</v>
      </c>
      <c r="AS137" s="286">
        <v>0</v>
      </c>
      <c r="AT137" s="286">
        <v>727523.7333333334</v>
      </c>
      <c r="AU137" s="290">
        <v>0</v>
      </c>
      <c r="AV137" s="289">
        <v>727523.7333333334</v>
      </c>
      <c r="AW137" s="291">
        <v>4326607.8254870614</v>
      </c>
    </row>
    <row r="138" spans="1:49" x14ac:dyDescent="0.25">
      <c r="A138" s="264">
        <v>1236570</v>
      </c>
      <c r="B138" s="264" t="str">
        <f>VLOOKUP(A138,'Výpočet VP 2020'!$A$4:$B$318,2,FALSE)</f>
        <v>NZO</v>
      </c>
      <c r="C138" s="264" t="s">
        <v>1383</v>
      </c>
      <c r="D138" s="264" t="s">
        <v>776</v>
      </c>
      <c r="E138" s="264" t="s">
        <v>1381</v>
      </c>
      <c r="F138" s="264">
        <v>1236570</v>
      </c>
      <c r="G138" s="264" t="s">
        <v>1058</v>
      </c>
      <c r="H138" s="264">
        <v>2019</v>
      </c>
      <c r="I138" s="265"/>
      <c r="J138" s="278"/>
      <c r="K138" s="279"/>
      <c r="L138" s="279"/>
      <c r="M138" s="280"/>
      <c r="N138" s="280"/>
      <c r="O138" s="279">
        <v>3602</v>
      </c>
      <c r="P138" s="281" t="s">
        <v>1384</v>
      </c>
      <c r="Q138" s="264"/>
      <c r="R138" s="282"/>
      <c r="S138" s="281">
        <v>44377</v>
      </c>
      <c r="T138" s="281">
        <v>15.96</v>
      </c>
      <c r="U138" s="264">
        <v>4</v>
      </c>
      <c r="V138" s="282">
        <v>10.96</v>
      </c>
      <c r="W138" s="281">
        <v>0</v>
      </c>
      <c r="X138" s="281">
        <v>1</v>
      </c>
      <c r="Y138" s="264">
        <v>64</v>
      </c>
      <c r="Z138" s="282">
        <v>0</v>
      </c>
      <c r="AA138" s="281">
        <v>0</v>
      </c>
      <c r="AB138" s="281">
        <v>0</v>
      </c>
      <c r="AD138" s="284">
        <v>15.96</v>
      </c>
      <c r="AE138" s="284">
        <v>4</v>
      </c>
      <c r="AF138" s="284">
        <v>10.96</v>
      </c>
      <c r="AG138" s="284">
        <v>0</v>
      </c>
      <c r="AH138" s="284">
        <v>1</v>
      </c>
      <c r="AI138" s="284">
        <v>64</v>
      </c>
      <c r="AJ138" s="284">
        <v>0</v>
      </c>
      <c r="AL138" s="285">
        <v>9904353.9727223963</v>
      </c>
      <c r="AM138" s="286">
        <v>0</v>
      </c>
      <c r="AN138" s="287">
        <v>1668462.7398823572</v>
      </c>
      <c r="AO138" s="288">
        <v>0</v>
      </c>
      <c r="AP138" s="289">
        <v>11572816.712604754</v>
      </c>
      <c r="AQ138" s="266"/>
      <c r="AR138" s="285">
        <v>0</v>
      </c>
      <c r="AS138" s="286">
        <v>0</v>
      </c>
      <c r="AT138" s="286">
        <v>1455047.4666666668</v>
      </c>
      <c r="AU138" s="290">
        <v>0</v>
      </c>
      <c r="AV138" s="289">
        <v>1455047.4666666668</v>
      </c>
      <c r="AW138" s="291">
        <v>10117769.245938087</v>
      </c>
    </row>
    <row r="139" spans="1:49" x14ac:dyDescent="0.25">
      <c r="A139" s="264">
        <v>2438469</v>
      </c>
      <c r="B139" s="353" t="s">
        <v>1770</v>
      </c>
      <c r="C139" s="264" t="s">
        <v>1391</v>
      </c>
      <c r="D139" s="264" t="s">
        <v>1521</v>
      </c>
      <c r="E139" s="264" t="s">
        <v>1390</v>
      </c>
      <c r="F139" s="264">
        <v>2438469</v>
      </c>
      <c r="G139" s="264" t="s">
        <v>1068</v>
      </c>
      <c r="H139" s="264">
        <v>2019</v>
      </c>
      <c r="I139" s="265"/>
      <c r="J139" s="278"/>
      <c r="K139" s="279"/>
      <c r="L139" s="279"/>
      <c r="M139" s="280"/>
      <c r="N139" s="280"/>
      <c r="O139" s="279">
        <v>3604</v>
      </c>
      <c r="P139" s="281" t="s">
        <v>1384</v>
      </c>
      <c r="Q139" s="264"/>
      <c r="R139" s="282"/>
      <c r="S139" s="281">
        <v>44196</v>
      </c>
      <c r="T139" s="281">
        <v>5.85</v>
      </c>
      <c r="U139" s="264">
        <v>1.85</v>
      </c>
      <c r="V139" s="282">
        <v>4</v>
      </c>
      <c r="W139" s="281">
        <v>0</v>
      </c>
      <c r="X139" s="281">
        <v>0</v>
      </c>
      <c r="Y139" s="264">
        <v>14</v>
      </c>
      <c r="Z139" s="282">
        <v>0</v>
      </c>
      <c r="AA139" s="281">
        <v>0</v>
      </c>
      <c r="AB139" s="281">
        <v>0</v>
      </c>
      <c r="AD139" s="284">
        <v>5.85</v>
      </c>
      <c r="AE139" s="284">
        <v>1.85</v>
      </c>
      <c r="AF139" s="284">
        <v>4</v>
      </c>
      <c r="AG139" s="284">
        <v>0</v>
      </c>
      <c r="AH139" s="284">
        <v>0</v>
      </c>
      <c r="AI139" s="284">
        <v>14</v>
      </c>
      <c r="AJ139" s="284">
        <v>0</v>
      </c>
      <c r="AL139" s="285">
        <v>3630355.3095505023</v>
      </c>
      <c r="AM139" s="286">
        <v>0</v>
      </c>
      <c r="AN139" s="287">
        <v>364976.22434926563</v>
      </c>
      <c r="AO139" s="288">
        <v>0</v>
      </c>
      <c r="AP139" s="289">
        <v>3995331.5338997678</v>
      </c>
      <c r="AQ139" s="266"/>
      <c r="AR139" s="285">
        <v>0</v>
      </c>
      <c r="AS139" s="286">
        <v>0</v>
      </c>
      <c r="AT139" s="286">
        <v>318291.63333333336</v>
      </c>
      <c r="AU139" s="290">
        <v>0</v>
      </c>
      <c r="AV139" s="289">
        <v>318291.63333333336</v>
      </c>
      <c r="AW139" s="291">
        <v>3677039.9005664345</v>
      </c>
    </row>
    <row r="140" spans="1:49" x14ac:dyDescent="0.25">
      <c r="A140" s="264">
        <v>9064643</v>
      </c>
      <c r="B140" s="264" t="str">
        <f>VLOOKUP(A140,'Výpočet VP 2020'!$A$4:$B$318,2,FALSE)</f>
        <v>NZO</v>
      </c>
      <c r="C140" s="264" t="s">
        <v>818</v>
      </c>
      <c r="D140" s="264" t="s">
        <v>812</v>
      </c>
      <c r="E140" s="264" t="s">
        <v>1392</v>
      </c>
      <c r="F140" s="264">
        <v>9064643</v>
      </c>
      <c r="G140" s="264" t="s">
        <v>1061</v>
      </c>
      <c r="H140" s="264">
        <v>2019</v>
      </c>
      <c r="I140" s="265"/>
      <c r="J140" s="278"/>
      <c r="K140" s="279"/>
      <c r="L140" s="279"/>
      <c r="M140" s="280"/>
      <c r="N140" s="280"/>
      <c r="O140" s="279">
        <v>3605</v>
      </c>
      <c r="P140" s="281" t="s">
        <v>1384</v>
      </c>
      <c r="Q140" s="264"/>
      <c r="R140" s="282">
        <v>43647</v>
      </c>
      <c r="S140" s="281">
        <v>44196</v>
      </c>
      <c r="T140" s="281">
        <v>7</v>
      </c>
      <c r="U140" s="264">
        <v>1.5</v>
      </c>
      <c r="V140" s="282">
        <v>5</v>
      </c>
      <c r="W140" s="281">
        <v>0</v>
      </c>
      <c r="X140" s="281">
        <v>0.5</v>
      </c>
      <c r="Y140" s="264">
        <v>72</v>
      </c>
      <c r="Z140" s="282">
        <v>0</v>
      </c>
      <c r="AA140" s="281">
        <v>0</v>
      </c>
      <c r="AB140" s="281">
        <v>0</v>
      </c>
      <c r="AD140" s="284">
        <v>7</v>
      </c>
      <c r="AE140" s="284">
        <v>1.5</v>
      </c>
      <c r="AF140" s="284">
        <v>5</v>
      </c>
      <c r="AG140" s="284">
        <v>0</v>
      </c>
      <c r="AH140" s="284">
        <v>0.5</v>
      </c>
      <c r="AI140" s="284">
        <v>72</v>
      </c>
      <c r="AJ140" s="284">
        <v>0</v>
      </c>
      <c r="AL140" s="285">
        <v>4344014.900316841</v>
      </c>
      <c r="AM140" s="286">
        <v>0</v>
      </c>
      <c r="AN140" s="287">
        <v>1877020.5823676519</v>
      </c>
      <c r="AO140" s="288">
        <v>0</v>
      </c>
      <c r="AP140" s="289">
        <v>6221035.4826844931</v>
      </c>
      <c r="AQ140" s="266"/>
      <c r="AR140" s="285">
        <v>0</v>
      </c>
      <c r="AS140" s="286">
        <v>0</v>
      </c>
      <c r="AT140" s="286">
        <v>1636928.4000000001</v>
      </c>
      <c r="AU140" s="290">
        <v>0</v>
      </c>
      <c r="AV140" s="289">
        <v>1636928.4000000001</v>
      </c>
      <c r="AW140" s="291">
        <v>4584107.0826844927</v>
      </c>
    </row>
    <row r="141" spans="1:49" x14ac:dyDescent="0.25">
      <c r="A141" s="264">
        <v>8891712</v>
      </c>
      <c r="B141" s="264" t="str">
        <f>VLOOKUP(A141,'Výpočet VP 2020'!$A$4:$B$318,2,FALSE)</f>
        <v>NZO</v>
      </c>
      <c r="C141" s="264" t="s">
        <v>814</v>
      </c>
      <c r="D141" s="264" t="s">
        <v>812</v>
      </c>
      <c r="E141" s="264" t="s">
        <v>1392</v>
      </c>
      <c r="F141" s="264">
        <v>8891712</v>
      </c>
      <c r="G141" s="264" t="s">
        <v>1061</v>
      </c>
      <c r="H141" s="264">
        <v>2019</v>
      </c>
      <c r="I141" s="265"/>
      <c r="J141" s="278"/>
      <c r="K141" s="279"/>
      <c r="L141" s="279"/>
      <c r="M141" s="280"/>
      <c r="N141" s="280"/>
      <c r="O141" s="279">
        <v>3605</v>
      </c>
      <c r="P141" s="281" t="s">
        <v>1384</v>
      </c>
      <c r="Q141" s="264"/>
      <c r="R141" s="282"/>
      <c r="S141" s="281"/>
      <c r="T141" s="281">
        <v>6.5</v>
      </c>
      <c r="U141" s="264">
        <v>1</v>
      </c>
      <c r="V141" s="282">
        <v>5.5</v>
      </c>
      <c r="W141" s="281">
        <v>0</v>
      </c>
      <c r="X141" s="281">
        <v>0</v>
      </c>
      <c r="Y141" s="264">
        <v>11</v>
      </c>
      <c r="Z141" s="282">
        <v>0</v>
      </c>
      <c r="AA141" s="281">
        <v>0</v>
      </c>
      <c r="AB141" s="281">
        <v>0</v>
      </c>
      <c r="AD141" s="284">
        <v>6.5</v>
      </c>
      <c r="AE141" s="284">
        <v>1</v>
      </c>
      <c r="AF141" s="284">
        <v>5.5</v>
      </c>
      <c r="AG141" s="284">
        <v>0</v>
      </c>
      <c r="AH141" s="284">
        <v>0</v>
      </c>
      <c r="AI141" s="284">
        <v>11</v>
      </c>
      <c r="AJ141" s="284">
        <v>0</v>
      </c>
      <c r="AL141" s="285">
        <v>4033728.1217227806</v>
      </c>
      <c r="AM141" s="286">
        <v>0</v>
      </c>
      <c r="AN141" s="287">
        <v>286767.03341728012</v>
      </c>
      <c r="AO141" s="288">
        <v>0</v>
      </c>
      <c r="AP141" s="289">
        <v>4320495.1551400609</v>
      </c>
      <c r="AQ141" s="266"/>
      <c r="AR141" s="285">
        <v>0</v>
      </c>
      <c r="AS141" s="286">
        <v>0</v>
      </c>
      <c r="AT141" s="286">
        <v>250086.28333333335</v>
      </c>
      <c r="AU141" s="290">
        <v>0</v>
      </c>
      <c r="AV141" s="289">
        <v>250086.28333333335</v>
      </c>
      <c r="AW141" s="291">
        <v>4070408.8718067277</v>
      </c>
    </row>
    <row r="142" spans="1:49" x14ac:dyDescent="0.25">
      <c r="A142" s="264">
        <v>3028344</v>
      </c>
      <c r="B142" s="353" t="s">
        <v>1770</v>
      </c>
      <c r="C142" s="264" t="s">
        <v>1517</v>
      </c>
      <c r="D142" s="264" t="s">
        <v>1517</v>
      </c>
      <c r="E142" s="264" t="s">
        <v>1389</v>
      </c>
      <c r="F142" s="264">
        <v>3028344</v>
      </c>
      <c r="G142" s="264" t="s">
        <v>1073</v>
      </c>
      <c r="H142" s="264">
        <v>2019</v>
      </c>
      <c r="I142" s="265"/>
      <c r="J142" s="278"/>
      <c r="K142" s="279"/>
      <c r="L142" s="279"/>
      <c r="M142" s="280"/>
      <c r="N142" s="280"/>
      <c r="O142" s="279">
        <v>3610</v>
      </c>
      <c r="P142" s="281" t="s">
        <v>1384</v>
      </c>
      <c r="Q142" s="264"/>
      <c r="R142" s="282"/>
      <c r="S142" s="281">
        <v>44196</v>
      </c>
      <c r="T142" s="281">
        <v>6</v>
      </c>
      <c r="U142" s="264">
        <v>1</v>
      </c>
      <c r="V142" s="282">
        <v>5</v>
      </c>
      <c r="W142" s="281">
        <v>0</v>
      </c>
      <c r="X142" s="281">
        <v>0</v>
      </c>
      <c r="Y142" s="264">
        <v>32</v>
      </c>
      <c r="Z142" s="282">
        <v>0</v>
      </c>
      <c r="AA142" s="281">
        <v>0</v>
      </c>
      <c r="AB142" s="281">
        <v>0</v>
      </c>
      <c r="AD142" s="284">
        <v>6</v>
      </c>
      <c r="AE142" s="284">
        <v>1</v>
      </c>
      <c r="AF142" s="284">
        <v>5</v>
      </c>
      <c r="AG142" s="284">
        <v>0</v>
      </c>
      <c r="AH142" s="284">
        <v>0</v>
      </c>
      <c r="AI142" s="284">
        <v>32</v>
      </c>
      <c r="AJ142" s="284">
        <v>0</v>
      </c>
      <c r="AL142" s="285">
        <v>3723441.3431287203</v>
      </c>
      <c r="AM142" s="286">
        <v>0</v>
      </c>
      <c r="AN142" s="287">
        <v>834231.36994117859</v>
      </c>
      <c r="AO142" s="288">
        <v>0</v>
      </c>
      <c r="AP142" s="289">
        <v>4557672.713069899</v>
      </c>
      <c r="AQ142" s="266"/>
      <c r="AR142" s="285">
        <v>0</v>
      </c>
      <c r="AS142" s="286">
        <v>0</v>
      </c>
      <c r="AT142" s="286">
        <v>727523.7333333334</v>
      </c>
      <c r="AU142" s="290">
        <v>0</v>
      </c>
      <c r="AV142" s="289">
        <v>727523.7333333334</v>
      </c>
      <c r="AW142" s="291">
        <v>3830148.9797365656</v>
      </c>
    </row>
    <row r="143" spans="1:49" x14ac:dyDescent="0.25">
      <c r="A143" s="264">
        <v>3961063</v>
      </c>
      <c r="B143" s="353" t="s">
        <v>1770</v>
      </c>
      <c r="C143" s="264" t="s">
        <v>1519</v>
      </c>
      <c r="D143" s="264" t="s">
        <v>812</v>
      </c>
      <c r="E143" s="264" t="s">
        <v>1744</v>
      </c>
      <c r="F143" s="264">
        <v>3961063</v>
      </c>
      <c r="G143" s="264" t="s">
        <v>1061</v>
      </c>
      <c r="H143" s="264">
        <v>2019</v>
      </c>
      <c r="I143" s="265"/>
      <c r="J143" s="278"/>
      <c r="K143" s="279"/>
      <c r="L143" s="279"/>
      <c r="M143" s="280"/>
      <c r="N143" s="280"/>
      <c r="O143" s="279">
        <v>3605</v>
      </c>
      <c r="P143" s="281" t="s">
        <v>1384</v>
      </c>
      <c r="Q143" s="264"/>
      <c r="R143" s="282">
        <v>43770</v>
      </c>
      <c r="S143" s="281">
        <v>43769</v>
      </c>
      <c r="T143" s="281">
        <v>5</v>
      </c>
      <c r="U143" s="264">
        <v>1</v>
      </c>
      <c r="V143" s="282">
        <v>4</v>
      </c>
      <c r="W143" s="281">
        <v>0</v>
      </c>
      <c r="X143" s="281">
        <v>0</v>
      </c>
      <c r="Y143" s="264">
        <v>11</v>
      </c>
      <c r="Z143" s="282">
        <v>0</v>
      </c>
      <c r="AA143" s="281">
        <v>0</v>
      </c>
      <c r="AB143" s="281">
        <v>0</v>
      </c>
      <c r="AD143" s="284">
        <v>5</v>
      </c>
      <c r="AE143" s="284">
        <v>1</v>
      </c>
      <c r="AF143" s="284">
        <v>4</v>
      </c>
      <c r="AG143" s="284">
        <v>0</v>
      </c>
      <c r="AH143" s="284">
        <v>0</v>
      </c>
      <c r="AI143" s="284">
        <v>11</v>
      </c>
      <c r="AJ143" s="284">
        <v>0</v>
      </c>
      <c r="AL143" s="285">
        <v>3196274.6014555153</v>
      </c>
      <c r="AM143" s="286">
        <v>0</v>
      </c>
      <c r="AN143" s="287">
        <v>375771.59177976951</v>
      </c>
      <c r="AO143" s="288">
        <v>0</v>
      </c>
      <c r="AP143" s="289">
        <v>3572046.1932352846</v>
      </c>
      <c r="AQ143" s="266"/>
      <c r="AR143" s="285">
        <v>0</v>
      </c>
      <c r="AS143" s="286">
        <v>0</v>
      </c>
      <c r="AT143" s="286">
        <v>260086.75</v>
      </c>
      <c r="AU143" s="290">
        <v>0</v>
      </c>
      <c r="AV143" s="289">
        <v>260086.75</v>
      </c>
      <c r="AW143" s="291">
        <v>3311959.4432352846</v>
      </c>
    </row>
    <row r="144" spans="1:49" x14ac:dyDescent="0.25">
      <c r="A144" s="264">
        <v>5814347</v>
      </c>
      <c r="B144" s="264" t="str">
        <f>VLOOKUP(A144,'Výpočet VP 2020'!$A$4:$B$318,2,FALSE)</f>
        <v>NZO</v>
      </c>
      <c r="C144" s="264" t="s">
        <v>1395</v>
      </c>
      <c r="D144" s="264" t="s">
        <v>1056</v>
      </c>
      <c r="E144" s="264" t="s">
        <v>1393</v>
      </c>
      <c r="F144" s="264">
        <v>5814347</v>
      </c>
      <c r="G144" s="264" t="s">
        <v>1058</v>
      </c>
      <c r="H144" s="264">
        <v>2019</v>
      </c>
      <c r="I144" s="265"/>
      <c r="J144" s="278"/>
      <c r="K144" s="279"/>
      <c r="L144" s="279"/>
      <c r="M144" s="280"/>
      <c r="N144" s="280"/>
      <c r="O144" s="279">
        <v>3602</v>
      </c>
      <c r="P144" s="281" t="s">
        <v>1059</v>
      </c>
      <c r="Q144" s="264"/>
      <c r="R144" s="282"/>
      <c r="S144" s="281" t="s">
        <v>1733</v>
      </c>
      <c r="T144" s="281">
        <v>4</v>
      </c>
      <c r="U144" s="264">
        <v>3</v>
      </c>
      <c r="V144" s="282">
        <v>1</v>
      </c>
      <c r="W144" s="281">
        <v>0</v>
      </c>
      <c r="X144" s="281">
        <v>0</v>
      </c>
      <c r="Y144" s="264">
        <v>0</v>
      </c>
      <c r="Z144" s="282">
        <v>0</v>
      </c>
      <c r="AA144" s="281">
        <v>4</v>
      </c>
      <c r="AB144" s="281">
        <v>0</v>
      </c>
      <c r="AD144" s="284">
        <v>4</v>
      </c>
      <c r="AE144" s="284">
        <v>3</v>
      </c>
      <c r="AF144" s="284">
        <v>1</v>
      </c>
      <c r="AG144" s="284">
        <v>0</v>
      </c>
      <c r="AH144" s="284">
        <v>0</v>
      </c>
      <c r="AI144" s="284">
        <v>0</v>
      </c>
      <c r="AJ144" s="284">
        <v>4</v>
      </c>
      <c r="AL144" s="285">
        <v>3542107.3008436789</v>
      </c>
      <c r="AM144" s="286">
        <v>0</v>
      </c>
      <c r="AN144" s="287">
        <v>324626.31271274725</v>
      </c>
      <c r="AO144" s="288">
        <v>2964.97</v>
      </c>
      <c r="AP144" s="289">
        <v>3869698.5835564262</v>
      </c>
      <c r="AQ144" s="266"/>
      <c r="AR144" s="285">
        <v>0</v>
      </c>
      <c r="AS144" s="286">
        <v>0</v>
      </c>
      <c r="AT144" s="286">
        <v>0</v>
      </c>
      <c r="AU144" s="290">
        <v>0</v>
      </c>
      <c r="AV144" s="289">
        <v>0</v>
      </c>
      <c r="AW144" s="291">
        <v>3869698.5835564262</v>
      </c>
    </row>
    <row r="145" spans="1:49" x14ac:dyDescent="0.25">
      <c r="A145" s="264">
        <v>2757263</v>
      </c>
      <c r="B145" s="264" t="str">
        <f>VLOOKUP(A145,'Výpočet VP 2020'!$A$4:$B$318,2,FALSE)</f>
        <v>NZO</v>
      </c>
      <c r="C145" s="264" t="s">
        <v>721</v>
      </c>
      <c r="D145" s="264" t="s">
        <v>718</v>
      </c>
      <c r="E145" s="264" t="s">
        <v>1397</v>
      </c>
      <c r="F145" s="264">
        <v>2757263</v>
      </c>
      <c r="G145" s="264" t="s">
        <v>1058</v>
      </c>
      <c r="H145" s="264">
        <v>2019</v>
      </c>
      <c r="I145" s="265"/>
      <c r="J145" s="278"/>
      <c r="K145" s="279"/>
      <c r="L145" s="279"/>
      <c r="M145" s="280"/>
      <c r="N145" s="280"/>
      <c r="O145" s="279">
        <v>3602</v>
      </c>
      <c r="P145" s="281" t="s">
        <v>1122</v>
      </c>
      <c r="Q145" s="264"/>
      <c r="R145" s="282"/>
      <c r="S145" s="281" t="s">
        <v>1733</v>
      </c>
      <c r="T145" s="281">
        <v>1.35</v>
      </c>
      <c r="U145" s="264">
        <v>0.3</v>
      </c>
      <c r="V145" s="282">
        <v>0</v>
      </c>
      <c r="W145" s="281">
        <v>0</v>
      </c>
      <c r="X145" s="281">
        <v>1.05</v>
      </c>
      <c r="Y145" s="264">
        <v>0</v>
      </c>
      <c r="Z145" s="282">
        <v>21</v>
      </c>
      <c r="AA145" s="281">
        <v>0</v>
      </c>
      <c r="AB145" s="281">
        <v>0</v>
      </c>
      <c r="AD145" s="284">
        <v>1.35</v>
      </c>
      <c r="AE145" s="284">
        <v>0.3</v>
      </c>
      <c r="AF145" s="284">
        <v>0</v>
      </c>
      <c r="AG145" s="284">
        <v>0</v>
      </c>
      <c r="AH145" s="284">
        <v>1.05</v>
      </c>
      <c r="AI145" s="284">
        <v>0</v>
      </c>
      <c r="AJ145" s="284">
        <v>0</v>
      </c>
      <c r="AL145" s="285">
        <v>957130.16604430531</v>
      </c>
      <c r="AM145" s="286">
        <v>0</v>
      </c>
      <c r="AN145" s="287">
        <v>112233.17843866171</v>
      </c>
      <c r="AO145" s="288">
        <v>0</v>
      </c>
      <c r="AP145" s="289">
        <v>1069363.3444829669</v>
      </c>
      <c r="AQ145" s="266"/>
      <c r="AR145" s="285">
        <v>0</v>
      </c>
      <c r="AS145" s="286">
        <v>0</v>
      </c>
      <c r="AT145" s="286">
        <v>0</v>
      </c>
      <c r="AU145" s="290">
        <v>0</v>
      </c>
      <c r="AV145" s="289">
        <v>0</v>
      </c>
      <c r="AW145" s="291">
        <v>1069363.3444829669</v>
      </c>
    </row>
    <row r="146" spans="1:49" x14ac:dyDescent="0.25">
      <c r="A146" s="264">
        <v>7832444</v>
      </c>
      <c r="B146" s="264" t="str">
        <f>VLOOKUP(A146,'Výpočet VP 2020'!$A$4:$B$318,2,FALSE)</f>
        <v>NZO</v>
      </c>
      <c r="C146" s="264" t="s">
        <v>1388</v>
      </c>
      <c r="D146" s="264" t="s">
        <v>776</v>
      </c>
      <c r="E146" s="264" t="s">
        <v>1402</v>
      </c>
      <c r="F146" s="264">
        <v>7832444</v>
      </c>
      <c r="G146" s="264" t="s">
        <v>1058</v>
      </c>
      <c r="H146" s="264">
        <v>2019</v>
      </c>
      <c r="I146" s="265"/>
      <c r="J146" s="278"/>
      <c r="K146" s="279">
        <v>965</v>
      </c>
      <c r="L146" s="279"/>
      <c r="M146" s="280"/>
      <c r="N146" s="280"/>
      <c r="O146" s="279"/>
      <c r="P146" s="281" t="s">
        <v>1386</v>
      </c>
      <c r="Q146" s="264"/>
      <c r="R146" s="282"/>
      <c r="S146" s="281">
        <v>44196</v>
      </c>
      <c r="T146" s="281">
        <v>6.89</v>
      </c>
      <c r="U146" s="264">
        <v>2.75</v>
      </c>
      <c r="V146" s="282">
        <v>4.1399999999999997</v>
      </c>
      <c r="W146" s="281">
        <v>0</v>
      </c>
      <c r="X146" s="281">
        <v>0</v>
      </c>
      <c r="Y146" s="264">
        <v>0</v>
      </c>
      <c r="Z146" s="282">
        <v>0</v>
      </c>
      <c r="AA146" s="281">
        <v>30</v>
      </c>
      <c r="AB146" s="281">
        <v>0</v>
      </c>
      <c r="AD146" s="284">
        <v>6.89</v>
      </c>
      <c r="AE146" s="284">
        <v>2.75</v>
      </c>
      <c r="AF146" s="284">
        <v>4.1399999999999997</v>
      </c>
      <c r="AG146" s="284">
        <v>0</v>
      </c>
      <c r="AH146" s="284">
        <v>0</v>
      </c>
      <c r="AI146" s="284">
        <v>0</v>
      </c>
      <c r="AJ146" s="284">
        <v>30</v>
      </c>
      <c r="AL146" s="285">
        <v>3887299.2231047861</v>
      </c>
      <c r="AM146" s="286">
        <v>0</v>
      </c>
      <c r="AN146" s="287">
        <v>585481.31447184074</v>
      </c>
      <c r="AO146" s="288">
        <v>0</v>
      </c>
      <c r="AP146" s="289">
        <v>4472780.537576627</v>
      </c>
      <c r="AQ146" s="266"/>
      <c r="AR146" s="285">
        <v>0</v>
      </c>
      <c r="AS146" s="286">
        <v>0</v>
      </c>
      <c r="AT146" s="286">
        <v>0</v>
      </c>
      <c r="AU146" s="290">
        <v>0</v>
      </c>
      <c r="AV146" s="289">
        <v>0</v>
      </c>
      <c r="AW146" s="291">
        <v>4472780.537576627</v>
      </c>
    </row>
    <row r="147" spans="1:49" x14ac:dyDescent="0.25">
      <c r="A147" s="264">
        <v>8102124</v>
      </c>
      <c r="B147" s="264" t="str">
        <f>VLOOKUP(A147,'Výpočet VP 2020'!$A$4:$B$318,2,FALSE)</f>
        <v>NZO</v>
      </c>
      <c r="C147" s="264" t="s">
        <v>1418</v>
      </c>
      <c r="D147" s="264" t="s">
        <v>553</v>
      </c>
      <c r="E147" s="264" t="s">
        <v>1417</v>
      </c>
      <c r="F147" s="264">
        <v>8102124</v>
      </c>
      <c r="G147" s="264" t="s">
        <v>1134</v>
      </c>
      <c r="H147" s="264">
        <v>2019</v>
      </c>
      <c r="I147" s="265"/>
      <c r="J147" s="278"/>
      <c r="K147" s="279"/>
      <c r="L147" s="279"/>
      <c r="M147" s="280"/>
      <c r="N147" s="280">
        <v>2534</v>
      </c>
      <c r="O147" s="279"/>
      <c r="P147" s="281" t="s">
        <v>1407</v>
      </c>
      <c r="Q147" s="264"/>
      <c r="R147" s="282"/>
      <c r="S147" s="281" t="s">
        <v>1733</v>
      </c>
      <c r="T147" s="281">
        <v>1.6</v>
      </c>
      <c r="U147" s="264">
        <v>1.3</v>
      </c>
      <c r="V147" s="282">
        <v>0.3</v>
      </c>
      <c r="W147" s="281">
        <v>0</v>
      </c>
      <c r="X147" s="281">
        <v>0</v>
      </c>
      <c r="Y147" s="264">
        <v>0</v>
      </c>
      <c r="Z147" s="282">
        <v>0</v>
      </c>
      <c r="AA147" s="281">
        <v>25</v>
      </c>
      <c r="AB147" s="281">
        <v>0</v>
      </c>
      <c r="AD147" s="284">
        <v>1.6</v>
      </c>
      <c r="AE147" s="284">
        <v>1.3</v>
      </c>
      <c r="AF147" s="284">
        <v>0.3</v>
      </c>
      <c r="AG147" s="284">
        <v>0</v>
      </c>
      <c r="AH147" s="284">
        <v>0</v>
      </c>
      <c r="AI147" s="284">
        <v>0</v>
      </c>
      <c r="AJ147" s="284">
        <v>25</v>
      </c>
      <c r="AL147" s="285">
        <v>919724.96890516346</v>
      </c>
      <c r="AM147" s="286">
        <v>0</v>
      </c>
      <c r="AN147" s="287">
        <v>88554.25378219597</v>
      </c>
      <c r="AO147" s="288">
        <v>0</v>
      </c>
      <c r="AP147" s="289">
        <v>1008279.2226873594</v>
      </c>
      <c r="AQ147" s="266"/>
      <c r="AR147" s="285">
        <v>0</v>
      </c>
      <c r="AS147" s="286">
        <v>0</v>
      </c>
      <c r="AT147" s="286">
        <v>0</v>
      </c>
      <c r="AU147" s="290">
        <v>0</v>
      </c>
      <c r="AV147" s="289">
        <v>0</v>
      </c>
      <c r="AW147" s="291">
        <v>1008279.2226873594</v>
      </c>
    </row>
    <row r="148" spans="1:49" x14ac:dyDescent="0.25">
      <c r="A148" s="264">
        <v>1738957</v>
      </c>
      <c r="B148" s="264" t="str">
        <f>VLOOKUP(A148,'Výpočet VP 2020'!$A$4:$B$318,2,FALSE)</f>
        <v>NZO</v>
      </c>
      <c r="C148" s="264" t="s">
        <v>1406</v>
      </c>
      <c r="D148" s="264" t="s">
        <v>805</v>
      </c>
      <c r="E148" s="264" t="s">
        <v>1404</v>
      </c>
      <c r="F148" s="264">
        <v>1738957</v>
      </c>
      <c r="G148" s="264" t="s">
        <v>1142</v>
      </c>
      <c r="H148" s="264">
        <v>2019</v>
      </c>
      <c r="I148" s="265"/>
      <c r="J148" s="278"/>
      <c r="K148" s="279"/>
      <c r="L148" s="279"/>
      <c r="M148" s="280"/>
      <c r="N148" s="280">
        <v>2160</v>
      </c>
      <c r="O148" s="279"/>
      <c r="P148" s="281" t="s">
        <v>1407</v>
      </c>
      <c r="Q148" s="264"/>
      <c r="R148" s="282"/>
      <c r="S148" s="281" t="s">
        <v>1733</v>
      </c>
      <c r="T148" s="281">
        <v>2</v>
      </c>
      <c r="U148" s="264">
        <v>2</v>
      </c>
      <c r="V148" s="282">
        <v>0</v>
      </c>
      <c r="W148" s="281">
        <v>0</v>
      </c>
      <c r="X148" s="281">
        <v>0</v>
      </c>
      <c r="Y148" s="264">
        <v>0</v>
      </c>
      <c r="Z148" s="282">
        <v>0</v>
      </c>
      <c r="AA148" s="281">
        <v>20</v>
      </c>
      <c r="AB148" s="281">
        <v>0</v>
      </c>
      <c r="AD148" s="284">
        <v>2</v>
      </c>
      <c r="AE148" s="284">
        <v>2</v>
      </c>
      <c r="AF148" s="284">
        <v>0</v>
      </c>
      <c r="AG148" s="284">
        <v>0</v>
      </c>
      <c r="AH148" s="284">
        <v>0</v>
      </c>
      <c r="AI148" s="284">
        <v>0</v>
      </c>
      <c r="AJ148" s="284">
        <v>20</v>
      </c>
      <c r="AL148" s="285">
        <v>1149656.2111314542</v>
      </c>
      <c r="AM148" s="286">
        <v>0</v>
      </c>
      <c r="AN148" s="287">
        <v>110692.81722774495</v>
      </c>
      <c r="AO148" s="288">
        <v>0</v>
      </c>
      <c r="AP148" s="289">
        <v>1260349.0283591992</v>
      </c>
      <c r="AQ148" s="266"/>
      <c r="AR148" s="285">
        <v>0</v>
      </c>
      <c r="AS148" s="286">
        <v>0</v>
      </c>
      <c r="AT148" s="286">
        <v>0</v>
      </c>
      <c r="AU148" s="290">
        <v>0</v>
      </c>
      <c r="AV148" s="289">
        <v>0</v>
      </c>
      <c r="AW148" s="291">
        <v>1260349.0283591992</v>
      </c>
    </row>
    <row r="149" spans="1:49" x14ac:dyDescent="0.25">
      <c r="A149" s="264">
        <v>8411392</v>
      </c>
      <c r="B149" s="264" t="str">
        <f>VLOOKUP(A149,'Výpočet VP 2020'!$A$4:$B$318,2,FALSE)</f>
        <v>NZO</v>
      </c>
      <c r="C149" s="264" t="s">
        <v>1421</v>
      </c>
      <c r="D149" s="264" t="s">
        <v>909</v>
      </c>
      <c r="E149" s="264" t="s">
        <v>1420</v>
      </c>
      <c r="F149" s="264">
        <v>8411392</v>
      </c>
      <c r="G149" s="264" t="s">
        <v>1058</v>
      </c>
      <c r="H149" s="264">
        <v>2019</v>
      </c>
      <c r="I149" s="265"/>
      <c r="J149" s="278"/>
      <c r="K149" s="279"/>
      <c r="L149" s="279"/>
      <c r="M149" s="280"/>
      <c r="N149" s="280">
        <v>2046</v>
      </c>
      <c r="O149" s="279"/>
      <c r="P149" s="281" t="s">
        <v>1407</v>
      </c>
      <c r="Q149" s="264"/>
      <c r="R149" s="282">
        <v>43647</v>
      </c>
      <c r="S149" s="281" t="s">
        <v>1733</v>
      </c>
      <c r="T149" s="281">
        <v>6.5</v>
      </c>
      <c r="U149" s="264">
        <v>6.25</v>
      </c>
      <c r="V149" s="282">
        <v>0.25</v>
      </c>
      <c r="W149" s="281">
        <v>0</v>
      </c>
      <c r="X149" s="281">
        <v>0</v>
      </c>
      <c r="Y149" s="264">
        <v>0</v>
      </c>
      <c r="Z149" s="282">
        <v>0</v>
      </c>
      <c r="AA149" s="281">
        <v>57</v>
      </c>
      <c r="AB149" s="281">
        <v>0</v>
      </c>
      <c r="AD149" s="284">
        <v>6.5</v>
      </c>
      <c r="AE149" s="284">
        <v>6.25</v>
      </c>
      <c r="AF149" s="284">
        <v>0.25</v>
      </c>
      <c r="AG149" s="284">
        <v>0</v>
      </c>
      <c r="AH149" s="284">
        <v>0</v>
      </c>
      <c r="AI149" s="284">
        <v>0</v>
      </c>
      <c r="AJ149" s="284">
        <v>57</v>
      </c>
      <c r="AL149" s="285">
        <v>3736382.6861772262</v>
      </c>
      <c r="AM149" s="286">
        <v>0</v>
      </c>
      <c r="AN149" s="287">
        <v>359751.65599017107</v>
      </c>
      <c r="AO149" s="288">
        <v>0</v>
      </c>
      <c r="AP149" s="289">
        <v>4096134.3421673975</v>
      </c>
      <c r="AQ149" s="266"/>
      <c r="AR149" s="285">
        <v>0</v>
      </c>
      <c r="AS149" s="286">
        <v>0</v>
      </c>
      <c r="AT149" s="286">
        <v>0</v>
      </c>
      <c r="AU149" s="290">
        <v>0</v>
      </c>
      <c r="AV149" s="289">
        <v>0</v>
      </c>
      <c r="AW149" s="291">
        <v>4096134.3421673975</v>
      </c>
    </row>
    <row r="150" spans="1:49" x14ac:dyDescent="0.25">
      <c r="A150" s="264">
        <v>2174839</v>
      </c>
      <c r="B150" s="264" t="str">
        <f>VLOOKUP(A150,'Výpočet VP 2020'!$A$4:$B$318,2,FALSE)</f>
        <v>NZO</v>
      </c>
      <c r="C150" s="264" t="s">
        <v>899</v>
      </c>
      <c r="D150" s="264" t="s">
        <v>897</v>
      </c>
      <c r="E150" s="264" t="s">
        <v>1408</v>
      </c>
      <c r="F150" s="264">
        <v>2174839</v>
      </c>
      <c r="G150" s="264" t="s">
        <v>1058</v>
      </c>
      <c r="H150" s="264">
        <v>2019</v>
      </c>
      <c r="I150" s="265"/>
      <c r="J150" s="278"/>
      <c r="K150" s="279"/>
      <c r="L150" s="279"/>
      <c r="M150" s="280"/>
      <c r="N150" s="280">
        <v>2046</v>
      </c>
      <c r="O150" s="279"/>
      <c r="P150" s="281" t="s">
        <v>1407</v>
      </c>
      <c r="Q150" s="264"/>
      <c r="R150" s="282"/>
      <c r="S150" s="281" t="s">
        <v>1733</v>
      </c>
      <c r="T150" s="281">
        <v>5</v>
      </c>
      <c r="U150" s="264">
        <v>5</v>
      </c>
      <c r="V150" s="282">
        <v>0</v>
      </c>
      <c r="W150" s="281">
        <v>0</v>
      </c>
      <c r="X150" s="281">
        <v>0</v>
      </c>
      <c r="Y150" s="264">
        <v>0</v>
      </c>
      <c r="Z150" s="282">
        <v>0</v>
      </c>
      <c r="AA150" s="281">
        <v>20</v>
      </c>
      <c r="AB150" s="281">
        <v>0</v>
      </c>
      <c r="AD150" s="284">
        <v>5</v>
      </c>
      <c r="AE150" s="284">
        <v>5</v>
      </c>
      <c r="AF150" s="284">
        <v>0</v>
      </c>
      <c r="AG150" s="284">
        <v>0</v>
      </c>
      <c r="AH150" s="284">
        <v>0</v>
      </c>
      <c r="AI150" s="284">
        <v>0</v>
      </c>
      <c r="AJ150" s="284">
        <v>20</v>
      </c>
      <c r="AL150" s="285">
        <v>2874140.5278286356</v>
      </c>
      <c r="AM150" s="286">
        <v>0</v>
      </c>
      <c r="AN150" s="287">
        <v>276732.04306936235</v>
      </c>
      <c r="AO150" s="288">
        <v>0</v>
      </c>
      <c r="AP150" s="289">
        <v>3150872.5708979978</v>
      </c>
      <c r="AQ150" s="266"/>
      <c r="AR150" s="285">
        <v>0</v>
      </c>
      <c r="AS150" s="286">
        <v>0</v>
      </c>
      <c r="AT150" s="286">
        <v>0</v>
      </c>
      <c r="AU150" s="290">
        <v>0</v>
      </c>
      <c r="AV150" s="289">
        <v>0</v>
      </c>
      <c r="AW150" s="291">
        <v>3150872.5708979978</v>
      </c>
    </row>
    <row r="151" spans="1:49" x14ac:dyDescent="0.25">
      <c r="A151" s="264">
        <v>2315315</v>
      </c>
      <c r="B151" s="264" t="str">
        <f>VLOOKUP(A151,'Výpočet VP 2020'!$A$4:$B$318,2,FALSE)</f>
        <v>NZO</v>
      </c>
      <c r="C151" s="264" t="s">
        <v>1411</v>
      </c>
      <c r="D151" s="264" t="s">
        <v>805</v>
      </c>
      <c r="E151" s="264" t="s">
        <v>1410</v>
      </c>
      <c r="F151" s="264">
        <v>2315315</v>
      </c>
      <c r="G151" s="264" t="s">
        <v>1068</v>
      </c>
      <c r="H151" s="264">
        <v>2019</v>
      </c>
      <c r="I151" s="265"/>
      <c r="J151" s="278"/>
      <c r="K151" s="279"/>
      <c r="L151" s="279"/>
      <c r="M151" s="280"/>
      <c r="N151" s="280">
        <v>2178</v>
      </c>
      <c r="O151" s="279"/>
      <c r="P151" s="281" t="s">
        <v>1407</v>
      </c>
      <c r="Q151" s="264"/>
      <c r="R151" s="282"/>
      <c r="S151" s="281" t="s">
        <v>1733</v>
      </c>
      <c r="T151" s="281">
        <v>2</v>
      </c>
      <c r="U151" s="264">
        <v>2</v>
      </c>
      <c r="V151" s="282">
        <v>0</v>
      </c>
      <c r="W151" s="281">
        <v>0</v>
      </c>
      <c r="X151" s="281">
        <v>0</v>
      </c>
      <c r="Y151" s="264">
        <v>0</v>
      </c>
      <c r="Z151" s="282">
        <v>0</v>
      </c>
      <c r="AA151" s="281">
        <v>20</v>
      </c>
      <c r="AB151" s="281">
        <v>0</v>
      </c>
      <c r="AD151" s="284">
        <v>2</v>
      </c>
      <c r="AE151" s="284">
        <v>2</v>
      </c>
      <c r="AF151" s="284">
        <v>0</v>
      </c>
      <c r="AG151" s="284">
        <v>0</v>
      </c>
      <c r="AH151" s="284">
        <v>0</v>
      </c>
      <c r="AI151" s="284">
        <v>0</v>
      </c>
      <c r="AJ151" s="284">
        <v>20</v>
      </c>
      <c r="AL151" s="285">
        <v>1149656.2111314542</v>
      </c>
      <c r="AM151" s="286">
        <v>0</v>
      </c>
      <c r="AN151" s="287">
        <v>110692.81722774495</v>
      </c>
      <c r="AO151" s="288">
        <v>0</v>
      </c>
      <c r="AP151" s="289">
        <v>1260349.0283591992</v>
      </c>
      <c r="AQ151" s="266"/>
      <c r="AR151" s="285">
        <v>0</v>
      </c>
      <c r="AS151" s="286">
        <v>0</v>
      </c>
      <c r="AT151" s="286">
        <v>0</v>
      </c>
      <c r="AU151" s="290">
        <v>0</v>
      </c>
      <c r="AV151" s="289">
        <v>0</v>
      </c>
      <c r="AW151" s="291">
        <v>1260349.0283591992</v>
      </c>
    </row>
    <row r="152" spans="1:49" x14ac:dyDescent="0.25">
      <c r="A152" s="264">
        <v>6607461</v>
      </c>
      <c r="B152" s="264" t="str">
        <f>VLOOKUP(A152,'Výpočet VP 2020'!$A$4:$B$318,2,FALSE)</f>
        <v>NZO</v>
      </c>
      <c r="C152" s="264" t="s">
        <v>810</v>
      </c>
      <c r="D152" s="264" t="s">
        <v>805</v>
      </c>
      <c r="E152" s="264" t="s">
        <v>1414</v>
      </c>
      <c r="F152" s="264">
        <v>6607461</v>
      </c>
      <c r="G152" s="264" t="s">
        <v>1144</v>
      </c>
      <c r="H152" s="264">
        <v>2019</v>
      </c>
      <c r="I152" s="265"/>
      <c r="J152" s="278"/>
      <c r="K152" s="279"/>
      <c r="L152" s="279"/>
      <c r="M152" s="280"/>
      <c r="N152" s="280">
        <v>2208</v>
      </c>
      <c r="O152" s="279"/>
      <c r="P152" s="281" t="s">
        <v>1407</v>
      </c>
      <c r="Q152" s="264"/>
      <c r="R152" s="282"/>
      <c r="S152" s="281" t="s">
        <v>1733</v>
      </c>
      <c r="T152" s="281">
        <v>2</v>
      </c>
      <c r="U152" s="264">
        <v>2</v>
      </c>
      <c r="V152" s="282">
        <v>0</v>
      </c>
      <c r="W152" s="281">
        <v>0</v>
      </c>
      <c r="X152" s="281">
        <v>0</v>
      </c>
      <c r="Y152" s="264">
        <v>0</v>
      </c>
      <c r="Z152" s="282">
        <v>0</v>
      </c>
      <c r="AA152" s="281">
        <v>20</v>
      </c>
      <c r="AB152" s="281">
        <v>0</v>
      </c>
      <c r="AD152" s="284">
        <v>2</v>
      </c>
      <c r="AE152" s="284">
        <v>2</v>
      </c>
      <c r="AF152" s="284">
        <v>0</v>
      </c>
      <c r="AG152" s="284">
        <v>0</v>
      </c>
      <c r="AH152" s="284">
        <v>0</v>
      </c>
      <c r="AI152" s="284">
        <v>0</v>
      </c>
      <c r="AJ152" s="284">
        <v>20</v>
      </c>
      <c r="AL152" s="285">
        <v>1149656.2111314542</v>
      </c>
      <c r="AM152" s="286">
        <v>0</v>
      </c>
      <c r="AN152" s="287">
        <v>110692.81722774495</v>
      </c>
      <c r="AO152" s="288">
        <v>0</v>
      </c>
      <c r="AP152" s="289">
        <v>1260349.0283591992</v>
      </c>
      <c r="AQ152" s="266"/>
      <c r="AR152" s="285">
        <v>0</v>
      </c>
      <c r="AS152" s="286">
        <v>0</v>
      </c>
      <c r="AT152" s="286">
        <v>0</v>
      </c>
      <c r="AU152" s="290">
        <v>0</v>
      </c>
      <c r="AV152" s="289">
        <v>0</v>
      </c>
      <c r="AW152" s="291">
        <v>1260349.0283591992</v>
      </c>
    </row>
    <row r="153" spans="1:49" x14ac:dyDescent="0.25">
      <c r="A153" s="264">
        <v>8350990</v>
      </c>
      <c r="B153" s="264" t="str">
        <f>VLOOKUP(A153,'Výpočet VP 2020'!$A$4:$B$318,2,FALSE)</f>
        <v>NZO</v>
      </c>
      <c r="C153" s="264" t="s">
        <v>846</v>
      </c>
      <c r="D153" s="264" t="s">
        <v>842</v>
      </c>
      <c r="E153" s="264" t="s">
        <v>1419</v>
      </c>
      <c r="F153" s="264">
        <v>8350990</v>
      </c>
      <c r="G153" s="264" t="s">
        <v>1063</v>
      </c>
      <c r="H153" s="264">
        <v>2019</v>
      </c>
      <c r="I153" s="265"/>
      <c r="J153" s="278"/>
      <c r="K153" s="279"/>
      <c r="L153" s="279"/>
      <c r="M153" s="280"/>
      <c r="N153" s="280">
        <v>2402</v>
      </c>
      <c r="O153" s="279"/>
      <c r="P153" s="281" t="s">
        <v>1407</v>
      </c>
      <c r="Q153" s="264"/>
      <c r="R153" s="282"/>
      <c r="S153" s="281" t="s">
        <v>1733</v>
      </c>
      <c r="T153" s="281">
        <v>2.5</v>
      </c>
      <c r="U153" s="264">
        <v>1</v>
      </c>
      <c r="V153" s="282">
        <v>1.5</v>
      </c>
      <c r="W153" s="281">
        <v>0</v>
      </c>
      <c r="X153" s="281">
        <v>0</v>
      </c>
      <c r="Y153" s="264">
        <v>0</v>
      </c>
      <c r="Z153" s="282">
        <v>0</v>
      </c>
      <c r="AA153" s="281">
        <v>40</v>
      </c>
      <c r="AB153" s="281">
        <v>0</v>
      </c>
      <c r="AD153" s="284">
        <v>2.5</v>
      </c>
      <c r="AE153" s="284">
        <v>1</v>
      </c>
      <c r="AF153" s="284">
        <v>1.5</v>
      </c>
      <c r="AG153" s="284">
        <v>0</v>
      </c>
      <c r="AH153" s="284">
        <v>0</v>
      </c>
      <c r="AI153" s="284">
        <v>0</v>
      </c>
      <c r="AJ153" s="284">
        <v>40</v>
      </c>
      <c r="AL153" s="285">
        <v>1437070.2639143178</v>
      </c>
      <c r="AM153" s="286">
        <v>0</v>
      </c>
      <c r="AN153" s="287">
        <v>138366.02153468117</v>
      </c>
      <c r="AO153" s="288">
        <v>0</v>
      </c>
      <c r="AP153" s="289">
        <v>1575436.2854489989</v>
      </c>
      <c r="AQ153" s="266"/>
      <c r="AR153" s="285">
        <v>0</v>
      </c>
      <c r="AS153" s="286">
        <v>0</v>
      </c>
      <c r="AT153" s="286">
        <v>0</v>
      </c>
      <c r="AU153" s="290">
        <v>0</v>
      </c>
      <c r="AV153" s="289">
        <v>0</v>
      </c>
      <c r="AW153" s="291">
        <v>1575436.2854489989</v>
      </c>
    </row>
    <row r="154" spans="1:49" x14ac:dyDescent="0.25">
      <c r="A154" s="264">
        <v>1968420</v>
      </c>
      <c r="B154" s="264" t="str">
        <f>VLOOKUP(A154,'Výpočet VP 2020'!$A$4:$B$318,2,FALSE)</f>
        <v>NZO</v>
      </c>
      <c r="C154" s="264" t="s">
        <v>1388</v>
      </c>
      <c r="D154" s="264" t="s">
        <v>776</v>
      </c>
      <c r="E154" s="264" t="s">
        <v>1424</v>
      </c>
      <c r="F154" s="264">
        <v>1968420</v>
      </c>
      <c r="G154" s="264" t="s">
        <v>1058</v>
      </c>
      <c r="H154" s="264">
        <v>2019</v>
      </c>
      <c r="I154" s="265"/>
      <c r="J154" s="278"/>
      <c r="K154" s="279">
        <v>965</v>
      </c>
      <c r="L154" s="279"/>
      <c r="M154" s="280"/>
      <c r="N154" s="280"/>
      <c r="O154" s="279"/>
      <c r="P154" s="281" t="s">
        <v>1386</v>
      </c>
      <c r="Q154" s="264"/>
      <c r="R154" s="282"/>
      <c r="S154" s="281" t="s">
        <v>1733</v>
      </c>
      <c r="T154" s="281">
        <v>6.11</v>
      </c>
      <c r="U154" s="264">
        <v>0.25</v>
      </c>
      <c r="V154" s="282">
        <v>5.86</v>
      </c>
      <c r="W154" s="281">
        <v>0</v>
      </c>
      <c r="X154" s="281">
        <v>0</v>
      </c>
      <c r="Y154" s="264">
        <v>67</v>
      </c>
      <c r="Z154" s="282">
        <v>0</v>
      </c>
      <c r="AA154" s="281">
        <v>77</v>
      </c>
      <c r="AB154" s="281">
        <v>0</v>
      </c>
      <c r="AD154" s="284">
        <v>6.11</v>
      </c>
      <c r="AE154" s="284">
        <v>0.25</v>
      </c>
      <c r="AF154" s="284">
        <v>5.86</v>
      </c>
      <c r="AG154" s="284">
        <v>0</v>
      </c>
      <c r="AH154" s="284">
        <v>0</v>
      </c>
      <c r="AI154" s="284">
        <v>67</v>
      </c>
      <c r="AJ154" s="284">
        <v>77</v>
      </c>
      <c r="AL154" s="285">
        <v>4145336.0847655567</v>
      </c>
      <c r="AM154" s="286">
        <v>0</v>
      </c>
      <c r="AN154" s="287">
        <v>1434371.8254121093</v>
      </c>
      <c r="AO154" s="288">
        <v>0</v>
      </c>
      <c r="AP154" s="289">
        <v>5579707.9101776658</v>
      </c>
      <c r="AQ154" s="266"/>
      <c r="AR154" s="285">
        <v>0</v>
      </c>
      <c r="AS154" s="286">
        <v>0</v>
      </c>
      <c r="AT154" s="286">
        <v>468464</v>
      </c>
      <c r="AU154" s="290">
        <v>0</v>
      </c>
      <c r="AV154" s="289">
        <v>468464</v>
      </c>
      <c r="AW154" s="291">
        <v>5111243.9101776658</v>
      </c>
    </row>
    <row r="155" spans="1:49" x14ac:dyDescent="0.25">
      <c r="A155" s="264">
        <v>3454870</v>
      </c>
      <c r="B155" s="353" t="s">
        <v>1770</v>
      </c>
      <c r="C155" s="264" t="s">
        <v>594</v>
      </c>
      <c r="D155" s="264" t="s">
        <v>1056</v>
      </c>
      <c r="E155" s="264" t="s">
        <v>1745</v>
      </c>
      <c r="F155" s="264">
        <v>3454870</v>
      </c>
      <c r="G155" s="264" t="s">
        <v>1087</v>
      </c>
      <c r="H155" s="264">
        <v>2019</v>
      </c>
      <c r="I155" s="265"/>
      <c r="J155" s="278"/>
      <c r="K155" s="279"/>
      <c r="L155" s="279"/>
      <c r="M155" s="280">
        <v>86</v>
      </c>
      <c r="N155" s="280"/>
      <c r="O155" s="279"/>
      <c r="P155" s="281" t="s">
        <v>1059</v>
      </c>
      <c r="Q155" s="264"/>
      <c r="R155" s="282"/>
      <c r="S155" s="281">
        <v>44377</v>
      </c>
      <c r="T155" s="281">
        <v>0</v>
      </c>
      <c r="U155" s="264">
        <v>0</v>
      </c>
      <c r="V155" s="282">
        <v>0</v>
      </c>
      <c r="W155" s="281">
        <v>0</v>
      </c>
      <c r="X155" s="281">
        <v>0</v>
      </c>
      <c r="Y155" s="264">
        <v>0</v>
      </c>
      <c r="Z155" s="282">
        <v>0</v>
      </c>
      <c r="AA155" s="281">
        <v>0</v>
      </c>
      <c r="AB155" s="281">
        <v>0</v>
      </c>
      <c r="AD155" s="284">
        <v>0</v>
      </c>
      <c r="AE155" s="284">
        <v>0</v>
      </c>
      <c r="AF155" s="284">
        <v>0</v>
      </c>
      <c r="AG155" s="284">
        <v>0</v>
      </c>
      <c r="AH155" s="284">
        <v>0</v>
      </c>
      <c r="AI155" s="284">
        <v>0</v>
      </c>
      <c r="AJ155" s="284">
        <v>0</v>
      </c>
      <c r="AL155" s="285">
        <v>0</v>
      </c>
      <c r="AM155" s="286">
        <v>0</v>
      </c>
      <c r="AN155" s="287">
        <v>0</v>
      </c>
      <c r="AO155" s="288">
        <v>0</v>
      </c>
      <c r="AP155" s="289">
        <v>0</v>
      </c>
      <c r="AQ155" s="266"/>
      <c r="AR155" s="285">
        <v>0</v>
      </c>
      <c r="AS155" s="286">
        <v>0</v>
      </c>
      <c r="AT155" s="286">
        <v>0</v>
      </c>
      <c r="AU155" s="290">
        <v>0</v>
      </c>
      <c r="AV155" s="289">
        <v>0</v>
      </c>
      <c r="AW155" s="291">
        <v>0</v>
      </c>
    </row>
    <row r="156" spans="1:49" x14ac:dyDescent="0.25">
      <c r="A156" s="264">
        <v>5369609</v>
      </c>
      <c r="B156" s="264" t="str">
        <f>VLOOKUP(A156,'Výpočet VP 2020'!$A$4:$B$318,2,FALSE)</f>
        <v>NZO</v>
      </c>
      <c r="C156" s="264" t="s">
        <v>1020</v>
      </c>
      <c r="D156" s="264" t="s">
        <v>1018</v>
      </c>
      <c r="E156" s="264" t="s">
        <v>1437</v>
      </c>
      <c r="F156" s="264">
        <v>5369609</v>
      </c>
      <c r="G156" s="264" t="s">
        <v>1192</v>
      </c>
      <c r="H156" s="264">
        <v>2019</v>
      </c>
      <c r="I156" s="265"/>
      <c r="J156" s="278"/>
      <c r="K156" s="279">
        <v>1031</v>
      </c>
      <c r="L156" s="279"/>
      <c r="M156" s="280"/>
      <c r="N156" s="280"/>
      <c r="O156" s="279"/>
      <c r="P156" s="281" t="s">
        <v>1428</v>
      </c>
      <c r="Q156" s="264"/>
      <c r="R156" s="282"/>
      <c r="S156" s="281">
        <v>44196</v>
      </c>
      <c r="T156" s="281">
        <v>3.5</v>
      </c>
      <c r="U156" s="264">
        <v>1.5</v>
      </c>
      <c r="V156" s="282">
        <v>2</v>
      </c>
      <c r="W156" s="281">
        <v>0</v>
      </c>
      <c r="X156" s="281">
        <v>0</v>
      </c>
      <c r="Y156" s="264">
        <v>0</v>
      </c>
      <c r="Z156" s="282">
        <v>120</v>
      </c>
      <c r="AA156" s="281">
        <v>0</v>
      </c>
      <c r="AB156" s="281">
        <v>0</v>
      </c>
      <c r="AD156" s="284">
        <v>3.5</v>
      </c>
      <c r="AE156" s="284">
        <v>1.5</v>
      </c>
      <c r="AF156" s="284">
        <v>2</v>
      </c>
      <c r="AG156" s="284">
        <v>0</v>
      </c>
      <c r="AH156" s="284">
        <v>0</v>
      </c>
      <c r="AI156" s="284">
        <v>0</v>
      </c>
      <c r="AJ156" s="284">
        <v>0</v>
      </c>
      <c r="AL156" s="285">
        <v>2256354.7978770244</v>
      </c>
      <c r="AM156" s="286">
        <v>0</v>
      </c>
      <c r="AN156" s="287">
        <v>153890.70636364134</v>
      </c>
      <c r="AO156" s="288">
        <v>0</v>
      </c>
      <c r="AP156" s="289">
        <v>2410245.5042406656</v>
      </c>
      <c r="AQ156" s="266"/>
      <c r="AR156" s="285">
        <v>0</v>
      </c>
      <c r="AS156" s="286">
        <v>0</v>
      </c>
      <c r="AT156" s="286">
        <v>0</v>
      </c>
      <c r="AU156" s="290">
        <v>0</v>
      </c>
      <c r="AV156" s="289">
        <v>0</v>
      </c>
      <c r="AW156" s="291">
        <v>2410245.5042406656</v>
      </c>
    </row>
    <row r="157" spans="1:49" x14ac:dyDescent="0.25">
      <c r="A157" s="264">
        <v>4526227</v>
      </c>
      <c r="B157" s="264" t="str">
        <f>VLOOKUP(A157,'Výpočet VP 2020'!$A$4:$B$318,2,FALSE)</f>
        <v>NZO</v>
      </c>
      <c r="C157" s="264" t="s">
        <v>1433</v>
      </c>
      <c r="D157" s="264" t="s">
        <v>553</v>
      </c>
      <c r="E157" s="264" t="s">
        <v>1432</v>
      </c>
      <c r="F157" s="264">
        <v>4526227</v>
      </c>
      <c r="G157" s="264" t="s">
        <v>1134</v>
      </c>
      <c r="H157" s="264">
        <v>2019</v>
      </c>
      <c r="I157" s="265"/>
      <c r="J157" s="278"/>
      <c r="K157" s="279">
        <v>1201</v>
      </c>
      <c r="L157" s="279"/>
      <c r="M157" s="280"/>
      <c r="N157" s="280"/>
      <c r="O157" s="279"/>
      <c r="P157" s="281" t="s">
        <v>1428</v>
      </c>
      <c r="Q157" s="264"/>
      <c r="R157" s="282"/>
      <c r="S157" s="281">
        <v>44196</v>
      </c>
      <c r="T157" s="281">
        <v>2.95</v>
      </c>
      <c r="U157" s="264">
        <v>1.5</v>
      </c>
      <c r="V157" s="282">
        <v>1.45</v>
      </c>
      <c r="W157" s="281">
        <v>0</v>
      </c>
      <c r="X157" s="281">
        <v>0</v>
      </c>
      <c r="Y157" s="264">
        <v>0</v>
      </c>
      <c r="Z157" s="282">
        <v>29</v>
      </c>
      <c r="AA157" s="281">
        <v>0</v>
      </c>
      <c r="AB157" s="281">
        <v>0</v>
      </c>
      <c r="AD157" s="284">
        <v>2.95</v>
      </c>
      <c r="AE157" s="284">
        <v>1.5</v>
      </c>
      <c r="AF157" s="284">
        <v>1.45</v>
      </c>
      <c r="AG157" s="284">
        <v>0</v>
      </c>
      <c r="AH157" s="284">
        <v>0</v>
      </c>
      <c r="AI157" s="284">
        <v>0</v>
      </c>
      <c r="AJ157" s="284">
        <v>0</v>
      </c>
      <c r="AL157" s="285">
        <v>1901784.758210635</v>
      </c>
      <c r="AM157" s="286">
        <v>0</v>
      </c>
      <c r="AN157" s="287">
        <v>129707.88107792627</v>
      </c>
      <c r="AO157" s="288">
        <v>0</v>
      </c>
      <c r="AP157" s="289">
        <v>2031492.6392885614</v>
      </c>
      <c r="AQ157" s="266"/>
      <c r="AR157" s="285">
        <v>0</v>
      </c>
      <c r="AS157" s="286">
        <v>0</v>
      </c>
      <c r="AT157" s="286">
        <v>0</v>
      </c>
      <c r="AU157" s="290">
        <v>0</v>
      </c>
      <c r="AV157" s="289">
        <v>0</v>
      </c>
      <c r="AW157" s="291">
        <v>2031492.6392885614</v>
      </c>
    </row>
    <row r="158" spans="1:49" x14ac:dyDescent="0.25">
      <c r="A158" s="264">
        <v>9659243</v>
      </c>
      <c r="B158" s="264" t="str">
        <f>VLOOKUP(A158,'Výpočet VP 2020'!$A$4:$B$318,2,FALSE)</f>
        <v>NZO</v>
      </c>
      <c r="C158" s="264" t="s">
        <v>918</v>
      </c>
      <c r="D158" s="264" t="s">
        <v>909</v>
      </c>
      <c r="E158" s="264" t="s">
        <v>1443</v>
      </c>
      <c r="F158" s="264">
        <v>9659243</v>
      </c>
      <c r="G158" s="264" t="s">
        <v>1058</v>
      </c>
      <c r="H158" s="264">
        <v>2019</v>
      </c>
      <c r="I158" s="265"/>
      <c r="J158" s="278"/>
      <c r="K158" s="279"/>
      <c r="L158" s="279"/>
      <c r="M158" s="280"/>
      <c r="N158" s="280"/>
      <c r="O158" s="279">
        <v>3602</v>
      </c>
      <c r="P158" s="281" t="s">
        <v>1407</v>
      </c>
      <c r="Q158" s="264"/>
      <c r="R158" s="282">
        <v>43647</v>
      </c>
      <c r="S158" s="281">
        <v>44377</v>
      </c>
      <c r="T158" s="281">
        <v>0</v>
      </c>
      <c r="U158" s="264">
        <v>0</v>
      </c>
      <c r="V158" s="282">
        <v>0</v>
      </c>
      <c r="W158" s="281">
        <v>0</v>
      </c>
      <c r="X158" s="281">
        <v>0</v>
      </c>
      <c r="Y158" s="264">
        <v>0</v>
      </c>
      <c r="Z158" s="282">
        <v>0</v>
      </c>
      <c r="AA158" s="281">
        <v>0</v>
      </c>
      <c r="AB158" s="281">
        <v>0</v>
      </c>
      <c r="AD158" s="284">
        <v>0</v>
      </c>
      <c r="AE158" s="284">
        <v>0</v>
      </c>
      <c r="AF158" s="284">
        <v>0</v>
      </c>
      <c r="AG158" s="284">
        <v>0</v>
      </c>
      <c r="AH158" s="284">
        <v>0</v>
      </c>
      <c r="AI158" s="284">
        <v>0</v>
      </c>
      <c r="AJ158" s="284">
        <v>0</v>
      </c>
      <c r="AL158" s="285">
        <v>0</v>
      </c>
      <c r="AM158" s="286">
        <v>0</v>
      </c>
      <c r="AN158" s="287">
        <v>0</v>
      </c>
      <c r="AO158" s="288">
        <v>0</v>
      </c>
      <c r="AP158" s="289">
        <v>0</v>
      </c>
      <c r="AQ158" s="266"/>
      <c r="AR158" s="285">
        <v>0</v>
      </c>
      <c r="AS158" s="286">
        <v>0</v>
      </c>
      <c r="AT158" s="286">
        <v>0</v>
      </c>
      <c r="AU158" s="290">
        <v>0</v>
      </c>
      <c r="AV158" s="289">
        <v>0</v>
      </c>
      <c r="AW158" s="291">
        <v>0</v>
      </c>
    </row>
    <row r="159" spans="1:49" x14ac:dyDescent="0.25">
      <c r="A159" s="264">
        <v>3588592</v>
      </c>
      <c r="B159" s="353" t="s">
        <v>1770</v>
      </c>
      <c r="C159" s="264" t="s">
        <v>1549</v>
      </c>
      <c r="D159" s="264" t="s">
        <v>909</v>
      </c>
      <c r="E159" s="264" t="s">
        <v>1746</v>
      </c>
      <c r="F159" s="264">
        <v>3588592</v>
      </c>
      <c r="G159" s="264" t="s">
        <v>1058</v>
      </c>
      <c r="H159" s="264">
        <v>2019</v>
      </c>
      <c r="I159" s="265"/>
      <c r="J159" s="278"/>
      <c r="K159" s="279"/>
      <c r="L159" s="279"/>
      <c r="M159" s="280"/>
      <c r="N159" s="280"/>
      <c r="O159" s="279">
        <v>3602</v>
      </c>
      <c r="P159" s="281" t="s">
        <v>1407</v>
      </c>
      <c r="Q159" s="264"/>
      <c r="R159" s="282"/>
      <c r="S159" s="281">
        <v>44377</v>
      </c>
      <c r="T159" s="281">
        <v>0</v>
      </c>
      <c r="U159" s="264">
        <v>0</v>
      </c>
      <c r="V159" s="282">
        <v>0</v>
      </c>
      <c r="W159" s="281">
        <v>0</v>
      </c>
      <c r="X159" s="281">
        <v>0</v>
      </c>
      <c r="Y159" s="264">
        <v>0</v>
      </c>
      <c r="Z159" s="282">
        <v>0</v>
      </c>
      <c r="AA159" s="281">
        <v>0</v>
      </c>
      <c r="AB159" s="281">
        <v>0</v>
      </c>
      <c r="AD159" s="284">
        <v>0</v>
      </c>
      <c r="AE159" s="284">
        <v>0</v>
      </c>
      <c r="AF159" s="284">
        <v>0</v>
      </c>
      <c r="AG159" s="284">
        <v>0</v>
      </c>
      <c r="AH159" s="284">
        <v>0</v>
      </c>
      <c r="AI159" s="284">
        <v>0</v>
      </c>
      <c r="AJ159" s="284">
        <v>0</v>
      </c>
      <c r="AL159" s="285">
        <v>0</v>
      </c>
      <c r="AM159" s="286">
        <v>0</v>
      </c>
      <c r="AN159" s="287">
        <v>0</v>
      </c>
      <c r="AO159" s="288">
        <v>0</v>
      </c>
      <c r="AP159" s="289">
        <v>0</v>
      </c>
      <c r="AQ159" s="266"/>
      <c r="AR159" s="285">
        <v>0</v>
      </c>
      <c r="AS159" s="286">
        <v>0</v>
      </c>
      <c r="AT159" s="286">
        <v>0</v>
      </c>
      <c r="AU159" s="290">
        <v>0</v>
      </c>
      <c r="AV159" s="289">
        <v>0</v>
      </c>
      <c r="AW159" s="291">
        <v>0</v>
      </c>
    </row>
    <row r="160" spans="1:49" x14ac:dyDescent="0.25">
      <c r="A160" s="264">
        <v>4533728</v>
      </c>
      <c r="B160" s="264" t="str">
        <f>VLOOKUP(A160,'Výpočet VP 2020'!$A$4:$B$318,2,FALSE)</f>
        <v>NZO</v>
      </c>
      <c r="C160" s="264" t="s">
        <v>1524</v>
      </c>
      <c r="D160" s="264" t="s">
        <v>909</v>
      </c>
      <c r="E160" s="264" t="s">
        <v>1434</v>
      </c>
      <c r="F160" s="264">
        <v>4533728</v>
      </c>
      <c r="G160" s="264" t="s">
        <v>1058</v>
      </c>
      <c r="H160" s="264">
        <v>2019</v>
      </c>
      <c r="I160" s="265"/>
      <c r="J160" s="278"/>
      <c r="K160" s="279">
        <v>965</v>
      </c>
      <c r="L160" s="279"/>
      <c r="M160" s="280"/>
      <c r="N160" s="280"/>
      <c r="O160" s="279"/>
      <c r="P160" s="281" t="s">
        <v>1428</v>
      </c>
      <c r="Q160" s="264"/>
      <c r="R160" s="282">
        <v>43647</v>
      </c>
      <c r="S160" s="281">
        <v>44196</v>
      </c>
      <c r="T160" s="281">
        <v>6.55</v>
      </c>
      <c r="U160" s="264">
        <v>5</v>
      </c>
      <c r="V160" s="282">
        <v>1.5</v>
      </c>
      <c r="W160" s="281">
        <v>0</v>
      </c>
      <c r="X160" s="281">
        <v>0.05</v>
      </c>
      <c r="Y160" s="264">
        <v>0</v>
      </c>
      <c r="Z160" s="282">
        <v>128</v>
      </c>
      <c r="AA160" s="281">
        <v>40</v>
      </c>
      <c r="AB160" s="281">
        <v>0</v>
      </c>
      <c r="AD160" s="284">
        <v>6.55</v>
      </c>
      <c r="AE160" s="284">
        <v>5</v>
      </c>
      <c r="AF160" s="284">
        <v>1.5</v>
      </c>
      <c r="AG160" s="284">
        <v>0</v>
      </c>
      <c r="AH160" s="284">
        <v>0.05</v>
      </c>
      <c r="AI160" s="284">
        <v>0</v>
      </c>
      <c r="AJ160" s="284">
        <v>40</v>
      </c>
      <c r="AL160" s="285">
        <v>4222606.8360270029</v>
      </c>
      <c r="AM160" s="286">
        <v>0</v>
      </c>
      <c r="AN160" s="287">
        <v>287995.46476624307</v>
      </c>
      <c r="AO160" s="288">
        <v>0</v>
      </c>
      <c r="AP160" s="289">
        <v>4510602.3007932464</v>
      </c>
      <c r="AQ160" s="266"/>
      <c r="AR160" s="285">
        <v>0</v>
      </c>
      <c r="AS160" s="286">
        <v>0</v>
      </c>
      <c r="AT160" s="286">
        <v>0</v>
      </c>
      <c r="AU160" s="290">
        <v>0</v>
      </c>
      <c r="AV160" s="289">
        <v>0</v>
      </c>
      <c r="AW160" s="291">
        <v>4510602.3007932464</v>
      </c>
    </row>
    <row r="161" spans="1:49" x14ac:dyDescent="0.25">
      <c r="A161" s="264">
        <v>4467429</v>
      </c>
      <c r="B161" s="353" t="s">
        <v>1770</v>
      </c>
      <c r="C161" s="264" t="s">
        <v>1553</v>
      </c>
      <c r="D161" s="264" t="s">
        <v>909</v>
      </c>
      <c r="E161" s="264" t="s">
        <v>1747</v>
      </c>
      <c r="F161" s="264">
        <v>4467429</v>
      </c>
      <c r="G161" s="264" t="s">
        <v>1058</v>
      </c>
      <c r="H161" s="264">
        <v>2019</v>
      </c>
      <c r="I161" s="265"/>
      <c r="J161" s="278"/>
      <c r="K161" s="279">
        <v>965</v>
      </c>
      <c r="L161" s="279"/>
      <c r="M161" s="280"/>
      <c r="N161" s="280"/>
      <c r="O161" s="279"/>
      <c r="P161" s="281" t="s">
        <v>1428</v>
      </c>
      <c r="Q161" s="264"/>
      <c r="R161" s="282"/>
      <c r="S161" s="281">
        <v>44377</v>
      </c>
      <c r="T161" s="281">
        <v>0</v>
      </c>
      <c r="U161" s="264">
        <v>0</v>
      </c>
      <c r="V161" s="282">
        <v>0</v>
      </c>
      <c r="W161" s="281">
        <v>0</v>
      </c>
      <c r="X161" s="281">
        <v>0</v>
      </c>
      <c r="Y161" s="264">
        <v>0</v>
      </c>
      <c r="Z161" s="282">
        <v>0</v>
      </c>
      <c r="AA161" s="281">
        <v>42</v>
      </c>
      <c r="AB161" s="281">
        <v>0</v>
      </c>
      <c r="AD161" s="284">
        <v>0</v>
      </c>
      <c r="AE161" s="284">
        <v>0</v>
      </c>
      <c r="AF161" s="284">
        <v>0</v>
      </c>
      <c r="AG161" s="284">
        <v>0</v>
      </c>
      <c r="AH161" s="284">
        <v>0</v>
      </c>
      <c r="AI161" s="284">
        <v>0</v>
      </c>
      <c r="AJ161" s="284">
        <v>42</v>
      </c>
      <c r="AL161" s="285">
        <v>0</v>
      </c>
      <c r="AM161" s="286">
        <v>0</v>
      </c>
      <c r="AN161" s="287">
        <v>0</v>
      </c>
      <c r="AO161" s="288">
        <v>0</v>
      </c>
      <c r="AP161" s="289">
        <v>0</v>
      </c>
      <c r="AQ161" s="266"/>
      <c r="AR161" s="285">
        <v>0</v>
      </c>
      <c r="AS161" s="286">
        <v>0</v>
      </c>
      <c r="AT161" s="286">
        <v>0</v>
      </c>
      <c r="AU161" s="290">
        <v>0</v>
      </c>
      <c r="AV161" s="289">
        <v>0</v>
      </c>
      <c r="AW161" s="291">
        <v>0</v>
      </c>
    </row>
    <row r="162" spans="1:49" x14ac:dyDescent="0.25">
      <c r="A162" s="264">
        <v>8946698</v>
      </c>
      <c r="B162" s="264" t="str">
        <f>VLOOKUP(A162,'Výpočet VP 2020'!$A$4:$B$318,2,FALSE)</f>
        <v>NZO</v>
      </c>
      <c r="C162" s="264" t="s">
        <v>372</v>
      </c>
      <c r="D162" s="264" t="s">
        <v>367</v>
      </c>
      <c r="E162" s="264" t="s">
        <v>1441</v>
      </c>
      <c r="F162" s="264">
        <v>8946698</v>
      </c>
      <c r="G162" s="264" t="s">
        <v>1149</v>
      </c>
      <c r="H162" s="264">
        <v>2019</v>
      </c>
      <c r="I162" s="265"/>
      <c r="J162" s="278"/>
      <c r="K162" s="279">
        <v>1040</v>
      </c>
      <c r="L162" s="279"/>
      <c r="M162" s="280"/>
      <c r="N162" s="280"/>
      <c r="O162" s="279"/>
      <c r="P162" s="281" t="s">
        <v>1428</v>
      </c>
      <c r="Q162" s="264"/>
      <c r="R162" s="282"/>
      <c r="S162" s="281">
        <v>44196</v>
      </c>
      <c r="T162" s="281">
        <v>4</v>
      </c>
      <c r="U162" s="264">
        <v>2</v>
      </c>
      <c r="V162" s="282">
        <v>2</v>
      </c>
      <c r="W162" s="281">
        <v>0</v>
      </c>
      <c r="X162" s="281">
        <v>0</v>
      </c>
      <c r="Y162" s="264">
        <v>0</v>
      </c>
      <c r="Z162" s="282">
        <v>55</v>
      </c>
      <c r="AA162" s="281">
        <v>0</v>
      </c>
      <c r="AB162" s="281">
        <v>0</v>
      </c>
      <c r="AD162" s="284">
        <v>4</v>
      </c>
      <c r="AE162" s="284">
        <v>2</v>
      </c>
      <c r="AF162" s="284">
        <v>2</v>
      </c>
      <c r="AG162" s="284">
        <v>0</v>
      </c>
      <c r="AH162" s="284">
        <v>0</v>
      </c>
      <c r="AI162" s="284">
        <v>0</v>
      </c>
      <c r="AJ162" s="284">
        <v>0</v>
      </c>
      <c r="AL162" s="285">
        <v>2578691.1975737424</v>
      </c>
      <c r="AM162" s="286">
        <v>0</v>
      </c>
      <c r="AN162" s="287">
        <v>175875.09298701867</v>
      </c>
      <c r="AO162" s="288">
        <v>0</v>
      </c>
      <c r="AP162" s="289">
        <v>2754566.290560761</v>
      </c>
      <c r="AQ162" s="266"/>
      <c r="AR162" s="285">
        <v>0</v>
      </c>
      <c r="AS162" s="286">
        <v>0</v>
      </c>
      <c r="AT162" s="286">
        <v>0</v>
      </c>
      <c r="AU162" s="290">
        <v>0</v>
      </c>
      <c r="AV162" s="289">
        <v>0</v>
      </c>
      <c r="AW162" s="291">
        <v>2754566.290560761</v>
      </c>
    </row>
    <row r="163" spans="1:49" x14ac:dyDescent="0.25">
      <c r="A163" s="264">
        <v>8946698</v>
      </c>
      <c r="B163" s="264" t="str">
        <f>VLOOKUP(A163,'Výpočet VP 2020'!$A$4:$B$318,2,FALSE)</f>
        <v>NZO</v>
      </c>
      <c r="C163" s="264" t="s">
        <v>372</v>
      </c>
      <c r="D163" s="264" t="s">
        <v>367</v>
      </c>
      <c r="E163" s="264" t="s">
        <v>1442</v>
      </c>
      <c r="F163" s="264">
        <v>8946698</v>
      </c>
      <c r="G163" s="264" t="s">
        <v>1149</v>
      </c>
      <c r="H163" s="264">
        <v>2019</v>
      </c>
      <c r="I163" s="265"/>
      <c r="J163" s="278"/>
      <c r="K163" s="279">
        <v>1040</v>
      </c>
      <c r="L163" s="279"/>
      <c r="M163" s="280"/>
      <c r="N163" s="280"/>
      <c r="O163" s="279"/>
      <c r="P163" s="281" t="s">
        <v>1428</v>
      </c>
      <c r="Q163" s="264"/>
      <c r="R163" s="282"/>
      <c r="S163" s="281">
        <v>44196</v>
      </c>
      <c r="T163" s="281">
        <v>2</v>
      </c>
      <c r="U163" s="264">
        <v>1</v>
      </c>
      <c r="V163" s="282">
        <v>1</v>
      </c>
      <c r="W163" s="281">
        <v>0</v>
      </c>
      <c r="X163" s="281">
        <v>0</v>
      </c>
      <c r="Y163" s="264">
        <v>0</v>
      </c>
      <c r="Z163" s="282">
        <v>35</v>
      </c>
      <c r="AA163" s="281">
        <v>0</v>
      </c>
      <c r="AB163" s="281">
        <v>0</v>
      </c>
      <c r="AD163" s="284">
        <v>2</v>
      </c>
      <c r="AE163" s="284">
        <v>1</v>
      </c>
      <c r="AF163" s="284">
        <v>1</v>
      </c>
      <c r="AG163" s="284">
        <v>0</v>
      </c>
      <c r="AH163" s="284">
        <v>0</v>
      </c>
      <c r="AI163" s="284">
        <v>0</v>
      </c>
      <c r="AJ163" s="284">
        <v>0</v>
      </c>
      <c r="AL163" s="285">
        <v>1289345.5987868712</v>
      </c>
      <c r="AM163" s="286">
        <v>0</v>
      </c>
      <c r="AN163" s="287">
        <v>87937.546493509333</v>
      </c>
      <c r="AO163" s="288">
        <v>0</v>
      </c>
      <c r="AP163" s="289">
        <v>1377283.1452803805</v>
      </c>
      <c r="AQ163" s="266"/>
      <c r="AR163" s="285">
        <v>0</v>
      </c>
      <c r="AS163" s="286">
        <v>0</v>
      </c>
      <c r="AT163" s="286">
        <v>0</v>
      </c>
      <c r="AU163" s="290">
        <v>0</v>
      </c>
      <c r="AV163" s="289">
        <v>0</v>
      </c>
      <c r="AW163" s="291">
        <v>1377283.1452803805</v>
      </c>
    </row>
    <row r="164" spans="1:49" x14ac:dyDescent="0.25">
      <c r="A164" s="264">
        <v>1907533</v>
      </c>
      <c r="B164" s="264" t="str">
        <f>VLOOKUP(A164,'Výpočet VP 2020'!$A$4:$B$318,2,FALSE)</f>
        <v>NZO</v>
      </c>
      <c r="C164" s="264" t="s">
        <v>379</v>
      </c>
      <c r="D164" s="264" t="s">
        <v>805</v>
      </c>
      <c r="E164" s="264" t="s">
        <v>1429</v>
      </c>
      <c r="F164" s="264">
        <v>1907533</v>
      </c>
      <c r="G164" s="264" t="s">
        <v>1068</v>
      </c>
      <c r="H164" s="264">
        <v>2019</v>
      </c>
      <c r="I164" s="265"/>
      <c r="J164" s="278"/>
      <c r="K164" s="279"/>
      <c r="L164" s="279"/>
      <c r="M164" s="280"/>
      <c r="N164" s="280"/>
      <c r="O164" s="279">
        <v>3604</v>
      </c>
      <c r="P164" s="281" t="s">
        <v>1407</v>
      </c>
      <c r="Q164" s="264"/>
      <c r="R164" s="282"/>
      <c r="S164" s="281">
        <v>44196</v>
      </c>
      <c r="T164" s="281">
        <v>6.7</v>
      </c>
      <c r="U164" s="264">
        <v>5.5</v>
      </c>
      <c r="V164" s="282">
        <v>0</v>
      </c>
      <c r="W164" s="281">
        <v>0</v>
      </c>
      <c r="X164" s="281">
        <v>1.2</v>
      </c>
      <c r="Y164" s="264">
        <v>0</v>
      </c>
      <c r="Z164" s="282">
        <v>0</v>
      </c>
      <c r="AA164" s="281">
        <v>40</v>
      </c>
      <c r="AB164" s="281">
        <v>0</v>
      </c>
      <c r="AD164" s="284">
        <v>6.7</v>
      </c>
      <c r="AE164" s="284">
        <v>5.5</v>
      </c>
      <c r="AF164" s="284">
        <v>0</v>
      </c>
      <c r="AG164" s="284">
        <v>0</v>
      </c>
      <c r="AH164" s="284">
        <v>1.2</v>
      </c>
      <c r="AI164" s="284">
        <v>0</v>
      </c>
      <c r="AJ164" s="284">
        <v>40</v>
      </c>
      <c r="AL164" s="285">
        <v>4319307.7559360182</v>
      </c>
      <c r="AM164" s="286">
        <v>0</v>
      </c>
      <c r="AN164" s="287">
        <v>294590.78075325629</v>
      </c>
      <c r="AO164" s="288">
        <v>0</v>
      </c>
      <c r="AP164" s="289">
        <v>4613898.536689274</v>
      </c>
      <c r="AQ164" s="266"/>
      <c r="AR164" s="285">
        <v>0</v>
      </c>
      <c r="AS164" s="286">
        <v>0</v>
      </c>
      <c r="AT164" s="286">
        <v>0</v>
      </c>
      <c r="AU164" s="290">
        <v>0</v>
      </c>
      <c r="AV164" s="289">
        <v>0</v>
      </c>
      <c r="AW164" s="291">
        <v>4613898.536689274</v>
      </c>
    </row>
    <row r="165" spans="1:49" x14ac:dyDescent="0.25">
      <c r="A165" s="264">
        <v>9659243</v>
      </c>
      <c r="B165" s="264" t="str">
        <f>VLOOKUP(A165,'Výpočet VP 2020'!$A$4:$B$318,2,FALSE)</f>
        <v>NZO</v>
      </c>
      <c r="C165" s="264" t="s">
        <v>918</v>
      </c>
      <c r="D165" s="264" t="s">
        <v>909</v>
      </c>
      <c r="E165" s="264" t="s">
        <v>1429</v>
      </c>
      <c r="F165" s="264">
        <v>9659243</v>
      </c>
      <c r="G165" s="264" t="s">
        <v>1068</v>
      </c>
      <c r="H165" s="264">
        <v>2019</v>
      </c>
      <c r="I165" s="265"/>
      <c r="J165" s="278"/>
      <c r="K165" s="279"/>
      <c r="L165" s="279"/>
      <c r="M165" s="280"/>
      <c r="N165" s="280"/>
      <c r="O165" s="279">
        <v>3604</v>
      </c>
      <c r="P165" s="281" t="s">
        <v>1407</v>
      </c>
      <c r="Q165" s="264"/>
      <c r="R165" s="282">
        <v>43647</v>
      </c>
      <c r="S165" s="281">
        <v>44377</v>
      </c>
      <c r="T165" s="281">
        <v>0</v>
      </c>
      <c r="U165" s="264">
        <v>0</v>
      </c>
      <c r="V165" s="282">
        <v>0</v>
      </c>
      <c r="W165" s="281">
        <v>0</v>
      </c>
      <c r="X165" s="281">
        <v>0</v>
      </c>
      <c r="Y165" s="264">
        <v>0</v>
      </c>
      <c r="Z165" s="282">
        <v>0</v>
      </c>
      <c r="AA165" s="281">
        <v>0</v>
      </c>
      <c r="AB165" s="281">
        <v>0</v>
      </c>
      <c r="AD165" s="284">
        <v>0</v>
      </c>
      <c r="AE165" s="284">
        <v>0</v>
      </c>
      <c r="AF165" s="284">
        <v>0</v>
      </c>
      <c r="AG165" s="284">
        <v>0</v>
      </c>
      <c r="AH165" s="284">
        <v>0</v>
      </c>
      <c r="AI165" s="284">
        <v>0</v>
      </c>
      <c r="AJ165" s="284">
        <v>0</v>
      </c>
      <c r="AL165" s="285">
        <v>0</v>
      </c>
      <c r="AM165" s="286">
        <v>0</v>
      </c>
      <c r="AN165" s="287">
        <v>0</v>
      </c>
      <c r="AO165" s="288">
        <v>0</v>
      </c>
      <c r="AP165" s="289">
        <v>0</v>
      </c>
      <c r="AQ165" s="266"/>
      <c r="AR165" s="285">
        <v>0</v>
      </c>
      <c r="AS165" s="286">
        <v>0</v>
      </c>
      <c r="AT165" s="286">
        <v>0</v>
      </c>
      <c r="AU165" s="290">
        <v>0</v>
      </c>
      <c r="AV165" s="289">
        <v>0</v>
      </c>
      <c r="AW165" s="291">
        <v>0</v>
      </c>
    </row>
    <row r="166" spans="1:49" x14ac:dyDescent="0.25">
      <c r="A166" s="264">
        <v>3588592</v>
      </c>
      <c r="B166" s="353" t="s">
        <v>1770</v>
      </c>
      <c r="C166" s="264" t="s">
        <v>1549</v>
      </c>
      <c r="D166" s="264" t="s">
        <v>909</v>
      </c>
      <c r="E166" s="264" t="s">
        <v>1748</v>
      </c>
      <c r="F166" s="264">
        <v>3588592</v>
      </c>
      <c r="G166" s="264" t="s">
        <v>1068</v>
      </c>
      <c r="H166" s="264">
        <v>2019</v>
      </c>
      <c r="I166" s="265"/>
      <c r="J166" s="278"/>
      <c r="K166" s="279"/>
      <c r="L166" s="279"/>
      <c r="M166" s="280"/>
      <c r="N166" s="280"/>
      <c r="O166" s="279">
        <v>3604</v>
      </c>
      <c r="P166" s="281" t="s">
        <v>1407</v>
      </c>
      <c r="Q166" s="264"/>
      <c r="R166" s="282"/>
      <c r="S166" s="281">
        <v>44377</v>
      </c>
      <c r="T166" s="281">
        <v>0</v>
      </c>
      <c r="U166" s="264">
        <v>0</v>
      </c>
      <c r="V166" s="282">
        <v>0</v>
      </c>
      <c r="W166" s="281">
        <v>0</v>
      </c>
      <c r="X166" s="281">
        <v>0</v>
      </c>
      <c r="Y166" s="264">
        <v>0</v>
      </c>
      <c r="Z166" s="282">
        <v>0</v>
      </c>
      <c r="AA166" s="281">
        <v>0</v>
      </c>
      <c r="AB166" s="281">
        <v>0</v>
      </c>
      <c r="AD166" s="284">
        <v>0</v>
      </c>
      <c r="AE166" s="284">
        <v>0</v>
      </c>
      <c r="AF166" s="284">
        <v>0</v>
      </c>
      <c r="AG166" s="284">
        <v>0</v>
      </c>
      <c r="AH166" s="284">
        <v>0</v>
      </c>
      <c r="AI166" s="284">
        <v>0</v>
      </c>
      <c r="AJ166" s="284">
        <v>0</v>
      </c>
      <c r="AL166" s="285">
        <v>0</v>
      </c>
      <c r="AM166" s="286">
        <v>0</v>
      </c>
      <c r="AN166" s="287">
        <v>0</v>
      </c>
      <c r="AO166" s="288">
        <v>0</v>
      </c>
      <c r="AP166" s="289">
        <v>0</v>
      </c>
      <c r="AQ166" s="266"/>
      <c r="AR166" s="285">
        <v>0</v>
      </c>
      <c r="AS166" s="286">
        <v>0</v>
      </c>
      <c r="AT166" s="286">
        <v>0</v>
      </c>
      <c r="AU166" s="290">
        <v>0</v>
      </c>
      <c r="AV166" s="289">
        <v>0</v>
      </c>
      <c r="AW166" s="291">
        <v>0</v>
      </c>
    </row>
    <row r="167" spans="1:49" x14ac:dyDescent="0.25">
      <c r="A167" s="264">
        <v>1907533</v>
      </c>
      <c r="B167" s="264" t="str">
        <f>VLOOKUP(A167,'Výpočet VP 2020'!$A$4:$B$318,2,FALSE)</f>
        <v>NZO</v>
      </c>
      <c r="C167" s="264" t="s">
        <v>379</v>
      </c>
      <c r="D167" s="264" t="s">
        <v>805</v>
      </c>
      <c r="E167" s="264" t="s">
        <v>1430</v>
      </c>
      <c r="F167" s="264">
        <v>1907533</v>
      </c>
      <c r="G167" s="264" t="s">
        <v>1068</v>
      </c>
      <c r="H167" s="264">
        <v>2019</v>
      </c>
      <c r="I167" s="265"/>
      <c r="J167" s="278"/>
      <c r="K167" s="279">
        <v>1015</v>
      </c>
      <c r="L167" s="279"/>
      <c r="M167" s="280"/>
      <c r="N167" s="280"/>
      <c r="O167" s="279"/>
      <c r="P167" s="281" t="s">
        <v>1428</v>
      </c>
      <c r="Q167" s="264"/>
      <c r="R167" s="282"/>
      <c r="S167" s="281">
        <v>44196</v>
      </c>
      <c r="T167" s="281">
        <v>2</v>
      </c>
      <c r="U167" s="264">
        <v>2</v>
      </c>
      <c r="V167" s="282">
        <v>0</v>
      </c>
      <c r="W167" s="281">
        <v>0</v>
      </c>
      <c r="X167" s="281">
        <v>0</v>
      </c>
      <c r="Y167" s="264">
        <v>0</v>
      </c>
      <c r="Z167" s="282">
        <v>0</v>
      </c>
      <c r="AA167" s="281">
        <v>40</v>
      </c>
      <c r="AB167" s="281">
        <v>0</v>
      </c>
      <c r="AD167" s="284">
        <v>2</v>
      </c>
      <c r="AE167" s="284">
        <v>2</v>
      </c>
      <c r="AF167" s="284">
        <v>0</v>
      </c>
      <c r="AG167" s="284">
        <v>0</v>
      </c>
      <c r="AH167" s="284">
        <v>0</v>
      </c>
      <c r="AI167" s="284">
        <v>0</v>
      </c>
      <c r="AJ167" s="284">
        <v>40</v>
      </c>
      <c r="AL167" s="285">
        <v>1289345.5987868712</v>
      </c>
      <c r="AM167" s="286">
        <v>0</v>
      </c>
      <c r="AN167" s="287">
        <v>87937.546493509333</v>
      </c>
      <c r="AO167" s="288">
        <v>0</v>
      </c>
      <c r="AP167" s="289">
        <v>1377283.1452803805</v>
      </c>
      <c r="AQ167" s="266"/>
      <c r="AR167" s="285">
        <v>0</v>
      </c>
      <c r="AS167" s="286">
        <v>0</v>
      </c>
      <c r="AT167" s="286">
        <v>0</v>
      </c>
      <c r="AU167" s="290">
        <v>0</v>
      </c>
      <c r="AV167" s="289">
        <v>0</v>
      </c>
      <c r="AW167" s="291">
        <v>1377283.1452803805</v>
      </c>
    </row>
    <row r="168" spans="1:49" x14ac:dyDescent="0.25">
      <c r="A168" s="264">
        <v>8535980</v>
      </c>
      <c r="B168" s="353" t="s">
        <v>1770</v>
      </c>
      <c r="C168" s="264" t="s">
        <v>379</v>
      </c>
      <c r="D168" s="264" t="s">
        <v>1529</v>
      </c>
      <c r="E168" s="264" t="s">
        <v>1749</v>
      </c>
      <c r="F168" s="264">
        <v>8535980</v>
      </c>
      <c r="G168" s="264" t="s">
        <v>1087</v>
      </c>
      <c r="H168" s="264">
        <v>2019</v>
      </c>
      <c r="I168" s="265"/>
      <c r="J168" s="278"/>
      <c r="K168" s="279"/>
      <c r="L168" s="279"/>
      <c r="M168" s="280">
        <v>86</v>
      </c>
      <c r="N168" s="280"/>
      <c r="O168" s="279"/>
      <c r="P168" s="281" t="s">
        <v>1742</v>
      </c>
      <c r="Q168" s="264"/>
      <c r="R168" s="282"/>
      <c r="S168" s="281"/>
      <c r="T168" s="281"/>
      <c r="U168" s="264"/>
      <c r="V168" s="282"/>
      <c r="W168" s="281"/>
      <c r="X168" s="281"/>
      <c r="Y168" s="264"/>
      <c r="Z168" s="282"/>
      <c r="AA168" s="281"/>
      <c r="AB168" s="281"/>
      <c r="AD168" s="284">
        <v>0</v>
      </c>
      <c r="AE168" s="284">
        <v>0</v>
      </c>
      <c r="AF168" s="284">
        <v>0</v>
      </c>
      <c r="AG168" s="284">
        <v>0</v>
      </c>
      <c r="AH168" s="284">
        <v>0</v>
      </c>
      <c r="AI168" s="284">
        <v>0</v>
      </c>
      <c r="AJ168" s="284">
        <v>0</v>
      </c>
      <c r="AL168" s="285">
        <v>0</v>
      </c>
      <c r="AM168" s="286">
        <v>0</v>
      </c>
      <c r="AN168" s="287">
        <v>0</v>
      </c>
      <c r="AO168" s="288">
        <v>0</v>
      </c>
      <c r="AP168" s="289">
        <v>0</v>
      </c>
      <c r="AQ168" s="266"/>
      <c r="AR168" s="285">
        <v>0</v>
      </c>
      <c r="AS168" s="286">
        <v>0</v>
      </c>
      <c r="AT168" s="286">
        <v>0</v>
      </c>
      <c r="AU168" s="290">
        <v>0</v>
      </c>
      <c r="AV168" s="289">
        <v>0</v>
      </c>
      <c r="AW168" s="291">
        <v>0</v>
      </c>
    </row>
    <row r="169" spans="1:49" x14ac:dyDescent="0.25">
      <c r="A169" s="264">
        <v>9659243</v>
      </c>
      <c r="B169" s="264" t="str">
        <f>VLOOKUP(A169,'Výpočet VP 2020'!$A$4:$B$318,2,FALSE)</f>
        <v>NZO</v>
      </c>
      <c r="C169" s="264" t="s">
        <v>918</v>
      </c>
      <c r="D169" s="264" t="s">
        <v>909</v>
      </c>
      <c r="E169" s="264" t="s">
        <v>1444</v>
      </c>
      <c r="F169" s="264">
        <v>9659243</v>
      </c>
      <c r="G169" s="264" t="s">
        <v>1061</v>
      </c>
      <c r="H169" s="264">
        <v>2019</v>
      </c>
      <c r="I169" s="265"/>
      <c r="J169" s="278"/>
      <c r="K169" s="279"/>
      <c r="L169" s="279"/>
      <c r="M169" s="280"/>
      <c r="N169" s="280"/>
      <c r="O169" s="279">
        <v>3605</v>
      </c>
      <c r="P169" s="281" t="s">
        <v>1407</v>
      </c>
      <c r="Q169" s="264"/>
      <c r="R169" s="282">
        <v>43647</v>
      </c>
      <c r="S169" s="281">
        <v>44196</v>
      </c>
      <c r="T169" s="281">
        <v>2.2000000000000002</v>
      </c>
      <c r="U169" s="264">
        <v>1.2</v>
      </c>
      <c r="V169" s="282">
        <v>1</v>
      </c>
      <c r="W169" s="281">
        <v>0</v>
      </c>
      <c r="X169" s="281">
        <v>0</v>
      </c>
      <c r="Y169" s="264">
        <v>0</v>
      </c>
      <c r="Z169" s="282">
        <v>44</v>
      </c>
      <c r="AA169" s="281">
        <v>0</v>
      </c>
      <c r="AB169" s="281">
        <v>0</v>
      </c>
      <c r="AD169" s="284">
        <v>2.2000000000000002</v>
      </c>
      <c r="AE169" s="284">
        <v>1.2</v>
      </c>
      <c r="AF169" s="284">
        <v>1</v>
      </c>
      <c r="AG169" s="284">
        <v>0</v>
      </c>
      <c r="AH169" s="284">
        <v>0</v>
      </c>
      <c r="AI169" s="284">
        <v>0</v>
      </c>
      <c r="AJ169" s="284">
        <v>0</v>
      </c>
      <c r="AL169" s="285">
        <v>1418280.1586655583</v>
      </c>
      <c r="AM169" s="286">
        <v>0</v>
      </c>
      <c r="AN169" s="287">
        <v>96731.301142860277</v>
      </c>
      <c r="AO169" s="288">
        <v>0</v>
      </c>
      <c r="AP169" s="289">
        <v>1515011.4598084185</v>
      </c>
      <c r="AQ169" s="266"/>
      <c r="AR169" s="285">
        <v>0</v>
      </c>
      <c r="AS169" s="286">
        <v>0</v>
      </c>
      <c r="AT169" s="286">
        <v>0</v>
      </c>
      <c r="AU169" s="290">
        <v>0</v>
      </c>
      <c r="AV169" s="289">
        <v>0</v>
      </c>
      <c r="AW169" s="291">
        <v>1515011.4598084185</v>
      </c>
    </row>
    <row r="170" spans="1:49" x14ac:dyDescent="0.25">
      <c r="A170" s="264">
        <v>3588592</v>
      </c>
      <c r="B170" s="353" t="s">
        <v>1770</v>
      </c>
      <c r="C170" s="264" t="s">
        <v>1549</v>
      </c>
      <c r="D170" s="264" t="s">
        <v>909</v>
      </c>
      <c r="E170" s="264" t="s">
        <v>1750</v>
      </c>
      <c r="F170" s="264">
        <v>3588592</v>
      </c>
      <c r="G170" s="264" t="s">
        <v>1061</v>
      </c>
      <c r="H170" s="264">
        <v>2019</v>
      </c>
      <c r="I170" s="265"/>
      <c r="J170" s="278"/>
      <c r="K170" s="279"/>
      <c r="L170" s="279"/>
      <c r="M170" s="280"/>
      <c r="N170" s="280"/>
      <c r="O170" s="279">
        <v>3605</v>
      </c>
      <c r="P170" s="281" t="s">
        <v>1407</v>
      </c>
      <c r="Q170" s="264"/>
      <c r="R170" s="282"/>
      <c r="S170" s="281">
        <v>44377</v>
      </c>
      <c r="T170" s="281">
        <v>0</v>
      </c>
      <c r="U170" s="264">
        <v>0</v>
      </c>
      <c r="V170" s="282">
        <v>0</v>
      </c>
      <c r="W170" s="281">
        <v>0</v>
      </c>
      <c r="X170" s="281">
        <v>0</v>
      </c>
      <c r="Y170" s="264">
        <v>0</v>
      </c>
      <c r="Z170" s="282">
        <v>0</v>
      </c>
      <c r="AA170" s="281">
        <v>0</v>
      </c>
      <c r="AB170" s="281">
        <v>0</v>
      </c>
      <c r="AD170" s="284">
        <v>0</v>
      </c>
      <c r="AE170" s="284">
        <v>0</v>
      </c>
      <c r="AF170" s="284">
        <v>0</v>
      </c>
      <c r="AG170" s="284">
        <v>0</v>
      </c>
      <c r="AH170" s="284">
        <v>0</v>
      </c>
      <c r="AI170" s="284">
        <v>0</v>
      </c>
      <c r="AJ170" s="284">
        <v>0</v>
      </c>
      <c r="AL170" s="285">
        <v>0</v>
      </c>
      <c r="AM170" s="286">
        <v>0</v>
      </c>
      <c r="AN170" s="287">
        <v>0</v>
      </c>
      <c r="AO170" s="288">
        <v>0</v>
      </c>
      <c r="AP170" s="289">
        <v>0</v>
      </c>
      <c r="AQ170" s="266"/>
      <c r="AR170" s="285">
        <v>0</v>
      </c>
      <c r="AS170" s="286">
        <v>0</v>
      </c>
      <c r="AT170" s="286">
        <v>0</v>
      </c>
      <c r="AU170" s="290">
        <v>0</v>
      </c>
      <c r="AV170" s="289">
        <v>0</v>
      </c>
      <c r="AW170" s="291">
        <v>0</v>
      </c>
    </row>
    <row r="171" spans="1:49" x14ac:dyDescent="0.25">
      <c r="A171" s="264">
        <v>8382823</v>
      </c>
      <c r="B171" s="264" t="str">
        <f>VLOOKUP(A171,'Výpočet VP 2020'!$A$4:$B$318,2,FALSE)</f>
        <v>NZO</v>
      </c>
      <c r="C171" s="264" t="s">
        <v>1440</v>
      </c>
      <c r="D171" s="264" t="s">
        <v>402</v>
      </c>
      <c r="E171" s="264" t="s">
        <v>1439</v>
      </c>
      <c r="F171" s="264">
        <v>8382823</v>
      </c>
      <c r="G171" s="264" t="s">
        <v>1061</v>
      </c>
      <c r="H171" s="264">
        <v>2019</v>
      </c>
      <c r="I171" s="265"/>
      <c r="J171" s="278"/>
      <c r="K171" s="279">
        <v>1066</v>
      </c>
      <c r="L171" s="279"/>
      <c r="M171" s="280"/>
      <c r="N171" s="280"/>
      <c r="O171" s="279"/>
      <c r="P171" s="281" t="s">
        <v>1428</v>
      </c>
      <c r="Q171" s="264"/>
      <c r="R171" s="282"/>
      <c r="S171" s="281" t="s">
        <v>1733</v>
      </c>
      <c r="T171" s="281">
        <v>3</v>
      </c>
      <c r="U171" s="264">
        <v>2.2000000000000002</v>
      </c>
      <c r="V171" s="282">
        <v>0.8</v>
      </c>
      <c r="W171" s="281">
        <v>0</v>
      </c>
      <c r="X171" s="281">
        <v>0</v>
      </c>
      <c r="Y171" s="264">
        <v>0</v>
      </c>
      <c r="Z171" s="282">
        <v>35</v>
      </c>
      <c r="AA171" s="281">
        <v>20</v>
      </c>
      <c r="AB171" s="281">
        <v>0</v>
      </c>
      <c r="AD171" s="284">
        <v>3</v>
      </c>
      <c r="AE171" s="284">
        <v>2.2000000000000002</v>
      </c>
      <c r="AF171" s="284">
        <v>0.8</v>
      </c>
      <c r="AG171" s="284">
        <v>0</v>
      </c>
      <c r="AH171" s="284">
        <v>0</v>
      </c>
      <c r="AI171" s="284">
        <v>0</v>
      </c>
      <c r="AJ171" s="284">
        <v>20</v>
      </c>
      <c r="AL171" s="285">
        <v>1934018.3981803069</v>
      </c>
      <c r="AM171" s="286">
        <v>0</v>
      </c>
      <c r="AN171" s="287">
        <v>131906.31974026401</v>
      </c>
      <c r="AO171" s="288">
        <v>0</v>
      </c>
      <c r="AP171" s="289">
        <v>2065924.7179205709</v>
      </c>
      <c r="AQ171" s="266"/>
      <c r="AR171" s="285">
        <v>0</v>
      </c>
      <c r="AS171" s="286">
        <v>0</v>
      </c>
      <c r="AT171" s="286">
        <v>0</v>
      </c>
      <c r="AU171" s="290">
        <v>0</v>
      </c>
      <c r="AV171" s="289">
        <v>0</v>
      </c>
      <c r="AW171" s="291">
        <v>2065924.7179205709</v>
      </c>
    </row>
    <row r="172" spans="1:49" x14ac:dyDescent="0.25">
      <c r="A172" s="264">
        <v>9659243</v>
      </c>
      <c r="B172" s="264" t="str">
        <f>VLOOKUP(A172,'Výpočet VP 2020'!$A$4:$B$318,2,FALSE)</f>
        <v>NZO</v>
      </c>
      <c r="C172" s="264" t="s">
        <v>918</v>
      </c>
      <c r="D172" s="264" t="s">
        <v>909</v>
      </c>
      <c r="E172" s="264" t="s">
        <v>1445</v>
      </c>
      <c r="F172" s="264">
        <v>9659243</v>
      </c>
      <c r="G172" s="264" t="s">
        <v>1063</v>
      </c>
      <c r="H172" s="264">
        <v>2019</v>
      </c>
      <c r="I172" s="265"/>
      <c r="J172" s="278"/>
      <c r="K172" s="279"/>
      <c r="L172" s="279"/>
      <c r="M172" s="280"/>
      <c r="N172" s="280"/>
      <c r="O172" s="279">
        <v>3607</v>
      </c>
      <c r="P172" s="281" t="s">
        <v>1407</v>
      </c>
      <c r="Q172" s="264"/>
      <c r="R172" s="282">
        <v>43647</v>
      </c>
      <c r="S172" s="281">
        <v>44196</v>
      </c>
      <c r="T172" s="281">
        <v>3.5</v>
      </c>
      <c r="U172" s="264">
        <v>3.5</v>
      </c>
      <c r="V172" s="282">
        <v>0</v>
      </c>
      <c r="W172" s="281">
        <v>0</v>
      </c>
      <c r="X172" s="281">
        <v>0</v>
      </c>
      <c r="Y172" s="264">
        <v>0</v>
      </c>
      <c r="Z172" s="282">
        <v>44</v>
      </c>
      <c r="AA172" s="281">
        <v>0</v>
      </c>
      <c r="AB172" s="281">
        <v>0</v>
      </c>
      <c r="AD172" s="284">
        <v>3.5</v>
      </c>
      <c r="AE172" s="284">
        <v>3.5</v>
      </c>
      <c r="AF172" s="284">
        <v>0</v>
      </c>
      <c r="AG172" s="284">
        <v>0</v>
      </c>
      <c r="AH172" s="284">
        <v>0</v>
      </c>
      <c r="AI172" s="284">
        <v>0</v>
      </c>
      <c r="AJ172" s="284">
        <v>0</v>
      </c>
      <c r="AL172" s="285">
        <v>2256354.7978770244</v>
      </c>
      <c r="AM172" s="286">
        <v>0</v>
      </c>
      <c r="AN172" s="287">
        <v>153890.70636364134</v>
      </c>
      <c r="AO172" s="288">
        <v>0</v>
      </c>
      <c r="AP172" s="289">
        <v>2410245.5042406656</v>
      </c>
      <c r="AQ172" s="266"/>
      <c r="AR172" s="285">
        <v>0</v>
      </c>
      <c r="AS172" s="286">
        <v>0</v>
      </c>
      <c r="AT172" s="286">
        <v>0</v>
      </c>
      <c r="AU172" s="290">
        <v>0</v>
      </c>
      <c r="AV172" s="289">
        <v>0</v>
      </c>
      <c r="AW172" s="291">
        <v>2410245.5042406656</v>
      </c>
    </row>
    <row r="173" spans="1:49" x14ac:dyDescent="0.25">
      <c r="A173" s="264">
        <v>3588592</v>
      </c>
      <c r="B173" s="353" t="s">
        <v>1770</v>
      </c>
      <c r="C173" s="264" t="s">
        <v>1549</v>
      </c>
      <c r="D173" s="264" t="s">
        <v>909</v>
      </c>
      <c r="E173" s="264" t="s">
        <v>1751</v>
      </c>
      <c r="F173" s="264">
        <v>3588592</v>
      </c>
      <c r="G173" s="264" t="s">
        <v>1063</v>
      </c>
      <c r="H173" s="264">
        <v>2019</v>
      </c>
      <c r="I173" s="265"/>
      <c r="J173" s="278"/>
      <c r="K173" s="279"/>
      <c r="L173" s="279"/>
      <c r="M173" s="280"/>
      <c r="N173" s="280"/>
      <c r="O173" s="279">
        <v>3607</v>
      </c>
      <c r="P173" s="281" t="s">
        <v>1407</v>
      </c>
      <c r="Q173" s="264"/>
      <c r="R173" s="282"/>
      <c r="S173" s="281">
        <v>44377</v>
      </c>
      <c r="T173" s="281">
        <v>0</v>
      </c>
      <c r="U173" s="264">
        <v>0</v>
      </c>
      <c r="V173" s="282">
        <v>0</v>
      </c>
      <c r="W173" s="281">
        <v>0</v>
      </c>
      <c r="X173" s="281">
        <v>0</v>
      </c>
      <c r="Y173" s="264">
        <v>0</v>
      </c>
      <c r="Z173" s="282">
        <v>0</v>
      </c>
      <c r="AA173" s="281">
        <v>0</v>
      </c>
      <c r="AB173" s="281">
        <v>0</v>
      </c>
      <c r="AD173" s="284">
        <v>0</v>
      </c>
      <c r="AE173" s="284">
        <v>0</v>
      </c>
      <c r="AF173" s="284">
        <v>0</v>
      </c>
      <c r="AG173" s="284">
        <v>0</v>
      </c>
      <c r="AH173" s="284">
        <v>0</v>
      </c>
      <c r="AI173" s="284">
        <v>0</v>
      </c>
      <c r="AJ173" s="284">
        <v>0</v>
      </c>
      <c r="AL173" s="285">
        <v>0</v>
      </c>
      <c r="AM173" s="286">
        <v>0</v>
      </c>
      <c r="AN173" s="287">
        <v>0</v>
      </c>
      <c r="AO173" s="288">
        <v>0</v>
      </c>
      <c r="AP173" s="289">
        <v>0</v>
      </c>
      <c r="AQ173" s="266"/>
      <c r="AR173" s="285">
        <v>0</v>
      </c>
      <c r="AS173" s="286">
        <v>0</v>
      </c>
      <c r="AT173" s="286">
        <v>0</v>
      </c>
      <c r="AU173" s="290">
        <v>0</v>
      </c>
      <c r="AV173" s="289">
        <v>0</v>
      </c>
      <c r="AW173" s="291">
        <v>0</v>
      </c>
    </row>
    <row r="174" spans="1:49" x14ac:dyDescent="0.25">
      <c r="A174" s="264">
        <v>6361701</v>
      </c>
      <c r="B174" s="264" t="str">
        <f>VLOOKUP(A174,'Výpočet VP 2020'!$A$4:$B$318,2,FALSE)</f>
        <v>NZO</v>
      </c>
      <c r="C174" s="264" t="s">
        <v>1438</v>
      </c>
      <c r="D174" s="264" t="s">
        <v>375</v>
      </c>
      <c r="E174" s="264" t="s">
        <v>1431</v>
      </c>
      <c r="F174" s="264">
        <v>6361701</v>
      </c>
      <c r="G174" s="264" t="s">
        <v>1073</v>
      </c>
      <c r="H174" s="264">
        <v>2019</v>
      </c>
      <c r="I174" s="265"/>
      <c r="J174" s="278"/>
      <c r="K174" s="279"/>
      <c r="L174" s="279"/>
      <c r="M174" s="280"/>
      <c r="N174" s="280"/>
      <c r="O174" s="279">
        <v>3610</v>
      </c>
      <c r="P174" s="281" t="s">
        <v>1407</v>
      </c>
      <c r="Q174" s="264"/>
      <c r="R174" s="282"/>
      <c r="S174" s="281">
        <v>44377</v>
      </c>
      <c r="T174" s="281">
        <v>1.7</v>
      </c>
      <c r="U174" s="264">
        <v>1.7</v>
      </c>
      <c r="V174" s="282">
        <v>0</v>
      </c>
      <c r="W174" s="281">
        <v>0</v>
      </c>
      <c r="X174" s="281">
        <v>0</v>
      </c>
      <c r="Y174" s="264">
        <v>0</v>
      </c>
      <c r="Z174" s="282">
        <v>20</v>
      </c>
      <c r="AA174" s="281">
        <v>0</v>
      </c>
      <c r="AB174" s="281">
        <v>0</v>
      </c>
      <c r="AD174" s="284">
        <v>1.7</v>
      </c>
      <c r="AE174" s="284">
        <v>1.7</v>
      </c>
      <c r="AF174" s="284">
        <v>0</v>
      </c>
      <c r="AG174" s="284">
        <v>0</v>
      </c>
      <c r="AH174" s="284">
        <v>0</v>
      </c>
      <c r="AI174" s="284">
        <v>0</v>
      </c>
      <c r="AJ174" s="284">
        <v>0</v>
      </c>
      <c r="AL174" s="285">
        <v>1095943.7589688406</v>
      </c>
      <c r="AM174" s="286">
        <v>0</v>
      </c>
      <c r="AN174" s="287">
        <v>74746.914519482933</v>
      </c>
      <c r="AO174" s="288">
        <v>0</v>
      </c>
      <c r="AP174" s="289">
        <v>1170690.6734883236</v>
      </c>
      <c r="AQ174" s="266"/>
      <c r="AR174" s="285">
        <v>0</v>
      </c>
      <c r="AS174" s="286">
        <v>0</v>
      </c>
      <c r="AT174" s="286">
        <v>0</v>
      </c>
      <c r="AU174" s="290">
        <v>0</v>
      </c>
      <c r="AV174" s="289">
        <v>0</v>
      </c>
      <c r="AW174" s="291">
        <v>1170690.6734883236</v>
      </c>
    </row>
    <row r="175" spans="1:49" x14ac:dyDescent="0.25">
      <c r="A175" s="264">
        <v>2788586</v>
      </c>
      <c r="B175" s="264" t="str">
        <f>VLOOKUP(A175,'Výpočet VP 2020'!$A$4:$B$318,2,FALSE)</f>
        <v>NZO</v>
      </c>
      <c r="C175" s="264" t="s">
        <v>828</v>
      </c>
      <c r="D175" s="264" t="s">
        <v>826</v>
      </c>
      <c r="E175" s="264" t="s">
        <v>1431</v>
      </c>
      <c r="F175" s="264">
        <v>2788586</v>
      </c>
      <c r="G175" s="264" t="s">
        <v>1073</v>
      </c>
      <c r="H175" s="264">
        <v>2019</v>
      </c>
      <c r="I175" s="265"/>
      <c r="J175" s="278"/>
      <c r="K175" s="279"/>
      <c r="L175" s="279"/>
      <c r="M175" s="280"/>
      <c r="N175" s="280"/>
      <c r="O175" s="279">
        <v>3610</v>
      </c>
      <c r="P175" s="281" t="s">
        <v>1407</v>
      </c>
      <c r="Q175" s="264"/>
      <c r="R175" s="282"/>
      <c r="S175" s="281">
        <v>44377</v>
      </c>
      <c r="T175" s="281">
        <v>1.75</v>
      </c>
      <c r="U175" s="264">
        <v>1.5</v>
      </c>
      <c r="V175" s="282">
        <v>0.25</v>
      </c>
      <c r="W175" s="281">
        <v>0</v>
      </c>
      <c r="X175" s="281">
        <v>0</v>
      </c>
      <c r="Y175" s="264">
        <v>0</v>
      </c>
      <c r="Z175" s="282">
        <v>17</v>
      </c>
      <c r="AA175" s="281">
        <v>0</v>
      </c>
      <c r="AB175" s="281">
        <v>0</v>
      </c>
      <c r="AD175" s="284">
        <v>1.75</v>
      </c>
      <c r="AE175" s="284">
        <v>1.5</v>
      </c>
      <c r="AF175" s="284">
        <v>0.25</v>
      </c>
      <c r="AG175" s="284">
        <v>0</v>
      </c>
      <c r="AH175" s="284">
        <v>0</v>
      </c>
      <c r="AI175" s="284">
        <v>0</v>
      </c>
      <c r="AJ175" s="284">
        <v>0</v>
      </c>
      <c r="AL175" s="285">
        <v>1128177.3989385122</v>
      </c>
      <c r="AM175" s="286">
        <v>0</v>
      </c>
      <c r="AN175" s="287">
        <v>76945.353181820668</v>
      </c>
      <c r="AO175" s="288">
        <v>0</v>
      </c>
      <c r="AP175" s="289">
        <v>1205122.7521203328</v>
      </c>
      <c r="AQ175" s="266"/>
      <c r="AR175" s="285">
        <v>0</v>
      </c>
      <c r="AS175" s="286">
        <v>0</v>
      </c>
      <c r="AT175" s="286">
        <v>0</v>
      </c>
      <c r="AU175" s="290">
        <v>0</v>
      </c>
      <c r="AV175" s="289">
        <v>0</v>
      </c>
      <c r="AW175" s="291">
        <v>1205122.7521203328</v>
      </c>
    </row>
    <row r="176" spans="1:49" x14ac:dyDescent="0.25">
      <c r="A176" s="264">
        <v>9659243</v>
      </c>
      <c r="B176" s="264" t="str">
        <f>VLOOKUP(A176,'Výpočet VP 2020'!$A$4:$B$318,2,FALSE)</f>
        <v>NZO</v>
      </c>
      <c r="C176" s="264" t="s">
        <v>918</v>
      </c>
      <c r="D176" s="264" t="s">
        <v>909</v>
      </c>
      <c r="E176" s="264" t="s">
        <v>1431</v>
      </c>
      <c r="F176" s="264">
        <v>9659243</v>
      </c>
      <c r="G176" s="264" t="s">
        <v>1073</v>
      </c>
      <c r="H176" s="264">
        <v>2019</v>
      </c>
      <c r="I176" s="265"/>
      <c r="J176" s="278"/>
      <c r="K176" s="279"/>
      <c r="L176" s="279"/>
      <c r="M176" s="280"/>
      <c r="N176" s="280"/>
      <c r="O176" s="279">
        <v>3610</v>
      </c>
      <c r="P176" s="281" t="s">
        <v>1407</v>
      </c>
      <c r="Q176" s="264"/>
      <c r="R176" s="282">
        <v>43647</v>
      </c>
      <c r="S176" s="281">
        <v>44196</v>
      </c>
      <c r="T176" s="281">
        <v>0.6</v>
      </c>
      <c r="U176" s="264">
        <v>0.6</v>
      </c>
      <c r="V176" s="282">
        <v>0</v>
      </c>
      <c r="W176" s="281">
        <v>0</v>
      </c>
      <c r="X176" s="281">
        <v>0</v>
      </c>
      <c r="Y176" s="264">
        <v>0</v>
      </c>
      <c r="Z176" s="282">
        <v>44</v>
      </c>
      <c r="AA176" s="281">
        <v>0</v>
      </c>
      <c r="AB176" s="281">
        <v>0</v>
      </c>
      <c r="AD176" s="284">
        <v>0.6</v>
      </c>
      <c r="AE176" s="284">
        <v>0.6</v>
      </c>
      <c r="AF176" s="284">
        <v>0</v>
      </c>
      <c r="AG176" s="284">
        <v>0</v>
      </c>
      <c r="AH176" s="284">
        <v>0</v>
      </c>
      <c r="AI176" s="284">
        <v>0</v>
      </c>
      <c r="AJ176" s="284">
        <v>0</v>
      </c>
      <c r="AL176" s="285">
        <v>386803.67963606137</v>
      </c>
      <c r="AM176" s="286">
        <v>0</v>
      </c>
      <c r="AN176" s="287">
        <v>26381.263948052798</v>
      </c>
      <c r="AO176" s="288">
        <v>0</v>
      </c>
      <c r="AP176" s="289">
        <v>413184.94358411414</v>
      </c>
      <c r="AQ176" s="266"/>
      <c r="AR176" s="285">
        <v>0</v>
      </c>
      <c r="AS176" s="286">
        <v>0</v>
      </c>
      <c r="AT176" s="286">
        <v>0</v>
      </c>
      <c r="AU176" s="290">
        <v>0</v>
      </c>
      <c r="AV176" s="289">
        <v>0</v>
      </c>
      <c r="AW176" s="291">
        <v>413184.94358411414</v>
      </c>
    </row>
    <row r="177" spans="1:49" x14ac:dyDescent="0.25">
      <c r="A177" s="264">
        <v>3588592</v>
      </c>
      <c r="B177" s="353" t="s">
        <v>1770</v>
      </c>
      <c r="C177" s="264" t="s">
        <v>1549</v>
      </c>
      <c r="D177" s="264" t="s">
        <v>909</v>
      </c>
      <c r="E177" s="264" t="s">
        <v>1752</v>
      </c>
      <c r="F177" s="264">
        <v>3588592</v>
      </c>
      <c r="G177" s="264" t="s">
        <v>1073</v>
      </c>
      <c r="H177" s="264">
        <v>2019</v>
      </c>
      <c r="I177" s="265"/>
      <c r="J177" s="278"/>
      <c r="K177" s="279"/>
      <c r="L177" s="279"/>
      <c r="M177" s="280"/>
      <c r="N177" s="280"/>
      <c r="O177" s="279">
        <v>3610</v>
      </c>
      <c r="P177" s="281" t="s">
        <v>1407</v>
      </c>
      <c r="Q177" s="264"/>
      <c r="R177" s="282"/>
      <c r="S177" s="281">
        <v>44377</v>
      </c>
      <c r="T177" s="281">
        <v>0</v>
      </c>
      <c r="U177" s="264">
        <v>0</v>
      </c>
      <c r="V177" s="282">
        <v>0</v>
      </c>
      <c r="W177" s="281">
        <v>0</v>
      </c>
      <c r="X177" s="281">
        <v>0</v>
      </c>
      <c r="Y177" s="264">
        <v>0</v>
      </c>
      <c r="Z177" s="282">
        <v>0</v>
      </c>
      <c r="AA177" s="281">
        <v>0</v>
      </c>
      <c r="AB177" s="281">
        <v>0</v>
      </c>
      <c r="AC177" s="292"/>
      <c r="AD177" s="298">
        <v>0</v>
      </c>
      <c r="AE177" s="298">
        <v>0</v>
      </c>
      <c r="AF177" s="298">
        <v>0</v>
      </c>
      <c r="AG177" s="298">
        <v>0</v>
      </c>
      <c r="AH177" s="298">
        <v>0</v>
      </c>
      <c r="AI177" s="298">
        <v>0</v>
      </c>
      <c r="AJ177" s="298">
        <v>0</v>
      </c>
      <c r="AK177" s="292"/>
      <c r="AL177" s="285">
        <v>0</v>
      </c>
      <c r="AM177" s="302">
        <v>0</v>
      </c>
      <c r="AN177" s="302">
        <v>0</v>
      </c>
      <c r="AO177" s="303">
        <v>0</v>
      </c>
      <c r="AP177" s="303">
        <v>0</v>
      </c>
      <c r="AQ177" s="304"/>
      <c r="AR177" s="285">
        <v>0</v>
      </c>
      <c r="AS177" s="286">
        <v>0</v>
      </c>
      <c r="AT177" s="286">
        <v>0</v>
      </c>
      <c r="AU177" s="290">
        <v>0</v>
      </c>
      <c r="AV177" s="289">
        <v>0</v>
      </c>
      <c r="AW177" s="299">
        <v>0</v>
      </c>
    </row>
    <row r="178" spans="1:49" x14ac:dyDescent="0.25">
      <c r="A178" s="264">
        <v>6630553</v>
      </c>
      <c r="B178" s="264" t="str">
        <f>VLOOKUP(A178,'Výpočet VP 2020'!$A$4:$B$318,2,FALSE)</f>
        <v>NZO</v>
      </c>
      <c r="C178" s="264" t="s">
        <v>294</v>
      </c>
      <c r="D178" s="264" t="s">
        <v>290</v>
      </c>
      <c r="E178" s="264" t="s">
        <v>1449</v>
      </c>
      <c r="F178" s="264">
        <v>6630553</v>
      </c>
      <c r="G178" s="264" t="s">
        <v>1058</v>
      </c>
      <c r="H178" s="264">
        <v>2019</v>
      </c>
      <c r="I178" s="265"/>
      <c r="J178" s="278"/>
      <c r="K178" s="279"/>
      <c r="L178" s="279"/>
      <c r="M178" s="280"/>
      <c r="N178" s="280">
        <v>2046</v>
      </c>
      <c r="O178" s="279"/>
      <c r="P178" s="281" t="s">
        <v>1341</v>
      </c>
      <c r="Q178" s="264"/>
      <c r="R178" s="282"/>
      <c r="S178" s="281" t="s">
        <v>1733</v>
      </c>
      <c r="T178" s="281">
        <v>4</v>
      </c>
      <c r="U178" s="264">
        <v>3.8</v>
      </c>
      <c r="V178" s="282">
        <v>0</v>
      </c>
      <c r="W178" s="281">
        <v>0</v>
      </c>
      <c r="X178" s="281">
        <v>0.2</v>
      </c>
      <c r="Y178" s="264">
        <v>0</v>
      </c>
      <c r="Z178" s="282">
        <v>30</v>
      </c>
      <c r="AA178" s="281">
        <v>0</v>
      </c>
      <c r="AB178" s="281">
        <v>0</v>
      </c>
      <c r="AD178" s="284">
        <v>4</v>
      </c>
      <c r="AE178" s="284">
        <v>3.8</v>
      </c>
      <c r="AF178" s="284">
        <v>0</v>
      </c>
      <c r="AG178" s="284">
        <v>0</v>
      </c>
      <c r="AH178" s="284">
        <v>0.2</v>
      </c>
      <c r="AI178" s="284">
        <v>0</v>
      </c>
      <c r="AJ178" s="284">
        <v>0</v>
      </c>
      <c r="AL178" s="285">
        <v>2722457.1587071139</v>
      </c>
      <c r="AM178" s="286">
        <v>0</v>
      </c>
      <c r="AN178" s="287">
        <v>153655.66794511353</v>
      </c>
      <c r="AO178" s="288">
        <v>0</v>
      </c>
      <c r="AP178" s="289">
        <v>2876112.8266522274</v>
      </c>
      <c r="AQ178" s="266"/>
      <c r="AR178" s="285">
        <v>0</v>
      </c>
      <c r="AS178" s="286">
        <v>0</v>
      </c>
      <c r="AT178" s="286">
        <v>0</v>
      </c>
      <c r="AU178" s="290">
        <v>0</v>
      </c>
      <c r="AV178" s="289">
        <v>0</v>
      </c>
      <c r="AW178" s="291">
        <v>2876112.8266522274</v>
      </c>
    </row>
    <row r="179" spans="1:49" x14ac:dyDescent="0.25">
      <c r="A179" s="264">
        <v>1792038</v>
      </c>
      <c r="B179" s="264" t="str">
        <f>VLOOKUP(A179,'Výpočet VP 2020'!$A$4:$B$318,2,FALSE)</f>
        <v>NZO</v>
      </c>
      <c r="C179" s="264" t="s">
        <v>1448</v>
      </c>
      <c r="D179" s="264" t="s">
        <v>1067</v>
      </c>
      <c r="E179" s="264" t="s">
        <v>1446</v>
      </c>
      <c r="F179" s="264">
        <v>1792038</v>
      </c>
      <c r="G179" s="264" t="s">
        <v>1058</v>
      </c>
      <c r="H179" s="264">
        <v>2019</v>
      </c>
      <c r="I179" s="265"/>
      <c r="J179" s="278"/>
      <c r="K179" s="279"/>
      <c r="L179" s="279"/>
      <c r="M179" s="280"/>
      <c r="N179" s="280">
        <v>2046</v>
      </c>
      <c r="O179" s="279"/>
      <c r="P179" s="281" t="s">
        <v>1069</v>
      </c>
      <c r="Q179" s="264"/>
      <c r="R179" s="282"/>
      <c r="S179" s="281" t="s">
        <v>1733</v>
      </c>
      <c r="T179" s="281">
        <v>1.75</v>
      </c>
      <c r="U179" s="264">
        <v>1</v>
      </c>
      <c r="V179" s="282">
        <v>0.75</v>
      </c>
      <c r="W179" s="281">
        <v>0</v>
      </c>
      <c r="X179" s="281">
        <v>0</v>
      </c>
      <c r="Y179" s="264">
        <v>0</v>
      </c>
      <c r="Z179" s="282">
        <v>0</v>
      </c>
      <c r="AA179" s="281">
        <v>5</v>
      </c>
      <c r="AB179" s="281">
        <v>0</v>
      </c>
      <c r="AD179" s="284">
        <v>1.75</v>
      </c>
      <c r="AE179" s="284">
        <v>1</v>
      </c>
      <c r="AF179" s="284">
        <v>0.75</v>
      </c>
      <c r="AG179" s="284">
        <v>0</v>
      </c>
      <c r="AH179" s="284">
        <v>0</v>
      </c>
      <c r="AI179" s="284">
        <v>0</v>
      </c>
      <c r="AJ179" s="284">
        <v>5</v>
      </c>
      <c r="AL179" s="285">
        <v>1191075.0069343625</v>
      </c>
      <c r="AM179" s="286">
        <v>0</v>
      </c>
      <c r="AN179" s="287">
        <v>67224.35472598717</v>
      </c>
      <c r="AO179" s="288">
        <v>0</v>
      </c>
      <c r="AP179" s="289">
        <v>1258299.3616603496</v>
      </c>
      <c r="AQ179" s="266"/>
      <c r="AR179" s="285">
        <v>0</v>
      </c>
      <c r="AS179" s="286">
        <v>0</v>
      </c>
      <c r="AT179" s="286">
        <v>0</v>
      </c>
      <c r="AU179" s="290">
        <v>0</v>
      </c>
      <c r="AV179" s="289">
        <v>0</v>
      </c>
      <c r="AW179" s="291">
        <v>1258299.3616603496</v>
      </c>
    </row>
    <row r="180" spans="1:49" x14ac:dyDescent="0.25">
      <c r="A180" s="264">
        <v>7653065</v>
      </c>
      <c r="B180" s="264" t="str">
        <f>VLOOKUP(A180,'Výpočet VP 2020'!$A$4:$B$318,2,FALSE)</f>
        <v>NZO</v>
      </c>
      <c r="C180" s="264" t="s">
        <v>1457</v>
      </c>
      <c r="D180" s="264" t="s">
        <v>553</v>
      </c>
      <c r="E180" s="264" t="s">
        <v>1452</v>
      </c>
      <c r="F180" s="264">
        <v>7653065</v>
      </c>
      <c r="G180" s="264" t="s">
        <v>1134</v>
      </c>
      <c r="H180" s="264">
        <v>2019</v>
      </c>
      <c r="I180" s="265"/>
      <c r="J180" s="278"/>
      <c r="K180" s="279">
        <v>1201</v>
      </c>
      <c r="L180" s="279"/>
      <c r="M180" s="280"/>
      <c r="N180" s="280"/>
      <c r="O180" s="279"/>
      <c r="P180" s="281" t="s">
        <v>1271</v>
      </c>
      <c r="Q180" s="264"/>
      <c r="R180" s="282"/>
      <c r="S180" s="281">
        <v>44196</v>
      </c>
      <c r="T180" s="281">
        <v>5</v>
      </c>
      <c r="U180" s="264">
        <v>1</v>
      </c>
      <c r="V180" s="282">
        <v>4</v>
      </c>
      <c r="W180" s="281">
        <v>0</v>
      </c>
      <c r="X180" s="281">
        <v>0</v>
      </c>
      <c r="Y180" s="264">
        <v>0</v>
      </c>
      <c r="Z180" s="282">
        <v>0</v>
      </c>
      <c r="AA180" s="281">
        <v>14</v>
      </c>
      <c r="AB180" s="281">
        <v>0</v>
      </c>
      <c r="AD180" s="284">
        <v>5</v>
      </c>
      <c r="AE180" s="284">
        <v>1</v>
      </c>
      <c r="AF180" s="284">
        <v>4</v>
      </c>
      <c r="AG180" s="284">
        <v>0</v>
      </c>
      <c r="AH180" s="284">
        <v>0</v>
      </c>
      <c r="AI180" s="284">
        <v>0</v>
      </c>
      <c r="AJ180" s="284">
        <v>14</v>
      </c>
      <c r="AL180" s="285">
        <v>2971695.0405021906</v>
      </c>
      <c r="AM180" s="286">
        <v>0</v>
      </c>
      <c r="AN180" s="287">
        <v>400727.1017295646</v>
      </c>
      <c r="AO180" s="288">
        <v>0</v>
      </c>
      <c r="AP180" s="289">
        <v>3372422.142231755</v>
      </c>
      <c r="AQ180" s="266"/>
      <c r="AR180" s="285">
        <v>0</v>
      </c>
      <c r="AS180" s="286">
        <v>0</v>
      </c>
      <c r="AT180" s="286">
        <v>0</v>
      </c>
      <c r="AU180" s="290">
        <v>0</v>
      </c>
      <c r="AV180" s="289">
        <v>0</v>
      </c>
      <c r="AW180" s="291">
        <v>3372422.142231755</v>
      </c>
    </row>
    <row r="181" spans="1:49" x14ac:dyDescent="0.25">
      <c r="A181" s="264">
        <v>7263765</v>
      </c>
      <c r="B181" s="264" t="str">
        <f>VLOOKUP(A181,'Výpočet VP 2020'!$A$4:$B$318,2,FALSE)</f>
        <v>NZO</v>
      </c>
      <c r="C181" s="264" t="s">
        <v>1455</v>
      </c>
      <c r="D181" s="264" t="s">
        <v>1247</v>
      </c>
      <c r="E181" s="264" t="s">
        <v>1454</v>
      </c>
      <c r="F181" s="264">
        <v>7263765</v>
      </c>
      <c r="G181" s="264" t="s">
        <v>1058</v>
      </c>
      <c r="H181" s="264">
        <v>2019</v>
      </c>
      <c r="I181" s="265"/>
      <c r="J181" s="278"/>
      <c r="K181" s="279">
        <v>965</v>
      </c>
      <c r="L181" s="279"/>
      <c r="M181" s="280"/>
      <c r="N181" s="280"/>
      <c r="O181" s="279"/>
      <c r="P181" s="281" t="s">
        <v>1262</v>
      </c>
      <c r="Q181" s="264"/>
      <c r="R181" s="282"/>
      <c r="S181" s="281">
        <v>44196</v>
      </c>
      <c r="T181" s="281">
        <v>2</v>
      </c>
      <c r="U181" s="264">
        <v>1</v>
      </c>
      <c r="V181" s="282">
        <v>1</v>
      </c>
      <c r="W181" s="281"/>
      <c r="X181" s="281"/>
      <c r="Y181" s="264"/>
      <c r="Z181" s="282"/>
      <c r="AA181" s="281">
        <v>8</v>
      </c>
      <c r="AB181" s="281"/>
      <c r="AD181" s="284">
        <v>2</v>
      </c>
      <c r="AE181" s="284">
        <v>1</v>
      </c>
      <c r="AF181" s="284">
        <v>1</v>
      </c>
      <c r="AG181" s="284">
        <v>0</v>
      </c>
      <c r="AH181" s="284">
        <v>0</v>
      </c>
      <c r="AI181" s="284">
        <v>0</v>
      </c>
      <c r="AJ181" s="284">
        <v>8</v>
      </c>
      <c r="AL181" s="285">
        <v>1188678.0162008763</v>
      </c>
      <c r="AM181" s="286">
        <v>0</v>
      </c>
      <c r="AN181" s="287">
        <v>160290.84069182584</v>
      </c>
      <c r="AO181" s="288">
        <v>0</v>
      </c>
      <c r="AP181" s="289">
        <v>1348968.8568927022</v>
      </c>
      <c r="AQ181" s="266"/>
      <c r="AR181" s="285">
        <v>0</v>
      </c>
      <c r="AS181" s="286">
        <v>0</v>
      </c>
      <c r="AT181" s="286">
        <v>0</v>
      </c>
      <c r="AU181" s="290">
        <v>0</v>
      </c>
      <c r="AV181" s="289">
        <v>0</v>
      </c>
      <c r="AW181" s="291">
        <v>1348968.8568927022</v>
      </c>
    </row>
    <row r="182" spans="1:49" x14ac:dyDescent="0.25">
      <c r="A182" s="264">
        <v>7365832</v>
      </c>
      <c r="B182" s="264" t="str">
        <f>VLOOKUP(A182,'Výpočet VP 2020'!$A$4:$B$318,2,FALSE)</f>
        <v>NZO</v>
      </c>
      <c r="C182" s="264" t="s">
        <v>231</v>
      </c>
      <c r="D182" s="264" t="s">
        <v>1145</v>
      </c>
      <c r="E182" s="264" t="s">
        <v>1456</v>
      </c>
      <c r="F182" s="264">
        <v>7365832</v>
      </c>
      <c r="G182" s="264" t="s">
        <v>1068</v>
      </c>
      <c r="H182" s="264">
        <v>2019</v>
      </c>
      <c r="I182" s="265"/>
      <c r="J182" s="278"/>
      <c r="K182" s="279">
        <v>1015</v>
      </c>
      <c r="L182" s="279"/>
      <c r="M182" s="280"/>
      <c r="N182" s="280"/>
      <c r="O182" s="279"/>
      <c r="P182" s="281" t="s">
        <v>1262</v>
      </c>
      <c r="Q182" s="264"/>
      <c r="R182" s="282"/>
      <c r="S182" s="281">
        <v>44196</v>
      </c>
      <c r="T182" s="281">
        <v>1.8</v>
      </c>
      <c r="U182" s="264">
        <v>0.3</v>
      </c>
      <c r="V182" s="282">
        <v>1.5</v>
      </c>
      <c r="W182" s="281">
        <v>0</v>
      </c>
      <c r="X182" s="281">
        <v>0</v>
      </c>
      <c r="Y182" s="264">
        <v>0</v>
      </c>
      <c r="Z182" s="282">
        <v>0</v>
      </c>
      <c r="AA182" s="281">
        <v>20</v>
      </c>
      <c r="AB182" s="281">
        <v>0</v>
      </c>
      <c r="AD182" s="284">
        <v>1.8</v>
      </c>
      <c r="AE182" s="284">
        <v>0.3</v>
      </c>
      <c r="AF182" s="284">
        <v>1.5</v>
      </c>
      <c r="AG182" s="284">
        <v>0</v>
      </c>
      <c r="AH182" s="284">
        <v>0</v>
      </c>
      <c r="AI182" s="284">
        <v>0</v>
      </c>
      <c r="AJ182" s="284">
        <v>20</v>
      </c>
      <c r="AL182" s="285">
        <v>1069810.2145807887</v>
      </c>
      <c r="AM182" s="286">
        <v>0</v>
      </c>
      <c r="AN182" s="287">
        <v>144261.75662264327</v>
      </c>
      <c r="AO182" s="288">
        <v>0</v>
      </c>
      <c r="AP182" s="289">
        <v>1214071.971203432</v>
      </c>
      <c r="AQ182" s="266"/>
      <c r="AR182" s="285">
        <v>0</v>
      </c>
      <c r="AS182" s="286">
        <v>0</v>
      </c>
      <c r="AT182" s="286">
        <v>0</v>
      </c>
      <c r="AU182" s="290">
        <v>0</v>
      </c>
      <c r="AV182" s="289">
        <v>0</v>
      </c>
      <c r="AW182" s="291">
        <v>1214071.971203432</v>
      </c>
    </row>
    <row r="183" spans="1:49" x14ac:dyDescent="0.25">
      <c r="A183" s="264">
        <v>1552469</v>
      </c>
      <c r="B183" s="264" t="str">
        <f>VLOOKUP(A183,'Výpočet VP 2020'!$A$4:$B$318,2,FALSE)</f>
        <v>NZO</v>
      </c>
      <c r="C183" s="264" t="s">
        <v>878</v>
      </c>
      <c r="D183" s="264" t="s">
        <v>874</v>
      </c>
      <c r="E183" s="264" t="s">
        <v>1450</v>
      </c>
      <c r="F183" s="264">
        <v>1552469</v>
      </c>
      <c r="G183" s="264" t="s">
        <v>1063</v>
      </c>
      <c r="H183" s="264">
        <v>2019</v>
      </c>
      <c r="I183" s="265"/>
      <c r="J183" s="278"/>
      <c r="K183" s="279">
        <v>1121</v>
      </c>
      <c r="L183" s="279"/>
      <c r="M183" s="280"/>
      <c r="N183" s="280"/>
      <c r="O183" s="279"/>
      <c r="P183" s="281" t="s">
        <v>1262</v>
      </c>
      <c r="Q183" s="264"/>
      <c r="R183" s="282"/>
      <c r="S183" s="281">
        <v>44196</v>
      </c>
      <c r="T183" s="281">
        <v>1.62</v>
      </c>
      <c r="U183" s="264">
        <v>0.7</v>
      </c>
      <c r="V183" s="282">
        <v>0.92</v>
      </c>
      <c r="W183" s="281">
        <v>0</v>
      </c>
      <c r="X183" s="281">
        <v>0</v>
      </c>
      <c r="Y183" s="264">
        <v>0</v>
      </c>
      <c r="Z183" s="282">
        <v>0</v>
      </c>
      <c r="AA183" s="281">
        <v>3</v>
      </c>
      <c r="AB183" s="281">
        <v>0</v>
      </c>
      <c r="AD183" s="284">
        <v>1.62</v>
      </c>
      <c r="AE183" s="284">
        <v>0.7</v>
      </c>
      <c r="AF183" s="284">
        <v>0.92</v>
      </c>
      <c r="AG183" s="284">
        <v>0</v>
      </c>
      <c r="AH183" s="284">
        <v>0</v>
      </c>
      <c r="AI183" s="284">
        <v>0</v>
      </c>
      <c r="AJ183" s="284">
        <v>3</v>
      </c>
      <c r="AL183" s="285">
        <v>962829.19312270987</v>
      </c>
      <c r="AM183" s="286">
        <v>0</v>
      </c>
      <c r="AN183" s="287">
        <v>129835.58096037894</v>
      </c>
      <c r="AO183" s="288">
        <v>0</v>
      </c>
      <c r="AP183" s="289">
        <v>1092664.7740830889</v>
      </c>
      <c r="AQ183" s="266"/>
      <c r="AR183" s="285">
        <v>0</v>
      </c>
      <c r="AS183" s="286">
        <v>0</v>
      </c>
      <c r="AT183" s="286">
        <v>0</v>
      </c>
      <c r="AU183" s="290">
        <v>0</v>
      </c>
      <c r="AV183" s="289">
        <v>0</v>
      </c>
      <c r="AW183" s="291">
        <v>1092664.7740830889</v>
      </c>
    </row>
    <row r="184" spans="1:49" x14ac:dyDescent="0.25">
      <c r="A184" s="264">
        <v>1537615</v>
      </c>
      <c r="B184" s="264" t="str">
        <f>VLOOKUP(A184,'Výpočet VP 2020'!$A$4:$B$318,2,FALSE)</f>
        <v>NZO</v>
      </c>
      <c r="C184" s="264" t="s">
        <v>1460</v>
      </c>
      <c r="D184" s="264" t="s">
        <v>1056</v>
      </c>
      <c r="E184" s="264" t="s">
        <v>1458</v>
      </c>
      <c r="F184" s="264">
        <v>1537615</v>
      </c>
      <c r="G184" s="264" t="s">
        <v>1058</v>
      </c>
      <c r="H184" s="264">
        <v>2019</v>
      </c>
      <c r="I184" s="265"/>
      <c r="J184" s="278"/>
      <c r="K184" s="279"/>
      <c r="L184" s="279"/>
      <c r="M184" s="280"/>
      <c r="N184" s="280"/>
      <c r="O184" s="279">
        <v>3602</v>
      </c>
      <c r="P184" s="281" t="s">
        <v>1059</v>
      </c>
      <c r="Q184" s="264"/>
      <c r="R184" s="282"/>
      <c r="S184" s="281" t="s">
        <v>1733</v>
      </c>
      <c r="T184" s="281">
        <v>0.53</v>
      </c>
      <c r="U184" s="264">
        <v>0.53</v>
      </c>
      <c r="V184" s="282">
        <v>0</v>
      </c>
      <c r="W184" s="281">
        <v>0</v>
      </c>
      <c r="X184" s="281">
        <v>0</v>
      </c>
      <c r="Y184" s="264">
        <v>0</v>
      </c>
      <c r="Z184" s="282">
        <v>20</v>
      </c>
      <c r="AA184" s="281">
        <v>0</v>
      </c>
      <c r="AB184" s="281">
        <v>0</v>
      </c>
      <c r="AD184" s="284">
        <v>0.53</v>
      </c>
      <c r="AE184" s="284">
        <v>0.53</v>
      </c>
      <c r="AF184" s="284">
        <v>0</v>
      </c>
      <c r="AG184" s="284">
        <v>0</v>
      </c>
      <c r="AH184" s="284">
        <v>0</v>
      </c>
      <c r="AI184" s="284">
        <v>0</v>
      </c>
      <c r="AJ184" s="284">
        <v>0</v>
      </c>
      <c r="AL184" s="285">
        <v>318751.62806681491</v>
      </c>
      <c r="AM184" s="286">
        <v>0</v>
      </c>
      <c r="AN184" s="287">
        <v>16364.122820645611</v>
      </c>
      <c r="AO184" s="288">
        <v>0</v>
      </c>
      <c r="AP184" s="289">
        <v>335115.75088746054</v>
      </c>
      <c r="AQ184" s="266"/>
      <c r="AR184" s="285">
        <v>0</v>
      </c>
      <c r="AS184" s="286">
        <v>0</v>
      </c>
      <c r="AT184" s="286">
        <v>0</v>
      </c>
      <c r="AU184" s="290">
        <v>0</v>
      </c>
      <c r="AV184" s="289">
        <v>0</v>
      </c>
      <c r="AW184" s="291">
        <v>335115.75088746054</v>
      </c>
    </row>
    <row r="185" spans="1:49" x14ac:dyDescent="0.25">
      <c r="A185" s="264">
        <v>1758706</v>
      </c>
      <c r="B185" s="264" t="str">
        <f>VLOOKUP(A185,'Výpočet VP 2020'!$A$4:$B$318,2,FALSE)</f>
        <v>NZO</v>
      </c>
      <c r="C185" s="264" t="s">
        <v>1465</v>
      </c>
      <c r="D185" s="264" t="s">
        <v>249</v>
      </c>
      <c r="E185" s="264" t="s">
        <v>1464</v>
      </c>
      <c r="F185" s="264">
        <v>1758706</v>
      </c>
      <c r="G185" s="264" t="s">
        <v>1058</v>
      </c>
      <c r="H185" s="264">
        <v>2019</v>
      </c>
      <c r="I185" s="265"/>
      <c r="J185" s="278"/>
      <c r="K185" s="279"/>
      <c r="L185" s="279"/>
      <c r="M185" s="280"/>
      <c r="N185" s="280"/>
      <c r="O185" s="279">
        <v>3602</v>
      </c>
      <c r="P185" s="281" t="s">
        <v>1466</v>
      </c>
      <c r="Q185" s="264"/>
      <c r="R185" s="282"/>
      <c r="S185" s="281">
        <v>44196</v>
      </c>
      <c r="T185" s="281">
        <v>1.7</v>
      </c>
      <c r="U185" s="264">
        <v>1</v>
      </c>
      <c r="V185" s="282">
        <v>0.7</v>
      </c>
      <c r="W185" s="281">
        <v>0</v>
      </c>
      <c r="X185" s="281">
        <v>0</v>
      </c>
      <c r="Y185" s="264">
        <v>0</v>
      </c>
      <c r="Z185" s="282">
        <v>10</v>
      </c>
      <c r="AA185" s="281">
        <v>0</v>
      </c>
      <c r="AB185" s="281">
        <v>0</v>
      </c>
      <c r="AD185" s="284">
        <v>1.7</v>
      </c>
      <c r="AE185" s="284">
        <v>1</v>
      </c>
      <c r="AF185" s="284">
        <v>0.7</v>
      </c>
      <c r="AG185" s="284">
        <v>0</v>
      </c>
      <c r="AH185" s="284">
        <v>0</v>
      </c>
      <c r="AI185" s="284">
        <v>0</v>
      </c>
      <c r="AJ185" s="284">
        <v>0</v>
      </c>
      <c r="AL185" s="285">
        <v>1022410.8824784629</v>
      </c>
      <c r="AM185" s="286">
        <v>0</v>
      </c>
      <c r="AN185" s="287">
        <v>52488.695839806671</v>
      </c>
      <c r="AO185" s="288">
        <v>0</v>
      </c>
      <c r="AP185" s="289">
        <v>1074899.5783182695</v>
      </c>
      <c r="AQ185" s="266"/>
      <c r="AR185" s="285">
        <v>0</v>
      </c>
      <c r="AS185" s="286">
        <v>0</v>
      </c>
      <c r="AT185" s="286">
        <v>0</v>
      </c>
      <c r="AU185" s="290">
        <v>0</v>
      </c>
      <c r="AV185" s="289">
        <v>0</v>
      </c>
      <c r="AW185" s="291">
        <v>1074899.5783182695</v>
      </c>
    </row>
    <row r="186" spans="1:49" x14ac:dyDescent="0.25">
      <c r="A186" s="264">
        <v>1537615</v>
      </c>
      <c r="B186" s="264" t="str">
        <f>VLOOKUP(A186,'Výpočet VP 2020'!$A$4:$B$318,2,FALSE)</f>
        <v>NZO</v>
      </c>
      <c r="C186" s="264" t="s">
        <v>1460</v>
      </c>
      <c r="D186" s="264" t="s">
        <v>1056</v>
      </c>
      <c r="E186" s="264" t="s">
        <v>1461</v>
      </c>
      <c r="F186" s="264">
        <v>1537615</v>
      </c>
      <c r="G186" s="264" t="s">
        <v>1068</v>
      </c>
      <c r="H186" s="264">
        <v>2019</v>
      </c>
      <c r="I186" s="265"/>
      <c r="J186" s="278"/>
      <c r="K186" s="279"/>
      <c r="L186" s="279"/>
      <c r="M186" s="280"/>
      <c r="N186" s="280"/>
      <c r="O186" s="279">
        <v>3604</v>
      </c>
      <c r="P186" s="281" t="s">
        <v>1059</v>
      </c>
      <c r="Q186" s="264"/>
      <c r="R186" s="282"/>
      <c r="S186" s="281" t="s">
        <v>1733</v>
      </c>
      <c r="T186" s="281">
        <v>1.74</v>
      </c>
      <c r="U186" s="264">
        <v>1.74</v>
      </c>
      <c r="V186" s="282">
        <v>0</v>
      </c>
      <c r="W186" s="281">
        <v>0</v>
      </c>
      <c r="X186" s="281">
        <v>0</v>
      </c>
      <c r="Y186" s="264">
        <v>0</v>
      </c>
      <c r="Z186" s="282">
        <v>20</v>
      </c>
      <c r="AA186" s="281">
        <v>0</v>
      </c>
      <c r="AB186" s="281">
        <v>0</v>
      </c>
      <c r="AD186" s="284">
        <v>1.74</v>
      </c>
      <c r="AE186" s="284">
        <v>1.74</v>
      </c>
      <c r="AF186" s="284">
        <v>0</v>
      </c>
      <c r="AG186" s="284">
        <v>0</v>
      </c>
      <c r="AH186" s="284">
        <v>0</v>
      </c>
      <c r="AI186" s="284">
        <v>0</v>
      </c>
      <c r="AJ186" s="284">
        <v>0</v>
      </c>
      <c r="AL186" s="285">
        <v>1046467.609125015</v>
      </c>
      <c r="AM186" s="286">
        <v>0</v>
      </c>
      <c r="AN186" s="287">
        <v>53723.723977213886</v>
      </c>
      <c r="AO186" s="288">
        <v>0</v>
      </c>
      <c r="AP186" s="289">
        <v>1100191.3331022288</v>
      </c>
      <c r="AQ186" s="266"/>
      <c r="AR186" s="285">
        <v>0</v>
      </c>
      <c r="AS186" s="286">
        <v>0</v>
      </c>
      <c r="AT186" s="286">
        <v>0</v>
      </c>
      <c r="AU186" s="290">
        <v>0</v>
      </c>
      <c r="AV186" s="289">
        <v>0</v>
      </c>
      <c r="AW186" s="291">
        <v>1100191.3331022288</v>
      </c>
    </row>
    <row r="187" spans="1:49" x14ac:dyDescent="0.25">
      <c r="A187" s="264">
        <v>1758706</v>
      </c>
      <c r="B187" s="264" t="str">
        <f>VLOOKUP(A187,'Výpočet VP 2020'!$A$4:$B$318,2,FALSE)</f>
        <v>NZO</v>
      </c>
      <c r="C187" s="264" t="s">
        <v>1465</v>
      </c>
      <c r="D187" s="264" t="s">
        <v>249</v>
      </c>
      <c r="E187" s="264" t="s">
        <v>1467</v>
      </c>
      <c r="F187" s="264">
        <v>1758706</v>
      </c>
      <c r="G187" s="264" t="s">
        <v>1068</v>
      </c>
      <c r="H187" s="264">
        <v>2019</v>
      </c>
      <c r="I187" s="265"/>
      <c r="J187" s="278"/>
      <c r="K187" s="279"/>
      <c r="L187" s="279"/>
      <c r="M187" s="280"/>
      <c r="N187" s="280"/>
      <c r="O187" s="279">
        <v>3604</v>
      </c>
      <c r="P187" s="281" t="s">
        <v>1466</v>
      </c>
      <c r="Q187" s="264"/>
      <c r="R187" s="282"/>
      <c r="S187" s="281">
        <v>44196</v>
      </c>
      <c r="T187" s="281">
        <v>1.65</v>
      </c>
      <c r="U187" s="264">
        <v>0.9</v>
      </c>
      <c r="V187" s="282">
        <v>0.75</v>
      </c>
      <c r="W187" s="281">
        <v>0</v>
      </c>
      <c r="X187" s="281">
        <v>0</v>
      </c>
      <c r="Y187" s="264">
        <v>0</v>
      </c>
      <c r="Z187" s="282">
        <v>10</v>
      </c>
      <c r="AA187" s="281">
        <v>0</v>
      </c>
      <c r="AB187" s="281">
        <v>0</v>
      </c>
      <c r="AD187" s="284">
        <v>1.65</v>
      </c>
      <c r="AE187" s="284">
        <v>0.9</v>
      </c>
      <c r="AF187" s="284">
        <v>0.75</v>
      </c>
      <c r="AG187" s="284">
        <v>0</v>
      </c>
      <c r="AH187" s="284">
        <v>0</v>
      </c>
      <c r="AI187" s="284">
        <v>0</v>
      </c>
      <c r="AJ187" s="284">
        <v>0</v>
      </c>
      <c r="AL187" s="285">
        <v>992339.9741702727</v>
      </c>
      <c r="AM187" s="286">
        <v>0</v>
      </c>
      <c r="AN187" s="287">
        <v>50944.910668047647</v>
      </c>
      <c r="AO187" s="288">
        <v>0</v>
      </c>
      <c r="AP187" s="289">
        <v>1043284.8848383203</v>
      </c>
      <c r="AQ187" s="266"/>
      <c r="AR187" s="285">
        <v>0</v>
      </c>
      <c r="AS187" s="286">
        <v>0</v>
      </c>
      <c r="AT187" s="286">
        <v>0</v>
      </c>
      <c r="AU187" s="290">
        <v>0</v>
      </c>
      <c r="AV187" s="289">
        <v>0</v>
      </c>
      <c r="AW187" s="291">
        <v>1043284.8848383203</v>
      </c>
    </row>
    <row r="188" spans="1:49" x14ac:dyDescent="0.25">
      <c r="A188" s="264">
        <v>4441304</v>
      </c>
      <c r="B188" s="353" t="s">
        <v>1770</v>
      </c>
      <c r="C188" s="264" t="s">
        <v>1551</v>
      </c>
      <c r="D188" s="264" t="s">
        <v>1552</v>
      </c>
      <c r="E188" s="264" t="s">
        <v>1753</v>
      </c>
      <c r="F188" s="264">
        <v>4441304</v>
      </c>
      <c r="G188" s="264" t="s">
        <v>1087</v>
      </c>
      <c r="H188" s="264">
        <v>2019</v>
      </c>
      <c r="I188" s="265"/>
      <c r="J188" s="278"/>
      <c r="K188" s="279"/>
      <c r="L188" s="279"/>
      <c r="M188" s="280">
        <v>86</v>
      </c>
      <c r="N188" s="280"/>
      <c r="O188" s="279"/>
      <c r="P188" s="281" t="s">
        <v>1754</v>
      </c>
      <c r="Q188" s="264"/>
      <c r="R188" s="282"/>
      <c r="S188" s="281"/>
      <c r="T188" s="281"/>
      <c r="U188" s="264"/>
      <c r="V188" s="282"/>
      <c r="W188" s="281"/>
      <c r="X188" s="281"/>
      <c r="Y188" s="264"/>
      <c r="Z188" s="282"/>
      <c r="AA188" s="281"/>
      <c r="AB188" s="281"/>
      <c r="AD188" s="284">
        <v>0</v>
      </c>
      <c r="AE188" s="284">
        <v>0</v>
      </c>
      <c r="AF188" s="284">
        <v>0</v>
      </c>
      <c r="AG188" s="284">
        <v>0</v>
      </c>
      <c r="AH188" s="284">
        <v>0</v>
      </c>
      <c r="AI188" s="284">
        <v>0</v>
      </c>
      <c r="AJ188" s="284">
        <v>0</v>
      </c>
      <c r="AL188" s="285">
        <v>0</v>
      </c>
      <c r="AM188" s="286">
        <v>0</v>
      </c>
      <c r="AN188" s="287">
        <v>0</v>
      </c>
      <c r="AO188" s="288">
        <v>0</v>
      </c>
      <c r="AP188" s="289">
        <v>0</v>
      </c>
      <c r="AQ188" s="266"/>
      <c r="AR188" s="285">
        <v>0</v>
      </c>
      <c r="AS188" s="286">
        <v>0</v>
      </c>
      <c r="AT188" s="286">
        <v>0</v>
      </c>
      <c r="AU188" s="290">
        <v>0</v>
      </c>
      <c r="AV188" s="289">
        <v>0</v>
      </c>
      <c r="AW188" s="291">
        <v>0</v>
      </c>
    </row>
    <row r="189" spans="1:49" x14ac:dyDescent="0.25">
      <c r="A189" s="264">
        <v>1537615</v>
      </c>
      <c r="B189" s="264" t="str">
        <f>VLOOKUP(A189,'Výpočet VP 2020'!$A$4:$B$318,2,FALSE)</f>
        <v>NZO</v>
      </c>
      <c r="C189" s="264" t="s">
        <v>1460</v>
      </c>
      <c r="D189" s="264" t="s">
        <v>1056</v>
      </c>
      <c r="E189" s="264" t="s">
        <v>1462</v>
      </c>
      <c r="F189" s="264">
        <v>1537615</v>
      </c>
      <c r="G189" s="264" t="s">
        <v>1061</v>
      </c>
      <c r="H189" s="264">
        <v>2019</v>
      </c>
      <c r="I189" s="265"/>
      <c r="J189" s="278"/>
      <c r="K189" s="279"/>
      <c r="L189" s="279"/>
      <c r="M189" s="280"/>
      <c r="N189" s="280"/>
      <c r="O189" s="279">
        <v>3605</v>
      </c>
      <c r="P189" s="281" t="s">
        <v>1059</v>
      </c>
      <c r="Q189" s="264"/>
      <c r="R189" s="282"/>
      <c r="S189" s="281" t="s">
        <v>1733</v>
      </c>
      <c r="T189" s="281">
        <v>1.74</v>
      </c>
      <c r="U189" s="264">
        <v>1.74</v>
      </c>
      <c r="V189" s="282">
        <v>0</v>
      </c>
      <c r="W189" s="281">
        <v>0</v>
      </c>
      <c r="X189" s="281">
        <v>0</v>
      </c>
      <c r="Y189" s="264">
        <v>0</v>
      </c>
      <c r="Z189" s="282">
        <v>20</v>
      </c>
      <c r="AA189" s="281">
        <v>0</v>
      </c>
      <c r="AB189" s="281">
        <v>0</v>
      </c>
      <c r="AC189" s="292"/>
      <c r="AD189" s="298">
        <v>1.74</v>
      </c>
      <c r="AE189" s="298">
        <v>1.74</v>
      </c>
      <c r="AF189" s="298">
        <v>0</v>
      </c>
      <c r="AG189" s="298">
        <v>0</v>
      </c>
      <c r="AH189" s="298">
        <v>0</v>
      </c>
      <c r="AI189" s="298">
        <v>0</v>
      </c>
      <c r="AJ189" s="298">
        <v>0</v>
      </c>
      <c r="AK189" s="292"/>
      <c r="AL189" s="285">
        <v>1046467.609125015</v>
      </c>
      <c r="AM189" s="302">
        <v>0</v>
      </c>
      <c r="AN189" s="302">
        <v>53723.723977213886</v>
      </c>
      <c r="AO189" s="303">
        <v>0</v>
      </c>
      <c r="AP189" s="303">
        <v>1100191.3331022288</v>
      </c>
      <c r="AQ189" s="304"/>
      <c r="AR189" s="285">
        <v>0</v>
      </c>
      <c r="AS189" s="286">
        <v>0</v>
      </c>
      <c r="AT189" s="286">
        <v>0</v>
      </c>
      <c r="AU189" s="290">
        <v>0</v>
      </c>
      <c r="AV189" s="289">
        <v>0</v>
      </c>
      <c r="AW189" s="299">
        <v>1100191.3331022288</v>
      </c>
    </row>
    <row r="190" spans="1:49" x14ac:dyDescent="0.25">
      <c r="A190" s="264">
        <v>1758706</v>
      </c>
      <c r="B190" s="264" t="str">
        <f>VLOOKUP(A190,'Výpočet VP 2020'!$A$4:$B$318,2,FALSE)</f>
        <v>NZO</v>
      </c>
      <c r="C190" s="264" t="s">
        <v>1465</v>
      </c>
      <c r="D190" s="264" t="s">
        <v>249</v>
      </c>
      <c r="E190" s="264" t="s">
        <v>1468</v>
      </c>
      <c r="F190" s="264">
        <v>1758706</v>
      </c>
      <c r="G190" s="264" t="s">
        <v>1061</v>
      </c>
      <c r="H190" s="264">
        <v>2019</v>
      </c>
      <c r="I190" s="265"/>
      <c r="J190" s="278"/>
      <c r="K190" s="279"/>
      <c r="L190" s="279"/>
      <c r="M190" s="280"/>
      <c r="N190" s="280"/>
      <c r="O190" s="279">
        <v>3605</v>
      </c>
      <c r="P190" s="281" t="s">
        <v>1466</v>
      </c>
      <c r="Q190" s="264"/>
      <c r="R190" s="282"/>
      <c r="S190" s="281">
        <v>44196</v>
      </c>
      <c r="T190" s="281">
        <v>1.7</v>
      </c>
      <c r="U190" s="264">
        <v>1.2</v>
      </c>
      <c r="V190" s="282">
        <v>0.5</v>
      </c>
      <c r="W190" s="281">
        <v>0</v>
      </c>
      <c r="X190" s="281">
        <v>0</v>
      </c>
      <c r="Y190" s="264">
        <v>0</v>
      </c>
      <c r="Z190" s="282">
        <v>10</v>
      </c>
      <c r="AA190" s="281">
        <v>0</v>
      </c>
      <c r="AB190" s="281">
        <v>0</v>
      </c>
      <c r="AD190" s="284">
        <v>1.7</v>
      </c>
      <c r="AE190" s="284">
        <v>1.2</v>
      </c>
      <c r="AF190" s="284">
        <v>0.5</v>
      </c>
      <c r="AG190" s="284">
        <v>0</v>
      </c>
      <c r="AH190" s="284">
        <v>0</v>
      </c>
      <c r="AI190" s="284">
        <v>0</v>
      </c>
      <c r="AJ190" s="284">
        <v>0</v>
      </c>
      <c r="AL190" s="285">
        <v>1022410.8824784629</v>
      </c>
      <c r="AM190" s="286">
        <v>0</v>
      </c>
      <c r="AN190" s="287">
        <v>52488.695839806671</v>
      </c>
      <c r="AO190" s="288">
        <v>0</v>
      </c>
      <c r="AP190" s="289">
        <v>1074899.5783182695</v>
      </c>
      <c r="AQ190" s="266"/>
      <c r="AR190" s="285">
        <v>0</v>
      </c>
      <c r="AS190" s="286">
        <v>0</v>
      </c>
      <c r="AT190" s="286">
        <v>0</v>
      </c>
      <c r="AU190" s="290">
        <v>0</v>
      </c>
      <c r="AV190" s="289">
        <v>0</v>
      </c>
      <c r="AW190" s="291">
        <v>1074899.5783182695</v>
      </c>
    </row>
    <row r="191" spans="1:49" x14ac:dyDescent="0.25">
      <c r="A191" s="264">
        <v>1537615</v>
      </c>
      <c r="B191" s="264" t="str">
        <f>VLOOKUP(A191,'Výpočet VP 2020'!$A$4:$B$318,2,FALSE)</f>
        <v>NZO</v>
      </c>
      <c r="C191" s="264" t="s">
        <v>1460</v>
      </c>
      <c r="D191" s="264" t="s">
        <v>1056</v>
      </c>
      <c r="E191" s="264" t="s">
        <v>1463</v>
      </c>
      <c r="F191" s="264">
        <v>1537615</v>
      </c>
      <c r="G191" s="264" t="s">
        <v>1063</v>
      </c>
      <c r="H191" s="264">
        <v>2019</v>
      </c>
      <c r="I191" s="265"/>
      <c r="J191" s="278"/>
      <c r="K191" s="279"/>
      <c r="L191" s="279"/>
      <c r="M191" s="280"/>
      <c r="N191" s="280"/>
      <c r="O191" s="279">
        <v>3607</v>
      </c>
      <c r="P191" s="281" t="s">
        <v>1059</v>
      </c>
      <c r="Q191" s="264"/>
      <c r="R191" s="282"/>
      <c r="S191" s="281" t="s">
        <v>1733</v>
      </c>
      <c r="T191" s="281">
        <v>1.74</v>
      </c>
      <c r="U191" s="264">
        <v>1.74</v>
      </c>
      <c r="V191" s="282">
        <v>0</v>
      </c>
      <c r="W191" s="281">
        <v>0</v>
      </c>
      <c r="X191" s="281">
        <v>0</v>
      </c>
      <c r="Y191" s="264">
        <v>0</v>
      </c>
      <c r="Z191" s="282">
        <v>20</v>
      </c>
      <c r="AA191" s="281">
        <v>0</v>
      </c>
      <c r="AB191" s="281">
        <v>0</v>
      </c>
      <c r="AD191" s="284">
        <v>1.74</v>
      </c>
      <c r="AE191" s="284">
        <v>1.74</v>
      </c>
      <c r="AF191" s="284">
        <v>0</v>
      </c>
      <c r="AG191" s="284">
        <v>0</v>
      </c>
      <c r="AH191" s="284">
        <v>0</v>
      </c>
      <c r="AI191" s="284">
        <v>0</v>
      </c>
      <c r="AJ191" s="284">
        <v>0</v>
      </c>
      <c r="AL191" s="285">
        <v>1046467.609125015</v>
      </c>
      <c r="AM191" s="286">
        <v>0</v>
      </c>
      <c r="AN191" s="287">
        <v>53723.723977213886</v>
      </c>
      <c r="AO191" s="288">
        <v>0</v>
      </c>
      <c r="AP191" s="289">
        <v>1100191.3331022288</v>
      </c>
      <c r="AQ191" s="266"/>
      <c r="AR191" s="285">
        <v>0</v>
      </c>
      <c r="AS191" s="286">
        <v>0</v>
      </c>
      <c r="AT191" s="286">
        <v>0</v>
      </c>
      <c r="AU191" s="290">
        <v>0</v>
      </c>
      <c r="AV191" s="289">
        <v>0</v>
      </c>
      <c r="AW191" s="291">
        <v>1100191.3331022288</v>
      </c>
    </row>
    <row r="192" spans="1:49" x14ac:dyDescent="0.25">
      <c r="A192" s="264">
        <v>1758706</v>
      </c>
      <c r="B192" s="264" t="str">
        <f>VLOOKUP(A192,'Výpočet VP 2020'!$A$4:$B$318,2,FALSE)</f>
        <v>NZO</v>
      </c>
      <c r="C192" s="264" t="s">
        <v>1465</v>
      </c>
      <c r="D192" s="264" t="s">
        <v>249</v>
      </c>
      <c r="E192" s="264" t="s">
        <v>1469</v>
      </c>
      <c r="F192" s="264">
        <v>1758706</v>
      </c>
      <c r="G192" s="264" t="s">
        <v>1063</v>
      </c>
      <c r="H192" s="264">
        <v>2019</v>
      </c>
      <c r="I192" s="265"/>
      <c r="J192" s="278"/>
      <c r="K192" s="279"/>
      <c r="L192" s="279"/>
      <c r="M192" s="280"/>
      <c r="N192" s="280"/>
      <c r="O192" s="279">
        <v>3607</v>
      </c>
      <c r="P192" s="281" t="s">
        <v>1466</v>
      </c>
      <c r="Q192" s="264"/>
      <c r="R192" s="282"/>
      <c r="S192" s="281">
        <v>44196</v>
      </c>
      <c r="T192" s="281">
        <v>2.0499999999999998</v>
      </c>
      <c r="U192" s="264">
        <v>1.8</v>
      </c>
      <c r="V192" s="282">
        <v>0.25</v>
      </c>
      <c r="W192" s="281">
        <v>0</v>
      </c>
      <c r="X192" s="281">
        <v>0</v>
      </c>
      <c r="Y192" s="264">
        <v>0</v>
      </c>
      <c r="Z192" s="282">
        <v>10</v>
      </c>
      <c r="AA192" s="281">
        <v>0</v>
      </c>
      <c r="AB192" s="281">
        <v>0</v>
      </c>
      <c r="AD192" s="284">
        <v>2.0499999999999998</v>
      </c>
      <c r="AE192" s="284">
        <v>1.8</v>
      </c>
      <c r="AF192" s="284">
        <v>0.25</v>
      </c>
      <c r="AG192" s="284">
        <v>0</v>
      </c>
      <c r="AH192" s="284">
        <v>0</v>
      </c>
      <c r="AI192" s="284">
        <v>0</v>
      </c>
      <c r="AJ192" s="284">
        <v>0</v>
      </c>
      <c r="AL192" s="285">
        <v>1232907.2406357934</v>
      </c>
      <c r="AM192" s="286">
        <v>0</v>
      </c>
      <c r="AN192" s="287">
        <v>63295.192042119808</v>
      </c>
      <c r="AO192" s="288">
        <v>0</v>
      </c>
      <c r="AP192" s="289">
        <v>1296202.4326779132</v>
      </c>
      <c r="AQ192" s="266"/>
      <c r="AR192" s="285">
        <v>0</v>
      </c>
      <c r="AS192" s="286">
        <v>0</v>
      </c>
      <c r="AT192" s="286">
        <v>0</v>
      </c>
      <c r="AU192" s="290">
        <v>0</v>
      </c>
      <c r="AV192" s="289">
        <v>0</v>
      </c>
      <c r="AW192" s="291">
        <v>1296202.4326779132</v>
      </c>
    </row>
    <row r="193" spans="1:49" x14ac:dyDescent="0.25">
      <c r="A193" s="264">
        <v>1758706</v>
      </c>
      <c r="B193" s="264" t="str">
        <f>VLOOKUP(A193,'Výpočet VP 2020'!$A$4:$B$318,2,FALSE)</f>
        <v>NZO</v>
      </c>
      <c r="C193" s="264" t="s">
        <v>1465</v>
      </c>
      <c r="D193" s="264" t="s">
        <v>249</v>
      </c>
      <c r="E193" s="264" t="s">
        <v>1470</v>
      </c>
      <c r="F193" s="264">
        <v>1758706</v>
      </c>
      <c r="G193" s="264" t="s">
        <v>1073</v>
      </c>
      <c r="H193" s="264">
        <v>2019</v>
      </c>
      <c r="I193" s="265"/>
      <c r="J193" s="278"/>
      <c r="K193" s="279"/>
      <c r="L193" s="279"/>
      <c r="M193" s="280"/>
      <c r="N193" s="280"/>
      <c r="O193" s="279">
        <v>3610</v>
      </c>
      <c r="P193" s="281" t="s">
        <v>1466</v>
      </c>
      <c r="Q193" s="264"/>
      <c r="R193" s="282"/>
      <c r="S193" s="281">
        <v>44196</v>
      </c>
      <c r="T193" s="281">
        <v>1.9</v>
      </c>
      <c r="U193" s="264">
        <v>1.4</v>
      </c>
      <c r="V193" s="282">
        <v>0.5</v>
      </c>
      <c r="W193" s="281">
        <v>0</v>
      </c>
      <c r="X193" s="281">
        <v>0</v>
      </c>
      <c r="Y193" s="264">
        <v>0</v>
      </c>
      <c r="Z193" s="282">
        <v>10</v>
      </c>
      <c r="AA193" s="281">
        <v>0</v>
      </c>
      <c r="AB193" s="281">
        <v>0</v>
      </c>
      <c r="AD193" s="284">
        <v>1.9</v>
      </c>
      <c r="AE193" s="284">
        <v>1.4</v>
      </c>
      <c r="AF193" s="284">
        <v>0.5</v>
      </c>
      <c r="AG193" s="284">
        <v>0</v>
      </c>
      <c r="AH193" s="284">
        <v>0</v>
      </c>
      <c r="AI193" s="284">
        <v>0</v>
      </c>
      <c r="AJ193" s="284">
        <v>0</v>
      </c>
      <c r="AL193" s="285">
        <v>1142694.5157112232</v>
      </c>
      <c r="AM193" s="286">
        <v>0</v>
      </c>
      <c r="AN193" s="287">
        <v>58663.836526842751</v>
      </c>
      <c r="AO193" s="288">
        <v>0</v>
      </c>
      <c r="AP193" s="289">
        <v>1201358.352238066</v>
      </c>
      <c r="AQ193" s="266"/>
      <c r="AR193" s="285">
        <v>0</v>
      </c>
      <c r="AS193" s="286">
        <v>0</v>
      </c>
      <c r="AT193" s="286">
        <v>0</v>
      </c>
      <c r="AU193" s="290">
        <v>0</v>
      </c>
      <c r="AV193" s="289">
        <v>0</v>
      </c>
      <c r="AW193" s="291">
        <v>1201358.352238066</v>
      </c>
    </row>
    <row r="194" spans="1:49" x14ac:dyDescent="0.25">
      <c r="A194" s="264">
        <v>6585534</v>
      </c>
      <c r="B194" s="264" t="str">
        <f>VLOOKUP(A194,'Výpočet VP 2020'!$A$4:$B$318,2,FALSE)</f>
        <v>NZO</v>
      </c>
      <c r="C194" s="264" t="s">
        <v>1401</v>
      </c>
      <c r="D194" s="264" t="s">
        <v>776</v>
      </c>
      <c r="E194" s="264" t="s">
        <v>1399</v>
      </c>
      <c r="F194" s="264">
        <v>6585534</v>
      </c>
      <c r="G194" s="264" t="s">
        <v>1087</v>
      </c>
      <c r="H194" s="264">
        <v>2019</v>
      </c>
      <c r="I194" s="265"/>
      <c r="J194" s="278"/>
      <c r="K194" s="279"/>
      <c r="L194" s="279"/>
      <c r="M194" s="280">
        <v>86</v>
      </c>
      <c r="N194" s="280"/>
      <c r="O194" s="279"/>
      <c r="P194" s="281" t="s">
        <v>1076</v>
      </c>
      <c r="Q194" s="264"/>
      <c r="R194" s="282"/>
      <c r="S194" s="281">
        <v>44196</v>
      </c>
      <c r="T194" s="281">
        <v>4</v>
      </c>
      <c r="U194" s="264">
        <v>4</v>
      </c>
      <c r="V194" s="282">
        <v>0</v>
      </c>
      <c r="W194" s="281">
        <v>0</v>
      </c>
      <c r="X194" s="281">
        <v>0</v>
      </c>
      <c r="Y194" s="264">
        <v>0</v>
      </c>
      <c r="Z194" s="282">
        <v>16</v>
      </c>
      <c r="AA194" s="281">
        <v>0</v>
      </c>
      <c r="AB194" s="281">
        <v>0</v>
      </c>
      <c r="AD194" s="284">
        <v>4</v>
      </c>
      <c r="AE194" s="284">
        <v>4</v>
      </c>
      <c r="AF194" s="284">
        <v>0</v>
      </c>
      <c r="AG194" s="284">
        <v>0</v>
      </c>
      <c r="AH194" s="284">
        <v>0</v>
      </c>
      <c r="AI194" s="284">
        <v>0</v>
      </c>
      <c r="AJ194" s="284">
        <v>0</v>
      </c>
      <c r="AL194" s="285">
        <v>3104229.2988150343</v>
      </c>
      <c r="AM194" s="286">
        <v>0</v>
      </c>
      <c r="AN194" s="287">
        <v>266396.52861047804</v>
      </c>
      <c r="AO194" s="288">
        <v>0</v>
      </c>
      <c r="AP194" s="289">
        <v>3370625.8274255125</v>
      </c>
      <c r="AQ194" s="266"/>
      <c r="AR194" s="285">
        <v>0</v>
      </c>
      <c r="AS194" s="286">
        <v>0</v>
      </c>
      <c r="AT194" s="286">
        <v>0</v>
      </c>
      <c r="AU194" s="290">
        <v>0</v>
      </c>
      <c r="AV194" s="289">
        <v>0</v>
      </c>
      <c r="AW194" s="291">
        <v>3370625.8274255125</v>
      </c>
    </row>
    <row r="195" spans="1:49" x14ac:dyDescent="0.25">
      <c r="A195" s="264">
        <v>2390992</v>
      </c>
      <c r="B195" s="264" t="str">
        <f>VLOOKUP(A195,'Výpočet VP 2020'!$A$4:$B$318,2,FALSE)</f>
        <v>NZO</v>
      </c>
      <c r="C195" s="264" t="s">
        <v>1473</v>
      </c>
      <c r="D195" s="264" t="s">
        <v>698</v>
      </c>
      <c r="E195" s="264" t="s">
        <v>1471</v>
      </c>
      <c r="F195" s="264">
        <v>2390992</v>
      </c>
      <c r="G195" s="264" t="s">
        <v>1134</v>
      </c>
      <c r="H195" s="264">
        <v>2019</v>
      </c>
      <c r="I195" s="265"/>
      <c r="J195" s="278"/>
      <c r="K195" s="279">
        <v>1201</v>
      </c>
      <c r="L195" s="279"/>
      <c r="M195" s="280"/>
      <c r="N195" s="280"/>
      <c r="O195" s="279"/>
      <c r="P195" s="281" t="s">
        <v>1466</v>
      </c>
      <c r="Q195" s="264"/>
      <c r="R195" s="282"/>
      <c r="S195" s="281">
        <v>44377</v>
      </c>
      <c r="T195" s="281">
        <v>1.5</v>
      </c>
      <c r="U195" s="264">
        <v>0.75</v>
      </c>
      <c r="V195" s="282">
        <v>0.75</v>
      </c>
      <c r="W195" s="281">
        <v>0</v>
      </c>
      <c r="X195" s="281">
        <v>0</v>
      </c>
      <c r="Y195" s="264">
        <v>0</v>
      </c>
      <c r="Z195" s="282">
        <v>12</v>
      </c>
      <c r="AA195" s="281">
        <v>0</v>
      </c>
      <c r="AB195" s="281">
        <v>0</v>
      </c>
      <c r="AD195" s="284">
        <v>1.5</v>
      </c>
      <c r="AE195" s="284">
        <v>0.75</v>
      </c>
      <c r="AF195" s="284">
        <v>0.75</v>
      </c>
      <c r="AG195" s="284">
        <v>0</v>
      </c>
      <c r="AH195" s="284">
        <v>0</v>
      </c>
      <c r="AI195" s="284">
        <v>0</v>
      </c>
      <c r="AJ195" s="284">
        <v>0</v>
      </c>
      <c r="AL195" s="285">
        <v>1007440.530532073</v>
      </c>
      <c r="AM195" s="286">
        <v>0</v>
      </c>
      <c r="AN195" s="287">
        <v>64171.478039887836</v>
      </c>
      <c r="AO195" s="288">
        <v>0</v>
      </c>
      <c r="AP195" s="289">
        <v>1071612.0085719607</v>
      </c>
      <c r="AQ195" s="266"/>
      <c r="AR195" s="285">
        <v>0</v>
      </c>
      <c r="AS195" s="286">
        <v>0</v>
      </c>
      <c r="AT195" s="286">
        <v>0</v>
      </c>
      <c r="AU195" s="290">
        <v>0</v>
      </c>
      <c r="AV195" s="289">
        <v>0</v>
      </c>
      <c r="AW195" s="291">
        <v>1071612.0085719607</v>
      </c>
    </row>
    <row r="196" spans="1:49" x14ac:dyDescent="0.25">
      <c r="A196" s="264">
        <v>3054253</v>
      </c>
      <c r="B196" s="264" t="str">
        <f>VLOOKUP(A196,'Výpočet VP 2020'!$A$4:$B$318,2,FALSE)</f>
        <v>NZO</v>
      </c>
      <c r="C196" s="264" t="s">
        <v>1476</v>
      </c>
      <c r="D196" s="264" t="s">
        <v>713</v>
      </c>
      <c r="E196" s="264" t="s">
        <v>1475</v>
      </c>
      <c r="F196" s="264">
        <v>3054253</v>
      </c>
      <c r="G196" s="264" t="s">
        <v>1142</v>
      </c>
      <c r="H196" s="264">
        <v>2019</v>
      </c>
      <c r="I196" s="265"/>
      <c r="J196" s="278"/>
      <c r="K196" s="279">
        <v>1007</v>
      </c>
      <c r="L196" s="279"/>
      <c r="M196" s="280"/>
      <c r="N196" s="280"/>
      <c r="O196" s="279"/>
      <c r="P196" s="281" t="s">
        <v>1477</v>
      </c>
      <c r="Q196" s="264"/>
      <c r="R196" s="282"/>
      <c r="S196" s="281" t="s">
        <v>1755</v>
      </c>
      <c r="T196" s="281">
        <v>3.2</v>
      </c>
      <c r="U196" s="264">
        <v>1</v>
      </c>
      <c r="V196" s="282">
        <v>2</v>
      </c>
      <c r="W196" s="281">
        <v>0</v>
      </c>
      <c r="X196" s="281">
        <v>0.2</v>
      </c>
      <c r="Y196" s="264">
        <v>0</v>
      </c>
      <c r="Z196" s="282">
        <v>0</v>
      </c>
      <c r="AA196" s="281">
        <v>12</v>
      </c>
      <c r="AB196" s="281">
        <v>0</v>
      </c>
      <c r="AD196" s="284">
        <v>3.2</v>
      </c>
      <c r="AE196" s="284">
        <v>1</v>
      </c>
      <c r="AF196" s="284">
        <v>2</v>
      </c>
      <c r="AG196" s="284">
        <v>0</v>
      </c>
      <c r="AH196" s="284">
        <v>0.2</v>
      </c>
      <c r="AI196" s="284">
        <v>0</v>
      </c>
      <c r="AJ196" s="284">
        <v>12</v>
      </c>
      <c r="AL196" s="285">
        <v>2149206.4651350891</v>
      </c>
      <c r="AM196" s="286">
        <v>0</v>
      </c>
      <c r="AN196" s="287">
        <v>136899.15315176072</v>
      </c>
      <c r="AO196" s="288">
        <v>0</v>
      </c>
      <c r="AP196" s="289">
        <v>2286105.6182868499</v>
      </c>
      <c r="AQ196" s="266"/>
      <c r="AR196" s="285">
        <v>0</v>
      </c>
      <c r="AS196" s="286">
        <v>0</v>
      </c>
      <c r="AT196" s="286">
        <v>0</v>
      </c>
      <c r="AU196" s="290">
        <v>0</v>
      </c>
      <c r="AV196" s="289">
        <v>0</v>
      </c>
      <c r="AW196" s="291">
        <v>2286105.6182868499</v>
      </c>
    </row>
    <row r="197" spans="1:49" x14ac:dyDescent="0.25">
      <c r="A197" s="264">
        <v>8172268</v>
      </c>
      <c r="B197" s="264" t="str">
        <f>VLOOKUP(A197,'Výpočet VP 2020'!$A$4:$B$318,2,FALSE)</f>
        <v>NZO</v>
      </c>
      <c r="C197" s="264" t="s">
        <v>1504</v>
      </c>
      <c r="D197" s="264" t="s">
        <v>849</v>
      </c>
      <c r="E197" s="264" t="s">
        <v>1503</v>
      </c>
      <c r="F197" s="264">
        <v>8172268</v>
      </c>
      <c r="G197" s="264" t="s">
        <v>1058</v>
      </c>
      <c r="H197" s="264">
        <v>2019</v>
      </c>
      <c r="I197" s="265"/>
      <c r="J197" s="278"/>
      <c r="K197" s="279"/>
      <c r="L197" s="279"/>
      <c r="M197" s="280"/>
      <c r="N197" s="280"/>
      <c r="O197" s="279">
        <v>3602</v>
      </c>
      <c r="P197" s="281" t="s">
        <v>1341</v>
      </c>
      <c r="Q197" s="264"/>
      <c r="R197" s="282" t="s">
        <v>1756</v>
      </c>
      <c r="S197" s="281" t="s">
        <v>1757</v>
      </c>
      <c r="T197" s="281">
        <v>10.5</v>
      </c>
      <c r="U197" s="264">
        <v>10.5</v>
      </c>
      <c r="V197" s="282">
        <v>0</v>
      </c>
      <c r="W197" s="281">
        <v>0</v>
      </c>
      <c r="X197" s="281">
        <v>0</v>
      </c>
      <c r="Y197" s="264">
        <v>0</v>
      </c>
      <c r="Z197" s="282">
        <v>32</v>
      </c>
      <c r="AA197" s="281">
        <v>0</v>
      </c>
      <c r="AB197" s="281">
        <v>0</v>
      </c>
      <c r="AD197" s="284">
        <v>10.5</v>
      </c>
      <c r="AE197" s="284">
        <v>10.5</v>
      </c>
      <c r="AF197" s="284">
        <v>0</v>
      </c>
      <c r="AG197" s="284">
        <v>0</v>
      </c>
      <c r="AH197" s="284">
        <v>0</v>
      </c>
      <c r="AI197" s="284">
        <v>0</v>
      </c>
      <c r="AJ197" s="284">
        <v>0</v>
      </c>
      <c r="AL197" s="285">
        <v>7052083.7137245107</v>
      </c>
      <c r="AM197" s="286">
        <v>0</v>
      </c>
      <c r="AN197" s="287">
        <v>449200.34627921483</v>
      </c>
      <c r="AO197" s="288">
        <v>0</v>
      </c>
      <c r="AP197" s="289">
        <v>7501284.0600037258</v>
      </c>
      <c r="AQ197" s="266"/>
      <c r="AR197" s="285">
        <v>0</v>
      </c>
      <c r="AS197" s="286">
        <v>0</v>
      </c>
      <c r="AT197" s="286">
        <v>0</v>
      </c>
      <c r="AU197" s="290">
        <v>0</v>
      </c>
      <c r="AV197" s="289">
        <v>0</v>
      </c>
      <c r="AW197" s="291">
        <v>7501284.0600037258</v>
      </c>
    </row>
    <row r="198" spans="1:49" x14ac:dyDescent="0.25">
      <c r="A198" s="264">
        <v>3595008</v>
      </c>
      <c r="B198" s="264" t="str">
        <f>VLOOKUP(A198,'Výpočet VP 2020'!$A$4:$B$318,2,FALSE)</f>
        <v>NZO</v>
      </c>
      <c r="C198" s="264" t="s">
        <v>1479</v>
      </c>
      <c r="D198" s="264" t="s">
        <v>1247</v>
      </c>
      <c r="E198" s="264" t="s">
        <v>1478</v>
      </c>
      <c r="F198" s="264">
        <v>3595008</v>
      </c>
      <c r="G198" s="264" t="s">
        <v>1058</v>
      </c>
      <c r="H198" s="264">
        <v>2019</v>
      </c>
      <c r="I198" s="265"/>
      <c r="J198" s="278"/>
      <c r="K198" s="279">
        <v>965</v>
      </c>
      <c r="L198" s="279"/>
      <c r="M198" s="280"/>
      <c r="N198" s="280"/>
      <c r="O198" s="279"/>
      <c r="P198" s="281" t="s">
        <v>1271</v>
      </c>
      <c r="Q198" s="264"/>
      <c r="R198" s="282"/>
      <c r="S198" s="281">
        <v>44196</v>
      </c>
      <c r="T198" s="281">
        <v>6</v>
      </c>
      <c r="U198" s="264">
        <v>4</v>
      </c>
      <c r="V198" s="282">
        <v>2</v>
      </c>
      <c r="W198" s="281">
        <v>0</v>
      </c>
      <c r="X198" s="281">
        <v>0</v>
      </c>
      <c r="Y198" s="264">
        <v>0</v>
      </c>
      <c r="Z198" s="282">
        <v>15</v>
      </c>
      <c r="AA198" s="281">
        <v>0</v>
      </c>
      <c r="AB198" s="281">
        <v>0</v>
      </c>
      <c r="AD198" s="284">
        <v>6</v>
      </c>
      <c r="AE198" s="284">
        <v>4</v>
      </c>
      <c r="AF198" s="284">
        <v>2</v>
      </c>
      <c r="AG198" s="284">
        <v>0</v>
      </c>
      <c r="AH198" s="284">
        <v>0</v>
      </c>
      <c r="AI198" s="284">
        <v>0</v>
      </c>
      <c r="AJ198" s="284">
        <v>0</v>
      </c>
      <c r="AL198" s="285">
        <v>4029762.122128292</v>
      </c>
      <c r="AM198" s="286">
        <v>0</v>
      </c>
      <c r="AN198" s="287">
        <v>256685.91215955134</v>
      </c>
      <c r="AO198" s="288">
        <v>0</v>
      </c>
      <c r="AP198" s="289">
        <v>4286448.0342878429</v>
      </c>
      <c r="AQ198" s="266"/>
      <c r="AR198" s="285">
        <v>0</v>
      </c>
      <c r="AS198" s="286">
        <v>0</v>
      </c>
      <c r="AT198" s="286">
        <v>0</v>
      </c>
      <c r="AU198" s="290">
        <v>0</v>
      </c>
      <c r="AV198" s="289">
        <v>0</v>
      </c>
      <c r="AW198" s="291">
        <v>4286448.0342878429</v>
      </c>
    </row>
    <row r="199" spans="1:49" x14ac:dyDescent="0.25">
      <c r="A199" s="264">
        <v>2813024</v>
      </c>
      <c r="B199" s="264" t="str">
        <f>VLOOKUP(A199,'Výpočet VP 2020'!$A$4:$B$318,2,FALSE)</f>
        <v>NZO</v>
      </c>
      <c r="C199" s="264" t="s">
        <v>1388</v>
      </c>
      <c r="D199" s="264" t="s">
        <v>776</v>
      </c>
      <c r="E199" s="264" t="s">
        <v>1474</v>
      </c>
      <c r="F199" s="264">
        <v>2813024</v>
      </c>
      <c r="G199" s="264" t="s">
        <v>1058</v>
      </c>
      <c r="H199" s="264">
        <v>2019</v>
      </c>
      <c r="I199" s="265"/>
      <c r="J199" s="278"/>
      <c r="K199" s="279">
        <v>965</v>
      </c>
      <c r="L199" s="279"/>
      <c r="M199" s="280"/>
      <c r="N199" s="280"/>
      <c r="O199" s="279"/>
      <c r="P199" s="281" t="s">
        <v>1466</v>
      </c>
      <c r="Q199" s="264"/>
      <c r="R199" s="282"/>
      <c r="S199" s="281">
        <v>44196</v>
      </c>
      <c r="T199" s="281">
        <v>3.93</v>
      </c>
      <c r="U199" s="264">
        <v>1</v>
      </c>
      <c r="V199" s="282">
        <v>2.93</v>
      </c>
      <c r="W199" s="281">
        <v>0</v>
      </c>
      <c r="X199" s="281">
        <v>0</v>
      </c>
      <c r="Y199" s="264">
        <v>0</v>
      </c>
      <c r="Z199" s="282">
        <v>30</v>
      </c>
      <c r="AA199" s="281">
        <v>0</v>
      </c>
      <c r="AB199" s="281">
        <v>0</v>
      </c>
      <c r="AD199" s="284">
        <v>3.93</v>
      </c>
      <c r="AE199" s="284">
        <v>1</v>
      </c>
      <c r="AF199" s="284">
        <v>2.93</v>
      </c>
      <c r="AG199" s="284">
        <v>0</v>
      </c>
      <c r="AH199" s="284">
        <v>0</v>
      </c>
      <c r="AI199" s="284">
        <v>0</v>
      </c>
      <c r="AJ199" s="284">
        <v>0</v>
      </c>
      <c r="AL199" s="285">
        <v>2639494.1899940311</v>
      </c>
      <c r="AM199" s="286">
        <v>0</v>
      </c>
      <c r="AN199" s="287">
        <v>168129.27246450612</v>
      </c>
      <c r="AO199" s="288">
        <v>0</v>
      </c>
      <c r="AP199" s="289">
        <v>2807623.4624585374</v>
      </c>
      <c r="AQ199" s="266"/>
      <c r="AR199" s="285">
        <v>0</v>
      </c>
      <c r="AS199" s="286">
        <v>0</v>
      </c>
      <c r="AT199" s="286">
        <v>0</v>
      </c>
      <c r="AU199" s="290">
        <v>0</v>
      </c>
      <c r="AV199" s="289">
        <v>0</v>
      </c>
      <c r="AW199" s="291">
        <v>2807623.4624585374</v>
      </c>
    </row>
    <row r="200" spans="1:49" x14ac:dyDescent="0.25">
      <c r="A200" s="264">
        <v>3741470</v>
      </c>
      <c r="B200" s="264" t="str">
        <f>VLOOKUP(A200,'Výpočet VP 2020'!$A$4:$B$318,2,FALSE)</f>
        <v>NZO</v>
      </c>
      <c r="C200" s="264" t="s">
        <v>1482</v>
      </c>
      <c r="D200" s="264" t="s">
        <v>849</v>
      </c>
      <c r="E200" s="264" t="s">
        <v>1481</v>
      </c>
      <c r="F200" s="264">
        <v>3741470</v>
      </c>
      <c r="G200" s="264" t="s">
        <v>1068</v>
      </c>
      <c r="H200" s="264">
        <v>2019</v>
      </c>
      <c r="I200" s="265"/>
      <c r="J200" s="278"/>
      <c r="K200" s="279"/>
      <c r="L200" s="279"/>
      <c r="M200" s="280"/>
      <c r="N200" s="280"/>
      <c r="O200" s="279">
        <v>3604</v>
      </c>
      <c r="P200" s="281" t="s">
        <v>1242</v>
      </c>
      <c r="Q200" s="264"/>
      <c r="R200" s="282"/>
      <c r="S200" s="281">
        <v>44196</v>
      </c>
      <c r="T200" s="281">
        <v>5.5</v>
      </c>
      <c r="U200" s="264">
        <v>5.5</v>
      </c>
      <c r="V200" s="282">
        <v>0</v>
      </c>
      <c r="W200" s="281">
        <v>0</v>
      </c>
      <c r="X200" s="281">
        <v>0</v>
      </c>
      <c r="Y200" s="264">
        <v>0</v>
      </c>
      <c r="Z200" s="282">
        <v>30</v>
      </c>
      <c r="AA200" s="281">
        <v>0</v>
      </c>
      <c r="AB200" s="281">
        <v>0</v>
      </c>
      <c r="AD200" s="284">
        <v>5.5</v>
      </c>
      <c r="AE200" s="284">
        <v>5.5</v>
      </c>
      <c r="AF200" s="284">
        <v>0</v>
      </c>
      <c r="AG200" s="284">
        <v>0</v>
      </c>
      <c r="AH200" s="284">
        <v>0</v>
      </c>
      <c r="AI200" s="284">
        <v>0</v>
      </c>
      <c r="AJ200" s="284">
        <v>0</v>
      </c>
      <c r="AL200" s="285">
        <v>3693948.6119509339</v>
      </c>
      <c r="AM200" s="286">
        <v>0</v>
      </c>
      <c r="AN200" s="287">
        <v>235295.41947958875</v>
      </c>
      <c r="AO200" s="288">
        <v>0</v>
      </c>
      <c r="AP200" s="289">
        <v>3929244.0314305229</v>
      </c>
      <c r="AQ200" s="266"/>
      <c r="AR200" s="285">
        <v>0</v>
      </c>
      <c r="AS200" s="286">
        <v>0</v>
      </c>
      <c r="AT200" s="286">
        <v>0</v>
      </c>
      <c r="AU200" s="290">
        <v>0</v>
      </c>
      <c r="AV200" s="289">
        <v>0</v>
      </c>
      <c r="AW200" s="291">
        <v>3929244.0314305229</v>
      </c>
    </row>
    <row r="201" spans="1:49" x14ac:dyDescent="0.25">
      <c r="A201" s="264">
        <v>3741470</v>
      </c>
      <c r="B201" s="264" t="str">
        <f>VLOOKUP(A201,'Výpočet VP 2020'!$A$4:$B$318,2,FALSE)</f>
        <v>NZO</v>
      </c>
      <c r="C201" s="264" t="s">
        <v>1482</v>
      </c>
      <c r="D201" s="264" t="s">
        <v>849</v>
      </c>
      <c r="E201" s="264" t="s">
        <v>1758</v>
      </c>
      <c r="F201" s="264">
        <v>3741470</v>
      </c>
      <c r="G201" s="264" t="s">
        <v>1068</v>
      </c>
      <c r="H201" s="264">
        <v>2019</v>
      </c>
      <c r="I201" s="265"/>
      <c r="J201" s="278"/>
      <c r="K201" s="279">
        <v>1015</v>
      </c>
      <c r="L201" s="279"/>
      <c r="M201" s="280"/>
      <c r="N201" s="280"/>
      <c r="O201" s="279"/>
      <c r="P201" s="281" t="s">
        <v>1262</v>
      </c>
      <c r="Q201" s="264"/>
      <c r="R201" s="282"/>
      <c r="S201" s="281">
        <v>44196</v>
      </c>
      <c r="T201" s="281">
        <v>0</v>
      </c>
      <c r="U201" s="264">
        <v>0</v>
      </c>
      <c r="V201" s="282">
        <v>0</v>
      </c>
      <c r="W201" s="281">
        <v>0</v>
      </c>
      <c r="X201" s="281">
        <v>0</v>
      </c>
      <c r="Y201" s="264">
        <v>0</v>
      </c>
      <c r="Z201" s="282">
        <v>0</v>
      </c>
      <c r="AA201" s="281">
        <v>0</v>
      </c>
      <c r="AB201" s="281">
        <v>0</v>
      </c>
      <c r="AD201" s="284">
        <v>0</v>
      </c>
      <c r="AE201" s="284">
        <v>0</v>
      </c>
      <c r="AF201" s="284">
        <v>0</v>
      </c>
      <c r="AG201" s="284">
        <v>0</v>
      </c>
      <c r="AH201" s="284">
        <v>0</v>
      </c>
      <c r="AI201" s="284">
        <v>0</v>
      </c>
      <c r="AJ201" s="284">
        <v>0</v>
      </c>
      <c r="AL201" s="285">
        <v>0</v>
      </c>
      <c r="AM201" s="286">
        <v>0</v>
      </c>
      <c r="AN201" s="287">
        <v>0</v>
      </c>
      <c r="AO201" s="288">
        <v>0</v>
      </c>
      <c r="AP201" s="289">
        <v>0</v>
      </c>
      <c r="AQ201" s="266"/>
      <c r="AR201" s="285">
        <v>0</v>
      </c>
      <c r="AS201" s="286">
        <v>0</v>
      </c>
      <c r="AT201" s="286">
        <v>0</v>
      </c>
      <c r="AU201" s="290">
        <v>0</v>
      </c>
      <c r="AV201" s="289">
        <v>0</v>
      </c>
      <c r="AW201" s="291">
        <v>0</v>
      </c>
    </row>
    <row r="202" spans="1:49" x14ac:dyDescent="0.25">
      <c r="A202" s="264">
        <v>8098643</v>
      </c>
      <c r="B202" s="353" t="s">
        <v>1770</v>
      </c>
      <c r="C202" s="264" t="s">
        <v>1516</v>
      </c>
      <c r="D202" s="264" t="s">
        <v>1515</v>
      </c>
      <c r="E202" s="264" t="s">
        <v>1759</v>
      </c>
      <c r="F202" s="264">
        <v>8098643</v>
      </c>
      <c r="G202" s="264" t="s">
        <v>1068</v>
      </c>
      <c r="H202" s="264">
        <v>2019</v>
      </c>
      <c r="I202" s="265"/>
      <c r="J202" s="278"/>
      <c r="K202" s="279">
        <v>1015</v>
      </c>
      <c r="L202" s="279"/>
      <c r="M202" s="280"/>
      <c r="N202" s="280"/>
      <c r="O202" s="279"/>
      <c r="P202" s="281" t="s">
        <v>1262</v>
      </c>
      <c r="Q202" s="264"/>
      <c r="R202" s="282">
        <v>43739</v>
      </c>
      <c r="S202" s="281">
        <v>43738</v>
      </c>
      <c r="T202" s="281">
        <v>2.5</v>
      </c>
      <c r="U202" s="264">
        <v>0.5</v>
      </c>
      <c r="V202" s="282">
        <v>2</v>
      </c>
      <c r="W202" s="281">
        <v>0</v>
      </c>
      <c r="X202" s="281">
        <v>0</v>
      </c>
      <c r="Y202" s="264">
        <v>0</v>
      </c>
      <c r="Z202" s="282">
        <v>14</v>
      </c>
      <c r="AA202" s="281">
        <v>0</v>
      </c>
      <c r="AB202" s="281">
        <v>0</v>
      </c>
      <c r="AD202" s="284">
        <v>2.5</v>
      </c>
      <c r="AE202" s="284">
        <v>0.5</v>
      </c>
      <c r="AF202" s="284">
        <v>2</v>
      </c>
      <c r="AG202" s="284">
        <v>0</v>
      </c>
      <c r="AH202" s="284">
        <v>0</v>
      </c>
      <c r="AI202" s="284">
        <v>0</v>
      </c>
      <c r="AJ202" s="284">
        <v>0</v>
      </c>
      <c r="AL202" s="285">
        <v>1679067.5508867882</v>
      </c>
      <c r="AM202" s="286">
        <v>0</v>
      </c>
      <c r="AN202" s="287">
        <v>106952.46339981306</v>
      </c>
      <c r="AO202" s="288">
        <v>0</v>
      </c>
      <c r="AP202" s="289">
        <v>1786020.0142866012</v>
      </c>
      <c r="AQ202" s="266"/>
      <c r="AR202" s="285">
        <v>0</v>
      </c>
      <c r="AS202" s="286">
        <v>0</v>
      </c>
      <c r="AT202" s="286">
        <v>0</v>
      </c>
      <c r="AU202" s="290">
        <v>0</v>
      </c>
      <c r="AV202" s="289">
        <v>0</v>
      </c>
      <c r="AW202" s="291">
        <v>1786020.0142866012</v>
      </c>
    </row>
    <row r="203" spans="1:49" x14ac:dyDescent="0.25">
      <c r="A203" s="264">
        <v>9767213</v>
      </c>
      <c r="B203" s="264" t="str">
        <f>VLOOKUP(A203,'Výpočet VP 2020'!$A$4:$B$318,2,FALSE)</f>
        <v>NZO</v>
      </c>
      <c r="C203" s="264" t="s">
        <v>236</v>
      </c>
      <c r="D203" s="264" t="s">
        <v>1145</v>
      </c>
      <c r="E203" s="264" t="s">
        <v>1506</v>
      </c>
      <c r="F203" s="264">
        <v>9767213</v>
      </c>
      <c r="G203" s="264" t="s">
        <v>1068</v>
      </c>
      <c r="H203" s="264">
        <v>2019</v>
      </c>
      <c r="I203" s="265"/>
      <c r="J203" s="278"/>
      <c r="K203" s="279">
        <v>1015</v>
      </c>
      <c r="L203" s="279"/>
      <c r="M203" s="280"/>
      <c r="N203" s="280"/>
      <c r="O203" s="279"/>
      <c r="P203" s="281" t="s">
        <v>1271</v>
      </c>
      <c r="Q203" s="264"/>
      <c r="R203" s="282"/>
      <c r="S203" s="281">
        <v>44196</v>
      </c>
      <c r="T203" s="281">
        <v>4.2</v>
      </c>
      <c r="U203" s="264">
        <v>1.6</v>
      </c>
      <c r="V203" s="282">
        <v>2.6</v>
      </c>
      <c r="W203" s="281">
        <v>0</v>
      </c>
      <c r="X203" s="281">
        <v>0</v>
      </c>
      <c r="Y203" s="264">
        <v>0</v>
      </c>
      <c r="Z203" s="282">
        <v>32</v>
      </c>
      <c r="AA203" s="281">
        <v>12</v>
      </c>
      <c r="AB203" s="281">
        <v>0</v>
      </c>
      <c r="AD203" s="284">
        <v>4.2</v>
      </c>
      <c r="AE203" s="284">
        <v>1.6</v>
      </c>
      <c r="AF203" s="284">
        <v>2.6</v>
      </c>
      <c r="AG203" s="284">
        <v>0</v>
      </c>
      <c r="AH203" s="284">
        <v>0</v>
      </c>
      <c r="AI203" s="284">
        <v>0</v>
      </c>
      <c r="AJ203" s="284">
        <v>12</v>
      </c>
      <c r="AL203" s="285">
        <v>2820833.4854898043</v>
      </c>
      <c r="AM203" s="286">
        <v>0</v>
      </c>
      <c r="AN203" s="287">
        <v>179680.13851168595</v>
      </c>
      <c r="AO203" s="288">
        <v>0</v>
      </c>
      <c r="AP203" s="289">
        <v>3000513.6240014904</v>
      </c>
      <c r="AQ203" s="266"/>
      <c r="AR203" s="285">
        <v>0</v>
      </c>
      <c r="AS203" s="286">
        <v>0</v>
      </c>
      <c r="AT203" s="286">
        <v>0</v>
      </c>
      <c r="AU203" s="290">
        <v>0</v>
      </c>
      <c r="AV203" s="289">
        <v>0</v>
      </c>
      <c r="AW203" s="291">
        <v>3000513.6240014904</v>
      </c>
    </row>
    <row r="204" spans="1:49" x14ac:dyDescent="0.25">
      <c r="A204" s="264">
        <v>4385424</v>
      </c>
      <c r="B204" s="353" t="s">
        <v>1770</v>
      </c>
      <c r="C204" s="264" t="s">
        <v>1535</v>
      </c>
      <c r="D204" s="264" t="s">
        <v>1533</v>
      </c>
      <c r="E204" s="264" t="s">
        <v>1760</v>
      </c>
      <c r="F204" s="264">
        <v>4385424</v>
      </c>
      <c r="G204" s="264" t="s">
        <v>1087</v>
      </c>
      <c r="H204" s="264">
        <v>2019</v>
      </c>
      <c r="I204" s="265"/>
      <c r="J204" s="278"/>
      <c r="K204" s="279"/>
      <c r="L204" s="279"/>
      <c r="M204" s="280">
        <v>86</v>
      </c>
      <c r="N204" s="280"/>
      <c r="O204" s="279"/>
      <c r="P204" s="281" t="s">
        <v>1119</v>
      </c>
      <c r="Q204" s="264"/>
      <c r="R204" s="282"/>
      <c r="S204" s="281"/>
      <c r="T204" s="281"/>
      <c r="U204" s="264"/>
      <c r="V204" s="282"/>
      <c r="W204" s="281"/>
      <c r="X204" s="281"/>
      <c r="Y204" s="264"/>
      <c r="Z204" s="282"/>
      <c r="AA204" s="281"/>
      <c r="AB204" s="281"/>
      <c r="AD204" s="284">
        <v>0</v>
      </c>
      <c r="AE204" s="284">
        <v>0</v>
      </c>
      <c r="AF204" s="284">
        <v>0</v>
      </c>
      <c r="AG204" s="284">
        <v>0</v>
      </c>
      <c r="AH204" s="284">
        <v>0</v>
      </c>
      <c r="AI204" s="284">
        <v>0</v>
      </c>
      <c r="AJ204" s="284">
        <v>0</v>
      </c>
      <c r="AL204" s="285">
        <v>0</v>
      </c>
      <c r="AM204" s="286">
        <v>0</v>
      </c>
      <c r="AN204" s="287">
        <v>0</v>
      </c>
      <c r="AO204" s="288">
        <v>0</v>
      </c>
      <c r="AP204" s="289">
        <v>0</v>
      </c>
      <c r="AQ204" s="266"/>
      <c r="AR204" s="285">
        <v>0</v>
      </c>
      <c r="AS204" s="286">
        <v>0</v>
      </c>
      <c r="AT204" s="286">
        <v>0</v>
      </c>
      <c r="AU204" s="290">
        <v>0</v>
      </c>
      <c r="AV204" s="289">
        <v>0</v>
      </c>
      <c r="AW204" s="291">
        <v>0</v>
      </c>
    </row>
    <row r="205" spans="1:49" x14ac:dyDescent="0.25">
      <c r="A205" s="264">
        <v>4659873</v>
      </c>
      <c r="B205" s="264" t="str">
        <f>VLOOKUP(A205,'Výpočet VP 2020'!$A$4:$B$318,2,FALSE)</f>
        <v>NZO</v>
      </c>
      <c r="C205" s="264" t="s">
        <v>905</v>
      </c>
      <c r="D205" s="264" t="s">
        <v>902</v>
      </c>
      <c r="E205" s="264" t="s">
        <v>1486</v>
      </c>
      <c r="F205" s="264">
        <v>4659873</v>
      </c>
      <c r="G205" s="264" t="s">
        <v>1087</v>
      </c>
      <c r="H205" s="264">
        <v>2019</v>
      </c>
      <c r="I205" s="265"/>
      <c r="J205" s="278"/>
      <c r="K205" s="279"/>
      <c r="L205" s="279"/>
      <c r="M205" s="280">
        <v>86</v>
      </c>
      <c r="N205" s="280"/>
      <c r="O205" s="279"/>
      <c r="P205" s="281" t="s">
        <v>1428</v>
      </c>
      <c r="Q205" s="264"/>
      <c r="R205" s="282"/>
      <c r="S205" s="281" t="s">
        <v>1733</v>
      </c>
      <c r="T205" s="281">
        <v>2</v>
      </c>
      <c r="U205" s="264">
        <v>2</v>
      </c>
      <c r="V205" s="282">
        <v>0</v>
      </c>
      <c r="W205" s="281">
        <v>0</v>
      </c>
      <c r="X205" s="281">
        <v>0</v>
      </c>
      <c r="Y205" s="264">
        <v>0</v>
      </c>
      <c r="Z205" s="282">
        <v>55</v>
      </c>
      <c r="AA205" s="281">
        <v>0</v>
      </c>
      <c r="AB205" s="281">
        <v>0</v>
      </c>
      <c r="AD205" s="284">
        <v>2</v>
      </c>
      <c r="AE205" s="284">
        <v>2</v>
      </c>
      <c r="AF205" s="284">
        <v>0</v>
      </c>
      <c r="AG205" s="284">
        <v>0</v>
      </c>
      <c r="AH205" s="284">
        <v>0</v>
      </c>
      <c r="AI205" s="284">
        <v>0</v>
      </c>
      <c r="AJ205" s="284">
        <v>0</v>
      </c>
      <c r="AL205" s="285">
        <v>1343254.0407094306</v>
      </c>
      <c r="AM205" s="286">
        <v>0</v>
      </c>
      <c r="AN205" s="287">
        <v>85561.970719850447</v>
      </c>
      <c r="AO205" s="288">
        <v>0</v>
      </c>
      <c r="AP205" s="289">
        <v>1428816.011429281</v>
      </c>
      <c r="AQ205" s="266"/>
      <c r="AR205" s="285">
        <v>0</v>
      </c>
      <c r="AS205" s="286">
        <v>0</v>
      </c>
      <c r="AT205" s="286">
        <v>0</v>
      </c>
      <c r="AU205" s="290">
        <v>0</v>
      </c>
      <c r="AV205" s="289">
        <v>0</v>
      </c>
      <c r="AW205" s="291">
        <v>1428816.011429281</v>
      </c>
    </row>
    <row r="206" spans="1:49" x14ac:dyDescent="0.25">
      <c r="A206" s="264">
        <v>5943218</v>
      </c>
      <c r="B206" s="264" t="str">
        <f>VLOOKUP(A206,'Výpočet VP 2020'!$A$4:$B$318,2,FALSE)</f>
        <v>NZO</v>
      </c>
      <c r="C206" s="264" t="s">
        <v>585</v>
      </c>
      <c r="D206" s="264" t="s">
        <v>585</v>
      </c>
      <c r="E206" s="264" t="s">
        <v>1490</v>
      </c>
      <c r="F206" s="264">
        <v>5943218</v>
      </c>
      <c r="G206" s="264" t="s">
        <v>1087</v>
      </c>
      <c r="H206" s="264">
        <v>2019</v>
      </c>
      <c r="I206" s="265"/>
      <c r="J206" s="278"/>
      <c r="K206" s="279"/>
      <c r="L206" s="279"/>
      <c r="M206" s="280">
        <v>86</v>
      </c>
      <c r="N206" s="280"/>
      <c r="O206" s="279"/>
      <c r="P206" s="281" t="s">
        <v>1341</v>
      </c>
      <c r="Q206" s="264"/>
      <c r="R206" s="282"/>
      <c r="S206" s="281" t="s">
        <v>1733</v>
      </c>
      <c r="T206" s="281">
        <v>1.45</v>
      </c>
      <c r="U206" s="264">
        <v>0.5</v>
      </c>
      <c r="V206" s="282">
        <v>0</v>
      </c>
      <c r="W206" s="281">
        <v>0</v>
      </c>
      <c r="X206" s="281">
        <v>0.95</v>
      </c>
      <c r="Y206" s="264">
        <v>0</v>
      </c>
      <c r="Z206" s="282">
        <v>15</v>
      </c>
      <c r="AA206" s="281">
        <v>2</v>
      </c>
      <c r="AB206" s="281">
        <v>0</v>
      </c>
      <c r="AD206" s="284">
        <v>1.45</v>
      </c>
      <c r="AE206" s="284">
        <v>0.5</v>
      </c>
      <c r="AF206" s="284">
        <v>0</v>
      </c>
      <c r="AG206" s="284">
        <v>0</v>
      </c>
      <c r="AH206" s="284">
        <v>0.95</v>
      </c>
      <c r="AI206" s="284">
        <v>0</v>
      </c>
      <c r="AJ206" s="284">
        <v>2</v>
      </c>
      <c r="AL206" s="285">
        <v>973859.1795143371</v>
      </c>
      <c r="AM206" s="286">
        <v>0</v>
      </c>
      <c r="AN206" s="287">
        <v>62032.428771891573</v>
      </c>
      <c r="AO206" s="288">
        <v>0</v>
      </c>
      <c r="AP206" s="289">
        <v>1035891.6082862287</v>
      </c>
      <c r="AQ206" s="266"/>
      <c r="AR206" s="285">
        <v>0</v>
      </c>
      <c r="AS206" s="286">
        <v>0</v>
      </c>
      <c r="AT206" s="286">
        <v>0</v>
      </c>
      <c r="AU206" s="290">
        <v>0</v>
      </c>
      <c r="AV206" s="289">
        <v>0</v>
      </c>
      <c r="AW206" s="291">
        <v>1035891.6082862287</v>
      </c>
    </row>
    <row r="207" spans="1:49" x14ac:dyDescent="0.25">
      <c r="A207" s="264">
        <v>7175172</v>
      </c>
      <c r="B207" s="353" t="s">
        <v>1770</v>
      </c>
      <c r="C207" s="264" t="s">
        <v>1537</v>
      </c>
      <c r="D207" s="264" t="s">
        <v>1536</v>
      </c>
      <c r="E207" s="264" t="s">
        <v>1761</v>
      </c>
      <c r="F207" s="264">
        <v>7175172</v>
      </c>
      <c r="G207" s="264" t="s">
        <v>1087</v>
      </c>
      <c r="H207" s="264">
        <v>2019</v>
      </c>
      <c r="I207" s="265"/>
      <c r="J207" s="278"/>
      <c r="K207" s="279"/>
      <c r="L207" s="279"/>
      <c r="M207" s="280">
        <v>86</v>
      </c>
      <c r="N207" s="280"/>
      <c r="O207" s="279"/>
      <c r="P207" s="281" t="s">
        <v>1069</v>
      </c>
      <c r="Q207" s="264"/>
      <c r="R207" s="282"/>
      <c r="S207" s="281">
        <v>44377</v>
      </c>
      <c r="T207" s="281">
        <v>2</v>
      </c>
      <c r="U207" s="264">
        <v>2</v>
      </c>
      <c r="V207" s="282">
        <v>0</v>
      </c>
      <c r="W207" s="281">
        <v>0</v>
      </c>
      <c r="X207" s="281">
        <v>0</v>
      </c>
      <c r="Y207" s="264">
        <v>0</v>
      </c>
      <c r="Z207" s="282">
        <v>5</v>
      </c>
      <c r="AA207" s="281">
        <v>0</v>
      </c>
      <c r="AB207" s="281">
        <v>0</v>
      </c>
      <c r="AD207" s="284">
        <v>2</v>
      </c>
      <c r="AE207" s="284">
        <v>2</v>
      </c>
      <c r="AF207" s="284">
        <v>0</v>
      </c>
      <c r="AG207" s="284">
        <v>0</v>
      </c>
      <c r="AH207" s="284">
        <v>0</v>
      </c>
      <c r="AI207" s="284">
        <v>0</v>
      </c>
      <c r="AJ207" s="284">
        <v>0</v>
      </c>
      <c r="AL207" s="285">
        <v>1343254.0407094306</v>
      </c>
      <c r="AM207" s="286">
        <v>0</v>
      </c>
      <c r="AN207" s="287">
        <v>85561.970719850447</v>
      </c>
      <c r="AO207" s="288">
        <v>0</v>
      </c>
      <c r="AP207" s="289">
        <v>1428816.011429281</v>
      </c>
      <c r="AQ207" s="266"/>
      <c r="AR207" s="285">
        <v>0</v>
      </c>
      <c r="AS207" s="286">
        <v>0</v>
      </c>
      <c r="AT207" s="286">
        <v>0</v>
      </c>
      <c r="AU207" s="290">
        <v>0</v>
      </c>
      <c r="AV207" s="289">
        <v>0</v>
      </c>
      <c r="AW207" s="291">
        <v>1428816.011429281</v>
      </c>
    </row>
    <row r="208" spans="1:49" x14ac:dyDescent="0.25">
      <c r="A208" s="264">
        <v>4373225</v>
      </c>
      <c r="B208" s="264" t="str">
        <f>VLOOKUP(A208,'Výpočet VP 2020'!$A$4:$B$318,2,FALSE)</f>
        <v>NZO</v>
      </c>
      <c r="C208" s="264" t="s">
        <v>1485</v>
      </c>
      <c r="D208" s="264" t="s">
        <v>1067</v>
      </c>
      <c r="E208" s="264" t="s">
        <v>1484</v>
      </c>
      <c r="F208" s="264">
        <v>4373225</v>
      </c>
      <c r="G208" s="264" t="s">
        <v>1087</v>
      </c>
      <c r="H208" s="264">
        <v>2019</v>
      </c>
      <c r="I208" s="265"/>
      <c r="J208" s="278"/>
      <c r="K208" s="279"/>
      <c r="L208" s="279"/>
      <c r="M208" s="280">
        <v>86</v>
      </c>
      <c r="N208" s="280"/>
      <c r="O208" s="279"/>
      <c r="P208" s="281" t="s">
        <v>1069</v>
      </c>
      <c r="Q208" s="264"/>
      <c r="R208" s="282"/>
      <c r="S208" s="281">
        <v>44196</v>
      </c>
      <c r="T208" s="281">
        <v>1.6</v>
      </c>
      <c r="U208" s="264">
        <v>1.1000000000000001</v>
      </c>
      <c r="V208" s="282">
        <v>0</v>
      </c>
      <c r="W208" s="281">
        <v>0</v>
      </c>
      <c r="X208" s="281">
        <v>0.5</v>
      </c>
      <c r="Y208" s="264">
        <v>0</v>
      </c>
      <c r="Z208" s="282">
        <v>2</v>
      </c>
      <c r="AA208" s="281">
        <v>0</v>
      </c>
      <c r="AB208" s="281">
        <v>0</v>
      </c>
      <c r="AD208" s="284">
        <v>1.6</v>
      </c>
      <c r="AE208" s="284">
        <v>1.1000000000000001</v>
      </c>
      <c r="AF208" s="284">
        <v>0</v>
      </c>
      <c r="AG208" s="284">
        <v>0</v>
      </c>
      <c r="AH208" s="284">
        <v>0.5</v>
      </c>
      <c r="AI208" s="284">
        <v>0</v>
      </c>
      <c r="AJ208" s="284">
        <v>0</v>
      </c>
      <c r="AL208" s="285">
        <v>1074603.2325675446</v>
      </c>
      <c r="AM208" s="286">
        <v>0</v>
      </c>
      <c r="AN208" s="287">
        <v>68449.576575880361</v>
      </c>
      <c r="AO208" s="288">
        <v>0</v>
      </c>
      <c r="AP208" s="289">
        <v>1143052.809143425</v>
      </c>
      <c r="AQ208" s="266"/>
      <c r="AR208" s="285">
        <v>0</v>
      </c>
      <c r="AS208" s="286">
        <v>0</v>
      </c>
      <c r="AT208" s="286">
        <v>0</v>
      </c>
      <c r="AU208" s="290">
        <v>0</v>
      </c>
      <c r="AV208" s="289">
        <v>0</v>
      </c>
      <c r="AW208" s="291">
        <v>1143052.809143425</v>
      </c>
    </row>
    <row r="209" spans="1:49" x14ac:dyDescent="0.25">
      <c r="A209" s="264">
        <v>6948137</v>
      </c>
      <c r="B209" s="264" t="str">
        <f>VLOOKUP(A209,'Výpočet VP 2020'!$A$4:$B$318,2,FALSE)</f>
        <v>NZO</v>
      </c>
      <c r="C209" s="264" t="s">
        <v>1495</v>
      </c>
      <c r="D209" s="264" t="s">
        <v>849</v>
      </c>
      <c r="E209" s="264" t="s">
        <v>1494</v>
      </c>
      <c r="F209" s="264">
        <v>6948137</v>
      </c>
      <c r="G209" s="264" t="s">
        <v>1061</v>
      </c>
      <c r="H209" s="264">
        <v>2019</v>
      </c>
      <c r="I209" s="265"/>
      <c r="J209" s="278"/>
      <c r="K209" s="279"/>
      <c r="L209" s="279"/>
      <c r="M209" s="280"/>
      <c r="N209" s="280"/>
      <c r="O209" s="279">
        <v>3605</v>
      </c>
      <c r="P209" s="281" t="s">
        <v>1341</v>
      </c>
      <c r="Q209" s="264"/>
      <c r="R209" s="282"/>
      <c r="S209" s="281">
        <v>44377</v>
      </c>
      <c r="T209" s="281">
        <v>5</v>
      </c>
      <c r="U209" s="264">
        <v>5</v>
      </c>
      <c r="V209" s="282">
        <v>0</v>
      </c>
      <c r="W209" s="281">
        <v>0</v>
      </c>
      <c r="X209" s="281">
        <v>0</v>
      </c>
      <c r="Y209" s="264">
        <v>0</v>
      </c>
      <c r="Z209" s="282">
        <v>30</v>
      </c>
      <c r="AA209" s="281">
        <v>0</v>
      </c>
      <c r="AB209" s="281">
        <v>0</v>
      </c>
      <c r="AD209" s="284">
        <v>5</v>
      </c>
      <c r="AE209" s="284">
        <v>5</v>
      </c>
      <c r="AF209" s="284">
        <v>0</v>
      </c>
      <c r="AG209" s="284">
        <v>0</v>
      </c>
      <c r="AH209" s="284">
        <v>0</v>
      </c>
      <c r="AI209" s="284">
        <v>0</v>
      </c>
      <c r="AJ209" s="284">
        <v>0</v>
      </c>
      <c r="AL209" s="285">
        <v>3358135.1017735763</v>
      </c>
      <c r="AM209" s="286">
        <v>0</v>
      </c>
      <c r="AN209" s="287">
        <v>213904.92679962612</v>
      </c>
      <c r="AO209" s="288">
        <v>0</v>
      </c>
      <c r="AP209" s="289">
        <v>3572040.0285732024</v>
      </c>
      <c r="AQ209" s="266"/>
      <c r="AR209" s="285">
        <v>0</v>
      </c>
      <c r="AS209" s="286">
        <v>0</v>
      </c>
      <c r="AT209" s="286">
        <v>0</v>
      </c>
      <c r="AU209" s="290">
        <v>0</v>
      </c>
      <c r="AV209" s="289">
        <v>0</v>
      </c>
      <c r="AW209" s="291">
        <v>3572040.0285732024</v>
      </c>
    </row>
    <row r="210" spans="1:49" x14ac:dyDescent="0.25">
      <c r="A210" s="264">
        <v>4885366</v>
      </c>
      <c r="B210" s="264" t="str">
        <f>VLOOKUP(A210,'Výpočet VP 2020'!$A$4:$B$318,2,FALSE)</f>
        <v>NZO</v>
      </c>
      <c r="C210" s="264" t="s">
        <v>1488</v>
      </c>
      <c r="D210" s="264" t="s">
        <v>240</v>
      </c>
      <c r="E210" s="264" t="s">
        <v>1487</v>
      </c>
      <c r="F210" s="264">
        <v>4885366</v>
      </c>
      <c r="G210" s="264" t="s">
        <v>1061</v>
      </c>
      <c r="H210" s="264">
        <v>2019</v>
      </c>
      <c r="I210" s="265"/>
      <c r="J210" s="278"/>
      <c r="K210" s="279"/>
      <c r="L210" s="279"/>
      <c r="M210" s="280"/>
      <c r="N210" s="280"/>
      <c r="O210" s="279">
        <v>3605</v>
      </c>
      <c r="P210" s="281" t="s">
        <v>1109</v>
      </c>
      <c r="Q210" s="264"/>
      <c r="R210" s="282"/>
      <c r="S210" s="281">
        <v>44196</v>
      </c>
      <c r="T210" s="281">
        <v>2</v>
      </c>
      <c r="U210" s="264">
        <v>1</v>
      </c>
      <c r="V210" s="282">
        <v>1</v>
      </c>
      <c r="W210" s="281">
        <v>0</v>
      </c>
      <c r="X210" s="281">
        <v>0</v>
      </c>
      <c r="Y210" s="264">
        <v>0</v>
      </c>
      <c r="Z210" s="282">
        <v>0</v>
      </c>
      <c r="AA210" s="281">
        <v>21</v>
      </c>
      <c r="AB210" s="281">
        <v>0</v>
      </c>
      <c r="AD210" s="284">
        <v>2</v>
      </c>
      <c r="AE210" s="284">
        <v>1</v>
      </c>
      <c r="AF210" s="284">
        <v>1</v>
      </c>
      <c r="AG210" s="284">
        <v>0</v>
      </c>
      <c r="AH210" s="284">
        <v>0</v>
      </c>
      <c r="AI210" s="284">
        <v>0</v>
      </c>
      <c r="AJ210" s="284">
        <v>21</v>
      </c>
      <c r="AL210" s="285">
        <v>1343254.0407094306</v>
      </c>
      <c r="AM210" s="286">
        <v>0</v>
      </c>
      <c r="AN210" s="287">
        <v>85561.970719850447</v>
      </c>
      <c r="AO210" s="288">
        <v>0</v>
      </c>
      <c r="AP210" s="289">
        <v>1428816.011429281</v>
      </c>
      <c r="AQ210" s="266"/>
      <c r="AR210" s="285">
        <v>0</v>
      </c>
      <c r="AS210" s="286">
        <v>0</v>
      </c>
      <c r="AT210" s="286">
        <v>0</v>
      </c>
      <c r="AU210" s="290">
        <v>0</v>
      </c>
      <c r="AV210" s="289">
        <v>0</v>
      </c>
      <c r="AW210" s="291">
        <v>1428816.011429281</v>
      </c>
    </row>
    <row r="211" spans="1:49" x14ac:dyDescent="0.25">
      <c r="A211" s="264">
        <v>6473703</v>
      </c>
      <c r="B211" s="264" t="str">
        <f>VLOOKUP(A211,'Výpočet VP 2020'!$A$4:$B$318,2,FALSE)</f>
        <v>NZO</v>
      </c>
      <c r="C211" s="264" t="s">
        <v>879</v>
      </c>
      <c r="D211" s="264" t="s">
        <v>874</v>
      </c>
      <c r="E211" s="264" t="s">
        <v>1492</v>
      </c>
      <c r="F211" s="264">
        <v>6473703</v>
      </c>
      <c r="G211" s="264" t="s">
        <v>1061</v>
      </c>
      <c r="H211" s="264">
        <v>2019</v>
      </c>
      <c r="I211" s="265"/>
      <c r="J211" s="278"/>
      <c r="K211" s="279">
        <v>1066</v>
      </c>
      <c r="L211" s="279"/>
      <c r="M211" s="280"/>
      <c r="N211" s="280"/>
      <c r="O211" s="279"/>
      <c r="P211" s="281" t="s">
        <v>1271</v>
      </c>
      <c r="Q211" s="264"/>
      <c r="R211" s="282"/>
      <c r="S211" s="281">
        <v>44196</v>
      </c>
      <c r="T211" s="281">
        <v>3</v>
      </c>
      <c r="U211" s="264">
        <v>1.25</v>
      </c>
      <c r="V211" s="282">
        <v>1.75</v>
      </c>
      <c r="W211" s="281">
        <v>0</v>
      </c>
      <c r="X211" s="281">
        <v>0</v>
      </c>
      <c r="Y211" s="264">
        <v>0</v>
      </c>
      <c r="Z211" s="282">
        <v>20</v>
      </c>
      <c r="AA211" s="281">
        <v>0</v>
      </c>
      <c r="AB211" s="281">
        <v>0</v>
      </c>
      <c r="AD211" s="284">
        <v>3</v>
      </c>
      <c r="AE211" s="284">
        <v>1.25</v>
      </c>
      <c r="AF211" s="284">
        <v>1.75</v>
      </c>
      <c r="AG211" s="284">
        <v>0</v>
      </c>
      <c r="AH211" s="284">
        <v>0</v>
      </c>
      <c r="AI211" s="284">
        <v>0</v>
      </c>
      <c r="AJ211" s="284">
        <v>0</v>
      </c>
      <c r="AL211" s="285">
        <v>2014881.061064146</v>
      </c>
      <c r="AM211" s="286">
        <v>0</v>
      </c>
      <c r="AN211" s="287">
        <v>128342.95607977567</v>
      </c>
      <c r="AO211" s="288">
        <v>0</v>
      </c>
      <c r="AP211" s="289">
        <v>2143224.0171439215</v>
      </c>
      <c r="AQ211" s="266"/>
      <c r="AR211" s="285">
        <v>0</v>
      </c>
      <c r="AS211" s="286">
        <v>0</v>
      </c>
      <c r="AT211" s="286">
        <v>0</v>
      </c>
      <c r="AU211" s="290">
        <v>0</v>
      </c>
      <c r="AV211" s="289">
        <v>0</v>
      </c>
      <c r="AW211" s="291">
        <v>2143224.0171439215</v>
      </c>
    </row>
    <row r="212" spans="1:49" x14ac:dyDescent="0.25">
      <c r="A212" s="264">
        <v>7218817</v>
      </c>
      <c r="B212" s="264" t="str">
        <f>VLOOKUP(A212,'Výpočet VP 2020'!$A$4:$B$318,2,FALSE)</f>
        <v>NZO</v>
      </c>
      <c r="C212" s="264" t="s">
        <v>1112</v>
      </c>
      <c r="D212" s="264" t="s">
        <v>1113</v>
      </c>
      <c r="E212" s="264" t="s">
        <v>1497</v>
      </c>
      <c r="F212" s="264">
        <v>7218817</v>
      </c>
      <c r="G212" s="264" t="s">
        <v>1144</v>
      </c>
      <c r="H212" s="264">
        <v>2019</v>
      </c>
      <c r="I212" s="265"/>
      <c r="J212" s="278"/>
      <c r="K212" s="279">
        <v>1023</v>
      </c>
      <c r="L212" s="279"/>
      <c r="M212" s="280"/>
      <c r="N212" s="280"/>
      <c r="O212" s="279"/>
      <c r="P212" s="281" t="s">
        <v>1498</v>
      </c>
      <c r="Q212" s="264"/>
      <c r="R212" s="282"/>
      <c r="S212" s="281">
        <v>44196</v>
      </c>
      <c r="T212" s="281">
        <v>2.5</v>
      </c>
      <c r="U212" s="264">
        <v>0.5</v>
      </c>
      <c r="V212" s="282">
        <v>2</v>
      </c>
      <c r="W212" s="281">
        <v>0</v>
      </c>
      <c r="X212" s="281">
        <v>0</v>
      </c>
      <c r="Y212" s="264">
        <v>0</v>
      </c>
      <c r="Z212" s="282">
        <v>20</v>
      </c>
      <c r="AA212" s="281">
        <v>0</v>
      </c>
      <c r="AB212" s="281">
        <v>0</v>
      </c>
      <c r="AD212" s="284">
        <v>2.5</v>
      </c>
      <c r="AE212" s="284">
        <v>0.5</v>
      </c>
      <c r="AF212" s="284">
        <v>2</v>
      </c>
      <c r="AG212" s="284">
        <v>0</v>
      </c>
      <c r="AH212" s="284">
        <v>0</v>
      </c>
      <c r="AI212" s="284">
        <v>0</v>
      </c>
      <c r="AJ212" s="284">
        <v>0</v>
      </c>
      <c r="AL212" s="285">
        <v>1679067.5508867882</v>
      </c>
      <c r="AM212" s="286">
        <v>0</v>
      </c>
      <c r="AN212" s="287">
        <v>106952.46339981306</v>
      </c>
      <c r="AO212" s="288">
        <v>0</v>
      </c>
      <c r="AP212" s="289">
        <v>1786020.0142866012</v>
      </c>
      <c r="AQ212" s="266"/>
      <c r="AR212" s="285">
        <v>0</v>
      </c>
      <c r="AS212" s="286">
        <v>0</v>
      </c>
      <c r="AT212" s="286">
        <v>0</v>
      </c>
      <c r="AU212" s="290">
        <v>0</v>
      </c>
      <c r="AV212" s="289">
        <v>0</v>
      </c>
      <c r="AW212" s="291">
        <v>1786020.0142866012</v>
      </c>
    </row>
    <row r="213" spans="1:49" x14ac:dyDescent="0.25">
      <c r="A213" s="264">
        <v>7381195</v>
      </c>
      <c r="B213" s="264" t="str">
        <f>VLOOKUP(A213,'Výpočet VP 2020'!$A$4:$B$318,2,FALSE)</f>
        <v>NZO</v>
      </c>
      <c r="C213" s="264" t="s">
        <v>731</v>
      </c>
      <c r="D213" s="264" t="s">
        <v>1297</v>
      </c>
      <c r="E213" s="264" t="s">
        <v>1499</v>
      </c>
      <c r="F213" s="264">
        <v>7381195</v>
      </c>
      <c r="G213" s="264" t="s">
        <v>1138</v>
      </c>
      <c r="H213" s="264">
        <v>2019</v>
      </c>
      <c r="I213" s="265"/>
      <c r="J213" s="278"/>
      <c r="K213" s="279">
        <v>1058</v>
      </c>
      <c r="L213" s="279"/>
      <c r="M213" s="280"/>
      <c r="N213" s="280"/>
      <c r="O213" s="279"/>
      <c r="P213" s="281" t="s">
        <v>1500</v>
      </c>
      <c r="Q213" s="264"/>
      <c r="R213" s="282"/>
      <c r="S213" s="281">
        <v>44196</v>
      </c>
      <c r="T213" s="281">
        <v>1.1499999999999999</v>
      </c>
      <c r="U213" s="264">
        <v>0.25</v>
      </c>
      <c r="V213" s="282">
        <v>0.9</v>
      </c>
      <c r="W213" s="281">
        <v>0</v>
      </c>
      <c r="X213" s="281">
        <v>0</v>
      </c>
      <c r="Y213" s="264">
        <v>0</v>
      </c>
      <c r="Z213" s="282">
        <v>4</v>
      </c>
      <c r="AA213" s="281">
        <v>0</v>
      </c>
      <c r="AB213" s="281">
        <v>0</v>
      </c>
      <c r="AD213" s="284">
        <v>1.1499999999999999</v>
      </c>
      <c r="AE213" s="284">
        <v>0.25</v>
      </c>
      <c r="AF213" s="284">
        <v>0.9</v>
      </c>
      <c r="AG213" s="284">
        <v>0</v>
      </c>
      <c r="AH213" s="284">
        <v>0</v>
      </c>
      <c r="AI213" s="284">
        <v>0</v>
      </c>
      <c r="AJ213" s="284">
        <v>0</v>
      </c>
      <c r="AL213" s="285">
        <v>772371.07340792252</v>
      </c>
      <c r="AM213" s="286">
        <v>0</v>
      </c>
      <c r="AN213" s="287">
        <v>49198.133163914004</v>
      </c>
      <c r="AO213" s="288">
        <v>0</v>
      </c>
      <c r="AP213" s="289">
        <v>821569.20657183649</v>
      </c>
      <c r="AQ213" s="266"/>
      <c r="AR213" s="285">
        <v>0</v>
      </c>
      <c r="AS213" s="286">
        <v>0</v>
      </c>
      <c r="AT213" s="286">
        <v>0</v>
      </c>
      <c r="AU213" s="290">
        <v>0</v>
      </c>
      <c r="AV213" s="289">
        <v>0</v>
      </c>
      <c r="AW213" s="291">
        <v>821569.20657183649</v>
      </c>
    </row>
    <row r="214" spans="1:49" x14ac:dyDescent="0.25">
      <c r="A214" s="264">
        <v>6948137</v>
      </c>
      <c r="B214" s="264" t="str">
        <f>VLOOKUP(A214,'Výpočet VP 2020'!$A$4:$B$318,2,FALSE)</f>
        <v>NZO</v>
      </c>
      <c r="C214" s="264" t="s">
        <v>1495</v>
      </c>
      <c r="D214" s="264" t="s">
        <v>849</v>
      </c>
      <c r="E214" s="264" t="s">
        <v>1496</v>
      </c>
      <c r="F214" s="264">
        <v>6948137</v>
      </c>
      <c r="G214" s="264" t="s">
        <v>1063</v>
      </c>
      <c r="H214" s="264">
        <v>2019</v>
      </c>
      <c r="I214" s="265"/>
      <c r="J214" s="278"/>
      <c r="K214" s="279"/>
      <c r="L214" s="279"/>
      <c r="M214" s="280"/>
      <c r="N214" s="280"/>
      <c r="O214" s="279">
        <v>3607</v>
      </c>
      <c r="P214" s="281" t="s">
        <v>1341</v>
      </c>
      <c r="Q214" s="264"/>
      <c r="R214" s="282"/>
      <c r="S214" s="281">
        <v>44377</v>
      </c>
      <c r="T214" s="281">
        <v>5.5</v>
      </c>
      <c r="U214" s="264">
        <v>5.5</v>
      </c>
      <c r="V214" s="282">
        <v>0</v>
      </c>
      <c r="W214" s="281">
        <v>0</v>
      </c>
      <c r="X214" s="281">
        <v>0</v>
      </c>
      <c r="Y214" s="264">
        <v>0</v>
      </c>
      <c r="Z214" s="282">
        <v>30</v>
      </c>
      <c r="AA214" s="281">
        <v>0</v>
      </c>
      <c r="AB214" s="281">
        <v>0</v>
      </c>
      <c r="AD214" s="284">
        <v>5.5</v>
      </c>
      <c r="AE214" s="284">
        <v>5.5</v>
      </c>
      <c r="AF214" s="284">
        <v>0</v>
      </c>
      <c r="AG214" s="284">
        <v>0</v>
      </c>
      <c r="AH214" s="284">
        <v>0</v>
      </c>
      <c r="AI214" s="284">
        <v>0</v>
      </c>
      <c r="AJ214" s="284">
        <v>0</v>
      </c>
      <c r="AL214" s="285">
        <v>3693948.6119509339</v>
      </c>
      <c r="AM214" s="286">
        <v>0</v>
      </c>
      <c r="AN214" s="287">
        <v>235295.41947958875</v>
      </c>
      <c r="AO214" s="288">
        <v>0</v>
      </c>
      <c r="AP214" s="289">
        <v>3929244.0314305229</v>
      </c>
      <c r="AQ214" s="266"/>
      <c r="AR214" s="285">
        <v>0</v>
      </c>
      <c r="AS214" s="286">
        <v>0</v>
      </c>
      <c r="AT214" s="286">
        <v>0</v>
      </c>
      <c r="AU214" s="290">
        <v>0</v>
      </c>
      <c r="AV214" s="289">
        <v>0</v>
      </c>
      <c r="AW214" s="291">
        <v>3929244.0314305229</v>
      </c>
    </row>
    <row r="215" spans="1:49" x14ac:dyDescent="0.25">
      <c r="A215" s="264">
        <v>4885366</v>
      </c>
      <c r="B215" s="264" t="str">
        <f>VLOOKUP(A215,'Výpočet VP 2020'!$A$4:$B$318,2,FALSE)</f>
        <v>NZO</v>
      </c>
      <c r="C215" s="264" t="s">
        <v>1488</v>
      </c>
      <c r="D215" s="264" t="s">
        <v>240</v>
      </c>
      <c r="E215" s="264" t="s">
        <v>1489</v>
      </c>
      <c r="F215" s="264">
        <v>4885366</v>
      </c>
      <c r="G215" s="264" t="s">
        <v>1063</v>
      </c>
      <c r="H215" s="264">
        <v>2019</v>
      </c>
      <c r="I215" s="265"/>
      <c r="J215" s="278"/>
      <c r="K215" s="279"/>
      <c r="L215" s="279"/>
      <c r="M215" s="280"/>
      <c r="N215" s="280"/>
      <c r="O215" s="279">
        <v>3607</v>
      </c>
      <c r="P215" s="281" t="s">
        <v>1109</v>
      </c>
      <c r="Q215" s="264"/>
      <c r="R215" s="282"/>
      <c r="S215" s="281">
        <v>44196</v>
      </c>
      <c r="T215" s="281">
        <v>2</v>
      </c>
      <c r="U215" s="264">
        <v>1</v>
      </c>
      <c r="V215" s="282">
        <v>1</v>
      </c>
      <c r="W215" s="281">
        <v>0</v>
      </c>
      <c r="X215" s="281">
        <v>0</v>
      </c>
      <c r="Y215" s="264">
        <v>0</v>
      </c>
      <c r="Z215" s="282">
        <v>0</v>
      </c>
      <c r="AA215" s="281">
        <v>21</v>
      </c>
      <c r="AB215" s="281">
        <v>0</v>
      </c>
      <c r="AD215" s="284">
        <v>2</v>
      </c>
      <c r="AE215" s="284">
        <v>1</v>
      </c>
      <c r="AF215" s="284">
        <v>1</v>
      </c>
      <c r="AG215" s="284">
        <v>0</v>
      </c>
      <c r="AH215" s="284">
        <v>0</v>
      </c>
      <c r="AI215" s="284">
        <v>0</v>
      </c>
      <c r="AJ215" s="284">
        <v>21</v>
      </c>
      <c r="AL215" s="285">
        <v>1343254.0407094306</v>
      </c>
      <c r="AM215" s="286">
        <v>0</v>
      </c>
      <c r="AN215" s="287">
        <v>85561.970719850447</v>
      </c>
      <c r="AO215" s="288">
        <v>0</v>
      </c>
      <c r="AP215" s="289">
        <v>1428816.011429281</v>
      </c>
      <c r="AQ215" s="266"/>
      <c r="AR215" s="285">
        <v>0</v>
      </c>
      <c r="AS215" s="286">
        <v>0</v>
      </c>
      <c r="AT215" s="286">
        <v>0</v>
      </c>
      <c r="AU215" s="290">
        <v>0</v>
      </c>
      <c r="AV215" s="289">
        <v>0</v>
      </c>
      <c r="AW215" s="291">
        <v>1428816.011429281</v>
      </c>
    </row>
    <row r="216" spans="1:49" x14ac:dyDescent="0.25">
      <c r="A216" s="264">
        <v>9818505</v>
      </c>
      <c r="B216" s="353" t="s">
        <v>1770</v>
      </c>
      <c r="C216" s="264" t="s">
        <v>1522</v>
      </c>
      <c r="D216" s="264" t="s">
        <v>874</v>
      </c>
      <c r="E216" s="264" t="s">
        <v>1713</v>
      </c>
      <c r="F216" s="264">
        <v>9818505</v>
      </c>
      <c r="G216" s="264" t="s">
        <v>1063</v>
      </c>
      <c r="H216" s="264">
        <v>2019</v>
      </c>
      <c r="I216" s="265"/>
      <c r="J216" s="278"/>
      <c r="K216" s="279">
        <v>1121</v>
      </c>
      <c r="L216" s="279"/>
      <c r="M216" s="280"/>
      <c r="N216" s="280"/>
      <c r="O216" s="279"/>
      <c r="P216" s="281" t="s">
        <v>1271</v>
      </c>
      <c r="Q216" s="264"/>
      <c r="R216" s="282"/>
      <c r="S216" s="281">
        <v>44196</v>
      </c>
      <c r="T216" s="281">
        <v>3.5</v>
      </c>
      <c r="U216" s="264">
        <v>2</v>
      </c>
      <c r="V216" s="282">
        <v>1.5</v>
      </c>
      <c r="W216" s="281">
        <v>0</v>
      </c>
      <c r="X216" s="281">
        <v>0</v>
      </c>
      <c r="Y216" s="264">
        <v>0</v>
      </c>
      <c r="Z216" s="282">
        <v>20</v>
      </c>
      <c r="AA216" s="281">
        <v>0</v>
      </c>
      <c r="AB216" s="281">
        <v>0</v>
      </c>
      <c r="AD216" s="284">
        <v>3.5</v>
      </c>
      <c r="AE216" s="284">
        <v>2</v>
      </c>
      <c r="AF216" s="284">
        <v>1.5</v>
      </c>
      <c r="AG216" s="284">
        <v>0</v>
      </c>
      <c r="AH216" s="284">
        <v>0</v>
      </c>
      <c r="AI216" s="284">
        <v>0</v>
      </c>
      <c r="AJ216" s="284">
        <v>0</v>
      </c>
      <c r="AL216" s="285">
        <v>2350694.5712415036</v>
      </c>
      <c r="AM216" s="286">
        <v>0</v>
      </c>
      <c r="AN216" s="287">
        <v>149733.4487597383</v>
      </c>
      <c r="AO216" s="288">
        <v>0</v>
      </c>
      <c r="AP216" s="289">
        <v>2500428.0200012419</v>
      </c>
      <c r="AQ216" s="266"/>
      <c r="AR216" s="285">
        <v>0</v>
      </c>
      <c r="AS216" s="286">
        <v>0</v>
      </c>
      <c r="AT216" s="286">
        <v>0</v>
      </c>
      <c r="AU216" s="290">
        <v>0</v>
      </c>
      <c r="AV216" s="289">
        <v>0</v>
      </c>
      <c r="AW216" s="291">
        <v>2500428.0200012419</v>
      </c>
    </row>
    <row r="217" spans="1:49" x14ac:dyDescent="0.25">
      <c r="A217" s="264">
        <v>7805491</v>
      </c>
      <c r="B217" s="264" t="str">
        <f>VLOOKUP(A217,'Výpočet VP 2020'!$A$4:$B$318,2,FALSE)</f>
        <v>NZO</v>
      </c>
      <c r="C217" s="264" t="s">
        <v>1523</v>
      </c>
      <c r="D217" s="264" t="s">
        <v>874</v>
      </c>
      <c r="E217" s="264" t="s">
        <v>1502</v>
      </c>
      <c r="F217" s="264">
        <v>7805491</v>
      </c>
      <c r="G217" s="264" t="s">
        <v>1063</v>
      </c>
      <c r="H217" s="264">
        <v>2019</v>
      </c>
      <c r="I217" s="265"/>
      <c r="J217" s="278"/>
      <c r="K217" s="279">
        <v>1121</v>
      </c>
      <c r="L217" s="279"/>
      <c r="M217" s="280"/>
      <c r="N217" s="280"/>
      <c r="O217" s="279"/>
      <c r="P217" s="281" t="s">
        <v>1248</v>
      </c>
      <c r="Q217" s="264"/>
      <c r="R217" s="282"/>
      <c r="S217" s="281">
        <v>44196</v>
      </c>
      <c r="T217" s="281">
        <v>1.35</v>
      </c>
      <c r="U217" s="264">
        <v>1.35</v>
      </c>
      <c r="V217" s="282">
        <v>0</v>
      </c>
      <c r="W217" s="281">
        <v>0</v>
      </c>
      <c r="X217" s="281">
        <v>0</v>
      </c>
      <c r="Y217" s="264">
        <v>0</v>
      </c>
      <c r="Z217" s="282">
        <v>6</v>
      </c>
      <c r="AA217" s="281">
        <v>0</v>
      </c>
      <c r="AB217" s="281">
        <v>0</v>
      </c>
      <c r="AD217" s="284">
        <v>1.35</v>
      </c>
      <c r="AE217" s="284">
        <v>1.35</v>
      </c>
      <c r="AF217" s="284">
        <v>0</v>
      </c>
      <c r="AG217" s="284">
        <v>0</v>
      </c>
      <c r="AH217" s="284">
        <v>0</v>
      </c>
      <c r="AI217" s="284">
        <v>0</v>
      </c>
      <c r="AJ217" s="284">
        <v>0</v>
      </c>
      <c r="AL217" s="285">
        <v>906696.47747886565</v>
      </c>
      <c r="AM217" s="286">
        <v>0</v>
      </c>
      <c r="AN217" s="287">
        <v>57754.330235899055</v>
      </c>
      <c r="AO217" s="288">
        <v>0</v>
      </c>
      <c r="AP217" s="289">
        <v>964450.80771476473</v>
      </c>
      <c r="AQ217" s="266"/>
      <c r="AR217" s="285">
        <v>0</v>
      </c>
      <c r="AS217" s="286">
        <v>0</v>
      </c>
      <c r="AT217" s="286">
        <v>0</v>
      </c>
      <c r="AU217" s="290">
        <v>0</v>
      </c>
      <c r="AV217" s="289">
        <v>0</v>
      </c>
      <c r="AW217" s="291">
        <v>964450.80771476473</v>
      </c>
    </row>
    <row r="218" spans="1:49" x14ac:dyDescent="0.25">
      <c r="A218" s="264">
        <v>7790627</v>
      </c>
      <c r="B218" s="264" t="str">
        <f>VLOOKUP(A218,'Výpočet VP 2020'!$A$4:$B$318,2,FALSE)</f>
        <v>NZO</v>
      </c>
      <c r="C218" s="264" t="s">
        <v>700</v>
      </c>
      <c r="D218" s="264" t="s">
        <v>375</v>
      </c>
      <c r="E218" s="264" t="s">
        <v>1501</v>
      </c>
      <c r="F218" s="264">
        <v>7790627</v>
      </c>
      <c r="G218" s="264" t="s">
        <v>1128</v>
      </c>
      <c r="H218" s="264">
        <v>2019</v>
      </c>
      <c r="I218" s="265"/>
      <c r="J218" s="278"/>
      <c r="K218" s="279">
        <v>1228</v>
      </c>
      <c r="L218" s="279"/>
      <c r="M218" s="280"/>
      <c r="N218" s="280"/>
      <c r="O218" s="279"/>
      <c r="P218" s="281" t="s">
        <v>1262</v>
      </c>
      <c r="Q218" s="264"/>
      <c r="R218" s="282"/>
      <c r="S218" s="281">
        <v>44377</v>
      </c>
      <c r="T218" s="281">
        <v>3.64</v>
      </c>
      <c r="U218" s="264">
        <v>0.5</v>
      </c>
      <c r="V218" s="282">
        <v>3.14</v>
      </c>
      <c r="W218" s="281">
        <v>0</v>
      </c>
      <c r="X218" s="281">
        <v>0</v>
      </c>
      <c r="Y218" s="264">
        <v>0</v>
      </c>
      <c r="Z218" s="282">
        <v>10</v>
      </c>
      <c r="AA218" s="281">
        <v>5</v>
      </c>
      <c r="AB218" s="281">
        <v>0</v>
      </c>
      <c r="AD218" s="284">
        <v>3.64</v>
      </c>
      <c r="AE218" s="284">
        <v>0.5</v>
      </c>
      <c r="AF218" s="284">
        <v>3.14</v>
      </c>
      <c r="AG218" s="284">
        <v>0</v>
      </c>
      <c r="AH218" s="284">
        <v>0</v>
      </c>
      <c r="AI218" s="284">
        <v>0</v>
      </c>
      <c r="AJ218" s="284">
        <v>5</v>
      </c>
      <c r="AL218" s="285">
        <v>2444722.3540911637</v>
      </c>
      <c r="AM218" s="286">
        <v>0</v>
      </c>
      <c r="AN218" s="287">
        <v>155722.78671012781</v>
      </c>
      <c r="AO218" s="288">
        <v>0</v>
      </c>
      <c r="AP218" s="289">
        <v>2600445.1408012914</v>
      </c>
      <c r="AQ218" s="266"/>
      <c r="AR218" s="285">
        <v>0</v>
      </c>
      <c r="AS218" s="286">
        <v>0</v>
      </c>
      <c r="AT218" s="286">
        <v>0</v>
      </c>
      <c r="AU218" s="290">
        <v>0</v>
      </c>
      <c r="AV218" s="289">
        <v>0</v>
      </c>
      <c r="AW218" s="291">
        <v>2600445.1408012914</v>
      </c>
    </row>
    <row r="219" spans="1:49" x14ac:dyDescent="0.25">
      <c r="A219" s="264">
        <v>4382191</v>
      </c>
      <c r="B219" s="264" t="str">
        <f>VLOOKUP(A219,'Výpočet VP 2020'!$A$4:$B$318,2,FALSE)</f>
        <v>Obce</v>
      </c>
      <c r="C219" s="264" t="s">
        <v>1082</v>
      </c>
      <c r="D219" s="264" t="s">
        <v>332</v>
      </c>
      <c r="E219" s="264" t="s">
        <v>1077</v>
      </c>
      <c r="F219" s="264">
        <v>4382191</v>
      </c>
      <c r="G219" s="264" t="s">
        <v>1061</v>
      </c>
      <c r="H219" s="264">
        <v>2019</v>
      </c>
      <c r="I219" s="265"/>
      <c r="J219" s="278"/>
      <c r="K219" s="279"/>
      <c r="L219" s="279"/>
      <c r="M219" s="280"/>
      <c r="N219" s="280"/>
      <c r="O219" s="279">
        <v>3605</v>
      </c>
      <c r="P219" s="281" t="s">
        <v>1083</v>
      </c>
      <c r="Q219" s="264"/>
      <c r="R219" s="282"/>
      <c r="S219" s="281" t="s">
        <v>1733</v>
      </c>
      <c r="T219" s="281">
        <v>0.7</v>
      </c>
      <c r="U219" s="264">
        <v>0.7</v>
      </c>
      <c r="V219" s="282">
        <v>0</v>
      </c>
      <c r="W219" s="281">
        <v>0</v>
      </c>
      <c r="X219" s="281">
        <v>0</v>
      </c>
      <c r="Y219" s="264">
        <v>0</v>
      </c>
      <c r="Z219" s="282">
        <v>6</v>
      </c>
      <c r="AA219" s="281">
        <v>0</v>
      </c>
      <c r="AB219" s="281">
        <v>0</v>
      </c>
      <c r="AD219" s="284">
        <v>0.7</v>
      </c>
      <c r="AE219" s="284">
        <v>0.7</v>
      </c>
      <c r="AF219" s="284">
        <v>0</v>
      </c>
      <c r="AG219" s="284">
        <v>0</v>
      </c>
      <c r="AH219" s="284">
        <v>0</v>
      </c>
      <c r="AI219" s="284">
        <v>0</v>
      </c>
      <c r="AJ219" s="284">
        <v>0</v>
      </c>
      <c r="AL219" s="285">
        <v>466115.47219832725</v>
      </c>
      <c r="AM219" s="286">
        <v>0</v>
      </c>
      <c r="AN219" s="287">
        <v>32344.767428251816</v>
      </c>
      <c r="AO219" s="288">
        <v>0</v>
      </c>
      <c r="AP219" s="289">
        <v>498460.23962657904</v>
      </c>
      <c r="AQ219" s="266"/>
      <c r="AR219" s="285">
        <v>0</v>
      </c>
      <c r="AS219" s="286">
        <v>0</v>
      </c>
      <c r="AT219" s="286">
        <v>0</v>
      </c>
      <c r="AU219" s="290">
        <v>0</v>
      </c>
      <c r="AV219" s="289">
        <v>0</v>
      </c>
      <c r="AW219" s="291">
        <v>498460.23962657904</v>
      </c>
    </row>
    <row r="220" spans="1:49" x14ac:dyDescent="0.25">
      <c r="A220" s="264">
        <v>3597628</v>
      </c>
      <c r="B220" s="264" t="str">
        <f>VLOOKUP(A220,'Výpočet VP 2020'!$A$4:$B$318,2,FALSE)</f>
        <v>Obce</v>
      </c>
      <c r="C220" s="264" t="s">
        <v>386</v>
      </c>
      <c r="D220" s="264" t="s">
        <v>332</v>
      </c>
      <c r="E220" s="264" t="s">
        <v>1191</v>
      </c>
      <c r="F220" s="264">
        <v>3597628</v>
      </c>
      <c r="G220" s="264" t="s">
        <v>1192</v>
      </c>
      <c r="H220" s="264">
        <v>2019</v>
      </c>
      <c r="I220" s="265"/>
      <c r="J220" s="278"/>
      <c r="K220" s="279"/>
      <c r="L220" s="279"/>
      <c r="M220" s="280"/>
      <c r="N220" s="280">
        <v>2224</v>
      </c>
      <c r="O220" s="279"/>
      <c r="P220" s="281" t="s">
        <v>1177</v>
      </c>
      <c r="Q220" s="264"/>
      <c r="R220" s="282"/>
      <c r="S220" s="281" t="s">
        <v>1733</v>
      </c>
      <c r="T220" s="281">
        <v>9</v>
      </c>
      <c r="U220" s="264">
        <v>1</v>
      </c>
      <c r="V220" s="282">
        <v>8</v>
      </c>
      <c r="W220" s="281">
        <v>0</v>
      </c>
      <c r="X220" s="281">
        <v>0</v>
      </c>
      <c r="Y220" s="264">
        <v>0</v>
      </c>
      <c r="Z220" s="282">
        <v>70</v>
      </c>
      <c r="AA220" s="281">
        <v>0</v>
      </c>
      <c r="AB220" s="281">
        <v>0</v>
      </c>
      <c r="AC220" s="292"/>
      <c r="AD220" s="298">
        <v>9</v>
      </c>
      <c r="AE220" s="298">
        <v>1</v>
      </c>
      <c r="AF220" s="298">
        <v>8</v>
      </c>
      <c r="AG220" s="298">
        <v>0</v>
      </c>
      <c r="AH220" s="298">
        <v>0</v>
      </c>
      <c r="AI220" s="298">
        <v>0</v>
      </c>
      <c r="AJ220" s="298">
        <v>0</v>
      </c>
      <c r="AL220" s="285">
        <v>4971222.0098165572</v>
      </c>
      <c r="AM220" s="286">
        <v>0</v>
      </c>
      <c r="AN220" s="287">
        <v>376565.08552242105</v>
      </c>
      <c r="AO220" s="288">
        <v>0</v>
      </c>
      <c r="AP220" s="289">
        <v>5347787.0953389779</v>
      </c>
      <c r="AQ220" s="266"/>
      <c r="AR220" s="285">
        <v>1110041.8823529412</v>
      </c>
      <c r="AS220" s="286">
        <v>0</v>
      </c>
      <c r="AT220" s="286">
        <v>0</v>
      </c>
      <c r="AU220" s="290">
        <v>0</v>
      </c>
      <c r="AV220" s="289">
        <v>1110041.8823529412</v>
      </c>
      <c r="AW220" s="299">
        <v>4237745.2129860371</v>
      </c>
    </row>
    <row r="221" spans="1:49" x14ac:dyDescent="0.25">
      <c r="A221" s="264">
        <v>6181040</v>
      </c>
      <c r="B221" s="264" t="str">
        <f>VLOOKUP(A221,'Výpočet VP 2020'!$A$4:$B$318,2,FALSE)</f>
        <v>Obce</v>
      </c>
      <c r="C221" s="264" t="s">
        <v>605</v>
      </c>
      <c r="D221" s="264" t="s">
        <v>602</v>
      </c>
      <c r="E221" s="264" t="s">
        <v>1205</v>
      </c>
      <c r="F221" s="264">
        <v>6181040</v>
      </c>
      <c r="G221" s="264" t="s">
        <v>1206</v>
      </c>
      <c r="H221" s="264">
        <v>2019</v>
      </c>
      <c r="I221" s="265"/>
      <c r="J221" s="278"/>
      <c r="K221" s="279"/>
      <c r="L221" s="279"/>
      <c r="M221" s="280"/>
      <c r="N221" s="280">
        <v>2305</v>
      </c>
      <c r="O221" s="279"/>
      <c r="P221" s="281" t="s">
        <v>1126</v>
      </c>
      <c r="Q221" s="264"/>
      <c r="R221" s="282"/>
      <c r="S221" s="281" t="s">
        <v>1733</v>
      </c>
      <c r="T221" s="281">
        <v>2.35</v>
      </c>
      <c r="U221" s="264">
        <v>0.35</v>
      </c>
      <c r="V221" s="282">
        <v>2</v>
      </c>
      <c r="W221" s="281">
        <v>0</v>
      </c>
      <c r="X221" s="281">
        <v>0</v>
      </c>
      <c r="Y221" s="264">
        <v>0</v>
      </c>
      <c r="Z221" s="282">
        <v>70</v>
      </c>
      <c r="AA221" s="281">
        <v>0</v>
      </c>
      <c r="AB221" s="281">
        <v>0</v>
      </c>
      <c r="AD221" s="284">
        <v>2.35</v>
      </c>
      <c r="AE221" s="284">
        <v>0.35</v>
      </c>
      <c r="AF221" s="284">
        <v>2</v>
      </c>
      <c r="AG221" s="284">
        <v>0</v>
      </c>
      <c r="AH221" s="284">
        <v>0</v>
      </c>
      <c r="AI221" s="284">
        <v>0</v>
      </c>
      <c r="AJ221" s="284">
        <v>0</v>
      </c>
      <c r="AL221" s="285">
        <v>1298041.3025632121</v>
      </c>
      <c r="AM221" s="286">
        <v>0</v>
      </c>
      <c r="AN221" s="287">
        <v>98325.327886409941</v>
      </c>
      <c r="AO221" s="288">
        <v>0</v>
      </c>
      <c r="AP221" s="289">
        <v>1396366.6304496219</v>
      </c>
      <c r="AQ221" s="266"/>
      <c r="AR221" s="285">
        <v>277510.4705882353</v>
      </c>
      <c r="AS221" s="286">
        <v>0</v>
      </c>
      <c r="AT221" s="286">
        <v>0</v>
      </c>
      <c r="AU221" s="290">
        <v>0</v>
      </c>
      <c r="AV221" s="289">
        <v>277510.4705882353</v>
      </c>
      <c r="AW221" s="291">
        <v>1118856.1598613868</v>
      </c>
    </row>
    <row r="222" spans="1:49" x14ac:dyDescent="0.25">
      <c r="A222" s="264">
        <v>1647194</v>
      </c>
      <c r="B222" s="264" t="str">
        <f>VLOOKUP(A222,'Výpočet VP 2020'!$A$4:$B$318,2,FALSE)</f>
        <v>Obce</v>
      </c>
      <c r="C222" s="264" t="s">
        <v>608</v>
      </c>
      <c r="D222" s="264" t="s">
        <v>606</v>
      </c>
      <c r="E222" s="264" t="s">
        <v>1171</v>
      </c>
      <c r="F222" s="264">
        <v>1647194</v>
      </c>
      <c r="G222" s="264" t="s">
        <v>1131</v>
      </c>
      <c r="H222" s="264">
        <v>2019</v>
      </c>
      <c r="I222" s="265"/>
      <c r="J222" s="278"/>
      <c r="K222" s="279"/>
      <c r="L222" s="279"/>
      <c r="M222" s="280"/>
      <c r="N222" s="280">
        <v>2364</v>
      </c>
      <c r="O222" s="279"/>
      <c r="P222" s="281" t="s">
        <v>1126</v>
      </c>
      <c r="Q222" s="264"/>
      <c r="R222" s="282"/>
      <c r="S222" s="281" t="s">
        <v>1733</v>
      </c>
      <c r="T222" s="281">
        <v>5.2</v>
      </c>
      <c r="U222" s="264">
        <v>1</v>
      </c>
      <c r="V222" s="282">
        <v>4.2</v>
      </c>
      <c r="W222" s="281">
        <v>0</v>
      </c>
      <c r="X222" s="281">
        <v>0</v>
      </c>
      <c r="Y222" s="264">
        <v>0</v>
      </c>
      <c r="Z222" s="282">
        <v>50</v>
      </c>
      <c r="AA222" s="281">
        <v>0</v>
      </c>
      <c r="AB222" s="281">
        <v>0</v>
      </c>
      <c r="AD222" s="284">
        <v>5.2</v>
      </c>
      <c r="AE222" s="284">
        <v>1</v>
      </c>
      <c r="AF222" s="284">
        <v>4.2</v>
      </c>
      <c r="AG222" s="284">
        <v>0</v>
      </c>
      <c r="AH222" s="284">
        <v>0</v>
      </c>
      <c r="AI222" s="284">
        <v>0</v>
      </c>
      <c r="AJ222" s="284">
        <v>0</v>
      </c>
      <c r="AL222" s="285">
        <v>2872261.6056717886</v>
      </c>
      <c r="AM222" s="286">
        <v>0</v>
      </c>
      <c r="AN222" s="287">
        <v>217570.9383018433</v>
      </c>
      <c r="AO222" s="288">
        <v>0</v>
      </c>
      <c r="AP222" s="289">
        <v>3089832.5439736317</v>
      </c>
      <c r="AQ222" s="266"/>
      <c r="AR222" s="285">
        <v>582771.98823529412</v>
      </c>
      <c r="AS222" s="286">
        <v>0</v>
      </c>
      <c r="AT222" s="286">
        <v>0</v>
      </c>
      <c r="AU222" s="290">
        <v>0</v>
      </c>
      <c r="AV222" s="289">
        <v>582771.98823529412</v>
      </c>
      <c r="AW222" s="291">
        <v>2507060.5557383373</v>
      </c>
    </row>
    <row r="223" spans="1:49" x14ac:dyDescent="0.25">
      <c r="A223" s="264">
        <v>9924639</v>
      </c>
      <c r="B223" s="264" t="str">
        <f>VLOOKUP(A223,'Výpočet VP 2020'!$A$4:$B$318,2,FALSE)</f>
        <v>Obce</v>
      </c>
      <c r="C223" s="264" t="s">
        <v>857</v>
      </c>
      <c r="D223" s="264" t="s">
        <v>857</v>
      </c>
      <c r="E223" s="264" t="s">
        <v>1154</v>
      </c>
      <c r="F223" s="264">
        <v>9924639</v>
      </c>
      <c r="G223" s="264" t="s">
        <v>1134</v>
      </c>
      <c r="H223" s="264">
        <v>2019</v>
      </c>
      <c r="I223" s="265"/>
      <c r="J223" s="278"/>
      <c r="K223" s="279"/>
      <c r="L223" s="279"/>
      <c r="M223" s="280"/>
      <c r="N223" s="280">
        <v>2534</v>
      </c>
      <c r="O223" s="279"/>
      <c r="P223" s="281" t="s">
        <v>1164</v>
      </c>
      <c r="Q223" s="264"/>
      <c r="R223" s="282"/>
      <c r="S223" s="281" t="s">
        <v>1733</v>
      </c>
      <c r="T223" s="281">
        <v>14.75</v>
      </c>
      <c r="U223" s="264">
        <v>1.25</v>
      </c>
      <c r="V223" s="282">
        <v>13.5</v>
      </c>
      <c r="W223" s="281">
        <v>0</v>
      </c>
      <c r="X223" s="281">
        <v>0</v>
      </c>
      <c r="Y223" s="264">
        <v>0</v>
      </c>
      <c r="Z223" s="282">
        <v>190</v>
      </c>
      <c r="AA223" s="281">
        <v>11</v>
      </c>
      <c r="AB223" s="281">
        <v>0</v>
      </c>
      <c r="AD223" s="284">
        <v>14.75</v>
      </c>
      <c r="AE223" s="284">
        <v>1.25</v>
      </c>
      <c r="AF223" s="284">
        <v>13.5</v>
      </c>
      <c r="AG223" s="284">
        <v>0</v>
      </c>
      <c r="AH223" s="284">
        <v>0</v>
      </c>
      <c r="AI223" s="284">
        <v>0</v>
      </c>
      <c r="AJ223" s="284">
        <v>11</v>
      </c>
      <c r="AL223" s="285">
        <v>8147280.5160882464</v>
      </c>
      <c r="AM223" s="286">
        <v>0</v>
      </c>
      <c r="AN223" s="287">
        <v>617148.3346061901</v>
      </c>
      <c r="AO223" s="288">
        <v>0</v>
      </c>
      <c r="AP223" s="289">
        <v>8764428.8506944366</v>
      </c>
      <c r="AQ223" s="266"/>
      <c r="AR223" s="285">
        <v>1873195.6764705882</v>
      </c>
      <c r="AS223" s="286">
        <v>0</v>
      </c>
      <c r="AT223" s="286">
        <v>0</v>
      </c>
      <c r="AU223" s="290">
        <v>0</v>
      </c>
      <c r="AV223" s="289">
        <v>1873195.6764705882</v>
      </c>
      <c r="AW223" s="291">
        <v>6891233.1742238486</v>
      </c>
    </row>
    <row r="224" spans="1:49" x14ac:dyDescent="0.25">
      <c r="A224" s="264">
        <v>5141443</v>
      </c>
      <c r="B224" s="264" t="str">
        <f>VLOOKUP(A224,'Výpočet VP 2020'!$A$4:$B$318,2,FALSE)</f>
        <v>Obce</v>
      </c>
      <c r="C224" s="264" t="s">
        <v>1197</v>
      </c>
      <c r="D224" s="264" t="s">
        <v>636</v>
      </c>
      <c r="E224" s="264" t="s">
        <v>1194</v>
      </c>
      <c r="F224" s="264">
        <v>5141443</v>
      </c>
      <c r="G224" s="264" t="s">
        <v>1142</v>
      </c>
      <c r="H224" s="264">
        <v>2019</v>
      </c>
      <c r="I224" s="265"/>
      <c r="J224" s="278"/>
      <c r="K224" s="279"/>
      <c r="L224" s="279"/>
      <c r="M224" s="280"/>
      <c r="N224" s="280">
        <v>2160</v>
      </c>
      <c r="O224" s="279"/>
      <c r="P224" s="281" t="s">
        <v>1098</v>
      </c>
      <c r="Q224" s="264"/>
      <c r="R224" s="282"/>
      <c r="S224" s="281" t="s">
        <v>1733</v>
      </c>
      <c r="T224" s="281">
        <v>1.2</v>
      </c>
      <c r="U224" s="264">
        <v>0.1</v>
      </c>
      <c r="V224" s="282">
        <v>1.1000000000000001</v>
      </c>
      <c r="W224" s="281">
        <v>0</v>
      </c>
      <c r="X224" s="281">
        <v>0</v>
      </c>
      <c r="Y224" s="264">
        <v>0</v>
      </c>
      <c r="Z224" s="282">
        <v>25</v>
      </c>
      <c r="AA224" s="281">
        <v>0</v>
      </c>
      <c r="AB224" s="281">
        <v>0</v>
      </c>
      <c r="AD224" s="284">
        <v>1.2</v>
      </c>
      <c r="AE224" s="284">
        <v>0.1</v>
      </c>
      <c r="AF224" s="284">
        <v>1.1000000000000001</v>
      </c>
      <c r="AG224" s="284">
        <v>0</v>
      </c>
      <c r="AH224" s="284">
        <v>0</v>
      </c>
      <c r="AI224" s="284">
        <v>0</v>
      </c>
      <c r="AJ224" s="284">
        <v>0</v>
      </c>
      <c r="AL224" s="285">
        <v>662829.6013088742</v>
      </c>
      <c r="AM224" s="286">
        <v>0</v>
      </c>
      <c r="AN224" s="287">
        <v>50208.67806965614</v>
      </c>
      <c r="AO224" s="288">
        <v>0</v>
      </c>
      <c r="AP224" s="289">
        <v>713038.27937853034</v>
      </c>
      <c r="AQ224" s="266"/>
      <c r="AR224" s="285">
        <v>152630.75882352944</v>
      </c>
      <c r="AS224" s="286">
        <v>0</v>
      </c>
      <c r="AT224" s="286">
        <v>0</v>
      </c>
      <c r="AU224" s="290">
        <v>0</v>
      </c>
      <c r="AV224" s="289">
        <v>152630.75882352944</v>
      </c>
      <c r="AW224" s="291">
        <v>560407.52055500087</v>
      </c>
    </row>
    <row r="225" spans="1:49" x14ac:dyDescent="0.25">
      <c r="A225" s="264">
        <v>4878719</v>
      </c>
      <c r="B225" s="264" t="str">
        <f>VLOOKUP(A225,'Výpočet VP 2020'!$A$4:$B$318,2,FALSE)</f>
        <v>Obce</v>
      </c>
      <c r="C225" s="264" t="s">
        <v>942</v>
      </c>
      <c r="D225" s="264" t="s">
        <v>942</v>
      </c>
      <c r="E225" s="264" t="s">
        <v>1194</v>
      </c>
      <c r="F225" s="264">
        <v>4878719</v>
      </c>
      <c r="G225" s="264" t="s">
        <v>1142</v>
      </c>
      <c r="H225" s="264">
        <v>2019</v>
      </c>
      <c r="I225" s="265"/>
      <c r="J225" s="278"/>
      <c r="K225" s="279"/>
      <c r="L225" s="279"/>
      <c r="M225" s="280"/>
      <c r="N225" s="280">
        <v>2160</v>
      </c>
      <c r="O225" s="279"/>
      <c r="P225" s="281" t="s">
        <v>1126</v>
      </c>
      <c r="Q225" s="264"/>
      <c r="R225" s="282"/>
      <c r="S225" s="281" t="s">
        <v>1733</v>
      </c>
      <c r="T225" s="281">
        <v>6.5</v>
      </c>
      <c r="U225" s="264">
        <v>0.5</v>
      </c>
      <c r="V225" s="282">
        <v>6</v>
      </c>
      <c r="W225" s="281">
        <v>0</v>
      </c>
      <c r="X225" s="281">
        <v>0</v>
      </c>
      <c r="Y225" s="264">
        <v>0</v>
      </c>
      <c r="Z225" s="282">
        <v>120</v>
      </c>
      <c r="AA225" s="281">
        <v>0</v>
      </c>
      <c r="AB225" s="281">
        <v>0</v>
      </c>
      <c r="AD225" s="284">
        <v>6.5</v>
      </c>
      <c r="AE225" s="284">
        <v>0.5</v>
      </c>
      <c r="AF225" s="284">
        <v>6</v>
      </c>
      <c r="AG225" s="284">
        <v>0</v>
      </c>
      <c r="AH225" s="284">
        <v>0</v>
      </c>
      <c r="AI225" s="284">
        <v>0</v>
      </c>
      <c r="AJ225" s="284">
        <v>0</v>
      </c>
      <c r="AL225" s="285">
        <v>3590327.0070897355</v>
      </c>
      <c r="AM225" s="286">
        <v>0</v>
      </c>
      <c r="AN225" s="287">
        <v>271963.67287730408</v>
      </c>
      <c r="AO225" s="288">
        <v>0</v>
      </c>
      <c r="AP225" s="289">
        <v>3862290.6799670397</v>
      </c>
      <c r="AQ225" s="266"/>
      <c r="AR225" s="285">
        <v>832531.4117647059</v>
      </c>
      <c r="AS225" s="286">
        <v>0</v>
      </c>
      <c r="AT225" s="286">
        <v>0</v>
      </c>
      <c r="AU225" s="290">
        <v>0</v>
      </c>
      <c r="AV225" s="289">
        <v>832531.4117647059</v>
      </c>
      <c r="AW225" s="291">
        <v>3029759.2682023337</v>
      </c>
    </row>
    <row r="226" spans="1:49" x14ac:dyDescent="0.25">
      <c r="A226" s="264">
        <v>6232669</v>
      </c>
      <c r="B226" s="264" t="str">
        <f>VLOOKUP(A226,'Výpočet VP 2020'!$A$4:$B$318,2,FALSE)</f>
        <v>Obce</v>
      </c>
      <c r="C226" s="264" t="s">
        <v>1208</v>
      </c>
      <c r="D226" s="264" t="s">
        <v>610</v>
      </c>
      <c r="E226" s="264" t="s">
        <v>1207</v>
      </c>
      <c r="F226" s="264">
        <v>6232669</v>
      </c>
      <c r="G226" s="264" t="s">
        <v>1209</v>
      </c>
      <c r="H226" s="264">
        <v>2019</v>
      </c>
      <c r="I226" s="265"/>
      <c r="J226" s="278"/>
      <c r="K226" s="279"/>
      <c r="L226" s="279"/>
      <c r="M226" s="280"/>
      <c r="N226" s="280">
        <v>2232</v>
      </c>
      <c r="O226" s="279"/>
      <c r="P226" s="281" t="s">
        <v>1126</v>
      </c>
      <c r="Q226" s="264"/>
      <c r="R226" s="282"/>
      <c r="S226" s="281" t="s">
        <v>1733</v>
      </c>
      <c r="T226" s="281">
        <v>8</v>
      </c>
      <c r="U226" s="264">
        <v>1</v>
      </c>
      <c r="V226" s="282">
        <v>7</v>
      </c>
      <c r="W226" s="281">
        <v>0</v>
      </c>
      <c r="X226" s="281">
        <v>0</v>
      </c>
      <c r="Y226" s="264">
        <v>0</v>
      </c>
      <c r="Z226" s="282">
        <v>70</v>
      </c>
      <c r="AA226" s="281">
        <v>0</v>
      </c>
      <c r="AB226" s="281">
        <v>0</v>
      </c>
      <c r="AD226" s="284">
        <v>8</v>
      </c>
      <c r="AE226" s="284">
        <v>1</v>
      </c>
      <c r="AF226" s="284">
        <v>7</v>
      </c>
      <c r="AG226" s="284">
        <v>0</v>
      </c>
      <c r="AH226" s="284">
        <v>0</v>
      </c>
      <c r="AI226" s="284">
        <v>0</v>
      </c>
      <c r="AJ226" s="284">
        <v>0</v>
      </c>
      <c r="AL226" s="285">
        <v>4418864.0087258285</v>
      </c>
      <c r="AM226" s="286">
        <v>0</v>
      </c>
      <c r="AN226" s="287">
        <v>334724.52046437428</v>
      </c>
      <c r="AO226" s="288">
        <v>0</v>
      </c>
      <c r="AP226" s="289">
        <v>4753588.5291902032</v>
      </c>
      <c r="AQ226" s="266"/>
      <c r="AR226" s="285">
        <v>971286.64705882361</v>
      </c>
      <c r="AS226" s="286">
        <v>0</v>
      </c>
      <c r="AT226" s="286">
        <v>0</v>
      </c>
      <c r="AU226" s="290">
        <v>0</v>
      </c>
      <c r="AV226" s="289">
        <v>971286.64705882361</v>
      </c>
      <c r="AW226" s="291">
        <v>3782301.8821313796</v>
      </c>
    </row>
    <row r="227" spans="1:49" x14ac:dyDescent="0.25">
      <c r="A227" s="264">
        <v>5175408</v>
      </c>
      <c r="B227" s="264" t="str">
        <f>VLOOKUP(A227,'Výpočet VP 2020'!$A$4:$B$318,2,FALSE)</f>
        <v>Obce</v>
      </c>
      <c r="C227" s="264" t="s">
        <v>977</v>
      </c>
      <c r="D227" s="264" t="s">
        <v>977</v>
      </c>
      <c r="E227" s="264" t="s">
        <v>1198</v>
      </c>
      <c r="F227" s="264">
        <v>5175408</v>
      </c>
      <c r="G227" s="264" t="s">
        <v>1199</v>
      </c>
      <c r="H227" s="264">
        <v>2019</v>
      </c>
      <c r="I227" s="265"/>
      <c r="J227" s="278"/>
      <c r="K227" s="279"/>
      <c r="L227" s="279"/>
      <c r="M227" s="280"/>
      <c r="N227" s="280">
        <v>2038</v>
      </c>
      <c r="O227" s="279"/>
      <c r="P227" s="281" t="s">
        <v>1126</v>
      </c>
      <c r="Q227" s="264"/>
      <c r="R227" s="282"/>
      <c r="S227" s="281" t="s">
        <v>1733</v>
      </c>
      <c r="T227" s="281">
        <v>2</v>
      </c>
      <c r="U227" s="264">
        <v>0</v>
      </c>
      <c r="V227" s="282">
        <v>2</v>
      </c>
      <c r="W227" s="281">
        <v>0</v>
      </c>
      <c r="X227" s="281">
        <v>0</v>
      </c>
      <c r="Y227" s="264">
        <v>0</v>
      </c>
      <c r="Z227" s="282">
        <v>70</v>
      </c>
      <c r="AA227" s="281">
        <v>0</v>
      </c>
      <c r="AB227" s="281">
        <v>0</v>
      </c>
      <c r="AD227" s="284">
        <v>2</v>
      </c>
      <c r="AE227" s="284">
        <v>0</v>
      </c>
      <c r="AF227" s="284">
        <v>2</v>
      </c>
      <c r="AG227" s="284">
        <v>0</v>
      </c>
      <c r="AH227" s="284">
        <v>0</v>
      </c>
      <c r="AI227" s="284">
        <v>0</v>
      </c>
      <c r="AJ227" s="284">
        <v>0</v>
      </c>
      <c r="AL227" s="285">
        <v>1104716.0021814571</v>
      </c>
      <c r="AM227" s="286">
        <v>0</v>
      </c>
      <c r="AN227" s="287">
        <v>83681.130116093569</v>
      </c>
      <c r="AO227" s="288">
        <v>0</v>
      </c>
      <c r="AP227" s="289">
        <v>1188397.1322975508</v>
      </c>
      <c r="AQ227" s="266"/>
      <c r="AR227" s="285">
        <v>277510.4705882353</v>
      </c>
      <c r="AS227" s="286">
        <v>0</v>
      </c>
      <c r="AT227" s="286">
        <v>0</v>
      </c>
      <c r="AU227" s="290">
        <v>0</v>
      </c>
      <c r="AV227" s="289">
        <v>277510.4705882353</v>
      </c>
      <c r="AW227" s="291">
        <v>910886.66170931549</v>
      </c>
    </row>
    <row r="228" spans="1:49" x14ac:dyDescent="0.25">
      <c r="A228" s="264">
        <v>6428468</v>
      </c>
      <c r="B228" s="264" t="str">
        <f>VLOOKUP(A228,'Výpočet VP 2020'!$A$4:$B$318,2,FALSE)</f>
        <v>Obce</v>
      </c>
      <c r="C228" s="264" t="s">
        <v>1210</v>
      </c>
      <c r="D228" s="264" t="s">
        <v>613</v>
      </c>
      <c r="E228" s="264" t="s">
        <v>1181</v>
      </c>
      <c r="F228" s="264">
        <v>6428468</v>
      </c>
      <c r="G228" s="264" t="s">
        <v>1149</v>
      </c>
      <c r="H228" s="264">
        <v>2019</v>
      </c>
      <c r="I228" s="265"/>
      <c r="J228" s="278"/>
      <c r="K228" s="279"/>
      <c r="L228" s="279"/>
      <c r="M228" s="280"/>
      <c r="N228" s="280">
        <v>2241</v>
      </c>
      <c r="O228" s="279"/>
      <c r="P228" s="281" t="s">
        <v>1126</v>
      </c>
      <c r="Q228" s="264"/>
      <c r="R228" s="282"/>
      <c r="S228" s="281" t="s">
        <v>1733</v>
      </c>
      <c r="T228" s="281">
        <v>11.5</v>
      </c>
      <c r="U228" s="264">
        <v>1.5</v>
      </c>
      <c r="V228" s="282">
        <v>10</v>
      </c>
      <c r="W228" s="281">
        <v>0</v>
      </c>
      <c r="X228" s="281">
        <v>0</v>
      </c>
      <c r="Y228" s="264">
        <v>0</v>
      </c>
      <c r="Z228" s="282">
        <v>160</v>
      </c>
      <c r="AA228" s="281">
        <v>0</v>
      </c>
      <c r="AB228" s="281">
        <v>0</v>
      </c>
      <c r="AD228" s="284">
        <v>11.5</v>
      </c>
      <c r="AE228" s="284">
        <v>1.5</v>
      </c>
      <c r="AF228" s="284">
        <v>10</v>
      </c>
      <c r="AG228" s="284">
        <v>0</v>
      </c>
      <c r="AH228" s="284">
        <v>0</v>
      </c>
      <c r="AI228" s="284">
        <v>0</v>
      </c>
      <c r="AJ228" s="284">
        <v>0</v>
      </c>
      <c r="AL228" s="285">
        <v>6352117.0125433784</v>
      </c>
      <c r="AM228" s="286">
        <v>0</v>
      </c>
      <c r="AN228" s="287">
        <v>481166.49816753803</v>
      </c>
      <c r="AO228" s="288">
        <v>0</v>
      </c>
      <c r="AP228" s="289">
        <v>6833283.5107109165</v>
      </c>
      <c r="AQ228" s="266"/>
      <c r="AR228" s="285">
        <v>1387552.3529411764</v>
      </c>
      <c r="AS228" s="286">
        <v>0</v>
      </c>
      <c r="AT228" s="286">
        <v>0</v>
      </c>
      <c r="AU228" s="290">
        <v>0</v>
      </c>
      <c r="AV228" s="289">
        <v>1387552.3529411764</v>
      </c>
      <c r="AW228" s="291">
        <v>5445731.1577697396</v>
      </c>
    </row>
    <row r="229" spans="1:49" x14ac:dyDescent="0.25">
      <c r="A229" s="264">
        <v>1225073</v>
      </c>
      <c r="B229" s="264" t="str">
        <f>VLOOKUP(A229,'Výpočet VP 2020'!$A$4:$B$318,2,FALSE)</f>
        <v>Obce</v>
      </c>
      <c r="C229" s="264" t="s">
        <v>1163</v>
      </c>
      <c r="D229" s="264" t="s">
        <v>947</v>
      </c>
      <c r="E229" s="264" t="s">
        <v>1162</v>
      </c>
      <c r="F229" s="264">
        <v>1225073</v>
      </c>
      <c r="G229" s="264" t="s">
        <v>1068</v>
      </c>
      <c r="H229" s="264">
        <v>2019</v>
      </c>
      <c r="I229" s="265"/>
      <c r="J229" s="278"/>
      <c r="K229" s="279"/>
      <c r="L229" s="279"/>
      <c r="M229" s="280"/>
      <c r="N229" s="280">
        <v>2178</v>
      </c>
      <c r="O229" s="279"/>
      <c r="P229" s="281" t="s">
        <v>1164</v>
      </c>
      <c r="Q229" s="264"/>
      <c r="R229" s="282"/>
      <c r="S229" s="281" t="s">
        <v>1733</v>
      </c>
      <c r="T229" s="281">
        <v>16.34</v>
      </c>
      <c r="U229" s="264">
        <v>0.67</v>
      </c>
      <c r="V229" s="282">
        <v>15.67</v>
      </c>
      <c r="W229" s="281">
        <v>0</v>
      </c>
      <c r="X229" s="281">
        <v>0</v>
      </c>
      <c r="Y229" s="264">
        <v>0</v>
      </c>
      <c r="Z229" s="282">
        <v>285</v>
      </c>
      <c r="AA229" s="281">
        <v>0</v>
      </c>
      <c r="AB229" s="281">
        <v>0</v>
      </c>
      <c r="AD229" s="284">
        <v>16.34</v>
      </c>
      <c r="AE229" s="284">
        <v>0.67</v>
      </c>
      <c r="AF229" s="284">
        <v>15.67</v>
      </c>
      <c r="AG229" s="284">
        <v>0</v>
      </c>
      <c r="AH229" s="284">
        <v>0</v>
      </c>
      <c r="AI229" s="284">
        <v>0</v>
      </c>
      <c r="AJ229" s="284">
        <v>0</v>
      </c>
      <c r="AL229" s="285">
        <v>9025529.7378225047</v>
      </c>
      <c r="AM229" s="286">
        <v>0</v>
      </c>
      <c r="AN229" s="287">
        <v>683674.8330484844</v>
      </c>
      <c r="AO229" s="288">
        <v>0</v>
      </c>
      <c r="AP229" s="289">
        <v>9709204.5708709899</v>
      </c>
      <c r="AQ229" s="266"/>
      <c r="AR229" s="285">
        <v>2174294.5370588237</v>
      </c>
      <c r="AS229" s="286">
        <v>0</v>
      </c>
      <c r="AT229" s="286">
        <v>0</v>
      </c>
      <c r="AU229" s="290">
        <v>0</v>
      </c>
      <c r="AV229" s="289">
        <v>2174294.5370588237</v>
      </c>
      <c r="AW229" s="291">
        <v>7534910.0338121662</v>
      </c>
    </row>
    <row r="230" spans="1:49" x14ac:dyDescent="0.25">
      <c r="A230" s="264">
        <v>1172890</v>
      </c>
      <c r="B230" s="264" t="str">
        <f>VLOOKUP(A230,'Výpočet VP 2020'!$A$4:$B$318,2,FALSE)</f>
        <v>Obce</v>
      </c>
      <c r="C230" s="264" t="s">
        <v>620</v>
      </c>
      <c r="D230" s="264" t="s">
        <v>618</v>
      </c>
      <c r="E230" s="264" t="s">
        <v>1157</v>
      </c>
      <c r="F230" s="264">
        <v>1172890</v>
      </c>
      <c r="G230" s="264" t="s">
        <v>1151</v>
      </c>
      <c r="H230" s="264">
        <v>2019</v>
      </c>
      <c r="I230" s="265"/>
      <c r="J230" s="278"/>
      <c r="K230" s="279"/>
      <c r="L230" s="279"/>
      <c r="M230" s="280"/>
      <c r="N230" s="280">
        <v>2372</v>
      </c>
      <c r="O230" s="279"/>
      <c r="P230" s="281" t="s">
        <v>1158</v>
      </c>
      <c r="Q230" s="264"/>
      <c r="R230" s="282"/>
      <c r="S230" s="281" t="s">
        <v>1733</v>
      </c>
      <c r="T230" s="281">
        <v>11.7</v>
      </c>
      <c r="U230" s="264">
        <v>1.7</v>
      </c>
      <c r="V230" s="282">
        <v>10</v>
      </c>
      <c r="W230" s="281">
        <v>0</v>
      </c>
      <c r="X230" s="281">
        <v>0</v>
      </c>
      <c r="Y230" s="264">
        <v>0</v>
      </c>
      <c r="Z230" s="282">
        <v>120</v>
      </c>
      <c r="AA230" s="281">
        <v>0</v>
      </c>
      <c r="AB230" s="281">
        <v>0</v>
      </c>
      <c r="AD230" s="284">
        <v>11.7</v>
      </c>
      <c r="AE230" s="284">
        <v>1.7</v>
      </c>
      <c r="AF230" s="284">
        <v>10</v>
      </c>
      <c r="AG230" s="284">
        <v>0</v>
      </c>
      <c r="AH230" s="284">
        <v>0</v>
      </c>
      <c r="AI230" s="284">
        <v>0</v>
      </c>
      <c r="AJ230" s="284">
        <v>0</v>
      </c>
      <c r="AL230" s="285">
        <v>6462588.6127615236</v>
      </c>
      <c r="AM230" s="286">
        <v>0</v>
      </c>
      <c r="AN230" s="287">
        <v>489534.61117914732</v>
      </c>
      <c r="AO230" s="288">
        <v>0</v>
      </c>
      <c r="AP230" s="289">
        <v>6952123.2239406705</v>
      </c>
      <c r="AQ230" s="266"/>
      <c r="AR230" s="285">
        <v>1387552.3529411764</v>
      </c>
      <c r="AS230" s="286">
        <v>0</v>
      </c>
      <c r="AT230" s="286">
        <v>0</v>
      </c>
      <c r="AU230" s="290">
        <v>0</v>
      </c>
      <c r="AV230" s="289">
        <v>1387552.3529411764</v>
      </c>
      <c r="AW230" s="291">
        <v>5564570.8709994946</v>
      </c>
    </row>
    <row r="231" spans="1:49" x14ac:dyDescent="0.25">
      <c r="A231" s="264">
        <v>7702105</v>
      </c>
      <c r="B231" s="264" t="str">
        <f>VLOOKUP(A231,'Výpočet VP 2020'!$A$4:$B$318,2,FALSE)</f>
        <v>Obce</v>
      </c>
      <c r="C231" s="264" t="s">
        <v>386</v>
      </c>
      <c r="D231" s="264" t="s">
        <v>626</v>
      </c>
      <c r="E231" s="264" t="s">
        <v>1214</v>
      </c>
      <c r="F231" s="264">
        <v>7702105</v>
      </c>
      <c r="G231" s="264" t="s">
        <v>1215</v>
      </c>
      <c r="H231" s="264">
        <v>2019</v>
      </c>
      <c r="I231" s="265"/>
      <c r="J231" s="278"/>
      <c r="K231" s="279"/>
      <c r="L231" s="279"/>
      <c r="M231" s="280"/>
      <c r="N231" s="280">
        <v>2194</v>
      </c>
      <c r="O231" s="279"/>
      <c r="P231" s="281" t="s">
        <v>1126</v>
      </c>
      <c r="Q231" s="264"/>
      <c r="R231" s="282"/>
      <c r="S231" s="281" t="s">
        <v>1733</v>
      </c>
      <c r="T231" s="281">
        <v>4.9000000000000004</v>
      </c>
      <c r="U231" s="264">
        <v>0.9</v>
      </c>
      <c r="V231" s="282">
        <v>4</v>
      </c>
      <c r="W231" s="281">
        <v>0</v>
      </c>
      <c r="X231" s="281">
        <v>0</v>
      </c>
      <c r="Y231" s="264">
        <v>0</v>
      </c>
      <c r="Z231" s="282">
        <v>50</v>
      </c>
      <c r="AA231" s="281">
        <v>0</v>
      </c>
      <c r="AB231" s="281">
        <v>0</v>
      </c>
      <c r="AD231" s="284">
        <v>4.9000000000000004</v>
      </c>
      <c r="AE231" s="284">
        <v>0.9</v>
      </c>
      <c r="AF231" s="284">
        <v>4</v>
      </c>
      <c r="AG231" s="284">
        <v>0</v>
      </c>
      <c r="AH231" s="284">
        <v>0</v>
      </c>
      <c r="AI231" s="284">
        <v>0</v>
      </c>
      <c r="AJ231" s="284">
        <v>0</v>
      </c>
      <c r="AL231" s="285">
        <v>2706554.2053445703</v>
      </c>
      <c r="AM231" s="286">
        <v>0</v>
      </c>
      <c r="AN231" s="287">
        <v>205018.76878442927</v>
      </c>
      <c r="AO231" s="288">
        <v>0</v>
      </c>
      <c r="AP231" s="289">
        <v>2911572.9741289997</v>
      </c>
      <c r="AQ231" s="266"/>
      <c r="AR231" s="285">
        <v>555020.9411764706</v>
      </c>
      <c r="AS231" s="286">
        <v>0</v>
      </c>
      <c r="AT231" s="286">
        <v>0</v>
      </c>
      <c r="AU231" s="290">
        <v>0</v>
      </c>
      <c r="AV231" s="289">
        <v>555020.9411764706</v>
      </c>
      <c r="AW231" s="291">
        <v>2356552.0329525294</v>
      </c>
    </row>
    <row r="232" spans="1:49" x14ac:dyDescent="0.25">
      <c r="A232" s="264">
        <v>7259548</v>
      </c>
      <c r="B232" s="264" t="str">
        <f>VLOOKUP(A232,'Výpočet VP 2020'!$A$4:$B$318,2,FALSE)</f>
        <v>Obce</v>
      </c>
      <c r="C232" s="264" t="s">
        <v>386</v>
      </c>
      <c r="D232" s="264" t="s">
        <v>678</v>
      </c>
      <c r="E232" s="264" t="s">
        <v>1203</v>
      </c>
      <c r="F232" s="264">
        <v>7259548</v>
      </c>
      <c r="G232" s="264" t="s">
        <v>1061</v>
      </c>
      <c r="H232" s="264">
        <v>2019</v>
      </c>
      <c r="I232" s="265"/>
      <c r="J232" s="278"/>
      <c r="K232" s="279"/>
      <c r="L232" s="279"/>
      <c r="M232" s="280"/>
      <c r="N232" s="280">
        <v>2267</v>
      </c>
      <c r="O232" s="279"/>
      <c r="P232" s="281" t="s">
        <v>1164</v>
      </c>
      <c r="Q232" s="264"/>
      <c r="R232" s="282"/>
      <c r="S232" s="281" t="s">
        <v>1733</v>
      </c>
      <c r="T232" s="281">
        <v>16</v>
      </c>
      <c r="U232" s="264">
        <v>1</v>
      </c>
      <c r="V232" s="282">
        <v>15</v>
      </c>
      <c r="W232" s="281">
        <v>0</v>
      </c>
      <c r="X232" s="281">
        <v>0</v>
      </c>
      <c r="Y232" s="264">
        <v>0</v>
      </c>
      <c r="Z232" s="282">
        <v>260</v>
      </c>
      <c r="AA232" s="281">
        <v>0</v>
      </c>
      <c r="AB232" s="281">
        <v>0</v>
      </c>
      <c r="AD232" s="284">
        <v>16</v>
      </c>
      <c r="AE232" s="284">
        <v>1</v>
      </c>
      <c r="AF232" s="284">
        <v>15</v>
      </c>
      <c r="AG232" s="284">
        <v>0</v>
      </c>
      <c r="AH232" s="284">
        <v>0</v>
      </c>
      <c r="AI232" s="284">
        <v>0</v>
      </c>
      <c r="AJ232" s="284">
        <v>0</v>
      </c>
      <c r="AL232" s="285">
        <v>8837728.017451657</v>
      </c>
      <c r="AM232" s="286">
        <v>0</v>
      </c>
      <c r="AN232" s="287">
        <v>669449.04092874855</v>
      </c>
      <c r="AO232" s="288">
        <v>0</v>
      </c>
      <c r="AP232" s="289">
        <v>9507177.0583804063</v>
      </c>
      <c r="AQ232" s="266"/>
      <c r="AR232" s="285">
        <v>2081328.5294117648</v>
      </c>
      <c r="AS232" s="286">
        <v>0</v>
      </c>
      <c r="AT232" s="286">
        <v>0</v>
      </c>
      <c r="AU232" s="290">
        <v>0</v>
      </c>
      <c r="AV232" s="289">
        <v>2081328.5294117648</v>
      </c>
      <c r="AW232" s="291">
        <v>7425848.5289686415</v>
      </c>
    </row>
    <row r="233" spans="1:49" x14ac:dyDescent="0.25">
      <c r="A233" s="264">
        <v>9199716</v>
      </c>
      <c r="B233" s="264" t="str">
        <f>VLOOKUP(A233,'Výpočet VP 2020'!$A$4:$B$318,2,FALSE)</f>
        <v>Obce</v>
      </c>
      <c r="C233" s="264" t="s">
        <v>1222</v>
      </c>
      <c r="D233" s="264" t="s">
        <v>531</v>
      </c>
      <c r="E233" s="264" t="s">
        <v>1221</v>
      </c>
      <c r="F233" s="264">
        <v>9199716</v>
      </c>
      <c r="G233" s="264" t="s">
        <v>1223</v>
      </c>
      <c r="H233" s="264">
        <v>2019</v>
      </c>
      <c r="I233" s="265"/>
      <c r="J233" s="278"/>
      <c r="K233" s="279"/>
      <c r="L233" s="279"/>
      <c r="M233" s="280"/>
      <c r="N233" s="280">
        <v>2062</v>
      </c>
      <c r="O233" s="279"/>
      <c r="P233" s="281" t="s">
        <v>1126</v>
      </c>
      <c r="Q233" s="264"/>
      <c r="R233" s="282"/>
      <c r="S233" s="281" t="s">
        <v>1733</v>
      </c>
      <c r="T233" s="281">
        <v>7.48</v>
      </c>
      <c r="U233" s="264">
        <v>0.375</v>
      </c>
      <c r="V233" s="282">
        <v>7.1</v>
      </c>
      <c r="W233" s="281">
        <v>0</v>
      </c>
      <c r="X233" s="281">
        <v>0</v>
      </c>
      <c r="Y233" s="264">
        <v>0</v>
      </c>
      <c r="Z233" s="282">
        <v>80</v>
      </c>
      <c r="AA233" s="281">
        <v>0</v>
      </c>
      <c r="AB233" s="281">
        <v>0</v>
      </c>
      <c r="AD233" s="284">
        <v>7.48</v>
      </c>
      <c r="AE233" s="284">
        <v>0.375</v>
      </c>
      <c r="AF233" s="284">
        <v>7.1</v>
      </c>
      <c r="AG233" s="284">
        <v>0</v>
      </c>
      <c r="AH233" s="284">
        <v>0</v>
      </c>
      <c r="AI233" s="284">
        <v>0</v>
      </c>
      <c r="AJ233" s="284">
        <v>0</v>
      </c>
      <c r="AL233" s="285">
        <v>4131637.8481586501</v>
      </c>
      <c r="AM233" s="286">
        <v>0</v>
      </c>
      <c r="AN233" s="287">
        <v>312967.42663418996</v>
      </c>
      <c r="AO233" s="288">
        <v>0</v>
      </c>
      <c r="AP233" s="289">
        <v>4444605.2747928398</v>
      </c>
      <c r="AQ233" s="266"/>
      <c r="AR233" s="285">
        <v>985162.17058823525</v>
      </c>
      <c r="AS233" s="286">
        <v>0</v>
      </c>
      <c r="AT233" s="286">
        <v>0</v>
      </c>
      <c r="AU233" s="290">
        <v>0</v>
      </c>
      <c r="AV233" s="289">
        <v>985162.17058823525</v>
      </c>
      <c r="AW233" s="291">
        <v>3459443.1042046044</v>
      </c>
    </row>
    <row r="234" spans="1:49" x14ac:dyDescent="0.25">
      <c r="A234" s="264">
        <v>9949795</v>
      </c>
      <c r="B234" s="264" t="str">
        <f>VLOOKUP(A234,'Výpočet VP 2020'!$A$4:$B$318,2,FALSE)</f>
        <v>Obce</v>
      </c>
      <c r="C234" s="264" t="s">
        <v>692</v>
      </c>
      <c r="D234" s="264" t="s">
        <v>690</v>
      </c>
      <c r="E234" s="264" t="s">
        <v>1186</v>
      </c>
      <c r="F234" s="264">
        <v>9949795</v>
      </c>
      <c r="G234" s="264" t="s">
        <v>1144</v>
      </c>
      <c r="H234" s="264">
        <v>2019</v>
      </c>
      <c r="I234" s="265"/>
      <c r="J234" s="278"/>
      <c r="K234" s="279"/>
      <c r="L234" s="279"/>
      <c r="M234" s="280"/>
      <c r="N234" s="280">
        <v>2208</v>
      </c>
      <c r="O234" s="279"/>
      <c r="P234" s="281" t="s">
        <v>1098</v>
      </c>
      <c r="Q234" s="264"/>
      <c r="R234" s="282"/>
      <c r="S234" s="281" t="s">
        <v>1733</v>
      </c>
      <c r="T234" s="281">
        <v>2.75</v>
      </c>
      <c r="U234" s="264">
        <v>0</v>
      </c>
      <c r="V234" s="282">
        <v>2.75</v>
      </c>
      <c r="W234" s="281">
        <v>0</v>
      </c>
      <c r="X234" s="281">
        <v>0</v>
      </c>
      <c r="Y234" s="264">
        <v>0</v>
      </c>
      <c r="Z234" s="282">
        <v>27</v>
      </c>
      <c r="AA234" s="281">
        <v>0</v>
      </c>
      <c r="AB234" s="281">
        <v>0</v>
      </c>
      <c r="AD234" s="284">
        <v>2.75</v>
      </c>
      <c r="AE234" s="284">
        <v>0</v>
      </c>
      <c r="AF234" s="284">
        <v>2.75</v>
      </c>
      <c r="AG234" s="284">
        <v>0</v>
      </c>
      <c r="AH234" s="284">
        <v>0</v>
      </c>
      <c r="AI234" s="284">
        <v>0</v>
      </c>
      <c r="AJ234" s="284">
        <v>0</v>
      </c>
      <c r="AL234" s="285">
        <v>1518984.5029995036</v>
      </c>
      <c r="AM234" s="286">
        <v>0</v>
      </c>
      <c r="AN234" s="287">
        <v>115061.55390962865</v>
      </c>
      <c r="AO234" s="288">
        <v>0</v>
      </c>
      <c r="AP234" s="289">
        <v>1634046.0569091323</v>
      </c>
      <c r="AQ234" s="266"/>
      <c r="AR234" s="285">
        <v>381576.89705882355</v>
      </c>
      <c r="AS234" s="286">
        <v>0</v>
      </c>
      <c r="AT234" s="286">
        <v>0</v>
      </c>
      <c r="AU234" s="290">
        <v>0</v>
      </c>
      <c r="AV234" s="289">
        <v>381576.89705882355</v>
      </c>
      <c r="AW234" s="291">
        <v>1252469.1598503087</v>
      </c>
    </row>
    <row r="235" spans="1:49" x14ac:dyDescent="0.25">
      <c r="A235" s="264">
        <v>3095940</v>
      </c>
      <c r="B235" s="264" t="str">
        <f>VLOOKUP(A235,'Výpočet VP 2020'!$A$4:$B$318,2,FALSE)</f>
        <v>Obce</v>
      </c>
      <c r="C235" s="264" t="s">
        <v>386</v>
      </c>
      <c r="D235" s="264" t="s">
        <v>1003</v>
      </c>
      <c r="E235" s="264" t="s">
        <v>1186</v>
      </c>
      <c r="F235" s="264">
        <v>3095940</v>
      </c>
      <c r="G235" s="264" t="s">
        <v>1144</v>
      </c>
      <c r="H235" s="264">
        <v>2019</v>
      </c>
      <c r="I235" s="265"/>
      <c r="J235" s="278"/>
      <c r="K235" s="279"/>
      <c r="L235" s="279"/>
      <c r="M235" s="280"/>
      <c r="N235" s="280">
        <v>2208</v>
      </c>
      <c r="O235" s="279"/>
      <c r="P235" s="281" t="s">
        <v>1187</v>
      </c>
      <c r="Q235" s="264"/>
      <c r="R235" s="282"/>
      <c r="S235" s="281" t="s">
        <v>1733</v>
      </c>
      <c r="T235" s="281">
        <v>8</v>
      </c>
      <c r="U235" s="264">
        <v>1</v>
      </c>
      <c r="V235" s="282">
        <v>7</v>
      </c>
      <c r="W235" s="281">
        <v>0</v>
      </c>
      <c r="X235" s="281">
        <v>0</v>
      </c>
      <c r="Y235" s="264">
        <v>0</v>
      </c>
      <c r="Z235" s="282">
        <v>130</v>
      </c>
      <c r="AA235" s="281">
        <v>0</v>
      </c>
      <c r="AB235" s="281">
        <v>0</v>
      </c>
      <c r="AD235" s="284">
        <v>8</v>
      </c>
      <c r="AE235" s="284">
        <v>1</v>
      </c>
      <c r="AF235" s="284">
        <v>7</v>
      </c>
      <c r="AG235" s="284">
        <v>0</v>
      </c>
      <c r="AH235" s="284">
        <v>0</v>
      </c>
      <c r="AI235" s="284">
        <v>0</v>
      </c>
      <c r="AJ235" s="284">
        <v>0</v>
      </c>
      <c r="AL235" s="285">
        <v>4418864.0087258285</v>
      </c>
      <c r="AM235" s="286">
        <v>0</v>
      </c>
      <c r="AN235" s="287">
        <v>334724.52046437428</v>
      </c>
      <c r="AO235" s="288">
        <v>0</v>
      </c>
      <c r="AP235" s="289">
        <v>4753588.5291902032</v>
      </c>
      <c r="AQ235" s="266"/>
      <c r="AR235" s="285">
        <v>971286.64705882361</v>
      </c>
      <c r="AS235" s="286">
        <v>0</v>
      </c>
      <c r="AT235" s="286">
        <v>0</v>
      </c>
      <c r="AU235" s="290">
        <v>0</v>
      </c>
      <c r="AV235" s="289">
        <v>971286.64705882361</v>
      </c>
      <c r="AW235" s="291">
        <v>3782301.8821313796</v>
      </c>
    </row>
    <row r="236" spans="1:49" x14ac:dyDescent="0.25">
      <c r="A236" s="264">
        <v>9940787</v>
      </c>
      <c r="B236" s="264" t="str">
        <f>VLOOKUP(A236,'Výpočet VP 2020'!$A$4:$B$318,2,FALSE)</f>
        <v>Obce</v>
      </c>
      <c r="C236" s="264" t="s">
        <v>386</v>
      </c>
      <c r="D236" s="264" t="s">
        <v>682</v>
      </c>
      <c r="E236" s="264" t="s">
        <v>1230</v>
      </c>
      <c r="F236" s="264">
        <v>9940787</v>
      </c>
      <c r="G236" s="264" t="s">
        <v>1138</v>
      </c>
      <c r="H236" s="264">
        <v>2019</v>
      </c>
      <c r="I236" s="265"/>
      <c r="J236" s="278"/>
      <c r="K236" s="279"/>
      <c r="L236" s="279"/>
      <c r="M236" s="280"/>
      <c r="N236" s="280">
        <v>2259</v>
      </c>
      <c r="O236" s="279"/>
      <c r="P236" s="281" t="s">
        <v>1187</v>
      </c>
      <c r="Q236" s="264"/>
      <c r="R236" s="282"/>
      <c r="S236" s="281" t="s">
        <v>1733</v>
      </c>
      <c r="T236" s="281">
        <v>10.65</v>
      </c>
      <c r="U236" s="264">
        <v>1.1499999999999999</v>
      </c>
      <c r="V236" s="282">
        <v>9.5</v>
      </c>
      <c r="W236" s="281">
        <v>0</v>
      </c>
      <c r="X236" s="281">
        <v>0</v>
      </c>
      <c r="Y236" s="264">
        <v>0</v>
      </c>
      <c r="Z236" s="282">
        <v>120</v>
      </c>
      <c r="AA236" s="281">
        <v>0</v>
      </c>
      <c r="AB236" s="281">
        <v>0</v>
      </c>
      <c r="AD236" s="284">
        <v>10.65</v>
      </c>
      <c r="AE236" s="284">
        <v>1.1499999999999999</v>
      </c>
      <c r="AF236" s="284">
        <v>9.5</v>
      </c>
      <c r="AG236" s="284">
        <v>0</v>
      </c>
      <c r="AH236" s="284">
        <v>0</v>
      </c>
      <c r="AI236" s="284">
        <v>0</v>
      </c>
      <c r="AJ236" s="284">
        <v>0</v>
      </c>
      <c r="AL236" s="285">
        <v>5882612.7116162591</v>
      </c>
      <c r="AM236" s="286">
        <v>0</v>
      </c>
      <c r="AN236" s="287">
        <v>445602.01786819828</v>
      </c>
      <c r="AO236" s="288">
        <v>0</v>
      </c>
      <c r="AP236" s="289">
        <v>6328214.7294844575</v>
      </c>
      <c r="AQ236" s="266"/>
      <c r="AR236" s="285">
        <v>1318174.7352941176</v>
      </c>
      <c r="AS236" s="286">
        <v>0</v>
      </c>
      <c r="AT236" s="286">
        <v>0</v>
      </c>
      <c r="AU236" s="290">
        <v>0</v>
      </c>
      <c r="AV236" s="289">
        <v>1318174.7352941176</v>
      </c>
      <c r="AW236" s="291">
        <v>5010039.9941903399</v>
      </c>
    </row>
    <row r="237" spans="1:49" x14ac:dyDescent="0.25">
      <c r="A237" s="264">
        <v>1514566</v>
      </c>
      <c r="B237" s="264" t="str">
        <f>VLOOKUP(A237,'Výpočet VP 2020'!$A$4:$B$318,2,FALSE)</f>
        <v>Obce</v>
      </c>
      <c r="C237" s="264" t="s">
        <v>1169</v>
      </c>
      <c r="D237" s="264" t="s">
        <v>652</v>
      </c>
      <c r="E237" s="264" t="s">
        <v>1168</v>
      </c>
      <c r="F237" s="264">
        <v>1514566</v>
      </c>
      <c r="G237" s="264" t="s">
        <v>1170</v>
      </c>
      <c r="H237" s="264">
        <v>2019</v>
      </c>
      <c r="I237" s="265"/>
      <c r="J237" s="278"/>
      <c r="K237" s="279"/>
      <c r="L237" s="279"/>
      <c r="M237" s="280"/>
      <c r="N237" s="280">
        <v>2275</v>
      </c>
      <c r="O237" s="279"/>
      <c r="P237" s="281" t="s">
        <v>1126</v>
      </c>
      <c r="Q237" s="264"/>
      <c r="R237" s="282"/>
      <c r="S237" s="281" t="s">
        <v>1733</v>
      </c>
      <c r="T237" s="281">
        <v>5.5</v>
      </c>
      <c r="U237" s="264">
        <v>1.5</v>
      </c>
      <c r="V237" s="282">
        <v>4</v>
      </c>
      <c r="W237" s="281">
        <v>0</v>
      </c>
      <c r="X237" s="281">
        <v>0</v>
      </c>
      <c r="Y237" s="264">
        <v>0</v>
      </c>
      <c r="Z237" s="282">
        <v>50</v>
      </c>
      <c r="AA237" s="281">
        <v>0</v>
      </c>
      <c r="AB237" s="281">
        <v>0</v>
      </c>
      <c r="AD237" s="284">
        <v>5.5</v>
      </c>
      <c r="AE237" s="284">
        <v>1.5</v>
      </c>
      <c r="AF237" s="284">
        <v>4</v>
      </c>
      <c r="AG237" s="284">
        <v>0</v>
      </c>
      <c r="AH237" s="284">
        <v>0</v>
      </c>
      <c r="AI237" s="284">
        <v>0</v>
      </c>
      <c r="AJ237" s="284">
        <v>0</v>
      </c>
      <c r="AL237" s="285">
        <v>3037969.0059990073</v>
      </c>
      <c r="AM237" s="286">
        <v>0</v>
      </c>
      <c r="AN237" s="287">
        <v>230123.1078192573</v>
      </c>
      <c r="AO237" s="288">
        <v>0</v>
      </c>
      <c r="AP237" s="289">
        <v>3268092.1138182646</v>
      </c>
      <c r="AQ237" s="266"/>
      <c r="AR237" s="285">
        <v>555020.9411764706</v>
      </c>
      <c r="AS237" s="286">
        <v>0</v>
      </c>
      <c r="AT237" s="286">
        <v>0</v>
      </c>
      <c r="AU237" s="290">
        <v>0</v>
      </c>
      <c r="AV237" s="289">
        <v>555020.9411764706</v>
      </c>
      <c r="AW237" s="291">
        <v>2713071.1726417942</v>
      </c>
    </row>
    <row r="238" spans="1:49" x14ac:dyDescent="0.25">
      <c r="A238" s="264">
        <v>4936413</v>
      </c>
      <c r="B238" s="264" t="str">
        <f>VLOOKUP(A238,'Výpočet VP 2020'!$A$4:$B$318,2,FALSE)</f>
        <v>Obce</v>
      </c>
      <c r="C238" s="264" t="s">
        <v>657</v>
      </c>
      <c r="D238" s="264" t="s">
        <v>655</v>
      </c>
      <c r="E238" s="264" t="s">
        <v>1195</v>
      </c>
      <c r="F238" s="264">
        <v>4936413</v>
      </c>
      <c r="G238" s="264" t="s">
        <v>1196</v>
      </c>
      <c r="H238" s="264">
        <v>2019</v>
      </c>
      <c r="I238" s="265"/>
      <c r="J238" s="278"/>
      <c r="K238" s="279"/>
      <c r="L238" s="279"/>
      <c r="M238" s="280"/>
      <c r="N238" s="280">
        <v>2399</v>
      </c>
      <c r="O238" s="279"/>
      <c r="P238" s="281" t="s">
        <v>1098</v>
      </c>
      <c r="Q238" s="264"/>
      <c r="R238" s="282"/>
      <c r="S238" s="281" t="s">
        <v>1733</v>
      </c>
      <c r="T238" s="281">
        <v>3.21</v>
      </c>
      <c r="U238" s="264">
        <v>0.9</v>
      </c>
      <c r="V238" s="282">
        <v>2.31</v>
      </c>
      <c r="W238" s="281">
        <v>0</v>
      </c>
      <c r="X238" s="281">
        <v>0</v>
      </c>
      <c r="Y238" s="264">
        <v>0</v>
      </c>
      <c r="Z238" s="282">
        <v>36</v>
      </c>
      <c r="AA238" s="281">
        <v>3</v>
      </c>
      <c r="AB238" s="281">
        <v>0</v>
      </c>
      <c r="AD238" s="284">
        <v>3.21</v>
      </c>
      <c r="AE238" s="284">
        <v>0.9</v>
      </c>
      <c r="AF238" s="284">
        <v>2.31</v>
      </c>
      <c r="AG238" s="284">
        <v>0</v>
      </c>
      <c r="AH238" s="284">
        <v>0</v>
      </c>
      <c r="AI238" s="284">
        <v>0</v>
      </c>
      <c r="AJ238" s="284">
        <v>3</v>
      </c>
      <c r="AL238" s="285">
        <v>1773069.1835012387</v>
      </c>
      <c r="AM238" s="286">
        <v>0</v>
      </c>
      <c r="AN238" s="287">
        <v>134308.21383633016</v>
      </c>
      <c r="AO238" s="288">
        <v>0</v>
      </c>
      <c r="AP238" s="289">
        <v>1907377.3973375689</v>
      </c>
      <c r="AQ238" s="266"/>
      <c r="AR238" s="285">
        <v>320524.59352941177</v>
      </c>
      <c r="AS238" s="286">
        <v>0</v>
      </c>
      <c r="AT238" s="286">
        <v>0</v>
      </c>
      <c r="AU238" s="290">
        <v>0</v>
      </c>
      <c r="AV238" s="289">
        <v>320524.59352941177</v>
      </c>
      <c r="AW238" s="291">
        <v>1586852.8038081571</v>
      </c>
    </row>
    <row r="239" spans="1:49" x14ac:dyDescent="0.25">
      <c r="A239" s="264">
        <v>9196018</v>
      </c>
      <c r="B239" s="264" t="str">
        <f>VLOOKUP(A239,'Výpočet VP 2020'!$A$4:$B$318,2,FALSE)</f>
        <v>Obce</v>
      </c>
      <c r="C239" s="264" t="s">
        <v>750</v>
      </c>
      <c r="D239" s="264" t="s">
        <v>748</v>
      </c>
      <c r="E239" s="264" t="s">
        <v>1211</v>
      </c>
      <c r="F239" s="264">
        <v>9196018</v>
      </c>
      <c r="G239" s="264" t="s">
        <v>1063</v>
      </c>
      <c r="H239" s="264">
        <v>2019</v>
      </c>
      <c r="I239" s="265"/>
      <c r="J239" s="278"/>
      <c r="K239" s="279"/>
      <c r="L239" s="279"/>
      <c r="M239" s="280"/>
      <c r="N239" s="280">
        <v>2402</v>
      </c>
      <c r="O239" s="279"/>
      <c r="P239" s="281" t="s">
        <v>1126</v>
      </c>
      <c r="Q239" s="264"/>
      <c r="R239" s="282"/>
      <c r="S239" s="281" t="s">
        <v>1733</v>
      </c>
      <c r="T239" s="281">
        <v>3.8439999999999999</v>
      </c>
      <c r="U239" s="264">
        <v>9.4E-2</v>
      </c>
      <c r="V239" s="282">
        <v>3.75</v>
      </c>
      <c r="W239" s="281">
        <v>0</v>
      </c>
      <c r="X239" s="281">
        <v>0</v>
      </c>
      <c r="Y239" s="264">
        <v>0</v>
      </c>
      <c r="Z239" s="282">
        <v>60</v>
      </c>
      <c r="AA239" s="281">
        <v>0</v>
      </c>
      <c r="AB239" s="281">
        <v>0</v>
      </c>
      <c r="AD239" s="284">
        <v>3.8439999999999999</v>
      </c>
      <c r="AE239" s="284">
        <v>9.4E-2</v>
      </c>
      <c r="AF239" s="284">
        <v>3.75</v>
      </c>
      <c r="AG239" s="284">
        <v>0</v>
      </c>
      <c r="AH239" s="284">
        <v>0</v>
      </c>
      <c r="AI239" s="284">
        <v>0</v>
      </c>
      <c r="AJ239" s="284">
        <v>0</v>
      </c>
      <c r="AL239" s="285">
        <v>2123264.1561927604</v>
      </c>
      <c r="AM239" s="286">
        <v>0</v>
      </c>
      <c r="AN239" s="287">
        <v>160835.13208313184</v>
      </c>
      <c r="AO239" s="288">
        <v>0</v>
      </c>
      <c r="AP239" s="289">
        <v>2284099.2882758924</v>
      </c>
      <c r="AQ239" s="266"/>
      <c r="AR239" s="285">
        <v>520332.1323529412</v>
      </c>
      <c r="AS239" s="286">
        <v>0</v>
      </c>
      <c r="AT239" s="286">
        <v>0</v>
      </c>
      <c r="AU239" s="290">
        <v>0</v>
      </c>
      <c r="AV239" s="289">
        <v>520332.1323529412</v>
      </c>
      <c r="AW239" s="291">
        <v>1763767.1559229512</v>
      </c>
    </row>
    <row r="240" spans="1:49" x14ac:dyDescent="0.25">
      <c r="A240" s="264">
        <v>7201840</v>
      </c>
      <c r="B240" s="264" t="str">
        <f>VLOOKUP(A240,'Výpočet VP 2020'!$A$4:$B$318,2,FALSE)</f>
        <v>Obce</v>
      </c>
      <c r="C240" s="264" t="s">
        <v>1212</v>
      </c>
      <c r="D240" s="264" t="s">
        <v>1213</v>
      </c>
      <c r="E240" s="264" t="s">
        <v>1211</v>
      </c>
      <c r="F240" s="264">
        <v>7201840</v>
      </c>
      <c r="G240" s="264" t="s">
        <v>1063</v>
      </c>
      <c r="H240" s="264">
        <v>2019</v>
      </c>
      <c r="I240" s="265"/>
      <c r="J240" s="278"/>
      <c r="K240" s="279"/>
      <c r="L240" s="279"/>
      <c r="M240" s="280"/>
      <c r="N240" s="280">
        <v>2402</v>
      </c>
      <c r="O240" s="279"/>
      <c r="P240" s="281" t="s">
        <v>1164</v>
      </c>
      <c r="Q240" s="264"/>
      <c r="R240" s="282"/>
      <c r="S240" s="281" t="s">
        <v>1733</v>
      </c>
      <c r="T240" s="281">
        <v>30.25</v>
      </c>
      <c r="U240" s="264">
        <v>1.5</v>
      </c>
      <c r="V240" s="282">
        <v>28.75</v>
      </c>
      <c r="W240" s="281">
        <v>0</v>
      </c>
      <c r="X240" s="281">
        <v>0</v>
      </c>
      <c r="Y240" s="264">
        <v>0</v>
      </c>
      <c r="Z240" s="282">
        <v>370</v>
      </c>
      <c r="AA240" s="281">
        <v>0</v>
      </c>
      <c r="AB240" s="281">
        <v>0</v>
      </c>
      <c r="AD240" s="284">
        <v>30.25</v>
      </c>
      <c r="AE240" s="284">
        <v>1.5</v>
      </c>
      <c r="AF240" s="284">
        <v>28.75</v>
      </c>
      <c r="AG240" s="284">
        <v>0</v>
      </c>
      <c r="AH240" s="284">
        <v>0</v>
      </c>
      <c r="AI240" s="284">
        <v>0</v>
      </c>
      <c r="AJ240" s="284">
        <v>0</v>
      </c>
      <c r="AL240" s="285">
        <v>16708829.532994539</v>
      </c>
      <c r="AM240" s="286">
        <v>0</v>
      </c>
      <c r="AN240" s="287">
        <v>1265677.0930059152</v>
      </c>
      <c r="AO240" s="288">
        <v>0</v>
      </c>
      <c r="AP240" s="289">
        <v>17974506.626000453</v>
      </c>
      <c r="AQ240" s="266"/>
      <c r="AR240" s="285">
        <v>3989213.0147058824</v>
      </c>
      <c r="AS240" s="286">
        <v>0</v>
      </c>
      <c r="AT240" s="286">
        <v>0</v>
      </c>
      <c r="AU240" s="290">
        <v>0</v>
      </c>
      <c r="AV240" s="289">
        <v>3989213.0147058824</v>
      </c>
      <c r="AW240" s="291">
        <v>13985293.611294571</v>
      </c>
    </row>
    <row r="241" spans="1:49" x14ac:dyDescent="0.25">
      <c r="A241" s="264">
        <v>2946425</v>
      </c>
      <c r="B241" s="264" t="str">
        <f>VLOOKUP(A241,'Výpočet VP 2020'!$A$4:$B$318,2,FALSE)</f>
        <v>Obce</v>
      </c>
      <c r="C241" s="264" t="s">
        <v>546</v>
      </c>
      <c r="D241" s="264" t="s">
        <v>546</v>
      </c>
      <c r="E241" s="264" t="s">
        <v>1184</v>
      </c>
      <c r="F241" s="264">
        <v>2946425</v>
      </c>
      <c r="G241" s="264" t="s">
        <v>1185</v>
      </c>
      <c r="H241" s="264">
        <v>2019</v>
      </c>
      <c r="I241" s="265"/>
      <c r="J241" s="278"/>
      <c r="K241" s="279"/>
      <c r="L241" s="279"/>
      <c r="M241" s="280"/>
      <c r="N241" s="280">
        <v>2551</v>
      </c>
      <c r="O241" s="279"/>
      <c r="P241" s="281" t="s">
        <v>1126</v>
      </c>
      <c r="Q241" s="264"/>
      <c r="R241" s="282"/>
      <c r="S241" s="281" t="s">
        <v>1733</v>
      </c>
      <c r="T241" s="281">
        <v>4.5</v>
      </c>
      <c r="U241" s="264">
        <v>0.5</v>
      </c>
      <c r="V241" s="282">
        <v>4</v>
      </c>
      <c r="W241" s="281">
        <v>0</v>
      </c>
      <c r="X241" s="281">
        <v>0</v>
      </c>
      <c r="Y241" s="264">
        <v>0</v>
      </c>
      <c r="Z241" s="282">
        <v>80</v>
      </c>
      <c r="AA241" s="281">
        <v>0</v>
      </c>
      <c r="AB241" s="281">
        <v>0</v>
      </c>
      <c r="AD241" s="284">
        <v>4.5</v>
      </c>
      <c r="AE241" s="284">
        <v>0.5</v>
      </c>
      <c r="AF241" s="284">
        <v>4</v>
      </c>
      <c r="AG241" s="284">
        <v>0</v>
      </c>
      <c r="AH241" s="284">
        <v>0</v>
      </c>
      <c r="AI241" s="284">
        <v>0</v>
      </c>
      <c r="AJ241" s="284">
        <v>0</v>
      </c>
      <c r="AL241" s="285">
        <v>2485611.0049082786</v>
      </c>
      <c r="AM241" s="286">
        <v>0</v>
      </c>
      <c r="AN241" s="287">
        <v>188282.54276121053</v>
      </c>
      <c r="AO241" s="288">
        <v>0</v>
      </c>
      <c r="AP241" s="289">
        <v>2673893.5476694889</v>
      </c>
      <c r="AQ241" s="266"/>
      <c r="AR241" s="285">
        <v>555020.9411764706</v>
      </c>
      <c r="AS241" s="286">
        <v>0</v>
      </c>
      <c r="AT241" s="286">
        <v>0</v>
      </c>
      <c r="AU241" s="290">
        <v>0</v>
      </c>
      <c r="AV241" s="289">
        <v>555020.9411764706</v>
      </c>
      <c r="AW241" s="291">
        <v>2118872.6064930186</v>
      </c>
    </row>
    <row r="242" spans="1:49" x14ac:dyDescent="0.25">
      <c r="A242" s="264">
        <v>1671513</v>
      </c>
      <c r="B242" s="264" t="str">
        <f>VLOOKUP(A242,'Výpočet VP 2020'!$A$4:$B$318,2,FALSE)</f>
        <v>Obce</v>
      </c>
      <c r="C242" s="264" t="s">
        <v>632</v>
      </c>
      <c r="D242" s="264" t="s">
        <v>630</v>
      </c>
      <c r="E242" s="264" t="s">
        <v>1172</v>
      </c>
      <c r="F242" s="264">
        <v>1671513</v>
      </c>
      <c r="G242" s="264" t="s">
        <v>1173</v>
      </c>
      <c r="H242" s="264">
        <v>2019</v>
      </c>
      <c r="I242" s="265"/>
      <c r="J242" s="278"/>
      <c r="K242" s="279"/>
      <c r="L242" s="279"/>
      <c r="M242" s="280"/>
      <c r="N242" s="280">
        <v>2283</v>
      </c>
      <c r="O242" s="279"/>
      <c r="P242" s="281" t="s">
        <v>1164</v>
      </c>
      <c r="Q242" s="264"/>
      <c r="R242" s="282"/>
      <c r="S242" s="281" t="s">
        <v>1733</v>
      </c>
      <c r="T242" s="281">
        <v>2.1</v>
      </c>
      <c r="U242" s="264">
        <v>0.1</v>
      </c>
      <c r="V242" s="282">
        <v>2</v>
      </c>
      <c r="W242" s="281">
        <v>0</v>
      </c>
      <c r="X242" s="281">
        <v>0</v>
      </c>
      <c r="Y242" s="264">
        <v>0</v>
      </c>
      <c r="Z242" s="282">
        <v>65</v>
      </c>
      <c r="AA242" s="281">
        <v>0</v>
      </c>
      <c r="AB242" s="281">
        <v>0</v>
      </c>
      <c r="AD242" s="284">
        <v>2.1</v>
      </c>
      <c r="AE242" s="284">
        <v>0.1</v>
      </c>
      <c r="AF242" s="284">
        <v>2</v>
      </c>
      <c r="AG242" s="284">
        <v>0</v>
      </c>
      <c r="AH242" s="284">
        <v>0</v>
      </c>
      <c r="AI242" s="284">
        <v>0</v>
      </c>
      <c r="AJ242" s="284">
        <v>0</v>
      </c>
      <c r="AL242" s="285">
        <v>1159951.8022905299</v>
      </c>
      <c r="AM242" s="286">
        <v>0</v>
      </c>
      <c r="AN242" s="287">
        <v>87865.186621898247</v>
      </c>
      <c r="AO242" s="288">
        <v>0</v>
      </c>
      <c r="AP242" s="289">
        <v>1247816.9889124283</v>
      </c>
      <c r="AQ242" s="266"/>
      <c r="AR242" s="285">
        <v>277510.4705882353</v>
      </c>
      <c r="AS242" s="286">
        <v>0</v>
      </c>
      <c r="AT242" s="286">
        <v>0</v>
      </c>
      <c r="AU242" s="290">
        <v>0</v>
      </c>
      <c r="AV242" s="289">
        <v>277510.4705882353</v>
      </c>
      <c r="AW242" s="291">
        <v>970306.51832419296</v>
      </c>
    </row>
    <row r="243" spans="1:49" x14ac:dyDescent="0.25">
      <c r="A243" s="264">
        <v>6697882</v>
      </c>
      <c r="B243" s="264" t="str">
        <f>VLOOKUP(A243,'Výpočet VP 2020'!$A$4:$B$318,2,FALSE)</f>
        <v>Obce</v>
      </c>
      <c r="C243" s="264" t="s">
        <v>665</v>
      </c>
      <c r="D243" s="264" t="s">
        <v>663</v>
      </c>
      <c r="E243" s="264" t="s">
        <v>1172</v>
      </c>
      <c r="F243" s="264">
        <v>6697882</v>
      </c>
      <c r="G243" s="264" t="s">
        <v>1173</v>
      </c>
      <c r="H243" s="264">
        <v>2019</v>
      </c>
      <c r="I243" s="265"/>
      <c r="J243" s="278"/>
      <c r="K243" s="279"/>
      <c r="L243" s="279"/>
      <c r="M243" s="280"/>
      <c r="N243" s="280">
        <v>2283</v>
      </c>
      <c r="O243" s="279"/>
      <c r="P243" s="281" t="s">
        <v>1177</v>
      </c>
      <c r="Q243" s="264"/>
      <c r="R243" s="282"/>
      <c r="S243" s="281" t="s">
        <v>1733</v>
      </c>
      <c r="T243" s="281">
        <v>1.7</v>
      </c>
      <c r="U243" s="264">
        <v>0.2</v>
      </c>
      <c r="V243" s="282">
        <v>1.5</v>
      </c>
      <c r="W243" s="281">
        <v>0</v>
      </c>
      <c r="X243" s="281">
        <v>0</v>
      </c>
      <c r="Y243" s="264">
        <v>0</v>
      </c>
      <c r="Z243" s="282">
        <v>50</v>
      </c>
      <c r="AA243" s="281">
        <v>0</v>
      </c>
      <c r="AB243" s="281">
        <v>0</v>
      </c>
      <c r="AD243" s="284">
        <v>1.7</v>
      </c>
      <c r="AE243" s="284">
        <v>0.2</v>
      </c>
      <c r="AF243" s="284">
        <v>1.5</v>
      </c>
      <c r="AG243" s="284">
        <v>0</v>
      </c>
      <c r="AH243" s="284">
        <v>0</v>
      </c>
      <c r="AI243" s="284">
        <v>0</v>
      </c>
      <c r="AJ243" s="284">
        <v>0</v>
      </c>
      <c r="AL243" s="285">
        <v>939008.60185423854</v>
      </c>
      <c r="AM243" s="286">
        <v>0</v>
      </c>
      <c r="AN243" s="287">
        <v>71128.960598679536</v>
      </c>
      <c r="AO243" s="288">
        <v>0</v>
      </c>
      <c r="AP243" s="289">
        <v>1010137.562452918</v>
      </c>
      <c r="AQ243" s="266"/>
      <c r="AR243" s="285">
        <v>208132.85294117648</v>
      </c>
      <c r="AS243" s="286">
        <v>0</v>
      </c>
      <c r="AT243" s="286">
        <v>0</v>
      </c>
      <c r="AU243" s="290">
        <v>0</v>
      </c>
      <c r="AV243" s="289">
        <v>208132.85294117648</v>
      </c>
      <c r="AW243" s="291">
        <v>802004.70951174153</v>
      </c>
    </row>
    <row r="244" spans="1:49" x14ac:dyDescent="0.25">
      <c r="A244" s="264">
        <v>4383860</v>
      </c>
      <c r="B244" s="264" t="str">
        <f>VLOOKUP(A244,'Výpočet VP 2020'!$A$4:$B$318,2,FALSE)</f>
        <v>Obce</v>
      </c>
      <c r="C244" s="264" t="s">
        <v>864</v>
      </c>
      <c r="D244" s="264" t="s">
        <v>864</v>
      </c>
      <c r="E244" s="264" t="s">
        <v>1188</v>
      </c>
      <c r="F244" s="264">
        <v>4383860</v>
      </c>
      <c r="G244" s="264" t="s">
        <v>1073</v>
      </c>
      <c r="H244" s="264">
        <v>2019</v>
      </c>
      <c r="I244" s="265"/>
      <c r="J244" s="278"/>
      <c r="K244" s="279"/>
      <c r="L244" s="279"/>
      <c r="M244" s="280"/>
      <c r="N244" s="280">
        <v>2569</v>
      </c>
      <c r="O244" s="279"/>
      <c r="P244" s="281" t="s">
        <v>1187</v>
      </c>
      <c r="Q244" s="264"/>
      <c r="R244" s="282"/>
      <c r="S244" s="281" t="s">
        <v>1733</v>
      </c>
      <c r="T244" s="281">
        <v>22.3</v>
      </c>
      <c r="U244" s="264">
        <v>1.5</v>
      </c>
      <c r="V244" s="282">
        <v>20.8</v>
      </c>
      <c r="W244" s="281">
        <v>0</v>
      </c>
      <c r="X244" s="281">
        <v>0</v>
      </c>
      <c r="Y244" s="264">
        <v>0</v>
      </c>
      <c r="Z244" s="282">
        <v>350</v>
      </c>
      <c r="AA244" s="281">
        <v>0</v>
      </c>
      <c r="AB244" s="281">
        <v>0</v>
      </c>
      <c r="AD244" s="284">
        <v>22.3</v>
      </c>
      <c r="AE244" s="284">
        <v>1.5</v>
      </c>
      <c r="AF244" s="284">
        <v>20.8</v>
      </c>
      <c r="AG244" s="284">
        <v>0</v>
      </c>
      <c r="AH244" s="284">
        <v>0</v>
      </c>
      <c r="AI244" s="284">
        <v>0</v>
      </c>
      <c r="AJ244" s="284">
        <v>0</v>
      </c>
      <c r="AL244" s="285">
        <v>12317583.424323248</v>
      </c>
      <c r="AM244" s="286">
        <v>0</v>
      </c>
      <c r="AN244" s="287">
        <v>933044.60079444328</v>
      </c>
      <c r="AO244" s="288">
        <v>0</v>
      </c>
      <c r="AP244" s="289">
        <v>13250628.025117692</v>
      </c>
      <c r="AQ244" s="266"/>
      <c r="AR244" s="285">
        <v>2886108.8941176473</v>
      </c>
      <c r="AS244" s="286">
        <v>0</v>
      </c>
      <c r="AT244" s="286">
        <v>0</v>
      </c>
      <c r="AU244" s="290">
        <v>0</v>
      </c>
      <c r="AV244" s="289">
        <v>2886108.8941176473</v>
      </c>
      <c r="AW244" s="291">
        <v>10364519.131000044</v>
      </c>
    </row>
    <row r="245" spans="1:49" x14ac:dyDescent="0.25">
      <c r="A245" s="264">
        <v>7399132</v>
      </c>
      <c r="B245" s="264" t="str">
        <f>VLOOKUP(A245,'Výpočet VP 2020'!$A$4:$B$318,2,FALSE)</f>
        <v>Obce</v>
      </c>
      <c r="C245" s="264" t="s">
        <v>576</v>
      </c>
      <c r="D245" s="264" t="s">
        <v>576</v>
      </c>
      <c r="E245" s="264" t="s">
        <v>1159</v>
      </c>
      <c r="F245" s="264">
        <v>7399132</v>
      </c>
      <c r="G245" s="264" t="s">
        <v>1160</v>
      </c>
      <c r="H245" s="264">
        <v>2019</v>
      </c>
      <c r="I245" s="265"/>
      <c r="J245" s="278"/>
      <c r="K245" s="279"/>
      <c r="L245" s="279"/>
      <c r="M245" s="280"/>
      <c r="N245" s="280">
        <v>2411</v>
      </c>
      <c r="O245" s="279"/>
      <c r="P245" s="281" t="s">
        <v>1126</v>
      </c>
      <c r="Q245" s="264"/>
      <c r="R245" s="282"/>
      <c r="S245" s="281" t="s">
        <v>1733</v>
      </c>
      <c r="T245" s="281">
        <v>7</v>
      </c>
      <c r="U245" s="264">
        <v>1</v>
      </c>
      <c r="V245" s="282">
        <v>6</v>
      </c>
      <c r="W245" s="281">
        <v>0</v>
      </c>
      <c r="X245" s="281">
        <v>0</v>
      </c>
      <c r="Y245" s="264">
        <v>0</v>
      </c>
      <c r="Z245" s="282">
        <v>110</v>
      </c>
      <c r="AA245" s="281">
        <v>0</v>
      </c>
      <c r="AB245" s="281">
        <v>0</v>
      </c>
      <c r="AD245" s="284">
        <v>7</v>
      </c>
      <c r="AE245" s="284">
        <v>1</v>
      </c>
      <c r="AF245" s="284">
        <v>6</v>
      </c>
      <c r="AG245" s="284">
        <v>0</v>
      </c>
      <c r="AH245" s="284">
        <v>0</v>
      </c>
      <c r="AI245" s="284">
        <v>0</v>
      </c>
      <c r="AJ245" s="284">
        <v>0</v>
      </c>
      <c r="AL245" s="285">
        <v>3866506.0076350998</v>
      </c>
      <c r="AM245" s="286">
        <v>0</v>
      </c>
      <c r="AN245" s="287">
        <v>292883.9554063275</v>
      </c>
      <c r="AO245" s="288">
        <v>0</v>
      </c>
      <c r="AP245" s="289">
        <v>4159389.9630414275</v>
      </c>
      <c r="AQ245" s="266"/>
      <c r="AR245" s="285">
        <v>832531.4117647059</v>
      </c>
      <c r="AS245" s="286">
        <v>0</v>
      </c>
      <c r="AT245" s="286">
        <v>0</v>
      </c>
      <c r="AU245" s="290">
        <v>0</v>
      </c>
      <c r="AV245" s="289">
        <v>832531.4117647059</v>
      </c>
      <c r="AW245" s="291">
        <v>3326858.5512767215</v>
      </c>
    </row>
    <row r="246" spans="1:49" x14ac:dyDescent="0.25">
      <c r="A246" s="264">
        <v>8522302</v>
      </c>
      <c r="B246" s="264" t="str">
        <f>VLOOKUP(A246,'Výpočet VP 2020'!$A$4:$B$318,2,FALSE)</f>
        <v>Obce</v>
      </c>
      <c r="C246" s="264" t="s">
        <v>386</v>
      </c>
      <c r="D246" s="264" t="s">
        <v>661</v>
      </c>
      <c r="E246" s="264" t="s">
        <v>1189</v>
      </c>
      <c r="F246" s="264">
        <v>8522302</v>
      </c>
      <c r="G246" s="264" t="s">
        <v>1190</v>
      </c>
      <c r="H246" s="264">
        <v>2019</v>
      </c>
      <c r="I246" s="265"/>
      <c r="J246" s="278"/>
      <c r="K246" s="279"/>
      <c r="L246" s="279"/>
      <c r="M246" s="280"/>
      <c r="N246" s="280">
        <v>2593</v>
      </c>
      <c r="O246" s="279"/>
      <c r="P246" s="281" t="s">
        <v>1164</v>
      </c>
      <c r="Q246" s="264"/>
      <c r="R246" s="282"/>
      <c r="S246" s="281" t="s">
        <v>1733</v>
      </c>
      <c r="T246" s="281">
        <v>2</v>
      </c>
      <c r="U246" s="264">
        <v>0</v>
      </c>
      <c r="V246" s="282">
        <v>2</v>
      </c>
      <c r="W246" s="281">
        <v>0</v>
      </c>
      <c r="X246" s="281">
        <v>0</v>
      </c>
      <c r="Y246" s="264">
        <v>0</v>
      </c>
      <c r="Z246" s="282">
        <v>60</v>
      </c>
      <c r="AA246" s="281">
        <v>0</v>
      </c>
      <c r="AB246" s="281">
        <v>0</v>
      </c>
      <c r="AD246" s="284">
        <v>2</v>
      </c>
      <c r="AE246" s="284">
        <v>0</v>
      </c>
      <c r="AF246" s="284">
        <v>2</v>
      </c>
      <c r="AG246" s="284">
        <v>0</v>
      </c>
      <c r="AH246" s="284">
        <v>0</v>
      </c>
      <c r="AI246" s="284">
        <v>0</v>
      </c>
      <c r="AJ246" s="284">
        <v>0</v>
      </c>
      <c r="AL246" s="285">
        <v>1104716.0021814571</v>
      </c>
      <c r="AM246" s="286">
        <v>0</v>
      </c>
      <c r="AN246" s="287">
        <v>83681.130116093569</v>
      </c>
      <c r="AO246" s="288">
        <v>0</v>
      </c>
      <c r="AP246" s="289">
        <v>1188397.1322975508</v>
      </c>
      <c r="AQ246" s="266"/>
      <c r="AR246" s="285">
        <v>277510.4705882353</v>
      </c>
      <c r="AS246" s="286">
        <v>0</v>
      </c>
      <c r="AT246" s="286">
        <v>0</v>
      </c>
      <c r="AU246" s="290">
        <v>0</v>
      </c>
      <c r="AV246" s="289">
        <v>277510.4705882353</v>
      </c>
      <c r="AW246" s="291">
        <v>910886.66170931549</v>
      </c>
    </row>
    <row r="247" spans="1:49" x14ac:dyDescent="0.25">
      <c r="A247" s="264">
        <v>5204562</v>
      </c>
      <c r="B247" s="264" t="str">
        <f>VLOOKUP(A247,'Výpočet VP 2020'!$A$4:$B$318,2,FALSE)</f>
        <v>Obce</v>
      </c>
      <c r="C247" s="264" t="s">
        <v>670</v>
      </c>
      <c r="D247" s="264" t="s">
        <v>666</v>
      </c>
      <c r="E247" s="264" t="s">
        <v>1189</v>
      </c>
      <c r="F247" s="264">
        <v>5204562</v>
      </c>
      <c r="G247" s="264" t="s">
        <v>1190</v>
      </c>
      <c r="H247" s="264">
        <v>2019</v>
      </c>
      <c r="I247" s="265"/>
      <c r="J247" s="278"/>
      <c r="K247" s="279"/>
      <c r="L247" s="279"/>
      <c r="M247" s="280"/>
      <c r="N247" s="280">
        <v>2593</v>
      </c>
      <c r="O247" s="279"/>
      <c r="P247" s="281" t="s">
        <v>1126</v>
      </c>
      <c r="Q247" s="264"/>
      <c r="R247" s="282"/>
      <c r="S247" s="281" t="s">
        <v>1733</v>
      </c>
      <c r="T247" s="281">
        <v>5.7</v>
      </c>
      <c r="U247" s="264">
        <v>0.7</v>
      </c>
      <c r="V247" s="282">
        <v>5</v>
      </c>
      <c r="W247" s="281">
        <v>0</v>
      </c>
      <c r="X247" s="281">
        <v>0</v>
      </c>
      <c r="Y247" s="264">
        <v>0</v>
      </c>
      <c r="Z247" s="282">
        <v>160</v>
      </c>
      <c r="AA247" s="281">
        <v>0</v>
      </c>
      <c r="AB247" s="281">
        <v>0</v>
      </c>
      <c r="AD247" s="284">
        <v>5.7</v>
      </c>
      <c r="AE247" s="284">
        <v>0.7</v>
      </c>
      <c r="AF247" s="284">
        <v>5</v>
      </c>
      <c r="AG247" s="284">
        <v>0</v>
      </c>
      <c r="AH247" s="284">
        <v>0</v>
      </c>
      <c r="AI247" s="284">
        <v>0</v>
      </c>
      <c r="AJ247" s="284">
        <v>0</v>
      </c>
      <c r="AL247" s="285">
        <v>3148440.6062171529</v>
      </c>
      <c r="AM247" s="286">
        <v>0</v>
      </c>
      <c r="AN247" s="287">
        <v>238491.22083086669</v>
      </c>
      <c r="AO247" s="288">
        <v>0</v>
      </c>
      <c r="AP247" s="289">
        <v>3386931.8270480195</v>
      </c>
      <c r="AQ247" s="266"/>
      <c r="AR247" s="285">
        <v>693776.17647058819</v>
      </c>
      <c r="AS247" s="286">
        <v>0</v>
      </c>
      <c r="AT247" s="286">
        <v>0</v>
      </c>
      <c r="AU247" s="290">
        <v>0</v>
      </c>
      <c r="AV247" s="289">
        <v>693776.17647058819</v>
      </c>
      <c r="AW247" s="291">
        <v>2693155.6505774315</v>
      </c>
    </row>
    <row r="248" spans="1:49" x14ac:dyDescent="0.25">
      <c r="A248" s="264">
        <v>9666094</v>
      </c>
      <c r="B248" s="264" t="str">
        <f>VLOOKUP(A248,'Výpočet VP 2020'!$A$4:$B$318,2,FALSE)</f>
        <v>Obce</v>
      </c>
      <c r="C248" s="264" t="s">
        <v>386</v>
      </c>
      <c r="D248" s="264" t="s">
        <v>671</v>
      </c>
      <c r="E248" s="264" t="s">
        <v>1228</v>
      </c>
      <c r="F248" s="264">
        <v>9666094</v>
      </c>
      <c r="G248" s="264" t="s">
        <v>1229</v>
      </c>
      <c r="H248" s="264">
        <v>2019</v>
      </c>
      <c r="I248" s="265"/>
      <c r="J248" s="278"/>
      <c r="K248" s="279"/>
      <c r="L248" s="279"/>
      <c r="M248" s="280"/>
      <c r="N248" s="280">
        <v>2429</v>
      </c>
      <c r="O248" s="279"/>
      <c r="P248" s="281" t="s">
        <v>1126</v>
      </c>
      <c r="Q248" s="264"/>
      <c r="R248" s="282"/>
      <c r="S248" s="281" t="s">
        <v>1733</v>
      </c>
      <c r="T248" s="281">
        <v>7</v>
      </c>
      <c r="U248" s="264">
        <v>1</v>
      </c>
      <c r="V248" s="282">
        <v>6</v>
      </c>
      <c r="W248" s="281">
        <v>0</v>
      </c>
      <c r="X248" s="281">
        <v>0</v>
      </c>
      <c r="Y248" s="264">
        <v>0</v>
      </c>
      <c r="Z248" s="282">
        <v>80</v>
      </c>
      <c r="AA248" s="281">
        <v>0</v>
      </c>
      <c r="AB248" s="281">
        <v>0</v>
      </c>
      <c r="AD248" s="284">
        <v>7</v>
      </c>
      <c r="AE248" s="284">
        <v>1</v>
      </c>
      <c r="AF248" s="284">
        <v>6</v>
      </c>
      <c r="AG248" s="284">
        <v>0</v>
      </c>
      <c r="AH248" s="284">
        <v>0</v>
      </c>
      <c r="AI248" s="284">
        <v>0</v>
      </c>
      <c r="AJ248" s="284">
        <v>0</v>
      </c>
      <c r="AL248" s="285">
        <v>3866506.0076350998</v>
      </c>
      <c r="AM248" s="286">
        <v>0</v>
      </c>
      <c r="AN248" s="287">
        <v>292883.9554063275</v>
      </c>
      <c r="AO248" s="288">
        <v>0</v>
      </c>
      <c r="AP248" s="289">
        <v>4159389.9630414275</v>
      </c>
      <c r="AQ248" s="266"/>
      <c r="AR248" s="285">
        <v>832531.4117647059</v>
      </c>
      <c r="AS248" s="286">
        <v>0</v>
      </c>
      <c r="AT248" s="286">
        <v>0</v>
      </c>
      <c r="AU248" s="290">
        <v>0</v>
      </c>
      <c r="AV248" s="289">
        <v>832531.4117647059</v>
      </c>
      <c r="AW248" s="291">
        <v>3326858.5512767215</v>
      </c>
    </row>
    <row r="249" spans="1:49" x14ac:dyDescent="0.25">
      <c r="A249" s="264">
        <v>3810187</v>
      </c>
      <c r="B249" s="264" t="str">
        <f>VLOOKUP(A249,'Výpočet VP 2020'!$A$4:$B$318,2,FALSE)</f>
        <v>Obce</v>
      </c>
      <c r="C249" s="264" t="s">
        <v>676</v>
      </c>
      <c r="D249" s="264" t="s">
        <v>674</v>
      </c>
      <c r="E249" s="264" t="s">
        <v>1193</v>
      </c>
      <c r="F249" s="264">
        <v>3810187</v>
      </c>
      <c r="G249" s="264" t="s">
        <v>1128</v>
      </c>
      <c r="H249" s="264">
        <v>2019</v>
      </c>
      <c r="I249" s="265"/>
      <c r="J249" s="278"/>
      <c r="K249" s="279"/>
      <c r="L249" s="279"/>
      <c r="M249" s="280"/>
      <c r="N249" s="280">
        <v>2577</v>
      </c>
      <c r="O249" s="279"/>
      <c r="P249" s="281" t="s">
        <v>1126</v>
      </c>
      <c r="Q249" s="264"/>
      <c r="R249" s="282"/>
      <c r="S249" s="281" t="s">
        <v>1733</v>
      </c>
      <c r="T249" s="281">
        <v>10</v>
      </c>
      <c r="U249" s="264">
        <v>1</v>
      </c>
      <c r="V249" s="282">
        <v>9</v>
      </c>
      <c r="W249" s="281">
        <v>0</v>
      </c>
      <c r="X249" s="281">
        <v>0</v>
      </c>
      <c r="Y249" s="264">
        <v>0</v>
      </c>
      <c r="Z249" s="282">
        <v>132</v>
      </c>
      <c r="AA249" s="281">
        <v>0</v>
      </c>
      <c r="AB249" s="281">
        <v>0</v>
      </c>
      <c r="AD249" s="284">
        <v>10</v>
      </c>
      <c r="AE249" s="284">
        <v>1</v>
      </c>
      <c r="AF249" s="284">
        <v>9</v>
      </c>
      <c r="AG249" s="284">
        <v>0</v>
      </c>
      <c r="AH249" s="284">
        <v>0</v>
      </c>
      <c r="AI249" s="284">
        <v>0</v>
      </c>
      <c r="AJ249" s="284">
        <v>0</v>
      </c>
      <c r="AL249" s="285">
        <v>5523580.0109072858</v>
      </c>
      <c r="AM249" s="286">
        <v>0</v>
      </c>
      <c r="AN249" s="287">
        <v>418405.65058046783</v>
      </c>
      <c r="AO249" s="288">
        <v>0</v>
      </c>
      <c r="AP249" s="289">
        <v>5941985.6614877535</v>
      </c>
      <c r="AQ249" s="266"/>
      <c r="AR249" s="285">
        <v>1248797.1176470588</v>
      </c>
      <c r="AS249" s="286">
        <v>0</v>
      </c>
      <c r="AT249" s="286">
        <v>0</v>
      </c>
      <c r="AU249" s="290">
        <v>0</v>
      </c>
      <c r="AV249" s="289">
        <v>1248797.1176470588</v>
      </c>
      <c r="AW249" s="291">
        <v>4693188.5438406952</v>
      </c>
    </row>
    <row r="250" spans="1:49" x14ac:dyDescent="0.25">
      <c r="A250" s="264">
        <v>9478716</v>
      </c>
      <c r="B250" s="264" t="str">
        <f>VLOOKUP(A250,'Výpočet VP 2020'!$A$4:$B$318,2,FALSE)</f>
        <v>Obce</v>
      </c>
      <c r="C250" s="264" t="s">
        <v>940</v>
      </c>
      <c r="D250" s="264" t="s">
        <v>940</v>
      </c>
      <c r="E250" s="264" t="s">
        <v>1193</v>
      </c>
      <c r="F250" s="264">
        <v>9478716</v>
      </c>
      <c r="G250" s="264" t="s">
        <v>1128</v>
      </c>
      <c r="H250" s="264">
        <v>2019</v>
      </c>
      <c r="I250" s="265"/>
      <c r="J250" s="278"/>
      <c r="K250" s="279"/>
      <c r="L250" s="279"/>
      <c r="M250" s="280"/>
      <c r="N250" s="280">
        <v>2577</v>
      </c>
      <c r="O250" s="279"/>
      <c r="P250" s="281" t="s">
        <v>1126</v>
      </c>
      <c r="Q250" s="264"/>
      <c r="R250" s="282"/>
      <c r="S250" s="281" t="s">
        <v>1733</v>
      </c>
      <c r="T250" s="281">
        <v>0.54</v>
      </c>
      <c r="U250" s="264">
        <v>0.04</v>
      </c>
      <c r="V250" s="282">
        <v>0.5</v>
      </c>
      <c r="W250" s="281">
        <v>0</v>
      </c>
      <c r="X250" s="281">
        <v>0</v>
      </c>
      <c r="Y250" s="264">
        <v>0</v>
      </c>
      <c r="Z250" s="282">
        <v>30</v>
      </c>
      <c r="AA250" s="281">
        <v>0</v>
      </c>
      <c r="AB250" s="281">
        <v>0</v>
      </c>
      <c r="AD250" s="284">
        <v>0.54</v>
      </c>
      <c r="AE250" s="284">
        <v>0.04</v>
      </c>
      <c r="AF250" s="284">
        <v>0.5</v>
      </c>
      <c r="AG250" s="284">
        <v>0</v>
      </c>
      <c r="AH250" s="284">
        <v>0</v>
      </c>
      <c r="AI250" s="284">
        <v>0</v>
      </c>
      <c r="AJ250" s="284">
        <v>0</v>
      </c>
      <c r="AL250" s="285">
        <v>298273.32058899343</v>
      </c>
      <c r="AM250" s="286">
        <v>0</v>
      </c>
      <c r="AN250" s="287">
        <v>22593.905131345266</v>
      </c>
      <c r="AO250" s="288">
        <v>0</v>
      </c>
      <c r="AP250" s="289">
        <v>320867.2257203387</v>
      </c>
      <c r="AQ250" s="266"/>
      <c r="AR250" s="285">
        <v>69377.617647058825</v>
      </c>
      <c r="AS250" s="286">
        <v>0</v>
      </c>
      <c r="AT250" s="286">
        <v>0</v>
      </c>
      <c r="AU250" s="290">
        <v>0</v>
      </c>
      <c r="AV250" s="289">
        <v>69377.617647058825</v>
      </c>
      <c r="AW250" s="291">
        <v>251489.60807327987</v>
      </c>
    </row>
    <row r="251" spans="1:49" x14ac:dyDescent="0.25">
      <c r="A251" s="264">
        <v>9583114</v>
      </c>
      <c r="B251" s="264" t="str">
        <f>VLOOKUP(A251,'Výpočet VP 2020'!$A$4:$B$318,2,FALSE)</f>
        <v>Obce</v>
      </c>
      <c r="C251" s="264" t="s">
        <v>868</v>
      </c>
      <c r="D251" s="264" t="s">
        <v>868</v>
      </c>
      <c r="E251" s="264" t="s">
        <v>1226</v>
      </c>
      <c r="F251" s="264">
        <v>9583114</v>
      </c>
      <c r="G251" s="264" t="s">
        <v>1227</v>
      </c>
      <c r="H251" s="264">
        <v>2019</v>
      </c>
      <c r="I251" s="265"/>
      <c r="J251" s="278"/>
      <c r="K251" s="279"/>
      <c r="L251" s="279"/>
      <c r="M251" s="280"/>
      <c r="N251" s="280">
        <v>2585</v>
      </c>
      <c r="O251" s="279"/>
      <c r="P251" s="281" t="s">
        <v>1734</v>
      </c>
      <c r="Q251" s="264"/>
      <c r="R251" s="282"/>
      <c r="S251" s="281" t="s">
        <v>1733</v>
      </c>
      <c r="T251" s="281">
        <v>2.6</v>
      </c>
      <c r="U251" s="264">
        <v>0.1</v>
      </c>
      <c r="V251" s="282">
        <v>2.5</v>
      </c>
      <c r="W251" s="281">
        <v>0</v>
      </c>
      <c r="X251" s="281">
        <v>0</v>
      </c>
      <c r="Y251" s="264">
        <v>0</v>
      </c>
      <c r="Z251" s="282">
        <v>90</v>
      </c>
      <c r="AA251" s="281">
        <v>0</v>
      </c>
      <c r="AB251" s="281">
        <v>0</v>
      </c>
      <c r="AD251" s="284">
        <v>2.6</v>
      </c>
      <c r="AE251" s="284">
        <v>0.1</v>
      </c>
      <c r="AF251" s="284">
        <v>2.5</v>
      </c>
      <c r="AG251" s="284">
        <v>0</v>
      </c>
      <c r="AH251" s="284">
        <v>0</v>
      </c>
      <c r="AI251" s="284">
        <v>0</v>
      </c>
      <c r="AJ251" s="284">
        <v>0</v>
      </c>
      <c r="AL251" s="285">
        <v>1436130.8028358943</v>
      </c>
      <c r="AM251" s="286">
        <v>0</v>
      </c>
      <c r="AN251" s="287">
        <v>108785.46915092165</v>
      </c>
      <c r="AO251" s="288">
        <v>0</v>
      </c>
      <c r="AP251" s="289">
        <v>1544916.2719868158</v>
      </c>
      <c r="AQ251" s="266"/>
      <c r="AR251" s="285">
        <v>346888.0882352941</v>
      </c>
      <c r="AS251" s="286">
        <v>0</v>
      </c>
      <c r="AT251" s="286">
        <v>0</v>
      </c>
      <c r="AU251" s="290">
        <v>0</v>
      </c>
      <c r="AV251" s="289">
        <v>346888.0882352941</v>
      </c>
      <c r="AW251" s="291">
        <v>1198028.1837515216</v>
      </c>
    </row>
    <row r="252" spans="1:49" x14ac:dyDescent="0.25">
      <c r="A252" s="264">
        <v>3357963</v>
      </c>
      <c r="B252" s="264" t="str">
        <f>VLOOKUP(A252,'Výpočet VP 2020'!$A$4:$B$318,2,FALSE)</f>
        <v>Obce</v>
      </c>
      <c r="C252" s="264" t="s">
        <v>1259</v>
      </c>
      <c r="D252" s="264" t="s">
        <v>678</v>
      </c>
      <c r="E252" s="264" t="s">
        <v>1258</v>
      </c>
      <c r="F252" s="264">
        <v>3357963</v>
      </c>
      <c r="G252" s="264" t="s">
        <v>1061</v>
      </c>
      <c r="H252" s="264">
        <v>2019</v>
      </c>
      <c r="I252" s="265"/>
      <c r="J252" s="278"/>
      <c r="K252" s="279">
        <v>1066</v>
      </c>
      <c r="L252" s="279"/>
      <c r="M252" s="280"/>
      <c r="N252" s="280"/>
      <c r="O252" s="279"/>
      <c r="P252" s="281" t="s">
        <v>1177</v>
      </c>
      <c r="Q252" s="264"/>
      <c r="R252" s="282"/>
      <c r="S252" s="281" t="s">
        <v>1733</v>
      </c>
      <c r="T252" s="281">
        <v>1.9</v>
      </c>
      <c r="U252" s="264">
        <v>0.1</v>
      </c>
      <c r="V252" s="282">
        <v>1.1000000000000001</v>
      </c>
      <c r="W252" s="281">
        <v>0.7</v>
      </c>
      <c r="X252" s="281">
        <v>0</v>
      </c>
      <c r="Y252" s="264">
        <v>4</v>
      </c>
      <c r="Z252" s="282">
        <v>0</v>
      </c>
      <c r="AA252" s="281">
        <v>0</v>
      </c>
      <c r="AB252" s="281">
        <v>0</v>
      </c>
      <c r="AD252" s="284">
        <v>1.9</v>
      </c>
      <c r="AE252" s="284">
        <v>0.1</v>
      </c>
      <c r="AF252" s="284">
        <v>1.1000000000000001</v>
      </c>
      <c r="AG252" s="284">
        <v>0.7</v>
      </c>
      <c r="AH252" s="284">
        <v>0</v>
      </c>
      <c r="AI252" s="284">
        <v>4</v>
      </c>
      <c r="AJ252" s="284">
        <v>0</v>
      </c>
      <c r="AL252" s="285">
        <v>1072072.9015216108</v>
      </c>
      <c r="AM252" s="286">
        <v>0</v>
      </c>
      <c r="AN252" s="287">
        <v>219129.03235083932</v>
      </c>
      <c r="AO252" s="288">
        <v>120090.81928999982</v>
      </c>
      <c r="AP252" s="289">
        <v>1411292.7531624499</v>
      </c>
      <c r="AQ252" s="266"/>
      <c r="AR252" s="285">
        <v>229284.57829531204</v>
      </c>
      <c r="AS252" s="286">
        <v>0</v>
      </c>
      <c r="AT252" s="286">
        <v>153821.25</v>
      </c>
      <c r="AU252" s="290">
        <v>95581.8</v>
      </c>
      <c r="AV252" s="289">
        <v>478687.628295312</v>
      </c>
      <c r="AW252" s="291">
        <v>932605.12486713799</v>
      </c>
    </row>
    <row r="253" spans="1:49" x14ac:dyDescent="0.25">
      <c r="A253" s="264">
        <v>6749255</v>
      </c>
      <c r="B253" s="264" t="str">
        <f>VLOOKUP(A253,'Výpočet VP 2020'!$A$4:$B$318,2,FALSE)</f>
        <v>Obce</v>
      </c>
      <c r="C253" s="264" t="s">
        <v>1264</v>
      </c>
      <c r="D253" s="264" t="s">
        <v>531</v>
      </c>
      <c r="E253" s="264" t="s">
        <v>1263</v>
      </c>
      <c r="F253" s="264">
        <v>6749255</v>
      </c>
      <c r="G253" s="264" t="s">
        <v>1223</v>
      </c>
      <c r="H253" s="264">
        <v>2019</v>
      </c>
      <c r="I253" s="265"/>
      <c r="J253" s="278"/>
      <c r="K253" s="279">
        <v>973</v>
      </c>
      <c r="L253" s="279"/>
      <c r="M253" s="280"/>
      <c r="N253" s="280"/>
      <c r="O253" s="279"/>
      <c r="P253" s="281" t="s">
        <v>1265</v>
      </c>
      <c r="Q253" s="264"/>
      <c r="R253" s="282"/>
      <c r="S253" s="281" t="s">
        <v>1737</v>
      </c>
      <c r="T253" s="281">
        <v>6.5750000000000002</v>
      </c>
      <c r="U253" s="264">
        <v>0.375</v>
      </c>
      <c r="V253" s="282">
        <v>6.2</v>
      </c>
      <c r="W253" s="281">
        <v>0</v>
      </c>
      <c r="X253" s="281">
        <v>0</v>
      </c>
      <c r="Y253" s="264">
        <v>9</v>
      </c>
      <c r="Z253" s="282">
        <v>0</v>
      </c>
      <c r="AA253" s="281">
        <v>0</v>
      </c>
      <c r="AB253" s="281">
        <v>0</v>
      </c>
      <c r="AD253" s="284">
        <v>6.5750000000000002</v>
      </c>
      <c r="AE253" s="284">
        <v>0.375</v>
      </c>
      <c r="AF253" s="284">
        <v>6.2</v>
      </c>
      <c r="AG253" s="284">
        <v>0</v>
      </c>
      <c r="AH253" s="284">
        <v>0</v>
      </c>
      <c r="AI253" s="284">
        <v>9</v>
      </c>
      <c r="AJ253" s="284">
        <v>0</v>
      </c>
      <c r="AL253" s="285">
        <v>3709936.4881603112</v>
      </c>
      <c r="AM253" s="286">
        <v>0</v>
      </c>
      <c r="AN253" s="287">
        <v>493040.32278938848</v>
      </c>
      <c r="AO253" s="288">
        <v>270204.34340249962</v>
      </c>
      <c r="AP253" s="289">
        <v>4473181.1543521993</v>
      </c>
      <c r="AQ253" s="266"/>
      <c r="AR253" s="285">
        <v>789757.99190607481</v>
      </c>
      <c r="AS253" s="286">
        <v>0</v>
      </c>
      <c r="AT253" s="286">
        <v>346097.8125</v>
      </c>
      <c r="AU253" s="290">
        <v>215059.05000000002</v>
      </c>
      <c r="AV253" s="289">
        <v>1350914.8544060749</v>
      </c>
      <c r="AW253" s="291">
        <v>3122266.2999461247</v>
      </c>
    </row>
    <row r="254" spans="1:49" x14ac:dyDescent="0.25">
      <c r="A254" s="264">
        <v>4075651</v>
      </c>
      <c r="B254" s="264" t="str">
        <f>VLOOKUP(A254,'Výpočet VP 2020'!$A$4:$B$318,2,FALSE)</f>
        <v>Obce</v>
      </c>
      <c r="C254" s="264" t="s">
        <v>684</v>
      </c>
      <c r="D254" s="264" t="s">
        <v>682</v>
      </c>
      <c r="E254" s="264" t="s">
        <v>1260</v>
      </c>
      <c r="F254" s="264">
        <v>4075651</v>
      </c>
      <c r="G254" s="264" t="s">
        <v>1138</v>
      </c>
      <c r="H254" s="264">
        <v>2019</v>
      </c>
      <c r="I254" s="265"/>
      <c r="J254" s="278"/>
      <c r="K254" s="279">
        <v>1058</v>
      </c>
      <c r="L254" s="279"/>
      <c r="M254" s="280"/>
      <c r="N254" s="280"/>
      <c r="O254" s="279"/>
      <c r="P254" s="281" t="s">
        <v>1126</v>
      </c>
      <c r="Q254" s="264"/>
      <c r="R254" s="282"/>
      <c r="S254" s="281" t="s">
        <v>1733</v>
      </c>
      <c r="T254" s="281">
        <v>3.2</v>
      </c>
      <c r="U254" s="264">
        <v>0.35</v>
      </c>
      <c r="V254" s="282">
        <v>2</v>
      </c>
      <c r="W254" s="281">
        <v>0.85</v>
      </c>
      <c r="X254" s="281">
        <v>0</v>
      </c>
      <c r="Y254" s="264">
        <v>6</v>
      </c>
      <c r="Z254" s="282">
        <v>0</v>
      </c>
      <c r="AA254" s="281">
        <v>0</v>
      </c>
      <c r="AB254" s="281">
        <v>0</v>
      </c>
      <c r="AD254" s="284">
        <v>3.2</v>
      </c>
      <c r="AE254" s="284">
        <v>0.35</v>
      </c>
      <c r="AF254" s="284">
        <v>2</v>
      </c>
      <c r="AG254" s="284">
        <v>0.85</v>
      </c>
      <c r="AH254" s="284">
        <v>0</v>
      </c>
      <c r="AI254" s="284">
        <v>6</v>
      </c>
      <c r="AJ254" s="284">
        <v>0</v>
      </c>
      <c r="AL254" s="285">
        <v>1805596.4657206079</v>
      </c>
      <c r="AM254" s="286">
        <v>0</v>
      </c>
      <c r="AN254" s="287">
        <v>328693.54852625896</v>
      </c>
      <c r="AO254" s="288">
        <v>180136.22893499973</v>
      </c>
      <c r="AP254" s="289">
        <v>2314426.2431818666</v>
      </c>
      <c r="AQ254" s="266"/>
      <c r="AR254" s="285">
        <v>363033.91563424404</v>
      </c>
      <c r="AS254" s="286">
        <v>0</v>
      </c>
      <c r="AT254" s="286">
        <v>230731.875</v>
      </c>
      <c r="AU254" s="290">
        <v>143372.70000000001</v>
      </c>
      <c r="AV254" s="289">
        <v>737138.49063424394</v>
      </c>
      <c r="AW254" s="291">
        <v>1577287.7525476227</v>
      </c>
    </row>
    <row r="255" spans="1:49" x14ac:dyDescent="0.25">
      <c r="A255" s="264">
        <v>6907978</v>
      </c>
      <c r="B255" s="264" t="str">
        <f>VLOOKUP(A255,'Výpočet VP 2020'!$A$4:$B$318,2,FALSE)</f>
        <v>Obce</v>
      </c>
      <c r="C255" s="264" t="s">
        <v>1267</v>
      </c>
      <c r="D255" s="264" t="s">
        <v>1268</v>
      </c>
      <c r="E255" s="264" t="s">
        <v>1266</v>
      </c>
      <c r="F255" s="264">
        <v>6907978</v>
      </c>
      <c r="G255" s="264" t="s">
        <v>1073</v>
      </c>
      <c r="H255" s="264">
        <v>2019</v>
      </c>
      <c r="I255" s="265"/>
      <c r="J255" s="278"/>
      <c r="K255" s="279"/>
      <c r="L255" s="279"/>
      <c r="M255" s="280"/>
      <c r="N255" s="280"/>
      <c r="O255" s="279">
        <v>3610</v>
      </c>
      <c r="P255" s="281" t="s">
        <v>1262</v>
      </c>
      <c r="Q255" s="264"/>
      <c r="R255" s="282"/>
      <c r="S255" s="281" t="s">
        <v>1733</v>
      </c>
      <c r="T255" s="281">
        <v>2.1</v>
      </c>
      <c r="U255" s="264">
        <v>0.1</v>
      </c>
      <c r="V255" s="282">
        <v>2</v>
      </c>
      <c r="W255" s="281">
        <v>0</v>
      </c>
      <c r="X255" s="281">
        <v>0</v>
      </c>
      <c r="Y255" s="264">
        <v>1</v>
      </c>
      <c r="Z255" s="282">
        <v>0</v>
      </c>
      <c r="AA255" s="281">
        <v>0</v>
      </c>
      <c r="AB255" s="281">
        <v>0</v>
      </c>
      <c r="AC255" s="292"/>
      <c r="AD255" s="298">
        <v>2.1</v>
      </c>
      <c r="AE255" s="298">
        <v>0.1</v>
      </c>
      <c r="AF255" s="298">
        <v>2</v>
      </c>
      <c r="AG255" s="298">
        <v>0</v>
      </c>
      <c r="AH255" s="298">
        <v>0</v>
      </c>
      <c r="AI255" s="298">
        <v>1</v>
      </c>
      <c r="AJ255" s="298">
        <v>0</v>
      </c>
      <c r="AK255" s="292"/>
      <c r="AL255" s="285">
        <v>1184922.6806291488</v>
      </c>
      <c r="AM255" s="302">
        <v>0</v>
      </c>
      <c r="AN255" s="302">
        <v>54782.25808770983</v>
      </c>
      <c r="AO255" s="303">
        <v>30022.704822499956</v>
      </c>
      <c r="AP255" s="303">
        <v>1269727.6435393586</v>
      </c>
      <c r="AQ255" s="304"/>
      <c r="AR255" s="285">
        <v>254760.6425503467</v>
      </c>
      <c r="AS255" s="286">
        <v>0</v>
      </c>
      <c r="AT255" s="286">
        <v>38455.3125</v>
      </c>
      <c r="AU255" s="290">
        <v>23895.45</v>
      </c>
      <c r="AV255" s="289">
        <v>317111.40505034669</v>
      </c>
      <c r="AW255" s="291">
        <v>952616.238489012</v>
      </c>
    </row>
    <row r="256" spans="1:49" x14ac:dyDescent="0.25">
      <c r="A256" s="264">
        <v>2015983</v>
      </c>
      <c r="B256" s="264" t="str">
        <f>VLOOKUP(A256,'Výpočet VP 2020'!$A$4:$B$318,2,FALSE)</f>
        <v>Obce</v>
      </c>
      <c r="C256" s="264" t="s">
        <v>977</v>
      </c>
      <c r="D256" s="264" t="s">
        <v>977</v>
      </c>
      <c r="E256" s="264" t="s">
        <v>1272</v>
      </c>
      <c r="F256" s="264">
        <v>2015983</v>
      </c>
      <c r="G256" s="264" t="s">
        <v>1199</v>
      </c>
      <c r="H256" s="264">
        <v>2019</v>
      </c>
      <c r="I256" s="265"/>
      <c r="J256" s="278"/>
      <c r="K256" s="279"/>
      <c r="L256" s="279"/>
      <c r="M256" s="280"/>
      <c r="N256" s="280">
        <v>2038</v>
      </c>
      <c r="O256" s="279"/>
      <c r="P256" s="281" t="s">
        <v>1265</v>
      </c>
      <c r="Q256" s="264"/>
      <c r="R256" s="282"/>
      <c r="S256" s="281" t="s">
        <v>1733</v>
      </c>
      <c r="T256" s="281">
        <v>2</v>
      </c>
      <c r="U256" s="264">
        <v>0</v>
      </c>
      <c r="V256" s="282">
        <v>2</v>
      </c>
      <c r="W256" s="281">
        <v>0</v>
      </c>
      <c r="X256" s="281">
        <v>0</v>
      </c>
      <c r="Y256" s="264">
        <v>0</v>
      </c>
      <c r="Z256" s="282">
        <v>0</v>
      </c>
      <c r="AA256" s="281">
        <v>12</v>
      </c>
      <c r="AB256" s="281">
        <v>0</v>
      </c>
      <c r="AD256" s="284">
        <v>2</v>
      </c>
      <c r="AE256" s="284">
        <v>0</v>
      </c>
      <c r="AF256" s="284">
        <v>2</v>
      </c>
      <c r="AG256" s="284">
        <v>0</v>
      </c>
      <c r="AH256" s="284">
        <v>0</v>
      </c>
      <c r="AI256" s="284">
        <v>0</v>
      </c>
      <c r="AJ256" s="284">
        <v>12</v>
      </c>
      <c r="AL256" s="285">
        <v>1142479.2551624263</v>
      </c>
      <c r="AM256" s="286">
        <v>0</v>
      </c>
      <c r="AN256" s="287">
        <v>223246.04467183742</v>
      </c>
      <c r="AO256" s="288">
        <v>6333.9967788128779</v>
      </c>
      <c r="AP256" s="289">
        <v>1372059.2966130767</v>
      </c>
      <c r="AQ256" s="266"/>
      <c r="AR256" s="285">
        <v>227202</v>
      </c>
      <c r="AS256" s="286">
        <v>0</v>
      </c>
      <c r="AT256" s="286">
        <v>0</v>
      </c>
      <c r="AU256" s="290">
        <v>0</v>
      </c>
      <c r="AV256" s="289">
        <v>227202</v>
      </c>
      <c r="AW256" s="291">
        <v>1144857.2966130767</v>
      </c>
    </row>
    <row r="257" spans="1:49" x14ac:dyDescent="0.25">
      <c r="A257" s="264">
        <v>4531517</v>
      </c>
      <c r="B257" s="264" t="str">
        <f>VLOOKUP(A257,'Výpočet VP 2020'!$A$4:$B$318,2,FALSE)</f>
        <v>Obce</v>
      </c>
      <c r="C257" s="264" t="s">
        <v>623</v>
      </c>
      <c r="D257" s="264" t="s">
        <v>618</v>
      </c>
      <c r="E257" s="264" t="s">
        <v>1276</v>
      </c>
      <c r="F257" s="264">
        <v>4531517</v>
      </c>
      <c r="G257" s="264" t="s">
        <v>1151</v>
      </c>
      <c r="H257" s="264">
        <v>2019</v>
      </c>
      <c r="I257" s="265"/>
      <c r="J257" s="278"/>
      <c r="K257" s="279"/>
      <c r="L257" s="279"/>
      <c r="M257" s="280"/>
      <c r="N257" s="280">
        <v>2372</v>
      </c>
      <c r="O257" s="279"/>
      <c r="P257" s="281" t="s">
        <v>1277</v>
      </c>
      <c r="Q257" s="264"/>
      <c r="R257" s="282"/>
      <c r="S257" s="281" t="s">
        <v>1733</v>
      </c>
      <c r="T257" s="281">
        <v>1.3</v>
      </c>
      <c r="U257" s="264">
        <v>0.3</v>
      </c>
      <c r="V257" s="282">
        <v>1</v>
      </c>
      <c r="W257" s="281">
        <v>0</v>
      </c>
      <c r="X257" s="281">
        <v>0</v>
      </c>
      <c r="Y257" s="264">
        <v>0</v>
      </c>
      <c r="Z257" s="282">
        <v>0</v>
      </c>
      <c r="AA257" s="281">
        <v>9</v>
      </c>
      <c r="AB257" s="281">
        <v>0</v>
      </c>
      <c r="AD257" s="284">
        <v>1.3</v>
      </c>
      <c r="AE257" s="284">
        <v>0.3</v>
      </c>
      <c r="AF257" s="284">
        <v>1</v>
      </c>
      <c r="AG257" s="284">
        <v>0</v>
      </c>
      <c r="AH257" s="284">
        <v>0</v>
      </c>
      <c r="AI257" s="284">
        <v>0</v>
      </c>
      <c r="AJ257" s="284">
        <v>9</v>
      </c>
      <c r="AL257" s="285">
        <v>742611.51585557708</v>
      </c>
      <c r="AM257" s="286">
        <v>0</v>
      </c>
      <c r="AN257" s="287">
        <v>167434.53350387808</v>
      </c>
      <c r="AO257" s="288">
        <v>4750.4975841096584</v>
      </c>
      <c r="AP257" s="289">
        <v>914796.54694356478</v>
      </c>
      <c r="AQ257" s="266"/>
      <c r="AR257" s="285">
        <v>113601</v>
      </c>
      <c r="AS257" s="286">
        <v>0</v>
      </c>
      <c r="AT257" s="286">
        <v>0</v>
      </c>
      <c r="AU257" s="290">
        <v>0</v>
      </c>
      <c r="AV257" s="289">
        <v>113601</v>
      </c>
      <c r="AW257" s="291">
        <v>801195.54694356478</v>
      </c>
    </row>
    <row r="258" spans="1:49" x14ac:dyDescent="0.25">
      <c r="A258" s="264">
        <v>4547815</v>
      </c>
      <c r="B258" s="264" t="str">
        <f>VLOOKUP(A258,'Výpočet VP 2020'!$A$4:$B$318,2,FALSE)</f>
        <v>Obce</v>
      </c>
      <c r="C258" s="264" t="s">
        <v>1279</v>
      </c>
      <c r="D258" s="264" t="s">
        <v>531</v>
      </c>
      <c r="E258" s="264" t="s">
        <v>1278</v>
      </c>
      <c r="F258" s="264">
        <v>4547815</v>
      </c>
      <c r="G258" s="264" t="s">
        <v>1223</v>
      </c>
      <c r="H258" s="264">
        <v>2019</v>
      </c>
      <c r="I258" s="265"/>
      <c r="J258" s="278"/>
      <c r="K258" s="279"/>
      <c r="L258" s="279"/>
      <c r="M258" s="280"/>
      <c r="N258" s="280">
        <v>2062</v>
      </c>
      <c r="O258" s="279"/>
      <c r="P258" s="281" t="s">
        <v>1126</v>
      </c>
      <c r="Q258" s="264"/>
      <c r="R258" s="282"/>
      <c r="S258" s="281" t="s">
        <v>1733</v>
      </c>
      <c r="T258" s="281">
        <v>2.0499999999999998</v>
      </c>
      <c r="U258" s="264">
        <v>0.35</v>
      </c>
      <c r="V258" s="282">
        <v>1.7</v>
      </c>
      <c r="W258" s="281">
        <v>0</v>
      </c>
      <c r="X258" s="281">
        <v>0</v>
      </c>
      <c r="Y258" s="264">
        <v>0</v>
      </c>
      <c r="Z258" s="282">
        <v>0</v>
      </c>
      <c r="AA258" s="281">
        <v>14</v>
      </c>
      <c r="AB258" s="281">
        <v>0</v>
      </c>
      <c r="AD258" s="284">
        <v>2.0499999999999998</v>
      </c>
      <c r="AE258" s="284">
        <v>0.35</v>
      </c>
      <c r="AF258" s="284">
        <v>1.7</v>
      </c>
      <c r="AG258" s="284">
        <v>0</v>
      </c>
      <c r="AH258" s="284">
        <v>0</v>
      </c>
      <c r="AI258" s="284">
        <v>0</v>
      </c>
      <c r="AJ258" s="284">
        <v>14</v>
      </c>
      <c r="AL258" s="285">
        <v>1171041.2365414868</v>
      </c>
      <c r="AM258" s="286">
        <v>0</v>
      </c>
      <c r="AN258" s="287">
        <v>260453.71878381033</v>
      </c>
      <c r="AO258" s="288">
        <v>7389.6629086150242</v>
      </c>
      <c r="AP258" s="289">
        <v>1438884.6182339122</v>
      </c>
      <c r="AQ258" s="266"/>
      <c r="AR258" s="285">
        <v>193121.69999999998</v>
      </c>
      <c r="AS258" s="286">
        <v>0</v>
      </c>
      <c r="AT258" s="286">
        <v>0</v>
      </c>
      <c r="AU258" s="290">
        <v>0</v>
      </c>
      <c r="AV258" s="289">
        <v>193121.69999999998</v>
      </c>
      <c r="AW258" s="291">
        <v>1245762.9182339122</v>
      </c>
    </row>
    <row r="259" spans="1:49" x14ac:dyDescent="0.25">
      <c r="A259" s="264">
        <v>2506443</v>
      </c>
      <c r="B259" s="264" t="str">
        <f>VLOOKUP(A259,'Výpočet VP 2020'!$A$4:$B$318,2,FALSE)</f>
        <v>Obce</v>
      </c>
      <c r="C259" s="264" t="s">
        <v>287</v>
      </c>
      <c r="D259" s="264" t="s">
        <v>682</v>
      </c>
      <c r="E259" s="264" t="s">
        <v>1274</v>
      </c>
      <c r="F259" s="264">
        <v>2506443</v>
      </c>
      <c r="G259" s="264" t="s">
        <v>1138</v>
      </c>
      <c r="H259" s="264">
        <v>2019</v>
      </c>
      <c r="I259" s="265"/>
      <c r="J259" s="278"/>
      <c r="K259" s="279"/>
      <c r="L259" s="279"/>
      <c r="M259" s="280"/>
      <c r="N259" s="280">
        <v>2259</v>
      </c>
      <c r="O259" s="279"/>
      <c r="P259" s="281" t="s">
        <v>1126</v>
      </c>
      <c r="Q259" s="264"/>
      <c r="R259" s="282"/>
      <c r="S259" s="281" t="s">
        <v>1733</v>
      </c>
      <c r="T259" s="281">
        <v>2.41</v>
      </c>
      <c r="U259" s="264">
        <v>0.35</v>
      </c>
      <c r="V259" s="282">
        <v>2</v>
      </c>
      <c r="W259" s="281">
        <v>0.06</v>
      </c>
      <c r="X259" s="281">
        <v>0</v>
      </c>
      <c r="Y259" s="264">
        <v>0</v>
      </c>
      <c r="Z259" s="282">
        <v>0</v>
      </c>
      <c r="AA259" s="281">
        <v>15</v>
      </c>
      <c r="AB259" s="281">
        <v>0</v>
      </c>
      <c r="AD259" s="284">
        <v>2.41</v>
      </c>
      <c r="AE259" s="284">
        <v>0.35</v>
      </c>
      <c r="AF259" s="284">
        <v>2</v>
      </c>
      <c r="AG259" s="284">
        <v>0.06</v>
      </c>
      <c r="AH259" s="284">
        <v>0</v>
      </c>
      <c r="AI259" s="284">
        <v>0</v>
      </c>
      <c r="AJ259" s="284">
        <v>15</v>
      </c>
      <c r="AL259" s="285">
        <v>1376687.5024707238</v>
      </c>
      <c r="AM259" s="286">
        <v>0</v>
      </c>
      <c r="AN259" s="287">
        <v>279057.55583979678</v>
      </c>
      <c r="AO259" s="288">
        <v>7917.4959735160974</v>
      </c>
      <c r="AP259" s="289">
        <v>1663662.5542840366</v>
      </c>
      <c r="AQ259" s="266"/>
      <c r="AR259" s="285">
        <v>234018.06</v>
      </c>
      <c r="AS259" s="286">
        <v>0</v>
      </c>
      <c r="AT259" s="286">
        <v>0</v>
      </c>
      <c r="AU259" s="290">
        <v>0</v>
      </c>
      <c r="AV259" s="289">
        <v>234018.06</v>
      </c>
      <c r="AW259" s="291">
        <v>1429644.4942840366</v>
      </c>
    </row>
    <row r="260" spans="1:49" x14ac:dyDescent="0.25">
      <c r="A260" s="264">
        <v>2813433</v>
      </c>
      <c r="B260" s="264" t="str">
        <f>VLOOKUP(A260,'Výpočet VP 2020'!$A$4:$B$318,2,FALSE)</f>
        <v>Obce</v>
      </c>
      <c r="C260" s="264" t="s">
        <v>668</v>
      </c>
      <c r="D260" s="264" t="s">
        <v>666</v>
      </c>
      <c r="E260" s="264" t="s">
        <v>1275</v>
      </c>
      <c r="F260" s="264">
        <v>2813433</v>
      </c>
      <c r="G260" s="264" t="s">
        <v>1073</v>
      </c>
      <c r="H260" s="264">
        <v>2019</v>
      </c>
      <c r="I260" s="265"/>
      <c r="J260" s="278"/>
      <c r="K260" s="279">
        <v>1210</v>
      </c>
      <c r="L260" s="279"/>
      <c r="M260" s="280"/>
      <c r="N260" s="280"/>
      <c r="O260" s="279"/>
      <c r="P260" s="281" t="s">
        <v>1262</v>
      </c>
      <c r="Q260" s="264"/>
      <c r="R260" s="282"/>
      <c r="S260" s="281" t="s">
        <v>1733</v>
      </c>
      <c r="T260" s="281">
        <v>2.7</v>
      </c>
      <c r="U260" s="264">
        <v>1</v>
      </c>
      <c r="V260" s="282">
        <v>1.7</v>
      </c>
      <c r="W260" s="281">
        <v>0</v>
      </c>
      <c r="X260" s="281">
        <v>0</v>
      </c>
      <c r="Y260" s="264">
        <v>0</v>
      </c>
      <c r="Z260" s="282">
        <v>0</v>
      </c>
      <c r="AA260" s="281">
        <v>10</v>
      </c>
      <c r="AB260" s="281">
        <v>0</v>
      </c>
      <c r="AD260" s="284">
        <v>2.7</v>
      </c>
      <c r="AE260" s="284">
        <v>1</v>
      </c>
      <c r="AF260" s="284">
        <v>1.7</v>
      </c>
      <c r="AG260" s="284">
        <v>0</v>
      </c>
      <c r="AH260" s="284">
        <v>0</v>
      </c>
      <c r="AI260" s="284">
        <v>0</v>
      </c>
      <c r="AJ260" s="284">
        <v>10</v>
      </c>
      <c r="AL260" s="285">
        <v>1542346.9944692755</v>
      </c>
      <c r="AM260" s="286">
        <v>0</v>
      </c>
      <c r="AN260" s="287">
        <v>186038.37055986453</v>
      </c>
      <c r="AO260" s="288">
        <v>5278.3306490107316</v>
      </c>
      <c r="AP260" s="289">
        <v>1733663.6956781507</v>
      </c>
      <c r="AQ260" s="266"/>
      <c r="AR260" s="285">
        <v>193121.69999999998</v>
      </c>
      <c r="AS260" s="286">
        <v>0</v>
      </c>
      <c r="AT260" s="286">
        <v>0</v>
      </c>
      <c r="AU260" s="290">
        <v>0</v>
      </c>
      <c r="AV260" s="289">
        <v>193121.69999999998</v>
      </c>
      <c r="AW260" s="291">
        <v>1540541.9956781508</v>
      </c>
    </row>
    <row r="261" spans="1:49" x14ac:dyDescent="0.25">
      <c r="A261" s="264">
        <v>9459250</v>
      </c>
      <c r="B261" s="264" t="str">
        <f>VLOOKUP(A261,'Výpočet VP 2020'!$A$4:$B$318,2,FALSE)</f>
        <v>Obce</v>
      </c>
      <c r="C261" s="264" t="s">
        <v>1304</v>
      </c>
      <c r="D261" s="264" t="s">
        <v>947</v>
      </c>
      <c r="E261" s="264" t="s">
        <v>1303</v>
      </c>
      <c r="F261" s="264">
        <v>9459250</v>
      </c>
      <c r="G261" s="264" t="s">
        <v>1068</v>
      </c>
      <c r="H261" s="264">
        <v>2019</v>
      </c>
      <c r="I261" s="265"/>
      <c r="J261" s="278"/>
      <c r="K261" s="279"/>
      <c r="L261" s="279"/>
      <c r="M261" s="280"/>
      <c r="N261" s="280">
        <v>2178</v>
      </c>
      <c r="O261" s="279"/>
      <c r="P261" s="281" t="s">
        <v>1126</v>
      </c>
      <c r="Q261" s="264"/>
      <c r="R261" s="282"/>
      <c r="S261" s="281" t="s">
        <v>1733</v>
      </c>
      <c r="T261" s="281">
        <v>4.22</v>
      </c>
      <c r="U261" s="264">
        <v>0.11</v>
      </c>
      <c r="V261" s="282">
        <v>4.1100000000000003</v>
      </c>
      <c r="W261" s="281">
        <v>0</v>
      </c>
      <c r="X261" s="281">
        <v>0</v>
      </c>
      <c r="Y261" s="264">
        <v>0</v>
      </c>
      <c r="Z261" s="282">
        <v>0</v>
      </c>
      <c r="AA261" s="281">
        <v>20</v>
      </c>
      <c r="AB261" s="281">
        <v>0</v>
      </c>
      <c r="AD261" s="284">
        <v>4.22</v>
      </c>
      <c r="AE261" s="284">
        <v>0.11</v>
      </c>
      <c r="AF261" s="284">
        <v>4.1100000000000003</v>
      </c>
      <c r="AG261" s="284">
        <v>0</v>
      </c>
      <c r="AH261" s="284">
        <v>0</v>
      </c>
      <c r="AI261" s="284">
        <v>0</v>
      </c>
      <c r="AJ261" s="284">
        <v>20</v>
      </c>
      <c r="AL261" s="285">
        <v>3008040.9937591185</v>
      </c>
      <c r="AM261" s="286">
        <v>0</v>
      </c>
      <c r="AN261" s="287">
        <v>541901.47126235021</v>
      </c>
      <c r="AO261" s="288">
        <v>105961.13778488402</v>
      </c>
      <c r="AP261" s="289">
        <v>3655903.6028063525</v>
      </c>
      <c r="AQ261" s="266"/>
      <c r="AR261" s="285">
        <v>554412.13725490193</v>
      </c>
      <c r="AS261" s="286">
        <v>0</v>
      </c>
      <c r="AT261" s="286">
        <v>0</v>
      </c>
      <c r="AU261" s="290">
        <v>109046.15384615384</v>
      </c>
      <c r="AV261" s="289">
        <v>663458.2911010558</v>
      </c>
      <c r="AW261" s="291">
        <v>2992445.3117052969</v>
      </c>
    </row>
    <row r="262" spans="1:49" x14ac:dyDescent="0.25">
      <c r="A262" s="264">
        <v>5599785</v>
      </c>
      <c r="B262" s="264" t="str">
        <f>VLOOKUP(A262,'Výpočet VP 2020'!$A$4:$B$318,2,FALSE)</f>
        <v>Obce</v>
      </c>
      <c r="C262" s="264" t="s">
        <v>1293</v>
      </c>
      <c r="D262" s="264" t="s">
        <v>1213</v>
      </c>
      <c r="E262" s="264" t="s">
        <v>1284</v>
      </c>
      <c r="F262" s="264">
        <v>5599785</v>
      </c>
      <c r="G262" s="264" t="s">
        <v>1063</v>
      </c>
      <c r="H262" s="264">
        <v>2019</v>
      </c>
      <c r="I262" s="265"/>
      <c r="J262" s="278"/>
      <c r="K262" s="279"/>
      <c r="L262" s="279"/>
      <c r="M262" s="280"/>
      <c r="N262" s="280">
        <v>2402</v>
      </c>
      <c r="O262" s="279"/>
      <c r="P262" s="281" t="s">
        <v>1126</v>
      </c>
      <c r="Q262" s="264"/>
      <c r="R262" s="282"/>
      <c r="S262" s="281" t="s">
        <v>1733</v>
      </c>
      <c r="T262" s="281">
        <v>2.61</v>
      </c>
      <c r="U262" s="264">
        <v>0.11</v>
      </c>
      <c r="V262" s="282">
        <v>2.5</v>
      </c>
      <c r="W262" s="281">
        <v>0</v>
      </c>
      <c r="X262" s="281">
        <v>0</v>
      </c>
      <c r="Y262" s="264">
        <v>0</v>
      </c>
      <c r="Z262" s="282">
        <v>0</v>
      </c>
      <c r="AA262" s="281">
        <v>20</v>
      </c>
      <c r="AB262" s="281">
        <v>0</v>
      </c>
      <c r="AD262" s="284">
        <v>2.61</v>
      </c>
      <c r="AE262" s="284">
        <v>0.11</v>
      </c>
      <c r="AF262" s="284">
        <v>2.5</v>
      </c>
      <c r="AG262" s="284">
        <v>0</v>
      </c>
      <c r="AH262" s="284">
        <v>0</v>
      </c>
      <c r="AI262" s="284">
        <v>0</v>
      </c>
      <c r="AJ262" s="284">
        <v>20</v>
      </c>
      <c r="AL262" s="285">
        <v>1860423.4582254263</v>
      </c>
      <c r="AM262" s="286">
        <v>0</v>
      </c>
      <c r="AN262" s="287">
        <v>541901.47126235021</v>
      </c>
      <c r="AO262" s="288">
        <v>105961.13778488402</v>
      </c>
      <c r="AP262" s="289">
        <v>2508286.0672726603</v>
      </c>
      <c r="AQ262" s="266"/>
      <c r="AR262" s="285">
        <v>337233.66013071896</v>
      </c>
      <c r="AS262" s="286">
        <v>0</v>
      </c>
      <c r="AT262" s="286">
        <v>0</v>
      </c>
      <c r="AU262" s="290">
        <v>109046.15384615384</v>
      </c>
      <c r="AV262" s="289">
        <v>446279.81397687283</v>
      </c>
      <c r="AW262" s="291">
        <v>2062006.2532957876</v>
      </c>
    </row>
    <row r="263" spans="1:49" x14ac:dyDescent="0.25">
      <c r="A263" s="264">
        <v>5173305</v>
      </c>
      <c r="B263" s="264" t="str">
        <f>VLOOKUP(A263,'Výpočet VP 2020'!$A$4:$B$318,2,FALSE)</f>
        <v>Obce</v>
      </c>
      <c r="C263" s="264" t="s">
        <v>974</v>
      </c>
      <c r="D263" s="264" t="s">
        <v>974</v>
      </c>
      <c r="E263" s="264" t="s">
        <v>1290</v>
      </c>
      <c r="F263" s="264">
        <v>5173305</v>
      </c>
      <c r="G263" s="264" t="s">
        <v>1073</v>
      </c>
      <c r="H263" s="264">
        <v>2019</v>
      </c>
      <c r="I263" s="265"/>
      <c r="J263" s="278"/>
      <c r="K263" s="279">
        <v>1210</v>
      </c>
      <c r="L263" s="279"/>
      <c r="M263" s="280"/>
      <c r="N263" s="280"/>
      <c r="O263" s="279"/>
      <c r="P263" s="281" t="s">
        <v>1291</v>
      </c>
      <c r="Q263" s="264"/>
      <c r="R263" s="282"/>
      <c r="S263" s="281" t="s">
        <v>1733</v>
      </c>
      <c r="T263" s="281">
        <v>13.5</v>
      </c>
      <c r="U263" s="264">
        <v>1.75</v>
      </c>
      <c r="V263" s="282">
        <v>10</v>
      </c>
      <c r="W263" s="281">
        <v>0.5</v>
      </c>
      <c r="X263" s="281">
        <v>1.25</v>
      </c>
      <c r="Y263" s="264">
        <v>0</v>
      </c>
      <c r="Z263" s="282">
        <v>0</v>
      </c>
      <c r="AA263" s="281">
        <v>65</v>
      </c>
      <c r="AB263" s="281">
        <v>0</v>
      </c>
      <c r="AD263" s="284">
        <v>13.5</v>
      </c>
      <c r="AE263" s="284">
        <v>1.75</v>
      </c>
      <c r="AF263" s="284">
        <v>10</v>
      </c>
      <c r="AG263" s="284">
        <v>0.5</v>
      </c>
      <c r="AH263" s="284">
        <v>1.25</v>
      </c>
      <c r="AI263" s="284">
        <v>0</v>
      </c>
      <c r="AJ263" s="284">
        <v>65</v>
      </c>
      <c r="AL263" s="285">
        <v>9622879.9563384131</v>
      </c>
      <c r="AM263" s="286">
        <v>0</v>
      </c>
      <c r="AN263" s="287">
        <v>1761179.7816026383</v>
      </c>
      <c r="AO263" s="288">
        <v>344373.69780087302</v>
      </c>
      <c r="AP263" s="289">
        <v>11728433.435741924</v>
      </c>
      <c r="AQ263" s="266"/>
      <c r="AR263" s="285">
        <v>1584998.2026143789</v>
      </c>
      <c r="AS263" s="286">
        <v>0</v>
      </c>
      <c r="AT263" s="286">
        <v>0</v>
      </c>
      <c r="AU263" s="290">
        <v>354400</v>
      </c>
      <c r="AV263" s="289">
        <v>1939398.2026143789</v>
      </c>
      <c r="AW263" s="291">
        <v>9789035.2331275456</v>
      </c>
    </row>
    <row r="264" spans="1:49" x14ac:dyDescent="0.25">
      <c r="A264" s="264">
        <v>5312119</v>
      </c>
      <c r="B264" s="264" t="str">
        <f>VLOOKUP(A264,'Výpočet VP 2020'!$A$4:$B$318,2,FALSE)</f>
        <v>Obce</v>
      </c>
      <c r="C264" s="264" t="s">
        <v>1309</v>
      </c>
      <c r="D264" s="264" t="s">
        <v>1268</v>
      </c>
      <c r="E264" s="264" t="s">
        <v>1308</v>
      </c>
      <c r="F264" s="264">
        <v>5312119</v>
      </c>
      <c r="G264" s="264" t="s">
        <v>1073</v>
      </c>
      <c r="H264" s="264">
        <v>2019</v>
      </c>
      <c r="I264" s="265"/>
      <c r="J264" s="278"/>
      <c r="K264" s="279"/>
      <c r="L264" s="279"/>
      <c r="M264" s="280"/>
      <c r="N264" s="280"/>
      <c r="O264" s="279">
        <v>3610</v>
      </c>
      <c r="P264" s="281" t="s">
        <v>1262</v>
      </c>
      <c r="Q264" s="264"/>
      <c r="R264" s="282"/>
      <c r="S264" s="281" t="s">
        <v>1733</v>
      </c>
      <c r="T264" s="281">
        <v>2.9</v>
      </c>
      <c r="U264" s="264">
        <v>0.2</v>
      </c>
      <c r="V264" s="282">
        <v>1.2</v>
      </c>
      <c r="W264" s="281">
        <v>1.5</v>
      </c>
      <c r="X264" s="281">
        <v>0</v>
      </c>
      <c r="Y264" s="264">
        <v>5</v>
      </c>
      <c r="Z264" s="282">
        <v>0</v>
      </c>
      <c r="AA264" s="281">
        <v>0</v>
      </c>
      <c r="AB264" s="281">
        <v>0</v>
      </c>
      <c r="AD264" s="284">
        <v>2.9</v>
      </c>
      <c r="AE264" s="284">
        <v>0.2</v>
      </c>
      <c r="AF264" s="284">
        <v>1.2</v>
      </c>
      <c r="AG264" s="284">
        <v>1.5</v>
      </c>
      <c r="AH264" s="284">
        <v>0</v>
      </c>
      <c r="AI264" s="284">
        <v>5</v>
      </c>
      <c r="AJ264" s="284">
        <v>0</v>
      </c>
      <c r="AL264" s="285">
        <v>1674623.3534945361</v>
      </c>
      <c r="AM264" s="286">
        <v>1076958.9487339619</v>
      </c>
      <c r="AN264" s="287">
        <v>405364.67192535126</v>
      </c>
      <c r="AO264" s="288">
        <v>172183.2824365712</v>
      </c>
      <c r="AP264" s="289">
        <v>3329130.2565904204</v>
      </c>
      <c r="AQ264" s="266"/>
      <c r="AR264" s="285">
        <v>327214.44444444444</v>
      </c>
      <c r="AS264" s="286">
        <v>0</v>
      </c>
      <c r="AT264" s="286">
        <v>153900</v>
      </c>
      <c r="AU264" s="290">
        <v>129588.88888888889</v>
      </c>
      <c r="AV264" s="289">
        <v>610703.33333333337</v>
      </c>
      <c r="AW264" s="291">
        <v>2718426.9232570869</v>
      </c>
    </row>
    <row r="265" spans="1:49" x14ac:dyDescent="0.25">
      <c r="A265" s="264">
        <v>7916274</v>
      </c>
      <c r="B265" s="264" t="str">
        <f>VLOOKUP(A265,'Výpočet VP 2020'!$A$4:$B$318,2,FALSE)</f>
        <v>Obce</v>
      </c>
      <c r="C265" s="264" t="s">
        <v>390</v>
      </c>
      <c r="D265" s="264" t="s">
        <v>332</v>
      </c>
      <c r="E265" s="264" t="s">
        <v>1333</v>
      </c>
      <c r="F265" s="264">
        <v>7916274</v>
      </c>
      <c r="G265" s="264" t="s">
        <v>1192</v>
      </c>
      <c r="H265" s="264">
        <v>2019</v>
      </c>
      <c r="I265" s="265"/>
      <c r="J265" s="278"/>
      <c r="K265" s="279">
        <v>1031</v>
      </c>
      <c r="L265" s="279"/>
      <c r="M265" s="280"/>
      <c r="N265" s="280"/>
      <c r="O265" s="279"/>
      <c r="P265" s="281" t="s">
        <v>1177</v>
      </c>
      <c r="Q265" s="264"/>
      <c r="R265" s="282"/>
      <c r="S265" s="281" t="s">
        <v>1733</v>
      </c>
      <c r="T265" s="281">
        <v>21</v>
      </c>
      <c r="U265" s="264">
        <v>1</v>
      </c>
      <c r="V265" s="282">
        <v>14</v>
      </c>
      <c r="W265" s="281">
        <v>6</v>
      </c>
      <c r="X265" s="281">
        <v>0</v>
      </c>
      <c r="Y265" s="264">
        <v>42</v>
      </c>
      <c r="Z265" s="282">
        <v>0</v>
      </c>
      <c r="AA265" s="281">
        <v>0</v>
      </c>
      <c r="AB265" s="281">
        <v>0</v>
      </c>
      <c r="AD265" s="284">
        <v>21</v>
      </c>
      <c r="AE265" s="284">
        <v>1</v>
      </c>
      <c r="AF265" s="284">
        <v>14</v>
      </c>
      <c r="AG265" s="284">
        <v>6</v>
      </c>
      <c r="AH265" s="284">
        <v>0</v>
      </c>
      <c r="AI265" s="284">
        <v>42</v>
      </c>
      <c r="AJ265" s="284">
        <v>0</v>
      </c>
      <c r="AL265" s="285">
        <v>9780068.8431907706</v>
      </c>
      <c r="AM265" s="286">
        <v>4864240.161217453</v>
      </c>
      <c r="AN265" s="287">
        <v>4119176.1769619267</v>
      </c>
      <c r="AO265" s="288">
        <v>2888386.1985008591</v>
      </c>
      <c r="AP265" s="289">
        <v>21651871.379871011</v>
      </c>
      <c r="AQ265" s="266"/>
      <c r="AR265" s="285">
        <v>4715360.3765462637</v>
      </c>
      <c r="AS265" s="286">
        <v>1228284.4879227052</v>
      </c>
      <c r="AT265" s="286">
        <v>2978798.53427896</v>
      </c>
      <c r="AU265" s="290">
        <v>2136836.6443014708</v>
      </c>
      <c r="AV265" s="289">
        <v>11059280.043049399</v>
      </c>
      <c r="AW265" s="291">
        <v>10592591.336821612</v>
      </c>
    </row>
    <row r="266" spans="1:49" x14ac:dyDescent="0.25">
      <c r="A266" s="264">
        <v>3619533</v>
      </c>
      <c r="B266" s="264" t="str">
        <f>VLOOKUP(A266,'Výpočet VP 2020'!$A$4:$B$318,2,FALSE)</f>
        <v>Obce</v>
      </c>
      <c r="C266" s="264" t="s">
        <v>957</v>
      </c>
      <c r="D266" s="264" t="s">
        <v>955</v>
      </c>
      <c r="E266" s="264" t="s">
        <v>1322</v>
      </c>
      <c r="F266" s="264">
        <v>3619533</v>
      </c>
      <c r="G266" s="264" t="s">
        <v>1131</v>
      </c>
      <c r="H266" s="264">
        <v>2019</v>
      </c>
      <c r="I266" s="265"/>
      <c r="J266" s="278"/>
      <c r="K266" s="279">
        <v>1104</v>
      </c>
      <c r="L266" s="279"/>
      <c r="M266" s="280"/>
      <c r="N266" s="280"/>
      <c r="O266" s="279"/>
      <c r="P266" s="281" t="s">
        <v>1177</v>
      </c>
      <c r="Q266" s="264"/>
      <c r="R266" s="282"/>
      <c r="S266" s="281" t="s">
        <v>1733</v>
      </c>
      <c r="T266" s="281">
        <v>17.25</v>
      </c>
      <c r="U266" s="264">
        <v>1</v>
      </c>
      <c r="V266" s="282">
        <v>10</v>
      </c>
      <c r="W266" s="281">
        <v>6.25</v>
      </c>
      <c r="X266" s="281">
        <v>0</v>
      </c>
      <c r="Y266" s="264">
        <v>35</v>
      </c>
      <c r="Z266" s="282">
        <v>0</v>
      </c>
      <c r="AA266" s="281">
        <v>0</v>
      </c>
      <c r="AB266" s="281">
        <v>0</v>
      </c>
      <c r="AD266" s="284">
        <v>17.25</v>
      </c>
      <c r="AE266" s="284">
        <v>1</v>
      </c>
      <c r="AF266" s="284">
        <v>10</v>
      </c>
      <c r="AG266" s="284">
        <v>6.25</v>
      </c>
      <c r="AH266" s="284">
        <v>0</v>
      </c>
      <c r="AI266" s="284">
        <v>35</v>
      </c>
      <c r="AJ266" s="284">
        <v>0</v>
      </c>
      <c r="AL266" s="285">
        <v>7172050.4850065652</v>
      </c>
      <c r="AM266" s="286">
        <v>5066916.834601514</v>
      </c>
      <c r="AN266" s="287">
        <v>3432646.8141349391</v>
      </c>
      <c r="AO266" s="288">
        <v>2406988.498750716</v>
      </c>
      <c r="AP266" s="289">
        <v>18078602.632493734</v>
      </c>
      <c r="AQ266" s="266"/>
      <c r="AR266" s="285">
        <v>3929466.9804552197</v>
      </c>
      <c r="AS266" s="286">
        <v>1023570.4066022544</v>
      </c>
      <c r="AT266" s="286">
        <v>2482332.1118991333</v>
      </c>
      <c r="AU266" s="290">
        <v>1780697.2035845588</v>
      </c>
      <c r="AV266" s="289">
        <v>9216066.7025411669</v>
      </c>
      <c r="AW266" s="291">
        <v>8862535.9299525674</v>
      </c>
    </row>
    <row r="267" spans="1:49" x14ac:dyDescent="0.25">
      <c r="A267" s="264">
        <v>5344327</v>
      </c>
      <c r="B267" s="264" t="str">
        <f>VLOOKUP(A267,'Výpočet VP 2020'!$A$4:$B$318,2,FALSE)</f>
        <v>Obce</v>
      </c>
      <c r="C267" s="264" t="s">
        <v>942</v>
      </c>
      <c r="D267" s="264" t="s">
        <v>942</v>
      </c>
      <c r="E267" s="264" t="s">
        <v>1327</v>
      </c>
      <c r="F267" s="264">
        <v>5344327</v>
      </c>
      <c r="G267" s="264" t="s">
        <v>1142</v>
      </c>
      <c r="H267" s="264">
        <v>2019</v>
      </c>
      <c r="I267" s="265"/>
      <c r="J267" s="278"/>
      <c r="K267" s="279">
        <v>1007</v>
      </c>
      <c r="L267" s="279"/>
      <c r="M267" s="280"/>
      <c r="N267" s="280"/>
      <c r="O267" s="279"/>
      <c r="P267" s="281" t="s">
        <v>1177</v>
      </c>
      <c r="Q267" s="264"/>
      <c r="R267" s="282"/>
      <c r="S267" s="281" t="s">
        <v>1733</v>
      </c>
      <c r="T267" s="281">
        <v>22.7</v>
      </c>
      <c r="U267" s="264">
        <v>1.2</v>
      </c>
      <c r="V267" s="282">
        <v>18</v>
      </c>
      <c r="W267" s="281">
        <v>3.5</v>
      </c>
      <c r="X267" s="281">
        <v>0</v>
      </c>
      <c r="Y267" s="264">
        <v>60</v>
      </c>
      <c r="Z267" s="282">
        <v>0</v>
      </c>
      <c r="AA267" s="281">
        <v>0</v>
      </c>
      <c r="AB267" s="281">
        <v>0</v>
      </c>
      <c r="AD267" s="284">
        <v>22.7</v>
      </c>
      <c r="AE267" s="284">
        <v>1.2</v>
      </c>
      <c r="AF267" s="284">
        <v>18</v>
      </c>
      <c r="AG267" s="284">
        <v>3.5</v>
      </c>
      <c r="AH267" s="284">
        <v>0</v>
      </c>
      <c r="AI267" s="284">
        <v>60</v>
      </c>
      <c r="AJ267" s="284">
        <v>0</v>
      </c>
      <c r="AL267" s="285">
        <v>12518488.119284185</v>
      </c>
      <c r="AM267" s="286">
        <v>2837473.4273768477</v>
      </c>
      <c r="AN267" s="287">
        <v>5884537.3956598956</v>
      </c>
      <c r="AO267" s="288">
        <v>4126265.9978583697</v>
      </c>
      <c r="AP267" s="289">
        <v>25366764.940179296</v>
      </c>
      <c r="AQ267" s="266"/>
      <c r="AR267" s="285">
        <v>6736229.1093518054</v>
      </c>
      <c r="AS267" s="286">
        <v>1754692.1256038647</v>
      </c>
      <c r="AT267" s="286">
        <v>4255426.4775413712</v>
      </c>
      <c r="AU267" s="290">
        <v>3052623.7775735296</v>
      </c>
      <c r="AV267" s="289">
        <v>15798971.49007057</v>
      </c>
      <c r="AW267" s="291">
        <v>9567793.4501087256</v>
      </c>
    </row>
    <row r="268" spans="1:49" x14ac:dyDescent="0.25">
      <c r="A268" s="264">
        <v>2125600</v>
      </c>
      <c r="B268" s="264" t="str">
        <f>VLOOKUP(A268,'Výpočet VP 2020'!$A$4:$B$318,2,FALSE)</f>
        <v>Obce</v>
      </c>
      <c r="C268" s="264" t="s">
        <v>459</v>
      </c>
      <c r="D268" s="264" t="s">
        <v>459</v>
      </c>
      <c r="E268" s="264" t="s">
        <v>1320</v>
      </c>
      <c r="F268" s="264">
        <v>2125600</v>
      </c>
      <c r="G268" s="264" t="s">
        <v>1058</v>
      </c>
      <c r="H268" s="264">
        <v>2019</v>
      </c>
      <c r="I268" s="265"/>
      <c r="J268" s="278"/>
      <c r="K268" s="279">
        <v>965</v>
      </c>
      <c r="L268" s="279"/>
      <c r="M268" s="280"/>
      <c r="N268" s="280"/>
      <c r="O268" s="279"/>
      <c r="P268" s="281" t="s">
        <v>1177</v>
      </c>
      <c r="Q268" s="264"/>
      <c r="R268" s="282"/>
      <c r="S268" s="281" t="s">
        <v>1733</v>
      </c>
      <c r="T268" s="281">
        <v>27.5</v>
      </c>
      <c r="U268" s="264">
        <v>2</v>
      </c>
      <c r="V268" s="282">
        <v>18.5</v>
      </c>
      <c r="W268" s="281">
        <v>7</v>
      </c>
      <c r="X268" s="281">
        <v>0</v>
      </c>
      <c r="Y268" s="264">
        <v>54</v>
      </c>
      <c r="Z268" s="282">
        <v>0</v>
      </c>
      <c r="AA268" s="281">
        <v>0</v>
      </c>
      <c r="AB268" s="281">
        <v>0</v>
      </c>
      <c r="AD268" s="284">
        <v>27.5</v>
      </c>
      <c r="AE268" s="284">
        <v>2</v>
      </c>
      <c r="AF268" s="284">
        <v>18.5</v>
      </c>
      <c r="AG268" s="284">
        <v>7</v>
      </c>
      <c r="AH268" s="284">
        <v>0</v>
      </c>
      <c r="AI268" s="284">
        <v>54</v>
      </c>
      <c r="AJ268" s="284">
        <v>0</v>
      </c>
      <c r="AL268" s="285">
        <v>13366094.085694052</v>
      </c>
      <c r="AM268" s="286">
        <v>5674946.8547536954</v>
      </c>
      <c r="AN268" s="287">
        <v>5296083.6560939057</v>
      </c>
      <c r="AO268" s="288">
        <v>3713639.3980725328</v>
      </c>
      <c r="AP268" s="289">
        <v>28050763.994614188</v>
      </c>
      <c r="AQ268" s="266"/>
      <c r="AR268" s="285">
        <v>6062606.1984166251</v>
      </c>
      <c r="AS268" s="286">
        <v>1579222.9130434783</v>
      </c>
      <c r="AT268" s="286">
        <v>3829883.8297872338</v>
      </c>
      <c r="AU268" s="290">
        <v>2747361.3998161764</v>
      </c>
      <c r="AV268" s="289">
        <v>14219074.341063512</v>
      </c>
      <c r="AW268" s="291">
        <v>13831689.653550675</v>
      </c>
    </row>
    <row r="269" spans="1:49" x14ac:dyDescent="0.25">
      <c r="A269" s="264">
        <v>4381530</v>
      </c>
      <c r="B269" s="264" t="str">
        <f>VLOOKUP(A269,'Výpočet VP 2020'!$A$4:$B$318,2,FALSE)</f>
        <v>Obce</v>
      </c>
      <c r="C269" s="264" t="s">
        <v>390</v>
      </c>
      <c r="D269" s="264" t="s">
        <v>947</v>
      </c>
      <c r="E269" s="264" t="s">
        <v>1323</v>
      </c>
      <c r="F269" s="264">
        <v>4381530</v>
      </c>
      <c r="G269" s="264" t="s">
        <v>1068</v>
      </c>
      <c r="H269" s="264">
        <v>2019</v>
      </c>
      <c r="I269" s="265"/>
      <c r="J269" s="278"/>
      <c r="K269" s="279">
        <v>1015</v>
      </c>
      <c r="L269" s="279"/>
      <c r="M269" s="280"/>
      <c r="N269" s="280"/>
      <c r="O269" s="279"/>
      <c r="P269" s="281" t="s">
        <v>1177</v>
      </c>
      <c r="Q269" s="264"/>
      <c r="R269" s="282"/>
      <c r="S269" s="281" t="s">
        <v>1733</v>
      </c>
      <c r="T269" s="281">
        <v>35</v>
      </c>
      <c r="U269" s="264">
        <v>3</v>
      </c>
      <c r="V269" s="282">
        <v>23</v>
      </c>
      <c r="W269" s="281">
        <v>9</v>
      </c>
      <c r="X269" s="281">
        <v>0</v>
      </c>
      <c r="Y269" s="264">
        <v>61</v>
      </c>
      <c r="Z269" s="282">
        <v>0</v>
      </c>
      <c r="AA269" s="281">
        <v>0</v>
      </c>
      <c r="AB269" s="281">
        <v>0</v>
      </c>
      <c r="AD269" s="284">
        <v>35</v>
      </c>
      <c r="AE269" s="284">
        <v>3</v>
      </c>
      <c r="AF269" s="284">
        <v>23</v>
      </c>
      <c r="AG269" s="284">
        <v>9</v>
      </c>
      <c r="AH269" s="284">
        <v>0</v>
      </c>
      <c r="AI269" s="284">
        <v>61</v>
      </c>
      <c r="AJ269" s="284">
        <v>0</v>
      </c>
      <c r="AL269" s="285">
        <v>16952119.328197334</v>
      </c>
      <c r="AM269" s="286">
        <v>7296360.2418261804</v>
      </c>
      <c r="AN269" s="287">
        <v>5982613.0189208938</v>
      </c>
      <c r="AO269" s="288">
        <v>4195037.0978226764</v>
      </c>
      <c r="AP269" s="289">
        <v>34426129.686767086</v>
      </c>
      <c r="AQ269" s="266"/>
      <c r="AR269" s="285">
        <v>6848499.5945076691</v>
      </c>
      <c r="AS269" s="286">
        <v>1783936.9943639291</v>
      </c>
      <c r="AT269" s="286">
        <v>4326350.252167061</v>
      </c>
      <c r="AU269" s="290">
        <v>3103500.8405330884</v>
      </c>
      <c r="AV269" s="289">
        <v>16062287.681571748</v>
      </c>
      <c r="AW269" s="291">
        <v>18363842.005195338</v>
      </c>
    </row>
    <row r="270" spans="1:49" x14ac:dyDescent="0.25">
      <c r="A270" s="264">
        <v>8877013</v>
      </c>
      <c r="B270" s="264" t="str">
        <f>VLOOKUP(A270,'Výpočet VP 2020'!$A$4:$B$318,2,FALSE)</f>
        <v>Obce</v>
      </c>
      <c r="C270" s="264" t="s">
        <v>576</v>
      </c>
      <c r="D270" s="264" t="s">
        <v>576</v>
      </c>
      <c r="E270" s="264" t="s">
        <v>1330</v>
      </c>
      <c r="F270" s="264">
        <v>8877013</v>
      </c>
      <c r="G270" s="264" t="s">
        <v>1151</v>
      </c>
      <c r="H270" s="264">
        <v>2019</v>
      </c>
      <c r="I270" s="265"/>
      <c r="J270" s="278"/>
      <c r="K270" s="279">
        <v>1112</v>
      </c>
      <c r="L270" s="279"/>
      <c r="M270" s="280"/>
      <c r="N270" s="280"/>
      <c r="O270" s="279"/>
      <c r="P270" s="281" t="s">
        <v>1177</v>
      </c>
      <c r="Q270" s="264"/>
      <c r="R270" s="282"/>
      <c r="S270" s="281" t="s">
        <v>1733</v>
      </c>
      <c r="T270" s="281">
        <v>21.31</v>
      </c>
      <c r="U270" s="264">
        <v>1</v>
      </c>
      <c r="V270" s="282">
        <v>13.31</v>
      </c>
      <c r="W270" s="281">
        <v>7</v>
      </c>
      <c r="X270" s="281">
        <v>0</v>
      </c>
      <c r="Y270" s="264">
        <v>42</v>
      </c>
      <c r="Z270" s="282">
        <v>0</v>
      </c>
      <c r="AA270" s="281">
        <v>0</v>
      </c>
      <c r="AB270" s="281">
        <v>0</v>
      </c>
      <c r="AD270" s="284">
        <v>21.31</v>
      </c>
      <c r="AE270" s="284">
        <v>1</v>
      </c>
      <c r="AF270" s="284">
        <v>13.31</v>
      </c>
      <c r="AG270" s="284">
        <v>7</v>
      </c>
      <c r="AH270" s="284">
        <v>0</v>
      </c>
      <c r="AI270" s="284">
        <v>42</v>
      </c>
      <c r="AJ270" s="284">
        <v>0</v>
      </c>
      <c r="AL270" s="285">
        <v>9330185.6764039956</v>
      </c>
      <c r="AM270" s="286">
        <v>5674946.8547536954</v>
      </c>
      <c r="AN270" s="287">
        <v>4119176.1769619267</v>
      </c>
      <c r="AO270" s="288">
        <v>2888386.1985008591</v>
      </c>
      <c r="AP270" s="289">
        <v>22012694.906620476</v>
      </c>
      <c r="AQ270" s="266"/>
      <c r="AR270" s="285">
        <v>4715360.3765462637</v>
      </c>
      <c r="AS270" s="286">
        <v>1228284.4879227052</v>
      </c>
      <c r="AT270" s="286">
        <v>2978798.53427896</v>
      </c>
      <c r="AU270" s="290">
        <v>2136836.6443014708</v>
      </c>
      <c r="AV270" s="289">
        <v>11059280.043049399</v>
      </c>
      <c r="AW270" s="291">
        <v>10953414.863571078</v>
      </c>
    </row>
    <row r="271" spans="1:49" x14ac:dyDescent="0.25">
      <c r="A271" s="264">
        <v>4782003</v>
      </c>
      <c r="B271" s="264" t="str">
        <f>VLOOKUP(A271,'Výpočet VP 2020'!$A$4:$B$318,2,FALSE)</f>
        <v>Obce</v>
      </c>
      <c r="C271" s="264" t="s">
        <v>390</v>
      </c>
      <c r="D271" s="264" t="s">
        <v>682</v>
      </c>
      <c r="E271" s="264" t="s">
        <v>1321</v>
      </c>
      <c r="F271" s="264">
        <v>4782003</v>
      </c>
      <c r="G271" s="264" t="s">
        <v>1061</v>
      </c>
      <c r="H271" s="264">
        <v>2019</v>
      </c>
      <c r="I271" s="265"/>
      <c r="J271" s="278"/>
      <c r="K271" s="279">
        <v>1066</v>
      </c>
      <c r="L271" s="279"/>
      <c r="M271" s="280"/>
      <c r="N271" s="280"/>
      <c r="O271" s="279"/>
      <c r="P271" s="281" t="s">
        <v>1177</v>
      </c>
      <c r="Q271" s="264"/>
      <c r="R271" s="282"/>
      <c r="S271" s="281" t="s">
        <v>1733</v>
      </c>
      <c r="T271" s="281">
        <v>26.74</v>
      </c>
      <c r="U271" s="264">
        <v>1.1499999999999999</v>
      </c>
      <c r="V271" s="282">
        <v>18</v>
      </c>
      <c r="W271" s="281">
        <v>7.59</v>
      </c>
      <c r="X271" s="281">
        <v>0</v>
      </c>
      <c r="Y271" s="264">
        <v>43</v>
      </c>
      <c r="Z271" s="282">
        <v>0</v>
      </c>
      <c r="AA271" s="281">
        <v>0</v>
      </c>
      <c r="AB271" s="281">
        <v>0</v>
      </c>
      <c r="AD271" s="284">
        <v>26.74</v>
      </c>
      <c r="AE271" s="284">
        <v>1.1499999999999999</v>
      </c>
      <c r="AF271" s="284">
        <v>18</v>
      </c>
      <c r="AG271" s="284">
        <v>7.59</v>
      </c>
      <c r="AH271" s="284">
        <v>0</v>
      </c>
      <c r="AI271" s="284">
        <v>43</v>
      </c>
      <c r="AJ271" s="284">
        <v>0</v>
      </c>
      <c r="AL271" s="285">
        <v>12485887.889806882</v>
      </c>
      <c r="AM271" s="286">
        <v>6153263.8039400782</v>
      </c>
      <c r="AN271" s="287">
        <v>4217251.8002229249</v>
      </c>
      <c r="AO271" s="288">
        <v>2957157.2984651653</v>
      </c>
      <c r="AP271" s="289">
        <v>25813560.792435054</v>
      </c>
      <c r="AQ271" s="266"/>
      <c r="AR271" s="285">
        <v>4827630.8617021274</v>
      </c>
      <c r="AS271" s="286">
        <v>1257529.3566827697</v>
      </c>
      <c r="AT271" s="286">
        <v>3049722.3089046492</v>
      </c>
      <c r="AU271" s="290">
        <v>2187713.7072610296</v>
      </c>
      <c r="AV271" s="289">
        <v>11322596.234550577</v>
      </c>
      <c r="AW271" s="291">
        <v>14490964.557884477</v>
      </c>
    </row>
    <row r="272" spans="1:49" x14ac:dyDescent="0.25">
      <c r="A272" s="264">
        <v>8635813</v>
      </c>
      <c r="B272" s="264" t="str">
        <f>VLOOKUP(A272,'Výpočet VP 2020'!$A$4:$B$318,2,FALSE)</f>
        <v>Obce</v>
      </c>
      <c r="C272" s="264" t="s">
        <v>493</v>
      </c>
      <c r="D272" s="264" t="s">
        <v>493</v>
      </c>
      <c r="E272" s="264" t="s">
        <v>1334</v>
      </c>
      <c r="F272" s="264">
        <v>8635813</v>
      </c>
      <c r="G272" s="264" t="s">
        <v>1061</v>
      </c>
      <c r="H272" s="264">
        <v>2019</v>
      </c>
      <c r="I272" s="265"/>
      <c r="J272" s="278"/>
      <c r="K272" s="279">
        <v>1066</v>
      </c>
      <c r="L272" s="279"/>
      <c r="M272" s="280"/>
      <c r="N272" s="280"/>
      <c r="O272" s="279"/>
      <c r="P272" s="281" t="s">
        <v>1177</v>
      </c>
      <c r="Q272" s="264"/>
      <c r="R272" s="282"/>
      <c r="S272" s="281" t="s">
        <v>1733</v>
      </c>
      <c r="T272" s="281">
        <v>25.6</v>
      </c>
      <c r="U272" s="264">
        <v>1.75</v>
      </c>
      <c r="V272" s="282">
        <v>17.350000000000001</v>
      </c>
      <c r="W272" s="281">
        <v>6.5</v>
      </c>
      <c r="X272" s="281">
        <v>0</v>
      </c>
      <c r="Y272" s="264">
        <v>67</v>
      </c>
      <c r="Z272" s="282">
        <v>0</v>
      </c>
      <c r="AA272" s="281">
        <v>0</v>
      </c>
      <c r="AB272" s="281">
        <v>0</v>
      </c>
      <c r="AD272" s="284">
        <v>25.6</v>
      </c>
      <c r="AE272" s="284">
        <v>1.75</v>
      </c>
      <c r="AF272" s="284">
        <v>17.350000000000001</v>
      </c>
      <c r="AG272" s="284">
        <v>6.5</v>
      </c>
      <c r="AH272" s="284">
        <v>0</v>
      </c>
      <c r="AI272" s="284">
        <v>67</v>
      </c>
      <c r="AJ272" s="284">
        <v>0</v>
      </c>
      <c r="AL272" s="285">
        <v>12453287.660329582</v>
      </c>
      <c r="AM272" s="286">
        <v>5269593.5079855742</v>
      </c>
      <c r="AN272" s="287">
        <v>6571066.7584868828</v>
      </c>
      <c r="AO272" s="288">
        <v>4607663.6976085128</v>
      </c>
      <c r="AP272" s="289">
        <v>28901611.624410551</v>
      </c>
      <c r="AQ272" s="266"/>
      <c r="AR272" s="285">
        <v>7522122.5054428494</v>
      </c>
      <c r="AS272" s="286">
        <v>1959406.2069243155</v>
      </c>
      <c r="AT272" s="286">
        <v>4751892.8999211974</v>
      </c>
      <c r="AU272" s="290">
        <v>3408763.2182904412</v>
      </c>
      <c r="AV272" s="289">
        <v>17642184.830578804</v>
      </c>
      <c r="AW272" s="291">
        <v>11259426.793831747</v>
      </c>
    </row>
    <row r="273" spans="1:49" x14ac:dyDescent="0.25">
      <c r="A273" s="264">
        <v>1817339</v>
      </c>
      <c r="B273" s="264" t="str">
        <f>VLOOKUP(A273,'Výpočet VP 2020'!$A$4:$B$318,2,FALSE)</f>
        <v>Obce</v>
      </c>
      <c r="C273" s="264" t="s">
        <v>1259</v>
      </c>
      <c r="D273" s="264" t="s">
        <v>678</v>
      </c>
      <c r="E273" s="264" t="s">
        <v>1318</v>
      </c>
      <c r="F273" s="264">
        <v>1817339</v>
      </c>
      <c r="G273" s="264" t="s">
        <v>1061</v>
      </c>
      <c r="H273" s="264">
        <v>2019</v>
      </c>
      <c r="I273" s="265"/>
      <c r="J273" s="278"/>
      <c r="K273" s="279">
        <v>1066</v>
      </c>
      <c r="L273" s="279"/>
      <c r="M273" s="280"/>
      <c r="N273" s="280"/>
      <c r="O273" s="279"/>
      <c r="P273" s="281" t="s">
        <v>1177</v>
      </c>
      <c r="Q273" s="264"/>
      <c r="R273" s="282"/>
      <c r="S273" s="281" t="s">
        <v>1733</v>
      </c>
      <c r="T273" s="281">
        <v>17.100000000000001</v>
      </c>
      <c r="U273" s="264">
        <v>0.9</v>
      </c>
      <c r="V273" s="282">
        <v>9.9</v>
      </c>
      <c r="W273" s="281">
        <v>6.3</v>
      </c>
      <c r="X273" s="281">
        <v>0</v>
      </c>
      <c r="Y273" s="264">
        <v>58</v>
      </c>
      <c r="Z273" s="282">
        <v>0</v>
      </c>
      <c r="AA273" s="281">
        <v>0</v>
      </c>
      <c r="AB273" s="281">
        <v>0</v>
      </c>
      <c r="AD273" s="284">
        <v>17.100000000000001</v>
      </c>
      <c r="AE273" s="284">
        <v>0.9</v>
      </c>
      <c r="AF273" s="284">
        <v>9.9</v>
      </c>
      <c r="AG273" s="284">
        <v>6.3</v>
      </c>
      <c r="AH273" s="284">
        <v>0</v>
      </c>
      <c r="AI273" s="284">
        <v>58</v>
      </c>
      <c r="AJ273" s="284">
        <v>0</v>
      </c>
      <c r="AL273" s="285">
        <v>7041649.5670973547</v>
      </c>
      <c r="AM273" s="286">
        <v>5107452.1692783255</v>
      </c>
      <c r="AN273" s="287">
        <v>5688386.1491378983</v>
      </c>
      <c r="AO273" s="288">
        <v>3988723.7979297577</v>
      </c>
      <c r="AP273" s="289">
        <v>21826211.683443334</v>
      </c>
      <c r="AQ273" s="266"/>
      <c r="AR273" s="285">
        <v>6511688.139040079</v>
      </c>
      <c r="AS273" s="286">
        <v>1696202.3880837359</v>
      </c>
      <c r="AT273" s="286">
        <v>4113578.9282899923</v>
      </c>
      <c r="AU273" s="290">
        <v>2950869.651654412</v>
      </c>
      <c r="AV273" s="289">
        <v>15272339.107068218</v>
      </c>
      <c r="AW273" s="291">
        <v>6553872.5763751157</v>
      </c>
    </row>
    <row r="274" spans="1:49" x14ac:dyDescent="0.25">
      <c r="A274" s="264">
        <v>1109434</v>
      </c>
      <c r="B274" s="264" t="str">
        <f>VLOOKUP(A274,'Výpočet VP 2020'!$A$4:$B$318,2,FALSE)</f>
        <v>Obce</v>
      </c>
      <c r="C274" s="264" t="s">
        <v>390</v>
      </c>
      <c r="D274" s="264" t="s">
        <v>1003</v>
      </c>
      <c r="E274" s="264" t="s">
        <v>1315</v>
      </c>
      <c r="F274" s="264">
        <v>1109434</v>
      </c>
      <c r="G274" s="264" t="s">
        <v>1144</v>
      </c>
      <c r="H274" s="264">
        <v>2019</v>
      </c>
      <c r="I274" s="265"/>
      <c r="J274" s="278"/>
      <c r="K274" s="279">
        <v>1023</v>
      </c>
      <c r="L274" s="279"/>
      <c r="M274" s="280"/>
      <c r="N274" s="280"/>
      <c r="O274" s="279"/>
      <c r="P274" s="281" t="s">
        <v>1177</v>
      </c>
      <c r="Q274" s="264"/>
      <c r="R274" s="282"/>
      <c r="S274" s="281" t="s">
        <v>1733</v>
      </c>
      <c r="T274" s="281">
        <v>29</v>
      </c>
      <c r="U274" s="264">
        <v>2</v>
      </c>
      <c r="V274" s="282">
        <v>19</v>
      </c>
      <c r="W274" s="281">
        <v>8</v>
      </c>
      <c r="X274" s="281">
        <v>0</v>
      </c>
      <c r="Y274" s="264">
        <v>65</v>
      </c>
      <c r="Z274" s="282">
        <v>0</v>
      </c>
      <c r="AA274" s="281">
        <v>0</v>
      </c>
      <c r="AB274" s="281">
        <v>0</v>
      </c>
      <c r="AD274" s="284">
        <v>29</v>
      </c>
      <c r="AE274" s="284">
        <v>2</v>
      </c>
      <c r="AF274" s="284">
        <v>19</v>
      </c>
      <c r="AG274" s="284">
        <v>8</v>
      </c>
      <c r="AH274" s="284">
        <v>0</v>
      </c>
      <c r="AI274" s="284">
        <v>65</v>
      </c>
      <c r="AJ274" s="284">
        <v>0</v>
      </c>
      <c r="AL274" s="285">
        <v>13692096.380467078</v>
      </c>
      <c r="AM274" s="286">
        <v>6485653.5482899379</v>
      </c>
      <c r="AN274" s="287">
        <v>6374915.5119648864</v>
      </c>
      <c r="AO274" s="288">
        <v>4470121.4976799004</v>
      </c>
      <c r="AP274" s="289">
        <v>31022786.938401803</v>
      </c>
      <c r="AQ274" s="266"/>
      <c r="AR274" s="285">
        <v>7297581.5351311229</v>
      </c>
      <c r="AS274" s="286">
        <v>1900916.4694041868</v>
      </c>
      <c r="AT274" s="286">
        <v>4610045.3506698189</v>
      </c>
      <c r="AU274" s="290">
        <v>3307009.0923713236</v>
      </c>
      <c r="AV274" s="289">
        <v>17115552.447576452</v>
      </c>
      <c r="AW274" s="291">
        <v>13907234.490825351</v>
      </c>
    </row>
    <row r="275" spans="1:49" x14ac:dyDescent="0.25">
      <c r="A275" s="264">
        <v>4396482</v>
      </c>
      <c r="B275" s="264" t="str">
        <f>VLOOKUP(A275,'Výpočet VP 2020'!$A$4:$B$318,2,FALSE)</f>
        <v>Obce</v>
      </c>
      <c r="C275" s="264" t="s">
        <v>390</v>
      </c>
      <c r="D275" s="264" t="s">
        <v>1213</v>
      </c>
      <c r="E275" s="264" t="s">
        <v>1324</v>
      </c>
      <c r="F275" s="264">
        <v>4396482</v>
      </c>
      <c r="G275" s="264" t="s">
        <v>1063</v>
      </c>
      <c r="H275" s="264">
        <v>2019</v>
      </c>
      <c r="I275" s="265"/>
      <c r="J275" s="278"/>
      <c r="K275" s="279">
        <v>1121</v>
      </c>
      <c r="L275" s="279"/>
      <c r="M275" s="280"/>
      <c r="N275" s="280"/>
      <c r="O275" s="279"/>
      <c r="P275" s="281" t="s">
        <v>1177</v>
      </c>
      <c r="Q275" s="264"/>
      <c r="R275" s="282"/>
      <c r="S275" s="281" t="s">
        <v>1733</v>
      </c>
      <c r="T275" s="281">
        <v>15</v>
      </c>
      <c r="U275" s="264">
        <v>1</v>
      </c>
      <c r="V275" s="282">
        <v>8</v>
      </c>
      <c r="W275" s="281">
        <v>6</v>
      </c>
      <c r="X275" s="281">
        <v>0</v>
      </c>
      <c r="Y275" s="264">
        <v>30</v>
      </c>
      <c r="Z275" s="282">
        <v>0</v>
      </c>
      <c r="AA275" s="281">
        <v>0</v>
      </c>
      <c r="AB275" s="281">
        <v>0</v>
      </c>
      <c r="AD275" s="284">
        <v>15</v>
      </c>
      <c r="AE275" s="284">
        <v>1</v>
      </c>
      <c r="AF275" s="284">
        <v>8</v>
      </c>
      <c r="AG275" s="284">
        <v>6</v>
      </c>
      <c r="AH275" s="284">
        <v>0</v>
      </c>
      <c r="AI275" s="284">
        <v>30</v>
      </c>
      <c r="AJ275" s="284">
        <v>0</v>
      </c>
      <c r="AL275" s="285">
        <v>5868041.3059144616</v>
      </c>
      <c r="AM275" s="286">
        <v>4864240.161217453</v>
      </c>
      <c r="AN275" s="287">
        <v>2942268.6978299478</v>
      </c>
      <c r="AO275" s="288">
        <v>2063132.9989291849</v>
      </c>
      <c r="AP275" s="289">
        <v>15737683.163891047</v>
      </c>
      <c r="AQ275" s="266"/>
      <c r="AR275" s="285">
        <v>3368114.5546759027</v>
      </c>
      <c r="AS275" s="286">
        <v>877346.06280193233</v>
      </c>
      <c r="AT275" s="286">
        <v>2127713.2387706856</v>
      </c>
      <c r="AU275" s="290">
        <v>1526311.8887867648</v>
      </c>
      <c r="AV275" s="289">
        <v>7899485.7450352851</v>
      </c>
      <c r="AW275" s="291">
        <v>7838197.4188557621</v>
      </c>
    </row>
    <row r="276" spans="1:49" x14ac:dyDescent="0.25">
      <c r="A276" s="264">
        <v>9688838</v>
      </c>
      <c r="B276" s="264" t="str">
        <f>VLOOKUP(A276,'Výpočet VP 2020'!$A$4:$B$318,2,FALSE)</f>
        <v>Obce</v>
      </c>
      <c r="C276" s="264" t="s">
        <v>499</v>
      </c>
      <c r="D276" s="264" t="s">
        <v>499</v>
      </c>
      <c r="E276" s="264" t="s">
        <v>1319</v>
      </c>
      <c r="F276" s="264">
        <v>9688838</v>
      </c>
      <c r="G276" s="264" t="s">
        <v>1073</v>
      </c>
      <c r="H276" s="264">
        <v>2019</v>
      </c>
      <c r="I276" s="265"/>
      <c r="J276" s="278"/>
      <c r="K276" s="279">
        <v>1210</v>
      </c>
      <c r="L276" s="279"/>
      <c r="M276" s="280"/>
      <c r="N276" s="280"/>
      <c r="O276" s="279"/>
      <c r="P276" s="281" t="s">
        <v>1177</v>
      </c>
      <c r="Q276" s="264"/>
      <c r="R276" s="282"/>
      <c r="S276" s="281" t="s">
        <v>1733</v>
      </c>
      <c r="T276" s="281">
        <v>64</v>
      </c>
      <c r="U276" s="264">
        <v>4</v>
      </c>
      <c r="V276" s="282">
        <v>41</v>
      </c>
      <c r="W276" s="281">
        <v>19</v>
      </c>
      <c r="X276" s="281">
        <v>0</v>
      </c>
      <c r="Y276" s="264">
        <v>124</v>
      </c>
      <c r="Z276" s="282">
        <v>0</v>
      </c>
      <c r="AA276" s="281">
        <v>0</v>
      </c>
      <c r="AB276" s="281">
        <v>0</v>
      </c>
      <c r="AD276" s="284">
        <v>64</v>
      </c>
      <c r="AE276" s="284">
        <v>4</v>
      </c>
      <c r="AF276" s="284">
        <v>41</v>
      </c>
      <c r="AG276" s="284">
        <v>19</v>
      </c>
      <c r="AH276" s="284">
        <v>0</v>
      </c>
      <c r="AI276" s="284">
        <v>124</v>
      </c>
      <c r="AJ276" s="284">
        <v>0</v>
      </c>
      <c r="AL276" s="285">
        <v>29340206.529572312</v>
      </c>
      <c r="AM276" s="286">
        <v>15403427.177188603</v>
      </c>
      <c r="AN276" s="287">
        <v>12161377.284363784</v>
      </c>
      <c r="AO276" s="288">
        <v>8527616.3955739643</v>
      </c>
      <c r="AP276" s="289">
        <v>65432627.386698663</v>
      </c>
      <c r="AQ276" s="266"/>
      <c r="AR276" s="285">
        <v>13921540.159327066</v>
      </c>
      <c r="AS276" s="286">
        <v>3626363.7262479872</v>
      </c>
      <c r="AT276" s="286">
        <v>8794548.0535854995</v>
      </c>
      <c r="AU276" s="290">
        <v>6308755.8069852944</v>
      </c>
      <c r="AV276" s="289">
        <v>32651207.746145844</v>
      </c>
      <c r="AW276" s="291">
        <v>32781419.640552819</v>
      </c>
    </row>
    <row r="277" spans="1:49" x14ac:dyDescent="0.25">
      <c r="A277" s="264">
        <v>1642854</v>
      </c>
      <c r="B277" s="264" t="str">
        <f>VLOOKUP(A277,'Výpočet VP 2020'!$A$4:$B$318,2,FALSE)</f>
        <v>Obce</v>
      </c>
      <c r="C277" s="264" t="s">
        <v>942</v>
      </c>
      <c r="D277" s="264" t="s">
        <v>942</v>
      </c>
      <c r="E277" s="264" t="s">
        <v>1337</v>
      </c>
      <c r="F277" s="264">
        <v>1642854</v>
      </c>
      <c r="G277" s="264" t="s">
        <v>1068</v>
      </c>
      <c r="H277" s="264">
        <v>2019</v>
      </c>
      <c r="I277" s="265"/>
      <c r="J277" s="278"/>
      <c r="K277" s="279"/>
      <c r="L277" s="279"/>
      <c r="M277" s="280"/>
      <c r="N277" s="280"/>
      <c r="O277" s="279">
        <v>3604</v>
      </c>
      <c r="P277" s="281" t="s">
        <v>1269</v>
      </c>
      <c r="Q277" s="264"/>
      <c r="R277" s="282"/>
      <c r="S277" s="281" t="s">
        <v>1733</v>
      </c>
      <c r="T277" s="281">
        <v>24.5</v>
      </c>
      <c r="U277" s="264">
        <v>1</v>
      </c>
      <c r="V277" s="282">
        <v>20</v>
      </c>
      <c r="W277" s="281">
        <v>3.5</v>
      </c>
      <c r="X277" s="281">
        <v>0</v>
      </c>
      <c r="Y277" s="264">
        <v>50</v>
      </c>
      <c r="Z277" s="282">
        <v>0</v>
      </c>
      <c r="AA277" s="281">
        <v>0</v>
      </c>
      <c r="AB277" s="281">
        <v>0</v>
      </c>
      <c r="AD277" s="284">
        <v>24.5</v>
      </c>
      <c r="AE277" s="284">
        <v>1</v>
      </c>
      <c r="AF277" s="284">
        <v>20</v>
      </c>
      <c r="AG277" s="284">
        <v>3.5</v>
      </c>
      <c r="AH277" s="284">
        <v>0</v>
      </c>
      <c r="AI277" s="284">
        <v>50</v>
      </c>
      <c r="AJ277" s="284">
        <v>0</v>
      </c>
      <c r="AL277" s="285">
        <v>13400689.904549815</v>
      </c>
      <c r="AM277" s="286">
        <v>2829214.8012146228</v>
      </c>
      <c r="AN277" s="287">
        <v>4826045.7545211343</v>
      </c>
      <c r="AO277" s="288">
        <v>3254372.9635840319</v>
      </c>
      <c r="AP277" s="289">
        <v>24310323.423869602</v>
      </c>
      <c r="AQ277" s="266"/>
      <c r="AR277" s="285">
        <v>6003411</v>
      </c>
      <c r="AS277" s="286">
        <v>1124104.8125</v>
      </c>
      <c r="AT277" s="286">
        <v>3322091.3793103448</v>
      </c>
      <c r="AU277" s="290">
        <v>2550067.5</v>
      </c>
      <c r="AV277" s="289">
        <v>12999674.691810345</v>
      </c>
      <c r="AW277" s="291">
        <v>11310648.732059257</v>
      </c>
    </row>
    <row r="278" spans="1:49" x14ac:dyDescent="0.25">
      <c r="A278" s="264">
        <v>5703553</v>
      </c>
      <c r="B278" s="264" t="str">
        <f>VLOOKUP(A278,'Výpočet VP 2020'!$A$4:$B$318,2,FALSE)</f>
        <v>Obce</v>
      </c>
      <c r="C278" s="264" t="s">
        <v>769</v>
      </c>
      <c r="D278" s="264" t="s">
        <v>947</v>
      </c>
      <c r="E278" s="264" t="s">
        <v>1350</v>
      </c>
      <c r="F278" s="264">
        <v>5703553</v>
      </c>
      <c r="G278" s="264" t="s">
        <v>1068</v>
      </c>
      <c r="H278" s="264">
        <v>2019</v>
      </c>
      <c r="I278" s="265"/>
      <c r="J278" s="278"/>
      <c r="K278" s="279"/>
      <c r="L278" s="279"/>
      <c r="M278" s="280"/>
      <c r="N278" s="280"/>
      <c r="O278" s="279">
        <v>3604</v>
      </c>
      <c r="P278" s="281" t="s">
        <v>1341</v>
      </c>
      <c r="Q278" s="264"/>
      <c r="R278" s="282"/>
      <c r="S278" s="281" t="s">
        <v>1733</v>
      </c>
      <c r="T278" s="281">
        <v>3.82</v>
      </c>
      <c r="U278" s="264">
        <v>0.1</v>
      </c>
      <c r="V278" s="282">
        <v>3.72</v>
      </c>
      <c r="W278" s="281">
        <v>0</v>
      </c>
      <c r="X278" s="281">
        <v>0</v>
      </c>
      <c r="Y278" s="264">
        <v>11</v>
      </c>
      <c r="Z278" s="282">
        <v>0</v>
      </c>
      <c r="AA278" s="281">
        <v>0</v>
      </c>
      <c r="AB278" s="281">
        <v>0</v>
      </c>
      <c r="AD278" s="284">
        <v>3.82</v>
      </c>
      <c r="AE278" s="284">
        <v>0.1</v>
      </c>
      <c r="AF278" s="284">
        <v>3.72</v>
      </c>
      <c r="AG278" s="284">
        <v>0</v>
      </c>
      <c r="AH278" s="284">
        <v>0</v>
      </c>
      <c r="AI278" s="284">
        <v>11</v>
      </c>
      <c r="AJ278" s="284">
        <v>0</v>
      </c>
      <c r="AL278" s="285">
        <v>2458358.0899621439</v>
      </c>
      <c r="AM278" s="286">
        <v>0</v>
      </c>
      <c r="AN278" s="287">
        <v>608614.34909709857</v>
      </c>
      <c r="AO278" s="288">
        <v>201104.44896823738</v>
      </c>
      <c r="AP278" s="289">
        <v>3268076.8880274799</v>
      </c>
      <c r="AQ278" s="266"/>
      <c r="AR278" s="285">
        <v>304929.86690721649</v>
      </c>
      <c r="AS278" s="286">
        <v>0</v>
      </c>
      <c r="AT278" s="286">
        <v>476104.97000000003</v>
      </c>
      <c r="AU278" s="290">
        <v>206870.8125</v>
      </c>
      <c r="AV278" s="289">
        <v>987905.64940721658</v>
      </c>
      <c r="AW278" s="291">
        <v>2280171.2386202635</v>
      </c>
    </row>
    <row r="279" spans="1:49" x14ac:dyDescent="0.25">
      <c r="A279" s="264">
        <v>2514714</v>
      </c>
      <c r="B279" s="264" t="str">
        <f>VLOOKUP(A279,'Výpočet VP 2020'!$A$4:$B$318,2,FALSE)</f>
        <v>Obce</v>
      </c>
      <c r="C279" s="264" t="s">
        <v>860</v>
      </c>
      <c r="D279" s="264" t="s">
        <v>857</v>
      </c>
      <c r="E279" s="264" t="s">
        <v>1385</v>
      </c>
      <c r="F279" s="264">
        <v>2514714</v>
      </c>
      <c r="G279" s="264" t="s">
        <v>1073</v>
      </c>
      <c r="H279" s="264">
        <v>2019</v>
      </c>
      <c r="I279" s="265"/>
      <c r="J279" s="278"/>
      <c r="K279" s="279"/>
      <c r="L279" s="279"/>
      <c r="M279" s="280"/>
      <c r="N279" s="280"/>
      <c r="O279" s="279">
        <v>3610</v>
      </c>
      <c r="P279" s="281" t="s">
        <v>1386</v>
      </c>
      <c r="Q279" s="264"/>
      <c r="R279" s="282"/>
      <c r="S279" s="281">
        <v>44196</v>
      </c>
      <c r="T279" s="281">
        <v>2.5</v>
      </c>
      <c r="U279" s="264">
        <v>0.8</v>
      </c>
      <c r="V279" s="282">
        <v>1.7</v>
      </c>
      <c r="W279" s="281">
        <v>0</v>
      </c>
      <c r="X279" s="281">
        <v>0</v>
      </c>
      <c r="Y279" s="264">
        <v>11</v>
      </c>
      <c r="Z279" s="282">
        <v>0</v>
      </c>
      <c r="AA279" s="281">
        <v>0</v>
      </c>
      <c r="AB279" s="281">
        <v>0</v>
      </c>
      <c r="AD279" s="284">
        <v>2.5</v>
      </c>
      <c r="AE279" s="284">
        <v>0.8</v>
      </c>
      <c r="AF279" s="284">
        <v>1.7</v>
      </c>
      <c r="AG279" s="284">
        <v>0</v>
      </c>
      <c r="AH279" s="284">
        <v>0</v>
      </c>
      <c r="AI279" s="284">
        <v>11</v>
      </c>
      <c r="AJ279" s="284">
        <v>0</v>
      </c>
      <c r="AL279" s="285">
        <v>1551433.8929703003</v>
      </c>
      <c r="AM279" s="286">
        <v>0</v>
      </c>
      <c r="AN279" s="287">
        <v>286767.03341728012</v>
      </c>
      <c r="AO279" s="288">
        <v>0</v>
      </c>
      <c r="AP279" s="289">
        <v>1838200.9263875803</v>
      </c>
      <c r="AQ279" s="266"/>
      <c r="AR279" s="285">
        <v>0</v>
      </c>
      <c r="AS279" s="286">
        <v>0</v>
      </c>
      <c r="AT279" s="286">
        <v>250086.28333333335</v>
      </c>
      <c r="AU279" s="290">
        <v>0</v>
      </c>
      <c r="AV279" s="289">
        <v>250086.28333333335</v>
      </c>
      <c r="AW279" s="291">
        <v>1588114.6430542469</v>
      </c>
    </row>
    <row r="280" spans="1:49" x14ac:dyDescent="0.25">
      <c r="A280" s="264">
        <v>6989404</v>
      </c>
      <c r="B280" s="264" t="str">
        <f>VLOOKUP(A280,'Výpočet VP 2020'!$A$4:$B$318,2,FALSE)</f>
        <v>Obce</v>
      </c>
      <c r="C280" s="264" t="s">
        <v>1416</v>
      </c>
      <c r="D280" s="264" t="s">
        <v>531</v>
      </c>
      <c r="E280" s="264" t="s">
        <v>1415</v>
      </c>
      <c r="F280" s="264">
        <v>6989404</v>
      </c>
      <c r="G280" s="264" t="s">
        <v>1223</v>
      </c>
      <c r="H280" s="264">
        <v>2019</v>
      </c>
      <c r="I280" s="265"/>
      <c r="J280" s="278"/>
      <c r="K280" s="279"/>
      <c r="L280" s="279"/>
      <c r="M280" s="280"/>
      <c r="N280" s="280">
        <v>2062</v>
      </c>
      <c r="O280" s="279"/>
      <c r="P280" s="281" t="s">
        <v>1407</v>
      </c>
      <c r="Q280" s="264"/>
      <c r="R280" s="282"/>
      <c r="S280" s="281" t="s">
        <v>1733</v>
      </c>
      <c r="T280" s="281">
        <v>2.35</v>
      </c>
      <c r="U280" s="264">
        <v>0.35</v>
      </c>
      <c r="V280" s="282">
        <v>2</v>
      </c>
      <c r="W280" s="281">
        <v>0</v>
      </c>
      <c r="X280" s="281">
        <v>0</v>
      </c>
      <c r="Y280" s="264">
        <v>0</v>
      </c>
      <c r="Z280" s="282">
        <v>0</v>
      </c>
      <c r="AA280" s="281">
        <v>20</v>
      </c>
      <c r="AB280" s="281">
        <v>0</v>
      </c>
      <c r="AD280" s="284">
        <v>2.35</v>
      </c>
      <c r="AE280" s="284">
        <v>0.35</v>
      </c>
      <c r="AF280" s="284">
        <v>2</v>
      </c>
      <c r="AG280" s="284">
        <v>0</v>
      </c>
      <c r="AH280" s="284">
        <v>0</v>
      </c>
      <c r="AI280" s="284">
        <v>0</v>
      </c>
      <c r="AJ280" s="284">
        <v>20</v>
      </c>
      <c r="AL280" s="285">
        <v>1350846.0480794588</v>
      </c>
      <c r="AM280" s="286">
        <v>0</v>
      </c>
      <c r="AN280" s="287">
        <v>130064.06024260032</v>
      </c>
      <c r="AO280" s="288">
        <v>0</v>
      </c>
      <c r="AP280" s="289">
        <v>1480910.108322059</v>
      </c>
      <c r="AQ280" s="266"/>
      <c r="AR280" s="285">
        <v>0</v>
      </c>
      <c r="AS280" s="286">
        <v>0</v>
      </c>
      <c r="AT280" s="286">
        <v>0</v>
      </c>
      <c r="AU280" s="290">
        <v>0</v>
      </c>
      <c r="AV280" s="289">
        <v>0</v>
      </c>
      <c r="AW280" s="291">
        <v>1480910.108322059</v>
      </c>
    </row>
    <row r="281" spans="1:49" x14ac:dyDescent="0.25">
      <c r="A281" s="264">
        <v>1696009</v>
      </c>
      <c r="B281" s="264" t="str">
        <f>VLOOKUP(A281,'Výpočet VP 2020'!$A$4:$B$318,2,FALSE)</f>
        <v>Obce</v>
      </c>
      <c r="C281" s="264" t="s">
        <v>859</v>
      </c>
      <c r="D281" s="264" t="s">
        <v>857</v>
      </c>
      <c r="E281" s="264" t="s">
        <v>1422</v>
      </c>
      <c r="F281" s="264">
        <v>1696009</v>
      </c>
      <c r="G281" s="264" t="s">
        <v>1134</v>
      </c>
      <c r="H281" s="264">
        <v>2019</v>
      </c>
      <c r="I281" s="265"/>
      <c r="J281" s="278"/>
      <c r="K281" s="279">
        <v>1201</v>
      </c>
      <c r="L281" s="279"/>
      <c r="M281" s="280"/>
      <c r="N281" s="280"/>
      <c r="O281" s="279"/>
      <c r="P281" s="281" t="s">
        <v>1386</v>
      </c>
      <c r="Q281" s="264"/>
      <c r="R281" s="282"/>
      <c r="S281" s="281" t="s">
        <v>1733</v>
      </c>
      <c r="T281" s="281">
        <v>0.9</v>
      </c>
      <c r="U281" s="264">
        <v>0.4</v>
      </c>
      <c r="V281" s="282">
        <v>0.5</v>
      </c>
      <c r="W281" s="281">
        <v>0</v>
      </c>
      <c r="X281" s="281">
        <v>0</v>
      </c>
      <c r="Y281" s="264">
        <v>7</v>
      </c>
      <c r="Z281" s="282">
        <v>0</v>
      </c>
      <c r="AA281" s="281">
        <v>0</v>
      </c>
      <c r="AB281" s="281">
        <v>0</v>
      </c>
      <c r="AD281" s="284">
        <v>0.9</v>
      </c>
      <c r="AE281" s="284">
        <v>0.4</v>
      </c>
      <c r="AF281" s="284">
        <v>0.5</v>
      </c>
      <c r="AG281" s="284">
        <v>0</v>
      </c>
      <c r="AH281" s="284">
        <v>0</v>
      </c>
      <c r="AI281" s="284">
        <v>7</v>
      </c>
      <c r="AJ281" s="284">
        <v>0</v>
      </c>
      <c r="AL281" s="285">
        <v>610605.96993273334</v>
      </c>
      <c r="AM281" s="286">
        <v>0</v>
      </c>
      <c r="AN281" s="287">
        <v>149859.74295350397</v>
      </c>
      <c r="AO281" s="288">
        <v>0</v>
      </c>
      <c r="AP281" s="289">
        <v>760465.71288623731</v>
      </c>
      <c r="AQ281" s="266"/>
      <c r="AR281" s="285">
        <v>0</v>
      </c>
      <c r="AS281" s="286">
        <v>0</v>
      </c>
      <c r="AT281" s="286">
        <v>48944</v>
      </c>
      <c r="AU281" s="290">
        <v>0</v>
      </c>
      <c r="AV281" s="289">
        <v>48944</v>
      </c>
      <c r="AW281" s="291">
        <v>711521.71288623731</v>
      </c>
    </row>
    <row r="282" spans="1:49" x14ac:dyDescent="0.25">
      <c r="A282" s="264">
        <v>4720531</v>
      </c>
      <c r="B282" s="264" t="str">
        <f>VLOOKUP(A282,'Výpočet VP 2020'!$A$4:$B$318,2,FALSE)</f>
        <v>Obce</v>
      </c>
      <c r="C282" s="264" t="s">
        <v>859</v>
      </c>
      <c r="D282" s="264" t="s">
        <v>947</v>
      </c>
      <c r="E282" s="264" t="s">
        <v>1425</v>
      </c>
      <c r="F282" s="264">
        <v>4720531</v>
      </c>
      <c r="G282" s="264" t="s">
        <v>1068</v>
      </c>
      <c r="H282" s="264">
        <v>2019</v>
      </c>
      <c r="I282" s="265"/>
      <c r="J282" s="278"/>
      <c r="K282" s="279">
        <v>1015</v>
      </c>
      <c r="L282" s="279"/>
      <c r="M282" s="280"/>
      <c r="N282" s="280"/>
      <c r="O282" s="279"/>
      <c r="P282" s="281" t="s">
        <v>1386</v>
      </c>
      <c r="Q282" s="264"/>
      <c r="R282" s="282"/>
      <c r="S282" s="281" t="s">
        <v>1733</v>
      </c>
      <c r="T282" s="281">
        <v>1.25</v>
      </c>
      <c r="U282" s="264">
        <v>0</v>
      </c>
      <c r="V282" s="282">
        <v>1.25</v>
      </c>
      <c r="W282" s="281">
        <v>0</v>
      </c>
      <c r="X282" s="281">
        <v>0</v>
      </c>
      <c r="Y282" s="264">
        <v>6</v>
      </c>
      <c r="Z282" s="282">
        <v>0</v>
      </c>
      <c r="AA282" s="281">
        <v>0</v>
      </c>
      <c r="AB282" s="281">
        <v>0</v>
      </c>
      <c r="AD282" s="284">
        <v>1.25</v>
      </c>
      <c r="AE282" s="284">
        <v>0</v>
      </c>
      <c r="AF282" s="284">
        <v>1.25</v>
      </c>
      <c r="AG282" s="284">
        <v>0</v>
      </c>
      <c r="AH282" s="284">
        <v>0</v>
      </c>
      <c r="AI282" s="284">
        <v>6</v>
      </c>
      <c r="AJ282" s="284">
        <v>0</v>
      </c>
      <c r="AL282" s="285">
        <v>848063.84712879639</v>
      </c>
      <c r="AM282" s="286">
        <v>0</v>
      </c>
      <c r="AN282" s="287">
        <v>128451.20824586053</v>
      </c>
      <c r="AO282" s="288">
        <v>0</v>
      </c>
      <c r="AP282" s="289">
        <v>976515.05537465692</v>
      </c>
      <c r="AQ282" s="266"/>
      <c r="AR282" s="285">
        <v>0</v>
      </c>
      <c r="AS282" s="286">
        <v>0</v>
      </c>
      <c r="AT282" s="286">
        <v>41952</v>
      </c>
      <c r="AU282" s="290">
        <v>0</v>
      </c>
      <c r="AV282" s="289">
        <v>41952</v>
      </c>
      <c r="AW282" s="291">
        <v>934563.05537465692</v>
      </c>
    </row>
    <row r="283" spans="1:49" x14ac:dyDescent="0.25">
      <c r="A283" s="264">
        <v>4987165</v>
      </c>
      <c r="B283" s="264" t="str">
        <f>VLOOKUP(A283,'Výpočet VP 2020'!$A$4:$B$318,2,FALSE)</f>
        <v>Obce</v>
      </c>
      <c r="C283" s="264" t="s">
        <v>1436</v>
      </c>
      <c r="D283" s="264" t="s">
        <v>332</v>
      </c>
      <c r="E283" s="264" t="s">
        <v>1435</v>
      </c>
      <c r="F283" s="264">
        <v>4987165</v>
      </c>
      <c r="G283" s="264" t="s">
        <v>1192</v>
      </c>
      <c r="H283" s="264">
        <v>2019</v>
      </c>
      <c r="I283" s="265"/>
      <c r="J283" s="278"/>
      <c r="K283" s="279">
        <v>1031</v>
      </c>
      <c r="L283" s="279"/>
      <c r="M283" s="280"/>
      <c r="N283" s="280"/>
      <c r="O283" s="279"/>
      <c r="P283" s="281" t="s">
        <v>1428</v>
      </c>
      <c r="Q283" s="264"/>
      <c r="R283" s="282"/>
      <c r="S283" s="281">
        <v>44196</v>
      </c>
      <c r="T283" s="281">
        <v>4.5</v>
      </c>
      <c r="U283" s="264">
        <v>2.5</v>
      </c>
      <c r="V283" s="282">
        <v>2</v>
      </c>
      <c r="W283" s="281">
        <v>0</v>
      </c>
      <c r="X283" s="281">
        <v>0</v>
      </c>
      <c r="Y283" s="264">
        <v>0</v>
      </c>
      <c r="Z283" s="282">
        <v>234</v>
      </c>
      <c r="AA283" s="281">
        <v>0</v>
      </c>
      <c r="AB283" s="281">
        <v>0</v>
      </c>
      <c r="AD283" s="284">
        <v>4.5</v>
      </c>
      <c r="AE283" s="284">
        <v>2.5</v>
      </c>
      <c r="AF283" s="284">
        <v>2</v>
      </c>
      <c r="AG283" s="284">
        <v>0</v>
      </c>
      <c r="AH283" s="284">
        <v>0</v>
      </c>
      <c r="AI283" s="284">
        <v>0</v>
      </c>
      <c r="AJ283" s="284">
        <v>0</v>
      </c>
      <c r="AL283" s="285">
        <v>2901027.5972704603</v>
      </c>
      <c r="AM283" s="286">
        <v>0</v>
      </c>
      <c r="AN283" s="287">
        <v>197859.479610396</v>
      </c>
      <c r="AO283" s="288">
        <v>0</v>
      </c>
      <c r="AP283" s="289">
        <v>3098887.0768808564</v>
      </c>
      <c r="AQ283" s="266"/>
      <c r="AR283" s="285">
        <v>0</v>
      </c>
      <c r="AS283" s="286">
        <v>0</v>
      </c>
      <c r="AT283" s="286">
        <v>0</v>
      </c>
      <c r="AU283" s="290">
        <v>0</v>
      </c>
      <c r="AV283" s="289">
        <v>0</v>
      </c>
      <c r="AW283" s="291">
        <v>3098887.0768808564</v>
      </c>
    </row>
    <row r="284" spans="1:49" x14ac:dyDescent="0.25">
      <c r="A284" s="264">
        <v>1272659</v>
      </c>
      <c r="B284" s="264" t="str">
        <f>VLOOKUP(A284,'Výpočet VP 2020'!$A$4:$B$318,2,FALSE)</f>
        <v>Obce</v>
      </c>
      <c r="C284" s="264" t="s">
        <v>647</v>
      </c>
      <c r="D284" s="264" t="s">
        <v>647</v>
      </c>
      <c r="E284" s="264" t="s">
        <v>1426</v>
      </c>
      <c r="F284" s="264">
        <v>1272659</v>
      </c>
      <c r="G284" s="264" t="s">
        <v>1223</v>
      </c>
      <c r="H284" s="264">
        <v>2019</v>
      </c>
      <c r="I284" s="265"/>
      <c r="J284" s="278"/>
      <c r="K284" s="279">
        <v>973</v>
      </c>
      <c r="L284" s="279"/>
      <c r="M284" s="280"/>
      <c r="N284" s="280"/>
      <c r="O284" s="279"/>
      <c r="P284" s="281" t="s">
        <v>1428</v>
      </c>
      <c r="Q284" s="264"/>
      <c r="R284" s="282"/>
      <c r="S284" s="281">
        <v>44196</v>
      </c>
      <c r="T284" s="281">
        <v>2</v>
      </c>
      <c r="U284" s="264">
        <v>1</v>
      </c>
      <c r="V284" s="282">
        <v>1</v>
      </c>
      <c r="W284" s="281">
        <v>0</v>
      </c>
      <c r="X284" s="281">
        <v>0</v>
      </c>
      <c r="Y284" s="264">
        <v>0</v>
      </c>
      <c r="Z284" s="282">
        <v>168</v>
      </c>
      <c r="AA284" s="281">
        <v>0</v>
      </c>
      <c r="AB284" s="281">
        <v>0</v>
      </c>
      <c r="AD284" s="284">
        <v>2</v>
      </c>
      <c r="AE284" s="284">
        <v>1</v>
      </c>
      <c r="AF284" s="284">
        <v>1</v>
      </c>
      <c r="AG284" s="284">
        <v>0</v>
      </c>
      <c r="AH284" s="284">
        <v>0</v>
      </c>
      <c r="AI284" s="284">
        <v>0</v>
      </c>
      <c r="AJ284" s="284">
        <v>0</v>
      </c>
      <c r="AL284" s="285">
        <v>1289345.5987868712</v>
      </c>
      <c r="AM284" s="286">
        <v>0</v>
      </c>
      <c r="AN284" s="287">
        <v>87937.546493509333</v>
      </c>
      <c r="AO284" s="288">
        <v>0</v>
      </c>
      <c r="AP284" s="289">
        <v>1377283.1452803805</v>
      </c>
      <c r="AQ284" s="266"/>
      <c r="AR284" s="285">
        <v>0</v>
      </c>
      <c r="AS284" s="286">
        <v>0</v>
      </c>
      <c r="AT284" s="286">
        <v>0</v>
      </c>
      <c r="AU284" s="290">
        <v>0</v>
      </c>
      <c r="AV284" s="289">
        <v>0</v>
      </c>
      <c r="AW284" s="291">
        <v>1377283.1452803805</v>
      </c>
    </row>
    <row r="285" spans="1:49" x14ac:dyDescent="0.25">
      <c r="A285" s="264">
        <v>3994122</v>
      </c>
      <c r="B285" s="264" t="str">
        <f>VLOOKUP(A285,'Výpočet VP 2020'!$A$4:$B$318,2,FALSE)</f>
        <v>Obce</v>
      </c>
      <c r="C285" s="264" t="s">
        <v>642</v>
      </c>
      <c r="D285" s="264" t="s">
        <v>640</v>
      </c>
      <c r="E285" s="264" t="s">
        <v>1483</v>
      </c>
      <c r="F285" s="264">
        <v>3994122</v>
      </c>
      <c r="G285" s="264" t="s">
        <v>1061</v>
      </c>
      <c r="H285" s="264">
        <v>2019</v>
      </c>
      <c r="I285" s="265"/>
      <c r="J285" s="278"/>
      <c r="K285" s="279">
        <v>1058</v>
      </c>
      <c r="L285" s="279"/>
      <c r="M285" s="280"/>
      <c r="N285" s="280"/>
      <c r="O285" s="279"/>
      <c r="P285" s="281" t="s">
        <v>1466</v>
      </c>
      <c r="Q285" s="264"/>
      <c r="R285" s="282"/>
      <c r="S285" s="281">
        <v>44196</v>
      </c>
      <c r="T285" s="281">
        <v>3.2</v>
      </c>
      <c r="U285" s="264">
        <v>2.2000000000000002</v>
      </c>
      <c r="V285" s="282">
        <v>1</v>
      </c>
      <c r="W285" s="281">
        <v>0</v>
      </c>
      <c r="X285" s="281">
        <v>0</v>
      </c>
      <c r="Y285" s="264">
        <v>0</v>
      </c>
      <c r="Z285" s="282">
        <v>15</v>
      </c>
      <c r="AA285" s="281">
        <v>25</v>
      </c>
      <c r="AB285" s="281">
        <v>0</v>
      </c>
      <c r="AD285" s="284">
        <v>3.2</v>
      </c>
      <c r="AE285" s="284">
        <v>2.2000000000000002</v>
      </c>
      <c r="AF285" s="284">
        <v>1</v>
      </c>
      <c r="AG285" s="284">
        <v>0</v>
      </c>
      <c r="AH285" s="284">
        <v>0</v>
      </c>
      <c r="AI285" s="284">
        <v>0</v>
      </c>
      <c r="AJ285" s="284">
        <v>25</v>
      </c>
      <c r="AL285" s="285">
        <v>2149206.4651350891</v>
      </c>
      <c r="AM285" s="286">
        <v>0</v>
      </c>
      <c r="AN285" s="287">
        <v>136899.15315176072</v>
      </c>
      <c r="AO285" s="288">
        <v>0</v>
      </c>
      <c r="AP285" s="289">
        <v>2286105.6182868499</v>
      </c>
      <c r="AQ285" s="266"/>
      <c r="AR285" s="285">
        <v>0</v>
      </c>
      <c r="AS285" s="286">
        <v>0</v>
      </c>
      <c r="AT285" s="286">
        <v>0</v>
      </c>
      <c r="AU285" s="290">
        <v>0</v>
      </c>
      <c r="AV285" s="289">
        <v>0</v>
      </c>
      <c r="AW285" s="291">
        <v>2286105.6182868499</v>
      </c>
    </row>
    <row r="286" spans="1:49" x14ac:dyDescent="0.25">
      <c r="A286" s="264">
        <v>5945407</v>
      </c>
      <c r="B286" s="264" t="str">
        <f>VLOOKUP(A286,'Výpočet VP 2020'!$A$4:$B$318,2,FALSE)</f>
        <v>Obce</v>
      </c>
      <c r="C286" s="264" t="s">
        <v>674</v>
      </c>
      <c r="D286" s="264" t="s">
        <v>674</v>
      </c>
      <c r="E286" s="264" t="s">
        <v>1491</v>
      </c>
      <c r="F286" s="264">
        <v>5945407</v>
      </c>
      <c r="G286" s="264" t="s">
        <v>1128</v>
      </c>
      <c r="H286" s="264">
        <v>2019</v>
      </c>
      <c r="I286" s="265"/>
      <c r="J286" s="278"/>
      <c r="K286" s="279">
        <v>1228</v>
      </c>
      <c r="L286" s="279"/>
      <c r="M286" s="280"/>
      <c r="N286" s="280"/>
      <c r="O286" s="279"/>
      <c r="P286" s="281" t="s">
        <v>1466</v>
      </c>
      <c r="Q286" s="264"/>
      <c r="R286" s="282"/>
      <c r="S286" s="281">
        <v>44196</v>
      </c>
      <c r="T286" s="281">
        <v>1.25</v>
      </c>
      <c r="U286" s="264">
        <v>1.25</v>
      </c>
      <c r="V286" s="282">
        <v>0</v>
      </c>
      <c r="W286" s="281">
        <v>0</v>
      </c>
      <c r="X286" s="281">
        <v>0</v>
      </c>
      <c r="Y286" s="264">
        <v>0</v>
      </c>
      <c r="Z286" s="282">
        <v>6</v>
      </c>
      <c r="AA286" s="281">
        <v>0</v>
      </c>
      <c r="AB286" s="281">
        <v>0</v>
      </c>
      <c r="AD286" s="284">
        <v>1.25</v>
      </c>
      <c r="AE286" s="284">
        <v>1.25</v>
      </c>
      <c r="AF286" s="284">
        <v>0</v>
      </c>
      <c r="AG286" s="284">
        <v>0</v>
      </c>
      <c r="AH286" s="284">
        <v>0</v>
      </c>
      <c r="AI286" s="284">
        <v>0</v>
      </c>
      <c r="AJ286" s="284">
        <v>0</v>
      </c>
      <c r="AL286" s="285">
        <v>839533.77544339409</v>
      </c>
      <c r="AM286" s="286">
        <v>0</v>
      </c>
      <c r="AN286" s="287">
        <v>53476.23169990653</v>
      </c>
      <c r="AO286" s="288">
        <v>0</v>
      </c>
      <c r="AP286" s="289">
        <v>893010.00714330061</v>
      </c>
      <c r="AQ286" s="266"/>
      <c r="AR286" s="285">
        <v>0</v>
      </c>
      <c r="AS286" s="286">
        <v>0</v>
      </c>
      <c r="AT286" s="286">
        <v>0</v>
      </c>
      <c r="AU286" s="290">
        <v>0</v>
      </c>
      <c r="AV286" s="289">
        <v>0</v>
      </c>
      <c r="AW286" s="291">
        <v>893010.00714330061</v>
      </c>
    </row>
    <row r="287" spans="1:49" x14ac:dyDescent="0.25">
      <c r="A287" s="264">
        <v>8314639</v>
      </c>
      <c r="B287" s="264" t="str">
        <f>VLOOKUP(A287,'Výpočet VP 2020'!$A$4:$B$318,2,FALSE)</f>
        <v>PO KHK</v>
      </c>
      <c r="C287" s="264" t="s">
        <v>931</v>
      </c>
      <c r="D287" s="264" t="s">
        <v>928</v>
      </c>
      <c r="E287" s="264" t="s">
        <v>1110</v>
      </c>
      <c r="F287" s="264">
        <v>8314639</v>
      </c>
      <c r="G287" s="264" t="s">
        <v>1073</v>
      </c>
      <c r="H287" s="264">
        <v>2019</v>
      </c>
      <c r="I287" s="265"/>
      <c r="J287" s="278"/>
      <c r="K287" s="279"/>
      <c r="L287" s="279"/>
      <c r="M287" s="280"/>
      <c r="N287" s="280"/>
      <c r="O287" s="279">
        <v>3610</v>
      </c>
      <c r="P287" s="281" t="s">
        <v>1081</v>
      </c>
      <c r="Q287" s="264"/>
      <c r="R287" s="282"/>
      <c r="S287" s="281" t="s">
        <v>1733</v>
      </c>
      <c r="T287" s="281">
        <v>4.1500000000000004</v>
      </c>
      <c r="U287" s="264">
        <v>1</v>
      </c>
      <c r="V287" s="282">
        <v>0</v>
      </c>
      <c r="W287" s="281">
        <v>0</v>
      </c>
      <c r="X287" s="281">
        <v>3.15</v>
      </c>
      <c r="Y287" s="264">
        <v>0</v>
      </c>
      <c r="Z287" s="282">
        <v>6352</v>
      </c>
      <c r="AA287" s="281">
        <v>0</v>
      </c>
      <c r="AB287" s="281">
        <v>0</v>
      </c>
      <c r="AD287" s="284">
        <v>4.1500000000000004</v>
      </c>
      <c r="AE287" s="284">
        <v>1</v>
      </c>
      <c r="AF287" s="284">
        <v>0</v>
      </c>
      <c r="AG287" s="284">
        <v>0</v>
      </c>
      <c r="AH287" s="284">
        <v>3.15</v>
      </c>
      <c r="AI287" s="284">
        <v>0</v>
      </c>
      <c r="AJ287" s="284">
        <v>0</v>
      </c>
      <c r="AL287" s="285">
        <v>2763398.8708900833</v>
      </c>
      <c r="AM287" s="286">
        <v>0</v>
      </c>
      <c r="AN287" s="287">
        <v>191758.26403892151</v>
      </c>
      <c r="AO287" s="288">
        <v>0</v>
      </c>
      <c r="AP287" s="289">
        <v>2955157.1349290046</v>
      </c>
      <c r="AQ287" s="266"/>
      <c r="AR287" s="285">
        <v>0</v>
      </c>
      <c r="AS287" s="286">
        <v>0</v>
      </c>
      <c r="AT287" s="286">
        <v>0</v>
      </c>
      <c r="AU287" s="290">
        <v>0</v>
      </c>
      <c r="AV287" s="289">
        <v>0</v>
      </c>
      <c r="AW287" s="291">
        <v>2955157.1349290046</v>
      </c>
    </row>
    <row r="288" spans="1:49" x14ac:dyDescent="0.25">
      <c r="A288" s="264">
        <v>7071797</v>
      </c>
      <c r="B288" s="264" t="str">
        <f>VLOOKUP(A288,'Výpočet VP 2020'!$A$4:$B$318,2,FALSE)</f>
        <v>PO KHK</v>
      </c>
      <c r="C288" s="264" t="s">
        <v>519</v>
      </c>
      <c r="D288" s="264" t="s">
        <v>519</v>
      </c>
      <c r="E288" s="264" t="s">
        <v>1255</v>
      </c>
      <c r="F288" s="264">
        <v>7071797</v>
      </c>
      <c r="G288" s="264" t="s">
        <v>1058</v>
      </c>
      <c r="H288" s="264">
        <v>2019</v>
      </c>
      <c r="I288" s="265"/>
      <c r="J288" s="278"/>
      <c r="K288" s="279">
        <v>965</v>
      </c>
      <c r="L288" s="279"/>
      <c r="M288" s="280"/>
      <c r="N288" s="280"/>
      <c r="O288" s="279"/>
      <c r="P288" s="281" t="s">
        <v>1269</v>
      </c>
      <c r="Q288" s="264"/>
      <c r="R288" s="282"/>
      <c r="S288" s="281" t="s">
        <v>1733</v>
      </c>
      <c r="T288" s="281">
        <v>7.3</v>
      </c>
      <c r="U288" s="264">
        <v>0.7</v>
      </c>
      <c r="V288" s="282">
        <v>5.3</v>
      </c>
      <c r="W288" s="281">
        <v>1.3</v>
      </c>
      <c r="X288" s="281">
        <v>0</v>
      </c>
      <c r="Y288" s="264">
        <v>8</v>
      </c>
      <c r="Z288" s="282">
        <v>0</v>
      </c>
      <c r="AA288" s="281">
        <v>0</v>
      </c>
      <c r="AB288" s="281">
        <v>0</v>
      </c>
      <c r="AD288" s="284">
        <v>7.3</v>
      </c>
      <c r="AE288" s="284">
        <v>0.7</v>
      </c>
      <c r="AF288" s="284">
        <v>5.3</v>
      </c>
      <c r="AG288" s="284">
        <v>1.3</v>
      </c>
      <c r="AH288" s="284">
        <v>0</v>
      </c>
      <c r="AI288" s="284">
        <v>8</v>
      </c>
      <c r="AJ288" s="284">
        <v>0</v>
      </c>
      <c r="AL288" s="285">
        <v>4119016.9374251361</v>
      </c>
      <c r="AM288" s="286">
        <v>0</v>
      </c>
      <c r="AN288" s="287">
        <v>438258.06470167864</v>
      </c>
      <c r="AO288" s="288">
        <v>240181.63857999965</v>
      </c>
      <c r="AP288" s="289">
        <v>4797456.6407068148</v>
      </c>
      <c r="AQ288" s="266"/>
      <c r="AR288" s="285">
        <v>840710.12041614403</v>
      </c>
      <c r="AS288" s="286">
        <v>0</v>
      </c>
      <c r="AT288" s="286">
        <v>307642.5</v>
      </c>
      <c r="AU288" s="290">
        <v>191163.6</v>
      </c>
      <c r="AV288" s="289">
        <v>1339516.220416144</v>
      </c>
      <c r="AW288" s="291">
        <v>3457940.4202906708</v>
      </c>
    </row>
    <row r="289" spans="1:49" x14ac:dyDescent="0.25">
      <c r="A289" s="264">
        <v>6375207</v>
      </c>
      <c r="B289" s="264" t="str">
        <f>VLOOKUP(A289,'Výpočet VP 2020'!$A$4:$B$318,2,FALSE)</f>
        <v>PO KHK</v>
      </c>
      <c r="C289" s="264" t="s">
        <v>997</v>
      </c>
      <c r="D289" s="264" t="s">
        <v>997</v>
      </c>
      <c r="E289" s="264" t="s">
        <v>1261</v>
      </c>
      <c r="F289" s="264">
        <v>6375207</v>
      </c>
      <c r="G289" s="264" t="s">
        <v>1063</v>
      </c>
      <c r="H289" s="264">
        <v>2019</v>
      </c>
      <c r="I289" s="265"/>
      <c r="J289" s="278"/>
      <c r="K289" s="279"/>
      <c r="L289" s="279"/>
      <c r="M289" s="280"/>
      <c r="N289" s="280"/>
      <c r="O289" s="279">
        <v>3607</v>
      </c>
      <c r="P289" s="281" t="s">
        <v>1262</v>
      </c>
      <c r="Q289" s="264"/>
      <c r="R289" s="282"/>
      <c r="S289" s="281" t="s">
        <v>1733</v>
      </c>
      <c r="T289" s="281">
        <v>7.6</v>
      </c>
      <c r="U289" s="264">
        <v>0.6</v>
      </c>
      <c r="V289" s="282">
        <v>7</v>
      </c>
      <c r="W289" s="281">
        <v>0</v>
      </c>
      <c r="X289" s="281">
        <v>0</v>
      </c>
      <c r="Y289" s="264">
        <v>4</v>
      </c>
      <c r="Z289" s="282">
        <v>0</v>
      </c>
      <c r="AA289" s="281">
        <v>0</v>
      </c>
      <c r="AB289" s="281">
        <v>0</v>
      </c>
      <c r="AD289" s="284">
        <v>7.6</v>
      </c>
      <c r="AE289" s="284">
        <v>0.6</v>
      </c>
      <c r="AF289" s="284">
        <v>7</v>
      </c>
      <c r="AG289" s="284">
        <v>0</v>
      </c>
      <c r="AH289" s="284">
        <v>0</v>
      </c>
      <c r="AI289" s="284">
        <v>4</v>
      </c>
      <c r="AJ289" s="284">
        <v>0</v>
      </c>
      <c r="AL289" s="285">
        <v>4288291.6060864432</v>
      </c>
      <c r="AM289" s="286">
        <v>0</v>
      </c>
      <c r="AN289" s="287">
        <v>219129.03235083932</v>
      </c>
      <c r="AO289" s="288">
        <v>120090.81928999982</v>
      </c>
      <c r="AP289" s="289">
        <v>4627511.4577272823</v>
      </c>
      <c r="AQ289" s="266"/>
      <c r="AR289" s="285">
        <v>891662.24892621348</v>
      </c>
      <c r="AS289" s="286">
        <v>0</v>
      </c>
      <c r="AT289" s="286">
        <v>153821.25</v>
      </c>
      <c r="AU289" s="290">
        <v>95581.8</v>
      </c>
      <c r="AV289" s="289">
        <v>1141065.2989262135</v>
      </c>
      <c r="AW289" s="291">
        <v>3486446.1588010686</v>
      </c>
    </row>
    <row r="290" spans="1:49" x14ac:dyDescent="0.25">
      <c r="A290" s="264">
        <v>1878615</v>
      </c>
      <c r="B290" s="264" t="str">
        <f>VLOOKUP(A290,'Výpočet VP 2020'!$A$4:$B$318,2,FALSE)</f>
        <v>PO KHK</v>
      </c>
      <c r="C290" s="264" t="s">
        <v>502</v>
      </c>
      <c r="D290" s="264" t="s">
        <v>502</v>
      </c>
      <c r="E290" s="264" t="s">
        <v>1254</v>
      </c>
      <c r="F290" s="264">
        <v>1878615</v>
      </c>
      <c r="G290" s="264" t="s">
        <v>1128</v>
      </c>
      <c r="H290" s="264">
        <v>2019</v>
      </c>
      <c r="I290" s="265"/>
      <c r="J290" s="278"/>
      <c r="K290" s="279">
        <v>1228</v>
      </c>
      <c r="L290" s="279"/>
      <c r="M290" s="280"/>
      <c r="N290" s="280"/>
      <c r="O290" s="279"/>
      <c r="P290" s="281" t="s">
        <v>1177</v>
      </c>
      <c r="Q290" s="264"/>
      <c r="R290" s="282"/>
      <c r="S290" s="281" t="s">
        <v>1733</v>
      </c>
      <c r="T290" s="281">
        <v>1.07</v>
      </c>
      <c r="U290" s="264">
        <v>0.05</v>
      </c>
      <c r="V290" s="282">
        <v>0.55000000000000004</v>
      </c>
      <c r="W290" s="281">
        <v>0.47</v>
      </c>
      <c r="X290" s="281">
        <v>0</v>
      </c>
      <c r="Y290" s="264">
        <v>3</v>
      </c>
      <c r="Z290" s="282">
        <v>0</v>
      </c>
      <c r="AA290" s="281">
        <v>0</v>
      </c>
      <c r="AB290" s="281">
        <v>0</v>
      </c>
      <c r="AC290" s="313"/>
      <c r="AD290" s="284">
        <v>1.07</v>
      </c>
      <c r="AE290" s="284">
        <v>0.05</v>
      </c>
      <c r="AF290" s="284">
        <v>0.55000000000000004</v>
      </c>
      <c r="AG290" s="284">
        <v>0.47</v>
      </c>
      <c r="AH290" s="284">
        <v>0</v>
      </c>
      <c r="AI290" s="284">
        <v>3</v>
      </c>
      <c r="AJ290" s="284">
        <v>0</v>
      </c>
      <c r="AK290" s="313"/>
      <c r="AL290" s="285">
        <v>603746.31822532823</v>
      </c>
      <c r="AM290" s="286">
        <v>0</v>
      </c>
      <c r="AN290" s="287">
        <v>164346.77426312948</v>
      </c>
      <c r="AO290" s="288">
        <v>90068.114467499865</v>
      </c>
      <c r="AP290" s="289">
        <v>858161.20695595758</v>
      </c>
      <c r="AQ290" s="266"/>
      <c r="AR290" s="285">
        <v>129927.92770067682</v>
      </c>
      <c r="AS290" s="286">
        <v>0</v>
      </c>
      <c r="AT290" s="286">
        <v>115365.9375</v>
      </c>
      <c r="AU290" s="290">
        <v>71686.350000000006</v>
      </c>
      <c r="AV290" s="289">
        <v>316980.21520067682</v>
      </c>
      <c r="AW290" s="291">
        <v>541180.99175528076</v>
      </c>
    </row>
    <row r="291" spans="1:49" x14ac:dyDescent="0.25">
      <c r="A291" s="264">
        <v>3446957</v>
      </c>
      <c r="B291" s="264" t="str">
        <f>VLOOKUP(A291,'Výpočet VP 2020'!$A$4:$B$318,2,FALSE)</f>
        <v>PO KHK</v>
      </c>
      <c r="C291" s="264" t="s">
        <v>425</v>
      </c>
      <c r="D291" s="264" t="s">
        <v>425</v>
      </c>
      <c r="E291" s="264" t="s">
        <v>1288</v>
      </c>
      <c r="F291" s="264">
        <v>3446957</v>
      </c>
      <c r="G291" s="264" t="s">
        <v>1131</v>
      </c>
      <c r="H291" s="264">
        <v>2019</v>
      </c>
      <c r="I291" s="265"/>
      <c r="J291" s="278"/>
      <c r="K291" s="279">
        <v>1104</v>
      </c>
      <c r="L291" s="279"/>
      <c r="M291" s="280"/>
      <c r="N291" s="280"/>
      <c r="O291" s="279"/>
      <c r="P291" s="281" t="s">
        <v>1262</v>
      </c>
      <c r="Q291" s="264"/>
      <c r="R291" s="282"/>
      <c r="S291" s="281" t="s">
        <v>1733</v>
      </c>
      <c r="T291" s="281">
        <v>1.4</v>
      </c>
      <c r="U291" s="264">
        <v>0.3</v>
      </c>
      <c r="V291" s="282">
        <v>1</v>
      </c>
      <c r="W291" s="281">
        <v>0</v>
      </c>
      <c r="X291" s="281">
        <v>0.1</v>
      </c>
      <c r="Y291" s="264">
        <v>0</v>
      </c>
      <c r="Z291" s="282">
        <v>0</v>
      </c>
      <c r="AA291" s="281">
        <v>5</v>
      </c>
      <c r="AB291" s="281">
        <v>0</v>
      </c>
      <c r="AD291" s="284">
        <v>1.4</v>
      </c>
      <c r="AE291" s="284">
        <v>0.3</v>
      </c>
      <c r="AF291" s="284">
        <v>1</v>
      </c>
      <c r="AG291" s="284">
        <v>0</v>
      </c>
      <c r="AH291" s="284">
        <v>0.1</v>
      </c>
      <c r="AI291" s="284">
        <v>0</v>
      </c>
      <c r="AJ291" s="284">
        <v>5</v>
      </c>
      <c r="AL291" s="285">
        <v>997928.29176842794</v>
      </c>
      <c r="AM291" s="286">
        <v>0</v>
      </c>
      <c r="AN291" s="287">
        <v>135475.36781558755</v>
      </c>
      <c r="AO291" s="288">
        <v>26490.284446221005</v>
      </c>
      <c r="AP291" s="289">
        <v>1159893.9440302367</v>
      </c>
      <c r="AQ291" s="266"/>
      <c r="AR291" s="285">
        <v>148382.81045751635</v>
      </c>
      <c r="AS291" s="286">
        <v>0</v>
      </c>
      <c r="AT291" s="286">
        <v>0</v>
      </c>
      <c r="AU291" s="290">
        <v>27261.538461538461</v>
      </c>
      <c r="AV291" s="289">
        <v>175644.34891905481</v>
      </c>
      <c r="AW291" s="291">
        <v>984249.59511118184</v>
      </c>
    </row>
    <row r="292" spans="1:49" x14ac:dyDescent="0.25">
      <c r="A292" s="292">
        <v>5000179</v>
      </c>
      <c r="B292" s="264" t="str">
        <f>VLOOKUP(A292,'Výpočet VP 2020'!$A$4:$B$318,2,FALSE)</f>
        <v>PO KHK</v>
      </c>
      <c r="C292" s="292" t="s">
        <v>261</v>
      </c>
      <c r="D292" s="292" t="s">
        <v>257</v>
      </c>
      <c r="E292" s="292" t="s">
        <v>1310</v>
      </c>
      <c r="F292" s="292">
        <v>5000179</v>
      </c>
      <c r="G292" s="292" t="s">
        <v>1087</v>
      </c>
      <c r="H292" s="264">
        <v>2019</v>
      </c>
      <c r="I292" s="265"/>
      <c r="J292" s="294"/>
      <c r="K292" s="295"/>
      <c r="L292" s="295"/>
      <c r="M292" s="296">
        <v>86</v>
      </c>
      <c r="N292" s="296"/>
      <c r="O292" s="295"/>
      <c r="P292" s="297" t="s">
        <v>1262</v>
      </c>
      <c r="Q292" s="292"/>
      <c r="R292" s="298"/>
      <c r="S292" s="297" t="s">
        <v>1733</v>
      </c>
      <c r="T292" s="297">
        <v>66</v>
      </c>
      <c r="U292" s="292">
        <v>2.5</v>
      </c>
      <c r="V292" s="298">
        <v>54.5</v>
      </c>
      <c r="W292" s="297">
        <v>9</v>
      </c>
      <c r="X292" s="297">
        <v>0</v>
      </c>
      <c r="Y292" s="292">
        <v>58</v>
      </c>
      <c r="Z292" s="298">
        <v>0</v>
      </c>
      <c r="AA292" s="297">
        <v>0</v>
      </c>
      <c r="AB292" s="297">
        <v>0</v>
      </c>
      <c r="AD292" s="284">
        <v>66</v>
      </c>
      <c r="AE292" s="284">
        <v>2.5</v>
      </c>
      <c r="AF292" s="284">
        <v>54.5</v>
      </c>
      <c r="AG292" s="284">
        <v>9</v>
      </c>
      <c r="AH292" s="284">
        <v>0</v>
      </c>
      <c r="AI292" s="284">
        <v>58</v>
      </c>
      <c r="AJ292" s="284">
        <v>0</v>
      </c>
      <c r="AL292" s="285">
        <v>36451928.733922698</v>
      </c>
      <c r="AM292" s="286">
        <v>7302869.7110056607</v>
      </c>
      <c r="AN292" s="287">
        <v>5918841.165972515</v>
      </c>
      <c r="AO292" s="288">
        <v>3801842.214454527</v>
      </c>
      <c r="AP292" s="289">
        <v>53475481.825355396</v>
      </c>
      <c r="AQ292" s="266"/>
      <c r="AR292" s="285">
        <v>6154980.6411764706</v>
      </c>
      <c r="AS292" s="286">
        <v>1528284.0784313725</v>
      </c>
      <c r="AT292" s="286">
        <v>2774445.2631578948</v>
      </c>
      <c r="AU292" s="290">
        <v>2625639.7000000002</v>
      </c>
      <c r="AV292" s="289">
        <v>13083349.682765737</v>
      </c>
      <c r="AW292" s="291">
        <v>40392132.142589658</v>
      </c>
    </row>
    <row r="293" spans="1:49" x14ac:dyDescent="0.25">
      <c r="A293" s="264">
        <v>3473171</v>
      </c>
      <c r="B293" s="264" t="str">
        <f>VLOOKUP(A293,'Výpočet VP 2020'!$A$4:$B$318,2,FALSE)</f>
        <v>PO KHK</v>
      </c>
      <c r="C293" s="264" t="s">
        <v>425</v>
      </c>
      <c r="D293" s="264" t="s">
        <v>425</v>
      </c>
      <c r="E293" s="264" t="s">
        <v>1310</v>
      </c>
      <c r="F293" s="264">
        <v>3473171</v>
      </c>
      <c r="G293" s="264" t="s">
        <v>1087</v>
      </c>
      <c r="H293" s="264">
        <v>2019</v>
      </c>
      <c r="I293" s="265"/>
      <c r="J293" s="278"/>
      <c r="K293" s="279"/>
      <c r="L293" s="279"/>
      <c r="M293" s="280">
        <v>86</v>
      </c>
      <c r="N293" s="280"/>
      <c r="O293" s="279"/>
      <c r="P293" s="281" t="s">
        <v>1262</v>
      </c>
      <c r="Q293" s="264"/>
      <c r="R293" s="282"/>
      <c r="S293" s="281" t="s">
        <v>1733</v>
      </c>
      <c r="T293" s="281">
        <v>60.075000000000003</v>
      </c>
      <c r="U293" s="264">
        <v>2.8</v>
      </c>
      <c r="V293" s="282">
        <v>48.5</v>
      </c>
      <c r="W293" s="281">
        <v>8</v>
      </c>
      <c r="X293" s="281">
        <v>0.77500000000000002</v>
      </c>
      <c r="Y293" s="264">
        <v>111</v>
      </c>
      <c r="Z293" s="282">
        <v>0</v>
      </c>
      <c r="AA293" s="281">
        <v>0</v>
      </c>
      <c r="AB293" s="281">
        <v>0</v>
      </c>
      <c r="AD293" s="284">
        <v>60.075000000000003</v>
      </c>
      <c r="AE293" s="284">
        <v>2.8</v>
      </c>
      <c r="AF293" s="284">
        <v>48.5</v>
      </c>
      <c r="AG293" s="284">
        <v>8</v>
      </c>
      <c r="AH293" s="284">
        <v>0.77500000000000002</v>
      </c>
      <c r="AI293" s="284">
        <v>111</v>
      </c>
      <c r="AJ293" s="284">
        <v>0</v>
      </c>
      <c r="AL293" s="285">
        <v>33302354.189807441</v>
      </c>
      <c r="AM293" s="286">
        <v>6491439.7431161432</v>
      </c>
      <c r="AN293" s="287">
        <v>11327437.403843952</v>
      </c>
      <c r="AO293" s="288">
        <v>7275939.410421595</v>
      </c>
      <c r="AP293" s="289">
        <v>58397170.747189134</v>
      </c>
      <c r="AQ293" s="266"/>
      <c r="AR293" s="285">
        <v>11779359.502941176</v>
      </c>
      <c r="AS293" s="286">
        <v>2924819.5294117643</v>
      </c>
      <c r="AT293" s="286">
        <v>5309714.2105263164</v>
      </c>
      <c r="AU293" s="290">
        <v>5024931.1500000004</v>
      </c>
      <c r="AV293" s="289">
        <v>25038824.392879255</v>
      </c>
      <c r="AW293" s="291">
        <v>33358346.354309879</v>
      </c>
    </row>
    <row r="294" spans="1:49" x14ac:dyDescent="0.25">
      <c r="A294" s="264">
        <v>8338145</v>
      </c>
      <c r="B294" s="264" t="str">
        <f>VLOOKUP(A294,'Výpočet VP 2020'!$A$4:$B$318,2,FALSE)</f>
        <v>PO KHK</v>
      </c>
      <c r="C294" s="264" t="s">
        <v>485</v>
      </c>
      <c r="D294" s="264" t="s">
        <v>485</v>
      </c>
      <c r="E294" s="264" t="s">
        <v>1310</v>
      </c>
      <c r="F294" s="264">
        <v>8338145</v>
      </c>
      <c r="G294" s="264" t="s">
        <v>1087</v>
      </c>
      <c r="H294" s="264">
        <v>2019</v>
      </c>
      <c r="I294" s="265"/>
      <c r="J294" s="278"/>
      <c r="K294" s="279"/>
      <c r="L294" s="279"/>
      <c r="M294" s="280">
        <v>86</v>
      </c>
      <c r="N294" s="280"/>
      <c r="O294" s="279"/>
      <c r="P294" s="281" t="s">
        <v>1262</v>
      </c>
      <c r="Q294" s="264"/>
      <c r="R294" s="282">
        <v>43647</v>
      </c>
      <c r="S294" s="281" t="s">
        <v>1733</v>
      </c>
      <c r="T294" s="281">
        <v>5.95</v>
      </c>
      <c r="U294" s="264">
        <v>0.2</v>
      </c>
      <c r="V294" s="282">
        <v>4.8499999999999996</v>
      </c>
      <c r="W294" s="281">
        <v>0.9</v>
      </c>
      <c r="X294" s="281">
        <v>0</v>
      </c>
      <c r="Y294" s="264">
        <v>5</v>
      </c>
      <c r="Z294" s="282">
        <v>0</v>
      </c>
      <c r="AA294" s="281">
        <v>0</v>
      </c>
      <c r="AB294" s="281">
        <v>0</v>
      </c>
      <c r="AD294" s="284">
        <v>5.95</v>
      </c>
      <c r="AE294" s="284">
        <v>0.2</v>
      </c>
      <c r="AF294" s="284">
        <v>4.8499999999999996</v>
      </c>
      <c r="AG294" s="284">
        <v>0.9</v>
      </c>
      <c r="AH294" s="284">
        <v>0</v>
      </c>
      <c r="AI294" s="284">
        <v>5</v>
      </c>
      <c r="AJ294" s="284">
        <v>0</v>
      </c>
      <c r="AL294" s="285">
        <v>3229512.9843212212</v>
      </c>
      <c r="AM294" s="286">
        <v>730286.97110056609</v>
      </c>
      <c r="AN294" s="287">
        <v>510244.9281010789</v>
      </c>
      <c r="AO294" s="288">
        <v>327745.01848745922</v>
      </c>
      <c r="AP294" s="289">
        <v>4797789.9020103253</v>
      </c>
      <c r="AQ294" s="266"/>
      <c r="AR294" s="285">
        <v>530601.7794117647</v>
      </c>
      <c r="AS294" s="286">
        <v>131748.62745098039</v>
      </c>
      <c r="AT294" s="286">
        <v>239176.31578947371</v>
      </c>
      <c r="AU294" s="290">
        <v>226348.25</v>
      </c>
      <c r="AV294" s="289">
        <v>1127874.9726522188</v>
      </c>
      <c r="AW294" s="291">
        <v>3669914.9293581066</v>
      </c>
    </row>
    <row r="295" spans="1:49" x14ac:dyDescent="0.25">
      <c r="A295" s="264">
        <v>9445282</v>
      </c>
      <c r="B295" s="264" t="str">
        <f>VLOOKUP(A295,'Výpočet VP 2020'!$A$4:$B$318,2,FALSE)</f>
        <v>PO KHK</v>
      </c>
      <c r="C295" s="264" t="s">
        <v>506</v>
      </c>
      <c r="D295" s="264" t="s">
        <v>506</v>
      </c>
      <c r="E295" s="264" t="s">
        <v>1310</v>
      </c>
      <c r="F295" s="264">
        <v>9445282</v>
      </c>
      <c r="G295" s="264" t="s">
        <v>1087</v>
      </c>
      <c r="H295" s="264">
        <v>2019</v>
      </c>
      <c r="I295" s="265"/>
      <c r="J295" s="278"/>
      <c r="K295" s="279"/>
      <c r="L295" s="279"/>
      <c r="M295" s="280">
        <v>86</v>
      </c>
      <c r="N295" s="280"/>
      <c r="O295" s="279"/>
      <c r="P295" s="281" t="s">
        <v>1262</v>
      </c>
      <c r="Q295" s="264"/>
      <c r="R295" s="282"/>
      <c r="S295" s="281" t="s">
        <v>1733</v>
      </c>
      <c r="T295" s="281">
        <v>37</v>
      </c>
      <c r="U295" s="264">
        <v>3</v>
      </c>
      <c r="V295" s="282">
        <v>26</v>
      </c>
      <c r="W295" s="281">
        <v>8</v>
      </c>
      <c r="X295" s="281">
        <v>0</v>
      </c>
      <c r="Y295" s="264">
        <v>70</v>
      </c>
      <c r="Z295" s="282">
        <v>0</v>
      </c>
      <c r="AA295" s="281">
        <v>0</v>
      </c>
      <c r="AB295" s="281">
        <v>0</v>
      </c>
      <c r="AD295" s="284">
        <v>37</v>
      </c>
      <c r="AE295" s="284">
        <v>3</v>
      </c>
      <c r="AF295" s="284">
        <v>26</v>
      </c>
      <c r="AG295" s="284">
        <v>8</v>
      </c>
      <c r="AH295" s="284">
        <v>0</v>
      </c>
      <c r="AI295" s="284">
        <v>70</v>
      </c>
      <c r="AJ295" s="284">
        <v>0</v>
      </c>
      <c r="AL295" s="285">
        <v>18545718.127785232</v>
      </c>
      <c r="AM295" s="286">
        <v>6491439.7431161432</v>
      </c>
      <c r="AN295" s="287">
        <v>7143428.9934151052</v>
      </c>
      <c r="AO295" s="288">
        <v>4588430.2588244295</v>
      </c>
      <c r="AP295" s="289">
        <v>36769017.123140909</v>
      </c>
      <c r="AQ295" s="266"/>
      <c r="AR295" s="285">
        <v>7428424.9117647065</v>
      </c>
      <c r="AS295" s="286">
        <v>1844480.7843137253</v>
      </c>
      <c r="AT295" s="286">
        <v>3348468.4210526319</v>
      </c>
      <c r="AU295" s="290">
        <v>3168875.5</v>
      </c>
      <c r="AV295" s="289">
        <v>15790249.617131062</v>
      </c>
      <c r="AW295" s="291">
        <v>20978767.506009847</v>
      </c>
    </row>
    <row r="296" spans="1:49" x14ac:dyDescent="0.25">
      <c r="A296" s="264">
        <v>3713907</v>
      </c>
      <c r="B296" s="264" t="str">
        <f>VLOOKUP(A296,'Výpočet VP 2020'!$A$4:$B$318,2,FALSE)</f>
        <v>PO KHK</v>
      </c>
      <c r="C296" s="264" t="s">
        <v>509</v>
      </c>
      <c r="D296" s="264" t="s">
        <v>509</v>
      </c>
      <c r="E296" s="264" t="s">
        <v>1310</v>
      </c>
      <c r="F296" s="264">
        <v>3713907</v>
      </c>
      <c r="G296" s="264" t="s">
        <v>1087</v>
      </c>
      <c r="H296" s="264">
        <v>2019</v>
      </c>
      <c r="I296" s="265"/>
      <c r="J296" s="278"/>
      <c r="K296" s="279"/>
      <c r="L296" s="279"/>
      <c r="M296" s="280">
        <v>86</v>
      </c>
      <c r="N296" s="280"/>
      <c r="O296" s="279"/>
      <c r="P296" s="281" t="s">
        <v>1262</v>
      </c>
      <c r="Q296" s="264"/>
      <c r="R296" s="282"/>
      <c r="S296" s="281" t="s">
        <v>1733</v>
      </c>
      <c r="T296" s="281">
        <v>37.299999999999997</v>
      </c>
      <c r="U296" s="264">
        <v>1.9</v>
      </c>
      <c r="V296" s="282">
        <v>27.4</v>
      </c>
      <c r="W296" s="281">
        <v>8</v>
      </c>
      <c r="X296" s="281">
        <v>0</v>
      </c>
      <c r="Y296" s="264">
        <v>74</v>
      </c>
      <c r="Z296" s="282">
        <v>0</v>
      </c>
      <c r="AA296" s="281">
        <v>0</v>
      </c>
      <c r="AB296" s="281">
        <v>0</v>
      </c>
      <c r="AD296" s="284">
        <v>37.299999999999997</v>
      </c>
      <c r="AE296" s="284">
        <v>1.9</v>
      </c>
      <c r="AF296" s="284">
        <v>27.4</v>
      </c>
      <c r="AG296" s="284">
        <v>8</v>
      </c>
      <c r="AH296" s="284">
        <v>0</v>
      </c>
      <c r="AI296" s="284">
        <v>74</v>
      </c>
      <c r="AJ296" s="284">
        <v>0</v>
      </c>
      <c r="AL296" s="285">
        <v>18737570.38427956</v>
      </c>
      <c r="AM296" s="286">
        <v>6491439.7431161432</v>
      </c>
      <c r="AN296" s="287">
        <v>7551624.9358959682</v>
      </c>
      <c r="AO296" s="288">
        <v>4850626.2736143963</v>
      </c>
      <c r="AP296" s="289">
        <v>37631261.336906068</v>
      </c>
      <c r="AQ296" s="266"/>
      <c r="AR296" s="285">
        <v>7852906.3352941182</v>
      </c>
      <c r="AS296" s="286">
        <v>1949879.6862745096</v>
      </c>
      <c r="AT296" s="286">
        <v>3539809.4736842108</v>
      </c>
      <c r="AU296" s="290">
        <v>3349954.1</v>
      </c>
      <c r="AV296" s="289">
        <v>16692549.595252838</v>
      </c>
      <c r="AW296" s="291">
        <v>20938711.74165323</v>
      </c>
    </row>
    <row r="297" spans="1:49" x14ac:dyDescent="0.25">
      <c r="A297" s="264">
        <v>6945387</v>
      </c>
      <c r="B297" s="264" t="str">
        <f>VLOOKUP(A297,'Výpočet VP 2020'!$A$4:$B$318,2,FALSE)</f>
        <v>PO KHK</v>
      </c>
      <c r="C297" s="264" t="s">
        <v>528</v>
      </c>
      <c r="D297" s="264" t="s">
        <v>523</v>
      </c>
      <c r="E297" s="264" t="s">
        <v>1310</v>
      </c>
      <c r="F297" s="264">
        <v>6945387</v>
      </c>
      <c r="G297" s="264" t="s">
        <v>1087</v>
      </c>
      <c r="H297" s="264">
        <v>2019</v>
      </c>
      <c r="I297" s="265"/>
      <c r="J297" s="278"/>
      <c r="K297" s="279"/>
      <c r="L297" s="279"/>
      <c r="M297" s="280">
        <v>86</v>
      </c>
      <c r="N297" s="280"/>
      <c r="O297" s="279"/>
      <c r="P297" s="281" t="s">
        <v>1262</v>
      </c>
      <c r="Q297" s="264"/>
      <c r="R297" s="282"/>
      <c r="S297" s="281" t="s">
        <v>1733</v>
      </c>
      <c r="T297" s="281">
        <v>23.2</v>
      </c>
      <c r="U297" s="264">
        <v>2</v>
      </c>
      <c r="V297" s="282">
        <v>15</v>
      </c>
      <c r="W297" s="281">
        <v>6.2</v>
      </c>
      <c r="X297" s="281">
        <v>0</v>
      </c>
      <c r="Y297" s="264">
        <v>53</v>
      </c>
      <c r="Z297" s="282">
        <v>0</v>
      </c>
      <c r="AA297" s="281">
        <v>0</v>
      </c>
      <c r="AB297" s="281">
        <v>0</v>
      </c>
      <c r="AD297" s="284">
        <v>23.2</v>
      </c>
      <c r="AE297" s="284">
        <v>2</v>
      </c>
      <c r="AF297" s="284">
        <v>15</v>
      </c>
      <c r="AG297" s="284">
        <v>6.2</v>
      </c>
      <c r="AH297" s="284">
        <v>0</v>
      </c>
      <c r="AI297" s="284">
        <v>53</v>
      </c>
      <c r="AJ297" s="284">
        <v>0</v>
      </c>
      <c r="AL297" s="285">
        <v>10871627.868012032</v>
      </c>
      <c r="AM297" s="286">
        <v>5030865.8009150112</v>
      </c>
      <c r="AN297" s="287">
        <v>5408596.2378714364</v>
      </c>
      <c r="AO297" s="288">
        <v>3474097.195967068</v>
      </c>
      <c r="AP297" s="289">
        <v>24785187.102765549</v>
      </c>
      <c r="AQ297" s="266"/>
      <c r="AR297" s="285">
        <v>5624378.8617647057</v>
      </c>
      <c r="AS297" s="286">
        <v>1396535.4509803921</v>
      </c>
      <c r="AT297" s="286">
        <v>2535268.9473684211</v>
      </c>
      <c r="AU297" s="290">
        <v>2399291.4500000002</v>
      </c>
      <c r="AV297" s="289">
        <v>11955474.710113518</v>
      </c>
      <c r="AW297" s="291">
        <v>12829712.392652031</v>
      </c>
    </row>
    <row r="298" spans="1:49" x14ac:dyDescent="0.25">
      <c r="A298" s="264">
        <v>1546097</v>
      </c>
      <c r="B298" s="264" t="str">
        <f>VLOOKUP(A298,'Výpočet VP 2020'!$A$4:$B$318,2,FALSE)</f>
        <v>PO KHK</v>
      </c>
      <c r="C298" s="264" t="s">
        <v>997</v>
      </c>
      <c r="D298" s="264" t="s">
        <v>997</v>
      </c>
      <c r="E298" s="264" t="s">
        <v>1310</v>
      </c>
      <c r="F298" s="264">
        <v>1546097</v>
      </c>
      <c r="G298" s="264" t="s">
        <v>1087</v>
      </c>
      <c r="H298" s="264">
        <v>2019</v>
      </c>
      <c r="I298" s="265"/>
      <c r="J298" s="278"/>
      <c r="K298" s="279"/>
      <c r="L298" s="279"/>
      <c r="M298" s="280">
        <v>86</v>
      </c>
      <c r="N298" s="280"/>
      <c r="O298" s="279"/>
      <c r="P298" s="281" t="s">
        <v>1262</v>
      </c>
      <c r="Q298" s="264"/>
      <c r="R298" s="282"/>
      <c r="S298" s="281" t="s">
        <v>1733</v>
      </c>
      <c r="T298" s="281">
        <v>62.37</v>
      </c>
      <c r="U298" s="264">
        <v>2.4</v>
      </c>
      <c r="V298" s="282">
        <v>51.69</v>
      </c>
      <c r="W298" s="281">
        <v>8.2799999999999994</v>
      </c>
      <c r="X298" s="281">
        <v>0</v>
      </c>
      <c r="Y298" s="264">
        <v>100</v>
      </c>
      <c r="Z298" s="282">
        <v>0</v>
      </c>
      <c r="AA298" s="281">
        <v>0</v>
      </c>
      <c r="AB298" s="281">
        <v>0</v>
      </c>
      <c r="AD298" s="284">
        <v>62.37</v>
      </c>
      <c r="AE298" s="284">
        <v>2.4</v>
      </c>
      <c r="AF298" s="284">
        <v>51.69</v>
      </c>
      <c r="AG298" s="284">
        <v>8.2799999999999994</v>
      </c>
      <c r="AH298" s="284">
        <v>0</v>
      </c>
      <c r="AI298" s="284">
        <v>100</v>
      </c>
      <c r="AJ298" s="284">
        <v>0</v>
      </c>
      <c r="AL298" s="285">
        <v>34590961.845927693</v>
      </c>
      <c r="AM298" s="286">
        <v>6718640.1341252076</v>
      </c>
      <c r="AN298" s="287">
        <v>10204898.562021578</v>
      </c>
      <c r="AO298" s="288">
        <v>6554900.3697491847</v>
      </c>
      <c r="AP298" s="289">
        <v>58069400.91182366</v>
      </c>
      <c r="AQ298" s="266"/>
      <c r="AR298" s="285">
        <v>10612035.588235294</v>
      </c>
      <c r="AS298" s="286">
        <v>2634972.5490196077</v>
      </c>
      <c r="AT298" s="286">
        <v>4783526.3157894742</v>
      </c>
      <c r="AU298" s="290">
        <v>4526965</v>
      </c>
      <c r="AV298" s="289">
        <v>22557499.453044377</v>
      </c>
      <c r="AW298" s="291">
        <v>35511901.458779283</v>
      </c>
    </row>
    <row r="299" spans="1:49" x14ac:dyDescent="0.25">
      <c r="A299" s="264">
        <v>2089762</v>
      </c>
      <c r="B299" s="264" t="str">
        <f>VLOOKUP(A299,'Výpočet VP 2020'!$A$4:$B$318,2,FALSE)</f>
        <v>PO KHK</v>
      </c>
      <c r="C299" s="264" t="s">
        <v>1001</v>
      </c>
      <c r="D299" s="264" t="s">
        <v>1001</v>
      </c>
      <c r="E299" s="264" t="s">
        <v>1310</v>
      </c>
      <c r="F299" s="264">
        <v>2089762</v>
      </c>
      <c r="G299" s="264" t="s">
        <v>1087</v>
      </c>
      <c r="H299" s="264">
        <v>2019</v>
      </c>
      <c r="I299" s="265"/>
      <c r="J299" s="278"/>
      <c r="K299" s="279"/>
      <c r="L299" s="279"/>
      <c r="M299" s="280">
        <v>86</v>
      </c>
      <c r="N299" s="280"/>
      <c r="O299" s="279"/>
      <c r="P299" s="281" t="s">
        <v>1262</v>
      </c>
      <c r="Q299" s="264"/>
      <c r="R299" s="282"/>
      <c r="S299" s="281" t="s">
        <v>1733</v>
      </c>
      <c r="T299" s="281">
        <v>50</v>
      </c>
      <c r="U299" s="264">
        <v>3</v>
      </c>
      <c r="V299" s="282">
        <v>40</v>
      </c>
      <c r="W299" s="281">
        <v>7</v>
      </c>
      <c r="X299" s="281">
        <v>0</v>
      </c>
      <c r="Y299" s="264">
        <v>78</v>
      </c>
      <c r="Z299" s="282">
        <v>0</v>
      </c>
      <c r="AA299" s="281">
        <v>0</v>
      </c>
      <c r="AB299" s="281">
        <v>0</v>
      </c>
      <c r="AD299" s="284">
        <v>50</v>
      </c>
      <c r="AE299" s="284">
        <v>3</v>
      </c>
      <c r="AF299" s="284">
        <v>40</v>
      </c>
      <c r="AG299" s="284">
        <v>7</v>
      </c>
      <c r="AH299" s="284">
        <v>0</v>
      </c>
      <c r="AI299" s="284">
        <v>78</v>
      </c>
      <c r="AJ299" s="284">
        <v>0</v>
      </c>
      <c r="AL299" s="285">
        <v>27498823.430853963</v>
      </c>
      <c r="AM299" s="286">
        <v>5680009.7752266256</v>
      </c>
      <c r="AN299" s="287">
        <v>7959820.8783768313</v>
      </c>
      <c r="AO299" s="288">
        <v>5112822.2884043641</v>
      </c>
      <c r="AP299" s="289">
        <v>46251476.372861788</v>
      </c>
      <c r="AQ299" s="266"/>
      <c r="AR299" s="285">
        <v>8277387.7588235298</v>
      </c>
      <c r="AS299" s="286">
        <v>2055278.588235294</v>
      </c>
      <c r="AT299" s="286">
        <v>3731150.5263157897</v>
      </c>
      <c r="AU299" s="290">
        <v>3531032.7</v>
      </c>
      <c r="AV299" s="289">
        <v>17594849.573374614</v>
      </c>
      <c r="AW299" s="291">
        <v>28656626.799487174</v>
      </c>
    </row>
    <row r="300" spans="1:49" x14ac:dyDescent="0.25">
      <c r="A300" s="264">
        <v>4721932</v>
      </c>
      <c r="B300" s="264" t="str">
        <f>VLOOKUP(A300,'Výpočet VP 2020'!$A$4:$B$318,2,FALSE)</f>
        <v>PO KHK</v>
      </c>
      <c r="C300" s="264" t="s">
        <v>420</v>
      </c>
      <c r="D300" s="264" t="s">
        <v>420</v>
      </c>
      <c r="E300" s="264" t="s">
        <v>1312</v>
      </c>
      <c r="F300" s="264">
        <v>4721932</v>
      </c>
      <c r="G300" s="264" t="s">
        <v>1087</v>
      </c>
      <c r="H300" s="264">
        <v>2019</v>
      </c>
      <c r="I300" s="265"/>
      <c r="J300" s="278"/>
      <c r="K300" s="279"/>
      <c r="L300" s="279"/>
      <c r="M300" s="280">
        <v>86</v>
      </c>
      <c r="N300" s="280"/>
      <c r="O300" s="279"/>
      <c r="P300" s="281" t="s">
        <v>1313</v>
      </c>
      <c r="Q300" s="264"/>
      <c r="R300" s="282"/>
      <c r="S300" s="281" t="s">
        <v>1733</v>
      </c>
      <c r="T300" s="281">
        <v>53.3</v>
      </c>
      <c r="U300" s="264">
        <v>3</v>
      </c>
      <c r="V300" s="282">
        <v>37.700000000000003</v>
      </c>
      <c r="W300" s="281">
        <v>12.6</v>
      </c>
      <c r="X300" s="281">
        <v>0</v>
      </c>
      <c r="Y300" s="264">
        <v>79</v>
      </c>
      <c r="Z300" s="282">
        <v>0</v>
      </c>
      <c r="AA300" s="281">
        <v>0</v>
      </c>
      <c r="AB300" s="281">
        <v>0</v>
      </c>
      <c r="AD300" s="284">
        <v>53.3</v>
      </c>
      <c r="AE300" s="284">
        <v>3</v>
      </c>
      <c r="AF300" s="284">
        <v>37.700000000000003</v>
      </c>
      <c r="AG300" s="284">
        <v>12.6</v>
      </c>
      <c r="AH300" s="284">
        <v>0</v>
      </c>
      <c r="AI300" s="284">
        <v>79</v>
      </c>
      <c r="AJ300" s="284">
        <v>0</v>
      </c>
      <c r="AL300" s="285">
        <v>26027956.131064102</v>
      </c>
      <c r="AM300" s="286">
        <v>10224017.595407926</v>
      </c>
      <c r="AN300" s="287">
        <v>8061869.8639970468</v>
      </c>
      <c r="AO300" s="288">
        <v>5178371.2921018563</v>
      </c>
      <c r="AP300" s="289">
        <v>49492214.882570937</v>
      </c>
      <c r="AQ300" s="266"/>
      <c r="AR300" s="285">
        <v>8383508.114705883</v>
      </c>
      <c r="AS300" s="286">
        <v>2081628.3137254901</v>
      </c>
      <c r="AT300" s="286">
        <v>3778985.7894736845</v>
      </c>
      <c r="AU300" s="290">
        <v>3576302.35</v>
      </c>
      <c r="AV300" s="289">
        <v>17820424.567905057</v>
      </c>
      <c r="AW300" s="291">
        <v>31671790.31466588</v>
      </c>
    </row>
    <row r="301" spans="1:49" x14ac:dyDescent="0.25">
      <c r="A301" s="264">
        <v>4753225</v>
      </c>
      <c r="B301" s="264" t="str">
        <f>VLOOKUP(A301,'Výpočet VP 2020'!$A$4:$B$318,2,FALSE)</f>
        <v>PO KHK</v>
      </c>
      <c r="C301" s="264" t="s">
        <v>453</v>
      </c>
      <c r="D301" s="264" t="s">
        <v>453</v>
      </c>
      <c r="E301" s="264" t="s">
        <v>1325</v>
      </c>
      <c r="F301" s="264">
        <v>4753225</v>
      </c>
      <c r="G301" s="264" t="s">
        <v>1134</v>
      </c>
      <c r="H301" s="264">
        <v>2019</v>
      </c>
      <c r="I301" s="265"/>
      <c r="J301" s="278"/>
      <c r="K301" s="279">
        <v>1201</v>
      </c>
      <c r="L301" s="279"/>
      <c r="M301" s="280"/>
      <c r="N301" s="280"/>
      <c r="O301" s="279"/>
      <c r="P301" s="281" t="s">
        <v>1177</v>
      </c>
      <c r="Q301" s="264"/>
      <c r="R301" s="282"/>
      <c r="S301" s="281" t="s">
        <v>1733</v>
      </c>
      <c r="T301" s="281">
        <v>38.799999999999997</v>
      </c>
      <c r="U301" s="264">
        <v>4</v>
      </c>
      <c r="V301" s="282">
        <v>24.55</v>
      </c>
      <c r="W301" s="281">
        <v>10.25</v>
      </c>
      <c r="X301" s="281">
        <v>0</v>
      </c>
      <c r="Y301" s="264">
        <v>80</v>
      </c>
      <c r="Z301" s="282">
        <v>0</v>
      </c>
      <c r="AA301" s="281">
        <v>0</v>
      </c>
      <c r="AB301" s="281">
        <v>0</v>
      </c>
      <c r="AD301" s="284">
        <v>38.799999999999997</v>
      </c>
      <c r="AE301" s="284">
        <v>4</v>
      </c>
      <c r="AF301" s="284">
        <v>24.55</v>
      </c>
      <c r="AG301" s="284">
        <v>10.25</v>
      </c>
      <c r="AH301" s="284">
        <v>0</v>
      </c>
      <c r="AI301" s="284">
        <v>80</v>
      </c>
      <c r="AJ301" s="284">
        <v>0</v>
      </c>
      <c r="AL301" s="285">
        <v>18614731.031539768</v>
      </c>
      <c r="AM301" s="286">
        <v>8309743.608746483</v>
      </c>
      <c r="AN301" s="287">
        <v>7846049.8608798608</v>
      </c>
      <c r="AO301" s="288">
        <v>5501687.9971444933</v>
      </c>
      <c r="AP301" s="289">
        <v>40272212.498310603</v>
      </c>
      <c r="AQ301" s="266"/>
      <c r="AR301" s="285">
        <v>8981638.8124690745</v>
      </c>
      <c r="AS301" s="286">
        <v>2339589.500805153</v>
      </c>
      <c r="AT301" s="286">
        <v>5673901.970055161</v>
      </c>
      <c r="AU301" s="290">
        <v>4070165.036764706</v>
      </c>
      <c r="AV301" s="289">
        <v>21065295.320094097</v>
      </c>
      <c r="AW301" s="291">
        <v>19206917.178216506</v>
      </c>
    </row>
    <row r="302" spans="1:49" x14ac:dyDescent="0.25">
      <c r="A302" s="264">
        <v>2837121</v>
      </c>
      <c r="B302" s="264" t="str">
        <f>VLOOKUP(A302,'Výpočet VP 2020'!$A$4:$B$318,2,FALSE)</f>
        <v>PO KHK</v>
      </c>
      <c r="C302" s="264" t="s">
        <v>447</v>
      </c>
      <c r="D302" s="264" t="s">
        <v>447</v>
      </c>
      <c r="E302" s="264" t="s">
        <v>1320</v>
      </c>
      <c r="F302" s="264">
        <v>2837121</v>
      </c>
      <c r="G302" s="264" t="s">
        <v>1058</v>
      </c>
      <c r="H302" s="264">
        <v>2019</v>
      </c>
      <c r="I302" s="265"/>
      <c r="J302" s="278"/>
      <c r="K302" s="279">
        <v>965</v>
      </c>
      <c r="L302" s="279"/>
      <c r="M302" s="280"/>
      <c r="N302" s="280"/>
      <c r="O302" s="279"/>
      <c r="P302" s="281" t="s">
        <v>1177</v>
      </c>
      <c r="Q302" s="264"/>
      <c r="R302" s="282">
        <v>43647</v>
      </c>
      <c r="S302" s="281" t="s">
        <v>1733</v>
      </c>
      <c r="T302" s="281">
        <v>14.34</v>
      </c>
      <c r="U302" s="264">
        <v>0.96</v>
      </c>
      <c r="V302" s="282">
        <v>10.74</v>
      </c>
      <c r="W302" s="281">
        <v>2.64</v>
      </c>
      <c r="X302" s="281">
        <v>0</v>
      </c>
      <c r="Y302" s="264">
        <v>24</v>
      </c>
      <c r="Z302" s="282">
        <v>0</v>
      </c>
      <c r="AA302" s="281">
        <v>0</v>
      </c>
      <c r="AB302" s="281">
        <v>0</v>
      </c>
      <c r="AD302" s="284">
        <v>14.34</v>
      </c>
      <c r="AE302" s="284">
        <v>0.96</v>
      </c>
      <c r="AF302" s="284">
        <v>10.74</v>
      </c>
      <c r="AG302" s="284">
        <v>2.64</v>
      </c>
      <c r="AH302" s="284">
        <v>0</v>
      </c>
      <c r="AI302" s="284">
        <v>24</v>
      </c>
      <c r="AJ302" s="284">
        <v>0</v>
      </c>
      <c r="AL302" s="285">
        <v>7628453.6976888003</v>
      </c>
      <c r="AM302" s="286">
        <v>2140265.6709356797</v>
      </c>
      <c r="AN302" s="287">
        <v>2353814.9582639579</v>
      </c>
      <c r="AO302" s="288">
        <v>1650506.399143348</v>
      </c>
      <c r="AP302" s="289">
        <v>13773040.726031786</v>
      </c>
      <c r="AQ302" s="266"/>
      <c r="AR302" s="285">
        <v>2694491.643740722</v>
      </c>
      <c r="AS302" s="286">
        <v>701876.85024154582</v>
      </c>
      <c r="AT302" s="286">
        <v>1702170.5910165485</v>
      </c>
      <c r="AU302" s="290">
        <v>1221049.5110294118</v>
      </c>
      <c r="AV302" s="289">
        <v>6319588.5960282283</v>
      </c>
      <c r="AW302" s="291">
        <v>7453452.1300035575</v>
      </c>
    </row>
    <row r="303" spans="1:49" x14ac:dyDescent="0.25">
      <c r="A303" s="264">
        <v>7630615</v>
      </c>
      <c r="B303" s="264" t="str">
        <f>VLOOKUP(A303,'Výpočet VP 2020'!$A$4:$B$318,2,FALSE)</f>
        <v>PO KHK</v>
      </c>
      <c r="C303" s="264" t="s">
        <v>1331</v>
      </c>
      <c r="D303" s="264" t="s">
        <v>515</v>
      </c>
      <c r="E303" s="264" t="s">
        <v>1320</v>
      </c>
      <c r="F303" s="264">
        <v>7630615</v>
      </c>
      <c r="G303" s="264" t="s">
        <v>1058</v>
      </c>
      <c r="H303" s="264">
        <v>2019</v>
      </c>
      <c r="I303" s="265"/>
      <c r="J303" s="278"/>
      <c r="K303" s="279">
        <v>965</v>
      </c>
      <c r="L303" s="279"/>
      <c r="M303" s="280"/>
      <c r="N303" s="280"/>
      <c r="O303" s="279"/>
      <c r="P303" s="281" t="s">
        <v>1177</v>
      </c>
      <c r="Q303" s="264"/>
      <c r="R303" s="282"/>
      <c r="S303" s="281" t="s">
        <v>1733</v>
      </c>
      <c r="T303" s="281">
        <v>127.2</v>
      </c>
      <c r="U303" s="264">
        <v>6.5</v>
      </c>
      <c r="V303" s="282">
        <v>94.4</v>
      </c>
      <c r="W303" s="281">
        <v>26.3</v>
      </c>
      <c r="X303" s="281">
        <v>0</v>
      </c>
      <c r="Y303" s="264">
        <v>282</v>
      </c>
      <c r="Z303" s="282">
        <v>0</v>
      </c>
      <c r="AA303" s="281">
        <v>0</v>
      </c>
      <c r="AB303" s="281">
        <v>0</v>
      </c>
      <c r="AC303" s="313"/>
      <c r="AD303" s="284">
        <v>127.2</v>
      </c>
      <c r="AE303" s="284">
        <v>6.5</v>
      </c>
      <c r="AF303" s="284">
        <v>94.4</v>
      </c>
      <c r="AG303" s="284">
        <v>26.3</v>
      </c>
      <c r="AH303" s="284">
        <v>0</v>
      </c>
      <c r="AI303" s="284">
        <v>282</v>
      </c>
      <c r="AJ303" s="284">
        <v>0</v>
      </c>
      <c r="AK303" s="313"/>
      <c r="AL303" s="285">
        <v>65787263.085196584</v>
      </c>
      <c r="AM303" s="286">
        <v>21321586.040003173</v>
      </c>
      <c r="AN303" s="287">
        <v>27657325.759601507</v>
      </c>
      <c r="AO303" s="288">
        <v>19393450.189934339</v>
      </c>
      <c r="AP303" s="289">
        <v>134159625.07473561</v>
      </c>
      <c r="AQ303" s="266"/>
      <c r="AR303" s="285">
        <v>31660276.813953485</v>
      </c>
      <c r="AS303" s="286">
        <v>8247052.9903381644</v>
      </c>
      <c r="AT303" s="286">
        <v>20000504.444444444</v>
      </c>
      <c r="AU303" s="290">
        <v>14347331.754595589</v>
      </c>
      <c r="AV303" s="289">
        <v>74255166.003331691</v>
      </c>
      <c r="AW303" s="291">
        <v>59904459.071403921</v>
      </c>
    </row>
    <row r="304" spans="1:49" x14ac:dyDescent="0.25">
      <c r="A304" s="264">
        <v>3529182</v>
      </c>
      <c r="B304" s="264" t="str">
        <f>VLOOKUP(A304,'Výpočet VP 2020'!$A$4:$B$318,2,FALSE)</f>
        <v>PO KHK</v>
      </c>
      <c r="C304" s="264" t="s">
        <v>519</v>
      </c>
      <c r="D304" s="264" t="s">
        <v>519</v>
      </c>
      <c r="E304" s="264" t="s">
        <v>1320</v>
      </c>
      <c r="F304" s="264">
        <v>3529182</v>
      </c>
      <c r="G304" s="264" t="s">
        <v>1058</v>
      </c>
      <c r="H304" s="264">
        <v>2019</v>
      </c>
      <c r="I304" s="265"/>
      <c r="J304" s="278"/>
      <c r="K304" s="279">
        <v>965</v>
      </c>
      <c r="L304" s="279"/>
      <c r="M304" s="280"/>
      <c r="N304" s="280"/>
      <c r="O304" s="279"/>
      <c r="P304" s="281" t="s">
        <v>1177</v>
      </c>
      <c r="Q304" s="264"/>
      <c r="R304" s="282"/>
      <c r="S304" s="281" t="s">
        <v>1733</v>
      </c>
      <c r="T304" s="281">
        <v>18.3</v>
      </c>
      <c r="U304" s="264">
        <v>2</v>
      </c>
      <c r="V304" s="282">
        <v>10</v>
      </c>
      <c r="W304" s="281">
        <v>6.3</v>
      </c>
      <c r="X304" s="281">
        <v>0</v>
      </c>
      <c r="Y304" s="264">
        <v>48</v>
      </c>
      <c r="Z304" s="282">
        <v>0</v>
      </c>
      <c r="AA304" s="281">
        <v>0</v>
      </c>
      <c r="AB304" s="281">
        <v>0</v>
      </c>
      <c r="AD304" s="284">
        <v>18.3</v>
      </c>
      <c r="AE304" s="284">
        <v>2</v>
      </c>
      <c r="AF304" s="284">
        <v>10</v>
      </c>
      <c r="AG304" s="284">
        <v>6.3</v>
      </c>
      <c r="AH304" s="284">
        <v>0</v>
      </c>
      <c r="AI304" s="284">
        <v>48</v>
      </c>
      <c r="AJ304" s="284">
        <v>0</v>
      </c>
      <c r="AL304" s="285">
        <v>7824055.0745526161</v>
      </c>
      <c r="AM304" s="286">
        <v>5107452.1692783255</v>
      </c>
      <c r="AN304" s="287">
        <v>4707629.9165279157</v>
      </c>
      <c r="AO304" s="288">
        <v>3301012.798286696</v>
      </c>
      <c r="AP304" s="289">
        <v>20940149.958645552</v>
      </c>
      <c r="AQ304" s="266"/>
      <c r="AR304" s="285">
        <v>5388983.287481444</v>
      </c>
      <c r="AS304" s="286">
        <v>1403753.7004830916</v>
      </c>
      <c r="AT304" s="286">
        <v>3404341.1820330969</v>
      </c>
      <c r="AU304" s="290">
        <v>2442099.0220588236</v>
      </c>
      <c r="AV304" s="289">
        <v>12639177.192056457</v>
      </c>
      <c r="AW304" s="291">
        <v>8300972.7665890958</v>
      </c>
    </row>
    <row r="305" spans="1:49" x14ac:dyDescent="0.25">
      <c r="A305" s="264">
        <v>6581899</v>
      </c>
      <c r="B305" s="264" t="str">
        <f>VLOOKUP(A305,'Výpočet VP 2020'!$A$4:$B$318,2,FALSE)</f>
        <v>PO KHK</v>
      </c>
      <c r="C305" s="264" t="s">
        <v>444</v>
      </c>
      <c r="D305" s="264" t="s">
        <v>444</v>
      </c>
      <c r="E305" s="264" t="s">
        <v>1330</v>
      </c>
      <c r="F305" s="264">
        <v>6581899</v>
      </c>
      <c r="G305" s="264" t="s">
        <v>1151</v>
      </c>
      <c r="H305" s="264">
        <v>2019</v>
      </c>
      <c r="I305" s="265"/>
      <c r="J305" s="278"/>
      <c r="K305" s="279">
        <v>1112</v>
      </c>
      <c r="L305" s="279"/>
      <c r="M305" s="280"/>
      <c r="N305" s="280"/>
      <c r="O305" s="279"/>
      <c r="P305" s="281" t="s">
        <v>1177</v>
      </c>
      <c r="Q305" s="264"/>
      <c r="R305" s="282"/>
      <c r="S305" s="281" t="s">
        <v>1733</v>
      </c>
      <c r="T305" s="281">
        <v>44</v>
      </c>
      <c r="U305" s="264">
        <v>1</v>
      </c>
      <c r="V305" s="282">
        <v>27</v>
      </c>
      <c r="W305" s="281">
        <v>16</v>
      </c>
      <c r="X305" s="281">
        <v>0</v>
      </c>
      <c r="Y305" s="264">
        <v>115</v>
      </c>
      <c r="Z305" s="282">
        <v>0</v>
      </c>
      <c r="AA305" s="281">
        <v>0</v>
      </c>
      <c r="AB305" s="281">
        <v>0</v>
      </c>
      <c r="AD305" s="284">
        <v>44</v>
      </c>
      <c r="AE305" s="284">
        <v>1</v>
      </c>
      <c r="AF305" s="284">
        <v>27</v>
      </c>
      <c r="AG305" s="284">
        <v>16</v>
      </c>
      <c r="AH305" s="284">
        <v>0</v>
      </c>
      <c r="AI305" s="284">
        <v>115</v>
      </c>
      <c r="AJ305" s="284">
        <v>0</v>
      </c>
      <c r="AL305" s="285">
        <v>18256128.507289439</v>
      </c>
      <c r="AM305" s="286">
        <v>12971307.096579876</v>
      </c>
      <c r="AN305" s="287">
        <v>11278696.675014799</v>
      </c>
      <c r="AO305" s="288">
        <v>7908676.4958952088</v>
      </c>
      <c r="AP305" s="289">
        <v>50414808.77477932</v>
      </c>
      <c r="AQ305" s="266"/>
      <c r="AR305" s="285">
        <v>12911105.792924294</v>
      </c>
      <c r="AS305" s="286">
        <v>3363159.9074074072</v>
      </c>
      <c r="AT305" s="286">
        <v>8156234.0819542948</v>
      </c>
      <c r="AU305" s="290">
        <v>5850862.2403492648</v>
      </c>
      <c r="AV305" s="289">
        <v>30281362.022635259</v>
      </c>
      <c r="AW305" s="291">
        <v>20133446.752144061</v>
      </c>
    </row>
    <row r="306" spans="1:49" x14ac:dyDescent="0.25">
      <c r="A306" s="264">
        <v>2749776</v>
      </c>
      <c r="B306" s="264" t="str">
        <f>VLOOKUP(A306,'Výpočet VP 2020'!$A$4:$B$318,2,FALSE)</f>
        <v>PO KHK</v>
      </c>
      <c r="C306" s="264" t="s">
        <v>467</v>
      </c>
      <c r="D306" s="264" t="s">
        <v>467</v>
      </c>
      <c r="E306" s="264" t="s">
        <v>1321</v>
      </c>
      <c r="F306" s="264">
        <v>2749776</v>
      </c>
      <c r="G306" s="264" t="s">
        <v>1061</v>
      </c>
      <c r="H306" s="264">
        <v>2019</v>
      </c>
      <c r="I306" s="265"/>
      <c r="J306" s="278"/>
      <c r="K306" s="279">
        <v>1066</v>
      </c>
      <c r="L306" s="279"/>
      <c r="M306" s="280"/>
      <c r="N306" s="280"/>
      <c r="O306" s="279"/>
      <c r="P306" s="281" t="s">
        <v>1177</v>
      </c>
      <c r="Q306" s="264"/>
      <c r="R306" s="282"/>
      <c r="S306" s="281" t="s">
        <v>1733</v>
      </c>
      <c r="T306" s="281">
        <v>19</v>
      </c>
      <c r="U306" s="264">
        <v>1</v>
      </c>
      <c r="V306" s="282">
        <v>11</v>
      </c>
      <c r="W306" s="281">
        <v>7</v>
      </c>
      <c r="X306" s="281">
        <v>0</v>
      </c>
      <c r="Y306" s="264">
        <v>53</v>
      </c>
      <c r="Z306" s="282">
        <v>0</v>
      </c>
      <c r="AA306" s="281">
        <v>0</v>
      </c>
      <c r="AB306" s="281">
        <v>0</v>
      </c>
      <c r="AD306" s="284">
        <v>19</v>
      </c>
      <c r="AE306" s="284">
        <v>1</v>
      </c>
      <c r="AF306" s="284">
        <v>11</v>
      </c>
      <c r="AG306" s="284">
        <v>7</v>
      </c>
      <c r="AH306" s="284">
        <v>0</v>
      </c>
      <c r="AI306" s="284">
        <v>53</v>
      </c>
      <c r="AJ306" s="284">
        <v>0</v>
      </c>
      <c r="AL306" s="285">
        <v>7824055.0745526161</v>
      </c>
      <c r="AM306" s="286">
        <v>5674946.8547536954</v>
      </c>
      <c r="AN306" s="287">
        <v>5198008.0328329075</v>
      </c>
      <c r="AO306" s="288">
        <v>3644868.2981082266</v>
      </c>
      <c r="AP306" s="289">
        <v>22341878.260247447</v>
      </c>
      <c r="AQ306" s="266"/>
      <c r="AR306" s="285">
        <v>5950335.7132607615</v>
      </c>
      <c r="AS306" s="286">
        <v>1549978.0442834138</v>
      </c>
      <c r="AT306" s="286">
        <v>3758960.0551615446</v>
      </c>
      <c r="AU306" s="290">
        <v>2696484.3368566176</v>
      </c>
      <c r="AV306" s="289">
        <v>13955758.149562337</v>
      </c>
      <c r="AW306" s="291">
        <v>8386120.1106851101</v>
      </c>
    </row>
    <row r="307" spans="1:49" x14ac:dyDescent="0.25">
      <c r="A307" s="264">
        <v>8508078</v>
      </c>
      <c r="B307" s="264" t="str">
        <f>VLOOKUP(A307,'Výpočet VP 2020'!$A$4:$B$318,2,FALSE)</f>
        <v>PO KHK</v>
      </c>
      <c r="C307" s="264" t="s">
        <v>472</v>
      </c>
      <c r="D307" s="264" t="s">
        <v>472</v>
      </c>
      <c r="E307" s="264" t="s">
        <v>1321</v>
      </c>
      <c r="F307" s="264">
        <v>8508078</v>
      </c>
      <c r="G307" s="264" t="s">
        <v>1061</v>
      </c>
      <c r="H307" s="264">
        <v>2019</v>
      </c>
      <c r="I307" s="265"/>
      <c r="J307" s="278"/>
      <c r="K307" s="279">
        <v>1066</v>
      </c>
      <c r="L307" s="279"/>
      <c r="M307" s="280"/>
      <c r="N307" s="280"/>
      <c r="O307" s="279"/>
      <c r="P307" s="281" t="s">
        <v>1177</v>
      </c>
      <c r="Q307" s="264"/>
      <c r="R307" s="282"/>
      <c r="S307" s="281" t="s">
        <v>1733</v>
      </c>
      <c r="T307" s="281">
        <v>36.200000000000003</v>
      </c>
      <c r="U307" s="264">
        <v>2.6</v>
      </c>
      <c r="V307" s="282">
        <v>21</v>
      </c>
      <c r="W307" s="281">
        <v>12.6</v>
      </c>
      <c r="X307" s="281">
        <v>0</v>
      </c>
      <c r="Y307" s="264">
        <v>86</v>
      </c>
      <c r="Z307" s="282">
        <v>0</v>
      </c>
      <c r="AA307" s="281">
        <v>0</v>
      </c>
      <c r="AB307" s="281">
        <v>0</v>
      </c>
      <c r="AD307" s="284">
        <v>36.200000000000003</v>
      </c>
      <c r="AE307" s="284">
        <v>2.6</v>
      </c>
      <c r="AF307" s="284">
        <v>21</v>
      </c>
      <c r="AG307" s="284">
        <v>12.6</v>
      </c>
      <c r="AH307" s="284">
        <v>0</v>
      </c>
      <c r="AI307" s="284">
        <v>86</v>
      </c>
      <c r="AJ307" s="284">
        <v>0</v>
      </c>
      <c r="AL307" s="285">
        <v>15387308.313286813</v>
      </c>
      <c r="AM307" s="286">
        <v>10214904.338556651</v>
      </c>
      <c r="AN307" s="287">
        <v>8434503.6004458498</v>
      </c>
      <c r="AO307" s="288">
        <v>5914314.5969303306</v>
      </c>
      <c r="AP307" s="289">
        <v>39951030.84921965</v>
      </c>
      <c r="AQ307" s="266"/>
      <c r="AR307" s="285">
        <v>9655261.7234042548</v>
      </c>
      <c r="AS307" s="286">
        <v>2515058.7133655394</v>
      </c>
      <c r="AT307" s="286">
        <v>6099444.6178092984</v>
      </c>
      <c r="AU307" s="290">
        <v>4375427.4145220593</v>
      </c>
      <c r="AV307" s="289">
        <v>22645192.469101153</v>
      </c>
      <c r="AW307" s="291">
        <v>17305838.380118497</v>
      </c>
    </row>
    <row r="308" spans="1:49" x14ac:dyDescent="0.25">
      <c r="A308" s="264">
        <v>2801353</v>
      </c>
      <c r="B308" s="264" t="str">
        <f>VLOOKUP(A308,'Výpočet VP 2020'!$A$4:$B$318,2,FALSE)</f>
        <v>PO KHK</v>
      </c>
      <c r="C308" s="264" t="s">
        <v>477</v>
      </c>
      <c r="D308" s="264" t="s">
        <v>477</v>
      </c>
      <c r="E308" s="264" t="s">
        <v>1321</v>
      </c>
      <c r="F308" s="264">
        <v>2801353</v>
      </c>
      <c r="G308" s="264" t="s">
        <v>1061</v>
      </c>
      <c r="H308" s="264">
        <v>2019</v>
      </c>
      <c r="I308" s="265"/>
      <c r="J308" s="278"/>
      <c r="K308" s="279">
        <v>1066</v>
      </c>
      <c r="L308" s="279"/>
      <c r="M308" s="280"/>
      <c r="N308" s="280"/>
      <c r="O308" s="279"/>
      <c r="P308" s="281" t="s">
        <v>1177</v>
      </c>
      <c r="Q308" s="264"/>
      <c r="R308" s="282"/>
      <c r="S308" s="281" t="s">
        <v>1733</v>
      </c>
      <c r="T308" s="281">
        <v>35</v>
      </c>
      <c r="U308" s="264">
        <v>2</v>
      </c>
      <c r="V308" s="282">
        <v>23</v>
      </c>
      <c r="W308" s="281">
        <v>10</v>
      </c>
      <c r="X308" s="281">
        <v>0</v>
      </c>
      <c r="Y308" s="264">
        <v>64</v>
      </c>
      <c r="Z308" s="282">
        <v>0</v>
      </c>
      <c r="AA308" s="281">
        <v>0</v>
      </c>
      <c r="AB308" s="281">
        <v>0</v>
      </c>
      <c r="AD308" s="284">
        <v>35</v>
      </c>
      <c r="AE308" s="284">
        <v>2</v>
      </c>
      <c r="AF308" s="284">
        <v>23</v>
      </c>
      <c r="AG308" s="284">
        <v>10</v>
      </c>
      <c r="AH308" s="284">
        <v>0</v>
      </c>
      <c r="AI308" s="284">
        <v>64</v>
      </c>
      <c r="AJ308" s="284">
        <v>0</v>
      </c>
      <c r="AL308" s="285">
        <v>16300114.738651283</v>
      </c>
      <c r="AM308" s="286">
        <v>8107066.9353624228</v>
      </c>
      <c r="AN308" s="287">
        <v>6276839.8887038883</v>
      </c>
      <c r="AO308" s="288">
        <v>4401350.3977155946</v>
      </c>
      <c r="AP308" s="289">
        <v>35085371.960433185</v>
      </c>
      <c r="AQ308" s="266"/>
      <c r="AR308" s="285">
        <v>7185311.0499752592</v>
      </c>
      <c r="AS308" s="286">
        <v>1871671.6006441223</v>
      </c>
      <c r="AT308" s="286">
        <v>4539121.5760441292</v>
      </c>
      <c r="AU308" s="290">
        <v>3256132.0294117648</v>
      </c>
      <c r="AV308" s="289">
        <v>16852236.256075278</v>
      </c>
      <c r="AW308" s="291">
        <v>18233135.704357907</v>
      </c>
    </row>
    <row r="309" spans="1:49" x14ac:dyDescent="0.25">
      <c r="A309" s="264">
        <v>5869239</v>
      </c>
      <c r="B309" s="264" t="str">
        <f>VLOOKUP(A309,'Výpočet VP 2020'!$A$4:$B$318,2,FALSE)</f>
        <v>PO KHK</v>
      </c>
      <c r="C309" s="264" t="s">
        <v>525</v>
      </c>
      <c r="D309" s="264" t="s">
        <v>523</v>
      </c>
      <c r="E309" s="264" t="s">
        <v>1321</v>
      </c>
      <c r="F309" s="264">
        <v>5869239</v>
      </c>
      <c r="G309" s="264" t="s">
        <v>1061</v>
      </c>
      <c r="H309" s="264">
        <v>2019</v>
      </c>
      <c r="I309" s="265"/>
      <c r="J309" s="278"/>
      <c r="K309" s="279">
        <v>1066</v>
      </c>
      <c r="L309" s="279"/>
      <c r="M309" s="280"/>
      <c r="N309" s="280"/>
      <c r="O309" s="279"/>
      <c r="P309" s="281" t="s">
        <v>1177</v>
      </c>
      <c r="Q309" s="264"/>
      <c r="R309" s="282"/>
      <c r="S309" s="281" t="s">
        <v>1733</v>
      </c>
      <c r="T309" s="281">
        <v>43.3</v>
      </c>
      <c r="U309" s="264">
        <v>4</v>
      </c>
      <c r="V309" s="282">
        <v>27</v>
      </c>
      <c r="W309" s="281">
        <v>12.3</v>
      </c>
      <c r="X309" s="281">
        <v>0</v>
      </c>
      <c r="Y309" s="264">
        <v>95</v>
      </c>
      <c r="Z309" s="282">
        <v>0</v>
      </c>
      <c r="AA309" s="281">
        <v>0</v>
      </c>
      <c r="AB309" s="281">
        <v>0</v>
      </c>
      <c r="AD309" s="284">
        <v>43.3</v>
      </c>
      <c r="AE309" s="284">
        <v>4</v>
      </c>
      <c r="AF309" s="284">
        <v>27</v>
      </c>
      <c r="AG309" s="284">
        <v>12.3</v>
      </c>
      <c r="AH309" s="284">
        <v>0</v>
      </c>
      <c r="AI309" s="284">
        <v>95</v>
      </c>
      <c r="AJ309" s="284">
        <v>0</v>
      </c>
      <c r="AL309" s="285">
        <v>20212142.275927592</v>
      </c>
      <c r="AM309" s="286">
        <v>9971692.3304957803</v>
      </c>
      <c r="AN309" s="287">
        <v>9317184.2097948343</v>
      </c>
      <c r="AO309" s="288">
        <v>6533254.4966090862</v>
      </c>
      <c r="AP309" s="289">
        <v>46034273.312827289</v>
      </c>
      <c r="AQ309" s="266"/>
      <c r="AR309" s="285">
        <v>10665696.089807026</v>
      </c>
      <c r="AS309" s="286">
        <v>2778262.532206119</v>
      </c>
      <c r="AT309" s="286">
        <v>6737758.5894405041</v>
      </c>
      <c r="AU309" s="290">
        <v>4833320.981158088</v>
      </c>
      <c r="AV309" s="289">
        <v>25015038.192611735</v>
      </c>
      <c r="AW309" s="291">
        <v>21019235.120215554</v>
      </c>
    </row>
    <row r="310" spans="1:49" x14ac:dyDescent="0.25">
      <c r="A310" s="264">
        <v>5040302</v>
      </c>
      <c r="B310" s="264" t="str">
        <f>VLOOKUP(A310,'Výpočet VP 2020'!$A$4:$B$318,2,FALSE)</f>
        <v>PO KHK</v>
      </c>
      <c r="C310" s="264" t="s">
        <v>456</v>
      </c>
      <c r="D310" s="264" t="s">
        <v>456</v>
      </c>
      <c r="E310" s="264" t="s">
        <v>1326</v>
      </c>
      <c r="F310" s="264">
        <v>5040302</v>
      </c>
      <c r="G310" s="264" t="s">
        <v>1223</v>
      </c>
      <c r="H310" s="264">
        <v>2019</v>
      </c>
      <c r="I310" s="265"/>
      <c r="J310" s="278"/>
      <c r="K310" s="279">
        <v>973</v>
      </c>
      <c r="L310" s="279"/>
      <c r="M310" s="280"/>
      <c r="N310" s="280"/>
      <c r="O310" s="279"/>
      <c r="P310" s="281" t="s">
        <v>1177</v>
      </c>
      <c r="Q310" s="264"/>
      <c r="R310" s="282"/>
      <c r="S310" s="281" t="s">
        <v>1733</v>
      </c>
      <c r="T310" s="281">
        <v>21</v>
      </c>
      <c r="U310" s="264">
        <v>2</v>
      </c>
      <c r="V310" s="282">
        <v>12</v>
      </c>
      <c r="W310" s="281">
        <v>7</v>
      </c>
      <c r="X310" s="281">
        <v>0</v>
      </c>
      <c r="Y310" s="264">
        <v>47</v>
      </c>
      <c r="Z310" s="282">
        <v>0</v>
      </c>
      <c r="AA310" s="281">
        <v>0</v>
      </c>
      <c r="AB310" s="281">
        <v>0</v>
      </c>
      <c r="AD310" s="284">
        <v>21</v>
      </c>
      <c r="AE310" s="284">
        <v>2</v>
      </c>
      <c r="AF310" s="284">
        <v>12</v>
      </c>
      <c r="AG310" s="284">
        <v>7</v>
      </c>
      <c r="AH310" s="284">
        <v>0</v>
      </c>
      <c r="AI310" s="284">
        <v>47</v>
      </c>
      <c r="AJ310" s="284">
        <v>0</v>
      </c>
      <c r="AL310" s="285">
        <v>9128064.2536447197</v>
      </c>
      <c r="AM310" s="286">
        <v>5674946.8547536954</v>
      </c>
      <c r="AN310" s="287">
        <v>4609554.2932669176</v>
      </c>
      <c r="AO310" s="288">
        <v>3232241.6983223897</v>
      </c>
      <c r="AP310" s="289">
        <v>22644807.099987723</v>
      </c>
      <c r="AQ310" s="266"/>
      <c r="AR310" s="285">
        <v>5276712.8023255812</v>
      </c>
      <c r="AS310" s="286">
        <v>1374508.8317230274</v>
      </c>
      <c r="AT310" s="286">
        <v>3333417.4074074072</v>
      </c>
      <c r="AU310" s="290">
        <v>2391221.9590992648</v>
      </c>
      <c r="AV310" s="289">
        <v>12375861.000555281</v>
      </c>
      <c r="AW310" s="291">
        <v>10268946.099432442</v>
      </c>
    </row>
    <row r="311" spans="1:49" x14ac:dyDescent="0.25">
      <c r="A311" s="264">
        <v>3943362</v>
      </c>
      <c r="B311" s="264" t="str">
        <f>VLOOKUP(A311,'Výpočet VP 2020'!$A$4:$B$318,2,FALSE)</f>
        <v>PO KHK</v>
      </c>
      <c r="C311" s="264" t="s">
        <v>464</v>
      </c>
      <c r="D311" s="264" t="s">
        <v>464</v>
      </c>
      <c r="E311" s="264" t="s">
        <v>1319</v>
      </c>
      <c r="F311" s="264">
        <v>3943362</v>
      </c>
      <c r="G311" s="264" t="s">
        <v>1073</v>
      </c>
      <c r="H311" s="264">
        <v>2019</v>
      </c>
      <c r="I311" s="265"/>
      <c r="J311" s="278"/>
      <c r="K311" s="279">
        <v>1210</v>
      </c>
      <c r="L311" s="279"/>
      <c r="M311" s="280"/>
      <c r="N311" s="280"/>
      <c r="O311" s="279"/>
      <c r="P311" s="281" t="s">
        <v>1177</v>
      </c>
      <c r="Q311" s="264"/>
      <c r="R311" s="282"/>
      <c r="S311" s="281" t="s">
        <v>1733</v>
      </c>
      <c r="T311" s="281">
        <v>23</v>
      </c>
      <c r="U311" s="264">
        <v>2</v>
      </c>
      <c r="V311" s="282">
        <v>13</v>
      </c>
      <c r="W311" s="281">
        <v>8</v>
      </c>
      <c r="X311" s="281">
        <v>0</v>
      </c>
      <c r="Y311" s="264">
        <v>52</v>
      </c>
      <c r="Z311" s="282">
        <v>0</v>
      </c>
      <c r="AA311" s="281">
        <v>0</v>
      </c>
      <c r="AB311" s="281">
        <v>0</v>
      </c>
      <c r="AD311" s="284">
        <v>23</v>
      </c>
      <c r="AE311" s="284">
        <v>2</v>
      </c>
      <c r="AF311" s="284">
        <v>13</v>
      </c>
      <c r="AG311" s="284">
        <v>8</v>
      </c>
      <c r="AH311" s="284">
        <v>0</v>
      </c>
      <c r="AI311" s="284">
        <v>52</v>
      </c>
      <c r="AJ311" s="284">
        <v>0</v>
      </c>
      <c r="AL311" s="285">
        <v>9780068.8431907706</v>
      </c>
      <c r="AM311" s="286">
        <v>6485653.5482899379</v>
      </c>
      <c r="AN311" s="287">
        <v>5099932.4095719093</v>
      </c>
      <c r="AO311" s="288">
        <v>3576097.1981439209</v>
      </c>
      <c r="AP311" s="289">
        <v>24941751.999196541</v>
      </c>
      <c r="AQ311" s="266"/>
      <c r="AR311" s="285">
        <v>5838065.2281048978</v>
      </c>
      <c r="AS311" s="286">
        <v>1520733.1755233493</v>
      </c>
      <c r="AT311" s="286">
        <v>3688036.2805358549</v>
      </c>
      <c r="AU311" s="290">
        <v>2645607.2738970588</v>
      </c>
      <c r="AV311" s="289">
        <v>13692441.958061161</v>
      </c>
      <c r="AW311" s="291">
        <v>11249310.04113538</v>
      </c>
    </row>
    <row r="312" spans="1:49" x14ac:dyDescent="0.25">
      <c r="A312" s="264">
        <v>9593192</v>
      </c>
      <c r="B312" s="264" t="str">
        <f>VLOOKUP(A312,'Výpočet VP 2020'!$A$4:$B$318,2,FALSE)</f>
        <v>PO KHK</v>
      </c>
      <c r="C312" s="264" t="s">
        <v>480</v>
      </c>
      <c r="D312" s="264" t="s">
        <v>480</v>
      </c>
      <c r="E312" s="264" t="s">
        <v>1319</v>
      </c>
      <c r="F312" s="264">
        <v>9593192</v>
      </c>
      <c r="G312" s="264" t="s">
        <v>1073</v>
      </c>
      <c r="H312" s="264">
        <v>2019</v>
      </c>
      <c r="I312" s="265"/>
      <c r="J312" s="278"/>
      <c r="K312" s="279">
        <v>1210</v>
      </c>
      <c r="L312" s="279"/>
      <c r="M312" s="280"/>
      <c r="N312" s="280"/>
      <c r="O312" s="279"/>
      <c r="P312" s="281" t="s">
        <v>1177</v>
      </c>
      <c r="Q312" s="264"/>
      <c r="R312" s="282"/>
      <c r="S312" s="281" t="s">
        <v>1733</v>
      </c>
      <c r="T312" s="281">
        <v>33.5</v>
      </c>
      <c r="U312" s="264">
        <v>1.5</v>
      </c>
      <c r="V312" s="282">
        <v>21</v>
      </c>
      <c r="W312" s="281">
        <v>11</v>
      </c>
      <c r="X312" s="281">
        <v>0</v>
      </c>
      <c r="Y312" s="264">
        <v>84</v>
      </c>
      <c r="Z312" s="282">
        <v>0</v>
      </c>
      <c r="AA312" s="281">
        <v>0</v>
      </c>
      <c r="AB312" s="281">
        <v>0</v>
      </c>
      <c r="AD312" s="284">
        <v>33.5</v>
      </c>
      <c r="AE312" s="284">
        <v>1.5</v>
      </c>
      <c r="AF312" s="284">
        <v>21</v>
      </c>
      <c r="AG312" s="284">
        <v>11</v>
      </c>
      <c r="AH312" s="284">
        <v>0</v>
      </c>
      <c r="AI312" s="284">
        <v>84</v>
      </c>
      <c r="AJ312" s="284">
        <v>0</v>
      </c>
      <c r="AL312" s="285">
        <v>14670103.264786156</v>
      </c>
      <c r="AM312" s="286">
        <v>8917773.6288986653</v>
      </c>
      <c r="AN312" s="287">
        <v>8238352.3539238535</v>
      </c>
      <c r="AO312" s="288">
        <v>5776772.3970017182</v>
      </c>
      <c r="AP312" s="289">
        <v>37603001.64461039</v>
      </c>
      <c r="AQ312" s="266"/>
      <c r="AR312" s="285">
        <v>9430720.7530925274</v>
      </c>
      <c r="AS312" s="286">
        <v>2456568.9758454105</v>
      </c>
      <c r="AT312" s="286">
        <v>5957597.0685579199</v>
      </c>
      <c r="AU312" s="290">
        <v>4273673.2886029417</v>
      </c>
      <c r="AV312" s="289">
        <v>22118560.086098798</v>
      </c>
      <c r="AW312" s="291">
        <v>15484441.558511592</v>
      </c>
    </row>
    <row r="313" spans="1:49" x14ac:dyDescent="0.25">
      <c r="A313" s="264">
        <v>1872907</v>
      </c>
      <c r="B313" s="264" t="str">
        <f>VLOOKUP(A313,'Výpočet VP 2020'!$A$4:$B$318,2,FALSE)</f>
        <v>PO KHK</v>
      </c>
      <c r="C313" s="264" t="s">
        <v>496</v>
      </c>
      <c r="D313" s="264" t="s">
        <v>496</v>
      </c>
      <c r="E313" s="264" t="s">
        <v>1319</v>
      </c>
      <c r="F313" s="264">
        <v>1872907</v>
      </c>
      <c r="G313" s="264" t="s">
        <v>1073</v>
      </c>
      <c r="H313" s="264">
        <v>2019</v>
      </c>
      <c r="I313" s="265"/>
      <c r="J313" s="278"/>
      <c r="K313" s="279">
        <v>1210</v>
      </c>
      <c r="L313" s="279"/>
      <c r="M313" s="280"/>
      <c r="N313" s="280"/>
      <c r="O313" s="279"/>
      <c r="P313" s="281" t="s">
        <v>1177</v>
      </c>
      <c r="Q313" s="264"/>
      <c r="R313" s="282"/>
      <c r="S313" s="281" t="s">
        <v>1733</v>
      </c>
      <c r="T313" s="281">
        <v>18</v>
      </c>
      <c r="U313" s="264">
        <v>1</v>
      </c>
      <c r="V313" s="282">
        <v>11</v>
      </c>
      <c r="W313" s="281">
        <v>6</v>
      </c>
      <c r="X313" s="281">
        <v>0</v>
      </c>
      <c r="Y313" s="264">
        <v>42</v>
      </c>
      <c r="Z313" s="282">
        <v>0</v>
      </c>
      <c r="AA313" s="281">
        <v>0</v>
      </c>
      <c r="AB313" s="281">
        <v>0</v>
      </c>
      <c r="AD313" s="284">
        <v>18</v>
      </c>
      <c r="AE313" s="284">
        <v>1</v>
      </c>
      <c r="AF313" s="284">
        <v>11</v>
      </c>
      <c r="AG313" s="284">
        <v>6</v>
      </c>
      <c r="AH313" s="284">
        <v>0</v>
      </c>
      <c r="AI313" s="284">
        <v>42</v>
      </c>
      <c r="AJ313" s="284">
        <v>0</v>
      </c>
      <c r="AL313" s="285">
        <v>7824055.0745526161</v>
      </c>
      <c r="AM313" s="286">
        <v>4864240.161217453</v>
      </c>
      <c r="AN313" s="287">
        <v>4119176.1769619267</v>
      </c>
      <c r="AO313" s="288">
        <v>2888386.1985008591</v>
      </c>
      <c r="AP313" s="289">
        <v>19695857.611232858</v>
      </c>
      <c r="AQ313" s="266"/>
      <c r="AR313" s="285">
        <v>4715360.3765462637</v>
      </c>
      <c r="AS313" s="286">
        <v>1228284.4879227052</v>
      </c>
      <c r="AT313" s="286">
        <v>2978798.53427896</v>
      </c>
      <c r="AU313" s="290">
        <v>2136836.6443014708</v>
      </c>
      <c r="AV313" s="289">
        <v>11059280.043049399</v>
      </c>
      <c r="AW313" s="291">
        <v>8636577.5681834593</v>
      </c>
    </row>
    <row r="314" spans="1:49" x14ac:dyDescent="0.25">
      <c r="A314" s="264">
        <v>6565956</v>
      </c>
      <c r="B314" s="264" t="str">
        <f>VLOOKUP(A314,'Výpočet VP 2020'!$A$4:$B$318,2,FALSE)</f>
        <v>PO KHK</v>
      </c>
      <c r="C314" s="264" t="s">
        <v>502</v>
      </c>
      <c r="D314" s="264" t="s">
        <v>502</v>
      </c>
      <c r="E314" s="264" t="s">
        <v>1329</v>
      </c>
      <c r="F314" s="264">
        <v>6565956</v>
      </c>
      <c r="G314" s="264" t="s">
        <v>1128</v>
      </c>
      <c r="H314" s="264">
        <v>2019</v>
      </c>
      <c r="I314" s="265"/>
      <c r="J314" s="278"/>
      <c r="K314" s="279">
        <v>1228</v>
      </c>
      <c r="L314" s="279"/>
      <c r="M314" s="280"/>
      <c r="N314" s="280"/>
      <c r="O314" s="279"/>
      <c r="P314" s="281" t="s">
        <v>1177</v>
      </c>
      <c r="Q314" s="264"/>
      <c r="R314" s="282"/>
      <c r="S314" s="281" t="s">
        <v>1733</v>
      </c>
      <c r="T314" s="281">
        <v>21.68</v>
      </c>
      <c r="U314" s="264">
        <v>1.22</v>
      </c>
      <c r="V314" s="282">
        <v>11.2</v>
      </c>
      <c r="W314" s="281">
        <v>9.26</v>
      </c>
      <c r="X314" s="281">
        <v>0</v>
      </c>
      <c r="Y314" s="264">
        <v>55</v>
      </c>
      <c r="Z314" s="282">
        <v>0</v>
      </c>
      <c r="AA314" s="281">
        <v>0</v>
      </c>
      <c r="AB314" s="281">
        <v>0</v>
      </c>
      <c r="AD314" s="284">
        <v>21.68</v>
      </c>
      <c r="AE314" s="284">
        <v>1.22</v>
      </c>
      <c r="AF314" s="284">
        <v>11.2</v>
      </c>
      <c r="AG314" s="284">
        <v>9.26</v>
      </c>
      <c r="AH314" s="284">
        <v>0</v>
      </c>
      <c r="AI314" s="284">
        <v>55</v>
      </c>
      <c r="AJ314" s="284">
        <v>0</v>
      </c>
      <c r="AL314" s="285">
        <v>8097897.0021619573</v>
      </c>
      <c r="AM314" s="286">
        <v>7507143.9821456028</v>
      </c>
      <c r="AN314" s="287">
        <v>5394159.2793549038</v>
      </c>
      <c r="AO314" s="288">
        <v>3782410.4980368391</v>
      </c>
      <c r="AP314" s="289">
        <v>24781610.761699304</v>
      </c>
      <c r="AQ314" s="266"/>
      <c r="AR314" s="285">
        <v>6174876.6835724888</v>
      </c>
      <c r="AS314" s="286">
        <v>1608467.7818035427</v>
      </c>
      <c r="AT314" s="286">
        <v>3900807.6044129236</v>
      </c>
      <c r="AU314" s="290">
        <v>2798238.4627757352</v>
      </c>
      <c r="AV314" s="289">
        <v>14482390.53256469</v>
      </c>
      <c r="AW314" s="291">
        <v>10299220.229134614</v>
      </c>
    </row>
    <row r="315" spans="1:49" x14ac:dyDescent="0.25">
      <c r="A315" s="264">
        <v>3754207</v>
      </c>
      <c r="B315" s="264" t="str">
        <f>VLOOKUP(A315,'Výpočet VP 2020'!$A$4:$B$318,2,FALSE)</f>
        <v>PO KHK</v>
      </c>
      <c r="C315" s="264" t="s">
        <v>447</v>
      </c>
      <c r="D315" s="264" t="s">
        <v>447</v>
      </c>
      <c r="E315" s="264" t="s">
        <v>1339</v>
      </c>
      <c r="F315" s="264">
        <v>3754207</v>
      </c>
      <c r="G315" s="264" t="s">
        <v>1058</v>
      </c>
      <c r="H315" s="264">
        <v>2019</v>
      </c>
      <c r="I315" s="265"/>
      <c r="J315" s="278"/>
      <c r="K315" s="279"/>
      <c r="L315" s="279"/>
      <c r="M315" s="280"/>
      <c r="N315" s="280"/>
      <c r="O315" s="279">
        <v>3602</v>
      </c>
      <c r="P315" s="281" t="s">
        <v>1269</v>
      </c>
      <c r="Q315" s="264"/>
      <c r="R315" s="282">
        <v>43647</v>
      </c>
      <c r="S315" s="281" t="s">
        <v>1733</v>
      </c>
      <c r="T315" s="281">
        <v>43.26</v>
      </c>
      <c r="U315" s="264">
        <v>3.04</v>
      </c>
      <c r="V315" s="282">
        <v>31.86</v>
      </c>
      <c r="W315" s="281">
        <v>8.36</v>
      </c>
      <c r="X315" s="281">
        <v>0</v>
      </c>
      <c r="Y315" s="264">
        <v>78</v>
      </c>
      <c r="Z315" s="282">
        <v>0</v>
      </c>
      <c r="AA315" s="281">
        <v>0</v>
      </c>
      <c r="AB315" s="281">
        <v>0</v>
      </c>
      <c r="AD315" s="284">
        <v>43.26</v>
      </c>
      <c r="AE315" s="284">
        <v>3.04</v>
      </c>
      <c r="AF315" s="284">
        <v>31.86</v>
      </c>
      <c r="AG315" s="284">
        <v>8.36</v>
      </c>
      <c r="AH315" s="284">
        <v>0</v>
      </c>
      <c r="AI315" s="284">
        <v>78</v>
      </c>
      <c r="AJ315" s="284">
        <v>0</v>
      </c>
      <c r="AL315" s="285">
        <v>22270670.365180407</v>
      </c>
      <c r="AM315" s="286">
        <v>6757781.639472642</v>
      </c>
      <c r="AN315" s="287">
        <v>7528631.3770529693</v>
      </c>
      <c r="AO315" s="288">
        <v>5076821.8231910896</v>
      </c>
      <c r="AP315" s="289">
        <v>41633905.204897106</v>
      </c>
      <c r="AQ315" s="266"/>
      <c r="AR315" s="285">
        <v>9365321.1600000001</v>
      </c>
      <c r="AS315" s="286">
        <v>1753603.5074999998</v>
      </c>
      <c r="AT315" s="286">
        <v>5182462.5517241377</v>
      </c>
      <c r="AU315" s="290">
        <v>3978105.3</v>
      </c>
      <c r="AV315" s="289">
        <v>20279492.519224137</v>
      </c>
      <c r="AW315" s="291">
        <v>21354412.685672969</v>
      </c>
    </row>
    <row r="316" spans="1:49" x14ac:dyDescent="0.25">
      <c r="A316" s="264">
        <v>5804478</v>
      </c>
      <c r="B316" s="264" t="str">
        <f>VLOOKUP(A316,'Výpočet VP 2020'!$A$4:$B$318,2,FALSE)</f>
        <v>PO KHK</v>
      </c>
      <c r="C316" s="264" t="s">
        <v>1343</v>
      </c>
      <c r="D316" s="264" t="s">
        <v>515</v>
      </c>
      <c r="E316" s="264" t="s">
        <v>1339</v>
      </c>
      <c r="F316" s="264">
        <v>5804478</v>
      </c>
      <c r="G316" s="264" t="s">
        <v>1058</v>
      </c>
      <c r="H316" s="264">
        <v>2019</v>
      </c>
      <c r="I316" s="265"/>
      <c r="J316" s="278"/>
      <c r="K316" s="279"/>
      <c r="L316" s="279"/>
      <c r="M316" s="280"/>
      <c r="N316" s="280"/>
      <c r="O316" s="279">
        <v>3602</v>
      </c>
      <c r="P316" s="281" t="s">
        <v>1269</v>
      </c>
      <c r="Q316" s="264"/>
      <c r="R316" s="282"/>
      <c r="S316" s="281" t="s">
        <v>1733</v>
      </c>
      <c r="T316" s="281">
        <v>31.6</v>
      </c>
      <c r="U316" s="264">
        <v>2.4</v>
      </c>
      <c r="V316" s="282">
        <v>25.2</v>
      </c>
      <c r="W316" s="281">
        <v>4</v>
      </c>
      <c r="X316" s="281">
        <v>0</v>
      </c>
      <c r="Y316" s="264">
        <v>58</v>
      </c>
      <c r="Z316" s="282">
        <v>0</v>
      </c>
      <c r="AA316" s="281">
        <v>0</v>
      </c>
      <c r="AB316" s="281">
        <v>0</v>
      </c>
      <c r="AD316" s="284">
        <v>31.6</v>
      </c>
      <c r="AE316" s="284">
        <v>2.4</v>
      </c>
      <c r="AF316" s="284">
        <v>25.2</v>
      </c>
      <c r="AG316" s="284">
        <v>4</v>
      </c>
      <c r="AH316" s="284">
        <v>0</v>
      </c>
      <c r="AI316" s="284">
        <v>58</v>
      </c>
      <c r="AJ316" s="284">
        <v>0</v>
      </c>
      <c r="AL316" s="285">
        <v>17612335.303122614</v>
      </c>
      <c r="AM316" s="286">
        <v>3233388.3442452834</v>
      </c>
      <c r="AN316" s="287">
        <v>5598213.0752445161</v>
      </c>
      <c r="AO316" s="288">
        <v>3775072.6377574769</v>
      </c>
      <c r="AP316" s="289">
        <v>30219009.360369891</v>
      </c>
      <c r="AQ316" s="266"/>
      <c r="AR316" s="285">
        <v>6963956.7599999998</v>
      </c>
      <c r="AS316" s="286">
        <v>1303961.5825</v>
      </c>
      <c r="AT316" s="286">
        <v>3853626</v>
      </c>
      <c r="AU316" s="290">
        <v>2958078.3</v>
      </c>
      <c r="AV316" s="289">
        <v>15079622.642499998</v>
      </c>
      <c r="AW316" s="291">
        <v>15139386.717869893</v>
      </c>
    </row>
    <row r="317" spans="1:49" x14ac:dyDescent="0.25">
      <c r="A317" s="264">
        <v>5638901</v>
      </c>
      <c r="B317" s="264" t="str">
        <f>VLOOKUP(A317,'Výpočet VP 2020'!$A$4:$B$318,2,FALSE)</f>
        <v>PO KHK</v>
      </c>
      <c r="C317" s="264" t="s">
        <v>519</v>
      </c>
      <c r="D317" s="264" t="s">
        <v>519</v>
      </c>
      <c r="E317" s="264" t="s">
        <v>1339</v>
      </c>
      <c r="F317" s="264">
        <v>5638901</v>
      </c>
      <c r="G317" s="264" t="s">
        <v>1058</v>
      </c>
      <c r="H317" s="264">
        <v>2019</v>
      </c>
      <c r="I317" s="265"/>
      <c r="J317" s="278"/>
      <c r="K317" s="279"/>
      <c r="L317" s="279"/>
      <c r="M317" s="280"/>
      <c r="N317" s="280"/>
      <c r="O317" s="279">
        <v>3602</v>
      </c>
      <c r="P317" s="281" t="s">
        <v>1269</v>
      </c>
      <c r="Q317" s="264"/>
      <c r="R317" s="282"/>
      <c r="S317" s="281" t="s">
        <v>1733</v>
      </c>
      <c r="T317" s="281">
        <v>31</v>
      </c>
      <c r="U317" s="264">
        <v>1.9</v>
      </c>
      <c r="V317" s="282">
        <v>23.7</v>
      </c>
      <c r="W317" s="281">
        <v>5.4</v>
      </c>
      <c r="X317" s="281">
        <v>0</v>
      </c>
      <c r="Y317" s="264">
        <v>76</v>
      </c>
      <c r="Z317" s="282">
        <v>0</v>
      </c>
      <c r="AA317" s="281">
        <v>0</v>
      </c>
      <c r="AB317" s="281">
        <v>0</v>
      </c>
      <c r="AD317" s="284">
        <v>31</v>
      </c>
      <c r="AE317" s="284">
        <v>1.9</v>
      </c>
      <c r="AF317" s="284">
        <v>23.7</v>
      </c>
      <c r="AG317" s="284">
        <v>5.4</v>
      </c>
      <c r="AH317" s="284">
        <v>0</v>
      </c>
      <c r="AI317" s="284">
        <v>76</v>
      </c>
      <c r="AJ317" s="284">
        <v>0</v>
      </c>
      <c r="AL317" s="285">
        <v>16336079.121736916</v>
      </c>
      <c r="AM317" s="286">
        <v>4365074.2647311324</v>
      </c>
      <c r="AN317" s="287">
        <v>7335589.5468721241</v>
      </c>
      <c r="AO317" s="288">
        <v>4946646.9046477284</v>
      </c>
      <c r="AP317" s="289">
        <v>32983389.8379879</v>
      </c>
      <c r="AQ317" s="266"/>
      <c r="AR317" s="285">
        <v>9125184.7200000007</v>
      </c>
      <c r="AS317" s="286">
        <v>1708639.3149999999</v>
      </c>
      <c r="AT317" s="286">
        <v>5049578.8965517245</v>
      </c>
      <c r="AU317" s="290">
        <v>3876102.6</v>
      </c>
      <c r="AV317" s="289">
        <v>19759505.531551726</v>
      </c>
      <c r="AW317" s="291">
        <v>13223884.306436174</v>
      </c>
    </row>
    <row r="318" spans="1:49" x14ac:dyDescent="0.25">
      <c r="A318" s="264">
        <v>5220717</v>
      </c>
      <c r="B318" s="264" t="str">
        <f>VLOOKUP(A318,'Výpočet VP 2020'!$A$4:$B$318,2,FALSE)</f>
        <v>PO KHK</v>
      </c>
      <c r="C318" s="264" t="s">
        <v>485</v>
      </c>
      <c r="D318" s="264" t="s">
        <v>485</v>
      </c>
      <c r="E318" s="264" t="s">
        <v>1340</v>
      </c>
      <c r="F318" s="264">
        <v>5220717</v>
      </c>
      <c r="G318" s="264" t="s">
        <v>1087</v>
      </c>
      <c r="H318" s="264">
        <v>2019</v>
      </c>
      <c r="I318" s="265"/>
      <c r="J318" s="278"/>
      <c r="K318" s="279"/>
      <c r="L318" s="279"/>
      <c r="M318" s="280">
        <v>86</v>
      </c>
      <c r="N318" s="280"/>
      <c r="O318" s="279"/>
      <c r="P318" s="281" t="s">
        <v>1341</v>
      </c>
      <c r="Q318" s="264"/>
      <c r="R318" s="282">
        <v>43647</v>
      </c>
      <c r="S318" s="281" t="s">
        <v>1733</v>
      </c>
      <c r="T318" s="281">
        <v>32.9</v>
      </c>
      <c r="U318" s="264">
        <v>1.1000000000000001</v>
      </c>
      <c r="V318" s="282">
        <v>26.15</v>
      </c>
      <c r="W318" s="281">
        <v>5.65</v>
      </c>
      <c r="X318" s="281">
        <v>0</v>
      </c>
      <c r="Y318" s="264">
        <v>40</v>
      </c>
      <c r="Z318" s="282">
        <v>0</v>
      </c>
      <c r="AA318" s="281">
        <v>0</v>
      </c>
      <c r="AB318" s="281">
        <v>0</v>
      </c>
      <c r="AD318" s="284">
        <v>32.9</v>
      </c>
      <c r="AE318" s="284">
        <v>1.1000000000000001</v>
      </c>
      <c r="AF318" s="284">
        <v>26.15</v>
      </c>
      <c r="AG318" s="284">
        <v>5.65</v>
      </c>
      <c r="AH318" s="284">
        <v>0</v>
      </c>
      <c r="AI318" s="284">
        <v>40</v>
      </c>
      <c r="AJ318" s="284">
        <v>0</v>
      </c>
      <c r="AL318" s="285">
        <v>17388990.471380118</v>
      </c>
      <c r="AM318" s="286">
        <v>4567161.0362464627</v>
      </c>
      <c r="AN318" s="287">
        <v>3860836.6036169073</v>
      </c>
      <c r="AO318" s="288">
        <v>2603498.3708672253</v>
      </c>
      <c r="AP318" s="289">
        <v>28420486.482110716</v>
      </c>
      <c r="AQ318" s="266"/>
      <c r="AR318" s="285">
        <v>4802728.8</v>
      </c>
      <c r="AS318" s="286">
        <v>899283.85</v>
      </c>
      <c r="AT318" s="286">
        <v>2657673.1034482759</v>
      </c>
      <c r="AU318" s="290">
        <v>2040054</v>
      </c>
      <c r="AV318" s="289">
        <v>10399739.753448276</v>
      </c>
      <c r="AW318" s="291">
        <v>18020746.728662439</v>
      </c>
    </row>
    <row r="319" spans="1:49" x14ac:dyDescent="0.25">
      <c r="A319" s="264">
        <v>5651221</v>
      </c>
      <c r="B319" s="264" t="str">
        <f>VLOOKUP(A319,'Výpočet VP 2020'!$A$4:$B$318,2,FALSE)</f>
        <v>PO KHK</v>
      </c>
      <c r="C319" s="264" t="s">
        <v>435</v>
      </c>
      <c r="D319" s="264" t="s">
        <v>435</v>
      </c>
      <c r="E319" s="264" t="s">
        <v>1342</v>
      </c>
      <c r="F319" s="264">
        <v>5651221</v>
      </c>
      <c r="G319" s="264" t="s">
        <v>1087</v>
      </c>
      <c r="H319" s="264">
        <v>2019</v>
      </c>
      <c r="I319" s="265"/>
      <c r="J319" s="278"/>
      <c r="K319" s="279"/>
      <c r="L319" s="279"/>
      <c r="M319" s="280">
        <v>86</v>
      </c>
      <c r="N319" s="280"/>
      <c r="O319" s="279"/>
      <c r="P319" s="281" t="s">
        <v>1059</v>
      </c>
      <c r="Q319" s="264"/>
      <c r="R319" s="282"/>
      <c r="S319" s="281" t="s">
        <v>1733</v>
      </c>
      <c r="T319" s="281">
        <v>33</v>
      </c>
      <c r="U319" s="264">
        <v>2</v>
      </c>
      <c r="V319" s="282">
        <v>23</v>
      </c>
      <c r="W319" s="281">
        <v>8</v>
      </c>
      <c r="X319" s="281">
        <v>0</v>
      </c>
      <c r="Y319" s="264">
        <v>49</v>
      </c>
      <c r="Z319" s="282">
        <v>0</v>
      </c>
      <c r="AA319" s="281">
        <v>0</v>
      </c>
      <c r="AB319" s="281">
        <v>0</v>
      </c>
      <c r="AD319" s="284">
        <v>33</v>
      </c>
      <c r="AE319" s="284">
        <v>2</v>
      </c>
      <c r="AF319" s="284">
        <v>23</v>
      </c>
      <c r="AG319" s="284">
        <v>8</v>
      </c>
      <c r="AH319" s="284">
        <v>0</v>
      </c>
      <c r="AI319" s="284">
        <v>49</v>
      </c>
      <c r="AJ319" s="284">
        <v>0</v>
      </c>
      <c r="AL319" s="285">
        <v>15953202.267321208</v>
      </c>
      <c r="AM319" s="286">
        <v>6466776.6884905668</v>
      </c>
      <c r="AN319" s="287">
        <v>4729524.8394307112</v>
      </c>
      <c r="AO319" s="288">
        <v>3189285.5043123513</v>
      </c>
      <c r="AP319" s="289">
        <v>30338789.29955484</v>
      </c>
      <c r="AQ319" s="266"/>
      <c r="AR319" s="285">
        <v>5883342.7800000003</v>
      </c>
      <c r="AS319" s="286">
        <v>1101622.7162499998</v>
      </c>
      <c r="AT319" s="286">
        <v>3255649.5517241382</v>
      </c>
      <c r="AU319" s="290">
        <v>2499066.15</v>
      </c>
      <c r="AV319" s="289">
        <v>12739681.197974138</v>
      </c>
      <c r="AW319" s="291">
        <v>17599108.101580702</v>
      </c>
    </row>
    <row r="320" spans="1:49" x14ac:dyDescent="0.25">
      <c r="A320" s="264">
        <v>1991772</v>
      </c>
      <c r="B320" s="264" t="str">
        <f>VLOOKUP(A320,'Výpočet VP 2020'!$A$4:$B$318,2,FALSE)</f>
        <v>PO KHK</v>
      </c>
      <c r="C320" s="264" t="s">
        <v>472</v>
      </c>
      <c r="D320" s="264" t="s">
        <v>472</v>
      </c>
      <c r="E320" s="264" t="s">
        <v>1338</v>
      </c>
      <c r="F320" s="264">
        <v>1991772</v>
      </c>
      <c r="G320" s="264" t="s">
        <v>1061</v>
      </c>
      <c r="H320" s="264">
        <v>2019</v>
      </c>
      <c r="I320" s="265"/>
      <c r="J320" s="278"/>
      <c r="K320" s="279"/>
      <c r="L320" s="279"/>
      <c r="M320" s="280"/>
      <c r="N320" s="280"/>
      <c r="O320" s="279">
        <v>3605</v>
      </c>
      <c r="P320" s="281" t="s">
        <v>1269</v>
      </c>
      <c r="Q320" s="264"/>
      <c r="R320" s="282"/>
      <c r="S320" s="281" t="s">
        <v>1733</v>
      </c>
      <c r="T320" s="281">
        <v>25.8</v>
      </c>
      <c r="U320" s="264">
        <v>1.4</v>
      </c>
      <c r="V320" s="282">
        <v>18</v>
      </c>
      <c r="W320" s="281">
        <v>6.4</v>
      </c>
      <c r="X320" s="281">
        <v>0</v>
      </c>
      <c r="Y320" s="264">
        <v>60</v>
      </c>
      <c r="Z320" s="282">
        <v>0</v>
      </c>
      <c r="AA320" s="281">
        <v>0</v>
      </c>
      <c r="AB320" s="281">
        <v>0</v>
      </c>
      <c r="AD320" s="284">
        <v>25.8</v>
      </c>
      <c r="AE320" s="284">
        <v>1.4</v>
      </c>
      <c r="AF320" s="284">
        <v>18</v>
      </c>
      <c r="AG320" s="284">
        <v>6.4</v>
      </c>
      <c r="AH320" s="284">
        <v>0</v>
      </c>
      <c r="AI320" s="284">
        <v>60</v>
      </c>
      <c r="AJ320" s="284">
        <v>0</v>
      </c>
      <c r="AL320" s="285">
        <v>12379684.959441256</v>
      </c>
      <c r="AM320" s="286">
        <v>5173421.3507924536</v>
      </c>
      <c r="AN320" s="287">
        <v>5791254.9054253614</v>
      </c>
      <c r="AO320" s="288">
        <v>3905247.556300838</v>
      </c>
      <c r="AP320" s="289">
        <v>27249608.771959908</v>
      </c>
      <c r="AQ320" s="266"/>
      <c r="AR320" s="285">
        <v>7204093.2000000002</v>
      </c>
      <c r="AS320" s="286">
        <v>1348925.7749999999</v>
      </c>
      <c r="AT320" s="286">
        <v>3986509.6551724141</v>
      </c>
      <c r="AU320" s="290">
        <v>3060081</v>
      </c>
      <c r="AV320" s="289">
        <v>15599609.630172413</v>
      </c>
      <c r="AW320" s="291">
        <v>11649999.141787495</v>
      </c>
    </row>
    <row r="321" spans="1:49" x14ac:dyDescent="0.25">
      <c r="A321" s="264">
        <v>1450637</v>
      </c>
      <c r="B321" s="264" t="str">
        <f>VLOOKUP(A321,'Výpočet VP 2020'!$A$4:$B$318,2,FALSE)</f>
        <v>PO KHK</v>
      </c>
      <c r="C321" s="264" t="s">
        <v>440</v>
      </c>
      <c r="D321" s="264" t="s">
        <v>440</v>
      </c>
      <c r="E321" s="264" t="s">
        <v>1335</v>
      </c>
      <c r="F321" s="264">
        <v>1450637</v>
      </c>
      <c r="G321" s="264" t="s">
        <v>1063</v>
      </c>
      <c r="H321" s="264">
        <v>2019</v>
      </c>
      <c r="I321" s="265"/>
      <c r="J321" s="278"/>
      <c r="K321" s="279"/>
      <c r="L321" s="279"/>
      <c r="M321" s="280"/>
      <c r="N321" s="280"/>
      <c r="O321" s="279">
        <v>3607</v>
      </c>
      <c r="P321" s="281" t="s">
        <v>1269</v>
      </c>
      <c r="Q321" s="264"/>
      <c r="R321" s="282"/>
      <c r="S321" s="281" t="s">
        <v>1733</v>
      </c>
      <c r="T321" s="281">
        <v>50</v>
      </c>
      <c r="U321" s="264">
        <v>2</v>
      </c>
      <c r="V321" s="282">
        <v>36</v>
      </c>
      <c r="W321" s="281">
        <v>12</v>
      </c>
      <c r="X321" s="281">
        <v>0</v>
      </c>
      <c r="Y321" s="264">
        <v>81</v>
      </c>
      <c r="Z321" s="282">
        <v>0</v>
      </c>
      <c r="AA321" s="281">
        <v>0</v>
      </c>
      <c r="AB321" s="281">
        <v>0</v>
      </c>
      <c r="AD321" s="284">
        <v>50</v>
      </c>
      <c r="AE321" s="284">
        <v>2</v>
      </c>
      <c r="AF321" s="284">
        <v>36</v>
      </c>
      <c r="AG321" s="284">
        <v>12</v>
      </c>
      <c r="AH321" s="284">
        <v>0</v>
      </c>
      <c r="AI321" s="284">
        <v>81</v>
      </c>
      <c r="AJ321" s="284">
        <v>0</v>
      </c>
      <c r="AL321" s="285">
        <v>24248867.446328238</v>
      </c>
      <c r="AM321" s="286">
        <v>9700165.0327358507</v>
      </c>
      <c r="AN321" s="287">
        <v>7818194.1223242376</v>
      </c>
      <c r="AO321" s="288">
        <v>5272084.2010061312</v>
      </c>
      <c r="AP321" s="289">
        <v>47039310.802394457</v>
      </c>
      <c r="AQ321" s="266"/>
      <c r="AR321" s="285">
        <v>9725525.8200000003</v>
      </c>
      <c r="AS321" s="286">
        <v>1821049.7962499999</v>
      </c>
      <c r="AT321" s="286">
        <v>5381788.0344827585</v>
      </c>
      <c r="AU321" s="290">
        <v>4131109.35</v>
      </c>
      <c r="AV321" s="289">
        <v>21059473.000732761</v>
      </c>
      <c r="AW321" s="291">
        <v>25979837.801661696</v>
      </c>
    </row>
    <row r="322" spans="1:49" x14ac:dyDescent="0.25">
      <c r="A322" s="264">
        <v>7663376</v>
      </c>
      <c r="B322" s="264" t="str">
        <f>VLOOKUP(A322,'Výpočet VP 2020'!$A$4:$B$318,2,FALSE)</f>
        <v>PO KHK</v>
      </c>
      <c r="C322" s="264" t="s">
        <v>393</v>
      </c>
      <c r="D322" s="264" t="s">
        <v>480</v>
      </c>
      <c r="E322" s="264" t="s">
        <v>1344</v>
      </c>
      <c r="F322" s="264">
        <v>7663376</v>
      </c>
      <c r="G322" s="264" t="s">
        <v>1073</v>
      </c>
      <c r="H322" s="264">
        <v>2019</v>
      </c>
      <c r="I322" s="265"/>
      <c r="J322" s="278"/>
      <c r="K322" s="279"/>
      <c r="L322" s="279"/>
      <c r="M322" s="280"/>
      <c r="N322" s="280"/>
      <c r="O322" s="279">
        <v>3610</v>
      </c>
      <c r="P322" s="281" t="s">
        <v>1269</v>
      </c>
      <c r="Q322" s="264"/>
      <c r="R322" s="282"/>
      <c r="S322" s="281" t="s">
        <v>1733</v>
      </c>
      <c r="T322" s="281">
        <v>9.5</v>
      </c>
      <c r="U322" s="264">
        <v>0.5</v>
      </c>
      <c r="V322" s="282">
        <v>6</v>
      </c>
      <c r="W322" s="281">
        <v>3</v>
      </c>
      <c r="X322" s="281">
        <v>0</v>
      </c>
      <c r="Y322" s="264">
        <v>16</v>
      </c>
      <c r="Z322" s="282">
        <v>0</v>
      </c>
      <c r="AA322" s="281">
        <v>0</v>
      </c>
      <c r="AB322" s="281">
        <v>0</v>
      </c>
      <c r="AD322" s="284">
        <v>9.5</v>
      </c>
      <c r="AE322" s="284">
        <v>0.5</v>
      </c>
      <c r="AF322" s="284">
        <v>6</v>
      </c>
      <c r="AG322" s="284">
        <v>3</v>
      </c>
      <c r="AH322" s="284">
        <v>0</v>
      </c>
      <c r="AI322" s="284">
        <v>16</v>
      </c>
      <c r="AJ322" s="284">
        <v>0</v>
      </c>
      <c r="AL322" s="285">
        <v>4147832.5895035141</v>
      </c>
      <c r="AM322" s="286">
        <v>2425041.2581839627</v>
      </c>
      <c r="AN322" s="287">
        <v>1544334.641446763</v>
      </c>
      <c r="AO322" s="288">
        <v>1041399.3483468902</v>
      </c>
      <c r="AP322" s="289">
        <v>9158607.8374811299</v>
      </c>
      <c r="AQ322" s="266"/>
      <c r="AR322" s="285">
        <v>1921091.52</v>
      </c>
      <c r="AS322" s="286">
        <v>359713.54</v>
      </c>
      <c r="AT322" s="286">
        <v>1063069.2413793104</v>
      </c>
      <c r="AU322" s="290">
        <v>816021.6</v>
      </c>
      <c r="AV322" s="289">
        <v>4159895.9013793105</v>
      </c>
      <c r="AW322" s="291">
        <v>4998711.9361018194</v>
      </c>
    </row>
    <row r="323" spans="1:49" x14ac:dyDescent="0.25">
      <c r="A323" s="264">
        <v>9924037</v>
      </c>
      <c r="B323" s="264" t="str">
        <f>VLOOKUP(A323,'Výpočet VP 2020'!$A$4:$B$318,2,FALSE)</f>
        <v>PO KHK</v>
      </c>
      <c r="C323" s="264" t="s">
        <v>502</v>
      </c>
      <c r="D323" s="264" t="s">
        <v>502</v>
      </c>
      <c r="E323" s="264" t="s">
        <v>1344</v>
      </c>
      <c r="F323" s="264">
        <v>9924037</v>
      </c>
      <c r="G323" s="264" t="s">
        <v>1073</v>
      </c>
      <c r="H323" s="264">
        <v>2019</v>
      </c>
      <c r="I323" s="265"/>
      <c r="J323" s="278"/>
      <c r="K323" s="279"/>
      <c r="L323" s="279"/>
      <c r="M323" s="280"/>
      <c r="N323" s="280"/>
      <c r="O323" s="279">
        <v>3610</v>
      </c>
      <c r="P323" s="281" t="s">
        <v>1269</v>
      </c>
      <c r="Q323" s="264"/>
      <c r="R323" s="282"/>
      <c r="S323" s="281" t="s">
        <v>1733</v>
      </c>
      <c r="T323" s="281">
        <v>7.3</v>
      </c>
      <c r="U323" s="264">
        <v>0.15</v>
      </c>
      <c r="V323" s="282">
        <v>5.5</v>
      </c>
      <c r="W323" s="281">
        <v>1.65</v>
      </c>
      <c r="X323" s="281">
        <v>0</v>
      </c>
      <c r="Y323" s="264">
        <v>10</v>
      </c>
      <c r="Z323" s="282">
        <v>0</v>
      </c>
      <c r="AA323" s="281">
        <v>0</v>
      </c>
      <c r="AB323" s="281">
        <v>0</v>
      </c>
      <c r="AD323" s="284">
        <v>7.3</v>
      </c>
      <c r="AE323" s="284">
        <v>0.15</v>
      </c>
      <c r="AF323" s="284">
        <v>5.5</v>
      </c>
      <c r="AG323" s="284">
        <v>1.65</v>
      </c>
      <c r="AH323" s="284">
        <v>0</v>
      </c>
      <c r="AI323" s="284">
        <v>10</v>
      </c>
      <c r="AJ323" s="284">
        <v>0</v>
      </c>
      <c r="AL323" s="285">
        <v>3605423.7124145934</v>
      </c>
      <c r="AM323" s="286">
        <v>1333772.6920011793</v>
      </c>
      <c r="AN323" s="287">
        <v>965209.15090422682</v>
      </c>
      <c r="AO323" s="288">
        <v>650874.59271680634</v>
      </c>
      <c r="AP323" s="289">
        <v>6555280.1480368068</v>
      </c>
      <c r="AQ323" s="266"/>
      <c r="AR323" s="285">
        <v>1200682.2</v>
      </c>
      <c r="AS323" s="286">
        <v>224820.96249999999</v>
      </c>
      <c r="AT323" s="286">
        <v>664418.27586206899</v>
      </c>
      <c r="AU323" s="290">
        <v>510013.5</v>
      </c>
      <c r="AV323" s="289">
        <v>2599934.938362069</v>
      </c>
      <c r="AW323" s="291">
        <v>3955345.2096747379</v>
      </c>
    </row>
    <row r="324" spans="1:49" x14ac:dyDescent="0.25">
      <c r="A324" s="264">
        <v>1576566</v>
      </c>
      <c r="B324" s="264" t="str">
        <f>VLOOKUP(A324,'Výpočet VP 2020'!$A$4:$B$318,2,FALSE)</f>
        <v>PO KHK</v>
      </c>
      <c r="C324" s="264" t="s">
        <v>519</v>
      </c>
      <c r="D324" s="264" t="s">
        <v>519</v>
      </c>
      <c r="E324" s="264" t="s">
        <v>1345</v>
      </c>
      <c r="F324" s="264">
        <v>1576566</v>
      </c>
      <c r="G324" s="264" t="s">
        <v>1058</v>
      </c>
      <c r="H324" s="264">
        <v>2019</v>
      </c>
      <c r="I324" s="265"/>
      <c r="J324" s="278"/>
      <c r="K324" s="279"/>
      <c r="L324" s="279"/>
      <c r="M324" s="280"/>
      <c r="N324" s="280"/>
      <c r="O324" s="279">
        <v>3602</v>
      </c>
      <c r="P324" s="281" t="s">
        <v>1262</v>
      </c>
      <c r="Q324" s="264"/>
      <c r="R324" s="282"/>
      <c r="S324" s="281" t="s">
        <v>1733</v>
      </c>
      <c r="T324" s="281">
        <v>3.4</v>
      </c>
      <c r="U324" s="264">
        <v>0.4</v>
      </c>
      <c r="V324" s="282">
        <v>3</v>
      </c>
      <c r="W324" s="281">
        <v>0</v>
      </c>
      <c r="X324" s="281">
        <v>0</v>
      </c>
      <c r="Y324" s="264">
        <v>8</v>
      </c>
      <c r="Z324" s="282">
        <v>0</v>
      </c>
      <c r="AA324" s="281">
        <v>0</v>
      </c>
      <c r="AB324" s="281">
        <v>0</v>
      </c>
      <c r="AD324" s="284">
        <v>3.4</v>
      </c>
      <c r="AE324" s="284">
        <v>0.4</v>
      </c>
      <c r="AF324" s="284">
        <v>3</v>
      </c>
      <c r="AG324" s="284">
        <v>0</v>
      </c>
      <c r="AH324" s="284">
        <v>0</v>
      </c>
      <c r="AI324" s="284">
        <v>8</v>
      </c>
      <c r="AJ324" s="284">
        <v>0</v>
      </c>
      <c r="AL324" s="285">
        <v>2188067.4099139501</v>
      </c>
      <c r="AM324" s="286">
        <v>0</v>
      </c>
      <c r="AN324" s="287">
        <v>442628.61752516258</v>
      </c>
      <c r="AO324" s="288">
        <v>146257.781067809</v>
      </c>
      <c r="AP324" s="289">
        <v>2776953.8085069219</v>
      </c>
      <c r="AQ324" s="266"/>
      <c r="AR324" s="285">
        <v>245911.18298969074</v>
      </c>
      <c r="AS324" s="286">
        <v>0</v>
      </c>
      <c r="AT324" s="286">
        <v>346258.16000000003</v>
      </c>
      <c r="AU324" s="290">
        <v>150451.5</v>
      </c>
      <c r="AV324" s="289">
        <v>742620.84298969083</v>
      </c>
      <c r="AW324" s="291">
        <v>2034332.965517231</v>
      </c>
    </row>
    <row r="325" spans="1:49" x14ac:dyDescent="0.25">
      <c r="A325" s="264">
        <v>6514817</v>
      </c>
      <c r="B325" s="264" t="str">
        <f>VLOOKUP(A325,'Výpočet VP 2020'!$A$4:$B$318,2,FALSE)</f>
        <v>PO KHK</v>
      </c>
      <c r="C325" s="264" t="s">
        <v>769</v>
      </c>
      <c r="D325" s="264" t="s">
        <v>425</v>
      </c>
      <c r="E325" s="264" t="s">
        <v>1347</v>
      </c>
      <c r="F325" s="264">
        <v>6514817</v>
      </c>
      <c r="G325" s="264" t="s">
        <v>1058</v>
      </c>
      <c r="H325" s="264">
        <v>2019</v>
      </c>
      <c r="I325" s="265"/>
      <c r="J325" s="278"/>
      <c r="K325" s="279"/>
      <c r="L325" s="279"/>
      <c r="M325" s="280"/>
      <c r="N325" s="280"/>
      <c r="O325" s="279">
        <v>3602</v>
      </c>
      <c r="P325" s="281" t="s">
        <v>1262</v>
      </c>
      <c r="Q325" s="264"/>
      <c r="R325" s="282"/>
      <c r="S325" s="281" t="s">
        <v>1733</v>
      </c>
      <c r="T325" s="281">
        <v>1.3</v>
      </c>
      <c r="U325" s="264">
        <v>0.3</v>
      </c>
      <c r="V325" s="282">
        <v>1</v>
      </c>
      <c r="W325" s="281">
        <v>0</v>
      </c>
      <c r="X325" s="281">
        <v>0</v>
      </c>
      <c r="Y325" s="264">
        <v>3</v>
      </c>
      <c r="Z325" s="282">
        <v>0</v>
      </c>
      <c r="AA325" s="281">
        <v>0</v>
      </c>
      <c r="AB325" s="281">
        <v>0</v>
      </c>
      <c r="AD325" s="284">
        <v>1.3</v>
      </c>
      <c r="AE325" s="284">
        <v>0.3</v>
      </c>
      <c r="AF325" s="284">
        <v>1</v>
      </c>
      <c r="AG325" s="284">
        <v>0</v>
      </c>
      <c r="AH325" s="284">
        <v>0</v>
      </c>
      <c r="AI325" s="284">
        <v>3</v>
      </c>
      <c r="AJ325" s="284">
        <v>0</v>
      </c>
      <c r="AL325" s="285">
        <v>836614.00967298099</v>
      </c>
      <c r="AM325" s="286">
        <v>0</v>
      </c>
      <c r="AN325" s="287">
        <v>165985.73157193596</v>
      </c>
      <c r="AO325" s="288">
        <v>54846.66790042838</v>
      </c>
      <c r="AP325" s="289">
        <v>1057446.4091453452</v>
      </c>
      <c r="AQ325" s="266"/>
      <c r="AR325" s="285">
        <v>81970.39432989691</v>
      </c>
      <c r="AS325" s="286">
        <v>0</v>
      </c>
      <c r="AT325" s="286">
        <v>129846.81000000001</v>
      </c>
      <c r="AU325" s="290">
        <v>56419.3125</v>
      </c>
      <c r="AV325" s="289">
        <v>268236.51682989695</v>
      </c>
      <c r="AW325" s="291">
        <v>789209.89231544826</v>
      </c>
    </row>
    <row r="326" spans="1:49" x14ac:dyDescent="0.25">
      <c r="A326" s="264">
        <v>4007320</v>
      </c>
      <c r="B326" s="264" t="str">
        <f>VLOOKUP(A326,'Výpočet VP 2020'!$A$4:$B$318,2,FALSE)</f>
        <v>PO KHK</v>
      </c>
      <c r="C326" s="264" t="s">
        <v>509</v>
      </c>
      <c r="D326" s="264" t="s">
        <v>509</v>
      </c>
      <c r="E326" s="264" t="s">
        <v>1347</v>
      </c>
      <c r="F326" s="264">
        <v>4007320</v>
      </c>
      <c r="G326" s="264" t="s">
        <v>1058</v>
      </c>
      <c r="H326" s="264">
        <v>2019</v>
      </c>
      <c r="I326" s="265"/>
      <c r="J326" s="278"/>
      <c r="K326" s="279"/>
      <c r="L326" s="279"/>
      <c r="M326" s="280"/>
      <c r="N326" s="280"/>
      <c r="O326" s="279">
        <v>3602</v>
      </c>
      <c r="P326" s="281" t="s">
        <v>1262</v>
      </c>
      <c r="Q326" s="264"/>
      <c r="R326" s="282"/>
      <c r="S326" s="281" t="s">
        <v>1733</v>
      </c>
      <c r="T326" s="281">
        <v>1.7</v>
      </c>
      <c r="U326" s="264">
        <v>0.1</v>
      </c>
      <c r="V326" s="282">
        <v>1.6</v>
      </c>
      <c r="W326" s="281">
        <v>0</v>
      </c>
      <c r="X326" s="281">
        <v>0</v>
      </c>
      <c r="Y326" s="264">
        <v>4</v>
      </c>
      <c r="Z326" s="282">
        <v>0</v>
      </c>
      <c r="AA326" s="281">
        <v>0</v>
      </c>
      <c r="AB326" s="281">
        <v>0</v>
      </c>
      <c r="AD326" s="284">
        <v>1.7</v>
      </c>
      <c r="AE326" s="284">
        <v>0.1</v>
      </c>
      <c r="AF326" s="284">
        <v>1.6</v>
      </c>
      <c r="AG326" s="284">
        <v>0</v>
      </c>
      <c r="AH326" s="284">
        <v>0</v>
      </c>
      <c r="AI326" s="284">
        <v>4</v>
      </c>
      <c r="AJ326" s="284">
        <v>0</v>
      </c>
      <c r="AL326" s="285">
        <v>1094033.7049569751</v>
      </c>
      <c r="AM326" s="286">
        <v>0</v>
      </c>
      <c r="AN326" s="287">
        <v>221314.30876258129</v>
      </c>
      <c r="AO326" s="288">
        <v>73128.890533904501</v>
      </c>
      <c r="AP326" s="289">
        <v>1388476.9042534609</v>
      </c>
      <c r="AQ326" s="266"/>
      <c r="AR326" s="285">
        <v>131152.63092783507</v>
      </c>
      <c r="AS326" s="286">
        <v>0</v>
      </c>
      <c r="AT326" s="286">
        <v>173129.08000000002</v>
      </c>
      <c r="AU326" s="290">
        <v>75225.75</v>
      </c>
      <c r="AV326" s="289">
        <v>379507.46092783508</v>
      </c>
      <c r="AW326" s="291">
        <v>1008969.4433256258</v>
      </c>
    </row>
    <row r="327" spans="1:49" x14ac:dyDescent="0.25">
      <c r="A327" s="264">
        <v>6514817</v>
      </c>
      <c r="B327" s="264" t="str">
        <f>VLOOKUP(A327,'Výpočet VP 2020'!$A$4:$B$318,2,FALSE)</f>
        <v>PO KHK</v>
      </c>
      <c r="C327" s="264" t="s">
        <v>769</v>
      </c>
      <c r="D327" s="264" t="s">
        <v>425</v>
      </c>
      <c r="E327" s="264" t="s">
        <v>1352</v>
      </c>
      <c r="F327" s="264">
        <v>6514817</v>
      </c>
      <c r="G327" s="264" t="s">
        <v>1061</v>
      </c>
      <c r="H327" s="264">
        <v>2019</v>
      </c>
      <c r="I327" s="265"/>
      <c r="J327" s="278"/>
      <c r="K327" s="279"/>
      <c r="L327" s="279"/>
      <c r="M327" s="280"/>
      <c r="N327" s="280"/>
      <c r="O327" s="279">
        <v>3605</v>
      </c>
      <c r="P327" s="281" t="s">
        <v>1262</v>
      </c>
      <c r="Q327" s="264"/>
      <c r="R327" s="282"/>
      <c r="S327" s="281" t="s">
        <v>1733</v>
      </c>
      <c r="T327" s="281">
        <v>5.3</v>
      </c>
      <c r="U327" s="264">
        <v>0.3</v>
      </c>
      <c r="V327" s="282">
        <v>5</v>
      </c>
      <c r="W327" s="281">
        <v>0</v>
      </c>
      <c r="X327" s="281">
        <v>0</v>
      </c>
      <c r="Y327" s="264">
        <v>6</v>
      </c>
      <c r="Z327" s="282">
        <v>0</v>
      </c>
      <c r="AA327" s="281">
        <v>0</v>
      </c>
      <c r="AB327" s="281">
        <v>0</v>
      </c>
      <c r="AD327" s="284">
        <v>5.3</v>
      </c>
      <c r="AE327" s="284">
        <v>0.3</v>
      </c>
      <c r="AF327" s="284">
        <v>5</v>
      </c>
      <c r="AG327" s="284">
        <v>0</v>
      </c>
      <c r="AH327" s="284">
        <v>0</v>
      </c>
      <c r="AI327" s="284">
        <v>6</v>
      </c>
      <c r="AJ327" s="284">
        <v>0</v>
      </c>
      <c r="AL327" s="285">
        <v>3410810.962512922</v>
      </c>
      <c r="AM327" s="286">
        <v>0</v>
      </c>
      <c r="AN327" s="287">
        <v>331971.46314387192</v>
      </c>
      <c r="AO327" s="288">
        <v>109693.33580085676</v>
      </c>
      <c r="AP327" s="289">
        <v>3852475.7614576509</v>
      </c>
      <c r="AQ327" s="266"/>
      <c r="AR327" s="285">
        <v>409851.97164948453</v>
      </c>
      <c r="AS327" s="286">
        <v>0</v>
      </c>
      <c r="AT327" s="286">
        <v>259693.62000000002</v>
      </c>
      <c r="AU327" s="290">
        <v>112838.625</v>
      </c>
      <c r="AV327" s="289">
        <v>782384.21664948459</v>
      </c>
      <c r="AW327" s="291">
        <v>3070091.5448081661</v>
      </c>
    </row>
    <row r="328" spans="1:49" x14ac:dyDescent="0.25">
      <c r="A328" s="264">
        <v>6514817</v>
      </c>
      <c r="B328" s="264" t="str">
        <f>VLOOKUP(A328,'Výpočet VP 2020'!$A$4:$B$318,2,FALSE)</f>
        <v>PO KHK</v>
      </c>
      <c r="C328" s="264" t="s">
        <v>769</v>
      </c>
      <c r="D328" s="264" t="s">
        <v>425</v>
      </c>
      <c r="E328" s="264" t="s">
        <v>1353</v>
      </c>
      <c r="F328" s="264">
        <v>6514817</v>
      </c>
      <c r="G328" s="264" t="s">
        <v>1061</v>
      </c>
      <c r="H328" s="264">
        <v>2019</v>
      </c>
      <c r="I328" s="265"/>
      <c r="J328" s="278"/>
      <c r="K328" s="279"/>
      <c r="L328" s="279"/>
      <c r="M328" s="280"/>
      <c r="N328" s="280"/>
      <c r="O328" s="279">
        <v>3605</v>
      </c>
      <c r="P328" s="281" t="s">
        <v>1262</v>
      </c>
      <c r="Q328" s="264"/>
      <c r="R328" s="282"/>
      <c r="S328" s="281" t="s">
        <v>1733</v>
      </c>
      <c r="T328" s="281">
        <v>3.3</v>
      </c>
      <c r="U328" s="264">
        <v>0.3</v>
      </c>
      <c r="V328" s="282">
        <v>3</v>
      </c>
      <c r="W328" s="281">
        <v>0</v>
      </c>
      <c r="X328" s="281">
        <v>0</v>
      </c>
      <c r="Y328" s="264">
        <v>8</v>
      </c>
      <c r="Z328" s="282">
        <v>0</v>
      </c>
      <c r="AA328" s="281">
        <v>0</v>
      </c>
      <c r="AB328" s="281">
        <v>0</v>
      </c>
      <c r="AD328" s="284">
        <v>3.3</v>
      </c>
      <c r="AE328" s="284">
        <v>0.3</v>
      </c>
      <c r="AF328" s="284">
        <v>3</v>
      </c>
      <c r="AG328" s="284">
        <v>0</v>
      </c>
      <c r="AH328" s="284">
        <v>0</v>
      </c>
      <c r="AI328" s="284">
        <v>8</v>
      </c>
      <c r="AJ328" s="284">
        <v>0</v>
      </c>
      <c r="AL328" s="285">
        <v>2123712.4860929516</v>
      </c>
      <c r="AM328" s="286">
        <v>0</v>
      </c>
      <c r="AN328" s="287">
        <v>442628.61752516258</v>
      </c>
      <c r="AO328" s="288">
        <v>146257.781067809</v>
      </c>
      <c r="AP328" s="289">
        <v>2712598.8846859233</v>
      </c>
      <c r="AQ328" s="266"/>
      <c r="AR328" s="285">
        <v>245911.18298969074</v>
      </c>
      <c r="AS328" s="286">
        <v>0</v>
      </c>
      <c r="AT328" s="286">
        <v>346258.16000000003</v>
      </c>
      <c r="AU328" s="290">
        <v>150451.5</v>
      </c>
      <c r="AV328" s="289">
        <v>742620.84298969083</v>
      </c>
      <c r="AW328" s="291">
        <v>1969978.0416962325</v>
      </c>
    </row>
    <row r="329" spans="1:49" x14ac:dyDescent="0.25">
      <c r="A329" s="264">
        <v>4382500</v>
      </c>
      <c r="B329" s="264" t="str">
        <f>VLOOKUP(A329,'Výpočet VP 2020'!$A$4:$B$318,2,FALSE)</f>
        <v>PO KHK</v>
      </c>
      <c r="C329" s="264" t="s">
        <v>485</v>
      </c>
      <c r="D329" s="264" t="s">
        <v>485</v>
      </c>
      <c r="E329" s="264" t="s">
        <v>1348</v>
      </c>
      <c r="F329" s="264">
        <v>4382500</v>
      </c>
      <c r="G329" s="264" t="s">
        <v>1063</v>
      </c>
      <c r="H329" s="264">
        <v>2019</v>
      </c>
      <c r="I329" s="265"/>
      <c r="J329" s="278"/>
      <c r="K329" s="279"/>
      <c r="L329" s="279"/>
      <c r="M329" s="280"/>
      <c r="N329" s="280"/>
      <c r="O329" s="279">
        <v>3607</v>
      </c>
      <c r="P329" s="281" t="s">
        <v>1341</v>
      </c>
      <c r="Q329" s="264"/>
      <c r="R329" s="282">
        <v>43647</v>
      </c>
      <c r="S329" s="281" t="s">
        <v>1733</v>
      </c>
      <c r="T329" s="281">
        <v>3.3</v>
      </c>
      <c r="U329" s="264">
        <v>0.6</v>
      </c>
      <c r="V329" s="282">
        <v>2.7</v>
      </c>
      <c r="W329" s="281">
        <v>0</v>
      </c>
      <c r="X329" s="281">
        <v>0</v>
      </c>
      <c r="Y329" s="264">
        <v>8</v>
      </c>
      <c r="Z329" s="282">
        <v>0</v>
      </c>
      <c r="AA329" s="281">
        <v>0</v>
      </c>
      <c r="AB329" s="281">
        <v>0</v>
      </c>
      <c r="AD329" s="284">
        <v>3.3</v>
      </c>
      <c r="AE329" s="284">
        <v>0.6</v>
      </c>
      <c r="AF329" s="284">
        <v>2.7</v>
      </c>
      <c r="AG329" s="284">
        <v>0</v>
      </c>
      <c r="AH329" s="284">
        <v>0</v>
      </c>
      <c r="AI329" s="284">
        <v>8</v>
      </c>
      <c r="AJ329" s="284">
        <v>0</v>
      </c>
      <c r="AL329" s="285">
        <v>2123712.4860929516</v>
      </c>
      <c r="AM329" s="286">
        <v>0</v>
      </c>
      <c r="AN329" s="287">
        <v>442628.61752516258</v>
      </c>
      <c r="AO329" s="288">
        <v>146257.781067809</v>
      </c>
      <c r="AP329" s="289">
        <v>2712598.8846859233</v>
      </c>
      <c r="AQ329" s="266"/>
      <c r="AR329" s="285">
        <v>221320.06469072166</v>
      </c>
      <c r="AS329" s="286">
        <v>0</v>
      </c>
      <c r="AT329" s="286">
        <v>346258.16000000003</v>
      </c>
      <c r="AU329" s="290">
        <v>150451.5</v>
      </c>
      <c r="AV329" s="289">
        <v>718029.72469072172</v>
      </c>
      <c r="AW329" s="291">
        <v>1994569.1599952015</v>
      </c>
    </row>
    <row r="330" spans="1:49" x14ac:dyDescent="0.25">
      <c r="A330" s="292">
        <v>8504548</v>
      </c>
      <c r="B330" s="264" t="str">
        <f>VLOOKUP(A330,'Výpočet VP 2020'!$A$4:$B$318,2,FALSE)</f>
        <v>PO KHK</v>
      </c>
      <c r="C330" s="292" t="s">
        <v>769</v>
      </c>
      <c r="D330" s="292" t="s">
        <v>257</v>
      </c>
      <c r="E330" s="292" t="s">
        <v>1358</v>
      </c>
      <c r="F330" s="292">
        <v>8504548</v>
      </c>
      <c r="G330" s="292" t="s">
        <v>1073</v>
      </c>
      <c r="H330" s="264">
        <v>2019</v>
      </c>
      <c r="I330" s="265"/>
      <c r="J330" s="294"/>
      <c r="K330" s="295"/>
      <c r="L330" s="295"/>
      <c r="M330" s="296"/>
      <c r="N330" s="296"/>
      <c r="O330" s="295">
        <v>3610</v>
      </c>
      <c r="P330" s="297" t="s">
        <v>1262</v>
      </c>
      <c r="Q330" s="292"/>
      <c r="R330" s="298"/>
      <c r="S330" s="297" t="s">
        <v>1733</v>
      </c>
      <c r="T330" s="297">
        <v>40.299999999999997</v>
      </c>
      <c r="U330" s="292">
        <v>1.8</v>
      </c>
      <c r="V330" s="298">
        <v>38.5</v>
      </c>
      <c r="W330" s="297">
        <v>0</v>
      </c>
      <c r="X330" s="297">
        <v>0</v>
      </c>
      <c r="Y330" s="292">
        <v>45</v>
      </c>
      <c r="Z330" s="298">
        <v>0</v>
      </c>
      <c r="AA330" s="297">
        <v>0</v>
      </c>
      <c r="AB330" s="297">
        <v>0</v>
      </c>
      <c r="AD330" s="284">
        <v>40.299999999999997</v>
      </c>
      <c r="AE330" s="284">
        <v>1.8</v>
      </c>
      <c r="AF330" s="284">
        <v>38.5</v>
      </c>
      <c r="AG330" s="284">
        <v>0</v>
      </c>
      <c r="AH330" s="284">
        <v>0</v>
      </c>
      <c r="AI330" s="284">
        <v>45</v>
      </c>
      <c r="AJ330" s="284">
        <v>0</v>
      </c>
      <c r="AL330" s="285">
        <v>25935034.299862407</v>
      </c>
      <c r="AM330" s="286">
        <v>0</v>
      </c>
      <c r="AN330" s="287">
        <v>2489785.9735790393</v>
      </c>
      <c r="AO330" s="288">
        <v>822700.01850642567</v>
      </c>
      <c r="AP330" s="289">
        <v>29247520.291947871</v>
      </c>
      <c r="AQ330" s="266"/>
      <c r="AR330" s="285">
        <v>3155860.181701031</v>
      </c>
      <c r="AS330" s="286">
        <v>0</v>
      </c>
      <c r="AT330" s="286">
        <v>1947702.1500000001</v>
      </c>
      <c r="AU330" s="290">
        <v>846289.6875</v>
      </c>
      <c r="AV330" s="289">
        <v>5949852.019201031</v>
      </c>
      <c r="AW330" s="291">
        <v>23297668.272746839</v>
      </c>
    </row>
    <row r="331" spans="1:49" x14ac:dyDescent="0.25">
      <c r="A331" s="264">
        <v>8430922</v>
      </c>
      <c r="B331" s="264" t="str">
        <f>VLOOKUP(A331,'Výpočet VP 2020'!$A$4:$B$318,2,FALSE)</f>
        <v>PO KHK</v>
      </c>
      <c r="C331" s="264" t="s">
        <v>1379</v>
      </c>
      <c r="D331" s="264" t="s">
        <v>1380</v>
      </c>
      <c r="E331" s="264" t="s">
        <v>1376</v>
      </c>
      <c r="F331" s="264">
        <v>8430922</v>
      </c>
      <c r="G331" s="264" t="s">
        <v>1058</v>
      </c>
      <c r="H331" s="264">
        <v>2019</v>
      </c>
      <c r="I331" s="265"/>
      <c r="J331" s="278"/>
      <c r="K331" s="279"/>
      <c r="L331" s="279"/>
      <c r="M331" s="280"/>
      <c r="N331" s="280"/>
      <c r="O331" s="279">
        <v>3602</v>
      </c>
      <c r="P331" s="281" t="s">
        <v>1119</v>
      </c>
      <c r="Q331" s="264"/>
      <c r="R331" s="282"/>
      <c r="S331" s="281" t="s">
        <v>1733</v>
      </c>
      <c r="T331" s="281">
        <v>4</v>
      </c>
      <c r="U331" s="264">
        <v>1</v>
      </c>
      <c r="V331" s="282">
        <v>0</v>
      </c>
      <c r="W331" s="281">
        <v>0</v>
      </c>
      <c r="X331" s="281">
        <v>3</v>
      </c>
      <c r="Y331" s="264">
        <v>0</v>
      </c>
      <c r="Z331" s="282">
        <v>0</v>
      </c>
      <c r="AA331" s="281">
        <v>3</v>
      </c>
      <c r="AB331" s="281">
        <v>0</v>
      </c>
      <c r="AD331" s="284">
        <v>4</v>
      </c>
      <c r="AE331" s="284">
        <v>1</v>
      </c>
      <c r="AF331" s="284">
        <v>0</v>
      </c>
      <c r="AG331" s="284">
        <v>0</v>
      </c>
      <c r="AH331" s="284">
        <v>3</v>
      </c>
      <c r="AI331" s="284">
        <v>0</v>
      </c>
      <c r="AJ331" s="284">
        <v>3</v>
      </c>
      <c r="AL331" s="285">
        <v>2590322.4320423086</v>
      </c>
      <c r="AM331" s="286">
        <v>0</v>
      </c>
      <c r="AN331" s="287">
        <v>156928.59876610219</v>
      </c>
      <c r="AO331" s="288">
        <v>0</v>
      </c>
      <c r="AP331" s="289">
        <v>2747251.0308084106</v>
      </c>
      <c r="AQ331" s="266"/>
      <c r="AR331" s="285">
        <v>0</v>
      </c>
      <c r="AS331" s="286">
        <v>0</v>
      </c>
      <c r="AT331" s="286">
        <v>0</v>
      </c>
      <c r="AU331" s="290">
        <v>0</v>
      </c>
      <c r="AV331" s="289">
        <v>0</v>
      </c>
      <c r="AW331" s="291">
        <v>2747251.0308084106</v>
      </c>
    </row>
    <row r="332" spans="1:49" x14ac:dyDescent="0.25">
      <c r="A332" s="264">
        <v>9870958</v>
      </c>
      <c r="B332" s="264" t="str">
        <f>VLOOKUP(A332,'Výpočet VP 2020'!$A$4:$B$318,2,FALSE)</f>
        <v>PO KHK</v>
      </c>
      <c r="C332" s="264" t="s">
        <v>935</v>
      </c>
      <c r="D332" s="264" t="s">
        <v>928</v>
      </c>
      <c r="E332" s="264" t="s">
        <v>1396</v>
      </c>
      <c r="F332" s="264">
        <v>9870958</v>
      </c>
      <c r="G332" s="264" t="s">
        <v>1073</v>
      </c>
      <c r="H332" s="264">
        <v>2019</v>
      </c>
      <c r="I332" s="265"/>
      <c r="J332" s="278"/>
      <c r="K332" s="279"/>
      <c r="L332" s="279"/>
      <c r="M332" s="280"/>
      <c r="N332" s="280"/>
      <c r="O332" s="279">
        <v>3610</v>
      </c>
      <c r="P332" s="281" t="s">
        <v>1059</v>
      </c>
      <c r="Q332" s="264"/>
      <c r="R332" s="282"/>
      <c r="S332" s="281" t="s">
        <v>1733</v>
      </c>
      <c r="T332" s="281">
        <v>3.3</v>
      </c>
      <c r="U332" s="264">
        <v>3.1</v>
      </c>
      <c r="V332" s="282">
        <v>0</v>
      </c>
      <c r="W332" s="281">
        <v>0.2</v>
      </c>
      <c r="X332" s="281">
        <v>0</v>
      </c>
      <c r="Y332" s="264">
        <v>0</v>
      </c>
      <c r="Z332" s="282">
        <v>0</v>
      </c>
      <c r="AA332" s="281">
        <v>9</v>
      </c>
      <c r="AB332" s="281">
        <v>0</v>
      </c>
      <c r="AD332" s="284">
        <v>3.3</v>
      </c>
      <c r="AE332" s="284">
        <v>3.1</v>
      </c>
      <c r="AF332" s="284">
        <v>0</v>
      </c>
      <c r="AG332" s="284">
        <v>0.2</v>
      </c>
      <c r="AH332" s="284">
        <v>0</v>
      </c>
      <c r="AI332" s="284">
        <v>0</v>
      </c>
      <c r="AJ332" s="284">
        <v>9</v>
      </c>
      <c r="AL332" s="285">
        <v>2922238.5231960351</v>
      </c>
      <c r="AM332" s="286">
        <v>0</v>
      </c>
      <c r="AN332" s="287">
        <v>730409.20360368129</v>
      </c>
      <c r="AO332" s="288">
        <v>6671.1824999999999</v>
      </c>
      <c r="AP332" s="289">
        <v>3659318.9092997164</v>
      </c>
      <c r="AQ332" s="266"/>
      <c r="AR332" s="285">
        <v>0</v>
      </c>
      <c r="AS332" s="286">
        <v>0</v>
      </c>
      <c r="AT332" s="286">
        <v>0</v>
      </c>
      <c r="AU332" s="290">
        <v>0</v>
      </c>
      <c r="AV332" s="289">
        <v>0</v>
      </c>
      <c r="AW332" s="291">
        <v>3659318.9092997164</v>
      </c>
    </row>
    <row r="333" spans="1:49" x14ac:dyDescent="0.25">
      <c r="A333" s="264">
        <v>5922905</v>
      </c>
      <c r="B333" s="264" t="str">
        <f>VLOOKUP(A333,'Výpočet VP 2020'!$A$4:$B$318,2,FALSE)</f>
        <v>PO KHK</v>
      </c>
      <c r="C333" s="264" t="s">
        <v>1413</v>
      </c>
      <c r="D333" s="264" t="s">
        <v>928</v>
      </c>
      <c r="E333" s="264" t="s">
        <v>1412</v>
      </c>
      <c r="F333" s="264">
        <v>5922905</v>
      </c>
      <c r="G333" s="264" t="s">
        <v>1073</v>
      </c>
      <c r="H333" s="264">
        <v>2019</v>
      </c>
      <c r="I333" s="265"/>
      <c r="J333" s="278"/>
      <c r="K333" s="279"/>
      <c r="L333" s="279"/>
      <c r="M333" s="280"/>
      <c r="N333" s="280">
        <v>2569</v>
      </c>
      <c r="O333" s="279"/>
      <c r="P333" s="281" t="s">
        <v>1407</v>
      </c>
      <c r="Q333" s="264"/>
      <c r="R333" s="282"/>
      <c r="S333" s="281" t="s">
        <v>1733</v>
      </c>
      <c r="T333" s="281">
        <v>3.3</v>
      </c>
      <c r="U333" s="264">
        <v>3.3</v>
      </c>
      <c r="V333" s="282">
        <v>0</v>
      </c>
      <c r="W333" s="281">
        <v>0</v>
      </c>
      <c r="X333" s="281">
        <v>0</v>
      </c>
      <c r="Y333" s="264">
        <v>0</v>
      </c>
      <c r="Z333" s="282">
        <v>0</v>
      </c>
      <c r="AA333" s="281">
        <v>30</v>
      </c>
      <c r="AB333" s="281">
        <v>0</v>
      </c>
      <c r="AD333" s="284">
        <v>3.3</v>
      </c>
      <c r="AE333" s="284">
        <v>3.3</v>
      </c>
      <c r="AF333" s="284">
        <v>0</v>
      </c>
      <c r="AG333" s="284">
        <v>0</v>
      </c>
      <c r="AH333" s="284">
        <v>0</v>
      </c>
      <c r="AI333" s="284">
        <v>0</v>
      </c>
      <c r="AJ333" s="284">
        <v>30</v>
      </c>
      <c r="AL333" s="285">
        <v>1896932.7483668993</v>
      </c>
      <c r="AM333" s="286">
        <v>0</v>
      </c>
      <c r="AN333" s="287">
        <v>182643.14842577916</v>
      </c>
      <c r="AO333" s="288">
        <v>0</v>
      </c>
      <c r="AP333" s="289">
        <v>2079575.8967926784</v>
      </c>
      <c r="AQ333" s="266"/>
      <c r="AR333" s="285">
        <v>0</v>
      </c>
      <c r="AS333" s="286">
        <v>0</v>
      </c>
      <c r="AT333" s="286">
        <v>0</v>
      </c>
      <c r="AU333" s="290">
        <v>0</v>
      </c>
      <c r="AV333" s="289">
        <v>0</v>
      </c>
      <c r="AW333" s="291">
        <v>2079575.8967926784</v>
      </c>
    </row>
    <row r="334" spans="1:49" x14ac:dyDescent="0.25">
      <c r="A334" s="292">
        <v>6163071</v>
      </c>
      <c r="B334" s="264" t="str">
        <f>VLOOKUP(A334,'Výpočet VP 2020'!$A$4:$B$318,2,FALSE)</f>
        <v>PO KHK</v>
      </c>
      <c r="C334" s="292" t="s">
        <v>1453</v>
      </c>
      <c r="D334" s="292" t="s">
        <v>257</v>
      </c>
      <c r="E334" s="292" t="s">
        <v>1452</v>
      </c>
      <c r="F334" s="292">
        <v>6163071</v>
      </c>
      <c r="G334" s="292" t="s">
        <v>1134</v>
      </c>
      <c r="H334" s="264">
        <v>2019</v>
      </c>
      <c r="I334" s="293"/>
      <c r="J334" s="294"/>
      <c r="K334" s="295">
        <v>1201</v>
      </c>
      <c r="L334" s="295"/>
      <c r="M334" s="296"/>
      <c r="N334" s="296"/>
      <c r="O334" s="295"/>
      <c r="P334" s="297" t="s">
        <v>1262</v>
      </c>
      <c r="Q334" s="292"/>
      <c r="R334" s="298"/>
      <c r="S334" s="297" t="s">
        <v>1733</v>
      </c>
      <c r="T334" s="297">
        <v>1.1000000000000001</v>
      </c>
      <c r="U334" s="292">
        <v>0.1</v>
      </c>
      <c r="V334" s="298">
        <v>1</v>
      </c>
      <c r="W334" s="297">
        <v>0</v>
      </c>
      <c r="X334" s="297">
        <v>0</v>
      </c>
      <c r="Y334" s="292">
        <v>0</v>
      </c>
      <c r="Z334" s="298">
        <v>0</v>
      </c>
      <c r="AA334" s="297">
        <v>1</v>
      </c>
      <c r="AB334" s="297">
        <v>0</v>
      </c>
      <c r="AD334" s="284">
        <v>1.1000000000000001</v>
      </c>
      <c r="AE334" s="284">
        <v>0.1</v>
      </c>
      <c r="AF334" s="284">
        <v>1</v>
      </c>
      <c r="AG334" s="284">
        <v>0</v>
      </c>
      <c r="AH334" s="284">
        <v>0</v>
      </c>
      <c r="AI334" s="284">
        <v>0</v>
      </c>
      <c r="AJ334" s="284">
        <v>1</v>
      </c>
      <c r="AL334" s="285">
        <v>653772.90891048207</v>
      </c>
      <c r="AM334" s="286">
        <v>0</v>
      </c>
      <c r="AN334" s="287">
        <v>88159.962380504221</v>
      </c>
      <c r="AO334" s="288">
        <v>0</v>
      </c>
      <c r="AP334" s="289">
        <v>741932.87129098631</v>
      </c>
      <c r="AQ334" s="266"/>
      <c r="AR334" s="285">
        <v>0</v>
      </c>
      <c r="AS334" s="286">
        <v>0</v>
      </c>
      <c r="AT334" s="286">
        <v>0</v>
      </c>
      <c r="AU334" s="290">
        <v>0</v>
      </c>
      <c r="AV334" s="289">
        <v>0</v>
      </c>
      <c r="AW334" s="291">
        <v>741932.87129098631</v>
      </c>
    </row>
    <row r="335" spans="1:49" x14ac:dyDescent="0.25">
      <c r="A335" s="264">
        <v>7384495</v>
      </c>
      <c r="B335" s="264" t="str">
        <f>VLOOKUP(A335,'Výpočet VP 2020'!$A$4:$B$318,2,FALSE)</f>
        <v>PO KHK</v>
      </c>
      <c r="C335" s="264" t="s">
        <v>485</v>
      </c>
      <c r="D335" s="264" t="s">
        <v>485</v>
      </c>
      <c r="E335" s="264" t="s">
        <v>1496</v>
      </c>
      <c r="F335" s="264">
        <v>7384495</v>
      </c>
      <c r="G335" s="264" t="s">
        <v>1063</v>
      </c>
      <c r="H335" s="264">
        <v>2019</v>
      </c>
      <c r="I335" s="265"/>
      <c r="J335" s="278"/>
      <c r="K335" s="279"/>
      <c r="L335" s="279"/>
      <c r="M335" s="280"/>
      <c r="N335" s="280"/>
      <c r="O335" s="279">
        <v>3607</v>
      </c>
      <c r="P335" s="281" t="s">
        <v>1341</v>
      </c>
      <c r="Q335" s="264"/>
      <c r="R335" s="282"/>
      <c r="S335" s="281">
        <v>44377</v>
      </c>
      <c r="T335" s="281">
        <v>4.3099999999999996</v>
      </c>
      <c r="U335" s="264">
        <v>1.1000000000000001</v>
      </c>
      <c r="V335" s="282">
        <v>3.21</v>
      </c>
      <c r="W335" s="281">
        <v>0</v>
      </c>
      <c r="X335" s="281">
        <v>0</v>
      </c>
      <c r="Y335" s="264">
        <v>0</v>
      </c>
      <c r="Z335" s="282">
        <v>15</v>
      </c>
      <c r="AA335" s="281">
        <v>15</v>
      </c>
      <c r="AB335" s="281">
        <v>0</v>
      </c>
      <c r="AD335" s="284">
        <v>4.3099999999999996</v>
      </c>
      <c r="AE335" s="284">
        <v>1.1000000000000001</v>
      </c>
      <c r="AF335" s="284">
        <v>3.21</v>
      </c>
      <c r="AG335" s="284">
        <v>0</v>
      </c>
      <c r="AH335" s="284">
        <v>0</v>
      </c>
      <c r="AI335" s="284">
        <v>0</v>
      </c>
      <c r="AJ335" s="284">
        <v>15</v>
      </c>
      <c r="AL335" s="285">
        <v>2894712.4577288227</v>
      </c>
      <c r="AM335" s="286">
        <v>0</v>
      </c>
      <c r="AN335" s="287">
        <v>184386.0469012777</v>
      </c>
      <c r="AO335" s="288">
        <v>0</v>
      </c>
      <c r="AP335" s="289">
        <v>3079098.5046301004</v>
      </c>
      <c r="AQ335" s="266"/>
      <c r="AR335" s="285">
        <v>0</v>
      </c>
      <c r="AS335" s="286">
        <v>0</v>
      </c>
      <c r="AT335" s="286">
        <v>0</v>
      </c>
      <c r="AU335" s="290">
        <v>0</v>
      </c>
      <c r="AV335" s="289">
        <v>0</v>
      </c>
      <c r="AW335" s="291">
        <v>3079098.5046301004</v>
      </c>
    </row>
    <row r="336" spans="1:49" x14ac:dyDescent="0.25">
      <c r="A336" s="264">
        <v>9379121</v>
      </c>
      <c r="B336" s="264" t="str">
        <f>VLOOKUP(A336,'Výpočet VP 2020'!$A$4:$B$318,2,FALSE)</f>
        <v>PO KHK</v>
      </c>
      <c r="C336" s="264" t="s">
        <v>933</v>
      </c>
      <c r="D336" s="264" t="s">
        <v>928</v>
      </c>
      <c r="E336" s="264" t="s">
        <v>1505</v>
      </c>
      <c r="F336" s="264">
        <v>9379121</v>
      </c>
      <c r="G336" s="264" t="s">
        <v>1073</v>
      </c>
      <c r="H336" s="264">
        <v>2019</v>
      </c>
      <c r="I336" s="265"/>
      <c r="J336" s="278"/>
      <c r="K336" s="279"/>
      <c r="L336" s="279"/>
      <c r="M336" s="280"/>
      <c r="N336" s="280"/>
      <c r="O336" s="279">
        <v>3610</v>
      </c>
      <c r="P336" s="281" t="s">
        <v>1341</v>
      </c>
      <c r="Q336" s="264"/>
      <c r="R336" s="282" t="s">
        <v>1762</v>
      </c>
      <c r="S336" s="281" t="s">
        <v>1757</v>
      </c>
      <c r="T336" s="281">
        <v>9</v>
      </c>
      <c r="U336" s="264">
        <v>8.6999999999999993</v>
      </c>
      <c r="V336" s="282">
        <v>0</v>
      </c>
      <c r="W336" s="281">
        <v>0.3</v>
      </c>
      <c r="X336" s="281">
        <v>0</v>
      </c>
      <c r="Y336" s="264">
        <v>0</v>
      </c>
      <c r="Z336" s="282">
        <v>15</v>
      </c>
      <c r="AA336" s="281">
        <v>0</v>
      </c>
      <c r="AB336" s="281">
        <v>0</v>
      </c>
      <c r="AD336" s="284">
        <v>9</v>
      </c>
      <c r="AE336" s="284">
        <v>8.6999999999999993</v>
      </c>
      <c r="AF336" s="284">
        <v>0</v>
      </c>
      <c r="AG336" s="284">
        <v>0.3</v>
      </c>
      <c r="AH336" s="284">
        <v>0</v>
      </c>
      <c r="AI336" s="284">
        <v>0</v>
      </c>
      <c r="AJ336" s="284">
        <v>0</v>
      </c>
      <c r="AL336" s="285">
        <v>6044643.1831924375</v>
      </c>
      <c r="AM336" s="286">
        <v>0</v>
      </c>
      <c r="AN336" s="287">
        <v>385028.86823932698</v>
      </c>
      <c r="AO336" s="288">
        <v>0</v>
      </c>
      <c r="AP336" s="289">
        <v>6429672.0514317648</v>
      </c>
      <c r="AQ336" s="266"/>
      <c r="AR336" s="285">
        <v>0</v>
      </c>
      <c r="AS336" s="286">
        <v>0</v>
      </c>
      <c r="AT336" s="286">
        <v>0</v>
      </c>
      <c r="AU336" s="290">
        <v>0</v>
      </c>
      <c r="AV336" s="289">
        <v>0</v>
      </c>
      <c r="AW336" s="291">
        <v>6429672.0514317648</v>
      </c>
    </row>
    <row r="337" spans="1:49" x14ac:dyDescent="0.25">
      <c r="A337" s="292">
        <v>3650770</v>
      </c>
      <c r="B337" s="264" t="str">
        <f>VLOOKUP(A337,'Výpočet VP 2020'!$A$4:$B$318,2,FALSE)</f>
        <v>PO KHK</v>
      </c>
      <c r="C337" s="292" t="s">
        <v>257</v>
      </c>
      <c r="D337" s="292" t="s">
        <v>257</v>
      </c>
      <c r="E337" s="292" t="s">
        <v>1480</v>
      </c>
      <c r="F337" s="292">
        <v>3650770</v>
      </c>
      <c r="G337" s="292" t="s">
        <v>1073</v>
      </c>
      <c r="H337" s="264">
        <v>2019</v>
      </c>
      <c r="I337" s="293"/>
      <c r="J337" s="294"/>
      <c r="K337" s="295">
        <v>1210</v>
      </c>
      <c r="L337" s="295"/>
      <c r="M337" s="296"/>
      <c r="N337" s="296"/>
      <c r="O337" s="295"/>
      <c r="P337" s="297" t="s">
        <v>1262</v>
      </c>
      <c r="Q337" s="292"/>
      <c r="R337" s="298"/>
      <c r="S337" s="297">
        <v>44377</v>
      </c>
      <c r="T337" s="297">
        <v>3.6</v>
      </c>
      <c r="U337" s="292">
        <v>1.6</v>
      </c>
      <c r="V337" s="298">
        <v>2</v>
      </c>
      <c r="W337" s="297">
        <v>0</v>
      </c>
      <c r="X337" s="297">
        <v>0</v>
      </c>
      <c r="Y337" s="292">
        <v>0</v>
      </c>
      <c r="Z337" s="298">
        <v>10</v>
      </c>
      <c r="AA337" s="297">
        <v>0</v>
      </c>
      <c r="AB337" s="297">
        <v>0</v>
      </c>
      <c r="AD337" s="284">
        <v>3.6</v>
      </c>
      <c r="AE337" s="284">
        <v>1.6</v>
      </c>
      <c r="AF337" s="284">
        <v>2</v>
      </c>
      <c r="AG337" s="284">
        <v>0</v>
      </c>
      <c r="AH337" s="284">
        <v>0</v>
      </c>
      <c r="AI337" s="284">
        <v>0</v>
      </c>
      <c r="AJ337" s="284">
        <v>0</v>
      </c>
      <c r="AL337" s="285">
        <v>2417857.2732769749</v>
      </c>
      <c r="AM337" s="286">
        <v>0</v>
      </c>
      <c r="AN337" s="287">
        <v>154011.54729573082</v>
      </c>
      <c r="AO337" s="288">
        <v>0</v>
      </c>
      <c r="AP337" s="289">
        <v>2571868.8205727059</v>
      </c>
      <c r="AQ337" s="266"/>
      <c r="AR337" s="285">
        <v>0</v>
      </c>
      <c r="AS337" s="286">
        <v>0</v>
      </c>
      <c r="AT337" s="286">
        <v>0</v>
      </c>
      <c r="AU337" s="290">
        <v>0</v>
      </c>
      <c r="AV337" s="289">
        <v>0</v>
      </c>
      <c r="AW337" s="291">
        <v>2571868.8205727059</v>
      </c>
    </row>
    <row r="338" spans="1:49" x14ac:dyDescent="0.25">
      <c r="A338" s="263"/>
      <c r="B338" s="263"/>
      <c r="C338" s="263"/>
      <c r="D338" s="263"/>
      <c r="E338" s="263"/>
      <c r="F338" s="263"/>
      <c r="G338" s="263"/>
      <c r="H338" s="263"/>
      <c r="I338" s="306"/>
      <c r="J338" s="306"/>
      <c r="K338" s="263"/>
      <c r="L338" s="263"/>
      <c r="M338" s="263"/>
      <c r="N338" s="263"/>
      <c r="O338" s="263"/>
      <c r="P338" s="263"/>
      <c r="Q338" s="263"/>
      <c r="R338" s="263"/>
      <c r="S338" s="263"/>
      <c r="T338" s="263"/>
      <c r="U338" s="263"/>
      <c r="V338" s="263"/>
      <c r="W338" s="263"/>
      <c r="X338" s="263"/>
      <c r="Y338" s="263"/>
      <c r="Z338" s="263"/>
      <c r="AA338" s="263"/>
      <c r="AB338" s="263"/>
      <c r="AC338" s="263"/>
      <c r="AD338" s="283">
        <v>2797.7289999999989</v>
      </c>
      <c r="AE338" s="283">
        <v>393.38900000000012</v>
      </c>
      <c r="AF338" s="283">
        <v>1951.1900000000007</v>
      </c>
      <c r="AG338" s="283">
        <v>412.77999999999992</v>
      </c>
      <c r="AH338" s="283">
        <v>40.365000000000009</v>
      </c>
      <c r="AI338" s="283">
        <v>3787</v>
      </c>
      <c r="AJ338" s="283">
        <v>1190</v>
      </c>
      <c r="AK338" s="263"/>
      <c r="AL338" s="263"/>
      <c r="AM338" s="263"/>
      <c r="AN338" s="263"/>
      <c r="AO338" s="263"/>
      <c r="AP338" s="263"/>
      <c r="AQ338" s="263"/>
      <c r="AR338" s="263"/>
      <c r="AS338" s="263"/>
      <c r="AT338" s="263"/>
      <c r="AU338" s="263"/>
      <c r="AV338" s="263"/>
      <c r="AW338" s="307">
        <v>1488515078.5911191</v>
      </c>
    </row>
    <row r="341" spans="1:49" x14ac:dyDescent="0.25">
      <c r="A341" s="203">
        <v>1</v>
      </c>
      <c r="B341" s="203"/>
      <c r="C341" s="203">
        <v>2</v>
      </c>
      <c r="D341" s="203">
        <v>3</v>
      </c>
      <c r="E341" s="203">
        <v>4</v>
      </c>
      <c r="F341" s="203">
        <v>5</v>
      </c>
      <c r="G341" s="203">
        <v>6</v>
      </c>
      <c r="H341" s="203">
        <v>7</v>
      </c>
      <c r="I341" s="203">
        <v>8</v>
      </c>
      <c r="J341" s="203">
        <v>9</v>
      </c>
      <c r="K341" s="203">
        <v>10</v>
      </c>
      <c r="L341" s="203">
        <v>11</v>
      </c>
      <c r="M341" s="203">
        <v>12</v>
      </c>
      <c r="N341" s="203">
        <v>13</v>
      </c>
      <c r="O341" s="203">
        <v>14</v>
      </c>
      <c r="P341" s="203">
        <v>15</v>
      </c>
      <c r="Q341" s="203">
        <v>16</v>
      </c>
      <c r="R341" s="203">
        <v>17</v>
      </c>
      <c r="S341" s="203">
        <v>18</v>
      </c>
      <c r="T341" s="203">
        <v>19</v>
      </c>
      <c r="U341" s="203">
        <v>20</v>
      </c>
      <c r="V341" s="203">
        <v>21</v>
      </c>
      <c r="W341" s="203">
        <v>22</v>
      </c>
      <c r="X341" s="203">
        <v>23</v>
      </c>
      <c r="Y341" s="203">
        <v>24</v>
      </c>
      <c r="Z341" s="203">
        <v>25</v>
      </c>
      <c r="AA341" s="203">
        <v>26</v>
      </c>
      <c r="AB341" s="203">
        <v>27</v>
      </c>
      <c r="AC341" s="203">
        <v>28</v>
      </c>
      <c r="AD341" s="203">
        <v>29</v>
      </c>
      <c r="AE341" s="203">
        <v>30</v>
      </c>
      <c r="AF341" s="203">
        <v>31</v>
      </c>
      <c r="AG341" s="203">
        <v>32</v>
      </c>
      <c r="AH341" s="203">
        <v>33</v>
      </c>
      <c r="AI341" s="203">
        <v>34</v>
      </c>
      <c r="AJ341" s="203">
        <v>35</v>
      </c>
      <c r="AK341" s="203">
        <v>36</v>
      </c>
      <c r="AL341" s="203">
        <v>37</v>
      </c>
      <c r="AM341" s="203">
        <v>38</v>
      </c>
      <c r="AN341" s="203">
        <v>39</v>
      </c>
      <c r="AO341" s="203">
        <v>40</v>
      </c>
      <c r="AP341" s="203">
        <v>41</v>
      </c>
      <c r="AQ341" s="203">
        <v>42</v>
      </c>
      <c r="AR341" s="203">
        <v>43</v>
      </c>
      <c r="AS341" s="203">
        <v>44</v>
      </c>
      <c r="AT341" s="203">
        <v>45</v>
      </c>
      <c r="AU341" s="203">
        <v>46</v>
      </c>
      <c r="AV341" s="203">
        <v>47</v>
      </c>
      <c r="AW341" s="203">
        <v>48</v>
      </c>
    </row>
    <row r="342" spans="1:49" x14ac:dyDescent="0.25">
      <c r="A342" s="310" t="s">
        <v>1807</v>
      </c>
      <c r="B342" s="310"/>
    </row>
    <row r="343" spans="1:49" x14ac:dyDescent="0.25">
      <c r="A343" s="311">
        <v>1008575</v>
      </c>
      <c r="B343" s="311"/>
      <c r="C343" s="315" t="str">
        <f>VLOOKUP($A343,$A$4:$K$337,2,FALSE)</f>
        <v>NZO</v>
      </c>
      <c r="D343" s="315" t="str">
        <f>VLOOKUP($A343,$A$4:$K$337,3,FALSE)</f>
        <v>Pečovatelská služba</v>
      </c>
      <c r="E343" s="315" t="str">
        <f>VLOOKUP($A343,$A$4:$K$337,4,FALSE)</f>
        <v>Diakonie ČCE - středisko ve Dvoře Králové nad Labem</v>
      </c>
      <c r="F343">
        <f>A343</f>
        <v>1008575</v>
      </c>
      <c r="T343">
        <f>SUMIFS(T$4:T$337,$A$4:$A$337,$A343)</f>
        <v>7</v>
      </c>
      <c r="U343" s="313">
        <f t="shared" ref="U343:AU358" si="0">SUMIFS(U$4:U$337,$A$4:$A$337,$A343)</f>
        <v>1</v>
      </c>
      <c r="V343" s="313">
        <f t="shared" si="0"/>
        <v>6</v>
      </c>
      <c r="W343" s="313">
        <f t="shared" si="0"/>
        <v>0</v>
      </c>
      <c r="X343" s="313">
        <f t="shared" si="0"/>
        <v>0</v>
      </c>
      <c r="Y343" s="313">
        <f t="shared" si="0"/>
        <v>0</v>
      </c>
      <c r="Z343" s="313">
        <f t="shared" si="0"/>
        <v>188</v>
      </c>
      <c r="AA343" s="313">
        <f t="shared" si="0"/>
        <v>6</v>
      </c>
      <c r="AB343" s="313">
        <f t="shared" si="0"/>
        <v>0</v>
      </c>
      <c r="AD343" s="313">
        <f t="shared" si="0"/>
        <v>7</v>
      </c>
      <c r="AE343" s="313">
        <f t="shared" si="0"/>
        <v>1</v>
      </c>
      <c r="AF343" s="313">
        <f t="shared" si="0"/>
        <v>6</v>
      </c>
      <c r="AG343" s="313">
        <f t="shared" si="0"/>
        <v>0</v>
      </c>
      <c r="AH343" s="313">
        <f t="shared" si="0"/>
        <v>0</v>
      </c>
      <c r="AI343" s="313">
        <f t="shared" si="0"/>
        <v>0</v>
      </c>
      <c r="AJ343" s="313">
        <f t="shared" si="0"/>
        <v>6</v>
      </c>
      <c r="AL343" s="314">
        <f t="shared" si="0"/>
        <v>3866506.0076350998</v>
      </c>
      <c r="AM343" s="314">
        <f t="shared" si="0"/>
        <v>0</v>
      </c>
      <c r="AN343" s="314">
        <f t="shared" si="0"/>
        <v>292883.9554063275</v>
      </c>
      <c r="AO343" s="314">
        <f t="shared" si="0"/>
        <v>0</v>
      </c>
      <c r="AP343" s="314">
        <f t="shared" si="0"/>
        <v>4159389.9630414275</v>
      </c>
      <c r="AR343" s="314">
        <f t="shared" si="0"/>
        <v>832531.4117647059</v>
      </c>
      <c r="AS343" s="314">
        <f t="shared" si="0"/>
        <v>0</v>
      </c>
      <c r="AT343" s="314">
        <f t="shared" si="0"/>
        <v>0</v>
      </c>
      <c r="AU343" s="314">
        <f t="shared" si="0"/>
        <v>0</v>
      </c>
      <c r="AV343" s="314">
        <f t="shared" ref="AV343:AW397" si="1">SUMIFS(AV$4:AV$337,$A$4:$A$337,$A343)</f>
        <v>832531.4117647059</v>
      </c>
      <c r="AW343" s="314">
        <f t="shared" si="1"/>
        <v>3326858.5512767215</v>
      </c>
    </row>
    <row r="344" spans="1:49" x14ac:dyDescent="0.25">
      <c r="A344" s="311">
        <v>1109434</v>
      </c>
      <c r="B344" s="311"/>
      <c r="C344" s="315" t="str">
        <f t="shared" ref="C344:C407" si="2">VLOOKUP($A344,$A$4:$K$337,2,FALSE)</f>
        <v>Obce</v>
      </c>
      <c r="D344" s="315" t="str">
        <f t="shared" ref="D344:D407" si="3">VLOOKUP($A344,$A$4:$K$337,3,FALSE)</f>
        <v>Domov pro seniory</v>
      </c>
      <c r="E344" s="315" t="str">
        <f t="shared" ref="E344:E407" si="4">VLOOKUP($A344,$A$4:$K$337,4,FALSE)</f>
        <v>Ústav sociálních služeb města Nové Paky</v>
      </c>
      <c r="F344" s="313">
        <f t="shared" ref="F344:F407" si="5">A344</f>
        <v>1109434</v>
      </c>
      <c r="G344" s="313"/>
      <c r="H344" s="313"/>
      <c r="I344" s="313"/>
      <c r="J344" s="313"/>
      <c r="K344" s="313"/>
      <c r="L344" s="313"/>
      <c r="M344" s="313"/>
      <c r="N344" s="313"/>
      <c r="O344" s="313"/>
      <c r="P344" s="313"/>
      <c r="Q344" s="313"/>
      <c r="R344" s="313"/>
      <c r="S344" s="313"/>
      <c r="T344" s="313">
        <f t="shared" ref="T344:AB407" si="6">SUMIFS(T$4:T$337,$A$4:$A$337,$A344)</f>
        <v>29</v>
      </c>
      <c r="U344" s="313">
        <f t="shared" si="6"/>
        <v>2</v>
      </c>
      <c r="V344" s="313">
        <f t="shared" si="6"/>
        <v>19</v>
      </c>
      <c r="W344" s="313">
        <f t="shared" si="6"/>
        <v>8</v>
      </c>
      <c r="X344" s="313">
        <f t="shared" si="6"/>
        <v>0</v>
      </c>
      <c r="Y344" s="313">
        <f t="shared" si="6"/>
        <v>65</v>
      </c>
      <c r="Z344" s="313">
        <f t="shared" si="6"/>
        <v>0</v>
      </c>
      <c r="AA344" s="313">
        <f t="shared" si="6"/>
        <v>0</v>
      </c>
      <c r="AB344" s="313">
        <f t="shared" si="6"/>
        <v>0</v>
      </c>
      <c r="AD344" s="313">
        <f t="shared" si="0"/>
        <v>29</v>
      </c>
      <c r="AE344" s="313">
        <f t="shared" si="0"/>
        <v>2</v>
      </c>
      <c r="AF344" s="313">
        <f t="shared" si="0"/>
        <v>19</v>
      </c>
      <c r="AG344" s="313">
        <f t="shared" si="0"/>
        <v>8</v>
      </c>
      <c r="AH344" s="313">
        <f t="shared" si="0"/>
        <v>0</v>
      </c>
      <c r="AI344" s="313">
        <f t="shared" si="0"/>
        <v>65</v>
      </c>
      <c r="AJ344" s="313">
        <f t="shared" si="0"/>
        <v>0</v>
      </c>
      <c r="AL344" s="314">
        <f t="shared" si="0"/>
        <v>13692096.380467078</v>
      </c>
      <c r="AM344" s="314">
        <f t="shared" si="0"/>
        <v>6485653.5482899379</v>
      </c>
      <c r="AN344" s="314">
        <f t="shared" si="0"/>
        <v>6374915.5119648864</v>
      </c>
      <c r="AO344" s="314">
        <f t="shared" si="0"/>
        <v>4470121.4976799004</v>
      </c>
      <c r="AP344" s="314">
        <f t="shared" si="0"/>
        <v>31022786.938401803</v>
      </c>
      <c r="AR344" s="314">
        <f t="shared" si="0"/>
        <v>7297581.5351311229</v>
      </c>
      <c r="AS344" s="314">
        <f t="shared" si="0"/>
        <v>1900916.4694041868</v>
      </c>
      <c r="AT344" s="314">
        <f t="shared" si="0"/>
        <v>4610045.3506698189</v>
      </c>
      <c r="AU344" s="314">
        <f t="shared" si="0"/>
        <v>3307009.0923713236</v>
      </c>
      <c r="AV344" s="314">
        <f t="shared" si="1"/>
        <v>17115552.447576452</v>
      </c>
      <c r="AW344" s="314">
        <f t="shared" si="1"/>
        <v>13907234.490825351</v>
      </c>
    </row>
    <row r="345" spans="1:49" x14ac:dyDescent="0.25">
      <c r="A345" s="311">
        <v>1172890</v>
      </c>
      <c r="B345" s="311"/>
      <c r="C345" s="315" t="str">
        <f t="shared" si="2"/>
        <v>Obce</v>
      </c>
      <c r="D345" s="315" t="str">
        <f t="shared" si="3"/>
        <v>Pečovatelská služba Kostelec nad Orlicí</v>
      </c>
      <c r="E345" s="315" t="str">
        <f t="shared" si="4"/>
        <v>Město Kostelec nad Orlicí</v>
      </c>
      <c r="F345" s="313">
        <f t="shared" si="5"/>
        <v>1172890</v>
      </c>
      <c r="G345" s="313"/>
      <c r="H345" s="313"/>
      <c r="I345" s="313"/>
      <c r="J345" s="313"/>
      <c r="K345" s="313"/>
      <c r="L345" s="313"/>
      <c r="M345" s="313"/>
      <c r="N345" s="313"/>
      <c r="O345" s="313"/>
      <c r="P345" s="313"/>
      <c r="Q345" s="313"/>
      <c r="R345" s="313"/>
      <c r="S345" s="313"/>
      <c r="T345" s="313">
        <f t="shared" si="6"/>
        <v>11.7</v>
      </c>
      <c r="U345" s="313">
        <f t="shared" si="6"/>
        <v>1.7</v>
      </c>
      <c r="V345" s="313">
        <f t="shared" si="6"/>
        <v>10</v>
      </c>
      <c r="W345" s="313">
        <f t="shared" si="6"/>
        <v>0</v>
      </c>
      <c r="X345" s="313">
        <f t="shared" si="6"/>
        <v>0</v>
      </c>
      <c r="Y345" s="313">
        <f t="shared" si="6"/>
        <v>0</v>
      </c>
      <c r="Z345" s="313">
        <f t="shared" si="6"/>
        <v>120</v>
      </c>
      <c r="AA345" s="313">
        <f t="shared" si="6"/>
        <v>0</v>
      </c>
      <c r="AB345" s="313">
        <f t="shared" si="6"/>
        <v>0</v>
      </c>
      <c r="AD345" s="313">
        <f t="shared" si="0"/>
        <v>11.7</v>
      </c>
      <c r="AE345" s="313">
        <f t="shared" si="0"/>
        <v>1.7</v>
      </c>
      <c r="AF345" s="313">
        <f t="shared" si="0"/>
        <v>10</v>
      </c>
      <c r="AG345" s="313">
        <f t="shared" si="0"/>
        <v>0</v>
      </c>
      <c r="AH345" s="313">
        <f t="shared" si="0"/>
        <v>0</v>
      </c>
      <c r="AI345" s="313">
        <f t="shared" si="0"/>
        <v>0</v>
      </c>
      <c r="AJ345" s="313">
        <f t="shared" si="0"/>
        <v>0</v>
      </c>
      <c r="AL345" s="314">
        <f t="shared" si="0"/>
        <v>6462588.6127615236</v>
      </c>
      <c r="AM345" s="314">
        <f t="shared" si="0"/>
        <v>0</v>
      </c>
      <c r="AN345" s="314">
        <f t="shared" si="0"/>
        <v>489534.61117914732</v>
      </c>
      <c r="AO345" s="314">
        <f t="shared" si="0"/>
        <v>0</v>
      </c>
      <c r="AP345" s="314">
        <f t="shared" si="0"/>
        <v>6952123.2239406705</v>
      </c>
      <c r="AR345" s="314">
        <f t="shared" si="0"/>
        <v>1387552.3529411764</v>
      </c>
      <c r="AS345" s="314">
        <f t="shared" si="0"/>
        <v>0</v>
      </c>
      <c r="AT345" s="314">
        <f t="shared" si="0"/>
        <v>0</v>
      </c>
      <c r="AU345" s="314">
        <f t="shared" si="0"/>
        <v>0</v>
      </c>
      <c r="AV345" s="314">
        <f t="shared" si="1"/>
        <v>1387552.3529411764</v>
      </c>
      <c r="AW345" s="314">
        <f t="shared" si="1"/>
        <v>5564570.8709994946</v>
      </c>
    </row>
    <row r="346" spans="1:49" x14ac:dyDescent="0.25">
      <c r="A346" s="311">
        <v>1201932</v>
      </c>
      <c r="B346" s="311"/>
      <c r="C346" s="315" t="str">
        <f t="shared" si="2"/>
        <v>NZO</v>
      </c>
      <c r="D346" s="315" t="str">
        <f t="shared" si="3"/>
        <v>Ambulantní centrum Hradec Králové</v>
      </c>
      <c r="E346" s="315" t="str">
        <f t="shared" si="4"/>
        <v>Laxus z.ú.</v>
      </c>
      <c r="F346" s="313">
        <f t="shared" si="5"/>
        <v>1201932</v>
      </c>
      <c r="G346" s="313"/>
      <c r="H346" s="313"/>
      <c r="I346" s="313"/>
      <c r="J346" s="313"/>
      <c r="K346" s="313"/>
      <c r="L346" s="313"/>
      <c r="M346" s="313"/>
      <c r="N346" s="313"/>
      <c r="O346" s="313"/>
      <c r="P346" s="313"/>
      <c r="Q346" s="313"/>
      <c r="R346" s="313"/>
      <c r="S346" s="313"/>
      <c r="T346" s="313">
        <f t="shared" si="6"/>
        <v>4.0999999999999996</v>
      </c>
      <c r="U346" s="313">
        <f t="shared" si="6"/>
        <v>2.6</v>
      </c>
      <c r="V346" s="313">
        <f t="shared" si="6"/>
        <v>0</v>
      </c>
      <c r="W346" s="313">
        <f t="shared" si="6"/>
        <v>0</v>
      </c>
      <c r="X346" s="313">
        <f t="shared" si="6"/>
        <v>1.5</v>
      </c>
      <c r="Y346" s="313">
        <f t="shared" si="6"/>
        <v>0</v>
      </c>
      <c r="Z346" s="313">
        <f t="shared" si="6"/>
        <v>30</v>
      </c>
      <c r="AA346" s="313">
        <f t="shared" si="6"/>
        <v>0</v>
      </c>
      <c r="AB346" s="313">
        <f t="shared" si="6"/>
        <v>0</v>
      </c>
      <c r="AD346" s="313">
        <f t="shared" si="0"/>
        <v>4.0999999999999996</v>
      </c>
      <c r="AE346" s="313">
        <f t="shared" si="0"/>
        <v>2.6</v>
      </c>
      <c r="AF346" s="313">
        <f t="shared" si="0"/>
        <v>0</v>
      </c>
      <c r="AG346" s="313">
        <f t="shared" si="0"/>
        <v>0</v>
      </c>
      <c r="AH346" s="313">
        <f t="shared" si="0"/>
        <v>1.5</v>
      </c>
      <c r="AI346" s="313">
        <f t="shared" si="0"/>
        <v>0</v>
      </c>
      <c r="AJ346" s="313">
        <f t="shared" si="0"/>
        <v>0</v>
      </c>
      <c r="AL346" s="314">
        <f t="shared" si="0"/>
        <v>2730104.9085902027</v>
      </c>
      <c r="AM346" s="314">
        <f t="shared" si="0"/>
        <v>0</v>
      </c>
      <c r="AN346" s="314">
        <f t="shared" si="0"/>
        <v>189447.92350833208</v>
      </c>
      <c r="AO346" s="314">
        <f t="shared" si="0"/>
        <v>0</v>
      </c>
      <c r="AP346" s="314">
        <f t="shared" si="0"/>
        <v>2919552.8320985348</v>
      </c>
      <c r="AR346" s="314">
        <f t="shared" si="0"/>
        <v>0</v>
      </c>
      <c r="AS346" s="314">
        <f t="shared" si="0"/>
        <v>0</v>
      </c>
      <c r="AT346" s="314">
        <f t="shared" si="0"/>
        <v>0</v>
      </c>
      <c r="AU346" s="314">
        <f t="shared" si="0"/>
        <v>0</v>
      </c>
      <c r="AV346" s="314">
        <f t="shared" si="1"/>
        <v>0</v>
      </c>
      <c r="AW346" s="314">
        <f t="shared" si="1"/>
        <v>2919552.8320985348</v>
      </c>
    </row>
    <row r="347" spans="1:49" x14ac:dyDescent="0.25">
      <c r="A347" s="311">
        <v>1225073</v>
      </c>
      <c r="B347" s="311"/>
      <c r="C347" s="315" t="str">
        <f t="shared" si="2"/>
        <v>Obce</v>
      </c>
      <c r="D347" s="315" t="str">
        <f t="shared" si="3"/>
        <v>Sociální služby města Jičína, Pečovatelská služba</v>
      </c>
      <c r="E347" s="315" t="str">
        <f t="shared" si="4"/>
        <v>Sociální služby města Jičína</v>
      </c>
      <c r="F347" s="313">
        <f t="shared" si="5"/>
        <v>1225073</v>
      </c>
      <c r="G347" s="313"/>
      <c r="H347" s="313"/>
      <c r="I347" s="313"/>
      <c r="J347" s="313"/>
      <c r="K347" s="313"/>
      <c r="L347" s="313"/>
      <c r="M347" s="313"/>
      <c r="N347" s="313"/>
      <c r="O347" s="313"/>
      <c r="P347" s="313"/>
      <c r="Q347" s="313"/>
      <c r="R347" s="313"/>
      <c r="S347" s="313"/>
      <c r="T347" s="313">
        <f t="shared" si="6"/>
        <v>16.34</v>
      </c>
      <c r="U347" s="313">
        <f t="shared" si="6"/>
        <v>0.67</v>
      </c>
      <c r="V347" s="313">
        <f t="shared" si="6"/>
        <v>15.67</v>
      </c>
      <c r="W347" s="313">
        <f t="shared" si="6"/>
        <v>0</v>
      </c>
      <c r="X347" s="313">
        <f t="shared" si="6"/>
        <v>0</v>
      </c>
      <c r="Y347" s="313">
        <f t="shared" si="6"/>
        <v>0</v>
      </c>
      <c r="Z347" s="313">
        <f t="shared" si="6"/>
        <v>285</v>
      </c>
      <c r="AA347" s="313">
        <f t="shared" si="6"/>
        <v>0</v>
      </c>
      <c r="AB347" s="313">
        <f t="shared" si="6"/>
        <v>0</v>
      </c>
      <c r="AD347" s="313">
        <f t="shared" si="0"/>
        <v>16.34</v>
      </c>
      <c r="AE347" s="313">
        <f t="shared" si="0"/>
        <v>0.67</v>
      </c>
      <c r="AF347" s="313">
        <f t="shared" si="0"/>
        <v>15.67</v>
      </c>
      <c r="AG347" s="313">
        <f t="shared" si="0"/>
        <v>0</v>
      </c>
      <c r="AH347" s="313">
        <f t="shared" si="0"/>
        <v>0</v>
      </c>
      <c r="AI347" s="313">
        <f t="shared" si="0"/>
        <v>0</v>
      </c>
      <c r="AJ347" s="313">
        <f t="shared" si="0"/>
        <v>0</v>
      </c>
      <c r="AL347" s="314">
        <f t="shared" si="0"/>
        <v>9025529.7378225047</v>
      </c>
      <c r="AM347" s="314">
        <f t="shared" si="0"/>
        <v>0</v>
      </c>
      <c r="AN347" s="314">
        <f t="shared" si="0"/>
        <v>683674.8330484844</v>
      </c>
      <c r="AO347" s="314">
        <f t="shared" si="0"/>
        <v>0</v>
      </c>
      <c r="AP347" s="314">
        <f t="shared" si="0"/>
        <v>9709204.5708709899</v>
      </c>
      <c r="AR347" s="314">
        <f t="shared" si="0"/>
        <v>2174294.5370588237</v>
      </c>
      <c r="AS347" s="314">
        <f t="shared" si="0"/>
        <v>0</v>
      </c>
      <c r="AT347" s="314">
        <f t="shared" si="0"/>
        <v>0</v>
      </c>
      <c r="AU347" s="314">
        <f t="shared" si="0"/>
        <v>0</v>
      </c>
      <c r="AV347" s="314">
        <f t="shared" si="1"/>
        <v>2174294.5370588237</v>
      </c>
      <c r="AW347" s="314">
        <f t="shared" si="1"/>
        <v>7534910.0338121662</v>
      </c>
    </row>
    <row r="348" spans="1:49" x14ac:dyDescent="0.25">
      <c r="A348" s="311">
        <v>1236570</v>
      </c>
      <c r="B348" s="311"/>
      <c r="C348" s="315" t="str">
        <f t="shared" si="2"/>
        <v>NZO</v>
      </c>
      <c r="D348" s="315" t="str">
        <f t="shared" si="3"/>
        <v>Domov pro matky s dětmi Hradec Králové</v>
      </c>
      <c r="E348" s="315" t="str">
        <f t="shared" si="4"/>
        <v>Oblastní charita Hradec Králové</v>
      </c>
      <c r="F348" s="313">
        <f t="shared" si="5"/>
        <v>1236570</v>
      </c>
      <c r="G348" s="313"/>
      <c r="H348" s="313"/>
      <c r="I348" s="313"/>
      <c r="J348" s="313"/>
      <c r="K348" s="313"/>
      <c r="L348" s="313"/>
      <c r="M348" s="313"/>
      <c r="N348" s="313"/>
      <c r="O348" s="313"/>
      <c r="P348" s="313"/>
      <c r="Q348" s="313"/>
      <c r="R348" s="313"/>
      <c r="S348" s="313"/>
      <c r="T348" s="313">
        <f t="shared" si="6"/>
        <v>15.96</v>
      </c>
      <c r="U348" s="313">
        <f t="shared" si="6"/>
        <v>4</v>
      </c>
      <c r="V348" s="313">
        <f t="shared" si="6"/>
        <v>10.96</v>
      </c>
      <c r="W348" s="313">
        <f t="shared" si="6"/>
        <v>0</v>
      </c>
      <c r="X348" s="313">
        <f t="shared" si="6"/>
        <v>1</v>
      </c>
      <c r="Y348" s="313">
        <f t="shared" si="6"/>
        <v>64</v>
      </c>
      <c r="Z348" s="313">
        <f t="shared" si="6"/>
        <v>0</v>
      </c>
      <c r="AA348" s="313">
        <f t="shared" si="6"/>
        <v>0</v>
      </c>
      <c r="AB348" s="313">
        <f t="shared" si="6"/>
        <v>0</v>
      </c>
      <c r="AD348" s="313">
        <f t="shared" si="0"/>
        <v>15.96</v>
      </c>
      <c r="AE348" s="313">
        <f t="shared" si="0"/>
        <v>4</v>
      </c>
      <c r="AF348" s="313">
        <f t="shared" si="0"/>
        <v>10.96</v>
      </c>
      <c r="AG348" s="313">
        <f t="shared" si="0"/>
        <v>0</v>
      </c>
      <c r="AH348" s="313">
        <f t="shared" si="0"/>
        <v>1</v>
      </c>
      <c r="AI348" s="313">
        <f t="shared" si="0"/>
        <v>64</v>
      </c>
      <c r="AJ348" s="313">
        <f t="shared" si="0"/>
        <v>0</v>
      </c>
      <c r="AL348" s="314">
        <f t="shared" si="0"/>
        <v>9904353.9727223963</v>
      </c>
      <c r="AM348" s="314">
        <f t="shared" si="0"/>
        <v>0</v>
      </c>
      <c r="AN348" s="314">
        <f t="shared" si="0"/>
        <v>1668462.7398823572</v>
      </c>
      <c r="AO348" s="314">
        <f t="shared" si="0"/>
        <v>0</v>
      </c>
      <c r="AP348" s="314">
        <f t="shared" si="0"/>
        <v>11572816.712604754</v>
      </c>
      <c r="AR348" s="314">
        <f t="shared" si="0"/>
        <v>0</v>
      </c>
      <c r="AS348" s="314">
        <f t="shared" si="0"/>
        <v>0</v>
      </c>
      <c r="AT348" s="314">
        <f t="shared" si="0"/>
        <v>1455047.4666666668</v>
      </c>
      <c r="AU348" s="314">
        <f t="shared" si="0"/>
        <v>0</v>
      </c>
      <c r="AV348" s="314">
        <f t="shared" si="1"/>
        <v>1455047.4666666668</v>
      </c>
      <c r="AW348" s="314">
        <f t="shared" si="1"/>
        <v>10117769.245938087</v>
      </c>
    </row>
    <row r="349" spans="1:49" x14ac:dyDescent="0.25">
      <c r="A349" s="311">
        <v>1272659</v>
      </c>
      <c r="B349" s="311"/>
      <c r="C349" s="315" t="str">
        <f t="shared" si="2"/>
        <v>Obce</v>
      </c>
      <c r="D349" s="315" t="str">
        <f t="shared" si="3"/>
        <v>Město Nový Bydžov</v>
      </c>
      <c r="E349" s="315" t="str">
        <f t="shared" si="4"/>
        <v>Město Nový Bydžov</v>
      </c>
      <c r="F349" s="313">
        <f t="shared" si="5"/>
        <v>1272659</v>
      </c>
      <c r="G349" s="313"/>
      <c r="H349" s="313"/>
      <c r="I349" s="313"/>
      <c r="J349" s="313"/>
      <c r="K349" s="313"/>
      <c r="L349" s="313"/>
      <c r="M349" s="313"/>
      <c r="N349" s="313"/>
      <c r="O349" s="313"/>
      <c r="P349" s="313"/>
      <c r="Q349" s="313"/>
      <c r="R349" s="313"/>
      <c r="S349" s="313"/>
      <c r="T349" s="313">
        <f t="shared" si="6"/>
        <v>2</v>
      </c>
      <c r="U349" s="313">
        <f t="shared" si="6"/>
        <v>1</v>
      </c>
      <c r="V349" s="313">
        <f t="shared" si="6"/>
        <v>1</v>
      </c>
      <c r="W349" s="313">
        <f t="shared" si="6"/>
        <v>0</v>
      </c>
      <c r="X349" s="313">
        <f t="shared" si="6"/>
        <v>0</v>
      </c>
      <c r="Y349" s="313">
        <f t="shared" si="6"/>
        <v>0</v>
      </c>
      <c r="Z349" s="313">
        <f t="shared" si="6"/>
        <v>168</v>
      </c>
      <c r="AA349" s="313">
        <f t="shared" si="6"/>
        <v>0</v>
      </c>
      <c r="AB349" s="313">
        <f t="shared" si="6"/>
        <v>0</v>
      </c>
      <c r="AD349" s="313">
        <f t="shared" si="0"/>
        <v>2</v>
      </c>
      <c r="AE349" s="313">
        <f t="shared" si="0"/>
        <v>1</v>
      </c>
      <c r="AF349" s="313">
        <f t="shared" si="0"/>
        <v>1</v>
      </c>
      <c r="AG349" s="313">
        <f t="shared" si="0"/>
        <v>0</v>
      </c>
      <c r="AH349" s="313">
        <f t="shared" si="0"/>
        <v>0</v>
      </c>
      <c r="AI349" s="313">
        <f t="shared" si="0"/>
        <v>0</v>
      </c>
      <c r="AJ349" s="313">
        <f t="shared" si="0"/>
        <v>0</v>
      </c>
      <c r="AL349" s="314">
        <f t="shared" si="0"/>
        <v>1289345.5987868712</v>
      </c>
      <c r="AM349" s="314">
        <f t="shared" si="0"/>
        <v>0</v>
      </c>
      <c r="AN349" s="314">
        <f t="shared" si="0"/>
        <v>87937.546493509333</v>
      </c>
      <c r="AO349" s="314">
        <f t="shared" si="0"/>
        <v>0</v>
      </c>
      <c r="AP349" s="314">
        <f t="shared" si="0"/>
        <v>1377283.1452803805</v>
      </c>
      <c r="AR349" s="314">
        <f t="shared" si="0"/>
        <v>0</v>
      </c>
      <c r="AS349" s="314">
        <f t="shared" si="0"/>
        <v>0</v>
      </c>
      <c r="AT349" s="314">
        <f t="shared" si="0"/>
        <v>0</v>
      </c>
      <c r="AU349" s="314">
        <f t="shared" si="0"/>
        <v>0</v>
      </c>
      <c r="AV349" s="314">
        <f t="shared" si="1"/>
        <v>0</v>
      </c>
      <c r="AW349" s="314">
        <f t="shared" si="1"/>
        <v>1377283.1452803805</v>
      </c>
    </row>
    <row r="350" spans="1:49" x14ac:dyDescent="0.25">
      <c r="A350" s="311">
        <v>1356155</v>
      </c>
      <c r="B350" s="311"/>
      <c r="C350" s="315" t="str">
        <f t="shared" si="2"/>
        <v>NZO</v>
      </c>
      <c r="D350" s="315" t="str">
        <f t="shared" si="3"/>
        <v>Oblastní charita Sobotka - Charitní pečovatelská služba</v>
      </c>
      <c r="E350" s="315" t="str">
        <f t="shared" si="4"/>
        <v>Oblastní charita Sobotka</v>
      </c>
      <c r="F350" s="313">
        <f t="shared" si="5"/>
        <v>1356155</v>
      </c>
      <c r="G350" s="313"/>
      <c r="H350" s="313"/>
      <c r="I350" s="313"/>
      <c r="J350" s="313"/>
      <c r="K350" s="313"/>
      <c r="L350" s="313"/>
      <c r="M350" s="313"/>
      <c r="N350" s="313"/>
      <c r="O350" s="313"/>
      <c r="P350" s="313"/>
      <c r="Q350" s="313"/>
      <c r="R350" s="313"/>
      <c r="S350" s="313"/>
      <c r="T350" s="313">
        <f t="shared" si="6"/>
        <v>4</v>
      </c>
      <c r="U350" s="313">
        <f t="shared" si="6"/>
        <v>1</v>
      </c>
      <c r="V350" s="313">
        <f t="shared" si="6"/>
        <v>3</v>
      </c>
      <c r="W350" s="313">
        <f t="shared" si="6"/>
        <v>0</v>
      </c>
      <c r="X350" s="313">
        <f t="shared" si="6"/>
        <v>0</v>
      </c>
      <c r="Y350" s="313">
        <f t="shared" si="6"/>
        <v>0</v>
      </c>
      <c r="Z350" s="313">
        <f t="shared" si="6"/>
        <v>35</v>
      </c>
      <c r="AA350" s="313">
        <f t="shared" si="6"/>
        <v>0</v>
      </c>
      <c r="AB350" s="313">
        <f t="shared" si="6"/>
        <v>0</v>
      </c>
      <c r="AD350" s="313">
        <f t="shared" si="0"/>
        <v>4</v>
      </c>
      <c r="AE350" s="313">
        <f t="shared" si="0"/>
        <v>1</v>
      </c>
      <c r="AF350" s="313">
        <f t="shared" si="0"/>
        <v>3</v>
      </c>
      <c r="AG350" s="313">
        <f t="shared" si="0"/>
        <v>0</v>
      </c>
      <c r="AH350" s="313">
        <f t="shared" si="0"/>
        <v>0</v>
      </c>
      <c r="AI350" s="313">
        <f t="shared" si="0"/>
        <v>0</v>
      </c>
      <c r="AJ350" s="313">
        <f t="shared" si="0"/>
        <v>0</v>
      </c>
      <c r="AL350" s="314">
        <f t="shared" si="0"/>
        <v>2209432.0043629142</v>
      </c>
      <c r="AM350" s="314">
        <f t="shared" si="0"/>
        <v>0</v>
      </c>
      <c r="AN350" s="314">
        <f t="shared" si="0"/>
        <v>167362.26023218714</v>
      </c>
      <c r="AO350" s="314">
        <f t="shared" si="0"/>
        <v>0</v>
      </c>
      <c r="AP350" s="314">
        <f t="shared" si="0"/>
        <v>2376794.2645951016</v>
      </c>
      <c r="AR350" s="314">
        <f t="shared" si="0"/>
        <v>416265.70588235295</v>
      </c>
      <c r="AS350" s="314">
        <f t="shared" si="0"/>
        <v>0</v>
      </c>
      <c r="AT350" s="314">
        <f t="shared" si="0"/>
        <v>0</v>
      </c>
      <c r="AU350" s="314">
        <f t="shared" ref="AU350:AU358" si="7">SUMIFS(AU$4:AU$337,$A$4:$A$337,$A350)</f>
        <v>0</v>
      </c>
      <c r="AV350" s="314">
        <f t="shared" si="1"/>
        <v>416265.70588235295</v>
      </c>
      <c r="AW350" s="314">
        <f t="shared" si="1"/>
        <v>1960528.5587127486</v>
      </c>
    </row>
    <row r="351" spans="1:49" x14ac:dyDescent="0.25">
      <c r="A351" s="311">
        <v>1378201</v>
      </c>
      <c r="B351" s="311"/>
      <c r="C351" s="315" t="str">
        <f t="shared" si="2"/>
        <v>NZO</v>
      </c>
      <c r="D351" s="315" t="str">
        <f t="shared" si="3"/>
        <v>Takový normální život</v>
      </c>
      <c r="E351" s="315" t="str">
        <f t="shared" si="4"/>
        <v>PFERDA z.ú.</v>
      </c>
      <c r="F351" s="313">
        <f t="shared" si="5"/>
        <v>1378201</v>
      </c>
      <c r="G351" s="313"/>
      <c r="H351" s="313"/>
      <c r="I351" s="313"/>
      <c r="J351" s="313"/>
      <c r="K351" s="313"/>
      <c r="L351" s="313"/>
      <c r="M351" s="313"/>
      <c r="N351" s="313"/>
      <c r="O351" s="313"/>
      <c r="P351" s="313"/>
      <c r="Q351" s="313"/>
      <c r="R351" s="313"/>
      <c r="S351" s="313"/>
      <c r="T351" s="313">
        <f t="shared" si="6"/>
        <v>4.25</v>
      </c>
      <c r="U351" s="313">
        <f t="shared" si="6"/>
        <v>1.75</v>
      </c>
      <c r="V351" s="313">
        <f t="shared" si="6"/>
        <v>2.5</v>
      </c>
      <c r="W351" s="313">
        <f t="shared" si="6"/>
        <v>0</v>
      </c>
      <c r="X351" s="313">
        <f t="shared" si="6"/>
        <v>0</v>
      </c>
      <c r="Y351" s="313">
        <f t="shared" si="6"/>
        <v>0</v>
      </c>
      <c r="Z351" s="313">
        <f t="shared" si="6"/>
        <v>30</v>
      </c>
      <c r="AA351" s="313">
        <f t="shared" si="6"/>
        <v>0</v>
      </c>
      <c r="AB351" s="313">
        <f t="shared" si="6"/>
        <v>0</v>
      </c>
      <c r="AD351" s="313">
        <f t="shared" si="0"/>
        <v>4.25</v>
      </c>
      <c r="AE351" s="313">
        <f t="shared" si="0"/>
        <v>1.75</v>
      </c>
      <c r="AF351" s="313">
        <f t="shared" si="0"/>
        <v>2.5</v>
      </c>
      <c r="AG351" s="313">
        <f t="shared" si="0"/>
        <v>0</v>
      </c>
      <c r="AH351" s="313">
        <f t="shared" si="0"/>
        <v>0</v>
      </c>
      <c r="AI351" s="313">
        <f t="shared" si="0"/>
        <v>0</v>
      </c>
      <c r="AJ351" s="313">
        <f t="shared" si="0"/>
        <v>0</v>
      </c>
      <c r="AL351" s="314">
        <f t="shared" si="0"/>
        <v>2624674.6785444478</v>
      </c>
      <c r="AM351" s="314">
        <f t="shared" si="0"/>
        <v>0</v>
      </c>
      <c r="AN351" s="314">
        <f t="shared" si="0"/>
        <v>62844.711218749995</v>
      </c>
      <c r="AO351" s="314">
        <f t="shared" si="0"/>
        <v>0</v>
      </c>
      <c r="AP351" s="314">
        <f t="shared" si="0"/>
        <v>2687519.3897631974</v>
      </c>
      <c r="AR351" s="314">
        <f t="shared" si="0"/>
        <v>268256.90000000002</v>
      </c>
      <c r="AS351" s="314">
        <f t="shared" si="0"/>
        <v>0</v>
      </c>
      <c r="AT351" s="314">
        <f t="shared" si="0"/>
        <v>0</v>
      </c>
      <c r="AU351" s="314">
        <f t="shared" si="7"/>
        <v>0</v>
      </c>
      <c r="AV351" s="314">
        <f t="shared" si="1"/>
        <v>268256.90000000002</v>
      </c>
      <c r="AW351" s="314">
        <f t="shared" si="1"/>
        <v>2419262.4897631975</v>
      </c>
    </row>
    <row r="352" spans="1:49" x14ac:dyDescent="0.25">
      <c r="A352" s="311">
        <v>1441233</v>
      </c>
      <c r="B352" s="311"/>
      <c r="C352" s="315" t="str">
        <f t="shared" si="2"/>
        <v>NZO</v>
      </c>
      <c r="D352" s="315" t="str">
        <f t="shared" si="3"/>
        <v>Stacionář sv. Františka</v>
      </c>
      <c r="E352" s="315" t="str">
        <f t="shared" si="4"/>
        <v>Farní charita Rychnov nad Kněžnou</v>
      </c>
      <c r="F352" s="313">
        <f t="shared" si="5"/>
        <v>1441233</v>
      </c>
      <c r="G352" s="313"/>
      <c r="H352" s="313"/>
      <c r="I352" s="313"/>
      <c r="J352" s="313"/>
      <c r="K352" s="313"/>
      <c r="L352" s="313"/>
      <c r="M352" s="313"/>
      <c r="N352" s="313"/>
      <c r="O352" s="313"/>
      <c r="P352" s="313"/>
      <c r="Q352" s="313"/>
      <c r="R352" s="313"/>
      <c r="S352" s="313"/>
      <c r="T352" s="313">
        <f t="shared" si="6"/>
        <v>5.35</v>
      </c>
      <c r="U352" s="313">
        <f t="shared" si="6"/>
        <v>0.3</v>
      </c>
      <c r="V352" s="313">
        <f t="shared" si="6"/>
        <v>3.5</v>
      </c>
      <c r="W352" s="313">
        <f t="shared" si="6"/>
        <v>1.55</v>
      </c>
      <c r="X352" s="313">
        <f t="shared" si="6"/>
        <v>0</v>
      </c>
      <c r="Y352" s="313">
        <f t="shared" si="6"/>
        <v>13</v>
      </c>
      <c r="Z352" s="313">
        <f t="shared" si="6"/>
        <v>0</v>
      </c>
      <c r="AA352" s="313">
        <f t="shared" si="6"/>
        <v>0</v>
      </c>
      <c r="AB352" s="313">
        <f t="shared" si="6"/>
        <v>0</v>
      </c>
      <c r="AD352" s="313">
        <f t="shared" si="0"/>
        <v>5.35</v>
      </c>
      <c r="AE352" s="313">
        <f t="shared" si="0"/>
        <v>0.3</v>
      </c>
      <c r="AF352" s="313">
        <f t="shared" si="0"/>
        <v>3.5</v>
      </c>
      <c r="AG352" s="313">
        <f t="shared" si="0"/>
        <v>1.55</v>
      </c>
      <c r="AH352" s="313">
        <f t="shared" si="0"/>
        <v>0</v>
      </c>
      <c r="AI352" s="313">
        <f t="shared" si="0"/>
        <v>13</v>
      </c>
      <c r="AJ352" s="313">
        <f t="shared" si="0"/>
        <v>0</v>
      </c>
      <c r="AL352" s="314">
        <f t="shared" si="0"/>
        <v>3018731.5911266408</v>
      </c>
      <c r="AM352" s="314">
        <f t="shared" si="0"/>
        <v>0</v>
      </c>
      <c r="AN352" s="314">
        <f t="shared" si="0"/>
        <v>712169.35514022782</v>
      </c>
      <c r="AO352" s="314">
        <f t="shared" si="0"/>
        <v>390295.16269249941</v>
      </c>
      <c r="AP352" s="314">
        <f t="shared" si="0"/>
        <v>4121196.108959368</v>
      </c>
      <c r="AR352" s="314">
        <f t="shared" si="0"/>
        <v>643270.62243962544</v>
      </c>
      <c r="AS352" s="314">
        <f t="shared" si="0"/>
        <v>0</v>
      </c>
      <c r="AT352" s="314">
        <f t="shared" si="0"/>
        <v>499919.0625</v>
      </c>
      <c r="AU352" s="314">
        <f t="shared" si="7"/>
        <v>310640.85000000003</v>
      </c>
      <c r="AV352" s="314">
        <f t="shared" si="1"/>
        <v>1453830.5349396255</v>
      </c>
      <c r="AW352" s="314">
        <f t="shared" si="1"/>
        <v>2667365.5740197422</v>
      </c>
    </row>
    <row r="353" spans="1:49" x14ac:dyDescent="0.25">
      <c r="A353" s="311">
        <v>1450637</v>
      </c>
      <c r="B353" s="311"/>
      <c r="C353" s="315" t="str">
        <f t="shared" si="2"/>
        <v>PO KHK</v>
      </c>
      <c r="D353" s="315" t="str">
        <f t="shared" si="3"/>
        <v>Domov důchodců Albrechtice nad Orlicí</v>
      </c>
      <c r="E353" s="315" t="str">
        <f t="shared" si="4"/>
        <v>Domov důchodců Albrechtice nad Orlicí</v>
      </c>
      <c r="F353" s="313">
        <f t="shared" si="5"/>
        <v>1450637</v>
      </c>
      <c r="G353" s="313"/>
      <c r="H353" s="313"/>
      <c r="I353" s="313"/>
      <c r="J353" s="313"/>
      <c r="K353" s="313"/>
      <c r="L353" s="313"/>
      <c r="M353" s="313"/>
      <c r="N353" s="313"/>
      <c r="O353" s="313"/>
      <c r="P353" s="313"/>
      <c r="Q353" s="313"/>
      <c r="R353" s="313"/>
      <c r="S353" s="313"/>
      <c r="T353" s="313">
        <f t="shared" si="6"/>
        <v>50</v>
      </c>
      <c r="U353" s="313">
        <f t="shared" si="6"/>
        <v>2</v>
      </c>
      <c r="V353" s="313">
        <f t="shared" si="6"/>
        <v>36</v>
      </c>
      <c r="W353" s="313">
        <f t="shared" si="6"/>
        <v>12</v>
      </c>
      <c r="X353" s="313">
        <f t="shared" si="6"/>
        <v>0</v>
      </c>
      <c r="Y353" s="313">
        <f t="shared" si="6"/>
        <v>81</v>
      </c>
      <c r="Z353" s="313">
        <f t="shared" si="6"/>
        <v>0</v>
      </c>
      <c r="AA353" s="313">
        <f t="shared" si="6"/>
        <v>0</v>
      </c>
      <c r="AB353" s="313">
        <f t="shared" si="6"/>
        <v>0</v>
      </c>
      <c r="AD353" s="313">
        <f t="shared" si="0"/>
        <v>50</v>
      </c>
      <c r="AE353" s="313">
        <f t="shared" si="0"/>
        <v>2</v>
      </c>
      <c r="AF353" s="313">
        <f t="shared" si="0"/>
        <v>36</v>
      </c>
      <c r="AG353" s="313">
        <f t="shared" si="0"/>
        <v>12</v>
      </c>
      <c r="AH353" s="313">
        <f t="shared" si="0"/>
        <v>0</v>
      </c>
      <c r="AI353" s="313">
        <f t="shared" si="0"/>
        <v>81</v>
      </c>
      <c r="AJ353" s="313">
        <f t="shared" si="0"/>
        <v>0</v>
      </c>
      <c r="AL353" s="314">
        <f t="shared" si="0"/>
        <v>24248867.446328238</v>
      </c>
      <c r="AM353" s="314">
        <f t="shared" si="0"/>
        <v>9700165.0327358507</v>
      </c>
      <c r="AN353" s="314">
        <f t="shared" si="0"/>
        <v>7818194.1223242376</v>
      </c>
      <c r="AO353" s="314">
        <f t="shared" si="0"/>
        <v>5272084.2010061312</v>
      </c>
      <c r="AP353" s="314">
        <f t="shared" si="0"/>
        <v>47039310.802394457</v>
      </c>
      <c r="AR353" s="314">
        <f t="shared" si="0"/>
        <v>9725525.8200000003</v>
      </c>
      <c r="AS353" s="314">
        <f t="shared" si="0"/>
        <v>1821049.7962499999</v>
      </c>
      <c r="AT353" s="314">
        <f t="shared" si="0"/>
        <v>5381788.0344827585</v>
      </c>
      <c r="AU353" s="314">
        <f t="shared" si="7"/>
        <v>4131109.35</v>
      </c>
      <c r="AV353" s="314">
        <f t="shared" si="1"/>
        <v>21059473.000732761</v>
      </c>
      <c r="AW353" s="314">
        <f t="shared" si="1"/>
        <v>25979837.801661696</v>
      </c>
    </row>
    <row r="354" spans="1:49" x14ac:dyDescent="0.25">
      <c r="A354" s="311">
        <v>1494293</v>
      </c>
      <c r="B354" s="311"/>
      <c r="C354" s="315" t="str">
        <f t="shared" si="2"/>
        <v>NZO</v>
      </c>
      <c r="D354" s="315" t="str">
        <f t="shared" si="3"/>
        <v>Sociální poradna Domácího hospice Setkání</v>
      </c>
      <c r="E354" s="315" t="str">
        <f t="shared" si="4"/>
        <v>Domácí hospic Setkání, o.p.s.</v>
      </c>
      <c r="F354" s="313">
        <f t="shared" si="5"/>
        <v>1494293</v>
      </c>
      <c r="G354" s="313"/>
      <c r="H354" s="313"/>
      <c r="I354" s="313"/>
      <c r="J354" s="313"/>
      <c r="K354" s="313"/>
      <c r="L354" s="313"/>
      <c r="M354" s="313"/>
      <c r="N354" s="313"/>
      <c r="O354" s="313"/>
      <c r="P354" s="313"/>
      <c r="Q354" s="313"/>
      <c r="R354" s="313"/>
      <c r="S354" s="313"/>
      <c r="T354" s="313">
        <f t="shared" si="6"/>
        <v>1.34</v>
      </c>
      <c r="U354" s="313">
        <f t="shared" si="6"/>
        <v>0.14000000000000001</v>
      </c>
      <c r="V354" s="313">
        <f t="shared" si="6"/>
        <v>1</v>
      </c>
      <c r="W354" s="313">
        <f t="shared" si="6"/>
        <v>0.2</v>
      </c>
      <c r="X354" s="313">
        <f t="shared" si="6"/>
        <v>0</v>
      </c>
      <c r="Y354" s="313">
        <f t="shared" si="6"/>
        <v>0</v>
      </c>
      <c r="Z354" s="313">
        <f t="shared" si="6"/>
        <v>4</v>
      </c>
      <c r="AA354" s="313">
        <f t="shared" si="6"/>
        <v>3</v>
      </c>
      <c r="AB354" s="313">
        <f t="shared" si="6"/>
        <v>0</v>
      </c>
      <c r="AD354" s="313">
        <f t="shared" si="0"/>
        <v>1.34</v>
      </c>
      <c r="AE354" s="313">
        <f t="shared" si="0"/>
        <v>0.14000000000000001</v>
      </c>
      <c r="AF354" s="313">
        <f t="shared" si="0"/>
        <v>1</v>
      </c>
      <c r="AG354" s="313">
        <f t="shared" si="0"/>
        <v>0.2</v>
      </c>
      <c r="AH354" s="313">
        <f t="shared" si="0"/>
        <v>0</v>
      </c>
      <c r="AI354" s="313">
        <f t="shared" si="0"/>
        <v>0</v>
      </c>
      <c r="AJ354" s="313">
        <f t="shared" si="0"/>
        <v>3</v>
      </c>
      <c r="AL354" s="314">
        <f t="shared" si="0"/>
        <v>892278.18963679799</v>
      </c>
      <c r="AM354" s="314">
        <f t="shared" si="0"/>
        <v>0</v>
      </c>
      <c r="AN354" s="314">
        <f t="shared" si="0"/>
        <v>61917.126219796344</v>
      </c>
      <c r="AO354" s="314">
        <f t="shared" si="0"/>
        <v>0</v>
      </c>
      <c r="AP354" s="314">
        <f t="shared" si="0"/>
        <v>954195.31585659436</v>
      </c>
      <c r="AR354" s="314">
        <f t="shared" si="0"/>
        <v>0</v>
      </c>
      <c r="AS354" s="314">
        <f t="shared" si="0"/>
        <v>0</v>
      </c>
      <c r="AT354" s="314">
        <f t="shared" si="0"/>
        <v>0</v>
      </c>
      <c r="AU354" s="314">
        <f t="shared" si="7"/>
        <v>0</v>
      </c>
      <c r="AV354" s="314">
        <f t="shared" si="1"/>
        <v>0</v>
      </c>
      <c r="AW354" s="314">
        <f t="shared" si="1"/>
        <v>954195.31585659436</v>
      </c>
    </row>
    <row r="355" spans="1:49" x14ac:dyDescent="0.25">
      <c r="A355" s="311">
        <v>1514566</v>
      </c>
      <c r="B355" s="311"/>
      <c r="C355" s="315" t="str">
        <f t="shared" si="2"/>
        <v>Obce</v>
      </c>
      <c r="D355" s="315" t="str">
        <f t="shared" si="3"/>
        <v>Město Police nad Metují - pečovatelská služba</v>
      </c>
      <c r="E355" s="315" t="str">
        <f t="shared" si="4"/>
        <v>Město Police nad Metují</v>
      </c>
      <c r="F355" s="313">
        <f t="shared" si="5"/>
        <v>1514566</v>
      </c>
      <c r="G355" s="313"/>
      <c r="H355" s="313"/>
      <c r="I355" s="313"/>
      <c r="J355" s="313"/>
      <c r="K355" s="313"/>
      <c r="L355" s="313"/>
      <c r="M355" s="313"/>
      <c r="N355" s="313"/>
      <c r="O355" s="313"/>
      <c r="P355" s="313"/>
      <c r="Q355" s="313"/>
      <c r="R355" s="313"/>
      <c r="S355" s="313"/>
      <c r="T355" s="313">
        <f t="shared" si="6"/>
        <v>5.5</v>
      </c>
      <c r="U355" s="313">
        <f t="shared" si="6"/>
        <v>1.5</v>
      </c>
      <c r="V355" s="313">
        <f t="shared" si="6"/>
        <v>4</v>
      </c>
      <c r="W355" s="313">
        <f t="shared" si="6"/>
        <v>0</v>
      </c>
      <c r="X355" s="313">
        <f t="shared" si="6"/>
        <v>0</v>
      </c>
      <c r="Y355" s="313">
        <f t="shared" si="6"/>
        <v>0</v>
      </c>
      <c r="Z355" s="313">
        <f t="shared" si="6"/>
        <v>50</v>
      </c>
      <c r="AA355" s="313">
        <f t="shared" si="6"/>
        <v>0</v>
      </c>
      <c r="AB355" s="313">
        <f t="shared" si="6"/>
        <v>0</v>
      </c>
      <c r="AD355" s="313">
        <f t="shared" si="0"/>
        <v>5.5</v>
      </c>
      <c r="AE355" s="313">
        <f t="shared" si="0"/>
        <v>1.5</v>
      </c>
      <c r="AF355" s="313">
        <f t="shared" si="0"/>
        <v>4</v>
      </c>
      <c r="AG355" s="313">
        <f t="shared" si="0"/>
        <v>0</v>
      </c>
      <c r="AH355" s="313">
        <f t="shared" si="0"/>
        <v>0</v>
      </c>
      <c r="AI355" s="313">
        <f t="shared" si="0"/>
        <v>0</v>
      </c>
      <c r="AJ355" s="313">
        <f t="shared" si="0"/>
        <v>0</v>
      </c>
      <c r="AL355" s="314">
        <f t="shared" si="0"/>
        <v>3037969.0059990073</v>
      </c>
      <c r="AM355" s="314">
        <f t="shared" si="0"/>
        <v>0</v>
      </c>
      <c r="AN355" s="314">
        <f t="shared" si="0"/>
        <v>230123.1078192573</v>
      </c>
      <c r="AO355" s="314">
        <f t="shared" si="0"/>
        <v>0</v>
      </c>
      <c r="AP355" s="314">
        <f t="shared" si="0"/>
        <v>3268092.1138182646</v>
      </c>
      <c r="AR355" s="314">
        <f t="shared" si="0"/>
        <v>555020.9411764706</v>
      </c>
      <c r="AS355" s="314">
        <f t="shared" si="0"/>
        <v>0</v>
      </c>
      <c r="AT355" s="314">
        <f t="shared" si="0"/>
        <v>0</v>
      </c>
      <c r="AU355" s="314">
        <f t="shared" si="7"/>
        <v>0</v>
      </c>
      <c r="AV355" s="314">
        <f t="shared" si="1"/>
        <v>555020.9411764706</v>
      </c>
      <c r="AW355" s="314">
        <f t="shared" si="1"/>
        <v>2713071.1726417942</v>
      </c>
    </row>
    <row r="356" spans="1:49" x14ac:dyDescent="0.25">
      <c r="A356" s="311">
        <v>1537615</v>
      </c>
      <c r="B356" s="311"/>
      <c r="C356" s="315" t="str">
        <f t="shared" si="2"/>
        <v>NZO</v>
      </c>
      <c r="D356" s="315" t="str">
        <f t="shared" si="3"/>
        <v>Centrum terénních programů Královéhradeckého kraje</v>
      </c>
      <c r="E356" s="315" t="str">
        <f t="shared" si="4"/>
        <v>Laxus z.ú.</v>
      </c>
      <c r="F356" s="313">
        <f t="shared" si="5"/>
        <v>1537615</v>
      </c>
      <c r="G356" s="313"/>
      <c r="H356" s="313"/>
      <c r="I356" s="313"/>
      <c r="J356" s="313"/>
      <c r="K356" s="313"/>
      <c r="L356" s="313"/>
      <c r="M356" s="313"/>
      <c r="N356" s="313"/>
      <c r="O356" s="313"/>
      <c r="P356" s="313"/>
      <c r="Q356" s="313"/>
      <c r="R356" s="313"/>
      <c r="S356" s="313"/>
      <c r="T356" s="313">
        <f t="shared" si="6"/>
        <v>5.75</v>
      </c>
      <c r="U356" s="313">
        <f t="shared" si="6"/>
        <v>5.75</v>
      </c>
      <c r="V356" s="313">
        <f t="shared" si="6"/>
        <v>0</v>
      </c>
      <c r="W356" s="313">
        <f t="shared" si="6"/>
        <v>0</v>
      </c>
      <c r="X356" s="313">
        <f t="shared" si="6"/>
        <v>0</v>
      </c>
      <c r="Y356" s="313">
        <f t="shared" si="6"/>
        <v>0</v>
      </c>
      <c r="Z356" s="313">
        <f t="shared" si="6"/>
        <v>80</v>
      </c>
      <c r="AA356" s="313">
        <f t="shared" si="6"/>
        <v>0</v>
      </c>
      <c r="AB356" s="313">
        <f t="shared" si="6"/>
        <v>0</v>
      </c>
      <c r="AD356" s="313">
        <f t="shared" si="0"/>
        <v>5.75</v>
      </c>
      <c r="AE356" s="313">
        <f t="shared" si="0"/>
        <v>5.75</v>
      </c>
      <c r="AF356" s="313">
        <f t="shared" si="0"/>
        <v>0</v>
      </c>
      <c r="AG356" s="313">
        <f t="shared" si="0"/>
        <v>0</v>
      </c>
      <c r="AH356" s="313">
        <f t="shared" si="0"/>
        <v>0</v>
      </c>
      <c r="AI356" s="313">
        <f t="shared" si="0"/>
        <v>0</v>
      </c>
      <c r="AJ356" s="313">
        <f t="shared" si="0"/>
        <v>0</v>
      </c>
      <c r="AL356" s="314">
        <f t="shared" si="0"/>
        <v>3458154.4554418596</v>
      </c>
      <c r="AM356" s="314">
        <f t="shared" si="0"/>
        <v>0</v>
      </c>
      <c r="AN356" s="314">
        <f t="shared" si="0"/>
        <v>177535.29475228727</v>
      </c>
      <c r="AO356" s="314">
        <f t="shared" si="0"/>
        <v>0</v>
      </c>
      <c r="AP356" s="314">
        <f t="shared" si="0"/>
        <v>3635689.7501941472</v>
      </c>
      <c r="AR356" s="314">
        <f t="shared" si="0"/>
        <v>0</v>
      </c>
      <c r="AS356" s="314">
        <f t="shared" si="0"/>
        <v>0</v>
      </c>
      <c r="AT356" s="314">
        <f t="shared" si="0"/>
        <v>0</v>
      </c>
      <c r="AU356" s="314">
        <f t="shared" si="7"/>
        <v>0</v>
      </c>
      <c r="AV356" s="314">
        <f t="shared" si="1"/>
        <v>0</v>
      </c>
      <c r="AW356" s="314">
        <f t="shared" si="1"/>
        <v>3635689.7501941472</v>
      </c>
    </row>
    <row r="357" spans="1:49" x14ac:dyDescent="0.25">
      <c r="A357" s="311">
        <v>1546097</v>
      </c>
      <c r="B357" s="311"/>
      <c r="C357" s="315" t="str">
        <f t="shared" si="2"/>
        <v>PO KHK</v>
      </c>
      <c r="D357" s="315" t="str">
        <f t="shared" si="3"/>
        <v>Ústav sociální péče pro mládež DOMEČKY</v>
      </c>
      <c r="E357" s="315" t="str">
        <f t="shared" si="4"/>
        <v>Ústav sociální péče pro mládež DOMEČKY</v>
      </c>
      <c r="F357" s="313">
        <f t="shared" si="5"/>
        <v>1546097</v>
      </c>
      <c r="G357" s="313"/>
      <c r="H357" s="313"/>
      <c r="I357" s="313"/>
      <c r="J357" s="313"/>
      <c r="K357" s="313"/>
      <c r="L357" s="313"/>
      <c r="M357" s="313"/>
      <c r="N357" s="313"/>
      <c r="O357" s="313"/>
      <c r="P357" s="313"/>
      <c r="Q357" s="313"/>
      <c r="R357" s="313"/>
      <c r="S357" s="313"/>
      <c r="T357" s="313">
        <f t="shared" si="6"/>
        <v>62.37</v>
      </c>
      <c r="U357" s="313">
        <f t="shared" si="6"/>
        <v>2.4</v>
      </c>
      <c r="V357" s="313">
        <f t="shared" si="6"/>
        <v>51.69</v>
      </c>
      <c r="W357" s="313">
        <f t="shared" si="6"/>
        <v>8.2799999999999994</v>
      </c>
      <c r="X357" s="313">
        <f t="shared" si="6"/>
        <v>0</v>
      </c>
      <c r="Y357" s="313">
        <f t="shared" si="6"/>
        <v>100</v>
      </c>
      <c r="Z357" s="313">
        <f t="shared" si="6"/>
        <v>0</v>
      </c>
      <c r="AA357" s="313">
        <f t="shared" si="6"/>
        <v>0</v>
      </c>
      <c r="AB357" s="313">
        <f t="shared" si="6"/>
        <v>0</v>
      </c>
      <c r="AD357" s="313">
        <f t="shared" si="0"/>
        <v>62.37</v>
      </c>
      <c r="AE357" s="313">
        <f t="shared" si="0"/>
        <v>2.4</v>
      </c>
      <c r="AF357" s="313">
        <f t="shared" si="0"/>
        <v>51.69</v>
      </c>
      <c r="AG357" s="313">
        <f t="shared" si="0"/>
        <v>8.2799999999999994</v>
      </c>
      <c r="AH357" s="313">
        <f t="shared" si="0"/>
        <v>0</v>
      </c>
      <c r="AI357" s="313">
        <f t="shared" si="0"/>
        <v>100</v>
      </c>
      <c r="AJ357" s="313">
        <f t="shared" si="0"/>
        <v>0</v>
      </c>
      <c r="AL357" s="314">
        <f t="shared" si="0"/>
        <v>34590961.845927693</v>
      </c>
      <c r="AM357" s="314">
        <f t="shared" si="0"/>
        <v>6718640.1341252076</v>
      </c>
      <c r="AN357" s="314">
        <f t="shared" si="0"/>
        <v>10204898.562021578</v>
      </c>
      <c r="AO357" s="314">
        <f t="shared" si="0"/>
        <v>6554900.3697491847</v>
      </c>
      <c r="AP357" s="314">
        <f t="shared" si="0"/>
        <v>58069400.91182366</v>
      </c>
      <c r="AR357" s="314">
        <f t="shared" si="0"/>
        <v>10612035.588235294</v>
      </c>
      <c r="AS357" s="314">
        <f t="shared" si="0"/>
        <v>2634972.5490196077</v>
      </c>
      <c r="AT357" s="314">
        <f t="shared" si="0"/>
        <v>4783526.3157894742</v>
      </c>
      <c r="AU357" s="314">
        <f t="shared" si="7"/>
        <v>4526965</v>
      </c>
      <c r="AV357" s="314">
        <f t="shared" si="1"/>
        <v>22557499.453044377</v>
      </c>
      <c r="AW357" s="314">
        <f t="shared" si="1"/>
        <v>35511901.458779283</v>
      </c>
    </row>
    <row r="358" spans="1:49" x14ac:dyDescent="0.25">
      <c r="A358" s="311">
        <v>1552469</v>
      </c>
      <c r="B358" s="311"/>
      <c r="C358" s="315" t="str">
        <f t="shared" si="2"/>
        <v>NZO</v>
      </c>
      <c r="D358" s="315" t="str">
        <f t="shared" si="3"/>
        <v>Tréninková pekárna Láry Fáry</v>
      </c>
      <c r="E358" s="315" t="str">
        <f t="shared" si="4"/>
        <v>PFERDA z.ú.</v>
      </c>
      <c r="F358" s="313">
        <f t="shared" si="5"/>
        <v>1552469</v>
      </c>
      <c r="G358" s="313"/>
      <c r="H358" s="313"/>
      <c r="I358" s="313"/>
      <c r="J358" s="313"/>
      <c r="K358" s="313"/>
      <c r="L358" s="313"/>
      <c r="M358" s="313"/>
      <c r="N358" s="313"/>
      <c r="O358" s="313"/>
      <c r="P358" s="313"/>
      <c r="Q358" s="313"/>
      <c r="R358" s="313"/>
      <c r="S358" s="313"/>
      <c r="T358" s="313">
        <f t="shared" si="6"/>
        <v>1.62</v>
      </c>
      <c r="U358" s="313">
        <f t="shared" si="6"/>
        <v>0.7</v>
      </c>
      <c r="V358" s="313">
        <f t="shared" si="6"/>
        <v>0.92</v>
      </c>
      <c r="W358" s="313">
        <f t="shared" si="6"/>
        <v>0</v>
      </c>
      <c r="X358" s="313">
        <f t="shared" si="6"/>
        <v>0</v>
      </c>
      <c r="Y358" s="313">
        <f t="shared" si="6"/>
        <v>0</v>
      </c>
      <c r="Z358" s="313">
        <f t="shared" si="6"/>
        <v>0</v>
      </c>
      <c r="AA358" s="313">
        <f t="shared" si="6"/>
        <v>3</v>
      </c>
      <c r="AB358" s="313">
        <f t="shared" si="6"/>
        <v>0</v>
      </c>
      <c r="AD358" s="313">
        <f t="shared" si="0"/>
        <v>1.62</v>
      </c>
      <c r="AE358" s="313">
        <f t="shared" si="0"/>
        <v>0.7</v>
      </c>
      <c r="AF358" s="313">
        <f t="shared" si="0"/>
        <v>0.92</v>
      </c>
      <c r="AG358" s="313">
        <f t="shared" si="0"/>
        <v>0</v>
      </c>
      <c r="AH358" s="313">
        <f t="shared" si="0"/>
        <v>0</v>
      </c>
      <c r="AI358" s="313">
        <f t="shared" si="0"/>
        <v>0</v>
      </c>
      <c r="AJ358" s="313">
        <f t="shared" si="0"/>
        <v>3</v>
      </c>
      <c r="AL358" s="314">
        <f t="shared" si="0"/>
        <v>962829.19312270987</v>
      </c>
      <c r="AM358" s="314">
        <f t="shared" si="0"/>
        <v>0</v>
      </c>
      <c r="AN358" s="314">
        <f t="shared" si="0"/>
        <v>129835.58096037894</v>
      </c>
      <c r="AO358" s="314">
        <f t="shared" si="0"/>
        <v>0</v>
      </c>
      <c r="AP358" s="314">
        <f t="shared" si="0"/>
        <v>1092664.7740830889</v>
      </c>
      <c r="AR358" s="314">
        <f t="shared" si="0"/>
        <v>0</v>
      </c>
      <c r="AS358" s="314">
        <f t="shared" si="0"/>
        <v>0</v>
      </c>
      <c r="AT358" s="314">
        <f t="shared" si="0"/>
        <v>0</v>
      </c>
      <c r="AU358" s="314">
        <f t="shared" si="7"/>
        <v>0</v>
      </c>
      <c r="AV358" s="314">
        <f t="shared" si="1"/>
        <v>0</v>
      </c>
      <c r="AW358" s="314">
        <f t="shared" si="1"/>
        <v>1092664.7740830889</v>
      </c>
    </row>
    <row r="359" spans="1:49" x14ac:dyDescent="0.25">
      <c r="A359" s="311">
        <v>1567065</v>
      </c>
      <c r="B359" s="311"/>
      <c r="C359" s="315" t="str">
        <f t="shared" si="2"/>
        <v>NZO</v>
      </c>
      <c r="D359" s="315" t="str">
        <f t="shared" si="3"/>
        <v>Denní centrum pro seniory</v>
      </c>
      <c r="E359" s="315" t="str">
        <f t="shared" si="4"/>
        <v>Diakonie ČCE - středisko ve Dvoře Králové nad Labem</v>
      </c>
      <c r="F359" s="313">
        <f t="shared" si="5"/>
        <v>1567065</v>
      </c>
      <c r="G359" s="313"/>
      <c r="H359" s="313"/>
      <c r="I359" s="313"/>
      <c r="J359" s="313"/>
      <c r="K359" s="313"/>
      <c r="L359" s="313"/>
      <c r="M359" s="313"/>
      <c r="N359" s="313"/>
      <c r="O359" s="313"/>
      <c r="P359" s="313"/>
      <c r="Q359" s="313"/>
      <c r="R359" s="313"/>
      <c r="S359" s="313"/>
      <c r="T359" s="313">
        <f t="shared" si="6"/>
        <v>1.7</v>
      </c>
      <c r="U359" s="313">
        <f t="shared" si="6"/>
        <v>0.1</v>
      </c>
      <c r="V359" s="313">
        <f t="shared" si="6"/>
        <v>1.6</v>
      </c>
      <c r="W359" s="313">
        <f t="shared" si="6"/>
        <v>0</v>
      </c>
      <c r="X359" s="313">
        <f t="shared" si="6"/>
        <v>0</v>
      </c>
      <c r="Y359" s="313">
        <f t="shared" si="6"/>
        <v>0</v>
      </c>
      <c r="Z359" s="313">
        <f t="shared" si="6"/>
        <v>0</v>
      </c>
      <c r="AA359" s="313">
        <f t="shared" si="6"/>
        <v>10</v>
      </c>
      <c r="AB359" s="313">
        <f t="shared" si="6"/>
        <v>0</v>
      </c>
      <c r="AD359" s="313">
        <f t="shared" ref="AD359:AJ366" si="8">SUMIFS(AD$4:AD$337,$A$4:$A$337,$A359)</f>
        <v>1.7</v>
      </c>
      <c r="AE359" s="313">
        <f t="shared" si="8"/>
        <v>0.1</v>
      </c>
      <c r="AF359" s="313">
        <f t="shared" si="8"/>
        <v>1.6</v>
      </c>
      <c r="AG359" s="313">
        <f t="shared" si="8"/>
        <v>0</v>
      </c>
      <c r="AH359" s="313">
        <f t="shared" si="8"/>
        <v>0</v>
      </c>
      <c r="AI359" s="313">
        <f t="shared" si="8"/>
        <v>0</v>
      </c>
      <c r="AJ359" s="313">
        <f t="shared" si="8"/>
        <v>10</v>
      </c>
      <c r="AL359" s="314">
        <f t="shared" ref="AL359:AU397" si="9">SUMIFS(AL$4:AL$337,$A$4:$A$337,$A359)</f>
        <v>1211770.0685759482</v>
      </c>
      <c r="AM359" s="314">
        <f t="shared" si="9"/>
        <v>0</v>
      </c>
      <c r="AN359" s="314">
        <f t="shared" si="9"/>
        <v>270950.73563117511</v>
      </c>
      <c r="AO359" s="314">
        <f t="shared" si="9"/>
        <v>52980.56889244201</v>
      </c>
      <c r="AP359" s="314">
        <f t="shared" si="9"/>
        <v>1535701.3730995653</v>
      </c>
      <c r="AR359" s="314">
        <f t="shared" si="9"/>
        <v>215829.54248366013</v>
      </c>
      <c r="AS359" s="314">
        <f t="shared" si="9"/>
        <v>0</v>
      </c>
      <c r="AT359" s="314">
        <f t="shared" si="9"/>
        <v>0</v>
      </c>
      <c r="AU359" s="314">
        <f t="shared" si="9"/>
        <v>54523.076923076922</v>
      </c>
      <c r="AV359" s="314">
        <f t="shared" si="1"/>
        <v>270352.61940673704</v>
      </c>
      <c r="AW359" s="314">
        <f t="shared" si="1"/>
        <v>1265348.7536928281</v>
      </c>
    </row>
    <row r="360" spans="1:49" x14ac:dyDescent="0.25">
      <c r="A360" s="311">
        <v>1576566</v>
      </c>
      <c r="B360" s="311"/>
      <c r="C360" s="315" t="str">
        <f t="shared" si="2"/>
        <v>PO KHK</v>
      </c>
      <c r="D360" s="315" t="str">
        <f t="shared" si="3"/>
        <v>Domov V Podzámčí</v>
      </c>
      <c r="E360" s="315" t="str">
        <f t="shared" si="4"/>
        <v>Domov V Podzámčí</v>
      </c>
      <c r="F360" s="313">
        <f t="shared" si="5"/>
        <v>1576566</v>
      </c>
      <c r="G360" s="313"/>
      <c r="H360" s="313"/>
      <c r="I360" s="313"/>
      <c r="J360" s="313"/>
      <c r="K360" s="313"/>
      <c r="L360" s="313"/>
      <c r="M360" s="313"/>
      <c r="N360" s="313"/>
      <c r="O360" s="313"/>
      <c r="P360" s="313"/>
      <c r="Q360" s="313"/>
      <c r="R360" s="313"/>
      <c r="S360" s="313"/>
      <c r="T360" s="313">
        <f t="shared" si="6"/>
        <v>3.4</v>
      </c>
      <c r="U360" s="313">
        <f t="shared" si="6"/>
        <v>0.4</v>
      </c>
      <c r="V360" s="313">
        <f t="shared" si="6"/>
        <v>3</v>
      </c>
      <c r="W360" s="313">
        <f t="shared" si="6"/>
        <v>0</v>
      </c>
      <c r="X360" s="313">
        <f t="shared" si="6"/>
        <v>0</v>
      </c>
      <c r="Y360" s="313">
        <f t="shared" si="6"/>
        <v>8</v>
      </c>
      <c r="Z360" s="313">
        <f t="shared" si="6"/>
        <v>0</v>
      </c>
      <c r="AA360" s="313">
        <f t="shared" si="6"/>
        <v>0</v>
      </c>
      <c r="AB360" s="313">
        <f t="shared" si="6"/>
        <v>0</v>
      </c>
      <c r="AD360" s="313">
        <f t="shared" si="8"/>
        <v>3.4</v>
      </c>
      <c r="AE360" s="313">
        <f t="shared" si="8"/>
        <v>0.4</v>
      </c>
      <c r="AF360" s="313">
        <f t="shared" si="8"/>
        <v>3</v>
      </c>
      <c r="AG360" s="313">
        <f t="shared" si="8"/>
        <v>0</v>
      </c>
      <c r="AH360" s="313">
        <f t="shared" si="8"/>
        <v>0</v>
      </c>
      <c r="AI360" s="313">
        <f t="shared" si="8"/>
        <v>8</v>
      </c>
      <c r="AJ360" s="313">
        <f t="shared" si="8"/>
        <v>0</v>
      </c>
      <c r="AL360" s="314">
        <f t="shared" si="9"/>
        <v>2188067.4099139501</v>
      </c>
      <c r="AM360" s="314">
        <f t="shared" si="9"/>
        <v>0</v>
      </c>
      <c r="AN360" s="314">
        <f t="shared" si="9"/>
        <v>442628.61752516258</v>
      </c>
      <c r="AO360" s="314">
        <f t="shared" si="9"/>
        <v>146257.781067809</v>
      </c>
      <c r="AP360" s="314">
        <f t="shared" si="9"/>
        <v>2776953.8085069219</v>
      </c>
      <c r="AR360" s="314">
        <f t="shared" si="9"/>
        <v>245911.18298969074</v>
      </c>
      <c r="AS360" s="314">
        <f t="shared" si="9"/>
        <v>0</v>
      </c>
      <c r="AT360" s="314">
        <f t="shared" si="9"/>
        <v>346258.16000000003</v>
      </c>
      <c r="AU360" s="314">
        <f t="shared" si="9"/>
        <v>150451.5</v>
      </c>
      <c r="AV360" s="314">
        <f t="shared" si="1"/>
        <v>742620.84298969083</v>
      </c>
      <c r="AW360" s="314">
        <f t="shared" si="1"/>
        <v>2034332.965517231</v>
      </c>
    </row>
    <row r="361" spans="1:49" x14ac:dyDescent="0.25">
      <c r="A361" s="311">
        <v>1622964</v>
      </c>
      <c r="B361" s="311"/>
      <c r="C361" s="315" t="str">
        <f t="shared" si="2"/>
        <v>NZO</v>
      </c>
      <c r="D361" s="315" t="str">
        <f t="shared" si="3"/>
        <v>Odlehčovací služba</v>
      </c>
      <c r="E361" s="315" t="str">
        <f t="shared" si="4"/>
        <v>Stacionář Cesta Náchod z.ú.</v>
      </c>
      <c r="F361" s="313">
        <f t="shared" si="5"/>
        <v>1622964</v>
      </c>
      <c r="G361" s="313"/>
      <c r="H361" s="313"/>
      <c r="I361" s="313"/>
      <c r="J361" s="313"/>
      <c r="K361" s="313"/>
      <c r="L361" s="313"/>
      <c r="M361" s="313"/>
      <c r="N361" s="313"/>
      <c r="O361" s="313"/>
      <c r="P361" s="313"/>
      <c r="Q361" s="313"/>
      <c r="R361" s="313"/>
      <c r="S361" s="313"/>
      <c r="T361" s="313">
        <f t="shared" si="6"/>
        <v>6.75</v>
      </c>
      <c r="U361" s="313">
        <f t="shared" si="6"/>
        <v>0.5</v>
      </c>
      <c r="V361" s="313">
        <f t="shared" si="6"/>
        <v>6.25</v>
      </c>
      <c r="W361" s="313">
        <f t="shared" si="6"/>
        <v>0</v>
      </c>
      <c r="X361" s="313">
        <f t="shared" si="6"/>
        <v>0</v>
      </c>
      <c r="Y361" s="313">
        <f t="shared" si="6"/>
        <v>5</v>
      </c>
      <c r="Z361" s="313">
        <f t="shared" si="6"/>
        <v>0</v>
      </c>
      <c r="AA361" s="313">
        <f t="shared" si="6"/>
        <v>5</v>
      </c>
      <c r="AB361" s="313">
        <f t="shared" si="6"/>
        <v>0</v>
      </c>
      <c r="AD361" s="313">
        <f t="shared" si="8"/>
        <v>6.75</v>
      </c>
      <c r="AE361" s="313">
        <f t="shared" si="8"/>
        <v>0.5</v>
      </c>
      <c r="AF361" s="313">
        <f t="shared" si="8"/>
        <v>6.25</v>
      </c>
      <c r="AG361" s="313">
        <f t="shared" si="8"/>
        <v>0</v>
      </c>
      <c r="AH361" s="313">
        <f t="shared" si="8"/>
        <v>0</v>
      </c>
      <c r="AI361" s="313">
        <f t="shared" si="8"/>
        <v>5</v>
      </c>
      <c r="AJ361" s="313">
        <f t="shared" si="8"/>
        <v>5</v>
      </c>
      <c r="AL361" s="314">
        <f t="shared" si="9"/>
        <v>3808680.0448794067</v>
      </c>
      <c r="AM361" s="314">
        <f t="shared" si="9"/>
        <v>0</v>
      </c>
      <c r="AN361" s="314">
        <f t="shared" si="9"/>
        <v>273911.29043854913</v>
      </c>
      <c r="AO361" s="314">
        <f t="shared" si="9"/>
        <v>150113.52411249978</v>
      </c>
      <c r="AP361" s="314">
        <f t="shared" si="9"/>
        <v>4232704.8594304556</v>
      </c>
      <c r="AR361" s="314">
        <f t="shared" si="9"/>
        <v>796127.00796983344</v>
      </c>
      <c r="AS361" s="314">
        <f t="shared" si="9"/>
        <v>0</v>
      </c>
      <c r="AT361" s="314">
        <f t="shared" si="9"/>
        <v>192276.5625</v>
      </c>
      <c r="AU361" s="314">
        <f t="shared" si="9"/>
        <v>119477.25</v>
      </c>
      <c r="AV361" s="314">
        <f t="shared" si="1"/>
        <v>1107880.8204698334</v>
      </c>
      <c r="AW361" s="314">
        <f t="shared" si="1"/>
        <v>3124824.0389606222</v>
      </c>
    </row>
    <row r="362" spans="1:49" x14ac:dyDescent="0.25">
      <c r="A362" s="311">
        <v>1642854</v>
      </c>
      <c r="B362" s="311"/>
      <c r="C362" s="315" t="str">
        <f t="shared" si="2"/>
        <v>Obce</v>
      </c>
      <c r="D362" s="315" t="str">
        <f t="shared" si="3"/>
        <v>Sociální služby města Hořice</v>
      </c>
      <c r="E362" s="315" t="str">
        <f t="shared" si="4"/>
        <v>Sociální služby města Hořice</v>
      </c>
      <c r="F362" s="313">
        <f t="shared" si="5"/>
        <v>1642854</v>
      </c>
      <c r="G362" s="313"/>
      <c r="H362" s="313"/>
      <c r="I362" s="313"/>
      <c r="J362" s="313"/>
      <c r="K362" s="313"/>
      <c r="L362" s="313"/>
      <c r="M362" s="313"/>
      <c r="N362" s="313"/>
      <c r="O362" s="313"/>
      <c r="P362" s="313"/>
      <c r="Q362" s="313"/>
      <c r="R362" s="313"/>
      <c r="S362" s="313"/>
      <c r="T362" s="313">
        <f t="shared" si="6"/>
        <v>24.5</v>
      </c>
      <c r="U362" s="313">
        <f t="shared" si="6"/>
        <v>1</v>
      </c>
      <c r="V362" s="313">
        <f t="shared" si="6"/>
        <v>20</v>
      </c>
      <c r="W362" s="313">
        <f t="shared" si="6"/>
        <v>3.5</v>
      </c>
      <c r="X362" s="313">
        <f t="shared" si="6"/>
        <v>0</v>
      </c>
      <c r="Y362" s="313">
        <f t="shared" si="6"/>
        <v>50</v>
      </c>
      <c r="Z362" s="313">
        <f t="shared" si="6"/>
        <v>0</v>
      </c>
      <c r="AA362" s="313">
        <f t="shared" si="6"/>
        <v>0</v>
      </c>
      <c r="AB362" s="313">
        <f t="shared" si="6"/>
        <v>0</v>
      </c>
      <c r="AD362" s="313">
        <f t="shared" si="8"/>
        <v>24.5</v>
      </c>
      <c r="AE362" s="313">
        <f t="shared" si="8"/>
        <v>1</v>
      </c>
      <c r="AF362" s="313">
        <f t="shared" si="8"/>
        <v>20</v>
      </c>
      <c r="AG362" s="313">
        <f t="shared" si="8"/>
        <v>3.5</v>
      </c>
      <c r="AH362" s="313">
        <f t="shared" si="8"/>
        <v>0</v>
      </c>
      <c r="AI362" s="313">
        <f t="shared" si="8"/>
        <v>50</v>
      </c>
      <c r="AJ362" s="313">
        <f t="shared" si="8"/>
        <v>0</v>
      </c>
      <c r="AL362" s="314">
        <f t="shared" si="9"/>
        <v>13400689.904549815</v>
      </c>
      <c r="AM362" s="314">
        <f t="shared" si="9"/>
        <v>2829214.8012146228</v>
      </c>
      <c r="AN362" s="314">
        <f t="shared" si="9"/>
        <v>4826045.7545211343</v>
      </c>
      <c r="AO362" s="314">
        <f t="shared" si="9"/>
        <v>3254372.9635840319</v>
      </c>
      <c r="AP362" s="314">
        <f t="shared" si="9"/>
        <v>24310323.423869602</v>
      </c>
      <c r="AR362" s="314">
        <f t="shared" si="9"/>
        <v>6003411</v>
      </c>
      <c r="AS362" s="314">
        <f t="shared" si="9"/>
        <v>1124104.8125</v>
      </c>
      <c r="AT362" s="314">
        <f t="shared" si="9"/>
        <v>3322091.3793103448</v>
      </c>
      <c r="AU362" s="314">
        <f t="shared" si="9"/>
        <v>2550067.5</v>
      </c>
      <c r="AV362" s="314">
        <f t="shared" si="1"/>
        <v>12999674.691810345</v>
      </c>
      <c r="AW362" s="314">
        <f t="shared" si="1"/>
        <v>11310648.732059257</v>
      </c>
    </row>
    <row r="363" spans="1:49" x14ac:dyDescent="0.25">
      <c r="A363" s="311">
        <v>1647194</v>
      </c>
      <c r="B363" s="311"/>
      <c r="C363" s="315" t="str">
        <f t="shared" si="2"/>
        <v>Obce</v>
      </c>
      <c r="D363" s="315" t="str">
        <f t="shared" si="3"/>
        <v>Město Dobruška Pečovatelská služba</v>
      </c>
      <c r="E363" s="315" t="str">
        <f t="shared" si="4"/>
        <v>Město Dobruška</v>
      </c>
      <c r="F363" s="313">
        <f t="shared" si="5"/>
        <v>1647194</v>
      </c>
      <c r="G363" s="313"/>
      <c r="H363" s="313"/>
      <c r="I363" s="313"/>
      <c r="J363" s="313"/>
      <c r="K363" s="313"/>
      <c r="L363" s="313"/>
      <c r="M363" s="313"/>
      <c r="N363" s="313"/>
      <c r="O363" s="313"/>
      <c r="P363" s="313"/>
      <c r="Q363" s="313"/>
      <c r="R363" s="313"/>
      <c r="S363" s="313"/>
      <c r="T363" s="313">
        <f t="shared" si="6"/>
        <v>5.2</v>
      </c>
      <c r="U363" s="313">
        <f t="shared" si="6"/>
        <v>1</v>
      </c>
      <c r="V363" s="313">
        <f t="shared" si="6"/>
        <v>4.2</v>
      </c>
      <c r="W363" s="313">
        <f t="shared" si="6"/>
        <v>0</v>
      </c>
      <c r="X363" s="313">
        <f t="shared" si="6"/>
        <v>0</v>
      </c>
      <c r="Y363" s="313">
        <f t="shared" si="6"/>
        <v>0</v>
      </c>
      <c r="Z363" s="313">
        <f t="shared" si="6"/>
        <v>50</v>
      </c>
      <c r="AA363" s="313">
        <f t="shared" si="6"/>
        <v>0</v>
      </c>
      <c r="AB363" s="313">
        <f t="shared" si="6"/>
        <v>0</v>
      </c>
      <c r="AD363" s="313">
        <f t="shared" si="8"/>
        <v>5.2</v>
      </c>
      <c r="AE363" s="313">
        <f t="shared" si="8"/>
        <v>1</v>
      </c>
      <c r="AF363" s="313">
        <f t="shared" si="8"/>
        <v>4.2</v>
      </c>
      <c r="AG363" s="313">
        <f t="shared" si="8"/>
        <v>0</v>
      </c>
      <c r="AH363" s="313">
        <f t="shared" si="8"/>
        <v>0</v>
      </c>
      <c r="AI363" s="313">
        <f t="shared" si="8"/>
        <v>0</v>
      </c>
      <c r="AJ363" s="313">
        <f t="shared" si="8"/>
        <v>0</v>
      </c>
      <c r="AL363" s="314">
        <f t="shared" si="9"/>
        <v>2872261.6056717886</v>
      </c>
      <c r="AM363" s="314">
        <f t="shared" si="9"/>
        <v>0</v>
      </c>
      <c r="AN363" s="314">
        <f t="shared" si="9"/>
        <v>217570.9383018433</v>
      </c>
      <c r="AO363" s="314">
        <f t="shared" si="9"/>
        <v>0</v>
      </c>
      <c r="AP363" s="314">
        <f t="shared" si="9"/>
        <v>3089832.5439736317</v>
      </c>
      <c r="AR363" s="314">
        <f t="shared" si="9"/>
        <v>582771.98823529412</v>
      </c>
      <c r="AS363" s="314">
        <f t="shared" si="9"/>
        <v>0</v>
      </c>
      <c r="AT363" s="314">
        <f t="shared" si="9"/>
        <v>0</v>
      </c>
      <c r="AU363" s="314">
        <f t="shared" si="9"/>
        <v>0</v>
      </c>
      <c r="AV363" s="314">
        <f t="shared" si="1"/>
        <v>582771.98823529412</v>
      </c>
      <c r="AW363" s="314">
        <f t="shared" si="1"/>
        <v>2507060.5557383373</v>
      </c>
    </row>
    <row r="364" spans="1:49" x14ac:dyDescent="0.25">
      <c r="A364" s="311">
        <v>1665958</v>
      </c>
      <c r="B364" s="311"/>
      <c r="C364" s="315" t="str">
        <f t="shared" si="2"/>
        <v>KHK</v>
      </c>
      <c r="D364" s="315" t="str">
        <f t="shared" si="3"/>
        <v>Domov důchodců Mlázovice</v>
      </c>
      <c r="E364" s="315" t="str">
        <f t="shared" si="4"/>
        <v>Domov důchodců Mlázovice</v>
      </c>
      <c r="F364" s="313">
        <f t="shared" si="5"/>
        <v>1665958</v>
      </c>
      <c r="G364" s="313"/>
      <c r="H364" s="313"/>
      <c r="I364" s="313"/>
      <c r="J364" s="313"/>
      <c r="K364" s="313"/>
      <c r="L364" s="313"/>
      <c r="M364" s="313"/>
      <c r="N364" s="313"/>
      <c r="O364" s="313"/>
      <c r="P364" s="313"/>
      <c r="Q364" s="313"/>
      <c r="R364" s="313"/>
      <c r="S364" s="313"/>
      <c r="T364" s="313">
        <f t="shared" si="6"/>
        <v>20</v>
      </c>
      <c r="U364" s="313">
        <f t="shared" si="6"/>
        <v>1</v>
      </c>
      <c r="V364" s="313">
        <f t="shared" si="6"/>
        <v>13</v>
      </c>
      <c r="W364" s="313">
        <f t="shared" si="6"/>
        <v>6</v>
      </c>
      <c r="X364" s="313">
        <f t="shared" si="6"/>
        <v>0</v>
      </c>
      <c r="Y364" s="313">
        <f t="shared" si="6"/>
        <v>55</v>
      </c>
      <c r="Z364" s="313">
        <f t="shared" si="6"/>
        <v>0</v>
      </c>
      <c r="AA364" s="313">
        <f t="shared" si="6"/>
        <v>0</v>
      </c>
      <c r="AB364" s="313">
        <f t="shared" si="6"/>
        <v>0</v>
      </c>
      <c r="AD364" s="313">
        <f t="shared" si="8"/>
        <v>20</v>
      </c>
      <c r="AE364" s="313">
        <f t="shared" si="8"/>
        <v>1</v>
      </c>
      <c r="AF364" s="313">
        <f t="shared" si="8"/>
        <v>13</v>
      </c>
      <c r="AG364" s="313">
        <f t="shared" si="8"/>
        <v>6</v>
      </c>
      <c r="AH364" s="313">
        <f t="shared" si="8"/>
        <v>0</v>
      </c>
      <c r="AI364" s="313">
        <f t="shared" si="8"/>
        <v>55</v>
      </c>
      <c r="AJ364" s="313">
        <f t="shared" si="8"/>
        <v>0</v>
      </c>
      <c r="AL364" s="314">
        <f t="shared" si="9"/>
        <v>9128064.2536447197</v>
      </c>
      <c r="AM364" s="314">
        <f t="shared" si="9"/>
        <v>4864240.161217453</v>
      </c>
      <c r="AN364" s="314">
        <f t="shared" si="9"/>
        <v>5394159.2793549038</v>
      </c>
      <c r="AO364" s="314">
        <f t="shared" si="9"/>
        <v>3782410.4980368391</v>
      </c>
      <c r="AP364" s="314">
        <f t="shared" si="9"/>
        <v>23168874.192253917</v>
      </c>
      <c r="AR364" s="314">
        <f t="shared" si="9"/>
        <v>6174876.6835724888</v>
      </c>
      <c r="AS364" s="314">
        <f t="shared" si="9"/>
        <v>1608467.7818035427</v>
      </c>
      <c r="AT364" s="314">
        <f t="shared" si="9"/>
        <v>3900807.6044129236</v>
      </c>
      <c r="AU364" s="314">
        <f t="shared" ref="AU364:AU397" si="10">SUMIFS(AU$4:AU$337,$A$4:$A$337,$A364)</f>
        <v>2798238.4627757352</v>
      </c>
      <c r="AV364" s="314">
        <f t="shared" si="1"/>
        <v>14482390.53256469</v>
      </c>
      <c r="AW364" s="314">
        <f t="shared" si="1"/>
        <v>8686483.6596892271</v>
      </c>
    </row>
    <row r="365" spans="1:49" x14ac:dyDescent="0.25">
      <c r="A365" s="311">
        <v>1671513</v>
      </c>
      <c r="B365" s="311"/>
      <c r="C365" s="315" t="str">
        <f t="shared" si="2"/>
        <v>Obce</v>
      </c>
      <c r="D365" s="315" t="str">
        <f t="shared" si="3"/>
        <v>Pečovatelská služba Meziměstí</v>
      </c>
      <c r="E365" s="315" t="str">
        <f t="shared" si="4"/>
        <v>Město Meziměstí</v>
      </c>
      <c r="F365" s="313">
        <f t="shared" si="5"/>
        <v>1671513</v>
      </c>
      <c r="G365" s="313"/>
      <c r="H365" s="313"/>
      <c r="I365" s="313"/>
      <c r="J365" s="313"/>
      <c r="K365" s="313"/>
      <c r="L365" s="313"/>
      <c r="M365" s="313"/>
      <c r="N365" s="313"/>
      <c r="O365" s="313"/>
      <c r="P365" s="313"/>
      <c r="Q365" s="313"/>
      <c r="R365" s="313"/>
      <c r="S365" s="313"/>
      <c r="T365" s="313">
        <f t="shared" si="6"/>
        <v>2.1</v>
      </c>
      <c r="U365" s="313">
        <f t="shared" si="6"/>
        <v>0.1</v>
      </c>
      <c r="V365" s="313">
        <f t="shared" si="6"/>
        <v>2</v>
      </c>
      <c r="W365" s="313">
        <f t="shared" si="6"/>
        <v>0</v>
      </c>
      <c r="X365" s="313">
        <f t="shared" si="6"/>
        <v>0</v>
      </c>
      <c r="Y365" s="313">
        <f t="shared" si="6"/>
        <v>0</v>
      </c>
      <c r="Z365" s="313">
        <f t="shared" si="6"/>
        <v>65</v>
      </c>
      <c r="AA365" s="313">
        <f t="shared" si="6"/>
        <v>0</v>
      </c>
      <c r="AB365" s="313">
        <f t="shared" si="6"/>
        <v>0</v>
      </c>
      <c r="AD365" s="313">
        <f t="shared" si="8"/>
        <v>2.1</v>
      </c>
      <c r="AE365" s="313">
        <f t="shared" si="8"/>
        <v>0.1</v>
      </c>
      <c r="AF365" s="313">
        <f t="shared" si="8"/>
        <v>2</v>
      </c>
      <c r="AG365" s="313">
        <f t="shared" si="8"/>
        <v>0</v>
      </c>
      <c r="AH365" s="313">
        <f t="shared" si="8"/>
        <v>0</v>
      </c>
      <c r="AI365" s="313">
        <f t="shared" si="8"/>
        <v>0</v>
      </c>
      <c r="AJ365" s="313">
        <f t="shared" si="8"/>
        <v>0</v>
      </c>
      <c r="AL365" s="314">
        <f t="shared" si="9"/>
        <v>1159951.8022905299</v>
      </c>
      <c r="AM365" s="314">
        <f t="shared" si="9"/>
        <v>0</v>
      </c>
      <c r="AN365" s="314">
        <f t="shared" si="9"/>
        <v>87865.186621898247</v>
      </c>
      <c r="AO365" s="314">
        <f t="shared" si="9"/>
        <v>0</v>
      </c>
      <c r="AP365" s="314">
        <f t="shared" si="9"/>
        <v>1247816.9889124283</v>
      </c>
      <c r="AR365" s="314">
        <f t="shared" si="9"/>
        <v>277510.4705882353</v>
      </c>
      <c r="AS365" s="314">
        <f t="shared" si="9"/>
        <v>0</v>
      </c>
      <c r="AT365" s="314">
        <f t="shared" si="9"/>
        <v>0</v>
      </c>
      <c r="AU365" s="314">
        <f t="shared" si="10"/>
        <v>0</v>
      </c>
      <c r="AV365" s="314">
        <f t="shared" si="1"/>
        <v>277510.4705882353</v>
      </c>
      <c r="AW365" s="314">
        <f t="shared" si="1"/>
        <v>970306.51832419296</v>
      </c>
    </row>
    <row r="366" spans="1:49" x14ac:dyDescent="0.25">
      <c r="A366" s="311">
        <v>1686476</v>
      </c>
      <c r="B366" s="311"/>
      <c r="C366" s="315" t="str">
        <f t="shared" si="2"/>
        <v>NZO</v>
      </c>
      <c r="D366" s="315" t="str">
        <f t="shared" si="3"/>
        <v>Pečovatelská služba</v>
      </c>
      <c r="E366" s="315" t="str">
        <f t="shared" si="4"/>
        <v>Život Hradec Králové, o.p.s.</v>
      </c>
      <c r="F366" s="313">
        <f t="shared" si="5"/>
        <v>1686476</v>
      </c>
      <c r="G366" s="313"/>
      <c r="H366" s="313"/>
      <c r="I366" s="313"/>
      <c r="J366" s="313"/>
      <c r="K366" s="313"/>
      <c r="L366" s="313"/>
      <c r="M366" s="313"/>
      <c r="N366" s="313"/>
      <c r="O366" s="313"/>
      <c r="P366" s="313"/>
      <c r="Q366" s="313"/>
      <c r="R366" s="313"/>
      <c r="S366" s="313"/>
      <c r="T366" s="313">
        <f t="shared" si="6"/>
        <v>25.5</v>
      </c>
      <c r="U366" s="313">
        <f t="shared" si="6"/>
        <v>1.5</v>
      </c>
      <c r="V366" s="313">
        <f t="shared" si="6"/>
        <v>24</v>
      </c>
      <c r="W366" s="313">
        <f t="shared" si="6"/>
        <v>0</v>
      </c>
      <c r="X366" s="313">
        <f t="shared" si="6"/>
        <v>0</v>
      </c>
      <c r="Y366" s="313">
        <f t="shared" si="6"/>
        <v>0</v>
      </c>
      <c r="Z366" s="313">
        <f t="shared" si="6"/>
        <v>265</v>
      </c>
      <c r="AA366" s="313">
        <f t="shared" si="6"/>
        <v>0</v>
      </c>
      <c r="AB366" s="313">
        <f t="shared" si="6"/>
        <v>0</v>
      </c>
      <c r="AD366" s="313">
        <f t="shared" si="8"/>
        <v>25.5</v>
      </c>
      <c r="AE366" s="313">
        <f t="shared" si="8"/>
        <v>1.5</v>
      </c>
      <c r="AF366" s="313">
        <f t="shared" si="8"/>
        <v>24</v>
      </c>
      <c r="AG366" s="313">
        <f t="shared" si="8"/>
        <v>0</v>
      </c>
      <c r="AH366" s="313">
        <f t="shared" si="8"/>
        <v>0</v>
      </c>
      <c r="AI366" s="313">
        <f t="shared" si="8"/>
        <v>0</v>
      </c>
      <c r="AJ366" s="313">
        <f t="shared" si="8"/>
        <v>0</v>
      </c>
      <c r="AL366" s="314">
        <f t="shared" si="9"/>
        <v>14085129.027813578</v>
      </c>
      <c r="AM366" s="314">
        <f t="shared" si="9"/>
        <v>0</v>
      </c>
      <c r="AN366" s="314">
        <f t="shared" si="9"/>
        <v>1066934.4089801931</v>
      </c>
      <c r="AO366" s="314">
        <f t="shared" si="9"/>
        <v>0</v>
      </c>
      <c r="AP366" s="314">
        <f t="shared" si="9"/>
        <v>15152063.436793771</v>
      </c>
      <c r="AR366" s="314">
        <f t="shared" si="9"/>
        <v>3330125.6470588236</v>
      </c>
      <c r="AS366" s="314">
        <f t="shared" si="9"/>
        <v>0</v>
      </c>
      <c r="AT366" s="314">
        <f t="shared" si="9"/>
        <v>0</v>
      </c>
      <c r="AU366" s="314">
        <f t="shared" si="10"/>
        <v>0</v>
      </c>
      <c r="AV366" s="314">
        <f t="shared" si="1"/>
        <v>3330125.6470588236</v>
      </c>
      <c r="AW366" s="314">
        <f t="shared" si="1"/>
        <v>11821937.789734947</v>
      </c>
    </row>
    <row r="367" spans="1:49" x14ac:dyDescent="0.25">
      <c r="A367" s="311">
        <v>1696009</v>
      </c>
      <c r="B367" s="311"/>
      <c r="C367" s="315" t="str">
        <f t="shared" si="2"/>
        <v>Obce</v>
      </c>
      <c r="D367" s="315" t="str">
        <f t="shared" si="3"/>
        <v>Noclehárna</v>
      </c>
      <c r="E367" s="315" t="str">
        <f t="shared" si="4"/>
        <v>Pečovatelská služba Města Dvůr Králové nad Labem</v>
      </c>
      <c r="F367" s="313">
        <f t="shared" si="5"/>
        <v>1696009</v>
      </c>
      <c r="G367" s="313"/>
      <c r="H367" s="313"/>
      <c r="I367" s="313"/>
      <c r="J367" s="313"/>
      <c r="K367" s="313"/>
      <c r="L367" s="313"/>
      <c r="M367" s="313"/>
      <c r="N367" s="313"/>
      <c r="O367" s="313"/>
      <c r="P367" s="313"/>
      <c r="Q367" s="313"/>
      <c r="R367" s="313"/>
      <c r="S367" s="313"/>
      <c r="T367" s="313">
        <f t="shared" si="6"/>
        <v>0.9</v>
      </c>
      <c r="U367" s="313">
        <f t="shared" si="6"/>
        <v>0.4</v>
      </c>
      <c r="V367" s="313">
        <f t="shared" si="6"/>
        <v>0.5</v>
      </c>
      <c r="W367" s="313">
        <f t="shared" si="6"/>
        <v>0</v>
      </c>
      <c r="X367" s="313">
        <f t="shared" si="6"/>
        <v>0</v>
      </c>
      <c r="Y367" s="313">
        <f t="shared" si="6"/>
        <v>7</v>
      </c>
      <c r="Z367" s="313">
        <f t="shared" si="6"/>
        <v>0</v>
      </c>
      <c r="AA367" s="313">
        <f t="shared" si="6"/>
        <v>0</v>
      </c>
      <c r="AB367" s="313">
        <f t="shared" ref="U367:AM382" si="11">SUMIFS(AB$4:AB$337,$A$4:$A$337,$A367)</f>
        <v>0</v>
      </c>
      <c r="AD367" s="313">
        <f t="shared" si="11"/>
        <v>0.9</v>
      </c>
      <c r="AE367" s="313">
        <f t="shared" si="11"/>
        <v>0.4</v>
      </c>
      <c r="AF367" s="313">
        <f t="shared" si="11"/>
        <v>0.5</v>
      </c>
      <c r="AG367" s="313">
        <f t="shared" si="11"/>
        <v>0</v>
      </c>
      <c r="AH367" s="313">
        <f t="shared" si="11"/>
        <v>0</v>
      </c>
      <c r="AI367" s="313">
        <f t="shared" si="11"/>
        <v>7</v>
      </c>
      <c r="AJ367" s="313">
        <f t="shared" si="11"/>
        <v>0</v>
      </c>
      <c r="AL367" s="314">
        <f t="shared" si="11"/>
        <v>610605.96993273334</v>
      </c>
      <c r="AM367" s="314">
        <f t="shared" si="11"/>
        <v>0</v>
      </c>
      <c r="AN367" s="314">
        <f t="shared" si="9"/>
        <v>149859.74295350397</v>
      </c>
      <c r="AO367" s="314">
        <f t="shared" si="9"/>
        <v>0</v>
      </c>
      <c r="AP367" s="314">
        <f t="shared" si="9"/>
        <v>760465.71288623731</v>
      </c>
      <c r="AR367" s="314">
        <f t="shared" si="9"/>
        <v>0</v>
      </c>
      <c r="AS367" s="314">
        <f t="shared" si="9"/>
        <v>0</v>
      </c>
      <c r="AT367" s="314">
        <f t="shared" si="9"/>
        <v>48944</v>
      </c>
      <c r="AU367" s="314">
        <f t="shared" si="10"/>
        <v>0</v>
      </c>
      <c r="AV367" s="314">
        <f t="shared" si="1"/>
        <v>48944</v>
      </c>
      <c r="AW367" s="314">
        <f t="shared" si="1"/>
        <v>711521.71288623731</v>
      </c>
    </row>
    <row r="368" spans="1:49" x14ac:dyDescent="0.25">
      <c r="A368" s="311">
        <v>1715626</v>
      </c>
      <c r="B368" s="311"/>
      <c r="C368" s="315" t="str">
        <f t="shared" si="2"/>
        <v>NZO</v>
      </c>
      <c r="D368" s="315" t="str">
        <f t="shared" si="3"/>
        <v>Spokojený domov, o.p.s.</v>
      </c>
      <c r="E368" s="315" t="str">
        <f t="shared" si="4"/>
        <v>Spokojený domov, o.p.s.</v>
      </c>
      <c r="F368" s="313">
        <f t="shared" si="5"/>
        <v>1715626</v>
      </c>
      <c r="G368" s="313"/>
      <c r="H368" s="313"/>
      <c r="I368" s="313"/>
      <c r="J368" s="313"/>
      <c r="K368" s="313"/>
      <c r="L368" s="313"/>
      <c r="M368" s="313"/>
      <c r="N368" s="313"/>
      <c r="O368" s="313"/>
      <c r="P368" s="313"/>
      <c r="Q368" s="313"/>
      <c r="R368" s="313"/>
      <c r="S368" s="313"/>
      <c r="T368" s="313">
        <f t="shared" si="6"/>
        <v>10.8</v>
      </c>
      <c r="U368" s="313">
        <f t="shared" si="11"/>
        <v>0.8</v>
      </c>
      <c r="V368" s="313">
        <f t="shared" si="11"/>
        <v>10</v>
      </c>
      <c r="W368" s="313">
        <f t="shared" si="11"/>
        <v>0</v>
      </c>
      <c r="X368" s="313">
        <f t="shared" si="11"/>
        <v>0</v>
      </c>
      <c r="Y368" s="313">
        <f t="shared" si="11"/>
        <v>0</v>
      </c>
      <c r="Z368" s="313">
        <f t="shared" si="11"/>
        <v>0</v>
      </c>
      <c r="AA368" s="313">
        <f t="shared" si="11"/>
        <v>5</v>
      </c>
      <c r="AB368" s="313">
        <f t="shared" si="11"/>
        <v>0</v>
      </c>
      <c r="AD368" s="313">
        <f t="shared" si="11"/>
        <v>10.8</v>
      </c>
      <c r="AE368" s="313">
        <f t="shared" si="11"/>
        <v>0.8</v>
      </c>
      <c r="AF368" s="313">
        <f t="shared" si="11"/>
        <v>10</v>
      </c>
      <c r="AG368" s="313">
        <f t="shared" si="11"/>
        <v>0</v>
      </c>
      <c r="AH368" s="313">
        <f t="shared" si="11"/>
        <v>0</v>
      </c>
      <c r="AI368" s="313">
        <f t="shared" si="11"/>
        <v>0</v>
      </c>
      <c r="AJ368" s="313">
        <f t="shared" si="11"/>
        <v>5</v>
      </c>
      <c r="AL368" s="314">
        <f t="shared" si="11"/>
        <v>5516312.0765184565</v>
      </c>
      <c r="AM368" s="314">
        <f t="shared" si="11"/>
        <v>0</v>
      </c>
      <c r="AN368" s="314">
        <f t="shared" si="9"/>
        <v>208955.88036757516</v>
      </c>
      <c r="AO368" s="314">
        <f t="shared" si="9"/>
        <v>0</v>
      </c>
      <c r="AP368" s="314">
        <f t="shared" si="9"/>
        <v>5725267.9568860317</v>
      </c>
      <c r="AR368" s="314">
        <f t="shared" si="9"/>
        <v>1249688.404806758</v>
      </c>
      <c r="AS368" s="314">
        <f t="shared" si="9"/>
        <v>0</v>
      </c>
      <c r="AT368" s="314">
        <f t="shared" si="9"/>
        <v>0</v>
      </c>
      <c r="AU368" s="314">
        <f t="shared" si="10"/>
        <v>0</v>
      </c>
      <c r="AV368" s="314">
        <f t="shared" si="1"/>
        <v>1249688.404806758</v>
      </c>
      <c r="AW368" s="314">
        <f t="shared" si="1"/>
        <v>4475579.5520792734</v>
      </c>
    </row>
    <row r="369" spans="1:49" x14ac:dyDescent="0.25">
      <c r="A369" s="311">
        <v>1738957</v>
      </c>
      <c r="B369" s="311"/>
      <c r="C369" s="315" t="str">
        <f t="shared" si="2"/>
        <v>NZO</v>
      </c>
      <c r="D369" s="315" t="str">
        <f t="shared" si="3"/>
        <v>Nízkoprahový klub PoHoDa</v>
      </c>
      <c r="E369" s="315" t="str">
        <f t="shared" si="4"/>
        <v>Oblastní charita Jičín</v>
      </c>
      <c r="F369" s="313">
        <f t="shared" si="5"/>
        <v>1738957</v>
      </c>
      <c r="G369" s="313"/>
      <c r="H369" s="313"/>
      <c r="I369" s="313"/>
      <c r="J369" s="313"/>
      <c r="K369" s="313"/>
      <c r="L369" s="313"/>
      <c r="M369" s="313"/>
      <c r="N369" s="313"/>
      <c r="O369" s="313"/>
      <c r="P369" s="313"/>
      <c r="Q369" s="313"/>
      <c r="R369" s="313"/>
      <c r="S369" s="313"/>
      <c r="T369" s="313">
        <f t="shared" si="6"/>
        <v>2</v>
      </c>
      <c r="U369" s="313">
        <f t="shared" si="11"/>
        <v>2</v>
      </c>
      <c r="V369" s="313">
        <f t="shared" si="11"/>
        <v>0</v>
      </c>
      <c r="W369" s="313">
        <f t="shared" si="11"/>
        <v>0</v>
      </c>
      <c r="X369" s="313">
        <f t="shared" si="11"/>
        <v>0</v>
      </c>
      <c r="Y369" s="313">
        <f t="shared" si="11"/>
        <v>0</v>
      </c>
      <c r="Z369" s="313">
        <f t="shared" si="11"/>
        <v>0</v>
      </c>
      <c r="AA369" s="313">
        <f t="shared" si="11"/>
        <v>20</v>
      </c>
      <c r="AB369" s="313">
        <f t="shared" si="11"/>
        <v>0</v>
      </c>
      <c r="AD369" s="313">
        <f t="shared" si="11"/>
        <v>2</v>
      </c>
      <c r="AE369" s="313">
        <f t="shared" si="11"/>
        <v>2</v>
      </c>
      <c r="AF369" s="313">
        <f t="shared" si="11"/>
        <v>0</v>
      </c>
      <c r="AG369" s="313">
        <f t="shared" si="11"/>
        <v>0</v>
      </c>
      <c r="AH369" s="313">
        <f t="shared" si="11"/>
        <v>0</v>
      </c>
      <c r="AI369" s="313">
        <f t="shared" si="11"/>
        <v>0</v>
      </c>
      <c r="AJ369" s="313">
        <f t="shared" si="11"/>
        <v>20</v>
      </c>
      <c r="AL369" s="314">
        <f t="shared" si="11"/>
        <v>1149656.2111314542</v>
      </c>
      <c r="AM369" s="314">
        <f t="shared" si="11"/>
        <v>0</v>
      </c>
      <c r="AN369" s="314">
        <f t="shared" si="9"/>
        <v>110692.81722774495</v>
      </c>
      <c r="AO369" s="314">
        <f t="shared" si="9"/>
        <v>0</v>
      </c>
      <c r="AP369" s="314">
        <f t="shared" si="9"/>
        <v>1260349.0283591992</v>
      </c>
      <c r="AR369" s="314">
        <f t="shared" si="9"/>
        <v>0</v>
      </c>
      <c r="AS369" s="314">
        <f t="shared" si="9"/>
        <v>0</v>
      </c>
      <c r="AT369" s="314">
        <f t="shared" si="9"/>
        <v>0</v>
      </c>
      <c r="AU369" s="314">
        <f t="shared" si="10"/>
        <v>0</v>
      </c>
      <c r="AV369" s="314">
        <f t="shared" si="1"/>
        <v>0</v>
      </c>
      <c r="AW369" s="314">
        <f t="shared" si="1"/>
        <v>1260349.0283591992</v>
      </c>
    </row>
    <row r="370" spans="1:49" x14ac:dyDescent="0.25">
      <c r="A370" s="311">
        <v>1758706</v>
      </c>
      <c r="B370" s="311"/>
      <c r="C370" s="315" t="str">
        <f t="shared" si="2"/>
        <v>NZO</v>
      </c>
      <c r="D370" s="315" t="str">
        <f t="shared" si="3"/>
        <v>Terénní program - Aufori, o.p.s.</v>
      </c>
      <c r="E370" s="315" t="str">
        <f t="shared" si="4"/>
        <v>Aufori, o.p.s.</v>
      </c>
      <c r="F370" s="313">
        <f t="shared" si="5"/>
        <v>1758706</v>
      </c>
      <c r="G370" s="313"/>
      <c r="H370" s="313"/>
      <c r="I370" s="313"/>
      <c r="J370" s="313"/>
      <c r="K370" s="313"/>
      <c r="L370" s="313"/>
      <c r="M370" s="313"/>
      <c r="N370" s="313"/>
      <c r="O370" s="313"/>
      <c r="P370" s="313"/>
      <c r="Q370" s="313"/>
      <c r="R370" s="313"/>
      <c r="S370" s="313"/>
      <c r="T370" s="313">
        <f t="shared" si="6"/>
        <v>9</v>
      </c>
      <c r="U370" s="313">
        <f t="shared" si="11"/>
        <v>6.2999999999999989</v>
      </c>
      <c r="V370" s="313">
        <f t="shared" si="11"/>
        <v>2.7</v>
      </c>
      <c r="W370" s="313">
        <f t="shared" si="11"/>
        <v>0</v>
      </c>
      <c r="X370" s="313">
        <f t="shared" si="11"/>
        <v>0</v>
      </c>
      <c r="Y370" s="313">
        <f t="shared" si="11"/>
        <v>0</v>
      </c>
      <c r="Z370" s="313">
        <f t="shared" si="11"/>
        <v>50</v>
      </c>
      <c r="AA370" s="313">
        <f t="shared" si="11"/>
        <v>0</v>
      </c>
      <c r="AB370" s="313">
        <f t="shared" si="11"/>
        <v>0</v>
      </c>
      <c r="AD370" s="313">
        <f t="shared" si="11"/>
        <v>9</v>
      </c>
      <c r="AE370" s="313">
        <f t="shared" si="11"/>
        <v>6.2999999999999989</v>
      </c>
      <c r="AF370" s="313">
        <f t="shared" si="11"/>
        <v>2.7</v>
      </c>
      <c r="AG370" s="313">
        <f t="shared" si="11"/>
        <v>0</v>
      </c>
      <c r="AH370" s="313">
        <f t="shared" si="11"/>
        <v>0</v>
      </c>
      <c r="AI370" s="313">
        <f t="shared" si="11"/>
        <v>0</v>
      </c>
      <c r="AJ370" s="313">
        <f t="shared" si="11"/>
        <v>0</v>
      </c>
      <c r="AL370" s="314">
        <f t="shared" si="11"/>
        <v>5412763.4954742156</v>
      </c>
      <c r="AM370" s="314">
        <f t="shared" si="11"/>
        <v>0</v>
      </c>
      <c r="AN370" s="314">
        <f t="shared" si="9"/>
        <v>277881.33091662353</v>
      </c>
      <c r="AO370" s="314">
        <f t="shared" si="9"/>
        <v>0</v>
      </c>
      <c r="AP370" s="314">
        <f t="shared" si="9"/>
        <v>5690644.8263908383</v>
      </c>
      <c r="AR370" s="314">
        <f t="shared" si="9"/>
        <v>0</v>
      </c>
      <c r="AS370" s="314">
        <f t="shared" si="9"/>
        <v>0</v>
      </c>
      <c r="AT370" s="314">
        <f t="shared" si="9"/>
        <v>0</v>
      </c>
      <c r="AU370" s="314">
        <f t="shared" si="10"/>
        <v>0</v>
      </c>
      <c r="AV370" s="314">
        <f t="shared" si="1"/>
        <v>0</v>
      </c>
      <c r="AW370" s="314">
        <f t="shared" si="1"/>
        <v>5690644.8263908383</v>
      </c>
    </row>
    <row r="371" spans="1:49" x14ac:dyDescent="0.25">
      <c r="A371" s="311">
        <v>1792038</v>
      </c>
      <c r="B371" s="311"/>
      <c r="C371" s="315" t="str">
        <f t="shared" si="2"/>
        <v>NZO</v>
      </c>
      <c r="D371" s="315" t="str">
        <f t="shared" si="3"/>
        <v>Sociálně aktivizační služby pro zrakově postižené</v>
      </c>
      <c r="E371" s="315" t="str">
        <f t="shared" si="4"/>
        <v>TyfloCentrum Hradec Králové, o. p. s.</v>
      </c>
      <c r="F371" s="313">
        <f t="shared" si="5"/>
        <v>1792038</v>
      </c>
      <c r="G371" s="313"/>
      <c r="H371" s="313"/>
      <c r="I371" s="313"/>
      <c r="J371" s="313"/>
      <c r="K371" s="313"/>
      <c r="L371" s="313"/>
      <c r="M371" s="313"/>
      <c r="N371" s="313"/>
      <c r="O371" s="313"/>
      <c r="P371" s="313"/>
      <c r="Q371" s="313"/>
      <c r="R371" s="313"/>
      <c r="S371" s="313"/>
      <c r="T371" s="313">
        <f t="shared" si="6"/>
        <v>1.75</v>
      </c>
      <c r="U371" s="313">
        <f t="shared" si="11"/>
        <v>1</v>
      </c>
      <c r="V371" s="313">
        <f t="shared" si="11"/>
        <v>0.75</v>
      </c>
      <c r="W371" s="313">
        <f t="shared" si="11"/>
        <v>0</v>
      </c>
      <c r="X371" s="313">
        <f t="shared" si="11"/>
        <v>0</v>
      </c>
      <c r="Y371" s="313">
        <f t="shared" si="11"/>
        <v>0</v>
      </c>
      <c r="Z371" s="313">
        <f t="shared" si="11"/>
        <v>0</v>
      </c>
      <c r="AA371" s="313">
        <f t="shared" si="11"/>
        <v>5</v>
      </c>
      <c r="AB371" s="313">
        <f t="shared" si="11"/>
        <v>0</v>
      </c>
      <c r="AD371" s="313">
        <f t="shared" si="11"/>
        <v>1.75</v>
      </c>
      <c r="AE371" s="313">
        <f t="shared" si="11"/>
        <v>1</v>
      </c>
      <c r="AF371" s="313">
        <f t="shared" si="11"/>
        <v>0.75</v>
      </c>
      <c r="AG371" s="313">
        <f t="shared" si="11"/>
        <v>0</v>
      </c>
      <c r="AH371" s="313">
        <f t="shared" si="11"/>
        <v>0</v>
      </c>
      <c r="AI371" s="313">
        <f t="shared" si="11"/>
        <v>0</v>
      </c>
      <c r="AJ371" s="313">
        <f t="shared" si="11"/>
        <v>5</v>
      </c>
      <c r="AL371" s="314">
        <f t="shared" si="11"/>
        <v>1191075.0069343625</v>
      </c>
      <c r="AM371" s="314">
        <f t="shared" si="11"/>
        <v>0</v>
      </c>
      <c r="AN371" s="314">
        <f t="shared" si="9"/>
        <v>67224.35472598717</v>
      </c>
      <c r="AO371" s="314">
        <f t="shared" si="9"/>
        <v>0</v>
      </c>
      <c r="AP371" s="314">
        <f t="shared" si="9"/>
        <v>1258299.3616603496</v>
      </c>
      <c r="AR371" s="314">
        <f t="shared" si="9"/>
        <v>0</v>
      </c>
      <c r="AS371" s="314">
        <f t="shared" si="9"/>
        <v>0</v>
      </c>
      <c r="AT371" s="314">
        <f t="shared" si="9"/>
        <v>0</v>
      </c>
      <c r="AU371" s="314">
        <f t="shared" si="10"/>
        <v>0</v>
      </c>
      <c r="AV371" s="314">
        <f t="shared" si="1"/>
        <v>0</v>
      </c>
      <c r="AW371" s="314">
        <f t="shared" si="1"/>
        <v>1258299.3616603496</v>
      </c>
    </row>
    <row r="372" spans="1:49" x14ac:dyDescent="0.25">
      <c r="A372" s="311">
        <v>1806042</v>
      </c>
      <c r="B372" s="311"/>
      <c r="C372" s="315" t="str">
        <f t="shared" si="2"/>
        <v>NZO</v>
      </c>
      <c r="D372" s="315" t="str">
        <f t="shared" si="3"/>
        <v>osobní asistence</v>
      </c>
      <c r="E372" s="315" t="str">
        <f t="shared" si="4"/>
        <v>Diakonie ČCE - středisko Světlo ve Vrchlabí</v>
      </c>
      <c r="F372" s="313">
        <f t="shared" si="5"/>
        <v>1806042</v>
      </c>
      <c r="G372" s="313"/>
      <c r="H372" s="313"/>
      <c r="I372" s="313"/>
      <c r="J372" s="313"/>
      <c r="K372" s="313"/>
      <c r="L372" s="313"/>
      <c r="M372" s="313"/>
      <c r="N372" s="313"/>
      <c r="O372" s="313"/>
      <c r="P372" s="313"/>
      <c r="Q372" s="313"/>
      <c r="R372" s="313"/>
      <c r="S372" s="313"/>
      <c r="T372" s="313">
        <f t="shared" si="6"/>
        <v>6</v>
      </c>
      <c r="U372" s="313">
        <f t="shared" si="11"/>
        <v>1</v>
      </c>
      <c r="V372" s="313">
        <f t="shared" si="11"/>
        <v>5</v>
      </c>
      <c r="W372" s="313">
        <f t="shared" si="11"/>
        <v>0</v>
      </c>
      <c r="X372" s="313">
        <f t="shared" si="11"/>
        <v>0</v>
      </c>
      <c r="Y372" s="313">
        <f t="shared" si="11"/>
        <v>0</v>
      </c>
      <c r="Z372" s="313">
        <f t="shared" si="11"/>
        <v>8</v>
      </c>
      <c r="AA372" s="313">
        <f t="shared" si="11"/>
        <v>0</v>
      </c>
      <c r="AB372" s="313">
        <f t="shared" si="11"/>
        <v>0</v>
      </c>
      <c r="AD372" s="313">
        <f t="shared" si="11"/>
        <v>6</v>
      </c>
      <c r="AE372" s="313">
        <f t="shared" si="11"/>
        <v>1</v>
      </c>
      <c r="AF372" s="313">
        <f t="shared" si="11"/>
        <v>5</v>
      </c>
      <c r="AG372" s="313">
        <f t="shared" si="11"/>
        <v>0</v>
      </c>
      <c r="AH372" s="313">
        <f t="shared" si="11"/>
        <v>0</v>
      </c>
      <c r="AI372" s="313">
        <f t="shared" si="11"/>
        <v>0</v>
      </c>
      <c r="AJ372" s="313">
        <f t="shared" si="11"/>
        <v>0</v>
      </c>
      <c r="AL372" s="314">
        <f t="shared" si="11"/>
        <v>3064617.8202880314</v>
      </c>
      <c r="AM372" s="314">
        <f t="shared" si="11"/>
        <v>0</v>
      </c>
      <c r="AN372" s="314">
        <f t="shared" si="9"/>
        <v>116086.60020420841</v>
      </c>
      <c r="AO372" s="314">
        <f t="shared" si="9"/>
        <v>0</v>
      </c>
      <c r="AP372" s="314">
        <f t="shared" si="9"/>
        <v>3180704.4204922398</v>
      </c>
      <c r="AR372" s="314">
        <f t="shared" si="9"/>
        <v>624844.20240337902</v>
      </c>
      <c r="AS372" s="314">
        <f t="shared" si="9"/>
        <v>0</v>
      </c>
      <c r="AT372" s="314">
        <f t="shared" si="9"/>
        <v>0</v>
      </c>
      <c r="AU372" s="314">
        <f t="shared" si="10"/>
        <v>0</v>
      </c>
      <c r="AV372" s="314">
        <f t="shared" si="1"/>
        <v>624844.20240337902</v>
      </c>
      <c r="AW372" s="314">
        <f t="shared" si="1"/>
        <v>2555860.2180888606</v>
      </c>
    </row>
    <row r="373" spans="1:49" x14ac:dyDescent="0.25">
      <c r="A373" s="311">
        <v>1817339</v>
      </c>
      <c r="B373" s="311"/>
      <c r="C373" s="315" t="str">
        <f t="shared" si="2"/>
        <v>Obce</v>
      </c>
      <c r="D373" s="315" t="str">
        <f t="shared" si="3"/>
        <v>Domov pro seniory Marie</v>
      </c>
      <c r="E373" s="315" t="str">
        <f t="shared" si="4"/>
        <v>Městské středisko sociálních služeb MARIE</v>
      </c>
      <c r="F373" s="313">
        <f t="shared" si="5"/>
        <v>1817339</v>
      </c>
      <c r="G373" s="313"/>
      <c r="H373" s="313"/>
      <c r="I373" s="313"/>
      <c r="J373" s="313"/>
      <c r="K373" s="313"/>
      <c r="L373" s="313"/>
      <c r="M373" s="313"/>
      <c r="N373" s="313"/>
      <c r="O373" s="313"/>
      <c r="P373" s="313"/>
      <c r="Q373" s="313"/>
      <c r="R373" s="313"/>
      <c r="S373" s="313"/>
      <c r="T373" s="313">
        <f t="shared" si="6"/>
        <v>17.100000000000001</v>
      </c>
      <c r="U373" s="313">
        <f t="shared" si="11"/>
        <v>0.9</v>
      </c>
      <c r="V373" s="313">
        <f t="shared" si="11"/>
        <v>9.9</v>
      </c>
      <c r="W373" s="313">
        <f t="shared" si="11"/>
        <v>6.3</v>
      </c>
      <c r="X373" s="313">
        <f t="shared" si="11"/>
        <v>0</v>
      </c>
      <c r="Y373" s="313">
        <f t="shared" si="11"/>
        <v>58</v>
      </c>
      <c r="Z373" s="313">
        <f t="shared" si="11"/>
        <v>0</v>
      </c>
      <c r="AA373" s="313">
        <f t="shared" si="11"/>
        <v>0</v>
      </c>
      <c r="AB373" s="313">
        <f t="shared" si="11"/>
        <v>0</v>
      </c>
      <c r="AD373" s="313">
        <f t="shared" si="11"/>
        <v>17.100000000000001</v>
      </c>
      <c r="AE373" s="313">
        <f t="shared" si="11"/>
        <v>0.9</v>
      </c>
      <c r="AF373" s="313">
        <f t="shared" si="11"/>
        <v>9.9</v>
      </c>
      <c r="AG373" s="313">
        <f t="shared" si="11"/>
        <v>6.3</v>
      </c>
      <c r="AH373" s="313">
        <f t="shared" si="11"/>
        <v>0</v>
      </c>
      <c r="AI373" s="313">
        <f t="shared" si="11"/>
        <v>58</v>
      </c>
      <c r="AJ373" s="313">
        <f t="shared" si="11"/>
        <v>0</v>
      </c>
      <c r="AL373" s="314">
        <f t="shared" si="11"/>
        <v>7041649.5670973547</v>
      </c>
      <c r="AM373" s="314">
        <f t="shared" ref="AM373:AM397" si="12">SUMIFS(AM$4:AM$337,$A$4:$A$337,$A373)</f>
        <v>5107452.1692783255</v>
      </c>
      <c r="AN373" s="314">
        <f t="shared" si="9"/>
        <v>5688386.1491378983</v>
      </c>
      <c r="AO373" s="314">
        <f t="shared" si="9"/>
        <v>3988723.7979297577</v>
      </c>
      <c r="AP373" s="314">
        <f t="shared" si="9"/>
        <v>21826211.683443334</v>
      </c>
      <c r="AR373" s="314">
        <f t="shared" si="9"/>
        <v>6511688.139040079</v>
      </c>
      <c r="AS373" s="314">
        <f t="shared" si="9"/>
        <v>1696202.3880837359</v>
      </c>
      <c r="AT373" s="314">
        <f t="shared" si="9"/>
        <v>4113578.9282899923</v>
      </c>
      <c r="AU373" s="314">
        <f t="shared" si="10"/>
        <v>2950869.651654412</v>
      </c>
      <c r="AV373" s="314">
        <f t="shared" si="1"/>
        <v>15272339.107068218</v>
      </c>
      <c r="AW373" s="314">
        <f t="shared" si="1"/>
        <v>6553872.5763751157</v>
      </c>
    </row>
    <row r="374" spans="1:49" x14ac:dyDescent="0.25">
      <c r="A374" s="311">
        <v>1826777</v>
      </c>
      <c r="B374" s="311"/>
      <c r="C374" s="315" t="str">
        <f t="shared" si="2"/>
        <v>NZO</v>
      </c>
      <c r="D374" s="315" t="str">
        <f t="shared" si="3"/>
        <v>Pracoviště pečovatelské péče, o. p. s.</v>
      </c>
      <c r="E374" s="315" t="str">
        <f t="shared" si="4"/>
        <v>Pracoviště pečovatelské péče, o. p. s.</v>
      </c>
      <c r="F374" s="313">
        <f t="shared" si="5"/>
        <v>1826777</v>
      </c>
      <c r="G374" s="313"/>
      <c r="H374" s="313"/>
      <c r="I374" s="313"/>
      <c r="J374" s="313"/>
      <c r="K374" s="313"/>
      <c r="L374" s="313"/>
      <c r="M374" s="313"/>
      <c r="N374" s="313"/>
      <c r="O374" s="313"/>
      <c r="P374" s="313"/>
      <c r="Q374" s="313"/>
      <c r="R374" s="313"/>
      <c r="S374" s="313"/>
      <c r="T374" s="313">
        <f t="shared" si="6"/>
        <v>9</v>
      </c>
      <c r="U374" s="313">
        <f t="shared" si="11"/>
        <v>1</v>
      </c>
      <c r="V374" s="313">
        <f t="shared" si="11"/>
        <v>8</v>
      </c>
      <c r="W374" s="313">
        <f t="shared" si="11"/>
        <v>0</v>
      </c>
      <c r="X374" s="313">
        <f t="shared" si="11"/>
        <v>0</v>
      </c>
      <c r="Y374" s="313">
        <f t="shared" si="11"/>
        <v>0</v>
      </c>
      <c r="Z374" s="313">
        <f t="shared" si="11"/>
        <v>20</v>
      </c>
      <c r="AA374" s="313">
        <f t="shared" si="11"/>
        <v>0</v>
      </c>
      <c r="AB374" s="313">
        <f t="shared" si="11"/>
        <v>0</v>
      </c>
      <c r="AD374" s="313">
        <f t="shared" si="11"/>
        <v>9</v>
      </c>
      <c r="AE374" s="313">
        <f t="shared" si="11"/>
        <v>1</v>
      </c>
      <c r="AF374" s="313">
        <f t="shared" si="11"/>
        <v>8</v>
      </c>
      <c r="AG374" s="313">
        <f t="shared" si="11"/>
        <v>0</v>
      </c>
      <c r="AH374" s="313">
        <f t="shared" si="11"/>
        <v>0</v>
      </c>
      <c r="AI374" s="313">
        <f t="shared" si="11"/>
        <v>0</v>
      </c>
      <c r="AJ374" s="313">
        <f t="shared" si="11"/>
        <v>0</v>
      </c>
      <c r="AL374" s="314">
        <f t="shared" si="11"/>
        <v>4971222.0098165572</v>
      </c>
      <c r="AM374" s="314">
        <f t="shared" si="12"/>
        <v>0</v>
      </c>
      <c r="AN374" s="314">
        <f t="shared" si="9"/>
        <v>376565.08552242105</v>
      </c>
      <c r="AO374" s="314">
        <f t="shared" si="9"/>
        <v>0</v>
      </c>
      <c r="AP374" s="314">
        <f t="shared" si="9"/>
        <v>5347787.0953389779</v>
      </c>
      <c r="AR374" s="314">
        <f t="shared" si="9"/>
        <v>1110041.8823529412</v>
      </c>
      <c r="AS374" s="314">
        <f t="shared" si="9"/>
        <v>0</v>
      </c>
      <c r="AT374" s="314">
        <f t="shared" si="9"/>
        <v>0</v>
      </c>
      <c r="AU374" s="314">
        <f t="shared" si="10"/>
        <v>0</v>
      </c>
      <c r="AV374" s="314">
        <f t="shared" si="1"/>
        <v>1110041.8823529412</v>
      </c>
      <c r="AW374" s="314">
        <f t="shared" si="1"/>
        <v>4237745.2129860371</v>
      </c>
    </row>
    <row r="375" spans="1:49" x14ac:dyDescent="0.25">
      <c r="A375" s="311">
        <v>1840658</v>
      </c>
      <c r="B375" s="311"/>
      <c r="C375" s="315" t="str">
        <f t="shared" si="2"/>
        <v>NZO</v>
      </c>
      <c r="D375" s="315" t="str">
        <f t="shared" si="3"/>
        <v>Středisko rané péče Sluníčko</v>
      </c>
      <c r="E375" s="315" t="str">
        <f t="shared" si="4"/>
        <v>Oblastní charita Hradec Králové</v>
      </c>
      <c r="F375" s="313">
        <f t="shared" si="5"/>
        <v>1840658</v>
      </c>
      <c r="G375" s="313"/>
      <c r="H375" s="313"/>
      <c r="I375" s="313"/>
      <c r="J375" s="313"/>
      <c r="K375" s="313"/>
      <c r="L375" s="313"/>
      <c r="M375" s="313"/>
      <c r="N375" s="313"/>
      <c r="O375" s="313"/>
      <c r="P375" s="313"/>
      <c r="Q375" s="313"/>
      <c r="R375" s="313"/>
      <c r="S375" s="313"/>
      <c r="T375" s="313">
        <f t="shared" si="6"/>
        <v>5.5</v>
      </c>
      <c r="U375" s="313">
        <f t="shared" si="11"/>
        <v>0.99999999999999989</v>
      </c>
      <c r="V375" s="313">
        <f t="shared" si="11"/>
        <v>0</v>
      </c>
      <c r="W375" s="313">
        <f t="shared" si="11"/>
        <v>0</v>
      </c>
      <c r="X375" s="313">
        <f t="shared" si="11"/>
        <v>4.5</v>
      </c>
      <c r="Y375" s="313">
        <f t="shared" si="11"/>
        <v>0</v>
      </c>
      <c r="Z375" s="313">
        <f t="shared" si="11"/>
        <v>500</v>
      </c>
      <c r="AA375" s="313">
        <f t="shared" si="11"/>
        <v>0</v>
      </c>
      <c r="AB375" s="313">
        <f t="shared" si="11"/>
        <v>0</v>
      </c>
      <c r="AD375" s="313">
        <f t="shared" si="11"/>
        <v>5.5</v>
      </c>
      <c r="AE375" s="313">
        <f t="shared" si="11"/>
        <v>0.99999999999999989</v>
      </c>
      <c r="AF375" s="313">
        <f t="shared" si="11"/>
        <v>0</v>
      </c>
      <c r="AG375" s="313">
        <f t="shared" si="11"/>
        <v>0</v>
      </c>
      <c r="AH375" s="313">
        <f t="shared" si="11"/>
        <v>4.5</v>
      </c>
      <c r="AI375" s="313">
        <f t="shared" si="11"/>
        <v>0</v>
      </c>
      <c r="AJ375" s="313">
        <f t="shared" si="11"/>
        <v>0</v>
      </c>
      <c r="AL375" s="314">
        <f t="shared" si="11"/>
        <v>4284755.1336729014</v>
      </c>
      <c r="AM375" s="314">
        <f t="shared" si="12"/>
        <v>0</v>
      </c>
      <c r="AN375" s="314">
        <f t="shared" si="9"/>
        <v>344085.76776675135</v>
      </c>
      <c r="AO375" s="314">
        <f t="shared" si="9"/>
        <v>0</v>
      </c>
      <c r="AP375" s="314">
        <f t="shared" si="9"/>
        <v>4628840.9014396518</v>
      </c>
      <c r="AR375" s="314">
        <f t="shared" si="9"/>
        <v>0</v>
      </c>
      <c r="AS375" s="314">
        <f t="shared" si="9"/>
        <v>0</v>
      </c>
      <c r="AT375" s="314">
        <f t="shared" si="9"/>
        <v>0</v>
      </c>
      <c r="AU375" s="314">
        <f t="shared" si="10"/>
        <v>0</v>
      </c>
      <c r="AV375" s="314">
        <f t="shared" si="1"/>
        <v>0</v>
      </c>
      <c r="AW375" s="314">
        <f t="shared" si="1"/>
        <v>4628840.9014396518</v>
      </c>
    </row>
    <row r="376" spans="1:49" x14ac:dyDescent="0.25">
      <c r="A376" s="311">
        <v>1872907</v>
      </c>
      <c r="B376" s="311"/>
      <c r="C376" s="315" t="str">
        <f t="shared" si="2"/>
        <v>PO KHK</v>
      </c>
      <c r="D376" s="315" t="str">
        <f t="shared" si="3"/>
        <v>Domov pro seniory Pilníkov</v>
      </c>
      <c r="E376" s="315" t="str">
        <f t="shared" si="4"/>
        <v>Domov pro seniory Pilníkov</v>
      </c>
      <c r="F376" s="313">
        <f t="shared" si="5"/>
        <v>1872907</v>
      </c>
      <c r="G376" s="313"/>
      <c r="H376" s="313"/>
      <c r="I376" s="313"/>
      <c r="J376" s="313"/>
      <c r="K376" s="313"/>
      <c r="L376" s="313"/>
      <c r="M376" s="313"/>
      <c r="N376" s="313"/>
      <c r="O376" s="313"/>
      <c r="P376" s="313"/>
      <c r="Q376" s="313"/>
      <c r="R376" s="313"/>
      <c r="S376" s="313"/>
      <c r="T376" s="313">
        <f t="shared" si="6"/>
        <v>18</v>
      </c>
      <c r="U376" s="313">
        <f t="shared" si="11"/>
        <v>1</v>
      </c>
      <c r="V376" s="313">
        <f t="shared" si="11"/>
        <v>11</v>
      </c>
      <c r="W376" s="313">
        <f t="shared" si="11"/>
        <v>6</v>
      </c>
      <c r="X376" s="313">
        <f t="shared" si="11"/>
        <v>0</v>
      </c>
      <c r="Y376" s="313">
        <f t="shared" si="11"/>
        <v>42</v>
      </c>
      <c r="Z376" s="313">
        <f t="shared" si="11"/>
        <v>0</v>
      </c>
      <c r="AA376" s="313">
        <f t="shared" si="11"/>
        <v>0</v>
      </c>
      <c r="AB376" s="313">
        <f t="shared" si="11"/>
        <v>0</v>
      </c>
      <c r="AD376" s="313">
        <f t="shared" si="11"/>
        <v>18</v>
      </c>
      <c r="AE376" s="313">
        <f t="shared" si="11"/>
        <v>1</v>
      </c>
      <c r="AF376" s="313">
        <f t="shared" si="11"/>
        <v>11</v>
      </c>
      <c r="AG376" s="313">
        <f t="shared" si="11"/>
        <v>6</v>
      </c>
      <c r="AH376" s="313">
        <f t="shared" si="11"/>
        <v>0</v>
      </c>
      <c r="AI376" s="313">
        <f t="shared" si="11"/>
        <v>42</v>
      </c>
      <c r="AJ376" s="313">
        <f t="shared" si="11"/>
        <v>0</v>
      </c>
      <c r="AL376" s="314">
        <f t="shared" si="11"/>
        <v>7824055.0745526161</v>
      </c>
      <c r="AM376" s="314">
        <f t="shared" si="12"/>
        <v>4864240.161217453</v>
      </c>
      <c r="AN376" s="314">
        <f t="shared" si="9"/>
        <v>4119176.1769619267</v>
      </c>
      <c r="AO376" s="314">
        <f t="shared" si="9"/>
        <v>2888386.1985008591</v>
      </c>
      <c r="AP376" s="314">
        <f t="shared" si="9"/>
        <v>19695857.611232858</v>
      </c>
      <c r="AR376" s="314">
        <f t="shared" si="9"/>
        <v>4715360.3765462637</v>
      </c>
      <c r="AS376" s="314">
        <f t="shared" si="9"/>
        <v>1228284.4879227052</v>
      </c>
      <c r="AT376" s="314">
        <f t="shared" si="9"/>
        <v>2978798.53427896</v>
      </c>
      <c r="AU376" s="314">
        <f t="shared" si="10"/>
        <v>2136836.6443014708</v>
      </c>
      <c r="AV376" s="314">
        <f t="shared" si="1"/>
        <v>11059280.043049399</v>
      </c>
      <c r="AW376" s="314">
        <f t="shared" si="1"/>
        <v>8636577.5681834593</v>
      </c>
    </row>
    <row r="377" spans="1:49" x14ac:dyDescent="0.25">
      <c r="A377" s="311">
        <v>1878615</v>
      </c>
      <c r="B377" s="311"/>
      <c r="C377" s="315" t="str">
        <f t="shared" si="2"/>
        <v>PO KHK</v>
      </c>
      <c r="D377" s="315" t="str">
        <f t="shared" si="3"/>
        <v>Domov pro seniory Vrchlabí</v>
      </c>
      <c r="E377" s="315" t="str">
        <f t="shared" si="4"/>
        <v>Domov pro seniory Vrchlabí</v>
      </c>
      <c r="F377" s="313">
        <f t="shared" si="5"/>
        <v>1878615</v>
      </c>
      <c r="G377" s="313"/>
      <c r="H377" s="313"/>
      <c r="I377" s="313"/>
      <c r="J377" s="313"/>
      <c r="K377" s="313"/>
      <c r="L377" s="313"/>
      <c r="M377" s="313"/>
      <c r="N377" s="313"/>
      <c r="O377" s="313"/>
      <c r="P377" s="313"/>
      <c r="Q377" s="313"/>
      <c r="R377" s="313"/>
      <c r="S377" s="313"/>
      <c r="T377" s="313">
        <f t="shared" si="6"/>
        <v>1.07</v>
      </c>
      <c r="U377" s="313">
        <f t="shared" si="11"/>
        <v>0.05</v>
      </c>
      <c r="V377" s="313">
        <f t="shared" si="11"/>
        <v>0.55000000000000004</v>
      </c>
      <c r="W377" s="313">
        <f t="shared" si="11"/>
        <v>0.47</v>
      </c>
      <c r="X377" s="313">
        <f t="shared" si="11"/>
        <v>0</v>
      </c>
      <c r="Y377" s="313">
        <f t="shared" si="11"/>
        <v>3</v>
      </c>
      <c r="Z377" s="313">
        <f t="shared" si="11"/>
        <v>0</v>
      </c>
      <c r="AA377" s="313">
        <f t="shared" si="11"/>
        <v>0</v>
      </c>
      <c r="AB377" s="313">
        <f t="shared" si="11"/>
        <v>0</v>
      </c>
      <c r="AD377" s="313">
        <f t="shared" si="11"/>
        <v>1.07</v>
      </c>
      <c r="AE377" s="313">
        <f t="shared" si="11"/>
        <v>0.05</v>
      </c>
      <c r="AF377" s="313">
        <f t="shared" si="11"/>
        <v>0.55000000000000004</v>
      </c>
      <c r="AG377" s="313">
        <f t="shared" si="11"/>
        <v>0.47</v>
      </c>
      <c r="AH377" s="313">
        <f t="shared" si="11"/>
        <v>0</v>
      </c>
      <c r="AI377" s="313">
        <f t="shared" si="11"/>
        <v>3</v>
      </c>
      <c r="AJ377" s="313">
        <f t="shared" si="11"/>
        <v>0</v>
      </c>
      <c r="AL377" s="314">
        <f t="shared" si="11"/>
        <v>603746.31822532823</v>
      </c>
      <c r="AM377" s="314">
        <f t="shared" si="12"/>
        <v>0</v>
      </c>
      <c r="AN377" s="314">
        <f t="shared" si="9"/>
        <v>164346.77426312948</v>
      </c>
      <c r="AO377" s="314">
        <f t="shared" si="9"/>
        <v>90068.114467499865</v>
      </c>
      <c r="AP377" s="314">
        <f t="shared" si="9"/>
        <v>858161.20695595758</v>
      </c>
      <c r="AR377" s="314">
        <f t="shared" si="9"/>
        <v>129927.92770067682</v>
      </c>
      <c r="AS377" s="314">
        <f t="shared" si="9"/>
        <v>0</v>
      </c>
      <c r="AT377" s="314">
        <f t="shared" si="9"/>
        <v>115365.9375</v>
      </c>
      <c r="AU377" s="314">
        <f t="shared" si="10"/>
        <v>71686.350000000006</v>
      </c>
      <c r="AV377" s="314">
        <f t="shared" si="1"/>
        <v>316980.21520067682</v>
      </c>
      <c r="AW377" s="314">
        <f t="shared" si="1"/>
        <v>541180.99175528076</v>
      </c>
    </row>
    <row r="378" spans="1:49" x14ac:dyDescent="0.25">
      <c r="A378" s="311">
        <v>1905494</v>
      </c>
      <c r="B378" s="311"/>
      <c r="C378" s="315" t="str">
        <f t="shared" si="2"/>
        <v>NZO</v>
      </c>
      <c r="D378" s="315" t="str">
        <f t="shared" si="3"/>
        <v>Domov Arreta o.p.s.</v>
      </c>
      <c r="E378" s="315" t="str">
        <f t="shared" si="4"/>
        <v>Domov Arreta o.p.s.</v>
      </c>
      <c r="F378" s="313">
        <f t="shared" si="5"/>
        <v>1905494</v>
      </c>
      <c r="G378" s="313"/>
      <c r="H378" s="313"/>
      <c r="I378" s="313"/>
      <c r="J378" s="313"/>
      <c r="K378" s="313"/>
      <c r="L378" s="313"/>
      <c r="M378" s="313"/>
      <c r="N378" s="313"/>
      <c r="O378" s="313"/>
      <c r="P378" s="313"/>
      <c r="Q378" s="313"/>
      <c r="R378" s="313"/>
      <c r="S378" s="313"/>
      <c r="T378" s="313">
        <f t="shared" si="6"/>
        <v>12.14</v>
      </c>
      <c r="U378" s="313">
        <f t="shared" si="11"/>
        <v>1.1399999999999999</v>
      </c>
      <c r="V378" s="313">
        <f t="shared" si="11"/>
        <v>11</v>
      </c>
      <c r="W378" s="313">
        <f t="shared" si="11"/>
        <v>0</v>
      </c>
      <c r="X378" s="313">
        <f t="shared" si="11"/>
        <v>0</v>
      </c>
      <c r="Y378" s="313">
        <f t="shared" si="11"/>
        <v>22</v>
      </c>
      <c r="Z378" s="313">
        <f t="shared" si="11"/>
        <v>0</v>
      </c>
      <c r="AA378" s="313">
        <f t="shared" si="11"/>
        <v>0</v>
      </c>
      <c r="AB378" s="313">
        <f t="shared" si="11"/>
        <v>0</v>
      </c>
      <c r="AD378" s="313">
        <f t="shared" si="11"/>
        <v>12.14</v>
      </c>
      <c r="AE378" s="313">
        <f t="shared" si="11"/>
        <v>1.1399999999999999</v>
      </c>
      <c r="AF378" s="313">
        <f t="shared" si="11"/>
        <v>11</v>
      </c>
      <c r="AG378" s="313">
        <f t="shared" si="11"/>
        <v>0</v>
      </c>
      <c r="AH378" s="313">
        <f t="shared" si="11"/>
        <v>0</v>
      </c>
      <c r="AI378" s="313">
        <f t="shared" si="11"/>
        <v>22</v>
      </c>
      <c r="AJ378" s="313">
        <f t="shared" si="11"/>
        <v>0</v>
      </c>
      <c r="AL378" s="314">
        <f t="shared" si="11"/>
        <v>6849981.5918275556</v>
      </c>
      <c r="AM378" s="314">
        <f t="shared" si="12"/>
        <v>0</v>
      </c>
      <c r="AN378" s="314">
        <f t="shared" si="9"/>
        <v>1205209.6779296163</v>
      </c>
      <c r="AO378" s="314">
        <f t="shared" si="9"/>
        <v>660499.50609499903</v>
      </c>
      <c r="AP378" s="314">
        <f t="shared" si="9"/>
        <v>8715690.7758521717</v>
      </c>
      <c r="AR378" s="314">
        <f t="shared" si="9"/>
        <v>1401183.5340269068</v>
      </c>
      <c r="AS378" s="314">
        <f t="shared" si="9"/>
        <v>0</v>
      </c>
      <c r="AT378" s="314">
        <f t="shared" si="9"/>
        <v>846016.875</v>
      </c>
      <c r="AU378" s="314">
        <f t="shared" si="10"/>
        <v>525699.9</v>
      </c>
      <c r="AV378" s="314">
        <f t="shared" si="1"/>
        <v>2772900.3090269067</v>
      </c>
      <c r="AW378" s="314">
        <f t="shared" si="1"/>
        <v>5942790.4668252654</v>
      </c>
    </row>
    <row r="379" spans="1:49" x14ac:dyDescent="0.25">
      <c r="A379" s="311">
        <v>1907533</v>
      </c>
      <c r="B379" s="311"/>
      <c r="C379" s="315" t="str">
        <f t="shared" si="2"/>
        <v>NZO</v>
      </c>
      <c r="D379" s="315" t="str">
        <f t="shared" si="3"/>
        <v>Sociálně aktivizační služby pro rodiny s dětmi</v>
      </c>
      <c r="E379" s="315" t="str">
        <f t="shared" si="4"/>
        <v>Oblastní charita Jičín</v>
      </c>
      <c r="F379" s="313">
        <f t="shared" si="5"/>
        <v>1907533</v>
      </c>
      <c r="G379" s="313"/>
      <c r="H379" s="313"/>
      <c r="I379" s="313"/>
      <c r="J379" s="313"/>
      <c r="K379" s="313"/>
      <c r="L379" s="313"/>
      <c r="M379" s="313"/>
      <c r="N379" s="313"/>
      <c r="O379" s="313"/>
      <c r="P379" s="313"/>
      <c r="Q379" s="313"/>
      <c r="R379" s="313"/>
      <c r="S379" s="313"/>
      <c r="T379" s="313">
        <f t="shared" si="6"/>
        <v>8.6999999999999993</v>
      </c>
      <c r="U379" s="313">
        <f t="shared" si="11"/>
        <v>7.5</v>
      </c>
      <c r="V379" s="313">
        <f t="shared" si="11"/>
        <v>0</v>
      </c>
      <c r="W379" s="313">
        <f t="shared" si="11"/>
        <v>0</v>
      </c>
      <c r="X379" s="313">
        <f t="shared" si="11"/>
        <v>1.2</v>
      </c>
      <c r="Y379" s="313">
        <f t="shared" si="11"/>
        <v>0</v>
      </c>
      <c r="Z379" s="313">
        <f t="shared" si="11"/>
        <v>0</v>
      </c>
      <c r="AA379" s="313">
        <f t="shared" si="11"/>
        <v>80</v>
      </c>
      <c r="AB379" s="313">
        <f t="shared" si="11"/>
        <v>0</v>
      </c>
      <c r="AD379" s="313">
        <f t="shared" si="11"/>
        <v>8.6999999999999993</v>
      </c>
      <c r="AE379" s="313">
        <f t="shared" si="11"/>
        <v>7.5</v>
      </c>
      <c r="AF379" s="313">
        <f t="shared" si="11"/>
        <v>0</v>
      </c>
      <c r="AG379" s="313">
        <f t="shared" si="11"/>
        <v>0</v>
      </c>
      <c r="AH379" s="313">
        <f t="shared" si="11"/>
        <v>1.2</v>
      </c>
      <c r="AI379" s="313">
        <f t="shared" si="11"/>
        <v>0</v>
      </c>
      <c r="AJ379" s="313">
        <f t="shared" si="11"/>
        <v>80</v>
      </c>
      <c r="AL379" s="314">
        <f t="shared" si="11"/>
        <v>5608653.3547228891</v>
      </c>
      <c r="AM379" s="314">
        <f t="shared" si="12"/>
        <v>0</v>
      </c>
      <c r="AN379" s="314">
        <f t="shared" si="9"/>
        <v>382528.32724676561</v>
      </c>
      <c r="AO379" s="314">
        <f t="shared" si="9"/>
        <v>0</v>
      </c>
      <c r="AP379" s="314">
        <f t="shared" si="9"/>
        <v>5991181.6819696547</v>
      </c>
      <c r="AR379" s="314">
        <f t="shared" si="9"/>
        <v>0</v>
      </c>
      <c r="AS379" s="314">
        <f t="shared" si="9"/>
        <v>0</v>
      </c>
      <c r="AT379" s="314">
        <f t="shared" si="9"/>
        <v>0</v>
      </c>
      <c r="AU379" s="314">
        <f t="shared" si="10"/>
        <v>0</v>
      </c>
      <c r="AV379" s="314">
        <f t="shared" si="1"/>
        <v>0</v>
      </c>
      <c r="AW379" s="314">
        <f t="shared" si="1"/>
        <v>5991181.6819696547</v>
      </c>
    </row>
    <row r="380" spans="1:49" x14ac:dyDescent="0.25">
      <c r="A380" s="311">
        <v>1961902</v>
      </c>
      <c r="B380" s="311"/>
      <c r="C380" s="315" t="str">
        <f t="shared" si="2"/>
        <v>NZO</v>
      </c>
      <c r="D380" s="315" t="str">
        <f t="shared" si="3"/>
        <v>Stacionář sv. Františka</v>
      </c>
      <c r="E380" s="315" t="str">
        <f t="shared" si="4"/>
        <v>Farní charita Rychnov nad Kněžnou</v>
      </c>
      <c r="F380" s="313">
        <f t="shared" si="5"/>
        <v>1961902</v>
      </c>
      <c r="G380" s="313"/>
      <c r="H380" s="313"/>
      <c r="I380" s="313"/>
      <c r="J380" s="313"/>
      <c r="K380" s="313"/>
      <c r="L380" s="313"/>
      <c r="M380" s="313"/>
      <c r="N380" s="313"/>
      <c r="O380" s="313"/>
      <c r="P380" s="313"/>
      <c r="Q380" s="313"/>
      <c r="R380" s="313"/>
      <c r="S380" s="313"/>
      <c r="T380" s="313">
        <f t="shared" si="6"/>
        <v>4.1899999999999995</v>
      </c>
      <c r="U380" s="313">
        <f t="shared" si="11"/>
        <v>0.2</v>
      </c>
      <c r="V380" s="313">
        <f t="shared" si="11"/>
        <v>2.99</v>
      </c>
      <c r="W380" s="313">
        <f t="shared" si="11"/>
        <v>0.2</v>
      </c>
      <c r="X380" s="313">
        <f t="shared" si="11"/>
        <v>0.8</v>
      </c>
      <c r="Y380" s="313">
        <f t="shared" si="11"/>
        <v>0</v>
      </c>
      <c r="Z380" s="313">
        <f t="shared" si="11"/>
        <v>0</v>
      </c>
      <c r="AA380" s="313">
        <f t="shared" si="11"/>
        <v>22</v>
      </c>
      <c r="AB380" s="313">
        <f t="shared" si="11"/>
        <v>0</v>
      </c>
      <c r="AD380" s="313">
        <f t="shared" si="11"/>
        <v>4.1899999999999995</v>
      </c>
      <c r="AE380" s="313">
        <f t="shared" si="11"/>
        <v>0.2</v>
      </c>
      <c r="AF380" s="313">
        <f t="shared" si="11"/>
        <v>2.99</v>
      </c>
      <c r="AG380" s="313">
        <f t="shared" si="11"/>
        <v>0.2</v>
      </c>
      <c r="AH380" s="313">
        <f t="shared" si="11"/>
        <v>0.8</v>
      </c>
      <c r="AI380" s="313">
        <f t="shared" si="11"/>
        <v>0</v>
      </c>
      <c r="AJ380" s="313">
        <f t="shared" si="11"/>
        <v>22</v>
      </c>
      <c r="AL380" s="314">
        <f t="shared" si="11"/>
        <v>2986656.8160783667</v>
      </c>
      <c r="AM380" s="314">
        <f t="shared" si="12"/>
        <v>0</v>
      </c>
      <c r="AN380" s="314">
        <f t="shared" si="9"/>
        <v>596091.61838858528</v>
      </c>
      <c r="AO380" s="314">
        <f t="shared" si="9"/>
        <v>116557.25156337241</v>
      </c>
      <c r="AP380" s="314">
        <f t="shared" si="9"/>
        <v>3699305.6860303245</v>
      </c>
      <c r="AR380" s="314">
        <f t="shared" si="9"/>
        <v>538224.92156862747</v>
      </c>
      <c r="AS380" s="314">
        <f t="shared" si="9"/>
        <v>0</v>
      </c>
      <c r="AT380" s="314">
        <f t="shared" si="9"/>
        <v>0</v>
      </c>
      <c r="AU380" s="314">
        <f t="shared" si="10"/>
        <v>119950.76923076923</v>
      </c>
      <c r="AV380" s="314">
        <f t="shared" si="1"/>
        <v>658175.69079939672</v>
      </c>
      <c r="AW380" s="314">
        <f t="shared" si="1"/>
        <v>3041129.9952309281</v>
      </c>
    </row>
    <row r="381" spans="1:49" x14ac:dyDescent="0.25">
      <c r="A381" s="311">
        <v>1968420</v>
      </c>
      <c r="B381" s="311"/>
      <c r="C381" s="315" t="str">
        <f t="shared" si="2"/>
        <v>NZO</v>
      </c>
      <c r="D381" s="315" t="str">
        <f t="shared" si="3"/>
        <v>Dům Matky Terezy Hradec Králové</v>
      </c>
      <c r="E381" s="315" t="str">
        <f t="shared" si="4"/>
        <v>Oblastní charita Hradec Králové</v>
      </c>
      <c r="F381" s="313">
        <f t="shared" si="5"/>
        <v>1968420</v>
      </c>
      <c r="G381" s="313"/>
      <c r="H381" s="313"/>
      <c r="I381" s="313"/>
      <c r="J381" s="313"/>
      <c r="K381" s="313"/>
      <c r="L381" s="313"/>
      <c r="M381" s="313"/>
      <c r="N381" s="313"/>
      <c r="O381" s="313"/>
      <c r="P381" s="313"/>
      <c r="Q381" s="313"/>
      <c r="R381" s="313"/>
      <c r="S381" s="313"/>
      <c r="T381" s="313">
        <f t="shared" si="6"/>
        <v>6.11</v>
      </c>
      <c r="U381" s="313">
        <f t="shared" si="11"/>
        <v>0.25</v>
      </c>
      <c r="V381" s="313">
        <f t="shared" si="11"/>
        <v>5.86</v>
      </c>
      <c r="W381" s="313">
        <f t="shared" si="11"/>
        <v>0</v>
      </c>
      <c r="X381" s="313">
        <f t="shared" si="11"/>
        <v>0</v>
      </c>
      <c r="Y381" s="313">
        <f t="shared" si="11"/>
        <v>67</v>
      </c>
      <c r="Z381" s="313">
        <f t="shared" si="11"/>
        <v>0</v>
      </c>
      <c r="AA381" s="313">
        <f t="shared" si="11"/>
        <v>77</v>
      </c>
      <c r="AB381" s="313">
        <f t="shared" si="11"/>
        <v>0</v>
      </c>
      <c r="AD381" s="313">
        <f t="shared" si="11"/>
        <v>6.11</v>
      </c>
      <c r="AE381" s="313">
        <f t="shared" si="11"/>
        <v>0.25</v>
      </c>
      <c r="AF381" s="313">
        <f t="shared" si="11"/>
        <v>5.86</v>
      </c>
      <c r="AG381" s="313">
        <f t="shared" si="11"/>
        <v>0</v>
      </c>
      <c r="AH381" s="313">
        <f t="shared" si="11"/>
        <v>0</v>
      </c>
      <c r="AI381" s="313">
        <f t="shared" si="11"/>
        <v>67</v>
      </c>
      <c r="AJ381" s="313">
        <f t="shared" si="11"/>
        <v>77</v>
      </c>
      <c r="AL381" s="314">
        <f t="shared" si="11"/>
        <v>4145336.0847655567</v>
      </c>
      <c r="AM381" s="314">
        <f t="shared" si="12"/>
        <v>0</v>
      </c>
      <c r="AN381" s="314">
        <f t="shared" si="9"/>
        <v>1434371.8254121093</v>
      </c>
      <c r="AO381" s="314">
        <f t="shared" si="9"/>
        <v>0</v>
      </c>
      <c r="AP381" s="314">
        <f t="shared" si="9"/>
        <v>5579707.9101776658</v>
      </c>
      <c r="AR381" s="314">
        <f t="shared" si="9"/>
        <v>0</v>
      </c>
      <c r="AS381" s="314">
        <f t="shared" si="9"/>
        <v>0</v>
      </c>
      <c r="AT381" s="314">
        <f t="shared" si="9"/>
        <v>468464</v>
      </c>
      <c r="AU381" s="314">
        <f t="shared" si="10"/>
        <v>0</v>
      </c>
      <c r="AV381" s="314">
        <f t="shared" si="1"/>
        <v>468464</v>
      </c>
      <c r="AW381" s="314">
        <f t="shared" si="1"/>
        <v>5111243.9101776658</v>
      </c>
    </row>
    <row r="382" spans="1:49" x14ac:dyDescent="0.25">
      <c r="A382" s="311">
        <v>1991772</v>
      </c>
      <c r="B382" s="311"/>
      <c r="C382" s="315" t="str">
        <f t="shared" si="2"/>
        <v>PO KHK</v>
      </c>
      <c r="D382" s="315" t="str">
        <f t="shared" si="3"/>
        <v>Domov důchodců Náchod</v>
      </c>
      <c r="E382" s="315" t="str">
        <f t="shared" si="4"/>
        <v>Domov důchodců Náchod</v>
      </c>
      <c r="F382" s="313">
        <f t="shared" si="5"/>
        <v>1991772</v>
      </c>
      <c r="G382" s="313"/>
      <c r="H382" s="313"/>
      <c r="I382" s="313"/>
      <c r="J382" s="313"/>
      <c r="K382" s="313"/>
      <c r="L382" s="313"/>
      <c r="M382" s="313"/>
      <c r="N382" s="313"/>
      <c r="O382" s="313"/>
      <c r="P382" s="313"/>
      <c r="Q382" s="313"/>
      <c r="R382" s="313"/>
      <c r="S382" s="313"/>
      <c r="T382" s="313">
        <f t="shared" si="6"/>
        <v>25.8</v>
      </c>
      <c r="U382" s="313">
        <f t="shared" si="11"/>
        <v>1.4</v>
      </c>
      <c r="V382" s="313">
        <f t="shared" si="11"/>
        <v>18</v>
      </c>
      <c r="W382" s="313">
        <f t="shared" si="11"/>
        <v>6.4</v>
      </c>
      <c r="X382" s="313">
        <f t="shared" si="11"/>
        <v>0</v>
      </c>
      <c r="Y382" s="313">
        <f t="shared" si="11"/>
        <v>60</v>
      </c>
      <c r="Z382" s="313">
        <f t="shared" si="11"/>
        <v>0</v>
      </c>
      <c r="AA382" s="313">
        <f t="shared" si="11"/>
        <v>0</v>
      </c>
      <c r="AB382" s="313">
        <f t="shared" si="11"/>
        <v>0</v>
      </c>
      <c r="AD382" s="313">
        <f t="shared" si="11"/>
        <v>25.8</v>
      </c>
      <c r="AE382" s="313">
        <f t="shared" si="11"/>
        <v>1.4</v>
      </c>
      <c r="AF382" s="313">
        <f t="shared" si="11"/>
        <v>18</v>
      </c>
      <c r="AG382" s="313">
        <f t="shared" si="11"/>
        <v>6.4</v>
      </c>
      <c r="AH382" s="313">
        <f t="shared" si="11"/>
        <v>0</v>
      </c>
      <c r="AI382" s="313">
        <f t="shared" si="11"/>
        <v>60</v>
      </c>
      <c r="AJ382" s="313">
        <f t="shared" si="11"/>
        <v>0</v>
      </c>
      <c r="AL382" s="314">
        <f t="shared" si="11"/>
        <v>12379684.959441256</v>
      </c>
      <c r="AM382" s="314">
        <f t="shared" si="12"/>
        <v>5173421.3507924536</v>
      </c>
      <c r="AN382" s="314">
        <f t="shared" si="9"/>
        <v>5791254.9054253614</v>
      </c>
      <c r="AO382" s="314">
        <f t="shared" si="9"/>
        <v>3905247.556300838</v>
      </c>
      <c r="AP382" s="314">
        <f t="shared" si="9"/>
        <v>27249608.771959908</v>
      </c>
      <c r="AR382" s="314">
        <f t="shared" si="9"/>
        <v>7204093.2000000002</v>
      </c>
      <c r="AS382" s="314">
        <f t="shared" si="9"/>
        <v>1348925.7749999999</v>
      </c>
      <c r="AT382" s="314">
        <f t="shared" si="9"/>
        <v>3986509.6551724141</v>
      </c>
      <c r="AU382" s="314">
        <f t="shared" si="10"/>
        <v>3060081</v>
      </c>
      <c r="AV382" s="314">
        <f t="shared" si="1"/>
        <v>15599609.630172413</v>
      </c>
      <c r="AW382" s="314">
        <f t="shared" si="1"/>
        <v>11649999.141787495</v>
      </c>
    </row>
    <row r="383" spans="1:49" x14ac:dyDescent="0.25">
      <c r="A383" s="311">
        <v>2015983</v>
      </c>
      <c r="B383" s="311"/>
      <c r="C383" s="315" t="str">
        <f t="shared" si="2"/>
        <v>Obce</v>
      </c>
      <c r="D383" s="315" t="str">
        <f t="shared" si="3"/>
        <v>Středisko sociálních služeb Chlumec nad Cidlinou o.p.s.</v>
      </c>
      <c r="E383" s="315" t="str">
        <f t="shared" si="4"/>
        <v>Středisko sociálních služeb Chlumec nad Cidlinou o.p.s.</v>
      </c>
      <c r="F383" s="313">
        <f t="shared" si="5"/>
        <v>2015983</v>
      </c>
      <c r="G383" s="313"/>
      <c r="H383" s="313"/>
      <c r="I383" s="313"/>
      <c r="J383" s="313"/>
      <c r="K383" s="313"/>
      <c r="L383" s="313"/>
      <c r="M383" s="313"/>
      <c r="N383" s="313"/>
      <c r="O383" s="313"/>
      <c r="P383" s="313"/>
      <c r="Q383" s="313"/>
      <c r="R383" s="313"/>
      <c r="S383" s="313"/>
      <c r="T383" s="313">
        <f t="shared" si="6"/>
        <v>2</v>
      </c>
      <c r="U383" s="313">
        <f t="shared" ref="U383:AL398" si="13">SUMIFS(U$4:U$337,$A$4:$A$337,$A383)</f>
        <v>0</v>
      </c>
      <c r="V383" s="313">
        <f t="shared" si="13"/>
        <v>2</v>
      </c>
      <c r="W383" s="313">
        <f t="shared" si="13"/>
        <v>0</v>
      </c>
      <c r="X383" s="313">
        <f t="shared" si="13"/>
        <v>0</v>
      </c>
      <c r="Y383" s="313">
        <f t="shared" si="13"/>
        <v>0</v>
      </c>
      <c r="Z383" s="313">
        <f t="shared" si="13"/>
        <v>0</v>
      </c>
      <c r="AA383" s="313">
        <f t="shared" si="13"/>
        <v>12</v>
      </c>
      <c r="AB383" s="313">
        <f t="shared" si="13"/>
        <v>0</v>
      </c>
      <c r="AD383" s="313">
        <f t="shared" si="13"/>
        <v>2</v>
      </c>
      <c r="AE383" s="313">
        <f t="shared" si="13"/>
        <v>0</v>
      </c>
      <c r="AF383" s="313">
        <f t="shared" si="13"/>
        <v>2</v>
      </c>
      <c r="AG383" s="313">
        <f t="shared" si="13"/>
        <v>0</v>
      </c>
      <c r="AH383" s="313">
        <f t="shared" si="13"/>
        <v>0</v>
      </c>
      <c r="AI383" s="313">
        <f t="shared" si="13"/>
        <v>0</v>
      </c>
      <c r="AJ383" s="313">
        <f t="shared" si="13"/>
        <v>12</v>
      </c>
      <c r="AL383" s="314">
        <f t="shared" si="13"/>
        <v>1142479.2551624263</v>
      </c>
      <c r="AM383" s="314">
        <f t="shared" si="12"/>
        <v>0</v>
      </c>
      <c r="AN383" s="314">
        <f t="shared" si="9"/>
        <v>223246.04467183742</v>
      </c>
      <c r="AO383" s="314">
        <f t="shared" si="9"/>
        <v>6333.9967788128779</v>
      </c>
      <c r="AP383" s="314">
        <f t="shared" si="9"/>
        <v>1372059.2966130767</v>
      </c>
      <c r="AR383" s="314">
        <f t="shared" si="9"/>
        <v>227202</v>
      </c>
      <c r="AS383" s="314">
        <f t="shared" si="9"/>
        <v>0</v>
      </c>
      <c r="AT383" s="314">
        <f t="shared" si="9"/>
        <v>0</v>
      </c>
      <c r="AU383" s="314">
        <f t="shared" si="10"/>
        <v>0</v>
      </c>
      <c r="AV383" s="314">
        <f t="shared" si="1"/>
        <v>227202</v>
      </c>
      <c r="AW383" s="314">
        <f t="shared" si="1"/>
        <v>1144857.2966130767</v>
      </c>
    </row>
    <row r="384" spans="1:49" x14ac:dyDescent="0.25">
      <c r="A384" s="311">
        <v>2028356</v>
      </c>
      <c r="B384" s="311"/>
      <c r="C384" s="315" t="str">
        <f t="shared" si="2"/>
        <v>NZO</v>
      </c>
      <c r="D384" s="315" t="str">
        <f t="shared" si="3"/>
        <v>Charitní pečovatelská služba Červený Kostelec</v>
      </c>
      <c r="E384" s="315" t="str">
        <f t="shared" si="4"/>
        <v>Oblastní charita Červený Kostelec</v>
      </c>
      <c r="F384" s="313">
        <f t="shared" si="5"/>
        <v>2028356</v>
      </c>
      <c r="G384" s="313"/>
      <c r="H384" s="313"/>
      <c r="I384" s="313"/>
      <c r="J384" s="313"/>
      <c r="K384" s="313"/>
      <c r="L384" s="313"/>
      <c r="M384" s="313"/>
      <c r="N384" s="313"/>
      <c r="O384" s="313"/>
      <c r="P384" s="313"/>
      <c r="Q384" s="313"/>
      <c r="R384" s="313"/>
      <c r="S384" s="313"/>
      <c r="T384" s="313">
        <f t="shared" si="6"/>
        <v>10.25</v>
      </c>
      <c r="U384" s="313">
        <f t="shared" si="13"/>
        <v>0.9</v>
      </c>
      <c r="V384" s="313">
        <f t="shared" si="13"/>
        <v>9.35</v>
      </c>
      <c r="W384" s="313">
        <f t="shared" si="13"/>
        <v>0</v>
      </c>
      <c r="X384" s="313">
        <f t="shared" si="13"/>
        <v>0</v>
      </c>
      <c r="Y384" s="313">
        <f t="shared" si="13"/>
        <v>0</v>
      </c>
      <c r="Z384" s="313">
        <f t="shared" si="13"/>
        <v>200</v>
      </c>
      <c r="AA384" s="313">
        <f t="shared" si="13"/>
        <v>0</v>
      </c>
      <c r="AB384" s="313">
        <f t="shared" si="13"/>
        <v>0</v>
      </c>
      <c r="AD384" s="313">
        <f t="shared" si="13"/>
        <v>10.25</v>
      </c>
      <c r="AE384" s="313">
        <f t="shared" si="13"/>
        <v>0.9</v>
      </c>
      <c r="AF384" s="313">
        <f t="shared" si="13"/>
        <v>9.35</v>
      </c>
      <c r="AG384" s="313">
        <f t="shared" si="13"/>
        <v>0</v>
      </c>
      <c r="AH384" s="313">
        <f t="shared" si="13"/>
        <v>0</v>
      </c>
      <c r="AI384" s="313">
        <f t="shared" si="13"/>
        <v>0</v>
      </c>
      <c r="AJ384" s="313">
        <f t="shared" si="13"/>
        <v>0</v>
      </c>
      <c r="AL384" s="314">
        <f t="shared" si="13"/>
        <v>5661669.5111799678</v>
      </c>
      <c r="AM384" s="314">
        <f t="shared" si="12"/>
        <v>0</v>
      </c>
      <c r="AN384" s="314">
        <f t="shared" si="9"/>
        <v>428865.79184497957</v>
      </c>
      <c r="AO384" s="314">
        <f t="shared" si="9"/>
        <v>0</v>
      </c>
      <c r="AP384" s="314">
        <f t="shared" si="9"/>
        <v>6090535.3030249476</v>
      </c>
      <c r="AR384" s="314">
        <f t="shared" si="9"/>
        <v>1297361.45</v>
      </c>
      <c r="AS384" s="314">
        <f t="shared" si="9"/>
        <v>0</v>
      </c>
      <c r="AT384" s="314">
        <f t="shared" si="9"/>
        <v>0</v>
      </c>
      <c r="AU384" s="314">
        <f t="shared" si="10"/>
        <v>0</v>
      </c>
      <c r="AV384" s="314">
        <f t="shared" si="1"/>
        <v>1297361.45</v>
      </c>
      <c r="AW384" s="314">
        <f t="shared" si="1"/>
        <v>4793173.8530249475</v>
      </c>
    </row>
    <row r="385" spans="1:49" x14ac:dyDescent="0.25">
      <c r="A385" s="311">
        <v>2039109</v>
      </c>
      <c r="B385" s="311"/>
      <c r="C385" s="315" t="str">
        <f t="shared" si="2"/>
        <v>NZO</v>
      </c>
      <c r="D385" s="315" t="str">
        <f t="shared" si="3"/>
        <v>Centrum Orion</v>
      </c>
      <c r="E385" s="315" t="str">
        <f t="shared" si="4"/>
        <v>Centrum Orion, z. s.</v>
      </c>
      <c r="F385" s="313">
        <f t="shared" si="5"/>
        <v>2039109</v>
      </c>
      <c r="G385" s="313"/>
      <c r="H385" s="313"/>
      <c r="I385" s="313"/>
      <c r="J385" s="313"/>
      <c r="K385" s="313"/>
      <c r="L385" s="313"/>
      <c r="M385" s="313"/>
      <c r="N385" s="313"/>
      <c r="O385" s="313"/>
      <c r="P385" s="313"/>
      <c r="Q385" s="313"/>
      <c r="R385" s="313"/>
      <c r="S385" s="313"/>
      <c r="T385" s="313">
        <f t="shared" si="6"/>
        <v>9</v>
      </c>
      <c r="U385" s="313">
        <f t="shared" si="13"/>
        <v>1</v>
      </c>
      <c r="V385" s="313">
        <f t="shared" si="13"/>
        <v>8</v>
      </c>
      <c r="W385" s="313">
        <f t="shared" si="13"/>
        <v>0</v>
      </c>
      <c r="X385" s="313">
        <f t="shared" si="13"/>
        <v>0</v>
      </c>
      <c r="Y385" s="313">
        <f t="shared" si="13"/>
        <v>0</v>
      </c>
      <c r="Z385" s="313">
        <f t="shared" si="13"/>
        <v>55</v>
      </c>
      <c r="AA385" s="313">
        <f t="shared" si="13"/>
        <v>0</v>
      </c>
      <c r="AB385" s="313">
        <f t="shared" si="13"/>
        <v>0</v>
      </c>
      <c r="AD385" s="313">
        <f t="shared" si="13"/>
        <v>9</v>
      </c>
      <c r="AE385" s="313">
        <f t="shared" si="13"/>
        <v>1</v>
      </c>
      <c r="AF385" s="313">
        <f t="shared" si="13"/>
        <v>8</v>
      </c>
      <c r="AG385" s="313">
        <f t="shared" si="13"/>
        <v>0</v>
      </c>
      <c r="AH385" s="313">
        <f t="shared" si="13"/>
        <v>0</v>
      </c>
      <c r="AI385" s="313">
        <f t="shared" si="13"/>
        <v>0</v>
      </c>
      <c r="AJ385" s="313">
        <f t="shared" si="13"/>
        <v>0</v>
      </c>
      <c r="AL385" s="314">
        <f t="shared" si="13"/>
        <v>4596926.7304320466</v>
      </c>
      <c r="AM385" s="314">
        <f t="shared" si="12"/>
        <v>0</v>
      </c>
      <c r="AN385" s="314">
        <f t="shared" si="9"/>
        <v>174129.90030631263</v>
      </c>
      <c r="AO385" s="314">
        <f t="shared" si="9"/>
        <v>0</v>
      </c>
      <c r="AP385" s="314">
        <f t="shared" si="9"/>
        <v>4771056.6307383599</v>
      </c>
      <c r="AR385" s="314">
        <f t="shared" si="9"/>
        <v>999750.72384540644</v>
      </c>
      <c r="AS385" s="314">
        <f t="shared" si="9"/>
        <v>0</v>
      </c>
      <c r="AT385" s="314">
        <f t="shared" si="9"/>
        <v>0</v>
      </c>
      <c r="AU385" s="314">
        <f t="shared" si="10"/>
        <v>0</v>
      </c>
      <c r="AV385" s="314">
        <f t="shared" si="1"/>
        <v>999750.72384540644</v>
      </c>
      <c r="AW385" s="314">
        <f t="shared" si="1"/>
        <v>3771305.9068929534</v>
      </c>
    </row>
    <row r="386" spans="1:49" x14ac:dyDescent="0.25">
      <c r="A386" s="311">
        <v>2089762</v>
      </c>
      <c r="B386" s="311"/>
      <c r="C386" s="315" t="str">
        <f t="shared" si="2"/>
        <v>PO KHK</v>
      </c>
      <c r="D386" s="315" t="str">
        <f t="shared" si="3"/>
        <v>Ústav sociální péče pro mládež Kvasiny</v>
      </c>
      <c r="E386" s="315" t="str">
        <f t="shared" si="4"/>
        <v>Ústav sociální péče pro mládež Kvasiny</v>
      </c>
      <c r="F386" s="313">
        <f t="shared" si="5"/>
        <v>2089762</v>
      </c>
      <c r="G386" s="313"/>
      <c r="H386" s="313"/>
      <c r="I386" s="313"/>
      <c r="J386" s="313"/>
      <c r="K386" s="313"/>
      <c r="L386" s="313"/>
      <c r="M386" s="313"/>
      <c r="N386" s="313"/>
      <c r="O386" s="313"/>
      <c r="P386" s="313"/>
      <c r="Q386" s="313"/>
      <c r="R386" s="313"/>
      <c r="S386" s="313"/>
      <c r="T386" s="313">
        <f t="shared" si="6"/>
        <v>50</v>
      </c>
      <c r="U386" s="313">
        <f t="shared" si="13"/>
        <v>3</v>
      </c>
      <c r="V386" s="313">
        <f t="shared" si="13"/>
        <v>40</v>
      </c>
      <c r="W386" s="313">
        <f t="shared" si="13"/>
        <v>7</v>
      </c>
      <c r="X386" s="313">
        <f t="shared" si="13"/>
        <v>0</v>
      </c>
      <c r="Y386" s="313">
        <f t="shared" si="13"/>
        <v>78</v>
      </c>
      <c r="Z386" s="313">
        <f t="shared" si="13"/>
        <v>0</v>
      </c>
      <c r="AA386" s="313">
        <f t="shared" si="13"/>
        <v>0</v>
      </c>
      <c r="AB386" s="313">
        <f t="shared" si="13"/>
        <v>0</v>
      </c>
      <c r="AD386" s="313">
        <f t="shared" si="13"/>
        <v>50</v>
      </c>
      <c r="AE386" s="313">
        <f t="shared" si="13"/>
        <v>3</v>
      </c>
      <c r="AF386" s="313">
        <f t="shared" si="13"/>
        <v>40</v>
      </c>
      <c r="AG386" s="313">
        <f t="shared" si="13"/>
        <v>7</v>
      </c>
      <c r="AH386" s="313">
        <f t="shared" si="13"/>
        <v>0</v>
      </c>
      <c r="AI386" s="313">
        <f t="shared" si="13"/>
        <v>78</v>
      </c>
      <c r="AJ386" s="313">
        <f t="shared" si="13"/>
        <v>0</v>
      </c>
      <c r="AL386" s="314">
        <f t="shared" si="13"/>
        <v>27498823.430853963</v>
      </c>
      <c r="AM386" s="314">
        <f t="shared" si="12"/>
        <v>5680009.7752266256</v>
      </c>
      <c r="AN386" s="314">
        <f t="shared" si="9"/>
        <v>7959820.8783768313</v>
      </c>
      <c r="AO386" s="314">
        <f t="shared" si="9"/>
        <v>5112822.2884043641</v>
      </c>
      <c r="AP386" s="314">
        <f t="shared" si="9"/>
        <v>46251476.372861788</v>
      </c>
      <c r="AR386" s="314">
        <f t="shared" si="9"/>
        <v>8277387.7588235298</v>
      </c>
      <c r="AS386" s="314">
        <f t="shared" si="9"/>
        <v>2055278.588235294</v>
      </c>
      <c r="AT386" s="314">
        <f t="shared" si="9"/>
        <v>3731150.5263157897</v>
      </c>
      <c r="AU386" s="314">
        <f t="shared" si="10"/>
        <v>3531032.7</v>
      </c>
      <c r="AV386" s="314">
        <f t="shared" si="1"/>
        <v>17594849.573374614</v>
      </c>
      <c r="AW386" s="314">
        <f t="shared" si="1"/>
        <v>28656626.799487174</v>
      </c>
    </row>
    <row r="387" spans="1:49" x14ac:dyDescent="0.25">
      <c r="A387" s="311">
        <v>2093343</v>
      </c>
      <c r="B387" s="311"/>
      <c r="C387" s="315" t="str">
        <f t="shared" si="2"/>
        <v>NZO</v>
      </c>
      <c r="D387" s="315" t="str">
        <f t="shared" si="3"/>
        <v>Základní a odborné poradenství pro zrakově postižené</v>
      </c>
      <c r="E387" s="315" t="str">
        <f t="shared" si="4"/>
        <v>TyfloCentrum Hradec Králové, o. p. s.</v>
      </c>
      <c r="F387" s="313">
        <f t="shared" si="5"/>
        <v>2093343</v>
      </c>
      <c r="G387" s="313"/>
      <c r="H387" s="313"/>
      <c r="I387" s="313"/>
      <c r="J387" s="313"/>
      <c r="K387" s="313"/>
      <c r="L387" s="313"/>
      <c r="M387" s="313"/>
      <c r="N387" s="313"/>
      <c r="O387" s="313"/>
      <c r="P387" s="313"/>
      <c r="Q387" s="313"/>
      <c r="R387" s="313"/>
      <c r="S387" s="313"/>
      <c r="T387" s="313">
        <f t="shared" si="6"/>
        <v>1.1499999999999999</v>
      </c>
      <c r="U387" s="313">
        <f t="shared" si="13"/>
        <v>1.1499999999999999</v>
      </c>
      <c r="V387" s="313">
        <f t="shared" si="13"/>
        <v>0</v>
      </c>
      <c r="W387" s="313">
        <f t="shared" si="13"/>
        <v>0</v>
      </c>
      <c r="X387" s="313">
        <f t="shared" si="13"/>
        <v>0</v>
      </c>
      <c r="Y387" s="313">
        <f t="shared" si="13"/>
        <v>0</v>
      </c>
      <c r="Z387" s="313">
        <f t="shared" si="13"/>
        <v>4</v>
      </c>
      <c r="AA387" s="313">
        <f t="shared" si="13"/>
        <v>0</v>
      </c>
      <c r="AB387" s="313">
        <f t="shared" si="13"/>
        <v>0</v>
      </c>
      <c r="AD387" s="313">
        <f t="shared" si="13"/>
        <v>1.1499999999999999</v>
      </c>
      <c r="AE387" s="313">
        <f t="shared" si="13"/>
        <v>1.1499999999999999</v>
      </c>
      <c r="AF387" s="313">
        <f t="shared" si="13"/>
        <v>0</v>
      </c>
      <c r="AG387" s="313">
        <f t="shared" si="13"/>
        <v>0</v>
      </c>
      <c r="AH387" s="313">
        <f t="shared" si="13"/>
        <v>0</v>
      </c>
      <c r="AI387" s="313">
        <f t="shared" si="13"/>
        <v>0</v>
      </c>
      <c r="AJ387" s="313">
        <f t="shared" si="13"/>
        <v>0</v>
      </c>
      <c r="AL387" s="314">
        <f t="shared" si="13"/>
        <v>765761.13289725187</v>
      </c>
      <c r="AM387" s="314">
        <f t="shared" si="12"/>
        <v>0</v>
      </c>
      <c r="AN387" s="314">
        <f t="shared" si="9"/>
        <v>53137.832203556558</v>
      </c>
      <c r="AO387" s="314">
        <f t="shared" si="9"/>
        <v>0</v>
      </c>
      <c r="AP387" s="314">
        <f t="shared" si="9"/>
        <v>818898.96510080842</v>
      </c>
      <c r="AR387" s="314">
        <f t="shared" si="9"/>
        <v>0</v>
      </c>
      <c r="AS387" s="314">
        <f t="shared" si="9"/>
        <v>0</v>
      </c>
      <c r="AT387" s="314">
        <f t="shared" si="9"/>
        <v>0</v>
      </c>
      <c r="AU387" s="314">
        <f t="shared" si="10"/>
        <v>0</v>
      </c>
      <c r="AV387" s="314">
        <f t="shared" si="1"/>
        <v>0</v>
      </c>
      <c r="AW387" s="314">
        <f t="shared" si="1"/>
        <v>818898.96510080842</v>
      </c>
    </row>
    <row r="388" spans="1:49" x14ac:dyDescent="0.25">
      <c r="A388" s="311">
        <v>2125600</v>
      </c>
      <c r="B388" s="311"/>
      <c r="C388" s="315" t="str">
        <f t="shared" si="2"/>
        <v>Obce</v>
      </c>
      <c r="D388" s="315" t="str">
        <f t="shared" si="3"/>
        <v>Domov důchodců ChD - Zdislava</v>
      </c>
      <c r="E388" s="315" t="str">
        <f t="shared" si="4"/>
        <v>Domov důchodců ChD - Zdislava</v>
      </c>
      <c r="F388" s="313">
        <f t="shared" si="5"/>
        <v>2125600</v>
      </c>
      <c r="G388" s="313"/>
      <c r="H388" s="313"/>
      <c r="I388" s="313"/>
      <c r="J388" s="313"/>
      <c r="K388" s="313"/>
      <c r="L388" s="313"/>
      <c r="M388" s="313"/>
      <c r="N388" s="313"/>
      <c r="O388" s="313"/>
      <c r="P388" s="313"/>
      <c r="Q388" s="313"/>
      <c r="R388" s="313"/>
      <c r="S388" s="313"/>
      <c r="T388" s="313">
        <f t="shared" si="6"/>
        <v>27.5</v>
      </c>
      <c r="U388" s="313">
        <f t="shared" si="13"/>
        <v>2</v>
      </c>
      <c r="V388" s="313">
        <f t="shared" si="13"/>
        <v>18.5</v>
      </c>
      <c r="W388" s="313">
        <f t="shared" si="13"/>
        <v>7</v>
      </c>
      <c r="X388" s="313">
        <f t="shared" si="13"/>
        <v>0</v>
      </c>
      <c r="Y388" s="313">
        <f t="shared" si="13"/>
        <v>54</v>
      </c>
      <c r="Z388" s="313">
        <f t="shared" si="13"/>
        <v>0</v>
      </c>
      <c r="AA388" s="313">
        <f t="shared" si="13"/>
        <v>0</v>
      </c>
      <c r="AB388" s="313">
        <f t="shared" si="13"/>
        <v>0</v>
      </c>
      <c r="AD388" s="313">
        <f t="shared" si="13"/>
        <v>27.5</v>
      </c>
      <c r="AE388" s="313">
        <f t="shared" si="13"/>
        <v>2</v>
      </c>
      <c r="AF388" s="313">
        <f t="shared" si="13"/>
        <v>18.5</v>
      </c>
      <c r="AG388" s="313">
        <f t="shared" si="13"/>
        <v>7</v>
      </c>
      <c r="AH388" s="313">
        <f t="shared" si="13"/>
        <v>0</v>
      </c>
      <c r="AI388" s="313">
        <f t="shared" si="13"/>
        <v>54</v>
      </c>
      <c r="AJ388" s="313">
        <f t="shared" si="13"/>
        <v>0</v>
      </c>
      <c r="AL388" s="314">
        <f t="shared" si="13"/>
        <v>13366094.085694052</v>
      </c>
      <c r="AM388" s="314">
        <f t="shared" si="12"/>
        <v>5674946.8547536954</v>
      </c>
      <c r="AN388" s="314">
        <f t="shared" si="9"/>
        <v>5296083.6560939057</v>
      </c>
      <c r="AO388" s="314">
        <f t="shared" si="9"/>
        <v>3713639.3980725328</v>
      </c>
      <c r="AP388" s="314">
        <f t="shared" si="9"/>
        <v>28050763.994614188</v>
      </c>
      <c r="AR388" s="314">
        <f t="shared" si="9"/>
        <v>6062606.1984166251</v>
      </c>
      <c r="AS388" s="314">
        <f t="shared" si="9"/>
        <v>1579222.9130434783</v>
      </c>
      <c r="AT388" s="314">
        <f t="shared" si="9"/>
        <v>3829883.8297872338</v>
      </c>
      <c r="AU388" s="314">
        <f t="shared" si="10"/>
        <v>2747361.3998161764</v>
      </c>
      <c r="AV388" s="314">
        <f t="shared" si="1"/>
        <v>14219074.341063512</v>
      </c>
      <c r="AW388" s="314">
        <f t="shared" si="1"/>
        <v>13831689.653550675</v>
      </c>
    </row>
    <row r="389" spans="1:49" x14ac:dyDescent="0.25">
      <c r="A389" s="311">
        <v>2174839</v>
      </c>
      <c r="B389" s="311"/>
      <c r="C389" s="315" t="str">
        <f t="shared" si="2"/>
        <v>NZO</v>
      </c>
      <c r="D389" s="315" t="str">
        <f t="shared" si="3"/>
        <v>NZDM KLÍDEK</v>
      </c>
      <c r="E389" s="315" t="str">
        <f t="shared" si="4"/>
        <v>PROSTOR PRO, o.p.s.</v>
      </c>
      <c r="F389" s="313">
        <f t="shared" si="5"/>
        <v>2174839</v>
      </c>
      <c r="G389" s="313"/>
      <c r="H389" s="313"/>
      <c r="I389" s="313"/>
      <c r="J389" s="313"/>
      <c r="K389" s="313"/>
      <c r="L389" s="313"/>
      <c r="M389" s="313"/>
      <c r="N389" s="313"/>
      <c r="O389" s="313"/>
      <c r="P389" s="313"/>
      <c r="Q389" s="313"/>
      <c r="R389" s="313"/>
      <c r="S389" s="313"/>
      <c r="T389" s="313">
        <f t="shared" si="6"/>
        <v>5</v>
      </c>
      <c r="U389" s="313">
        <f t="shared" si="13"/>
        <v>5</v>
      </c>
      <c r="V389" s="313">
        <f t="shared" si="13"/>
        <v>0</v>
      </c>
      <c r="W389" s="313">
        <f t="shared" si="13"/>
        <v>0</v>
      </c>
      <c r="X389" s="313">
        <f t="shared" si="13"/>
        <v>0</v>
      </c>
      <c r="Y389" s="313">
        <f t="shared" si="13"/>
        <v>0</v>
      </c>
      <c r="Z389" s="313">
        <f t="shared" si="13"/>
        <v>0</v>
      </c>
      <c r="AA389" s="313">
        <f t="shared" si="13"/>
        <v>20</v>
      </c>
      <c r="AB389" s="313">
        <f t="shared" si="13"/>
        <v>0</v>
      </c>
      <c r="AD389" s="313">
        <f t="shared" si="13"/>
        <v>5</v>
      </c>
      <c r="AE389" s="313">
        <f t="shared" si="13"/>
        <v>5</v>
      </c>
      <c r="AF389" s="313">
        <f t="shared" si="13"/>
        <v>0</v>
      </c>
      <c r="AG389" s="313">
        <f t="shared" si="13"/>
        <v>0</v>
      </c>
      <c r="AH389" s="313">
        <f t="shared" si="13"/>
        <v>0</v>
      </c>
      <c r="AI389" s="313">
        <f t="shared" si="13"/>
        <v>0</v>
      </c>
      <c r="AJ389" s="313">
        <f t="shared" si="13"/>
        <v>20</v>
      </c>
      <c r="AL389" s="314">
        <f t="shared" si="13"/>
        <v>2874140.5278286356</v>
      </c>
      <c r="AM389" s="314">
        <f t="shared" si="12"/>
        <v>0</v>
      </c>
      <c r="AN389" s="314">
        <f t="shared" si="9"/>
        <v>276732.04306936235</v>
      </c>
      <c r="AO389" s="314">
        <f t="shared" si="9"/>
        <v>0</v>
      </c>
      <c r="AP389" s="314">
        <f t="shared" si="9"/>
        <v>3150872.5708979978</v>
      </c>
      <c r="AR389" s="314">
        <f t="shared" si="9"/>
        <v>0</v>
      </c>
      <c r="AS389" s="314">
        <f t="shared" si="9"/>
        <v>0</v>
      </c>
      <c r="AT389" s="314">
        <f t="shared" si="9"/>
        <v>0</v>
      </c>
      <c r="AU389" s="314">
        <f t="shared" si="10"/>
        <v>0</v>
      </c>
      <c r="AV389" s="314">
        <f t="shared" si="1"/>
        <v>0</v>
      </c>
      <c r="AW389" s="314">
        <f t="shared" si="1"/>
        <v>3150872.5708979978</v>
      </c>
    </row>
    <row r="390" spans="1:49" x14ac:dyDescent="0.25">
      <c r="A390" s="311">
        <v>2189349</v>
      </c>
      <c r="B390" s="311"/>
      <c r="C390" s="315" t="str">
        <f t="shared" si="2"/>
        <v>NZO</v>
      </c>
      <c r="D390" s="315" t="str">
        <f t="shared" si="3"/>
        <v>Obecný zájem, z.ú.</v>
      </c>
      <c r="E390" s="315" t="str">
        <f t="shared" si="4"/>
        <v>Obecný zájem, z.ú.</v>
      </c>
      <c r="F390" s="313">
        <f t="shared" si="5"/>
        <v>2189349</v>
      </c>
      <c r="G390" s="313"/>
      <c r="H390" s="313"/>
      <c r="I390" s="313"/>
      <c r="J390" s="313"/>
      <c r="K390" s="313"/>
      <c r="L390" s="313"/>
      <c r="M390" s="313"/>
      <c r="N390" s="313"/>
      <c r="O390" s="313"/>
      <c r="P390" s="313"/>
      <c r="Q390" s="313"/>
      <c r="R390" s="313"/>
      <c r="S390" s="313"/>
      <c r="T390" s="313">
        <f t="shared" si="6"/>
        <v>2.4</v>
      </c>
      <c r="U390" s="313">
        <f t="shared" si="13"/>
        <v>0.25</v>
      </c>
      <c r="V390" s="313">
        <f t="shared" si="13"/>
        <v>2.15</v>
      </c>
      <c r="W390" s="313">
        <f t="shared" si="13"/>
        <v>0</v>
      </c>
      <c r="X390" s="313">
        <f t="shared" si="13"/>
        <v>0</v>
      </c>
      <c r="Y390" s="313">
        <f t="shared" si="13"/>
        <v>0</v>
      </c>
      <c r="Z390" s="313">
        <f t="shared" si="13"/>
        <v>0</v>
      </c>
      <c r="AA390" s="313">
        <f t="shared" si="13"/>
        <v>2</v>
      </c>
      <c r="AB390" s="313">
        <f t="shared" si="13"/>
        <v>0</v>
      </c>
      <c r="AD390" s="313">
        <f t="shared" si="13"/>
        <v>2.4</v>
      </c>
      <c r="AE390" s="313">
        <f t="shared" si="13"/>
        <v>0.25</v>
      </c>
      <c r="AF390" s="313">
        <f t="shared" si="13"/>
        <v>2.15</v>
      </c>
      <c r="AG390" s="313">
        <f t="shared" si="13"/>
        <v>0</v>
      </c>
      <c r="AH390" s="313">
        <f t="shared" si="13"/>
        <v>0</v>
      </c>
      <c r="AI390" s="313">
        <f t="shared" si="13"/>
        <v>0</v>
      </c>
      <c r="AJ390" s="313">
        <f t="shared" si="13"/>
        <v>2</v>
      </c>
      <c r="AL390" s="314">
        <f t="shared" si="13"/>
        <v>1354197.3492904557</v>
      </c>
      <c r="AM390" s="314">
        <f t="shared" si="12"/>
        <v>0</v>
      </c>
      <c r="AN390" s="314">
        <f t="shared" si="9"/>
        <v>0</v>
      </c>
      <c r="AO390" s="314">
        <f t="shared" si="9"/>
        <v>0</v>
      </c>
      <c r="AP390" s="314">
        <f t="shared" si="9"/>
        <v>1354197.3492904557</v>
      </c>
      <c r="AR390" s="314">
        <f t="shared" si="9"/>
        <v>273867.6907416227</v>
      </c>
      <c r="AS390" s="314">
        <f t="shared" si="9"/>
        <v>0</v>
      </c>
      <c r="AT390" s="314">
        <f t="shared" si="9"/>
        <v>0</v>
      </c>
      <c r="AU390" s="314">
        <f t="shared" si="10"/>
        <v>0</v>
      </c>
      <c r="AV390" s="314">
        <f t="shared" si="1"/>
        <v>273867.6907416227</v>
      </c>
      <c r="AW390" s="314">
        <f t="shared" si="1"/>
        <v>1080329.6585488329</v>
      </c>
    </row>
    <row r="391" spans="1:49" x14ac:dyDescent="0.25">
      <c r="A391" s="311">
        <v>2315315</v>
      </c>
      <c r="B391" s="311"/>
      <c r="C391" s="315" t="str">
        <f t="shared" si="2"/>
        <v>NZO</v>
      </c>
      <c r="D391" s="315" t="str">
        <f t="shared" si="3"/>
        <v>Nízkoprahový klub EXIT</v>
      </c>
      <c r="E391" s="315" t="str">
        <f t="shared" si="4"/>
        <v>Oblastní charita Jičín</v>
      </c>
      <c r="F391" s="313">
        <f t="shared" si="5"/>
        <v>2315315</v>
      </c>
      <c r="G391" s="313"/>
      <c r="H391" s="313"/>
      <c r="I391" s="313"/>
      <c r="J391" s="313"/>
      <c r="K391" s="313"/>
      <c r="L391" s="313"/>
      <c r="M391" s="313"/>
      <c r="N391" s="313"/>
      <c r="O391" s="313"/>
      <c r="P391" s="313"/>
      <c r="Q391" s="313"/>
      <c r="R391" s="313"/>
      <c r="S391" s="313"/>
      <c r="T391" s="313">
        <f t="shared" si="6"/>
        <v>2</v>
      </c>
      <c r="U391" s="313">
        <f t="shared" si="13"/>
        <v>2</v>
      </c>
      <c r="V391" s="313">
        <f t="shared" si="13"/>
        <v>0</v>
      </c>
      <c r="W391" s="313">
        <f t="shared" si="13"/>
        <v>0</v>
      </c>
      <c r="X391" s="313">
        <f t="shared" si="13"/>
        <v>0</v>
      </c>
      <c r="Y391" s="313">
        <f t="shared" si="13"/>
        <v>0</v>
      </c>
      <c r="Z391" s="313">
        <f t="shared" si="13"/>
        <v>0</v>
      </c>
      <c r="AA391" s="313">
        <f t="shared" si="13"/>
        <v>20</v>
      </c>
      <c r="AB391" s="313">
        <f t="shared" si="13"/>
        <v>0</v>
      </c>
      <c r="AD391" s="313">
        <f t="shared" si="13"/>
        <v>2</v>
      </c>
      <c r="AE391" s="313">
        <f t="shared" si="13"/>
        <v>2</v>
      </c>
      <c r="AF391" s="313">
        <f t="shared" si="13"/>
        <v>0</v>
      </c>
      <c r="AG391" s="313">
        <f t="shared" si="13"/>
        <v>0</v>
      </c>
      <c r="AH391" s="313">
        <f t="shared" si="13"/>
        <v>0</v>
      </c>
      <c r="AI391" s="313">
        <f t="shared" si="13"/>
        <v>0</v>
      </c>
      <c r="AJ391" s="313">
        <f t="shared" si="13"/>
        <v>20</v>
      </c>
      <c r="AL391" s="314">
        <f t="shared" si="13"/>
        <v>1149656.2111314542</v>
      </c>
      <c r="AM391" s="314">
        <f t="shared" si="12"/>
        <v>0</v>
      </c>
      <c r="AN391" s="314">
        <f t="shared" si="9"/>
        <v>110692.81722774495</v>
      </c>
      <c r="AO391" s="314">
        <f t="shared" si="9"/>
        <v>0</v>
      </c>
      <c r="AP391" s="314">
        <f t="shared" si="9"/>
        <v>1260349.0283591992</v>
      </c>
      <c r="AR391" s="314">
        <f t="shared" si="9"/>
        <v>0</v>
      </c>
      <c r="AS391" s="314">
        <f t="shared" si="9"/>
        <v>0</v>
      </c>
      <c r="AT391" s="314">
        <f t="shared" si="9"/>
        <v>0</v>
      </c>
      <c r="AU391" s="314">
        <f t="shared" si="10"/>
        <v>0</v>
      </c>
      <c r="AV391" s="314">
        <f t="shared" si="1"/>
        <v>0</v>
      </c>
      <c r="AW391" s="314">
        <f t="shared" si="1"/>
        <v>1260349.0283591992</v>
      </c>
    </row>
    <row r="392" spans="1:49" x14ac:dyDescent="0.25">
      <c r="A392" s="311">
        <v>2333254</v>
      </c>
      <c r="B392" s="311"/>
      <c r="C392" s="315" t="str">
        <f t="shared" si="2"/>
        <v>NZO</v>
      </c>
      <c r="D392" s="315" t="str">
        <f t="shared" si="3"/>
        <v>Denní stacionář Klokan</v>
      </c>
      <c r="E392" s="315" t="str">
        <f t="shared" si="4"/>
        <v>Denní stacionář Klokan o. p. s.</v>
      </c>
      <c r="F392" s="313">
        <f t="shared" si="5"/>
        <v>2333254</v>
      </c>
      <c r="G392" s="313"/>
      <c r="H392" s="313"/>
      <c r="I392" s="313"/>
      <c r="J392" s="313"/>
      <c r="K392" s="313"/>
      <c r="L392" s="313"/>
      <c r="M392" s="313"/>
      <c r="N392" s="313"/>
      <c r="O392" s="313"/>
      <c r="P392" s="313"/>
      <c r="Q392" s="313"/>
      <c r="R392" s="313"/>
      <c r="S392" s="313"/>
      <c r="T392" s="313">
        <f t="shared" si="6"/>
        <v>2.0099999999999998</v>
      </c>
      <c r="U392" s="313">
        <f t="shared" si="13"/>
        <v>1</v>
      </c>
      <c r="V392" s="313">
        <f t="shared" si="13"/>
        <v>1</v>
      </c>
      <c r="W392" s="313">
        <f t="shared" si="13"/>
        <v>0</v>
      </c>
      <c r="X392" s="313">
        <f t="shared" si="13"/>
        <v>0.01</v>
      </c>
      <c r="Y392" s="313">
        <f t="shared" si="13"/>
        <v>0</v>
      </c>
      <c r="Z392" s="313">
        <f t="shared" si="13"/>
        <v>0</v>
      </c>
      <c r="AA392" s="313">
        <f t="shared" si="13"/>
        <v>6</v>
      </c>
      <c r="AB392" s="313">
        <f t="shared" si="13"/>
        <v>0</v>
      </c>
      <c r="AD392" s="313">
        <f t="shared" si="13"/>
        <v>2.0099999999999998</v>
      </c>
      <c r="AE392" s="313">
        <f t="shared" si="13"/>
        <v>1</v>
      </c>
      <c r="AF392" s="313">
        <f t="shared" si="13"/>
        <v>1</v>
      </c>
      <c r="AG392" s="313">
        <f t="shared" si="13"/>
        <v>0</v>
      </c>
      <c r="AH392" s="313">
        <f t="shared" si="13"/>
        <v>0.01</v>
      </c>
      <c r="AI392" s="313">
        <f t="shared" si="13"/>
        <v>0</v>
      </c>
      <c r="AJ392" s="313">
        <f t="shared" si="13"/>
        <v>6</v>
      </c>
      <c r="AL392" s="314">
        <f t="shared" si="13"/>
        <v>1432739.9046103857</v>
      </c>
      <c r="AM392" s="314">
        <f t="shared" si="12"/>
        <v>0</v>
      </c>
      <c r="AN392" s="314">
        <f t="shared" si="9"/>
        <v>162570.44137870509</v>
      </c>
      <c r="AO392" s="314">
        <f t="shared" si="9"/>
        <v>31788.341335465204</v>
      </c>
      <c r="AP392" s="314">
        <f t="shared" si="9"/>
        <v>1627098.6873245561</v>
      </c>
      <c r="AR392" s="314">
        <f t="shared" si="9"/>
        <v>136242.39869281044</v>
      </c>
      <c r="AS392" s="314">
        <f t="shared" si="9"/>
        <v>0</v>
      </c>
      <c r="AT392" s="314">
        <f t="shared" si="9"/>
        <v>0</v>
      </c>
      <c r="AU392" s="314">
        <f t="shared" si="10"/>
        <v>32713.846153846156</v>
      </c>
      <c r="AV392" s="314">
        <f t="shared" si="1"/>
        <v>168956.2448466566</v>
      </c>
      <c r="AW392" s="314">
        <f t="shared" si="1"/>
        <v>1458142.4424778994</v>
      </c>
    </row>
    <row r="393" spans="1:49" x14ac:dyDescent="0.25">
      <c r="A393" s="311">
        <v>2390992</v>
      </c>
      <c r="B393" s="311"/>
      <c r="C393" s="315" t="str">
        <f t="shared" si="2"/>
        <v>NZO</v>
      </c>
      <c r="D393" s="315" t="str">
        <f t="shared" si="3"/>
        <v>Horizont</v>
      </c>
      <c r="E393" s="315" t="str">
        <f t="shared" si="4"/>
        <v>Misericordia, o.p.s.</v>
      </c>
      <c r="F393" s="313">
        <f t="shared" si="5"/>
        <v>2390992</v>
      </c>
      <c r="G393" s="313"/>
      <c r="H393" s="313"/>
      <c r="I393" s="313"/>
      <c r="J393" s="313"/>
      <c r="K393" s="313"/>
      <c r="L393" s="313"/>
      <c r="M393" s="313"/>
      <c r="N393" s="313"/>
      <c r="O393" s="313"/>
      <c r="P393" s="313"/>
      <c r="Q393" s="313"/>
      <c r="R393" s="313"/>
      <c r="S393" s="313"/>
      <c r="T393" s="313">
        <f t="shared" si="6"/>
        <v>1.5</v>
      </c>
      <c r="U393" s="313">
        <f t="shared" si="13"/>
        <v>0.75</v>
      </c>
      <c r="V393" s="313">
        <f t="shared" si="13"/>
        <v>0.75</v>
      </c>
      <c r="W393" s="313">
        <f t="shared" si="13"/>
        <v>0</v>
      </c>
      <c r="X393" s="313">
        <f t="shared" si="13"/>
        <v>0</v>
      </c>
      <c r="Y393" s="313">
        <f t="shared" si="13"/>
        <v>0</v>
      </c>
      <c r="Z393" s="313">
        <f t="shared" si="13"/>
        <v>12</v>
      </c>
      <c r="AA393" s="313">
        <f t="shared" si="13"/>
        <v>0</v>
      </c>
      <c r="AB393" s="313">
        <f t="shared" si="13"/>
        <v>0</v>
      </c>
      <c r="AD393" s="313">
        <f t="shared" si="13"/>
        <v>1.5</v>
      </c>
      <c r="AE393" s="313">
        <f t="shared" si="13"/>
        <v>0.75</v>
      </c>
      <c r="AF393" s="313">
        <f t="shared" si="13"/>
        <v>0.75</v>
      </c>
      <c r="AG393" s="313">
        <f t="shared" si="13"/>
        <v>0</v>
      </c>
      <c r="AH393" s="313">
        <f t="shared" si="13"/>
        <v>0</v>
      </c>
      <c r="AI393" s="313">
        <f t="shared" si="13"/>
        <v>0</v>
      </c>
      <c r="AJ393" s="313">
        <f t="shared" si="13"/>
        <v>0</v>
      </c>
      <c r="AL393" s="314">
        <f t="shared" si="13"/>
        <v>1007440.530532073</v>
      </c>
      <c r="AM393" s="314">
        <f t="shared" si="12"/>
        <v>0</v>
      </c>
      <c r="AN393" s="314">
        <f t="shared" si="9"/>
        <v>64171.478039887836</v>
      </c>
      <c r="AO393" s="314">
        <f t="shared" si="9"/>
        <v>0</v>
      </c>
      <c r="AP393" s="314">
        <f t="shared" si="9"/>
        <v>1071612.0085719607</v>
      </c>
      <c r="AR393" s="314">
        <f t="shared" si="9"/>
        <v>0</v>
      </c>
      <c r="AS393" s="314">
        <f t="shared" si="9"/>
        <v>0</v>
      </c>
      <c r="AT393" s="314">
        <f t="shared" si="9"/>
        <v>0</v>
      </c>
      <c r="AU393" s="314">
        <f t="shared" si="10"/>
        <v>0</v>
      </c>
      <c r="AV393" s="314">
        <f t="shared" si="1"/>
        <v>0</v>
      </c>
      <c r="AW393" s="314">
        <f t="shared" si="1"/>
        <v>1071612.0085719607</v>
      </c>
    </row>
    <row r="394" spans="1:49" x14ac:dyDescent="0.25">
      <c r="A394" s="311">
        <v>2392006</v>
      </c>
      <c r="B394" s="311"/>
      <c r="C394" s="315" t="str">
        <f t="shared" si="2"/>
        <v>NZO</v>
      </c>
      <c r="D394" s="315" t="str">
        <f t="shared" si="3"/>
        <v>Osobní asistence</v>
      </c>
      <c r="E394" s="315" t="str">
        <f t="shared" si="4"/>
        <v>Farní charita Dvůr Králové nad Labem</v>
      </c>
      <c r="F394" s="313">
        <f t="shared" si="5"/>
        <v>2392006</v>
      </c>
      <c r="G394" s="313"/>
      <c r="H394" s="313"/>
      <c r="I394" s="313"/>
      <c r="J394" s="313"/>
      <c r="K394" s="313"/>
      <c r="L394" s="313"/>
      <c r="M394" s="313"/>
      <c r="N394" s="313"/>
      <c r="O394" s="313"/>
      <c r="P394" s="313"/>
      <c r="Q394" s="313"/>
      <c r="R394" s="313"/>
      <c r="S394" s="313"/>
      <c r="T394" s="313">
        <f t="shared" si="6"/>
        <v>4.7</v>
      </c>
      <c r="U394" s="313">
        <f t="shared" si="13"/>
        <v>0.75</v>
      </c>
      <c r="V394" s="313">
        <f t="shared" si="13"/>
        <v>3.95</v>
      </c>
      <c r="W394" s="313">
        <f t="shared" si="13"/>
        <v>0</v>
      </c>
      <c r="X394" s="313">
        <f t="shared" si="13"/>
        <v>0</v>
      </c>
      <c r="Y394" s="313">
        <f t="shared" si="13"/>
        <v>0</v>
      </c>
      <c r="Z394" s="313">
        <f t="shared" si="13"/>
        <v>13</v>
      </c>
      <c r="AA394" s="313">
        <f t="shared" si="13"/>
        <v>0</v>
      </c>
      <c r="AB394" s="313">
        <f t="shared" si="13"/>
        <v>0</v>
      </c>
      <c r="AD394" s="313">
        <f t="shared" si="13"/>
        <v>4.7</v>
      </c>
      <c r="AE394" s="313">
        <f t="shared" si="13"/>
        <v>0.75</v>
      </c>
      <c r="AF394" s="313">
        <f t="shared" si="13"/>
        <v>3.95</v>
      </c>
      <c r="AG394" s="313">
        <f t="shared" si="13"/>
        <v>0</v>
      </c>
      <c r="AH394" s="313">
        <f t="shared" si="13"/>
        <v>0</v>
      </c>
      <c r="AI394" s="313">
        <f t="shared" si="13"/>
        <v>0</v>
      </c>
      <c r="AJ394" s="313">
        <f t="shared" si="13"/>
        <v>0</v>
      </c>
      <c r="AL394" s="314">
        <f t="shared" si="13"/>
        <v>2400617.2925589578</v>
      </c>
      <c r="AM394" s="314">
        <f t="shared" si="12"/>
        <v>0</v>
      </c>
      <c r="AN394" s="314">
        <f t="shared" si="9"/>
        <v>90934.503493296594</v>
      </c>
      <c r="AO394" s="314">
        <f t="shared" si="9"/>
        <v>0</v>
      </c>
      <c r="AP394" s="314">
        <f t="shared" si="9"/>
        <v>2491551.7960522543</v>
      </c>
      <c r="AR394" s="314">
        <f t="shared" si="9"/>
        <v>493626.91989866947</v>
      </c>
      <c r="AS394" s="314">
        <f t="shared" si="9"/>
        <v>0</v>
      </c>
      <c r="AT394" s="314">
        <f t="shared" si="9"/>
        <v>0</v>
      </c>
      <c r="AU394" s="314">
        <f t="shared" si="10"/>
        <v>0</v>
      </c>
      <c r="AV394" s="314">
        <f t="shared" si="1"/>
        <v>493626.91989866947</v>
      </c>
      <c r="AW394" s="314">
        <f t="shared" si="1"/>
        <v>1997924.8761535848</v>
      </c>
    </row>
    <row r="395" spans="1:49" x14ac:dyDescent="0.25">
      <c r="A395" s="311">
        <v>2438469</v>
      </c>
      <c r="B395" s="311"/>
      <c r="C395" s="315" t="str">
        <f t="shared" si="2"/>
        <v>NZO</v>
      </c>
      <c r="D395" s="315" t="str">
        <f t="shared" si="3"/>
        <v>Azylový dům Jičín</v>
      </c>
      <c r="E395" s="315" t="str">
        <f t="shared" si="4"/>
        <v>Oblastní spolek Českého červeného kříže Jičín</v>
      </c>
      <c r="F395" s="313">
        <f t="shared" si="5"/>
        <v>2438469</v>
      </c>
      <c r="G395" s="313"/>
      <c r="H395" s="313"/>
      <c r="I395" s="313"/>
      <c r="J395" s="313"/>
      <c r="K395" s="313"/>
      <c r="L395" s="313"/>
      <c r="M395" s="313"/>
      <c r="N395" s="313"/>
      <c r="O395" s="313"/>
      <c r="P395" s="313"/>
      <c r="Q395" s="313"/>
      <c r="R395" s="313"/>
      <c r="S395" s="313"/>
      <c r="T395" s="313">
        <f t="shared" si="6"/>
        <v>5.85</v>
      </c>
      <c r="U395" s="313">
        <f t="shared" si="13"/>
        <v>1.85</v>
      </c>
      <c r="V395" s="313">
        <f t="shared" si="13"/>
        <v>4</v>
      </c>
      <c r="W395" s="313">
        <f t="shared" si="13"/>
        <v>0</v>
      </c>
      <c r="X395" s="313">
        <f t="shared" si="13"/>
        <v>0</v>
      </c>
      <c r="Y395" s="313">
        <f t="shared" si="13"/>
        <v>14</v>
      </c>
      <c r="Z395" s="313">
        <f t="shared" si="13"/>
        <v>0</v>
      </c>
      <c r="AA395" s="313">
        <f t="shared" si="13"/>
        <v>0</v>
      </c>
      <c r="AB395" s="313">
        <f t="shared" si="13"/>
        <v>0</v>
      </c>
      <c r="AD395" s="313">
        <f t="shared" si="13"/>
        <v>5.85</v>
      </c>
      <c r="AE395" s="313">
        <f t="shared" si="13"/>
        <v>1.85</v>
      </c>
      <c r="AF395" s="313">
        <f t="shared" si="13"/>
        <v>4</v>
      </c>
      <c r="AG395" s="313">
        <f t="shared" si="13"/>
        <v>0</v>
      </c>
      <c r="AH395" s="313">
        <f t="shared" si="13"/>
        <v>0</v>
      </c>
      <c r="AI395" s="313">
        <f t="shared" si="13"/>
        <v>14</v>
      </c>
      <c r="AJ395" s="313">
        <f t="shared" si="13"/>
        <v>0</v>
      </c>
      <c r="AL395" s="314">
        <f t="shared" si="13"/>
        <v>3630355.3095505023</v>
      </c>
      <c r="AM395" s="314">
        <f t="shared" si="12"/>
        <v>0</v>
      </c>
      <c r="AN395" s="314">
        <f t="shared" si="9"/>
        <v>364976.22434926563</v>
      </c>
      <c r="AO395" s="314">
        <f t="shared" si="9"/>
        <v>0</v>
      </c>
      <c r="AP395" s="314">
        <f t="shared" si="9"/>
        <v>3995331.5338997678</v>
      </c>
      <c r="AR395" s="314">
        <f t="shared" si="9"/>
        <v>0</v>
      </c>
      <c r="AS395" s="314">
        <f t="shared" si="9"/>
        <v>0</v>
      </c>
      <c r="AT395" s="314">
        <f t="shared" si="9"/>
        <v>318291.63333333336</v>
      </c>
      <c r="AU395" s="314">
        <f t="shared" si="10"/>
        <v>0</v>
      </c>
      <c r="AV395" s="314">
        <f t="shared" si="1"/>
        <v>318291.63333333336</v>
      </c>
      <c r="AW395" s="314">
        <f t="shared" si="1"/>
        <v>3677039.9005664345</v>
      </c>
    </row>
    <row r="396" spans="1:49" x14ac:dyDescent="0.25">
      <c r="A396" s="311">
        <v>2495303</v>
      </c>
      <c r="B396" s="311"/>
      <c r="C396" s="315" t="str">
        <f t="shared" si="2"/>
        <v>NZO</v>
      </c>
      <c r="D396" s="315" t="str">
        <f t="shared" si="3"/>
        <v>Věra Kosinová - Daneta, zařízení pro zdravotně postižené</v>
      </c>
      <c r="E396" s="315" t="str">
        <f t="shared" si="4"/>
        <v>Věra Kosinová - Daneta, zařízení pro zdravotně postižené</v>
      </c>
      <c r="F396" s="313">
        <f t="shared" si="5"/>
        <v>2495303</v>
      </c>
      <c r="G396" s="313"/>
      <c r="H396" s="313"/>
      <c r="I396" s="313"/>
      <c r="J396" s="313"/>
      <c r="K396" s="313"/>
      <c r="L396" s="313"/>
      <c r="M396" s="313"/>
      <c r="N396" s="313"/>
      <c r="O396" s="313"/>
      <c r="P396" s="313"/>
      <c r="Q396" s="313"/>
      <c r="R396" s="313"/>
      <c r="S396" s="313"/>
      <c r="T396" s="313">
        <f t="shared" si="6"/>
        <v>8.59</v>
      </c>
      <c r="U396" s="313">
        <f t="shared" si="13"/>
        <v>0.4</v>
      </c>
      <c r="V396" s="313">
        <f t="shared" si="13"/>
        <v>8.19</v>
      </c>
      <c r="W396" s="313">
        <f t="shared" si="13"/>
        <v>0</v>
      </c>
      <c r="X396" s="313">
        <f t="shared" si="13"/>
        <v>0</v>
      </c>
      <c r="Y396" s="313">
        <f t="shared" si="13"/>
        <v>0</v>
      </c>
      <c r="Z396" s="313">
        <f t="shared" si="13"/>
        <v>65</v>
      </c>
      <c r="AA396" s="313">
        <f t="shared" si="13"/>
        <v>0</v>
      </c>
      <c r="AB396" s="313">
        <f t="shared" si="13"/>
        <v>0</v>
      </c>
      <c r="AD396" s="313">
        <f t="shared" si="13"/>
        <v>8.59</v>
      </c>
      <c r="AE396" s="313">
        <f t="shared" si="13"/>
        <v>0.4</v>
      </c>
      <c r="AF396" s="313">
        <f t="shared" si="13"/>
        <v>8.19</v>
      </c>
      <c r="AG396" s="313">
        <f t="shared" si="13"/>
        <v>0</v>
      </c>
      <c r="AH396" s="313">
        <f t="shared" si="13"/>
        <v>0</v>
      </c>
      <c r="AI396" s="313">
        <f t="shared" si="13"/>
        <v>0</v>
      </c>
      <c r="AJ396" s="313">
        <f t="shared" si="13"/>
        <v>0</v>
      </c>
      <c r="AL396" s="314">
        <f t="shared" si="13"/>
        <v>4387511.1793790311</v>
      </c>
      <c r="AM396" s="314">
        <f t="shared" si="12"/>
        <v>0</v>
      </c>
      <c r="AN396" s="314">
        <f t="shared" si="9"/>
        <v>166197.31595902506</v>
      </c>
      <c r="AO396" s="314">
        <f t="shared" si="9"/>
        <v>0</v>
      </c>
      <c r="AP396" s="314">
        <f t="shared" si="9"/>
        <v>4553708.4953380562</v>
      </c>
      <c r="AR396" s="314">
        <f t="shared" si="9"/>
        <v>1023494.8035367348</v>
      </c>
      <c r="AS396" s="314">
        <f t="shared" si="9"/>
        <v>0</v>
      </c>
      <c r="AT396" s="314">
        <f t="shared" si="9"/>
        <v>0</v>
      </c>
      <c r="AU396" s="314">
        <f t="shared" si="10"/>
        <v>0</v>
      </c>
      <c r="AV396" s="314">
        <f t="shared" si="1"/>
        <v>1023494.8035367348</v>
      </c>
      <c r="AW396" s="314">
        <f t="shared" si="1"/>
        <v>3530213.6918013217</v>
      </c>
    </row>
    <row r="397" spans="1:49" x14ac:dyDescent="0.25">
      <c r="A397" s="311">
        <v>2499134</v>
      </c>
      <c r="B397" s="311"/>
      <c r="C397" s="315" t="str">
        <f t="shared" si="2"/>
        <v>NZO</v>
      </c>
      <c r="D397" s="315" t="str">
        <f t="shared" si="3"/>
        <v>Stacionář sv. Františka</v>
      </c>
      <c r="E397" s="315" t="str">
        <f t="shared" si="4"/>
        <v>Farní charita Rychnov nad Kněžnou</v>
      </c>
      <c r="F397" s="313">
        <f t="shared" si="5"/>
        <v>2499134</v>
      </c>
      <c r="G397" s="313"/>
      <c r="H397" s="313"/>
      <c r="I397" s="313"/>
      <c r="J397" s="313"/>
      <c r="K397" s="313"/>
      <c r="L397" s="313"/>
      <c r="M397" s="313"/>
      <c r="N397" s="313"/>
      <c r="O397" s="313"/>
      <c r="P397" s="313"/>
      <c r="Q397" s="313"/>
      <c r="R397" s="313"/>
      <c r="S397" s="313"/>
      <c r="T397" s="313">
        <f t="shared" si="6"/>
        <v>4.55</v>
      </c>
      <c r="U397" s="313">
        <f t="shared" si="13"/>
        <v>0.2</v>
      </c>
      <c r="V397" s="313">
        <f t="shared" si="13"/>
        <v>2</v>
      </c>
      <c r="W397" s="313">
        <f t="shared" si="13"/>
        <v>1.55</v>
      </c>
      <c r="X397" s="313">
        <f t="shared" si="13"/>
        <v>0.8</v>
      </c>
      <c r="Y397" s="313">
        <f t="shared" si="13"/>
        <v>9</v>
      </c>
      <c r="Z397" s="313">
        <f t="shared" si="13"/>
        <v>0</v>
      </c>
      <c r="AA397" s="313">
        <f t="shared" si="13"/>
        <v>0</v>
      </c>
      <c r="AB397" s="313">
        <f t="shared" si="13"/>
        <v>0</v>
      </c>
      <c r="AD397" s="313">
        <f t="shared" si="13"/>
        <v>4.55</v>
      </c>
      <c r="AE397" s="313">
        <f t="shared" si="13"/>
        <v>0.2</v>
      </c>
      <c r="AF397" s="313">
        <f t="shared" si="13"/>
        <v>2</v>
      </c>
      <c r="AG397" s="313">
        <f t="shared" si="13"/>
        <v>1.55</v>
      </c>
      <c r="AH397" s="313">
        <f t="shared" si="13"/>
        <v>0.8</v>
      </c>
      <c r="AI397" s="313">
        <f t="shared" si="13"/>
        <v>9</v>
      </c>
      <c r="AJ397" s="313">
        <f t="shared" si="13"/>
        <v>0</v>
      </c>
      <c r="AL397" s="314">
        <f t="shared" si="13"/>
        <v>2627426.2960000481</v>
      </c>
      <c r="AM397" s="314">
        <f t="shared" si="12"/>
        <v>1112857.5803584273</v>
      </c>
      <c r="AN397" s="314">
        <f t="shared" si="9"/>
        <v>729656.40946563228</v>
      </c>
      <c r="AO397" s="314">
        <f t="shared" si="9"/>
        <v>309929.9083858282</v>
      </c>
      <c r="AP397" s="314">
        <f t="shared" si="9"/>
        <v>4779870.1942099361</v>
      </c>
      <c r="AR397" s="314">
        <f t="shared" si="9"/>
        <v>588986</v>
      </c>
      <c r="AS397" s="314">
        <f t="shared" si="9"/>
        <v>0</v>
      </c>
      <c r="AT397" s="314">
        <f t="shared" si="9"/>
        <v>277020</v>
      </c>
      <c r="AU397" s="314">
        <f t="shared" si="10"/>
        <v>233260</v>
      </c>
      <c r="AV397" s="314">
        <f t="shared" si="1"/>
        <v>1099266</v>
      </c>
      <c r="AW397" s="314">
        <f t="shared" si="1"/>
        <v>3680604.1942099361</v>
      </c>
    </row>
    <row r="398" spans="1:49" x14ac:dyDescent="0.25">
      <c r="A398" s="311">
        <v>2506443</v>
      </c>
      <c r="B398" s="311"/>
      <c r="C398" s="315" t="str">
        <f t="shared" si="2"/>
        <v>Obce</v>
      </c>
      <c r="D398" s="315" t="str">
        <f t="shared" si="3"/>
        <v>Centrum denních služeb</v>
      </c>
      <c r="E398" s="315" t="str">
        <f t="shared" si="4"/>
        <v>Městské středisko sociálních služeb Oáza</v>
      </c>
      <c r="F398" s="313">
        <f t="shared" si="5"/>
        <v>2506443</v>
      </c>
      <c r="G398" s="313"/>
      <c r="H398" s="313"/>
      <c r="I398" s="313"/>
      <c r="J398" s="313"/>
      <c r="K398" s="313"/>
      <c r="L398" s="313"/>
      <c r="M398" s="313"/>
      <c r="N398" s="313"/>
      <c r="O398" s="313"/>
      <c r="P398" s="313"/>
      <c r="Q398" s="313"/>
      <c r="R398" s="313"/>
      <c r="S398" s="313"/>
      <c r="T398" s="313">
        <f t="shared" si="6"/>
        <v>2.41</v>
      </c>
      <c r="U398" s="313">
        <f t="shared" si="13"/>
        <v>0.35</v>
      </c>
      <c r="V398" s="313">
        <f t="shared" si="13"/>
        <v>2</v>
      </c>
      <c r="W398" s="313">
        <f t="shared" si="13"/>
        <v>0.06</v>
      </c>
      <c r="X398" s="313">
        <f t="shared" si="13"/>
        <v>0</v>
      </c>
      <c r="Y398" s="313">
        <f t="shared" si="13"/>
        <v>0</v>
      </c>
      <c r="Z398" s="313">
        <f t="shared" si="13"/>
        <v>0</v>
      </c>
      <c r="AA398" s="313">
        <f t="shared" si="13"/>
        <v>15</v>
      </c>
      <c r="AB398" s="313">
        <f t="shared" si="13"/>
        <v>0</v>
      </c>
      <c r="AD398" s="313">
        <f t="shared" si="13"/>
        <v>2.41</v>
      </c>
      <c r="AE398" s="313">
        <f t="shared" si="13"/>
        <v>0.35</v>
      </c>
      <c r="AF398" s="313">
        <f t="shared" si="13"/>
        <v>2</v>
      </c>
      <c r="AG398" s="313">
        <f t="shared" si="13"/>
        <v>0.06</v>
      </c>
      <c r="AH398" s="313">
        <f t="shared" si="13"/>
        <v>0</v>
      </c>
      <c r="AI398" s="313">
        <f t="shared" si="13"/>
        <v>0</v>
      </c>
      <c r="AJ398" s="313">
        <f t="shared" si="13"/>
        <v>15</v>
      </c>
      <c r="AL398" s="314">
        <f t="shared" ref="AL398:AW413" si="14">SUMIFS(AL$4:AL$337,$A$4:$A$337,$A398)</f>
        <v>1376687.5024707238</v>
      </c>
      <c r="AM398" s="314">
        <f t="shared" si="14"/>
        <v>0</v>
      </c>
      <c r="AN398" s="314">
        <f t="shared" si="14"/>
        <v>279057.55583979678</v>
      </c>
      <c r="AO398" s="314">
        <f t="shared" si="14"/>
        <v>7917.4959735160974</v>
      </c>
      <c r="AP398" s="314">
        <f t="shared" si="14"/>
        <v>1663662.5542840366</v>
      </c>
      <c r="AR398" s="314">
        <f t="shared" si="14"/>
        <v>234018.06</v>
      </c>
      <c r="AS398" s="314">
        <f t="shared" si="14"/>
        <v>0</v>
      </c>
      <c r="AT398" s="314">
        <f t="shared" si="14"/>
        <v>0</v>
      </c>
      <c r="AU398" s="314">
        <f t="shared" si="14"/>
        <v>0</v>
      </c>
      <c r="AV398" s="314">
        <f t="shared" si="14"/>
        <v>234018.06</v>
      </c>
      <c r="AW398" s="314">
        <f t="shared" si="14"/>
        <v>1429644.4942840366</v>
      </c>
    </row>
    <row r="399" spans="1:49" x14ac:dyDescent="0.25">
      <c r="A399" s="311">
        <v>2514714</v>
      </c>
      <c r="B399" s="311"/>
      <c r="C399" s="315" t="str">
        <f t="shared" si="2"/>
        <v>Obce</v>
      </c>
      <c r="D399" s="315" t="str">
        <f t="shared" si="3"/>
        <v>Dům Žofie</v>
      </c>
      <c r="E399" s="315" t="str">
        <f t="shared" si="4"/>
        <v>Pečovatelská služba Města Dvůr Králové nad Labem</v>
      </c>
      <c r="F399" s="313">
        <f t="shared" si="5"/>
        <v>2514714</v>
      </c>
      <c r="G399" s="313"/>
      <c r="H399" s="313"/>
      <c r="I399" s="313"/>
      <c r="J399" s="313"/>
      <c r="K399" s="313"/>
      <c r="L399" s="313"/>
      <c r="M399" s="313"/>
      <c r="N399" s="313"/>
      <c r="O399" s="313"/>
      <c r="P399" s="313"/>
      <c r="Q399" s="313"/>
      <c r="R399" s="313"/>
      <c r="S399" s="313"/>
      <c r="T399" s="313">
        <f t="shared" si="6"/>
        <v>2.5</v>
      </c>
      <c r="U399" s="313">
        <f t="shared" ref="U399:AP414" si="15">SUMIFS(U$4:U$337,$A$4:$A$337,$A399)</f>
        <v>0.8</v>
      </c>
      <c r="V399" s="313">
        <f t="shared" si="15"/>
        <v>1.7</v>
      </c>
      <c r="W399" s="313">
        <f t="shared" si="15"/>
        <v>0</v>
      </c>
      <c r="X399" s="313">
        <f t="shared" si="15"/>
        <v>0</v>
      </c>
      <c r="Y399" s="313">
        <f t="shared" si="15"/>
        <v>11</v>
      </c>
      <c r="Z399" s="313">
        <f t="shared" si="15"/>
        <v>0</v>
      </c>
      <c r="AA399" s="313">
        <f t="shared" si="15"/>
        <v>0</v>
      </c>
      <c r="AB399" s="313">
        <f t="shared" si="15"/>
        <v>0</v>
      </c>
      <c r="AD399" s="313">
        <f t="shared" si="15"/>
        <v>2.5</v>
      </c>
      <c r="AE399" s="313">
        <f t="shared" si="15"/>
        <v>0.8</v>
      </c>
      <c r="AF399" s="313">
        <f t="shared" si="15"/>
        <v>1.7</v>
      </c>
      <c r="AG399" s="313">
        <f t="shared" si="15"/>
        <v>0</v>
      </c>
      <c r="AH399" s="313">
        <f t="shared" si="15"/>
        <v>0</v>
      </c>
      <c r="AI399" s="313">
        <f t="shared" si="15"/>
        <v>11</v>
      </c>
      <c r="AJ399" s="313">
        <f t="shared" si="15"/>
        <v>0</v>
      </c>
      <c r="AL399" s="314">
        <f t="shared" si="15"/>
        <v>1551433.8929703003</v>
      </c>
      <c r="AM399" s="314">
        <f t="shared" si="15"/>
        <v>0</v>
      </c>
      <c r="AN399" s="314">
        <f t="shared" si="15"/>
        <v>286767.03341728012</v>
      </c>
      <c r="AO399" s="314">
        <f t="shared" si="15"/>
        <v>0</v>
      </c>
      <c r="AP399" s="314">
        <f t="shared" si="15"/>
        <v>1838200.9263875803</v>
      </c>
      <c r="AR399" s="314">
        <f t="shared" si="14"/>
        <v>0</v>
      </c>
      <c r="AS399" s="314">
        <f t="shared" si="14"/>
        <v>0</v>
      </c>
      <c r="AT399" s="314">
        <f t="shared" si="14"/>
        <v>250086.28333333335</v>
      </c>
      <c r="AU399" s="314">
        <f t="shared" si="14"/>
        <v>0</v>
      </c>
      <c r="AV399" s="314">
        <f t="shared" si="14"/>
        <v>250086.28333333335</v>
      </c>
      <c r="AW399" s="314">
        <f t="shared" si="14"/>
        <v>1588114.6430542469</v>
      </c>
    </row>
    <row r="400" spans="1:49" x14ac:dyDescent="0.25">
      <c r="A400" s="311">
        <v>2540162</v>
      </c>
      <c r="B400" s="311"/>
      <c r="C400" s="315" t="str">
        <f t="shared" si="2"/>
        <v>NZO</v>
      </c>
      <c r="D400" s="315" t="str">
        <f t="shared" si="3"/>
        <v>Mgr. Zuzana Luňáková, Agentura domácí péče</v>
      </c>
      <c r="E400" s="315" t="str">
        <f t="shared" si="4"/>
        <v>Mgr. Zuzana Luňáková, Agentura domácí péče</v>
      </c>
      <c r="F400" s="313">
        <f t="shared" si="5"/>
        <v>2540162</v>
      </c>
      <c r="G400" s="313"/>
      <c r="H400" s="313"/>
      <c r="I400" s="313"/>
      <c r="J400" s="313"/>
      <c r="K400" s="313"/>
      <c r="L400" s="313"/>
      <c r="M400" s="313"/>
      <c r="N400" s="313"/>
      <c r="O400" s="313"/>
      <c r="P400" s="313"/>
      <c r="Q400" s="313"/>
      <c r="R400" s="313"/>
      <c r="S400" s="313"/>
      <c r="T400" s="313">
        <f t="shared" si="6"/>
        <v>5.6</v>
      </c>
      <c r="U400" s="313">
        <f t="shared" si="15"/>
        <v>1</v>
      </c>
      <c r="V400" s="313">
        <f t="shared" si="15"/>
        <v>4.6000000000000005</v>
      </c>
      <c r="W400" s="313">
        <f t="shared" si="15"/>
        <v>0</v>
      </c>
      <c r="X400" s="313">
        <f t="shared" si="15"/>
        <v>0</v>
      </c>
      <c r="Y400" s="313">
        <f t="shared" si="15"/>
        <v>0</v>
      </c>
      <c r="Z400" s="313">
        <f t="shared" si="15"/>
        <v>260</v>
      </c>
      <c r="AA400" s="313">
        <f t="shared" si="15"/>
        <v>0</v>
      </c>
      <c r="AB400" s="313">
        <f t="shared" si="15"/>
        <v>0</v>
      </c>
      <c r="AD400" s="313">
        <f t="shared" si="15"/>
        <v>5.6</v>
      </c>
      <c r="AE400" s="313">
        <f t="shared" si="15"/>
        <v>1</v>
      </c>
      <c r="AF400" s="313">
        <f t="shared" si="15"/>
        <v>4.6000000000000005</v>
      </c>
      <c r="AG400" s="313">
        <f t="shared" si="15"/>
        <v>0</v>
      </c>
      <c r="AH400" s="313">
        <f t="shared" si="15"/>
        <v>0</v>
      </c>
      <c r="AI400" s="313">
        <f t="shared" si="15"/>
        <v>0</v>
      </c>
      <c r="AJ400" s="313">
        <f t="shared" si="15"/>
        <v>0</v>
      </c>
      <c r="AL400" s="314">
        <f t="shared" si="15"/>
        <v>3093204.8061080799</v>
      </c>
      <c r="AM400" s="314">
        <f t="shared" si="15"/>
        <v>0</v>
      </c>
      <c r="AN400" s="314">
        <f t="shared" si="15"/>
        <v>234307.16432506201</v>
      </c>
      <c r="AO400" s="314">
        <f t="shared" si="15"/>
        <v>0</v>
      </c>
      <c r="AP400" s="314">
        <f t="shared" si="15"/>
        <v>3327511.970433142</v>
      </c>
      <c r="AR400" s="314">
        <f t="shared" si="14"/>
        <v>638274.08235294116</v>
      </c>
      <c r="AS400" s="314">
        <f t="shared" si="14"/>
        <v>0</v>
      </c>
      <c r="AT400" s="314">
        <f t="shared" si="14"/>
        <v>0</v>
      </c>
      <c r="AU400" s="314">
        <f t="shared" si="14"/>
        <v>0</v>
      </c>
      <c r="AV400" s="314">
        <f t="shared" si="14"/>
        <v>638274.08235294116</v>
      </c>
      <c r="AW400" s="314">
        <f t="shared" si="14"/>
        <v>2689237.8880802002</v>
      </c>
    </row>
    <row r="401" spans="1:49" x14ac:dyDescent="0.25">
      <c r="A401" s="311">
        <v>2583952</v>
      </c>
      <c r="B401" s="311"/>
      <c r="C401" s="315" t="str">
        <f t="shared" si="2"/>
        <v>NZO</v>
      </c>
      <c r="D401" s="315" t="str">
        <f t="shared" si="3"/>
        <v>Sociální poradna Centra domácí hospicové péče</v>
      </c>
      <c r="E401" s="315" t="str">
        <f t="shared" si="4"/>
        <v>Domácí hospic Duha, o. p. s.</v>
      </c>
      <c r="F401" s="313">
        <f t="shared" si="5"/>
        <v>2583952</v>
      </c>
      <c r="G401" s="313"/>
      <c r="H401" s="313"/>
      <c r="I401" s="313"/>
      <c r="J401" s="313"/>
      <c r="K401" s="313"/>
      <c r="L401" s="313"/>
      <c r="M401" s="313"/>
      <c r="N401" s="313"/>
      <c r="O401" s="313"/>
      <c r="P401" s="313"/>
      <c r="Q401" s="313"/>
      <c r="R401" s="313"/>
      <c r="S401" s="313"/>
      <c r="T401" s="313">
        <f t="shared" si="6"/>
        <v>2.1</v>
      </c>
      <c r="U401" s="313">
        <f t="shared" si="15"/>
        <v>2.1</v>
      </c>
      <c r="V401" s="313">
        <f t="shared" si="15"/>
        <v>0</v>
      </c>
      <c r="W401" s="313">
        <f t="shared" si="15"/>
        <v>0</v>
      </c>
      <c r="X401" s="313">
        <f t="shared" si="15"/>
        <v>0</v>
      </c>
      <c r="Y401" s="313">
        <f t="shared" si="15"/>
        <v>0</v>
      </c>
      <c r="Z401" s="313">
        <f t="shared" si="15"/>
        <v>18</v>
      </c>
      <c r="AA401" s="313">
        <f t="shared" si="15"/>
        <v>0</v>
      </c>
      <c r="AB401" s="313">
        <f t="shared" si="15"/>
        <v>0</v>
      </c>
      <c r="AD401" s="313">
        <f t="shared" si="15"/>
        <v>2.1</v>
      </c>
      <c r="AE401" s="313">
        <f t="shared" si="15"/>
        <v>2.1</v>
      </c>
      <c r="AF401" s="313">
        <f t="shared" si="15"/>
        <v>0</v>
      </c>
      <c r="AG401" s="313">
        <f t="shared" si="15"/>
        <v>0</v>
      </c>
      <c r="AH401" s="313">
        <f t="shared" si="15"/>
        <v>0</v>
      </c>
      <c r="AI401" s="313">
        <f t="shared" si="15"/>
        <v>0</v>
      </c>
      <c r="AJ401" s="313">
        <f t="shared" si="15"/>
        <v>0</v>
      </c>
      <c r="AL401" s="314">
        <f t="shared" si="15"/>
        <v>1398346.4165949819</v>
      </c>
      <c r="AM401" s="314">
        <f t="shared" si="15"/>
        <v>0</v>
      </c>
      <c r="AN401" s="314">
        <f t="shared" si="15"/>
        <v>97034.302284755468</v>
      </c>
      <c r="AO401" s="314">
        <f t="shared" si="15"/>
        <v>0</v>
      </c>
      <c r="AP401" s="314">
        <f t="shared" si="15"/>
        <v>1495380.7188797374</v>
      </c>
      <c r="AR401" s="314">
        <f t="shared" si="14"/>
        <v>0</v>
      </c>
      <c r="AS401" s="314">
        <f t="shared" si="14"/>
        <v>0</v>
      </c>
      <c r="AT401" s="314">
        <f t="shared" si="14"/>
        <v>0</v>
      </c>
      <c r="AU401" s="314">
        <f t="shared" si="14"/>
        <v>0</v>
      </c>
      <c r="AV401" s="314">
        <f t="shared" si="14"/>
        <v>0</v>
      </c>
      <c r="AW401" s="314">
        <f t="shared" si="14"/>
        <v>1495380.7188797374</v>
      </c>
    </row>
    <row r="402" spans="1:49" x14ac:dyDescent="0.25">
      <c r="A402" s="311">
        <v>2749776</v>
      </c>
      <c r="B402" s="311"/>
      <c r="C402" s="315" t="str">
        <f t="shared" si="2"/>
        <v>PO KHK</v>
      </c>
      <c r="D402" s="315" t="str">
        <f t="shared" si="3"/>
        <v>Domov důchodců Malá Čermná</v>
      </c>
      <c r="E402" s="315" t="str">
        <f t="shared" si="4"/>
        <v>Domov důchodců Malá Čermná</v>
      </c>
      <c r="F402" s="313">
        <f t="shared" si="5"/>
        <v>2749776</v>
      </c>
      <c r="G402" s="313"/>
      <c r="H402" s="313"/>
      <c r="I402" s="313"/>
      <c r="J402" s="313"/>
      <c r="K402" s="313"/>
      <c r="L402" s="313"/>
      <c r="M402" s="313"/>
      <c r="N402" s="313"/>
      <c r="O402" s="313"/>
      <c r="P402" s="313"/>
      <c r="Q402" s="313"/>
      <c r="R402" s="313"/>
      <c r="S402" s="313"/>
      <c r="T402" s="313">
        <f t="shared" si="6"/>
        <v>19</v>
      </c>
      <c r="U402" s="313">
        <f t="shared" si="15"/>
        <v>1</v>
      </c>
      <c r="V402" s="313">
        <f t="shared" si="15"/>
        <v>11</v>
      </c>
      <c r="W402" s="313">
        <f t="shared" si="15"/>
        <v>7</v>
      </c>
      <c r="X402" s="313">
        <f t="shared" si="15"/>
        <v>0</v>
      </c>
      <c r="Y402" s="313">
        <f t="shared" si="15"/>
        <v>53</v>
      </c>
      <c r="Z402" s="313">
        <f t="shared" si="15"/>
        <v>0</v>
      </c>
      <c r="AA402" s="313">
        <f t="shared" si="15"/>
        <v>0</v>
      </c>
      <c r="AB402" s="313">
        <f t="shared" si="15"/>
        <v>0</v>
      </c>
      <c r="AD402" s="313">
        <f t="shared" si="15"/>
        <v>19</v>
      </c>
      <c r="AE402" s="313">
        <f t="shared" si="15"/>
        <v>1</v>
      </c>
      <c r="AF402" s="313">
        <f t="shared" si="15"/>
        <v>11</v>
      </c>
      <c r="AG402" s="313">
        <f t="shared" si="15"/>
        <v>7</v>
      </c>
      <c r="AH402" s="313">
        <f t="shared" si="15"/>
        <v>0</v>
      </c>
      <c r="AI402" s="313">
        <f t="shared" si="15"/>
        <v>53</v>
      </c>
      <c r="AJ402" s="313">
        <f t="shared" si="15"/>
        <v>0</v>
      </c>
      <c r="AL402" s="314">
        <f t="shared" si="15"/>
        <v>7824055.0745526161</v>
      </c>
      <c r="AM402" s="314">
        <f t="shared" si="15"/>
        <v>5674946.8547536954</v>
      </c>
      <c r="AN402" s="314">
        <f t="shared" si="15"/>
        <v>5198008.0328329075</v>
      </c>
      <c r="AO402" s="314">
        <f t="shared" si="15"/>
        <v>3644868.2981082266</v>
      </c>
      <c r="AP402" s="314">
        <f t="shared" si="15"/>
        <v>22341878.260247447</v>
      </c>
      <c r="AR402" s="314">
        <f t="shared" si="14"/>
        <v>5950335.7132607615</v>
      </c>
      <c r="AS402" s="314">
        <f t="shared" si="14"/>
        <v>1549978.0442834138</v>
      </c>
      <c r="AT402" s="314">
        <f t="shared" si="14"/>
        <v>3758960.0551615446</v>
      </c>
      <c r="AU402" s="314">
        <f t="shared" si="14"/>
        <v>2696484.3368566176</v>
      </c>
      <c r="AV402" s="314">
        <f t="shared" si="14"/>
        <v>13955758.149562337</v>
      </c>
      <c r="AW402" s="314">
        <f t="shared" si="14"/>
        <v>8386120.1106851101</v>
      </c>
    </row>
    <row r="403" spans="1:49" x14ac:dyDescent="0.25">
      <c r="A403" s="311">
        <v>2757263</v>
      </c>
      <c r="B403" s="311"/>
      <c r="C403" s="315" t="str">
        <f t="shared" si="2"/>
        <v>NZO</v>
      </c>
      <c r="D403" s="315" t="str">
        <f t="shared" si="3"/>
        <v>Dětské krizové centrum NOMIA</v>
      </c>
      <c r="E403" s="315" t="str">
        <f t="shared" si="4"/>
        <v>NOMIA, z.ú.</v>
      </c>
      <c r="F403" s="313">
        <f t="shared" si="5"/>
        <v>2757263</v>
      </c>
      <c r="G403" s="313"/>
      <c r="H403" s="313"/>
      <c r="I403" s="313"/>
      <c r="J403" s="313"/>
      <c r="K403" s="313"/>
      <c r="L403" s="313"/>
      <c r="M403" s="313"/>
      <c r="N403" s="313"/>
      <c r="O403" s="313"/>
      <c r="P403" s="313"/>
      <c r="Q403" s="313"/>
      <c r="R403" s="313"/>
      <c r="S403" s="313"/>
      <c r="T403" s="313">
        <f t="shared" si="6"/>
        <v>1.35</v>
      </c>
      <c r="U403" s="313">
        <f t="shared" si="15"/>
        <v>0.3</v>
      </c>
      <c r="V403" s="313">
        <f t="shared" si="15"/>
        <v>0</v>
      </c>
      <c r="W403" s="313">
        <f t="shared" si="15"/>
        <v>0</v>
      </c>
      <c r="X403" s="313">
        <f t="shared" si="15"/>
        <v>1.05</v>
      </c>
      <c r="Y403" s="313">
        <f t="shared" si="15"/>
        <v>0</v>
      </c>
      <c r="Z403" s="313">
        <f t="shared" si="15"/>
        <v>21</v>
      </c>
      <c r="AA403" s="313">
        <f t="shared" si="15"/>
        <v>0</v>
      </c>
      <c r="AB403" s="313">
        <f t="shared" si="15"/>
        <v>0</v>
      </c>
      <c r="AD403" s="313">
        <f t="shared" si="15"/>
        <v>1.35</v>
      </c>
      <c r="AE403" s="313">
        <f t="shared" si="15"/>
        <v>0.3</v>
      </c>
      <c r="AF403" s="313">
        <f t="shared" si="15"/>
        <v>0</v>
      </c>
      <c r="AG403" s="313">
        <f t="shared" si="15"/>
        <v>0</v>
      </c>
      <c r="AH403" s="313">
        <f t="shared" si="15"/>
        <v>1.05</v>
      </c>
      <c r="AI403" s="313">
        <f t="shared" si="15"/>
        <v>0</v>
      </c>
      <c r="AJ403" s="313">
        <f t="shared" si="15"/>
        <v>0</v>
      </c>
      <c r="AL403" s="314">
        <f t="shared" si="15"/>
        <v>957130.16604430531</v>
      </c>
      <c r="AM403" s="314">
        <f t="shared" si="15"/>
        <v>0</v>
      </c>
      <c r="AN403" s="314">
        <f t="shared" si="15"/>
        <v>112233.17843866171</v>
      </c>
      <c r="AO403" s="314">
        <f t="shared" si="15"/>
        <v>0</v>
      </c>
      <c r="AP403" s="314">
        <f t="shared" si="15"/>
        <v>1069363.3444829669</v>
      </c>
      <c r="AR403" s="314">
        <f t="shared" si="14"/>
        <v>0</v>
      </c>
      <c r="AS403" s="314">
        <f t="shared" si="14"/>
        <v>0</v>
      </c>
      <c r="AT403" s="314">
        <f t="shared" si="14"/>
        <v>0</v>
      </c>
      <c r="AU403" s="314">
        <f t="shared" si="14"/>
        <v>0</v>
      </c>
      <c r="AV403" s="314">
        <f t="shared" si="14"/>
        <v>0</v>
      </c>
      <c r="AW403" s="314">
        <f t="shared" si="14"/>
        <v>1069363.3444829669</v>
      </c>
    </row>
    <row r="404" spans="1:49" x14ac:dyDescent="0.25">
      <c r="A404" s="311">
        <v>2788586</v>
      </c>
      <c r="B404" s="311"/>
      <c r="C404" s="315" t="str">
        <f t="shared" si="2"/>
        <v>NZO</v>
      </c>
      <c r="D404" s="315" t="str">
        <f t="shared" si="3"/>
        <v>ZVONEK pro rodinu</v>
      </c>
      <c r="E404" s="315" t="str">
        <f t="shared" si="4"/>
        <v>Oblastní charita Trutnov</v>
      </c>
      <c r="F404" s="313">
        <f t="shared" si="5"/>
        <v>2788586</v>
      </c>
      <c r="G404" s="313"/>
      <c r="H404" s="313"/>
      <c r="I404" s="313"/>
      <c r="J404" s="313"/>
      <c r="K404" s="313"/>
      <c r="L404" s="313"/>
      <c r="M404" s="313"/>
      <c r="N404" s="313"/>
      <c r="O404" s="313"/>
      <c r="P404" s="313"/>
      <c r="Q404" s="313"/>
      <c r="R404" s="313"/>
      <c r="S404" s="313"/>
      <c r="T404" s="313">
        <f t="shared" si="6"/>
        <v>1.75</v>
      </c>
      <c r="U404" s="313">
        <f t="shared" si="15"/>
        <v>1.5</v>
      </c>
      <c r="V404" s="313">
        <f t="shared" si="15"/>
        <v>0.25</v>
      </c>
      <c r="W404" s="313">
        <f t="shared" si="15"/>
        <v>0</v>
      </c>
      <c r="X404" s="313">
        <f t="shared" si="15"/>
        <v>0</v>
      </c>
      <c r="Y404" s="313">
        <f t="shared" si="15"/>
        <v>0</v>
      </c>
      <c r="Z404" s="313">
        <f t="shared" si="15"/>
        <v>17</v>
      </c>
      <c r="AA404" s="313">
        <f t="shared" si="15"/>
        <v>0</v>
      </c>
      <c r="AB404" s="313">
        <f t="shared" si="15"/>
        <v>0</v>
      </c>
      <c r="AD404" s="313">
        <f t="shared" si="15"/>
        <v>1.75</v>
      </c>
      <c r="AE404" s="313">
        <f t="shared" si="15"/>
        <v>1.5</v>
      </c>
      <c r="AF404" s="313">
        <f t="shared" si="15"/>
        <v>0.25</v>
      </c>
      <c r="AG404" s="313">
        <f t="shared" si="15"/>
        <v>0</v>
      </c>
      <c r="AH404" s="313">
        <f t="shared" si="15"/>
        <v>0</v>
      </c>
      <c r="AI404" s="313">
        <f t="shared" si="15"/>
        <v>0</v>
      </c>
      <c r="AJ404" s="313">
        <f t="shared" si="15"/>
        <v>0</v>
      </c>
      <c r="AL404" s="314">
        <f t="shared" si="15"/>
        <v>1128177.3989385122</v>
      </c>
      <c r="AM404" s="314">
        <f t="shared" si="15"/>
        <v>0</v>
      </c>
      <c r="AN404" s="314">
        <f t="shared" si="15"/>
        <v>76945.353181820668</v>
      </c>
      <c r="AO404" s="314">
        <f t="shared" si="15"/>
        <v>0</v>
      </c>
      <c r="AP404" s="314">
        <f t="shared" si="15"/>
        <v>1205122.7521203328</v>
      </c>
      <c r="AR404" s="314">
        <f t="shared" si="14"/>
        <v>0</v>
      </c>
      <c r="AS404" s="314">
        <f t="shared" si="14"/>
        <v>0</v>
      </c>
      <c r="AT404" s="314">
        <f t="shared" si="14"/>
        <v>0</v>
      </c>
      <c r="AU404" s="314">
        <f t="shared" si="14"/>
        <v>0</v>
      </c>
      <c r="AV404" s="314">
        <f t="shared" si="14"/>
        <v>0</v>
      </c>
      <c r="AW404" s="314">
        <f t="shared" si="14"/>
        <v>1205122.7521203328</v>
      </c>
    </row>
    <row r="405" spans="1:49" x14ac:dyDescent="0.25">
      <c r="A405" s="311">
        <v>2801353</v>
      </c>
      <c r="B405" s="311"/>
      <c r="C405" s="315" t="str">
        <f t="shared" si="2"/>
        <v>PO KHK</v>
      </c>
      <c r="D405" s="315" t="str">
        <f t="shared" si="3"/>
        <v>Domov důchodců Police nad Metují</v>
      </c>
      <c r="E405" s="315" t="str">
        <f t="shared" si="4"/>
        <v>Domov důchodců Police nad Metují</v>
      </c>
      <c r="F405" s="313">
        <f t="shared" si="5"/>
        <v>2801353</v>
      </c>
      <c r="G405" s="313"/>
      <c r="H405" s="313"/>
      <c r="I405" s="313"/>
      <c r="J405" s="313"/>
      <c r="K405" s="313"/>
      <c r="L405" s="313"/>
      <c r="M405" s="313"/>
      <c r="N405" s="313"/>
      <c r="O405" s="313"/>
      <c r="P405" s="313"/>
      <c r="Q405" s="313"/>
      <c r="R405" s="313"/>
      <c r="S405" s="313"/>
      <c r="T405" s="313">
        <f t="shared" si="6"/>
        <v>35</v>
      </c>
      <c r="U405" s="313">
        <f t="shared" si="15"/>
        <v>2</v>
      </c>
      <c r="V405" s="313">
        <f t="shared" si="15"/>
        <v>23</v>
      </c>
      <c r="W405" s="313">
        <f t="shared" si="15"/>
        <v>10</v>
      </c>
      <c r="X405" s="313">
        <f t="shared" si="15"/>
        <v>0</v>
      </c>
      <c r="Y405" s="313">
        <f t="shared" si="15"/>
        <v>64</v>
      </c>
      <c r="Z405" s="313">
        <f t="shared" si="15"/>
        <v>0</v>
      </c>
      <c r="AA405" s="313">
        <f t="shared" si="15"/>
        <v>0</v>
      </c>
      <c r="AB405" s="313">
        <f t="shared" si="15"/>
        <v>0</v>
      </c>
      <c r="AD405" s="313">
        <f t="shared" si="15"/>
        <v>35</v>
      </c>
      <c r="AE405" s="313">
        <f t="shared" si="15"/>
        <v>2</v>
      </c>
      <c r="AF405" s="313">
        <f t="shared" si="15"/>
        <v>23</v>
      </c>
      <c r="AG405" s="313">
        <f t="shared" si="15"/>
        <v>10</v>
      </c>
      <c r="AH405" s="313">
        <f t="shared" si="15"/>
        <v>0</v>
      </c>
      <c r="AI405" s="313">
        <f t="shared" si="15"/>
        <v>64</v>
      </c>
      <c r="AJ405" s="313">
        <f t="shared" si="15"/>
        <v>0</v>
      </c>
      <c r="AL405" s="314">
        <f t="shared" si="15"/>
        <v>16300114.738651283</v>
      </c>
      <c r="AM405" s="314">
        <f t="shared" si="15"/>
        <v>8107066.9353624228</v>
      </c>
      <c r="AN405" s="314">
        <f t="shared" si="15"/>
        <v>6276839.8887038883</v>
      </c>
      <c r="AO405" s="314">
        <f t="shared" si="15"/>
        <v>4401350.3977155946</v>
      </c>
      <c r="AP405" s="314">
        <f t="shared" si="15"/>
        <v>35085371.960433185</v>
      </c>
      <c r="AR405" s="314">
        <f t="shared" si="14"/>
        <v>7185311.0499752592</v>
      </c>
      <c r="AS405" s="314">
        <f t="shared" si="14"/>
        <v>1871671.6006441223</v>
      </c>
      <c r="AT405" s="314">
        <f t="shared" si="14"/>
        <v>4539121.5760441292</v>
      </c>
      <c r="AU405" s="314">
        <f t="shared" si="14"/>
        <v>3256132.0294117648</v>
      </c>
      <c r="AV405" s="314">
        <f t="shared" si="14"/>
        <v>16852236.256075278</v>
      </c>
      <c r="AW405" s="314">
        <f t="shared" si="14"/>
        <v>18233135.704357907</v>
      </c>
    </row>
    <row r="406" spans="1:49" x14ac:dyDescent="0.25">
      <c r="A406" s="311">
        <v>2813024</v>
      </c>
      <c r="B406" s="311"/>
      <c r="C406" s="315" t="str">
        <f t="shared" si="2"/>
        <v>NZO</v>
      </c>
      <c r="D406" s="315" t="str">
        <f t="shared" si="3"/>
        <v>Dům Matky Terezy Hradec Králové</v>
      </c>
      <c r="E406" s="315" t="str">
        <f t="shared" si="4"/>
        <v>Oblastní charita Hradec Králové</v>
      </c>
      <c r="F406" s="313">
        <f t="shared" si="5"/>
        <v>2813024</v>
      </c>
      <c r="G406" s="313"/>
      <c r="H406" s="313"/>
      <c r="I406" s="313"/>
      <c r="J406" s="313"/>
      <c r="K406" s="313"/>
      <c r="L406" s="313"/>
      <c r="M406" s="313"/>
      <c r="N406" s="313"/>
      <c r="O406" s="313"/>
      <c r="P406" s="313"/>
      <c r="Q406" s="313"/>
      <c r="R406" s="313"/>
      <c r="S406" s="313"/>
      <c r="T406" s="313">
        <f t="shared" si="6"/>
        <v>3.93</v>
      </c>
      <c r="U406" s="313">
        <f t="shared" si="15"/>
        <v>1</v>
      </c>
      <c r="V406" s="313">
        <f t="shared" si="15"/>
        <v>2.93</v>
      </c>
      <c r="W406" s="313">
        <f t="shared" si="15"/>
        <v>0</v>
      </c>
      <c r="X406" s="313">
        <f t="shared" si="15"/>
        <v>0</v>
      </c>
      <c r="Y406" s="313">
        <f t="shared" si="15"/>
        <v>0</v>
      </c>
      <c r="Z406" s="313">
        <f t="shared" si="15"/>
        <v>30</v>
      </c>
      <c r="AA406" s="313">
        <f t="shared" si="15"/>
        <v>0</v>
      </c>
      <c r="AB406" s="313">
        <f t="shared" si="15"/>
        <v>0</v>
      </c>
      <c r="AD406" s="313">
        <f t="shared" si="15"/>
        <v>3.93</v>
      </c>
      <c r="AE406" s="313">
        <f t="shared" si="15"/>
        <v>1</v>
      </c>
      <c r="AF406" s="313">
        <f t="shared" si="15"/>
        <v>2.93</v>
      </c>
      <c r="AG406" s="313">
        <f t="shared" si="15"/>
        <v>0</v>
      </c>
      <c r="AH406" s="313">
        <f t="shared" si="15"/>
        <v>0</v>
      </c>
      <c r="AI406" s="313">
        <f t="shared" si="15"/>
        <v>0</v>
      </c>
      <c r="AJ406" s="313">
        <f t="shared" si="15"/>
        <v>0</v>
      </c>
      <c r="AL406" s="314">
        <f t="shared" si="15"/>
        <v>2639494.1899940311</v>
      </c>
      <c r="AM406" s="314">
        <f t="shared" si="15"/>
        <v>0</v>
      </c>
      <c r="AN406" s="314">
        <f t="shared" si="15"/>
        <v>168129.27246450612</v>
      </c>
      <c r="AO406" s="314">
        <f t="shared" si="15"/>
        <v>0</v>
      </c>
      <c r="AP406" s="314">
        <f t="shared" ref="AP406:AP414" si="16">SUMIFS(AP$4:AP$337,$A$4:$A$337,$A406)</f>
        <v>2807623.4624585374</v>
      </c>
      <c r="AR406" s="314">
        <f t="shared" si="14"/>
        <v>0</v>
      </c>
      <c r="AS406" s="314">
        <f t="shared" si="14"/>
        <v>0</v>
      </c>
      <c r="AT406" s="314">
        <f t="shared" si="14"/>
        <v>0</v>
      </c>
      <c r="AU406" s="314">
        <f t="shared" si="14"/>
        <v>0</v>
      </c>
      <c r="AV406" s="314">
        <f t="shared" si="14"/>
        <v>0</v>
      </c>
      <c r="AW406" s="314">
        <f t="shared" si="14"/>
        <v>2807623.4624585374</v>
      </c>
    </row>
    <row r="407" spans="1:49" x14ac:dyDescent="0.25">
      <c r="A407" s="311">
        <v>2813433</v>
      </c>
      <c r="B407" s="311"/>
      <c r="C407" s="315" t="str">
        <f t="shared" si="2"/>
        <v>Obce</v>
      </c>
      <c r="D407" s="315" t="str">
        <f t="shared" si="3"/>
        <v>Centrum denních služeb města Úpice</v>
      </c>
      <c r="E407" s="315" t="str">
        <f t="shared" si="4"/>
        <v>Město Úpice</v>
      </c>
      <c r="F407" s="313">
        <f t="shared" si="5"/>
        <v>2813433</v>
      </c>
      <c r="G407" s="313"/>
      <c r="H407" s="313"/>
      <c r="I407" s="313"/>
      <c r="J407" s="313"/>
      <c r="K407" s="313"/>
      <c r="L407" s="313"/>
      <c r="M407" s="313"/>
      <c r="N407" s="313"/>
      <c r="O407" s="313"/>
      <c r="P407" s="313"/>
      <c r="Q407" s="313"/>
      <c r="R407" s="313"/>
      <c r="S407" s="313"/>
      <c r="T407" s="313">
        <f t="shared" si="6"/>
        <v>2.7</v>
      </c>
      <c r="U407" s="313">
        <f t="shared" si="15"/>
        <v>1</v>
      </c>
      <c r="V407" s="313">
        <f t="shared" si="15"/>
        <v>1.7</v>
      </c>
      <c r="W407" s="313">
        <f t="shared" si="15"/>
        <v>0</v>
      </c>
      <c r="X407" s="313">
        <f t="shared" si="15"/>
        <v>0</v>
      </c>
      <c r="Y407" s="313">
        <f t="shared" si="15"/>
        <v>0</v>
      </c>
      <c r="Z407" s="313">
        <f t="shared" si="15"/>
        <v>0</v>
      </c>
      <c r="AA407" s="313">
        <f t="shared" si="15"/>
        <v>10</v>
      </c>
      <c r="AB407" s="313">
        <f t="shared" si="15"/>
        <v>0</v>
      </c>
      <c r="AD407" s="313">
        <f t="shared" si="15"/>
        <v>2.7</v>
      </c>
      <c r="AE407" s="313">
        <f t="shared" si="15"/>
        <v>1</v>
      </c>
      <c r="AF407" s="313">
        <f t="shared" si="15"/>
        <v>1.7</v>
      </c>
      <c r="AG407" s="313">
        <f t="shared" si="15"/>
        <v>0</v>
      </c>
      <c r="AH407" s="313">
        <f t="shared" si="15"/>
        <v>0</v>
      </c>
      <c r="AI407" s="313">
        <f t="shared" si="15"/>
        <v>0</v>
      </c>
      <c r="AJ407" s="313">
        <f t="shared" si="15"/>
        <v>10</v>
      </c>
      <c r="AL407" s="314">
        <f t="shared" si="15"/>
        <v>1542346.9944692755</v>
      </c>
      <c r="AM407" s="314">
        <f t="shared" si="15"/>
        <v>0</v>
      </c>
      <c r="AN407" s="314">
        <f t="shared" si="15"/>
        <v>186038.37055986453</v>
      </c>
      <c r="AO407" s="314">
        <f t="shared" si="15"/>
        <v>5278.3306490107316</v>
      </c>
      <c r="AP407" s="314">
        <f t="shared" si="16"/>
        <v>1733663.6956781507</v>
      </c>
      <c r="AR407" s="314">
        <f t="shared" si="14"/>
        <v>193121.69999999998</v>
      </c>
      <c r="AS407" s="314">
        <f t="shared" si="14"/>
        <v>0</v>
      </c>
      <c r="AT407" s="314">
        <f t="shared" si="14"/>
        <v>0</v>
      </c>
      <c r="AU407" s="314">
        <f t="shared" si="14"/>
        <v>0</v>
      </c>
      <c r="AV407" s="314">
        <f t="shared" si="14"/>
        <v>193121.69999999998</v>
      </c>
      <c r="AW407" s="314">
        <f t="shared" si="14"/>
        <v>1540541.9956781508</v>
      </c>
    </row>
    <row r="408" spans="1:49" x14ac:dyDescent="0.25">
      <c r="A408" s="311">
        <v>2837121</v>
      </c>
      <c r="B408" s="311"/>
      <c r="C408" s="315" t="str">
        <f t="shared" ref="C408:C471" si="17">VLOOKUP($A408,$A$4:$K$337,2,FALSE)</f>
        <v>PO KHK</v>
      </c>
      <c r="D408" s="315" t="str">
        <f t="shared" ref="D408:D471" si="18">VLOOKUP($A408,$A$4:$K$337,3,FALSE)</f>
        <v>Domov důchodců Černožice</v>
      </c>
      <c r="E408" s="315" t="str">
        <f t="shared" ref="E408:E471" si="19">VLOOKUP($A408,$A$4:$K$337,4,FALSE)</f>
        <v>Domov důchodců Černožice</v>
      </c>
      <c r="F408" s="313">
        <f t="shared" ref="F408:F471" si="20">A408</f>
        <v>2837121</v>
      </c>
      <c r="G408" s="313"/>
      <c r="H408" s="313"/>
      <c r="I408" s="313"/>
      <c r="J408" s="313"/>
      <c r="K408" s="313"/>
      <c r="L408" s="313"/>
      <c r="M408" s="313"/>
      <c r="N408" s="313"/>
      <c r="O408" s="313"/>
      <c r="P408" s="313"/>
      <c r="Q408" s="313"/>
      <c r="R408" s="313"/>
      <c r="S408" s="313"/>
      <c r="T408" s="313">
        <f t="shared" ref="T408:AB471" si="21">SUMIFS(T$4:T$337,$A$4:$A$337,$A408)</f>
        <v>14.34</v>
      </c>
      <c r="U408" s="313">
        <f t="shared" si="21"/>
        <v>0.96</v>
      </c>
      <c r="V408" s="313">
        <f t="shared" si="21"/>
        <v>10.74</v>
      </c>
      <c r="W408" s="313">
        <f t="shared" si="21"/>
        <v>2.64</v>
      </c>
      <c r="X408" s="313">
        <f t="shared" si="21"/>
        <v>0</v>
      </c>
      <c r="Y408" s="313">
        <f t="shared" si="21"/>
        <v>24</v>
      </c>
      <c r="Z408" s="313">
        <f t="shared" si="21"/>
        <v>0</v>
      </c>
      <c r="AA408" s="313">
        <f t="shared" si="21"/>
        <v>0</v>
      </c>
      <c r="AB408" s="313">
        <f t="shared" si="21"/>
        <v>0</v>
      </c>
      <c r="AD408" s="313">
        <f t="shared" si="15"/>
        <v>14.34</v>
      </c>
      <c r="AE408" s="313">
        <f t="shared" si="15"/>
        <v>0.96</v>
      </c>
      <c r="AF408" s="313">
        <f t="shared" si="15"/>
        <v>10.74</v>
      </c>
      <c r="AG408" s="313">
        <f t="shared" si="15"/>
        <v>2.64</v>
      </c>
      <c r="AH408" s="313">
        <f t="shared" si="15"/>
        <v>0</v>
      </c>
      <c r="AI408" s="313">
        <f t="shared" si="15"/>
        <v>24</v>
      </c>
      <c r="AJ408" s="313">
        <f t="shared" si="15"/>
        <v>0</v>
      </c>
      <c r="AL408" s="314">
        <f t="shared" si="15"/>
        <v>7628453.6976888003</v>
      </c>
      <c r="AM408" s="314">
        <f t="shared" si="15"/>
        <v>2140265.6709356797</v>
      </c>
      <c r="AN408" s="314">
        <f t="shared" si="15"/>
        <v>2353814.9582639579</v>
      </c>
      <c r="AO408" s="314">
        <f t="shared" si="15"/>
        <v>1650506.399143348</v>
      </c>
      <c r="AP408" s="314">
        <f t="shared" si="16"/>
        <v>13773040.726031786</v>
      </c>
      <c r="AR408" s="314">
        <f t="shared" si="14"/>
        <v>2694491.643740722</v>
      </c>
      <c r="AS408" s="314">
        <f t="shared" si="14"/>
        <v>701876.85024154582</v>
      </c>
      <c r="AT408" s="314">
        <f t="shared" si="14"/>
        <v>1702170.5910165485</v>
      </c>
      <c r="AU408" s="314">
        <f t="shared" si="14"/>
        <v>1221049.5110294118</v>
      </c>
      <c r="AV408" s="314">
        <f t="shared" si="14"/>
        <v>6319588.5960282283</v>
      </c>
      <c r="AW408" s="314">
        <f t="shared" si="14"/>
        <v>7453452.1300035575</v>
      </c>
    </row>
    <row r="409" spans="1:49" x14ac:dyDescent="0.25">
      <c r="A409" s="311">
        <v>2886510</v>
      </c>
      <c r="B409" s="311"/>
      <c r="C409" s="315" t="str">
        <f t="shared" si="17"/>
        <v>NZO</v>
      </c>
      <c r="D409" s="315" t="str">
        <f t="shared" si="18"/>
        <v>Poradna pro lidi v tísni Hradec Králové</v>
      </c>
      <c r="E409" s="315" t="str">
        <f t="shared" si="19"/>
        <v>Oblastní charita Hradec Králové</v>
      </c>
      <c r="F409" s="313">
        <f t="shared" si="20"/>
        <v>2886510</v>
      </c>
      <c r="G409" s="313"/>
      <c r="H409" s="313"/>
      <c r="I409" s="313"/>
      <c r="J409" s="313"/>
      <c r="K409" s="313"/>
      <c r="L409" s="313"/>
      <c r="M409" s="313"/>
      <c r="N409" s="313"/>
      <c r="O409" s="313"/>
      <c r="P409" s="313"/>
      <c r="Q409" s="313"/>
      <c r="R409" s="313"/>
      <c r="S409" s="313"/>
      <c r="T409" s="313">
        <f t="shared" si="21"/>
        <v>3.25</v>
      </c>
      <c r="U409" s="313">
        <f t="shared" si="21"/>
        <v>2.35</v>
      </c>
      <c r="V409" s="313">
        <f t="shared" si="21"/>
        <v>0</v>
      </c>
      <c r="W409" s="313">
        <f t="shared" si="21"/>
        <v>0</v>
      </c>
      <c r="X409" s="313">
        <f t="shared" si="21"/>
        <v>0.9</v>
      </c>
      <c r="Y409" s="313">
        <f t="shared" si="21"/>
        <v>0</v>
      </c>
      <c r="Z409" s="313">
        <f t="shared" si="21"/>
        <v>36</v>
      </c>
      <c r="AA409" s="313">
        <f t="shared" si="21"/>
        <v>0</v>
      </c>
      <c r="AB409" s="313">
        <f t="shared" si="21"/>
        <v>0</v>
      </c>
      <c r="AD409" s="313">
        <f t="shared" si="15"/>
        <v>3.25</v>
      </c>
      <c r="AE409" s="313">
        <f t="shared" si="15"/>
        <v>2.35</v>
      </c>
      <c r="AF409" s="313">
        <f t="shared" si="15"/>
        <v>0</v>
      </c>
      <c r="AG409" s="313">
        <f t="shared" si="15"/>
        <v>0</v>
      </c>
      <c r="AH409" s="313">
        <f t="shared" si="15"/>
        <v>0.9</v>
      </c>
      <c r="AI409" s="313">
        <f t="shared" si="15"/>
        <v>0</v>
      </c>
      <c r="AJ409" s="313">
        <f t="shared" si="15"/>
        <v>0</v>
      </c>
      <c r="AL409" s="314">
        <f t="shared" si="15"/>
        <v>2164107.5494922339</v>
      </c>
      <c r="AM409" s="314">
        <f t="shared" si="15"/>
        <v>0</v>
      </c>
      <c r="AN409" s="314">
        <f t="shared" si="15"/>
        <v>150172.13448831203</v>
      </c>
      <c r="AO409" s="314">
        <f t="shared" si="15"/>
        <v>0</v>
      </c>
      <c r="AP409" s="314">
        <f t="shared" si="16"/>
        <v>2314279.683980546</v>
      </c>
      <c r="AR409" s="314">
        <f t="shared" si="14"/>
        <v>0</v>
      </c>
      <c r="AS409" s="314">
        <f t="shared" si="14"/>
        <v>0</v>
      </c>
      <c r="AT409" s="314">
        <f t="shared" si="14"/>
        <v>0</v>
      </c>
      <c r="AU409" s="314">
        <f t="shared" si="14"/>
        <v>0</v>
      </c>
      <c r="AV409" s="314">
        <f t="shared" si="14"/>
        <v>0</v>
      </c>
      <c r="AW409" s="314">
        <f t="shared" si="14"/>
        <v>2314279.683980546</v>
      </c>
    </row>
    <row r="410" spans="1:49" x14ac:dyDescent="0.25">
      <c r="A410" s="311">
        <v>2946425</v>
      </c>
      <c r="B410" s="311"/>
      <c r="C410" s="315" t="str">
        <f t="shared" si="17"/>
        <v>Obce</v>
      </c>
      <c r="D410" s="315" t="str">
        <f t="shared" si="18"/>
        <v>Dům s pečovatelskou službou Svoboda nad Úpou</v>
      </c>
      <c r="E410" s="315" t="str">
        <f t="shared" si="19"/>
        <v>Dům s pečovatelskou službou Svoboda nad Úpou</v>
      </c>
      <c r="F410" s="313">
        <f t="shared" si="20"/>
        <v>2946425</v>
      </c>
      <c r="G410" s="313"/>
      <c r="H410" s="313"/>
      <c r="I410" s="313"/>
      <c r="J410" s="313"/>
      <c r="K410" s="313"/>
      <c r="L410" s="313"/>
      <c r="M410" s="313"/>
      <c r="N410" s="313"/>
      <c r="O410" s="313"/>
      <c r="P410" s="313"/>
      <c r="Q410" s="313"/>
      <c r="R410" s="313"/>
      <c r="S410" s="313"/>
      <c r="T410" s="313">
        <f t="shared" si="21"/>
        <v>4.5</v>
      </c>
      <c r="U410" s="313">
        <f t="shared" si="21"/>
        <v>0.5</v>
      </c>
      <c r="V410" s="313">
        <f t="shared" si="21"/>
        <v>4</v>
      </c>
      <c r="W410" s="313">
        <f t="shared" si="21"/>
        <v>0</v>
      </c>
      <c r="X410" s="313">
        <f t="shared" si="21"/>
        <v>0</v>
      </c>
      <c r="Y410" s="313">
        <f t="shared" si="21"/>
        <v>0</v>
      </c>
      <c r="Z410" s="313">
        <f t="shared" si="21"/>
        <v>80</v>
      </c>
      <c r="AA410" s="313">
        <f t="shared" si="21"/>
        <v>0</v>
      </c>
      <c r="AB410" s="313">
        <f t="shared" si="21"/>
        <v>0</v>
      </c>
      <c r="AD410" s="313">
        <f t="shared" si="15"/>
        <v>4.5</v>
      </c>
      <c r="AE410" s="313">
        <f t="shared" si="15"/>
        <v>0.5</v>
      </c>
      <c r="AF410" s="313">
        <f t="shared" si="15"/>
        <v>4</v>
      </c>
      <c r="AG410" s="313">
        <f t="shared" si="15"/>
        <v>0</v>
      </c>
      <c r="AH410" s="313">
        <f t="shared" si="15"/>
        <v>0</v>
      </c>
      <c r="AI410" s="313">
        <f t="shared" si="15"/>
        <v>0</v>
      </c>
      <c r="AJ410" s="313">
        <f t="shared" si="15"/>
        <v>0</v>
      </c>
      <c r="AL410" s="314">
        <f t="shared" si="15"/>
        <v>2485611.0049082786</v>
      </c>
      <c r="AM410" s="314">
        <f t="shared" si="15"/>
        <v>0</v>
      </c>
      <c r="AN410" s="314">
        <f t="shared" si="15"/>
        <v>188282.54276121053</v>
      </c>
      <c r="AO410" s="314">
        <f t="shared" si="15"/>
        <v>0</v>
      </c>
      <c r="AP410" s="314">
        <f t="shared" si="16"/>
        <v>2673893.5476694889</v>
      </c>
      <c r="AR410" s="314">
        <f t="shared" si="14"/>
        <v>555020.9411764706</v>
      </c>
      <c r="AS410" s="314">
        <f t="shared" si="14"/>
        <v>0</v>
      </c>
      <c r="AT410" s="314">
        <f t="shared" si="14"/>
        <v>0</v>
      </c>
      <c r="AU410" s="314">
        <f t="shared" si="14"/>
        <v>0</v>
      </c>
      <c r="AV410" s="314">
        <f t="shared" si="14"/>
        <v>555020.9411764706</v>
      </c>
      <c r="AW410" s="314">
        <f t="shared" si="14"/>
        <v>2118872.6064930186</v>
      </c>
    </row>
    <row r="411" spans="1:49" x14ac:dyDescent="0.25">
      <c r="A411" s="311">
        <v>3028344</v>
      </c>
      <c r="B411" s="311"/>
      <c r="C411" s="315" t="str">
        <f t="shared" si="17"/>
        <v>NZO</v>
      </c>
      <c r="D411" s="315" t="str">
        <f t="shared" si="18"/>
        <v>Most k životu o.p.s.</v>
      </c>
      <c r="E411" s="315" t="str">
        <f t="shared" si="19"/>
        <v>Most k životu o.p.s.</v>
      </c>
      <c r="F411" s="313">
        <f t="shared" si="20"/>
        <v>3028344</v>
      </c>
      <c r="G411" s="313"/>
      <c r="H411" s="313"/>
      <c r="I411" s="313"/>
      <c r="J411" s="313"/>
      <c r="K411" s="313"/>
      <c r="L411" s="313"/>
      <c r="M411" s="313"/>
      <c r="N411" s="313"/>
      <c r="O411" s="313"/>
      <c r="P411" s="313"/>
      <c r="Q411" s="313"/>
      <c r="R411" s="313"/>
      <c r="S411" s="313"/>
      <c r="T411" s="313">
        <f t="shared" si="21"/>
        <v>6</v>
      </c>
      <c r="U411" s="313">
        <f t="shared" si="21"/>
        <v>1</v>
      </c>
      <c r="V411" s="313">
        <f t="shared" si="21"/>
        <v>5</v>
      </c>
      <c r="W411" s="313">
        <f t="shared" si="21"/>
        <v>0</v>
      </c>
      <c r="X411" s="313">
        <f t="shared" si="21"/>
        <v>0</v>
      </c>
      <c r="Y411" s="313">
        <f t="shared" si="21"/>
        <v>32</v>
      </c>
      <c r="Z411" s="313">
        <f t="shared" si="21"/>
        <v>0</v>
      </c>
      <c r="AA411" s="313">
        <f t="shared" si="21"/>
        <v>0</v>
      </c>
      <c r="AB411" s="313">
        <f t="shared" si="21"/>
        <v>0</v>
      </c>
      <c r="AD411" s="313">
        <f t="shared" si="15"/>
        <v>6</v>
      </c>
      <c r="AE411" s="313">
        <f t="shared" si="15"/>
        <v>1</v>
      </c>
      <c r="AF411" s="313">
        <f t="shared" si="15"/>
        <v>5</v>
      </c>
      <c r="AG411" s="313">
        <f t="shared" si="15"/>
        <v>0</v>
      </c>
      <c r="AH411" s="313">
        <f t="shared" si="15"/>
        <v>0</v>
      </c>
      <c r="AI411" s="313">
        <f t="shared" si="15"/>
        <v>32</v>
      </c>
      <c r="AJ411" s="313">
        <f t="shared" si="15"/>
        <v>0</v>
      </c>
      <c r="AL411" s="314">
        <f t="shared" si="15"/>
        <v>3723441.3431287203</v>
      </c>
      <c r="AM411" s="314">
        <f t="shared" si="15"/>
        <v>0</v>
      </c>
      <c r="AN411" s="314">
        <f t="shared" si="15"/>
        <v>834231.36994117859</v>
      </c>
      <c r="AO411" s="314">
        <f t="shared" si="15"/>
        <v>0</v>
      </c>
      <c r="AP411" s="314">
        <f t="shared" si="16"/>
        <v>4557672.713069899</v>
      </c>
      <c r="AR411" s="314">
        <f t="shared" si="14"/>
        <v>0</v>
      </c>
      <c r="AS411" s="314">
        <f t="shared" si="14"/>
        <v>0</v>
      </c>
      <c r="AT411" s="314">
        <f t="shared" si="14"/>
        <v>727523.7333333334</v>
      </c>
      <c r="AU411" s="314">
        <f t="shared" si="14"/>
        <v>0</v>
      </c>
      <c r="AV411" s="314">
        <f t="shared" si="14"/>
        <v>727523.7333333334</v>
      </c>
      <c r="AW411" s="314">
        <f t="shared" si="14"/>
        <v>3830148.9797365656</v>
      </c>
    </row>
    <row r="412" spans="1:49" x14ac:dyDescent="0.25">
      <c r="A412" s="311">
        <v>3040542</v>
      </c>
      <c r="B412" s="311"/>
      <c r="C412" s="315" t="str">
        <f t="shared" si="17"/>
        <v>NZO</v>
      </c>
      <c r="D412" s="315" t="str">
        <f t="shared" si="18"/>
        <v>Občanská poradna Náchod</v>
      </c>
      <c r="E412" s="315" t="str">
        <f t="shared" si="19"/>
        <v>Občanské poradenské středisko, o.p.s.</v>
      </c>
      <c r="F412" s="313">
        <f t="shared" si="20"/>
        <v>3040542</v>
      </c>
      <c r="G412" s="313"/>
      <c r="H412" s="313"/>
      <c r="I412" s="313"/>
      <c r="J412" s="313"/>
      <c r="K412" s="313"/>
      <c r="L412" s="313"/>
      <c r="M412" s="313"/>
      <c r="N412" s="313"/>
      <c r="O412" s="313"/>
      <c r="P412" s="313"/>
      <c r="Q412" s="313"/>
      <c r="R412" s="313"/>
      <c r="S412" s="313"/>
      <c r="T412" s="313">
        <f t="shared" si="21"/>
        <v>1.35</v>
      </c>
      <c r="U412" s="313">
        <f t="shared" si="21"/>
        <v>1.3</v>
      </c>
      <c r="V412" s="313">
        <f t="shared" si="21"/>
        <v>0.05</v>
      </c>
      <c r="W412" s="313">
        <f t="shared" si="21"/>
        <v>0</v>
      </c>
      <c r="X412" s="313">
        <f t="shared" si="21"/>
        <v>0</v>
      </c>
      <c r="Y412" s="313">
        <f t="shared" si="21"/>
        <v>0</v>
      </c>
      <c r="Z412" s="313">
        <f t="shared" si="21"/>
        <v>16</v>
      </c>
      <c r="AA412" s="313">
        <f t="shared" si="21"/>
        <v>0</v>
      </c>
      <c r="AB412" s="313">
        <f t="shared" si="21"/>
        <v>0</v>
      </c>
      <c r="AD412" s="313">
        <f t="shared" si="15"/>
        <v>1.35</v>
      </c>
      <c r="AE412" s="313">
        <f t="shared" si="15"/>
        <v>1.3</v>
      </c>
      <c r="AF412" s="313">
        <f t="shared" si="15"/>
        <v>0.05</v>
      </c>
      <c r="AG412" s="313">
        <f t="shared" si="15"/>
        <v>0</v>
      </c>
      <c r="AH412" s="313">
        <f t="shared" si="15"/>
        <v>0</v>
      </c>
      <c r="AI412" s="313">
        <f t="shared" si="15"/>
        <v>0</v>
      </c>
      <c r="AJ412" s="313">
        <f t="shared" si="15"/>
        <v>0</v>
      </c>
      <c r="AL412" s="314">
        <f t="shared" si="15"/>
        <v>898936.98209677415</v>
      </c>
      <c r="AM412" s="314">
        <f t="shared" si="15"/>
        <v>0</v>
      </c>
      <c r="AN412" s="314">
        <f t="shared" si="15"/>
        <v>62379.194325914228</v>
      </c>
      <c r="AO412" s="314">
        <f t="shared" si="15"/>
        <v>0</v>
      </c>
      <c r="AP412" s="314">
        <f t="shared" si="16"/>
        <v>961316.17642268841</v>
      </c>
      <c r="AR412" s="314">
        <f t="shared" si="14"/>
        <v>0</v>
      </c>
      <c r="AS412" s="314">
        <f t="shared" si="14"/>
        <v>0</v>
      </c>
      <c r="AT412" s="314">
        <f t="shared" si="14"/>
        <v>0</v>
      </c>
      <c r="AU412" s="314">
        <f t="shared" si="14"/>
        <v>0</v>
      </c>
      <c r="AV412" s="314">
        <f t="shared" si="14"/>
        <v>0</v>
      </c>
      <c r="AW412" s="314">
        <f t="shared" si="14"/>
        <v>961316.17642268841</v>
      </c>
    </row>
    <row r="413" spans="1:49" x14ac:dyDescent="0.25">
      <c r="A413" s="311">
        <v>3054253</v>
      </c>
      <c r="B413" s="311"/>
      <c r="C413" s="315" t="str">
        <f t="shared" si="17"/>
        <v>NZO</v>
      </c>
      <c r="D413" s="315" t="str">
        <f t="shared" si="18"/>
        <v>Sociální rehabilitace Hořice</v>
      </c>
      <c r="E413" s="315" t="str">
        <f t="shared" si="19"/>
        <v>NAŠE ULITA z.s.</v>
      </c>
      <c r="F413" s="313">
        <f t="shared" si="20"/>
        <v>3054253</v>
      </c>
      <c r="G413" s="313"/>
      <c r="H413" s="313"/>
      <c r="I413" s="313"/>
      <c r="J413" s="313"/>
      <c r="K413" s="313"/>
      <c r="L413" s="313"/>
      <c r="M413" s="313"/>
      <c r="N413" s="313"/>
      <c r="O413" s="313"/>
      <c r="P413" s="313"/>
      <c r="Q413" s="313"/>
      <c r="R413" s="313"/>
      <c r="S413" s="313"/>
      <c r="T413" s="313">
        <f t="shared" si="21"/>
        <v>3.2</v>
      </c>
      <c r="U413" s="313">
        <f t="shared" si="21"/>
        <v>1</v>
      </c>
      <c r="V413" s="313">
        <f t="shared" si="21"/>
        <v>2</v>
      </c>
      <c r="W413" s="313">
        <f t="shared" si="21"/>
        <v>0</v>
      </c>
      <c r="X413" s="313">
        <f t="shared" si="21"/>
        <v>0.2</v>
      </c>
      <c r="Y413" s="313">
        <f t="shared" si="21"/>
        <v>0</v>
      </c>
      <c r="Z413" s="313">
        <f t="shared" si="21"/>
        <v>0</v>
      </c>
      <c r="AA413" s="313">
        <f t="shared" si="21"/>
        <v>12</v>
      </c>
      <c r="AB413" s="313">
        <f t="shared" si="21"/>
        <v>0</v>
      </c>
      <c r="AD413" s="313">
        <f t="shared" si="15"/>
        <v>3.2</v>
      </c>
      <c r="AE413" s="313">
        <f t="shared" si="15"/>
        <v>1</v>
      </c>
      <c r="AF413" s="313">
        <f t="shared" si="15"/>
        <v>2</v>
      </c>
      <c r="AG413" s="313">
        <f t="shared" si="15"/>
        <v>0</v>
      </c>
      <c r="AH413" s="313">
        <f t="shared" si="15"/>
        <v>0.2</v>
      </c>
      <c r="AI413" s="313">
        <f t="shared" si="15"/>
        <v>0</v>
      </c>
      <c r="AJ413" s="313">
        <f t="shared" si="15"/>
        <v>12</v>
      </c>
      <c r="AL413" s="314">
        <f t="shared" si="15"/>
        <v>2149206.4651350891</v>
      </c>
      <c r="AM413" s="314">
        <f t="shared" si="15"/>
        <v>0</v>
      </c>
      <c r="AN413" s="314">
        <f t="shared" si="15"/>
        <v>136899.15315176072</v>
      </c>
      <c r="AO413" s="314">
        <f t="shared" si="15"/>
        <v>0</v>
      </c>
      <c r="AP413" s="314">
        <f t="shared" si="16"/>
        <v>2286105.6182868499</v>
      </c>
      <c r="AR413" s="314">
        <f t="shared" si="14"/>
        <v>0</v>
      </c>
      <c r="AS413" s="314">
        <f t="shared" si="14"/>
        <v>0</v>
      </c>
      <c r="AT413" s="314">
        <f t="shared" si="14"/>
        <v>0</v>
      </c>
      <c r="AU413" s="314">
        <f t="shared" si="14"/>
        <v>0</v>
      </c>
      <c r="AV413" s="314">
        <f t="shared" si="14"/>
        <v>0</v>
      </c>
      <c r="AW413" s="314">
        <f t="shared" si="14"/>
        <v>2286105.6182868499</v>
      </c>
    </row>
    <row r="414" spans="1:49" x14ac:dyDescent="0.25">
      <c r="A414" s="311">
        <v>3095940</v>
      </c>
      <c r="B414" s="311"/>
      <c r="C414" s="315" t="str">
        <f t="shared" si="17"/>
        <v>Obce</v>
      </c>
      <c r="D414" s="315" t="str">
        <f t="shared" si="18"/>
        <v>Pečovatelská služba</v>
      </c>
      <c r="E414" s="315" t="str">
        <f t="shared" si="19"/>
        <v>Ústav sociálních služeb města Nové Paky</v>
      </c>
      <c r="F414" s="313">
        <f t="shared" si="20"/>
        <v>3095940</v>
      </c>
      <c r="G414" s="313"/>
      <c r="H414" s="313"/>
      <c r="I414" s="313"/>
      <c r="J414" s="313"/>
      <c r="K414" s="313"/>
      <c r="L414" s="313"/>
      <c r="M414" s="313"/>
      <c r="N414" s="313"/>
      <c r="O414" s="313"/>
      <c r="P414" s="313"/>
      <c r="Q414" s="313"/>
      <c r="R414" s="313"/>
      <c r="S414" s="313"/>
      <c r="T414" s="313">
        <f t="shared" si="21"/>
        <v>8</v>
      </c>
      <c r="U414" s="313">
        <f t="shared" si="21"/>
        <v>1</v>
      </c>
      <c r="V414" s="313">
        <f t="shared" si="21"/>
        <v>7</v>
      </c>
      <c r="W414" s="313">
        <f t="shared" si="21"/>
        <v>0</v>
      </c>
      <c r="X414" s="313">
        <f t="shared" si="21"/>
        <v>0</v>
      </c>
      <c r="Y414" s="313">
        <f t="shared" si="21"/>
        <v>0</v>
      </c>
      <c r="Z414" s="313">
        <f t="shared" si="21"/>
        <v>130</v>
      </c>
      <c r="AA414" s="313">
        <f t="shared" si="21"/>
        <v>0</v>
      </c>
      <c r="AB414" s="313">
        <f t="shared" si="21"/>
        <v>0</v>
      </c>
      <c r="AD414" s="313">
        <f t="shared" si="15"/>
        <v>8</v>
      </c>
      <c r="AE414" s="313">
        <f t="shared" si="15"/>
        <v>1</v>
      </c>
      <c r="AF414" s="313">
        <f t="shared" si="15"/>
        <v>7</v>
      </c>
      <c r="AG414" s="313">
        <f t="shared" si="15"/>
        <v>0</v>
      </c>
      <c r="AH414" s="313">
        <f t="shared" si="15"/>
        <v>0</v>
      </c>
      <c r="AI414" s="313">
        <f t="shared" si="15"/>
        <v>0</v>
      </c>
      <c r="AJ414" s="313">
        <f t="shared" si="15"/>
        <v>0</v>
      </c>
      <c r="AL414" s="314">
        <f t="shared" si="15"/>
        <v>4418864.0087258285</v>
      </c>
      <c r="AM414" s="314">
        <f t="shared" si="15"/>
        <v>0</v>
      </c>
      <c r="AN414" s="314">
        <f t="shared" si="15"/>
        <v>334724.52046437428</v>
      </c>
      <c r="AO414" s="314">
        <f t="shared" si="15"/>
        <v>0</v>
      </c>
      <c r="AP414" s="314">
        <f t="shared" si="16"/>
        <v>4753588.5291902032</v>
      </c>
      <c r="AR414" s="314">
        <f t="shared" ref="AR414:AW429" si="22">SUMIFS(AR$4:AR$337,$A$4:$A$337,$A414)</f>
        <v>971286.64705882361</v>
      </c>
      <c r="AS414" s="314">
        <f t="shared" si="22"/>
        <v>0</v>
      </c>
      <c r="AT414" s="314">
        <f t="shared" si="22"/>
        <v>0</v>
      </c>
      <c r="AU414" s="314">
        <f t="shared" si="22"/>
        <v>0</v>
      </c>
      <c r="AV414" s="314">
        <f t="shared" si="22"/>
        <v>971286.64705882361</v>
      </c>
      <c r="AW414" s="314">
        <f t="shared" si="22"/>
        <v>3782301.8821313796</v>
      </c>
    </row>
    <row r="415" spans="1:49" x14ac:dyDescent="0.25">
      <c r="A415" s="311">
        <v>3110951</v>
      </c>
      <c r="B415" s="311"/>
      <c r="C415" s="315" t="str">
        <f t="shared" si="17"/>
        <v>NZO</v>
      </c>
      <c r="D415" s="315" t="str">
        <f t="shared" si="18"/>
        <v>Charitní ošetřovatelská a pečovatelská služba Trutnov</v>
      </c>
      <c r="E415" s="315" t="str">
        <f t="shared" si="19"/>
        <v>Oblastní charita Trutnov</v>
      </c>
      <c r="F415" s="313">
        <f t="shared" si="20"/>
        <v>3110951</v>
      </c>
      <c r="G415" s="313"/>
      <c r="H415" s="313"/>
      <c r="I415" s="313"/>
      <c r="J415" s="313"/>
      <c r="K415" s="313"/>
      <c r="L415" s="313"/>
      <c r="M415" s="313"/>
      <c r="N415" s="313"/>
      <c r="O415" s="313"/>
      <c r="P415" s="313"/>
      <c r="Q415" s="313"/>
      <c r="R415" s="313"/>
      <c r="S415" s="313"/>
      <c r="T415" s="313">
        <f t="shared" si="21"/>
        <v>6.5000000000000009</v>
      </c>
      <c r="U415" s="313">
        <f t="shared" si="21"/>
        <v>0.2</v>
      </c>
      <c r="V415" s="313">
        <f t="shared" si="21"/>
        <v>6.3</v>
      </c>
      <c r="W415" s="313">
        <f t="shared" si="21"/>
        <v>0</v>
      </c>
      <c r="X415" s="313">
        <f t="shared" si="21"/>
        <v>0</v>
      </c>
      <c r="Y415" s="313">
        <f t="shared" si="21"/>
        <v>0</v>
      </c>
      <c r="Z415" s="313">
        <f t="shared" si="21"/>
        <v>117</v>
      </c>
      <c r="AA415" s="313">
        <f t="shared" si="21"/>
        <v>0</v>
      </c>
      <c r="AB415" s="313">
        <f t="shared" si="21"/>
        <v>0</v>
      </c>
      <c r="AD415" s="313">
        <f t="shared" ref="AD415:AJ430" si="23">SUMIFS(AD$4:AD$337,$A$4:$A$337,$A415)</f>
        <v>6.5000000000000009</v>
      </c>
      <c r="AE415" s="313">
        <f t="shared" si="23"/>
        <v>0.2</v>
      </c>
      <c r="AF415" s="313">
        <f t="shared" si="23"/>
        <v>6.3</v>
      </c>
      <c r="AG415" s="313">
        <f t="shared" si="23"/>
        <v>0</v>
      </c>
      <c r="AH415" s="313">
        <f t="shared" si="23"/>
        <v>0</v>
      </c>
      <c r="AI415" s="313">
        <f t="shared" si="23"/>
        <v>0</v>
      </c>
      <c r="AJ415" s="313">
        <f t="shared" si="23"/>
        <v>0</v>
      </c>
      <c r="AL415" s="314">
        <f t="shared" ref="AL415:AS461" si="24">SUMIFS(AL$4:AL$337,$A$4:$A$337,$A415)</f>
        <v>3590327.0070897359</v>
      </c>
      <c r="AM415" s="314">
        <f t="shared" si="24"/>
        <v>0</v>
      </c>
      <c r="AN415" s="314">
        <f t="shared" si="24"/>
        <v>271963.67287730414</v>
      </c>
      <c r="AO415" s="314">
        <f t="shared" si="24"/>
        <v>0</v>
      </c>
      <c r="AP415" s="314">
        <f t="shared" si="24"/>
        <v>3862290.6799670402</v>
      </c>
      <c r="AR415" s="314">
        <f t="shared" si="24"/>
        <v>874157.9823529413</v>
      </c>
      <c r="AS415" s="314">
        <f t="shared" si="24"/>
        <v>0</v>
      </c>
      <c r="AT415" s="314">
        <f t="shared" si="22"/>
        <v>0</v>
      </c>
      <c r="AU415" s="314">
        <f t="shared" si="22"/>
        <v>0</v>
      </c>
      <c r="AV415" s="314">
        <f t="shared" si="22"/>
        <v>874157.9823529413</v>
      </c>
      <c r="AW415" s="314">
        <f t="shared" si="22"/>
        <v>2988132.6976140989</v>
      </c>
    </row>
    <row r="416" spans="1:49" x14ac:dyDescent="0.25">
      <c r="A416" s="311">
        <v>3135426</v>
      </c>
      <c r="B416" s="311"/>
      <c r="C416" s="315" t="str">
        <f t="shared" si="17"/>
        <v>KHK</v>
      </c>
      <c r="D416" s="315" t="str">
        <f t="shared" si="18"/>
        <v>Ústav sociálních služeb Milíčeves</v>
      </c>
      <c r="E416" s="315" t="str">
        <f t="shared" si="19"/>
        <v>Ústav sociálních služeb Milíčeves</v>
      </c>
      <c r="F416" s="313">
        <f t="shared" si="20"/>
        <v>3135426</v>
      </c>
      <c r="G416" s="313"/>
      <c r="H416" s="313"/>
      <c r="I416" s="313"/>
      <c r="J416" s="313"/>
      <c r="K416" s="313"/>
      <c r="L416" s="313"/>
      <c r="M416" s="313"/>
      <c r="N416" s="313"/>
      <c r="O416" s="313"/>
      <c r="P416" s="313"/>
      <c r="Q416" s="313"/>
      <c r="R416" s="313"/>
      <c r="S416" s="313"/>
      <c r="T416" s="313">
        <f t="shared" si="21"/>
        <v>21.25</v>
      </c>
      <c r="U416" s="313">
        <f t="shared" si="21"/>
        <v>1.25</v>
      </c>
      <c r="V416" s="313">
        <f t="shared" si="21"/>
        <v>14</v>
      </c>
      <c r="W416" s="313">
        <f t="shared" si="21"/>
        <v>6</v>
      </c>
      <c r="X416" s="313">
        <f t="shared" si="21"/>
        <v>0</v>
      </c>
      <c r="Y416" s="313">
        <f t="shared" si="21"/>
        <v>68</v>
      </c>
      <c r="Z416" s="313">
        <f t="shared" si="21"/>
        <v>0</v>
      </c>
      <c r="AA416" s="313">
        <f t="shared" si="21"/>
        <v>0</v>
      </c>
      <c r="AB416" s="313">
        <f t="shared" si="21"/>
        <v>0</v>
      </c>
      <c r="AD416" s="313">
        <f t="shared" si="23"/>
        <v>21.25</v>
      </c>
      <c r="AE416" s="313">
        <f t="shared" si="23"/>
        <v>1.25</v>
      </c>
      <c r="AF416" s="313">
        <f t="shared" si="23"/>
        <v>14</v>
      </c>
      <c r="AG416" s="313">
        <f t="shared" si="23"/>
        <v>6</v>
      </c>
      <c r="AH416" s="313">
        <f t="shared" si="23"/>
        <v>0</v>
      </c>
      <c r="AI416" s="313">
        <f t="shared" si="23"/>
        <v>68</v>
      </c>
      <c r="AJ416" s="313">
        <f t="shared" si="23"/>
        <v>0</v>
      </c>
      <c r="AL416" s="314">
        <f t="shared" si="24"/>
        <v>9943069.9905772824</v>
      </c>
      <c r="AM416" s="314">
        <f t="shared" si="24"/>
        <v>4864240.161217453</v>
      </c>
      <c r="AN416" s="314">
        <f t="shared" si="24"/>
        <v>6669142.381747881</v>
      </c>
      <c r="AO416" s="314">
        <f t="shared" si="24"/>
        <v>4676434.7975728195</v>
      </c>
      <c r="AP416" s="314">
        <f t="shared" si="24"/>
        <v>26152887.33111544</v>
      </c>
      <c r="AR416" s="314">
        <f t="shared" si="24"/>
        <v>7634392.990598713</v>
      </c>
      <c r="AS416" s="314">
        <f t="shared" si="24"/>
        <v>1988651.07568438</v>
      </c>
      <c r="AT416" s="314">
        <f t="shared" si="22"/>
        <v>4822816.6745468872</v>
      </c>
      <c r="AU416" s="314">
        <f t="shared" si="22"/>
        <v>3459640.28125</v>
      </c>
      <c r="AV416" s="314">
        <f t="shared" si="22"/>
        <v>17905501.022079982</v>
      </c>
      <c r="AW416" s="314">
        <f t="shared" si="22"/>
        <v>8247386.3090354577</v>
      </c>
    </row>
    <row r="417" spans="1:49" x14ac:dyDescent="0.25">
      <c r="A417" s="311">
        <v>3198258</v>
      </c>
      <c r="B417" s="311"/>
      <c r="C417" s="315" t="str">
        <f t="shared" si="17"/>
        <v>NZO</v>
      </c>
      <c r="D417" s="315" t="str">
        <f t="shared" si="18"/>
        <v>Společné cesty - o.s.</v>
      </c>
      <c r="E417" s="315" t="str">
        <f t="shared" si="19"/>
        <v>Společné cesty - z.s.</v>
      </c>
      <c r="F417" s="313">
        <f t="shared" si="20"/>
        <v>3198258</v>
      </c>
      <c r="G417" s="313"/>
      <c r="H417" s="313"/>
      <c r="I417" s="313"/>
      <c r="J417" s="313"/>
      <c r="K417" s="313"/>
      <c r="L417" s="313"/>
      <c r="M417" s="313"/>
      <c r="N417" s="313"/>
      <c r="O417" s="313"/>
      <c r="P417" s="313"/>
      <c r="Q417" s="313"/>
      <c r="R417" s="313"/>
      <c r="S417" s="313"/>
      <c r="T417" s="313">
        <f t="shared" si="21"/>
        <v>12.43</v>
      </c>
      <c r="U417" s="313">
        <f t="shared" si="21"/>
        <v>1.2799999999999998</v>
      </c>
      <c r="V417" s="313">
        <f t="shared" si="21"/>
        <v>11.15</v>
      </c>
      <c r="W417" s="313">
        <f t="shared" si="21"/>
        <v>0</v>
      </c>
      <c r="X417" s="313">
        <f t="shared" si="21"/>
        <v>0</v>
      </c>
      <c r="Y417" s="313">
        <f t="shared" si="21"/>
        <v>0</v>
      </c>
      <c r="Z417" s="313">
        <f t="shared" si="21"/>
        <v>70</v>
      </c>
      <c r="AA417" s="313">
        <f t="shared" si="21"/>
        <v>0</v>
      </c>
      <c r="AB417" s="313">
        <f t="shared" si="21"/>
        <v>0</v>
      </c>
      <c r="AD417" s="313">
        <f t="shared" si="23"/>
        <v>12.43</v>
      </c>
      <c r="AE417" s="313">
        <f t="shared" si="23"/>
        <v>1.2799999999999998</v>
      </c>
      <c r="AF417" s="313">
        <f t="shared" si="23"/>
        <v>11.15</v>
      </c>
      <c r="AG417" s="313">
        <f t="shared" si="23"/>
        <v>0</v>
      </c>
      <c r="AH417" s="313">
        <f t="shared" si="23"/>
        <v>0</v>
      </c>
      <c r="AI417" s="313">
        <f t="shared" si="23"/>
        <v>0</v>
      </c>
      <c r="AJ417" s="313">
        <f t="shared" si="23"/>
        <v>0</v>
      </c>
      <c r="AL417" s="314">
        <f t="shared" si="24"/>
        <v>6348866.5843633711</v>
      </c>
      <c r="AM417" s="314">
        <f t="shared" si="24"/>
        <v>0</v>
      </c>
      <c r="AN417" s="314">
        <f t="shared" si="24"/>
        <v>240492.74008971843</v>
      </c>
      <c r="AO417" s="314">
        <f t="shared" si="24"/>
        <v>0</v>
      </c>
      <c r="AP417" s="314">
        <f t="shared" si="24"/>
        <v>6589359.3244530894</v>
      </c>
      <c r="AR417" s="314">
        <f t="shared" si="24"/>
        <v>1393402.5713595352</v>
      </c>
      <c r="AS417" s="314">
        <f t="shared" si="24"/>
        <v>0</v>
      </c>
      <c r="AT417" s="314">
        <f t="shared" si="22"/>
        <v>0</v>
      </c>
      <c r="AU417" s="314">
        <f t="shared" si="22"/>
        <v>0</v>
      </c>
      <c r="AV417" s="314">
        <f t="shared" si="22"/>
        <v>1393402.5713595352</v>
      </c>
      <c r="AW417" s="314">
        <f t="shared" si="22"/>
        <v>5195956.7530935546</v>
      </c>
    </row>
    <row r="418" spans="1:49" x14ac:dyDescent="0.25">
      <c r="A418" s="311">
        <v>3346325</v>
      </c>
      <c r="B418" s="311"/>
      <c r="C418" s="315" t="str">
        <f t="shared" si="17"/>
        <v>NZO</v>
      </c>
      <c r="D418" s="315" t="str">
        <f t="shared" si="18"/>
        <v>Centrum LIRA, z. ú.</v>
      </c>
      <c r="E418" s="315" t="str">
        <f t="shared" si="19"/>
        <v>Centrum LIRA, z. ú.</v>
      </c>
      <c r="F418" s="313">
        <f t="shared" si="20"/>
        <v>3346325</v>
      </c>
      <c r="G418" s="313"/>
      <c r="H418" s="313"/>
      <c r="I418" s="313"/>
      <c r="J418" s="313"/>
      <c r="K418" s="313"/>
      <c r="L418" s="313"/>
      <c r="M418" s="313"/>
      <c r="N418" s="313"/>
      <c r="O418" s="313"/>
      <c r="P418" s="313"/>
      <c r="Q418" s="313"/>
      <c r="R418" s="313"/>
      <c r="S418" s="313"/>
      <c r="T418" s="313">
        <f t="shared" si="21"/>
        <v>4.5999999999999996</v>
      </c>
      <c r="U418" s="313">
        <f t="shared" si="21"/>
        <v>4.54</v>
      </c>
      <c r="V418" s="313">
        <f t="shared" si="21"/>
        <v>0</v>
      </c>
      <c r="W418" s="313">
        <f t="shared" si="21"/>
        <v>0.02</v>
      </c>
      <c r="X418" s="313">
        <f t="shared" si="21"/>
        <v>0.04</v>
      </c>
      <c r="Y418" s="313">
        <f t="shared" si="21"/>
        <v>0</v>
      </c>
      <c r="Z418" s="313">
        <f t="shared" si="21"/>
        <v>56</v>
      </c>
      <c r="AA418" s="313">
        <f t="shared" si="21"/>
        <v>6</v>
      </c>
      <c r="AB418" s="313">
        <f t="shared" si="21"/>
        <v>0</v>
      </c>
      <c r="AD418" s="313">
        <f t="shared" si="23"/>
        <v>4.5999999999999996</v>
      </c>
      <c r="AE418" s="313">
        <f t="shared" si="23"/>
        <v>4.54</v>
      </c>
      <c r="AF418" s="313">
        <f t="shared" si="23"/>
        <v>0</v>
      </c>
      <c r="AG418" s="313">
        <f t="shared" si="23"/>
        <v>0.02</v>
      </c>
      <c r="AH418" s="313">
        <f t="shared" si="23"/>
        <v>0.04</v>
      </c>
      <c r="AI418" s="313">
        <f t="shared" si="23"/>
        <v>0</v>
      </c>
      <c r="AJ418" s="313">
        <f t="shared" si="23"/>
        <v>6</v>
      </c>
      <c r="AL418" s="314">
        <f t="shared" si="24"/>
        <v>3583613.384526426</v>
      </c>
      <c r="AM418" s="314">
        <f t="shared" si="24"/>
        <v>0</v>
      </c>
      <c r="AN418" s="314">
        <f t="shared" si="24"/>
        <v>287780.8239503738</v>
      </c>
      <c r="AO418" s="314">
        <f t="shared" si="24"/>
        <v>0</v>
      </c>
      <c r="AP418" s="314">
        <f t="shared" si="24"/>
        <v>3871394.2084767995</v>
      </c>
      <c r="AR418" s="314">
        <f t="shared" si="24"/>
        <v>0</v>
      </c>
      <c r="AS418" s="314">
        <f t="shared" si="24"/>
        <v>0</v>
      </c>
      <c r="AT418" s="314">
        <f t="shared" si="22"/>
        <v>0</v>
      </c>
      <c r="AU418" s="314">
        <f t="shared" si="22"/>
        <v>0</v>
      </c>
      <c r="AV418" s="314">
        <f t="shared" si="22"/>
        <v>0</v>
      </c>
      <c r="AW418" s="314">
        <f t="shared" si="22"/>
        <v>3871394.2084767995</v>
      </c>
    </row>
    <row r="419" spans="1:49" x14ac:dyDescent="0.25">
      <c r="A419" s="311">
        <v>3357963</v>
      </c>
      <c r="B419" s="311"/>
      <c r="C419" s="315" t="str">
        <f t="shared" si="17"/>
        <v>Obce</v>
      </c>
      <c r="D419" s="315" t="str">
        <f t="shared" si="18"/>
        <v>Domov pro seniory Marie</v>
      </c>
      <c r="E419" s="315" t="str">
        <f t="shared" si="19"/>
        <v>Městské středisko sociálních služeb MARIE</v>
      </c>
      <c r="F419" s="313">
        <f t="shared" si="20"/>
        <v>3357963</v>
      </c>
      <c r="G419" s="313"/>
      <c r="H419" s="313"/>
      <c r="I419" s="313"/>
      <c r="J419" s="313"/>
      <c r="K419" s="313"/>
      <c r="L419" s="313"/>
      <c r="M419" s="313"/>
      <c r="N419" s="313"/>
      <c r="O419" s="313"/>
      <c r="P419" s="313"/>
      <c r="Q419" s="313"/>
      <c r="R419" s="313"/>
      <c r="S419" s="313"/>
      <c r="T419" s="313">
        <f t="shared" si="21"/>
        <v>1.9</v>
      </c>
      <c r="U419" s="313">
        <f t="shared" si="21"/>
        <v>0.1</v>
      </c>
      <c r="V419" s="313">
        <f t="shared" si="21"/>
        <v>1.1000000000000001</v>
      </c>
      <c r="W419" s="313">
        <f t="shared" si="21"/>
        <v>0.7</v>
      </c>
      <c r="X419" s="313">
        <f t="shared" si="21"/>
        <v>0</v>
      </c>
      <c r="Y419" s="313">
        <f t="shared" si="21"/>
        <v>4</v>
      </c>
      <c r="Z419" s="313">
        <f t="shared" si="21"/>
        <v>0</v>
      </c>
      <c r="AA419" s="313">
        <f t="shared" si="21"/>
        <v>0</v>
      </c>
      <c r="AB419" s="313">
        <f t="shared" si="21"/>
        <v>0</v>
      </c>
      <c r="AD419" s="313">
        <f t="shared" si="23"/>
        <v>1.9</v>
      </c>
      <c r="AE419" s="313">
        <f t="shared" si="23"/>
        <v>0.1</v>
      </c>
      <c r="AF419" s="313">
        <f t="shared" si="23"/>
        <v>1.1000000000000001</v>
      </c>
      <c r="AG419" s="313">
        <f t="shared" si="23"/>
        <v>0.7</v>
      </c>
      <c r="AH419" s="313">
        <f t="shared" si="23"/>
        <v>0</v>
      </c>
      <c r="AI419" s="313">
        <f t="shared" si="23"/>
        <v>4</v>
      </c>
      <c r="AJ419" s="313">
        <f t="shared" si="23"/>
        <v>0</v>
      </c>
      <c r="AL419" s="314">
        <f t="shared" si="24"/>
        <v>1072072.9015216108</v>
      </c>
      <c r="AM419" s="314">
        <f t="shared" si="24"/>
        <v>0</v>
      </c>
      <c r="AN419" s="314">
        <f t="shared" si="24"/>
        <v>219129.03235083932</v>
      </c>
      <c r="AO419" s="314">
        <f t="shared" si="24"/>
        <v>120090.81928999982</v>
      </c>
      <c r="AP419" s="314">
        <f t="shared" si="24"/>
        <v>1411292.7531624499</v>
      </c>
      <c r="AR419" s="314">
        <f t="shared" si="24"/>
        <v>229284.57829531204</v>
      </c>
      <c r="AS419" s="314">
        <f t="shared" si="24"/>
        <v>0</v>
      </c>
      <c r="AT419" s="314">
        <f t="shared" si="22"/>
        <v>153821.25</v>
      </c>
      <c r="AU419" s="314">
        <f t="shared" si="22"/>
        <v>95581.8</v>
      </c>
      <c r="AV419" s="314">
        <f t="shared" si="22"/>
        <v>478687.628295312</v>
      </c>
      <c r="AW419" s="314">
        <f t="shared" si="22"/>
        <v>932605.12486713799</v>
      </c>
    </row>
    <row r="420" spans="1:49" x14ac:dyDescent="0.25">
      <c r="A420" s="311">
        <v>3446957</v>
      </c>
      <c r="B420" s="311"/>
      <c r="C420" s="315" t="str">
        <f t="shared" si="17"/>
        <v>PO KHK</v>
      </c>
      <c r="D420" s="315" t="str">
        <f t="shared" si="18"/>
        <v>Domov Dědina</v>
      </c>
      <c r="E420" s="315" t="str">
        <f t="shared" si="19"/>
        <v>Domov Dědina</v>
      </c>
      <c r="F420" s="313">
        <f t="shared" si="20"/>
        <v>3446957</v>
      </c>
      <c r="G420" s="313"/>
      <c r="H420" s="313"/>
      <c r="I420" s="313"/>
      <c r="J420" s="313"/>
      <c r="K420" s="313"/>
      <c r="L420" s="313"/>
      <c r="M420" s="313"/>
      <c r="N420" s="313"/>
      <c r="O420" s="313"/>
      <c r="P420" s="313"/>
      <c r="Q420" s="313"/>
      <c r="R420" s="313"/>
      <c r="S420" s="313"/>
      <c r="T420" s="313">
        <f t="shared" si="21"/>
        <v>1.4</v>
      </c>
      <c r="U420" s="313">
        <f t="shared" si="21"/>
        <v>0.3</v>
      </c>
      <c r="V420" s="313">
        <f t="shared" si="21"/>
        <v>1</v>
      </c>
      <c r="W420" s="313">
        <f t="shared" si="21"/>
        <v>0</v>
      </c>
      <c r="X420" s="313">
        <f t="shared" si="21"/>
        <v>0.1</v>
      </c>
      <c r="Y420" s="313">
        <f t="shared" si="21"/>
        <v>0</v>
      </c>
      <c r="Z420" s="313">
        <f t="shared" si="21"/>
        <v>0</v>
      </c>
      <c r="AA420" s="313">
        <f t="shared" si="21"/>
        <v>5</v>
      </c>
      <c r="AB420" s="313">
        <f t="shared" si="21"/>
        <v>0</v>
      </c>
      <c r="AD420" s="313">
        <f t="shared" si="23"/>
        <v>1.4</v>
      </c>
      <c r="AE420" s="313">
        <f t="shared" si="23"/>
        <v>0.3</v>
      </c>
      <c r="AF420" s="313">
        <f t="shared" si="23"/>
        <v>1</v>
      </c>
      <c r="AG420" s="313">
        <f t="shared" si="23"/>
        <v>0</v>
      </c>
      <c r="AH420" s="313">
        <f t="shared" si="23"/>
        <v>0.1</v>
      </c>
      <c r="AI420" s="313">
        <f t="shared" si="23"/>
        <v>0</v>
      </c>
      <c r="AJ420" s="313">
        <f t="shared" si="23"/>
        <v>5</v>
      </c>
      <c r="AL420" s="314">
        <f t="shared" si="24"/>
        <v>997928.29176842794</v>
      </c>
      <c r="AM420" s="314">
        <f t="shared" si="24"/>
        <v>0</v>
      </c>
      <c r="AN420" s="314">
        <f t="shared" si="24"/>
        <v>135475.36781558755</v>
      </c>
      <c r="AO420" s="314">
        <f t="shared" si="24"/>
        <v>26490.284446221005</v>
      </c>
      <c r="AP420" s="314">
        <f t="shared" si="24"/>
        <v>1159893.9440302367</v>
      </c>
      <c r="AR420" s="314">
        <f t="shared" si="24"/>
        <v>148382.81045751635</v>
      </c>
      <c r="AS420" s="314">
        <f t="shared" si="24"/>
        <v>0</v>
      </c>
      <c r="AT420" s="314">
        <f t="shared" si="22"/>
        <v>0</v>
      </c>
      <c r="AU420" s="314">
        <f t="shared" si="22"/>
        <v>27261.538461538461</v>
      </c>
      <c r="AV420" s="314">
        <f t="shared" si="22"/>
        <v>175644.34891905481</v>
      </c>
      <c r="AW420" s="314">
        <f t="shared" si="22"/>
        <v>984249.59511118184</v>
      </c>
    </row>
    <row r="421" spans="1:49" x14ac:dyDescent="0.25">
      <c r="A421" s="311">
        <v>3454870</v>
      </c>
      <c r="B421" s="311"/>
      <c r="C421" s="315" t="str">
        <f t="shared" si="17"/>
        <v>NZO</v>
      </c>
      <c r="D421" s="315" t="str">
        <f t="shared" si="18"/>
        <v>Ambulantní centrum Hradec Králové</v>
      </c>
      <c r="E421" s="315" t="str">
        <f t="shared" si="19"/>
        <v>Laxus z.ú.</v>
      </c>
      <c r="F421" s="313">
        <f t="shared" si="20"/>
        <v>3454870</v>
      </c>
      <c r="G421" s="313"/>
      <c r="H421" s="313"/>
      <c r="I421" s="313"/>
      <c r="J421" s="313"/>
      <c r="K421" s="313"/>
      <c r="L421" s="313"/>
      <c r="M421" s="313"/>
      <c r="N421" s="313"/>
      <c r="O421" s="313"/>
      <c r="P421" s="313"/>
      <c r="Q421" s="313"/>
      <c r="R421" s="313"/>
      <c r="S421" s="313"/>
      <c r="T421" s="313">
        <f t="shared" si="21"/>
        <v>0</v>
      </c>
      <c r="U421" s="313">
        <f t="shared" si="21"/>
        <v>0</v>
      </c>
      <c r="V421" s="313">
        <f t="shared" si="21"/>
        <v>0</v>
      </c>
      <c r="W421" s="313">
        <f t="shared" si="21"/>
        <v>0</v>
      </c>
      <c r="X421" s="313">
        <f t="shared" si="21"/>
        <v>0</v>
      </c>
      <c r="Y421" s="313">
        <f t="shared" si="21"/>
        <v>0</v>
      </c>
      <c r="Z421" s="313">
        <f t="shared" si="21"/>
        <v>0</v>
      </c>
      <c r="AA421" s="313">
        <f t="shared" si="21"/>
        <v>0</v>
      </c>
      <c r="AB421" s="313">
        <f t="shared" si="21"/>
        <v>0</v>
      </c>
      <c r="AD421" s="313">
        <f t="shared" si="23"/>
        <v>0</v>
      </c>
      <c r="AE421" s="313">
        <f t="shared" si="23"/>
        <v>0</v>
      </c>
      <c r="AF421" s="313">
        <f t="shared" si="23"/>
        <v>0</v>
      </c>
      <c r="AG421" s="313">
        <f t="shared" si="23"/>
        <v>0</v>
      </c>
      <c r="AH421" s="313">
        <f t="shared" si="23"/>
        <v>0</v>
      </c>
      <c r="AI421" s="313">
        <f t="shared" si="23"/>
        <v>0</v>
      </c>
      <c r="AJ421" s="313">
        <f t="shared" si="23"/>
        <v>0</v>
      </c>
      <c r="AL421" s="314">
        <f t="shared" si="24"/>
        <v>0</v>
      </c>
      <c r="AM421" s="314">
        <f t="shared" si="24"/>
        <v>0</v>
      </c>
      <c r="AN421" s="314">
        <f t="shared" si="24"/>
        <v>0</v>
      </c>
      <c r="AO421" s="314">
        <f t="shared" si="24"/>
        <v>0</v>
      </c>
      <c r="AP421" s="314">
        <f t="shared" si="24"/>
        <v>0</v>
      </c>
      <c r="AR421" s="314">
        <f t="shared" si="24"/>
        <v>0</v>
      </c>
      <c r="AS421" s="314">
        <f t="shared" si="24"/>
        <v>0</v>
      </c>
      <c r="AT421" s="314">
        <f t="shared" si="22"/>
        <v>0</v>
      </c>
      <c r="AU421" s="314">
        <f t="shared" si="22"/>
        <v>0</v>
      </c>
      <c r="AV421" s="314">
        <f t="shared" si="22"/>
        <v>0</v>
      </c>
      <c r="AW421" s="314">
        <f t="shared" si="22"/>
        <v>0</v>
      </c>
    </row>
    <row r="422" spans="1:49" x14ac:dyDescent="0.25">
      <c r="A422" s="311">
        <v>3473171</v>
      </c>
      <c r="B422" s="311"/>
      <c r="C422" s="315" t="str">
        <f t="shared" si="17"/>
        <v>PO KHK</v>
      </c>
      <c r="D422" s="315" t="str">
        <f t="shared" si="18"/>
        <v>Domov Dědina</v>
      </c>
      <c r="E422" s="315" t="str">
        <f t="shared" si="19"/>
        <v>Domov Dědina</v>
      </c>
      <c r="F422" s="313">
        <f t="shared" si="20"/>
        <v>3473171</v>
      </c>
      <c r="G422" s="313"/>
      <c r="H422" s="313"/>
      <c r="I422" s="313"/>
      <c r="J422" s="313"/>
      <c r="K422" s="313"/>
      <c r="L422" s="313"/>
      <c r="M422" s="313"/>
      <c r="N422" s="313"/>
      <c r="O422" s="313"/>
      <c r="P422" s="313"/>
      <c r="Q422" s="313"/>
      <c r="R422" s="313"/>
      <c r="S422" s="313"/>
      <c r="T422" s="313">
        <f t="shared" si="21"/>
        <v>60.075000000000003</v>
      </c>
      <c r="U422" s="313">
        <f t="shared" si="21"/>
        <v>2.8</v>
      </c>
      <c r="V422" s="313">
        <f t="shared" si="21"/>
        <v>48.5</v>
      </c>
      <c r="W422" s="313">
        <f t="shared" si="21"/>
        <v>8</v>
      </c>
      <c r="X422" s="313">
        <f t="shared" si="21"/>
        <v>0.77500000000000002</v>
      </c>
      <c r="Y422" s="313">
        <f t="shared" si="21"/>
        <v>111</v>
      </c>
      <c r="Z422" s="313">
        <f t="shared" si="21"/>
        <v>0</v>
      </c>
      <c r="AA422" s="313">
        <f t="shared" si="21"/>
        <v>0</v>
      </c>
      <c r="AB422" s="313">
        <f t="shared" si="21"/>
        <v>0</v>
      </c>
      <c r="AD422" s="313">
        <f t="shared" si="23"/>
        <v>60.075000000000003</v>
      </c>
      <c r="AE422" s="313">
        <f t="shared" si="23"/>
        <v>2.8</v>
      </c>
      <c r="AF422" s="313">
        <f t="shared" si="23"/>
        <v>48.5</v>
      </c>
      <c r="AG422" s="313">
        <f t="shared" si="23"/>
        <v>8</v>
      </c>
      <c r="AH422" s="313">
        <f t="shared" si="23"/>
        <v>0.77500000000000002</v>
      </c>
      <c r="AI422" s="313">
        <f t="shared" si="23"/>
        <v>111</v>
      </c>
      <c r="AJ422" s="313">
        <f t="shared" si="23"/>
        <v>0</v>
      </c>
      <c r="AL422" s="314">
        <f t="shared" si="24"/>
        <v>33302354.189807441</v>
      </c>
      <c r="AM422" s="314">
        <f t="shared" si="24"/>
        <v>6491439.7431161432</v>
      </c>
      <c r="AN422" s="314">
        <f t="shared" si="24"/>
        <v>11327437.403843952</v>
      </c>
      <c r="AO422" s="314">
        <f t="shared" si="24"/>
        <v>7275939.410421595</v>
      </c>
      <c r="AP422" s="314">
        <f t="shared" si="24"/>
        <v>58397170.747189134</v>
      </c>
      <c r="AR422" s="314">
        <f t="shared" si="24"/>
        <v>11779359.502941176</v>
      </c>
      <c r="AS422" s="314">
        <f t="shared" si="24"/>
        <v>2924819.5294117643</v>
      </c>
      <c r="AT422" s="314">
        <f t="shared" si="22"/>
        <v>5309714.2105263164</v>
      </c>
      <c r="AU422" s="314">
        <f t="shared" si="22"/>
        <v>5024931.1500000004</v>
      </c>
      <c r="AV422" s="314">
        <f t="shared" si="22"/>
        <v>25038824.392879255</v>
      </c>
      <c r="AW422" s="314">
        <f t="shared" si="22"/>
        <v>33358346.354309879</v>
      </c>
    </row>
    <row r="423" spans="1:49" x14ac:dyDescent="0.25">
      <c r="A423" s="311">
        <v>3523407</v>
      </c>
      <c r="B423" s="311"/>
      <c r="C423" s="315" t="str">
        <f t="shared" si="17"/>
        <v>NZO</v>
      </c>
      <c r="D423" s="315" t="str">
        <f t="shared" si="18"/>
        <v>Domov se zvláštním režimem pro lidi s autismem</v>
      </c>
      <c r="E423" s="315" t="str">
        <f t="shared" si="19"/>
        <v>Národní ústav pro autismus, z.ú.</v>
      </c>
      <c r="F423" s="313">
        <f t="shared" si="20"/>
        <v>3523407</v>
      </c>
      <c r="G423" s="313"/>
      <c r="H423" s="313"/>
      <c r="I423" s="313"/>
      <c r="J423" s="313"/>
      <c r="K423" s="313"/>
      <c r="L423" s="313"/>
      <c r="M423" s="313"/>
      <c r="N423" s="313"/>
      <c r="O423" s="313"/>
      <c r="P423" s="313"/>
      <c r="Q423" s="313"/>
      <c r="R423" s="313"/>
      <c r="S423" s="313"/>
      <c r="T423" s="313">
        <f t="shared" si="21"/>
        <v>0</v>
      </c>
      <c r="U423" s="313">
        <f t="shared" si="21"/>
        <v>0</v>
      </c>
      <c r="V423" s="313">
        <f t="shared" si="21"/>
        <v>0</v>
      </c>
      <c r="W423" s="313">
        <f t="shared" si="21"/>
        <v>0</v>
      </c>
      <c r="X423" s="313">
        <f t="shared" si="21"/>
        <v>0</v>
      </c>
      <c r="Y423" s="313">
        <f t="shared" si="21"/>
        <v>0</v>
      </c>
      <c r="Z423" s="313">
        <f t="shared" si="21"/>
        <v>0</v>
      </c>
      <c r="AA423" s="313">
        <f t="shared" si="21"/>
        <v>0</v>
      </c>
      <c r="AB423" s="313">
        <f t="shared" si="21"/>
        <v>0</v>
      </c>
      <c r="AD423" s="313">
        <f t="shared" si="23"/>
        <v>0</v>
      </c>
      <c r="AE423" s="313">
        <f t="shared" si="23"/>
        <v>0</v>
      </c>
      <c r="AF423" s="313">
        <f t="shared" si="23"/>
        <v>0</v>
      </c>
      <c r="AG423" s="313">
        <f t="shared" si="23"/>
        <v>0</v>
      </c>
      <c r="AH423" s="313">
        <f t="shared" si="23"/>
        <v>0</v>
      </c>
      <c r="AI423" s="313">
        <f t="shared" si="23"/>
        <v>0</v>
      </c>
      <c r="AJ423" s="313">
        <f t="shared" si="23"/>
        <v>0</v>
      </c>
      <c r="AL423" s="314">
        <f t="shared" si="24"/>
        <v>0</v>
      </c>
      <c r="AM423" s="314">
        <f t="shared" si="24"/>
        <v>0</v>
      </c>
      <c r="AN423" s="314">
        <f t="shared" si="24"/>
        <v>0</v>
      </c>
      <c r="AO423" s="314">
        <f t="shared" si="24"/>
        <v>0</v>
      </c>
      <c r="AP423" s="314">
        <f t="shared" si="24"/>
        <v>0</v>
      </c>
      <c r="AR423" s="314">
        <f t="shared" si="24"/>
        <v>0</v>
      </c>
      <c r="AS423" s="314">
        <f t="shared" si="24"/>
        <v>0</v>
      </c>
      <c r="AT423" s="314">
        <f t="shared" si="22"/>
        <v>0</v>
      </c>
      <c r="AU423" s="314">
        <f t="shared" si="22"/>
        <v>0</v>
      </c>
      <c r="AV423" s="314">
        <f t="shared" si="22"/>
        <v>0</v>
      </c>
      <c r="AW423" s="314">
        <f t="shared" si="22"/>
        <v>0</v>
      </c>
    </row>
    <row r="424" spans="1:49" x14ac:dyDescent="0.25">
      <c r="A424" s="311">
        <v>3529182</v>
      </c>
      <c r="B424" s="311"/>
      <c r="C424" s="315" t="str">
        <f t="shared" si="17"/>
        <v>PO KHK</v>
      </c>
      <c r="D424" s="315" t="str">
        <f t="shared" si="18"/>
        <v>Domov V Podzámčí</v>
      </c>
      <c r="E424" s="315" t="str">
        <f t="shared" si="19"/>
        <v>Domov V Podzámčí</v>
      </c>
      <c r="F424" s="313">
        <f t="shared" si="20"/>
        <v>3529182</v>
      </c>
      <c r="G424" s="313"/>
      <c r="H424" s="313"/>
      <c r="I424" s="313"/>
      <c r="J424" s="313"/>
      <c r="K424" s="313"/>
      <c r="L424" s="313"/>
      <c r="M424" s="313"/>
      <c r="N424" s="313"/>
      <c r="O424" s="313"/>
      <c r="P424" s="313"/>
      <c r="Q424" s="313"/>
      <c r="R424" s="313"/>
      <c r="S424" s="313"/>
      <c r="T424" s="313">
        <f t="shared" si="21"/>
        <v>18.3</v>
      </c>
      <c r="U424" s="313">
        <f t="shared" si="21"/>
        <v>2</v>
      </c>
      <c r="V424" s="313">
        <f t="shared" si="21"/>
        <v>10</v>
      </c>
      <c r="W424" s="313">
        <f t="shared" si="21"/>
        <v>6.3</v>
      </c>
      <c r="X424" s="313">
        <f t="shared" si="21"/>
        <v>0</v>
      </c>
      <c r="Y424" s="313">
        <f t="shared" si="21"/>
        <v>48</v>
      </c>
      <c r="Z424" s="313">
        <f t="shared" si="21"/>
        <v>0</v>
      </c>
      <c r="AA424" s="313">
        <f t="shared" si="21"/>
        <v>0</v>
      </c>
      <c r="AB424" s="313">
        <f t="shared" si="21"/>
        <v>0</v>
      </c>
      <c r="AD424" s="313">
        <f t="shared" si="23"/>
        <v>18.3</v>
      </c>
      <c r="AE424" s="313">
        <f t="shared" si="23"/>
        <v>2</v>
      </c>
      <c r="AF424" s="313">
        <f t="shared" si="23"/>
        <v>10</v>
      </c>
      <c r="AG424" s="313">
        <f t="shared" si="23"/>
        <v>6.3</v>
      </c>
      <c r="AH424" s="313">
        <f t="shared" si="23"/>
        <v>0</v>
      </c>
      <c r="AI424" s="313">
        <f t="shared" si="23"/>
        <v>48</v>
      </c>
      <c r="AJ424" s="313">
        <f t="shared" si="23"/>
        <v>0</v>
      </c>
      <c r="AL424" s="314">
        <f t="shared" si="24"/>
        <v>7824055.0745526161</v>
      </c>
      <c r="AM424" s="314">
        <f t="shared" si="24"/>
        <v>5107452.1692783255</v>
      </c>
      <c r="AN424" s="314">
        <f t="shared" si="24"/>
        <v>4707629.9165279157</v>
      </c>
      <c r="AO424" s="314">
        <f t="shared" si="24"/>
        <v>3301012.798286696</v>
      </c>
      <c r="AP424" s="314">
        <f t="shared" si="24"/>
        <v>20940149.958645552</v>
      </c>
      <c r="AR424" s="314">
        <f t="shared" si="24"/>
        <v>5388983.287481444</v>
      </c>
      <c r="AS424" s="314">
        <f t="shared" si="24"/>
        <v>1403753.7004830916</v>
      </c>
      <c r="AT424" s="314">
        <f t="shared" si="22"/>
        <v>3404341.1820330969</v>
      </c>
      <c r="AU424" s="314">
        <f t="shared" si="22"/>
        <v>2442099.0220588236</v>
      </c>
      <c r="AV424" s="314">
        <f t="shared" si="22"/>
        <v>12639177.192056457</v>
      </c>
      <c r="AW424" s="314">
        <f t="shared" si="22"/>
        <v>8300972.7665890958</v>
      </c>
    </row>
    <row r="425" spans="1:49" x14ac:dyDescent="0.25">
      <c r="A425" s="311">
        <v>3588592</v>
      </c>
      <c r="B425" s="311"/>
      <c r="C425" s="315" t="str">
        <f t="shared" si="17"/>
        <v>NZO</v>
      </c>
      <c r="D425" s="315" t="str">
        <f t="shared" si="18"/>
        <v>Stopa čápa</v>
      </c>
      <c r="E425" s="315" t="str">
        <f t="shared" si="19"/>
        <v>Salinger, z.s.</v>
      </c>
      <c r="F425" s="313">
        <f t="shared" si="20"/>
        <v>3588592</v>
      </c>
      <c r="G425" s="313"/>
      <c r="H425" s="313"/>
      <c r="I425" s="313"/>
      <c r="J425" s="313"/>
      <c r="K425" s="313"/>
      <c r="L425" s="313"/>
      <c r="M425" s="313"/>
      <c r="N425" s="313"/>
      <c r="O425" s="313"/>
      <c r="P425" s="313"/>
      <c r="Q425" s="313"/>
      <c r="R425" s="313"/>
      <c r="S425" s="313"/>
      <c r="T425" s="313">
        <f t="shared" si="21"/>
        <v>0</v>
      </c>
      <c r="U425" s="313">
        <f t="shared" si="21"/>
        <v>0</v>
      </c>
      <c r="V425" s="313">
        <f t="shared" si="21"/>
        <v>0</v>
      </c>
      <c r="W425" s="313">
        <f t="shared" si="21"/>
        <v>0</v>
      </c>
      <c r="X425" s="313">
        <f t="shared" si="21"/>
        <v>0</v>
      </c>
      <c r="Y425" s="313">
        <f t="shared" si="21"/>
        <v>0</v>
      </c>
      <c r="Z425" s="313">
        <f t="shared" si="21"/>
        <v>0</v>
      </c>
      <c r="AA425" s="313">
        <f t="shared" si="21"/>
        <v>0</v>
      </c>
      <c r="AB425" s="313">
        <f t="shared" si="21"/>
        <v>0</v>
      </c>
      <c r="AD425" s="313">
        <f t="shared" si="23"/>
        <v>0</v>
      </c>
      <c r="AE425" s="313">
        <f t="shared" si="23"/>
        <v>0</v>
      </c>
      <c r="AF425" s="313">
        <f t="shared" si="23"/>
        <v>0</v>
      </c>
      <c r="AG425" s="313">
        <f t="shared" si="23"/>
        <v>0</v>
      </c>
      <c r="AH425" s="313">
        <f t="shared" si="23"/>
        <v>0</v>
      </c>
      <c r="AI425" s="313">
        <f t="shared" si="23"/>
        <v>0</v>
      </c>
      <c r="AJ425" s="313">
        <f t="shared" si="23"/>
        <v>0</v>
      </c>
      <c r="AL425" s="314">
        <f t="shared" si="24"/>
        <v>0</v>
      </c>
      <c r="AM425" s="314">
        <f t="shared" si="24"/>
        <v>0</v>
      </c>
      <c r="AN425" s="314">
        <f t="shared" si="24"/>
        <v>0</v>
      </c>
      <c r="AO425" s="314">
        <f t="shared" si="24"/>
        <v>0</v>
      </c>
      <c r="AP425" s="314">
        <f t="shared" si="24"/>
        <v>0</v>
      </c>
      <c r="AR425" s="314">
        <f t="shared" si="24"/>
        <v>0</v>
      </c>
      <c r="AS425" s="314">
        <f t="shared" si="24"/>
        <v>0</v>
      </c>
      <c r="AT425" s="314">
        <f t="shared" si="22"/>
        <v>0</v>
      </c>
      <c r="AU425" s="314">
        <f t="shared" si="22"/>
        <v>0</v>
      </c>
      <c r="AV425" s="314">
        <f t="shared" si="22"/>
        <v>0</v>
      </c>
      <c r="AW425" s="314">
        <f t="shared" si="22"/>
        <v>0</v>
      </c>
    </row>
    <row r="426" spans="1:49" x14ac:dyDescent="0.25">
      <c r="A426" s="311">
        <v>3595008</v>
      </c>
      <c r="B426" s="311"/>
      <c r="C426" s="315" t="str">
        <f t="shared" si="17"/>
        <v>NZO</v>
      </c>
      <c r="D426" s="315" t="str">
        <f t="shared" si="18"/>
        <v>CVIČENÍ bydlení, práce, učení</v>
      </c>
      <c r="E426" s="315" t="str">
        <f t="shared" si="19"/>
        <v>SKOK do života o. p. s.</v>
      </c>
      <c r="F426" s="313">
        <f t="shared" si="20"/>
        <v>3595008</v>
      </c>
      <c r="G426" s="313"/>
      <c r="H426" s="313"/>
      <c r="I426" s="313"/>
      <c r="J426" s="313"/>
      <c r="K426" s="313"/>
      <c r="L426" s="313"/>
      <c r="M426" s="313"/>
      <c r="N426" s="313"/>
      <c r="O426" s="313"/>
      <c r="P426" s="313"/>
      <c r="Q426" s="313"/>
      <c r="R426" s="313"/>
      <c r="S426" s="313"/>
      <c r="T426" s="313">
        <f t="shared" si="21"/>
        <v>6</v>
      </c>
      <c r="U426" s="313">
        <f t="shared" si="21"/>
        <v>4</v>
      </c>
      <c r="V426" s="313">
        <f t="shared" si="21"/>
        <v>2</v>
      </c>
      <c r="W426" s="313">
        <f t="shared" si="21"/>
        <v>0</v>
      </c>
      <c r="X426" s="313">
        <f t="shared" si="21"/>
        <v>0</v>
      </c>
      <c r="Y426" s="313">
        <f t="shared" si="21"/>
        <v>0</v>
      </c>
      <c r="Z426" s="313">
        <f t="shared" si="21"/>
        <v>15</v>
      </c>
      <c r="AA426" s="313">
        <f t="shared" si="21"/>
        <v>0</v>
      </c>
      <c r="AB426" s="313">
        <f t="shared" si="21"/>
        <v>0</v>
      </c>
      <c r="AD426" s="313">
        <f t="shared" si="23"/>
        <v>6</v>
      </c>
      <c r="AE426" s="313">
        <f t="shared" si="23"/>
        <v>4</v>
      </c>
      <c r="AF426" s="313">
        <f t="shared" si="23"/>
        <v>2</v>
      </c>
      <c r="AG426" s="313">
        <f t="shared" si="23"/>
        <v>0</v>
      </c>
      <c r="AH426" s="313">
        <f t="shared" si="23"/>
        <v>0</v>
      </c>
      <c r="AI426" s="313">
        <f t="shared" si="23"/>
        <v>0</v>
      </c>
      <c r="AJ426" s="313">
        <f t="shared" si="23"/>
        <v>0</v>
      </c>
      <c r="AL426" s="314">
        <f t="shared" si="24"/>
        <v>4029762.122128292</v>
      </c>
      <c r="AM426" s="314">
        <f t="shared" si="24"/>
        <v>0</v>
      </c>
      <c r="AN426" s="314">
        <f t="shared" si="24"/>
        <v>256685.91215955134</v>
      </c>
      <c r="AO426" s="314">
        <f t="shared" si="24"/>
        <v>0</v>
      </c>
      <c r="AP426" s="314">
        <f t="shared" si="24"/>
        <v>4286448.0342878429</v>
      </c>
      <c r="AR426" s="314">
        <f t="shared" si="24"/>
        <v>0</v>
      </c>
      <c r="AS426" s="314">
        <f t="shared" si="24"/>
        <v>0</v>
      </c>
      <c r="AT426" s="314">
        <f t="shared" si="22"/>
        <v>0</v>
      </c>
      <c r="AU426" s="314">
        <f t="shared" si="22"/>
        <v>0</v>
      </c>
      <c r="AV426" s="314">
        <f t="shared" si="22"/>
        <v>0</v>
      </c>
      <c r="AW426" s="314">
        <f t="shared" si="22"/>
        <v>4286448.0342878429</v>
      </c>
    </row>
    <row r="427" spans="1:49" x14ac:dyDescent="0.25">
      <c r="A427" s="311">
        <v>3597628</v>
      </c>
      <c r="B427" s="311"/>
      <c r="C427" s="315" t="str">
        <f t="shared" si="17"/>
        <v>Obce</v>
      </c>
      <c r="D427" s="315" t="str">
        <f t="shared" si="18"/>
        <v>Pečovatelská služba</v>
      </c>
      <c r="E427" s="315" t="str">
        <f t="shared" si="19"/>
        <v>Centrum sociálních služeb Naděje Broumov</v>
      </c>
      <c r="F427" s="313">
        <f t="shared" si="20"/>
        <v>3597628</v>
      </c>
      <c r="G427" s="313"/>
      <c r="H427" s="313"/>
      <c r="I427" s="313"/>
      <c r="J427" s="313"/>
      <c r="K427" s="313"/>
      <c r="L427" s="313"/>
      <c r="M427" s="313"/>
      <c r="N427" s="313"/>
      <c r="O427" s="313"/>
      <c r="P427" s="313"/>
      <c r="Q427" s="313"/>
      <c r="R427" s="313"/>
      <c r="S427" s="313"/>
      <c r="T427" s="313">
        <f t="shared" si="21"/>
        <v>9</v>
      </c>
      <c r="U427" s="313">
        <f t="shared" si="21"/>
        <v>1</v>
      </c>
      <c r="V427" s="313">
        <f t="shared" si="21"/>
        <v>8</v>
      </c>
      <c r="W427" s="313">
        <f t="shared" si="21"/>
        <v>0</v>
      </c>
      <c r="X427" s="313">
        <f t="shared" si="21"/>
        <v>0</v>
      </c>
      <c r="Y427" s="313">
        <f t="shared" si="21"/>
        <v>0</v>
      </c>
      <c r="Z427" s="313">
        <f t="shared" si="21"/>
        <v>70</v>
      </c>
      <c r="AA427" s="313">
        <f t="shared" si="21"/>
        <v>0</v>
      </c>
      <c r="AB427" s="313">
        <f t="shared" si="21"/>
        <v>0</v>
      </c>
      <c r="AD427" s="313">
        <f t="shared" si="23"/>
        <v>9</v>
      </c>
      <c r="AE427" s="313">
        <f t="shared" si="23"/>
        <v>1</v>
      </c>
      <c r="AF427" s="313">
        <f t="shared" si="23"/>
        <v>8</v>
      </c>
      <c r="AG427" s="313">
        <f t="shared" si="23"/>
        <v>0</v>
      </c>
      <c r="AH427" s="313">
        <f t="shared" si="23"/>
        <v>0</v>
      </c>
      <c r="AI427" s="313">
        <f t="shared" si="23"/>
        <v>0</v>
      </c>
      <c r="AJ427" s="313">
        <f t="shared" si="23"/>
        <v>0</v>
      </c>
      <c r="AL427" s="314">
        <f t="shared" si="24"/>
        <v>4971222.0098165572</v>
      </c>
      <c r="AM427" s="314">
        <f t="shared" si="24"/>
        <v>0</v>
      </c>
      <c r="AN427" s="314">
        <f t="shared" si="24"/>
        <v>376565.08552242105</v>
      </c>
      <c r="AO427" s="314">
        <f t="shared" si="24"/>
        <v>0</v>
      </c>
      <c r="AP427" s="314">
        <f t="shared" si="24"/>
        <v>5347787.0953389779</v>
      </c>
      <c r="AR427" s="314">
        <f t="shared" si="24"/>
        <v>1110041.8823529412</v>
      </c>
      <c r="AS427" s="314">
        <f t="shared" si="24"/>
        <v>0</v>
      </c>
      <c r="AT427" s="314">
        <f t="shared" si="22"/>
        <v>0</v>
      </c>
      <c r="AU427" s="314">
        <f t="shared" si="22"/>
        <v>0</v>
      </c>
      <c r="AV427" s="314">
        <f t="shared" si="22"/>
        <v>1110041.8823529412</v>
      </c>
      <c r="AW427" s="314">
        <f t="shared" si="22"/>
        <v>4237745.2129860371</v>
      </c>
    </row>
    <row r="428" spans="1:49" x14ac:dyDescent="0.25">
      <c r="A428" s="311">
        <v>3619533</v>
      </c>
      <c r="B428" s="311"/>
      <c r="C428" s="315" t="str">
        <f t="shared" si="17"/>
        <v>Obce</v>
      </c>
      <c r="D428" s="315" t="str">
        <f t="shared" si="18"/>
        <v>Domov pro seniory Jitřenka</v>
      </c>
      <c r="E428" s="315" t="str">
        <f t="shared" si="19"/>
        <v>Sociální služby Města Opočna</v>
      </c>
      <c r="F428" s="313">
        <f t="shared" si="20"/>
        <v>3619533</v>
      </c>
      <c r="G428" s="313"/>
      <c r="H428" s="313"/>
      <c r="I428" s="313"/>
      <c r="J428" s="313"/>
      <c r="K428" s="313"/>
      <c r="L428" s="313"/>
      <c r="M428" s="313"/>
      <c r="N428" s="313"/>
      <c r="O428" s="313"/>
      <c r="P428" s="313"/>
      <c r="Q428" s="313"/>
      <c r="R428" s="313"/>
      <c r="S428" s="313"/>
      <c r="T428" s="313">
        <f t="shared" si="21"/>
        <v>17.25</v>
      </c>
      <c r="U428" s="313">
        <f t="shared" si="21"/>
        <v>1</v>
      </c>
      <c r="V428" s="313">
        <f t="shared" si="21"/>
        <v>10</v>
      </c>
      <c r="W428" s="313">
        <f t="shared" si="21"/>
        <v>6.25</v>
      </c>
      <c r="X428" s="313">
        <f t="shared" si="21"/>
        <v>0</v>
      </c>
      <c r="Y428" s="313">
        <f t="shared" si="21"/>
        <v>35</v>
      </c>
      <c r="Z428" s="313">
        <f t="shared" si="21"/>
        <v>0</v>
      </c>
      <c r="AA428" s="313">
        <f t="shared" si="21"/>
        <v>0</v>
      </c>
      <c r="AB428" s="313">
        <f t="shared" si="21"/>
        <v>0</v>
      </c>
      <c r="AD428" s="313">
        <f t="shared" si="23"/>
        <v>17.25</v>
      </c>
      <c r="AE428" s="313">
        <f t="shared" si="23"/>
        <v>1</v>
      </c>
      <c r="AF428" s="313">
        <f t="shared" si="23"/>
        <v>10</v>
      </c>
      <c r="AG428" s="313">
        <f t="shared" si="23"/>
        <v>6.25</v>
      </c>
      <c r="AH428" s="313">
        <f t="shared" si="23"/>
        <v>0</v>
      </c>
      <c r="AI428" s="313">
        <f t="shared" si="23"/>
        <v>35</v>
      </c>
      <c r="AJ428" s="313">
        <f t="shared" si="23"/>
        <v>0</v>
      </c>
      <c r="AL428" s="314">
        <f t="shared" si="24"/>
        <v>7172050.4850065652</v>
      </c>
      <c r="AM428" s="314">
        <f t="shared" si="24"/>
        <v>5066916.834601514</v>
      </c>
      <c r="AN428" s="314">
        <f t="shared" si="24"/>
        <v>3432646.8141349391</v>
      </c>
      <c r="AO428" s="314">
        <f t="shared" si="24"/>
        <v>2406988.498750716</v>
      </c>
      <c r="AP428" s="314">
        <f t="shared" si="24"/>
        <v>18078602.632493734</v>
      </c>
      <c r="AR428" s="314">
        <f t="shared" si="24"/>
        <v>3929466.9804552197</v>
      </c>
      <c r="AS428" s="314">
        <f t="shared" si="24"/>
        <v>1023570.4066022544</v>
      </c>
      <c r="AT428" s="314">
        <f t="shared" si="22"/>
        <v>2482332.1118991333</v>
      </c>
      <c r="AU428" s="314">
        <f t="shared" si="22"/>
        <v>1780697.2035845588</v>
      </c>
      <c r="AV428" s="314">
        <f t="shared" si="22"/>
        <v>9216066.7025411669</v>
      </c>
      <c r="AW428" s="314">
        <f t="shared" si="22"/>
        <v>8862535.9299525674</v>
      </c>
    </row>
    <row r="429" spans="1:49" x14ac:dyDescent="0.25">
      <c r="A429" s="311">
        <v>3650770</v>
      </c>
      <c r="B429" s="311"/>
      <c r="C429" s="315" t="str">
        <f t="shared" si="17"/>
        <v>PO KHK</v>
      </c>
      <c r="D429" s="315" t="str">
        <f t="shared" si="18"/>
        <v>Barevné domky Hajnice</v>
      </c>
      <c r="E429" s="315" t="str">
        <f t="shared" si="19"/>
        <v>Barevné domky Hajnice</v>
      </c>
      <c r="F429" s="313">
        <f t="shared" si="20"/>
        <v>3650770</v>
      </c>
      <c r="G429" s="313"/>
      <c r="H429" s="313"/>
      <c r="I429" s="313"/>
      <c r="J429" s="313"/>
      <c r="K429" s="313"/>
      <c r="L429" s="313"/>
      <c r="M429" s="313"/>
      <c r="N429" s="313"/>
      <c r="O429" s="313"/>
      <c r="P429" s="313"/>
      <c r="Q429" s="313"/>
      <c r="R429" s="313"/>
      <c r="S429" s="313"/>
      <c r="T429" s="313">
        <f t="shared" si="21"/>
        <v>3.6</v>
      </c>
      <c r="U429" s="313">
        <f t="shared" si="21"/>
        <v>1.6</v>
      </c>
      <c r="V429" s="313">
        <f t="shared" si="21"/>
        <v>2</v>
      </c>
      <c r="W429" s="313">
        <f t="shared" si="21"/>
        <v>0</v>
      </c>
      <c r="X429" s="313">
        <f t="shared" si="21"/>
        <v>0</v>
      </c>
      <c r="Y429" s="313">
        <f t="shared" si="21"/>
        <v>0</v>
      </c>
      <c r="Z429" s="313">
        <f t="shared" si="21"/>
        <v>10</v>
      </c>
      <c r="AA429" s="313">
        <f t="shared" si="21"/>
        <v>0</v>
      </c>
      <c r="AB429" s="313">
        <f t="shared" si="21"/>
        <v>0</v>
      </c>
      <c r="AD429" s="313">
        <f t="shared" si="23"/>
        <v>3.6</v>
      </c>
      <c r="AE429" s="313">
        <f t="shared" si="23"/>
        <v>1.6</v>
      </c>
      <c r="AF429" s="313">
        <f t="shared" si="23"/>
        <v>2</v>
      </c>
      <c r="AG429" s="313">
        <f t="shared" si="23"/>
        <v>0</v>
      </c>
      <c r="AH429" s="313">
        <f t="shared" si="23"/>
        <v>0</v>
      </c>
      <c r="AI429" s="313">
        <f t="shared" si="23"/>
        <v>0</v>
      </c>
      <c r="AJ429" s="313">
        <f t="shared" si="23"/>
        <v>0</v>
      </c>
      <c r="AL429" s="314">
        <f t="shared" si="24"/>
        <v>2417857.2732769749</v>
      </c>
      <c r="AM429" s="314">
        <f t="shared" si="24"/>
        <v>0</v>
      </c>
      <c r="AN429" s="314">
        <f t="shared" si="24"/>
        <v>154011.54729573082</v>
      </c>
      <c r="AO429" s="314">
        <f t="shared" si="24"/>
        <v>0</v>
      </c>
      <c r="AP429" s="314">
        <f t="shared" si="24"/>
        <v>2571868.8205727059</v>
      </c>
      <c r="AR429" s="314">
        <f t="shared" si="24"/>
        <v>0</v>
      </c>
      <c r="AS429" s="314">
        <f t="shared" si="24"/>
        <v>0</v>
      </c>
      <c r="AT429" s="314">
        <f t="shared" si="22"/>
        <v>0</v>
      </c>
      <c r="AU429" s="314">
        <f t="shared" si="22"/>
        <v>0</v>
      </c>
      <c r="AV429" s="314">
        <f t="shared" si="22"/>
        <v>0</v>
      </c>
      <c r="AW429" s="314">
        <f t="shared" si="22"/>
        <v>2571868.8205727059</v>
      </c>
    </row>
    <row r="430" spans="1:49" x14ac:dyDescent="0.25">
      <c r="A430" s="311">
        <v>3673053</v>
      </c>
      <c r="B430" s="311"/>
      <c r="C430" s="315" t="str">
        <f t="shared" si="17"/>
        <v>NZO</v>
      </c>
      <c r="D430" s="315" t="str">
        <f t="shared" si="18"/>
        <v>Denní stacionář APROPO</v>
      </c>
      <c r="E430" s="315" t="str">
        <f t="shared" si="19"/>
        <v>Apropo Jičín, o. p. s.</v>
      </c>
      <c r="F430" s="313">
        <f t="shared" si="20"/>
        <v>3673053</v>
      </c>
      <c r="G430" s="313"/>
      <c r="H430" s="313"/>
      <c r="I430" s="313"/>
      <c r="J430" s="313"/>
      <c r="K430" s="313"/>
      <c r="L430" s="313"/>
      <c r="M430" s="313"/>
      <c r="N430" s="313"/>
      <c r="O430" s="313"/>
      <c r="P430" s="313"/>
      <c r="Q430" s="313"/>
      <c r="R430" s="313"/>
      <c r="S430" s="313"/>
      <c r="T430" s="313">
        <f t="shared" si="21"/>
        <v>17.25</v>
      </c>
      <c r="U430" s="313">
        <f t="shared" si="21"/>
        <v>2.65</v>
      </c>
      <c r="V430" s="313">
        <f t="shared" si="21"/>
        <v>13.4</v>
      </c>
      <c r="W430" s="313">
        <f t="shared" si="21"/>
        <v>0</v>
      </c>
      <c r="X430" s="313">
        <f t="shared" si="21"/>
        <v>1.2</v>
      </c>
      <c r="Y430" s="313">
        <f t="shared" si="21"/>
        <v>0</v>
      </c>
      <c r="Z430" s="313">
        <f t="shared" si="21"/>
        <v>0</v>
      </c>
      <c r="AA430" s="313">
        <f t="shared" si="21"/>
        <v>32</v>
      </c>
      <c r="AB430" s="313">
        <f t="shared" si="21"/>
        <v>0</v>
      </c>
      <c r="AD430" s="313">
        <f t="shared" si="23"/>
        <v>17.25</v>
      </c>
      <c r="AE430" s="313">
        <f t="shared" si="23"/>
        <v>2.65</v>
      </c>
      <c r="AF430" s="313">
        <f t="shared" si="23"/>
        <v>13.4</v>
      </c>
      <c r="AG430" s="313">
        <f t="shared" si="23"/>
        <v>0</v>
      </c>
      <c r="AH430" s="313">
        <f t="shared" si="23"/>
        <v>1.2</v>
      </c>
      <c r="AI430" s="313">
        <f t="shared" si="23"/>
        <v>0</v>
      </c>
      <c r="AJ430" s="313">
        <f t="shared" si="23"/>
        <v>32</v>
      </c>
      <c r="AL430" s="314">
        <f t="shared" si="24"/>
        <v>12295902.166432416</v>
      </c>
      <c r="AM430" s="314">
        <f t="shared" si="24"/>
        <v>0</v>
      </c>
      <c r="AN430" s="314">
        <f t="shared" si="24"/>
        <v>867042.35401976039</v>
      </c>
      <c r="AO430" s="314">
        <f t="shared" si="24"/>
        <v>169537.82045581442</v>
      </c>
      <c r="AP430" s="314">
        <f t="shared" si="24"/>
        <v>13332482.340907991</v>
      </c>
      <c r="AR430" s="314">
        <f t="shared" si="24"/>
        <v>1969444.5751633984</v>
      </c>
      <c r="AS430" s="314">
        <f t="shared" si="24"/>
        <v>0</v>
      </c>
      <c r="AT430" s="314">
        <f t="shared" ref="AT430:AW461" si="25">SUMIFS(AT$4:AT$337,$A$4:$A$337,$A430)</f>
        <v>0</v>
      </c>
      <c r="AU430" s="314">
        <f t="shared" si="25"/>
        <v>174473.84615384616</v>
      </c>
      <c r="AV430" s="314">
        <f t="shared" si="25"/>
        <v>2143918.4213172444</v>
      </c>
      <c r="AW430" s="314">
        <f t="shared" si="25"/>
        <v>11188563.919590747</v>
      </c>
    </row>
    <row r="431" spans="1:49" x14ac:dyDescent="0.25">
      <c r="A431" s="311">
        <v>3713907</v>
      </c>
      <c r="B431" s="311"/>
      <c r="C431" s="315" t="str">
        <f t="shared" si="17"/>
        <v>PO KHK</v>
      </c>
      <c r="D431" s="315" t="str">
        <f t="shared" si="18"/>
        <v>Domov sociálních služeb Skřivany</v>
      </c>
      <c r="E431" s="315" t="str">
        <f t="shared" si="19"/>
        <v>Domov sociálních služeb Skřivany</v>
      </c>
      <c r="F431" s="313">
        <f t="shared" si="20"/>
        <v>3713907</v>
      </c>
      <c r="G431" s="313"/>
      <c r="H431" s="313"/>
      <c r="I431" s="313"/>
      <c r="J431" s="313"/>
      <c r="K431" s="313"/>
      <c r="L431" s="313"/>
      <c r="M431" s="313"/>
      <c r="N431" s="313"/>
      <c r="O431" s="313"/>
      <c r="P431" s="313"/>
      <c r="Q431" s="313"/>
      <c r="R431" s="313"/>
      <c r="S431" s="313"/>
      <c r="T431" s="313">
        <f t="shared" si="21"/>
        <v>37.299999999999997</v>
      </c>
      <c r="U431" s="313">
        <f t="shared" si="21"/>
        <v>1.9</v>
      </c>
      <c r="V431" s="313">
        <f t="shared" si="21"/>
        <v>27.4</v>
      </c>
      <c r="W431" s="313">
        <f t="shared" si="21"/>
        <v>8</v>
      </c>
      <c r="X431" s="313">
        <f t="shared" si="21"/>
        <v>0</v>
      </c>
      <c r="Y431" s="313">
        <f t="shared" si="21"/>
        <v>74</v>
      </c>
      <c r="Z431" s="313">
        <f t="shared" si="21"/>
        <v>0</v>
      </c>
      <c r="AA431" s="313">
        <f t="shared" si="21"/>
        <v>0</v>
      </c>
      <c r="AB431" s="313">
        <f t="shared" ref="U431:AM446" si="26">SUMIFS(AB$4:AB$337,$A$4:$A$337,$A431)</f>
        <v>0</v>
      </c>
      <c r="AD431" s="313">
        <f t="shared" si="26"/>
        <v>37.299999999999997</v>
      </c>
      <c r="AE431" s="313">
        <f t="shared" si="26"/>
        <v>1.9</v>
      </c>
      <c r="AF431" s="313">
        <f t="shared" si="26"/>
        <v>27.4</v>
      </c>
      <c r="AG431" s="313">
        <f t="shared" si="26"/>
        <v>8</v>
      </c>
      <c r="AH431" s="313">
        <f t="shared" si="26"/>
        <v>0</v>
      </c>
      <c r="AI431" s="313">
        <f t="shared" si="26"/>
        <v>74</v>
      </c>
      <c r="AJ431" s="313">
        <f t="shared" si="26"/>
        <v>0</v>
      </c>
      <c r="AL431" s="314">
        <f t="shared" si="26"/>
        <v>18737570.38427956</v>
      </c>
      <c r="AM431" s="314">
        <f t="shared" si="26"/>
        <v>6491439.7431161432</v>
      </c>
      <c r="AN431" s="314">
        <f t="shared" si="24"/>
        <v>7551624.9358959682</v>
      </c>
      <c r="AO431" s="314">
        <f t="shared" si="24"/>
        <v>4850626.2736143963</v>
      </c>
      <c r="AP431" s="314">
        <f t="shared" si="24"/>
        <v>37631261.336906068</v>
      </c>
      <c r="AR431" s="314">
        <f t="shared" si="24"/>
        <v>7852906.3352941182</v>
      </c>
      <c r="AS431" s="314">
        <f t="shared" si="24"/>
        <v>1949879.6862745096</v>
      </c>
      <c r="AT431" s="314">
        <f t="shared" si="25"/>
        <v>3539809.4736842108</v>
      </c>
      <c r="AU431" s="314">
        <f t="shared" si="25"/>
        <v>3349954.1</v>
      </c>
      <c r="AV431" s="314">
        <f t="shared" si="25"/>
        <v>16692549.595252838</v>
      </c>
      <c r="AW431" s="314">
        <f t="shared" si="25"/>
        <v>20938711.74165323</v>
      </c>
    </row>
    <row r="432" spans="1:49" x14ac:dyDescent="0.25">
      <c r="A432" s="311">
        <v>3736692</v>
      </c>
      <c r="B432" s="311"/>
      <c r="C432" s="315" t="str">
        <f t="shared" si="17"/>
        <v>NZO</v>
      </c>
      <c r="D432" s="315" t="str">
        <f t="shared" si="18"/>
        <v>Průvodcovské a předčitatelské služby</v>
      </c>
      <c r="E432" s="315" t="str">
        <f t="shared" si="19"/>
        <v>TyfloCentrum Hradec Králové, o. p. s.</v>
      </c>
      <c r="F432" s="313">
        <f t="shared" si="20"/>
        <v>3736692</v>
      </c>
      <c r="G432" s="313"/>
      <c r="H432" s="313"/>
      <c r="I432" s="313"/>
      <c r="J432" s="313"/>
      <c r="K432" s="313"/>
      <c r="L432" s="313"/>
      <c r="M432" s="313"/>
      <c r="N432" s="313"/>
      <c r="O432" s="313"/>
      <c r="P432" s="313"/>
      <c r="Q432" s="313"/>
      <c r="R432" s="313"/>
      <c r="S432" s="313"/>
      <c r="T432" s="313">
        <f t="shared" si="21"/>
        <v>1.25</v>
      </c>
      <c r="U432" s="313">
        <f t="shared" si="26"/>
        <v>0.5</v>
      </c>
      <c r="V432" s="313">
        <f t="shared" si="26"/>
        <v>0.75</v>
      </c>
      <c r="W432" s="313">
        <f t="shared" si="26"/>
        <v>0</v>
      </c>
      <c r="X432" s="313">
        <f t="shared" si="26"/>
        <v>0</v>
      </c>
      <c r="Y432" s="313">
        <f t="shared" si="26"/>
        <v>0</v>
      </c>
      <c r="Z432" s="313">
        <f t="shared" si="26"/>
        <v>2</v>
      </c>
      <c r="AA432" s="313">
        <f t="shared" si="26"/>
        <v>0</v>
      </c>
      <c r="AB432" s="313">
        <f t="shared" si="26"/>
        <v>0</v>
      </c>
      <c r="AD432" s="313">
        <f t="shared" si="26"/>
        <v>1.25</v>
      </c>
      <c r="AE432" s="313">
        <f t="shared" si="26"/>
        <v>0.5</v>
      </c>
      <c r="AF432" s="313">
        <f t="shared" si="26"/>
        <v>0.75</v>
      </c>
      <c r="AG432" s="313">
        <f t="shared" si="26"/>
        <v>0</v>
      </c>
      <c r="AH432" s="313">
        <f t="shared" si="26"/>
        <v>0</v>
      </c>
      <c r="AI432" s="313">
        <f t="shared" si="26"/>
        <v>0</v>
      </c>
      <c r="AJ432" s="313">
        <f t="shared" si="26"/>
        <v>0</v>
      </c>
      <c r="AL432" s="314">
        <f t="shared" si="26"/>
        <v>776085.28003299283</v>
      </c>
      <c r="AM432" s="314">
        <f t="shared" si="26"/>
        <v>0</v>
      </c>
      <c r="AN432" s="314">
        <f t="shared" si="24"/>
        <v>51762.679756757381</v>
      </c>
      <c r="AO432" s="314">
        <f t="shared" si="24"/>
        <v>0</v>
      </c>
      <c r="AP432" s="314">
        <f t="shared" si="24"/>
        <v>827847.95978975017</v>
      </c>
      <c r="AR432" s="314">
        <f t="shared" si="24"/>
        <v>64209.269521410584</v>
      </c>
      <c r="AS432" s="314">
        <f t="shared" si="24"/>
        <v>0</v>
      </c>
      <c r="AT432" s="314">
        <f t="shared" si="25"/>
        <v>0</v>
      </c>
      <c r="AU432" s="314">
        <f t="shared" si="25"/>
        <v>0</v>
      </c>
      <c r="AV432" s="314">
        <f t="shared" si="25"/>
        <v>64209.269521410584</v>
      </c>
      <c r="AW432" s="314">
        <f t="shared" si="25"/>
        <v>763638.69026833959</v>
      </c>
    </row>
    <row r="433" spans="1:49" x14ac:dyDescent="0.25">
      <c r="A433" s="311">
        <v>3741470</v>
      </c>
      <c r="B433" s="311"/>
      <c r="C433" s="315" t="str">
        <f t="shared" si="17"/>
        <v>NZO</v>
      </c>
      <c r="D433" s="315" t="str">
        <f t="shared" si="18"/>
        <v>Sociální rehabilitace - středisko Jičín</v>
      </c>
      <c r="E433" s="315" t="str">
        <f t="shared" si="19"/>
        <v>Péče o duševní zdraví, z.s.</v>
      </c>
      <c r="F433" s="313">
        <f t="shared" si="20"/>
        <v>3741470</v>
      </c>
      <c r="G433" s="313"/>
      <c r="H433" s="313"/>
      <c r="I433" s="313"/>
      <c r="J433" s="313"/>
      <c r="K433" s="313"/>
      <c r="L433" s="313"/>
      <c r="M433" s="313"/>
      <c r="N433" s="313"/>
      <c r="O433" s="313"/>
      <c r="P433" s="313"/>
      <c r="Q433" s="313"/>
      <c r="R433" s="313"/>
      <c r="S433" s="313"/>
      <c r="T433" s="313">
        <f t="shared" si="21"/>
        <v>5.5</v>
      </c>
      <c r="U433" s="313">
        <f t="shared" si="26"/>
        <v>5.5</v>
      </c>
      <c r="V433" s="313">
        <f t="shared" si="26"/>
        <v>0</v>
      </c>
      <c r="W433" s="313">
        <f t="shared" si="26"/>
        <v>0</v>
      </c>
      <c r="X433" s="313">
        <f t="shared" si="26"/>
        <v>0</v>
      </c>
      <c r="Y433" s="313">
        <f t="shared" si="26"/>
        <v>0</v>
      </c>
      <c r="Z433" s="313">
        <f t="shared" si="26"/>
        <v>30</v>
      </c>
      <c r="AA433" s="313">
        <f t="shared" si="26"/>
        <v>0</v>
      </c>
      <c r="AB433" s="313">
        <f t="shared" si="26"/>
        <v>0</v>
      </c>
      <c r="AD433" s="313">
        <f t="shared" si="26"/>
        <v>5.5</v>
      </c>
      <c r="AE433" s="313">
        <f t="shared" si="26"/>
        <v>5.5</v>
      </c>
      <c r="AF433" s="313">
        <f t="shared" si="26"/>
        <v>0</v>
      </c>
      <c r="AG433" s="313">
        <f t="shared" si="26"/>
        <v>0</v>
      </c>
      <c r="AH433" s="313">
        <f t="shared" si="26"/>
        <v>0</v>
      </c>
      <c r="AI433" s="313">
        <f t="shared" si="26"/>
        <v>0</v>
      </c>
      <c r="AJ433" s="313">
        <f t="shared" si="26"/>
        <v>0</v>
      </c>
      <c r="AL433" s="314">
        <f t="shared" si="26"/>
        <v>3693948.6119509339</v>
      </c>
      <c r="AM433" s="314">
        <f t="shared" si="26"/>
        <v>0</v>
      </c>
      <c r="AN433" s="314">
        <f t="shared" si="24"/>
        <v>235295.41947958875</v>
      </c>
      <c r="AO433" s="314">
        <f t="shared" si="24"/>
        <v>0</v>
      </c>
      <c r="AP433" s="314">
        <f t="shared" si="24"/>
        <v>3929244.0314305229</v>
      </c>
      <c r="AR433" s="314">
        <f t="shared" si="24"/>
        <v>0</v>
      </c>
      <c r="AS433" s="314">
        <f t="shared" si="24"/>
        <v>0</v>
      </c>
      <c r="AT433" s="314">
        <f t="shared" si="25"/>
        <v>0</v>
      </c>
      <c r="AU433" s="314">
        <f t="shared" si="25"/>
        <v>0</v>
      </c>
      <c r="AV433" s="314">
        <f t="shared" si="25"/>
        <v>0</v>
      </c>
      <c r="AW433" s="314">
        <f t="shared" si="25"/>
        <v>3929244.0314305229</v>
      </c>
    </row>
    <row r="434" spans="1:49" x14ac:dyDescent="0.25">
      <c r="A434" s="311">
        <v>3754207</v>
      </c>
      <c r="B434" s="311"/>
      <c r="C434" s="315" t="str">
        <f t="shared" si="17"/>
        <v>PO KHK</v>
      </c>
      <c r="D434" s="315" t="str">
        <f t="shared" si="18"/>
        <v>Domov důchodců Černožice</v>
      </c>
      <c r="E434" s="315" t="str">
        <f t="shared" si="19"/>
        <v>Domov důchodců Černožice</v>
      </c>
      <c r="F434" s="313">
        <f t="shared" si="20"/>
        <v>3754207</v>
      </c>
      <c r="G434" s="313"/>
      <c r="H434" s="313"/>
      <c r="I434" s="313"/>
      <c r="J434" s="313"/>
      <c r="K434" s="313"/>
      <c r="L434" s="313"/>
      <c r="M434" s="313"/>
      <c r="N434" s="313"/>
      <c r="O434" s="313"/>
      <c r="P434" s="313"/>
      <c r="Q434" s="313"/>
      <c r="R434" s="313"/>
      <c r="S434" s="313"/>
      <c r="T434" s="313">
        <f t="shared" si="21"/>
        <v>43.26</v>
      </c>
      <c r="U434" s="313">
        <f t="shared" si="26"/>
        <v>3.04</v>
      </c>
      <c r="V434" s="313">
        <f t="shared" si="26"/>
        <v>31.86</v>
      </c>
      <c r="W434" s="313">
        <f t="shared" si="26"/>
        <v>8.36</v>
      </c>
      <c r="X434" s="313">
        <f t="shared" si="26"/>
        <v>0</v>
      </c>
      <c r="Y434" s="313">
        <f t="shared" si="26"/>
        <v>78</v>
      </c>
      <c r="Z434" s="313">
        <f t="shared" si="26"/>
        <v>0</v>
      </c>
      <c r="AA434" s="313">
        <f t="shared" si="26"/>
        <v>0</v>
      </c>
      <c r="AB434" s="313">
        <f t="shared" si="26"/>
        <v>0</v>
      </c>
      <c r="AD434" s="313">
        <f t="shared" si="26"/>
        <v>43.26</v>
      </c>
      <c r="AE434" s="313">
        <f t="shared" si="26"/>
        <v>3.04</v>
      </c>
      <c r="AF434" s="313">
        <f t="shared" si="26"/>
        <v>31.86</v>
      </c>
      <c r="AG434" s="313">
        <f t="shared" si="26"/>
        <v>8.36</v>
      </c>
      <c r="AH434" s="313">
        <f t="shared" si="26"/>
        <v>0</v>
      </c>
      <c r="AI434" s="313">
        <f t="shared" si="26"/>
        <v>78</v>
      </c>
      <c r="AJ434" s="313">
        <f t="shared" si="26"/>
        <v>0</v>
      </c>
      <c r="AL434" s="314">
        <f t="shared" si="26"/>
        <v>22270670.365180407</v>
      </c>
      <c r="AM434" s="314">
        <f t="shared" si="26"/>
        <v>6757781.639472642</v>
      </c>
      <c r="AN434" s="314">
        <f t="shared" si="24"/>
        <v>7528631.3770529693</v>
      </c>
      <c r="AO434" s="314">
        <f t="shared" si="24"/>
        <v>5076821.8231910896</v>
      </c>
      <c r="AP434" s="314">
        <f t="shared" si="24"/>
        <v>41633905.204897106</v>
      </c>
      <c r="AR434" s="314">
        <f t="shared" si="24"/>
        <v>9365321.1600000001</v>
      </c>
      <c r="AS434" s="314">
        <f t="shared" si="24"/>
        <v>1753603.5074999998</v>
      </c>
      <c r="AT434" s="314">
        <f t="shared" si="25"/>
        <v>5182462.5517241377</v>
      </c>
      <c r="AU434" s="314">
        <f t="shared" si="25"/>
        <v>3978105.3</v>
      </c>
      <c r="AV434" s="314">
        <f t="shared" si="25"/>
        <v>20279492.519224137</v>
      </c>
      <c r="AW434" s="314">
        <f t="shared" si="25"/>
        <v>21354412.685672969</v>
      </c>
    </row>
    <row r="435" spans="1:49" x14ac:dyDescent="0.25">
      <c r="A435" s="311">
        <v>3810187</v>
      </c>
      <c r="B435" s="311"/>
      <c r="C435" s="315" t="str">
        <f t="shared" si="17"/>
        <v>Obce</v>
      </c>
      <c r="D435" s="315" t="str">
        <f t="shared" si="18"/>
        <v>Pečovatelská služba Vrchlabí</v>
      </c>
      <c r="E435" s="315" t="str">
        <f t="shared" si="19"/>
        <v>Město Vrchlabí</v>
      </c>
      <c r="F435" s="313">
        <f t="shared" si="20"/>
        <v>3810187</v>
      </c>
      <c r="G435" s="313"/>
      <c r="H435" s="313"/>
      <c r="I435" s="313"/>
      <c r="J435" s="313"/>
      <c r="K435" s="313"/>
      <c r="L435" s="313"/>
      <c r="M435" s="313"/>
      <c r="N435" s="313"/>
      <c r="O435" s="313"/>
      <c r="P435" s="313"/>
      <c r="Q435" s="313"/>
      <c r="R435" s="313"/>
      <c r="S435" s="313"/>
      <c r="T435" s="313">
        <f t="shared" si="21"/>
        <v>10</v>
      </c>
      <c r="U435" s="313">
        <f t="shared" si="26"/>
        <v>1</v>
      </c>
      <c r="V435" s="313">
        <f t="shared" si="26"/>
        <v>9</v>
      </c>
      <c r="W435" s="313">
        <f t="shared" si="26"/>
        <v>0</v>
      </c>
      <c r="X435" s="313">
        <f t="shared" si="26"/>
        <v>0</v>
      </c>
      <c r="Y435" s="313">
        <f t="shared" si="26"/>
        <v>0</v>
      </c>
      <c r="Z435" s="313">
        <f t="shared" si="26"/>
        <v>132</v>
      </c>
      <c r="AA435" s="313">
        <f t="shared" si="26"/>
        <v>0</v>
      </c>
      <c r="AB435" s="313">
        <f t="shared" si="26"/>
        <v>0</v>
      </c>
      <c r="AD435" s="313">
        <f t="shared" si="26"/>
        <v>10</v>
      </c>
      <c r="AE435" s="313">
        <f t="shared" si="26"/>
        <v>1</v>
      </c>
      <c r="AF435" s="313">
        <f t="shared" si="26"/>
        <v>9</v>
      </c>
      <c r="AG435" s="313">
        <f t="shared" si="26"/>
        <v>0</v>
      </c>
      <c r="AH435" s="313">
        <f t="shared" si="26"/>
        <v>0</v>
      </c>
      <c r="AI435" s="313">
        <f t="shared" si="26"/>
        <v>0</v>
      </c>
      <c r="AJ435" s="313">
        <f t="shared" si="26"/>
        <v>0</v>
      </c>
      <c r="AL435" s="314">
        <f t="shared" si="26"/>
        <v>5523580.0109072858</v>
      </c>
      <c r="AM435" s="314">
        <f t="shared" si="26"/>
        <v>0</v>
      </c>
      <c r="AN435" s="314">
        <f t="shared" si="24"/>
        <v>418405.65058046783</v>
      </c>
      <c r="AO435" s="314">
        <f t="shared" si="24"/>
        <v>0</v>
      </c>
      <c r="AP435" s="314">
        <f t="shared" si="24"/>
        <v>5941985.6614877535</v>
      </c>
      <c r="AR435" s="314">
        <f t="shared" si="24"/>
        <v>1248797.1176470588</v>
      </c>
      <c r="AS435" s="314">
        <f t="shared" si="24"/>
        <v>0</v>
      </c>
      <c r="AT435" s="314">
        <f t="shared" si="25"/>
        <v>0</v>
      </c>
      <c r="AU435" s="314">
        <f t="shared" si="25"/>
        <v>0</v>
      </c>
      <c r="AV435" s="314">
        <f t="shared" si="25"/>
        <v>1248797.1176470588</v>
      </c>
      <c r="AW435" s="314">
        <f t="shared" si="25"/>
        <v>4693188.5438406952</v>
      </c>
    </row>
    <row r="436" spans="1:49" x14ac:dyDescent="0.25">
      <c r="A436" s="311">
        <v>3854293</v>
      </c>
      <c r="B436" s="311"/>
      <c r="C436" s="315" t="str">
        <f t="shared" si="17"/>
        <v>NZO</v>
      </c>
      <c r="D436" s="315" t="str">
        <f t="shared" si="18"/>
        <v>Domov sv. Josefa v Žirči u Dvora Králové n. Labem, středisko OCHČK</v>
      </c>
      <c r="E436" s="315" t="str">
        <f t="shared" si="19"/>
        <v>Oblastní charita Červený Kostelec</v>
      </c>
      <c r="F436" s="313">
        <f t="shared" si="20"/>
        <v>3854293</v>
      </c>
      <c r="G436" s="313"/>
      <c r="H436" s="313"/>
      <c r="I436" s="313"/>
      <c r="J436" s="313"/>
      <c r="K436" s="313"/>
      <c r="L436" s="313"/>
      <c r="M436" s="313"/>
      <c r="N436" s="313"/>
      <c r="O436" s="313"/>
      <c r="P436" s="313"/>
      <c r="Q436" s="313"/>
      <c r="R436" s="313"/>
      <c r="S436" s="313"/>
      <c r="T436" s="313">
        <f t="shared" si="21"/>
        <v>0</v>
      </c>
      <c r="U436" s="313">
        <f t="shared" si="26"/>
        <v>0</v>
      </c>
      <c r="V436" s="313">
        <f t="shared" si="26"/>
        <v>0</v>
      </c>
      <c r="W436" s="313">
        <f t="shared" si="26"/>
        <v>0</v>
      </c>
      <c r="X436" s="313">
        <f t="shared" si="26"/>
        <v>0</v>
      </c>
      <c r="Y436" s="313">
        <f t="shared" si="26"/>
        <v>0</v>
      </c>
      <c r="Z436" s="313">
        <f t="shared" si="26"/>
        <v>0</v>
      </c>
      <c r="AA436" s="313">
        <f t="shared" si="26"/>
        <v>0</v>
      </c>
      <c r="AB436" s="313">
        <f t="shared" si="26"/>
        <v>0</v>
      </c>
      <c r="AD436" s="313">
        <f t="shared" si="26"/>
        <v>0</v>
      </c>
      <c r="AE436" s="313">
        <f t="shared" si="26"/>
        <v>0</v>
      </c>
      <c r="AF436" s="313">
        <f t="shared" si="26"/>
        <v>0</v>
      </c>
      <c r="AG436" s="313">
        <f t="shared" si="26"/>
        <v>0</v>
      </c>
      <c r="AH436" s="313">
        <f t="shared" si="26"/>
        <v>0</v>
      </c>
      <c r="AI436" s="313">
        <f t="shared" si="26"/>
        <v>0</v>
      </c>
      <c r="AJ436" s="313">
        <f t="shared" si="26"/>
        <v>0</v>
      </c>
      <c r="AL436" s="314">
        <f t="shared" si="26"/>
        <v>0</v>
      </c>
      <c r="AM436" s="314">
        <f t="shared" si="26"/>
        <v>0</v>
      </c>
      <c r="AN436" s="314">
        <f t="shared" si="24"/>
        <v>0</v>
      </c>
      <c r="AO436" s="314">
        <f t="shared" si="24"/>
        <v>0</v>
      </c>
      <c r="AP436" s="314">
        <f t="shared" si="24"/>
        <v>0</v>
      </c>
      <c r="AR436" s="314">
        <f t="shared" si="24"/>
        <v>0</v>
      </c>
      <c r="AS436" s="314">
        <f t="shared" si="24"/>
        <v>0</v>
      </c>
      <c r="AT436" s="314">
        <f t="shared" si="25"/>
        <v>0</v>
      </c>
      <c r="AU436" s="314">
        <f t="shared" si="25"/>
        <v>0</v>
      </c>
      <c r="AV436" s="314">
        <f t="shared" si="25"/>
        <v>0</v>
      </c>
      <c r="AW436" s="314">
        <f t="shared" si="25"/>
        <v>0</v>
      </c>
    </row>
    <row r="437" spans="1:49" x14ac:dyDescent="0.25">
      <c r="A437" s="311">
        <v>3921078</v>
      </c>
      <c r="B437" s="311"/>
      <c r="C437" s="315" t="str">
        <f t="shared" si="17"/>
        <v>NZO</v>
      </c>
      <c r="D437" s="315" t="str">
        <f t="shared" si="18"/>
        <v>Spokojený domov, o.p.s.</v>
      </c>
      <c r="E437" s="315" t="str">
        <f t="shared" si="19"/>
        <v>Spokojený domov, o.p.s.</v>
      </c>
      <c r="F437" s="313">
        <f t="shared" si="20"/>
        <v>3921078</v>
      </c>
      <c r="G437" s="313"/>
      <c r="H437" s="313"/>
      <c r="I437" s="313"/>
      <c r="J437" s="313"/>
      <c r="K437" s="313"/>
      <c r="L437" s="313"/>
      <c r="M437" s="313"/>
      <c r="N437" s="313"/>
      <c r="O437" s="313"/>
      <c r="P437" s="313"/>
      <c r="Q437" s="313"/>
      <c r="R437" s="313"/>
      <c r="S437" s="313"/>
      <c r="T437" s="313">
        <f t="shared" si="21"/>
        <v>1.57</v>
      </c>
      <c r="U437" s="313">
        <f t="shared" si="26"/>
        <v>0.1</v>
      </c>
      <c r="V437" s="313">
        <f t="shared" si="26"/>
        <v>1.47</v>
      </c>
      <c r="W437" s="313">
        <f t="shared" si="26"/>
        <v>0</v>
      </c>
      <c r="X437" s="313">
        <f t="shared" si="26"/>
        <v>0</v>
      </c>
      <c r="Y437" s="313">
        <f t="shared" si="26"/>
        <v>0</v>
      </c>
      <c r="Z437" s="313">
        <f t="shared" si="26"/>
        <v>0</v>
      </c>
      <c r="AA437" s="313">
        <f t="shared" si="26"/>
        <v>3</v>
      </c>
      <c r="AB437" s="313">
        <f t="shared" si="26"/>
        <v>0</v>
      </c>
      <c r="AD437" s="313">
        <f t="shared" si="26"/>
        <v>1.57</v>
      </c>
      <c r="AE437" s="313">
        <f t="shared" si="26"/>
        <v>0.1</v>
      </c>
      <c r="AF437" s="313">
        <f t="shared" si="26"/>
        <v>1.47</v>
      </c>
      <c r="AG437" s="313">
        <f t="shared" si="26"/>
        <v>0</v>
      </c>
      <c r="AH437" s="313">
        <f t="shared" si="26"/>
        <v>0</v>
      </c>
      <c r="AI437" s="313">
        <f t="shared" si="26"/>
        <v>0</v>
      </c>
      <c r="AJ437" s="313">
        <f t="shared" si="26"/>
        <v>3</v>
      </c>
      <c r="AL437" s="314">
        <f t="shared" si="26"/>
        <v>867202.06171244383</v>
      </c>
      <c r="AM437" s="314">
        <f t="shared" ref="AM437:AM461" si="27">SUMIFS(AM$4:AM$337,$A$4:$A$337,$A437)</f>
        <v>0</v>
      </c>
      <c r="AN437" s="314">
        <f t="shared" si="24"/>
        <v>65689.687141133458</v>
      </c>
      <c r="AO437" s="314">
        <f t="shared" si="24"/>
        <v>0</v>
      </c>
      <c r="AP437" s="314">
        <f t="shared" si="24"/>
        <v>932891.7488535773</v>
      </c>
      <c r="AR437" s="314">
        <f t="shared" si="24"/>
        <v>203970.19588235294</v>
      </c>
      <c r="AS437" s="314">
        <f t="shared" si="24"/>
        <v>0</v>
      </c>
      <c r="AT437" s="314">
        <f t="shared" si="25"/>
        <v>0</v>
      </c>
      <c r="AU437" s="314">
        <f t="shared" si="25"/>
        <v>0</v>
      </c>
      <c r="AV437" s="314">
        <f t="shared" si="25"/>
        <v>203970.19588235294</v>
      </c>
      <c r="AW437" s="314">
        <f t="shared" si="25"/>
        <v>728921.5529712243</v>
      </c>
    </row>
    <row r="438" spans="1:49" x14ac:dyDescent="0.25">
      <c r="A438" s="311">
        <v>3943362</v>
      </c>
      <c r="B438" s="311"/>
      <c r="C438" s="315" t="str">
        <f t="shared" si="17"/>
        <v>PO KHK</v>
      </c>
      <c r="D438" s="315" t="str">
        <f t="shared" si="18"/>
        <v>Domov důchodců Lampertice</v>
      </c>
      <c r="E438" s="315" t="str">
        <f t="shared" si="19"/>
        <v>Domov důchodců Lampertice</v>
      </c>
      <c r="F438" s="313">
        <f t="shared" si="20"/>
        <v>3943362</v>
      </c>
      <c r="G438" s="313"/>
      <c r="H438" s="313"/>
      <c r="I438" s="313"/>
      <c r="J438" s="313"/>
      <c r="K438" s="313"/>
      <c r="L438" s="313"/>
      <c r="M438" s="313"/>
      <c r="N438" s="313"/>
      <c r="O438" s="313"/>
      <c r="P438" s="313"/>
      <c r="Q438" s="313"/>
      <c r="R438" s="313"/>
      <c r="S438" s="313"/>
      <c r="T438" s="313">
        <f t="shared" si="21"/>
        <v>23</v>
      </c>
      <c r="U438" s="313">
        <f t="shared" si="26"/>
        <v>2</v>
      </c>
      <c r="V438" s="313">
        <f t="shared" si="26"/>
        <v>13</v>
      </c>
      <c r="W438" s="313">
        <f t="shared" si="26"/>
        <v>8</v>
      </c>
      <c r="X438" s="313">
        <f t="shared" si="26"/>
        <v>0</v>
      </c>
      <c r="Y438" s="313">
        <f t="shared" si="26"/>
        <v>52</v>
      </c>
      <c r="Z438" s="313">
        <f t="shared" si="26"/>
        <v>0</v>
      </c>
      <c r="AA438" s="313">
        <f t="shared" si="26"/>
        <v>0</v>
      </c>
      <c r="AB438" s="313">
        <f t="shared" si="26"/>
        <v>0</v>
      </c>
      <c r="AD438" s="313">
        <f t="shared" si="26"/>
        <v>23</v>
      </c>
      <c r="AE438" s="313">
        <f t="shared" si="26"/>
        <v>2</v>
      </c>
      <c r="AF438" s="313">
        <f t="shared" si="26"/>
        <v>13</v>
      </c>
      <c r="AG438" s="313">
        <f t="shared" si="26"/>
        <v>8</v>
      </c>
      <c r="AH438" s="313">
        <f t="shared" si="26"/>
        <v>0</v>
      </c>
      <c r="AI438" s="313">
        <f t="shared" si="26"/>
        <v>52</v>
      </c>
      <c r="AJ438" s="313">
        <f t="shared" si="26"/>
        <v>0</v>
      </c>
      <c r="AL438" s="314">
        <f t="shared" si="26"/>
        <v>9780068.8431907706</v>
      </c>
      <c r="AM438" s="314">
        <f t="shared" si="27"/>
        <v>6485653.5482899379</v>
      </c>
      <c r="AN438" s="314">
        <f t="shared" si="24"/>
        <v>5099932.4095719093</v>
      </c>
      <c r="AO438" s="314">
        <f t="shared" si="24"/>
        <v>3576097.1981439209</v>
      </c>
      <c r="AP438" s="314">
        <f t="shared" si="24"/>
        <v>24941751.999196541</v>
      </c>
      <c r="AR438" s="314">
        <f t="shared" si="24"/>
        <v>5838065.2281048978</v>
      </c>
      <c r="AS438" s="314">
        <f t="shared" si="24"/>
        <v>1520733.1755233493</v>
      </c>
      <c r="AT438" s="314">
        <f t="shared" si="25"/>
        <v>3688036.2805358549</v>
      </c>
      <c r="AU438" s="314">
        <f t="shared" si="25"/>
        <v>2645607.2738970588</v>
      </c>
      <c r="AV438" s="314">
        <f t="shared" si="25"/>
        <v>13692441.958061161</v>
      </c>
      <c r="AW438" s="314">
        <f t="shared" si="25"/>
        <v>11249310.04113538</v>
      </c>
    </row>
    <row r="439" spans="1:49" x14ac:dyDescent="0.25">
      <c r="A439" s="311">
        <v>3961063</v>
      </c>
      <c r="B439" s="311"/>
      <c r="C439" s="315" t="str">
        <f t="shared" si="17"/>
        <v>NZO</v>
      </c>
      <c r="D439" s="315" t="str">
        <f t="shared" si="18"/>
        <v>Dům na půli cesty - Náchod</v>
      </c>
      <c r="E439" s="315" t="str">
        <f t="shared" si="19"/>
        <v>Oblastní charita Náchod</v>
      </c>
      <c r="F439" s="313">
        <f t="shared" si="20"/>
        <v>3961063</v>
      </c>
      <c r="G439" s="313"/>
      <c r="H439" s="313"/>
      <c r="I439" s="313"/>
      <c r="J439" s="313"/>
      <c r="K439" s="313"/>
      <c r="L439" s="313"/>
      <c r="M439" s="313"/>
      <c r="N439" s="313"/>
      <c r="O439" s="313"/>
      <c r="P439" s="313"/>
      <c r="Q439" s="313"/>
      <c r="R439" s="313"/>
      <c r="S439" s="313"/>
      <c r="T439" s="313">
        <f t="shared" si="21"/>
        <v>5</v>
      </c>
      <c r="U439" s="313">
        <f t="shared" si="26"/>
        <v>1</v>
      </c>
      <c r="V439" s="313">
        <f t="shared" si="26"/>
        <v>4</v>
      </c>
      <c r="W439" s="313">
        <f t="shared" si="26"/>
        <v>0</v>
      </c>
      <c r="X439" s="313">
        <f t="shared" si="26"/>
        <v>0</v>
      </c>
      <c r="Y439" s="313">
        <f t="shared" si="26"/>
        <v>11</v>
      </c>
      <c r="Z439" s="313">
        <f t="shared" si="26"/>
        <v>0</v>
      </c>
      <c r="AA439" s="313">
        <f t="shared" si="26"/>
        <v>0</v>
      </c>
      <c r="AB439" s="313">
        <f t="shared" si="26"/>
        <v>0</v>
      </c>
      <c r="AD439" s="313">
        <f t="shared" si="26"/>
        <v>5</v>
      </c>
      <c r="AE439" s="313">
        <f t="shared" si="26"/>
        <v>1</v>
      </c>
      <c r="AF439" s="313">
        <f t="shared" si="26"/>
        <v>4</v>
      </c>
      <c r="AG439" s="313">
        <f t="shared" si="26"/>
        <v>0</v>
      </c>
      <c r="AH439" s="313">
        <f t="shared" si="26"/>
        <v>0</v>
      </c>
      <c r="AI439" s="313">
        <f t="shared" si="26"/>
        <v>11</v>
      </c>
      <c r="AJ439" s="313">
        <f t="shared" si="26"/>
        <v>0</v>
      </c>
      <c r="AL439" s="314">
        <f t="shared" si="26"/>
        <v>3196274.6014555153</v>
      </c>
      <c r="AM439" s="314">
        <f t="shared" si="27"/>
        <v>0</v>
      </c>
      <c r="AN439" s="314">
        <f t="shared" si="24"/>
        <v>375771.59177976951</v>
      </c>
      <c r="AO439" s="314">
        <f t="shared" si="24"/>
        <v>0</v>
      </c>
      <c r="AP439" s="314">
        <f t="shared" si="24"/>
        <v>3572046.1932352846</v>
      </c>
      <c r="AR439" s="314">
        <f t="shared" si="24"/>
        <v>0</v>
      </c>
      <c r="AS439" s="314">
        <f t="shared" si="24"/>
        <v>0</v>
      </c>
      <c r="AT439" s="314">
        <f t="shared" si="25"/>
        <v>260086.75</v>
      </c>
      <c r="AU439" s="314">
        <f t="shared" si="25"/>
        <v>0</v>
      </c>
      <c r="AV439" s="314">
        <f t="shared" si="25"/>
        <v>260086.75</v>
      </c>
      <c r="AW439" s="314">
        <f t="shared" si="25"/>
        <v>3311959.4432352846</v>
      </c>
    </row>
    <row r="440" spans="1:49" x14ac:dyDescent="0.25">
      <c r="A440" s="311">
        <v>3994122</v>
      </c>
      <c r="B440" s="311"/>
      <c r="C440" s="315" t="str">
        <f t="shared" si="17"/>
        <v>Obce</v>
      </c>
      <c r="D440" s="315" t="str">
        <f t="shared" si="18"/>
        <v>Centrum prevence Mandl</v>
      </c>
      <c r="E440" s="315" t="str">
        <f t="shared" si="19"/>
        <v>Město Nové Město nad Metují</v>
      </c>
      <c r="F440" s="313">
        <f t="shared" si="20"/>
        <v>3994122</v>
      </c>
      <c r="G440" s="313"/>
      <c r="H440" s="313"/>
      <c r="I440" s="313"/>
      <c r="J440" s="313"/>
      <c r="K440" s="313"/>
      <c r="L440" s="313"/>
      <c r="M440" s="313"/>
      <c r="N440" s="313"/>
      <c r="O440" s="313"/>
      <c r="P440" s="313"/>
      <c r="Q440" s="313"/>
      <c r="R440" s="313"/>
      <c r="S440" s="313"/>
      <c r="T440" s="313">
        <f t="shared" si="21"/>
        <v>3.2</v>
      </c>
      <c r="U440" s="313">
        <f t="shared" si="26"/>
        <v>2.2000000000000002</v>
      </c>
      <c r="V440" s="313">
        <f t="shared" si="26"/>
        <v>1</v>
      </c>
      <c r="W440" s="313">
        <f t="shared" si="26"/>
        <v>0</v>
      </c>
      <c r="X440" s="313">
        <f t="shared" si="26"/>
        <v>0</v>
      </c>
      <c r="Y440" s="313">
        <f t="shared" si="26"/>
        <v>0</v>
      </c>
      <c r="Z440" s="313">
        <f t="shared" si="26"/>
        <v>15</v>
      </c>
      <c r="AA440" s="313">
        <f t="shared" si="26"/>
        <v>25</v>
      </c>
      <c r="AB440" s="313">
        <f t="shared" si="26"/>
        <v>0</v>
      </c>
      <c r="AD440" s="313">
        <f t="shared" si="26"/>
        <v>3.2</v>
      </c>
      <c r="AE440" s="313">
        <f t="shared" si="26"/>
        <v>2.2000000000000002</v>
      </c>
      <c r="AF440" s="313">
        <f t="shared" si="26"/>
        <v>1</v>
      </c>
      <c r="AG440" s="313">
        <f t="shared" si="26"/>
        <v>0</v>
      </c>
      <c r="AH440" s="313">
        <f t="shared" si="26"/>
        <v>0</v>
      </c>
      <c r="AI440" s="313">
        <f t="shared" si="26"/>
        <v>0</v>
      </c>
      <c r="AJ440" s="313">
        <f t="shared" si="26"/>
        <v>25</v>
      </c>
      <c r="AL440" s="314">
        <f t="shared" si="26"/>
        <v>2149206.4651350891</v>
      </c>
      <c r="AM440" s="314">
        <f t="shared" si="27"/>
        <v>0</v>
      </c>
      <c r="AN440" s="314">
        <f t="shared" si="24"/>
        <v>136899.15315176072</v>
      </c>
      <c r="AO440" s="314">
        <f t="shared" si="24"/>
        <v>0</v>
      </c>
      <c r="AP440" s="314">
        <f t="shared" si="24"/>
        <v>2286105.6182868499</v>
      </c>
      <c r="AR440" s="314">
        <f t="shared" si="24"/>
        <v>0</v>
      </c>
      <c r="AS440" s="314">
        <f t="shared" si="24"/>
        <v>0</v>
      </c>
      <c r="AT440" s="314">
        <f t="shared" si="25"/>
        <v>0</v>
      </c>
      <c r="AU440" s="314">
        <f t="shared" si="25"/>
        <v>0</v>
      </c>
      <c r="AV440" s="314">
        <f t="shared" si="25"/>
        <v>0</v>
      </c>
      <c r="AW440" s="314">
        <f t="shared" si="25"/>
        <v>2286105.6182868499</v>
      </c>
    </row>
    <row r="441" spans="1:49" x14ac:dyDescent="0.25">
      <c r="A441" s="311">
        <v>4007320</v>
      </c>
      <c r="B441" s="311"/>
      <c r="C441" s="315" t="str">
        <f t="shared" si="17"/>
        <v>PO KHK</v>
      </c>
      <c r="D441" s="315" t="str">
        <f t="shared" si="18"/>
        <v>Domov sociálních služeb Skřivany</v>
      </c>
      <c r="E441" s="315" t="str">
        <f t="shared" si="19"/>
        <v>Domov sociálních služeb Skřivany</v>
      </c>
      <c r="F441" s="313">
        <f t="shared" si="20"/>
        <v>4007320</v>
      </c>
      <c r="G441" s="313"/>
      <c r="H441" s="313"/>
      <c r="I441" s="313"/>
      <c r="J441" s="313"/>
      <c r="K441" s="313"/>
      <c r="L441" s="313"/>
      <c r="M441" s="313"/>
      <c r="N441" s="313"/>
      <c r="O441" s="313"/>
      <c r="P441" s="313"/>
      <c r="Q441" s="313"/>
      <c r="R441" s="313"/>
      <c r="S441" s="313"/>
      <c r="T441" s="313">
        <f t="shared" si="21"/>
        <v>1.7</v>
      </c>
      <c r="U441" s="313">
        <f t="shared" si="26"/>
        <v>0.1</v>
      </c>
      <c r="V441" s="313">
        <f t="shared" si="26"/>
        <v>1.6</v>
      </c>
      <c r="W441" s="313">
        <f t="shared" si="26"/>
        <v>0</v>
      </c>
      <c r="X441" s="313">
        <f t="shared" si="26"/>
        <v>0</v>
      </c>
      <c r="Y441" s="313">
        <f t="shared" si="26"/>
        <v>4</v>
      </c>
      <c r="Z441" s="313">
        <f t="shared" si="26"/>
        <v>0</v>
      </c>
      <c r="AA441" s="313">
        <f t="shared" si="26"/>
        <v>0</v>
      </c>
      <c r="AB441" s="313">
        <f t="shared" si="26"/>
        <v>0</v>
      </c>
      <c r="AD441" s="313">
        <f t="shared" si="26"/>
        <v>1.7</v>
      </c>
      <c r="AE441" s="313">
        <f t="shared" si="26"/>
        <v>0.1</v>
      </c>
      <c r="AF441" s="313">
        <f t="shared" si="26"/>
        <v>1.6</v>
      </c>
      <c r="AG441" s="313">
        <f t="shared" si="26"/>
        <v>0</v>
      </c>
      <c r="AH441" s="313">
        <f t="shared" si="26"/>
        <v>0</v>
      </c>
      <c r="AI441" s="313">
        <f t="shared" si="26"/>
        <v>4</v>
      </c>
      <c r="AJ441" s="313">
        <f t="shared" si="26"/>
        <v>0</v>
      </c>
      <c r="AL441" s="314">
        <f t="shared" si="26"/>
        <v>1094033.7049569751</v>
      </c>
      <c r="AM441" s="314">
        <f t="shared" si="27"/>
        <v>0</v>
      </c>
      <c r="AN441" s="314">
        <f t="shared" si="24"/>
        <v>221314.30876258129</v>
      </c>
      <c r="AO441" s="314">
        <f t="shared" si="24"/>
        <v>73128.890533904501</v>
      </c>
      <c r="AP441" s="314">
        <f t="shared" si="24"/>
        <v>1388476.9042534609</v>
      </c>
      <c r="AR441" s="314">
        <f t="shared" si="24"/>
        <v>131152.63092783507</v>
      </c>
      <c r="AS441" s="314">
        <f t="shared" si="24"/>
        <v>0</v>
      </c>
      <c r="AT441" s="314">
        <f t="shared" si="25"/>
        <v>173129.08000000002</v>
      </c>
      <c r="AU441" s="314">
        <f t="shared" si="25"/>
        <v>75225.75</v>
      </c>
      <c r="AV441" s="314">
        <f t="shared" si="25"/>
        <v>379507.46092783508</v>
      </c>
      <c r="AW441" s="314">
        <f t="shared" si="25"/>
        <v>1008969.4433256258</v>
      </c>
    </row>
    <row r="442" spans="1:49" x14ac:dyDescent="0.25">
      <c r="A442" s="311">
        <v>4075651</v>
      </c>
      <c r="B442" s="311"/>
      <c r="C442" s="315" t="str">
        <f t="shared" si="17"/>
        <v>Obce</v>
      </c>
      <c r="D442" s="315" t="str">
        <f t="shared" si="18"/>
        <v>Odlehčovací služba</v>
      </c>
      <c r="E442" s="315" t="str">
        <f t="shared" si="19"/>
        <v>Městské středisko sociálních služeb Oáza</v>
      </c>
      <c r="F442" s="313">
        <f t="shared" si="20"/>
        <v>4075651</v>
      </c>
      <c r="G442" s="313"/>
      <c r="H442" s="313"/>
      <c r="I442" s="313"/>
      <c r="J442" s="313"/>
      <c r="K442" s="313"/>
      <c r="L442" s="313"/>
      <c r="M442" s="313"/>
      <c r="N442" s="313"/>
      <c r="O442" s="313"/>
      <c r="P442" s="313"/>
      <c r="Q442" s="313"/>
      <c r="R442" s="313"/>
      <c r="S442" s="313"/>
      <c r="T442" s="313">
        <f t="shared" si="21"/>
        <v>3.2</v>
      </c>
      <c r="U442" s="313">
        <f t="shared" si="26"/>
        <v>0.35</v>
      </c>
      <c r="V442" s="313">
        <f t="shared" si="26"/>
        <v>2</v>
      </c>
      <c r="W442" s="313">
        <f t="shared" si="26"/>
        <v>0.85</v>
      </c>
      <c r="X442" s="313">
        <f t="shared" si="26"/>
        <v>0</v>
      </c>
      <c r="Y442" s="313">
        <f t="shared" si="26"/>
        <v>6</v>
      </c>
      <c r="Z442" s="313">
        <f t="shared" si="26"/>
        <v>0</v>
      </c>
      <c r="AA442" s="313">
        <f t="shared" si="26"/>
        <v>0</v>
      </c>
      <c r="AB442" s="313">
        <f t="shared" si="26"/>
        <v>0</v>
      </c>
      <c r="AD442" s="313">
        <f t="shared" si="26"/>
        <v>3.2</v>
      </c>
      <c r="AE442" s="313">
        <f t="shared" si="26"/>
        <v>0.35</v>
      </c>
      <c r="AF442" s="313">
        <f t="shared" si="26"/>
        <v>2</v>
      </c>
      <c r="AG442" s="313">
        <f t="shared" si="26"/>
        <v>0.85</v>
      </c>
      <c r="AH442" s="313">
        <f t="shared" si="26"/>
        <v>0</v>
      </c>
      <c r="AI442" s="313">
        <f t="shared" si="26"/>
        <v>6</v>
      </c>
      <c r="AJ442" s="313">
        <f t="shared" si="26"/>
        <v>0</v>
      </c>
      <c r="AL442" s="314">
        <f t="shared" si="26"/>
        <v>1805596.4657206079</v>
      </c>
      <c r="AM442" s="314">
        <f t="shared" si="27"/>
        <v>0</v>
      </c>
      <c r="AN442" s="314">
        <f t="shared" si="24"/>
        <v>328693.54852625896</v>
      </c>
      <c r="AO442" s="314">
        <f t="shared" si="24"/>
        <v>180136.22893499973</v>
      </c>
      <c r="AP442" s="314">
        <f t="shared" si="24"/>
        <v>2314426.2431818666</v>
      </c>
      <c r="AR442" s="314">
        <f t="shared" si="24"/>
        <v>363033.91563424404</v>
      </c>
      <c r="AS442" s="314">
        <f t="shared" si="24"/>
        <v>0</v>
      </c>
      <c r="AT442" s="314">
        <f t="shared" si="25"/>
        <v>230731.875</v>
      </c>
      <c r="AU442" s="314">
        <f t="shared" si="25"/>
        <v>143372.70000000001</v>
      </c>
      <c r="AV442" s="314">
        <f t="shared" si="25"/>
        <v>737138.49063424394</v>
      </c>
      <c r="AW442" s="314">
        <f t="shared" si="25"/>
        <v>1577287.7525476227</v>
      </c>
    </row>
    <row r="443" spans="1:49" x14ac:dyDescent="0.25">
      <c r="A443" s="311">
        <v>4167967</v>
      </c>
      <c r="B443" s="311"/>
      <c r="C443" s="315" t="str">
        <f t="shared" si="17"/>
        <v>NZO</v>
      </c>
      <c r="D443" s="315" t="str">
        <f t="shared" si="18"/>
        <v>Domov svatého Josefa</v>
      </c>
      <c r="E443" s="315" t="str">
        <f t="shared" si="19"/>
        <v>Oblastní charita Červený Kostelec</v>
      </c>
      <c r="F443" s="313">
        <f t="shared" si="20"/>
        <v>4167967</v>
      </c>
      <c r="G443" s="313"/>
      <c r="H443" s="313"/>
      <c r="I443" s="313"/>
      <c r="J443" s="313"/>
      <c r="K443" s="313"/>
      <c r="L443" s="313"/>
      <c r="M443" s="313"/>
      <c r="N443" s="313"/>
      <c r="O443" s="313"/>
      <c r="P443" s="313"/>
      <c r="Q443" s="313"/>
      <c r="R443" s="313"/>
      <c r="S443" s="313"/>
      <c r="T443" s="313">
        <f t="shared" si="21"/>
        <v>0</v>
      </c>
      <c r="U443" s="313">
        <f t="shared" si="26"/>
        <v>0</v>
      </c>
      <c r="V443" s="313">
        <f t="shared" si="26"/>
        <v>0</v>
      </c>
      <c r="W443" s="313">
        <f t="shared" si="26"/>
        <v>0</v>
      </c>
      <c r="X443" s="313">
        <f t="shared" si="26"/>
        <v>0</v>
      </c>
      <c r="Y443" s="313">
        <f t="shared" si="26"/>
        <v>0</v>
      </c>
      <c r="Z443" s="313">
        <f t="shared" si="26"/>
        <v>0</v>
      </c>
      <c r="AA443" s="313">
        <f t="shared" si="26"/>
        <v>0</v>
      </c>
      <c r="AB443" s="313">
        <f t="shared" si="26"/>
        <v>0</v>
      </c>
      <c r="AD443" s="313">
        <f t="shared" si="26"/>
        <v>0</v>
      </c>
      <c r="AE443" s="313">
        <f t="shared" si="26"/>
        <v>0</v>
      </c>
      <c r="AF443" s="313">
        <f t="shared" si="26"/>
        <v>0</v>
      </c>
      <c r="AG443" s="313">
        <f t="shared" si="26"/>
        <v>0</v>
      </c>
      <c r="AH443" s="313">
        <f t="shared" si="26"/>
        <v>0</v>
      </c>
      <c r="AI443" s="313">
        <f t="shared" si="26"/>
        <v>0</v>
      </c>
      <c r="AJ443" s="313">
        <f t="shared" si="26"/>
        <v>0</v>
      </c>
      <c r="AL443" s="314">
        <f t="shared" si="26"/>
        <v>0</v>
      </c>
      <c r="AM443" s="314">
        <f t="shared" si="27"/>
        <v>0</v>
      </c>
      <c r="AN443" s="314">
        <f t="shared" si="24"/>
        <v>0</v>
      </c>
      <c r="AO443" s="314">
        <f t="shared" si="24"/>
        <v>0</v>
      </c>
      <c r="AP443" s="314">
        <f t="shared" si="24"/>
        <v>0</v>
      </c>
      <c r="AR443" s="314">
        <f t="shared" si="24"/>
        <v>0</v>
      </c>
      <c r="AS443" s="314">
        <f t="shared" si="24"/>
        <v>0</v>
      </c>
      <c r="AT443" s="314">
        <f t="shared" si="25"/>
        <v>0</v>
      </c>
      <c r="AU443" s="314">
        <f t="shared" si="25"/>
        <v>0</v>
      </c>
      <c r="AV443" s="314">
        <f t="shared" si="25"/>
        <v>0</v>
      </c>
      <c r="AW443" s="314">
        <f t="shared" si="25"/>
        <v>0</v>
      </c>
    </row>
    <row r="444" spans="1:49" x14ac:dyDescent="0.25">
      <c r="A444" s="311">
        <v>4271738</v>
      </c>
      <c r="B444" s="311"/>
      <c r="C444" s="315" t="str">
        <f t="shared" si="17"/>
        <v>NZO</v>
      </c>
      <c r="D444" s="315" t="str">
        <f t="shared" si="18"/>
        <v>Sportem proti bariérám, z.s.</v>
      </c>
      <c r="E444" s="315" t="str">
        <f t="shared" si="19"/>
        <v>Sportem proti bariérám, z. s.</v>
      </c>
      <c r="F444" s="313">
        <f t="shared" si="20"/>
        <v>4271738</v>
      </c>
      <c r="G444" s="313"/>
      <c r="H444" s="313"/>
      <c r="I444" s="313"/>
      <c r="J444" s="313"/>
      <c r="K444" s="313"/>
      <c r="L444" s="313"/>
      <c r="M444" s="313"/>
      <c r="N444" s="313"/>
      <c r="O444" s="313"/>
      <c r="P444" s="313"/>
      <c r="Q444" s="313"/>
      <c r="R444" s="313"/>
      <c r="S444" s="313"/>
      <c r="T444" s="313">
        <f t="shared" si="21"/>
        <v>13.5</v>
      </c>
      <c r="U444" s="313">
        <f t="shared" si="26"/>
        <v>1.5</v>
      </c>
      <c r="V444" s="313">
        <f t="shared" si="26"/>
        <v>12</v>
      </c>
      <c r="W444" s="313">
        <f t="shared" si="26"/>
        <v>0</v>
      </c>
      <c r="X444" s="313">
        <f t="shared" si="26"/>
        <v>0</v>
      </c>
      <c r="Y444" s="313">
        <f t="shared" si="26"/>
        <v>0</v>
      </c>
      <c r="Z444" s="313">
        <f t="shared" si="26"/>
        <v>40</v>
      </c>
      <c r="AA444" s="313">
        <f t="shared" si="26"/>
        <v>0</v>
      </c>
      <c r="AB444" s="313">
        <f t="shared" si="26"/>
        <v>0</v>
      </c>
      <c r="AD444" s="313">
        <f t="shared" si="26"/>
        <v>13.5</v>
      </c>
      <c r="AE444" s="313">
        <f t="shared" si="26"/>
        <v>1.5</v>
      </c>
      <c r="AF444" s="313">
        <f t="shared" si="26"/>
        <v>12</v>
      </c>
      <c r="AG444" s="313">
        <f t="shared" si="26"/>
        <v>0</v>
      </c>
      <c r="AH444" s="313">
        <f t="shared" si="26"/>
        <v>0</v>
      </c>
      <c r="AI444" s="313">
        <f t="shared" si="26"/>
        <v>0</v>
      </c>
      <c r="AJ444" s="313">
        <f t="shared" si="26"/>
        <v>0</v>
      </c>
      <c r="AL444" s="314">
        <f t="shared" si="26"/>
        <v>6895390.0956480708</v>
      </c>
      <c r="AM444" s="314">
        <f t="shared" si="27"/>
        <v>0</v>
      </c>
      <c r="AN444" s="314">
        <f t="shared" si="24"/>
        <v>261194.85045946893</v>
      </c>
      <c r="AO444" s="314">
        <f t="shared" si="24"/>
        <v>0</v>
      </c>
      <c r="AP444" s="314">
        <f t="shared" si="24"/>
        <v>7156584.9461075384</v>
      </c>
      <c r="AR444" s="314">
        <f t="shared" si="24"/>
        <v>1499626.0857681097</v>
      </c>
      <c r="AS444" s="314">
        <f t="shared" si="24"/>
        <v>0</v>
      </c>
      <c r="AT444" s="314">
        <f t="shared" si="25"/>
        <v>0</v>
      </c>
      <c r="AU444" s="314">
        <f t="shared" si="25"/>
        <v>0</v>
      </c>
      <c r="AV444" s="314">
        <f t="shared" si="25"/>
        <v>1499626.0857681097</v>
      </c>
      <c r="AW444" s="314">
        <f t="shared" si="25"/>
        <v>5656958.8603394292</v>
      </c>
    </row>
    <row r="445" spans="1:49" x14ac:dyDescent="0.25">
      <c r="A445" s="311">
        <v>4309907</v>
      </c>
      <c r="B445" s="311"/>
      <c r="C445" s="315" t="str">
        <f t="shared" si="17"/>
        <v>NZO</v>
      </c>
      <c r="D445" s="315" t="str">
        <f t="shared" si="18"/>
        <v>Manželská a rodinná poradna Hradec Králové</v>
      </c>
      <c r="E445" s="315" t="str">
        <f t="shared" si="19"/>
        <v>Centrum sociální pomoci a služeb o. p. s.</v>
      </c>
      <c r="F445" s="313">
        <f t="shared" si="20"/>
        <v>4309907</v>
      </c>
      <c r="G445" s="313"/>
      <c r="H445" s="313"/>
      <c r="I445" s="313"/>
      <c r="J445" s="313"/>
      <c r="K445" s="313"/>
      <c r="L445" s="313"/>
      <c r="M445" s="313"/>
      <c r="N445" s="313"/>
      <c r="O445" s="313"/>
      <c r="P445" s="313"/>
      <c r="Q445" s="313"/>
      <c r="R445" s="313"/>
      <c r="S445" s="313"/>
      <c r="T445" s="313">
        <f t="shared" si="21"/>
        <v>3.3</v>
      </c>
      <c r="U445" s="313">
        <f t="shared" si="26"/>
        <v>0.6</v>
      </c>
      <c r="V445" s="313">
        <f t="shared" si="26"/>
        <v>0</v>
      </c>
      <c r="W445" s="313">
        <f t="shared" si="26"/>
        <v>0</v>
      </c>
      <c r="X445" s="313">
        <f t="shared" si="26"/>
        <v>2.7</v>
      </c>
      <c r="Y445" s="313">
        <f t="shared" si="26"/>
        <v>0</v>
      </c>
      <c r="Z445" s="313">
        <f t="shared" si="26"/>
        <v>12</v>
      </c>
      <c r="AA445" s="313">
        <f t="shared" si="26"/>
        <v>0</v>
      </c>
      <c r="AB445" s="313">
        <f t="shared" si="26"/>
        <v>0</v>
      </c>
      <c r="AD445" s="313">
        <f t="shared" si="26"/>
        <v>3.3</v>
      </c>
      <c r="AE445" s="313">
        <f t="shared" si="26"/>
        <v>0.6</v>
      </c>
      <c r="AF445" s="313">
        <f t="shared" si="26"/>
        <v>0</v>
      </c>
      <c r="AG445" s="313">
        <f t="shared" si="26"/>
        <v>0</v>
      </c>
      <c r="AH445" s="313">
        <f t="shared" si="26"/>
        <v>2.7</v>
      </c>
      <c r="AI445" s="313">
        <f t="shared" si="26"/>
        <v>0</v>
      </c>
      <c r="AJ445" s="313">
        <f t="shared" si="26"/>
        <v>0</v>
      </c>
      <c r="AL445" s="314">
        <f t="shared" si="26"/>
        <v>2197401.511792114</v>
      </c>
      <c r="AM445" s="314">
        <f t="shared" si="27"/>
        <v>0</v>
      </c>
      <c r="AN445" s="314">
        <f t="shared" si="24"/>
        <v>152482.47501890143</v>
      </c>
      <c r="AO445" s="314">
        <f t="shared" si="24"/>
        <v>0</v>
      </c>
      <c r="AP445" s="314">
        <f t="shared" si="24"/>
        <v>2349883.9868110153</v>
      </c>
      <c r="AR445" s="314">
        <f t="shared" si="24"/>
        <v>0</v>
      </c>
      <c r="AS445" s="314">
        <f t="shared" si="24"/>
        <v>0</v>
      </c>
      <c r="AT445" s="314">
        <f t="shared" si="25"/>
        <v>0</v>
      </c>
      <c r="AU445" s="314">
        <f t="shared" si="25"/>
        <v>0</v>
      </c>
      <c r="AV445" s="314">
        <f t="shared" si="25"/>
        <v>0</v>
      </c>
      <c r="AW445" s="314">
        <f t="shared" si="25"/>
        <v>2349883.9868110153</v>
      </c>
    </row>
    <row r="446" spans="1:49" x14ac:dyDescent="0.25">
      <c r="A446" s="311">
        <v>4373225</v>
      </c>
      <c r="B446" s="311"/>
      <c r="C446" s="315" t="str">
        <f t="shared" si="17"/>
        <v>NZO</v>
      </c>
      <c r="D446" s="315" t="str">
        <f t="shared" si="18"/>
        <v>Sociální rehabilitace pro zrakově postižené</v>
      </c>
      <c r="E446" s="315" t="str">
        <f t="shared" si="19"/>
        <v>TyfloCentrum Hradec Králové, o. p. s.</v>
      </c>
      <c r="F446" s="313">
        <f t="shared" si="20"/>
        <v>4373225</v>
      </c>
      <c r="G446" s="313"/>
      <c r="H446" s="313"/>
      <c r="I446" s="313"/>
      <c r="J446" s="313"/>
      <c r="K446" s="313"/>
      <c r="L446" s="313"/>
      <c r="M446" s="313"/>
      <c r="N446" s="313"/>
      <c r="O446" s="313"/>
      <c r="P446" s="313"/>
      <c r="Q446" s="313"/>
      <c r="R446" s="313"/>
      <c r="S446" s="313"/>
      <c r="T446" s="313">
        <f t="shared" si="21"/>
        <v>1.6</v>
      </c>
      <c r="U446" s="313">
        <f t="shared" si="26"/>
        <v>1.1000000000000001</v>
      </c>
      <c r="V446" s="313">
        <f t="shared" si="26"/>
        <v>0</v>
      </c>
      <c r="W446" s="313">
        <f t="shared" si="26"/>
        <v>0</v>
      </c>
      <c r="X446" s="313">
        <f t="shared" si="26"/>
        <v>0.5</v>
      </c>
      <c r="Y446" s="313">
        <f t="shared" si="26"/>
        <v>0</v>
      </c>
      <c r="Z446" s="313">
        <f t="shared" si="26"/>
        <v>2</v>
      </c>
      <c r="AA446" s="313">
        <f t="shared" si="26"/>
        <v>0</v>
      </c>
      <c r="AB446" s="313">
        <f t="shared" si="26"/>
        <v>0</v>
      </c>
      <c r="AD446" s="313">
        <f t="shared" si="26"/>
        <v>1.6</v>
      </c>
      <c r="AE446" s="313">
        <f t="shared" si="26"/>
        <v>1.1000000000000001</v>
      </c>
      <c r="AF446" s="313">
        <f t="shared" si="26"/>
        <v>0</v>
      </c>
      <c r="AG446" s="313">
        <f t="shared" si="26"/>
        <v>0</v>
      </c>
      <c r="AH446" s="313">
        <f t="shared" si="26"/>
        <v>0.5</v>
      </c>
      <c r="AI446" s="313">
        <f t="shared" si="26"/>
        <v>0</v>
      </c>
      <c r="AJ446" s="313">
        <f t="shared" si="26"/>
        <v>0</v>
      </c>
      <c r="AL446" s="314">
        <f t="shared" si="26"/>
        <v>1074603.2325675446</v>
      </c>
      <c r="AM446" s="314">
        <f t="shared" si="27"/>
        <v>0</v>
      </c>
      <c r="AN446" s="314">
        <f t="shared" si="24"/>
        <v>68449.576575880361</v>
      </c>
      <c r="AO446" s="314">
        <f t="shared" si="24"/>
        <v>0</v>
      </c>
      <c r="AP446" s="314">
        <f t="shared" si="24"/>
        <v>1143052.809143425</v>
      </c>
      <c r="AR446" s="314">
        <f t="shared" si="24"/>
        <v>0</v>
      </c>
      <c r="AS446" s="314">
        <f t="shared" si="24"/>
        <v>0</v>
      </c>
      <c r="AT446" s="314">
        <f t="shared" si="25"/>
        <v>0</v>
      </c>
      <c r="AU446" s="314">
        <f t="shared" si="25"/>
        <v>0</v>
      </c>
      <c r="AV446" s="314">
        <f t="shared" si="25"/>
        <v>0</v>
      </c>
      <c r="AW446" s="314">
        <f t="shared" si="25"/>
        <v>1143052.809143425</v>
      </c>
    </row>
    <row r="447" spans="1:49" x14ac:dyDescent="0.25">
      <c r="A447" s="311">
        <v>4381530</v>
      </c>
      <c r="B447" s="311"/>
      <c r="C447" s="315" t="str">
        <f t="shared" si="17"/>
        <v>Obce</v>
      </c>
      <c r="D447" s="315" t="str">
        <f t="shared" si="18"/>
        <v>Domov pro seniory</v>
      </c>
      <c r="E447" s="315" t="str">
        <f t="shared" si="19"/>
        <v>Sociální služby města Jičína</v>
      </c>
      <c r="F447" s="313">
        <f t="shared" si="20"/>
        <v>4381530</v>
      </c>
      <c r="G447" s="313"/>
      <c r="H447" s="313"/>
      <c r="I447" s="313"/>
      <c r="J447" s="313"/>
      <c r="K447" s="313"/>
      <c r="L447" s="313"/>
      <c r="M447" s="313"/>
      <c r="N447" s="313"/>
      <c r="O447" s="313"/>
      <c r="P447" s="313"/>
      <c r="Q447" s="313"/>
      <c r="R447" s="313"/>
      <c r="S447" s="313"/>
      <c r="T447" s="313">
        <f t="shared" si="21"/>
        <v>35</v>
      </c>
      <c r="U447" s="313">
        <f t="shared" ref="U447:AL462" si="28">SUMIFS(U$4:U$337,$A$4:$A$337,$A447)</f>
        <v>3</v>
      </c>
      <c r="V447" s="313">
        <f t="shared" si="28"/>
        <v>23</v>
      </c>
      <c r="W447" s="313">
        <f t="shared" si="28"/>
        <v>9</v>
      </c>
      <c r="X447" s="313">
        <f t="shared" si="28"/>
        <v>0</v>
      </c>
      <c r="Y447" s="313">
        <f t="shared" si="28"/>
        <v>61</v>
      </c>
      <c r="Z447" s="313">
        <f t="shared" si="28"/>
        <v>0</v>
      </c>
      <c r="AA447" s="313">
        <f t="shared" si="28"/>
        <v>0</v>
      </c>
      <c r="AB447" s="313">
        <f t="shared" si="28"/>
        <v>0</v>
      </c>
      <c r="AD447" s="313">
        <f t="shared" si="28"/>
        <v>35</v>
      </c>
      <c r="AE447" s="313">
        <f t="shared" si="28"/>
        <v>3</v>
      </c>
      <c r="AF447" s="313">
        <f t="shared" si="28"/>
        <v>23</v>
      </c>
      <c r="AG447" s="313">
        <f t="shared" si="28"/>
        <v>9</v>
      </c>
      <c r="AH447" s="313">
        <f t="shared" si="28"/>
        <v>0</v>
      </c>
      <c r="AI447" s="313">
        <f t="shared" si="28"/>
        <v>61</v>
      </c>
      <c r="AJ447" s="313">
        <f t="shared" si="28"/>
        <v>0</v>
      </c>
      <c r="AL447" s="314">
        <f t="shared" si="28"/>
        <v>16952119.328197334</v>
      </c>
      <c r="AM447" s="314">
        <f t="shared" si="27"/>
        <v>7296360.2418261804</v>
      </c>
      <c r="AN447" s="314">
        <f t="shared" si="24"/>
        <v>5982613.0189208938</v>
      </c>
      <c r="AO447" s="314">
        <f t="shared" si="24"/>
        <v>4195037.0978226764</v>
      </c>
      <c r="AP447" s="314">
        <f t="shared" si="24"/>
        <v>34426129.686767086</v>
      </c>
      <c r="AR447" s="314">
        <f t="shared" si="24"/>
        <v>6848499.5945076691</v>
      </c>
      <c r="AS447" s="314">
        <f t="shared" si="24"/>
        <v>1783936.9943639291</v>
      </c>
      <c r="AT447" s="314">
        <f t="shared" si="25"/>
        <v>4326350.252167061</v>
      </c>
      <c r="AU447" s="314">
        <f t="shared" si="25"/>
        <v>3103500.8405330884</v>
      </c>
      <c r="AV447" s="314">
        <f t="shared" si="25"/>
        <v>16062287.681571748</v>
      </c>
      <c r="AW447" s="314">
        <f t="shared" si="25"/>
        <v>18363842.005195338</v>
      </c>
    </row>
    <row r="448" spans="1:49" x14ac:dyDescent="0.25">
      <c r="A448" s="311">
        <v>4382191</v>
      </c>
      <c r="B448" s="311"/>
      <c r="C448" s="315" t="str">
        <f t="shared" si="17"/>
        <v>Obce</v>
      </c>
      <c r="D448" s="315" t="str">
        <f t="shared" si="18"/>
        <v>Centrum pro rodinu - OSP</v>
      </c>
      <c r="E448" s="315" t="str">
        <f t="shared" si="19"/>
        <v>Centrum sociálních služeb Naděje Broumov</v>
      </c>
      <c r="F448" s="313">
        <f t="shared" si="20"/>
        <v>4382191</v>
      </c>
      <c r="G448" s="313"/>
      <c r="H448" s="313"/>
      <c r="I448" s="313"/>
      <c r="J448" s="313"/>
      <c r="K448" s="313"/>
      <c r="L448" s="313"/>
      <c r="M448" s="313"/>
      <c r="N448" s="313"/>
      <c r="O448" s="313"/>
      <c r="P448" s="313"/>
      <c r="Q448" s="313"/>
      <c r="R448" s="313"/>
      <c r="S448" s="313"/>
      <c r="T448" s="313">
        <f t="shared" si="21"/>
        <v>0.7</v>
      </c>
      <c r="U448" s="313">
        <f t="shared" si="28"/>
        <v>0.7</v>
      </c>
      <c r="V448" s="313">
        <f t="shared" si="28"/>
        <v>0</v>
      </c>
      <c r="W448" s="313">
        <f t="shared" si="28"/>
        <v>0</v>
      </c>
      <c r="X448" s="313">
        <f t="shared" si="28"/>
        <v>0</v>
      </c>
      <c r="Y448" s="313">
        <f t="shared" si="28"/>
        <v>0</v>
      </c>
      <c r="Z448" s="313">
        <f t="shared" si="28"/>
        <v>6</v>
      </c>
      <c r="AA448" s="313">
        <f t="shared" si="28"/>
        <v>0</v>
      </c>
      <c r="AB448" s="313">
        <f t="shared" si="28"/>
        <v>0</v>
      </c>
      <c r="AD448" s="313">
        <f t="shared" si="28"/>
        <v>0.7</v>
      </c>
      <c r="AE448" s="313">
        <f t="shared" si="28"/>
        <v>0.7</v>
      </c>
      <c r="AF448" s="313">
        <f t="shared" si="28"/>
        <v>0</v>
      </c>
      <c r="AG448" s="313">
        <f t="shared" si="28"/>
        <v>0</v>
      </c>
      <c r="AH448" s="313">
        <f t="shared" si="28"/>
        <v>0</v>
      </c>
      <c r="AI448" s="313">
        <f t="shared" si="28"/>
        <v>0</v>
      </c>
      <c r="AJ448" s="313">
        <f t="shared" si="28"/>
        <v>0</v>
      </c>
      <c r="AL448" s="314">
        <f t="shared" si="28"/>
        <v>466115.47219832725</v>
      </c>
      <c r="AM448" s="314">
        <f t="shared" si="27"/>
        <v>0</v>
      </c>
      <c r="AN448" s="314">
        <f t="shared" si="24"/>
        <v>32344.767428251816</v>
      </c>
      <c r="AO448" s="314">
        <f t="shared" si="24"/>
        <v>0</v>
      </c>
      <c r="AP448" s="314">
        <f t="shared" si="24"/>
        <v>498460.23962657904</v>
      </c>
      <c r="AR448" s="314">
        <f t="shared" si="24"/>
        <v>0</v>
      </c>
      <c r="AS448" s="314">
        <f t="shared" si="24"/>
        <v>0</v>
      </c>
      <c r="AT448" s="314">
        <f t="shared" si="25"/>
        <v>0</v>
      </c>
      <c r="AU448" s="314">
        <f t="shared" si="25"/>
        <v>0</v>
      </c>
      <c r="AV448" s="314">
        <f t="shared" si="25"/>
        <v>0</v>
      </c>
      <c r="AW448" s="314">
        <f t="shared" si="25"/>
        <v>498460.23962657904</v>
      </c>
    </row>
    <row r="449" spans="1:49" x14ac:dyDescent="0.25">
      <c r="A449" s="311">
        <v>4382500</v>
      </c>
      <c r="B449" s="311"/>
      <c r="C449" s="315" t="str">
        <f t="shared" si="17"/>
        <v>PO KHK</v>
      </c>
      <c r="D449" s="315" t="str">
        <f t="shared" si="18"/>
        <v>DOMOV NA STŘÍBRNÉM VRCHU</v>
      </c>
      <c r="E449" s="315" t="str">
        <f t="shared" si="19"/>
        <v>DOMOV NA STŘÍBRNÉM VRCHU</v>
      </c>
      <c r="F449" s="313">
        <f t="shared" si="20"/>
        <v>4382500</v>
      </c>
      <c r="G449" s="313"/>
      <c r="H449" s="313"/>
      <c r="I449" s="313"/>
      <c r="J449" s="313"/>
      <c r="K449" s="313"/>
      <c r="L449" s="313"/>
      <c r="M449" s="313"/>
      <c r="N449" s="313"/>
      <c r="O449" s="313"/>
      <c r="P449" s="313"/>
      <c r="Q449" s="313"/>
      <c r="R449" s="313"/>
      <c r="S449" s="313"/>
      <c r="T449" s="313">
        <f t="shared" si="21"/>
        <v>3.3</v>
      </c>
      <c r="U449" s="313">
        <f t="shared" si="28"/>
        <v>0.6</v>
      </c>
      <c r="V449" s="313">
        <f t="shared" si="28"/>
        <v>2.7</v>
      </c>
      <c r="W449" s="313">
        <f t="shared" si="28"/>
        <v>0</v>
      </c>
      <c r="X449" s="313">
        <f t="shared" si="28"/>
        <v>0</v>
      </c>
      <c r="Y449" s="313">
        <f t="shared" si="28"/>
        <v>8</v>
      </c>
      <c r="Z449" s="313">
        <f t="shared" si="28"/>
        <v>0</v>
      </c>
      <c r="AA449" s="313">
        <f t="shared" si="28"/>
        <v>0</v>
      </c>
      <c r="AB449" s="313">
        <f t="shared" si="28"/>
        <v>0</v>
      </c>
      <c r="AD449" s="313">
        <f t="shared" si="28"/>
        <v>3.3</v>
      </c>
      <c r="AE449" s="313">
        <f t="shared" si="28"/>
        <v>0.6</v>
      </c>
      <c r="AF449" s="313">
        <f t="shared" si="28"/>
        <v>2.7</v>
      </c>
      <c r="AG449" s="313">
        <f t="shared" si="28"/>
        <v>0</v>
      </c>
      <c r="AH449" s="313">
        <f t="shared" si="28"/>
        <v>0</v>
      </c>
      <c r="AI449" s="313">
        <f t="shared" si="28"/>
        <v>8</v>
      </c>
      <c r="AJ449" s="313">
        <f t="shared" si="28"/>
        <v>0</v>
      </c>
      <c r="AL449" s="314">
        <f t="shared" si="28"/>
        <v>2123712.4860929516</v>
      </c>
      <c r="AM449" s="314">
        <f t="shared" si="27"/>
        <v>0</v>
      </c>
      <c r="AN449" s="314">
        <f t="shared" si="24"/>
        <v>442628.61752516258</v>
      </c>
      <c r="AO449" s="314">
        <f t="shared" si="24"/>
        <v>146257.781067809</v>
      </c>
      <c r="AP449" s="314">
        <f t="shared" si="24"/>
        <v>2712598.8846859233</v>
      </c>
      <c r="AR449" s="314">
        <f t="shared" si="24"/>
        <v>221320.06469072166</v>
      </c>
      <c r="AS449" s="314">
        <f t="shared" si="24"/>
        <v>0</v>
      </c>
      <c r="AT449" s="314">
        <f t="shared" si="25"/>
        <v>346258.16000000003</v>
      </c>
      <c r="AU449" s="314">
        <f t="shared" si="25"/>
        <v>150451.5</v>
      </c>
      <c r="AV449" s="314">
        <f t="shared" si="25"/>
        <v>718029.72469072172</v>
      </c>
      <c r="AW449" s="314">
        <f t="shared" si="25"/>
        <v>1994569.1599952015</v>
      </c>
    </row>
    <row r="450" spans="1:49" x14ac:dyDescent="0.25">
      <c r="A450" s="311">
        <v>4383860</v>
      </c>
      <c r="B450" s="311"/>
      <c r="C450" s="315" t="str">
        <f t="shared" si="17"/>
        <v>Obce</v>
      </c>
      <c r="D450" s="315" t="str">
        <f t="shared" si="18"/>
        <v>Pečovatelská služba Trutnov</v>
      </c>
      <c r="E450" s="315" t="str">
        <f t="shared" si="19"/>
        <v>Pečovatelská služba Trutnov</v>
      </c>
      <c r="F450" s="313">
        <f t="shared" si="20"/>
        <v>4383860</v>
      </c>
      <c r="G450" s="313"/>
      <c r="H450" s="313"/>
      <c r="I450" s="313"/>
      <c r="J450" s="313"/>
      <c r="K450" s="313"/>
      <c r="L450" s="313"/>
      <c r="M450" s="313"/>
      <c r="N450" s="313"/>
      <c r="O450" s="313"/>
      <c r="P450" s="313"/>
      <c r="Q450" s="313"/>
      <c r="R450" s="313"/>
      <c r="S450" s="313"/>
      <c r="T450" s="313">
        <f t="shared" si="21"/>
        <v>22.3</v>
      </c>
      <c r="U450" s="313">
        <f t="shared" si="28"/>
        <v>1.5</v>
      </c>
      <c r="V450" s="313">
        <f t="shared" si="28"/>
        <v>20.8</v>
      </c>
      <c r="W450" s="313">
        <f t="shared" si="28"/>
        <v>0</v>
      </c>
      <c r="X450" s="313">
        <f t="shared" si="28"/>
        <v>0</v>
      </c>
      <c r="Y450" s="313">
        <f t="shared" si="28"/>
        <v>0</v>
      </c>
      <c r="Z450" s="313">
        <f t="shared" si="28"/>
        <v>350</v>
      </c>
      <c r="AA450" s="313">
        <f t="shared" si="28"/>
        <v>0</v>
      </c>
      <c r="AB450" s="313">
        <f t="shared" si="28"/>
        <v>0</v>
      </c>
      <c r="AD450" s="313">
        <f t="shared" si="28"/>
        <v>22.3</v>
      </c>
      <c r="AE450" s="313">
        <f t="shared" si="28"/>
        <v>1.5</v>
      </c>
      <c r="AF450" s="313">
        <f t="shared" si="28"/>
        <v>20.8</v>
      </c>
      <c r="AG450" s="313">
        <f t="shared" si="28"/>
        <v>0</v>
      </c>
      <c r="AH450" s="313">
        <f t="shared" si="28"/>
        <v>0</v>
      </c>
      <c r="AI450" s="313">
        <f t="shared" si="28"/>
        <v>0</v>
      </c>
      <c r="AJ450" s="313">
        <f t="shared" si="28"/>
        <v>0</v>
      </c>
      <c r="AL450" s="314">
        <f t="shared" si="28"/>
        <v>12317583.424323248</v>
      </c>
      <c r="AM450" s="314">
        <f t="shared" si="27"/>
        <v>0</v>
      </c>
      <c r="AN450" s="314">
        <f t="shared" si="24"/>
        <v>933044.60079444328</v>
      </c>
      <c r="AO450" s="314">
        <f t="shared" si="24"/>
        <v>0</v>
      </c>
      <c r="AP450" s="314">
        <f t="shared" si="24"/>
        <v>13250628.025117692</v>
      </c>
      <c r="AR450" s="314">
        <f t="shared" si="24"/>
        <v>2886108.8941176473</v>
      </c>
      <c r="AS450" s="314">
        <f t="shared" ref="AS450:AS461" si="29">SUMIFS(AS$4:AS$337,$A$4:$A$337,$A450)</f>
        <v>0</v>
      </c>
      <c r="AT450" s="314">
        <f t="shared" si="25"/>
        <v>0</v>
      </c>
      <c r="AU450" s="314">
        <f t="shared" si="25"/>
        <v>0</v>
      </c>
      <c r="AV450" s="314">
        <f t="shared" si="25"/>
        <v>2886108.8941176473</v>
      </c>
      <c r="AW450" s="314">
        <f t="shared" si="25"/>
        <v>10364519.131000044</v>
      </c>
    </row>
    <row r="451" spans="1:49" x14ac:dyDescent="0.25">
      <c r="A451" s="311">
        <v>4385424</v>
      </c>
      <c r="B451" s="311"/>
      <c r="C451" s="315" t="str">
        <f t="shared" si="17"/>
        <v>NZO</v>
      </c>
      <c r="D451" s="315" t="str">
        <f t="shared" si="18"/>
        <v>"Sociální rehabilitace "</v>
      </c>
      <c r="E451" s="315" t="str">
        <f t="shared" si="19"/>
        <v>Tichý svět, o. p. s</v>
      </c>
      <c r="F451" s="313">
        <f t="shared" si="20"/>
        <v>4385424</v>
      </c>
      <c r="G451" s="313"/>
      <c r="H451" s="313"/>
      <c r="I451" s="313"/>
      <c r="J451" s="313"/>
      <c r="K451" s="313"/>
      <c r="L451" s="313"/>
      <c r="M451" s="313"/>
      <c r="N451" s="313"/>
      <c r="O451" s="313"/>
      <c r="P451" s="313"/>
      <c r="Q451" s="313"/>
      <c r="R451" s="313"/>
      <c r="S451" s="313"/>
      <c r="T451" s="313">
        <f t="shared" si="21"/>
        <v>0</v>
      </c>
      <c r="U451" s="313">
        <f t="shared" si="28"/>
        <v>0</v>
      </c>
      <c r="V451" s="313">
        <f t="shared" si="28"/>
        <v>0</v>
      </c>
      <c r="W451" s="313">
        <f t="shared" si="28"/>
        <v>0</v>
      </c>
      <c r="X451" s="313">
        <f t="shared" si="28"/>
        <v>0</v>
      </c>
      <c r="Y451" s="313">
        <f t="shared" si="28"/>
        <v>0</v>
      </c>
      <c r="Z451" s="313">
        <f t="shared" si="28"/>
        <v>0</v>
      </c>
      <c r="AA451" s="313">
        <f t="shared" si="28"/>
        <v>0</v>
      </c>
      <c r="AB451" s="313">
        <f t="shared" si="28"/>
        <v>0</v>
      </c>
      <c r="AD451" s="313">
        <f t="shared" si="28"/>
        <v>0</v>
      </c>
      <c r="AE451" s="313">
        <f t="shared" si="28"/>
        <v>0</v>
      </c>
      <c r="AF451" s="313">
        <f t="shared" si="28"/>
        <v>0</v>
      </c>
      <c r="AG451" s="313">
        <f t="shared" si="28"/>
        <v>0</v>
      </c>
      <c r="AH451" s="313">
        <f t="shared" si="28"/>
        <v>0</v>
      </c>
      <c r="AI451" s="313">
        <f t="shared" si="28"/>
        <v>0</v>
      </c>
      <c r="AJ451" s="313">
        <f t="shared" si="28"/>
        <v>0</v>
      </c>
      <c r="AL451" s="314">
        <f t="shared" si="28"/>
        <v>0</v>
      </c>
      <c r="AM451" s="314">
        <f t="shared" si="27"/>
        <v>0</v>
      </c>
      <c r="AN451" s="314">
        <f t="shared" si="24"/>
        <v>0</v>
      </c>
      <c r="AO451" s="314">
        <f t="shared" si="24"/>
        <v>0</v>
      </c>
      <c r="AP451" s="314">
        <f t="shared" si="24"/>
        <v>0</v>
      </c>
      <c r="AR451" s="314">
        <f t="shared" si="24"/>
        <v>0</v>
      </c>
      <c r="AS451" s="314">
        <f t="shared" si="29"/>
        <v>0</v>
      </c>
      <c r="AT451" s="314">
        <f t="shared" si="25"/>
        <v>0</v>
      </c>
      <c r="AU451" s="314">
        <f t="shared" si="25"/>
        <v>0</v>
      </c>
      <c r="AV451" s="314">
        <f t="shared" si="25"/>
        <v>0</v>
      </c>
      <c r="AW451" s="314">
        <f t="shared" si="25"/>
        <v>0</v>
      </c>
    </row>
    <row r="452" spans="1:49" x14ac:dyDescent="0.25">
      <c r="A452" s="311">
        <v>4396482</v>
      </c>
      <c r="B452" s="311"/>
      <c r="C452" s="315" t="str">
        <f t="shared" si="17"/>
        <v>Obce</v>
      </c>
      <c r="D452" s="315" t="str">
        <f t="shared" si="18"/>
        <v>Domov pro seniory</v>
      </c>
      <c r="E452" s="315" t="str">
        <f t="shared" si="19"/>
        <v>PRO-SEN sociálně zdravotní služby, o.p.s.</v>
      </c>
      <c r="F452" s="313">
        <f t="shared" si="20"/>
        <v>4396482</v>
      </c>
      <c r="G452" s="313"/>
      <c r="H452" s="313"/>
      <c r="I452" s="313"/>
      <c r="J452" s="313"/>
      <c r="K452" s="313"/>
      <c r="L452" s="313"/>
      <c r="M452" s="313"/>
      <c r="N452" s="313"/>
      <c r="O452" s="313"/>
      <c r="P452" s="313"/>
      <c r="Q452" s="313"/>
      <c r="R452" s="313"/>
      <c r="S452" s="313"/>
      <c r="T452" s="313">
        <f t="shared" si="21"/>
        <v>15</v>
      </c>
      <c r="U452" s="313">
        <f t="shared" si="28"/>
        <v>1</v>
      </c>
      <c r="V452" s="313">
        <f t="shared" si="28"/>
        <v>8</v>
      </c>
      <c r="W452" s="313">
        <f t="shared" si="28"/>
        <v>6</v>
      </c>
      <c r="X452" s="313">
        <f t="shared" si="28"/>
        <v>0</v>
      </c>
      <c r="Y452" s="313">
        <f t="shared" si="28"/>
        <v>30</v>
      </c>
      <c r="Z452" s="313">
        <f t="shared" si="28"/>
        <v>0</v>
      </c>
      <c r="AA452" s="313">
        <f t="shared" si="28"/>
        <v>0</v>
      </c>
      <c r="AB452" s="313">
        <f t="shared" si="28"/>
        <v>0</v>
      </c>
      <c r="AD452" s="313">
        <f t="shared" si="28"/>
        <v>15</v>
      </c>
      <c r="AE452" s="313">
        <f t="shared" si="28"/>
        <v>1</v>
      </c>
      <c r="AF452" s="313">
        <f t="shared" si="28"/>
        <v>8</v>
      </c>
      <c r="AG452" s="313">
        <f t="shared" si="28"/>
        <v>6</v>
      </c>
      <c r="AH452" s="313">
        <f t="shared" si="28"/>
        <v>0</v>
      </c>
      <c r="AI452" s="313">
        <f t="shared" si="28"/>
        <v>30</v>
      </c>
      <c r="AJ452" s="313">
        <f t="shared" si="28"/>
        <v>0</v>
      </c>
      <c r="AL452" s="314">
        <f t="shared" si="28"/>
        <v>5868041.3059144616</v>
      </c>
      <c r="AM452" s="314">
        <f t="shared" si="27"/>
        <v>4864240.161217453</v>
      </c>
      <c r="AN452" s="314">
        <f t="shared" si="24"/>
        <v>2942268.6978299478</v>
      </c>
      <c r="AO452" s="314">
        <f t="shared" si="24"/>
        <v>2063132.9989291849</v>
      </c>
      <c r="AP452" s="314">
        <f t="shared" si="24"/>
        <v>15737683.163891047</v>
      </c>
      <c r="AR452" s="314">
        <f t="shared" si="24"/>
        <v>3368114.5546759027</v>
      </c>
      <c r="AS452" s="314">
        <f t="shared" si="29"/>
        <v>877346.06280193233</v>
      </c>
      <c r="AT452" s="314">
        <f t="shared" si="25"/>
        <v>2127713.2387706856</v>
      </c>
      <c r="AU452" s="314">
        <f t="shared" si="25"/>
        <v>1526311.8887867648</v>
      </c>
      <c r="AV452" s="314">
        <f t="shared" si="25"/>
        <v>7899485.7450352851</v>
      </c>
      <c r="AW452" s="314">
        <f t="shared" si="25"/>
        <v>7838197.4188557621</v>
      </c>
    </row>
    <row r="453" spans="1:49" x14ac:dyDescent="0.25">
      <c r="A453" s="311">
        <v>4441304</v>
      </c>
      <c r="B453" s="311"/>
      <c r="C453" s="315" t="str">
        <f t="shared" si="17"/>
        <v>NZO</v>
      </c>
      <c r="D453" s="315" t="str">
        <f t="shared" si="18"/>
        <v>Nejste na to samy - Čechy</v>
      </c>
      <c r="E453" s="315" t="str">
        <f t="shared" si="19"/>
        <v>ROZKOŠ bez RIZIKA</v>
      </c>
      <c r="F453" s="313">
        <f t="shared" si="20"/>
        <v>4441304</v>
      </c>
      <c r="G453" s="313"/>
      <c r="H453" s="313"/>
      <c r="I453" s="313"/>
      <c r="J453" s="313"/>
      <c r="K453" s="313"/>
      <c r="L453" s="313"/>
      <c r="M453" s="313"/>
      <c r="N453" s="313"/>
      <c r="O453" s="313"/>
      <c r="P453" s="313"/>
      <c r="Q453" s="313"/>
      <c r="R453" s="313"/>
      <c r="S453" s="313"/>
      <c r="T453" s="313">
        <f t="shared" si="21"/>
        <v>0</v>
      </c>
      <c r="U453" s="313">
        <f t="shared" si="28"/>
        <v>0</v>
      </c>
      <c r="V453" s="313">
        <f t="shared" si="28"/>
        <v>0</v>
      </c>
      <c r="W453" s="313">
        <f t="shared" si="28"/>
        <v>0</v>
      </c>
      <c r="X453" s="313">
        <f t="shared" si="28"/>
        <v>0</v>
      </c>
      <c r="Y453" s="313">
        <f t="shared" si="28"/>
        <v>0</v>
      </c>
      <c r="Z453" s="313">
        <f t="shared" si="28"/>
        <v>0</v>
      </c>
      <c r="AA453" s="313">
        <f t="shared" si="28"/>
        <v>0</v>
      </c>
      <c r="AB453" s="313">
        <f t="shared" si="28"/>
        <v>0</v>
      </c>
      <c r="AD453" s="313">
        <f t="shared" si="28"/>
        <v>0</v>
      </c>
      <c r="AE453" s="313">
        <f t="shared" si="28"/>
        <v>0</v>
      </c>
      <c r="AF453" s="313">
        <f t="shared" si="28"/>
        <v>0</v>
      </c>
      <c r="AG453" s="313">
        <f t="shared" si="28"/>
        <v>0</v>
      </c>
      <c r="AH453" s="313">
        <f t="shared" si="28"/>
        <v>0</v>
      </c>
      <c r="AI453" s="313">
        <f t="shared" si="28"/>
        <v>0</v>
      </c>
      <c r="AJ453" s="313">
        <f t="shared" si="28"/>
        <v>0</v>
      </c>
      <c r="AL453" s="314">
        <f t="shared" si="28"/>
        <v>0</v>
      </c>
      <c r="AM453" s="314">
        <f t="shared" si="27"/>
        <v>0</v>
      </c>
      <c r="AN453" s="314">
        <f t="shared" si="24"/>
        <v>0</v>
      </c>
      <c r="AO453" s="314">
        <f t="shared" si="24"/>
        <v>0</v>
      </c>
      <c r="AP453" s="314">
        <f t="shared" si="24"/>
        <v>0</v>
      </c>
      <c r="AR453" s="314">
        <f t="shared" si="24"/>
        <v>0</v>
      </c>
      <c r="AS453" s="314">
        <f t="shared" si="29"/>
        <v>0</v>
      </c>
      <c r="AT453" s="314">
        <f t="shared" si="25"/>
        <v>0</v>
      </c>
      <c r="AU453" s="314">
        <f t="shared" si="25"/>
        <v>0</v>
      </c>
      <c r="AV453" s="314">
        <f t="shared" si="25"/>
        <v>0</v>
      </c>
      <c r="AW453" s="314">
        <f t="shared" si="25"/>
        <v>0</v>
      </c>
    </row>
    <row r="454" spans="1:49" x14ac:dyDescent="0.25">
      <c r="A454" s="311">
        <v>4461551</v>
      </c>
      <c r="B454" s="311"/>
      <c r="C454" s="315" t="str">
        <f t="shared" si="17"/>
        <v>NZO</v>
      </c>
      <c r="D454" s="315" t="str">
        <f t="shared" si="18"/>
        <v>Oblastní charita Červený Kostelec</v>
      </c>
      <c r="E454" s="315" t="str">
        <f t="shared" si="19"/>
        <v>Oblastní charita Červený Kostelec</v>
      </c>
      <c r="F454" s="313">
        <f t="shared" si="20"/>
        <v>4461551</v>
      </c>
      <c r="G454" s="313"/>
      <c r="H454" s="313"/>
      <c r="I454" s="313"/>
      <c r="J454" s="313"/>
      <c r="K454" s="313"/>
      <c r="L454" s="313"/>
      <c r="M454" s="313"/>
      <c r="N454" s="313"/>
      <c r="O454" s="313"/>
      <c r="P454" s="313"/>
      <c r="Q454" s="313"/>
      <c r="R454" s="313"/>
      <c r="S454" s="313"/>
      <c r="T454" s="313">
        <f t="shared" si="21"/>
        <v>0</v>
      </c>
      <c r="U454" s="313">
        <f t="shared" si="28"/>
        <v>0</v>
      </c>
      <c r="V454" s="313">
        <f t="shared" si="28"/>
        <v>0</v>
      </c>
      <c r="W454" s="313">
        <f t="shared" si="28"/>
        <v>0</v>
      </c>
      <c r="X454" s="313">
        <f t="shared" si="28"/>
        <v>0</v>
      </c>
      <c r="Y454" s="313">
        <f t="shared" si="28"/>
        <v>0</v>
      </c>
      <c r="Z454" s="313">
        <f t="shared" si="28"/>
        <v>0</v>
      </c>
      <c r="AA454" s="313">
        <f t="shared" si="28"/>
        <v>0</v>
      </c>
      <c r="AB454" s="313">
        <f t="shared" si="28"/>
        <v>0</v>
      </c>
      <c r="AD454" s="313">
        <f t="shared" si="28"/>
        <v>0</v>
      </c>
      <c r="AE454" s="313">
        <f t="shared" si="28"/>
        <v>0</v>
      </c>
      <c r="AF454" s="313">
        <f t="shared" si="28"/>
        <v>0</v>
      </c>
      <c r="AG454" s="313">
        <f t="shared" si="28"/>
        <v>0</v>
      </c>
      <c r="AH454" s="313">
        <f t="shared" si="28"/>
        <v>0</v>
      </c>
      <c r="AI454" s="313">
        <f t="shared" si="28"/>
        <v>0</v>
      </c>
      <c r="AJ454" s="313">
        <f t="shared" si="28"/>
        <v>0</v>
      </c>
      <c r="AL454" s="314">
        <f t="shared" si="28"/>
        <v>0</v>
      </c>
      <c r="AM454" s="314">
        <f t="shared" si="27"/>
        <v>0</v>
      </c>
      <c r="AN454" s="314">
        <f t="shared" si="24"/>
        <v>0</v>
      </c>
      <c r="AO454" s="314">
        <f t="shared" si="24"/>
        <v>0</v>
      </c>
      <c r="AP454" s="314">
        <f t="shared" si="24"/>
        <v>0</v>
      </c>
      <c r="AR454" s="314">
        <f t="shared" si="24"/>
        <v>0</v>
      </c>
      <c r="AS454" s="314">
        <f t="shared" si="29"/>
        <v>0</v>
      </c>
      <c r="AT454" s="314">
        <f t="shared" si="25"/>
        <v>0</v>
      </c>
      <c r="AU454" s="314">
        <f t="shared" si="25"/>
        <v>0</v>
      </c>
      <c r="AV454" s="314">
        <f t="shared" si="25"/>
        <v>0</v>
      </c>
      <c r="AW454" s="314">
        <f t="shared" si="25"/>
        <v>0</v>
      </c>
    </row>
    <row r="455" spans="1:49" x14ac:dyDescent="0.25">
      <c r="A455" s="311">
        <v>4467429</v>
      </c>
      <c r="B455" s="311"/>
      <c r="C455" s="315" t="str">
        <f t="shared" si="17"/>
        <v>NZO</v>
      </c>
      <c r="D455" s="315" t="str">
        <f t="shared" si="18"/>
        <v>Centrum Síťovka</v>
      </c>
      <c r="E455" s="315" t="str">
        <f t="shared" si="19"/>
        <v>Salinger, z.s.</v>
      </c>
      <c r="F455" s="313">
        <f t="shared" si="20"/>
        <v>4467429</v>
      </c>
      <c r="G455" s="313"/>
      <c r="H455" s="313"/>
      <c r="I455" s="313"/>
      <c r="J455" s="313"/>
      <c r="K455" s="313"/>
      <c r="L455" s="313"/>
      <c r="M455" s="313"/>
      <c r="N455" s="313"/>
      <c r="O455" s="313"/>
      <c r="P455" s="313"/>
      <c r="Q455" s="313"/>
      <c r="R455" s="313"/>
      <c r="S455" s="313"/>
      <c r="T455" s="313">
        <f t="shared" si="21"/>
        <v>0</v>
      </c>
      <c r="U455" s="313">
        <f t="shared" si="28"/>
        <v>0</v>
      </c>
      <c r="V455" s="313">
        <f t="shared" si="28"/>
        <v>0</v>
      </c>
      <c r="W455" s="313">
        <f t="shared" si="28"/>
        <v>0</v>
      </c>
      <c r="X455" s="313">
        <f t="shared" si="28"/>
        <v>0</v>
      </c>
      <c r="Y455" s="313">
        <f t="shared" si="28"/>
        <v>0</v>
      </c>
      <c r="Z455" s="313">
        <f t="shared" si="28"/>
        <v>0</v>
      </c>
      <c r="AA455" s="313">
        <f t="shared" si="28"/>
        <v>42</v>
      </c>
      <c r="AB455" s="313">
        <f t="shared" si="28"/>
        <v>0</v>
      </c>
      <c r="AD455" s="313">
        <f t="shared" si="28"/>
        <v>0</v>
      </c>
      <c r="AE455" s="313">
        <f t="shared" si="28"/>
        <v>0</v>
      </c>
      <c r="AF455" s="313">
        <f t="shared" si="28"/>
        <v>0</v>
      </c>
      <c r="AG455" s="313">
        <f t="shared" si="28"/>
        <v>0</v>
      </c>
      <c r="AH455" s="313">
        <f t="shared" si="28"/>
        <v>0</v>
      </c>
      <c r="AI455" s="313">
        <f t="shared" si="28"/>
        <v>0</v>
      </c>
      <c r="AJ455" s="313">
        <f t="shared" si="28"/>
        <v>42</v>
      </c>
      <c r="AL455" s="314">
        <f t="shared" si="28"/>
        <v>0</v>
      </c>
      <c r="AM455" s="314">
        <f t="shared" si="27"/>
        <v>0</v>
      </c>
      <c r="AN455" s="314">
        <f t="shared" si="24"/>
        <v>0</v>
      </c>
      <c r="AO455" s="314">
        <f t="shared" si="24"/>
        <v>0</v>
      </c>
      <c r="AP455" s="314">
        <f t="shared" si="24"/>
        <v>0</v>
      </c>
      <c r="AR455" s="314">
        <f t="shared" si="24"/>
        <v>0</v>
      </c>
      <c r="AS455" s="314">
        <f t="shared" si="29"/>
        <v>0</v>
      </c>
      <c r="AT455" s="314">
        <f t="shared" si="25"/>
        <v>0</v>
      </c>
      <c r="AU455" s="314">
        <f t="shared" si="25"/>
        <v>0</v>
      </c>
      <c r="AV455" s="314">
        <f t="shared" si="25"/>
        <v>0</v>
      </c>
      <c r="AW455" s="314">
        <f t="shared" si="25"/>
        <v>0</v>
      </c>
    </row>
    <row r="456" spans="1:49" x14ac:dyDescent="0.25">
      <c r="A456" s="311">
        <v>4497017</v>
      </c>
      <c r="B456" s="311"/>
      <c r="C456" s="315" t="str">
        <f t="shared" si="17"/>
        <v>NZO</v>
      </c>
      <c r="D456" s="315" t="str">
        <f t="shared" si="18"/>
        <v>Věra Kosinová - Daneta, zařízení pro zdravotně postižené</v>
      </c>
      <c r="E456" s="315" t="str">
        <f t="shared" si="19"/>
        <v>Věra Kosinová - Daneta, zařízení pro zdravotně postižené</v>
      </c>
      <c r="F456" s="313">
        <f t="shared" si="20"/>
        <v>4497017</v>
      </c>
      <c r="G456" s="313"/>
      <c r="H456" s="313"/>
      <c r="I456" s="313"/>
      <c r="J456" s="313"/>
      <c r="K456" s="313"/>
      <c r="L456" s="313"/>
      <c r="M456" s="313"/>
      <c r="N456" s="313"/>
      <c r="O456" s="313"/>
      <c r="P456" s="313"/>
      <c r="Q456" s="313"/>
      <c r="R456" s="313"/>
      <c r="S456" s="313"/>
      <c r="T456" s="313">
        <f t="shared" si="21"/>
        <v>5.5</v>
      </c>
      <c r="U456" s="313">
        <f t="shared" si="28"/>
        <v>0.5</v>
      </c>
      <c r="V456" s="313">
        <f t="shared" si="28"/>
        <v>5</v>
      </c>
      <c r="W456" s="313">
        <f t="shared" si="28"/>
        <v>0</v>
      </c>
      <c r="X456" s="313">
        <f t="shared" si="28"/>
        <v>0</v>
      </c>
      <c r="Y456" s="313">
        <f t="shared" si="28"/>
        <v>8</v>
      </c>
      <c r="Z456" s="313">
        <f t="shared" si="28"/>
        <v>0</v>
      </c>
      <c r="AA456" s="313">
        <f t="shared" si="28"/>
        <v>0</v>
      </c>
      <c r="AB456" s="313">
        <f t="shared" si="28"/>
        <v>0</v>
      </c>
      <c r="AD456" s="313">
        <f t="shared" si="28"/>
        <v>5.5</v>
      </c>
      <c r="AE456" s="313">
        <f t="shared" si="28"/>
        <v>0.5</v>
      </c>
      <c r="AF456" s="313">
        <f t="shared" si="28"/>
        <v>5</v>
      </c>
      <c r="AG456" s="313">
        <f t="shared" si="28"/>
        <v>0</v>
      </c>
      <c r="AH456" s="313">
        <f t="shared" si="28"/>
        <v>0</v>
      </c>
      <c r="AI456" s="313">
        <f t="shared" si="28"/>
        <v>8</v>
      </c>
      <c r="AJ456" s="313">
        <f t="shared" si="28"/>
        <v>0</v>
      </c>
      <c r="AL456" s="314">
        <f t="shared" si="28"/>
        <v>3539520.810154919</v>
      </c>
      <c r="AM456" s="314">
        <f t="shared" si="27"/>
        <v>0</v>
      </c>
      <c r="AN456" s="314">
        <f t="shared" si="24"/>
        <v>442628.61752516258</v>
      </c>
      <c r="AO456" s="314">
        <f t="shared" si="24"/>
        <v>146257.781067809</v>
      </c>
      <c r="AP456" s="314">
        <f t="shared" si="24"/>
        <v>4128407.2087478908</v>
      </c>
      <c r="AR456" s="314">
        <f t="shared" si="24"/>
        <v>409851.97164948453</v>
      </c>
      <c r="AS456" s="314">
        <f t="shared" si="29"/>
        <v>0</v>
      </c>
      <c r="AT456" s="314">
        <f t="shared" si="25"/>
        <v>346258.16000000003</v>
      </c>
      <c r="AU456" s="314">
        <f t="shared" si="25"/>
        <v>150451.5</v>
      </c>
      <c r="AV456" s="314">
        <f t="shared" si="25"/>
        <v>906561.63164948463</v>
      </c>
      <c r="AW456" s="314">
        <f t="shared" si="25"/>
        <v>3221845.5770984059</v>
      </c>
    </row>
    <row r="457" spans="1:49" x14ac:dyDescent="0.25">
      <c r="A457" s="311">
        <v>4526227</v>
      </c>
      <c r="B457" s="311"/>
      <c r="C457" s="315" t="str">
        <f t="shared" si="17"/>
        <v>NZO</v>
      </c>
      <c r="D457" s="315" t="str">
        <f t="shared" si="18"/>
        <v>Sociálně aktivizační služba pro rodiny s dětmi Klub Labyrint</v>
      </c>
      <c r="E457" s="315" t="str">
        <f t="shared" si="19"/>
        <v>Farní charita Dvůr Králové nad Labem</v>
      </c>
      <c r="F457" s="313">
        <f t="shared" si="20"/>
        <v>4526227</v>
      </c>
      <c r="G457" s="313"/>
      <c r="H457" s="313"/>
      <c r="I457" s="313"/>
      <c r="J457" s="313"/>
      <c r="K457" s="313"/>
      <c r="L457" s="313"/>
      <c r="M457" s="313"/>
      <c r="N457" s="313"/>
      <c r="O457" s="313"/>
      <c r="P457" s="313"/>
      <c r="Q457" s="313"/>
      <c r="R457" s="313"/>
      <c r="S457" s="313"/>
      <c r="T457" s="313">
        <f t="shared" si="21"/>
        <v>2.95</v>
      </c>
      <c r="U457" s="313">
        <f t="shared" si="28"/>
        <v>1.5</v>
      </c>
      <c r="V457" s="313">
        <f t="shared" si="28"/>
        <v>1.45</v>
      </c>
      <c r="W457" s="313">
        <f t="shared" si="28"/>
        <v>0</v>
      </c>
      <c r="X457" s="313">
        <f t="shared" si="28"/>
        <v>0</v>
      </c>
      <c r="Y457" s="313">
        <f t="shared" si="28"/>
        <v>0</v>
      </c>
      <c r="Z457" s="313">
        <f t="shared" si="28"/>
        <v>29</v>
      </c>
      <c r="AA457" s="313">
        <f t="shared" si="28"/>
        <v>0</v>
      </c>
      <c r="AB457" s="313">
        <f t="shared" si="28"/>
        <v>0</v>
      </c>
      <c r="AD457" s="313">
        <f t="shared" si="28"/>
        <v>2.95</v>
      </c>
      <c r="AE457" s="313">
        <f t="shared" si="28"/>
        <v>1.5</v>
      </c>
      <c r="AF457" s="313">
        <f t="shared" si="28"/>
        <v>1.45</v>
      </c>
      <c r="AG457" s="313">
        <f t="shared" si="28"/>
        <v>0</v>
      </c>
      <c r="AH457" s="313">
        <f t="shared" si="28"/>
        <v>0</v>
      </c>
      <c r="AI457" s="313">
        <f t="shared" si="28"/>
        <v>0</v>
      </c>
      <c r="AJ457" s="313">
        <f t="shared" si="28"/>
        <v>0</v>
      </c>
      <c r="AL457" s="314">
        <f t="shared" si="28"/>
        <v>1901784.758210635</v>
      </c>
      <c r="AM457" s="314">
        <f t="shared" si="27"/>
        <v>0</v>
      </c>
      <c r="AN457" s="314">
        <f t="shared" si="24"/>
        <v>129707.88107792627</v>
      </c>
      <c r="AO457" s="314">
        <f t="shared" si="24"/>
        <v>0</v>
      </c>
      <c r="AP457" s="314">
        <f t="shared" si="24"/>
        <v>2031492.6392885614</v>
      </c>
      <c r="AR457" s="314">
        <f t="shared" si="24"/>
        <v>0</v>
      </c>
      <c r="AS457" s="314">
        <f t="shared" si="29"/>
        <v>0</v>
      </c>
      <c r="AT457" s="314">
        <f t="shared" si="25"/>
        <v>0</v>
      </c>
      <c r="AU457" s="314">
        <f t="shared" si="25"/>
        <v>0</v>
      </c>
      <c r="AV457" s="314">
        <f t="shared" si="25"/>
        <v>0</v>
      </c>
      <c r="AW457" s="314">
        <f t="shared" si="25"/>
        <v>2031492.6392885614</v>
      </c>
    </row>
    <row r="458" spans="1:49" x14ac:dyDescent="0.25">
      <c r="A458" s="311">
        <v>4531517</v>
      </c>
      <c r="B458" s="311"/>
      <c r="C458" s="315" t="str">
        <f t="shared" si="17"/>
        <v>Obce</v>
      </c>
      <c r="D458" s="315" t="str">
        <f t="shared" si="18"/>
        <v>Centrum denních služeb Domovinka</v>
      </c>
      <c r="E458" s="315" t="str">
        <f t="shared" si="19"/>
        <v>Město Kostelec nad Orlicí</v>
      </c>
      <c r="F458" s="313">
        <f t="shared" si="20"/>
        <v>4531517</v>
      </c>
      <c r="G458" s="313"/>
      <c r="H458" s="313"/>
      <c r="I458" s="313"/>
      <c r="J458" s="313"/>
      <c r="K458" s="313"/>
      <c r="L458" s="313"/>
      <c r="M458" s="313"/>
      <c r="N458" s="313"/>
      <c r="O458" s="313"/>
      <c r="P458" s="313"/>
      <c r="Q458" s="313"/>
      <c r="R458" s="313"/>
      <c r="S458" s="313"/>
      <c r="T458" s="313">
        <f t="shared" si="21"/>
        <v>1.3</v>
      </c>
      <c r="U458" s="313">
        <f t="shared" si="28"/>
        <v>0.3</v>
      </c>
      <c r="V458" s="313">
        <f t="shared" si="28"/>
        <v>1</v>
      </c>
      <c r="W458" s="313">
        <f t="shared" si="28"/>
        <v>0</v>
      </c>
      <c r="X458" s="313">
        <f t="shared" si="28"/>
        <v>0</v>
      </c>
      <c r="Y458" s="313">
        <f t="shared" si="28"/>
        <v>0</v>
      </c>
      <c r="Z458" s="313">
        <f t="shared" si="28"/>
        <v>0</v>
      </c>
      <c r="AA458" s="313">
        <f t="shared" si="28"/>
        <v>9</v>
      </c>
      <c r="AB458" s="313">
        <f t="shared" si="28"/>
        <v>0</v>
      </c>
      <c r="AD458" s="313">
        <f t="shared" si="28"/>
        <v>1.3</v>
      </c>
      <c r="AE458" s="313">
        <f t="shared" si="28"/>
        <v>0.3</v>
      </c>
      <c r="AF458" s="313">
        <f t="shared" si="28"/>
        <v>1</v>
      </c>
      <c r="AG458" s="313">
        <f t="shared" si="28"/>
        <v>0</v>
      </c>
      <c r="AH458" s="313">
        <f t="shared" si="28"/>
        <v>0</v>
      </c>
      <c r="AI458" s="313">
        <f t="shared" si="28"/>
        <v>0</v>
      </c>
      <c r="AJ458" s="313">
        <f t="shared" si="28"/>
        <v>9</v>
      </c>
      <c r="AL458" s="314">
        <f t="shared" si="28"/>
        <v>742611.51585557708</v>
      </c>
      <c r="AM458" s="314">
        <f t="shared" si="27"/>
        <v>0</v>
      </c>
      <c r="AN458" s="314">
        <f t="shared" si="24"/>
        <v>167434.53350387808</v>
      </c>
      <c r="AO458" s="314">
        <f t="shared" si="24"/>
        <v>4750.4975841096584</v>
      </c>
      <c r="AP458" s="314">
        <f t="shared" si="24"/>
        <v>914796.54694356478</v>
      </c>
      <c r="AR458" s="314">
        <f t="shared" si="24"/>
        <v>113601</v>
      </c>
      <c r="AS458" s="314">
        <f t="shared" si="29"/>
        <v>0</v>
      </c>
      <c r="AT458" s="314">
        <f t="shared" si="25"/>
        <v>0</v>
      </c>
      <c r="AU458" s="314">
        <f t="shared" si="25"/>
        <v>0</v>
      </c>
      <c r="AV458" s="314">
        <f t="shared" si="25"/>
        <v>113601</v>
      </c>
      <c r="AW458" s="314">
        <f t="shared" si="25"/>
        <v>801195.54694356478</v>
      </c>
    </row>
    <row r="459" spans="1:49" x14ac:dyDescent="0.25">
      <c r="A459" s="311">
        <v>4533728</v>
      </c>
      <c r="B459" s="311"/>
      <c r="C459" s="315" t="str">
        <f t="shared" si="17"/>
        <v>NZO</v>
      </c>
      <c r="D459" s="315" t="str">
        <f t="shared" si="18"/>
        <v>Komunitní centrum ZIP</v>
      </c>
      <c r="E459" s="315" t="str">
        <f t="shared" si="19"/>
        <v>Salinger, z.s.</v>
      </c>
      <c r="F459" s="313">
        <f t="shared" si="20"/>
        <v>4533728</v>
      </c>
      <c r="G459" s="313"/>
      <c r="H459" s="313"/>
      <c r="I459" s="313"/>
      <c r="J459" s="313"/>
      <c r="K459" s="313"/>
      <c r="L459" s="313"/>
      <c r="M459" s="313"/>
      <c r="N459" s="313"/>
      <c r="O459" s="313"/>
      <c r="P459" s="313"/>
      <c r="Q459" s="313"/>
      <c r="R459" s="313"/>
      <c r="S459" s="313"/>
      <c r="T459" s="313">
        <f t="shared" si="21"/>
        <v>6.55</v>
      </c>
      <c r="U459" s="313">
        <f t="shared" si="28"/>
        <v>5</v>
      </c>
      <c r="V459" s="313">
        <f t="shared" si="28"/>
        <v>1.5</v>
      </c>
      <c r="W459" s="313">
        <f t="shared" si="28"/>
        <v>0</v>
      </c>
      <c r="X459" s="313">
        <f t="shared" si="28"/>
        <v>0.05</v>
      </c>
      <c r="Y459" s="313">
        <f t="shared" si="28"/>
        <v>0</v>
      </c>
      <c r="Z459" s="313">
        <f t="shared" si="28"/>
        <v>128</v>
      </c>
      <c r="AA459" s="313">
        <f t="shared" si="28"/>
        <v>40</v>
      </c>
      <c r="AB459" s="313">
        <f t="shared" si="28"/>
        <v>0</v>
      </c>
      <c r="AD459" s="313">
        <f t="shared" si="28"/>
        <v>6.55</v>
      </c>
      <c r="AE459" s="313">
        <f t="shared" si="28"/>
        <v>5</v>
      </c>
      <c r="AF459" s="313">
        <f t="shared" si="28"/>
        <v>1.5</v>
      </c>
      <c r="AG459" s="313">
        <f t="shared" si="28"/>
        <v>0</v>
      </c>
      <c r="AH459" s="313">
        <f t="shared" si="28"/>
        <v>0.05</v>
      </c>
      <c r="AI459" s="313">
        <f t="shared" si="28"/>
        <v>0</v>
      </c>
      <c r="AJ459" s="313">
        <f t="shared" si="28"/>
        <v>40</v>
      </c>
      <c r="AL459" s="314">
        <f t="shared" si="28"/>
        <v>4222606.8360270029</v>
      </c>
      <c r="AM459" s="314">
        <f t="shared" si="27"/>
        <v>0</v>
      </c>
      <c r="AN459" s="314">
        <f t="shared" si="24"/>
        <v>287995.46476624307</v>
      </c>
      <c r="AO459" s="314">
        <f t="shared" si="24"/>
        <v>0</v>
      </c>
      <c r="AP459" s="314">
        <f t="shared" si="24"/>
        <v>4510602.3007932464</v>
      </c>
      <c r="AR459" s="314">
        <f t="shared" si="24"/>
        <v>0</v>
      </c>
      <c r="AS459" s="314">
        <f t="shared" si="29"/>
        <v>0</v>
      </c>
      <c r="AT459" s="314">
        <f t="shared" si="25"/>
        <v>0</v>
      </c>
      <c r="AU459" s="314">
        <f t="shared" si="25"/>
        <v>0</v>
      </c>
      <c r="AV459" s="314">
        <f t="shared" si="25"/>
        <v>0</v>
      </c>
      <c r="AW459" s="314">
        <f t="shared" si="25"/>
        <v>4510602.3007932464</v>
      </c>
    </row>
    <row r="460" spans="1:49" x14ac:dyDescent="0.25">
      <c r="A460" s="311">
        <v>4547815</v>
      </c>
      <c r="B460" s="311"/>
      <c r="C460" s="315" t="str">
        <f t="shared" si="17"/>
        <v>Obce</v>
      </c>
      <c r="D460" s="315" t="str">
        <f t="shared" si="18"/>
        <v>DUHA o. p. s. - centrum denních služeb</v>
      </c>
      <c r="E460" s="315" t="str">
        <f t="shared" si="19"/>
        <v>DUHA o. p. s.</v>
      </c>
      <c r="F460" s="313">
        <f t="shared" si="20"/>
        <v>4547815</v>
      </c>
      <c r="G460" s="313"/>
      <c r="H460" s="313"/>
      <c r="I460" s="313"/>
      <c r="J460" s="313"/>
      <c r="K460" s="313"/>
      <c r="L460" s="313"/>
      <c r="M460" s="313"/>
      <c r="N460" s="313"/>
      <c r="O460" s="313"/>
      <c r="P460" s="313"/>
      <c r="Q460" s="313"/>
      <c r="R460" s="313"/>
      <c r="S460" s="313"/>
      <c r="T460" s="313">
        <f t="shared" si="21"/>
        <v>2.0499999999999998</v>
      </c>
      <c r="U460" s="313">
        <f t="shared" si="28"/>
        <v>0.35</v>
      </c>
      <c r="V460" s="313">
        <f t="shared" si="28"/>
        <v>1.7</v>
      </c>
      <c r="W460" s="313">
        <f t="shared" si="28"/>
        <v>0</v>
      </c>
      <c r="X460" s="313">
        <f t="shared" si="28"/>
        <v>0</v>
      </c>
      <c r="Y460" s="313">
        <f t="shared" si="28"/>
        <v>0</v>
      </c>
      <c r="Z460" s="313">
        <f t="shared" si="28"/>
        <v>0</v>
      </c>
      <c r="AA460" s="313">
        <f t="shared" si="28"/>
        <v>14</v>
      </c>
      <c r="AB460" s="313">
        <f t="shared" si="28"/>
        <v>0</v>
      </c>
      <c r="AD460" s="313">
        <f t="shared" si="28"/>
        <v>2.0499999999999998</v>
      </c>
      <c r="AE460" s="313">
        <f t="shared" si="28"/>
        <v>0.35</v>
      </c>
      <c r="AF460" s="313">
        <f t="shared" si="28"/>
        <v>1.7</v>
      </c>
      <c r="AG460" s="313">
        <f t="shared" si="28"/>
        <v>0</v>
      </c>
      <c r="AH460" s="313">
        <f t="shared" si="28"/>
        <v>0</v>
      </c>
      <c r="AI460" s="313">
        <f t="shared" si="28"/>
        <v>0</v>
      </c>
      <c r="AJ460" s="313">
        <f t="shared" si="28"/>
        <v>14</v>
      </c>
      <c r="AL460" s="314">
        <f t="shared" si="28"/>
        <v>1171041.2365414868</v>
      </c>
      <c r="AM460" s="314">
        <f t="shared" si="27"/>
        <v>0</v>
      </c>
      <c r="AN460" s="314">
        <f t="shared" si="24"/>
        <v>260453.71878381033</v>
      </c>
      <c r="AO460" s="314">
        <f t="shared" si="24"/>
        <v>7389.6629086150242</v>
      </c>
      <c r="AP460" s="314">
        <f t="shared" si="24"/>
        <v>1438884.6182339122</v>
      </c>
      <c r="AR460" s="314">
        <f t="shared" si="24"/>
        <v>193121.69999999998</v>
      </c>
      <c r="AS460" s="314">
        <f t="shared" si="29"/>
        <v>0</v>
      </c>
      <c r="AT460" s="314">
        <f t="shared" si="25"/>
        <v>0</v>
      </c>
      <c r="AU460" s="314">
        <f t="shared" si="25"/>
        <v>0</v>
      </c>
      <c r="AV460" s="314">
        <f t="shared" si="25"/>
        <v>193121.69999999998</v>
      </c>
      <c r="AW460" s="314">
        <f t="shared" si="25"/>
        <v>1245762.9182339122</v>
      </c>
    </row>
    <row r="461" spans="1:49" x14ac:dyDescent="0.25">
      <c r="A461" s="311">
        <v>4659873</v>
      </c>
      <c r="B461" s="311"/>
      <c r="C461" s="315" t="str">
        <f t="shared" si="17"/>
        <v>NZO</v>
      </c>
      <c r="D461" s="315" t="str">
        <f t="shared" si="18"/>
        <v>Sociální rehabilitace Doprovázení</v>
      </c>
      <c r="E461" s="315" t="str">
        <f t="shared" si="19"/>
        <v>Salesiánský klub mládeže, z. s. Centrum Don Bosco</v>
      </c>
      <c r="F461" s="313">
        <f t="shared" si="20"/>
        <v>4659873</v>
      </c>
      <c r="G461" s="313"/>
      <c r="H461" s="313"/>
      <c r="I461" s="313"/>
      <c r="J461" s="313"/>
      <c r="K461" s="313"/>
      <c r="L461" s="313"/>
      <c r="M461" s="313"/>
      <c r="N461" s="313"/>
      <c r="O461" s="313"/>
      <c r="P461" s="313"/>
      <c r="Q461" s="313"/>
      <c r="R461" s="313"/>
      <c r="S461" s="313"/>
      <c r="T461" s="313">
        <f t="shared" si="21"/>
        <v>2</v>
      </c>
      <c r="U461" s="313">
        <f t="shared" si="28"/>
        <v>2</v>
      </c>
      <c r="V461" s="313">
        <f t="shared" si="28"/>
        <v>0</v>
      </c>
      <c r="W461" s="313">
        <f t="shared" si="28"/>
        <v>0</v>
      </c>
      <c r="X461" s="313">
        <f t="shared" si="28"/>
        <v>0</v>
      </c>
      <c r="Y461" s="313">
        <f t="shared" si="28"/>
        <v>0</v>
      </c>
      <c r="Z461" s="313">
        <f t="shared" si="28"/>
        <v>55</v>
      </c>
      <c r="AA461" s="313">
        <f t="shared" si="28"/>
        <v>0</v>
      </c>
      <c r="AB461" s="313">
        <f t="shared" si="28"/>
        <v>0</v>
      </c>
      <c r="AD461" s="313">
        <f t="shared" si="28"/>
        <v>2</v>
      </c>
      <c r="AE461" s="313">
        <f t="shared" si="28"/>
        <v>2</v>
      </c>
      <c r="AF461" s="313">
        <f t="shared" si="28"/>
        <v>0</v>
      </c>
      <c r="AG461" s="313">
        <f t="shared" si="28"/>
        <v>0</v>
      </c>
      <c r="AH461" s="313">
        <f t="shared" si="28"/>
        <v>0</v>
      </c>
      <c r="AI461" s="313">
        <f t="shared" si="28"/>
        <v>0</v>
      </c>
      <c r="AJ461" s="313">
        <f t="shared" si="28"/>
        <v>0</v>
      </c>
      <c r="AL461" s="314">
        <f t="shared" si="28"/>
        <v>1343254.0407094306</v>
      </c>
      <c r="AM461" s="314">
        <f t="shared" si="27"/>
        <v>0</v>
      </c>
      <c r="AN461" s="314">
        <f t="shared" si="24"/>
        <v>85561.970719850447</v>
      </c>
      <c r="AO461" s="314">
        <f t="shared" si="24"/>
        <v>0</v>
      </c>
      <c r="AP461" s="314">
        <f t="shared" si="24"/>
        <v>1428816.011429281</v>
      </c>
      <c r="AR461" s="314">
        <f t="shared" si="24"/>
        <v>0</v>
      </c>
      <c r="AS461" s="314">
        <f t="shared" si="29"/>
        <v>0</v>
      </c>
      <c r="AT461" s="314">
        <f t="shared" si="25"/>
        <v>0</v>
      </c>
      <c r="AU461" s="314">
        <f t="shared" si="25"/>
        <v>0</v>
      </c>
      <c r="AV461" s="314">
        <f t="shared" si="25"/>
        <v>0</v>
      </c>
      <c r="AW461" s="314">
        <f t="shared" si="25"/>
        <v>1428816.011429281</v>
      </c>
    </row>
    <row r="462" spans="1:49" x14ac:dyDescent="0.25">
      <c r="A462" s="311">
        <v>4699567</v>
      </c>
      <c r="B462" s="311"/>
      <c r="C462" s="315" t="str">
        <f t="shared" si="17"/>
        <v>NZO</v>
      </c>
      <c r="D462" s="315" t="str">
        <f t="shared" si="18"/>
        <v>Dům Matky Terezy Hradec Králové</v>
      </c>
      <c r="E462" s="315" t="str">
        <f t="shared" si="19"/>
        <v>Oblastní charita Hradec Králové</v>
      </c>
      <c r="F462" s="313">
        <f t="shared" si="20"/>
        <v>4699567</v>
      </c>
      <c r="G462" s="313"/>
      <c r="H462" s="313"/>
      <c r="I462" s="313"/>
      <c r="J462" s="313"/>
      <c r="K462" s="313"/>
      <c r="L462" s="313"/>
      <c r="M462" s="313"/>
      <c r="N462" s="313"/>
      <c r="O462" s="313"/>
      <c r="P462" s="313"/>
      <c r="Q462" s="313"/>
      <c r="R462" s="313"/>
      <c r="S462" s="313"/>
      <c r="T462" s="313">
        <f t="shared" si="21"/>
        <v>6.8</v>
      </c>
      <c r="U462" s="313">
        <f t="shared" si="28"/>
        <v>1</v>
      </c>
      <c r="V462" s="313">
        <f t="shared" si="28"/>
        <v>5.8</v>
      </c>
      <c r="W462" s="313">
        <f t="shared" si="28"/>
        <v>0</v>
      </c>
      <c r="X462" s="313">
        <f t="shared" si="28"/>
        <v>0</v>
      </c>
      <c r="Y462" s="313">
        <f t="shared" si="28"/>
        <v>32</v>
      </c>
      <c r="Z462" s="313">
        <f t="shared" si="28"/>
        <v>0</v>
      </c>
      <c r="AA462" s="313">
        <f t="shared" si="28"/>
        <v>0</v>
      </c>
      <c r="AB462" s="313">
        <f t="shared" si="28"/>
        <v>0</v>
      </c>
      <c r="AD462" s="313">
        <f t="shared" si="28"/>
        <v>6.8</v>
      </c>
      <c r="AE462" s="313">
        <f t="shared" si="28"/>
        <v>1</v>
      </c>
      <c r="AF462" s="313">
        <f t="shared" si="28"/>
        <v>5.8</v>
      </c>
      <c r="AG462" s="313">
        <f t="shared" si="28"/>
        <v>0</v>
      </c>
      <c r="AH462" s="313">
        <f t="shared" si="28"/>
        <v>0</v>
      </c>
      <c r="AI462" s="313">
        <f t="shared" si="28"/>
        <v>32</v>
      </c>
      <c r="AJ462" s="313">
        <f t="shared" si="28"/>
        <v>0</v>
      </c>
      <c r="AL462" s="314">
        <f t="shared" ref="AL462:AW477" si="30">SUMIFS(AL$4:AL$337,$A$4:$A$337,$A462)</f>
        <v>4219900.1888792161</v>
      </c>
      <c r="AM462" s="314">
        <f t="shared" si="30"/>
        <v>0</v>
      </c>
      <c r="AN462" s="314">
        <f t="shared" si="30"/>
        <v>834231.36994117859</v>
      </c>
      <c r="AO462" s="314">
        <f t="shared" si="30"/>
        <v>0</v>
      </c>
      <c r="AP462" s="314">
        <f t="shared" si="30"/>
        <v>5054131.5588203948</v>
      </c>
      <c r="AR462" s="314">
        <f t="shared" si="30"/>
        <v>0</v>
      </c>
      <c r="AS462" s="314">
        <f t="shared" si="30"/>
        <v>0</v>
      </c>
      <c r="AT462" s="314">
        <f t="shared" si="30"/>
        <v>727523.7333333334</v>
      </c>
      <c r="AU462" s="314">
        <f t="shared" si="30"/>
        <v>0</v>
      </c>
      <c r="AV462" s="314">
        <f t="shared" si="30"/>
        <v>727523.7333333334</v>
      </c>
      <c r="AW462" s="314">
        <f t="shared" si="30"/>
        <v>4326607.8254870614</v>
      </c>
    </row>
    <row r="463" spans="1:49" x14ac:dyDescent="0.25">
      <c r="A463" s="311">
        <v>4720531</v>
      </c>
      <c r="B463" s="311"/>
      <c r="C463" s="315" t="str">
        <f t="shared" si="17"/>
        <v>Obce</v>
      </c>
      <c r="D463" s="315" t="str">
        <f t="shared" si="18"/>
        <v>Noclehárna</v>
      </c>
      <c r="E463" s="315" t="str">
        <f t="shared" si="19"/>
        <v>Sociální služby města Jičína</v>
      </c>
      <c r="F463" s="313">
        <f t="shared" si="20"/>
        <v>4720531</v>
      </c>
      <c r="G463" s="313"/>
      <c r="H463" s="313"/>
      <c r="I463" s="313"/>
      <c r="J463" s="313"/>
      <c r="K463" s="313"/>
      <c r="L463" s="313"/>
      <c r="M463" s="313"/>
      <c r="N463" s="313"/>
      <c r="O463" s="313"/>
      <c r="P463" s="313"/>
      <c r="Q463" s="313"/>
      <c r="R463" s="313"/>
      <c r="S463" s="313"/>
      <c r="T463" s="313">
        <f t="shared" si="21"/>
        <v>1.25</v>
      </c>
      <c r="U463" s="313">
        <f t="shared" ref="U463:AP478" si="31">SUMIFS(U$4:U$337,$A$4:$A$337,$A463)</f>
        <v>0</v>
      </c>
      <c r="V463" s="313">
        <f t="shared" si="31"/>
        <v>1.25</v>
      </c>
      <c r="W463" s="313">
        <f t="shared" si="31"/>
        <v>0</v>
      </c>
      <c r="X463" s="313">
        <f t="shared" si="31"/>
        <v>0</v>
      </c>
      <c r="Y463" s="313">
        <f t="shared" si="31"/>
        <v>6</v>
      </c>
      <c r="Z463" s="313">
        <f t="shared" si="31"/>
        <v>0</v>
      </c>
      <c r="AA463" s="313">
        <f t="shared" si="31"/>
        <v>0</v>
      </c>
      <c r="AB463" s="313">
        <f t="shared" si="31"/>
        <v>0</v>
      </c>
      <c r="AD463" s="313">
        <f t="shared" si="31"/>
        <v>1.25</v>
      </c>
      <c r="AE463" s="313">
        <f t="shared" si="31"/>
        <v>0</v>
      </c>
      <c r="AF463" s="313">
        <f t="shared" si="31"/>
        <v>1.25</v>
      </c>
      <c r="AG463" s="313">
        <f t="shared" si="31"/>
        <v>0</v>
      </c>
      <c r="AH463" s="313">
        <f t="shared" si="31"/>
        <v>0</v>
      </c>
      <c r="AI463" s="313">
        <f t="shared" si="31"/>
        <v>6</v>
      </c>
      <c r="AJ463" s="313">
        <f t="shared" si="31"/>
        <v>0</v>
      </c>
      <c r="AL463" s="314">
        <f t="shared" si="31"/>
        <v>848063.84712879639</v>
      </c>
      <c r="AM463" s="314">
        <f t="shared" si="31"/>
        <v>0</v>
      </c>
      <c r="AN463" s="314">
        <f t="shared" si="31"/>
        <v>128451.20824586053</v>
      </c>
      <c r="AO463" s="314">
        <f t="shared" si="31"/>
        <v>0</v>
      </c>
      <c r="AP463" s="314">
        <f t="shared" si="31"/>
        <v>976515.05537465692</v>
      </c>
      <c r="AR463" s="314">
        <f t="shared" si="30"/>
        <v>0</v>
      </c>
      <c r="AS463" s="314">
        <f t="shared" si="30"/>
        <v>0</v>
      </c>
      <c r="AT463" s="314">
        <f t="shared" si="30"/>
        <v>41952</v>
      </c>
      <c r="AU463" s="314">
        <f t="shared" si="30"/>
        <v>0</v>
      </c>
      <c r="AV463" s="314">
        <f t="shared" si="30"/>
        <v>41952</v>
      </c>
      <c r="AW463" s="314">
        <f t="shared" si="30"/>
        <v>934563.05537465692</v>
      </c>
    </row>
    <row r="464" spans="1:49" x14ac:dyDescent="0.25">
      <c r="A464" s="311">
        <v>4721932</v>
      </c>
      <c r="B464" s="311"/>
      <c r="C464" s="315" t="str">
        <f t="shared" si="17"/>
        <v>PO KHK</v>
      </c>
      <c r="D464" s="315" t="str">
        <f t="shared" si="18"/>
        <v>Domov bez bariér</v>
      </c>
      <c r="E464" s="315" t="str">
        <f t="shared" si="19"/>
        <v>Domov bez bariér</v>
      </c>
      <c r="F464" s="313">
        <f t="shared" si="20"/>
        <v>4721932</v>
      </c>
      <c r="G464" s="313"/>
      <c r="H464" s="313"/>
      <c r="I464" s="313"/>
      <c r="J464" s="313"/>
      <c r="K464" s="313"/>
      <c r="L464" s="313"/>
      <c r="M464" s="313"/>
      <c r="N464" s="313"/>
      <c r="O464" s="313"/>
      <c r="P464" s="313"/>
      <c r="Q464" s="313"/>
      <c r="R464" s="313"/>
      <c r="S464" s="313"/>
      <c r="T464" s="313">
        <f t="shared" si="21"/>
        <v>53.3</v>
      </c>
      <c r="U464" s="313">
        <f t="shared" si="31"/>
        <v>3</v>
      </c>
      <c r="V464" s="313">
        <f t="shared" si="31"/>
        <v>37.700000000000003</v>
      </c>
      <c r="W464" s="313">
        <f t="shared" si="31"/>
        <v>12.6</v>
      </c>
      <c r="X464" s="313">
        <f t="shared" si="31"/>
        <v>0</v>
      </c>
      <c r="Y464" s="313">
        <f t="shared" si="31"/>
        <v>79</v>
      </c>
      <c r="Z464" s="313">
        <f t="shared" si="31"/>
        <v>0</v>
      </c>
      <c r="AA464" s="313">
        <f t="shared" si="31"/>
        <v>0</v>
      </c>
      <c r="AB464" s="313">
        <f t="shared" si="31"/>
        <v>0</v>
      </c>
      <c r="AD464" s="313">
        <f t="shared" si="31"/>
        <v>53.3</v>
      </c>
      <c r="AE464" s="313">
        <f t="shared" si="31"/>
        <v>3</v>
      </c>
      <c r="AF464" s="313">
        <f t="shared" si="31"/>
        <v>37.700000000000003</v>
      </c>
      <c r="AG464" s="313">
        <f t="shared" si="31"/>
        <v>12.6</v>
      </c>
      <c r="AH464" s="313">
        <f t="shared" si="31"/>
        <v>0</v>
      </c>
      <c r="AI464" s="313">
        <f t="shared" si="31"/>
        <v>79</v>
      </c>
      <c r="AJ464" s="313">
        <f t="shared" si="31"/>
        <v>0</v>
      </c>
      <c r="AL464" s="314">
        <f t="shared" si="31"/>
        <v>26027956.131064102</v>
      </c>
      <c r="AM464" s="314">
        <f t="shared" si="31"/>
        <v>10224017.595407926</v>
      </c>
      <c r="AN464" s="314">
        <f t="shared" si="31"/>
        <v>8061869.8639970468</v>
      </c>
      <c r="AO464" s="314">
        <f t="shared" si="31"/>
        <v>5178371.2921018563</v>
      </c>
      <c r="AP464" s="314">
        <f t="shared" si="31"/>
        <v>49492214.882570937</v>
      </c>
      <c r="AR464" s="314">
        <f t="shared" si="30"/>
        <v>8383508.114705883</v>
      </c>
      <c r="AS464" s="314">
        <f t="shared" si="30"/>
        <v>2081628.3137254901</v>
      </c>
      <c r="AT464" s="314">
        <f t="shared" si="30"/>
        <v>3778985.7894736845</v>
      </c>
      <c r="AU464" s="314">
        <f t="shared" si="30"/>
        <v>3576302.35</v>
      </c>
      <c r="AV464" s="314">
        <f t="shared" si="30"/>
        <v>17820424.567905057</v>
      </c>
      <c r="AW464" s="314">
        <f t="shared" si="30"/>
        <v>31671790.31466588</v>
      </c>
    </row>
    <row r="465" spans="1:49" x14ac:dyDescent="0.25">
      <c r="A465" s="311">
        <v>4753225</v>
      </c>
      <c r="B465" s="311"/>
      <c r="C465" s="315" t="str">
        <f t="shared" si="17"/>
        <v>PO KHK</v>
      </c>
      <c r="D465" s="315" t="str">
        <f t="shared" si="18"/>
        <v>Domov důchodců Dvůr Králové nad Labem</v>
      </c>
      <c r="E465" s="315" t="str">
        <f t="shared" si="19"/>
        <v>Domov důchodců Dvůr Králové nad Labem</v>
      </c>
      <c r="F465" s="313">
        <f t="shared" si="20"/>
        <v>4753225</v>
      </c>
      <c r="G465" s="313"/>
      <c r="H465" s="313"/>
      <c r="I465" s="313"/>
      <c r="J465" s="313"/>
      <c r="K465" s="313"/>
      <c r="L465" s="313"/>
      <c r="M465" s="313"/>
      <c r="N465" s="313"/>
      <c r="O465" s="313"/>
      <c r="P465" s="313"/>
      <c r="Q465" s="313"/>
      <c r="R465" s="313"/>
      <c r="S465" s="313"/>
      <c r="T465" s="313">
        <f t="shared" si="21"/>
        <v>38.799999999999997</v>
      </c>
      <c r="U465" s="313">
        <f t="shared" si="31"/>
        <v>4</v>
      </c>
      <c r="V465" s="313">
        <f t="shared" si="31"/>
        <v>24.55</v>
      </c>
      <c r="W465" s="313">
        <f t="shared" si="31"/>
        <v>10.25</v>
      </c>
      <c r="X465" s="313">
        <f t="shared" si="31"/>
        <v>0</v>
      </c>
      <c r="Y465" s="313">
        <f t="shared" si="31"/>
        <v>80</v>
      </c>
      <c r="Z465" s="313">
        <f t="shared" si="31"/>
        <v>0</v>
      </c>
      <c r="AA465" s="313">
        <f t="shared" si="31"/>
        <v>0</v>
      </c>
      <c r="AB465" s="313">
        <f t="shared" si="31"/>
        <v>0</v>
      </c>
      <c r="AD465" s="313">
        <f t="shared" si="31"/>
        <v>38.799999999999997</v>
      </c>
      <c r="AE465" s="313">
        <f t="shared" si="31"/>
        <v>4</v>
      </c>
      <c r="AF465" s="313">
        <f t="shared" si="31"/>
        <v>24.55</v>
      </c>
      <c r="AG465" s="313">
        <f t="shared" si="31"/>
        <v>10.25</v>
      </c>
      <c r="AH465" s="313">
        <f t="shared" si="31"/>
        <v>0</v>
      </c>
      <c r="AI465" s="313">
        <f t="shared" si="31"/>
        <v>80</v>
      </c>
      <c r="AJ465" s="313">
        <f t="shared" si="31"/>
        <v>0</v>
      </c>
      <c r="AL465" s="314">
        <f t="shared" si="31"/>
        <v>18614731.031539768</v>
      </c>
      <c r="AM465" s="314">
        <f t="shared" si="31"/>
        <v>8309743.608746483</v>
      </c>
      <c r="AN465" s="314">
        <f t="shared" si="31"/>
        <v>7846049.8608798608</v>
      </c>
      <c r="AO465" s="314">
        <f t="shared" si="31"/>
        <v>5501687.9971444933</v>
      </c>
      <c r="AP465" s="314">
        <f t="shared" si="31"/>
        <v>40272212.498310603</v>
      </c>
      <c r="AR465" s="314">
        <f t="shared" si="30"/>
        <v>8981638.8124690745</v>
      </c>
      <c r="AS465" s="314">
        <f t="shared" si="30"/>
        <v>2339589.500805153</v>
      </c>
      <c r="AT465" s="314">
        <f t="shared" si="30"/>
        <v>5673901.970055161</v>
      </c>
      <c r="AU465" s="314">
        <f t="shared" si="30"/>
        <v>4070165.036764706</v>
      </c>
      <c r="AV465" s="314">
        <f t="shared" si="30"/>
        <v>21065295.320094097</v>
      </c>
      <c r="AW465" s="314">
        <f t="shared" si="30"/>
        <v>19206917.178216506</v>
      </c>
    </row>
    <row r="466" spans="1:49" x14ac:dyDescent="0.25">
      <c r="A466" s="311">
        <v>4782003</v>
      </c>
      <c r="B466" s="311"/>
      <c r="C466" s="315" t="str">
        <f t="shared" si="17"/>
        <v>Obce</v>
      </c>
      <c r="D466" s="315" t="str">
        <f t="shared" si="18"/>
        <v>Domov pro seniory</v>
      </c>
      <c r="E466" s="315" t="str">
        <f t="shared" si="19"/>
        <v>Městské středisko sociálních služeb Oáza</v>
      </c>
      <c r="F466" s="313">
        <f t="shared" si="20"/>
        <v>4782003</v>
      </c>
      <c r="G466" s="313"/>
      <c r="H466" s="313"/>
      <c r="I466" s="313"/>
      <c r="J466" s="313"/>
      <c r="K466" s="313"/>
      <c r="L466" s="313"/>
      <c r="M466" s="313"/>
      <c r="N466" s="313"/>
      <c r="O466" s="313"/>
      <c r="P466" s="313"/>
      <c r="Q466" s="313"/>
      <c r="R466" s="313"/>
      <c r="S466" s="313"/>
      <c r="T466" s="313">
        <f t="shared" si="21"/>
        <v>26.74</v>
      </c>
      <c r="U466" s="313">
        <f t="shared" si="31"/>
        <v>1.1499999999999999</v>
      </c>
      <c r="V466" s="313">
        <f t="shared" si="31"/>
        <v>18</v>
      </c>
      <c r="W466" s="313">
        <f t="shared" si="31"/>
        <v>7.59</v>
      </c>
      <c r="X466" s="313">
        <f t="shared" si="31"/>
        <v>0</v>
      </c>
      <c r="Y466" s="313">
        <f t="shared" si="31"/>
        <v>43</v>
      </c>
      <c r="Z466" s="313">
        <f t="shared" si="31"/>
        <v>0</v>
      </c>
      <c r="AA466" s="313">
        <f t="shared" si="31"/>
        <v>0</v>
      </c>
      <c r="AB466" s="313">
        <f t="shared" si="31"/>
        <v>0</v>
      </c>
      <c r="AD466" s="313">
        <f t="shared" si="31"/>
        <v>26.74</v>
      </c>
      <c r="AE466" s="313">
        <f t="shared" si="31"/>
        <v>1.1499999999999999</v>
      </c>
      <c r="AF466" s="313">
        <f t="shared" si="31"/>
        <v>18</v>
      </c>
      <c r="AG466" s="313">
        <f t="shared" si="31"/>
        <v>7.59</v>
      </c>
      <c r="AH466" s="313">
        <f t="shared" si="31"/>
        <v>0</v>
      </c>
      <c r="AI466" s="313">
        <f t="shared" si="31"/>
        <v>43</v>
      </c>
      <c r="AJ466" s="313">
        <f t="shared" si="31"/>
        <v>0</v>
      </c>
      <c r="AL466" s="314">
        <f t="shared" si="31"/>
        <v>12485887.889806882</v>
      </c>
      <c r="AM466" s="314">
        <f t="shared" si="31"/>
        <v>6153263.8039400782</v>
      </c>
      <c r="AN466" s="314">
        <f t="shared" si="31"/>
        <v>4217251.8002229249</v>
      </c>
      <c r="AO466" s="314">
        <f t="shared" si="31"/>
        <v>2957157.2984651653</v>
      </c>
      <c r="AP466" s="314">
        <f t="shared" si="31"/>
        <v>25813560.792435054</v>
      </c>
      <c r="AR466" s="314">
        <f t="shared" si="30"/>
        <v>4827630.8617021274</v>
      </c>
      <c r="AS466" s="314">
        <f t="shared" si="30"/>
        <v>1257529.3566827697</v>
      </c>
      <c r="AT466" s="314">
        <f t="shared" si="30"/>
        <v>3049722.3089046492</v>
      </c>
      <c r="AU466" s="314">
        <f t="shared" si="30"/>
        <v>2187713.7072610296</v>
      </c>
      <c r="AV466" s="314">
        <f t="shared" si="30"/>
        <v>11322596.234550577</v>
      </c>
      <c r="AW466" s="314">
        <f t="shared" si="30"/>
        <v>14490964.557884477</v>
      </c>
    </row>
    <row r="467" spans="1:49" x14ac:dyDescent="0.25">
      <c r="A467" s="311">
        <v>4878719</v>
      </c>
      <c r="B467" s="311"/>
      <c r="C467" s="315" t="str">
        <f t="shared" si="17"/>
        <v>Obce</v>
      </c>
      <c r="D467" s="315" t="str">
        <f t="shared" si="18"/>
        <v>Sociální služby města Hořice</v>
      </c>
      <c r="E467" s="315" t="str">
        <f t="shared" si="19"/>
        <v>Sociální služby města Hořice</v>
      </c>
      <c r="F467" s="313">
        <f t="shared" si="20"/>
        <v>4878719</v>
      </c>
      <c r="G467" s="313"/>
      <c r="H467" s="313"/>
      <c r="I467" s="313"/>
      <c r="J467" s="313"/>
      <c r="K467" s="313"/>
      <c r="L467" s="313"/>
      <c r="M467" s="313"/>
      <c r="N467" s="313"/>
      <c r="O467" s="313"/>
      <c r="P467" s="313"/>
      <c r="Q467" s="313"/>
      <c r="R467" s="313"/>
      <c r="S467" s="313"/>
      <c r="T467" s="313">
        <f t="shared" si="21"/>
        <v>6.5</v>
      </c>
      <c r="U467" s="313">
        <f t="shared" si="31"/>
        <v>0.5</v>
      </c>
      <c r="V467" s="313">
        <f t="shared" si="31"/>
        <v>6</v>
      </c>
      <c r="W467" s="313">
        <f t="shared" si="31"/>
        <v>0</v>
      </c>
      <c r="X467" s="313">
        <f t="shared" si="31"/>
        <v>0</v>
      </c>
      <c r="Y467" s="313">
        <f t="shared" si="31"/>
        <v>0</v>
      </c>
      <c r="Z467" s="313">
        <f t="shared" si="31"/>
        <v>120</v>
      </c>
      <c r="AA467" s="313">
        <f t="shared" si="31"/>
        <v>0</v>
      </c>
      <c r="AB467" s="313">
        <f t="shared" si="31"/>
        <v>0</v>
      </c>
      <c r="AD467" s="313">
        <f t="shared" si="31"/>
        <v>6.5</v>
      </c>
      <c r="AE467" s="313">
        <f t="shared" si="31"/>
        <v>0.5</v>
      </c>
      <c r="AF467" s="313">
        <f t="shared" si="31"/>
        <v>6</v>
      </c>
      <c r="AG467" s="313">
        <f t="shared" si="31"/>
        <v>0</v>
      </c>
      <c r="AH467" s="313">
        <f t="shared" si="31"/>
        <v>0</v>
      </c>
      <c r="AI467" s="313">
        <f t="shared" si="31"/>
        <v>0</v>
      </c>
      <c r="AJ467" s="313">
        <f t="shared" si="31"/>
        <v>0</v>
      </c>
      <c r="AL467" s="314">
        <f t="shared" si="31"/>
        <v>3590327.0070897355</v>
      </c>
      <c r="AM467" s="314">
        <f t="shared" si="31"/>
        <v>0</v>
      </c>
      <c r="AN467" s="314">
        <f t="shared" si="31"/>
        <v>271963.67287730408</v>
      </c>
      <c r="AO467" s="314">
        <f t="shared" si="31"/>
        <v>0</v>
      </c>
      <c r="AP467" s="314">
        <f t="shared" si="31"/>
        <v>3862290.6799670397</v>
      </c>
      <c r="AR467" s="314">
        <f t="shared" si="30"/>
        <v>832531.4117647059</v>
      </c>
      <c r="AS467" s="314">
        <f t="shared" si="30"/>
        <v>0</v>
      </c>
      <c r="AT467" s="314">
        <f t="shared" si="30"/>
        <v>0</v>
      </c>
      <c r="AU467" s="314">
        <f t="shared" si="30"/>
        <v>0</v>
      </c>
      <c r="AV467" s="314">
        <f t="shared" si="30"/>
        <v>832531.4117647059</v>
      </c>
      <c r="AW467" s="314">
        <f t="shared" si="30"/>
        <v>3029759.2682023337</v>
      </c>
    </row>
    <row r="468" spans="1:49" x14ac:dyDescent="0.25">
      <c r="A468" s="311">
        <v>4885366</v>
      </c>
      <c r="B468" s="311"/>
      <c r="C468" s="315" t="str">
        <f t="shared" si="17"/>
        <v>NZO</v>
      </c>
      <c r="D468" s="315" t="str">
        <f t="shared" si="18"/>
        <v>Podporované zaměstnávání</v>
      </c>
      <c r="E468" s="315" t="str">
        <f t="shared" si="19"/>
        <v>Aspekt z.s.</v>
      </c>
      <c r="F468" s="313">
        <f t="shared" si="20"/>
        <v>4885366</v>
      </c>
      <c r="G468" s="313"/>
      <c r="H468" s="313"/>
      <c r="I468" s="313"/>
      <c r="J468" s="313"/>
      <c r="K468" s="313"/>
      <c r="L468" s="313"/>
      <c r="M468" s="313"/>
      <c r="N468" s="313"/>
      <c r="O468" s="313"/>
      <c r="P468" s="313"/>
      <c r="Q468" s="313"/>
      <c r="R468" s="313"/>
      <c r="S468" s="313"/>
      <c r="T468" s="313">
        <f t="shared" si="21"/>
        <v>4</v>
      </c>
      <c r="U468" s="313">
        <f t="shared" si="31"/>
        <v>2</v>
      </c>
      <c r="V468" s="313">
        <f t="shared" si="31"/>
        <v>2</v>
      </c>
      <c r="W468" s="313">
        <f t="shared" si="31"/>
        <v>0</v>
      </c>
      <c r="X468" s="313">
        <f t="shared" si="31"/>
        <v>0</v>
      </c>
      <c r="Y468" s="313">
        <f t="shared" si="31"/>
        <v>0</v>
      </c>
      <c r="Z468" s="313">
        <f t="shared" si="31"/>
        <v>0</v>
      </c>
      <c r="AA468" s="313">
        <f t="shared" si="31"/>
        <v>42</v>
      </c>
      <c r="AB468" s="313">
        <f t="shared" si="31"/>
        <v>0</v>
      </c>
      <c r="AD468" s="313">
        <f t="shared" si="31"/>
        <v>4</v>
      </c>
      <c r="AE468" s="313">
        <f t="shared" si="31"/>
        <v>2</v>
      </c>
      <c r="AF468" s="313">
        <f t="shared" si="31"/>
        <v>2</v>
      </c>
      <c r="AG468" s="313">
        <f t="shared" si="31"/>
        <v>0</v>
      </c>
      <c r="AH468" s="313">
        <f t="shared" si="31"/>
        <v>0</v>
      </c>
      <c r="AI468" s="313">
        <f t="shared" si="31"/>
        <v>0</v>
      </c>
      <c r="AJ468" s="313">
        <f t="shared" si="31"/>
        <v>42</v>
      </c>
      <c r="AL468" s="314">
        <f t="shared" si="31"/>
        <v>2686508.0814188612</v>
      </c>
      <c r="AM468" s="314">
        <f t="shared" si="31"/>
        <v>0</v>
      </c>
      <c r="AN468" s="314">
        <f t="shared" si="31"/>
        <v>171123.94143970089</v>
      </c>
      <c r="AO468" s="314">
        <f t="shared" si="31"/>
        <v>0</v>
      </c>
      <c r="AP468" s="314">
        <f t="shared" si="31"/>
        <v>2857632.0228585619</v>
      </c>
      <c r="AR468" s="314">
        <f t="shared" si="30"/>
        <v>0</v>
      </c>
      <c r="AS468" s="314">
        <f t="shared" si="30"/>
        <v>0</v>
      </c>
      <c r="AT468" s="314">
        <f t="shared" si="30"/>
        <v>0</v>
      </c>
      <c r="AU468" s="314">
        <f t="shared" si="30"/>
        <v>0</v>
      </c>
      <c r="AV468" s="314">
        <f t="shared" si="30"/>
        <v>0</v>
      </c>
      <c r="AW468" s="314">
        <f t="shared" si="30"/>
        <v>2857632.0228585619</v>
      </c>
    </row>
    <row r="469" spans="1:49" x14ac:dyDescent="0.25">
      <c r="A469" s="311">
        <v>4936413</v>
      </c>
      <c r="B469" s="311"/>
      <c r="C469" s="315" t="str">
        <f t="shared" si="17"/>
        <v>Obce</v>
      </c>
      <c r="D469" s="315" t="str">
        <f t="shared" si="18"/>
        <v>Pečovatelská služba Rokytnice v Orlických horách</v>
      </c>
      <c r="E469" s="315" t="str">
        <f t="shared" si="19"/>
        <v>Město Rokytnice v Orlických horách</v>
      </c>
      <c r="F469" s="313">
        <f t="shared" si="20"/>
        <v>4936413</v>
      </c>
      <c r="G469" s="313"/>
      <c r="H469" s="313"/>
      <c r="I469" s="313"/>
      <c r="J469" s="313"/>
      <c r="K469" s="313"/>
      <c r="L469" s="313"/>
      <c r="M469" s="313"/>
      <c r="N469" s="313"/>
      <c r="O469" s="313"/>
      <c r="P469" s="313"/>
      <c r="Q469" s="313"/>
      <c r="R469" s="313"/>
      <c r="S469" s="313"/>
      <c r="T469" s="313">
        <f t="shared" si="21"/>
        <v>3.21</v>
      </c>
      <c r="U469" s="313">
        <f t="shared" si="31"/>
        <v>0.9</v>
      </c>
      <c r="V469" s="313">
        <f t="shared" si="31"/>
        <v>2.31</v>
      </c>
      <c r="W469" s="313">
        <f t="shared" si="31"/>
        <v>0</v>
      </c>
      <c r="X469" s="313">
        <f t="shared" si="31"/>
        <v>0</v>
      </c>
      <c r="Y469" s="313">
        <f t="shared" si="31"/>
        <v>0</v>
      </c>
      <c r="Z469" s="313">
        <f t="shared" si="31"/>
        <v>36</v>
      </c>
      <c r="AA469" s="313">
        <f t="shared" si="31"/>
        <v>3</v>
      </c>
      <c r="AB469" s="313">
        <f t="shared" si="31"/>
        <v>0</v>
      </c>
      <c r="AD469" s="313">
        <f t="shared" si="31"/>
        <v>3.21</v>
      </c>
      <c r="AE469" s="313">
        <f t="shared" si="31"/>
        <v>0.9</v>
      </c>
      <c r="AF469" s="313">
        <f t="shared" si="31"/>
        <v>2.31</v>
      </c>
      <c r="AG469" s="313">
        <f t="shared" si="31"/>
        <v>0</v>
      </c>
      <c r="AH469" s="313">
        <f t="shared" si="31"/>
        <v>0</v>
      </c>
      <c r="AI469" s="313">
        <f t="shared" si="31"/>
        <v>0</v>
      </c>
      <c r="AJ469" s="313">
        <f t="shared" si="31"/>
        <v>3</v>
      </c>
      <c r="AL469" s="314">
        <f t="shared" si="31"/>
        <v>1773069.1835012387</v>
      </c>
      <c r="AM469" s="314">
        <f t="shared" si="31"/>
        <v>0</v>
      </c>
      <c r="AN469" s="314">
        <f t="shared" si="31"/>
        <v>134308.21383633016</v>
      </c>
      <c r="AO469" s="314">
        <f t="shared" si="31"/>
        <v>0</v>
      </c>
      <c r="AP469" s="314">
        <f t="shared" si="31"/>
        <v>1907377.3973375689</v>
      </c>
      <c r="AR469" s="314">
        <f t="shared" si="30"/>
        <v>320524.59352941177</v>
      </c>
      <c r="AS469" s="314">
        <f t="shared" si="30"/>
        <v>0</v>
      </c>
      <c r="AT469" s="314">
        <f t="shared" si="30"/>
        <v>0</v>
      </c>
      <c r="AU469" s="314">
        <f t="shared" si="30"/>
        <v>0</v>
      </c>
      <c r="AV469" s="314">
        <f t="shared" si="30"/>
        <v>320524.59352941177</v>
      </c>
      <c r="AW469" s="314">
        <f t="shared" si="30"/>
        <v>1586852.8038081571</v>
      </c>
    </row>
    <row r="470" spans="1:49" x14ac:dyDescent="0.25">
      <c r="A470" s="311">
        <v>4987165</v>
      </c>
      <c r="B470" s="311"/>
      <c r="C470" s="315" t="str">
        <f t="shared" si="17"/>
        <v>Obce</v>
      </c>
      <c r="D470" s="315" t="str">
        <f t="shared" si="18"/>
        <v>Centrum pro rodinu - SAS</v>
      </c>
      <c r="E470" s="315" t="str">
        <f t="shared" si="19"/>
        <v>Centrum sociálních služeb Naděje Broumov</v>
      </c>
      <c r="F470" s="313">
        <f t="shared" si="20"/>
        <v>4987165</v>
      </c>
      <c r="G470" s="313"/>
      <c r="H470" s="313"/>
      <c r="I470" s="313"/>
      <c r="J470" s="313"/>
      <c r="K470" s="313"/>
      <c r="L470" s="313"/>
      <c r="M470" s="313"/>
      <c r="N470" s="313"/>
      <c r="O470" s="313"/>
      <c r="P470" s="313"/>
      <c r="Q470" s="313"/>
      <c r="R470" s="313"/>
      <c r="S470" s="313"/>
      <c r="T470" s="313">
        <f t="shared" si="21"/>
        <v>4.5</v>
      </c>
      <c r="U470" s="313">
        <f t="shared" si="31"/>
        <v>2.5</v>
      </c>
      <c r="V470" s="313">
        <f t="shared" si="31"/>
        <v>2</v>
      </c>
      <c r="W470" s="313">
        <f t="shared" si="31"/>
        <v>0</v>
      </c>
      <c r="X470" s="313">
        <f t="shared" si="31"/>
        <v>0</v>
      </c>
      <c r="Y470" s="313">
        <f t="shared" si="31"/>
        <v>0</v>
      </c>
      <c r="Z470" s="313">
        <f t="shared" si="31"/>
        <v>234</v>
      </c>
      <c r="AA470" s="313">
        <f t="shared" si="31"/>
        <v>0</v>
      </c>
      <c r="AB470" s="313">
        <f t="shared" si="31"/>
        <v>0</v>
      </c>
      <c r="AD470" s="313">
        <f t="shared" si="31"/>
        <v>4.5</v>
      </c>
      <c r="AE470" s="313">
        <f t="shared" si="31"/>
        <v>2.5</v>
      </c>
      <c r="AF470" s="313">
        <f t="shared" si="31"/>
        <v>2</v>
      </c>
      <c r="AG470" s="313">
        <f t="shared" si="31"/>
        <v>0</v>
      </c>
      <c r="AH470" s="313">
        <f t="shared" si="31"/>
        <v>0</v>
      </c>
      <c r="AI470" s="313">
        <f t="shared" si="31"/>
        <v>0</v>
      </c>
      <c r="AJ470" s="313">
        <f t="shared" si="31"/>
        <v>0</v>
      </c>
      <c r="AL470" s="314">
        <f t="shared" si="31"/>
        <v>2901027.5972704603</v>
      </c>
      <c r="AM470" s="314">
        <f t="shared" si="31"/>
        <v>0</v>
      </c>
      <c r="AN470" s="314">
        <f t="shared" si="31"/>
        <v>197859.479610396</v>
      </c>
      <c r="AO470" s="314">
        <f t="shared" si="31"/>
        <v>0</v>
      </c>
      <c r="AP470" s="314">
        <f t="shared" ref="AP470:AP478" si="32">SUMIFS(AP$4:AP$337,$A$4:$A$337,$A470)</f>
        <v>3098887.0768808564</v>
      </c>
      <c r="AR470" s="314">
        <f t="shared" si="30"/>
        <v>0</v>
      </c>
      <c r="AS470" s="314">
        <f t="shared" si="30"/>
        <v>0</v>
      </c>
      <c r="AT470" s="314">
        <f t="shared" si="30"/>
        <v>0</v>
      </c>
      <c r="AU470" s="314">
        <f t="shared" si="30"/>
        <v>0</v>
      </c>
      <c r="AV470" s="314">
        <f t="shared" si="30"/>
        <v>0</v>
      </c>
      <c r="AW470" s="314">
        <f t="shared" si="30"/>
        <v>3098887.0768808564</v>
      </c>
    </row>
    <row r="471" spans="1:49" x14ac:dyDescent="0.25">
      <c r="A471" s="311">
        <v>5000179</v>
      </c>
      <c r="B471" s="311"/>
      <c r="C471" s="315" t="str">
        <f t="shared" si="17"/>
        <v>PO KHK</v>
      </c>
      <c r="D471" s="315" t="str">
        <f t="shared" si="18"/>
        <v>Domov pro osoby se zdravotním postižením</v>
      </c>
      <c r="E471" s="315" t="str">
        <f t="shared" si="19"/>
        <v>Barevné domky Hajnice</v>
      </c>
      <c r="F471" s="313">
        <f t="shared" si="20"/>
        <v>5000179</v>
      </c>
      <c r="G471" s="313"/>
      <c r="H471" s="313"/>
      <c r="I471" s="313"/>
      <c r="J471" s="313"/>
      <c r="K471" s="313"/>
      <c r="L471" s="313"/>
      <c r="M471" s="313"/>
      <c r="N471" s="313"/>
      <c r="O471" s="313"/>
      <c r="P471" s="313"/>
      <c r="Q471" s="313"/>
      <c r="R471" s="313"/>
      <c r="S471" s="313"/>
      <c r="T471" s="313">
        <f t="shared" si="21"/>
        <v>66</v>
      </c>
      <c r="U471" s="313">
        <f t="shared" si="31"/>
        <v>2.5</v>
      </c>
      <c r="V471" s="313">
        <f t="shared" si="31"/>
        <v>54.5</v>
      </c>
      <c r="W471" s="313">
        <f t="shared" si="31"/>
        <v>9</v>
      </c>
      <c r="X471" s="313">
        <f t="shared" si="31"/>
        <v>0</v>
      </c>
      <c r="Y471" s="313">
        <f t="shared" si="31"/>
        <v>58</v>
      </c>
      <c r="Z471" s="313">
        <f t="shared" si="31"/>
        <v>0</v>
      </c>
      <c r="AA471" s="313">
        <f t="shared" si="31"/>
        <v>0</v>
      </c>
      <c r="AB471" s="313">
        <f t="shared" si="31"/>
        <v>0</v>
      </c>
      <c r="AD471" s="313">
        <f t="shared" si="31"/>
        <v>66</v>
      </c>
      <c r="AE471" s="313">
        <f t="shared" si="31"/>
        <v>2.5</v>
      </c>
      <c r="AF471" s="313">
        <f t="shared" si="31"/>
        <v>54.5</v>
      </c>
      <c r="AG471" s="313">
        <f t="shared" si="31"/>
        <v>9</v>
      </c>
      <c r="AH471" s="313">
        <f t="shared" si="31"/>
        <v>0</v>
      </c>
      <c r="AI471" s="313">
        <f t="shared" si="31"/>
        <v>58</v>
      </c>
      <c r="AJ471" s="313">
        <f t="shared" si="31"/>
        <v>0</v>
      </c>
      <c r="AL471" s="314">
        <f t="shared" si="31"/>
        <v>36451928.733922698</v>
      </c>
      <c r="AM471" s="314">
        <f t="shared" si="31"/>
        <v>7302869.7110056607</v>
      </c>
      <c r="AN471" s="314">
        <f t="shared" si="31"/>
        <v>5918841.165972515</v>
      </c>
      <c r="AO471" s="314">
        <f t="shared" si="31"/>
        <v>3801842.214454527</v>
      </c>
      <c r="AP471" s="314">
        <f t="shared" si="32"/>
        <v>53475481.825355396</v>
      </c>
      <c r="AR471" s="314">
        <f t="shared" si="30"/>
        <v>6154980.6411764706</v>
      </c>
      <c r="AS471" s="314">
        <f t="shared" si="30"/>
        <v>1528284.0784313725</v>
      </c>
      <c r="AT471" s="314">
        <f t="shared" si="30"/>
        <v>2774445.2631578948</v>
      </c>
      <c r="AU471" s="314">
        <f t="shared" si="30"/>
        <v>2625639.7000000002</v>
      </c>
      <c r="AV471" s="314">
        <f t="shared" si="30"/>
        <v>13083349.682765737</v>
      </c>
      <c r="AW471" s="314">
        <f t="shared" si="30"/>
        <v>40392132.142589658</v>
      </c>
    </row>
    <row r="472" spans="1:49" x14ac:dyDescent="0.25">
      <c r="A472" s="311">
        <v>5002625</v>
      </c>
      <c r="B472" s="311"/>
      <c r="C472" s="315" t="str">
        <f t="shared" ref="C472:C535" si="33">VLOOKUP($A472,$A$4:$K$337,2,FALSE)</f>
        <v>NZO</v>
      </c>
      <c r="D472" s="315" t="str">
        <f t="shared" ref="D472:D535" si="34">VLOOKUP($A472,$A$4:$K$337,3,FALSE)</f>
        <v>Raná péče Čechy</v>
      </c>
      <c r="E472" s="315" t="str">
        <f t="shared" ref="E472:E535" si="35">VLOOKUP($A472,$A$4:$K$337,4,FALSE)</f>
        <v>Centrum pro dětský sluch Tamtam, o.p.s.</v>
      </c>
      <c r="F472" s="313">
        <f t="shared" ref="F472:F535" si="36">A472</f>
        <v>5002625</v>
      </c>
      <c r="G472" s="313"/>
      <c r="H472" s="313"/>
      <c r="I472" s="313"/>
      <c r="J472" s="313"/>
      <c r="K472" s="313"/>
      <c r="L472" s="313"/>
      <c r="M472" s="313"/>
      <c r="N472" s="313"/>
      <c r="O472" s="313"/>
      <c r="P472" s="313"/>
      <c r="Q472" s="313"/>
      <c r="R472" s="313"/>
      <c r="S472" s="313"/>
      <c r="T472" s="313">
        <f t="shared" ref="T472:AB535" si="37">SUMIFS(T$4:T$337,$A$4:$A$337,$A472)</f>
        <v>0</v>
      </c>
      <c r="U472" s="313">
        <f t="shared" si="37"/>
        <v>0</v>
      </c>
      <c r="V472" s="313">
        <f t="shared" si="37"/>
        <v>0</v>
      </c>
      <c r="W472" s="313">
        <f t="shared" si="37"/>
        <v>0</v>
      </c>
      <c r="X472" s="313">
        <f t="shared" si="37"/>
        <v>0</v>
      </c>
      <c r="Y472" s="313">
        <f t="shared" si="37"/>
        <v>0</v>
      </c>
      <c r="Z472" s="313">
        <f t="shared" si="37"/>
        <v>0</v>
      </c>
      <c r="AA472" s="313">
        <f t="shared" si="37"/>
        <v>0</v>
      </c>
      <c r="AB472" s="313">
        <f t="shared" si="37"/>
        <v>0</v>
      </c>
      <c r="AD472" s="313">
        <f t="shared" si="31"/>
        <v>0</v>
      </c>
      <c r="AE472" s="313">
        <f t="shared" si="31"/>
        <v>0</v>
      </c>
      <c r="AF472" s="313">
        <f t="shared" si="31"/>
        <v>0</v>
      </c>
      <c r="AG472" s="313">
        <f t="shared" si="31"/>
        <v>0</v>
      </c>
      <c r="AH472" s="313">
        <f t="shared" si="31"/>
        <v>0</v>
      </c>
      <c r="AI472" s="313">
        <f t="shared" si="31"/>
        <v>0</v>
      </c>
      <c r="AJ472" s="313">
        <f t="shared" si="31"/>
        <v>0</v>
      </c>
      <c r="AL472" s="314">
        <f t="shared" si="31"/>
        <v>0</v>
      </c>
      <c r="AM472" s="314">
        <f t="shared" si="31"/>
        <v>0</v>
      </c>
      <c r="AN472" s="314">
        <f t="shared" si="31"/>
        <v>0</v>
      </c>
      <c r="AO472" s="314">
        <f t="shared" si="31"/>
        <v>0</v>
      </c>
      <c r="AP472" s="314">
        <f t="shared" si="32"/>
        <v>0</v>
      </c>
      <c r="AR472" s="314">
        <f t="shared" si="30"/>
        <v>0</v>
      </c>
      <c r="AS472" s="314">
        <f t="shared" si="30"/>
        <v>0</v>
      </c>
      <c r="AT472" s="314">
        <f t="shared" si="30"/>
        <v>0</v>
      </c>
      <c r="AU472" s="314">
        <f t="shared" si="30"/>
        <v>0</v>
      </c>
      <c r="AV472" s="314">
        <f t="shared" si="30"/>
        <v>0</v>
      </c>
      <c r="AW472" s="314">
        <f t="shared" si="30"/>
        <v>0</v>
      </c>
    </row>
    <row r="473" spans="1:49" x14ac:dyDescent="0.25">
      <c r="A473" s="311">
        <v>5020855</v>
      </c>
      <c r="B473" s="311"/>
      <c r="C473" s="315" t="str">
        <f t="shared" si="33"/>
        <v>NZO</v>
      </c>
      <c r="D473" s="315" t="str">
        <f t="shared" si="34"/>
        <v>Centrum Orion</v>
      </c>
      <c r="E473" s="315" t="str">
        <f t="shared" si="35"/>
        <v>Centrum Orion, z. s.</v>
      </c>
      <c r="F473" s="313">
        <f t="shared" si="36"/>
        <v>5020855</v>
      </c>
      <c r="G473" s="313"/>
      <c r="H473" s="313"/>
      <c r="I473" s="313"/>
      <c r="J473" s="313"/>
      <c r="K473" s="313"/>
      <c r="L473" s="313"/>
      <c r="M473" s="313"/>
      <c r="N473" s="313"/>
      <c r="O473" s="313"/>
      <c r="P473" s="313"/>
      <c r="Q473" s="313"/>
      <c r="R473" s="313"/>
      <c r="S473" s="313"/>
      <c r="T473" s="313">
        <f t="shared" si="37"/>
        <v>8.51</v>
      </c>
      <c r="U473" s="313">
        <f t="shared" si="37"/>
        <v>1</v>
      </c>
      <c r="V473" s="313">
        <f t="shared" si="37"/>
        <v>6.31</v>
      </c>
      <c r="W473" s="313">
        <f t="shared" si="37"/>
        <v>0</v>
      </c>
      <c r="X473" s="313">
        <f t="shared" si="37"/>
        <v>1.2</v>
      </c>
      <c r="Y473" s="313">
        <f t="shared" si="37"/>
        <v>0</v>
      </c>
      <c r="Z473" s="313">
        <f t="shared" si="37"/>
        <v>0</v>
      </c>
      <c r="AA473" s="313">
        <f t="shared" si="37"/>
        <v>40</v>
      </c>
      <c r="AB473" s="313">
        <f t="shared" si="37"/>
        <v>0</v>
      </c>
      <c r="AD473" s="313">
        <f t="shared" si="31"/>
        <v>8.51</v>
      </c>
      <c r="AE473" s="313">
        <f t="shared" si="31"/>
        <v>1</v>
      </c>
      <c r="AF473" s="313">
        <f t="shared" si="31"/>
        <v>6.31</v>
      </c>
      <c r="AG473" s="313">
        <f t="shared" si="31"/>
        <v>0</v>
      </c>
      <c r="AH473" s="313">
        <f t="shared" si="31"/>
        <v>1.2</v>
      </c>
      <c r="AI473" s="313">
        <f t="shared" si="31"/>
        <v>0</v>
      </c>
      <c r="AJ473" s="313">
        <f t="shared" si="31"/>
        <v>40</v>
      </c>
      <c r="AL473" s="314">
        <f t="shared" si="31"/>
        <v>4861249.2307161232</v>
      </c>
      <c r="AM473" s="314">
        <f t="shared" si="31"/>
        <v>0</v>
      </c>
      <c r="AN473" s="314">
        <f t="shared" si="31"/>
        <v>744153.48223945813</v>
      </c>
      <c r="AO473" s="314">
        <f t="shared" si="31"/>
        <v>21113.322596042926</v>
      </c>
      <c r="AP473" s="314">
        <f t="shared" si="32"/>
        <v>5626516.0355516244</v>
      </c>
      <c r="AR473" s="314">
        <f t="shared" si="30"/>
        <v>853143.51</v>
      </c>
      <c r="AS473" s="314">
        <f t="shared" si="30"/>
        <v>0</v>
      </c>
      <c r="AT473" s="314">
        <f t="shared" si="30"/>
        <v>0</v>
      </c>
      <c r="AU473" s="314">
        <f t="shared" si="30"/>
        <v>0</v>
      </c>
      <c r="AV473" s="314">
        <f t="shared" si="30"/>
        <v>853143.51</v>
      </c>
      <c r="AW473" s="314">
        <f t="shared" si="30"/>
        <v>4773372.5255516246</v>
      </c>
    </row>
    <row r="474" spans="1:49" x14ac:dyDescent="0.25">
      <c r="A474" s="311">
        <v>5040302</v>
      </c>
      <c r="B474" s="311"/>
      <c r="C474" s="315" t="str">
        <f t="shared" si="33"/>
        <v>PO KHK</v>
      </c>
      <c r="D474" s="315" t="str">
        <f t="shared" si="34"/>
        <v>Domov důchodců Humburky</v>
      </c>
      <c r="E474" s="315" t="str">
        <f t="shared" si="35"/>
        <v>Domov důchodců Humburky</v>
      </c>
      <c r="F474" s="313">
        <f t="shared" si="36"/>
        <v>5040302</v>
      </c>
      <c r="G474" s="313"/>
      <c r="H474" s="313"/>
      <c r="I474" s="313"/>
      <c r="J474" s="313"/>
      <c r="K474" s="313"/>
      <c r="L474" s="313"/>
      <c r="M474" s="313"/>
      <c r="N474" s="313"/>
      <c r="O474" s="313"/>
      <c r="P474" s="313"/>
      <c r="Q474" s="313"/>
      <c r="R474" s="313"/>
      <c r="S474" s="313"/>
      <c r="T474" s="313">
        <f t="shared" si="37"/>
        <v>21</v>
      </c>
      <c r="U474" s="313">
        <f t="shared" si="37"/>
        <v>2</v>
      </c>
      <c r="V474" s="313">
        <f t="shared" si="37"/>
        <v>12</v>
      </c>
      <c r="W474" s="313">
        <f t="shared" si="37"/>
        <v>7</v>
      </c>
      <c r="X474" s="313">
        <f t="shared" si="37"/>
        <v>0</v>
      </c>
      <c r="Y474" s="313">
        <f t="shared" si="37"/>
        <v>47</v>
      </c>
      <c r="Z474" s="313">
        <f t="shared" si="37"/>
        <v>0</v>
      </c>
      <c r="AA474" s="313">
        <f t="shared" si="37"/>
        <v>0</v>
      </c>
      <c r="AB474" s="313">
        <f t="shared" si="37"/>
        <v>0</v>
      </c>
      <c r="AD474" s="313">
        <f t="shared" si="31"/>
        <v>21</v>
      </c>
      <c r="AE474" s="313">
        <f t="shared" si="31"/>
        <v>2</v>
      </c>
      <c r="AF474" s="313">
        <f t="shared" si="31"/>
        <v>12</v>
      </c>
      <c r="AG474" s="313">
        <f t="shared" si="31"/>
        <v>7</v>
      </c>
      <c r="AH474" s="313">
        <f t="shared" si="31"/>
        <v>0</v>
      </c>
      <c r="AI474" s="313">
        <f t="shared" si="31"/>
        <v>47</v>
      </c>
      <c r="AJ474" s="313">
        <f t="shared" si="31"/>
        <v>0</v>
      </c>
      <c r="AL474" s="314">
        <f t="shared" si="31"/>
        <v>9128064.2536447197</v>
      </c>
      <c r="AM474" s="314">
        <f t="shared" si="31"/>
        <v>5674946.8547536954</v>
      </c>
      <c r="AN474" s="314">
        <f t="shared" si="31"/>
        <v>4609554.2932669176</v>
      </c>
      <c r="AO474" s="314">
        <f t="shared" si="31"/>
        <v>3232241.6983223897</v>
      </c>
      <c r="AP474" s="314">
        <f t="shared" si="32"/>
        <v>22644807.099987723</v>
      </c>
      <c r="AR474" s="314">
        <f t="shared" si="30"/>
        <v>5276712.8023255812</v>
      </c>
      <c r="AS474" s="314">
        <f t="shared" si="30"/>
        <v>1374508.8317230274</v>
      </c>
      <c r="AT474" s="314">
        <f t="shared" si="30"/>
        <v>3333417.4074074072</v>
      </c>
      <c r="AU474" s="314">
        <f t="shared" si="30"/>
        <v>2391221.9590992648</v>
      </c>
      <c r="AV474" s="314">
        <f t="shared" si="30"/>
        <v>12375861.000555281</v>
      </c>
      <c r="AW474" s="314">
        <f t="shared" si="30"/>
        <v>10268946.099432442</v>
      </c>
    </row>
    <row r="475" spans="1:49" x14ac:dyDescent="0.25">
      <c r="A475" s="311">
        <v>5133257</v>
      </c>
      <c r="B475" s="311"/>
      <c r="C475" s="315" t="str">
        <f t="shared" si="33"/>
        <v>NZO</v>
      </c>
      <c r="D475" s="315" t="str">
        <f t="shared" si="34"/>
        <v>Poradna pro oběti násilí a trestné činnosti NOMIA</v>
      </c>
      <c r="E475" s="315" t="str">
        <f t="shared" si="35"/>
        <v>NOMIA, z.ú.</v>
      </c>
      <c r="F475" s="313">
        <f t="shared" si="36"/>
        <v>5133257</v>
      </c>
      <c r="G475" s="313"/>
      <c r="H475" s="313"/>
      <c r="I475" s="313"/>
      <c r="J475" s="313"/>
      <c r="K475" s="313"/>
      <c r="L475" s="313"/>
      <c r="M475" s="313"/>
      <c r="N475" s="313"/>
      <c r="O475" s="313"/>
      <c r="P475" s="313"/>
      <c r="Q475" s="313"/>
      <c r="R475" s="313"/>
      <c r="S475" s="313"/>
      <c r="T475" s="313">
        <f t="shared" si="37"/>
        <v>2.62</v>
      </c>
      <c r="U475" s="313">
        <f t="shared" si="37"/>
        <v>0.95</v>
      </c>
      <c r="V475" s="313">
        <f t="shared" si="37"/>
        <v>0</v>
      </c>
      <c r="W475" s="313">
        <f t="shared" si="37"/>
        <v>0</v>
      </c>
      <c r="X475" s="313">
        <f t="shared" si="37"/>
        <v>1.67</v>
      </c>
      <c r="Y475" s="313">
        <f t="shared" si="37"/>
        <v>0</v>
      </c>
      <c r="Z475" s="313">
        <f t="shared" si="37"/>
        <v>52</v>
      </c>
      <c r="AA475" s="313">
        <f t="shared" si="37"/>
        <v>0</v>
      </c>
      <c r="AB475" s="313">
        <f t="shared" si="37"/>
        <v>0</v>
      </c>
      <c r="AD475" s="313">
        <f t="shared" si="31"/>
        <v>2.62</v>
      </c>
      <c r="AE475" s="313">
        <f t="shared" si="31"/>
        <v>0.95</v>
      </c>
      <c r="AF475" s="313">
        <f t="shared" si="31"/>
        <v>0</v>
      </c>
      <c r="AG475" s="313">
        <f t="shared" si="31"/>
        <v>0</v>
      </c>
      <c r="AH475" s="313">
        <f t="shared" si="31"/>
        <v>1.67</v>
      </c>
      <c r="AI475" s="313">
        <f t="shared" si="31"/>
        <v>0</v>
      </c>
      <c r="AJ475" s="313">
        <f t="shared" si="31"/>
        <v>0</v>
      </c>
      <c r="AL475" s="314">
        <f t="shared" si="31"/>
        <v>1744603.6245137393</v>
      </c>
      <c r="AM475" s="314">
        <f t="shared" si="31"/>
        <v>0</v>
      </c>
      <c r="AN475" s="314">
        <f t="shared" si="31"/>
        <v>121061.84380288539</v>
      </c>
      <c r="AO475" s="314">
        <f t="shared" si="31"/>
        <v>0</v>
      </c>
      <c r="AP475" s="314">
        <f t="shared" si="32"/>
        <v>1865665.4683166246</v>
      </c>
      <c r="AR475" s="314">
        <f t="shared" si="30"/>
        <v>0</v>
      </c>
      <c r="AS475" s="314">
        <f t="shared" si="30"/>
        <v>0</v>
      </c>
      <c r="AT475" s="314">
        <f t="shared" si="30"/>
        <v>0</v>
      </c>
      <c r="AU475" s="314">
        <f t="shared" si="30"/>
        <v>0</v>
      </c>
      <c r="AV475" s="314">
        <f t="shared" si="30"/>
        <v>0</v>
      </c>
      <c r="AW475" s="314">
        <f t="shared" si="30"/>
        <v>1865665.4683166246</v>
      </c>
    </row>
    <row r="476" spans="1:49" x14ac:dyDescent="0.25">
      <c r="A476" s="311">
        <v>5141443</v>
      </c>
      <c r="B476" s="311"/>
      <c r="C476" s="315" t="str">
        <f t="shared" si="33"/>
        <v>Obce</v>
      </c>
      <c r="D476" s="315" t="str">
        <f t="shared" si="34"/>
        <v>Dům s pečovatelskou službou</v>
      </c>
      <c r="E476" s="315" t="str">
        <f t="shared" si="35"/>
        <v>Město Miletín</v>
      </c>
      <c r="F476" s="313">
        <f t="shared" si="36"/>
        <v>5141443</v>
      </c>
      <c r="G476" s="313"/>
      <c r="H476" s="313"/>
      <c r="I476" s="313"/>
      <c r="J476" s="313"/>
      <c r="K476" s="313"/>
      <c r="L476" s="313"/>
      <c r="M476" s="313"/>
      <c r="N476" s="313"/>
      <c r="O476" s="313"/>
      <c r="P476" s="313"/>
      <c r="Q476" s="313"/>
      <c r="R476" s="313"/>
      <c r="S476" s="313"/>
      <c r="T476" s="313">
        <f t="shared" si="37"/>
        <v>1.2</v>
      </c>
      <c r="U476" s="313">
        <f t="shared" si="37"/>
        <v>0.1</v>
      </c>
      <c r="V476" s="313">
        <f t="shared" si="37"/>
        <v>1.1000000000000001</v>
      </c>
      <c r="W476" s="313">
        <f t="shared" si="37"/>
        <v>0</v>
      </c>
      <c r="X476" s="313">
        <f t="shared" si="37"/>
        <v>0</v>
      </c>
      <c r="Y476" s="313">
        <f t="shared" si="37"/>
        <v>0</v>
      </c>
      <c r="Z476" s="313">
        <f t="shared" si="37"/>
        <v>25</v>
      </c>
      <c r="AA476" s="313">
        <f t="shared" si="37"/>
        <v>0</v>
      </c>
      <c r="AB476" s="313">
        <f t="shared" si="37"/>
        <v>0</v>
      </c>
      <c r="AD476" s="313">
        <f t="shared" si="31"/>
        <v>1.2</v>
      </c>
      <c r="AE476" s="313">
        <f t="shared" si="31"/>
        <v>0.1</v>
      </c>
      <c r="AF476" s="313">
        <f t="shared" si="31"/>
        <v>1.1000000000000001</v>
      </c>
      <c r="AG476" s="313">
        <f t="shared" si="31"/>
        <v>0</v>
      </c>
      <c r="AH476" s="313">
        <f t="shared" si="31"/>
        <v>0</v>
      </c>
      <c r="AI476" s="313">
        <f t="shared" si="31"/>
        <v>0</v>
      </c>
      <c r="AJ476" s="313">
        <f t="shared" si="31"/>
        <v>0</v>
      </c>
      <c r="AL476" s="314">
        <f t="shared" si="31"/>
        <v>662829.6013088742</v>
      </c>
      <c r="AM476" s="314">
        <f t="shared" si="31"/>
        <v>0</v>
      </c>
      <c r="AN476" s="314">
        <f t="shared" si="31"/>
        <v>50208.67806965614</v>
      </c>
      <c r="AO476" s="314">
        <f t="shared" si="31"/>
        <v>0</v>
      </c>
      <c r="AP476" s="314">
        <f t="shared" si="32"/>
        <v>713038.27937853034</v>
      </c>
      <c r="AR476" s="314">
        <f t="shared" si="30"/>
        <v>152630.75882352944</v>
      </c>
      <c r="AS476" s="314">
        <f t="shared" si="30"/>
        <v>0</v>
      </c>
      <c r="AT476" s="314">
        <f t="shared" si="30"/>
        <v>0</v>
      </c>
      <c r="AU476" s="314">
        <f t="shared" si="30"/>
        <v>0</v>
      </c>
      <c r="AV476" s="314">
        <f t="shared" si="30"/>
        <v>152630.75882352944</v>
      </c>
      <c r="AW476" s="314">
        <f t="shared" si="30"/>
        <v>560407.52055500087</v>
      </c>
    </row>
    <row r="477" spans="1:49" x14ac:dyDescent="0.25">
      <c r="A477" s="311">
        <v>5173305</v>
      </c>
      <c r="B477" s="311"/>
      <c r="C477" s="315" t="str">
        <f t="shared" si="33"/>
        <v>Obce</v>
      </c>
      <c r="D477" s="315" t="str">
        <f t="shared" si="34"/>
        <v>Stacionář mezi mosty Trutnov</v>
      </c>
      <c r="E477" s="315" t="str">
        <f t="shared" si="35"/>
        <v>Stacionář mezi mosty Trutnov</v>
      </c>
      <c r="F477" s="313">
        <f t="shared" si="36"/>
        <v>5173305</v>
      </c>
      <c r="G477" s="313"/>
      <c r="H477" s="313"/>
      <c r="I477" s="313"/>
      <c r="J477" s="313"/>
      <c r="K477" s="313"/>
      <c r="L477" s="313"/>
      <c r="M477" s="313"/>
      <c r="N477" s="313"/>
      <c r="O477" s="313"/>
      <c r="P477" s="313"/>
      <c r="Q477" s="313"/>
      <c r="R477" s="313"/>
      <c r="S477" s="313"/>
      <c r="T477" s="313">
        <f t="shared" si="37"/>
        <v>13.5</v>
      </c>
      <c r="U477" s="313">
        <f t="shared" si="37"/>
        <v>1.75</v>
      </c>
      <c r="V477" s="313">
        <f t="shared" si="37"/>
        <v>10</v>
      </c>
      <c r="W477" s="313">
        <f t="shared" si="37"/>
        <v>0.5</v>
      </c>
      <c r="X477" s="313">
        <f t="shared" si="37"/>
        <v>1.25</v>
      </c>
      <c r="Y477" s="313">
        <f t="shared" si="37"/>
        <v>0</v>
      </c>
      <c r="Z477" s="313">
        <f t="shared" si="37"/>
        <v>0</v>
      </c>
      <c r="AA477" s="313">
        <f t="shared" si="37"/>
        <v>65</v>
      </c>
      <c r="AB477" s="313">
        <f t="shared" si="37"/>
        <v>0</v>
      </c>
      <c r="AD477" s="313">
        <f t="shared" si="31"/>
        <v>13.5</v>
      </c>
      <c r="AE477" s="313">
        <f t="shared" si="31"/>
        <v>1.75</v>
      </c>
      <c r="AF477" s="313">
        <f t="shared" si="31"/>
        <v>10</v>
      </c>
      <c r="AG477" s="313">
        <f t="shared" si="31"/>
        <v>0.5</v>
      </c>
      <c r="AH477" s="313">
        <f t="shared" si="31"/>
        <v>1.25</v>
      </c>
      <c r="AI477" s="313">
        <f t="shared" si="31"/>
        <v>0</v>
      </c>
      <c r="AJ477" s="313">
        <f t="shared" si="31"/>
        <v>65</v>
      </c>
      <c r="AL477" s="314">
        <f t="shared" si="31"/>
        <v>9622879.9563384131</v>
      </c>
      <c r="AM477" s="314">
        <f t="shared" si="31"/>
        <v>0</v>
      </c>
      <c r="AN477" s="314">
        <f t="shared" si="31"/>
        <v>1761179.7816026383</v>
      </c>
      <c r="AO477" s="314">
        <f t="shared" si="31"/>
        <v>344373.69780087302</v>
      </c>
      <c r="AP477" s="314">
        <f t="shared" si="32"/>
        <v>11728433.435741924</v>
      </c>
      <c r="AR477" s="314">
        <f t="shared" si="30"/>
        <v>1584998.2026143789</v>
      </c>
      <c r="AS477" s="314">
        <f t="shared" si="30"/>
        <v>0</v>
      </c>
      <c r="AT477" s="314">
        <f t="shared" si="30"/>
        <v>0</v>
      </c>
      <c r="AU477" s="314">
        <f t="shared" si="30"/>
        <v>354400</v>
      </c>
      <c r="AV477" s="314">
        <f t="shared" si="30"/>
        <v>1939398.2026143789</v>
      </c>
      <c r="AW477" s="314">
        <f t="shared" si="30"/>
        <v>9789035.2331275456</v>
      </c>
    </row>
    <row r="478" spans="1:49" x14ac:dyDescent="0.25">
      <c r="A478" s="311">
        <v>5175408</v>
      </c>
      <c r="B478" s="311"/>
      <c r="C478" s="315" t="str">
        <f t="shared" si="33"/>
        <v>Obce</v>
      </c>
      <c r="D478" s="315" t="str">
        <f t="shared" si="34"/>
        <v>Středisko sociálních služeb Chlumec nad Cidlinou o.p.s.</v>
      </c>
      <c r="E478" s="315" t="str">
        <f t="shared" si="35"/>
        <v>Středisko sociálních služeb Chlumec nad Cidlinou o.p.s.</v>
      </c>
      <c r="F478" s="313">
        <f t="shared" si="36"/>
        <v>5175408</v>
      </c>
      <c r="G478" s="313"/>
      <c r="H478" s="313"/>
      <c r="I478" s="313"/>
      <c r="J478" s="313"/>
      <c r="K478" s="313"/>
      <c r="L478" s="313"/>
      <c r="M478" s="313"/>
      <c r="N478" s="313"/>
      <c r="O478" s="313"/>
      <c r="P478" s="313"/>
      <c r="Q478" s="313"/>
      <c r="R478" s="313"/>
      <c r="S478" s="313"/>
      <c r="T478" s="313">
        <f t="shared" si="37"/>
        <v>2</v>
      </c>
      <c r="U478" s="313">
        <f t="shared" si="37"/>
        <v>0</v>
      </c>
      <c r="V478" s="313">
        <f t="shared" si="37"/>
        <v>2</v>
      </c>
      <c r="W478" s="313">
        <f t="shared" si="37"/>
        <v>0</v>
      </c>
      <c r="X478" s="313">
        <f t="shared" si="37"/>
        <v>0</v>
      </c>
      <c r="Y478" s="313">
        <f t="shared" si="37"/>
        <v>0</v>
      </c>
      <c r="Z478" s="313">
        <f t="shared" si="37"/>
        <v>70</v>
      </c>
      <c r="AA478" s="313">
        <f t="shared" si="37"/>
        <v>0</v>
      </c>
      <c r="AB478" s="313">
        <f t="shared" si="37"/>
        <v>0</v>
      </c>
      <c r="AD478" s="313">
        <f t="shared" si="31"/>
        <v>2</v>
      </c>
      <c r="AE478" s="313">
        <f t="shared" si="31"/>
        <v>0</v>
      </c>
      <c r="AF478" s="313">
        <f t="shared" si="31"/>
        <v>2</v>
      </c>
      <c r="AG478" s="313">
        <f t="shared" si="31"/>
        <v>0</v>
      </c>
      <c r="AH478" s="313">
        <f t="shared" si="31"/>
        <v>0</v>
      </c>
      <c r="AI478" s="313">
        <f t="shared" si="31"/>
        <v>0</v>
      </c>
      <c r="AJ478" s="313">
        <f t="shared" si="31"/>
        <v>0</v>
      </c>
      <c r="AL478" s="314">
        <f t="shared" si="31"/>
        <v>1104716.0021814571</v>
      </c>
      <c r="AM478" s="314">
        <f t="shared" si="31"/>
        <v>0</v>
      </c>
      <c r="AN478" s="314">
        <f t="shared" si="31"/>
        <v>83681.130116093569</v>
      </c>
      <c r="AO478" s="314">
        <f t="shared" si="31"/>
        <v>0</v>
      </c>
      <c r="AP478" s="314">
        <f t="shared" si="32"/>
        <v>1188397.1322975508</v>
      </c>
      <c r="AR478" s="314">
        <f t="shared" ref="AR478:AW493" si="38">SUMIFS(AR$4:AR$337,$A$4:$A$337,$A478)</f>
        <v>277510.4705882353</v>
      </c>
      <c r="AS478" s="314">
        <f t="shared" si="38"/>
        <v>0</v>
      </c>
      <c r="AT478" s="314">
        <f t="shared" si="38"/>
        <v>0</v>
      </c>
      <c r="AU478" s="314">
        <f t="shared" si="38"/>
        <v>0</v>
      </c>
      <c r="AV478" s="314">
        <f t="shared" si="38"/>
        <v>277510.4705882353</v>
      </c>
      <c r="AW478" s="314">
        <f t="shared" si="38"/>
        <v>910886.66170931549</v>
      </c>
    </row>
    <row r="479" spans="1:49" x14ac:dyDescent="0.25">
      <c r="A479" s="311">
        <v>5204562</v>
      </c>
      <c r="B479" s="311"/>
      <c r="C479" s="315" t="str">
        <f t="shared" si="33"/>
        <v>Obce</v>
      </c>
      <c r="D479" s="315" t="str">
        <f t="shared" si="34"/>
        <v>Pečovatelská služba města Úpice</v>
      </c>
      <c r="E479" s="315" t="str">
        <f t="shared" si="35"/>
        <v>Město Úpice</v>
      </c>
      <c r="F479" s="313">
        <f t="shared" si="36"/>
        <v>5204562</v>
      </c>
      <c r="G479" s="313"/>
      <c r="H479" s="313"/>
      <c r="I479" s="313"/>
      <c r="J479" s="313"/>
      <c r="K479" s="313"/>
      <c r="L479" s="313"/>
      <c r="M479" s="313"/>
      <c r="N479" s="313"/>
      <c r="O479" s="313"/>
      <c r="P479" s="313"/>
      <c r="Q479" s="313"/>
      <c r="R479" s="313"/>
      <c r="S479" s="313"/>
      <c r="T479" s="313">
        <f t="shared" si="37"/>
        <v>5.7</v>
      </c>
      <c r="U479" s="313">
        <f t="shared" si="37"/>
        <v>0.7</v>
      </c>
      <c r="V479" s="313">
        <f t="shared" si="37"/>
        <v>5</v>
      </c>
      <c r="W479" s="313">
        <f t="shared" si="37"/>
        <v>0</v>
      </c>
      <c r="X479" s="313">
        <f t="shared" si="37"/>
        <v>0</v>
      </c>
      <c r="Y479" s="313">
        <f t="shared" si="37"/>
        <v>0</v>
      </c>
      <c r="Z479" s="313">
        <f t="shared" si="37"/>
        <v>160</v>
      </c>
      <c r="AA479" s="313">
        <f t="shared" si="37"/>
        <v>0</v>
      </c>
      <c r="AB479" s="313">
        <f t="shared" si="37"/>
        <v>0</v>
      </c>
      <c r="AD479" s="313">
        <f t="shared" ref="AD479:AJ494" si="39">SUMIFS(AD$4:AD$337,$A$4:$A$337,$A479)</f>
        <v>5.7</v>
      </c>
      <c r="AE479" s="313">
        <f t="shared" si="39"/>
        <v>0.7</v>
      </c>
      <c r="AF479" s="313">
        <f t="shared" si="39"/>
        <v>5</v>
      </c>
      <c r="AG479" s="313">
        <f t="shared" si="39"/>
        <v>0</v>
      </c>
      <c r="AH479" s="313">
        <f t="shared" si="39"/>
        <v>0</v>
      </c>
      <c r="AI479" s="313">
        <f t="shared" si="39"/>
        <v>0</v>
      </c>
      <c r="AJ479" s="313">
        <f t="shared" si="39"/>
        <v>0</v>
      </c>
      <c r="AL479" s="314">
        <f t="shared" ref="AL479:AS525" si="40">SUMIFS(AL$4:AL$337,$A$4:$A$337,$A479)</f>
        <v>3148440.6062171529</v>
      </c>
      <c r="AM479" s="314">
        <f t="shared" si="40"/>
        <v>0</v>
      </c>
      <c r="AN479" s="314">
        <f t="shared" si="40"/>
        <v>238491.22083086669</v>
      </c>
      <c r="AO479" s="314">
        <f t="shared" si="40"/>
        <v>0</v>
      </c>
      <c r="AP479" s="314">
        <f t="shared" si="40"/>
        <v>3386931.8270480195</v>
      </c>
      <c r="AR479" s="314">
        <f t="shared" si="40"/>
        <v>693776.17647058819</v>
      </c>
      <c r="AS479" s="314">
        <f t="shared" si="40"/>
        <v>0</v>
      </c>
      <c r="AT479" s="314">
        <f t="shared" si="38"/>
        <v>0</v>
      </c>
      <c r="AU479" s="314">
        <f t="shared" si="38"/>
        <v>0</v>
      </c>
      <c r="AV479" s="314">
        <f t="shared" si="38"/>
        <v>693776.17647058819</v>
      </c>
      <c r="AW479" s="314">
        <f t="shared" si="38"/>
        <v>2693155.6505774315</v>
      </c>
    </row>
    <row r="480" spans="1:49" x14ac:dyDescent="0.25">
      <c r="A480" s="311">
        <v>5220717</v>
      </c>
      <c r="B480" s="311"/>
      <c r="C480" s="315" t="str">
        <f t="shared" si="33"/>
        <v>PO KHK</v>
      </c>
      <c r="D480" s="315" t="str">
        <f t="shared" si="34"/>
        <v>DOMOV NA STŘÍBRNÉM VRCHU</v>
      </c>
      <c r="E480" s="315" t="str">
        <f t="shared" si="35"/>
        <v>DOMOV NA STŘÍBRNÉM VRCHU</v>
      </c>
      <c r="F480" s="313">
        <f t="shared" si="36"/>
        <v>5220717</v>
      </c>
      <c r="G480" s="313"/>
      <c r="H480" s="313"/>
      <c r="I480" s="313"/>
      <c r="J480" s="313"/>
      <c r="K480" s="313"/>
      <c r="L480" s="313"/>
      <c r="M480" s="313"/>
      <c r="N480" s="313"/>
      <c r="O480" s="313"/>
      <c r="P480" s="313"/>
      <c r="Q480" s="313"/>
      <c r="R480" s="313"/>
      <c r="S480" s="313"/>
      <c r="T480" s="313">
        <f t="shared" si="37"/>
        <v>32.9</v>
      </c>
      <c r="U480" s="313">
        <f t="shared" si="37"/>
        <v>1.1000000000000001</v>
      </c>
      <c r="V480" s="313">
        <f t="shared" si="37"/>
        <v>26.15</v>
      </c>
      <c r="W480" s="313">
        <f t="shared" si="37"/>
        <v>5.65</v>
      </c>
      <c r="X480" s="313">
        <f t="shared" si="37"/>
        <v>0</v>
      </c>
      <c r="Y480" s="313">
        <f t="shared" si="37"/>
        <v>40</v>
      </c>
      <c r="Z480" s="313">
        <f t="shared" si="37"/>
        <v>0</v>
      </c>
      <c r="AA480" s="313">
        <f t="shared" si="37"/>
        <v>0</v>
      </c>
      <c r="AB480" s="313">
        <f t="shared" si="37"/>
        <v>0</v>
      </c>
      <c r="AD480" s="313">
        <f t="shared" si="39"/>
        <v>32.9</v>
      </c>
      <c r="AE480" s="313">
        <f t="shared" si="39"/>
        <v>1.1000000000000001</v>
      </c>
      <c r="AF480" s="313">
        <f t="shared" si="39"/>
        <v>26.15</v>
      </c>
      <c r="AG480" s="313">
        <f t="shared" si="39"/>
        <v>5.65</v>
      </c>
      <c r="AH480" s="313">
        <f t="shared" si="39"/>
        <v>0</v>
      </c>
      <c r="AI480" s="313">
        <f t="shared" si="39"/>
        <v>40</v>
      </c>
      <c r="AJ480" s="313">
        <f t="shared" si="39"/>
        <v>0</v>
      </c>
      <c r="AL480" s="314">
        <f t="shared" si="40"/>
        <v>17388990.471380118</v>
      </c>
      <c r="AM480" s="314">
        <f t="shared" si="40"/>
        <v>4567161.0362464627</v>
      </c>
      <c r="AN480" s="314">
        <f t="shared" si="40"/>
        <v>3860836.6036169073</v>
      </c>
      <c r="AO480" s="314">
        <f t="shared" si="40"/>
        <v>2603498.3708672253</v>
      </c>
      <c r="AP480" s="314">
        <f t="shared" si="40"/>
        <v>28420486.482110716</v>
      </c>
      <c r="AR480" s="314">
        <f t="shared" si="40"/>
        <v>4802728.8</v>
      </c>
      <c r="AS480" s="314">
        <f t="shared" si="40"/>
        <v>899283.85</v>
      </c>
      <c r="AT480" s="314">
        <f t="shared" si="38"/>
        <v>2657673.1034482759</v>
      </c>
      <c r="AU480" s="314">
        <f t="shared" si="38"/>
        <v>2040054</v>
      </c>
      <c r="AV480" s="314">
        <f t="shared" si="38"/>
        <v>10399739.753448276</v>
      </c>
      <c r="AW480" s="314">
        <f t="shared" si="38"/>
        <v>18020746.728662439</v>
      </c>
    </row>
    <row r="481" spans="1:49" x14ac:dyDescent="0.25">
      <c r="A481" s="311">
        <v>5312119</v>
      </c>
      <c r="B481" s="311"/>
      <c r="C481" s="315" t="str">
        <f t="shared" si="33"/>
        <v>Obce</v>
      </c>
      <c r="D481" s="315" t="str">
        <f t="shared" si="34"/>
        <v>Týdenní stacionáře</v>
      </c>
      <c r="E481" s="315" t="str">
        <f t="shared" si="35"/>
        <v>Dětské centrum Jilemnice, příspěvková organizace</v>
      </c>
      <c r="F481" s="313">
        <f t="shared" si="36"/>
        <v>5312119</v>
      </c>
      <c r="G481" s="313"/>
      <c r="H481" s="313"/>
      <c r="I481" s="313"/>
      <c r="J481" s="313"/>
      <c r="K481" s="313"/>
      <c r="L481" s="313"/>
      <c r="M481" s="313"/>
      <c r="N481" s="313"/>
      <c r="O481" s="313"/>
      <c r="P481" s="313"/>
      <c r="Q481" s="313"/>
      <c r="R481" s="313"/>
      <c r="S481" s="313"/>
      <c r="T481" s="313">
        <f t="shared" si="37"/>
        <v>2.9</v>
      </c>
      <c r="U481" s="313">
        <f t="shared" si="37"/>
        <v>0.2</v>
      </c>
      <c r="V481" s="313">
        <f t="shared" si="37"/>
        <v>1.2</v>
      </c>
      <c r="W481" s="313">
        <f t="shared" si="37"/>
        <v>1.5</v>
      </c>
      <c r="X481" s="313">
        <f t="shared" si="37"/>
        <v>0</v>
      </c>
      <c r="Y481" s="313">
        <f t="shared" si="37"/>
        <v>5</v>
      </c>
      <c r="Z481" s="313">
        <f t="shared" si="37"/>
        <v>0</v>
      </c>
      <c r="AA481" s="313">
        <f t="shared" si="37"/>
        <v>0</v>
      </c>
      <c r="AB481" s="313">
        <f t="shared" si="37"/>
        <v>0</v>
      </c>
      <c r="AD481" s="313">
        <f t="shared" si="39"/>
        <v>2.9</v>
      </c>
      <c r="AE481" s="313">
        <f t="shared" si="39"/>
        <v>0.2</v>
      </c>
      <c r="AF481" s="313">
        <f t="shared" si="39"/>
        <v>1.2</v>
      </c>
      <c r="AG481" s="313">
        <f t="shared" si="39"/>
        <v>1.5</v>
      </c>
      <c r="AH481" s="313">
        <f t="shared" si="39"/>
        <v>0</v>
      </c>
      <c r="AI481" s="313">
        <f t="shared" si="39"/>
        <v>5</v>
      </c>
      <c r="AJ481" s="313">
        <f t="shared" si="39"/>
        <v>0</v>
      </c>
      <c r="AL481" s="314">
        <f t="shared" si="40"/>
        <v>1674623.3534945361</v>
      </c>
      <c r="AM481" s="314">
        <f t="shared" si="40"/>
        <v>1076958.9487339619</v>
      </c>
      <c r="AN481" s="314">
        <f t="shared" si="40"/>
        <v>405364.67192535126</v>
      </c>
      <c r="AO481" s="314">
        <f t="shared" si="40"/>
        <v>172183.2824365712</v>
      </c>
      <c r="AP481" s="314">
        <f t="shared" si="40"/>
        <v>3329130.2565904204</v>
      </c>
      <c r="AR481" s="314">
        <f t="shared" si="40"/>
        <v>327214.44444444444</v>
      </c>
      <c r="AS481" s="314">
        <f t="shared" si="40"/>
        <v>0</v>
      </c>
      <c r="AT481" s="314">
        <f t="shared" si="38"/>
        <v>153900</v>
      </c>
      <c r="AU481" s="314">
        <f t="shared" si="38"/>
        <v>129588.88888888889</v>
      </c>
      <c r="AV481" s="314">
        <f t="shared" si="38"/>
        <v>610703.33333333337</v>
      </c>
      <c r="AW481" s="314">
        <f t="shared" si="38"/>
        <v>2718426.9232570869</v>
      </c>
    </row>
    <row r="482" spans="1:49" x14ac:dyDescent="0.25">
      <c r="A482" s="311">
        <v>5344327</v>
      </c>
      <c r="B482" s="311"/>
      <c r="C482" s="315" t="str">
        <f t="shared" si="33"/>
        <v>Obce</v>
      </c>
      <c r="D482" s="315" t="str">
        <f t="shared" si="34"/>
        <v>Sociální služby města Hořice</v>
      </c>
      <c r="E482" s="315" t="str">
        <f t="shared" si="35"/>
        <v>Sociální služby města Hořice</v>
      </c>
      <c r="F482" s="313">
        <f t="shared" si="36"/>
        <v>5344327</v>
      </c>
      <c r="G482" s="313"/>
      <c r="H482" s="313"/>
      <c r="I482" s="313"/>
      <c r="J482" s="313"/>
      <c r="K482" s="313"/>
      <c r="L482" s="313"/>
      <c r="M482" s="313"/>
      <c r="N482" s="313"/>
      <c r="O482" s="313"/>
      <c r="P482" s="313"/>
      <c r="Q482" s="313"/>
      <c r="R482" s="313"/>
      <c r="S482" s="313"/>
      <c r="T482" s="313">
        <f t="shared" si="37"/>
        <v>22.7</v>
      </c>
      <c r="U482" s="313">
        <f t="shared" si="37"/>
        <v>1.2</v>
      </c>
      <c r="V482" s="313">
        <f t="shared" si="37"/>
        <v>18</v>
      </c>
      <c r="W482" s="313">
        <f t="shared" si="37"/>
        <v>3.5</v>
      </c>
      <c r="X482" s="313">
        <f t="shared" si="37"/>
        <v>0</v>
      </c>
      <c r="Y482" s="313">
        <f t="shared" si="37"/>
        <v>60</v>
      </c>
      <c r="Z482" s="313">
        <f t="shared" si="37"/>
        <v>0</v>
      </c>
      <c r="AA482" s="313">
        <f t="shared" si="37"/>
        <v>0</v>
      </c>
      <c r="AB482" s="313">
        <f t="shared" si="37"/>
        <v>0</v>
      </c>
      <c r="AD482" s="313">
        <f t="shared" si="39"/>
        <v>22.7</v>
      </c>
      <c r="AE482" s="313">
        <f t="shared" si="39"/>
        <v>1.2</v>
      </c>
      <c r="AF482" s="313">
        <f t="shared" si="39"/>
        <v>18</v>
      </c>
      <c r="AG482" s="313">
        <f t="shared" si="39"/>
        <v>3.5</v>
      </c>
      <c r="AH482" s="313">
        <f t="shared" si="39"/>
        <v>0</v>
      </c>
      <c r="AI482" s="313">
        <f t="shared" si="39"/>
        <v>60</v>
      </c>
      <c r="AJ482" s="313">
        <f t="shared" si="39"/>
        <v>0</v>
      </c>
      <c r="AL482" s="314">
        <f t="shared" si="40"/>
        <v>12518488.119284185</v>
      </c>
      <c r="AM482" s="314">
        <f t="shared" si="40"/>
        <v>2837473.4273768477</v>
      </c>
      <c r="AN482" s="314">
        <f t="shared" si="40"/>
        <v>5884537.3956598956</v>
      </c>
      <c r="AO482" s="314">
        <f t="shared" si="40"/>
        <v>4126265.9978583697</v>
      </c>
      <c r="AP482" s="314">
        <f t="shared" si="40"/>
        <v>25366764.940179296</v>
      </c>
      <c r="AR482" s="314">
        <f t="shared" si="40"/>
        <v>6736229.1093518054</v>
      </c>
      <c r="AS482" s="314">
        <f t="shared" si="40"/>
        <v>1754692.1256038647</v>
      </c>
      <c r="AT482" s="314">
        <f t="shared" si="38"/>
        <v>4255426.4775413712</v>
      </c>
      <c r="AU482" s="314">
        <f t="shared" si="38"/>
        <v>3052623.7775735296</v>
      </c>
      <c r="AV482" s="314">
        <f t="shared" si="38"/>
        <v>15798971.49007057</v>
      </c>
      <c r="AW482" s="314">
        <f t="shared" si="38"/>
        <v>9567793.4501087256</v>
      </c>
    </row>
    <row r="483" spans="1:49" x14ac:dyDescent="0.25">
      <c r="A483" s="311">
        <v>5369609</v>
      </c>
      <c r="B483" s="311"/>
      <c r="C483" s="315" t="str">
        <f t="shared" si="33"/>
        <v>NZO</v>
      </c>
      <c r="D483" s="315" t="str">
        <f t="shared" si="34"/>
        <v>KOMUNITNÍ CENTRUM</v>
      </c>
      <c r="E483" s="315" t="str">
        <f t="shared" si="35"/>
        <v>Začít spolu z.s.</v>
      </c>
      <c r="F483" s="313">
        <f t="shared" si="36"/>
        <v>5369609</v>
      </c>
      <c r="G483" s="313"/>
      <c r="H483" s="313"/>
      <c r="I483" s="313"/>
      <c r="J483" s="313"/>
      <c r="K483" s="313"/>
      <c r="L483" s="313"/>
      <c r="M483" s="313"/>
      <c r="N483" s="313"/>
      <c r="O483" s="313"/>
      <c r="P483" s="313"/>
      <c r="Q483" s="313"/>
      <c r="R483" s="313"/>
      <c r="S483" s="313"/>
      <c r="T483" s="313">
        <f t="shared" si="37"/>
        <v>3.5</v>
      </c>
      <c r="U483" s="313">
        <f t="shared" si="37"/>
        <v>1.5</v>
      </c>
      <c r="V483" s="313">
        <f t="shared" si="37"/>
        <v>2</v>
      </c>
      <c r="W483" s="313">
        <f t="shared" si="37"/>
        <v>0</v>
      </c>
      <c r="X483" s="313">
        <f t="shared" si="37"/>
        <v>0</v>
      </c>
      <c r="Y483" s="313">
        <f t="shared" si="37"/>
        <v>0</v>
      </c>
      <c r="Z483" s="313">
        <f t="shared" si="37"/>
        <v>120</v>
      </c>
      <c r="AA483" s="313">
        <f t="shared" si="37"/>
        <v>0</v>
      </c>
      <c r="AB483" s="313">
        <f t="shared" si="37"/>
        <v>0</v>
      </c>
      <c r="AD483" s="313">
        <f t="shared" si="39"/>
        <v>3.5</v>
      </c>
      <c r="AE483" s="313">
        <f t="shared" si="39"/>
        <v>1.5</v>
      </c>
      <c r="AF483" s="313">
        <f t="shared" si="39"/>
        <v>2</v>
      </c>
      <c r="AG483" s="313">
        <f t="shared" si="39"/>
        <v>0</v>
      </c>
      <c r="AH483" s="313">
        <f t="shared" si="39"/>
        <v>0</v>
      </c>
      <c r="AI483" s="313">
        <f t="shared" si="39"/>
        <v>0</v>
      </c>
      <c r="AJ483" s="313">
        <f t="shared" si="39"/>
        <v>0</v>
      </c>
      <c r="AL483" s="314">
        <f t="shared" si="40"/>
        <v>2256354.7978770244</v>
      </c>
      <c r="AM483" s="314">
        <f t="shared" si="40"/>
        <v>0</v>
      </c>
      <c r="AN483" s="314">
        <f t="shared" si="40"/>
        <v>153890.70636364134</v>
      </c>
      <c r="AO483" s="314">
        <f t="shared" si="40"/>
        <v>0</v>
      </c>
      <c r="AP483" s="314">
        <f t="shared" si="40"/>
        <v>2410245.5042406656</v>
      </c>
      <c r="AR483" s="314">
        <f t="shared" si="40"/>
        <v>0</v>
      </c>
      <c r="AS483" s="314">
        <f t="shared" si="40"/>
        <v>0</v>
      </c>
      <c r="AT483" s="314">
        <f t="shared" si="38"/>
        <v>0</v>
      </c>
      <c r="AU483" s="314">
        <f t="shared" si="38"/>
        <v>0</v>
      </c>
      <c r="AV483" s="314">
        <f t="shared" si="38"/>
        <v>0</v>
      </c>
      <c r="AW483" s="314">
        <f t="shared" si="38"/>
        <v>2410245.5042406656</v>
      </c>
    </row>
    <row r="484" spans="1:49" x14ac:dyDescent="0.25">
      <c r="A484" s="311">
        <v>5376966</v>
      </c>
      <c r="B484" s="311"/>
      <c r="C484" s="315" t="str">
        <f t="shared" si="33"/>
        <v>NZO</v>
      </c>
      <c r="D484" s="315" t="str">
        <f t="shared" si="34"/>
        <v>Charitní pečovatelská služba Hradec Králové</v>
      </c>
      <c r="E484" s="315" t="str">
        <f t="shared" si="35"/>
        <v>Oblastní charita Hradec Králové</v>
      </c>
      <c r="F484" s="313">
        <f t="shared" si="36"/>
        <v>5376966</v>
      </c>
      <c r="G484" s="313"/>
      <c r="H484" s="313"/>
      <c r="I484" s="313"/>
      <c r="J484" s="313"/>
      <c r="K484" s="313"/>
      <c r="L484" s="313"/>
      <c r="M484" s="313"/>
      <c r="N484" s="313"/>
      <c r="O484" s="313"/>
      <c r="P484" s="313"/>
      <c r="Q484" s="313"/>
      <c r="R484" s="313"/>
      <c r="S484" s="313"/>
      <c r="T484" s="313">
        <f t="shared" si="37"/>
        <v>28.4</v>
      </c>
      <c r="U484" s="313">
        <f t="shared" si="37"/>
        <v>3</v>
      </c>
      <c r="V484" s="313">
        <f t="shared" si="37"/>
        <v>25.4</v>
      </c>
      <c r="W484" s="313">
        <f t="shared" si="37"/>
        <v>0</v>
      </c>
      <c r="X484" s="313">
        <f t="shared" si="37"/>
        <v>0</v>
      </c>
      <c r="Y484" s="313">
        <f t="shared" si="37"/>
        <v>0</v>
      </c>
      <c r="Z484" s="313">
        <f t="shared" si="37"/>
        <v>230</v>
      </c>
      <c r="AA484" s="313">
        <f t="shared" si="37"/>
        <v>0</v>
      </c>
      <c r="AB484" s="313">
        <f t="shared" si="37"/>
        <v>0</v>
      </c>
      <c r="AD484" s="313">
        <f t="shared" si="39"/>
        <v>28.4</v>
      </c>
      <c r="AE484" s="313">
        <f t="shared" si="39"/>
        <v>3</v>
      </c>
      <c r="AF484" s="313">
        <f t="shared" si="39"/>
        <v>25.4</v>
      </c>
      <c r="AG484" s="313">
        <f t="shared" si="39"/>
        <v>0</v>
      </c>
      <c r="AH484" s="313">
        <f t="shared" si="39"/>
        <v>0</v>
      </c>
      <c r="AI484" s="313">
        <f t="shared" si="39"/>
        <v>0</v>
      </c>
      <c r="AJ484" s="313">
        <f t="shared" si="39"/>
        <v>0</v>
      </c>
      <c r="AL484" s="314">
        <f t="shared" si="40"/>
        <v>15686967.23097669</v>
      </c>
      <c r="AM484" s="314">
        <f t="shared" si="40"/>
        <v>0</v>
      </c>
      <c r="AN484" s="314">
        <f t="shared" si="40"/>
        <v>1188272.0476485286</v>
      </c>
      <c r="AO484" s="314">
        <f t="shared" si="40"/>
        <v>0</v>
      </c>
      <c r="AP484" s="314">
        <f t="shared" si="40"/>
        <v>16875239.27862522</v>
      </c>
      <c r="AR484" s="314">
        <f t="shared" si="40"/>
        <v>3524382.9764705882</v>
      </c>
      <c r="AS484" s="314">
        <f t="shared" si="40"/>
        <v>0</v>
      </c>
      <c r="AT484" s="314">
        <f t="shared" si="38"/>
        <v>0</v>
      </c>
      <c r="AU484" s="314">
        <f t="shared" si="38"/>
        <v>0</v>
      </c>
      <c r="AV484" s="314">
        <f t="shared" si="38"/>
        <v>3524382.9764705882</v>
      </c>
      <c r="AW484" s="314">
        <f t="shared" si="38"/>
        <v>13350856.302154632</v>
      </c>
    </row>
    <row r="485" spans="1:49" x14ac:dyDescent="0.25">
      <c r="A485" s="311">
        <v>5539112</v>
      </c>
      <c r="B485" s="311"/>
      <c r="C485" s="315" t="str">
        <f t="shared" si="33"/>
        <v>NZO</v>
      </c>
      <c r="D485" s="315" t="str">
        <f t="shared" si="34"/>
        <v>Život bez bariér, z. ú.</v>
      </c>
      <c r="E485" s="315" t="str">
        <f t="shared" si="35"/>
        <v>Život bez bariér, z. ú.</v>
      </c>
      <c r="F485" s="313">
        <f t="shared" si="36"/>
        <v>5539112</v>
      </c>
      <c r="G485" s="313"/>
      <c r="H485" s="313"/>
      <c r="I485" s="313"/>
      <c r="J485" s="313"/>
      <c r="K485" s="313"/>
      <c r="L485" s="313"/>
      <c r="M485" s="313"/>
      <c r="N485" s="313"/>
      <c r="O485" s="313"/>
      <c r="P485" s="313"/>
      <c r="Q485" s="313"/>
      <c r="R485" s="313"/>
      <c r="S485" s="313"/>
      <c r="T485" s="313">
        <f t="shared" si="37"/>
        <v>3.3</v>
      </c>
      <c r="U485" s="313">
        <f t="shared" si="37"/>
        <v>0.3</v>
      </c>
      <c r="V485" s="313">
        <f t="shared" si="37"/>
        <v>3</v>
      </c>
      <c r="W485" s="313">
        <f t="shared" si="37"/>
        <v>0</v>
      </c>
      <c r="X485" s="313">
        <f t="shared" si="37"/>
        <v>0</v>
      </c>
      <c r="Y485" s="313">
        <f t="shared" si="37"/>
        <v>0</v>
      </c>
      <c r="Z485" s="313">
        <f t="shared" si="37"/>
        <v>0</v>
      </c>
      <c r="AA485" s="313">
        <f t="shared" si="37"/>
        <v>15</v>
      </c>
      <c r="AB485" s="313">
        <f t="shared" si="37"/>
        <v>0</v>
      </c>
      <c r="AD485" s="313">
        <f t="shared" si="39"/>
        <v>3.3</v>
      </c>
      <c r="AE485" s="313">
        <f t="shared" si="39"/>
        <v>0.3</v>
      </c>
      <c r="AF485" s="313">
        <f t="shared" si="39"/>
        <v>3</v>
      </c>
      <c r="AG485" s="313">
        <f t="shared" si="39"/>
        <v>0</v>
      </c>
      <c r="AH485" s="313">
        <f t="shared" si="39"/>
        <v>0</v>
      </c>
      <c r="AI485" s="313">
        <f t="shared" si="39"/>
        <v>0</v>
      </c>
      <c r="AJ485" s="313">
        <f t="shared" si="39"/>
        <v>15</v>
      </c>
      <c r="AL485" s="314">
        <f t="shared" si="40"/>
        <v>2352259.5448827231</v>
      </c>
      <c r="AM485" s="314">
        <f t="shared" si="40"/>
        <v>0</v>
      </c>
      <c r="AN485" s="314">
        <f t="shared" si="40"/>
        <v>406426.10344676266</v>
      </c>
      <c r="AO485" s="314">
        <f t="shared" si="40"/>
        <v>79470.853338663015</v>
      </c>
      <c r="AP485" s="314">
        <f t="shared" si="40"/>
        <v>2838156.5016681487</v>
      </c>
      <c r="AR485" s="314">
        <f t="shared" si="40"/>
        <v>404680.39215686271</v>
      </c>
      <c r="AS485" s="314">
        <f t="shared" si="40"/>
        <v>0</v>
      </c>
      <c r="AT485" s="314">
        <f t="shared" si="38"/>
        <v>0</v>
      </c>
      <c r="AU485" s="314">
        <f t="shared" si="38"/>
        <v>81784.61538461539</v>
      </c>
      <c r="AV485" s="314">
        <f t="shared" si="38"/>
        <v>486465.00754147809</v>
      </c>
      <c r="AW485" s="314">
        <f t="shared" si="38"/>
        <v>2351691.4941266705</v>
      </c>
    </row>
    <row r="486" spans="1:49" x14ac:dyDescent="0.25">
      <c r="A486" s="311">
        <v>5599785</v>
      </c>
      <c r="B486" s="311"/>
      <c r="C486" s="315" t="str">
        <f t="shared" si="33"/>
        <v>Obce</v>
      </c>
      <c r="D486" s="315" t="str">
        <f t="shared" si="34"/>
        <v>Sociální služby města Rychnov nad Kněžnou, o. p. s.</v>
      </c>
      <c r="E486" s="315" t="str">
        <f t="shared" si="35"/>
        <v>PRO-SEN sociálně zdravotní služby, o.p.s.</v>
      </c>
      <c r="F486" s="313">
        <f t="shared" si="36"/>
        <v>5599785</v>
      </c>
      <c r="G486" s="313"/>
      <c r="H486" s="313"/>
      <c r="I486" s="313"/>
      <c r="J486" s="313"/>
      <c r="K486" s="313"/>
      <c r="L486" s="313"/>
      <c r="M486" s="313"/>
      <c r="N486" s="313"/>
      <c r="O486" s="313"/>
      <c r="P486" s="313"/>
      <c r="Q486" s="313"/>
      <c r="R486" s="313"/>
      <c r="S486" s="313"/>
      <c r="T486" s="313">
        <f t="shared" si="37"/>
        <v>2.61</v>
      </c>
      <c r="U486" s="313">
        <f t="shared" si="37"/>
        <v>0.11</v>
      </c>
      <c r="V486" s="313">
        <f t="shared" si="37"/>
        <v>2.5</v>
      </c>
      <c r="W486" s="313">
        <f t="shared" si="37"/>
        <v>0</v>
      </c>
      <c r="X486" s="313">
        <f t="shared" si="37"/>
        <v>0</v>
      </c>
      <c r="Y486" s="313">
        <f t="shared" si="37"/>
        <v>0</v>
      </c>
      <c r="Z486" s="313">
        <f t="shared" si="37"/>
        <v>0</v>
      </c>
      <c r="AA486" s="313">
        <f t="shared" si="37"/>
        <v>20</v>
      </c>
      <c r="AB486" s="313">
        <f t="shared" si="37"/>
        <v>0</v>
      </c>
      <c r="AD486" s="313">
        <f t="shared" si="39"/>
        <v>2.61</v>
      </c>
      <c r="AE486" s="313">
        <f t="shared" si="39"/>
        <v>0.11</v>
      </c>
      <c r="AF486" s="313">
        <f t="shared" si="39"/>
        <v>2.5</v>
      </c>
      <c r="AG486" s="313">
        <f t="shared" si="39"/>
        <v>0</v>
      </c>
      <c r="AH486" s="313">
        <f t="shared" si="39"/>
        <v>0</v>
      </c>
      <c r="AI486" s="313">
        <f t="shared" si="39"/>
        <v>0</v>
      </c>
      <c r="AJ486" s="313">
        <f t="shared" si="39"/>
        <v>20</v>
      </c>
      <c r="AL486" s="314">
        <f t="shared" si="40"/>
        <v>1860423.4582254263</v>
      </c>
      <c r="AM486" s="314">
        <f t="shared" si="40"/>
        <v>0</v>
      </c>
      <c r="AN486" s="314">
        <f t="shared" si="40"/>
        <v>541901.47126235021</v>
      </c>
      <c r="AO486" s="314">
        <f t="shared" si="40"/>
        <v>105961.13778488402</v>
      </c>
      <c r="AP486" s="314">
        <f t="shared" si="40"/>
        <v>2508286.0672726603</v>
      </c>
      <c r="AR486" s="314">
        <f t="shared" si="40"/>
        <v>337233.66013071896</v>
      </c>
      <c r="AS486" s="314">
        <f t="shared" si="40"/>
        <v>0</v>
      </c>
      <c r="AT486" s="314">
        <f t="shared" si="38"/>
        <v>0</v>
      </c>
      <c r="AU486" s="314">
        <f t="shared" si="38"/>
        <v>109046.15384615384</v>
      </c>
      <c r="AV486" s="314">
        <f t="shared" si="38"/>
        <v>446279.81397687283</v>
      </c>
      <c r="AW486" s="314">
        <f t="shared" si="38"/>
        <v>2062006.2532957876</v>
      </c>
    </row>
    <row r="487" spans="1:49" x14ac:dyDescent="0.25">
      <c r="A487" s="311">
        <v>5638901</v>
      </c>
      <c r="B487" s="311"/>
      <c r="C487" s="315" t="str">
        <f t="shared" si="33"/>
        <v>PO KHK</v>
      </c>
      <c r="D487" s="315" t="str">
        <f t="shared" si="34"/>
        <v>Domov V Podzámčí</v>
      </c>
      <c r="E487" s="315" t="str">
        <f t="shared" si="35"/>
        <v>Domov V Podzámčí</v>
      </c>
      <c r="F487" s="313">
        <f t="shared" si="36"/>
        <v>5638901</v>
      </c>
      <c r="G487" s="313"/>
      <c r="H487" s="313"/>
      <c r="I487" s="313"/>
      <c r="J487" s="313"/>
      <c r="K487" s="313"/>
      <c r="L487" s="313"/>
      <c r="M487" s="313"/>
      <c r="N487" s="313"/>
      <c r="O487" s="313"/>
      <c r="P487" s="313"/>
      <c r="Q487" s="313"/>
      <c r="R487" s="313"/>
      <c r="S487" s="313"/>
      <c r="T487" s="313">
        <f t="shared" si="37"/>
        <v>31</v>
      </c>
      <c r="U487" s="313">
        <f t="shared" si="37"/>
        <v>1.9</v>
      </c>
      <c r="V487" s="313">
        <f t="shared" si="37"/>
        <v>23.7</v>
      </c>
      <c r="W487" s="313">
        <f t="shared" si="37"/>
        <v>5.4</v>
      </c>
      <c r="X487" s="313">
        <f t="shared" si="37"/>
        <v>0</v>
      </c>
      <c r="Y487" s="313">
        <f t="shared" si="37"/>
        <v>76</v>
      </c>
      <c r="Z487" s="313">
        <f t="shared" si="37"/>
        <v>0</v>
      </c>
      <c r="AA487" s="313">
        <f t="shared" si="37"/>
        <v>0</v>
      </c>
      <c r="AB487" s="313">
        <f t="shared" si="37"/>
        <v>0</v>
      </c>
      <c r="AD487" s="313">
        <f t="shared" si="39"/>
        <v>31</v>
      </c>
      <c r="AE487" s="313">
        <f t="shared" si="39"/>
        <v>1.9</v>
      </c>
      <c r="AF487" s="313">
        <f t="shared" si="39"/>
        <v>23.7</v>
      </c>
      <c r="AG487" s="313">
        <f t="shared" si="39"/>
        <v>5.4</v>
      </c>
      <c r="AH487" s="313">
        <f t="shared" si="39"/>
        <v>0</v>
      </c>
      <c r="AI487" s="313">
        <f t="shared" si="39"/>
        <v>76</v>
      </c>
      <c r="AJ487" s="313">
        <f t="shared" si="39"/>
        <v>0</v>
      </c>
      <c r="AL487" s="314">
        <f t="shared" si="40"/>
        <v>16336079.121736916</v>
      </c>
      <c r="AM487" s="314">
        <f t="shared" si="40"/>
        <v>4365074.2647311324</v>
      </c>
      <c r="AN487" s="314">
        <f t="shared" si="40"/>
        <v>7335589.5468721241</v>
      </c>
      <c r="AO487" s="314">
        <f t="shared" si="40"/>
        <v>4946646.9046477284</v>
      </c>
      <c r="AP487" s="314">
        <f t="shared" si="40"/>
        <v>32983389.8379879</v>
      </c>
      <c r="AR487" s="314">
        <f t="shared" si="40"/>
        <v>9125184.7200000007</v>
      </c>
      <c r="AS487" s="314">
        <f t="shared" si="40"/>
        <v>1708639.3149999999</v>
      </c>
      <c r="AT487" s="314">
        <f t="shared" si="38"/>
        <v>5049578.8965517245</v>
      </c>
      <c r="AU487" s="314">
        <f t="shared" si="38"/>
        <v>3876102.6</v>
      </c>
      <c r="AV487" s="314">
        <f t="shared" si="38"/>
        <v>19759505.531551726</v>
      </c>
      <c r="AW487" s="314">
        <f t="shared" si="38"/>
        <v>13223884.306436174</v>
      </c>
    </row>
    <row r="488" spans="1:49" x14ac:dyDescent="0.25">
      <c r="A488" s="311">
        <v>5646573</v>
      </c>
      <c r="B488" s="311"/>
      <c r="C488" s="315" t="str">
        <f t="shared" si="33"/>
        <v>NZO</v>
      </c>
      <c r="D488" s="315" t="str">
        <f t="shared" si="34"/>
        <v>Poradna pro cizince a uprchlíky</v>
      </c>
      <c r="E488" s="315" t="str">
        <f t="shared" si="35"/>
        <v>Diecézní katolická charita Hradec Králové</v>
      </c>
      <c r="F488" s="313">
        <f t="shared" si="36"/>
        <v>5646573</v>
      </c>
      <c r="G488" s="313"/>
      <c r="H488" s="313"/>
      <c r="I488" s="313"/>
      <c r="J488" s="313"/>
      <c r="K488" s="313"/>
      <c r="L488" s="313"/>
      <c r="M488" s="313"/>
      <c r="N488" s="313"/>
      <c r="O488" s="313"/>
      <c r="P488" s="313"/>
      <c r="Q488" s="313"/>
      <c r="R488" s="313"/>
      <c r="S488" s="313"/>
      <c r="T488" s="313">
        <f t="shared" si="37"/>
        <v>2.1</v>
      </c>
      <c r="U488" s="313">
        <f t="shared" si="37"/>
        <v>2.1</v>
      </c>
      <c r="V488" s="313">
        <f t="shared" si="37"/>
        <v>0</v>
      </c>
      <c r="W488" s="313">
        <f t="shared" si="37"/>
        <v>0</v>
      </c>
      <c r="X488" s="313">
        <f t="shared" si="37"/>
        <v>0</v>
      </c>
      <c r="Y488" s="313">
        <f t="shared" si="37"/>
        <v>0</v>
      </c>
      <c r="Z488" s="313">
        <f t="shared" si="37"/>
        <v>12</v>
      </c>
      <c r="AA488" s="313">
        <f t="shared" si="37"/>
        <v>0</v>
      </c>
      <c r="AB488" s="313">
        <f t="shared" si="37"/>
        <v>0</v>
      </c>
      <c r="AD488" s="313">
        <f t="shared" si="39"/>
        <v>2.1</v>
      </c>
      <c r="AE488" s="313">
        <f t="shared" si="39"/>
        <v>2.1</v>
      </c>
      <c r="AF488" s="313">
        <f t="shared" si="39"/>
        <v>0</v>
      </c>
      <c r="AG488" s="313">
        <f t="shared" si="39"/>
        <v>0</v>
      </c>
      <c r="AH488" s="313">
        <f t="shared" si="39"/>
        <v>0</v>
      </c>
      <c r="AI488" s="313">
        <f t="shared" si="39"/>
        <v>0</v>
      </c>
      <c r="AJ488" s="313">
        <f t="shared" si="39"/>
        <v>0</v>
      </c>
      <c r="AL488" s="314">
        <f t="shared" si="40"/>
        <v>1398346.4165949819</v>
      </c>
      <c r="AM488" s="314">
        <f t="shared" si="40"/>
        <v>0</v>
      </c>
      <c r="AN488" s="314">
        <f t="shared" si="40"/>
        <v>97034.302284755468</v>
      </c>
      <c r="AO488" s="314">
        <f t="shared" si="40"/>
        <v>0</v>
      </c>
      <c r="AP488" s="314">
        <f t="shared" si="40"/>
        <v>1495380.7188797374</v>
      </c>
      <c r="AR488" s="314">
        <f t="shared" si="40"/>
        <v>0</v>
      </c>
      <c r="AS488" s="314">
        <f t="shared" si="40"/>
        <v>0</v>
      </c>
      <c r="AT488" s="314">
        <f t="shared" si="38"/>
        <v>0</v>
      </c>
      <c r="AU488" s="314">
        <f t="shared" si="38"/>
        <v>0</v>
      </c>
      <c r="AV488" s="314">
        <f t="shared" si="38"/>
        <v>0</v>
      </c>
      <c r="AW488" s="314">
        <f t="shared" si="38"/>
        <v>1495380.7188797374</v>
      </c>
    </row>
    <row r="489" spans="1:49" x14ac:dyDescent="0.25">
      <c r="A489" s="311">
        <v>5651221</v>
      </c>
      <c r="B489" s="311"/>
      <c r="C489" s="315" t="str">
        <f t="shared" si="33"/>
        <v>PO KHK</v>
      </c>
      <c r="D489" s="315" t="str">
        <f t="shared" si="34"/>
        <v>Domov Dolní zámek</v>
      </c>
      <c r="E489" s="315" t="str">
        <f t="shared" si="35"/>
        <v>Domov Dolní zámek</v>
      </c>
      <c r="F489" s="313">
        <f t="shared" si="36"/>
        <v>5651221</v>
      </c>
      <c r="G489" s="313"/>
      <c r="H489" s="313"/>
      <c r="I489" s="313"/>
      <c r="J489" s="313"/>
      <c r="K489" s="313"/>
      <c r="L489" s="313"/>
      <c r="M489" s="313"/>
      <c r="N489" s="313"/>
      <c r="O489" s="313"/>
      <c r="P489" s="313"/>
      <c r="Q489" s="313"/>
      <c r="R489" s="313"/>
      <c r="S489" s="313"/>
      <c r="T489" s="313">
        <f t="shared" si="37"/>
        <v>33</v>
      </c>
      <c r="U489" s="313">
        <f t="shared" si="37"/>
        <v>2</v>
      </c>
      <c r="V489" s="313">
        <f t="shared" si="37"/>
        <v>23</v>
      </c>
      <c r="W489" s="313">
        <f t="shared" si="37"/>
        <v>8</v>
      </c>
      <c r="X489" s="313">
        <f t="shared" si="37"/>
        <v>0</v>
      </c>
      <c r="Y489" s="313">
        <f t="shared" si="37"/>
        <v>49</v>
      </c>
      <c r="Z489" s="313">
        <f t="shared" si="37"/>
        <v>0</v>
      </c>
      <c r="AA489" s="313">
        <f t="shared" si="37"/>
        <v>0</v>
      </c>
      <c r="AB489" s="313">
        <f t="shared" si="37"/>
        <v>0</v>
      </c>
      <c r="AD489" s="313">
        <f t="shared" si="39"/>
        <v>33</v>
      </c>
      <c r="AE489" s="313">
        <f t="shared" si="39"/>
        <v>2</v>
      </c>
      <c r="AF489" s="313">
        <f t="shared" si="39"/>
        <v>23</v>
      </c>
      <c r="AG489" s="313">
        <f t="shared" si="39"/>
        <v>8</v>
      </c>
      <c r="AH489" s="313">
        <f t="shared" si="39"/>
        <v>0</v>
      </c>
      <c r="AI489" s="313">
        <f t="shared" si="39"/>
        <v>49</v>
      </c>
      <c r="AJ489" s="313">
        <f t="shared" si="39"/>
        <v>0</v>
      </c>
      <c r="AL489" s="314">
        <f t="shared" si="40"/>
        <v>15953202.267321208</v>
      </c>
      <c r="AM489" s="314">
        <f t="shared" si="40"/>
        <v>6466776.6884905668</v>
      </c>
      <c r="AN489" s="314">
        <f t="shared" si="40"/>
        <v>4729524.8394307112</v>
      </c>
      <c r="AO489" s="314">
        <f t="shared" si="40"/>
        <v>3189285.5043123513</v>
      </c>
      <c r="AP489" s="314">
        <f t="shared" si="40"/>
        <v>30338789.29955484</v>
      </c>
      <c r="AR489" s="314">
        <f t="shared" si="40"/>
        <v>5883342.7800000003</v>
      </c>
      <c r="AS489" s="314">
        <f t="shared" si="40"/>
        <v>1101622.7162499998</v>
      </c>
      <c r="AT489" s="314">
        <f t="shared" si="38"/>
        <v>3255649.5517241382</v>
      </c>
      <c r="AU489" s="314">
        <f t="shared" si="38"/>
        <v>2499066.15</v>
      </c>
      <c r="AV489" s="314">
        <f t="shared" si="38"/>
        <v>12739681.197974138</v>
      </c>
      <c r="AW489" s="314">
        <f t="shared" si="38"/>
        <v>17599108.101580702</v>
      </c>
    </row>
    <row r="490" spans="1:49" x14ac:dyDescent="0.25">
      <c r="A490" s="311">
        <v>5700178</v>
      </c>
      <c r="B490" s="311"/>
      <c r="C490" s="315" t="str">
        <f t="shared" si="33"/>
        <v>NZO</v>
      </c>
      <c r="D490" s="315" t="str">
        <f t="shared" si="34"/>
        <v>Základní a odborné poradenství pro zrakově postižené</v>
      </c>
      <c r="E490" s="315" t="str">
        <f t="shared" si="35"/>
        <v>TyfloCentrum Hradec Králové, o. p. s.</v>
      </c>
      <c r="F490" s="313">
        <f t="shared" si="36"/>
        <v>5700178</v>
      </c>
      <c r="G490" s="313"/>
      <c r="H490" s="313"/>
      <c r="I490" s="313"/>
      <c r="J490" s="313"/>
      <c r="K490" s="313"/>
      <c r="L490" s="313"/>
      <c r="M490" s="313"/>
      <c r="N490" s="313"/>
      <c r="O490" s="313"/>
      <c r="P490" s="313"/>
      <c r="Q490" s="313"/>
      <c r="R490" s="313"/>
      <c r="S490" s="313"/>
      <c r="T490" s="313">
        <f t="shared" si="37"/>
        <v>1.25</v>
      </c>
      <c r="U490" s="313">
        <f t="shared" si="37"/>
        <v>0.75</v>
      </c>
      <c r="V490" s="313">
        <f t="shared" si="37"/>
        <v>0</v>
      </c>
      <c r="W490" s="313">
        <f t="shared" si="37"/>
        <v>0</v>
      </c>
      <c r="X490" s="313">
        <f t="shared" si="37"/>
        <v>0.5</v>
      </c>
      <c r="Y490" s="313">
        <f t="shared" si="37"/>
        <v>0</v>
      </c>
      <c r="Z490" s="313">
        <f t="shared" si="37"/>
        <v>3</v>
      </c>
      <c r="AA490" s="313">
        <f t="shared" si="37"/>
        <v>0</v>
      </c>
      <c r="AB490" s="313">
        <f t="shared" si="37"/>
        <v>0</v>
      </c>
      <c r="AD490" s="313">
        <f t="shared" si="39"/>
        <v>1.25</v>
      </c>
      <c r="AE490" s="313">
        <f t="shared" si="39"/>
        <v>0.75</v>
      </c>
      <c r="AF490" s="313">
        <f t="shared" si="39"/>
        <v>0</v>
      </c>
      <c r="AG490" s="313">
        <f t="shared" si="39"/>
        <v>0</v>
      </c>
      <c r="AH490" s="313">
        <f t="shared" si="39"/>
        <v>0.5</v>
      </c>
      <c r="AI490" s="313">
        <f t="shared" si="39"/>
        <v>0</v>
      </c>
      <c r="AJ490" s="313">
        <f t="shared" si="39"/>
        <v>0</v>
      </c>
      <c r="AL490" s="314">
        <f t="shared" si="40"/>
        <v>832349.05749701301</v>
      </c>
      <c r="AM490" s="314">
        <f t="shared" si="40"/>
        <v>0</v>
      </c>
      <c r="AN490" s="314">
        <f t="shared" si="40"/>
        <v>57758.513264735389</v>
      </c>
      <c r="AO490" s="314">
        <f t="shared" si="40"/>
        <v>0</v>
      </c>
      <c r="AP490" s="314">
        <f t="shared" si="40"/>
        <v>890107.57076174836</v>
      </c>
      <c r="AR490" s="314">
        <f t="shared" si="40"/>
        <v>0</v>
      </c>
      <c r="AS490" s="314">
        <f t="shared" si="40"/>
        <v>0</v>
      </c>
      <c r="AT490" s="314">
        <f t="shared" si="38"/>
        <v>0</v>
      </c>
      <c r="AU490" s="314">
        <f t="shared" si="38"/>
        <v>0</v>
      </c>
      <c r="AV490" s="314">
        <f t="shared" si="38"/>
        <v>0</v>
      </c>
      <c r="AW490" s="314">
        <f t="shared" si="38"/>
        <v>890107.57076174836</v>
      </c>
    </row>
    <row r="491" spans="1:49" x14ac:dyDescent="0.25">
      <c r="A491" s="311">
        <v>5703553</v>
      </c>
      <c r="B491" s="311"/>
      <c r="C491" s="315" t="str">
        <f t="shared" si="33"/>
        <v>Obce</v>
      </c>
      <c r="D491" s="315" t="str">
        <f t="shared" si="34"/>
        <v>Chráněné bydlení</v>
      </c>
      <c r="E491" s="315" t="str">
        <f t="shared" si="35"/>
        <v>Sociální služby města Jičína</v>
      </c>
      <c r="F491" s="313">
        <f t="shared" si="36"/>
        <v>5703553</v>
      </c>
      <c r="G491" s="313"/>
      <c r="H491" s="313"/>
      <c r="I491" s="313"/>
      <c r="J491" s="313"/>
      <c r="K491" s="313"/>
      <c r="L491" s="313"/>
      <c r="M491" s="313"/>
      <c r="N491" s="313"/>
      <c r="O491" s="313"/>
      <c r="P491" s="313"/>
      <c r="Q491" s="313"/>
      <c r="R491" s="313"/>
      <c r="S491" s="313"/>
      <c r="T491" s="313">
        <f t="shared" si="37"/>
        <v>3.82</v>
      </c>
      <c r="U491" s="313">
        <f t="shared" si="37"/>
        <v>0.1</v>
      </c>
      <c r="V491" s="313">
        <f t="shared" si="37"/>
        <v>3.72</v>
      </c>
      <c r="W491" s="313">
        <f t="shared" si="37"/>
        <v>0</v>
      </c>
      <c r="X491" s="313">
        <f t="shared" si="37"/>
        <v>0</v>
      </c>
      <c r="Y491" s="313">
        <f t="shared" si="37"/>
        <v>11</v>
      </c>
      <c r="Z491" s="313">
        <f t="shared" si="37"/>
        <v>0</v>
      </c>
      <c r="AA491" s="313">
        <f t="shared" si="37"/>
        <v>0</v>
      </c>
      <c r="AB491" s="313">
        <f t="shared" si="37"/>
        <v>0</v>
      </c>
      <c r="AD491" s="313">
        <f t="shared" si="39"/>
        <v>3.82</v>
      </c>
      <c r="AE491" s="313">
        <f t="shared" si="39"/>
        <v>0.1</v>
      </c>
      <c r="AF491" s="313">
        <f t="shared" si="39"/>
        <v>3.72</v>
      </c>
      <c r="AG491" s="313">
        <f t="shared" si="39"/>
        <v>0</v>
      </c>
      <c r="AH491" s="313">
        <f t="shared" si="39"/>
        <v>0</v>
      </c>
      <c r="AI491" s="313">
        <f t="shared" si="39"/>
        <v>11</v>
      </c>
      <c r="AJ491" s="313">
        <f t="shared" si="39"/>
        <v>0</v>
      </c>
      <c r="AL491" s="314">
        <f t="shared" si="40"/>
        <v>2458358.0899621439</v>
      </c>
      <c r="AM491" s="314">
        <f t="shared" si="40"/>
        <v>0</v>
      </c>
      <c r="AN491" s="314">
        <f t="shared" si="40"/>
        <v>608614.34909709857</v>
      </c>
      <c r="AO491" s="314">
        <f t="shared" si="40"/>
        <v>201104.44896823738</v>
      </c>
      <c r="AP491" s="314">
        <f t="shared" si="40"/>
        <v>3268076.8880274799</v>
      </c>
      <c r="AR491" s="314">
        <f t="shared" si="40"/>
        <v>304929.86690721649</v>
      </c>
      <c r="AS491" s="314">
        <f t="shared" si="40"/>
        <v>0</v>
      </c>
      <c r="AT491" s="314">
        <f t="shared" si="38"/>
        <v>476104.97000000003</v>
      </c>
      <c r="AU491" s="314">
        <f t="shared" si="38"/>
        <v>206870.8125</v>
      </c>
      <c r="AV491" s="314">
        <f t="shared" si="38"/>
        <v>987905.64940721658</v>
      </c>
      <c r="AW491" s="314">
        <f t="shared" si="38"/>
        <v>2280171.2386202635</v>
      </c>
    </row>
    <row r="492" spans="1:49" x14ac:dyDescent="0.25">
      <c r="A492" s="311">
        <v>5792625</v>
      </c>
      <c r="B492" s="311"/>
      <c r="C492" s="315" t="str">
        <f t="shared" si="33"/>
        <v>NZO</v>
      </c>
      <c r="D492" s="315" t="str">
        <f t="shared" si="34"/>
        <v>Manželská a rodinná poradna Náchod</v>
      </c>
      <c r="E492" s="315" t="str">
        <f t="shared" si="35"/>
        <v>Centrum sociální pomoci a služeb o. p. s.</v>
      </c>
      <c r="F492" s="313">
        <f t="shared" si="36"/>
        <v>5792625</v>
      </c>
      <c r="G492" s="313"/>
      <c r="H492" s="313"/>
      <c r="I492" s="313"/>
      <c r="J492" s="313"/>
      <c r="K492" s="313"/>
      <c r="L492" s="313"/>
      <c r="M492" s="313"/>
      <c r="N492" s="313"/>
      <c r="O492" s="313"/>
      <c r="P492" s="313"/>
      <c r="Q492" s="313"/>
      <c r="R492" s="313"/>
      <c r="S492" s="313"/>
      <c r="T492" s="313">
        <f t="shared" si="37"/>
        <v>2.2999999999999998</v>
      </c>
      <c r="U492" s="313">
        <f t="shared" si="37"/>
        <v>1.5</v>
      </c>
      <c r="V492" s="313">
        <f t="shared" si="37"/>
        <v>0</v>
      </c>
      <c r="W492" s="313">
        <f t="shared" si="37"/>
        <v>0</v>
      </c>
      <c r="X492" s="313">
        <f t="shared" si="37"/>
        <v>0.8</v>
      </c>
      <c r="Y492" s="313">
        <f t="shared" si="37"/>
        <v>0</v>
      </c>
      <c r="Z492" s="313">
        <f t="shared" si="37"/>
        <v>8</v>
      </c>
      <c r="AA492" s="313">
        <f t="shared" si="37"/>
        <v>0</v>
      </c>
      <c r="AB492" s="313">
        <f t="shared" si="37"/>
        <v>0</v>
      </c>
      <c r="AD492" s="313">
        <f t="shared" si="39"/>
        <v>2.2999999999999998</v>
      </c>
      <c r="AE492" s="313">
        <f t="shared" si="39"/>
        <v>1.5</v>
      </c>
      <c r="AF492" s="313">
        <f t="shared" si="39"/>
        <v>0</v>
      </c>
      <c r="AG492" s="313">
        <f t="shared" si="39"/>
        <v>0</v>
      </c>
      <c r="AH492" s="313">
        <f t="shared" si="39"/>
        <v>0.8</v>
      </c>
      <c r="AI492" s="313">
        <f t="shared" si="39"/>
        <v>0</v>
      </c>
      <c r="AJ492" s="313">
        <f t="shared" si="39"/>
        <v>0</v>
      </c>
      <c r="AL492" s="314">
        <f t="shared" si="40"/>
        <v>1531522.2657945037</v>
      </c>
      <c r="AM492" s="314">
        <f t="shared" si="40"/>
        <v>0</v>
      </c>
      <c r="AN492" s="314">
        <f t="shared" si="40"/>
        <v>106275.66440711312</v>
      </c>
      <c r="AO492" s="314">
        <f t="shared" si="40"/>
        <v>0</v>
      </c>
      <c r="AP492" s="314">
        <f t="shared" si="40"/>
        <v>1637797.9302016168</v>
      </c>
      <c r="AR492" s="314">
        <f t="shared" si="40"/>
        <v>0</v>
      </c>
      <c r="AS492" s="314">
        <f t="shared" si="40"/>
        <v>0</v>
      </c>
      <c r="AT492" s="314">
        <f t="shared" si="38"/>
        <v>0</v>
      </c>
      <c r="AU492" s="314">
        <f t="shared" si="38"/>
        <v>0</v>
      </c>
      <c r="AV492" s="314">
        <f t="shared" si="38"/>
        <v>0</v>
      </c>
      <c r="AW492" s="314">
        <f t="shared" si="38"/>
        <v>1637797.9302016168</v>
      </c>
    </row>
    <row r="493" spans="1:49" x14ac:dyDescent="0.25">
      <c r="A493" s="311">
        <v>5804478</v>
      </c>
      <c r="B493" s="311"/>
      <c r="C493" s="315" t="str">
        <f t="shared" si="33"/>
        <v>PO KHK</v>
      </c>
      <c r="D493" s="315" t="str">
        <f t="shared" si="34"/>
        <v>Domov U Biřičky,Hradec Králové</v>
      </c>
      <c r="E493" s="315" t="str">
        <f t="shared" si="35"/>
        <v>Domov U Biřičky</v>
      </c>
      <c r="F493" s="313">
        <f t="shared" si="36"/>
        <v>5804478</v>
      </c>
      <c r="G493" s="313"/>
      <c r="H493" s="313"/>
      <c r="I493" s="313"/>
      <c r="J493" s="313"/>
      <c r="K493" s="313"/>
      <c r="L493" s="313"/>
      <c r="M493" s="313"/>
      <c r="N493" s="313"/>
      <c r="O493" s="313"/>
      <c r="P493" s="313"/>
      <c r="Q493" s="313"/>
      <c r="R493" s="313"/>
      <c r="S493" s="313"/>
      <c r="T493" s="313">
        <f t="shared" si="37"/>
        <v>31.6</v>
      </c>
      <c r="U493" s="313">
        <f t="shared" si="37"/>
        <v>2.4</v>
      </c>
      <c r="V493" s="313">
        <f t="shared" si="37"/>
        <v>25.2</v>
      </c>
      <c r="W493" s="313">
        <f t="shared" si="37"/>
        <v>4</v>
      </c>
      <c r="X493" s="313">
        <f t="shared" si="37"/>
        <v>0</v>
      </c>
      <c r="Y493" s="313">
        <f t="shared" si="37"/>
        <v>58</v>
      </c>
      <c r="Z493" s="313">
        <f t="shared" si="37"/>
        <v>0</v>
      </c>
      <c r="AA493" s="313">
        <f t="shared" si="37"/>
        <v>0</v>
      </c>
      <c r="AB493" s="313">
        <f t="shared" si="37"/>
        <v>0</v>
      </c>
      <c r="AD493" s="313">
        <f t="shared" si="39"/>
        <v>31.6</v>
      </c>
      <c r="AE493" s="313">
        <f t="shared" si="39"/>
        <v>2.4</v>
      </c>
      <c r="AF493" s="313">
        <f t="shared" si="39"/>
        <v>25.2</v>
      </c>
      <c r="AG493" s="313">
        <f t="shared" si="39"/>
        <v>4</v>
      </c>
      <c r="AH493" s="313">
        <f t="shared" si="39"/>
        <v>0</v>
      </c>
      <c r="AI493" s="313">
        <f t="shared" si="39"/>
        <v>58</v>
      </c>
      <c r="AJ493" s="313">
        <f t="shared" si="39"/>
        <v>0</v>
      </c>
      <c r="AL493" s="314">
        <f t="shared" si="40"/>
        <v>17612335.303122614</v>
      </c>
      <c r="AM493" s="314">
        <f t="shared" si="40"/>
        <v>3233388.3442452834</v>
      </c>
      <c r="AN493" s="314">
        <f t="shared" si="40"/>
        <v>5598213.0752445161</v>
      </c>
      <c r="AO493" s="314">
        <f t="shared" si="40"/>
        <v>3775072.6377574769</v>
      </c>
      <c r="AP493" s="314">
        <f t="shared" si="40"/>
        <v>30219009.360369891</v>
      </c>
      <c r="AR493" s="314">
        <f t="shared" si="40"/>
        <v>6963956.7599999998</v>
      </c>
      <c r="AS493" s="314">
        <f t="shared" si="40"/>
        <v>1303961.5825</v>
      </c>
      <c r="AT493" s="314">
        <f t="shared" si="38"/>
        <v>3853626</v>
      </c>
      <c r="AU493" s="314">
        <f t="shared" si="38"/>
        <v>2958078.3</v>
      </c>
      <c r="AV493" s="314">
        <f t="shared" si="38"/>
        <v>15079622.642499998</v>
      </c>
      <c r="AW493" s="314">
        <f t="shared" si="38"/>
        <v>15139386.717869893</v>
      </c>
    </row>
    <row r="494" spans="1:49" x14ac:dyDescent="0.25">
      <c r="A494" s="311">
        <v>5814347</v>
      </c>
      <c r="B494" s="311"/>
      <c r="C494" s="315" t="str">
        <f t="shared" si="33"/>
        <v>NZO</v>
      </c>
      <c r="D494" s="315" t="str">
        <f t="shared" si="34"/>
        <v>K - centrum Hradec Králové</v>
      </c>
      <c r="E494" s="315" t="str">
        <f t="shared" si="35"/>
        <v>Laxus z.ú.</v>
      </c>
      <c r="F494" s="313">
        <f t="shared" si="36"/>
        <v>5814347</v>
      </c>
      <c r="G494" s="313"/>
      <c r="H494" s="313"/>
      <c r="I494" s="313"/>
      <c r="J494" s="313"/>
      <c r="K494" s="313"/>
      <c r="L494" s="313"/>
      <c r="M494" s="313"/>
      <c r="N494" s="313"/>
      <c r="O494" s="313"/>
      <c r="P494" s="313"/>
      <c r="Q494" s="313"/>
      <c r="R494" s="313"/>
      <c r="S494" s="313"/>
      <c r="T494" s="313">
        <f t="shared" si="37"/>
        <v>4</v>
      </c>
      <c r="U494" s="313">
        <f t="shared" si="37"/>
        <v>3</v>
      </c>
      <c r="V494" s="313">
        <f t="shared" si="37"/>
        <v>1</v>
      </c>
      <c r="W494" s="313">
        <f t="shared" si="37"/>
        <v>0</v>
      </c>
      <c r="X494" s="313">
        <f t="shared" si="37"/>
        <v>0</v>
      </c>
      <c r="Y494" s="313">
        <f t="shared" si="37"/>
        <v>0</v>
      </c>
      <c r="Z494" s="313">
        <f t="shared" si="37"/>
        <v>0</v>
      </c>
      <c r="AA494" s="313">
        <f t="shared" si="37"/>
        <v>4</v>
      </c>
      <c r="AB494" s="313">
        <f t="shared" si="37"/>
        <v>0</v>
      </c>
      <c r="AD494" s="313">
        <f t="shared" si="39"/>
        <v>4</v>
      </c>
      <c r="AE494" s="313">
        <f t="shared" si="39"/>
        <v>3</v>
      </c>
      <c r="AF494" s="313">
        <f t="shared" si="39"/>
        <v>1</v>
      </c>
      <c r="AG494" s="313">
        <f t="shared" si="39"/>
        <v>0</v>
      </c>
      <c r="AH494" s="313">
        <f t="shared" si="39"/>
        <v>0</v>
      </c>
      <c r="AI494" s="313">
        <f t="shared" si="39"/>
        <v>0</v>
      </c>
      <c r="AJ494" s="313">
        <f t="shared" si="39"/>
        <v>4</v>
      </c>
      <c r="AL494" s="314">
        <f t="shared" si="40"/>
        <v>3542107.3008436789</v>
      </c>
      <c r="AM494" s="314">
        <f t="shared" si="40"/>
        <v>0</v>
      </c>
      <c r="AN494" s="314">
        <f t="shared" si="40"/>
        <v>324626.31271274725</v>
      </c>
      <c r="AO494" s="314">
        <f t="shared" si="40"/>
        <v>2964.97</v>
      </c>
      <c r="AP494" s="314">
        <f t="shared" si="40"/>
        <v>3869698.5835564262</v>
      </c>
      <c r="AR494" s="314">
        <f t="shared" si="40"/>
        <v>0</v>
      </c>
      <c r="AS494" s="314">
        <f t="shared" si="40"/>
        <v>0</v>
      </c>
      <c r="AT494" s="314">
        <f t="shared" ref="AT494:AW525" si="41">SUMIFS(AT$4:AT$337,$A$4:$A$337,$A494)</f>
        <v>0</v>
      </c>
      <c r="AU494" s="314">
        <f t="shared" si="41"/>
        <v>0</v>
      </c>
      <c r="AV494" s="314">
        <f t="shared" si="41"/>
        <v>0</v>
      </c>
      <c r="AW494" s="314">
        <f t="shared" si="41"/>
        <v>3869698.5835564262</v>
      </c>
    </row>
    <row r="495" spans="1:49" x14ac:dyDescent="0.25">
      <c r="A495" s="311">
        <v>5869239</v>
      </c>
      <c r="B495" s="311"/>
      <c r="C495" s="315" t="str">
        <f t="shared" si="33"/>
        <v>PO KHK</v>
      </c>
      <c r="D495" s="315" t="str">
        <f t="shared" si="34"/>
        <v>domov pro seniory</v>
      </c>
      <c r="E495" s="315" t="str">
        <f t="shared" si="35"/>
        <v>Domovy Na Třešňovce</v>
      </c>
      <c r="F495" s="313">
        <f t="shared" si="36"/>
        <v>5869239</v>
      </c>
      <c r="G495" s="313"/>
      <c r="H495" s="313"/>
      <c r="I495" s="313"/>
      <c r="J495" s="313"/>
      <c r="K495" s="313"/>
      <c r="L495" s="313"/>
      <c r="M495" s="313"/>
      <c r="N495" s="313"/>
      <c r="O495" s="313"/>
      <c r="P495" s="313"/>
      <c r="Q495" s="313"/>
      <c r="R495" s="313"/>
      <c r="S495" s="313"/>
      <c r="T495" s="313">
        <f t="shared" si="37"/>
        <v>43.3</v>
      </c>
      <c r="U495" s="313">
        <f t="shared" si="37"/>
        <v>4</v>
      </c>
      <c r="V495" s="313">
        <f t="shared" si="37"/>
        <v>27</v>
      </c>
      <c r="W495" s="313">
        <f t="shared" si="37"/>
        <v>12.3</v>
      </c>
      <c r="X495" s="313">
        <f t="shared" si="37"/>
        <v>0</v>
      </c>
      <c r="Y495" s="313">
        <f t="shared" si="37"/>
        <v>95</v>
      </c>
      <c r="Z495" s="313">
        <f t="shared" si="37"/>
        <v>0</v>
      </c>
      <c r="AA495" s="313">
        <f t="shared" si="37"/>
        <v>0</v>
      </c>
      <c r="AB495" s="313">
        <f t="shared" ref="U495:AM510" si="42">SUMIFS(AB$4:AB$337,$A$4:$A$337,$A495)</f>
        <v>0</v>
      </c>
      <c r="AD495" s="313">
        <f t="shared" si="42"/>
        <v>43.3</v>
      </c>
      <c r="AE495" s="313">
        <f t="shared" si="42"/>
        <v>4</v>
      </c>
      <c r="AF495" s="313">
        <f t="shared" si="42"/>
        <v>27</v>
      </c>
      <c r="AG495" s="313">
        <f t="shared" si="42"/>
        <v>12.3</v>
      </c>
      <c r="AH495" s="313">
        <f t="shared" si="42"/>
        <v>0</v>
      </c>
      <c r="AI495" s="313">
        <f t="shared" si="42"/>
        <v>95</v>
      </c>
      <c r="AJ495" s="313">
        <f t="shared" si="42"/>
        <v>0</v>
      </c>
      <c r="AL495" s="314">
        <f t="shared" si="42"/>
        <v>20212142.275927592</v>
      </c>
      <c r="AM495" s="314">
        <f t="shared" si="42"/>
        <v>9971692.3304957803</v>
      </c>
      <c r="AN495" s="314">
        <f t="shared" si="40"/>
        <v>9317184.2097948343</v>
      </c>
      <c r="AO495" s="314">
        <f t="shared" si="40"/>
        <v>6533254.4966090862</v>
      </c>
      <c r="AP495" s="314">
        <f t="shared" si="40"/>
        <v>46034273.312827289</v>
      </c>
      <c r="AR495" s="314">
        <f t="shared" si="40"/>
        <v>10665696.089807026</v>
      </c>
      <c r="AS495" s="314">
        <f t="shared" si="40"/>
        <v>2778262.532206119</v>
      </c>
      <c r="AT495" s="314">
        <f t="shared" si="41"/>
        <v>6737758.5894405041</v>
      </c>
      <c r="AU495" s="314">
        <f t="shared" si="41"/>
        <v>4833320.981158088</v>
      </c>
      <c r="AV495" s="314">
        <f t="shared" si="41"/>
        <v>25015038.192611735</v>
      </c>
      <c r="AW495" s="314">
        <f t="shared" si="41"/>
        <v>21019235.120215554</v>
      </c>
    </row>
    <row r="496" spans="1:49" x14ac:dyDescent="0.25">
      <c r="A496" s="311">
        <v>5871375</v>
      </c>
      <c r="B496" s="311"/>
      <c r="C496" s="315" t="str">
        <f t="shared" si="33"/>
        <v>NZO</v>
      </c>
      <c r="D496" s="315" t="str">
        <f t="shared" si="34"/>
        <v>Chráněné BYDLENÍ v síti</v>
      </c>
      <c r="E496" s="315" t="str">
        <f t="shared" si="35"/>
        <v>SKOK do života o. p. s.</v>
      </c>
      <c r="F496" s="313">
        <f t="shared" si="36"/>
        <v>5871375</v>
      </c>
      <c r="G496" s="313"/>
      <c r="H496" s="313"/>
      <c r="I496" s="313"/>
      <c r="J496" s="313"/>
      <c r="K496" s="313"/>
      <c r="L496" s="313"/>
      <c r="M496" s="313"/>
      <c r="N496" s="313"/>
      <c r="O496" s="313"/>
      <c r="P496" s="313"/>
      <c r="Q496" s="313"/>
      <c r="R496" s="313"/>
      <c r="S496" s="313"/>
      <c r="T496" s="313">
        <f t="shared" si="37"/>
        <v>12.1</v>
      </c>
      <c r="U496" s="313">
        <f t="shared" si="42"/>
        <v>4.0999999999999996</v>
      </c>
      <c r="V496" s="313">
        <f t="shared" si="42"/>
        <v>8</v>
      </c>
      <c r="W496" s="313">
        <f t="shared" si="42"/>
        <v>0</v>
      </c>
      <c r="X496" s="313">
        <f t="shared" si="42"/>
        <v>0</v>
      </c>
      <c r="Y496" s="313">
        <f t="shared" si="42"/>
        <v>17</v>
      </c>
      <c r="Z496" s="313">
        <f t="shared" si="42"/>
        <v>0</v>
      </c>
      <c r="AA496" s="313">
        <f t="shared" si="42"/>
        <v>0</v>
      </c>
      <c r="AB496" s="313">
        <f t="shared" si="42"/>
        <v>0</v>
      </c>
      <c r="AD496" s="313">
        <f t="shared" si="42"/>
        <v>12.1</v>
      </c>
      <c r="AE496" s="313">
        <f t="shared" si="42"/>
        <v>4.0999999999999996</v>
      </c>
      <c r="AF496" s="313">
        <f t="shared" si="42"/>
        <v>8</v>
      </c>
      <c r="AG496" s="313">
        <f t="shared" si="42"/>
        <v>0</v>
      </c>
      <c r="AH496" s="313">
        <f t="shared" si="42"/>
        <v>0</v>
      </c>
      <c r="AI496" s="313">
        <f t="shared" si="42"/>
        <v>17</v>
      </c>
      <c r="AJ496" s="313">
        <f t="shared" si="42"/>
        <v>0</v>
      </c>
      <c r="AL496" s="314">
        <f t="shared" si="42"/>
        <v>7786945.7823408218</v>
      </c>
      <c r="AM496" s="314">
        <f t="shared" si="42"/>
        <v>0</v>
      </c>
      <c r="AN496" s="314">
        <f t="shared" si="40"/>
        <v>940585.81224097044</v>
      </c>
      <c r="AO496" s="314">
        <f t="shared" si="40"/>
        <v>310797.78476909414</v>
      </c>
      <c r="AP496" s="314">
        <f t="shared" si="40"/>
        <v>9038329.3793508857</v>
      </c>
      <c r="AR496" s="314">
        <f t="shared" si="40"/>
        <v>655763.15463917528</v>
      </c>
      <c r="AS496" s="314">
        <f t="shared" si="40"/>
        <v>0</v>
      </c>
      <c r="AT496" s="314">
        <f t="shared" si="41"/>
        <v>735798.59000000008</v>
      </c>
      <c r="AU496" s="314">
        <f t="shared" si="41"/>
        <v>319709.4375</v>
      </c>
      <c r="AV496" s="314">
        <f t="shared" si="41"/>
        <v>1711271.1821391755</v>
      </c>
      <c r="AW496" s="314">
        <f t="shared" si="41"/>
        <v>7327058.1972117107</v>
      </c>
    </row>
    <row r="497" spans="1:49" x14ac:dyDescent="0.25">
      <c r="A497" s="311">
        <v>5894253</v>
      </c>
      <c r="B497" s="311"/>
      <c r="C497" s="315" t="str">
        <f t="shared" si="33"/>
        <v>NZO</v>
      </c>
      <c r="D497" s="315" t="str">
        <f t="shared" si="34"/>
        <v>Oblastní charita Sobotka - Domov pokojného stáří Libošovice</v>
      </c>
      <c r="E497" s="315" t="str">
        <f t="shared" si="35"/>
        <v>Oblastní charita Sobotka</v>
      </c>
      <c r="F497" s="313">
        <f t="shared" si="36"/>
        <v>5894253</v>
      </c>
      <c r="G497" s="313"/>
      <c r="H497" s="313"/>
      <c r="I497" s="313"/>
      <c r="J497" s="313"/>
      <c r="K497" s="313"/>
      <c r="L497" s="313"/>
      <c r="M497" s="313"/>
      <c r="N497" s="313"/>
      <c r="O497" s="313"/>
      <c r="P497" s="313"/>
      <c r="Q497" s="313"/>
      <c r="R497" s="313"/>
      <c r="S497" s="313"/>
      <c r="T497" s="313">
        <f t="shared" si="37"/>
        <v>11</v>
      </c>
      <c r="U497" s="313">
        <f t="shared" si="42"/>
        <v>1</v>
      </c>
      <c r="V497" s="313">
        <f t="shared" si="42"/>
        <v>7</v>
      </c>
      <c r="W497" s="313">
        <f t="shared" si="42"/>
        <v>3</v>
      </c>
      <c r="X497" s="313">
        <f t="shared" si="42"/>
        <v>0</v>
      </c>
      <c r="Y497" s="313">
        <f t="shared" si="42"/>
        <v>25</v>
      </c>
      <c r="Z497" s="313">
        <f t="shared" si="42"/>
        <v>0</v>
      </c>
      <c r="AA497" s="313">
        <f t="shared" si="42"/>
        <v>0</v>
      </c>
      <c r="AB497" s="313">
        <f t="shared" si="42"/>
        <v>0</v>
      </c>
      <c r="AD497" s="313">
        <f t="shared" si="42"/>
        <v>11</v>
      </c>
      <c r="AE497" s="313">
        <f t="shared" si="42"/>
        <v>1</v>
      </c>
      <c r="AF497" s="313">
        <f t="shared" si="42"/>
        <v>7</v>
      </c>
      <c r="AG497" s="313">
        <f t="shared" si="42"/>
        <v>3</v>
      </c>
      <c r="AH497" s="313">
        <f t="shared" si="42"/>
        <v>0</v>
      </c>
      <c r="AI497" s="313">
        <f t="shared" si="42"/>
        <v>25</v>
      </c>
      <c r="AJ497" s="313">
        <f t="shared" si="42"/>
        <v>0</v>
      </c>
      <c r="AL497" s="314">
        <f t="shared" si="42"/>
        <v>5216036.7163684107</v>
      </c>
      <c r="AM497" s="314">
        <f t="shared" si="42"/>
        <v>2432120.0806087265</v>
      </c>
      <c r="AN497" s="314">
        <f t="shared" si="40"/>
        <v>2451890.5815249565</v>
      </c>
      <c r="AO497" s="314">
        <f t="shared" si="40"/>
        <v>1719277.4991076542</v>
      </c>
      <c r="AP497" s="314">
        <f t="shared" si="40"/>
        <v>11819324.877609748</v>
      </c>
      <c r="AR497" s="314">
        <f t="shared" si="40"/>
        <v>2806762.1288965857</v>
      </c>
      <c r="AS497" s="314">
        <f t="shared" si="40"/>
        <v>731121.7190016103</v>
      </c>
      <c r="AT497" s="314">
        <f t="shared" si="41"/>
        <v>1773094.3656422379</v>
      </c>
      <c r="AU497" s="314">
        <f t="shared" si="41"/>
        <v>1271926.5739889706</v>
      </c>
      <c r="AV497" s="314">
        <f t="shared" si="41"/>
        <v>6582904.7875294043</v>
      </c>
      <c r="AW497" s="314">
        <f t="shared" si="41"/>
        <v>5236420.0900803441</v>
      </c>
    </row>
    <row r="498" spans="1:49" x14ac:dyDescent="0.25">
      <c r="A498" s="311">
        <v>5903063</v>
      </c>
      <c r="B498" s="311"/>
      <c r="C498" s="315" t="str">
        <f t="shared" si="33"/>
        <v>NZO</v>
      </c>
      <c r="D498" s="315" t="str">
        <f t="shared" si="34"/>
        <v>Poradna Domácí hospicové péče Hradec Králové</v>
      </c>
      <c r="E498" s="315" t="str">
        <f t="shared" si="35"/>
        <v>Oblastní charita Hradec Králové</v>
      </c>
      <c r="F498" s="313">
        <f t="shared" si="36"/>
        <v>5903063</v>
      </c>
      <c r="G498" s="313"/>
      <c r="H498" s="313"/>
      <c r="I498" s="313"/>
      <c r="J498" s="313"/>
      <c r="K498" s="313"/>
      <c r="L498" s="313"/>
      <c r="M498" s="313"/>
      <c r="N498" s="313"/>
      <c r="O498" s="313"/>
      <c r="P498" s="313"/>
      <c r="Q498" s="313"/>
      <c r="R498" s="313"/>
      <c r="S498" s="313"/>
      <c r="T498" s="313">
        <f t="shared" si="37"/>
        <v>1</v>
      </c>
      <c r="U498" s="313">
        <f t="shared" si="42"/>
        <v>1</v>
      </c>
      <c r="V498" s="313">
        <f t="shared" si="42"/>
        <v>0</v>
      </c>
      <c r="W498" s="313">
        <f t="shared" si="42"/>
        <v>0</v>
      </c>
      <c r="X498" s="313">
        <f t="shared" si="42"/>
        <v>0</v>
      </c>
      <c r="Y498" s="313">
        <f t="shared" si="42"/>
        <v>0</v>
      </c>
      <c r="Z498" s="313">
        <f t="shared" si="42"/>
        <v>13</v>
      </c>
      <c r="AA498" s="313">
        <f t="shared" si="42"/>
        <v>0</v>
      </c>
      <c r="AB498" s="313">
        <f t="shared" si="42"/>
        <v>0</v>
      </c>
      <c r="AD498" s="313">
        <f t="shared" si="42"/>
        <v>1</v>
      </c>
      <c r="AE498" s="313">
        <f t="shared" si="42"/>
        <v>1</v>
      </c>
      <c r="AF498" s="313">
        <f t="shared" si="42"/>
        <v>0</v>
      </c>
      <c r="AG498" s="313">
        <f t="shared" si="42"/>
        <v>0</v>
      </c>
      <c r="AH498" s="313">
        <f t="shared" si="42"/>
        <v>0</v>
      </c>
      <c r="AI498" s="313">
        <f t="shared" si="42"/>
        <v>0</v>
      </c>
      <c r="AJ498" s="313">
        <f t="shared" si="42"/>
        <v>0</v>
      </c>
      <c r="AL498" s="314">
        <f t="shared" si="42"/>
        <v>665879.24599761039</v>
      </c>
      <c r="AM498" s="314">
        <f t="shared" si="42"/>
        <v>0</v>
      </c>
      <c r="AN498" s="314">
        <f t="shared" si="40"/>
        <v>46206.810611788314</v>
      </c>
      <c r="AO498" s="314">
        <f t="shared" si="40"/>
        <v>0</v>
      </c>
      <c r="AP498" s="314">
        <f t="shared" si="40"/>
        <v>712086.05660939869</v>
      </c>
      <c r="AR498" s="314">
        <f t="shared" si="40"/>
        <v>0</v>
      </c>
      <c r="AS498" s="314">
        <f t="shared" si="40"/>
        <v>0</v>
      </c>
      <c r="AT498" s="314">
        <f t="shared" si="41"/>
        <v>0</v>
      </c>
      <c r="AU498" s="314">
        <f t="shared" si="41"/>
        <v>0</v>
      </c>
      <c r="AV498" s="314">
        <f t="shared" si="41"/>
        <v>0</v>
      </c>
      <c r="AW498" s="314">
        <f t="shared" si="41"/>
        <v>712086.05660939869</v>
      </c>
    </row>
    <row r="499" spans="1:49" x14ac:dyDescent="0.25">
      <c r="A499" s="311">
        <v>5922905</v>
      </c>
      <c r="B499" s="311"/>
      <c r="C499" s="315" t="str">
        <f t="shared" si="33"/>
        <v>PO KHK</v>
      </c>
      <c r="D499" s="315" t="str">
        <f t="shared" si="34"/>
        <v>Nízkoprahové zařízení pro děti a mládež - RIAPS - Shelter</v>
      </c>
      <c r="E499" s="315" t="str">
        <f t="shared" si="35"/>
        <v>Sdružení ozdravoven a léčeben okresu Trutnov</v>
      </c>
      <c r="F499" s="313">
        <f t="shared" si="36"/>
        <v>5922905</v>
      </c>
      <c r="G499" s="313"/>
      <c r="H499" s="313"/>
      <c r="I499" s="313"/>
      <c r="J499" s="313"/>
      <c r="K499" s="313"/>
      <c r="L499" s="313"/>
      <c r="M499" s="313"/>
      <c r="N499" s="313"/>
      <c r="O499" s="313"/>
      <c r="P499" s="313"/>
      <c r="Q499" s="313"/>
      <c r="R499" s="313"/>
      <c r="S499" s="313"/>
      <c r="T499" s="313">
        <f t="shared" si="37"/>
        <v>3.3</v>
      </c>
      <c r="U499" s="313">
        <f t="shared" si="42"/>
        <v>3.3</v>
      </c>
      <c r="V499" s="313">
        <f t="shared" si="42"/>
        <v>0</v>
      </c>
      <c r="W499" s="313">
        <f t="shared" si="42"/>
        <v>0</v>
      </c>
      <c r="X499" s="313">
        <f t="shared" si="42"/>
        <v>0</v>
      </c>
      <c r="Y499" s="313">
        <f t="shared" si="42"/>
        <v>0</v>
      </c>
      <c r="Z499" s="313">
        <f t="shared" si="42"/>
        <v>0</v>
      </c>
      <c r="AA499" s="313">
        <f t="shared" si="42"/>
        <v>30</v>
      </c>
      <c r="AB499" s="313">
        <f t="shared" si="42"/>
        <v>0</v>
      </c>
      <c r="AD499" s="313">
        <f t="shared" si="42"/>
        <v>3.3</v>
      </c>
      <c r="AE499" s="313">
        <f t="shared" si="42"/>
        <v>3.3</v>
      </c>
      <c r="AF499" s="313">
        <f t="shared" si="42"/>
        <v>0</v>
      </c>
      <c r="AG499" s="313">
        <f t="shared" si="42"/>
        <v>0</v>
      </c>
      <c r="AH499" s="313">
        <f t="shared" si="42"/>
        <v>0</v>
      </c>
      <c r="AI499" s="313">
        <f t="shared" si="42"/>
        <v>0</v>
      </c>
      <c r="AJ499" s="313">
        <f t="shared" si="42"/>
        <v>30</v>
      </c>
      <c r="AL499" s="314">
        <f t="shared" si="42"/>
        <v>1896932.7483668993</v>
      </c>
      <c r="AM499" s="314">
        <f t="shared" si="42"/>
        <v>0</v>
      </c>
      <c r="AN499" s="314">
        <f t="shared" si="40"/>
        <v>182643.14842577916</v>
      </c>
      <c r="AO499" s="314">
        <f t="shared" si="40"/>
        <v>0</v>
      </c>
      <c r="AP499" s="314">
        <f t="shared" si="40"/>
        <v>2079575.8967926784</v>
      </c>
      <c r="AR499" s="314">
        <f t="shared" si="40"/>
        <v>0</v>
      </c>
      <c r="AS499" s="314">
        <f t="shared" si="40"/>
        <v>0</v>
      </c>
      <c r="AT499" s="314">
        <f t="shared" si="41"/>
        <v>0</v>
      </c>
      <c r="AU499" s="314">
        <f t="shared" si="41"/>
        <v>0</v>
      </c>
      <c r="AV499" s="314">
        <f t="shared" si="41"/>
        <v>0</v>
      </c>
      <c r="AW499" s="314">
        <f t="shared" si="41"/>
        <v>2079575.8967926784</v>
      </c>
    </row>
    <row r="500" spans="1:49" x14ac:dyDescent="0.25">
      <c r="A500" s="311">
        <v>5943218</v>
      </c>
      <c r="B500" s="311"/>
      <c r="C500" s="315" t="str">
        <f t="shared" si="33"/>
        <v>NZO</v>
      </c>
      <c r="D500" s="315" t="str">
        <f t="shared" si="34"/>
        <v>KŘESADLO HK - Centrum pomoci lidem s PAS, z.ú.</v>
      </c>
      <c r="E500" s="315" t="str">
        <f t="shared" si="35"/>
        <v>KŘESADLO HK - Centrum pomoci lidem s PAS, z.ú.</v>
      </c>
      <c r="F500" s="313">
        <f t="shared" si="36"/>
        <v>5943218</v>
      </c>
      <c r="G500" s="313"/>
      <c r="H500" s="313"/>
      <c r="I500" s="313"/>
      <c r="J500" s="313"/>
      <c r="K500" s="313"/>
      <c r="L500" s="313"/>
      <c r="M500" s="313"/>
      <c r="N500" s="313"/>
      <c r="O500" s="313"/>
      <c r="P500" s="313"/>
      <c r="Q500" s="313"/>
      <c r="R500" s="313"/>
      <c r="S500" s="313"/>
      <c r="T500" s="313">
        <f t="shared" si="37"/>
        <v>1.45</v>
      </c>
      <c r="U500" s="313">
        <f t="shared" si="42"/>
        <v>0.5</v>
      </c>
      <c r="V500" s="313">
        <f t="shared" si="42"/>
        <v>0</v>
      </c>
      <c r="W500" s="313">
        <f t="shared" si="42"/>
        <v>0</v>
      </c>
      <c r="X500" s="313">
        <f t="shared" si="42"/>
        <v>0.95</v>
      </c>
      <c r="Y500" s="313">
        <f t="shared" si="42"/>
        <v>0</v>
      </c>
      <c r="Z500" s="313">
        <f t="shared" si="42"/>
        <v>15</v>
      </c>
      <c r="AA500" s="313">
        <f t="shared" si="42"/>
        <v>2</v>
      </c>
      <c r="AB500" s="313">
        <f t="shared" si="42"/>
        <v>0</v>
      </c>
      <c r="AD500" s="313">
        <f t="shared" si="42"/>
        <v>1.45</v>
      </c>
      <c r="AE500" s="313">
        <f t="shared" si="42"/>
        <v>0.5</v>
      </c>
      <c r="AF500" s="313">
        <f t="shared" si="42"/>
        <v>0</v>
      </c>
      <c r="AG500" s="313">
        <f t="shared" si="42"/>
        <v>0</v>
      </c>
      <c r="AH500" s="313">
        <f t="shared" si="42"/>
        <v>0.95</v>
      </c>
      <c r="AI500" s="313">
        <f t="shared" si="42"/>
        <v>0</v>
      </c>
      <c r="AJ500" s="313">
        <f t="shared" si="42"/>
        <v>2</v>
      </c>
      <c r="AL500" s="314">
        <f t="shared" si="42"/>
        <v>973859.1795143371</v>
      </c>
      <c r="AM500" s="314">
        <f t="shared" si="42"/>
        <v>0</v>
      </c>
      <c r="AN500" s="314">
        <f t="shared" si="40"/>
        <v>62032.428771891573</v>
      </c>
      <c r="AO500" s="314">
        <f t="shared" si="40"/>
        <v>0</v>
      </c>
      <c r="AP500" s="314">
        <f t="shared" si="40"/>
        <v>1035891.6082862287</v>
      </c>
      <c r="AR500" s="314">
        <f t="shared" si="40"/>
        <v>0</v>
      </c>
      <c r="AS500" s="314">
        <f t="shared" si="40"/>
        <v>0</v>
      </c>
      <c r="AT500" s="314">
        <f t="shared" si="41"/>
        <v>0</v>
      </c>
      <c r="AU500" s="314">
        <f t="shared" si="41"/>
        <v>0</v>
      </c>
      <c r="AV500" s="314">
        <f t="shared" si="41"/>
        <v>0</v>
      </c>
      <c r="AW500" s="314">
        <f t="shared" si="41"/>
        <v>1035891.6082862287</v>
      </c>
    </row>
    <row r="501" spans="1:49" x14ac:dyDescent="0.25">
      <c r="A501" s="311">
        <v>5945407</v>
      </c>
      <c r="B501" s="311"/>
      <c r="C501" s="315" t="str">
        <f t="shared" si="33"/>
        <v>Obce</v>
      </c>
      <c r="D501" s="315" t="str">
        <f t="shared" si="34"/>
        <v>Město Vrchlabí</v>
      </c>
      <c r="E501" s="315" t="str">
        <f t="shared" si="35"/>
        <v>Město Vrchlabí</v>
      </c>
      <c r="F501" s="313">
        <f t="shared" si="36"/>
        <v>5945407</v>
      </c>
      <c r="G501" s="313"/>
      <c r="H501" s="313"/>
      <c r="I501" s="313"/>
      <c r="J501" s="313"/>
      <c r="K501" s="313"/>
      <c r="L501" s="313"/>
      <c r="M501" s="313"/>
      <c r="N501" s="313"/>
      <c r="O501" s="313"/>
      <c r="P501" s="313"/>
      <c r="Q501" s="313"/>
      <c r="R501" s="313"/>
      <c r="S501" s="313"/>
      <c r="T501" s="313">
        <f t="shared" si="37"/>
        <v>1.25</v>
      </c>
      <c r="U501" s="313">
        <f t="shared" si="42"/>
        <v>1.25</v>
      </c>
      <c r="V501" s="313">
        <f t="shared" si="42"/>
        <v>0</v>
      </c>
      <c r="W501" s="313">
        <f t="shared" si="42"/>
        <v>0</v>
      </c>
      <c r="X501" s="313">
        <f t="shared" si="42"/>
        <v>0</v>
      </c>
      <c r="Y501" s="313">
        <f t="shared" si="42"/>
        <v>0</v>
      </c>
      <c r="Z501" s="313">
        <f t="shared" si="42"/>
        <v>6</v>
      </c>
      <c r="AA501" s="313">
        <f t="shared" si="42"/>
        <v>0</v>
      </c>
      <c r="AB501" s="313">
        <f t="shared" si="42"/>
        <v>0</v>
      </c>
      <c r="AD501" s="313">
        <f t="shared" si="42"/>
        <v>1.25</v>
      </c>
      <c r="AE501" s="313">
        <f t="shared" si="42"/>
        <v>1.25</v>
      </c>
      <c r="AF501" s="313">
        <f t="shared" si="42"/>
        <v>0</v>
      </c>
      <c r="AG501" s="313">
        <f t="shared" si="42"/>
        <v>0</v>
      </c>
      <c r="AH501" s="313">
        <f t="shared" si="42"/>
        <v>0</v>
      </c>
      <c r="AI501" s="313">
        <f t="shared" si="42"/>
        <v>0</v>
      </c>
      <c r="AJ501" s="313">
        <f t="shared" si="42"/>
        <v>0</v>
      </c>
      <c r="AL501" s="314">
        <f t="shared" si="42"/>
        <v>839533.77544339409</v>
      </c>
      <c r="AM501" s="314">
        <f t="shared" ref="AM501:AM525" si="43">SUMIFS(AM$4:AM$337,$A$4:$A$337,$A501)</f>
        <v>0</v>
      </c>
      <c r="AN501" s="314">
        <f t="shared" si="40"/>
        <v>53476.23169990653</v>
      </c>
      <c r="AO501" s="314">
        <f t="shared" si="40"/>
        <v>0</v>
      </c>
      <c r="AP501" s="314">
        <f t="shared" si="40"/>
        <v>893010.00714330061</v>
      </c>
      <c r="AR501" s="314">
        <f t="shared" si="40"/>
        <v>0</v>
      </c>
      <c r="AS501" s="314">
        <f t="shared" si="40"/>
        <v>0</v>
      </c>
      <c r="AT501" s="314">
        <f t="shared" si="41"/>
        <v>0</v>
      </c>
      <c r="AU501" s="314">
        <f t="shared" si="41"/>
        <v>0</v>
      </c>
      <c r="AV501" s="314">
        <f t="shared" si="41"/>
        <v>0</v>
      </c>
      <c r="AW501" s="314">
        <f t="shared" si="41"/>
        <v>893010.00714330061</v>
      </c>
    </row>
    <row r="502" spans="1:49" x14ac:dyDescent="0.25">
      <c r="A502" s="311">
        <v>5947102</v>
      </c>
      <c r="B502" s="311"/>
      <c r="C502" s="315" t="str">
        <f t="shared" si="33"/>
        <v>NZO</v>
      </c>
      <c r="D502" s="315" t="str">
        <f t="shared" si="34"/>
        <v>Oblastní charita Červený Kostelec</v>
      </c>
      <c r="E502" s="315" t="str">
        <f t="shared" si="35"/>
        <v>Oblastní charita Červený Kostelec</v>
      </c>
      <c r="F502" s="313">
        <f t="shared" si="36"/>
        <v>5947102</v>
      </c>
      <c r="G502" s="313"/>
      <c r="H502" s="313"/>
      <c r="I502" s="313"/>
      <c r="J502" s="313"/>
      <c r="K502" s="313"/>
      <c r="L502" s="313"/>
      <c r="M502" s="313"/>
      <c r="N502" s="313"/>
      <c r="O502" s="313"/>
      <c r="P502" s="313"/>
      <c r="Q502" s="313"/>
      <c r="R502" s="313"/>
      <c r="S502" s="313"/>
      <c r="T502" s="313">
        <f t="shared" si="37"/>
        <v>0.38</v>
      </c>
      <c r="U502" s="313">
        <f t="shared" si="42"/>
        <v>0.1</v>
      </c>
      <c r="V502" s="313">
        <f t="shared" si="42"/>
        <v>0.28000000000000003</v>
      </c>
      <c r="W502" s="313">
        <f t="shared" si="42"/>
        <v>0</v>
      </c>
      <c r="X502" s="313">
        <f t="shared" si="42"/>
        <v>0</v>
      </c>
      <c r="Y502" s="313">
        <f t="shared" si="42"/>
        <v>0</v>
      </c>
      <c r="Z502" s="313">
        <f t="shared" si="42"/>
        <v>78</v>
      </c>
      <c r="AA502" s="313">
        <f t="shared" si="42"/>
        <v>0</v>
      </c>
      <c r="AB502" s="313">
        <f t="shared" si="42"/>
        <v>0</v>
      </c>
      <c r="AD502" s="313">
        <f t="shared" si="42"/>
        <v>0.38</v>
      </c>
      <c r="AE502" s="313">
        <f t="shared" si="42"/>
        <v>0.1</v>
      </c>
      <c r="AF502" s="313">
        <f t="shared" si="42"/>
        <v>0.28000000000000003</v>
      </c>
      <c r="AG502" s="313">
        <f t="shared" si="42"/>
        <v>0</v>
      </c>
      <c r="AH502" s="313">
        <f t="shared" si="42"/>
        <v>0</v>
      </c>
      <c r="AI502" s="313">
        <f t="shared" si="42"/>
        <v>0</v>
      </c>
      <c r="AJ502" s="313">
        <f t="shared" si="42"/>
        <v>0</v>
      </c>
      <c r="AL502" s="314">
        <f t="shared" si="42"/>
        <v>256496.05922600601</v>
      </c>
      <c r="AM502" s="314">
        <f t="shared" si="43"/>
        <v>0</v>
      </c>
      <c r="AN502" s="314">
        <f t="shared" si="40"/>
        <v>15270.462819892935</v>
      </c>
      <c r="AO502" s="314">
        <f t="shared" si="40"/>
        <v>0</v>
      </c>
      <c r="AP502" s="314">
        <f t="shared" si="40"/>
        <v>271766.52204589895</v>
      </c>
      <c r="AR502" s="314">
        <f t="shared" si="40"/>
        <v>34290.599334073253</v>
      </c>
      <c r="AS502" s="314">
        <f t="shared" si="40"/>
        <v>0</v>
      </c>
      <c r="AT502" s="314">
        <f t="shared" si="41"/>
        <v>0</v>
      </c>
      <c r="AU502" s="314">
        <f t="shared" si="41"/>
        <v>0</v>
      </c>
      <c r="AV502" s="314">
        <f t="shared" si="41"/>
        <v>34290.599334073253</v>
      </c>
      <c r="AW502" s="314">
        <f t="shared" si="41"/>
        <v>237475.9227118257</v>
      </c>
    </row>
    <row r="503" spans="1:49" x14ac:dyDescent="0.25">
      <c r="A503" s="311">
        <v>5991938</v>
      </c>
      <c r="B503" s="311"/>
      <c r="C503" s="315" t="str">
        <f t="shared" si="33"/>
        <v>NZO</v>
      </c>
      <c r="D503" s="315" t="str">
        <f t="shared" si="34"/>
        <v>Osobní asistence</v>
      </c>
      <c r="E503" s="315" t="str">
        <f t="shared" si="35"/>
        <v>PROINTEPO - Střední škola, Základní škola a Mateřská škola s.r.o.</v>
      </c>
      <c r="F503" s="313">
        <f t="shared" si="36"/>
        <v>5991938</v>
      </c>
      <c r="G503" s="313"/>
      <c r="H503" s="313"/>
      <c r="I503" s="313"/>
      <c r="J503" s="313"/>
      <c r="K503" s="313"/>
      <c r="L503" s="313"/>
      <c r="M503" s="313"/>
      <c r="N503" s="313"/>
      <c r="O503" s="313"/>
      <c r="P503" s="313"/>
      <c r="Q503" s="313"/>
      <c r="R503" s="313"/>
      <c r="S503" s="313"/>
      <c r="T503" s="313">
        <f t="shared" si="37"/>
        <v>5.5</v>
      </c>
      <c r="U503" s="313">
        <f t="shared" si="42"/>
        <v>0.5</v>
      </c>
      <c r="V503" s="313">
        <f t="shared" si="42"/>
        <v>5</v>
      </c>
      <c r="W503" s="313">
        <f t="shared" si="42"/>
        <v>0</v>
      </c>
      <c r="X503" s="313">
        <f t="shared" si="42"/>
        <v>0</v>
      </c>
      <c r="Y503" s="313">
        <f t="shared" si="42"/>
        <v>0</v>
      </c>
      <c r="Z503" s="313">
        <f t="shared" si="42"/>
        <v>25</v>
      </c>
      <c r="AA503" s="313">
        <f t="shared" si="42"/>
        <v>0</v>
      </c>
      <c r="AB503" s="313">
        <f t="shared" si="42"/>
        <v>0</v>
      </c>
      <c r="AD503" s="313">
        <f t="shared" si="42"/>
        <v>5.5</v>
      </c>
      <c r="AE503" s="313">
        <f t="shared" si="42"/>
        <v>0.5</v>
      </c>
      <c r="AF503" s="313">
        <f t="shared" si="42"/>
        <v>5</v>
      </c>
      <c r="AG503" s="313">
        <f t="shared" si="42"/>
        <v>0</v>
      </c>
      <c r="AH503" s="313">
        <f t="shared" si="42"/>
        <v>0</v>
      </c>
      <c r="AI503" s="313">
        <f t="shared" si="42"/>
        <v>0</v>
      </c>
      <c r="AJ503" s="313">
        <f t="shared" si="42"/>
        <v>0</v>
      </c>
      <c r="AL503" s="314">
        <f t="shared" si="42"/>
        <v>2809233.001930695</v>
      </c>
      <c r="AM503" s="314">
        <f t="shared" si="43"/>
        <v>0</v>
      </c>
      <c r="AN503" s="314">
        <f t="shared" si="40"/>
        <v>106412.71685385771</v>
      </c>
      <c r="AO503" s="314">
        <f t="shared" si="40"/>
        <v>0</v>
      </c>
      <c r="AP503" s="314">
        <f t="shared" si="40"/>
        <v>2915645.7187845525</v>
      </c>
      <c r="AR503" s="314">
        <f t="shared" si="40"/>
        <v>624844.20240337902</v>
      </c>
      <c r="AS503" s="314">
        <f t="shared" si="40"/>
        <v>0</v>
      </c>
      <c r="AT503" s="314">
        <f t="shared" si="41"/>
        <v>0</v>
      </c>
      <c r="AU503" s="314">
        <f t="shared" si="41"/>
        <v>0</v>
      </c>
      <c r="AV503" s="314">
        <f t="shared" si="41"/>
        <v>624844.20240337902</v>
      </c>
      <c r="AW503" s="314">
        <f t="shared" si="41"/>
        <v>2290801.5163811734</v>
      </c>
    </row>
    <row r="504" spans="1:49" x14ac:dyDescent="0.25">
      <c r="A504" s="311">
        <v>6041962</v>
      </c>
      <c r="B504" s="311"/>
      <c r="C504" s="315" t="str">
        <f t="shared" si="33"/>
        <v>NZO</v>
      </c>
      <c r="D504" s="315" t="str">
        <f t="shared" si="34"/>
        <v>Denní stacionář Lávka</v>
      </c>
      <c r="E504" s="315" t="str">
        <f t="shared" si="35"/>
        <v>Sdružení Neratov, z.s.</v>
      </c>
      <c r="F504" s="313">
        <f t="shared" si="36"/>
        <v>6041962</v>
      </c>
      <c r="G504" s="313"/>
      <c r="H504" s="313"/>
      <c r="I504" s="313"/>
      <c r="J504" s="313"/>
      <c r="K504" s="313"/>
      <c r="L504" s="313"/>
      <c r="M504" s="313"/>
      <c r="N504" s="313"/>
      <c r="O504" s="313"/>
      <c r="P504" s="313"/>
      <c r="Q504" s="313"/>
      <c r="R504" s="313"/>
      <c r="S504" s="313"/>
      <c r="T504" s="313">
        <f t="shared" si="37"/>
        <v>3.5</v>
      </c>
      <c r="U504" s="313">
        <f t="shared" si="42"/>
        <v>0.5</v>
      </c>
      <c r="V504" s="313">
        <f t="shared" si="42"/>
        <v>3</v>
      </c>
      <c r="W504" s="313">
        <f t="shared" si="42"/>
        <v>0</v>
      </c>
      <c r="X504" s="313">
        <f t="shared" si="42"/>
        <v>0</v>
      </c>
      <c r="Y504" s="313">
        <f t="shared" si="42"/>
        <v>0</v>
      </c>
      <c r="Z504" s="313">
        <f t="shared" si="42"/>
        <v>0</v>
      </c>
      <c r="AA504" s="313">
        <f t="shared" si="42"/>
        <v>10</v>
      </c>
      <c r="AB504" s="313">
        <f t="shared" si="42"/>
        <v>0</v>
      </c>
      <c r="AD504" s="313">
        <f t="shared" si="42"/>
        <v>3.5</v>
      </c>
      <c r="AE504" s="313">
        <f t="shared" si="42"/>
        <v>0.5</v>
      </c>
      <c r="AF504" s="313">
        <f t="shared" si="42"/>
        <v>3</v>
      </c>
      <c r="AG504" s="313">
        <f t="shared" si="42"/>
        <v>0</v>
      </c>
      <c r="AH504" s="313">
        <f t="shared" si="42"/>
        <v>0</v>
      </c>
      <c r="AI504" s="313">
        <f t="shared" si="42"/>
        <v>0</v>
      </c>
      <c r="AJ504" s="313">
        <f t="shared" si="42"/>
        <v>10</v>
      </c>
      <c r="AL504" s="314">
        <f t="shared" si="42"/>
        <v>2494820.7294210698</v>
      </c>
      <c r="AM504" s="314">
        <f t="shared" si="43"/>
        <v>0</v>
      </c>
      <c r="AN504" s="314">
        <f t="shared" si="40"/>
        <v>270950.73563117511</v>
      </c>
      <c r="AO504" s="314">
        <f t="shared" si="40"/>
        <v>52980.56889244201</v>
      </c>
      <c r="AP504" s="314">
        <f t="shared" si="40"/>
        <v>2818752.0339446873</v>
      </c>
      <c r="AR504" s="314">
        <f t="shared" si="40"/>
        <v>404680.39215686271</v>
      </c>
      <c r="AS504" s="314">
        <f t="shared" si="40"/>
        <v>0</v>
      </c>
      <c r="AT504" s="314">
        <f t="shared" si="41"/>
        <v>0</v>
      </c>
      <c r="AU504" s="314">
        <f t="shared" si="41"/>
        <v>54523.076923076922</v>
      </c>
      <c r="AV504" s="314">
        <f t="shared" si="41"/>
        <v>459203.46907993965</v>
      </c>
      <c r="AW504" s="314">
        <f t="shared" si="41"/>
        <v>2359548.5648647477</v>
      </c>
    </row>
    <row r="505" spans="1:49" x14ac:dyDescent="0.25">
      <c r="A505" s="311">
        <v>6152074</v>
      </c>
      <c r="B505" s="311"/>
      <c r="C505" s="315" t="str">
        <f t="shared" si="33"/>
        <v>NZO</v>
      </c>
      <c r="D505" s="315" t="str">
        <f t="shared" si="34"/>
        <v>Osobní asistence APROPO</v>
      </c>
      <c r="E505" s="315" t="str">
        <f t="shared" si="35"/>
        <v>Apropo Jičín, o. p. s.</v>
      </c>
      <c r="F505" s="313">
        <f t="shared" si="36"/>
        <v>6152074</v>
      </c>
      <c r="G505" s="313"/>
      <c r="H505" s="313"/>
      <c r="I505" s="313"/>
      <c r="J505" s="313"/>
      <c r="K505" s="313"/>
      <c r="L505" s="313"/>
      <c r="M505" s="313"/>
      <c r="N505" s="313"/>
      <c r="O505" s="313"/>
      <c r="P505" s="313"/>
      <c r="Q505" s="313"/>
      <c r="R505" s="313"/>
      <c r="S505" s="313"/>
      <c r="T505" s="313">
        <f t="shared" si="37"/>
        <v>8.9</v>
      </c>
      <c r="U505" s="313">
        <f t="shared" si="42"/>
        <v>1.3</v>
      </c>
      <c r="V505" s="313">
        <f t="shared" si="42"/>
        <v>7.6</v>
      </c>
      <c r="W505" s="313">
        <f t="shared" si="42"/>
        <v>0</v>
      </c>
      <c r="X505" s="313">
        <f t="shared" si="42"/>
        <v>0</v>
      </c>
      <c r="Y505" s="313">
        <f t="shared" si="42"/>
        <v>0</v>
      </c>
      <c r="Z505" s="313">
        <f t="shared" si="42"/>
        <v>58</v>
      </c>
      <c r="AA505" s="313">
        <f t="shared" si="42"/>
        <v>0</v>
      </c>
      <c r="AB505" s="313">
        <f t="shared" si="42"/>
        <v>0</v>
      </c>
      <c r="AD505" s="313">
        <f t="shared" si="42"/>
        <v>8.9</v>
      </c>
      <c r="AE505" s="313">
        <f t="shared" si="42"/>
        <v>1.3</v>
      </c>
      <c r="AF505" s="313">
        <f t="shared" si="42"/>
        <v>7.6</v>
      </c>
      <c r="AG505" s="313">
        <f t="shared" si="42"/>
        <v>0</v>
      </c>
      <c r="AH505" s="313">
        <f t="shared" si="42"/>
        <v>0</v>
      </c>
      <c r="AI505" s="313">
        <f t="shared" si="42"/>
        <v>0</v>
      </c>
      <c r="AJ505" s="313">
        <f t="shared" si="42"/>
        <v>0</v>
      </c>
      <c r="AL505" s="314">
        <f t="shared" si="42"/>
        <v>4545849.7667605793</v>
      </c>
      <c r="AM505" s="314">
        <f t="shared" si="43"/>
        <v>0</v>
      </c>
      <c r="AN505" s="314">
        <f t="shared" si="40"/>
        <v>172195.1236362425</v>
      </c>
      <c r="AO505" s="314">
        <f t="shared" si="40"/>
        <v>0</v>
      </c>
      <c r="AP505" s="314">
        <f t="shared" si="40"/>
        <v>4718044.8903968222</v>
      </c>
      <c r="AR505" s="314">
        <f t="shared" si="40"/>
        <v>949763.18765313609</v>
      </c>
      <c r="AS505" s="314">
        <f t="shared" si="40"/>
        <v>0</v>
      </c>
      <c r="AT505" s="314">
        <f t="shared" si="41"/>
        <v>0</v>
      </c>
      <c r="AU505" s="314">
        <f t="shared" si="41"/>
        <v>0</v>
      </c>
      <c r="AV505" s="314">
        <f t="shared" si="41"/>
        <v>949763.18765313609</v>
      </c>
      <c r="AW505" s="314">
        <f t="shared" si="41"/>
        <v>3768281.7027436863</v>
      </c>
    </row>
    <row r="506" spans="1:49" x14ac:dyDescent="0.25">
      <c r="A506" s="311">
        <v>6161785</v>
      </c>
      <c r="B506" s="311"/>
      <c r="C506" s="315" t="str">
        <f t="shared" si="33"/>
        <v>NZO</v>
      </c>
      <c r="D506" s="315" t="str">
        <f t="shared" si="34"/>
        <v>Charitní pečovatelská služba Náchod</v>
      </c>
      <c r="E506" s="315" t="str">
        <f t="shared" si="35"/>
        <v>Oblastní charita Náchod</v>
      </c>
      <c r="F506" s="313">
        <f t="shared" si="36"/>
        <v>6161785</v>
      </c>
      <c r="G506" s="313"/>
      <c r="H506" s="313"/>
      <c r="I506" s="313"/>
      <c r="J506" s="313"/>
      <c r="K506" s="313"/>
      <c r="L506" s="313"/>
      <c r="M506" s="313"/>
      <c r="N506" s="313"/>
      <c r="O506" s="313"/>
      <c r="P506" s="313"/>
      <c r="Q506" s="313"/>
      <c r="R506" s="313"/>
      <c r="S506" s="313"/>
      <c r="T506" s="313">
        <f t="shared" si="37"/>
        <v>5</v>
      </c>
      <c r="U506" s="313">
        <f t="shared" si="42"/>
        <v>0.5</v>
      </c>
      <c r="V506" s="313">
        <f t="shared" si="42"/>
        <v>4.5</v>
      </c>
      <c r="W506" s="313">
        <f t="shared" si="42"/>
        <v>0</v>
      </c>
      <c r="X506" s="313">
        <f t="shared" si="42"/>
        <v>0</v>
      </c>
      <c r="Y506" s="313">
        <f t="shared" si="42"/>
        <v>0</v>
      </c>
      <c r="Z506" s="313">
        <f t="shared" si="42"/>
        <v>45</v>
      </c>
      <c r="AA506" s="313">
        <f t="shared" si="42"/>
        <v>0</v>
      </c>
      <c r="AB506" s="313">
        <f t="shared" si="42"/>
        <v>0</v>
      </c>
      <c r="AD506" s="313">
        <f t="shared" si="42"/>
        <v>5</v>
      </c>
      <c r="AE506" s="313">
        <f t="shared" si="42"/>
        <v>0.5</v>
      </c>
      <c r="AF506" s="313">
        <f t="shared" si="42"/>
        <v>4.5</v>
      </c>
      <c r="AG506" s="313">
        <f t="shared" si="42"/>
        <v>0</v>
      </c>
      <c r="AH506" s="313">
        <f t="shared" si="42"/>
        <v>0</v>
      </c>
      <c r="AI506" s="313">
        <f t="shared" si="42"/>
        <v>0</v>
      </c>
      <c r="AJ506" s="313">
        <f t="shared" si="42"/>
        <v>0</v>
      </c>
      <c r="AL506" s="314">
        <f t="shared" si="42"/>
        <v>2761790.0054536429</v>
      </c>
      <c r="AM506" s="314">
        <f t="shared" si="43"/>
        <v>0</v>
      </c>
      <c r="AN506" s="314">
        <f t="shared" si="40"/>
        <v>209202.82529023392</v>
      </c>
      <c r="AO506" s="314">
        <f t="shared" si="40"/>
        <v>0</v>
      </c>
      <c r="AP506" s="314">
        <f t="shared" si="40"/>
        <v>2970992.8307438768</v>
      </c>
      <c r="AR506" s="314">
        <f t="shared" si="40"/>
        <v>624398.5588235294</v>
      </c>
      <c r="AS506" s="314">
        <f t="shared" si="40"/>
        <v>0</v>
      </c>
      <c r="AT506" s="314">
        <f t="shared" si="41"/>
        <v>0</v>
      </c>
      <c r="AU506" s="314">
        <f t="shared" si="41"/>
        <v>0</v>
      </c>
      <c r="AV506" s="314">
        <f t="shared" si="41"/>
        <v>624398.5588235294</v>
      </c>
      <c r="AW506" s="314">
        <f t="shared" si="41"/>
        <v>2346594.2719203476</v>
      </c>
    </row>
    <row r="507" spans="1:49" x14ac:dyDescent="0.25">
      <c r="A507" s="311">
        <v>6163071</v>
      </c>
      <c r="B507" s="311"/>
      <c r="C507" s="315" t="str">
        <f t="shared" si="33"/>
        <v>PO KHK</v>
      </c>
      <c r="D507" s="315" t="str">
        <f t="shared" si="34"/>
        <v>Sociálně terapeutická dílna</v>
      </c>
      <c r="E507" s="315" t="str">
        <f t="shared" si="35"/>
        <v>Barevné domky Hajnice</v>
      </c>
      <c r="F507" s="313">
        <f t="shared" si="36"/>
        <v>6163071</v>
      </c>
      <c r="G507" s="313"/>
      <c r="H507" s="313"/>
      <c r="I507" s="313"/>
      <c r="J507" s="313"/>
      <c r="K507" s="313"/>
      <c r="L507" s="313"/>
      <c r="M507" s="313"/>
      <c r="N507" s="313"/>
      <c r="O507" s="313"/>
      <c r="P507" s="313"/>
      <c r="Q507" s="313"/>
      <c r="R507" s="313"/>
      <c r="S507" s="313"/>
      <c r="T507" s="313">
        <f t="shared" si="37"/>
        <v>1.1000000000000001</v>
      </c>
      <c r="U507" s="313">
        <f t="shared" si="42"/>
        <v>0.1</v>
      </c>
      <c r="V507" s="313">
        <f t="shared" si="42"/>
        <v>1</v>
      </c>
      <c r="W507" s="313">
        <f t="shared" si="42"/>
        <v>0</v>
      </c>
      <c r="X507" s="313">
        <f t="shared" si="42"/>
        <v>0</v>
      </c>
      <c r="Y507" s="313">
        <f t="shared" si="42"/>
        <v>0</v>
      </c>
      <c r="Z507" s="313">
        <f t="shared" si="42"/>
        <v>0</v>
      </c>
      <c r="AA507" s="313">
        <f t="shared" si="42"/>
        <v>1</v>
      </c>
      <c r="AB507" s="313">
        <f t="shared" si="42"/>
        <v>0</v>
      </c>
      <c r="AD507" s="313">
        <f t="shared" si="42"/>
        <v>1.1000000000000001</v>
      </c>
      <c r="AE507" s="313">
        <f t="shared" si="42"/>
        <v>0.1</v>
      </c>
      <c r="AF507" s="313">
        <f t="shared" si="42"/>
        <v>1</v>
      </c>
      <c r="AG507" s="313">
        <f t="shared" si="42"/>
        <v>0</v>
      </c>
      <c r="AH507" s="313">
        <f t="shared" si="42"/>
        <v>0</v>
      </c>
      <c r="AI507" s="313">
        <f t="shared" si="42"/>
        <v>0</v>
      </c>
      <c r="AJ507" s="313">
        <f t="shared" si="42"/>
        <v>1</v>
      </c>
      <c r="AL507" s="314">
        <f t="shared" si="42"/>
        <v>653772.90891048207</v>
      </c>
      <c r="AM507" s="314">
        <f t="shared" si="43"/>
        <v>0</v>
      </c>
      <c r="AN507" s="314">
        <f t="shared" si="40"/>
        <v>88159.962380504221</v>
      </c>
      <c r="AO507" s="314">
        <f t="shared" si="40"/>
        <v>0</v>
      </c>
      <c r="AP507" s="314">
        <f t="shared" si="40"/>
        <v>741932.87129098631</v>
      </c>
      <c r="AR507" s="314">
        <f t="shared" si="40"/>
        <v>0</v>
      </c>
      <c r="AS507" s="314">
        <f t="shared" si="40"/>
        <v>0</v>
      </c>
      <c r="AT507" s="314">
        <f t="shared" si="41"/>
        <v>0</v>
      </c>
      <c r="AU507" s="314">
        <f t="shared" si="41"/>
        <v>0</v>
      </c>
      <c r="AV507" s="314">
        <f t="shared" si="41"/>
        <v>0</v>
      </c>
      <c r="AW507" s="314">
        <f t="shared" si="41"/>
        <v>741932.87129098631</v>
      </c>
    </row>
    <row r="508" spans="1:49" x14ac:dyDescent="0.25">
      <c r="A508" s="311">
        <v>6181040</v>
      </c>
      <c r="B508" s="311"/>
      <c r="C508" s="315" t="str">
        <f t="shared" si="33"/>
        <v>Obce</v>
      </c>
      <c r="D508" s="315" t="str">
        <f t="shared" si="34"/>
        <v>Pečovatelská služba Česká Skalice</v>
      </c>
      <c r="E508" s="315" t="str">
        <f t="shared" si="35"/>
        <v>Město Česká Skalice</v>
      </c>
      <c r="F508" s="313">
        <f t="shared" si="36"/>
        <v>6181040</v>
      </c>
      <c r="G508" s="313"/>
      <c r="H508" s="313"/>
      <c r="I508" s="313"/>
      <c r="J508" s="313"/>
      <c r="K508" s="313"/>
      <c r="L508" s="313"/>
      <c r="M508" s="313"/>
      <c r="N508" s="313"/>
      <c r="O508" s="313"/>
      <c r="P508" s="313"/>
      <c r="Q508" s="313"/>
      <c r="R508" s="313"/>
      <c r="S508" s="313"/>
      <c r="T508" s="313">
        <f t="shared" si="37"/>
        <v>2.35</v>
      </c>
      <c r="U508" s="313">
        <f t="shared" si="42"/>
        <v>0.35</v>
      </c>
      <c r="V508" s="313">
        <f t="shared" si="42"/>
        <v>2</v>
      </c>
      <c r="W508" s="313">
        <f t="shared" si="42"/>
        <v>0</v>
      </c>
      <c r="X508" s="313">
        <f t="shared" si="42"/>
        <v>0</v>
      </c>
      <c r="Y508" s="313">
        <f t="shared" si="42"/>
        <v>0</v>
      </c>
      <c r="Z508" s="313">
        <f t="shared" si="42"/>
        <v>70</v>
      </c>
      <c r="AA508" s="313">
        <f t="shared" si="42"/>
        <v>0</v>
      </c>
      <c r="AB508" s="313">
        <f t="shared" si="42"/>
        <v>0</v>
      </c>
      <c r="AD508" s="313">
        <f t="shared" si="42"/>
        <v>2.35</v>
      </c>
      <c r="AE508" s="313">
        <f t="shared" si="42"/>
        <v>0.35</v>
      </c>
      <c r="AF508" s="313">
        <f t="shared" si="42"/>
        <v>2</v>
      </c>
      <c r="AG508" s="313">
        <f t="shared" si="42"/>
        <v>0</v>
      </c>
      <c r="AH508" s="313">
        <f t="shared" si="42"/>
        <v>0</v>
      </c>
      <c r="AI508" s="313">
        <f t="shared" si="42"/>
        <v>0</v>
      </c>
      <c r="AJ508" s="313">
        <f t="shared" si="42"/>
        <v>0</v>
      </c>
      <c r="AL508" s="314">
        <f t="shared" si="42"/>
        <v>1298041.3025632121</v>
      </c>
      <c r="AM508" s="314">
        <f t="shared" si="43"/>
        <v>0</v>
      </c>
      <c r="AN508" s="314">
        <f t="shared" si="40"/>
        <v>98325.327886409941</v>
      </c>
      <c r="AO508" s="314">
        <f t="shared" si="40"/>
        <v>0</v>
      </c>
      <c r="AP508" s="314">
        <f t="shared" si="40"/>
        <v>1396366.6304496219</v>
      </c>
      <c r="AR508" s="314">
        <f t="shared" si="40"/>
        <v>277510.4705882353</v>
      </c>
      <c r="AS508" s="314">
        <f t="shared" si="40"/>
        <v>0</v>
      </c>
      <c r="AT508" s="314">
        <f t="shared" si="41"/>
        <v>0</v>
      </c>
      <c r="AU508" s="314">
        <f t="shared" si="41"/>
        <v>0</v>
      </c>
      <c r="AV508" s="314">
        <f t="shared" si="41"/>
        <v>277510.4705882353</v>
      </c>
      <c r="AW508" s="314">
        <f t="shared" si="41"/>
        <v>1118856.1598613868</v>
      </c>
    </row>
    <row r="509" spans="1:49" x14ac:dyDescent="0.25">
      <c r="A509" s="311">
        <v>6191102</v>
      </c>
      <c r="B509" s="311"/>
      <c r="C509" s="315" t="str">
        <f t="shared" si="33"/>
        <v>NZO</v>
      </c>
      <c r="D509" s="315" t="str">
        <f t="shared" si="34"/>
        <v>Manželská a rodinná poradna Rychnov n.Kn.</v>
      </c>
      <c r="E509" s="315" t="str">
        <f t="shared" si="35"/>
        <v>Centrum sociální pomoci a služeb o. p. s.</v>
      </c>
      <c r="F509" s="313">
        <f t="shared" si="36"/>
        <v>6191102</v>
      </c>
      <c r="G509" s="313"/>
      <c r="H509" s="313"/>
      <c r="I509" s="313"/>
      <c r="J509" s="313"/>
      <c r="K509" s="313"/>
      <c r="L509" s="313"/>
      <c r="M509" s="313"/>
      <c r="N509" s="313"/>
      <c r="O509" s="313"/>
      <c r="P509" s="313"/>
      <c r="Q509" s="313"/>
      <c r="R509" s="313"/>
      <c r="S509" s="313"/>
      <c r="T509" s="313">
        <f t="shared" si="37"/>
        <v>1</v>
      </c>
      <c r="U509" s="313">
        <f t="shared" si="42"/>
        <v>0</v>
      </c>
      <c r="V509" s="313">
        <f t="shared" si="42"/>
        <v>0</v>
      </c>
      <c r="W509" s="313">
        <f t="shared" si="42"/>
        <v>0</v>
      </c>
      <c r="X509" s="313">
        <f t="shared" si="42"/>
        <v>1</v>
      </c>
      <c r="Y509" s="313">
        <f t="shared" si="42"/>
        <v>0</v>
      </c>
      <c r="Z509" s="313">
        <f t="shared" si="42"/>
        <v>5</v>
      </c>
      <c r="AA509" s="313">
        <f t="shared" si="42"/>
        <v>0</v>
      </c>
      <c r="AB509" s="313">
        <f t="shared" si="42"/>
        <v>0</v>
      </c>
      <c r="AD509" s="313">
        <f t="shared" si="42"/>
        <v>1</v>
      </c>
      <c r="AE509" s="313">
        <f t="shared" si="42"/>
        <v>0</v>
      </c>
      <c r="AF509" s="313">
        <f t="shared" si="42"/>
        <v>0</v>
      </c>
      <c r="AG509" s="313">
        <f t="shared" si="42"/>
        <v>0</v>
      </c>
      <c r="AH509" s="313">
        <f t="shared" si="42"/>
        <v>1</v>
      </c>
      <c r="AI509" s="313">
        <f t="shared" si="42"/>
        <v>0</v>
      </c>
      <c r="AJ509" s="313">
        <f t="shared" si="42"/>
        <v>0</v>
      </c>
      <c r="AL509" s="314">
        <f t="shared" si="42"/>
        <v>665879.24599761039</v>
      </c>
      <c r="AM509" s="314">
        <f t="shared" si="43"/>
        <v>0</v>
      </c>
      <c r="AN509" s="314">
        <f t="shared" si="40"/>
        <v>46206.810611788314</v>
      </c>
      <c r="AO509" s="314">
        <f t="shared" si="40"/>
        <v>0</v>
      </c>
      <c r="AP509" s="314">
        <f t="shared" si="40"/>
        <v>712086.05660939869</v>
      </c>
      <c r="AR509" s="314">
        <f t="shared" si="40"/>
        <v>0</v>
      </c>
      <c r="AS509" s="314">
        <f t="shared" si="40"/>
        <v>0</v>
      </c>
      <c r="AT509" s="314">
        <f t="shared" si="41"/>
        <v>0</v>
      </c>
      <c r="AU509" s="314">
        <f t="shared" si="41"/>
        <v>0</v>
      </c>
      <c r="AV509" s="314">
        <f t="shared" si="41"/>
        <v>0</v>
      </c>
      <c r="AW509" s="314">
        <f t="shared" si="41"/>
        <v>712086.05660939869</v>
      </c>
    </row>
    <row r="510" spans="1:49" x14ac:dyDescent="0.25">
      <c r="A510" s="311">
        <v>6232669</v>
      </c>
      <c r="B510" s="311"/>
      <c r="C510" s="315" t="str">
        <f t="shared" si="33"/>
        <v>Obce</v>
      </c>
      <c r="D510" s="315" t="str">
        <f t="shared" si="34"/>
        <v>Pečovatelská služba Hronov</v>
      </c>
      <c r="E510" s="315" t="str">
        <f t="shared" si="35"/>
        <v>Město Hronov</v>
      </c>
      <c r="F510" s="313">
        <f t="shared" si="36"/>
        <v>6232669</v>
      </c>
      <c r="G510" s="313"/>
      <c r="H510" s="313"/>
      <c r="I510" s="313"/>
      <c r="J510" s="313"/>
      <c r="K510" s="313"/>
      <c r="L510" s="313"/>
      <c r="M510" s="313"/>
      <c r="N510" s="313"/>
      <c r="O510" s="313"/>
      <c r="P510" s="313"/>
      <c r="Q510" s="313"/>
      <c r="R510" s="313"/>
      <c r="S510" s="313"/>
      <c r="T510" s="313">
        <f t="shared" si="37"/>
        <v>8</v>
      </c>
      <c r="U510" s="313">
        <f t="shared" si="42"/>
        <v>1</v>
      </c>
      <c r="V510" s="313">
        <f t="shared" si="42"/>
        <v>7</v>
      </c>
      <c r="W510" s="313">
        <f t="shared" si="42"/>
        <v>0</v>
      </c>
      <c r="X510" s="313">
        <f t="shared" si="42"/>
        <v>0</v>
      </c>
      <c r="Y510" s="313">
        <f t="shared" si="42"/>
        <v>0</v>
      </c>
      <c r="Z510" s="313">
        <f t="shared" si="42"/>
        <v>70</v>
      </c>
      <c r="AA510" s="313">
        <f t="shared" si="42"/>
        <v>0</v>
      </c>
      <c r="AB510" s="313">
        <f t="shared" si="42"/>
        <v>0</v>
      </c>
      <c r="AD510" s="313">
        <f t="shared" si="42"/>
        <v>8</v>
      </c>
      <c r="AE510" s="313">
        <f t="shared" si="42"/>
        <v>1</v>
      </c>
      <c r="AF510" s="313">
        <f t="shared" si="42"/>
        <v>7</v>
      </c>
      <c r="AG510" s="313">
        <f t="shared" si="42"/>
        <v>0</v>
      </c>
      <c r="AH510" s="313">
        <f t="shared" si="42"/>
        <v>0</v>
      </c>
      <c r="AI510" s="313">
        <f t="shared" si="42"/>
        <v>0</v>
      </c>
      <c r="AJ510" s="313">
        <f t="shared" si="42"/>
        <v>0</v>
      </c>
      <c r="AL510" s="314">
        <f t="shared" si="42"/>
        <v>4418864.0087258285</v>
      </c>
      <c r="AM510" s="314">
        <f t="shared" si="43"/>
        <v>0</v>
      </c>
      <c r="AN510" s="314">
        <f t="shared" si="40"/>
        <v>334724.52046437428</v>
      </c>
      <c r="AO510" s="314">
        <f t="shared" si="40"/>
        <v>0</v>
      </c>
      <c r="AP510" s="314">
        <f t="shared" si="40"/>
        <v>4753588.5291902032</v>
      </c>
      <c r="AR510" s="314">
        <f t="shared" si="40"/>
        <v>971286.64705882361</v>
      </c>
      <c r="AS510" s="314">
        <f t="shared" si="40"/>
        <v>0</v>
      </c>
      <c r="AT510" s="314">
        <f t="shared" si="41"/>
        <v>0</v>
      </c>
      <c r="AU510" s="314">
        <f t="shared" si="41"/>
        <v>0</v>
      </c>
      <c r="AV510" s="314">
        <f t="shared" si="41"/>
        <v>971286.64705882361</v>
      </c>
      <c r="AW510" s="314">
        <f t="shared" si="41"/>
        <v>3782301.8821313796</v>
      </c>
    </row>
    <row r="511" spans="1:49" x14ac:dyDescent="0.25">
      <c r="A511" s="311">
        <v>6361701</v>
      </c>
      <c r="B511" s="311"/>
      <c r="C511" s="315" t="str">
        <f t="shared" si="33"/>
        <v>NZO</v>
      </c>
      <c r="D511" s="315" t="str">
        <f t="shared" si="34"/>
        <v>Sociálně aktivizační služby</v>
      </c>
      <c r="E511" s="315" t="str">
        <f t="shared" si="35"/>
        <v>Diakonie ČCE - středisko Světlo ve Vrchlabí</v>
      </c>
      <c r="F511" s="313">
        <f t="shared" si="36"/>
        <v>6361701</v>
      </c>
      <c r="G511" s="313"/>
      <c r="H511" s="313"/>
      <c r="I511" s="313"/>
      <c r="J511" s="313"/>
      <c r="K511" s="313"/>
      <c r="L511" s="313"/>
      <c r="M511" s="313"/>
      <c r="N511" s="313"/>
      <c r="O511" s="313"/>
      <c r="P511" s="313"/>
      <c r="Q511" s="313"/>
      <c r="R511" s="313"/>
      <c r="S511" s="313"/>
      <c r="T511" s="313">
        <f t="shared" si="37"/>
        <v>1.7</v>
      </c>
      <c r="U511" s="313">
        <f t="shared" ref="U511:AL526" si="44">SUMIFS(U$4:U$337,$A$4:$A$337,$A511)</f>
        <v>1.7</v>
      </c>
      <c r="V511" s="313">
        <f t="shared" si="44"/>
        <v>0</v>
      </c>
      <c r="W511" s="313">
        <f t="shared" si="44"/>
        <v>0</v>
      </c>
      <c r="X511" s="313">
        <f t="shared" si="44"/>
        <v>0</v>
      </c>
      <c r="Y511" s="313">
        <f t="shared" si="44"/>
        <v>0</v>
      </c>
      <c r="Z511" s="313">
        <f t="shared" si="44"/>
        <v>20</v>
      </c>
      <c r="AA511" s="313">
        <f t="shared" si="44"/>
        <v>0</v>
      </c>
      <c r="AB511" s="313">
        <f t="shared" si="44"/>
        <v>0</v>
      </c>
      <c r="AD511" s="313">
        <f t="shared" si="44"/>
        <v>1.7</v>
      </c>
      <c r="AE511" s="313">
        <f t="shared" si="44"/>
        <v>1.7</v>
      </c>
      <c r="AF511" s="313">
        <f t="shared" si="44"/>
        <v>0</v>
      </c>
      <c r="AG511" s="313">
        <f t="shared" si="44"/>
        <v>0</v>
      </c>
      <c r="AH511" s="313">
        <f t="shared" si="44"/>
        <v>0</v>
      </c>
      <c r="AI511" s="313">
        <f t="shared" si="44"/>
        <v>0</v>
      </c>
      <c r="AJ511" s="313">
        <f t="shared" si="44"/>
        <v>0</v>
      </c>
      <c r="AL511" s="314">
        <f t="shared" si="44"/>
        <v>1095943.7589688406</v>
      </c>
      <c r="AM511" s="314">
        <f t="shared" si="43"/>
        <v>0</v>
      </c>
      <c r="AN511" s="314">
        <f t="shared" si="40"/>
        <v>74746.914519482933</v>
      </c>
      <c r="AO511" s="314">
        <f t="shared" si="40"/>
        <v>0</v>
      </c>
      <c r="AP511" s="314">
        <f t="shared" si="40"/>
        <v>1170690.6734883236</v>
      </c>
      <c r="AR511" s="314">
        <f t="shared" si="40"/>
        <v>0</v>
      </c>
      <c r="AS511" s="314">
        <f t="shared" si="40"/>
        <v>0</v>
      </c>
      <c r="AT511" s="314">
        <f t="shared" si="41"/>
        <v>0</v>
      </c>
      <c r="AU511" s="314">
        <f t="shared" si="41"/>
        <v>0</v>
      </c>
      <c r="AV511" s="314">
        <f t="shared" si="41"/>
        <v>0</v>
      </c>
      <c r="AW511" s="314">
        <f t="shared" si="41"/>
        <v>1170690.6734883236</v>
      </c>
    </row>
    <row r="512" spans="1:49" x14ac:dyDescent="0.25">
      <c r="A512" s="311">
        <v>6375207</v>
      </c>
      <c r="B512" s="311"/>
      <c r="C512" s="315" t="str">
        <f t="shared" si="33"/>
        <v>PO KHK</v>
      </c>
      <c r="D512" s="315" t="str">
        <f t="shared" si="34"/>
        <v>Ústav sociální péče pro mládež DOMEČKY</v>
      </c>
      <c r="E512" s="315" t="str">
        <f t="shared" si="35"/>
        <v>Ústav sociální péče pro mládež DOMEČKY</v>
      </c>
      <c r="F512" s="313">
        <f t="shared" si="36"/>
        <v>6375207</v>
      </c>
      <c r="G512" s="313"/>
      <c r="H512" s="313"/>
      <c r="I512" s="313"/>
      <c r="J512" s="313"/>
      <c r="K512" s="313"/>
      <c r="L512" s="313"/>
      <c r="M512" s="313"/>
      <c r="N512" s="313"/>
      <c r="O512" s="313"/>
      <c r="P512" s="313"/>
      <c r="Q512" s="313"/>
      <c r="R512" s="313"/>
      <c r="S512" s="313"/>
      <c r="T512" s="313">
        <f t="shared" si="37"/>
        <v>7.6</v>
      </c>
      <c r="U512" s="313">
        <f t="shared" si="44"/>
        <v>0.6</v>
      </c>
      <c r="V512" s="313">
        <f t="shared" si="44"/>
        <v>7</v>
      </c>
      <c r="W512" s="313">
        <f t="shared" si="44"/>
        <v>0</v>
      </c>
      <c r="X512" s="313">
        <f t="shared" si="44"/>
        <v>0</v>
      </c>
      <c r="Y512" s="313">
        <f t="shared" si="44"/>
        <v>4</v>
      </c>
      <c r="Z512" s="313">
        <f t="shared" si="44"/>
        <v>0</v>
      </c>
      <c r="AA512" s="313">
        <f t="shared" si="44"/>
        <v>0</v>
      </c>
      <c r="AB512" s="313">
        <f t="shared" si="44"/>
        <v>0</v>
      </c>
      <c r="AD512" s="313">
        <f t="shared" si="44"/>
        <v>7.6</v>
      </c>
      <c r="AE512" s="313">
        <f t="shared" si="44"/>
        <v>0.6</v>
      </c>
      <c r="AF512" s="313">
        <f t="shared" si="44"/>
        <v>7</v>
      </c>
      <c r="AG512" s="313">
        <f t="shared" si="44"/>
        <v>0</v>
      </c>
      <c r="AH512" s="313">
        <f t="shared" si="44"/>
        <v>0</v>
      </c>
      <c r="AI512" s="313">
        <f t="shared" si="44"/>
        <v>4</v>
      </c>
      <c r="AJ512" s="313">
        <f t="shared" si="44"/>
        <v>0</v>
      </c>
      <c r="AL512" s="314">
        <f t="shared" si="44"/>
        <v>4288291.6060864432</v>
      </c>
      <c r="AM512" s="314">
        <f t="shared" si="43"/>
        <v>0</v>
      </c>
      <c r="AN512" s="314">
        <f t="shared" si="40"/>
        <v>219129.03235083932</v>
      </c>
      <c r="AO512" s="314">
        <f t="shared" si="40"/>
        <v>120090.81928999982</v>
      </c>
      <c r="AP512" s="314">
        <f t="shared" si="40"/>
        <v>4627511.4577272823</v>
      </c>
      <c r="AR512" s="314">
        <f t="shared" si="40"/>
        <v>891662.24892621348</v>
      </c>
      <c r="AS512" s="314">
        <f t="shared" si="40"/>
        <v>0</v>
      </c>
      <c r="AT512" s="314">
        <f t="shared" si="41"/>
        <v>153821.25</v>
      </c>
      <c r="AU512" s="314">
        <f t="shared" si="41"/>
        <v>95581.8</v>
      </c>
      <c r="AV512" s="314">
        <f t="shared" si="41"/>
        <v>1141065.2989262135</v>
      </c>
      <c r="AW512" s="314">
        <f t="shared" si="41"/>
        <v>3486446.1588010686</v>
      </c>
    </row>
    <row r="513" spans="1:49" x14ac:dyDescent="0.25">
      <c r="A513" s="311">
        <v>6428468</v>
      </c>
      <c r="B513" s="311"/>
      <c r="C513" s="315" t="str">
        <f t="shared" si="33"/>
        <v>Obce</v>
      </c>
      <c r="D513" s="315" t="str">
        <f t="shared" si="34"/>
        <v>Město Jaroměř Pečovatelská služba</v>
      </c>
      <c r="E513" s="315" t="str">
        <f t="shared" si="35"/>
        <v>Město Jaroměř</v>
      </c>
      <c r="F513" s="313">
        <f t="shared" si="36"/>
        <v>6428468</v>
      </c>
      <c r="G513" s="313"/>
      <c r="H513" s="313"/>
      <c r="I513" s="313"/>
      <c r="J513" s="313"/>
      <c r="K513" s="313"/>
      <c r="L513" s="313"/>
      <c r="M513" s="313"/>
      <c r="N513" s="313"/>
      <c r="O513" s="313"/>
      <c r="P513" s="313"/>
      <c r="Q513" s="313"/>
      <c r="R513" s="313"/>
      <c r="S513" s="313"/>
      <c r="T513" s="313">
        <f t="shared" si="37"/>
        <v>11.5</v>
      </c>
      <c r="U513" s="313">
        <f t="shared" si="44"/>
        <v>1.5</v>
      </c>
      <c r="V513" s="313">
        <f t="shared" si="44"/>
        <v>10</v>
      </c>
      <c r="W513" s="313">
        <f t="shared" si="44"/>
        <v>0</v>
      </c>
      <c r="X513" s="313">
        <f t="shared" si="44"/>
        <v>0</v>
      </c>
      <c r="Y513" s="313">
        <f t="shared" si="44"/>
        <v>0</v>
      </c>
      <c r="Z513" s="313">
        <f t="shared" si="44"/>
        <v>160</v>
      </c>
      <c r="AA513" s="313">
        <f t="shared" si="44"/>
        <v>0</v>
      </c>
      <c r="AB513" s="313">
        <f t="shared" si="44"/>
        <v>0</v>
      </c>
      <c r="AD513" s="313">
        <f t="shared" si="44"/>
        <v>11.5</v>
      </c>
      <c r="AE513" s="313">
        <f t="shared" si="44"/>
        <v>1.5</v>
      </c>
      <c r="AF513" s="313">
        <f t="shared" si="44"/>
        <v>10</v>
      </c>
      <c r="AG513" s="313">
        <f t="shared" si="44"/>
        <v>0</v>
      </c>
      <c r="AH513" s="313">
        <f t="shared" si="44"/>
        <v>0</v>
      </c>
      <c r="AI513" s="313">
        <f t="shared" si="44"/>
        <v>0</v>
      </c>
      <c r="AJ513" s="313">
        <f t="shared" si="44"/>
        <v>0</v>
      </c>
      <c r="AL513" s="314">
        <f t="shared" si="44"/>
        <v>6352117.0125433784</v>
      </c>
      <c r="AM513" s="314">
        <f t="shared" si="43"/>
        <v>0</v>
      </c>
      <c r="AN513" s="314">
        <f t="shared" si="40"/>
        <v>481166.49816753803</v>
      </c>
      <c r="AO513" s="314">
        <f t="shared" si="40"/>
        <v>0</v>
      </c>
      <c r="AP513" s="314">
        <f t="shared" si="40"/>
        <v>6833283.5107109165</v>
      </c>
      <c r="AR513" s="314">
        <f t="shared" si="40"/>
        <v>1387552.3529411764</v>
      </c>
      <c r="AS513" s="314">
        <f t="shared" si="40"/>
        <v>0</v>
      </c>
      <c r="AT513" s="314">
        <f t="shared" si="41"/>
        <v>0</v>
      </c>
      <c r="AU513" s="314">
        <f t="shared" si="41"/>
        <v>0</v>
      </c>
      <c r="AV513" s="314">
        <f t="shared" si="41"/>
        <v>1387552.3529411764</v>
      </c>
      <c r="AW513" s="314">
        <f t="shared" si="41"/>
        <v>5445731.1577697396</v>
      </c>
    </row>
    <row r="514" spans="1:49" x14ac:dyDescent="0.25">
      <c r="A514" s="311">
        <v>6447139</v>
      </c>
      <c r="B514" s="311"/>
      <c r="C514" s="315" t="str">
        <f t="shared" si="33"/>
        <v>NZO</v>
      </c>
      <c r="D514" s="315" t="str">
        <f t="shared" si="34"/>
        <v>Pracoviště rané péče Diakonie ČCE - středisko Světlo ve Vrchlabí</v>
      </c>
      <c r="E514" s="315" t="str">
        <f t="shared" si="35"/>
        <v>Diakonie ČCE - středisko Světlo ve Vrchlabí</v>
      </c>
      <c r="F514" s="313">
        <f t="shared" si="36"/>
        <v>6447139</v>
      </c>
      <c r="G514" s="313"/>
      <c r="H514" s="313"/>
      <c r="I514" s="313"/>
      <c r="J514" s="313"/>
      <c r="K514" s="313"/>
      <c r="L514" s="313"/>
      <c r="M514" s="313"/>
      <c r="N514" s="313"/>
      <c r="O514" s="313"/>
      <c r="P514" s="313"/>
      <c r="Q514" s="313"/>
      <c r="R514" s="313"/>
      <c r="S514" s="313"/>
      <c r="T514" s="313">
        <f t="shared" si="37"/>
        <v>1.85</v>
      </c>
      <c r="U514" s="313">
        <f t="shared" si="44"/>
        <v>1.7</v>
      </c>
      <c r="V514" s="313">
        <f t="shared" si="44"/>
        <v>0.15</v>
      </c>
      <c r="W514" s="313">
        <f t="shared" si="44"/>
        <v>0</v>
      </c>
      <c r="X514" s="313">
        <f t="shared" si="44"/>
        <v>0</v>
      </c>
      <c r="Y514" s="313">
        <f t="shared" si="44"/>
        <v>0</v>
      </c>
      <c r="Z514" s="313">
        <f t="shared" si="44"/>
        <v>6</v>
      </c>
      <c r="AA514" s="313">
        <f t="shared" si="44"/>
        <v>0</v>
      </c>
      <c r="AB514" s="313">
        <f t="shared" si="44"/>
        <v>0</v>
      </c>
      <c r="AD514" s="313">
        <f t="shared" si="44"/>
        <v>1.85</v>
      </c>
      <c r="AE514" s="313">
        <f t="shared" si="44"/>
        <v>1.7</v>
      </c>
      <c r="AF514" s="313">
        <f t="shared" si="44"/>
        <v>0.15</v>
      </c>
      <c r="AG514" s="313">
        <f t="shared" si="44"/>
        <v>0</v>
      </c>
      <c r="AH514" s="313">
        <f t="shared" si="44"/>
        <v>0</v>
      </c>
      <c r="AI514" s="313">
        <f t="shared" si="44"/>
        <v>0</v>
      </c>
      <c r="AJ514" s="313">
        <f t="shared" si="44"/>
        <v>0</v>
      </c>
      <c r="AL514" s="314">
        <f t="shared" si="44"/>
        <v>1441235.8176899757</v>
      </c>
      <c r="AM514" s="314">
        <f t="shared" si="43"/>
        <v>0</v>
      </c>
      <c r="AN514" s="314">
        <f t="shared" si="40"/>
        <v>115737.94006699817</v>
      </c>
      <c r="AO514" s="314">
        <f t="shared" si="40"/>
        <v>0</v>
      </c>
      <c r="AP514" s="314">
        <f t="shared" si="40"/>
        <v>1556973.7577569738</v>
      </c>
      <c r="AR514" s="314">
        <f t="shared" si="40"/>
        <v>0</v>
      </c>
      <c r="AS514" s="314">
        <f t="shared" ref="AS514:AS525" si="45">SUMIFS(AS$4:AS$337,$A$4:$A$337,$A514)</f>
        <v>0</v>
      </c>
      <c r="AT514" s="314">
        <f t="shared" si="41"/>
        <v>0</v>
      </c>
      <c r="AU514" s="314">
        <f t="shared" si="41"/>
        <v>0</v>
      </c>
      <c r="AV514" s="314">
        <f t="shared" si="41"/>
        <v>0</v>
      </c>
      <c r="AW514" s="314">
        <f t="shared" si="41"/>
        <v>1556973.7577569738</v>
      </c>
    </row>
    <row r="515" spans="1:49" x14ac:dyDescent="0.25">
      <c r="A515" s="311">
        <v>6466112</v>
      </c>
      <c r="B515" s="311"/>
      <c r="C515" s="315" t="str">
        <f t="shared" si="33"/>
        <v>NZO</v>
      </c>
      <c r="D515" s="315" t="str">
        <f t="shared" si="34"/>
        <v>Oblastní charita Červený Kostelec</v>
      </c>
      <c r="E515" s="315" t="str">
        <f t="shared" si="35"/>
        <v>Oblastní charita Červený Kostelec</v>
      </c>
      <c r="F515" s="313">
        <f t="shared" si="36"/>
        <v>6466112</v>
      </c>
      <c r="G515" s="313"/>
      <c r="H515" s="313"/>
      <c r="I515" s="313"/>
      <c r="J515" s="313"/>
      <c r="K515" s="313"/>
      <c r="L515" s="313"/>
      <c r="M515" s="313"/>
      <c r="N515" s="313"/>
      <c r="O515" s="313"/>
      <c r="P515" s="313"/>
      <c r="Q515" s="313"/>
      <c r="R515" s="313"/>
      <c r="S515" s="313"/>
      <c r="T515" s="313">
        <f t="shared" si="37"/>
        <v>0.4</v>
      </c>
      <c r="U515" s="313">
        <f t="shared" si="44"/>
        <v>0.2</v>
      </c>
      <c r="V515" s="313">
        <f t="shared" si="44"/>
        <v>0</v>
      </c>
      <c r="W515" s="313">
        <f t="shared" si="44"/>
        <v>0.2</v>
      </c>
      <c r="X515" s="313">
        <f t="shared" si="44"/>
        <v>0</v>
      </c>
      <c r="Y515" s="313">
        <f t="shared" si="44"/>
        <v>0</v>
      </c>
      <c r="Z515" s="313">
        <f t="shared" si="44"/>
        <v>12</v>
      </c>
      <c r="AA515" s="313">
        <f t="shared" si="44"/>
        <v>0</v>
      </c>
      <c r="AB515" s="313">
        <f t="shared" si="44"/>
        <v>0</v>
      </c>
      <c r="AD515" s="313">
        <f t="shared" si="44"/>
        <v>0.4</v>
      </c>
      <c r="AE515" s="313">
        <f t="shared" si="44"/>
        <v>0.2</v>
      </c>
      <c r="AF515" s="313">
        <f t="shared" si="44"/>
        <v>0</v>
      </c>
      <c r="AG515" s="313">
        <f t="shared" si="44"/>
        <v>0.2</v>
      </c>
      <c r="AH515" s="313">
        <f t="shared" si="44"/>
        <v>0</v>
      </c>
      <c r="AI515" s="313">
        <f t="shared" si="44"/>
        <v>0</v>
      </c>
      <c r="AJ515" s="313">
        <f t="shared" si="44"/>
        <v>0</v>
      </c>
      <c r="AL515" s="314">
        <f t="shared" si="44"/>
        <v>266351.69839904417</v>
      </c>
      <c r="AM515" s="314">
        <f t="shared" si="43"/>
        <v>0</v>
      </c>
      <c r="AN515" s="314">
        <f t="shared" si="40"/>
        <v>18482.724244715326</v>
      </c>
      <c r="AO515" s="314">
        <f t="shared" si="40"/>
        <v>0</v>
      </c>
      <c r="AP515" s="314">
        <f t="shared" si="40"/>
        <v>284834.42264375952</v>
      </c>
      <c r="AR515" s="314">
        <f t="shared" si="40"/>
        <v>0</v>
      </c>
      <c r="AS515" s="314">
        <f t="shared" si="45"/>
        <v>0</v>
      </c>
      <c r="AT515" s="314">
        <f t="shared" si="41"/>
        <v>0</v>
      </c>
      <c r="AU515" s="314">
        <f t="shared" si="41"/>
        <v>0</v>
      </c>
      <c r="AV515" s="314">
        <f t="shared" si="41"/>
        <v>0</v>
      </c>
      <c r="AW515" s="314">
        <f t="shared" si="41"/>
        <v>284834.42264375952</v>
      </c>
    </row>
    <row r="516" spans="1:49" x14ac:dyDescent="0.25">
      <c r="A516" s="311">
        <v>6473703</v>
      </c>
      <c r="B516" s="311"/>
      <c r="C516" s="315" t="str">
        <f t="shared" si="33"/>
        <v>NZO</v>
      </c>
      <c r="D516" s="315" t="str">
        <f t="shared" si="34"/>
        <v>Tréninková kavárna Láry Fáry 2</v>
      </c>
      <c r="E516" s="315" t="str">
        <f t="shared" si="35"/>
        <v>PFERDA z.ú.</v>
      </c>
      <c r="F516" s="313">
        <f t="shared" si="36"/>
        <v>6473703</v>
      </c>
      <c r="G516" s="313"/>
      <c r="H516" s="313"/>
      <c r="I516" s="313"/>
      <c r="J516" s="313"/>
      <c r="K516" s="313"/>
      <c r="L516" s="313"/>
      <c r="M516" s="313"/>
      <c r="N516" s="313"/>
      <c r="O516" s="313"/>
      <c r="P516" s="313"/>
      <c r="Q516" s="313"/>
      <c r="R516" s="313"/>
      <c r="S516" s="313"/>
      <c r="T516" s="313">
        <f t="shared" si="37"/>
        <v>3</v>
      </c>
      <c r="U516" s="313">
        <f t="shared" si="44"/>
        <v>1.25</v>
      </c>
      <c r="V516" s="313">
        <f t="shared" si="44"/>
        <v>1.75</v>
      </c>
      <c r="W516" s="313">
        <f t="shared" si="44"/>
        <v>0</v>
      </c>
      <c r="X516" s="313">
        <f t="shared" si="44"/>
        <v>0</v>
      </c>
      <c r="Y516" s="313">
        <f t="shared" si="44"/>
        <v>0</v>
      </c>
      <c r="Z516" s="313">
        <f t="shared" si="44"/>
        <v>20</v>
      </c>
      <c r="AA516" s="313">
        <f t="shared" si="44"/>
        <v>0</v>
      </c>
      <c r="AB516" s="313">
        <f t="shared" si="44"/>
        <v>0</v>
      </c>
      <c r="AD516" s="313">
        <f t="shared" si="44"/>
        <v>3</v>
      </c>
      <c r="AE516" s="313">
        <f t="shared" si="44"/>
        <v>1.25</v>
      </c>
      <c r="AF516" s="313">
        <f t="shared" si="44"/>
        <v>1.75</v>
      </c>
      <c r="AG516" s="313">
        <f t="shared" si="44"/>
        <v>0</v>
      </c>
      <c r="AH516" s="313">
        <f t="shared" si="44"/>
        <v>0</v>
      </c>
      <c r="AI516" s="313">
        <f t="shared" si="44"/>
        <v>0</v>
      </c>
      <c r="AJ516" s="313">
        <f t="shared" si="44"/>
        <v>0</v>
      </c>
      <c r="AL516" s="314">
        <f t="shared" si="44"/>
        <v>2014881.061064146</v>
      </c>
      <c r="AM516" s="314">
        <f t="shared" si="43"/>
        <v>0</v>
      </c>
      <c r="AN516" s="314">
        <f t="shared" si="40"/>
        <v>128342.95607977567</v>
      </c>
      <c r="AO516" s="314">
        <f t="shared" si="40"/>
        <v>0</v>
      </c>
      <c r="AP516" s="314">
        <f t="shared" si="40"/>
        <v>2143224.0171439215</v>
      </c>
      <c r="AR516" s="314">
        <f t="shared" si="40"/>
        <v>0</v>
      </c>
      <c r="AS516" s="314">
        <f t="shared" si="45"/>
        <v>0</v>
      </c>
      <c r="AT516" s="314">
        <f t="shared" si="41"/>
        <v>0</v>
      </c>
      <c r="AU516" s="314">
        <f t="shared" si="41"/>
        <v>0</v>
      </c>
      <c r="AV516" s="314">
        <f t="shared" si="41"/>
        <v>0</v>
      </c>
      <c r="AW516" s="314">
        <f t="shared" si="41"/>
        <v>2143224.0171439215</v>
      </c>
    </row>
    <row r="517" spans="1:49" x14ac:dyDescent="0.25">
      <c r="A517" s="311">
        <v>6514817</v>
      </c>
      <c r="B517" s="311"/>
      <c r="C517" s="315" t="str">
        <f t="shared" si="33"/>
        <v>PO KHK</v>
      </c>
      <c r="D517" s="315" t="str">
        <f t="shared" si="34"/>
        <v>Chráněné bydlení</v>
      </c>
      <c r="E517" s="315" t="str">
        <f t="shared" si="35"/>
        <v>Domov Dědina</v>
      </c>
      <c r="F517" s="313">
        <f t="shared" si="36"/>
        <v>6514817</v>
      </c>
      <c r="G517" s="313"/>
      <c r="H517" s="313"/>
      <c r="I517" s="313"/>
      <c r="J517" s="313"/>
      <c r="K517" s="313"/>
      <c r="L517" s="313"/>
      <c r="M517" s="313"/>
      <c r="N517" s="313"/>
      <c r="O517" s="313"/>
      <c r="P517" s="313"/>
      <c r="Q517" s="313"/>
      <c r="R517" s="313"/>
      <c r="S517" s="313"/>
      <c r="T517" s="313">
        <f t="shared" si="37"/>
        <v>9.8999999999999986</v>
      </c>
      <c r="U517" s="313">
        <f t="shared" si="44"/>
        <v>0.89999999999999991</v>
      </c>
      <c r="V517" s="313">
        <f t="shared" si="44"/>
        <v>9</v>
      </c>
      <c r="W517" s="313">
        <f t="shared" si="44"/>
        <v>0</v>
      </c>
      <c r="X517" s="313">
        <f t="shared" si="44"/>
        <v>0</v>
      </c>
      <c r="Y517" s="313">
        <f t="shared" si="44"/>
        <v>17</v>
      </c>
      <c r="Z517" s="313">
        <f t="shared" si="44"/>
        <v>0</v>
      </c>
      <c r="AA517" s="313">
        <f t="shared" si="44"/>
        <v>0</v>
      </c>
      <c r="AB517" s="313">
        <f t="shared" si="44"/>
        <v>0</v>
      </c>
      <c r="AD517" s="313">
        <f t="shared" si="44"/>
        <v>9.8999999999999986</v>
      </c>
      <c r="AE517" s="313">
        <f t="shared" si="44"/>
        <v>0.89999999999999991</v>
      </c>
      <c r="AF517" s="313">
        <f t="shared" si="44"/>
        <v>9</v>
      </c>
      <c r="AG517" s="313">
        <f t="shared" si="44"/>
        <v>0</v>
      </c>
      <c r="AH517" s="313">
        <f t="shared" si="44"/>
        <v>0</v>
      </c>
      <c r="AI517" s="313">
        <f t="shared" si="44"/>
        <v>17</v>
      </c>
      <c r="AJ517" s="313">
        <f t="shared" si="44"/>
        <v>0</v>
      </c>
      <c r="AL517" s="314">
        <f t="shared" si="44"/>
        <v>6371137.4582788553</v>
      </c>
      <c r="AM517" s="314">
        <f t="shared" si="43"/>
        <v>0</v>
      </c>
      <c r="AN517" s="314">
        <f t="shared" si="40"/>
        <v>940585.81224097055</v>
      </c>
      <c r="AO517" s="314">
        <f t="shared" si="40"/>
        <v>310797.78476909414</v>
      </c>
      <c r="AP517" s="314">
        <f t="shared" si="40"/>
        <v>7622521.0552889192</v>
      </c>
      <c r="AR517" s="314">
        <f t="shared" si="40"/>
        <v>737733.54896907217</v>
      </c>
      <c r="AS517" s="314">
        <f t="shared" si="45"/>
        <v>0</v>
      </c>
      <c r="AT517" s="314">
        <f t="shared" si="41"/>
        <v>735798.59000000008</v>
      </c>
      <c r="AU517" s="314">
        <f t="shared" si="41"/>
        <v>319709.4375</v>
      </c>
      <c r="AV517" s="314">
        <f t="shared" si="41"/>
        <v>1793241.5764690724</v>
      </c>
      <c r="AW517" s="314">
        <f t="shared" si="41"/>
        <v>5829279.4788198471</v>
      </c>
    </row>
    <row r="518" spans="1:49" x14ac:dyDescent="0.25">
      <c r="A518" s="311">
        <v>6565086</v>
      </c>
      <c r="B518" s="311"/>
      <c r="C518" s="315" t="str">
        <f t="shared" si="33"/>
        <v>NZO</v>
      </c>
      <c r="D518" s="315" t="str">
        <f t="shared" si="34"/>
        <v>Centrum pro zdravotně postižené Královéhradeckého kraje</v>
      </c>
      <c r="E518" s="315" t="str">
        <f t="shared" si="35"/>
        <v>Centrum pro integraci osob se zdravotním postižením Královéhradeckého kraje, o. p. s.</v>
      </c>
      <c r="F518" s="313">
        <f t="shared" si="36"/>
        <v>6565086</v>
      </c>
      <c r="G518" s="313"/>
      <c r="H518" s="313"/>
      <c r="I518" s="313"/>
      <c r="J518" s="313"/>
      <c r="K518" s="313"/>
      <c r="L518" s="313"/>
      <c r="M518" s="313"/>
      <c r="N518" s="313"/>
      <c r="O518" s="313"/>
      <c r="P518" s="313"/>
      <c r="Q518" s="313"/>
      <c r="R518" s="313"/>
      <c r="S518" s="313"/>
      <c r="T518" s="313">
        <f t="shared" si="37"/>
        <v>6.0700000000000012</v>
      </c>
      <c r="U518" s="313">
        <f t="shared" si="44"/>
        <v>5.7900000000000009</v>
      </c>
      <c r="V518" s="313">
        <f t="shared" si="44"/>
        <v>0.28000000000000003</v>
      </c>
      <c r="W518" s="313">
        <f t="shared" si="44"/>
        <v>0</v>
      </c>
      <c r="X518" s="313">
        <f t="shared" si="44"/>
        <v>0</v>
      </c>
      <c r="Y518" s="313">
        <f t="shared" si="44"/>
        <v>0</v>
      </c>
      <c r="Z518" s="313">
        <f t="shared" si="44"/>
        <v>125</v>
      </c>
      <c r="AA518" s="313">
        <f t="shared" si="44"/>
        <v>0</v>
      </c>
      <c r="AB518" s="313">
        <f t="shared" si="44"/>
        <v>0</v>
      </c>
      <c r="AD518" s="313">
        <f t="shared" si="44"/>
        <v>6.0700000000000012</v>
      </c>
      <c r="AE518" s="313">
        <f t="shared" si="44"/>
        <v>5.7900000000000009</v>
      </c>
      <c r="AF518" s="313">
        <f t="shared" si="44"/>
        <v>0.28000000000000003</v>
      </c>
      <c r="AG518" s="313">
        <f t="shared" si="44"/>
        <v>0</v>
      </c>
      <c r="AH518" s="313">
        <f t="shared" si="44"/>
        <v>0</v>
      </c>
      <c r="AI518" s="313">
        <f t="shared" si="44"/>
        <v>0</v>
      </c>
      <c r="AJ518" s="313">
        <f t="shared" si="44"/>
        <v>0</v>
      </c>
      <c r="AL518" s="314">
        <f t="shared" si="44"/>
        <v>4041887.023205495</v>
      </c>
      <c r="AM518" s="314">
        <f t="shared" si="43"/>
        <v>0</v>
      </c>
      <c r="AN518" s="314">
        <f t="shared" si="40"/>
        <v>280475.34041355504</v>
      </c>
      <c r="AO518" s="314">
        <f t="shared" si="40"/>
        <v>0</v>
      </c>
      <c r="AP518" s="314">
        <f t="shared" si="40"/>
        <v>4322362.36361905</v>
      </c>
      <c r="AR518" s="314">
        <f t="shared" si="40"/>
        <v>0</v>
      </c>
      <c r="AS518" s="314">
        <f t="shared" si="45"/>
        <v>0</v>
      </c>
      <c r="AT518" s="314">
        <f t="shared" si="41"/>
        <v>0</v>
      </c>
      <c r="AU518" s="314">
        <f t="shared" si="41"/>
        <v>0</v>
      </c>
      <c r="AV518" s="314">
        <f t="shared" si="41"/>
        <v>0</v>
      </c>
      <c r="AW518" s="314">
        <f t="shared" si="41"/>
        <v>4322362.36361905</v>
      </c>
    </row>
    <row r="519" spans="1:49" x14ac:dyDescent="0.25">
      <c r="A519" s="311">
        <v>6565956</v>
      </c>
      <c r="B519" s="311"/>
      <c r="C519" s="315" t="str">
        <f t="shared" si="33"/>
        <v>PO KHK</v>
      </c>
      <c r="D519" s="315" t="str">
        <f t="shared" si="34"/>
        <v>Domov pro seniory Vrchlabí</v>
      </c>
      <c r="E519" s="315" t="str">
        <f t="shared" si="35"/>
        <v>Domov pro seniory Vrchlabí</v>
      </c>
      <c r="F519" s="313">
        <f t="shared" si="36"/>
        <v>6565956</v>
      </c>
      <c r="G519" s="313"/>
      <c r="H519" s="313"/>
      <c r="I519" s="313"/>
      <c r="J519" s="313"/>
      <c r="K519" s="313"/>
      <c r="L519" s="313"/>
      <c r="M519" s="313"/>
      <c r="N519" s="313"/>
      <c r="O519" s="313"/>
      <c r="P519" s="313"/>
      <c r="Q519" s="313"/>
      <c r="R519" s="313"/>
      <c r="S519" s="313"/>
      <c r="T519" s="313">
        <f t="shared" si="37"/>
        <v>21.68</v>
      </c>
      <c r="U519" s="313">
        <f t="shared" si="44"/>
        <v>1.22</v>
      </c>
      <c r="V519" s="313">
        <f t="shared" si="44"/>
        <v>11.2</v>
      </c>
      <c r="W519" s="313">
        <f t="shared" si="44"/>
        <v>9.26</v>
      </c>
      <c r="X519" s="313">
        <f t="shared" si="44"/>
        <v>0</v>
      </c>
      <c r="Y519" s="313">
        <f t="shared" si="44"/>
        <v>55</v>
      </c>
      <c r="Z519" s="313">
        <f t="shared" si="44"/>
        <v>0</v>
      </c>
      <c r="AA519" s="313">
        <f t="shared" si="44"/>
        <v>0</v>
      </c>
      <c r="AB519" s="313">
        <f t="shared" si="44"/>
        <v>0</v>
      </c>
      <c r="AD519" s="313">
        <f t="shared" si="44"/>
        <v>21.68</v>
      </c>
      <c r="AE519" s="313">
        <f t="shared" si="44"/>
        <v>1.22</v>
      </c>
      <c r="AF519" s="313">
        <f t="shared" si="44"/>
        <v>11.2</v>
      </c>
      <c r="AG519" s="313">
        <f t="shared" si="44"/>
        <v>9.26</v>
      </c>
      <c r="AH519" s="313">
        <f t="shared" si="44"/>
        <v>0</v>
      </c>
      <c r="AI519" s="313">
        <f t="shared" si="44"/>
        <v>55</v>
      </c>
      <c r="AJ519" s="313">
        <f t="shared" si="44"/>
        <v>0</v>
      </c>
      <c r="AL519" s="314">
        <f t="shared" si="44"/>
        <v>8097897.0021619573</v>
      </c>
      <c r="AM519" s="314">
        <f t="shared" si="43"/>
        <v>7507143.9821456028</v>
      </c>
      <c r="AN519" s="314">
        <f t="shared" si="40"/>
        <v>5394159.2793549038</v>
      </c>
      <c r="AO519" s="314">
        <f t="shared" si="40"/>
        <v>3782410.4980368391</v>
      </c>
      <c r="AP519" s="314">
        <f t="shared" si="40"/>
        <v>24781610.761699304</v>
      </c>
      <c r="AR519" s="314">
        <f t="shared" si="40"/>
        <v>6174876.6835724888</v>
      </c>
      <c r="AS519" s="314">
        <f t="shared" si="45"/>
        <v>1608467.7818035427</v>
      </c>
      <c r="AT519" s="314">
        <f t="shared" si="41"/>
        <v>3900807.6044129236</v>
      </c>
      <c r="AU519" s="314">
        <f t="shared" si="41"/>
        <v>2798238.4627757352</v>
      </c>
      <c r="AV519" s="314">
        <f t="shared" si="41"/>
        <v>14482390.53256469</v>
      </c>
      <c r="AW519" s="314">
        <f t="shared" si="41"/>
        <v>10299220.229134614</v>
      </c>
    </row>
    <row r="520" spans="1:49" x14ac:dyDescent="0.25">
      <c r="A520" s="311">
        <v>6581899</v>
      </c>
      <c r="B520" s="311"/>
      <c r="C520" s="315" t="str">
        <f t="shared" si="33"/>
        <v>PO KHK</v>
      </c>
      <c r="D520" s="315" t="str">
        <f t="shared" si="34"/>
        <v>Domov důchodců Borohrádek</v>
      </c>
      <c r="E520" s="315" t="str">
        <f t="shared" si="35"/>
        <v>Domov důchodců Borohrádek</v>
      </c>
      <c r="F520" s="313">
        <f t="shared" si="36"/>
        <v>6581899</v>
      </c>
      <c r="G520" s="313"/>
      <c r="H520" s="313"/>
      <c r="I520" s="313"/>
      <c r="J520" s="313"/>
      <c r="K520" s="313"/>
      <c r="L520" s="313"/>
      <c r="M520" s="313"/>
      <c r="N520" s="313"/>
      <c r="O520" s="313"/>
      <c r="P520" s="313"/>
      <c r="Q520" s="313"/>
      <c r="R520" s="313"/>
      <c r="S520" s="313"/>
      <c r="T520" s="313">
        <f t="shared" si="37"/>
        <v>44</v>
      </c>
      <c r="U520" s="313">
        <f t="shared" si="44"/>
        <v>1</v>
      </c>
      <c r="V520" s="313">
        <f t="shared" si="44"/>
        <v>27</v>
      </c>
      <c r="W520" s="313">
        <f t="shared" si="44"/>
        <v>16</v>
      </c>
      <c r="X520" s="313">
        <f t="shared" si="44"/>
        <v>0</v>
      </c>
      <c r="Y520" s="313">
        <f t="shared" si="44"/>
        <v>115</v>
      </c>
      <c r="Z520" s="313">
        <f t="shared" si="44"/>
        <v>0</v>
      </c>
      <c r="AA520" s="313">
        <f t="shared" si="44"/>
        <v>0</v>
      </c>
      <c r="AB520" s="313">
        <f t="shared" si="44"/>
        <v>0</v>
      </c>
      <c r="AD520" s="313">
        <f t="shared" si="44"/>
        <v>44</v>
      </c>
      <c r="AE520" s="313">
        <f t="shared" si="44"/>
        <v>1</v>
      </c>
      <c r="AF520" s="313">
        <f t="shared" si="44"/>
        <v>27</v>
      </c>
      <c r="AG520" s="313">
        <f t="shared" si="44"/>
        <v>16</v>
      </c>
      <c r="AH520" s="313">
        <f t="shared" si="44"/>
        <v>0</v>
      </c>
      <c r="AI520" s="313">
        <f t="shared" si="44"/>
        <v>115</v>
      </c>
      <c r="AJ520" s="313">
        <f t="shared" si="44"/>
        <v>0</v>
      </c>
      <c r="AL520" s="314">
        <f t="shared" si="44"/>
        <v>18256128.507289439</v>
      </c>
      <c r="AM520" s="314">
        <f t="shared" si="43"/>
        <v>12971307.096579876</v>
      </c>
      <c r="AN520" s="314">
        <f t="shared" si="40"/>
        <v>11278696.675014799</v>
      </c>
      <c r="AO520" s="314">
        <f t="shared" si="40"/>
        <v>7908676.4958952088</v>
      </c>
      <c r="AP520" s="314">
        <f t="shared" si="40"/>
        <v>50414808.77477932</v>
      </c>
      <c r="AR520" s="314">
        <f t="shared" si="40"/>
        <v>12911105.792924294</v>
      </c>
      <c r="AS520" s="314">
        <f t="shared" si="45"/>
        <v>3363159.9074074072</v>
      </c>
      <c r="AT520" s="314">
        <f t="shared" si="41"/>
        <v>8156234.0819542948</v>
      </c>
      <c r="AU520" s="314">
        <f t="shared" si="41"/>
        <v>5850862.2403492648</v>
      </c>
      <c r="AV520" s="314">
        <f t="shared" si="41"/>
        <v>30281362.022635259</v>
      </c>
      <c r="AW520" s="314">
        <f t="shared" si="41"/>
        <v>20133446.752144061</v>
      </c>
    </row>
    <row r="521" spans="1:49" x14ac:dyDescent="0.25">
      <c r="A521" s="311">
        <v>6585534</v>
      </c>
      <c r="B521" s="311"/>
      <c r="C521" s="315" t="str">
        <f t="shared" si="33"/>
        <v>NZO</v>
      </c>
      <c r="D521" s="315" t="str">
        <f t="shared" si="34"/>
        <v>Intervenční centrum Hradec Králové</v>
      </c>
      <c r="E521" s="315" t="str">
        <f t="shared" si="35"/>
        <v>Oblastní charita Hradec Králové</v>
      </c>
      <c r="F521" s="313">
        <f t="shared" si="36"/>
        <v>6585534</v>
      </c>
      <c r="G521" s="313"/>
      <c r="H521" s="313"/>
      <c r="I521" s="313"/>
      <c r="J521" s="313"/>
      <c r="K521" s="313"/>
      <c r="L521" s="313"/>
      <c r="M521" s="313"/>
      <c r="N521" s="313"/>
      <c r="O521" s="313"/>
      <c r="P521" s="313"/>
      <c r="Q521" s="313"/>
      <c r="R521" s="313"/>
      <c r="S521" s="313"/>
      <c r="T521" s="313">
        <f t="shared" si="37"/>
        <v>4</v>
      </c>
      <c r="U521" s="313">
        <f t="shared" si="44"/>
        <v>4</v>
      </c>
      <c r="V521" s="313">
        <f t="shared" si="44"/>
        <v>0</v>
      </c>
      <c r="W521" s="313">
        <f t="shared" si="44"/>
        <v>0</v>
      </c>
      <c r="X521" s="313">
        <f t="shared" si="44"/>
        <v>0</v>
      </c>
      <c r="Y521" s="313">
        <f t="shared" si="44"/>
        <v>0</v>
      </c>
      <c r="Z521" s="313">
        <f t="shared" si="44"/>
        <v>16</v>
      </c>
      <c r="AA521" s="313">
        <f t="shared" si="44"/>
        <v>0</v>
      </c>
      <c r="AB521" s="313">
        <f t="shared" si="44"/>
        <v>0</v>
      </c>
      <c r="AD521" s="313">
        <f t="shared" si="44"/>
        <v>4</v>
      </c>
      <c r="AE521" s="313">
        <f t="shared" si="44"/>
        <v>4</v>
      </c>
      <c r="AF521" s="313">
        <f t="shared" si="44"/>
        <v>0</v>
      </c>
      <c r="AG521" s="313">
        <f t="shared" si="44"/>
        <v>0</v>
      </c>
      <c r="AH521" s="313">
        <f t="shared" si="44"/>
        <v>0</v>
      </c>
      <c r="AI521" s="313">
        <f t="shared" si="44"/>
        <v>0</v>
      </c>
      <c r="AJ521" s="313">
        <f t="shared" si="44"/>
        <v>0</v>
      </c>
      <c r="AL521" s="314">
        <f t="shared" si="44"/>
        <v>3104229.2988150343</v>
      </c>
      <c r="AM521" s="314">
        <f t="shared" si="43"/>
        <v>0</v>
      </c>
      <c r="AN521" s="314">
        <f t="shared" si="40"/>
        <v>266396.52861047804</v>
      </c>
      <c r="AO521" s="314">
        <f t="shared" si="40"/>
        <v>0</v>
      </c>
      <c r="AP521" s="314">
        <f t="shared" si="40"/>
        <v>3370625.8274255125</v>
      </c>
      <c r="AR521" s="314">
        <f t="shared" si="40"/>
        <v>0</v>
      </c>
      <c r="AS521" s="314">
        <f t="shared" si="45"/>
        <v>0</v>
      </c>
      <c r="AT521" s="314">
        <f t="shared" si="41"/>
        <v>0</v>
      </c>
      <c r="AU521" s="314">
        <f t="shared" si="41"/>
        <v>0</v>
      </c>
      <c r="AV521" s="314">
        <f t="shared" si="41"/>
        <v>0</v>
      </c>
      <c r="AW521" s="314">
        <f t="shared" si="41"/>
        <v>3370625.8274255125</v>
      </c>
    </row>
    <row r="522" spans="1:49" x14ac:dyDescent="0.25">
      <c r="A522" s="311">
        <v>6607461</v>
      </c>
      <c r="B522" s="311"/>
      <c r="C522" s="315" t="str">
        <f t="shared" si="33"/>
        <v>NZO</v>
      </c>
      <c r="D522" s="315" t="str">
        <f t="shared" si="34"/>
        <v>Nízkoprahový klub Nová Paka</v>
      </c>
      <c r="E522" s="315" t="str">
        <f t="shared" si="35"/>
        <v>Oblastní charita Jičín</v>
      </c>
      <c r="F522" s="313">
        <f t="shared" si="36"/>
        <v>6607461</v>
      </c>
      <c r="G522" s="313"/>
      <c r="H522" s="313"/>
      <c r="I522" s="313"/>
      <c r="J522" s="313"/>
      <c r="K522" s="313"/>
      <c r="L522" s="313"/>
      <c r="M522" s="313"/>
      <c r="N522" s="313"/>
      <c r="O522" s="313"/>
      <c r="P522" s="313"/>
      <c r="Q522" s="313"/>
      <c r="R522" s="313"/>
      <c r="S522" s="313"/>
      <c r="T522" s="313">
        <f t="shared" si="37"/>
        <v>2</v>
      </c>
      <c r="U522" s="313">
        <f t="shared" si="44"/>
        <v>2</v>
      </c>
      <c r="V522" s="313">
        <f t="shared" si="44"/>
        <v>0</v>
      </c>
      <c r="W522" s="313">
        <f t="shared" si="44"/>
        <v>0</v>
      </c>
      <c r="X522" s="313">
        <f t="shared" si="44"/>
        <v>0</v>
      </c>
      <c r="Y522" s="313">
        <f t="shared" si="44"/>
        <v>0</v>
      </c>
      <c r="Z522" s="313">
        <f t="shared" si="44"/>
        <v>0</v>
      </c>
      <c r="AA522" s="313">
        <f t="shared" si="44"/>
        <v>20</v>
      </c>
      <c r="AB522" s="313">
        <f t="shared" si="44"/>
        <v>0</v>
      </c>
      <c r="AD522" s="313">
        <f t="shared" si="44"/>
        <v>2</v>
      </c>
      <c r="AE522" s="313">
        <f t="shared" si="44"/>
        <v>2</v>
      </c>
      <c r="AF522" s="313">
        <f t="shared" si="44"/>
        <v>0</v>
      </c>
      <c r="AG522" s="313">
        <f t="shared" si="44"/>
        <v>0</v>
      </c>
      <c r="AH522" s="313">
        <f t="shared" si="44"/>
        <v>0</v>
      </c>
      <c r="AI522" s="313">
        <f t="shared" si="44"/>
        <v>0</v>
      </c>
      <c r="AJ522" s="313">
        <f t="shared" si="44"/>
        <v>20</v>
      </c>
      <c r="AL522" s="314">
        <f t="shared" si="44"/>
        <v>1149656.2111314542</v>
      </c>
      <c r="AM522" s="314">
        <f t="shared" si="43"/>
        <v>0</v>
      </c>
      <c r="AN522" s="314">
        <f t="shared" si="40"/>
        <v>110692.81722774495</v>
      </c>
      <c r="AO522" s="314">
        <f t="shared" si="40"/>
        <v>0</v>
      </c>
      <c r="AP522" s="314">
        <f t="shared" si="40"/>
        <v>1260349.0283591992</v>
      </c>
      <c r="AR522" s="314">
        <f t="shared" si="40"/>
        <v>0</v>
      </c>
      <c r="AS522" s="314">
        <f t="shared" si="45"/>
        <v>0</v>
      </c>
      <c r="AT522" s="314">
        <f t="shared" si="41"/>
        <v>0</v>
      </c>
      <c r="AU522" s="314">
        <f t="shared" si="41"/>
        <v>0</v>
      </c>
      <c r="AV522" s="314">
        <f t="shared" si="41"/>
        <v>0</v>
      </c>
      <c r="AW522" s="314">
        <f t="shared" si="41"/>
        <v>1260349.0283591992</v>
      </c>
    </row>
    <row r="523" spans="1:49" x14ac:dyDescent="0.25">
      <c r="A523" s="311">
        <v>6627771</v>
      </c>
      <c r="B523" s="311"/>
      <c r="C523" s="315" t="str">
        <f t="shared" si="33"/>
        <v>NZO</v>
      </c>
      <c r="D523" s="315" t="str">
        <f t="shared" si="34"/>
        <v>Domov sv. Josefa v Žirči u Dvora Králové n. Labem, středisko OCHČK</v>
      </c>
      <c r="E523" s="315" t="str">
        <f t="shared" si="35"/>
        <v>Oblastní charita Červený Kostelec</v>
      </c>
      <c r="F523" s="313">
        <f t="shared" si="36"/>
        <v>6627771</v>
      </c>
      <c r="G523" s="313"/>
      <c r="H523" s="313"/>
      <c r="I523" s="313"/>
      <c r="J523" s="313"/>
      <c r="K523" s="313"/>
      <c r="L523" s="313"/>
      <c r="M523" s="313"/>
      <c r="N523" s="313"/>
      <c r="O523" s="313"/>
      <c r="P523" s="313"/>
      <c r="Q523" s="313"/>
      <c r="R523" s="313"/>
      <c r="S523" s="313"/>
      <c r="T523" s="313">
        <f t="shared" si="37"/>
        <v>0.3</v>
      </c>
      <c r="U523" s="313">
        <f t="shared" si="44"/>
        <v>0.1</v>
      </c>
      <c r="V523" s="313">
        <f t="shared" si="44"/>
        <v>0.2</v>
      </c>
      <c r="W523" s="313">
        <f t="shared" si="44"/>
        <v>0</v>
      </c>
      <c r="X523" s="313">
        <f t="shared" si="44"/>
        <v>0</v>
      </c>
      <c r="Y523" s="313">
        <f t="shared" si="44"/>
        <v>2</v>
      </c>
      <c r="Z523" s="313">
        <f t="shared" si="44"/>
        <v>0</v>
      </c>
      <c r="AA523" s="313">
        <f t="shared" si="44"/>
        <v>0</v>
      </c>
      <c r="AB523" s="313">
        <f t="shared" si="44"/>
        <v>0</v>
      </c>
      <c r="AD523" s="313">
        <f t="shared" si="44"/>
        <v>0.3</v>
      </c>
      <c r="AE523" s="313">
        <f t="shared" si="44"/>
        <v>0.1</v>
      </c>
      <c r="AF523" s="313">
        <f t="shared" si="44"/>
        <v>0.2</v>
      </c>
      <c r="AG523" s="313">
        <f t="shared" si="44"/>
        <v>0</v>
      </c>
      <c r="AH523" s="313">
        <f t="shared" si="44"/>
        <v>0</v>
      </c>
      <c r="AI523" s="313">
        <f t="shared" si="44"/>
        <v>2</v>
      </c>
      <c r="AJ523" s="313">
        <f t="shared" si="44"/>
        <v>0</v>
      </c>
      <c r="AL523" s="314">
        <f t="shared" si="44"/>
        <v>193064.77146299559</v>
      </c>
      <c r="AM523" s="314">
        <f t="shared" si="43"/>
        <v>0</v>
      </c>
      <c r="AN523" s="314">
        <f t="shared" si="40"/>
        <v>110657.15438129065</v>
      </c>
      <c r="AO523" s="314">
        <f t="shared" si="40"/>
        <v>36564.445266952251</v>
      </c>
      <c r="AP523" s="314">
        <f t="shared" si="40"/>
        <v>340286.37111123849</v>
      </c>
      <c r="AR523" s="314">
        <f t="shared" si="40"/>
        <v>16394.078865979383</v>
      </c>
      <c r="AS523" s="314">
        <f t="shared" si="45"/>
        <v>0</v>
      </c>
      <c r="AT523" s="314">
        <f t="shared" si="41"/>
        <v>86564.540000000008</v>
      </c>
      <c r="AU523" s="314">
        <f t="shared" si="41"/>
        <v>37612.875</v>
      </c>
      <c r="AV523" s="314">
        <f t="shared" si="41"/>
        <v>140571.4938659794</v>
      </c>
      <c r="AW523" s="314">
        <f t="shared" si="41"/>
        <v>199714.87724525909</v>
      </c>
    </row>
    <row r="524" spans="1:49" x14ac:dyDescent="0.25">
      <c r="A524" s="311">
        <v>6630553</v>
      </c>
      <c r="B524" s="311"/>
      <c r="C524" s="315" t="str">
        <f t="shared" si="33"/>
        <v>NZO</v>
      </c>
      <c r="D524" s="315" t="str">
        <f t="shared" si="34"/>
        <v>Centrum pro zdravotně postižené Královéhradeckého kraje</v>
      </c>
      <c r="E524" s="315" t="str">
        <f t="shared" si="35"/>
        <v>Centrum pro integraci osob se zdravotním postižením Královéhradeckého kraje, o. p. s.</v>
      </c>
      <c r="F524" s="313">
        <f t="shared" si="36"/>
        <v>6630553</v>
      </c>
      <c r="G524" s="313"/>
      <c r="H524" s="313"/>
      <c r="I524" s="313"/>
      <c r="J524" s="313"/>
      <c r="K524" s="313"/>
      <c r="L524" s="313"/>
      <c r="M524" s="313"/>
      <c r="N524" s="313"/>
      <c r="O524" s="313"/>
      <c r="P524" s="313"/>
      <c r="Q524" s="313"/>
      <c r="R524" s="313"/>
      <c r="S524" s="313"/>
      <c r="T524" s="313">
        <f t="shared" si="37"/>
        <v>4</v>
      </c>
      <c r="U524" s="313">
        <f t="shared" si="44"/>
        <v>3.8</v>
      </c>
      <c r="V524" s="313">
        <f t="shared" si="44"/>
        <v>0</v>
      </c>
      <c r="W524" s="313">
        <f t="shared" si="44"/>
        <v>0</v>
      </c>
      <c r="X524" s="313">
        <f t="shared" si="44"/>
        <v>0.2</v>
      </c>
      <c r="Y524" s="313">
        <f t="shared" si="44"/>
        <v>0</v>
      </c>
      <c r="Z524" s="313">
        <f t="shared" si="44"/>
        <v>30</v>
      </c>
      <c r="AA524" s="313">
        <f t="shared" si="44"/>
        <v>0</v>
      </c>
      <c r="AB524" s="313">
        <f t="shared" si="44"/>
        <v>0</v>
      </c>
      <c r="AD524" s="313">
        <f t="shared" si="44"/>
        <v>4</v>
      </c>
      <c r="AE524" s="313">
        <f t="shared" si="44"/>
        <v>3.8</v>
      </c>
      <c r="AF524" s="313">
        <f t="shared" si="44"/>
        <v>0</v>
      </c>
      <c r="AG524" s="313">
        <f t="shared" si="44"/>
        <v>0</v>
      </c>
      <c r="AH524" s="313">
        <f t="shared" si="44"/>
        <v>0.2</v>
      </c>
      <c r="AI524" s="313">
        <f t="shared" si="44"/>
        <v>0</v>
      </c>
      <c r="AJ524" s="313">
        <f t="shared" si="44"/>
        <v>0</v>
      </c>
      <c r="AL524" s="314">
        <f t="shared" si="44"/>
        <v>2722457.1587071139</v>
      </c>
      <c r="AM524" s="314">
        <f t="shared" si="43"/>
        <v>0</v>
      </c>
      <c r="AN524" s="314">
        <f t="shared" si="40"/>
        <v>153655.66794511353</v>
      </c>
      <c r="AO524" s="314">
        <f t="shared" si="40"/>
        <v>0</v>
      </c>
      <c r="AP524" s="314">
        <f t="shared" si="40"/>
        <v>2876112.8266522274</v>
      </c>
      <c r="AR524" s="314">
        <f t="shared" si="40"/>
        <v>0</v>
      </c>
      <c r="AS524" s="314">
        <f t="shared" si="45"/>
        <v>0</v>
      </c>
      <c r="AT524" s="314">
        <f t="shared" si="41"/>
        <v>0</v>
      </c>
      <c r="AU524" s="314">
        <f t="shared" si="41"/>
        <v>0</v>
      </c>
      <c r="AV524" s="314">
        <f t="shared" si="41"/>
        <v>0</v>
      </c>
      <c r="AW524" s="314">
        <f t="shared" si="41"/>
        <v>2876112.8266522274</v>
      </c>
    </row>
    <row r="525" spans="1:49" x14ac:dyDescent="0.25">
      <c r="A525" s="311">
        <v>6684022</v>
      </c>
      <c r="B525" s="311"/>
      <c r="C525" s="315" t="str">
        <f t="shared" si="33"/>
        <v>NZO</v>
      </c>
      <c r="D525" s="315" t="str">
        <f t="shared" si="34"/>
        <v>Stacionář NONA</v>
      </c>
      <c r="E525" s="315" t="str">
        <f t="shared" si="35"/>
        <v>NONA 92, o. p. s.</v>
      </c>
      <c r="F525" s="313">
        <f t="shared" si="36"/>
        <v>6684022</v>
      </c>
      <c r="G525" s="313"/>
      <c r="H525" s="313"/>
      <c r="I525" s="313"/>
      <c r="J525" s="313"/>
      <c r="K525" s="313"/>
      <c r="L525" s="313"/>
      <c r="M525" s="313"/>
      <c r="N525" s="313"/>
      <c r="O525" s="313"/>
      <c r="P525" s="313"/>
      <c r="Q525" s="313"/>
      <c r="R525" s="313"/>
      <c r="S525" s="313"/>
      <c r="T525" s="313">
        <f t="shared" si="37"/>
        <v>6.85</v>
      </c>
      <c r="U525" s="313">
        <f t="shared" si="44"/>
        <v>1</v>
      </c>
      <c r="V525" s="313">
        <f t="shared" si="44"/>
        <v>5.85</v>
      </c>
      <c r="W525" s="313">
        <f t="shared" si="44"/>
        <v>0</v>
      </c>
      <c r="X525" s="313">
        <f t="shared" si="44"/>
        <v>0</v>
      </c>
      <c r="Y525" s="313">
        <f t="shared" si="44"/>
        <v>0</v>
      </c>
      <c r="Z525" s="313">
        <f t="shared" si="44"/>
        <v>0</v>
      </c>
      <c r="AA525" s="313">
        <f t="shared" si="44"/>
        <v>25</v>
      </c>
      <c r="AB525" s="313">
        <f t="shared" si="44"/>
        <v>0</v>
      </c>
      <c r="AD525" s="313">
        <f t="shared" si="44"/>
        <v>6.85</v>
      </c>
      <c r="AE525" s="313">
        <f t="shared" si="44"/>
        <v>1</v>
      </c>
      <c r="AF525" s="313">
        <f t="shared" si="44"/>
        <v>5.85</v>
      </c>
      <c r="AG525" s="313">
        <f t="shared" si="44"/>
        <v>0</v>
      </c>
      <c r="AH525" s="313">
        <f t="shared" si="44"/>
        <v>0</v>
      </c>
      <c r="AI525" s="313">
        <f t="shared" si="44"/>
        <v>0</v>
      </c>
      <c r="AJ525" s="313">
        <f t="shared" si="44"/>
        <v>25</v>
      </c>
      <c r="AL525" s="314">
        <f t="shared" si="44"/>
        <v>4882720.5704383794</v>
      </c>
      <c r="AM525" s="314">
        <f t="shared" si="43"/>
        <v>0</v>
      </c>
      <c r="AN525" s="314">
        <f t="shared" si="40"/>
        <v>677376.83907793777</v>
      </c>
      <c r="AO525" s="314">
        <f t="shared" si="40"/>
        <v>132451.42223110501</v>
      </c>
      <c r="AP525" s="314">
        <f t="shared" si="40"/>
        <v>5692548.831747422</v>
      </c>
      <c r="AR525" s="314">
        <f t="shared" si="40"/>
        <v>789126.76470588229</v>
      </c>
      <c r="AS525" s="314">
        <f t="shared" si="45"/>
        <v>0</v>
      </c>
      <c r="AT525" s="314">
        <f t="shared" si="41"/>
        <v>0</v>
      </c>
      <c r="AU525" s="314">
        <f t="shared" si="41"/>
        <v>136307.69230769231</v>
      </c>
      <c r="AV525" s="314">
        <f t="shared" si="41"/>
        <v>925434.45701357466</v>
      </c>
      <c r="AW525" s="314">
        <f t="shared" si="41"/>
        <v>4767114.3747338476</v>
      </c>
    </row>
    <row r="526" spans="1:49" x14ac:dyDescent="0.25">
      <c r="A526" s="311">
        <v>6697882</v>
      </c>
      <c r="B526" s="311"/>
      <c r="C526" s="315" t="str">
        <f t="shared" si="33"/>
        <v>Obce</v>
      </c>
      <c r="D526" s="315" t="str">
        <f t="shared" si="34"/>
        <v>Pečovatelská služba Teplice nad Metují</v>
      </c>
      <c r="E526" s="315" t="str">
        <f t="shared" si="35"/>
        <v>Město Teplice nad Metují</v>
      </c>
      <c r="F526" s="313">
        <f t="shared" si="36"/>
        <v>6697882</v>
      </c>
      <c r="G526" s="313"/>
      <c r="H526" s="313"/>
      <c r="I526" s="313"/>
      <c r="J526" s="313"/>
      <c r="K526" s="313"/>
      <c r="L526" s="313"/>
      <c r="M526" s="313"/>
      <c r="N526" s="313"/>
      <c r="O526" s="313"/>
      <c r="P526" s="313"/>
      <c r="Q526" s="313"/>
      <c r="R526" s="313"/>
      <c r="S526" s="313"/>
      <c r="T526" s="313">
        <f t="shared" si="37"/>
        <v>1.7</v>
      </c>
      <c r="U526" s="313">
        <f t="shared" si="44"/>
        <v>0.2</v>
      </c>
      <c r="V526" s="313">
        <f t="shared" si="44"/>
        <v>1.5</v>
      </c>
      <c r="W526" s="313">
        <f t="shared" si="44"/>
        <v>0</v>
      </c>
      <c r="X526" s="313">
        <f t="shared" si="44"/>
        <v>0</v>
      </c>
      <c r="Y526" s="313">
        <f t="shared" si="44"/>
        <v>0</v>
      </c>
      <c r="Z526" s="313">
        <f t="shared" si="44"/>
        <v>50</v>
      </c>
      <c r="AA526" s="313">
        <f t="shared" si="44"/>
        <v>0</v>
      </c>
      <c r="AB526" s="313">
        <f t="shared" si="44"/>
        <v>0</v>
      </c>
      <c r="AD526" s="313">
        <f t="shared" si="44"/>
        <v>1.7</v>
      </c>
      <c r="AE526" s="313">
        <f t="shared" si="44"/>
        <v>0.2</v>
      </c>
      <c r="AF526" s="313">
        <f t="shared" si="44"/>
        <v>1.5</v>
      </c>
      <c r="AG526" s="313">
        <f t="shared" si="44"/>
        <v>0</v>
      </c>
      <c r="AH526" s="313">
        <f t="shared" si="44"/>
        <v>0</v>
      </c>
      <c r="AI526" s="313">
        <f t="shared" si="44"/>
        <v>0</v>
      </c>
      <c r="AJ526" s="313">
        <f t="shared" si="44"/>
        <v>0</v>
      </c>
      <c r="AL526" s="314">
        <f t="shared" ref="AL526:AW541" si="46">SUMIFS(AL$4:AL$337,$A$4:$A$337,$A526)</f>
        <v>939008.60185423854</v>
      </c>
      <c r="AM526" s="314">
        <f t="shared" si="46"/>
        <v>0</v>
      </c>
      <c r="AN526" s="314">
        <f t="shared" si="46"/>
        <v>71128.960598679536</v>
      </c>
      <c r="AO526" s="314">
        <f t="shared" si="46"/>
        <v>0</v>
      </c>
      <c r="AP526" s="314">
        <f t="shared" si="46"/>
        <v>1010137.562452918</v>
      </c>
      <c r="AR526" s="314">
        <f t="shared" si="46"/>
        <v>208132.85294117648</v>
      </c>
      <c r="AS526" s="314">
        <f t="shared" si="46"/>
        <v>0</v>
      </c>
      <c r="AT526" s="314">
        <f t="shared" si="46"/>
        <v>0</v>
      </c>
      <c r="AU526" s="314">
        <f t="shared" si="46"/>
        <v>0</v>
      </c>
      <c r="AV526" s="314">
        <f t="shared" si="46"/>
        <v>208132.85294117648</v>
      </c>
      <c r="AW526" s="314">
        <f t="shared" si="46"/>
        <v>802004.70951174153</v>
      </c>
    </row>
    <row r="527" spans="1:49" x14ac:dyDescent="0.25">
      <c r="A527" s="311">
        <v>6698987</v>
      </c>
      <c r="B527" s="311"/>
      <c r="C527" s="315" t="str">
        <f t="shared" si="33"/>
        <v>NZO</v>
      </c>
      <c r="D527" s="315" t="str">
        <f t="shared" si="34"/>
        <v>Občanská poradna Rychnov nad Kněžnou</v>
      </c>
      <c r="E527" s="315" t="str">
        <f t="shared" si="35"/>
        <v>OD5K10, z. s.</v>
      </c>
      <c r="F527" s="313">
        <f t="shared" si="36"/>
        <v>6698987</v>
      </c>
      <c r="G527" s="313"/>
      <c r="H527" s="313"/>
      <c r="I527" s="313"/>
      <c r="J527" s="313"/>
      <c r="K527" s="313"/>
      <c r="L527" s="313"/>
      <c r="M527" s="313"/>
      <c r="N527" s="313"/>
      <c r="O527" s="313"/>
      <c r="P527" s="313"/>
      <c r="Q527" s="313"/>
      <c r="R527" s="313"/>
      <c r="S527" s="313"/>
      <c r="T527" s="313">
        <f t="shared" si="37"/>
        <v>1.1499999999999999</v>
      </c>
      <c r="U527" s="313">
        <f t="shared" ref="U527:AP542" si="47">SUMIFS(U$4:U$337,$A$4:$A$337,$A527)</f>
        <v>1</v>
      </c>
      <c r="V527" s="313">
        <f t="shared" si="47"/>
        <v>0.15</v>
      </c>
      <c r="W527" s="313">
        <f t="shared" si="47"/>
        <v>0</v>
      </c>
      <c r="X527" s="313">
        <f t="shared" si="47"/>
        <v>0</v>
      </c>
      <c r="Y527" s="313">
        <f t="shared" si="47"/>
        <v>0</v>
      </c>
      <c r="Z527" s="313">
        <f t="shared" si="47"/>
        <v>5</v>
      </c>
      <c r="AA527" s="313">
        <f t="shared" si="47"/>
        <v>0</v>
      </c>
      <c r="AB527" s="313">
        <f t="shared" si="47"/>
        <v>0</v>
      </c>
      <c r="AD527" s="313">
        <f t="shared" si="47"/>
        <v>1.1499999999999999</v>
      </c>
      <c r="AE527" s="313">
        <f t="shared" si="47"/>
        <v>1</v>
      </c>
      <c r="AF527" s="313">
        <f t="shared" si="47"/>
        <v>0.15</v>
      </c>
      <c r="AG527" s="313">
        <f t="shared" si="47"/>
        <v>0</v>
      </c>
      <c r="AH527" s="313">
        <f t="shared" si="47"/>
        <v>0</v>
      </c>
      <c r="AI527" s="313">
        <f t="shared" si="47"/>
        <v>0</v>
      </c>
      <c r="AJ527" s="313">
        <f t="shared" si="47"/>
        <v>0</v>
      </c>
      <c r="AL527" s="314">
        <f t="shared" si="47"/>
        <v>765761.13289725187</v>
      </c>
      <c r="AM527" s="314">
        <f t="shared" si="47"/>
        <v>0</v>
      </c>
      <c r="AN527" s="314">
        <f t="shared" si="47"/>
        <v>53137.832203556558</v>
      </c>
      <c r="AO527" s="314">
        <f t="shared" si="47"/>
        <v>0</v>
      </c>
      <c r="AP527" s="314">
        <f t="shared" si="47"/>
        <v>818898.96510080842</v>
      </c>
      <c r="AR527" s="314">
        <f t="shared" si="46"/>
        <v>0</v>
      </c>
      <c r="AS527" s="314">
        <f t="shared" si="46"/>
        <v>0</v>
      </c>
      <c r="AT527" s="314">
        <f t="shared" si="46"/>
        <v>0</v>
      </c>
      <c r="AU527" s="314">
        <f t="shared" si="46"/>
        <v>0</v>
      </c>
      <c r="AV527" s="314">
        <f t="shared" si="46"/>
        <v>0</v>
      </c>
      <c r="AW527" s="314">
        <f t="shared" si="46"/>
        <v>818898.96510080842</v>
      </c>
    </row>
    <row r="528" spans="1:49" x14ac:dyDescent="0.25">
      <c r="A528" s="311">
        <v>6749255</v>
      </c>
      <c r="B528" s="311"/>
      <c r="C528" s="315" t="str">
        <f t="shared" si="33"/>
        <v>Obce</v>
      </c>
      <c r="D528" s="315" t="str">
        <f t="shared" si="34"/>
        <v>DUHA o. p. s. - odlehčovací služba</v>
      </c>
      <c r="E528" s="315" t="str">
        <f t="shared" si="35"/>
        <v>DUHA o. p. s.</v>
      </c>
      <c r="F528" s="313">
        <f t="shared" si="36"/>
        <v>6749255</v>
      </c>
      <c r="G528" s="313"/>
      <c r="H528" s="313"/>
      <c r="I528" s="313"/>
      <c r="J528" s="313"/>
      <c r="K528" s="313"/>
      <c r="L528" s="313"/>
      <c r="M528" s="313"/>
      <c r="N528" s="313"/>
      <c r="O528" s="313"/>
      <c r="P528" s="313"/>
      <c r="Q528" s="313"/>
      <c r="R528" s="313"/>
      <c r="S528" s="313"/>
      <c r="T528" s="313">
        <f t="shared" si="37"/>
        <v>6.5750000000000002</v>
      </c>
      <c r="U528" s="313">
        <f t="shared" si="47"/>
        <v>0.375</v>
      </c>
      <c r="V528" s="313">
        <f t="shared" si="47"/>
        <v>6.2</v>
      </c>
      <c r="W528" s="313">
        <f t="shared" si="47"/>
        <v>0</v>
      </c>
      <c r="X528" s="313">
        <f t="shared" si="47"/>
        <v>0</v>
      </c>
      <c r="Y528" s="313">
        <f t="shared" si="47"/>
        <v>9</v>
      </c>
      <c r="Z528" s="313">
        <f t="shared" si="47"/>
        <v>0</v>
      </c>
      <c r="AA528" s="313">
        <f t="shared" si="47"/>
        <v>0</v>
      </c>
      <c r="AB528" s="313">
        <f t="shared" si="47"/>
        <v>0</v>
      </c>
      <c r="AD528" s="313">
        <f t="shared" si="47"/>
        <v>6.5750000000000002</v>
      </c>
      <c r="AE528" s="313">
        <f t="shared" si="47"/>
        <v>0.375</v>
      </c>
      <c r="AF528" s="313">
        <f t="shared" si="47"/>
        <v>6.2</v>
      </c>
      <c r="AG528" s="313">
        <f t="shared" si="47"/>
        <v>0</v>
      </c>
      <c r="AH528" s="313">
        <f t="shared" si="47"/>
        <v>0</v>
      </c>
      <c r="AI528" s="313">
        <f t="shared" si="47"/>
        <v>9</v>
      </c>
      <c r="AJ528" s="313">
        <f t="shared" si="47"/>
        <v>0</v>
      </c>
      <c r="AL528" s="314">
        <f t="shared" si="47"/>
        <v>3709936.4881603112</v>
      </c>
      <c r="AM528" s="314">
        <f t="shared" si="47"/>
        <v>0</v>
      </c>
      <c r="AN528" s="314">
        <f t="shared" si="47"/>
        <v>493040.32278938848</v>
      </c>
      <c r="AO528" s="314">
        <f t="shared" si="47"/>
        <v>270204.34340249962</v>
      </c>
      <c r="AP528" s="314">
        <f t="shared" si="47"/>
        <v>4473181.1543521993</v>
      </c>
      <c r="AR528" s="314">
        <f t="shared" si="46"/>
        <v>789757.99190607481</v>
      </c>
      <c r="AS528" s="314">
        <f t="shared" si="46"/>
        <v>0</v>
      </c>
      <c r="AT528" s="314">
        <f t="shared" si="46"/>
        <v>346097.8125</v>
      </c>
      <c r="AU528" s="314">
        <f t="shared" si="46"/>
        <v>215059.05000000002</v>
      </c>
      <c r="AV528" s="314">
        <f t="shared" si="46"/>
        <v>1350914.8544060749</v>
      </c>
      <c r="AW528" s="314">
        <f t="shared" si="46"/>
        <v>3122266.2999461247</v>
      </c>
    </row>
    <row r="529" spans="1:49" x14ac:dyDescent="0.25">
      <c r="A529" s="311">
        <v>6811251</v>
      </c>
      <c r="B529" s="311"/>
      <c r="C529" s="315" t="str">
        <f t="shared" si="33"/>
        <v>NZO</v>
      </c>
      <c r="D529" s="315" t="str">
        <f t="shared" si="34"/>
        <v>Základní a odborné poradenství pro zrakově postižené</v>
      </c>
      <c r="E529" s="315" t="str">
        <f t="shared" si="35"/>
        <v>TyfloCentrum Hradec Králové, o. p. s.</v>
      </c>
      <c r="F529" s="313">
        <f t="shared" si="36"/>
        <v>6811251</v>
      </c>
      <c r="G529" s="313"/>
      <c r="H529" s="313"/>
      <c r="I529" s="313"/>
      <c r="J529" s="313"/>
      <c r="K529" s="313"/>
      <c r="L529" s="313"/>
      <c r="M529" s="313"/>
      <c r="N529" s="313"/>
      <c r="O529" s="313"/>
      <c r="P529" s="313"/>
      <c r="Q529" s="313"/>
      <c r="R529" s="313"/>
      <c r="S529" s="313"/>
      <c r="T529" s="313">
        <f t="shared" si="37"/>
        <v>0.6</v>
      </c>
      <c r="U529" s="313">
        <f t="shared" si="47"/>
        <v>0.6</v>
      </c>
      <c r="V529" s="313">
        <f t="shared" si="47"/>
        <v>0</v>
      </c>
      <c r="W529" s="313">
        <f t="shared" si="47"/>
        <v>0</v>
      </c>
      <c r="X529" s="313">
        <f t="shared" si="47"/>
        <v>0</v>
      </c>
      <c r="Y529" s="313">
        <f t="shared" si="47"/>
        <v>0</v>
      </c>
      <c r="Z529" s="313">
        <f t="shared" si="47"/>
        <v>2</v>
      </c>
      <c r="AA529" s="313">
        <f t="shared" si="47"/>
        <v>0</v>
      </c>
      <c r="AB529" s="313">
        <f t="shared" si="47"/>
        <v>0</v>
      </c>
      <c r="AD529" s="313">
        <f t="shared" si="47"/>
        <v>0.6</v>
      </c>
      <c r="AE529" s="313">
        <f t="shared" si="47"/>
        <v>0.6</v>
      </c>
      <c r="AF529" s="313">
        <f t="shared" si="47"/>
        <v>0</v>
      </c>
      <c r="AG529" s="313">
        <f t="shared" si="47"/>
        <v>0</v>
      </c>
      <c r="AH529" s="313">
        <f t="shared" si="47"/>
        <v>0</v>
      </c>
      <c r="AI529" s="313">
        <f t="shared" si="47"/>
        <v>0</v>
      </c>
      <c r="AJ529" s="313">
        <f t="shared" si="47"/>
        <v>0</v>
      </c>
      <c r="AL529" s="314">
        <f t="shared" si="47"/>
        <v>399527.54759856622</v>
      </c>
      <c r="AM529" s="314">
        <f t="shared" si="47"/>
        <v>0</v>
      </c>
      <c r="AN529" s="314">
        <f t="shared" si="47"/>
        <v>27724.086367072989</v>
      </c>
      <c r="AO529" s="314">
        <f t="shared" si="47"/>
        <v>0</v>
      </c>
      <c r="AP529" s="314">
        <f t="shared" si="47"/>
        <v>427251.63396563922</v>
      </c>
      <c r="AR529" s="314">
        <f t="shared" si="46"/>
        <v>0</v>
      </c>
      <c r="AS529" s="314">
        <f t="shared" si="46"/>
        <v>0</v>
      </c>
      <c r="AT529" s="314">
        <f t="shared" si="46"/>
        <v>0</v>
      </c>
      <c r="AU529" s="314">
        <f t="shared" si="46"/>
        <v>0</v>
      </c>
      <c r="AV529" s="314">
        <f t="shared" si="46"/>
        <v>0</v>
      </c>
      <c r="AW529" s="314">
        <f t="shared" si="46"/>
        <v>427251.63396563922</v>
      </c>
    </row>
    <row r="530" spans="1:49" x14ac:dyDescent="0.25">
      <c r="A530" s="311">
        <v>6907978</v>
      </c>
      <c r="B530" s="311"/>
      <c r="C530" s="315" t="str">
        <f t="shared" si="33"/>
        <v>Obce</v>
      </c>
      <c r="D530" s="315" t="str">
        <f t="shared" si="34"/>
        <v>Odlehčovací služby</v>
      </c>
      <c r="E530" s="315" t="str">
        <f t="shared" si="35"/>
        <v>Dětské centrum Jilemnice, příspěvková organizace</v>
      </c>
      <c r="F530" s="313">
        <f t="shared" si="36"/>
        <v>6907978</v>
      </c>
      <c r="G530" s="313"/>
      <c r="H530" s="313"/>
      <c r="I530" s="313"/>
      <c r="J530" s="313"/>
      <c r="K530" s="313"/>
      <c r="L530" s="313"/>
      <c r="M530" s="313"/>
      <c r="N530" s="313"/>
      <c r="O530" s="313"/>
      <c r="P530" s="313"/>
      <c r="Q530" s="313"/>
      <c r="R530" s="313"/>
      <c r="S530" s="313"/>
      <c r="T530" s="313">
        <f t="shared" si="37"/>
        <v>2.1</v>
      </c>
      <c r="U530" s="313">
        <f t="shared" si="47"/>
        <v>0.1</v>
      </c>
      <c r="V530" s="313">
        <f t="shared" si="47"/>
        <v>2</v>
      </c>
      <c r="W530" s="313">
        <f t="shared" si="47"/>
        <v>0</v>
      </c>
      <c r="X530" s="313">
        <f t="shared" si="47"/>
        <v>0</v>
      </c>
      <c r="Y530" s="313">
        <f t="shared" si="47"/>
        <v>1</v>
      </c>
      <c r="Z530" s="313">
        <f t="shared" si="47"/>
        <v>0</v>
      </c>
      <c r="AA530" s="313">
        <f t="shared" si="47"/>
        <v>0</v>
      </c>
      <c r="AB530" s="313">
        <f t="shared" si="47"/>
        <v>0</v>
      </c>
      <c r="AD530" s="313">
        <f t="shared" si="47"/>
        <v>2.1</v>
      </c>
      <c r="AE530" s="313">
        <f t="shared" si="47"/>
        <v>0.1</v>
      </c>
      <c r="AF530" s="313">
        <f t="shared" si="47"/>
        <v>2</v>
      </c>
      <c r="AG530" s="313">
        <f t="shared" si="47"/>
        <v>0</v>
      </c>
      <c r="AH530" s="313">
        <f t="shared" si="47"/>
        <v>0</v>
      </c>
      <c r="AI530" s="313">
        <f t="shared" si="47"/>
        <v>1</v>
      </c>
      <c r="AJ530" s="313">
        <f t="shared" si="47"/>
        <v>0</v>
      </c>
      <c r="AL530" s="314">
        <f t="shared" si="47"/>
        <v>1184922.6806291488</v>
      </c>
      <c r="AM530" s="314">
        <f t="shared" si="47"/>
        <v>0</v>
      </c>
      <c r="AN530" s="314">
        <f t="shared" si="47"/>
        <v>54782.25808770983</v>
      </c>
      <c r="AO530" s="314">
        <f t="shared" si="47"/>
        <v>30022.704822499956</v>
      </c>
      <c r="AP530" s="314">
        <f t="shared" si="47"/>
        <v>1269727.6435393586</v>
      </c>
      <c r="AR530" s="314">
        <f t="shared" si="46"/>
        <v>254760.6425503467</v>
      </c>
      <c r="AS530" s="314">
        <f t="shared" si="46"/>
        <v>0</v>
      </c>
      <c r="AT530" s="314">
        <f t="shared" si="46"/>
        <v>38455.3125</v>
      </c>
      <c r="AU530" s="314">
        <f t="shared" si="46"/>
        <v>23895.45</v>
      </c>
      <c r="AV530" s="314">
        <f t="shared" si="46"/>
        <v>317111.40505034669</v>
      </c>
      <c r="AW530" s="314">
        <f t="shared" si="46"/>
        <v>952616.238489012</v>
      </c>
    </row>
    <row r="531" spans="1:49" x14ac:dyDescent="0.25">
      <c r="A531" s="311">
        <v>6945387</v>
      </c>
      <c r="B531" s="311"/>
      <c r="C531" s="315" t="str">
        <f t="shared" si="33"/>
        <v>PO KHK</v>
      </c>
      <c r="D531" s="315" t="str">
        <f t="shared" si="34"/>
        <v>domov pro osoby se zdravotním postižením</v>
      </c>
      <c r="E531" s="315" t="str">
        <f t="shared" si="35"/>
        <v>Domovy Na Třešňovce</v>
      </c>
      <c r="F531" s="313">
        <f t="shared" si="36"/>
        <v>6945387</v>
      </c>
      <c r="G531" s="313"/>
      <c r="H531" s="313"/>
      <c r="I531" s="313"/>
      <c r="J531" s="313"/>
      <c r="K531" s="313"/>
      <c r="L531" s="313"/>
      <c r="M531" s="313"/>
      <c r="N531" s="313"/>
      <c r="O531" s="313"/>
      <c r="P531" s="313"/>
      <c r="Q531" s="313"/>
      <c r="R531" s="313"/>
      <c r="S531" s="313"/>
      <c r="T531" s="313">
        <f t="shared" si="37"/>
        <v>23.2</v>
      </c>
      <c r="U531" s="313">
        <f t="shared" si="47"/>
        <v>2</v>
      </c>
      <c r="V531" s="313">
        <f t="shared" si="47"/>
        <v>15</v>
      </c>
      <c r="W531" s="313">
        <f t="shared" si="47"/>
        <v>6.2</v>
      </c>
      <c r="X531" s="313">
        <f t="shared" si="47"/>
        <v>0</v>
      </c>
      <c r="Y531" s="313">
        <f t="shared" si="47"/>
        <v>53</v>
      </c>
      <c r="Z531" s="313">
        <f t="shared" si="47"/>
        <v>0</v>
      </c>
      <c r="AA531" s="313">
        <f t="shared" si="47"/>
        <v>0</v>
      </c>
      <c r="AB531" s="313">
        <f t="shared" si="47"/>
        <v>0</v>
      </c>
      <c r="AD531" s="313">
        <f t="shared" si="47"/>
        <v>23.2</v>
      </c>
      <c r="AE531" s="313">
        <f t="shared" si="47"/>
        <v>2</v>
      </c>
      <c r="AF531" s="313">
        <f t="shared" si="47"/>
        <v>15</v>
      </c>
      <c r="AG531" s="313">
        <f t="shared" si="47"/>
        <v>6.2</v>
      </c>
      <c r="AH531" s="313">
        <f t="shared" si="47"/>
        <v>0</v>
      </c>
      <c r="AI531" s="313">
        <f t="shared" si="47"/>
        <v>53</v>
      </c>
      <c r="AJ531" s="313">
        <f t="shared" si="47"/>
        <v>0</v>
      </c>
      <c r="AL531" s="314">
        <f t="shared" si="47"/>
        <v>10871627.868012032</v>
      </c>
      <c r="AM531" s="314">
        <f t="shared" si="47"/>
        <v>5030865.8009150112</v>
      </c>
      <c r="AN531" s="314">
        <f t="shared" si="47"/>
        <v>5408596.2378714364</v>
      </c>
      <c r="AO531" s="314">
        <f t="shared" si="47"/>
        <v>3474097.195967068</v>
      </c>
      <c r="AP531" s="314">
        <f t="shared" si="47"/>
        <v>24785187.102765549</v>
      </c>
      <c r="AR531" s="314">
        <f t="shared" si="46"/>
        <v>5624378.8617647057</v>
      </c>
      <c r="AS531" s="314">
        <f t="shared" si="46"/>
        <v>1396535.4509803921</v>
      </c>
      <c r="AT531" s="314">
        <f t="shared" si="46"/>
        <v>2535268.9473684211</v>
      </c>
      <c r="AU531" s="314">
        <f t="shared" si="46"/>
        <v>2399291.4500000002</v>
      </c>
      <c r="AV531" s="314">
        <f t="shared" si="46"/>
        <v>11955474.710113518</v>
      </c>
      <c r="AW531" s="314">
        <f t="shared" si="46"/>
        <v>12829712.392652031</v>
      </c>
    </row>
    <row r="532" spans="1:49" x14ac:dyDescent="0.25">
      <c r="A532" s="311">
        <v>6948137</v>
      </c>
      <c r="B532" s="311"/>
      <c r="C532" s="315" t="str">
        <f t="shared" si="33"/>
        <v>NZO</v>
      </c>
      <c r="D532" s="315" t="str">
        <f t="shared" si="34"/>
        <v>Sociální rehabilitace - středisko Rychnov nad Kněžnou</v>
      </c>
      <c r="E532" s="315" t="str">
        <f t="shared" si="35"/>
        <v>Péče o duševní zdraví, z.s.</v>
      </c>
      <c r="F532" s="313">
        <f t="shared" si="36"/>
        <v>6948137</v>
      </c>
      <c r="G532" s="313"/>
      <c r="H532" s="313"/>
      <c r="I532" s="313"/>
      <c r="J532" s="313"/>
      <c r="K532" s="313"/>
      <c r="L532" s="313"/>
      <c r="M532" s="313"/>
      <c r="N532" s="313"/>
      <c r="O532" s="313"/>
      <c r="P532" s="313"/>
      <c r="Q532" s="313"/>
      <c r="R532" s="313"/>
      <c r="S532" s="313"/>
      <c r="T532" s="313">
        <f t="shared" si="37"/>
        <v>10.5</v>
      </c>
      <c r="U532" s="313">
        <f t="shared" si="47"/>
        <v>10.5</v>
      </c>
      <c r="V532" s="313">
        <f t="shared" si="47"/>
        <v>0</v>
      </c>
      <c r="W532" s="313">
        <f t="shared" si="47"/>
        <v>0</v>
      </c>
      <c r="X532" s="313">
        <f t="shared" si="47"/>
        <v>0</v>
      </c>
      <c r="Y532" s="313">
        <f t="shared" si="47"/>
        <v>0</v>
      </c>
      <c r="Z532" s="313">
        <f t="shared" si="47"/>
        <v>60</v>
      </c>
      <c r="AA532" s="313">
        <f t="shared" si="47"/>
        <v>0</v>
      </c>
      <c r="AB532" s="313">
        <f t="shared" si="47"/>
        <v>0</v>
      </c>
      <c r="AD532" s="313">
        <f t="shared" si="47"/>
        <v>10.5</v>
      </c>
      <c r="AE532" s="313">
        <f t="shared" si="47"/>
        <v>10.5</v>
      </c>
      <c r="AF532" s="313">
        <f t="shared" si="47"/>
        <v>0</v>
      </c>
      <c r="AG532" s="313">
        <f t="shared" si="47"/>
        <v>0</v>
      </c>
      <c r="AH532" s="313">
        <f t="shared" si="47"/>
        <v>0</v>
      </c>
      <c r="AI532" s="313">
        <f t="shared" si="47"/>
        <v>0</v>
      </c>
      <c r="AJ532" s="313">
        <f t="shared" si="47"/>
        <v>0</v>
      </c>
      <c r="AL532" s="314">
        <f t="shared" si="47"/>
        <v>7052083.7137245107</v>
      </c>
      <c r="AM532" s="314">
        <f t="shared" si="47"/>
        <v>0</v>
      </c>
      <c r="AN532" s="314">
        <f t="shared" si="47"/>
        <v>449200.34627921483</v>
      </c>
      <c r="AO532" s="314">
        <f t="shared" si="47"/>
        <v>0</v>
      </c>
      <c r="AP532" s="314">
        <f t="shared" si="47"/>
        <v>7501284.0600037258</v>
      </c>
      <c r="AR532" s="314">
        <f t="shared" si="46"/>
        <v>0</v>
      </c>
      <c r="AS532" s="314">
        <f t="shared" si="46"/>
        <v>0</v>
      </c>
      <c r="AT532" s="314">
        <f t="shared" si="46"/>
        <v>0</v>
      </c>
      <c r="AU532" s="314">
        <f t="shared" si="46"/>
        <v>0</v>
      </c>
      <c r="AV532" s="314">
        <f t="shared" si="46"/>
        <v>0</v>
      </c>
      <c r="AW532" s="314">
        <f t="shared" si="46"/>
        <v>7501284.0600037258</v>
      </c>
    </row>
    <row r="533" spans="1:49" x14ac:dyDescent="0.25">
      <c r="A533" s="311">
        <v>6989404</v>
      </c>
      <c r="B533" s="311"/>
      <c r="C533" s="315" t="str">
        <f t="shared" si="33"/>
        <v>Obce</v>
      </c>
      <c r="D533" s="315" t="str">
        <f t="shared" si="34"/>
        <v>NZDM DoPatra</v>
      </c>
      <c r="E533" s="315" t="str">
        <f t="shared" si="35"/>
        <v>DUHA o. p. s.</v>
      </c>
      <c r="F533" s="313">
        <f t="shared" si="36"/>
        <v>6989404</v>
      </c>
      <c r="G533" s="313"/>
      <c r="H533" s="313"/>
      <c r="I533" s="313"/>
      <c r="J533" s="313"/>
      <c r="K533" s="313"/>
      <c r="L533" s="313"/>
      <c r="M533" s="313"/>
      <c r="N533" s="313"/>
      <c r="O533" s="313"/>
      <c r="P533" s="313"/>
      <c r="Q533" s="313"/>
      <c r="R533" s="313"/>
      <c r="S533" s="313"/>
      <c r="T533" s="313">
        <f t="shared" si="37"/>
        <v>2.35</v>
      </c>
      <c r="U533" s="313">
        <f t="shared" si="47"/>
        <v>0.35</v>
      </c>
      <c r="V533" s="313">
        <f t="shared" si="47"/>
        <v>2</v>
      </c>
      <c r="W533" s="313">
        <f t="shared" si="47"/>
        <v>0</v>
      </c>
      <c r="X533" s="313">
        <f t="shared" si="47"/>
        <v>0</v>
      </c>
      <c r="Y533" s="313">
        <f t="shared" si="47"/>
        <v>0</v>
      </c>
      <c r="Z533" s="313">
        <f t="shared" si="47"/>
        <v>0</v>
      </c>
      <c r="AA533" s="313">
        <f t="shared" si="47"/>
        <v>20</v>
      </c>
      <c r="AB533" s="313">
        <f t="shared" si="47"/>
        <v>0</v>
      </c>
      <c r="AD533" s="313">
        <f t="shared" si="47"/>
        <v>2.35</v>
      </c>
      <c r="AE533" s="313">
        <f t="shared" si="47"/>
        <v>0.35</v>
      </c>
      <c r="AF533" s="313">
        <f t="shared" si="47"/>
        <v>2</v>
      </c>
      <c r="AG533" s="313">
        <f t="shared" si="47"/>
        <v>0</v>
      </c>
      <c r="AH533" s="313">
        <f t="shared" si="47"/>
        <v>0</v>
      </c>
      <c r="AI533" s="313">
        <f t="shared" si="47"/>
        <v>0</v>
      </c>
      <c r="AJ533" s="313">
        <f t="shared" si="47"/>
        <v>20</v>
      </c>
      <c r="AL533" s="314">
        <f t="shared" si="47"/>
        <v>1350846.0480794588</v>
      </c>
      <c r="AM533" s="314">
        <f t="shared" si="47"/>
        <v>0</v>
      </c>
      <c r="AN533" s="314">
        <f t="shared" si="47"/>
        <v>130064.06024260032</v>
      </c>
      <c r="AO533" s="314">
        <f t="shared" si="47"/>
        <v>0</v>
      </c>
      <c r="AP533" s="314">
        <f t="shared" si="47"/>
        <v>1480910.108322059</v>
      </c>
      <c r="AR533" s="314">
        <f t="shared" si="46"/>
        <v>0</v>
      </c>
      <c r="AS533" s="314">
        <f t="shared" si="46"/>
        <v>0</v>
      </c>
      <c r="AT533" s="314">
        <f t="shared" si="46"/>
        <v>0</v>
      </c>
      <c r="AU533" s="314">
        <f t="shared" si="46"/>
        <v>0</v>
      </c>
      <c r="AV533" s="314">
        <f t="shared" si="46"/>
        <v>0</v>
      </c>
      <c r="AW533" s="314">
        <f t="shared" si="46"/>
        <v>1480910.108322059</v>
      </c>
    </row>
    <row r="534" spans="1:49" x14ac:dyDescent="0.25">
      <c r="A534" s="311">
        <v>7071797</v>
      </c>
      <c r="B534" s="311"/>
      <c r="C534" s="315" t="str">
        <f t="shared" si="33"/>
        <v>PO KHK</v>
      </c>
      <c r="D534" s="315" t="str">
        <f t="shared" si="34"/>
        <v>Domov V Podzámčí</v>
      </c>
      <c r="E534" s="315" t="str">
        <f t="shared" si="35"/>
        <v>Domov V Podzámčí</v>
      </c>
      <c r="F534" s="313">
        <f t="shared" si="36"/>
        <v>7071797</v>
      </c>
      <c r="G534" s="313"/>
      <c r="H534" s="313"/>
      <c r="I534" s="313"/>
      <c r="J534" s="313"/>
      <c r="K534" s="313"/>
      <c r="L534" s="313"/>
      <c r="M534" s="313"/>
      <c r="N534" s="313"/>
      <c r="O534" s="313"/>
      <c r="P534" s="313"/>
      <c r="Q534" s="313"/>
      <c r="R534" s="313"/>
      <c r="S534" s="313"/>
      <c r="T534" s="313">
        <f t="shared" si="37"/>
        <v>7.3</v>
      </c>
      <c r="U534" s="313">
        <f t="shared" si="47"/>
        <v>0.7</v>
      </c>
      <c r="V534" s="313">
        <f t="shared" si="47"/>
        <v>5.3</v>
      </c>
      <c r="W534" s="313">
        <f t="shared" si="47"/>
        <v>1.3</v>
      </c>
      <c r="X534" s="313">
        <f t="shared" si="47"/>
        <v>0</v>
      </c>
      <c r="Y534" s="313">
        <f t="shared" si="47"/>
        <v>8</v>
      </c>
      <c r="Z534" s="313">
        <f t="shared" si="47"/>
        <v>0</v>
      </c>
      <c r="AA534" s="313">
        <f t="shared" si="47"/>
        <v>0</v>
      </c>
      <c r="AB534" s="313">
        <f t="shared" si="47"/>
        <v>0</v>
      </c>
      <c r="AD534" s="313">
        <f t="shared" si="47"/>
        <v>7.3</v>
      </c>
      <c r="AE534" s="313">
        <f t="shared" si="47"/>
        <v>0.7</v>
      </c>
      <c r="AF534" s="313">
        <f t="shared" si="47"/>
        <v>5.3</v>
      </c>
      <c r="AG534" s="313">
        <f t="shared" si="47"/>
        <v>1.3</v>
      </c>
      <c r="AH534" s="313">
        <f t="shared" si="47"/>
        <v>0</v>
      </c>
      <c r="AI534" s="313">
        <f t="shared" si="47"/>
        <v>8</v>
      </c>
      <c r="AJ534" s="313">
        <f t="shared" si="47"/>
        <v>0</v>
      </c>
      <c r="AL534" s="314">
        <f t="shared" si="47"/>
        <v>4119016.9374251361</v>
      </c>
      <c r="AM534" s="314">
        <f t="shared" si="47"/>
        <v>0</v>
      </c>
      <c r="AN534" s="314">
        <f t="shared" si="47"/>
        <v>438258.06470167864</v>
      </c>
      <c r="AO534" s="314">
        <f t="shared" si="47"/>
        <v>240181.63857999965</v>
      </c>
      <c r="AP534" s="314">
        <f t="shared" ref="AP534:AP542" si="48">SUMIFS(AP$4:AP$337,$A$4:$A$337,$A534)</f>
        <v>4797456.6407068148</v>
      </c>
      <c r="AR534" s="314">
        <f t="shared" si="46"/>
        <v>840710.12041614403</v>
      </c>
      <c r="AS534" s="314">
        <f t="shared" si="46"/>
        <v>0</v>
      </c>
      <c r="AT534" s="314">
        <f t="shared" si="46"/>
        <v>307642.5</v>
      </c>
      <c r="AU534" s="314">
        <f t="shared" si="46"/>
        <v>191163.6</v>
      </c>
      <c r="AV534" s="314">
        <f t="shared" si="46"/>
        <v>1339516.220416144</v>
      </c>
      <c r="AW534" s="314">
        <f t="shared" si="46"/>
        <v>3457940.4202906708</v>
      </c>
    </row>
    <row r="535" spans="1:49" x14ac:dyDescent="0.25">
      <c r="A535" s="311">
        <v>7175172</v>
      </c>
      <c r="B535" s="311"/>
      <c r="C535" s="315" t="str">
        <f t="shared" si="33"/>
        <v>NZO</v>
      </c>
      <c r="D535" s="315" t="str">
        <f t="shared" si="34"/>
        <v>Tyfloservis, o.p.s. - Krajské ambulantní středisko H.Králové</v>
      </c>
      <c r="E535" s="315" t="str">
        <f t="shared" si="35"/>
        <v>Tyfloservis, o.p.s.</v>
      </c>
      <c r="F535" s="313">
        <f t="shared" si="36"/>
        <v>7175172</v>
      </c>
      <c r="G535" s="313"/>
      <c r="H535" s="313"/>
      <c r="I535" s="313"/>
      <c r="J535" s="313"/>
      <c r="K535" s="313"/>
      <c r="L535" s="313"/>
      <c r="M535" s="313"/>
      <c r="N535" s="313"/>
      <c r="O535" s="313"/>
      <c r="P535" s="313"/>
      <c r="Q535" s="313"/>
      <c r="R535" s="313"/>
      <c r="S535" s="313"/>
      <c r="T535" s="313">
        <f t="shared" si="37"/>
        <v>2</v>
      </c>
      <c r="U535" s="313">
        <f t="shared" si="47"/>
        <v>2</v>
      </c>
      <c r="V535" s="313">
        <f t="shared" si="47"/>
        <v>0</v>
      </c>
      <c r="W535" s="313">
        <f t="shared" si="47"/>
        <v>0</v>
      </c>
      <c r="X535" s="313">
        <f t="shared" si="47"/>
        <v>0</v>
      </c>
      <c r="Y535" s="313">
        <f t="shared" si="47"/>
        <v>0</v>
      </c>
      <c r="Z535" s="313">
        <f t="shared" si="47"/>
        <v>5</v>
      </c>
      <c r="AA535" s="313">
        <f t="shared" si="47"/>
        <v>0</v>
      </c>
      <c r="AB535" s="313">
        <f t="shared" si="47"/>
        <v>0</v>
      </c>
      <c r="AD535" s="313">
        <f t="shared" si="47"/>
        <v>2</v>
      </c>
      <c r="AE535" s="313">
        <f t="shared" si="47"/>
        <v>2</v>
      </c>
      <c r="AF535" s="313">
        <f t="shared" si="47"/>
        <v>0</v>
      </c>
      <c r="AG535" s="313">
        <f t="shared" si="47"/>
        <v>0</v>
      </c>
      <c r="AH535" s="313">
        <f t="shared" si="47"/>
        <v>0</v>
      </c>
      <c r="AI535" s="313">
        <f t="shared" si="47"/>
        <v>0</v>
      </c>
      <c r="AJ535" s="313">
        <f t="shared" si="47"/>
        <v>0</v>
      </c>
      <c r="AL535" s="314">
        <f t="shared" si="47"/>
        <v>1343254.0407094306</v>
      </c>
      <c r="AM535" s="314">
        <f t="shared" si="47"/>
        <v>0</v>
      </c>
      <c r="AN535" s="314">
        <f t="shared" si="47"/>
        <v>85561.970719850447</v>
      </c>
      <c r="AO535" s="314">
        <f t="shared" si="47"/>
        <v>0</v>
      </c>
      <c r="AP535" s="314">
        <f t="shared" si="48"/>
        <v>1428816.011429281</v>
      </c>
      <c r="AR535" s="314">
        <f t="shared" si="46"/>
        <v>0</v>
      </c>
      <c r="AS535" s="314">
        <f t="shared" si="46"/>
        <v>0</v>
      </c>
      <c r="AT535" s="314">
        <f t="shared" si="46"/>
        <v>0</v>
      </c>
      <c r="AU535" s="314">
        <f t="shared" si="46"/>
        <v>0</v>
      </c>
      <c r="AV535" s="314">
        <f t="shared" si="46"/>
        <v>0</v>
      </c>
      <c r="AW535" s="314">
        <f t="shared" si="46"/>
        <v>1428816.011429281</v>
      </c>
    </row>
    <row r="536" spans="1:49" x14ac:dyDescent="0.25">
      <c r="A536" s="311">
        <v>7201840</v>
      </c>
      <c r="B536" s="311"/>
      <c r="C536" s="315" t="str">
        <f t="shared" ref="C536:C599" si="49">VLOOKUP($A536,$A$4:$K$337,2,FALSE)</f>
        <v>Obce</v>
      </c>
      <c r="D536" s="315" t="str">
        <f t="shared" ref="D536:D599" si="50">VLOOKUP($A536,$A$4:$K$337,3,FALSE)</f>
        <v>Sociální služby města Rychnov nad Kněžnou o. p. s.</v>
      </c>
      <c r="E536" s="315" t="str">
        <f t="shared" ref="E536:E599" si="51">VLOOKUP($A536,$A$4:$K$337,4,FALSE)</f>
        <v>PRO-SEN sociálně zdravotní služby, o.p.s.</v>
      </c>
      <c r="F536" s="313">
        <f t="shared" ref="F536:F599" si="52">A536</f>
        <v>7201840</v>
      </c>
      <c r="G536" s="313"/>
      <c r="H536" s="313"/>
      <c r="I536" s="313"/>
      <c r="J536" s="313"/>
      <c r="K536" s="313"/>
      <c r="L536" s="313"/>
      <c r="M536" s="313"/>
      <c r="N536" s="313"/>
      <c r="O536" s="313"/>
      <c r="P536" s="313"/>
      <c r="Q536" s="313"/>
      <c r="R536" s="313"/>
      <c r="S536" s="313"/>
      <c r="T536" s="313">
        <f t="shared" ref="T536:AB599" si="53">SUMIFS(T$4:T$337,$A$4:$A$337,$A536)</f>
        <v>30.25</v>
      </c>
      <c r="U536" s="313">
        <f t="shared" si="53"/>
        <v>1.5</v>
      </c>
      <c r="V536" s="313">
        <f t="shared" si="53"/>
        <v>28.75</v>
      </c>
      <c r="W536" s="313">
        <f t="shared" si="53"/>
        <v>0</v>
      </c>
      <c r="X536" s="313">
        <f t="shared" si="53"/>
        <v>0</v>
      </c>
      <c r="Y536" s="313">
        <f t="shared" si="53"/>
        <v>0</v>
      </c>
      <c r="Z536" s="313">
        <f t="shared" si="53"/>
        <v>370</v>
      </c>
      <c r="AA536" s="313">
        <f t="shared" si="53"/>
        <v>0</v>
      </c>
      <c r="AB536" s="313">
        <f t="shared" si="53"/>
        <v>0</v>
      </c>
      <c r="AD536" s="313">
        <f t="shared" si="47"/>
        <v>30.25</v>
      </c>
      <c r="AE536" s="313">
        <f t="shared" si="47"/>
        <v>1.5</v>
      </c>
      <c r="AF536" s="313">
        <f t="shared" si="47"/>
        <v>28.75</v>
      </c>
      <c r="AG536" s="313">
        <f t="shared" si="47"/>
        <v>0</v>
      </c>
      <c r="AH536" s="313">
        <f t="shared" si="47"/>
        <v>0</v>
      </c>
      <c r="AI536" s="313">
        <f t="shared" si="47"/>
        <v>0</v>
      </c>
      <c r="AJ536" s="313">
        <f t="shared" si="47"/>
        <v>0</v>
      </c>
      <c r="AL536" s="314">
        <f t="shared" si="47"/>
        <v>16708829.532994539</v>
      </c>
      <c r="AM536" s="314">
        <f t="shared" si="47"/>
        <v>0</v>
      </c>
      <c r="AN536" s="314">
        <f t="shared" si="47"/>
        <v>1265677.0930059152</v>
      </c>
      <c r="AO536" s="314">
        <f t="shared" si="47"/>
        <v>0</v>
      </c>
      <c r="AP536" s="314">
        <f t="shared" si="48"/>
        <v>17974506.626000453</v>
      </c>
      <c r="AR536" s="314">
        <f t="shared" si="46"/>
        <v>3989213.0147058824</v>
      </c>
      <c r="AS536" s="314">
        <f t="shared" si="46"/>
        <v>0</v>
      </c>
      <c r="AT536" s="314">
        <f t="shared" si="46"/>
        <v>0</v>
      </c>
      <c r="AU536" s="314">
        <f t="shared" si="46"/>
        <v>0</v>
      </c>
      <c r="AV536" s="314">
        <f t="shared" si="46"/>
        <v>3989213.0147058824</v>
      </c>
      <c r="AW536" s="314">
        <f t="shared" si="46"/>
        <v>13985293.611294571</v>
      </c>
    </row>
    <row r="537" spans="1:49" x14ac:dyDescent="0.25">
      <c r="A537" s="311">
        <v>7218817</v>
      </c>
      <c r="B537" s="311"/>
      <c r="C537" s="315" t="str">
        <f t="shared" si="49"/>
        <v>NZO</v>
      </c>
      <c r="D537" s="315" t="str">
        <f t="shared" si="50"/>
        <v>Život bez bariér, z.ú</v>
      </c>
      <c r="E537" s="315" t="str">
        <f t="shared" si="51"/>
        <v>Život bez bariér, z. ú.</v>
      </c>
      <c r="F537" s="313">
        <f t="shared" si="52"/>
        <v>7218817</v>
      </c>
      <c r="G537" s="313"/>
      <c r="H537" s="313"/>
      <c r="I537" s="313"/>
      <c r="J537" s="313"/>
      <c r="K537" s="313"/>
      <c r="L537" s="313"/>
      <c r="M537" s="313"/>
      <c r="N537" s="313"/>
      <c r="O537" s="313"/>
      <c r="P537" s="313"/>
      <c r="Q537" s="313"/>
      <c r="R537" s="313"/>
      <c r="S537" s="313"/>
      <c r="T537" s="313">
        <f t="shared" si="53"/>
        <v>2.5</v>
      </c>
      <c r="U537" s="313">
        <f t="shared" si="53"/>
        <v>0.5</v>
      </c>
      <c r="V537" s="313">
        <f t="shared" si="53"/>
        <v>2</v>
      </c>
      <c r="W537" s="313">
        <f t="shared" si="53"/>
        <v>0</v>
      </c>
      <c r="X537" s="313">
        <f t="shared" si="53"/>
        <v>0</v>
      </c>
      <c r="Y537" s="313">
        <f t="shared" si="53"/>
        <v>0</v>
      </c>
      <c r="Z537" s="313">
        <f t="shared" si="53"/>
        <v>20</v>
      </c>
      <c r="AA537" s="313">
        <f t="shared" si="53"/>
        <v>0</v>
      </c>
      <c r="AB537" s="313">
        <f t="shared" si="53"/>
        <v>0</v>
      </c>
      <c r="AD537" s="313">
        <f t="shared" si="47"/>
        <v>2.5</v>
      </c>
      <c r="AE537" s="313">
        <f t="shared" si="47"/>
        <v>0.5</v>
      </c>
      <c r="AF537" s="313">
        <f t="shared" si="47"/>
        <v>2</v>
      </c>
      <c r="AG537" s="313">
        <f t="shared" si="47"/>
        <v>0</v>
      </c>
      <c r="AH537" s="313">
        <f t="shared" si="47"/>
        <v>0</v>
      </c>
      <c r="AI537" s="313">
        <f t="shared" si="47"/>
        <v>0</v>
      </c>
      <c r="AJ537" s="313">
        <f t="shared" si="47"/>
        <v>0</v>
      </c>
      <c r="AL537" s="314">
        <f t="shared" si="47"/>
        <v>1679067.5508867882</v>
      </c>
      <c r="AM537" s="314">
        <f t="shared" si="47"/>
        <v>0</v>
      </c>
      <c r="AN537" s="314">
        <f t="shared" si="47"/>
        <v>106952.46339981306</v>
      </c>
      <c r="AO537" s="314">
        <f t="shared" si="47"/>
        <v>0</v>
      </c>
      <c r="AP537" s="314">
        <f t="shared" si="48"/>
        <v>1786020.0142866012</v>
      </c>
      <c r="AR537" s="314">
        <f t="shared" si="46"/>
        <v>0</v>
      </c>
      <c r="AS537" s="314">
        <f t="shared" si="46"/>
        <v>0</v>
      </c>
      <c r="AT537" s="314">
        <f t="shared" si="46"/>
        <v>0</v>
      </c>
      <c r="AU537" s="314">
        <f t="shared" si="46"/>
        <v>0</v>
      </c>
      <c r="AV537" s="314">
        <f t="shared" si="46"/>
        <v>0</v>
      </c>
      <c r="AW537" s="314">
        <f t="shared" si="46"/>
        <v>1786020.0142866012</v>
      </c>
    </row>
    <row r="538" spans="1:49" x14ac:dyDescent="0.25">
      <c r="A538" s="311">
        <v>7235281</v>
      </c>
      <c r="B538" s="311"/>
      <c r="C538" s="315" t="str">
        <f t="shared" si="49"/>
        <v>NZO</v>
      </c>
      <c r="D538" s="315" t="str">
        <f t="shared" si="50"/>
        <v>Poradna paliativní a hospicové péče</v>
      </c>
      <c r="E538" s="315" t="str">
        <f t="shared" si="51"/>
        <v>Oblastní charita Trutnov</v>
      </c>
      <c r="F538" s="313">
        <f t="shared" si="52"/>
        <v>7235281</v>
      </c>
      <c r="G538" s="313"/>
      <c r="H538" s="313"/>
      <c r="I538" s="313"/>
      <c r="J538" s="313"/>
      <c r="K538" s="313"/>
      <c r="L538" s="313"/>
      <c r="M538" s="313"/>
      <c r="N538" s="313"/>
      <c r="O538" s="313"/>
      <c r="P538" s="313"/>
      <c r="Q538" s="313"/>
      <c r="R538" s="313"/>
      <c r="S538" s="313"/>
      <c r="T538" s="313">
        <f t="shared" si="53"/>
        <v>0.6</v>
      </c>
      <c r="U538" s="313">
        <f t="shared" si="53"/>
        <v>0.2</v>
      </c>
      <c r="V538" s="313">
        <f t="shared" si="53"/>
        <v>0.2</v>
      </c>
      <c r="W538" s="313">
        <f t="shared" si="53"/>
        <v>0</v>
      </c>
      <c r="X538" s="313">
        <f t="shared" si="53"/>
        <v>0.2</v>
      </c>
      <c r="Y538" s="313">
        <f t="shared" si="53"/>
        <v>0</v>
      </c>
      <c r="Z538" s="313">
        <f t="shared" si="53"/>
        <v>0</v>
      </c>
      <c r="AA538" s="313">
        <f t="shared" si="53"/>
        <v>1</v>
      </c>
      <c r="AB538" s="313">
        <f t="shared" si="53"/>
        <v>0</v>
      </c>
      <c r="AD538" s="313">
        <f t="shared" si="47"/>
        <v>0.6</v>
      </c>
      <c r="AE538" s="313">
        <f t="shared" si="47"/>
        <v>0.2</v>
      </c>
      <c r="AF538" s="313">
        <f t="shared" si="47"/>
        <v>0.2</v>
      </c>
      <c r="AG538" s="313">
        <f t="shared" si="47"/>
        <v>0</v>
      </c>
      <c r="AH538" s="313">
        <f t="shared" si="47"/>
        <v>0.2</v>
      </c>
      <c r="AI538" s="313">
        <f t="shared" si="47"/>
        <v>0</v>
      </c>
      <c r="AJ538" s="313">
        <f t="shared" si="47"/>
        <v>1</v>
      </c>
      <c r="AL538" s="314">
        <f t="shared" si="47"/>
        <v>399527.54759856622</v>
      </c>
      <c r="AM538" s="314">
        <f t="shared" si="47"/>
        <v>0</v>
      </c>
      <c r="AN538" s="314">
        <f t="shared" si="47"/>
        <v>27724.086367072989</v>
      </c>
      <c r="AO538" s="314">
        <f t="shared" si="47"/>
        <v>0</v>
      </c>
      <c r="AP538" s="314">
        <f t="shared" si="48"/>
        <v>427251.63396563922</v>
      </c>
      <c r="AR538" s="314">
        <f t="shared" si="46"/>
        <v>0</v>
      </c>
      <c r="AS538" s="314">
        <f t="shared" si="46"/>
        <v>0</v>
      </c>
      <c r="AT538" s="314">
        <f t="shared" si="46"/>
        <v>0</v>
      </c>
      <c r="AU538" s="314">
        <f t="shared" si="46"/>
        <v>0</v>
      </c>
      <c r="AV538" s="314">
        <f t="shared" si="46"/>
        <v>0</v>
      </c>
      <c r="AW538" s="314">
        <f t="shared" si="46"/>
        <v>427251.63396563922</v>
      </c>
    </row>
    <row r="539" spans="1:49" x14ac:dyDescent="0.25">
      <c r="A539" s="311">
        <v>7259548</v>
      </c>
      <c r="B539" s="311"/>
      <c r="C539" s="315" t="str">
        <f t="shared" si="49"/>
        <v>Obce</v>
      </c>
      <c r="D539" s="315" t="str">
        <f t="shared" si="50"/>
        <v>Pečovatelská služba</v>
      </c>
      <c r="E539" s="315" t="str">
        <f t="shared" si="51"/>
        <v>Městské středisko sociálních služeb MARIE</v>
      </c>
      <c r="F539" s="313">
        <f t="shared" si="52"/>
        <v>7259548</v>
      </c>
      <c r="G539" s="313"/>
      <c r="H539" s="313"/>
      <c r="I539" s="313"/>
      <c r="J539" s="313"/>
      <c r="K539" s="313"/>
      <c r="L539" s="313"/>
      <c r="M539" s="313"/>
      <c r="N539" s="313"/>
      <c r="O539" s="313"/>
      <c r="P539" s="313"/>
      <c r="Q539" s="313"/>
      <c r="R539" s="313"/>
      <c r="S539" s="313"/>
      <c r="T539" s="313">
        <f t="shared" si="53"/>
        <v>16</v>
      </c>
      <c r="U539" s="313">
        <f t="shared" si="53"/>
        <v>1</v>
      </c>
      <c r="V539" s="313">
        <f t="shared" si="53"/>
        <v>15</v>
      </c>
      <c r="W539" s="313">
        <f t="shared" si="53"/>
        <v>0</v>
      </c>
      <c r="X539" s="313">
        <f t="shared" si="53"/>
        <v>0</v>
      </c>
      <c r="Y539" s="313">
        <f t="shared" si="53"/>
        <v>0</v>
      </c>
      <c r="Z539" s="313">
        <f t="shared" si="53"/>
        <v>260</v>
      </c>
      <c r="AA539" s="313">
        <f t="shared" si="53"/>
        <v>0</v>
      </c>
      <c r="AB539" s="313">
        <f t="shared" si="53"/>
        <v>0</v>
      </c>
      <c r="AD539" s="313">
        <f t="shared" si="47"/>
        <v>16</v>
      </c>
      <c r="AE539" s="313">
        <f t="shared" si="47"/>
        <v>1</v>
      </c>
      <c r="AF539" s="313">
        <f t="shared" si="47"/>
        <v>15</v>
      </c>
      <c r="AG539" s="313">
        <f t="shared" si="47"/>
        <v>0</v>
      </c>
      <c r="AH539" s="313">
        <f t="shared" si="47"/>
        <v>0</v>
      </c>
      <c r="AI539" s="313">
        <f t="shared" si="47"/>
        <v>0</v>
      </c>
      <c r="AJ539" s="313">
        <f t="shared" si="47"/>
        <v>0</v>
      </c>
      <c r="AL539" s="314">
        <f t="shared" si="47"/>
        <v>8837728.017451657</v>
      </c>
      <c r="AM539" s="314">
        <f t="shared" si="47"/>
        <v>0</v>
      </c>
      <c r="AN539" s="314">
        <f t="shared" si="47"/>
        <v>669449.04092874855</v>
      </c>
      <c r="AO539" s="314">
        <f t="shared" si="47"/>
        <v>0</v>
      </c>
      <c r="AP539" s="314">
        <f t="shared" si="48"/>
        <v>9507177.0583804063</v>
      </c>
      <c r="AR539" s="314">
        <f t="shared" si="46"/>
        <v>2081328.5294117648</v>
      </c>
      <c r="AS539" s="314">
        <f t="shared" si="46"/>
        <v>0</v>
      </c>
      <c r="AT539" s="314">
        <f t="shared" si="46"/>
        <v>0</v>
      </c>
      <c r="AU539" s="314">
        <f t="shared" si="46"/>
        <v>0</v>
      </c>
      <c r="AV539" s="314">
        <f t="shared" si="46"/>
        <v>2081328.5294117648</v>
      </c>
      <c r="AW539" s="314">
        <f t="shared" si="46"/>
        <v>7425848.5289686415</v>
      </c>
    </row>
    <row r="540" spans="1:49" x14ac:dyDescent="0.25">
      <c r="A540" s="311">
        <v>7263765</v>
      </c>
      <c r="B540" s="311"/>
      <c r="C540" s="315" t="str">
        <f t="shared" si="49"/>
        <v>NZO</v>
      </c>
      <c r="D540" s="315" t="str">
        <f t="shared" si="50"/>
        <v>LAFARMA</v>
      </c>
      <c r="E540" s="315" t="str">
        <f t="shared" si="51"/>
        <v>SKOK do života o. p. s.</v>
      </c>
      <c r="F540" s="313">
        <f t="shared" si="52"/>
        <v>7263765</v>
      </c>
      <c r="G540" s="313"/>
      <c r="H540" s="313"/>
      <c r="I540" s="313"/>
      <c r="J540" s="313"/>
      <c r="K540" s="313"/>
      <c r="L540" s="313"/>
      <c r="M540" s="313"/>
      <c r="N540" s="313"/>
      <c r="O540" s="313"/>
      <c r="P540" s="313"/>
      <c r="Q540" s="313"/>
      <c r="R540" s="313"/>
      <c r="S540" s="313"/>
      <c r="T540" s="313">
        <f t="shared" si="53"/>
        <v>2</v>
      </c>
      <c r="U540" s="313">
        <f t="shared" si="53"/>
        <v>1</v>
      </c>
      <c r="V540" s="313">
        <f t="shared" si="53"/>
        <v>1</v>
      </c>
      <c r="W540" s="313">
        <f t="shared" si="53"/>
        <v>0</v>
      </c>
      <c r="X540" s="313">
        <f t="shared" si="53"/>
        <v>0</v>
      </c>
      <c r="Y540" s="313">
        <f t="shared" si="53"/>
        <v>0</v>
      </c>
      <c r="Z540" s="313">
        <f t="shared" si="53"/>
        <v>0</v>
      </c>
      <c r="AA540" s="313">
        <f t="shared" si="53"/>
        <v>8</v>
      </c>
      <c r="AB540" s="313">
        <f t="shared" si="53"/>
        <v>0</v>
      </c>
      <c r="AD540" s="313">
        <f t="shared" si="47"/>
        <v>2</v>
      </c>
      <c r="AE540" s="313">
        <f t="shared" si="47"/>
        <v>1</v>
      </c>
      <c r="AF540" s="313">
        <f t="shared" si="47"/>
        <v>1</v>
      </c>
      <c r="AG540" s="313">
        <f t="shared" si="47"/>
        <v>0</v>
      </c>
      <c r="AH540" s="313">
        <f t="shared" si="47"/>
        <v>0</v>
      </c>
      <c r="AI540" s="313">
        <f t="shared" si="47"/>
        <v>0</v>
      </c>
      <c r="AJ540" s="313">
        <f t="shared" si="47"/>
        <v>8</v>
      </c>
      <c r="AL540" s="314">
        <f t="shared" si="47"/>
        <v>1188678.0162008763</v>
      </c>
      <c r="AM540" s="314">
        <f t="shared" si="47"/>
        <v>0</v>
      </c>
      <c r="AN540" s="314">
        <f t="shared" si="47"/>
        <v>160290.84069182584</v>
      </c>
      <c r="AO540" s="314">
        <f t="shared" si="47"/>
        <v>0</v>
      </c>
      <c r="AP540" s="314">
        <f t="shared" si="48"/>
        <v>1348968.8568927022</v>
      </c>
      <c r="AR540" s="314">
        <f t="shared" si="46"/>
        <v>0</v>
      </c>
      <c r="AS540" s="314">
        <f t="shared" si="46"/>
        <v>0</v>
      </c>
      <c r="AT540" s="314">
        <f t="shared" si="46"/>
        <v>0</v>
      </c>
      <c r="AU540" s="314">
        <f t="shared" si="46"/>
        <v>0</v>
      </c>
      <c r="AV540" s="314">
        <f t="shared" si="46"/>
        <v>0</v>
      </c>
      <c r="AW540" s="314">
        <f t="shared" si="46"/>
        <v>1348968.8568927022</v>
      </c>
    </row>
    <row r="541" spans="1:49" x14ac:dyDescent="0.25">
      <c r="A541" s="311">
        <v>7268793</v>
      </c>
      <c r="B541" s="311"/>
      <c r="C541" s="315" t="str">
        <f t="shared" si="49"/>
        <v>NZO</v>
      </c>
      <c r="D541" s="315" t="str">
        <f t="shared" si="50"/>
        <v>Denní stacionář pro seniory</v>
      </c>
      <c r="E541" s="315" t="str">
        <f t="shared" si="51"/>
        <v>Centrum sociální pomoci a služeb o. p. s.</v>
      </c>
      <c r="F541" s="313">
        <f t="shared" si="52"/>
        <v>7268793</v>
      </c>
      <c r="G541" s="313"/>
      <c r="H541" s="313"/>
      <c r="I541" s="313"/>
      <c r="J541" s="313"/>
      <c r="K541" s="313"/>
      <c r="L541" s="313"/>
      <c r="M541" s="313"/>
      <c r="N541" s="313"/>
      <c r="O541" s="313"/>
      <c r="P541" s="313"/>
      <c r="Q541" s="313"/>
      <c r="R541" s="313"/>
      <c r="S541" s="313"/>
      <c r="T541" s="313">
        <f t="shared" si="53"/>
        <v>5.75</v>
      </c>
      <c r="U541" s="313">
        <f t="shared" si="53"/>
        <v>0.5</v>
      </c>
      <c r="V541" s="313">
        <f t="shared" si="53"/>
        <v>5.25</v>
      </c>
      <c r="W541" s="313">
        <f t="shared" si="53"/>
        <v>0</v>
      </c>
      <c r="X541" s="313">
        <f t="shared" si="53"/>
        <v>0</v>
      </c>
      <c r="Y541" s="313">
        <f t="shared" si="53"/>
        <v>0</v>
      </c>
      <c r="Z541" s="313">
        <f t="shared" si="53"/>
        <v>0</v>
      </c>
      <c r="AA541" s="313">
        <f t="shared" si="53"/>
        <v>20</v>
      </c>
      <c r="AB541" s="313">
        <f t="shared" si="53"/>
        <v>0</v>
      </c>
      <c r="AD541" s="313">
        <f t="shared" si="47"/>
        <v>5.75</v>
      </c>
      <c r="AE541" s="313">
        <f t="shared" si="47"/>
        <v>0.5</v>
      </c>
      <c r="AF541" s="313">
        <f t="shared" si="47"/>
        <v>5.25</v>
      </c>
      <c r="AG541" s="313">
        <f t="shared" si="47"/>
        <v>0</v>
      </c>
      <c r="AH541" s="313">
        <f t="shared" si="47"/>
        <v>0</v>
      </c>
      <c r="AI541" s="313">
        <f t="shared" si="47"/>
        <v>0</v>
      </c>
      <c r="AJ541" s="313">
        <f t="shared" si="47"/>
        <v>20</v>
      </c>
      <c r="AL541" s="314">
        <f t="shared" si="47"/>
        <v>4098634.055477472</v>
      </c>
      <c r="AM541" s="314">
        <f t="shared" si="47"/>
        <v>0</v>
      </c>
      <c r="AN541" s="314">
        <f t="shared" si="47"/>
        <v>541901.47126235021</v>
      </c>
      <c r="AO541" s="314">
        <f t="shared" si="47"/>
        <v>105961.13778488402</v>
      </c>
      <c r="AP541" s="314">
        <f t="shared" si="48"/>
        <v>4746496.664524707</v>
      </c>
      <c r="AR541" s="314">
        <f t="shared" si="46"/>
        <v>708190.68627450976</v>
      </c>
      <c r="AS541" s="314">
        <f t="shared" si="46"/>
        <v>0</v>
      </c>
      <c r="AT541" s="314">
        <f t="shared" si="46"/>
        <v>0</v>
      </c>
      <c r="AU541" s="314">
        <f t="shared" si="46"/>
        <v>109046.15384615384</v>
      </c>
      <c r="AV541" s="314">
        <f t="shared" si="46"/>
        <v>817236.84012066363</v>
      </c>
      <c r="AW541" s="314">
        <f t="shared" si="46"/>
        <v>3929259.8244040431</v>
      </c>
    </row>
    <row r="542" spans="1:49" x14ac:dyDescent="0.25">
      <c r="A542" s="311">
        <v>7365832</v>
      </c>
      <c r="B542" s="311"/>
      <c r="C542" s="315" t="str">
        <f t="shared" si="49"/>
        <v>NZO</v>
      </c>
      <c r="D542" s="315" t="str">
        <f t="shared" si="50"/>
        <v>Sociálně terapeutické dílny AJdeTo!</v>
      </c>
      <c r="E542" s="315" t="str">
        <f t="shared" si="51"/>
        <v>Apropo Jičín, o. p. s.</v>
      </c>
      <c r="F542" s="313">
        <f t="shared" si="52"/>
        <v>7365832</v>
      </c>
      <c r="G542" s="313"/>
      <c r="H542" s="313"/>
      <c r="I542" s="313"/>
      <c r="J542" s="313"/>
      <c r="K542" s="313"/>
      <c r="L542" s="313"/>
      <c r="M542" s="313"/>
      <c r="N542" s="313"/>
      <c r="O542" s="313"/>
      <c r="P542" s="313"/>
      <c r="Q542" s="313"/>
      <c r="R542" s="313"/>
      <c r="S542" s="313"/>
      <c r="T542" s="313">
        <f t="shared" si="53"/>
        <v>1.8</v>
      </c>
      <c r="U542" s="313">
        <f t="shared" si="53"/>
        <v>0.3</v>
      </c>
      <c r="V542" s="313">
        <f t="shared" si="53"/>
        <v>1.5</v>
      </c>
      <c r="W542" s="313">
        <f t="shared" si="53"/>
        <v>0</v>
      </c>
      <c r="X542" s="313">
        <f t="shared" si="53"/>
        <v>0</v>
      </c>
      <c r="Y542" s="313">
        <f t="shared" si="53"/>
        <v>0</v>
      </c>
      <c r="Z542" s="313">
        <f t="shared" si="53"/>
        <v>0</v>
      </c>
      <c r="AA542" s="313">
        <f t="shared" si="53"/>
        <v>20</v>
      </c>
      <c r="AB542" s="313">
        <f t="shared" si="53"/>
        <v>0</v>
      </c>
      <c r="AD542" s="313">
        <f t="shared" si="47"/>
        <v>1.8</v>
      </c>
      <c r="AE542" s="313">
        <f t="shared" si="47"/>
        <v>0.3</v>
      </c>
      <c r="AF542" s="313">
        <f t="shared" si="47"/>
        <v>1.5</v>
      </c>
      <c r="AG542" s="313">
        <f t="shared" si="47"/>
        <v>0</v>
      </c>
      <c r="AH542" s="313">
        <f t="shared" si="47"/>
        <v>0</v>
      </c>
      <c r="AI542" s="313">
        <f t="shared" si="47"/>
        <v>0</v>
      </c>
      <c r="AJ542" s="313">
        <f t="shared" si="47"/>
        <v>20</v>
      </c>
      <c r="AL542" s="314">
        <f t="shared" si="47"/>
        <v>1069810.2145807887</v>
      </c>
      <c r="AM542" s="314">
        <f t="shared" si="47"/>
        <v>0</v>
      </c>
      <c r="AN542" s="314">
        <f t="shared" si="47"/>
        <v>144261.75662264327</v>
      </c>
      <c r="AO542" s="314">
        <f t="shared" si="47"/>
        <v>0</v>
      </c>
      <c r="AP542" s="314">
        <f t="shared" si="48"/>
        <v>1214071.971203432</v>
      </c>
      <c r="AR542" s="314">
        <f t="shared" ref="AR542:AW557" si="54">SUMIFS(AR$4:AR$337,$A$4:$A$337,$A542)</f>
        <v>0</v>
      </c>
      <c r="AS542" s="314">
        <f t="shared" si="54"/>
        <v>0</v>
      </c>
      <c r="AT542" s="314">
        <f t="shared" si="54"/>
        <v>0</v>
      </c>
      <c r="AU542" s="314">
        <f t="shared" si="54"/>
        <v>0</v>
      </c>
      <c r="AV542" s="314">
        <f t="shared" si="54"/>
        <v>0</v>
      </c>
      <c r="AW542" s="314">
        <f t="shared" si="54"/>
        <v>1214071.971203432</v>
      </c>
    </row>
    <row r="543" spans="1:49" x14ac:dyDescent="0.25">
      <c r="A543" s="311">
        <v>7381195</v>
      </c>
      <c r="B543" s="311"/>
      <c r="C543" s="315" t="str">
        <f t="shared" si="49"/>
        <v>NZO</v>
      </c>
      <c r="D543" s="315" t="str">
        <f t="shared" si="50"/>
        <v>Sociální rehabilitace NONA</v>
      </c>
      <c r="E543" s="315" t="str">
        <f t="shared" si="51"/>
        <v>NONA 92, o. p. s.</v>
      </c>
      <c r="F543" s="313">
        <f t="shared" si="52"/>
        <v>7381195</v>
      </c>
      <c r="G543" s="313"/>
      <c r="H543" s="313"/>
      <c r="I543" s="313"/>
      <c r="J543" s="313"/>
      <c r="K543" s="313"/>
      <c r="L543" s="313"/>
      <c r="M543" s="313"/>
      <c r="N543" s="313"/>
      <c r="O543" s="313"/>
      <c r="P543" s="313"/>
      <c r="Q543" s="313"/>
      <c r="R543" s="313"/>
      <c r="S543" s="313"/>
      <c r="T543" s="313">
        <f t="shared" si="53"/>
        <v>1.1499999999999999</v>
      </c>
      <c r="U543" s="313">
        <f t="shared" si="53"/>
        <v>0.25</v>
      </c>
      <c r="V543" s="313">
        <f t="shared" si="53"/>
        <v>0.9</v>
      </c>
      <c r="W543" s="313">
        <f t="shared" si="53"/>
        <v>0</v>
      </c>
      <c r="X543" s="313">
        <f t="shared" si="53"/>
        <v>0</v>
      </c>
      <c r="Y543" s="313">
        <f t="shared" si="53"/>
        <v>0</v>
      </c>
      <c r="Z543" s="313">
        <f t="shared" si="53"/>
        <v>4</v>
      </c>
      <c r="AA543" s="313">
        <f t="shared" si="53"/>
        <v>0</v>
      </c>
      <c r="AB543" s="313">
        <f t="shared" si="53"/>
        <v>0</v>
      </c>
      <c r="AD543" s="313">
        <f t="shared" ref="AD543:AJ558" si="55">SUMIFS(AD$4:AD$337,$A$4:$A$337,$A543)</f>
        <v>1.1499999999999999</v>
      </c>
      <c r="AE543" s="313">
        <f t="shared" si="55"/>
        <v>0.25</v>
      </c>
      <c r="AF543" s="313">
        <f t="shared" si="55"/>
        <v>0.9</v>
      </c>
      <c r="AG543" s="313">
        <f t="shared" si="55"/>
        <v>0</v>
      </c>
      <c r="AH543" s="313">
        <f t="shared" si="55"/>
        <v>0</v>
      </c>
      <c r="AI543" s="313">
        <f t="shared" si="55"/>
        <v>0</v>
      </c>
      <c r="AJ543" s="313">
        <f t="shared" si="55"/>
        <v>0</v>
      </c>
      <c r="AL543" s="314">
        <f t="shared" ref="AL543:AS589" si="56">SUMIFS(AL$4:AL$337,$A$4:$A$337,$A543)</f>
        <v>772371.07340792252</v>
      </c>
      <c r="AM543" s="314">
        <f t="shared" si="56"/>
        <v>0</v>
      </c>
      <c r="AN543" s="314">
        <f t="shared" si="56"/>
        <v>49198.133163914004</v>
      </c>
      <c r="AO543" s="314">
        <f t="shared" si="56"/>
        <v>0</v>
      </c>
      <c r="AP543" s="314">
        <f t="shared" si="56"/>
        <v>821569.20657183649</v>
      </c>
      <c r="AR543" s="314">
        <f t="shared" si="56"/>
        <v>0</v>
      </c>
      <c r="AS543" s="314">
        <f t="shared" si="56"/>
        <v>0</v>
      </c>
      <c r="AT543" s="314">
        <f t="shared" si="54"/>
        <v>0</v>
      </c>
      <c r="AU543" s="314">
        <f t="shared" si="54"/>
        <v>0</v>
      </c>
      <c r="AV543" s="314">
        <f t="shared" si="54"/>
        <v>0</v>
      </c>
      <c r="AW543" s="314">
        <f t="shared" si="54"/>
        <v>821569.20657183649</v>
      </c>
    </row>
    <row r="544" spans="1:49" x14ac:dyDescent="0.25">
      <c r="A544" s="311">
        <v>7384495</v>
      </c>
      <c r="B544" s="311"/>
      <c r="C544" s="315" t="str">
        <f t="shared" si="49"/>
        <v>PO KHK</v>
      </c>
      <c r="D544" s="315" t="str">
        <f t="shared" si="50"/>
        <v>DOMOV NA STŘÍBRNÉM VRCHU</v>
      </c>
      <c r="E544" s="315" t="str">
        <f t="shared" si="51"/>
        <v>DOMOV NA STŘÍBRNÉM VRCHU</v>
      </c>
      <c r="F544" s="313">
        <f t="shared" si="52"/>
        <v>7384495</v>
      </c>
      <c r="G544" s="313"/>
      <c r="H544" s="313"/>
      <c r="I544" s="313"/>
      <c r="J544" s="313"/>
      <c r="K544" s="313"/>
      <c r="L544" s="313"/>
      <c r="M544" s="313"/>
      <c r="N544" s="313"/>
      <c r="O544" s="313"/>
      <c r="P544" s="313"/>
      <c r="Q544" s="313"/>
      <c r="R544" s="313"/>
      <c r="S544" s="313"/>
      <c r="T544" s="313">
        <f t="shared" si="53"/>
        <v>4.3099999999999996</v>
      </c>
      <c r="U544" s="313">
        <f t="shared" si="53"/>
        <v>1.1000000000000001</v>
      </c>
      <c r="V544" s="313">
        <f t="shared" si="53"/>
        <v>3.21</v>
      </c>
      <c r="W544" s="313">
        <f t="shared" si="53"/>
        <v>0</v>
      </c>
      <c r="X544" s="313">
        <f t="shared" si="53"/>
        <v>0</v>
      </c>
      <c r="Y544" s="313">
        <f t="shared" si="53"/>
        <v>0</v>
      </c>
      <c r="Z544" s="313">
        <f t="shared" si="53"/>
        <v>15</v>
      </c>
      <c r="AA544" s="313">
        <f t="shared" si="53"/>
        <v>15</v>
      </c>
      <c r="AB544" s="313">
        <f t="shared" si="53"/>
        <v>0</v>
      </c>
      <c r="AD544" s="313">
        <f t="shared" si="55"/>
        <v>4.3099999999999996</v>
      </c>
      <c r="AE544" s="313">
        <f t="shared" si="55"/>
        <v>1.1000000000000001</v>
      </c>
      <c r="AF544" s="313">
        <f t="shared" si="55"/>
        <v>3.21</v>
      </c>
      <c r="AG544" s="313">
        <f t="shared" si="55"/>
        <v>0</v>
      </c>
      <c r="AH544" s="313">
        <f t="shared" si="55"/>
        <v>0</v>
      </c>
      <c r="AI544" s="313">
        <f t="shared" si="55"/>
        <v>0</v>
      </c>
      <c r="AJ544" s="313">
        <f t="shared" si="55"/>
        <v>15</v>
      </c>
      <c r="AL544" s="314">
        <f t="shared" si="56"/>
        <v>2894712.4577288227</v>
      </c>
      <c r="AM544" s="314">
        <f t="shared" si="56"/>
        <v>0</v>
      </c>
      <c r="AN544" s="314">
        <f t="shared" si="56"/>
        <v>184386.0469012777</v>
      </c>
      <c r="AO544" s="314">
        <f t="shared" si="56"/>
        <v>0</v>
      </c>
      <c r="AP544" s="314">
        <f t="shared" si="56"/>
        <v>3079098.5046301004</v>
      </c>
      <c r="AR544" s="314">
        <f t="shared" si="56"/>
        <v>0</v>
      </c>
      <c r="AS544" s="314">
        <f t="shared" si="56"/>
        <v>0</v>
      </c>
      <c r="AT544" s="314">
        <f t="shared" si="54"/>
        <v>0</v>
      </c>
      <c r="AU544" s="314">
        <f t="shared" si="54"/>
        <v>0</v>
      </c>
      <c r="AV544" s="314">
        <f t="shared" si="54"/>
        <v>0</v>
      </c>
      <c r="AW544" s="314">
        <f t="shared" si="54"/>
        <v>3079098.5046301004</v>
      </c>
    </row>
    <row r="545" spans="1:49" x14ac:dyDescent="0.25">
      <c r="A545" s="311">
        <v>7399132</v>
      </c>
      <c r="B545" s="311"/>
      <c r="C545" s="315" t="str">
        <f t="shared" si="49"/>
        <v>Obce</v>
      </c>
      <c r="D545" s="315" t="str">
        <f t="shared" si="50"/>
        <v>Geriatrické centrum Týniště nad Orlicí</v>
      </c>
      <c r="E545" s="315" t="str">
        <f t="shared" si="51"/>
        <v>Geriatrické centrum Týniště nad Orlicí</v>
      </c>
      <c r="F545" s="313">
        <f t="shared" si="52"/>
        <v>7399132</v>
      </c>
      <c r="G545" s="313"/>
      <c r="H545" s="313"/>
      <c r="I545" s="313"/>
      <c r="J545" s="313"/>
      <c r="K545" s="313"/>
      <c r="L545" s="313"/>
      <c r="M545" s="313"/>
      <c r="N545" s="313"/>
      <c r="O545" s="313"/>
      <c r="P545" s="313"/>
      <c r="Q545" s="313"/>
      <c r="R545" s="313"/>
      <c r="S545" s="313"/>
      <c r="T545" s="313">
        <f t="shared" si="53"/>
        <v>7</v>
      </c>
      <c r="U545" s="313">
        <f t="shared" si="53"/>
        <v>1</v>
      </c>
      <c r="V545" s="313">
        <f t="shared" si="53"/>
        <v>6</v>
      </c>
      <c r="W545" s="313">
        <f t="shared" si="53"/>
        <v>0</v>
      </c>
      <c r="X545" s="313">
        <f t="shared" si="53"/>
        <v>0</v>
      </c>
      <c r="Y545" s="313">
        <f t="shared" si="53"/>
        <v>0</v>
      </c>
      <c r="Z545" s="313">
        <f t="shared" si="53"/>
        <v>110</v>
      </c>
      <c r="AA545" s="313">
        <f t="shared" si="53"/>
        <v>0</v>
      </c>
      <c r="AB545" s="313">
        <f t="shared" si="53"/>
        <v>0</v>
      </c>
      <c r="AD545" s="313">
        <f t="shared" si="55"/>
        <v>7</v>
      </c>
      <c r="AE545" s="313">
        <f t="shared" si="55"/>
        <v>1</v>
      </c>
      <c r="AF545" s="313">
        <f t="shared" si="55"/>
        <v>6</v>
      </c>
      <c r="AG545" s="313">
        <f t="shared" si="55"/>
        <v>0</v>
      </c>
      <c r="AH545" s="313">
        <f t="shared" si="55"/>
        <v>0</v>
      </c>
      <c r="AI545" s="313">
        <f t="shared" si="55"/>
        <v>0</v>
      </c>
      <c r="AJ545" s="313">
        <f t="shared" si="55"/>
        <v>0</v>
      </c>
      <c r="AL545" s="314">
        <f t="shared" si="56"/>
        <v>3866506.0076350998</v>
      </c>
      <c r="AM545" s="314">
        <f t="shared" si="56"/>
        <v>0</v>
      </c>
      <c r="AN545" s="314">
        <f t="shared" si="56"/>
        <v>292883.9554063275</v>
      </c>
      <c r="AO545" s="314">
        <f t="shared" si="56"/>
        <v>0</v>
      </c>
      <c r="AP545" s="314">
        <f t="shared" si="56"/>
        <v>4159389.9630414275</v>
      </c>
      <c r="AR545" s="314">
        <f t="shared" si="56"/>
        <v>832531.4117647059</v>
      </c>
      <c r="AS545" s="314">
        <f t="shared" si="56"/>
        <v>0</v>
      </c>
      <c r="AT545" s="314">
        <f t="shared" si="54"/>
        <v>0</v>
      </c>
      <c r="AU545" s="314">
        <f t="shared" si="54"/>
        <v>0</v>
      </c>
      <c r="AV545" s="314">
        <f t="shared" si="54"/>
        <v>832531.4117647059</v>
      </c>
      <c r="AW545" s="314">
        <f t="shared" si="54"/>
        <v>3326858.5512767215</v>
      </c>
    </row>
    <row r="546" spans="1:49" x14ac:dyDescent="0.25">
      <c r="A546" s="311">
        <v>7459230</v>
      </c>
      <c r="B546" s="311"/>
      <c r="C546" s="315" t="str">
        <f t="shared" si="49"/>
        <v>NZO</v>
      </c>
      <c r="D546" s="315" t="str">
        <f t="shared" si="50"/>
        <v>Osobní asistence</v>
      </c>
      <c r="E546" s="315" t="str">
        <f t="shared" si="51"/>
        <v>Oblastní charita Trutnov</v>
      </c>
      <c r="F546" s="313">
        <f t="shared" si="52"/>
        <v>7459230</v>
      </c>
      <c r="G546" s="313"/>
      <c r="H546" s="313"/>
      <c r="I546" s="313"/>
      <c r="J546" s="313"/>
      <c r="K546" s="313"/>
      <c r="L546" s="313"/>
      <c r="M546" s="313"/>
      <c r="N546" s="313"/>
      <c r="O546" s="313"/>
      <c r="P546" s="313"/>
      <c r="Q546" s="313"/>
      <c r="R546" s="313"/>
      <c r="S546" s="313"/>
      <c r="T546" s="313">
        <f t="shared" si="53"/>
        <v>11.25</v>
      </c>
      <c r="U546" s="313">
        <f t="shared" si="53"/>
        <v>0.25</v>
      </c>
      <c r="V546" s="313">
        <f t="shared" si="53"/>
        <v>11</v>
      </c>
      <c r="W546" s="313">
        <f t="shared" si="53"/>
        <v>0</v>
      </c>
      <c r="X546" s="313">
        <f t="shared" si="53"/>
        <v>0</v>
      </c>
      <c r="Y546" s="313">
        <f t="shared" si="53"/>
        <v>0</v>
      </c>
      <c r="Z546" s="313">
        <f t="shared" si="53"/>
        <v>160</v>
      </c>
      <c r="AA546" s="313">
        <f t="shared" si="53"/>
        <v>0</v>
      </c>
      <c r="AB546" s="313">
        <f t="shared" si="53"/>
        <v>0</v>
      </c>
      <c r="AD546" s="313">
        <f t="shared" si="55"/>
        <v>11.25</v>
      </c>
      <c r="AE546" s="313">
        <f t="shared" si="55"/>
        <v>0.25</v>
      </c>
      <c r="AF546" s="313">
        <f t="shared" si="55"/>
        <v>11</v>
      </c>
      <c r="AG546" s="313">
        <f t="shared" si="55"/>
        <v>0</v>
      </c>
      <c r="AH546" s="313">
        <f t="shared" si="55"/>
        <v>0</v>
      </c>
      <c r="AI546" s="313">
        <f t="shared" si="55"/>
        <v>0</v>
      </c>
      <c r="AJ546" s="313">
        <f t="shared" si="55"/>
        <v>0</v>
      </c>
      <c r="AL546" s="314">
        <f t="shared" si="56"/>
        <v>5746158.4130400578</v>
      </c>
      <c r="AM546" s="314">
        <f t="shared" si="56"/>
        <v>0</v>
      </c>
      <c r="AN546" s="314">
        <f t="shared" si="56"/>
        <v>217662.37538289075</v>
      </c>
      <c r="AO546" s="314">
        <f t="shared" si="56"/>
        <v>0</v>
      </c>
      <c r="AP546" s="314">
        <f t="shared" si="56"/>
        <v>5963820.7884229487</v>
      </c>
      <c r="AR546" s="314">
        <f t="shared" si="56"/>
        <v>1374657.245287434</v>
      </c>
      <c r="AS546" s="314">
        <f t="shared" si="56"/>
        <v>0</v>
      </c>
      <c r="AT546" s="314">
        <f t="shared" si="54"/>
        <v>0</v>
      </c>
      <c r="AU546" s="314">
        <f t="shared" si="54"/>
        <v>0</v>
      </c>
      <c r="AV546" s="314">
        <f t="shared" si="54"/>
        <v>1374657.245287434</v>
      </c>
      <c r="AW546" s="314">
        <f t="shared" si="54"/>
        <v>4589163.5431355145</v>
      </c>
    </row>
    <row r="547" spans="1:49" x14ac:dyDescent="0.25">
      <c r="A547" s="311">
        <v>7566271</v>
      </c>
      <c r="B547" s="311"/>
      <c r="C547" s="315" t="str">
        <f t="shared" si="49"/>
        <v>NZO</v>
      </c>
      <c r="D547" s="315" t="str">
        <f t="shared" si="50"/>
        <v>Středisko osobní asistence Hradecko</v>
      </c>
      <c r="E547" s="315" t="str">
        <f t="shared" si="51"/>
        <v>HEWER, z.s.</v>
      </c>
      <c r="F547" s="313">
        <f t="shared" si="52"/>
        <v>7566271</v>
      </c>
      <c r="G547" s="313"/>
      <c r="H547" s="313"/>
      <c r="I547" s="313"/>
      <c r="J547" s="313"/>
      <c r="K547" s="313"/>
      <c r="L547" s="313"/>
      <c r="M547" s="313"/>
      <c r="N547" s="313"/>
      <c r="O547" s="313"/>
      <c r="P547" s="313"/>
      <c r="Q547" s="313"/>
      <c r="R547" s="313"/>
      <c r="S547" s="313"/>
      <c r="T547" s="313">
        <f t="shared" si="53"/>
        <v>25.8</v>
      </c>
      <c r="U547" s="313">
        <f t="shared" si="53"/>
        <v>1.8000000000000003</v>
      </c>
      <c r="V547" s="313">
        <f t="shared" si="53"/>
        <v>24</v>
      </c>
      <c r="W547" s="313">
        <f t="shared" si="53"/>
        <v>0</v>
      </c>
      <c r="X547" s="313">
        <f t="shared" si="53"/>
        <v>0</v>
      </c>
      <c r="Y547" s="313">
        <f t="shared" si="53"/>
        <v>0</v>
      </c>
      <c r="Z547" s="313">
        <f t="shared" si="53"/>
        <v>144</v>
      </c>
      <c r="AA547" s="313">
        <f t="shared" si="53"/>
        <v>0</v>
      </c>
      <c r="AB547" s="313">
        <f t="shared" si="53"/>
        <v>0</v>
      </c>
      <c r="AD547" s="313">
        <f t="shared" si="55"/>
        <v>25.8</v>
      </c>
      <c r="AE547" s="313">
        <f t="shared" si="55"/>
        <v>1.8000000000000003</v>
      </c>
      <c r="AF547" s="313">
        <f t="shared" si="55"/>
        <v>24</v>
      </c>
      <c r="AG547" s="313">
        <f t="shared" si="55"/>
        <v>0</v>
      </c>
      <c r="AH547" s="313">
        <f t="shared" si="55"/>
        <v>0</v>
      </c>
      <c r="AI547" s="313">
        <f t="shared" si="55"/>
        <v>0</v>
      </c>
      <c r="AJ547" s="313">
        <f t="shared" si="55"/>
        <v>0</v>
      </c>
      <c r="AL547" s="314">
        <f t="shared" si="56"/>
        <v>13177856.627238534</v>
      </c>
      <c r="AM547" s="314">
        <f t="shared" si="56"/>
        <v>0</v>
      </c>
      <c r="AN547" s="314">
        <f t="shared" si="56"/>
        <v>499172.38087809627</v>
      </c>
      <c r="AO547" s="314">
        <f t="shared" si="56"/>
        <v>0</v>
      </c>
      <c r="AP547" s="314">
        <f t="shared" si="56"/>
        <v>13677029.008116631</v>
      </c>
      <c r="AR547" s="314">
        <f t="shared" si="56"/>
        <v>2999252.1715362193</v>
      </c>
      <c r="AS547" s="314">
        <f t="shared" si="56"/>
        <v>0</v>
      </c>
      <c r="AT547" s="314">
        <f t="shared" si="54"/>
        <v>0</v>
      </c>
      <c r="AU547" s="314">
        <f t="shared" si="54"/>
        <v>0</v>
      </c>
      <c r="AV547" s="314">
        <f t="shared" si="54"/>
        <v>2999252.1715362193</v>
      </c>
      <c r="AW547" s="314">
        <f t="shared" si="54"/>
        <v>10677776.836580411</v>
      </c>
    </row>
    <row r="548" spans="1:49" x14ac:dyDescent="0.25">
      <c r="A548" s="311">
        <v>7630615</v>
      </c>
      <c r="B548" s="311"/>
      <c r="C548" s="315" t="str">
        <f t="shared" si="49"/>
        <v>PO KHK</v>
      </c>
      <c r="D548" s="315" t="str">
        <f t="shared" si="50"/>
        <v>Domov U Biřičky, Hradec Králové</v>
      </c>
      <c r="E548" s="315" t="str">
        <f t="shared" si="51"/>
        <v>Domov U Biřičky</v>
      </c>
      <c r="F548" s="313">
        <f t="shared" si="52"/>
        <v>7630615</v>
      </c>
      <c r="G548" s="313"/>
      <c r="H548" s="313"/>
      <c r="I548" s="313"/>
      <c r="J548" s="313"/>
      <c r="K548" s="313"/>
      <c r="L548" s="313"/>
      <c r="M548" s="313"/>
      <c r="N548" s="313"/>
      <c r="O548" s="313"/>
      <c r="P548" s="313"/>
      <c r="Q548" s="313"/>
      <c r="R548" s="313"/>
      <c r="S548" s="313"/>
      <c r="T548" s="313">
        <f t="shared" si="53"/>
        <v>127.2</v>
      </c>
      <c r="U548" s="313">
        <f t="shared" si="53"/>
        <v>6.5</v>
      </c>
      <c r="V548" s="313">
        <f t="shared" si="53"/>
        <v>94.4</v>
      </c>
      <c r="W548" s="313">
        <f t="shared" si="53"/>
        <v>26.3</v>
      </c>
      <c r="X548" s="313">
        <f t="shared" si="53"/>
        <v>0</v>
      </c>
      <c r="Y548" s="313">
        <f t="shared" si="53"/>
        <v>282</v>
      </c>
      <c r="Z548" s="313">
        <f t="shared" si="53"/>
        <v>0</v>
      </c>
      <c r="AA548" s="313">
        <f t="shared" si="53"/>
        <v>0</v>
      </c>
      <c r="AB548" s="313">
        <f t="shared" si="53"/>
        <v>0</v>
      </c>
      <c r="AD548" s="313">
        <f t="shared" si="55"/>
        <v>127.2</v>
      </c>
      <c r="AE548" s="313">
        <f t="shared" si="55"/>
        <v>6.5</v>
      </c>
      <c r="AF548" s="313">
        <f t="shared" si="55"/>
        <v>94.4</v>
      </c>
      <c r="AG548" s="313">
        <f t="shared" si="55"/>
        <v>26.3</v>
      </c>
      <c r="AH548" s="313">
        <f t="shared" si="55"/>
        <v>0</v>
      </c>
      <c r="AI548" s="313">
        <f t="shared" si="55"/>
        <v>282</v>
      </c>
      <c r="AJ548" s="313">
        <f t="shared" si="55"/>
        <v>0</v>
      </c>
      <c r="AL548" s="314">
        <f t="shared" si="56"/>
        <v>65787263.085196584</v>
      </c>
      <c r="AM548" s="314">
        <f t="shared" si="56"/>
        <v>21321586.040003173</v>
      </c>
      <c r="AN548" s="314">
        <f t="shared" si="56"/>
        <v>27657325.759601507</v>
      </c>
      <c r="AO548" s="314">
        <f t="shared" si="56"/>
        <v>19393450.189934339</v>
      </c>
      <c r="AP548" s="314">
        <f t="shared" si="56"/>
        <v>134159625.07473561</v>
      </c>
      <c r="AR548" s="314">
        <f t="shared" si="56"/>
        <v>31660276.813953485</v>
      </c>
      <c r="AS548" s="314">
        <f t="shared" si="56"/>
        <v>8247052.9903381644</v>
      </c>
      <c r="AT548" s="314">
        <f t="shared" si="54"/>
        <v>20000504.444444444</v>
      </c>
      <c r="AU548" s="314">
        <f t="shared" si="54"/>
        <v>14347331.754595589</v>
      </c>
      <c r="AV548" s="314">
        <f t="shared" si="54"/>
        <v>74255166.003331691</v>
      </c>
      <c r="AW548" s="314">
        <f t="shared" si="54"/>
        <v>59904459.071403921</v>
      </c>
    </row>
    <row r="549" spans="1:49" x14ac:dyDescent="0.25">
      <c r="A549" s="311">
        <v>7634996</v>
      </c>
      <c r="B549" s="311"/>
      <c r="C549" s="315" t="str">
        <f t="shared" si="49"/>
        <v>NZO</v>
      </c>
      <c r="D549" s="315" t="str">
        <f t="shared" si="50"/>
        <v>Občanská poradna Jaroměř</v>
      </c>
      <c r="E549" s="315" t="str">
        <f t="shared" si="51"/>
        <v>Farní charita Dvůr Králové nad Labem</v>
      </c>
      <c r="F549" s="313">
        <f t="shared" si="52"/>
        <v>7634996</v>
      </c>
      <c r="G549" s="313"/>
      <c r="H549" s="313"/>
      <c r="I549" s="313"/>
      <c r="J549" s="313"/>
      <c r="K549" s="313"/>
      <c r="L549" s="313"/>
      <c r="M549" s="313"/>
      <c r="N549" s="313"/>
      <c r="O549" s="313"/>
      <c r="P549" s="313"/>
      <c r="Q549" s="313"/>
      <c r="R549" s="313"/>
      <c r="S549" s="313"/>
      <c r="T549" s="313">
        <f t="shared" si="53"/>
        <v>0.4</v>
      </c>
      <c r="U549" s="313">
        <f t="shared" si="53"/>
        <v>0.4</v>
      </c>
      <c r="V549" s="313">
        <f t="shared" si="53"/>
        <v>0</v>
      </c>
      <c r="W549" s="313">
        <f t="shared" si="53"/>
        <v>0</v>
      </c>
      <c r="X549" s="313">
        <f t="shared" si="53"/>
        <v>0</v>
      </c>
      <c r="Y549" s="313">
        <f t="shared" si="53"/>
        <v>0</v>
      </c>
      <c r="Z549" s="313">
        <f t="shared" si="53"/>
        <v>14</v>
      </c>
      <c r="AA549" s="313">
        <f t="shared" si="53"/>
        <v>0</v>
      </c>
      <c r="AB549" s="313">
        <f t="shared" si="53"/>
        <v>0</v>
      </c>
      <c r="AD549" s="313">
        <f t="shared" si="55"/>
        <v>0.4</v>
      </c>
      <c r="AE549" s="313">
        <f t="shared" si="55"/>
        <v>0.4</v>
      </c>
      <c r="AF549" s="313">
        <f t="shared" si="55"/>
        <v>0</v>
      </c>
      <c r="AG549" s="313">
        <f t="shared" si="55"/>
        <v>0</v>
      </c>
      <c r="AH549" s="313">
        <f t="shared" si="55"/>
        <v>0</v>
      </c>
      <c r="AI549" s="313">
        <f t="shared" si="55"/>
        <v>0</v>
      </c>
      <c r="AJ549" s="313">
        <f t="shared" si="55"/>
        <v>0</v>
      </c>
      <c r="AL549" s="314">
        <f t="shared" si="56"/>
        <v>266351.69839904417</v>
      </c>
      <c r="AM549" s="314">
        <f t="shared" si="56"/>
        <v>0</v>
      </c>
      <c r="AN549" s="314">
        <f t="shared" si="56"/>
        <v>18482.724244715326</v>
      </c>
      <c r="AO549" s="314">
        <f t="shared" si="56"/>
        <v>0</v>
      </c>
      <c r="AP549" s="314">
        <f t="shared" si="56"/>
        <v>284834.42264375952</v>
      </c>
      <c r="AR549" s="314">
        <f t="shared" si="56"/>
        <v>0</v>
      </c>
      <c r="AS549" s="314">
        <f t="shared" si="56"/>
        <v>0</v>
      </c>
      <c r="AT549" s="314">
        <f t="shared" si="54"/>
        <v>0</v>
      </c>
      <c r="AU549" s="314">
        <f t="shared" si="54"/>
        <v>0</v>
      </c>
      <c r="AV549" s="314">
        <f t="shared" si="54"/>
        <v>0</v>
      </c>
      <c r="AW549" s="314">
        <f t="shared" si="54"/>
        <v>284834.42264375952</v>
      </c>
    </row>
    <row r="550" spans="1:49" x14ac:dyDescent="0.25">
      <c r="A550" s="311">
        <v>7653065</v>
      </c>
      <c r="B550" s="311"/>
      <c r="C550" s="315" t="str">
        <f t="shared" si="49"/>
        <v>NZO</v>
      </c>
      <c r="D550" s="315" t="str">
        <f t="shared" si="50"/>
        <v>Sociálně terapeutická dílna Slunečnice</v>
      </c>
      <c r="E550" s="315" t="str">
        <f t="shared" si="51"/>
        <v>Farní charita Dvůr Králové nad Labem</v>
      </c>
      <c r="F550" s="313">
        <f t="shared" si="52"/>
        <v>7653065</v>
      </c>
      <c r="G550" s="313"/>
      <c r="H550" s="313"/>
      <c r="I550" s="313"/>
      <c r="J550" s="313"/>
      <c r="K550" s="313"/>
      <c r="L550" s="313"/>
      <c r="M550" s="313"/>
      <c r="N550" s="313"/>
      <c r="O550" s="313"/>
      <c r="P550" s="313"/>
      <c r="Q550" s="313"/>
      <c r="R550" s="313"/>
      <c r="S550" s="313"/>
      <c r="T550" s="313">
        <f t="shared" si="53"/>
        <v>5</v>
      </c>
      <c r="U550" s="313">
        <f t="shared" si="53"/>
        <v>1</v>
      </c>
      <c r="V550" s="313">
        <f t="shared" si="53"/>
        <v>4</v>
      </c>
      <c r="W550" s="313">
        <f t="shared" si="53"/>
        <v>0</v>
      </c>
      <c r="X550" s="313">
        <f t="shared" si="53"/>
        <v>0</v>
      </c>
      <c r="Y550" s="313">
        <f t="shared" si="53"/>
        <v>0</v>
      </c>
      <c r="Z550" s="313">
        <f t="shared" si="53"/>
        <v>0</v>
      </c>
      <c r="AA550" s="313">
        <f t="shared" si="53"/>
        <v>14</v>
      </c>
      <c r="AB550" s="313">
        <f t="shared" si="53"/>
        <v>0</v>
      </c>
      <c r="AD550" s="313">
        <f t="shared" si="55"/>
        <v>5</v>
      </c>
      <c r="AE550" s="313">
        <f t="shared" si="55"/>
        <v>1</v>
      </c>
      <c r="AF550" s="313">
        <f t="shared" si="55"/>
        <v>4</v>
      </c>
      <c r="AG550" s="313">
        <f t="shared" si="55"/>
        <v>0</v>
      </c>
      <c r="AH550" s="313">
        <f t="shared" si="55"/>
        <v>0</v>
      </c>
      <c r="AI550" s="313">
        <f t="shared" si="55"/>
        <v>0</v>
      </c>
      <c r="AJ550" s="313">
        <f t="shared" si="55"/>
        <v>14</v>
      </c>
      <c r="AL550" s="314">
        <f t="shared" si="56"/>
        <v>2971695.0405021906</v>
      </c>
      <c r="AM550" s="314">
        <f t="shared" si="56"/>
        <v>0</v>
      </c>
      <c r="AN550" s="314">
        <f t="shared" si="56"/>
        <v>400727.1017295646</v>
      </c>
      <c r="AO550" s="314">
        <f t="shared" si="56"/>
        <v>0</v>
      </c>
      <c r="AP550" s="314">
        <f t="shared" si="56"/>
        <v>3372422.142231755</v>
      </c>
      <c r="AR550" s="314">
        <f t="shared" si="56"/>
        <v>0</v>
      </c>
      <c r="AS550" s="314">
        <f t="shared" si="56"/>
        <v>0</v>
      </c>
      <c r="AT550" s="314">
        <f t="shared" si="54"/>
        <v>0</v>
      </c>
      <c r="AU550" s="314">
        <f t="shared" si="54"/>
        <v>0</v>
      </c>
      <c r="AV550" s="314">
        <f t="shared" si="54"/>
        <v>0</v>
      </c>
      <c r="AW550" s="314">
        <f t="shared" si="54"/>
        <v>3372422.142231755</v>
      </c>
    </row>
    <row r="551" spans="1:49" x14ac:dyDescent="0.25">
      <c r="A551" s="311">
        <v>7663376</v>
      </c>
      <c r="B551" s="311"/>
      <c r="C551" s="315" t="str">
        <f t="shared" si="49"/>
        <v>PO KHK</v>
      </c>
      <c r="D551" s="315" t="str">
        <f t="shared" si="50"/>
        <v>Domov se zvláštním režimem</v>
      </c>
      <c r="E551" s="315" t="str">
        <f t="shared" si="51"/>
        <v>Domov důchodců Tmavý Důl</v>
      </c>
      <c r="F551" s="313">
        <f t="shared" si="52"/>
        <v>7663376</v>
      </c>
      <c r="G551" s="313"/>
      <c r="H551" s="313"/>
      <c r="I551" s="313"/>
      <c r="J551" s="313"/>
      <c r="K551" s="313"/>
      <c r="L551" s="313"/>
      <c r="M551" s="313"/>
      <c r="N551" s="313"/>
      <c r="O551" s="313"/>
      <c r="P551" s="313"/>
      <c r="Q551" s="313"/>
      <c r="R551" s="313"/>
      <c r="S551" s="313"/>
      <c r="T551" s="313">
        <f t="shared" si="53"/>
        <v>9.5</v>
      </c>
      <c r="U551" s="313">
        <f t="shared" si="53"/>
        <v>0.5</v>
      </c>
      <c r="V551" s="313">
        <f t="shared" si="53"/>
        <v>6</v>
      </c>
      <c r="W551" s="313">
        <f t="shared" si="53"/>
        <v>3</v>
      </c>
      <c r="X551" s="313">
        <f t="shared" si="53"/>
        <v>0</v>
      </c>
      <c r="Y551" s="313">
        <f t="shared" si="53"/>
        <v>16</v>
      </c>
      <c r="Z551" s="313">
        <f t="shared" si="53"/>
        <v>0</v>
      </c>
      <c r="AA551" s="313">
        <f t="shared" si="53"/>
        <v>0</v>
      </c>
      <c r="AB551" s="313">
        <f t="shared" si="53"/>
        <v>0</v>
      </c>
      <c r="AD551" s="313">
        <f t="shared" si="55"/>
        <v>9.5</v>
      </c>
      <c r="AE551" s="313">
        <f t="shared" si="55"/>
        <v>0.5</v>
      </c>
      <c r="AF551" s="313">
        <f t="shared" si="55"/>
        <v>6</v>
      </c>
      <c r="AG551" s="313">
        <f t="shared" si="55"/>
        <v>3</v>
      </c>
      <c r="AH551" s="313">
        <f t="shared" si="55"/>
        <v>0</v>
      </c>
      <c r="AI551" s="313">
        <f t="shared" si="55"/>
        <v>16</v>
      </c>
      <c r="AJ551" s="313">
        <f t="shared" si="55"/>
        <v>0</v>
      </c>
      <c r="AL551" s="314">
        <f t="shared" si="56"/>
        <v>4147832.5895035141</v>
      </c>
      <c r="AM551" s="314">
        <f t="shared" si="56"/>
        <v>2425041.2581839627</v>
      </c>
      <c r="AN551" s="314">
        <f t="shared" si="56"/>
        <v>1544334.641446763</v>
      </c>
      <c r="AO551" s="314">
        <f t="shared" si="56"/>
        <v>1041399.3483468902</v>
      </c>
      <c r="AP551" s="314">
        <f t="shared" si="56"/>
        <v>9158607.8374811299</v>
      </c>
      <c r="AR551" s="314">
        <f t="shared" si="56"/>
        <v>1921091.52</v>
      </c>
      <c r="AS551" s="314">
        <f t="shared" si="56"/>
        <v>359713.54</v>
      </c>
      <c r="AT551" s="314">
        <f t="shared" si="54"/>
        <v>1063069.2413793104</v>
      </c>
      <c r="AU551" s="314">
        <f t="shared" si="54"/>
        <v>816021.6</v>
      </c>
      <c r="AV551" s="314">
        <f t="shared" si="54"/>
        <v>4159895.9013793105</v>
      </c>
      <c r="AW551" s="314">
        <f t="shared" si="54"/>
        <v>4998711.9361018194</v>
      </c>
    </row>
    <row r="552" spans="1:49" x14ac:dyDescent="0.25">
      <c r="A552" s="311">
        <v>7702105</v>
      </c>
      <c r="B552" s="311"/>
      <c r="C552" s="315" t="str">
        <f t="shared" si="49"/>
        <v>Obce</v>
      </c>
      <c r="D552" s="315" t="str">
        <f t="shared" si="50"/>
        <v>Pečovatelská služba</v>
      </c>
      <c r="E552" s="315" t="str">
        <f t="shared" si="51"/>
        <v>Město Lázně Bělohrad</v>
      </c>
      <c r="F552" s="313">
        <f t="shared" si="52"/>
        <v>7702105</v>
      </c>
      <c r="G552" s="313"/>
      <c r="H552" s="313"/>
      <c r="I552" s="313"/>
      <c r="J552" s="313"/>
      <c r="K552" s="313"/>
      <c r="L552" s="313"/>
      <c r="M552" s="313"/>
      <c r="N552" s="313"/>
      <c r="O552" s="313"/>
      <c r="P552" s="313"/>
      <c r="Q552" s="313"/>
      <c r="R552" s="313"/>
      <c r="S552" s="313"/>
      <c r="T552" s="313">
        <f t="shared" si="53"/>
        <v>4.9000000000000004</v>
      </c>
      <c r="U552" s="313">
        <f t="shared" si="53"/>
        <v>0.9</v>
      </c>
      <c r="V552" s="313">
        <f t="shared" si="53"/>
        <v>4</v>
      </c>
      <c r="W552" s="313">
        <f t="shared" si="53"/>
        <v>0</v>
      </c>
      <c r="X552" s="313">
        <f t="shared" si="53"/>
        <v>0</v>
      </c>
      <c r="Y552" s="313">
        <f t="shared" si="53"/>
        <v>0</v>
      </c>
      <c r="Z552" s="313">
        <f t="shared" si="53"/>
        <v>50</v>
      </c>
      <c r="AA552" s="313">
        <f t="shared" si="53"/>
        <v>0</v>
      </c>
      <c r="AB552" s="313">
        <f t="shared" si="53"/>
        <v>0</v>
      </c>
      <c r="AD552" s="313">
        <f t="shared" si="55"/>
        <v>4.9000000000000004</v>
      </c>
      <c r="AE552" s="313">
        <f t="shared" si="55"/>
        <v>0.9</v>
      </c>
      <c r="AF552" s="313">
        <f t="shared" si="55"/>
        <v>4</v>
      </c>
      <c r="AG552" s="313">
        <f t="shared" si="55"/>
        <v>0</v>
      </c>
      <c r="AH552" s="313">
        <f t="shared" si="55"/>
        <v>0</v>
      </c>
      <c r="AI552" s="313">
        <f t="shared" si="55"/>
        <v>0</v>
      </c>
      <c r="AJ552" s="313">
        <f t="shared" si="55"/>
        <v>0</v>
      </c>
      <c r="AL552" s="314">
        <f t="shared" si="56"/>
        <v>2706554.2053445703</v>
      </c>
      <c r="AM552" s="314">
        <f t="shared" si="56"/>
        <v>0</v>
      </c>
      <c r="AN552" s="314">
        <f t="shared" si="56"/>
        <v>205018.76878442927</v>
      </c>
      <c r="AO552" s="314">
        <f t="shared" si="56"/>
        <v>0</v>
      </c>
      <c r="AP552" s="314">
        <f t="shared" si="56"/>
        <v>2911572.9741289997</v>
      </c>
      <c r="AR552" s="314">
        <f t="shared" si="56"/>
        <v>555020.9411764706</v>
      </c>
      <c r="AS552" s="314">
        <f t="shared" si="56"/>
        <v>0</v>
      </c>
      <c r="AT552" s="314">
        <f t="shared" si="54"/>
        <v>0</v>
      </c>
      <c r="AU552" s="314">
        <f t="shared" si="54"/>
        <v>0</v>
      </c>
      <c r="AV552" s="314">
        <f t="shared" si="54"/>
        <v>555020.9411764706</v>
      </c>
      <c r="AW552" s="314">
        <f t="shared" si="54"/>
        <v>2356552.0329525294</v>
      </c>
    </row>
    <row r="553" spans="1:49" x14ac:dyDescent="0.25">
      <c r="A553" s="311">
        <v>7741294</v>
      </c>
      <c r="B553" s="311"/>
      <c r="C553" s="315" t="str">
        <f t="shared" si="49"/>
        <v>NZO</v>
      </c>
      <c r="D553" s="315" t="str">
        <f t="shared" si="50"/>
        <v>Charitní pečovatelská služba Hostinné</v>
      </c>
      <c r="E553" s="315" t="str">
        <f t="shared" si="51"/>
        <v>Oblastní charita Červený Kostelec</v>
      </c>
      <c r="F553" s="313">
        <f t="shared" si="52"/>
        <v>7741294</v>
      </c>
      <c r="G553" s="313"/>
      <c r="H553" s="313"/>
      <c r="I553" s="313"/>
      <c r="J553" s="313"/>
      <c r="K553" s="313"/>
      <c r="L553" s="313"/>
      <c r="M553" s="313"/>
      <c r="N553" s="313"/>
      <c r="O553" s="313"/>
      <c r="P553" s="313"/>
      <c r="Q553" s="313"/>
      <c r="R553" s="313"/>
      <c r="S553" s="313"/>
      <c r="T553" s="313">
        <f t="shared" si="53"/>
        <v>4</v>
      </c>
      <c r="U553" s="313">
        <f t="shared" si="53"/>
        <v>1</v>
      </c>
      <c r="V553" s="313">
        <f t="shared" si="53"/>
        <v>3</v>
      </c>
      <c r="W553" s="313">
        <f t="shared" si="53"/>
        <v>0</v>
      </c>
      <c r="X553" s="313">
        <f t="shared" si="53"/>
        <v>0</v>
      </c>
      <c r="Y553" s="313">
        <f t="shared" si="53"/>
        <v>0</v>
      </c>
      <c r="Z553" s="313">
        <f t="shared" si="53"/>
        <v>125</v>
      </c>
      <c r="AA553" s="313">
        <f t="shared" si="53"/>
        <v>0</v>
      </c>
      <c r="AB553" s="313">
        <f t="shared" si="53"/>
        <v>0</v>
      </c>
      <c r="AD553" s="313">
        <f t="shared" si="55"/>
        <v>4</v>
      </c>
      <c r="AE553" s="313">
        <f t="shared" si="55"/>
        <v>1</v>
      </c>
      <c r="AF553" s="313">
        <f t="shared" si="55"/>
        <v>3</v>
      </c>
      <c r="AG553" s="313">
        <f t="shared" si="55"/>
        <v>0</v>
      </c>
      <c r="AH553" s="313">
        <f t="shared" si="55"/>
        <v>0</v>
      </c>
      <c r="AI553" s="313">
        <f t="shared" si="55"/>
        <v>0</v>
      </c>
      <c r="AJ553" s="313">
        <f t="shared" si="55"/>
        <v>0</v>
      </c>
      <c r="AL553" s="314">
        <f t="shared" si="56"/>
        <v>2209432.0043629142</v>
      </c>
      <c r="AM553" s="314">
        <f t="shared" si="56"/>
        <v>0</v>
      </c>
      <c r="AN553" s="314">
        <f t="shared" si="56"/>
        <v>167362.26023218714</v>
      </c>
      <c r="AO553" s="314">
        <f t="shared" si="56"/>
        <v>0</v>
      </c>
      <c r="AP553" s="314">
        <f t="shared" si="56"/>
        <v>2376794.2645951016</v>
      </c>
      <c r="AR553" s="314">
        <f t="shared" si="56"/>
        <v>416265.70588235295</v>
      </c>
      <c r="AS553" s="314">
        <f t="shared" si="56"/>
        <v>0</v>
      </c>
      <c r="AT553" s="314">
        <f t="shared" si="54"/>
        <v>0</v>
      </c>
      <c r="AU553" s="314">
        <f t="shared" si="54"/>
        <v>0</v>
      </c>
      <c r="AV553" s="314">
        <f t="shared" si="54"/>
        <v>416265.70588235295</v>
      </c>
      <c r="AW553" s="314">
        <f t="shared" si="54"/>
        <v>1960528.5587127486</v>
      </c>
    </row>
    <row r="554" spans="1:49" x14ac:dyDescent="0.25">
      <c r="A554" s="311">
        <v>7790627</v>
      </c>
      <c r="B554" s="311"/>
      <c r="C554" s="315" t="str">
        <f t="shared" si="49"/>
        <v>NZO</v>
      </c>
      <c r="D554" s="315" t="str">
        <f t="shared" si="50"/>
        <v>Sociální rehabilitace</v>
      </c>
      <c r="E554" s="315" t="str">
        <f t="shared" si="51"/>
        <v>Diakonie ČCE - středisko Světlo ve Vrchlabí</v>
      </c>
      <c r="F554" s="313">
        <f t="shared" si="52"/>
        <v>7790627</v>
      </c>
      <c r="G554" s="313"/>
      <c r="H554" s="313"/>
      <c r="I554" s="313"/>
      <c r="J554" s="313"/>
      <c r="K554" s="313"/>
      <c r="L554" s="313"/>
      <c r="M554" s="313"/>
      <c r="N554" s="313"/>
      <c r="O554" s="313"/>
      <c r="P554" s="313"/>
      <c r="Q554" s="313"/>
      <c r="R554" s="313"/>
      <c r="S554" s="313"/>
      <c r="T554" s="313">
        <f t="shared" si="53"/>
        <v>3.64</v>
      </c>
      <c r="U554" s="313">
        <f t="shared" si="53"/>
        <v>0.5</v>
      </c>
      <c r="V554" s="313">
        <f t="shared" si="53"/>
        <v>3.14</v>
      </c>
      <c r="W554" s="313">
        <f t="shared" si="53"/>
        <v>0</v>
      </c>
      <c r="X554" s="313">
        <f t="shared" si="53"/>
        <v>0</v>
      </c>
      <c r="Y554" s="313">
        <f t="shared" si="53"/>
        <v>0</v>
      </c>
      <c r="Z554" s="313">
        <f t="shared" si="53"/>
        <v>10</v>
      </c>
      <c r="AA554" s="313">
        <f t="shared" si="53"/>
        <v>5</v>
      </c>
      <c r="AB554" s="313">
        <f t="shared" si="53"/>
        <v>0</v>
      </c>
      <c r="AD554" s="313">
        <f t="shared" si="55"/>
        <v>3.64</v>
      </c>
      <c r="AE554" s="313">
        <f t="shared" si="55"/>
        <v>0.5</v>
      </c>
      <c r="AF554" s="313">
        <f t="shared" si="55"/>
        <v>3.14</v>
      </c>
      <c r="AG554" s="313">
        <f t="shared" si="55"/>
        <v>0</v>
      </c>
      <c r="AH554" s="313">
        <f t="shared" si="55"/>
        <v>0</v>
      </c>
      <c r="AI554" s="313">
        <f t="shared" si="55"/>
        <v>0</v>
      </c>
      <c r="AJ554" s="313">
        <f t="shared" si="55"/>
        <v>5</v>
      </c>
      <c r="AL554" s="314">
        <f t="shared" si="56"/>
        <v>2444722.3540911637</v>
      </c>
      <c r="AM554" s="314">
        <f t="shared" si="56"/>
        <v>0</v>
      </c>
      <c r="AN554" s="314">
        <f t="shared" si="56"/>
        <v>155722.78671012781</v>
      </c>
      <c r="AO554" s="314">
        <f t="shared" si="56"/>
        <v>0</v>
      </c>
      <c r="AP554" s="314">
        <f t="shared" si="56"/>
        <v>2600445.1408012914</v>
      </c>
      <c r="AR554" s="314">
        <f t="shared" si="56"/>
        <v>0</v>
      </c>
      <c r="AS554" s="314">
        <f t="shared" si="56"/>
        <v>0</v>
      </c>
      <c r="AT554" s="314">
        <f t="shared" si="54"/>
        <v>0</v>
      </c>
      <c r="AU554" s="314">
        <f t="shared" si="54"/>
        <v>0</v>
      </c>
      <c r="AV554" s="314">
        <f t="shared" si="54"/>
        <v>0</v>
      </c>
      <c r="AW554" s="314">
        <f t="shared" si="54"/>
        <v>2600445.1408012914</v>
      </c>
    </row>
    <row r="555" spans="1:49" x14ac:dyDescent="0.25">
      <c r="A555" s="311">
        <v>7805491</v>
      </c>
      <c r="B555" s="311"/>
      <c r="C555" s="315" t="str">
        <f t="shared" si="49"/>
        <v>NZO</v>
      </c>
      <c r="D555" s="315" t="str">
        <f t="shared" si="50"/>
        <v>Tréninkový byt</v>
      </c>
      <c r="E555" s="315" t="str">
        <f t="shared" si="51"/>
        <v>PFERDA z.ú.</v>
      </c>
      <c r="F555" s="313">
        <f t="shared" si="52"/>
        <v>7805491</v>
      </c>
      <c r="G555" s="313"/>
      <c r="H555" s="313"/>
      <c r="I555" s="313"/>
      <c r="J555" s="313"/>
      <c r="K555" s="313"/>
      <c r="L555" s="313"/>
      <c r="M555" s="313"/>
      <c r="N555" s="313"/>
      <c r="O555" s="313"/>
      <c r="P555" s="313"/>
      <c r="Q555" s="313"/>
      <c r="R555" s="313"/>
      <c r="S555" s="313"/>
      <c r="T555" s="313">
        <f t="shared" si="53"/>
        <v>1.35</v>
      </c>
      <c r="U555" s="313">
        <f t="shared" si="53"/>
        <v>1.35</v>
      </c>
      <c r="V555" s="313">
        <f t="shared" si="53"/>
        <v>0</v>
      </c>
      <c r="W555" s="313">
        <f t="shared" si="53"/>
        <v>0</v>
      </c>
      <c r="X555" s="313">
        <f t="shared" si="53"/>
        <v>0</v>
      </c>
      <c r="Y555" s="313">
        <f t="shared" si="53"/>
        <v>0</v>
      </c>
      <c r="Z555" s="313">
        <f t="shared" si="53"/>
        <v>6</v>
      </c>
      <c r="AA555" s="313">
        <f t="shared" si="53"/>
        <v>0</v>
      </c>
      <c r="AB555" s="313">
        <f t="shared" si="53"/>
        <v>0</v>
      </c>
      <c r="AD555" s="313">
        <f t="shared" si="55"/>
        <v>1.35</v>
      </c>
      <c r="AE555" s="313">
        <f t="shared" si="55"/>
        <v>1.35</v>
      </c>
      <c r="AF555" s="313">
        <f t="shared" si="55"/>
        <v>0</v>
      </c>
      <c r="AG555" s="313">
        <f t="shared" si="55"/>
        <v>0</v>
      </c>
      <c r="AH555" s="313">
        <f t="shared" si="55"/>
        <v>0</v>
      </c>
      <c r="AI555" s="313">
        <f t="shared" si="55"/>
        <v>0</v>
      </c>
      <c r="AJ555" s="313">
        <f t="shared" si="55"/>
        <v>0</v>
      </c>
      <c r="AL555" s="314">
        <f t="shared" si="56"/>
        <v>906696.47747886565</v>
      </c>
      <c r="AM555" s="314">
        <f t="shared" si="56"/>
        <v>0</v>
      </c>
      <c r="AN555" s="314">
        <f t="shared" si="56"/>
        <v>57754.330235899055</v>
      </c>
      <c r="AO555" s="314">
        <f t="shared" si="56"/>
        <v>0</v>
      </c>
      <c r="AP555" s="314">
        <f t="shared" si="56"/>
        <v>964450.80771476473</v>
      </c>
      <c r="AR555" s="314">
        <f t="shared" si="56"/>
        <v>0</v>
      </c>
      <c r="AS555" s="314">
        <f t="shared" si="56"/>
        <v>0</v>
      </c>
      <c r="AT555" s="314">
        <f t="shared" si="54"/>
        <v>0</v>
      </c>
      <c r="AU555" s="314">
        <f t="shared" si="54"/>
        <v>0</v>
      </c>
      <c r="AV555" s="314">
        <f t="shared" si="54"/>
        <v>0</v>
      </c>
      <c r="AW555" s="314">
        <f t="shared" si="54"/>
        <v>964450.80771476473</v>
      </c>
    </row>
    <row r="556" spans="1:49" x14ac:dyDescent="0.25">
      <c r="A556" s="311">
        <v>7832444</v>
      </c>
      <c r="B556" s="311"/>
      <c r="C556" s="315" t="str">
        <f t="shared" si="49"/>
        <v>NZO</v>
      </c>
      <c r="D556" s="315" t="str">
        <f t="shared" si="50"/>
        <v>Dům Matky Terezy Hradec Králové</v>
      </c>
      <c r="E556" s="315" t="str">
        <f t="shared" si="51"/>
        <v>Oblastní charita Hradec Králové</v>
      </c>
      <c r="F556" s="313">
        <f t="shared" si="52"/>
        <v>7832444</v>
      </c>
      <c r="G556" s="313"/>
      <c r="H556" s="313"/>
      <c r="I556" s="313"/>
      <c r="J556" s="313"/>
      <c r="K556" s="313"/>
      <c r="L556" s="313"/>
      <c r="M556" s="313"/>
      <c r="N556" s="313"/>
      <c r="O556" s="313"/>
      <c r="P556" s="313"/>
      <c r="Q556" s="313"/>
      <c r="R556" s="313"/>
      <c r="S556" s="313"/>
      <c r="T556" s="313">
        <f t="shared" si="53"/>
        <v>6.89</v>
      </c>
      <c r="U556" s="313">
        <f t="shared" si="53"/>
        <v>2.75</v>
      </c>
      <c r="V556" s="313">
        <f t="shared" si="53"/>
        <v>4.1399999999999997</v>
      </c>
      <c r="W556" s="313">
        <f t="shared" si="53"/>
        <v>0</v>
      </c>
      <c r="X556" s="313">
        <f t="shared" si="53"/>
        <v>0</v>
      </c>
      <c r="Y556" s="313">
        <f t="shared" si="53"/>
        <v>0</v>
      </c>
      <c r="Z556" s="313">
        <f t="shared" si="53"/>
        <v>0</v>
      </c>
      <c r="AA556" s="313">
        <f t="shared" si="53"/>
        <v>30</v>
      </c>
      <c r="AB556" s="313">
        <f t="shared" si="53"/>
        <v>0</v>
      </c>
      <c r="AD556" s="313">
        <f t="shared" si="55"/>
        <v>6.89</v>
      </c>
      <c r="AE556" s="313">
        <f t="shared" si="55"/>
        <v>2.75</v>
      </c>
      <c r="AF556" s="313">
        <f t="shared" si="55"/>
        <v>4.1399999999999997</v>
      </c>
      <c r="AG556" s="313">
        <f t="shared" si="55"/>
        <v>0</v>
      </c>
      <c r="AH556" s="313">
        <f t="shared" si="55"/>
        <v>0</v>
      </c>
      <c r="AI556" s="313">
        <f t="shared" si="55"/>
        <v>0</v>
      </c>
      <c r="AJ556" s="313">
        <f t="shared" si="55"/>
        <v>30</v>
      </c>
      <c r="AL556" s="314">
        <f t="shared" si="56"/>
        <v>3887299.2231047861</v>
      </c>
      <c r="AM556" s="314">
        <f t="shared" si="56"/>
        <v>0</v>
      </c>
      <c r="AN556" s="314">
        <f t="shared" si="56"/>
        <v>585481.31447184074</v>
      </c>
      <c r="AO556" s="314">
        <f t="shared" si="56"/>
        <v>0</v>
      </c>
      <c r="AP556" s="314">
        <f t="shared" si="56"/>
        <v>4472780.537576627</v>
      </c>
      <c r="AR556" s="314">
        <f t="shared" si="56"/>
        <v>0</v>
      </c>
      <c r="AS556" s="314">
        <f t="shared" si="56"/>
        <v>0</v>
      </c>
      <c r="AT556" s="314">
        <f t="shared" si="54"/>
        <v>0</v>
      </c>
      <c r="AU556" s="314">
        <f t="shared" si="54"/>
        <v>0</v>
      </c>
      <c r="AV556" s="314">
        <f t="shared" si="54"/>
        <v>0</v>
      </c>
      <c r="AW556" s="314">
        <f t="shared" si="54"/>
        <v>4472780.537576627</v>
      </c>
    </row>
    <row r="557" spans="1:49" x14ac:dyDescent="0.25">
      <c r="A557" s="311">
        <v>7846871</v>
      </c>
      <c r="B557" s="311"/>
      <c r="C557" s="315" t="str">
        <f t="shared" si="49"/>
        <v>NZO</v>
      </c>
      <c r="D557" s="315" t="str">
        <f t="shared" si="50"/>
        <v>Podporované BYDLENÍ v síti</v>
      </c>
      <c r="E557" s="315" t="str">
        <f t="shared" si="51"/>
        <v>SKOK do života o. p. s.</v>
      </c>
      <c r="F557" s="313">
        <f t="shared" si="52"/>
        <v>7846871</v>
      </c>
      <c r="G557" s="313"/>
      <c r="H557" s="313"/>
      <c r="I557" s="313"/>
      <c r="J557" s="313"/>
      <c r="K557" s="313"/>
      <c r="L557" s="313"/>
      <c r="M557" s="313"/>
      <c r="N557" s="313"/>
      <c r="O557" s="313"/>
      <c r="P557" s="313"/>
      <c r="Q557" s="313"/>
      <c r="R557" s="313"/>
      <c r="S557" s="313"/>
      <c r="T557" s="313">
        <f t="shared" si="53"/>
        <v>4</v>
      </c>
      <c r="U557" s="313">
        <f t="shared" si="53"/>
        <v>3</v>
      </c>
      <c r="V557" s="313">
        <f t="shared" si="53"/>
        <v>1</v>
      </c>
      <c r="W557" s="313">
        <f t="shared" si="53"/>
        <v>0</v>
      </c>
      <c r="X557" s="313">
        <f t="shared" si="53"/>
        <v>0</v>
      </c>
      <c r="Y557" s="313">
        <f t="shared" si="53"/>
        <v>0</v>
      </c>
      <c r="Z557" s="313">
        <f t="shared" si="53"/>
        <v>23</v>
      </c>
      <c r="AA557" s="313">
        <f t="shared" si="53"/>
        <v>0</v>
      </c>
      <c r="AB557" s="313">
        <f t="shared" si="53"/>
        <v>0</v>
      </c>
      <c r="AD557" s="313">
        <f t="shared" si="55"/>
        <v>4</v>
      </c>
      <c r="AE557" s="313">
        <f t="shared" si="55"/>
        <v>3</v>
      </c>
      <c r="AF557" s="313">
        <f t="shared" si="55"/>
        <v>1</v>
      </c>
      <c r="AG557" s="313">
        <f t="shared" si="55"/>
        <v>0</v>
      </c>
      <c r="AH557" s="313">
        <f t="shared" si="55"/>
        <v>0</v>
      </c>
      <c r="AI557" s="313">
        <f t="shared" si="55"/>
        <v>0</v>
      </c>
      <c r="AJ557" s="313">
        <f t="shared" si="55"/>
        <v>0</v>
      </c>
      <c r="AL557" s="314">
        <f t="shared" si="56"/>
        <v>2470282.0503947739</v>
      </c>
      <c r="AM557" s="314">
        <f t="shared" si="56"/>
        <v>0</v>
      </c>
      <c r="AN557" s="314">
        <f t="shared" si="56"/>
        <v>59147.963499999998</v>
      </c>
      <c r="AO557" s="314">
        <f t="shared" si="56"/>
        <v>0</v>
      </c>
      <c r="AP557" s="314">
        <f t="shared" si="56"/>
        <v>2529430.013894774</v>
      </c>
      <c r="AR557" s="314">
        <f t="shared" si="56"/>
        <v>107302.76000000001</v>
      </c>
      <c r="AS557" s="314">
        <f t="shared" si="56"/>
        <v>0</v>
      </c>
      <c r="AT557" s="314">
        <f t="shared" si="54"/>
        <v>0</v>
      </c>
      <c r="AU557" s="314">
        <f t="shared" si="54"/>
        <v>0</v>
      </c>
      <c r="AV557" s="314">
        <f t="shared" si="54"/>
        <v>107302.76000000001</v>
      </c>
      <c r="AW557" s="314">
        <f t="shared" si="54"/>
        <v>2422127.2538947742</v>
      </c>
    </row>
    <row r="558" spans="1:49" x14ac:dyDescent="0.25">
      <c r="A558" s="311">
        <v>7857005</v>
      </c>
      <c r="B558" s="311"/>
      <c r="C558" s="315" t="str">
        <f t="shared" si="49"/>
        <v>NZO</v>
      </c>
      <c r="D558" s="315" t="str">
        <f t="shared" si="50"/>
        <v>Domov Diakonie</v>
      </c>
      <c r="E558" s="315" t="str">
        <f t="shared" si="51"/>
        <v>Diakonie ČCE - středisko ve Dvoře Králové nad Labem</v>
      </c>
      <c r="F558" s="313">
        <f t="shared" si="52"/>
        <v>7857005</v>
      </c>
      <c r="G558" s="313"/>
      <c r="H558" s="313"/>
      <c r="I558" s="313"/>
      <c r="J558" s="313"/>
      <c r="K558" s="313"/>
      <c r="L558" s="313"/>
      <c r="M558" s="313"/>
      <c r="N558" s="313"/>
      <c r="O558" s="313"/>
      <c r="P558" s="313"/>
      <c r="Q558" s="313"/>
      <c r="R558" s="313"/>
      <c r="S558" s="313"/>
      <c r="T558" s="313">
        <f t="shared" si="53"/>
        <v>10.775</v>
      </c>
      <c r="U558" s="313">
        <f t="shared" si="53"/>
        <v>0.375</v>
      </c>
      <c r="V558" s="313">
        <f t="shared" si="53"/>
        <v>7.9</v>
      </c>
      <c r="W558" s="313">
        <f t="shared" si="53"/>
        <v>2.5</v>
      </c>
      <c r="X558" s="313">
        <f t="shared" si="53"/>
        <v>0</v>
      </c>
      <c r="Y558" s="313">
        <f t="shared" si="53"/>
        <v>23</v>
      </c>
      <c r="Z558" s="313">
        <f t="shared" si="53"/>
        <v>0</v>
      </c>
      <c r="AA558" s="313">
        <f t="shared" si="53"/>
        <v>0</v>
      </c>
      <c r="AB558" s="313">
        <f t="shared" si="53"/>
        <v>0</v>
      </c>
      <c r="AD558" s="313">
        <f t="shared" si="55"/>
        <v>10.775</v>
      </c>
      <c r="AE558" s="313">
        <f t="shared" si="55"/>
        <v>0.375</v>
      </c>
      <c r="AF558" s="313">
        <f t="shared" si="55"/>
        <v>7.9</v>
      </c>
      <c r="AG558" s="313">
        <f t="shared" si="55"/>
        <v>2.5</v>
      </c>
      <c r="AH558" s="313">
        <f t="shared" si="55"/>
        <v>0</v>
      </c>
      <c r="AI558" s="313">
        <f t="shared" si="55"/>
        <v>23</v>
      </c>
      <c r="AJ558" s="313">
        <f t="shared" si="55"/>
        <v>0</v>
      </c>
      <c r="AL558" s="314">
        <f t="shared" si="56"/>
        <v>5395337.978493575</v>
      </c>
      <c r="AM558" s="314">
        <f t="shared" si="56"/>
        <v>2026766.7338406057</v>
      </c>
      <c r="AN558" s="314">
        <f t="shared" si="56"/>
        <v>2255739.3350029597</v>
      </c>
      <c r="AO558" s="314">
        <f t="shared" si="56"/>
        <v>1581735.2991790418</v>
      </c>
      <c r="AP558" s="314">
        <f t="shared" si="56"/>
        <v>11259579.346516183</v>
      </c>
      <c r="AR558" s="314">
        <f t="shared" si="56"/>
        <v>2582221.1585848588</v>
      </c>
      <c r="AS558" s="314">
        <f t="shared" si="56"/>
        <v>672631.98148148146</v>
      </c>
      <c r="AT558" s="314">
        <f t="shared" ref="AT558:AW589" si="57">SUMIFS(AT$4:AT$337,$A$4:$A$337,$A558)</f>
        <v>1631246.816390859</v>
      </c>
      <c r="AU558" s="314">
        <f t="shared" si="57"/>
        <v>1170172.448069853</v>
      </c>
      <c r="AV558" s="314">
        <f t="shared" si="57"/>
        <v>6056272.4045270523</v>
      </c>
      <c r="AW558" s="314">
        <f t="shared" si="57"/>
        <v>5203306.9419891303</v>
      </c>
    </row>
    <row r="559" spans="1:49" x14ac:dyDescent="0.25">
      <c r="A559" s="311">
        <v>7916274</v>
      </c>
      <c r="B559" s="311"/>
      <c r="C559" s="315" t="str">
        <f t="shared" si="49"/>
        <v>Obce</v>
      </c>
      <c r="D559" s="315" t="str">
        <f t="shared" si="50"/>
        <v>Domov pro seniory</v>
      </c>
      <c r="E559" s="315" t="str">
        <f t="shared" si="51"/>
        <v>Centrum sociálních služeb Naděje Broumov</v>
      </c>
      <c r="F559" s="313">
        <f t="shared" si="52"/>
        <v>7916274</v>
      </c>
      <c r="G559" s="313"/>
      <c r="H559" s="313"/>
      <c r="I559" s="313"/>
      <c r="J559" s="313"/>
      <c r="K559" s="313"/>
      <c r="L559" s="313"/>
      <c r="M559" s="313"/>
      <c r="N559" s="313"/>
      <c r="O559" s="313"/>
      <c r="P559" s="313"/>
      <c r="Q559" s="313"/>
      <c r="R559" s="313"/>
      <c r="S559" s="313"/>
      <c r="T559" s="313">
        <f t="shared" si="53"/>
        <v>21</v>
      </c>
      <c r="U559" s="313">
        <f t="shared" si="53"/>
        <v>1</v>
      </c>
      <c r="V559" s="313">
        <f t="shared" si="53"/>
        <v>14</v>
      </c>
      <c r="W559" s="313">
        <f t="shared" si="53"/>
        <v>6</v>
      </c>
      <c r="X559" s="313">
        <f t="shared" si="53"/>
        <v>0</v>
      </c>
      <c r="Y559" s="313">
        <f t="shared" si="53"/>
        <v>42</v>
      </c>
      <c r="Z559" s="313">
        <f t="shared" si="53"/>
        <v>0</v>
      </c>
      <c r="AA559" s="313">
        <f t="shared" si="53"/>
        <v>0</v>
      </c>
      <c r="AB559" s="313">
        <f t="shared" ref="U559:AM574" si="58">SUMIFS(AB$4:AB$337,$A$4:$A$337,$A559)</f>
        <v>0</v>
      </c>
      <c r="AD559" s="313">
        <f t="shared" si="58"/>
        <v>21</v>
      </c>
      <c r="AE559" s="313">
        <f t="shared" si="58"/>
        <v>1</v>
      </c>
      <c r="AF559" s="313">
        <f t="shared" si="58"/>
        <v>14</v>
      </c>
      <c r="AG559" s="313">
        <f t="shared" si="58"/>
        <v>6</v>
      </c>
      <c r="AH559" s="313">
        <f t="shared" si="58"/>
        <v>0</v>
      </c>
      <c r="AI559" s="313">
        <f t="shared" si="58"/>
        <v>42</v>
      </c>
      <c r="AJ559" s="313">
        <f t="shared" si="58"/>
        <v>0</v>
      </c>
      <c r="AL559" s="314">
        <f t="shared" si="58"/>
        <v>9780068.8431907706</v>
      </c>
      <c r="AM559" s="314">
        <f t="shared" si="58"/>
        <v>4864240.161217453</v>
      </c>
      <c r="AN559" s="314">
        <f t="shared" si="56"/>
        <v>4119176.1769619267</v>
      </c>
      <c r="AO559" s="314">
        <f t="shared" si="56"/>
        <v>2888386.1985008591</v>
      </c>
      <c r="AP559" s="314">
        <f t="shared" si="56"/>
        <v>21651871.379871011</v>
      </c>
      <c r="AR559" s="314">
        <f t="shared" si="56"/>
        <v>4715360.3765462637</v>
      </c>
      <c r="AS559" s="314">
        <f t="shared" si="56"/>
        <v>1228284.4879227052</v>
      </c>
      <c r="AT559" s="314">
        <f t="shared" si="57"/>
        <v>2978798.53427896</v>
      </c>
      <c r="AU559" s="314">
        <f t="shared" si="57"/>
        <v>2136836.6443014708</v>
      </c>
      <c r="AV559" s="314">
        <f t="shared" si="57"/>
        <v>11059280.043049399</v>
      </c>
      <c r="AW559" s="314">
        <f t="shared" si="57"/>
        <v>10592591.336821612</v>
      </c>
    </row>
    <row r="560" spans="1:49" x14ac:dyDescent="0.25">
      <c r="A560" s="311">
        <v>8051895</v>
      </c>
      <c r="B560" s="311"/>
      <c r="C560" s="315" t="str">
        <f t="shared" si="49"/>
        <v>NZO</v>
      </c>
      <c r="D560" s="315" t="str">
        <f t="shared" si="50"/>
        <v>Chráněné bydlení Domov</v>
      </c>
      <c r="E560" s="315" t="str">
        <f t="shared" si="51"/>
        <v>Sdružení Neratov, z.s.</v>
      </c>
      <c r="F560" s="313">
        <f t="shared" si="52"/>
        <v>8051895</v>
      </c>
      <c r="G560" s="313"/>
      <c r="H560" s="313"/>
      <c r="I560" s="313"/>
      <c r="J560" s="313"/>
      <c r="K560" s="313"/>
      <c r="L560" s="313"/>
      <c r="M560" s="313"/>
      <c r="N560" s="313"/>
      <c r="O560" s="313"/>
      <c r="P560" s="313"/>
      <c r="Q560" s="313"/>
      <c r="R560" s="313"/>
      <c r="S560" s="313"/>
      <c r="T560" s="313">
        <f t="shared" si="53"/>
        <v>6.85</v>
      </c>
      <c r="U560" s="313">
        <f t="shared" si="58"/>
        <v>0.6</v>
      </c>
      <c r="V560" s="313">
        <f t="shared" si="58"/>
        <v>6.25</v>
      </c>
      <c r="W560" s="313">
        <f t="shared" si="58"/>
        <v>0</v>
      </c>
      <c r="X560" s="313">
        <f t="shared" si="58"/>
        <v>0</v>
      </c>
      <c r="Y560" s="313">
        <f t="shared" si="58"/>
        <v>25</v>
      </c>
      <c r="Z560" s="313">
        <f t="shared" si="58"/>
        <v>0</v>
      </c>
      <c r="AA560" s="313">
        <f t="shared" si="58"/>
        <v>0</v>
      </c>
      <c r="AB560" s="313">
        <f t="shared" si="58"/>
        <v>0</v>
      </c>
      <c r="AD560" s="313">
        <f t="shared" si="58"/>
        <v>6.85</v>
      </c>
      <c r="AE560" s="313">
        <f t="shared" si="58"/>
        <v>0.6</v>
      </c>
      <c r="AF560" s="313">
        <f t="shared" si="58"/>
        <v>6.25</v>
      </c>
      <c r="AG560" s="313">
        <f t="shared" si="58"/>
        <v>0</v>
      </c>
      <c r="AH560" s="313">
        <f t="shared" si="58"/>
        <v>0</v>
      </c>
      <c r="AI560" s="313">
        <f t="shared" si="58"/>
        <v>25</v>
      </c>
      <c r="AJ560" s="313">
        <f t="shared" si="58"/>
        <v>0</v>
      </c>
      <c r="AL560" s="314">
        <f t="shared" si="58"/>
        <v>4408312.2817383995</v>
      </c>
      <c r="AM560" s="314">
        <f t="shared" si="58"/>
        <v>0</v>
      </c>
      <c r="AN560" s="314">
        <f t="shared" si="56"/>
        <v>1383214.429766133</v>
      </c>
      <c r="AO560" s="314">
        <f t="shared" si="56"/>
        <v>457055.56583690312</v>
      </c>
      <c r="AP560" s="314">
        <f t="shared" si="56"/>
        <v>6248582.2773414347</v>
      </c>
      <c r="AR560" s="314">
        <f t="shared" si="56"/>
        <v>512314.96456185571</v>
      </c>
      <c r="AS560" s="314">
        <f t="shared" si="56"/>
        <v>0</v>
      </c>
      <c r="AT560" s="314">
        <f t="shared" si="57"/>
        <v>1082056.75</v>
      </c>
      <c r="AU560" s="314">
        <f t="shared" si="57"/>
        <v>470160.9375</v>
      </c>
      <c r="AV560" s="314">
        <f t="shared" si="57"/>
        <v>2064532.6520618557</v>
      </c>
      <c r="AW560" s="314">
        <f t="shared" si="57"/>
        <v>4184049.6252795793</v>
      </c>
    </row>
    <row r="561" spans="1:49" x14ac:dyDescent="0.25">
      <c r="A561" s="311">
        <v>8090757</v>
      </c>
      <c r="B561" s="311"/>
      <c r="C561" s="315" t="str">
        <f t="shared" si="49"/>
        <v>NZO</v>
      </c>
      <c r="D561" s="315" t="str">
        <f t="shared" si="50"/>
        <v>Centrum denních služeb</v>
      </c>
      <c r="E561" s="315" t="str">
        <f t="shared" si="51"/>
        <v>Diakonie ČCE - středisko Světlo ve Vrchlabí</v>
      </c>
      <c r="F561" s="313">
        <f t="shared" si="52"/>
        <v>8090757</v>
      </c>
      <c r="G561" s="313"/>
      <c r="H561" s="313"/>
      <c r="I561" s="313"/>
      <c r="J561" s="313"/>
      <c r="K561" s="313"/>
      <c r="L561" s="313"/>
      <c r="M561" s="313"/>
      <c r="N561" s="313"/>
      <c r="O561" s="313"/>
      <c r="P561" s="313"/>
      <c r="Q561" s="313"/>
      <c r="R561" s="313"/>
      <c r="S561" s="313"/>
      <c r="T561" s="313">
        <f t="shared" si="53"/>
        <v>2.5</v>
      </c>
      <c r="U561" s="313">
        <f t="shared" si="58"/>
        <v>0.35</v>
      </c>
      <c r="V561" s="313">
        <f t="shared" si="58"/>
        <v>2.15</v>
      </c>
      <c r="W561" s="313">
        <f t="shared" si="58"/>
        <v>0</v>
      </c>
      <c r="X561" s="313">
        <f t="shared" si="58"/>
        <v>0</v>
      </c>
      <c r="Y561" s="313">
        <f t="shared" si="58"/>
        <v>0</v>
      </c>
      <c r="Z561" s="313">
        <f t="shared" si="58"/>
        <v>0</v>
      </c>
      <c r="AA561" s="313">
        <f t="shared" si="58"/>
        <v>10</v>
      </c>
      <c r="AB561" s="313">
        <f t="shared" si="58"/>
        <v>0</v>
      </c>
      <c r="AD561" s="313">
        <f t="shared" si="58"/>
        <v>2.5</v>
      </c>
      <c r="AE561" s="313">
        <f t="shared" si="58"/>
        <v>0.35</v>
      </c>
      <c r="AF561" s="313">
        <f t="shared" si="58"/>
        <v>2.15</v>
      </c>
      <c r="AG561" s="313">
        <f t="shared" si="58"/>
        <v>0</v>
      </c>
      <c r="AH561" s="313">
        <f t="shared" si="58"/>
        <v>0</v>
      </c>
      <c r="AI561" s="313">
        <f t="shared" si="58"/>
        <v>0</v>
      </c>
      <c r="AJ561" s="313">
        <f t="shared" si="58"/>
        <v>10</v>
      </c>
      <c r="AL561" s="314">
        <f t="shared" si="58"/>
        <v>1428099.0689530328</v>
      </c>
      <c r="AM561" s="314">
        <f t="shared" si="58"/>
        <v>0</v>
      </c>
      <c r="AN561" s="314">
        <f t="shared" si="56"/>
        <v>186038.37055986453</v>
      </c>
      <c r="AO561" s="314">
        <f t="shared" si="56"/>
        <v>5278.3306490107316</v>
      </c>
      <c r="AP561" s="314">
        <f t="shared" si="56"/>
        <v>1619415.7701619081</v>
      </c>
      <c r="AR561" s="314">
        <f t="shared" si="56"/>
        <v>244242.15</v>
      </c>
      <c r="AS561" s="314">
        <f t="shared" si="56"/>
        <v>0</v>
      </c>
      <c r="AT561" s="314">
        <f t="shared" si="57"/>
        <v>0</v>
      </c>
      <c r="AU561" s="314">
        <f t="shared" si="57"/>
        <v>0</v>
      </c>
      <c r="AV561" s="314">
        <f t="shared" si="57"/>
        <v>244242.15</v>
      </c>
      <c r="AW561" s="314">
        <f t="shared" si="57"/>
        <v>1375173.6201619082</v>
      </c>
    </row>
    <row r="562" spans="1:49" x14ac:dyDescent="0.25">
      <c r="A562" s="311">
        <v>8098643</v>
      </c>
      <c r="B562" s="311"/>
      <c r="C562" s="315" t="str">
        <f t="shared" si="49"/>
        <v>NZO</v>
      </c>
      <c r="D562" s="315" t="str">
        <f t="shared" si="50"/>
        <v>Sociální rehabilitace Kamarád</v>
      </c>
      <c r="E562" s="315" t="str">
        <f t="shared" si="51"/>
        <v>KAMARÁD Jičín z.s.</v>
      </c>
      <c r="F562" s="313">
        <f t="shared" si="52"/>
        <v>8098643</v>
      </c>
      <c r="G562" s="313"/>
      <c r="H562" s="313"/>
      <c r="I562" s="313"/>
      <c r="J562" s="313"/>
      <c r="K562" s="313"/>
      <c r="L562" s="313"/>
      <c r="M562" s="313"/>
      <c r="N562" s="313"/>
      <c r="O562" s="313"/>
      <c r="P562" s="313"/>
      <c r="Q562" s="313"/>
      <c r="R562" s="313"/>
      <c r="S562" s="313"/>
      <c r="T562" s="313">
        <f t="shared" si="53"/>
        <v>2.5</v>
      </c>
      <c r="U562" s="313">
        <f t="shared" si="58"/>
        <v>0.5</v>
      </c>
      <c r="V562" s="313">
        <f t="shared" si="58"/>
        <v>2</v>
      </c>
      <c r="W562" s="313">
        <f t="shared" si="58"/>
        <v>0</v>
      </c>
      <c r="X562" s="313">
        <f t="shared" si="58"/>
        <v>0</v>
      </c>
      <c r="Y562" s="313">
        <f t="shared" si="58"/>
        <v>0</v>
      </c>
      <c r="Z562" s="313">
        <f t="shared" si="58"/>
        <v>14</v>
      </c>
      <c r="AA562" s="313">
        <f t="shared" si="58"/>
        <v>0</v>
      </c>
      <c r="AB562" s="313">
        <f t="shared" si="58"/>
        <v>0</v>
      </c>
      <c r="AD562" s="313">
        <f t="shared" si="58"/>
        <v>2.5</v>
      </c>
      <c r="AE562" s="313">
        <f t="shared" si="58"/>
        <v>0.5</v>
      </c>
      <c r="AF562" s="313">
        <f t="shared" si="58"/>
        <v>2</v>
      </c>
      <c r="AG562" s="313">
        <f t="shared" si="58"/>
        <v>0</v>
      </c>
      <c r="AH562" s="313">
        <f t="shared" si="58"/>
        <v>0</v>
      </c>
      <c r="AI562" s="313">
        <f t="shared" si="58"/>
        <v>0</v>
      </c>
      <c r="AJ562" s="313">
        <f t="shared" si="58"/>
        <v>0</v>
      </c>
      <c r="AL562" s="314">
        <f t="shared" si="58"/>
        <v>1679067.5508867882</v>
      </c>
      <c r="AM562" s="314">
        <f t="shared" si="58"/>
        <v>0</v>
      </c>
      <c r="AN562" s="314">
        <f t="shared" si="56"/>
        <v>106952.46339981306</v>
      </c>
      <c r="AO562" s="314">
        <f t="shared" si="56"/>
        <v>0</v>
      </c>
      <c r="AP562" s="314">
        <f t="shared" si="56"/>
        <v>1786020.0142866012</v>
      </c>
      <c r="AR562" s="314">
        <f t="shared" si="56"/>
        <v>0</v>
      </c>
      <c r="AS562" s="314">
        <f t="shared" si="56"/>
        <v>0</v>
      </c>
      <c r="AT562" s="314">
        <f t="shared" si="57"/>
        <v>0</v>
      </c>
      <c r="AU562" s="314">
        <f t="shared" si="57"/>
        <v>0</v>
      </c>
      <c r="AV562" s="314">
        <f t="shared" si="57"/>
        <v>0</v>
      </c>
      <c r="AW562" s="314">
        <f t="shared" si="57"/>
        <v>1786020.0142866012</v>
      </c>
    </row>
    <row r="563" spans="1:49" x14ac:dyDescent="0.25">
      <c r="A563" s="311">
        <v>8102124</v>
      </c>
      <c r="B563" s="311"/>
      <c r="C563" s="315" t="str">
        <f t="shared" si="49"/>
        <v>NZO</v>
      </c>
      <c r="D563" s="315" t="str">
        <f t="shared" si="50"/>
        <v>Nízkoprahové zařízení pro děti a mládež Střelka</v>
      </c>
      <c r="E563" s="315" t="str">
        <f t="shared" si="51"/>
        <v>Farní charita Dvůr Králové nad Labem</v>
      </c>
      <c r="F563" s="313">
        <f t="shared" si="52"/>
        <v>8102124</v>
      </c>
      <c r="G563" s="313"/>
      <c r="H563" s="313"/>
      <c r="I563" s="313"/>
      <c r="J563" s="313"/>
      <c r="K563" s="313"/>
      <c r="L563" s="313"/>
      <c r="M563" s="313"/>
      <c r="N563" s="313"/>
      <c r="O563" s="313"/>
      <c r="P563" s="313"/>
      <c r="Q563" s="313"/>
      <c r="R563" s="313"/>
      <c r="S563" s="313"/>
      <c r="T563" s="313">
        <f t="shared" si="53"/>
        <v>1.6</v>
      </c>
      <c r="U563" s="313">
        <f t="shared" si="58"/>
        <v>1.3</v>
      </c>
      <c r="V563" s="313">
        <f t="shared" si="58"/>
        <v>0.3</v>
      </c>
      <c r="W563" s="313">
        <f t="shared" si="58"/>
        <v>0</v>
      </c>
      <c r="X563" s="313">
        <f t="shared" si="58"/>
        <v>0</v>
      </c>
      <c r="Y563" s="313">
        <f t="shared" si="58"/>
        <v>0</v>
      </c>
      <c r="Z563" s="313">
        <f t="shared" si="58"/>
        <v>0</v>
      </c>
      <c r="AA563" s="313">
        <f t="shared" si="58"/>
        <v>25</v>
      </c>
      <c r="AB563" s="313">
        <f t="shared" si="58"/>
        <v>0</v>
      </c>
      <c r="AD563" s="313">
        <f t="shared" si="58"/>
        <v>1.6</v>
      </c>
      <c r="AE563" s="313">
        <f t="shared" si="58"/>
        <v>1.3</v>
      </c>
      <c r="AF563" s="313">
        <f t="shared" si="58"/>
        <v>0.3</v>
      </c>
      <c r="AG563" s="313">
        <f t="shared" si="58"/>
        <v>0</v>
      </c>
      <c r="AH563" s="313">
        <f t="shared" si="58"/>
        <v>0</v>
      </c>
      <c r="AI563" s="313">
        <f t="shared" si="58"/>
        <v>0</v>
      </c>
      <c r="AJ563" s="313">
        <f t="shared" si="58"/>
        <v>25</v>
      </c>
      <c r="AL563" s="314">
        <f t="shared" si="58"/>
        <v>919724.96890516346</v>
      </c>
      <c r="AM563" s="314">
        <f t="shared" si="58"/>
        <v>0</v>
      </c>
      <c r="AN563" s="314">
        <f t="shared" si="56"/>
        <v>88554.25378219597</v>
      </c>
      <c r="AO563" s="314">
        <f t="shared" si="56"/>
        <v>0</v>
      </c>
      <c r="AP563" s="314">
        <f t="shared" si="56"/>
        <v>1008279.2226873594</v>
      </c>
      <c r="AR563" s="314">
        <f t="shared" si="56"/>
        <v>0</v>
      </c>
      <c r="AS563" s="314">
        <f t="shared" si="56"/>
        <v>0</v>
      </c>
      <c r="AT563" s="314">
        <f t="shared" si="57"/>
        <v>0</v>
      </c>
      <c r="AU563" s="314">
        <f t="shared" si="57"/>
        <v>0</v>
      </c>
      <c r="AV563" s="314">
        <f t="shared" si="57"/>
        <v>0</v>
      </c>
      <c r="AW563" s="314">
        <f t="shared" si="57"/>
        <v>1008279.2226873594</v>
      </c>
    </row>
    <row r="564" spans="1:49" x14ac:dyDescent="0.25">
      <c r="A564" s="311">
        <v>8172268</v>
      </c>
      <c r="B564" s="311"/>
      <c r="C564" s="315" t="str">
        <f t="shared" si="49"/>
        <v>NZO</v>
      </c>
      <c r="D564" s="315" t="str">
        <f t="shared" si="50"/>
        <v>Sociální rehabilitace - středisko Hradec Králové</v>
      </c>
      <c r="E564" s="315" t="str">
        <f t="shared" si="51"/>
        <v>Péče o duševní zdraví, z.s.</v>
      </c>
      <c r="F564" s="313">
        <f t="shared" si="52"/>
        <v>8172268</v>
      </c>
      <c r="G564" s="313"/>
      <c r="H564" s="313"/>
      <c r="I564" s="313"/>
      <c r="J564" s="313"/>
      <c r="K564" s="313"/>
      <c r="L564" s="313"/>
      <c r="M564" s="313"/>
      <c r="N564" s="313"/>
      <c r="O564" s="313"/>
      <c r="P564" s="313"/>
      <c r="Q564" s="313"/>
      <c r="R564" s="313"/>
      <c r="S564" s="313"/>
      <c r="T564" s="313">
        <f t="shared" si="53"/>
        <v>10.5</v>
      </c>
      <c r="U564" s="313">
        <f t="shared" si="58"/>
        <v>10.5</v>
      </c>
      <c r="V564" s="313">
        <f t="shared" si="58"/>
        <v>0</v>
      </c>
      <c r="W564" s="313">
        <f t="shared" si="58"/>
        <v>0</v>
      </c>
      <c r="X564" s="313">
        <f t="shared" si="58"/>
        <v>0</v>
      </c>
      <c r="Y564" s="313">
        <f t="shared" si="58"/>
        <v>0</v>
      </c>
      <c r="Z564" s="313">
        <f t="shared" si="58"/>
        <v>32</v>
      </c>
      <c r="AA564" s="313">
        <f t="shared" si="58"/>
        <v>0</v>
      </c>
      <c r="AB564" s="313">
        <f t="shared" si="58"/>
        <v>0</v>
      </c>
      <c r="AD564" s="313">
        <f t="shared" si="58"/>
        <v>10.5</v>
      </c>
      <c r="AE564" s="313">
        <f t="shared" si="58"/>
        <v>10.5</v>
      </c>
      <c r="AF564" s="313">
        <f t="shared" si="58"/>
        <v>0</v>
      </c>
      <c r="AG564" s="313">
        <f t="shared" si="58"/>
        <v>0</v>
      </c>
      <c r="AH564" s="313">
        <f t="shared" si="58"/>
        <v>0</v>
      </c>
      <c r="AI564" s="313">
        <f t="shared" si="58"/>
        <v>0</v>
      </c>
      <c r="AJ564" s="313">
        <f t="shared" si="58"/>
        <v>0</v>
      </c>
      <c r="AL564" s="314">
        <f t="shared" si="58"/>
        <v>7052083.7137245107</v>
      </c>
      <c r="AM564" s="314">
        <f t="shared" si="58"/>
        <v>0</v>
      </c>
      <c r="AN564" s="314">
        <f t="shared" si="56"/>
        <v>449200.34627921483</v>
      </c>
      <c r="AO564" s="314">
        <f t="shared" si="56"/>
        <v>0</v>
      </c>
      <c r="AP564" s="314">
        <f t="shared" si="56"/>
        <v>7501284.0600037258</v>
      </c>
      <c r="AR564" s="314">
        <f t="shared" si="56"/>
        <v>0</v>
      </c>
      <c r="AS564" s="314">
        <f t="shared" si="56"/>
        <v>0</v>
      </c>
      <c r="AT564" s="314">
        <f t="shared" si="57"/>
        <v>0</v>
      </c>
      <c r="AU564" s="314">
        <f t="shared" si="57"/>
        <v>0</v>
      </c>
      <c r="AV564" s="314">
        <f t="shared" si="57"/>
        <v>0</v>
      </c>
      <c r="AW564" s="314">
        <f t="shared" si="57"/>
        <v>7501284.0600037258</v>
      </c>
    </row>
    <row r="565" spans="1:49" x14ac:dyDescent="0.25">
      <c r="A565" s="311">
        <v>8289298</v>
      </c>
      <c r="B565" s="311"/>
      <c r="C565" s="315" t="str">
        <f t="shared" si="49"/>
        <v>NZO</v>
      </c>
      <c r="D565" s="315" t="str">
        <f t="shared" si="50"/>
        <v>Občanská poradna Dvůr Králové nad Labem</v>
      </c>
      <c r="E565" s="315" t="str">
        <f t="shared" si="51"/>
        <v>Farní charita Dvůr Králové nad Labem</v>
      </c>
      <c r="F565" s="313">
        <f t="shared" si="52"/>
        <v>8289298</v>
      </c>
      <c r="G565" s="313"/>
      <c r="H565" s="313"/>
      <c r="I565" s="313"/>
      <c r="J565" s="313"/>
      <c r="K565" s="313"/>
      <c r="L565" s="313"/>
      <c r="M565" s="313"/>
      <c r="N565" s="313"/>
      <c r="O565" s="313"/>
      <c r="P565" s="313"/>
      <c r="Q565" s="313"/>
      <c r="R565" s="313"/>
      <c r="S565" s="313"/>
      <c r="T565" s="313">
        <f t="shared" si="53"/>
        <v>2.25</v>
      </c>
      <c r="U565" s="313">
        <f t="shared" si="58"/>
        <v>2.25</v>
      </c>
      <c r="V565" s="313">
        <f t="shared" si="58"/>
        <v>0</v>
      </c>
      <c r="W565" s="313">
        <f t="shared" si="58"/>
        <v>0</v>
      </c>
      <c r="X565" s="313">
        <f t="shared" si="58"/>
        <v>0</v>
      </c>
      <c r="Y565" s="313">
        <f t="shared" si="58"/>
        <v>0</v>
      </c>
      <c r="Z565" s="313">
        <f t="shared" si="58"/>
        <v>20</v>
      </c>
      <c r="AA565" s="313">
        <f t="shared" si="58"/>
        <v>3</v>
      </c>
      <c r="AB565" s="313">
        <f t="shared" si="58"/>
        <v>0</v>
      </c>
      <c r="AD565" s="313">
        <f t="shared" si="58"/>
        <v>2.25</v>
      </c>
      <c r="AE565" s="313">
        <f t="shared" si="58"/>
        <v>2.25</v>
      </c>
      <c r="AF565" s="313">
        <f t="shared" si="58"/>
        <v>0</v>
      </c>
      <c r="AG565" s="313">
        <f t="shared" si="58"/>
        <v>0</v>
      </c>
      <c r="AH565" s="313">
        <f t="shared" si="58"/>
        <v>0</v>
      </c>
      <c r="AI565" s="313">
        <f t="shared" si="58"/>
        <v>0</v>
      </c>
      <c r="AJ565" s="313">
        <f t="shared" si="58"/>
        <v>3</v>
      </c>
      <c r="AL565" s="314">
        <f t="shared" si="58"/>
        <v>1498228.3034946234</v>
      </c>
      <c r="AM565" s="314">
        <f t="shared" ref="AM565:AM589" si="59">SUMIFS(AM$4:AM$337,$A$4:$A$337,$A565)</f>
        <v>0</v>
      </c>
      <c r="AN565" s="314">
        <f t="shared" si="56"/>
        <v>103965.3238765237</v>
      </c>
      <c r="AO565" s="314">
        <f t="shared" si="56"/>
        <v>0</v>
      </c>
      <c r="AP565" s="314">
        <f t="shared" si="56"/>
        <v>1602193.627371147</v>
      </c>
      <c r="AR565" s="314">
        <f t="shared" si="56"/>
        <v>0</v>
      </c>
      <c r="AS565" s="314">
        <f t="shared" si="56"/>
        <v>0</v>
      </c>
      <c r="AT565" s="314">
        <f t="shared" si="57"/>
        <v>0</v>
      </c>
      <c r="AU565" s="314">
        <f t="shared" si="57"/>
        <v>0</v>
      </c>
      <c r="AV565" s="314">
        <f t="shared" si="57"/>
        <v>0</v>
      </c>
      <c r="AW565" s="314">
        <f t="shared" si="57"/>
        <v>1602193.627371147</v>
      </c>
    </row>
    <row r="566" spans="1:49" x14ac:dyDescent="0.25">
      <c r="A566" s="311">
        <v>8299792</v>
      </c>
      <c r="B566" s="311"/>
      <c r="C566" s="315" t="str">
        <f t="shared" si="49"/>
        <v>NZO</v>
      </c>
      <c r="D566" s="315" t="str">
        <f t="shared" si="50"/>
        <v>Křesadlo HK - centrum pomoci lidem s PAS, z. ú.</v>
      </c>
      <c r="E566" s="315" t="str">
        <f t="shared" si="51"/>
        <v>KŘESADLO HK - Centrum pomoci lidem s PAS, z.ú.</v>
      </c>
      <c r="F566" s="313">
        <f t="shared" si="52"/>
        <v>8299792</v>
      </c>
      <c r="G566" s="313"/>
      <c r="H566" s="313"/>
      <c r="I566" s="313"/>
      <c r="J566" s="313"/>
      <c r="K566" s="313"/>
      <c r="L566" s="313"/>
      <c r="M566" s="313"/>
      <c r="N566" s="313"/>
      <c r="O566" s="313"/>
      <c r="P566" s="313"/>
      <c r="Q566" s="313"/>
      <c r="R566" s="313"/>
      <c r="S566" s="313"/>
      <c r="T566" s="313">
        <f t="shared" si="53"/>
        <v>1.85</v>
      </c>
      <c r="U566" s="313">
        <f t="shared" si="58"/>
        <v>0.7</v>
      </c>
      <c r="V566" s="313">
        <f t="shared" si="58"/>
        <v>0</v>
      </c>
      <c r="W566" s="313">
        <f t="shared" si="58"/>
        <v>0</v>
      </c>
      <c r="X566" s="313">
        <f t="shared" si="58"/>
        <v>1.1499999999999999</v>
      </c>
      <c r="Y566" s="313">
        <f t="shared" si="58"/>
        <v>0</v>
      </c>
      <c r="Z566" s="313">
        <f t="shared" si="58"/>
        <v>25</v>
      </c>
      <c r="AA566" s="313">
        <f t="shared" si="58"/>
        <v>0</v>
      </c>
      <c r="AB566" s="313">
        <f t="shared" si="58"/>
        <v>0</v>
      </c>
      <c r="AD566" s="313">
        <f t="shared" si="58"/>
        <v>1.85</v>
      </c>
      <c r="AE566" s="313">
        <f t="shared" si="58"/>
        <v>0.7</v>
      </c>
      <c r="AF566" s="313">
        <f t="shared" si="58"/>
        <v>0</v>
      </c>
      <c r="AG566" s="313">
        <f t="shared" si="58"/>
        <v>0</v>
      </c>
      <c r="AH566" s="313">
        <f t="shared" si="58"/>
        <v>1.1499999999999999</v>
      </c>
      <c r="AI566" s="313">
        <f t="shared" si="58"/>
        <v>0</v>
      </c>
      <c r="AJ566" s="313">
        <f t="shared" si="58"/>
        <v>0</v>
      </c>
      <c r="AL566" s="314">
        <f t="shared" si="58"/>
        <v>1231876.6050955793</v>
      </c>
      <c r="AM566" s="314">
        <f t="shared" si="59"/>
        <v>0</v>
      </c>
      <c r="AN566" s="314">
        <f t="shared" si="56"/>
        <v>85482.599631808393</v>
      </c>
      <c r="AO566" s="314">
        <f t="shared" si="56"/>
        <v>0</v>
      </c>
      <c r="AP566" s="314">
        <f t="shared" si="56"/>
        <v>1317359.2047273878</v>
      </c>
      <c r="AR566" s="314">
        <f t="shared" si="56"/>
        <v>0</v>
      </c>
      <c r="AS566" s="314">
        <f t="shared" si="56"/>
        <v>0</v>
      </c>
      <c r="AT566" s="314">
        <f t="shared" si="57"/>
        <v>0</v>
      </c>
      <c r="AU566" s="314">
        <f t="shared" si="57"/>
        <v>0</v>
      </c>
      <c r="AV566" s="314">
        <f t="shared" si="57"/>
        <v>0</v>
      </c>
      <c r="AW566" s="314">
        <f t="shared" si="57"/>
        <v>1317359.2047273878</v>
      </c>
    </row>
    <row r="567" spans="1:49" x14ac:dyDescent="0.25">
      <c r="A567" s="311">
        <v>8314639</v>
      </c>
      <c r="B567" s="311"/>
      <c r="C567" s="315" t="str">
        <f t="shared" si="49"/>
        <v>PO KHK</v>
      </c>
      <c r="D567" s="315" t="str">
        <f t="shared" si="50"/>
        <v>Manželská a rodinná poradna</v>
      </c>
      <c r="E567" s="315" t="str">
        <f t="shared" si="51"/>
        <v>Sdružení ozdravoven a léčeben okresu Trutnov</v>
      </c>
      <c r="F567" s="313">
        <f t="shared" si="52"/>
        <v>8314639</v>
      </c>
      <c r="G567" s="313"/>
      <c r="H567" s="313"/>
      <c r="I567" s="313"/>
      <c r="J567" s="313"/>
      <c r="K567" s="313"/>
      <c r="L567" s="313"/>
      <c r="M567" s="313"/>
      <c r="N567" s="313"/>
      <c r="O567" s="313"/>
      <c r="P567" s="313"/>
      <c r="Q567" s="313"/>
      <c r="R567" s="313"/>
      <c r="S567" s="313"/>
      <c r="T567" s="313">
        <f t="shared" si="53"/>
        <v>4.1500000000000004</v>
      </c>
      <c r="U567" s="313">
        <f t="shared" si="58"/>
        <v>1</v>
      </c>
      <c r="V567" s="313">
        <f t="shared" si="58"/>
        <v>0</v>
      </c>
      <c r="W567" s="313">
        <f t="shared" si="58"/>
        <v>0</v>
      </c>
      <c r="X567" s="313">
        <f t="shared" si="58"/>
        <v>3.15</v>
      </c>
      <c r="Y567" s="313">
        <f t="shared" si="58"/>
        <v>0</v>
      </c>
      <c r="Z567" s="313">
        <f t="shared" si="58"/>
        <v>6352</v>
      </c>
      <c r="AA567" s="313">
        <f t="shared" si="58"/>
        <v>0</v>
      </c>
      <c r="AB567" s="313">
        <f t="shared" si="58"/>
        <v>0</v>
      </c>
      <c r="AD567" s="313">
        <f t="shared" si="58"/>
        <v>4.1500000000000004</v>
      </c>
      <c r="AE567" s="313">
        <f t="shared" si="58"/>
        <v>1</v>
      </c>
      <c r="AF567" s="313">
        <f t="shared" si="58"/>
        <v>0</v>
      </c>
      <c r="AG567" s="313">
        <f t="shared" si="58"/>
        <v>0</v>
      </c>
      <c r="AH567" s="313">
        <f t="shared" si="58"/>
        <v>3.15</v>
      </c>
      <c r="AI567" s="313">
        <f t="shared" si="58"/>
        <v>0</v>
      </c>
      <c r="AJ567" s="313">
        <f t="shared" si="58"/>
        <v>0</v>
      </c>
      <c r="AL567" s="314">
        <f t="shared" si="58"/>
        <v>2763398.8708900833</v>
      </c>
      <c r="AM567" s="314">
        <f t="shared" si="59"/>
        <v>0</v>
      </c>
      <c r="AN567" s="314">
        <f t="shared" si="56"/>
        <v>191758.26403892151</v>
      </c>
      <c r="AO567" s="314">
        <f t="shared" si="56"/>
        <v>0</v>
      </c>
      <c r="AP567" s="314">
        <f t="shared" si="56"/>
        <v>2955157.1349290046</v>
      </c>
      <c r="AR567" s="314">
        <f t="shared" si="56"/>
        <v>0</v>
      </c>
      <c r="AS567" s="314">
        <f t="shared" si="56"/>
        <v>0</v>
      </c>
      <c r="AT567" s="314">
        <f t="shared" si="57"/>
        <v>0</v>
      </c>
      <c r="AU567" s="314">
        <f t="shared" si="57"/>
        <v>0</v>
      </c>
      <c r="AV567" s="314">
        <f t="shared" si="57"/>
        <v>0</v>
      </c>
      <c r="AW567" s="314">
        <f t="shared" si="57"/>
        <v>2955157.1349290046</v>
      </c>
    </row>
    <row r="568" spans="1:49" x14ac:dyDescent="0.25">
      <c r="A568" s="311">
        <v>8338145</v>
      </c>
      <c r="B568" s="311"/>
      <c r="C568" s="315" t="str">
        <f t="shared" si="49"/>
        <v>PO KHK</v>
      </c>
      <c r="D568" s="315" t="str">
        <f t="shared" si="50"/>
        <v>DOMOV NA STŘÍBRNÉM VRCHU</v>
      </c>
      <c r="E568" s="315" t="str">
        <f t="shared" si="51"/>
        <v>DOMOV NA STŘÍBRNÉM VRCHU</v>
      </c>
      <c r="F568" s="313">
        <f t="shared" si="52"/>
        <v>8338145</v>
      </c>
      <c r="G568" s="313"/>
      <c r="H568" s="313"/>
      <c r="I568" s="313"/>
      <c r="J568" s="313"/>
      <c r="K568" s="313"/>
      <c r="L568" s="313"/>
      <c r="M568" s="313"/>
      <c r="N568" s="313"/>
      <c r="O568" s="313"/>
      <c r="P568" s="313"/>
      <c r="Q568" s="313"/>
      <c r="R568" s="313"/>
      <c r="S568" s="313"/>
      <c r="T568" s="313">
        <f t="shared" si="53"/>
        <v>5.95</v>
      </c>
      <c r="U568" s="313">
        <f t="shared" si="58"/>
        <v>0.2</v>
      </c>
      <c r="V568" s="313">
        <f t="shared" si="58"/>
        <v>4.8499999999999996</v>
      </c>
      <c r="W568" s="313">
        <f t="shared" si="58"/>
        <v>0.9</v>
      </c>
      <c r="X568" s="313">
        <f t="shared" si="58"/>
        <v>0</v>
      </c>
      <c r="Y568" s="313">
        <f t="shared" si="58"/>
        <v>5</v>
      </c>
      <c r="Z568" s="313">
        <f t="shared" si="58"/>
        <v>0</v>
      </c>
      <c r="AA568" s="313">
        <f t="shared" si="58"/>
        <v>0</v>
      </c>
      <c r="AB568" s="313">
        <f t="shared" si="58"/>
        <v>0</v>
      </c>
      <c r="AD568" s="313">
        <f t="shared" si="58"/>
        <v>5.95</v>
      </c>
      <c r="AE568" s="313">
        <f t="shared" si="58"/>
        <v>0.2</v>
      </c>
      <c r="AF568" s="313">
        <f t="shared" si="58"/>
        <v>4.8499999999999996</v>
      </c>
      <c r="AG568" s="313">
        <f t="shared" si="58"/>
        <v>0.9</v>
      </c>
      <c r="AH568" s="313">
        <f t="shared" si="58"/>
        <v>0</v>
      </c>
      <c r="AI568" s="313">
        <f t="shared" si="58"/>
        <v>5</v>
      </c>
      <c r="AJ568" s="313">
        <f t="shared" si="58"/>
        <v>0</v>
      </c>
      <c r="AL568" s="314">
        <f t="shared" si="58"/>
        <v>3229512.9843212212</v>
      </c>
      <c r="AM568" s="314">
        <f t="shared" si="59"/>
        <v>730286.97110056609</v>
      </c>
      <c r="AN568" s="314">
        <f t="shared" si="56"/>
        <v>510244.9281010789</v>
      </c>
      <c r="AO568" s="314">
        <f t="shared" si="56"/>
        <v>327745.01848745922</v>
      </c>
      <c r="AP568" s="314">
        <f t="shared" si="56"/>
        <v>4797789.9020103253</v>
      </c>
      <c r="AR568" s="314">
        <f t="shared" si="56"/>
        <v>530601.7794117647</v>
      </c>
      <c r="AS568" s="314">
        <f t="shared" si="56"/>
        <v>131748.62745098039</v>
      </c>
      <c r="AT568" s="314">
        <f t="shared" si="57"/>
        <v>239176.31578947371</v>
      </c>
      <c r="AU568" s="314">
        <f t="shared" si="57"/>
        <v>226348.25</v>
      </c>
      <c r="AV568" s="314">
        <f t="shared" si="57"/>
        <v>1127874.9726522188</v>
      </c>
      <c r="AW568" s="314">
        <f t="shared" si="57"/>
        <v>3669914.9293581066</v>
      </c>
    </row>
    <row r="569" spans="1:49" x14ac:dyDescent="0.25">
      <c r="A569" s="311">
        <v>8350990</v>
      </c>
      <c r="B569" s="311"/>
      <c r="C569" s="315" t="str">
        <f t="shared" si="49"/>
        <v>NZO</v>
      </c>
      <c r="D569" s="315" t="str">
        <f t="shared" si="50"/>
        <v>Centrum 5KA</v>
      </c>
      <c r="E569" s="315" t="str">
        <f t="shared" si="51"/>
        <v>OD5K10, z. s.</v>
      </c>
      <c r="F569" s="313">
        <f t="shared" si="52"/>
        <v>8350990</v>
      </c>
      <c r="G569" s="313"/>
      <c r="H569" s="313"/>
      <c r="I569" s="313"/>
      <c r="J569" s="313"/>
      <c r="K569" s="313"/>
      <c r="L569" s="313"/>
      <c r="M569" s="313"/>
      <c r="N569" s="313"/>
      <c r="O569" s="313"/>
      <c r="P569" s="313"/>
      <c r="Q569" s="313"/>
      <c r="R569" s="313"/>
      <c r="S569" s="313"/>
      <c r="T569" s="313">
        <f t="shared" si="53"/>
        <v>2.5</v>
      </c>
      <c r="U569" s="313">
        <f t="shared" si="58"/>
        <v>1</v>
      </c>
      <c r="V569" s="313">
        <f t="shared" si="58"/>
        <v>1.5</v>
      </c>
      <c r="W569" s="313">
        <f t="shared" si="58"/>
        <v>0</v>
      </c>
      <c r="X569" s="313">
        <f t="shared" si="58"/>
        <v>0</v>
      </c>
      <c r="Y569" s="313">
        <f t="shared" si="58"/>
        <v>0</v>
      </c>
      <c r="Z569" s="313">
        <f t="shared" si="58"/>
        <v>0</v>
      </c>
      <c r="AA569" s="313">
        <f t="shared" si="58"/>
        <v>40</v>
      </c>
      <c r="AB569" s="313">
        <f t="shared" si="58"/>
        <v>0</v>
      </c>
      <c r="AD569" s="313">
        <f t="shared" si="58"/>
        <v>2.5</v>
      </c>
      <c r="AE569" s="313">
        <f t="shared" si="58"/>
        <v>1</v>
      </c>
      <c r="AF569" s="313">
        <f t="shared" si="58"/>
        <v>1.5</v>
      </c>
      <c r="AG569" s="313">
        <f t="shared" si="58"/>
        <v>0</v>
      </c>
      <c r="AH569" s="313">
        <f t="shared" si="58"/>
        <v>0</v>
      </c>
      <c r="AI569" s="313">
        <f t="shared" si="58"/>
        <v>0</v>
      </c>
      <c r="AJ569" s="313">
        <f t="shared" si="58"/>
        <v>40</v>
      </c>
      <c r="AL569" s="314">
        <f t="shared" si="58"/>
        <v>1437070.2639143178</v>
      </c>
      <c r="AM569" s="314">
        <f t="shared" si="59"/>
        <v>0</v>
      </c>
      <c r="AN569" s="314">
        <f t="shared" si="56"/>
        <v>138366.02153468117</v>
      </c>
      <c r="AO569" s="314">
        <f t="shared" si="56"/>
        <v>0</v>
      </c>
      <c r="AP569" s="314">
        <f t="shared" si="56"/>
        <v>1575436.2854489989</v>
      </c>
      <c r="AR569" s="314">
        <f t="shared" si="56"/>
        <v>0</v>
      </c>
      <c r="AS569" s="314">
        <f t="shared" si="56"/>
        <v>0</v>
      </c>
      <c r="AT569" s="314">
        <f t="shared" si="57"/>
        <v>0</v>
      </c>
      <c r="AU569" s="314">
        <f t="shared" si="57"/>
        <v>0</v>
      </c>
      <c r="AV569" s="314">
        <f t="shared" si="57"/>
        <v>0</v>
      </c>
      <c r="AW569" s="314">
        <f t="shared" si="57"/>
        <v>1575436.2854489989</v>
      </c>
    </row>
    <row r="570" spans="1:49" x14ac:dyDescent="0.25">
      <c r="A570" s="311">
        <v>8365172</v>
      </c>
      <c r="B570" s="311"/>
      <c r="C570" s="315" t="str">
        <f t="shared" si="49"/>
        <v>NZO</v>
      </c>
      <c r="D570" s="315" t="str">
        <f t="shared" si="50"/>
        <v>Tlumočnické služby</v>
      </c>
      <c r="E570" s="315" t="str">
        <f t="shared" si="51"/>
        <v>Hradecké centrum pro osoby se sluchovým postižením o.p.s.</v>
      </c>
      <c r="F570" s="313">
        <f t="shared" si="52"/>
        <v>8365172</v>
      </c>
      <c r="G570" s="313"/>
      <c r="H570" s="313"/>
      <c r="I570" s="313"/>
      <c r="J570" s="313"/>
      <c r="K570" s="313"/>
      <c r="L570" s="313"/>
      <c r="M570" s="313"/>
      <c r="N570" s="313"/>
      <c r="O570" s="313"/>
      <c r="P570" s="313"/>
      <c r="Q570" s="313"/>
      <c r="R570" s="313"/>
      <c r="S570" s="313"/>
      <c r="T570" s="313">
        <f t="shared" si="53"/>
        <v>1.9</v>
      </c>
      <c r="U570" s="313">
        <f t="shared" si="58"/>
        <v>1.9</v>
      </c>
      <c r="V570" s="313">
        <f t="shared" si="58"/>
        <v>0</v>
      </c>
      <c r="W570" s="313">
        <f t="shared" si="58"/>
        <v>0</v>
      </c>
      <c r="X570" s="313">
        <f t="shared" si="58"/>
        <v>0</v>
      </c>
      <c r="Y570" s="313">
        <f t="shared" si="58"/>
        <v>0</v>
      </c>
      <c r="Z570" s="313">
        <f t="shared" si="58"/>
        <v>8</v>
      </c>
      <c r="AA570" s="313">
        <f t="shared" si="58"/>
        <v>2</v>
      </c>
      <c r="AB570" s="313">
        <f t="shared" si="58"/>
        <v>0</v>
      </c>
      <c r="AD570" s="313">
        <f t="shared" si="58"/>
        <v>1.9</v>
      </c>
      <c r="AE570" s="313">
        <f t="shared" si="58"/>
        <v>1.9</v>
      </c>
      <c r="AF570" s="313">
        <f t="shared" si="58"/>
        <v>0</v>
      </c>
      <c r="AG570" s="313">
        <f t="shared" si="58"/>
        <v>0</v>
      </c>
      <c r="AH570" s="313">
        <f t="shared" si="58"/>
        <v>0</v>
      </c>
      <c r="AI570" s="313">
        <f t="shared" si="58"/>
        <v>0</v>
      </c>
      <c r="AJ570" s="313">
        <f t="shared" si="58"/>
        <v>2</v>
      </c>
      <c r="AL570" s="314">
        <f t="shared" si="58"/>
        <v>1230403.1552200965</v>
      </c>
      <c r="AM570" s="314">
        <f t="shared" si="59"/>
        <v>0</v>
      </c>
      <c r="AN570" s="314">
        <f t="shared" si="56"/>
        <v>74541.084413898541</v>
      </c>
      <c r="AO570" s="314">
        <f t="shared" si="56"/>
        <v>0</v>
      </c>
      <c r="AP570" s="314">
        <f t="shared" si="56"/>
        <v>1304944.2396339951</v>
      </c>
      <c r="AR570" s="314">
        <f t="shared" si="56"/>
        <v>0</v>
      </c>
      <c r="AS570" s="314">
        <f t="shared" si="56"/>
        <v>0</v>
      </c>
      <c r="AT570" s="314">
        <f t="shared" si="57"/>
        <v>0</v>
      </c>
      <c r="AU570" s="314">
        <f t="shared" si="57"/>
        <v>0</v>
      </c>
      <c r="AV570" s="314">
        <f t="shared" si="57"/>
        <v>0</v>
      </c>
      <c r="AW570" s="314">
        <f t="shared" si="57"/>
        <v>1304944.2396339951</v>
      </c>
    </row>
    <row r="571" spans="1:49" x14ac:dyDescent="0.25">
      <c r="A571" s="311">
        <v>8382823</v>
      </c>
      <c r="B571" s="311"/>
      <c r="C571" s="315" t="str">
        <f t="shared" si="49"/>
        <v>NZO</v>
      </c>
      <c r="D571" s="315" t="str">
        <f t="shared" si="50"/>
        <v>ARCHA</v>
      </c>
      <c r="E571" s="315" t="str">
        <f t="shared" si="51"/>
        <v>Dokořán z.s.</v>
      </c>
      <c r="F571" s="313">
        <f t="shared" si="52"/>
        <v>8382823</v>
      </c>
      <c r="G571" s="313"/>
      <c r="H571" s="313"/>
      <c r="I571" s="313"/>
      <c r="J571" s="313"/>
      <c r="K571" s="313"/>
      <c r="L571" s="313"/>
      <c r="M571" s="313"/>
      <c r="N571" s="313"/>
      <c r="O571" s="313"/>
      <c r="P571" s="313"/>
      <c r="Q571" s="313"/>
      <c r="R571" s="313"/>
      <c r="S571" s="313"/>
      <c r="T571" s="313">
        <f t="shared" si="53"/>
        <v>3</v>
      </c>
      <c r="U571" s="313">
        <f t="shared" si="58"/>
        <v>2.2000000000000002</v>
      </c>
      <c r="V571" s="313">
        <f t="shared" si="58"/>
        <v>0.8</v>
      </c>
      <c r="W571" s="313">
        <f t="shared" si="58"/>
        <v>0</v>
      </c>
      <c r="X571" s="313">
        <f t="shared" si="58"/>
        <v>0</v>
      </c>
      <c r="Y571" s="313">
        <f t="shared" si="58"/>
        <v>0</v>
      </c>
      <c r="Z571" s="313">
        <f t="shared" si="58"/>
        <v>35</v>
      </c>
      <c r="AA571" s="313">
        <f t="shared" si="58"/>
        <v>20</v>
      </c>
      <c r="AB571" s="313">
        <f t="shared" si="58"/>
        <v>0</v>
      </c>
      <c r="AD571" s="313">
        <f t="shared" si="58"/>
        <v>3</v>
      </c>
      <c r="AE571" s="313">
        <f t="shared" si="58"/>
        <v>2.2000000000000002</v>
      </c>
      <c r="AF571" s="313">
        <f t="shared" si="58"/>
        <v>0.8</v>
      </c>
      <c r="AG571" s="313">
        <f t="shared" si="58"/>
        <v>0</v>
      </c>
      <c r="AH571" s="313">
        <f t="shared" si="58"/>
        <v>0</v>
      </c>
      <c r="AI571" s="313">
        <f t="shared" si="58"/>
        <v>0</v>
      </c>
      <c r="AJ571" s="313">
        <f t="shared" si="58"/>
        <v>20</v>
      </c>
      <c r="AL571" s="314">
        <f t="shared" si="58"/>
        <v>1934018.3981803069</v>
      </c>
      <c r="AM571" s="314">
        <f t="shared" si="59"/>
        <v>0</v>
      </c>
      <c r="AN571" s="314">
        <f t="shared" si="56"/>
        <v>131906.31974026401</v>
      </c>
      <c r="AO571" s="314">
        <f t="shared" si="56"/>
        <v>0</v>
      </c>
      <c r="AP571" s="314">
        <f t="shared" si="56"/>
        <v>2065924.7179205709</v>
      </c>
      <c r="AR571" s="314">
        <f t="shared" si="56"/>
        <v>0</v>
      </c>
      <c r="AS571" s="314">
        <f t="shared" si="56"/>
        <v>0</v>
      </c>
      <c r="AT571" s="314">
        <f t="shared" si="57"/>
        <v>0</v>
      </c>
      <c r="AU571" s="314">
        <f t="shared" si="57"/>
        <v>0</v>
      </c>
      <c r="AV571" s="314">
        <f t="shared" si="57"/>
        <v>0</v>
      </c>
      <c r="AW571" s="314">
        <f t="shared" si="57"/>
        <v>2065924.7179205709</v>
      </c>
    </row>
    <row r="572" spans="1:49" x14ac:dyDescent="0.25">
      <c r="A572" s="311">
        <v>8411392</v>
      </c>
      <c r="B572" s="311"/>
      <c r="C572" s="315" t="str">
        <f t="shared" si="49"/>
        <v>NZO</v>
      </c>
      <c r="D572" s="315" t="str">
        <f t="shared" si="50"/>
        <v>Nízkoprahové zařízení pro děti a mládež Modrý pomeranč</v>
      </c>
      <c r="E572" s="315" t="str">
        <f t="shared" si="51"/>
        <v>Salinger, z.s.</v>
      </c>
      <c r="F572" s="313">
        <f t="shared" si="52"/>
        <v>8411392</v>
      </c>
      <c r="G572" s="313"/>
      <c r="H572" s="313"/>
      <c r="I572" s="313"/>
      <c r="J572" s="313"/>
      <c r="K572" s="313"/>
      <c r="L572" s="313"/>
      <c r="M572" s="313"/>
      <c r="N572" s="313"/>
      <c r="O572" s="313"/>
      <c r="P572" s="313"/>
      <c r="Q572" s="313"/>
      <c r="R572" s="313"/>
      <c r="S572" s="313"/>
      <c r="T572" s="313">
        <f t="shared" si="53"/>
        <v>6.5</v>
      </c>
      <c r="U572" s="313">
        <f t="shared" si="58"/>
        <v>6.25</v>
      </c>
      <c r="V572" s="313">
        <f t="shared" si="58"/>
        <v>0.25</v>
      </c>
      <c r="W572" s="313">
        <f t="shared" si="58"/>
        <v>0</v>
      </c>
      <c r="X572" s="313">
        <f t="shared" si="58"/>
        <v>0</v>
      </c>
      <c r="Y572" s="313">
        <f t="shared" si="58"/>
        <v>0</v>
      </c>
      <c r="Z572" s="313">
        <f t="shared" si="58"/>
        <v>0</v>
      </c>
      <c r="AA572" s="313">
        <f t="shared" si="58"/>
        <v>57</v>
      </c>
      <c r="AB572" s="313">
        <f t="shared" si="58"/>
        <v>0</v>
      </c>
      <c r="AD572" s="313">
        <f t="shared" si="58"/>
        <v>6.5</v>
      </c>
      <c r="AE572" s="313">
        <f t="shared" si="58"/>
        <v>6.25</v>
      </c>
      <c r="AF572" s="313">
        <f t="shared" si="58"/>
        <v>0.25</v>
      </c>
      <c r="AG572" s="313">
        <f t="shared" si="58"/>
        <v>0</v>
      </c>
      <c r="AH572" s="313">
        <f t="shared" si="58"/>
        <v>0</v>
      </c>
      <c r="AI572" s="313">
        <f t="shared" si="58"/>
        <v>0</v>
      </c>
      <c r="AJ572" s="313">
        <f t="shared" si="58"/>
        <v>57</v>
      </c>
      <c r="AL572" s="314">
        <f t="shared" si="58"/>
        <v>3736382.6861772262</v>
      </c>
      <c r="AM572" s="314">
        <f t="shared" si="59"/>
        <v>0</v>
      </c>
      <c r="AN572" s="314">
        <f t="shared" si="56"/>
        <v>359751.65599017107</v>
      </c>
      <c r="AO572" s="314">
        <f t="shared" si="56"/>
        <v>0</v>
      </c>
      <c r="AP572" s="314">
        <f t="shared" si="56"/>
        <v>4096134.3421673975</v>
      </c>
      <c r="AR572" s="314">
        <f t="shared" si="56"/>
        <v>0</v>
      </c>
      <c r="AS572" s="314">
        <f t="shared" si="56"/>
        <v>0</v>
      </c>
      <c r="AT572" s="314">
        <f t="shared" si="57"/>
        <v>0</v>
      </c>
      <c r="AU572" s="314">
        <f t="shared" si="57"/>
        <v>0</v>
      </c>
      <c r="AV572" s="314">
        <f t="shared" si="57"/>
        <v>0</v>
      </c>
      <c r="AW572" s="314">
        <f t="shared" si="57"/>
        <v>4096134.3421673975</v>
      </c>
    </row>
    <row r="573" spans="1:49" x14ac:dyDescent="0.25">
      <c r="A573" s="311">
        <v>8430922</v>
      </c>
      <c r="B573" s="311"/>
      <c r="C573" s="315" t="str">
        <f t="shared" si="49"/>
        <v>PO KHK</v>
      </c>
      <c r="D573" s="315" t="str">
        <f t="shared" si="50"/>
        <v>Centrum tlumočnických služeb</v>
      </c>
      <c r="E573" s="315" t="str">
        <f t="shared" si="51"/>
        <v>Vyšší odborná škola, Střední škola, Základní škola a Mateřská škola, Hradec Králové, Štefánikova 549</v>
      </c>
      <c r="F573" s="313">
        <f t="shared" si="52"/>
        <v>8430922</v>
      </c>
      <c r="G573" s="313"/>
      <c r="H573" s="313"/>
      <c r="I573" s="313"/>
      <c r="J573" s="313"/>
      <c r="K573" s="313"/>
      <c r="L573" s="313"/>
      <c r="M573" s="313"/>
      <c r="N573" s="313"/>
      <c r="O573" s="313"/>
      <c r="P573" s="313"/>
      <c r="Q573" s="313"/>
      <c r="R573" s="313"/>
      <c r="S573" s="313"/>
      <c r="T573" s="313">
        <f t="shared" si="53"/>
        <v>4</v>
      </c>
      <c r="U573" s="313">
        <f t="shared" si="58"/>
        <v>1</v>
      </c>
      <c r="V573" s="313">
        <f t="shared" si="58"/>
        <v>0</v>
      </c>
      <c r="W573" s="313">
        <f t="shared" si="58"/>
        <v>0</v>
      </c>
      <c r="X573" s="313">
        <f t="shared" si="58"/>
        <v>3</v>
      </c>
      <c r="Y573" s="313">
        <f t="shared" si="58"/>
        <v>0</v>
      </c>
      <c r="Z573" s="313">
        <f t="shared" si="58"/>
        <v>0</v>
      </c>
      <c r="AA573" s="313">
        <f t="shared" si="58"/>
        <v>3</v>
      </c>
      <c r="AB573" s="313">
        <f t="shared" si="58"/>
        <v>0</v>
      </c>
      <c r="AD573" s="313">
        <f t="shared" si="58"/>
        <v>4</v>
      </c>
      <c r="AE573" s="313">
        <f t="shared" si="58"/>
        <v>1</v>
      </c>
      <c r="AF573" s="313">
        <f t="shared" si="58"/>
        <v>0</v>
      </c>
      <c r="AG573" s="313">
        <f t="shared" si="58"/>
        <v>0</v>
      </c>
      <c r="AH573" s="313">
        <f t="shared" si="58"/>
        <v>3</v>
      </c>
      <c r="AI573" s="313">
        <f t="shared" si="58"/>
        <v>0</v>
      </c>
      <c r="AJ573" s="313">
        <f t="shared" si="58"/>
        <v>3</v>
      </c>
      <c r="AL573" s="314">
        <f t="shared" si="58"/>
        <v>2590322.4320423086</v>
      </c>
      <c r="AM573" s="314">
        <f t="shared" si="59"/>
        <v>0</v>
      </c>
      <c r="AN573" s="314">
        <f t="shared" si="56"/>
        <v>156928.59876610219</v>
      </c>
      <c r="AO573" s="314">
        <f t="shared" si="56"/>
        <v>0</v>
      </c>
      <c r="AP573" s="314">
        <f t="shared" si="56"/>
        <v>2747251.0308084106</v>
      </c>
      <c r="AR573" s="314">
        <f t="shared" si="56"/>
        <v>0</v>
      </c>
      <c r="AS573" s="314">
        <f t="shared" si="56"/>
        <v>0</v>
      </c>
      <c r="AT573" s="314">
        <f t="shared" si="57"/>
        <v>0</v>
      </c>
      <c r="AU573" s="314">
        <f t="shared" si="57"/>
        <v>0</v>
      </c>
      <c r="AV573" s="314">
        <f t="shared" si="57"/>
        <v>0</v>
      </c>
      <c r="AW573" s="314">
        <f t="shared" si="57"/>
        <v>2747251.0308084106</v>
      </c>
    </row>
    <row r="574" spans="1:49" x14ac:dyDescent="0.25">
      <c r="A574" s="311">
        <v>8477576</v>
      </c>
      <c r="B574" s="311"/>
      <c r="C574" s="315" t="str">
        <f t="shared" si="49"/>
        <v>NZO</v>
      </c>
      <c r="D574" s="315" t="str">
        <f t="shared" si="50"/>
        <v>Komunikace bez bariér</v>
      </c>
      <c r="E574" s="315" t="str">
        <f t="shared" si="51"/>
        <v>Tichý svět, o. p. s</v>
      </c>
      <c r="F574" s="313">
        <f t="shared" si="52"/>
        <v>8477576</v>
      </c>
      <c r="G574" s="313"/>
      <c r="H574" s="313"/>
      <c r="I574" s="313"/>
      <c r="J574" s="313"/>
      <c r="K574" s="313"/>
      <c r="L574" s="313"/>
      <c r="M574" s="313"/>
      <c r="N574" s="313"/>
      <c r="O574" s="313"/>
      <c r="P574" s="313"/>
      <c r="Q574" s="313"/>
      <c r="R574" s="313"/>
      <c r="S574" s="313"/>
      <c r="T574" s="313">
        <f t="shared" si="53"/>
        <v>0</v>
      </c>
      <c r="U574" s="313">
        <f t="shared" si="58"/>
        <v>0</v>
      </c>
      <c r="V574" s="313">
        <f t="shared" si="58"/>
        <v>0</v>
      </c>
      <c r="W574" s="313">
        <f t="shared" si="58"/>
        <v>0</v>
      </c>
      <c r="X574" s="313">
        <f t="shared" si="58"/>
        <v>0</v>
      </c>
      <c r="Y574" s="313">
        <f t="shared" si="58"/>
        <v>0</v>
      </c>
      <c r="Z574" s="313">
        <f t="shared" si="58"/>
        <v>0</v>
      </c>
      <c r="AA574" s="313">
        <f t="shared" si="58"/>
        <v>0</v>
      </c>
      <c r="AB574" s="313">
        <f t="shared" si="58"/>
        <v>0</v>
      </c>
      <c r="AD574" s="313">
        <f t="shared" si="58"/>
        <v>0</v>
      </c>
      <c r="AE574" s="313">
        <f t="shared" si="58"/>
        <v>0</v>
      </c>
      <c r="AF574" s="313">
        <f t="shared" si="58"/>
        <v>0</v>
      </c>
      <c r="AG574" s="313">
        <f t="shared" si="58"/>
        <v>0</v>
      </c>
      <c r="AH574" s="313">
        <f t="shared" si="58"/>
        <v>0</v>
      </c>
      <c r="AI574" s="313">
        <f t="shared" si="58"/>
        <v>0</v>
      </c>
      <c r="AJ574" s="313">
        <f t="shared" si="58"/>
        <v>0</v>
      </c>
      <c r="AL574" s="314">
        <f t="shared" si="58"/>
        <v>0</v>
      </c>
      <c r="AM574" s="314">
        <f t="shared" si="59"/>
        <v>0</v>
      </c>
      <c r="AN574" s="314">
        <f t="shared" si="56"/>
        <v>0</v>
      </c>
      <c r="AO574" s="314">
        <f t="shared" si="56"/>
        <v>0</v>
      </c>
      <c r="AP574" s="314">
        <f t="shared" si="56"/>
        <v>0</v>
      </c>
      <c r="AR574" s="314">
        <f t="shared" si="56"/>
        <v>0</v>
      </c>
      <c r="AS574" s="314">
        <f t="shared" si="56"/>
        <v>0</v>
      </c>
      <c r="AT574" s="314">
        <f t="shared" si="57"/>
        <v>0</v>
      </c>
      <c r="AU574" s="314">
        <f t="shared" si="57"/>
        <v>0</v>
      </c>
      <c r="AV574" s="314">
        <f t="shared" si="57"/>
        <v>0</v>
      </c>
      <c r="AW574" s="314">
        <f t="shared" si="57"/>
        <v>0</v>
      </c>
    </row>
    <row r="575" spans="1:49" x14ac:dyDescent="0.25">
      <c r="A575" s="311">
        <v>8504548</v>
      </c>
      <c r="B575" s="311"/>
      <c r="C575" s="315" t="str">
        <f t="shared" si="49"/>
        <v>PO KHK</v>
      </c>
      <c r="D575" s="315" t="str">
        <f t="shared" si="50"/>
        <v>Chráněné bydlení</v>
      </c>
      <c r="E575" s="315" t="str">
        <f t="shared" si="51"/>
        <v>Barevné domky Hajnice</v>
      </c>
      <c r="F575" s="313">
        <f t="shared" si="52"/>
        <v>8504548</v>
      </c>
      <c r="G575" s="313"/>
      <c r="H575" s="313"/>
      <c r="I575" s="313"/>
      <c r="J575" s="313"/>
      <c r="K575" s="313"/>
      <c r="L575" s="313"/>
      <c r="M575" s="313"/>
      <c r="N575" s="313"/>
      <c r="O575" s="313"/>
      <c r="P575" s="313"/>
      <c r="Q575" s="313"/>
      <c r="R575" s="313"/>
      <c r="S575" s="313"/>
      <c r="T575" s="313">
        <f t="shared" si="53"/>
        <v>40.299999999999997</v>
      </c>
      <c r="U575" s="313">
        <f t="shared" ref="U575:AL590" si="60">SUMIFS(U$4:U$337,$A$4:$A$337,$A575)</f>
        <v>1.8</v>
      </c>
      <c r="V575" s="313">
        <f t="shared" si="60"/>
        <v>38.5</v>
      </c>
      <c r="W575" s="313">
        <f t="shared" si="60"/>
        <v>0</v>
      </c>
      <c r="X575" s="313">
        <f t="shared" si="60"/>
        <v>0</v>
      </c>
      <c r="Y575" s="313">
        <f t="shared" si="60"/>
        <v>45</v>
      </c>
      <c r="Z575" s="313">
        <f t="shared" si="60"/>
        <v>0</v>
      </c>
      <c r="AA575" s="313">
        <f t="shared" si="60"/>
        <v>0</v>
      </c>
      <c r="AB575" s="313">
        <f t="shared" si="60"/>
        <v>0</v>
      </c>
      <c r="AD575" s="313">
        <f t="shared" si="60"/>
        <v>40.299999999999997</v>
      </c>
      <c r="AE575" s="313">
        <f t="shared" si="60"/>
        <v>1.8</v>
      </c>
      <c r="AF575" s="313">
        <f t="shared" si="60"/>
        <v>38.5</v>
      </c>
      <c r="AG575" s="313">
        <f t="shared" si="60"/>
        <v>0</v>
      </c>
      <c r="AH575" s="313">
        <f t="shared" si="60"/>
        <v>0</v>
      </c>
      <c r="AI575" s="313">
        <f t="shared" si="60"/>
        <v>45</v>
      </c>
      <c r="AJ575" s="313">
        <f t="shared" si="60"/>
        <v>0</v>
      </c>
      <c r="AL575" s="314">
        <f t="shared" si="60"/>
        <v>25935034.299862407</v>
      </c>
      <c r="AM575" s="314">
        <f t="shared" si="59"/>
        <v>0</v>
      </c>
      <c r="AN575" s="314">
        <f t="shared" si="56"/>
        <v>2489785.9735790393</v>
      </c>
      <c r="AO575" s="314">
        <f t="shared" si="56"/>
        <v>822700.01850642567</v>
      </c>
      <c r="AP575" s="314">
        <f t="shared" si="56"/>
        <v>29247520.291947871</v>
      </c>
      <c r="AR575" s="314">
        <f t="shared" si="56"/>
        <v>3155860.181701031</v>
      </c>
      <c r="AS575" s="314">
        <f t="shared" si="56"/>
        <v>0</v>
      </c>
      <c r="AT575" s="314">
        <f t="shared" si="57"/>
        <v>1947702.1500000001</v>
      </c>
      <c r="AU575" s="314">
        <f t="shared" si="57"/>
        <v>846289.6875</v>
      </c>
      <c r="AV575" s="314">
        <f t="shared" si="57"/>
        <v>5949852.019201031</v>
      </c>
      <c r="AW575" s="314">
        <f t="shared" si="57"/>
        <v>23297668.272746839</v>
      </c>
    </row>
    <row r="576" spans="1:49" x14ac:dyDescent="0.25">
      <c r="A576" s="311">
        <v>8508078</v>
      </c>
      <c r="B576" s="311"/>
      <c r="C576" s="315" t="str">
        <f t="shared" si="49"/>
        <v>PO KHK</v>
      </c>
      <c r="D576" s="315" t="str">
        <f t="shared" si="50"/>
        <v>Domov důchodců Náchod</v>
      </c>
      <c r="E576" s="315" t="str">
        <f t="shared" si="51"/>
        <v>Domov důchodců Náchod</v>
      </c>
      <c r="F576" s="313">
        <f t="shared" si="52"/>
        <v>8508078</v>
      </c>
      <c r="G576" s="313"/>
      <c r="H576" s="313"/>
      <c r="I576" s="313"/>
      <c r="J576" s="313"/>
      <c r="K576" s="313"/>
      <c r="L576" s="313"/>
      <c r="M576" s="313"/>
      <c r="N576" s="313"/>
      <c r="O576" s="313"/>
      <c r="P576" s="313"/>
      <c r="Q576" s="313"/>
      <c r="R576" s="313"/>
      <c r="S576" s="313"/>
      <c r="T576" s="313">
        <f t="shared" si="53"/>
        <v>36.200000000000003</v>
      </c>
      <c r="U576" s="313">
        <f t="shared" si="60"/>
        <v>2.6</v>
      </c>
      <c r="V576" s="313">
        <f t="shared" si="60"/>
        <v>21</v>
      </c>
      <c r="W576" s="313">
        <f t="shared" si="60"/>
        <v>12.6</v>
      </c>
      <c r="X576" s="313">
        <f t="shared" si="60"/>
        <v>0</v>
      </c>
      <c r="Y576" s="313">
        <f t="shared" si="60"/>
        <v>86</v>
      </c>
      <c r="Z576" s="313">
        <f t="shared" si="60"/>
        <v>0</v>
      </c>
      <c r="AA576" s="313">
        <f t="shared" si="60"/>
        <v>0</v>
      </c>
      <c r="AB576" s="313">
        <f t="shared" si="60"/>
        <v>0</v>
      </c>
      <c r="AD576" s="313">
        <f t="shared" si="60"/>
        <v>36.200000000000003</v>
      </c>
      <c r="AE576" s="313">
        <f t="shared" si="60"/>
        <v>2.6</v>
      </c>
      <c r="AF576" s="313">
        <f t="shared" si="60"/>
        <v>21</v>
      </c>
      <c r="AG576" s="313">
        <f t="shared" si="60"/>
        <v>12.6</v>
      </c>
      <c r="AH576" s="313">
        <f t="shared" si="60"/>
        <v>0</v>
      </c>
      <c r="AI576" s="313">
        <f t="shared" si="60"/>
        <v>86</v>
      </c>
      <c r="AJ576" s="313">
        <f t="shared" si="60"/>
        <v>0</v>
      </c>
      <c r="AL576" s="314">
        <f t="shared" si="60"/>
        <v>15387308.313286813</v>
      </c>
      <c r="AM576" s="314">
        <f t="shared" si="59"/>
        <v>10214904.338556651</v>
      </c>
      <c r="AN576" s="314">
        <f t="shared" si="56"/>
        <v>8434503.6004458498</v>
      </c>
      <c r="AO576" s="314">
        <f t="shared" si="56"/>
        <v>5914314.5969303306</v>
      </c>
      <c r="AP576" s="314">
        <f t="shared" si="56"/>
        <v>39951030.84921965</v>
      </c>
      <c r="AR576" s="314">
        <f t="shared" si="56"/>
        <v>9655261.7234042548</v>
      </c>
      <c r="AS576" s="314">
        <f t="shared" si="56"/>
        <v>2515058.7133655394</v>
      </c>
      <c r="AT576" s="314">
        <f t="shared" si="57"/>
        <v>6099444.6178092984</v>
      </c>
      <c r="AU576" s="314">
        <f t="shared" si="57"/>
        <v>4375427.4145220593</v>
      </c>
      <c r="AV576" s="314">
        <f t="shared" si="57"/>
        <v>22645192.469101153</v>
      </c>
      <c r="AW576" s="314">
        <f t="shared" si="57"/>
        <v>17305838.380118497</v>
      </c>
    </row>
    <row r="577" spans="1:49" x14ac:dyDescent="0.25">
      <c r="A577" s="311">
        <v>8522302</v>
      </c>
      <c r="B577" s="311"/>
      <c r="C577" s="315" t="str">
        <f t="shared" si="49"/>
        <v>Obce</v>
      </c>
      <c r="D577" s="315" t="str">
        <f t="shared" si="50"/>
        <v>Pečovatelská služba</v>
      </c>
      <c r="E577" s="315" t="str">
        <f t="shared" si="51"/>
        <v>Město Rtyně v Podkrkonoší</v>
      </c>
      <c r="F577" s="313">
        <f t="shared" si="52"/>
        <v>8522302</v>
      </c>
      <c r="G577" s="313"/>
      <c r="H577" s="313"/>
      <c r="I577" s="313"/>
      <c r="J577" s="313"/>
      <c r="K577" s="313"/>
      <c r="L577" s="313"/>
      <c r="M577" s="313"/>
      <c r="N577" s="313"/>
      <c r="O577" s="313"/>
      <c r="P577" s="313"/>
      <c r="Q577" s="313"/>
      <c r="R577" s="313"/>
      <c r="S577" s="313"/>
      <c r="T577" s="313">
        <f t="shared" si="53"/>
        <v>2</v>
      </c>
      <c r="U577" s="313">
        <f t="shared" si="60"/>
        <v>0</v>
      </c>
      <c r="V577" s="313">
        <f t="shared" si="60"/>
        <v>2</v>
      </c>
      <c r="W577" s="313">
        <f t="shared" si="60"/>
        <v>0</v>
      </c>
      <c r="X577" s="313">
        <f t="shared" si="60"/>
        <v>0</v>
      </c>
      <c r="Y577" s="313">
        <f t="shared" si="60"/>
        <v>0</v>
      </c>
      <c r="Z577" s="313">
        <f t="shared" si="60"/>
        <v>60</v>
      </c>
      <c r="AA577" s="313">
        <f t="shared" si="60"/>
        <v>0</v>
      </c>
      <c r="AB577" s="313">
        <f t="shared" si="60"/>
        <v>0</v>
      </c>
      <c r="AD577" s="313">
        <f t="shared" si="60"/>
        <v>2</v>
      </c>
      <c r="AE577" s="313">
        <f t="shared" si="60"/>
        <v>0</v>
      </c>
      <c r="AF577" s="313">
        <f t="shared" si="60"/>
        <v>2</v>
      </c>
      <c r="AG577" s="313">
        <f t="shared" si="60"/>
        <v>0</v>
      </c>
      <c r="AH577" s="313">
        <f t="shared" si="60"/>
        <v>0</v>
      </c>
      <c r="AI577" s="313">
        <f t="shared" si="60"/>
        <v>0</v>
      </c>
      <c r="AJ577" s="313">
        <f t="shared" si="60"/>
        <v>0</v>
      </c>
      <c r="AL577" s="314">
        <f t="shared" si="60"/>
        <v>1104716.0021814571</v>
      </c>
      <c r="AM577" s="314">
        <f t="shared" si="59"/>
        <v>0</v>
      </c>
      <c r="AN577" s="314">
        <f t="shared" si="56"/>
        <v>83681.130116093569</v>
      </c>
      <c r="AO577" s="314">
        <f t="shared" si="56"/>
        <v>0</v>
      </c>
      <c r="AP577" s="314">
        <f t="shared" si="56"/>
        <v>1188397.1322975508</v>
      </c>
      <c r="AR577" s="314">
        <f t="shared" si="56"/>
        <v>277510.4705882353</v>
      </c>
      <c r="AS577" s="314">
        <f t="shared" si="56"/>
        <v>0</v>
      </c>
      <c r="AT577" s="314">
        <f t="shared" si="57"/>
        <v>0</v>
      </c>
      <c r="AU577" s="314">
        <f t="shared" si="57"/>
        <v>0</v>
      </c>
      <c r="AV577" s="314">
        <f t="shared" si="57"/>
        <v>277510.4705882353</v>
      </c>
      <c r="AW577" s="314">
        <f t="shared" si="57"/>
        <v>910886.66170931549</v>
      </c>
    </row>
    <row r="578" spans="1:49" x14ac:dyDescent="0.25">
      <c r="A578" s="311">
        <v>8535980</v>
      </c>
      <c r="B578" s="311"/>
      <c r="C578" s="315" t="str">
        <f t="shared" si="49"/>
        <v>NZO</v>
      </c>
      <c r="D578" s="315" t="str">
        <f t="shared" si="50"/>
        <v>Sociálně aktivizační služby pro rodiny s dětmi</v>
      </c>
      <c r="E578" s="315" t="str">
        <f t="shared" si="51"/>
        <v>Centrum pro dětský sluch Tamtam, o.p.s.</v>
      </c>
      <c r="F578" s="313">
        <f t="shared" si="52"/>
        <v>8535980</v>
      </c>
      <c r="G578" s="313"/>
      <c r="H578" s="313"/>
      <c r="I578" s="313"/>
      <c r="J578" s="313"/>
      <c r="K578" s="313"/>
      <c r="L578" s="313"/>
      <c r="M578" s="313"/>
      <c r="N578" s="313"/>
      <c r="O578" s="313"/>
      <c r="P578" s="313"/>
      <c r="Q578" s="313"/>
      <c r="R578" s="313"/>
      <c r="S578" s="313"/>
      <c r="T578" s="313">
        <f t="shared" si="53"/>
        <v>0</v>
      </c>
      <c r="U578" s="313">
        <f t="shared" si="60"/>
        <v>0</v>
      </c>
      <c r="V578" s="313">
        <f t="shared" si="60"/>
        <v>0</v>
      </c>
      <c r="W578" s="313">
        <f t="shared" si="60"/>
        <v>0</v>
      </c>
      <c r="X578" s="313">
        <f t="shared" si="60"/>
        <v>0</v>
      </c>
      <c r="Y578" s="313">
        <f t="shared" si="60"/>
        <v>0</v>
      </c>
      <c r="Z578" s="313">
        <f t="shared" si="60"/>
        <v>0</v>
      </c>
      <c r="AA578" s="313">
        <f t="shared" si="60"/>
        <v>0</v>
      </c>
      <c r="AB578" s="313">
        <f t="shared" si="60"/>
        <v>0</v>
      </c>
      <c r="AD578" s="313">
        <f t="shared" si="60"/>
        <v>0</v>
      </c>
      <c r="AE578" s="313">
        <f t="shared" si="60"/>
        <v>0</v>
      </c>
      <c r="AF578" s="313">
        <f t="shared" si="60"/>
        <v>0</v>
      </c>
      <c r="AG578" s="313">
        <f t="shared" si="60"/>
        <v>0</v>
      </c>
      <c r="AH578" s="313">
        <f t="shared" si="60"/>
        <v>0</v>
      </c>
      <c r="AI578" s="313">
        <f t="shared" si="60"/>
        <v>0</v>
      </c>
      <c r="AJ578" s="313">
        <f t="shared" si="60"/>
        <v>0</v>
      </c>
      <c r="AL578" s="314">
        <f t="shared" si="60"/>
        <v>0</v>
      </c>
      <c r="AM578" s="314">
        <f t="shared" si="59"/>
        <v>0</v>
      </c>
      <c r="AN578" s="314">
        <f t="shared" si="56"/>
        <v>0</v>
      </c>
      <c r="AO578" s="314">
        <f t="shared" si="56"/>
        <v>0</v>
      </c>
      <c r="AP578" s="314">
        <f t="shared" si="56"/>
        <v>0</v>
      </c>
      <c r="AR578" s="314">
        <f t="shared" si="56"/>
        <v>0</v>
      </c>
      <c r="AS578" s="314">
        <f t="shared" ref="AS578:AS589" si="61">SUMIFS(AS$4:AS$337,$A$4:$A$337,$A578)</f>
        <v>0</v>
      </c>
      <c r="AT578" s="314">
        <f t="shared" si="57"/>
        <v>0</v>
      </c>
      <c r="AU578" s="314">
        <f t="shared" si="57"/>
        <v>0</v>
      </c>
      <c r="AV578" s="314">
        <f t="shared" si="57"/>
        <v>0</v>
      </c>
      <c r="AW578" s="314">
        <f t="shared" si="57"/>
        <v>0</v>
      </c>
    </row>
    <row r="579" spans="1:49" x14ac:dyDescent="0.25">
      <c r="A579" s="311">
        <v>8615860</v>
      </c>
      <c r="B579" s="311"/>
      <c r="C579" s="315" t="str">
        <f t="shared" si="49"/>
        <v>NZO</v>
      </c>
      <c r="D579" s="315" t="str">
        <f t="shared" si="50"/>
        <v>Manželská a rodinná poradna</v>
      </c>
      <c r="E579" s="315" t="str">
        <f t="shared" si="51"/>
        <v>Centrum psychologické podpory, z. s.</v>
      </c>
      <c r="F579" s="313">
        <f t="shared" si="52"/>
        <v>8615860</v>
      </c>
      <c r="G579" s="313"/>
      <c r="H579" s="313"/>
      <c r="I579" s="313"/>
      <c r="J579" s="313"/>
      <c r="K579" s="313"/>
      <c r="L579" s="313"/>
      <c r="M579" s="313"/>
      <c r="N579" s="313"/>
      <c r="O579" s="313"/>
      <c r="P579" s="313"/>
      <c r="Q579" s="313"/>
      <c r="R579" s="313"/>
      <c r="S579" s="313"/>
      <c r="T579" s="313">
        <f t="shared" si="53"/>
        <v>2.7</v>
      </c>
      <c r="U579" s="313">
        <f t="shared" si="60"/>
        <v>0.7</v>
      </c>
      <c r="V579" s="313">
        <f t="shared" si="60"/>
        <v>0</v>
      </c>
      <c r="W579" s="313">
        <f t="shared" si="60"/>
        <v>0</v>
      </c>
      <c r="X579" s="313">
        <f t="shared" si="60"/>
        <v>2</v>
      </c>
      <c r="Y579" s="313">
        <f t="shared" si="60"/>
        <v>0</v>
      </c>
      <c r="Z579" s="313">
        <f t="shared" si="60"/>
        <v>20</v>
      </c>
      <c r="AA579" s="313">
        <f t="shared" si="60"/>
        <v>0</v>
      </c>
      <c r="AB579" s="313">
        <f t="shared" si="60"/>
        <v>0</v>
      </c>
      <c r="AD579" s="313">
        <f t="shared" si="60"/>
        <v>2.7</v>
      </c>
      <c r="AE579" s="313">
        <f t="shared" si="60"/>
        <v>0.7</v>
      </c>
      <c r="AF579" s="313">
        <f t="shared" si="60"/>
        <v>0</v>
      </c>
      <c r="AG579" s="313">
        <f t="shared" si="60"/>
        <v>0</v>
      </c>
      <c r="AH579" s="313">
        <f t="shared" si="60"/>
        <v>2</v>
      </c>
      <c r="AI579" s="313">
        <f t="shared" si="60"/>
        <v>0</v>
      </c>
      <c r="AJ579" s="313">
        <f t="shared" si="60"/>
        <v>0</v>
      </c>
      <c r="AL579" s="314">
        <f t="shared" si="60"/>
        <v>1797873.9641935481</v>
      </c>
      <c r="AM579" s="314">
        <f t="shared" si="59"/>
        <v>0</v>
      </c>
      <c r="AN579" s="314">
        <f t="shared" si="56"/>
        <v>124758.38865182846</v>
      </c>
      <c r="AO579" s="314">
        <f t="shared" si="56"/>
        <v>0</v>
      </c>
      <c r="AP579" s="314">
        <f t="shared" si="56"/>
        <v>1922632.3528453766</v>
      </c>
      <c r="AR579" s="314">
        <f t="shared" si="56"/>
        <v>0</v>
      </c>
      <c r="AS579" s="314">
        <f t="shared" si="61"/>
        <v>0</v>
      </c>
      <c r="AT579" s="314">
        <f t="shared" si="57"/>
        <v>0</v>
      </c>
      <c r="AU579" s="314">
        <f t="shared" si="57"/>
        <v>0</v>
      </c>
      <c r="AV579" s="314">
        <f t="shared" si="57"/>
        <v>0</v>
      </c>
      <c r="AW579" s="314">
        <f t="shared" si="57"/>
        <v>1922632.3528453766</v>
      </c>
    </row>
    <row r="580" spans="1:49" x14ac:dyDescent="0.25">
      <c r="A580" s="311">
        <v>8635813</v>
      </c>
      <c r="B580" s="311"/>
      <c r="C580" s="315" t="str">
        <f t="shared" si="49"/>
        <v>Obce</v>
      </c>
      <c r="D580" s="315" t="str">
        <f t="shared" si="50"/>
        <v>Domov odpočinku ve stáří Justynka</v>
      </c>
      <c r="E580" s="315" t="str">
        <f t="shared" si="51"/>
        <v>Domov odpočinku ve stáří Justynka</v>
      </c>
      <c r="F580" s="313">
        <f t="shared" si="52"/>
        <v>8635813</v>
      </c>
      <c r="G580" s="313"/>
      <c r="H580" s="313"/>
      <c r="I580" s="313"/>
      <c r="J580" s="313"/>
      <c r="K580" s="313"/>
      <c r="L580" s="313"/>
      <c r="M580" s="313"/>
      <c r="N580" s="313"/>
      <c r="O580" s="313"/>
      <c r="P580" s="313"/>
      <c r="Q580" s="313"/>
      <c r="R580" s="313"/>
      <c r="S580" s="313"/>
      <c r="T580" s="313">
        <f t="shared" si="53"/>
        <v>25.6</v>
      </c>
      <c r="U580" s="313">
        <f t="shared" si="60"/>
        <v>1.75</v>
      </c>
      <c r="V580" s="313">
        <f t="shared" si="60"/>
        <v>17.350000000000001</v>
      </c>
      <c r="W580" s="313">
        <f t="shared" si="60"/>
        <v>6.5</v>
      </c>
      <c r="X580" s="313">
        <f t="shared" si="60"/>
        <v>0</v>
      </c>
      <c r="Y580" s="313">
        <f t="shared" si="60"/>
        <v>67</v>
      </c>
      <c r="Z580" s="313">
        <f t="shared" si="60"/>
        <v>0</v>
      </c>
      <c r="AA580" s="313">
        <f t="shared" si="60"/>
        <v>0</v>
      </c>
      <c r="AB580" s="313">
        <f t="shared" si="60"/>
        <v>0</v>
      </c>
      <c r="AD580" s="313">
        <f t="shared" si="60"/>
        <v>25.6</v>
      </c>
      <c r="AE580" s="313">
        <f t="shared" si="60"/>
        <v>1.75</v>
      </c>
      <c r="AF580" s="313">
        <f t="shared" si="60"/>
        <v>17.350000000000001</v>
      </c>
      <c r="AG580" s="313">
        <f t="shared" si="60"/>
        <v>6.5</v>
      </c>
      <c r="AH580" s="313">
        <f t="shared" si="60"/>
        <v>0</v>
      </c>
      <c r="AI580" s="313">
        <f t="shared" si="60"/>
        <v>67</v>
      </c>
      <c r="AJ580" s="313">
        <f t="shared" si="60"/>
        <v>0</v>
      </c>
      <c r="AL580" s="314">
        <f t="shared" si="60"/>
        <v>12453287.660329582</v>
      </c>
      <c r="AM580" s="314">
        <f t="shared" si="59"/>
        <v>5269593.5079855742</v>
      </c>
      <c r="AN580" s="314">
        <f t="shared" si="56"/>
        <v>6571066.7584868828</v>
      </c>
      <c r="AO580" s="314">
        <f t="shared" si="56"/>
        <v>4607663.6976085128</v>
      </c>
      <c r="AP580" s="314">
        <f t="shared" si="56"/>
        <v>28901611.624410551</v>
      </c>
      <c r="AR580" s="314">
        <f t="shared" si="56"/>
        <v>7522122.5054428494</v>
      </c>
      <c r="AS580" s="314">
        <f t="shared" si="61"/>
        <v>1959406.2069243155</v>
      </c>
      <c r="AT580" s="314">
        <f t="shared" si="57"/>
        <v>4751892.8999211974</v>
      </c>
      <c r="AU580" s="314">
        <f t="shared" si="57"/>
        <v>3408763.2182904412</v>
      </c>
      <c r="AV580" s="314">
        <f t="shared" si="57"/>
        <v>17642184.830578804</v>
      </c>
      <c r="AW580" s="314">
        <f t="shared" si="57"/>
        <v>11259426.793831747</v>
      </c>
    </row>
    <row r="581" spans="1:49" x14ac:dyDescent="0.25">
      <c r="A581" s="311">
        <v>8849001</v>
      </c>
      <c r="B581" s="311"/>
      <c r="C581" s="315" t="str">
        <f t="shared" si="49"/>
        <v>NZO</v>
      </c>
      <c r="D581" s="315" t="str">
        <f t="shared" si="50"/>
        <v>Občanská poradna Hradec Králové</v>
      </c>
      <c r="E581" s="315" t="str">
        <f t="shared" si="51"/>
        <v>Občanské poradenské středisko, o.p.s.</v>
      </c>
      <c r="F581" s="313">
        <f t="shared" si="52"/>
        <v>8849001</v>
      </c>
      <c r="G581" s="313"/>
      <c r="H581" s="313"/>
      <c r="I581" s="313"/>
      <c r="J581" s="313"/>
      <c r="K581" s="313"/>
      <c r="L581" s="313"/>
      <c r="M581" s="313"/>
      <c r="N581" s="313"/>
      <c r="O581" s="313"/>
      <c r="P581" s="313"/>
      <c r="Q581" s="313"/>
      <c r="R581" s="313"/>
      <c r="S581" s="313"/>
      <c r="T581" s="313">
        <f t="shared" si="53"/>
        <v>1.8</v>
      </c>
      <c r="U581" s="313">
        <f t="shared" si="60"/>
        <v>1.8</v>
      </c>
      <c r="V581" s="313">
        <f t="shared" si="60"/>
        <v>0</v>
      </c>
      <c r="W581" s="313">
        <f t="shared" si="60"/>
        <v>0</v>
      </c>
      <c r="X581" s="313">
        <f t="shared" si="60"/>
        <v>0</v>
      </c>
      <c r="Y581" s="313">
        <f t="shared" si="60"/>
        <v>0</v>
      </c>
      <c r="Z581" s="313">
        <f t="shared" si="60"/>
        <v>16</v>
      </c>
      <c r="AA581" s="313">
        <f t="shared" si="60"/>
        <v>0</v>
      </c>
      <c r="AB581" s="313">
        <f t="shared" si="60"/>
        <v>0</v>
      </c>
      <c r="AD581" s="313">
        <f t="shared" si="60"/>
        <v>1.8</v>
      </c>
      <c r="AE581" s="313">
        <f t="shared" si="60"/>
        <v>1.8</v>
      </c>
      <c r="AF581" s="313">
        <f t="shared" si="60"/>
        <v>0</v>
      </c>
      <c r="AG581" s="313">
        <f t="shared" si="60"/>
        <v>0</v>
      </c>
      <c r="AH581" s="313">
        <f t="shared" si="60"/>
        <v>0</v>
      </c>
      <c r="AI581" s="313">
        <f t="shared" si="60"/>
        <v>0</v>
      </c>
      <c r="AJ581" s="313">
        <f t="shared" si="60"/>
        <v>0</v>
      </c>
      <c r="AL581" s="314">
        <f t="shared" si="60"/>
        <v>1198582.6427956987</v>
      </c>
      <c r="AM581" s="314">
        <f t="shared" si="59"/>
        <v>0</v>
      </c>
      <c r="AN581" s="314">
        <f t="shared" si="56"/>
        <v>83172.259101218966</v>
      </c>
      <c r="AO581" s="314">
        <f t="shared" si="56"/>
        <v>0</v>
      </c>
      <c r="AP581" s="314">
        <f t="shared" si="56"/>
        <v>1281754.9018969177</v>
      </c>
      <c r="AR581" s="314">
        <f t="shared" si="56"/>
        <v>0</v>
      </c>
      <c r="AS581" s="314">
        <f t="shared" si="61"/>
        <v>0</v>
      </c>
      <c r="AT581" s="314">
        <f t="shared" si="57"/>
        <v>0</v>
      </c>
      <c r="AU581" s="314">
        <f t="shared" si="57"/>
        <v>0</v>
      </c>
      <c r="AV581" s="314">
        <f t="shared" si="57"/>
        <v>0</v>
      </c>
      <c r="AW581" s="314">
        <f t="shared" si="57"/>
        <v>1281754.9018969177</v>
      </c>
    </row>
    <row r="582" spans="1:49" x14ac:dyDescent="0.25">
      <c r="A582" s="311">
        <v>8877013</v>
      </c>
      <c r="B582" s="311"/>
      <c r="C582" s="315" t="str">
        <f t="shared" si="49"/>
        <v>Obce</v>
      </c>
      <c r="D582" s="315" t="str">
        <f t="shared" si="50"/>
        <v>Geriatrické centrum Týniště nad Orlicí</v>
      </c>
      <c r="E582" s="315" t="str">
        <f t="shared" si="51"/>
        <v>Geriatrické centrum Týniště nad Orlicí</v>
      </c>
      <c r="F582" s="313">
        <f t="shared" si="52"/>
        <v>8877013</v>
      </c>
      <c r="G582" s="313"/>
      <c r="H582" s="313"/>
      <c r="I582" s="313"/>
      <c r="J582" s="313"/>
      <c r="K582" s="313"/>
      <c r="L582" s="313"/>
      <c r="M582" s="313"/>
      <c r="N582" s="313"/>
      <c r="O582" s="313"/>
      <c r="P582" s="313"/>
      <c r="Q582" s="313"/>
      <c r="R582" s="313"/>
      <c r="S582" s="313"/>
      <c r="T582" s="313">
        <f t="shared" si="53"/>
        <v>21.31</v>
      </c>
      <c r="U582" s="313">
        <f t="shared" si="60"/>
        <v>1</v>
      </c>
      <c r="V582" s="313">
        <f t="shared" si="60"/>
        <v>13.31</v>
      </c>
      <c r="W582" s="313">
        <f t="shared" si="60"/>
        <v>7</v>
      </c>
      <c r="X582" s="313">
        <f t="shared" si="60"/>
        <v>0</v>
      </c>
      <c r="Y582" s="313">
        <f t="shared" si="60"/>
        <v>42</v>
      </c>
      <c r="Z582" s="313">
        <f t="shared" si="60"/>
        <v>0</v>
      </c>
      <c r="AA582" s="313">
        <f t="shared" si="60"/>
        <v>0</v>
      </c>
      <c r="AB582" s="313">
        <f t="shared" si="60"/>
        <v>0</v>
      </c>
      <c r="AD582" s="313">
        <f t="shared" si="60"/>
        <v>21.31</v>
      </c>
      <c r="AE582" s="313">
        <f t="shared" si="60"/>
        <v>1</v>
      </c>
      <c r="AF582" s="313">
        <f t="shared" si="60"/>
        <v>13.31</v>
      </c>
      <c r="AG582" s="313">
        <f t="shared" si="60"/>
        <v>7</v>
      </c>
      <c r="AH582" s="313">
        <f t="shared" si="60"/>
        <v>0</v>
      </c>
      <c r="AI582" s="313">
        <f t="shared" si="60"/>
        <v>42</v>
      </c>
      <c r="AJ582" s="313">
        <f t="shared" si="60"/>
        <v>0</v>
      </c>
      <c r="AL582" s="314">
        <f t="shared" si="60"/>
        <v>9330185.6764039956</v>
      </c>
      <c r="AM582" s="314">
        <f t="shared" si="59"/>
        <v>5674946.8547536954</v>
      </c>
      <c r="AN582" s="314">
        <f t="shared" si="56"/>
        <v>4119176.1769619267</v>
      </c>
      <c r="AO582" s="314">
        <f t="shared" si="56"/>
        <v>2888386.1985008591</v>
      </c>
      <c r="AP582" s="314">
        <f t="shared" si="56"/>
        <v>22012694.906620476</v>
      </c>
      <c r="AR582" s="314">
        <f t="shared" si="56"/>
        <v>4715360.3765462637</v>
      </c>
      <c r="AS582" s="314">
        <f t="shared" si="61"/>
        <v>1228284.4879227052</v>
      </c>
      <c r="AT582" s="314">
        <f t="shared" si="57"/>
        <v>2978798.53427896</v>
      </c>
      <c r="AU582" s="314">
        <f t="shared" si="57"/>
        <v>2136836.6443014708</v>
      </c>
      <c r="AV582" s="314">
        <f t="shared" si="57"/>
        <v>11059280.043049399</v>
      </c>
      <c r="AW582" s="314">
        <f t="shared" si="57"/>
        <v>10953414.863571078</v>
      </c>
    </row>
    <row r="583" spans="1:49" x14ac:dyDescent="0.25">
      <c r="A583" s="311">
        <v>8891712</v>
      </c>
      <c r="B583" s="311"/>
      <c r="C583" s="315" t="str">
        <f t="shared" si="49"/>
        <v>NZO</v>
      </c>
      <c r="D583" s="315" t="str">
        <f t="shared" si="50"/>
        <v>Dům na půli cesty</v>
      </c>
      <c r="E583" s="315" t="str">
        <f t="shared" si="51"/>
        <v>Oblastní charita Náchod</v>
      </c>
      <c r="F583" s="313">
        <f t="shared" si="52"/>
        <v>8891712</v>
      </c>
      <c r="G583" s="313"/>
      <c r="H583" s="313"/>
      <c r="I583" s="313"/>
      <c r="J583" s="313"/>
      <c r="K583" s="313"/>
      <c r="L583" s="313"/>
      <c r="M583" s="313"/>
      <c r="N583" s="313"/>
      <c r="O583" s="313"/>
      <c r="P583" s="313"/>
      <c r="Q583" s="313"/>
      <c r="R583" s="313"/>
      <c r="S583" s="313"/>
      <c r="T583" s="313">
        <f t="shared" si="53"/>
        <v>6.5</v>
      </c>
      <c r="U583" s="313">
        <f t="shared" si="60"/>
        <v>1</v>
      </c>
      <c r="V583" s="313">
        <f t="shared" si="60"/>
        <v>5.5</v>
      </c>
      <c r="W583" s="313">
        <f t="shared" si="60"/>
        <v>0</v>
      </c>
      <c r="X583" s="313">
        <f t="shared" si="60"/>
        <v>0</v>
      </c>
      <c r="Y583" s="313">
        <f t="shared" si="60"/>
        <v>11</v>
      </c>
      <c r="Z583" s="313">
        <f t="shared" si="60"/>
        <v>0</v>
      </c>
      <c r="AA583" s="313">
        <f t="shared" si="60"/>
        <v>0</v>
      </c>
      <c r="AB583" s="313">
        <f t="shared" si="60"/>
        <v>0</v>
      </c>
      <c r="AD583" s="313">
        <f t="shared" si="60"/>
        <v>6.5</v>
      </c>
      <c r="AE583" s="313">
        <f t="shared" si="60"/>
        <v>1</v>
      </c>
      <c r="AF583" s="313">
        <f t="shared" si="60"/>
        <v>5.5</v>
      </c>
      <c r="AG583" s="313">
        <f t="shared" si="60"/>
        <v>0</v>
      </c>
      <c r="AH583" s="313">
        <f t="shared" si="60"/>
        <v>0</v>
      </c>
      <c r="AI583" s="313">
        <f t="shared" si="60"/>
        <v>11</v>
      </c>
      <c r="AJ583" s="313">
        <f t="shared" si="60"/>
        <v>0</v>
      </c>
      <c r="AL583" s="314">
        <f t="shared" si="60"/>
        <v>4033728.1217227806</v>
      </c>
      <c r="AM583" s="314">
        <f t="shared" si="59"/>
        <v>0</v>
      </c>
      <c r="AN583" s="314">
        <f t="shared" si="56"/>
        <v>286767.03341728012</v>
      </c>
      <c r="AO583" s="314">
        <f t="shared" si="56"/>
        <v>0</v>
      </c>
      <c r="AP583" s="314">
        <f t="shared" si="56"/>
        <v>4320495.1551400609</v>
      </c>
      <c r="AR583" s="314">
        <f t="shared" si="56"/>
        <v>0</v>
      </c>
      <c r="AS583" s="314">
        <f t="shared" si="61"/>
        <v>0</v>
      </c>
      <c r="AT583" s="314">
        <f t="shared" si="57"/>
        <v>250086.28333333335</v>
      </c>
      <c r="AU583" s="314">
        <f t="shared" si="57"/>
        <v>0</v>
      </c>
      <c r="AV583" s="314">
        <f t="shared" si="57"/>
        <v>250086.28333333335</v>
      </c>
      <c r="AW583" s="314">
        <f t="shared" si="57"/>
        <v>4070408.8718067277</v>
      </c>
    </row>
    <row r="584" spans="1:49" x14ac:dyDescent="0.25">
      <c r="A584" s="311">
        <v>8902089</v>
      </c>
      <c r="B584" s="311"/>
      <c r="C584" s="315" t="str">
        <f t="shared" si="49"/>
        <v>NZO</v>
      </c>
      <c r="D584" s="315" t="str">
        <f t="shared" si="50"/>
        <v>Osobní asistence</v>
      </c>
      <c r="E584" s="315" t="str">
        <f t="shared" si="51"/>
        <v>Farní charita Dobruška</v>
      </c>
      <c r="F584" s="313">
        <f t="shared" si="52"/>
        <v>8902089</v>
      </c>
      <c r="G584" s="313"/>
      <c r="H584" s="313"/>
      <c r="I584" s="313"/>
      <c r="J584" s="313"/>
      <c r="K584" s="313"/>
      <c r="L584" s="313"/>
      <c r="M584" s="313"/>
      <c r="N584" s="313"/>
      <c r="O584" s="313"/>
      <c r="P584" s="313"/>
      <c r="Q584" s="313"/>
      <c r="R584" s="313"/>
      <c r="S584" s="313"/>
      <c r="T584" s="313">
        <f t="shared" si="53"/>
        <v>5.3</v>
      </c>
      <c r="U584" s="313">
        <f t="shared" si="60"/>
        <v>0.9</v>
      </c>
      <c r="V584" s="313">
        <f t="shared" si="60"/>
        <v>4.4000000000000004</v>
      </c>
      <c r="W584" s="313">
        <f t="shared" si="60"/>
        <v>0</v>
      </c>
      <c r="X584" s="313">
        <f t="shared" si="60"/>
        <v>0</v>
      </c>
      <c r="Y584" s="313">
        <f t="shared" si="60"/>
        <v>0</v>
      </c>
      <c r="Z584" s="313">
        <f t="shared" si="60"/>
        <v>5</v>
      </c>
      <c r="AA584" s="313">
        <f t="shared" si="60"/>
        <v>0</v>
      </c>
      <c r="AB584" s="313">
        <f t="shared" si="60"/>
        <v>0</v>
      </c>
      <c r="AD584" s="313">
        <f t="shared" si="60"/>
        <v>5.3</v>
      </c>
      <c r="AE584" s="313">
        <f t="shared" si="60"/>
        <v>0.9</v>
      </c>
      <c r="AF584" s="313">
        <f t="shared" si="60"/>
        <v>4.4000000000000004</v>
      </c>
      <c r="AG584" s="313">
        <f t="shared" si="60"/>
        <v>0</v>
      </c>
      <c r="AH584" s="313">
        <f t="shared" si="60"/>
        <v>0</v>
      </c>
      <c r="AI584" s="313">
        <f t="shared" si="60"/>
        <v>0</v>
      </c>
      <c r="AJ584" s="313">
        <f t="shared" si="60"/>
        <v>0</v>
      </c>
      <c r="AL584" s="314">
        <f t="shared" si="60"/>
        <v>2707079.074587761</v>
      </c>
      <c r="AM584" s="314">
        <f t="shared" si="59"/>
        <v>0</v>
      </c>
      <c r="AN584" s="314">
        <f t="shared" si="56"/>
        <v>102543.16351371743</v>
      </c>
      <c r="AO584" s="314">
        <f t="shared" si="56"/>
        <v>0</v>
      </c>
      <c r="AP584" s="314">
        <f t="shared" si="56"/>
        <v>2809622.2381014782</v>
      </c>
      <c r="AR584" s="314">
        <f t="shared" si="56"/>
        <v>549862.89811497356</v>
      </c>
      <c r="AS584" s="314">
        <f t="shared" si="61"/>
        <v>0</v>
      </c>
      <c r="AT584" s="314">
        <f t="shared" si="57"/>
        <v>0</v>
      </c>
      <c r="AU584" s="314">
        <f t="shared" si="57"/>
        <v>0</v>
      </c>
      <c r="AV584" s="314">
        <f t="shared" si="57"/>
        <v>549862.89811497356</v>
      </c>
      <c r="AW584" s="314">
        <f t="shared" si="57"/>
        <v>2259759.3399865045</v>
      </c>
    </row>
    <row r="585" spans="1:49" x14ac:dyDescent="0.25">
      <c r="A585" s="311">
        <v>8936486</v>
      </c>
      <c r="B585" s="311"/>
      <c r="C585" s="315" t="str">
        <f t="shared" si="49"/>
        <v>NZO</v>
      </c>
      <c r="D585" s="315" t="str">
        <f t="shared" si="50"/>
        <v>Domov Diakonie</v>
      </c>
      <c r="E585" s="315" t="str">
        <f t="shared" si="51"/>
        <v>Diakonie ČCE - středisko ve Dvoře Králové nad Labem</v>
      </c>
      <c r="F585" s="313">
        <f t="shared" si="52"/>
        <v>8936486</v>
      </c>
      <c r="G585" s="313"/>
      <c r="H585" s="313"/>
      <c r="I585" s="313"/>
      <c r="J585" s="313"/>
      <c r="K585" s="313"/>
      <c r="L585" s="313"/>
      <c r="M585" s="313"/>
      <c r="N585" s="313"/>
      <c r="O585" s="313"/>
      <c r="P585" s="313"/>
      <c r="Q585" s="313"/>
      <c r="R585" s="313"/>
      <c r="S585" s="313"/>
      <c r="T585" s="313">
        <f t="shared" si="53"/>
        <v>7.2</v>
      </c>
      <c r="U585" s="313">
        <f t="shared" si="60"/>
        <v>0.15</v>
      </c>
      <c r="V585" s="313">
        <f t="shared" si="60"/>
        <v>4.25</v>
      </c>
      <c r="W585" s="313">
        <f t="shared" si="60"/>
        <v>2.8</v>
      </c>
      <c r="X585" s="313">
        <f t="shared" si="60"/>
        <v>0</v>
      </c>
      <c r="Y585" s="313">
        <f t="shared" si="60"/>
        <v>10</v>
      </c>
      <c r="Z585" s="313">
        <f t="shared" si="60"/>
        <v>0</v>
      </c>
      <c r="AA585" s="313">
        <f t="shared" si="60"/>
        <v>0</v>
      </c>
      <c r="AB585" s="313">
        <f t="shared" si="60"/>
        <v>0</v>
      </c>
      <c r="AD585" s="313">
        <f t="shared" si="60"/>
        <v>7.2</v>
      </c>
      <c r="AE585" s="313">
        <f t="shared" si="60"/>
        <v>0.15</v>
      </c>
      <c r="AF585" s="313">
        <f t="shared" si="60"/>
        <v>4.25</v>
      </c>
      <c r="AG585" s="313">
        <f t="shared" si="60"/>
        <v>2.8</v>
      </c>
      <c r="AH585" s="313">
        <f t="shared" si="60"/>
        <v>0</v>
      </c>
      <c r="AI585" s="313">
        <f t="shared" si="60"/>
        <v>10</v>
      </c>
      <c r="AJ585" s="313">
        <f t="shared" si="60"/>
        <v>0</v>
      </c>
      <c r="AL585" s="314">
        <f t="shared" si="60"/>
        <v>2807763.599048533</v>
      </c>
      <c r="AM585" s="314">
        <f t="shared" si="59"/>
        <v>2263371.8409716981</v>
      </c>
      <c r="AN585" s="314">
        <f t="shared" si="56"/>
        <v>965209.15090422682</v>
      </c>
      <c r="AO585" s="314">
        <f t="shared" si="56"/>
        <v>650874.59271680634</v>
      </c>
      <c r="AP585" s="314">
        <f t="shared" si="56"/>
        <v>6687219.1836412651</v>
      </c>
      <c r="AR585" s="314">
        <f t="shared" si="56"/>
        <v>1200682.2</v>
      </c>
      <c r="AS585" s="314">
        <f t="shared" si="61"/>
        <v>224820.96249999999</v>
      </c>
      <c r="AT585" s="314">
        <f t="shared" si="57"/>
        <v>664418.27586206899</v>
      </c>
      <c r="AU585" s="314">
        <f t="shared" si="57"/>
        <v>510013.5</v>
      </c>
      <c r="AV585" s="314">
        <f t="shared" si="57"/>
        <v>2599934.938362069</v>
      </c>
      <c r="AW585" s="314">
        <f t="shared" si="57"/>
        <v>4087284.2452791962</v>
      </c>
    </row>
    <row r="586" spans="1:49" x14ac:dyDescent="0.25">
      <c r="A586" s="311">
        <v>8946698</v>
      </c>
      <c r="B586" s="311"/>
      <c r="C586" s="315" t="str">
        <f t="shared" si="49"/>
        <v>NZO</v>
      </c>
      <c r="D586" s="315" t="str">
        <f t="shared" si="50"/>
        <v>SAS Alternativa</v>
      </c>
      <c r="E586" s="315" t="str">
        <f t="shared" si="51"/>
        <v>Diakonie ČCE - středisko Milíčův dům</v>
      </c>
      <c r="F586" s="313">
        <f t="shared" si="52"/>
        <v>8946698</v>
      </c>
      <c r="G586" s="313"/>
      <c r="H586" s="313"/>
      <c r="I586" s="313"/>
      <c r="J586" s="313"/>
      <c r="K586" s="313"/>
      <c r="L586" s="313"/>
      <c r="M586" s="313"/>
      <c r="N586" s="313"/>
      <c r="O586" s="313"/>
      <c r="P586" s="313"/>
      <c r="Q586" s="313"/>
      <c r="R586" s="313"/>
      <c r="S586" s="313"/>
      <c r="T586" s="313">
        <f t="shared" si="53"/>
        <v>6</v>
      </c>
      <c r="U586" s="313">
        <f t="shared" si="60"/>
        <v>3</v>
      </c>
      <c r="V586" s="313">
        <f t="shared" si="60"/>
        <v>3</v>
      </c>
      <c r="W586" s="313">
        <f t="shared" si="60"/>
        <v>0</v>
      </c>
      <c r="X586" s="313">
        <f t="shared" si="60"/>
        <v>0</v>
      </c>
      <c r="Y586" s="313">
        <f t="shared" si="60"/>
        <v>0</v>
      </c>
      <c r="Z586" s="313">
        <f t="shared" si="60"/>
        <v>90</v>
      </c>
      <c r="AA586" s="313">
        <f t="shared" si="60"/>
        <v>0</v>
      </c>
      <c r="AB586" s="313">
        <f t="shared" si="60"/>
        <v>0</v>
      </c>
      <c r="AD586" s="313">
        <f t="shared" si="60"/>
        <v>6</v>
      </c>
      <c r="AE586" s="313">
        <f t="shared" si="60"/>
        <v>3</v>
      </c>
      <c r="AF586" s="313">
        <f t="shared" si="60"/>
        <v>3</v>
      </c>
      <c r="AG586" s="313">
        <f t="shared" si="60"/>
        <v>0</v>
      </c>
      <c r="AH586" s="313">
        <f t="shared" si="60"/>
        <v>0</v>
      </c>
      <c r="AI586" s="313">
        <f t="shared" si="60"/>
        <v>0</v>
      </c>
      <c r="AJ586" s="313">
        <f t="shared" si="60"/>
        <v>0</v>
      </c>
      <c r="AL586" s="314">
        <f t="shared" si="60"/>
        <v>3868036.7963606138</v>
      </c>
      <c r="AM586" s="314">
        <f t="shared" si="59"/>
        <v>0</v>
      </c>
      <c r="AN586" s="314">
        <f t="shared" si="56"/>
        <v>263812.63948052801</v>
      </c>
      <c r="AO586" s="314">
        <f t="shared" si="56"/>
        <v>0</v>
      </c>
      <c r="AP586" s="314">
        <f t="shared" si="56"/>
        <v>4131849.4358411413</v>
      </c>
      <c r="AR586" s="314">
        <f t="shared" si="56"/>
        <v>0</v>
      </c>
      <c r="AS586" s="314">
        <f t="shared" si="61"/>
        <v>0</v>
      </c>
      <c r="AT586" s="314">
        <f t="shared" si="57"/>
        <v>0</v>
      </c>
      <c r="AU586" s="314">
        <f t="shared" si="57"/>
        <v>0</v>
      </c>
      <c r="AV586" s="314">
        <f t="shared" si="57"/>
        <v>0</v>
      </c>
      <c r="AW586" s="314">
        <f t="shared" si="57"/>
        <v>4131849.4358411413</v>
      </c>
    </row>
    <row r="587" spans="1:49" x14ac:dyDescent="0.25">
      <c r="A587" s="311">
        <v>8979890</v>
      </c>
      <c r="B587" s="311"/>
      <c r="C587" s="315" t="str">
        <f t="shared" si="49"/>
        <v>NZO</v>
      </c>
      <c r="D587" s="315" t="str">
        <f t="shared" si="50"/>
        <v>Denní stacionář</v>
      </c>
      <c r="E587" s="315" t="str">
        <f t="shared" si="51"/>
        <v>Stacionář Cesta Náchod z.ú.</v>
      </c>
      <c r="F587" s="313">
        <f t="shared" si="52"/>
        <v>8979890</v>
      </c>
      <c r="G587" s="313"/>
      <c r="H587" s="313"/>
      <c r="I587" s="313"/>
      <c r="J587" s="313"/>
      <c r="K587" s="313"/>
      <c r="L587" s="313"/>
      <c r="M587" s="313"/>
      <c r="N587" s="313"/>
      <c r="O587" s="313"/>
      <c r="P587" s="313"/>
      <c r="Q587" s="313"/>
      <c r="R587" s="313"/>
      <c r="S587" s="313"/>
      <c r="T587" s="313">
        <f t="shared" si="53"/>
        <v>5.5</v>
      </c>
      <c r="U587" s="313">
        <f t="shared" si="60"/>
        <v>0.5</v>
      </c>
      <c r="V587" s="313">
        <f t="shared" si="60"/>
        <v>5</v>
      </c>
      <c r="W587" s="313">
        <f t="shared" si="60"/>
        <v>0</v>
      </c>
      <c r="X587" s="313">
        <f t="shared" si="60"/>
        <v>0</v>
      </c>
      <c r="Y587" s="313">
        <f t="shared" si="60"/>
        <v>0</v>
      </c>
      <c r="Z587" s="313">
        <f t="shared" si="60"/>
        <v>0</v>
      </c>
      <c r="AA587" s="313">
        <f t="shared" si="60"/>
        <v>17</v>
      </c>
      <c r="AB587" s="313">
        <f t="shared" si="60"/>
        <v>0</v>
      </c>
      <c r="AD587" s="313">
        <f t="shared" si="60"/>
        <v>5.5</v>
      </c>
      <c r="AE587" s="313">
        <f t="shared" si="60"/>
        <v>0.5</v>
      </c>
      <c r="AF587" s="313">
        <f t="shared" si="60"/>
        <v>5</v>
      </c>
      <c r="AG587" s="313">
        <f t="shared" si="60"/>
        <v>0</v>
      </c>
      <c r="AH587" s="313">
        <f t="shared" si="60"/>
        <v>0</v>
      </c>
      <c r="AI587" s="313">
        <f t="shared" si="60"/>
        <v>0</v>
      </c>
      <c r="AJ587" s="313">
        <f t="shared" si="60"/>
        <v>17</v>
      </c>
      <c r="AL587" s="314">
        <f t="shared" si="60"/>
        <v>3920432.5748045384</v>
      </c>
      <c r="AM587" s="314">
        <f t="shared" si="59"/>
        <v>0</v>
      </c>
      <c r="AN587" s="314">
        <f t="shared" si="56"/>
        <v>460616.25057299773</v>
      </c>
      <c r="AO587" s="314">
        <f t="shared" si="56"/>
        <v>90066.967117151406</v>
      </c>
      <c r="AP587" s="314">
        <f t="shared" si="56"/>
        <v>4471115.7924946873</v>
      </c>
      <c r="AR587" s="314">
        <f t="shared" si="56"/>
        <v>674467.32026143791</v>
      </c>
      <c r="AS587" s="314">
        <f t="shared" si="61"/>
        <v>0</v>
      </c>
      <c r="AT587" s="314">
        <f t="shared" si="57"/>
        <v>0</v>
      </c>
      <c r="AU587" s="314">
        <f t="shared" si="57"/>
        <v>92689.230769230766</v>
      </c>
      <c r="AV587" s="314">
        <f t="shared" si="57"/>
        <v>767156.55103066866</v>
      </c>
      <c r="AW587" s="314">
        <f t="shared" si="57"/>
        <v>3703959.2414640188</v>
      </c>
    </row>
    <row r="588" spans="1:49" x14ac:dyDescent="0.25">
      <c r="A588" s="311">
        <v>8982230</v>
      </c>
      <c r="B588" s="311"/>
      <c r="C588" s="315" t="str">
        <f t="shared" si="49"/>
        <v>KHK</v>
      </c>
      <c r="D588" s="315" t="str">
        <f t="shared" si="50"/>
        <v>Sociální služby obce Chomutice - Domov pro seniory</v>
      </c>
      <c r="E588" s="315" t="str">
        <f t="shared" si="51"/>
        <v>Sociální služby obce Chomutice - Domov pro seniory</v>
      </c>
      <c r="F588" s="313">
        <f t="shared" si="52"/>
        <v>8982230</v>
      </c>
      <c r="G588" s="313"/>
      <c r="H588" s="313"/>
      <c r="I588" s="313"/>
      <c r="J588" s="313"/>
      <c r="K588" s="313"/>
      <c r="L588" s="313"/>
      <c r="M588" s="313"/>
      <c r="N588" s="313"/>
      <c r="O588" s="313"/>
      <c r="P588" s="313"/>
      <c r="Q588" s="313"/>
      <c r="R588" s="313"/>
      <c r="S588" s="313"/>
      <c r="T588" s="313">
        <f t="shared" si="53"/>
        <v>15.5</v>
      </c>
      <c r="U588" s="313">
        <f t="shared" si="60"/>
        <v>1</v>
      </c>
      <c r="V588" s="313">
        <f t="shared" si="60"/>
        <v>11</v>
      </c>
      <c r="W588" s="313">
        <f t="shared" si="60"/>
        <v>3.5</v>
      </c>
      <c r="X588" s="313">
        <f t="shared" si="60"/>
        <v>0</v>
      </c>
      <c r="Y588" s="313">
        <f t="shared" si="60"/>
        <v>37</v>
      </c>
      <c r="Z588" s="313">
        <f t="shared" si="60"/>
        <v>0</v>
      </c>
      <c r="AA588" s="313">
        <f t="shared" si="60"/>
        <v>0</v>
      </c>
      <c r="AB588" s="313">
        <f t="shared" si="60"/>
        <v>0</v>
      </c>
      <c r="AD588" s="313">
        <f t="shared" si="60"/>
        <v>15.5</v>
      </c>
      <c r="AE588" s="313">
        <f t="shared" si="60"/>
        <v>1</v>
      </c>
      <c r="AF588" s="313">
        <f t="shared" si="60"/>
        <v>11</v>
      </c>
      <c r="AG588" s="313">
        <f t="shared" si="60"/>
        <v>3.5</v>
      </c>
      <c r="AH588" s="313">
        <f t="shared" si="60"/>
        <v>0</v>
      </c>
      <c r="AI588" s="313">
        <f t="shared" si="60"/>
        <v>37</v>
      </c>
      <c r="AJ588" s="313">
        <f t="shared" si="60"/>
        <v>0</v>
      </c>
      <c r="AL588" s="314">
        <f t="shared" si="60"/>
        <v>7824055.0745526161</v>
      </c>
      <c r="AM588" s="314">
        <f t="shared" si="59"/>
        <v>2837473.4273768477</v>
      </c>
      <c r="AN588" s="314">
        <f t="shared" si="56"/>
        <v>3628798.0606569354</v>
      </c>
      <c r="AO588" s="314">
        <f t="shared" si="56"/>
        <v>2544530.698679328</v>
      </c>
      <c r="AP588" s="314">
        <f t="shared" si="56"/>
        <v>16834857.261265725</v>
      </c>
      <c r="AR588" s="314">
        <f t="shared" si="56"/>
        <v>4154007.9507669467</v>
      </c>
      <c r="AS588" s="314">
        <f t="shared" si="61"/>
        <v>1082060.1441223833</v>
      </c>
      <c r="AT588" s="314">
        <f t="shared" si="57"/>
        <v>2624179.6611505123</v>
      </c>
      <c r="AU588" s="314">
        <f t="shared" si="57"/>
        <v>1882451.3295036766</v>
      </c>
      <c r="AV588" s="314">
        <f t="shared" si="57"/>
        <v>9742699.0855435189</v>
      </c>
      <c r="AW588" s="314">
        <f t="shared" si="57"/>
        <v>7092158.175722206</v>
      </c>
    </row>
    <row r="589" spans="1:49" x14ac:dyDescent="0.25">
      <c r="A589" s="311">
        <v>8984742</v>
      </c>
      <c r="B589" s="311"/>
      <c r="C589" s="315" t="str">
        <f t="shared" si="49"/>
        <v>NZO</v>
      </c>
      <c r="D589" s="315" t="str">
        <f t="shared" si="50"/>
        <v>Občanská poradna Jičín</v>
      </c>
      <c r="E589" s="315" t="str">
        <f t="shared" si="51"/>
        <v>Občanské poradenské středisko, o.p.s.</v>
      </c>
      <c r="F589" s="313">
        <f t="shared" si="52"/>
        <v>8984742</v>
      </c>
      <c r="G589" s="313"/>
      <c r="H589" s="313"/>
      <c r="I589" s="313"/>
      <c r="J589" s="313"/>
      <c r="K589" s="313"/>
      <c r="L589" s="313"/>
      <c r="M589" s="313"/>
      <c r="N589" s="313"/>
      <c r="O589" s="313"/>
      <c r="P589" s="313"/>
      <c r="Q589" s="313"/>
      <c r="R589" s="313"/>
      <c r="S589" s="313"/>
      <c r="T589" s="313">
        <f t="shared" si="53"/>
        <v>1.5</v>
      </c>
      <c r="U589" s="313">
        <f t="shared" si="60"/>
        <v>1</v>
      </c>
      <c r="V589" s="313">
        <f t="shared" si="60"/>
        <v>0</v>
      </c>
      <c r="W589" s="313">
        <f t="shared" si="60"/>
        <v>0</v>
      </c>
      <c r="X589" s="313">
        <f t="shared" si="60"/>
        <v>0.5</v>
      </c>
      <c r="Y589" s="313">
        <f t="shared" si="60"/>
        <v>0</v>
      </c>
      <c r="Z589" s="313">
        <f t="shared" si="60"/>
        <v>8</v>
      </c>
      <c r="AA589" s="313">
        <f t="shared" si="60"/>
        <v>0</v>
      </c>
      <c r="AB589" s="313">
        <f t="shared" si="60"/>
        <v>0</v>
      </c>
      <c r="AD589" s="313">
        <f t="shared" si="60"/>
        <v>1.5</v>
      </c>
      <c r="AE589" s="313">
        <f t="shared" si="60"/>
        <v>1</v>
      </c>
      <c r="AF589" s="313">
        <f t="shared" si="60"/>
        <v>0</v>
      </c>
      <c r="AG589" s="313">
        <f t="shared" si="60"/>
        <v>0</v>
      </c>
      <c r="AH589" s="313">
        <f t="shared" si="60"/>
        <v>0.5</v>
      </c>
      <c r="AI589" s="313">
        <f t="shared" si="60"/>
        <v>0</v>
      </c>
      <c r="AJ589" s="313">
        <f t="shared" si="60"/>
        <v>0</v>
      </c>
      <c r="AL589" s="314">
        <f t="shared" si="60"/>
        <v>998818.86899641552</v>
      </c>
      <c r="AM589" s="314">
        <f t="shared" si="59"/>
        <v>0</v>
      </c>
      <c r="AN589" s="314">
        <f t="shared" si="56"/>
        <v>69310.215917682479</v>
      </c>
      <c r="AO589" s="314">
        <f t="shared" si="56"/>
        <v>0</v>
      </c>
      <c r="AP589" s="314">
        <f t="shared" si="56"/>
        <v>1068129.084914098</v>
      </c>
      <c r="AR589" s="314">
        <f t="shared" si="56"/>
        <v>0</v>
      </c>
      <c r="AS589" s="314">
        <f t="shared" si="61"/>
        <v>0</v>
      </c>
      <c r="AT589" s="314">
        <f t="shared" si="57"/>
        <v>0</v>
      </c>
      <c r="AU589" s="314">
        <f t="shared" si="57"/>
        <v>0</v>
      </c>
      <c r="AV589" s="314">
        <f t="shared" si="57"/>
        <v>0</v>
      </c>
      <c r="AW589" s="314">
        <f t="shared" si="57"/>
        <v>1068129.084914098</v>
      </c>
    </row>
    <row r="590" spans="1:49" x14ac:dyDescent="0.25">
      <c r="A590" s="311">
        <v>9064643</v>
      </c>
      <c r="B590" s="311"/>
      <c r="C590" s="315" t="str">
        <f t="shared" si="49"/>
        <v>NZO</v>
      </c>
      <c r="D590" s="315" t="str">
        <f t="shared" si="50"/>
        <v>SV. ANNA Domov pro matky s dětmi Náchod</v>
      </c>
      <c r="E590" s="315" t="str">
        <f t="shared" si="51"/>
        <v>Oblastní charita Náchod</v>
      </c>
      <c r="F590" s="313">
        <f t="shared" si="52"/>
        <v>9064643</v>
      </c>
      <c r="G590" s="313"/>
      <c r="H590" s="313"/>
      <c r="I590" s="313"/>
      <c r="J590" s="313"/>
      <c r="K590" s="313"/>
      <c r="L590" s="313"/>
      <c r="M590" s="313"/>
      <c r="N590" s="313"/>
      <c r="O590" s="313"/>
      <c r="P590" s="313"/>
      <c r="Q590" s="313"/>
      <c r="R590" s="313"/>
      <c r="S590" s="313"/>
      <c r="T590" s="313">
        <f t="shared" si="53"/>
        <v>7</v>
      </c>
      <c r="U590" s="313">
        <f t="shared" si="60"/>
        <v>1.5</v>
      </c>
      <c r="V590" s="313">
        <f t="shared" si="60"/>
        <v>5</v>
      </c>
      <c r="W590" s="313">
        <f t="shared" si="60"/>
        <v>0</v>
      </c>
      <c r="X590" s="313">
        <f t="shared" si="60"/>
        <v>0.5</v>
      </c>
      <c r="Y590" s="313">
        <f t="shared" si="60"/>
        <v>72</v>
      </c>
      <c r="Z590" s="313">
        <f t="shared" si="60"/>
        <v>0</v>
      </c>
      <c r="AA590" s="313">
        <f t="shared" si="60"/>
        <v>0</v>
      </c>
      <c r="AB590" s="313">
        <f t="shared" si="60"/>
        <v>0</v>
      </c>
      <c r="AD590" s="313">
        <f t="shared" si="60"/>
        <v>7</v>
      </c>
      <c r="AE590" s="313">
        <f t="shared" si="60"/>
        <v>1.5</v>
      </c>
      <c r="AF590" s="313">
        <f t="shared" si="60"/>
        <v>5</v>
      </c>
      <c r="AG590" s="313">
        <f t="shared" si="60"/>
        <v>0</v>
      </c>
      <c r="AH590" s="313">
        <f t="shared" si="60"/>
        <v>0.5</v>
      </c>
      <c r="AI590" s="313">
        <f t="shared" si="60"/>
        <v>72</v>
      </c>
      <c r="AJ590" s="313">
        <f t="shared" si="60"/>
        <v>0</v>
      </c>
      <c r="AL590" s="314">
        <f t="shared" ref="AL590:AW605" si="62">SUMIFS(AL$4:AL$337,$A$4:$A$337,$A590)</f>
        <v>4344014.900316841</v>
      </c>
      <c r="AM590" s="314">
        <f t="shared" si="62"/>
        <v>0</v>
      </c>
      <c r="AN590" s="314">
        <f t="shared" si="62"/>
        <v>1877020.5823676519</v>
      </c>
      <c r="AO590" s="314">
        <f t="shared" si="62"/>
        <v>0</v>
      </c>
      <c r="AP590" s="314">
        <f t="shared" si="62"/>
        <v>6221035.4826844931</v>
      </c>
      <c r="AR590" s="314">
        <f t="shared" si="62"/>
        <v>0</v>
      </c>
      <c r="AS590" s="314">
        <f t="shared" si="62"/>
        <v>0</v>
      </c>
      <c r="AT590" s="314">
        <f t="shared" si="62"/>
        <v>1636928.4000000001</v>
      </c>
      <c r="AU590" s="314">
        <f t="shared" si="62"/>
        <v>0</v>
      </c>
      <c r="AV590" s="314">
        <f t="shared" si="62"/>
        <v>1636928.4000000001</v>
      </c>
      <c r="AW590" s="314">
        <f t="shared" si="62"/>
        <v>4584107.0826844927</v>
      </c>
    </row>
    <row r="591" spans="1:49" x14ac:dyDescent="0.25">
      <c r="A591" s="311">
        <v>9097155</v>
      </c>
      <c r="B591" s="311"/>
      <c r="C591" s="315" t="str">
        <f t="shared" si="49"/>
        <v>NZO</v>
      </c>
      <c r="D591" s="315" t="str">
        <f t="shared" si="50"/>
        <v>Obecný zájem, z. ú.</v>
      </c>
      <c r="E591" s="315" t="str">
        <f t="shared" si="51"/>
        <v>Obecný zájem, z.ú.</v>
      </c>
      <c r="F591" s="313">
        <f t="shared" si="52"/>
        <v>9097155</v>
      </c>
      <c r="G591" s="313"/>
      <c r="H591" s="313"/>
      <c r="I591" s="313"/>
      <c r="J591" s="313"/>
      <c r="K591" s="313"/>
      <c r="L591" s="313"/>
      <c r="M591" s="313"/>
      <c r="N591" s="313"/>
      <c r="O591" s="313"/>
      <c r="P591" s="313"/>
      <c r="Q591" s="313"/>
      <c r="R591" s="313"/>
      <c r="S591" s="313"/>
      <c r="T591" s="313">
        <f t="shared" si="53"/>
        <v>8.9</v>
      </c>
      <c r="U591" s="313">
        <f t="shared" ref="U591:AR606" si="63">SUMIFS(U$4:U$337,$A$4:$A$337,$A591)</f>
        <v>1.1499999999999999</v>
      </c>
      <c r="V591" s="313">
        <f t="shared" si="63"/>
        <v>7.75</v>
      </c>
      <c r="W591" s="313">
        <f t="shared" si="63"/>
        <v>0</v>
      </c>
      <c r="X591" s="313">
        <f t="shared" si="63"/>
        <v>0</v>
      </c>
      <c r="Y591" s="313">
        <f t="shared" si="63"/>
        <v>0</v>
      </c>
      <c r="Z591" s="313">
        <f t="shared" si="63"/>
        <v>85</v>
      </c>
      <c r="AA591" s="313">
        <f t="shared" si="63"/>
        <v>0</v>
      </c>
      <c r="AB591" s="313">
        <f t="shared" si="63"/>
        <v>0</v>
      </c>
      <c r="AD591" s="313">
        <f t="shared" si="63"/>
        <v>8.9</v>
      </c>
      <c r="AE591" s="313">
        <f t="shared" si="63"/>
        <v>1.1499999999999999</v>
      </c>
      <c r="AF591" s="313">
        <f t="shared" si="63"/>
        <v>7.75</v>
      </c>
      <c r="AG591" s="313">
        <f t="shared" si="63"/>
        <v>0</v>
      </c>
      <c r="AH591" s="313">
        <f t="shared" si="63"/>
        <v>0</v>
      </c>
      <c r="AI591" s="313">
        <f t="shared" si="63"/>
        <v>0</v>
      </c>
      <c r="AJ591" s="313">
        <f t="shared" si="63"/>
        <v>0</v>
      </c>
      <c r="AL591" s="314">
        <f t="shared" si="63"/>
        <v>4915986.2097074846</v>
      </c>
      <c r="AM591" s="314">
        <f t="shared" si="63"/>
        <v>0</v>
      </c>
      <c r="AN591" s="314">
        <f t="shared" si="63"/>
        <v>372381.0290166164</v>
      </c>
      <c r="AO591" s="314">
        <f t="shared" si="63"/>
        <v>0</v>
      </c>
      <c r="AP591" s="314">
        <f t="shared" si="63"/>
        <v>5288367.2387241013</v>
      </c>
      <c r="AR591" s="314">
        <f t="shared" si="63"/>
        <v>1075353.0735294118</v>
      </c>
      <c r="AS591" s="314">
        <f t="shared" si="62"/>
        <v>0</v>
      </c>
      <c r="AT591" s="314">
        <f t="shared" si="62"/>
        <v>0</v>
      </c>
      <c r="AU591" s="314">
        <f t="shared" si="62"/>
        <v>0</v>
      </c>
      <c r="AV591" s="314">
        <f t="shared" si="62"/>
        <v>1075353.0735294118</v>
      </c>
      <c r="AW591" s="314">
        <f t="shared" si="62"/>
        <v>4213014.1651946893</v>
      </c>
    </row>
    <row r="592" spans="1:49" x14ac:dyDescent="0.25">
      <c r="A592" s="311">
        <v>9142033</v>
      </c>
      <c r="B592" s="311"/>
      <c r="C592" s="315" t="str">
        <f t="shared" si="49"/>
        <v>NZO</v>
      </c>
      <c r="D592" s="315" t="str">
        <f t="shared" si="50"/>
        <v>Oblastní nemocnice Náchod a.s.</v>
      </c>
      <c r="E592" s="315" t="str">
        <f t="shared" si="51"/>
        <v>Oblastní nemocnice Náchod a.s.</v>
      </c>
      <c r="F592" s="313">
        <f t="shared" si="52"/>
        <v>9142033</v>
      </c>
      <c r="G592" s="313"/>
      <c r="H592" s="313"/>
      <c r="I592" s="313"/>
      <c r="J592" s="313"/>
      <c r="K592" s="313"/>
      <c r="L592" s="313"/>
      <c r="M592" s="313"/>
      <c r="N592" s="313"/>
      <c r="O592" s="313"/>
      <c r="P592" s="313"/>
      <c r="Q592" s="313"/>
      <c r="R592" s="313"/>
      <c r="S592" s="313"/>
      <c r="T592" s="313">
        <f t="shared" si="53"/>
        <v>21</v>
      </c>
      <c r="U592" s="313">
        <f t="shared" si="63"/>
        <v>1.5</v>
      </c>
      <c r="V592" s="313">
        <f t="shared" si="63"/>
        <v>18</v>
      </c>
      <c r="W592" s="313">
        <f t="shared" si="63"/>
        <v>1.5</v>
      </c>
      <c r="X592" s="313">
        <f t="shared" si="63"/>
        <v>0</v>
      </c>
      <c r="Y592" s="313">
        <f t="shared" si="63"/>
        <v>25</v>
      </c>
      <c r="Z592" s="313">
        <f t="shared" si="63"/>
        <v>0</v>
      </c>
      <c r="AA592" s="313">
        <f t="shared" si="63"/>
        <v>0</v>
      </c>
      <c r="AB592" s="313">
        <f t="shared" si="63"/>
        <v>0</v>
      </c>
      <c r="AD592" s="313">
        <f t="shared" si="63"/>
        <v>21</v>
      </c>
      <c r="AE592" s="313">
        <f t="shared" si="63"/>
        <v>1.5</v>
      </c>
      <c r="AF592" s="313">
        <f t="shared" si="63"/>
        <v>18</v>
      </c>
      <c r="AG592" s="313">
        <f t="shared" si="63"/>
        <v>1.5</v>
      </c>
      <c r="AH592" s="313">
        <f t="shared" si="63"/>
        <v>0</v>
      </c>
      <c r="AI592" s="313">
        <f t="shared" si="63"/>
        <v>25</v>
      </c>
      <c r="AJ592" s="313">
        <f t="shared" si="63"/>
        <v>0</v>
      </c>
      <c r="AL592" s="314">
        <f t="shared" si="63"/>
        <v>9213037.2785448618</v>
      </c>
      <c r="AM592" s="314">
        <f t="shared" si="63"/>
        <v>801055.39167240378</v>
      </c>
      <c r="AN592" s="314">
        <f t="shared" si="63"/>
        <v>1229074.0355450504</v>
      </c>
      <c r="AO592" s="314">
        <f t="shared" si="63"/>
        <v>809511.41070844489</v>
      </c>
      <c r="AP592" s="314">
        <f t="shared" si="63"/>
        <v>12052678.116470762</v>
      </c>
      <c r="AR592" s="314">
        <f t="shared" si="63"/>
        <v>1734660.4166666665</v>
      </c>
      <c r="AS592" s="314">
        <f t="shared" si="62"/>
        <v>153784.72222222222</v>
      </c>
      <c r="AT592" s="314">
        <f t="shared" si="62"/>
        <v>1193629.1666666667</v>
      </c>
      <c r="AU592" s="314">
        <f t="shared" si="62"/>
        <v>848124.58333333349</v>
      </c>
      <c r="AV592" s="314">
        <f t="shared" si="62"/>
        <v>3930198.888888889</v>
      </c>
      <c r="AW592" s="314">
        <f t="shared" si="62"/>
        <v>8122479.2275818726</v>
      </c>
    </row>
    <row r="593" spans="1:49" x14ac:dyDescent="0.25">
      <c r="A593" s="311">
        <v>9196018</v>
      </c>
      <c r="B593" s="311"/>
      <c r="C593" s="315" t="str">
        <f t="shared" si="49"/>
        <v>Obce</v>
      </c>
      <c r="D593" s="315" t="str">
        <f t="shared" si="50"/>
        <v>Pečovatelská služba Kvasiny</v>
      </c>
      <c r="E593" s="315" t="str">
        <f t="shared" si="51"/>
        <v>Obec Kvasiny</v>
      </c>
      <c r="F593" s="313">
        <f t="shared" si="52"/>
        <v>9196018</v>
      </c>
      <c r="G593" s="313"/>
      <c r="H593" s="313"/>
      <c r="I593" s="313"/>
      <c r="J593" s="313"/>
      <c r="K593" s="313"/>
      <c r="L593" s="313"/>
      <c r="M593" s="313"/>
      <c r="N593" s="313"/>
      <c r="O593" s="313"/>
      <c r="P593" s="313"/>
      <c r="Q593" s="313"/>
      <c r="R593" s="313"/>
      <c r="S593" s="313"/>
      <c r="T593" s="313">
        <f t="shared" si="53"/>
        <v>3.8439999999999999</v>
      </c>
      <c r="U593" s="313">
        <f t="shared" si="63"/>
        <v>9.4E-2</v>
      </c>
      <c r="V593" s="313">
        <f t="shared" si="63"/>
        <v>3.75</v>
      </c>
      <c r="W593" s="313">
        <f t="shared" si="63"/>
        <v>0</v>
      </c>
      <c r="X593" s="313">
        <f t="shared" si="63"/>
        <v>0</v>
      </c>
      <c r="Y593" s="313">
        <f t="shared" si="63"/>
        <v>0</v>
      </c>
      <c r="Z593" s="313">
        <f t="shared" si="63"/>
        <v>60</v>
      </c>
      <c r="AA593" s="313">
        <f t="shared" si="63"/>
        <v>0</v>
      </c>
      <c r="AB593" s="313">
        <f t="shared" si="63"/>
        <v>0</v>
      </c>
      <c r="AD593" s="313">
        <f t="shared" si="63"/>
        <v>3.8439999999999999</v>
      </c>
      <c r="AE593" s="313">
        <f t="shared" si="63"/>
        <v>9.4E-2</v>
      </c>
      <c r="AF593" s="313">
        <f t="shared" si="63"/>
        <v>3.75</v>
      </c>
      <c r="AG593" s="313">
        <f t="shared" si="63"/>
        <v>0</v>
      </c>
      <c r="AH593" s="313">
        <f t="shared" si="63"/>
        <v>0</v>
      </c>
      <c r="AI593" s="313">
        <f t="shared" si="63"/>
        <v>0</v>
      </c>
      <c r="AJ593" s="313">
        <f t="shared" si="63"/>
        <v>0</v>
      </c>
      <c r="AL593" s="314">
        <f t="shared" si="63"/>
        <v>2123264.1561927604</v>
      </c>
      <c r="AM593" s="314">
        <f t="shared" si="63"/>
        <v>0</v>
      </c>
      <c r="AN593" s="314">
        <f t="shared" si="63"/>
        <v>160835.13208313184</v>
      </c>
      <c r="AO593" s="314">
        <f t="shared" si="63"/>
        <v>0</v>
      </c>
      <c r="AP593" s="314">
        <f t="shared" si="63"/>
        <v>2284099.2882758924</v>
      </c>
      <c r="AR593" s="314">
        <f t="shared" si="63"/>
        <v>520332.1323529412</v>
      </c>
      <c r="AS593" s="314">
        <f t="shared" si="62"/>
        <v>0</v>
      </c>
      <c r="AT593" s="314">
        <f t="shared" si="62"/>
        <v>0</v>
      </c>
      <c r="AU593" s="314">
        <f t="shared" si="62"/>
        <v>0</v>
      </c>
      <c r="AV593" s="314">
        <f t="shared" si="62"/>
        <v>520332.1323529412</v>
      </c>
      <c r="AW593" s="314">
        <f t="shared" si="62"/>
        <v>1763767.1559229512</v>
      </c>
    </row>
    <row r="594" spans="1:49" x14ac:dyDescent="0.25">
      <c r="A594" s="311">
        <v>9199716</v>
      </c>
      <c r="B594" s="311"/>
      <c r="C594" s="315" t="str">
        <f t="shared" si="49"/>
        <v>Obce</v>
      </c>
      <c r="D594" s="315" t="str">
        <f t="shared" si="50"/>
        <v>DUHA o. p. s. - pečovatelská služba</v>
      </c>
      <c r="E594" s="315" t="str">
        <f t="shared" si="51"/>
        <v>DUHA o. p. s.</v>
      </c>
      <c r="F594" s="313">
        <f t="shared" si="52"/>
        <v>9199716</v>
      </c>
      <c r="G594" s="313"/>
      <c r="H594" s="313"/>
      <c r="I594" s="313"/>
      <c r="J594" s="313"/>
      <c r="K594" s="313"/>
      <c r="L594" s="313"/>
      <c r="M594" s="313"/>
      <c r="N594" s="313"/>
      <c r="O594" s="313"/>
      <c r="P594" s="313"/>
      <c r="Q594" s="313"/>
      <c r="R594" s="313"/>
      <c r="S594" s="313"/>
      <c r="T594" s="313">
        <f t="shared" si="53"/>
        <v>7.48</v>
      </c>
      <c r="U594" s="313">
        <f t="shared" si="63"/>
        <v>0.375</v>
      </c>
      <c r="V594" s="313">
        <f t="shared" si="63"/>
        <v>7.1</v>
      </c>
      <c r="W594" s="313">
        <f t="shared" si="63"/>
        <v>0</v>
      </c>
      <c r="X594" s="313">
        <f t="shared" si="63"/>
        <v>0</v>
      </c>
      <c r="Y594" s="313">
        <f t="shared" si="63"/>
        <v>0</v>
      </c>
      <c r="Z594" s="313">
        <f t="shared" si="63"/>
        <v>80</v>
      </c>
      <c r="AA594" s="313">
        <f t="shared" si="63"/>
        <v>0</v>
      </c>
      <c r="AB594" s="313">
        <f t="shared" si="63"/>
        <v>0</v>
      </c>
      <c r="AD594" s="313">
        <f t="shared" si="63"/>
        <v>7.48</v>
      </c>
      <c r="AE594" s="313">
        <f t="shared" si="63"/>
        <v>0.375</v>
      </c>
      <c r="AF594" s="313">
        <f t="shared" si="63"/>
        <v>7.1</v>
      </c>
      <c r="AG594" s="313">
        <f t="shared" si="63"/>
        <v>0</v>
      </c>
      <c r="AH594" s="313">
        <f t="shared" si="63"/>
        <v>0</v>
      </c>
      <c r="AI594" s="313">
        <f t="shared" si="63"/>
        <v>0</v>
      </c>
      <c r="AJ594" s="313">
        <f t="shared" si="63"/>
        <v>0</v>
      </c>
      <c r="AL594" s="314">
        <f t="shared" si="63"/>
        <v>4131637.8481586501</v>
      </c>
      <c r="AM594" s="314">
        <f t="shared" si="63"/>
        <v>0</v>
      </c>
      <c r="AN594" s="314">
        <f t="shared" si="63"/>
        <v>312967.42663418996</v>
      </c>
      <c r="AO594" s="314">
        <f t="shared" si="63"/>
        <v>0</v>
      </c>
      <c r="AP594" s="314">
        <f t="shared" si="63"/>
        <v>4444605.2747928398</v>
      </c>
      <c r="AR594" s="314">
        <f t="shared" si="63"/>
        <v>985162.17058823525</v>
      </c>
      <c r="AS594" s="314">
        <f t="shared" si="62"/>
        <v>0</v>
      </c>
      <c r="AT594" s="314">
        <f t="shared" si="62"/>
        <v>0</v>
      </c>
      <c r="AU594" s="314">
        <f t="shared" si="62"/>
        <v>0</v>
      </c>
      <c r="AV594" s="314">
        <f t="shared" si="62"/>
        <v>985162.17058823525</v>
      </c>
      <c r="AW594" s="314">
        <f t="shared" si="62"/>
        <v>3459443.1042046044</v>
      </c>
    </row>
    <row r="595" spans="1:49" x14ac:dyDescent="0.25">
      <c r="A595" s="311">
        <v>9223303</v>
      </c>
      <c r="B595" s="311"/>
      <c r="C595" s="315" t="str">
        <f t="shared" si="49"/>
        <v>NZO</v>
      </c>
      <c r="D595" s="315" t="str">
        <f t="shared" si="50"/>
        <v>Život bez bariér, z.ú</v>
      </c>
      <c r="E595" s="315" t="str">
        <f t="shared" si="51"/>
        <v>Život bez bariér, z. ú.</v>
      </c>
      <c r="F595" s="313">
        <f t="shared" si="52"/>
        <v>9223303</v>
      </c>
      <c r="G595" s="313"/>
      <c r="H595" s="313"/>
      <c r="I595" s="313"/>
      <c r="J595" s="313"/>
      <c r="K595" s="313"/>
      <c r="L595" s="313"/>
      <c r="M595" s="313"/>
      <c r="N595" s="313"/>
      <c r="O595" s="313"/>
      <c r="P595" s="313"/>
      <c r="Q595" s="313"/>
      <c r="R595" s="313"/>
      <c r="S595" s="313"/>
      <c r="T595" s="313">
        <f t="shared" si="53"/>
        <v>0.4</v>
      </c>
      <c r="U595" s="313">
        <f t="shared" si="63"/>
        <v>0.4</v>
      </c>
      <c r="V595" s="313">
        <f t="shared" si="63"/>
        <v>0</v>
      </c>
      <c r="W595" s="313">
        <f t="shared" si="63"/>
        <v>0</v>
      </c>
      <c r="X595" s="313">
        <f t="shared" si="63"/>
        <v>0</v>
      </c>
      <c r="Y595" s="313">
        <f t="shared" si="63"/>
        <v>0</v>
      </c>
      <c r="Z595" s="313">
        <f t="shared" si="63"/>
        <v>10</v>
      </c>
      <c r="AA595" s="313">
        <f t="shared" si="63"/>
        <v>0</v>
      </c>
      <c r="AB595" s="313">
        <f t="shared" si="63"/>
        <v>0</v>
      </c>
      <c r="AD595" s="313">
        <f t="shared" si="63"/>
        <v>0.4</v>
      </c>
      <c r="AE595" s="313">
        <f t="shared" si="63"/>
        <v>0.4</v>
      </c>
      <c r="AF595" s="313">
        <f t="shared" si="63"/>
        <v>0</v>
      </c>
      <c r="AG595" s="313">
        <f t="shared" si="63"/>
        <v>0</v>
      </c>
      <c r="AH595" s="313">
        <f t="shared" si="63"/>
        <v>0</v>
      </c>
      <c r="AI595" s="313">
        <f t="shared" si="63"/>
        <v>0</v>
      </c>
      <c r="AJ595" s="313">
        <f t="shared" si="63"/>
        <v>0</v>
      </c>
      <c r="AL595" s="314">
        <f t="shared" si="63"/>
        <v>266351.69839904417</v>
      </c>
      <c r="AM595" s="314">
        <f t="shared" si="63"/>
        <v>0</v>
      </c>
      <c r="AN595" s="314">
        <f t="shared" si="63"/>
        <v>18482.724244715326</v>
      </c>
      <c r="AO595" s="314">
        <f t="shared" si="63"/>
        <v>0</v>
      </c>
      <c r="AP595" s="314">
        <f t="shared" si="63"/>
        <v>284834.42264375952</v>
      </c>
      <c r="AR595" s="314">
        <f t="shared" si="63"/>
        <v>0</v>
      </c>
      <c r="AS595" s="314">
        <f t="shared" si="62"/>
        <v>0</v>
      </c>
      <c r="AT595" s="314">
        <f t="shared" si="62"/>
        <v>0</v>
      </c>
      <c r="AU595" s="314">
        <f t="shared" si="62"/>
        <v>0</v>
      </c>
      <c r="AV595" s="314">
        <f t="shared" si="62"/>
        <v>0</v>
      </c>
      <c r="AW595" s="314">
        <f t="shared" si="62"/>
        <v>284834.42264375952</v>
      </c>
    </row>
    <row r="596" spans="1:49" x14ac:dyDescent="0.25">
      <c r="A596" s="311">
        <v>9223411</v>
      </c>
      <c r="B596" s="311"/>
      <c r="C596" s="315" t="str">
        <f t="shared" si="49"/>
        <v>NZO</v>
      </c>
      <c r="D596" s="315" t="str">
        <f t="shared" si="50"/>
        <v>Diakonie ČCE - středisko BETANIE - evangelický domov v Náchodě</v>
      </c>
      <c r="E596" s="315" t="str">
        <f t="shared" si="51"/>
        <v>Diakonie ČCE - středisko BETANIE - evangelický domov v Náchodě</v>
      </c>
      <c r="F596" s="313">
        <f t="shared" si="52"/>
        <v>9223411</v>
      </c>
      <c r="G596" s="313"/>
      <c r="H596" s="313"/>
      <c r="I596" s="313"/>
      <c r="J596" s="313"/>
      <c r="K596" s="313"/>
      <c r="L596" s="313"/>
      <c r="M596" s="313"/>
      <c r="N596" s="313"/>
      <c r="O596" s="313"/>
      <c r="P596" s="313"/>
      <c r="Q596" s="313"/>
      <c r="R596" s="313"/>
      <c r="S596" s="313"/>
      <c r="T596" s="313">
        <f t="shared" si="53"/>
        <v>4.05</v>
      </c>
      <c r="U596" s="313">
        <f t="shared" si="63"/>
        <v>0.75</v>
      </c>
      <c r="V596" s="313">
        <f t="shared" si="63"/>
        <v>1.65</v>
      </c>
      <c r="W596" s="313">
        <f t="shared" si="63"/>
        <v>1.65</v>
      </c>
      <c r="X596" s="313">
        <f t="shared" si="63"/>
        <v>0</v>
      </c>
      <c r="Y596" s="313">
        <f t="shared" si="63"/>
        <v>4</v>
      </c>
      <c r="Z596" s="313">
        <f t="shared" si="63"/>
        <v>0</v>
      </c>
      <c r="AA596" s="313">
        <f t="shared" si="63"/>
        <v>0</v>
      </c>
      <c r="AB596" s="313">
        <f t="shared" si="63"/>
        <v>0</v>
      </c>
      <c r="AD596" s="313">
        <f t="shared" si="63"/>
        <v>4.05</v>
      </c>
      <c r="AE596" s="313">
        <f t="shared" si="63"/>
        <v>0.75</v>
      </c>
      <c r="AF596" s="313">
        <f t="shared" si="63"/>
        <v>1.65</v>
      </c>
      <c r="AG596" s="313">
        <f t="shared" si="63"/>
        <v>1.65</v>
      </c>
      <c r="AH596" s="313">
        <f t="shared" si="63"/>
        <v>0</v>
      </c>
      <c r="AI596" s="313">
        <f t="shared" si="63"/>
        <v>4</v>
      </c>
      <c r="AJ596" s="313">
        <f t="shared" si="63"/>
        <v>0</v>
      </c>
      <c r="AL596" s="314">
        <f t="shared" si="63"/>
        <v>2285208.0269276439</v>
      </c>
      <c r="AM596" s="314">
        <f t="shared" si="63"/>
        <v>0</v>
      </c>
      <c r="AN596" s="314">
        <f t="shared" si="63"/>
        <v>219129.03235083932</v>
      </c>
      <c r="AO596" s="314">
        <f t="shared" si="63"/>
        <v>120090.81928999982</v>
      </c>
      <c r="AP596" s="314">
        <f t="shared" si="63"/>
        <v>2624427.8785684831</v>
      </c>
      <c r="AR596" s="314">
        <f t="shared" si="63"/>
        <v>420355.06020807201</v>
      </c>
      <c r="AS596" s="314">
        <f t="shared" si="62"/>
        <v>0</v>
      </c>
      <c r="AT596" s="314">
        <f t="shared" si="62"/>
        <v>153821.25</v>
      </c>
      <c r="AU596" s="314">
        <f t="shared" si="62"/>
        <v>95581.8</v>
      </c>
      <c r="AV596" s="314">
        <f t="shared" si="62"/>
        <v>669758.110208072</v>
      </c>
      <c r="AW596" s="314">
        <f t="shared" si="62"/>
        <v>1954669.768360411</v>
      </c>
    </row>
    <row r="597" spans="1:49" x14ac:dyDescent="0.25">
      <c r="A597" s="311">
        <v>9264829</v>
      </c>
      <c r="B597" s="311"/>
      <c r="C597" s="315" t="str">
        <f t="shared" si="49"/>
        <v>NZO</v>
      </c>
      <c r="D597" s="315" t="str">
        <f t="shared" si="50"/>
        <v>Diakonie ČCE - středisko BETANIE - evangelický domov v Náchodě</v>
      </c>
      <c r="E597" s="315" t="str">
        <f t="shared" si="51"/>
        <v>Diakonie ČCE - středisko BETANIE - evangelický domov v Náchodě</v>
      </c>
      <c r="F597" s="313">
        <f t="shared" si="52"/>
        <v>9264829</v>
      </c>
      <c r="G597" s="313"/>
      <c r="H597" s="313"/>
      <c r="I597" s="313"/>
      <c r="J597" s="313"/>
      <c r="K597" s="313"/>
      <c r="L597" s="313"/>
      <c r="M597" s="313"/>
      <c r="N597" s="313"/>
      <c r="O597" s="313"/>
      <c r="P597" s="313"/>
      <c r="Q597" s="313"/>
      <c r="R597" s="313"/>
      <c r="S597" s="313"/>
      <c r="T597" s="313">
        <f t="shared" si="53"/>
        <v>13.95</v>
      </c>
      <c r="U597" s="313">
        <f t="shared" si="63"/>
        <v>0.75</v>
      </c>
      <c r="V597" s="313">
        <f t="shared" si="63"/>
        <v>6.6</v>
      </c>
      <c r="W597" s="313">
        <f t="shared" si="63"/>
        <v>6.6</v>
      </c>
      <c r="X597" s="313">
        <f t="shared" si="63"/>
        <v>0</v>
      </c>
      <c r="Y597" s="313">
        <f t="shared" si="63"/>
        <v>16</v>
      </c>
      <c r="Z597" s="313">
        <f t="shared" si="63"/>
        <v>0</v>
      </c>
      <c r="AA597" s="313">
        <f t="shared" si="63"/>
        <v>0</v>
      </c>
      <c r="AB597" s="313">
        <f t="shared" si="63"/>
        <v>0</v>
      </c>
      <c r="AD597" s="313">
        <f t="shared" si="63"/>
        <v>13.95</v>
      </c>
      <c r="AE597" s="313">
        <f t="shared" si="63"/>
        <v>0.75</v>
      </c>
      <c r="AF597" s="313">
        <f t="shared" si="63"/>
        <v>6.6</v>
      </c>
      <c r="AG597" s="313">
        <f t="shared" si="63"/>
        <v>6.6</v>
      </c>
      <c r="AH597" s="313">
        <f t="shared" si="63"/>
        <v>0</v>
      </c>
      <c r="AI597" s="313">
        <f t="shared" si="63"/>
        <v>16</v>
      </c>
      <c r="AJ597" s="313">
        <f t="shared" si="63"/>
        <v>0</v>
      </c>
      <c r="AL597" s="314">
        <f t="shared" si="63"/>
        <v>4700380.2841110844</v>
      </c>
      <c r="AM597" s="314">
        <f t="shared" si="63"/>
        <v>5355437.7880708175</v>
      </c>
      <c r="AN597" s="314">
        <f t="shared" si="63"/>
        <v>1632783.7699234525</v>
      </c>
      <c r="AO597" s="314">
        <f t="shared" si="63"/>
        <v>1048784.0591598696</v>
      </c>
      <c r="AP597" s="314">
        <f t="shared" si="63"/>
        <v>12737385.901265224</v>
      </c>
      <c r="AR597" s="314">
        <f t="shared" si="63"/>
        <v>1697925.6941176471</v>
      </c>
      <c r="AS597" s="314">
        <f t="shared" si="62"/>
        <v>421595.60784313723</v>
      </c>
      <c r="AT597" s="314">
        <f t="shared" si="62"/>
        <v>765364.21052631584</v>
      </c>
      <c r="AU597" s="314">
        <f t="shared" si="62"/>
        <v>724314.4</v>
      </c>
      <c r="AV597" s="314">
        <f t="shared" si="62"/>
        <v>3609199.9124871003</v>
      </c>
      <c r="AW597" s="314">
        <f t="shared" si="62"/>
        <v>9128185.9887781236</v>
      </c>
    </row>
    <row r="598" spans="1:49" x14ac:dyDescent="0.25">
      <c r="A598" s="311">
        <v>9268423</v>
      </c>
      <c r="B598" s="311"/>
      <c r="C598" s="315" t="str">
        <f t="shared" si="49"/>
        <v>NZO</v>
      </c>
      <c r="D598" s="315" t="str">
        <f t="shared" si="50"/>
        <v>Věra Kosinová - Daneta, zařízení pro zdravotně postižené</v>
      </c>
      <c r="E598" s="315" t="str">
        <f t="shared" si="51"/>
        <v>Věra Kosinová - Daneta, zařízení pro zdravotně postižené</v>
      </c>
      <c r="F598" s="313">
        <f t="shared" si="52"/>
        <v>9268423</v>
      </c>
      <c r="G598" s="313"/>
      <c r="H598" s="313"/>
      <c r="I598" s="313"/>
      <c r="J598" s="313"/>
      <c r="K598" s="313"/>
      <c r="L598" s="313"/>
      <c r="M598" s="313"/>
      <c r="N598" s="313"/>
      <c r="O598" s="313"/>
      <c r="P598" s="313"/>
      <c r="Q598" s="313"/>
      <c r="R598" s="313"/>
      <c r="S598" s="313"/>
      <c r="T598" s="313">
        <f t="shared" si="53"/>
        <v>17.399999999999999</v>
      </c>
      <c r="U598" s="313">
        <f t="shared" si="63"/>
        <v>0.7</v>
      </c>
      <c r="V598" s="313">
        <f t="shared" si="63"/>
        <v>12.43</v>
      </c>
      <c r="W598" s="313">
        <f t="shared" si="63"/>
        <v>0</v>
      </c>
      <c r="X598" s="313">
        <f t="shared" si="63"/>
        <v>4.2699999999999996</v>
      </c>
      <c r="Y598" s="313">
        <f t="shared" si="63"/>
        <v>0</v>
      </c>
      <c r="Z598" s="313">
        <f t="shared" si="63"/>
        <v>0</v>
      </c>
      <c r="AA598" s="313">
        <f t="shared" si="63"/>
        <v>41</v>
      </c>
      <c r="AB598" s="313">
        <f t="shared" si="63"/>
        <v>0</v>
      </c>
      <c r="AD598" s="313">
        <f t="shared" si="63"/>
        <v>17.399999999999999</v>
      </c>
      <c r="AE598" s="313">
        <f t="shared" si="63"/>
        <v>0.7</v>
      </c>
      <c r="AF598" s="313">
        <f t="shared" si="63"/>
        <v>12.43</v>
      </c>
      <c r="AG598" s="313">
        <f t="shared" si="63"/>
        <v>0</v>
      </c>
      <c r="AH598" s="313">
        <f t="shared" si="63"/>
        <v>4.2699999999999996</v>
      </c>
      <c r="AI598" s="313">
        <f t="shared" si="63"/>
        <v>0</v>
      </c>
      <c r="AJ598" s="313">
        <f t="shared" si="63"/>
        <v>41</v>
      </c>
      <c r="AL598" s="314">
        <f t="shared" si="63"/>
        <v>12402823.054836174</v>
      </c>
      <c r="AM598" s="314">
        <f t="shared" si="63"/>
        <v>0</v>
      </c>
      <c r="AN598" s="314">
        <f t="shared" si="63"/>
        <v>1110898.016087818</v>
      </c>
      <c r="AO598" s="314">
        <f t="shared" si="63"/>
        <v>217220.33245901222</v>
      </c>
      <c r="AP598" s="314">
        <f t="shared" si="63"/>
        <v>13730941.403383004</v>
      </c>
      <c r="AR598" s="314">
        <f t="shared" si="63"/>
        <v>2252720.8496732023</v>
      </c>
      <c r="AS598" s="314">
        <f t="shared" si="62"/>
        <v>0</v>
      </c>
      <c r="AT598" s="314">
        <f t="shared" si="62"/>
        <v>0</v>
      </c>
      <c r="AU598" s="314">
        <f t="shared" si="62"/>
        <v>223544.61538461538</v>
      </c>
      <c r="AV598" s="314">
        <f t="shared" si="62"/>
        <v>2476265.4650578178</v>
      </c>
      <c r="AW598" s="314">
        <f t="shared" si="62"/>
        <v>11254675.938325185</v>
      </c>
    </row>
    <row r="599" spans="1:49" x14ac:dyDescent="0.25">
      <c r="A599" s="311">
        <v>9328941</v>
      </c>
      <c r="B599" s="311"/>
      <c r="C599" s="315" t="str">
        <f t="shared" si="49"/>
        <v>NZO</v>
      </c>
      <c r="D599" s="315" t="str">
        <f t="shared" si="50"/>
        <v>Městská nemocnice Hořice</v>
      </c>
      <c r="E599" s="315" t="str">
        <f t="shared" si="51"/>
        <v>Levitovo centrum následné péče</v>
      </c>
      <c r="F599" s="313">
        <f t="shared" si="52"/>
        <v>9328941</v>
      </c>
      <c r="G599" s="313"/>
      <c r="H599" s="313"/>
      <c r="I599" s="313"/>
      <c r="J599" s="313"/>
      <c r="K599" s="313"/>
      <c r="L599" s="313"/>
      <c r="M599" s="313"/>
      <c r="N599" s="313"/>
      <c r="O599" s="313"/>
      <c r="P599" s="313"/>
      <c r="Q599" s="313"/>
      <c r="R599" s="313"/>
      <c r="S599" s="313"/>
      <c r="T599" s="313">
        <f t="shared" si="53"/>
        <v>6.78</v>
      </c>
      <c r="U599" s="313">
        <f t="shared" si="63"/>
        <v>0.08</v>
      </c>
      <c r="V599" s="313">
        <f t="shared" si="63"/>
        <v>0</v>
      </c>
      <c r="W599" s="313">
        <f t="shared" si="63"/>
        <v>6.7</v>
      </c>
      <c r="X599" s="313">
        <f t="shared" si="63"/>
        <v>0</v>
      </c>
      <c r="Y599" s="313">
        <f t="shared" si="63"/>
        <v>9</v>
      </c>
      <c r="Z599" s="313">
        <f t="shared" si="63"/>
        <v>0</v>
      </c>
      <c r="AA599" s="313">
        <f t="shared" si="63"/>
        <v>0</v>
      </c>
      <c r="AB599" s="313">
        <f t="shared" si="63"/>
        <v>0</v>
      </c>
      <c r="AD599" s="313">
        <f t="shared" si="63"/>
        <v>6.78</v>
      </c>
      <c r="AE599" s="313">
        <f t="shared" si="63"/>
        <v>0.08</v>
      </c>
      <c r="AF599" s="313">
        <f t="shared" si="63"/>
        <v>0</v>
      </c>
      <c r="AG599" s="313">
        <f t="shared" si="63"/>
        <v>6.7</v>
      </c>
      <c r="AH599" s="313">
        <f t="shared" si="63"/>
        <v>0</v>
      </c>
      <c r="AI599" s="313">
        <f t="shared" si="63"/>
        <v>9</v>
      </c>
      <c r="AJ599" s="313">
        <f t="shared" si="63"/>
        <v>0</v>
      </c>
      <c r="AL599" s="314">
        <f t="shared" si="63"/>
        <v>37797.076014543025</v>
      </c>
      <c r="AM599" s="314">
        <f t="shared" si="63"/>
        <v>3578047.4161367365</v>
      </c>
      <c r="AN599" s="314">
        <f t="shared" si="63"/>
        <v>442466.65279621811</v>
      </c>
      <c r="AO599" s="314">
        <f t="shared" si="63"/>
        <v>291424.10785504017</v>
      </c>
      <c r="AP599" s="314">
        <f t="shared" si="63"/>
        <v>4349735.2528025378</v>
      </c>
      <c r="AR599" s="314">
        <f t="shared" si="63"/>
        <v>624477.74999999988</v>
      </c>
      <c r="AS599" s="314">
        <f t="shared" si="62"/>
        <v>55362.5</v>
      </c>
      <c r="AT599" s="314">
        <f t="shared" si="62"/>
        <v>429706.50000000006</v>
      </c>
      <c r="AU599" s="314">
        <f t="shared" si="62"/>
        <v>305324.85000000003</v>
      </c>
      <c r="AV599" s="314">
        <f t="shared" si="62"/>
        <v>1414871.6</v>
      </c>
      <c r="AW599" s="314">
        <f t="shared" si="62"/>
        <v>2934863.6528025377</v>
      </c>
    </row>
    <row r="600" spans="1:49" x14ac:dyDescent="0.25">
      <c r="A600" s="311">
        <v>9379121</v>
      </c>
      <c r="B600" s="311"/>
      <c r="C600" s="315" t="str">
        <f t="shared" ref="C600:C622" si="64">VLOOKUP($A600,$A$4:$K$337,2,FALSE)</f>
        <v>PO KHK</v>
      </c>
      <c r="D600" s="315" t="str">
        <f t="shared" ref="D600:D622" si="65">VLOOKUP($A600,$A$4:$K$337,3,FALSE)</f>
        <v>Stacionář RIAPS</v>
      </c>
      <c r="E600" s="315" t="str">
        <f t="shared" ref="E600:E622" si="66">VLOOKUP($A600,$A$4:$K$337,4,FALSE)</f>
        <v>Sdružení ozdravoven a léčeben okresu Trutnov</v>
      </c>
      <c r="F600" s="313">
        <f t="shared" ref="F600:F622" si="67">A600</f>
        <v>9379121</v>
      </c>
      <c r="G600" s="313"/>
      <c r="H600" s="313"/>
      <c r="I600" s="313"/>
      <c r="J600" s="313"/>
      <c r="K600" s="313"/>
      <c r="L600" s="313"/>
      <c r="M600" s="313"/>
      <c r="N600" s="313"/>
      <c r="O600" s="313"/>
      <c r="P600" s="313"/>
      <c r="Q600" s="313"/>
      <c r="R600" s="313"/>
      <c r="S600" s="313"/>
      <c r="T600" s="313">
        <f t="shared" ref="T600:AF622" si="68">SUMIFS(T$4:T$337,$A$4:$A$337,$A600)</f>
        <v>9</v>
      </c>
      <c r="U600" s="313">
        <f t="shared" si="68"/>
        <v>8.6999999999999993</v>
      </c>
      <c r="V600" s="313">
        <f t="shared" si="68"/>
        <v>0</v>
      </c>
      <c r="W600" s="313">
        <f t="shared" si="68"/>
        <v>0.3</v>
      </c>
      <c r="X600" s="313">
        <f t="shared" si="68"/>
        <v>0</v>
      </c>
      <c r="Y600" s="313">
        <f t="shared" si="68"/>
        <v>0</v>
      </c>
      <c r="Z600" s="313">
        <f t="shared" si="68"/>
        <v>15</v>
      </c>
      <c r="AA600" s="313">
        <f t="shared" si="68"/>
        <v>0</v>
      </c>
      <c r="AB600" s="313">
        <f t="shared" si="68"/>
        <v>0</v>
      </c>
      <c r="AD600" s="313">
        <f t="shared" si="68"/>
        <v>9</v>
      </c>
      <c r="AE600" s="313">
        <f t="shared" si="68"/>
        <v>8.6999999999999993</v>
      </c>
      <c r="AF600" s="313">
        <f t="shared" si="68"/>
        <v>0</v>
      </c>
      <c r="AG600" s="313">
        <f t="shared" si="63"/>
        <v>0.3</v>
      </c>
      <c r="AH600" s="313">
        <f t="shared" si="63"/>
        <v>0</v>
      </c>
      <c r="AI600" s="313">
        <f t="shared" si="63"/>
        <v>0</v>
      </c>
      <c r="AJ600" s="313">
        <f t="shared" si="63"/>
        <v>0</v>
      </c>
      <c r="AL600" s="314">
        <f t="shared" si="63"/>
        <v>6044643.1831924375</v>
      </c>
      <c r="AM600" s="314">
        <f t="shared" si="63"/>
        <v>0</v>
      </c>
      <c r="AN600" s="314">
        <f t="shared" si="63"/>
        <v>385028.86823932698</v>
      </c>
      <c r="AO600" s="314">
        <f t="shared" si="63"/>
        <v>0</v>
      </c>
      <c r="AP600" s="314">
        <f t="shared" si="63"/>
        <v>6429672.0514317648</v>
      </c>
      <c r="AR600" s="314">
        <f t="shared" si="63"/>
        <v>0</v>
      </c>
      <c r="AS600" s="314">
        <f t="shared" si="62"/>
        <v>0</v>
      </c>
      <c r="AT600" s="314">
        <f t="shared" si="62"/>
        <v>0</v>
      </c>
      <c r="AU600" s="314">
        <f t="shared" si="62"/>
        <v>0</v>
      </c>
      <c r="AV600" s="314">
        <f t="shared" si="62"/>
        <v>0</v>
      </c>
      <c r="AW600" s="314">
        <f t="shared" si="62"/>
        <v>6429672.0514317648</v>
      </c>
    </row>
    <row r="601" spans="1:49" x14ac:dyDescent="0.25">
      <c r="A601" s="311">
        <v>9445282</v>
      </c>
      <c r="B601" s="311"/>
      <c r="C601" s="315" t="str">
        <f t="shared" si="64"/>
        <v>PO KHK</v>
      </c>
      <c r="D601" s="315" t="str">
        <f t="shared" si="65"/>
        <v>Domov sociálních služeb Chotělice</v>
      </c>
      <c r="E601" s="315" t="str">
        <f t="shared" si="66"/>
        <v>Domov sociálních služeb Chotělice</v>
      </c>
      <c r="F601" s="313">
        <f t="shared" si="67"/>
        <v>9445282</v>
      </c>
      <c r="G601" s="313"/>
      <c r="H601" s="313"/>
      <c r="I601" s="313"/>
      <c r="J601" s="313"/>
      <c r="K601" s="313"/>
      <c r="L601" s="313"/>
      <c r="M601" s="313"/>
      <c r="N601" s="313"/>
      <c r="O601" s="313"/>
      <c r="P601" s="313"/>
      <c r="Q601" s="313"/>
      <c r="R601" s="313"/>
      <c r="S601" s="313"/>
      <c r="T601" s="313">
        <f t="shared" si="68"/>
        <v>37</v>
      </c>
      <c r="U601" s="313">
        <f t="shared" si="68"/>
        <v>3</v>
      </c>
      <c r="V601" s="313">
        <f t="shared" si="68"/>
        <v>26</v>
      </c>
      <c r="W601" s="313">
        <f t="shared" si="68"/>
        <v>8</v>
      </c>
      <c r="X601" s="313">
        <f t="shared" si="68"/>
        <v>0</v>
      </c>
      <c r="Y601" s="313">
        <f t="shared" si="68"/>
        <v>70</v>
      </c>
      <c r="Z601" s="313">
        <f t="shared" si="68"/>
        <v>0</v>
      </c>
      <c r="AA601" s="313">
        <f t="shared" si="68"/>
        <v>0</v>
      </c>
      <c r="AB601" s="313">
        <f t="shared" si="68"/>
        <v>0</v>
      </c>
      <c r="AD601" s="313">
        <f t="shared" si="68"/>
        <v>37</v>
      </c>
      <c r="AE601" s="313">
        <f t="shared" si="68"/>
        <v>3</v>
      </c>
      <c r="AF601" s="313">
        <f t="shared" si="68"/>
        <v>26</v>
      </c>
      <c r="AG601" s="313">
        <f t="shared" si="63"/>
        <v>8</v>
      </c>
      <c r="AH601" s="313">
        <f t="shared" si="63"/>
        <v>0</v>
      </c>
      <c r="AI601" s="313">
        <f t="shared" si="63"/>
        <v>70</v>
      </c>
      <c r="AJ601" s="313">
        <f t="shared" si="63"/>
        <v>0</v>
      </c>
      <c r="AL601" s="314">
        <f t="shared" si="63"/>
        <v>18545718.127785232</v>
      </c>
      <c r="AM601" s="314">
        <f t="shared" si="63"/>
        <v>6491439.7431161432</v>
      </c>
      <c r="AN601" s="314">
        <f t="shared" si="63"/>
        <v>7143428.9934151052</v>
      </c>
      <c r="AO601" s="314">
        <f t="shared" si="63"/>
        <v>4588430.2588244295</v>
      </c>
      <c r="AP601" s="314">
        <f t="shared" si="63"/>
        <v>36769017.123140909</v>
      </c>
      <c r="AR601" s="314">
        <f t="shared" si="63"/>
        <v>7428424.9117647065</v>
      </c>
      <c r="AS601" s="314">
        <f t="shared" si="62"/>
        <v>1844480.7843137253</v>
      </c>
      <c r="AT601" s="314">
        <f t="shared" si="62"/>
        <v>3348468.4210526319</v>
      </c>
      <c r="AU601" s="314">
        <f t="shared" si="62"/>
        <v>3168875.5</v>
      </c>
      <c r="AV601" s="314">
        <f t="shared" si="62"/>
        <v>15790249.617131062</v>
      </c>
      <c r="AW601" s="314">
        <f t="shared" si="62"/>
        <v>20978767.506009847</v>
      </c>
    </row>
    <row r="602" spans="1:49" x14ac:dyDescent="0.25">
      <c r="A602" s="311">
        <v>9459250</v>
      </c>
      <c r="B602" s="311"/>
      <c r="C602" s="315" t="str">
        <f t="shared" si="64"/>
        <v>Obce</v>
      </c>
      <c r="D602" s="315" t="str">
        <f t="shared" si="65"/>
        <v>Sociální služby města Jičína, Denní stacionář Domovinka</v>
      </c>
      <c r="E602" s="315" t="str">
        <f t="shared" si="66"/>
        <v>Sociální služby města Jičína</v>
      </c>
      <c r="F602" s="313">
        <f t="shared" si="67"/>
        <v>9459250</v>
      </c>
      <c r="G602" s="313"/>
      <c r="H602" s="313"/>
      <c r="I602" s="313"/>
      <c r="J602" s="313"/>
      <c r="K602" s="313"/>
      <c r="L602" s="313"/>
      <c r="M602" s="313"/>
      <c r="N602" s="313"/>
      <c r="O602" s="313"/>
      <c r="P602" s="313"/>
      <c r="Q602" s="313"/>
      <c r="R602" s="313"/>
      <c r="S602" s="313"/>
      <c r="T602" s="313">
        <f t="shared" si="68"/>
        <v>4.22</v>
      </c>
      <c r="U602" s="313">
        <f t="shared" si="68"/>
        <v>0.11</v>
      </c>
      <c r="V602" s="313">
        <f t="shared" si="68"/>
        <v>4.1100000000000003</v>
      </c>
      <c r="W602" s="313">
        <f t="shared" si="68"/>
        <v>0</v>
      </c>
      <c r="X602" s="313">
        <f t="shared" si="68"/>
        <v>0</v>
      </c>
      <c r="Y602" s="313">
        <f t="shared" si="68"/>
        <v>0</v>
      </c>
      <c r="Z602" s="313">
        <f t="shared" si="68"/>
        <v>0</v>
      </c>
      <c r="AA602" s="313">
        <f t="shared" si="68"/>
        <v>20</v>
      </c>
      <c r="AB602" s="313">
        <f t="shared" si="68"/>
        <v>0</v>
      </c>
      <c r="AD602" s="313">
        <f t="shared" si="68"/>
        <v>4.22</v>
      </c>
      <c r="AE602" s="313">
        <f t="shared" si="68"/>
        <v>0.11</v>
      </c>
      <c r="AF602" s="313">
        <f t="shared" ref="AF602:AJ622" si="69">SUMIFS(AF$4:AF$337,$A$4:$A$337,$A602)</f>
        <v>4.1100000000000003</v>
      </c>
      <c r="AG602" s="313">
        <f t="shared" si="63"/>
        <v>0</v>
      </c>
      <c r="AH602" s="313">
        <f t="shared" si="63"/>
        <v>0</v>
      </c>
      <c r="AI602" s="313">
        <f t="shared" si="63"/>
        <v>0</v>
      </c>
      <c r="AJ602" s="313">
        <f t="shared" si="63"/>
        <v>20</v>
      </c>
      <c r="AL602" s="314">
        <f t="shared" si="63"/>
        <v>3008040.9937591185</v>
      </c>
      <c r="AM602" s="314">
        <f t="shared" si="63"/>
        <v>0</v>
      </c>
      <c r="AN602" s="314">
        <f t="shared" si="63"/>
        <v>541901.47126235021</v>
      </c>
      <c r="AO602" s="314">
        <f t="shared" si="63"/>
        <v>105961.13778488402</v>
      </c>
      <c r="AP602" s="314">
        <f t="shared" si="63"/>
        <v>3655903.6028063525</v>
      </c>
      <c r="AR602" s="314">
        <f t="shared" si="63"/>
        <v>554412.13725490193</v>
      </c>
      <c r="AS602" s="314">
        <f t="shared" si="62"/>
        <v>0</v>
      </c>
      <c r="AT602" s="314">
        <f t="shared" si="62"/>
        <v>0</v>
      </c>
      <c r="AU602" s="314">
        <f t="shared" si="62"/>
        <v>109046.15384615384</v>
      </c>
      <c r="AV602" s="314">
        <f t="shared" si="62"/>
        <v>663458.2911010558</v>
      </c>
      <c r="AW602" s="314">
        <f t="shared" si="62"/>
        <v>2992445.3117052969</v>
      </c>
    </row>
    <row r="603" spans="1:49" x14ac:dyDescent="0.25">
      <c r="A603" s="311">
        <v>9478716</v>
      </c>
      <c r="B603" s="311"/>
      <c r="C603" s="315" t="str">
        <f t="shared" si="64"/>
        <v>Obce</v>
      </c>
      <c r="D603" s="315" t="str">
        <f t="shared" si="65"/>
        <v>Služby Dolní Kalná, okres Trutnov</v>
      </c>
      <c r="E603" s="315" t="str">
        <f t="shared" si="66"/>
        <v>Služby Dolní Kalná, okres Trutnov</v>
      </c>
      <c r="F603" s="313">
        <f t="shared" si="67"/>
        <v>9478716</v>
      </c>
      <c r="G603" s="313"/>
      <c r="H603" s="313"/>
      <c r="I603" s="313"/>
      <c r="J603" s="313"/>
      <c r="K603" s="313"/>
      <c r="L603" s="313"/>
      <c r="M603" s="313"/>
      <c r="N603" s="313"/>
      <c r="O603" s="313"/>
      <c r="P603" s="313"/>
      <c r="Q603" s="313"/>
      <c r="R603" s="313"/>
      <c r="S603" s="313"/>
      <c r="T603" s="313">
        <f t="shared" si="68"/>
        <v>0.54</v>
      </c>
      <c r="U603" s="313">
        <f t="shared" si="68"/>
        <v>0.04</v>
      </c>
      <c r="V603" s="313">
        <f t="shared" si="68"/>
        <v>0.5</v>
      </c>
      <c r="W603" s="313">
        <f t="shared" si="68"/>
        <v>0</v>
      </c>
      <c r="X603" s="313">
        <f t="shared" si="68"/>
        <v>0</v>
      </c>
      <c r="Y603" s="313">
        <f t="shared" si="68"/>
        <v>0</v>
      </c>
      <c r="Z603" s="313">
        <f t="shared" si="68"/>
        <v>30</v>
      </c>
      <c r="AA603" s="313">
        <f t="shared" si="68"/>
        <v>0</v>
      </c>
      <c r="AB603" s="313">
        <f t="shared" si="68"/>
        <v>0</v>
      </c>
      <c r="AD603" s="313">
        <f t="shared" si="68"/>
        <v>0.54</v>
      </c>
      <c r="AE603" s="313">
        <f t="shared" si="68"/>
        <v>0.04</v>
      </c>
      <c r="AF603" s="313">
        <f t="shared" si="69"/>
        <v>0.5</v>
      </c>
      <c r="AG603" s="313">
        <f t="shared" si="63"/>
        <v>0</v>
      </c>
      <c r="AH603" s="313">
        <f t="shared" si="63"/>
        <v>0</v>
      </c>
      <c r="AI603" s="313">
        <f t="shared" si="63"/>
        <v>0</v>
      </c>
      <c r="AJ603" s="313">
        <f t="shared" si="63"/>
        <v>0</v>
      </c>
      <c r="AL603" s="314">
        <f t="shared" si="63"/>
        <v>298273.32058899343</v>
      </c>
      <c r="AM603" s="314">
        <f t="shared" si="63"/>
        <v>0</v>
      </c>
      <c r="AN603" s="314">
        <f t="shared" si="63"/>
        <v>22593.905131345266</v>
      </c>
      <c r="AO603" s="314">
        <f t="shared" si="63"/>
        <v>0</v>
      </c>
      <c r="AP603" s="314">
        <f t="shared" si="63"/>
        <v>320867.2257203387</v>
      </c>
      <c r="AR603" s="314">
        <f t="shared" ref="AR603:AW606" si="70">SUMIFS(AR$4:AR$337,$A$4:$A$337,$A603)</f>
        <v>69377.617647058825</v>
      </c>
      <c r="AS603" s="314">
        <f t="shared" si="62"/>
        <v>0</v>
      </c>
      <c r="AT603" s="314">
        <f t="shared" si="62"/>
        <v>0</v>
      </c>
      <c r="AU603" s="314">
        <f t="shared" si="62"/>
        <v>0</v>
      </c>
      <c r="AV603" s="314">
        <f t="shared" si="62"/>
        <v>69377.617647058825</v>
      </c>
      <c r="AW603" s="314">
        <f t="shared" si="62"/>
        <v>251489.60807327987</v>
      </c>
    </row>
    <row r="604" spans="1:49" x14ac:dyDescent="0.25">
      <c r="A604" s="311">
        <v>9503685</v>
      </c>
      <c r="B604" s="311"/>
      <c r="C604" s="315" t="str">
        <f t="shared" si="64"/>
        <v>NZO</v>
      </c>
      <c r="D604" s="315" t="str">
        <f t="shared" si="65"/>
        <v>Občanská poradna Hořice</v>
      </c>
      <c r="E604" s="315" t="str">
        <f t="shared" si="66"/>
        <v>Farní charita Dvůr Králové nad Labem</v>
      </c>
      <c r="F604" s="313">
        <f t="shared" si="67"/>
        <v>9503685</v>
      </c>
      <c r="G604" s="313"/>
      <c r="H604" s="313"/>
      <c r="I604" s="313"/>
      <c r="J604" s="313"/>
      <c r="K604" s="313"/>
      <c r="L604" s="313"/>
      <c r="M604" s="313"/>
      <c r="N604" s="313"/>
      <c r="O604" s="313"/>
      <c r="P604" s="313"/>
      <c r="Q604" s="313"/>
      <c r="R604" s="313"/>
      <c r="S604" s="313"/>
      <c r="T604" s="313">
        <f t="shared" si="68"/>
        <v>0.6</v>
      </c>
      <c r="U604" s="313">
        <f t="shared" si="68"/>
        <v>0.6</v>
      </c>
      <c r="V604" s="313">
        <f t="shared" si="68"/>
        <v>0</v>
      </c>
      <c r="W604" s="313">
        <f t="shared" si="68"/>
        <v>0</v>
      </c>
      <c r="X604" s="313">
        <f t="shared" si="68"/>
        <v>0</v>
      </c>
      <c r="Y604" s="313">
        <f t="shared" si="68"/>
        <v>0</v>
      </c>
      <c r="Z604" s="313">
        <f t="shared" si="68"/>
        <v>14</v>
      </c>
      <c r="AA604" s="313">
        <f t="shared" si="68"/>
        <v>0</v>
      </c>
      <c r="AB604" s="313">
        <f t="shared" si="68"/>
        <v>0</v>
      </c>
      <c r="AD604" s="313">
        <f t="shared" si="68"/>
        <v>0.6</v>
      </c>
      <c r="AE604" s="313">
        <f t="shared" si="68"/>
        <v>0.6</v>
      </c>
      <c r="AF604" s="313">
        <f t="shared" si="69"/>
        <v>0</v>
      </c>
      <c r="AG604" s="313">
        <f t="shared" si="63"/>
        <v>0</v>
      </c>
      <c r="AH604" s="313">
        <f t="shared" si="63"/>
        <v>0</v>
      </c>
      <c r="AI604" s="313">
        <f t="shared" si="63"/>
        <v>0</v>
      </c>
      <c r="AJ604" s="313">
        <f t="shared" si="63"/>
        <v>0</v>
      </c>
      <c r="AL604" s="314">
        <f t="shared" si="63"/>
        <v>399527.54759856622</v>
      </c>
      <c r="AM604" s="314">
        <f t="shared" si="63"/>
        <v>0</v>
      </c>
      <c r="AN604" s="314">
        <f t="shared" si="63"/>
        <v>27724.086367072989</v>
      </c>
      <c r="AO604" s="314">
        <f t="shared" si="63"/>
        <v>0</v>
      </c>
      <c r="AP604" s="314">
        <f t="shared" si="63"/>
        <v>427251.63396563922</v>
      </c>
      <c r="AR604" s="314">
        <f t="shared" si="70"/>
        <v>0</v>
      </c>
      <c r="AS604" s="314">
        <f t="shared" si="62"/>
        <v>0</v>
      </c>
      <c r="AT604" s="314">
        <f t="shared" si="62"/>
        <v>0</v>
      </c>
      <c r="AU604" s="314">
        <f t="shared" si="62"/>
        <v>0</v>
      </c>
      <c r="AV604" s="314">
        <f t="shared" si="62"/>
        <v>0</v>
      </c>
      <c r="AW604" s="314">
        <f t="shared" si="62"/>
        <v>427251.63396563922</v>
      </c>
    </row>
    <row r="605" spans="1:49" x14ac:dyDescent="0.25">
      <c r="A605" s="311">
        <v>9554713</v>
      </c>
      <c r="B605" s="311"/>
      <c r="C605" s="315" t="str">
        <f t="shared" si="64"/>
        <v>NZO</v>
      </c>
      <c r="D605" s="315" t="str">
        <f t="shared" si="65"/>
        <v>Charitní pečovatelská služba</v>
      </c>
      <c r="E605" s="315" t="str">
        <f t="shared" si="66"/>
        <v>Oblastní charita Jičín</v>
      </c>
      <c r="F605" s="313">
        <f t="shared" si="67"/>
        <v>9554713</v>
      </c>
      <c r="G605" s="313"/>
      <c r="H605" s="313"/>
      <c r="I605" s="313"/>
      <c r="J605" s="313"/>
      <c r="K605" s="313"/>
      <c r="L605" s="313"/>
      <c r="M605" s="313"/>
      <c r="N605" s="313"/>
      <c r="O605" s="313"/>
      <c r="P605" s="313"/>
      <c r="Q605" s="313"/>
      <c r="R605" s="313"/>
      <c r="S605" s="313"/>
      <c r="T605" s="313">
        <f t="shared" si="68"/>
        <v>14</v>
      </c>
      <c r="U605" s="313">
        <f t="shared" si="68"/>
        <v>1.5</v>
      </c>
      <c r="V605" s="313">
        <f t="shared" si="68"/>
        <v>12.5</v>
      </c>
      <c r="W605" s="313">
        <f t="shared" si="68"/>
        <v>0</v>
      </c>
      <c r="X605" s="313">
        <f t="shared" si="68"/>
        <v>0</v>
      </c>
      <c r="Y605" s="313">
        <f t="shared" si="68"/>
        <v>0</v>
      </c>
      <c r="Z605" s="313">
        <f t="shared" si="68"/>
        <v>195</v>
      </c>
      <c r="AA605" s="313">
        <f t="shared" si="68"/>
        <v>0</v>
      </c>
      <c r="AB605" s="313">
        <f t="shared" si="68"/>
        <v>0</v>
      </c>
      <c r="AD605" s="313">
        <f t="shared" si="68"/>
        <v>14</v>
      </c>
      <c r="AE605" s="313">
        <f t="shared" si="68"/>
        <v>1.5</v>
      </c>
      <c r="AF605" s="313">
        <f t="shared" si="69"/>
        <v>12.5</v>
      </c>
      <c r="AG605" s="313">
        <f t="shared" si="63"/>
        <v>0</v>
      </c>
      <c r="AH605" s="313">
        <f t="shared" si="63"/>
        <v>0</v>
      </c>
      <c r="AI605" s="313">
        <f t="shared" si="63"/>
        <v>0</v>
      </c>
      <c r="AJ605" s="313">
        <f t="shared" si="63"/>
        <v>0</v>
      </c>
      <c r="AL605" s="314">
        <f t="shared" si="63"/>
        <v>7733012.0152701996</v>
      </c>
      <c r="AM605" s="314">
        <f t="shared" si="63"/>
        <v>0</v>
      </c>
      <c r="AN605" s="314">
        <f t="shared" si="63"/>
        <v>585767.910812655</v>
      </c>
      <c r="AO605" s="314">
        <f t="shared" si="63"/>
        <v>0</v>
      </c>
      <c r="AP605" s="314">
        <f t="shared" si="63"/>
        <v>8318779.9260828551</v>
      </c>
      <c r="AR605" s="314">
        <f t="shared" si="70"/>
        <v>1734440.4411764706</v>
      </c>
      <c r="AS605" s="314">
        <f t="shared" si="62"/>
        <v>0</v>
      </c>
      <c r="AT605" s="314">
        <f t="shared" si="62"/>
        <v>0</v>
      </c>
      <c r="AU605" s="314">
        <f t="shared" si="62"/>
        <v>0</v>
      </c>
      <c r="AV605" s="314">
        <f t="shared" si="62"/>
        <v>1734440.4411764706</v>
      </c>
      <c r="AW605" s="314">
        <f t="shared" si="62"/>
        <v>6584339.4849063838</v>
      </c>
    </row>
    <row r="606" spans="1:49" x14ac:dyDescent="0.25">
      <c r="A606" s="311">
        <v>9577077</v>
      </c>
      <c r="B606" s="311"/>
      <c r="C606" s="315" t="str">
        <f t="shared" si="64"/>
        <v>NZO</v>
      </c>
      <c r="D606" s="315" t="str">
        <f t="shared" si="65"/>
        <v>Tísňová péče pro seniory a zdravotně postižené občany</v>
      </c>
      <c r="E606" s="315" t="str">
        <f t="shared" si="66"/>
        <v>Život Hradec Králové, o.p.s.</v>
      </c>
      <c r="F606" s="313">
        <f t="shared" si="67"/>
        <v>9577077</v>
      </c>
      <c r="G606" s="313"/>
      <c r="H606" s="313"/>
      <c r="I606" s="313"/>
      <c r="J606" s="313"/>
      <c r="K606" s="313"/>
      <c r="L606" s="313"/>
      <c r="M606" s="313"/>
      <c r="N606" s="313"/>
      <c r="O606" s="313"/>
      <c r="P606" s="313"/>
      <c r="Q606" s="313"/>
      <c r="R606" s="313"/>
      <c r="S606" s="313"/>
      <c r="T606" s="313">
        <f t="shared" si="68"/>
        <v>6.4700000000000006</v>
      </c>
      <c r="U606" s="313">
        <f t="shared" si="68"/>
        <v>1</v>
      </c>
      <c r="V606" s="313">
        <f t="shared" si="68"/>
        <v>5.4700000000000006</v>
      </c>
      <c r="W606" s="313">
        <f t="shared" si="68"/>
        <v>0</v>
      </c>
      <c r="X606" s="313">
        <f t="shared" si="68"/>
        <v>0</v>
      </c>
      <c r="Y606" s="313">
        <f t="shared" si="68"/>
        <v>0</v>
      </c>
      <c r="Z606" s="313">
        <f t="shared" si="68"/>
        <v>200</v>
      </c>
      <c r="AA606" s="313">
        <f t="shared" si="68"/>
        <v>0</v>
      </c>
      <c r="AB606" s="313">
        <f t="shared" si="68"/>
        <v>5</v>
      </c>
      <c r="AD606" s="313">
        <f t="shared" si="68"/>
        <v>6.4700000000000006</v>
      </c>
      <c r="AE606" s="313">
        <f t="shared" si="68"/>
        <v>1</v>
      </c>
      <c r="AF606" s="313">
        <f t="shared" si="69"/>
        <v>5.4700000000000006</v>
      </c>
      <c r="AG606" s="313">
        <f t="shared" si="63"/>
        <v>0</v>
      </c>
      <c r="AH606" s="313">
        <f t="shared" si="63"/>
        <v>0</v>
      </c>
      <c r="AI606" s="313">
        <f t="shared" si="63"/>
        <v>0</v>
      </c>
      <c r="AJ606" s="313">
        <f t="shared" si="63"/>
        <v>0</v>
      </c>
      <c r="AL606" s="314">
        <f t="shared" si="63"/>
        <v>4367182.9031375237</v>
      </c>
      <c r="AM606" s="314">
        <f t="shared" si="63"/>
        <v>0</v>
      </c>
      <c r="AN606" s="314">
        <f t="shared" si="63"/>
        <v>259999.7222229139</v>
      </c>
      <c r="AO606" s="314">
        <f t="shared" si="63"/>
        <v>0</v>
      </c>
      <c r="AP606" s="314">
        <f t="shared" si="63"/>
        <v>4627182.6253604377</v>
      </c>
      <c r="AR606" s="314">
        <f t="shared" si="70"/>
        <v>669891.35127635964</v>
      </c>
      <c r="AS606" s="314">
        <f t="shared" si="70"/>
        <v>0</v>
      </c>
      <c r="AT606" s="314">
        <f t="shared" si="70"/>
        <v>0</v>
      </c>
      <c r="AU606" s="314">
        <f t="shared" si="70"/>
        <v>0</v>
      </c>
      <c r="AV606" s="314">
        <f t="shared" si="70"/>
        <v>669891.35127635964</v>
      </c>
      <c r="AW606" s="314">
        <f t="shared" si="70"/>
        <v>3957291.2740840772</v>
      </c>
    </row>
    <row r="607" spans="1:49" x14ac:dyDescent="0.25">
      <c r="A607" s="311">
        <v>9583114</v>
      </c>
      <c r="B607" s="311"/>
      <c r="C607" s="315" t="str">
        <f t="shared" si="64"/>
        <v>Obce</v>
      </c>
      <c r="D607" s="315" t="str">
        <f t="shared" si="65"/>
        <v>Pečovatelská služba Žacléř</v>
      </c>
      <c r="E607" s="315" t="str">
        <f t="shared" si="66"/>
        <v>Pečovatelská služba Žacléř</v>
      </c>
      <c r="F607" s="313">
        <f t="shared" si="67"/>
        <v>9583114</v>
      </c>
      <c r="G607" s="313"/>
      <c r="H607" s="313"/>
      <c r="I607" s="313"/>
      <c r="J607" s="313"/>
      <c r="K607" s="313"/>
      <c r="L607" s="313"/>
      <c r="M607" s="313"/>
      <c r="N607" s="313"/>
      <c r="O607" s="313"/>
      <c r="P607" s="313"/>
      <c r="Q607" s="313"/>
      <c r="R607" s="313"/>
      <c r="S607" s="313"/>
      <c r="T607" s="313">
        <f t="shared" si="68"/>
        <v>2.6</v>
      </c>
      <c r="U607" s="313">
        <f t="shared" si="68"/>
        <v>0.1</v>
      </c>
      <c r="V607" s="313">
        <f t="shared" si="68"/>
        <v>2.5</v>
      </c>
      <c r="W607" s="313">
        <f t="shared" si="68"/>
        <v>0</v>
      </c>
      <c r="X607" s="313">
        <f t="shared" si="68"/>
        <v>0</v>
      </c>
      <c r="Y607" s="313">
        <f t="shared" si="68"/>
        <v>0</v>
      </c>
      <c r="Z607" s="313">
        <f t="shared" si="68"/>
        <v>90</v>
      </c>
      <c r="AA607" s="313">
        <f t="shared" si="68"/>
        <v>0</v>
      </c>
      <c r="AB607" s="313">
        <f t="shared" si="68"/>
        <v>0</v>
      </c>
      <c r="AD607" s="313">
        <f t="shared" si="68"/>
        <v>2.6</v>
      </c>
      <c r="AE607" s="313">
        <f t="shared" si="68"/>
        <v>0.1</v>
      </c>
      <c r="AF607" s="313">
        <f t="shared" si="69"/>
        <v>2.5</v>
      </c>
      <c r="AG607" s="313">
        <f t="shared" si="69"/>
        <v>0</v>
      </c>
      <c r="AH607" s="313">
        <f t="shared" si="69"/>
        <v>0</v>
      </c>
      <c r="AI607" s="313">
        <f t="shared" si="69"/>
        <v>0</v>
      </c>
      <c r="AJ607" s="313">
        <f t="shared" si="69"/>
        <v>0</v>
      </c>
      <c r="AL607" s="314">
        <f t="shared" ref="AL607:AW622" si="71">SUMIFS(AL$4:AL$337,$A$4:$A$337,$A607)</f>
        <v>1436130.8028358943</v>
      </c>
      <c r="AM607" s="314">
        <f t="shared" si="71"/>
        <v>0</v>
      </c>
      <c r="AN607" s="314">
        <f t="shared" si="71"/>
        <v>108785.46915092165</v>
      </c>
      <c r="AO607" s="314">
        <f t="shared" si="71"/>
        <v>0</v>
      </c>
      <c r="AP607" s="314">
        <f t="shared" si="71"/>
        <v>1544916.2719868158</v>
      </c>
      <c r="AR607" s="314">
        <f t="shared" si="71"/>
        <v>346888.0882352941</v>
      </c>
      <c r="AS607" s="314">
        <f t="shared" si="71"/>
        <v>0</v>
      </c>
      <c r="AT607" s="314">
        <f t="shared" si="71"/>
        <v>0</v>
      </c>
      <c r="AU607" s="314">
        <f t="shared" si="71"/>
        <v>0</v>
      </c>
      <c r="AV607" s="314">
        <f t="shared" si="71"/>
        <v>346888.0882352941</v>
      </c>
      <c r="AW607" s="314">
        <f t="shared" si="71"/>
        <v>1198028.1837515216</v>
      </c>
    </row>
    <row r="608" spans="1:49" x14ac:dyDescent="0.25">
      <c r="A608" s="311">
        <v>9593192</v>
      </c>
      <c r="B608" s="311"/>
      <c r="C608" s="315" t="str">
        <f t="shared" si="64"/>
        <v>PO KHK</v>
      </c>
      <c r="D608" s="315" t="str">
        <f t="shared" si="65"/>
        <v>Domov důchodců Tmavý Důl</v>
      </c>
      <c r="E608" s="315" t="str">
        <f t="shared" si="66"/>
        <v>Domov důchodců Tmavý Důl</v>
      </c>
      <c r="F608" s="313">
        <f t="shared" si="67"/>
        <v>9593192</v>
      </c>
      <c r="G608" s="313"/>
      <c r="H608" s="313"/>
      <c r="I608" s="313"/>
      <c r="J608" s="313"/>
      <c r="K608" s="313"/>
      <c r="L608" s="313"/>
      <c r="M608" s="313"/>
      <c r="N608" s="313"/>
      <c r="O608" s="313"/>
      <c r="P608" s="313"/>
      <c r="Q608" s="313"/>
      <c r="R608" s="313"/>
      <c r="S608" s="313"/>
      <c r="T608" s="313">
        <f t="shared" si="68"/>
        <v>33.5</v>
      </c>
      <c r="U608" s="313">
        <f t="shared" si="68"/>
        <v>1.5</v>
      </c>
      <c r="V608" s="313">
        <f t="shared" si="68"/>
        <v>21</v>
      </c>
      <c r="W608" s="313">
        <f t="shared" si="68"/>
        <v>11</v>
      </c>
      <c r="X608" s="313">
        <f t="shared" si="68"/>
        <v>0</v>
      </c>
      <c r="Y608" s="313">
        <f t="shared" si="68"/>
        <v>84</v>
      </c>
      <c r="Z608" s="313">
        <f t="shared" si="68"/>
        <v>0</v>
      </c>
      <c r="AA608" s="313">
        <f t="shared" si="68"/>
        <v>0</v>
      </c>
      <c r="AB608" s="313">
        <f t="shared" si="68"/>
        <v>0</v>
      </c>
      <c r="AD608" s="313">
        <f t="shared" si="68"/>
        <v>33.5</v>
      </c>
      <c r="AE608" s="313">
        <f t="shared" si="68"/>
        <v>1.5</v>
      </c>
      <c r="AF608" s="313">
        <f t="shared" si="69"/>
        <v>21</v>
      </c>
      <c r="AG608" s="313">
        <f t="shared" si="69"/>
        <v>11</v>
      </c>
      <c r="AH608" s="313">
        <f t="shared" si="69"/>
        <v>0</v>
      </c>
      <c r="AI608" s="313">
        <f t="shared" si="69"/>
        <v>84</v>
      </c>
      <c r="AJ608" s="313">
        <f t="shared" si="69"/>
        <v>0</v>
      </c>
      <c r="AL608" s="314">
        <f t="shared" si="71"/>
        <v>14670103.264786156</v>
      </c>
      <c r="AM608" s="314">
        <f t="shared" si="71"/>
        <v>8917773.6288986653</v>
      </c>
      <c r="AN608" s="314">
        <f t="shared" si="71"/>
        <v>8238352.3539238535</v>
      </c>
      <c r="AO608" s="314">
        <f t="shared" si="71"/>
        <v>5776772.3970017182</v>
      </c>
      <c r="AP608" s="314">
        <f t="shared" si="71"/>
        <v>37603001.64461039</v>
      </c>
      <c r="AR608" s="314">
        <f t="shared" si="71"/>
        <v>9430720.7530925274</v>
      </c>
      <c r="AS608" s="314">
        <f t="shared" si="71"/>
        <v>2456568.9758454105</v>
      </c>
      <c r="AT608" s="314">
        <f t="shared" si="71"/>
        <v>5957597.0685579199</v>
      </c>
      <c r="AU608" s="314">
        <f t="shared" si="71"/>
        <v>4273673.2886029417</v>
      </c>
      <c r="AV608" s="314">
        <f t="shared" si="71"/>
        <v>22118560.086098798</v>
      </c>
      <c r="AW608" s="314">
        <f t="shared" si="71"/>
        <v>15484441.558511592</v>
      </c>
    </row>
    <row r="609" spans="1:49" x14ac:dyDescent="0.25">
      <c r="A609" s="311">
        <v>9608144</v>
      </c>
      <c r="B609" s="311"/>
      <c r="C609" s="315" t="str">
        <f t="shared" si="64"/>
        <v>NZO</v>
      </c>
      <c r="D609" s="315" t="str">
        <f t="shared" si="65"/>
        <v>Poradenství</v>
      </c>
      <c r="E609" s="315" t="str">
        <f t="shared" si="66"/>
        <v>Hradecké centrum pro osoby se sluchovým postižením o.p.s.</v>
      </c>
      <c r="F609" s="313">
        <f t="shared" si="67"/>
        <v>9608144</v>
      </c>
      <c r="G609" s="313"/>
      <c r="H609" s="313"/>
      <c r="I609" s="313"/>
      <c r="J609" s="313"/>
      <c r="K609" s="313"/>
      <c r="L609" s="313"/>
      <c r="M609" s="313"/>
      <c r="N609" s="313"/>
      <c r="O609" s="313"/>
      <c r="P609" s="313"/>
      <c r="Q609" s="313"/>
      <c r="R609" s="313"/>
      <c r="S609" s="313"/>
      <c r="T609" s="313">
        <f t="shared" si="68"/>
        <v>1.9</v>
      </c>
      <c r="U609" s="313">
        <f t="shared" si="68"/>
        <v>1.9</v>
      </c>
      <c r="V609" s="313">
        <f t="shared" si="68"/>
        <v>0</v>
      </c>
      <c r="W609" s="313">
        <f t="shared" si="68"/>
        <v>0</v>
      </c>
      <c r="X609" s="313">
        <f t="shared" si="68"/>
        <v>0</v>
      </c>
      <c r="Y609" s="313">
        <f t="shared" si="68"/>
        <v>0</v>
      </c>
      <c r="Z609" s="313">
        <f t="shared" si="68"/>
        <v>18</v>
      </c>
      <c r="AA609" s="313">
        <f t="shared" si="68"/>
        <v>1</v>
      </c>
      <c r="AB609" s="313">
        <f t="shared" si="68"/>
        <v>0</v>
      </c>
      <c r="AD609" s="313">
        <f t="shared" si="68"/>
        <v>1.9</v>
      </c>
      <c r="AE609" s="313">
        <f t="shared" si="68"/>
        <v>1.9</v>
      </c>
      <c r="AF609" s="313">
        <f t="shared" si="69"/>
        <v>0</v>
      </c>
      <c r="AG609" s="313">
        <f t="shared" si="69"/>
        <v>0</v>
      </c>
      <c r="AH609" s="313">
        <f t="shared" si="69"/>
        <v>0</v>
      </c>
      <c r="AI609" s="313">
        <f t="shared" si="69"/>
        <v>0</v>
      </c>
      <c r="AJ609" s="313">
        <f t="shared" si="69"/>
        <v>1</v>
      </c>
      <c r="AL609" s="314">
        <f t="shared" si="71"/>
        <v>1265170.5673954596</v>
      </c>
      <c r="AM609" s="314">
        <f t="shared" si="71"/>
        <v>0</v>
      </c>
      <c r="AN609" s="314">
        <f t="shared" si="71"/>
        <v>87792.94016239779</v>
      </c>
      <c r="AO609" s="314">
        <f t="shared" si="71"/>
        <v>0</v>
      </c>
      <c r="AP609" s="314">
        <f t="shared" si="71"/>
        <v>1352963.5075578573</v>
      </c>
      <c r="AR609" s="314">
        <f t="shared" si="71"/>
        <v>0</v>
      </c>
      <c r="AS609" s="314">
        <f t="shared" si="71"/>
        <v>0</v>
      </c>
      <c r="AT609" s="314">
        <f t="shared" si="71"/>
        <v>0</v>
      </c>
      <c r="AU609" s="314">
        <f t="shared" si="71"/>
        <v>0</v>
      </c>
      <c r="AV609" s="314">
        <f t="shared" si="71"/>
        <v>0</v>
      </c>
      <c r="AW609" s="314">
        <f t="shared" si="71"/>
        <v>1352963.5075578573</v>
      </c>
    </row>
    <row r="610" spans="1:49" x14ac:dyDescent="0.25">
      <c r="A610" s="311">
        <v>9659243</v>
      </c>
      <c r="B610" s="311"/>
      <c r="C610" s="315" t="str">
        <f t="shared" si="64"/>
        <v>NZO</v>
      </c>
      <c r="D610" s="315" t="str">
        <f t="shared" si="65"/>
        <v>Triangl</v>
      </c>
      <c r="E610" s="315" t="str">
        <f t="shared" si="66"/>
        <v>Salinger, z.s.</v>
      </c>
      <c r="F610" s="313">
        <f t="shared" si="67"/>
        <v>9659243</v>
      </c>
      <c r="G610" s="313"/>
      <c r="H610" s="313"/>
      <c r="I610" s="313"/>
      <c r="J610" s="313"/>
      <c r="K610" s="313"/>
      <c r="L610" s="313"/>
      <c r="M610" s="313"/>
      <c r="N610" s="313"/>
      <c r="O610" s="313"/>
      <c r="P610" s="313"/>
      <c r="Q610" s="313"/>
      <c r="R610" s="313"/>
      <c r="S610" s="313"/>
      <c r="T610" s="313">
        <f t="shared" si="68"/>
        <v>6.3</v>
      </c>
      <c r="U610" s="313">
        <f t="shared" si="68"/>
        <v>5.3</v>
      </c>
      <c r="V610" s="313">
        <f t="shared" si="68"/>
        <v>1</v>
      </c>
      <c r="W610" s="313">
        <f t="shared" si="68"/>
        <v>0</v>
      </c>
      <c r="X610" s="313">
        <f t="shared" si="68"/>
        <v>0</v>
      </c>
      <c r="Y610" s="313">
        <f t="shared" si="68"/>
        <v>0</v>
      </c>
      <c r="Z610" s="313">
        <f t="shared" si="68"/>
        <v>132</v>
      </c>
      <c r="AA610" s="313">
        <f t="shared" si="68"/>
        <v>0</v>
      </c>
      <c r="AB610" s="313">
        <f t="shared" si="68"/>
        <v>0</v>
      </c>
      <c r="AD610" s="313">
        <f t="shared" si="68"/>
        <v>6.3</v>
      </c>
      <c r="AE610" s="313">
        <f t="shared" si="68"/>
        <v>5.3</v>
      </c>
      <c r="AF610" s="313">
        <f t="shared" si="69"/>
        <v>1</v>
      </c>
      <c r="AG610" s="313">
        <f t="shared" si="69"/>
        <v>0</v>
      </c>
      <c r="AH610" s="313">
        <f t="shared" si="69"/>
        <v>0</v>
      </c>
      <c r="AI610" s="313">
        <f t="shared" si="69"/>
        <v>0</v>
      </c>
      <c r="AJ610" s="313">
        <f t="shared" si="69"/>
        <v>0</v>
      </c>
      <c r="AL610" s="314">
        <f t="shared" si="71"/>
        <v>4061438.6361786439</v>
      </c>
      <c r="AM610" s="314">
        <f t="shared" si="71"/>
        <v>0</v>
      </c>
      <c r="AN610" s="314">
        <f t="shared" si="71"/>
        <v>277003.2714545544</v>
      </c>
      <c r="AO610" s="314">
        <f t="shared" si="71"/>
        <v>0</v>
      </c>
      <c r="AP610" s="314">
        <f t="shared" si="71"/>
        <v>4338441.9076331984</v>
      </c>
      <c r="AR610" s="314">
        <f t="shared" si="71"/>
        <v>0</v>
      </c>
      <c r="AS610" s="314">
        <f t="shared" si="71"/>
        <v>0</v>
      </c>
      <c r="AT610" s="314">
        <f t="shared" si="71"/>
        <v>0</v>
      </c>
      <c r="AU610" s="314">
        <f t="shared" si="71"/>
        <v>0</v>
      </c>
      <c r="AV610" s="314">
        <f t="shared" si="71"/>
        <v>0</v>
      </c>
      <c r="AW610" s="314">
        <f t="shared" si="71"/>
        <v>4338441.9076331984</v>
      </c>
    </row>
    <row r="611" spans="1:49" x14ac:dyDescent="0.25">
      <c r="A611" s="311">
        <v>9666094</v>
      </c>
      <c r="B611" s="311"/>
      <c r="C611" s="315" t="str">
        <f t="shared" si="64"/>
        <v>Obce</v>
      </c>
      <c r="D611" s="315" t="str">
        <f t="shared" si="65"/>
        <v>Pečovatelská služba</v>
      </c>
      <c r="E611" s="315" t="str">
        <f t="shared" si="66"/>
        <v>Město Vamberk</v>
      </c>
      <c r="F611" s="313">
        <f t="shared" si="67"/>
        <v>9666094</v>
      </c>
      <c r="G611" s="313"/>
      <c r="H611" s="313"/>
      <c r="I611" s="313"/>
      <c r="J611" s="313"/>
      <c r="K611" s="313"/>
      <c r="L611" s="313"/>
      <c r="M611" s="313"/>
      <c r="N611" s="313"/>
      <c r="O611" s="313"/>
      <c r="P611" s="313"/>
      <c r="Q611" s="313"/>
      <c r="R611" s="313"/>
      <c r="S611" s="313"/>
      <c r="T611" s="313">
        <f t="shared" si="68"/>
        <v>7</v>
      </c>
      <c r="U611" s="313">
        <f t="shared" si="68"/>
        <v>1</v>
      </c>
      <c r="V611" s="313">
        <f t="shared" si="68"/>
        <v>6</v>
      </c>
      <c r="W611" s="313">
        <f t="shared" si="68"/>
        <v>0</v>
      </c>
      <c r="X611" s="313">
        <f t="shared" si="68"/>
        <v>0</v>
      </c>
      <c r="Y611" s="313">
        <f t="shared" si="68"/>
        <v>0</v>
      </c>
      <c r="Z611" s="313">
        <f t="shared" si="68"/>
        <v>80</v>
      </c>
      <c r="AA611" s="313">
        <f t="shared" si="68"/>
        <v>0</v>
      </c>
      <c r="AB611" s="313">
        <f t="shared" si="68"/>
        <v>0</v>
      </c>
      <c r="AD611" s="313">
        <f t="shared" si="68"/>
        <v>7</v>
      </c>
      <c r="AE611" s="313">
        <f t="shared" si="68"/>
        <v>1</v>
      </c>
      <c r="AF611" s="313">
        <f t="shared" si="69"/>
        <v>6</v>
      </c>
      <c r="AG611" s="313">
        <f t="shared" si="69"/>
        <v>0</v>
      </c>
      <c r="AH611" s="313">
        <f t="shared" si="69"/>
        <v>0</v>
      </c>
      <c r="AI611" s="313">
        <f t="shared" si="69"/>
        <v>0</v>
      </c>
      <c r="AJ611" s="313">
        <f t="shared" si="69"/>
        <v>0</v>
      </c>
      <c r="AL611" s="314">
        <f t="shared" si="71"/>
        <v>3866506.0076350998</v>
      </c>
      <c r="AM611" s="314">
        <f t="shared" si="71"/>
        <v>0</v>
      </c>
      <c r="AN611" s="314">
        <f t="shared" si="71"/>
        <v>292883.9554063275</v>
      </c>
      <c r="AO611" s="314">
        <f t="shared" si="71"/>
        <v>0</v>
      </c>
      <c r="AP611" s="314">
        <f t="shared" si="71"/>
        <v>4159389.9630414275</v>
      </c>
      <c r="AR611" s="314">
        <f t="shared" si="71"/>
        <v>832531.4117647059</v>
      </c>
      <c r="AS611" s="314">
        <f t="shared" si="71"/>
        <v>0</v>
      </c>
      <c r="AT611" s="314">
        <f t="shared" si="71"/>
        <v>0</v>
      </c>
      <c r="AU611" s="314">
        <f t="shared" si="71"/>
        <v>0</v>
      </c>
      <c r="AV611" s="314">
        <f t="shared" si="71"/>
        <v>832531.4117647059</v>
      </c>
      <c r="AW611" s="314">
        <f t="shared" si="71"/>
        <v>3326858.5512767215</v>
      </c>
    </row>
    <row r="612" spans="1:49" x14ac:dyDescent="0.25">
      <c r="A612" s="311">
        <v>9684449</v>
      </c>
      <c r="B612" s="311"/>
      <c r="C612" s="315" t="str">
        <f t="shared" si="64"/>
        <v>NZO</v>
      </c>
      <c r="D612" s="315" t="str">
        <f t="shared" si="65"/>
        <v>Manželská a rodinná poradna Jičín</v>
      </c>
      <c r="E612" s="315" t="str">
        <f t="shared" si="66"/>
        <v>Centrum sociální pomoci a služeb o. p. s.</v>
      </c>
      <c r="F612" s="313">
        <f t="shared" si="67"/>
        <v>9684449</v>
      </c>
      <c r="G612" s="313"/>
      <c r="H612" s="313"/>
      <c r="I612" s="313"/>
      <c r="J612" s="313"/>
      <c r="K612" s="313"/>
      <c r="L612" s="313"/>
      <c r="M612" s="313"/>
      <c r="N612" s="313"/>
      <c r="O612" s="313"/>
      <c r="P612" s="313"/>
      <c r="Q612" s="313"/>
      <c r="R612" s="313"/>
      <c r="S612" s="313"/>
      <c r="T612" s="313">
        <f t="shared" si="68"/>
        <v>1.5</v>
      </c>
      <c r="U612" s="313">
        <f t="shared" si="68"/>
        <v>1</v>
      </c>
      <c r="V612" s="313">
        <f t="shared" si="68"/>
        <v>0</v>
      </c>
      <c r="W612" s="313">
        <f t="shared" si="68"/>
        <v>0</v>
      </c>
      <c r="X612" s="313">
        <f t="shared" si="68"/>
        <v>0.5</v>
      </c>
      <c r="Y612" s="313">
        <f t="shared" si="68"/>
        <v>0</v>
      </c>
      <c r="Z612" s="313">
        <f t="shared" si="68"/>
        <v>10</v>
      </c>
      <c r="AA612" s="313">
        <f t="shared" si="68"/>
        <v>0</v>
      </c>
      <c r="AB612" s="313">
        <f t="shared" si="68"/>
        <v>0</v>
      </c>
      <c r="AD612" s="313">
        <f t="shared" si="68"/>
        <v>1.5</v>
      </c>
      <c r="AE612" s="313">
        <f t="shared" si="68"/>
        <v>1</v>
      </c>
      <c r="AF612" s="313">
        <f t="shared" si="69"/>
        <v>0</v>
      </c>
      <c r="AG612" s="313">
        <f t="shared" si="69"/>
        <v>0</v>
      </c>
      <c r="AH612" s="313">
        <f t="shared" si="69"/>
        <v>0.5</v>
      </c>
      <c r="AI612" s="313">
        <f t="shared" si="69"/>
        <v>0</v>
      </c>
      <c r="AJ612" s="313">
        <f t="shared" si="69"/>
        <v>0</v>
      </c>
      <c r="AL612" s="314">
        <f t="shared" si="71"/>
        <v>998818.86899641552</v>
      </c>
      <c r="AM612" s="314">
        <f t="shared" si="71"/>
        <v>0</v>
      </c>
      <c r="AN612" s="314">
        <f t="shared" si="71"/>
        <v>69310.215917682479</v>
      </c>
      <c r="AO612" s="314">
        <f t="shared" si="71"/>
        <v>0</v>
      </c>
      <c r="AP612" s="314">
        <f t="shared" si="71"/>
        <v>1068129.084914098</v>
      </c>
      <c r="AR612" s="314">
        <f t="shared" si="71"/>
        <v>0</v>
      </c>
      <c r="AS612" s="314">
        <f t="shared" si="71"/>
        <v>0</v>
      </c>
      <c r="AT612" s="314">
        <f t="shared" si="71"/>
        <v>0</v>
      </c>
      <c r="AU612" s="314">
        <f t="shared" si="71"/>
        <v>0</v>
      </c>
      <c r="AV612" s="314">
        <f t="shared" si="71"/>
        <v>0</v>
      </c>
      <c r="AW612" s="314">
        <f t="shared" si="71"/>
        <v>1068129.084914098</v>
      </c>
    </row>
    <row r="613" spans="1:49" x14ac:dyDescent="0.25">
      <c r="A613" s="311">
        <v>9688838</v>
      </c>
      <c r="B613" s="311"/>
      <c r="C613" s="315" t="str">
        <f t="shared" si="64"/>
        <v>Obce</v>
      </c>
      <c r="D613" s="315" t="str">
        <f t="shared" si="65"/>
        <v>Domov pro seniory Trutnov</v>
      </c>
      <c r="E613" s="315" t="str">
        <f t="shared" si="66"/>
        <v>Domov pro seniory Trutnov</v>
      </c>
      <c r="F613" s="313">
        <f t="shared" si="67"/>
        <v>9688838</v>
      </c>
      <c r="G613" s="313"/>
      <c r="H613" s="313"/>
      <c r="I613" s="313"/>
      <c r="J613" s="313"/>
      <c r="K613" s="313"/>
      <c r="L613" s="313"/>
      <c r="M613" s="313"/>
      <c r="N613" s="313"/>
      <c r="O613" s="313"/>
      <c r="P613" s="313"/>
      <c r="Q613" s="313"/>
      <c r="R613" s="313"/>
      <c r="S613" s="313"/>
      <c r="T613" s="313">
        <f t="shared" si="68"/>
        <v>64</v>
      </c>
      <c r="U613" s="313">
        <f t="shared" si="68"/>
        <v>4</v>
      </c>
      <c r="V613" s="313">
        <f t="shared" si="68"/>
        <v>41</v>
      </c>
      <c r="W613" s="313">
        <f t="shared" si="68"/>
        <v>19</v>
      </c>
      <c r="X613" s="313">
        <f t="shared" si="68"/>
        <v>0</v>
      </c>
      <c r="Y613" s="313">
        <f t="shared" si="68"/>
        <v>124</v>
      </c>
      <c r="Z613" s="313">
        <f t="shared" si="68"/>
        <v>0</v>
      </c>
      <c r="AA613" s="313">
        <f t="shared" si="68"/>
        <v>0</v>
      </c>
      <c r="AB613" s="313">
        <f t="shared" si="68"/>
        <v>0</v>
      </c>
      <c r="AD613" s="313">
        <f t="shared" si="68"/>
        <v>64</v>
      </c>
      <c r="AE613" s="313">
        <f t="shared" si="68"/>
        <v>4</v>
      </c>
      <c r="AF613" s="313">
        <f t="shared" si="69"/>
        <v>41</v>
      </c>
      <c r="AG613" s="313">
        <f t="shared" si="69"/>
        <v>19</v>
      </c>
      <c r="AH613" s="313">
        <f t="shared" si="69"/>
        <v>0</v>
      </c>
      <c r="AI613" s="313">
        <f t="shared" si="69"/>
        <v>124</v>
      </c>
      <c r="AJ613" s="313">
        <f t="shared" si="69"/>
        <v>0</v>
      </c>
      <c r="AL613" s="314">
        <f t="shared" si="71"/>
        <v>29340206.529572312</v>
      </c>
      <c r="AM613" s="314">
        <f t="shared" si="71"/>
        <v>15403427.177188603</v>
      </c>
      <c r="AN613" s="314">
        <f t="shared" si="71"/>
        <v>12161377.284363784</v>
      </c>
      <c r="AO613" s="314">
        <f t="shared" si="71"/>
        <v>8527616.3955739643</v>
      </c>
      <c r="AP613" s="314">
        <f t="shared" si="71"/>
        <v>65432627.386698663</v>
      </c>
      <c r="AR613" s="314">
        <f t="shared" si="71"/>
        <v>13921540.159327066</v>
      </c>
      <c r="AS613" s="314">
        <f t="shared" si="71"/>
        <v>3626363.7262479872</v>
      </c>
      <c r="AT613" s="314">
        <f t="shared" si="71"/>
        <v>8794548.0535854995</v>
      </c>
      <c r="AU613" s="314">
        <f t="shared" si="71"/>
        <v>6308755.8069852944</v>
      </c>
      <c r="AV613" s="314">
        <f t="shared" si="71"/>
        <v>32651207.746145844</v>
      </c>
      <c r="AW613" s="314">
        <f t="shared" si="71"/>
        <v>32781419.640552819</v>
      </c>
    </row>
    <row r="614" spans="1:49" x14ac:dyDescent="0.25">
      <c r="A614" s="311">
        <v>9735411</v>
      </c>
      <c r="B614" s="311"/>
      <c r="C614" s="315" t="str">
        <f t="shared" si="64"/>
        <v>NZO</v>
      </c>
      <c r="D614" s="315" t="str">
        <f t="shared" si="65"/>
        <v>Pečovatelská služba</v>
      </c>
      <c r="E614" s="315" t="str">
        <f t="shared" si="66"/>
        <v>Centrum sociální pomoci a služeb o. p. s.</v>
      </c>
      <c r="F614" s="313">
        <f t="shared" si="67"/>
        <v>9735411</v>
      </c>
      <c r="G614" s="313"/>
      <c r="H614" s="313"/>
      <c r="I614" s="313"/>
      <c r="J614" s="313"/>
      <c r="K614" s="313"/>
      <c r="L614" s="313"/>
      <c r="M614" s="313"/>
      <c r="N614" s="313"/>
      <c r="O614" s="313"/>
      <c r="P614" s="313"/>
      <c r="Q614" s="313"/>
      <c r="R614" s="313"/>
      <c r="S614" s="313"/>
      <c r="T614" s="313">
        <f t="shared" si="68"/>
        <v>31.15</v>
      </c>
      <c r="U614" s="313">
        <f t="shared" si="68"/>
        <v>1.9</v>
      </c>
      <c r="V614" s="313">
        <f t="shared" si="68"/>
        <v>29.25</v>
      </c>
      <c r="W614" s="313">
        <f t="shared" si="68"/>
        <v>0</v>
      </c>
      <c r="X614" s="313">
        <f t="shared" si="68"/>
        <v>0</v>
      </c>
      <c r="Y614" s="313">
        <f t="shared" si="68"/>
        <v>0</v>
      </c>
      <c r="Z614" s="313">
        <f t="shared" si="68"/>
        <v>220</v>
      </c>
      <c r="AA614" s="313">
        <f t="shared" si="68"/>
        <v>0</v>
      </c>
      <c r="AB614" s="313">
        <f t="shared" si="68"/>
        <v>0</v>
      </c>
      <c r="AD614" s="313">
        <f t="shared" si="68"/>
        <v>31.15</v>
      </c>
      <c r="AE614" s="313">
        <f t="shared" si="68"/>
        <v>1.9</v>
      </c>
      <c r="AF614" s="313">
        <f t="shared" si="69"/>
        <v>29.25</v>
      </c>
      <c r="AG614" s="313">
        <f t="shared" si="69"/>
        <v>0</v>
      </c>
      <c r="AH614" s="313">
        <f t="shared" si="69"/>
        <v>0</v>
      </c>
      <c r="AI614" s="313">
        <f t="shared" si="69"/>
        <v>0</v>
      </c>
      <c r="AJ614" s="313">
        <f t="shared" si="69"/>
        <v>0</v>
      </c>
      <c r="AL614" s="314">
        <f t="shared" si="71"/>
        <v>17205951.733976193</v>
      </c>
      <c r="AM614" s="314">
        <f t="shared" si="71"/>
        <v>0</v>
      </c>
      <c r="AN614" s="314">
        <f t="shared" si="71"/>
        <v>1303333.6015581572</v>
      </c>
      <c r="AO614" s="314">
        <f t="shared" si="71"/>
        <v>0</v>
      </c>
      <c r="AP614" s="314">
        <f t="shared" si="71"/>
        <v>18509285.335534349</v>
      </c>
      <c r="AR614" s="314">
        <f t="shared" si="71"/>
        <v>4058590.6323529412</v>
      </c>
      <c r="AS614" s="314">
        <f t="shared" si="71"/>
        <v>0</v>
      </c>
      <c r="AT614" s="314">
        <f t="shared" si="71"/>
        <v>0</v>
      </c>
      <c r="AU614" s="314">
        <f t="shared" si="71"/>
        <v>0</v>
      </c>
      <c r="AV614" s="314">
        <f t="shared" si="71"/>
        <v>4058590.6323529412</v>
      </c>
      <c r="AW614" s="314">
        <f t="shared" si="71"/>
        <v>14450694.703181408</v>
      </c>
    </row>
    <row r="615" spans="1:49" x14ac:dyDescent="0.25">
      <c r="A615" s="311">
        <v>9767213</v>
      </c>
      <c r="B615" s="311"/>
      <c r="C615" s="315" t="str">
        <f t="shared" si="64"/>
        <v>NZO</v>
      </c>
      <c r="D615" s="315" t="str">
        <f t="shared" si="65"/>
        <v>Sociální rehabilitace APROPO</v>
      </c>
      <c r="E615" s="315" t="str">
        <f t="shared" si="66"/>
        <v>Apropo Jičín, o. p. s.</v>
      </c>
      <c r="F615" s="313">
        <f t="shared" si="67"/>
        <v>9767213</v>
      </c>
      <c r="G615" s="313"/>
      <c r="H615" s="313"/>
      <c r="I615" s="313"/>
      <c r="J615" s="313"/>
      <c r="K615" s="313"/>
      <c r="L615" s="313"/>
      <c r="M615" s="313"/>
      <c r="N615" s="313"/>
      <c r="O615" s="313"/>
      <c r="P615" s="313"/>
      <c r="Q615" s="313"/>
      <c r="R615" s="313"/>
      <c r="S615" s="313"/>
      <c r="T615" s="313">
        <f t="shared" si="68"/>
        <v>4.2</v>
      </c>
      <c r="U615" s="313">
        <f t="shared" si="68"/>
        <v>1.6</v>
      </c>
      <c r="V615" s="313">
        <f t="shared" si="68"/>
        <v>2.6</v>
      </c>
      <c r="W615" s="313">
        <f t="shared" si="68"/>
        <v>0</v>
      </c>
      <c r="X615" s="313">
        <f t="shared" si="68"/>
        <v>0</v>
      </c>
      <c r="Y615" s="313">
        <f t="shared" si="68"/>
        <v>0</v>
      </c>
      <c r="Z615" s="313">
        <f t="shared" si="68"/>
        <v>32</v>
      </c>
      <c r="AA615" s="313">
        <f t="shared" si="68"/>
        <v>12</v>
      </c>
      <c r="AB615" s="313">
        <f t="shared" si="68"/>
        <v>0</v>
      </c>
      <c r="AD615" s="313">
        <f t="shared" si="68"/>
        <v>4.2</v>
      </c>
      <c r="AE615" s="313">
        <f t="shared" si="68"/>
        <v>1.6</v>
      </c>
      <c r="AF615" s="313">
        <f t="shared" si="69"/>
        <v>2.6</v>
      </c>
      <c r="AG615" s="313">
        <f t="shared" si="69"/>
        <v>0</v>
      </c>
      <c r="AH615" s="313">
        <f t="shared" si="69"/>
        <v>0</v>
      </c>
      <c r="AI615" s="313">
        <f t="shared" si="69"/>
        <v>0</v>
      </c>
      <c r="AJ615" s="313">
        <f t="shared" si="69"/>
        <v>12</v>
      </c>
      <c r="AL615" s="314">
        <f t="shared" si="71"/>
        <v>2820833.4854898043</v>
      </c>
      <c r="AM615" s="314">
        <f t="shared" si="71"/>
        <v>0</v>
      </c>
      <c r="AN615" s="314">
        <f t="shared" si="71"/>
        <v>179680.13851168595</v>
      </c>
      <c r="AO615" s="314">
        <f t="shared" si="71"/>
        <v>0</v>
      </c>
      <c r="AP615" s="314">
        <f t="shared" si="71"/>
        <v>3000513.6240014904</v>
      </c>
      <c r="AR615" s="314">
        <f t="shared" si="71"/>
        <v>0</v>
      </c>
      <c r="AS615" s="314">
        <f t="shared" si="71"/>
        <v>0</v>
      </c>
      <c r="AT615" s="314">
        <f t="shared" si="71"/>
        <v>0</v>
      </c>
      <c r="AU615" s="314">
        <f t="shared" si="71"/>
        <v>0</v>
      </c>
      <c r="AV615" s="314">
        <f t="shared" si="71"/>
        <v>0</v>
      </c>
      <c r="AW615" s="314">
        <f t="shared" si="71"/>
        <v>3000513.6240014904</v>
      </c>
    </row>
    <row r="616" spans="1:49" x14ac:dyDescent="0.25">
      <c r="A616" s="311">
        <v>9775815</v>
      </c>
      <c r="B616" s="311"/>
      <c r="C616" s="315" t="str">
        <f t="shared" si="64"/>
        <v>NZO</v>
      </c>
      <c r="D616" s="315" t="str">
        <f t="shared" si="65"/>
        <v>Perinatální hospic</v>
      </c>
      <c r="E616" s="315" t="str">
        <f t="shared" si="66"/>
        <v>Perinatální hospic Dítě v srdci, z. s.</v>
      </c>
      <c r="F616" s="313">
        <f t="shared" si="67"/>
        <v>9775815</v>
      </c>
      <c r="G616" s="313"/>
      <c r="H616" s="313"/>
      <c r="I616" s="313"/>
      <c r="J616" s="313"/>
      <c r="K616" s="313"/>
      <c r="L616" s="313"/>
      <c r="M616" s="313"/>
      <c r="N616" s="313"/>
      <c r="O616" s="313"/>
      <c r="P616" s="313"/>
      <c r="Q616" s="313"/>
      <c r="R616" s="313"/>
      <c r="S616" s="313"/>
      <c r="T616" s="313">
        <f t="shared" si="68"/>
        <v>1.1499999999999999</v>
      </c>
      <c r="U616" s="313">
        <f t="shared" si="68"/>
        <v>0.75</v>
      </c>
      <c r="V616" s="313">
        <f t="shared" si="68"/>
        <v>0</v>
      </c>
      <c r="W616" s="313">
        <f t="shared" si="68"/>
        <v>0.2</v>
      </c>
      <c r="X616" s="313">
        <f t="shared" si="68"/>
        <v>0.2</v>
      </c>
      <c r="Y616" s="313">
        <f t="shared" si="68"/>
        <v>0</v>
      </c>
      <c r="Z616" s="313">
        <f t="shared" si="68"/>
        <v>7</v>
      </c>
      <c r="AA616" s="313">
        <f t="shared" si="68"/>
        <v>0</v>
      </c>
      <c r="AB616" s="313">
        <f t="shared" si="68"/>
        <v>0</v>
      </c>
      <c r="AD616" s="313">
        <f t="shared" si="68"/>
        <v>1.1499999999999999</v>
      </c>
      <c r="AE616" s="313">
        <f t="shared" si="68"/>
        <v>0.75</v>
      </c>
      <c r="AF616" s="313">
        <f t="shared" si="69"/>
        <v>0</v>
      </c>
      <c r="AG616" s="313">
        <f t="shared" si="69"/>
        <v>0.2</v>
      </c>
      <c r="AH616" s="313">
        <f t="shared" si="69"/>
        <v>0.2</v>
      </c>
      <c r="AI616" s="313">
        <f t="shared" si="69"/>
        <v>0</v>
      </c>
      <c r="AJ616" s="313">
        <f t="shared" si="69"/>
        <v>0</v>
      </c>
      <c r="AL616" s="314">
        <f t="shared" si="71"/>
        <v>765761.13289725187</v>
      </c>
      <c r="AM616" s="314">
        <f t="shared" si="71"/>
        <v>0</v>
      </c>
      <c r="AN616" s="314">
        <f t="shared" si="71"/>
        <v>53137.832203556558</v>
      </c>
      <c r="AO616" s="314">
        <f t="shared" si="71"/>
        <v>0</v>
      </c>
      <c r="AP616" s="314">
        <f t="shared" si="71"/>
        <v>818898.96510080842</v>
      </c>
      <c r="AR616" s="314">
        <f t="shared" si="71"/>
        <v>0</v>
      </c>
      <c r="AS616" s="314">
        <f t="shared" si="71"/>
        <v>0</v>
      </c>
      <c r="AT616" s="314">
        <f t="shared" si="71"/>
        <v>0</v>
      </c>
      <c r="AU616" s="314">
        <f t="shared" si="71"/>
        <v>0</v>
      </c>
      <c r="AV616" s="314">
        <f t="shared" si="71"/>
        <v>0</v>
      </c>
      <c r="AW616" s="314">
        <f t="shared" si="71"/>
        <v>818898.96510080842</v>
      </c>
    </row>
    <row r="617" spans="1:49" x14ac:dyDescent="0.25">
      <c r="A617" s="311">
        <v>9818505</v>
      </c>
      <c r="B617" s="311"/>
      <c r="C617" s="315" t="str">
        <f t="shared" si="64"/>
        <v>NZO</v>
      </c>
      <c r="D617" s="315" t="str">
        <f t="shared" si="65"/>
        <v>Tréninková kavárna Láry Fáry - tréninkové pracoviště pro osoby s mentálním postižením</v>
      </c>
      <c r="E617" s="315" t="str">
        <f t="shared" si="66"/>
        <v>PFERDA z.ú.</v>
      </c>
      <c r="F617" s="313">
        <f t="shared" si="67"/>
        <v>9818505</v>
      </c>
      <c r="G617" s="313"/>
      <c r="H617" s="313"/>
      <c r="I617" s="313"/>
      <c r="J617" s="313"/>
      <c r="K617" s="313"/>
      <c r="L617" s="313"/>
      <c r="M617" s="313"/>
      <c r="N617" s="313"/>
      <c r="O617" s="313"/>
      <c r="P617" s="313"/>
      <c r="Q617" s="313"/>
      <c r="R617" s="313"/>
      <c r="S617" s="313"/>
      <c r="T617" s="313">
        <f t="shared" si="68"/>
        <v>3.5</v>
      </c>
      <c r="U617" s="313">
        <f t="shared" si="68"/>
        <v>2</v>
      </c>
      <c r="V617" s="313">
        <f t="shared" si="68"/>
        <v>1.5</v>
      </c>
      <c r="W617" s="313">
        <f t="shared" si="68"/>
        <v>0</v>
      </c>
      <c r="X617" s="313">
        <f t="shared" si="68"/>
        <v>0</v>
      </c>
      <c r="Y617" s="313">
        <f t="shared" si="68"/>
        <v>0</v>
      </c>
      <c r="Z617" s="313">
        <f t="shared" si="68"/>
        <v>20</v>
      </c>
      <c r="AA617" s="313">
        <f t="shared" si="68"/>
        <v>0</v>
      </c>
      <c r="AB617" s="313">
        <f t="shared" si="68"/>
        <v>0</v>
      </c>
      <c r="AD617" s="313">
        <f t="shared" si="68"/>
        <v>3.5</v>
      </c>
      <c r="AE617" s="313">
        <f t="shared" si="68"/>
        <v>2</v>
      </c>
      <c r="AF617" s="313">
        <f t="shared" si="69"/>
        <v>1.5</v>
      </c>
      <c r="AG617" s="313">
        <f t="shared" si="69"/>
        <v>0</v>
      </c>
      <c r="AH617" s="313">
        <f t="shared" si="69"/>
        <v>0</v>
      </c>
      <c r="AI617" s="313">
        <f t="shared" si="69"/>
        <v>0</v>
      </c>
      <c r="AJ617" s="313">
        <f t="shared" si="69"/>
        <v>0</v>
      </c>
      <c r="AL617" s="314">
        <f t="shared" si="71"/>
        <v>2350694.5712415036</v>
      </c>
      <c r="AM617" s="314">
        <f t="shared" si="71"/>
        <v>0</v>
      </c>
      <c r="AN617" s="314">
        <f t="shared" si="71"/>
        <v>149733.4487597383</v>
      </c>
      <c r="AO617" s="314">
        <f t="shared" si="71"/>
        <v>0</v>
      </c>
      <c r="AP617" s="314">
        <f t="shared" si="71"/>
        <v>2500428.0200012419</v>
      </c>
      <c r="AR617" s="314">
        <f t="shared" si="71"/>
        <v>0</v>
      </c>
      <c r="AS617" s="314">
        <f t="shared" si="71"/>
        <v>0</v>
      </c>
      <c r="AT617" s="314">
        <f t="shared" si="71"/>
        <v>0</v>
      </c>
      <c r="AU617" s="314">
        <f t="shared" si="71"/>
        <v>0</v>
      </c>
      <c r="AV617" s="314">
        <f t="shared" si="71"/>
        <v>0</v>
      </c>
      <c r="AW617" s="314">
        <f t="shared" si="71"/>
        <v>2500428.0200012419</v>
      </c>
    </row>
    <row r="618" spans="1:49" x14ac:dyDescent="0.25">
      <c r="A618" s="311">
        <v>9870958</v>
      </c>
      <c r="B618" s="311"/>
      <c r="C618" s="315" t="str">
        <f t="shared" si="64"/>
        <v>PO KHK</v>
      </c>
      <c r="D618" s="315" t="str">
        <f t="shared" si="65"/>
        <v>Kontaktní centrum</v>
      </c>
      <c r="E618" s="315" t="str">
        <f t="shared" si="66"/>
        <v>Sdružení ozdravoven a léčeben okresu Trutnov</v>
      </c>
      <c r="F618" s="313">
        <f t="shared" si="67"/>
        <v>9870958</v>
      </c>
      <c r="G618" s="313"/>
      <c r="H618" s="313"/>
      <c r="I618" s="313"/>
      <c r="J618" s="313"/>
      <c r="K618" s="313"/>
      <c r="L618" s="313"/>
      <c r="M618" s="313"/>
      <c r="N618" s="313"/>
      <c r="O618" s="313"/>
      <c r="P618" s="313"/>
      <c r="Q618" s="313"/>
      <c r="R618" s="313"/>
      <c r="S618" s="313"/>
      <c r="T618" s="313">
        <f t="shared" si="68"/>
        <v>3.3</v>
      </c>
      <c r="U618" s="313">
        <f t="shared" si="68"/>
        <v>3.1</v>
      </c>
      <c r="V618" s="313">
        <f t="shared" si="68"/>
        <v>0</v>
      </c>
      <c r="W618" s="313">
        <f t="shared" si="68"/>
        <v>0.2</v>
      </c>
      <c r="X618" s="313">
        <f t="shared" si="68"/>
        <v>0</v>
      </c>
      <c r="Y618" s="313">
        <f t="shared" si="68"/>
        <v>0</v>
      </c>
      <c r="Z618" s="313">
        <f t="shared" si="68"/>
        <v>0</v>
      </c>
      <c r="AA618" s="313">
        <f t="shared" si="68"/>
        <v>9</v>
      </c>
      <c r="AB618" s="313">
        <f t="shared" si="68"/>
        <v>0</v>
      </c>
      <c r="AD618" s="313">
        <f t="shared" si="68"/>
        <v>3.3</v>
      </c>
      <c r="AE618" s="313">
        <f t="shared" si="68"/>
        <v>3.1</v>
      </c>
      <c r="AF618" s="313">
        <f t="shared" si="69"/>
        <v>0</v>
      </c>
      <c r="AG618" s="313">
        <f t="shared" si="69"/>
        <v>0.2</v>
      </c>
      <c r="AH618" s="313">
        <f t="shared" si="69"/>
        <v>0</v>
      </c>
      <c r="AI618" s="313">
        <f t="shared" si="69"/>
        <v>0</v>
      </c>
      <c r="AJ618" s="313">
        <f t="shared" si="69"/>
        <v>9</v>
      </c>
      <c r="AL618" s="314">
        <f t="shared" si="71"/>
        <v>2922238.5231960351</v>
      </c>
      <c r="AM618" s="314">
        <f t="shared" si="71"/>
        <v>0</v>
      </c>
      <c r="AN618" s="314">
        <f t="shared" si="71"/>
        <v>730409.20360368129</v>
      </c>
      <c r="AO618" s="314">
        <f t="shared" si="71"/>
        <v>6671.1824999999999</v>
      </c>
      <c r="AP618" s="314">
        <f t="shared" si="71"/>
        <v>3659318.9092997164</v>
      </c>
      <c r="AR618" s="314">
        <f t="shared" si="71"/>
        <v>0</v>
      </c>
      <c r="AS618" s="314">
        <f t="shared" si="71"/>
        <v>0</v>
      </c>
      <c r="AT618" s="314">
        <f t="shared" si="71"/>
        <v>0</v>
      </c>
      <c r="AU618" s="314">
        <f t="shared" si="71"/>
        <v>0</v>
      </c>
      <c r="AV618" s="314">
        <f t="shared" si="71"/>
        <v>0</v>
      </c>
      <c r="AW618" s="314">
        <f t="shared" si="71"/>
        <v>3659318.9092997164</v>
      </c>
    </row>
    <row r="619" spans="1:49" x14ac:dyDescent="0.25">
      <c r="A619" s="311">
        <v>9924037</v>
      </c>
      <c r="B619" s="311"/>
      <c r="C619" s="315" t="str">
        <f t="shared" si="64"/>
        <v>PO KHK</v>
      </c>
      <c r="D619" s="315" t="str">
        <f t="shared" si="65"/>
        <v>Domov pro seniory Vrchlabí</v>
      </c>
      <c r="E619" s="315" t="str">
        <f t="shared" si="66"/>
        <v>Domov pro seniory Vrchlabí</v>
      </c>
      <c r="F619" s="313">
        <f t="shared" si="67"/>
        <v>9924037</v>
      </c>
      <c r="G619" s="313"/>
      <c r="H619" s="313"/>
      <c r="I619" s="313"/>
      <c r="J619" s="313"/>
      <c r="K619" s="313"/>
      <c r="L619" s="313"/>
      <c r="M619" s="313"/>
      <c r="N619" s="313"/>
      <c r="O619" s="313"/>
      <c r="P619" s="313"/>
      <c r="Q619" s="313"/>
      <c r="R619" s="313"/>
      <c r="S619" s="313"/>
      <c r="T619" s="313">
        <f t="shared" si="68"/>
        <v>7.3</v>
      </c>
      <c r="U619" s="313">
        <f t="shared" si="68"/>
        <v>0.15</v>
      </c>
      <c r="V619" s="313">
        <f t="shared" si="68"/>
        <v>5.5</v>
      </c>
      <c r="W619" s="313">
        <f t="shared" si="68"/>
        <v>1.65</v>
      </c>
      <c r="X619" s="313">
        <f t="shared" si="68"/>
        <v>0</v>
      </c>
      <c r="Y619" s="313">
        <f t="shared" si="68"/>
        <v>10</v>
      </c>
      <c r="Z619" s="313">
        <f t="shared" si="68"/>
        <v>0</v>
      </c>
      <c r="AA619" s="313">
        <f t="shared" si="68"/>
        <v>0</v>
      </c>
      <c r="AB619" s="313">
        <f t="shared" si="68"/>
        <v>0</v>
      </c>
      <c r="AD619" s="313">
        <f t="shared" si="68"/>
        <v>7.3</v>
      </c>
      <c r="AE619" s="313">
        <f t="shared" si="68"/>
        <v>0.15</v>
      </c>
      <c r="AF619" s="313">
        <f t="shared" si="69"/>
        <v>5.5</v>
      </c>
      <c r="AG619" s="313">
        <f t="shared" si="69"/>
        <v>1.65</v>
      </c>
      <c r="AH619" s="313">
        <f t="shared" si="69"/>
        <v>0</v>
      </c>
      <c r="AI619" s="313">
        <f t="shared" si="69"/>
        <v>10</v>
      </c>
      <c r="AJ619" s="313">
        <f t="shared" si="69"/>
        <v>0</v>
      </c>
      <c r="AL619" s="314">
        <f t="shared" si="71"/>
        <v>3605423.7124145934</v>
      </c>
      <c r="AM619" s="314">
        <f t="shared" si="71"/>
        <v>1333772.6920011793</v>
      </c>
      <c r="AN619" s="314">
        <f t="shared" si="71"/>
        <v>965209.15090422682</v>
      </c>
      <c r="AO619" s="314">
        <f t="shared" si="71"/>
        <v>650874.59271680634</v>
      </c>
      <c r="AP619" s="314">
        <f t="shared" si="71"/>
        <v>6555280.1480368068</v>
      </c>
      <c r="AR619" s="314">
        <f t="shared" si="71"/>
        <v>1200682.2</v>
      </c>
      <c r="AS619" s="314">
        <f t="shared" si="71"/>
        <v>224820.96249999999</v>
      </c>
      <c r="AT619" s="314">
        <f t="shared" si="71"/>
        <v>664418.27586206899</v>
      </c>
      <c r="AU619" s="314">
        <f t="shared" si="71"/>
        <v>510013.5</v>
      </c>
      <c r="AV619" s="314">
        <f t="shared" si="71"/>
        <v>2599934.938362069</v>
      </c>
      <c r="AW619" s="314">
        <f t="shared" si="71"/>
        <v>3955345.2096747379</v>
      </c>
    </row>
    <row r="620" spans="1:49" x14ac:dyDescent="0.25">
      <c r="A620" s="311">
        <v>9924639</v>
      </c>
      <c r="B620" s="311"/>
      <c r="C620" s="315" t="str">
        <f t="shared" si="64"/>
        <v>Obce</v>
      </c>
      <c r="D620" s="315" t="str">
        <f t="shared" si="65"/>
        <v>Pečovatelská služba Města Dvůr Králové nad Labem</v>
      </c>
      <c r="E620" s="315" t="str">
        <f t="shared" si="66"/>
        <v>Pečovatelská služba Města Dvůr Králové nad Labem</v>
      </c>
      <c r="F620" s="313">
        <f t="shared" si="67"/>
        <v>9924639</v>
      </c>
      <c r="G620" s="313"/>
      <c r="H620" s="313"/>
      <c r="I620" s="313"/>
      <c r="J620" s="313"/>
      <c r="K620" s="313"/>
      <c r="L620" s="313"/>
      <c r="M620" s="313"/>
      <c r="N620" s="313"/>
      <c r="O620" s="313"/>
      <c r="P620" s="313"/>
      <c r="Q620" s="313"/>
      <c r="R620" s="313"/>
      <c r="S620" s="313"/>
      <c r="T620" s="313">
        <f t="shared" si="68"/>
        <v>14.75</v>
      </c>
      <c r="U620" s="313">
        <f t="shared" si="68"/>
        <v>1.25</v>
      </c>
      <c r="V620" s="313">
        <f t="shared" si="68"/>
        <v>13.5</v>
      </c>
      <c r="W620" s="313">
        <f t="shared" si="68"/>
        <v>0</v>
      </c>
      <c r="X620" s="313">
        <f t="shared" si="68"/>
        <v>0</v>
      </c>
      <c r="Y620" s="313">
        <f t="shared" si="68"/>
        <v>0</v>
      </c>
      <c r="Z620" s="313">
        <f t="shared" si="68"/>
        <v>190</v>
      </c>
      <c r="AA620" s="313">
        <f t="shared" si="68"/>
        <v>11</v>
      </c>
      <c r="AB620" s="313">
        <f t="shared" si="68"/>
        <v>0</v>
      </c>
      <c r="AD620" s="313">
        <f t="shared" si="68"/>
        <v>14.75</v>
      </c>
      <c r="AE620" s="313">
        <f t="shared" si="68"/>
        <v>1.25</v>
      </c>
      <c r="AF620" s="313">
        <f t="shared" si="69"/>
        <v>13.5</v>
      </c>
      <c r="AG620" s="313">
        <f t="shared" si="69"/>
        <v>0</v>
      </c>
      <c r="AH620" s="313">
        <f t="shared" si="69"/>
        <v>0</v>
      </c>
      <c r="AI620" s="313">
        <f t="shared" si="69"/>
        <v>0</v>
      </c>
      <c r="AJ620" s="313">
        <f t="shared" si="69"/>
        <v>11</v>
      </c>
      <c r="AL620" s="314">
        <f t="shared" si="71"/>
        <v>8147280.5160882464</v>
      </c>
      <c r="AM620" s="314">
        <f t="shared" si="71"/>
        <v>0</v>
      </c>
      <c r="AN620" s="314">
        <f t="shared" si="71"/>
        <v>617148.3346061901</v>
      </c>
      <c r="AO620" s="314">
        <f t="shared" si="71"/>
        <v>0</v>
      </c>
      <c r="AP620" s="314">
        <f t="shared" si="71"/>
        <v>8764428.8506944366</v>
      </c>
      <c r="AR620" s="314">
        <f t="shared" si="71"/>
        <v>1873195.6764705882</v>
      </c>
      <c r="AS620" s="314">
        <f t="shared" si="71"/>
        <v>0</v>
      </c>
      <c r="AT620" s="314">
        <f t="shared" si="71"/>
        <v>0</v>
      </c>
      <c r="AU620" s="314">
        <f t="shared" si="71"/>
        <v>0</v>
      </c>
      <c r="AV620" s="314">
        <f t="shared" si="71"/>
        <v>1873195.6764705882</v>
      </c>
      <c r="AW620" s="314">
        <f t="shared" si="71"/>
        <v>6891233.1742238486</v>
      </c>
    </row>
    <row r="621" spans="1:49" x14ac:dyDescent="0.25">
      <c r="A621" s="311">
        <v>9940787</v>
      </c>
      <c r="B621" s="311"/>
      <c r="C621" s="315" t="str">
        <f t="shared" si="64"/>
        <v>Obce</v>
      </c>
      <c r="D621" s="315" t="str">
        <f t="shared" si="65"/>
        <v>Pečovatelská služba</v>
      </c>
      <c r="E621" s="315" t="str">
        <f t="shared" si="66"/>
        <v>Městské středisko sociálních služeb Oáza</v>
      </c>
      <c r="F621" s="313">
        <f t="shared" si="67"/>
        <v>9940787</v>
      </c>
      <c r="G621" s="313"/>
      <c r="H621" s="313"/>
      <c r="I621" s="313"/>
      <c r="J621" s="313"/>
      <c r="K621" s="313"/>
      <c r="L621" s="313"/>
      <c r="M621" s="313"/>
      <c r="N621" s="313"/>
      <c r="O621" s="313"/>
      <c r="P621" s="313"/>
      <c r="Q621" s="313"/>
      <c r="R621" s="313"/>
      <c r="S621" s="313"/>
      <c r="T621" s="313">
        <f t="shared" si="68"/>
        <v>10.65</v>
      </c>
      <c r="U621" s="313">
        <f t="shared" si="68"/>
        <v>1.1499999999999999</v>
      </c>
      <c r="V621" s="313">
        <f t="shared" si="68"/>
        <v>9.5</v>
      </c>
      <c r="W621" s="313">
        <f t="shared" si="68"/>
        <v>0</v>
      </c>
      <c r="X621" s="313">
        <f t="shared" si="68"/>
        <v>0</v>
      </c>
      <c r="Y621" s="313">
        <f t="shared" si="68"/>
        <v>0</v>
      </c>
      <c r="Z621" s="313">
        <f t="shared" si="68"/>
        <v>120</v>
      </c>
      <c r="AA621" s="313">
        <f t="shared" si="68"/>
        <v>0</v>
      </c>
      <c r="AB621" s="313">
        <f t="shared" si="68"/>
        <v>0</v>
      </c>
      <c r="AD621" s="313">
        <f t="shared" si="68"/>
        <v>10.65</v>
      </c>
      <c r="AE621" s="313">
        <f t="shared" si="68"/>
        <v>1.1499999999999999</v>
      </c>
      <c r="AF621" s="313">
        <f t="shared" si="69"/>
        <v>9.5</v>
      </c>
      <c r="AG621" s="313">
        <f t="shared" si="69"/>
        <v>0</v>
      </c>
      <c r="AH621" s="313">
        <f t="shared" si="69"/>
        <v>0</v>
      </c>
      <c r="AI621" s="313">
        <f t="shared" si="69"/>
        <v>0</v>
      </c>
      <c r="AJ621" s="313">
        <f t="shared" si="69"/>
        <v>0</v>
      </c>
      <c r="AL621" s="314">
        <f t="shared" si="71"/>
        <v>5882612.7116162591</v>
      </c>
      <c r="AM621" s="314">
        <f t="shared" si="71"/>
        <v>0</v>
      </c>
      <c r="AN621" s="314">
        <f t="shared" si="71"/>
        <v>445602.01786819828</v>
      </c>
      <c r="AO621" s="314">
        <f t="shared" si="71"/>
        <v>0</v>
      </c>
      <c r="AP621" s="314">
        <f t="shared" si="71"/>
        <v>6328214.7294844575</v>
      </c>
      <c r="AR621" s="314">
        <f t="shared" si="71"/>
        <v>1318174.7352941176</v>
      </c>
      <c r="AS621" s="314">
        <f t="shared" si="71"/>
        <v>0</v>
      </c>
      <c r="AT621" s="314">
        <f t="shared" si="71"/>
        <v>0</v>
      </c>
      <c r="AU621" s="314">
        <f t="shared" si="71"/>
        <v>0</v>
      </c>
      <c r="AV621" s="314">
        <f t="shared" si="71"/>
        <v>1318174.7352941176</v>
      </c>
      <c r="AW621" s="314">
        <f t="shared" si="71"/>
        <v>5010039.9941903399</v>
      </c>
    </row>
    <row r="622" spans="1:49" x14ac:dyDescent="0.25">
      <c r="A622" s="311">
        <v>9949795</v>
      </c>
      <c r="B622" s="311"/>
      <c r="C622" s="315" t="str">
        <f t="shared" si="64"/>
        <v>Obce</v>
      </c>
      <c r="D622" s="315" t="str">
        <f t="shared" si="65"/>
        <v>Pečovatelská služba Pecka</v>
      </c>
      <c r="E622" s="315" t="str">
        <f t="shared" si="66"/>
        <v>Městys Pecka</v>
      </c>
      <c r="F622" s="313">
        <f t="shared" si="67"/>
        <v>9949795</v>
      </c>
      <c r="G622" s="313"/>
      <c r="H622" s="313"/>
      <c r="I622" s="313"/>
      <c r="J622" s="313"/>
      <c r="K622" s="313"/>
      <c r="L622" s="313"/>
      <c r="M622" s="313"/>
      <c r="N622" s="313"/>
      <c r="O622" s="313"/>
      <c r="P622" s="313"/>
      <c r="Q622" s="313"/>
      <c r="R622" s="313"/>
      <c r="S622" s="313"/>
      <c r="T622" s="313">
        <f t="shared" si="68"/>
        <v>2.75</v>
      </c>
      <c r="U622" s="313">
        <f t="shared" si="68"/>
        <v>0</v>
      </c>
      <c r="V622" s="313">
        <f t="shared" si="68"/>
        <v>2.75</v>
      </c>
      <c r="W622" s="313">
        <f t="shared" si="68"/>
        <v>0</v>
      </c>
      <c r="X622" s="313">
        <f t="shared" si="68"/>
        <v>0</v>
      </c>
      <c r="Y622" s="313">
        <f t="shared" si="68"/>
        <v>0</v>
      </c>
      <c r="Z622" s="313">
        <f t="shared" si="68"/>
        <v>27</v>
      </c>
      <c r="AA622" s="313">
        <f t="shared" si="68"/>
        <v>0</v>
      </c>
      <c r="AB622" s="313">
        <f t="shared" si="68"/>
        <v>0</v>
      </c>
      <c r="AD622" s="313">
        <f t="shared" si="68"/>
        <v>2.75</v>
      </c>
      <c r="AE622" s="313">
        <f t="shared" si="68"/>
        <v>0</v>
      </c>
      <c r="AF622" s="313">
        <f t="shared" si="69"/>
        <v>2.75</v>
      </c>
      <c r="AG622" s="313">
        <f t="shared" si="69"/>
        <v>0</v>
      </c>
      <c r="AH622" s="313">
        <f t="shared" si="69"/>
        <v>0</v>
      </c>
      <c r="AI622" s="313">
        <f t="shared" si="69"/>
        <v>0</v>
      </c>
      <c r="AJ622" s="313">
        <f t="shared" si="69"/>
        <v>0</v>
      </c>
      <c r="AL622" s="314">
        <f t="shared" si="71"/>
        <v>1518984.5029995036</v>
      </c>
      <c r="AM622" s="314">
        <f t="shared" si="71"/>
        <v>0</v>
      </c>
      <c r="AN622" s="314">
        <f t="shared" si="71"/>
        <v>115061.55390962865</v>
      </c>
      <c r="AO622" s="314">
        <f t="shared" si="71"/>
        <v>0</v>
      </c>
      <c r="AP622" s="314">
        <f t="shared" si="71"/>
        <v>1634046.0569091323</v>
      </c>
      <c r="AR622" s="314">
        <f t="shared" si="71"/>
        <v>381576.89705882355</v>
      </c>
      <c r="AS622" s="314">
        <f t="shared" si="71"/>
        <v>0</v>
      </c>
      <c r="AT622" s="314">
        <f t="shared" si="71"/>
        <v>0</v>
      </c>
      <c r="AU622" s="314">
        <f t="shared" si="71"/>
        <v>0</v>
      </c>
      <c r="AV622" s="314">
        <f t="shared" si="71"/>
        <v>381576.89705882355</v>
      </c>
      <c r="AW622" s="314">
        <f t="shared" si="71"/>
        <v>1252469.1598503087</v>
      </c>
    </row>
    <row r="623" spans="1:49" x14ac:dyDescent="0.25">
      <c r="A623" s="311" t="s">
        <v>1808</v>
      </c>
      <c r="B623" s="311"/>
    </row>
  </sheetData>
  <sortState ref="A4:AW337">
    <sortCondition ref="B4:B337"/>
  </sortState>
  <conditionalFormatting sqref="C2:AK2">
    <cfRule type="cellIs" dxfId="17" priority="13" operator="equal">
      <formula>"Změna"</formula>
    </cfRule>
  </conditionalFormatting>
  <conditionalFormatting sqref="AD3:AJ337">
    <cfRule type="cellIs" dxfId="16" priority="8" operator="equal">
      <formula>0</formula>
    </cfRule>
  </conditionalFormatting>
  <conditionalFormatting sqref="N4:N337 R4:R337 V4:V44 Z4:Z44 Z46:Z337 V46:V337">
    <cfRule type="cellIs" dxfId="15" priority="4" operator="lessThan">
      <formula>0</formula>
    </cfRule>
    <cfRule type="cellIs" dxfId="14" priority="5" operator="greaterThan">
      <formula>0</formula>
    </cfRule>
  </conditionalFormatting>
  <conditionalFormatting sqref="V45 Z45">
    <cfRule type="cellIs" dxfId="13" priority="2" operator="lessThan">
      <formula>0</formula>
    </cfRule>
    <cfRule type="cellIs" dxfId="12" priority="3" operator="greaterThan">
      <formula>0</formula>
    </cfRule>
  </conditionalFormatting>
  <conditionalFormatting sqref="A2:B2">
    <cfRule type="cellIs" dxfId="11" priority="1" operator="equal">
      <formula>"Změna"</formula>
    </cfRule>
  </conditionalFormatting>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90"/>
  <sheetViews>
    <sheetView zoomScale="106" zoomScaleNormal="106" workbookViewId="0">
      <pane xSplit="5" ySplit="3" topLeftCell="AI527" activePane="bottomRight" state="frozen"/>
      <selection pane="topRight" activeCell="F1" sqref="F1"/>
      <selection pane="bottomLeft" activeCell="A4" sqref="A4"/>
      <selection pane="bottomRight" activeCell="AI533" sqref="AI533"/>
    </sheetView>
  </sheetViews>
  <sheetFormatPr defaultRowHeight="15" x14ac:dyDescent="0.25"/>
  <cols>
    <col min="1" max="1" width="14.7109375" style="313" bestFit="1" customWidth="1"/>
    <col min="2" max="3" width="7.85546875" customWidth="1"/>
    <col min="4" max="4" width="14.7109375" style="313" bestFit="1" customWidth="1"/>
    <col min="5" max="5" width="15.85546875" customWidth="1"/>
    <col min="9" max="9" width="9.28515625" customWidth="1"/>
    <col min="14" max="14" width="12.7109375" customWidth="1"/>
    <col min="21" max="21" width="13.28515625" customWidth="1"/>
    <col min="31" max="31" width="11.140625" customWidth="1"/>
    <col min="35" max="35" width="12.7109375" customWidth="1"/>
    <col min="41" max="41" width="11.28515625" customWidth="1"/>
    <col min="42" max="42" width="12.85546875" customWidth="1"/>
  </cols>
  <sheetData>
    <row r="1" spans="1:42" x14ac:dyDescent="0.25">
      <c r="A1" s="313">
        <v>1</v>
      </c>
      <c r="B1">
        <v>2</v>
      </c>
      <c r="C1" s="313">
        <v>3</v>
      </c>
      <c r="D1" s="313">
        <v>4</v>
      </c>
      <c r="E1" s="313">
        <v>5</v>
      </c>
      <c r="F1" s="313">
        <v>6</v>
      </c>
      <c r="G1" s="313">
        <v>7</v>
      </c>
      <c r="H1" s="313">
        <v>8</v>
      </c>
      <c r="I1" s="313">
        <v>9</v>
      </c>
      <c r="J1" s="313">
        <v>10</v>
      </c>
      <c r="K1" s="313">
        <v>11</v>
      </c>
      <c r="L1" s="313">
        <v>12</v>
      </c>
      <c r="M1" s="313">
        <v>13</v>
      </c>
      <c r="N1" s="313">
        <v>14</v>
      </c>
      <c r="O1" s="313">
        <v>15</v>
      </c>
      <c r="P1" s="313">
        <v>16</v>
      </c>
      <c r="Q1" s="313">
        <v>17</v>
      </c>
      <c r="R1" s="313">
        <v>18</v>
      </c>
      <c r="S1" s="313">
        <v>19</v>
      </c>
      <c r="T1" s="313">
        <v>20</v>
      </c>
      <c r="U1" s="313">
        <v>21</v>
      </c>
      <c r="V1" s="313">
        <v>22</v>
      </c>
      <c r="W1" s="313">
        <v>23</v>
      </c>
      <c r="X1" s="313">
        <v>24</v>
      </c>
      <c r="Y1" s="313">
        <v>25</v>
      </c>
      <c r="Z1" s="313">
        <v>26</v>
      </c>
      <c r="AA1" s="313">
        <v>27</v>
      </c>
      <c r="AB1" s="313">
        <v>28</v>
      </c>
      <c r="AC1" s="313">
        <v>29</v>
      </c>
      <c r="AD1" s="313">
        <v>30</v>
      </c>
      <c r="AE1" s="313">
        <v>31</v>
      </c>
      <c r="AF1" s="313">
        <v>32</v>
      </c>
      <c r="AG1" s="313">
        <v>33</v>
      </c>
      <c r="AH1" s="313">
        <v>34</v>
      </c>
      <c r="AI1" s="313">
        <v>35</v>
      </c>
      <c r="AJ1" s="313">
        <v>36</v>
      </c>
      <c r="AK1" s="313">
        <v>37</v>
      </c>
      <c r="AL1" s="313">
        <v>38</v>
      </c>
      <c r="AM1" s="313">
        <v>39</v>
      </c>
      <c r="AN1" s="313">
        <v>40</v>
      </c>
      <c r="AO1" s="313">
        <v>41</v>
      </c>
      <c r="AP1" s="313">
        <v>42</v>
      </c>
    </row>
    <row r="2" spans="1:42" ht="57" customHeight="1" thickBot="1" x14ac:dyDescent="0.3">
      <c r="A2" s="264" t="s">
        <v>1678</v>
      </c>
      <c r="B2" s="247" t="s">
        <v>1213</v>
      </c>
      <c r="D2" s="264" t="s">
        <v>1678</v>
      </c>
      <c r="E2" s="264" t="s">
        <v>1675</v>
      </c>
      <c r="F2" s="264" t="s">
        <v>1676</v>
      </c>
      <c r="G2" s="264" t="s">
        <v>1677</v>
      </c>
      <c r="H2" s="264" t="s">
        <v>1678</v>
      </c>
      <c r="I2" s="264" t="s">
        <v>1765</v>
      </c>
      <c r="J2" s="264" t="s">
        <v>1679</v>
      </c>
      <c r="K2" s="265" t="s">
        <v>1680</v>
      </c>
      <c r="L2" s="265" t="s">
        <v>1681</v>
      </c>
      <c r="M2" s="264" t="s">
        <v>1691</v>
      </c>
      <c r="N2" s="264" t="s">
        <v>1692</v>
      </c>
      <c r="O2" s="264" t="s">
        <v>1693</v>
      </c>
      <c r="P2" s="264" t="s">
        <v>1694</v>
      </c>
      <c r="Q2" s="264" t="s">
        <v>1695</v>
      </c>
      <c r="R2" s="264" t="s">
        <v>1696</v>
      </c>
      <c r="S2" s="264" t="s">
        <v>1697</v>
      </c>
      <c r="T2" s="264" t="s">
        <v>1698</v>
      </c>
      <c r="U2" s="264" t="s">
        <v>1699</v>
      </c>
      <c r="W2" t="s">
        <v>1700</v>
      </c>
      <c r="AE2" s="263" t="s">
        <v>174</v>
      </c>
      <c r="AF2" s="263"/>
      <c r="AG2" s="263"/>
      <c r="AH2" s="263"/>
      <c r="AI2" s="263"/>
      <c r="AJ2" s="266"/>
      <c r="AK2" s="263" t="s">
        <v>1701</v>
      </c>
      <c r="AL2" s="263"/>
      <c r="AM2" s="263"/>
      <c r="AN2" s="263"/>
      <c r="AO2" s="263"/>
      <c r="AP2" s="267"/>
    </row>
    <row r="3" spans="1:42" ht="23.65" customHeight="1" x14ac:dyDescent="0.25">
      <c r="A3" s="133" t="s">
        <v>1039</v>
      </c>
      <c r="D3" s="133" t="s">
        <v>1039</v>
      </c>
      <c r="E3" s="133" t="s">
        <v>40</v>
      </c>
      <c r="F3" s="133" t="s">
        <v>1040</v>
      </c>
      <c r="G3" s="133" t="s">
        <v>1038</v>
      </c>
      <c r="H3" s="133" t="s">
        <v>1039</v>
      </c>
      <c r="I3" s="133" t="s">
        <v>1042</v>
      </c>
      <c r="J3" s="133" t="s">
        <v>1764</v>
      </c>
      <c r="K3" s="133" t="s">
        <v>38</v>
      </c>
      <c r="L3" s="133" t="s">
        <v>1041</v>
      </c>
      <c r="M3" s="133" t="s">
        <v>1044</v>
      </c>
      <c r="N3" s="133" t="s">
        <v>1045</v>
      </c>
      <c r="O3" s="133" t="s">
        <v>1046</v>
      </c>
      <c r="P3" s="133" t="s">
        <v>1047</v>
      </c>
      <c r="Q3" s="133" t="s">
        <v>1048</v>
      </c>
      <c r="R3" s="133" t="s">
        <v>1049</v>
      </c>
      <c r="S3" s="133" t="s">
        <v>1050</v>
      </c>
      <c r="T3" s="133" t="s">
        <v>1051</v>
      </c>
      <c r="U3" s="133" t="s">
        <v>1052</v>
      </c>
      <c r="W3" s="272" t="s">
        <v>1702</v>
      </c>
      <c r="X3" s="272" t="s">
        <v>1703</v>
      </c>
      <c r="Y3" s="272" t="s">
        <v>1704</v>
      </c>
      <c r="Z3" s="272" t="s">
        <v>1705</v>
      </c>
      <c r="AA3" s="272" t="s">
        <v>1706</v>
      </c>
      <c r="AB3" s="272" t="s">
        <v>1049</v>
      </c>
      <c r="AC3" s="272" t="s">
        <v>1051</v>
      </c>
      <c r="AE3" s="273" t="s">
        <v>1707</v>
      </c>
      <c r="AF3" s="274" t="s">
        <v>1708</v>
      </c>
      <c r="AG3" s="274" t="s">
        <v>1709</v>
      </c>
      <c r="AH3" s="275" t="s">
        <v>1710</v>
      </c>
      <c r="AI3" s="275" t="s">
        <v>1711</v>
      </c>
      <c r="AJ3" s="276"/>
      <c r="AK3" s="273" t="s">
        <v>1707</v>
      </c>
      <c r="AL3" s="274" t="s">
        <v>1708</v>
      </c>
      <c r="AM3" s="274" t="s">
        <v>1709</v>
      </c>
      <c r="AN3" s="275" t="s">
        <v>1710</v>
      </c>
      <c r="AO3" s="275" t="s">
        <v>1711</v>
      </c>
      <c r="AP3" s="277" t="s">
        <v>1712</v>
      </c>
    </row>
    <row r="4" spans="1:42" ht="15.75" x14ac:dyDescent="0.25">
      <c r="A4" s="247">
        <v>1665958</v>
      </c>
      <c r="B4" t="s">
        <v>1086</v>
      </c>
      <c r="C4" t="s">
        <v>1767</v>
      </c>
      <c r="D4" s="247">
        <v>1665958</v>
      </c>
      <c r="E4" s="247" t="s">
        <v>470</v>
      </c>
      <c r="F4" s="247" t="s">
        <v>470</v>
      </c>
      <c r="G4" s="247" t="s">
        <v>1317</v>
      </c>
      <c r="H4" s="247">
        <v>1665958</v>
      </c>
      <c r="I4" s="247" t="s">
        <v>1068</v>
      </c>
      <c r="J4" s="247">
        <v>2020</v>
      </c>
      <c r="K4" s="248" t="s">
        <v>1316</v>
      </c>
      <c r="L4" s="247" t="s">
        <v>1125</v>
      </c>
      <c r="M4" s="308">
        <v>20</v>
      </c>
      <c r="N4" s="308">
        <v>1</v>
      </c>
      <c r="O4" s="308">
        <v>13</v>
      </c>
      <c r="P4" s="308">
        <v>6</v>
      </c>
      <c r="Q4" s="308">
        <v>0</v>
      </c>
      <c r="R4" s="247">
        <v>55</v>
      </c>
      <c r="S4" s="247">
        <v>0</v>
      </c>
      <c r="T4" s="247">
        <v>0</v>
      </c>
      <c r="U4" s="247">
        <v>0</v>
      </c>
      <c r="W4" s="284">
        <v>20</v>
      </c>
      <c r="X4" s="284">
        <v>1</v>
      </c>
      <c r="Y4" s="284">
        <v>13</v>
      </c>
      <c r="Z4" s="284">
        <v>6</v>
      </c>
      <c r="AA4" s="284">
        <v>0</v>
      </c>
      <c r="AB4" s="284">
        <v>55</v>
      </c>
      <c r="AC4" s="284">
        <v>0</v>
      </c>
      <c r="AE4" s="285">
        <v>9541579.1462926641</v>
      </c>
      <c r="AF4" s="286">
        <v>5088543.5243934849</v>
      </c>
      <c r="AG4" s="287">
        <v>5572209.4664133042</v>
      </c>
      <c r="AH4" s="288">
        <v>3906107.5465446231</v>
      </c>
      <c r="AI4" s="289">
        <v>24108439.683644075</v>
      </c>
      <c r="AJ4" s="266"/>
      <c r="AK4" s="285">
        <v>6174876.6835724888</v>
      </c>
      <c r="AL4" s="286">
        <v>1608467.7818035427</v>
      </c>
      <c r="AM4" s="286">
        <v>4230807.6044129236</v>
      </c>
      <c r="AN4" s="290">
        <v>2798238.4627757352</v>
      </c>
      <c r="AO4" s="289">
        <v>14812390.53256469</v>
      </c>
      <c r="AP4" s="291">
        <v>9296049.1510793846</v>
      </c>
    </row>
    <row r="5" spans="1:42" ht="15.75" x14ac:dyDescent="0.25">
      <c r="A5" s="247">
        <v>3135426</v>
      </c>
      <c r="B5" t="s">
        <v>1086</v>
      </c>
      <c r="C5" t="s">
        <v>1769</v>
      </c>
      <c r="D5" s="247">
        <v>3135426</v>
      </c>
      <c r="E5" s="247" t="s">
        <v>1007</v>
      </c>
      <c r="F5" s="247" t="s">
        <v>1007</v>
      </c>
      <c r="G5" s="247" t="s">
        <v>1317</v>
      </c>
      <c r="H5" s="247">
        <v>3135426</v>
      </c>
      <c r="I5" s="247" t="s">
        <v>1068</v>
      </c>
      <c r="J5" s="247">
        <v>2020</v>
      </c>
      <c r="K5" s="248" t="s">
        <v>1316</v>
      </c>
      <c r="L5" s="247" t="s">
        <v>1125</v>
      </c>
      <c r="M5" s="308">
        <v>21.25</v>
      </c>
      <c r="N5" s="308">
        <v>1.25</v>
      </c>
      <c r="O5" s="308">
        <v>14</v>
      </c>
      <c r="P5" s="308">
        <v>6</v>
      </c>
      <c r="Q5" s="308">
        <v>0</v>
      </c>
      <c r="R5" s="247">
        <v>68</v>
      </c>
      <c r="S5" s="247">
        <v>0</v>
      </c>
      <c r="T5" s="247">
        <v>0</v>
      </c>
      <c r="U5" s="247">
        <v>0</v>
      </c>
      <c r="W5" s="284">
        <v>21.25</v>
      </c>
      <c r="X5" s="284">
        <v>1.25</v>
      </c>
      <c r="Y5" s="284">
        <v>14</v>
      </c>
      <c r="Z5" s="284">
        <v>6</v>
      </c>
      <c r="AA5" s="284">
        <v>0</v>
      </c>
      <c r="AB5" s="284">
        <v>68</v>
      </c>
      <c r="AC5" s="284">
        <v>0</v>
      </c>
      <c r="AE5" s="285">
        <v>10393505.855783081</v>
      </c>
      <c r="AF5" s="286">
        <v>5088543.5243934849</v>
      </c>
      <c r="AG5" s="287">
        <v>6889277.1584746307</v>
      </c>
      <c r="AH5" s="288">
        <v>4829369.3302733526</v>
      </c>
      <c r="AI5" s="289">
        <v>27200695.868924551</v>
      </c>
      <c r="AJ5" s="266"/>
      <c r="AK5" s="285">
        <v>7634392.990598713</v>
      </c>
      <c r="AL5" s="286">
        <v>1988651.07568438</v>
      </c>
      <c r="AM5" s="286">
        <v>5230816.6745468872</v>
      </c>
      <c r="AN5" s="290">
        <v>3459640.28125</v>
      </c>
      <c r="AO5" s="289">
        <v>18313501.022079982</v>
      </c>
      <c r="AP5" s="291">
        <v>8887194.8468445688</v>
      </c>
    </row>
    <row r="6" spans="1:42" ht="15.75" x14ac:dyDescent="0.25">
      <c r="A6" s="247">
        <v>8982230</v>
      </c>
      <c r="B6" t="s">
        <v>1086</v>
      </c>
      <c r="C6" t="s">
        <v>1768</v>
      </c>
      <c r="D6" s="247">
        <v>8982230</v>
      </c>
      <c r="E6" s="247" t="s">
        <v>959</v>
      </c>
      <c r="F6" s="247" t="s">
        <v>959</v>
      </c>
      <c r="G6" s="247" t="s">
        <v>1327</v>
      </c>
      <c r="H6" s="247">
        <v>8982230</v>
      </c>
      <c r="I6" s="247" t="s">
        <v>1142</v>
      </c>
      <c r="J6" s="247">
        <v>2020</v>
      </c>
      <c r="K6" s="248" t="s">
        <v>1316</v>
      </c>
      <c r="L6" s="247" t="s">
        <v>1125</v>
      </c>
      <c r="M6" s="308">
        <v>18</v>
      </c>
      <c r="N6" s="308">
        <v>1</v>
      </c>
      <c r="O6" s="308">
        <v>13</v>
      </c>
      <c r="P6" s="308">
        <v>4</v>
      </c>
      <c r="Q6" s="308">
        <v>0</v>
      </c>
      <c r="R6" s="247">
        <v>37</v>
      </c>
      <c r="S6" s="247">
        <v>0</v>
      </c>
      <c r="T6" s="247">
        <v>0</v>
      </c>
      <c r="U6" s="247">
        <v>0</v>
      </c>
      <c r="W6" s="284">
        <v>18</v>
      </c>
      <c r="X6" s="284">
        <v>1</v>
      </c>
      <c r="Y6" s="284">
        <v>13</v>
      </c>
      <c r="Z6" s="284">
        <v>4</v>
      </c>
      <c r="AA6" s="284">
        <v>0</v>
      </c>
      <c r="AB6" s="284">
        <v>37</v>
      </c>
      <c r="AC6" s="284">
        <v>0</v>
      </c>
      <c r="AE6" s="285">
        <v>9541579.1462926641</v>
      </c>
      <c r="AF6" s="286">
        <v>3392362.3495956566</v>
      </c>
      <c r="AG6" s="287">
        <v>3748577.2774053137</v>
      </c>
      <c r="AH6" s="288">
        <v>2627745.0767663829</v>
      </c>
      <c r="AI6" s="289">
        <v>19310263.850060016</v>
      </c>
      <c r="AJ6" s="266"/>
      <c r="AK6" s="285">
        <v>4154007.9507669467</v>
      </c>
      <c r="AL6" s="286">
        <v>1082060.1441223833</v>
      </c>
      <c r="AM6" s="286">
        <v>2846179.6611505123</v>
      </c>
      <c r="AN6" s="290">
        <v>1882451.3295036766</v>
      </c>
      <c r="AO6" s="289">
        <v>9964699.0855435189</v>
      </c>
      <c r="AP6" s="291">
        <v>9345564.764516497</v>
      </c>
    </row>
    <row r="7" spans="1:42" ht="15.75" x14ac:dyDescent="0.25">
      <c r="A7" s="247">
        <v>1201932</v>
      </c>
      <c r="B7" t="s">
        <v>1770</v>
      </c>
      <c r="C7">
        <v>0</v>
      </c>
      <c r="D7" s="247">
        <v>1201932</v>
      </c>
      <c r="E7" s="247" t="s">
        <v>594</v>
      </c>
      <c r="F7" s="247" t="s">
        <v>1056</v>
      </c>
      <c r="G7" s="247" t="s">
        <v>1054</v>
      </c>
      <c r="H7" s="247">
        <v>1201932</v>
      </c>
      <c r="I7" s="247" t="s">
        <v>1058</v>
      </c>
      <c r="J7" s="247">
        <v>2020</v>
      </c>
      <c r="K7" s="248" t="s">
        <v>1055</v>
      </c>
      <c r="L7" s="247" t="s">
        <v>1057</v>
      </c>
      <c r="M7" s="308">
        <v>3.65</v>
      </c>
      <c r="N7" s="308">
        <v>2.15</v>
      </c>
      <c r="O7" s="308">
        <v>0</v>
      </c>
      <c r="P7" s="308">
        <v>0</v>
      </c>
      <c r="Q7" s="308">
        <v>1.5</v>
      </c>
      <c r="R7" s="247">
        <v>0</v>
      </c>
      <c r="S7" s="247">
        <v>20</v>
      </c>
      <c r="T7" s="247">
        <v>0</v>
      </c>
      <c r="U7" s="247">
        <v>0</v>
      </c>
      <c r="W7" s="284">
        <v>3.65</v>
      </c>
      <c r="X7" s="284">
        <v>2.15</v>
      </c>
      <c r="Y7" s="284">
        <v>0</v>
      </c>
      <c r="Z7" s="284">
        <v>0</v>
      </c>
      <c r="AA7" s="284">
        <v>1.5</v>
      </c>
      <c r="AB7" s="284">
        <v>0</v>
      </c>
      <c r="AC7" s="284">
        <v>0</v>
      </c>
      <c r="AE7" s="285">
        <v>2538180.6709446609</v>
      </c>
      <c r="AF7" s="286">
        <v>0</v>
      </c>
      <c r="AG7" s="287">
        <v>172942.64339560017</v>
      </c>
      <c r="AH7" s="288">
        <v>0</v>
      </c>
      <c r="AI7" s="289">
        <v>2711123.3143402613</v>
      </c>
      <c r="AJ7" s="266"/>
      <c r="AK7" s="285">
        <v>0</v>
      </c>
      <c r="AL7" s="286">
        <v>0</v>
      </c>
      <c r="AM7" s="286">
        <v>0</v>
      </c>
      <c r="AN7" s="290">
        <v>0</v>
      </c>
      <c r="AO7" s="289">
        <v>0</v>
      </c>
      <c r="AP7" s="291">
        <v>2711123.3143402613</v>
      </c>
    </row>
    <row r="8" spans="1:42" ht="15.75" x14ac:dyDescent="0.25">
      <c r="A8" s="247">
        <v>1201932</v>
      </c>
      <c r="B8" t="s">
        <v>1770</v>
      </c>
      <c r="C8">
        <v>0</v>
      </c>
      <c r="D8" s="247">
        <v>1201932</v>
      </c>
      <c r="E8" s="247" t="s">
        <v>594</v>
      </c>
      <c r="F8" s="247" t="s">
        <v>1056</v>
      </c>
      <c r="G8" s="247" t="s">
        <v>1060</v>
      </c>
      <c r="H8" s="247">
        <v>1201932</v>
      </c>
      <c r="I8" s="247" t="s">
        <v>1061</v>
      </c>
      <c r="J8" s="247">
        <v>2020</v>
      </c>
      <c r="K8" s="248" t="s">
        <v>1055</v>
      </c>
      <c r="L8" s="247" t="s">
        <v>1057</v>
      </c>
      <c r="M8" s="308">
        <v>0.45</v>
      </c>
      <c r="N8" s="308">
        <v>0.45</v>
      </c>
      <c r="O8" s="308">
        <v>0</v>
      </c>
      <c r="P8" s="308">
        <v>0</v>
      </c>
      <c r="Q8" s="308">
        <v>0</v>
      </c>
      <c r="R8" s="247">
        <v>0</v>
      </c>
      <c r="S8" s="247">
        <v>10</v>
      </c>
      <c r="T8" s="247">
        <v>0</v>
      </c>
      <c r="U8" s="247">
        <v>0</v>
      </c>
      <c r="W8" s="284">
        <v>0.45</v>
      </c>
      <c r="X8" s="284">
        <v>0.45</v>
      </c>
      <c r="Y8" s="284">
        <v>0</v>
      </c>
      <c r="Z8" s="284">
        <v>0</v>
      </c>
      <c r="AA8" s="284">
        <v>0</v>
      </c>
      <c r="AB8" s="284">
        <v>0</v>
      </c>
      <c r="AC8" s="284">
        <v>0</v>
      </c>
      <c r="AE8" s="285">
        <v>312926.38408906781</v>
      </c>
      <c r="AF8" s="286">
        <v>0</v>
      </c>
      <c r="AG8" s="287">
        <v>21321.69576110139</v>
      </c>
      <c r="AH8" s="288">
        <v>0</v>
      </c>
      <c r="AI8" s="289">
        <v>334248.07985016919</v>
      </c>
      <c r="AJ8" s="266"/>
      <c r="AK8" s="285">
        <v>0</v>
      </c>
      <c r="AL8" s="286">
        <v>0</v>
      </c>
      <c r="AM8" s="286">
        <v>0</v>
      </c>
      <c r="AN8" s="290">
        <v>0</v>
      </c>
      <c r="AO8" s="289">
        <v>0</v>
      </c>
      <c r="AP8" s="291">
        <v>334248.07985016919</v>
      </c>
    </row>
    <row r="9" spans="1:42" ht="15.75" x14ac:dyDescent="0.25">
      <c r="A9" s="247">
        <v>1494293</v>
      </c>
      <c r="B9" t="s">
        <v>1770</v>
      </c>
      <c r="C9">
        <v>0</v>
      </c>
      <c r="D9" s="247">
        <v>1494293</v>
      </c>
      <c r="E9" s="247" t="s">
        <v>413</v>
      </c>
      <c r="F9" s="247" t="s">
        <v>411</v>
      </c>
      <c r="G9" s="247" t="s">
        <v>1062</v>
      </c>
      <c r="H9" s="247">
        <v>1494293</v>
      </c>
      <c r="I9" s="247" t="s">
        <v>1063</v>
      </c>
      <c r="J9" s="247">
        <v>2020</v>
      </c>
      <c r="K9" s="248" t="s">
        <v>1055</v>
      </c>
      <c r="L9" s="247" t="s">
        <v>1057</v>
      </c>
      <c r="M9" s="308">
        <v>1.34</v>
      </c>
      <c r="N9" s="308">
        <v>0.14000000000000001</v>
      </c>
      <c r="O9" s="308">
        <v>1</v>
      </c>
      <c r="P9" s="308">
        <v>0.2</v>
      </c>
      <c r="Q9" s="308">
        <v>0</v>
      </c>
      <c r="R9" s="247">
        <v>0</v>
      </c>
      <c r="S9" s="247">
        <v>4</v>
      </c>
      <c r="T9" s="247">
        <v>3</v>
      </c>
      <c r="U9" s="247">
        <v>0</v>
      </c>
      <c r="W9" s="284">
        <v>1.34</v>
      </c>
      <c r="X9" s="284">
        <v>0.14000000000000001</v>
      </c>
      <c r="Y9" s="284">
        <v>1</v>
      </c>
      <c r="Z9" s="284">
        <v>0.2</v>
      </c>
      <c r="AA9" s="284">
        <v>0</v>
      </c>
      <c r="AB9" s="284">
        <v>0</v>
      </c>
      <c r="AC9" s="284">
        <v>3</v>
      </c>
      <c r="AE9" s="285">
        <v>931825.23262077977</v>
      </c>
      <c r="AF9" s="286">
        <v>0</v>
      </c>
      <c r="AG9" s="287">
        <v>63491.271821946364</v>
      </c>
      <c r="AH9" s="288">
        <v>0</v>
      </c>
      <c r="AI9" s="289">
        <v>995316.50444272615</v>
      </c>
      <c r="AJ9" s="266"/>
      <c r="AK9" s="285">
        <v>0</v>
      </c>
      <c r="AL9" s="286">
        <v>0</v>
      </c>
      <c r="AM9" s="286">
        <v>0</v>
      </c>
      <c r="AN9" s="290">
        <v>0</v>
      </c>
      <c r="AO9" s="289">
        <v>0</v>
      </c>
      <c r="AP9" s="291">
        <v>995316.50444272615</v>
      </c>
    </row>
    <row r="10" spans="1:42" ht="15.75" x14ac:dyDescent="0.25">
      <c r="A10" s="247">
        <v>2093343</v>
      </c>
      <c r="B10" t="s">
        <v>1770</v>
      </c>
      <c r="C10">
        <v>0</v>
      </c>
      <c r="D10" s="247">
        <v>2093343</v>
      </c>
      <c r="E10" s="247" t="s">
        <v>1066</v>
      </c>
      <c r="F10" s="247" t="s">
        <v>1067</v>
      </c>
      <c r="G10" s="247" t="s">
        <v>1065</v>
      </c>
      <c r="H10" s="247">
        <v>2093343</v>
      </c>
      <c r="I10" s="247" t="s">
        <v>1068</v>
      </c>
      <c r="J10" s="247">
        <v>2020</v>
      </c>
      <c r="K10" s="248" t="s">
        <v>1055</v>
      </c>
      <c r="L10" s="247" t="s">
        <v>1057</v>
      </c>
      <c r="M10" s="308">
        <v>1.1499999999999999</v>
      </c>
      <c r="N10" s="308">
        <v>1.1499999999999999</v>
      </c>
      <c r="O10" s="308">
        <v>0</v>
      </c>
      <c r="P10" s="308">
        <v>0</v>
      </c>
      <c r="Q10" s="308">
        <v>0</v>
      </c>
      <c r="R10" s="247">
        <v>0</v>
      </c>
      <c r="S10" s="247">
        <v>4</v>
      </c>
      <c r="T10" s="247">
        <v>0</v>
      </c>
      <c r="U10" s="247">
        <v>0</v>
      </c>
      <c r="W10" s="284">
        <v>1.1499999999999999</v>
      </c>
      <c r="X10" s="284">
        <v>1.1499999999999999</v>
      </c>
      <c r="Y10" s="284">
        <v>0</v>
      </c>
      <c r="Z10" s="284">
        <v>0</v>
      </c>
      <c r="AA10" s="284">
        <v>0</v>
      </c>
      <c r="AB10" s="284">
        <v>0</v>
      </c>
      <c r="AC10" s="284">
        <v>0</v>
      </c>
      <c r="AE10" s="285">
        <v>799700.75933872873</v>
      </c>
      <c r="AF10" s="286">
        <v>0</v>
      </c>
      <c r="AG10" s="287">
        <v>54488.778056147996</v>
      </c>
      <c r="AH10" s="288">
        <v>0</v>
      </c>
      <c r="AI10" s="289">
        <v>854189.53739487671</v>
      </c>
      <c r="AJ10" s="266"/>
      <c r="AK10" s="285">
        <v>0</v>
      </c>
      <c r="AL10" s="286">
        <v>0</v>
      </c>
      <c r="AM10" s="286">
        <v>0</v>
      </c>
      <c r="AN10" s="290">
        <v>0</v>
      </c>
      <c r="AO10" s="289">
        <v>0</v>
      </c>
      <c r="AP10" s="291">
        <v>854189.53739487671</v>
      </c>
    </row>
    <row r="11" spans="1:42" ht="15.75" x14ac:dyDescent="0.25">
      <c r="A11" s="247">
        <v>2583952</v>
      </c>
      <c r="B11" t="s">
        <v>1770</v>
      </c>
      <c r="C11">
        <v>0</v>
      </c>
      <c r="D11" s="247">
        <v>2583952</v>
      </c>
      <c r="E11" s="247" t="s">
        <v>407</v>
      </c>
      <c r="F11" s="247" t="s">
        <v>1071</v>
      </c>
      <c r="G11" s="247" t="s">
        <v>1070</v>
      </c>
      <c r="H11" s="247">
        <v>2583952</v>
      </c>
      <c r="I11" s="247" t="s">
        <v>1068</v>
      </c>
      <c r="J11" s="247">
        <v>2020</v>
      </c>
      <c r="K11" s="248" t="s">
        <v>1055</v>
      </c>
      <c r="L11" s="247" t="s">
        <v>1057</v>
      </c>
      <c r="M11" s="308">
        <v>1</v>
      </c>
      <c r="N11" s="308">
        <v>1</v>
      </c>
      <c r="O11" s="308">
        <v>0</v>
      </c>
      <c r="P11" s="308">
        <v>0</v>
      </c>
      <c r="Q11" s="308">
        <v>0</v>
      </c>
      <c r="R11" s="247">
        <v>0</v>
      </c>
      <c r="S11" s="247">
        <v>9</v>
      </c>
      <c r="T11" s="247">
        <v>0</v>
      </c>
      <c r="U11" s="247">
        <v>0</v>
      </c>
      <c r="W11" s="284">
        <v>1</v>
      </c>
      <c r="X11" s="284">
        <v>1</v>
      </c>
      <c r="Y11" s="284">
        <v>0</v>
      </c>
      <c r="Z11" s="284">
        <v>0</v>
      </c>
      <c r="AA11" s="284">
        <v>0</v>
      </c>
      <c r="AB11" s="284">
        <v>0</v>
      </c>
      <c r="AC11" s="284">
        <v>0</v>
      </c>
      <c r="AE11" s="285">
        <v>695391.96464237291</v>
      </c>
      <c r="AF11" s="286">
        <v>0</v>
      </c>
      <c r="AG11" s="287">
        <v>47381.546135780867</v>
      </c>
      <c r="AH11" s="288">
        <v>0</v>
      </c>
      <c r="AI11" s="289">
        <v>742773.51077815378</v>
      </c>
      <c r="AJ11" s="266"/>
      <c r="AK11" s="285">
        <v>0</v>
      </c>
      <c r="AL11" s="286">
        <v>0</v>
      </c>
      <c r="AM11" s="286">
        <v>0</v>
      </c>
      <c r="AN11" s="290">
        <v>0</v>
      </c>
      <c r="AO11" s="289">
        <v>0</v>
      </c>
      <c r="AP11" s="291">
        <v>742773.51077815378</v>
      </c>
    </row>
    <row r="12" spans="1:42" ht="15.75" x14ac:dyDescent="0.25">
      <c r="A12" s="247">
        <v>2583952</v>
      </c>
      <c r="B12" t="s">
        <v>1770</v>
      </c>
      <c r="C12">
        <v>0</v>
      </c>
      <c r="D12" s="247">
        <v>2583952</v>
      </c>
      <c r="E12" s="247" t="s">
        <v>407</v>
      </c>
      <c r="F12" s="247" t="s">
        <v>1071</v>
      </c>
      <c r="G12" s="247" t="s">
        <v>1072</v>
      </c>
      <c r="H12" s="247">
        <v>2583952</v>
      </c>
      <c r="I12" s="247" t="s">
        <v>1073</v>
      </c>
      <c r="J12" s="247">
        <v>2020</v>
      </c>
      <c r="K12" s="248" t="s">
        <v>1055</v>
      </c>
      <c r="L12" s="247" t="s">
        <v>1057</v>
      </c>
      <c r="M12" s="308">
        <v>1.1000000000000001</v>
      </c>
      <c r="N12" s="308">
        <v>1.1000000000000001</v>
      </c>
      <c r="O12" s="308">
        <v>0</v>
      </c>
      <c r="P12" s="308">
        <v>0</v>
      </c>
      <c r="Q12" s="308">
        <v>0</v>
      </c>
      <c r="R12" s="247">
        <v>0</v>
      </c>
      <c r="S12" s="247">
        <v>9</v>
      </c>
      <c r="T12" s="247">
        <v>0</v>
      </c>
      <c r="U12" s="247">
        <v>0</v>
      </c>
      <c r="W12" s="284">
        <v>1.1000000000000001</v>
      </c>
      <c r="X12" s="284">
        <v>1.1000000000000001</v>
      </c>
      <c r="Y12" s="284">
        <v>0</v>
      </c>
      <c r="Z12" s="284">
        <v>0</v>
      </c>
      <c r="AA12" s="284">
        <v>0</v>
      </c>
      <c r="AB12" s="284">
        <v>0</v>
      </c>
      <c r="AC12" s="284">
        <v>0</v>
      </c>
      <c r="AE12" s="285">
        <v>764931.16110661032</v>
      </c>
      <c r="AF12" s="286">
        <v>0</v>
      </c>
      <c r="AG12" s="287">
        <v>52119.700749358955</v>
      </c>
      <c r="AH12" s="288">
        <v>0</v>
      </c>
      <c r="AI12" s="289">
        <v>817050.8618559693</v>
      </c>
      <c r="AJ12" s="266"/>
      <c r="AK12" s="285">
        <v>0</v>
      </c>
      <c r="AL12" s="286">
        <v>0</v>
      </c>
      <c r="AM12" s="286">
        <v>0</v>
      </c>
      <c r="AN12" s="290">
        <v>0</v>
      </c>
      <c r="AO12" s="289">
        <v>0</v>
      </c>
      <c r="AP12" s="291">
        <v>817050.8618559693</v>
      </c>
    </row>
    <row r="13" spans="1:42" ht="15.75" x14ac:dyDescent="0.25">
      <c r="A13" s="247">
        <v>2886510</v>
      </c>
      <c r="B13" t="s">
        <v>1770</v>
      </c>
      <c r="C13">
        <v>0</v>
      </c>
      <c r="D13" s="247">
        <v>2886510</v>
      </c>
      <c r="E13" s="247" t="s">
        <v>1075</v>
      </c>
      <c r="F13" s="247" t="s">
        <v>776</v>
      </c>
      <c r="G13" s="247" t="s">
        <v>1074</v>
      </c>
      <c r="H13" s="247">
        <v>2886510</v>
      </c>
      <c r="I13" s="247" t="s">
        <v>1058</v>
      </c>
      <c r="J13" s="247">
        <v>2020</v>
      </c>
      <c r="K13" s="248" t="s">
        <v>1055</v>
      </c>
      <c r="L13" s="247" t="s">
        <v>1057</v>
      </c>
      <c r="M13" s="308">
        <v>3.25</v>
      </c>
      <c r="N13" s="308">
        <v>2.35</v>
      </c>
      <c r="O13" s="308">
        <v>0</v>
      </c>
      <c r="P13" s="308">
        <v>0</v>
      </c>
      <c r="Q13" s="308">
        <v>0.9</v>
      </c>
      <c r="R13" s="247">
        <v>0</v>
      </c>
      <c r="S13" s="247">
        <v>36</v>
      </c>
      <c r="T13" s="247">
        <v>0</v>
      </c>
      <c r="U13" s="247">
        <v>0</v>
      </c>
      <c r="W13" s="284">
        <v>3.25</v>
      </c>
      <c r="X13" s="284">
        <v>2.35</v>
      </c>
      <c r="Y13" s="284">
        <v>0</v>
      </c>
      <c r="Z13" s="284">
        <v>0</v>
      </c>
      <c r="AA13" s="284">
        <v>0.9</v>
      </c>
      <c r="AB13" s="284">
        <v>0</v>
      </c>
      <c r="AC13" s="284">
        <v>0</v>
      </c>
      <c r="AE13" s="285">
        <v>2260023.8850877117</v>
      </c>
      <c r="AF13" s="286">
        <v>0</v>
      </c>
      <c r="AG13" s="287">
        <v>153990.02494128782</v>
      </c>
      <c r="AH13" s="288">
        <v>0</v>
      </c>
      <c r="AI13" s="289">
        <v>2414013.9100289997</v>
      </c>
      <c r="AJ13" s="266"/>
      <c r="AK13" s="285">
        <v>0</v>
      </c>
      <c r="AL13" s="286">
        <v>0</v>
      </c>
      <c r="AM13" s="286">
        <v>0</v>
      </c>
      <c r="AN13" s="290">
        <v>0</v>
      </c>
      <c r="AO13" s="289">
        <v>0</v>
      </c>
      <c r="AP13" s="291">
        <v>2414013.9100289997</v>
      </c>
    </row>
    <row r="14" spans="1:42" ht="15.75" x14ac:dyDescent="0.25">
      <c r="A14" s="247">
        <v>3040542</v>
      </c>
      <c r="B14" t="s">
        <v>1770</v>
      </c>
      <c r="C14">
        <v>0</v>
      </c>
      <c r="D14" s="247">
        <v>3040542</v>
      </c>
      <c r="E14" s="247" t="s">
        <v>735</v>
      </c>
      <c r="F14" s="247" t="s">
        <v>733</v>
      </c>
      <c r="G14" s="247" t="s">
        <v>1077</v>
      </c>
      <c r="H14" s="247">
        <v>3040542</v>
      </c>
      <c r="I14" s="247" t="s">
        <v>1061</v>
      </c>
      <c r="J14" s="247">
        <v>2020</v>
      </c>
      <c r="K14" s="248" t="s">
        <v>1055</v>
      </c>
      <c r="L14" s="247" t="s">
        <v>1057</v>
      </c>
      <c r="M14" s="308">
        <v>1.1000000000000001</v>
      </c>
      <c r="N14" s="308">
        <v>1.1000000000000001</v>
      </c>
      <c r="O14" s="308">
        <v>0</v>
      </c>
      <c r="P14" s="308">
        <v>0</v>
      </c>
      <c r="Q14" s="308">
        <v>0</v>
      </c>
      <c r="R14" s="247">
        <v>0</v>
      </c>
      <c r="S14" s="247">
        <v>8</v>
      </c>
      <c r="T14" s="247">
        <v>0</v>
      </c>
      <c r="U14" s="247">
        <v>0</v>
      </c>
      <c r="W14" s="284">
        <v>1.1000000000000001</v>
      </c>
      <c r="X14" s="284">
        <v>1.1000000000000001</v>
      </c>
      <c r="Y14" s="284">
        <v>0</v>
      </c>
      <c r="Z14" s="284">
        <v>0</v>
      </c>
      <c r="AA14" s="284">
        <v>0</v>
      </c>
      <c r="AB14" s="284">
        <v>0</v>
      </c>
      <c r="AC14" s="284">
        <v>0</v>
      </c>
      <c r="AE14" s="285">
        <v>764931.16110661032</v>
      </c>
      <c r="AF14" s="286">
        <v>0</v>
      </c>
      <c r="AG14" s="287">
        <v>52119.700749358955</v>
      </c>
      <c r="AH14" s="288">
        <v>0</v>
      </c>
      <c r="AI14" s="289">
        <v>817050.8618559693</v>
      </c>
      <c r="AJ14" s="266"/>
      <c r="AK14" s="285">
        <v>0</v>
      </c>
      <c r="AL14" s="286">
        <v>0</v>
      </c>
      <c r="AM14" s="286">
        <v>0</v>
      </c>
      <c r="AN14" s="290">
        <v>0</v>
      </c>
      <c r="AO14" s="289">
        <v>0</v>
      </c>
      <c r="AP14" s="291">
        <v>817050.8618559693</v>
      </c>
    </row>
    <row r="15" spans="1:42" ht="15.75" x14ac:dyDescent="0.25">
      <c r="A15" s="247">
        <v>3040542</v>
      </c>
      <c r="B15" t="s">
        <v>1770</v>
      </c>
      <c r="C15">
        <v>0</v>
      </c>
      <c r="D15" s="247">
        <v>3040542</v>
      </c>
      <c r="E15" s="247" t="s">
        <v>735</v>
      </c>
      <c r="F15" s="247" t="s">
        <v>733</v>
      </c>
      <c r="G15" s="247" t="s">
        <v>1079</v>
      </c>
      <c r="H15" s="247">
        <v>3040542</v>
      </c>
      <c r="I15" s="247" t="s">
        <v>1063</v>
      </c>
      <c r="J15" s="247">
        <v>2020</v>
      </c>
      <c r="K15" s="248" t="s">
        <v>1055</v>
      </c>
      <c r="L15" s="247" t="s">
        <v>1057</v>
      </c>
      <c r="M15" s="308">
        <v>0.25</v>
      </c>
      <c r="N15" s="308">
        <v>0.2</v>
      </c>
      <c r="O15" s="308">
        <v>0.05</v>
      </c>
      <c r="P15" s="308">
        <v>0</v>
      </c>
      <c r="Q15" s="308">
        <v>0</v>
      </c>
      <c r="R15" s="247">
        <v>0</v>
      </c>
      <c r="S15" s="247">
        <v>8</v>
      </c>
      <c r="T15" s="247">
        <v>0</v>
      </c>
      <c r="U15" s="247">
        <v>0</v>
      </c>
      <c r="W15" s="284">
        <v>0.25</v>
      </c>
      <c r="X15" s="284">
        <v>0.2</v>
      </c>
      <c r="Y15" s="284">
        <v>0.05</v>
      </c>
      <c r="Z15" s="284">
        <v>0</v>
      </c>
      <c r="AA15" s="284">
        <v>0</v>
      </c>
      <c r="AB15" s="284">
        <v>0</v>
      </c>
      <c r="AC15" s="284">
        <v>0</v>
      </c>
      <c r="AE15" s="285">
        <v>173847.99116059323</v>
      </c>
      <c r="AF15" s="286">
        <v>0</v>
      </c>
      <c r="AG15" s="287">
        <v>11845.386533945217</v>
      </c>
      <c r="AH15" s="288">
        <v>0</v>
      </c>
      <c r="AI15" s="289">
        <v>185693.37769453845</v>
      </c>
      <c r="AJ15" s="266"/>
      <c r="AK15" s="285">
        <v>0</v>
      </c>
      <c r="AL15" s="286">
        <v>0</v>
      </c>
      <c r="AM15" s="286">
        <v>0</v>
      </c>
      <c r="AN15" s="290">
        <v>0</v>
      </c>
      <c r="AO15" s="289">
        <v>0</v>
      </c>
      <c r="AP15" s="291">
        <v>185693.37769453845</v>
      </c>
    </row>
    <row r="16" spans="1:42" ht="15.75" x14ac:dyDescent="0.25">
      <c r="A16" s="247">
        <v>4309907</v>
      </c>
      <c r="B16" t="s">
        <v>1770</v>
      </c>
      <c r="C16">
        <v>0</v>
      </c>
      <c r="D16" s="247">
        <v>4309907</v>
      </c>
      <c r="E16" s="247" t="s">
        <v>314</v>
      </c>
      <c r="F16" s="247" t="s">
        <v>312</v>
      </c>
      <c r="G16" s="247" t="s">
        <v>1080</v>
      </c>
      <c r="H16" s="247">
        <v>4309907</v>
      </c>
      <c r="I16" s="247" t="s">
        <v>1058</v>
      </c>
      <c r="J16" s="247">
        <v>2020</v>
      </c>
      <c r="K16" s="248" t="s">
        <v>1055</v>
      </c>
      <c r="L16" s="247" t="s">
        <v>1057</v>
      </c>
      <c r="M16" s="308">
        <v>3.3</v>
      </c>
      <c r="N16" s="308">
        <v>0.6</v>
      </c>
      <c r="O16" s="308">
        <v>0</v>
      </c>
      <c r="P16" s="308">
        <v>0</v>
      </c>
      <c r="Q16" s="308">
        <v>2.7</v>
      </c>
      <c r="R16" s="247">
        <v>0</v>
      </c>
      <c r="S16" s="247">
        <v>12</v>
      </c>
      <c r="T16" s="247">
        <v>0</v>
      </c>
      <c r="U16" s="247">
        <v>0</v>
      </c>
      <c r="W16" s="284">
        <v>3.3</v>
      </c>
      <c r="X16" s="284">
        <v>0.6</v>
      </c>
      <c r="Y16" s="284">
        <v>0</v>
      </c>
      <c r="Z16" s="284">
        <v>0</v>
      </c>
      <c r="AA16" s="284">
        <v>2.7</v>
      </c>
      <c r="AB16" s="284">
        <v>0</v>
      </c>
      <c r="AC16" s="284">
        <v>0</v>
      </c>
      <c r="AE16" s="285">
        <v>2294793.4833198306</v>
      </c>
      <c r="AF16" s="286">
        <v>0</v>
      </c>
      <c r="AG16" s="287">
        <v>156359.10224807684</v>
      </c>
      <c r="AH16" s="288">
        <v>0</v>
      </c>
      <c r="AI16" s="289">
        <v>2451152.5855679074</v>
      </c>
      <c r="AJ16" s="266"/>
      <c r="AK16" s="285">
        <v>0</v>
      </c>
      <c r="AL16" s="286">
        <v>0</v>
      </c>
      <c r="AM16" s="286">
        <v>0</v>
      </c>
      <c r="AN16" s="290">
        <v>0</v>
      </c>
      <c r="AO16" s="289">
        <v>0</v>
      </c>
      <c r="AP16" s="291">
        <v>2451152.5855679074</v>
      </c>
    </row>
    <row r="17" spans="1:42" ht="15.75" x14ac:dyDescent="0.25">
      <c r="A17" s="247">
        <v>5133257</v>
      </c>
      <c r="B17" t="s">
        <v>1770</v>
      </c>
      <c r="C17">
        <v>0</v>
      </c>
      <c r="D17" s="247">
        <v>5133257</v>
      </c>
      <c r="E17" s="247" t="s">
        <v>725</v>
      </c>
      <c r="F17" s="247" t="s">
        <v>718</v>
      </c>
      <c r="G17" s="247" t="s">
        <v>1084</v>
      </c>
      <c r="H17" s="247">
        <v>5133257</v>
      </c>
      <c r="I17" s="247" t="s">
        <v>1058</v>
      </c>
      <c r="J17" s="247">
        <v>2020</v>
      </c>
      <c r="K17" s="248" t="s">
        <v>1055</v>
      </c>
      <c r="L17" s="247" t="s">
        <v>1057</v>
      </c>
      <c r="M17" s="308">
        <v>2.62</v>
      </c>
      <c r="N17" s="308">
        <v>0.95</v>
      </c>
      <c r="O17" s="308">
        <v>0</v>
      </c>
      <c r="P17" s="308">
        <v>0</v>
      </c>
      <c r="Q17" s="308">
        <v>1.67</v>
      </c>
      <c r="R17" s="247">
        <v>0</v>
      </c>
      <c r="S17" s="247">
        <v>52</v>
      </c>
      <c r="T17" s="247">
        <v>0</v>
      </c>
      <c r="U17" s="247">
        <v>0</v>
      </c>
      <c r="W17" s="284">
        <v>2.62</v>
      </c>
      <c r="X17" s="284">
        <v>0.95</v>
      </c>
      <c r="Y17" s="284">
        <v>0</v>
      </c>
      <c r="Z17" s="284">
        <v>0</v>
      </c>
      <c r="AA17" s="284">
        <v>1.67</v>
      </c>
      <c r="AB17" s="284">
        <v>0</v>
      </c>
      <c r="AC17" s="284">
        <v>0</v>
      </c>
      <c r="AE17" s="285">
        <v>1821926.9473630171</v>
      </c>
      <c r="AF17" s="286">
        <v>0</v>
      </c>
      <c r="AG17" s="287">
        <v>124139.65087574588</v>
      </c>
      <c r="AH17" s="288">
        <v>0</v>
      </c>
      <c r="AI17" s="289">
        <v>1946066.5982387629</v>
      </c>
      <c r="AJ17" s="266"/>
      <c r="AK17" s="285">
        <v>0</v>
      </c>
      <c r="AL17" s="286">
        <v>0</v>
      </c>
      <c r="AM17" s="286">
        <v>0</v>
      </c>
      <c r="AN17" s="290">
        <v>0</v>
      </c>
      <c r="AO17" s="289">
        <v>0</v>
      </c>
      <c r="AP17" s="291">
        <v>1946066.5982387629</v>
      </c>
    </row>
    <row r="18" spans="1:42" ht="15.75" x14ac:dyDescent="0.25">
      <c r="A18" s="247">
        <v>5646573</v>
      </c>
      <c r="B18" t="s">
        <v>1770</v>
      </c>
      <c r="C18">
        <v>0</v>
      </c>
      <c r="D18" s="247">
        <v>5646573</v>
      </c>
      <c r="E18" s="247" t="s">
        <v>398</v>
      </c>
      <c r="F18" s="247" t="s">
        <v>396</v>
      </c>
      <c r="G18" s="247" t="s">
        <v>1085</v>
      </c>
      <c r="H18" s="247">
        <v>5646573</v>
      </c>
      <c r="I18" s="247" t="s">
        <v>1087</v>
      </c>
      <c r="J18" s="247">
        <v>2020</v>
      </c>
      <c r="K18" s="248" t="s">
        <v>1055</v>
      </c>
      <c r="L18" s="247" t="s">
        <v>1086</v>
      </c>
      <c r="M18" s="308">
        <v>2.1</v>
      </c>
      <c r="N18" s="308">
        <v>2.1</v>
      </c>
      <c r="O18" s="308">
        <v>0</v>
      </c>
      <c r="P18" s="308">
        <v>0</v>
      </c>
      <c r="Q18" s="308">
        <v>0</v>
      </c>
      <c r="R18" s="247">
        <v>0</v>
      </c>
      <c r="S18" s="247">
        <v>12</v>
      </c>
      <c r="T18" s="247">
        <v>0</v>
      </c>
      <c r="U18" s="247">
        <v>0</v>
      </c>
      <c r="W18" s="284">
        <v>2.1</v>
      </c>
      <c r="X18" s="284">
        <v>2.1</v>
      </c>
      <c r="Y18" s="284">
        <v>0</v>
      </c>
      <c r="Z18" s="284">
        <v>0</v>
      </c>
      <c r="AA18" s="284">
        <v>0</v>
      </c>
      <c r="AB18" s="284">
        <v>0</v>
      </c>
      <c r="AC18" s="284">
        <v>0</v>
      </c>
      <c r="AE18" s="285">
        <v>1460323.1257489831</v>
      </c>
      <c r="AF18" s="286">
        <v>0</v>
      </c>
      <c r="AG18" s="287">
        <v>99501.24688513983</v>
      </c>
      <c r="AH18" s="288">
        <v>0</v>
      </c>
      <c r="AI18" s="289">
        <v>1559824.3726341228</v>
      </c>
      <c r="AJ18" s="266"/>
      <c r="AK18" s="285">
        <v>0</v>
      </c>
      <c r="AL18" s="286">
        <v>0</v>
      </c>
      <c r="AM18" s="286">
        <v>0</v>
      </c>
      <c r="AN18" s="290">
        <v>0</v>
      </c>
      <c r="AO18" s="289">
        <v>0</v>
      </c>
      <c r="AP18" s="291">
        <v>1559824.3726341228</v>
      </c>
    </row>
    <row r="19" spans="1:42" ht="15.75" x14ac:dyDescent="0.25">
      <c r="A19" s="247">
        <v>5700178</v>
      </c>
      <c r="B19" t="s">
        <v>1770</v>
      </c>
      <c r="C19">
        <v>0</v>
      </c>
      <c r="D19" s="247">
        <v>5700178</v>
      </c>
      <c r="E19" s="247" t="s">
        <v>1066</v>
      </c>
      <c r="F19" s="247" t="s">
        <v>1067</v>
      </c>
      <c r="G19" s="247" t="s">
        <v>1089</v>
      </c>
      <c r="H19" s="247">
        <v>5700178</v>
      </c>
      <c r="I19" s="247" t="s">
        <v>1058</v>
      </c>
      <c r="J19" s="247">
        <v>2020</v>
      </c>
      <c r="K19" s="248" t="s">
        <v>1055</v>
      </c>
      <c r="L19" s="247" t="s">
        <v>1057</v>
      </c>
      <c r="M19" s="308">
        <v>1.25</v>
      </c>
      <c r="N19" s="308">
        <v>0.75</v>
      </c>
      <c r="O19" s="308">
        <v>0</v>
      </c>
      <c r="P19" s="308">
        <v>0</v>
      </c>
      <c r="Q19" s="308">
        <v>0.5</v>
      </c>
      <c r="R19" s="247">
        <v>0</v>
      </c>
      <c r="S19" s="247">
        <v>3</v>
      </c>
      <c r="T19" s="247">
        <v>0</v>
      </c>
      <c r="U19" s="247">
        <v>0</v>
      </c>
      <c r="W19" s="284">
        <v>1.25</v>
      </c>
      <c r="X19" s="284">
        <v>0.75</v>
      </c>
      <c r="Y19" s="284">
        <v>0</v>
      </c>
      <c r="Z19" s="284">
        <v>0</v>
      </c>
      <c r="AA19" s="284">
        <v>0.5</v>
      </c>
      <c r="AB19" s="284">
        <v>0</v>
      </c>
      <c r="AC19" s="284">
        <v>0</v>
      </c>
      <c r="AE19" s="285">
        <v>869239.95580296614</v>
      </c>
      <c r="AF19" s="286">
        <v>0</v>
      </c>
      <c r="AG19" s="287">
        <v>59226.932669726084</v>
      </c>
      <c r="AH19" s="288">
        <v>0</v>
      </c>
      <c r="AI19" s="289">
        <v>928466.88847269223</v>
      </c>
      <c r="AJ19" s="266"/>
      <c r="AK19" s="285">
        <v>0</v>
      </c>
      <c r="AL19" s="286">
        <v>0</v>
      </c>
      <c r="AM19" s="286">
        <v>0</v>
      </c>
      <c r="AN19" s="290">
        <v>0</v>
      </c>
      <c r="AO19" s="289">
        <v>0</v>
      </c>
      <c r="AP19" s="291">
        <v>928466.88847269223</v>
      </c>
    </row>
    <row r="20" spans="1:42" ht="15.75" x14ac:dyDescent="0.25">
      <c r="A20" s="247">
        <v>5792625</v>
      </c>
      <c r="B20" t="s">
        <v>1770</v>
      </c>
      <c r="C20">
        <v>0</v>
      </c>
      <c r="D20" s="247">
        <v>5792625</v>
      </c>
      <c r="E20" s="247" t="s">
        <v>318</v>
      </c>
      <c r="F20" s="247" t="s">
        <v>312</v>
      </c>
      <c r="G20" s="247" t="s">
        <v>1090</v>
      </c>
      <c r="H20" s="247">
        <v>5792625</v>
      </c>
      <c r="I20" s="247" t="s">
        <v>1061</v>
      </c>
      <c r="J20" s="247">
        <v>2020</v>
      </c>
      <c r="K20" s="248" t="s">
        <v>1055</v>
      </c>
      <c r="L20" s="247" t="s">
        <v>1057</v>
      </c>
      <c r="M20" s="308">
        <v>2.2999999999999998</v>
      </c>
      <c r="N20" s="308">
        <v>1.5</v>
      </c>
      <c r="O20" s="308">
        <v>0</v>
      </c>
      <c r="P20" s="308">
        <v>0</v>
      </c>
      <c r="Q20" s="308">
        <v>0.8</v>
      </c>
      <c r="R20" s="247">
        <v>0</v>
      </c>
      <c r="S20" s="247">
        <v>8</v>
      </c>
      <c r="T20" s="247">
        <v>0</v>
      </c>
      <c r="U20" s="247">
        <v>0</v>
      </c>
      <c r="W20" s="284">
        <v>2.2999999999999998</v>
      </c>
      <c r="X20" s="284">
        <v>1.5</v>
      </c>
      <c r="Y20" s="284">
        <v>0</v>
      </c>
      <c r="Z20" s="284">
        <v>0</v>
      </c>
      <c r="AA20" s="284">
        <v>0.8</v>
      </c>
      <c r="AB20" s="284">
        <v>0</v>
      </c>
      <c r="AC20" s="284">
        <v>0</v>
      </c>
      <c r="AE20" s="285">
        <v>1599401.5186774575</v>
      </c>
      <c r="AF20" s="286">
        <v>0</v>
      </c>
      <c r="AG20" s="287">
        <v>108977.55611229599</v>
      </c>
      <c r="AH20" s="288">
        <v>0</v>
      </c>
      <c r="AI20" s="289">
        <v>1708379.0747897534</v>
      </c>
      <c r="AJ20" s="266"/>
      <c r="AK20" s="285">
        <v>0</v>
      </c>
      <c r="AL20" s="286">
        <v>0</v>
      </c>
      <c r="AM20" s="286">
        <v>0</v>
      </c>
      <c r="AN20" s="290">
        <v>0</v>
      </c>
      <c r="AO20" s="289">
        <v>0</v>
      </c>
      <c r="AP20" s="291">
        <v>1708379.0747897534</v>
      </c>
    </row>
    <row r="21" spans="1:42" ht="15.75" x14ac:dyDescent="0.25">
      <c r="A21" s="247">
        <v>5903063</v>
      </c>
      <c r="B21" t="s">
        <v>1770</v>
      </c>
      <c r="C21">
        <v>0</v>
      </c>
      <c r="D21" s="247">
        <v>5903063</v>
      </c>
      <c r="E21" s="247" t="s">
        <v>1092</v>
      </c>
      <c r="F21" s="247" t="s">
        <v>776</v>
      </c>
      <c r="G21" s="247" t="s">
        <v>1091</v>
      </c>
      <c r="H21" s="247">
        <v>5903063</v>
      </c>
      <c r="I21" s="247" t="s">
        <v>1058</v>
      </c>
      <c r="J21" s="247">
        <v>2020</v>
      </c>
      <c r="K21" s="248" t="s">
        <v>1055</v>
      </c>
      <c r="L21" s="247" t="s">
        <v>1057</v>
      </c>
      <c r="M21" s="308">
        <v>1</v>
      </c>
      <c r="N21" s="308">
        <v>1</v>
      </c>
      <c r="O21" s="308">
        <v>0</v>
      </c>
      <c r="P21" s="308">
        <v>0</v>
      </c>
      <c r="Q21" s="308">
        <v>0</v>
      </c>
      <c r="R21" s="247">
        <v>0</v>
      </c>
      <c r="S21" s="247">
        <v>13</v>
      </c>
      <c r="T21" s="247">
        <v>0</v>
      </c>
      <c r="U21" s="247">
        <v>0</v>
      </c>
      <c r="W21" s="284">
        <v>1</v>
      </c>
      <c r="X21" s="284">
        <v>1</v>
      </c>
      <c r="Y21" s="284">
        <v>0</v>
      </c>
      <c r="Z21" s="284">
        <v>0</v>
      </c>
      <c r="AA21" s="284">
        <v>0</v>
      </c>
      <c r="AB21" s="284">
        <v>0</v>
      </c>
      <c r="AC21" s="284">
        <v>0</v>
      </c>
      <c r="AE21" s="285">
        <v>695391.96464237291</v>
      </c>
      <c r="AF21" s="286">
        <v>0</v>
      </c>
      <c r="AG21" s="287">
        <v>47381.546135780867</v>
      </c>
      <c r="AH21" s="288">
        <v>0</v>
      </c>
      <c r="AI21" s="289">
        <v>742773.51077815378</v>
      </c>
      <c r="AJ21" s="266"/>
      <c r="AK21" s="285">
        <v>0</v>
      </c>
      <c r="AL21" s="286">
        <v>0</v>
      </c>
      <c r="AM21" s="286">
        <v>0</v>
      </c>
      <c r="AN21" s="290">
        <v>0</v>
      </c>
      <c r="AO21" s="289">
        <v>0</v>
      </c>
      <c r="AP21" s="291">
        <v>742773.51077815378</v>
      </c>
    </row>
    <row r="22" spans="1:42" ht="15.75" x14ac:dyDescent="0.25">
      <c r="A22" s="247">
        <v>6191102</v>
      </c>
      <c r="B22" t="s">
        <v>1770</v>
      </c>
      <c r="C22">
        <v>0</v>
      </c>
      <c r="D22" s="247">
        <v>6191102</v>
      </c>
      <c r="E22" s="247" t="s">
        <v>1095</v>
      </c>
      <c r="F22" s="247" t="s">
        <v>312</v>
      </c>
      <c r="G22" s="247" t="s">
        <v>1094</v>
      </c>
      <c r="H22" s="247">
        <v>6191102</v>
      </c>
      <c r="I22" s="247" t="s">
        <v>1063</v>
      </c>
      <c r="J22" s="247">
        <v>2020</v>
      </c>
      <c r="K22" s="248" t="s">
        <v>1055</v>
      </c>
      <c r="L22" s="247" t="s">
        <v>1057</v>
      </c>
      <c r="M22" s="308">
        <v>1</v>
      </c>
      <c r="N22" s="308">
        <v>0</v>
      </c>
      <c r="O22" s="308">
        <v>0</v>
      </c>
      <c r="P22" s="308">
        <v>0</v>
      </c>
      <c r="Q22" s="308">
        <v>1</v>
      </c>
      <c r="R22" s="247">
        <v>0</v>
      </c>
      <c r="S22" s="247">
        <v>5</v>
      </c>
      <c r="T22" s="247">
        <v>0</v>
      </c>
      <c r="U22" s="247">
        <v>0</v>
      </c>
      <c r="W22" s="284">
        <v>1</v>
      </c>
      <c r="X22" s="284">
        <v>0</v>
      </c>
      <c r="Y22" s="284">
        <v>0</v>
      </c>
      <c r="Z22" s="284">
        <v>0</v>
      </c>
      <c r="AA22" s="284">
        <v>1</v>
      </c>
      <c r="AB22" s="284">
        <v>0</v>
      </c>
      <c r="AC22" s="284">
        <v>0</v>
      </c>
      <c r="AE22" s="285">
        <v>695391.96464237291</v>
      </c>
      <c r="AF22" s="286">
        <v>0</v>
      </c>
      <c r="AG22" s="287">
        <v>47381.546135780867</v>
      </c>
      <c r="AH22" s="288">
        <v>0</v>
      </c>
      <c r="AI22" s="289">
        <v>742773.51077815378</v>
      </c>
      <c r="AJ22" s="266"/>
      <c r="AK22" s="285">
        <v>0</v>
      </c>
      <c r="AL22" s="286">
        <v>0</v>
      </c>
      <c r="AM22" s="286">
        <v>0</v>
      </c>
      <c r="AN22" s="290">
        <v>0</v>
      </c>
      <c r="AO22" s="289">
        <v>0</v>
      </c>
      <c r="AP22" s="291">
        <v>742773.51077815378</v>
      </c>
    </row>
    <row r="23" spans="1:42" ht="15.75" x14ac:dyDescent="0.25">
      <c r="A23" s="251">
        <v>6466112</v>
      </c>
      <c r="B23" t="s">
        <v>1770</v>
      </c>
      <c r="C23">
        <v>0</v>
      </c>
      <c r="D23" s="251">
        <v>6466112</v>
      </c>
      <c r="E23" s="251" t="s">
        <v>760</v>
      </c>
      <c r="F23" s="251" t="s">
        <v>760</v>
      </c>
      <c r="G23" s="251" t="s">
        <v>1096</v>
      </c>
      <c r="H23" s="251">
        <v>6466112</v>
      </c>
      <c r="I23" s="251" t="s">
        <v>1087</v>
      </c>
      <c r="J23" s="247">
        <v>2020</v>
      </c>
      <c r="K23" s="252" t="s">
        <v>1055</v>
      </c>
      <c r="L23" s="251" t="s">
        <v>1086</v>
      </c>
      <c r="M23" s="309">
        <v>0.4</v>
      </c>
      <c r="N23" s="309">
        <v>0.2</v>
      </c>
      <c r="O23" s="309">
        <v>0</v>
      </c>
      <c r="P23" s="309">
        <v>0.2</v>
      </c>
      <c r="Q23" s="309">
        <v>0</v>
      </c>
      <c r="R23" s="251">
        <v>0</v>
      </c>
      <c r="S23" s="251">
        <v>12</v>
      </c>
      <c r="T23" s="251">
        <v>0</v>
      </c>
      <c r="U23" s="251">
        <v>0</v>
      </c>
      <c r="W23" s="284">
        <v>0.4</v>
      </c>
      <c r="X23" s="284">
        <v>0.2</v>
      </c>
      <c r="Y23" s="284">
        <v>0</v>
      </c>
      <c r="Z23" s="284">
        <v>0.2</v>
      </c>
      <c r="AA23" s="284">
        <v>0</v>
      </c>
      <c r="AB23" s="284">
        <v>0</v>
      </c>
      <c r="AC23" s="284">
        <v>0</v>
      </c>
      <c r="AE23" s="285">
        <v>278156.78585694917</v>
      </c>
      <c r="AF23" s="286">
        <v>0</v>
      </c>
      <c r="AG23" s="287">
        <v>18952.618454312349</v>
      </c>
      <c r="AH23" s="288">
        <v>0</v>
      </c>
      <c r="AI23" s="289">
        <v>297109.40431126149</v>
      </c>
      <c r="AJ23" s="266"/>
      <c r="AK23" s="285">
        <v>0</v>
      </c>
      <c r="AL23" s="286">
        <v>0</v>
      </c>
      <c r="AM23" s="286">
        <v>0</v>
      </c>
      <c r="AN23" s="290">
        <v>0</v>
      </c>
      <c r="AO23" s="289">
        <v>0</v>
      </c>
      <c r="AP23" s="291">
        <v>297109.40431126149</v>
      </c>
    </row>
    <row r="24" spans="1:42" ht="15.75" x14ac:dyDescent="0.25">
      <c r="A24" s="247">
        <v>6565086</v>
      </c>
      <c r="B24" t="s">
        <v>1770</v>
      </c>
      <c r="C24">
        <v>0</v>
      </c>
      <c r="D24" s="247">
        <v>6565086</v>
      </c>
      <c r="E24" s="247" t="s">
        <v>294</v>
      </c>
      <c r="F24" s="247" t="s">
        <v>290</v>
      </c>
      <c r="G24" s="247" t="s">
        <v>1097</v>
      </c>
      <c r="H24" s="247">
        <v>6565086</v>
      </c>
      <c r="I24" s="247" t="s">
        <v>1058</v>
      </c>
      <c r="J24" s="247">
        <v>2020</v>
      </c>
      <c r="K24" s="248" t="s">
        <v>1055</v>
      </c>
      <c r="L24" s="247" t="s">
        <v>1057</v>
      </c>
      <c r="M24" s="308">
        <v>1.39</v>
      </c>
      <c r="N24" s="308">
        <v>1.39</v>
      </c>
      <c r="O24" s="308">
        <v>0</v>
      </c>
      <c r="P24" s="308">
        <v>0</v>
      </c>
      <c r="Q24" s="308">
        <v>0</v>
      </c>
      <c r="R24" s="247">
        <v>0</v>
      </c>
      <c r="S24" s="247">
        <v>25</v>
      </c>
      <c r="T24" s="247">
        <v>0</v>
      </c>
      <c r="U24" s="247">
        <v>0</v>
      </c>
      <c r="W24" s="284">
        <v>1.39</v>
      </c>
      <c r="X24" s="284">
        <v>1.39</v>
      </c>
      <c r="Y24" s="284">
        <v>0</v>
      </c>
      <c r="Z24" s="284">
        <v>0</v>
      </c>
      <c r="AA24" s="284">
        <v>0</v>
      </c>
      <c r="AB24" s="284">
        <v>0</v>
      </c>
      <c r="AC24" s="284">
        <v>0</v>
      </c>
      <c r="AE24" s="285">
        <v>966594.8308528983</v>
      </c>
      <c r="AF24" s="286">
        <v>0</v>
      </c>
      <c r="AG24" s="287">
        <v>65860.349128735397</v>
      </c>
      <c r="AH24" s="288">
        <v>0</v>
      </c>
      <c r="AI24" s="289">
        <v>1032455.1799816337</v>
      </c>
      <c r="AJ24" s="266"/>
      <c r="AK24" s="285">
        <v>0</v>
      </c>
      <c r="AL24" s="286">
        <v>0</v>
      </c>
      <c r="AM24" s="286">
        <v>0</v>
      </c>
      <c r="AN24" s="290">
        <v>0</v>
      </c>
      <c r="AO24" s="289">
        <v>0</v>
      </c>
      <c r="AP24" s="291">
        <v>1032455.1799816337</v>
      </c>
    </row>
    <row r="25" spans="1:42" ht="15.75" x14ac:dyDescent="0.25">
      <c r="A25" s="247">
        <v>6565086</v>
      </c>
      <c r="B25" t="s">
        <v>1770</v>
      </c>
      <c r="C25">
        <v>0</v>
      </c>
      <c r="D25" s="247">
        <v>6565086</v>
      </c>
      <c r="E25" s="247" t="s">
        <v>294</v>
      </c>
      <c r="F25" s="247" t="s">
        <v>290</v>
      </c>
      <c r="G25" s="247" t="s">
        <v>1099</v>
      </c>
      <c r="H25" s="247">
        <v>6565086</v>
      </c>
      <c r="I25" s="247" t="s">
        <v>1068</v>
      </c>
      <c r="J25" s="247">
        <v>2020</v>
      </c>
      <c r="K25" s="248" t="s">
        <v>1055</v>
      </c>
      <c r="L25" s="247" t="s">
        <v>1057</v>
      </c>
      <c r="M25" s="308">
        <v>1.1000000000000001</v>
      </c>
      <c r="N25" s="308">
        <v>1.1000000000000001</v>
      </c>
      <c r="O25" s="308">
        <v>0</v>
      </c>
      <c r="P25" s="308">
        <v>0</v>
      </c>
      <c r="Q25" s="308">
        <v>0</v>
      </c>
      <c r="R25" s="247">
        <v>0</v>
      </c>
      <c r="S25" s="247">
        <v>25</v>
      </c>
      <c r="T25" s="247">
        <v>0</v>
      </c>
      <c r="U25" s="247">
        <v>0</v>
      </c>
      <c r="W25" s="284">
        <v>1.1000000000000001</v>
      </c>
      <c r="X25" s="284">
        <v>1.1000000000000001</v>
      </c>
      <c r="Y25" s="284">
        <v>0</v>
      </c>
      <c r="Z25" s="284">
        <v>0</v>
      </c>
      <c r="AA25" s="284">
        <v>0</v>
      </c>
      <c r="AB25" s="284">
        <v>0</v>
      </c>
      <c r="AC25" s="284">
        <v>0</v>
      </c>
      <c r="AE25" s="285">
        <v>764931.16110661032</v>
      </c>
      <c r="AF25" s="286">
        <v>0</v>
      </c>
      <c r="AG25" s="287">
        <v>52119.700749358955</v>
      </c>
      <c r="AH25" s="288">
        <v>0</v>
      </c>
      <c r="AI25" s="289">
        <v>817050.8618559693</v>
      </c>
      <c r="AJ25" s="266"/>
      <c r="AK25" s="285">
        <v>0</v>
      </c>
      <c r="AL25" s="286">
        <v>0</v>
      </c>
      <c r="AM25" s="286">
        <v>0</v>
      </c>
      <c r="AN25" s="290">
        <v>0</v>
      </c>
      <c r="AO25" s="289">
        <v>0</v>
      </c>
      <c r="AP25" s="291">
        <v>817050.8618559693</v>
      </c>
    </row>
    <row r="26" spans="1:42" ht="15.75" x14ac:dyDescent="0.25">
      <c r="A26" s="247">
        <v>6565086</v>
      </c>
      <c r="B26" t="s">
        <v>1770</v>
      </c>
      <c r="C26">
        <v>0</v>
      </c>
      <c r="D26" s="247">
        <v>6565086</v>
      </c>
      <c r="E26" s="247" t="s">
        <v>294</v>
      </c>
      <c r="F26" s="247" t="s">
        <v>290</v>
      </c>
      <c r="G26" s="247" t="s">
        <v>1100</v>
      </c>
      <c r="H26" s="247">
        <v>6565086</v>
      </c>
      <c r="I26" s="247" t="s">
        <v>1061</v>
      </c>
      <c r="J26" s="247">
        <v>2020</v>
      </c>
      <c r="K26" s="248" t="s">
        <v>1055</v>
      </c>
      <c r="L26" s="247" t="s">
        <v>1057</v>
      </c>
      <c r="M26" s="308">
        <v>1.28</v>
      </c>
      <c r="N26" s="308">
        <v>1.1000000000000001</v>
      </c>
      <c r="O26" s="308">
        <v>0.18</v>
      </c>
      <c r="P26" s="308">
        <v>0</v>
      </c>
      <c r="Q26" s="308">
        <v>0</v>
      </c>
      <c r="R26" s="247">
        <v>0</v>
      </c>
      <c r="S26" s="247">
        <v>25</v>
      </c>
      <c r="T26" s="247">
        <v>0</v>
      </c>
      <c r="U26" s="247">
        <v>0</v>
      </c>
      <c r="W26" s="284">
        <v>1.28</v>
      </c>
      <c r="X26" s="284">
        <v>1.1000000000000001</v>
      </c>
      <c r="Y26" s="284">
        <v>0.18</v>
      </c>
      <c r="Z26" s="284">
        <v>0</v>
      </c>
      <c r="AA26" s="284">
        <v>0</v>
      </c>
      <c r="AB26" s="284">
        <v>0</v>
      </c>
      <c r="AC26" s="284">
        <v>0</v>
      </c>
      <c r="AE26" s="285">
        <v>890101.71474223735</v>
      </c>
      <c r="AF26" s="286">
        <v>0</v>
      </c>
      <c r="AG26" s="287">
        <v>60648.379053799508</v>
      </c>
      <c r="AH26" s="288">
        <v>0</v>
      </c>
      <c r="AI26" s="289">
        <v>950750.0937960369</v>
      </c>
      <c r="AJ26" s="266"/>
      <c r="AK26" s="285">
        <v>0</v>
      </c>
      <c r="AL26" s="286">
        <v>0</v>
      </c>
      <c r="AM26" s="286">
        <v>0</v>
      </c>
      <c r="AN26" s="290">
        <v>0</v>
      </c>
      <c r="AO26" s="289">
        <v>0</v>
      </c>
      <c r="AP26" s="291">
        <v>950750.0937960369</v>
      </c>
    </row>
    <row r="27" spans="1:42" ht="15.75" x14ac:dyDescent="0.25">
      <c r="A27" s="247">
        <v>6565086</v>
      </c>
      <c r="B27" t="s">
        <v>1770</v>
      </c>
      <c r="C27">
        <v>0</v>
      </c>
      <c r="D27" s="247">
        <v>6565086</v>
      </c>
      <c r="E27" s="247" t="s">
        <v>294</v>
      </c>
      <c r="F27" s="247" t="s">
        <v>290</v>
      </c>
      <c r="G27" s="247" t="s">
        <v>1101</v>
      </c>
      <c r="H27" s="247">
        <v>6565086</v>
      </c>
      <c r="I27" s="247" t="s">
        <v>1063</v>
      </c>
      <c r="J27" s="247">
        <v>2020</v>
      </c>
      <c r="K27" s="248" t="s">
        <v>1055</v>
      </c>
      <c r="L27" s="247" t="s">
        <v>1057</v>
      </c>
      <c r="M27" s="308">
        <v>1.1000000000000001</v>
      </c>
      <c r="N27" s="308">
        <v>1.1000000000000001</v>
      </c>
      <c r="O27" s="308">
        <v>0</v>
      </c>
      <c r="P27" s="308">
        <v>0</v>
      </c>
      <c r="Q27" s="308">
        <v>0</v>
      </c>
      <c r="R27" s="247">
        <v>0</v>
      </c>
      <c r="S27" s="247">
        <v>25</v>
      </c>
      <c r="T27" s="247">
        <v>0</v>
      </c>
      <c r="U27" s="247">
        <v>0</v>
      </c>
      <c r="W27" s="284">
        <v>1.1000000000000001</v>
      </c>
      <c r="X27" s="284">
        <v>1.1000000000000001</v>
      </c>
      <c r="Y27" s="284">
        <v>0</v>
      </c>
      <c r="Z27" s="284">
        <v>0</v>
      </c>
      <c r="AA27" s="284">
        <v>0</v>
      </c>
      <c r="AB27" s="284">
        <v>0</v>
      </c>
      <c r="AC27" s="284">
        <v>0</v>
      </c>
      <c r="AE27" s="285">
        <v>764931.16110661032</v>
      </c>
      <c r="AF27" s="286">
        <v>0</v>
      </c>
      <c r="AG27" s="287">
        <v>52119.700749358955</v>
      </c>
      <c r="AH27" s="288">
        <v>0</v>
      </c>
      <c r="AI27" s="289">
        <v>817050.8618559693</v>
      </c>
      <c r="AJ27" s="266"/>
      <c r="AK27" s="285">
        <v>0</v>
      </c>
      <c r="AL27" s="286">
        <v>0</v>
      </c>
      <c r="AM27" s="286">
        <v>0</v>
      </c>
      <c r="AN27" s="290">
        <v>0</v>
      </c>
      <c r="AO27" s="289">
        <v>0</v>
      </c>
      <c r="AP27" s="291">
        <v>817050.8618559693</v>
      </c>
    </row>
    <row r="28" spans="1:42" ht="15.75" x14ac:dyDescent="0.25">
      <c r="A28" s="247">
        <v>6565086</v>
      </c>
      <c r="B28" t="s">
        <v>1770</v>
      </c>
      <c r="C28">
        <v>0</v>
      </c>
      <c r="D28" s="247">
        <v>6565086</v>
      </c>
      <c r="E28" s="247" t="s">
        <v>294</v>
      </c>
      <c r="F28" s="247" t="s">
        <v>290</v>
      </c>
      <c r="G28" s="247" t="s">
        <v>1102</v>
      </c>
      <c r="H28" s="247">
        <v>6565086</v>
      </c>
      <c r="I28" s="247" t="s">
        <v>1073</v>
      </c>
      <c r="J28" s="247">
        <v>2020</v>
      </c>
      <c r="K28" s="248" t="s">
        <v>1055</v>
      </c>
      <c r="L28" s="247" t="s">
        <v>1057</v>
      </c>
      <c r="M28" s="308">
        <v>1.2</v>
      </c>
      <c r="N28" s="308">
        <v>1.1000000000000001</v>
      </c>
      <c r="O28" s="308">
        <v>0.1</v>
      </c>
      <c r="P28" s="308">
        <v>0</v>
      </c>
      <c r="Q28" s="308">
        <v>0</v>
      </c>
      <c r="R28" s="247">
        <v>0</v>
      </c>
      <c r="S28" s="247">
        <v>25</v>
      </c>
      <c r="T28" s="247">
        <v>0</v>
      </c>
      <c r="U28" s="247">
        <v>0</v>
      </c>
      <c r="W28" s="284">
        <v>1.2</v>
      </c>
      <c r="X28" s="284">
        <v>1.1000000000000001</v>
      </c>
      <c r="Y28" s="284">
        <v>0.1</v>
      </c>
      <c r="Z28" s="284">
        <v>0</v>
      </c>
      <c r="AA28" s="284">
        <v>0</v>
      </c>
      <c r="AB28" s="284">
        <v>0</v>
      </c>
      <c r="AC28" s="284">
        <v>0</v>
      </c>
      <c r="AE28" s="285">
        <v>834470.3575708475</v>
      </c>
      <c r="AF28" s="286">
        <v>0</v>
      </c>
      <c r="AG28" s="287">
        <v>56857.855362937036</v>
      </c>
      <c r="AH28" s="288">
        <v>0</v>
      </c>
      <c r="AI28" s="289">
        <v>891328.21293378458</v>
      </c>
      <c r="AJ28" s="266"/>
      <c r="AK28" s="285">
        <v>0</v>
      </c>
      <c r="AL28" s="286">
        <v>0</v>
      </c>
      <c r="AM28" s="286">
        <v>0</v>
      </c>
      <c r="AN28" s="290">
        <v>0</v>
      </c>
      <c r="AO28" s="289">
        <v>0</v>
      </c>
      <c r="AP28" s="291">
        <v>891328.21293378458</v>
      </c>
    </row>
    <row r="29" spans="1:42" ht="15.75" x14ac:dyDescent="0.25">
      <c r="A29" s="247">
        <v>6698987</v>
      </c>
      <c r="B29" t="s">
        <v>1770</v>
      </c>
      <c r="C29">
        <v>0</v>
      </c>
      <c r="D29" s="247">
        <v>6698987</v>
      </c>
      <c r="E29" s="247" t="s">
        <v>844</v>
      </c>
      <c r="F29" s="247" t="s">
        <v>842</v>
      </c>
      <c r="G29" s="247" t="s">
        <v>1079</v>
      </c>
      <c r="H29" s="247">
        <v>6698987</v>
      </c>
      <c r="I29" s="247" t="s">
        <v>1063</v>
      </c>
      <c r="J29" s="247">
        <v>2020</v>
      </c>
      <c r="K29" s="248" t="s">
        <v>1055</v>
      </c>
      <c r="L29" s="247" t="s">
        <v>1057</v>
      </c>
      <c r="M29" s="308">
        <v>1.1499999999999999</v>
      </c>
      <c r="N29" s="308">
        <v>1</v>
      </c>
      <c r="O29" s="308">
        <v>0.15</v>
      </c>
      <c r="P29" s="308">
        <v>0</v>
      </c>
      <c r="Q29" s="308">
        <v>0</v>
      </c>
      <c r="R29" s="247">
        <v>0</v>
      </c>
      <c r="S29" s="247">
        <v>5</v>
      </c>
      <c r="T29" s="247">
        <v>0</v>
      </c>
      <c r="U29" s="247">
        <v>0</v>
      </c>
      <c r="W29" s="284">
        <v>1.1499999999999999</v>
      </c>
      <c r="X29" s="284">
        <v>1</v>
      </c>
      <c r="Y29" s="284">
        <v>0.15</v>
      </c>
      <c r="Z29" s="284">
        <v>0</v>
      </c>
      <c r="AA29" s="284">
        <v>0</v>
      </c>
      <c r="AB29" s="284">
        <v>0</v>
      </c>
      <c r="AC29" s="284">
        <v>0</v>
      </c>
      <c r="AE29" s="285">
        <v>799700.75933872873</v>
      </c>
      <c r="AF29" s="286">
        <v>0</v>
      </c>
      <c r="AG29" s="287">
        <v>54488.778056147996</v>
      </c>
      <c r="AH29" s="288">
        <v>0</v>
      </c>
      <c r="AI29" s="289">
        <v>854189.53739487671</v>
      </c>
      <c r="AJ29" s="266"/>
      <c r="AK29" s="285">
        <v>0</v>
      </c>
      <c r="AL29" s="286">
        <v>0</v>
      </c>
      <c r="AM29" s="286">
        <v>0</v>
      </c>
      <c r="AN29" s="290">
        <v>0</v>
      </c>
      <c r="AO29" s="289">
        <v>0</v>
      </c>
      <c r="AP29" s="291">
        <v>854189.53739487671</v>
      </c>
    </row>
    <row r="30" spans="1:42" ht="15.75" x14ac:dyDescent="0.25">
      <c r="A30" s="247">
        <v>6811251</v>
      </c>
      <c r="B30" t="s">
        <v>1770</v>
      </c>
      <c r="C30">
        <v>0</v>
      </c>
      <c r="D30" s="247">
        <v>6811251</v>
      </c>
      <c r="E30" s="247" t="s">
        <v>1066</v>
      </c>
      <c r="F30" s="247" t="s">
        <v>1067</v>
      </c>
      <c r="G30" s="247" t="s">
        <v>1103</v>
      </c>
      <c r="H30" s="247">
        <v>6811251</v>
      </c>
      <c r="I30" s="247" t="s">
        <v>1061</v>
      </c>
      <c r="J30" s="247">
        <v>2020</v>
      </c>
      <c r="K30" s="248" t="s">
        <v>1055</v>
      </c>
      <c r="L30" s="247" t="s">
        <v>1057</v>
      </c>
      <c r="M30" s="308">
        <v>0.6</v>
      </c>
      <c r="N30" s="308">
        <v>0.6</v>
      </c>
      <c r="O30" s="308">
        <v>0</v>
      </c>
      <c r="P30" s="308">
        <v>0</v>
      </c>
      <c r="Q30" s="308">
        <v>0</v>
      </c>
      <c r="R30" s="247">
        <v>0</v>
      </c>
      <c r="S30" s="247">
        <v>2</v>
      </c>
      <c r="T30" s="247">
        <v>0</v>
      </c>
      <c r="U30" s="247">
        <v>0</v>
      </c>
      <c r="W30" s="284">
        <v>0.6</v>
      </c>
      <c r="X30" s="284">
        <v>0.6</v>
      </c>
      <c r="Y30" s="284">
        <v>0</v>
      </c>
      <c r="Z30" s="284">
        <v>0</v>
      </c>
      <c r="AA30" s="284">
        <v>0</v>
      </c>
      <c r="AB30" s="284">
        <v>0</v>
      </c>
      <c r="AC30" s="284">
        <v>0</v>
      </c>
      <c r="AE30" s="285">
        <v>417235.17878542375</v>
      </c>
      <c r="AF30" s="286">
        <v>0</v>
      </c>
      <c r="AG30" s="287">
        <v>28428.927681468518</v>
      </c>
      <c r="AH30" s="288">
        <v>0</v>
      </c>
      <c r="AI30" s="289">
        <v>445664.10646689229</v>
      </c>
      <c r="AJ30" s="266"/>
      <c r="AK30" s="285">
        <v>0</v>
      </c>
      <c r="AL30" s="286">
        <v>0</v>
      </c>
      <c r="AM30" s="286">
        <v>0</v>
      </c>
      <c r="AN30" s="290">
        <v>0</v>
      </c>
      <c r="AO30" s="289">
        <v>0</v>
      </c>
      <c r="AP30" s="291">
        <v>445664.10646689229</v>
      </c>
    </row>
    <row r="31" spans="1:42" ht="15.75" x14ac:dyDescent="0.25">
      <c r="A31" s="247">
        <v>7235281</v>
      </c>
      <c r="B31" t="s">
        <v>1770</v>
      </c>
      <c r="C31">
        <v>0</v>
      </c>
      <c r="D31" s="247">
        <v>7235281</v>
      </c>
      <c r="E31" s="247" t="s">
        <v>831</v>
      </c>
      <c r="F31" s="247" t="s">
        <v>826</v>
      </c>
      <c r="G31" s="247" t="s">
        <v>1072</v>
      </c>
      <c r="H31" s="247">
        <v>7235281</v>
      </c>
      <c r="I31" s="247" t="s">
        <v>1073</v>
      </c>
      <c r="J31" s="247">
        <v>2020</v>
      </c>
      <c r="K31" s="248" t="s">
        <v>1055</v>
      </c>
      <c r="L31" s="247" t="s">
        <v>1057</v>
      </c>
      <c r="M31" s="308">
        <v>0.6</v>
      </c>
      <c r="N31" s="308">
        <v>0.2</v>
      </c>
      <c r="O31" s="308">
        <v>0.2</v>
      </c>
      <c r="P31" s="308">
        <v>0</v>
      </c>
      <c r="Q31" s="308">
        <v>0.2</v>
      </c>
      <c r="R31" s="247">
        <v>0</v>
      </c>
      <c r="S31" s="247">
        <v>0</v>
      </c>
      <c r="T31" s="247">
        <v>1</v>
      </c>
      <c r="U31" s="247">
        <v>0</v>
      </c>
      <c r="W31" s="284">
        <v>0.6</v>
      </c>
      <c r="X31" s="284">
        <v>0.2</v>
      </c>
      <c r="Y31" s="284">
        <v>0.2</v>
      </c>
      <c r="Z31" s="284">
        <v>0</v>
      </c>
      <c r="AA31" s="284">
        <v>0.2</v>
      </c>
      <c r="AB31" s="284">
        <v>0</v>
      </c>
      <c r="AC31" s="284">
        <v>1</v>
      </c>
      <c r="AE31" s="285">
        <v>417235.17878542375</v>
      </c>
      <c r="AF31" s="286">
        <v>0</v>
      </c>
      <c r="AG31" s="287">
        <v>28428.927681468518</v>
      </c>
      <c r="AH31" s="288">
        <v>0</v>
      </c>
      <c r="AI31" s="289">
        <v>445664.10646689229</v>
      </c>
      <c r="AJ31" s="266"/>
      <c r="AK31" s="285">
        <v>0</v>
      </c>
      <c r="AL31" s="286">
        <v>0</v>
      </c>
      <c r="AM31" s="286">
        <v>0</v>
      </c>
      <c r="AN31" s="290">
        <v>0</v>
      </c>
      <c r="AO31" s="289">
        <v>0</v>
      </c>
      <c r="AP31" s="291">
        <v>445664.10646689229</v>
      </c>
    </row>
    <row r="32" spans="1:42" ht="15.75" x14ac:dyDescent="0.25">
      <c r="A32" s="247">
        <v>7634996</v>
      </c>
      <c r="B32" t="s">
        <v>1770</v>
      </c>
      <c r="C32">
        <v>0</v>
      </c>
      <c r="D32" s="247">
        <v>7634996</v>
      </c>
      <c r="E32" s="247" t="s">
        <v>1104</v>
      </c>
      <c r="F32" s="247" t="s">
        <v>553</v>
      </c>
      <c r="G32" s="247" t="s">
        <v>1077</v>
      </c>
      <c r="H32" s="247">
        <v>7634996</v>
      </c>
      <c r="I32" s="247" t="s">
        <v>1061</v>
      </c>
      <c r="J32" s="247">
        <v>2020</v>
      </c>
      <c r="K32" s="248" t="s">
        <v>1055</v>
      </c>
      <c r="L32" s="247" t="s">
        <v>1057</v>
      </c>
      <c r="M32" s="308">
        <v>0.4</v>
      </c>
      <c r="N32" s="308">
        <v>0.4</v>
      </c>
      <c r="O32" s="308">
        <v>0</v>
      </c>
      <c r="P32" s="308">
        <v>0</v>
      </c>
      <c r="Q32" s="308">
        <v>0</v>
      </c>
      <c r="R32" s="247">
        <v>0</v>
      </c>
      <c r="S32" s="247">
        <v>14</v>
      </c>
      <c r="T32" s="247">
        <v>0</v>
      </c>
      <c r="U32" s="247">
        <v>0</v>
      </c>
      <c r="W32" s="284">
        <v>0.4</v>
      </c>
      <c r="X32" s="284">
        <v>0.4</v>
      </c>
      <c r="Y32" s="284">
        <v>0</v>
      </c>
      <c r="Z32" s="284">
        <v>0</v>
      </c>
      <c r="AA32" s="284">
        <v>0</v>
      </c>
      <c r="AB32" s="284">
        <v>0</v>
      </c>
      <c r="AC32" s="284">
        <v>0</v>
      </c>
      <c r="AE32" s="285">
        <v>278156.78585694917</v>
      </c>
      <c r="AF32" s="286">
        <v>0</v>
      </c>
      <c r="AG32" s="287">
        <v>18952.618454312349</v>
      </c>
      <c r="AH32" s="288">
        <v>0</v>
      </c>
      <c r="AI32" s="289">
        <v>297109.40431126149</v>
      </c>
      <c r="AJ32" s="266"/>
      <c r="AK32" s="285">
        <v>0</v>
      </c>
      <c r="AL32" s="286">
        <v>0</v>
      </c>
      <c r="AM32" s="286">
        <v>0</v>
      </c>
      <c r="AN32" s="290">
        <v>0</v>
      </c>
      <c r="AO32" s="289">
        <v>0</v>
      </c>
      <c r="AP32" s="291">
        <v>297109.40431126149</v>
      </c>
    </row>
    <row r="33" spans="1:42" ht="15.75" x14ac:dyDescent="0.25">
      <c r="A33" s="247">
        <v>8289298</v>
      </c>
      <c r="B33" t="s">
        <v>1770</v>
      </c>
      <c r="C33">
        <v>0</v>
      </c>
      <c r="D33" s="247">
        <v>8289298</v>
      </c>
      <c r="E33" s="247" t="s">
        <v>1106</v>
      </c>
      <c r="F33" s="247" t="s">
        <v>553</v>
      </c>
      <c r="G33" s="247" t="s">
        <v>1105</v>
      </c>
      <c r="H33" s="247">
        <v>8289298</v>
      </c>
      <c r="I33" s="247" t="s">
        <v>1073</v>
      </c>
      <c r="J33" s="247">
        <v>2020</v>
      </c>
      <c r="K33" s="248" t="s">
        <v>1055</v>
      </c>
      <c r="L33" s="247" t="s">
        <v>1057</v>
      </c>
      <c r="M33" s="308">
        <v>2.25</v>
      </c>
      <c r="N33" s="308">
        <v>2.25</v>
      </c>
      <c r="O33" s="308">
        <v>0</v>
      </c>
      <c r="P33" s="308">
        <v>0</v>
      </c>
      <c r="Q33" s="308">
        <v>0</v>
      </c>
      <c r="R33" s="247">
        <v>0</v>
      </c>
      <c r="S33" s="247">
        <v>20</v>
      </c>
      <c r="T33" s="247">
        <v>3</v>
      </c>
      <c r="U33" s="247">
        <v>0</v>
      </c>
      <c r="W33" s="284">
        <v>2.25</v>
      </c>
      <c r="X33" s="284">
        <v>2.25</v>
      </c>
      <c r="Y33" s="284">
        <v>0</v>
      </c>
      <c r="Z33" s="284">
        <v>0</v>
      </c>
      <c r="AA33" s="284">
        <v>0</v>
      </c>
      <c r="AB33" s="284">
        <v>0</v>
      </c>
      <c r="AC33" s="284">
        <v>3</v>
      </c>
      <c r="AE33" s="285">
        <v>1564631.9204453391</v>
      </c>
      <c r="AF33" s="286">
        <v>0</v>
      </c>
      <c r="AG33" s="287">
        <v>106608.47880550695</v>
      </c>
      <c r="AH33" s="288">
        <v>0</v>
      </c>
      <c r="AI33" s="289">
        <v>1671240.3992508459</v>
      </c>
      <c r="AJ33" s="266"/>
      <c r="AK33" s="285">
        <v>0</v>
      </c>
      <c r="AL33" s="286">
        <v>0</v>
      </c>
      <c r="AM33" s="286">
        <v>0</v>
      </c>
      <c r="AN33" s="290">
        <v>0</v>
      </c>
      <c r="AO33" s="289">
        <v>0</v>
      </c>
      <c r="AP33" s="291">
        <v>1671240.3992508459</v>
      </c>
    </row>
    <row r="34" spans="1:42" ht="15.75" x14ac:dyDescent="0.25">
      <c r="A34" s="247">
        <v>8299792</v>
      </c>
      <c r="B34" t="s">
        <v>1770</v>
      </c>
      <c r="C34">
        <v>0</v>
      </c>
      <c r="D34" s="247">
        <v>8299792</v>
      </c>
      <c r="E34" s="247" t="s">
        <v>1108</v>
      </c>
      <c r="F34" s="247" t="s">
        <v>585</v>
      </c>
      <c r="G34" s="247" t="s">
        <v>1107</v>
      </c>
      <c r="H34" s="247">
        <v>8299792</v>
      </c>
      <c r="I34" s="247" t="s">
        <v>1087</v>
      </c>
      <c r="J34" s="247">
        <v>2020</v>
      </c>
      <c r="K34" s="248" t="s">
        <v>1055</v>
      </c>
      <c r="L34" s="247" t="s">
        <v>1086</v>
      </c>
      <c r="M34" s="308">
        <v>2.72</v>
      </c>
      <c r="N34" s="308">
        <v>1.02</v>
      </c>
      <c r="O34" s="308">
        <v>0.3</v>
      </c>
      <c r="P34" s="308">
        <v>0</v>
      </c>
      <c r="Q34" s="308">
        <v>1.4</v>
      </c>
      <c r="R34" s="247">
        <v>0</v>
      </c>
      <c r="S34" s="247">
        <v>25</v>
      </c>
      <c r="T34" s="247">
        <v>0</v>
      </c>
      <c r="U34" s="247">
        <v>0</v>
      </c>
      <c r="W34" s="284">
        <v>2.72</v>
      </c>
      <c r="X34" s="284">
        <v>1.02</v>
      </c>
      <c r="Y34" s="284">
        <v>0.3</v>
      </c>
      <c r="Z34" s="284">
        <v>0</v>
      </c>
      <c r="AA34" s="284">
        <v>1.4</v>
      </c>
      <c r="AB34" s="284">
        <v>0</v>
      </c>
      <c r="AC34" s="284">
        <v>0</v>
      </c>
      <c r="AE34" s="285">
        <v>1891466.1438272544</v>
      </c>
      <c r="AF34" s="286">
        <v>0</v>
      </c>
      <c r="AG34" s="287">
        <v>128877.80548932398</v>
      </c>
      <c r="AH34" s="288">
        <v>0</v>
      </c>
      <c r="AI34" s="289">
        <v>2020343.9493165785</v>
      </c>
      <c r="AJ34" s="266"/>
      <c r="AK34" s="285">
        <v>0</v>
      </c>
      <c r="AL34" s="286">
        <v>0</v>
      </c>
      <c r="AM34" s="286">
        <v>0</v>
      </c>
      <c r="AN34" s="290">
        <v>0</v>
      </c>
      <c r="AO34" s="289">
        <v>0</v>
      </c>
      <c r="AP34" s="291">
        <v>2020343.9493165785</v>
      </c>
    </row>
    <row r="35" spans="1:42" ht="15.75" x14ac:dyDescent="0.25">
      <c r="A35" s="247">
        <v>8615860</v>
      </c>
      <c r="B35" t="s">
        <v>1770</v>
      </c>
      <c r="C35">
        <v>0</v>
      </c>
      <c r="D35" s="247">
        <v>8615860</v>
      </c>
      <c r="E35" s="247" t="s">
        <v>931</v>
      </c>
      <c r="F35" s="247" t="s">
        <v>306</v>
      </c>
      <c r="G35" s="247" t="s">
        <v>1110</v>
      </c>
      <c r="H35" s="247">
        <v>8615860</v>
      </c>
      <c r="I35" s="247" t="s">
        <v>1073</v>
      </c>
      <c r="J35" s="247">
        <v>2020</v>
      </c>
      <c r="K35" s="248" t="s">
        <v>1055</v>
      </c>
      <c r="L35" s="247" t="s">
        <v>1057</v>
      </c>
      <c r="M35" s="308">
        <v>2.7</v>
      </c>
      <c r="N35" s="308">
        <v>0.7</v>
      </c>
      <c r="O35" s="308">
        <v>0</v>
      </c>
      <c r="P35" s="308">
        <v>0</v>
      </c>
      <c r="Q35" s="308">
        <v>2</v>
      </c>
      <c r="R35" s="247">
        <v>0</v>
      </c>
      <c r="S35" s="247">
        <v>20</v>
      </c>
      <c r="T35" s="247">
        <v>0</v>
      </c>
      <c r="U35" s="247">
        <v>0</v>
      </c>
      <c r="W35" s="284">
        <v>2.7</v>
      </c>
      <c r="X35" s="284">
        <v>0.7</v>
      </c>
      <c r="Y35" s="284">
        <v>0</v>
      </c>
      <c r="Z35" s="284">
        <v>0</v>
      </c>
      <c r="AA35" s="284">
        <v>2</v>
      </c>
      <c r="AB35" s="284">
        <v>0</v>
      </c>
      <c r="AC35" s="284">
        <v>0</v>
      </c>
      <c r="AE35" s="285">
        <v>1877558.3045344071</v>
      </c>
      <c r="AF35" s="286">
        <v>0</v>
      </c>
      <c r="AG35" s="287">
        <v>127930.17456660834</v>
      </c>
      <c r="AH35" s="288">
        <v>0</v>
      </c>
      <c r="AI35" s="289">
        <v>2005488.4791010155</v>
      </c>
      <c r="AJ35" s="266"/>
      <c r="AK35" s="285">
        <v>0</v>
      </c>
      <c r="AL35" s="286">
        <v>0</v>
      </c>
      <c r="AM35" s="286">
        <v>0</v>
      </c>
      <c r="AN35" s="290">
        <v>0</v>
      </c>
      <c r="AO35" s="289">
        <v>0</v>
      </c>
      <c r="AP35" s="291">
        <v>2005488.4791010155</v>
      </c>
    </row>
    <row r="36" spans="1:42" ht="15.75" x14ac:dyDescent="0.25">
      <c r="A36" s="247">
        <v>8849001</v>
      </c>
      <c r="B36" t="s">
        <v>1770</v>
      </c>
      <c r="C36">
        <v>0</v>
      </c>
      <c r="D36" s="247">
        <v>8849001</v>
      </c>
      <c r="E36" s="247" t="s">
        <v>740</v>
      </c>
      <c r="F36" s="247" t="s">
        <v>733</v>
      </c>
      <c r="G36" s="247" t="s">
        <v>1074</v>
      </c>
      <c r="H36" s="247">
        <v>8849001</v>
      </c>
      <c r="I36" s="247" t="s">
        <v>1058</v>
      </c>
      <c r="J36" s="247">
        <v>2020</v>
      </c>
      <c r="K36" s="248" t="s">
        <v>1055</v>
      </c>
      <c r="L36" s="247" t="s">
        <v>1057</v>
      </c>
      <c r="M36" s="308">
        <v>1.8</v>
      </c>
      <c r="N36" s="308">
        <v>1.8</v>
      </c>
      <c r="O36" s="308">
        <v>0</v>
      </c>
      <c r="P36" s="308">
        <v>0</v>
      </c>
      <c r="Q36" s="308">
        <v>0</v>
      </c>
      <c r="R36" s="247">
        <v>0</v>
      </c>
      <c r="S36" s="247">
        <v>16</v>
      </c>
      <c r="T36" s="247">
        <v>0</v>
      </c>
      <c r="U36" s="247">
        <v>0</v>
      </c>
      <c r="W36" s="284">
        <v>1.8</v>
      </c>
      <c r="X36" s="284">
        <v>1.8</v>
      </c>
      <c r="Y36" s="284">
        <v>0</v>
      </c>
      <c r="Z36" s="284">
        <v>0</v>
      </c>
      <c r="AA36" s="284">
        <v>0</v>
      </c>
      <c r="AB36" s="284">
        <v>0</v>
      </c>
      <c r="AC36" s="284">
        <v>0</v>
      </c>
      <c r="AE36" s="285">
        <v>1251705.5363562712</v>
      </c>
      <c r="AF36" s="286">
        <v>0</v>
      </c>
      <c r="AG36" s="287">
        <v>85286.783044405558</v>
      </c>
      <c r="AH36" s="288">
        <v>0</v>
      </c>
      <c r="AI36" s="289">
        <v>1336992.3194006768</v>
      </c>
      <c r="AJ36" s="266"/>
      <c r="AK36" s="285">
        <v>0</v>
      </c>
      <c r="AL36" s="286">
        <v>0</v>
      </c>
      <c r="AM36" s="286">
        <v>0</v>
      </c>
      <c r="AN36" s="290">
        <v>0</v>
      </c>
      <c r="AO36" s="289">
        <v>0</v>
      </c>
      <c r="AP36" s="291">
        <v>1336992.3194006768</v>
      </c>
    </row>
    <row r="37" spans="1:42" ht="15.75" x14ac:dyDescent="0.25">
      <c r="A37" s="247">
        <v>8984742</v>
      </c>
      <c r="B37" t="s">
        <v>1770</v>
      </c>
      <c r="C37">
        <v>0</v>
      </c>
      <c r="D37" s="247">
        <v>8984742</v>
      </c>
      <c r="E37" s="247" t="s">
        <v>744</v>
      </c>
      <c r="F37" s="247" t="s">
        <v>733</v>
      </c>
      <c r="G37" s="247" t="s">
        <v>1111</v>
      </c>
      <c r="H37" s="247">
        <v>8984742</v>
      </c>
      <c r="I37" s="247" t="s">
        <v>1068</v>
      </c>
      <c r="J37" s="247">
        <v>2020</v>
      </c>
      <c r="K37" s="248" t="s">
        <v>1055</v>
      </c>
      <c r="L37" s="247" t="s">
        <v>1057</v>
      </c>
      <c r="M37" s="308">
        <v>1.5</v>
      </c>
      <c r="N37" s="308">
        <v>1</v>
      </c>
      <c r="O37" s="308">
        <v>0</v>
      </c>
      <c r="P37" s="308">
        <v>0</v>
      </c>
      <c r="Q37" s="308">
        <v>0.5</v>
      </c>
      <c r="R37" s="247">
        <v>0</v>
      </c>
      <c r="S37" s="247">
        <v>8</v>
      </c>
      <c r="T37" s="247">
        <v>0</v>
      </c>
      <c r="U37" s="247">
        <v>0</v>
      </c>
      <c r="W37" s="284">
        <v>1.5</v>
      </c>
      <c r="X37" s="284">
        <v>1</v>
      </c>
      <c r="Y37" s="284">
        <v>0</v>
      </c>
      <c r="Z37" s="284">
        <v>0</v>
      </c>
      <c r="AA37" s="284">
        <v>0.5</v>
      </c>
      <c r="AB37" s="284">
        <v>0</v>
      </c>
      <c r="AC37" s="284">
        <v>0</v>
      </c>
      <c r="AE37" s="285">
        <v>1043087.9469635594</v>
      </c>
      <c r="AF37" s="286">
        <v>0</v>
      </c>
      <c r="AG37" s="287">
        <v>71072.319203671301</v>
      </c>
      <c r="AH37" s="288">
        <v>0</v>
      </c>
      <c r="AI37" s="289">
        <v>1114160.2661672307</v>
      </c>
      <c r="AJ37" s="266"/>
      <c r="AK37" s="285">
        <v>0</v>
      </c>
      <c r="AL37" s="286">
        <v>0</v>
      </c>
      <c r="AM37" s="286">
        <v>0</v>
      </c>
      <c r="AN37" s="290">
        <v>0</v>
      </c>
      <c r="AO37" s="289">
        <v>0</v>
      </c>
      <c r="AP37" s="291">
        <v>1114160.2661672307</v>
      </c>
    </row>
    <row r="38" spans="1:42" ht="15.75" x14ac:dyDescent="0.25">
      <c r="A38" s="247">
        <v>9223303</v>
      </c>
      <c r="B38" t="s">
        <v>1770</v>
      </c>
      <c r="C38">
        <v>0</v>
      </c>
      <c r="D38" s="247">
        <v>9223303</v>
      </c>
      <c r="E38" s="247" t="s">
        <v>1112</v>
      </c>
      <c r="F38" s="247" t="s">
        <v>1113</v>
      </c>
      <c r="G38" s="247" t="s">
        <v>1099</v>
      </c>
      <c r="H38" s="247">
        <v>9223303</v>
      </c>
      <c r="I38" s="247" t="s">
        <v>1068</v>
      </c>
      <c r="J38" s="247">
        <v>2020</v>
      </c>
      <c r="K38" s="248" t="s">
        <v>1055</v>
      </c>
      <c r="L38" s="247" t="s">
        <v>1057</v>
      </c>
      <c r="M38" s="308">
        <v>0.4</v>
      </c>
      <c r="N38" s="308">
        <v>0.4</v>
      </c>
      <c r="O38" s="308">
        <v>0</v>
      </c>
      <c r="P38" s="308">
        <v>0</v>
      </c>
      <c r="Q38" s="308">
        <v>0</v>
      </c>
      <c r="R38" s="247">
        <v>0</v>
      </c>
      <c r="S38" s="247">
        <v>10</v>
      </c>
      <c r="T38" s="247">
        <v>0</v>
      </c>
      <c r="U38" s="247">
        <v>0</v>
      </c>
      <c r="W38" s="284">
        <v>0.4</v>
      </c>
      <c r="X38" s="284">
        <v>0.4</v>
      </c>
      <c r="Y38" s="284">
        <v>0</v>
      </c>
      <c r="Z38" s="284">
        <v>0</v>
      </c>
      <c r="AA38" s="284">
        <v>0</v>
      </c>
      <c r="AB38" s="284">
        <v>0</v>
      </c>
      <c r="AC38" s="284">
        <v>0</v>
      </c>
      <c r="AE38" s="285">
        <v>278156.78585694917</v>
      </c>
      <c r="AF38" s="286">
        <v>0</v>
      </c>
      <c r="AG38" s="287">
        <v>18952.618454312349</v>
      </c>
      <c r="AH38" s="288">
        <v>0</v>
      </c>
      <c r="AI38" s="289">
        <v>297109.40431126149</v>
      </c>
      <c r="AJ38" s="266"/>
      <c r="AK38" s="285">
        <v>0</v>
      </c>
      <c r="AL38" s="286">
        <v>0</v>
      </c>
      <c r="AM38" s="286">
        <v>0</v>
      </c>
      <c r="AN38" s="290">
        <v>0</v>
      </c>
      <c r="AO38" s="289">
        <v>0</v>
      </c>
      <c r="AP38" s="291">
        <v>297109.40431126149</v>
      </c>
    </row>
    <row r="39" spans="1:42" ht="15.75" x14ac:dyDescent="0.25">
      <c r="A39" s="247">
        <v>9503685</v>
      </c>
      <c r="B39" t="s">
        <v>1770</v>
      </c>
      <c r="C39">
        <v>0</v>
      </c>
      <c r="D39" s="247">
        <v>9503685</v>
      </c>
      <c r="E39" s="247" t="s">
        <v>1115</v>
      </c>
      <c r="F39" s="247" t="s">
        <v>553</v>
      </c>
      <c r="G39" s="247" t="s">
        <v>1111</v>
      </c>
      <c r="H39" s="247">
        <v>9503685</v>
      </c>
      <c r="I39" s="247" t="s">
        <v>1068</v>
      </c>
      <c r="J39" s="247">
        <v>2020</v>
      </c>
      <c r="K39" s="248" t="s">
        <v>1055</v>
      </c>
      <c r="L39" s="247" t="s">
        <v>1057</v>
      </c>
      <c r="M39" s="308">
        <v>0.6</v>
      </c>
      <c r="N39" s="308">
        <v>0.6</v>
      </c>
      <c r="O39" s="308">
        <v>0</v>
      </c>
      <c r="P39" s="308">
        <v>0</v>
      </c>
      <c r="Q39" s="308">
        <v>0</v>
      </c>
      <c r="R39" s="247">
        <v>0</v>
      </c>
      <c r="S39" s="247">
        <v>14</v>
      </c>
      <c r="T39" s="247">
        <v>0</v>
      </c>
      <c r="U39" s="247">
        <v>0</v>
      </c>
      <c r="W39" s="284">
        <v>0.6</v>
      </c>
      <c r="X39" s="284">
        <v>0.6</v>
      </c>
      <c r="Y39" s="284">
        <v>0</v>
      </c>
      <c r="Z39" s="284">
        <v>0</v>
      </c>
      <c r="AA39" s="284">
        <v>0</v>
      </c>
      <c r="AB39" s="284">
        <v>0</v>
      </c>
      <c r="AC39" s="284">
        <v>0</v>
      </c>
      <c r="AE39" s="285">
        <v>417235.17878542375</v>
      </c>
      <c r="AF39" s="286">
        <v>0</v>
      </c>
      <c r="AG39" s="287">
        <v>28428.927681468518</v>
      </c>
      <c r="AH39" s="288">
        <v>0</v>
      </c>
      <c r="AI39" s="289">
        <v>445664.10646689229</v>
      </c>
      <c r="AJ39" s="266"/>
      <c r="AK39" s="285">
        <v>0</v>
      </c>
      <c r="AL39" s="286">
        <v>0</v>
      </c>
      <c r="AM39" s="286">
        <v>0</v>
      </c>
      <c r="AN39" s="290">
        <v>0</v>
      </c>
      <c r="AO39" s="289">
        <v>0</v>
      </c>
      <c r="AP39" s="291">
        <v>445664.10646689229</v>
      </c>
    </row>
    <row r="40" spans="1:42" ht="15.75" x14ac:dyDescent="0.25">
      <c r="A40" s="247">
        <v>9608144</v>
      </c>
      <c r="B40" t="s">
        <v>1770</v>
      </c>
      <c r="C40">
        <v>0</v>
      </c>
      <c r="D40" s="247">
        <v>9608144</v>
      </c>
      <c r="E40" s="247" t="s">
        <v>1117</v>
      </c>
      <c r="F40" s="247" t="s">
        <v>1118</v>
      </c>
      <c r="G40" s="247" t="s">
        <v>1116</v>
      </c>
      <c r="H40" s="247">
        <v>9608144</v>
      </c>
      <c r="I40" s="247" t="s">
        <v>1058</v>
      </c>
      <c r="J40" s="247">
        <v>2020</v>
      </c>
      <c r="K40" s="248" t="s">
        <v>1055</v>
      </c>
      <c r="L40" s="247" t="s">
        <v>1057</v>
      </c>
      <c r="M40" s="308">
        <v>1.9</v>
      </c>
      <c r="N40" s="308">
        <v>1.9</v>
      </c>
      <c r="O40" s="308">
        <v>0</v>
      </c>
      <c r="P40" s="308">
        <v>0</v>
      </c>
      <c r="Q40" s="308">
        <v>0</v>
      </c>
      <c r="R40" s="247">
        <v>0</v>
      </c>
      <c r="S40" s="247">
        <v>18</v>
      </c>
      <c r="T40" s="247">
        <v>1</v>
      </c>
      <c r="U40" s="247">
        <v>0</v>
      </c>
      <c r="W40" s="284">
        <v>1.9</v>
      </c>
      <c r="X40" s="284">
        <v>1.9</v>
      </c>
      <c r="Y40" s="284">
        <v>0</v>
      </c>
      <c r="Z40" s="284">
        <v>0</v>
      </c>
      <c r="AA40" s="284">
        <v>0</v>
      </c>
      <c r="AB40" s="284">
        <v>0</v>
      </c>
      <c r="AC40" s="284">
        <v>1</v>
      </c>
      <c r="AE40" s="285">
        <v>1321244.7328205085</v>
      </c>
      <c r="AF40" s="286">
        <v>0</v>
      </c>
      <c r="AG40" s="287">
        <v>90024.937657983639</v>
      </c>
      <c r="AH40" s="288">
        <v>0</v>
      </c>
      <c r="AI40" s="289">
        <v>1411269.6704784923</v>
      </c>
      <c r="AJ40" s="266"/>
      <c r="AK40" s="285">
        <v>0</v>
      </c>
      <c r="AL40" s="286">
        <v>0</v>
      </c>
      <c r="AM40" s="286">
        <v>0</v>
      </c>
      <c r="AN40" s="290">
        <v>0</v>
      </c>
      <c r="AO40" s="289">
        <v>0</v>
      </c>
      <c r="AP40" s="291">
        <v>1411269.6704784923</v>
      </c>
    </row>
    <row r="41" spans="1:42" ht="15.75" x14ac:dyDescent="0.25">
      <c r="A41" s="247">
        <v>9684449</v>
      </c>
      <c r="B41" t="s">
        <v>1770</v>
      </c>
      <c r="C41">
        <v>0</v>
      </c>
      <c r="D41" s="247">
        <v>9684449</v>
      </c>
      <c r="E41" s="247" t="s">
        <v>327</v>
      </c>
      <c r="F41" s="247" t="s">
        <v>312</v>
      </c>
      <c r="G41" s="247" t="s">
        <v>1120</v>
      </c>
      <c r="H41" s="247">
        <v>9684449</v>
      </c>
      <c r="I41" s="247" t="s">
        <v>1068</v>
      </c>
      <c r="J41" s="247">
        <v>2020</v>
      </c>
      <c r="K41" s="248" t="s">
        <v>1055</v>
      </c>
      <c r="L41" s="247" t="s">
        <v>1057</v>
      </c>
      <c r="M41" s="308">
        <v>1.5</v>
      </c>
      <c r="N41" s="308">
        <v>1</v>
      </c>
      <c r="O41" s="308">
        <v>0</v>
      </c>
      <c r="P41" s="308">
        <v>0</v>
      </c>
      <c r="Q41" s="308">
        <v>0.5</v>
      </c>
      <c r="R41" s="247">
        <v>0</v>
      </c>
      <c r="S41" s="247">
        <v>10</v>
      </c>
      <c r="T41" s="247">
        <v>0</v>
      </c>
      <c r="U41" s="247">
        <v>0</v>
      </c>
      <c r="W41" s="284">
        <v>1.5</v>
      </c>
      <c r="X41" s="284">
        <v>1</v>
      </c>
      <c r="Y41" s="284">
        <v>0</v>
      </c>
      <c r="Z41" s="284">
        <v>0</v>
      </c>
      <c r="AA41" s="284">
        <v>0.5</v>
      </c>
      <c r="AB41" s="284">
        <v>0</v>
      </c>
      <c r="AC41" s="284">
        <v>0</v>
      </c>
      <c r="AE41" s="285">
        <v>1043087.9469635594</v>
      </c>
      <c r="AF41" s="286">
        <v>0</v>
      </c>
      <c r="AG41" s="287">
        <v>71072.319203671301</v>
      </c>
      <c r="AH41" s="288">
        <v>0</v>
      </c>
      <c r="AI41" s="289">
        <v>1114160.2661672307</v>
      </c>
      <c r="AJ41" s="266"/>
      <c r="AK41" s="285">
        <v>0</v>
      </c>
      <c r="AL41" s="286">
        <v>0</v>
      </c>
      <c r="AM41" s="286">
        <v>0</v>
      </c>
      <c r="AN41" s="290">
        <v>0</v>
      </c>
      <c r="AO41" s="289">
        <v>0</v>
      </c>
      <c r="AP41" s="291">
        <v>1114160.2661672307</v>
      </c>
    </row>
    <row r="42" spans="1:42" ht="15.75" x14ac:dyDescent="0.25">
      <c r="A42" s="247">
        <v>9775815</v>
      </c>
      <c r="B42" t="s">
        <v>1770</v>
      </c>
      <c r="C42">
        <v>0</v>
      </c>
      <c r="D42" s="247">
        <v>9775815</v>
      </c>
      <c r="E42" s="247" t="s">
        <v>873</v>
      </c>
      <c r="F42" s="247" t="s">
        <v>871</v>
      </c>
      <c r="G42" s="247" t="s">
        <v>1121</v>
      </c>
      <c r="H42" s="247">
        <v>9775815</v>
      </c>
      <c r="I42" s="247" t="s">
        <v>1087</v>
      </c>
      <c r="J42" s="247">
        <v>2020</v>
      </c>
      <c r="K42" s="248" t="s">
        <v>1055</v>
      </c>
      <c r="L42" s="247" t="s">
        <v>1086</v>
      </c>
      <c r="M42" s="308">
        <v>1.1499999999999999</v>
      </c>
      <c r="N42" s="308">
        <v>0.75</v>
      </c>
      <c r="O42" s="308">
        <v>0</v>
      </c>
      <c r="P42" s="308">
        <v>0.2</v>
      </c>
      <c r="Q42" s="308">
        <v>0.2</v>
      </c>
      <c r="R42" s="247">
        <v>0</v>
      </c>
      <c r="S42" s="247">
        <v>7</v>
      </c>
      <c r="T42" s="247">
        <v>0</v>
      </c>
      <c r="U42" s="247">
        <v>0</v>
      </c>
      <c r="W42" s="284">
        <v>1.1499999999999999</v>
      </c>
      <c r="X42" s="284">
        <v>0.75</v>
      </c>
      <c r="Y42" s="284">
        <v>0</v>
      </c>
      <c r="Z42" s="284">
        <v>0.2</v>
      </c>
      <c r="AA42" s="284">
        <v>0.2</v>
      </c>
      <c r="AB42" s="284">
        <v>0</v>
      </c>
      <c r="AC42" s="284">
        <v>0</v>
      </c>
      <c r="AE42" s="285">
        <v>799700.75933872873</v>
      </c>
      <c r="AF42" s="286">
        <v>0</v>
      </c>
      <c r="AG42" s="287">
        <v>54488.778056147996</v>
      </c>
      <c r="AH42" s="288">
        <v>0</v>
      </c>
      <c r="AI42" s="289">
        <v>854189.53739487671</v>
      </c>
      <c r="AJ42" s="266"/>
      <c r="AK42" s="285">
        <v>0</v>
      </c>
      <c r="AL42" s="286">
        <v>0</v>
      </c>
      <c r="AM42" s="286">
        <v>0</v>
      </c>
      <c r="AN42" s="290">
        <v>0</v>
      </c>
      <c r="AO42" s="289">
        <v>0</v>
      </c>
      <c r="AP42" s="291">
        <v>854189.53739487671</v>
      </c>
    </row>
    <row r="43" spans="1:42" ht="15.75" x14ac:dyDescent="0.25">
      <c r="A43" s="247">
        <v>1715626</v>
      </c>
      <c r="B43" t="s">
        <v>1770</v>
      </c>
      <c r="C43">
        <v>0</v>
      </c>
      <c r="D43" s="247">
        <v>1715626</v>
      </c>
      <c r="E43" s="247" t="s">
        <v>962</v>
      </c>
      <c r="F43" s="247" t="s">
        <v>962</v>
      </c>
      <c r="G43" s="247" t="s">
        <v>1123</v>
      </c>
      <c r="H43" s="247">
        <v>1715626</v>
      </c>
      <c r="I43" s="247" t="s">
        <v>1068</v>
      </c>
      <c r="J43" s="247">
        <v>2020</v>
      </c>
      <c r="K43" s="248" t="s">
        <v>1124</v>
      </c>
      <c r="L43" s="247" t="s">
        <v>1125</v>
      </c>
      <c r="M43" s="308">
        <v>10.8</v>
      </c>
      <c r="N43" s="308">
        <v>0.8</v>
      </c>
      <c r="O43" s="308">
        <v>10</v>
      </c>
      <c r="P43" s="308">
        <v>0</v>
      </c>
      <c r="Q43" s="308">
        <v>0</v>
      </c>
      <c r="R43" s="247">
        <v>0</v>
      </c>
      <c r="S43" s="247">
        <v>0</v>
      </c>
      <c r="T43" s="247">
        <v>5</v>
      </c>
      <c r="U43" s="247">
        <v>0</v>
      </c>
      <c r="W43" s="284">
        <v>10.8</v>
      </c>
      <c r="X43" s="284">
        <v>0.8</v>
      </c>
      <c r="Y43" s="284">
        <v>10</v>
      </c>
      <c r="Z43" s="284">
        <v>0</v>
      </c>
      <c r="AA43" s="284">
        <v>0</v>
      </c>
      <c r="AB43" s="284">
        <v>0</v>
      </c>
      <c r="AC43" s="284">
        <v>5</v>
      </c>
      <c r="AE43" s="285">
        <v>5766700.9457780467</v>
      </c>
      <c r="AF43" s="286">
        <v>0</v>
      </c>
      <c r="AG43" s="287">
        <v>214130.20951136044</v>
      </c>
      <c r="AH43" s="288">
        <v>0</v>
      </c>
      <c r="AI43" s="289">
        <v>5980831.1552894069</v>
      </c>
      <c r="AJ43" s="266"/>
      <c r="AK43" s="285">
        <v>1249688.404806758</v>
      </c>
      <c r="AL43" s="286">
        <v>0</v>
      </c>
      <c r="AM43" s="286">
        <v>0</v>
      </c>
      <c r="AN43" s="290">
        <v>0</v>
      </c>
      <c r="AO43" s="289">
        <v>1249688.404806758</v>
      </c>
      <c r="AP43" s="291">
        <v>4731142.7504826486</v>
      </c>
    </row>
    <row r="44" spans="1:42" ht="15.75" x14ac:dyDescent="0.25">
      <c r="A44" s="247">
        <v>1806042</v>
      </c>
      <c r="B44" t="s">
        <v>1770</v>
      </c>
      <c r="C44">
        <v>0</v>
      </c>
      <c r="D44" s="247">
        <v>1806042</v>
      </c>
      <c r="E44" s="247" t="s">
        <v>225</v>
      </c>
      <c r="F44" s="247" t="s">
        <v>375</v>
      </c>
      <c r="G44" s="247" t="s">
        <v>1127</v>
      </c>
      <c r="H44" s="247">
        <v>1806042</v>
      </c>
      <c r="I44" s="247" t="s">
        <v>1128</v>
      </c>
      <c r="J44" s="247">
        <v>2020</v>
      </c>
      <c r="K44" s="248" t="s">
        <v>1124</v>
      </c>
      <c r="L44" s="247" t="s">
        <v>1125</v>
      </c>
      <c r="M44" s="308">
        <v>7.15</v>
      </c>
      <c r="N44" s="308">
        <v>0.7</v>
      </c>
      <c r="O44" s="308">
        <v>6.45</v>
      </c>
      <c r="P44" s="308">
        <v>0</v>
      </c>
      <c r="Q44" s="308">
        <v>0</v>
      </c>
      <c r="R44" s="247">
        <v>0</v>
      </c>
      <c r="S44" s="247">
        <v>8</v>
      </c>
      <c r="T44" s="247">
        <v>6</v>
      </c>
      <c r="U44" s="247">
        <v>0</v>
      </c>
      <c r="W44" s="284">
        <v>7.15</v>
      </c>
      <c r="X44" s="284">
        <v>0.7</v>
      </c>
      <c r="Y44" s="284">
        <v>6.45</v>
      </c>
      <c r="Z44" s="284">
        <v>0</v>
      </c>
      <c r="AA44" s="284">
        <v>0</v>
      </c>
      <c r="AB44" s="284">
        <v>0</v>
      </c>
      <c r="AC44" s="284">
        <v>6</v>
      </c>
      <c r="AE44" s="285">
        <v>3817769.6076215771</v>
      </c>
      <c r="AF44" s="286">
        <v>0</v>
      </c>
      <c r="AG44" s="287">
        <v>141762.12944502104</v>
      </c>
      <c r="AH44" s="288">
        <v>0</v>
      </c>
      <c r="AI44" s="289">
        <v>3959531.7370665981</v>
      </c>
      <c r="AJ44" s="266"/>
      <c r="AK44" s="285">
        <v>806049.02110035892</v>
      </c>
      <c r="AL44" s="286">
        <v>0</v>
      </c>
      <c r="AM44" s="286">
        <v>0</v>
      </c>
      <c r="AN44" s="290">
        <v>0</v>
      </c>
      <c r="AO44" s="289">
        <v>806049.02110035892</v>
      </c>
      <c r="AP44" s="291">
        <v>3153482.7159662391</v>
      </c>
    </row>
    <row r="45" spans="1:42" ht="15.75" x14ac:dyDescent="0.25">
      <c r="A45" s="247">
        <v>2039109</v>
      </c>
      <c r="B45" t="s">
        <v>1770</v>
      </c>
      <c r="C45">
        <v>0</v>
      </c>
      <c r="D45" s="247">
        <v>2039109</v>
      </c>
      <c r="E45" s="247" t="s">
        <v>1130</v>
      </c>
      <c r="F45" s="247" t="s">
        <v>281</v>
      </c>
      <c r="G45" s="247" t="s">
        <v>1129</v>
      </c>
      <c r="H45" s="247">
        <v>2039109</v>
      </c>
      <c r="I45" s="247" t="s">
        <v>1131</v>
      </c>
      <c r="J45" s="247">
        <v>2020</v>
      </c>
      <c r="K45" s="248" t="s">
        <v>1124</v>
      </c>
      <c r="L45" s="247" t="s">
        <v>1125</v>
      </c>
      <c r="M45" s="308">
        <v>0.55000000000000004</v>
      </c>
      <c r="N45" s="308">
        <v>0.05</v>
      </c>
      <c r="O45" s="308">
        <v>0.5</v>
      </c>
      <c r="P45" s="308">
        <v>0</v>
      </c>
      <c r="Q45" s="308">
        <v>0</v>
      </c>
      <c r="R45" s="247">
        <v>0</v>
      </c>
      <c r="S45" s="247">
        <v>5</v>
      </c>
      <c r="T45" s="247">
        <v>0</v>
      </c>
      <c r="U45" s="247">
        <v>0</v>
      </c>
      <c r="W45" s="284">
        <v>0.55000000000000004</v>
      </c>
      <c r="X45" s="284">
        <v>0.05</v>
      </c>
      <c r="Y45" s="284">
        <v>0.5</v>
      </c>
      <c r="Z45" s="284">
        <v>0</v>
      </c>
      <c r="AA45" s="284">
        <v>0</v>
      </c>
      <c r="AB45" s="284">
        <v>0</v>
      </c>
      <c r="AC45" s="284">
        <v>0</v>
      </c>
      <c r="AE45" s="285">
        <v>293674.58520165976</v>
      </c>
      <c r="AF45" s="286">
        <v>0</v>
      </c>
      <c r="AG45" s="287">
        <v>10904.779188078543</v>
      </c>
      <c r="AH45" s="288">
        <v>0</v>
      </c>
      <c r="AI45" s="289">
        <v>304579.3643897383</v>
      </c>
      <c r="AJ45" s="266"/>
      <c r="AK45" s="285">
        <v>62484.420240337902</v>
      </c>
      <c r="AL45" s="286">
        <v>0</v>
      </c>
      <c r="AM45" s="286">
        <v>0</v>
      </c>
      <c r="AN45" s="290">
        <v>0</v>
      </c>
      <c r="AO45" s="289">
        <v>62484.420240337902</v>
      </c>
      <c r="AP45" s="291">
        <v>242094.9441494004</v>
      </c>
    </row>
    <row r="46" spans="1:42" ht="15.75" x14ac:dyDescent="0.25">
      <c r="A46" s="247">
        <v>2039109</v>
      </c>
      <c r="B46" t="s">
        <v>1770</v>
      </c>
      <c r="C46">
        <v>0</v>
      </c>
      <c r="D46" s="247">
        <v>2039109</v>
      </c>
      <c r="E46" s="247" t="s">
        <v>1130</v>
      </c>
      <c r="F46" s="247" t="s">
        <v>281</v>
      </c>
      <c r="G46" s="247" t="s">
        <v>1132</v>
      </c>
      <c r="H46" s="247">
        <v>2039109</v>
      </c>
      <c r="I46" s="247" t="s">
        <v>1063</v>
      </c>
      <c r="J46" s="247">
        <v>2020</v>
      </c>
      <c r="K46" s="248" t="s">
        <v>1124</v>
      </c>
      <c r="L46" s="247" t="s">
        <v>1125</v>
      </c>
      <c r="M46" s="308">
        <v>8.4499999999999993</v>
      </c>
      <c r="N46" s="308">
        <v>0.95</v>
      </c>
      <c r="O46" s="308">
        <v>7.5</v>
      </c>
      <c r="P46" s="308">
        <v>0</v>
      </c>
      <c r="Q46" s="308">
        <v>0</v>
      </c>
      <c r="R46" s="247">
        <v>0</v>
      </c>
      <c r="S46" s="247">
        <v>50</v>
      </c>
      <c r="T46" s="247">
        <v>0</v>
      </c>
      <c r="U46" s="247">
        <v>0</v>
      </c>
      <c r="W46" s="284">
        <v>8.4499999999999993</v>
      </c>
      <c r="X46" s="284">
        <v>0.95</v>
      </c>
      <c r="Y46" s="284">
        <v>7.5</v>
      </c>
      <c r="Z46" s="284">
        <v>0</v>
      </c>
      <c r="AA46" s="284">
        <v>0</v>
      </c>
      <c r="AB46" s="284">
        <v>0</v>
      </c>
      <c r="AC46" s="284">
        <v>0</v>
      </c>
      <c r="AE46" s="285">
        <v>4511909.5362800453</v>
      </c>
      <c r="AF46" s="286">
        <v>0</v>
      </c>
      <c r="AG46" s="287">
        <v>167537.06207138847</v>
      </c>
      <c r="AH46" s="288">
        <v>0</v>
      </c>
      <c r="AI46" s="289">
        <v>4679446.5983514339</v>
      </c>
      <c r="AJ46" s="266"/>
      <c r="AK46" s="285">
        <v>937266.30360506848</v>
      </c>
      <c r="AL46" s="286">
        <v>0</v>
      </c>
      <c r="AM46" s="286">
        <v>0</v>
      </c>
      <c r="AN46" s="290">
        <v>0</v>
      </c>
      <c r="AO46" s="289">
        <v>937266.30360506848</v>
      </c>
      <c r="AP46" s="291">
        <v>3742180.2947463654</v>
      </c>
    </row>
    <row r="47" spans="1:42" ht="15.75" x14ac:dyDescent="0.25">
      <c r="A47" s="247">
        <v>2392006</v>
      </c>
      <c r="B47" t="s">
        <v>1770</v>
      </c>
      <c r="C47">
        <v>0</v>
      </c>
      <c r="D47" s="247">
        <v>2392006</v>
      </c>
      <c r="E47" s="247" t="s">
        <v>377</v>
      </c>
      <c r="F47" s="247" t="s">
        <v>553</v>
      </c>
      <c r="G47" s="247" t="s">
        <v>1133</v>
      </c>
      <c r="H47" s="247">
        <v>2392006</v>
      </c>
      <c r="I47" s="247" t="s">
        <v>1134</v>
      </c>
      <c r="J47" s="247">
        <v>2020</v>
      </c>
      <c r="K47" s="248" t="s">
        <v>1124</v>
      </c>
      <c r="L47" s="247" t="s">
        <v>1125</v>
      </c>
      <c r="M47" s="308">
        <v>4.7</v>
      </c>
      <c r="N47" s="308">
        <v>0.75</v>
      </c>
      <c r="O47" s="308">
        <v>3.95</v>
      </c>
      <c r="P47" s="308">
        <v>0</v>
      </c>
      <c r="Q47" s="308">
        <v>0</v>
      </c>
      <c r="R47" s="247">
        <v>0</v>
      </c>
      <c r="S47" s="247">
        <v>13</v>
      </c>
      <c r="T47" s="247">
        <v>0</v>
      </c>
      <c r="U47" s="247">
        <v>0</v>
      </c>
      <c r="W47" s="284">
        <v>4.7</v>
      </c>
      <c r="X47" s="284">
        <v>0.75</v>
      </c>
      <c r="Y47" s="284">
        <v>3.95</v>
      </c>
      <c r="Z47" s="284">
        <v>0</v>
      </c>
      <c r="AA47" s="284">
        <v>0</v>
      </c>
      <c r="AB47" s="284">
        <v>0</v>
      </c>
      <c r="AC47" s="284">
        <v>0</v>
      </c>
      <c r="AE47" s="285">
        <v>2509582.8189960015</v>
      </c>
      <c r="AF47" s="286">
        <v>0</v>
      </c>
      <c r="AG47" s="287">
        <v>93186.294879943904</v>
      </c>
      <c r="AH47" s="288">
        <v>0</v>
      </c>
      <c r="AI47" s="289">
        <v>2602769.1138759456</v>
      </c>
      <c r="AJ47" s="266"/>
      <c r="AK47" s="285">
        <v>493626.91989866947</v>
      </c>
      <c r="AL47" s="286">
        <v>0</v>
      </c>
      <c r="AM47" s="286">
        <v>0</v>
      </c>
      <c r="AN47" s="290">
        <v>0</v>
      </c>
      <c r="AO47" s="289">
        <v>493626.91989866947</v>
      </c>
      <c r="AP47" s="291">
        <v>2109142.1939772759</v>
      </c>
    </row>
    <row r="48" spans="1:42" ht="15.75" x14ac:dyDescent="0.25">
      <c r="A48" s="247">
        <v>2495303</v>
      </c>
      <c r="B48" t="s">
        <v>1770</v>
      </c>
      <c r="C48">
        <v>0</v>
      </c>
      <c r="D48" s="247">
        <v>2495303</v>
      </c>
      <c r="E48" s="247" t="s">
        <v>1010</v>
      </c>
      <c r="F48" s="247" t="s">
        <v>1010</v>
      </c>
      <c r="G48" s="247" t="s">
        <v>1135</v>
      </c>
      <c r="H48" s="247">
        <v>2495303</v>
      </c>
      <c r="I48" s="247" t="s">
        <v>1058</v>
      </c>
      <c r="J48" s="247">
        <v>2020</v>
      </c>
      <c r="K48" s="248" t="s">
        <v>1124</v>
      </c>
      <c r="L48" s="247" t="s">
        <v>1125</v>
      </c>
      <c r="M48" s="308">
        <v>8.59</v>
      </c>
      <c r="N48" s="308">
        <v>0.4</v>
      </c>
      <c r="O48" s="308">
        <v>8.19</v>
      </c>
      <c r="P48" s="308">
        <v>0</v>
      </c>
      <c r="Q48" s="308">
        <v>0</v>
      </c>
      <c r="R48" s="247">
        <v>0</v>
      </c>
      <c r="S48" s="247">
        <v>65</v>
      </c>
      <c r="T48" s="247">
        <v>0</v>
      </c>
      <c r="U48" s="247">
        <v>0</v>
      </c>
      <c r="W48" s="284">
        <v>8.59</v>
      </c>
      <c r="X48" s="284">
        <v>0.4</v>
      </c>
      <c r="Y48" s="284">
        <v>8.19</v>
      </c>
      <c r="Z48" s="284">
        <v>0</v>
      </c>
      <c r="AA48" s="284">
        <v>0</v>
      </c>
      <c r="AB48" s="284">
        <v>0</v>
      </c>
      <c r="AC48" s="284">
        <v>0</v>
      </c>
      <c r="AE48" s="285">
        <v>4586663.0670586498</v>
      </c>
      <c r="AF48" s="286">
        <v>0</v>
      </c>
      <c r="AG48" s="287">
        <v>170312.82404653577</v>
      </c>
      <c r="AH48" s="288">
        <v>0</v>
      </c>
      <c r="AI48" s="289">
        <v>4756975.8911051853</v>
      </c>
      <c r="AJ48" s="266"/>
      <c r="AK48" s="285">
        <v>1023494.8035367348</v>
      </c>
      <c r="AL48" s="286">
        <v>0</v>
      </c>
      <c r="AM48" s="286">
        <v>0</v>
      </c>
      <c r="AN48" s="290">
        <v>0</v>
      </c>
      <c r="AO48" s="289">
        <v>1023494.8035367348</v>
      </c>
      <c r="AP48" s="291">
        <v>3733481.0875684507</v>
      </c>
    </row>
    <row r="49" spans="1:42" ht="15.75" x14ac:dyDescent="0.25">
      <c r="A49" s="247">
        <v>3198258</v>
      </c>
      <c r="B49" t="s">
        <v>1770</v>
      </c>
      <c r="C49">
        <v>0</v>
      </c>
      <c r="D49" s="247">
        <v>3198258</v>
      </c>
      <c r="E49" s="247" t="s">
        <v>965</v>
      </c>
      <c r="F49" s="247" t="s">
        <v>965</v>
      </c>
      <c r="G49" s="247" t="s">
        <v>1136</v>
      </c>
      <c r="H49" s="247">
        <v>3198258</v>
      </c>
      <c r="I49" s="247" t="s">
        <v>1061</v>
      </c>
      <c r="J49" s="247">
        <v>2020</v>
      </c>
      <c r="K49" s="248" t="s">
        <v>1124</v>
      </c>
      <c r="L49" s="247" t="s">
        <v>1125</v>
      </c>
      <c r="M49" s="308">
        <v>4.43</v>
      </c>
      <c r="N49" s="308">
        <v>0.57999999999999996</v>
      </c>
      <c r="O49" s="308">
        <v>3.85</v>
      </c>
      <c r="P49" s="308">
        <v>0</v>
      </c>
      <c r="Q49" s="308">
        <v>0</v>
      </c>
      <c r="R49" s="247">
        <v>0</v>
      </c>
      <c r="S49" s="247">
        <v>35</v>
      </c>
      <c r="T49" s="247">
        <v>0</v>
      </c>
      <c r="U49" s="247">
        <v>0</v>
      </c>
      <c r="W49" s="284">
        <v>4.43</v>
      </c>
      <c r="X49" s="284">
        <v>0.57999999999999996</v>
      </c>
      <c r="Y49" s="284">
        <v>3.85</v>
      </c>
      <c r="Z49" s="284">
        <v>0</v>
      </c>
      <c r="AA49" s="284">
        <v>0</v>
      </c>
      <c r="AB49" s="284">
        <v>0</v>
      </c>
      <c r="AC49" s="284">
        <v>0</v>
      </c>
      <c r="AE49" s="285">
        <v>2365415.2953515504</v>
      </c>
      <c r="AF49" s="286">
        <v>0</v>
      </c>
      <c r="AG49" s="287">
        <v>87833.039642159885</v>
      </c>
      <c r="AH49" s="288">
        <v>0</v>
      </c>
      <c r="AI49" s="289">
        <v>2453248.3349937103</v>
      </c>
      <c r="AJ49" s="266"/>
      <c r="AK49" s="285">
        <v>481130.03585060185</v>
      </c>
      <c r="AL49" s="286">
        <v>0</v>
      </c>
      <c r="AM49" s="286">
        <v>0</v>
      </c>
      <c r="AN49" s="290">
        <v>0</v>
      </c>
      <c r="AO49" s="289">
        <v>481130.03585060185</v>
      </c>
      <c r="AP49" s="291">
        <v>1972118.2991431085</v>
      </c>
    </row>
    <row r="50" spans="1:42" ht="15.75" x14ac:dyDescent="0.25">
      <c r="A50" s="247">
        <v>3198258</v>
      </c>
      <c r="B50" t="s">
        <v>1770</v>
      </c>
      <c r="C50">
        <v>0</v>
      </c>
      <c r="D50" s="247">
        <v>3198258</v>
      </c>
      <c r="E50" s="247" t="s">
        <v>965</v>
      </c>
      <c r="F50" s="247" t="s">
        <v>965</v>
      </c>
      <c r="G50" s="247" t="s">
        <v>1137</v>
      </c>
      <c r="H50" s="247">
        <v>3198258</v>
      </c>
      <c r="I50" s="247" t="s">
        <v>1138</v>
      </c>
      <c r="J50" s="247">
        <v>2020</v>
      </c>
      <c r="K50" s="248" t="s">
        <v>1124</v>
      </c>
      <c r="L50" s="247" t="s">
        <v>1125</v>
      </c>
      <c r="M50" s="308">
        <v>3.57</v>
      </c>
      <c r="N50" s="308">
        <v>0.12</v>
      </c>
      <c r="O50" s="308">
        <v>3.45</v>
      </c>
      <c r="P50" s="308">
        <v>0</v>
      </c>
      <c r="Q50" s="308">
        <v>0</v>
      </c>
      <c r="R50" s="247">
        <v>0</v>
      </c>
      <c r="S50" s="247">
        <v>30</v>
      </c>
      <c r="T50" s="247">
        <v>0</v>
      </c>
      <c r="U50" s="247">
        <v>0</v>
      </c>
      <c r="W50" s="284">
        <v>3.57</v>
      </c>
      <c r="X50" s="284">
        <v>0.12</v>
      </c>
      <c r="Y50" s="284">
        <v>3.45</v>
      </c>
      <c r="Z50" s="284">
        <v>0</v>
      </c>
      <c r="AA50" s="284">
        <v>0</v>
      </c>
      <c r="AB50" s="284">
        <v>0</v>
      </c>
      <c r="AC50" s="284">
        <v>0</v>
      </c>
      <c r="AE50" s="285">
        <v>1906215.0348544098</v>
      </c>
      <c r="AF50" s="286">
        <v>0</v>
      </c>
      <c r="AG50" s="287">
        <v>70781.930366255256</v>
      </c>
      <c r="AH50" s="288">
        <v>0</v>
      </c>
      <c r="AI50" s="289">
        <v>1976996.9652206651</v>
      </c>
      <c r="AJ50" s="266"/>
      <c r="AK50" s="285">
        <v>431142.49965833157</v>
      </c>
      <c r="AL50" s="286">
        <v>0</v>
      </c>
      <c r="AM50" s="286">
        <v>0</v>
      </c>
      <c r="AN50" s="290">
        <v>0</v>
      </c>
      <c r="AO50" s="289">
        <v>431142.49965833157</v>
      </c>
      <c r="AP50" s="291">
        <v>1545854.4655623336</v>
      </c>
    </row>
    <row r="51" spans="1:42" ht="15.75" x14ac:dyDescent="0.25">
      <c r="A51" s="247">
        <v>4271738</v>
      </c>
      <c r="B51" t="s">
        <v>1770</v>
      </c>
      <c r="C51">
        <v>0</v>
      </c>
      <c r="D51" s="247">
        <v>4271738</v>
      </c>
      <c r="E51" s="247" t="s">
        <v>1140</v>
      </c>
      <c r="F51" s="247" t="s">
        <v>1141</v>
      </c>
      <c r="G51" s="247" t="s">
        <v>1139</v>
      </c>
      <c r="H51" s="247">
        <v>4271738</v>
      </c>
      <c r="I51" s="247" t="s">
        <v>1142</v>
      </c>
      <c r="J51" s="247">
        <v>2020</v>
      </c>
      <c r="K51" s="248" t="s">
        <v>1124</v>
      </c>
      <c r="L51" s="247" t="s">
        <v>1125</v>
      </c>
      <c r="M51" s="308">
        <v>5</v>
      </c>
      <c r="N51" s="308">
        <v>0.5</v>
      </c>
      <c r="O51" s="308">
        <v>4.5</v>
      </c>
      <c r="P51" s="308">
        <v>0</v>
      </c>
      <c r="Q51" s="308">
        <v>0</v>
      </c>
      <c r="R51" s="247">
        <v>0</v>
      </c>
      <c r="S51" s="247">
        <v>15</v>
      </c>
      <c r="T51" s="247">
        <v>0</v>
      </c>
      <c r="U51" s="247">
        <v>0</v>
      </c>
      <c r="W51" s="284">
        <v>5</v>
      </c>
      <c r="X51" s="284">
        <v>0.5</v>
      </c>
      <c r="Y51" s="284">
        <v>4.5</v>
      </c>
      <c r="Z51" s="284">
        <v>0</v>
      </c>
      <c r="AA51" s="284">
        <v>0</v>
      </c>
      <c r="AB51" s="284">
        <v>0</v>
      </c>
      <c r="AC51" s="284">
        <v>0</v>
      </c>
      <c r="AE51" s="285">
        <v>2669768.9563787254</v>
      </c>
      <c r="AF51" s="286">
        <v>0</v>
      </c>
      <c r="AG51" s="287">
        <v>99134.356255259467</v>
      </c>
      <c r="AH51" s="288">
        <v>0</v>
      </c>
      <c r="AI51" s="289">
        <v>2768903.3126339847</v>
      </c>
      <c r="AJ51" s="266"/>
      <c r="AK51" s="285">
        <v>562359.78216304118</v>
      </c>
      <c r="AL51" s="286">
        <v>0</v>
      </c>
      <c r="AM51" s="286">
        <v>0</v>
      </c>
      <c r="AN51" s="290">
        <v>0</v>
      </c>
      <c r="AO51" s="289">
        <v>562359.78216304118</v>
      </c>
      <c r="AP51" s="291">
        <v>2206543.5304709435</v>
      </c>
    </row>
    <row r="52" spans="1:42" ht="15.75" x14ac:dyDescent="0.25">
      <c r="A52" s="247">
        <v>4271738</v>
      </c>
      <c r="B52" t="s">
        <v>1770</v>
      </c>
      <c r="C52">
        <v>0</v>
      </c>
      <c r="D52" s="247">
        <v>4271738</v>
      </c>
      <c r="E52" s="247" t="s">
        <v>1140</v>
      </c>
      <c r="F52" s="247" t="s">
        <v>1141</v>
      </c>
      <c r="G52" s="247" t="s">
        <v>1143</v>
      </c>
      <c r="H52" s="247">
        <v>4271738</v>
      </c>
      <c r="I52" s="247" t="s">
        <v>1144</v>
      </c>
      <c r="J52" s="247">
        <v>2020</v>
      </c>
      <c r="K52" s="248" t="s">
        <v>1124</v>
      </c>
      <c r="L52" s="247" t="s">
        <v>1125</v>
      </c>
      <c r="M52" s="308">
        <v>8.5</v>
      </c>
      <c r="N52" s="308">
        <v>1</v>
      </c>
      <c r="O52" s="308">
        <v>7.5</v>
      </c>
      <c r="P52" s="308">
        <v>0</v>
      </c>
      <c r="Q52" s="308">
        <v>0</v>
      </c>
      <c r="R52" s="247">
        <v>0</v>
      </c>
      <c r="S52" s="247">
        <v>25</v>
      </c>
      <c r="T52" s="247">
        <v>0</v>
      </c>
      <c r="U52" s="247">
        <v>0</v>
      </c>
      <c r="W52" s="284">
        <v>8.5</v>
      </c>
      <c r="X52" s="284">
        <v>1</v>
      </c>
      <c r="Y52" s="284">
        <v>7.5</v>
      </c>
      <c r="Z52" s="284">
        <v>0</v>
      </c>
      <c r="AA52" s="284">
        <v>0</v>
      </c>
      <c r="AB52" s="284">
        <v>0</v>
      </c>
      <c r="AC52" s="284">
        <v>0</v>
      </c>
      <c r="AE52" s="285">
        <v>4538607.2258438328</v>
      </c>
      <c r="AF52" s="286">
        <v>0</v>
      </c>
      <c r="AG52" s="287">
        <v>168528.40563394109</v>
      </c>
      <c r="AH52" s="288">
        <v>0</v>
      </c>
      <c r="AI52" s="289">
        <v>4707135.6314777741</v>
      </c>
      <c r="AJ52" s="266"/>
      <c r="AK52" s="285">
        <v>937266.30360506848</v>
      </c>
      <c r="AL52" s="286">
        <v>0</v>
      </c>
      <c r="AM52" s="286">
        <v>0</v>
      </c>
      <c r="AN52" s="290">
        <v>0</v>
      </c>
      <c r="AO52" s="289">
        <v>937266.30360506848</v>
      </c>
      <c r="AP52" s="291">
        <v>3769869.3278727056</v>
      </c>
    </row>
    <row r="53" spans="1:42" ht="15.75" x14ac:dyDescent="0.25">
      <c r="A53" s="247">
        <v>5991938</v>
      </c>
      <c r="B53" t="s">
        <v>1770</v>
      </c>
      <c r="C53">
        <v>0</v>
      </c>
      <c r="D53" s="247">
        <v>5991938</v>
      </c>
      <c r="E53" s="247" t="s">
        <v>377</v>
      </c>
      <c r="F53" s="247" t="s">
        <v>887</v>
      </c>
      <c r="G53" s="247" t="s">
        <v>1135</v>
      </c>
      <c r="H53" s="247">
        <v>5991938</v>
      </c>
      <c r="I53" s="247" t="s">
        <v>1058</v>
      </c>
      <c r="J53" s="247">
        <v>2020</v>
      </c>
      <c r="K53" s="248" t="s">
        <v>1124</v>
      </c>
      <c r="L53" s="247" t="s">
        <v>1125</v>
      </c>
      <c r="M53" s="308">
        <v>5.5</v>
      </c>
      <c r="N53" s="308">
        <v>0.5</v>
      </c>
      <c r="O53" s="308">
        <v>5</v>
      </c>
      <c r="P53" s="308">
        <v>0</v>
      </c>
      <c r="Q53" s="308">
        <v>0</v>
      </c>
      <c r="R53" s="247">
        <v>0</v>
      </c>
      <c r="S53" s="247">
        <v>25</v>
      </c>
      <c r="T53" s="247">
        <v>0</v>
      </c>
      <c r="U53" s="247">
        <v>0</v>
      </c>
      <c r="W53" s="284">
        <v>5.5</v>
      </c>
      <c r="X53" s="284">
        <v>0.5</v>
      </c>
      <c r="Y53" s="284">
        <v>5</v>
      </c>
      <c r="Z53" s="284">
        <v>0</v>
      </c>
      <c r="AA53" s="284">
        <v>0</v>
      </c>
      <c r="AB53" s="284">
        <v>0</v>
      </c>
      <c r="AC53" s="284">
        <v>0</v>
      </c>
      <c r="AE53" s="285">
        <v>2936745.8520165975</v>
      </c>
      <c r="AF53" s="286">
        <v>0</v>
      </c>
      <c r="AG53" s="287">
        <v>109047.79188078541</v>
      </c>
      <c r="AH53" s="288">
        <v>0</v>
      </c>
      <c r="AI53" s="289">
        <v>3045793.643897383</v>
      </c>
      <c r="AJ53" s="266"/>
      <c r="AK53" s="285">
        <v>624844.20240337902</v>
      </c>
      <c r="AL53" s="286">
        <v>0</v>
      </c>
      <c r="AM53" s="286">
        <v>0</v>
      </c>
      <c r="AN53" s="290">
        <v>0</v>
      </c>
      <c r="AO53" s="289">
        <v>624844.20240337902</v>
      </c>
      <c r="AP53" s="291">
        <v>2420949.4414940039</v>
      </c>
    </row>
    <row r="54" spans="1:42" ht="15.75" x14ac:dyDescent="0.25">
      <c r="A54" s="247">
        <v>6152074</v>
      </c>
      <c r="B54" t="s">
        <v>1770</v>
      </c>
      <c r="C54">
        <v>0</v>
      </c>
      <c r="D54" s="247">
        <v>6152074</v>
      </c>
      <c r="E54" s="247" t="s">
        <v>226</v>
      </c>
      <c r="F54" s="247" t="s">
        <v>1145</v>
      </c>
      <c r="G54" s="247" t="s">
        <v>1123</v>
      </c>
      <c r="H54" s="247">
        <v>6152074</v>
      </c>
      <c r="I54" s="247" t="s">
        <v>1068</v>
      </c>
      <c r="J54" s="247">
        <v>2020</v>
      </c>
      <c r="K54" s="248" t="s">
        <v>1124</v>
      </c>
      <c r="L54" s="247" t="s">
        <v>1125</v>
      </c>
      <c r="M54" s="308">
        <v>8.9</v>
      </c>
      <c r="N54" s="308">
        <v>1.3</v>
      </c>
      <c r="O54" s="308">
        <v>7.6</v>
      </c>
      <c r="P54" s="308">
        <v>0</v>
      </c>
      <c r="Q54" s="308">
        <v>0</v>
      </c>
      <c r="R54" s="247">
        <v>0</v>
      </c>
      <c r="S54" s="247">
        <v>58</v>
      </c>
      <c r="T54" s="247">
        <v>0</v>
      </c>
      <c r="U54" s="247">
        <v>0</v>
      </c>
      <c r="W54" s="284">
        <v>8.9</v>
      </c>
      <c r="X54" s="284">
        <v>1.3</v>
      </c>
      <c r="Y54" s="284">
        <v>7.6</v>
      </c>
      <c r="Z54" s="284">
        <v>0</v>
      </c>
      <c r="AA54" s="284">
        <v>0</v>
      </c>
      <c r="AB54" s="284">
        <v>0</v>
      </c>
      <c r="AC54" s="284">
        <v>0</v>
      </c>
      <c r="AE54" s="285">
        <v>4752188.7423541313</v>
      </c>
      <c r="AF54" s="286">
        <v>0</v>
      </c>
      <c r="AG54" s="287">
        <v>176459.15413436186</v>
      </c>
      <c r="AH54" s="288">
        <v>0</v>
      </c>
      <c r="AI54" s="289">
        <v>4928647.8964884933</v>
      </c>
      <c r="AJ54" s="266"/>
      <c r="AK54" s="285">
        <v>949763.18765313609</v>
      </c>
      <c r="AL54" s="286">
        <v>0</v>
      </c>
      <c r="AM54" s="286">
        <v>0</v>
      </c>
      <c r="AN54" s="290">
        <v>0</v>
      </c>
      <c r="AO54" s="289">
        <v>949763.18765313609</v>
      </c>
      <c r="AP54" s="291">
        <v>3978884.7088353573</v>
      </c>
    </row>
    <row r="55" spans="1:42" ht="15.75" x14ac:dyDescent="0.25">
      <c r="A55" s="247">
        <v>7459230</v>
      </c>
      <c r="B55" t="s">
        <v>1770</v>
      </c>
      <c r="C55">
        <v>0</v>
      </c>
      <c r="D55" s="247">
        <v>7459230</v>
      </c>
      <c r="E55" s="247" t="s">
        <v>377</v>
      </c>
      <c r="F55" s="247" t="s">
        <v>826</v>
      </c>
      <c r="G55" s="247" t="s">
        <v>1146</v>
      </c>
      <c r="H55" s="247">
        <v>7459230</v>
      </c>
      <c r="I55" s="247" t="s">
        <v>1073</v>
      </c>
      <c r="J55" s="247">
        <v>2020</v>
      </c>
      <c r="K55" s="248" t="s">
        <v>1124</v>
      </c>
      <c r="L55" s="247" t="s">
        <v>1125</v>
      </c>
      <c r="M55" s="308">
        <v>8.6999999999999993</v>
      </c>
      <c r="N55" s="308">
        <v>0.2</v>
      </c>
      <c r="O55" s="308">
        <v>8.5</v>
      </c>
      <c r="P55" s="308">
        <v>0</v>
      </c>
      <c r="Q55" s="308">
        <v>0</v>
      </c>
      <c r="R55" s="247">
        <v>0</v>
      </c>
      <c r="S55" s="247">
        <v>80</v>
      </c>
      <c r="T55" s="247">
        <v>0</v>
      </c>
      <c r="U55" s="247">
        <v>0</v>
      </c>
      <c r="W55" s="284">
        <v>8.6999999999999993</v>
      </c>
      <c r="X55" s="284">
        <v>0.2</v>
      </c>
      <c r="Y55" s="284">
        <v>8.5</v>
      </c>
      <c r="Z55" s="284">
        <v>0</v>
      </c>
      <c r="AA55" s="284">
        <v>0</v>
      </c>
      <c r="AB55" s="284">
        <v>0</v>
      </c>
      <c r="AC55" s="284">
        <v>0</v>
      </c>
      <c r="AE55" s="285">
        <v>4645397.9840989811</v>
      </c>
      <c r="AF55" s="286">
        <v>0</v>
      </c>
      <c r="AG55" s="287">
        <v>172493.77988415145</v>
      </c>
      <c r="AH55" s="288">
        <v>0</v>
      </c>
      <c r="AI55" s="289">
        <v>4817891.7639831323</v>
      </c>
      <c r="AJ55" s="266"/>
      <c r="AK55" s="285">
        <v>1062235.1440857444</v>
      </c>
      <c r="AL55" s="286">
        <v>0</v>
      </c>
      <c r="AM55" s="286">
        <v>0</v>
      </c>
      <c r="AN55" s="290">
        <v>0</v>
      </c>
      <c r="AO55" s="289">
        <v>1062235.1440857444</v>
      </c>
      <c r="AP55" s="291">
        <v>3755656.6198973879</v>
      </c>
    </row>
    <row r="56" spans="1:42" ht="15.75" x14ac:dyDescent="0.25">
      <c r="A56" s="247">
        <v>7459230</v>
      </c>
      <c r="B56" t="s">
        <v>1770</v>
      </c>
      <c r="C56">
        <v>0</v>
      </c>
      <c r="D56" s="247">
        <v>7459230</v>
      </c>
      <c r="E56" s="247" t="s">
        <v>377</v>
      </c>
      <c r="F56" s="247" t="s">
        <v>826</v>
      </c>
      <c r="G56" s="247" t="s">
        <v>1127</v>
      </c>
      <c r="H56" s="247">
        <v>7459230</v>
      </c>
      <c r="I56" s="247" t="s">
        <v>1128</v>
      </c>
      <c r="J56" s="247">
        <v>2020</v>
      </c>
      <c r="K56" s="248" t="s">
        <v>1124</v>
      </c>
      <c r="L56" s="247" t="s">
        <v>1125</v>
      </c>
      <c r="M56" s="308">
        <v>2.5499999999999998</v>
      </c>
      <c r="N56" s="308">
        <v>0.05</v>
      </c>
      <c r="O56" s="308">
        <v>2.5</v>
      </c>
      <c r="P56" s="308">
        <v>0</v>
      </c>
      <c r="Q56" s="308">
        <v>0</v>
      </c>
      <c r="R56" s="247">
        <v>0</v>
      </c>
      <c r="S56" s="247">
        <v>80</v>
      </c>
      <c r="T56" s="247">
        <v>0</v>
      </c>
      <c r="U56" s="247">
        <v>0</v>
      </c>
      <c r="W56" s="284">
        <v>2.5499999999999998</v>
      </c>
      <c r="X56" s="284">
        <v>0.05</v>
      </c>
      <c r="Y56" s="284">
        <v>2.5</v>
      </c>
      <c r="Z56" s="284">
        <v>0</v>
      </c>
      <c r="AA56" s="284">
        <v>0</v>
      </c>
      <c r="AB56" s="284">
        <v>0</v>
      </c>
      <c r="AC56" s="284">
        <v>0</v>
      </c>
      <c r="AE56" s="285">
        <v>1361582.1677531498</v>
      </c>
      <c r="AF56" s="286">
        <v>0</v>
      </c>
      <c r="AG56" s="287">
        <v>50558.521690182322</v>
      </c>
      <c r="AH56" s="288">
        <v>0</v>
      </c>
      <c r="AI56" s="289">
        <v>1412140.6894433321</v>
      </c>
      <c r="AJ56" s="266"/>
      <c r="AK56" s="285">
        <v>312422.10120168951</v>
      </c>
      <c r="AL56" s="286">
        <v>0</v>
      </c>
      <c r="AM56" s="286">
        <v>0</v>
      </c>
      <c r="AN56" s="290">
        <v>0</v>
      </c>
      <c r="AO56" s="289">
        <v>312422.10120168951</v>
      </c>
      <c r="AP56" s="291">
        <v>1099718.5882416426</v>
      </c>
    </row>
    <row r="57" spans="1:42" ht="15.75" x14ac:dyDescent="0.25">
      <c r="A57" s="247">
        <v>7566271</v>
      </c>
      <c r="B57" t="s">
        <v>1770</v>
      </c>
      <c r="C57">
        <v>0</v>
      </c>
      <c r="D57" s="247">
        <v>7566271</v>
      </c>
      <c r="E57" s="247" t="s">
        <v>1147</v>
      </c>
      <c r="F57" s="247" t="s">
        <v>580</v>
      </c>
      <c r="G57" s="247" t="s">
        <v>1135</v>
      </c>
      <c r="H57" s="247">
        <v>7566271</v>
      </c>
      <c r="I57" s="247" t="s">
        <v>1058</v>
      </c>
      <c r="J57" s="247">
        <v>2020</v>
      </c>
      <c r="K57" s="248" t="s">
        <v>1124</v>
      </c>
      <c r="L57" s="247" t="s">
        <v>1125</v>
      </c>
      <c r="M57" s="308">
        <v>21.35</v>
      </c>
      <c r="N57" s="308">
        <v>1.35</v>
      </c>
      <c r="O57" s="308">
        <v>20</v>
      </c>
      <c r="P57" s="308">
        <v>0</v>
      </c>
      <c r="Q57" s="308">
        <v>0</v>
      </c>
      <c r="R57" s="247">
        <v>0</v>
      </c>
      <c r="S57" s="247">
        <v>18</v>
      </c>
      <c r="T57" s="247">
        <v>0</v>
      </c>
      <c r="U57" s="247">
        <v>0</v>
      </c>
      <c r="W57" s="284">
        <v>21.35</v>
      </c>
      <c r="X57" s="284">
        <v>1.35</v>
      </c>
      <c r="Y57" s="284">
        <v>20</v>
      </c>
      <c r="Z57" s="284">
        <v>0</v>
      </c>
      <c r="AA57" s="284">
        <v>0</v>
      </c>
      <c r="AB57" s="284">
        <v>0</v>
      </c>
      <c r="AC57" s="284">
        <v>0</v>
      </c>
      <c r="AE57" s="285">
        <v>11399913.443737157</v>
      </c>
      <c r="AF57" s="286">
        <v>0</v>
      </c>
      <c r="AG57" s="287">
        <v>423303.70120995794</v>
      </c>
      <c r="AH57" s="288">
        <v>0</v>
      </c>
      <c r="AI57" s="289">
        <v>11823217.144947115</v>
      </c>
      <c r="AJ57" s="266"/>
      <c r="AK57" s="285">
        <v>2499376.8096135161</v>
      </c>
      <c r="AL57" s="286">
        <v>0</v>
      </c>
      <c r="AM57" s="286">
        <v>0</v>
      </c>
      <c r="AN57" s="290">
        <v>0</v>
      </c>
      <c r="AO57" s="289">
        <v>2499376.8096135161</v>
      </c>
      <c r="AP57" s="291">
        <v>9323840.3353335988</v>
      </c>
    </row>
    <row r="58" spans="1:42" ht="15.75" x14ac:dyDescent="0.25">
      <c r="A58" s="247">
        <v>7566271</v>
      </c>
      <c r="B58" t="s">
        <v>1770</v>
      </c>
      <c r="C58">
        <v>0</v>
      </c>
      <c r="D58" s="247">
        <v>7566271</v>
      </c>
      <c r="E58" s="247" t="s">
        <v>1147</v>
      </c>
      <c r="F58" s="247" t="s">
        <v>580</v>
      </c>
      <c r="G58" s="247" t="s">
        <v>1148</v>
      </c>
      <c r="H58" s="247">
        <v>7566271</v>
      </c>
      <c r="I58" s="247" t="s">
        <v>1149</v>
      </c>
      <c r="J58" s="247">
        <v>2020</v>
      </c>
      <c r="K58" s="248" t="s">
        <v>1124</v>
      </c>
      <c r="L58" s="247" t="s">
        <v>1125</v>
      </c>
      <c r="M58" s="308">
        <v>1.08</v>
      </c>
      <c r="N58" s="308">
        <v>0.08</v>
      </c>
      <c r="O58" s="308">
        <v>1</v>
      </c>
      <c r="P58" s="308">
        <v>0</v>
      </c>
      <c r="Q58" s="308">
        <v>0</v>
      </c>
      <c r="R58" s="247">
        <v>0</v>
      </c>
      <c r="S58" s="247">
        <v>60</v>
      </c>
      <c r="T58" s="247">
        <v>0</v>
      </c>
      <c r="U58" s="247">
        <v>0</v>
      </c>
      <c r="W58" s="284">
        <v>1.08</v>
      </c>
      <c r="X58" s="284">
        <v>0.08</v>
      </c>
      <c r="Y58" s="284">
        <v>1</v>
      </c>
      <c r="Z58" s="284">
        <v>0</v>
      </c>
      <c r="AA58" s="284">
        <v>0</v>
      </c>
      <c r="AB58" s="284">
        <v>0</v>
      </c>
      <c r="AC58" s="284">
        <v>0</v>
      </c>
      <c r="AE58" s="285">
        <v>576670.09457780467</v>
      </c>
      <c r="AF58" s="286">
        <v>0</v>
      </c>
      <c r="AG58" s="287">
        <v>21413.020951136044</v>
      </c>
      <c r="AH58" s="288">
        <v>0</v>
      </c>
      <c r="AI58" s="289">
        <v>598083.11552894069</v>
      </c>
      <c r="AJ58" s="266"/>
      <c r="AK58" s="285">
        <v>124968.8404806758</v>
      </c>
      <c r="AL58" s="286">
        <v>0</v>
      </c>
      <c r="AM58" s="286">
        <v>0</v>
      </c>
      <c r="AN58" s="290">
        <v>0</v>
      </c>
      <c r="AO58" s="289">
        <v>124968.8404806758</v>
      </c>
      <c r="AP58" s="291">
        <v>473114.27504826488</v>
      </c>
    </row>
    <row r="59" spans="1:42" ht="15.75" x14ac:dyDescent="0.25">
      <c r="A59" s="247">
        <v>7566271</v>
      </c>
      <c r="B59" t="s">
        <v>1770</v>
      </c>
      <c r="C59">
        <v>0</v>
      </c>
      <c r="D59" s="247">
        <v>7566271</v>
      </c>
      <c r="E59" s="247" t="s">
        <v>1147</v>
      </c>
      <c r="F59" s="247" t="s">
        <v>580</v>
      </c>
      <c r="G59" s="247" t="s">
        <v>1150</v>
      </c>
      <c r="H59" s="247">
        <v>7566271</v>
      </c>
      <c r="I59" s="247" t="s">
        <v>1151</v>
      </c>
      <c r="J59" s="247">
        <v>2020</v>
      </c>
      <c r="K59" s="248" t="s">
        <v>1124</v>
      </c>
      <c r="L59" s="247" t="s">
        <v>1125</v>
      </c>
      <c r="M59" s="308">
        <v>2.27</v>
      </c>
      <c r="N59" s="308">
        <v>0.27</v>
      </c>
      <c r="O59" s="308">
        <v>2</v>
      </c>
      <c r="P59" s="308">
        <v>0</v>
      </c>
      <c r="Q59" s="308">
        <v>0</v>
      </c>
      <c r="R59" s="247">
        <v>0</v>
      </c>
      <c r="S59" s="247">
        <v>60</v>
      </c>
      <c r="T59" s="247">
        <v>0</v>
      </c>
      <c r="U59" s="247">
        <v>0</v>
      </c>
      <c r="W59" s="284">
        <v>2.27</v>
      </c>
      <c r="X59" s="284">
        <v>0.27</v>
      </c>
      <c r="Y59" s="284">
        <v>2</v>
      </c>
      <c r="Z59" s="284">
        <v>0</v>
      </c>
      <c r="AA59" s="284">
        <v>0</v>
      </c>
      <c r="AB59" s="284">
        <v>0</v>
      </c>
      <c r="AC59" s="284">
        <v>0</v>
      </c>
      <c r="AE59" s="285">
        <v>1212075.1061959411</v>
      </c>
      <c r="AF59" s="286">
        <v>0</v>
      </c>
      <c r="AG59" s="287">
        <v>45006.997739887796</v>
      </c>
      <c r="AH59" s="288">
        <v>0</v>
      </c>
      <c r="AI59" s="289">
        <v>1257082.1039358289</v>
      </c>
      <c r="AJ59" s="266"/>
      <c r="AK59" s="285">
        <v>249937.68096135161</v>
      </c>
      <c r="AL59" s="286">
        <v>0</v>
      </c>
      <c r="AM59" s="286">
        <v>0</v>
      </c>
      <c r="AN59" s="290">
        <v>0</v>
      </c>
      <c r="AO59" s="289">
        <v>249937.68096135161</v>
      </c>
      <c r="AP59" s="291">
        <v>1007144.4229744773</v>
      </c>
    </row>
    <row r="60" spans="1:42" ht="15.75" x14ac:dyDescent="0.25">
      <c r="A60" s="247">
        <v>7566271</v>
      </c>
      <c r="B60" t="s">
        <v>1770</v>
      </c>
      <c r="C60">
        <v>0</v>
      </c>
      <c r="D60" s="247">
        <v>7566271</v>
      </c>
      <c r="E60" s="247" t="s">
        <v>1147</v>
      </c>
      <c r="F60" s="247" t="s">
        <v>580</v>
      </c>
      <c r="G60" s="247" t="s">
        <v>1152</v>
      </c>
      <c r="H60" s="247">
        <v>7566271</v>
      </c>
      <c r="I60" s="247" t="s">
        <v>1061</v>
      </c>
      <c r="J60" s="247">
        <v>2020</v>
      </c>
      <c r="K60" s="248" t="s">
        <v>1124</v>
      </c>
      <c r="L60" s="247" t="s">
        <v>1125</v>
      </c>
      <c r="M60" s="308">
        <v>1.1000000000000001</v>
      </c>
      <c r="N60" s="308">
        <v>0.1</v>
      </c>
      <c r="O60" s="308">
        <v>1</v>
      </c>
      <c r="P60" s="308">
        <v>0</v>
      </c>
      <c r="Q60" s="308">
        <v>0</v>
      </c>
      <c r="R60" s="247">
        <v>0</v>
      </c>
      <c r="S60" s="247">
        <v>6</v>
      </c>
      <c r="T60" s="247">
        <v>0</v>
      </c>
      <c r="U60" s="247">
        <v>0</v>
      </c>
      <c r="W60" s="284">
        <v>1.1000000000000001</v>
      </c>
      <c r="X60" s="284">
        <v>0.1</v>
      </c>
      <c r="Y60" s="284">
        <v>1</v>
      </c>
      <c r="Z60" s="284">
        <v>0</v>
      </c>
      <c r="AA60" s="284">
        <v>0</v>
      </c>
      <c r="AB60" s="284">
        <v>0</v>
      </c>
      <c r="AC60" s="284">
        <v>0</v>
      </c>
      <c r="AE60" s="285">
        <v>587349.17040331953</v>
      </c>
      <c r="AF60" s="286">
        <v>0</v>
      </c>
      <c r="AG60" s="287">
        <v>21809.558376157085</v>
      </c>
      <c r="AH60" s="288">
        <v>0</v>
      </c>
      <c r="AI60" s="289">
        <v>609158.7287794766</v>
      </c>
      <c r="AJ60" s="266"/>
      <c r="AK60" s="285">
        <v>124968.8404806758</v>
      </c>
      <c r="AL60" s="286">
        <v>0</v>
      </c>
      <c r="AM60" s="286">
        <v>0</v>
      </c>
      <c r="AN60" s="290">
        <v>0</v>
      </c>
      <c r="AO60" s="289">
        <v>124968.8404806758</v>
      </c>
      <c r="AP60" s="291">
        <v>484189.8882988008</v>
      </c>
    </row>
    <row r="61" spans="1:42" ht="15.75" x14ac:dyDescent="0.25">
      <c r="A61" s="453">
        <v>8902089</v>
      </c>
      <c r="B61" t="s">
        <v>1770</v>
      </c>
      <c r="C61">
        <v>0</v>
      </c>
      <c r="D61" s="453">
        <v>8902089</v>
      </c>
      <c r="E61" s="247" t="s">
        <v>377</v>
      </c>
      <c r="F61" s="247" t="s">
        <v>550</v>
      </c>
      <c r="G61" s="247" t="s">
        <v>1129</v>
      </c>
      <c r="H61" s="453">
        <v>8902089</v>
      </c>
      <c r="I61" s="247" t="s">
        <v>1131</v>
      </c>
      <c r="J61" s="247">
        <v>2020</v>
      </c>
      <c r="K61" s="248" t="s">
        <v>1124</v>
      </c>
      <c r="L61" s="247" t="s">
        <v>1125</v>
      </c>
      <c r="M61" s="308">
        <v>5.3</v>
      </c>
      <c r="N61" s="308">
        <v>0.9</v>
      </c>
      <c r="O61" s="308">
        <v>4.4000000000000004</v>
      </c>
      <c r="P61" s="308">
        <v>0</v>
      </c>
      <c r="Q61" s="308">
        <v>0</v>
      </c>
      <c r="R61" s="247">
        <v>0</v>
      </c>
      <c r="S61" s="247">
        <v>5</v>
      </c>
      <c r="T61" s="247">
        <v>0</v>
      </c>
      <c r="U61" s="247">
        <v>0</v>
      </c>
      <c r="W61" s="284">
        <v>5.3</v>
      </c>
      <c r="X61" s="284">
        <v>0.9</v>
      </c>
      <c r="Y61" s="284">
        <v>4.4000000000000004</v>
      </c>
      <c r="Z61" s="284">
        <v>0</v>
      </c>
      <c r="AA61" s="284">
        <v>0</v>
      </c>
      <c r="AB61" s="284">
        <v>0</v>
      </c>
      <c r="AC61" s="284">
        <v>0</v>
      </c>
      <c r="AE61" s="285">
        <v>2829955.0937614487</v>
      </c>
      <c r="AF61" s="286">
        <v>0</v>
      </c>
      <c r="AG61" s="287">
        <v>105082.41763057503</v>
      </c>
      <c r="AH61" s="288">
        <v>0</v>
      </c>
      <c r="AI61" s="289">
        <v>2935037.5113920239</v>
      </c>
      <c r="AJ61" s="266"/>
      <c r="AK61" s="285">
        <v>549862.89811497356</v>
      </c>
      <c r="AL61" s="286">
        <v>0</v>
      </c>
      <c r="AM61" s="286">
        <v>0</v>
      </c>
      <c r="AN61" s="290">
        <v>0</v>
      </c>
      <c r="AO61" s="289">
        <v>549862.89811497356</v>
      </c>
      <c r="AP61" s="291">
        <v>2385174.6132770502</v>
      </c>
    </row>
    <row r="62" spans="1:42" ht="15.75" x14ac:dyDescent="0.25">
      <c r="A62" s="452">
        <v>4335979</v>
      </c>
      <c r="B62" t="s">
        <v>1770</v>
      </c>
      <c r="C62">
        <v>0</v>
      </c>
      <c r="D62" s="452">
        <v>4335979</v>
      </c>
      <c r="E62" s="254" t="s">
        <v>710</v>
      </c>
      <c r="F62" s="254" t="s">
        <v>708</v>
      </c>
      <c r="G62" s="254" t="s">
        <v>1135</v>
      </c>
      <c r="H62" s="452">
        <v>4335979</v>
      </c>
      <c r="I62" s="247" t="s">
        <v>1058</v>
      </c>
      <c r="J62" s="247">
        <v>2020</v>
      </c>
      <c r="K62" s="248" t="s">
        <v>1124</v>
      </c>
      <c r="L62" s="247" t="s">
        <v>1125</v>
      </c>
      <c r="M62" s="256">
        <v>1.1000000000000001</v>
      </c>
      <c r="N62" s="256">
        <v>0.1</v>
      </c>
      <c r="O62" s="256">
        <v>1</v>
      </c>
      <c r="P62" s="256">
        <v>0</v>
      </c>
      <c r="Q62" s="256">
        <v>0</v>
      </c>
      <c r="R62" s="256">
        <v>0</v>
      </c>
      <c r="S62" s="256">
        <v>25</v>
      </c>
      <c r="T62" s="256">
        <v>0</v>
      </c>
      <c r="U62" s="256">
        <v>0</v>
      </c>
      <c r="V62" s="313"/>
      <c r="W62" s="284">
        <v>1.1000000000000001</v>
      </c>
      <c r="X62" s="284">
        <v>0.1</v>
      </c>
      <c r="Y62" s="284">
        <v>1</v>
      </c>
      <c r="Z62" s="284">
        <v>0</v>
      </c>
      <c r="AA62" s="284">
        <v>0</v>
      </c>
      <c r="AB62" s="284">
        <v>0</v>
      </c>
      <c r="AC62" s="284">
        <v>0</v>
      </c>
      <c r="AE62" s="285">
        <v>587349.17040331953</v>
      </c>
      <c r="AF62" s="286">
        <v>0</v>
      </c>
      <c r="AG62" s="287">
        <v>21809.558376157085</v>
      </c>
      <c r="AH62" s="288">
        <v>0</v>
      </c>
      <c r="AI62" s="289">
        <v>609158.7287794766</v>
      </c>
      <c r="AJ62" s="266"/>
      <c r="AK62" s="285">
        <v>124968.8404806758</v>
      </c>
      <c r="AL62" s="286">
        <v>0</v>
      </c>
      <c r="AM62" s="286">
        <v>0</v>
      </c>
      <c r="AN62" s="290">
        <v>0</v>
      </c>
      <c r="AO62" s="289">
        <v>124968.8404806758</v>
      </c>
      <c r="AP62" s="291">
        <v>484189.8882988008</v>
      </c>
    </row>
    <row r="63" spans="1:42" ht="15.75" x14ac:dyDescent="0.25">
      <c r="A63" s="247">
        <v>1008575</v>
      </c>
      <c r="B63" t="s">
        <v>1770</v>
      </c>
      <c r="C63">
        <v>0</v>
      </c>
      <c r="D63" s="247">
        <v>1008575</v>
      </c>
      <c r="E63" s="247" t="s">
        <v>386</v>
      </c>
      <c r="F63" s="247" t="s">
        <v>384</v>
      </c>
      <c r="G63" s="247" t="s">
        <v>1154</v>
      </c>
      <c r="H63" s="247">
        <v>1008575</v>
      </c>
      <c r="I63" s="247" t="s">
        <v>1134</v>
      </c>
      <c r="J63" s="247">
        <v>2020</v>
      </c>
      <c r="K63" s="248" t="s">
        <v>1155</v>
      </c>
      <c r="L63" s="247" t="s">
        <v>1156</v>
      </c>
      <c r="M63" s="308">
        <v>7</v>
      </c>
      <c r="N63" s="308">
        <v>1</v>
      </c>
      <c r="O63" s="308">
        <v>6</v>
      </c>
      <c r="P63" s="308">
        <v>0</v>
      </c>
      <c r="Q63" s="308">
        <v>0</v>
      </c>
      <c r="R63" s="247">
        <v>0</v>
      </c>
      <c r="S63" s="247">
        <v>188</v>
      </c>
      <c r="T63" s="247">
        <v>6</v>
      </c>
      <c r="U63" s="247">
        <v>0</v>
      </c>
      <c r="V63" s="292"/>
      <c r="W63" s="298">
        <v>7</v>
      </c>
      <c r="X63" s="298">
        <v>1</v>
      </c>
      <c r="Y63" s="298">
        <v>6</v>
      </c>
      <c r="Z63" s="298">
        <v>0</v>
      </c>
      <c r="AA63" s="298">
        <v>0</v>
      </c>
      <c r="AB63" s="298">
        <v>0</v>
      </c>
      <c r="AC63" s="298">
        <v>6</v>
      </c>
      <c r="AE63" s="285">
        <v>4041762.3623043522</v>
      </c>
      <c r="AF63" s="286">
        <v>0</v>
      </c>
      <c r="AG63" s="287">
        <v>301376.07827703975</v>
      </c>
      <c r="AH63" s="288">
        <v>0</v>
      </c>
      <c r="AI63" s="289">
        <v>4343138.4405813916</v>
      </c>
      <c r="AJ63" s="266"/>
      <c r="AK63" s="285">
        <v>832531.4117647059</v>
      </c>
      <c r="AL63" s="286">
        <v>0</v>
      </c>
      <c r="AM63" s="286">
        <v>0</v>
      </c>
      <c r="AN63" s="290">
        <v>0</v>
      </c>
      <c r="AO63" s="289">
        <v>832531.4117647059</v>
      </c>
      <c r="AP63" s="299">
        <v>3510607.0288166855</v>
      </c>
    </row>
    <row r="64" spans="1:42" ht="15.75" x14ac:dyDescent="0.25">
      <c r="A64" s="247">
        <v>1356155</v>
      </c>
      <c r="B64" t="s">
        <v>1770</v>
      </c>
      <c r="C64">
        <v>0</v>
      </c>
      <c r="D64" s="247">
        <v>1356155</v>
      </c>
      <c r="E64" s="247" t="s">
        <v>1166</v>
      </c>
      <c r="F64" s="247" t="s">
        <v>821</v>
      </c>
      <c r="G64" s="247" t="s">
        <v>1165</v>
      </c>
      <c r="H64" s="247">
        <v>1356155</v>
      </c>
      <c r="I64" s="247" t="s">
        <v>1167</v>
      </c>
      <c r="J64" s="247">
        <v>2020</v>
      </c>
      <c r="K64" s="248" t="s">
        <v>1155</v>
      </c>
      <c r="L64" s="247" t="s">
        <v>1156</v>
      </c>
      <c r="M64" s="308">
        <v>4</v>
      </c>
      <c r="N64" s="308">
        <v>1</v>
      </c>
      <c r="O64" s="308">
        <v>3</v>
      </c>
      <c r="P64" s="308">
        <v>0</v>
      </c>
      <c r="Q64" s="308">
        <v>0</v>
      </c>
      <c r="R64" s="247">
        <v>0</v>
      </c>
      <c r="S64" s="247">
        <v>35</v>
      </c>
      <c r="T64" s="247">
        <v>0</v>
      </c>
      <c r="U64" s="247">
        <v>0</v>
      </c>
      <c r="W64" s="284">
        <v>4</v>
      </c>
      <c r="X64" s="284">
        <v>1</v>
      </c>
      <c r="Y64" s="284">
        <v>3</v>
      </c>
      <c r="Z64" s="284">
        <v>0</v>
      </c>
      <c r="AA64" s="284">
        <v>0</v>
      </c>
      <c r="AB64" s="284">
        <v>0</v>
      </c>
      <c r="AC64" s="284">
        <v>0</v>
      </c>
      <c r="AE64" s="285">
        <v>2309578.4927453441</v>
      </c>
      <c r="AF64" s="286">
        <v>0</v>
      </c>
      <c r="AG64" s="287">
        <v>172214.90187259414</v>
      </c>
      <c r="AH64" s="288">
        <v>0</v>
      </c>
      <c r="AI64" s="289">
        <v>2481793.3946179384</v>
      </c>
      <c r="AJ64" s="266"/>
      <c r="AK64" s="285">
        <v>416265.70588235295</v>
      </c>
      <c r="AL64" s="286">
        <v>0</v>
      </c>
      <c r="AM64" s="286">
        <v>0</v>
      </c>
      <c r="AN64" s="290">
        <v>0</v>
      </c>
      <c r="AO64" s="289">
        <v>416265.70588235295</v>
      </c>
      <c r="AP64" s="291">
        <v>2065527.6887355854</v>
      </c>
    </row>
    <row r="65" spans="1:42" ht="15.75" x14ac:dyDescent="0.25">
      <c r="A65" s="247">
        <v>1686476</v>
      </c>
      <c r="B65" t="s">
        <v>1770</v>
      </c>
      <c r="C65">
        <v>0</v>
      </c>
      <c r="D65" s="247">
        <v>1686476</v>
      </c>
      <c r="E65" s="247" t="s">
        <v>386</v>
      </c>
      <c r="F65" s="247" t="s">
        <v>1175</v>
      </c>
      <c r="G65" s="247" t="s">
        <v>1174</v>
      </c>
      <c r="H65" s="247">
        <v>1686476</v>
      </c>
      <c r="I65" s="247" t="s">
        <v>1058</v>
      </c>
      <c r="J65" s="247">
        <v>2020</v>
      </c>
      <c r="K65" s="248" t="s">
        <v>1155</v>
      </c>
      <c r="L65" s="247" t="s">
        <v>1156</v>
      </c>
      <c r="M65" s="308">
        <v>26</v>
      </c>
      <c r="N65" s="308">
        <v>2</v>
      </c>
      <c r="O65" s="308">
        <v>24</v>
      </c>
      <c r="P65" s="308">
        <v>0</v>
      </c>
      <c r="Q65" s="308">
        <v>0</v>
      </c>
      <c r="R65" s="247">
        <v>0</v>
      </c>
      <c r="S65" s="247">
        <v>305</v>
      </c>
      <c r="T65" s="247">
        <v>0</v>
      </c>
      <c r="U65" s="247">
        <v>0</v>
      </c>
      <c r="W65" s="284">
        <v>26</v>
      </c>
      <c r="X65" s="284">
        <v>2</v>
      </c>
      <c r="Y65" s="284">
        <v>24</v>
      </c>
      <c r="Z65" s="284">
        <v>0</v>
      </c>
      <c r="AA65" s="284">
        <v>0</v>
      </c>
      <c r="AB65" s="284">
        <v>0</v>
      </c>
      <c r="AC65" s="284">
        <v>0</v>
      </c>
      <c r="AE65" s="285">
        <v>15012260.202844737</v>
      </c>
      <c r="AF65" s="286">
        <v>0</v>
      </c>
      <c r="AG65" s="287">
        <v>1119396.8621718618</v>
      </c>
      <c r="AH65" s="288">
        <v>0</v>
      </c>
      <c r="AI65" s="289">
        <v>16131657.065016599</v>
      </c>
      <c r="AJ65" s="266"/>
      <c r="AK65" s="285">
        <v>3330125.6470588236</v>
      </c>
      <c r="AL65" s="286">
        <v>0</v>
      </c>
      <c r="AM65" s="286">
        <v>0</v>
      </c>
      <c r="AN65" s="290">
        <v>0</v>
      </c>
      <c r="AO65" s="289">
        <v>3330125.6470588236</v>
      </c>
      <c r="AP65" s="291">
        <v>12801531.417957775</v>
      </c>
    </row>
    <row r="66" spans="1:42" ht="15.75" x14ac:dyDescent="0.25">
      <c r="A66" s="247">
        <v>1826777</v>
      </c>
      <c r="B66" t="s">
        <v>1770</v>
      </c>
      <c r="C66">
        <v>0</v>
      </c>
      <c r="D66" s="247">
        <v>1826777</v>
      </c>
      <c r="E66" s="247" t="s">
        <v>1176</v>
      </c>
      <c r="F66" s="247" t="s">
        <v>1176</v>
      </c>
      <c r="G66" s="247" t="s">
        <v>1174</v>
      </c>
      <c r="H66" s="247">
        <v>1826777</v>
      </c>
      <c r="I66" s="247" t="s">
        <v>1058</v>
      </c>
      <c r="J66" s="247">
        <v>2020</v>
      </c>
      <c r="K66" s="248" t="s">
        <v>1155</v>
      </c>
      <c r="L66" s="247" t="s">
        <v>1156</v>
      </c>
      <c r="M66" s="308">
        <v>9</v>
      </c>
      <c r="N66" s="308">
        <v>1</v>
      </c>
      <c r="O66" s="308">
        <v>8</v>
      </c>
      <c r="P66" s="308">
        <v>0</v>
      </c>
      <c r="Q66" s="308">
        <v>0</v>
      </c>
      <c r="R66" s="247">
        <v>0</v>
      </c>
      <c r="S66" s="247">
        <v>20</v>
      </c>
      <c r="T66" s="247">
        <v>0</v>
      </c>
      <c r="U66" s="247">
        <v>0</v>
      </c>
      <c r="W66" s="284">
        <v>9</v>
      </c>
      <c r="X66" s="284">
        <v>1</v>
      </c>
      <c r="Y66" s="284">
        <v>8</v>
      </c>
      <c r="Z66" s="284">
        <v>0</v>
      </c>
      <c r="AA66" s="284">
        <v>0</v>
      </c>
      <c r="AB66" s="284">
        <v>0</v>
      </c>
      <c r="AC66" s="284">
        <v>0</v>
      </c>
      <c r="AE66" s="285">
        <v>5196551.608677024</v>
      </c>
      <c r="AF66" s="286">
        <v>0</v>
      </c>
      <c r="AG66" s="287">
        <v>387483.52921333682</v>
      </c>
      <c r="AH66" s="288">
        <v>0</v>
      </c>
      <c r="AI66" s="289">
        <v>5584035.1378903612</v>
      </c>
      <c r="AJ66" s="266"/>
      <c r="AK66" s="285">
        <v>1110041.8823529412</v>
      </c>
      <c r="AL66" s="286">
        <v>0</v>
      </c>
      <c r="AM66" s="286">
        <v>0</v>
      </c>
      <c r="AN66" s="290">
        <v>0</v>
      </c>
      <c r="AO66" s="289">
        <v>1110041.8823529412</v>
      </c>
      <c r="AP66" s="291">
        <v>4473993.2555374205</v>
      </c>
    </row>
    <row r="67" spans="1:42" ht="15.75" x14ac:dyDescent="0.25">
      <c r="A67" s="251">
        <v>2028356</v>
      </c>
      <c r="B67" t="s">
        <v>1770</v>
      </c>
      <c r="C67">
        <v>0</v>
      </c>
      <c r="D67" s="251">
        <v>2028356</v>
      </c>
      <c r="E67" s="251" t="s">
        <v>1179</v>
      </c>
      <c r="F67" s="251" t="s">
        <v>760</v>
      </c>
      <c r="G67" s="251" t="s">
        <v>1178</v>
      </c>
      <c r="H67" s="251">
        <v>2028356</v>
      </c>
      <c r="I67" s="251" t="s">
        <v>1180</v>
      </c>
      <c r="J67" s="247">
        <v>2020</v>
      </c>
      <c r="K67" s="252" t="s">
        <v>1155</v>
      </c>
      <c r="L67" s="251" t="s">
        <v>1156</v>
      </c>
      <c r="M67" s="309">
        <v>10.25</v>
      </c>
      <c r="N67" s="309">
        <v>0.9</v>
      </c>
      <c r="O67" s="309">
        <v>9.35</v>
      </c>
      <c r="P67" s="309">
        <v>0</v>
      </c>
      <c r="Q67" s="309">
        <v>0</v>
      </c>
      <c r="R67" s="251">
        <v>0</v>
      </c>
      <c r="S67" s="251">
        <v>200</v>
      </c>
      <c r="T67" s="251">
        <v>0</v>
      </c>
      <c r="U67" s="251">
        <v>0</v>
      </c>
      <c r="W67" s="284">
        <v>10.25</v>
      </c>
      <c r="X67" s="284">
        <v>0.9</v>
      </c>
      <c r="Y67" s="284">
        <v>9.35</v>
      </c>
      <c r="Z67" s="284">
        <v>0</v>
      </c>
      <c r="AA67" s="284">
        <v>0</v>
      </c>
      <c r="AB67" s="284">
        <v>0</v>
      </c>
      <c r="AC67" s="284">
        <v>0</v>
      </c>
      <c r="AE67" s="285">
        <v>5918294.8876599446</v>
      </c>
      <c r="AF67" s="286">
        <v>0</v>
      </c>
      <c r="AG67" s="287">
        <v>441300.68604852248</v>
      </c>
      <c r="AH67" s="288">
        <v>0</v>
      </c>
      <c r="AI67" s="289">
        <v>6359595.5737084672</v>
      </c>
      <c r="AJ67" s="266"/>
      <c r="AK67" s="285">
        <v>1297361.45</v>
      </c>
      <c r="AL67" s="286">
        <v>0</v>
      </c>
      <c r="AM67" s="286">
        <v>0</v>
      </c>
      <c r="AN67" s="290">
        <v>0</v>
      </c>
      <c r="AO67" s="289">
        <v>1297361.45</v>
      </c>
      <c r="AP67" s="291">
        <v>5062234.123708467</v>
      </c>
    </row>
    <row r="68" spans="1:42" ht="15.75" x14ac:dyDescent="0.25">
      <c r="A68" s="247">
        <v>2540162</v>
      </c>
      <c r="B68" t="s">
        <v>1770</v>
      </c>
      <c r="C68">
        <v>0</v>
      </c>
      <c r="D68" s="247">
        <v>2540162</v>
      </c>
      <c r="E68" s="247" t="s">
        <v>694</v>
      </c>
      <c r="F68" s="247" t="s">
        <v>694</v>
      </c>
      <c r="G68" s="247" t="s">
        <v>1171</v>
      </c>
      <c r="H68" s="247">
        <v>2540162</v>
      </c>
      <c r="I68" s="247" t="s">
        <v>1131</v>
      </c>
      <c r="J68" s="247">
        <v>2020</v>
      </c>
      <c r="K68" s="248" t="s">
        <v>1155</v>
      </c>
      <c r="L68" s="247" t="s">
        <v>1156</v>
      </c>
      <c r="M68" s="308">
        <v>1.1000000000000001</v>
      </c>
      <c r="N68" s="308">
        <v>0.2</v>
      </c>
      <c r="O68" s="308">
        <v>0.9</v>
      </c>
      <c r="P68" s="308">
        <v>0</v>
      </c>
      <c r="Q68" s="308">
        <v>0</v>
      </c>
      <c r="R68" s="247">
        <v>0</v>
      </c>
      <c r="S68" s="247">
        <v>50</v>
      </c>
      <c r="T68" s="247">
        <v>0</v>
      </c>
      <c r="U68" s="247">
        <v>0</v>
      </c>
      <c r="W68" s="284">
        <v>1.1000000000000001</v>
      </c>
      <c r="X68" s="284">
        <v>0.2</v>
      </c>
      <c r="Y68" s="284">
        <v>0.9</v>
      </c>
      <c r="Z68" s="284">
        <v>0</v>
      </c>
      <c r="AA68" s="284">
        <v>0</v>
      </c>
      <c r="AB68" s="284">
        <v>0</v>
      </c>
      <c r="AC68" s="284">
        <v>0</v>
      </c>
      <c r="AE68" s="285">
        <v>635134.0855049697</v>
      </c>
      <c r="AF68" s="286">
        <v>0</v>
      </c>
      <c r="AG68" s="287">
        <v>47359.098014963391</v>
      </c>
      <c r="AH68" s="288">
        <v>0</v>
      </c>
      <c r="AI68" s="289">
        <v>682493.18351993314</v>
      </c>
      <c r="AJ68" s="266"/>
      <c r="AK68" s="285">
        <v>124879.71176470589</v>
      </c>
      <c r="AL68" s="286">
        <v>0</v>
      </c>
      <c r="AM68" s="286">
        <v>0</v>
      </c>
      <c r="AN68" s="290">
        <v>0</v>
      </c>
      <c r="AO68" s="289">
        <v>124879.71176470589</v>
      </c>
      <c r="AP68" s="291">
        <v>557613.47175522731</v>
      </c>
    </row>
    <row r="69" spans="1:42" ht="15.75" x14ac:dyDescent="0.25">
      <c r="A69" s="247">
        <v>2540162</v>
      </c>
      <c r="B69" t="s">
        <v>1770</v>
      </c>
      <c r="C69">
        <v>0</v>
      </c>
      <c r="D69" s="247">
        <v>2540162</v>
      </c>
      <c r="E69" s="247" t="s">
        <v>694</v>
      </c>
      <c r="F69" s="247" t="s">
        <v>694</v>
      </c>
      <c r="G69" s="247" t="s">
        <v>1181</v>
      </c>
      <c r="H69" s="247">
        <v>2540162</v>
      </c>
      <c r="I69" s="247" t="s">
        <v>1149</v>
      </c>
      <c r="J69" s="247">
        <v>2020</v>
      </c>
      <c r="K69" s="248" t="s">
        <v>1155</v>
      </c>
      <c r="L69" s="247" t="s">
        <v>1156</v>
      </c>
      <c r="M69" s="308">
        <v>0.25</v>
      </c>
      <c r="N69" s="308">
        <v>0.05</v>
      </c>
      <c r="O69" s="308">
        <v>0.2</v>
      </c>
      <c r="P69" s="308">
        <v>0</v>
      </c>
      <c r="Q69" s="308">
        <v>0</v>
      </c>
      <c r="R69" s="247">
        <v>0</v>
      </c>
      <c r="S69" s="247">
        <v>70</v>
      </c>
      <c r="T69" s="247">
        <v>0</v>
      </c>
      <c r="U69" s="247">
        <v>0</v>
      </c>
      <c r="W69" s="284">
        <v>0.25</v>
      </c>
      <c r="X69" s="284">
        <v>0.05</v>
      </c>
      <c r="Y69" s="284">
        <v>0.2</v>
      </c>
      <c r="Z69" s="284">
        <v>0</v>
      </c>
      <c r="AA69" s="284">
        <v>0</v>
      </c>
      <c r="AB69" s="284">
        <v>0</v>
      </c>
      <c r="AC69" s="284">
        <v>0</v>
      </c>
      <c r="AE69" s="285">
        <v>144348.655796584</v>
      </c>
      <c r="AF69" s="286">
        <v>0</v>
      </c>
      <c r="AG69" s="287">
        <v>10763.431367037134</v>
      </c>
      <c r="AH69" s="288">
        <v>0</v>
      </c>
      <c r="AI69" s="289">
        <v>155112.08716362115</v>
      </c>
      <c r="AJ69" s="266"/>
      <c r="AK69" s="285">
        <v>27751.047058823533</v>
      </c>
      <c r="AL69" s="286">
        <v>0</v>
      </c>
      <c r="AM69" s="286">
        <v>0</v>
      </c>
      <c r="AN69" s="290">
        <v>0</v>
      </c>
      <c r="AO69" s="289">
        <v>27751.047058823533</v>
      </c>
      <c r="AP69" s="291">
        <v>127361.04010479762</v>
      </c>
    </row>
    <row r="70" spans="1:42" ht="15.75" x14ac:dyDescent="0.25">
      <c r="A70" s="247">
        <v>2540162</v>
      </c>
      <c r="B70" t="s">
        <v>1770</v>
      </c>
      <c r="C70">
        <v>0</v>
      </c>
      <c r="D70" s="247">
        <v>2540162</v>
      </c>
      <c r="E70" s="247" t="s">
        <v>694</v>
      </c>
      <c r="F70" s="247" t="s">
        <v>694</v>
      </c>
      <c r="G70" s="247" t="s">
        <v>1182</v>
      </c>
      <c r="H70" s="247">
        <v>2540162</v>
      </c>
      <c r="I70" s="247" t="s">
        <v>1183</v>
      </c>
      <c r="J70" s="247">
        <v>2020</v>
      </c>
      <c r="K70" s="248" t="s">
        <v>1155</v>
      </c>
      <c r="L70" s="247" t="s">
        <v>1156</v>
      </c>
      <c r="M70" s="308">
        <v>3.9</v>
      </c>
      <c r="N70" s="308">
        <v>0.7</v>
      </c>
      <c r="O70" s="308">
        <v>3.2</v>
      </c>
      <c r="P70" s="308">
        <v>0</v>
      </c>
      <c r="Q70" s="308">
        <v>0</v>
      </c>
      <c r="R70" s="247">
        <v>0</v>
      </c>
      <c r="S70" s="247">
        <v>70</v>
      </c>
      <c r="T70" s="247">
        <v>0</v>
      </c>
      <c r="U70" s="247">
        <v>0</v>
      </c>
      <c r="W70" s="284">
        <v>3.9</v>
      </c>
      <c r="X70" s="284">
        <v>0.7</v>
      </c>
      <c r="Y70" s="284">
        <v>3.2</v>
      </c>
      <c r="Z70" s="284">
        <v>0</v>
      </c>
      <c r="AA70" s="284">
        <v>0</v>
      </c>
      <c r="AB70" s="284">
        <v>0</v>
      </c>
      <c r="AC70" s="284">
        <v>0</v>
      </c>
      <c r="AE70" s="285">
        <v>2251839.0304267104</v>
      </c>
      <c r="AF70" s="286">
        <v>0</v>
      </c>
      <c r="AG70" s="287">
        <v>167909.52932577929</v>
      </c>
      <c r="AH70" s="288">
        <v>0</v>
      </c>
      <c r="AI70" s="289">
        <v>2419748.5597524894</v>
      </c>
      <c r="AJ70" s="266"/>
      <c r="AK70" s="285">
        <v>444016.75294117653</v>
      </c>
      <c r="AL70" s="286">
        <v>0</v>
      </c>
      <c r="AM70" s="286">
        <v>0</v>
      </c>
      <c r="AN70" s="290">
        <v>0</v>
      </c>
      <c r="AO70" s="289">
        <v>444016.75294117653</v>
      </c>
      <c r="AP70" s="291">
        <v>1975731.8068113129</v>
      </c>
    </row>
    <row r="71" spans="1:42" ht="15.75" x14ac:dyDescent="0.25">
      <c r="A71" s="247">
        <v>2540162</v>
      </c>
      <c r="B71" t="s">
        <v>1770</v>
      </c>
      <c r="C71">
        <v>0</v>
      </c>
      <c r="D71" s="247">
        <v>2540162</v>
      </c>
      <c r="E71" s="247" t="s">
        <v>694</v>
      </c>
      <c r="F71" s="247" t="s">
        <v>694</v>
      </c>
      <c r="G71" s="247" t="s">
        <v>1159</v>
      </c>
      <c r="H71" s="247">
        <v>2540162</v>
      </c>
      <c r="I71" s="247" t="s">
        <v>1160</v>
      </c>
      <c r="J71" s="247">
        <v>2020</v>
      </c>
      <c r="K71" s="248" t="s">
        <v>1155</v>
      </c>
      <c r="L71" s="247" t="s">
        <v>1156</v>
      </c>
      <c r="M71" s="308">
        <v>0.35</v>
      </c>
      <c r="N71" s="308">
        <v>0.05</v>
      </c>
      <c r="O71" s="308">
        <v>0.3</v>
      </c>
      <c r="P71" s="308">
        <v>0</v>
      </c>
      <c r="Q71" s="308">
        <v>0</v>
      </c>
      <c r="R71" s="247">
        <v>0</v>
      </c>
      <c r="S71" s="247">
        <v>70</v>
      </c>
      <c r="T71" s="247">
        <v>0</v>
      </c>
      <c r="U71" s="247">
        <v>0</v>
      </c>
      <c r="W71" s="284">
        <v>0.35</v>
      </c>
      <c r="X71" s="284">
        <v>0.05</v>
      </c>
      <c r="Y71" s="284">
        <v>0.3</v>
      </c>
      <c r="Z71" s="284">
        <v>0</v>
      </c>
      <c r="AA71" s="284">
        <v>0</v>
      </c>
      <c r="AB71" s="284">
        <v>0</v>
      </c>
      <c r="AC71" s="284">
        <v>0</v>
      </c>
      <c r="AE71" s="285">
        <v>202088.1181152176</v>
      </c>
      <c r="AF71" s="286">
        <v>0</v>
      </c>
      <c r="AG71" s="287">
        <v>15068.803913851987</v>
      </c>
      <c r="AH71" s="288">
        <v>0</v>
      </c>
      <c r="AI71" s="289">
        <v>217156.9220290696</v>
      </c>
      <c r="AJ71" s="266"/>
      <c r="AK71" s="285">
        <v>41626.570588235292</v>
      </c>
      <c r="AL71" s="286">
        <v>0</v>
      </c>
      <c r="AM71" s="286">
        <v>0</v>
      </c>
      <c r="AN71" s="290">
        <v>0</v>
      </c>
      <c r="AO71" s="289">
        <v>41626.570588235292</v>
      </c>
      <c r="AP71" s="291">
        <v>175530.35144083429</v>
      </c>
    </row>
    <row r="72" spans="1:42" ht="15.75" x14ac:dyDescent="0.25">
      <c r="A72" s="247">
        <v>3110951</v>
      </c>
      <c r="B72" t="s">
        <v>1770</v>
      </c>
      <c r="C72">
        <v>0</v>
      </c>
      <c r="D72" s="247">
        <v>3110951</v>
      </c>
      <c r="E72" s="247" t="s">
        <v>829</v>
      </c>
      <c r="F72" s="247" t="s">
        <v>826</v>
      </c>
      <c r="G72" s="247" t="s">
        <v>1184</v>
      </c>
      <c r="H72" s="247">
        <v>3110951</v>
      </c>
      <c r="I72" s="247" t="s">
        <v>1185</v>
      </c>
      <c r="J72" s="247">
        <v>2020</v>
      </c>
      <c r="K72" s="248" t="s">
        <v>1155</v>
      </c>
      <c r="L72" s="247" t="s">
        <v>1156</v>
      </c>
      <c r="M72" s="308">
        <v>0.27</v>
      </c>
      <c r="N72" s="308">
        <v>0.01</v>
      </c>
      <c r="O72" s="308">
        <v>0.26</v>
      </c>
      <c r="P72" s="308">
        <v>0</v>
      </c>
      <c r="Q72" s="308">
        <v>0</v>
      </c>
      <c r="R72" s="247">
        <v>0</v>
      </c>
      <c r="S72" s="247">
        <v>39</v>
      </c>
      <c r="T72" s="247">
        <v>0</v>
      </c>
      <c r="U72" s="247">
        <v>0</v>
      </c>
      <c r="W72" s="284">
        <v>0.27</v>
      </c>
      <c r="X72" s="284">
        <v>0.01</v>
      </c>
      <c r="Y72" s="284">
        <v>0.26</v>
      </c>
      <c r="Z72" s="284">
        <v>0</v>
      </c>
      <c r="AA72" s="284">
        <v>0</v>
      </c>
      <c r="AB72" s="284">
        <v>0</v>
      </c>
      <c r="AC72" s="284">
        <v>0</v>
      </c>
      <c r="AE72" s="285">
        <v>155896.54826031072</v>
      </c>
      <c r="AF72" s="286">
        <v>0</v>
      </c>
      <c r="AG72" s="287">
        <v>11624.505876400106</v>
      </c>
      <c r="AH72" s="288">
        <v>0</v>
      </c>
      <c r="AI72" s="289">
        <v>167521.05413671082</v>
      </c>
      <c r="AJ72" s="266"/>
      <c r="AK72" s="285">
        <v>36076.361176470593</v>
      </c>
      <c r="AL72" s="286">
        <v>0</v>
      </c>
      <c r="AM72" s="286">
        <v>0</v>
      </c>
      <c r="AN72" s="290">
        <v>0</v>
      </c>
      <c r="AO72" s="289">
        <v>36076.361176470593</v>
      </c>
      <c r="AP72" s="291">
        <v>131444.69296024024</v>
      </c>
    </row>
    <row r="73" spans="1:42" ht="15.75" x14ac:dyDescent="0.25">
      <c r="A73" s="247">
        <v>3110951</v>
      </c>
      <c r="B73" t="s">
        <v>1770</v>
      </c>
      <c r="C73">
        <v>0</v>
      </c>
      <c r="D73" s="247">
        <v>3110951</v>
      </c>
      <c r="E73" s="247" t="s">
        <v>829</v>
      </c>
      <c r="F73" s="247" t="s">
        <v>826</v>
      </c>
      <c r="G73" s="247" t="s">
        <v>1188</v>
      </c>
      <c r="H73" s="247">
        <v>3110951</v>
      </c>
      <c r="I73" s="247" t="s">
        <v>1073</v>
      </c>
      <c r="J73" s="247">
        <v>2020</v>
      </c>
      <c r="K73" s="248" t="s">
        <v>1155</v>
      </c>
      <c r="L73" s="247" t="s">
        <v>1156</v>
      </c>
      <c r="M73" s="308">
        <v>4.03</v>
      </c>
      <c r="N73" s="308">
        <v>0.11</v>
      </c>
      <c r="O73" s="308">
        <v>3.92</v>
      </c>
      <c r="P73" s="308">
        <v>0</v>
      </c>
      <c r="Q73" s="308">
        <v>0</v>
      </c>
      <c r="R73" s="247">
        <v>0</v>
      </c>
      <c r="S73" s="247">
        <v>39</v>
      </c>
      <c r="T73" s="247">
        <v>0</v>
      </c>
      <c r="U73" s="247">
        <v>0</v>
      </c>
      <c r="W73" s="284">
        <v>4.03</v>
      </c>
      <c r="X73" s="284">
        <v>0.11</v>
      </c>
      <c r="Y73" s="284">
        <v>3.92</v>
      </c>
      <c r="Z73" s="284">
        <v>0</v>
      </c>
      <c r="AA73" s="284">
        <v>0</v>
      </c>
      <c r="AB73" s="284">
        <v>0</v>
      </c>
      <c r="AC73" s="284">
        <v>0</v>
      </c>
      <c r="AE73" s="285">
        <v>2326900.3314409344</v>
      </c>
      <c r="AF73" s="286">
        <v>0</v>
      </c>
      <c r="AG73" s="287">
        <v>173506.51363663861</v>
      </c>
      <c r="AH73" s="288">
        <v>0</v>
      </c>
      <c r="AI73" s="289">
        <v>2500406.8450775729</v>
      </c>
      <c r="AJ73" s="266"/>
      <c r="AK73" s="285">
        <v>543920.52235294122</v>
      </c>
      <c r="AL73" s="286">
        <v>0</v>
      </c>
      <c r="AM73" s="286">
        <v>0</v>
      </c>
      <c r="AN73" s="290">
        <v>0</v>
      </c>
      <c r="AO73" s="289">
        <v>543920.52235294122</v>
      </c>
      <c r="AP73" s="291">
        <v>1956486.3227246315</v>
      </c>
    </row>
    <row r="74" spans="1:42" ht="15.75" x14ac:dyDescent="0.25">
      <c r="A74" s="247">
        <v>3110951</v>
      </c>
      <c r="B74" t="s">
        <v>1770</v>
      </c>
      <c r="C74">
        <v>0</v>
      </c>
      <c r="D74" s="247">
        <v>3110951</v>
      </c>
      <c r="E74" s="247" t="s">
        <v>829</v>
      </c>
      <c r="F74" s="247" t="s">
        <v>826</v>
      </c>
      <c r="G74" s="247" t="s">
        <v>1189</v>
      </c>
      <c r="H74" s="247">
        <v>3110951</v>
      </c>
      <c r="I74" s="247" t="s">
        <v>1190</v>
      </c>
      <c r="J74" s="247">
        <v>2020</v>
      </c>
      <c r="K74" s="248" t="s">
        <v>1155</v>
      </c>
      <c r="L74" s="247" t="s">
        <v>1156</v>
      </c>
      <c r="M74" s="308">
        <v>2.2000000000000002</v>
      </c>
      <c r="N74" s="308">
        <v>0.08</v>
      </c>
      <c r="O74" s="308">
        <v>2.12</v>
      </c>
      <c r="P74" s="308">
        <v>0</v>
      </c>
      <c r="Q74" s="308">
        <v>0</v>
      </c>
      <c r="R74" s="247">
        <v>0</v>
      </c>
      <c r="S74" s="247">
        <v>39</v>
      </c>
      <c r="T74" s="247">
        <v>0</v>
      </c>
      <c r="U74" s="247">
        <v>0</v>
      </c>
      <c r="W74" s="284">
        <v>2.2000000000000002</v>
      </c>
      <c r="X74" s="284">
        <v>0.08</v>
      </c>
      <c r="Y74" s="284">
        <v>2.12</v>
      </c>
      <c r="Z74" s="284">
        <v>0</v>
      </c>
      <c r="AA74" s="284">
        <v>0</v>
      </c>
      <c r="AB74" s="284">
        <v>0</v>
      </c>
      <c r="AC74" s="284">
        <v>0</v>
      </c>
      <c r="AE74" s="285">
        <v>1270268.1710099394</v>
      </c>
      <c r="AF74" s="286">
        <v>0</v>
      </c>
      <c r="AG74" s="287">
        <v>94718.196029926781</v>
      </c>
      <c r="AH74" s="288">
        <v>0</v>
      </c>
      <c r="AI74" s="289">
        <v>1364986.3670398663</v>
      </c>
      <c r="AJ74" s="266"/>
      <c r="AK74" s="285">
        <v>294161.09882352944</v>
      </c>
      <c r="AL74" s="286">
        <v>0</v>
      </c>
      <c r="AM74" s="286">
        <v>0</v>
      </c>
      <c r="AN74" s="290">
        <v>0</v>
      </c>
      <c r="AO74" s="289">
        <v>294161.09882352944</v>
      </c>
      <c r="AP74" s="291">
        <v>1070825.2682163368</v>
      </c>
    </row>
    <row r="75" spans="1:42" ht="15.75" x14ac:dyDescent="0.25">
      <c r="A75" s="247">
        <v>3921078</v>
      </c>
      <c r="B75" t="s">
        <v>1770</v>
      </c>
      <c r="C75">
        <v>0</v>
      </c>
      <c r="D75" s="247">
        <v>3921078</v>
      </c>
      <c r="E75" s="247" t="s">
        <v>962</v>
      </c>
      <c r="F75" s="247" t="s">
        <v>962</v>
      </c>
      <c r="G75" s="247" t="s">
        <v>1162</v>
      </c>
      <c r="H75" s="247">
        <v>3921078</v>
      </c>
      <c r="I75" s="247" t="s">
        <v>1068</v>
      </c>
      <c r="J75" s="247">
        <v>2020</v>
      </c>
      <c r="K75" s="248" t="s">
        <v>1155</v>
      </c>
      <c r="L75" s="247" t="s">
        <v>1156</v>
      </c>
      <c r="M75" s="308">
        <v>1.57</v>
      </c>
      <c r="N75" s="308">
        <v>0.1</v>
      </c>
      <c r="O75" s="308">
        <v>1.47</v>
      </c>
      <c r="P75" s="308">
        <v>0</v>
      </c>
      <c r="Q75" s="308">
        <v>0</v>
      </c>
      <c r="R75" s="247">
        <v>0</v>
      </c>
      <c r="S75" s="247">
        <v>0</v>
      </c>
      <c r="T75" s="247">
        <v>3</v>
      </c>
      <c r="U75" s="247">
        <v>0</v>
      </c>
      <c r="W75" s="284">
        <v>1.57</v>
      </c>
      <c r="X75" s="284">
        <v>0.1</v>
      </c>
      <c r="Y75" s="284">
        <v>1.47</v>
      </c>
      <c r="Z75" s="284">
        <v>0</v>
      </c>
      <c r="AA75" s="284">
        <v>0</v>
      </c>
      <c r="AB75" s="284">
        <v>0</v>
      </c>
      <c r="AC75" s="284">
        <v>3</v>
      </c>
      <c r="AE75" s="285">
        <v>906509.55840254761</v>
      </c>
      <c r="AF75" s="286">
        <v>0</v>
      </c>
      <c r="AG75" s="287">
        <v>67594.348984993208</v>
      </c>
      <c r="AH75" s="288">
        <v>0</v>
      </c>
      <c r="AI75" s="289">
        <v>974103.90738754079</v>
      </c>
      <c r="AJ75" s="266"/>
      <c r="AK75" s="285">
        <v>203970.19588235294</v>
      </c>
      <c r="AL75" s="286">
        <v>0</v>
      </c>
      <c r="AM75" s="286">
        <v>0</v>
      </c>
      <c r="AN75" s="290">
        <v>0</v>
      </c>
      <c r="AO75" s="289">
        <v>203970.19588235294</v>
      </c>
      <c r="AP75" s="291">
        <v>770133.71150518791</v>
      </c>
    </row>
    <row r="76" spans="1:42" ht="15.75" x14ac:dyDescent="0.25">
      <c r="A76" s="247">
        <v>5376966</v>
      </c>
      <c r="B76" t="s">
        <v>1770</v>
      </c>
      <c r="C76">
        <v>0</v>
      </c>
      <c r="D76" s="247">
        <v>5376966</v>
      </c>
      <c r="E76" s="247" t="s">
        <v>1200</v>
      </c>
      <c r="F76" s="247" t="s">
        <v>776</v>
      </c>
      <c r="G76" s="247" t="s">
        <v>1174</v>
      </c>
      <c r="H76" s="247">
        <v>5376966</v>
      </c>
      <c r="I76" s="247" t="s">
        <v>1058</v>
      </c>
      <c r="J76" s="247">
        <v>2020</v>
      </c>
      <c r="K76" s="248" t="s">
        <v>1155</v>
      </c>
      <c r="L76" s="247" t="s">
        <v>1156</v>
      </c>
      <c r="M76" s="308">
        <v>21.3</v>
      </c>
      <c r="N76" s="308">
        <v>2.1</v>
      </c>
      <c r="O76" s="308">
        <v>19.2</v>
      </c>
      <c r="P76" s="308">
        <v>0</v>
      </c>
      <c r="Q76" s="308">
        <v>0</v>
      </c>
      <c r="R76" s="247">
        <v>0</v>
      </c>
      <c r="S76" s="247">
        <v>115</v>
      </c>
      <c r="T76" s="247">
        <v>0</v>
      </c>
      <c r="U76" s="247">
        <v>0</v>
      </c>
      <c r="W76" s="284">
        <v>21.3</v>
      </c>
      <c r="X76" s="284">
        <v>2.1</v>
      </c>
      <c r="Y76" s="284">
        <v>19.2</v>
      </c>
      <c r="Z76" s="284">
        <v>0</v>
      </c>
      <c r="AA76" s="284">
        <v>0</v>
      </c>
      <c r="AB76" s="284">
        <v>0</v>
      </c>
      <c r="AC76" s="284">
        <v>0</v>
      </c>
      <c r="AE76" s="285">
        <v>12298505.473868957</v>
      </c>
      <c r="AF76" s="286">
        <v>0</v>
      </c>
      <c r="AG76" s="287">
        <v>917044.35247156385</v>
      </c>
      <c r="AH76" s="288">
        <v>0</v>
      </c>
      <c r="AI76" s="289">
        <v>13215549.826340521</v>
      </c>
      <c r="AJ76" s="266"/>
      <c r="AK76" s="285">
        <v>2664100.5176470587</v>
      </c>
      <c r="AL76" s="286">
        <v>0</v>
      </c>
      <c r="AM76" s="286">
        <v>0</v>
      </c>
      <c r="AN76" s="290">
        <v>0</v>
      </c>
      <c r="AO76" s="289">
        <v>2664100.5176470587</v>
      </c>
      <c r="AP76" s="291">
        <v>10551449.308693461</v>
      </c>
    </row>
    <row r="77" spans="1:42" ht="15.75" x14ac:dyDescent="0.25">
      <c r="A77" s="247">
        <v>5376966</v>
      </c>
      <c r="B77" t="s">
        <v>1770</v>
      </c>
      <c r="C77">
        <v>0</v>
      </c>
      <c r="D77" s="247">
        <v>5376966</v>
      </c>
      <c r="E77" s="247" t="s">
        <v>1200</v>
      </c>
      <c r="F77" s="247" t="s">
        <v>776</v>
      </c>
      <c r="G77" s="247" t="s">
        <v>1201</v>
      </c>
      <c r="H77" s="247">
        <v>5376966</v>
      </c>
      <c r="I77" s="247" t="s">
        <v>1202</v>
      </c>
      <c r="J77" s="247">
        <v>2020</v>
      </c>
      <c r="K77" s="248" t="s">
        <v>1155</v>
      </c>
      <c r="L77" s="247" t="s">
        <v>1156</v>
      </c>
      <c r="M77" s="308">
        <v>7.1</v>
      </c>
      <c r="N77" s="308">
        <v>0.9</v>
      </c>
      <c r="O77" s="308">
        <v>6.2</v>
      </c>
      <c r="P77" s="308">
        <v>0</v>
      </c>
      <c r="Q77" s="308">
        <v>0</v>
      </c>
      <c r="R77" s="247">
        <v>0</v>
      </c>
      <c r="S77" s="247">
        <v>115</v>
      </c>
      <c r="T77" s="247">
        <v>0</v>
      </c>
      <c r="U77" s="247">
        <v>0</v>
      </c>
      <c r="W77" s="284">
        <v>7.1</v>
      </c>
      <c r="X77" s="284">
        <v>0.9</v>
      </c>
      <c r="Y77" s="284">
        <v>6.2</v>
      </c>
      <c r="Z77" s="284">
        <v>0</v>
      </c>
      <c r="AA77" s="284">
        <v>0</v>
      </c>
      <c r="AB77" s="284">
        <v>0</v>
      </c>
      <c r="AC77" s="284">
        <v>0</v>
      </c>
      <c r="AE77" s="285">
        <v>4099501.8246229854</v>
      </c>
      <c r="AF77" s="286">
        <v>0</v>
      </c>
      <c r="AG77" s="287">
        <v>305681.4508238546</v>
      </c>
      <c r="AH77" s="288">
        <v>0</v>
      </c>
      <c r="AI77" s="289">
        <v>4405183.2754468396</v>
      </c>
      <c r="AJ77" s="266"/>
      <c r="AK77" s="285">
        <v>860282.45882352942</v>
      </c>
      <c r="AL77" s="286">
        <v>0</v>
      </c>
      <c r="AM77" s="286">
        <v>0</v>
      </c>
      <c r="AN77" s="290">
        <v>0</v>
      </c>
      <c r="AO77" s="289">
        <v>860282.45882352942</v>
      </c>
      <c r="AP77" s="291">
        <v>3544900.8166233101</v>
      </c>
    </row>
    <row r="78" spans="1:42" ht="15.75" x14ac:dyDescent="0.25">
      <c r="A78" s="247">
        <v>6161785</v>
      </c>
      <c r="B78" t="s">
        <v>1770</v>
      </c>
      <c r="C78">
        <v>0</v>
      </c>
      <c r="D78" s="247">
        <v>6161785</v>
      </c>
      <c r="E78" s="247" t="s">
        <v>1204</v>
      </c>
      <c r="F78" s="247" t="s">
        <v>812</v>
      </c>
      <c r="G78" s="247" t="s">
        <v>1203</v>
      </c>
      <c r="H78" s="247">
        <v>6161785</v>
      </c>
      <c r="I78" s="247" t="s">
        <v>1061</v>
      </c>
      <c r="J78" s="247">
        <v>2020</v>
      </c>
      <c r="K78" s="248" t="s">
        <v>1155</v>
      </c>
      <c r="L78" s="247" t="s">
        <v>1156</v>
      </c>
      <c r="M78" s="308">
        <v>5</v>
      </c>
      <c r="N78" s="308">
        <v>0.5</v>
      </c>
      <c r="O78" s="308">
        <v>4.5</v>
      </c>
      <c r="P78" s="308">
        <v>0</v>
      </c>
      <c r="Q78" s="308">
        <v>0</v>
      </c>
      <c r="R78" s="247">
        <v>0</v>
      </c>
      <c r="S78" s="247">
        <v>45</v>
      </c>
      <c r="T78" s="247">
        <v>0</v>
      </c>
      <c r="U78" s="247">
        <v>0</v>
      </c>
      <c r="W78" s="284">
        <v>5</v>
      </c>
      <c r="X78" s="284">
        <v>0.5</v>
      </c>
      <c r="Y78" s="284">
        <v>4.5</v>
      </c>
      <c r="Z78" s="284">
        <v>0</v>
      </c>
      <c r="AA78" s="284">
        <v>0</v>
      </c>
      <c r="AB78" s="284">
        <v>0</v>
      </c>
      <c r="AC78" s="284">
        <v>0</v>
      </c>
      <c r="AE78" s="285">
        <v>2886973.11593168</v>
      </c>
      <c r="AF78" s="286">
        <v>0</v>
      </c>
      <c r="AG78" s="287">
        <v>215268.62734074268</v>
      </c>
      <c r="AH78" s="288">
        <v>0</v>
      </c>
      <c r="AI78" s="289">
        <v>3102241.7432724228</v>
      </c>
      <c r="AJ78" s="266"/>
      <c r="AK78" s="285">
        <v>624398.5588235294</v>
      </c>
      <c r="AL78" s="286">
        <v>0</v>
      </c>
      <c r="AM78" s="286">
        <v>0</v>
      </c>
      <c r="AN78" s="290">
        <v>0</v>
      </c>
      <c r="AO78" s="289">
        <v>624398.5588235294</v>
      </c>
      <c r="AP78" s="291">
        <v>2477843.1844488932</v>
      </c>
    </row>
    <row r="79" spans="1:42" ht="15.75" x14ac:dyDescent="0.25">
      <c r="A79" s="251">
        <v>7741294</v>
      </c>
      <c r="B79" t="s">
        <v>1770</v>
      </c>
      <c r="C79">
        <v>0</v>
      </c>
      <c r="D79" s="251">
        <v>7741294</v>
      </c>
      <c r="E79" s="251" t="s">
        <v>772</v>
      </c>
      <c r="F79" s="251" t="s">
        <v>760</v>
      </c>
      <c r="G79" s="251" t="s">
        <v>1216</v>
      </c>
      <c r="H79" s="251">
        <v>7741294</v>
      </c>
      <c r="I79" s="251" t="s">
        <v>1217</v>
      </c>
      <c r="J79" s="247">
        <v>2020</v>
      </c>
      <c r="K79" s="252" t="s">
        <v>1155</v>
      </c>
      <c r="L79" s="251" t="s">
        <v>1156</v>
      </c>
      <c r="M79" s="309">
        <v>4</v>
      </c>
      <c r="N79" s="309">
        <v>1</v>
      </c>
      <c r="O79" s="309">
        <v>3</v>
      </c>
      <c r="P79" s="309">
        <v>0</v>
      </c>
      <c r="Q79" s="309">
        <v>0</v>
      </c>
      <c r="R79" s="251">
        <v>0</v>
      </c>
      <c r="S79" s="251">
        <v>125</v>
      </c>
      <c r="T79" s="251">
        <v>0</v>
      </c>
      <c r="U79" s="251">
        <v>0</v>
      </c>
      <c r="W79" s="284">
        <v>4</v>
      </c>
      <c r="X79" s="284">
        <v>1</v>
      </c>
      <c r="Y79" s="284">
        <v>3</v>
      </c>
      <c r="Z79" s="284">
        <v>0</v>
      </c>
      <c r="AA79" s="284">
        <v>0</v>
      </c>
      <c r="AB79" s="284">
        <v>0</v>
      </c>
      <c r="AC79" s="284">
        <v>0</v>
      </c>
      <c r="AE79" s="285">
        <v>2309578.4927453441</v>
      </c>
      <c r="AF79" s="286">
        <v>0</v>
      </c>
      <c r="AG79" s="287">
        <v>172214.90187259414</v>
      </c>
      <c r="AH79" s="288">
        <v>0</v>
      </c>
      <c r="AI79" s="289">
        <v>2481793.3946179384</v>
      </c>
      <c r="AJ79" s="266"/>
      <c r="AK79" s="285">
        <v>416265.70588235295</v>
      </c>
      <c r="AL79" s="286">
        <v>0</v>
      </c>
      <c r="AM79" s="286">
        <v>0</v>
      </c>
      <c r="AN79" s="290">
        <v>0</v>
      </c>
      <c r="AO79" s="289">
        <v>416265.70588235295</v>
      </c>
      <c r="AP79" s="291">
        <v>2065527.6887355854</v>
      </c>
    </row>
    <row r="80" spans="1:42" ht="15.75" x14ac:dyDescent="0.25">
      <c r="A80" s="247">
        <v>9097155</v>
      </c>
      <c r="B80" t="s">
        <v>1770</v>
      </c>
      <c r="C80">
        <v>0</v>
      </c>
      <c r="D80" s="247">
        <v>9097155</v>
      </c>
      <c r="E80" s="247" t="s">
        <v>1219</v>
      </c>
      <c r="F80" s="247" t="s">
        <v>753</v>
      </c>
      <c r="G80" s="247" t="s">
        <v>1218</v>
      </c>
      <c r="H80" s="247">
        <v>9097155</v>
      </c>
      <c r="I80" s="247" t="s">
        <v>1220</v>
      </c>
      <c r="J80" s="247">
        <v>2020</v>
      </c>
      <c r="K80" s="248" t="s">
        <v>1155</v>
      </c>
      <c r="L80" s="247" t="s">
        <v>1156</v>
      </c>
      <c r="M80" s="308">
        <v>8.9</v>
      </c>
      <c r="N80" s="308">
        <v>1.1499999999999999</v>
      </c>
      <c r="O80" s="308">
        <v>7.75</v>
      </c>
      <c r="P80" s="308">
        <v>0</v>
      </c>
      <c r="Q80" s="308">
        <v>0</v>
      </c>
      <c r="R80" s="247">
        <v>0</v>
      </c>
      <c r="S80" s="247">
        <v>85</v>
      </c>
      <c r="T80" s="247">
        <v>0</v>
      </c>
      <c r="U80" s="247">
        <v>0</v>
      </c>
      <c r="W80" s="284">
        <v>8.9</v>
      </c>
      <c r="X80" s="284">
        <v>1.1499999999999999</v>
      </c>
      <c r="Y80" s="284">
        <v>7.75</v>
      </c>
      <c r="Z80" s="284">
        <v>0</v>
      </c>
      <c r="AA80" s="284">
        <v>0</v>
      </c>
      <c r="AB80" s="284">
        <v>0</v>
      </c>
      <c r="AC80" s="284">
        <v>0</v>
      </c>
      <c r="AE80" s="285">
        <v>5138812.1463583903</v>
      </c>
      <c r="AF80" s="286">
        <v>0</v>
      </c>
      <c r="AG80" s="287">
        <v>383178.15666652197</v>
      </c>
      <c r="AH80" s="288">
        <v>0</v>
      </c>
      <c r="AI80" s="289">
        <v>5521990.3030249123</v>
      </c>
      <c r="AJ80" s="266"/>
      <c r="AK80" s="285">
        <v>1075353.0735294118</v>
      </c>
      <c r="AL80" s="286">
        <v>0</v>
      </c>
      <c r="AM80" s="286">
        <v>0</v>
      </c>
      <c r="AN80" s="290">
        <v>0</v>
      </c>
      <c r="AO80" s="289">
        <v>1075353.0735294118</v>
      </c>
      <c r="AP80" s="291">
        <v>4446637.2294955002</v>
      </c>
    </row>
    <row r="81" spans="1:42" ht="15.75" x14ac:dyDescent="0.25">
      <c r="A81" s="247">
        <v>9554713</v>
      </c>
      <c r="B81" t="s">
        <v>1770</v>
      </c>
      <c r="C81">
        <v>0</v>
      </c>
      <c r="D81" s="247">
        <v>9554713</v>
      </c>
      <c r="E81" s="247" t="s">
        <v>792</v>
      </c>
      <c r="F81" s="247" t="s">
        <v>805</v>
      </c>
      <c r="G81" s="247" t="s">
        <v>1162</v>
      </c>
      <c r="H81" s="247">
        <v>9554713</v>
      </c>
      <c r="I81" s="247" t="s">
        <v>1068</v>
      </c>
      <c r="J81" s="247">
        <v>2020</v>
      </c>
      <c r="K81" s="248" t="s">
        <v>1155</v>
      </c>
      <c r="L81" s="247" t="s">
        <v>1156</v>
      </c>
      <c r="M81" s="308">
        <v>2</v>
      </c>
      <c r="N81" s="308">
        <v>0.5</v>
      </c>
      <c r="O81" s="308">
        <v>1.5</v>
      </c>
      <c r="P81" s="308">
        <v>0</v>
      </c>
      <c r="Q81" s="308">
        <v>0</v>
      </c>
      <c r="R81" s="247">
        <v>0</v>
      </c>
      <c r="S81" s="247">
        <v>90</v>
      </c>
      <c r="T81" s="247">
        <v>0</v>
      </c>
      <c r="U81" s="247">
        <v>0</v>
      </c>
      <c r="W81" s="284">
        <v>2</v>
      </c>
      <c r="X81" s="284">
        <v>0.5</v>
      </c>
      <c r="Y81" s="284">
        <v>1.5</v>
      </c>
      <c r="Z81" s="284">
        <v>0</v>
      </c>
      <c r="AA81" s="284">
        <v>0</v>
      </c>
      <c r="AB81" s="284">
        <v>0</v>
      </c>
      <c r="AC81" s="284">
        <v>0</v>
      </c>
      <c r="AE81" s="285">
        <v>1154789.246372672</v>
      </c>
      <c r="AF81" s="286">
        <v>0</v>
      </c>
      <c r="AG81" s="287">
        <v>86107.450936297071</v>
      </c>
      <c r="AH81" s="288">
        <v>0</v>
      </c>
      <c r="AI81" s="289">
        <v>1240896.6973089692</v>
      </c>
      <c r="AJ81" s="266"/>
      <c r="AK81" s="285">
        <v>208132.85294117648</v>
      </c>
      <c r="AL81" s="286">
        <v>0</v>
      </c>
      <c r="AM81" s="286">
        <v>0</v>
      </c>
      <c r="AN81" s="290">
        <v>0</v>
      </c>
      <c r="AO81" s="289">
        <v>208132.85294117648</v>
      </c>
      <c r="AP81" s="291">
        <v>1032763.8443677927</v>
      </c>
    </row>
    <row r="82" spans="1:42" ht="15.75" x14ac:dyDescent="0.25">
      <c r="A82" s="247">
        <v>9554713</v>
      </c>
      <c r="B82" t="s">
        <v>1770</v>
      </c>
      <c r="C82">
        <v>0</v>
      </c>
      <c r="D82" s="247">
        <v>9554713</v>
      </c>
      <c r="E82" s="247" t="s">
        <v>792</v>
      </c>
      <c r="F82" s="247" t="s">
        <v>805</v>
      </c>
      <c r="G82" s="247" t="s">
        <v>1224</v>
      </c>
      <c r="H82" s="247">
        <v>9554713</v>
      </c>
      <c r="I82" s="247" t="s">
        <v>1225</v>
      </c>
      <c r="J82" s="247">
        <v>2020</v>
      </c>
      <c r="K82" s="248" t="s">
        <v>1155</v>
      </c>
      <c r="L82" s="247" t="s">
        <v>1156</v>
      </c>
      <c r="M82" s="308">
        <v>12</v>
      </c>
      <c r="N82" s="308">
        <v>1</v>
      </c>
      <c r="O82" s="308">
        <v>11</v>
      </c>
      <c r="P82" s="308">
        <v>0</v>
      </c>
      <c r="Q82" s="308">
        <v>0</v>
      </c>
      <c r="R82" s="247">
        <v>0</v>
      </c>
      <c r="S82" s="247">
        <v>105</v>
      </c>
      <c r="T82" s="247">
        <v>0</v>
      </c>
      <c r="U82" s="247">
        <v>0</v>
      </c>
      <c r="W82" s="284">
        <v>12</v>
      </c>
      <c r="X82" s="284">
        <v>1</v>
      </c>
      <c r="Y82" s="284">
        <v>11</v>
      </c>
      <c r="Z82" s="284">
        <v>0</v>
      </c>
      <c r="AA82" s="284">
        <v>0</v>
      </c>
      <c r="AB82" s="284">
        <v>0</v>
      </c>
      <c r="AC82" s="284">
        <v>0</v>
      </c>
      <c r="AE82" s="285">
        <v>6928735.4782360326</v>
      </c>
      <c r="AF82" s="286">
        <v>0</v>
      </c>
      <c r="AG82" s="287">
        <v>516644.70561778243</v>
      </c>
      <c r="AH82" s="288">
        <v>0</v>
      </c>
      <c r="AI82" s="289">
        <v>7445380.1838538153</v>
      </c>
      <c r="AJ82" s="266"/>
      <c r="AK82" s="285">
        <v>1526307.5882352942</v>
      </c>
      <c r="AL82" s="286">
        <v>0</v>
      </c>
      <c r="AM82" s="286">
        <v>0</v>
      </c>
      <c r="AN82" s="290">
        <v>0</v>
      </c>
      <c r="AO82" s="289">
        <v>1526307.5882352942</v>
      </c>
      <c r="AP82" s="291">
        <v>5919072.5956185209</v>
      </c>
    </row>
    <row r="83" spans="1:42" ht="15.75" x14ac:dyDescent="0.25">
      <c r="A83" s="247">
        <v>9735411</v>
      </c>
      <c r="B83" t="s">
        <v>1770</v>
      </c>
      <c r="C83">
        <v>0</v>
      </c>
      <c r="D83" s="247">
        <v>9735411</v>
      </c>
      <c r="E83" s="247" t="s">
        <v>386</v>
      </c>
      <c r="F83" s="247" t="s">
        <v>312</v>
      </c>
      <c r="G83" s="247" t="s">
        <v>1174</v>
      </c>
      <c r="H83" s="247">
        <v>9735411</v>
      </c>
      <c r="I83" s="247" t="s">
        <v>1058</v>
      </c>
      <c r="J83" s="247">
        <v>2020</v>
      </c>
      <c r="K83" s="248" t="s">
        <v>1155</v>
      </c>
      <c r="L83" s="247" t="s">
        <v>1156</v>
      </c>
      <c r="M83" s="308">
        <v>31.15</v>
      </c>
      <c r="N83" s="308">
        <v>1.9</v>
      </c>
      <c r="O83" s="308">
        <v>29.25</v>
      </c>
      <c r="P83" s="308">
        <v>0</v>
      </c>
      <c r="Q83" s="308">
        <v>0</v>
      </c>
      <c r="R83" s="247">
        <v>0</v>
      </c>
      <c r="S83" s="247">
        <v>220</v>
      </c>
      <c r="T83" s="247">
        <v>0</v>
      </c>
      <c r="U83" s="247">
        <v>0</v>
      </c>
      <c r="W83" s="284">
        <v>31.15</v>
      </c>
      <c r="X83" s="284">
        <v>1.9</v>
      </c>
      <c r="Y83" s="284">
        <v>29.25</v>
      </c>
      <c r="Z83" s="284">
        <v>0</v>
      </c>
      <c r="AA83" s="284">
        <v>0</v>
      </c>
      <c r="AB83" s="284">
        <v>0</v>
      </c>
      <c r="AC83" s="284">
        <v>0</v>
      </c>
      <c r="AE83" s="285">
        <v>17985842.512254365</v>
      </c>
      <c r="AF83" s="286">
        <v>0</v>
      </c>
      <c r="AG83" s="287">
        <v>1341123.5483328269</v>
      </c>
      <c r="AH83" s="288">
        <v>0</v>
      </c>
      <c r="AI83" s="289">
        <v>19326966.06058719</v>
      </c>
      <c r="AJ83" s="266"/>
      <c r="AK83" s="285">
        <v>4058590.6323529412</v>
      </c>
      <c r="AL83" s="286">
        <v>0</v>
      </c>
      <c r="AM83" s="286">
        <v>0</v>
      </c>
      <c r="AN83" s="290">
        <v>0</v>
      </c>
      <c r="AO83" s="289">
        <v>4058590.6323529412</v>
      </c>
      <c r="AP83" s="291">
        <v>15268375.428234249</v>
      </c>
    </row>
    <row r="84" spans="1:42" ht="15.75" x14ac:dyDescent="0.25">
      <c r="A84" s="251">
        <v>5947102</v>
      </c>
      <c r="B84" t="s">
        <v>1770</v>
      </c>
      <c r="C84">
        <v>0</v>
      </c>
      <c r="D84" s="251">
        <v>5947102</v>
      </c>
      <c r="E84" s="251" t="s">
        <v>760</v>
      </c>
      <c r="F84" s="251" t="s">
        <v>760</v>
      </c>
      <c r="G84" s="251" t="s">
        <v>1231</v>
      </c>
      <c r="H84" s="251">
        <v>5947102</v>
      </c>
      <c r="I84" s="251" t="s">
        <v>1061</v>
      </c>
      <c r="J84" s="247">
        <v>2020</v>
      </c>
      <c r="K84" s="252" t="s">
        <v>1232</v>
      </c>
      <c r="L84" s="251" t="s">
        <v>1125</v>
      </c>
      <c r="M84" s="309">
        <v>0.38</v>
      </c>
      <c r="N84" s="309">
        <v>0.1</v>
      </c>
      <c r="O84" s="309">
        <v>0.28000000000000003</v>
      </c>
      <c r="P84" s="309">
        <v>0</v>
      </c>
      <c r="Q84" s="309">
        <v>0</v>
      </c>
      <c r="R84" s="251">
        <v>0</v>
      </c>
      <c r="S84" s="251">
        <v>78</v>
      </c>
      <c r="T84" s="251">
        <v>0</v>
      </c>
      <c r="U84" s="251">
        <v>0</v>
      </c>
      <c r="W84" s="284">
        <v>0.38</v>
      </c>
      <c r="X84" s="284">
        <v>0.1</v>
      </c>
      <c r="Y84" s="284">
        <v>0.28000000000000003</v>
      </c>
      <c r="Z84" s="284">
        <v>0</v>
      </c>
      <c r="AA84" s="284">
        <v>0</v>
      </c>
      <c r="AB84" s="284">
        <v>0</v>
      </c>
      <c r="AC84" s="284">
        <v>0</v>
      </c>
      <c r="AE84" s="285">
        <v>267734.71481137833</v>
      </c>
      <c r="AF84" s="286">
        <v>0</v>
      </c>
      <c r="AG84" s="287">
        <v>15575.872076290794</v>
      </c>
      <c r="AH84" s="288">
        <v>0</v>
      </c>
      <c r="AI84" s="289">
        <v>283310.58688766911</v>
      </c>
      <c r="AJ84" s="266"/>
      <c r="AK84" s="285">
        <v>34290.599334073253</v>
      </c>
      <c r="AL84" s="286">
        <v>0</v>
      </c>
      <c r="AM84" s="286">
        <v>0</v>
      </c>
      <c r="AN84" s="290">
        <v>0</v>
      </c>
      <c r="AO84" s="289">
        <v>34290.599334073253</v>
      </c>
      <c r="AP84" s="291">
        <v>249019.98755359586</v>
      </c>
    </row>
    <row r="85" spans="1:42" ht="15.75" x14ac:dyDescent="0.25">
      <c r="A85" s="247">
        <v>9577077</v>
      </c>
      <c r="B85" t="s">
        <v>1770</v>
      </c>
      <c r="C85">
        <v>0</v>
      </c>
      <c r="D85" s="247">
        <v>9577077</v>
      </c>
      <c r="E85" s="247" t="s">
        <v>1035</v>
      </c>
      <c r="F85" s="247" t="s">
        <v>1175</v>
      </c>
      <c r="G85" s="247" t="s">
        <v>1233</v>
      </c>
      <c r="H85" s="247">
        <v>9577077</v>
      </c>
      <c r="I85" s="247" t="s">
        <v>1058</v>
      </c>
      <c r="J85" s="247">
        <v>2020</v>
      </c>
      <c r="K85" s="248" t="s">
        <v>1232</v>
      </c>
      <c r="L85" s="247" t="s">
        <v>1125</v>
      </c>
      <c r="M85" s="308">
        <v>5.54</v>
      </c>
      <c r="N85" s="308">
        <v>1.1499999999999999</v>
      </c>
      <c r="O85" s="308">
        <v>4.3899999999999997</v>
      </c>
      <c r="P85" s="308">
        <v>0</v>
      </c>
      <c r="Q85" s="308">
        <v>0</v>
      </c>
      <c r="R85" s="247">
        <v>0</v>
      </c>
      <c r="S85" s="247">
        <v>200</v>
      </c>
      <c r="T85" s="247">
        <v>0</v>
      </c>
      <c r="U85" s="247">
        <v>1</v>
      </c>
      <c r="W85" s="284">
        <v>5.54</v>
      </c>
      <c r="X85" s="284">
        <v>1.1499999999999999</v>
      </c>
      <c r="Y85" s="284">
        <v>4.3899999999999997</v>
      </c>
      <c r="Z85" s="284">
        <v>0</v>
      </c>
      <c r="AA85" s="284">
        <v>0</v>
      </c>
      <c r="AB85" s="284">
        <v>0</v>
      </c>
      <c r="AC85" s="284">
        <v>0</v>
      </c>
      <c r="AE85" s="285">
        <v>3903290.3159343051</v>
      </c>
      <c r="AF85" s="286">
        <v>0</v>
      </c>
      <c r="AG85" s="287">
        <v>227079.81921750263</v>
      </c>
      <c r="AH85" s="288">
        <v>0</v>
      </c>
      <c r="AI85" s="289">
        <v>4130370.1351518077</v>
      </c>
      <c r="AJ85" s="266"/>
      <c r="AK85" s="285">
        <v>537627.61098779133</v>
      </c>
      <c r="AL85" s="286">
        <v>0</v>
      </c>
      <c r="AM85" s="286">
        <v>0</v>
      </c>
      <c r="AN85" s="290">
        <v>0</v>
      </c>
      <c r="AO85" s="289">
        <v>537627.61098779133</v>
      </c>
      <c r="AP85" s="291">
        <v>3592742.5241640164</v>
      </c>
    </row>
    <row r="86" spans="1:42" ht="15.75" x14ac:dyDescent="0.25">
      <c r="A86" s="247">
        <v>9577077</v>
      </c>
      <c r="B86" t="s">
        <v>1770</v>
      </c>
      <c r="C86">
        <v>0</v>
      </c>
      <c r="D86" s="247">
        <v>9577077</v>
      </c>
      <c r="E86" s="247" t="s">
        <v>1035</v>
      </c>
      <c r="F86" s="247" t="s">
        <v>1175</v>
      </c>
      <c r="G86" s="247" t="s">
        <v>1234</v>
      </c>
      <c r="H86" s="247">
        <v>9577077</v>
      </c>
      <c r="I86" s="247" t="s">
        <v>1068</v>
      </c>
      <c r="J86" s="247">
        <v>2020</v>
      </c>
      <c r="K86" s="248" t="s">
        <v>1232</v>
      </c>
      <c r="L86" s="247" t="s">
        <v>1125</v>
      </c>
      <c r="M86" s="308">
        <v>0.41</v>
      </c>
      <c r="N86" s="308">
        <v>0.05</v>
      </c>
      <c r="O86" s="308">
        <v>0.36</v>
      </c>
      <c r="P86" s="308">
        <v>0</v>
      </c>
      <c r="Q86" s="308">
        <v>0</v>
      </c>
      <c r="R86" s="247">
        <v>0</v>
      </c>
      <c r="S86" s="247">
        <v>15</v>
      </c>
      <c r="T86" s="247">
        <v>0</v>
      </c>
      <c r="U86" s="247">
        <v>1</v>
      </c>
      <c r="W86" s="284">
        <v>0.41</v>
      </c>
      <c r="X86" s="284">
        <v>0.05</v>
      </c>
      <c r="Y86" s="284">
        <v>0.36</v>
      </c>
      <c r="Z86" s="284">
        <v>0</v>
      </c>
      <c r="AA86" s="284">
        <v>0</v>
      </c>
      <c r="AB86" s="284">
        <v>0</v>
      </c>
      <c r="AC86" s="284">
        <v>0</v>
      </c>
      <c r="AE86" s="285">
        <v>288871.66598069761</v>
      </c>
      <c r="AF86" s="286">
        <v>0</v>
      </c>
      <c r="AG86" s="287">
        <v>16805.546187576911</v>
      </c>
      <c r="AH86" s="288">
        <v>0</v>
      </c>
      <c r="AI86" s="289">
        <v>305677.21216827451</v>
      </c>
      <c r="AJ86" s="266"/>
      <c r="AK86" s="285">
        <v>44087.913429522749</v>
      </c>
      <c r="AL86" s="286">
        <v>0</v>
      </c>
      <c r="AM86" s="286">
        <v>0</v>
      </c>
      <c r="AN86" s="290">
        <v>0</v>
      </c>
      <c r="AO86" s="289">
        <v>44087.913429522749</v>
      </c>
      <c r="AP86" s="291">
        <v>261589.29873875176</v>
      </c>
    </row>
    <row r="87" spans="1:42" ht="15.75" x14ac:dyDescent="0.25">
      <c r="A87" s="247">
        <v>9577077</v>
      </c>
      <c r="B87" t="s">
        <v>1770</v>
      </c>
      <c r="C87">
        <v>0</v>
      </c>
      <c r="D87" s="247">
        <v>9577077</v>
      </c>
      <c r="E87" s="247" t="s">
        <v>1035</v>
      </c>
      <c r="F87" s="247" t="s">
        <v>1175</v>
      </c>
      <c r="G87" s="247" t="s">
        <v>1235</v>
      </c>
      <c r="H87" s="247">
        <v>9577077</v>
      </c>
      <c r="I87" s="247" t="s">
        <v>1138</v>
      </c>
      <c r="J87" s="247">
        <v>2020</v>
      </c>
      <c r="K87" s="248" t="s">
        <v>1232</v>
      </c>
      <c r="L87" s="247" t="s">
        <v>1125</v>
      </c>
      <c r="M87" s="308">
        <v>0.41</v>
      </c>
      <c r="N87" s="308">
        <v>0.05</v>
      </c>
      <c r="O87" s="308">
        <v>0.36</v>
      </c>
      <c r="P87" s="308">
        <v>0</v>
      </c>
      <c r="Q87" s="308">
        <v>0</v>
      </c>
      <c r="R87" s="247">
        <v>0</v>
      </c>
      <c r="S87" s="247">
        <v>15</v>
      </c>
      <c r="T87" s="247">
        <v>0</v>
      </c>
      <c r="U87" s="247">
        <v>1</v>
      </c>
      <c r="W87" s="284">
        <v>0.41</v>
      </c>
      <c r="X87" s="284">
        <v>0.05</v>
      </c>
      <c r="Y87" s="284">
        <v>0.36</v>
      </c>
      <c r="Z87" s="284">
        <v>0</v>
      </c>
      <c r="AA87" s="284">
        <v>0</v>
      </c>
      <c r="AB87" s="284">
        <v>0</v>
      </c>
      <c r="AC87" s="284">
        <v>0</v>
      </c>
      <c r="AE87" s="285">
        <v>288871.66598069761</v>
      </c>
      <c r="AF87" s="286">
        <v>0</v>
      </c>
      <c r="AG87" s="287">
        <v>16805.546187576911</v>
      </c>
      <c r="AH87" s="288">
        <v>0</v>
      </c>
      <c r="AI87" s="289">
        <v>305677.21216827451</v>
      </c>
      <c r="AJ87" s="266"/>
      <c r="AK87" s="285">
        <v>44087.913429522749</v>
      </c>
      <c r="AL87" s="286">
        <v>0</v>
      </c>
      <c r="AM87" s="286">
        <v>0</v>
      </c>
      <c r="AN87" s="290">
        <v>0</v>
      </c>
      <c r="AO87" s="289">
        <v>44087.913429522749</v>
      </c>
      <c r="AP87" s="291">
        <v>261589.29873875176</v>
      </c>
    </row>
    <row r="88" spans="1:42" ht="15.75" x14ac:dyDescent="0.25">
      <c r="A88" s="247">
        <v>9577077</v>
      </c>
      <c r="B88" t="s">
        <v>1770</v>
      </c>
      <c r="C88">
        <v>0</v>
      </c>
      <c r="D88" s="247">
        <v>9577077</v>
      </c>
      <c r="E88" s="247" t="s">
        <v>1035</v>
      </c>
      <c r="F88" s="247" t="s">
        <v>1175</v>
      </c>
      <c r="G88" s="247" t="s">
        <v>1236</v>
      </c>
      <c r="H88" s="247">
        <v>9577077</v>
      </c>
      <c r="I88" s="247" t="s">
        <v>1073</v>
      </c>
      <c r="J88" s="247">
        <v>2020</v>
      </c>
      <c r="K88" s="248" t="s">
        <v>1232</v>
      </c>
      <c r="L88" s="247" t="s">
        <v>1125</v>
      </c>
      <c r="M88" s="308">
        <v>0.41</v>
      </c>
      <c r="N88" s="308">
        <v>0.05</v>
      </c>
      <c r="O88" s="308">
        <v>0.36</v>
      </c>
      <c r="P88" s="308">
        <v>0</v>
      </c>
      <c r="Q88" s="308">
        <v>0</v>
      </c>
      <c r="R88" s="247">
        <v>0</v>
      </c>
      <c r="S88" s="247">
        <v>20</v>
      </c>
      <c r="T88" s="247">
        <v>0</v>
      </c>
      <c r="U88" s="247">
        <v>2</v>
      </c>
      <c r="W88" s="284">
        <v>0.41</v>
      </c>
      <c r="X88" s="284">
        <v>0.05</v>
      </c>
      <c r="Y88" s="284">
        <v>0.36</v>
      </c>
      <c r="Z88" s="284">
        <v>0</v>
      </c>
      <c r="AA88" s="284">
        <v>0</v>
      </c>
      <c r="AB88" s="284">
        <v>0</v>
      </c>
      <c r="AC88" s="284">
        <v>0</v>
      </c>
      <c r="AE88" s="285">
        <v>288871.66598069761</v>
      </c>
      <c r="AF88" s="286">
        <v>0</v>
      </c>
      <c r="AG88" s="287">
        <v>16805.546187576911</v>
      </c>
      <c r="AH88" s="288">
        <v>0</v>
      </c>
      <c r="AI88" s="289">
        <v>305677.21216827451</v>
      </c>
      <c r="AJ88" s="266"/>
      <c r="AK88" s="285">
        <v>44087.913429522749</v>
      </c>
      <c r="AL88" s="286">
        <v>0</v>
      </c>
      <c r="AM88" s="286">
        <v>0</v>
      </c>
      <c r="AN88" s="290">
        <v>0</v>
      </c>
      <c r="AO88" s="289">
        <v>44087.913429522749</v>
      </c>
      <c r="AP88" s="291">
        <v>261589.29873875176</v>
      </c>
    </row>
    <row r="89" spans="1:42" ht="15.75" x14ac:dyDescent="0.25">
      <c r="A89" s="247">
        <v>3736692</v>
      </c>
      <c r="B89" t="s">
        <v>1770</v>
      </c>
      <c r="C89">
        <v>0</v>
      </c>
      <c r="D89" s="247">
        <v>3736692</v>
      </c>
      <c r="E89" s="247" t="s">
        <v>1239</v>
      </c>
      <c r="F89" s="247" t="s">
        <v>1067</v>
      </c>
      <c r="G89" s="247" t="s">
        <v>1237</v>
      </c>
      <c r="H89" s="247">
        <v>3736692</v>
      </c>
      <c r="I89" s="247" t="s">
        <v>1058</v>
      </c>
      <c r="J89" s="247">
        <v>2020</v>
      </c>
      <c r="K89" s="248" t="s">
        <v>1238</v>
      </c>
      <c r="L89" s="247" t="s">
        <v>1057</v>
      </c>
      <c r="M89" s="308">
        <v>1.25</v>
      </c>
      <c r="N89" s="308">
        <v>0.5</v>
      </c>
      <c r="O89" s="308">
        <v>0.75</v>
      </c>
      <c r="P89" s="308">
        <v>0</v>
      </c>
      <c r="Q89" s="308">
        <v>0</v>
      </c>
      <c r="R89" s="247">
        <v>0</v>
      </c>
      <c r="S89" s="247">
        <v>2</v>
      </c>
      <c r="T89" s="247">
        <v>0</v>
      </c>
      <c r="U89" s="247">
        <v>0</v>
      </c>
      <c r="W89" s="284">
        <v>1.25</v>
      </c>
      <c r="X89" s="284">
        <v>0.5</v>
      </c>
      <c r="Y89" s="284">
        <v>0.75</v>
      </c>
      <c r="Z89" s="284">
        <v>0</v>
      </c>
      <c r="AA89" s="284">
        <v>0</v>
      </c>
      <c r="AB89" s="284">
        <v>0</v>
      </c>
      <c r="AC89" s="284">
        <v>0</v>
      </c>
      <c r="AE89" s="285">
        <v>811223.14477634744</v>
      </c>
      <c r="AF89" s="286">
        <v>0</v>
      </c>
      <c r="AG89" s="287">
        <v>52797.933351892527</v>
      </c>
      <c r="AH89" s="288">
        <v>0</v>
      </c>
      <c r="AI89" s="289">
        <v>864021.07812823995</v>
      </c>
      <c r="AJ89" s="266"/>
      <c r="AK89" s="285">
        <v>64209.269521410584</v>
      </c>
      <c r="AL89" s="286">
        <v>0</v>
      </c>
      <c r="AM89" s="286">
        <v>0</v>
      </c>
      <c r="AN89" s="290">
        <v>0</v>
      </c>
      <c r="AO89" s="289">
        <v>64209.269521410584</v>
      </c>
      <c r="AP89" s="291">
        <v>799811.80860682938</v>
      </c>
    </row>
    <row r="90" spans="1:42" ht="15.75" x14ac:dyDescent="0.25">
      <c r="A90" s="247">
        <v>1378201</v>
      </c>
      <c r="B90" t="s">
        <v>1770</v>
      </c>
      <c r="C90">
        <v>0</v>
      </c>
      <c r="D90" s="247">
        <v>1378201</v>
      </c>
      <c r="E90" s="247" t="s">
        <v>877</v>
      </c>
      <c r="F90" s="247" t="s">
        <v>874</v>
      </c>
      <c r="G90" s="247" t="s">
        <v>1240</v>
      </c>
      <c r="H90" s="247">
        <v>1378201</v>
      </c>
      <c r="I90" s="247" t="s">
        <v>1061</v>
      </c>
      <c r="J90" s="247">
        <v>2020</v>
      </c>
      <c r="K90" s="248" t="s">
        <v>1241</v>
      </c>
      <c r="L90" s="247" t="s">
        <v>1125</v>
      </c>
      <c r="M90" s="308">
        <v>0.75</v>
      </c>
      <c r="N90" s="308">
        <v>0.75</v>
      </c>
      <c r="O90" s="308">
        <v>0</v>
      </c>
      <c r="P90" s="308">
        <v>0</v>
      </c>
      <c r="Q90" s="308">
        <v>0</v>
      </c>
      <c r="R90" s="247">
        <v>0</v>
      </c>
      <c r="S90" s="247">
        <v>8</v>
      </c>
      <c r="T90" s="247">
        <v>0</v>
      </c>
      <c r="U90" s="247">
        <v>0</v>
      </c>
      <c r="W90" s="284">
        <v>0.75</v>
      </c>
      <c r="X90" s="284">
        <v>0.75</v>
      </c>
      <c r="Y90" s="284">
        <v>0</v>
      </c>
      <c r="Z90" s="284">
        <v>0</v>
      </c>
      <c r="AA90" s="284">
        <v>0</v>
      </c>
      <c r="AB90" s="284">
        <v>0</v>
      </c>
      <c r="AC90" s="284">
        <v>0</v>
      </c>
      <c r="AE90" s="285">
        <v>484711.12392183312</v>
      </c>
      <c r="AF90" s="286">
        <v>0</v>
      </c>
      <c r="AG90" s="287">
        <v>11312.048019374999</v>
      </c>
      <c r="AH90" s="288">
        <v>0</v>
      </c>
      <c r="AI90" s="289">
        <v>496023.17194120813</v>
      </c>
      <c r="AJ90" s="266"/>
      <c r="AK90" s="285">
        <v>0</v>
      </c>
      <c r="AL90" s="286">
        <v>0</v>
      </c>
      <c r="AM90" s="286">
        <v>0</v>
      </c>
      <c r="AN90" s="290">
        <v>0</v>
      </c>
      <c r="AO90" s="289">
        <v>0</v>
      </c>
      <c r="AP90" s="291">
        <v>496023.17194120813</v>
      </c>
    </row>
    <row r="91" spans="1:42" ht="15.75" x14ac:dyDescent="0.25">
      <c r="A91" s="247">
        <v>1378201</v>
      </c>
      <c r="B91" t="s">
        <v>1770</v>
      </c>
      <c r="C91">
        <v>0</v>
      </c>
      <c r="D91" s="247">
        <v>1378201</v>
      </c>
      <c r="E91" s="247" t="s">
        <v>877</v>
      </c>
      <c r="F91" s="247" t="s">
        <v>874</v>
      </c>
      <c r="G91" s="247" t="s">
        <v>1243</v>
      </c>
      <c r="H91" s="247">
        <v>1378201</v>
      </c>
      <c r="I91" s="247" t="s">
        <v>1063</v>
      </c>
      <c r="J91" s="247">
        <v>2020</v>
      </c>
      <c r="K91" s="248" t="s">
        <v>1241</v>
      </c>
      <c r="L91" s="247" t="s">
        <v>1125</v>
      </c>
      <c r="M91" s="308">
        <v>2</v>
      </c>
      <c r="N91" s="308">
        <v>0.5</v>
      </c>
      <c r="O91" s="308">
        <v>1.5</v>
      </c>
      <c r="P91" s="308">
        <v>0</v>
      </c>
      <c r="Q91" s="308">
        <v>0</v>
      </c>
      <c r="R91" s="247">
        <v>0</v>
      </c>
      <c r="S91" s="247">
        <v>14</v>
      </c>
      <c r="T91" s="247">
        <v>0</v>
      </c>
      <c r="U91" s="247">
        <v>0</v>
      </c>
      <c r="W91" s="284">
        <v>2</v>
      </c>
      <c r="X91" s="284">
        <v>0.5</v>
      </c>
      <c r="Y91" s="284">
        <v>1.5</v>
      </c>
      <c r="Z91" s="284">
        <v>0</v>
      </c>
      <c r="AA91" s="284">
        <v>0</v>
      </c>
      <c r="AB91" s="284">
        <v>0</v>
      </c>
      <c r="AC91" s="284">
        <v>0</v>
      </c>
      <c r="AE91" s="285">
        <v>1292562.9971248882</v>
      </c>
      <c r="AF91" s="286">
        <v>0</v>
      </c>
      <c r="AG91" s="287">
        <v>30165.461384999999</v>
      </c>
      <c r="AH91" s="288">
        <v>0</v>
      </c>
      <c r="AI91" s="289">
        <v>1322728.4585098883</v>
      </c>
      <c r="AJ91" s="266"/>
      <c r="AK91" s="285">
        <v>160954.14000000001</v>
      </c>
      <c r="AL91" s="286">
        <v>0</v>
      </c>
      <c r="AM91" s="286">
        <v>0</v>
      </c>
      <c r="AN91" s="290">
        <v>0</v>
      </c>
      <c r="AO91" s="289">
        <v>160954.14000000001</v>
      </c>
      <c r="AP91" s="291">
        <v>1161774.3185098884</v>
      </c>
    </row>
    <row r="92" spans="1:42" ht="15.75" x14ac:dyDescent="0.25">
      <c r="A92" s="247">
        <v>1378201</v>
      </c>
      <c r="B92" t="s">
        <v>1770</v>
      </c>
      <c r="C92">
        <v>0</v>
      </c>
      <c r="D92" s="247">
        <v>1378201</v>
      </c>
      <c r="E92" s="247" t="s">
        <v>877</v>
      </c>
      <c r="F92" s="247" t="s">
        <v>874</v>
      </c>
      <c r="G92" s="247" t="s">
        <v>1244</v>
      </c>
      <c r="H92" s="247">
        <v>1378201</v>
      </c>
      <c r="I92" s="247" t="s">
        <v>1073</v>
      </c>
      <c r="J92" s="247">
        <v>2020</v>
      </c>
      <c r="K92" s="248" t="s">
        <v>1241</v>
      </c>
      <c r="L92" s="247" t="s">
        <v>1125</v>
      </c>
      <c r="M92" s="308">
        <v>1.5</v>
      </c>
      <c r="N92" s="308">
        <v>0.5</v>
      </c>
      <c r="O92" s="308">
        <v>1</v>
      </c>
      <c r="P92" s="308">
        <v>0</v>
      </c>
      <c r="Q92" s="308">
        <v>0</v>
      </c>
      <c r="R92" s="247">
        <v>0</v>
      </c>
      <c r="S92" s="247">
        <v>8</v>
      </c>
      <c r="T92" s="247">
        <v>0</v>
      </c>
      <c r="U92" s="247">
        <v>0</v>
      </c>
      <c r="W92" s="284">
        <v>1.5</v>
      </c>
      <c r="X92" s="284">
        <v>0.5</v>
      </c>
      <c r="Y92" s="284">
        <v>1</v>
      </c>
      <c r="Z92" s="284">
        <v>0</v>
      </c>
      <c r="AA92" s="284">
        <v>0</v>
      </c>
      <c r="AB92" s="284">
        <v>0</v>
      </c>
      <c r="AC92" s="300">
        <v>0</v>
      </c>
      <c r="AE92" s="285">
        <v>969422.24784366623</v>
      </c>
      <c r="AF92" s="286">
        <v>0</v>
      </c>
      <c r="AG92" s="287">
        <v>22624.096038749998</v>
      </c>
      <c r="AH92" s="288">
        <v>0</v>
      </c>
      <c r="AI92" s="289">
        <v>992046.34388241626</v>
      </c>
      <c r="AJ92" s="266"/>
      <c r="AK92" s="285">
        <v>107302.76000000001</v>
      </c>
      <c r="AL92" s="286">
        <v>0</v>
      </c>
      <c r="AM92" s="286">
        <v>0</v>
      </c>
      <c r="AN92" s="290">
        <v>0</v>
      </c>
      <c r="AO92" s="289">
        <v>107302.76000000001</v>
      </c>
      <c r="AP92" s="291">
        <v>884743.58388241625</v>
      </c>
    </row>
    <row r="93" spans="1:42" ht="15.75" x14ac:dyDescent="0.25">
      <c r="A93" s="247">
        <v>7846871</v>
      </c>
      <c r="B93" t="s">
        <v>1770</v>
      </c>
      <c r="C93">
        <v>0</v>
      </c>
      <c r="D93" s="247">
        <v>7846871</v>
      </c>
      <c r="E93" s="247" t="s">
        <v>1246</v>
      </c>
      <c r="F93" s="247" t="s">
        <v>1247</v>
      </c>
      <c r="G93" s="247" t="s">
        <v>1245</v>
      </c>
      <c r="H93" s="247">
        <v>7846871</v>
      </c>
      <c r="I93" s="247" t="s">
        <v>1058</v>
      </c>
      <c r="J93" s="247">
        <v>2020</v>
      </c>
      <c r="K93" s="248" t="s">
        <v>1241</v>
      </c>
      <c r="L93" s="247" t="s">
        <v>1125</v>
      </c>
      <c r="M93" s="308">
        <v>4</v>
      </c>
      <c r="N93" s="308">
        <v>3</v>
      </c>
      <c r="O93" s="308">
        <v>1</v>
      </c>
      <c r="P93" s="308">
        <v>0</v>
      </c>
      <c r="Q93" s="308">
        <v>0</v>
      </c>
      <c r="R93" s="247">
        <v>0</v>
      </c>
      <c r="S93" s="247">
        <v>23</v>
      </c>
      <c r="T93" s="247">
        <v>0</v>
      </c>
      <c r="U93" s="247">
        <v>0</v>
      </c>
      <c r="W93" s="284">
        <v>4</v>
      </c>
      <c r="X93" s="284">
        <v>3</v>
      </c>
      <c r="Y93" s="284">
        <v>1</v>
      </c>
      <c r="Z93" s="284">
        <v>0</v>
      </c>
      <c r="AA93" s="284">
        <v>0</v>
      </c>
      <c r="AB93" s="284">
        <v>0</v>
      </c>
      <c r="AC93" s="284">
        <v>0</v>
      </c>
      <c r="AE93" s="285">
        <v>2585125.9942497765</v>
      </c>
      <c r="AF93" s="286">
        <v>0</v>
      </c>
      <c r="AG93" s="287">
        <v>60330.922769999997</v>
      </c>
      <c r="AH93" s="288">
        <v>0</v>
      </c>
      <c r="AI93" s="289">
        <v>2645456.9170197765</v>
      </c>
      <c r="AJ93" s="266"/>
      <c r="AK93" s="285">
        <v>107302.76000000001</v>
      </c>
      <c r="AL93" s="286">
        <v>0</v>
      </c>
      <c r="AM93" s="286">
        <v>0</v>
      </c>
      <c r="AN93" s="290">
        <v>0</v>
      </c>
      <c r="AO93" s="289">
        <v>107302.76000000001</v>
      </c>
      <c r="AP93" s="291">
        <v>2538154.1570197763</v>
      </c>
    </row>
    <row r="94" spans="1:42" ht="15.75" x14ac:dyDescent="0.25">
      <c r="A94" s="247">
        <v>1441233</v>
      </c>
      <c r="B94" t="s">
        <v>1770</v>
      </c>
      <c r="C94">
        <v>0</v>
      </c>
      <c r="D94" s="247">
        <v>1441233</v>
      </c>
      <c r="E94" s="247" t="s">
        <v>1251</v>
      </c>
      <c r="F94" s="247" t="s">
        <v>568</v>
      </c>
      <c r="G94" s="247" t="s">
        <v>1249</v>
      </c>
      <c r="H94" s="247">
        <v>1441233</v>
      </c>
      <c r="I94" s="247" t="s">
        <v>1063</v>
      </c>
      <c r="J94" s="247">
        <v>2020</v>
      </c>
      <c r="K94" s="248" t="s">
        <v>1250</v>
      </c>
      <c r="L94" s="247" t="s">
        <v>1057</v>
      </c>
      <c r="M94" s="308">
        <v>5.35</v>
      </c>
      <c r="N94" s="308">
        <v>0.3</v>
      </c>
      <c r="O94" s="308">
        <v>3.5</v>
      </c>
      <c r="P94" s="308">
        <v>1.55</v>
      </c>
      <c r="Q94" s="308">
        <v>0</v>
      </c>
      <c r="R94" s="247">
        <v>15</v>
      </c>
      <c r="S94" s="247">
        <v>0</v>
      </c>
      <c r="T94" s="247">
        <v>0</v>
      </c>
      <c r="U94" s="247">
        <v>0</v>
      </c>
      <c r="W94" s="284">
        <v>5.35</v>
      </c>
      <c r="X94" s="284">
        <v>0.3</v>
      </c>
      <c r="Y94" s="284">
        <v>3.5</v>
      </c>
      <c r="Z94" s="284">
        <v>1.55</v>
      </c>
      <c r="AA94" s="284">
        <v>0</v>
      </c>
      <c r="AB94" s="284">
        <v>15</v>
      </c>
      <c r="AC94" s="284">
        <v>0</v>
      </c>
      <c r="AE94" s="285">
        <v>3156861.9126591333</v>
      </c>
      <c r="AF94" s="286">
        <v>0</v>
      </c>
      <c r="AG94" s="287">
        <v>846858.424444973</v>
      </c>
      <c r="AH94" s="288">
        <v>464627.53113049403</v>
      </c>
      <c r="AI94" s="289">
        <v>4468347.8682345999</v>
      </c>
      <c r="AJ94" s="266"/>
      <c r="AK94" s="285">
        <v>643270.62243962544</v>
      </c>
      <c r="AL94" s="286">
        <v>0</v>
      </c>
      <c r="AM94" s="286">
        <v>576829.6875</v>
      </c>
      <c r="AN94" s="290">
        <v>358431.75</v>
      </c>
      <c r="AO94" s="289">
        <v>1578532.0599396254</v>
      </c>
      <c r="AP94" s="291">
        <v>2889815.8082949743</v>
      </c>
    </row>
    <row r="95" spans="1:42" ht="15.75" x14ac:dyDescent="0.25">
      <c r="A95" s="247">
        <v>1622964</v>
      </c>
      <c r="B95" t="s">
        <v>1770</v>
      </c>
      <c r="C95">
        <v>0</v>
      </c>
      <c r="D95" s="247">
        <v>1622964</v>
      </c>
      <c r="E95" s="247" t="s">
        <v>684</v>
      </c>
      <c r="F95" s="247" t="s">
        <v>969</v>
      </c>
      <c r="G95" s="247" t="s">
        <v>1252</v>
      </c>
      <c r="H95" s="247">
        <v>1622964</v>
      </c>
      <c r="I95" s="247" t="s">
        <v>1061</v>
      </c>
      <c r="J95" s="247">
        <v>2020</v>
      </c>
      <c r="K95" s="248" t="s">
        <v>1250</v>
      </c>
      <c r="L95" s="247" t="s">
        <v>1057</v>
      </c>
      <c r="M95" s="308">
        <v>6.75</v>
      </c>
      <c r="N95" s="308">
        <v>0.5</v>
      </c>
      <c r="O95" s="308">
        <v>6.25</v>
      </c>
      <c r="P95" s="308">
        <v>0</v>
      </c>
      <c r="Q95" s="308">
        <v>0</v>
      </c>
      <c r="R95" s="247">
        <v>5</v>
      </c>
      <c r="S95" s="247">
        <v>0</v>
      </c>
      <c r="T95" s="247">
        <v>5</v>
      </c>
      <c r="U95" s="247">
        <v>0</v>
      </c>
      <c r="W95" s="284">
        <v>6.75</v>
      </c>
      <c r="X95" s="284">
        <v>0.5</v>
      </c>
      <c r="Y95" s="284">
        <v>6.25</v>
      </c>
      <c r="Z95" s="284">
        <v>0</v>
      </c>
      <c r="AA95" s="284">
        <v>0</v>
      </c>
      <c r="AB95" s="284">
        <v>5</v>
      </c>
      <c r="AC95" s="284">
        <v>5</v>
      </c>
      <c r="AE95" s="285">
        <v>3982956.6187755424</v>
      </c>
      <c r="AF95" s="286">
        <v>0</v>
      </c>
      <c r="AG95" s="287">
        <v>282286.14148165763</v>
      </c>
      <c r="AH95" s="288">
        <v>154875.84371016469</v>
      </c>
      <c r="AI95" s="289">
        <v>4420118.6039673649</v>
      </c>
      <c r="AJ95" s="266"/>
      <c r="AK95" s="285">
        <v>796127.00796983344</v>
      </c>
      <c r="AL95" s="286">
        <v>0</v>
      </c>
      <c r="AM95" s="286">
        <v>192276.5625</v>
      </c>
      <c r="AN95" s="290">
        <v>119477.25</v>
      </c>
      <c r="AO95" s="289">
        <v>1107880.8204698334</v>
      </c>
      <c r="AP95" s="291">
        <v>3312237.7834975314</v>
      </c>
    </row>
    <row r="96" spans="1:42" ht="15.75" x14ac:dyDescent="0.25">
      <c r="A96" s="247">
        <v>1905494</v>
      </c>
      <c r="B96" t="s">
        <v>1770</v>
      </c>
      <c r="C96">
        <v>0</v>
      </c>
      <c r="D96" s="247">
        <v>1905494</v>
      </c>
      <c r="E96" s="247" t="s">
        <v>415</v>
      </c>
      <c r="F96" s="247" t="s">
        <v>415</v>
      </c>
      <c r="G96" s="247" t="s">
        <v>1255</v>
      </c>
      <c r="H96" s="247">
        <v>1905494</v>
      </c>
      <c r="I96" s="247" t="s">
        <v>1058</v>
      </c>
      <c r="J96" s="247">
        <v>2020</v>
      </c>
      <c r="K96" s="248" t="s">
        <v>1250</v>
      </c>
      <c r="L96" s="247" t="s">
        <v>1125</v>
      </c>
      <c r="M96" s="308">
        <v>12.14</v>
      </c>
      <c r="N96" s="308">
        <v>1.1399999999999999</v>
      </c>
      <c r="O96" s="308">
        <v>11</v>
      </c>
      <c r="P96" s="308">
        <v>0</v>
      </c>
      <c r="Q96" s="308">
        <v>0</v>
      </c>
      <c r="R96" s="247">
        <v>22</v>
      </c>
      <c r="S96" s="247">
        <v>0</v>
      </c>
      <c r="T96" s="247">
        <v>0</v>
      </c>
      <c r="U96" s="247">
        <v>0</v>
      </c>
      <c r="W96" s="284">
        <v>12.14</v>
      </c>
      <c r="X96" s="284">
        <v>1.1399999999999999</v>
      </c>
      <c r="Y96" s="284">
        <v>11</v>
      </c>
      <c r="Z96" s="284">
        <v>0</v>
      </c>
      <c r="AA96" s="284">
        <v>0</v>
      </c>
      <c r="AB96" s="284">
        <v>22</v>
      </c>
      <c r="AC96" s="284">
        <v>0</v>
      </c>
      <c r="AE96" s="285">
        <v>7163421.2373237163</v>
      </c>
      <c r="AF96" s="286">
        <v>0</v>
      </c>
      <c r="AG96" s="287">
        <v>1242059.0225192937</v>
      </c>
      <c r="AH96" s="288">
        <v>681453.71232472465</v>
      </c>
      <c r="AI96" s="289">
        <v>9086933.9721677359</v>
      </c>
      <c r="AJ96" s="266"/>
      <c r="AK96" s="285">
        <v>1401183.5340269068</v>
      </c>
      <c r="AL96" s="286">
        <v>0</v>
      </c>
      <c r="AM96" s="286">
        <v>846016.875</v>
      </c>
      <c r="AN96" s="290">
        <v>525699.9</v>
      </c>
      <c r="AO96" s="289">
        <v>2772900.3090269067</v>
      </c>
      <c r="AP96" s="291">
        <v>6314033.6631408297</v>
      </c>
    </row>
    <row r="97" spans="1:44" ht="15.75" x14ac:dyDescent="0.25">
      <c r="A97" s="247">
        <v>2189349</v>
      </c>
      <c r="B97" t="s">
        <v>1770</v>
      </c>
      <c r="C97">
        <v>0</v>
      </c>
      <c r="D97" s="247">
        <v>2189349</v>
      </c>
      <c r="E97" s="247" t="s">
        <v>753</v>
      </c>
      <c r="F97" s="247" t="s">
        <v>753</v>
      </c>
      <c r="G97" s="247" t="s">
        <v>1257</v>
      </c>
      <c r="H97" s="247">
        <v>2189349</v>
      </c>
      <c r="I97" s="247" t="s">
        <v>1058</v>
      </c>
      <c r="J97" s="247">
        <v>2020</v>
      </c>
      <c r="K97" s="248" t="s">
        <v>1250</v>
      </c>
      <c r="L97" s="247" t="s">
        <v>1125</v>
      </c>
      <c r="M97" s="308">
        <v>2.4</v>
      </c>
      <c r="N97" s="308">
        <v>0.25</v>
      </c>
      <c r="O97" s="308">
        <v>2.15</v>
      </c>
      <c r="P97" s="308">
        <v>0</v>
      </c>
      <c r="Q97" s="308">
        <v>0</v>
      </c>
      <c r="R97" s="247">
        <v>0</v>
      </c>
      <c r="S97" s="247">
        <v>0</v>
      </c>
      <c r="T97" s="247">
        <v>2</v>
      </c>
      <c r="U97" s="247">
        <v>0</v>
      </c>
      <c r="W97" s="284">
        <v>2.4</v>
      </c>
      <c r="X97" s="284">
        <v>0.25</v>
      </c>
      <c r="Y97" s="284">
        <v>2.15</v>
      </c>
      <c r="Z97" s="284">
        <v>0</v>
      </c>
      <c r="AA97" s="284">
        <v>0</v>
      </c>
      <c r="AB97" s="284">
        <v>0</v>
      </c>
      <c r="AC97" s="284">
        <v>2</v>
      </c>
      <c r="AE97" s="285">
        <v>1416162.3533424151</v>
      </c>
      <c r="AF97" s="286">
        <v>0</v>
      </c>
      <c r="AG97" s="287">
        <v>0</v>
      </c>
      <c r="AH97" s="288">
        <v>0</v>
      </c>
      <c r="AI97" s="289">
        <v>1416162.3533424151</v>
      </c>
      <c r="AJ97" s="266"/>
      <c r="AK97" s="285">
        <v>273867.6907416227</v>
      </c>
      <c r="AL97" s="286">
        <v>0</v>
      </c>
      <c r="AM97" s="286">
        <v>0</v>
      </c>
      <c r="AN97" s="290">
        <v>0</v>
      </c>
      <c r="AO97" s="289">
        <v>273867.6907416227</v>
      </c>
      <c r="AP97" s="291">
        <v>1142294.6626007925</v>
      </c>
    </row>
    <row r="98" spans="1:44" ht="15.75" x14ac:dyDescent="0.25">
      <c r="A98" s="247">
        <v>9223411</v>
      </c>
      <c r="B98" t="s">
        <v>1770</v>
      </c>
      <c r="C98">
        <v>0</v>
      </c>
      <c r="D98" s="247">
        <v>9223411</v>
      </c>
      <c r="E98" s="247" t="s">
        <v>358</v>
      </c>
      <c r="F98" s="247" t="s">
        <v>358</v>
      </c>
      <c r="G98" s="247" t="s">
        <v>1270</v>
      </c>
      <c r="H98" s="247">
        <v>9223411</v>
      </c>
      <c r="I98" s="247" t="s">
        <v>1087</v>
      </c>
      <c r="J98" s="247">
        <v>2020</v>
      </c>
      <c r="K98" s="248" t="s">
        <v>1250</v>
      </c>
      <c r="L98" s="247" t="s">
        <v>1086</v>
      </c>
      <c r="M98" s="308">
        <v>4.05</v>
      </c>
      <c r="N98" s="308">
        <v>0.75</v>
      </c>
      <c r="O98" s="308">
        <v>1.65</v>
      </c>
      <c r="P98" s="308">
        <v>1.65</v>
      </c>
      <c r="Q98" s="308">
        <v>0</v>
      </c>
      <c r="R98" s="247">
        <v>4</v>
      </c>
      <c r="S98" s="247">
        <v>0</v>
      </c>
      <c r="T98" s="247">
        <v>0</v>
      </c>
      <c r="U98" s="247">
        <v>0</v>
      </c>
      <c r="V98" s="292"/>
      <c r="W98" s="298">
        <v>4.05</v>
      </c>
      <c r="X98" s="298">
        <v>0.75</v>
      </c>
      <c r="Y98" s="298">
        <v>1.65</v>
      </c>
      <c r="Z98" s="298">
        <v>1.65</v>
      </c>
      <c r="AA98" s="298">
        <v>0</v>
      </c>
      <c r="AB98" s="298">
        <v>4</v>
      </c>
      <c r="AC98" s="298">
        <v>0</v>
      </c>
      <c r="AD98" s="292"/>
      <c r="AE98" s="285">
        <v>2389773.9712653253</v>
      </c>
      <c r="AF98" s="302">
        <v>0</v>
      </c>
      <c r="AG98" s="302">
        <v>225828.91318532612</v>
      </c>
      <c r="AH98" s="303">
        <v>123900.67496813175</v>
      </c>
      <c r="AI98" s="303">
        <v>2739503.5594187831</v>
      </c>
      <c r="AJ98" s="304"/>
      <c r="AK98" s="285">
        <v>420355.06020807201</v>
      </c>
      <c r="AL98" s="286">
        <v>0</v>
      </c>
      <c r="AM98" s="286">
        <v>153821.25</v>
      </c>
      <c r="AN98" s="290">
        <v>95581.8</v>
      </c>
      <c r="AO98" s="289">
        <v>669758.110208072</v>
      </c>
      <c r="AP98" s="291">
        <v>2069745.4492107111</v>
      </c>
    </row>
    <row r="99" spans="1:44" ht="15.75" x14ac:dyDescent="0.25">
      <c r="A99" s="247">
        <v>5020855</v>
      </c>
      <c r="B99" t="s">
        <v>1770</v>
      </c>
      <c r="C99">
        <v>0</v>
      </c>
      <c r="D99" s="247">
        <v>5020855</v>
      </c>
      <c r="E99" s="247" t="s">
        <v>1130</v>
      </c>
      <c r="F99" s="247" t="s">
        <v>281</v>
      </c>
      <c r="G99" s="247" t="s">
        <v>1280</v>
      </c>
      <c r="H99" s="247">
        <v>5020855</v>
      </c>
      <c r="I99" s="247" t="s">
        <v>1063</v>
      </c>
      <c r="J99" s="247">
        <v>2020</v>
      </c>
      <c r="K99" s="248" t="s">
        <v>1273</v>
      </c>
      <c r="L99" s="247" t="s">
        <v>1125</v>
      </c>
      <c r="M99" s="308">
        <v>8.51</v>
      </c>
      <c r="N99" s="308">
        <v>1</v>
      </c>
      <c r="O99" s="308">
        <v>6.31</v>
      </c>
      <c r="P99" s="308">
        <v>0</v>
      </c>
      <c r="Q99" s="308">
        <v>1.2</v>
      </c>
      <c r="R99" s="247">
        <v>0</v>
      </c>
      <c r="S99" s="247">
        <v>0</v>
      </c>
      <c r="T99" s="247">
        <v>40</v>
      </c>
      <c r="U99" s="247">
        <v>0</v>
      </c>
      <c r="W99" s="284">
        <v>8.51</v>
      </c>
      <c r="X99" s="284">
        <v>1</v>
      </c>
      <c r="Y99" s="284">
        <v>6.31</v>
      </c>
      <c r="Z99" s="284">
        <v>0</v>
      </c>
      <c r="AA99" s="284">
        <v>1.2</v>
      </c>
      <c r="AB99" s="284">
        <v>0</v>
      </c>
      <c r="AC99" s="284">
        <v>40</v>
      </c>
      <c r="AE99" s="285">
        <v>5083211.0519691082</v>
      </c>
      <c r="AF99" s="286">
        <v>0</v>
      </c>
      <c r="AG99" s="287">
        <v>765297.62245950464</v>
      </c>
      <c r="AH99" s="288">
        <v>21937.672651710258</v>
      </c>
      <c r="AI99" s="289">
        <v>5870446.3470803229</v>
      </c>
      <c r="AJ99" s="266"/>
      <c r="AK99" s="285">
        <v>853143.51</v>
      </c>
      <c r="AL99" s="286">
        <v>0</v>
      </c>
      <c r="AM99" s="286">
        <v>0</v>
      </c>
      <c r="AN99" s="290">
        <v>0</v>
      </c>
      <c r="AO99" s="289">
        <v>853143.51</v>
      </c>
      <c r="AP99" s="291">
        <v>5017302.8370803231</v>
      </c>
      <c r="AR99" s="314">
        <f>AP99/M99*0.8</f>
        <v>471661.84132364974</v>
      </c>
    </row>
    <row r="100" spans="1:44" ht="15.75" x14ac:dyDescent="0.25">
      <c r="A100" s="247">
        <v>1567065</v>
      </c>
      <c r="B100" t="s">
        <v>1770</v>
      </c>
      <c r="C100">
        <v>0</v>
      </c>
      <c r="D100" s="247">
        <v>1567065</v>
      </c>
      <c r="E100" s="247" t="s">
        <v>1283</v>
      </c>
      <c r="F100" s="247" t="s">
        <v>384</v>
      </c>
      <c r="G100" s="247" t="s">
        <v>1281</v>
      </c>
      <c r="H100" s="247">
        <v>1567065</v>
      </c>
      <c r="I100" s="247" t="s">
        <v>1134</v>
      </c>
      <c r="J100" s="247">
        <v>2020</v>
      </c>
      <c r="K100" s="248" t="s">
        <v>1282</v>
      </c>
      <c r="L100" s="247" t="s">
        <v>1156</v>
      </c>
      <c r="M100" s="308">
        <v>1.7</v>
      </c>
      <c r="N100" s="308">
        <v>0.1</v>
      </c>
      <c r="O100" s="308">
        <v>1.6</v>
      </c>
      <c r="P100" s="308">
        <v>0</v>
      </c>
      <c r="Q100" s="308">
        <v>0</v>
      </c>
      <c r="R100" s="247">
        <v>0</v>
      </c>
      <c r="S100" s="247">
        <v>0</v>
      </c>
      <c r="T100" s="247">
        <v>10</v>
      </c>
      <c r="U100" s="247">
        <v>0</v>
      </c>
      <c r="W100" s="284">
        <v>1.7</v>
      </c>
      <c r="X100" s="284">
        <v>0.1</v>
      </c>
      <c r="Y100" s="284">
        <v>1.6</v>
      </c>
      <c r="Z100" s="284">
        <v>0</v>
      </c>
      <c r="AA100" s="284">
        <v>0</v>
      </c>
      <c r="AB100" s="284">
        <v>0</v>
      </c>
      <c r="AC100" s="284">
        <v>10</v>
      </c>
      <c r="AE100" s="285">
        <v>1264421.4666847915</v>
      </c>
      <c r="AF100" s="286">
        <v>0</v>
      </c>
      <c r="AG100" s="287">
        <v>279062.53586309118</v>
      </c>
      <c r="AH100" s="288">
        <v>54769.510519385178</v>
      </c>
      <c r="AI100" s="289">
        <v>1598253.5130672678</v>
      </c>
      <c r="AJ100" s="266"/>
      <c r="AK100" s="285">
        <v>215829.54248366013</v>
      </c>
      <c r="AL100" s="286">
        <v>0</v>
      </c>
      <c r="AM100" s="286">
        <v>0</v>
      </c>
      <c r="AN100" s="290">
        <v>54523.076923076922</v>
      </c>
      <c r="AO100" s="289">
        <v>270352.61940673704</v>
      </c>
      <c r="AP100" s="291">
        <v>1327900.8936605309</v>
      </c>
    </row>
    <row r="101" spans="1:44" ht="15.75" x14ac:dyDescent="0.25">
      <c r="A101" s="247">
        <v>1961902</v>
      </c>
      <c r="B101" t="s">
        <v>1770</v>
      </c>
      <c r="C101">
        <v>0</v>
      </c>
      <c r="D101" s="247">
        <v>1961902</v>
      </c>
      <c r="E101" s="247" t="s">
        <v>1251</v>
      </c>
      <c r="F101" s="247" t="s">
        <v>568</v>
      </c>
      <c r="G101" s="247" t="s">
        <v>1284</v>
      </c>
      <c r="H101" s="247">
        <v>1961902</v>
      </c>
      <c r="I101" s="247" t="s">
        <v>1063</v>
      </c>
      <c r="J101" s="247">
        <v>2020</v>
      </c>
      <c r="K101" s="248" t="s">
        <v>1282</v>
      </c>
      <c r="L101" s="247" t="s">
        <v>1156</v>
      </c>
      <c r="M101" s="308">
        <v>2.94</v>
      </c>
      <c r="N101" s="308">
        <v>0.1</v>
      </c>
      <c r="O101" s="308">
        <v>2.64</v>
      </c>
      <c r="P101" s="308">
        <v>0.2</v>
      </c>
      <c r="Q101" s="308">
        <v>0</v>
      </c>
      <c r="R101" s="247">
        <v>0</v>
      </c>
      <c r="S101" s="247">
        <v>0</v>
      </c>
      <c r="T101" s="247">
        <v>10</v>
      </c>
      <c r="U101" s="247">
        <v>0</v>
      </c>
      <c r="W101" s="284">
        <v>2.94</v>
      </c>
      <c r="X101" s="284">
        <v>0.1</v>
      </c>
      <c r="Y101" s="284">
        <v>2.64</v>
      </c>
      <c r="Z101" s="284">
        <v>0.2</v>
      </c>
      <c r="AA101" s="284">
        <v>0</v>
      </c>
      <c r="AB101" s="284">
        <v>0</v>
      </c>
      <c r="AC101" s="284">
        <v>10</v>
      </c>
      <c r="AE101" s="285">
        <v>2186705.3600313454</v>
      </c>
      <c r="AF101" s="286">
        <v>0</v>
      </c>
      <c r="AG101" s="287">
        <v>279062.53586309118</v>
      </c>
      <c r="AH101" s="288">
        <v>54769.510519385178</v>
      </c>
      <c r="AI101" s="289">
        <v>2520537.406413822</v>
      </c>
      <c r="AJ101" s="266"/>
      <c r="AK101" s="285">
        <v>383097.43790849677</v>
      </c>
      <c r="AL101" s="286">
        <v>0</v>
      </c>
      <c r="AM101" s="286">
        <v>0</v>
      </c>
      <c r="AN101" s="290">
        <v>54523.076923076922</v>
      </c>
      <c r="AO101" s="289">
        <v>437620.5148315737</v>
      </c>
      <c r="AP101" s="291">
        <v>2082916.8915822483</v>
      </c>
    </row>
    <row r="102" spans="1:44" ht="15.75" x14ac:dyDescent="0.25">
      <c r="A102" s="247">
        <v>1961902</v>
      </c>
      <c r="B102" t="s">
        <v>1770</v>
      </c>
      <c r="C102">
        <v>0</v>
      </c>
      <c r="D102" s="247">
        <v>1961902</v>
      </c>
      <c r="E102" s="247" t="s">
        <v>1251</v>
      </c>
      <c r="F102" s="247" t="s">
        <v>568</v>
      </c>
      <c r="G102" s="247" t="s">
        <v>1285</v>
      </c>
      <c r="H102" s="247">
        <v>1961902</v>
      </c>
      <c r="I102" s="247" t="s">
        <v>1063</v>
      </c>
      <c r="J102" s="247">
        <v>2020</v>
      </c>
      <c r="K102" s="248" t="s">
        <v>1282</v>
      </c>
      <c r="L102" s="247" t="s">
        <v>1125</v>
      </c>
      <c r="M102" s="308">
        <v>1.25</v>
      </c>
      <c r="N102" s="308">
        <v>0.1</v>
      </c>
      <c r="O102" s="308">
        <v>0.35</v>
      </c>
      <c r="P102" s="308">
        <v>0</v>
      </c>
      <c r="Q102" s="308">
        <v>0.8</v>
      </c>
      <c r="R102" s="247">
        <v>0</v>
      </c>
      <c r="S102" s="247">
        <v>0</v>
      </c>
      <c r="T102" s="247">
        <v>12</v>
      </c>
      <c r="U102" s="247">
        <v>0</v>
      </c>
      <c r="W102" s="284">
        <v>1.25</v>
      </c>
      <c r="X102" s="284">
        <v>0.1</v>
      </c>
      <c r="Y102" s="284">
        <v>0.35</v>
      </c>
      <c r="Z102" s="284">
        <v>0</v>
      </c>
      <c r="AA102" s="284">
        <v>0.8</v>
      </c>
      <c r="AB102" s="284">
        <v>0</v>
      </c>
      <c r="AC102" s="284">
        <v>12</v>
      </c>
      <c r="AE102" s="285">
        <v>929721.66667999374</v>
      </c>
      <c r="AF102" s="286">
        <v>0</v>
      </c>
      <c r="AG102" s="287">
        <v>334875.04303570942</v>
      </c>
      <c r="AH102" s="288">
        <v>65723.412623262207</v>
      </c>
      <c r="AI102" s="289">
        <v>1330320.1223389653</v>
      </c>
      <c r="AJ102" s="266"/>
      <c r="AK102" s="285">
        <v>155127.4836601307</v>
      </c>
      <c r="AL102" s="286">
        <v>0</v>
      </c>
      <c r="AM102" s="286">
        <v>0</v>
      </c>
      <c r="AN102" s="290">
        <v>65427.692307692312</v>
      </c>
      <c r="AO102" s="289">
        <v>220555.17596782302</v>
      </c>
      <c r="AP102" s="291">
        <v>1109764.9463711423</v>
      </c>
    </row>
    <row r="103" spans="1:44" ht="15.75" x14ac:dyDescent="0.25">
      <c r="A103" s="247">
        <v>2333254</v>
      </c>
      <c r="B103" t="s">
        <v>1770</v>
      </c>
      <c r="C103">
        <v>0</v>
      </c>
      <c r="D103" s="247">
        <v>2333254</v>
      </c>
      <c r="E103" s="247" t="s">
        <v>1287</v>
      </c>
      <c r="F103" s="247" t="s">
        <v>353</v>
      </c>
      <c r="G103" s="247" t="s">
        <v>1286</v>
      </c>
      <c r="H103" s="247">
        <v>2333254</v>
      </c>
      <c r="I103" s="247" t="s">
        <v>1142</v>
      </c>
      <c r="J103" s="247">
        <v>2020</v>
      </c>
      <c r="K103" s="248" t="s">
        <v>1282</v>
      </c>
      <c r="L103" s="247" t="s">
        <v>1125</v>
      </c>
      <c r="M103" s="308">
        <v>3.01</v>
      </c>
      <c r="N103" s="308">
        <v>1</v>
      </c>
      <c r="O103" s="308">
        <v>2</v>
      </c>
      <c r="P103" s="308">
        <v>0</v>
      </c>
      <c r="Q103" s="308">
        <v>0.01</v>
      </c>
      <c r="R103" s="247">
        <v>0</v>
      </c>
      <c r="S103" s="247">
        <v>0</v>
      </c>
      <c r="T103" s="247">
        <v>8</v>
      </c>
      <c r="U103" s="247">
        <v>0</v>
      </c>
      <c r="W103" s="284">
        <v>3.01</v>
      </c>
      <c r="X103" s="284">
        <v>1</v>
      </c>
      <c r="Y103" s="284">
        <v>2</v>
      </c>
      <c r="Z103" s="284">
        <v>0</v>
      </c>
      <c r="AA103" s="284">
        <v>0.01</v>
      </c>
      <c r="AB103" s="284">
        <v>0</v>
      </c>
      <c r="AC103" s="284">
        <v>8</v>
      </c>
      <c r="AE103" s="285">
        <v>2238769.7733654249</v>
      </c>
      <c r="AF103" s="286">
        <v>0</v>
      </c>
      <c r="AG103" s="287">
        <v>223250.02869047294</v>
      </c>
      <c r="AH103" s="288">
        <v>43815.608415508141</v>
      </c>
      <c r="AI103" s="289">
        <v>2505835.4104714063</v>
      </c>
      <c r="AJ103" s="266"/>
      <c r="AK103" s="285">
        <v>271135.86274509801</v>
      </c>
      <c r="AL103" s="286">
        <v>0</v>
      </c>
      <c r="AM103" s="286">
        <v>0</v>
      </c>
      <c r="AN103" s="290">
        <v>43618.461538461539</v>
      </c>
      <c r="AO103" s="289">
        <v>314754.32428355957</v>
      </c>
      <c r="AP103" s="291">
        <v>2191081.086187847</v>
      </c>
    </row>
    <row r="104" spans="1:44" ht="15.75" x14ac:dyDescent="0.25">
      <c r="A104" s="247">
        <v>3673053</v>
      </c>
      <c r="B104" t="s">
        <v>1770</v>
      </c>
      <c r="C104">
        <v>0</v>
      </c>
      <c r="D104" s="247">
        <v>3673053</v>
      </c>
      <c r="E104" s="247" t="s">
        <v>219</v>
      </c>
      <c r="F104" s="247" t="s">
        <v>1145</v>
      </c>
      <c r="G104" s="247" t="s">
        <v>1289</v>
      </c>
      <c r="H104" s="247">
        <v>3673053</v>
      </c>
      <c r="I104" s="247" t="s">
        <v>1068</v>
      </c>
      <c r="J104" s="247">
        <v>2020</v>
      </c>
      <c r="K104" s="248" t="s">
        <v>1282</v>
      </c>
      <c r="L104" s="247" t="s">
        <v>1125</v>
      </c>
      <c r="M104" s="308">
        <v>17.25</v>
      </c>
      <c r="N104" s="308">
        <v>2.65</v>
      </c>
      <c r="O104" s="308">
        <v>13.4</v>
      </c>
      <c r="P104" s="308">
        <v>0</v>
      </c>
      <c r="Q104" s="308">
        <v>1.2</v>
      </c>
      <c r="R104" s="247">
        <v>0</v>
      </c>
      <c r="S104" s="247">
        <v>0</v>
      </c>
      <c r="T104" s="247">
        <v>32</v>
      </c>
      <c r="U104" s="247">
        <v>0</v>
      </c>
      <c r="W104" s="284">
        <v>17.25</v>
      </c>
      <c r="X104" s="284">
        <v>2.65</v>
      </c>
      <c r="Y104" s="284">
        <v>13.4</v>
      </c>
      <c r="Z104" s="284">
        <v>0</v>
      </c>
      <c r="AA104" s="284">
        <v>1.2</v>
      </c>
      <c r="AB104" s="284">
        <v>0</v>
      </c>
      <c r="AC104" s="284">
        <v>32</v>
      </c>
      <c r="AE104" s="285">
        <v>12830159.000183914</v>
      </c>
      <c r="AF104" s="286">
        <v>0</v>
      </c>
      <c r="AG104" s="287">
        <v>893000.11476189177</v>
      </c>
      <c r="AH104" s="288">
        <v>175262.43366203256</v>
      </c>
      <c r="AI104" s="289">
        <v>13898421.548607839</v>
      </c>
      <c r="AJ104" s="266"/>
      <c r="AK104" s="285">
        <v>1969444.5751633984</v>
      </c>
      <c r="AL104" s="286">
        <v>0</v>
      </c>
      <c r="AM104" s="286">
        <v>0</v>
      </c>
      <c r="AN104" s="290">
        <v>174473.84615384616</v>
      </c>
      <c r="AO104" s="289">
        <v>2143918.4213172444</v>
      </c>
      <c r="AP104" s="291">
        <v>11754503.127290595</v>
      </c>
    </row>
    <row r="105" spans="1:44" ht="15.75" x14ac:dyDescent="0.25">
      <c r="A105" s="247">
        <v>5539112</v>
      </c>
      <c r="B105" t="s">
        <v>1770</v>
      </c>
      <c r="C105">
        <v>0</v>
      </c>
      <c r="D105" s="247">
        <v>5539112</v>
      </c>
      <c r="E105" s="247" t="s">
        <v>1113</v>
      </c>
      <c r="F105" s="247" t="s">
        <v>1113</v>
      </c>
      <c r="G105" s="247" t="s">
        <v>1292</v>
      </c>
      <c r="H105" s="247">
        <v>5539112</v>
      </c>
      <c r="I105" s="247" t="s">
        <v>1144</v>
      </c>
      <c r="J105" s="247">
        <v>2020</v>
      </c>
      <c r="K105" s="248" t="s">
        <v>1282</v>
      </c>
      <c r="L105" s="247" t="s">
        <v>1125</v>
      </c>
      <c r="M105" s="308">
        <v>4.2</v>
      </c>
      <c r="N105" s="308">
        <v>0.3</v>
      </c>
      <c r="O105" s="308">
        <v>3.9</v>
      </c>
      <c r="P105" s="308">
        <v>0</v>
      </c>
      <c r="Q105" s="308">
        <v>0</v>
      </c>
      <c r="R105" s="247">
        <v>0</v>
      </c>
      <c r="S105" s="247">
        <v>0</v>
      </c>
      <c r="T105" s="247">
        <v>21</v>
      </c>
      <c r="U105" s="247">
        <v>0</v>
      </c>
      <c r="W105" s="284">
        <v>4.2</v>
      </c>
      <c r="X105" s="284">
        <v>0.3</v>
      </c>
      <c r="Y105" s="284">
        <v>3.9</v>
      </c>
      <c r="Z105" s="284">
        <v>0</v>
      </c>
      <c r="AA105" s="284">
        <v>0</v>
      </c>
      <c r="AB105" s="284">
        <v>0</v>
      </c>
      <c r="AC105" s="284">
        <v>21</v>
      </c>
      <c r="AE105" s="285">
        <v>3123864.8000447792</v>
      </c>
      <c r="AF105" s="286">
        <v>0</v>
      </c>
      <c r="AG105" s="287">
        <v>586031.32531249151</v>
      </c>
      <c r="AH105" s="288">
        <v>115015.97209070886</v>
      </c>
      <c r="AI105" s="289">
        <v>3824912.0974479797</v>
      </c>
      <c r="AJ105" s="266"/>
      <c r="AK105" s="285">
        <v>526084.50980392157</v>
      </c>
      <c r="AL105" s="286">
        <v>0</v>
      </c>
      <c r="AM105" s="286">
        <v>0</v>
      </c>
      <c r="AN105" s="290">
        <v>114498.46153846155</v>
      </c>
      <c r="AO105" s="289">
        <v>640582.97134238307</v>
      </c>
      <c r="AP105" s="291">
        <v>3184329.1261055968</v>
      </c>
    </row>
    <row r="106" spans="1:44" ht="15.75" x14ac:dyDescent="0.25">
      <c r="A106" s="247">
        <v>6041962</v>
      </c>
      <c r="B106" t="s">
        <v>1770</v>
      </c>
      <c r="C106">
        <v>0</v>
      </c>
      <c r="D106" s="247">
        <v>6041962</v>
      </c>
      <c r="E106" s="247" t="s">
        <v>1294</v>
      </c>
      <c r="F106" s="247" t="s">
        <v>922</v>
      </c>
      <c r="G106" s="247" t="s">
        <v>1285</v>
      </c>
      <c r="H106" s="247">
        <v>6041962</v>
      </c>
      <c r="I106" s="247" t="s">
        <v>1063</v>
      </c>
      <c r="J106" s="247">
        <v>2020</v>
      </c>
      <c r="K106" s="248" t="s">
        <v>1282</v>
      </c>
      <c r="L106" s="247" t="s">
        <v>1125</v>
      </c>
      <c r="M106" s="308">
        <v>2.5</v>
      </c>
      <c r="N106" s="308">
        <v>0.5</v>
      </c>
      <c r="O106" s="308">
        <v>2</v>
      </c>
      <c r="P106" s="308">
        <v>0</v>
      </c>
      <c r="Q106" s="308">
        <v>0</v>
      </c>
      <c r="R106" s="247">
        <v>0</v>
      </c>
      <c r="S106" s="247">
        <v>0</v>
      </c>
      <c r="T106" s="247">
        <v>5</v>
      </c>
      <c r="U106" s="247">
        <v>0</v>
      </c>
      <c r="W106" s="284">
        <v>2.5</v>
      </c>
      <c r="X106" s="284">
        <v>0.5</v>
      </c>
      <c r="Y106" s="284">
        <v>2</v>
      </c>
      <c r="Z106" s="284">
        <v>0</v>
      </c>
      <c r="AA106" s="284">
        <v>0</v>
      </c>
      <c r="AB106" s="284">
        <v>0</v>
      </c>
      <c r="AC106" s="284">
        <v>5</v>
      </c>
      <c r="AE106" s="285">
        <v>1859443.3333599875</v>
      </c>
      <c r="AF106" s="286">
        <v>0</v>
      </c>
      <c r="AG106" s="287">
        <v>139531.26793154559</v>
      </c>
      <c r="AH106" s="288">
        <v>27384.755259692589</v>
      </c>
      <c r="AI106" s="289">
        <v>2026359.3565512258</v>
      </c>
      <c r="AJ106" s="266"/>
      <c r="AK106" s="285">
        <v>269786.92810457514</v>
      </c>
      <c r="AL106" s="286">
        <v>0</v>
      </c>
      <c r="AM106" s="286">
        <v>0</v>
      </c>
      <c r="AN106" s="290">
        <v>27261.538461538461</v>
      </c>
      <c r="AO106" s="289">
        <v>297048.46656611358</v>
      </c>
      <c r="AP106" s="291">
        <v>1729310.8899851122</v>
      </c>
    </row>
    <row r="107" spans="1:44" ht="15.75" x14ac:dyDescent="0.25">
      <c r="A107" s="247">
        <v>6684022</v>
      </c>
      <c r="B107" t="s">
        <v>1770</v>
      </c>
      <c r="C107">
        <v>0</v>
      </c>
      <c r="D107" s="247">
        <v>6684022</v>
      </c>
      <c r="E107" s="247" t="s">
        <v>1296</v>
      </c>
      <c r="F107" s="247" t="s">
        <v>1297</v>
      </c>
      <c r="G107" s="247" t="s">
        <v>1295</v>
      </c>
      <c r="H107" s="247">
        <v>6684022</v>
      </c>
      <c r="I107" s="247" t="s">
        <v>1138</v>
      </c>
      <c r="J107" s="247">
        <v>2020</v>
      </c>
      <c r="K107" s="248" t="s">
        <v>1282</v>
      </c>
      <c r="L107" s="247" t="s">
        <v>1125</v>
      </c>
      <c r="M107" s="308">
        <v>7.85</v>
      </c>
      <c r="N107" s="308">
        <v>1</v>
      </c>
      <c r="O107" s="308">
        <v>6.85</v>
      </c>
      <c r="P107" s="308">
        <v>0</v>
      </c>
      <c r="Q107" s="308">
        <v>0</v>
      </c>
      <c r="R107" s="247">
        <v>0</v>
      </c>
      <c r="S107" s="247">
        <v>0</v>
      </c>
      <c r="T107" s="247">
        <v>25</v>
      </c>
      <c r="U107" s="247">
        <v>0</v>
      </c>
      <c r="W107" s="284">
        <v>7.85</v>
      </c>
      <c r="X107" s="284">
        <v>1</v>
      </c>
      <c r="Y107" s="284">
        <v>6.85</v>
      </c>
      <c r="Z107" s="284">
        <v>0</v>
      </c>
      <c r="AA107" s="284">
        <v>0</v>
      </c>
      <c r="AB107" s="284">
        <v>0</v>
      </c>
      <c r="AC107" s="284">
        <v>25</v>
      </c>
      <c r="AE107" s="285">
        <v>5838652.0667503607</v>
      </c>
      <c r="AF107" s="286">
        <v>0</v>
      </c>
      <c r="AG107" s="287">
        <v>697656.33965772798</v>
      </c>
      <c r="AH107" s="288">
        <v>136923.77629846294</v>
      </c>
      <c r="AI107" s="289">
        <v>6673232.1827065516</v>
      </c>
      <c r="AJ107" s="266"/>
      <c r="AK107" s="285">
        <v>924020.2287581698</v>
      </c>
      <c r="AL107" s="286">
        <v>0</v>
      </c>
      <c r="AM107" s="286">
        <v>0</v>
      </c>
      <c r="AN107" s="290">
        <v>136307.69230769231</v>
      </c>
      <c r="AO107" s="289">
        <v>1060327.9210658621</v>
      </c>
      <c r="AP107" s="291">
        <v>5612904.2616406893</v>
      </c>
    </row>
    <row r="108" spans="1:44" ht="15.75" x14ac:dyDescent="0.25">
      <c r="A108" s="247">
        <v>7268793</v>
      </c>
      <c r="B108" t="s">
        <v>1770</v>
      </c>
      <c r="C108">
        <v>0</v>
      </c>
      <c r="D108" s="247">
        <v>7268793</v>
      </c>
      <c r="E108" s="247" t="s">
        <v>1299</v>
      </c>
      <c r="F108" s="247" t="s">
        <v>312</v>
      </c>
      <c r="G108" s="247" t="s">
        <v>1298</v>
      </c>
      <c r="H108" s="247">
        <v>7268793</v>
      </c>
      <c r="I108" s="247" t="s">
        <v>1058</v>
      </c>
      <c r="J108" s="247">
        <v>2020</v>
      </c>
      <c r="K108" s="248" t="s">
        <v>1282</v>
      </c>
      <c r="L108" s="247" t="s">
        <v>1156</v>
      </c>
      <c r="M108" s="308">
        <v>5.75</v>
      </c>
      <c r="N108" s="308">
        <v>0.5</v>
      </c>
      <c r="O108" s="308">
        <v>5.25</v>
      </c>
      <c r="P108" s="308">
        <v>0</v>
      </c>
      <c r="Q108" s="308">
        <v>0</v>
      </c>
      <c r="R108" s="247">
        <v>0</v>
      </c>
      <c r="S108" s="247">
        <v>0</v>
      </c>
      <c r="T108" s="247">
        <v>20</v>
      </c>
      <c r="U108" s="247">
        <v>0</v>
      </c>
      <c r="W108" s="284">
        <v>5.75</v>
      </c>
      <c r="X108" s="284">
        <v>0.5</v>
      </c>
      <c r="Y108" s="284">
        <v>5.25</v>
      </c>
      <c r="Z108" s="284">
        <v>0</v>
      </c>
      <c r="AA108" s="284">
        <v>0</v>
      </c>
      <c r="AB108" s="284">
        <v>0</v>
      </c>
      <c r="AC108" s="284">
        <v>20</v>
      </c>
      <c r="AE108" s="285">
        <v>4276719.6667279713</v>
      </c>
      <c r="AF108" s="286">
        <v>0</v>
      </c>
      <c r="AG108" s="287">
        <v>558125.07172618236</v>
      </c>
      <c r="AH108" s="288">
        <v>109539.02103877036</v>
      </c>
      <c r="AI108" s="289">
        <v>4944383.7594929244</v>
      </c>
      <c r="AJ108" s="266"/>
      <c r="AK108" s="285">
        <v>708190.68627450976</v>
      </c>
      <c r="AL108" s="286">
        <v>0</v>
      </c>
      <c r="AM108" s="286">
        <v>0</v>
      </c>
      <c r="AN108" s="290">
        <v>109046.15384615384</v>
      </c>
      <c r="AO108" s="289">
        <v>817236.84012066363</v>
      </c>
      <c r="AP108" s="291">
        <v>4127146.9193722606</v>
      </c>
    </row>
    <row r="109" spans="1:44" ht="15.75" x14ac:dyDescent="0.25">
      <c r="A109" s="247">
        <v>8979890</v>
      </c>
      <c r="B109" t="s">
        <v>1770</v>
      </c>
      <c r="C109">
        <v>0</v>
      </c>
      <c r="D109" s="247">
        <v>8979890</v>
      </c>
      <c r="E109" s="247" t="s">
        <v>389</v>
      </c>
      <c r="F109" s="247" t="s">
        <v>969</v>
      </c>
      <c r="G109" s="247" t="s">
        <v>1301</v>
      </c>
      <c r="H109" s="247">
        <v>8979890</v>
      </c>
      <c r="I109" s="247" t="s">
        <v>1061</v>
      </c>
      <c r="J109" s="247">
        <v>2020</v>
      </c>
      <c r="K109" s="248" t="s">
        <v>1282</v>
      </c>
      <c r="L109" s="247" t="s">
        <v>1125</v>
      </c>
      <c r="M109" s="308">
        <v>5.5</v>
      </c>
      <c r="N109" s="308">
        <v>0.5</v>
      </c>
      <c r="O109" s="308">
        <v>5</v>
      </c>
      <c r="P109" s="308">
        <v>0</v>
      </c>
      <c r="Q109" s="308">
        <v>0</v>
      </c>
      <c r="R109" s="247">
        <v>0</v>
      </c>
      <c r="S109" s="247">
        <v>0</v>
      </c>
      <c r="T109" s="247">
        <v>17</v>
      </c>
      <c r="U109" s="247">
        <v>0</v>
      </c>
      <c r="W109" s="284">
        <v>5.5</v>
      </c>
      <c r="X109" s="284">
        <v>0.5</v>
      </c>
      <c r="Y109" s="284">
        <v>5</v>
      </c>
      <c r="Z109" s="284">
        <v>0</v>
      </c>
      <c r="AA109" s="284">
        <v>0</v>
      </c>
      <c r="AB109" s="284">
        <v>0</v>
      </c>
      <c r="AC109" s="284">
        <v>17</v>
      </c>
      <c r="AE109" s="285">
        <v>4090775.3333919728</v>
      </c>
      <c r="AF109" s="286">
        <v>0</v>
      </c>
      <c r="AG109" s="287">
        <v>474406.31096725503</v>
      </c>
      <c r="AH109" s="288">
        <v>93108.167882954804</v>
      </c>
      <c r="AI109" s="289">
        <v>4658289.8122421829</v>
      </c>
      <c r="AJ109" s="266"/>
      <c r="AK109" s="285">
        <v>674467.32026143791</v>
      </c>
      <c r="AL109" s="286">
        <v>0</v>
      </c>
      <c r="AM109" s="286">
        <v>0</v>
      </c>
      <c r="AN109" s="290">
        <v>92689.230769230766</v>
      </c>
      <c r="AO109" s="289">
        <v>767156.55103066866</v>
      </c>
      <c r="AP109" s="291">
        <v>3891133.2612115145</v>
      </c>
    </row>
    <row r="110" spans="1:44" ht="15.75" x14ac:dyDescent="0.25">
      <c r="A110" s="247">
        <v>9268423</v>
      </c>
      <c r="B110" t="s">
        <v>1770</v>
      </c>
      <c r="C110">
        <v>0</v>
      </c>
      <c r="D110" s="247">
        <v>9268423</v>
      </c>
      <c r="E110" s="247" t="s">
        <v>1010</v>
      </c>
      <c r="F110" s="247" t="s">
        <v>1010</v>
      </c>
      <c r="G110" s="247" t="s">
        <v>1302</v>
      </c>
      <c r="H110" s="247">
        <v>9268423</v>
      </c>
      <c r="I110" s="247" t="s">
        <v>1058</v>
      </c>
      <c r="J110" s="247">
        <v>2020</v>
      </c>
      <c r="K110" s="248" t="s">
        <v>1282</v>
      </c>
      <c r="L110" s="247" t="s">
        <v>1125</v>
      </c>
      <c r="M110" s="308">
        <v>17.399999999999999</v>
      </c>
      <c r="N110" s="308">
        <v>0.7</v>
      </c>
      <c r="O110" s="308">
        <v>12.43</v>
      </c>
      <c r="P110" s="308">
        <v>0</v>
      </c>
      <c r="Q110" s="308">
        <v>4.2699999999999996</v>
      </c>
      <c r="R110" s="247">
        <v>0</v>
      </c>
      <c r="S110" s="247">
        <v>0</v>
      </c>
      <c r="T110" s="247">
        <v>41</v>
      </c>
      <c r="U110" s="247">
        <v>0</v>
      </c>
      <c r="W110" s="284">
        <v>17.399999999999999</v>
      </c>
      <c r="X110" s="284">
        <v>0.7</v>
      </c>
      <c r="Y110" s="284">
        <v>12.43</v>
      </c>
      <c r="Z110" s="284">
        <v>0</v>
      </c>
      <c r="AA110" s="284">
        <v>4.2699999999999996</v>
      </c>
      <c r="AB110" s="284">
        <v>0</v>
      </c>
      <c r="AC110" s="284">
        <v>41</v>
      </c>
      <c r="AE110" s="285">
        <v>12941725.600185513</v>
      </c>
      <c r="AF110" s="286">
        <v>0</v>
      </c>
      <c r="AG110" s="287">
        <v>1144156.3970386737</v>
      </c>
      <c r="AH110" s="288">
        <v>224554.99312947923</v>
      </c>
      <c r="AI110" s="289">
        <v>14310436.990353666</v>
      </c>
      <c r="AJ110" s="266"/>
      <c r="AK110" s="285">
        <v>2252720.8496732023</v>
      </c>
      <c r="AL110" s="286">
        <v>0</v>
      </c>
      <c r="AM110" s="286">
        <v>0</v>
      </c>
      <c r="AN110" s="290">
        <v>223544.61538461538</v>
      </c>
      <c r="AO110" s="289">
        <v>2476265.4650578178</v>
      </c>
      <c r="AP110" s="291">
        <v>11834171.525295848</v>
      </c>
    </row>
    <row r="111" spans="1:44" ht="15.75" x14ac:dyDescent="0.25">
      <c r="A111" s="317" t="s">
        <v>1153</v>
      </c>
      <c r="B111" t="s">
        <v>1770</v>
      </c>
      <c r="C111">
        <v>0</v>
      </c>
      <c r="D111" s="317" t="s">
        <v>1153</v>
      </c>
      <c r="E111" s="258" t="s">
        <v>389</v>
      </c>
      <c r="F111" s="258" t="s">
        <v>760</v>
      </c>
      <c r="G111" s="258" t="s">
        <v>1301</v>
      </c>
      <c r="H111" s="317" t="s">
        <v>1153</v>
      </c>
      <c r="I111" s="251" t="s">
        <v>1061</v>
      </c>
      <c r="J111" s="247">
        <v>2020</v>
      </c>
      <c r="K111" s="252" t="s">
        <v>1282</v>
      </c>
      <c r="L111" s="251" t="s">
        <v>1125</v>
      </c>
      <c r="M111" s="251">
        <v>2.6</v>
      </c>
      <c r="N111" s="251">
        <v>0.2</v>
      </c>
      <c r="O111" s="251">
        <v>2.2999999999999998</v>
      </c>
      <c r="P111" s="251">
        <v>0.1</v>
      </c>
      <c r="Q111" s="251">
        <v>0</v>
      </c>
      <c r="R111" s="251">
        <v>0</v>
      </c>
      <c r="S111" s="251">
        <v>0</v>
      </c>
      <c r="T111" s="251">
        <v>8</v>
      </c>
      <c r="U111" s="251">
        <v>0</v>
      </c>
      <c r="W111" s="284">
        <v>2.6</v>
      </c>
      <c r="X111" s="284">
        <v>0.2</v>
      </c>
      <c r="Y111" s="284">
        <v>2.2999999999999998</v>
      </c>
      <c r="Z111" s="284">
        <v>0.1</v>
      </c>
      <c r="AA111" s="284">
        <v>0</v>
      </c>
      <c r="AB111" s="284">
        <v>0</v>
      </c>
      <c r="AC111" s="284">
        <v>8</v>
      </c>
      <c r="AE111" s="285">
        <v>1933821.0666943872</v>
      </c>
      <c r="AF111" s="286">
        <v>0</v>
      </c>
      <c r="AG111" s="287">
        <v>223250.02869047294</v>
      </c>
      <c r="AH111" s="288">
        <v>43815.608415508141</v>
      </c>
      <c r="AI111" s="289">
        <v>2200886.7038003686</v>
      </c>
      <c r="AJ111" s="266"/>
      <c r="AK111" s="285">
        <v>323744.31372549018</v>
      </c>
      <c r="AL111" s="286">
        <v>0</v>
      </c>
      <c r="AM111" s="286">
        <v>0</v>
      </c>
      <c r="AN111" s="290">
        <v>43618.461538461539</v>
      </c>
      <c r="AO111" s="289">
        <v>367362.77526395174</v>
      </c>
      <c r="AP111" s="291">
        <v>1833523.928536417</v>
      </c>
    </row>
    <row r="112" spans="1:44" ht="15.75" x14ac:dyDescent="0.25">
      <c r="A112" s="247">
        <v>2499134</v>
      </c>
      <c r="B112" t="s">
        <v>1770</v>
      </c>
      <c r="C112">
        <v>0</v>
      </c>
      <c r="D112" s="247">
        <v>2499134</v>
      </c>
      <c r="E112" s="247" t="s">
        <v>1251</v>
      </c>
      <c r="F112" s="247" t="s">
        <v>568</v>
      </c>
      <c r="G112" s="247" t="s">
        <v>1306</v>
      </c>
      <c r="H112" s="247">
        <v>2499134</v>
      </c>
      <c r="I112" s="247" t="s">
        <v>1063</v>
      </c>
      <c r="J112" s="247">
        <v>2020</v>
      </c>
      <c r="K112" s="248" t="s">
        <v>1307</v>
      </c>
      <c r="L112" s="247" t="s">
        <v>1057</v>
      </c>
      <c r="M112" s="308">
        <v>4.55</v>
      </c>
      <c r="N112" s="308">
        <v>0.2</v>
      </c>
      <c r="O112" s="308">
        <v>2</v>
      </c>
      <c r="P112" s="308">
        <v>1.55</v>
      </c>
      <c r="Q112" s="308">
        <v>0.8</v>
      </c>
      <c r="R112" s="247">
        <v>9</v>
      </c>
      <c r="S112" s="247">
        <v>0</v>
      </c>
      <c r="T112" s="247">
        <v>0</v>
      </c>
      <c r="U112" s="247">
        <v>0</v>
      </c>
      <c r="W112" s="284">
        <v>4.55</v>
      </c>
      <c r="X112" s="284">
        <v>0.2</v>
      </c>
      <c r="Y112" s="284">
        <v>2</v>
      </c>
      <c r="Z112" s="284">
        <v>1.55</v>
      </c>
      <c r="AA112" s="284">
        <v>0.8</v>
      </c>
      <c r="AB112" s="284">
        <v>9</v>
      </c>
      <c r="AC112" s="284">
        <v>0</v>
      </c>
      <c r="AE112" s="285">
        <v>2749704.2868752903</v>
      </c>
      <c r="AF112" s="286">
        <v>1165177.803796771</v>
      </c>
      <c r="AG112" s="287">
        <v>755004.08042554231</v>
      </c>
      <c r="AH112" s="288">
        <v>322002.60685724026</v>
      </c>
      <c r="AI112" s="289">
        <v>4991888.7779548438</v>
      </c>
      <c r="AJ112" s="266"/>
      <c r="AK112" s="285">
        <v>588986</v>
      </c>
      <c r="AL112" s="286">
        <v>0</v>
      </c>
      <c r="AM112" s="286">
        <v>277020</v>
      </c>
      <c r="AN112" s="290">
        <v>233260</v>
      </c>
      <c r="AO112" s="289">
        <v>1099266</v>
      </c>
      <c r="AP112" s="291">
        <v>3892622.7779548438</v>
      </c>
    </row>
    <row r="113" spans="1:42" ht="15.75" x14ac:dyDescent="0.25">
      <c r="A113" s="247">
        <v>9264829</v>
      </c>
      <c r="B113" t="s">
        <v>1770</v>
      </c>
      <c r="C113">
        <v>0</v>
      </c>
      <c r="D113" s="247">
        <v>9264829</v>
      </c>
      <c r="E113" s="247" t="s">
        <v>358</v>
      </c>
      <c r="F113" s="247" t="s">
        <v>358</v>
      </c>
      <c r="G113" s="247" t="s">
        <v>1314</v>
      </c>
      <c r="H113" s="247">
        <v>9264829</v>
      </c>
      <c r="I113" s="247" t="s">
        <v>1087</v>
      </c>
      <c r="J113" s="247">
        <v>2020</v>
      </c>
      <c r="K113" s="248" t="s">
        <v>1311</v>
      </c>
      <c r="L113" s="247" t="s">
        <v>1086</v>
      </c>
      <c r="M113" s="308">
        <v>13.95</v>
      </c>
      <c r="N113" s="308">
        <v>0.75</v>
      </c>
      <c r="O113" s="308">
        <v>6.6</v>
      </c>
      <c r="P113" s="308">
        <v>6.6</v>
      </c>
      <c r="Q113" s="308">
        <v>0</v>
      </c>
      <c r="R113" s="247">
        <v>16</v>
      </c>
      <c r="S113" s="247">
        <v>0</v>
      </c>
      <c r="T113" s="247">
        <v>0</v>
      </c>
      <c r="U113" s="247">
        <v>0</v>
      </c>
      <c r="W113" s="284">
        <v>13.95</v>
      </c>
      <c r="X113" s="284">
        <v>0.75</v>
      </c>
      <c r="Y113" s="284">
        <v>6.6</v>
      </c>
      <c r="Z113" s="284">
        <v>6.6</v>
      </c>
      <c r="AA113" s="284">
        <v>0</v>
      </c>
      <c r="AB113" s="284">
        <v>16</v>
      </c>
      <c r="AC113" s="284">
        <v>0</v>
      </c>
      <c r="AE113" s="285">
        <v>4917183.0138214463</v>
      </c>
      <c r="AF113" s="286">
        <v>5604756.0172434943</v>
      </c>
      <c r="AG113" s="287">
        <v>1683061.4635967154</v>
      </c>
      <c r="AH113" s="288">
        <v>1081053.4801362108</v>
      </c>
      <c r="AI113" s="289">
        <v>13286053.974797865</v>
      </c>
      <c r="AJ113" s="266"/>
      <c r="AK113" s="285">
        <v>1697925.6941176471</v>
      </c>
      <c r="AL113" s="286">
        <v>421595.60784313723</v>
      </c>
      <c r="AM113" s="286">
        <v>765364.21052631584</v>
      </c>
      <c r="AN113" s="290">
        <v>724314.4</v>
      </c>
      <c r="AO113" s="289">
        <v>3609199.9124871003</v>
      </c>
      <c r="AP113" s="291">
        <v>9676854.0623107646</v>
      </c>
    </row>
    <row r="114" spans="1:42" ht="15.75" x14ac:dyDescent="0.25">
      <c r="A114" s="247">
        <v>5894253</v>
      </c>
      <c r="B114" t="s">
        <v>1770</v>
      </c>
      <c r="C114">
        <v>0</v>
      </c>
      <c r="D114" s="247">
        <v>5894253</v>
      </c>
      <c r="E114" s="247" t="s">
        <v>1328</v>
      </c>
      <c r="F114" s="247" t="s">
        <v>821</v>
      </c>
      <c r="G114" s="247" t="s">
        <v>1317</v>
      </c>
      <c r="H114" s="247">
        <v>5894253</v>
      </c>
      <c r="I114" s="247" t="s">
        <v>1068</v>
      </c>
      <c r="J114" s="247">
        <v>2020</v>
      </c>
      <c r="K114" s="248" t="s">
        <v>1316</v>
      </c>
      <c r="L114" s="247" t="s">
        <v>1125</v>
      </c>
      <c r="M114" s="308">
        <v>11</v>
      </c>
      <c r="N114" s="308">
        <v>1</v>
      </c>
      <c r="O114" s="308">
        <v>7</v>
      </c>
      <c r="P114" s="308">
        <v>3</v>
      </c>
      <c r="Q114" s="308">
        <v>0</v>
      </c>
      <c r="R114" s="247">
        <v>25</v>
      </c>
      <c r="S114" s="247">
        <v>0</v>
      </c>
      <c r="T114" s="247">
        <v>0</v>
      </c>
      <c r="U114" s="247">
        <v>0</v>
      </c>
      <c r="W114" s="284">
        <v>11</v>
      </c>
      <c r="X114" s="284">
        <v>1</v>
      </c>
      <c r="Y114" s="284">
        <v>7</v>
      </c>
      <c r="Z114" s="284">
        <v>3</v>
      </c>
      <c r="AA114" s="284">
        <v>0</v>
      </c>
      <c r="AB114" s="284">
        <v>25</v>
      </c>
      <c r="AC114" s="284">
        <v>0</v>
      </c>
      <c r="AE114" s="285">
        <v>5452330.9407386649</v>
      </c>
      <c r="AF114" s="286">
        <v>2544271.7621967425</v>
      </c>
      <c r="AG114" s="287">
        <v>2532822.4847333198</v>
      </c>
      <c r="AH114" s="288">
        <v>1775503.430247556</v>
      </c>
      <c r="AI114" s="289">
        <v>12304928.617916282</v>
      </c>
      <c r="AJ114" s="266"/>
      <c r="AK114" s="285">
        <v>2806762.1288965857</v>
      </c>
      <c r="AL114" s="286">
        <v>731121.7190016103</v>
      </c>
      <c r="AM114" s="286">
        <v>1923094.3656422379</v>
      </c>
      <c r="AN114" s="290">
        <v>1271926.5739889706</v>
      </c>
      <c r="AO114" s="289">
        <v>6732904.7875294043</v>
      </c>
      <c r="AP114" s="291">
        <v>5572023.830386878</v>
      </c>
    </row>
    <row r="115" spans="1:42" ht="15.75" x14ac:dyDescent="0.25">
      <c r="A115" s="247">
        <v>7857005</v>
      </c>
      <c r="B115" t="s">
        <v>1770</v>
      </c>
      <c r="C115">
        <v>0</v>
      </c>
      <c r="D115" s="247">
        <v>7857005</v>
      </c>
      <c r="E115" s="247" t="s">
        <v>1332</v>
      </c>
      <c r="F115" s="247" t="s">
        <v>384</v>
      </c>
      <c r="G115" s="247" t="s">
        <v>1325</v>
      </c>
      <c r="H115" s="247">
        <v>7857005</v>
      </c>
      <c r="I115" s="247" t="s">
        <v>1134</v>
      </c>
      <c r="J115" s="247">
        <v>2020</v>
      </c>
      <c r="K115" s="248" t="s">
        <v>1316</v>
      </c>
      <c r="L115" s="247" t="s">
        <v>1125</v>
      </c>
      <c r="M115" s="308">
        <v>10.775</v>
      </c>
      <c r="N115" s="308">
        <v>0.375</v>
      </c>
      <c r="O115" s="308">
        <v>7.9</v>
      </c>
      <c r="P115" s="308">
        <v>2.5</v>
      </c>
      <c r="Q115" s="308">
        <v>0</v>
      </c>
      <c r="R115" s="247">
        <v>23</v>
      </c>
      <c r="S115" s="247">
        <v>0</v>
      </c>
      <c r="T115" s="247">
        <v>0</v>
      </c>
      <c r="U115" s="247">
        <v>0</v>
      </c>
      <c r="W115" s="284">
        <v>10.775</v>
      </c>
      <c r="X115" s="284">
        <v>0.375</v>
      </c>
      <c r="Y115" s="284">
        <v>7.9</v>
      </c>
      <c r="Z115" s="284">
        <v>2.5</v>
      </c>
      <c r="AA115" s="284">
        <v>0</v>
      </c>
      <c r="AB115" s="284">
        <v>23</v>
      </c>
      <c r="AC115" s="284">
        <v>0</v>
      </c>
      <c r="AE115" s="285">
        <v>5639754.8168265568</v>
      </c>
      <c r="AF115" s="286">
        <v>2120226.4684972856</v>
      </c>
      <c r="AG115" s="287">
        <v>2330196.6859546546</v>
      </c>
      <c r="AH115" s="288">
        <v>1633463.1558277516</v>
      </c>
      <c r="AI115" s="289">
        <v>11723641.127106247</v>
      </c>
      <c r="AJ115" s="266"/>
      <c r="AK115" s="285">
        <v>2582221.1585848588</v>
      </c>
      <c r="AL115" s="286">
        <v>672631.98148148146</v>
      </c>
      <c r="AM115" s="286">
        <v>1769246.816390859</v>
      </c>
      <c r="AN115" s="290">
        <v>1170172.448069853</v>
      </c>
      <c r="AO115" s="289">
        <v>6194272.4045270523</v>
      </c>
      <c r="AP115" s="291">
        <v>5529368.7225791952</v>
      </c>
    </row>
    <row r="116" spans="1:42" ht="15.75" x14ac:dyDescent="0.25">
      <c r="A116" s="247">
        <v>8936486</v>
      </c>
      <c r="B116" t="s">
        <v>1770</v>
      </c>
      <c r="C116">
        <v>0</v>
      </c>
      <c r="D116" s="247">
        <v>8936486</v>
      </c>
      <c r="E116" s="247" t="s">
        <v>1332</v>
      </c>
      <c r="F116" s="247" t="s">
        <v>384</v>
      </c>
      <c r="G116" s="247" t="s">
        <v>1344</v>
      </c>
      <c r="H116" s="247">
        <v>8936486</v>
      </c>
      <c r="I116" s="247" t="s">
        <v>1073</v>
      </c>
      <c r="J116" s="247">
        <v>2020</v>
      </c>
      <c r="K116" s="248" t="s">
        <v>1336</v>
      </c>
      <c r="L116" s="247" t="s">
        <v>1057</v>
      </c>
      <c r="M116" s="308">
        <v>7.2</v>
      </c>
      <c r="N116" s="308">
        <v>0.15</v>
      </c>
      <c r="O116" s="308">
        <v>4.25</v>
      </c>
      <c r="P116" s="308">
        <v>2.8</v>
      </c>
      <c r="Q116" s="308">
        <v>0</v>
      </c>
      <c r="R116" s="247">
        <v>10</v>
      </c>
      <c r="S116" s="247">
        <v>0</v>
      </c>
      <c r="T116" s="247">
        <v>0</v>
      </c>
      <c r="U116" s="247">
        <v>0</v>
      </c>
      <c r="W116" s="284">
        <v>7.2</v>
      </c>
      <c r="X116" s="284">
        <v>0.15</v>
      </c>
      <c r="Y116" s="284">
        <v>4.25</v>
      </c>
      <c r="Z116" s="284">
        <v>2.8</v>
      </c>
      <c r="AA116" s="284">
        <v>0</v>
      </c>
      <c r="AB116" s="284">
        <v>10</v>
      </c>
      <c r="AC116" s="284">
        <v>0</v>
      </c>
      <c r="AE116" s="285">
        <v>2935803.8924348978</v>
      </c>
      <c r="AF116" s="286">
        <v>2368551.8229969535</v>
      </c>
      <c r="AG116" s="287">
        <v>996577.68810853991</v>
      </c>
      <c r="AH116" s="288">
        <v>673045.9713419273</v>
      </c>
      <c r="AI116" s="289">
        <v>6973979.374882319</v>
      </c>
      <c r="AJ116" s="266"/>
      <c r="AK116" s="285">
        <v>1200682.2</v>
      </c>
      <c r="AL116" s="286">
        <v>224820.96249999999</v>
      </c>
      <c r="AM116" s="286">
        <v>724418.27586206899</v>
      </c>
      <c r="AN116" s="290">
        <v>510013.5</v>
      </c>
      <c r="AO116" s="289">
        <v>2659934.938362069</v>
      </c>
      <c r="AP116" s="291">
        <v>4314044.4365202505</v>
      </c>
    </row>
    <row r="117" spans="1:42" ht="15.75" x14ac:dyDescent="0.25">
      <c r="A117" s="256">
        <v>4497017</v>
      </c>
      <c r="B117" t="s">
        <v>1770</v>
      </c>
      <c r="C117">
        <v>0</v>
      </c>
      <c r="D117" s="256">
        <v>4497017</v>
      </c>
      <c r="E117" s="256" t="s">
        <v>1010</v>
      </c>
      <c r="F117" s="256" t="s">
        <v>1010</v>
      </c>
      <c r="G117" s="256" t="s">
        <v>1349</v>
      </c>
      <c r="H117" s="256">
        <v>4497017</v>
      </c>
      <c r="I117" s="247" t="s">
        <v>1058</v>
      </c>
      <c r="J117" s="247">
        <v>2020</v>
      </c>
      <c r="K117" s="248" t="s">
        <v>1346</v>
      </c>
      <c r="L117" s="247" t="s">
        <v>1057</v>
      </c>
      <c r="M117" s="256">
        <v>5.5</v>
      </c>
      <c r="N117" s="256">
        <v>0.5</v>
      </c>
      <c r="O117" s="256">
        <v>5</v>
      </c>
      <c r="P117" s="256">
        <v>0</v>
      </c>
      <c r="Q117" s="256">
        <v>0</v>
      </c>
      <c r="R117" s="256">
        <v>8</v>
      </c>
      <c r="S117" s="256">
        <v>0</v>
      </c>
      <c r="T117" s="256">
        <v>0</v>
      </c>
      <c r="U117" s="256">
        <v>0</v>
      </c>
      <c r="W117" s="284">
        <v>5.5</v>
      </c>
      <c r="X117" s="284">
        <v>0.5</v>
      </c>
      <c r="Y117" s="284">
        <v>5</v>
      </c>
      <c r="Z117" s="284">
        <v>0</v>
      </c>
      <c r="AA117" s="284">
        <v>0</v>
      </c>
      <c r="AB117" s="284">
        <v>8</v>
      </c>
      <c r="AC117" s="284">
        <v>0</v>
      </c>
      <c r="AE117" s="285">
        <v>3702369.0292468183</v>
      </c>
      <c r="AF117" s="286">
        <v>0</v>
      </c>
      <c r="AG117" s="287">
        <v>453517.80308259896</v>
      </c>
      <c r="AH117" s="288">
        <v>149365.11876294299</v>
      </c>
      <c r="AI117" s="289">
        <v>4305251.9510923605</v>
      </c>
      <c r="AJ117" s="266"/>
      <c r="AK117" s="285">
        <v>409851.97164948453</v>
      </c>
      <c r="AL117" s="286">
        <v>0</v>
      </c>
      <c r="AM117" s="286">
        <v>346258.16000000003</v>
      </c>
      <c r="AN117" s="290">
        <v>150451.5</v>
      </c>
      <c r="AO117" s="289">
        <v>906561.63164948463</v>
      </c>
      <c r="AP117" s="291">
        <v>3398690.3194428757</v>
      </c>
    </row>
    <row r="118" spans="1:42" ht="15.75" x14ac:dyDescent="0.25">
      <c r="A118" s="256">
        <v>5871375</v>
      </c>
      <c r="B118" t="s">
        <v>1770</v>
      </c>
      <c r="C118">
        <v>0</v>
      </c>
      <c r="D118" s="256">
        <v>5871375</v>
      </c>
      <c r="E118" s="256" t="s">
        <v>1351</v>
      </c>
      <c r="F118" s="256" t="s">
        <v>1247</v>
      </c>
      <c r="G118" s="256" t="s">
        <v>1349</v>
      </c>
      <c r="H118" s="256">
        <v>5871375</v>
      </c>
      <c r="I118" s="247" t="s">
        <v>1058</v>
      </c>
      <c r="J118" s="247">
        <v>2020</v>
      </c>
      <c r="K118" s="248" t="s">
        <v>1346</v>
      </c>
      <c r="L118" s="247" t="s">
        <v>1057</v>
      </c>
      <c r="M118" s="256">
        <v>12.1</v>
      </c>
      <c r="N118" s="256">
        <v>4.0999999999999996</v>
      </c>
      <c r="O118" s="256">
        <v>8</v>
      </c>
      <c r="P118" s="256">
        <v>0</v>
      </c>
      <c r="Q118" s="256">
        <v>0</v>
      </c>
      <c r="R118" s="256">
        <v>17</v>
      </c>
      <c r="S118" s="256">
        <v>0</v>
      </c>
      <c r="T118" s="256">
        <v>0</v>
      </c>
      <c r="U118" s="256">
        <v>0</v>
      </c>
      <c r="W118" s="284">
        <v>12.1</v>
      </c>
      <c r="X118" s="284">
        <v>4.0999999999999996</v>
      </c>
      <c r="Y118" s="284">
        <v>8</v>
      </c>
      <c r="Z118" s="284">
        <v>0</v>
      </c>
      <c r="AA118" s="284">
        <v>0</v>
      </c>
      <c r="AB118" s="284">
        <v>17</v>
      </c>
      <c r="AC118" s="284">
        <v>0</v>
      </c>
      <c r="AE118" s="285">
        <v>8145211.8643430006</v>
      </c>
      <c r="AF118" s="286">
        <v>0</v>
      </c>
      <c r="AG118" s="287">
        <v>963725.33155052282</v>
      </c>
      <c r="AH118" s="288">
        <v>317400.87737125385</v>
      </c>
      <c r="AI118" s="289">
        <v>9426338.0732647777</v>
      </c>
      <c r="AJ118" s="266"/>
      <c r="AK118" s="285">
        <v>655763.15463917528</v>
      </c>
      <c r="AL118" s="286">
        <v>0</v>
      </c>
      <c r="AM118" s="286">
        <v>735798.59000000008</v>
      </c>
      <c r="AN118" s="290">
        <v>319709.4375</v>
      </c>
      <c r="AO118" s="289">
        <v>1711271.1821391755</v>
      </c>
      <c r="AP118" s="291">
        <v>7715066.8911256026</v>
      </c>
    </row>
    <row r="119" spans="1:42" ht="15.75" x14ac:dyDescent="0.25">
      <c r="A119" s="251">
        <v>6627771</v>
      </c>
      <c r="B119" t="s">
        <v>1770</v>
      </c>
      <c r="C119">
        <v>0</v>
      </c>
      <c r="D119" s="251">
        <v>6627771</v>
      </c>
      <c r="E119" s="251" t="s">
        <v>1355</v>
      </c>
      <c r="F119" s="251" t="s">
        <v>760</v>
      </c>
      <c r="G119" s="251" t="s">
        <v>1354</v>
      </c>
      <c r="H119" s="251">
        <v>6627771</v>
      </c>
      <c r="I119" s="251" t="s">
        <v>1087</v>
      </c>
      <c r="J119" s="247">
        <v>2020</v>
      </c>
      <c r="K119" s="252" t="s">
        <v>1346</v>
      </c>
      <c r="L119" s="251" t="s">
        <v>1086</v>
      </c>
      <c r="M119" s="251">
        <v>0.3</v>
      </c>
      <c r="N119" s="251">
        <v>0.1</v>
      </c>
      <c r="O119" s="251">
        <v>0.2</v>
      </c>
      <c r="P119" s="251">
        <v>0</v>
      </c>
      <c r="Q119" s="251">
        <v>0</v>
      </c>
      <c r="R119" s="251">
        <v>2</v>
      </c>
      <c r="S119" s="251">
        <v>0</v>
      </c>
      <c r="T119" s="251">
        <v>0</v>
      </c>
      <c r="U119" s="251">
        <v>0</v>
      </c>
      <c r="W119" s="284">
        <v>0.3</v>
      </c>
      <c r="X119" s="284">
        <v>0.1</v>
      </c>
      <c r="Y119" s="284">
        <v>0.2</v>
      </c>
      <c r="Z119" s="284">
        <v>0</v>
      </c>
      <c r="AA119" s="284">
        <v>0</v>
      </c>
      <c r="AB119" s="284">
        <v>2</v>
      </c>
      <c r="AC119" s="284">
        <v>0</v>
      </c>
      <c r="AE119" s="285">
        <v>201947.401595281</v>
      </c>
      <c r="AF119" s="286">
        <v>0</v>
      </c>
      <c r="AG119" s="287">
        <v>113379.45077064974</v>
      </c>
      <c r="AH119" s="288">
        <v>37341.279690735748</v>
      </c>
      <c r="AI119" s="289">
        <v>352668.13205666648</v>
      </c>
      <c r="AJ119" s="266"/>
      <c r="AK119" s="285">
        <v>16394.078865979383</v>
      </c>
      <c r="AL119" s="286">
        <v>0</v>
      </c>
      <c r="AM119" s="286">
        <v>86564.540000000008</v>
      </c>
      <c r="AN119" s="290">
        <v>37612.875</v>
      </c>
      <c r="AO119" s="289">
        <v>140571.4938659794</v>
      </c>
      <c r="AP119" s="291">
        <v>212096.63819068708</v>
      </c>
    </row>
    <row r="120" spans="1:42" ht="15.75" x14ac:dyDescent="0.25">
      <c r="A120" s="256">
        <v>8051895</v>
      </c>
      <c r="B120" t="s">
        <v>1770</v>
      </c>
      <c r="C120">
        <v>0</v>
      </c>
      <c r="D120" s="256">
        <v>8051895</v>
      </c>
      <c r="E120" s="256" t="s">
        <v>1357</v>
      </c>
      <c r="F120" s="256" t="s">
        <v>922</v>
      </c>
      <c r="G120" s="256" t="s">
        <v>1356</v>
      </c>
      <c r="H120" s="256">
        <v>8051895</v>
      </c>
      <c r="I120" s="247" t="s">
        <v>1063</v>
      </c>
      <c r="J120" s="247">
        <v>2020</v>
      </c>
      <c r="K120" s="248" t="s">
        <v>1346</v>
      </c>
      <c r="L120" s="247" t="s">
        <v>1057</v>
      </c>
      <c r="M120" s="256">
        <v>6.85</v>
      </c>
      <c r="N120" s="256">
        <v>0.6</v>
      </c>
      <c r="O120" s="256">
        <v>6.25</v>
      </c>
      <c r="P120" s="256">
        <v>0</v>
      </c>
      <c r="Q120" s="256">
        <v>0</v>
      </c>
      <c r="R120" s="256">
        <v>25</v>
      </c>
      <c r="S120" s="256">
        <v>0</v>
      </c>
      <c r="T120" s="256">
        <v>0</v>
      </c>
      <c r="U120" s="256">
        <v>0</v>
      </c>
      <c r="W120" s="284">
        <v>6.85</v>
      </c>
      <c r="X120" s="284">
        <v>0.6</v>
      </c>
      <c r="Y120" s="284">
        <v>6.25</v>
      </c>
      <c r="Z120" s="284">
        <v>0</v>
      </c>
      <c r="AA120" s="284">
        <v>0</v>
      </c>
      <c r="AB120" s="284">
        <v>25</v>
      </c>
      <c r="AC120" s="284">
        <v>0</v>
      </c>
      <c r="AE120" s="285">
        <v>4611132.3364255829</v>
      </c>
      <c r="AF120" s="286">
        <v>0</v>
      </c>
      <c r="AG120" s="287">
        <v>1417243.1346331218</v>
      </c>
      <c r="AH120" s="288">
        <v>466765.99613419687</v>
      </c>
      <c r="AI120" s="289">
        <v>6495141.4671929013</v>
      </c>
      <c r="AJ120" s="266"/>
      <c r="AK120" s="285">
        <v>512314.96456185571</v>
      </c>
      <c r="AL120" s="286">
        <v>0</v>
      </c>
      <c r="AM120" s="286">
        <v>1082056.75</v>
      </c>
      <c r="AN120" s="290">
        <v>470160.9375</v>
      </c>
      <c r="AO120" s="289">
        <v>2064532.6520618557</v>
      </c>
      <c r="AP120" s="291">
        <v>4430608.8151310459</v>
      </c>
    </row>
    <row r="121" spans="1:42" ht="15.75" x14ac:dyDescent="0.25">
      <c r="A121" s="256">
        <v>9142033</v>
      </c>
      <c r="B121" t="s">
        <v>1770</v>
      </c>
      <c r="C121">
        <v>0</v>
      </c>
      <c r="D121" s="256">
        <v>9142033</v>
      </c>
      <c r="E121" s="256" t="s">
        <v>1362</v>
      </c>
      <c r="F121" s="256" t="s">
        <v>1362</v>
      </c>
      <c r="G121" s="256" t="s">
        <v>1360</v>
      </c>
      <c r="H121" s="256">
        <v>9142033</v>
      </c>
      <c r="I121" s="247" t="s">
        <v>1087</v>
      </c>
      <c r="J121" s="247">
        <v>2020</v>
      </c>
      <c r="K121" s="248" t="s">
        <v>1361</v>
      </c>
      <c r="L121" s="247" t="s">
        <v>1086</v>
      </c>
      <c r="M121" s="256">
        <v>21</v>
      </c>
      <c r="N121" s="256">
        <v>1.5</v>
      </c>
      <c r="O121" s="256">
        <v>18</v>
      </c>
      <c r="P121" s="256">
        <v>1.5</v>
      </c>
      <c r="Q121" s="256">
        <v>0</v>
      </c>
      <c r="R121" s="256">
        <v>25</v>
      </c>
      <c r="S121" s="256">
        <v>0</v>
      </c>
      <c r="T121" s="256">
        <v>0</v>
      </c>
      <c r="U121" s="256">
        <v>0</v>
      </c>
      <c r="W121" s="284">
        <v>21</v>
      </c>
      <c r="X121" s="284">
        <v>1.5</v>
      </c>
      <c r="Y121" s="284">
        <v>18</v>
      </c>
      <c r="Z121" s="284">
        <v>1.5</v>
      </c>
      <c r="AA121" s="284">
        <v>0</v>
      </c>
      <c r="AB121" s="284">
        <v>25</v>
      </c>
      <c r="AC121" s="284">
        <v>0</v>
      </c>
      <c r="AE121" s="285">
        <v>9592395.3831330575</v>
      </c>
      <c r="AF121" s="286">
        <v>837228.07166316523</v>
      </c>
      <c r="AG121" s="287">
        <v>1253655.5162559515</v>
      </c>
      <c r="AH121" s="288">
        <v>825701.6389226137</v>
      </c>
      <c r="AI121" s="289">
        <v>12508980.609974787</v>
      </c>
      <c r="AJ121" s="266"/>
      <c r="AK121" s="285">
        <v>1734660.4166666665</v>
      </c>
      <c r="AL121" s="286">
        <v>153784.72222222222</v>
      </c>
      <c r="AM121" s="286">
        <v>1193629.1666666667</v>
      </c>
      <c r="AN121" s="290">
        <v>848124.58333333349</v>
      </c>
      <c r="AO121" s="289">
        <v>3930198.888888889</v>
      </c>
      <c r="AP121" s="291">
        <v>8578781.7210858986</v>
      </c>
    </row>
    <row r="122" spans="1:42" ht="15.75" x14ac:dyDescent="0.25">
      <c r="A122" s="256">
        <v>9328941</v>
      </c>
      <c r="B122" t="s">
        <v>1770</v>
      </c>
      <c r="C122">
        <v>0</v>
      </c>
      <c r="D122" s="256">
        <v>9328941</v>
      </c>
      <c r="E122" s="256" t="s">
        <v>1364</v>
      </c>
      <c r="F122" s="256" t="s">
        <v>1364</v>
      </c>
      <c r="G122" s="256" t="s">
        <v>1360</v>
      </c>
      <c r="H122" s="256">
        <v>9328941</v>
      </c>
      <c r="I122" s="247" t="s">
        <v>1087</v>
      </c>
      <c r="J122" s="247">
        <v>2020</v>
      </c>
      <c r="K122" s="248" t="s">
        <v>1361</v>
      </c>
      <c r="L122" s="247" t="s">
        <v>1086</v>
      </c>
      <c r="M122" s="256">
        <v>6.78</v>
      </c>
      <c r="N122" s="256">
        <v>0.08</v>
      </c>
      <c r="O122" s="256">
        <v>0</v>
      </c>
      <c r="P122" s="256">
        <v>6.7</v>
      </c>
      <c r="Q122" s="256">
        <v>0</v>
      </c>
      <c r="R122" s="256">
        <v>9</v>
      </c>
      <c r="S122" s="256">
        <v>0</v>
      </c>
      <c r="T122" s="256">
        <v>0</v>
      </c>
      <c r="U122" s="256">
        <v>0</v>
      </c>
      <c r="W122" s="284">
        <v>6.78</v>
      </c>
      <c r="X122" s="284">
        <v>0.08</v>
      </c>
      <c r="Y122" s="284">
        <v>0</v>
      </c>
      <c r="Z122" s="284">
        <v>6.7</v>
      </c>
      <c r="AA122" s="284">
        <v>0</v>
      </c>
      <c r="AB122" s="284">
        <v>9</v>
      </c>
      <c r="AC122" s="284">
        <v>0</v>
      </c>
      <c r="AE122" s="285">
        <v>39353.41695644331</v>
      </c>
      <c r="AF122" s="286">
        <v>3739618.7200954719</v>
      </c>
      <c r="AG122" s="287">
        <v>451315.9858521425</v>
      </c>
      <c r="AH122" s="288">
        <v>297252.59001214092</v>
      </c>
      <c r="AI122" s="289">
        <v>4527540.7129161982</v>
      </c>
      <c r="AJ122" s="266"/>
      <c r="AK122" s="285">
        <v>624477.74999999988</v>
      </c>
      <c r="AL122" s="286">
        <v>55362.5</v>
      </c>
      <c r="AM122" s="286">
        <v>429706.50000000006</v>
      </c>
      <c r="AN122" s="290">
        <v>305324.85000000003</v>
      </c>
      <c r="AO122" s="289">
        <v>1414871.6</v>
      </c>
      <c r="AP122" s="291">
        <v>3112669.1129161981</v>
      </c>
    </row>
    <row r="123" spans="1:42" ht="15.75" x14ac:dyDescent="0.25">
      <c r="A123" s="256">
        <v>1840658</v>
      </c>
      <c r="B123" t="s">
        <v>1770</v>
      </c>
      <c r="C123">
        <v>0</v>
      </c>
      <c r="D123" s="256">
        <v>1840658</v>
      </c>
      <c r="E123" s="256" t="s">
        <v>780</v>
      </c>
      <c r="F123" s="256" t="s">
        <v>776</v>
      </c>
      <c r="G123" s="256" t="s">
        <v>1365</v>
      </c>
      <c r="H123" s="256">
        <v>1840658</v>
      </c>
      <c r="I123" s="247" t="s">
        <v>1058</v>
      </c>
      <c r="J123" s="247">
        <v>2020</v>
      </c>
      <c r="K123" s="248" t="s">
        <v>1366</v>
      </c>
      <c r="L123" s="247" t="s">
        <v>1057</v>
      </c>
      <c r="M123" s="256">
        <v>1.84</v>
      </c>
      <c r="N123" s="256">
        <v>0.32</v>
      </c>
      <c r="O123" s="256">
        <v>0</v>
      </c>
      <c r="P123" s="256">
        <v>0</v>
      </c>
      <c r="Q123" s="256">
        <v>1.52</v>
      </c>
      <c r="R123" s="256">
        <v>0</v>
      </c>
      <c r="S123" s="256">
        <v>100</v>
      </c>
      <c r="T123" s="256">
        <v>0</v>
      </c>
      <c r="U123" s="256">
        <v>0</v>
      </c>
      <c r="W123" s="284">
        <v>1.84</v>
      </c>
      <c r="X123" s="284">
        <v>0.32</v>
      </c>
      <c r="Y123" s="284">
        <v>0</v>
      </c>
      <c r="Z123" s="284">
        <v>0</v>
      </c>
      <c r="AA123" s="284">
        <v>1.52</v>
      </c>
      <c r="AB123" s="284">
        <v>0</v>
      </c>
      <c r="AC123" s="284">
        <v>0</v>
      </c>
      <c r="AE123" s="285">
        <v>1494962.2340564746</v>
      </c>
      <c r="AF123" s="286">
        <v>0</v>
      </c>
      <c r="AG123" s="287">
        <v>117720.09764630185</v>
      </c>
      <c r="AH123" s="288">
        <v>0</v>
      </c>
      <c r="AI123" s="289">
        <v>1612682.3317027765</v>
      </c>
      <c r="AJ123" s="266"/>
      <c r="AK123" s="285">
        <v>0</v>
      </c>
      <c r="AL123" s="286">
        <v>0</v>
      </c>
      <c r="AM123" s="286">
        <v>0</v>
      </c>
      <c r="AN123" s="290">
        <v>0</v>
      </c>
      <c r="AO123" s="289">
        <v>0</v>
      </c>
      <c r="AP123" s="291">
        <v>1612682.3317027765</v>
      </c>
    </row>
    <row r="124" spans="1:42" ht="15.75" x14ac:dyDescent="0.25">
      <c r="A124" s="256">
        <v>1840658</v>
      </c>
      <c r="B124" t="s">
        <v>1770</v>
      </c>
      <c r="C124">
        <v>0</v>
      </c>
      <c r="D124" s="256">
        <v>1840658</v>
      </c>
      <c r="E124" s="256" t="s">
        <v>780</v>
      </c>
      <c r="F124" s="256" t="s">
        <v>776</v>
      </c>
      <c r="G124" s="256" t="s">
        <v>1368</v>
      </c>
      <c r="H124" s="256">
        <v>1840658</v>
      </c>
      <c r="I124" s="247" t="s">
        <v>1068</v>
      </c>
      <c r="J124" s="247">
        <v>2020</v>
      </c>
      <c r="K124" s="248" t="s">
        <v>1366</v>
      </c>
      <c r="L124" s="247" t="s">
        <v>1057</v>
      </c>
      <c r="M124" s="256">
        <v>0.69</v>
      </c>
      <c r="N124" s="256">
        <v>0.12</v>
      </c>
      <c r="O124" s="256">
        <v>0</v>
      </c>
      <c r="P124" s="256">
        <v>0</v>
      </c>
      <c r="Q124" s="256">
        <v>0.56999999999999995</v>
      </c>
      <c r="R124" s="256">
        <v>0</v>
      </c>
      <c r="S124" s="256">
        <v>100</v>
      </c>
      <c r="T124" s="256">
        <v>0</v>
      </c>
      <c r="U124" s="256">
        <v>0</v>
      </c>
      <c r="W124" s="284">
        <v>0.69</v>
      </c>
      <c r="X124" s="284">
        <v>0.12</v>
      </c>
      <c r="Y124" s="284">
        <v>0</v>
      </c>
      <c r="Z124" s="284">
        <v>0</v>
      </c>
      <c r="AA124" s="284">
        <v>0.56999999999999995</v>
      </c>
      <c r="AB124" s="284">
        <v>0</v>
      </c>
      <c r="AC124" s="284">
        <v>0</v>
      </c>
      <c r="AE124" s="285">
        <v>560610.83777117787</v>
      </c>
      <c r="AF124" s="286">
        <v>0</v>
      </c>
      <c r="AG124" s="287">
        <v>44145.036617363192</v>
      </c>
      <c r="AH124" s="288">
        <v>0</v>
      </c>
      <c r="AI124" s="289">
        <v>604755.87438854109</v>
      </c>
      <c r="AJ124" s="266"/>
      <c r="AK124" s="285">
        <v>0</v>
      </c>
      <c r="AL124" s="286">
        <v>0</v>
      </c>
      <c r="AM124" s="286">
        <v>0</v>
      </c>
      <c r="AN124" s="290">
        <v>0</v>
      </c>
      <c r="AO124" s="289">
        <v>0</v>
      </c>
      <c r="AP124" s="291">
        <v>604755.87438854109</v>
      </c>
    </row>
    <row r="125" spans="1:42" ht="15.75" x14ac:dyDescent="0.25">
      <c r="A125" s="256">
        <v>1840658</v>
      </c>
      <c r="B125" t="s">
        <v>1770</v>
      </c>
      <c r="C125">
        <v>0</v>
      </c>
      <c r="D125" s="256">
        <v>1840658</v>
      </c>
      <c r="E125" s="256" t="s">
        <v>780</v>
      </c>
      <c r="F125" s="256" t="s">
        <v>776</v>
      </c>
      <c r="G125" s="256" t="s">
        <v>1369</v>
      </c>
      <c r="H125" s="256">
        <v>1840658</v>
      </c>
      <c r="I125" s="247" t="s">
        <v>1061</v>
      </c>
      <c r="J125" s="247">
        <v>2020</v>
      </c>
      <c r="K125" s="248" t="s">
        <v>1366</v>
      </c>
      <c r="L125" s="247" t="s">
        <v>1057</v>
      </c>
      <c r="M125" s="256">
        <v>1.37</v>
      </c>
      <c r="N125" s="256">
        <v>0.27</v>
      </c>
      <c r="O125" s="256">
        <v>0</v>
      </c>
      <c r="P125" s="256">
        <v>0</v>
      </c>
      <c r="Q125" s="256">
        <v>1.1000000000000001</v>
      </c>
      <c r="R125" s="256">
        <v>0</v>
      </c>
      <c r="S125" s="256">
        <v>100</v>
      </c>
      <c r="T125" s="256">
        <v>0</v>
      </c>
      <c r="U125" s="256">
        <v>0</v>
      </c>
      <c r="W125" s="284">
        <v>1.37</v>
      </c>
      <c r="X125" s="284">
        <v>0.27</v>
      </c>
      <c r="Y125" s="284">
        <v>0</v>
      </c>
      <c r="Z125" s="284">
        <v>0</v>
      </c>
      <c r="AA125" s="284">
        <v>1.1000000000000001</v>
      </c>
      <c r="AB125" s="284">
        <v>0</v>
      </c>
      <c r="AC125" s="284">
        <v>0</v>
      </c>
      <c r="AE125" s="285">
        <v>1113096.880792049</v>
      </c>
      <c r="AF125" s="286">
        <v>0</v>
      </c>
      <c r="AG125" s="287">
        <v>87650.290095344317</v>
      </c>
      <c r="AH125" s="288">
        <v>0</v>
      </c>
      <c r="AI125" s="289">
        <v>1200747.1708873934</v>
      </c>
      <c r="AJ125" s="266"/>
      <c r="AK125" s="285">
        <v>0</v>
      </c>
      <c r="AL125" s="286">
        <v>0</v>
      </c>
      <c r="AM125" s="286">
        <v>0</v>
      </c>
      <c r="AN125" s="290">
        <v>0</v>
      </c>
      <c r="AO125" s="289">
        <v>0</v>
      </c>
      <c r="AP125" s="291">
        <v>1200747.1708873934</v>
      </c>
    </row>
    <row r="126" spans="1:42" ht="15.75" x14ac:dyDescent="0.25">
      <c r="A126" s="256">
        <v>1840658</v>
      </c>
      <c r="B126" t="s">
        <v>1770</v>
      </c>
      <c r="C126">
        <v>0</v>
      </c>
      <c r="D126" s="256">
        <v>1840658</v>
      </c>
      <c r="E126" s="256" t="s">
        <v>780</v>
      </c>
      <c r="F126" s="256" t="s">
        <v>776</v>
      </c>
      <c r="G126" s="256" t="s">
        <v>1370</v>
      </c>
      <c r="H126" s="256">
        <v>1840658</v>
      </c>
      <c r="I126" s="247" t="s">
        <v>1063</v>
      </c>
      <c r="J126" s="247">
        <v>2020</v>
      </c>
      <c r="K126" s="248" t="s">
        <v>1366</v>
      </c>
      <c r="L126" s="247" t="s">
        <v>1057</v>
      </c>
      <c r="M126" s="256">
        <v>1.1000000000000001</v>
      </c>
      <c r="N126" s="256">
        <v>0.21</v>
      </c>
      <c r="O126" s="256">
        <v>0</v>
      </c>
      <c r="P126" s="256">
        <v>0</v>
      </c>
      <c r="Q126" s="256">
        <v>0.89</v>
      </c>
      <c r="R126" s="256">
        <v>0</v>
      </c>
      <c r="S126" s="256">
        <v>100</v>
      </c>
      <c r="T126" s="256">
        <v>0</v>
      </c>
      <c r="U126" s="256">
        <v>0</v>
      </c>
      <c r="W126" s="284">
        <v>1.1000000000000001</v>
      </c>
      <c r="X126" s="284">
        <v>0.21</v>
      </c>
      <c r="Y126" s="284">
        <v>0</v>
      </c>
      <c r="Z126" s="284">
        <v>0</v>
      </c>
      <c r="AA126" s="284">
        <v>0.89</v>
      </c>
      <c r="AB126" s="284">
        <v>0</v>
      </c>
      <c r="AC126" s="284">
        <v>0</v>
      </c>
      <c r="AE126" s="285">
        <v>893727.42253376194</v>
      </c>
      <c r="AF126" s="286">
        <v>0</v>
      </c>
      <c r="AG126" s="287">
        <v>70376.145332028289</v>
      </c>
      <c r="AH126" s="288">
        <v>0</v>
      </c>
      <c r="AI126" s="289">
        <v>964103.56786579022</v>
      </c>
      <c r="AJ126" s="266"/>
      <c r="AK126" s="285">
        <v>0</v>
      </c>
      <c r="AL126" s="286">
        <v>0</v>
      </c>
      <c r="AM126" s="286">
        <v>0</v>
      </c>
      <c r="AN126" s="290">
        <v>0</v>
      </c>
      <c r="AO126" s="289">
        <v>0</v>
      </c>
      <c r="AP126" s="291">
        <v>964103.56786579022</v>
      </c>
    </row>
    <row r="127" spans="1:42" ht="15.75" x14ac:dyDescent="0.25">
      <c r="A127" s="256">
        <v>1840658</v>
      </c>
      <c r="B127" t="s">
        <v>1770</v>
      </c>
      <c r="C127">
        <v>0</v>
      </c>
      <c r="D127" s="256">
        <v>1840658</v>
      </c>
      <c r="E127" s="256" t="s">
        <v>780</v>
      </c>
      <c r="F127" s="256" t="s">
        <v>776</v>
      </c>
      <c r="G127" s="256" t="s">
        <v>1371</v>
      </c>
      <c r="H127" s="256">
        <v>1840658</v>
      </c>
      <c r="I127" s="247" t="s">
        <v>1073</v>
      </c>
      <c r="J127" s="247">
        <v>2020</v>
      </c>
      <c r="K127" s="248" t="s">
        <v>1366</v>
      </c>
      <c r="L127" s="247" t="s">
        <v>1057</v>
      </c>
      <c r="M127" s="256">
        <v>0.5</v>
      </c>
      <c r="N127" s="256">
        <v>0.08</v>
      </c>
      <c r="O127" s="256">
        <v>0</v>
      </c>
      <c r="P127" s="256">
        <v>0</v>
      </c>
      <c r="Q127" s="256">
        <v>0.42</v>
      </c>
      <c r="R127" s="256">
        <v>0</v>
      </c>
      <c r="S127" s="256">
        <v>100</v>
      </c>
      <c r="T127" s="256">
        <v>0</v>
      </c>
      <c r="U127" s="256">
        <v>0</v>
      </c>
      <c r="W127" s="284">
        <v>0.5</v>
      </c>
      <c r="X127" s="284">
        <v>0.08</v>
      </c>
      <c r="Y127" s="284">
        <v>0</v>
      </c>
      <c r="Z127" s="284">
        <v>0</v>
      </c>
      <c r="AA127" s="284">
        <v>0.42</v>
      </c>
      <c r="AB127" s="284">
        <v>0</v>
      </c>
      <c r="AC127" s="284">
        <v>0</v>
      </c>
      <c r="AE127" s="285">
        <v>406239.73751534632</v>
      </c>
      <c r="AF127" s="286">
        <v>0</v>
      </c>
      <c r="AG127" s="287">
        <v>31989.156969103762</v>
      </c>
      <c r="AH127" s="288">
        <v>0</v>
      </c>
      <c r="AI127" s="289">
        <v>438228.89448445011</v>
      </c>
      <c r="AJ127" s="266"/>
      <c r="AK127" s="285">
        <v>0</v>
      </c>
      <c r="AL127" s="286">
        <v>0</v>
      </c>
      <c r="AM127" s="286">
        <v>0</v>
      </c>
      <c r="AN127" s="290">
        <v>0</v>
      </c>
      <c r="AO127" s="289">
        <v>0</v>
      </c>
      <c r="AP127" s="291">
        <v>438228.89448445011</v>
      </c>
    </row>
    <row r="128" spans="1:42" ht="15.75" x14ac:dyDescent="0.25">
      <c r="A128" s="256">
        <v>3346325</v>
      </c>
      <c r="B128" t="s">
        <v>1770</v>
      </c>
      <c r="C128">
        <v>0</v>
      </c>
      <c r="D128" s="256">
        <v>3346325</v>
      </c>
      <c r="E128" s="256" t="s">
        <v>1373</v>
      </c>
      <c r="F128" s="256" t="s">
        <v>1373</v>
      </c>
      <c r="G128" s="256" t="s">
        <v>1372</v>
      </c>
      <c r="H128" s="256">
        <v>3346325</v>
      </c>
      <c r="I128" s="247" t="s">
        <v>1087</v>
      </c>
      <c r="J128" s="247">
        <v>2020</v>
      </c>
      <c r="K128" s="248" t="s">
        <v>1366</v>
      </c>
      <c r="L128" s="247" t="s">
        <v>1086</v>
      </c>
      <c r="M128" s="256">
        <v>4.5999999999999996</v>
      </c>
      <c r="N128" s="256">
        <v>4.54</v>
      </c>
      <c r="O128" s="256">
        <v>0</v>
      </c>
      <c r="P128" s="256">
        <v>0.02</v>
      </c>
      <c r="Q128" s="256">
        <v>0.04</v>
      </c>
      <c r="R128" s="256">
        <v>0</v>
      </c>
      <c r="S128" s="256">
        <v>56</v>
      </c>
      <c r="T128" s="256">
        <v>6</v>
      </c>
      <c r="U128" s="256">
        <v>0</v>
      </c>
      <c r="W128" s="284">
        <v>4.5999999999999996</v>
      </c>
      <c r="X128" s="284">
        <v>4.54</v>
      </c>
      <c r="Y128" s="284">
        <v>0</v>
      </c>
      <c r="Z128" s="284">
        <v>0.02</v>
      </c>
      <c r="AA128" s="284">
        <v>0.04</v>
      </c>
      <c r="AB128" s="284">
        <v>0</v>
      </c>
      <c r="AC128" s="284">
        <v>6</v>
      </c>
      <c r="AE128" s="285">
        <v>3737405.5851411857</v>
      </c>
      <c r="AF128" s="286">
        <v>0</v>
      </c>
      <c r="AG128" s="287">
        <v>294300.24411575461</v>
      </c>
      <c r="AH128" s="288">
        <v>0</v>
      </c>
      <c r="AI128" s="289">
        <v>4031705.8292569402</v>
      </c>
      <c r="AJ128" s="266"/>
      <c r="AK128" s="285">
        <v>0</v>
      </c>
      <c r="AL128" s="286">
        <v>0</v>
      </c>
      <c r="AM128" s="286">
        <v>0</v>
      </c>
      <c r="AN128" s="290">
        <v>0</v>
      </c>
      <c r="AO128" s="289">
        <v>0</v>
      </c>
      <c r="AP128" s="291">
        <v>4031705.8292569402</v>
      </c>
    </row>
    <row r="129" spans="1:42" ht="15.75" x14ac:dyDescent="0.25">
      <c r="A129" s="256">
        <v>6447139</v>
      </c>
      <c r="B129" t="s">
        <v>1770</v>
      </c>
      <c r="C129">
        <v>0</v>
      </c>
      <c r="D129" s="256">
        <v>6447139</v>
      </c>
      <c r="E129" s="256" t="s">
        <v>1375</v>
      </c>
      <c r="F129" s="256" t="s">
        <v>375</v>
      </c>
      <c r="G129" s="256" t="s">
        <v>1371</v>
      </c>
      <c r="H129" s="256">
        <v>6447139</v>
      </c>
      <c r="I129" s="247" t="s">
        <v>1073</v>
      </c>
      <c r="J129" s="247">
        <v>2020</v>
      </c>
      <c r="K129" s="248" t="s">
        <v>1366</v>
      </c>
      <c r="L129" s="247" t="s">
        <v>1057</v>
      </c>
      <c r="M129" s="256">
        <v>2.85</v>
      </c>
      <c r="N129" s="256">
        <v>2.7</v>
      </c>
      <c r="O129" s="256">
        <v>0.15</v>
      </c>
      <c r="P129" s="256">
        <v>0</v>
      </c>
      <c r="Q129" s="256">
        <v>0</v>
      </c>
      <c r="R129" s="256">
        <v>0</v>
      </c>
      <c r="S129" s="256">
        <v>0</v>
      </c>
      <c r="T129" s="256">
        <v>3</v>
      </c>
      <c r="U129" s="256">
        <v>0</v>
      </c>
      <c r="W129" s="284">
        <v>2.85</v>
      </c>
      <c r="X129" s="284">
        <v>2.7</v>
      </c>
      <c r="Y129" s="284">
        <v>0.15</v>
      </c>
      <c r="Z129" s="284">
        <v>0</v>
      </c>
      <c r="AA129" s="284">
        <v>0</v>
      </c>
      <c r="AB129" s="284">
        <v>0</v>
      </c>
      <c r="AC129" s="284">
        <v>3</v>
      </c>
      <c r="AE129" s="285">
        <v>2315566.5038374742</v>
      </c>
      <c r="AF129" s="286">
        <v>0</v>
      </c>
      <c r="AG129" s="287">
        <v>182338.19472389144</v>
      </c>
      <c r="AH129" s="288">
        <v>0</v>
      </c>
      <c r="AI129" s="289">
        <v>2497904.6985613657</v>
      </c>
      <c r="AJ129" s="266"/>
      <c r="AK129" s="285">
        <v>0</v>
      </c>
      <c r="AL129" s="286">
        <v>0</v>
      </c>
      <c r="AM129" s="286">
        <v>0</v>
      </c>
      <c r="AN129" s="290">
        <v>0</v>
      </c>
      <c r="AO129" s="289">
        <v>0</v>
      </c>
      <c r="AP129" s="291">
        <v>2497904.6985613657</v>
      </c>
    </row>
    <row r="130" spans="1:42" ht="15.75" x14ac:dyDescent="0.25">
      <c r="A130" s="256">
        <v>8365172</v>
      </c>
      <c r="B130" t="s">
        <v>1770</v>
      </c>
      <c r="C130">
        <v>0</v>
      </c>
      <c r="D130" s="256">
        <v>8365172</v>
      </c>
      <c r="E130" s="256" t="s">
        <v>1378</v>
      </c>
      <c r="F130" s="256" t="s">
        <v>1118</v>
      </c>
      <c r="G130" s="256" t="s">
        <v>1376</v>
      </c>
      <c r="H130" s="256">
        <v>8365172</v>
      </c>
      <c r="I130" s="247" t="s">
        <v>1058</v>
      </c>
      <c r="J130" s="247">
        <v>2020</v>
      </c>
      <c r="K130" s="248" t="s">
        <v>1377</v>
      </c>
      <c r="L130" s="247" t="s">
        <v>1057</v>
      </c>
      <c r="M130" s="256">
        <v>1.9</v>
      </c>
      <c r="N130" s="256">
        <v>1.9</v>
      </c>
      <c r="O130" s="256">
        <v>0</v>
      </c>
      <c r="P130" s="256">
        <v>0</v>
      </c>
      <c r="Q130" s="256">
        <v>0</v>
      </c>
      <c r="R130" s="256">
        <v>0</v>
      </c>
      <c r="S130" s="256">
        <v>8</v>
      </c>
      <c r="T130" s="256">
        <v>2</v>
      </c>
      <c r="U130" s="256">
        <v>0</v>
      </c>
      <c r="W130" s="284">
        <v>1.9</v>
      </c>
      <c r="X130" s="284">
        <v>1.9</v>
      </c>
      <c r="Y130" s="284">
        <v>0</v>
      </c>
      <c r="Z130" s="284">
        <v>0</v>
      </c>
      <c r="AA130" s="284">
        <v>0</v>
      </c>
      <c r="AB130" s="284">
        <v>0</v>
      </c>
      <c r="AC130" s="284">
        <v>2</v>
      </c>
      <c r="AE130" s="285">
        <v>1283807.2224443739</v>
      </c>
      <c r="AF130" s="286">
        <v>0</v>
      </c>
      <c r="AG130" s="287">
        <v>76935.271358158367</v>
      </c>
      <c r="AH130" s="288">
        <v>0</v>
      </c>
      <c r="AI130" s="289">
        <v>1360742.4938025323</v>
      </c>
      <c r="AJ130" s="266"/>
      <c r="AK130" s="285">
        <v>0</v>
      </c>
      <c r="AL130" s="286">
        <v>0</v>
      </c>
      <c r="AM130" s="286">
        <v>0</v>
      </c>
      <c r="AN130" s="290">
        <v>0</v>
      </c>
      <c r="AO130" s="289">
        <v>0</v>
      </c>
      <c r="AP130" s="291">
        <v>1360742.4938025323</v>
      </c>
    </row>
    <row r="131" spans="1:42" ht="15.75" x14ac:dyDescent="0.25">
      <c r="A131" s="256">
        <v>1236570</v>
      </c>
      <c r="B131" t="s">
        <v>1770</v>
      </c>
      <c r="C131">
        <v>0</v>
      </c>
      <c r="D131" s="256">
        <v>1236570</v>
      </c>
      <c r="E131" s="256" t="s">
        <v>1383</v>
      </c>
      <c r="F131" s="256" t="s">
        <v>776</v>
      </c>
      <c r="G131" s="256" t="s">
        <v>1381</v>
      </c>
      <c r="H131" s="256">
        <v>1236570</v>
      </c>
      <c r="I131" s="247" t="s">
        <v>1058</v>
      </c>
      <c r="J131" s="247">
        <v>2020</v>
      </c>
      <c r="K131" s="248" t="s">
        <v>1382</v>
      </c>
      <c r="L131" s="247" t="s">
        <v>1057</v>
      </c>
      <c r="M131" s="256">
        <v>15.96</v>
      </c>
      <c r="N131" s="256">
        <v>4</v>
      </c>
      <c r="O131" s="256">
        <v>10.96</v>
      </c>
      <c r="P131" s="256">
        <v>0</v>
      </c>
      <c r="Q131" s="256">
        <v>1</v>
      </c>
      <c r="R131" s="256">
        <v>64</v>
      </c>
      <c r="S131" s="256">
        <v>0</v>
      </c>
      <c r="T131" s="256">
        <v>0</v>
      </c>
      <c r="U131" s="256">
        <v>0</v>
      </c>
      <c r="W131" s="284">
        <v>15.96</v>
      </c>
      <c r="X131" s="284">
        <v>4</v>
      </c>
      <c r="Y131" s="284">
        <v>10.96</v>
      </c>
      <c r="Z131" s="284">
        <v>0</v>
      </c>
      <c r="AA131" s="284">
        <v>1</v>
      </c>
      <c r="AB131" s="284">
        <v>64</v>
      </c>
      <c r="AC131" s="284">
        <v>0</v>
      </c>
      <c r="AE131" s="285">
        <v>10344066.498788252</v>
      </c>
      <c r="AF131" s="286">
        <v>0</v>
      </c>
      <c r="AG131" s="287">
        <v>1709562.463948861</v>
      </c>
      <c r="AH131" s="288">
        <v>0</v>
      </c>
      <c r="AI131" s="289">
        <v>12053628.962737113</v>
      </c>
      <c r="AJ131" s="266"/>
      <c r="AK131" s="285">
        <v>0</v>
      </c>
      <c r="AL131" s="286">
        <v>0</v>
      </c>
      <c r="AM131" s="286">
        <v>1455047.4666666668</v>
      </c>
      <c r="AN131" s="290">
        <v>0</v>
      </c>
      <c r="AO131" s="289">
        <v>1455047.4666666668</v>
      </c>
      <c r="AP131" s="291">
        <v>10598581.496070446</v>
      </c>
    </row>
    <row r="132" spans="1:42" ht="15.75" x14ac:dyDescent="0.25">
      <c r="A132" s="256">
        <v>4699567</v>
      </c>
      <c r="B132" t="s">
        <v>1770</v>
      </c>
      <c r="C132">
        <v>0</v>
      </c>
      <c r="D132" s="256">
        <v>4699567</v>
      </c>
      <c r="E132" s="256" t="s">
        <v>1388</v>
      </c>
      <c r="F132" s="256" t="s">
        <v>776</v>
      </c>
      <c r="G132" s="256" t="s">
        <v>1387</v>
      </c>
      <c r="H132" s="256">
        <v>4699567</v>
      </c>
      <c r="I132" s="247" t="s">
        <v>1058</v>
      </c>
      <c r="J132" s="247">
        <v>2020</v>
      </c>
      <c r="K132" s="248" t="s">
        <v>1382</v>
      </c>
      <c r="L132" s="247" t="s">
        <v>1057</v>
      </c>
      <c r="M132" s="256">
        <v>6.8</v>
      </c>
      <c r="N132" s="256">
        <v>1</v>
      </c>
      <c r="O132" s="256">
        <v>5.8</v>
      </c>
      <c r="P132" s="256">
        <v>0</v>
      </c>
      <c r="Q132" s="256">
        <v>0</v>
      </c>
      <c r="R132" s="256">
        <v>32</v>
      </c>
      <c r="S132" s="256">
        <v>0</v>
      </c>
      <c r="T132" s="256">
        <v>0</v>
      </c>
      <c r="U132" s="256">
        <v>0</v>
      </c>
      <c r="W132" s="284">
        <v>6.8</v>
      </c>
      <c r="X132" s="284">
        <v>1</v>
      </c>
      <c r="Y132" s="284">
        <v>5.8</v>
      </c>
      <c r="Z132" s="284">
        <v>0</v>
      </c>
      <c r="AA132" s="284">
        <v>0</v>
      </c>
      <c r="AB132" s="284">
        <v>32</v>
      </c>
      <c r="AC132" s="284">
        <v>0</v>
      </c>
      <c r="AE132" s="285">
        <v>4407246.3779298319</v>
      </c>
      <c r="AF132" s="286">
        <v>0</v>
      </c>
      <c r="AG132" s="287">
        <v>854781.2319744305</v>
      </c>
      <c r="AH132" s="288">
        <v>0</v>
      </c>
      <c r="AI132" s="289">
        <v>5262027.6099042622</v>
      </c>
      <c r="AJ132" s="266"/>
      <c r="AK132" s="285">
        <v>0</v>
      </c>
      <c r="AL132" s="286">
        <v>0</v>
      </c>
      <c r="AM132" s="286">
        <v>727523.7333333334</v>
      </c>
      <c r="AN132" s="290">
        <v>0</v>
      </c>
      <c r="AO132" s="289">
        <v>727523.7333333334</v>
      </c>
      <c r="AP132" s="291">
        <v>4534503.8765709288</v>
      </c>
    </row>
    <row r="133" spans="1:42" ht="15.75" x14ac:dyDescent="0.25">
      <c r="A133" s="256">
        <v>8891712</v>
      </c>
      <c r="B133" t="s">
        <v>1770</v>
      </c>
      <c r="C133">
        <v>0</v>
      </c>
      <c r="D133" s="256">
        <v>8891712</v>
      </c>
      <c r="E133" s="256" t="s">
        <v>814</v>
      </c>
      <c r="F133" s="256" t="s">
        <v>812</v>
      </c>
      <c r="G133" s="256" t="s">
        <v>1392</v>
      </c>
      <c r="H133" s="256">
        <v>8891712</v>
      </c>
      <c r="I133" s="247" t="s">
        <v>1061</v>
      </c>
      <c r="J133" s="247">
        <v>2020</v>
      </c>
      <c r="K133" s="247" t="s">
        <v>1382</v>
      </c>
      <c r="L133" s="247" t="s">
        <v>1057</v>
      </c>
      <c r="M133" s="256">
        <v>6.5</v>
      </c>
      <c r="N133" s="256">
        <v>1</v>
      </c>
      <c r="O133" s="256">
        <v>5.5</v>
      </c>
      <c r="P133" s="256">
        <v>0</v>
      </c>
      <c r="Q133" s="256">
        <v>0</v>
      </c>
      <c r="R133" s="256">
        <v>11</v>
      </c>
      <c r="S133" s="256">
        <v>0</v>
      </c>
      <c r="T133" s="256">
        <v>0</v>
      </c>
      <c r="U133" s="256">
        <v>0</v>
      </c>
      <c r="W133" s="284">
        <v>6.5</v>
      </c>
      <c r="X133" s="284">
        <v>1</v>
      </c>
      <c r="Y133" s="284">
        <v>5.5</v>
      </c>
      <c r="Z133" s="284">
        <v>0</v>
      </c>
      <c r="AA133" s="284">
        <v>0</v>
      </c>
      <c r="AB133" s="284">
        <v>11</v>
      </c>
      <c r="AC133" s="284">
        <v>0</v>
      </c>
      <c r="AE133" s="285">
        <v>4212809.0377270449</v>
      </c>
      <c r="AF133" s="286">
        <v>0</v>
      </c>
      <c r="AG133" s="287">
        <v>293831.0484912105</v>
      </c>
      <c r="AH133" s="288">
        <v>0</v>
      </c>
      <c r="AI133" s="289">
        <v>4506640.0862182556</v>
      </c>
      <c r="AJ133" s="266"/>
      <c r="AK133" s="285">
        <v>0</v>
      </c>
      <c r="AL133" s="286">
        <v>0</v>
      </c>
      <c r="AM133" s="286">
        <v>250086.28333333335</v>
      </c>
      <c r="AN133" s="290">
        <v>0</v>
      </c>
      <c r="AO133" s="289">
        <v>250086.28333333335</v>
      </c>
      <c r="AP133" s="291">
        <v>4256553.8028849224</v>
      </c>
    </row>
    <row r="134" spans="1:42" ht="15.75" x14ac:dyDescent="0.25">
      <c r="A134" s="256">
        <v>9064643</v>
      </c>
      <c r="B134" t="s">
        <v>1770</v>
      </c>
      <c r="C134">
        <v>0</v>
      </c>
      <c r="D134" s="256">
        <v>9064643</v>
      </c>
      <c r="E134" s="256" t="s">
        <v>818</v>
      </c>
      <c r="F134" s="256" t="s">
        <v>812</v>
      </c>
      <c r="G134" s="256" t="s">
        <v>1392</v>
      </c>
      <c r="H134" s="256">
        <v>9064643</v>
      </c>
      <c r="I134" s="247" t="s">
        <v>1061</v>
      </c>
      <c r="J134" s="247">
        <v>2020</v>
      </c>
      <c r="K134" s="248" t="s">
        <v>1382</v>
      </c>
      <c r="L134" s="247" t="s">
        <v>1057</v>
      </c>
      <c r="M134" s="256">
        <v>7</v>
      </c>
      <c r="N134" s="256">
        <v>1.5</v>
      </c>
      <c r="O134" s="256">
        <v>5</v>
      </c>
      <c r="P134" s="256">
        <v>0</v>
      </c>
      <c r="Q134" s="256">
        <v>0.5</v>
      </c>
      <c r="R134" s="256">
        <v>72</v>
      </c>
      <c r="S134" s="256">
        <v>0</v>
      </c>
      <c r="T134" s="256">
        <v>0</v>
      </c>
      <c r="U134" s="256">
        <v>0</v>
      </c>
      <c r="W134" s="284">
        <v>7</v>
      </c>
      <c r="X134" s="284">
        <v>1.5</v>
      </c>
      <c r="Y134" s="284">
        <v>5</v>
      </c>
      <c r="Z134" s="284">
        <v>0</v>
      </c>
      <c r="AA134" s="284">
        <v>0.5</v>
      </c>
      <c r="AB134" s="284">
        <v>72</v>
      </c>
      <c r="AC134" s="284">
        <v>0</v>
      </c>
      <c r="AE134" s="285">
        <v>4536871.2713983562</v>
      </c>
      <c r="AF134" s="286">
        <v>0</v>
      </c>
      <c r="AG134" s="287">
        <v>1923257.7719424686</v>
      </c>
      <c r="AH134" s="288">
        <v>0</v>
      </c>
      <c r="AI134" s="289">
        <v>6460129.0433408245</v>
      </c>
      <c r="AJ134" s="266"/>
      <c r="AK134" s="285">
        <v>0</v>
      </c>
      <c r="AL134" s="286">
        <v>0</v>
      </c>
      <c r="AM134" s="286">
        <v>1636928.4000000001</v>
      </c>
      <c r="AN134" s="290">
        <v>0</v>
      </c>
      <c r="AO134" s="289">
        <v>1636928.4000000001</v>
      </c>
      <c r="AP134" s="291">
        <v>4823200.6433408242</v>
      </c>
    </row>
    <row r="135" spans="1:42" ht="15.75" x14ac:dyDescent="0.25">
      <c r="A135" s="247">
        <v>5814347</v>
      </c>
      <c r="B135" t="s">
        <v>1770</v>
      </c>
      <c r="C135">
        <v>0</v>
      </c>
      <c r="D135" s="247">
        <v>5814347</v>
      </c>
      <c r="E135" s="247" t="s">
        <v>1395</v>
      </c>
      <c r="F135" s="247" t="s">
        <v>1056</v>
      </c>
      <c r="G135" s="247" t="s">
        <v>1393</v>
      </c>
      <c r="H135" s="247">
        <v>5814347</v>
      </c>
      <c r="I135" s="247" t="s">
        <v>1058</v>
      </c>
      <c r="J135" s="247">
        <v>2020</v>
      </c>
      <c r="K135" s="261" t="s">
        <v>1394</v>
      </c>
      <c r="L135" s="247" t="s">
        <v>1057</v>
      </c>
      <c r="M135" s="308">
        <v>4</v>
      </c>
      <c r="N135" s="308">
        <v>3</v>
      </c>
      <c r="O135" s="308">
        <v>1</v>
      </c>
      <c r="P135" s="308">
        <v>0</v>
      </c>
      <c r="Q135" s="308">
        <v>0</v>
      </c>
      <c r="R135" s="247">
        <v>0</v>
      </c>
      <c r="S135" s="247">
        <v>0</v>
      </c>
      <c r="T135" s="247">
        <v>4</v>
      </c>
      <c r="U135" s="247">
        <v>0</v>
      </c>
      <c r="W135" s="284">
        <v>4</v>
      </c>
      <c r="X135" s="284">
        <v>3</v>
      </c>
      <c r="Y135" s="284">
        <v>1</v>
      </c>
      <c r="Z135" s="284">
        <v>0</v>
      </c>
      <c r="AA135" s="284">
        <v>0</v>
      </c>
      <c r="AB135" s="284">
        <v>0</v>
      </c>
      <c r="AC135" s="284">
        <v>4</v>
      </c>
      <c r="AE135" s="285">
        <v>3687620.1036045146</v>
      </c>
      <c r="AF135" s="286">
        <v>0</v>
      </c>
      <c r="AG135" s="287">
        <v>334609.69268154382</v>
      </c>
      <c r="AH135" s="288">
        <v>3024.2693999999997</v>
      </c>
      <c r="AI135" s="289">
        <v>4025254.0656860587</v>
      </c>
      <c r="AJ135" s="266"/>
      <c r="AK135" s="285">
        <v>0</v>
      </c>
      <c r="AL135" s="286">
        <v>0</v>
      </c>
      <c r="AM135" s="286">
        <v>0</v>
      </c>
      <c r="AN135" s="290">
        <v>0</v>
      </c>
      <c r="AO135" s="289">
        <v>0</v>
      </c>
      <c r="AP135" s="291">
        <v>4025254.0656860587</v>
      </c>
    </row>
    <row r="136" spans="1:42" ht="15.75" x14ac:dyDescent="0.25">
      <c r="A136" s="247">
        <v>2757263</v>
      </c>
      <c r="B136" t="s">
        <v>1770</v>
      </c>
      <c r="C136">
        <v>0</v>
      </c>
      <c r="D136" s="247">
        <v>2757263</v>
      </c>
      <c r="E136" s="247" t="s">
        <v>721</v>
      </c>
      <c r="F136" s="247" t="s">
        <v>718</v>
      </c>
      <c r="G136" s="247" t="s">
        <v>1397</v>
      </c>
      <c r="H136" s="247">
        <v>2757263</v>
      </c>
      <c r="I136" s="247" t="s">
        <v>1058</v>
      </c>
      <c r="J136" s="247">
        <v>2020</v>
      </c>
      <c r="K136" s="248" t="s">
        <v>1398</v>
      </c>
      <c r="L136" s="247" t="s">
        <v>1057</v>
      </c>
      <c r="M136" s="308">
        <v>1.35</v>
      </c>
      <c r="N136" s="308">
        <v>0.3</v>
      </c>
      <c r="O136" s="308">
        <v>0</v>
      </c>
      <c r="P136" s="308">
        <v>0</v>
      </c>
      <c r="Q136" s="308">
        <v>1.05</v>
      </c>
      <c r="R136" s="247">
        <v>0</v>
      </c>
      <c r="S136" s="247">
        <v>21</v>
      </c>
      <c r="T136" s="247">
        <v>0</v>
      </c>
      <c r="U136" s="247">
        <v>0</v>
      </c>
      <c r="W136" s="284">
        <v>1.35</v>
      </c>
      <c r="X136" s="284">
        <v>0.3</v>
      </c>
      <c r="Y136" s="284">
        <v>0</v>
      </c>
      <c r="Z136" s="284">
        <v>0</v>
      </c>
      <c r="AA136" s="284">
        <v>1.05</v>
      </c>
      <c r="AB136" s="284">
        <v>0</v>
      </c>
      <c r="AC136" s="284">
        <v>0</v>
      </c>
      <c r="AE136" s="285">
        <v>1001276.5318256554</v>
      </c>
      <c r="AF136" s="286">
        <v>0</v>
      </c>
      <c r="AG136" s="287">
        <v>114477.84200743496</v>
      </c>
      <c r="AH136" s="288">
        <v>0</v>
      </c>
      <c r="AI136" s="289">
        <v>1115754.3738330903</v>
      </c>
      <c r="AJ136" s="266"/>
      <c r="AK136" s="285">
        <v>0</v>
      </c>
      <c r="AL136" s="286">
        <v>0</v>
      </c>
      <c r="AM136" s="286">
        <v>0</v>
      </c>
      <c r="AN136" s="290">
        <v>0</v>
      </c>
      <c r="AO136" s="289">
        <v>0</v>
      </c>
      <c r="AP136" s="291">
        <v>1115754.3738330903</v>
      </c>
    </row>
    <row r="137" spans="1:42" ht="15.75" x14ac:dyDescent="0.25">
      <c r="A137" s="247">
        <v>6585534</v>
      </c>
      <c r="B137" t="s">
        <v>1770</v>
      </c>
      <c r="C137">
        <v>0</v>
      </c>
      <c r="D137" s="247">
        <v>6585534</v>
      </c>
      <c r="E137" s="247" t="s">
        <v>1401</v>
      </c>
      <c r="F137" s="247" t="s">
        <v>776</v>
      </c>
      <c r="G137" s="247" t="s">
        <v>1399</v>
      </c>
      <c r="H137" s="247">
        <v>6585534</v>
      </c>
      <c r="I137" s="247" t="s">
        <v>1087</v>
      </c>
      <c r="J137" s="247">
        <v>2020</v>
      </c>
      <c r="K137" s="248" t="s">
        <v>1400</v>
      </c>
      <c r="L137" s="247" t="s">
        <v>1086</v>
      </c>
      <c r="M137" s="308">
        <v>4</v>
      </c>
      <c r="N137" s="308">
        <v>4</v>
      </c>
      <c r="O137" s="308">
        <v>0</v>
      </c>
      <c r="P137" s="308">
        <v>0</v>
      </c>
      <c r="Q137" s="308">
        <v>0</v>
      </c>
      <c r="R137" s="247">
        <v>0</v>
      </c>
      <c r="S137" s="247">
        <v>16</v>
      </c>
      <c r="T137" s="247">
        <v>0</v>
      </c>
      <c r="U137" s="247">
        <v>0</v>
      </c>
      <c r="V137" s="313"/>
      <c r="W137" s="284">
        <v>4</v>
      </c>
      <c r="X137" s="284">
        <v>4</v>
      </c>
      <c r="Y137" s="284">
        <v>0</v>
      </c>
      <c r="Z137" s="284">
        <v>0</v>
      </c>
      <c r="AA137" s="284">
        <v>0</v>
      </c>
      <c r="AB137" s="284">
        <v>0</v>
      </c>
      <c r="AC137" s="284">
        <v>0</v>
      </c>
      <c r="AD137" s="313"/>
      <c r="AE137" s="285">
        <v>3245145.7374266</v>
      </c>
      <c r="AF137" s="286">
        <v>0</v>
      </c>
      <c r="AG137" s="287">
        <v>273706.2297728291</v>
      </c>
      <c r="AH137" s="288">
        <v>0</v>
      </c>
      <c r="AI137" s="289">
        <v>3518851.9671994289</v>
      </c>
      <c r="AJ137" s="266"/>
      <c r="AK137" s="285">
        <v>0</v>
      </c>
      <c r="AL137" s="286">
        <v>0</v>
      </c>
      <c r="AM137" s="286">
        <v>0</v>
      </c>
      <c r="AN137" s="290">
        <v>0</v>
      </c>
      <c r="AO137" s="289">
        <v>0</v>
      </c>
      <c r="AP137" s="291">
        <v>3518851.9671994289</v>
      </c>
    </row>
    <row r="138" spans="1:42" ht="15.75" x14ac:dyDescent="0.25">
      <c r="A138" s="247">
        <v>7832444</v>
      </c>
      <c r="B138" t="s">
        <v>1770</v>
      </c>
      <c r="C138">
        <v>0</v>
      </c>
      <c r="D138" s="247">
        <v>7832444</v>
      </c>
      <c r="E138" s="247" t="s">
        <v>1388</v>
      </c>
      <c r="F138" s="247" t="s">
        <v>776</v>
      </c>
      <c r="G138" s="247" t="s">
        <v>1402</v>
      </c>
      <c r="H138" s="247">
        <v>7832444</v>
      </c>
      <c r="I138" s="247" t="s">
        <v>1058</v>
      </c>
      <c r="J138" s="247">
        <v>2020</v>
      </c>
      <c r="K138" s="248" t="s">
        <v>1403</v>
      </c>
      <c r="L138" s="247" t="s">
        <v>1125</v>
      </c>
      <c r="M138" s="308">
        <v>6.89</v>
      </c>
      <c r="N138" s="308">
        <v>2.75</v>
      </c>
      <c r="O138" s="308">
        <v>4.1399999999999997</v>
      </c>
      <c r="P138" s="308">
        <v>0</v>
      </c>
      <c r="Q138" s="308">
        <v>0</v>
      </c>
      <c r="R138" s="247">
        <v>0</v>
      </c>
      <c r="S138" s="247">
        <v>0</v>
      </c>
      <c r="T138" s="247">
        <v>30</v>
      </c>
      <c r="U138" s="247">
        <v>0</v>
      </c>
      <c r="W138" s="284">
        <v>6.89</v>
      </c>
      <c r="X138" s="284">
        <v>2.75</v>
      </c>
      <c r="Y138" s="284">
        <v>4.1399999999999997</v>
      </c>
      <c r="Z138" s="284">
        <v>0</v>
      </c>
      <c r="AA138" s="284">
        <v>0</v>
      </c>
      <c r="AB138" s="284">
        <v>0</v>
      </c>
      <c r="AC138" s="284">
        <v>30</v>
      </c>
      <c r="AE138" s="285">
        <v>4064794.3740922217</v>
      </c>
      <c r="AF138" s="286">
        <v>0</v>
      </c>
      <c r="AG138" s="287">
        <v>601400.70773611357</v>
      </c>
      <c r="AH138" s="288">
        <v>0</v>
      </c>
      <c r="AI138" s="289">
        <v>4666195.0818283353</v>
      </c>
      <c r="AJ138" s="266"/>
      <c r="AK138" s="285">
        <v>0</v>
      </c>
      <c r="AL138" s="286">
        <v>0</v>
      </c>
      <c r="AM138" s="286">
        <v>0</v>
      </c>
      <c r="AN138" s="290">
        <v>0</v>
      </c>
      <c r="AO138" s="289">
        <v>0</v>
      </c>
      <c r="AP138" s="291">
        <v>4666195.0818283353</v>
      </c>
    </row>
    <row r="139" spans="1:42" ht="15.75" x14ac:dyDescent="0.25">
      <c r="A139" s="247">
        <v>1738957</v>
      </c>
      <c r="B139" t="s">
        <v>1770</v>
      </c>
      <c r="C139">
        <v>0</v>
      </c>
      <c r="D139" s="247">
        <v>1738957</v>
      </c>
      <c r="E139" s="247" t="s">
        <v>1406</v>
      </c>
      <c r="F139" s="247" t="s">
        <v>805</v>
      </c>
      <c r="G139" s="247" t="s">
        <v>1404</v>
      </c>
      <c r="H139" s="247">
        <v>1738957</v>
      </c>
      <c r="I139" s="247" t="s">
        <v>1142</v>
      </c>
      <c r="J139" s="247">
        <v>2020</v>
      </c>
      <c r="K139" s="248" t="s">
        <v>1405</v>
      </c>
      <c r="L139" s="247" t="s">
        <v>1156</v>
      </c>
      <c r="M139" s="308">
        <v>2</v>
      </c>
      <c r="N139" s="308">
        <v>2</v>
      </c>
      <c r="O139" s="308">
        <v>0</v>
      </c>
      <c r="P139" s="308">
        <v>0</v>
      </c>
      <c r="Q139" s="308">
        <v>0</v>
      </c>
      <c r="R139" s="247">
        <v>0</v>
      </c>
      <c r="S139" s="247">
        <v>0</v>
      </c>
      <c r="T139" s="247">
        <v>20</v>
      </c>
      <c r="U139" s="247">
        <v>0</v>
      </c>
      <c r="W139" s="284">
        <v>2</v>
      </c>
      <c r="X139" s="284">
        <v>2</v>
      </c>
      <c r="Y139" s="284">
        <v>0</v>
      </c>
      <c r="Z139" s="284">
        <v>0</v>
      </c>
      <c r="AA139" s="284">
        <v>0</v>
      </c>
      <c r="AB139" s="284">
        <v>0</v>
      </c>
      <c r="AC139" s="284">
        <v>20</v>
      </c>
      <c r="AE139" s="285">
        <v>1201622.7082953721</v>
      </c>
      <c r="AF139" s="286">
        <v>0</v>
      </c>
      <c r="AG139" s="287">
        <v>113235.14585763802</v>
      </c>
      <c r="AH139" s="288">
        <v>0</v>
      </c>
      <c r="AI139" s="289">
        <v>1314857.8541530101</v>
      </c>
      <c r="AJ139" s="266"/>
      <c r="AK139" s="285">
        <v>0</v>
      </c>
      <c r="AL139" s="286">
        <v>0</v>
      </c>
      <c r="AM139" s="286">
        <v>0</v>
      </c>
      <c r="AN139" s="290">
        <v>0</v>
      </c>
      <c r="AO139" s="289">
        <v>0</v>
      </c>
      <c r="AP139" s="291">
        <v>1314857.8541530101</v>
      </c>
    </row>
    <row r="140" spans="1:42" ht="15.75" x14ac:dyDescent="0.25">
      <c r="A140" s="247">
        <v>2174839</v>
      </c>
      <c r="B140" t="s">
        <v>1770</v>
      </c>
      <c r="C140">
        <v>0</v>
      </c>
      <c r="D140" s="247">
        <v>2174839</v>
      </c>
      <c r="E140" s="247" t="s">
        <v>899</v>
      </c>
      <c r="F140" s="247" t="s">
        <v>897</v>
      </c>
      <c r="G140" s="247" t="s">
        <v>1408</v>
      </c>
      <c r="H140" s="247">
        <v>2174839</v>
      </c>
      <c r="I140" s="247" t="s">
        <v>1058</v>
      </c>
      <c r="J140" s="247">
        <v>2020</v>
      </c>
      <c r="K140" s="248" t="s">
        <v>1405</v>
      </c>
      <c r="L140" s="247" t="s">
        <v>1156</v>
      </c>
      <c r="M140" s="308">
        <v>5.5</v>
      </c>
      <c r="N140" s="308">
        <v>5.5</v>
      </c>
      <c r="O140" s="308">
        <v>0</v>
      </c>
      <c r="P140" s="308">
        <v>0</v>
      </c>
      <c r="Q140" s="308">
        <v>0</v>
      </c>
      <c r="R140" s="247">
        <v>0</v>
      </c>
      <c r="S140" s="247">
        <v>0</v>
      </c>
      <c r="T140" s="247">
        <v>55</v>
      </c>
      <c r="U140" s="247">
        <v>0</v>
      </c>
      <c r="W140" s="284">
        <v>5.5</v>
      </c>
      <c r="X140" s="284">
        <v>5.5</v>
      </c>
      <c r="Y140" s="284">
        <v>0</v>
      </c>
      <c r="Z140" s="284">
        <v>0</v>
      </c>
      <c r="AA140" s="284">
        <v>0</v>
      </c>
      <c r="AB140" s="284">
        <v>0</v>
      </c>
      <c r="AC140" s="284">
        <v>55</v>
      </c>
      <c r="AE140" s="285">
        <v>3304462.4478122732</v>
      </c>
      <c r="AF140" s="286">
        <v>0</v>
      </c>
      <c r="AG140" s="287">
        <v>311396.65110850456</v>
      </c>
      <c r="AH140" s="288">
        <v>0</v>
      </c>
      <c r="AI140" s="289">
        <v>3615859.0989207779</v>
      </c>
      <c r="AJ140" s="266"/>
      <c r="AK140" s="285">
        <v>0</v>
      </c>
      <c r="AL140" s="286">
        <v>0</v>
      </c>
      <c r="AM140" s="286">
        <v>0</v>
      </c>
      <c r="AN140" s="290">
        <v>0</v>
      </c>
      <c r="AO140" s="289">
        <v>0</v>
      </c>
      <c r="AP140" s="291">
        <v>3615859.0989207779</v>
      </c>
    </row>
    <row r="141" spans="1:42" ht="15.75" x14ac:dyDescent="0.25">
      <c r="A141" s="254">
        <v>2174839</v>
      </c>
      <c r="B141" t="s">
        <v>1770</v>
      </c>
      <c r="C141">
        <v>0</v>
      </c>
      <c r="D141" s="254">
        <v>2174839</v>
      </c>
      <c r="E141" s="254" t="s">
        <v>899</v>
      </c>
      <c r="F141" s="254" t="s">
        <v>897</v>
      </c>
      <c r="G141" s="254" t="s">
        <v>1409</v>
      </c>
      <c r="H141" s="254">
        <v>2174839</v>
      </c>
      <c r="I141" s="247" t="s">
        <v>1151</v>
      </c>
      <c r="J141" s="247">
        <v>2020</v>
      </c>
      <c r="K141" s="248" t="s">
        <v>1405</v>
      </c>
      <c r="L141" s="247" t="s">
        <v>1156</v>
      </c>
      <c r="M141" s="256">
        <v>0.5</v>
      </c>
      <c r="N141" s="256">
        <v>0.5</v>
      </c>
      <c r="O141" s="256">
        <v>0</v>
      </c>
      <c r="P141" s="256">
        <v>0</v>
      </c>
      <c r="Q141" s="256">
        <v>0</v>
      </c>
      <c r="R141" s="256">
        <v>0</v>
      </c>
      <c r="S141" s="256">
        <v>0</v>
      </c>
      <c r="T141" s="256">
        <v>15</v>
      </c>
      <c r="U141" s="256">
        <v>0</v>
      </c>
      <c r="W141" s="284">
        <v>0.5</v>
      </c>
      <c r="X141" s="284">
        <v>0.5</v>
      </c>
      <c r="Y141" s="284">
        <v>0</v>
      </c>
      <c r="Z141" s="284">
        <v>0</v>
      </c>
      <c r="AA141" s="284">
        <v>0</v>
      </c>
      <c r="AB141" s="284">
        <v>0</v>
      </c>
      <c r="AC141" s="284">
        <v>15</v>
      </c>
      <c r="AE141" s="285">
        <v>300405.67707384302</v>
      </c>
      <c r="AF141" s="286">
        <v>0</v>
      </c>
      <c r="AG141" s="287">
        <v>28308.786464409506</v>
      </c>
      <c r="AH141" s="288">
        <v>0</v>
      </c>
      <c r="AI141" s="289">
        <v>328714.46353825252</v>
      </c>
      <c r="AJ141" s="266"/>
      <c r="AK141" s="285">
        <v>0</v>
      </c>
      <c r="AL141" s="286">
        <v>0</v>
      </c>
      <c r="AM141" s="286">
        <v>0</v>
      </c>
      <c r="AN141" s="290">
        <v>0</v>
      </c>
      <c r="AO141" s="289">
        <v>0</v>
      </c>
      <c r="AP141" s="291">
        <v>328714.46353825252</v>
      </c>
    </row>
    <row r="142" spans="1:42" ht="15.75" x14ac:dyDescent="0.25">
      <c r="A142" s="247">
        <v>2315315</v>
      </c>
      <c r="B142" t="s">
        <v>1770</v>
      </c>
      <c r="C142">
        <v>0</v>
      </c>
      <c r="D142" s="247">
        <v>2315315</v>
      </c>
      <c r="E142" s="247" t="s">
        <v>1411</v>
      </c>
      <c r="F142" s="247" t="s">
        <v>805</v>
      </c>
      <c r="G142" s="247" t="s">
        <v>1410</v>
      </c>
      <c r="H142" s="247">
        <v>2315315</v>
      </c>
      <c r="I142" s="247" t="s">
        <v>1068</v>
      </c>
      <c r="J142" s="247">
        <v>2020</v>
      </c>
      <c r="K142" s="248" t="s">
        <v>1405</v>
      </c>
      <c r="L142" s="247" t="s">
        <v>1156</v>
      </c>
      <c r="M142" s="308">
        <v>2</v>
      </c>
      <c r="N142" s="308">
        <v>2</v>
      </c>
      <c r="O142" s="308">
        <v>0</v>
      </c>
      <c r="P142" s="308">
        <v>0</v>
      </c>
      <c r="Q142" s="308">
        <v>0</v>
      </c>
      <c r="R142" s="247">
        <v>0</v>
      </c>
      <c r="S142" s="247">
        <v>0</v>
      </c>
      <c r="T142" s="247">
        <v>20</v>
      </c>
      <c r="U142" s="247">
        <v>0</v>
      </c>
      <c r="W142" s="284">
        <v>2</v>
      </c>
      <c r="X142" s="284">
        <v>2</v>
      </c>
      <c r="Y142" s="284">
        <v>0</v>
      </c>
      <c r="Z142" s="284">
        <v>0</v>
      </c>
      <c r="AA142" s="284">
        <v>0</v>
      </c>
      <c r="AB142" s="284">
        <v>0</v>
      </c>
      <c r="AC142" s="284">
        <v>20</v>
      </c>
      <c r="AE142" s="285">
        <v>1201622.7082953721</v>
      </c>
      <c r="AF142" s="286">
        <v>0</v>
      </c>
      <c r="AG142" s="287">
        <v>113235.14585763802</v>
      </c>
      <c r="AH142" s="288">
        <v>0</v>
      </c>
      <c r="AI142" s="289">
        <v>1314857.8541530101</v>
      </c>
      <c r="AJ142" s="266"/>
      <c r="AK142" s="285">
        <v>0</v>
      </c>
      <c r="AL142" s="286">
        <v>0</v>
      </c>
      <c r="AM142" s="286">
        <v>0</v>
      </c>
      <c r="AN142" s="290">
        <v>0</v>
      </c>
      <c r="AO142" s="289">
        <v>0</v>
      </c>
      <c r="AP142" s="291">
        <v>1314857.8541530101</v>
      </c>
    </row>
    <row r="143" spans="1:42" ht="15.75" x14ac:dyDescent="0.25">
      <c r="A143" s="247">
        <v>6607461</v>
      </c>
      <c r="B143" t="s">
        <v>1770</v>
      </c>
      <c r="C143">
        <v>0</v>
      </c>
      <c r="D143" s="247">
        <v>6607461</v>
      </c>
      <c r="E143" s="247" t="s">
        <v>810</v>
      </c>
      <c r="F143" s="247" t="s">
        <v>805</v>
      </c>
      <c r="G143" s="247" t="s">
        <v>1414</v>
      </c>
      <c r="H143" s="247">
        <v>6607461</v>
      </c>
      <c r="I143" s="247" t="s">
        <v>1144</v>
      </c>
      <c r="J143" s="247">
        <v>2020</v>
      </c>
      <c r="K143" s="248" t="s">
        <v>1405</v>
      </c>
      <c r="L143" s="247" t="s">
        <v>1156</v>
      </c>
      <c r="M143" s="308">
        <v>2</v>
      </c>
      <c r="N143" s="308">
        <v>2</v>
      </c>
      <c r="O143" s="308">
        <v>0</v>
      </c>
      <c r="P143" s="308">
        <v>0</v>
      </c>
      <c r="Q143" s="308">
        <v>0</v>
      </c>
      <c r="R143" s="247">
        <v>0</v>
      </c>
      <c r="S143" s="247">
        <v>0</v>
      </c>
      <c r="T143" s="247">
        <v>20</v>
      </c>
      <c r="U143" s="247">
        <v>0</v>
      </c>
      <c r="W143" s="284">
        <v>2</v>
      </c>
      <c r="X143" s="284">
        <v>2</v>
      </c>
      <c r="Y143" s="284">
        <v>0</v>
      </c>
      <c r="Z143" s="284">
        <v>0</v>
      </c>
      <c r="AA143" s="284">
        <v>0</v>
      </c>
      <c r="AB143" s="284">
        <v>0</v>
      </c>
      <c r="AC143" s="284">
        <v>20</v>
      </c>
      <c r="AE143" s="285">
        <v>1201622.7082953721</v>
      </c>
      <c r="AF143" s="286">
        <v>0</v>
      </c>
      <c r="AG143" s="287">
        <v>113235.14585763802</v>
      </c>
      <c r="AH143" s="288">
        <v>0</v>
      </c>
      <c r="AI143" s="289">
        <v>1314857.8541530101</v>
      </c>
      <c r="AJ143" s="266"/>
      <c r="AK143" s="285">
        <v>0</v>
      </c>
      <c r="AL143" s="286">
        <v>0</v>
      </c>
      <c r="AM143" s="286">
        <v>0</v>
      </c>
      <c r="AN143" s="290">
        <v>0</v>
      </c>
      <c r="AO143" s="289">
        <v>0</v>
      </c>
      <c r="AP143" s="291">
        <v>1314857.8541530101</v>
      </c>
    </row>
    <row r="144" spans="1:42" ht="15.75" x14ac:dyDescent="0.25">
      <c r="A144" s="247">
        <v>8102124</v>
      </c>
      <c r="B144" t="s">
        <v>1770</v>
      </c>
      <c r="C144">
        <v>0</v>
      </c>
      <c r="D144" s="247">
        <v>8102124</v>
      </c>
      <c r="E144" s="247" t="s">
        <v>1418</v>
      </c>
      <c r="F144" s="247" t="s">
        <v>553</v>
      </c>
      <c r="G144" s="247" t="s">
        <v>1417</v>
      </c>
      <c r="H144" s="247">
        <v>8102124</v>
      </c>
      <c r="I144" s="247" t="s">
        <v>1134</v>
      </c>
      <c r="J144" s="247">
        <v>2020</v>
      </c>
      <c r="K144" s="248" t="s">
        <v>1405</v>
      </c>
      <c r="L144" s="247" t="s">
        <v>1156</v>
      </c>
      <c r="M144" s="308">
        <v>1.6</v>
      </c>
      <c r="N144" s="308">
        <v>1.3</v>
      </c>
      <c r="O144" s="308">
        <v>0.3</v>
      </c>
      <c r="P144" s="308">
        <v>0</v>
      </c>
      <c r="Q144" s="308">
        <v>0</v>
      </c>
      <c r="R144" s="247">
        <v>0</v>
      </c>
      <c r="S144" s="247">
        <v>0</v>
      </c>
      <c r="T144" s="247">
        <v>25</v>
      </c>
      <c r="U144" s="247">
        <v>0</v>
      </c>
      <c r="W144" s="284">
        <v>1.6</v>
      </c>
      <c r="X144" s="284">
        <v>1.3</v>
      </c>
      <c r="Y144" s="284">
        <v>0.3</v>
      </c>
      <c r="Z144" s="284">
        <v>0</v>
      </c>
      <c r="AA144" s="284">
        <v>0</v>
      </c>
      <c r="AB144" s="284">
        <v>0</v>
      </c>
      <c r="AC144" s="284">
        <v>25</v>
      </c>
      <c r="AE144" s="285">
        <v>961298.16663629771</v>
      </c>
      <c r="AF144" s="286">
        <v>0</v>
      </c>
      <c r="AG144" s="287">
        <v>90588.116686110428</v>
      </c>
      <c r="AH144" s="288">
        <v>0</v>
      </c>
      <c r="AI144" s="289">
        <v>1051886.2833224081</v>
      </c>
      <c r="AJ144" s="266"/>
      <c r="AK144" s="285">
        <v>0</v>
      </c>
      <c r="AL144" s="286">
        <v>0</v>
      </c>
      <c r="AM144" s="286">
        <v>0</v>
      </c>
      <c r="AN144" s="290">
        <v>0</v>
      </c>
      <c r="AO144" s="289">
        <v>0</v>
      </c>
      <c r="AP144" s="291">
        <v>1051886.2833224081</v>
      </c>
    </row>
    <row r="145" spans="1:42" ht="15.75" x14ac:dyDescent="0.25">
      <c r="A145" s="247">
        <v>8350990</v>
      </c>
      <c r="B145" t="s">
        <v>1770</v>
      </c>
      <c r="C145">
        <v>0</v>
      </c>
      <c r="D145" s="247">
        <v>8350990</v>
      </c>
      <c r="E145" s="247" t="s">
        <v>846</v>
      </c>
      <c r="F145" s="247" t="s">
        <v>842</v>
      </c>
      <c r="G145" s="247" t="s">
        <v>1419</v>
      </c>
      <c r="H145" s="247">
        <v>8350990</v>
      </c>
      <c r="I145" s="247" t="s">
        <v>1063</v>
      </c>
      <c r="J145" s="247">
        <v>2020</v>
      </c>
      <c r="K145" s="248" t="s">
        <v>1405</v>
      </c>
      <c r="L145" s="247" t="s">
        <v>1156</v>
      </c>
      <c r="M145" s="308">
        <v>3</v>
      </c>
      <c r="N145" s="308">
        <v>1</v>
      </c>
      <c r="O145" s="308">
        <v>2</v>
      </c>
      <c r="P145" s="308">
        <v>0</v>
      </c>
      <c r="Q145" s="308">
        <v>0</v>
      </c>
      <c r="R145" s="247">
        <v>0</v>
      </c>
      <c r="S145" s="247">
        <v>0</v>
      </c>
      <c r="T145" s="247">
        <v>50</v>
      </c>
      <c r="U145" s="247">
        <v>0</v>
      </c>
      <c r="W145" s="284">
        <v>3</v>
      </c>
      <c r="X145" s="284">
        <v>1</v>
      </c>
      <c r="Y145" s="284">
        <v>2</v>
      </c>
      <c r="Z145" s="284">
        <v>0</v>
      </c>
      <c r="AA145" s="284">
        <v>0</v>
      </c>
      <c r="AB145" s="284">
        <v>0</v>
      </c>
      <c r="AC145" s="284">
        <v>50</v>
      </c>
      <c r="AE145" s="285">
        <v>1802434.062443058</v>
      </c>
      <c r="AF145" s="286">
        <v>0</v>
      </c>
      <c r="AG145" s="287">
        <v>169852.71878645703</v>
      </c>
      <c r="AH145" s="288">
        <v>0</v>
      </c>
      <c r="AI145" s="289">
        <v>1972286.7812295151</v>
      </c>
      <c r="AJ145" s="266"/>
      <c r="AK145" s="285">
        <v>0</v>
      </c>
      <c r="AL145" s="286">
        <v>0</v>
      </c>
      <c r="AM145" s="286">
        <v>0</v>
      </c>
      <c r="AN145" s="290">
        <v>0</v>
      </c>
      <c r="AO145" s="289">
        <v>0</v>
      </c>
      <c r="AP145" s="291">
        <v>1972286.7812295151</v>
      </c>
    </row>
    <row r="146" spans="1:42" ht="15.75" x14ac:dyDescent="0.25">
      <c r="A146" s="247">
        <v>8411392</v>
      </c>
      <c r="B146" t="s">
        <v>1770</v>
      </c>
      <c r="C146">
        <v>0</v>
      </c>
      <c r="D146" s="247">
        <v>8411392</v>
      </c>
      <c r="E146" s="247" t="s">
        <v>1421</v>
      </c>
      <c r="F146" s="247" t="s">
        <v>909</v>
      </c>
      <c r="G146" s="247" t="s">
        <v>1420</v>
      </c>
      <c r="H146" s="247">
        <v>8411392</v>
      </c>
      <c r="I146" s="247" t="s">
        <v>1058</v>
      </c>
      <c r="J146" s="247">
        <v>2020</v>
      </c>
      <c r="K146" s="248" t="s">
        <v>1405</v>
      </c>
      <c r="L146" s="247" t="s">
        <v>1156</v>
      </c>
      <c r="M146" s="308">
        <v>6.5</v>
      </c>
      <c r="N146" s="308">
        <v>6.25</v>
      </c>
      <c r="O146" s="308">
        <v>0.25</v>
      </c>
      <c r="P146" s="308">
        <v>0</v>
      </c>
      <c r="Q146" s="308">
        <v>0</v>
      </c>
      <c r="R146" s="247">
        <v>0</v>
      </c>
      <c r="S146" s="247">
        <v>0</v>
      </c>
      <c r="T146" s="247">
        <v>57</v>
      </c>
      <c r="U146" s="247">
        <v>0</v>
      </c>
      <c r="W146" s="284">
        <v>6.5</v>
      </c>
      <c r="X146" s="284">
        <v>6.25</v>
      </c>
      <c r="Y146" s="284">
        <v>0.25</v>
      </c>
      <c r="Z146" s="284">
        <v>0</v>
      </c>
      <c r="AA146" s="284">
        <v>0</v>
      </c>
      <c r="AB146" s="284">
        <v>0</v>
      </c>
      <c r="AC146" s="284">
        <v>57</v>
      </c>
      <c r="AE146" s="285">
        <v>3905273.8019599593</v>
      </c>
      <c r="AF146" s="286">
        <v>0</v>
      </c>
      <c r="AG146" s="287">
        <v>368014.22403732355</v>
      </c>
      <c r="AH146" s="288">
        <v>0</v>
      </c>
      <c r="AI146" s="289">
        <v>4273288.0259972829</v>
      </c>
      <c r="AJ146" s="266"/>
      <c r="AK146" s="285">
        <v>0</v>
      </c>
      <c r="AL146" s="286">
        <v>0</v>
      </c>
      <c r="AM146" s="286">
        <v>0</v>
      </c>
      <c r="AN146" s="290">
        <v>0</v>
      </c>
      <c r="AO146" s="289">
        <v>0</v>
      </c>
      <c r="AP146" s="291">
        <v>4273288.0259972829</v>
      </c>
    </row>
    <row r="147" spans="1:42" ht="15.75" x14ac:dyDescent="0.25">
      <c r="A147" s="247">
        <v>1968420</v>
      </c>
      <c r="B147" t="s">
        <v>1770</v>
      </c>
      <c r="C147">
        <v>0</v>
      </c>
      <c r="D147" s="247">
        <v>1968420</v>
      </c>
      <c r="E147" s="247" t="s">
        <v>1388</v>
      </c>
      <c r="F147" s="247" t="s">
        <v>776</v>
      </c>
      <c r="G147" s="247" t="s">
        <v>1424</v>
      </c>
      <c r="H147" s="247">
        <v>1968420</v>
      </c>
      <c r="I147" s="247" t="s">
        <v>1058</v>
      </c>
      <c r="J147" s="247">
        <v>2020</v>
      </c>
      <c r="K147" s="261" t="s">
        <v>1423</v>
      </c>
      <c r="L147" s="247" t="s">
        <v>1125</v>
      </c>
      <c r="M147" s="308">
        <v>6.11</v>
      </c>
      <c r="N147" s="308">
        <v>0.25</v>
      </c>
      <c r="O147" s="308">
        <v>5.86</v>
      </c>
      <c r="P147" s="308">
        <v>0</v>
      </c>
      <c r="Q147" s="308">
        <v>0</v>
      </c>
      <c r="R147" s="247">
        <v>67</v>
      </c>
      <c r="S147" s="247">
        <v>0</v>
      </c>
      <c r="T147" s="247">
        <v>90</v>
      </c>
      <c r="U147" s="247">
        <v>0</v>
      </c>
      <c r="W147" s="284">
        <v>6.11</v>
      </c>
      <c r="X147" s="284">
        <v>0.25</v>
      </c>
      <c r="Y147" s="284">
        <v>5.86</v>
      </c>
      <c r="Z147" s="284">
        <v>0</v>
      </c>
      <c r="AA147" s="284">
        <v>0</v>
      </c>
      <c r="AB147" s="284">
        <v>67</v>
      </c>
      <c r="AC147" s="284">
        <v>90</v>
      </c>
      <c r="AE147" s="285">
        <v>4327990.8495418672</v>
      </c>
      <c r="AF147" s="286">
        <v>0</v>
      </c>
      <c r="AG147" s="287">
        <v>1474374.3796284634</v>
      </c>
      <c r="AH147" s="288">
        <v>0</v>
      </c>
      <c r="AI147" s="289">
        <v>5802365.2291703308</v>
      </c>
      <c r="AJ147" s="266"/>
      <c r="AK147" s="285">
        <v>0</v>
      </c>
      <c r="AL147" s="286">
        <v>0</v>
      </c>
      <c r="AM147" s="286">
        <v>468464</v>
      </c>
      <c r="AN147" s="290">
        <v>0</v>
      </c>
      <c r="AO147" s="289">
        <v>468464</v>
      </c>
      <c r="AP147" s="291">
        <v>5333901.2291703308</v>
      </c>
    </row>
    <row r="148" spans="1:42" ht="15.75" x14ac:dyDescent="0.25">
      <c r="A148" s="247">
        <v>1907533</v>
      </c>
      <c r="B148" t="s">
        <v>1770</v>
      </c>
      <c r="C148">
        <v>0</v>
      </c>
      <c r="D148" s="247">
        <v>1907533</v>
      </c>
      <c r="E148" s="247" t="s">
        <v>379</v>
      </c>
      <c r="F148" s="247" t="s">
        <v>805</v>
      </c>
      <c r="G148" s="247" t="s">
        <v>1429</v>
      </c>
      <c r="H148" s="247">
        <v>1907533</v>
      </c>
      <c r="I148" s="247" t="s">
        <v>1068</v>
      </c>
      <c r="J148" s="247">
        <v>2020</v>
      </c>
      <c r="K148" s="248" t="s">
        <v>1427</v>
      </c>
      <c r="L148" s="247" t="s">
        <v>1057</v>
      </c>
      <c r="M148" s="308">
        <v>6.7</v>
      </c>
      <c r="N148" s="308">
        <v>5.5</v>
      </c>
      <c r="O148" s="308">
        <v>0</v>
      </c>
      <c r="P148" s="308">
        <v>0</v>
      </c>
      <c r="Q148" s="308">
        <v>1.2</v>
      </c>
      <c r="R148" s="247">
        <v>0</v>
      </c>
      <c r="S148" s="247">
        <v>0</v>
      </c>
      <c r="T148" s="247">
        <v>40</v>
      </c>
      <c r="U148" s="247">
        <v>0</v>
      </c>
      <c r="W148" s="284">
        <v>6.7</v>
      </c>
      <c r="X148" s="284">
        <v>5.5</v>
      </c>
      <c r="Y148" s="284">
        <v>0</v>
      </c>
      <c r="Z148" s="284">
        <v>0</v>
      </c>
      <c r="AA148" s="284">
        <v>1.2</v>
      </c>
      <c r="AB148" s="284">
        <v>0</v>
      </c>
      <c r="AC148" s="284">
        <v>40</v>
      </c>
      <c r="AE148" s="285">
        <v>4515528.1533366125</v>
      </c>
      <c r="AF148" s="286">
        <v>0</v>
      </c>
      <c r="AG148" s="287">
        <v>301568.97814746114</v>
      </c>
      <c r="AH148" s="288">
        <v>0</v>
      </c>
      <c r="AI148" s="289">
        <v>4817097.1314840736</v>
      </c>
      <c r="AJ148" s="266"/>
      <c r="AK148" s="285">
        <v>0</v>
      </c>
      <c r="AL148" s="286">
        <v>0</v>
      </c>
      <c r="AM148" s="286">
        <v>0</v>
      </c>
      <c r="AN148" s="290">
        <v>0</v>
      </c>
      <c r="AO148" s="289">
        <v>0</v>
      </c>
      <c r="AP148" s="291">
        <v>4817097.1314840736</v>
      </c>
    </row>
    <row r="149" spans="1:42" ht="15.75" x14ac:dyDescent="0.25">
      <c r="A149" s="247">
        <v>1907533</v>
      </c>
      <c r="B149" t="s">
        <v>1770</v>
      </c>
      <c r="C149">
        <v>0</v>
      </c>
      <c r="D149" s="247">
        <v>1907533</v>
      </c>
      <c r="E149" s="247" t="s">
        <v>379</v>
      </c>
      <c r="F149" s="247" t="s">
        <v>805</v>
      </c>
      <c r="G149" s="247" t="s">
        <v>1430</v>
      </c>
      <c r="H149" s="247">
        <v>1907533</v>
      </c>
      <c r="I149" s="247" t="s">
        <v>1068</v>
      </c>
      <c r="J149" s="247">
        <v>2020</v>
      </c>
      <c r="K149" s="248" t="s">
        <v>1427</v>
      </c>
      <c r="L149" s="247" t="s">
        <v>1125</v>
      </c>
      <c r="M149" s="308">
        <v>2</v>
      </c>
      <c r="N149" s="308">
        <v>2</v>
      </c>
      <c r="O149" s="308">
        <v>0</v>
      </c>
      <c r="P149" s="308">
        <v>0</v>
      </c>
      <c r="Q149" s="308">
        <v>0</v>
      </c>
      <c r="R149" s="247">
        <v>0</v>
      </c>
      <c r="S149" s="247">
        <v>0</v>
      </c>
      <c r="T149" s="247">
        <v>40</v>
      </c>
      <c r="U149" s="247">
        <v>0</v>
      </c>
      <c r="W149" s="284">
        <v>2</v>
      </c>
      <c r="X149" s="284">
        <v>2</v>
      </c>
      <c r="Y149" s="284">
        <v>0</v>
      </c>
      <c r="Z149" s="284">
        <v>0</v>
      </c>
      <c r="AA149" s="284">
        <v>0</v>
      </c>
      <c r="AB149" s="284">
        <v>0</v>
      </c>
      <c r="AC149" s="284">
        <v>40</v>
      </c>
      <c r="AE149" s="285">
        <v>1347918.8517422723</v>
      </c>
      <c r="AF149" s="286">
        <v>0</v>
      </c>
      <c r="AG149" s="287">
        <v>90020.59049177944</v>
      </c>
      <c r="AH149" s="288">
        <v>0</v>
      </c>
      <c r="AI149" s="289">
        <v>1437939.4422340516</v>
      </c>
      <c r="AJ149" s="266"/>
      <c r="AK149" s="285">
        <v>0</v>
      </c>
      <c r="AL149" s="286">
        <v>0</v>
      </c>
      <c r="AM149" s="286">
        <v>0</v>
      </c>
      <c r="AN149" s="290">
        <v>0</v>
      </c>
      <c r="AO149" s="289">
        <v>0</v>
      </c>
      <c r="AP149" s="291">
        <v>1437939.4422340516</v>
      </c>
    </row>
    <row r="150" spans="1:42" ht="15.75" x14ac:dyDescent="0.25">
      <c r="A150" s="247">
        <v>2788586</v>
      </c>
      <c r="B150" t="s">
        <v>1770</v>
      </c>
      <c r="C150">
        <v>0</v>
      </c>
      <c r="D150" s="247">
        <v>2788586</v>
      </c>
      <c r="E150" s="247" t="s">
        <v>828</v>
      </c>
      <c r="F150" s="247" t="s">
        <v>826</v>
      </c>
      <c r="G150" s="247" t="s">
        <v>1431</v>
      </c>
      <c r="H150" s="247">
        <v>2788586</v>
      </c>
      <c r="I150" s="247" t="s">
        <v>1073</v>
      </c>
      <c r="J150" s="247">
        <v>2020</v>
      </c>
      <c r="K150" s="248" t="s">
        <v>1427</v>
      </c>
      <c r="L150" s="247" t="s">
        <v>1057</v>
      </c>
      <c r="M150" s="308">
        <v>2.25</v>
      </c>
      <c r="N150" s="308">
        <v>2.25</v>
      </c>
      <c r="O150" s="308">
        <v>0</v>
      </c>
      <c r="P150" s="308">
        <v>0</v>
      </c>
      <c r="Q150" s="308">
        <v>0</v>
      </c>
      <c r="R150" s="247">
        <v>0</v>
      </c>
      <c r="S150" s="247">
        <v>23</v>
      </c>
      <c r="T150" s="247">
        <v>3</v>
      </c>
      <c r="U150" s="247">
        <v>0</v>
      </c>
      <c r="W150" s="284">
        <v>2.25</v>
      </c>
      <c r="X150" s="284">
        <v>2.25</v>
      </c>
      <c r="Y150" s="284">
        <v>0</v>
      </c>
      <c r="Z150" s="284">
        <v>0</v>
      </c>
      <c r="AA150" s="284">
        <v>0</v>
      </c>
      <c r="AB150" s="284">
        <v>0</v>
      </c>
      <c r="AC150" s="284">
        <v>3</v>
      </c>
      <c r="AE150" s="285">
        <v>1516408.7082100562</v>
      </c>
      <c r="AF150" s="286">
        <v>0</v>
      </c>
      <c r="AG150" s="287">
        <v>101273.16430325186</v>
      </c>
      <c r="AH150" s="288">
        <v>0</v>
      </c>
      <c r="AI150" s="289">
        <v>1617681.872513308</v>
      </c>
      <c r="AJ150" s="266"/>
      <c r="AK150" s="285">
        <v>0</v>
      </c>
      <c r="AL150" s="286">
        <v>0</v>
      </c>
      <c r="AM150" s="286">
        <v>0</v>
      </c>
      <c r="AN150" s="290">
        <v>0</v>
      </c>
      <c r="AO150" s="289">
        <v>0</v>
      </c>
      <c r="AP150" s="291">
        <v>1617681.872513308</v>
      </c>
    </row>
    <row r="151" spans="1:42" ht="15.75" x14ac:dyDescent="0.25">
      <c r="A151" s="247">
        <v>4526227</v>
      </c>
      <c r="B151" t="s">
        <v>1770</v>
      </c>
      <c r="C151">
        <v>0</v>
      </c>
      <c r="D151" s="247">
        <v>4526227</v>
      </c>
      <c r="E151" s="247" t="s">
        <v>1433</v>
      </c>
      <c r="F151" s="247" t="s">
        <v>553</v>
      </c>
      <c r="G151" s="247" t="s">
        <v>1432</v>
      </c>
      <c r="H151" s="247">
        <v>4526227</v>
      </c>
      <c r="I151" s="247" t="s">
        <v>1134</v>
      </c>
      <c r="J151" s="247">
        <v>2020</v>
      </c>
      <c r="K151" s="248" t="s">
        <v>1427</v>
      </c>
      <c r="L151" s="247" t="s">
        <v>1125</v>
      </c>
      <c r="M151" s="308">
        <v>2.95</v>
      </c>
      <c r="N151" s="308">
        <v>1.5</v>
      </c>
      <c r="O151" s="308">
        <v>1.45</v>
      </c>
      <c r="P151" s="308">
        <v>0</v>
      </c>
      <c r="Q151" s="308">
        <v>0</v>
      </c>
      <c r="R151" s="247">
        <v>0</v>
      </c>
      <c r="S151" s="247">
        <v>29</v>
      </c>
      <c r="T151" s="247">
        <v>0</v>
      </c>
      <c r="U151" s="247">
        <v>0</v>
      </c>
      <c r="W151" s="284">
        <v>2.95</v>
      </c>
      <c r="X151" s="284">
        <v>1.5</v>
      </c>
      <c r="Y151" s="284">
        <v>1.45</v>
      </c>
      <c r="Z151" s="284">
        <v>0</v>
      </c>
      <c r="AA151" s="284">
        <v>0</v>
      </c>
      <c r="AB151" s="284">
        <v>0</v>
      </c>
      <c r="AC151" s="284">
        <v>0</v>
      </c>
      <c r="AE151" s="285">
        <v>1988180.3063198517</v>
      </c>
      <c r="AF151" s="286">
        <v>0</v>
      </c>
      <c r="AG151" s="287">
        <v>132780.37097537468</v>
      </c>
      <c r="AH151" s="288">
        <v>0</v>
      </c>
      <c r="AI151" s="289">
        <v>2120960.6772952261</v>
      </c>
      <c r="AJ151" s="266"/>
      <c r="AK151" s="285">
        <v>0</v>
      </c>
      <c r="AL151" s="286">
        <v>0</v>
      </c>
      <c r="AM151" s="286">
        <v>0</v>
      </c>
      <c r="AN151" s="290">
        <v>0</v>
      </c>
      <c r="AO151" s="289">
        <v>0</v>
      </c>
      <c r="AP151" s="291">
        <v>2120960.6772952261</v>
      </c>
    </row>
    <row r="152" spans="1:42" ht="15.75" x14ac:dyDescent="0.25">
      <c r="A152" s="247">
        <v>4533728</v>
      </c>
      <c r="B152" t="s">
        <v>1770</v>
      </c>
      <c r="C152">
        <v>0</v>
      </c>
      <c r="D152" s="247">
        <v>4533728</v>
      </c>
      <c r="E152" s="247" t="s">
        <v>911</v>
      </c>
      <c r="F152" s="247" t="s">
        <v>909</v>
      </c>
      <c r="G152" s="247" t="s">
        <v>1434</v>
      </c>
      <c r="H152" s="247">
        <v>4533728</v>
      </c>
      <c r="I152" s="247" t="s">
        <v>1058</v>
      </c>
      <c r="J152" s="247">
        <v>2020</v>
      </c>
      <c r="K152" s="248" t="s">
        <v>1427</v>
      </c>
      <c r="L152" s="247" t="s">
        <v>1125</v>
      </c>
      <c r="M152" s="308">
        <v>6.55</v>
      </c>
      <c r="N152" s="308">
        <v>5</v>
      </c>
      <c r="O152" s="308">
        <v>1.5</v>
      </c>
      <c r="P152" s="308">
        <v>0</v>
      </c>
      <c r="Q152" s="308">
        <v>0.05</v>
      </c>
      <c r="R152" s="247">
        <v>0</v>
      </c>
      <c r="S152" s="247">
        <v>128</v>
      </c>
      <c r="T152" s="247">
        <v>40</v>
      </c>
      <c r="U152" s="247">
        <v>0</v>
      </c>
      <c r="W152" s="284">
        <v>6.55</v>
      </c>
      <c r="X152" s="284">
        <v>5</v>
      </c>
      <c r="Y152" s="284">
        <v>1.5</v>
      </c>
      <c r="Z152" s="284">
        <v>0</v>
      </c>
      <c r="AA152" s="284">
        <v>0.05</v>
      </c>
      <c r="AB152" s="284">
        <v>0</v>
      </c>
      <c r="AC152" s="284">
        <v>40</v>
      </c>
      <c r="AE152" s="285">
        <v>4414434.2394559411</v>
      </c>
      <c r="AF152" s="286">
        <v>0</v>
      </c>
      <c r="AG152" s="287">
        <v>294817.43386057764</v>
      </c>
      <c r="AH152" s="288">
        <v>0</v>
      </c>
      <c r="AI152" s="289">
        <v>4709251.6733165188</v>
      </c>
      <c r="AJ152" s="266"/>
      <c r="AK152" s="285">
        <v>0</v>
      </c>
      <c r="AL152" s="286">
        <v>0</v>
      </c>
      <c r="AM152" s="286">
        <v>0</v>
      </c>
      <c r="AN152" s="290">
        <v>0</v>
      </c>
      <c r="AO152" s="289">
        <v>0</v>
      </c>
      <c r="AP152" s="291">
        <v>4709251.6733165188</v>
      </c>
    </row>
    <row r="153" spans="1:42" ht="15.75" x14ac:dyDescent="0.25">
      <c r="A153" s="247">
        <v>5369609</v>
      </c>
      <c r="B153" t="s">
        <v>1770</v>
      </c>
      <c r="C153">
        <v>0</v>
      </c>
      <c r="D153" s="247">
        <v>5369609</v>
      </c>
      <c r="E153" s="247" t="s">
        <v>1020</v>
      </c>
      <c r="F153" s="247" t="s">
        <v>1018</v>
      </c>
      <c r="G153" s="247" t="s">
        <v>1437</v>
      </c>
      <c r="H153" s="247">
        <v>5369609</v>
      </c>
      <c r="I153" s="247" t="s">
        <v>1192</v>
      </c>
      <c r="J153" s="247">
        <v>2020</v>
      </c>
      <c r="K153" s="248" t="s">
        <v>1427</v>
      </c>
      <c r="L153" s="247" t="s">
        <v>1125</v>
      </c>
      <c r="M153" s="308">
        <v>3.5</v>
      </c>
      <c r="N153" s="308">
        <v>1.5</v>
      </c>
      <c r="O153" s="308">
        <v>2</v>
      </c>
      <c r="P153" s="308">
        <v>0</v>
      </c>
      <c r="Q153" s="308">
        <v>0</v>
      </c>
      <c r="R153" s="247">
        <v>0</v>
      </c>
      <c r="S153" s="247">
        <v>120</v>
      </c>
      <c r="T153" s="247">
        <v>0</v>
      </c>
      <c r="U153" s="247">
        <v>0</v>
      </c>
      <c r="W153" s="284">
        <v>3.5</v>
      </c>
      <c r="X153" s="284">
        <v>1.5</v>
      </c>
      <c r="Y153" s="284">
        <v>2</v>
      </c>
      <c r="Z153" s="284">
        <v>0</v>
      </c>
      <c r="AA153" s="284">
        <v>0</v>
      </c>
      <c r="AB153" s="284">
        <v>0</v>
      </c>
      <c r="AC153" s="284">
        <v>0</v>
      </c>
      <c r="AE153" s="285">
        <v>2358857.9905489767</v>
      </c>
      <c r="AF153" s="286">
        <v>0</v>
      </c>
      <c r="AG153" s="287">
        <v>157536.03336061403</v>
      </c>
      <c r="AH153" s="288">
        <v>0</v>
      </c>
      <c r="AI153" s="289">
        <v>2516394.0239095907</v>
      </c>
      <c r="AJ153" s="266"/>
      <c r="AK153" s="285">
        <v>0</v>
      </c>
      <c r="AL153" s="286">
        <v>0</v>
      </c>
      <c r="AM153" s="286">
        <v>0</v>
      </c>
      <c r="AN153" s="290">
        <v>0</v>
      </c>
      <c r="AO153" s="289">
        <v>0</v>
      </c>
      <c r="AP153" s="291">
        <v>2516394.0239095907</v>
      </c>
    </row>
    <row r="154" spans="1:42" ht="15.75" x14ac:dyDescent="0.25">
      <c r="A154" s="247">
        <v>6361701</v>
      </c>
      <c r="B154" t="s">
        <v>1770</v>
      </c>
      <c r="C154">
        <v>0</v>
      </c>
      <c r="D154" s="247">
        <v>6361701</v>
      </c>
      <c r="E154" s="247" t="s">
        <v>1438</v>
      </c>
      <c r="F154" s="247" t="s">
        <v>375</v>
      </c>
      <c r="G154" s="247" t="s">
        <v>1431</v>
      </c>
      <c r="H154" s="247">
        <v>6361701</v>
      </c>
      <c r="I154" s="247" t="s">
        <v>1073</v>
      </c>
      <c r="J154" s="247">
        <v>2020</v>
      </c>
      <c r="K154" s="248" t="s">
        <v>1427</v>
      </c>
      <c r="L154" s="247" t="s">
        <v>1057</v>
      </c>
      <c r="M154" s="308">
        <v>1.7</v>
      </c>
      <c r="N154" s="308">
        <v>1.7</v>
      </c>
      <c r="O154" s="308">
        <v>0</v>
      </c>
      <c r="P154" s="308">
        <v>0</v>
      </c>
      <c r="Q154" s="308">
        <v>0</v>
      </c>
      <c r="R154" s="247">
        <v>0</v>
      </c>
      <c r="S154" s="247">
        <v>20</v>
      </c>
      <c r="T154" s="247">
        <v>0</v>
      </c>
      <c r="U154" s="247">
        <v>0</v>
      </c>
      <c r="W154" s="284">
        <v>1.7</v>
      </c>
      <c r="X154" s="284">
        <v>1.7</v>
      </c>
      <c r="Y154" s="284">
        <v>0</v>
      </c>
      <c r="Z154" s="284">
        <v>0</v>
      </c>
      <c r="AA154" s="284">
        <v>0</v>
      </c>
      <c r="AB154" s="284">
        <v>0</v>
      </c>
      <c r="AC154" s="284">
        <v>0</v>
      </c>
      <c r="AE154" s="285">
        <v>1145731.0239809314</v>
      </c>
      <c r="AF154" s="286">
        <v>0</v>
      </c>
      <c r="AG154" s="287">
        <v>76517.501918012524</v>
      </c>
      <c r="AH154" s="288">
        <v>0</v>
      </c>
      <c r="AI154" s="289">
        <v>1222248.5258989439</v>
      </c>
      <c r="AJ154" s="266"/>
      <c r="AK154" s="285">
        <v>0</v>
      </c>
      <c r="AL154" s="286">
        <v>0</v>
      </c>
      <c r="AM154" s="286">
        <v>0</v>
      </c>
      <c r="AN154" s="290">
        <v>0</v>
      </c>
      <c r="AO154" s="289">
        <v>0</v>
      </c>
      <c r="AP154" s="291">
        <v>1222248.5258989439</v>
      </c>
    </row>
    <row r="155" spans="1:42" ht="15.75" x14ac:dyDescent="0.25">
      <c r="A155" s="247">
        <v>8382823</v>
      </c>
      <c r="B155" t="s">
        <v>1770</v>
      </c>
      <c r="C155">
        <v>0</v>
      </c>
      <c r="D155" s="247">
        <v>8382823</v>
      </c>
      <c r="E155" s="247" t="s">
        <v>1440</v>
      </c>
      <c r="F155" s="247" t="s">
        <v>402</v>
      </c>
      <c r="G155" s="247" t="s">
        <v>1439</v>
      </c>
      <c r="H155" s="247">
        <v>8382823</v>
      </c>
      <c r="I155" s="247" t="s">
        <v>1061</v>
      </c>
      <c r="J155" s="247">
        <v>2020</v>
      </c>
      <c r="K155" s="248" t="s">
        <v>1427</v>
      </c>
      <c r="L155" s="247" t="s">
        <v>1125</v>
      </c>
      <c r="M155" s="308">
        <v>3</v>
      </c>
      <c r="N155" s="308">
        <v>2.2000000000000002</v>
      </c>
      <c r="O155" s="308">
        <v>0.8</v>
      </c>
      <c r="P155" s="308">
        <v>0</v>
      </c>
      <c r="Q155" s="308">
        <v>0</v>
      </c>
      <c r="R155" s="247">
        <v>0</v>
      </c>
      <c r="S155" s="247">
        <v>35</v>
      </c>
      <c r="T155" s="247">
        <v>20</v>
      </c>
      <c r="U155" s="247">
        <v>0</v>
      </c>
      <c r="W155" s="284">
        <v>3</v>
      </c>
      <c r="X155" s="284">
        <v>2.2000000000000002</v>
      </c>
      <c r="Y155" s="284">
        <v>0.8</v>
      </c>
      <c r="Z155" s="284">
        <v>0</v>
      </c>
      <c r="AA155" s="284">
        <v>0</v>
      </c>
      <c r="AB155" s="284">
        <v>0</v>
      </c>
      <c r="AC155" s="284">
        <v>20</v>
      </c>
      <c r="AE155" s="285">
        <v>2021878.2776134084</v>
      </c>
      <c r="AF155" s="286">
        <v>0</v>
      </c>
      <c r="AG155" s="287">
        <v>135030.88573766916</v>
      </c>
      <c r="AH155" s="288">
        <v>0</v>
      </c>
      <c r="AI155" s="289">
        <v>2156909.1633510776</v>
      </c>
      <c r="AJ155" s="266"/>
      <c r="AK155" s="285">
        <v>0</v>
      </c>
      <c r="AL155" s="286">
        <v>0</v>
      </c>
      <c r="AM155" s="286">
        <v>0</v>
      </c>
      <c r="AN155" s="290">
        <v>0</v>
      </c>
      <c r="AO155" s="289">
        <v>0</v>
      </c>
      <c r="AP155" s="291">
        <v>2156909.1633510776</v>
      </c>
    </row>
    <row r="156" spans="1:42" ht="15.75" x14ac:dyDescent="0.25">
      <c r="A156" s="247">
        <v>8946698</v>
      </c>
      <c r="B156" t="s">
        <v>1770</v>
      </c>
      <c r="C156">
        <v>0</v>
      </c>
      <c r="D156" s="247">
        <v>8946698</v>
      </c>
      <c r="E156" s="247" t="s">
        <v>372</v>
      </c>
      <c r="F156" s="247" t="s">
        <v>367</v>
      </c>
      <c r="G156" s="247" t="s">
        <v>1441</v>
      </c>
      <c r="H156" s="247">
        <v>8946698</v>
      </c>
      <c r="I156" s="247" t="s">
        <v>1149</v>
      </c>
      <c r="J156" s="247">
        <v>2020</v>
      </c>
      <c r="K156" s="248" t="s">
        <v>1427</v>
      </c>
      <c r="L156" s="247" t="s">
        <v>1125</v>
      </c>
      <c r="M156" s="308">
        <v>4</v>
      </c>
      <c r="N156" s="308">
        <v>2</v>
      </c>
      <c r="O156" s="308">
        <v>2</v>
      </c>
      <c r="P156" s="308">
        <v>0</v>
      </c>
      <c r="Q156" s="308">
        <v>0</v>
      </c>
      <c r="R156" s="247">
        <v>0</v>
      </c>
      <c r="S156" s="247">
        <v>55</v>
      </c>
      <c r="T156" s="247">
        <v>0</v>
      </c>
      <c r="U156" s="247">
        <v>0</v>
      </c>
      <c r="W156" s="284">
        <v>4</v>
      </c>
      <c r="X156" s="284">
        <v>2</v>
      </c>
      <c r="Y156" s="284">
        <v>2</v>
      </c>
      <c r="Z156" s="284">
        <v>0</v>
      </c>
      <c r="AA156" s="284">
        <v>0</v>
      </c>
      <c r="AB156" s="284">
        <v>0</v>
      </c>
      <c r="AC156" s="284">
        <v>0</v>
      </c>
      <c r="AE156" s="285">
        <v>2695837.7034845445</v>
      </c>
      <c r="AF156" s="286">
        <v>0</v>
      </c>
      <c r="AG156" s="287">
        <v>180041.18098355888</v>
      </c>
      <c r="AH156" s="288">
        <v>0</v>
      </c>
      <c r="AI156" s="289">
        <v>2875878.8844681033</v>
      </c>
      <c r="AJ156" s="266"/>
      <c r="AK156" s="285">
        <v>0</v>
      </c>
      <c r="AL156" s="286">
        <v>0</v>
      </c>
      <c r="AM156" s="286">
        <v>0</v>
      </c>
      <c r="AN156" s="290">
        <v>0</v>
      </c>
      <c r="AO156" s="289">
        <v>0</v>
      </c>
      <c r="AP156" s="291">
        <v>2875878.8844681033</v>
      </c>
    </row>
    <row r="157" spans="1:42" ht="15.75" x14ac:dyDescent="0.25">
      <c r="A157" s="247">
        <v>8946698</v>
      </c>
      <c r="B157" t="s">
        <v>1770</v>
      </c>
      <c r="C157">
        <v>0</v>
      </c>
      <c r="D157" s="247">
        <v>8946698</v>
      </c>
      <c r="E157" s="247" t="s">
        <v>372</v>
      </c>
      <c r="F157" s="247" t="s">
        <v>367</v>
      </c>
      <c r="G157" s="247" t="s">
        <v>1442</v>
      </c>
      <c r="H157" s="247">
        <v>8946698</v>
      </c>
      <c r="I157" s="247" t="s">
        <v>1149</v>
      </c>
      <c r="J157" s="247">
        <v>2020</v>
      </c>
      <c r="K157" s="248" t="s">
        <v>1427</v>
      </c>
      <c r="L157" s="247" t="s">
        <v>1125</v>
      </c>
      <c r="M157" s="308">
        <v>2</v>
      </c>
      <c r="N157" s="308">
        <v>1</v>
      </c>
      <c r="O157" s="308">
        <v>1</v>
      </c>
      <c r="P157" s="308">
        <v>0</v>
      </c>
      <c r="Q157" s="308">
        <v>0</v>
      </c>
      <c r="R157" s="247">
        <v>0</v>
      </c>
      <c r="S157" s="247">
        <v>35</v>
      </c>
      <c r="T157" s="247">
        <v>0</v>
      </c>
      <c r="U157" s="247">
        <v>0</v>
      </c>
      <c r="W157" s="284">
        <v>2</v>
      </c>
      <c r="X157" s="284">
        <v>1</v>
      </c>
      <c r="Y157" s="284">
        <v>1</v>
      </c>
      <c r="Z157" s="284">
        <v>0</v>
      </c>
      <c r="AA157" s="284">
        <v>0</v>
      </c>
      <c r="AB157" s="284">
        <v>0</v>
      </c>
      <c r="AC157" s="284">
        <v>0</v>
      </c>
      <c r="AE157" s="285">
        <v>1347918.8517422723</v>
      </c>
      <c r="AF157" s="286">
        <v>0</v>
      </c>
      <c r="AG157" s="287">
        <v>90020.59049177944</v>
      </c>
      <c r="AH157" s="288">
        <v>0</v>
      </c>
      <c r="AI157" s="289">
        <v>1437939.4422340516</v>
      </c>
      <c r="AJ157" s="266"/>
      <c r="AK157" s="285">
        <v>0</v>
      </c>
      <c r="AL157" s="286">
        <v>0</v>
      </c>
      <c r="AM157" s="286">
        <v>0</v>
      </c>
      <c r="AN157" s="290">
        <v>0</v>
      </c>
      <c r="AO157" s="289">
        <v>0</v>
      </c>
      <c r="AP157" s="291">
        <v>1437939.4422340516</v>
      </c>
    </row>
    <row r="158" spans="1:42" ht="15.75" x14ac:dyDescent="0.25">
      <c r="A158" s="247">
        <v>9659243</v>
      </c>
      <c r="B158" t="s">
        <v>1770</v>
      </c>
      <c r="C158">
        <v>0</v>
      </c>
      <c r="D158" s="247">
        <v>9659243</v>
      </c>
      <c r="E158" s="247" t="s">
        <v>918</v>
      </c>
      <c r="F158" s="247" t="s">
        <v>909</v>
      </c>
      <c r="G158" s="247" t="s">
        <v>1443</v>
      </c>
      <c r="H158" s="247">
        <v>9659243</v>
      </c>
      <c r="I158" s="247" t="s">
        <v>1058</v>
      </c>
      <c r="J158" s="247">
        <v>2020</v>
      </c>
      <c r="K158" s="248" t="s">
        <v>1427</v>
      </c>
      <c r="L158" s="247" t="s">
        <v>1057</v>
      </c>
      <c r="M158" s="308">
        <v>1.2</v>
      </c>
      <c r="N158" s="308">
        <v>1.2</v>
      </c>
      <c r="O158" s="308">
        <v>0</v>
      </c>
      <c r="P158" s="308">
        <v>0</v>
      </c>
      <c r="Q158" s="308">
        <v>0</v>
      </c>
      <c r="R158" s="247">
        <v>0</v>
      </c>
      <c r="S158" s="247">
        <v>44</v>
      </c>
      <c r="T158" s="247">
        <v>0</v>
      </c>
      <c r="U158" s="247">
        <v>0</v>
      </c>
      <c r="W158" s="284">
        <v>1.2</v>
      </c>
      <c r="X158" s="284">
        <v>1.2</v>
      </c>
      <c r="Y158" s="284">
        <v>0</v>
      </c>
      <c r="Z158" s="284">
        <v>0</v>
      </c>
      <c r="AA158" s="284">
        <v>0</v>
      </c>
      <c r="AB158" s="284">
        <v>0</v>
      </c>
      <c r="AC158" s="284">
        <v>0</v>
      </c>
      <c r="AE158" s="285">
        <v>808751.31104536331</v>
      </c>
      <c r="AF158" s="286">
        <v>0</v>
      </c>
      <c r="AG158" s="287">
        <v>54012.354295067664</v>
      </c>
      <c r="AH158" s="288">
        <v>0</v>
      </c>
      <c r="AI158" s="289">
        <v>862763.66534043103</v>
      </c>
      <c r="AJ158" s="266"/>
      <c r="AK158" s="285">
        <v>0</v>
      </c>
      <c r="AL158" s="286">
        <v>0</v>
      </c>
      <c r="AM158" s="286">
        <v>0</v>
      </c>
      <c r="AN158" s="290">
        <v>0</v>
      </c>
      <c r="AO158" s="289">
        <v>0</v>
      </c>
      <c r="AP158" s="291">
        <v>862763.66534043103</v>
      </c>
    </row>
    <row r="159" spans="1:42" ht="15.75" x14ac:dyDescent="0.25">
      <c r="A159" s="247">
        <v>9659243</v>
      </c>
      <c r="B159" t="s">
        <v>1770</v>
      </c>
      <c r="C159">
        <v>0</v>
      </c>
      <c r="D159" s="247">
        <v>9659243</v>
      </c>
      <c r="E159" s="247" t="s">
        <v>918</v>
      </c>
      <c r="F159" s="247" t="s">
        <v>909</v>
      </c>
      <c r="G159" s="247" t="s">
        <v>1444</v>
      </c>
      <c r="H159" s="247">
        <v>9659243</v>
      </c>
      <c r="I159" s="247" t="s">
        <v>1061</v>
      </c>
      <c r="J159" s="247">
        <v>2020</v>
      </c>
      <c r="K159" s="248" t="s">
        <v>1427</v>
      </c>
      <c r="L159" s="247" t="s">
        <v>1057</v>
      </c>
      <c r="M159" s="308">
        <v>2.2000000000000002</v>
      </c>
      <c r="N159" s="308">
        <v>1.2</v>
      </c>
      <c r="O159" s="308">
        <v>1</v>
      </c>
      <c r="P159" s="308">
        <v>0</v>
      </c>
      <c r="Q159" s="308">
        <v>0</v>
      </c>
      <c r="R159" s="247">
        <v>0</v>
      </c>
      <c r="S159" s="247">
        <v>44</v>
      </c>
      <c r="T159" s="247">
        <v>0</v>
      </c>
      <c r="U159" s="247">
        <v>0</v>
      </c>
      <c r="W159" s="284">
        <v>2.2000000000000002</v>
      </c>
      <c r="X159" s="284">
        <v>1.2</v>
      </c>
      <c r="Y159" s="284">
        <v>1</v>
      </c>
      <c r="Z159" s="284">
        <v>0</v>
      </c>
      <c r="AA159" s="284">
        <v>0</v>
      </c>
      <c r="AB159" s="284">
        <v>0</v>
      </c>
      <c r="AC159" s="284">
        <v>0</v>
      </c>
      <c r="AE159" s="285">
        <v>1482710.7369164997</v>
      </c>
      <c r="AF159" s="286">
        <v>0</v>
      </c>
      <c r="AG159" s="287">
        <v>99022.649540957398</v>
      </c>
      <c r="AH159" s="288">
        <v>0</v>
      </c>
      <c r="AI159" s="289">
        <v>1581733.386457457</v>
      </c>
      <c r="AJ159" s="266"/>
      <c r="AK159" s="285">
        <v>0</v>
      </c>
      <c r="AL159" s="286">
        <v>0</v>
      </c>
      <c r="AM159" s="286">
        <v>0</v>
      </c>
      <c r="AN159" s="290">
        <v>0</v>
      </c>
      <c r="AO159" s="289">
        <v>0</v>
      </c>
      <c r="AP159" s="291">
        <v>1581733.386457457</v>
      </c>
    </row>
    <row r="160" spans="1:42" ht="15.75" x14ac:dyDescent="0.25">
      <c r="A160" s="247">
        <v>9659243</v>
      </c>
      <c r="B160" t="s">
        <v>1770</v>
      </c>
      <c r="C160">
        <v>0</v>
      </c>
      <c r="D160" s="247">
        <v>9659243</v>
      </c>
      <c r="E160" s="247" t="s">
        <v>918</v>
      </c>
      <c r="F160" s="247" t="s">
        <v>909</v>
      </c>
      <c r="G160" s="247" t="s">
        <v>1445</v>
      </c>
      <c r="H160" s="247">
        <v>9659243</v>
      </c>
      <c r="I160" s="247" t="s">
        <v>1063</v>
      </c>
      <c r="J160" s="247">
        <v>2020</v>
      </c>
      <c r="K160" s="248" t="s">
        <v>1427</v>
      </c>
      <c r="L160" s="247" t="s">
        <v>1057</v>
      </c>
      <c r="M160" s="308">
        <v>3.5</v>
      </c>
      <c r="N160" s="308">
        <v>3.5</v>
      </c>
      <c r="O160" s="308">
        <v>0</v>
      </c>
      <c r="P160" s="308">
        <v>0</v>
      </c>
      <c r="Q160" s="308">
        <v>0</v>
      </c>
      <c r="R160" s="247">
        <v>0</v>
      </c>
      <c r="S160" s="247">
        <v>44</v>
      </c>
      <c r="T160" s="247">
        <v>0</v>
      </c>
      <c r="U160" s="247">
        <v>0</v>
      </c>
      <c r="W160" s="284">
        <v>3.5</v>
      </c>
      <c r="X160" s="284">
        <v>3.5</v>
      </c>
      <c r="Y160" s="284">
        <v>0</v>
      </c>
      <c r="Z160" s="284">
        <v>0</v>
      </c>
      <c r="AA160" s="284">
        <v>0</v>
      </c>
      <c r="AB160" s="284">
        <v>0</v>
      </c>
      <c r="AC160" s="284">
        <v>0</v>
      </c>
      <c r="AE160" s="285">
        <v>2358857.9905489767</v>
      </c>
      <c r="AF160" s="286">
        <v>0</v>
      </c>
      <c r="AG160" s="287">
        <v>157536.03336061403</v>
      </c>
      <c r="AH160" s="288">
        <v>0</v>
      </c>
      <c r="AI160" s="289">
        <v>2516394.0239095907</v>
      </c>
      <c r="AJ160" s="266"/>
      <c r="AK160" s="285">
        <v>0</v>
      </c>
      <c r="AL160" s="286">
        <v>0</v>
      </c>
      <c r="AM160" s="286">
        <v>0</v>
      </c>
      <c r="AN160" s="290">
        <v>0</v>
      </c>
      <c r="AO160" s="289">
        <v>0</v>
      </c>
      <c r="AP160" s="291">
        <v>2516394.0239095907</v>
      </c>
    </row>
    <row r="161" spans="1:42" ht="15.75" x14ac:dyDescent="0.25">
      <c r="A161" s="247">
        <v>9659243</v>
      </c>
      <c r="B161" t="s">
        <v>1770</v>
      </c>
      <c r="C161">
        <v>0</v>
      </c>
      <c r="D161" s="247">
        <v>9659243</v>
      </c>
      <c r="E161" s="247" t="s">
        <v>918</v>
      </c>
      <c r="F161" s="247" t="s">
        <v>909</v>
      </c>
      <c r="G161" s="247" t="s">
        <v>1431</v>
      </c>
      <c r="H161" s="247">
        <v>9659243</v>
      </c>
      <c r="I161" s="247" t="s">
        <v>1073</v>
      </c>
      <c r="J161" s="247">
        <v>2020</v>
      </c>
      <c r="K161" s="248" t="s">
        <v>1427</v>
      </c>
      <c r="L161" s="247" t="s">
        <v>1057</v>
      </c>
      <c r="M161" s="308">
        <v>0.6</v>
      </c>
      <c r="N161" s="308">
        <v>0.6</v>
      </c>
      <c r="O161" s="308">
        <v>0</v>
      </c>
      <c r="P161" s="308">
        <v>0</v>
      </c>
      <c r="Q161" s="308">
        <v>0</v>
      </c>
      <c r="R161" s="247">
        <v>0</v>
      </c>
      <c r="S161" s="247">
        <v>44</v>
      </c>
      <c r="T161" s="247">
        <v>0</v>
      </c>
      <c r="U161" s="247">
        <v>0</v>
      </c>
      <c r="W161" s="284">
        <v>0.6</v>
      </c>
      <c r="X161" s="284">
        <v>0.6</v>
      </c>
      <c r="Y161" s="284">
        <v>0</v>
      </c>
      <c r="Z161" s="284">
        <v>0</v>
      </c>
      <c r="AA161" s="284">
        <v>0</v>
      </c>
      <c r="AB161" s="284">
        <v>0</v>
      </c>
      <c r="AC161" s="284">
        <v>0</v>
      </c>
      <c r="AE161" s="285">
        <v>404375.65552268166</v>
      </c>
      <c r="AF161" s="286">
        <v>0</v>
      </c>
      <c r="AG161" s="287">
        <v>27006.177147533832</v>
      </c>
      <c r="AH161" s="288">
        <v>0</v>
      </c>
      <c r="AI161" s="289">
        <v>431381.83267021552</v>
      </c>
      <c r="AJ161" s="266"/>
      <c r="AK161" s="285">
        <v>0</v>
      </c>
      <c r="AL161" s="286">
        <v>0</v>
      </c>
      <c r="AM161" s="286">
        <v>0</v>
      </c>
      <c r="AN161" s="290">
        <v>0</v>
      </c>
      <c r="AO161" s="289">
        <v>0</v>
      </c>
      <c r="AP161" s="291">
        <v>431381.83267021552</v>
      </c>
    </row>
    <row r="162" spans="1:42" ht="15.75" x14ac:dyDescent="0.25">
      <c r="A162" s="247">
        <v>1792038</v>
      </c>
      <c r="B162" t="s">
        <v>1770</v>
      </c>
      <c r="C162">
        <v>0</v>
      </c>
      <c r="D162" s="247">
        <v>1792038</v>
      </c>
      <c r="E162" s="247" t="s">
        <v>1448</v>
      </c>
      <c r="F162" s="247" t="s">
        <v>1067</v>
      </c>
      <c r="G162" s="247" t="s">
        <v>1446</v>
      </c>
      <c r="H162" s="247">
        <v>1792038</v>
      </c>
      <c r="I162" s="247" t="s">
        <v>1058</v>
      </c>
      <c r="J162" s="247">
        <v>2020</v>
      </c>
      <c r="K162" s="248" t="s">
        <v>1447</v>
      </c>
      <c r="L162" s="247" t="s">
        <v>1156</v>
      </c>
      <c r="M162" s="308">
        <v>1.75</v>
      </c>
      <c r="N162" s="308">
        <v>1</v>
      </c>
      <c r="O162" s="308">
        <v>0.75</v>
      </c>
      <c r="P162" s="308">
        <v>0</v>
      </c>
      <c r="Q162" s="308">
        <v>0</v>
      </c>
      <c r="R162" s="247">
        <v>0</v>
      </c>
      <c r="S162" s="247">
        <v>0</v>
      </c>
      <c r="T162" s="247">
        <v>5</v>
      </c>
      <c r="U162" s="247">
        <v>0</v>
      </c>
      <c r="W162" s="284">
        <v>1.75</v>
      </c>
      <c r="X162" s="284">
        <v>1</v>
      </c>
      <c r="Y162" s="284">
        <v>0.75</v>
      </c>
      <c r="Z162" s="284">
        <v>0</v>
      </c>
      <c r="AA162" s="284">
        <v>0</v>
      </c>
      <c r="AB162" s="284">
        <v>0</v>
      </c>
      <c r="AC162" s="284">
        <v>5</v>
      </c>
      <c r="AE162" s="285">
        <v>1241908.9112120674</v>
      </c>
      <c r="AF162" s="286">
        <v>0</v>
      </c>
      <c r="AG162" s="287">
        <v>69727.464742421813</v>
      </c>
      <c r="AH162" s="288">
        <v>0</v>
      </c>
      <c r="AI162" s="289">
        <v>1311636.3759544892</v>
      </c>
      <c r="AJ162" s="266"/>
      <c r="AK162" s="285">
        <v>0</v>
      </c>
      <c r="AL162" s="286">
        <v>0</v>
      </c>
      <c r="AM162" s="286">
        <v>0</v>
      </c>
      <c r="AN162" s="290">
        <v>0</v>
      </c>
      <c r="AO162" s="289">
        <v>0</v>
      </c>
      <c r="AP162" s="291">
        <v>1311636.3759544892</v>
      </c>
    </row>
    <row r="163" spans="1:42" ht="15.75" x14ac:dyDescent="0.25">
      <c r="A163" s="247">
        <v>6630553</v>
      </c>
      <c r="B163" t="s">
        <v>1770</v>
      </c>
      <c r="C163">
        <v>0</v>
      </c>
      <c r="D163" s="247">
        <v>6630553</v>
      </c>
      <c r="E163" s="247" t="s">
        <v>294</v>
      </c>
      <c r="F163" s="247" t="s">
        <v>290</v>
      </c>
      <c r="G163" s="247" t="s">
        <v>1449</v>
      </c>
      <c r="H163" s="247">
        <v>6630553</v>
      </c>
      <c r="I163" s="247" t="s">
        <v>1058</v>
      </c>
      <c r="J163" s="247">
        <v>2020</v>
      </c>
      <c r="K163" s="248" t="s">
        <v>1447</v>
      </c>
      <c r="L163" s="247" t="s">
        <v>1156</v>
      </c>
      <c r="M163" s="308">
        <v>4</v>
      </c>
      <c r="N163" s="308">
        <v>3.8</v>
      </c>
      <c r="O163" s="308">
        <v>0</v>
      </c>
      <c r="P163" s="308">
        <v>0</v>
      </c>
      <c r="Q163" s="308">
        <v>0.2</v>
      </c>
      <c r="R163" s="247">
        <v>0</v>
      </c>
      <c r="S163" s="247">
        <v>30</v>
      </c>
      <c r="T163" s="247">
        <v>0</v>
      </c>
      <c r="U163" s="247">
        <v>0</v>
      </c>
      <c r="W163" s="284">
        <v>4</v>
      </c>
      <c r="X163" s="284">
        <v>3.8</v>
      </c>
      <c r="Y163" s="284">
        <v>0</v>
      </c>
      <c r="Z163" s="284">
        <v>0</v>
      </c>
      <c r="AA163" s="284">
        <v>0.2</v>
      </c>
      <c r="AB163" s="284">
        <v>0</v>
      </c>
      <c r="AC163" s="284">
        <v>0</v>
      </c>
      <c r="AE163" s="285">
        <v>2838648.9399132966</v>
      </c>
      <c r="AF163" s="286">
        <v>0</v>
      </c>
      <c r="AG163" s="287">
        <v>159377.06226839271</v>
      </c>
      <c r="AH163" s="288">
        <v>0</v>
      </c>
      <c r="AI163" s="289">
        <v>2998026.0021816893</v>
      </c>
      <c r="AJ163" s="266"/>
      <c r="AK163" s="285">
        <v>0</v>
      </c>
      <c r="AL163" s="286">
        <v>0</v>
      </c>
      <c r="AM163" s="286">
        <v>0</v>
      </c>
      <c r="AN163" s="290">
        <v>0</v>
      </c>
      <c r="AO163" s="289">
        <v>0</v>
      </c>
      <c r="AP163" s="291">
        <v>2998026.0021816893</v>
      </c>
    </row>
    <row r="164" spans="1:42" ht="15.75" x14ac:dyDescent="0.25">
      <c r="A164" s="247">
        <v>1552469</v>
      </c>
      <c r="B164" t="s">
        <v>1770</v>
      </c>
      <c r="C164">
        <v>0</v>
      </c>
      <c r="D164" s="247">
        <v>1552469</v>
      </c>
      <c r="E164" s="247" t="s">
        <v>878</v>
      </c>
      <c r="F164" s="247" t="s">
        <v>874</v>
      </c>
      <c r="G164" s="247" t="s">
        <v>1450</v>
      </c>
      <c r="H164" s="247">
        <v>1552469</v>
      </c>
      <c r="I164" s="247" t="s">
        <v>1063</v>
      </c>
      <c r="J164" s="247">
        <v>2020</v>
      </c>
      <c r="K164" s="248" t="s">
        <v>1451</v>
      </c>
      <c r="L164" s="247" t="s">
        <v>1125</v>
      </c>
      <c r="M164" s="308">
        <v>1.62</v>
      </c>
      <c r="N164" s="308">
        <v>0.7</v>
      </c>
      <c r="O164" s="308">
        <v>0.92</v>
      </c>
      <c r="P164" s="308">
        <v>0</v>
      </c>
      <c r="Q164" s="308">
        <v>0</v>
      </c>
      <c r="R164" s="247">
        <v>0</v>
      </c>
      <c r="S164" s="247">
        <v>0</v>
      </c>
      <c r="T164" s="247">
        <v>3</v>
      </c>
      <c r="U164" s="247">
        <v>0</v>
      </c>
      <c r="W164" s="284">
        <v>1.62</v>
      </c>
      <c r="X164" s="284">
        <v>0.7</v>
      </c>
      <c r="Y164" s="284">
        <v>0.92</v>
      </c>
      <c r="Z164" s="284">
        <v>0</v>
      </c>
      <c r="AA164" s="284">
        <v>0</v>
      </c>
      <c r="AB164" s="284">
        <v>0</v>
      </c>
      <c r="AC164" s="284">
        <v>3</v>
      </c>
      <c r="AE164" s="285">
        <v>1006073.2280460629</v>
      </c>
      <c r="AF164" s="286">
        <v>0</v>
      </c>
      <c r="AG164" s="287">
        <v>133085.67978800944</v>
      </c>
      <c r="AH164" s="288">
        <v>0</v>
      </c>
      <c r="AI164" s="289">
        <v>1139158.9078340724</v>
      </c>
      <c r="AJ164" s="266"/>
      <c r="AK164" s="285">
        <v>0</v>
      </c>
      <c r="AL164" s="286">
        <v>0</v>
      </c>
      <c r="AM164" s="286">
        <v>0</v>
      </c>
      <c r="AN164" s="290">
        <v>0</v>
      </c>
      <c r="AO164" s="289">
        <v>0</v>
      </c>
      <c r="AP164" s="291">
        <v>1139158.9078340724</v>
      </c>
    </row>
    <row r="165" spans="1:42" ht="15.75" x14ac:dyDescent="0.25">
      <c r="A165" s="247">
        <v>7263765</v>
      </c>
      <c r="B165" t="s">
        <v>1770</v>
      </c>
      <c r="C165">
        <v>0</v>
      </c>
      <c r="D165" s="247">
        <v>7263765</v>
      </c>
      <c r="E165" s="247" t="s">
        <v>1455</v>
      </c>
      <c r="F165" s="247" t="s">
        <v>1247</v>
      </c>
      <c r="G165" s="247" t="s">
        <v>1454</v>
      </c>
      <c r="H165" s="247">
        <v>7263765</v>
      </c>
      <c r="I165" s="247" t="s">
        <v>1058</v>
      </c>
      <c r="J165" s="247">
        <v>2020</v>
      </c>
      <c r="K165" s="248" t="s">
        <v>1451</v>
      </c>
      <c r="L165" s="247" t="s">
        <v>1125</v>
      </c>
      <c r="M165" s="308">
        <v>2</v>
      </c>
      <c r="N165" s="308">
        <v>1</v>
      </c>
      <c r="O165" s="308">
        <v>1</v>
      </c>
      <c r="P165" s="308">
        <v>0</v>
      </c>
      <c r="Q165" s="308">
        <v>0</v>
      </c>
      <c r="R165" s="247">
        <v>0</v>
      </c>
      <c r="S165" s="247">
        <v>0</v>
      </c>
      <c r="T165" s="247">
        <v>8</v>
      </c>
      <c r="U165" s="247">
        <v>0</v>
      </c>
      <c r="W165" s="284">
        <v>2</v>
      </c>
      <c r="X165" s="284">
        <v>1</v>
      </c>
      <c r="Y165" s="284">
        <v>1</v>
      </c>
      <c r="Z165" s="284">
        <v>0</v>
      </c>
      <c r="AA165" s="284">
        <v>0</v>
      </c>
      <c r="AB165" s="284">
        <v>0</v>
      </c>
      <c r="AC165" s="284">
        <v>8</v>
      </c>
      <c r="AE165" s="285">
        <v>1242065.7136371145</v>
      </c>
      <c r="AF165" s="286">
        <v>0</v>
      </c>
      <c r="AG165" s="287">
        <v>164303.30838025856</v>
      </c>
      <c r="AH165" s="288">
        <v>0</v>
      </c>
      <c r="AI165" s="289">
        <v>1406369.022017373</v>
      </c>
      <c r="AJ165" s="266"/>
      <c r="AK165" s="285">
        <v>0</v>
      </c>
      <c r="AL165" s="286">
        <v>0</v>
      </c>
      <c r="AM165" s="286">
        <v>0</v>
      </c>
      <c r="AN165" s="290">
        <v>0</v>
      </c>
      <c r="AO165" s="289">
        <v>0</v>
      </c>
      <c r="AP165" s="291">
        <v>1406369.022017373</v>
      </c>
    </row>
    <row r="166" spans="1:42" ht="15.75" x14ac:dyDescent="0.25">
      <c r="A166" s="247">
        <v>7365832</v>
      </c>
      <c r="B166" t="s">
        <v>1770</v>
      </c>
      <c r="C166">
        <v>0</v>
      </c>
      <c r="D166" s="247">
        <v>7365832</v>
      </c>
      <c r="E166" s="247" t="s">
        <v>231</v>
      </c>
      <c r="F166" s="247" t="s">
        <v>1145</v>
      </c>
      <c r="G166" s="247" t="s">
        <v>1456</v>
      </c>
      <c r="H166" s="247">
        <v>7365832</v>
      </c>
      <c r="I166" s="247" t="s">
        <v>1068</v>
      </c>
      <c r="J166" s="247">
        <v>2020</v>
      </c>
      <c r="K166" s="248" t="s">
        <v>1451</v>
      </c>
      <c r="L166" s="247" t="s">
        <v>1125</v>
      </c>
      <c r="M166" s="308">
        <v>1.8</v>
      </c>
      <c r="N166" s="308">
        <v>0.3</v>
      </c>
      <c r="O166" s="308">
        <v>1.5</v>
      </c>
      <c r="P166" s="308">
        <v>0</v>
      </c>
      <c r="Q166" s="308">
        <v>0</v>
      </c>
      <c r="R166" s="247">
        <v>0</v>
      </c>
      <c r="S166" s="247">
        <v>0</v>
      </c>
      <c r="T166" s="247">
        <v>20</v>
      </c>
      <c r="U166" s="247">
        <v>0</v>
      </c>
      <c r="W166" s="284">
        <v>1.8</v>
      </c>
      <c r="X166" s="284">
        <v>0.3</v>
      </c>
      <c r="Y166" s="284">
        <v>1.5</v>
      </c>
      <c r="Z166" s="284">
        <v>0</v>
      </c>
      <c r="AA166" s="284">
        <v>0</v>
      </c>
      <c r="AB166" s="284">
        <v>0</v>
      </c>
      <c r="AC166" s="284">
        <v>20</v>
      </c>
      <c r="AE166" s="285">
        <v>1117859.142273403</v>
      </c>
      <c r="AF166" s="286">
        <v>0</v>
      </c>
      <c r="AG166" s="287">
        <v>147872.97754223272</v>
      </c>
      <c r="AH166" s="288">
        <v>0</v>
      </c>
      <c r="AI166" s="289">
        <v>1265732.1198156357</v>
      </c>
      <c r="AJ166" s="266"/>
      <c r="AK166" s="285">
        <v>0</v>
      </c>
      <c r="AL166" s="286">
        <v>0</v>
      </c>
      <c r="AM166" s="286">
        <v>0</v>
      </c>
      <c r="AN166" s="290">
        <v>0</v>
      </c>
      <c r="AO166" s="289">
        <v>0</v>
      </c>
      <c r="AP166" s="291">
        <v>1265732.1198156357</v>
      </c>
    </row>
    <row r="167" spans="1:42" ht="15.75" x14ac:dyDescent="0.25">
      <c r="A167" s="247">
        <v>7653065</v>
      </c>
      <c r="B167" t="s">
        <v>1770</v>
      </c>
      <c r="C167">
        <v>0</v>
      </c>
      <c r="D167" s="247">
        <v>7653065</v>
      </c>
      <c r="E167" s="247" t="s">
        <v>1457</v>
      </c>
      <c r="F167" s="247" t="s">
        <v>553</v>
      </c>
      <c r="G167" s="247" t="s">
        <v>1452</v>
      </c>
      <c r="H167" s="247">
        <v>7653065</v>
      </c>
      <c r="I167" s="247" t="s">
        <v>1134</v>
      </c>
      <c r="J167" s="247">
        <v>2020</v>
      </c>
      <c r="K167" s="248" t="s">
        <v>1451</v>
      </c>
      <c r="L167" s="247" t="s">
        <v>1125</v>
      </c>
      <c r="M167" s="308">
        <v>5</v>
      </c>
      <c r="N167" s="308">
        <v>1</v>
      </c>
      <c r="O167" s="308">
        <v>4</v>
      </c>
      <c r="P167" s="308">
        <v>0</v>
      </c>
      <c r="Q167" s="308">
        <v>0</v>
      </c>
      <c r="R167" s="247">
        <v>0</v>
      </c>
      <c r="S167" s="247">
        <v>0</v>
      </c>
      <c r="T167" s="247">
        <v>14</v>
      </c>
      <c r="U167" s="247">
        <v>0</v>
      </c>
      <c r="W167" s="284">
        <v>5</v>
      </c>
      <c r="X167" s="284">
        <v>1</v>
      </c>
      <c r="Y167" s="284">
        <v>4</v>
      </c>
      <c r="Z167" s="284">
        <v>0</v>
      </c>
      <c r="AA167" s="284">
        <v>0</v>
      </c>
      <c r="AB167" s="284">
        <v>0</v>
      </c>
      <c r="AC167" s="284">
        <v>14</v>
      </c>
      <c r="AE167" s="285">
        <v>3105164.2840927863</v>
      </c>
      <c r="AF167" s="286">
        <v>0</v>
      </c>
      <c r="AG167" s="287">
        <v>410758.27095064637</v>
      </c>
      <c r="AH167" s="288">
        <v>0</v>
      </c>
      <c r="AI167" s="289">
        <v>3515922.5550434329</v>
      </c>
      <c r="AJ167" s="266"/>
      <c r="AK167" s="285">
        <v>0</v>
      </c>
      <c r="AL167" s="286">
        <v>0</v>
      </c>
      <c r="AM167" s="286">
        <v>0</v>
      </c>
      <c r="AN167" s="290">
        <v>0</v>
      </c>
      <c r="AO167" s="289">
        <v>0</v>
      </c>
      <c r="AP167" s="291">
        <v>3515922.5550434329</v>
      </c>
    </row>
    <row r="168" spans="1:42" ht="15.75" x14ac:dyDescent="0.25">
      <c r="A168" s="247">
        <v>1537615</v>
      </c>
      <c r="B168" t="s">
        <v>1770</v>
      </c>
      <c r="C168">
        <v>0</v>
      </c>
      <c r="D168" s="247">
        <v>1537615</v>
      </c>
      <c r="E168" s="247" t="s">
        <v>1460</v>
      </c>
      <c r="F168" s="247" t="s">
        <v>1056</v>
      </c>
      <c r="G168" s="247" t="s">
        <v>1458</v>
      </c>
      <c r="H168" s="247">
        <v>1537615</v>
      </c>
      <c r="I168" s="247" t="s">
        <v>1058</v>
      </c>
      <c r="J168" s="247">
        <v>2020</v>
      </c>
      <c r="K168" s="248" t="s">
        <v>1459</v>
      </c>
      <c r="L168" s="247" t="s">
        <v>1057</v>
      </c>
      <c r="M168" s="308">
        <v>0.53</v>
      </c>
      <c r="N168" s="308">
        <v>0.53</v>
      </c>
      <c r="O168" s="308">
        <v>0</v>
      </c>
      <c r="P168" s="308">
        <v>0</v>
      </c>
      <c r="Q168" s="308">
        <v>0</v>
      </c>
      <c r="R168" s="247">
        <v>0</v>
      </c>
      <c r="S168" s="247">
        <v>20</v>
      </c>
      <c r="T168" s="247">
        <v>0</v>
      </c>
      <c r="U168" s="247">
        <v>0</v>
      </c>
      <c r="W168" s="284">
        <v>0.53</v>
      </c>
      <c r="X168" s="284">
        <v>0.53</v>
      </c>
      <c r="Y168" s="284">
        <v>0</v>
      </c>
      <c r="Z168" s="284">
        <v>0</v>
      </c>
      <c r="AA168" s="284">
        <v>0</v>
      </c>
      <c r="AB168" s="284">
        <v>0</v>
      </c>
      <c r="AC168" s="284">
        <v>0</v>
      </c>
      <c r="AE168" s="285">
        <v>332196.92481460585</v>
      </c>
      <c r="AF168" s="286">
        <v>0</v>
      </c>
      <c r="AG168" s="287">
        <v>16691.405277058522</v>
      </c>
      <c r="AH168" s="288">
        <v>0</v>
      </c>
      <c r="AI168" s="289">
        <v>348888.33009166439</v>
      </c>
      <c r="AJ168" s="266"/>
      <c r="AK168" s="285">
        <v>0</v>
      </c>
      <c r="AL168" s="286">
        <v>0</v>
      </c>
      <c r="AM168" s="286">
        <v>0</v>
      </c>
      <c r="AN168" s="290">
        <v>0</v>
      </c>
      <c r="AO168" s="289">
        <v>0</v>
      </c>
      <c r="AP168" s="291">
        <v>348888.33009166439</v>
      </c>
    </row>
    <row r="169" spans="1:42" ht="15.75" x14ac:dyDescent="0.25">
      <c r="A169" s="247">
        <v>1537615</v>
      </c>
      <c r="B169" t="s">
        <v>1770</v>
      </c>
      <c r="C169">
        <v>0</v>
      </c>
      <c r="D169" s="247">
        <v>1537615</v>
      </c>
      <c r="E169" s="247" t="s">
        <v>1460</v>
      </c>
      <c r="F169" s="247" t="s">
        <v>1056</v>
      </c>
      <c r="G169" s="247" t="s">
        <v>1461</v>
      </c>
      <c r="H169" s="247">
        <v>1537615</v>
      </c>
      <c r="I169" s="247" t="s">
        <v>1068</v>
      </c>
      <c r="J169" s="247">
        <v>2020</v>
      </c>
      <c r="K169" s="248" t="s">
        <v>1459</v>
      </c>
      <c r="L169" s="247" t="s">
        <v>1057</v>
      </c>
      <c r="M169" s="308">
        <v>1.74</v>
      </c>
      <c r="N169" s="308">
        <v>1.74</v>
      </c>
      <c r="O169" s="308">
        <v>0</v>
      </c>
      <c r="P169" s="308">
        <v>0</v>
      </c>
      <c r="Q169" s="308">
        <v>0</v>
      </c>
      <c r="R169" s="247">
        <v>0</v>
      </c>
      <c r="S169" s="247">
        <v>20</v>
      </c>
      <c r="T169" s="247">
        <v>0</v>
      </c>
      <c r="U169" s="247">
        <v>0</v>
      </c>
      <c r="W169" s="284">
        <v>1.74</v>
      </c>
      <c r="X169" s="284">
        <v>1.74</v>
      </c>
      <c r="Y169" s="284">
        <v>0</v>
      </c>
      <c r="Z169" s="284">
        <v>0</v>
      </c>
      <c r="AA169" s="284">
        <v>0</v>
      </c>
      <c r="AB169" s="284">
        <v>0</v>
      </c>
      <c r="AC169" s="284">
        <v>0</v>
      </c>
      <c r="AE169" s="285">
        <v>1090608.7720328569</v>
      </c>
      <c r="AF169" s="286">
        <v>0</v>
      </c>
      <c r="AG169" s="287">
        <v>54798.198456758168</v>
      </c>
      <c r="AH169" s="288">
        <v>0</v>
      </c>
      <c r="AI169" s="289">
        <v>1145406.9704896151</v>
      </c>
      <c r="AJ169" s="266"/>
      <c r="AK169" s="285">
        <v>0</v>
      </c>
      <c r="AL169" s="286">
        <v>0</v>
      </c>
      <c r="AM169" s="286">
        <v>0</v>
      </c>
      <c r="AN169" s="290">
        <v>0</v>
      </c>
      <c r="AO169" s="289">
        <v>0</v>
      </c>
      <c r="AP169" s="291">
        <v>1145406.9704896151</v>
      </c>
    </row>
    <row r="170" spans="1:42" ht="15.75" x14ac:dyDescent="0.25">
      <c r="A170" s="247">
        <v>1537615</v>
      </c>
      <c r="B170" t="s">
        <v>1770</v>
      </c>
      <c r="C170">
        <v>0</v>
      </c>
      <c r="D170" s="247">
        <v>1537615</v>
      </c>
      <c r="E170" s="247" t="s">
        <v>1460</v>
      </c>
      <c r="F170" s="247" t="s">
        <v>1056</v>
      </c>
      <c r="G170" s="247" t="s">
        <v>1462</v>
      </c>
      <c r="H170" s="247">
        <v>1537615</v>
      </c>
      <c r="I170" s="247" t="s">
        <v>1061</v>
      </c>
      <c r="J170" s="247">
        <v>2020</v>
      </c>
      <c r="K170" s="248" t="s">
        <v>1459</v>
      </c>
      <c r="L170" s="247" t="s">
        <v>1057</v>
      </c>
      <c r="M170" s="308">
        <v>1.74</v>
      </c>
      <c r="N170" s="308">
        <v>1.74</v>
      </c>
      <c r="O170" s="308">
        <v>0</v>
      </c>
      <c r="P170" s="308">
        <v>0</v>
      </c>
      <c r="Q170" s="308">
        <v>0</v>
      </c>
      <c r="R170" s="247">
        <v>0</v>
      </c>
      <c r="S170" s="247">
        <v>20</v>
      </c>
      <c r="T170" s="247">
        <v>0</v>
      </c>
      <c r="U170" s="247">
        <v>0</v>
      </c>
      <c r="W170" s="284">
        <v>1.74</v>
      </c>
      <c r="X170" s="284">
        <v>1.74</v>
      </c>
      <c r="Y170" s="284">
        <v>0</v>
      </c>
      <c r="Z170" s="284">
        <v>0</v>
      </c>
      <c r="AA170" s="284">
        <v>0</v>
      </c>
      <c r="AB170" s="284">
        <v>0</v>
      </c>
      <c r="AC170" s="284">
        <v>0</v>
      </c>
      <c r="AE170" s="285">
        <v>1090608.7720328569</v>
      </c>
      <c r="AF170" s="286">
        <v>0</v>
      </c>
      <c r="AG170" s="287">
        <v>54798.198456758168</v>
      </c>
      <c r="AH170" s="288">
        <v>0</v>
      </c>
      <c r="AI170" s="289">
        <v>1145406.9704896151</v>
      </c>
      <c r="AJ170" s="266"/>
      <c r="AK170" s="285">
        <v>0</v>
      </c>
      <c r="AL170" s="286">
        <v>0</v>
      </c>
      <c r="AM170" s="286">
        <v>0</v>
      </c>
      <c r="AN170" s="290">
        <v>0</v>
      </c>
      <c r="AO170" s="289">
        <v>0</v>
      </c>
      <c r="AP170" s="291">
        <v>1145406.9704896151</v>
      </c>
    </row>
    <row r="171" spans="1:42" ht="15.75" x14ac:dyDescent="0.25">
      <c r="A171" s="247">
        <v>1537615</v>
      </c>
      <c r="B171" t="s">
        <v>1770</v>
      </c>
      <c r="C171">
        <v>0</v>
      </c>
      <c r="D171" s="247">
        <v>1537615</v>
      </c>
      <c r="E171" s="247" t="s">
        <v>1460</v>
      </c>
      <c r="F171" s="247" t="s">
        <v>1056</v>
      </c>
      <c r="G171" s="247" t="s">
        <v>1463</v>
      </c>
      <c r="H171" s="247">
        <v>1537615</v>
      </c>
      <c r="I171" s="247" t="s">
        <v>1063</v>
      </c>
      <c r="J171" s="247">
        <v>2020</v>
      </c>
      <c r="K171" s="248" t="s">
        <v>1459</v>
      </c>
      <c r="L171" s="247" t="s">
        <v>1057</v>
      </c>
      <c r="M171" s="308">
        <v>1.74</v>
      </c>
      <c r="N171" s="308">
        <v>1.74</v>
      </c>
      <c r="O171" s="308">
        <v>0</v>
      </c>
      <c r="P171" s="308">
        <v>0</v>
      </c>
      <c r="Q171" s="308">
        <v>0</v>
      </c>
      <c r="R171" s="247">
        <v>0</v>
      </c>
      <c r="S171" s="247">
        <v>20</v>
      </c>
      <c r="T171" s="247">
        <v>0</v>
      </c>
      <c r="U171" s="247">
        <v>0</v>
      </c>
      <c r="W171" s="284">
        <v>1.74</v>
      </c>
      <c r="X171" s="284">
        <v>1.74</v>
      </c>
      <c r="Y171" s="284">
        <v>0</v>
      </c>
      <c r="Z171" s="284">
        <v>0</v>
      </c>
      <c r="AA171" s="284">
        <v>0</v>
      </c>
      <c r="AB171" s="284">
        <v>0</v>
      </c>
      <c r="AC171" s="284">
        <v>0</v>
      </c>
      <c r="AE171" s="285">
        <v>1090608.7720328569</v>
      </c>
      <c r="AF171" s="286">
        <v>0</v>
      </c>
      <c r="AG171" s="287">
        <v>54798.198456758168</v>
      </c>
      <c r="AH171" s="288">
        <v>0</v>
      </c>
      <c r="AI171" s="289">
        <v>1145406.9704896151</v>
      </c>
      <c r="AJ171" s="266"/>
      <c r="AK171" s="285">
        <v>0</v>
      </c>
      <c r="AL171" s="286">
        <v>0</v>
      </c>
      <c r="AM171" s="286">
        <v>0</v>
      </c>
      <c r="AN171" s="290">
        <v>0</v>
      </c>
      <c r="AO171" s="289">
        <v>0</v>
      </c>
      <c r="AP171" s="291">
        <v>1145406.9704896151</v>
      </c>
    </row>
    <row r="172" spans="1:42" ht="15.75" x14ac:dyDescent="0.25">
      <c r="A172" s="247">
        <v>1758706</v>
      </c>
      <c r="B172" t="s">
        <v>1770</v>
      </c>
      <c r="C172">
        <v>0</v>
      </c>
      <c r="D172" s="247">
        <v>1758706</v>
      </c>
      <c r="E172" s="247" t="s">
        <v>1465</v>
      </c>
      <c r="F172" s="247" t="s">
        <v>249</v>
      </c>
      <c r="G172" s="247" t="s">
        <v>1464</v>
      </c>
      <c r="H172" s="247">
        <v>1758706</v>
      </c>
      <c r="I172" s="247" t="s">
        <v>1058</v>
      </c>
      <c r="J172" s="247">
        <v>2020</v>
      </c>
      <c r="K172" s="248" t="s">
        <v>1459</v>
      </c>
      <c r="L172" s="247" t="s">
        <v>1057</v>
      </c>
      <c r="M172" s="308">
        <v>1.7</v>
      </c>
      <c r="N172" s="308">
        <v>1</v>
      </c>
      <c r="O172" s="308">
        <v>0.7</v>
      </c>
      <c r="P172" s="308">
        <v>0</v>
      </c>
      <c r="Q172" s="308">
        <v>0</v>
      </c>
      <c r="R172" s="247">
        <v>0</v>
      </c>
      <c r="S172" s="247">
        <v>10</v>
      </c>
      <c r="T172" s="247">
        <v>0</v>
      </c>
      <c r="U172" s="247">
        <v>0</v>
      </c>
      <c r="V172" s="292"/>
      <c r="W172" s="298">
        <v>1.7</v>
      </c>
      <c r="X172" s="298">
        <v>1</v>
      </c>
      <c r="Y172" s="298">
        <v>0.7</v>
      </c>
      <c r="Z172" s="298">
        <v>0</v>
      </c>
      <c r="AA172" s="298">
        <v>0</v>
      </c>
      <c r="AB172" s="298">
        <v>0</v>
      </c>
      <c r="AC172" s="298">
        <v>0</v>
      </c>
      <c r="AD172" s="292"/>
      <c r="AE172" s="285">
        <v>1065537.3060091131</v>
      </c>
      <c r="AF172" s="302">
        <v>0</v>
      </c>
      <c r="AG172" s="302">
        <v>53538.469756602804</v>
      </c>
      <c r="AH172" s="303">
        <v>0</v>
      </c>
      <c r="AI172" s="303">
        <v>1119075.7757657159</v>
      </c>
      <c r="AJ172" s="304"/>
      <c r="AK172" s="285">
        <v>0</v>
      </c>
      <c r="AL172" s="286">
        <v>0</v>
      </c>
      <c r="AM172" s="286">
        <v>0</v>
      </c>
      <c r="AN172" s="290">
        <v>0</v>
      </c>
      <c r="AO172" s="289">
        <v>0</v>
      </c>
      <c r="AP172" s="299">
        <v>1119075.7757657159</v>
      </c>
    </row>
    <row r="173" spans="1:42" ht="15.75" x14ac:dyDescent="0.25">
      <c r="A173" s="247">
        <v>1758706</v>
      </c>
      <c r="B173" t="s">
        <v>1770</v>
      </c>
      <c r="C173">
        <v>0</v>
      </c>
      <c r="D173" s="247">
        <v>1758706</v>
      </c>
      <c r="E173" s="247" t="s">
        <v>1465</v>
      </c>
      <c r="F173" s="247" t="s">
        <v>249</v>
      </c>
      <c r="G173" s="247" t="s">
        <v>1467</v>
      </c>
      <c r="H173" s="247">
        <v>1758706</v>
      </c>
      <c r="I173" s="247" t="s">
        <v>1068</v>
      </c>
      <c r="J173" s="247">
        <v>2020</v>
      </c>
      <c r="K173" s="248" t="s">
        <v>1459</v>
      </c>
      <c r="L173" s="247" t="s">
        <v>1057</v>
      </c>
      <c r="M173" s="308">
        <v>1.65</v>
      </c>
      <c r="N173" s="308">
        <v>0.9</v>
      </c>
      <c r="O173" s="308">
        <v>0.75</v>
      </c>
      <c r="P173" s="308">
        <v>0</v>
      </c>
      <c r="Q173" s="308">
        <v>0</v>
      </c>
      <c r="R173" s="247">
        <v>0</v>
      </c>
      <c r="S173" s="247">
        <v>10</v>
      </c>
      <c r="T173" s="247">
        <v>0</v>
      </c>
      <c r="U173" s="247">
        <v>0</v>
      </c>
      <c r="W173" s="284">
        <v>1.65</v>
      </c>
      <c r="X173" s="284">
        <v>0.9</v>
      </c>
      <c r="Y173" s="284">
        <v>0.75</v>
      </c>
      <c r="Z173" s="284">
        <v>0</v>
      </c>
      <c r="AA173" s="284">
        <v>0</v>
      </c>
      <c r="AB173" s="284">
        <v>0</v>
      </c>
      <c r="AC173" s="284">
        <v>0</v>
      </c>
      <c r="AE173" s="285">
        <v>1034197.9734794332</v>
      </c>
      <c r="AF173" s="286">
        <v>0</v>
      </c>
      <c r="AG173" s="287">
        <v>51963.8088814086</v>
      </c>
      <c r="AH173" s="288">
        <v>0</v>
      </c>
      <c r="AI173" s="289">
        <v>1086161.7823608418</v>
      </c>
      <c r="AJ173" s="266"/>
      <c r="AK173" s="285">
        <v>0</v>
      </c>
      <c r="AL173" s="286">
        <v>0</v>
      </c>
      <c r="AM173" s="286">
        <v>0</v>
      </c>
      <c r="AN173" s="290">
        <v>0</v>
      </c>
      <c r="AO173" s="289">
        <v>0</v>
      </c>
      <c r="AP173" s="291">
        <v>1086161.7823608418</v>
      </c>
    </row>
    <row r="174" spans="1:42" ht="15.75" x14ac:dyDescent="0.25">
      <c r="A174" s="247">
        <v>1758706</v>
      </c>
      <c r="B174" t="s">
        <v>1770</v>
      </c>
      <c r="C174">
        <v>0</v>
      </c>
      <c r="D174" s="247">
        <v>1758706</v>
      </c>
      <c r="E174" s="247" t="s">
        <v>1465</v>
      </c>
      <c r="F174" s="247" t="s">
        <v>249</v>
      </c>
      <c r="G174" s="247" t="s">
        <v>1468</v>
      </c>
      <c r="H174" s="247">
        <v>1758706</v>
      </c>
      <c r="I174" s="247" t="s">
        <v>1061</v>
      </c>
      <c r="J174" s="247">
        <v>2020</v>
      </c>
      <c r="K174" s="248" t="s">
        <v>1459</v>
      </c>
      <c r="L174" s="247" t="s">
        <v>1057</v>
      </c>
      <c r="M174" s="308">
        <v>1.7</v>
      </c>
      <c r="N174" s="308">
        <v>1.2</v>
      </c>
      <c r="O174" s="308">
        <v>0.5</v>
      </c>
      <c r="P174" s="308">
        <v>0</v>
      </c>
      <c r="Q174" s="308">
        <v>0</v>
      </c>
      <c r="R174" s="247">
        <v>0</v>
      </c>
      <c r="S174" s="247">
        <v>10</v>
      </c>
      <c r="T174" s="247">
        <v>0</v>
      </c>
      <c r="U174" s="247">
        <v>0</v>
      </c>
      <c r="W174" s="284">
        <v>1.7</v>
      </c>
      <c r="X174" s="284">
        <v>1.2</v>
      </c>
      <c r="Y174" s="284">
        <v>0.5</v>
      </c>
      <c r="Z174" s="284">
        <v>0</v>
      </c>
      <c r="AA174" s="284">
        <v>0</v>
      </c>
      <c r="AB174" s="284">
        <v>0</v>
      </c>
      <c r="AC174" s="284">
        <v>0</v>
      </c>
      <c r="AE174" s="285">
        <v>1065537.3060091131</v>
      </c>
      <c r="AF174" s="286">
        <v>0</v>
      </c>
      <c r="AG174" s="287">
        <v>53538.469756602804</v>
      </c>
      <c r="AH174" s="288">
        <v>0</v>
      </c>
      <c r="AI174" s="289">
        <v>1119075.7757657159</v>
      </c>
      <c r="AJ174" s="266"/>
      <c r="AK174" s="285">
        <v>0</v>
      </c>
      <c r="AL174" s="286">
        <v>0</v>
      </c>
      <c r="AM174" s="286">
        <v>0</v>
      </c>
      <c r="AN174" s="290">
        <v>0</v>
      </c>
      <c r="AO174" s="289">
        <v>0</v>
      </c>
      <c r="AP174" s="291">
        <v>1119075.7757657159</v>
      </c>
    </row>
    <row r="175" spans="1:42" ht="15.75" x14ac:dyDescent="0.25">
      <c r="A175" s="247">
        <v>1758706</v>
      </c>
      <c r="B175" t="s">
        <v>1770</v>
      </c>
      <c r="C175">
        <v>0</v>
      </c>
      <c r="D175" s="247">
        <v>1758706</v>
      </c>
      <c r="E175" s="247" t="s">
        <v>1465</v>
      </c>
      <c r="F175" s="247" t="s">
        <v>249</v>
      </c>
      <c r="G175" s="247" t="s">
        <v>1469</v>
      </c>
      <c r="H175" s="247">
        <v>1758706</v>
      </c>
      <c r="I175" s="247" t="s">
        <v>1063</v>
      </c>
      <c r="J175" s="247">
        <v>2020</v>
      </c>
      <c r="K175" s="248" t="s">
        <v>1459</v>
      </c>
      <c r="L175" s="247" t="s">
        <v>1057</v>
      </c>
      <c r="M175" s="308">
        <v>2.0499999999999998</v>
      </c>
      <c r="N175" s="308">
        <v>1.8</v>
      </c>
      <c r="O175" s="308">
        <v>0.25</v>
      </c>
      <c r="P175" s="308">
        <v>0</v>
      </c>
      <c r="Q175" s="308">
        <v>0</v>
      </c>
      <c r="R175" s="247">
        <v>0</v>
      </c>
      <c r="S175" s="247">
        <v>10</v>
      </c>
      <c r="T175" s="247">
        <v>0</v>
      </c>
      <c r="U175" s="247">
        <v>0</v>
      </c>
      <c r="W175" s="284">
        <v>2.0499999999999998</v>
      </c>
      <c r="X175" s="284">
        <v>1.8</v>
      </c>
      <c r="Y175" s="284">
        <v>0.25</v>
      </c>
      <c r="Z175" s="284">
        <v>0</v>
      </c>
      <c r="AA175" s="284">
        <v>0</v>
      </c>
      <c r="AB175" s="284">
        <v>0</v>
      </c>
      <c r="AC175" s="284">
        <v>0</v>
      </c>
      <c r="AE175" s="285">
        <v>1284912.6337168715</v>
      </c>
      <c r="AF175" s="286">
        <v>0</v>
      </c>
      <c r="AG175" s="287">
        <v>64561.095882962203</v>
      </c>
      <c r="AH175" s="288">
        <v>0</v>
      </c>
      <c r="AI175" s="289">
        <v>1349473.7295998337</v>
      </c>
      <c r="AJ175" s="266"/>
      <c r="AK175" s="285">
        <v>0</v>
      </c>
      <c r="AL175" s="286">
        <v>0</v>
      </c>
      <c r="AM175" s="286">
        <v>0</v>
      </c>
      <c r="AN175" s="290">
        <v>0</v>
      </c>
      <c r="AO175" s="289">
        <v>0</v>
      </c>
      <c r="AP175" s="291">
        <v>1349473.7295998337</v>
      </c>
    </row>
    <row r="176" spans="1:42" ht="15.75" x14ac:dyDescent="0.25">
      <c r="A176" s="247">
        <v>1758706</v>
      </c>
      <c r="B176" t="s">
        <v>1770</v>
      </c>
      <c r="C176">
        <v>0</v>
      </c>
      <c r="D176" s="247">
        <v>1758706</v>
      </c>
      <c r="E176" s="247" t="s">
        <v>1465</v>
      </c>
      <c r="F176" s="247" t="s">
        <v>249</v>
      </c>
      <c r="G176" s="247" t="s">
        <v>1470</v>
      </c>
      <c r="H176" s="247">
        <v>1758706</v>
      </c>
      <c r="I176" s="247" t="s">
        <v>1073</v>
      </c>
      <c r="J176" s="247">
        <v>2020</v>
      </c>
      <c r="K176" s="248" t="s">
        <v>1459</v>
      </c>
      <c r="L176" s="247" t="s">
        <v>1057</v>
      </c>
      <c r="M176" s="308">
        <v>1.9</v>
      </c>
      <c r="N176" s="308">
        <v>1.4</v>
      </c>
      <c r="O176" s="308">
        <v>0.5</v>
      </c>
      <c r="P176" s="308">
        <v>0</v>
      </c>
      <c r="Q176" s="308">
        <v>0</v>
      </c>
      <c r="R176" s="247">
        <v>0</v>
      </c>
      <c r="S176" s="247">
        <v>10</v>
      </c>
      <c r="T176" s="247">
        <v>0</v>
      </c>
      <c r="U176" s="247">
        <v>0</v>
      </c>
      <c r="W176" s="284">
        <v>1.9</v>
      </c>
      <c r="X176" s="284">
        <v>1.4</v>
      </c>
      <c r="Y176" s="284">
        <v>0.5</v>
      </c>
      <c r="Z176" s="284">
        <v>0</v>
      </c>
      <c r="AA176" s="284">
        <v>0</v>
      </c>
      <c r="AB176" s="284">
        <v>0</v>
      </c>
      <c r="AC176" s="284">
        <v>0</v>
      </c>
      <c r="AE176" s="285">
        <v>1190894.6361278321</v>
      </c>
      <c r="AF176" s="286">
        <v>0</v>
      </c>
      <c r="AG176" s="287">
        <v>59837.113257379606</v>
      </c>
      <c r="AH176" s="288">
        <v>0</v>
      </c>
      <c r="AI176" s="289">
        <v>1250731.7493852116</v>
      </c>
      <c r="AJ176" s="266"/>
      <c r="AK176" s="285">
        <v>0</v>
      </c>
      <c r="AL176" s="286">
        <v>0</v>
      </c>
      <c r="AM176" s="286">
        <v>0</v>
      </c>
      <c r="AN176" s="290">
        <v>0</v>
      </c>
      <c r="AO176" s="289">
        <v>0</v>
      </c>
      <c r="AP176" s="291">
        <v>1250731.7493852116</v>
      </c>
    </row>
    <row r="177" spans="1:42" ht="15.75" x14ac:dyDescent="0.25">
      <c r="A177" s="247">
        <v>2390992</v>
      </c>
      <c r="B177" t="s">
        <v>1770</v>
      </c>
      <c r="C177">
        <v>0</v>
      </c>
      <c r="D177" s="247">
        <v>2390992</v>
      </c>
      <c r="E177" s="247" t="s">
        <v>1473</v>
      </c>
      <c r="F177" s="247" t="s">
        <v>698</v>
      </c>
      <c r="G177" s="247" t="s">
        <v>1471</v>
      </c>
      <c r="H177" s="247">
        <v>2390992</v>
      </c>
      <c r="I177" s="247" t="s">
        <v>1134</v>
      </c>
      <c r="J177" s="247">
        <v>2020</v>
      </c>
      <c r="K177" s="248" t="s">
        <v>1472</v>
      </c>
      <c r="L177" s="247" t="s">
        <v>1125</v>
      </c>
      <c r="M177" s="308">
        <v>1.75</v>
      </c>
      <c r="N177" s="308">
        <v>1</v>
      </c>
      <c r="O177" s="308">
        <v>0.75</v>
      </c>
      <c r="P177" s="308">
        <v>0</v>
      </c>
      <c r="Q177" s="308">
        <v>0</v>
      </c>
      <c r="R177" s="247">
        <v>0</v>
      </c>
      <c r="S177" s="247">
        <v>12</v>
      </c>
      <c r="T177" s="247">
        <v>0</v>
      </c>
      <c r="U177" s="247">
        <v>0</v>
      </c>
      <c r="W177" s="284">
        <v>1.75</v>
      </c>
      <c r="X177" s="284">
        <v>1</v>
      </c>
      <c r="Y177" s="284">
        <v>0.75</v>
      </c>
      <c r="Z177" s="284">
        <v>0</v>
      </c>
      <c r="AA177" s="284">
        <v>0</v>
      </c>
      <c r="AB177" s="284">
        <v>0</v>
      </c>
      <c r="AC177" s="284">
        <v>0</v>
      </c>
      <c r="AE177" s="285">
        <v>1228663.8491631167</v>
      </c>
      <c r="AF177" s="286">
        <v>0</v>
      </c>
      <c r="AG177" s="287">
        <v>76668.962734591187</v>
      </c>
      <c r="AH177" s="288">
        <v>0</v>
      </c>
      <c r="AI177" s="289">
        <v>1305332.8118977079</v>
      </c>
      <c r="AJ177" s="266"/>
      <c r="AK177" s="285">
        <v>0</v>
      </c>
      <c r="AL177" s="286">
        <v>0</v>
      </c>
      <c r="AM177" s="286">
        <v>0</v>
      </c>
      <c r="AN177" s="290">
        <v>0</v>
      </c>
      <c r="AO177" s="289">
        <v>0</v>
      </c>
      <c r="AP177" s="291">
        <v>1305332.8118977079</v>
      </c>
    </row>
    <row r="178" spans="1:42" ht="15.75" x14ac:dyDescent="0.25">
      <c r="A178" s="247">
        <v>2813024</v>
      </c>
      <c r="B178" t="s">
        <v>1770</v>
      </c>
      <c r="C178">
        <v>0</v>
      </c>
      <c r="D178" s="247">
        <v>2813024</v>
      </c>
      <c r="E178" s="247" t="s">
        <v>1388</v>
      </c>
      <c r="F178" s="247" t="s">
        <v>776</v>
      </c>
      <c r="G178" s="247" t="s">
        <v>1474</v>
      </c>
      <c r="H178" s="247">
        <v>2813024</v>
      </c>
      <c r="I178" s="247" t="s">
        <v>1058</v>
      </c>
      <c r="J178" s="247">
        <v>2020</v>
      </c>
      <c r="K178" s="248" t="s">
        <v>1472</v>
      </c>
      <c r="L178" s="247" t="s">
        <v>1125</v>
      </c>
      <c r="M178" s="308">
        <v>4.2</v>
      </c>
      <c r="N178" s="308">
        <v>1</v>
      </c>
      <c r="O178" s="308">
        <v>3.2</v>
      </c>
      <c r="P178" s="308">
        <v>0</v>
      </c>
      <c r="Q178" s="308">
        <v>0</v>
      </c>
      <c r="R178" s="247">
        <v>0</v>
      </c>
      <c r="S178" s="247">
        <v>30</v>
      </c>
      <c r="T178" s="247">
        <v>0</v>
      </c>
      <c r="U178" s="247">
        <v>0</v>
      </c>
      <c r="W178" s="284">
        <v>4.2</v>
      </c>
      <c r="X178" s="284">
        <v>1</v>
      </c>
      <c r="Y178" s="284">
        <v>3.2</v>
      </c>
      <c r="Z178" s="284">
        <v>0</v>
      </c>
      <c r="AA178" s="284">
        <v>0</v>
      </c>
      <c r="AB178" s="284">
        <v>0</v>
      </c>
      <c r="AC178" s="284">
        <v>0</v>
      </c>
      <c r="AE178" s="285">
        <v>2948793.2379914797</v>
      </c>
      <c r="AF178" s="286">
        <v>0</v>
      </c>
      <c r="AG178" s="287">
        <v>184005.51056301885</v>
      </c>
      <c r="AH178" s="288">
        <v>0</v>
      </c>
      <c r="AI178" s="289">
        <v>3132798.7485544984</v>
      </c>
      <c r="AJ178" s="266"/>
      <c r="AK178" s="285">
        <v>0</v>
      </c>
      <c r="AL178" s="286">
        <v>0</v>
      </c>
      <c r="AM178" s="286">
        <v>0</v>
      </c>
      <c r="AN178" s="290">
        <v>0</v>
      </c>
      <c r="AO178" s="289">
        <v>0</v>
      </c>
      <c r="AP178" s="291">
        <v>3132798.7485544984</v>
      </c>
    </row>
    <row r="179" spans="1:42" ht="15.75" x14ac:dyDescent="0.25">
      <c r="A179" s="247">
        <v>3054253</v>
      </c>
      <c r="B179" t="s">
        <v>1770</v>
      </c>
      <c r="C179">
        <v>0</v>
      </c>
      <c r="D179" s="247">
        <v>3054253</v>
      </c>
      <c r="E179" s="247" t="s">
        <v>1476</v>
      </c>
      <c r="F179" s="247" t="s">
        <v>713</v>
      </c>
      <c r="G179" s="247" t="s">
        <v>1475</v>
      </c>
      <c r="H179" s="247">
        <v>3054253</v>
      </c>
      <c r="I179" s="247" t="s">
        <v>1142</v>
      </c>
      <c r="J179" s="247">
        <v>2020</v>
      </c>
      <c r="K179" s="248" t="s">
        <v>1472</v>
      </c>
      <c r="L179" s="247" t="s">
        <v>1125</v>
      </c>
      <c r="M179" s="308">
        <v>3.2</v>
      </c>
      <c r="N179" s="308">
        <v>1</v>
      </c>
      <c r="O179" s="308">
        <v>2</v>
      </c>
      <c r="P179" s="308">
        <v>0</v>
      </c>
      <c r="Q179" s="308">
        <v>0.2</v>
      </c>
      <c r="R179" s="247">
        <v>0</v>
      </c>
      <c r="S179" s="247">
        <v>0</v>
      </c>
      <c r="T179" s="247">
        <v>12</v>
      </c>
      <c r="U179" s="247">
        <v>0</v>
      </c>
      <c r="W179" s="284">
        <v>3.2</v>
      </c>
      <c r="X179" s="284">
        <v>1</v>
      </c>
      <c r="Y179" s="284">
        <v>2</v>
      </c>
      <c r="Z179" s="284">
        <v>0</v>
      </c>
      <c r="AA179" s="284">
        <v>0.2</v>
      </c>
      <c r="AB179" s="284">
        <v>0</v>
      </c>
      <c r="AC179" s="284">
        <v>12</v>
      </c>
      <c r="AE179" s="285">
        <v>2246699.6098982706</v>
      </c>
      <c r="AF179" s="286">
        <v>0</v>
      </c>
      <c r="AG179" s="287">
        <v>140194.67471468102</v>
      </c>
      <c r="AH179" s="288">
        <v>0</v>
      </c>
      <c r="AI179" s="289">
        <v>2386894.2846129518</v>
      </c>
      <c r="AJ179" s="266"/>
      <c r="AK179" s="285">
        <v>0</v>
      </c>
      <c r="AL179" s="286">
        <v>0</v>
      </c>
      <c r="AM179" s="286">
        <v>0</v>
      </c>
      <c r="AN179" s="290">
        <v>0</v>
      </c>
      <c r="AO179" s="289">
        <v>0</v>
      </c>
      <c r="AP179" s="291">
        <v>2386894.2846129518</v>
      </c>
    </row>
    <row r="180" spans="1:42" ht="15.75" x14ac:dyDescent="0.25">
      <c r="A180" s="247">
        <v>3595008</v>
      </c>
      <c r="B180" t="s">
        <v>1770</v>
      </c>
      <c r="C180">
        <v>0</v>
      </c>
      <c r="D180" s="247">
        <v>3595008</v>
      </c>
      <c r="E180" s="247" t="s">
        <v>1479</v>
      </c>
      <c r="F180" s="247" t="s">
        <v>1247</v>
      </c>
      <c r="G180" s="247" t="s">
        <v>1478</v>
      </c>
      <c r="H180" s="247">
        <v>3595008</v>
      </c>
      <c r="I180" s="247" t="s">
        <v>1058</v>
      </c>
      <c r="J180" s="247">
        <v>2020</v>
      </c>
      <c r="K180" s="248" t="s">
        <v>1472</v>
      </c>
      <c r="L180" s="247" t="s">
        <v>1125</v>
      </c>
      <c r="M180" s="308">
        <v>6</v>
      </c>
      <c r="N180" s="308">
        <v>4</v>
      </c>
      <c r="O180" s="308">
        <v>2</v>
      </c>
      <c r="P180" s="308">
        <v>0</v>
      </c>
      <c r="Q180" s="308">
        <v>0</v>
      </c>
      <c r="R180" s="247">
        <v>0</v>
      </c>
      <c r="S180" s="247">
        <v>15</v>
      </c>
      <c r="T180" s="247">
        <v>0</v>
      </c>
      <c r="U180" s="247">
        <v>0</v>
      </c>
      <c r="W180" s="284">
        <v>6</v>
      </c>
      <c r="X180" s="284">
        <v>4</v>
      </c>
      <c r="Y180" s="284">
        <v>2</v>
      </c>
      <c r="Z180" s="284">
        <v>0</v>
      </c>
      <c r="AA180" s="284">
        <v>0</v>
      </c>
      <c r="AB180" s="284">
        <v>0</v>
      </c>
      <c r="AC180" s="284">
        <v>0</v>
      </c>
      <c r="AE180" s="285">
        <v>4212561.7685592566</v>
      </c>
      <c r="AF180" s="286">
        <v>0</v>
      </c>
      <c r="AG180" s="287">
        <v>262865.01509002689</v>
      </c>
      <c r="AH180" s="288">
        <v>0</v>
      </c>
      <c r="AI180" s="289">
        <v>4475426.7836492835</v>
      </c>
      <c r="AJ180" s="266"/>
      <c r="AK180" s="285">
        <v>0</v>
      </c>
      <c r="AL180" s="286">
        <v>0</v>
      </c>
      <c r="AM180" s="286">
        <v>0</v>
      </c>
      <c r="AN180" s="290">
        <v>0</v>
      </c>
      <c r="AO180" s="289">
        <v>0</v>
      </c>
      <c r="AP180" s="291">
        <v>4475426.7836492835</v>
      </c>
    </row>
    <row r="181" spans="1:42" ht="15.75" x14ac:dyDescent="0.25">
      <c r="A181" s="247">
        <v>3741470</v>
      </c>
      <c r="B181" t="s">
        <v>1770</v>
      </c>
      <c r="C181">
        <v>0</v>
      </c>
      <c r="D181" s="247">
        <v>3741470</v>
      </c>
      <c r="E181" s="247" t="s">
        <v>1482</v>
      </c>
      <c r="F181" s="247" t="s">
        <v>849</v>
      </c>
      <c r="G181" s="247" t="s">
        <v>1481</v>
      </c>
      <c r="H181" s="247">
        <v>3741470</v>
      </c>
      <c r="I181" s="247" t="s">
        <v>1068</v>
      </c>
      <c r="J181" s="247">
        <v>2020</v>
      </c>
      <c r="K181" s="248" t="s">
        <v>1472</v>
      </c>
      <c r="L181" s="247" t="s">
        <v>1057</v>
      </c>
      <c r="M181" s="308">
        <v>7.5</v>
      </c>
      <c r="N181" s="308">
        <v>7.5</v>
      </c>
      <c r="O181" s="308">
        <v>0</v>
      </c>
      <c r="P181" s="308">
        <v>0</v>
      </c>
      <c r="Q181" s="308">
        <v>0</v>
      </c>
      <c r="R181" s="247">
        <v>0</v>
      </c>
      <c r="S181" s="247">
        <v>30</v>
      </c>
      <c r="T181" s="247">
        <v>0</v>
      </c>
      <c r="U181" s="247">
        <v>0</v>
      </c>
      <c r="W181" s="284">
        <v>7.5</v>
      </c>
      <c r="X181" s="284">
        <v>7.5</v>
      </c>
      <c r="Y181" s="284">
        <v>0</v>
      </c>
      <c r="Z181" s="284">
        <v>0</v>
      </c>
      <c r="AA181" s="284">
        <v>0</v>
      </c>
      <c r="AB181" s="284">
        <v>0</v>
      </c>
      <c r="AC181" s="284">
        <v>0</v>
      </c>
      <c r="AE181" s="285">
        <v>5265702.2106990712</v>
      </c>
      <c r="AF181" s="286">
        <v>0</v>
      </c>
      <c r="AG181" s="287">
        <v>328581.26886253362</v>
      </c>
      <c r="AH181" s="288">
        <v>0</v>
      </c>
      <c r="AI181" s="289">
        <v>5594283.4795616046</v>
      </c>
      <c r="AJ181" s="266"/>
      <c r="AK181" s="285">
        <v>0</v>
      </c>
      <c r="AL181" s="286">
        <v>0</v>
      </c>
      <c r="AM181" s="286">
        <v>0</v>
      </c>
      <c r="AN181" s="290">
        <v>0</v>
      </c>
      <c r="AO181" s="289">
        <v>0</v>
      </c>
      <c r="AP181" s="291">
        <v>5594283.4795616046</v>
      </c>
    </row>
    <row r="182" spans="1:42" ht="15.75" x14ac:dyDescent="0.25">
      <c r="A182" s="247">
        <v>4373225</v>
      </c>
      <c r="B182" t="s">
        <v>1770</v>
      </c>
      <c r="C182">
        <v>0</v>
      </c>
      <c r="D182" s="247">
        <v>4373225</v>
      </c>
      <c r="E182" s="247" t="s">
        <v>1485</v>
      </c>
      <c r="F182" s="247" t="s">
        <v>1067</v>
      </c>
      <c r="G182" s="247" t="s">
        <v>1484</v>
      </c>
      <c r="H182" s="247">
        <v>4373225</v>
      </c>
      <c r="I182" s="247" t="s">
        <v>1087</v>
      </c>
      <c r="J182" s="247">
        <v>2020</v>
      </c>
      <c r="K182" s="248" t="s">
        <v>1472</v>
      </c>
      <c r="L182" s="247" t="s">
        <v>1086</v>
      </c>
      <c r="M182" s="308">
        <v>1.6</v>
      </c>
      <c r="N182" s="308">
        <v>1.1000000000000001</v>
      </c>
      <c r="O182" s="308">
        <v>0</v>
      </c>
      <c r="P182" s="308">
        <v>0</v>
      </c>
      <c r="Q182" s="308">
        <v>0.5</v>
      </c>
      <c r="R182" s="247">
        <v>0</v>
      </c>
      <c r="S182" s="247">
        <v>2</v>
      </c>
      <c r="T182" s="247">
        <v>0</v>
      </c>
      <c r="U182" s="247">
        <v>0</v>
      </c>
      <c r="W182" s="284">
        <v>1.6</v>
      </c>
      <c r="X182" s="284">
        <v>1.1000000000000001</v>
      </c>
      <c r="Y182" s="284">
        <v>0</v>
      </c>
      <c r="Z182" s="284">
        <v>0</v>
      </c>
      <c r="AA182" s="284">
        <v>0.5</v>
      </c>
      <c r="AB182" s="284">
        <v>0</v>
      </c>
      <c r="AC182" s="284">
        <v>0</v>
      </c>
      <c r="AE182" s="285">
        <v>1123349.8049491353</v>
      </c>
      <c r="AF182" s="286">
        <v>0</v>
      </c>
      <c r="AG182" s="287">
        <v>70097.337357340512</v>
      </c>
      <c r="AH182" s="288">
        <v>0</v>
      </c>
      <c r="AI182" s="289">
        <v>1193447.1423064759</v>
      </c>
      <c r="AJ182" s="266"/>
      <c r="AK182" s="285">
        <v>0</v>
      </c>
      <c r="AL182" s="286">
        <v>0</v>
      </c>
      <c r="AM182" s="286">
        <v>0</v>
      </c>
      <c r="AN182" s="290">
        <v>0</v>
      </c>
      <c r="AO182" s="289">
        <v>0</v>
      </c>
      <c r="AP182" s="291">
        <v>1193447.1423064759</v>
      </c>
    </row>
    <row r="183" spans="1:42" ht="15.75" x14ac:dyDescent="0.25">
      <c r="A183" s="247">
        <v>4659873</v>
      </c>
      <c r="B183" t="s">
        <v>1770</v>
      </c>
      <c r="C183">
        <v>0</v>
      </c>
      <c r="D183" s="247">
        <v>4659873</v>
      </c>
      <c r="E183" s="247" t="s">
        <v>905</v>
      </c>
      <c r="F183" s="247" t="s">
        <v>902</v>
      </c>
      <c r="G183" s="247" t="s">
        <v>1486</v>
      </c>
      <c r="H183" s="247">
        <v>4659873</v>
      </c>
      <c r="I183" s="247" t="s">
        <v>1087</v>
      </c>
      <c r="J183" s="247">
        <v>2020</v>
      </c>
      <c r="K183" s="248" t="s">
        <v>1472</v>
      </c>
      <c r="L183" s="247" t="s">
        <v>1086</v>
      </c>
      <c r="M183" s="308">
        <v>2</v>
      </c>
      <c r="N183" s="308">
        <v>2</v>
      </c>
      <c r="O183" s="308">
        <v>0</v>
      </c>
      <c r="P183" s="308">
        <v>0</v>
      </c>
      <c r="Q183" s="308">
        <v>0</v>
      </c>
      <c r="R183" s="247">
        <v>0</v>
      </c>
      <c r="S183" s="247">
        <v>55</v>
      </c>
      <c r="T183" s="247">
        <v>0</v>
      </c>
      <c r="U183" s="247">
        <v>0</v>
      </c>
      <c r="V183" s="292"/>
      <c r="W183" s="298">
        <v>2</v>
      </c>
      <c r="X183" s="298">
        <v>2</v>
      </c>
      <c r="Y183" s="298">
        <v>0</v>
      </c>
      <c r="Z183" s="298">
        <v>0</v>
      </c>
      <c r="AA183" s="298">
        <v>0</v>
      </c>
      <c r="AB183" s="298">
        <v>0</v>
      </c>
      <c r="AC183" s="298">
        <v>0</v>
      </c>
      <c r="AD183" s="292"/>
      <c r="AE183" s="285">
        <v>1404187.2561864189</v>
      </c>
      <c r="AF183" s="302">
        <v>0</v>
      </c>
      <c r="AG183" s="302">
        <v>87621.671696675636</v>
      </c>
      <c r="AH183" s="303">
        <v>0</v>
      </c>
      <c r="AI183" s="303">
        <v>1491808.9278830946</v>
      </c>
      <c r="AJ183" s="304"/>
      <c r="AK183" s="285">
        <v>0</v>
      </c>
      <c r="AL183" s="286">
        <v>0</v>
      </c>
      <c r="AM183" s="286">
        <v>0</v>
      </c>
      <c r="AN183" s="290">
        <v>0</v>
      </c>
      <c r="AO183" s="289">
        <v>0</v>
      </c>
      <c r="AP183" s="299">
        <v>1491808.9278830946</v>
      </c>
    </row>
    <row r="184" spans="1:42" ht="15.75" x14ac:dyDescent="0.25">
      <c r="A184" s="247">
        <v>4885366</v>
      </c>
      <c r="B184" t="s">
        <v>1770</v>
      </c>
      <c r="C184">
        <v>0</v>
      </c>
      <c r="D184" s="247">
        <v>4885366</v>
      </c>
      <c r="E184" s="247" t="s">
        <v>1488</v>
      </c>
      <c r="F184" s="247" t="s">
        <v>240</v>
      </c>
      <c r="G184" s="247" t="s">
        <v>1487</v>
      </c>
      <c r="H184" s="247">
        <v>4885366</v>
      </c>
      <c r="I184" s="247" t="s">
        <v>1061</v>
      </c>
      <c r="J184" s="247">
        <v>2020</v>
      </c>
      <c r="K184" s="248" t="s">
        <v>1472</v>
      </c>
      <c r="L184" s="247" t="s">
        <v>1057</v>
      </c>
      <c r="M184" s="308">
        <v>2</v>
      </c>
      <c r="N184" s="308">
        <v>1</v>
      </c>
      <c r="O184" s="308">
        <v>1</v>
      </c>
      <c r="P184" s="308">
        <v>0</v>
      </c>
      <c r="Q184" s="308">
        <v>0</v>
      </c>
      <c r="R184" s="247">
        <v>0</v>
      </c>
      <c r="S184" s="247">
        <v>0</v>
      </c>
      <c r="T184" s="247">
        <v>21</v>
      </c>
      <c r="U184" s="247">
        <v>0</v>
      </c>
      <c r="W184" s="284">
        <v>2</v>
      </c>
      <c r="X184" s="284">
        <v>1</v>
      </c>
      <c r="Y184" s="284">
        <v>1</v>
      </c>
      <c r="Z184" s="284">
        <v>0</v>
      </c>
      <c r="AA184" s="284">
        <v>0</v>
      </c>
      <c r="AB184" s="284">
        <v>0</v>
      </c>
      <c r="AC184" s="284">
        <v>21</v>
      </c>
      <c r="AE184" s="285">
        <v>1404187.2561864189</v>
      </c>
      <c r="AF184" s="286">
        <v>0</v>
      </c>
      <c r="AG184" s="287">
        <v>87621.671696675636</v>
      </c>
      <c r="AH184" s="288">
        <v>0</v>
      </c>
      <c r="AI184" s="289">
        <v>1491808.9278830946</v>
      </c>
      <c r="AJ184" s="266"/>
      <c r="AK184" s="285">
        <v>0</v>
      </c>
      <c r="AL184" s="286">
        <v>0</v>
      </c>
      <c r="AM184" s="286">
        <v>0</v>
      </c>
      <c r="AN184" s="290">
        <v>0</v>
      </c>
      <c r="AO184" s="289">
        <v>0</v>
      </c>
      <c r="AP184" s="291">
        <v>1491808.9278830946</v>
      </c>
    </row>
    <row r="185" spans="1:42" ht="15.75" x14ac:dyDescent="0.25">
      <c r="A185" s="247">
        <v>4885366</v>
      </c>
      <c r="B185" t="s">
        <v>1770</v>
      </c>
      <c r="C185">
        <v>0</v>
      </c>
      <c r="D185" s="247">
        <v>4885366</v>
      </c>
      <c r="E185" s="247" t="s">
        <v>1488</v>
      </c>
      <c r="F185" s="247" t="s">
        <v>240</v>
      </c>
      <c r="G185" s="247" t="s">
        <v>1489</v>
      </c>
      <c r="H185" s="247">
        <v>4885366</v>
      </c>
      <c r="I185" s="247" t="s">
        <v>1063</v>
      </c>
      <c r="J185" s="247">
        <v>2020</v>
      </c>
      <c r="K185" s="248" t="s">
        <v>1472</v>
      </c>
      <c r="L185" s="247" t="s">
        <v>1057</v>
      </c>
      <c r="M185" s="308">
        <v>2</v>
      </c>
      <c r="N185" s="308">
        <v>1</v>
      </c>
      <c r="O185" s="308">
        <v>1</v>
      </c>
      <c r="P185" s="308">
        <v>0</v>
      </c>
      <c r="Q185" s="308">
        <v>0</v>
      </c>
      <c r="R185" s="247">
        <v>0</v>
      </c>
      <c r="S185" s="247">
        <v>0</v>
      </c>
      <c r="T185" s="247">
        <v>21</v>
      </c>
      <c r="U185" s="247">
        <v>0</v>
      </c>
      <c r="W185" s="284">
        <v>2</v>
      </c>
      <c r="X185" s="284">
        <v>1</v>
      </c>
      <c r="Y185" s="284">
        <v>1</v>
      </c>
      <c r="Z185" s="284">
        <v>0</v>
      </c>
      <c r="AA185" s="284">
        <v>0</v>
      </c>
      <c r="AB185" s="284">
        <v>0</v>
      </c>
      <c r="AC185" s="284">
        <v>21</v>
      </c>
      <c r="AE185" s="285">
        <v>1404187.2561864189</v>
      </c>
      <c r="AF185" s="286">
        <v>0</v>
      </c>
      <c r="AG185" s="287">
        <v>87621.671696675636</v>
      </c>
      <c r="AH185" s="288">
        <v>0</v>
      </c>
      <c r="AI185" s="289">
        <v>1491808.9278830946</v>
      </c>
      <c r="AJ185" s="266"/>
      <c r="AK185" s="285">
        <v>0</v>
      </c>
      <c r="AL185" s="286">
        <v>0</v>
      </c>
      <c r="AM185" s="286">
        <v>0</v>
      </c>
      <c r="AN185" s="290">
        <v>0</v>
      </c>
      <c r="AO185" s="289">
        <v>0</v>
      </c>
      <c r="AP185" s="291">
        <v>1491808.9278830946</v>
      </c>
    </row>
    <row r="186" spans="1:42" ht="15.75" x14ac:dyDescent="0.25">
      <c r="A186" s="247">
        <v>5943218</v>
      </c>
      <c r="B186" t="s">
        <v>1770</v>
      </c>
      <c r="C186">
        <v>0</v>
      </c>
      <c r="D186" s="247">
        <v>5943218</v>
      </c>
      <c r="E186" s="247" t="s">
        <v>585</v>
      </c>
      <c r="F186" s="247" t="s">
        <v>585</v>
      </c>
      <c r="G186" s="247" t="s">
        <v>1490</v>
      </c>
      <c r="H186" s="247">
        <v>5943218</v>
      </c>
      <c r="I186" s="247" t="s">
        <v>1087</v>
      </c>
      <c r="J186" s="247">
        <v>2020</v>
      </c>
      <c r="K186" s="248" t="s">
        <v>1472</v>
      </c>
      <c r="L186" s="247" t="s">
        <v>1086</v>
      </c>
      <c r="M186" s="308">
        <v>1.75</v>
      </c>
      <c r="N186" s="308">
        <v>0.6</v>
      </c>
      <c r="O186" s="308">
        <v>0.22500000000000001</v>
      </c>
      <c r="P186" s="308">
        <v>0</v>
      </c>
      <c r="Q186" s="308">
        <v>0.92499999999999993</v>
      </c>
      <c r="R186" s="247">
        <v>0</v>
      </c>
      <c r="S186" s="247">
        <v>15</v>
      </c>
      <c r="T186" s="247">
        <v>2</v>
      </c>
      <c r="U186" s="247">
        <v>0</v>
      </c>
      <c r="W186" s="284">
        <v>1.75</v>
      </c>
      <c r="X186" s="284">
        <v>0.6</v>
      </c>
      <c r="Y186" s="284">
        <v>0.22500000000000001</v>
      </c>
      <c r="Z186" s="284">
        <v>0</v>
      </c>
      <c r="AA186" s="284">
        <v>0.92499999999999993</v>
      </c>
      <c r="AB186" s="284">
        <v>0</v>
      </c>
      <c r="AC186" s="284">
        <v>2</v>
      </c>
      <c r="AE186" s="285">
        <v>1228663.8491631167</v>
      </c>
      <c r="AF186" s="286">
        <v>0</v>
      </c>
      <c r="AG186" s="287">
        <v>76668.962734591187</v>
      </c>
      <c r="AH186" s="288">
        <v>0</v>
      </c>
      <c r="AI186" s="289">
        <v>1305332.8118977079</v>
      </c>
      <c r="AJ186" s="266"/>
      <c r="AK186" s="285">
        <v>0</v>
      </c>
      <c r="AL186" s="286">
        <v>0</v>
      </c>
      <c r="AM186" s="286">
        <v>0</v>
      </c>
      <c r="AN186" s="290">
        <v>0</v>
      </c>
      <c r="AO186" s="289">
        <v>0</v>
      </c>
      <c r="AP186" s="291">
        <v>1305332.8118977079</v>
      </c>
    </row>
    <row r="187" spans="1:42" ht="15.75" x14ac:dyDescent="0.25">
      <c r="A187" s="247">
        <v>6473703</v>
      </c>
      <c r="B187" t="s">
        <v>1770</v>
      </c>
      <c r="C187">
        <v>0</v>
      </c>
      <c r="D187" s="247">
        <v>6473703</v>
      </c>
      <c r="E187" s="247" t="s">
        <v>1493</v>
      </c>
      <c r="F187" s="247" t="s">
        <v>874</v>
      </c>
      <c r="G187" s="247" t="s">
        <v>1492</v>
      </c>
      <c r="H187" s="247">
        <v>6473703</v>
      </c>
      <c r="I187" s="247" t="s">
        <v>1061</v>
      </c>
      <c r="J187" s="247">
        <v>2020</v>
      </c>
      <c r="K187" s="248" t="s">
        <v>1472</v>
      </c>
      <c r="L187" s="247" t="s">
        <v>1125</v>
      </c>
      <c r="M187" s="308">
        <v>3</v>
      </c>
      <c r="N187" s="308">
        <v>0.6</v>
      </c>
      <c r="O187" s="308">
        <v>2.4</v>
      </c>
      <c r="P187" s="308">
        <v>0</v>
      </c>
      <c r="Q187" s="308">
        <v>0</v>
      </c>
      <c r="R187" s="247">
        <v>0</v>
      </c>
      <c r="S187" s="247">
        <v>20</v>
      </c>
      <c r="T187" s="247">
        <v>0</v>
      </c>
      <c r="U187" s="247">
        <v>0</v>
      </c>
      <c r="W187" s="284">
        <v>3</v>
      </c>
      <c r="X187" s="284">
        <v>0.6</v>
      </c>
      <c r="Y187" s="284">
        <v>2.4</v>
      </c>
      <c r="Z187" s="284">
        <v>0</v>
      </c>
      <c r="AA187" s="284">
        <v>0</v>
      </c>
      <c r="AB187" s="284">
        <v>0</v>
      </c>
      <c r="AC187" s="284">
        <v>0</v>
      </c>
      <c r="AE187" s="285">
        <v>2106280.8842796283</v>
      </c>
      <c r="AF187" s="286">
        <v>0</v>
      </c>
      <c r="AG187" s="287">
        <v>131432.50754501345</v>
      </c>
      <c r="AH187" s="288">
        <v>0</v>
      </c>
      <c r="AI187" s="289">
        <v>2237713.3918246417</v>
      </c>
      <c r="AJ187" s="266"/>
      <c r="AK187" s="285">
        <v>0</v>
      </c>
      <c r="AL187" s="286">
        <v>0</v>
      </c>
      <c r="AM187" s="286">
        <v>0</v>
      </c>
      <c r="AN187" s="290">
        <v>0</v>
      </c>
      <c r="AO187" s="289">
        <v>0</v>
      </c>
      <c r="AP187" s="291">
        <v>2237713.3918246417</v>
      </c>
    </row>
    <row r="188" spans="1:42" ht="15.75" x14ac:dyDescent="0.25">
      <c r="A188" s="247">
        <v>6948137</v>
      </c>
      <c r="B188" t="s">
        <v>1770</v>
      </c>
      <c r="C188">
        <v>0</v>
      </c>
      <c r="D188" s="247">
        <v>6948137</v>
      </c>
      <c r="E188" s="247" t="s">
        <v>1495</v>
      </c>
      <c r="F188" s="247" t="s">
        <v>849</v>
      </c>
      <c r="G188" s="247" t="s">
        <v>1494</v>
      </c>
      <c r="H188" s="247">
        <v>6948137</v>
      </c>
      <c r="I188" s="247" t="s">
        <v>1061</v>
      </c>
      <c r="J188" s="247">
        <v>2020</v>
      </c>
      <c r="K188" s="248" t="s">
        <v>1472</v>
      </c>
      <c r="L188" s="247" t="s">
        <v>1057</v>
      </c>
      <c r="M188" s="308">
        <v>5</v>
      </c>
      <c r="N188" s="308">
        <v>5</v>
      </c>
      <c r="O188" s="308">
        <v>0</v>
      </c>
      <c r="P188" s="308">
        <v>0</v>
      </c>
      <c r="Q188" s="308">
        <v>0</v>
      </c>
      <c r="R188" s="247">
        <v>0</v>
      </c>
      <c r="S188" s="247">
        <v>30</v>
      </c>
      <c r="T188" s="247">
        <v>0</v>
      </c>
      <c r="U188" s="247">
        <v>0</v>
      </c>
      <c r="W188" s="284">
        <v>5</v>
      </c>
      <c r="X188" s="284">
        <v>5</v>
      </c>
      <c r="Y188" s="284">
        <v>0</v>
      </c>
      <c r="Z188" s="284">
        <v>0</v>
      </c>
      <c r="AA188" s="284">
        <v>0</v>
      </c>
      <c r="AB188" s="284">
        <v>0</v>
      </c>
      <c r="AC188" s="284">
        <v>0</v>
      </c>
      <c r="AE188" s="285">
        <v>3510468.1404660475</v>
      </c>
      <c r="AF188" s="286">
        <v>0</v>
      </c>
      <c r="AG188" s="287">
        <v>219054.1792416891</v>
      </c>
      <c r="AH188" s="288">
        <v>0</v>
      </c>
      <c r="AI188" s="289">
        <v>3729522.3197077364</v>
      </c>
      <c r="AJ188" s="266"/>
      <c r="AK188" s="285">
        <v>0</v>
      </c>
      <c r="AL188" s="286">
        <v>0</v>
      </c>
      <c r="AM188" s="286">
        <v>0</v>
      </c>
      <c r="AN188" s="290">
        <v>0</v>
      </c>
      <c r="AO188" s="289">
        <v>0</v>
      </c>
      <c r="AP188" s="291">
        <v>3729522.3197077364</v>
      </c>
    </row>
    <row r="189" spans="1:42" ht="15.75" x14ac:dyDescent="0.25">
      <c r="A189" s="247">
        <v>6948137</v>
      </c>
      <c r="B189" t="s">
        <v>1770</v>
      </c>
      <c r="C189">
        <v>0</v>
      </c>
      <c r="D189" s="247">
        <v>6948137</v>
      </c>
      <c r="E189" s="247" t="s">
        <v>1495</v>
      </c>
      <c r="F189" s="247" t="s">
        <v>849</v>
      </c>
      <c r="G189" s="247" t="s">
        <v>1496</v>
      </c>
      <c r="H189" s="247">
        <v>6948137</v>
      </c>
      <c r="I189" s="247" t="s">
        <v>1063</v>
      </c>
      <c r="J189" s="247">
        <v>2020</v>
      </c>
      <c r="K189" s="248" t="s">
        <v>1472</v>
      </c>
      <c r="L189" s="247" t="s">
        <v>1057</v>
      </c>
      <c r="M189" s="308">
        <v>5.5</v>
      </c>
      <c r="N189" s="308">
        <v>5.5</v>
      </c>
      <c r="O189" s="308">
        <v>0</v>
      </c>
      <c r="P189" s="308">
        <v>0</v>
      </c>
      <c r="Q189" s="308">
        <v>0</v>
      </c>
      <c r="R189" s="247">
        <v>0</v>
      </c>
      <c r="S189" s="247">
        <v>30</v>
      </c>
      <c r="T189" s="247">
        <v>0</v>
      </c>
      <c r="U189" s="247">
        <v>0</v>
      </c>
      <c r="W189" s="284">
        <v>5.5</v>
      </c>
      <c r="X189" s="284">
        <v>5.5</v>
      </c>
      <c r="Y189" s="284">
        <v>0</v>
      </c>
      <c r="Z189" s="284">
        <v>0</v>
      </c>
      <c r="AA189" s="284">
        <v>0</v>
      </c>
      <c r="AB189" s="284">
        <v>0</v>
      </c>
      <c r="AC189" s="284">
        <v>0</v>
      </c>
      <c r="AE189" s="285">
        <v>3861514.954512652</v>
      </c>
      <c r="AF189" s="286">
        <v>0</v>
      </c>
      <c r="AG189" s="287">
        <v>240959.59716585799</v>
      </c>
      <c r="AH189" s="288">
        <v>0</v>
      </c>
      <c r="AI189" s="289">
        <v>4102474.5516785099</v>
      </c>
      <c r="AJ189" s="266"/>
      <c r="AK189" s="285">
        <v>0</v>
      </c>
      <c r="AL189" s="286">
        <v>0</v>
      </c>
      <c r="AM189" s="286">
        <v>0</v>
      </c>
      <c r="AN189" s="290">
        <v>0</v>
      </c>
      <c r="AO189" s="289">
        <v>0</v>
      </c>
      <c r="AP189" s="291">
        <v>4102474.5516785099</v>
      </c>
    </row>
    <row r="190" spans="1:42" ht="15.75" x14ac:dyDescent="0.25">
      <c r="A190" s="247">
        <v>7218817</v>
      </c>
      <c r="B190" t="s">
        <v>1770</v>
      </c>
      <c r="C190">
        <v>0</v>
      </c>
      <c r="D190" s="247">
        <v>7218817</v>
      </c>
      <c r="E190" s="247" t="s">
        <v>1112</v>
      </c>
      <c r="F190" s="247" t="s">
        <v>1113</v>
      </c>
      <c r="G190" s="247" t="s">
        <v>1497</v>
      </c>
      <c r="H190" s="247">
        <v>7218817</v>
      </c>
      <c r="I190" s="247" t="s">
        <v>1144</v>
      </c>
      <c r="J190" s="247">
        <v>2020</v>
      </c>
      <c r="K190" s="248" t="s">
        <v>1472</v>
      </c>
      <c r="L190" s="247" t="s">
        <v>1125</v>
      </c>
      <c r="M190" s="308">
        <v>2.5</v>
      </c>
      <c r="N190" s="308">
        <v>0.5</v>
      </c>
      <c r="O190" s="308">
        <v>2</v>
      </c>
      <c r="P190" s="308">
        <v>0</v>
      </c>
      <c r="Q190" s="308">
        <v>0</v>
      </c>
      <c r="R190" s="247">
        <v>0</v>
      </c>
      <c r="S190" s="247">
        <v>20</v>
      </c>
      <c r="T190" s="247">
        <v>0</v>
      </c>
      <c r="U190" s="247">
        <v>0</v>
      </c>
      <c r="W190" s="284">
        <v>2.5</v>
      </c>
      <c r="X190" s="284">
        <v>0.5</v>
      </c>
      <c r="Y190" s="284">
        <v>2</v>
      </c>
      <c r="Z190" s="284">
        <v>0</v>
      </c>
      <c r="AA190" s="284">
        <v>0</v>
      </c>
      <c r="AB190" s="284">
        <v>0</v>
      </c>
      <c r="AC190" s="284">
        <v>0</v>
      </c>
      <c r="AE190" s="285">
        <v>1755234.0702330237</v>
      </c>
      <c r="AF190" s="286">
        <v>0</v>
      </c>
      <c r="AG190" s="287">
        <v>109527.08962084455</v>
      </c>
      <c r="AH190" s="288">
        <v>0</v>
      </c>
      <c r="AI190" s="289">
        <v>1864761.1598538682</v>
      </c>
      <c r="AJ190" s="266"/>
      <c r="AK190" s="285">
        <v>0</v>
      </c>
      <c r="AL190" s="286">
        <v>0</v>
      </c>
      <c r="AM190" s="286">
        <v>0</v>
      </c>
      <c r="AN190" s="290">
        <v>0</v>
      </c>
      <c r="AO190" s="289">
        <v>0</v>
      </c>
      <c r="AP190" s="291">
        <v>1864761.1598538682</v>
      </c>
    </row>
    <row r="191" spans="1:42" ht="15.75" x14ac:dyDescent="0.25">
      <c r="A191" s="247">
        <v>7381195</v>
      </c>
      <c r="B191" t="s">
        <v>1770</v>
      </c>
      <c r="C191">
        <v>0</v>
      </c>
      <c r="D191" s="247">
        <v>7381195</v>
      </c>
      <c r="E191" s="247" t="s">
        <v>731</v>
      </c>
      <c r="F191" s="247" t="s">
        <v>1297</v>
      </c>
      <c r="G191" s="247" t="s">
        <v>1499</v>
      </c>
      <c r="H191" s="247">
        <v>7381195</v>
      </c>
      <c r="I191" s="247" t="s">
        <v>1138</v>
      </c>
      <c r="J191" s="247">
        <v>2020</v>
      </c>
      <c r="K191" s="248" t="s">
        <v>1472</v>
      </c>
      <c r="L191" s="247" t="s">
        <v>1125</v>
      </c>
      <c r="M191" s="308">
        <v>1.1499999999999999</v>
      </c>
      <c r="N191" s="308">
        <v>0.25</v>
      </c>
      <c r="O191" s="308">
        <v>0.9</v>
      </c>
      <c r="P191" s="308">
        <v>0</v>
      </c>
      <c r="Q191" s="308">
        <v>0</v>
      </c>
      <c r="R191" s="247">
        <v>0</v>
      </c>
      <c r="S191" s="247">
        <v>4</v>
      </c>
      <c r="T191" s="247">
        <v>0</v>
      </c>
      <c r="U191" s="247">
        <v>0</v>
      </c>
      <c r="W191" s="284">
        <v>1.1499999999999999</v>
      </c>
      <c r="X191" s="284">
        <v>0.25</v>
      </c>
      <c r="Y191" s="284">
        <v>0.9</v>
      </c>
      <c r="Z191" s="284">
        <v>0</v>
      </c>
      <c r="AA191" s="284">
        <v>0</v>
      </c>
      <c r="AB191" s="284">
        <v>0</v>
      </c>
      <c r="AC191" s="284">
        <v>0</v>
      </c>
      <c r="AE191" s="285">
        <v>807407.67230719083</v>
      </c>
      <c r="AF191" s="286">
        <v>0</v>
      </c>
      <c r="AG191" s="287">
        <v>50382.461225588486</v>
      </c>
      <c r="AH191" s="288">
        <v>0</v>
      </c>
      <c r="AI191" s="289">
        <v>857790.13353277929</v>
      </c>
      <c r="AJ191" s="266"/>
      <c r="AK191" s="285">
        <v>0</v>
      </c>
      <c r="AL191" s="286">
        <v>0</v>
      </c>
      <c r="AM191" s="286">
        <v>0</v>
      </c>
      <c r="AN191" s="290">
        <v>0</v>
      </c>
      <c r="AO191" s="289">
        <v>0</v>
      </c>
      <c r="AP191" s="291">
        <v>857790.13353277929</v>
      </c>
    </row>
    <row r="192" spans="1:42" ht="15.75" x14ac:dyDescent="0.25">
      <c r="A192" s="247">
        <v>7790627</v>
      </c>
      <c r="B192" t="s">
        <v>1770</v>
      </c>
      <c r="C192">
        <v>0</v>
      </c>
      <c r="D192" s="247">
        <v>7790627</v>
      </c>
      <c r="E192" s="247" t="s">
        <v>700</v>
      </c>
      <c r="F192" s="247" t="s">
        <v>375</v>
      </c>
      <c r="G192" s="247" t="s">
        <v>1501</v>
      </c>
      <c r="H192" s="247">
        <v>7790627</v>
      </c>
      <c r="I192" s="247" t="s">
        <v>1128</v>
      </c>
      <c r="J192" s="247">
        <v>2020</v>
      </c>
      <c r="K192" s="248" t="s">
        <v>1472</v>
      </c>
      <c r="L192" s="247" t="s">
        <v>1125</v>
      </c>
      <c r="M192" s="308">
        <v>4.74</v>
      </c>
      <c r="N192" s="308">
        <v>0.6</v>
      </c>
      <c r="O192" s="308">
        <v>4.1400000000000006</v>
      </c>
      <c r="P192" s="308">
        <v>0</v>
      </c>
      <c r="Q192" s="308">
        <v>0</v>
      </c>
      <c r="R192" s="247">
        <v>0</v>
      </c>
      <c r="S192" s="247">
        <v>30</v>
      </c>
      <c r="T192" s="247">
        <v>9</v>
      </c>
      <c r="U192" s="247">
        <v>0</v>
      </c>
      <c r="W192" s="284">
        <v>4.74</v>
      </c>
      <c r="X192" s="284">
        <v>0.6</v>
      </c>
      <c r="Y192" s="284">
        <v>4.1400000000000006</v>
      </c>
      <c r="Z192" s="284">
        <v>0</v>
      </c>
      <c r="AA192" s="284">
        <v>0</v>
      </c>
      <c r="AB192" s="284">
        <v>0</v>
      </c>
      <c r="AC192" s="284">
        <v>9</v>
      </c>
      <c r="AE192" s="285">
        <v>3327923.7971618129</v>
      </c>
      <c r="AF192" s="286">
        <v>0</v>
      </c>
      <c r="AG192" s="287">
        <v>207663.36192112128</v>
      </c>
      <c r="AH192" s="288">
        <v>0</v>
      </c>
      <c r="AI192" s="289">
        <v>3535587.1590829343</v>
      </c>
      <c r="AJ192" s="266"/>
      <c r="AK192" s="285">
        <v>0</v>
      </c>
      <c r="AL192" s="286">
        <v>0</v>
      </c>
      <c r="AM192" s="286">
        <v>0</v>
      </c>
      <c r="AN192" s="290">
        <v>0</v>
      </c>
      <c r="AO192" s="289">
        <v>0</v>
      </c>
      <c r="AP192" s="291">
        <v>3535587.1590829343</v>
      </c>
    </row>
    <row r="193" spans="1:42" ht="15.75" x14ac:dyDescent="0.25">
      <c r="A193" s="247">
        <v>7805491</v>
      </c>
      <c r="B193" t="s">
        <v>1770</v>
      </c>
      <c r="C193">
        <v>0</v>
      </c>
      <c r="D193" s="247">
        <v>7805491</v>
      </c>
      <c r="E193" s="247" t="s">
        <v>881</v>
      </c>
      <c r="F193" s="247" t="s">
        <v>874</v>
      </c>
      <c r="G193" s="247" t="s">
        <v>1502</v>
      </c>
      <c r="H193" s="247">
        <v>7805491</v>
      </c>
      <c r="I193" s="247" t="s">
        <v>1063</v>
      </c>
      <c r="J193" s="247">
        <v>2020</v>
      </c>
      <c r="K193" s="248" t="s">
        <v>1472</v>
      </c>
      <c r="L193" s="247" t="s">
        <v>1125</v>
      </c>
      <c r="M193" s="308">
        <v>3.5</v>
      </c>
      <c r="N193" s="308">
        <v>0.6</v>
      </c>
      <c r="O193" s="308">
        <v>2.9</v>
      </c>
      <c r="P193" s="308">
        <v>0</v>
      </c>
      <c r="Q193" s="308">
        <v>0</v>
      </c>
      <c r="R193" s="247">
        <v>0</v>
      </c>
      <c r="S193" s="247">
        <v>6</v>
      </c>
      <c r="T193" s="247">
        <v>0</v>
      </c>
      <c r="U193" s="247">
        <v>0</v>
      </c>
      <c r="W193" s="284">
        <v>3.5</v>
      </c>
      <c r="X193" s="284">
        <v>0.6</v>
      </c>
      <c r="Y193" s="284">
        <v>2.9</v>
      </c>
      <c r="Z193" s="284">
        <v>0</v>
      </c>
      <c r="AA193" s="284">
        <v>0</v>
      </c>
      <c r="AB193" s="284">
        <v>0</v>
      </c>
      <c r="AC193" s="284">
        <v>0</v>
      </c>
      <c r="AE193" s="285">
        <v>2457327.6983262333</v>
      </c>
      <c r="AF193" s="286">
        <v>0</v>
      </c>
      <c r="AG193" s="287">
        <v>153337.92546918237</v>
      </c>
      <c r="AH193" s="288">
        <v>0</v>
      </c>
      <c r="AI193" s="289">
        <v>2610665.6237954157</v>
      </c>
      <c r="AJ193" s="266"/>
      <c r="AK193" s="285">
        <v>0</v>
      </c>
      <c r="AL193" s="286">
        <v>0</v>
      </c>
      <c r="AM193" s="286">
        <v>0</v>
      </c>
      <c r="AN193" s="290">
        <v>0</v>
      </c>
      <c r="AO193" s="289">
        <v>0</v>
      </c>
      <c r="AP193" s="291">
        <v>2610665.6237954157</v>
      </c>
    </row>
    <row r="194" spans="1:42" ht="15.75" x14ac:dyDescent="0.25">
      <c r="A194" s="247">
        <v>8172268</v>
      </c>
      <c r="B194" t="s">
        <v>1770</v>
      </c>
      <c r="C194">
        <v>0</v>
      </c>
      <c r="D194" s="247">
        <v>8172268</v>
      </c>
      <c r="E194" s="247" t="s">
        <v>1504</v>
      </c>
      <c r="F194" s="247" t="s">
        <v>849</v>
      </c>
      <c r="G194" s="247" t="s">
        <v>1503</v>
      </c>
      <c r="H194" s="247">
        <v>8172268</v>
      </c>
      <c r="I194" s="247" t="s">
        <v>1058</v>
      </c>
      <c r="J194" s="247">
        <v>2020</v>
      </c>
      <c r="K194" s="248" t="s">
        <v>1472</v>
      </c>
      <c r="L194" s="247" t="s">
        <v>1057</v>
      </c>
      <c r="M194" s="308">
        <v>10.5</v>
      </c>
      <c r="N194" s="308">
        <v>10.5</v>
      </c>
      <c r="O194" s="308">
        <v>0</v>
      </c>
      <c r="P194" s="308">
        <v>0</v>
      </c>
      <c r="Q194" s="308">
        <v>0</v>
      </c>
      <c r="R194" s="247">
        <v>0</v>
      </c>
      <c r="S194" s="247">
        <v>32</v>
      </c>
      <c r="T194" s="247">
        <v>0</v>
      </c>
      <c r="U194" s="247">
        <v>0</v>
      </c>
      <c r="W194" s="284">
        <v>10.5</v>
      </c>
      <c r="X194" s="284">
        <v>10.5</v>
      </c>
      <c r="Y194" s="284">
        <v>0</v>
      </c>
      <c r="Z194" s="284">
        <v>0</v>
      </c>
      <c r="AA194" s="284">
        <v>0</v>
      </c>
      <c r="AB194" s="284">
        <v>0</v>
      </c>
      <c r="AC194" s="284">
        <v>0</v>
      </c>
      <c r="AE194" s="285">
        <v>7371983.0949786995</v>
      </c>
      <c r="AF194" s="286">
        <v>0</v>
      </c>
      <c r="AG194" s="287">
        <v>460013.77640754706</v>
      </c>
      <c r="AH194" s="288">
        <v>0</v>
      </c>
      <c r="AI194" s="289">
        <v>7831996.8713862468</v>
      </c>
      <c r="AJ194" s="266"/>
      <c r="AK194" s="285">
        <v>0</v>
      </c>
      <c r="AL194" s="286">
        <v>0</v>
      </c>
      <c r="AM194" s="286">
        <v>0</v>
      </c>
      <c r="AN194" s="290">
        <v>0</v>
      </c>
      <c r="AO194" s="289">
        <v>0</v>
      </c>
      <c r="AP194" s="291">
        <v>7831996.8713862468</v>
      </c>
    </row>
    <row r="195" spans="1:42" ht="15.75" x14ac:dyDescent="0.25">
      <c r="A195" s="247">
        <v>9767213</v>
      </c>
      <c r="B195" t="s">
        <v>1770</v>
      </c>
      <c r="C195">
        <v>0</v>
      </c>
      <c r="D195" s="247">
        <v>9767213</v>
      </c>
      <c r="E195" s="247" t="s">
        <v>236</v>
      </c>
      <c r="F195" s="247" t="s">
        <v>1145</v>
      </c>
      <c r="G195" s="247" t="s">
        <v>1506</v>
      </c>
      <c r="H195" s="247">
        <v>9767213</v>
      </c>
      <c r="I195" s="247" t="s">
        <v>1068</v>
      </c>
      <c r="J195" s="247">
        <v>2020</v>
      </c>
      <c r="K195" s="248" t="s">
        <v>1472</v>
      </c>
      <c r="L195" s="247" t="s">
        <v>1125</v>
      </c>
      <c r="M195" s="308">
        <v>4.7</v>
      </c>
      <c r="N195" s="308">
        <v>1.6</v>
      </c>
      <c r="O195" s="308">
        <v>3.1</v>
      </c>
      <c r="P195" s="308">
        <v>0</v>
      </c>
      <c r="Q195" s="308">
        <v>0</v>
      </c>
      <c r="R195" s="247">
        <v>0</v>
      </c>
      <c r="S195" s="247">
        <v>32</v>
      </c>
      <c r="T195" s="247">
        <v>12</v>
      </c>
      <c r="U195" s="247">
        <v>0</v>
      </c>
      <c r="W195" s="284">
        <v>4.7</v>
      </c>
      <c r="X195" s="284">
        <v>1.6</v>
      </c>
      <c r="Y195" s="284">
        <v>3.1</v>
      </c>
      <c r="Z195" s="284">
        <v>0</v>
      </c>
      <c r="AA195" s="284">
        <v>0</v>
      </c>
      <c r="AB195" s="284">
        <v>0</v>
      </c>
      <c r="AC195" s="284">
        <v>12</v>
      </c>
      <c r="AE195" s="285">
        <v>3299840.0520380847</v>
      </c>
      <c r="AF195" s="286">
        <v>0</v>
      </c>
      <c r="AG195" s="287">
        <v>205910.92848718775</v>
      </c>
      <c r="AH195" s="288">
        <v>0</v>
      </c>
      <c r="AI195" s="289">
        <v>3505750.9805252724</v>
      </c>
      <c r="AJ195" s="266"/>
      <c r="AK195" s="285">
        <v>0</v>
      </c>
      <c r="AL195" s="286">
        <v>0</v>
      </c>
      <c r="AM195" s="286">
        <v>0</v>
      </c>
      <c r="AN195" s="290">
        <v>0</v>
      </c>
      <c r="AO195" s="289">
        <v>0</v>
      </c>
      <c r="AP195" s="291">
        <v>3505750.9805252724</v>
      </c>
    </row>
    <row r="196" spans="1:42" ht="15.75" x14ac:dyDescent="0.25">
      <c r="A196" s="247">
        <v>4382191</v>
      </c>
      <c r="B196" t="s">
        <v>1771</v>
      </c>
      <c r="C196" t="s">
        <v>1772</v>
      </c>
      <c r="D196" s="247">
        <v>4382191</v>
      </c>
      <c r="E196" s="247" t="s">
        <v>1082</v>
      </c>
      <c r="F196" s="247" t="s">
        <v>332</v>
      </c>
      <c r="G196" s="247" t="s">
        <v>1077</v>
      </c>
      <c r="H196" s="247">
        <v>4382191</v>
      </c>
      <c r="I196" s="247" t="s">
        <v>1061</v>
      </c>
      <c r="J196" s="247">
        <v>2020</v>
      </c>
      <c r="K196" s="248" t="s">
        <v>1055</v>
      </c>
      <c r="L196" s="247" t="s">
        <v>1057</v>
      </c>
      <c r="M196" s="308">
        <v>1</v>
      </c>
      <c r="N196" s="308">
        <v>1</v>
      </c>
      <c r="O196" s="308">
        <v>0</v>
      </c>
      <c r="P196" s="308">
        <v>0</v>
      </c>
      <c r="Q196" s="308">
        <v>0</v>
      </c>
      <c r="R196" s="247">
        <v>0</v>
      </c>
      <c r="S196" s="247">
        <v>6</v>
      </c>
      <c r="T196" s="247">
        <v>0</v>
      </c>
      <c r="U196" s="247">
        <v>0</v>
      </c>
      <c r="W196" s="284">
        <v>1</v>
      </c>
      <c r="X196" s="284">
        <v>1</v>
      </c>
      <c r="Y196" s="284">
        <v>0</v>
      </c>
      <c r="Z196" s="284">
        <v>0</v>
      </c>
      <c r="AA196" s="284">
        <v>0</v>
      </c>
      <c r="AB196" s="284">
        <v>0</v>
      </c>
      <c r="AC196" s="284">
        <v>0</v>
      </c>
      <c r="AE196" s="285">
        <v>695391.96464237291</v>
      </c>
      <c r="AF196" s="286">
        <v>0</v>
      </c>
      <c r="AG196" s="287">
        <v>47381.546135780867</v>
      </c>
      <c r="AH196" s="288">
        <v>0</v>
      </c>
      <c r="AI196" s="289">
        <v>742773.51077815378</v>
      </c>
      <c r="AJ196" s="266"/>
      <c r="AK196" s="285">
        <v>0</v>
      </c>
      <c r="AL196" s="286">
        <v>0</v>
      </c>
      <c r="AM196" s="286">
        <v>0</v>
      </c>
      <c r="AN196" s="290">
        <v>0</v>
      </c>
      <c r="AO196" s="289">
        <v>0</v>
      </c>
      <c r="AP196" s="291">
        <v>742773.51077815378</v>
      </c>
    </row>
    <row r="197" spans="1:42" ht="15.75" x14ac:dyDescent="0.25">
      <c r="A197" s="247">
        <v>1172890</v>
      </c>
      <c r="B197" t="s">
        <v>1771</v>
      </c>
      <c r="C197" t="s">
        <v>1782</v>
      </c>
      <c r="D197" s="247">
        <v>1172890</v>
      </c>
      <c r="E197" s="247" t="s">
        <v>620</v>
      </c>
      <c r="F197" s="247" t="s">
        <v>618</v>
      </c>
      <c r="G197" s="247" t="s">
        <v>1157</v>
      </c>
      <c r="H197" s="247">
        <v>1172890</v>
      </c>
      <c r="I197" s="247" t="s">
        <v>1151</v>
      </c>
      <c r="J197" s="247">
        <v>2020</v>
      </c>
      <c r="K197" s="248" t="s">
        <v>1155</v>
      </c>
      <c r="L197" s="247" t="s">
        <v>1156</v>
      </c>
      <c r="M197" s="308">
        <v>11.6</v>
      </c>
      <c r="N197" s="308">
        <v>1.7</v>
      </c>
      <c r="O197" s="308">
        <v>9.9</v>
      </c>
      <c r="P197" s="308">
        <v>0</v>
      </c>
      <c r="Q197" s="308">
        <v>0</v>
      </c>
      <c r="R197" s="247">
        <v>0</v>
      </c>
      <c r="S197" s="247">
        <v>115</v>
      </c>
      <c r="T197" s="247">
        <v>0</v>
      </c>
      <c r="U197" s="247">
        <v>0</v>
      </c>
      <c r="W197" s="284">
        <v>11.6</v>
      </c>
      <c r="X197" s="284">
        <v>1.7</v>
      </c>
      <c r="Y197" s="284">
        <v>9.9</v>
      </c>
      <c r="Z197" s="284">
        <v>0</v>
      </c>
      <c r="AA197" s="284">
        <v>0</v>
      </c>
      <c r="AB197" s="284">
        <v>0</v>
      </c>
      <c r="AC197" s="284">
        <v>0</v>
      </c>
      <c r="AE197" s="285">
        <v>6697777.6289614979</v>
      </c>
      <c r="AF197" s="286">
        <v>0</v>
      </c>
      <c r="AG197" s="287">
        <v>499423.21543052298</v>
      </c>
      <c r="AH197" s="288">
        <v>0</v>
      </c>
      <c r="AI197" s="289">
        <v>7197200.8443920212</v>
      </c>
      <c r="AJ197" s="266"/>
      <c r="AK197" s="285">
        <v>1373676.8294117649</v>
      </c>
      <c r="AL197" s="286">
        <v>0</v>
      </c>
      <c r="AM197" s="286">
        <v>0</v>
      </c>
      <c r="AN197" s="290">
        <v>0</v>
      </c>
      <c r="AO197" s="289">
        <v>1373676.8294117649</v>
      </c>
      <c r="AP197" s="291">
        <v>5823524.0149802566</v>
      </c>
    </row>
    <row r="198" spans="1:42" ht="15.75" x14ac:dyDescent="0.25">
      <c r="A198" s="254">
        <v>1172890</v>
      </c>
      <c r="B198" t="s">
        <v>1771</v>
      </c>
      <c r="C198" t="s">
        <v>1782</v>
      </c>
      <c r="D198" s="254">
        <v>1172890</v>
      </c>
      <c r="E198" s="254" t="s">
        <v>620</v>
      </c>
      <c r="F198" s="254" t="s">
        <v>618</v>
      </c>
      <c r="G198" s="254" t="s">
        <v>1159</v>
      </c>
      <c r="H198" s="254">
        <v>1172890</v>
      </c>
      <c r="I198" s="247" t="s">
        <v>1160</v>
      </c>
      <c r="J198" s="247">
        <v>2020</v>
      </c>
      <c r="K198" s="248" t="s">
        <v>1155</v>
      </c>
      <c r="L198" s="247" t="s">
        <v>1156</v>
      </c>
      <c r="M198" s="256">
        <v>0.1</v>
      </c>
      <c r="N198" s="256">
        <v>0</v>
      </c>
      <c r="O198" s="256">
        <v>0.1</v>
      </c>
      <c r="P198" s="256">
        <v>0</v>
      </c>
      <c r="Q198" s="256">
        <v>0</v>
      </c>
      <c r="R198" s="256">
        <v>0</v>
      </c>
      <c r="S198" s="256">
        <v>5</v>
      </c>
      <c r="T198" s="256">
        <v>0</v>
      </c>
      <c r="U198" s="256">
        <v>0</v>
      </c>
      <c r="W198" s="284">
        <v>0.1</v>
      </c>
      <c r="X198" s="284">
        <v>0</v>
      </c>
      <c r="Y198" s="284">
        <v>0.1</v>
      </c>
      <c r="Z198" s="284">
        <v>0</v>
      </c>
      <c r="AA198" s="284">
        <v>0</v>
      </c>
      <c r="AB198" s="284">
        <v>0</v>
      </c>
      <c r="AC198" s="284">
        <v>0</v>
      </c>
      <c r="AE198" s="285">
        <v>57739.462318633603</v>
      </c>
      <c r="AF198" s="286">
        <v>0</v>
      </c>
      <c r="AG198" s="287">
        <v>4305.3725468148541</v>
      </c>
      <c r="AH198" s="288">
        <v>0</v>
      </c>
      <c r="AI198" s="289">
        <v>62044.834865448458</v>
      </c>
      <c r="AJ198" s="266"/>
      <c r="AK198" s="285">
        <v>13875.523529411767</v>
      </c>
      <c r="AL198" s="286">
        <v>0</v>
      </c>
      <c r="AM198" s="286">
        <v>0</v>
      </c>
      <c r="AN198" s="290">
        <v>0</v>
      </c>
      <c r="AO198" s="289">
        <v>13875.523529411767</v>
      </c>
      <c r="AP198" s="291">
        <v>48169.311336036692</v>
      </c>
    </row>
    <row r="199" spans="1:42" ht="15.75" x14ac:dyDescent="0.25">
      <c r="A199" s="247">
        <v>1225073</v>
      </c>
      <c r="B199" t="s">
        <v>1771</v>
      </c>
      <c r="C199" t="s">
        <v>1781</v>
      </c>
      <c r="D199" s="247">
        <v>1225073</v>
      </c>
      <c r="E199" s="247" t="s">
        <v>1163</v>
      </c>
      <c r="F199" s="247" t="s">
        <v>947</v>
      </c>
      <c r="G199" s="247" t="s">
        <v>1162</v>
      </c>
      <c r="H199" s="247">
        <v>1225073</v>
      </c>
      <c r="I199" s="247" t="s">
        <v>1068</v>
      </c>
      <c r="J199" s="247">
        <v>2020</v>
      </c>
      <c r="K199" s="248" t="s">
        <v>1155</v>
      </c>
      <c r="L199" s="247" t="s">
        <v>1156</v>
      </c>
      <c r="M199" s="308">
        <v>16.34</v>
      </c>
      <c r="N199" s="308">
        <v>0.67</v>
      </c>
      <c r="O199" s="308">
        <v>15.67</v>
      </c>
      <c r="P199" s="308">
        <v>0</v>
      </c>
      <c r="Q199" s="308">
        <v>0</v>
      </c>
      <c r="R199" s="247">
        <v>0</v>
      </c>
      <c r="S199" s="247">
        <v>285</v>
      </c>
      <c r="T199" s="247">
        <v>0</v>
      </c>
      <c r="U199" s="247">
        <v>0</v>
      </c>
      <c r="W199" s="284">
        <v>16.34</v>
      </c>
      <c r="X199" s="284">
        <v>0.67</v>
      </c>
      <c r="Y199" s="284">
        <v>15.67</v>
      </c>
      <c r="Z199" s="284">
        <v>0</v>
      </c>
      <c r="AA199" s="284">
        <v>0</v>
      </c>
      <c r="AB199" s="284">
        <v>0</v>
      </c>
      <c r="AC199" s="284">
        <v>0</v>
      </c>
      <c r="AE199" s="285">
        <v>9434628.1428647302</v>
      </c>
      <c r="AF199" s="286">
        <v>0</v>
      </c>
      <c r="AG199" s="287">
        <v>703497.87414954707</v>
      </c>
      <c r="AH199" s="288">
        <v>0</v>
      </c>
      <c r="AI199" s="289">
        <v>10138126.017014278</v>
      </c>
      <c r="AJ199" s="266"/>
      <c r="AK199" s="285">
        <v>2174294.5370588237</v>
      </c>
      <c r="AL199" s="286">
        <v>0</v>
      </c>
      <c r="AM199" s="286">
        <v>0</v>
      </c>
      <c r="AN199" s="290">
        <v>0</v>
      </c>
      <c r="AO199" s="289">
        <v>2174294.5370588237</v>
      </c>
      <c r="AP199" s="291">
        <v>7963831.4799554544</v>
      </c>
    </row>
    <row r="200" spans="1:42" ht="15.75" x14ac:dyDescent="0.25">
      <c r="A200" s="247">
        <v>1514566</v>
      </c>
      <c r="B200" t="s">
        <v>1771</v>
      </c>
      <c r="C200" t="s">
        <v>1793</v>
      </c>
      <c r="D200" s="247">
        <v>1514566</v>
      </c>
      <c r="E200" s="247" t="s">
        <v>1169</v>
      </c>
      <c r="F200" s="247" t="s">
        <v>652</v>
      </c>
      <c r="G200" s="247" t="s">
        <v>1168</v>
      </c>
      <c r="H200" s="247">
        <v>1514566</v>
      </c>
      <c r="I200" s="247" t="s">
        <v>1170</v>
      </c>
      <c r="J200" s="247">
        <v>2020</v>
      </c>
      <c r="K200" s="248" t="s">
        <v>1155</v>
      </c>
      <c r="L200" s="247" t="s">
        <v>1156</v>
      </c>
      <c r="M200" s="308">
        <v>5.5</v>
      </c>
      <c r="N200" s="308">
        <v>1.5</v>
      </c>
      <c r="O200" s="308">
        <v>4</v>
      </c>
      <c r="P200" s="308">
        <v>0</v>
      </c>
      <c r="Q200" s="308">
        <v>0</v>
      </c>
      <c r="R200" s="247">
        <v>0</v>
      </c>
      <c r="S200" s="247">
        <v>50</v>
      </c>
      <c r="T200" s="247">
        <v>0</v>
      </c>
      <c r="U200" s="247">
        <v>0</v>
      </c>
      <c r="W200" s="284">
        <v>5.5</v>
      </c>
      <c r="X200" s="284">
        <v>1.5</v>
      </c>
      <c r="Y200" s="284">
        <v>4</v>
      </c>
      <c r="Z200" s="284">
        <v>0</v>
      </c>
      <c r="AA200" s="284">
        <v>0</v>
      </c>
      <c r="AB200" s="284">
        <v>0</v>
      </c>
      <c r="AC200" s="284">
        <v>0</v>
      </c>
      <c r="AE200" s="285">
        <v>3175670.4275248479</v>
      </c>
      <c r="AF200" s="286">
        <v>0</v>
      </c>
      <c r="AG200" s="287">
        <v>236795.49007481695</v>
      </c>
      <c r="AH200" s="288">
        <v>0</v>
      </c>
      <c r="AI200" s="289">
        <v>3412465.917599665</v>
      </c>
      <c r="AJ200" s="266"/>
      <c r="AK200" s="285">
        <v>555020.9411764706</v>
      </c>
      <c r="AL200" s="286">
        <v>0</v>
      </c>
      <c r="AM200" s="286">
        <v>0</v>
      </c>
      <c r="AN200" s="290">
        <v>0</v>
      </c>
      <c r="AO200" s="289">
        <v>555020.9411764706</v>
      </c>
      <c r="AP200" s="291">
        <v>2857444.9764231946</v>
      </c>
    </row>
    <row r="201" spans="1:42" ht="15.75" x14ac:dyDescent="0.25">
      <c r="A201" s="247">
        <v>1647194</v>
      </c>
      <c r="B201" t="s">
        <v>1771</v>
      </c>
      <c r="C201" t="s">
        <v>1774</v>
      </c>
      <c r="D201" s="247">
        <v>1647194</v>
      </c>
      <c r="E201" s="247" t="s">
        <v>608</v>
      </c>
      <c r="F201" s="247" t="s">
        <v>606</v>
      </c>
      <c r="G201" s="247" t="s">
        <v>1171</v>
      </c>
      <c r="H201" s="247">
        <v>1647194</v>
      </c>
      <c r="I201" s="247" t="s">
        <v>1131</v>
      </c>
      <c r="J201" s="247">
        <v>2020</v>
      </c>
      <c r="K201" s="248" t="s">
        <v>1155</v>
      </c>
      <c r="L201" s="247" t="s">
        <v>1156</v>
      </c>
      <c r="M201" s="308">
        <v>5.2</v>
      </c>
      <c r="N201" s="308">
        <v>1</v>
      </c>
      <c r="O201" s="308">
        <v>4.2</v>
      </c>
      <c r="P201" s="308">
        <v>0</v>
      </c>
      <c r="Q201" s="308">
        <v>0</v>
      </c>
      <c r="R201" s="247">
        <v>0</v>
      </c>
      <c r="S201" s="247">
        <v>50</v>
      </c>
      <c r="T201" s="247">
        <v>0</v>
      </c>
      <c r="U201" s="247">
        <v>0</v>
      </c>
      <c r="W201" s="284">
        <v>5.2</v>
      </c>
      <c r="X201" s="284">
        <v>1</v>
      </c>
      <c r="Y201" s="284">
        <v>4.2</v>
      </c>
      <c r="Z201" s="284">
        <v>0</v>
      </c>
      <c r="AA201" s="284">
        <v>0</v>
      </c>
      <c r="AB201" s="284">
        <v>0</v>
      </c>
      <c r="AC201" s="284">
        <v>0</v>
      </c>
      <c r="AE201" s="285">
        <v>3002452.0405689473</v>
      </c>
      <c r="AF201" s="286">
        <v>0</v>
      </c>
      <c r="AG201" s="287">
        <v>223879.3724343724</v>
      </c>
      <c r="AH201" s="288">
        <v>0</v>
      </c>
      <c r="AI201" s="289">
        <v>3226331.4130033199</v>
      </c>
      <c r="AJ201" s="266"/>
      <c r="AK201" s="285">
        <v>582771.98823529412</v>
      </c>
      <c r="AL201" s="286">
        <v>0</v>
      </c>
      <c r="AM201" s="286">
        <v>0</v>
      </c>
      <c r="AN201" s="290">
        <v>0</v>
      </c>
      <c r="AO201" s="289">
        <v>582771.98823529412</v>
      </c>
      <c r="AP201" s="291">
        <v>2643559.424768026</v>
      </c>
    </row>
    <row r="202" spans="1:42" ht="15.75" x14ac:dyDescent="0.25">
      <c r="A202" s="247">
        <v>1671513</v>
      </c>
      <c r="B202" t="s">
        <v>1771</v>
      </c>
      <c r="C202" t="s">
        <v>1785</v>
      </c>
      <c r="D202" s="247">
        <v>1671513</v>
      </c>
      <c r="E202" s="247" t="s">
        <v>632</v>
      </c>
      <c r="F202" s="247" t="s">
        <v>630</v>
      </c>
      <c r="G202" s="247" t="s">
        <v>1172</v>
      </c>
      <c r="H202" s="247">
        <v>1671513</v>
      </c>
      <c r="I202" s="247" t="s">
        <v>1173</v>
      </c>
      <c r="J202" s="247">
        <v>2020</v>
      </c>
      <c r="K202" s="248" t="s">
        <v>1155</v>
      </c>
      <c r="L202" s="247" t="s">
        <v>1156</v>
      </c>
      <c r="M202" s="308">
        <v>2.1</v>
      </c>
      <c r="N202" s="308">
        <v>0.1</v>
      </c>
      <c r="O202" s="308">
        <v>2</v>
      </c>
      <c r="P202" s="308">
        <v>0</v>
      </c>
      <c r="Q202" s="308">
        <v>0</v>
      </c>
      <c r="R202" s="247">
        <v>0</v>
      </c>
      <c r="S202" s="247">
        <v>65</v>
      </c>
      <c r="T202" s="247">
        <v>0</v>
      </c>
      <c r="U202" s="247">
        <v>0</v>
      </c>
      <c r="W202" s="284">
        <v>2.1</v>
      </c>
      <c r="X202" s="284">
        <v>0.1</v>
      </c>
      <c r="Y202" s="284">
        <v>2</v>
      </c>
      <c r="Z202" s="284">
        <v>0</v>
      </c>
      <c r="AA202" s="284">
        <v>0</v>
      </c>
      <c r="AB202" s="284">
        <v>0</v>
      </c>
      <c r="AC202" s="284">
        <v>0</v>
      </c>
      <c r="AE202" s="285">
        <v>1212528.7086913057</v>
      </c>
      <c r="AF202" s="286">
        <v>0</v>
      </c>
      <c r="AG202" s="287">
        <v>90412.823483111933</v>
      </c>
      <c r="AH202" s="288">
        <v>0</v>
      </c>
      <c r="AI202" s="289">
        <v>1302941.5321744177</v>
      </c>
      <c r="AJ202" s="266"/>
      <c r="AK202" s="285">
        <v>277510.4705882353</v>
      </c>
      <c r="AL202" s="286">
        <v>0</v>
      </c>
      <c r="AM202" s="286">
        <v>0</v>
      </c>
      <c r="AN202" s="290">
        <v>0</v>
      </c>
      <c r="AO202" s="289">
        <v>277510.4705882353</v>
      </c>
      <c r="AP202" s="291">
        <v>1025431.0615861824</v>
      </c>
    </row>
    <row r="203" spans="1:42" ht="15.75" x14ac:dyDescent="0.25">
      <c r="A203" s="247">
        <v>2946425</v>
      </c>
      <c r="B203" t="s">
        <v>1771</v>
      </c>
      <c r="C203" t="s">
        <v>1797</v>
      </c>
      <c r="D203" s="247">
        <v>2946425</v>
      </c>
      <c r="E203" s="247" t="s">
        <v>546</v>
      </c>
      <c r="F203" s="247" t="s">
        <v>546</v>
      </c>
      <c r="G203" s="247" t="s">
        <v>1184</v>
      </c>
      <c r="H203" s="247">
        <v>2946425</v>
      </c>
      <c r="I203" s="247" t="s">
        <v>1185</v>
      </c>
      <c r="J203" s="247">
        <v>2020</v>
      </c>
      <c r="K203" s="248" t="s">
        <v>1155</v>
      </c>
      <c r="L203" s="247" t="s">
        <v>1156</v>
      </c>
      <c r="M203" s="308">
        <v>4.5</v>
      </c>
      <c r="N203" s="308">
        <v>0.5</v>
      </c>
      <c r="O203" s="308">
        <v>4</v>
      </c>
      <c r="P203" s="308">
        <v>0</v>
      </c>
      <c r="Q203" s="308">
        <v>0</v>
      </c>
      <c r="R203" s="247">
        <v>0</v>
      </c>
      <c r="S203" s="247">
        <v>80</v>
      </c>
      <c r="T203" s="247">
        <v>0</v>
      </c>
      <c r="U203" s="247">
        <v>0</v>
      </c>
      <c r="W203" s="284">
        <v>4.5</v>
      </c>
      <c r="X203" s="284">
        <v>0.5</v>
      </c>
      <c r="Y203" s="284">
        <v>4</v>
      </c>
      <c r="Z203" s="284">
        <v>0</v>
      </c>
      <c r="AA203" s="284">
        <v>0</v>
      </c>
      <c r="AB203" s="284">
        <v>0</v>
      </c>
      <c r="AC203" s="284">
        <v>0</v>
      </c>
      <c r="AE203" s="285">
        <v>2598275.804338512</v>
      </c>
      <c r="AF203" s="286">
        <v>0</v>
      </c>
      <c r="AG203" s="287">
        <v>193741.76460666841</v>
      </c>
      <c r="AH203" s="288">
        <v>0</v>
      </c>
      <c r="AI203" s="289">
        <v>2792017.5689451806</v>
      </c>
      <c r="AJ203" s="266"/>
      <c r="AK203" s="285">
        <v>555020.9411764706</v>
      </c>
      <c r="AL203" s="286">
        <v>0</v>
      </c>
      <c r="AM203" s="286">
        <v>0</v>
      </c>
      <c r="AN203" s="290">
        <v>0</v>
      </c>
      <c r="AO203" s="289">
        <v>555020.9411764706</v>
      </c>
      <c r="AP203" s="291">
        <v>2236996.6277687103</v>
      </c>
    </row>
    <row r="204" spans="1:42" ht="15.75" x14ac:dyDescent="0.25">
      <c r="A204" s="247">
        <v>3095940</v>
      </c>
      <c r="B204" t="s">
        <v>1771</v>
      </c>
      <c r="C204" t="s">
        <v>1788</v>
      </c>
      <c r="D204" s="247">
        <v>3095940</v>
      </c>
      <c r="E204" s="247" t="s">
        <v>386</v>
      </c>
      <c r="F204" s="247" t="s">
        <v>1003</v>
      </c>
      <c r="G204" s="247" t="s">
        <v>1186</v>
      </c>
      <c r="H204" s="247">
        <v>3095940</v>
      </c>
      <c r="I204" s="247" t="s">
        <v>1144</v>
      </c>
      <c r="J204" s="247">
        <v>2020</v>
      </c>
      <c r="K204" s="248" t="s">
        <v>1155</v>
      </c>
      <c r="L204" s="247" t="s">
        <v>1156</v>
      </c>
      <c r="M204" s="308">
        <v>8</v>
      </c>
      <c r="N204" s="308">
        <v>1</v>
      </c>
      <c r="O204" s="308">
        <v>7</v>
      </c>
      <c r="P204" s="308">
        <v>0</v>
      </c>
      <c r="Q204" s="308">
        <v>0</v>
      </c>
      <c r="R204" s="247">
        <v>0</v>
      </c>
      <c r="S204" s="247">
        <v>130</v>
      </c>
      <c r="T204" s="247">
        <v>0</v>
      </c>
      <c r="U204" s="247">
        <v>0</v>
      </c>
      <c r="W204" s="284">
        <v>8</v>
      </c>
      <c r="X204" s="284">
        <v>1</v>
      </c>
      <c r="Y204" s="284">
        <v>7</v>
      </c>
      <c r="Z204" s="284">
        <v>0</v>
      </c>
      <c r="AA204" s="284">
        <v>0</v>
      </c>
      <c r="AB204" s="284">
        <v>0</v>
      </c>
      <c r="AC204" s="284">
        <v>0</v>
      </c>
      <c r="AE204" s="285">
        <v>4619156.9854906881</v>
      </c>
      <c r="AF204" s="286">
        <v>0</v>
      </c>
      <c r="AG204" s="287">
        <v>344429.80374518828</v>
      </c>
      <c r="AH204" s="288">
        <v>0</v>
      </c>
      <c r="AI204" s="289">
        <v>4963586.7892358769</v>
      </c>
      <c r="AJ204" s="266"/>
      <c r="AK204" s="285">
        <v>971286.64705882361</v>
      </c>
      <c r="AL204" s="286">
        <v>0</v>
      </c>
      <c r="AM204" s="286">
        <v>0</v>
      </c>
      <c r="AN204" s="290">
        <v>0</v>
      </c>
      <c r="AO204" s="289">
        <v>971286.64705882361</v>
      </c>
      <c r="AP204" s="291">
        <v>3992300.1421770533</v>
      </c>
    </row>
    <row r="205" spans="1:42" ht="15.75" x14ac:dyDescent="0.25">
      <c r="A205" s="247">
        <v>3597628</v>
      </c>
      <c r="B205" t="s">
        <v>1771</v>
      </c>
      <c r="C205" t="s">
        <v>1772</v>
      </c>
      <c r="D205" s="247">
        <v>3597628</v>
      </c>
      <c r="E205" s="247" t="s">
        <v>386</v>
      </c>
      <c r="F205" s="247" t="s">
        <v>332</v>
      </c>
      <c r="G205" s="247" t="s">
        <v>1191</v>
      </c>
      <c r="H205" s="247">
        <v>3597628</v>
      </c>
      <c r="I205" s="247" t="s">
        <v>1192</v>
      </c>
      <c r="J205" s="247">
        <v>2020</v>
      </c>
      <c r="K205" s="248" t="s">
        <v>1155</v>
      </c>
      <c r="L205" s="247" t="s">
        <v>1156</v>
      </c>
      <c r="M205" s="308">
        <v>9</v>
      </c>
      <c r="N205" s="308">
        <v>1</v>
      </c>
      <c r="O205" s="308">
        <v>8</v>
      </c>
      <c r="P205" s="308">
        <v>0</v>
      </c>
      <c r="Q205" s="308">
        <v>0</v>
      </c>
      <c r="R205" s="247">
        <v>0</v>
      </c>
      <c r="S205" s="247">
        <v>70</v>
      </c>
      <c r="T205" s="247">
        <v>0</v>
      </c>
      <c r="U205" s="247">
        <v>0</v>
      </c>
      <c r="W205" s="284">
        <v>9</v>
      </c>
      <c r="X205" s="284">
        <v>1</v>
      </c>
      <c r="Y205" s="284">
        <v>8</v>
      </c>
      <c r="Z205" s="284">
        <v>0</v>
      </c>
      <c r="AA205" s="284">
        <v>0</v>
      </c>
      <c r="AB205" s="284">
        <v>0</v>
      </c>
      <c r="AC205" s="284">
        <v>0</v>
      </c>
      <c r="AE205" s="285">
        <v>5196551.608677024</v>
      </c>
      <c r="AF205" s="286">
        <v>0</v>
      </c>
      <c r="AG205" s="287">
        <v>387483.52921333682</v>
      </c>
      <c r="AH205" s="288">
        <v>0</v>
      </c>
      <c r="AI205" s="289">
        <v>5584035.1378903612</v>
      </c>
      <c r="AJ205" s="266"/>
      <c r="AK205" s="285">
        <v>1110041.8823529412</v>
      </c>
      <c r="AL205" s="286">
        <v>0</v>
      </c>
      <c r="AM205" s="286">
        <v>0</v>
      </c>
      <c r="AN205" s="290">
        <v>0</v>
      </c>
      <c r="AO205" s="289">
        <v>1110041.8823529412</v>
      </c>
      <c r="AP205" s="291">
        <v>4473993.2555374205</v>
      </c>
    </row>
    <row r="206" spans="1:42" ht="15.75" x14ac:dyDescent="0.25">
      <c r="A206" s="247">
        <v>3810187</v>
      </c>
      <c r="B206" t="s">
        <v>1771</v>
      </c>
      <c r="C206" t="s">
        <v>1804</v>
      </c>
      <c r="D206" s="247">
        <v>3810187</v>
      </c>
      <c r="E206" s="247" t="s">
        <v>676</v>
      </c>
      <c r="F206" s="247" t="s">
        <v>674</v>
      </c>
      <c r="G206" s="247" t="s">
        <v>1193</v>
      </c>
      <c r="H206" s="247">
        <v>3810187</v>
      </c>
      <c r="I206" s="247" t="s">
        <v>1128</v>
      </c>
      <c r="J206" s="247">
        <v>2020</v>
      </c>
      <c r="K206" s="248" t="s">
        <v>1155</v>
      </c>
      <c r="L206" s="247" t="s">
        <v>1156</v>
      </c>
      <c r="M206" s="308">
        <v>10</v>
      </c>
      <c r="N206" s="308">
        <v>1</v>
      </c>
      <c r="O206" s="308">
        <v>9</v>
      </c>
      <c r="P206" s="308">
        <v>0</v>
      </c>
      <c r="Q206" s="308">
        <v>0</v>
      </c>
      <c r="R206" s="247">
        <v>0</v>
      </c>
      <c r="S206" s="247">
        <v>132</v>
      </c>
      <c r="T206" s="247">
        <v>0</v>
      </c>
      <c r="U206" s="247">
        <v>0</v>
      </c>
      <c r="W206" s="284">
        <v>10</v>
      </c>
      <c r="X206" s="284">
        <v>1</v>
      </c>
      <c r="Y206" s="284">
        <v>9</v>
      </c>
      <c r="Z206" s="284">
        <v>0</v>
      </c>
      <c r="AA206" s="284">
        <v>0</v>
      </c>
      <c r="AB206" s="284">
        <v>0</v>
      </c>
      <c r="AC206" s="284">
        <v>0</v>
      </c>
      <c r="AE206" s="285">
        <v>5773946.2318633599</v>
      </c>
      <c r="AF206" s="286">
        <v>0</v>
      </c>
      <c r="AG206" s="287">
        <v>430537.25468148536</v>
      </c>
      <c r="AH206" s="288">
        <v>0</v>
      </c>
      <c r="AI206" s="289">
        <v>6204483.4865448456</v>
      </c>
      <c r="AJ206" s="266"/>
      <c r="AK206" s="285">
        <v>1248797.1176470588</v>
      </c>
      <c r="AL206" s="286">
        <v>0</v>
      </c>
      <c r="AM206" s="286">
        <v>0</v>
      </c>
      <c r="AN206" s="290">
        <v>0</v>
      </c>
      <c r="AO206" s="289">
        <v>1248797.1176470588</v>
      </c>
      <c r="AP206" s="291">
        <v>4955686.3688977864</v>
      </c>
    </row>
    <row r="207" spans="1:42" ht="15.75" x14ac:dyDescent="0.25">
      <c r="A207" s="247">
        <v>4383860</v>
      </c>
      <c r="B207" t="s">
        <v>1771</v>
      </c>
      <c r="C207" t="s">
        <v>1799</v>
      </c>
      <c r="D207" s="247">
        <v>4383860</v>
      </c>
      <c r="E207" s="247" t="s">
        <v>864</v>
      </c>
      <c r="F207" s="247" t="s">
        <v>864</v>
      </c>
      <c r="G207" s="247" t="s">
        <v>1188</v>
      </c>
      <c r="H207" s="247">
        <v>4383860</v>
      </c>
      <c r="I207" s="247" t="s">
        <v>1073</v>
      </c>
      <c r="J207" s="247">
        <v>2020</v>
      </c>
      <c r="K207" s="248" t="s">
        <v>1155</v>
      </c>
      <c r="L207" s="247" t="s">
        <v>1156</v>
      </c>
      <c r="M207" s="308">
        <v>24</v>
      </c>
      <c r="N207" s="308">
        <v>2</v>
      </c>
      <c r="O207" s="308">
        <v>22</v>
      </c>
      <c r="P207" s="308">
        <v>0</v>
      </c>
      <c r="Q207" s="308">
        <v>0</v>
      </c>
      <c r="R207" s="247">
        <v>0</v>
      </c>
      <c r="S207" s="247">
        <v>350</v>
      </c>
      <c r="T207" s="247">
        <v>0</v>
      </c>
      <c r="U207" s="247">
        <v>0</v>
      </c>
      <c r="W207" s="284">
        <v>24</v>
      </c>
      <c r="X207" s="284">
        <v>2</v>
      </c>
      <c r="Y207" s="284">
        <v>22</v>
      </c>
      <c r="Z207" s="284">
        <v>0</v>
      </c>
      <c r="AA207" s="284">
        <v>0</v>
      </c>
      <c r="AB207" s="284">
        <v>0</v>
      </c>
      <c r="AC207" s="284">
        <v>0</v>
      </c>
      <c r="AE207" s="285">
        <v>13857470.956472065</v>
      </c>
      <c r="AF207" s="286">
        <v>0</v>
      </c>
      <c r="AG207" s="287">
        <v>1033289.4112355649</v>
      </c>
      <c r="AH207" s="288">
        <v>0</v>
      </c>
      <c r="AI207" s="289">
        <v>14890760.367707631</v>
      </c>
      <c r="AJ207" s="266"/>
      <c r="AK207" s="285">
        <v>3052615.1764705884</v>
      </c>
      <c r="AL207" s="286">
        <v>0</v>
      </c>
      <c r="AM207" s="286">
        <v>0</v>
      </c>
      <c r="AN207" s="290">
        <v>0</v>
      </c>
      <c r="AO207" s="289">
        <v>3052615.1764705884</v>
      </c>
      <c r="AP207" s="291">
        <v>11838145.191237042</v>
      </c>
    </row>
    <row r="208" spans="1:42" ht="15.75" x14ac:dyDescent="0.25">
      <c r="A208" s="247">
        <v>4878719</v>
      </c>
      <c r="B208" t="s">
        <v>1771</v>
      </c>
      <c r="C208" t="s">
        <v>1777</v>
      </c>
      <c r="D208" s="247">
        <v>4878719</v>
      </c>
      <c r="E208" s="247" t="s">
        <v>942</v>
      </c>
      <c r="F208" s="247" t="s">
        <v>942</v>
      </c>
      <c r="G208" s="247" t="s">
        <v>1194</v>
      </c>
      <c r="H208" s="247">
        <v>4878719</v>
      </c>
      <c r="I208" s="247" t="s">
        <v>1142</v>
      </c>
      <c r="J208" s="247">
        <v>2020</v>
      </c>
      <c r="K208" s="248" t="s">
        <v>1155</v>
      </c>
      <c r="L208" s="247" t="s">
        <v>1156</v>
      </c>
      <c r="M208" s="308">
        <v>6.5</v>
      </c>
      <c r="N208" s="308">
        <v>0.5</v>
      </c>
      <c r="O208" s="308">
        <v>6</v>
      </c>
      <c r="P208" s="308">
        <v>0</v>
      </c>
      <c r="Q208" s="308">
        <v>0</v>
      </c>
      <c r="R208" s="247">
        <v>0</v>
      </c>
      <c r="S208" s="247">
        <v>120</v>
      </c>
      <c r="T208" s="247">
        <v>0</v>
      </c>
      <c r="U208" s="247">
        <v>0</v>
      </c>
      <c r="W208" s="284">
        <v>6.5</v>
      </c>
      <c r="X208" s="284">
        <v>0.5</v>
      </c>
      <c r="Y208" s="284">
        <v>6</v>
      </c>
      <c r="Z208" s="284">
        <v>0</v>
      </c>
      <c r="AA208" s="284">
        <v>0</v>
      </c>
      <c r="AB208" s="284">
        <v>0</v>
      </c>
      <c r="AC208" s="284">
        <v>0</v>
      </c>
      <c r="AE208" s="285">
        <v>3753065.0507111843</v>
      </c>
      <c r="AF208" s="286">
        <v>0</v>
      </c>
      <c r="AG208" s="287">
        <v>279849.21554296545</v>
      </c>
      <c r="AH208" s="288">
        <v>0</v>
      </c>
      <c r="AI208" s="289">
        <v>4032914.2662541498</v>
      </c>
      <c r="AJ208" s="266"/>
      <c r="AK208" s="285">
        <v>832531.4117647059</v>
      </c>
      <c r="AL208" s="286">
        <v>0</v>
      </c>
      <c r="AM208" s="286">
        <v>0</v>
      </c>
      <c r="AN208" s="290">
        <v>0</v>
      </c>
      <c r="AO208" s="289">
        <v>832531.4117647059</v>
      </c>
      <c r="AP208" s="291">
        <v>3200382.8544894438</v>
      </c>
    </row>
    <row r="209" spans="1:42" ht="15.75" x14ac:dyDescent="0.25">
      <c r="A209" s="247">
        <v>4936413</v>
      </c>
      <c r="B209" t="s">
        <v>1771</v>
      </c>
      <c r="C209" t="s">
        <v>1794</v>
      </c>
      <c r="D209" s="247">
        <v>4936413</v>
      </c>
      <c r="E209" s="247" t="s">
        <v>657</v>
      </c>
      <c r="F209" s="247" t="s">
        <v>655</v>
      </c>
      <c r="G209" s="247" t="s">
        <v>1195</v>
      </c>
      <c r="H209" s="247">
        <v>4936413</v>
      </c>
      <c r="I209" s="247" t="s">
        <v>1196</v>
      </c>
      <c r="J209" s="247">
        <v>2020</v>
      </c>
      <c r="K209" s="248" t="s">
        <v>1155</v>
      </c>
      <c r="L209" s="247" t="s">
        <v>1156</v>
      </c>
      <c r="M209" s="308">
        <v>3.21</v>
      </c>
      <c r="N209" s="308">
        <v>0.9</v>
      </c>
      <c r="O209" s="308">
        <v>2.31</v>
      </c>
      <c r="P209" s="308">
        <v>0</v>
      </c>
      <c r="Q209" s="308">
        <v>0</v>
      </c>
      <c r="R209" s="247">
        <v>0</v>
      </c>
      <c r="S209" s="247">
        <v>37</v>
      </c>
      <c r="T209" s="247">
        <v>3</v>
      </c>
      <c r="U209" s="247">
        <v>0</v>
      </c>
      <c r="W209" s="284">
        <v>3.21</v>
      </c>
      <c r="X209" s="284">
        <v>0.9</v>
      </c>
      <c r="Y209" s="284">
        <v>2.31</v>
      </c>
      <c r="Z209" s="284">
        <v>0</v>
      </c>
      <c r="AA209" s="284">
        <v>0</v>
      </c>
      <c r="AB209" s="284">
        <v>0</v>
      </c>
      <c r="AC209" s="284">
        <v>3</v>
      </c>
      <c r="AE209" s="285">
        <v>1853436.7404281385</v>
      </c>
      <c r="AF209" s="286">
        <v>0</v>
      </c>
      <c r="AG209" s="287">
        <v>138202.45875275679</v>
      </c>
      <c r="AH209" s="288">
        <v>0</v>
      </c>
      <c r="AI209" s="289">
        <v>1991639.1991808952</v>
      </c>
      <c r="AJ209" s="266"/>
      <c r="AK209" s="285">
        <v>320524.59352941177</v>
      </c>
      <c r="AL209" s="286">
        <v>0</v>
      </c>
      <c r="AM209" s="286">
        <v>0</v>
      </c>
      <c r="AN209" s="290">
        <v>0</v>
      </c>
      <c r="AO209" s="289">
        <v>320524.59352941177</v>
      </c>
      <c r="AP209" s="291">
        <v>1671114.6056514834</v>
      </c>
    </row>
    <row r="210" spans="1:42" ht="15.75" x14ac:dyDescent="0.25">
      <c r="A210" s="247">
        <v>5141443</v>
      </c>
      <c r="B210" t="s">
        <v>1771</v>
      </c>
      <c r="C210" t="s">
        <v>1786</v>
      </c>
      <c r="D210" s="247">
        <v>5141443</v>
      </c>
      <c r="E210" s="247" t="s">
        <v>1197</v>
      </c>
      <c r="F210" s="247" t="s">
        <v>636</v>
      </c>
      <c r="G210" s="247" t="s">
        <v>1194</v>
      </c>
      <c r="H210" s="247">
        <v>5141443</v>
      </c>
      <c r="I210" s="247" t="s">
        <v>1142</v>
      </c>
      <c r="J210" s="247">
        <v>2020</v>
      </c>
      <c r="K210" s="248" t="s">
        <v>1155</v>
      </c>
      <c r="L210" s="247" t="s">
        <v>1156</v>
      </c>
      <c r="M210" s="308">
        <v>1.2</v>
      </c>
      <c r="N210" s="308">
        <v>0.1</v>
      </c>
      <c r="O210" s="308">
        <v>1.1000000000000001</v>
      </c>
      <c r="P210" s="308">
        <v>0</v>
      </c>
      <c r="Q210" s="308">
        <v>0</v>
      </c>
      <c r="R210" s="247">
        <v>0</v>
      </c>
      <c r="S210" s="247">
        <v>25</v>
      </c>
      <c r="T210" s="247">
        <v>0</v>
      </c>
      <c r="U210" s="247">
        <v>0</v>
      </c>
      <c r="W210" s="284">
        <v>1.2</v>
      </c>
      <c r="X210" s="284">
        <v>0.1</v>
      </c>
      <c r="Y210" s="284">
        <v>1.1000000000000001</v>
      </c>
      <c r="Z210" s="284">
        <v>0</v>
      </c>
      <c r="AA210" s="284">
        <v>0</v>
      </c>
      <c r="AB210" s="284">
        <v>0</v>
      </c>
      <c r="AC210" s="284">
        <v>0</v>
      </c>
      <c r="AE210" s="285">
        <v>692873.54782360315</v>
      </c>
      <c r="AF210" s="286">
        <v>0</v>
      </c>
      <c r="AG210" s="287">
        <v>51664.470561778238</v>
      </c>
      <c r="AH210" s="288">
        <v>0</v>
      </c>
      <c r="AI210" s="289">
        <v>744538.01838538144</v>
      </c>
      <c r="AJ210" s="266"/>
      <c r="AK210" s="285">
        <v>152630.75882352944</v>
      </c>
      <c r="AL210" s="286">
        <v>0</v>
      </c>
      <c r="AM210" s="286">
        <v>0</v>
      </c>
      <c r="AN210" s="290">
        <v>0</v>
      </c>
      <c r="AO210" s="289">
        <v>152630.75882352944</v>
      </c>
      <c r="AP210" s="291">
        <v>591907.25956185197</v>
      </c>
    </row>
    <row r="211" spans="1:42" ht="15.75" x14ac:dyDescent="0.25">
      <c r="A211" s="247">
        <v>5175408</v>
      </c>
      <c r="B211" t="s">
        <v>1771</v>
      </c>
      <c r="C211" t="s">
        <v>1779</v>
      </c>
      <c r="D211" s="247">
        <v>5175408</v>
      </c>
      <c r="E211" s="247" t="s">
        <v>977</v>
      </c>
      <c r="F211" s="247" t="s">
        <v>977</v>
      </c>
      <c r="G211" s="247" t="s">
        <v>1198</v>
      </c>
      <c r="H211" s="247">
        <v>5175408</v>
      </c>
      <c r="I211" s="247" t="s">
        <v>1199</v>
      </c>
      <c r="J211" s="247">
        <v>2020</v>
      </c>
      <c r="K211" s="248" t="s">
        <v>1155</v>
      </c>
      <c r="L211" s="247" t="s">
        <v>1156</v>
      </c>
      <c r="M211" s="308">
        <v>2</v>
      </c>
      <c r="N211" s="308">
        <v>0</v>
      </c>
      <c r="O211" s="308">
        <v>2</v>
      </c>
      <c r="P211" s="308">
        <v>0</v>
      </c>
      <c r="Q211" s="308">
        <v>0</v>
      </c>
      <c r="R211" s="247">
        <v>0</v>
      </c>
      <c r="S211" s="247">
        <v>70</v>
      </c>
      <c r="T211" s="247">
        <v>0</v>
      </c>
      <c r="U211" s="247">
        <v>0</v>
      </c>
      <c r="W211" s="284">
        <v>2</v>
      </c>
      <c r="X211" s="284">
        <v>0</v>
      </c>
      <c r="Y211" s="284">
        <v>2</v>
      </c>
      <c r="Z211" s="284">
        <v>0</v>
      </c>
      <c r="AA211" s="284">
        <v>0</v>
      </c>
      <c r="AB211" s="284">
        <v>0</v>
      </c>
      <c r="AC211" s="284">
        <v>0</v>
      </c>
      <c r="AE211" s="285">
        <v>1154789.246372672</v>
      </c>
      <c r="AF211" s="286">
        <v>0</v>
      </c>
      <c r="AG211" s="287">
        <v>86107.450936297071</v>
      </c>
      <c r="AH211" s="288">
        <v>0</v>
      </c>
      <c r="AI211" s="289">
        <v>1240896.6973089692</v>
      </c>
      <c r="AJ211" s="266"/>
      <c r="AK211" s="285">
        <v>277510.4705882353</v>
      </c>
      <c r="AL211" s="286">
        <v>0</v>
      </c>
      <c r="AM211" s="286">
        <v>0</v>
      </c>
      <c r="AN211" s="290">
        <v>0</v>
      </c>
      <c r="AO211" s="289">
        <v>277510.4705882353</v>
      </c>
      <c r="AP211" s="291">
        <v>963386.22672073392</v>
      </c>
    </row>
    <row r="212" spans="1:42" ht="15.75" x14ac:dyDescent="0.25">
      <c r="A212" s="247">
        <v>5204562</v>
      </c>
      <c r="B212" t="s">
        <v>1771</v>
      </c>
      <c r="C212" t="s">
        <v>1802</v>
      </c>
      <c r="D212" s="247">
        <v>5204562</v>
      </c>
      <c r="E212" s="247" t="s">
        <v>670</v>
      </c>
      <c r="F212" s="247" t="s">
        <v>666</v>
      </c>
      <c r="G212" s="247" t="s">
        <v>1189</v>
      </c>
      <c r="H212" s="247">
        <v>5204562</v>
      </c>
      <c r="I212" s="247" t="s">
        <v>1190</v>
      </c>
      <c r="J212" s="247">
        <v>2020</v>
      </c>
      <c r="K212" s="248" t="s">
        <v>1155</v>
      </c>
      <c r="L212" s="247" t="s">
        <v>1156</v>
      </c>
      <c r="M212" s="308">
        <v>5.7</v>
      </c>
      <c r="N212" s="308">
        <v>0.7</v>
      </c>
      <c r="O212" s="308">
        <v>5</v>
      </c>
      <c r="P212" s="308">
        <v>0</v>
      </c>
      <c r="Q212" s="308">
        <v>0</v>
      </c>
      <c r="R212" s="247">
        <v>0</v>
      </c>
      <c r="S212" s="247">
        <v>160</v>
      </c>
      <c r="T212" s="247">
        <v>0</v>
      </c>
      <c r="U212" s="247">
        <v>0</v>
      </c>
      <c r="W212" s="284">
        <v>5.7</v>
      </c>
      <c r="X212" s="284">
        <v>0.7</v>
      </c>
      <c r="Y212" s="284">
        <v>5</v>
      </c>
      <c r="Z212" s="284">
        <v>0</v>
      </c>
      <c r="AA212" s="284">
        <v>0</v>
      </c>
      <c r="AB212" s="284">
        <v>0</v>
      </c>
      <c r="AC212" s="284">
        <v>0</v>
      </c>
      <c r="AE212" s="285">
        <v>3291149.3521621153</v>
      </c>
      <c r="AF212" s="286">
        <v>0</v>
      </c>
      <c r="AG212" s="287">
        <v>245406.23516844667</v>
      </c>
      <c r="AH212" s="288">
        <v>0</v>
      </c>
      <c r="AI212" s="289">
        <v>3536555.5873305621</v>
      </c>
      <c r="AJ212" s="266"/>
      <c r="AK212" s="285">
        <v>693776.17647058819</v>
      </c>
      <c r="AL212" s="286">
        <v>0</v>
      </c>
      <c r="AM212" s="286">
        <v>0</v>
      </c>
      <c r="AN212" s="290">
        <v>0</v>
      </c>
      <c r="AO212" s="289">
        <v>693776.17647058819</v>
      </c>
      <c r="AP212" s="291">
        <v>2842779.4108599741</v>
      </c>
    </row>
    <row r="213" spans="1:42" ht="15.75" x14ac:dyDescent="0.25">
      <c r="A213" s="247">
        <v>6181040</v>
      </c>
      <c r="B213" t="s">
        <v>1771</v>
      </c>
      <c r="C213" t="s">
        <v>1773</v>
      </c>
      <c r="D213" s="247">
        <v>6181040</v>
      </c>
      <c r="E213" s="247" t="s">
        <v>605</v>
      </c>
      <c r="F213" s="247" t="s">
        <v>602</v>
      </c>
      <c r="G213" s="247" t="s">
        <v>1205</v>
      </c>
      <c r="H213" s="247">
        <v>6181040</v>
      </c>
      <c r="I213" s="247" t="s">
        <v>1206</v>
      </c>
      <c r="J213" s="247">
        <v>2020</v>
      </c>
      <c r="K213" s="248" t="s">
        <v>1155</v>
      </c>
      <c r="L213" s="247" t="s">
        <v>1156</v>
      </c>
      <c r="M213" s="308">
        <v>2.35</v>
      </c>
      <c r="N213" s="308">
        <v>0.35</v>
      </c>
      <c r="O213" s="308">
        <v>2</v>
      </c>
      <c r="P213" s="308">
        <v>0</v>
      </c>
      <c r="Q213" s="308">
        <v>0</v>
      </c>
      <c r="R213" s="247">
        <v>0</v>
      </c>
      <c r="S213" s="247">
        <v>70</v>
      </c>
      <c r="T213" s="247">
        <v>0</v>
      </c>
      <c r="U213" s="247">
        <v>0</v>
      </c>
      <c r="W213" s="284">
        <v>2.35</v>
      </c>
      <c r="X213" s="284">
        <v>0.35</v>
      </c>
      <c r="Y213" s="284">
        <v>2</v>
      </c>
      <c r="Z213" s="284">
        <v>0</v>
      </c>
      <c r="AA213" s="284">
        <v>0</v>
      </c>
      <c r="AB213" s="284">
        <v>0</v>
      </c>
      <c r="AC213" s="284">
        <v>0</v>
      </c>
      <c r="AE213" s="285">
        <v>1356877.3644878897</v>
      </c>
      <c r="AF213" s="286">
        <v>0</v>
      </c>
      <c r="AG213" s="287">
        <v>101176.25485014907</v>
      </c>
      <c r="AH213" s="288">
        <v>0</v>
      </c>
      <c r="AI213" s="289">
        <v>1458053.6193380388</v>
      </c>
      <c r="AJ213" s="266"/>
      <c r="AK213" s="285">
        <v>277510.4705882353</v>
      </c>
      <c r="AL213" s="286">
        <v>0</v>
      </c>
      <c r="AM213" s="286">
        <v>0</v>
      </c>
      <c r="AN213" s="290">
        <v>0</v>
      </c>
      <c r="AO213" s="289">
        <v>277510.4705882353</v>
      </c>
      <c r="AP213" s="291">
        <v>1180543.1487498037</v>
      </c>
    </row>
    <row r="214" spans="1:42" ht="15.75" x14ac:dyDescent="0.25">
      <c r="A214" s="247">
        <v>6232669</v>
      </c>
      <c r="B214" t="s">
        <v>1771</v>
      </c>
      <c r="C214" t="s">
        <v>1778</v>
      </c>
      <c r="D214" s="247">
        <v>6232669</v>
      </c>
      <c r="E214" s="247" t="s">
        <v>1208</v>
      </c>
      <c r="F214" s="247" t="s">
        <v>610</v>
      </c>
      <c r="G214" s="247" t="s">
        <v>1207</v>
      </c>
      <c r="H214" s="247">
        <v>6232669</v>
      </c>
      <c r="I214" s="247" t="s">
        <v>1209</v>
      </c>
      <c r="J214" s="247">
        <v>2020</v>
      </c>
      <c r="K214" s="248" t="s">
        <v>1155</v>
      </c>
      <c r="L214" s="247" t="s">
        <v>1156</v>
      </c>
      <c r="M214" s="308">
        <v>8</v>
      </c>
      <c r="N214" s="308">
        <v>1</v>
      </c>
      <c r="O214" s="308">
        <v>7</v>
      </c>
      <c r="P214" s="308">
        <v>0</v>
      </c>
      <c r="Q214" s="308">
        <v>0</v>
      </c>
      <c r="R214" s="247">
        <v>0</v>
      </c>
      <c r="S214" s="247">
        <v>70</v>
      </c>
      <c r="T214" s="247">
        <v>0</v>
      </c>
      <c r="U214" s="247">
        <v>0</v>
      </c>
      <c r="W214" s="284">
        <v>8</v>
      </c>
      <c r="X214" s="284">
        <v>1</v>
      </c>
      <c r="Y214" s="284">
        <v>7</v>
      </c>
      <c r="Z214" s="284">
        <v>0</v>
      </c>
      <c r="AA214" s="284">
        <v>0</v>
      </c>
      <c r="AB214" s="284">
        <v>0</v>
      </c>
      <c r="AC214" s="284">
        <v>0</v>
      </c>
      <c r="AE214" s="285">
        <v>4619156.9854906881</v>
      </c>
      <c r="AF214" s="286">
        <v>0</v>
      </c>
      <c r="AG214" s="287">
        <v>344429.80374518828</v>
      </c>
      <c r="AH214" s="288">
        <v>0</v>
      </c>
      <c r="AI214" s="289">
        <v>4963586.7892358769</v>
      </c>
      <c r="AJ214" s="266"/>
      <c r="AK214" s="285">
        <v>971286.64705882361</v>
      </c>
      <c r="AL214" s="286">
        <v>0</v>
      </c>
      <c r="AM214" s="286">
        <v>0</v>
      </c>
      <c r="AN214" s="290">
        <v>0</v>
      </c>
      <c r="AO214" s="289">
        <v>971286.64705882361</v>
      </c>
      <c r="AP214" s="291">
        <v>3992300.1421770533</v>
      </c>
    </row>
    <row r="215" spans="1:42" ht="15.75" x14ac:dyDescent="0.25">
      <c r="A215" s="247">
        <v>6428468</v>
      </c>
      <c r="B215" t="s">
        <v>1771</v>
      </c>
      <c r="C215" t="s">
        <v>1780</v>
      </c>
      <c r="D215" s="247">
        <v>6428468</v>
      </c>
      <c r="E215" s="247" t="s">
        <v>1210</v>
      </c>
      <c r="F215" s="247" t="s">
        <v>613</v>
      </c>
      <c r="G215" s="247" t="s">
        <v>1181</v>
      </c>
      <c r="H215" s="247">
        <v>6428468</v>
      </c>
      <c r="I215" s="247" t="s">
        <v>1149</v>
      </c>
      <c r="J215" s="247">
        <v>2020</v>
      </c>
      <c r="K215" s="248" t="s">
        <v>1155</v>
      </c>
      <c r="L215" s="247" t="s">
        <v>1156</v>
      </c>
      <c r="M215" s="308">
        <v>11.5</v>
      </c>
      <c r="N215" s="308">
        <v>1.5</v>
      </c>
      <c r="O215" s="308">
        <v>10</v>
      </c>
      <c r="P215" s="308">
        <v>0</v>
      </c>
      <c r="Q215" s="308">
        <v>0</v>
      </c>
      <c r="R215" s="247">
        <v>0</v>
      </c>
      <c r="S215" s="247">
        <v>160</v>
      </c>
      <c r="T215" s="247">
        <v>0</v>
      </c>
      <c r="U215" s="247">
        <v>0</v>
      </c>
      <c r="W215" s="284">
        <v>11.5</v>
      </c>
      <c r="X215" s="284">
        <v>1.5</v>
      </c>
      <c r="Y215" s="284">
        <v>10</v>
      </c>
      <c r="Z215" s="284">
        <v>0</v>
      </c>
      <c r="AA215" s="284">
        <v>0</v>
      </c>
      <c r="AB215" s="284">
        <v>0</v>
      </c>
      <c r="AC215" s="284">
        <v>0</v>
      </c>
      <c r="AE215" s="285">
        <v>6640038.1666428642</v>
      </c>
      <c r="AF215" s="286">
        <v>0</v>
      </c>
      <c r="AG215" s="287">
        <v>495117.84288370819</v>
      </c>
      <c r="AH215" s="288">
        <v>0</v>
      </c>
      <c r="AI215" s="289">
        <v>7135156.0095265722</v>
      </c>
      <c r="AJ215" s="266"/>
      <c r="AK215" s="285">
        <v>1387552.3529411764</v>
      </c>
      <c r="AL215" s="286">
        <v>0</v>
      </c>
      <c r="AM215" s="286">
        <v>0</v>
      </c>
      <c r="AN215" s="290">
        <v>0</v>
      </c>
      <c r="AO215" s="289">
        <v>1387552.3529411764</v>
      </c>
      <c r="AP215" s="291">
        <v>5747603.6565853953</v>
      </c>
    </row>
    <row r="216" spans="1:42" ht="15.75" x14ac:dyDescent="0.25">
      <c r="A216" s="247">
        <v>6697882</v>
      </c>
      <c r="B216" t="s">
        <v>1771</v>
      </c>
      <c r="C216" t="s">
        <v>1798</v>
      </c>
      <c r="D216" s="247">
        <v>6697882</v>
      </c>
      <c r="E216" s="247" t="s">
        <v>665</v>
      </c>
      <c r="F216" s="247" t="s">
        <v>663</v>
      </c>
      <c r="G216" s="247" t="s">
        <v>1172</v>
      </c>
      <c r="H216" s="247">
        <v>6697882</v>
      </c>
      <c r="I216" s="247" t="s">
        <v>1173</v>
      </c>
      <c r="J216" s="247">
        <v>2020</v>
      </c>
      <c r="K216" s="248" t="s">
        <v>1155</v>
      </c>
      <c r="L216" s="247" t="s">
        <v>1156</v>
      </c>
      <c r="M216" s="308">
        <v>1.7</v>
      </c>
      <c r="N216" s="308">
        <v>0.2</v>
      </c>
      <c r="O216" s="308">
        <v>1.5</v>
      </c>
      <c r="P216" s="308">
        <v>0</v>
      </c>
      <c r="Q216" s="308">
        <v>0</v>
      </c>
      <c r="R216" s="247">
        <v>0</v>
      </c>
      <c r="S216" s="247">
        <v>50</v>
      </c>
      <c r="T216" s="247">
        <v>0</v>
      </c>
      <c r="U216" s="247">
        <v>0</v>
      </c>
      <c r="W216" s="284">
        <v>1.7</v>
      </c>
      <c r="X216" s="284">
        <v>0.2</v>
      </c>
      <c r="Y216" s="284">
        <v>1.5</v>
      </c>
      <c r="Z216" s="284">
        <v>0</v>
      </c>
      <c r="AA216" s="284">
        <v>0</v>
      </c>
      <c r="AB216" s="284">
        <v>0</v>
      </c>
      <c r="AC216" s="284">
        <v>0</v>
      </c>
      <c r="AE216" s="285">
        <v>981570.85941677121</v>
      </c>
      <c r="AF216" s="286">
        <v>0</v>
      </c>
      <c r="AG216" s="287">
        <v>73191.333295852513</v>
      </c>
      <c r="AH216" s="288">
        <v>0</v>
      </c>
      <c r="AI216" s="289">
        <v>1054762.1927126236</v>
      </c>
      <c r="AJ216" s="266"/>
      <c r="AK216" s="285">
        <v>208132.85294117648</v>
      </c>
      <c r="AL216" s="286">
        <v>0</v>
      </c>
      <c r="AM216" s="286">
        <v>0</v>
      </c>
      <c r="AN216" s="290">
        <v>0</v>
      </c>
      <c r="AO216" s="289">
        <v>208132.85294117648</v>
      </c>
      <c r="AP216" s="291">
        <v>846629.33977144712</v>
      </c>
    </row>
    <row r="217" spans="1:42" ht="15.75" x14ac:dyDescent="0.25">
      <c r="A217" s="247">
        <v>7201840</v>
      </c>
      <c r="B217" t="s">
        <v>1771</v>
      </c>
      <c r="C217" t="s">
        <v>1796</v>
      </c>
      <c r="D217" s="247">
        <v>7201840</v>
      </c>
      <c r="E217" s="247" t="s">
        <v>1212</v>
      </c>
      <c r="F217" s="247" t="s">
        <v>1213</v>
      </c>
      <c r="G217" s="247" t="s">
        <v>1211</v>
      </c>
      <c r="H217" s="247">
        <v>7201840</v>
      </c>
      <c r="I217" s="247" t="s">
        <v>1063</v>
      </c>
      <c r="J217" s="247">
        <v>2020</v>
      </c>
      <c r="K217" s="248" t="s">
        <v>1155</v>
      </c>
      <c r="L217" s="247" t="s">
        <v>1156</v>
      </c>
      <c r="M217" s="308">
        <v>30.25</v>
      </c>
      <c r="N217" s="308">
        <v>1.5</v>
      </c>
      <c r="O217" s="308">
        <v>28.75</v>
      </c>
      <c r="P217" s="308">
        <v>0</v>
      </c>
      <c r="Q217" s="308">
        <v>0</v>
      </c>
      <c r="R217" s="247">
        <v>0</v>
      </c>
      <c r="S217" s="247">
        <v>370</v>
      </c>
      <c r="T217" s="247">
        <v>0</v>
      </c>
      <c r="U217" s="247">
        <v>0</v>
      </c>
      <c r="W217" s="284">
        <v>30.25</v>
      </c>
      <c r="X217" s="284">
        <v>1.5</v>
      </c>
      <c r="Y217" s="284">
        <v>28.75</v>
      </c>
      <c r="Z217" s="284">
        <v>0</v>
      </c>
      <c r="AA217" s="284">
        <v>0</v>
      </c>
      <c r="AB217" s="284">
        <v>0</v>
      </c>
      <c r="AC217" s="284">
        <v>0</v>
      </c>
      <c r="AE217" s="285">
        <v>17466187.351386666</v>
      </c>
      <c r="AF217" s="286">
        <v>0</v>
      </c>
      <c r="AG217" s="287">
        <v>1302375.1954114933</v>
      </c>
      <c r="AH217" s="288">
        <v>0</v>
      </c>
      <c r="AI217" s="289">
        <v>18768562.546798158</v>
      </c>
      <c r="AJ217" s="266"/>
      <c r="AK217" s="285">
        <v>3989213.0147058824</v>
      </c>
      <c r="AL217" s="286">
        <v>0</v>
      </c>
      <c r="AM217" s="286">
        <v>0</v>
      </c>
      <c r="AN217" s="290">
        <v>0</v>
      </c>
      <c r="AO217" s="289">
        <v>3989213.0147058824</v>
      </c>
      <c r="AP217" s="291">
        <v>14779349.532092277</v>
      </c>
    </row>
    <row r="218" spans="1:42" ht="15.75" x14ac:dyDescent="0.25">
      <c r="A218" s="247">
        <v>7259548</v>
      </c>
      <c r="B218" t="s">
        <v>1771</v>
      </c>
      <c r="C218" t="s">
        <v>1787</v>
      </c>
      <c r="D218" s="247">
        <v>7259548</v>
      </c>
      <c r="E218" s="247" t="s">
        <v>386</v>
      </c>
      <c r="F218" s="247" t="s">
        <v>678</v>
      </c>
      <c r="G218" s="247" t="s">
        <v>1203</v>
      </c>
      <c r="H218" s="247">
        <v>7259548</v>
      </c>
      <c r="I218" s="247" t="s">
        <v>1061</v>
      </c>
      <c r="J218" s="247">
        <v>2020</v>
      </c>
      <c r="K218" s="248" t="s">
        <v>1155</v>
      </c>
      <c r="L218" s="247" t="s">
        <v>1156</v>
      </c>
      <c r="M218" s="308">
        <v>16</v>
      </c>
      <c r="N218" s="308">
        <v>1</v>
      </c>
      <c r="O218" s="308">
        <v>15</v>
      </c>
      <c r="P218" s="308">
        <v>0</v>
      </c>
      <c r="Q218" s="308">
        <v>0</v>
      </c>
      <c r="R218" s="247">
        <v>0</v>
      </c>
      <c r="S218" s="247">
        <v>260</v>
      </c>
      <c r="T218" s="247">
        <v>0</v>
      </c>
      <c r="U218" s="247">
        <v>0</v>
      </c>
      <c r="W218" s="284">
        <v>16</v>
      </c>
      <c r="X218" s="284">
        <v>1</v>
      </c>
      <c r="Y218" s="284">
        <v>15</v>
      </c>
      <c r="Z218" s="284">
        <v>0</v>
      </c>
      <c r="AA218" s="284">
        <v>0</v>
      </c>
      <c r="AB218" s="284">
        <v>0</v>
      </c>
      <c r="AC218" s="284">
        <v>0</v>
      </c>
      <c r="AE218" s="285">
        <v>9238313.9709813762</v>
      </c>
      <c r="AF218" s="286">
        <v>0</v>
      </c>
      <c r="AG218" s="287">
        <v>688859.60749037657</v>
      </c>
      <c r="AH218" s="288">
        <v>0</v>
      </c>
      <c r="AI218" s="289">
        <v>9927173.5784717537</v>
      </c>
      <c r="AJ218" s="266"/>
      <c r="AK218" s="285">
        <v>2081328.5294117648</v>
      </c>
      <c r="AL218" s="286">
        <v>0</v>
      </c>
      <c r="AM218" s="286">
        <v>0</v>
      </c>
      <c r="AN218" s="290">
        <v>0</v>
      </c>
      <c r="AO218" s="289">
        <v>2081328.5294117648</v>
      </c>
      <c r="AP218" s="291">
        <v>7845845.0490599889</v>
      </c>
    </row>
    <row r="219" spans="1:42" ht="15.75" x14ac:dyDescent="0.25">
      <c r="A219" s="247">
        <v>7399132</v>
      </c>
      <c r="B219" t="s">
        <v>1771</v>
      </c>
      <c r="C219" t="s">
        <v>1801</v>
      </c>
      <c r="D219" s="247">
        <v>7399132</v>
      </c>
      <c r="E219" s="247" t="s">
        <v>576</v>
      </c>
      <c r="F219" s="247" t="s">
        <v>576</v>
      </c>
      <c r="G219" s="247" t="s">
        <v>1159</v>
      </c>
      <c r="H219" s="247">
        <v>7399132</v>
      </c>
      <c r="I219" s="247" t="s">
        <v>1160</v>
      </c>
      <c r="J219" s="247">
        <v>2020</v>
      </c>
      <c r="K219" s="248" t="s">
        <v>1155</v>
      </c>
      <c r="L219" s="247" t="s">
        <v>1156</v>
      </c>
      <c r="M219" s="308">
        <v>8</v>
      </c>
      <c r="N219" s="308">
        <v>1</v>
      </c>
      <c r="O219" s="308">
        <v>7</v>
      </c>
      <c r="P219" s="308">
        <v>0</v>
      </c>
      <c r="Q219" s="308">
        <v>0</v>
      </c>
      <c r="R219" s="247">
        <v>0</v>
      </c>
      <c r="S219" s="247">
        <v>110</v>
      </c>
      <c r="T219" s="247">
        <v>0</v>
      </c>
      <c r="U219" s="247">
        <v>0</v>
      </c>
      <c r="W219" s="284">
        <v>8</v>
      </c>
      <c r="X219" s="284">
        <v>1</v>
      </c>
      <c r="Y219" s="284">
        <v>7</v>
      </c>
      <c r="Z219" s="284">
        <v>0</v>
      </c>
      <c r="AA219" s="284">
        <v>0</v>
      </c>
      <c r="AB219" s="284">
        <v>0</v>
      </c>
      <c r="AC219" s="284">
        <v>0</v>
      </c>
      <c r="AE219" s="285">
        <v>4619156.9854906881</v>
      </c>
      <c r="AF219" s="286">
        <v>0</v>
      </c>
      <c r="AG219" s="287">
        <v>344429.80374518828</v>
      </c>
      <c r="AH219" s="288">
        <v>0</v>
      </c>
      <c r="AI219" s="289">
        <v>4963586.7892358769</v>
      </c>
      <c r="AJ219" s="266"/>
      <c r="AK219" s="285">
        <v>971286.64705882361</v>
      </c>
      <c r="AL219" s="286">
        <v>0</v>
      </c>
      <c r="AM219" s="286">
        <v>0</v>
      </c>
      <c r="AN219" s="290">
        <v>0</v>
      </c>
      <c r="AO219" s="289">
        <v>971286.64705882361</v>
      </c>
      <c r="AP219" s="291">
        <v>3992300.1421770533</v>
      </c>
    </row>
    <row r="220" spans="1:42" ht="15.75" x14ac:dyDescent="0.25">
      <c r="A220" s="247">
        <v>7702105</v>
      </c>
      <c r="B220" t="s">
        <v>1771</v>
      </c>
      <c r="C220" t="s">
        <v>1784</v>
      </c>
      <c r="D220" s="247">
        <v>7702105</v>
      </c>
      <c r="E220" s="247" t="s">
        <v>386</v>
      </c>
      <c r="F220" s="247" t="s">
        <v>626</v>
      </c>
      <c r="G220" s="247" t="s">
        <v>1214</v>
      </c>
      <c r="H220" s="247">
        <v>7702105</v>
      </c>
      <c r="I220" s="247" t="s">
        <v>1215</v>
      </c>
      <c r="J220" s="247">
        <v>2020</v>
      </c>
      <c r="K220" s="248" t="s">
        <v>1155</v>
      </c>
      <c r="L220" s="247" t="s">
        <v>1156</v>
      </c>
      <c r="M220" s="308">
        <v>4.9000000000000004</v>
      </c>
      <c r="N220" s="308">
        <v>0.9</v>
      </c>
      <c r="O220" s="308">
        <v>4</v>
      </c>
      <c r="P220" s="308">
        <v>0</v>
      </c>
      <c r="Q220" s="308">
        <v>0</v>
      </c>
      <c r="R220" s="247">
        <v>0</v>
      </c>
      <c r="S220" s="247">
        <v>50</v>
      </c>
      <c r="T220" s="247">
        <v>0</v>
      </c>
      <c r="U220" s="247">
        <v>0</v>
      </c>
      <c r="W220" s="284">
        <v>4.9000000000000004</v>
      </c>
      <c r="X220" s="284">
        <v>0.9</v>
      </c>
      <c r="Y220" s="284">
        <v>4</v>
      </c>
      <c r="Z220" s="284">
        <v>0</v>
      </c>
      <c r="AA220" s="284">
        <v>0</v>
      </c>
      <c r="AB220" s="284">
        <v>0</v>
      </c>
      <c r="AC220" s="284">
        <v>0</v>
      </c>
      <c r="AE220" s="285">
        <v>2829233.6536130467</v>
      </c>
      <c r="AF220" s="286">
        <v>0</v>
      </c>
      <c r="AG220" s="287">
        <v>210963.25479392783</v>
      </c>
      <c r="AH220" s="288">
        <v>0</v>
      </c>
      <c r="AI220" s="289">
        <v>3040196.9084069747</v>
      </c>
      <c r="AJ220" s="266"/>
      <c r="AK220" s="285">
        <v>555020.9411764706</v>
      </c>
      <c r="AL220" s="286">
        <v>0</v>
      </c>
      <c r="AM220" s="286">
        <v>0</v>
      </c>
      <c r="AN220" s="290">
        <v>0</v>
      </c>
      <c r="AO220" s="289">
        <v>555020.9411764706</v>
      </c>
      <c r="AP220" s="291">
        <v>2485175.9672305044</v>
      </c>
    </row>
    <row r="221" spans="1:42" ht="15.75" x14ac:dyDescent="0.25">
      <c r="A221" s="247">
        <v>8522302</v>
      </c>
      <c r="B221" t="s">
        <v>1771</v>
      </c>
      <c r="C221" t="s">
        <v>1795</v>
      </c>
      <c r="D221" s="247">
        <v>8522302</v>
      </c>
      <c r="E221" s="247" t="s">
        <v>386</v>
      </c>
      <c r="F221" s="247" t="s">
        <v>661</v>
      </c>
      <c r="G221" s="247" t="s">
        <v>1189</v>
      </c>
      <c r="H221" s="247">
        <v>8522302</v>
      </c>
      <c r="I221" s="247" t="s">
        <v>1190</v>
      </c>
      <c r="J221" s="247">
        <v>2020</v>
      </c>
      <c r="K221" s="248" t="s">
        <v>1155</v>
      </c>
      <c r="L221" s="247" t="s">
        <v>1156</v>
      </c>
      <c r="M221" s="308">
        <v>2</v>
      </c>
      <c r="N221" s="308">
        <v>0</v>
      </c>
      <c r="O221" s="308">
        <v>2</v>
      </c>
      <c r="P221" s="308">
        <v>0</v>
      </c>
      <c r="Q221" s="308">
        <v>0</v>
      </c>
      <c r="R221" s="247">
        <v>0</v>
      </c>
      <c r="S221" s="247">
        <v>60</v>
      </c>
      <c r="T221" s="247">
        <v>0</v>
      </c>
      <c r="U221" s="247">
        <v>0</v>
      </c>
      <c r="W221" s="284">
        <v>2</v>
      </c>
      <c r="X221" s="284">
        <v>0</v>
      </c>
      <c r="Y221" s="284">
        <v>2</v>
      </c>
      <c r="Z221" s="284">
        <v>0</v>
      </c>
      <c r="AA221" s="284">
        <v>0</v>
      </c>
      <c r="AB221" s="284">
        <v>0</v>
      </c>
      <c r="AC221" s="284">
        <v>0</v>
      </c>
      <c r="AE221" s="285">
        <v>1154789.246372672</v>
      </c>
      <c r="AF221" s="286">
        <v>0</v>
      </c>
      <c r="AG221" s="287">
        <v>86107.450936297071</v>
      </c>
      <c r="AH221" s="288">
        <v>0</v>
      </c>
      <c r="AI221" s="289">
        <v>1240896.6973089692</v>
      </c>
      <c r="AJ221" s="266"/>
      <c r="AK221" s="285">
        <v>277510.4705882353</v>
      </c>
      <c r="AL221" s="286">
        <v>0</v>
      </c>
      <c r="AM221" s="286">
        <v>0</v>
      </c>
      <c r="AN221" s="290">
        <v>0</v>
      </c>
      <c r="AO221" s="289">
        <v>277510.4705882353</v>
      </c>
      <c r="AP221" s="291">
        <v>963386.22672073392</v>
      </c>
    </row>
    <row r="222" spans="1:42" ht="15.75" x14ac:dyDescent="0.25">
      <c r="A222" s="247">
        <v>9196018</v>
      </c>
      <c r="B222" t="s">
        <v>1771</v>
      </c>
      <c r="C222" t="s">
        <v>1783</v>
      </c>
      <c r="D222" s="247">
        <v>9196018</v>
      </c>
      <c r="E222" s="247" t="s">
        <v>750</v>
      </c>
      <c r="F222" s="247" t="s">
        <v>748</v>
      </c>
      <c r="G222" s="247" t="s">
        <v>1211</v>
      </c>
      <c r="H222" s="247">
        <v>9196018</v>
      </c>
      <c r="I222" s="247" t="s">
        <v>1063</v>
      </c>
      <c r="J222" s="247">
        <v>2020</v>
      </c>
      <c r="K222" s="248" t="s">
        <v>1155</v>
      </c>
      <c r="L222" s="247" t="s">
        <v>1156</v>
      </c>
      <c r="M222" s="308">
        <v>3.8439999999999999</v>
      </c>
      <c r="N222" s="308">
        <v>9.4E-2</v>
      </c>
      <c r="O222" s="308">
        <v>3.75</v>
      </c>
      <c r="P222" s="308">
        <v>0</v>
      </c>
      <c r="Q222" s="308">
        <v>0</v>
      </c>
      <c r="R222" s="247">
        <v>0</v>
      </c>
      <c r="S222" s="247">
        <v>60</v>
      </c>
      <c r="T222" s="247">
        <v>0</v>
      </c>
      <c r="U222" s="247">
        <v>0</v>
      </c>
      <c r="W222" s="284">
        <v>3.8439999999999999</v>
      </c>
      <c r="X222" s="284">
        <v>9.4E-2</v>
      </c>
      <c r="Y222" s="284">
        <v>3.75</v>
      </c>
      <c r="Z222" s="284">
        <v>0</v>
      </c>
      <c r="AA222" s="284">
        <v>0</v>
      </c>
      <c r="AB222" s="284">
        <v>0</v>
      </c>
      <c r="AC222" s="284">
        <v>0</v>
      </c>
      <c r="AE222" s="285">
        <v>2219504.9315282754</v>
      </c>
      <c r="AF222" s="286">
        <v>0</v>
      </c>
      <c r="AG222" s="287">
        <v>165498.52069956297</v>
      </c>
      <c r="AH222" s="288">
        <v>0</v>
      </c>
      <c r="AI222" s="289">
        <v>2385003.4522278383</v>
      </c>
      <c r="AJ222" s="266"/>
      <c r="AK222" s="285">
        <v>520332.1323529412</v>
      </c>
      <c r="AL222" s="286">
        <v>0</v>
      </c>
      <c r="AM222" s="286">
        <v>0</v>
      </c>
      <c r="AN222" s="290">
        <v>0</v>
      </c>
      <c r="AO222" s="289">
        <v>520332.1323529412</v>
      </c>
      <c r="AP222" s="291">
        <v>1864671.3198748971</v>
      </c>
    </row>
    <row r="223" spans="1:42" ht="15.75" x14ac:dyDescent="0.25">
      <c r="A223" s="247">
        <v>9199716</v>
      </c>
      <c r="B223" t="s">
        <v>1771</v>
      </c>
      <c r="C223" t="s">
        <v>1790</v>
      </c>
      <c r="D223" s="247">
        <v>9199716</v>
      </c>
      <c r="E223" s="247" t="s">
        <v>1222</v>
      </c>
      <c r="F223" s="247" t="s">
        <v>531</v>
      </c>
      <c r="G223" s="247" t="s">
        <v>1221</v>
      </c>
      <c r="H223" s="247">
        <v>9199716</v>
      </c>
      <c r="I223" s="247" t="s">
        <v>1223</v>
      </c>
      <c r="J223" s="247">
        <v>2020</v>
      </c>
      <c r="K223" s="248" t="s">
        <v>1155</v>
      </c>
      <c r="L223" s="247" t="s">
        <v>1156</v>
      </c>
      <c r="M223" s="308">
        <v>7.48</v>
      </c>
      <c r="N223" s="308">
        <v>0.375</v>
      </c>
      <c r="O223" s="308">
        <v>7.1</v>
      </c>
      <c r="P223" s="308">
        <v>0</v>
      </c>
      <c r="Q223" s="308">
        <v>0</v>
      </c>
      <c r="R223" s="247">
        <v>0</v>
      </c>
      <c r="S223" s="247">
        <v>80</v>
      </c>
      <c r="T223" s="247">
        <v>0</v>
      </c>
      <c r="U223" s="247">
        <v>0</v>
      </c>
      <c r="W223" s="284">
        <v>7.48</v>
      </c>
      <c r="X223" s="284">
        <v>0.375</v>
      </c>
      <c r="Y223" s="284">
        <v>7.1</v>
      </c>
      <c r="Z223" s="284">
        <v>0</v>
      </c>
      <c r="AA223" s="284">
        <v>0</v>
      </c>
      <c r="AB223" s="284">
        <v>0</v>
      </c>
      <c r="AC223" s="284">
        <v>0</v>
      </c>
      <c r="AE223" s="285">
        <v>4318911.7814337937</v>
      </c>
      <c r="AF223" s="286">
        <v>0</v>
      </c>
      <c r="AG223" s="287">
        <v>322041.86650175106</v>
      </c>
      <c r="AH223" s="288">
        <v>0</v>
      </c>
      <c r="AI223" s="289">
        <v>4640953.6479355451</v>
      </c>
      <c r="AJ223" s="266"/>
      <c r="AK223" s="285">
        <v>985162.17058823525</v>
      </c>
      <c r="AL223" s="286">
        <v>0</v>
      </c>
      <c r="AM223" s="286">
        <v>0</v>
      </c>
      <c r="AN223" s="290">
        <v>0</v>
      </c>
      <c r="AO223" s="289">
        <v>985162.17058823525</v>
      </c>
      <c r="AP223" s="291">
        <v>3655791.4773473097</v>
      </c>
    </row>
    <row r="224" spans="1:42" ht="15.75" x14ac:dyDescent="0.25">
      <c r="A224" s="247">
        <v>9478716</v>
      </c>
      <c r="B224" t="s">
        <v>1771</v>
      </c>
      <c r="C224" t="s">
        <v>1775</v>
      </c>
      <c r="D224" s="247">
        <v>9478716</v>
      </c>
      <c r="E224" s="247" t="s">
        <v>940</v>
      </c>
      <c r="F224" s="247" t="s">
        <v>940</v>
      </c>
      <c r="G224" s="247" t="s">
        <v>1193</v>
      </c>
      <c r="H224" s="247">
        <v>9478716</v>
      </c>
      <c r="I224" s="247" t="s">
        <v>1128</v>
      </c>
      <c r="J224" s="247">
        <v>2020</v>
      </c>
      <c r="K224" s="248" t="s">
        <v>1155</v>
      </c>
      <c r="L224" s="247" t="s">
        <v>1156</v>
      </c>
      <c r="M224" s="308">
        <v>0.54</v>
      </c>
      <c r="N224" s="308">
        <v>0.04</v>
      </c>
      <c r="O224" s="308">
        <v>0.5</v>
      </c>
      <c r="P224" s="308">
        <v>0</v>
      </c>
      <c r="Q224" s="308">
        <v>0</v>
      </c>
      <c r="R224" s="247">
        <v>0</v>
      </c>
      <c r="S224" s="247">
        <v>30</v>
      </c>
      <c r="T224" s="247">
        <v>0</v>
      </c>
      <c r="U224" s="247">
        <v>0</v>
      </c>
      <c r="W224" s="284">
        <v>0.54</v>
      </c>
      <c r="X224" s="284">
        <v>0.04</v>
      </c>
      <c r="Y224" s="284">
        <v>0.5</v>
      </c>
      <c r="Z224" s="284">
        <v>0</v>
      </c>
      <c r="AA224" s="284">
        <v>0</v>
      </c>
      <c r="AB224" s="284">
        <v>0</v>
      </c>
      <c r="AC224" s="284">
        <v>0</v>
      </c>
      <c r="AE224" s="285">
        <v>311793.09652062145</v>
      </c>
      <c r="AF224" s="286">
        <v>0</v>
      </c>
      <c r="AG224" s="287">
        <v>23249.011752800212</v>
      </c>
      <c r="AH224" s="288">
        <v>0</v>
      </c>
      <c r="AI224" s="289">
        <v>335042.10827342165</v>
      </c>
      <c r="AJ224" s="266"/>
      <c r="AK224" s="285">
        <v>69377.617647058825</v>
      </c>
      <c r="AL224" s="286">
        <v>0</v>
      </c>
      <c r="AM224" s="286">
        <v>0</v>
      </c>
      <c r="AN224" s="290">
        <v>0</v>
      </c>
      <c r="AO224" s="289">
        <v>69377.617647058825</v>
      </c>
      <c r="AP224" s="291">
        <v>265664.49062636285</v>
      </c>
    </row>
    <row r="225" spans="1:42" ht="15.75" x14ac:dyDescent="0.25">
      <c r="A225" s="247">
        <v>9583114</v>
      </c>
      <c r="B225" t="s">
        <v>1771</v>
      </c>
      <c r="C225" t="s">
        <v>1805</v>
      </c>
      <c r="D225" s="247">
        <v>9583114</v>
      </c>
      <c r="E225" s="247" t="s">
        <v>868</v>
      </c>
      <c r="F225" s="247" t="s">
        <v>868</v>
      </c>
      <c r="G225" s="247" t="s">
        <v>1226</v>
      </c>
      <c r="H225" s="247">
        <v>9583114</v>
      </c>
      <c r="I225" s="247" t="s">
        <v>1227</v>
      </c>
      <c r="J225" s="247">
        <v>2020</v>
      </c>
      <c r="K225" s="248" t="s">
        <v>1155</v>
      </c>
      <c r="L225" s="247" t="s">
        <v>1156</v>
      </c>
      <c r="M225" s="308">
        <v>2.6</v>
      </c>
      <c r="N225" s="308">
        <v>0.1</v>
      </c>
      <c r="O225" s="308">
        <v>2.5</v>
      </c>
      <c r="P225" s="308">
        <v>0</v>
      </c>
      <c r="Q225" s="308">
        <v>0</v>
      </c>
      <c r="R225" s="247">
        <v>0</v>
      </c>
      <c r="S225" s="247">
        <v>90</v>
      </c>
      <c r="T225" s="247">
        <v>0</v>
      </c>
      <c r="U225" s="247">
        <v>0</v>
      </c>
      <c r="W225" s="284">
        <v>2.6</v>
      </c>
      <c r="X225" s="284">
        <v>0.1</v>
      </c>
      <c r="Y225" s="284">
        <v>2.5</v>
      </c>
      <c r="Z225" s="284">
        <v>0</v>
      </c>
      <c r="AA225" s="284">
        <v>0</v>
      </c>
      <c r="AB225" s="284">
        <v>0</v>
      </c>
      <c r="AC225" s="284">
        <v>0</v>
      </c>
      <c r="AE225" s="285">
        <v>1501226.0202844737</v>
      </c>
      <c r="AF225" s="286">
        <v>0</v>
      </c>
      <c r="AG225" s="287">
        <v>111939.6862171862</v>
      </c>
      <c r="AH225" s="288">
        <v>0</v>
      </c>
      <c r="AI225" s="289">
        <v>1613165.7065016599</v>
      </c>
      <c r="AJ225" s="266"/>
      <c r="AK225" s="285">
        <v>346888.0882352941</v>
      </c>
      <c r="AL225" s="286">
        <v>0</v>
      </c>
      <c r="AM225" s="286">
        <v>0</v>
      </c>
      <c r="AN225" s="290">
        <v>0</v>
      </c>
      <c r="AO225" s="289">
        <v>346888.0882352941</v>
      </c>
      <c r="AP225" s="291">
        <v>1266277.618266366</v>
      </c>
    </row>
    <row r="226" spans="1:42" ht="15.75" x14ac:dyDescent="0.25">
      <c r="A226" s="247">
        <v>9666094</v>
      </c>
      <c r="B226" t="s">
        <v>1771</v>
      </c>
      <c r="C226" t="s">
        <v>1803</v>
      </c>
      <c r="D226" s="247">
        <v>9666094</v>
      </c>
      <c r="E226" s="247" t="s">
        <v>386</v>
      </c>
      <c r="F226" s="247" t="s">
        <v>671</v>
      </c>
      <c r="G226" s="247" t="s">
        <v>1228</v>
      </c>
      <c r="H226" s="247">
        <v>9666094</v>
      </c>
      <c r="I226" s="247" t="s">
        <v>1229</v>
      </c>
      <c r="J226" s="247">
        <v>2020</v>
      </c>
      <c r="K226" s="248" t="s">
        <v>1155</v>
      </c>
      <c r="L226" s="247" t="s">
        <v>1156</v>
      </c>
      <c r="M226" s="308">
        <v>7</v>
      </c>
      <c r="N226" s="308">
        <v>1</v>
      </c>
      <c r="O226" s="308">
        <v>6</v>
      </c>
      <c r="P226" s="308">
        <v>0</v>
      </c>
      <c r="Q226" s="308">
        <v>0</v>
      </c>
      <c r="R226" s="247">
        <v>0</v>
      </c>
      <c r="S226" s="247">
        <v>80</v>
      </c>
      <c r="T226" s="247">
        <v>0</v>
      </c>
      <c r="U226" s="247">
        <v>0</v>
      </c>
      <c r="W226" s="284">
        <v>7</v>
      </c>
      <c r="X226" s="284">
        <v>1</v>
      </c>
      <c r="Y226" s="284">
        <v>6</v>
      </c>
      <c r="Z226" s="284">
        <v>0</v>
      </c>
      <c r="AA226" s="284">
        <v>0</v>
      </c>
      <c r="AB226" s="284">
        <v>0</v>
      </c>
      <c r="AC226" s="284">
        <v>0</v>
      </c>
      <c r="AE226" s="285">
        <v>4041762.3623043522</v>
      </c>
      <c r="AF226" s="286">
        <v>0</v>
      </c>
      <c r="AG226" s="287">
        <v>301376.07827703975</v>
      </c>
      <c r="AH226" s="288">
        <v>0</v>
      </c>
      <c r="AI226" s="289">
        <v>4343138.4405813916</v>
      </c>
      <c r="AJ226" s="266"/>
      <c r="AK226" s="285">
        <v>832531.4117647059</v>
      </c>
      <c r="AL226" s="286">
        <v>0</v>
      </c>
      <c r="AM226" s="286">
        <v>0</v>
      </c>
      <c r="AN226" s="290">
        <v>0</v>
      </c>
      <c r="AO226" s="289">
        <v>832531.4117647059</v>
      </c>
      <c r="AP226" s="291">
        <v>3510607.0288166855</v>
      </c>
    </row>
    <row r="227" spans="1:42" ht="15.75" x14ac:dyDescent="0.25">
      <c r="A227" s="247">
        <v>9924639</v>
      </c>
      <c r="B227" t="s">
        <v>1771</v>
      </c>
      <c r="C227" t="s">
        <v>1776</v>
      </c>
      <c r="D227" s="247">
        <v>9924639</v>
      </c>
      <c r="E227" s="247" t="s">
        <v>857</v>
      </c>
      <c r="F227" s="247" t="s">
        <v>857</v>
      </c>
      <c r="G227" s="247" t="s">
        <v>1154</v>
      </c>
      <c r="H227" s="247">
        <v>9924639</v>
      </c>
      <c r="I227" s="247" t="s">
        <v>1134</v>
      </c>
      <c r="J227" s="247">
        <v>2020</v>
      </c>
      <c r="K227" s="248" t="s">
        <v>1155</v>
      </c>
      <c r="L227" s="247" t="s">
        <v>1156</v>
      </c>
      <c r="M227" s="308">
        <v>16.38</v>
      </c>
      <c r="N227" s="308">
        <v>1.38</v>
      </c>
      <c r="O227" s="308">
        <v>15</v>
      </c>
      <c r="P227" s="308">
        <v>0</v>
      </c>
      <c r="Q227" s="308">
        <v>0</v>
      </c>
      <c r="R227" s="247">
        <v>0</v>
      </c>
      <c r="S227" s="247">
        <v>190</v>
      </c>
      <c r="T227" s="247">
        <v>11</v>
      </c>
      <c r="U227" s="247">
        <v>0</v>
      </c>
      <c r="W227" s="284">
        <v>16.38</v>
      </c>
      <c r="X227" s="284">
        <v>1.38</v>
      </c>
      <c r="Y227" s="284">
        <v>15</v>
      </c>
      <c r="Z227" s="284">
        <v>0</v>
      </c>
      <c r="AA227" s="284">
        <v>0</v>
      </c>
      <c r="AB227" s="284">
        <v>0</v>
      </c>
      <c r="AC227" s="284">
        <v>11</v>
      </c>
      <c r="AE227" s="285">
        <v>9457723.9277921841</v>
      </c>
      <c r="AF227" s="286">
        <v>0</v>
      </c>
      <c r="AG227" s="287">
        <v>705220.02316827292</v>
      </c>
      <c r="AH227" s="288">
        <v>0</v>
      </c>
      <c r="AI227" s="289">
        <v>10162943.950960457</v>
      </c>
      <c r="AJ227" s="266"/>
      <c r="AK227" s="285">
        <v>2081328.5294117648</v>
      </c>
      <c r="AL227" s="286">
        <v>0</v>
      </c>
      <c r="AM227" s="286">
        <v>0</v>
      </c>
      <c r="AN227" s="290">
        <v>0</v>
      </c>
      <c r="AO227" s="289">
        <v>2081328.5294117648</v>
      </c>
      <c r="AP227" s="291">
        <v>8081615.4215486925</v>
      </c>
    </row>
    <row r="228" spans="1:42" ht="15.75" x14ac:dyDescent="0.25">
      <c r="A228" s="247">
        <v>9940787</v>
      </c>
      <c r="B228" t="s">
        <v>1771</v>
      </c>
      <c r="C228" t="s">
        <v>1789</v>
      </c>
      <c r="D228" s="247">
        <v>9940787</v>
      </c>
      <c r="E228" s="247" t="s">
        <v>386</v>
      </c>
      <c r="F228" s="247" t="s">
        <v>682</v>
      </c>
      <c r="G228" s="247" t="s">
        <v>1230</v>
      </c>
      <c r="H228" s="247">
        <v>9940787</v>
      </c>
      <c r="I228" s="247" t="s">
        <v>1138</v>
      </c>
      <c r="J228" s="247">
        <v>2020</v>
      </c>
      <c r="K228" s="248" t="s">
        <v>1155</v>
      </c>
      <c r="L228" s="247" t="s">
        <v>1156</v>
      </c>
      <c r="M228" s="308">
        <v>10.65</v>
      </c>
      <c r="N228" s="308">
        <v>1.1499999999999999</v>
      </c>
      <c r="O228" s="308">
        <v>9.5</v>
      </c>
      <c r="P228" s="308">
        <v>0</v>
      </c>
      <c r="Q228" s="308">
        <v>0</v>
      </c>
      <c r="R228" s="247">
        <v>0</v>
      </c>
      <c r="S228" s="247">
        <v>120</v>
      </c>
      <c r="T228" s="247">
        <v>0</v>
      </c>
      <c r="U228" s="247">
        <v>0</v>
      </c>
      <c r="W228" s="284">
        <v>10.65</v>
      </c>
      <c r="X228" s="284">
        <v>1.1499999999999999</v>
      </c>
      <c r="Y228" s="284">
        <v>9.5</v>
      </c>
      <c r="Z228" s="284">
        <v>0</v>
      </c>
      <c r="AA228" s="284">
        <v>0</v>
      </c>
      <c r="AB228" s="284">
        <v>0</v>
      </c>
      <c r="AC228" s="284">
        <v>0</v>
      </c>
      <c r="AE228" s="285">
        <v>6149252.7369344784</v>
      </c>
      <c r="AF228" s="286">
        <v>0</v>
      </c>
      <c r="AG228" s="287">
        <v>458522.17623578192</v>
      </c>
      <c r="AH228" s="288">
        <v>0</v>
      </c>
      <c r="AI228" s="289">
        <v>6607774.9131702604</v>
      </c>
      <c r="AJ228" s="266"/>
      <c r="AK228" s="285">
        <v>1318174.7352941176</v>
      </c>
      <c r="AL228" s="286">
        <v>0</v>
      </c>
      <c r="AM228" s="286">
        <v>0</v>
      </c>
      <c r="AN228" s="290">
        <v>0</v>
      </c>
      <c r="AO228" s="289">
        <v>1318174.7352941176</v>
      </c>
      <c r="AP228" s="291">
        <v>5289600.1778761428</v>
      </c>
    </row>
    <row r="229" spans="1:42" ht="15.75" x14ac:dyDescent="0.25">
      <c r="A229" s="247">
        <v>9949795</v>
      </c>
      <c r="B229" t="s">
        <v>1771</v>
      </c>
      <c r="C229" t="s">
        <v>1792</v>
      </c>
      <c r="D229" s="247">
        <v>9949795</v>
      </c>
      <c r="E229" s="247" t="s">
        <v>692</v>
      </c>
      <c r="F229" s="247" t="s">
        <v>690</v>
      </c>
      <c r="G229" s="247" t="s">
        <v>1186</v>
      </c>
      <c r="H229" s="247">
        <v>9949795</v>
      </c>
      <c r="I229" s="247" t="s">
        <v>1144</v>
      </c>
      <c r="J229" s="247">
        <v>2020</v>
      </c>
      <c r="K229" s="248" t="s">
        <v>1155</v>
      </c>
      <c r="L229" s="247" t="s">
        <v>1156</v>
      </c>
      <c r="M229" s="308">
        <v>2.75</v>
      </c>
      <c r="N229" s="308">
        <v>0</v>
      </c>
      <c r="O229" s="308">
        <v>2.75</v>
      </c>
      <c r="P229" s="308">
        <v>0</v>
      </c>
      <c r="Q229" s="308">
        <v>0</v>
      </c>
      <c r="R229" s="247">
        <v>0</v>
      </c>
      <c r="S229" s="247">
        <v>27</v>
      </c>
      <c r="T229" s="247">
        <v>0</v>
      </c>
      <c r="U229" s="247">
        <v>0</v>
      </c>
      <c r="W229" s="284">
        <v>2.75</v>
      </c>
      <c r="X229" s="284">
        <v>0</v>
      </c>
      <c r="Y229" s="284">
        <v>2.75</v>
      </c>
      <c r="Z229" s="284">
        <v>0</v>
      </c>
      <c r="AA229" s="284">
        <v>0</v>
      </c>
      <c r="AB229" s="284">
        <v>0</v>
      </c>
      <c r="AC229" s="284">
        <v>0</v>
      </c>
      <c r="AE229" s="285">
        <v>1587835.213762424</v>
      </c>
      <c r="AF229" s="286">
        <v>0</v>
      </c>
      <c r="AG229" s="287">
        <v>118397.74503740847</v>
      </c>
      <c r="AH229" s="288">
        <v>0</v>
      </c>
      <c r="AI229" s="289">
        <v>1706232.9587998325</v>
      </c>
      <c r="AJ229" s="266"/>
      <c r="AK229" s="285">
        <v>381576.89705882355</v>
      </c>
      <c r="AL229" s="286">
        <v>0</v>
      </c>
      <c r="AM229" s="286">
        <v>0</v>
      </c>
      <c r="AN229" s="290">
        <v>0</v>
      </c>
      <c r="AO229" s="289">
        <v>381576.89705882355</v>
      </c>
      <c r="AP229" s="291">
        <v>1324656.0617410089</v>
      </c>
    </row>
    <row r="230" spans="1:42" ht="15.75" x14ac:dyDescent="0.25">
      <c r="A230" s="247">
        <v>3357963</v>
      </c>
      <c r="B230" t="s">
        <v>1771</v>
      </c>
      <c r="C230" t="s">
        <v>1787</v>
      </c>
      <c r="D230" s="247">
        <v>3357963</v>
      </c>
      <c r="E230" s="247" t="s">
        <v>1259</v>
      </c>
      <c r="F230" s="247" t="s">
        <v>678</v>
      </c>
      <c r="G230" s="247" t="s">
        <v>1258</v>
      </c>
      <c r="H230" s="247">
        <v>3357963</v>
      </c>
      <c r="I230" s="247" t="s">
        <v>1061</v>
      </c>
      <c r="J230" s="247">
        <v>2020</v>
      </c>
      <c r="K230" s="248" t="s">
        <v>1250</v>
      </c>
      <c r="L230" s="247" t="s">
        <v>1125</v>
      </c>
      <c r="M230" s="308">
        <v>1.9</v>
      </c>
      <c r="N230" s="308">
        <v>0.1</v>
      </c>
      <c r="O230" s="308">
        <v>1.1000000000000001</v>
      </c>
      <c r="P230" s="308">
        <v>0.7</v>
      </c>
      <c r="Q230" s="308">
        <v>0</v>
      </c>
      <c r="R230" s="247">
        <v>4</v>
      </c>
      <c r="S230" s="247">
        <v>0</v>
      </c>
      <c r="T230" s="247">
        <v>0</v>
      </c>
      <c r="U230" s="247">
        <v>0</v>
      </c>
      <c r="W230" s="301">
        <v>1.9</v>
      </c>
      <c r="X230" s="301">
        <v>0.1</v>
      </c>
      <c r="Y230" s="301">
        <v>1.1000000000000001</v>
      </c>
      <c r="Z230" s="301">
        <v>0.7</v>
      </c>
      <c r="AA230" s="284">
        <v>0</v>
      </c>
      <c r="AB230" s="284">
        <v>4</v>
      </c>
      <c r="AC230" s="284">
        <v>0</v>
      </c>
      <c r="AE230" s="285">
        <v>1121128.5297294119</v>
      </c>
      <c r="AF230" s="286">
        <v>0</v>
      </c>
      <c r="AG230" s="287">
        <v>225828.91318532612</v>
      </c>
      <c r="AH230" s="288">
        <v>123900.67496813175</v>
      </c>
      <c r="AI230" s="289">
        <v>1470858.1178828699</v>
      </c>
      <c r="AJ230" s="266"/>
      <c r="AK230" s="285">
        <v>229284.57829531204</v>
      </c>
      <c r="AL230" s="286">
        <v>0</v>
      </c>
      <c r="AM230" s="286">
        <v>153821.25</v>
      </c>
      <c r="AN230" s="290">
        <v>95581.8</v>
      </c>
      <c r="AO230" s="289">
        <v>478687.628295312</v>
      </c>
      <c r="AP230" s="291">
        <v>992170.48958755797</v>
      </c>
    </row>
    <row r="231" spans="1:42" ht="15.75" x14ac:dyDescent="0.25">
      <c r="A231" s="247">
        <v>4075651</v>
      </c>
      <c r="B231" t="s">
        <v>1771</v>
      </c>
      <c r="C231" t="s">
        <v>1789</v>
      </c>
      <c r="D231" s="247">
        <v>4075651</v>
      </c>
      <c r="E231" s="247" t="s">
        <v>684</v>
      </c>
      <c r="F231" s="247" t="s">
        <v>682</v>
      </c>
      <c r="G231" s="247" t="s">
        <v>1260</v>
      </c>
      <c r="H231" s="247">
        <v>4075651</v>
      </c>
      <c r="I231" s="247" t="s">
        <v>1138</v>
      </c>
      <c r="J231" s="247">
        <v>2020</v>
      </c>
      <c r="K231" s="248" t="s">
        <v>1250</v>
      </c>
      <c r="L231" s="247" t="s">
        <v>1125</v>
      </c>
      <c r="M231" s="308">
        <v>3.2</v>
      </c>
      <c r="N231" s="308">
        <v>0.35</v>
      </c>
      <c r="O231" s="308">
        <v>2</v>
      </c>
      <c r="P231" s="308">
        <v>0.85</v>
      </c>
      <c r="Q231" s="308">
        <v>0</v>
      </c>
      <c r="R231" s="247">
        <v>6</v>
      </c>
      <c r="S231" s="247">
        <v>0</v>
      </c>
      <c r="T231" s="247">
        <v>0</v>
      </c>
      <c r="U231" s="247">
        <v>0</v>
      </c>
      <c r="W231" s="284">
        <v>3.2</v>
      </c>
      <c r="X231" s="284">
        <v>0.35</v>
      </c>
      <c r="Y231" s="284">
        <v>2</v>
      </c>
      <c r="Z231" s="284">
        <v>0.85</v>
      </c>
      <c r="AA231" s="284">
        <v>0</v>
      </c>
      <c r="AB231" s="284">
        <v>6</v>
      </c>
      <c r="AC231" s="284">
        <v>0</v>
      </c>
      <c r="AE231" s="285">
        <v>1888216.4711232202</v>
      </c>
      <c r="AF231" s="286">
        <v>0</v>
      </c>
      <c r="AG231" s="287">
        <v>338743.36977798917</v>
      </c>
      <c r="AH231" s="288">
        <v>185851.01245219761</v>
      </c>
      <c r="AI231" s="289">
        <v>2412810.8533534072</v>
      </c>
      <c r="AJ231" s="266"/>
      <c r="AK231" s="285">
        <v>363033.91563424404</v>
      </c>
      <c r="AL231" s="286">
        <v>0</v>
      </c>
      <c r="AM231" s="286">
        <v>230731.875</v>
      </c>
      <c r="AN231" s="290">
        <v>143372.70000000001</v>
      </c>
      <c r="AO231" s="289">
        <v>737138.49063424394</v>
      </c>
      <c r="AP231" s="291">
        <v>1675672.3627191633</v>
      </c>
    </row>
    <row r="232" spans="1:42" ht="15.75" x14ac:dyDescent="0.25">
      <c r="A232" s="247">
        <v>6749255</v>
      </c>
      <c r="B232" t="s">
        <v>1771</v>
      </c>
      <c r="C232" t="s">
        <v>1790</v>
      </c>
      <c r="D232" s="247">
        <v>6749255</v>
      </c>
      <c r="E232" s="247" t="s">
        <v>1264</v>
      </c>
      <c r="F232" s="247" t="s">
        <v>531</v>
      </c>
      <c r="G232" s="247" t="s">
        <v>1263</v>
      </c>
      <c r="H232" s="247">
        <v>6749255</v>
      </c>
      <c r="I232" s="247" t="s">
        <v>1223</v>
      </c>
      <c r="J232" s="247">
        <v>2020</v>
      </c>
      <c r="K232" s="248" t="s">
        <v>1250</v>
      </c>
      <c r="L232" s="247" t="s">
        <v>1125</v>
      </c>
      <c r="M232" s="308">
        <v>6.5750000000000002</v>
      </c>
      <c r="N232" s="308">
        <v>0.375</v>
      </c>
      <c r="O232" s="308">
        <v>6.2</v>
      </c>
      <c r="P232" s="308">
        <v>0</v>
      </c>
      <c r="Q232" s="308">
        <v>0</v>
      </c>
      <c r="R232" s="247">
        <v>9</v>
      </c>
      <c r="S232" s="247">
        <v>0</v>
      </c>
      <c r="T232" s="247">
        <v>0</v>
      </c>
      <c r="U232" s="247">
        <v>0</v>
      </c>
      <c r="W232" s="284">
        <v>6.5750000000000002</v>
      </c>
      <c r="X232" s="284">
        <v>0.375</v>
      </c>
      <c r="Y232" s="284">
        <v>6.2</v>
      </c>
      <c r="Z232" s="284">
        <v>0</v>
      </c>
      <c r="AA232" s="284">
        <v>0</v>
      </c>
      <c r="AB232" s="284">
        <v>9</v>
      </c>
      <c r="AC232" s="284">
        <v>0</v>
      </c>
      <c r="AE232" s="285">
        <v>3879694.7805109913</v>
      </c>
      <c r="AF232" s="286">
        <v>0</v>
      </c>
      <c r="AG232" s="287">
        <v>508115.05466698378</v>
      </c>
      <c r="AH232" s="288">
        <v>278776.51867829642</v>
      </c>
      <c r="AI232" s="289">
        <v>4666586.3538562711</v>
      </c>
      <c r="AJ232" s="266"/>
      <c r="AK232" s="285">
        <v>789757.99190607481</v>
      </c>
      <c r="AL232" s="286">
        <v>0</v>
      </c>
      <c r="AM232" s="286">
        <v>346097.8125</v>
      </c>
      <c r="AN232" s="290">
        <v>215059.05000000002</v>
      </c>
      <c r="AO232" s="289">
        <v>1350914.8544060749</v>
      </c>
      <c r="AP232" s="291">
        <v>3315671.4994501965</v>
      </c>
    </row>
    <row r="233" spans="1:42" ht="15.75" x14ac:dyDescent="0.25">
      <c r="A233" s="247">
        <v>6907978</v>
      </c>
      <c r="B233" t="s">
        <v>1771</v>
      </c>
      <c r="C233">
        <v>0</v>
      </c>
      <c r="D233" s="247">
        <v>6907978</v>
      </c>
      <c r="E233" s="247" t="s">
        <v>1267</v>
      </c>
      <c r="F233" s="247" t="s">
        <v>1268</v>
      </c>
      <c r="G233" s="247" t="s">
        <v>1266</v>
      </c>
      <c r="H233" s="247">
        <v>6907978</v>
      </c>
      <c r="I233" s="247" t="s">
        <v>1073</v>
      </c>
      <c r="J233" s="247">
        <v>2020</v>
      </c>
      <c r="K233" s="248" t="s">
        <v>1250</v>
      </c>
      <c r="L233" s="247" t="s">
        <v>1057</v>
      </c>
      <c r="M233" s="308">
        <v>2.1</v>
      </c>
      <c r="N233" s="308">
        <v>0.1</v>
      </c>
      <c r="O233" s="308">
        <v>2</v>
      </c>
      <c r="P233" s="308">
        <v>0</v>
      </c>
      <c r="Q233" s="308">
        <v>0</v>
      </c>
      <c r="R233" s="247">
        <v>1</v>
      </c>
      <c r="S233" s="247">
        <v>0</v>
      </c>
      <c r="T233" s="247">
        <v>0</v>
      </c>
      <c r="U233" s="247">
        <v>0</v>
      </c>
      <c r="W233" s="284">
        <v>2.1</v>
      </c>
      <c r="X233" s="284">
        <v>0.1</v>
      </c>
      <c r="Y233" s="284">
        <v>2</v>
      </c>
      <c r="Z233" s="284">
        <v>0</v>
      </c>
      <c r="AA233" s="284">
        <v>0</v>
      </c>
      <c r="AB233" s="284">
        <v>1</v>
      </c>
      <c r="AC233" s="284">
        <v>0</v>
      </c>
      <c r="AE233" s="285">
        <v>1239142.0591746131</v>
      </c>
      <c r="AF233" s="286">
        <v>0</v>
      </c>
      <c r="AG233" s="287">
        <v>56457.22829633153</v>
      </c>
      <c r="AH233" s="288">
        <v>30975.168742032936</v>
      </c>
      <c r="AI233" s="289">
        <v>1326574.4562129776</v>
      </c>
      <c r="AJ233" s="266"/>
      <c r="AK233" s="285">
        <v>254760.6425503467</v>
      </c>
      <c r="AL233" s="286">
        <v>0</v>
      </c>
      <c r="AM233" s="286">
        <v>38455.3125</v>
      </c>
      <c r="AN233" s="290">
        <v>23895.45</v>
      </c>
      <c r="AO233" s="289">
        <v>317111.40505034669</v>
      </c>
      <c r="AP233" s="291">
        <v>1009463.051162631</v>
      </c>
    </row>
    <row r="234" spans="1:42" ht="15.75" x14ac:dyDescent="0.25">
      <c r="A234" s="247">
        <v>2015983</v>
      </c>
      <c r="B234" t="s">
        <v>1771</v>
      </c>
      <c r="C234" t="s">
        <v>1779</v>
      </c>
      <c r="D234" s="247">
        <v>2015983</v>
      </c>
      <c r="E234" s="247" t="s">
        <v>977</v>
      </c>
      <c r="F234" s="247" t="s">
        <v>977</v>
      </c>
      <c r="G234" s="247" t="s">
        <v>1272</v>
      </c>
      <c r="H234" s="247">
        <v>2015983</v>
      </c>
      <c r="I234" s="247" t="s">
        <v>1199</v>
      </c>
      <c r="J234" s="247">
        <v>2020</v>
      </c>
      <c r="K234" s="248" t="s">
        <v>1273</v>
      </c>
      <c r="L234" s="247" t="s">
        <v>1156</v>
      </c>
      <c r="M234" s="308">
        <v>2</v>
      </c>
      <c r="N234" s="308">
        <v>0</v>
      </c>
      <c r="O234" s="308">
        <v>2</v>
      </c>
      <c r="P234" s="308">
        <v>0</v>
      </c>
      <c r="Q234" s="308">
        <v>0</v>
      </c>
      <c r="R234" s="247">
        <v>0</v>
      </c>
      <c r="S234" s="247">
        <v>0</v>
      </c>
      <c r="T234" s="247">
        <v>12</v>
      </c>
      <c r="U234" s="247">
        <v>0</v>
      </c>
      <c r="W234" s="284">
        <v>2</v>
      </c>
      <c r="X234" s="284">
        <v>0</v>
      </c>
      <c r="Y234" s="284">
        <v>2</v>
      </c>
      <c r="Z234" s="284">
        <v>0</v>
      </c>
      <c r="AA234" s="284">
        <v>0</v>
      </c>
      <c r="AB234" s="284">
        <v>0</v>
      </c>
      <c r="AC234" s="284">
        <v>12</v>
      </c>
      <c r="AE234" s="285">
        <v>1194644.195527405</v>
      </c>
      <c r="AF234" s="286">
        <v>0</v>
      </c>
      <c r="AG234" s="287">
        <v>229589.28673785139</v>
      </c>
      <c r="AH234" s="288">
        <v>6581.3017955130781</v>
      </c>
      <c r="AI234" s="289">
        <v>1430814.7840607695</v>
      </c>
      <c r="AJ234" s="266"/>
      <c r="AK234" s="285">
        <v>227202</v>
      </c>
      <c r="AL234" s="286">
        <v>0</v>
      </c>
      <c r="AM234" s="286">
        <v>0</v>
      </c>
      <c r="AN234" s="290">
        <v>0</v>
      </c>
      <c r="AO234" s="289">
        <v>227202</v>
      </c>
      <c r="AP234" s="291">
        <v>1203612.7840607695</v>
      </c>
    </row>
    <row r="235" spans="1:42" ht="15.75" x14ac:dyDescent="0.25">
      <c r="A235" s="256">
        <v>2506443</v>
      </c>
      <c r="B235" t="s">
        <v>1771</v>
      </c>
      <c r="C235" t="s">
        <v>1789</v>
      </c>
      <c r="D235" s="256">
        <v>2506443</v>
      </c>
      <c r="E235" s="256" t="s">
        <v>287</v>
      </c>
      <c r="F235" s="256" t="s">
        <v>682</v>
      </c>
      <c r="G235" s="256" t="s">
        <v>1274</v>
      </c>
      <c r="H235" s="256">
        <v>2506443</v>
      </c>
      <c r="I235" s="247" t="s">
        <v>1138</v>
      </c>
      <c r="J235" s="247">
        <v>2020</v>
      </c>
      <c r="K235" s="248" t="s">
        <v>1273</v>
      </c>
      <c r="L235" s="247" t="s">
        <v>1156</v>
      </c>
      <c r="M235" s="256">
        <v>2.41</v>
      </c>
      <c r="N235" s="256">
        <v>0.35</v>
      </c>
      <c r="O235" s="256">
        <v>2</v>
      </c>
      <c r="P235" s="256">
        <v>0.06</v>
      </c>
      <c r="Q235" s="256">
        <v>0</v>
      </c>
      <c r="R235" s="256">
        <v>0</v>
      </c>
      <c r="S235" s="256">
        <v>0</v>
      </c>
      <c r="T235" s="256">
        <v>15</v>
      </c>
      <c r="U235" s="256">
        <v>0</v>
      </c>
      <c r="W235" s="284">
        <v>2.41</v>
      </c>
      <c r="X235" s="284">
        <v>0.35</v>
      </c>
      <c r="Y235" s="284">
        <v>2</v>
      </c>
      <c r="Z235" s="284">
        <v>0.06</v>
      </c>
      <c r="AA235" s="284">
        <v>0</v>
      </c>
      <c r="AB235" s="284">
        <v>0</v>
      </c>
      <c r="AC235" s="284">
        <v>15</v>
      </c>
      <c r="AE235" s="285">
        <v>1439546.255610523</v>
      </c>
      <c r="AF235" s="286">
        <v>0</v>
      </c>
      <c r="AG235" s="287">
        <v>286986.60842231422</v>
      </c>
      <c r="AH235" s="288">
        <v>8226.6272443913476</v>
      </c>
      <c r="AI235" s="289">
        <v>1734759.4912772286</v>
      </c>
      <c r="AJ235" s="266"/>
      <c r="AK235" s="285">
        <v>234018.06</v>
      </c>
      <c r="AL235" s="286">
        <v>0</v>
      </c>
      <c r="AM235" s="286">
        <v>0</v>
      </c>
      <c r="AN235" s="290">
        <v>0</v>
      </c>
      <c r="AO235" s="289">
        <v>234018.06</v>
      </c>
      <c r="AP235" s="291">
        <v>1500741.4312772285</v>
      </c>
    </row>
    <row r="236" spans="1:42" ht="15.75" x14ac:dyDescent="0.25">
      <c r="A236" s="247">
        <v>2813433</v>
      </c>
      <c r="B236" t="s">
        <v>1771</v>
      </c>
      <c r="C236" t="s">
        <v>1802</v>
      </c>
      <c r="D236" s="247">
        <v>2813433</v>
      </c>
      <c r="E236" s="247" t="s">
        <v>668</v>
      </c>
      <c r="F236" s="247" t="s">
        <v>666</v>
      </c>
      <c r="G236" s="247" t="s">
        <v>1275</v>
      </c>
      <c r="H236" s="247">
        <v>2813433</v>
      </c>
      <c r="I236" s="247" t="s">
        <v>1073</v>
      </c>
      <c r="J236" s="247">
        <v>2020</v>
      </c>
      <c r="K236" s="248" t="s">
        <v>1273</v>
      </c>
      <c r="L236" s="247" t="s">
        <v>1125</v>
      </c>
      <c r="M236" s="308">
        <v>2.7</v>
      </c>
      <c r="N236" s="308">
        <v>1</v>
      </c>
      <c r="O236" s="308">
        <v>1.7</v>
      </c>
      <c r="P236" s="308">
        <v>0</v>
      </c>
      <c r="Q236" s="308">
        <v>0</v>
      </c>
      <c r="R236" s="247">
        <v>0</v>
      </c>
      <c r="S236" s="247">
        <v>0</v>
      </c>
      <c r="T236" s="247">
        <v>10</v>
      </c>
      <c r="U236" s="247">
        <v>0</v>
      </c>
      <c r="W236" s="284">
        <v>2.7</v>
      </c>
      <c r="X236" s="284">
        <v>1</v>
      </c>
      <c r="Y236" s="284">
        <v>1.7</v>
      </c>
      <c r="Z236" s="284">
        <v>0</v>
      </c>
      <c r="AA236" s="284">
        <v>0</v>
      </c>
      <c r="AB236" s="284">
        <v>0</v>
      </c>
      <c r="AC236" s="284">
        <v>10</v>
      </c>
      <c r="AE236" s="285">
        <v>1612769.6639619968</v>
      </c>
      <c r="AF236" s="286">
        <v>0</v>
      </c>
      <c r="AG236" s="287">
        <v>191324.40561487616</v>
      </c>
      <c r="AH236" s="288">
        <v>5484.4181629275645</v>
      </c>
      <c r="AI236" s="289">
        <v>1809578.4877398005</v>
      </c>
      <c r="AJ236" s="266"/>
      <c r="AK236" s="285">
        <v>193121.69999999998</v>
      </c>
      <c r="AL236" s="286">
        <v>0</v>
      </c>
      <c r="AM236" s="286">
        <v>0</v>
      </c>
      <c r="AN236" s="290">
        <v>0</v>
      </c>
      <c r="AO236" s="289">
        <v>193121.69999999998</v>
      </c>
      <c r="AP236" s="291">
        <v>1616456.7877398005</v>
      </c>
    </row>
    <row r="237" spans="1:42" ht="15.75" x14ac:dyDescent="0.25">
      <c r="A237" s="247">
        <v>4531517</v>
      </c>
      <c r="B237" t="s">
        <v>1771</v>
      </c>
      <c r="C237" t="s">
        <v>1782</v>
      </c>
      <c r="D237" s="247">
        <v>4531517</v>
      </c>
      <c r="E237" s="247" t="s">
        <v>623</v>
      </c>
      <c r="F237" s="247" t="s">
        <v>618</v>
      </c>
      <c r="G237" s="247" t="s">
        <v>1276</v>
      </c>
      <c r="H237" s="247">
        <v>4531517</v>
      </c>
      <c r="I237" s="247" t="s">
        <v>1151</v>
      </c>
      <c r="J237" s="247">
        <v>2020</v>
      </c>
      <c r="K237" s="248" t="s">
        <v>1273</v>
      </c>
      <c r="L237" s="247" t="s">
        <v>1156</v>
      </c>
      <c r="M237" s="308">
        <v>1.3</v>
      </c>
      <c r="N237" s="308">
        <v>0.3</v>
      </c>
      <c r="O237" s="308">
        <v>1</v>
      </c>
      <c r="P237" s="308">
        <v>0</v>
      </c>
      <c r="Q237" s="308">
        <v>0</v>
      </c>
      <c r="R237" s="247">
        <v>0</v>
      </c>
      <c r="S237" s="247">
        <v>0</v>
      </c>
      <c r="T237" s="247">
        <v>9</v>
      </c>
      <c r="U237" s="247">
        <v>0</v>
      </c>
      <c r="W237" s="284">
        <v>1.3</v>
      </c>
      <c r="X237" s="284">
        <v>0.3</v>
      </c>
      <c r="Y237" s="284">
        <v>1</v>
      </c>
      <c r="Z237" s="284">
        <v>0</v>
      </c>
      <c r="AA237" s="284">
        <v>0</v>
      </c>
      <c r="AB237" s="284">
        <v>0</v>
      </c>
      <c r="AC237" s="284">
        <v>9</v>
      </c>
      <c r="AE237" s="285">
        <v>776518.72709281323</v>
      </c>
      <c r="AF237" s="286">
        <v>0</v>
      </c>
      <c r="AG237" s="287">
        <v>172191.96505338856</v>
      </c>
      <c r="AH237" s="288">
        <v>4935.9763466348086</v>
      </c>
      <c r="AI237" s="289">
        <v>953646.66849283664</v>
      </c>
      <c r="AJ237" s="266"/>
      <c r="AK237" s="285">
        <v>113601</v>
      </c>
      <c r="AL237" s="286">
        <v>0</v>
      </c>
      <c r="AM237" s="286">
        <v>0</v>
      </c>
      <c r="AN237" s="290">
        <v>0</v>
      </c>
      <c r="AO237" s="289">
        <v>113601</v>
      </c>
      <c r="AP237" s="291">
        <v>840045.66849283664</v>
      </c>
    </row>
    <row r="238" spans="1:42" ht="15.75" x14ac:dyDescent="0.25">
      <c r="A238" s="247">
        <v>4547815</v>
      </c>
      <c r="B238" t="s">
        <v>1771</v>
      </c>
      <c r="C238" t="s">
        <v>1790</v>
      </c>
      <c r="D238" s="247">
        <v>4547815</v>
      </c>
      <c r="E238" s="247" t="s">
        <v>1279</v>
      </c>
      <c r="F238" s="247" t="s">
        <v>531</v>
      </c>
      <c r="G238" s="247" t="s">
        <v>1278</v>
      </c>
      <c r="H238" s="247">
        <v>4547815</v>
      </c>
      <c r="I238" s="247" t="s">
        <v>1223</v>
      </c>
      <c r="J238" s="247">
        <v>2020</v>
      </c>
      <c r="K238" s="248" t="s">
        <v>1273</v>
      </c>
      <c r="L238" s="247" t="s">
        <v>1156</v>
      </c>
      <c r="M238" s="308">
        <v>2.0499999999999998</v>
      </c>
      <c r="N238" s="308">
        <v>0.35</v>
      </c>
      <c r="O238" s="308">
        <v>1.7</v>
      </c>
      <c r="P238" s="308">
        <v>0</v>
      </c>
      <c r="Q238" s="308">
        <v>0</v>
      </c>
      <c r="R238" s="247">
        <v>0</v>
      </c>
      <c r="S238" s="247">
        <v>0</v>
      </c>
      <c r="T238" s="247">
        <v>14</v>
      </c>
      <c r="U238" s="247">
        <v>0</v>
      </c>
      <c r="W238" s="284">
        <v>2.0499999999999998</v>
      </c>
      <c r="X238" s="284">
        <v>0.35</v>
      </c>
      <c r="Y238" s="284">
        <v>1.7</v>
      </c>
      <c r="Z238" s="284">
        <v>0</v>
      </c>
      <c r="AA238" s="284">
        <v>0</v>
      </c>
      <c r="AB238" s="284">
        <v>0</v>
      </c>
      <c r="AC238" s="284">
        <v>14</v>
      </c>
      <c r="AE238" s="285">
        <v>1224510.3004155899</v>
      </c>
      <c r="AF238" s="286">
        <v>0</v>
      </c>
      <c r="AG238" s="287">
        <v>267854.16786082659</v>
      </c>
      <c r="AH238" s="288">
        <v>7678.1854280985908</v>
      </c>
      <c r="AI238" s="289">
        <v>1500042.653704515</v>
      </c>
      <c r="AJ238" s="266"/>
      <c r="AK238" s="285">
        <v>193121.69999999998</v>
      </c>
      <c r="AL238" s="286">
        <v>0</v>
      </c>
      <c r="AM238" s="286">
        <v>0</v>
      </c>
      <c r="AN238" s="290">
        <v>0</v>
      </c>
      <c r="AO238" s="289">
        <v>193121.69999999998</v>
      </c>
      <c r="AP238" s="291">
        <v>1306920.953704515</v>
      </c>
    </row>
    <row r="239" spans="1:42" ht="15.75" x14ac:dyDescent="0.25">
      <c r="A239" s="247">
        <v>5173305</v>
      </c>
      <c r="B239" t="s">
        <v>1771</v>
      </c>
      <c r="C239" t="s">
        <v>1799</v>
      </c>
      <c r="D239" s="247">
        <v>5173305</v>
      </c>
      <c r="E239" s="247" t="s">
        <v>974</v>
      </c>
      <c r="F239" s="247" t="s">
        <v>974</v>
      </c>
      <c r="G239" s="247" t="s">
        <v>1290</v>
      </c>
      <c r="H239" s="247">
        <v>5173305</v>
      </c>
      <c r="I239" s="247" t="s">
        <v>1073</v>
      </c>
      <c r="J239" s="247">
        <v>2020</v>
      </c>
      <c r="K239" s="248" t="s">
        <v>1282</v>
      </c>
      <c r="L239" s="247" t="s">
        <v>1125</v>
      </c>
      <c r="M239" s="308">
        <v>13.5</v>
      </c>
      <c r="N239" s="308">
        <v>1.75</v>
      </c>
      <c r="O239" s="308">
        <v>10</v>
      </c>
      <c r="P239" s="308">
        <v>0.5</v>
      </c>
      <c r="Q239" s="308">
        <v>1.25</v>
      </c>
      <c r="R239" s="247">
        <v>0</v>
      </c>
      <c r="S239" s="247">
        <v>0</v>
      </c>
      <c r="T239" s="247">
        <v>65</v>
      </c>
      <c r="U239" s="247">
        <v>0</v>
      </c>
      <c r="W239" s="284">
        <v>13.5</v>
      </c>
      <c r="X239" s="284">
        <v>1.75</v>
      </c>
      <c r="Y239" s="284">
        <v>10</v>
      </c>
      <c r="Z239" s="284">
        <v>0.5</v>
      </c>
      <c r="AA239" s="284">
        <v>1.25</v>
      </c>
      <c r="AB239" s="284">
        <v>0</v>
      </c>
      <c r="AC239" s="284">
        <v>65</v>
      </c>
      <c r="AE239" s="285">
        <v>10040994.000143932</v>
      </c>
      <c r="AF239" s="286">
        <v>0</v>
      </c>
      <c r="AG239" s="287">
        <v>1813906.4831100926</v>
      </c>
      <c r="AH239" s="288">
        <v>356001.81837600365</v>
      </c>
      <c r="AI239" s="289">
        <v>12210902.301630028</v>
      </c>
      <c r="AJ239" s="266"/>
      <c r="AK239" s="285">
        <v>1584998.2026143789</v>
      </c>
      <c r="AL239" s="286">
        <v>0</v>
      </c>
      <c r="AM239" s="286">
        <v>0</v>
      </c>
      <c r="AN239" s="290">
        <v>354400</v>
      </c>
      <c r="AO239" s="289">
        <v>1939398.2026143789</v>
      </c>
      <c r="AP239" s="291">
        <v>10271504.099015649</v>
      </c>
    </row>
    <row r="240" spans="1:42" ht="15.75" x14ac:dyDescent="0.25">
      <c r="A240" s="247">
        <v>5599785</v>
      </c>
      <c r="B240" t="s">
        <v>1771</v>
      </c>
      <c r="C240" t="s">
        <v>1796</v>
      </c>
      <c r="D240" s="247">
        <v>5599785</v>
      </c>
      <c r="E240" s="247" t="s">
        <v>1293</v>
      </c>
      <c r="F240" s="247" t="s">
        <v>1213</v>
      </c>
      <c r="G240" s="247" t="s">
        <v>1284</v>
      </c>
      <c r="H240" s="247">
        <v>5599785</v>
      </c>
      <c r="I240" s="247" t="s">
        <v>1063</v>
      </c>
      <c r="J240" s="247">
        <v>2020</v>
      </c>
      <c r="K240" s="248" t="s">
        <v>1282</v>
      </c>
      <c r="L240" s="247" t="s">
        <v>1156</v>
      </c>
      <c r="M240" s="308">
        <v>2.61</v>
      </c>
      <c r="N240" s="308">
        <v>0.11</v>
      </c>
      <c r="O240" s="308">
        <v>2.5</v>
      </c>
      <c r="P240" s="308">
        <v>0</v>
      </c>
      <c r="Q240" s="308">
        <v>0</v>
      </c>
      <c r="R240" s="247">
        <v>0</v>
      </c>
      <c r="S240" s="247">
        <v>0</v>
      </c>
      <c r="T240" s="247">
        <v>20</v>
      </c>
      <c r="U240" s="247">
        <v>0</v>
      </c>
      <c r="W240" s="284">
        <v>2.61</v>
      </c>
      <c r="X240" s="284">
        <v>0.11</v>
      </c>
      <c r="Y240" s="284">
        <v>2.5</v>
      </c>
      <c r="Z240" s="284">
        <v>0</v>
      </c>
      <c r="AA240" s="284">
        <v>0</v>
      </c>
      <c r="AB240" s="284">
        <v>0</v>
      </c>
      <c r="AC240" s="284">
        <v>20</v>
      </c>
      <c r="AE240" s="285">
        <v>1941258.8400278268</v>
      </c>
      <c r="AF240" s="286">
        <v>0</v>
      </c>
      <c r="AG240" s="287">
        <v>558125.07172618236</v>
      </c>
      <c r="AH240" s="288">
        <v>109539.02103877036</v>
      </c>
      <c r="AI240" s="289">
        <v>2608922.9327927795</v>
      </c>
      <c r="AJ240" s="266"/>
      <c r="AK240" s="285">
        <v>337233.66013071896</v>
      </c>
      <c r="AL240" s="286">
        <v>0</v>
      </c>
      <c r="AM240" s="286">
        <v>0</v>
      </c>
      <c r="AN240" s="290">
        <v>109046.15384615384</v>
      </c>
      <c r="AO240" s="289">
        <v>446279.81397687283</v>
      </c>
      <c r="AP240" s="291">
        <v>2162643.1188159068</v>
      </c>
    </row>
    <row r="241" spans="1:42" ht="15.75" x14ac:dyDescent="0.25">
      <c r="A241" s="247">
        <v>9459250</v>
      </c>
      <c r="B241" t="s">
        <v>1771</v>
      </c>
      <c r="C241" t="s">
        <v>1781</v>
      </c>
      <c r="D241" s="247">
        <v>9459250</v>
      </c>
      <c r="E241" s="247" t="s">
        <v>1304</v>
      </c>
      <c r="F241" s="247" t="s">
        <v>947</v>
      </c>
      <c r="G241" s="247" t="s">
        <v>1303</v>
      </c>
      <c r="H241" s="247">
        <v>9459250</v>
      </c>
      <c r="I241" s="247" t="s">
        <v>1068</v>
      </c>
      <c r="J241" s="247">
        <v>2020</v>
      </c>
      <c r="K241" s="248" t="s">
        <v>1282</v>
      </c>
      <c r="L241" s="247" t="s">
        <v>1156</v>
      </c>
      <c r="M241" s="308">
        <v>4.22</v>
      </c>
      <c r="N241" s="308">
        <v>0.11</v>
      </c>
      <c r="O241" s="308">
        <v>4.1100000000000003</v>
      </c>
      <c r="P241" s="308">
        <v>0</v>
      </c>
      <c r="Q241" s="308">
        <v>0</v>
      </c>
      <c r="R241" s="247">
        <v>0</v>
      </c>
      <c r="S241" s="247">
        <v>0</v>
      </c>
      <c r="T241" s="247">
        <v>20</v>
      </c>
      <c r="U241" s="247">
        <v>0</v>
      </c>
      <c r="W241" s="284">
        <v>4.22</v>
      </c>
      <c r="X241" s="284">
        <v>0.11</v>
      </c>
      <c r="Y241" s="284">
        <v>4.1100000000000003</v>
      </c>
      <c r="Z241" s="284">
        <v>0</v>
      </c>
      <c r="AA241" s="284">
        <v>0</v>
      </c>
      <c r="AB241" s="284">
        <v>0</v>
      </c>
      <c r="AC241" s="284">
        <v>20</v>
      </c>
      <c r="AE241" s="285">
        <v>3138740.3467116589</v>
      </c>
      <c r="AF241" s="286">
        <v>0</v>
      </c>
      <c r="AG241" s="287">
        <v>558125.07172618236</v>
      </c>
      <c r="AH241" s="288">
        <v>109539.02103877036</v>
      </c>
      <c r="AI241" s="289">
        <v>3806404.4394766116</v>
      </c>
      <c r="AJ241" s="266"/>
      <c r="AK241" s="285">
        <v>554412.13725490193</v>
      </c>
      <c r="AL241" s="286">
        <v>0</v>
      </c>
      <c r="AM241" s="286">
        <v>0</v>
      </c>
      <c r="AN241" s="290">
        <v>109046.15384615384</v>
      </c>
      <c r="AO241" s="289">
        <v>663458.2911010558</v>
      </c>
      <c r="AP241" s="291">
        <v>3142946.1483755559</v>
      </c>
    </row>
    <row r="242" spans="1:42" ht="15.75" x14ac:dyDescent="0.25">
      <c r="A242" s="247">
        <v>5312119</v>
      </c>
      <c r="B242" t="s">
        <v>1771</v>
      </c>
      <c r="C242">
        <v>0</v>
      </c>
      <c r="D242" s="247">
        <v>5312119</v>
      </c>
      <c r="E242" s="247" t="s">
        <v>1309</v>
      </c>
      <c r="F242" s="247" t="s">
        <v>1268</v>
      </c>
      <c r="G242" s="247" t="s">
        <v>1308</v>
      </c>
      <c r="H242" s="247">
        <v>5312119</v>
      </c>
      <c r="I242" s="247" t="s">
        <v>1073</v>
      </c>
      <c r="J242" s="247">
        <v>2020</v>
      </c>
      <c r="K242" s="260" t="s">
        <v>1307</v>
      </c>
      <c r="L242" s="247" t="s">
        <v>1057</v>
      </c>
      <c r="M242" s="308">
        <v>2.9</v>
      </c>
      <c r="N242" s="308">
        <v>0.2</v>
      </c>
      <c r="O242" s="308">
        <v>1.2</v>
      </c>
      <c r="P242" s="308">
        <v>1.5</v>
      </c>
      <c r="Q242" s="308">
        <v>0</v>
      </c>
      <c r="R242" s="247">
        <v>5</v>
      </c>
      <c r="S242" s="247">
        <v>0</v>
      </c>
      <c r="T242" s="247">
        <v>0</v>
      </c>
      <c r="U242" s="247">
        <v>0</v>
      </c>
      <c r="W242" s="284">
        <v>2.9</v>
      </c>
      <c r="X242" s="284">
        <v>0.2</v>
      </c>
      <c r="Y242" s="284">
        <v>1.2</v>
      </c>
      <c r="Z242" s="284">
        <v>1.5</v>
      </c>
      <c r="AA242" s="284">
        <v>0</v>
      </c>
      <c r="AB242" s="284">
        <v>5</v>
      </c>
      <c r="AC242" s="284">
        <v>0</v>
      </c>
      <c r="AE242" s="285">
        <v>1752558.776250185</v>
      </c>
      <c r="AF242" s="286">
        <v>1127591.4230291331</v>
      </c>
      <c r="AG242" s="287">
        <v>419446.71134752349</v>
      </c>
      <c r="AH242" s="288">
        <v>178890.33714291127</v>
      </c>
      <c r="AI242" s="289">
        <v>3478487.247769753</v>
      </c>
      <c r="AJ242" s="266"/>
      <c r="AK242" s="285">
        <v>327214.44444444444</v>
      </c>
      <c r="AL242" s="286">
        <v>0</v>
      </c>
      <c r="AM242" s="286">
        <v>153900</v>
      </c>
      <c r="AN242" s="290">
        <v>129588.88888888889</v>
      </c>
      <c r="AO242" s="289">
        <v>610703.33333333337</v>
      </c>
      <c r="AP242" s="291">
        <v>2867783.9144364195</v>
      </c>
    </row>
    <row r="243" spans="1:42" ht="15.75" x14ac:dyDescent="0.25">
      <c r="A243" s="247">
        <v>1109434</v>
      </c>
      <c r="B243" t="s">
        <v>1771</v>
      </c>
      <c r="C243" t="s">
        <v>1788</v>
      </c>
      <c r="D243" s="247">
        <v>1109434</v>
      </c>
      <c r="E243" s="247" t="s">
        <v>390</v>
      </c>
      <c r="F243" s="247" t="s">
        <v>1003</v>
      </c>
      <c r="G243" s="247" t="s">
        <v>1315</v>
      </c>
      <c r="H243" s="247">
        <v>1109434</v>
      </c>
      <c r="I243" s="247" t="s">
        <v>1144</v>
      </c>
      <c r="J243" s="247">
        <v>2020</v>
      </c>
      <c r="K243" s="248" t="s">
        <v>1316</v>
      </c>
      <c r="L243" s="247" t="s">
        <v>1125</v>
      </c>
      <c r="M243" s="308">
        <v>29</v>
      </c>
      <c r="N243" s="308">
        <v>2</v>
      </c>
      <c r="O243" s="308">
        <v>19</v>
      </c>
      <c r="P243" s="308">
        <v>8</v>
      </c>
      <c r="Q243" s="308">
        <v>0</v>
      </c>
      <c r="R243" s="247">
        <v>65</v>
      </c>
      <c r="S243" s="247">
        <v>0</v>
      </c>
      <c r="T243" s="247">
        <v>0</v>
      </c>
      <c r="U243" s="247">
        <v>0</v>
      </c>
      <c r="W243" s="284">
        <v>29</v>
      </c>
      <c r="X243" s="284">
        <v>2</v>
      </c>
      <c r="Y243" s="284">
        <v>19</v>
      </c>
      <c r="Z243" s="284">
        <v>8</v>
      </c>
      <c r="AA243" s="284">
        <v>0</v>
      </c>
      <c r="AB243" s="284">
        <v>65</v>
      </c>
      <c r="AC243" s="284">
        <v>0</v>
      </c>
      <c r="AE243" s="285">
        <v>14312368.719438996</v>
      </c>
      <c r="AF243" s="286">
        <v>6784724.6991913132</v>
      </c>
      <c r="AG243" s="287">
        <v>6585338.4603066323</v>
      </c>
      <c r="AH243" s="288">
        <v>4616308.9186436459</v>
      </c>
      <c r="AI243" s="289">
        <v>32298740.797580589</v>
      </c>
      <c r="AJ243" s="266"/>
      <c r="AK243" s="285">
        <v>7297581.5351311229</v>
      </c>
      <c r="AL243" s="286">
        <v>1900916.4694041868</v>
      </c>
      <c r="AM243" s="286">
        <v>5000045.3506698189</v>
      </c>
      <c r="AN243" s="290">
        <v>3307009.0923713236</v>
      </c>
      <c r="AO243" s="289">
        <v>17505552.447576452</v>
      </c>
      <c r="AP243" s="291">
        <v>14793188.350004137</v>
      </c>
    </row>
    <row r="244" spans="1:42" ht="15.75" x14ac:dyDescent="0.25">
      <c r="A244" s="247">
        <v>1817339</v>
      </c>
      <c r="B244" t="s">
        <v>1771</v>
      </c>
      <c r="C244" t="s">
        <v>1787</v>
      </c>
      <c r="D244" s="247">
        <v>1817339</v>
      </c>
      <c r="E244" s="247" t="s">
        <v>1259</v>
      </c>
      <c r="F244" s="247" t="s">
        <v>678</v>
      </c>
      <c r="G244" s="247" t="s">
        <v>1318</v>
      </c>
      <c r="H244" s="247">
        <v>1817339</v>
      </c>
      <c r="I244" s="247" t="s">
        <v>1061</v>
      </c>
      <c r="J244" s="247">
        <v>2020</v>
      </c>
      <c r="K244" s="248" t="s">
        <v>1316</v>
      </c>
      <c r="L244" s="247" t="s">
        <v>1125</v>
      </c>
      <c r="M244" s="308">
        <v>17.100000000000001</v>
      </c>
      <c r="N244" s="308">
        <v>0.9</v>
      </c>
      <c r="O244" s="308">
        <v>9.9</v>
      </c>
      <c r="P244" s="308">
        <v>6.3</v>
      </c>
      <c r="Q244" s="308">
        <v>0</v>
      </c>
      <c r="R244" s="247">
        <v>58</v>
      </c>
      <c r="S244" s="247">
        <v>0</v>
      </c>
      <c r="T244" s="247">
        <v>0</v>
      </c>
      <c r="U244" s="247">
        <v>0</v>
      </c>
      <c r="W244" s="284">
        <v>17.100000000000001</v>
      </c>
      <c r="X244" s="284">
        <v>0.9</v>
      </c>
      <c r="Y244" s="284">
        <v>9.9</v>
      </c>
      <c r="Z244" s="284">
        <v>6.3</v>
      </c>
      <c r="AA244" s="284">
        <v>0</v>
      </c>
      <c r="AB244" s="284">
        <v>58</v>
      </c>
      <c r="AC244" s="284">
        <v>0</v>
      </c>
      <c r="AE244" s="285">
        <v>7360646.7699971981</v>
      </c>
      <c r="AF244" s="286">
        <v>5342970.7006131588</v>
      </c>
      <c r="AG244" s="287">
        <v>5876148.1645813026</v>
      </c>
      <c r="AH244" s="288">
        <v>4119167.9581743302</v>
      </c>
      <c r="AI244" s="289">
        <v>22698933.59336599</v>
      </c>
      <c r="AJ244" s="266"/>
      <c r="AK244" s="285">
        <v>6511688.139040079</v>
      </c>
      <c r="AL244" s="286">
        <v>1696202.3880837359</v>
      </c>
      <c r="AM244" s="286">
        <v>4461578.9282899918</v>
      </c>
      <c r="AN244" s="290">
        <v>2950869.651654412</v>
      </c>
      <c r="AO244" s="289">
        <v>15620339.107068218</v>
      </c>
      <c r="AP244" s="291">
        <v>7078594.4862977713</v>
      </c>
    </row>
    <row r="245" spans="1:42" ht="15.75" x14ac:dyDescent="0.25">
      <c r="A245" s="247">
        <v>2125600</v>
      </c>
      <c r="B245" t="s">
        <v>1771</v>
      </c>
      <c r="C245" t="s">
        <v>1800</v>
      </c>
      <c r="D245" s="247">
        <v>2125600</v>
      </c>
      <c r="E245" s="247" t="s">
        <v>459</v>
      </c>
      <c r="F245" s="247" t="s">
        <v>459</v>
      </c>
      <c r="G245" s="247" t="s">
        <v>1320</v>
      </c>
      <c r="H245" s="247">
        <v>2125600</v>
      </c>
      <c r="I245" s="247" t="s">
        <v>1058</v>
      </c>
      <c r="J245" s="247">
        <v>2020</v>
      </c>
      <c r="K245" s="248" t="s">
        <v>1316</v>
      </c>
      <c r="L245" s="247" t="s">
        <v>1125</v>
      </c>
      <c r="M245" s="308">
        <v>27.5</v>
      </c>
      <c r="N245" s="308">
        <v>2</v>
      </c>
      <c r="O245" s="308">
        <v>18.5</v>
      </c>
      <c r="P245" s="308">
        <v>7</v>
      </c>
      <c r="Q245" s="308">
        <v>0</v>
      </c>
      <c r="R245" s="247">
        <v>54</v>
      </c>
      <c r="S245" s="247">
        <v>0</v>
      </c>
      <c r="T245" s="247">
        <v>0</v>
      </c>
      <c r="U245" s="247">
        <v>0</v>
      </c>
      <c r="W245" s="284">
        <v>27.5</v>
      </c>
      <c r="X245" s="284">
        <v>2</v>
      </c>
      <c r="Y245" s="284">
        <v>18.5</v>
      </c>
      <c r="Z245" s="284">
        <v>7</v>
      </c>
      <c r="AA245" s="284">
        <v>0</v>
      </c>
      <c r="AB245" s="284">
        <v>54</v>
      </c>
      <c r="AC245" s="284">
        <v>0</v>
      </c>
      <c r="AE245" s="285">
        <v>13971598.035642829</v>
      </c>
      <c r="AF245" s="286">
        <v>5936634.1117923986</v>
      </c>
      <c r="AG245" s="287">
        <v>5470896.5670239711</v>
      </c>
      <c r="AH245" s="288">
        <v>3835087.409334721</v>
      </c>
      <c r="AI245" s="289">
        <v>29214216.123793915</v>
      </c>
      <c r="AJ245" s="266"/>
      <c r="AK245" s="285">
        <v>6062606.1984166251</v>
      </c>
      <c r="AL245" s="286">
        <v>1579222.9130434783</v>
      </c>
      <c r="AM245" s="286">
        <v>4153883.8297872338</v>
      </c>
      <c r="AN245" s="290">
        <v>2747361.3998161764</v>
      </c>
      <c r="AO245" s="289">
        <v>14543074.341063512</v>
      </c>
      <c r="AP245" s="291">
        <v>14671141.782730402</v>
      </c>
    </row>
    <row r="246" spans="1:42" ht="15.75" x14ac:dyDescent="0.25">
      <c r="A246" s="247">
        <v>3619533</v>
      </c>
      <c r="B246" t="s">
        <v>1771</v>
      </c>
      <c r="C246" t="s">
        <v>1791</v>
      </c>
      <c r="D246" s="247">
        <v>3619533</v>
      </c>
      <c r="E246" s="247" t="s">
        <v>957</v>
      </c>
      <c r="F246" s="247" t="s">
        <v>955</v>
      </c>
      <c r="G246" s="247" t="s">
        <v>1322</v>
      </c>
      <c r="H246" s="247">
        <v>3619533</v>
      </c>
      <c r="I246" s="247" t="s">
        <v>1131</v>
      </c>
      <c r="J246" s="247">
        <v>2020</v>
      </c>
      <c r="K246" s="260" t="s">
        <v>1316</v>
      </c>
      <c r="L246" s="247" t="s">
        <v>1125</v>
      </c>
      <c r="M246" s="308">
        <v>17.25</v>
      </c>
      <c r="N246" s="308">
        <v>1</v>
      </c>
      <c r="O246" s="308">
        <v>10</v>
      </c>
      <c r="P246" s="308">
        <v>6.25</v>
      </c>
      <c r="Q246" s="308">
        <v>0</v>
      </c>
      <c r="R246" s="247">
        <v>35</v>
      </c>
      <c r="S246" s="247">
        <v>0</v>
      </c>
      <c r="T246" s="247">
        <v>0</v>
      </c>
      <c r="U246" s="247">
        <v>0</v>
      </c>
      <c r="W246" s="284">
        <v>17.25</v>
      </c>
      <c r="X246" s="284">
        <v>1</v>
      </c>
      <c r="Y246" s="284">
        <v>10</v>
      </c>
      <c r="Z246" s="284">
        <v>6.25</v>
      </c>
      <c r="AA246" s="284">
        <v>0</v>
      </c>
      <c r="AB246" s="284">
        <v>35</v>
      </c>
      <c r="AC246" s="284">
        <v>0</v>
      </c>
      <c r="AE246" s="285">
        <v>7496955.0435156645</v>
      </c>
      <c r="AF246" s="286">
        <v>5300566.1712432131</v>
      </c>
      <c r="AG246" s="287">
        <v>3545951.478626648</v>
      </c>
      <c r="AH246" s="288">
        <v>2485704.8023465783</v>
      </c>
      <c r="AI246" s="289">
        <v>18829177.495732103</v>
      </c>
      <c r="AJ246" s="266"/>
      <c r="AK246" s="285">
        <v>3929466.9804552197</v>
      </c>
      <c r="AL246" s="286">
        <v>1023570.4066022544</v>
      </c>
      <c r="AM246" s="286">
        <v>2692332.1118991333</v>
      </c>
      <c r="AN246" s="290">
        <v>1780697.2035845588</v>
      </c>
      <c r="AO246" s="289">
        <v>9426066.7025411669</v>
      </c>
      <c r="AP246" s="291">
        <v>9403110.7931909356</v>
      </c>
    </row>
    <row r="247" spans="1:42" ht="15.75" x14ac:dyDescent="0.25">
      <c r="A247" s="247">
        <v>4381530</v>
      </c>
      <c r="B247" t="s">
        <v>1771</v>
      </c>
      <c r="C247" t="s">
        <v>1781</v>
      </c>
      <c r="D247" s="247">
        <v>4381530</v>
      </c>
      <c r="E247" s="247" t="s">
        <v>390</v>
      </c>
      <c r="F247" s="247" t="s">
        <v>947</v>
      </c>
      <c r="G247" s="247" t="s">
        <v>1323</v>
      </c>
      <c r="H247" s="247">
        <v>4381530</v>
      </c>
      <c r="I247" s="247" t="s">
        <v>1068</v>
      </c>
      <c r="J247" s="247">
        <v>2020</v>
      </c>
      <c r="K247" s="248" t="s">
        <v>1316</v>
      </c>
      <c r="L247" s="247" t="s">
        <v>1125</v>
      </c>
      <c r="M247" s="308">
        <v>35</v>
      </c>
      <c r="N247" s="308">
        <v>3</v>
      </c>
      <c r="O247" s="308">
        <v>23</v>
      </c>
      <c r="P247" s="308">
        <v>9</v>
      </c>
      <c r="Q247" s="308">
        <v>0</v>
      </c>
      <c r="R247" s="247">
        <v>61</v>
      </c>
      <c r="S247" s="247">
        <v>0</v>
      </c>
      <c r="T247" s="247">
        <v>0</v>
      </c>
      <c r="U247" s="247">
        <v>0</v>
      </c>
      <c r="W247" s="284">
        <v>35</v>
      </c>
      <c r="X247" s="284">
        <v>3</v>
      </c>
      <c r="Y247" s="284">
        <v>23</v>
      </c>
      <c r="Z247" s="284">
        <v>9</v>
      </c>
      <c r="AA247" s="284">
        <v>0</v>
      </c>
      <c r="AB247" s="284">
        <v>61</v>
      </c>
      <c r="AC247" s="284">
        <v>0</v>
      </c>
      <c r="AE247" s="285">
        <v>17720075.557400662</v>
      </c>
      <c r="AF247" s="286">
        <v>7632815.2865902279</v>
      </c>
      <c r="AG247" s="287">
        <v>6180086.8627493009</v>
      </c>
      <c r="AH247" s="288">
        <v>4332228.3698040368</v>
      </c>
      <c r="AI247" s="289">
        <v>35865206.076544233</v>
      </c>
      <c r="AJ247" s="266"/>
      <c r="AK247" s="285">
        <v>6848499.5945076691</v>
      </c>
      <c r="AL247" s="286">
        <v>1783936.9943639291</v>
      </c>
      <c r="AM247" s="286">
        <v>4692350.252167061</v>
      </c>
      <c r="AN247" s="290">
        <v>3103500.8405330884</v>
      </c>
      <c r="AO247" s="289">
        <v>16428287.681571748</v>
      </c>
      <c r="AP247" s="291">
        <v>19436918.394972485</v>
      </c>
    </row>
    <row r="248" spans="1:42" ht="15.75" x14ac:dyDescent="0.25">
      <c r="A248" s="247">
        <v>4396482</v>
      </c>
      <c r="B248" t="s">
        <v>1771</v>
      </c>
      <c r="C248" t="s">
        <v>1796</v>
      </c>
      <c r="D248" s="247">
        <v>4396482</v>
      </c>
      <c r="E248" s="247" t="s">
        <v>390</v>
      </c>
      <c r="F248" s="247" t="s">
        <v>1213</v>
      </c>
      <c r="G248" s="247" t="s">
        <v>1324</v>
      </c>
      <c r="H248" s="247">
        <v>4396482</v>
      </c>
      <c r="I248" s="247" t="s">
        <v>1063</v>
      </c>
      <c r="J248" s="247">
        <v>2020</v>
      </c>
      <c r="K248" s="248" t="s">
        <v>1316</v>
      </c>
      <c r="L248" s="247" t="s">
        <v>1125</v>
      </c>
      <c r="M248" s="308">
        <v>15</v>
      </c>
      <c r="N248" s="308">
        <v>1</v>
      </c>
      <c r="O248" s="308">
        <v>8</v>
      </c>
      <c r="P248" s="308">
        <v>6</v>
      </c>
      <c r="Q248" s="308">
        <v>0</v>
      </c>
      <c r="R248" s="247">
        <v>30</v>
      </c>
      <c r="S248" s="247">
        <v>0</v>
      </c>
      <c r="T248" s="247">
        <v>0</v>
      </c>
      <c r="U248" s="247">
        <v>0</v>
      </c>
      <c r="W248" s="284">
        <v>15</v>
      </c>
      <c r="X248" s="284">
        <v>1</v>
      </c>
      <c r="Y248" s="284">
        <v>8</v>
      </c>
      <c r="Z248" s="284">
        <v>6</v>
      </c>
      <c r="AA248" s="284">
        <v>0</v>
      </c>
      <c r="AB248" s="284">
        <v>30</v>
      </c>
      <c r="AC248" s="284">
        <v>0</v>
      </c>
      <c r="AE248" s="285">
        <v>6133872.3083309978</v>
      </c>
      <c r="AF248" s="286">
        <v>5088543.5243934849</v>
      </c>
      <c r="AG248" s="287">
        <v>3039386.9816799839</v>
      </c>
      <c r="AH248" s="288">
        <v>2130604.1162970671</v>
      </c>
      <c r="AI248" s="289">
        <v>16392406.930701531</v>
      </c>
      <c r="AJ248" s="266"/>
      <c r="AK248" s="285">
        <v>3368114.5546759027</v>
      </c>
      <c r="AL248" s="286">
        <v>877346.06280193233</v>
      </c>
      <c r="AM248" s="286">
        <v>2307713.2387706856</v>
      </c>
      <c r="AN248" s="290">
        <v>1526311.8887867648</v>
      </c>
      <c r="AO248" s="289">
        <v>8079485.7450352851</v>
      </c>
      <c r="AP248" s="291">
        <v>8312921.1856662463</v>
      </c>
    </row>
    <row r="249" spans="1:42" ht="15.75" x14ac:dyDescent="0.25">
      <c r="A249" s="247">
        <v>4782003</v>
      </c>
      <c r="B249" t="s">
        <v>1771</v>
      </c>
      <c r="C249" t="s">
        <v>1789</v>
      </c>
      <c r="D249" s="247">
        <v>4782003</v>
      </c>
      <c r="E249" s="247" t="s">
        <v>390</v>
      </c>
      <c r="F249" s="247" t="s">
        <v>682</v>
      </c>
      <c r="G249" s="247" t="s">
        <v>1321</v>
      </c>
      <c r="H249" s="247">
        <v>4782003</v>
      </c>
      <c r="I249" s="247" t="s">
        <v>1061</v>
      </c>
      <c r="J249" s="247">
        <v>2020</v>
      </c>
      <c r="K249" s="248" t="s">
        <v>1316</v>
      </c>
      <c r="L249" s="247" t="s">
        <v>1125</v>
      </c>
      <c r="M249" s="308">
        <v>26.74</v>
      </c>
      <c r="N249" s="308">
        <v>1.1499999999999999</v>
      </c>
      <c r="O249" s="308">
        <v>18</v>
      </c>
      <c r="P249" s="308">
        <v>7.59</v>
      </c>
      <c r="Q249" s="308">
        <v>0</v>
      </c>
      <c r="R249" s="247">
        <v>43</v>
      </c>
      <c r="S249" s="247">
        <v>0</v>
      </c>
      <c r="T249" s="247">
        <v>0</v>
      </c>
      <c r="U249" s="247">
        <v>0</v>
      </c>
      <c r="W249" s="284">
        <v>26.74</v>
      </c>
      <c r="X249" s="284">
        <v>1.1499999999999999</v>
      </c>
      <c r="Y249" s="284">
        <v>18</v>
      </c>
      <c r="Z249" s="284">
        <v>7.59</v>
      </c>
      <c r="AA249" s="284">
        <v>0</v>
      </c>
      <c r="AB249" s="284">
        <v>43</v>
      </c>
      <c r="AC249" s="284">
        <v>0</v>
      </c>
      <c r="AE249" s="285">
        <v>13051517.189393178</v>
      </c>
      <c r="AF249" s="286">
        <v>6437007.5583577584</v>
      </c>
      <c r="AG249" s="287">
        <v>4356454.6737413108</v>
      </c>
      <c r="AH249" s="288">
        <v>3053865.9000257961</v>
      </c>
      <c r="AI249" s="289">
        <v>26898845.321518045</v>
      </c>
      <c r="AJ249" s="266"/>
      <c r="AK249" s="285">
        <v>4827630.8617021274</v>
      </c>
      <c r="AL249" s="286">
        <v>1257529.3566827697</v>
      </c>
      <c r="AM249" s="286">
        <v>3307722.3089046492</v>
      </c>
      <c r="AN249" s="290">
        <v>2187713.7072610296</v>
      </c>
      <c r="AO249" s="289">
        <v>11580596.234550577</v>
      </c>
      <c r="AP249" s="291">
        <v>15318249.086967468</v>
      </c>
    </row>
    <row r="250" spans="1:42" ht="15.75" x14ac:dyDescent="0.25">
      <c r="A250" s="247">
        <v>5344327</v>
      </c>
      <c r="B250" t="s">
        <v>1771</v>
      </c>
      <c r="C250" t="s">
        <v>1777</v>
      </c>
      <c r="D250" s="247">
        <v>5344327</v>
      </c>
      <c r="E250" s="247" t="s">
        <v>942</v>
      </c>
      <c r="F250" s="247" t="s">
        <v>942</v>
      </c>
      <c r="G250" s="247" t="s">
        <v>1327</v>
      </c>
      <c r="H250" s="247">
        <v>5344327</v>
      </c>
      <c r="I250" s="247" t="s">
        <v>1142</v>
      </c>
      <c r="J250" s="247">
        <v>2020</v>
      </c>
      <c r="K250" s="248" t="s">
        <v>1316</v>
      </c>
      <c r="L250" s="247" t="s">
        <v>1125</v>
      </c>
      <c r="M250" s="308">
        <v>22.7</v>
      </c>
      <c r="N250" s="308">
        <v>1.2</v>
      </c>
      <c r="O250" s="308">
        <v>18</v>
      </c>
      <c r="P250" s="308">
        <v>3.5</v>
      </c>
      <c r="Q250" s="308">
        <v>0</v>
      </c>
      <c r="R250" s="247">
        <v>60</v>
      </c>
      <c r="S250" s="247">
        <v>0</v>
      </c>
      <c r="T250" s="247">
        <v>0</v>
      </c>
      <c r="U250" s="247">
        <v>0</v>
      </c>
      <c r="W250" s="284">
        <v>22.7</v>
      </c>
      <c r="X250" s="284">
        <v>1.2</v>
      </c>
      <c r="Y250" s="284">
        <v>18</v>
      </c>
      <c r="Z250" s="284">
        <v>3.5</v>
      </c>
      <c r="AA250" s="284">
        <v>0</v>
      </c>
      <c r="AB250" s="284">
        <v>60</v>
      </c>
      <c r="AC250" s="284">
        <v>0</v>
      </c>
      <c r="AE250" s="285">
        <v>13085594.257772796</v>
      </c>
      <c r="AF250" s="286">
        <v>2968317.0558961993</v>
      </c>
      <c r="AG250" s="287">
        <v>6078773.9633599678</v>
      </c>
      <c r="AH250" s="288">
        <v>4261208.2325941343</v>
      </c>
      <c r="AI250" s="289">
        <v>26393893.509623095</v>
      </c>
      <c r="AJ250" s="266"/>
      <c r="AK250" s="285">
        <v>6736229.1093518054</v>
      </c>
      <c r="AL250" s="286">
        <v>1754692.1256038647</v>
      </c>
      <c r="AM250" s="286">
        <v>4615426.4775413712</v>
      </c>
      <c r="AN250" s="290">
        <v>3052623.7775735296</v>
      </c>
      <c r="AO250" s="289">
        <v>16158971.49007057</v>
      </c>
      <c r="AP250" s="291">
        <v>10234922.019552525</v>
      </c>
    </row>
    <row r="251" spans="1:42" ht="15.75" x14ac:dyDescent="0.25">
      <c r="A251" s="247">
        <v>7916274</v>
      </c>
      <c r="B251" t="s">
        <v>1771</v>
      </c>
      <c r="C251" t="s">
        <v>1772</v>
      </c>
      <c r="D251" s="247">
        <v>7916274</v>
      </c>
      <c r="E251" s="247" t="s">
        <v>390</v>
      </c>
      <c r="F251" s="247" t="s">
        <v>332</v>
      </c>
      <c r="G251" s="247" t="s">
        <v>1333</v>
      </c>
      <c r="H251" s="247">
        <v>7916274</v>
      </c>
      <c r="I251" s="247" t="s">
        <v>1192</v>
      </c>
      <c r="J251" s="247">
        <v>2020</v>
      </c>
      <c r="K251" s="248" t="s">
        <v>1316</v>
      </c>
      <c r="L251" s="247" t="s">
        <v>1125</v>
      </c>
      <c r="M251" s="308">
        <v>23</v>
      </c>
      <c r="N251" s="308">
        <v>2</v>
      </c>
      <c r="O251" s="308">
        <v>15</v>
      </c>
      <c r="P251" s="308">
        <v>6</v>
      </c>
      <c r="Q251" s="308">
        <v>0</v>
      </c>
      <c r="R251" s="247">
        <v>42</v>
      </c>
      <c r="S251" s="247">
        <v>0</v>
      </c>
      <c r="T251" s="247">
        <v>0</v>
      </c>
      <c r="U251" s="247">
        <v>0</v>
      </c>
      <c r="W251" s="284">
        <v>23</v>
      </c>
      <c r="X251" s="284">
        <v>2</v>
      </c>
      <c r="Y251" s="284">
        <v>15</v>
      </c>
      <c r="Z251" s="284">
        <v>6</v>
      </c>
      <c r="AA251" s="284">
        <v>0</v>
      </c>
      <c r="AB251" s="284">
        <v>42</v>
      </c>
      <c r="AC251" s="284">
        <v>0</v>
      </c>
      <c r="AE251" s="285">
        <v>11586203.249069663</v>
      </c>
      <c r="AF251" s="286">
        <v>5088543.5243934849</v>
      </c>
      <c r="AG251" s="287">
        <v>4255141.7743519777</v>
      </c>
      <c r="AH251" s="288">
        <v>2982845.7628158941</v>
      </c>
      <c r="AI251" s="289">
        <v>23912734.310631018</v>
      </c>
      <c r="AJ251" s="266"/>
      <c r="AK251" s="285">
        <v>4715360.3765462637</v>
      </c>
      <c r="AL251" s="286">
        <v>1228284.4879227052</v>
      </c>
      <c r="AM251" s="286">
        <v>3230798.53427896</v>
      </c>
      <c r="AN251" s="290">
        <v>2136836.6443014708</v>
      </c>
      <c r="AO251" s="289">
        <v>11311280.043049399</v>
      </c>
      <c r="AP251" s="291">
        <v>12601454.267581619</v>
      </c>
    </row>
    <row r="252" spans="1:42" ht="15.75" x14ac:dyDescent="0.25">
      <c r="A252" s="247">
        <v>8635813</v>
      </c>
      <c r="B252" t="s">
        <v>1771</v>
      </c>
      <c r="C252" t="s">
        <v>1778</v>
      </c>
      <c r="D252" s="247">
        <v>8635813</v>
      </c>
      <c r="E252" s="247" t="s">
        <v>493</v>
      </c>
      <c r="F252" s="247" t="s">
        <v>493</v>
      </c>
      <c r="G252" s="247" t="s">
        <v>1334</v>
      </c>
      <c r="H252" s="247">
        <v>8635813</v>
      </c>
      <c r="I252" s="247" t="s">
        <v>1061</v>
      </c>
      <c r="J252" s="247">
        <v>2020</v>
      </c>
      <c r="K252" s="248" t="s">
        <v>1316</v>
      </c>
      <c r="L252" s="247" t="s">
        <v>1125</v>
      </c>
      <c r="M252" s="308">
        <v>25.6</v>
      </c>
      <c r="N252" s="308">
        <v>1.75</v>
      </c>
      <c r="O252" s="308">
        <v>17.350000000000001</v>
      </c>
      <c r="P252" s="308">
        <v>6.5</v>
      </c>
      <c r="Q252" s="308">
        <v>0</v>
      </c>
      <c r="R252" s="247">
        <v>67</v>
      </c>
      <c r="S252" s="247">
        <v>0</v>
      </c>
      <c r="T252" s="247">
        <v>0</v>
      </c>
      <c r="U252" s="247">
        <v>0</v>
      </c>
      <c r="W252" s="284">
        <v>25.6</v>
      </c>
      <c r="X252" s="284">
        <v>1.75</v>
      </c>
      <c r="Y252" s="284">
        <v>17.350000000000001</v>
      </c>
      <c r="Z252" s="284">
        <v>6.5</v>
      </c>
      <c r="AA252" s="284">
        <v>0</v>
      </c>
      <c r="AB252" s="284">
        <v>67</v>
      </c>
      <c r="AC252" s="284">
        <v>0</v>
      </c>
      <c r="AE252" s="285">
        <v>13017440.121013563</v>
      </c>
      <c r="AF252" s="286">
        <v>5512588.8180929422</v>
      </c>
      <c r="AG252" s="287">
        <v>6787964.2590852976</v>
      </c>
      <c r="AH252" s="288">
        <v>4758349.19306345</v>
      </c>
      <c r="AI252" s="289">
        <v>30076342.391255252</v>
      </c>
      <c r="AJ252" s="266"/>
      <c r="AK252" s="285">
        <v>7522122.5054428494</v>
      </c>
      <c r="AL252" s="286">
        <v>1959406.2069243155</v>
      </c>
      <c r="AM252" s="286">
        <v>5153892.8999211974</v>
      </c>
      <c r="AN252" s="290">
        <v>3408763.2182904412</v>
      </c>
      <c r="AO252" s="289">
        <v>18044184.830578804</v>
      </c>
      <c r="AP252" s="291">
        <v>12032157.560676448</v>
      </c>
    </row>
    <row r="253" spans="1:42" ht="15.75" x14ac:dyDescent="0.25">
      <c r="A253" s="247">
        <v>8877013</v>
      </c>
      <c r="B253" t="s">
        <v>1771</v>
      </c>
      <c r="C253" t="s">
        <v>1801</v>
      </c>
      <c r="D253" s="247">
        <v>8877013</v>
      </c>
      <c r="E253" s="247" t="s">
        <v>576</v>
      </c>
      <c r="F253" s="247" t="s">
        <v>576</v>
      </c>
      <c r="G253" s="247" t="s">
        <v>1330</v>
      </c>
      <c r="H253" s="247">
        <v>8877013</v>
      </c>
      <c r="I253" s="247" t="s">
        <v>1151</v>
      </c>
      <c r="J253" s="247">
        <v>2020</v>
      </c>
      <c r="K253" s="248" t="s">
        <v>1316</v>
      </c>
      <c r="L253" s="247" t="s">
        <v>1125</v>
      </c>
      <c r="M253" s="308">
        <v>21.31</v>
      </c>
      <c r="N253" s="308">
        <v>1</v>
      </c>
      <c r="O253" s="308">
        <v>13.31</v>
      </c>
      <c r="P253" s="308">
        <v>7</v>
      </c>
      <c r="Q253" s="308">
        <v>0</v>
      </c>
      <c r="R253" s="247">
        <v>42</v>
      </c>
      <c r="S253" s="247">
        <v>0</v>
      </c>
      <c r="T253" s="247">
        <v>0</v>
      </c>
      <c r="U253" s="247">
        <v>0</v>
      </c>
      <c r="W253" s="284">
        <v>21.31</v>
      </c>
      <c r="X253" s="284">
        <v>1</v>
      </c>
      <c r="Y253" s="284">
        <v>13.31</v>
      </c>
      <c r="Z253" s="284">
        <v>7</v>
      </c>
      <c r="AA253" s="284">
        <v>0</v>
      </c>
      <c r="AB253" s="284">
        <v>42</v>
      </c>
      <c r="AC253" s="284">
        <v>0</v>
      </c>
      <c r="AE253" s="285">
        <v>9752856.9702462871</v>
      </c>
      <c r="AF253" s="286">
        <v>5936634.1117923986</v>
      </c>
      <c r="AG253" s="287">
        <v>4255141.7743519777</v>
      </c>
      <c r="AH253" s="288">
        <v>2982845.7628158941</v>
      </c>
      <c r="AI253" s="289">
        <v>22927478.619206555</v>
      </c>
      <c r="AJ253" s="266"/>
      <c r="AK253" s="285">
        <v>4715360.3765462637</v>
      </c>
      <c r="AL253" s="286">
        <v>1228284.4879227052</v>
      </c>
      <c r="AM253" s="286">
        <v>3230798.53427896</v>
      </c>
      <c r="AN253" s="290">
        <v>2136836.6443014708</v>
      </c>
      <c r="AO253" s="289">
        <v>11311280.043049399</v>
      </c>
      <c r="AP253" s="291">
        <v>11616198.576157156</v>
      </c>
    </row>
    <row r="254" spans="1:42" ht="15.75" x14ac:dyDescent="0.25">
      <c r="A254" s="247">
        <v>9688838</v>
      </c>
      <c r="B254" t="s">
        <v>1771</v>
      </c>
      <c r="C254" t="s">
        <v>1799</v>
      </c>
      <c r="D254" s="247">
        <v>9688838</v>
      </c>
      <c r="E254" s="247" t="s">
        <v>499</v>
      </c>
      <c r="F254" s="247" t="s">
        <v>499</v>
      </c>
      <c r="G254" s="247" t="s">
        <v>1319</v>
      </c>
      <c r="H254" s="247">
        <v>9688838</v>
      </c>
      <c r="I254" s="247" t="s">
        <v>1073</v>
      </c>
      <c r="J254" s="247">
        <v>2020</v>
      </c>
      <c r="K254" s="248" t="s">
        <v>1316</v>
      </c>
      <c r="L254" s="247" t="s">
        <v>1125</v>
      </c>
      <c r="M254" s="308">
        <v>64</v>
      </c>
      <c r="N254" s="308">
        <v>4</v>
      </c>
      <c r="O254" s="308">
        <v>41</v>
      </c>
      <c r="P254" s="308">
        <v>19</v>
      </c>
      <c r="Q254" s="308">
        <v>0</v>
      </c>
      <c r="R254" s="247">
        <v>124</v>
      </c>
      <c r="S254" s="247">
        <v>0</v>
      </c>
      <c r="T254" s="247">
        <v>0</v>
      </c>
      <c r="U254" s="247">
        <v>0</v>
      </c>
      <c r="W254" s="284">
        <v>64</v>
      </c>
      <c r="X254" s="284">
        <v>4</v>
      </c>
      <c r="Y254" s="284">
        <v>41</v>
      </c>
      <c r="Z254" s="284">
        <v>19</v>
      </c>
      <c r="AA254" s="284">
        <v>0</v>
      </c>
      <c r="AB254" s="284">
        <v>124</v>
      </c>
      <c r="AC254" s="284">
        <v>0</v>
      </c>
      <c r="AE254" s="285">
        <v>30669361.541654989</v>
      </c>
      <c r="AF254" s="286">
        <v>16113721.160579368</v>
      </c>
      <c r="AG254" s="287">
        <v>12562799.524277268</v>
      </c>
      <c r="AH254" s="288">
        <v>8806497.0140278786</v>
      </c>
      <c r="AI254" s="289">
        <v>68152379.240539506</v>
      </c>
      <c r="AJ254" s="266"/>
      <c r="AK254" s="285">
        <v>13921540.159327066</v>
      </c>
      <c r="AL254" s="286">
        <v>3626363.7262479872</v>
      </c>
      <c r="AM254" s="286">
        <v>9538548.0535854995</v>
      </c>
      <c r="AN254" s="290">
        <v>6308755.8069852944</v>
      </c>
      <c r="AO254" s="289">
        <v>33395207.746145844</v>
      </c>
      <c r="AP254" s="291">
        <v>34757171.494393662</v>
      </c>
    </row>
    <row r="255" spans="1:42" ht="15.75" x14ac:dyDescent="0.25">
      <c r="A255" s="247">
        <v>1642854</v>
      </c>
      <c r="B255" t="s">
        <v>1771</v>
      </c>
      <c r="C255" t="s">
        <v>1777</v>
      </c>
      <c r="D255" s="247">
        <v>1642854</v>
      </c>
      <c r="E255" s="247" t="s">
        <v>942</v>
      </c>
      <c r="F255" s="247" t="s">
        <v>942</v>
      </c>
      <c r="G255" s="247" t="s">
        <v>1337</v>
      </c>
      <c r="H255" s="247">
        <v>1642854</v>
      </c>
      <c r="I255" s="247" t="s">
        <v>1068</v>
      </c>
      <c r="J255" s="247">
        <v>2020</v>
      </c>
      <c r="K255" s="248" t="s">
        <v>1336</v>
      </c>
      <c r="L255" s="247" t="s">
        <v>1057</v>
      </c>
      <c r="M255" s="308">
        <v>24.5</v>
      </c>
      <c r="N255" s="308">
        <v>1</v>
      </c>
      <c r="O255" s="308">
        <v>20</v>
      </c>
      <c r="P255" s="308">
        <v>3.5</v>
      </c>
      <c r="Q255" s="308">
        <v>0</v>
      </c>
      <c r="R255" s="247">
        <v>50</v>
      </c>
      <c r="S255" s="247">
        <v>0</v>
      </c>
      <c r="T255" s="247">
        <v>0</v>
      </c>
      <c r="U255" s="247">
        <v>0</v>
      </c>
      <c r="W255" s="284">
        <v>24.5</v>
      </c>
      <c r="X255" s="284">
        <v>1</v>
      </c>
      <c r="Y255" s="284">
        <v>20</v>
      </c>
      <c r="Z255" s="284">
        <v>3.5</v>
      </c>
      <c r="AA255" s="284">
        <v>0</v>
      </c>
      <c r="AB255" s="284">
        <v>50</v>
      </c>
      <c r="AC255" s="284">
        <v>0</v>
      </c>
      <c r="AE255" s="285">
        <v>14011791.304802921</v>
      </c>
      <c r="AF255" s="286">
        <v>2960689.7787461919</v>
      </c>
      <c r="AG255" s="287">
        <v>4982888.4405426998</v>
      </c>
      <c r="AH255" s="288">
        <v>3365229.8567096367</v>
      </c>
      <c r="AI255" s="289">
        <v>25320599.380801447</v>
      </c>
      <c r="AJ255" s="266"/>
      <c r="AK255" s="285">
        <v>6003411</v>
      </c>
      <c r="AL255" s="286">
        <v>1124104.8125</v>
      </c>
      <c r="AM255" s="286">
        <v>3622091.3793103448</v>
      </c>
      <c r="AN255" s="290">
        <v>2550067.5</v>
      </c>
      <c r="AO255" s="289">
        <v>13299674.691810345</v>
      </c>
      <c r="AP255" s="291">
        <v>12020924.688991101</v>
      </c>
    </row>
    <row r="256" spans="1:42" ht="15.75" x14ac:dyDescent="0.25">
      <c r="A256" s="256">
        <v>5703553</v>
      </c>
      <c r="B256" t="s">
        <v>1771</v>
      </c>
      <c r="C256" t="s">
        <v>1781</v>
      </c>
      <c r="D256" s="256">
        <v>5703553</v>
      </c>
      <c r="E256" s="256" t="s">
        <v>769</v>
      </c>
      <c r="F256" s="256" t="s">
        <v>947</v>
      </c>
      <c r="G256" s="256" t="s">
        <v>1350</v>
      </c>
      <c r="H256" s="256">
        <v>5703553</v>
      </c>
      <c r="I256" s="247" t="s">
        <v>1068</v>
      </c>
      <c r="J256" s="247">
        <v>2020</v>
      </c>
      <c r="K256" s="248" t="s">
        <v>1346</v>
      </c>
      <c r="L256" s="247" t="s">
        <v>1057</v>
      </c>
      <c r="M256" s="256">
        <v>3.82</v>
      </c>
      <c r="N256" s="256">
        <v>0.1</v>
      </c>
      <c r="O256" s="256">
        <v>3.72</v>
      </c>
      <c r="P256" s="256">
        <v>0</v>
      </c>
      <c r="Q256" s="256">
        <v>0</v>
      </c>
      <c r="R256" s="256">
        <v>11</v>
      </c>
      <c r="S256" s="256">
        <v>0</v>
      </c>
      <c r="T256" s="256">
        <v>0</v>
      </c>
      <c r="U256" s="256">
        <v>0</v>
      </c>
      <c r="W256" s="284">
        <v>3.82</v>
      </c>
      <c r="X256" s="284">
        <v>0.1</v>
      </c>
      <c r="Y256" s="284">
        <v>3.72</v>
      </c>
      <c r="Z256" s="284">
        <v>0</v>
      </c>
      <c r="AA256" s="284">
        <v>0</v>
      </c>
      <c r="AB256" s="284">
        <v>11</v>
      </c>
      <c r="AC256" s="284">
        <v>0</v>
      </c>
      <c r="AE256" s="285">
        <v>2571463.5803132448</v>
      </c>
      <c r="AF256" s="286">
        <v>0</v>
      </c>
      <c r="AG256" s="287">
        <v>623586.97923857358</v>
      </c>
      <c r="AH256" s="288">
        <v>205377.0382990466</v>
      </c>
      <c r="AI256" s="289">
        <v>3400427.5978508648</v>
      </c>
      <c r="AJ256" s="266"/>
      <c r="AK256" s="285">
        <v>304929.86690721649</v>
      </c>
      <c r="AL256" s="286">
        <v>0</v>
      </c>
      <c r="AM256" s="286">
        <v>476104.97000000003</v>
      </c>
      <c r="AN256" s="290">
        <v>206870.8125</v>
      </c>
      <c r="AO256" s="289">
        <v>987905.64940721658</v>
      </c>
      <c r="AP256" s="291">
        <v>2412521.9484436484</v>
      </c>
    </row>
    <row r="257" spans="1:42" ht="15.75" x14ac:dyDescent="0.25">
      <c r="A257" s="247">
        <v>2514714</v>
      </c>
      <c r="B257" t="s">
        <v>1771</v>
      </c>
      <c r="C257" t="s">
        <v>1776</v>
      </c>
      <c r="D257" s="247">
        <v>2514714</v>
      </c>
      <c r="E257" s="247" t="s">
        <v>860</v>
      </c>
      <c r="F257" s="247" t="s">
        <v>857</v>
      </c>
      <c r="G257" s="247" t="s">
        <v>1385</v>
      </c>
      <c r="H257" s="247">
        <v>2514714</v>
      </c>
      <c r="I257" s="247" t="s">
        <v>1073</v>
      </c>
      <c r="J257" s="247">
        <v>2020</v>
      </c>
      <c r="K257" s="248" t="s">
        <v>1382</v>
      </c>
      <c r="L257" s="247" t="s">
        <v>1057</v>
      </c>
      <c r="M257" s="308">
        <v>2.5</v>
      </c>
      <c r="N257" s="308">
        <v>1</v>
      </c>
      <c r="O257" s="308">
        <v>1.5</v>
      </c>
      <c r="P257" s="308">
        <v>0</v>
      </c>
      <c r="Q257" s="308">
        <v>0</v>
      </c>
      <c r="R257" s="247">
        <v>11</v>
      </c>
      <c r="S257" s="247">
        <v>0</v>
      </c>
      <c r="T257" s="247">
        <v>0</v>
      </c>
      <c r="U257" s="247">
        <v>0</v>
      </c>
      <c r="W257" s="284">
        <v>2.5</v>
      </c>
      <c r="X257" s="284">
        <v>1</v>
      </c>
      <c r="Y257" s="284">
        <v>1.5</v>
      </c>
      <c r="Z257" s="284">
        <v>0</v>
      </c>
      <c r="AA257" s="284">
        <v>0</v>
      </c>
      <c r="AB257" s="284">
        <v>11</v>
      </c>
      <c r="AC257" s="284">
        <v>0</v>
      </c>
      <c r="AE257" s="285">
        <v>1620311.168356556</v>
      </c>
      <c r="AF257" s="286">
        <v>0</v>
      </c>
      <c r="AG257" s="287">
        <v>293831.0484912105</v>
      </c>
      <c r="AH257" s="288">
        <v>0</v>
      </c>
      <c r="AI257" s="289">
        <v>1914142.2168477664</v>
      </c>
      <c r="AJ257" s="266"/>
      <c r="AK257" s="285">
        <v>0</v>
      </c>
      <c r="AL257" s="286">
        <v>0</v>
      </c>
      <c r="AM257" s="286">
        <v>250086.28333333335</v>
      </c>
      <c r="AN257" s="290">
        <v>0</v>
      </c>
      <c r="AO257" s="289">
        <v>250086.28333333335</v>
      </c>
      <c r="AP257" s="291">
        <v>1664055.933514433</v>
      </c>
    </row>
    <row r="258" spans="1:42" ht="15.75" x14ac:dyDescent="0.25">
      <c r="A258" s="254">
        <v>5755112</v>
      </c>
      <c r="B258" t="s">
        <v>1771</v>
      </c>
      <c r="C258" t="s">
        <v>1799</v>
      </c>
      <c r="D258" s="254">
        <v>5755112</v>
      </c>
      <c r="E258" s="254" t="s">
        <v>703</v>
      </c>
      <c r="F258" s="254" t="s">
        <v>703</v>
      </c>
      <c r="G258" s="254" t="s">
        <v>1389</v>
      </c>
      <c r="H258" s="254">
        <v>5755112</v>
      </c>
      <c r="I258" s="247" t="s">
        <v>1073</v>
      </c>
      <c r="J258" s="247">
        <v>2020</v>
      </c>
      <c r="K258" s="248" t="s">
        <v>1382</v>
      </c>
      <c r="L258" s="247" t="s">
        <v>1057</v>
      </c>
      <c r="M258" s="256">
        <v>6</v>
      </c>
      <c r="N258" s="256">
        <v>1</v>
      </c>
      <c r="O258" s="256">
        <v>5</v>
      </c>
      <c r="P258" s="256">
        <v>0</v>
      </c>
      <c r="Q258" s="256">
        <v>0</v>
      </c>
      <c r="R258" s="256">
        <v>32</v>
      </c>
      <c r="S258" s="256">
        <v>0</v>
      </c>
      <c r="T258" s="256">
        <v>0</v>
      </c>
      <c r="U258" s="256">
        <v>0</v>
      </c>
      <c r="W258" s="284">
        <v>6</v>
      </c>
      <c r="X258" s="284">
        <v>1</v>
      </c>
      <c r="Y258" s="284">
        <v>5</v>
      </c>
      <c r="Z258" s="284">
        <v>0</v>
      </c>
      <c r="AA258" s="284">
        <v>0</v>
      </c>
      <c r="AB258" s="284">
        <v>32</v>
      </c>
      <c r="AC258" s="284">
        <v>0</v>
      </c>
      <c r="AE258" s="285">
        <v>3888746.8040557341</v>
      </c>
      <c r="AF258" s="286">
        <v>0</v>
      </c>
      <c r="AG258" s="287">
        <v>854781.2319744305</v>
      </c>
      <c r="AH258" s="288">
        <v>0</v>
      </c>
      <c r="AI258" s="289">
        <v>4743528.0360301649</v>
      </c>
      <c r="AJ258" s="266"/>
      <c r="AK258" s="285">
        <v>0</v>
      </c>
      <c r="AL258" s="286">
        <v>0</v>
      </c>
      <c r="AM258" s="286">
        <v>727523.7333333334</v>
      </c>
      <c r="AN258" s="290">
        <v>0</v>
      </c>
      <c r="AO258" s="289">
        <v>727523.7333333334</v>
      </c>
      <c r="AP258" s="291">
        <v>4016004.3026968315</v>
      </c>
    </row>
    <row r="259" spans="1:42" ht="15.75" x14ac:dyDescent="0.25">
      <c r="A259" s="254">
        <v>7190506</v>
      </c>
      <c r="B259" t="s">
        <v>1771</v>
      </c>
      <c r="C259" t="s">
        <v>1781</v>
      </c>
      <c r="D259" s="254">
        <v>7190506</v>
      </c>
      <c r="E259" s="254" t="s">
        <v>1391</v>
      </c>
      <c r="F259" s="254" t="s">
        <v>947</v>
      </c>
      <c r="G259" s="254" t="s">
        <v>1390</v>
      </c>
      <c r="H259" s="254">
        <v>7190506</v>
      </c>
      <c r="I259" s="247" t="s">
        <v>1068</v>
      </c>
      <c r="J259" s="247">
        <v>2020</v>
      </c>
      <c r="K259" s="248" t="s">
        <v>1382</v>
      </c>
      <c r="L259" s="247" t="s">
        <v>1057</v>
      </c>
      <c r="M259" s="256">
        <v>5.85</v>
      </c>
      <c r="N259" s="256">
        <v>1.85</v>
      </c>
      <c r="O259" s="256">
        <v>4</v>
      </c>
      <c r="P259" s="256">
        <v>0</v>
      </c>
      <c r="Q259" s="256">
        <v>0</v>
      </c>
      <c r="R259" s="256">
        <v>14</v>
      </c>
      <c r="S259" s="256">
        <v>0</v>
      </c>
      <c r="T259" s="256">
        <v>0</v>
      </c>
      <c r="U259" s="256">
        <v>0</v>
      </c>
      <c r="W259" s="284">
        <v>5.85</v>
      </c>
      <c r="X259" s="284">
        <v>1.85</v>
      </c>
      <c r="Y259" s="284">
        <v>4</v>
      </c>
      <c r="Z259" s="284">
        <v>0</v>
      </c>
      <c r="AA259" s="284">
        <v>0</v>
      </c>
      <c r="AB259" s="284">
        <v>14</v>
      </c>
      <c r="AC259" s="284">
        <v>0</v>
      </c>
      <c r="AE259" s="285">
        <v>3791528.1339543406</v>
      </c>
      <c r="AF259" s="286">
        <v>0</v>
      </c>
      <c r="AG259" s="287">
        <v>373966.78898881335</v>
      </c>
      <c r="AH259" s="288">
        <v>0</v>
      </c>
      <c r="AI259" s="289">
        <v>4165494.9229431539</v>
      </c>
      <c r="AJ259" s="266"/>
      <c r="AK259" s="285">
        <v>0</v>
      </c>
      <c r="AL259" s="286">
        <v>0</v>
      </c>
      <c r="AM259" s="286">
        <v>318291.63333333336</v>
      </c>
      <c r="AN259" s="290">
        <v>0</v>
      </c>
      <c r="AO259" s="289">
        <v>318291.63333333336</v>
      </c>
      <c r="AP259" s="291">
        <v>3847203.2896098206</v>
      </c>
    </row>
    <row r="260" spans="1:42" ht="15.75" x14ac:dyDescent="0.25">
      <c r="A260" s="247">
        <v>6989404</v>
      </c>
      <c r="B260" t="s">
        <v>1771</v>
      </c>
      <c r="C260" t="s">
        <v>1790</v>
      </c>
      <c r="D260" s="247">
        <v>6989404</v>
      </c>
      <c r="E260" s="247" t="s">
        <v>1416</v>
      </c>
      <c r="F260" s="247" t="s">
        <v>531</v>
      </c>
      <c r="G260" s="247" t="s">
        <v>1415</v>
      </c>
      <c r="H260" s="247">
        <v>6989404</v>
      </c>
      <c r="I260" s="247" t="s">
        <v>1223</v>
      </c>
      <c r="J260" s="247">
        <v>2020</v>
      </c>
      <c r="K260" s="260" t="s">
        <v>1405</v>
      </c>
      <c r="L260" s="247" t="s">
        <v>1156</v>
      </c>
      <c r="M260" s="308">
        <v>2.35</v>
      </c>
      <c r="N260" s="308">
        <v>0.35</v>
      </c>
      <c r="O260" s="308">
        <v>2</v>
      </c>
      <c r="P260" s="308">
        <v>0</v>
      </c>
      <c r="Q260" s="308">
        <v>0</v>
      </c>
      <c r="R260" s="247">
        <v>0</v>
      </c>
      <c r="S260" s="247">
        <v>0</v>
      </c>
      <c r="T260" s="247">
        <v>20</v>
      </c>
      <c r="U260" s="247">
        <v>0</v>
      </c>
      <c r="W260" s="284">
        <v>2.35</v>
      </c>
      <c r="X260" s="284">
        <v>0.35</v>
      </c>
      <c r="Y260" s="284">
        <v>2</v>
      </c>
      <c r="Z260" s="284">
        <v>0</v>
      </c>
      <c r="AA260" s="284">
        <v>0</v>
      </c>
      <c r="AB260" s="284">
        <v>0</v>
      </c>
      <c r="AC260" s="284">
        <v>20</v>
      </c>
      <c r="AE260" s="285">
        <v>1411906.6822470622</v>
      </c>
      <c r="AF260" s="286">
        <v>0</v>
      </c>
      <c r="AG260" s="287">
        <v>133051.29638272469</v>
      </c>
      <c r="AH260" s="288">
        <v>0</v>
      </c>
      <c r="AI260" s="289">
        <v>1544957.978629787</v>
      </c>
      <c r="AJ260" s="266"/>
      <c r="AK260" s="285">
        <v>0</v>
      </c>
      <c r="AL260" s="286">
        <v>0</v>
      </c>
      <c r="AM260" s="286">
        <v>0</v>
      </c>
      <c r="AN260" s="290">
        <v>0</v>
      </c>
      <c r="AO260" s="289">
        <v>0</v>
      </c>
      <c r="AP260" s="291">
        <v>1544957.978629787</v>
      </c>
    </row>
    <row r="261" spans="1:42" ht="15.75" x14ac:dyDescent="0.25">
      <c r="A261" s="247">
        <v>1696009</v>
      </c>
      <c r="B261" t="s">
        <v>1771</v>
      </c>
      <c r="C261" t="s">
        <v>1776</v>
      </c>
      <c r="D261" s="247">
        <v>1696009</v>
      </c>
      <c r="E261" s="247" t="s">
        <v>859</v>
      </c>
      <c r="F261" s="247" t="s">
        <v>857</v>
      </c>
      <c r="G261" s="247" t="s">
        <v>1422</v>
      </c>
      <c r="H261" s="247">
        <v>1696009</v>
      </c>
      <c r="I261" s="247" t="s">
        <v>1134</v>
      </c>
      <c r="J261" s="247">
        <v>2020</v>
      </c>
      <c r="K261" s="261" t="s">
        <v>1423</v>
      </c>
      <c r="L261" s="247" t="s">
        <v>1125</v>
      </c>
      <c r="M261" s="308">
        <v>1</v>
      </c>
      <c r="N261" s="308">
        <v>0.30000000000000004</v>
      </c>
      <c r="O261" s="308">
        <v>0.7</v>
      </c>
      <c r="P261" s="308">
        <v>0</v>
      </c>
      <c r="Q261" s="308">
        <v>0</v>
      </c>
      <c r="R261" s="247">
        <v>7</v>
      </c>
      <c r="S261" s="247">
        <v>0</v>
      </c>
      <c r="T261" s="247">
        <v>0</v>
      </c>
      <c r="U261" s="247">
        <v>0</v>
      </c>
      <c r="W261" s="284">
        <v>1</v>
      </c>
      <c r="X261" s="284">
        <v>0.30000000000000004</v>
      </c>
      <c r="Y261" s="284">
        <v>0.7</v>
      </c>
      <c r="Z261" s="284">
        <v>0</v>
      </c>
      <c r="AA261" s="284">
        <v>0</v>
      </c>
      <c r="AB261" s="284">
        <v>7</v>
      </c>
      <c r="AC261" s="284">
        <v>0</v>
      </c>
      <c r="AE261" s="285">
        <v>708345.47455677041</v>
      </c>
      <c r="AF261" s="286">
        <v>0</v>
      </c>
      <c r="AG261" s="287">
        <v>154039.11428954094</v>
      </c>
      <c r="AH261" s="288">
        <v>0</v>
      </c>
      <c r="AI261" s="289">
        <v>862384.58884631132</v>
      </c>
      <c r="AJ261" s="266"/>
      <c r="AK261" s="285">
        <v>0</v>
      </c>
      <c r="AL261" s="286">
        <v>0</v>
      </c>
      <c r="AM261" s="286">
        <v>48944</v>
      </c>
      <c r="AN261" s="290">
        <v>0</v>
      </c>
      <c r="AO261" s="289">
        <v>48944</v>
      </c>
      <c r="AP261" s="291">
        <v>813440.58884631132</v>
      </c>
    </row>
    <row r="262" spans="1:42" ht="15.75" x14ac:dyDescent="0.25">
      <c r="A262" s="247">
        <v>4720531</v>
      </c>
      <c r="B262" t="s">
        <v>1771</v>
      </c>
      <c r="C262" t="s">
        <v>1781</v>
      </c>
      <c r="D262" s="247">
        <v>4720531</v>
      </c>
      <c r="E262" s="247" t="s">
        <v>859</v>
      </c>
      <c r="F262" s="247" t="s">
        <v>947</v>
      </c>
      <c r="G262" s="247" t="s">
        <v>1425</v>
      </c>
      <c r="H262" s="247">
        <v>4720531</v>
      </c>
      <c r="I262" s="247" t="s">
        <v>1068</v>
      </c>
      <c r="J262" s="247">
        <v>2020</v>
      </c>
      <c r="K262" s="261" t="s">
        <v>1423</v>
      </c>
      <c r="L262" s="247" t="s">
        <v>1125</v>
      </c>
      <c r="M262" s="308">
        <v>1.25</v>
      </c>
      <c r="N262" s="308">
        <v>0</v>
      </c>
      <c r="O262" s="308">
        <v>1.25</v>
      </c>
      <c r="P262" s="308">
        <v>0</v>
      </c>
      <c r="Q262" s="308">
        <v>0</v>
      </c>
      <c r="R262" s="247">
        <v>6</v>
      </c>
      <c r="S262" s="247">
        <v>0</v>
      </c>
      <c r="T262" s="247">
        <v>0</v>
      </c>
      <c r="U262" s="247">
        <v>0</v>
      </c>
      <c r="W262" s="284">
        <v>1.25</v>
      </c>
      <c r="X262" s="284">
        <v>0</v>
      </c>
      <c r="Y262" s="284">
        <v>1.25</v>
      </c>
      <c r="Z262" s="284">
        <v>0</v>
      </c>
      <c r="AA262" s="284">
        <v>0</v>
      </c>
      <c r="AB262" s="284">
        <v>6</v>
      </c>
      <c r="AC262" s="284">
        <v>0</v>
      </c>
      <c r="AE262" s="285">
        <v>885431.84319596295</v>
      </c>
      <c r="AF262" s="286">
        <v>0</v>
      </c>
      <c r="AG262" s="287">
        <v>132033.52653389223</v>
      </c>
      <c r="AH262" s="288">
        <v>0</v>
      </c>
      <c r="AI262" s="289">
        <v>1017465.3697298552</v>
      </c>
      <c r="AJ262" s="266"/>
      <c r="AK262" s="285">
        <v>0</v>
      </c>
      <c r="AL262" s="286">
        <v>0</v>
      </c>
      <c r="AM262" s="286">
        <v>41952</v>
      </c>
      <c r="AN262" s="290">
        <v>0</v>
      </c>
      <c r="AO262" s="289">
        <v>41952</v>
      </c>
      <c r="AP262" s="291">
        <v>975513.36972985521</v>
      </c>
    </row>
    <row r="263" spans="1:42" ht="15.75" x14ac:dyDescent="0.25">
      <c r="A263" s="247">
        <v>1272659</v>
      </c>
      <c r="B263" t="s">
        <v>1771</v>
      </c>
      <c r="C263" t="s">
        <v>1790</v>
      </c>
      <c r="D263" s="247">
        <v>1272659</v>
      </c>
      <c r="E263" s="247" t="s">
        <v>647</v>
      </c>
      <c r="F263" s="247" t="s">
        <v>647</v>
      </c>
      <c r="G263" s="247" t="s">
        <v>1426</v>
      </c>
      <c r="H263" s="247">
        <v>1272659</v>
      </c>
      <c r="I263" s="247" t="s">
        <v>1223</v>
      </c>
      <c r="J263" s="247">
        <v>2020</v>
      </c>
      <c r="K263" s="260" t="s">
        <v>1427</v>
      </c>
      <c r="L263" s="247" t="s">
        <v>1125</v>
      </c>
      <c r="M263" s="308">
        <v>2</v>
      </c>
      <c r="N263" s="308">
        <v>1</v>
      </c>
      <c r="O263" s="308">
        <v>1</v>
      </c>
      <c r="P263" s="308">
        <v>0</v>
      </c>
      <c r="Q263" s="308">
        <v>0</v>
      </c>
      <c r="R263" s="247">
        <v>0</v>
      </c>
      <c r="S263" s="247">
        <v>168</v>
      </c>
      <c r="T263" s="247">
        <v>0</v>
      </c>
      <c r="U263" s="247">
        <v>0</v>
      </c>
      <c r="W263" s="284">
        <v>2</v>
      </c>
      <c r="X263" s="284">
        <v>1</v>
      </c>
      <c r="Y263" s="284">
        <v>1</v>
      </c>
      <c r="Z263" s="284">
        <v>0</v>
      </c>
      <c r="AA263" s="284">
        <v>0</v>
      </c>
      <c r="AB263" s="284">
        <v>0</v>
      </c>
      <c r="AC263" s="284">
        <v>0</v>
      </c>
      <c r="AE263" s="285">
        <v>1347918.8517422723</v>
      </c>
      <c r="AF263" s="286">
        <v>0</v>
      </c>
      <c r="AG263" s="287">
        <v>90020.59049177944</v>
      </c>
      <c r="AH263" s="288">
        <v>0</v>
      </c>
      <c r="AI263" s="289">
        <v>1437939.4422340516</v>
      </c>
      <c r="AJ263" s="266"/>
      <c r="AK263" s="285">
        <v>0</v>
      </c>
      <c r="AL263" s="286">
        <v>0</v>
      </c>
      <c r="AM263" s="286">
        <v>0</v>
      </c>
      <c r="AN263" s="290">
        <v>0</v>
      </c>
      <c r="AO263" s="289">
        <v>0</v>
      </c>
      <c r="AP263" s="291">
        <v>1437939.4422340516</v>
      </c>
    </row>
    <row r="264" spans="1:42" ht="15.75" x14ac:dyDescent="0.25">
      <c r="A264" s="247">
        <v>4987165</v>
      </c>
      <c r="B264" t="s">
        <v>1771</v>
      </c>
      <c r="C264" t="s">
        <v>1772</v>
      </c>
      <c r="D264" s="247">
        <v>4987165</v>
      </c>
      <c r="E264" s="247" t="s">
        <v>1436</v>
      </c>
      <c r="F264" s="247" t="s">
        <v>332</v>
      </c>
      <c r="G264" s="247" t="s">
        <v>1435</v>
      </c>
      <c r="H264" s="247">
        <v>4987165</v>
      </c>
      <c r="I264" s="247" t="s">
        <v>1192</v>
      </c>
      <c r="J264" s="247">
        <v>2020</v>
      </c>
      <c r="K264" s="248" t="s">
        <v>1427</v>
      </c>
      <c r="L264" s="247" t="s">
        <v>1125</v>
      </c>
      <c r="M264" s="308">
        <v>4.5</v>
      </c>
      <c r="N264" s="308">
        <v>2.5</v>
      </c>
      <c r="O264" s="308">
        <v>2</v>
      </c>
      <c r="P264" s="308">
        <v>0</v>
      </c>
      <c r="Q264" s="308">
        <v>0</v>
      </c>
      <c r="R264" s="247">
        <v>0</v>
      </c>
      <c r="S264" s="247">
        <v>234</v>
      </c>
      <c r="T264" s="247">
        <v>0</v>
      </c>
      <c r="U264" s="247">
        <v>0</v>
      </c>
      <c r="W264" s="284">
        <v>4.5</v>
      </c>
      <c r="X264" s="284">
        <v>2.5</v>
      </c>
      <c r="Y264" s="284">
        <v>2</v>
      </c>
      <c r="Z264" s="284">
        <v>0</v>
      </c>
      <c r="AA264" s="284">
        <v>0</v>
      </c>
      <c r="AB264" s="284">
        <v>0</v>
      </c>
      <c r="AC264" s="284">
        <v>0</v>
      </c>
      <c r="AE264" s="285">
        <v>3032817.4164201124</v>
      </c>
      <c r="AF264" s="286">
        <v>0</v>
      </c>
      <c r="AG264" s="287">
        <v>202546.32860650372</v>
      </c>
      <c r="AH264" s="288">
        <v>0</v>
      </c>
      <c r="AI264" s="289">
        <v>3235363.7450266159</v>
      </c>
      <c r="AJ264" s="266"/>
      <c r="AK264" s="285">
        <v>0</v>
      </c>
      <c r="AL264" s="286">
        <v>0</v>
      </c>
      <c r="AM264" s="286">
        <v>0</v>
      </c>
      <c r="AN264" s="290">
        <v>0</v>
      </c>
      <c r="AO264" s="289">
        <v>0</v>
      </c>
      <c r="AP264" s="291">
        <v>3235363.7450266159</v>
      </c>
    </row>
    <row r="265" spans="1:42" ht="15.75" x14ac:dyDescent="0.25">
      <c r="A265" s="247">
        <v>3994122</v>
      </c>
      <c r="B265" t="s">
        <v>1771</v>
      </c>
      <c r="C265" t="s">
        <v>1789</v>
      </c>
      <c r="D265" s="247">
        <v>3994122</v>
      </c>
      <c r="E265" s="247" t="s">
        <v>642</v>
      </c>
      <c r="F265" s="247" t="s">
        <v>640</v>
      </c>
      <c r="G265" s="247" t="s">
        <v>1483</v>
      </c>
      <c r="H265" s="247">
        <v>3994122</v>
      </c>
      <c r="I265" s="247" t="s">
        <v>1138</v>
      </c>
      <c r="J265" s="247">
        <v>2020</v>
      </c>
      <c r="K265" s="248" t="s">
        <v>1472</v>
      </c>
      <c r="L265" s="247" t="s">
        <v>1125</v>
      </c>
      <c r="M265" s="308">
        <v>3.2</v>
      </c>
      <c r="N265" s="308">
        <v>2.2000000000000002</v>
      </c>
      <c r="O265" s="308">
        <v>1</v>
      </c>
      <c r="P265" s="308">
        <v>0</v>
      </c>
      <c r="Q265" s="308">
        <v>0</v>
      </c>
      <c r="R265" s="247">
        <v>0</v>
      </c>
      <c r="S265" s="247">
        <v>15</v>
      </c>
      <c r="T265" s="247">
        <v>25</v>
      </c>
      <c r="U265" s="247">
        <v>0</v>
      </c>
      <c r="W265" s="284">
        <v>3.2</v>
      </c>
      <c r="X265" s="284">
        <v>2.2000000000000002</v>
      </c>
      <c r="Y265" s="284">
        <v>1</v>
      </c>
      <c r="Z265" s="284">
        <v>0</v>
      </c>
      <c r="AA265" s="284">
        <v>0</v>
      </c>
      <c r="AB265" s="284">
        <v>0</v>
      </c>
      <c r="AC265" s="284">
        <v>25</v>
      </c>
      <c r="AE265" s="285">
        <v>2246699.6098982706</v>
      </c>
      <c r="AF265" s="286">
        <v>0</v>
      </c>
      <c r="AG265" s="287">
        <v>140194.67471468102</v>
      </c>
      <c r="AH265" s="288">
        <v>0</v>
      </c>
      <c r="AI265" s="289">
        <v>2386894.2846129518</v>
      </c>
      <c r="AJ265" s="266"/>
      <c r="AK265" s="285">
        <v>0</v>
      </c>
      <c r="AL265" s="286">
        <v>0</v>
      </c>
      <c r="AM265" s="286">
        <v>0</v>
      </c>
      <c r="AN265" s="290">
        <v>0</v>
      </c>
      <c r="AO265" s="289">
        <v>0</v>
      </c>
      <c r="AP265" s="291">
        <v>2386894.2846129518</v>
      </c>
    </row>
    <row r="266" spans="1:42" ht="15.75" x14ac:dyDescent="0.25">
      <c r="A266" s="247">
        <v>5945407</v>
      </c>
      <c r="B266" t="s">
        <v>1771</v>
      </c>
      <c r="C266" t="s">
        <v>1804</v>
      </c>
      <c r="D266" s="247">
        <v>5945407</v>
      </c>
      <c r="E266" s="247" t="s">
        <v>674</v>
      </c>
      <c r="F266" s="247" t="s">
        <v>674</v>
      </c>
      <c r="G266" s="247" t="s">
        <v>1491</v>
      </c>
      <c r="H266" s="247">
        <v>5945407</v>
      </c>
      <c r="I266" s="247" t="s">
        <v>1128</v>
      </c>
      <c r="J266" s="247">
        <v>2020</v>
      </c>
      <c r="K266" s="248" t="s">
        <v>1472</v>
      </c>
      <c r="L266" s="247" t="s">
        <v>1125</v>
      </c>
      <c r="M266" s="308">
        <v>2</v>
      </c>
      <c r="N266" s="308">
        <v>1</v>
      </c>
      <c r="O266" s="308">
        <v>1</v>
      </c>
      <c r="P266" s="308">
        <v>0</v>
      </c>
      <c r="Q266" s="308">
        <v>0</v>
      </c>
      <c r="R266" s="247">
        <v>0</v>
      </c>
      <c r="S266" s="247">
        <v>6</v>
      </c>
      <c r="T266" s="247">
        <v>0</v>
      </c>
      <c r="U266" s="247">
        <v>0</v>
      </c>
      <c r="W266" s="284">
        <v>2</v>
      </c>
      <c r="X266" s="284">
        <v>1</v>
      </c>
      <c r="Y266" s="284">
        <v>1</v>
      </c>
      <c r="Z266" s="284">
        <v>0</v>
      </c>
      <c r="AA266" s="284">
        <v>0</v>
      </c>
      <c r="AB266" s="284">
        <v>0</v>
      </c>
      <c r="AC266" s="284">
        <v>0</v>
      </c>
      <c r="AE266" s="285">
        <v>1404187.2561864189</v>
      </c>
      <c r="AF266" s="286">
        <v>0</v>
      </c>
      <c r="AG266" s="287">
        <v>87621.671696675636</v>
      </c>
      <c r="AH266" s="288">
        <v>0</v>
      </c>
      <c r="AI266" s="289">
        <v>1491808.9278830946</v>
      </c>
      <c r="AJ266" s="266"/>
      <c r="AK266" s="285">
        <v>0</v>
      </c>
      <c r="AL266" s="286">
        <v>0</v>
      </c>
      <c r="AM266" s="286">
        <v>0</v>
      </c>
      <c r="AN266" s="290">
        <v>0</v>
      </c>
      <c r="AO266" s="289">
        <v>0</v>
      </c>
      <c r="AP266" s="291">
        <v>1491808.9278830946</v>
      </c>
    </row>
    <row r="267" spans="1:42" ht="15.75" x14ac:dyDescent="0.25">
      <c r="A267" s="247">
        <v>8314639</v>
      </c>
      <c r="B267" t="s">
        <v>1806</v>
      </c>
      <c r="C267">
        <v>0</v>
      </c>
      <c r="D267" s="247">
        <v>8314639</v>
      </c>
      <c r="E267" s="247" t="s">
        <v>931</v>
      </c>
      <c r="F267" s="247" t="s">
        <v>928</v>
      </c>
      <c r="G267" s="247" t="s">
        <v>1110</v>
      </c>
      <c r="H267" s="247">
        <v>8314639</v>
      </c>
      <c r="I267" s="247" t="s">
        <v>1073</v>
      </c>
      <c r="J267" s="247">
        <v>2020</v>
      </c>
      <c r="K267" s="260" t="s">
        <v>1055</v>
      </c>
      <c r="L267" s="247" t="s">
        <v>1057</v>
      </c>
      <c r="M267" s="308">
        <v>4.1500000000000004</v>
      </c>
      <c r="N267" s="308">
        <v>1</v>
      </c>
      <c r="O267" s="308">
        <v>0</v>
      </c>
      <c r="P267" s="308">
        <v>0</v>
      </c>
      <c r="Q267" s="308">
        <v>3.15</v>
      </c>
      <c r="R267" s="247">
        <v>0</v>
      </c>
      <c r="S267" s="247">
        <v>6352</v>
      </c>
      <c r="T267" s="247">
        <v>0</v>
      </c>
      <c r="U267" s="247">
        <v>0</v>
      </c>
      <c r="W267" s="284">
        <v>4.1500000000000004</v>
      </c>
      <c r="X267" s="284">
        <v>1</v>
      </c>
      <c r="Y267" s="284">
        <v>0</v>
      </c>
      <c r="Z267" s="284">
        <v>0</v>
      </c>
      <c r="AA267" s="284">
        <v>3.15</v>
      </c>
      <c r="AB267" s="284">
        <v>0</v>
      </c>
      <c r="AC267" s="284">
        <v>0</v>
      </c>
      <c r="AE267" s="285">
        <v>2885876.6532658478</v>
      </c>
      <c r="AF267" s="286">
        <v>0</v>
      </c>
      <c r="AG267" s="287">
        <v>196633.4164634906</v>
      </c>
      <c r="AH267" s="288">
        <v>0</v>
      </c>
      <c r="AI267" s="289">
        <v>3082510.0697293384</v>
      </c>
      <c r="AJ267" s="266"/>
      <c r="AK267" s="285">
        <v>0</v>
      </c>
      <c r="AL267" s="286">
        <v>0</v>
      </c>
      <c r="AM267" s="286">
        <v>0</v>
      </c>
      <c r="AN267" s="290">
        <v>0</v>
      </c>
      <c r="AO267" s="289">
        <v>0</v>
      </c>
      <c r="AP267" s="291">
        <v>3082510.0697293384</v>
      </c>
    </row>
    <row r="268" spans="1:42" ht="15.75" x14ac:dyDescent="0.25">
      <c r="A268" s="247">
        <v>1878615</v>
      </c>
      <c r="B268" t="s">
        <v>1806</v>
      </c>
      <c r="C268">
        <v>0</v>
      </c>
      <c r="D268" s="247">
        <v>1878615</v>
      </c>
      <c r="E268" s="247" t="s">
        <v>502</v>
      </c>
      <c r="F268" s="247" t="s">
        <v>502</v>
      </c>
      <c r="G268" s="247" t="s">
        <v>1254</v>
      </c>
      <c r="H268" s="247">
        <v>1878615</v>
      </c>
      <c r="I268" s="247" t="s">
        <v>1128</v>
      </c>
      <c r="J268" s="247">
        <v>2020</v>
      </c>
      <c r="K268" s="248" t="s">
        <v>1250</v>
      </c>
      <c r="L268" s="247" t="s">
        <v>1125</v>
      </c>
      <c r="M268" s="308">
        <v>1.07</v>
      </c>
      <c r="N268" s="308">
        <v>0.05</v>
      </c>
      <c r="O268" s="308">
        <v>0.55000000000000004</v>
      </c>
      <c r="P268" s="308">
        <v>0.47</v>
      </c>
      <c r="Q268" s="308">
        <v>0</v>
      </c>
      <c r="R268" s="247">
        <v>3</v>
      </c>
      <c r="S268" s="247">
        <v>0</v>
      </c>
      <c r="T268" s="247">
        <v>0</v>
      </c>
      <c r="U268" s="247">
        <v>0</v>
      </c>
      <c r="W268" s="284">
        <v>1.07</v>
      </c>
      <c r="X268" s="284">
        <v>0.05</v>
      </c>
      <c r="Y268" s="284">
        <v>0.55000000000000004</v>
      </c>
      <c r="Z268" s="284">
        <v>0.47</v>
      </c>
      <c r="AA268" s="284">
        <v>0</v>
      </c>
      <c r="AB268" s="284">
        <v>3</v>
      </c>
      <c r="AC268" s="284">
        <v>0</v>
      </c>
      <c r="AE268" s="285">
        <v>631372.38253182673</v>
      </c>
      <c r="AF268" s="286">
        <v>0</v>
      </c>
      <c r="AG268" s="287">
        <v>169371.68488899458</v>
      </c>
      <c r="AH268" s="288">
        <v>92925.506226098805</v>
      </c>
      <c r="AI268" s="289">
        <v>893669.57364692003</v>
      </c>
      <c r="AJ268" s="266"/>
      <c r="AK268" s="285">
        <v>129927.92770067682</v>
      </c>
      <c r="AL268" s="286">
        <v>0</v>
      </c>
      <c r="AM268" s="286">
        <v>115365.9375</v>
      </c>
      <c r="AN268" s="290">
        <v>71686.350000000006</v>
      </c>
      <c r="AO268" s="289">
        <v>316980.21520067682</v>
      </c>
      <c r="AP268" s="291">
        <v>576689.35844624322</v>
      </c>
    </row>
    <row r="269" spans="1:42" ht="15.75" x14ac:dyDescent="0.25">
      <c r="A269" s="247">
        <v>6375207</v>
      </c>
      <c r="B269" t="s">
        <v>1806</v>
      </c>
      <c r="C269">
        <v>0</v>
      </c>
      <c r="D269" s="247">
        <v>6375207</v>
      </c>
      <c r="E269" s="247" t="s">
        <v>997</v>
      </c>
      <c r="F269" s="247" t="s">
        <v>997</v>
      </c>
      <c r="G269" s="247" t="s">
        <v>1261</v>
      </c>
      <c r="H269" s="247">
        <v>6375207</v>
      </c>
      <c r="I269" s="247" t="s">
        <v>1063</v>
      </c>
      <c r="J269" s="247">
        <v>2020</v>
      </c>
      <c r="K269" s="248" t="s">
        <v>1250</v>
      </c>
      <c r="L269" s="247" t="s">
        <v>1057</v>
      </c>
      <c r="M269" s="308">
        <v>7.6</v>
      </c>
      <c r="N269" s="308">
        <v>0.6</v>
      </c>
      <c r="O269" s="308">
        <v>7</v>
      </c>
      <c r="P269" s="308">
        <v>0</v>
      </c>
      <c r="Q269" s="308">
        <v>0</v>
      </c>
      <c r="R269" s="247">
        <v>4</v>
      </c>
      <c r="S269" s="247">
        <v>0</v>
      </c>
      <c r="T269" s="247">
        <v>0</v>
      </c>
      <c r="U269" s="247">
        <v>0</v>
      </c>
      <c r="W269" s="284">
        <v>7.6</v>
      </c>
      <c r="X269" s="284">
        <v>0.6</v>
      </c>
      <c r="Y269" s="284">
        <v>7</v>
      </c>
      <c r="Z269" s="284">
        <v>0</v>
      </c>
      <c r="AA269" s="284">
        <v>0</v>
      </c>
      <c r="AB269" s="284">
        <v>4</v>
      </c>
      <c r="AC269" s="284">
        <v>0</v>
      </c>
      <c r="AE269" s="285">
        <v>4484514.1189176477</v>
      </c>
      <c r="AF269" s="286">
        <v>0</v>
      </c>
      <c r="AG269" s="287">
        <v>225828.91318532612</v>
      </c>
      <c r="AH269" s="288">
        <v>123900.67496813175</v>
      </c>
      <c r="AI269" s="289">
        <v>4834243.7070711059</v>
      </c>
      <c r="AJ269" s="266"/>
      <c r="AK269" s="285">
        <v>891662.24892621348</v>
      </c>
      <c r="AL269" s="286">
        <v>0</v>
      </c>
      <c r="AM269" s="286">
        <v>153821.25</v>
      </c>
      <c r="AN269" s="290">
        <v>95581.8</v>
      </c>
      <c r="AO269" s="289">
        <v>1141065.2989262135</v>
      </c>
      <c r="AP269" s="291">
        <v>3693178.4081448922</v>
      </c>
    </row>
    <row r="270" spans="1:42" ht="15.75" x14ac:dyDescent="0.25">
      <c r="A270" s="247">
        <v>7071797</v>
      </c>
      <c r="B270" t="s">
        <v>1806</v>
      </c>
      <c r="C270">
        <v>0</v>
      </c>
      <c r="D270" s="247">
        <v>7071797</v>
      </c>
      <c r="E270" s="247" t="s">
        <v>519</v>
      </c>
      <c r="F270" s="247" t="s">
        <v>519</v>
      </c>
      <c r="G270" s="247" t="s">
        <v>1255</v>
      </c>
      <c r="H270" s="247">
        <v>7071797</v>
      </c>
      <c r="I270" s="247" t="s">
        <v>1058</v>
      </c>
      <c r="J270" s="247">
        <v>2020</v>
      </c>
      <c r="K270" s="248" t="s">
        <v>1250</v>
      </c>
      <c r="L270" s="247" t="s">
        <v>1125</v>
      </c>
      <c r="M270" s="308">
        <v>7.3</v>
      </c>
      <c r="N270" s="308">
        <v>0.7</v>
      </c>
      <c r="O270" s="308">
        <v>5.3</v>
      </c>
      <c r="P270" s="308">
        <v>1.3</v>
      </c>
      <c r="Q270" s="308">
        <v>0</v>
      </c>
      <c r="R270" s="247">
        <v>8</v>
      </c>
      <c r="S270" s="247">
        <v>0</v>
      </c>
      <c r="T270" s="247">
        <v>0</v>
      </c>
      <c r="U270" s="247">
        <v>0</v>
      </c>
      <c r="W270" s="284">
        <v>7.3</v>
      </c>
      <c r="X270" s="284">
        <v>0.7</v>
      </c>
      <c r="Y270" s="284">
        <v>5.3</v>
      </c>
      <c r="Z270" s="284">
        <v>1.3</v>
      </c>
      <c r="AA270" s="284">
        <v>0</v>
      </c>
      <c r="AB270" s="284">
        <v>8</v>
      </c>
      <c r="AC270" s="284">
        <v>0</v>
      </c>
      <c r="AE270" s="285">
        <v>4307493.824749846</v>
      </c>
      <c r="AF270" s="286">
        <v>0</v>
      </c>
      <c r="AG270" s="287">
        <v>451657.82637065224</v>
      </c>
      <c r="AH270" s="288">
        <v>247801.34993626349</v>
      </c>
      <c r="AI270" s="289">
        <v>5006953.0010567615</v>
      </c>
      <c r="AJ270" s="266"/>
      <c r="AK270" s="285">
        <v>840710.12041614403</v>
      </c>
      <c r="AL270" s="286">
        <v>0</v>
      </c>
      <c r="AM270" s="286">
        <v>307642.5</v>
      </c>
      <c r="AN270" s="290">
        <v>191163.6</v>
      </c>
      <c r="AO270" s="289">
        <v>1339516.220416144</v>
      </c>
      <c r="AP270" s="291">
        <v>3667436.7806406175</v>
      </c>
    </row>
    <row r="271" spans="1:42" ht="15.75" x14ac:dyDescent="0.25">
      <c r="A271" s="247">
        <v>3446957</v>
      </c>
      <c r="B271" t="s">
        <v>1806</v>
      </c>
      <c r="C271">
        <v>0</v>
      </c>
      <c r="D271" s="247">
        <v>3446957</v>
      </c>
      <c r="E271" s="247" t="s">
        <v>425</v>
      </c>
      <c r="F271" s="247" t="s">
        <v>425</v>
      </c>
      <c r="G271" s="247" t="s">
        <v>1288</v>
      </c>
      <c r="H271" s="247">
        <v>3446957</v>
      </c>
      <c r="I271" s="247" t="s">
        <v>1131</v>
      </c>
      <c r="J271" s="247">
        <v>2020</v>
      </c>
      <c r="K271" s="248" t="s">
        <v>1282</v>
      </c>
      <c r="L271" s="247" t="s">
        <v>1125</v>
      </c>
      <c r="M271" s="308">
        <v>1.4</v>
      </c>
      <c r="N271" s="308">
        <v>0.3</v>
      </c>
      <c r="O271" s="308">
        <v>1</v>
      </c>
      <c r="P271" s="308">
        <v>0</v>
      </c>
      <c r="Q271" s="308">
        <v>0.1</v>
      </c>
      <c r="R271" s="247">
        <v>0</v>
      </c>
      <c r="S271" s="247">
        <v>0</v>
      </c>
      <c r="T271" s="247">
        <v>5</v>
      </c>
      <c r="U271" s="247">
        <v>0</v>
      </c>
      <c r="W271" s="284">
        <v>1.4</v>
      </c>
      <c r="X271" s="284">
        <v>0.3</v>
      </c>
      <c r="Y271" s="284">
        <v>1</v>
      </c>
      <c r="Z271" s="284">
        <v>0</v>
      </c>
      <c r="AA271" s="284">
        <v>0.1</v>
      </c>
      <c r="AB271" s="284">
        <v>0</v>
      </c>
      <c r="AC271" s="284">
        <v>5</v>
      </c>
      <c r="AE271" s="285">
        <v>1041288.266681593</v>
      </c>
      <c r="AF271" s="286">
        <v>0</v>
      </c>
      <c r="AG271" s="287">
        <v>139531.26793154559</v>
      </c>
      <c r="AH271" s="288">
        <v>27384.755259692589</v>
      </c>
      <c r="AI271" s="289">
        <v>1208204.2898728312</v>
      </c>
      <c r="AJ271" s="266"/>
      <c r="AK271" s="285">
        <v>148382.81045751635</v>
      </c>
      <c r="AL271" s="286">
        <v>0</v>
      </c>
      <c r="AM271" s="286">
        <v>0</v>
      </c>
      <c r="AN271" s="290">
        <v>27261.538461538461</v>
      </c>
      <c r="AO271" s="289">
        <v>175644.34891905481</v>
      </c>
      <c r="AP271" s="291">
        <v>1032559.9409537764</v>
      </c>
    </row>
    <row r="272" spans="1:42" ht="15.75" x14ac:dyDescent="0.25">
      <c r="A272" s="247">
        <v>1546097</v>
      </c>
      <c r="B272" t="s">
        <v>1806</v>
      </c>
      <c r="C272">
        <v>0</v>
      </c>
      <c r="D272" s="247">
        <v>1546097</v>
      </c>
      <c r="E272" s="247" t="s">
        <v>997</v>
      </c>
      <c r="F272" s="247" t="s">
        <v>997</v>
      </c>
      <c r="G272" s="247" t="s">
        <v>1310</v>
      </c>
      <c r="H272" s="247">
        <v>1546097</v>
      </c>
      <c r="I272" s="247" t="s">
        <v>1087</v>
      </c>
      <c r="J272" s="247">
        <v>2020</v>
      </c>
      <c r="K272" s="248" t="s">
        <v>1311</v>
      </c>
      <c r="L272" s="247" t="s">
        <v>1086</v>
      </c>
      <c r="M272" s="308">
        <v>69.37</v>
      </c>
      <c r="N272" s="308">
        <v>2.4</v>
      </c>
      <c r="O272" s="308">
        <v>58.69</v>
      </c>
      <c r="P272" s="308">
        <v>8.2799999999999994</v>
      </c>
      <c r="Q272" s="308">
        <v>0</v>
      </c>
      <c r="R272" s="247">
        <v>98</v>
      </c>
      <c r="S272" s="247">
        <v>0</v>
      </c>
      <c r="T272" s="247">
        <v>0</v>
      </c>
      <c r="U272" s="247">
        <v>0</v>
      </c>
      <c r="W272" s="284">
        <v>69.37</v>
      </c>
      <c r="X272" s="284">
        <v>2.4</v>
      </c>
      <c r="Y272" s="284">
        <v>58.69</v>
      </c>
      <c r="Z272" s="284">
        <v>8.2799999999999994</v>
      </c>
      <c r="AA272" s="284">
        <v>0</v>
      </c>
      <c r="AB272" s="284">
        <v>98</v>
      </c>
      <c r="AC272" s="284">
        <v>0</v>
      </c>
      <c r="AE272" s="285">
        <v>40869484.396510497</v>
      </c>
      <c r="AF272" s="286">
        <v>7031421.1852691108</v>
      </c>
      <c r="AG272" s="287">
        <v>10308751.464529881</v>
      </c>
      <c r="AH272" s="288">
        <v>6621452.5658342913</v>
      </c>
      <c r="AI272" s="289">
        <v>64831109.612143777</v>
      </c>
      <c r="AJ272" s="266"/>
      <c r="AK272" s="285">
        <v>10399794.876470588</v>
      </c>
      <c r="AL272" s="286">
        <v>2582273.0980392154</v>
      </c>
      <c r="AM272" s="286">
        <v>4687855.7894736845</v>
      </c>
      <c r="AN272" s="290">
        <v>4436425.7</v>
      </c>
      <c r="AO272" s="289">
        <v>22106349.463983487</v>
      </c>
      <c r="AP272" s="291">
        <v>42724760.148160294</v>
      </c>
    </row>
    <row r="273" spans="1:42" ht="15.75" x14ac:dyDescent="0.25">
      <c r="A273" s="247">
        <v>2089762</v>
      </c>
      <c r="B273" t="s">
        <v>1806</v>
      </c>
      <c r="C273">
        <v>0</v>
      </c>
      <c r="D273" s="247">
        <v>2089762</v>
      </c>
      <c r="E273" s="247" t="s">
        <v>1001</v>
      </c>
      <c r="F273" s="247" t="s">
        <v>1001</v>
      </c>
      <c r="G273" s="247" t="s">
        <v>1310</v>
      </c>
      <c r="H273" s="247">
        <v>2089762</v>
      </c>
      <c r="I273" s="247" t="s">
        <v>1087</v>
      </c>
      <c r="J273" s="247">
        <v>2020</v>
      </c>
      <c r="K273" s="248" t="s">
        <v>1311</v>
      </c>
      <c r="L273" s="247" t="s">
        <v>1086</v>
      </c>
      <c r="M273" s="308">
        <v>49</v>
      </c>
      <c r="N273" s="308">
        <v>2</v>
      </c>
      <c r="O273" s="308">
        <v>40</v>
      </c>
      <c r="P273" s="308">
        <v>7</v>
      </c>
      <c r="Q273" s="308">
        <v>0</v>
      </c>
      <c r="R273" s="247">
        <v>65</v>
      </c>
      <c r="S273" s="247">
        <v>0</v>
      </c>
      <c r="T273" s="247">
        <v>0</v>
      </c>
      <c r="U273" s="247">
        <v>0</v>
      </c>
      <c r="W273" s="284">
        <v>49</v>
      </c>
      <c r="X273" s="284">
        <v>2</v>
      </c>
      <c r="Y273" s="284">
        <v>40</v>
      </c>
      <c r="Z273" s="284">
        <v>7</v>
      </c>
      <c r="AA273" s="284">
        <v>0</v>
      </c>
      <c r="AB273" s="284">
        <v>65</v>
      </c>
      <c r="AC273" s="284">
        <v>0</v>
      </c>
      <c r="AE273" s="285">
        <v>28098188.650408264</v>
      </c>
      <c r="AF273" s="286">
        <v>5944438.2001067363</v>
      </c>
      <c r="AG273" s="287">
        <v>6837437.1958616562</v>
      </c>
      <c r="AH273" s="288">
        <v>4391779.7630533567</v>
      </c>
      <c r="AI273" s="289">
        <v>45271843.809430018</v>
      </c>
      <c r="AJ273" s="266"/>
      <c r="AK273" s="285">
        <v>6897823.1323529417</v>
      </c>
      <c r="AL273" s="286">
        <v>1712732.1568627451</v>
      </c>
      <c r="AM273" s="286">
        <v>3109292.1052631582</v>
      </c>
      <c r="AN273" s="290">
        <v>2942527.25</v>
      </c>
      <c r="AO273" s="289">
        <v>14662374.644478846</v>
      </c>
      <c r="AP273" s="291">
        <v>30609469.164951172</v>
      </c>
    </row>
    <row r="274" spans="1:42" ht="15.75" x14ac:dyDescent="0.25">
      <c r="A274" s="247">
        <v>3473171</v>
      </c>
      <c r="B274" t="s">
        <v>1806</v>
      </c>
      <c r="C274">
        <v>0</v>
      </c>
      <c r="D274" s="247">
        <v>3473171</v>
      </c>
      <c r="E274" s="247" t="s">
        <v>425</v>
      </c>
      <c r="F274" s="247" t="s">
        <v>425</v>
      </c>
      <c r="G274" s="247" t="s">
        <v>1310</v>
      </c>
      <c r="H274" s="247">
        <v>3473171</v>
      </c>
      <c r="I274" s="247" t="s">
        <v>1087</v>
      </c>
      <c r="J274" s="247">
        <v>2020</v>
      </c>
      <c r="K274" s="248" t="s">
        <v>1311</v>
      </c>
      <c r="L274" s="247" t="s">
        <v>1086</v>
      </c>
      <c r="M274" s="308">
        <v>61.585000000000001</v>
      </c>
      <c r="N274" s="308">
        <v>2.8</v>
      </c>
      <c r="O274" s="308">
        <v>51.5</v>
      </c>
      <c r="P274" s="308">
        <v>6.5</v>
      </c>
      <c r="Q274" s="308">
        <v>0.78500000000000003</v>
      </c>
      <c r="R274" s="247">
        <v>109</v>
      </c>
      <c r="S274" s="247">
        <v>0</v>
      </c>
      <c r="T274" s="247">
        <v>0</v>
      </c>
      <c r="U274" s="247">
        <v>0</v>
      </c>
      <c r="W274" s="284">
        <v>61.585000000000001</v>
      </c>
      <c r="X274" s="284">
        <v>2.8</v>
      </c>
      <c r="Y274" s="284">
        <v>51.5</v>
      </c>
      <c r="Z274" s="284">
        <v>6.5</v>
      </c>
      <c r="AA274" s="284">
        <v>0.78500000000000003</v>
      </c>
      <c r="AB274" s="284">
        <v>109</v>
      </c>
      <c r="AC274" s="284">
        <v>0</v>
      </c>
      <c r="AE274" s="285">
        <v>36852112.423993789</v>
      </c>
      <c r="AF274" s="286">
        <v>5519835.4715276835</v>
      </c>
      <c r="AG274" s="287">
        <v>11465856.220752623</v>
      </c>
      <c r="AH274" s="288">
        <v>7364676.8334279358</v>
      </c>
      <c r="AI274" s="289">
        <v>61202480.949702024</v>
      </c>
      <c r="AJ274" s="266"/>
      <c r="AK274" s="285">
        <v>11567118.791176472</v>
      </c>
      <c r="AL274" s="286">
        <v>2872120.0784313725</v>
      </c>
      <c r="AM274" s="286">
        <v>5214043.6842105268</v>
      </c>
      <c r="AN274" s="290">
        <v>4934391.8500000006</v>
      </c>
      <c r="AO274" s="289">
        <v>24587674.403818373</v>
      </c>
      <c r="AP274" s="291">
        <v>36614806.545883656</v>
      </c>
    </row>
    <row r="275" spans="1:42" ht="15.75" x14ac:dyDescent="0.25">
      <c r="A275" s="247">
        <v>3713907</v>
      </c>
      <c r="B275" t="s">
        <v>1806</v>
      </c>
      <c r="C275">
        <v>0</v>
      </c>
      <c r="D275" s="247">
        <v>3713907</v>
      </c>
      <c r="E275" s="247" t="s">
        <v>509</v>
      </c>
      <c r="F275" s="247" t="s">
        <v>509</v>
      </c>
      <c r="G275" s="247" t="s">
        <v>1310</v>
      </c>
      <c r="H275" s="247">
        <v>3713907</v>
      </c>
      <c r="I275" s="247" t="s">
        <v>1087</v>
      </c>
      <c r="J275" s="247">
        <v>2020</v>
      </c>
      <c r="K275" s="248" t="s">
        <v>1311</v>
      </c>
      <c r="L275" s="247" t="s">
        <v>1086</v>
      </c>
      <c r="M275" s="308">
        <v>37.299999999999997</v>
      </c>
      <c r="N275" s="308">
        <v>1.9</v>
      </c>
      <c r="O275" s="308">
        <v>27.4</v>
      </c>
      <c r="P275" s="308">
        <v>8</v>
      </c>
      <c r="Q275" s="308">
        <v>0</v>
      </c>
      <c r="R275" s="247">
        <v>74</v>
      </c>
      <c r="S275" s="247">
        <v>0</v>
      </c>
      <c r="T275" s="247">
        <v>0</v>
      </c>
      <c r="U275" s="247">
        <v>0</v>
      </c>
      <c r="W275" s="284">
        <v>37.299999999999997</v>
      </c>
      <c r="X275" s="284">
        <v>1.9</v>
      </c>
      <c r="Y275" s="284">
        <v>27.4</v>
      </c>
      <c r="Z275" s="284">
        <v>8</v>
      </c>
      <c r="AA275" s="284">
        <v>0</v>
      </c>
      <c r="AB275" s="284">
        <v>74</v>
      </c>
      <c r="AC275" s="284">
        <v>0</v>
      </c>
      <c r="AE275" s="285">
        <v>19601831.606118146</v>
      </c>
      <c r="AF275" s="286">
        <v>6793643.6572648417</v>
      </c>
      <c r="AG275" s="287">
        <v>7784159.2691348083</v>
      </c>
      <c r="AH275" s="288">
        <v>4999872.3456299752</v>
      </c>
      <c r="AI275" s="289">
        <v>39179506.878147766</v>
      </c>
      <c r="AJ275" s="266"/>
      <c r="AK275" s="285">
        <v>7852906.3352941182</v>
      </c>
      <c r="AL275" s="286">
        <v>1949879.6862745096</v>
      </c>
      <c r="AM275" s="286">
        <v>3539809.4736842108</v>
      </c>
      <c r="AN275" s="290">
        <v>3349954.1</v>
      </c>
      <c r="AO275" s="289">
        <v>16692549.595252838</v>
      </c>
      <c r="AP275" s="291">
        <v>22486957.282894928</v>
      </c>
    </row>
    <row r="276" spans="1:42" ht="15.75" x14ac:dyDescent="0.25">
      <c r="A276" s="247">
        <v>4721932</v>
      </c>
      <c r="B276" t="s">
        <v>1806</v>
      </c>
      <c r="C276">
        <v>0</v>
      </c>
      <c r="D276" s="247">
        <v>4721932</v>
      </c>
      <c r="E276" s="247" t="s">
        <v>420</v>
      </c>
      <c r="F276" s="247" t="s">
        <v>420</v>
      </c>
      <c r="G276" s="247" t="s">
        <v>1312</v>
      </c>
      <c r="H276" s="247">
        <v>4721932</v>
      </c>
      <c r="I276" s="247" t="s">
        <v>1087</v>
      </c>
      <c r="J276" s="247">
        <v>2020</v>
      </c>
      <c r="K276" s="248" t="s">
        <v>1311</v>
      </c>
      <c r="L276" s="247" t="s">
        <v>1086</v>
      </c>
      <c r="M276" s="308">
        <v>53.3</v>
      </c>
      <c r="N276" s="308">
        <v>4</v>
      </c>
      <c r="O276" s="308">
        <v>39.700000000000003</v>
      </c>
      <c r="P276" s="308">
        <v>9.6</v>
      </c>
      <c r="Q276" s="308">
        <v>0</v>
      </c>
      <c r="R276" s="247">
        <v>79</v>
      </c>
      <c r="S276" s="247">
        <v>0</v>
      </c>
      <c r="T276" s="247">
        <v>0</v>
      </c>
      <c r="U276" s="247">
        <v>0</v>
      </c>
      <c r="W276" s="284">
        <v>53.3</v>
      </c>
      <c r="X276" s="284">
        <v>4</v>
      </c>
      <c r="Y276" s="284">
        <v>39.700000000000003</v>
      </c>
      <c r="Z276" s="284">
        <v>9.6</v>
      </c>
      <c r="AA276" s="284">
        <v>0</v>
      </c>
      <c r="AB276" s="284">
        <v>79</v>
      </c>
      <c r="AC276" s="284">
        <v>0</v>
      </c>
      <c r="AE276" s="285">
        <v>29235496.286258124</v>
      </c>
      <c r="AF276" s="286">
        <v>8152372.3887178097</v>
      </c>
      <c r="AG276" s="287">
        <v>8310115.9765087822</v>
      </c>
      <c r="AH276" s="288">
        <v>5337701.5581725407</v>
      </c>
      <c r="AI276" s="289">
        <v>51035686.209657252</v>
      </c>
      <c r="AJ276" s="266"/>
      <c r="AK276" s="285">
        <v>8383508.114705883</v>
      </c>
      <c r="AL276" s="286">
        <v>2081628.3137254901</v>
      </c>
      <c r="AM276" s="286">
        <v>3778985.7894736845</v>
      </c>
      <c r="AN276" s="290">
        <v>3576302.35</v>
      </c>
      <c r="AO276" s="289">
        <v>17820424.567905057</v>
      </c>
      <c r="AP276" s="291">
        <v>33215261.641752195</v>
      </c>
    </row>
    <row r="277" spans="1:42" ht="15.75" x14ac:dyDescent="0.25">
      <c r="A277" s="247">
        <v>5000179</v>
      </c>
      <c r="B277" t="s">
        <v>1806</v>
      </c>
      <c r="C277">
        <v>0</v>
      </c>
      <c r="D277" s="247">
        <v>5000179</v>
      </c>
      <c r="E277" s="247" t="s">
        <v>261</v>
      </c>
      <c r="F277" s="247" t="s">
        <v>257</v>
      </c>
      <c r="G277" s="247" t="s">
        <v>1310</v>
      </c>
      <c r="H277" s="247">
        <v>5000179</v>
      </c>
      <c r="I277" s="247" t="s">
        <v>1087</v>
      </c>
      <c r="J277" s="247">
        <v>2020</v>
      </c>
      <c r="K277" s="248" t="s">
        <v>1311</v>
      </c>
      <c r="L277" s="247" t="s">
        <v>1086</v>
      </c>
      <c r="M277" s="308">
        <v>66.5</v>
      </c>
      <c r="N277" s="308">
        <v>2</v>
      </c>
      <c r="O277" s="308">
        <v>54.5</v>
      </c>
      <c r="P277" s="308">
        <v>9</v>
      </c>
      <c r="Q277" s="308">
        <v>1</v>
      </c>
      <c r="R277" s="247">
        <v>58</v>
      </c>
      <c r="S277" s="247">
        <v>0</v>
      </c>
      <c r="T277" s="247">
        <v>0</v>
      </c>
      <c r="U277" s="247">
        <v>0</v>
      </c>
      <c r="W277" s="284">
        <v>66.5</v>
      </c>
      <c r="X277" s="284">
        <v>2</v>
      </c>
      <c r="Y277" s="284">
        <v>54.5</v>
      </c>
      <c r="Z277" s="284">
        <v>9</v>
      </c>
      <c r="AA277" s="284">
        <v>1</v>
      </c>
      <c r="AB277" s="284">
        <v>58</v>
      </c>
      <c r="AC277" s="284">
        <v>0</v>
      </c>
      <c r="AE277" s="285">
        <v>38467758.271392271</v>
      </c>
      <c r="AF277" s="286">
        <v>7642849.1144229472</v>
      </c>
      <c r="AG277" s="287">
        <v>6101097.8055380927</v>
      </c>
      <c r="AH277" s="288">
        <v>3918818.8654937642</v>
      </c>
      <c r="AI277" s="289">
        <v>56130524.056847081</v>
      </c>
      <c r="AJ277" s="266"/>
      <c r="AK277" s="285">
        <v>6154980.6411764706</v>
      </c>
      <c r="AL277" s="286">
        <v>1528284.0784313725</v>
      </c>
      <c r="AM277" s="286">
        <v>2774445.2631578948</v>
      </c>
      <c r="AN277" s="290">
        <v>2625639.7000000002</v>
      </c>
      <c r="AO277" s="289">
        <v>13083349.682765737</v>
      </c>
      <c r="AP277" s="291">
        <v>43047174.374081343</v>
      </c>
    </row>
    <row r="278" spans="1:42" ht="15.75" x14ac:dyDescent="0.25">
      <c r="A278" s="247">
        <v>6945387</v>
      </c>
      <c r="B278" t="s">
        <v>1806</v>
      </c>
      <c r="C278">
        <v>0</v>
      </c>
      <c r="D278" s="247">
        <v>6945387</v>
      </c>
      <c r="E278" s="247" t="s">
        <v>528</v>
      </c>
      <c r="F278" s="247" t="s">
        <v>523</v>
      </c>
      <c r="G278" s="247" t="s">
        <v>1310</v>
      </c>
      <c r="H278" s="247">
        <v>6945387</v>
      </c>
      <c r="I278" s="247" t="s">
        <v>1087</v>
      </c>
      <c r="J278" s="247">
        <v>2020</v>
      </c>
      <c r="K278" s="248" t="s">
        <v>1311</v>
      </c>
      <c r="L278" s="247" t="s">
        <v>1086</v>
      </c>
      <c r="M278" s="308">
        <v>19</v>
      </c>
      <c r="N278" s="308">
        <v>1</v>
      </c>
      <c r="O278" s="308">
        <v>12.8</v>
      </c>
      <c r="P278" s="308">
        <v>5.2</v>
      </c>
      <c r="Q278" s="308">
        <v>0</v>
      </c>
      <c r="R278" s="247">
        <v>43</v>
      </c>
      <c r="S278" s="247">
        <v>0</v>
      </c>
      <c r="T278" s="247">
        <v>0</v>
      </c>
      <c r="U278" s="247">
        <v>0</v>
      </c>
      <c r="W278" s="284">
        <v>19</v>
      </c>
      <c r="X278" s="284">
        <v>1</v>
      </c>
      <c r="Y278" s="284">
        <v>12.8</v>
      </c>
      <c r="Z278" s="284">
        <v>5.2</v>
      </c>
      <c r="AA278" s="284">
        <v>0</v>
      </c>
      <c r="AB278" s="284">
        <v>43</v>
      </c>
      <c r="AC278" s="284">
        <v>0</v>
      </c>
      <c r="AE278" s="285">
        <v>9232261.9851341452</v>
      </c>
      <c r="AF278" s="286">
        <v>4415868.3772221468</v>
      </c>
      <c r="AG278" s="287">
        <v>4523227.6834161729</v>
      </c>
      <c r="AH278" s="288">
        <v>2905331.2278660666</v>
      </c>
      <c r="AI278" s="289">
        <v>21076689.273638532</v>
      </c>
      <c r="AJ278" s="266"/>
      <c r="AK278" s="285">
        <v>4563175.302941177</v>
      </c>
      <c r="AL278" s="286">
        <v>1133038.1960784313</v>
      </c>
      <c r="AM278" s="286">
        <v>2056916.3157894739</v>
      </c>
      <c r="AN278" s="290">
        <v>1946594.95</v>
      </c>
      <c r="AO278" s="289">
        <v>9699724.7648090813</v>
      </c>
      <c r="AP278" s="291">
        <v>11376964.50882945</v>
      </c>
    </row>
    <row r="279" spans="1:42" ht="15.75" x14ac:dyDescent="0.25">
      <c r="A279" s="247">
        <v>8338145</v>
      </c>
      <c r="B279" t="s">
        <v>1806</v>
      </c>
      <c r="C279">
        <v>0</v>
      </c>
      <c r="D279" s="247">
        <v>8338145</v>
      </c>
      <c r="E279" s="247" t="s">
        <v>485</v>
      </c>
      <c r="F279" s="247" t="s">
        <v>485</v>
      </c>
      <c r="G279" s="247" t="s">
        <v>1310</v>
      </c>
      <c r="H279" s="247">
        <v>8338145</v>
      </c>
      <c r="I279" s="247" t="s">
        <v>1087</v>
      </c>
      <c r="J279" s="247">
        <v>2020</v>
      </c>
      <c r="K279" s="248" t="s">
        <v>1311</v>
      </c>
      <c r="L279" s="247" t="s">
        <v>1086</v>
      </c>
      <c r="M279" s="308">
        <v>6.13</v>
      </c>
      <c r="N279" s="308">
        <v>0.2</v>
      </c>
      <c r="O279" s="308">
        <v>4.9499999999999993</v>
      </c>
      <c r="P279" s="308">
        <v>0.98</v>
      </c>
      <c r="Q279" s="308">
        <v>0</v>
      </c>
      <c r="R279" s="247">
        <v>5</v>
      </c>
      <c r="S279" s="247">
        <v>0</v>
      </c>
      <c r="T279" s="247">
        <v>0</v>
      </c>
      <c r="U279" s="247">
        <v>0</v>
      </c>
      <c r="W279" s="284">
        <v>6.13</v>
      </c>
      <c r="X279" s="284">
        <v>0.2</v>
      </c>
      <c r="Y279" s="284">
        <v>4.9499999999999993</v>
      </c>
      <c r="Z279" s="284">
        <v>0.98</v>
      </c>
      <c r="AA279" s="284">
        <v>0</v>
      </c>
      <c r="AB279" s="284">
        <v>5</v>
      </c>
      <c r="AC279" s="284">
        <v>0</v>
      </c>
      <c r="AE279" s="285">
        <v>3445373.132133394</v>
      </c>
      <c r="AF279" s="286">
        <v>832221.34801494307</v>
      </c>
      <c r="AG279" s="287">
        <v>525956.70737397356</v>
      </c>
      <c r="AH279" s="288">
        <v>337829.21254256589</v>
      </c>
      <c r="AI279" s="289">
        <v>5141380.4000648763</v>
      </c>
      <c r="AJ279" s="266"/>
      <c r="AK279" s="285">
        <v>530601.7794117647</v>
      </c>
      <c r="AL279" s="286">
        <v>131748.62745098039</v>
      </c>
      <c r="AM279" s="286">
        <v>239176.31578947371</v>
      </c>
      <c r="AN279" s="290">
        <v>226348.25</v>
      </c>
      <c r="AO279" s="289">
        <v>1127874.9726522188</v>
      </c>
      <c r="AP279" s="291">
        <v>4013505.4274126575</v>
      </c>
    </row>
    <row r="280" spans="1:42" ht="15.75" x14ac:dyDescent="0.25">
      <c r="A280" s="247">
        <v>9445282</v>
      </c>
      <c r="B280" t="s">
        <v>1806</v>
      </c>
      <c r="C280">
        <v>0</v>
      </c>
      <c r="D280" s="247">
        <v>9445282</v>
      </c>
      <c r="E280" s="247" t="s">
        <v>506</v>
      </c>
      <c r="F280" s="247" t="s">
        <v>506</v>
      </c>
      <c r="G280" s="247" t="s">
        <v>1310</v>
      </c>
      <c r="H280" s="247">
        <v>9445282</v>
      </c>
      <c r="I280" s="247" t="s">
        <v>1087</v>
      </c>
      <c r="J280" s="247">
        <v>2020</v>
      </c>
      <c r="K280" s="248" t="s">
        <v>1311</v>
      </c>
      <c r="L280" s="247" t="s">
        <v>1086</v>
      </c>
      <c r="M280" s="308">
        <v>37</v>
      </c>
      <c r="N280" s="308">
        <v>3</v>
      </c>
      <c r="O280" s="308">
        <v>26</v>
      </c>
      <c r="P280" s="308">
        <v>8</v>
      </c>
      <c r="Q280" s="308">
        <v>0</v>
      </c>
      <c r="R280" s="247">
        <v>70</v>
      </c>
      <c r="S280" s="247">
        <v>0</v>
      </c>
      <c r="T280" s="247">
        <v>0</v>
      </c>
      <c r="U280" s="247">
        <v>0</v>
      </c>
      <c r="W280" s="284">
        <v>37</v>
      </c>
      <c r="X280" s="284">
        <v>3</v>
      </c>
      <c r="Y280" s="284">
        <v>26</v>
      </c>
      <c r="Z280" s="284">
        <v>8</v>
      </c>
      <c r="AA280" s="284">
        <v>0</v>
      </c>
      <c r="AB280" s="284">
        <v>70</v>
      </c>
      <c r="AC280" s="284">
        <v>0</v>
      </c>
      <c r="AE280" s="285">
        <v>19401130.258615229</v>
      </c>
      <c r="AF280" s="286">
        <v>6793643.6572648417</v>
      </c>
      <c r="AG280" s="287">
        <v>7363393.9032356301</v>
      </c>
      <c r="AH280" s="288">
        <v>4729608.9755959222</v>
      </c>
      <c r="AI280" s="289">
        <v>38287776.79471162</v>
      </c>
      <c r="AJ280" s="266"/>
      <c r="AK280" s="285">
        <v>7428424.9117647065</v>
      </c>
      <c r="AL280" s="286">
        <v>1844480.7843137253</v>
      </c>
      <c r="AM280" s="286">
        <v>3348468.4210526319</v>
      </c>
      <c r="AN280" s="290">
        <v>3168875.5</v>
      </c>
      <c r="AO280" s="289">
        <v>15790249.617131062</v>
      </c>
      <c r="AP280" s="291">
        <v>22497527.177580558</v>
      </c>
    </row>
    <row r="281" spans="1:42" ht="15.75" x14ac:dyDescent="0.25">
      <c r="A281" s="247">
        <v>1872907</v>
      </c>
      <c r="B281" t="s">
        <v>1806</v>
      </c>
      <c r="C281">
        <v>0</v>
      </c>
      <c r="D281" s="247">
        <v>1872907</v>
      </c>
      <c r="E281" s="247" t="s">
        <v>496</v>
      </c>
      <c r="F281" s="247" t="s">
        <v>496</v>
      </c>
      <c r="G281" s="247" t="s">
        <v>1319</v>
      </c>
      <c r="H281" s="247">
        <v>1872907</v>
      </c>
      <c r="I281" s="247" t="s">
        <v>1073</v>
      </c>
      <c r="J281" s="247">
        <v>2020</v>
      </c>
      <c r="K281" s="248" t="s">
        <v>1316</v>
      </c>
      <c r="L281" s="247" t="s">
        <v>1125</v>
      </c>
      <c r="M281" s="308">
        <v>20</v>
      </c>
      <c r="N281" s="308">
        <v>1</v>
      </c>
      <c r="O281" s="308">
        <v>13</v>
      </c>
      <c r="P281" s="308">
        <v>6</v>
      </c>
      <c r="Q281" s="308">
        <v>0</v>
      </c>
      <c r="R281" s="247">
        <v>45</v>
      </c>
      <c r="S281" s="247">
        <v>0</v>
      </c>
      <c r="T281" s="247">
        <v>0</v>
      </c>
      <c r="U281" s="247">
        <v>0</v>
      </c>
      <c r="W281" s="284">
        <v>20</v>
      </c>
      <c r="X281" s="284">
        <v>1</v>
      </c>
      <c r="Y281" s="284">
        <v>13</v>
      </c>
      <c r="Z281" s="284">
        <v>6</v>
      </c>
      <c r="AA281" s="284">
        <v>0</v>
      </c>
      <c r="AB281" s="284">
        <v>45</v>
      </c>
      <c r="AC281" s="284">
        <v>0</v>
      </c>
      <c r="AE281" s="285">
        <v>9541579.1462926641</v>
      </c>
      <c r="AF281" s="286">
        <v>5088543.5243934849</v>
      </c>
      <c r="AG281" s="287">
        <v>4559080.4725199761</v>
      </c>
      <c r="AH281" s="288">
        <v>3195906.1744456007</v>
      </c>
      <c r="AI281" s="289">
        <v>22385109.317651723</v>
      </c>
      <c r="AJ281" s="266"/>
      <c r="AK281" s="285">
        <v>5052171.8320138538</v>
      </c>
      <c r="AL281" s="286">
        <v>1316019.0942028984</v>
      </c>
      <c r="AM281" s="286">
        <v>3461569.8581560282</v>
      </c>
      <c r="AN281" s="290">
        <v>2289467.8331801472</v>
      </c>
      <c r="AO281" s="289">
        <v>12119228.617552929</v>
      </c>
      <c r="AP281" s="291">
        <v>10265880.700098794</v>
      </c>
    </row>
    <row r="282" spans="1:42" ht="15.75" x14ac:dyDescent="0.25">
      <c r="A282" s="247">
        <v>2749776</v>
      </c>
      <c r="B282" t="s">
        <v>1806</v>
      </c>
      <c r="C282">
        <v>0</v>
      </c>
      <c r="D282" s="247">
        <v>2749776</v>
      </c>
      <c r="E282" s="247" t="s">
        <v>467</v>
      </c>
      <c r="F282" s="247" t="s">
        <v>467</v>
      </c>
      <c r="G282" s="247" t="s">
        <v>1321</v>
      </c>
      <c r="H282" s="247">
        <v>2749776</v>
      </c>
      <c r="I282" s="247" t="s">
        <v>1061</v>
      </c>
      <c r="J282" s="247">
        <v>2020</v>
      </c>
      <c r="K282" s="248" t="s">
        <v>1316</v>
      </c>
      <c r="L282" s="247" t="s">
        <v>1125</v>
      </c>
      <c r="M282" s="308">
        <v>20</v>
      </c>
      <c r="N282" s="308">
        <v>1</v>
      </c>
      <c r="O282" s="308">
        <v>11</v>
      </c>
      <c r="P282" s="308">
        <v>8</v>
      </c>
      <c r="Q282" s="308">
        <v>0</v>
      </c>
      <c r="R282" s="247">
        <v>53</v>
      </c>
      <c r="S282" s="247">
        <v>0</v>
      </c>
      <c r="T282" s="247">
        <v>0</v>
      </c>
      <c r="U282" s="247">
        <v>0</v>
      </c>
      <c r="W282" s="284">
        <v>20</v>
      </c>
      <c r="X282" s="284">
        <v>1</v>
      </c>
      <c r="Y282" s="284">
        <v>11</v>
      </c>
      <c r="Z282" s="284">
        <v>8</v>
      </c>
      <c r="AA282" s="284">
        <v>0</v>
      </c>
      <c r="AB282" s="284">
        <v>53</v>
      </c>
      <c r="AC282" s="284">
        <v>0</v>
      </c>
      <c r="AE282" s="285">
        <v>8178496.4111079974</v>
      </c>
      <c r="AF282" s="286">
        <v>6784724.6991913132</v>
      </c>
      <c r="AG282" s="287">
        <v>5369583.667634638</v>
      </c>
      <c r="AH282" s="288">
        <v>3764067.272124819</v>
      </c>
      <c r="AI282" s="289">
        <v>24096872.050058767</v>
      </c>
      <c r="AJ282" s="266"/>
      <c r="AK282" s="285">
        <v>5950335.7132607615</v>
      </c>
      <c r="AL282" s="286">
        <v>1549978.0442834138</v>
      </c>
      <c r="AM282" s="286">
        <v>4076960.0551615446</v>
      </c>
      <c r="AN282" s="290">
        <v>2696484.3368566176</v>
      </c>
      <c r="AO282" s="289">
        <v>14273758.149562337</v>
      </c>
      <c r="AP282" s="291">
        <v>9823113.9004964307</v>
      </c>
    </row>
    <row r="283" spans="1:42" ht="15.75" x14ac:dyDescent="0.25">
      <c r="A283" s="247">
        <v>2801353</v>
      </c>
      <c r="B283" t="s">
        <v>1806</v>
      </c>
      <c r="C283">
        <v>0</v>
      </c>
      <c r="D283" s="247">
        <v>2801353</v>
      </c>
      <c r="E283" s="247" t="s">
        <v>477</v>
      </c>
      <c r="F283" s="247" t="s">
        <v>477</v>
      </c>
      <c r="G283" s="247" t="s">
        <v>1321</v>
      </c>
      <c r="H283" s="247">
        <v>2801353</v>
      </c>
      <c r="I283" s="247" t="s">
        <v>1061</v>
      </c>
      <c r="J283" s="247">
        <v>2020</v>
      </c>
      <c r="K283" s="248" t="s">
        <v>1316</v>
      </c>
      <c r="L283" s="247" t="s">
        <v>1125</v>
      </c>
      <c r="M283" s="308">
        <v>36</v>
      </c>
      <c r="N283" s="308">
        <v>2</v>
      </c>
      <c r="O283" s="308">
        <v>24</v>
      </c>
      <c r="P283" s="308">
        <v>10</v>
      </c>
      <c r="Q283" s="308">
        <v>0</v>
      </c>
      <c r="R283" s="247">
        <v>64</v>
      </c>
      <c r="S283" s="247">
        <v>0</v>
      </c>
      <c r="T283" s="247">
        <v>0</v>
      </c>
      <c r="U283" s="247">
        <v>0</v>
      </c>
      <c r="W283" s="284">
        <v>36</v>
      </c>
      <c r="X283" s="284">
        <v>2</v>
      </c>
      <c r="Y283" s="284">
        <v>24</v>
      </c>
      <c r="Z283" s="284">
        <v>10</v>
      </c>
      <c r="AA283" s="284">
        <v>0</v>
      </c>
      <c r="AB283" s="284">
        <v>64</v>
      </c>
      <c r="AC283" s="284">
        <v>0</v>
      </c>
      <c r="AE283" s="285">
        <v>17720075.557400662</v>
      </c>
      <c r="AF283" s="286">
        <v>8480905.8739891425</v>
      </c>
      <c r="AG283" s="287">
        <v>6484025.5609172992</v>
      </c>
      <c r="AH283" s="288">
        <v>4545288.7814337434</v>
      </c>
      <c r="AI283" s="289">
        <v>37230295.77374085</v>
      </c>
      <c r="AJ283" s="266"/>
      <c r="AK283" s="285">
        <v>7185311.0499752592</v>
      </c>
      <c r="AL283" s="286">
        <v>1871671.6006441223</v>
      </c>
      <c r="AM283" s="286">
        <v>4923121.5760441292</v>
      </c>
      <c r="AN283" s="290">
        <v>3256132.0294117648</v>
      </c>
      <c r="AO283" s="289">
        <v>17236236.256075278</v>
      </c>
      <c r="AP283" s="291">
        <v>19994059.517665572</v>
      </c>
    </row>
    <row r="284" spans="1:42" ht="15.75" x14ac:dyDescent="0.25">
      <c r="A284" s="247">
        <v>2837121</v>
      </c>
      <c r="B284" t="s">
        <v>1806</v>
      </c>
      <c r="C284">
        <v>0</v>
      </c>
      <c r="D284" s="247">
        <v>2837121</v>
      </c>
      <c r="E284" s="247" t="s">
        <v>447</v>
      </c>
      <c r="F284" s="247" t="s">
        <v>447</v>
      </c>
      <c r="G284" s="247" t="s">
        <v>1320</v>
      </c>
      <c r="H284" s="247">
        <v>2837121</v>
      </c>
      <c r="I284" s="247" t="s">
        <v>1058</v>
      </c>
      <c r="J284" s="247">
        <v>2020</v>
      </c>
      <c r="K284" s="248" t="s">
        <v>1316</v>
      </c>
      <c r="L284" s="247" t="s">
        <v>1125</v>
      </c>
      <c r="M284" s="308">
        <v>10.029999999999999</v>
      </c>
      <c r="N284" s="308">
        <v>0.64</v>
      </c>
      <c r="O284" s="308">
        <v>7.4700000000000006</v>
      </c>
      <c r="P284" s="308">
        <v>1.92</v>
      </c>
      <c r="Q284" s="308">
        <v>0</v>
      </c>
      <c r="R284" s="247">
        <v>16</v>
      </c>
      <c r="S284" s="247">
        <v>0</v>
      </c>
      <c r="T284" s="247">
        <v>0</v>
      </c>
      <c r="U284" s="247">
        <v>0</v>
      </c>
      <c r="W284" s="284">
        <v>10.029999999999999</v>
      </c>
      <c r="X284" s="284">
        <v>0.64</v>
      </c>
      <c r="Y284" s="284">
        <v>7.4700000000000006</v>
      </c>
      <c r="Z284" s="284">
        <v>1.92</v>
      </c>
      <c r="AA284" s="284">
        <v>0</v>
      </c>
      <c r="AB284" s="284">
        <v>16</v>
      </c>
      <c r="AC284" s="284">
        <v>0</v>
      </c>
      <c r="AE284" s="285">
        <v>5527300.4911738224</v>
      </c>
      <c r="AF284" s="286">
        <v>1628333.927805915</v>
      </c>
      <c r="AG284" s="287">
        <v>1621006.3902293248</v>
      </c>
      <c r="AH284" s="288">
        <v>1136322.1953584359</v>
      </c>
      <c r="AI284" s="289">
        <v>9912963.0045675002</v>
      </c>
      <c r="AJ284" s="266"/>
      <c r="AK284" s="285">
        <v>1796327.7624938148</v>
      </c>
      <c r="AL284" s="286">
        <v>467917.90016103059</v>
      </c>
      <c r="AM284" s="286">
        <v>1230780.3940110323</v>
      </c>
      <c r="AN284" s="290">
        <v>814033.0073529412</v>
      </c>
      <c r="AO284" s="289">
        <v>4309059.0640188195</v>
      </c>
      <c r="AP284" s="291">
        <v>5603903.9405486807</v>
      </c>
    </row>
    <row r="285" spans="1:42" ht="15.75" x14ac:dyDescent="0.25">
      <c r="A285" s="247">
        <v>3529182</v>
      </c>
      <c r="B285" t="s">
        <v>1806</v>
      </c>
      <c r="C285">
        <v>0</v>
      </c>
      <c r="D285" s="247">
        <v>3529182</v>
      </c>
      <c r="E285" s="247" t="s">
        <v>519</v>
      </c>
      <c r="F285" s="247" t="s">
        <v>519</v>
      </c>
      <c r="G285" s="247" t="s">
        <v>1320</v>
      </c>
      <c r="H285" s="247">
        <v>3529182</v>
      </c>
      <c r="I285" s="247" t="s">
        <v>1058</v>
      </c>
      <c r="J285" s="247">
        <v>2020</v>
      </c>
      <c r="K285" s="248" t="s">
        <v>1316</v>
      </c>
      <c r="L285" s="247" t="s">
        <v>1125</v>
      </c>
      <c r="M285" s="308">
        <v>18.3</v>
      </c>
      <c r="N285" s="308">
        <v>2</v>
      </c>
      <c r="O285" s="308">
        <v>10</v>
      </c>
      <c r="P285" s="308">
        <v>6.3</v>
      </c>
      <c r="Q285" s="308">
        <v>0</v>
      </c>
      <c r="R285" s="247">
        <v>48</v>
      </c>
      <c r="S285" s="247">
        <v>0</v>
      </c>
      <c r="T285" s="247">
        <v>0</v>
      </c>
      <c r="U285" s="247">
        <v>0</v>
      </c>
      <c r="W285" s="284">
        <v>18.3</v>
      </c>
      <c r="X285" s="284">
        <v>2</v>
      </c>
      <c r="Y285" s="284">
        <v>10</v>
      </c>
      <c r="Z285" s="284">
        <v>6.3</v>
      </c>
      <c r="AA285" s="284">
        <v>0</v>
      </c>
      <c r="AB285" s="284">
        <v>48</v>
      </c>
      <c r="AC285" s="284">
        <v>0</v>
      </c>
      <c r="AE285" s="285">
        <v>8178496.4111079974</v>
      </c>
      <c r="AF285" s="286">
        <v>5342970.7006131588</v>
      </c>
      <c r="AG285" s="287">
        <v>4863019.1706879744</v>
      </c>
      <c r="AH285" s="288">
        <v>3408966.5860753078</v>
      </c>
      <c r="AI285" s="289">
        <v>21793452.868484437</v>
      </c>
      <c r="AJ285" s="266"/>
      <c r="AK285" s="285">
        <v>5388983.287481444</v>
      </c>
      <c r="AL285" s="286">
        <v>1403753.7004830916</v>
      </c>
      <c r="AM285" s="286">
        <v>3692341.1820330969</v>
      </c>
      <c r="AN285" s="290">
        <v>2442099.0220588236</v>
      </c>
      <c r="AO285" s="289">
        <v>12927177.192056457</v>
      </c>
      <c r="AP285" s="291">
        <v>8866275.6764279809</v>
      </c>
    </row>
    <row r="286" spans="1:42" ht="15.75" x14ac:dyDescent="0.25">
      <c r="A286" s="247">
        <v>3943362</v>
      </c>
      <c r="B286" t="s">
        <v>1806</v>
      </c>
      <c r="C286">
        <v>0</v>
      </c>
      <c r="D286" s="247">
        <v>3943362</v>
      </c>
      <c r="E286" s="247" t="s">
        <v>464</v>
      </c>
      <c r="F286" s="247" t="s">
        <v>464</v>
      </c>
      <c r="G286" s="247" t="s">
        <v>1319</v>
      </c>
      <c r="H286" s="247">
        <v>3943362</v>
      </c>
      <c r="I286" s="247" t="s">
        <v>1073</v>
      </c>
      <c r="J286" s="247">
        <v>2020</v>
      </c>
      <c r="K286" s="248" t="s">
        <v>1316</v>
      </c>
      <c r="L286" s="247" t="s">
        <v>1125</v>
      </c>
      <c r="M286" s="308">
        <v>23</v>
      </c>
      <c r="N286" s="308">
        <v>2</v>
      </c>
      <c r="O286" s="308">
        <v>13</v>
      </c>
      <c r="P286" s="308">
        <v>8</v>
      </c>
      <c r="Q286" s="308">
        <v>0</v>
      </c>
      <c r="R286" s="247">
        <v>52</v>
      </c>
      <c r="S286" s="247">
        <v>0</v>
      </c>
      <c r="T286" s="247">
        <v>0</v>
      </c>
      <c r="U286" s="247">
        <v>0</v>
      </c>
      <c r="W286" s="284">
        <v>23</v>
      </c>
      <c r="X286" s="284">
        <v>2</v>
      </c>
      <c r="Y286" s="284">
        <v>13</v>
      </c>
      <c r="Z286" s="284">
        <v>8</v>
      </c>
      <c r="AA286" s="284">
        <v>0</v>
      </c>
      <c r="AB286" s="284">
        <v>52</v>
      </c>
      <c r="AC286" s="284">
        <v>0</v>
      </c>
      <c r="AE286" s="285">
        <v>10223120.513884997</v>
      </c>
      <c r="AF286" s="286">
        <v>6784724.6991913132</v>
      </c>
      <c r="AG286" s="287">
        <v>5268270.7682453059</v>
      </c>
      <c r="AH286" s="288">
        <v>3693047.1349149165</v>
      </c>
      <c r="AI286" s="289">
        <v>25969163.11623653</v>
      </c>
      <c r="AJ286" s="266"/>
      <c r="AK286" s="285">
        <v>5838065.2281048978</v>
      </c>
      <c r="AL286" s="286">
        <v>1520733.1755233493</v>
      </c>
      <c r="AM286" s="286">
        <v>4000036.2805358549</v>
      </c>
      <c r="AN286" s="290">
        <v>2645607.2738970588</v>
      </c>
      <c r="AO286" s="289">
        <v>14004441.958061161</v>
      </c>
      <c r="AP286" s="291">
        <v>11964721.15817537</v>
      </c>
    </row>
    <row r="287" spans="1:42" ht="15.75" x14ac:dyDescent="0.25">
      <c r="A287" s="247">
        <v>4753225</v>
      </c>
      <c r="B287" t="s">
        <v>1806</v>
      </c>
      <c r="C287">
        <v>0</v>
      </c>
      <c r="D287" s="247">
        <v>4753225</v>
      </c>
      <c r="E287" s="247" t="s">
        <v>453</v>
      </c>
      <c r="F287" s="247" t="s">
        <v>453</v>
      </c>
      <c r="G287" s="247" t="s">
        <v>1325</v>
      </c>
      <c r="H287" s="247">
        <v>4753225</v>
      </c>
      <c r="I287" s="247" t="s">
        <v>1134</v>
      </c>
      <c r="J287" s="247">
        <v>2020</v>
      </c>
      <c r="K287" s="248" t="s">
        <v>1316</v>
      </c>
      <c r="L287" s="247" t="s">
        <v>1125</v>
      </c>
      <c r="M287" s="308">
        <v>38.799999999999997</v>
      </c>
      <c r="N287" s="308">
        <v>4</v>
      </c>
      <c r="O287" s="308">
        <v>24.55</v>
      </c>
      <c r="P287" s="308">
        <v>10.25</v>
      </c>
      <c r="Q287" s="308">
        <v>0</v>
      </c>
      <c r="R287" s="247">
        <v>80</v>
      </c>
      <c r="S287" s="247">
        <v>0</v>
      </c>
      <c r="T287" s="247">
        <v>0</v>
      </c>
      <c r="U287" s="247">
        <v>0</v>
      </c>
      <c r="W287" s="284">
        <v>38.799999999999997</v>
      </c>
      <c r="X287" s="284">
        <v>4</v>
      </c>
      <c r="Y287" s="284">
        <v>24.55</v>
      </c>
      <c r="Z287" s="284">
        <v>10.25</v>
      </c>
      <c r="AA287" s="284">
        <v>0</v>
      </c>
      <c r="AB287" s="284">
        <v>80</v>
      </c>
      <c r="AC287" s="284">
        <v>0</v>
      </c>
      <c r="AE287" s="285">
        <v>19458006.04476111</v>
      </c>
      <c r="AF287" s="286">
        <v>8692928.5208388697</v>
      </c>
      <c r="AG287" s="287">
        <v>8105031.9511466241</v>
      </c>
      <c r="AH287" s="288">
        <v>5681610.976792179</v>
      </c>
      <c r="AI287" s="289">
        <v>41937577.493538782</v>
      </c>
      <c r="AJ287" s="266"/>
      <c r="AK287" s="285">
        <v>8981638.8124690745</v>
      </c>
      <c r="AL287" s="286">
        <v>2339589.500805153</v>
      </c>
      <c r="AM287" s="286">
        <v>6153901.970055161</v>
      </c>
      <c r="AN287" s="290">
        <v>4070165.036764706</v>
      </c>
      <c r="AO287" s="289">
        <v>21545295.320094097</v>
      </c>
      <c r="AP287" s="291">
        <v>20392282.173444685</v>
      </c>
    </row>
    <row r="288" spans="1:42" ht="15.75" x14ac:dyDescent="0.25">
      <c r="A288" s="247">
        <v>5040302</v>
      </c>
      <c r="B288" t="s">
        <v>1806</v>
      </c>
      <c r="C288">
        <v>0</v>
      </c>
      <c r="D288" s="247">
        <v>5040302</v>
      </c>
      <c r="E288" s="247" t="s">
        <v>456</v>
      </c>
      <c r="F288" s="247" t="s">
        <v>456</v>
      </c>
      <c r="G288" s="247" t="s">
        <v>1326</v>
      </c>
      <c r="H288" s="247">
        <v>5040302</v>
      </c>
      <c r="I288" s="247" t="s">
        <v>1223</v>
      </c>
      <c r="J288" s="247">
        <v>2020</v>
      </c>
      <c r="K288" s="248" t="s">
        <v>1316</v>
      </c>
      <c r="L288" s="247" t="s">
        <v>1125</v>
      </c>
      <c r="M288" s="308">
        <v>21</v>
      </c>
      <c r="N288" s="308">
        <v>2</v>
      </c>
      <c r="O288" s="308">
        <v>12</v>
      </c>
      <c r="P288" s="308">
        <v>7</v>
      </c>
      <c r="Q288" s="308">
        <v>0</v>
      </c>
      <c r="R288" s="247">
        <v>47</v>
      </c>
      <c r="S288" s="247">
        <v>0</v>
      </c>
      <c r="T288" s="247">
        <v>0</v>
      </c>
      <c r="U288" s="247">
        <v>0</v>
      </c>
      <c r="W288" s="284">
        <v>21</v>
      </c>
      <c r="X288" s="284">
        <v>2</v>
      </c>
      <c r="Y288" s="284">
        <v>12</v>
      </c>
      <c r="Z288" s="284">
        <v>7</v>
      </c>
      <c r="AA288" s="284">
        <v>0</v>
      </c>
      <c r="AB288" s="284">
        <v>47</v>
      </c>
      <c r="AC288" s="284">
        <v>0</v>
      </c>
      <c r="AE288" s="285">
        <v>9541579.1462926641</v>
      </c>
      <c r="AF288" s="286">
        <v>5936634.1117923986</v>
      </c>
      <c r="AG288" s="287">
        <v>4761706.2712986413</v>
      </c>
      <c r="AH288" s="288">
        <v>3337946.4488654053</v>
      </c>
      <c r="AI288" s="289">
        <v>23577865.97824911</v>
      </c>
      <c r="AJ288" s="266"/>
      <c r="AK288" s="285">
        <v>5276712.8023255812</v>
      </c>
      <c r="AL288" s="286">
        <v>1374508.8317230274</v>
      </c>
      <c r="AM288" s="286">
        <v>3615417.4074074072</v>
      </c>
      <c r="AN288" s="290">
        <v>2391221.9590992648</v>
      </c>
      <c r="AO288" s="289">
        <v>12657861.000555281</v>
      </c>
      <c r="AP288" s="291">
        <v>10920004.97769383</v>
      </c>
    </row>
    <row r="289" spans="1:42" ht="15.75" x14ac:dyDescent="0.25">
      <c r="A289" s="247">
        <v>5869239</v>
      </c>
      <c r="B289" t="s">
        <v>1806</v>
      </c>
      <c r="C289">
        <v>0</v>
      </c>
      <c r="D289" s="247">
        <v>5869239</v>
      </c>
      <c r="E289" s="247" t="s">
        <v>525</v>
      </c>
      <c r="F289" s="247" t="s">
        <v>523</v>
      </c>
      <c r="G289" s="247" t="s">
        <v>1321</v>
      </c>
      <c r="H289" s="247">
        <v>5869239</v>
      </c>
      <c r="I289" s="247" t="s">
        <v>1061</v>
      </c>
      <c r="J289" s="247">
        <v>2020</v>
      </c>
      <c r="K289" s="248" t="s">
        <v>1316</v>
      </c>
      <c r="L289" s="247" t="s">
        <v>1125</v>
      </c>
      <c r="M289" s="308">
        <v>48.5</v>
      </c>
      <c r="N289" s="308">
        <v>4</v>
      </c>
      <c r="O289" s="308">
        <v>31.2</v>
      </c>
      <c r="P289" s="308">
        <v>13.3</v>
      </c>
      <c r="Q289" s="308">
        <v>0</v>
      </c>
      <c r="R289" s="247">
        <v>103</v>
      </c>
      <c r="S289" s="247">
        <v>0</v>
      </c>
      <c r="T289" s="247">
        <v>0</v>
      </c>
      <c r="U289" s="247">
        <v>0</v>
      </c>
      <c r="W289" s="284">
        <v>48.5</v>
      </c>
      <c r="X289" s="284">
        <v>4</v>
      </c>
      <c r="Y289" s="284">
        <v>31.2</v>
      </c>
      <c r="Z289" s="284">
        <v>13.3</v>
      </c>
      <c r="AA289" s="284">
        <v>0</v>
      </c>
      <c r="AB289" s="284">
        <v>103</v>
      </c>
      <c r="AC289" s="284">
        <v>0</v>
      </c>
      <c r="AE289" s="285">
        <v>23990256.139250129</v>
      </c>
      <c r="AF289" s="286">
        <v>11279604.812405558</v>
      </c>
      <c r="AG289" s="287">
        <v>10435228.637101278</v>
      </c>
      <c r="AH289" s="288">
        <v>7315074.1326199304</v>
      </c>
      <c r="AI289" s="289">
        <v>53020163.721376896</v>
      </c>
      <c r="AJ289" s="266"/>
      <c r="AK289" s="285">
        <v>11563859.971053934</v>
      </c>
      <c r="AL289" s="286">
        <v>3012221.4822866344</v>
      </c>
      <c r="AM289" s="286">
        <v>7923148.78644602</v>
      </c>
      <c r="AN289" s="290">
        <v>5240337.4848345593</v>
      </c>
      <c r="AO289" s="289">
        <v>27739567.724621147</v>
      </c>
      <c r="AP289" s="291">
        <v>25280595.996755749</v>
      </c>
    </row>
    <row r="290" spans="1:42" ht="15.75" x14ac:dyDescent="0.25">
      <c r="A290" s="247">
        <v>6565956</v>
      </c>
      <c r="B290" t="s">
        <v>1806</v>
      </c>
      <c r="C290">
        <v>0</v>
      </c>
      <c r="D290" s="247">
        <v>6565956</v>
      </c>
      <c r="E290" s="247" t="s">
        <v>502</v>
      </c>
      <c r="F290" s="247" t="s">
        <v>502</v>
      </c>
      <c r="G290" s="247" t="s">
        <v>1329</v>
      </c>
      <c r="H290" s="247">
        <v>6565956</v>
      </c>
      <c r="I290" s="247" t="s">
        <v>1128</v>
      </c>
      <c r="J290" s="247">
        <v>2020</v>
      </c>
      <c r="K290" s="248" t="s">
        <v>1316</v>
      </c>
      <c r="L290" s="247" t="s">
        <v>1125</v>
      </c>
      <c r="M290" s="308">
        <v>21.68</v>
      </c>
      <c r="N290" s="308">
        <v>1.22</v>
      </c>
      <c r="O290" s="308">
        <v>11.2</v>
      </c>
      <c r="P290" s="308">
        <v>9.26</v>
      </c>
      <c r="Q290" s="308">
        <v>0</v>
      </c>
      <c r="R290" s="247">
        <v>55</v>
      </c>
      <c r="S290" s="247">
        <v>0</v>
      </c>
      <c r="T290" s="247">
        <v>0</v>
      </c>
      <c r="U290" s="247">
        <v>0</v>
      </c>
      <c r="V290" s="313"/>
      <c r="W290" s="284">
        <v>21.68</v>
      </c>
      <c r="X290" s="284">
        <v>1.22</v>
      </c>
      <c r="Y290" s="284">
        <v>11.2</v>
      </c>
      <c r="Z290" s="284">
        <v>9.26</v>
      </c>
      <c r="AA290" s="284">
        <v>0</v>
      </c>
      <c r="AB290" s="284">
        <v>55</v>
      </c>
      <c r="AC290" s="284">
        <v>0</v>
      </c>
      <c r="AD290" s="313"/>
      <c r="AE290" s="285">
        <v>8464743.7854967769</v>
      </c>
      <c r="AF290" s="286">
        <v>7853318.8393139448</v>
      </c>
      <c r="AG290" s="287">
        <v>5572209.4664133042</v>
      </c>
      <c r="AH290" s="288">
        <v>3906107.5465446231</v>
      </c>
      <c r="AI290" s="289">
        <v>25796379.637768649</v>
      </c>
      <c r="AJ290" s="266"/>
      <c r="AK290" s="285">
        <v>6174876.6835724888</v>
      </c>
      <c r="AL290" s="286">
        <v>1608467.7818035427</v>
      </c>
      <c r="AM290" s="286">
        <v>4230807.6044129236</v>
      </c>
      <c r="AN290" s="290">
        <v>2798238.4627757352</v>
      </c>
      <c r="AO290" s="289">
        <v>14812390.53256469</v>
      </c>
      <c r="AP290" s="291">
        <v>10983989.105203958</v>
      </c>
    </row>
    <row r="291" spans="1:42" ht="15.75" x14ac:dyDescent="0.25">
      <c r="A291" s="247">
        <v>6581899</v>
      </c>
      <c r="B291" t="s">
        <v>1806</v>
      </c>
      <c r="C291">
        <v>0</v>
      </c>
      <c r="D291" s="247">
        <v>6581899</v>
      </c>
      <c r="E291" s="247" t="s">
        <v>444</v>
      </c>
      <c r="F291" s="247" t="s">
        <v>444</v>
      </c>
      <c r="G291" s="247" t="s">
        <v>1330</v>
      </c>
      <c r="H291" s="247">
        <v>6581899</v>
      </c>
      <c r="I291" s="247" t="s">
        <v>1151</v>
      </c>
      <c r="J291" s="247">
        <v>2020</v>
      </c>
      <c r="K291" s="248" t="s">
        <v>1316</v>
      </c>
      <c r="L291" s="247" t="s">
        <v>1125</v>
      </c>
      <c r="M291" s="308">
        <v>47</v>
      </c>
      <c r="N291" s="308">
        <v>1</v>
      </c>
      <c r="O291" s="308">
        <v>30</v>
      </c>
      <c r="P291" s="308">
        <v>16</v>
      </c>
      <c r="Q291" s="308">
        <v>0</v>
      </c>
      <c r="R291" s="247">
        <v>115</v>
      </c>
      <c r="S291" s="247">
        <v>0</v>
      </c>
      <c r="T291" s="247">
        <v>0</v>
      </c>
      <c r="U291" s="247">
        <v>0</v>
      </c>
      <c r="W291" s="284">
        <v>47</v>
      </c>
      <c r="X291" s="284">
        <v>1</v>
      </c>
      <c r="Y291" s="284">
        <v>30</v>
      </c>
      <c r="Z291" s="284">
        <v>16</v>
      </c>
      <c r="AA291" s="284">
        <v>0</v>
      </c>
      <c r="AB291" s="284">
        <v>115</v>
      </c>
      <c r="AC291" s="284">
        <v>0</v>
      </c>
      <c r="AE291" s="285">
        <v>21127782.395362325</v>
      </c>
      <c r="AF291" s="286">
        <v>13569449.398382626</v>
      </c>
      <c r="AG291" s="287">
        <v>11650983.429773273</v>
      </c>
      <c r="AH291" s="288">
        <v>8167315.7791387578</v>
      </c>
      <c r="AI291" s="289">
        <v>54515531.002656981</v>
      </c>
      <c r="AJ291" s="266"/>
      <c r="AK291" s="285">
        <v>12911105.792924294</v>
      </c>
      <c r="AL291" s="286">
        <v>3363159.9074074072</v>
      </c>
      <c r="AM291" s="286">
        <v>8846234.0819542948</v>
      </c>
      <c r="AN291" s="290">
        <v>5850862.2403492648</v>
      </c>
      <c r="AO291" s="289">
        <v>30971362.022635259</v>
      </c>
      <c r="AP291" s="291">
        <v>23544168.980021723</v>
      </c>
    </row>
    <row r="292" spans="1:42" ht="15.75" x14ac:dyDescent="0.25">
      <c r="A292" s="247">
        <v>7630615</v>
      </c>
      <c r="B292" t="s">
        <v>1806</v>
      </c>
      <c r="C292">
        <v>0</v>
      </c>
      <c r="D292" s="247">
        <v>7630615</v>
      </c>
      <c r="E292" s="247" t="s">
        <v>1331</v>
      </c>
      <c r="F292" s="247" t="s">
        <v>515</v>
      </c>
      <c r="G292" s="247" t="s">
        <v>1320</v>
      </c>
      <c r="H292" s="247">
        <v>7630615</v>
      </c>
      <c r="I292" s="247" t="s">
        <v>1058</v>
      </c>
      <c r="J292" s="247">
        <v>2020</v>
      </c>
      <c r="K292" s="248" t="s">
        <v>1316</v>
      </c>
      <c r="L292" s="247" t="s">
        <v>1125</v>
      </c>
      <c r="M292" s="308">
        <v>130.19999999999999</v>
      </c>
      <c r="N292" s="308">
        <v>6.5</v>
      </c>
      <c r="O292" s="308">
        <v>97.4</v>
      </c>
      <c r="P292" s="308">
        <v>26.3</v>
      </c>
      <c r="Q292" s="308">
        <v>0</v>
      </c>
      <c r="R292" s="247">
        <v>282</v>
      </c>
      <c r="S292" s="247">
        <v>0</v>
      </c>
      <c r="T292" s="247">
        <v>0</v>
      </c>
      <c r="U292" s="247">
        <v>0</v>
      </c>
      <c r="W292" s="284">
        <v>130.19999999999999</v>
      </c>
      <c r="X292" s="284">
        <v>6.5</v>
      </c>
      <c r="Y292" s="284">
        <v>97.4</v>
      </c>
      <c r="Z292" s="284">
        <v>26.3</v>
      </c>
      <c r="AA292" s="284">
        <v>0</v>
      </c>
      <c r="AB292" s="284">
        <v>282</v>
      </c>
      <c r="AC292" s="284">
        <v>0</v>
      </c>
      <c r="AE292" s="285">
        <v>70812148.092843413</v>
      </c>
      <c r="AF292" s="286">
        <v>22304782.448591445</v>
      </c>
      <c r="AG292" s="287">
        <v>28570237.627791848</v>
      </c>
      <c r="AH292" s="288">
        <v>20027678.693192434</v>
      </c>
      <c r="AI292" s="289">
        <v>141714846.86241913</v>
      </c>
      <c r="AJ292" s="266"/>
      <c r="AK292" s="285">
        <v>31660276.813953485</v>
      </c>
      <c r="AL292" s="286">
        <v>8247052.9903381644</v>
      </c>
      <c r="AM292" s="286">
        <v>21692504.444444444</v>
      </c>
      <c r="AN292" s="290">
        <v>14347331.754595589</v>
      </c>
      <c r="AO292" s="289">
        <v>75947166.003331691</v>
      </c>
      <c r="AP292" s="291">
        <v>65767680.859087437</v>
      </c>
    </row>
    <row r="293" spans="1:42" ht="15.75" x14ac:dyDescent="0.25">
      <c r="A293" s="247">
        <v>8508078</v>
      </c>
      <c r="B293" t="s">
        <v>1806</v>
      </c>
      <c r="C293">
        <v>0</v>
      </c>
      <c r="D293" s="247">
        <v>8508078</v>
      </c>
      <c r="E293" s="247" t="s">
        <v>472</v>
      </c>
      <c r="F293" s="247" t="s">
        <v>472</v>
      </c>
      <c r="G293" s="247" t="s">
        <v>1321</v>
      </c>
      <c r="H293" s="247">
        <v>8508078</v>
      </c>
      <c r="I293" s="247" t="s">
        <v>1061</v>
      </c>
      <c r="J293" s="247">
        <v>2020</v>
      </c>
      <c r="K293" s="248" t="s">
        <v>1316</v>
      </c>
      <c r="L293" s="247" t="s">
        <v>1125</v>
      </c>
      <c r="M293" s="308">
        <v>36.200000000000003</v>
      </c>
      <c r="N293" s="308">
        <v>2.6</v>
      </c>
      <c r="O293" s="308">
        <v>21</v>
      </c>
      <c r="P293" s="308">
        <v>12.6</v>
      </c>
      <c r="Q293" s="308">
        <v>0</v>
      </c>
      <c r="R293" s="247">
        <v>86</v>
      </c>
      <c r="S293" s="247">
        <v>0</v>
      </c>
      <c r="T293" s="247">
        <v>0</v>
      </c>
      <c r="U293" s="247">
        <v>0</v>
      </c>
      <c r="W293" s="284">
        <v>36.200000000000003</v>
      </c>
      <c r="X293" s="284">
        <v>2.6</v>
      </c>
      <c r="Y293" s="284">
        <v>21</v>
      </c>
      <c r="Z293" s="284">
        <v>12.6</v>
      </c>
      <c r="AA293" s="284">
        <v>0</v>
      </c>
      <c r="AB293" s="284">
        <v>86</v>
      </c>
      <c r="AC293" s="284">
        <v>0</v>
      </c>
      <c r="AE293" s="285">
        <v>16084376.275179062</v>
      </c>
      <c r="AF293" s="286">
        <v>10685941.401226318</v>
      </c>
      <c r="AG293" s="287">
        <v>8712909.3474826217</v>
      </c>
      <c r="AH293" s="288">
        <v>6107731.8000515923</v>
      </c>
      <c r="AI293" s="289">
        <v>41590958.823939592</v>
      </c>
      <c r="AJ293" s="266"/>
      <c r="AK293" s="285">
        <v>9655261.7234042548</v>
      </c>
      <c r="AL293" s="286">
        <v>2515058.7133655394</v>
      </c>
      <c r="AM293" s="286">
        <v>6615444.6178092984</v>
      </c>
      <c r="AN293" s="290">
        <v>4375427.4145220593</v>
      </c>
      <c r="AO293" s="289">
        <v>23161192.469101153</v>
      </c>
      <c r="AP293" s="291">
        <v>18429766.354838438</v>
      </c>
    </row>
    <row r="294" spans="1:42" ht="15.75" x14ac:dyDescent="0.25">
      <c r="A294" s="247">
        <v>9593192</v>
      </c>
      <c r="B294" t="s">
        <v>1806</v>
      </c>
      <c r="C294">
        <v>0</v>
      </c>
      <c r="D294" s="247">
        <v>9593192</v>
      </c>
      <c r="E294" s="247" t="s">
        <v>480</v>
      </c>
      <c r="F294" s="247" t="s">
        <v>480</v>
      </c>
      <c r="G294" s="247" t="s">
        <v>1319</v>
      </c>
      <c r="H294" s="247">
        <v>9593192</v>
      </c>
      <c r="I294" s="247" t="s">
        <v>1073</v>
      </c>
      <c r="J294" s="247">
        <v>2020</v>
      </c>
      <c r="K294" s="248" t="s">
        <v>1316</v>
      </c>
      <c r="L294" s="247" t="s">
        <v>1125</v>
      </c>
      <c r="M294" s="308">
        <v>34.5</v>
      </c>
      <c r="N294" s="308">
        <v>2.5</v>
      </c>
      <c r="O294" s="308">
        <v>21</v>
      </c>
      <c r="P294" s="308">
        <v>11</v>
      </c>
      <c r="Q294" s="308">
        <v>0</v>
      </c>
      <c r="R294" s="247">
        <v>84</v>
      </c>
      <c r="S294" s="247">
        <v>0</v>
      </c>
      <c r="T294" s="247">
        <v>0</v>
      </c>
      <c r="U294" s="247">
        <v>0</v>
      </c>
      <c r="W294" s="284">
        <v>34.5</v>
      </c>
      <c r="X294" s="284">
        <v>2.5</v>
      </c>
      <c r="Y294" s="284">
        <v>21</v>
      </c>
      <c r="Z294" s="284">
        <v>11</v>
      </c>
      <c r="AA294" s="284">
        <v>0</v>
      </c>
      <c r="AB294" s="284">
        <v>84</v>
      </c>
      <c r="AC294" s="284">
        <v>0</v>
      </c>
      <c r="AE294" s="285">
        <v>16016222.138419827</v>
      </c>
      <c r="AF294" s="286">
        <v>9328996.4613880552</v>
      </c>
      <c r="AG294" s="287">
        <v>8510283.5487039555</v>
      </c>
      <c r="AH294" s="288">
        <v>5965691.5256317882</v>
      </c>
      <c r="AI294" s="289">
        <v>39821193.67414362</v>
      </c>
      <c r="AJ294" s="266"/>
      <c r="AK294" s="285">
        <v>9430720.7530925274</v>
      </c>
      <c r="AL294" s="286">
        <v>2456568.9758454105</v>
      </c>
      <c r="AM294" s="286">
        <v>6461597.0685579199</v>
      </c>
      <c r="AN294" s="290">
        <v>4273673.2886029417</v>
      </c>
      <c r="AO294" s="289">
        <v>22622560.086098798</v>
      </c>
      <c r="AP294" s="291">
        <v>17198633.588044822</v>
      </c>
    </row>
    <row r="295" spans="1:42" ht="15.75" x14ac:dyDescent="0.25">
      <c r="A295" s="247">
        <v>1450637</v>
      </c>
      <c r="B295" t="s">
        <v>1806</v>
      </c>
      <c r="C295">
        <v>0</v>
      </c>
      <c r="D295" s="247">
        <v>1450637</v>
      </c>
      <c r="E295" s="247" t="s">
        <v>440</v>
      </c>
      <c r="F295" s="247" t="s">
        <v>440</v>
      </c>
      <c r="G295" s="247" t="s">
        <v>1335</v>
      </c>
      <c r="H295" s="247">
        <v>1450637</v>
      </c>
      <c r="I295" s="247" t="s">
        <v>1063</v>
      </c>
      <c r="J295" s="247">
        <v>2020</v>
      </c>
      <c r="K295" s="248" t="s">
        <v>1336</v>
      </c>
      <c r="L295" s="247" t="s">
        <v>1057</v>
      </c>
      <c r="M295" s="308">
        <v>50</v>
      </c>
      <c r="N295" s="308">
        <v>2</v>
      </c>
      <c r="O295" s="308">
        <v>36</v>
      </c>
      <c r="P295" s="308">
        <v>12</v>
      </c>
      <c r="Q295" s="308">
        <v>0</v>
      </c>
      <c r="R295" s="247">
        <v>81</v>
      </c>
      <c r="S295" s="247">
        <v>0</v>
      </c>
      <c r="T295" s="247">
        <v>0</v>
      </c>
      <c r="U295" s="247">
        <v>0</v>
      </c>
      <c r="W295" s="284">
        <v>50</v>
      </c>
      <c r="X295" s="284">
        <v>2</v>
      </c>
      <c r="Y295" s="284">
        <v>36</v>
      </c>
      <c r="Z295" s="284">
        <v>12</v>
      </c>
      <c r="AA295" s="284">
        <v>0</v>
      </c>
      <c r="AB295" s="284">
        <v>81</v>
      </c>
      <c r="AC295" s="284">
        <v>0</v>
      </c>
      <c r="AE295" s="285">
        <v>25354669.980119571</v>
      </c>
      <c r="AF295" s="286">
        <v>10150936.384272657</v>
      </c>
      <c r="AG295" s="287">
        <v>8072279.2736791726</v>
      </c>
      <c r="AH295" s="288">
        <v>5451672.3678696118</v>
      </c>
      <c r="AI295" s="289">
        <v>49029558.005941018</v>
      </c>
      <c r="AJ295" s="266"/>
      <c r="AK295" s="285">
        <v>9725525.8200000003</v>
      </c>
      <c r="AL295" s="286">
        <v>1821049.7962499999</v>
      </c>
      <c r="AM295" s="286">
        <v>5867788.0344827585</v>
      </c>
      <c r="AN295" s="290">
        <v>4131109.35</v>
      </c>
      <c r="AO295" s="289">
        <v>21545473.000732761</v>
      </c>
      <c r="AP295" s="291">
        <v>27484085.005208258</v>
      </c>
    </row>
    <row r="296" spans="1:42" ht="15.75" x14ac:dyDescent="0.25">
      <c r="A296" s="247">
        <v>1991772</v>
      </c>
      <c r="B296" t="s">
        <v>1806</v>
      </c>
      <c r="C296">
        <v>0</v>
      </c>
      <c r="D296" s="247">
        <v>1991772</v>
      </c>
      <c r="E296" s="247" t="s">
        <v>472</v>
      </c>
      <c r="F296" s="247" t="s">
        <v>472</v>
      </c>
      <c r="G296" s="247" t="s">
        <v>1338</v>
      </c>
      <c r="H296" s="247">
        <v>1991772</v>
      </c>
      <c r="I296" s="247" t="s">
        <v>1061</v>
      </c>
      <c r="J296" s="247">
        <v>2020</v>
      </c>
      <c r="K296" s="248" t="s">
        <v>1336</v>
      </c>
      <c r="L296" s="247" t="s">
        <v>1057</v>
      </c>
      <c r="M296" s="308">
        <v>25.8</v>
      </c>
      <c r="N296" s="308">
        <v>1.4</v>
      </c>
      <c r="O296" s="308">
        <v>18</v>
      </c>
      <c r="P296" s="308">
        <v>6.4</v>
      </c>
      <c r="Q296" s="308">
        <v>0</v>
      </c>
      <c r="R296" s="247">
        <v>60</v>
      </c>
      <c r="S296" s="247">
        <v>0</v>
      </c>
      <c r="T296" s="247">
        <v>0</v>
      </c>
      <c r="U296" s="247">
        <v>0</v>
      </c>
      <c r="W296" s="284">
        <v>25.8</v>
      </c>
      <c r="X296" s="284">
        <v>1.4</v>
      </c>
      <c r="Y296" s="284">
        <v>18</v>
      </c>
      <c r="Z296" s="284">
        <v>6.4</v>
      </c>
      <c r="AA296" s="284">
        <v>0</v>
      </c>
      <c r="AB296" s="284">
        <v>60</v>
      </c>
      <c r="AC296" s="284">
        <v>0</v>
      </c>
      <c r="AE296" s="285">
        <v>12944226.253008412</v>
      </c>
      <c r="AF296" s="286">
        <v>5413832.7382787513</v>
      </c>
      <c r="AG296" s="287">
        <v>5979466.128651239</v>
      </c>
      <c r="AH296" s="288">
        <v>4038275.8280515643</v>
      </c>
      <c r="AI296" s="289">
        <v>28375800.947989967</v>
      </c>
      <c r="AJ296" s="266"/>
      <c r="AK296" s="285">
        <v>7204093.2000000002</v>
      </c>
      <c r="AL296" s="286">
        <v>1348925.7749999999</v>
      </c>
      <c r="AM296" s="286">
        <v>4346509.6551724141</v>
      </c>
      <c r="AN296" s="290">
        <v>3060081</v>
      </c>
      <c r="AO296" s="289">
        <v>15959609.630172413</v>
      </c>
      <c r="AP296" s="291">
        <v>12416191.317817554</v>
      </c>
    </row>
    <row r="297" spans="1:42" ht="15.75" x14ac:dyDescent="0.25">
      <c r="A297" s="247">
        <v>3754207</v>
      </c>
      <c r="B297" t="s">
        <v>1806</v>
      </c>
      <c r="C297">
        <v>0</v>
      </c>
      <c r="D297" s="247">
        <v>3754207</v>
      </c>
      <c r="E297" s="247" t="s">
        <v>447</v>
      </c>
      <c r="F297" s="247" t="s">
        <v>447</v>
      </c>
      <c r="G297" s="247" t="s">
        <v>1339</v>
      </c>
      <c r="H297" s="247">
        <v>3754207</v>
      </c>
      <c r="I297" s="247" t="s">
        <v>1058</v>
      </c>
      <c r="J297" s="247">
        <v>2020</v>
      </c>
      <c r="K297" s="248" t="s">
        <v>1336</v>
      </c>
      <c r="L297" s="247" t="s">
        <v>1057</v>
      </c>
      <c r="M297" s="308">
        <v>48.57</v>
      </c>
      <c r="N297" s="308">
        <v>3.36</v>
      </c>
      <c r="O297" s="308">
        <v>35.130000000000003</v>
      </c>
      <c r="P297" s="308">
        <v>10.08</v>
      </c>
      <c r="Q297" s="308">
        <v>0</v>
      </c>
      <c r="R297" s="247">
        <v>86</v>
      </c>
      <c r="S297" s="247">
        <v>0</v>
      </c>
      <c r="T297" s="247">
        <v>0</v>
      </c>
      <c r="U297" s="247">
        <v>0</v>
      </c>
      <c r="W297" s="284">
        <v>48.57</v>
      </c>
      <c r="X297" s="284">
        <v>3.36</v>
      </c>
      <c r="Y297" s="284">
        <v>35.130000000000003</v>
      </c>
      <c r="Z297" s="284">
        <v>10.08</v>
      </c>
      <c r="AA297" s="284">
        <v>0</v>
      </c>
      <c r="AB297" s="284">
        <v>86</v>
      </c>
      <c r="AC297" s="284">
        <v>0</v>
      </c>
      <c r="AE297" s="285">
        <v>25681611.777231641</v>
      </c>
      <c r="AF297" s="286">
        <v>8526786.5627890322</v>
      </c>
      <c r="AG297" s="287">
        <v>8570568.1177334432</v>
      </c>
      <c r="AH297" s="288">
        <v>5788195.3535405751</v>
      </c>
      <c r="AI297" s="289">
        <v>48567161.81129469</v>
      </c>
      <c r="AJ297" s="266"/>
      <c r="AK297" s="285">
        <v>10325866.92</v>
      </c>
      <c r="AL297" s="286">
        <v>1933460.2774999999</v>
      </c>
      <c r="AM297" s="286">
        <v>6229997.1724137934</v>
      </c>
      <c r="AN297" s="290">
        <v>4386116.0999999996</v>
      </c>
      <c r="AO297" s="289">
        <v>22875440.469913796</v>
      </c>
      <c r="AP297" s="291">
        <v>25691721.341380894</v>
      </c>
    </row>
    <row r="298" spans="1:42" ht="15.75" x14ac:dyDescent="0.25">
      <c r="A298" s="247">
        <v>5220717</v>
      </c>
      <c r="B298" t="s">
        <v>1806</v>
      </c>
      <c r="C298">
        <v>0</v>
      </c>
      <c r="D298" s="247">
        <v>5220717</v>
      </c>
      <c r="E298" s="247" t="s">
        <v>485</v>
      </c>
      <c r="F298" s="247" t="s">
        <v>485</v>
      </c>
      <c r="G298" s="247" t="s">
        <v>1340</v>
      </c>
      <c r="H298" s="247">
        <v>5220717</v>
      </c>
      <c r="I298" s="247" t="s">
        <v>1087</v>
      </c>
      <c r="J298" s="247">
        <v>2020</v>
      </c>
      <c r="K298" s="248" t="s">
        <v>1336</v>
      </c>
      <c r="L298" s="247" t="s">
        <v>1086</v>
      </c>
      <c r="M298" s="308">
        <v>33.86</v>
      </c>
      <c r="N298" s="308">
        <v>1.1000000000000001</v>
      </c>
      <c r="O298" s="308">
        <v>26.139999999999997</v>
      </c>
      <c r="P298" s="308">
        <v>6.62</v>
      </c>
      <c r="Q298" s="308">
        <v>0</v>
      </c>
      <c r="R298" s="247">
        <v>40</v>
      </c>
      <c r="S298" s="247">
        <v>0</v>
      </c>
      <c r="T298" s="247">
        <v>0</v>
      </c>
      <c r="U298" s="247">
        <v>0</v>
      </c>
      <c r="W298" s="284">
        <v>33.86</v>
      </c>
      <c r="X298" s="284">
        <v>1.1000000000000001</v>
      </c>
      <c r="Y298" s="284">
        <v>26.139999999999997</v>
      </c>
      <c r="Z298" s="284">
        <v>6.62</v>
      </c>
      <c r="AA298" s="284">
        <v>0</v>
      </c>
      <c r="AB298" s="284">
        <v>40</v>
      </c>
      <c r="AC298" s="284">
        <v>0</v>
      </c>
      <c r="AE298" s="285">
        <v>18175295.006801501</v>
      </c>
      <c r="AF298" s="286">
        <v>5599933.2386570834</v>
      </c>
      <c r="AG298" s="287">
        <v>3986310.7524341596</v>
      </c>
      <c r="AH298" s="288">
        <v>2692183.8853677092</v>
      </c>
      <c r="AI298" s="289">
        <v>30453722.883260455</v>
      </c>
      <c r="AJ298" s="266"/>
      <c r="AK298" s="285">
        <v>4802728.8</v>
      </c>
      <c r="AL298" s="286">
        <v>899283.85</v>
      </c>
      <c r="AM298" s="286">
        <v>2897673.1034482759</v>
      </c>
      <c r="AN298" s="290">
        <v>2040054</v>
      </c>
      <c r="AO298" s="289">
        <v>10639739.753448276</v>
      </c>
      <c r="AP298" s="291">
        <v>19813983.129812181</v>
      </c>
    </row>
    <row r="299" spans="1:42" ht="15.75" x14ac:dyDescent="0.25">
      <c r="A299" s="247">
        <v>5638901</v>
      </c>
      <c r="B299" t="s">
        <v>1806</v>
      </c>
      <c r="C299">
        <v>0</v>
      </c>
      <c r="D299" s="247">
        <v>5638901</v>
      </c>
      <c r="E299" s="247" t="s">
        <v>519</v>
      </c>
      <c r="F299" s="247" t="s">
        <v>519</v>
      </c>
      <c r="G299" s="247" t="s">
        <v>1339</v>
      </c>
      <c r="H299" s="247">
        <v>5638901</v>
      </c>
      <c r="I299" s="247" t="s">
        <v>1058</v>
      </c>
      <c r="J299" s="247">
        <v>2020</v>
      </c>
      <c r="K299" s="248" t="s">
        <v>1336</v>
      </c>
      <c r="L299" s="247" t="s">
        <v>1057</v>
      </c>
      <c r="M299" s="308">
        <v>31</v>
      </c>
      <c r="N299" s="308">
        <v>1.9</v>
      </c>
      <c r="O299" s="308">
        <v>23.7</v>
      </c>
      <c r="P299" s="308">
        <v>5.4</v>
      </c>
      <c r="Q299" s="308">
        <v>0</v>
      </c>
      <c r="R299" s="247">
        <v>76</v>
      </c>
      <c r="S299" s="247">
        <v>0</v>
      </c>
      <c r="T299" s="247">
        <v>0</v>
      </c>
      <c r="U299" s="247">
        <v>0</v>
      </c>
      <c r="W299" s="284">
        <v>31</v>
      </c>
      <c r="X299" s="284">
        <v>1.9</v>
      </c>
      <c r="Y299" s="284">
        <v>23.7</v>
      </c>
      <c r="Z299" s="284">
        <v>5.4</v>
      </c>
      <c r="AA299" s="284">
        <v>0</v>
      </c>
      <c r="AB299" s="284">
        <v>76</v>
      </c>
      <c r="AC299" s="284">
        <v>0</v>
      </c>
      <c r="AE299" s="285">
        <v>17081040.828712132</v>
      </c>
      <c r="AF299" s="286">
        <v>4567921.3729226962</v>
      </c>
      <c r="AG299" s="287">
        <v>7573990.429624903</v>
      </c>
      <c r="AH299" s="288">
        <v>5115149.3821986476</v>
      </c>
      <c r="AI299" s="289">
        <v>34338102.013458379</v>
      </c>
      <c r="AJ299" s="266"/>
      <c r="AK299" s="285">
        <v>9125184.7200000007</v>
      </c>
      <c r="AL299" s="286">
        <v>1708639.3149999999</v>
      </c>
      <c r="AM299" s="286">
        <v>5505578.8965517245</v>
      </c>
      <c r="AN299" s="290">
        <v>3876102.6</v>
      </c>
      <c r="AO299" s="289">
        <v>20215505.531551726</v>
      </c>
      <c r="AP299" s="291">
        <v>14122596.481906652</v>
      </c>
    </row>
    <row r="300" spans="1:42" ht="15.75" x14ac:dyDescent="0.25">
      <c r="A300" s="247">
        <v>5651221</v>
      </c>
      <c r="B300" t="s">
        <v>1806</v>
      </c>
      <c r="C300">
        <v>0</v>
      </c>
      <c r="D300" s="247">
        <v>5651221</v>
      </c>
      <c r="E300" s="247" t="s">
        <v>435</v>
      </c>
      <c r="F300" s="247" t="s">
        <v>435</v>
      </c>
      <c r="G300" s="247" t="s">
        <v>1342</v>
      </c>
      <c r="H300" s="247">
        <v>5651221</v>
      </c>
      <c r="I300" s="247" t="s">
        <v>1087</v>
      </c>
      <c r="J300" s="247">
        <v>2020</v>
      </c>
      <c r="K300" s="248" t="s">
        <v>1336</v>
      </c>
      <c r="L300" s="247" t="s">
        <v>1086</v>
      </c>
      <c r="M300" s="308">
        <v>33</v>
      </c>
      <c r="N300" s="308">
        <v>2</v>
      </c>
      <c r="O300" s="308">
        <v>23</v>
      </c>
      <c r="P300" s="308">
        <v>8</v>
      </c>
      <c r="Q300" s="308">
        <v>0</v>
      </c>
      <c r="R300" s="247">
        <v>49</v>
      </c>
      <c r="S300" s="247">
        <v>0</v>
      </c>
      <c r="T300" s="247">
        <v>0</v>
      </c>
      <c r="U300" s="247">
        <v>0</v>
      </c>
      <c r="W300" s="284">
        <v>33</v>
      </c>
      <c r="X300" s="284">
        <v>2</v>
      </c>
      <c r="Y300" s="284">
        <v>23</v>
      </c>
      <c r="Z300" s="284">
        <v>8</v>
      </c>
      <c r="AA300" s="284">
        <v>0</v>
      </c>
      <c r="AB300" s="284">
        <v>49</v>
      </c>
      <c r="AC300" s="284">
        <v>0</v>
      </c>
      <c r="AE300" s="285">
        <v>16680703.934289193</v>
      </c>
      <c r="AF300" s="286">
        <v>6767290.9228484388</v>
      </c>
      <c r="AG300" s="287">
        <v>4883230.6717318455</v>
      </c>
      <c r="AH300" s="288">
        <v>3297925.2595754443</v>
      </c>
      <c r="AI300" s="289">
        <v>31629150.788444921</v>
      </c>
      <c r="AJ300" s="266"/>
      <c r="AK300" s="285">
        <v>5883342.7800000003</v>
      </c>
      <c r="AL300" s="286">
        <v>1101622.7162499998</v>
      </c>
      <c r="AM300" s="286">
        <v>3549649.5517241382</v>
      </c>
      <c r="AN300" s="290">
        <v>2499066.15</v>
      </c>
      <c r="AO300" s="289">
        <v>13033681.197974138</v>
      </c>
      <c r="AP300" s="291">
        <v>18595469.590470783</v>
      </c>
    </row>
    <row r="301" spans="1:42" ht="15.75" x14ac:dyDescent="0.25">
      <c r="A301" s="247">
        <v>5804478</v>
      </c>
      <c r="B301" t="s">
        <v>1806</v>
      </c>
      <c r="C301">
        <v>0</v>
      </c>
      <c r="D301" s="247">
        <v>5804478</v>
      </c>
      <c r="E301" s="247" t="s">
        <v>1343</v>
      </c>
      <c r="F301" s="247" t="s">
        <v>515</v>
      </c>
      <c r="G301" s="247" t="s">
        <v>1339</v>
      </c>
      <c r="H301" s="247">
        <v>5804478</v>
      </c>
      <c r="I301" s="247" t="s">
        <v>1058</v>
      </c>
      <c r="J301" s="247">
        <v>2020</v>
      </c>
      <c r="K301" s="248" t="s">
        <v>1336</v>
      </c>
      <c r="L301" s="247" t="s">
        <v>1057</v>
      </c>
      <c r="M301" s="308">
        <v>32.6</v>
      </c>
      <c r="N301" s="308">
        <v>2.4</v>
      </c>
      <c r="O301" s="308">
        <v>26.2</v>
      </c>
      <c r="P301" s="308">
        <v>4</v>
      </c>
      <c r="Q301" s="308">
        <v>0</v>
      </c>
      <c r="R301" s="247">
        <v>58</v>
      </c>
      <c r="S301" s="247">
        <v>0</v>
      </c>
      <c r="T301" s="247">
        <v>0</v>
      </c>
      <c r="U301" s="247">
        <v>0</v>
      </c>
      <c r="W301" s="284">
        <v>32.6</v>
      </c>
      <c r="X301" s="284">
        <v>2.4</v>
      </c>
      <c r="Y301" s="284">
        <v>26.2</v>
      </c>
      <c r="Z301" s="284">
        <v>4</v>
      </c>
      <c r="AA301" s="284">
        <v>0</v>
      </c>
      <c r="AB301" s="284">
        <v>58</v>
      </c>
      <c r="AC301" s="284">
        <v>0</v>
      </c>
      <c r="AE301" s="285">
        <v>19082725.300826833</v>
      </c>
      <c r="AF301" s="286">
        <v>3383645.4614242194</v>
      </c>
      <c r="AG301" s="287">
        <v>5780150.5910295313</v>
      </c>
      <c r="AH301" s="288">
        <v>3903666.6337831789</v>
      </c>
      <c r="AI301" s="289">
        <v>32150187.987063766</v>
      </c>
      <c r="AJ301" s="266"/>
      <c r="AK301" s="285">
        <v>6963956.7599999998</v>
      </c>
      <c r="AL301" s="286">
        <v>1303961.5825</v>
      </c>
      <c r="AM301" s="286">
        <v>4201626</v>
      </c>
      <c r="AN301" s="290">
        <v>2958078.3</v>
      </c>
      <c r="AO301" s="289">
        <v>15427622.642499998</v>
      </c>
      <c r="AP301" s="291">
        <v>16722565.344563767</v>
      </c>
    </row>
    <row r="302" spans="1:42" ht="15.75" x14ac:dyDescent="0.25">
      <c r="A302" s="247">
        <v>7663376</v>
      </c>
      <c r="B302" t="s">
        <v>1806</v>
      </c>
      <c r="C302">
        <v>0</v>
      </c>
      <c r="D302" s="247">
        <v>7663376</v>
      </c>
      <c r="E302" s="247" t="s">
        <v>393</v>
      </c>
      <c r="F302" s="247" t="s">
        <v>480</v>
      </c>
      <c r="G302" s="247" t="s">
        <v>1344</v>
      </c>
      <c r="H302" s="247">
        <v>7663376</v>
      </c>
      <c r="I302" s="247" t="s">
        <v>1073</v>
      </c>
      <c r="J302" s="247">
        <v>2020</v>
      </c>
      <c r="K302" s="248" t="s">
        <v>1336</v>
      </c>
      <c r="L302" s="247" t="s">
        <v>1057</v>
      </c>
      <c r="M302" s="308">
        <v>9.5</v>
      </c>
      <c r="N302" s="308">
        <v>0.5</v>
      </c>
      <c r="O302" s="308">
        <v>6</v>
      </c>
      <c r="P302" s="308">
        <v>3</v>
      </c>
      <c r="Q302" s="308">
        <v>0</v>
      </c>
      <c r="R302" s="247">
        <v>16</v>
      </c>
      <c r="S302" s="247">
        <v>0</v>
      </c>
      <c r="T302" s="247">
        <v>0</v>
      </c>
      <c r="U302" s="247">
        <v>0</v>
      </c>
      <c r="W302" s="284">
        <v>9.5</v>
      </c>
      <c r="X302" s="284">
        <v>0.5</v>
      </c>
      <c r="Y302" s="284">
        <v>6</v>
      </c>
      <c r="Z302" s="284">
        <v>3</v>
      </c>
      <c r="AA302" s="284">
        <v>0</v>
      </c>
      <c r="AB302" s="284">
        <v>16</v>
      </c>
      <c r="AC302" s="284">
        <v>0</v>
      </c>
      <c r="AE302" s="285">
        <v>4336983.0229151901</v>
      </c>
      <c r="AF302" s="286">
        <v>2537734.0960681643</v>
      </c>
      <c r="AG302" s="287">
        <v>1594524.3009736638</v>
      </c>
      <c r="AH302" s="288">
        <v>1076873.5541470838</v>
      </c>
      <c r="AI302" s="289">
        <v>9546114.9741041008</v>
      </c>
      <c r="AJ302" s="266"/>
      <c r="AK302" s="285">
        <v>1921091.52</v>
      </c>
      <c r="AL302" s="286">
        <v>359713.54</v>
      </c>
      <c r="AM302" s="286">
        <v>1159069.2413793104</v>
      </c>
      <c r="AN302" s="290">
        <v>816021.6</v>
      </c>
      <c r="AO302" s="289">
        <v>4255895.9013793105</v>
      </c>
      <c r="AP302" s="291">
        <v>5290219.0727247903</v>
      </c>
    </row>
    <row r="303" spans="1:42" ht="15.75" x14ac:dyDescent="0.25">
      <c r="A303" s="247">
        <v>9924037</v>
      </c>
      <c r="B303" t="s">
        <v>1806</v>
      </c>
      <c r="C303">
        <v>0</v>
      </c>
      <c r="D303" s="247">
        <v>9924037</v>
      </c>
      <c r="E303" s="247" t="s">
        <v>502</v>
      </c>
      <c r="F303" s="247" t="s">
        <v>502</v>
      </c>
      <c r="G303" s="247" t="s">
        <v>1344</v>
      </c>
      <c r="H303" s="247">
        <v>9924037</v>
      </c>
      <c r="I303" s="247" t="s">
        <v>1073</v>
      </c>
      <c r="J303" s="247">
        <v>2020</v>
      </c>
      <c r="K303" s="248" t="s">
        <v>1336</v>
      </c>
      <c r="L303" s="247" t="s">
        <v>1057</v>
      </c>
      <c r="M303" s="308">
        <v>7.3</v>
      </c>
      <c r="N303" s="308">
        <v>0.15</v>
      </c>
      <c r="O303" s="308">
        <v>5.5</v>
      </c>
      <c r="P303" s="308">
        <v>1.65</v>
      </c>
      <c r="Q303" s="308">
        <v>0</v>
      </c>
      <c r="R303" s="247">
        <v>10</v>
      </c>
      <c r="S303" s="247">
        <v>0</v>
      </c>
      <c r="T303" s="247">
        <v>0</v>
      </c>
      <c r="U303" s="247">
        <v>0</v>
      </c>
      <c r="V303" s="313"/>
      <c r="W303" s="284">
        <v>7.3</v>
      </c>
      <c r="X303" s="284">
        <v>0.15</v>
      </c>
      <c r="Y303" s="284">
        <v>5.5</v>
      </c>
      <c r="Z303" s="284">
        <v>1.65</v>
      </c>
      <c r="AA303" s="284">
        <v>0</v>
      </c>
      <c r="AB303" s="284">
        <v>10</v>
      </c>
      <c r="AC303" s="284">
        <v>0</v>
      </c>
      <c r="AD303" s="313"/>
      <c r="AE303" s="285">
        <v>3769839.0891493578</v>
      </c>
      <c r="AF303" s="286">
        <v>1395753.7528374905</v>
      </c>
      <c r="AG303" s="287">
        <v>996577.68810853991</v>
      </c>
      <c r="AH303" s="288">
        <v>673045.9713419273</v>
      </c>
      <c r="AI303" s="289">
        <v>6835216.5014373157</v>
      </c>
      <c r="AJ303" s="266"/>
      <c r="AK303" s="285">
        <v>1200682.2</v>
      </c>
      <c r="AL303" s="286">
        <v>224820.96249999999</v>
      </c>
      <c r="AM303" s="286">
        <v>724418.27586206899</v>
      </c>
      <c r="AN303" s="290">
        <v>510013.5</v>
      </c>
      <c r="AO303" s="289">
        <v>2659934.938362069</v>
      </c>
      <c r="AP303" s="291">
        <v>4175281.5630752468</v>
      </c>
    </row>
    <row r="304" spans="1:42" ht="15.75" x14ac:dyDescent="0.25">
      <c r="A304" s="256">
        <v>1576566</v>
      </c>
      <c r="B304" t="s">
        <v>1806</v>
      </c>
      <c r="C304">
        <v>0</v>
      </c>
      <c r="D304" s="256">
        <v>1576566</v>
      </c>
      <c r="E304" s="256" t="s">
        <v>519</v>
      </c>
      <c r="F304" s="256" t="s">
        <v>519</v>
      </c>
      <c r="G304" s="256" t="s">
        <v>1345</v>
      </c>
      <c r="H304" s="256">
        <v>1576566</v>
      </c>
      <c r="I304" s="247" t="s">
        <v>1058</v>
      </c>
      <c r="J304" s="247">
        <v>2020</v>
      </c>
      <c r="K304" s="248" t="s">
        <v>1346</v>
      </c>
      <c r="L304" s="247" t="s">
        <v>1057</v>
      </c>
      <c r="M304" s="256">
        <v>3.4</v>
      </c>
      <c r="N304" s="256">
        <v>0.4</v>
      </c>
      <c r="O304" s="256">
        <v>3</v>
      </c>
      <c r="P304" s="256">
        <v>0</v>
      </c>
      <c r="Q304" s="256">
        <v>0</v>
      </c>
      <c r="R304" s="256">
        <v>8</v>
      </c>
      <c r="S304" s="256">
        <v>0</v>
      </c>
      <c r="T304" s="256">
        <v>0</v>
      </c>
      <c r="U304" s="256">
        <v>0</v>
      </c>
      <c r="W304" s="284">
        <v>3.4</v>
      </c>
      <c r="X304" s="284">
        <v>0.4</v>
      </c>
      <c r="Y304" s="284">
        <v>3</v>
      </c>
      <c r="Z304" s="284">
        <v>0</v>
      </c>
      <c r="AA304" s="284">
        <v>0</v>
      </c>
      <c r="AB304" s="284">
        <v>8</v>
      </c>
      <c r="AC304" s="284">
        <v>0</v>
      </c>
      <c r="AE304" s="285">
        <v>2288737.2180798515</v>
      </c>
      <c r="AF304" s="286">
        <v>0</v>
      </c>
      <c r="AG304" s="287">
        <v>453517.80308259896</v>
      </c>
      <c r="AH304" s="288">
        <v>149365.11876294299</v>
      </c>
      <c r="AI304" s="289">
        <v>2891620.1399253933</v>
      </c>
      <c r="AJ304" s="266"/>
      <c r="AK304" s="285">
        <v>245911.18298969074</v>
      </c>
      <c r="AL304" s="286">
        <v>0</v>
      </c>
      <c r="AM304" s="286">
        <v>346258.16000000003</v>
      </c>
      <c r="AN304" s="290">
        <v>150451.5</v>
      </c>
      <c r="AO304" s="289">
        <v>742620.84298969083</v>
      </c>
      <c r="AP304" s="291">
        <v>2148999.2969357027</v>
      </c>
    </row>
    <row r="305" spans="1:42" ht="15.75" x14ac:dyDescent="0.25">
      <c r="A305" s="256">
        <v>4007320</v>
      </c>
      <c r="B305" t="s">
        <v>1806</v>
      </c>
      <c r="C305">
        <v>0</v>
      </c>
      <c r="D305" s="256">
        <v>4007320</v>
      </c>
      <c r="E305" s="256" t="s">
        <v>509</v>
      </c>
      <c r="F305" s="256" t="s">
        <v>509</v>
      </c>
      <c r="G305" s="256" t="s">
        <v>1347</v>
      </c>
      <c r="H305" s="256">
        <v>4007320</v>
      </c>
      <c r="I305" s="247" t="s">
        <v>1058</v>
      </c>
      <c r="J305" s="247">
        <v>2020</v>
      </c>
      <c r="K305" s="248" t="s">
        <v>1346</v>
      </c>
      <c r="L305" s="247" t="s">
        <v>1057</v>
      </c>
      <c r="M305" s="256">
        <v>1.7</v>
      </c>
      <c r="N305" s="256">
        <v>0.1</v>
      </c>
      <c r="O305" s="256">
        <v>1.6</v>
      </c>
      <c r="P305" s="256">
        <v>0</v>
      </c>
      <c r="Q305" s="256">
        <v>0</v>
      </c>
      <c r="R305" s="256">
        <v>4</v>
      </c>
      <c r="S305" s="256">
        <v>0</v>
      </c>
      <c r="T305" s="256">
        <v>0</v>
      </c>
      <c r="U305" s="256">
        <v>0</v>
      </c>
      <c r="W305" s="284">
        <v>1.7</v>
      </c>
      <c r="X305" s="284">
        <v>0.1</v>
      </c>
      <c r="Y305" s="284">
        <v>1.6</v>
      </c>
      <c r="Z305" s="284">
        <v>0</v>
      </c>
      <c r="AA305" s="284">
        <v>0</v>
      </c>
      <c r="AB305" s="284">
        <v>4</v>
      </c>
      <c r="AC305" s="284">
        <v>0</v>
      </c>
      <c r="AE305" s="285">
        <v>1144368.6090399257</v>
      </c>
      <c r="AF305" s="286">
        <v>0</v>
      </c>
      <c r="AG305" s="287">
        <v>226758.90154129948</v>
      </c>
      <c r="AH305" s="288">
        <v>74682.559381471496</v>
      </c>
      <c r="AI305" s="289">
        <v>1445810.0699626966</v>
      </c>
      <c r="AJ305" s="266"/>
      <c r="AK305" s="285">
        <v>131152.63092783507</v>
      </c>
      <c r="AL305" s="286">
        <v>0</v>
      </c>
      <c r="AM305" s="286">
        <v>173129.08000000002</v>
      </c>
      <c r="AN305" s="290">
        <v>75225.75</v>
      </c>
      <c r="AO305" s="289">
        <v>379507.46092783508</v>
      </c>
      <c r="AP305" s="291">
        <v>1066302.6090348614</v>
      </c>
    </row>
    <row r="306" spans="1:42" ht="15.75" x14ac:dyDescent="0.25">
      <c r="A306" s="256">
        <v>4382500</v>
      </c>
      <c r="B306" t="s">
        <v>1806</v>
      </c>
      <c r="C306">
        <v>0</v>
      </c>
      <c r="D306" s="256">
        <v>4382500</v>
      </c>
      <c r="E306" s="256" t="s">
        <v>485</v>
      </c>
      <c r="F306" s="256" t="s">
        <v>485</v>
      </c>
      <c r="G306" s="256" t="s">
        <v>1348</v>
      </c>
      <c r="H306" s="256">
        <v>4382500</v>
      </c>
      <c r="I306" s="247" t="s">
        <v>1063</v>
      </c>
      <c r="J306" s="247">
        <v>2020</v>
      </c>
      <c r="K306" s="248" t="s">
        <v>1346</v>
      </c>
      <c r="L306" s="247" t="s">
        <v>1057</v>
      </c>
      <c r="M306" s="256">
        <v>3.5</v>
      </c>
      <c r="N306" s="256">
        <v>9.9999999999999978E-2</v>
      </c>
      <c r="O306" s="256">
        <v>3.4000000000000004</v>
      </c>
      <c r="P306" s="256">
        <v>0</v>
      </c>
      <c r="Q306" s="256">
        <v>0</v>
      </c>
      <c r="R306" s="256">
        <v>8</v>
      </c>
      <c r="S306" s="256">
        <v>0</v>
      </c>
      <c r="T306" s="256">
        <v>0</v>
      </c>
      <c r="U306" s="256">
        <v>0</v>
      </c>
      <c r="W306" s="284">
        <v>3.5</v>
      </c>
      <c r="X306" s="284">
        <v>9.9999999999999978E-2</v>
      </c>
      <c r="Y306" s="284">
        <v>3.4000000000000004</v>
      </c>
      <c r="Z306" s="284">
        <v>0</v>
      </c>
      <c r="AA306" s="284">
        <v>0</v>
      </c>
      <c r="AB306" s="284">
        <v>8</v>
      </c>
      <c r="AC306" s="284">
        <v>0</v>
      </c>
      <c r="AE306" s="285">
        <v>2356053.0186116118</v>
      </c>
      <c r="AF306" s="286">
        <v>0</v>
      </c>
      <c r="AG306" s="287">
        <v>453517.80308259896</v>
      </c>
      <c r="AH306" s="288">
        <v>149365.11876294299</v>
      </c>
      <c r="AI306" s="289">
        <v>2958935.9404571536</v>
      </c>
      <c r="AJ306" s="266"/>
      <c r="AK306" s="285">
        <v>278699.34072164953</v>
      </c>
      <c r="AL306" s="286">
        <v>0</v>
      </c>
      <c r="AM306" s="286">
        <v>346258.16000000003</v>
      </c>
      <c r="AN306" s="290">
        <v>150451.5</v>
      </c>
      <c r="AO306" s="289">
        <v>775409.0007216495</v>
      </c>
      <c r="AP306" s="291">
        <v>2183526.9397355039</v>
      </c>
    </row>
    <row r="307" spans="1:42" ht="15.75" x14ac:dyDescent="0.25">
      <c r="A307" s="256">
        <v>6514817</v>
      </c>
      <c r="B307" t="s">
        <v>1806</v>
      </c>
      <c r="C307">
        <v>0</v>
      </c>
      <c r="D307" s="256">
        <v>6514817</v>
      </c>
      <c r="E307" s="256" t="s">
        <v>769</v>
      </c>
      <c r="F307" s="256" t="s">
        <v>425</v>
      </c>
      <c r="G307" s="256" t="s">
        <v>1347</v>
      </c>
      <c r="H307" s="256">
        <v>6514817</v>
      </c>
      <c r="I307" s="247" t="s">
        <v>1058</v>
      </c>
      <c r="J307" s="247">
        <v>2020</v>
      </c>
      <c r="K307" s="248" t="s">
        <v>1346</v>
      </c>
      <c r="L307" s="247" t="s">
        <v>1057</v>
      </c>
      <c r="M307" s="256">
        <v>0.93</v>
      </c>
      <c r="N307" s="256">
        <v>0.3</v>
      </c>
      <c r="O307" s="256">
        <v>0.63</v>
      </c>
      <c r="P307" s="256">
        <v>0</v>
      </c>
      <c r="Q307" s="256">
        <v>0</v>
      </c>
      <c r="R307" s="256">
        <v>3</v>
      </c>
      <c r="S307" s="256">
        <v>0</v>
      </c>
      <c r="T307" s="256">
        <v>0</v>
      </c>
      <c r="U307" s="256">
        <v>0</v>
      </c>
      <c r="W307" s="284">
        <v>0.93</v>
      </c>
      <c r="X307" s="284">
        <v>0.3</v>
      </c>
      <c r="Y307" s="284">
        <v>0.63</v>
      </c>
      <c r="Z307" s="284">
        <v>0</v>
      </c>
      <c r="AA307" s="284">
        <v>0</v>
      </c>
      <c r="AB307" s="284">
        <v>3</v>
      </c>
      <c r="AC307" s="284">
        <v>0</v>
      </c>
      <c r="AE307" s="285">
        <v>626036.94494537113</v>
      </c>
      <c r="AF307" s="286">
        <v>0</v>
      </c>
      <c r="AG307" s="287">
        <v>170069.17615597462</v>
      </c>
      <c r="AH307" s="288">
        <v>56011.919536103625</v>
      </c>
      <c r="AI307" s="289">
        <v>852118.04063744936</v>
      </c>
      <c r="AJ307" s="266"/>
      <c r="AK307" s="285">
        <v>51641.348427835052</v>
      </c>
      <c r="AL307" s="286">
        <v>0</v>
      </c>
      <c r="AM307" s="286">
        <v>129846.81000000001</v>
      </c>
      <c r="AN307" s="290">
        <v>56419.3125</v>
      </c>
      <c r="AO307" s="289">
        <v>237907.47092783506</v>
      </c>
      <c r="AP307" s="291">
        <v>614210.56970961427</v>
      </c>
    </row>
    <row r="308" spans="1:42" ht="15.75" x14ac:dyDescent="0.25">
      <c r="A308" s="256">
        <v>6514817</v>
      </c>
      <c r="B308" t="s">
        <v>1806</v>
      </c>
      <c r="C308">
        <v>0</v>
      </c>
      <c r="D308" s="256">
        <v>6514817</v>
      </c>
      <c r="E308" s="256" t="s">
        <v>769</v>
      </c>
      <c r="F308" s="256" t="s">
        <v>425</v>
      </c>
      <c r="G308" s="256" t="s">
        <v>1352</v>
      </c>
      <c r="H308" s="256">
        <v>6514817</v>
      </c>
      <c r="I308" s="247" t="s">
        <v>1061</v>
      </c>
      <c r="J308" s="247">
        <v>2020</v>
      </c>
      <c r="K308" s="248" t="s">
        <v>1346</v>
      </c>
      <c r="L308" s="247" t="s">
        <v>1057</v>
      </c>
      <c r="M308" s="256">
        <v>5.3</v>
      </c>
      <c r="N308" s="256">
        <v>0.3</v>
      </c>
      <c r="O308" s="256">
        <v>5</v>
      </c>
      <c r="P308" s="256">
        <v>0</v>
      </c>
      <c r="Q308" s="256">
        <v>0</v>
      </c>
      <c r="R308" s="256">
        <v>6</v>
      </c>
      <c r="S308" s="256">
        <v>0</v>
      </c>
      <c r="T308" s="256">
        <v>0</v>
      </c>
      <c r="U308" s="256">
        <v>0</v>
      </c>
      <c r="W308" s="284">
        <v>5.3</v>
      </c>
      <c r="X308" s="284">
        <v>0.3</v>
      </c>
      <c r="Y308" s="284">
        <v>5</v>
      </c>
      <c r="Z308" s="284">
        <v>0</v>
      </c>
      <c r="AA308" s="284">
        <v>0</v>
      </c>
      <c r="AB308" s="284">
        <v>6</v>
      </c>
      <c r="AC308" s="284">
        <v>0</v>
      </c>
      <c r="AE308" s="285">
        <v>3567737.4281832976</v>
      </c>
      <c r="AF308" s="286">
        <v>0</v>
      </c>
      <c r="AG308" s="287">
        <v>340138.35231194925</v>
      </c>
      <c r="AH308" s="288">
        <v>112023.83907220725</v>
      </c>
      <c r="AI308" s="289">
        <v>4019899.6195674543</v>
      </c>
      <c r="AJ308" s="266"/>
      <c r="AK308" s="285">
        <v>409851.97164948453</v>
      </c>
      <c r="AL308" s="286">
        <v>0</v>
      </c>
      <c r="AM308" s="286">
        <v>259693.62000000002</v>
      </c>
      <c r="AN308" s="290">
        <v>112838.625</v>
      </c>
      <c r="AO308" s="289">
        <v>782384.21664948459</v>
      </c>
      <c r="AP308" s="291">
        <v>3237515.40291797</v>
      </c>
    </row>
    <row r="309" spans="1:42" ht="15.75" x14ac:dyDescent="0.25">
      <c r="A309" s="256">
        <v>6514817</v>
      </c>
      <c r="B309" t="s">
        <v>1806</v>
      </c>
      <c r="C309">
        <v>0</v>
      </c>
      <c r="D309" s="256">
        <v>6514817</v>
      </c>
      <c r="E309" s="256" t="s">
        <v>769</v>
      </c>
      <c r="F309" s="256" t="s">
        <v>425</v>
      </c>
      <c r="G309" s="256" t="s">
        <v>1353</v>
      </c>
      <c r="H309" s="256">
        <v>6514817</v>
      </c>
      <c r="I309" s="247" t="s">
        <v>1061</v>
      </c>
      <c r="J309" s="247">
        <v>2020</v>
      </c>
      <c r="K309" s="248" t="s">
        <v>1346</v>
      </c>
      <c r="L309" s="247" t="s">
        <v>1057</v>
      </c>
      <c r="M309" s="256">
        <v>5.3</v>
      </c>
      <c r="N309" s="256">
        <v>0.3</v>
      </c>
      <c r="O309" s="256">
        <v>5</v>
      </c>
      <c r="P309" s="256">
        <v>0</v>
      </c>
      <c r="Q309" s="256">
        <v>0</v>
      </c>
      <c r="R309" s="256">
        <v>14</v>
      </c>
      <c r="S309" s="256">
        <v>0</v>
      </c>
      <c r="T309" s="256">
        <v>0</v>
      </c>
      <c r="U309" s="256">
        <v>0</v>
      </c>
      <c r="W309" s="284">
        <v>5.3</v>
      </c>
      <c r="X309" s="284">
        <v>0.3</v>
      </c>
      <c r="Y309" s="284">
        <v>5</v>
      </c>
      <c r="Z309" s="284">
        <v>0</v>
      </c>
      <c r="AA309" s="284">
        <v>0</v>
      </c>
      <c r="AB309" s="284">
        <v>14</v>
      </c>
      <c r="AC309" s="284">
        <v>0</v>
      </c>
      <c r="AE309" s="285">
        <v>3567737.4281832976</v>
      </c>
      <c r="AF309" s="286">
        <v>0</v>
      </c>
      <c r="AG309" s="287">
        <v>793656.1553945482</v>
      </c>
      <c r="AH309" s="288">
        <v>261388.95783515024</v>
      </c>
      <c r="AI309" s="289">
        <v>4622782.5414129961</v>
      </c>
      <c r="AJ309" s="266"/>
      <c r="AK309" s="285">
        <v>409851.97164948453</v>
      </c>
      <c r="AL309" s="286">
        <v>0</v>
      </c>
      <c r="AM309" s="286">
        <v>605951.78</v>
      </c>
      <c r="AN309" s="290">
        <v>263290.125</v>
      </c>
      <c r="AO309" s="289">
        <v>1279093.8766494845</v>
      </c>
      <c r="AP309" s="291">
        <v>3343688.6647635116</v>
      </c>
    </row>
    <row r="310" spans="1:42" ht="15.75" x14ac:dyDescent="0.25">
      <c r="A310" s="256">
        <v>8504548</v>
      </c>
      <c r="B310" t="s">
        <v>1806</v>
      </c>
      <c r="C310">
        <v>0</v>
      </c>
      <c r="D310" s="256">
        <v>8504548</v>
      </c>
      <c r="E310" s="256" t="s">
        <v>769</v>
      </c>
      <c r="F310" s="256" t="s">
        <v>257</v>
      </c>
      <c r="G310" s="256" t="s">
        <v>1358</v>
      </c>
      <c r="H310" s="256">
        <v>8504548</v>
      </c>
      <c r="I310" s="247" t="s">
        <v>1073</v>
      </c>
      <c r="J310" s="247">
        <v>2020</v>
      </c>
      <c r="K310" s="248" t="s">
        <v>1346</v>
      </c>
      <c r="L310" s="247" t="s">
        <v>1057</v>
      </c>
      <c r="M310" s="256">
        <v>39.799999999999997</v>
      </c>
      <c r="N310" s="256">
        <v>2.2999999999999998</v>
      </c>
      <c r="O310" s="256">
        <v>37.5</v>
      </c>
      <c r="P310" s="256">
        <v>0</v>
      </c>
      <c r="Q310" s="256">
        <v>0</v>
      </c>
      <c r="R310" s="256">
        <v>45</v>
      </c>
      <c r="S310" s="256">
        <v>0</v>
      </c>
      <c r="T310" s="256">
        <v>0</v>
      </c>
      <c r="U310" s="256">
        <v>0</v>
      </c>
      <c r="W310" s="284">
        <v>39.799999999999997</v>
      </c>
      <c r="X310" s="284">
        <v>2.2999999999999998</v>
      </c>
      <c r="Y310" s="284">
        <v>37.5</v>
      </c>
      <c r="Z310" s="284">
        <v>0</v>
      </c>
      <c r="AA310" s="284">
        <v>0</v>
      </c>
      <c r="AB310" s="284">
        <v>45</v>
      </c>
      <c r="AC310" s="284">
        <v>0</v>
      </c>
      <c r="AE310" s="285">
        <v>26791688.61164061</v>
      </c>
      <c r="AF310" s="286">
        <v>0</v>
      </c>
      <c r="AG310" s="287">
        <v>2551037.6423396193</v>
      </c>
      <c r="AH310" s="288">
        <v>840178.79304155428</v>
      </c>
      <c r="AI310" s="289">
        <v>30182905.047021784</v>
      </c>
      <c r="AJ310" s="266"/>
      <c r="AK310" s="285">
        <v>3073889.7873711339</v>
      </c>
      <c r="AL310" s="286">
        <v>0</v>
      </c>
      <c r="AM310" s="286">
        <v>1947702.1500000001</v>
      </c>
      <c r="AN310" s="290">
        <v>846289.6875</v>
      </c>
      <c r="AO310" s="289">
        <v>5867881.6248711338</v>
      </c>
      <c r="AP310" s="291">
        <v>24315023.422150649</v>
      </c>
    </row>
    <row r="311" spans="1:42" ht="15.75" x14ac:dyDescent="0.25">
      <c r="A311" s="318" t="s">
        <v>1153</v>
      </c>
      <c r="B311" t="s">
        <v>1806</v>
      </c>
      <c r="C311">
        <v>0</v>
      </c>
      <c r="D311" s="318" t="s">
        <v>1153</v>
      </c>
      <c r="E311" s="254" t="s">
        <v>1001</v>
      </c>
      <c r="F311" s="254" t="s">
        <v>1001</v>
      </c>
      <c r="G311" s="254" t="s">
        <v>1359</v>
      </c>
      <c r="H311" s="318" t="s">
        <v>1153</v>
      </c>
      <c r="I311" s="247" t="s">
        <v>1063</v>
      </c>
      <c r="J311" s="247">
        <v>2020</v>
      </c>
      <c r="K311" s="248" t="s">
        <v>1346</v>
      </c>
      <c r="L311" s="247" t="s">
        <v>1057</v>
      </c>
      <c r="M311" s="256">
        <v>17</v>
      </c>
      <c r="N311" s="256">
        <v>1</v>
      </c>
      <c r="O311" s="256">
        <v>16</v>
      </c>
      <c r="P311" s="256">
        <v>0</v>
      </c>
      <c r="Q311" s="256">
        <v>0</v>
      </c>
      <c r="R311" s="256">
        <v>18</v>
      </c>
      <c r="S311" s="256">
        <v>0</v>
      </c>
      <c r="T311" s="256">
        <v>0</v>
      </c>
      <c r="U311" s="256">
        <v>0</v>
      </c>
      <c r="W311" s="284">
        <v>17</v>
      </c>
      <c r="X311" s="284">
        <v>1</v>
      </c>
      <c r="Y311" s="284">
        <v>16</v>
      </c>
      <c r="Z311" s="284">
        <v>0</v>
      </c>
      <c r="AA311" s="284">
        <v>0</v>
      </c>
      <c r="AB311" s="284">
        <v>18</v>
      </c>
      <c r="AC311" s="284">
        <v>0</v>
      </c>
      <c r="AE311" s="285">
        <v>11443686.090399258</v>
      </c>
      <c r="AF311" s="286">
        <v>0</v>
      </c>
      <c r="AG311" s="287">
        <v>1020415.0569358476</v>
      </c>
      <c r="AH311" s="288">
        <v>336071.51721662172</v>
      </c>
      <c r="AI311" s="289">
        <v>12800172.664551726</v>
      </c>
      <c r="AJ311" s="266"/>
      <c r="AK311" s="285">
        <v>1311526.3092783506</v>
      </c>
      <c r="AL311" s="286">
        <v>0</v>
      </c>
      <c r="AM311" s="286">
        <v>779080.8600000001</v>
      </c>
      <c r="AN311" s="290">
        <v>338515.875</v>
      </c>
      <c r="AO311" s="289">
        <v>2429123.0442783507</v>
      </c>
      <c r="AP311" s="291">
        <v>10371049.620273374</v>
      </c>
    </row>
    <row r="312" spans="1:42" ht="15.75" x14ac:dyDescent="0.25">
      <c r="A312" s="256">
        <v>8430922</v>
      </c>
      <c r="B312" t="s">
        <v>1806</v>
      </c>
      <c r="C312">
        <v>0</v>
      </c>
      <c r="D312" s="256">
        <v>8430922</v>
      </c>
      <c r="E312" s="256" t="s">
        <v>1379</v>
      </c>
      <c r="F312" s="256" t="s">
        <v>1380</v>
      </c>
      <c r="G312" s="256" t="s">
        <v>1376</v>
      </c>
      <c r="H312" s="256">
        <v>8430922</v>
      </c>
      <c r="I312" s="247" t="s">
        <v>1058</v>
      </c>
      <c r="J312" s="247">
        <v>2020</v>
      </c>
      <c r="K312" s="248" t="s">
        <v>1377</v>
      </c>
      <c r="L312" s="247" t="s">
        <v>1057</v>
      </c>
      <c r="M312" s="256">
        <v>2</v>
      </c>
      <c r="N312" s="256">
        <v>9.9999999999999978E-2</v>
      </c>
      <c r="O312" s="256">
        <v>1.9</v>
      </c>
      <c r="P312" s="256">
        <v>0</v>
      </c>
      <c r="Q312" s="256">
        <v>0</v>
      </c>
      <c r="R312" s="256">
        <v>0</v>
      </c>
      <c r="S312" s="256">
        <v>0</v>
      </c>
      <c r="T312" s="256">
        <v>3</v>
      </c>
      <c r="U312" s="256">
        <v>0</v>
      </c>
      <c r="W312" s="284">
        <v>2</v>
      </c>
      <c r="X312" s="284">
        <v>9.9999999999999978E-2</v>
      </c>
      <c r="Y312" s="284">
        <v>1.9</v>
      </c>
      <c r="Z312" s="284">
        <v>0</v>
      </c>
      <c r="AA312" s="284">
        <v>0</v>
      </c>
      <c r="AB312" s="284">
        <v>0</v>
      </c>
      <c r="AC312" s="284">
        <v>3</v>
      </c>
      <c r="AE312" s="285">
        <v>1351376.0236256567</v>
      </c>
      <c r="AF312" s="286">
        <v>0</v>
      </c>
      <c r="AG312" s="287">
        <v>80984.496166482495</v>
      </c>
      <c r="AH312" s="288">
        <v>0</v>
      </c>
      <c r="AI312" s="289">
        <v>1432360.5197921393</v>
      </c>
      <c r="AJ312" s="266"/>
      <c r="AK312" s="285">
        <v>0</v>
      </c>
      <c r="AL312" s="286">
        <v>0</v>
      </c>
      <c r="AM312" s="286">
        <v>0</v>
      </c>
      <c r="AN312" s="290">
        <v>0</v>
      </c>
      <c r="AO312" s="289">
        <v>0</v>
      </c>
      <c r="AP312" s="291">
        <v>1432360.5197921393</v>
      </c>
    </row>
    <row r="313" spans="1:42" ht="15.75" x14ac:dyDescent="0.25">
      <c r="A313" s="247">
        <v>9870958</v>
      </c>
      <c r="B313" t="s">
        <v>1806</v>
      </c>
      <c r="C313">
        <v>0</v>
      </c>
      <c r="D313" s="247">
        <v>9870958</v>
      </c>
      <c r="E313" s="247" t="s">
        <v>935</v>
      </c>
      <c r="F313" s="247" t="s">
        <v>928</v>
      </c>
      <c r="G313" s="247" t="s">
        <v>1396</v>
      </c>
      <c r="H313" s="247">
        <v>9870958</v>
      </c>
      <c r="I313" s="247" t="s">
        <v>1073</v>
      </c>
      <c r="J313" s="247">
        <v>2020</v>
      </c>
      <c r="K313" s="261" t="s">
        <v>1394</v>
      </c>
      <c r="L313" s="247" t="s">
        <v>1057</v>
      </c>
      <c r="M313" s="308">
        <v>3.3</v>
      </c>
      <c r="N313" s="308">
        <v>3.1</v>
      </c>
      <c r="O313" s="308">
        <v>0</v>
      </c>
      <c r="P313" s="308">
        <v>0.2</v>
      </c>
      <c r="Q313" s="308">
        <v>0</v>
      </c>
      <c r="R313" s="247">
        <v>0</v>
      </c>
      <c r="S313" s="247">
        <v>0</v>
      </c>
      <c r="T313" s="247">
        <v>9</v>
      </c>
      <c r="U313" s="247">
        <v>0</v>
      </c>
      <c r="W313" s="284">
        <v>3.3</v>
      </c>
      <c r="X313" s="284">
        <v>3.1</v>
      </c>
      <c r="Y313" s="284">
        <v>0</v>
      </c>
      <c r="Z313" s="284">
        <v>0.2</v>
      </c>
      <c r="AA313" s="284">
        <v>0</v>
      </c>
      <c r="AB313" s="284">
        <v>0</v>
      </c>
      <c r="AC313" s="284">
        <v>9</v>
      </c>
      <c r="AE313" s="285">
        <v>3042286.5854737242</v>
      </c>
      <c r="AF313" s="286">
        <v>0</v>
      </c>
      <c r="AG313" s="287">
        <v>752871.80853347364</v>
      </c>
      <c r="AH313" s="288">
        <v>6804.6061499999996</v>
      </c>
      <c r="AI313" s="289">
        <v>3801963.0001571975</v>
      </c>
      <c r="AJ313" s="266"/>
      <c r="AK313" s="285">
        <v>0</v>
      </c>
      <c r="AL313" s="286">
        <v>0</v>
      </c>
      <c r="AM313" s="286">
        <v>0</v>
      </c>
      <c r="AN313" s="290">
        <v>0</v>
      </c>
      <c r="AO313" s="289">
        <v>0</v>
      </c>
      <c r="AP313" s="291">
        <v>3801963.0001571975</v>
      </c>
    </row>
    <row r="314" spans="1:42" ht="15.75" x14ac:dyDescent="0.25">
      <c r="A314" s="247">
        <v>5922905</v>
      </c>
      <c r="B314" t="s">
        <v>1806</v>
      </c>
      <c r="C314">
        <v>0</v>
      </c>
      <c r="D314" s="247">
        <v>5922905</v>
      </c>
      <c r="E314" s="247" t="s">
        <v>1413</v>
      </c>
      <c r="F314" s="247" t="s">
        <v>928</v>
      </c>
      <c r="G314" s="247" t="s">
        <v>1412</v>
      </c>
      <c r="H314" s="247">
        <v>5922905</v>
      </c>
      <c r="I314" s="247" t="s">
        <v>1073</v>
      </c>
      <c r="J314" s="247">
        <v>2020</v>
      </c>
      <c r="K314" s="248" t="s">
        <v>1405</v>
      </c>
      <c r="L314" s="247" t="s">
        <v>1156</v>
      </c>
      <c r="M314" s="308">
        <v>3.3</v>
      </c>
      <c r="N314" s="308">
        <v>3.3</v>
      </c>
      <c r="O314" s="308">
        <v>0</v>
      </c>
      <c r="P314" s="308">
        <v>0</v>
      </c>
      <c r="Q314" s="308">
        <v>0</v>
      </c>
      <c r="R314" s="247">
        <v>0</v>
      </c>
      <c r="S314" s="247">
        <v>0</v>
      </c>
      <c r="T314" s="247">
        <v>30</v>
      </c>
      <c r="U314" s="247">
        <v>0</v>
      </c>
      <c r="W314" s="284">
        <v>3.3</v>
      </c>
      <c r="X314" s="284">
        <v>3.3</v>
      </c>
      <c r="Y314" s="284">
        <v>0</v>
      </c>
      <c r="Z314" s="284">
        <v>0</v>
      </c>
      <c r="AA314" s="284">
        <v>0</v>
      </c>
      <c r="AB314" s="284">
        <v>0</v>
      </c>
      <c r="AC314" s="284">
        <v>30</v>
      </c>
      <c r="AE314" s="285">
        <v>1982677.4686873639</v>
      </c>
      <c r="AF314" s="286">
        <v>0</v>
      </c>
      <c r="AG314" s="287">
        <v>186837.99066510273</v>
      </c>
      <c r="AH314" s="288">
        <v>0</v>
      </c>
      <c r="AI314" s="289">
        <v>2169515.4593524667</v>
      </c>
      <c r="AJ314" s="266"/>
      <c r="AK314" s="285">
        <v>0</v>
      </c>
      <c r="AL314" s="286">
        <v>0</v>
      </c>
      <c r="AM314" s="286">
        <v>0</v>
      </c>
      <c r="AN314" s="290">
        <v>0</v>
      </c>
      <c r="AO314" s="289">
        <v>0</v>
      </c>
      <c r="AP314" s="291">
        <v>2169515.4593524667</v>
      </c>
    </row>
    <row r="315" spans="1:42" ht="15.75" x14ac:dyDescent="0.25">
      <c r="A315" s="247">
        <v>6163071</v>
      </c>
      <c r="B315" t="s">
        <v>1806</v>
      </c>
      <c r="C315">
        <v>0</v>
      </c>
      <c r="D315" s="247">
        <v>6163071</v>
      </c>
      <c r="E315" s="247" t="s">
        <v>1453</v>
      </c>
      <c r="F315" s="247" t="s">
        <v>257</v>
      </c>
      <c r="G315" s="247" t="s">
        <v>1452</v>
      </c>
      <c r="H315" s="247">
        <v>6163071</v>
      </c>
      <c r="I315" s="247" t="s">
        <v>1134</v>
      </c>
      <c r="J315" s="247">
        <v>2020</v>
      </c>
      <c r="K315" s="248" t="s">
        <v>1451</v>
      </c>
      <c r="L315" s="247" t="s">
        <v>1125</v>
      </c>
      <c r="M315" s="308">
        <v>1.1000000000000001</v>
      </c>
      <c r="N315" s="308">
        <v>0.1</v>
      </c>
      <c r="O315" s="308">
        <v>1</v>
      </c>
      <c r="P315" s="308">
        <v>0</v>
      </c>
      <c r="Q315" s="308">
        <v>0</v>
      </c>
      <c r="R315" s="247">
        <v>0</v>
      </c>
      <c r="S315" s="247">
        <v>0</v>
      </c>
      <c r="T315" s="247">
        <v>1</v>
      </c>
      <c r="U315" s="247">
        <v>0</v>
      </c>
      <c r="W315" s="284">
        <v>1.1000000000000001</v>
      </c>
      <c r="X315" s="284">
        <v>0.1</v>
      </c>
      <c r="Y315" s="284">
        <v>1</v>
      </c>
      <c r="Z315" s="284">
        <v>0</v>
      </c>
      <c r="AA315" s="284">
        <v>0</v>
      </c>
      <c r="AB315" s="284">
        <v>0</v>
      </c>
      <c r="AC315" s="284">
        <v>1</v>
      </c>
      <c r="AE315" s="285">
        <v>683136.142500413</v>
      </c>
      <c r="AF315" s="286">
        <v>0</v>
      </c>
      <c r="AG315" s="287">
        <v>90366.819609142214</v>
      </c>
      <c r="AH315" s="288">
        <v>0</v>
      </c>
      <c r="AI315" s="289">
        <v>773502.96210955526</v>
      </c>
      <c r="AJ315" s="266"/>
      <c r="AK315" s="285">
        <v>0</v>
      </c>
      <c r="AL315" s="286">
        <v>0</v>
      </c>
      <c r="AM315" s="286">
        <v>0</v>
      </c>
      <c r="AN315" s="290">
        <v>0</v>
      </c>
      <c r="AO315" s="289">
        <v>0</v>
      </c>
      <c r="AP315" s="291">
        <v>773502.96210955526</v>
      </c>
    </row>
    <row r="316" spans="1:42" ht="15.75" x14ac:dyDescent="0.25">
      <c r="A316" s="247">
        <v>3650770</v>
      </c>
      <c r="B316" t="s">
        <v>1806</v>
      </c>
      <c r="C316">
        <v>0</v>
      </c>
      <c r="D316" s="247">
        <v>3650770</v>
      </c>
      <c r="E316" s="247" t="s">
        <v>257</v>
      </c>
      <c r="F316" s="247" t="s">
        <v>257</v>
      </c>
      <c r="G316" s="247" t="s">
        <v>1480</v>
      </c>
      <c r="H316" s="247">
        <v>3650770</v>
      </c>
      <c r="I316" s="247" t="s">
        <v>1073</v>
      </c>
      <c r="J316" s="247">
        <v>2020</v>
      </c>
      <c r="K316" s="248" t="s">
        <v>1472</v>
      </c>
      <c r="L316" s="247" t="s">
        <v>1125</v>
      </c>
      <c r="M316" s="308">
        <v>3.6</v>
      </c>
      <c r="N316" s="308">
        <v>1.6</v>
      </c>
      <c r="O316" s="308">
        <v>2</v>
      </c>
      <c r="P316" s="308">
        <v>0</v>
      </c>
      <c r="Q316" s="308">
        <v>0</v>
      </c>
      <c r="R316" s="247">
        <v>0</v>
      </c>
      <c r="S316" s="247">
        <v>10</v>
      </c>
      <c r="T316" s="247">
        <v>0</v>
      </c>
      <c r="U316" s="247">
        <v>0</v>
      </c>
      <c r="W316" s="284">
        <v>3.6</v>
      </c>
      <c r="X316" s="284">
        <v>1.6</v>
      </c>
      <c r="Y316" s="284">
        <v>2</v>
      </c>
      <c r="Z316" s="284">
        <v>0</v>
      </c>
      <c r="AA316" s="284">
        <v>0</v>
      </c>
      <c r="AB316" s="284">
        <v>0</v>
      </c>
      <c r="AC316" s="284">
        <v>0</v>
      </c>
      <c r="AE316" s="285">
        <v>2527537.0611355542</v>
      </c>
      <c r="AF316" s="286">
        <v>0</v>
      </c>
      <c r="AG316" s="287">
        <v>157719.00905401615</v>
      </c>
      <c r="AH316" s="288">
        <v>0</v>
      </c>
      <c r="AI316" s="289">
        <v>2685256.0701895705</v>
      </c>
      <c r="AJ316" s="266"/>
      <c r="AK316" s="285">
        <v>0</v>
      </c>
      <c r="AL316" s="286">
        <v>0</v>
      </c>
      <c r="AM316" s="286">
        <v>0</v>
      </c>
      <c r="AN316" s="290">
        <v>0</v>
      </c>
      <c r="AO316" s="289">
        <v>0</v>
      </c>
      <c r="AP316" s="291">
        <v>2685256.0701895705</v>
      </c>
    </row>
    <row r="317" spans="1:42" ht="15.75" x14ac:dyDescent="0.25">
      <c r="A317" s="247">
        <v>7384495</v>
      </c>
      <c r="B317" t="s">
        <v>1806</v>
      </c>
      <c r="C317">
        <v>0</v>
      </c>
      <c r="D317" s="247">
        <v>7384495</v>
      </c>
      <c r="E317" s="247" t="s">
        <v>485</v>
      </c>
      <c r="F317" s="247" t="s">
        <v>485</v>
      </c>
      <c r="G317" s="247" t="s">
        <v>1496</v>
      </c>
      <c r="H317" s="247">
        <v>7384495</v>
      </c>
      <c r="I317" s="247" t="s">
        <v>1063</v>
      </c>
      <c r="J317" s="247">
        <v>2020</v>
      </c>
      <c r="K317" s="248" t="s">
        <v>1472</v>
      </c>
      <c r="L317" s="247" t="s">
        <v>1057</v>
      </c>
      <c r="M317" s="308">
        <v>4.6099999999999994</v>
      </c>
      <c r="N317" s="308">
        <v>1.6</v>
      </c>
      <c r="O317" s="308">
        <v>3.01</v>
      </c>
      <c r="P317" s="308">
        <v>0</v>
      </c>
      <c r="Q317" s="308">
        <v>0</v>
      </c>
      <c r="R317" s="247">
        <v>0</v>
      </c>
      <c r="S317" s="247">
        <v>15</v>
      </c>
      <c r="T317" s="247">
        <v>15</v>
      </c>
      <c r="U317" s="247">
        <v>0</v>
      </c>
      <c r="W317" s="284">
        <v>4.6099999999999994</v>
      </c>
      <c r="X317" s="284">
        <v>1.6</v>
      </c>
      <c r="Y317" s="284">
        <v>3.01</v>
      </c>
      <c r="Z317" s="284">
        <v>0</v>
      </c>
      <c r="AA317" s="284">
        <v>0</v>
      </c>
      <c r="AB317" s="284">
        <v>0</v>
      </c>
      <c r="AC317" s="284">
        <v>15</v>
      </c>
      <c r="AE317" s="285">
        <v>3236651.6255096951</v>
      </c>
      <c r="AF317" s="286">
        <v>0</v>
      </c>
      <c r="AG317" s="287">
        <v>201967.95326083733</v>
      </c>
      <c r="AH317" s="288">
        <v>0</v>
      </c>
      <c r="AI317" s="289">
        <v>3438619.5787705323</v>
      </c>
      <c r="AJ317" s="266"/>
      <c r="AK317" s="285">
        <v>0</v>
      </c>
      <c r="AL317" s="286">
        <v>0</v>
      </c>
      <c r="AM317" s="286">
        <v>0</v>
      </c>
      <c r="AN317" s="290">
        <v>0</v>
      </c>
      <c r="AO317" s="289">
        <v>0</v>
      </c>
      <c r="AP317" s="291">
        <v>3438619.5787705323</v>
      </c>
    </row>
    <row r="318" spans="1:42" ht="15.75" x14ac:dyDescent="0.25">
      <c r="A318" s="247">
        <v>9379121</v>
      </c>
      <c r="B318" t="s">
        <v>1806</v>
      </c>
      <c r="C318">
        <v>0</v>
      </c>
      <c r="D318" s="247">
        <v>9379121</v>
      </c>
      <c r="E318" s="247" t="s">
        <v>933</v>
      </c>
      <c r="F318" s="247" t="s">
        <v>928</v>
      </c>
      <c r="G318" s="247" t="s">
        <v>1505</v>
      </c>
      <c r="H318" s="247">
        <v>9379121</v>
      </c>
      <c r="I318" s="247" t="s">
        <v>1073</v>
      </c>
      <c r="J318" s="247">
        <v>2020</v>
      </c>
      <c r="K318" s="248" t="s">
        <v>1472</v>
      </c>
      <c r="L318" s="247" t="s">
        <v>1057</v>
      </c>
      <c r="M318" s="308">
        <v>9</v>
      </c>
      <c r="N318" s="308">
        <v>8.6999999999999993</v>
      </c>
      <c r="O318" s="308">
        <v>0</v>
      </c>
      <c r="P318" s="308">
        <v>0.3</v>
      </c>
      <c r="Q318" s="308">
        <v>0</v>
      </c>
      <c r="R318" s="247">
        <v>0</v>
      </c>
      <c r="S318" s="247">
        <v>15</v>
      </c>
      <c r="T318" s="247">
        <v>0</v>
      </c>
      <c r="U318" s="247">
        <v>0</v>
      </c>
      <c r="W318" s="284">
        <v>9</v>
      </c>
      <c r="X318" s="284">
        <v>8.6999999999999993</v>
      </c>
      <c r="Y318" s="284">
        <v>0</v>
      </c>
      <c r="Z318" s="284">
        <v>0.3</v>
      </c>
      <c r="AA318" s="284">
        <v>0</v>
      </c>
      <c r="AB318" s="284">
        <v>0</v>
      </c>
      <c r="AC318" s="284">
        <v>0</v>
      </c>
      <c r="AE318" s="285">
        <v>6318842.6528388849</v>
      </c>
      <c r="AF318" s="286">
        <v>0</v>
      </c>
      <c r="AG318" s="287">
        <v>394297.52263504034</v>
      </c>
      <c r="AH318" s="288">
        <v>0</v>
      </c>
      <c r="AI318" s="289">
        <v>6713140.1754739247</v>
      </c>
      <c r="AJ318" s="266"/>
      <c r="AK318" s="285">
        <v>0</v>
      </c>
      <c r="AL318" s="286">
        <v>0</v>
      </c>
      <c r="AM318" s="286">
        <v>0</v>
      </c>
      <c r="AN318" s="290">
        <v>0</v>
      </c>
      <c r="AO318" s="289">
        <v>0</v>
      </c>
      <c r="AP318" s="291">
        <v>6713140.1754739247</v>
      </c>
    </row>
    <row r="319" spans="1:42" s="266" customFormat="1" x14ac:dyDescent="0.25">
      <c r="J319" s="319"/>
      <c r="L319" s="320"/>
      <c r="M319" s="286">
        <f>SUM(M4:M318)</f>
        <v>2846.7490000000021</v>
      </c>
      <c r="N319" s="286">
        <f t="shared" ref="N319:U319" si="0">SUM(N4:N318)</f>
        <v>394.95900000000017</v>
      </c>
      <c r="O319" s="286">
        <f t="shared" si="0"/>
        <v>2001.2550000000008</v>
      </c>
      <c r="P319" s="286">
        <f t="shared" si="0"/>
        <v>411.92999999999995</v>
      </c>
      <c r="Q319" s="286">
        <f t="shared" si="0"/>
        <v>38.599999999999994</v>
      </c>
      <c r="R319" s="286">
        <f t="shared" si="0"/>
        <v>3786</v>
      </c>
      <c r="S319" s="286">
        <f t="shared" si="0"/>
        <v>15777</v>
      </c>
      <c r="T319" s="286">
        <f t="shared" si="0"/>
        <v>1238</v>
      </c>
      <c r="U319" s="286">
        <f t="shared" si="0"/>
        <v>5</v>
      </c>
      <c r="V319" s="286"/>
      <c r="W319" s="286">
        <f t="shared" ref="W319" si="1">SUM(W4:W318)</f>
        <v>2846.7490000000021</v>
      </c>
      <c r="X319" s="286">
        <f t="shared" ref="X319" si="2">SUM(X4:X318)</f>
        <v>394.95900000000017</v>
      </c>
      <c r="Y319" s="286">
        <f t="shared" ref="Y319" si="3">SUM(Y4:Y318)</f>
        <v>2001.2550000000008</v>
      </c>
      <c r="Z319" s="286">
        <f t="shared" ref="Z319" si="4">SUM(Z4:Z318)</f>
        <v>411.92999999999995</v>
      </c>
      <c r="AA319" s="286">
        <f t="shared" ref="AA319" si="5">SUM(AA4:AA318)</f>
        <v>38.599999999999994</v>
      </c>
      <c r="AB319" s="286">
        <f t="shared" ref="AB319" si="6">SUM(AB4:AB318)</f>
        <v>3786</v>
      </c>
      <c r="AC319" s="286">
        <f t="shared" ref="AC319" si="7">SUM(AC4:AC318)</f>
        <v>1238</v>
      </c>
      <c r="AD319" s="286"/>
      <c r="AE319" s="286">
        <f t="shared" ref="AE319" si="8">SUM(AE4:AE318)</f>
        <v>1592983805.2926965</v>
      </c>
      <c r="AF319" s="286">
        <f t="shared" ref="AF319" si="9">SUM(AF4:AF318)</f>
        <v>339412615.33861685</v>
      </c>
      <c r="AG319" s="286">
        <f t="shared" ref="AG319" si="10">SUM(AG4:AG318)</f>
        <v>394793425.50838202</v>
      </c>
      <c r="AH319" s="286">
        <f t="shared" ref="AH319" si="11">SUM(AH4:AH318)</f>
        <v>230253040.33612701</v>
      </c>
      <c r="AI319" s="286">
        <f t="shared" ref="AI319" si="12">SUM(AI4:AI318)</f>
        <v>2557442886.4758205</v>
      </c>
      <c r="AJ319" s="286"/>
      <c r="AK319" s="286">
        <f t="shared" ref="AK319" si="13">SUM(AK4:AK318)</f>
        <v>454074944.72034591</v>
      </c>
      <c r="AL319" s="286">
        <f t="shared" ref="AL319" si="14">SUM(AL4:AL318)</f>
        <v>87562721.466243252</v>
      </c>
      <c r="AM319" s="286">
        <f t="shared" ref="AM319:AN319" si="15">SUM(AM4:AM318)</f>
        <v>242060965.06639507</v>
      </c>
      <c r="AN319" s="286">
        <f t="shared" si="15"/>
        <v>166358291.62891766</v>
      </c>
      <c r="AO319" s="286">
        <f t="shared" ref="AO319" si="16">SUM(AO4:AO318)</f>
        <v>950056922.88190198</v>
      </c>
      <c r="AP319" s="286">
        <f t="shared" ref="AP319" si="17">SUM(AP4:AP318)</f>
        <v>1607385963.5939198</v>
      </c>
    </row>
    <row r="320" spans="1:42" s="266" customFormat="1" x14ac:dyDescent="0.25">
      <c r="J320" s="319"/>
      <c r="L320" s="320"/>
      <c r="M320" s="321"/>
      <c r="N320" s="321"/>
      <c r="O320" s="321"/>
      <c r="P320" s="321"/>
      <c r="Q320" s="321"/>
      <c r="R320" s="321"/>
      <c r="S320" s="321"/>
      <c r="T320" s="321"/>
      <c r="U320" s="321"/>
      <c r="V320" s="321"/>
      <c r="W320" s="321"/>
      <c r="X320" s="321"/>
      <c r="Y320" s="321"/>
      <c r="Z320" s="321"/>
      <c r="AA320" s="321"/>
      <c r="AB320" s="321"/>
      <c r="AC320" s="321"/>
      <c r="AD320" s="321"/>
      <c r="AE320" s="321"/>
      <c r="AF320" s="321"/>
      <c r="AG320" s="321"/>
      <c r="AH320" s="321"/>
      <c r="AI320" s="321"/>
      <c r="AJ320" s="321"/>
      <c r="AK320" s="321"/>
      <c r="AL320" s="321"/>
      <c r="AM320" s="321"/>
      <c r="AN320" s="321"/>
      <c r="AO320" s="321"/>
      <c r="AP320" s="321"/>
    </row>
    <row r="321" spans="1:42" s="266" customFormat="1" ht="16.5" thickBot="1" x14ac:dyDescent="0.3">
      <c r="A321" s="325">
        <v>1</v>
      </c>
      <c r="B321" s="326">
        <v>2</v>
      </c>
      <c r="C321" s="325">
        <v>3</v>
      </c>
      <c r="D321" s="326">
        <v>4</v>
      </c>
      <c r="E321" s="325">
        <v>5</v>
      </c>
      <c r="F321" s="326">
        <v>6</v>
      </c>
      <c r="G321" s="325">
        <v>7</v>
      </c>
      <c r="H321" s="326">
        <v>8</v>
      </c>
      <c r="I321" s="325">
        <v>9</v>
      </c>
      <c r="J321" s="326">
        <v>10</v>
      </c>
      <c r="K321" s="325">
        <v>11</v>
      </c>
      <c r="L321" s="326">
        <v>12</v>
      </c>
      <c r="M321" s="325">
        <v>13</v>
      </c>
      <c r="N321" s="326">
        <v>14</v>
      </c>
      <c r="O321" s="325">
        <v>15</v>
      </c>
      <c r="P321" s="326">
        <v>16</v>
      </c>
      <c r="Q321" s="325">
        <v>17</v>
      </c>
      <c r="R321" s="326">
        <v>18</v>
      </c>
      <c r="S321" s="325">
        <v>19</v>
      </c>
      <c r="T321" s="326">
        <v>20</v>
      </c>
      <c r="U321" s="325">
        <v>21</v>
      </c>
      <c r="V321" s="326">
        <v>22</v>
      </c>
      <c r="W321" s="325">
        <v>23</v>
      </c>
      <c r="X321" s="326">
        <v>24</v>
      </c>
      <c r="Y321" s="325">
        <v>25</v>
      </c>
      <c r="Z321" s="326">
        <v>26</v>
      </c>
      <c r="AA321" s="325">
        <v>27</v>
      </c>
      <c r="AB321" s="326">
        <v>28</v>
      </c>
      <c r="AC321" s="325">
        <v>29</v>
      </c>
      <c r="AD321" s="326">
        <v>30</v>
      </c>
      <c r="AE321" s="325">
        <v>31</v>
      </c>
      <c r="AF321" s="326">
        <v>32</v>
      </c>
      <c r="AG321" s="325">
        <v>33</v>
      </c>
      <c r="AH321" s="326">
        <v>34</v>
      </c>
      <c r="AI321" s="325">
        <v>35</v>
      </c>
      <c r="AJ321" s="326">
        <v>36</v>
      </c>
      <c r="AK321" s="325">
        <v>37</v>
      </c>
      <c r="AL321" s="326">
        <v>38</v>
      </c>
      <c r="AM321" s="325">
        <v>39</v>
      </c>
      <c r="AN321" s="326">
        <v>40</v>
      </c>
      <c r="AO321" s="325">
        <v>41</v>
      </c>
      <c r="AP321" s="326">
        <v>42</v>
      </c>
    </row>
    <row r="322" spans="1:42" s="313" customFormat="1" ht="23.65" customHeight="1" x14ac:dyDescent="0.25">
      <c r="A322" s="133" t="s">
        <v>1039</v>
      </c>
      <c r="D322" s="133" t="s">
        <v>1039</v>
      </c>
      <c r="E322" s="133" t="s">
        <v>40</v>
      </c>
      <c r="F322" s="133" t="s">
        <v>1040</v>
      </c>
      <c r="G322" s="133" t="s">
        <v>1038</v>
      </c>
      <c r="H322" s="133" t="s">
        <v>1039</v>
      </c>
      <c r="I322" s="133" t="s">
        <v>1042</v>
      </c>
      <c r="J322" s="133" t="s">
        <v>1764</v>
      </c>
      <c r="K322" s="133" t="s">
        <v>38</v>
      </c>
      <c r="L322" s="133" t="s">
        <v>1041</v>
      </c>
      <c r="M322" s="133" t="s">
        <v>1044</v>
      </c>
      <c r="N322" s="133" t="s">
        <v>1045</v>
      </c>
      <c r="O322" s="133" t="s">
        <v>1046</v>
      </c>
      <c r="P322" s="133" t="s">
        <v>1047</v>
      </c>
      <c r="Q322" s="133" t="s">
        <v>1048</v>
      </c>
      <c r="R322" s="133" t="s">
        <v>1049</v>
      </c>
      <c r="S322" s="133" t="s">
        <v>1050</v>
      </c>
      <c r="T322" s="133" t="s">
        <v>1051</v>
      </c>
      <c r="U322" s="133" t="s">
        <v>1052</v>
      </c>
      <c r="W322" s="272" t="s">
        <v>1702</v>
      </c>
      <c r="X322" s="272" t="s">
        <v>1703</v>
      </c>
      <c r="Y322" s="272" t="s">
        <v>1704</v>
      </c>
      <c r="Z322" s="272" t="s">
        <v>1705</v>
      </c>
      <c r="AA322" s="272" t="s">
        <v>1706</v>
      </c>
      <c r="AB322" s="272" t="s">
        <v>1049</v>
      </c>
      <c r="AC322" s="272" t="s">
        <v>1051</v>
      </c>
      <c r="AE322" s="273" t="s">
        <v>1707</v>
      </c>
      <c r="AF322" s="274" t="s">
        <v>1708</v>
      </c>
      <c r="AG322" s="274" t="s">
        <v>1709</v>
      </c>
      <c r="AH322" s="275" t="s">
        <v>1710</v>
      </c>
      <c r="AI322" s="275" t="s">
        <v>1711</v>
      </c>
      <c r="AJ322" s="276"/>
      <c r="AK322" s="273" t="s">
        <v>1707</v>
      </c>
      <c r="AL322" s="274" t="s">
        <v>1708</v>
      </c>
      <c r="AM322" s="274" t="s">
        <v>1709</v>
      </c>
      <c r="AN322" s="275" t="s">
        <v>1710</v>
      </c>
      <c r="AO322" s="275" t="s">
        <v>1711</v>
      </c>
      <c r="AP322" s="277" t="s">
        <v>1712</v>
      </c>
    </row>
    <row r="323" spans="1:42" s="266" customFormat="1" x14ac:dyDescent="0.25">
      <c r="A323" s="315" t="s">
        <v>1807</v>
      </c>
      <c r="D323" s="322" t="s">
        <v>1807</v>
      </c>
      <c r="E323" s="315"/>
      <c r="F323" s="315"/>
      <c r="J323" s="319"/>
      <c r="L323" s="320"/>
      <c r="M323" s="321"/>
      <c r="N323" s="321"/>
      <c r="O323" s="321"/>
      <c r="P323" s="321"/>
      <c r="Q323" s="321"/>
      <c r="R323" s="321"/>
      <c r="S323" s="321"/>
      <c r="T323" s="321"/>
      <c r="U323" s="321"/>
      <c r="V323" s="321"/>
      <c r="W323" s="321"/>
      <c r="X323" s="321"/>
      <c r="Y323" s="321"/>
      <c r="Z323" s="321"/>
      <c r="AA323" s="321"/>
      <c r="AB323" s="321"/>
      <c r="AC323" s="321"/>
      <c r="AD323" s="321"/>
      <c r="AE323" s="321"/>
      <c r="AF323" s="321"/>
      <c r="AG323" s="321"/>
      <c r="AH323" s="321"/>
      <c r="AI323" s="321"/>
      <c r="AJ323" s="321"/>
      <c r="AK323" s="321"/>
      <c r="AL323" s="321"/>
      <c r="AM323" s="321"/>
      <c r="AN323" s="321"/>
      <c r="AO323" s="321"/>
      <c r="AP323" s="321"/>
    </row>
    <row r="324" spans="1:42" s="266" customFormat="1" x14ac:dyDescent="0.25">
      <c r="A324" s="323">
        <v>1008575</v>
      </c>
      <c r="D324" s="323">
        <v>1008575</v>
      </c>
      <c r="E324" s="315" t="str">
        <f>VLOOKUP($D324,$D$4:$K$318,2,FALSE)</f>
        <v>Pečovatelská služba</v>
      </c>
      <c r="F324" s="315" t="str">
        <f>VLOOKUP($D324,$D$4:$K$318,3,FALSE)</f>
        <v>Diakonie ČCE - středisko ve Dvoře Králové nad Labem</v>
      </c>
      <c r="G324" s="315" t="str">
        <f>VLOOKUP($D324,$D$4:$K$318,8,FALSE)</f>
        <v>§ 40 - Pečovatelská služba</v>
      </c>
      <c r="H324" s="315"/>
      <c r="I324" s="266" t="s">
        <v>1812</v>
      </c>
      <c r="J324" s="319"/>
      <c r="L324" s="320"/>
      <c r="M324" s="321">
        <f>SUMIFS(M$4:M$318,$D$4:$D$318,$D324)</f>
        <v>7</v>
      </c>
      <c r="N324" s="321">
        <f t="shared" ref="N324:AP335" si="18">SUMIFS(N$4:N$318,$D$4:$D$318,$D324)</f>
        <v>1</v>
      </c>
      <c r="O324" s="321">
        <f t="shared" si="18"/>
        <v>6</v>
      </c>
      <c r="P324" s="321">
        <f t="shared" si="18"/>
        <v>0</v>
      </c>
      <c r="Q324" s="321">
        <f t="shared" si="18"/>
        <v>0</v>
      </c>
      <c r="R324" s="321">
        <f t="shared" si="18"/>
        <v>0</v>
      </c>
      <c r="S324" s="321">
        <f t="shared" si="18"/>
        <v>188</v>
      </c>
      <c r="T324" s="321">
        <f t="shared" si="18"/>
        <v>6</v>
      </c>
      <c r="U324" s="321">
        <f t="shared" si="18"/>
        <v>0</v>
      </c>
      <c r="V324" s="321"/>
      <c r="W324" s="321">
        <f t="shared" si="18"/>
        <v>7</v>
      </c>
      <c r="X324" s="321">
        <f t="shared" si="18"/>
        <v>1</v>
      </c>
      <c r="Y324" s="321">
        <f t="shared" si="18"/>
        <v>6</v>
      </c>
      <c r="Z324" s="321">
        <f t="shared" si="18"/>
        <v>0</v>
      </c>
      <c r="AA324" s="321">
        <f t="shared" si="18"/>
        <v>0</v>
      </c>
      <c r="AB324" s="321">
        <f t="shared" si="18"/>
        <v>0</v>
      </c>
      <c r="AC324" s="321">
        <f t="shared" si="18"/>
        <v>6</v>
      </c>
      <c r="AD324" s="321"/>
      <c r="AE324" s="321">
        <f t="shared" si="18"/>
        <v>4041762.3623043522</v>
      </c>
      <c r="AF324" s="321">
        <f t="shared" si="18"/>
        <v>0</v>
      </c>
      <c r="AG324" s="321">
        <f t="shared" si="18"/>
        <v>301376.07827703975</v>
      </c>
      <c r="AH324" s="321">
        <f t="shared" si="18"/>
        <v>0</v>
      </c>
      <c r="AI324" s="321">
        <f t="shared" si="18"/>
        <v>4343138.4405813916</v>
      </c>
      <c r="AJ324" s="321"/>
      <c r="AK324" s="321">
        <f t="shared" si="18"/>
        <v>832531.4117647059</v>
      </c>
      <c r="AL324" s="321">
        <f t="shared" si="18"/>
        <v>0</v>
      </c>
      <c r="AM324" s="321">
        <f t="shared" si="18"/>
        <v>0</v>
      </c>
      <c r="AN324" s="321">
        <f t="shared" si="18"/>
        <v>0</v>
      </c>
      <c r="AO324" s="321">
        <f t="shared" si="18"/>
        <v>832531.4117647059</v>
      </c>
      <c r="AP324" s="321">
        <f t="shared" si="18"/>
        <v>3510607.0288166855</v>
      </c>
    </row>
    <row r="325" spans="1:42" s="266" customFormat="1" x14ac:dyDescent="0.25">
      <c r="A325" s="323">
        <v>1109434</v>
      </c>
      <c r="D325" s="323">
        <v>1109434</v>
      </c>
      <c r="E325" s="315" t="str">
        <f t="shared" ref="E325:E388" si="19">VLOOKUP($D325,$D$4:$K$318,2,FALSE)</f>
        <v>Domov pro seniory</v>
      </c>
      <c r="F325" s="315" t="str">
        <f t="shared" ref="F325:F388" si="20">VLOOKUP($D325,$D$4:$K$318,3,FALSE)</f>
        <v>Ústav sociálních služeb města Nové Paky</v>
      </c>
      <c r="G325" s="315" t="str">
        <f t="shared" ref="G325:G388" si="21">VLOOKUP($D325,$D$4:$K$318,8,FALSE)</f>
        <v>§ 49 - Domovy pro seniory</v>
      </c>
      <c r="H325" s="315"/>
      <c r="I325" s="266" t="s">
        <v>1812</v>
      </c>
      <c r="J325" s="319"/>
      <c r="L325" s="320"/>
      <c r="M325" s="321">
        <f t="shared" ref="M325:U388" si="22">SUMIFS(M$4:M$318,$D$4:$D$318,$D325)</f>
        <v>29</v>
      </c>
      <c r="N325" s="321">
        <f t="shared" si="22"/>
        <v>2</v>
      </c>
      <c r="O325" s="321">
        <f t="shared" si="22"/>
        <v>19</v>
      </c>
      <c r="P325" s="321">
        <f t="shared" si="22"/>
        <v>8</v>
      </c>
      <c r="Q325" s="321">
        <f t="shared" si="22"/>
        <v>0</v>
      </c>
      <c r="R325" s="321">
        <f t="shared" si="22"/>
        <v>65</v>
      </c>
      <c r="S325" s="321">
        <f t="shared" si="22"/>
        <v>0</v>
      </c>
      <c r="T325" s="321">
        <f t="shared" si="22"/>
        <v>0</v>
      </c>
      <c r="U325" s="321">
        <f t="shared" si="22"/>
        <v>0</v>
      </c>
      <c r="V325" s="321"/>
      <c r="W325" s="321">
        <f t="shared" si="18"/>
        <v>29</v>
      </c>
      <c r="X325" s="321">
        <f t="shared" si="18"/>
        <v>2</v>
      </c>
      <c r="Y325" s="321">
        <f t="shared" si="18"/>
        <v>19</v>
      </c>
      <c r="Z325" s="321">
        <f t="shared" si="18"/>
        <v>8</v>
      </c>
      <c r="AA325" s="321">
        <f t="shared" si="18"/>
        <v>0</v>
      </c>
      <c r="AB325" s="321">
        <f t="shared" si="18"/>
        <v>65</v>
      </c>
      <c r="AC325" s="321">
        <f t="shared" si="18"/>
        <v>0</v>
      </c>
      <c r="AD325" s="321"/>
      <c r="AE325" s="321">
        <f t="shared" si="18"/>
        <v>14312368.719438996</v>
      </c>
      <c r="AF325" s="321">
        <f t="shared" si="18"/>
        <v>6784724.6991913132</v>
      </c>
      <c r="AG325" s="321">
        <f t="shared" si="18"/>
        <v>6585338.4603066323</v>
      </c>
      <c r="AH325" s="321">
        <f t="shared" si="18"/>
        <v>4616308.9186436459</v>
      </c>
      <c r="AI325" s="321">
        <f t="shared" si="18"/>
        <v>32298740.797580589</v>
      </c>
      <c r="AJ325" s="321"/>
      <c r="AK325" s="321">
        <f t="shared" si="18"/>
        <v>7297581.5351311229</v>
      </c>
      <c r="AL325" s="321">
        <f t="shared" si="18"/>
        <v>1900916.4694041868</v>
      </c>
      <c r="AM325" s="321">
        <f t="shared" si="18"/>
        <v>5000045.3506698189</v>
      </c>
      <c r="AN325" s="321">
        <f t="shared" si="18"/>
        <v>3307009.0923713236</v>
      </c>
      <c r="AO325" s="321">
        <f t="shared" si="18"/>
        <v>17505552.447576452</v>
      </c>
      <c r="AP325" s="321">
        <f t="shared" si="18"/>
        <v>14793188.350004137</v>
      </c>
    </row>
    <row r="326" spans="1:42" s="266" customFormat="1" x14ac:dyDescent="0.25">
      <c r="A326" s="323">
        <v>1172890</v>
      </c>
      <c r="D326" s="323">
        <v>1172890</v>
      </c>
      <c r="E326" s="315" t="str">
        <f t="shared" si="19"/>
        <v>Pečovatelská služba Kostelec nad Orlicí</v>
      </c>
      <c r="F326" s="315" t="str">
        <f t="shared" si="20"/>
        <v>Město Kostelec nad Orlicí</v>
      </c>
      <c r="G326" s="315" t="str">
        <f t="shared" si="21"/>
        <v>§ 40 - Pečovatelská služba</v>
      </c>
      <c r="H326" s="315"/>
      <c r="I326" s="266" t="s">
        <v>1812</v>
      </c>
      <c r="J326" s="319"/>
      <c r="L326" s="320"/>
      <c r="M326" s="321">
        <f t="shared" si="22"/>
        <v>11.7</v>
      </c>
      <c r="N326" s="321">
        <f t="shared" si="22"/>
        <v>1.7</v>
      </c>
      <c r="O326" s="321">
        <f t="shared" si="22"/>
        <v>10</v>
      </c>
      <c r="P326" s="321">
        <f t="shared" si="22"/>
        <v>0</v>
      </c>
      <c r="Q326" s="321">
        <f t="shared" si="22"/>
        <v>0</v>
      </c>
      <c r="R326" s="321">
        <f t="shared" si="22"/>
        <v>0</v>
      </c>
      <c r="S326" s="321">
        <f t="shared" si="22"/>
        <v>120</v>
      </c>
      <c r="T326" s="321">
        <f t="shared" si="22"/>
        <v>0</v>
      </c>
      <c r="U326" s="321">
        <f t="shared" si="22"/>
        <v>0</v>
      </c>
      <c r="V326" s="321"/>
      <c r="W326" s="321">
        <f t="shared" si="18"/>
        <v>11.7</v>
      </c>
      <c r="X326" s="321">
        <f t="shared" si="18"/>
        <v>1.7</v>
      </c>
      <c r="Y326" s="321">
        <f t="shared" si="18"/>
        <v>10</v>
      </c>
      <c r="Z326" s="321">
        <f t="shared" si="18"/>
        <v>0</v>
      </c>
      <c r="AA326" s="321">
        <f t="shared" si="18"/>
        <v>0</v>
      </c>
      <c r="AB326" s="321">
        <f t="shared" si="18"/>
        <v>0</v>
      </c>
      <c r="AC326" s="321">
        <f t="shared" si="18"/>
        <v>0</v>
      </c>
      <c r="AD326" s="321"/>
      <c r="AE326" s="321">
        <f t="shared" si="18"/>
        <v>6755517.0912801316</v>
      </c>
      <c r="AF326" s="321">
        <f t="shared" si="18"/>
        <v>0</v>
      </c>
      <c r="AG326" s="321">
        <f t="shared" si="18"/>
        <v>503728.58797733783</v>
      </c>
      <c r="AH326" s="321">
        <f t="shared" si="18"/>
        <v>0</v>
      </c>
      <c r="AI326" s="321">
        <f t="shared" si="18"/>
        <v>7259245.6792574693</v>
      </c>
      <c r="AJ326" s="321"/>
      <c r="AK326" s="321">
        <f t="shared" si="18"/>
        <v>1387552.3529411766</v>
      </c>
      <c r="AL326" s="321">
        <f t="shared" si="18"/>
        <v>0</v>
      </c>
      <c r="AM326" s="321">
        <f t="shared" si="18"/>
        <v>0</v>
      </c>
      <c r="AN326" s="321">
        <f t="shared" si="18"/>
        <v>0</v>
      </c>
      <c r="AO326" s="321">
        <f t="shared" si="18"/>
        <v>1387552.3529411766</v>
      </c>
      <c r="AP326" s="321">
        <f t="shared" si="18"/>
        <v>5871693.3263162933</v>
      </c>
    </row>
    <row r="327" spans="1:42" s="263" customFormat="1" x14ac:dyDescent="0.25">
      <c r="A327" s="311">
        <v>1201932</v>
      </c>
      <c r="D327" s="311">
        <v>1201932</v>
      </c>
      <c r="E327" s="315" t="str">
        <f t="shared" si="19"/>
        <v>Ambulantní centrum Hradec Králové</v>
      </c>
      <c r="F327" s="315" t="str">
        <f t="shared" si="20"/>
        <v>Laxus z.ú.</v>
      </c>
      <c r="G327" s="315" t="str">
        <f t="shared" si="21"/>
        <v>§ 37 - Odborné sociální poradenství</v>
      </c>
      <c r="H327" s="315"/>
      <c r="I327" s="266" t="s">
        <v>1812</v>
      </c>
      <c r="J327" s="319"/>
      <c r="K327" s="266"/>
      <c r="L327" s="320"/>
      <c r="M327" s="321">
        <f t="shared" si="22"/>
        <v>4.0999999999999996</v>
      </c>
      <c r="N327" s="321">
        <f t="shared" si="22"/>
        <v>2.6</v>
      </c>
      <c r="O327" s="321">
        <f t="shared" si="22"/>
        <v>0</v>
      </c>
      <c r="P327" s="321">
        <f t="shared" si="22"/>
        <v>0</v>
      </c>
      <c r="Q327" s="321">
        <f t="shared" si="22"/>
        <v>1.5</v>
      </c>
      <c r="R327" s="321">
        <f t="shared" si="22"/>
        <v>0</v>
      </c>
      <c r="S327" s="321">
        <f t="shared" si="22"/>
        <v>30</v>
      </c>
      <c r="T327" s="321">
        <f t="shared" si="22"/>
        <v>0</v>
      </c>
      <c r="U327" s="321">
        <f t="shared" si="22"/>
        <v>0</v>
      </c>
      <c r="V327" s="321"/>
      <c r="W327" s="321">
        <f t="shared" si="18"/>
        <v>4.0999999999999996</v>
      </c>
      <c r="X327" s="321">
        <f t="shared" si="18"/>
        <v>2.6</v>
      </c>
      <c r="Y327" s="321">
        <f t="shared" si="18"/>
        <v>0</v>
      </c>
      <c r="Z327" s="321">
        <f t="shared" si="18"/>
        <v>0</v>
      </c>
      <c r="AA327" s="321">
        <f t="shared" si="18"/>
        <v>1.5</v>
      </c>
      <c r="AB327" s="321">
        <f t="shared" si="18"/>
        <v>0</v>
      </c>
      <c r="AC327" s="321">
        <f t="shared" si="18"/>
        <v>0</v>
      </c>
      <c r="AD327" s="321"/>
      <c r="AE327" s="321">
        <f t="shared" si="18"/>
        <v>2851107.0550337285</v>
      </c>
      <c r="AF327" s="321">
        <f t="shared" si="18"/>
        <v>0</v>
      </c>
      <c r="AG327" s="321">
        <f t="shared" si="18"/>
        <v>194264.33915670155</v>
      </c>
      <c r="AH327" s="321">
        <f t="shared" si="18"/>
        <v>0</v>
      </c>
      <c r="AI327" s="321">
        <f t="shared" si="18"/>
        <v>3045371.3941904306</v>
      </c>
      <c r="AJ327" s="321"/>
      <c r="AK327" s="321">
        <f t="shared" si="18"/>
        <v>0</v>
      </c>
      <c r="AL327" s="321">
        <f t="shared" si="18"/>
        <v>0</v>
      </c>
      <c r="AM327" s="321">
        <f t="shared" si="18"/>
        <v>0</v>
      </c>
      <c r="AN327" s="321">
        <f t="shared" si="18"/>
        <v>0</v>
      </c>
      <c r="AO327" s="321">
        <f t="shared" si="18"/>
        <v>0</v>
      </c>
      <c r="AP327" s="321">
        <f t="shared" si="18"/>
        <v>3045371.3941904306</v>
      </c>
    </row>
    <row r="328" spans="1:42" x14ac:dyDescent="0.25">
      <c r="A328" s="311">
        <v>1225073</v>
      </c>
      <c r="D328" s="311">
        <v>1225073</v>
      </c>
      <c r="E328" s="315" t="str">
        <f t="shared" si="19"/>
        <v>Sociální služby města Jičína, Pečovatelská služba</v>
      </c>
      <c r="F328" s="315" t="str">
        <f t="shared" si="20"/>
        <v>Sociální služby města Jičína</v>
      </c>
      <c r="G328" s="315" t="str">
        <f t="shared" si="21"/>
        <v>§ 40 - Pečovatelská služba</v>
      </c>
      <c r="H328" s="315"/>
      <c r="I328" s="266" t="s">
        <v>1812</v>
      </c>
      <c r="J328" s="319"/>
      <c r="K328" s="266"/>
      <c r="L328" s="320"/>
      <c r="M328" s="321">
        <f t="shared" si="22"/>
        <v>16.34</v>
      </c>
      <c r="N328" s="321">
        <f t="shared" si="22"/>
        <v>0.67</v>
      </c>
      <c r="O328" s="321">
        <f t="shared" si="22"/>
        <v>15.67</v>
      </c>
      <c r="P328" s="321">
        <f t="shared" si="22"/>
        <v>0</v>
      </c>
      <c r="Q328" s="321">
        <f t="shared" si="22"/>
        <v>0</v>
      </c>
      <c r="R328" s="321">
        <f t="shared" si="22"/>
        <v>0</v>
      </c>
      <c r="S328" s="321">
        <f t="shared" si="22"/>
        <v>285</v>
      </c>
      <c r="T328" s="321">
        <f t="shared" si="22"/>
        <v>0</v>
      </c>
      <c r="U328" s="321">
        <f t="shared" si="22"/>
        <v>0</v>
      </c>
      <c r="V328" s="321"/>
      <c r="W328" s="321">
        <f t="shared" si="18"/>
        <v>16.34</v>
      </c>
      <c r="X328" s="321">
        <f t="shared" si="18"/>
        <v>0.67</v>
      </c>
      <c r="Y328" s="321">
        <f t="shared" si="18"/>
        <v>15.67</v>
      </c>
      <c r="Z328" s="321">
        <f t="shared" si="18"/>
        <v>0</v>
      </c>
      <c r="AA328" s="321">
        <f t="shared" si="18"/>
        <v>0</v>
      </c>
      <c r="AB328" s="321">
        <f t="shared" si="18"/>
        <v>0</v>
      </c>
      <c r="AC328" s="321">
        <f t="shared" si="18"/>
        <v>0</v>
      </c>
      <c r="AD328" s="321"/>
      <c r="AE328" s="321">
        <f t="shared" si="18"/>
        <v>9434628.1428647302</v>
      </c>
      <c r="AF328" s="321">
        <f t="shared" si="18"/>
        <v>0</v>
      </c>
      <c r="AG328" s="321">
        <f t="shared" si="18"/>
        <v>703497.87414954707</v>
      </c>
      <c r="AH328" s="321">
        <f t="shared" si="18"/>
        <v>0</v>
      </c>
      <c r="AI328" s="321">
        <f t="shared" si="18"/>
        <v>10138126.017014278</v>
      </c>
      <c r="AJ328" s="321"/>
      <c r="AK328" s="321">
        <f t="shared" si="18"/>
        <v>2174294.5370588237</v>
      </c>
      <c r="AL328" s="321">
        <f t="shared" si="18"/>
        <v>0</v>
      </c>
      <c r="AM328" s="321">
        <f t="shared" si="18"/>
        <v>0</v>
      </c>
      <c r="AN328" s="321">
        <f t="shared" si="18"/>
        <v>0</v>
      </c>
      <c r="AO328" s="321">
        <f t="shared" si="18"/>
        <v>2174294.5370588237</v>
      </c>
      <c r="AP328" s="321">
        <f t="shared" si="18"/>
        <v>7963831.4799554544</v>
      </c>
    </row>
    <row r="329" spans="1:42" x14ac:dyDescent="0.25">
      <c r="A329" s="311">
        <v>1236570</v>
      </c>
      <c r="D329" s="311">
        <v>1236570</v>
      </c>
      <c r="E329" s="315" t="str">
        <f t="shared" si="19"/>
        <v>Domov pro matky s dětmi Hradec Králové</v>
      </c>
      <c r="F329" s="315" t="str">
        <f t="shared" si="20"/>
        <v>Oblastní charita Hradec Králové</v>
      </c>
      <c r="G329" s="315" t="str">
        <f t="shared" si="21"/>
        <v>§ 57 - Azylové domy</v>
      </c>
      <c r="H329" s="315"/>
      <c r="I329" s="266" t="s">
        <v>1812</v>
      </c>
      <c r="J329" s="319"/>
      <c r="K329" s="266"/>
      <c r="L329" s="320"/>
      <c r="M329" s="321">
        <f t="shared" si="22"/>
        <v>15.96</v>
      </c>
      <c r="N329" s="321">
        <f t="shared" si="22"/>
        <v>4</v>
      </c>
      <c r="O329" s="321">
        <f t="shared" si="22"/>
        <v>10.96</v>
      </c>
      <c r="P329" s="321">
        <f t="shared" si="22"/>
        <v>0</v>
      </c>
      <c r="Q329" s="321">
        <f t="shared" si="22"/>
        <v>1</v>
      </c>
      <c r="R329" s="321">
        <f t="shared" si="22"/>
        <v>64</v>
      </c>
      <c r="S329" s="321">
        <f t="shared" si="22"/>
        <v>0</v>
      </c>
      <c r="T329" s="321">
        <f t="shared" si="22"/>
        <v>0</v>
      </c>
      <c r="U329" s="321">
        <f t="shared" si="22"/>
        <v>0</v>
      </c>
      <c r="V329" s="321"/>
      <c r="W329" s="321">
        <f t="shared" si="18"/>
        <v>15.96</v>
      </c>
      <c r="X329" s="321">
        <f t="shared" si="18"/>
        <v>4</v>
      </c>
      <c r="Y329" s="321">
        <f t="shared" si="18"/>
        <v>10.96</v>
      </c>
      <c r="Z329" s="321">
        <f t="shared" si="18"/>
        <v>0</v>
      </c>
      <c r="AA329" s="321">
        <f t="shared" si="18"/>
        <v>1</v>
      </c>
      <c r="AB329" s="321">
        <f t="shared" si="18"/>
        <v>64</v>
      </c>
      <c r="AC329" s="321">
        <f t="shared" si="18"/>
        <v>0</v>
      </c>
      <c r="AD329" s="321"/>
      <c r="AE329" s="321">
        <f t="shared" si="18"/>
        <v>10344066.498788252</v>
      </c>
      <c r="AF329" s="321">
        <f t="shared" si="18"/>
        <v>0</v>
      </c>
      <c r="AG329" s="321">
        <f t="shared" si="18"/>
        <v>1709562.463948861</v>
      </c>
      <c r="AH329" s="321">
        <f t="shared" si="18"/>
        <v>0</v>
      </c>
      <c r="AI329" s="321">
        <f t="shared" si="18"/>
        <v>12053628.962737113</v>
      </c>
      <c r="AJ329" s="321"/>
      <c r="AK329" s="321">
        <f t="shared" si="18"/>
        <v>0</v>
      </c>
      <c r="AL329" s="321">
        <f t="shared" si="18"/>
        <v>0</v>
      </c>
      <c r="AM329" s="321">
        <f t="shared" si="18"/>
        <v>1455047.4666666668</v>
      </c>
      <c r="AN329" s="321">
        <f t="shared" si="18"/>
        <v>0</v>
      </c>
      <c r="AO329" s="321">
        <f t="shared" si="18"/>
        <v>1455047.4666666668</v>
      </c>
      <c r="AP329" s="321">
        <f t="shared" si="18"/>
        <v>10598581.496070446</v>
      </c>
    </row>
    <row r="330" spans="1:42" x14ac:dyDescent="0.25">
      <c r="A330" s="311">
        <v>1272659</v>
      </c>
      <c r="D330" s="311">
        <v>1272659</v>
      </c>
      <c r="E330" s="315" t="str">
        <f t="shared" si="19"/>
        <v>Město Nový Bydžov</v>
      </c>
      <c r="F330" s="315" t="str">
        <f t="shared" si="20"/>
        <v>Město Nový Bydžov</v>
      </c>
      <c r="G330" s="315" t="str">
        <f t="shared" si="21"/>
        <v>§ 65 - Sociálně aktivizační služby pro rodiny s dětmi</v>
      </c>
      <c r="H330" s="315"/>
      <c r="I330" s="266" t="s">
        <v>1812</v>
      </c>
      <c r="J330" s="319"/>
      <c r="K330" s="266"/>
      <c r="L330" s="320"/>
      <c r="M330" s="321">
        <f t="shared" si="22"/>
        <v>2</v>
      </c>
      <c r="N330" s="321">
        <f t="shared" si="22"/>
        <v>1</v>
      </c>
      <c r="O330" s="321">
        <f t="shared" si="22"/>
        <v>1</v>
      </c>
      <c r="P330" s="321">
        <f t="shared" si="22"/>
        <v>0</v>
      </c>
      <c r="Q330" s="321">
        <f t="shared" si="22"/>
        <v>0</v>
      </c>
      <c r="R330" s="321">
        <f t="shared" si="22"/>
        <v>0</v>
      </c>
      <c r="S330" s="321">
        <f t="shared" si="22"/>
        <v>168</v>
      </c>
      <c r="T330" s="321">
        <f t="shared" si="22"/>
        <v>0</v>
      </c>
      <c r="U330" s="321">
        <f t="shared" si="22"/>
        <v>0</v>
      </c>
      <c r="V330" s="321"/>
      <c r="W330" s="321">
        <f t="shared" si="18"/>
        <v>2</v>
      </c>
      <c r="X330" s="321">
        <f t="shared" si="18"/>
        <v>1</v>
      </c>
      <c r="Y330" s="321">
        <f t="shared" si="18"/>
        <v>1</v>
      </c>
      <c r="Z330" s="321">
        <f t="shared" si="18"/>
        <v>0</v>
      </c>
      <c r="AA330" s="321">
        <f t="shared" si="18"/>
        <v>0</v>
      </c>
      <c r="AB330" s="321">
        <f t="shared" si="18"/>
        <v>0</v>
      </c>
      <c r="AC330" s="321">
        <f t="shared" si="18"/>
        <v>0</v>
      </c>
      <c r="AD330" s="321"/>
      <c r="AE330" s="321">
        <f t="shared" si="18"/>
        <v>1347918.8517422723</v>
      </c>
      <c r="AF330" s="321">
        <f t="shared" si="18"/>
        <v>0</v>
      </c>
      <c r="AG330" s="321">
        <f t="shared" si="18"/>
        <v>90020.59049177944</v>
      </c>
      <c r="AH330" s="321">
        <f t="shared" si="18"/>
        <v>0</v>
      </c>
      <c r="AI330" s="321">
        <f t="shared" si="18"/>
        <v>1437939.4422340516</v>
      </c>
      <c r="AJ330" s="321"/>
      <c r="AK330" s="321">
        <f t="shared" si="18"/>
        <v>0</v>
      </c>
      <c r="AL330" s="321">
        <f t="shared" si="18"/>
        <v>0</v>
      </c>
      <c r="AM330" s="321">
        <f t="shared" si="18"/>
        <v>0</v>
      </c>
      <c r="AN330" s="321">
        <f t="shared" si="18"/>
        <v>0</v>
      </c>
      <c r="AO330" s="321">
        <f t="shared" si="18"/>
        <v>0</v>
      </c>
      <c r="AP330" s="321">
        <f t="shared" si="18"/>
        <v>1437939.4422340516</v>
      </c>
    </row>
    <row r="331" spans="1:42" x14ac:dyDescent="0.25">
      <c r="A331" s="311">
        <v>1356155</v>
      </c>
      <c r="D331" s="311">
        <v>1356155</v>
      </c>
      <c r="E331" s="315" t="str">
        <f t="shared" si="19"/>
        <v>Oblastní charita Sobotka - Charitní pečovatelská služba</v>
      </c>
      <c r="F331" s="315" t="str">
        <f t="shared" si="20"/>
        <v>Oblastní charita Sobotka</v>
      </c>
      <c r="G331" s="315" t="str">
        <f t="shared" si="21"/>
        <v>§ 40 - Pečovatelská služba</v>
      </c>
      <c r="H331" s="315"/>
      <c r="I331" s="266" t="s">
        <v>1812</v>
      </c>
      <c r="J331" s="319"/>
      <c r="K331" s="266"/>
      <c r="L331" s="320"/>
      <c r="M331" s="321">
        <f t="shared" si="22"/>
        <v>4</v>
      </c>
      <c r="N331" s="321">
        <f t="shared" si="22"/>
        <v>1</v>
      </c>
      <c r="O331" s="321">
        <f t="shared" si="22"/>
        <v>3</v>
      </c>
      <c r="P331" s="321">
        <f t="shared" si="22"/>
        <v>0</v>
      </c>
      <c r="Q331" s="321">
        <f t="shared" si="22"/>
        <v>0</v>
      </c>
      <c r="R331" s="321">
        <f t="shared" si="22"/>
        <v>0</v>
      </c>
      <c r="S331" s="321">
        <f t="shared" si="22"/>
        <v>35</v>
      </c>
      <c r="T331" s="321">
        <f t="shared" si="22"/>
        <v>0</v>
      </c>
      <c r="U331" s="321">
        <f t="shared" si="22"/>
        <v>0</v>
      </c>
      <c r="V331" s="321"/>
      <c r="W331" s="321">
        <f t="shared" si="18"/>
        <v>4</v>
      </c>
      <c r="X331" s="321">
        <f t="shared" si="18"/>
        <v>1</v>
      </c>
      <c r="Y331" s="321">
        <f t="shared" si="18"/>
        <v>3</v>
      </c>
      <c r="Z331" s="321">
        <f t="shared" si="18"/>
        <v>0</v>
      </c>
      <c r="AA331" s="321">
        <f t="shared" si="18"/>
        <v>0</v>
      </c>
      <c r="AB331" s="321">
        <f t="shared" si="18"/>
        <v>0</v>
      </c>
      <c r="AC331" s="321">
        <f t="shared" si="18"/>
        <v>0</v>
      </c>
      <c r="AD331" s="321"/>
      <c r="AE331" s="321">
        <f t="shared" si="18"/>
        <v>2309578.4927453441</v>
      </c>
      <c r="AF331" s="321">
        <f t="shared" si="18"/>
        <v>0</v>
      </c>
      <c r="AG331" s="321">
        <f t="shared" si="18"/>
        <v>172214.90187259414</v>
      </c>
      <c r="AH331" s="321">
        <f t="shared" si="18"/>
        <v>0</v>
      </c>
      <c r="AI331" s="321">
        <f t="shared" si="18"/>
        <v>2481793.3946179384</v>
      </c>
      <c r="AJ331" s="321"/>
      <c r="AK331" s="321">
        <f t="shared" si="18"/>
        <v>416265.70588235295</v>
      </c>
      <c r="AL331" s="321">
        <f t="shared" si="18"/>
        <v>0</v>
      </c>
      <c r="AM331" s="321">
        <f t="shared" si="18"/>
        <v>0</v>
      </c>
      <c r="AN331" s="321">
        <f t="shared" si="18"/>
        <v>0</v>
      </c>
      <c r="AO331" s="321">
        <f t="shared" si="18"/>
        <v>416265.70588235295</v>
      </c>
      <c r="AP331" s="321">
        <f t="shared" si="18"/>
        <v>2065527.6887355854</v>
      </c>
    </row>
    <row r="332" spans="1:42" x14ac:dyDescent="0.25">
      <c r="A332" s="311">
        <v>1378201</v>
      </c>
      <c r="D332" s="311">
        <v>1378201</v>
      </c>
      <c r="E332" s="315" t="str">
        <f t="shared" si="19"/>
        <v>Takový normální život</v>
      </c>
      <c r="F332" s="315" t="str">
        <f t="shared" si="20"/>
        <v>PFERDA z.ú.</v>
      </c>
      <c r="G332" s="315" t="str">
        <f t="shared" si="21"/>
        <v>§ 43 - Podpora samostatného bydlení</v>
      </c>
      <c r="H332" s="315"/>
      <c r="I332" s="266" t="s">
        <v>1812</v>
      </c>
      <c r="J332" s="319"/>
      <c r="K332" s="266"/>
      <c r="L332" s="320"/>
      <c r="M332" s="321">
        <f t="shared" si="22"/>
        <v>4.25</v>
      </c>
      <c r="N332" s="321">
        <f t="shared" si="22"/>
        <v>1.75</v>
      </c>
      <c r="O332" s="321">
        <f t="shared" si="22"/>
        <v>2.5</v>
      </c>
      <c r="P332" s="321">
        <f t="shared" si="22"/>
        <v>0</v>
      </c>
      <c r="Q332" s="321">
        <f t="shared" si="22"/>
        <v>0</v>
      </c>
      <c r="R332" s="321">
        <f t="shared" si="22"/>
        <v>0</v>
      </c>
      <c r="S332" s="321">
        <f t="shared" si="22"/>
        <v>30</v>
      </c>
      <c r="T332" s="321">
        <f t="shared" si="22"/>
        <v>0</v>
      </c>
      <c r="U332" s="321">
        <f t="shared" si="22"/>
        <v>0</v>
      </c>
      <c r="V332" s="321"/>
      <c r="W332" s="321">
        <f t="shared" si="18"/>
        <v>4.25</v>
      </c>
      <c r="X332" s="321">
        <f t="shared" si="18"/>
        <v>1.75</v>
      </c>
      <c r="Y332" s="321">
        <f t="shared" si="18"/>
        <v>2.5</v>
      </c>
      <c r="Z332" s="321">
        <f t="shared" si="18"/>
        <v>0</v>
      </c>
      <c r="AA332" s="321">
        <f t="shared" si="18"/>
        <v>0</v>
      </c>
      <c r="AB332" s="321">
        <f t="shared" si="18"/>
        <v>0</v>
      </c>
      <c r="AC332" s="321">
        <f t="shared" si="18"/>
        <v>0</v>
      </c>
      <c r="AD332" s="321"/>
      <c r="AE332" s="321">
        <f t="shared" si="18"/>
        <v>2746696.3688903879</v>
      </c>
      <c r="AF332" s="321">
        <f t="shared" si="18"/>
        <v>0</v>
      </c>
      <c r="AG332" s="321">
        <f t="shared" si="18"/>
        <v>64101.605443124994</v>
      </c>
      <c r="AH332" s="321">
        <f t="shared" si="18"/>
        <v>0</v>
      </c>
      <c r="AI332" s="321">
        <f t="shared" si="18"/>
        <v>2810797.9743335126</v>
      </c>
      <c r="AJ332" s="321"/>
      <c r="AK332" s="321">
        <f t="shared" si="18"/>
        <v>268256.90000000002</v>
      </c>
      <c r="AL332" s="321">
        <f t="shared" si="18"/>
        <v>0</v>
      </c>
      <c r="AM332" s="321">
        <f t="shared" si="18"/>
        <v>0</v>
      </c>
      <c r="AN332" s="321">
        <f t="shared" si="18"/>
        <v>0</v>
      </c>
      <c r="AO332" s="321">
        <f t="shared" si="18"/>
        <v>268256.90000000002</v>
      </c>
      <c r="AP332" s="321">
        <f t="shared" si="18"/>
        <v>2542541.0743335127</v>
      </c>
    </row>
    <row r="333" spans="1:42" x14ac:dyDescent="0.25">
      <c r="A333" s="311">
        <v>1441233</v>
      </c>
      <c r="D333" s="311">
        <v>1441233</v>
      </c>
      <c r="E333" s="315" t="str">
        <f t="shared" si="19"/>
        <v>Stacionář sv. Františka</v>
      </c>
      <c r="F333" s="315" t="str">
        <f t="shared" si="20"/>
        <v>Farní charita Rychnov nad Kněžnou</v>
      </c>
      <c r="G333" s="315" t="str">
        <f t="shared" si="21"/>
        <v>§ 44 - Odlehčovací služby</v>
      </c>
      <c r="H333" s="315"/>
      <c r="I333" s="266" t="s">
        <v>1812</v>
      </c>
      <c r="J333" s="319"/>
      <c r="K333" s="266"/>
      <c r="L333" s="320"/>
      <c r="M333" s="321">
        <f t="shared" si="22"/>
        <v>5.35</v>
      </c>
      <c r="N333" s="321">
        <f t="shared" si="22"/>
        <v>0.3</v>
      </c>
      <c r="O333" s="321">
        <f t="shared" si="22"/>
        <v>3.5</v>
      </c>
      <c r="P333" s="321">
        <f t="shared" si="22"/>
        <v>1.55</v>
      </c>
      <c r="Q333" s="321">
        <f t="shared" si="22"/>
        <v>0</v>
      </c>
      <c r="R333" s="321">
        <f t="shared" si="22"/>
        <v>15</v>
      </c>
      <c r="S333" s="321">
        <f t="shared" si="22"/>
        <v>0</v>
      </c>
      <c r="T333" s="321">
        <f t="shared" si="22"/>
        <v>0</v>
      </c>
      <c r="U333" s="321">
        <f t="shared" si="22"/>
        <v>0</v>
      </c>
      <c r="V333" s="321"/>
      <c r="W333" s="321">
        <f t="shared" si="18"/>
        <v>5.35</v>
      </c>
      <c r="X333" s="321">
        <f t="shared" si="18"/>
        <v>0.3</v>
      </c>
      <c r="Y333" s="321">
        <f t="shared" si="18"/>
        <v>3.5</v>
      </c>
      <c r="Z333" s="321">
        <f t="shared" si="18"/>
        <v>1.55</v>
      </c>
      <c r="AA333" s="321">
        <f t="shared" si="18"/>
        <v>0</v>
      </c>
      <c r="AB333" s="321">
        <f t="shared" si="18"/>
        <v>15</v>
      </c>
      <c r="AC333" s="321">
        <f t="shared" si="18"/>
        <v>0</v>
      </c>
      <c r="AD333" s="321"/>
      <c r="AE333" s="321">
        <f t="shared" si="18"/>
        <v>3156861.9126591333</v>
      </c>
      <c r="AF333" s="321">
        <f t="shared" si="18"/>
        <v>0</v>
      </c>
      <c r="AG333" s="321">
        <f t="shared" si="18"/>
        <v>846858.424444973</v>
      </c>
      <c r="AH333" s="321">
        <f t="shared" si="18"/>
        <v>464627.53113049403</v>
      </c>
      <c r="AI333" s="321">
        <f t="shared" si="18"/>
        <v>4468347.8682345999</v>
      </c>
      <c r="AJ333" s="321"/>
      <c r="AK333" s="321">
        <f t="shared" si="18"/>
        <v>643270.62243962544</v>
      </c>
      <c r="AL333" s="321">
        <f t="shared" si="18"/>
        <v>0</v>
      </c>
      <c r="AM333" s="321">
        <f t="shared" si="18"/>
        <v>576829.6875</v>
      </c>
      <c r="AN333" s="321">
        <f t="shared" si="18"/>
        <v>358431.75</v>
      </c>
      <c r="AO333" s="321">
        <f t="shared" si="18"/>
        <v>1578532.0599396254</v>
      </c>
      <c r="AP333" s="321">
        <f t="shared" si="18"/>
        <v>2889815.8082949743</v>
      </c>
    </row>
    <row r="334" spans="1:42" x14ac:dyDescent="0.25">
      <c r="A334" s="311">
        <v>1450637</v>
      </c>
      <c r="D334" s="311">
        <v>1450637</v>
      </c>
      <c r="E334" s="315" t="str">
        <f t="shared" si="19"/>
        <v>Domov důchodců Albrechtice nad Orlicí</v>
      </c>
      <c r="F334" s="315" t="str">
        <f t="shared" si="20"/>
        <v>Domov důchodců Albrechtice nad Orlicí</v>
      </c>
      <c r="G334" s="315" t="str">
        <f t="shared" si="21"/>
        <v>§ 50 - Domovy se zvláštním režimem</v>
      </c>
      <c r="H334" s="315"/>
      <c r="I334" s="266" t="s">
        <v>1812</v>
      </c>
      <c r="J334" s="319"/>
      <c r="K334" s="266"/>
      <c r="L334" s="320"/>
      <c r="M334" s="321">
        <f t="shared" si="22"/>
        <v>50</v>
      </c>
      <c r="N334" s="321">
        <f t="shared" si="22"/>
        <v>2</v>
      </c>
      <c r="O334" s="321">
        <f t="shared" si="22"/>
        <v>36</v>
      </c>
      <c r="P334" s="321">
        <f t="shared" si="22"/>
        <v>12</v>
      </c>
      <c r="Q334" s="321">
        <f t="shared" si="22"/>
        <v>0</v>
      </c>
      <c r="R334" s="321">
        <f t="shared" si="22"/>
        <v>81</v>
      </c>
      <c r="S334" s="321">
        <f t="shared" si="22"/>
        <v>0</v>
      </c>
      <c r="T334" s="321">
        <f t="shared" si="22"/>
        <v>0</v>
      </c>
      <c r="U334" s="321">
        <f t="shared" si="22"/>
        <v>0</v>
      </c>
      <c r="V334" s="321"/>
      <c r="W334" s="321">
        <f t="shared" si="18"/>
        <v>50</v>
      </c>
      <c r="X334" s="321">
        <f t="shared" si="18"/>
        <v>2</v>
      </c>
      <c r="Y334" s="321">
        <f t="shared" si="18"/>
        <v>36</v>
      </c>
      <c r="Z334" s="321">
        <f t="shared" si="18"/>
        <v>12</v>
      </c>
      <c r="AA334" s="321">
        <f t="shared" si="18"/>
        <v>0</v>
      </c>
      <c r="AB334" s="321">
        <f t="shared" si="18"/>
        <v>81</v>
      </c>
      <c r="AC334" s="321">
        <f t="shared" si="18"/>
        <v>0</v>
      </c>
      <c r="AD334" s="321"/>
      <c r="AE334" s="321">
        <f t="shared" si="18"/>
        <v>25354669.980119571</v>
      </c>
      <c r="AF334" s="321">
        <f t="shared" si="18"/>
        <v>10150936.384272657</v>
      </c>
      <c r="AG334" s="321">
        <f t="shared" si="18"/>
        <v>8072279.2736791726</v>
      </c>
      <c r="AH334" s="321">
        <f t="shared" si="18"/>
        <v>5451672.3678696118</v>
      </c>
      <c r="AI334" s="321">
        <f t="shared" si="18"/>
        <v>49029558.005941018</v>
      </c>
      <c r="AJ334" s="321"/>
      <c r="AK334" s="321">
        <f t="shared" si="18"/>
        <v>9725525.8200000003</v>
      </c>
      <c r="AL334" s="321">
        <f t="shared" si="18"/>
        <v>1821049.7962499999</v>
      </c>
      <c r="AM334" s="321">
        <f t="shared" si="18"/>
        <v>5867788.0344827585</v>
      </c>
      <c r="AN334" s="321">
        <f t="shared" si="18"/>
        <v>4131109.35</v>
      </c>
      <c r="AO334" s="321">
        <f t="shared" si="18"/>
        <v>21545473.000732761</v>
      </c>
      <c r="AP334" s="321">
        <f t="shared" si="18"/>
        <v>27484085.005208258</v>
      </c>
    </row>
    <row r="335" spans="1:42" x14ac:dyDescent="0.25">
      <c r="A335" s="311">
        <v>1494293</v>
      </c>
      <c r="D335" s="311">
        <v>1494293</v>
      </c>
      <c r="E335" s="315" t="str">
        <f t="shared" si="19"/>
        <v>Sociální poradna Domácího hospice Setkání</v>
      </c>
      <c r="F335" s="315" t="str">
        <f t="shared" si="20"/>
        <v>Domácí hospic Setkání, o.p.s.</v>
      </c>
      <c r="G335" s="315" t="str">
        <f t="shared" si="21"/>
        <v>§ 37 - Odborné sociální poradenství</v>
      </c>
      <c r="H335" s="315"/>
      <c r="I335" s="266" t="s">
        <v>1812</v>
      </c>
      <c r="J335" s="319"/>
      <c r="K335" s="266"/>
      <c r="L335" s="320"/>
      <c r="M335" s="321">
        <f t="shared" si="22"/>
        <v>1.34</v>
      </c>
      <c r="N335" s="321">
        <f t="shared" si="22"/>
        <v>0.14000000000000001</v>
      </c>
      <c r="O335" s="321">
        <f t="shared" si="22"/>
        <v>1</v>
      </c>
      <c r="P335" s="321">
        <f t="shared" si="22"/>
        <v>0.2</v>
      </c>
      <c r="Q335" s="321">
        <f t="shared" si="22"/>
        <v>0</v>
      </c>
      <c r="R335" s="321">
        <f t="shared" si="22"/>
        <v>0</v>
      </c>
      <c r="S335" s="321">
        <f t="shared" si="22"/>
        <v>4</v>
      </c>
      <c r="T335" s="321">
        <f t="shared" si="22"/>
        <v>3</v>
      </c>
      <c r="U335" s="321">
        <f t="shared" si="22"/>
        <v>0</v>
      </c>
      <c r="V335" s="321"/>
      <c r="W335" s="321">
        <f t="shared" si="18"/>
        <v>1.34</v>
      </c>
      <c r="X335" s="321">
        <f t="shared" si="18"/>
        <v>0.14000000000000001</v>
      </c>
      <c r="Y335" s="321">
        <f t="shared" si="18"/>
        <v>1</v>
      </c>
      <c r="Z335" s="321">
        <f t="shared" si="18"/>
        <v>0.2</v>
      </c>
      <c r="AA335" s="321">
        <f t="shared" si="18"/>
        <v>0</v>
      </c>
      <c r="AB335" s="321">
        <f t="shared" si="18"/>
        <v>0</v>
      </c>
      <c r="AC335" s="321">
        <f t="shared" si="18"/>
        <v>3</v>
      </c>
      <c r="AD335" s="321"/>
      <c r="AE335" s="321">
        <f t="shared" si="18"/>
        <v>931825.23262077977</v>
      </c>
      <c r="AF335" s="321">
        <f t="shared" si="18"/>
        <v>0</v>
      </c>
      <c r="AG335" s="321">
        <f t="shared" si="18"/>
        <v>63491.271821946364</v>
      </c>
      <c r="AH335" s="321">
        <f t="shared" si="18"/>
        <v>0</v>
      </c>
      <c r="AI335" s="321">
        <f t="shared" si="18"/>
        <v>995316.50444272615</v>
      </c>
      <c r="AJ335" s="321"/>
      <c r="AK335" s="321">
        <f t="shared" si="18"/>
        <v>0</v>
      </c>
      <c r="AL335" s="321">
        <f t="shared" ref="W335:AP347" si="23">SUMIFS(AL$4:AL$318,$D$4:$D$318,$D335)</f>
        <v>0</v>
      </c>
      <c r="AM335" s="321">
        <f t="shared" si="23"/>
        <v>0</v>
      </c>
      <c r="AN335" s="321">
        <f t="shared" si="23"/>
        <v>0</v>
      </c>
      <c r="AO335" s="321">
        <f t="shared" si="23"/>
        <v>0</v>
      </c>
      <c r="AP335" s="321">
        <f t="shared" si="23"/>
        <v>995316.50444272615</v>
      </c>
    </row>
    <row r="336" spans="1:42" x14ac:dyDescent="0.25">
      <c r="A336" s="311">
        <v>1514566</v>
      </c>
      <c r="D336" s="311">
        <v>1514566</v>
      </c>
      <c r="E336" s="315" t="str">
        <f t="shared" si="19"/>
        <v>Město Police nad Metují - pečovatelská služba</v>
      </c>
      <c r="F336" s="315" t="str">
        <f t="shared" si="20"/>
        <v>Město Police nad Metují</v>
      </c>
      <c r="G336" s="315" t="str">
        <f t="shared" si="21"/>
        <v>§ 40 - Pečovatelská služba</v>
      </c>
      <c r="H336" s="315"/>
      <c r="I336" s="266" t="s">
        <v>1812</v>
      </c>
      <c r="J336" s="319"/>
      <c r="K336" s="266"/>
      <c r="L336" s="320"/>
      <c r="M336" s="321">
        <f t="shared" si="22"/>
        <v>5.5</v>
      </c>
      <c r="N336" s="321">
        <f t="shared" si="22"/>
        <v>1.5</v>
      </c>
      <c r="O336" s="321">
        <f t="shared" si="22"/>
        <v>4</v>
      </c>
      <c r="P336" s="321">
        <f t="shared" si="22"/>
        <v>0</v>
      </c>
      <c r="Q336" s="321">
        <f t="shared" si="22"/>
        <v>0</v>
      </c>
      <c r="R336" s="321">
        <f t="shared" si="22"/>
        <v>0</v>
      </c>
      <c r="S336" s="321">
        <f t="shared" si="22"/>
        <v>50</v>
      </c>
      <c r="T336" s="321">
        <f t="shared" si="22"/>
        <v>0</v>
      </c>
      <c r="U336" s="321">
        <f t="shared" si="22"/>
        <v>0</v>
      </c>
      <c r="V336" s="321"/>
      <c r="W336" s="321">
        <f t="shared" si="23"/>
        <v>5.5</v>
      </c>
      <c r="X336" s="321">
        <f t="shared" si="23"/>
        <v>1.5</v>
      </c>
      <c r="Y336" s="321">
        <f t="shared" si="23"/>
        <v>4</v>
      </c>
      <c r="Z336" s="321">
        <f t="shared" si="23"/>
        <v>0</v>
      </c>
      <c r="AA336" s="321">
        <f t="shared" si="23"/>
        <v>0</v>
      </c>
      <c r="AB336" s="321">
        <f t="shared" si="23"/>
        <v>0</v>
      </c>
      <c r="AC336" s="321">
        <f t="shared" si="23"/>
        <v>0</v>
      </c>
      <c r="AD336" s="321"/>
      <c r="AE336" s="321">
        <f t="shared" si="23"/>
        <v>3175670.4275248479</v>
      </c>
      <c r="AF336" s="321">
        <f t="shared" si="23"/>
        <v>0</v>
      </c>
      <c r="AG336" s="321">
        <f t="shared" si="23"/>
        <v>236795.49007481695</v>
      </c>
      <c r="AH336" s="321">
        <f t="shared" si="23"/>
        <v>0</v>
      </c>
      <c r="AI336" s="321">
        <f t="shared" si="23"/>
        <v>3412465.917599665</v>
      </c>
      <c r="AJ336" s="321"/>
      <c r="AK336" s="321">
        <f t="shared" si="23"/>
        <v>555020.9411764706</v>
      </c>
      <c r="AL336" s="321">
        <f t="shared" si="23"/>
        <v>0</v>
      </c>
      <c r="AM336" s="321">
        <f t="shared" si="23"/>
        <v>0</v>
      </c>
      <c r="AN336" s="321">
        <f t="shared" si="23"/>
        <v>0</v>
      </c>
      <c r="AO336" s="321">
        <f t="shared" si="23"/>
        <v>555020.9411764706</v>
      </c>
      <c r="AP336" s="321">
        <f t="shared" si="23"/>
        <v>2857444.9764231946</v>
      </c>
    </row>
    <row r="337" spans="1:42" x14ac:dyDescent="0.25">
      <c r="A337" s="311">
        <v>1537615</v>
      </c>
      <c r="D337" s="311">
        <v>1537615</v>
      </c>
      <c r="E337" s="315" t="str">
        <f t="shared" si="19"/>
        <v>Centrum terénních programů Královéhradeckého kraje</v>
      </c>
      <c r="F337" s="315" t="str">
        <f t="shared" si="20"/>
        <v>Laxus z.ú.</v>
      </c>
      <c r="G337" s="315" t="str">
        <f t="shared" si="21"/>
        <v>§ 69 - Terénní programy</v>
      </c>
      <c r="H337" s="315"/>
      <c r="I337" s="266" t="s">
        <v>1812</v>
      </c>
      <c r="J337" s="319"/>
      <c r="K337" s="266"/>
      <c r="L337" s="320"/>
      <c r="M337" s="321">
        <f t="shared" si="22"/>
        <v>5.75</v>
      </c>
      <c r="N337" s="321">
        <f t="shared" si="22"/>
        <v>5.75</v>
      </c>
      <c r="O337" s="321">
        <f t="shared" si="22"/>
        <v>0</v>
      </c>
      <c r="P337" s="321">
        <f t="shared" si="22"/>
        <v>0</v>
      </c>
      <c r="Q337" s="321">
        <f t="shared" si="22"/>
        <v>0</v>
      </c>
      <c r="R337" s="321">
        <f t="shared" si="22"/>
        <v>0</v>
      </c>
      <c r="S337" s="321">
        <f t="shared" si="22"/>
        <v>80</v>
      </c>
      <c r="T337" s="321">
        <f t="shared" si="22"/>
        <v>0</v>
      </c>
      <c r="U337" s="321">
        <f t="shared" si="22"/>
        <v>0</v>
      </c>
      <c r="V337" s="321"/>
      <c r="W337" s="321">
        <f t="shared" si="23"/>
        <v>5.75</v>
      </c>
      <c r="X337" s="321">
        <f t="shared" si="23"/>
        <v>5.75</v>
      </c>
      <c r="Y337" s="321">
        <f t="shared" si="23"/>
        <v>0</v>
      </c>
      <c r="Z337" s="321">
        <f t="shared" si="23"/>
        <v>0</v>
      </c>
      <c r="AA337" s="321">
        <f t="shared" si="23"/>
        <v>0</v>
      </c>
      <c r="AB337" s="321">
        <f t="shared" si="23"/>
        <v>0</v>
      </c>
      <c r="AC337" s="321">
        <f t="shared" si="23"/>
        <v>0</v>
      </c>
      <c r="AD337" s="321"/>
      <c r="AE337" s="321">
        <f t="shared" si="23"/>
        <v>3604023.2409131769</v>
      </c>
      <c r="AF337" s="321">
        <f t="shared" si="23"/>
        <v>0</v>
      </c>
      <c r="AG337" s="321">
        <f t="shared" si="23"/>
        <v>181086.00064733304</v>
      </c>
      <c r="AH337" s="321">
        <f t="shared" si="23"/>
        <v>0</v>
      </c>
      <c r="AI337" s="321">
        <f t="shared" si="23"/>
        <v>3785109.2415605099</v>
      </c>
      <c r="AJ337" s="321"/>
      <c r="AK337" s="321">
        <f t="shared" si="23"/>
        <v>0</v>
      </c>
      <c r="AL337" s="321">
        <f t="shared" si="23"/>
        <v>0</v>
      </c>
      <c r="AM337" s="321">
        <f t="shared" si="23"/>
        <v>0</v>
      </c>
      <c r="AN337" s="321">
        <f t="shared" si="23"/>
        <v>0</v>
      </c>
      <c r="AO337" s="321">
        <f t="shared" si="23"/>
        <v>0</v>
      </c>
      <c r="AP337" s="321">
        <f t="shared" si="23"/>
        <v>3785109.2415605099</v>
      </c>
    </row>
    <row r="338" spans="1:42" x14ac:dyDescent="0.25">
      <c r="A338" s="311">
        <v>1546097</v>
      </c>
      <c r="D338" s="311">
        <v>1546097</v>
      </c>
      <c r="E338" s="315" t="str">
        <f t="shared" si="19"/>
        <v>Ústav sociální péče pro mládež DOMEČKY</v>
      </c>
      <c r="F338" s="315" t="str">
        <f t="shared" si="20"/>
        <v>Ústav sociální péče pro mládež DOMEČKY</v>
      </c>
      <c r="G338" s="315" t="str">
        <f t="shared" si="21"/>
        <v>§ 48 - Domovy pro osoby se zdravotním postižením</v>
      </c>
      <c r="H338" s="315"/>
      <c r="I338" s="266" t="s">
        <v>1812</v>
      </c>
      <c r="J338" s="319"/>
      <c r="K338" s="266"/>
      <c r="L338" s="320"/>
      <c r="M338" s="321">
        <f t="shared" si="22"/>
        <v>69.37</v>
      </c>
      <c r="N338" s="321">
        <f t="shared" si="22"/>
        <v>2.4</v>
      </c>
      <c r="O338" s="321">
        <f t="shared" si="22"/>
        <v>58.69</v>
      </c>
      <c r="P338" s="321">
        <f t="shared" si="22"/>
        <v>8.2799999999999994</v>
      </c>
      <c r="Q338" s="321">
        <f t="shared" si="22"/>
        <v>0</v>
      </c>
      <c r="R338" s="321">
        <f t="shared" si="22"/>
        <v>98</v>
      </c>
      <c r="S338" s="321">
        <f t="shared" si="22"/>
        <v>0</v>
      </c>
      <c r="T338" s="321">
        <f t="shared" si="22"/>
        <v>0</v>
      </c>
      <c r="U338" s="321">
        <f t="shared" si="22"/>
        <v>0</v>
      </c>
      <c r="V338" s="321"/>
      <c r="W338" s="321">
        <f t="shared" si="23"/>
        <v>69.37</v>
      </c>
      <c r="X338" s="321">
        <f t="shared" si="23"/>
        <v>2.4</v>
      </c>
      <c r="Y338" s="321">
        <f t="shared" si="23"/>
        <v>58.69</v>
      </c>
      <c r="Z338" s="321">
        <f t="shared" si="23"/>
        <v>8.2799999999999994</v>
      </c>
      <c r="AA338" s="321">
        <f t="shared" si="23"/>
        <v>0</v>
      </c>
      <c r="AB338" s="321">
        <f t="shared" si="23"/>
        <v>98</v>
      </c>
      <c r="AC338" s="321">
        <f t="shared" si="23"/>
        <v>0</v>
      </c>
      <c r="AD338" s="321"/>
      <c r="AE338" s="321">
        <f t="shared" si="23"/>
        <v>40869484.396510497</v>
      </c>
      <c r="AF338" s="321">
        <f t="shared" si="23"/>
        <v>7031421.1852691108</v>
      </c>
      <c r="AG338" s="321">
        <f t="shared" si="23"/>
        <v>10308751.464529881</v>
      </c>
      <c r="AH338" s="321">
        <f t="shared" si="23"/>
        <v>6621452.5658342913</v>
      </c>
      <c r="AI338" s="321">
        <f t="shared" si="23"/>
        <v>64831109.612143777</v>
      </c>
      <c r="AJ338" s="321"/>
      <c r="AK338" s="321">
        <f t="shared" si="23"/>
        <v>10399794.876470588</v>
      </c>
      <c r="AL338" s="321">
        <f t="shared" si="23"/>
        <v>2582273.0980392154</v>
      </c>
      <c r="AM338" s="321">
        <f t="shared" si="23"/>
        <v>4687855.7894736845</v>
      </c>
      <c r="AN338" s="321">
        <f t="shared" si="23"/>
        <v>4436425.7</v>
      </c>
      <c r="AO338" s="321">
        <f t="shared" si="23"/>
        <v>22106349.463983487</v>
      </c>
      <c r="AP338" s="321">
        <f t="shared" si="23"/>
        <v>42724760.148160294</v>
      </c>
    </row>
    <row r="339" spans="1:42" x14ac:dyDescent="0.25">
      <c r="A339" s="311">
        <v>1552469</v>
      </c>
      <c r="D339" s="311">
        <v>1552469</v>
      </c>
      <c r="E339" s="315" t="str">
        <f t="shared" si="19"/>
        <v>Tréninková pekárna Láry Fáry</v>
      </c>
      <c r="F339" s="315" t="str">
        <f t="shared" si="20"/>
        <v>PFERDA z.ú.</v>
      </c>
      <c r="G339" s="315" t="str">
        <f t="shared" si="21"/>
        <v>§ 67 - Sociálně terapeutické dílny</v>
      </c>
      <c r="H339" s="315"/>
      <c r="I339" s="266" t="s">
        <v>1812</v>
      </c>
      <c r="J339" s="319"/>
      <c r="K339" s="266"/>
      <c r="L339" s="320"/>
      <c r="M339" s="321">
        <f t="shared" si="22"/>
        <v>1.62</v>
      </c>
      <c r="N339" s="321">
        <f t="shared" si="22"/>
        <v>0.7</v>
      </c>
      <c r="O339" s="321">
        <f t="shared" si="22"/>
        <v>0.92</v>
      </c>
      <c r="P339" s="321">
        <f t="shared" si="22"/>
        <v>0</v>
      </c>
      <c r="Q339" s="321">
        <f t="shared" si="22"/>
        <v>0</v>
      </c>
      <c r="R339" s="321">
        <f t="shared" si="22"/>
        <v>0</v>
      </c>
      <c r="S339" s="321">
        <f t="shared" si="22"/>
        <v>0</v>
      </c>
      <c r="T339" s="321">
        <f t="shared" si="22"/>
        <v>3</v>
      </c>
      <c r="U339" s="321">
        <f t="shared" si="22"/>
        <v>0</v>
      </c>
      <c r="V339" s="321"/>
      <c r="W339" s="321">
        <f t="shared" si="23"/>
        <v>1.62</v>
      </c>
      <c r="X339" s="321">
        <f t="shared" si="23"/>
        <v>0.7</v>
      </c>
      <c r="Y339" s="321">
        <f t="shared" si="23"/>
        <v>0.92</v>
      </c>
      <c r="Z339" s="321">
        <f t="shared" si="23"/>
        <v>0</v>
      </c>
      <c r="AA339" s="321">
        <f t="shared" si="23"/>
        <v>0</v>
      </c>
      <c r="AB339" s="321">
        <f t="shared" si="23"/>
        <v>0</v>
      </c>
      <c r="AC339" s="321">
        <f t="shared" si="23"/>
        <v>3</v>
      </c>
      <c r="AD339" s="321"/>
      <c r="AE339" s="321">
        <f t="shared" si="23"/>
        <v>1006073.2280460629</v>
      </c>
      <c r="AF339" s="321">
        <f t="shared" si="23"/>
        <v>0</v>
      </c>
      <c r="AG339" s="321">
        <f t="shared" si="23"/>
        <v>133085.67978800944</v>
      </c>
      <c r="AH339" s="321">
        <f t="shared" si="23"/>
        <v>0</v>
      </c>
      <c r="AI339" s="321">
        <f t="shared" si="23"/>
        <v>1139158.9078340724</v>
      </c>
      <c r="AJ339" s="321"/>
      <c r="AK339" s="321">
        <f t="shared" si="23"/>
        <v>0</v>
      </c>
      <c r="AL339" s="321">
        <f t="shared" si="23"/>
        <v>0</v>
      </c>
      <c r="AM339" s="321">
        <f t="shared" si="23"/>
        <v>0</v>
      </c>
      <c r="AN339" s="321">
        <f t="shared" si="23"/>
        <v>0</v>
      </c>
      <c r="AO339" s="321">
        <f t="shared" si="23"/>
        <v>0</v>
      </c>
      <c r="AP339" s="321">
        <f t="shared" si="23"/>
        <v>1139158.9078340724</v>
      </c>
    </row>
    <row r="340" spans="1:42" x14ac:dyDescent="0.25">
      <c r="A340" s="311">
        <v>1567065</v>
      </c>
      <c r="D340" s="311">
        <v>1567065</v>
      </c>
      <c r="E340" s="315" t="str">
        <f t="shared" si="19"/>
        <v>Denní centrum pro seniory</v>
      </c>
      <c r="F340" s="315" t="str">
        <f t="shared" si="20"/>
        <v>Diakonie ČCE - středisko ve Dvoře Králové nad Labem</v>
      </c>
      <c r="G340" s="315" t="str">
        <f t="shared" si="21"/>
        <v>§ 46 - Denní stacionáře</v>
      </c>
      <c r="H340" s="315"/>
      <c r="I340" s="266" t="s">
        <v>1812</v>
      </c>
      <c r="J340" s="319"/>
      <c r="K340" s="266"/>
      <c r="L340" s="320"/>
      <c r="M340" s="321">
        <f t="shared" si="22"/>
        <v>1.7</v>
      </c>
      <c r="N340" s="321">
        <f t="shared" si="22"/>
        <v>0.1</v>
      </c>
      <c r="O340" s="321">
        <f t="shared" si="22"/>
        <v>1.6</v>
      </c>
      <c r="P340" s="321">
        <f t="shared" si="22"/>
        <v>0</v>
      </c>
      <c r="Q340" s="321">
        <f t="shared" si="22"/>
        <v>0</v>
      </c>
      <c r="R340" s="321">
        <f t="shared" si="22"/>
        <v>0</v>
      </c>
      <c r="S340" s="321">
        <f t="shared" si="22"/>
        <v>0</v>
      </c>
      <c r="T340" s="321">
        <f t="shared" si="22"/>
        <v>10</v>
      </c>
      <c r="U340" s="321">
        <f t="shared" si="22"/>
        <v>0</v>
      </c>
      <c r="V340" s="321"/>
      <c r="W340" s="321">
        <f t="shared" si="23"/>
        <v>1.7</v>
      </c>
      <c r="X340" s="321">
        <f t="shared" si="23"/>
        <v>0.1</v>
      </c>
      <c r="Y340" s="321">
        <f t="shared" si="23"/>
        <v>1.6</v>
      </c>
      <c r="Z340" s="321">
        <f t="shared" si="23"/>
        <v>0</v>
      </c>
      <c r="AA340" s="321">
        <f t="shared" si="23"/>
        <v>0</v>
      </c>
      <c r="AB340" s="321">
        <f t="shared" si="23"/>
        <v>0</v>
      </c>
      <c r="AC340" s="321">
        <f t="shared" si="23"/>
        <v>10</v>
      </c>
      <c r="AD340" s="321"/>
      <c r="AE340" s="321">
        <f t="shared" si="23"/>
        <v>1264421.4666847915</v>
      </c>
      <c r="AF340" s="321">
        <f t="shared" si="23"/>
        <v>0</v>
      </c>
      <c r="AG340" s="321">
        <f t="shared" si="23"/>
        <v>279062.53586309118</v>
      </c>
      <c r="AH340" s="321">
        <f t="shared" si="23"/>
        <v>54769.510519385178</v>
      </c>
      <c r="AI340" s="321">
        <f t="shared" si="23"/>
        <v>1598253.5130672678</v>
      </c>
      <c r="AJ340" s="321"/>
      <c r="AK340" s="321">
        <f t="shared" si="23"/>
        <v>215829.54248366013</v>
      </c>
      <c r="AL340" s="321">
        <f t="shared" si="23"/>
        <v>0</v>
      </c>
      <c r="AM340" s="321">
        <f t="shared" si="23"/>
        <v>0</v>
      </c>
      <c r="AN340" s="321">
        <f t="shared" si="23"/>
        <v>54523.076923076922</v>
      </c>
      <c r="AO340" s="321">
        <f t="shared" si="23"/>
        <v>270352.61940673704</v>
      </c>
      <c r="AP340" s="321">
        <f t="shared" si="23"/>
        <v>1327900.8936605309</v>
      </c>
    </row>
    <row r="341" spans="1:42" x14ac:dyDescent="0.25">
      <c r="A341" s="311">
        <v>1576566</v>
      </c>
      <c r="D341" s="311">
        <v>1576566</v>
      </c>
      <c r="E341" s="315" t="str">
        <f t="shared" si="19"/>
        <v>Domov V Podzámčí</v>
      </c>
      <c r="F341" s="315" t="str">
        <f t="shared" si="20"/>
        <v>Domov V Podzámčí</v>
      </c>
      <c r="G341" s="315" t="str">
        <f t="shared" si="21"/>
        <v>§ 51 - Chráněné bydlení</v>
      </c>
      <c r="H341" s="315"/>
      <c r="I341" s="266" t="s">
        <v>1812</v>
      </c>
      <c r="J341" s="319"/>
      <c r="K341" s="266"/>
      <c r="L341" s="320"/>
      <c r="M341" s="321">
        <f t="shared" si="22"/>
        <v>3.4</v>
      </c>
      <c r="N341" s="321">
        <f t="shared" si="22"/>
        <v>0.4</v>
      </c>
      <c r="O341" s="321">
        <f t="shared" si="22"/>
        <v>3</v>
      </c>
      <c r="P341" s="321">
        <f t="shared" si="22"/>
        <v>0</v>
      </c>
      <c r="Q341" s="321">
        <f t="shared" si="22"/>
        <v>0</v>
      </c>
      <c r="R341" s="321">
        <f t="shared" si="22"/>
        <v>8</v>
      </c>
      <c r="S341" s="321">
        <f t="shared" si="22"/>
        <v>0</v>
      </c>
      <c r="T341" s="321">
        <f t="shared" si="22"/>
        <v>0</v>
      </c>
      <c r="U341" s="321">
        <f t="shared" si="22"/>
        <v>0</v>
      </c>
      <c r="V341" s="321"/>
      <c r="W341" s="321">
        <f t="shared" si="23"/>
        <v>3.4</v>
      </c>
      <c r="X341" s="321">
        <f t="shared" si="23"/>
        <v>0.4</v>
      </c>
      <c r="Y341" s="321">
        <f t="shared" si="23"/>
        <v>3</v>
      </c>
      <c r="Z341" s="321">
        <f t="shared" si="23"/>
        <v>0</v>
      </c>
      <c r="AA341" s="321">
        <f t="shared" si="23"/>
        <v>0</v>
      </c>
      <c r="AB341" s="321">
        <f t="shared" si="23"/>
        <v>8</v>
      </c>
      <c r="AC341" s="321">
        <f t="shared" si="23"/>
        <v>0</v>
      </c>
      <c r="AD341" s="321"/>
      <c r="AE341" s="321">
        <f t="shared" si="23"/>
        <v>2288737.2180798515</v>
      </c>
      <c r="AF341" s="321">
        <f t="shared" si="23"/>
        <v>0</v>
      </c>
      <c r="AG341" s="321">
        <f t="shared" si="23"/>
        <v>453517.80308259896</v>
      </c>
      <c r="AH341" s="321">
        <f t="shared" si="23"/>
        <v>149365.11876294299</v>
      </c>
      <c r="AI341" s="321">
        <f t="shared" si="23"/>
        <v>2891620.1399253933</v>
      </c>
      <c r="AJ341" s="321"/>
      <c r="AK341" s="321">
        <f t="shared" si="23"/>
        <v>245911.18298969074</v>
      </c>
      <c r="AL341" s="321">
        <f t="shared" si="23"/>
        <v>0</v>
      </c>
      <c r="AM341" s="321">
        <f t="shared" si="23"/>
        <v>346258.16000000003</v>
      </c>
      <c r="AN341" s="321">
        <f t="shared" si="23"/>
        <v>150451.5</v>
      </c>
      <c r="AO341" s="321">
        <f t="shared" si="23"/>
        <v>742620.84298969083</v>
      </c>
      <c r="AP341" s="321">
        <f t="shared" si="23"/>
        <v>2148999.2969357027</v>
      </c>
    </row>
    <row r="342" spans="1:42" x14ac:dyDescent="0.25">
      <c r="A342" s="311">
        <v>1622964</v>
      </c>
      <c r="D342" s="311">
        <v>1622964</v>
      </c>
      <c r="E342" s="315" t="str">
        <f t="shared" si="19"/>
        <v>Odlehčovací služba</v>
      </c>
      <c r="F342" s="315" t="str">
        <f t="shared" si="20"/>
        <v>Stacionář Cesta Náchod z.ú.</v>
      </c>
      <c r="G342" s="315" t="str">
        <f t="shared" si="21"/>
        <v>§ 44 - Odlehčovací služby</v>
      </c>
      <c r="H342" s="315"/>
      <c r="I342" s="266" t="s">
        <v>1812</v>
      </c>
      <c r="J342" s="319"/>
      <c r="K342" s="266"/>
      <c r="L342" s="320"/>
      <c r="M342" s="321">
        <f t="shared" si="22"/>
        <v>6.75</v>
      </c>
      <c r="N342" s="321">
        <f t="shared" si="22"/>
        <v>0.5</v>
      </c>
      <c r="O342" s="321">
        <f t="shared" si="22"/>
        <v>6.25</v>
      </c>
      <c r="P342" s="321">
        <f t="shared" si="22"/>
        <v>0</v>
      </c>
      <c r="Q342" s="321">
        <f t="shared" si="22"/>
        <v>0</v>
      </c>
      <c r="R342" s="321">
        <f t="shared" si="22"/>
        <v>5</v>
      </c>
      <c r="S342" s="321">
        <f t="shared" si="22"/>
        <v>0</v>
      </c>
      <c r="T342" s="321">
        <f t="shared" si="22"/>
        <v>5</v>
      </c>
      <c r="U342" s="321">
        <f t="shared" si="22"/>
        <v>0</v>
      </c>
      <c r="V342" s="321"/>
      <c r="W342" s="321">
        <f t="shared" si="23"/>
        <v>6.75</v>
      </c>
      <c r="X342" s="321">
        <f t="shared" si="23"/>
        <v>0.5</v>
      </c>
      <c r="Y342" s="321">
        <f t="shared" si="23"/>
        <v>6.25</v>
      </c>
      <c r="Z342" s="321">
        <f t="shared" si="23"/>
        <v>0</v>
      </c>
      <c r="AA342" s="321">
        <f t="shared" si="23"/>
        <v>0</v>
      </c>
      <c r="AB342" s="321">
        <f t="shared" si="23"/>
        <v>5</v>
      </c>
      <c r="AC342" s="321">
        <f t="shared" si="23"/>
        <v>5</v>
      </c>
      <c r="AD342" s="321"/>
      <c r="AE342" s="321">
        <f t="shared" si="23"/>
        <v>3982956.6187755424</v>
      </c>
      <c r="AF342" s="321">
        <f t="shared" si="23"/>
        <v>0</v>
      </c>
      <c r="AG342" s="321">
        <f t="shared" si="23"/>
        <v>282286.14148165763</v>
      </c>
      <c r="AH342" s="321">
        <f t="shared" si="23"/>
        <v>154875.84371016469</v>
      </c>
      <c r="AI342" s="321">
        <f t="shared" si="23"/>
        <v>4420118.6039673649</v>
      </c>
      <c r="AJ342" s="321"/>
      <c r="AK342" s="321">
        <f t="shared" si="23"/>
        <v>796127.00796983344</v>
      </c>
      <c r="AL342" s="321">
        <f t="shared" si="23"/>
        <v>0</v>
      </c>
      <c r="AM342" s="321">
        <f t="shared" si="23"/>
        <v>192276.5625</v>
      </c>
      <c r="AN342" s="321">
        <f t="shared" si="23"/>
        <v>119477.25</v>
      </c>
      <c r="AO342" s="321">
        <f t="shared" si="23"/>
        <v>1107880.8204698334</v>
      </c>
      <c r="AP342" s="321">
        <f t="shared" si="23"/>
        <v>3312237.7834975314</v>
      </c>
    </row>
    <row r="343" spans="1:42" x14ac:dyDescent="0.25">
      <c r="A343" s="311">
        <v>1642854</v>
      </c>
      <c r="D343" s="311">
        <v>1642854</v>
      </c>
      <c r="E343" s="315" t="str">
        <f t="shared" si="19"/>
        <v>Sociální služby města Hořice</v>
      </c>
      <c r="F343" s="315" t="str">
        <f t="shared" si="20"/>
        <v>Sociální služby města Hořice</v>
      </c>
      <c r="G343" s="315" t="str">
        <f t="shared" si="21"/>
        <v>§ 50 - Domovy se zvláštním režimem</v>
      </c>
      <c r="H343" s="315"/>
      <c r="I343" s="266" t="s">
        <v>1812</v>
      </c>
      <c r="J343" s="319"/>
      <c r="K343" s="266"/>
      <c r="L343" s="320"/>
      <c r="M343" s="321">
        <f t="shared" si="22"/>
        <v>24.5</v>
      </c>
      <c r="N343" s="321">
        <f t="shared" si="22"/>
        <v>1</v>
      </c>
      <c r="O343" s="321">
        <f t="shared" si="22"/>
        <v>20</v>
      </c>
      <c r="P343" s="321">
        <f t="shared" si="22"/>
        <v>3.5</v>
      </c>
      <c r="Q343" s="321">
        <f t="shared" si="22"/>
        <v>0</v>
      </c>
      <c r="R343" s="321">
        <f t="shared" si="22"/>
        <v>50</v>
      </c>
      <c r="S343" s="321">
        <f t="shared" si="22"/>
        <v>0</v>
      </c>
      <c r="T343" s="321">
        <f t="shared" si="22"/>
        <v>0</v>
      </c>
      <c r="U343" s="321">
        <f t="shared" si="22"/>
        <v>0</v>
      </c>
      <c r="V343" s="321"/>
      <c r="W343" s="321">
        <f t="shared" si="23"/>
        <v>24.5</v>
      </c>
      <c r="X343" s="321">
        <f t="shared" si="23"/>
        <v>1</v>
      </c>
      <c r="Y343" s="321">
        <f t="shared" si="23"/>
        <v>20</v>
      </c>
      <c r="Z343" s="321">
        <f t="shared" si="23"/>
        <v>3.5</v>
      </c>
      <c r="AA343" s="321">
        <f t="shared" si="23"/>
        <v>0</v>
      </c>
      <c r="AB343" s="321">
        <f t="shared" si="23"/>
        <v>50</v>
      </c>
      <c r="AC343" s="321">
        <f t="shared" si="23"/>
        <v>0</v>
      </c>
      <c r="AD343" s="321"/>
      <c r="AE343" s="321">
        <f t="shared" si="23"/>
        <v>14011791.304802921</v>
      </c>
      <c r="AF343" s="321">
        <f t="shared" si="23"/>
        <v>2960689.7787461919</v>
      </c>
      <c r="AG343" s="321">
        <f t="shared" si="23"/>
        <v>4982888.4405426998</v>
      </c>
      <c r="AH343" s="321">
        <f t="shared" si="23"/>
        <v>3365229.8567096367</v>
      </c>
      <c r="AI343" s="321">
        <f t="shared" si="23"/>
        <v>25320599.380801447</v>
      </c>
      <c r="AJ343" s="321"/>
      <c r="AK343" s="321">
        <f t="shared" si="23"/>
        <v>6003411</v>
      </c>
      <c r="AL343" s="321">
        <f t="shared" si="23"/>
        <v>1124104.8125</v>
      </c>
      <c r="AM343" s="321">
        <f t="shared" si="23"/>
        <v>3622091.3793103448</v>
      </c>
      <c r="AN343" s="321">
        <f t="shared" si="23"/>
        <v>2550067.5</v>
      </c>
      <c r="AO343" s="321">
        <f t="shared" si="23"/>
        <v>13299674.691810345</v>
      </c>
      <c r="AP343" s="321">
        <f t="shared" si="23"/>
        <v>12020924.688991101</v>
      </c>
    </row>
    <row r="344" spans="1:42" x14ac:dyDescent="0.25">
      <c r="A344" s="311">
        <v>1647194</v>
      </c>
      <c r="D344" s="311">
        <v>1647194</v>
      </c>
      <c r="E344" s="315" t="str">
        <f t="shared" si="19"/>
        <v>Město Dobruška Pečovatelská služba</v>
      </c>
      <c r="F344" s="315" t="str">
        <f t="shared" si="20"/>
        <v>Město Dobruška</v>
      </c>
      <c r="G344" s="315" t="str">
        <f t="shared" si="21"/>
        <v>§ 40 - Pečovatelská služba</v>
      </c>
      <c r="H344" s="315"/>
      <c r="I344" s="266" t="s">
        <v>1812</v>
      </c>
      <c r="J344" s="319"/>
      <c r="K344" s="266"/>
      <c r="L344" s="320"/>
      <c r="M344" s="321">
        <f t="shared" si="22"/>
        <v>5.2</v>
      </c>
      <c r="N344" s="321">
        <f t="shared" si="22"/>
        <v>1</v>
      </c>
      <c r="O344" s="321">
        <f t="shared" si="22"/>
        <v>4.2</v>
      </c>
      <c r="P344" s="321">
        <f t="shared" si="22"/>
        <v>0</v>
      </c>
      <c r="Q344" s="321">
        <f t="shared" si="22"/>
        <v>0</v>
      </c>
      <c r="R344" s="321">
        <f t="shared" si="22"/>
        <v>0</v>
      </c>
      <c r="S344" s="321">
        <f t="shared" si="22"/>
        <v>50</v>
      </c>
      <c r="T344" s="321">
        <f t="shared" si="22"/>
        <v>0</v>
      </c>
      <c r="U344" s="321">
        <f t="shared" si="22"/>
        <v>0</v>
      </c>
      <c r="V344" s="321"/>
      <c r="W344" s="321">
        <f t="shared" si="23"/>
        <v>5.2</v>
      </c>
      <c r="X344" s="321">
        <f t="shared" si="23"/>
        <v>1</v>
      </c>
      <c r="Y344" s="321">
        <f t="shared" si="23"/>
        <v>4.2</v>
      </c>
      <c r="Z344" s="321">
        <f t="shared" si="23"/>
        <v>0</v>
      </c>
      <c r="AA344" s="321">
        <f t="shared" si="23"/>
        <v>0</v>
      </c>
      <c r="AB344" s="321">
        <f t="shared" si="23"/>
        <v>0</v>
      </c>
      <c r="AC344" s="321">
        <f t="shared" si="23"/>
        <v>0</v>
      </c>
      <c r="AD344" s="321"/>
      <c r="AE344" s="321">
        <f t="shared" si="23"/>
        <v>3002452.0405689473</v>
      </c>
      <c r="AF344" s="321">
        <f t="shared" si="23"/>
        <v>0</v>
      </c>
      <c r="AG344" s="321">
        <f t="shared" si="23"/>
        <v>223879.3724343724</v>
      </c>
      <c r="AH344" s="321">
        <f t="shared" si="23"/>
        <v>0</v>
      </c>
      <c r="AI344" s="321">
        <f t="shared" si="23"/>
        <v>3226331.4130033199</v>
      </c>
      <c r="AJ344" s="321"/>
      <c r="AK344" s="321">
        <f t="shared" si="23"/>
        <v>582771.98823529412</v>
      </c>
      <c r="AL344" s="321">
        <f t="shared" si="23"/>
        <v>0</v>
      </c>
      <c r="AM344" s="321">
        <f t="shared" si="23"/>
        <v>0</v>
      </c>
      <c r="AN344" s="321">
        <f t="shared" si="23"/>
        <v>0</v>
      </c>
      <c r="AO344" s="321">
        <f t="shared" si="23"/>
        <v>582771.98823529412</v>
      </c>
      <c r="AP344" s="321">
        <f t="shared" si="23"/>
        <v>2643559.424768026</v>
      </c>
    </row>
    <row r="345" spans="1:42" x14ac:dyDescent="0.25">
      <c r="A345" s="311">
        <v>1665958</v>
      </c>
      <c r="D345" s="311">
        <v>1665958</v>
      </c>
      <c r="E345" s="315" t="str">
        <f t="shared" si="19"/>
        <v>Domov důchodců Mlázovice</v>
      </c>
      <c r="F345" s="315" t="str">
        <f t="shared" si="20"/>
        <v>Domov důchodců Mlázovice</v>
      </c>
      <c r="G345" s="315" t="str">
        <f t="shared" si="21"/>
        <v>§ 49 - Domovy pro seniory</v>
      </c>
      <c r="H345" s="315"/>
      <c r="I345" s="266" t="s">
        <v>1812</v>
      </c>
      <c r="J345" s="319"/>
      <c r="K345" s="266"/>
      <c r="L345" s="320"/>
      <c r="M345" s="321">
        <f t="shared" si="22"/>
        <v>20</v>
      </c>
      <c r="N345" s="321">
        <f t="shared" si="22"/>
        <v>1</v>
      </c>
      <c r="O345" s="321">
        <f t="shared" si="22"/>
        <v>13</v>
      </c>
      <c r="P345" s="321">
        <f t="shared" si="22"/>
        <v>6</v>
      </c>
      <c r="Q345" s="321">
        <f t="shared" si="22"/>
        <v>0</v>
      </c>
      <c r="R345" s="321">
        <f t="shared" si="22"/>
        <v>55</v>
      </c>
      <c r="S345" s="321">
        <f t="shared" si="22"/>
        <v>0</v>
      </c>
      <c r="T345" s="321">
        <f t="shared" si="22"/>
        <v>0</v>
      </c>
      <c r="U345" s="321">
        <f t="shared" si="22"/>
        <v>0</v>
      </c>
      <c r="V345" s="321"/>
      <c r="W345" s="321">
        <f t="shared" si="23"/>
        <v>20</v>
      </c>
      <c r="X345" s="321">
        <f t="shared" si="23"/>
        <v>1</v>
      </c>
      <c r="Y345" s="321">
        <f t="shared" si="23"/>
        <v>13</v>
      </c>
      <c r="Z345" s="321">
        <f t="shared" si="23"/>
        <v>6</v>
      </c>
      <c r="AA345" s="321">
        <f t="shared" si="23"/>
        <v>0</v>
      </c>
      <c r="AB345" s="321">
        <f t="shared" si="23"/>
        <v>55</v>
      </c>
      <c r="AC345" s="321">
        <f t="shared" si="23"/>
        <v>0</v>
      </c>
      <c r="AD345" s="321"/>
      <c r="AE345" s="321">
        <f t="shared" si="23"/>
        <v>9541579.1462926641</v>
      </c>
      <c r="AF345" s="321">
        <f t="shared" si="23"/>
        <v>5088543.5243934849</v>
      </c>
      <c r="AG345" s="321">
        <f t="shared" si="23"/>
        <v>5572209.4664133042</v>
      </c>
      <c r="AH345" s="321">
        <f t="shared" si="23"/>
        <v>3906107.5465446231</v>
      </c>
      <c r="AI345" s="321">
        <f t="shared" si="23"/>
        <v>24108439.683644075</v>
      </c>
      <c r="AJ345" s="321"/>
      <c r="AK345" s="321">
        <f t="shared" si="23"/>
        <v>6174876.6835724888</v>
      </c>
      <c r="AL345" s="321">
        <f t="shared" si="23"/>
        <v>1608467.7818035427</v>
      </c>
      <c r="AM345" s="321">
        <f t="shared" si="23"/>
        <v>4230807.6044129236</v>
      </c>
      <c r="AN345" s="321">
        <f t="shared" si="23"/>
        <v>2798238.4627757352</v>
      </c>
      <c r="AO345" s="321">
        <f t="shared" si="23"/>
        <v>14812390.53256469</v>
      </c>
      <c r="AP345" s="321">
        <f t="shared" si="23"/>
        <v>9296049.1510793846</v>
      </c>
    </row>
    <row r="346" spans="1:42" x14ac:dyDescent="0.25">
      <c r="A346" s="311">
        <v>1671513</v>
      </c>
      <c r="D346" s="311">
        <v>1671513</v>
      </c>
      <c r="E346" s="315" t="str">
        <f t="shared" si="19"/>
        <v>Pečovatelská služba Meziměstí</v>
      </c>
      <c r="F346" s="315" t="str">
        <f t="shared" si="20"/>
        <v>Město Meziměstí</v>
      </c>
      <c r="G346" s="315" t="str">
        <f t="shared" si="21"/>
        <v>§ 40 - Pečovatelská služba</v>
      </c>
      <c r="H346" s="315"/>
      <c r="I346" s="266" t="s">
        <v>1812</v>
      </c>
      <c r="J346" s="319"/>
      <c r="K346" s="266"/>
      <c r="L346" s="320"/>
      <c r="M346" s="321">
        <f t="shared" si="22"/>
        <v>2.1</v>
      </c>
      <c r="N346" s="321">
        <f t="shared" si="22"/>
        <v>0.1</v>
      </c>
      <c r="O346" s="321">
        <f t="shared" si="22"/>
        <v>2</v>
      </c>
      <c r="P346" s="321">
        <f t="shared" si="22"/>
        <v>0</v>
      </c>
      <c r="Q346" s="321">
        <f t="shared" si="22"/>
        <v>0</v>
      </c>
      <c r="R346" s="321">
        <f t="shared" si="22"/>
        <v>0</v>
      </c>
      <c r="S346" s="321">
        <f t="shared" si="22"/>
        <v>65</v>
      </c>
      <c r="T346" s="321">
        <f t="shared" si="22"/>
        <v>0</v>
      </c>
      <c r="U346" s="321">
        <f t="shared" si="22"/>
        <v>0</v>
      </c>
      <c r="V346" s="321"/>
      <c r="W346" s="321">
        <f t="shared" si="23"/>
        <v>2.1</v>
      </c>
      <c r="X346" s="321">
        <f t="shared" si="23"/>
        <v>0.1</v>
      </c>
      <c r="Y346" s="321">
        <f t="shared" si="23"/>
        <v>2</v>
      </c>
      <c r="Z346" s="321">
        <f t="shared" si="23"/>
        <v>0</v>
      </c>
      <c r="AA346" s="321">
        <f t="shared" si="23"/>
        <v>0</v>
      </c>
      <c r="AB346" s="321">
        <f t="shared" si="23"/>
        <v>0</v>
      </c>
      <c r="AC346" s="321">
        <f t="shared" si="23"/>
        <v>0</v>
      </c>
      <c r="AD346" s="321"/>
      <c r="AE346" s="321">
        <f t="shared" si="23"/>
        <v>1212528.7086913057</v>
      </c>
      <c r="AF346" s="321">
        <f t="shared" si="23"/>
        <v>0</v>
      </c>
      <c r="AG346" s="321">
        <f t="shared" si="23"/>
        <v>90412.823483111933</v>
      </c>
      <c r="AH346" s="321">
        <f t="shared" si="23"/>
        <v>0</v>
      </c>
      <c r="AI346" s="321">
        <f t="shared" si="23"/>
        <v>1302941.5321744177</v>
      </c>
      <c r="AJ346" s="321"/>
      <c r="AK346" s="321">
        <f t="shared" si="23"/>
        <v>277510.4705882353</v>
      </c>
      <c r="AL346" s="321">
        <f t="shared" si="23"/>
        <v>0</v>
      </c>
      <c r="AM346" s="321">
        <f t="shared" si="23"/>
        <v>0</v>
      </c>
      <c r="AN346" s="321">
        <f t="shared" si="23"/>
        <v>0</v>
      </c>
      <c r="AO346" s="321">
        <f t="shared" si="23"/>
        <v>277510.4705882353</v>
      </c>
      <c r="AP346" s="321">
        <f t="shared" si="23"/>
        <v>1025431.0615861824</v>
      </c>
    </row>
    <row r="347" spans="1:42" x14ac:dyDescent="0.25">
      <c r="A347" s="311">
        <v>1686476</v>
      </c>
      <c r="D347" s="311">
        <v>1686476</v>
      </c>
      <c r="E347" s="315" t="str">
        <f t="shared" si="19"/>
        <v>Pečovatelská služba</v>
      </c>
      <c r="F347" s="315" t="str">
        <f t="shared" si="20"/>
        <v>Život Hradec Králové, o.p.s.</v>
      </c>
      <c r="G347" s="315" t="str">
        <f t="shared" si="21"/>
        <v>§ 40 - Pečovatelská služba</v>
      </c>
      <c r="H347" s="315"/>
      <c r="I347" s="266" t="s">
        <v>1812</v>
      </c>
      <c r="J347" s="319"/>
      <c r="K347" s="266"/>
      <c r="L347" s="320"/>
      <c r="M347" s="321">
        <f t="shared" si="22"/>
        <v>26</v>
      </c>
      <c r="N347" s="321">
        <f t="shared" si="22"/>
        <v>2</v>
      </c>
      <c r="O347" s="321">
        <f t="shared" si="22"/>
        <v>24</v>
      </c>
      <c r="P347" s="321">
        <f t="shared" si="22"/>
        <v>0</v>
      </c>
      <c r="Q347" s="321">
        <f t="shared" si="22"/>
        <v>0</v>
      </c>
      <c r="R347" s="321">
        <f t="shared" si="22"/>
        <v>0</v>
      </c>
      <c r="S347" s="321">
        <f t="shared" si="22"/>
        <v>305</v>
      </c>
      <c r="T347" s="321">
        <f t="shared" si="22"/>
        <v>0</v>
      </c>
      <c r="U347" s="321">
        <f t="shared" si="22"/>
        <v>0</v>
      </c>
      <c r="V347" s="321"/>
      <c r="W347" s="321">
        <f t="shared" si="23"/>
        <v>26</v>
      </c>
      <c r="X347" s="321">
        <f t="shared" si="23"/>
        <v>2</v>
      </c>
      <c r="Y347" s="321">
        <f t="shared" si="23"/>
        <v>24</v>
      </c>
      <c r="Z347" s="321">
        <f t="shared" si="23"/>
        <v>0</v>
      </c>
      <c r="AA347" s="321">
        <f t="shared" si="23"/>
        <v>0</v>
      </c>
      <c r="AB347" s="321">
        <f t="shared" si="23"/>
        <v>0</v>
      </c>
      <c r="AC347" s="321">
        <f t="shared" si="23"/>
        <v>0</v>
      </c>
      <c r="AD347" s="321"/>
      <c r="AE347" s="321">
        <f t="shared" si="23"/>
        <v>15012260.202844737</v>
      </c>
      <c r="AF347" s="321">
        <f t="shared" si="23"/>
        <v>0</v>
      </c>
      <c r="AG347" s="321">
        <f t="shared" si="23"/>
        <v>1119396.8621718618</v>
      </c>
      <c r="AH347" s="321">
        <f t="shared" si="23"/>
        <v>0</v>
      </c>
      <c r="AI347" s="321">
        <f t="shared" si="23"/>
        <v>16131657.065016599</v>
      </c>
      <c r="AJ347" s="321"/>
      <c r="AK347" s="321">
        <f t="shared" si="23"/>
        <v>3330125.6470588236</v>
      </c>
      <c r="AL347" s="321">
        <f t="shared" si="23"/>
        <v>0</v>
      </c>
      <c r="AM347" s="321">
        <f t="shared" si="23"/>
        <v>0</v>
      </c>
      <c r="AN347" s="321">
        <f t="shared" si="23"/>
        <v>0</v>
      </c>
      <c r="AO347" s="321">
        <f t="shared" ref="W347:AP359" si="24">SUMIFS(AO$4:AO$318,$D$4:$D$318,$D347)</f>
        <v>3330125.6470588236</v>
      </c>
      <c r="AP347" s="321">
        <f t="shared" si="24"/>
        <v>12801531.417957775</v>
      </c>
    </row>
    <row r="348" spans="1:42" x14ac:dyDescent="0.25">
      <c r="A348" s="311">
        <v>1696009</v>
      </c>
      <c r="D348" s="311">
        <v>1696009</v>
      </c>
      <c r="E348" s="315" t="str">
        <f t="shared" si="19"/>
        <v>Noclehárna</v>
      </c>
      <c r="F348" s="315" t="str">
        <f t="shared" si="20"/>
        <v>Pečovatelská služba Města Dvůr Králové nad Labem</v>
      </c>
      <c r="G348" s="315" t="str">
        <f t="shared" si="21"/>
        <v>§ 63 - Noclehárny</v>
      </c>
      <c r="H348" s="315"/>
      <c r="I348" s="266" t="s">
        <v>1812</v>
      </c>
      <c r="J348" s="319"/>
      <c r="K348" s="266"/>
      <c r="L348" s="320"/>
      <c r="M348" s="321">
        <f t="shared" si="22"/>
        <v>1</v>
      </c>
      <c r="N348" s="321">
        <f t="shared" si="22"/>
        <v>0.30000000000000004</v>
      </c>
      <c r="O348" s="321">
        <f t="shared" si="22"/>
        <v>0.7</v>
      </c>
      <c r="P348" s="321">
        <f t="shared" si="22"/>
        <v>0</v>
      </c>
      <c r="Q348" s="321">
        <f t="shared" si="22"/>
        <v>0</v>
      </c>
      <c r="R348" s="321">
        <f t="shared" si="22"/>
        <v>7</v>
      </c>
      <c r="S348" s="321">
        <f t="shared" si="22"/>
        <v>0</v>
      </c>
      <c r="T348" s="321">
        <f t="shared" si="22"/>
        <v>0</v>
      </c>
      <c r="U348" s="321">
        <f t="shared" ref="N348:U363" si="25">SUMIFS(U$4:U$318,$D$4:$D$318,$D348)</f>
        <v>0</v>
      </c>
      <c r="V348" s="321"/>
      <c r="W348" s="321">
        <f t="shared" si="24"/>
        <v>1</v>
      </c>
      <c r="X348" s="321">
        <f t="shared" si="24"/>
        <v>0.30000000000000004</v>
      </c>
      <c r="Y348" s="321">
        <f t="shared" si="24"/>
        <v>0.7</v>
      </c>
      <c r="Z348" s="321">
        <f t="shared" si="24"/>
        <v>0</v>
      </c>
      <c r="AA348" s="321">
        <f t="shared" si="24"/>
        <v>0</v>
      </c>
      <c r="AB348" s="321">
        <f t="shared" si="24"/>
        <v>7</v>
      </c>
      <c r="AC348" s="321">
        <f t="shared" si="24"/>
        <v>0</v>
      </c>
      <c r="AD348" s="321"/>
      <c r="AE348" s="321">
        <f t="shared" si="24"/>
        <v>708345.47455677041</v>
      </c>
      <c r="AF348" s="321">
        <f t="shared" si="24"/>
        <v>0</v>
      </c>
      <c r="AG348" s="321">
        <f t="shared" si="24"/>
        <v>154039.11428954094</v>
      </c>
      <c r="AH348" s="321">
        <f t="shared" si="24"/>
        <v>0</v>
      </c>
      <c r="AI348" s="321">
        <f t="shared" si="24"/>
        <v>862384.58884631132</v>
      </c>
      <c r="AJ348" s="321"/>
      <c r="AK348" s="321">
        <f t="shared" si="24"/>
        <v>0</v>
      </c>
      <c r="AL348" s="321">
        <f t="shared" si="24"/>
        <v>0</v>
      </c>
      <c r="AM348" s="321">
        <f t="shared" si="24"/>
        <v>48944</v>
      </c>
      <c r="AN348" s="321">
        <f t="shared" si="24"/>
        <v>0</v>
      </c>
      <c r="AO348" s="321">
        <f t="shared" si="24"/>
        <v>48944</v>
      </c>
      <c r="AP348" s="321">
        <f t="shared" si="24"/>
        <v>813440.58884631132</v>
      </c>
    </row>
    <row r="349" spans="1:42" x14ac:dyDescent="0.25">
      <c r="A349" s="311">
        <v>1715626</v>
      </c>
      <c r="D349" s="311">
        <v>1715626</v>
      </c>
      <c r="E349" s="315" t="str">
        <f t="shared" si="19"/>
        <v>Spokojený domov, o.p.s.</v>
      </c>
      <c r="F349" s="315" t="str">
        <f t="shared" si="20"/>
        <v>Spokojený domov, o.p.s.</v>
      </c>
      <c r="G349" s="315" t="str">
        <f t="shared" si="21"/>
        <v>§ 39 - Osobní asistence</v>
      </c>
      <c r="H349" s="315"/>
      <c r="I349" s="266" t="s">
        <v>1812</v>
      </c>
      <c r="J349" s="319"/>
      <c r="K349" s="266"/>
      <c r="L349" s="320"/>
      <c r="M349" s="321">
        <f t="shared" si="22"/>
        <v>10.8</v>
      </c>
      <c r="N349" s="321">
        <f t="shared" si="25"/>
        <v>0.8</v>
      </c>
      <c r="O349" s="321">
        <f t="shared" si="25"/>
        <v>10</v>
      </c>
      <c r="P349" s="321">
        <f t="shared" si="25"/>
        <v>0</v>
      </c>
      <c r="Q349" s="321">
        <f t="shared" si="25"/>
        <v>0</v>
      </c>
      <c r="R349" s="321">
        <f t="shared" si="25"/>
        <v>0</v>
      </c>
      <c r="S349" s="321">
        <f t="shared" si="25"/>
        <v>0</v>
      </c>
      <c r="T349" s="321">
        <f t="shared" si="25"/>
        <v>5</v>
      </c>
      <c r="U349" s="321">
        <f t="shared" si="25"/>
        <v>0</v>
      </c>
      <c r="V349" s="321"/>
      <c r="W349" s="321">
        <f t="shared" si="24"/>
        <v>10.8</v>
      </c>
      <c r="X349" s="321">
        <f t="shared" si="24"/>
        <v>0.8</v>
      </c>
      <c r="Y349" s="321">
        <f t="shared" si="24"/>
        <v>10</v>
      </c>
      <c r="Z349" s="321">
        <f t="shared" si="24"/>
        <v>0</v>
      </c>
      <c r="AA349" s="321">
        <f t="shared" si="24"/>
        <v>0</v>
      </c>
      <c r="AB349" s="321">
        <f t="shared" si="24"/>
        <v>0</v>
      </c>
      <c r="AC349" s="321">
        <f t="shared" si="24"/>
        <v>5</v>
      </c>
      <c r="AD349" s="321"/>
      <c r="AE349" s="321">
        <f t="shared" si="24"/>
        <v>5766700.9457780467</v>
      </c>
      <c r="AF349" s="321">
        <f t="shared" si="24"/>
        <v>0</v>
      </c>
      <c r="AG349" s="321">
        <f t="shared" si="24"/>
        <v>214130.20951136044</v>
      </c>
      <c r="AH349" s="321">
        <f t="shared" si="24"/>
        <v>0</v>
      </c>
      <c r="AI349" s="321">
        <f t="shared" si="24"/>
        <v>5980831.1552894069</v>
      </c>
      <c r="AJ349" s="321"/>
      <c r="AK349" s="321">
        <f t="shared" si="24"/>
        <v>1249688.404806758</v>
      </c>
      <c r="AL349" s="321">
        <f t="shared" si="24"/>
        <v>0</v>
      </c>
      <c r="AM349" s="321">
        <f t="shared" si="24"/>
        <v>0</v>
      </c>
      <c r="AN349" s="321">
        <f t="shared" si="24"/>
        <v>0</v>
      </c>
      <c r="AO349" s="321">
        <f t="shared" si="24"/>
        <v>1249688.404806758</v>
      </c>
      <c r="AP349" s="321">
        <f t="shared" si="24"/>
        <v>4731142.7504826486</v>
      </c>
    </row>
    <row r="350" spans="1:42" x14ac:dyDescent="0.25">
      <c r="A350" s="311">
        <v>1738957</v>
      </c>
      <c r="D350" s="311">
        <v>1738957</v>
      </c>
      <c r="E350" s="315" t="str">
        <f t="shared" si="19"/>
        <v>Nízkoprahový klub PoHoDa</v>
      </c>
      <c r="F350" s="315" t="str">
        <f t="shared" si="20"/>
        <v>Oblastní charita Jičín</v>
      </c>
      <c r="G350" s="315" t="str">
        <f t="shared" si="21"/>
        <v>§ 62 - Nízkoprahová zařízení pro děti a mládež</v>
      </c>
      <c r="H350" s="315"/>
      <c r="I350" s="266" t="s">
        <v>1812</v>
      </c>
      <c r="J350" s="319"/>
      <c r="K350" s="266"/>
      <c r="L350" s="320"/>
      <c r="M350" s="321">
        <f t="shared" si="22"/>
        <v>2</v>
      </c>
      <c r="N350" s="321">
        <f t="shared" si="25"/>
        <v>2</v>
      </c>
      <c r="O350" s="321">
        <f t="shared" si="25"/>
        <v>0</v>
      </c>
      <c r="P350" s="321">
        <f t="shared" si="25"/>
        <v>0</v>
      </c>
      <c r="Q350" s="321">
        <f t="shared" si="25"/>
        <v>0</v>
      </c>
      <c r="R350" s="321">
        <f t="shared" si="25"/>
        <v>0</v>
      </c>
      <c r="S350" s="321">
        <f t="shared" si="25"/>
        <v>0</v>
      </c>
      <c r="T350" s="321">
        <f t="shared" si="25"/>
        <v>20</v>
      </c>
      <c r="U350" s="321">
        <f t="shared" si="25"/>
        <v>0</v>
      </c>
      <c r="V350" s="321"/>
      <c r="W350" s="321">
        <f t="shared" si="24"/>
        <v>2</v>
      </c>
      <c r="X350" s="321">
        <f t="shared" si="24"/>
        <v>2</v>
      </c>
      <c r="Y350" s="321">
        <f t="shared" si="24"/>
        <v>0</v>
      </c>
      <c r="Z350" s="321">
        <f t="shared" si="24"/>
        <v>0</v>
      </c>
      <c r="AA350" s="321">
        <f t="shared" si="24"/>
        <v>0</v>
      </c>
      <c r="AB350" s="321">
        <f t="shared" si="24"/>
        <v>0</v>
      </c>
      <c r="AC350" s="321">
        <f t="shared" si="24"/>
        <v>20</v>
      </c>
      <c r="AD350" s="321"/>
      <c r="AE350" s="321">
        <f t="shared" si="24"/>
        <v>1201622.7082953721</v>
      </c>
      <c r="AF350" s="321">
        <f t="shared" si="24"/>
        <v>0</v>
      </c>
      <c r="AG350" s="321">
        <f t="shared" si="24"/>
        <v>113235.14585763802</v>
      </c>
      <c r="AH350" s="321">
        <f t="shared" si="24"/>
        <v>0</v>
      </c>
      <c r="AI350" s="321">
        <f t="shared" si="24"/>
        <v>1314857.8541530101</v>
      </c>
      <c r="AJ350" s="321"/>
      <c r="AK350" s="321">
        <f t="shared" si="24"/>
        <v>0</v>
      </c>
      <c r="AL350" s="321">
        <f t="shared" si="24"/>
        <v>0</v>
      </c>
      <c r="AM350" s="321">
        <f t="shared" si="24"/>
        <v>0</v>
      </c>
      <c r="AN350" s="321">
        <f t="shared" si="24"/>
        <v>0</v>
      </c>
      <c r="AO350" s="321">
        <f t="shared" si="24"/>
        <v>0</v>
      </c>
      <c r="AP350" s="321">
        <f t="shared" si="24"/>
        <v>1314857.8541530101</v>
      </c>
    </row>
    <row r="351" spans="1:42" x14ac:dyDescent="0.25">
      <c r="A351" s="311">
        <v>1758706</v>
      </c>
      <c r="D351" s="311">
        <v>1758706</v>
      </c>
      <c r="E351" s="315" t="str">
        <f t="shared" si="19"/>
        <v>Terénní program - Aufori, o.p.s.</v>
      </c>
      <c r="F351" s="315" t="str">
        <f t="shared" si="20"/>
        <v>Aufori, o.p.s.</v>
      </c>
      <c r="G351" s="315" t="str">
        <f t="shared" si="21"/>
        <v>§ 69 - Terénní programy</v>
      </c>
      <c r="H351" s="315"/>
      <c r="I351" s="266" t="s">
        <v>1812</v>
      </c>
      <c r="J351" s="319"/>
      <c r="K351" s="266"/>
      <c r="L351" s="320"/>
      <c r="M351" s="321">
        <f t="shared" si="22"/>
        <v>9</v>
      </c>
      <c r="N351" s="321">
        <f t="shared" si="25"/>
        <v>6.2999999999999989</v>
      </c>
      <c r="O351" s="321">
        <f t="shared" si="25"/>
        <v>2.7</v>
      </c>
      <c r="P351" s="321">
        <f t="shared" si="25"/>
        <v>0</v>
      </c>
      <c r="Q351" s="321">
        <f t="shared" si="25"/>
        <v>0</v>
      </c>
      <c r="R351" s="321">
        <f t="shared" si="25"/>
        <v>0</v>
      </c>
      <c r="S351" s="321">
        <f t="shared" si="25"/>
        <v>50</v>
      </c>
      <c r="T351" s="321">
        <f t="shared" si="25"/>
        <v>0</v>
      </c>
      <c r="U351" s="321">
        <f t="shared" si="25"/>
        <v>0</v>
      </c>
      <c r="V351" s="321"/>
      <c r="W351" s="321">
        <f t="shared" si="24"/>
        <v>9</v>
      </c>
      <c r="X351" s="321">
        <f t="shared" si="24"/>
        <v>6.2999999999999989</v>
      </c>
      <c r="Y351" s="321">
        <f t="shared" si="24"/>
        <v>2.7</v>
      </c>
      <c r="Z351" s="321">
        <f t="shared" si="24"/>
        <v>0</v>
      </c>
      <c r="AA351" s="321">
        <f t="shared" si="24"/>
        <v>0</v>
      </c>
      <c r="AB351" s="321">
        <f t="shared" si="24"/>
        <v>0</v>
      </c>
      <c r="AC351" s="321">
        <f t="shared" si="24"/>
        <v>0</v>
      </c>
      <c r="AD351" s="321"/>
      <c r="AE351" s="321">
        <f t="shared" si="24"/>
        <v>5641079.855342363</v>
      </c>
      <c r="AF351" s="321">
        <f t="shared" si="24"/>
        <v>0</v>
      </c>
      <c r="AG351" s="321">
        <f t="shared" si="24"/>
        <v>283438.95753495599</v>
      </c>
      <c r="AH351" s="321">
        <f t="shared" si="24"/>
        <v>0</v>
      </c>
      <c r="AI351" s="321">
        <f t="shared" si="24"/>
        <v>5924518.8128773188</v>
      </c>
      <c r="AJ351" s="321"/>
      <c r="AK351" s="321">
        <f t="shared" si="24"/>
        <v>0</v>
      </c>
      <c r="AL351" s="321">
        <f t="shared" si="24"/>
        <v>0</v>
      </c>
      <c r="AM351" s="321">
        <f t="shared" si="24"/>
        <v>0</v>
      </c>
      <c r="AN351" s="321">
        <f t="shared" si="24"/>
        <v>0</v>
      </c>
      <c r="AO351" s="321">
        <f t="shared" si="24"/>
        <v>0</v>
      </c>
      <c r="AP351" s="321">
        <f t="shared" si="24"/>
        <v>5924518.8128773188</v>
      </c>
    </row>
    <row r="352" spans="1:42" x14ac:dyDescent="0.25">
      <c r="A352" s="311">
        <v>1792038</v>
      </c>
      <c r="D352" s="311">
        <v>1792038</v>
      </c>
      <c r="E352" s="315" t="str">
        <f t="shared" si="19"/>
        <v>Sociálně aktivizační služby pro zrakově postižené</v>
      </c>
      <c r="F352" s="315" t="str">
        <f t="shared" si="20"/>
        <v>TyfloCentrum Hradec Králové, o. p. s.</v>
      </c>
      <c r="G352" s="315" t="str">
        <f t="shared" si="21"/>
        <v>§ 66 - Sociálně aktivizační služby pro seniory a osoby se zdravotním postižením</v>
      </c>
      <c r="H352" s="315"/>
      <c r="I352" s="266" t="s">
        <v>1812</v>
      </c>
      <c r="J352" s="319"/>
      <c r="K352" s="266"/>
      <c r="L352" s="320"/>
      <c r="M352" s="321">
        <f t="shared" si="22"/>
        <v>1.75</v>
      </c>
      <c r="N352" s="321">
        <f t="shared" si="25"/>
        <v>1</v>
      </c>
      <c r="O352" s="321">
        <f t="shared" si="25"/>
        <v>0.75</v>
      </c>
      <c r="P352" s="321">
        <f t="shared" si="25"/>
        <v>0</v>
      </c>
      <c r="Q352" s="321">
        <f t="shared" si="25"/>
        <v>0</v>
      </c>
      <c r="R352" s="321">
        <f t="shared" si="25"/>
        <v>0</v>
      </c>
      <c r="S352" s="321">
        <f t="shared" si="25"/>
        <v>0</v>
      </c>
      <c r="T352" s="321">
        <f t="shared" si="25"/>
        <v>5</v>
      </c>
      <c r="U352" s="321">
        <f t="shared" si="25"/>
        <v>0</v>
      </c>
      <c r="V352" s="321"/>
      <c r="W352" s="321">
        <f t="shared" si="24"/>
        <v>1.75</v>
      </c>
      <c r="X352" s="321">
        <f t="shared" si="24"/>
        <v>1</v>
      </c>
      <c r="Y352" s="321">
        <f t="shared" si="24"/>
        <v>0.75</v>
      </c>
      <c r="Z352" s="321">
        <f t="shared" si="24"/>
        <v>0</v>
      </c>
      <c r="AA352" s="321">
        <f t="shared" si="24"/>
        <v>0</v>
      </c>
      <c r="AB352" s="321">
        <f t="shared" si="24"/>
        <v>0</v>
      </c>
      <c r="AC352" s="321">
        <f t="shared" si="24"/>
        <v>5</v>
      </c>
      <c r="AD352" s="321"/>
      <c r="AE352" s="321">
        <f t="shared" si="24"/>
        <v>1241908.9112120674</v>
      </c>
      <c r="AF352" s="321">
        <f t="shared" si="24"/>
        <v>0</v>
      </c>
      <c r="AG352" s="321">
        <f t="shared" si="24"/>
        <v>69727.464742421813</v>
      </c>
      <c r="AH352" s="321">
        <f t="shared" si="24"/>
        <v>0</v>
      </c>
      <c r="AI352" s="321">
        <f t="shared" si="24"/>
        <v>1311636.3759544892</v>
      </c>
      <c r="AJ352" s="321"/>
      <c r="AK352" s="321">
        <f t="shared" si="24"/>
        <v>0</v>
      </c>
      <c r="AL352" s="321">
        <f t="shared" si="24"/>
        <v>0</v>
      </c>
      <c r="AM352" s="321">
        <f t="shared" si="24"/>
        <v>0</v>
      </c>
      <c r="AN352" s="321">
        <f t="shared" si="24"/>
        <v>0</v>
      </c>
      <c r="AO352" s="321">
        <f t="shared" si="24"/>
        <v>0</v>
      </c>
      <c r="AP352" s="321">
        <f t="shared" si="24"/>
        <v>1311636.3759544892</v>
      </c>
    </row>
    <row r="353" spans="1:42" x14ac:dyDescent="0.25">
      <c r="A353" s="311">
        <v>1806042</v>
      </c>
      <c r="D353" s="311">
        <v>1806042</v>
      </c>
      <c r="E353" s="315" t="str">
        <f t="shared" si="19"/>
        <v>osobní asistence</v>
      </c>
      <c r="F353" s="315" t="str">
        <f t="shared" si="20"/>
        <v>Diakonie ČCE - středisko Světlo ve Vrchlabí</v>
      </c>
      <c r="G353" s="315" t="str">
        <f t="shared" si="21"/>
        <v>§ 39 - Osobní asistence</v>
      </c>
      <c r="H353" s="315"/>
      <c r="I353" s="266" t="s">
        <v>1812</v>
      </c>
      <c r="J353" s="319"/>
      <c r="K353" s="266"/>
      <c r="L353" s="320"/>
      <c r="M353" s="321">
        <f t="shared" si="22"/>
        <v>7.15</v>
      </c>
      <c r="N353" s="321">
        <f t="shared" si="25"/>
        <v>0.7</v>
      </c>
      <c r="O353" s="321">
        <f t="shared" si="25"/>
        <v>6.45</v>
      </c>
      <c r="P353" s="321">
        <f t="shared" si="25"/>
        <v>0</v>
      </c>
      <c r="Q353" s="321">
        <f t="shared" si="25"/>
        <v>0</v>
      </c>
      <c r="R353" s="321">
        <f t="shared" si="25"/>
        <v>0</v>
      </c>
      <c r="S353" s="321">
        <f t="shared" si="25"/>
        <v>8</v>
      </c>
      <c r="T353" s="321">
        <f t="shared" si="25"/>
        <v>6</v>
      </c>
      <c r="U353" s="321">
        <f t="shared" si="25"/>
        <v>0</v>
      </c>
      <c r="V353" s="321"/>
      <c r="W353" s="321">
        <f t="shared" si="24"/>
        <v>7.15</v>
      </c>
      <c r="X353" s="321">
        <f t="shared" si="24"/>
        <v>0.7</v>
      </c>
      <c r="Y353" s="321">
        <f t="shared" si="24"/>
        <v>6.45</v>
      </c>
      <c r="Z353" s="321">
        <f t="shared" si="24"/>
        <v>0</v>
      </c>
      <c r="AA353" s="321">
        <f t="shared" si="24"/>
        <v>0</v>
      </c>
      <c r="AB353" s="321">
        <f t="shared" si="24"/>
        <v>0</v>
      </c>
      <c r="AC353" s="321">
        <f t="shared" si="24"/>
        <v>6</v>
      </c>
      <c r="AD353" s="321"/>
      <c r="AE353" s="321">
        <f t="shared" si="24"/>
        <v>3817769.6076215771</v>
      </c>
      <c r="AF353" s="321">
        <f t="shared" si="24"/>
        <v>0</v>
      </c>
      <c r="AG353" s="321">
        <f t="shared" si="24"/>
        <v>141762.12944502104</v>
      </c>
      <c r="AH353" s="321">
        <f t="shared" si="24"/>
        <v>0</v>
      </c>
      <c r="AI353" s="321">
        <f t="shared" si="24"/>
        <v>3959531.7370665981</v>
      </c>
      <c r="AJ353" s="321"/>
      <c r="AK353" s="321">
        <f t="shared" si="24"/>
        <v>806049.02110035892</v>
      </c>
      <c r="AL353" s="321">
        <f t="shared" si="24"/>
        <v>0</v>
      </c>
      <c r="AM353" s="321">
        <f t="shared" si="24"/>
        <v>0</v>
      </c>
      <c r="AN353" s="321">
        <f t="shared" si="24"/>
        <v>0</v>
      </c>
      <c r="AO353" s="321">
        <f t="shared" si="24"/>
        <v>806049.02110035892</v>
      </c>
      <c r="AP353" s="321">
        <f t="shared" si="24"/>
        <v>3153482.7159662391</v>
      </c>
    </row>
    <row r="354" spans="1:42" x14ac:dyDescent="0.25">
      <c r="A354" s="311">
        <v>1817339</v>
      </c>
      <c r="D354" s="311">
        <v>1817339</v>
      </c>
      <c r="E354" s="315" t="str">
        <f t="shared" si="19"/>
        <v>Domov pro seniory Marie</v>
      </c>
      <c r="F354" s="315" t="str">
        <f t="shared" si="20"/>
        <v>Městské středisko sociálních služeb MARIE</v>
      </c>
      <c r="G354" s="315" t="str">
        <f t="shared" si="21"/>
        <v>§ 49 - Domovy pro seniory</v>
      </c>
      <c r="H354" s="315"/>
      <c r="I354" s="266" t="s">
        <v>1812</v>
      </c>
      <c r="J354" s="319"/>
      <c r="K354" s="266"/>
      <c r="L354" s="320"/>
      <c r="M354" s="321">
        <f t="shared" si="22"/>
        <v>17.100000000000001</v>
      </c>
      <c r="N354" s="321">
        <f t="shared" si="25"/>
        <v>0.9</v>
      </c>
      <c r="O354" s="321">
        <f t="shared" si="25"/>
        <v>9.9</v>
      </c>
      <c r="P354" s="321">
        <f t="shared" si="25"/>
        <v>6.3</v>
      </c>
      <c r="Q354" s="321">
        <f t="shared" si="25"/>
        <v>0</v>
      </c>
      <c r="R354" s="321">
        <f t="shared" si="25"/>
        <v>58</v>
      </c>
      <c r="S354" s="321">
        <f t="shared" si="25"/>
        <v>0</v>
      </c>
      <c r="T354" s="321">
        <f t="shared" si="25"/>
        <v>0</v>
      </c>
      <c r="U354" s="321">
        <f t="shared" si="25"/>
        <v>0</v>
      </c>
      <c r="V354" s="321"/>
      <c r="W354" s="321">
        <f t="shared" si="24"/>
        <v>17.100000000000001</v>
      </c>
      <c r="X354" s="321">
        <f t="shared" si="24"/>
        <v>0.9</v>
      </c>
      <c r="Y354" s="321">
        <f t="shared" si="24"/>
        <v>9.9</v>
      </c>
      <c r="Z354" s="321">
        <f t="shared" si="24"/>
        <v>6.3</v>
      </c>
      <c r="AA354" s="321">
        <f t="shared" si="24"/>
        <v>0</v>
      </c>
      <c r="AB354" s="321">
        <f t="shared" si="24"/>
        <v>58</v>
      </c>
      <c r="AC354" s="321">
        <f t="shared" si="24"/>
        <v>0</v>
      </c>
      <c r="AD354" s="321"/>
      <c r="AE354" s="321">
        <f t="shared" si="24"/>
        <v>7360646.7699971981</v>
      </c>
      <c r="AF354" s="321">
        <f t="shared" si="24"/>
        <v>5342970.7006131588</v>
      </c>
      <c r="AG354" s="321">
        <f t="shared" si="24"/>
        <v>5876148.1645813026</v>
      </c>
      <c r="AH354" s="321">
        <f t="shared" si="24"/>
        <v>4119167.9581743302</v>
      </c>
      <c r="AI354" s="321">
        <f t="shared" si="24"/>
        <v>22698933.59336599</v>
      </c>
      <c r="AJ354" s="321"/>
      <c r="AK354" s="321">
        <f t="shared" si="24"/>
        <v>6511688.139040079</v>
      </c>
      <c r="AL354" s="321">
        <f t="shared" si="24"/>
        <v>1696202.3880837359</v>
      </c>
      <c r="AM354" s="321">
        <f t="shared" si="24"/>
        <v>4461578.9282899918</v>
      </c>
      <c r="AN354" s="321">
        <f t="shared" si="24"/>
        <v>2950869.651654412</v>
      </c>
      <c r="AO354" s="321">
        <f t="shared" si="24"/>
        <v>15620339.107068218</v>
      </c>
      <c r="AP354" s="321">
        <f t="shared" si="24"/>
        <v>7078594.4862977713</v>
      </c>
    </row>
    <row r="355" spans="1:42" x14ac:dyDescent="0.25">
      <c r="A355" s="311">
        <v>1826777</v>
      </c>
      <c r="D355" s="311">
        <v>1826777</v>
      </c>
      <c r="E355" s="315" t="str">
        <f t="shared" si="19"/>
        <v>Pracoviště pečovatelské péče, o. p. s.</v>
      </c>
      <c r="F355" s="315" t="str">
        <f t="shared" si="20"/>
        <v>Pracoviště pečovatelské péče, o. p. s.</v>
      </c>
      <c r="G355" s="315" t="str">
        <f t="shared" si="21"/>
        <v>§ 40 - Pečovatelská služba</v>
      </c>
      <c r="H355" s="315"/>
      <c r="I355" s="266" t="s">
        <v>1812</v>
      </c>
      <c r="J355" s="319"/>
      <c r="K355" s="266"/>
      <c r="L355" s="320"/>
      <c r="M355" s="321">
        <f t="shared" si="22"/>
        <v>9</v>
      </c>
      <c r="N355" s="321">
        <f t="shared" si="25"/>
        <v>1</v>
      </c>
      <c r="O355" s="321">
        <f t="shared" si="25"/>
        <v>8</v>
      </c>
      <c r="P355" s="321">
        <f t="shared" si="25"/>
        <v>0</v>
      </c>
      <c r="Q355" s="321">
        <f t="shared" si="25"/>
        <v>0</v>
      </c>
      <c r="R355" s="321">
        <f t="shared" si="25"/>
        <v>0</v>
      </c>
      <c r="S355" s="321">
        <f t="shared" si="25"/>
        <v>20</v>
      </c>
      <c r="T355" s="321">
        <f t="shared" si="25"/>
        <v>0</v>
      </c>
      <c r="U355" s="321">
        <f t="shared" si="25"/>
        <v>0</v>
      </c>
      <c r="V355" s="321"/>
      <c r="W355" s="321">
        <f t="shared" si="24"/>
        <v>9</v>
      </c>
      <c r="X355" s="321">
        <f t="shared" si="24"/>
        <v>1</v>
      </c>
      <c r="Y355" s="321">
        <f t="shared" si="24"/>
        <v>8</v>
      </c>
      <c r="Z355" s="321">
        <f t="shared" si="24"/>
        <v>0</v>
      </c>
      <c r="AA355" s="321">
        <f t="shared" si="24"/>
        <v>0</v>
      </c>
      <c r="AB355" s="321">
        <f t="shared" si="24"/>
        <v>0</v>
      </c>
      <c r="AC355" s="321">
        <f t="shared" si="24"/>
        <v>0</v>
      </c>
      <c r="AD355" s="321"/>
      <c r="AE355" s="321">
        <f t="shared" si="24"/>
        <v>5196551.608677024</v>
      </c>
      <c r="AF355" s="321">
        <f t="shared" si="24"/>
        <v>0</v>
      </c>
      <c r="AG355" s="321">
        <f t="shared" si="24"/>
        <v>387483.52921333682</v>
      </c>
      <c r="AH355" s="321">
        <f t="shared" si="24"/>
        <v>0</v>
      </c>
      <c r="AI355" s="321">
        <f t="shared" si="24"/>
        <v>5584035.1378903612</v>
      </c>
      <c r="AJ355" s="321"/>
      <c r="AK355" s="321">
        <f t="shared" si="24"/>
        <v>1110041.8823529412</v>
      </c>
      <c r="AL355" s="321">
        <f t="shared" si="24"/>
        <v>0</v>
      </c>
      <c r="AM355" s="321">
        <f t="shared" si="24"/>
        <v>0</v>
      </c>
      <c r="AN355" s="321">
        <f t="shared" si="24"/>
        <v>0</v>
      </c>
      <c r="AO355" s="321">
        <f t="shared" si="24"/>
        <v>1110041.8823529412</v>
      </c>
      <c r="AP355" s="321">
        <f t="shared" si="24"/>
        <v>4473993.2555374205</v>
      </c>
    </row>
    <row r="356" spans="1:42" x14ac:dyDescent="0.25">
      <c r="A356" s="311">
        <v>1840658</v>
      </c>
      <c r="D356" s="311">
        <v>1840658</v>
      </c>
      <c r="E356" s="315" t="str">
        <f t="shared" si="19"/>
        <v>Středisko rané péče Sluníčko</v>
      </c>
      <c r="F356" s="315" t="str">
        <f t="shared" si="20"/>
        <v>Oblastní charita Hradec Králové</v>
      </c>
      <c r="G356" s="315" t="str">
        <f t="shared" si="21"/>
        <v>§ 54 - Raná péče</v>
      </c>
      <c r="H356" s="315"/>
      <c r="I356" s="266" t="s">
        <v>1812</v>
      </c>
      <c r="J356" s="319"/>
      <c r="K356" s="266"/>
      <c r="L356" s="320"/>
      <c r="M356" s="321">
        <f t="shared" si="22"/>
        <v>5.5</v>
      </c>
      <c r="N356" s="321">
        <f t="shared" si="25"/>
        <v>0.99999999999999989</v>
      </c>
      <c r="O356" s="321">
        <f t="shared" si="25"/>
        <v>0</v>
      </c>
      <c r="P356" s="321">
        <f t="shared" si="25"/>
        <v>0</v>
      </c>
      <c r="Q356" s="321">
        <f t="shared" si="25"/>
        <v>4.5</v>
      </c>
      <c r="R356" s="321">
        <f t="shared" si="25"/>
        <v>0</v>
      </c>
      <c r="S356" s="321">
        <f t="shared" si="25"/>
        <v>500</v>
      </c>
      <c r="T356" s="321">
        <f t="shared" si="25"/>
        <v>0</v>
      </c>
      <c r="U356" s="321">
        <f t="shared" si="25"/>
        <v>0</v>
      </c>
      <c r="V356" s="321"/>
      <c r="W356" s="321">
        <f t="shared" si="24"/>
        <v>5.5</v>
      </c>
      <c r="X356" s="321">
        <f t="shared" si="24"/>
        <v>0.99999999999999989</v>
      </c>
      <c r="Y356" s="321">
        <f t="shared" si="24"/>
        <v>0</v>
      </c>
      <c r="Z356" s="321">
        <f t="shared" si="24"/>
        <v>0</v>
      </c>
      <c r="AA356" s="321">
        <f t="shared" si="24"/>
        <v>4.5</v>
      </c>
      <c r="AB356" s="321">
        <f t="shared" si="24"/>
        <v>0</v>
      </c>
      <c r="AC356" s="321">
        <f t="shared" si="24"/>
        <v>0</v>
      </c>
      <c r="AD356" s="321"/>
      <c r="AE356" s="321">
        <f t="shared" si="24"/>
        <v>4468637.1126688095</v>
      </c>
      <c r="AF356" s="321">
        <f t="shared" si="24"/>
        <v>0</v>
      </c>
      <c r="AG356" s="321">
        <f t="shared" si="24"/>
        <v>351880.72666014143</v>
      </c>
      <c r="AH356" s="321">
        <f t="shared" si="24"/>
        <v>0</v>
      </c>
      <c r="AI356" s="321">
        <f t="shared" si="24"/>
        <v>4820517.8393289512</v>
      </c>
      <c r="AJ356" s="321"/>
      <c r="AK356" s="321">
        <f t="shared" si="24"/>
        <v>0</v>
      </c>
      <c r="AL356" s="321">
        <f t="shared" si="24"/>
        <v>0</v>
      </c>
      <c r="AM356" s="321">
        <f t="shared" si="24"/>
        <v>0</v>
      </c>
      <c r="AN356" s="321">
        <f t="shared" si="24"/>
        <v>0</v>
      </c>
      <c r="AO356" s="321">
        <f t="shared" si="24"/>
        <v>0</v>
      </c>
      <c r="AP356" s="321">
        <f t="shared" si="24"/>
        <v>4820517.8393289512</v>
      </c>
    </row>
    <row r="357" spans="1:42" x14ac:dyDescent="0.25">
      <c r="A357" s="311">
        <v>1872907</v>
      </c>
      <c r="D357" s="311">
        <v>1872907</v>
      </c>
      <c r="E357" s="315" t="str">
        <f t="shared" si="19"/>
        <v>Domov pro seniory Pilníkov</v>
      </c>
      <c r="F357" s="315" t="str">
        <f t="shared" si="20"/>
        <v>Domov pro seniory Pilníkov</v>
      </c>
      <c r="G357" s="315" t="str">
        <f t="shared" si="21"/>
        <v>§ 49 - Domovy pro seniory</v>
      </c>
      <c r="H357" s="315"/>
      <c r="I357" s="266" t="s">
        <v>1812</v>
      </c>
      <c r="J357" s="319"/>
      <c r="K357" s="266"/>
      <c r="L357" s="320"/>
      <c r="M357" s="321">
        <f t="shared" si="22"/>
        <v>20</v>
      </c>
      <c r="N357" s="321">
        <f t="shared" si="25"/>
        <v>1</v>
      </c>
      <c r="O357" s="321">
        <f t="shared" si="25"/>
        <v>13</v>
      </c>
      <c r="P357" s="321">
        <f t="shared" si="25"/>
        <v>6</v>
      </c>
      <c r="Q357" s="321">
        <f t="shared" si="25"/>
        <v>0</v>
      </c>
      <c r="R357" s="321">
        <f t="shared" si="25"/>
        <v>45</v>
      </c>
      <c r="S357" s="321">
        <f t="shared" si="25"/>
        <v>0</v>
      </c>
      <c r="T357" s="321">
        <f t="shared" si="25"/>
        <v>0</v>
      </c>
      <c r="U357" s="321">
        <f t="shared" si="25"/>
        <v>0</v>
      </c>
      <c r="V357" s="321"/>
      <c r="W357" s="321">
        <f t="shared" si="24"/>
        <v>20</v>
      </c>
      <c r="X357" s="321">
        <f t="shared" si="24"/>
        <v>1</v>
      </c>
      <c r="Y357" s="321">
        <f t="shared" si="24"/>
        <v>13</v>
      </c>
      <c r="Z357" s="321">
        <f t="shared" si="24"/>
        <v>6</v>
      </c>
      <c r="AA357" s="321">
        <f t="shared" si="24"/>
        <v>0</v>
      </c>
      <c r="AB357" s="321">
        <f t="shared" si="24"/>
        <v>45</v>
      </c>
      <c r="AC357" s="321">
        <f t="shared" si="24"/>
        <v>0</v>
      </c>
      <c r="AD357" s="321"/>
      <c r="AE357" s="321">
        <f t="shared" si="24"/>
        <v>9541579.1462926641</v>
      </c>
      <c r="AF357" s="321">
        <f t="shared" si="24"/>
        <v>5088543.5243934849</v>
      </c>
      <c r="AG357" s="321">
        <f t="shared" si="24"/>
        <v>4559080.4725199761</v>
      </c>
      <c r="AH357" s="321">
        <f t="shared" si="24"/>
        <v>3195906.1744456007</v>
      </c>
      <c r="AI357" s="321">
        <f t="shared" si="24"/>
        <v>22385109.317651723</v>
      </c>
      <c r="AJ357" s="321"/>
      <c r="AK357" s="321">
        <f t="shared" si="24"/>
        <v>5052171.8320138538</v>
      </c>
      <c r="AL357" s="321">
        <f t="shared" si="24"/>
        <v>1316019.0942028984</v>
      </c>
      <c r="AM357" s="321">
        <f t="shared" si="24"/>
        <v>3461569.8581560282</v>
      </c>
      <c r="AN357" s="321">
        <f t="shared" si="24"/>
        <v>2289467.8331801472</v>
      </c>
      <c r="AO357" s="321">
        <f t="shared" si="24"/>
        <v>12119228.617552929</v>
      </c>
      <c r="AP357" s="321">
        <f t="shared" si="24"/>
        <v>10265880.700098794</v>
      </c>
    </row>
    <row r="358" spans="1:42" x14ac:dyDescent="0.25">
      <c r="A358" s="311">
        <v>1878615</v>
      </c>
      <c r="D358" s="311">
        <v>1878615</v>
      </c>
      <c r="E358" s="315" t="str">
        <f t="shared" si="19"/>
        <v>Domov pro seniory Vrchlabí</v>
      </c>
      <c r="F358" s="315" t="str">
        <f t="shared" si="20"/>
        <v>Domov pro seniory Vrchlabí</v>
      </c>
      <c r="G358" s="315" t="str">
        <f t="shared" si="21"/>
        <v>§ 44 - Odlehčovací služby</v>
      </c>
      <c r="H358" s="315"/>
      <c r="I358" s="266" t="s">
        <v>1812</v>
      </c>
      <c r="J358" s="319"/>
      <c r="K358" s="266"/>
      <c r="L358" s="320"/>
      <c r="M358" s="321">
        <f t="shared" si="22"/>
        <v>1.07</v>
      </c>
      <c r="N358" s="321">
        <f t="shared" si="25"/>
        <v>0.05</v>
      </c>
      <c r="O358" s="321">
        <f t="shared" si="25"/>
        <v>0.55000000000000004</v>
      </c>
      <c r="P358" s="321">
        <f t="shared" si="25"/>
        <v>0.47</v>
      </c>
      <c r="Q358" s="321">
        <f t="shared" si="25"/>
        <v>0</v>
      </c>
      <c r="R358" s="321">
        <f t="shared" si="25"/>
        <v>3</v>
      </c>
      <c r="S358" s="321">
        <f t="shared" si="25"/>
        <v>0</v>
      </c>
      <c r="T358" s="321">
        <f t="shared" si="25"/>
        <v>0</v>
      </c>
      <c r="U358" s="321">
        <f t="shared" si="25"/>
        <v>0</v>
      </c>
      <c r="V358" s="321"/>
      <c r="W358" s="321">
        <f t="shared" si="24"/>
        <v>1.07</v>
      </c>
      <c r="X358" s="321">
        <f t="shared" si="24"/>
        <v>0.05</v>
      </c>
      <c r="Y358" s="321">
        <f t="shared" si="24"/>
        <v>0.55000000000000004</v>
      </c>
      <c r="Z358" s="321">
        <f t="shared" si="24"/>
        <v>0.47</v>
      </c>
      <c r="AA358" s="321">
        <f t="shared" si="24"/>
        <v>0</v>
      </c>
      <c r="AB358" s="321">
        <f t="shared" si="24"/>
        <v>3</v>
      </c>
      <c r="AC358" s="321">
        <f t="shared" si="24"/>
        <v>0</v>
      </c>
      <c r="AD358" s="321"/>
      <c r="AE358" s="321">
        <f t="shared" si="24"/>
        <v>631372.38253182673</v>
      </c>
      <c r="AF358" s="321">
        <f t="shared" si="24"/>
        <v>0</v>
      </c>
      <c r="AG358" s="321">
        <f t="shared" si="24"/>
        <v>169371.68488899458</v>
      </c>
      <c r="AH358" s="321">
        <f t="shared" si="24"/>
        <v>92925.506226098805</v>
      </c>
      <c r="AI358" s="321">
        <f t="shared" si="24"/>
        <v>893669.57364692003</v>
      </c>
      <c r="AJ358" s="321"/>
      <c r="AK358" s="321">
        <f t="shared" si="24"/>
        <v>129927.92770067682</v>
      </c>
      <c r="AL358" s="321">
        <f t="shared" si="24"/>
        <v>0</v>
      </c>
      <c r="AM358" s="321">
        <f t="shared" si="24"/>
        <v>115365.9375</v>
      </c>
      <c r="AN358" s="321">
        <f t="shared" si="24"/>
        <v>71686.350000000006</v>
      </c>
      <c r="AO358" s="321">
        <f t="shared" si="24"/>
        <v>316980.21520067682</v>
      </c>
      <c r="AP358" s="321">
        <f t="shared" si="24"/>
        <v>576689.35844624322</v>
      </c>
    </row>
    <row r="359" spans="1:42" x14ac:dyDescent="0.25">
      <c r="A359" s="311">
        <v>1905494</v>
      </c>
      <c r="D359" s="311">
        <v>1905494</v>
      </c>
      <c r="E359" s="315" t="str">
        <f t="shared" si="19"/>
        <v>Domov Arreta o.p.s.</v>
      </c>
      <c r="F359" s="315" t="str">
        <f t="shared" si="20"/>
        <v>Domov Arreta o.p.s.</v>
      </c>
      <c r="G359" s="315" t="str">
        <f t="shared" si="21"/>
        <v>§ 44 - Odlehčovací služby</v>
      </c>
      <c r="H359" s="315"/>
      <c r="I359" s="266" t="s">
        <v>1812</v>
      </c>
      <c r="J359" s="319"/>
      <c r="K359" s="266"/>
      <c r="L359" s="320"/>
      <c r="M359" s="321">
        <f t="shared" si="22"/>
        <v>12.14</v>
      </c>
      <c r="N359" s="321">
        <f t="shared" si="25"/>
        <v>1.1399999999999999</v>
      </c>
      <c r="O359" s="321">
        <f t="shared" si="25"/>
        <v>11</v>
      </c>
      <c r="P359" s="321">
        <f t="shared" si="25"/>
        <v>0</v>
      </c>
      <c r="Q359" s="321">
        <f t="shared" si="25"/>
        <v>0</v>
      </c>
      <c r="R359" s="321">
        <f t="shared" si="25"/>
        <v>22</v>
      </c>
      <c r="S359" s="321">
        <f t="shared" si="25"/>
        <v>0</v>
      </c>
      <c r="T359" s="321">
        <f t="shared" si="25"/>
        <v>0</v>
      </c>
      <c r="U359" s="321">
        <f t="shared" si="25"/>
        <v>0</v>
      </c>
      <c r="V359" s="321"/>
      <c r="W359" s="321">
        <f t="shared" si="24"/>
        <v>12.14</v>
      </c>
      <c r="X359" s="321">
        <f t="shared" si="24"/>
        <v>1.1399999999999999</v>
      </c>
      <c r="Y359" s="321">
        <f t="shared" si="24"/>
        <v>11</v>
      </c>
      <c r="Z359" s="321">
        <f t="shared" si="24"/>
        <v>0</v>
      </c>
      <c r="AA359" s="321">
        <f t="shared" si="24"/>
        <v>0</v>
      </c>
      <c r="AB359" s="321">
        <f t="shared" si="24"/>
        <v>22</v>
      </c>
      <c r="AC359" s="321">
        <f t="shared" si="24"/>
        <v>0</v>
      </c>
      <c r="AD359" s="321"/>
      <c r="AE359" s="321">
        <f t="shared" si="24"/>
        <v>7163421.2373237163</v>
      </c>
      <c r="AF359" s="321">
        <f t="shared" si="24"/>
        <v>0</v>
      </c>
      <c r="AG359" s="321">
        <f t="shared" si="24"/>
        <v>1242059.0225192937</v>
      </c>
      <c r="AH359" s="321">
        <f t="shared" si="24"/>
        <v>681453.71232472465</v>
      </c>
      <c r="AI359" s="321">
        <f t="shared" si="24"/>
        <v>9086933.9721677359</v>
      </c>
      <c r="AJ359" s="321"/>
      <c r="AK359" s="321">
        <f t="shared" si="24"/>
        <v>1401183.5340269068</v>
      </c>
      <c r="AL359" s="321">
        <f t="shared" si="24"/>
        <v>0</v>
      </c>
      <c r="AM359" s="321">
        <f t="shared" si="24"/>
        <v>846016.875</v>
      </c>
      <c r="AN359" s="321">
        <f t="shared" si="24"/>
        <v>525699.9</v>
      </c>
      <c r="AO359" s="321">
        <f t="shared" si="24"/>
        <v>2772900.3090269067</v>
      </c>
      <c r="AP359" s="321">
        <f t="shared" si="24"/>
        <v>6314033.6631408297</v>
      </c>
    </row>
    <row r="360" spans="1:42" x14ac:dyDescent="0.25">
      <c r="A360" s="311">
        <v>1907533</v>
      </c>
      <c r="D360" s="311">
        <v>1907533</v>
      </c>
      <c r="E360" s="315" t="str">
        <f t="shared" si="19"/>
        <v>Sociálně aktivizační služby pro rodiny s dětmi</v>
      </c>
      <c r="F360" s="315" t="str">
        <f t="shared" si="20"/>
        <v>Oblastní charita Jičín</v>
      </c>
      <c r="G360" s="315" t="str">
        <f t="shared" si="21"/>
        <v>§ 65 - Sociálně aktivizační služby pro rodiny s dětmi</v>
      </c>
      <c r="H360" s="315"/>
      <c r="I360" s="266" t="s">
        <v>1812</v>
      </c>
      <c r="J360" s="319"/>
      <c r="K360" s="266"/>
      <c r="L360" s="320"/>
      <c r="M360" s="321">
        <f t="shared" si="22"/>
        <v>8.6999999999999993</v>
      </c>
      <c r="N360" s="321">
        <f t="shared" si="25"/>
        <v>7.5</v>
      </c>
      <c r="O360" s="321">
        <f t="shared" si="25"/>
        <v>0</v>
      </c>
      <c r="P360" s="321">
        <f t="shared" si="25"/>
        <v>0</v>
      </c>
      <c r="Q360" s="321">
        <f t="shared" si="25"/>
        <v>1.2</v>
      </c>
      <c r="R360" s="321">
        <f t="shared" si="25"/>
        <v>0</v>
      </c>
      <c r="S360" s="321">
        <f t="shared" si="25"/>
        <v>0</v>
      </c>
      <c r="T360" s="321">
        <f t="shared" si="25"/>
        <v>80</v>
      </c>
      <c r="U360" s="321">
        <f t="shared" si="25"/>
        <v>0</v>
      </c>
      <c r="V360" s="321"/>
      <c r="W360" s="321">
        <f t="shared" ref="W360:AP372" si="26">SUMIFS(W$4:W$318,$D$4:$D$318,$D360)</f>
        <v>8.6999999999999993</v>
      </c>
      <c r="X360" s="321">
        <f t="shared" si="26"/>
        <v>7.5</v>
      </c>
      <c r="Y360" s="321">
        <f t="shared" si="26"/>
        <v>0</v>
      </c>
      <c r="Z360" s="321">
        <f t="shared" si="26"/>
        <v>0</v>
      </c>
      <c r="AA360" s="321">
        <f t="shared" si="26"/>
        <v>1.2</v>
      </c>
      <c r="AB360" s="321">
        <f t="shared" si="26"/>
        <v>0</v>
      </c>
      <c r="AC360" s="321">
        <f t="shared" si="26"/>
        <v>80</v>
      </c>
      <c r="AD360" s="321"/>
      <c r="AE360" s="321">
        <f t="shared" si="26"/>
        <v>5863447.0050788848</v>
      </c>
      <c r="AF360" s="321">
        <f t="shared" si="26"/>
        <v>0</v>
      </c>
      <c r="AG360" s="321">
        <f t="shared" si="26"/>
        <v>391589.56863924058</v>
      </c>
      <c r="AH360" s="321">
        <f t="shared" si="26"/>
        <v>0</v>
      </c>
      <c r="AI360" s="321">
        <f t="shared" si="26"/>
        <v>6255036.573718125</v>
      </c>
      <c r="AJ360" s="321"/>
      <c r="AK360" s="321">
        <f t="shared" si="26"/>
        <v>0</v>
      </c>
      <c r="AL360" s="321">
        <f t="shared" si="26"/>
        <v>0</v>
      </c>
      <c r="AM360" s="321">
        <f t="shared" si="26"/>
        <v>0</v>
      </c>
      <c r="AN360" s="321">
        <f t="shared" si="26"/>
        <v>0</v>
      </c>
      <c r="AO360" s="321">
        <f t="shared" si="26"/>
        <v>0</v>
      </c>
      <c r="AP360" s="321">
        <f t="shared" si="26"/>
        <v>6255036.573718125</v>
      </c>
    </row>
    <row r="361" spans="1:42" x14ac:dyDescent="0.25">
      <c r="A361" s="311">
        <v>1961902</v>
      </c>
      <c r="D361" s="311">
        <v>1961902</v>
      </c>
      <c r="E361" s="315" t="str">
        <f t="shared" si="19"/>
        <v>Stacionář sv. Františka</v>
      </c>
      <c r="F361" s="315" t="str">
        <f t="shared" si="20"/>
        <v>Farní charita Rychnov nad Kněžnou</v>
      </c>
      <c r="G361" s="315" t="str">
        <f t="shared" si="21"/>
        <v>§ 46 - Denní stacionáře</v>
      </c>
      <c r="H361" s="315"/>
      <c r="I361" s="266" t="s">
        <v>1812</v>
      </c>
      <c r="J361" s="319"/>
      <c r="K361" s="266"/>
      <c r="L361" s="320"/>
      <c r="M361" s="321">
        <f t="shared" si="22"/>
        <v>4.1899999999999995</v>
      </c>
      <c r="N361" s="321">
        <f t="shared" si="25"/>
        <v>0.2</v>
      </c>
      <c r="O361" s="321">
        <f t="shared" si="25"/>
        <v>2.99</v>
      </c>
      <c r="P361" s="321">
        <f t="shared" si="25"/>
        <v>0.2</v>
      </c>
      <c r="Q361" s="321">
        <f t="shared" si="25"/>
        <v>0.8</v>
      </c>
      <c r="R361" s="321">
        <f t="shared" si="25"/>
        <v>0</v>
      </c>
      <c r="S361" s="321">
        <f t="shared" si="25"/>
        <v>0</v>
      </c>
      <c r="T361" s="321">
        <f t="shared" si="25"/>
        <v>22</v>
      </c>
      <c r="U361" s="321">
        <f t="shared" si="25"/>
        <v>0</v>
      </c>
      <c r="V361" s="321"/>
      <c r="W361" s="321">
        <f t="shared" si="26"/>
        <v>4.1899999999999995</v>
      </c>
      <c r="X361" s="321">
        <f t="shared" si="26"/>
        <v>0.2</v>
      </c>
      <c r="Y361" s="321">
        <f t="shared" si="26"/>
        <v>2.99</v>
      </c>
      <c r="Z361" s="321">
        <f t="shared" si="26"/>
        <v>0.2</v>
      </c>
      <c r="AA361" s="321">
        <f t="shared" si="26"/>
        <v>0.8</v>
      </c>
      <c r="AB361" s="321">
        <f t="shared" si="26"/>
        <v>0</v>
      </c>
      <c r="AC361" s="321">
        <f t="shared" si="26"/>
        <v>22</v>
      </c>
      <c r="AD361" s="321"/>
      <c r="AE361" s="321">
        <f t="shared" si="26"/>
        <v>3116427.0267113391</v>
      </c>
      <c r="AF361" s="321">
        <f t="shared" si="26"/>
        <v>0</v>
      </c>
      <c r="AG361" s="321">
        <f t="shared" si="26"/>
        <v>613937.57889880054</v>
      </c>
      <c r="AH361" s="321">
        <f t="shared" si="26"/>
        <v>120492.92314264739</v>
      </c>
      <c r="AI361" s="321">
        <f t="shared" si="26"/>
        <v>3850857.528752787</v>
      </c>
      <c r="AJ361" s="321"/>
      <c r="AK361" s="321">
        <f t="shared" si="26"/>
        <v>538224.92156862747</v>
      </c>
      <c r="AL361" s="321">
        <f t="shared" si="26"/>
        <v>0</v>
      </c>
      <c r="AM361" s="321">
        <f t="shared" si="26"/>
        <v>0</v>
      </c>
      <c r="AN361" s="321">
        <f t="shared" si="26"/>
        <v>119950.76923076923</v>
      </c>
      <c r="AO361" s="321">
        <f t="shared" si="26"/>
        <v>658175.69079939672</v>
      </c>
      <c r="AP361" s="321">
        <f t="shared" si="26"/>
        <v>3192681.8379533906</v>
      </c>
    </row>
    <row r="362" spans="1:42" x14ac:dyDescent="0.25">
      <c r="A362" s="311">
        <v>1968420</v>
      </c>
      <c r="D362" s="311">
        <v>1968420</v>
      </c>
      <c r="E362" s="315" t="str">
        <f t="shared" si="19"/>
        <v>Dům Matky Terezy Hradec Králové</v>
      </c>
      <c r="F362" s="315" t="str">
        <f t="shared" si="20"/>
        <v>Oblastní charita Hradec Králové</v>
      </c>
      <c r="G362" s="315" t="str">
        <f t="shared" si="21"/>
        <v>§ 63 - Noclehárny</v>
      </c>
      <c r="H362" s="315"/>
      <c r="I362" s="266" t="s">
        <v>1812</v>
      </c>
      <c r="J362" s="319"/>
      <c r="K362" s="266"/>
      <c r="L362" s="320"/>
      <c r="M362" s="321">
        <f t="shared" si="22"/>
        <v>6.11</v>
      </c>
      <c r="N362" s="321">
        <f t="shared" si="25"/>
        <v>0.25</v>
      </c>
      <c r="O362" s="321">
        <f t="shared" si="25"/>
        <v>5.86</v>
      </c>
      <c r="P362" s="321">
        <f t="shared" si="25"/>
        <v>0</v>
      </c>
      <c r="Q362" s="321">
        <f t="shared" si="25"/>
        <v>0</v>
      </c>
      <c r="R362" s="321">
        <f t="shared" si="25"/>
        <v>67</v>
      </c>
      <c r="S362" s="321">
        <f t="shared" si="25"/>
        <v>0</v>
      </c>
      <c r="T362" s="321">
        <f t="shared" si="25"/>
        <v>90</v>
      </c>
      <c r="U362" s="321">
        <f t="shared" si="25"/>
        <v>0</v>
      </c>
      <c r="V362" s="321"/>
      <c r="W362" s="321">
        <f t="shared" si="26"/>
        <v>6.11</v>
      </c>
      <c r="X362" s="321">
        <f t="shared" si="26"/>
        <v>0.25</v>
      </c>
      <c r="Y362" s="321">
        <f t="shared" si="26"/>
        <v>5.86</v>
      </c>
      <c r="Z362" s="321">
        <f t="shared" si="26"/>
        <v>0</v>
      </c>
      <c r="AA362" s="321">
        <f t="shared" si="26"/>
        <v>0</v>
      </c>
      <c r="AB362" s="321">
        <f t="shared" si="26"/>
        <v>67</v>
      </c>
      <c r="AC362" s="321">
        <f t="shared" si="26"/>
        <v>90</v>
      </c>
      <c r="AD362" s="321"/>
      <c r="AE362" s="321">
        <f t="shared" si="26"/>
        <v>4327990.8495418672</v>
      </c>
      <c r="AF362" s="321">
        <f t="shared" si="26"/>
        <v>0</v>
      </c>
      <c r="AG362" s="321">
        <f t="shared" si="26"/>
        <v>1474374.3796284634</v>
      </c>
      <c r="AH362" s="321">
        <f t="shared" si="26"/>
        <v>0</v>
      </c>
      <c r="AI362" s="321">
        <f t="shared" si="26"/>
        <v>5802365.2291703308</v>
      </c>
      <c r="AJ362" s="321"/>
      <c r="AK362" s="321">
        <f t="shared" si="26"/>
        <v>0</v>
      </c>
      <c r="AL362" s="321">
        <f t="shared" si="26"/>
        <v>0</v>
      </c>
      <c r="AM362" s="321">
        <f t="shared" si="26"/>
        <v>468464</v>
      </c>
      <c r="AN362" s="321">
        <f t="shared" si="26"/>
        <v>0</v>
      </c>
      <c r="AO362" s="321">
        <f t="shared" si="26"/>
        <v>468464</v>
      </c>
      <c r="AP362" s="321">
        <f t="shared" si="26"/>
        <v>5333901.2291703308</v>
      </c>
    </row>
    <row r="363" spans="1:42" x14ac:dyDescent="0.25">
      <c r="A363" s="311">
        <v>1991772</v>
      </c>
      <c r="D363" s="311">
        <v>1991772</v>
      </c>
      <c r="E363" s="315" t="str">
        <f t="shared" si="19"/>
        <v>Domov důchodců Náchod</v>
      </c>
      <c r="F363" s="315" t="str">
        <f t="shared" si="20"/>
        <v>Domov důchodců Náchod</v>
      </c>
      <c r="G363" s="315" t="str">
        <f t="shared" si="21"/>
        <v>§ 50 - Domovy se zvláštním režimem</v>
      </c>
      <c r="H363" s="315"/>
      <c r="I363" s="266" t="s">
        <v>1812</v>
      </c>
      <c r="J363" s="319"/>
      <c r="K363" s="266"/>
      <c r="L363" s="320"/>
      <c r="M363" s="321">
        <f t="shared" si="22"/>
        <v>25.8</v>
      </c>
      <c r="N363" s="321">
        <f t="shared" si="25"/>
        <v>1.4</v>
      </c>
      <c r="O363" s="321">
        <f t="shared" si="25"/>
        <v>18</v>
      </c>
      <c r="P363" s="321">
        <f t="shared" si="25"/>
        <v>6.4</v>
      </c>
      <c r="Q363" s="321">
        <f t="shared" si="25"/>
        <v>0</v>
      </c>
      <c r="R363" s="321">
        <f t="shared" si="25"/>
        <v>60</v>
      </c>
      <c r="S363" s="321">
        <f t="shared" si="25"/>
        <v>0</v>
      </c>
      <c r="T363" s="321">
        <f t="shared" si="25"/>
        <v>0</v>
      </c>
      <c r="U363" s="321">
        <f t="shared" si="25"/>
        <v>0</v>
      </c>
      <c r="V363" s="321"/>
      <c r="W363" s="321">
        <f t="shared" si="26"/>
        <v>25.8</v>
      </c>
      <c r="X363" s="321">
        <f t="shared" si="26"/>
        <v>1.4</v>
      </c>
      <c r="Y363" s="321">
        <f t="shared" si="26"/>
        <v>18</v>
      </c>
      <c r="Z363" s="321">
        <f t="shared" si="26"/>
        <v>6.4</v>
      </c>
      <c r="AA363" s="321">
        <f t="shared" si="26"/>
        <v>0</v>
      </c>
      <c r="AB363" s="321">
        <f t="shared" si="26"/>
        <v>60</v>
      </c>
      <c r="AC363" s="321">
        <f t="shared" si="26"/>
        <v>0</v>
      </c>
      <c r="AD363" s="321"/>
      <c r="AE363" s="321">
        <f t="shared" si="26"/>
        <v>12944226.253008412</v>
      </c>
      <c r="AF363" s="321">
        <f t="shared" si="26"/>
        <v>5413832.7382787513</v>
      </c>
      <c r="AG363" s="321">
        <f t="shared" si="26"/>
        <v>5979466.128651239</v>
      </c>
      <c r="AH363" s="321">
        <f t="shared" si="26"/>
        <v>4038275.8280515643</v>
      </c>
      <c r="AI363" s="321">
        <f t="shared" si="26"/>
        <v>28375800.947989967</v>
      </c>
      <c r="AJ363" s="321"/>
      <c r="AK363" s="321">
        <f t="shared" si="26"/>
        <v>7204093.2000000002</v>
      </c>
      <c r="AL363" s="321">
        <f t="shared" si="26"/>
        <v>1348925.7749999999</v>
      </c>
      <c r="AM363" s="321">
        <f t="shared" si="26"/>
        <v>4346509.6551724141</v>
      </c>
      <c r="AN363" s="321">
        <f t="shared" si="26"/>
        <v>3060081</v>
      </c>
      <c r="AO363" s="321">
        <f t="shared" si="26"/>
        <v>15959609.630172413</v>
      </c>
      <c r="AP363" s="321">
        <f t="shared" si="26"/>
        <v>12416191.317817554</v>
      </c>
    </row>
    <row r="364" spans="1:42" x14ac:dyDescent="0.25">
      <c r="A364" s="311">
        <v>2015983</v>
      </c>
      <c r="D364" s="311">
        <v>2015983</v>
      </c>
      <c r="E364" s="315" t="str">
        <f t="shared" si="19"/>
        <v>Středisko sociálních služeb Chlumec nad Cidlinou o.p.s.</v>
      </c>
      <c r="F364" s="315" t="str">
        <f t="shared" si="20"/>
        <v>Středisko sociálních služeb Chlumec nad Cidlinou o.p.s.</v>
      </c>
      <c r="G364" s="315" t="str">
        <f t="shared" si="21"/>
        <v>§ 45 - Centra denních služeb</v>
      </c>
      <c r="H364" s="315"/>
      <c r="I364" s="266" t="s">
        <v>1812</v>
      </c>
      <c r="J364" s="319"/>
      <c r="K364" s="266"/>
      <c r="L364" s="320"/>
      <c r="M364" s="321">
        <f t="shared" si="22"/>
        <v>2</v>
      </c>
      <c r="N364" s="321">
        <f t="shared" ref="N364:AC379" si="27">SUMIFS(N$4:N$318,$D$4:$D$318,$D364)</f>
        <v>0</v>
      </c>
      <c r="O364" s="321">
        <f t="shared" si="27"/>
        <v>2</v>
      </c>
      <c r="P364" s="321">
        <f t="shared" si="27"/>
        <v>0</v>
      </c>
      <c r="Q364" s="321">
        <f t="shared" si="27"/>
        <v>0</v>
      </c>
      <c r="R364" s="321">
        <f t="shared" si="27"/>
        <v>0</v>
      </c>
      <c r="S364" s="321">
        <f t="shared" si="27"/>
        <v>0</v>
      </c>
      <c r="T364" s="321">
        <f t="shared" si="27"/>
        <v>12</v>
      </c>
      <c r="U364" s="321">
        <f t="shared" si="27"/>
        <v>0</v>
      </c>
      <c r="V364" s="321"/>
      <c r="W364" s="321">
        <f t="shared" si="27"/>
        <v>2</v>
      </c>
      <c r="X364" s="321">
        <f t="shared" si="27"/>
        <v>0</v>
      </c>
      <c r="Y364" s="321">
        <f t="shared" si="27"/>
        <v>2</v>
      </c>
      <c r="Z364" s="321">
        <f t="shared" si="27"/>
        <v>0</v>
      </c>
      <c r="AA364" s="321">
        <f t="shared" si="27"/>
        <v>0</v>
      </c>
      <c r="AB364" s="321">
        <f t="shared" si="27"/>
        <v>0</v>
      </c>
      <c r="AC364" s="321">
        <f t="shared" si="27"/>
        <v>12</v>
      </c>
      <c r="AD364" s="321"/>
      <c r="AE364" s="321">
        <f t="shared" si="26"/>
        <v>1194644.195527405</v>
      </c>
      <c r="AF364" s="321">
        <f t="shared" si="26"/>
        <v>0</v>
      </c>
      <c r="AG364" s="321">
        <f t="shared" si="26"/>
        <v>229589.28673785139</v>
      </c>
      <c r="AH364" s="321">
        <f t="shared" si="26"/>
        <v>6581.3017955130781</v>
      </c>
      <c r="AI364" s="321">
        <f t="shared" si="26"/>
        <v>1430814.7840607695</v>
      </c>
      <c r="AJ364" s="321"/>
      <c r="AK364" s="321">
        <f t="shared" si="26"/>
        <v>227202</v>
      </c>
      <c r="AL364" s="321">
        <f t="shared" si="26"/>
        <v>0</v>
      </c>
      <c r="AM364" s="321">
        <f t="shared" si="26"/>
        <v>0</v>
      </c>
      <c r="AN364" s="321">
        <f t="shared" si="26"/>
        <v>0</v>
      </c>
      <c r="AO364" s="321">
        <f t="shared" si="26"/>
        <v>227202</v>
      </c>
      <c r="AP364" s="321">
        <f t="shared" si="26"/>
        <v>1203612.7840607695</v>
      </c>
    </row>
    <row r="365" spans="1:42" x14ac:dyDescent="0.25">
      <c r="A365" s="311">
        <v>2028356</v>
      </c>
      <c r="D365" s="311">
        <v>2028356</v>
      </c>
      <c r="E365" s="315" t="str">
        <f t="shared" si="19"/>
        <v>Charitní pečovatelská služba Červený Kostelec</v>
      </c>
      <c r="F365" s="315" t="str">
        <f t="shared" si="20"/>
        <v>Oblastní charita Červený Kostelec</v>
      </c>
      <c r="G365" s="315" t="str">
        <f t="shared" si="21"/>
        <v>§ 40 - Pečovatelská služba</v>
      </c>
      <c r="H365" s="315"/>
      <c r="I365" s="266" t="s">
        <v>1812</v>
      </c>
      <c r="J365" s="319"/>
      <c r="K365" s="266"/>
      <c r="L365" s="320"/>
      <c r="M365" s="321">
        <f t="shared" si="22"/>
        <v>10.25</v>
      </c>
      <c r="N365" s="321">
        <f t="shared" si="27"/>
        <v>0.9</v>
      </c>
      <c r="O365" s="321">
        <f t="shared" si="27"/>
        <v>9.35</v>
      </c>
      <c r="P365" s="321">
        <f t="shared" si="27"/>
        <v>0</v>
      </c>
      <c r="Q365" s="321">
        <f t="shared" si="27"/>
        <v>0</v>
      </c>
      <c r="R365" s="321">
        <f t="shared" si="27"/>
        <v>0</v>
      </c>
      <c r="S365" s="321">
        <f t="shared" si="27"/>
        <v>200</v>
      </c>
      <c r="T365" s="321">
        <f t="shared" si="27"/>
        <v>0</v>
      </c>
      <c r="U365" s="321">
        <f t="shared" si="27"/>
        <v>0</v>
      </c>
      <c r="V365" s="321"/>
      <c r="W365" s="321">
        <f t="shared" si="26"/>
        <v>10.25</v>
      </c>
      <c r="X365" s="321">
        <f t="shared" si="26"/>
        <v>0.9</v>
      </c>
      <c r="Y365" s="321">
        <f t="shared" si="26"/>
        <v>9.35</v>
      </c>
      <c r="Z365" s="321">
        <f t="shared" si="26"/>
        <v>0</v>
      </c>
      <c r="AA365" s="321">
        <f t="shared" si="26"/>
        <v>0</v>
      </c>
      <c r="AB365" s="321">
        <f t="shared" si="26"/>
        <v>0</v>
      </c>
      <c r="AC365" s="321">
        <f t="shared" si="26"/>
        <v>0</v>
      </c>
      <c r="AD365" s="321"/>
      <c r="AE365" s="321">
        <f t="shared" si="26"/>
        <v>5918294.8876599446</v>
      </c>
      <c r="AF365" s="321">
        <f t="shared" si="26"/>
        <v>0</v>
      </c>
      <c r="AG365" s="321">
        <f t="shared" si="26"/>
        <v>441300.68604852248</v>
      </c>
      <c r="AH365" s="321">
        <f t="shared" si="26"/>
        <v>0</v>
      </c>
      <c r="AI365" s="321">
        <f t="shared" si="26"/>
        <v>6359595.5737084672</v>
      </c>
      <c r="AJ365" s="321"/>
      <c r="AK365" s="321">
        <f t="shared" si="26"/>
        <v>1297361.45</v>
      </c>
      <c r="AL365" s="321">
        <f t="shared" si="26"/>
        <v>0</v>
      </c>
      <c r="AM365" s="321">
        <f t="shared" si="26"/>
        <v>0</v>
      </c>
      <c r="AN365" s="321">
        <f t="shared" si="26"/>
        <v>0</v>
      </c>
      <c r="AO365" s="321">
        <f t="shared" si="26"/>
        <v>1297361.45</v>
      </c>
      <c r="AP365" s="321">
        <f t="shared" si="26"/>
        <v>5062234.123708467</v>
      </c>
    </row>
    <row r="366" spans="1:42" x14ac:dyDescent="0.25">
      <c r="A366" s="311">
        <v>2039109</v>
      </c>
      <c r="D366" s="311">
        <v>2039109</v>
      </c>
      <c r="E366" s="315" t="str">
        <f t="shared" si="19"/>
        <v>Centrum Orion</v>
      </c>
      <c r="F366" s="315" t="str">
        <f t="shared" si="20"/>
        <v>Centrum Orion, z. s.</v>
      </c>
      <c r="G366" s="315" t="str">
        <f t="shared" si="21"/>
        <v>§ 39 - Osobní asistence</v>
      </c>
      <c r="H366" s="315"/>
      <c r="I366" s="266" t="s">
        <v>1812</v>
      </c>
      <c r="J366" s="319"/>
      <c r="K366" s="266"/>
      <c r="L366" s="320"/>
      <c r="M366" s="321">
        <f t="shared" si="22"/>
        <v>9</v>
      </c>
      <c r="N366" s="321">
        <f t="shared" si="27"/>
        <v>1</v>
      </c>
      <c r="O366" s="321">
        <f t="shared" si="27"/>
        <v>8</v>
      </c>
      <c r="P366" s="321">
        <f t="shared" si="27"/>
        <v>0</v>
      </c>
      <c r="Q366" s="321">
        <f t="shared" si="27"/>
        <v>0</v>
      </c>
      <c r="R366" s="321">
        <f t="shared" si="27"/>
        <v>0</v>
      </c>
      <c r="S366" s="321">
        <f t="shared" si="27"/>
        <v>55</v>
      </c>
      <c r="T366" s="321">
        <f t="shared" si="27"/>
        <v>0</v>
      </c>
      <c r="U366" s="321">
        <f t="shared" si="27"/>
        <v>0</v>
      </c>
      <c r="V366" s="321"/>
      <c r="W366" s="321">
        <f t="shared" si="26"/>
        <v>9</v>
      </c>
      <c r="X366" s="321">
        <f t="shared" si="26"/>
        <v>1</v>
      </c>
      <c r="Y366" s="321">
        <f t="shared" si="26"/>
        <v>8</v>
      </c>
      <c r="Z366" s="321">
        <f t="shared" si="26"/>
        <v>0</v>
      </c>
      <c r="AA366" s="321">
        <f t="shared" si="26"/>
        <v>0</v>
      </c>
      <c r="AB366" s="321">
        <f t="shared" si="26"/>
        <v>0</v>
      </c>
      <c r="AC366" s="321">
        <f t="shared" si="26"/>
        <v>0</v>
      </c>
      <c r="AD366" s="321"/>
      <c r="AE366" s="321">
        <f t="shared" si="26"/>
        <v>4805584.1214817055</v>
      </c>
      <c r="AF366" s="321">
        <f t="shared" si="26"/>
        <v>0</v>
      </c>
      <c r="AG366" s="321">
        <f t="shared" si="26"/>
        <v>178441.84125946701</v>
      </c>
      <c r="AH366" s="321">
        <f t="shared" si="26"/>
        <v>0</v>
      </c>
      <c r="AI366" s="321">
        <f t="shared" si="26"/>
        <v>4984025.9627411719</v>
      </c>
      <c r="AJ366" s="321"/>
      <c r="AK366" s="321">
        <f t="shared" si="26"/>
        <v>999750.72384540644</v>
      </c>
      <c r="AL366" s="321">
        <f t="shared" si="26"/>
        <v>0</v>
      </c>
      <c r="AM366" s="321">
        <f t="shared" si="26"/>
        <v>0</v>
      </c>
      <c r="AN366" s="321">
        <f t="shared" si="26"/>
        <v>0</v>
      </c>
      <c r="AO366" s="321">
        <f t="shared" si="26"/>
        <v>999750.72384540644</v>
      </c>
      <c r="AP366" s="321">
        <f t="shared" si="26"/>
        <v>3984275.238895766</v>
      </c>
    </row>
    <row r="367" spans="1:42" x14ac:dyDescent="0.25">
      <c r="A367" s="311">
        <v>2089762</v>
      </c>
      <c r="D367" s="311">
        <v>2089762</v>
      </c>
      <c r="E367" s="315" t="str">
        <f t="shared" si="19"/>
        <v>Ústav sociální péče pro mládež Kvasiny</v>
      </c>
      <c r="F367" s="315" t="str">
        <f t="shared" si="20"/>
        <v>Ústav sociální péče pro mládež Kvasiny</v>
      </c>
      <c r="G367" s="315" t="str">
        <f t="shared" si="21"/>
        <v>§ 48 - Domovy pro osoby se zdravotním postižením</v>
      </c>
      <c r="H367" s="315"/>
      <c r="I367" s="266" t="s">
        <v>1812</v>
      </c>
      <c r="J367" s="319"/>
      <c r="K367" s="266"/>
      <c r="L367" s="320"/>
      <c r="M367" s="321">
        <f t="shared" si="22"/>
        <v>49</v>
      </c>
      <c r="N367" s="321">
        <f t="shared" si="27"/>
        <v>2</v>
      </c>
      <c r="O367" s="321">
        <f t="shared" si="27"/>
        <v>40</v>
      </c>
      <c r="P367" s="321">
        <f t="shared" si="27"/>
        <v>7</v>
      </c>
      <c r="Q367" s="321">
        <f t="shared" si="27"/>
        <v>0</v>
      </c>
      <c r="R367" s="321">
        <f t="shared" si="27"/>
        <v>65</v>
      </c>
      <c r="S367" s="321">
        <f t="shared" si="27"/>
        <v>0</v>
      </c>
      <c r="T367" s="321">
        <f t="shared" si="27"/>
        <v>0</v>
      </c>
      <c r="U367" s="321">
        <f t="shared" si="27"/>
        <v>0</v>
      </c>
      <c r="V367" s="321"/>
      <c r="W367" s="321">
        <f t="shared" si="26"/>
        <v>49</v>
      </c>
      <c r="X367" s="321">
        <f t="shared" si="26"/>
        <v>2</v>
      </c>
      <c r="Y367" s="321">
        <f t="shared" si="26"/>
        <v>40</v>
      </c>
      <c r="Z367" s="321">
        <f t="shared" si="26"/>
        <v>7</v>
      </c>
      <c r="AA367" s="321">
        <f t="shared" si="26"/>
        <v>0</v>
      </c>
      <c r="AB367" s="321">
        <f t="shared" si="26"/>
        <v>65</v>
      </c>
      <c r="AC367" s="321">
        <f t="shared" si="26"/>
        <v>0</v>
      </c>
      <c r="AD367" s="321"/>
      <c r="AE367" s="321">
        <f t="shared" si="26"/>
        <v>28098188.650408264</v>
      </c>
      <c r="AF367" s="321">
        <f t="shared" si="26"/>
        <v>5944438.2001067363</v>
      </c>
      <c r="AG367" s="321">
        <f t="shared" si="26"/>
        <v>6837437.1958616562</v>
      </c>
      <c r="AH367" s="321">
        <f t="shared" si="26"/>
        <v>4391779.7630533567</v>
      </c>
      <c r="AI367" s="321">
        <f t="shared" si="26"/>
        <v>45271843.809430018</v>
      </c>
      <c r="AJ367" s="321"/>
      <c r="AK367" s="321">
        <f t="shared" si="26"/>
        <v>6897823.1323529417</v>
      </c>
      <c r="AL367" s="321">
        <f t="shared" si="26"/>
        <v>1712732.1568627451</v>
      </c>
      <c r="AM367" s="321">
        <f t="shared" si="26"/>
        <v>3109292.1052631582</v>
      </c>
      <c r="AN367" s="321">
        <f t="shared" si="26"/>
        <v>2942527.25</v>
      </c>
      <c r="AO367" s="321">
        <f t="shared" si="26"/>
        <v>14662374.644478846</v>
      </c>
      <c r="AP367" s="321">
        <f t="shared" si="26"/>
        <v>30609469.164951172</v>
      </c>
    </row>
    <row r="368" spans="1:42" x14ac:dyDescent="0.25">
      <c r="A368" s="311">
        <v>2093343</v>
      </c>
      <c r="D368" s="311">
        <v>2093343</v>
      </c>
      <c r="E368" s="315" t="str">
        <f t="shared" si="19"/>
        <v>Základní a odborné poradenství pro zrakově postižené</v>
      </c>
      <c r="F368" s="315" t="str">
        <f t="shared" si="20"/>
        <v>TyfloCentrum Hradec Králové, o. p. s.</v>
      </c>
      <c r="G368" s="315" t="str">
        <f t="shared" si="21"/>
        <v>§ 37 - Odborné sociální poradenství</v>
      </c>
      <c r="H368" s="315"/>
      <c r="I368" s="266" t="s">
        <v>1812</v>
      </c>
      <c r="J368" s="319"/>
      <c r="K368" s="266"/>
      <c r="L368" s="320"/>
      <c r="M368" s="321">
        <f t="shared" si="22"/>
        <v>1.1499999999999999</v>
      </c>
      <c r="N368" s="321">
        <f t="shared" si="27"/>
        <v>1.1499999999999999</v>
      </c>
      <c r="O368" s="321">
        <f t="shared" si="27"/>
        <v>0</v>
      </c>
      <c r="P368" s="321">
        <f t="shared" si="27"/>
        <v>0</v>
      </c>
      <c r="Q368" s="321">
        <f t="shared" si="27"/>
        <v>0</v>
      </c>
      <c r="R368" s="321">
        <f t="shared" si="27"/>
        <v>0</v>
      </c>
      <c r="S368" s="321">
        <f t="shared" si="27"/>
        <v>4</v>
      </c>
      <c r="T368" s="321">
        <f t="shared" si="27"/>
        <v>0</v>
      </c>
      <c r="U368" s="321">
        <f t="shared" si="27"/>
        <v>0</v>
      </c>
      <c r="V368" s="321"/>
      <c r="W368" s="321">
        <f t="shared" si="26"/>
        <v>1.1499999999999999</v>
      </c>
      <c r="X368" s="321">
        <f t="shared" si="26"/>
        <v>1.1499999999999999</v>
      </c>
      <c r="Y368" s="321">
        <f t="shared" si="26"/>
        <v>0</v>
      </c>
      <c r="Z368" s="321">
        <f t="shared" si="26"/>
        <v>0</v>
      </c>
      <c r="AA368" s="321">
        <f t="shared" si="26"/>
        <v>0</v>
      </c>
      <c r="AB368" s="321">
        <f t="shared" si="26"/>
        <v>0</v>
      </c>
      <c r="AC368" s="321">
        <f t="shared" si="26"/>
        <v>0</v>
      </c>
      <c r="AD368" s="321"/>
      <c r="AE368" s="321">
        <f t="shared" si="26"/>
        <v>799700.75933872873</v>
      </c>
      <c r="AF368" s="321">
        <f t="shared" si="26"/>
        <v>0</v>
      </c>
      <c r="AG368" s="321">
        <f t="shared" si="26"/>
        <v>54488.778056147996</v>
      </c>
      <c r="AH368" s="321">
        <f t="shared" si="26"/>
        <v>0</v>
      </c>
      <c r="AI368" s="321">
        <f t="shared" si="26"/>
        <v>854189.53739487671</v>
      </c>
      <c r="AJ368" s="321"/>
      <c r="AK368" s="321">
        <f t="shared" si="26"/>
        <v>0</v>
      </c>
      <c r="AL368" s="321">
        <f t="shared" si="26"/>
        <v>0</v>
      </c>
      <c r="AM368" s="321">
        <f t="shared" si="26"/>
        <v>0</v>
      </c>
      <c r="AN368" s="321">
        <f t="shared" si="26"/>
        <v>0</v>
      </c>
      <c r="AO368" s="321">
        <f t="shared" si="26"/>
        <v>0</v>
      </c>
      <c r="AP368" s="321">
        <f t="shared" si="26"/>
        <v>854189.53739487671</v>
      </c>
    </row>
    <row r="369" spans="1:42" x14ac:dyDescent="0.25">
      <c r="A369" s="311">
        <v>2125600</v>
      </c>
      <c r="D369" s="311">
        <v>2125600</v>
      </c>
      <c r="E369" s="315" t="str">
        <f t="shared" si="19"/>
        <v>Domov důchodců ChD - Zdislava</v>
      </c>
      <c r="F369" s="315" t="str">
        <f t="shared" si="20"/>
        <v>Domov důchodců ChD - Zdislava</v>
      </c>
      <c r="G369" s="315" t="str">
        <f t="shared" si="21"/>
        <v>§ 49 - Domovy pro seniory</v>
      </c>
      <c r="H369" s="315"/>
      <c r="I369" s="266" t="s">
        <v>1812</v>
      </c>
      <c r="J369" s="319"/>
      <c r="K369" s="266"/>
      <c r="L369" s="320"/>
      <c r="M369" s="321">
        <f t="shared" si="22"/>
        <v>27.5</v>
      </c>
      <c r="N369" s="321">
        <f t="shared" si="27"/>
        <v>2</v>
      </c>
      <c r="O369" s="321">
        <f t="shared" si="27"/>
        <v>18.5</v>
      </c>
      <c r="P369" s="321">
        <f t="shared" si="27"/>
        <v>7</v>
      </c>
      <c r="Q369" s="321">
        <f t="shared" si="27"/>
        <v>0</v>
      </c>
      <c r="R369" s="321">
        <f t="shared" si="27"/>
        <v>54</v>
      </c>
      <c r="S369" s="321">
        <f t="shared" si="27"/>
        <v>0</v>
      </c>
      <c r="T369" s="321">
        <f t="shared" si="27"/>
        <v>0</v>
      </c>
      <c r="U369" s="321">
        <f t="shared" si="27"/>
        <v>0</v>
      </c>
      <c r="V369" s="321"/>
      <c r="W369" s="321">
        <f t="shared" si="26"/>
        <v>27.5</v>
      </c>
      <c r="X369" s="321">
        <f t="shared" si="26"/>
        <v>2</v>
      </c>
      <c r="Y369" s="321">
        <f t="shared" si="26"/>
        <v>18.5</v>
      </c>
      <c r="Z369" s="321">
        <f t="shared" si="26"/>
        <v>7</v>
      </c>
      <c r="AA369" s="321">
        <f t="shared" si="26"/>
        <v>0</v>
      </c>
      <c r="AB369" s="321">
        <f t="shared" si="26"/>
        <v>54</v>
      </c>
      <c r="AC369" s="321">
        <f t="shared" si="26"/>
        <v>0</v>
      </c>
      <c r="AD369" s="321"/>
      <c r="AE369" s="321">
        <f t="shared" si="26"/>
        <v>13971598.035642829</v>
      </c>
      <c r="AF369" s="321">
        <f t="shared" si="26"/>
        <v>5936634.1117923986</v>
      </c>
      <c r="AG369" s="321">
        <f t="shared" si="26"/>
        <v>5470896.5670239711</v>
      </c>
      <c r="AH369" s="321">
        <f t="shared" si="26"/>
        <v>3835087.409334721</v>
      </c>
      <c r="AI369" s="321">
        <f t="shared" si="26"/>
        <v>29214216.123793915</v>
      </c>
      <c r="AJ369" s="321"/>
      <c r="AK369" s="321">
        <f t="shared" si="26"/>
        <v>6062606.1984166251</v>
      </c>
      <c r="AL369" s="321">
        <f t="shared" si="26"/>
        <v>1579222.9130434783</v>
      </c>
      <c r="AM369" s="321">
        <f t="shared" si="26"/>
        <v>4153883.8297872338</v>
      </c>
      <c r="AN369" s="321">
        <f t="shared" si="26"/>
        <v>2747361.3998161764</v>
      </c>
      <c r="AO369" s="321">
        <f t="shared" si="26"/>
        <v>14543074.341063512</v>
      </c>
      <c r="AP369" s="321">
        <f t="shared" si="26"/>
        <v>14671141.782730402</v>
      </c>
    </row>
    <row r="370" spans="1:42" x14ac:dyDescent="0.25">
      <c r="A370" s="311">
        <v>2174839</v>
      </c>
      <c r="D370" s="311">
        <v>2174839</v>
      </c>
      <c r="E370" s="315" t="str">
        <f t="shared" si="19"/>
        <v>NZDM KLÍDEK</v>
      </c>
      <c r="F370" s="315" t="str">
        <f t="shared" si="20"/>
        <v>PROSTOR PRO, o.p.s.</v>
      </c>
      <c r="G370" s="315" t="str">
        <f t="shared" si="21"/>
        <v>§ 62 - Nízkoprahová zařízení pro děti a mládež</v>
      </c>
      <c r="H370" s="315"/>
      <c r="I370" s="266" t="s">
        <v>1812</v>
      </c>
      <c r="J370" s="319"/>
      <c r="K370" s="266"/>
      <c r="L370" s="320"/>
      <c r="M370" s="321">
        <f t="shared" si="22"/>
        <v>6</v>
      </c>
      <c r="N370" s="321">
        <f t="shared" si="27"/>
        <v>6</v>
      </c>
      <c r="O370" s="321">
        <f t="shared" si="27"/>
        <v>0</v>
      </c>
      <c r="P370" s="321">
        <f t="shared" si="27"/>
        <v>0</v>
      </c>
      <c r="Q370" s="321">
        <f t="shared" si="27"/>
        <v>0</v>
      </c>
      <c r="R370" s="321">
        <f t="shared" si="27"/>
        <v>0</v>
      </c>
      <c r="S370" s="321">
        <f t="shared" si="27"/>
        <v>0</v>
      </c>
      <c r="T370" s="321">
        <f t="shared" si="27"/>
        <v>70</v>
      </c>
      <c r="U370" s="321">
        <f t="shared" si="27"/>
        <v>0</v>
      </c>
      <c r="V370" s="321"/>
      <c r="W370" s="321">
        <f t="shared" si="26"/>
        <v>6</v>
      </c>
      <c r="X370" s="321">
        <f t="shared" si="26"/>
        <v>6</v>
      </c>
      <c r="Y370" s="321">
        <f t="shared" si="26"/>
        <v>0</v>
      </c>
      <c r="Z370" s="321">
        <f t="shared" si="26"/>
        <v>0</v>
      </c>
      <c r="AA370" s="321">
        <f t="shared" si="26"/>
        <v>0</v>
      </c>
      <c r="AB370" s="321">
        <f t="shared" si="26"/>
        <v>0</v>
      </c>
      <c r="AC370" s="321">
        <f t="shared" si="26"/>
        <v>70</v>
      </c>
      <c r="AD370" s="321"/>
      <c r="AE370" s="321">
        <f t="shared" si="26"/>
        <v>3604868.124886116</v>
      </c>
      <c r="AF370" s="321">
        <f t="shared" si="26"/>
        <v>0</v>
      </c>
      <c r="AG370" s="321">
        <f t="shared" si="26"/>
        <v>339705.43757291406</v>
      </c>
      <c r="AH370" s="321">
        <f t="shared" si="26"/>
        <v>0</v>
      </c>
      <c r="AI370" s="321">
        <f t="shared" si="26"/>
        <v>3944573.5624590302</v>
      </c>
      <c r="AJ370" s="321"/>
      <c r="AK370" s="321">
        <f t="shared" si="26"/>
        <v>0</v>
      </c>
      <c r="AL370" s="321">
        <f t="shared" si="26"/>
        <v>0</v>
      </c>
      <c r="AM370" s="321">
        <f t="shared" si="26"/>
        <v>0</v>
      </c>
      <c r="AN370" s="321">
        <f t="shared" si="26"/>
        <v>0</v>
      </c>
      <c r="AO370" s="321">
        <f t="shared" si="26"/>
        <v>0</v>
      </c>
      <c r="AP370" s="321">
        <f t="shared" si="26"/>
        <v>3944573.5624590302</v>
      </c>
    </row>
    <row r="371" spans="1:42" x14ac:dyDescent="0.25">
      <c r="A371" s="311">
        <v>2189349</v>
      </c>
      <c r="D371" s="311">
        <v>2189349</v>
      </c>
      <c r="E371" s="315" t="str">
        <f t="shared" si="19"/>
        <v>Obecný zájem, z.ú.</v>
      </c>
      <c r="F371" s="315" t="str">
        <f t="shared" si="20"/>
        <v>Obecný zájem, z.ú.</v>
      </c>
      <c r="G371" s="315" t="str">
        <f t="shared" si="21"/>
        <v>§ 44 - Odlehčovací služby</v>
      </c>
      <c r="H371" s="315"/>
      <c r="I371" s="266" t="s">
        <v>1812</v>
      </c>
      <c r="J371" s="319"/>
      <c r="K371" s="266"/>
      <c r="L371" s="320"/>
      <c r="M371" s="321">
        <f t="shared" si="22"/>
        <v>2.4</v>
      </c>
      <c r="N371" s="321">
        <f t="shared" si="27"/>
        <v>0.25</v>
      </c>
      <c r="O371" s="321">
        <f t="shared" si="27"/>
        <v>2.15</v>
      </c>
      <c r="P371" s="321">
        <f t="shared" si="27"/>
        <v>0</v>
      </c>
      <c r="Q371" s="321">
        <f t="shared" si="27"/>
        <v>0</v>
      </c>
      <c r="R371" s="321">
        <f t="shared" si="27"/>
        <v>0</v>
      </c>
      <c r="S371" s="321">
        <f t="shared" si="27"/>
        <v>0</v>
      </c>
      <c r="T371" s="321">
        <f t="shared" si="27"/>
        <v>2</v>
      </c>
      <c r="U371" s="321">
        <f t="shared" si="27"/>
        <v>0</v>
      </c>
      <c r="V371" s="321"/>
      <c r="W371" s="321">
        <f t="shared" si="26"/>
        <v>2.4</v>
      </c>
      <c r="X371" s="321">
        <f t="shared" si="26"/>
        <v>0.25</v>
      </c>
      <c r="Y371" s="321">
        <f t="shared" si="26"/>
        <v>2.15</v>
      </c>
      <c r="Z371" s="321">
        <f t="shared" si="26"/>
        <v>0</v>
      </c>
      <c r="AA371" s="321">
        <f t="shared" si="26"/>
        <v>0</v>
      </c>
      <c r="AB371" s="321">
        <f t="shared" si="26"/>
        <v>0</v>
      </c>
      <c r="AC371" s="321">
        <f t="shared" si="26"/>
        <v>2</v>
      </c>
      <c r="AD371" s="321"/>
      <c r="AE371" s="321">
        <f t="shared" si="26"/>
        <v>1416162.3533424151</v>
      </c>
      <c r="AF371" s="321">
        <f t="shared" si="26"/>
        <v>0</v>
      </c>
      <c r="AG371" s="321">
        <f t="shared" si="26"/>
        <v>0</v>
      </c>
      <c r="AH371" s="321">
        <f t="shared" si="26"/>
        <v>0</v>
      </c>
      <c r="AI371" s="321">
        <f t="shared" si="26"/>
        <v>1416162.3533424151</v>
      </c>
      <c r="AJ371" s="321"/>
      <c r="AK371" s="321">
        <f t="shared" si="26"/>
        <v>273867.6907416227</v>
      </c>
      <c r="AL371" s="321">
        <f t="shared" si="26"/>
        <v>0</v>
      </c>
      <c r="AM371" s="321">
        <f t="shared" si="26"/>
        <v>0</v>
      </c>
      <c r="AN371" s="321">
        <f t="shared" si="26"/>
        <v>0</v>
      </c>
      <c r="AO371" s="321">
        <f t="shared" si="26"/>
        <v>273867.6907416227</v>
      </c>
      <c r="AP371" s="321">
        <f t="shared" si="26"/>
        <v>1142294.6626007925</v>
      </c>
    </row>
    <row r="372" spans="1:42" x14ac:dyDescent="0.25">
      <c r="A372" s="311">
        <v>2315315</v>
      </c>
      <c r="D372" s="311">
        <v>2315315</v>
      </c>
      <c r="E372" s="315" t="str">
        <f t="shared" si="19"/>
        <v>Nízkoprahový klub EXIT</v>
      </c>
      <c r="F372" s="315" t="str">
        <f t="shared" si="20"/>
        <v>Oblastní charita Jičín</v>
      </c>
      <c r="G372" s="315" t="str">
        <f t="shared" si="21"/>
        <v>§ 62 - Nízkoprahová zařízení pro děti a mládež</v>
      </c>
      <c r="H372" s="315"/>
      <c r="I372" s="266" t="s">
        <v>1812</v>
      </c>
      <c r="J372" s="319"/>
      <c r="K372" s="266"/>
      <c r="L372" s="320"/>
      <c r="M372" s="321">
        <f t="shared" si="22"/>
        <v>2</v>
      </c>
      <c r="N372" s="321">
        <f t="shared" si="27"/>
        <v>2</v>
      </c>
      <c r="O372" s="321">
        <f t="shared" si="27"/>
        <v>0</v>
      </c>
      <c r="P372" s="321">
        <f t="shared" si="27"/>
        <v>0</v>
      </c>
      <c r="Q372" s="321">
        <f t="shared" si="27"/>
        <v>0</v>
      </c>
      <c r="R372" s="321">
        <f t="shared" si="27"/>
        <v>0</v>
      </c>
      <c r="S372" s="321">
        <f t="shared" si="27"/>
        <v>0</v>
      </c>
      <c r="T372" s="321">
        <f t="shared" si="27"/>
        <v>20</v>
      </c>
      <c r="U372" s="321">
        <f t="shared" si="27"/>
        <v>0</v>
      </c>
      <c r="V372" s="321"/>
      <c r="W372" s="321">
        <f t="shared" si="26"/>
        <v>2</v>
      </c>
      <c r="X372" s="321">
        <f t="shared" si="26"/>
        <v>2</v>
      </c>
      <c r="Y372" s="321">
        <f t="shared" si="26"/>
        <v>0</v>
      </c>
      <c r="Z372" s="321">
        <f t="shared" si="26"/>
        <v>0</v>
      </c>
      <c r="AA372" s="321">
        <f t="shared" si="26"/>
        <v>0</v>
      </c>
      <c r="AB372" s="321">
        <f t="shared" si="26"/>
        <v>0</v>
      </c>
      <c r="AC372" s="321">
        <f t="shared" si="26"/>
        <v>20</v>
      </c>
      <c r="AD372" s="321"/>
      <c r="AE372" s="321">
        <f t="shared" si="26"/>
        <v>1201622.7082953721</v>
      </c>
      <c r="AF372" s="321">
        <f t="shared" si="26"/>
        <v>0</v>
      </c>
      <c r="AG372" s="321">
        <f t="shared" ref="W372:AP384" si="28">SUMIFS(AG$4:AG$318,$D$4:$D$318,$D372)</f>
        <v>113235.14585763802</v>
      </c>
      <c r="AH372" s="321">
        <f t="shared" si="28"/>
        <v>0</v>
      </c>
      <c r="AI372" s="321">
        <f t="shared" si="28"/>
        <v>1314857.8541530101</v>
      </c>
      <c r="AJ372" s="321"/>
      <c r="AK372" s="321">
        <f t="shared" si="28"/>
        <v>0</v>
      </c>
      <c r="AL372" s="321">
        <f t="shared" si="28"/>
        <v>0</v>
      </c>
      <c r="AM372" s="321">
        <f t="shared" si="28"/>
        <v>0</v>
      </c>
      <c r="AN372" s="321">
        <f t="shared" si="28"/>
        <v>0</v>
      </c>
      <c r="AO372" s="321">
        <f t="shared" si="28"/>
        <v>0</v>
      </c>
      <c r="AP372" s="321">
        <f t="shared" si="28"/>
        <v>1314857.8541530101</v>
      </c>
    </row>
    <row r="373" spans="1:42" x14ac:dyDescent="0.25">
      <c r="A373" s="311">
        <v>2333254</v>
      </c>
      <c r="D373" s="311">
        <v>2333254</v>
      </c>
      <c r="E373" s="315" t="str">
        <f t="shared" si="19"/>
        <v>Denní stacionář Klokan</v>
      </c>
      <c r="F373" s="315" t="str">
        <f t="shared" si="20"/>
        <v>Denní stacionář Klokan o. p. s.</v>
      </c>
      <c r="G373" s="315" t="str">
        <f t="shared" si="21"/>
        <v>§ 46 - Denní stacionáře</v>
      </c>
      <c r="H373" s="315"/>
      <c r="I373" s="266" t="s">
        <v>1812</v>
      </c>
      <c r="J373" s="319"/>
      <c r="K373" s="266"/>
      <c r="L373" s="320"/>
      <c r="M373" s="321">
        <f t="shared" si="22"/>
        <v>3.01</v>
      </c>
      <c r="N373" s="321">
        <f t="shared" si="27"/>
        <v>1</v>
      </c>
      <c r="O373" s="321">
        <f t="shared" si="27"/>
        <v>2</v>
      </c>
      <c r="P373" s="321">
        <f t="shared" si="27"/>
        <v>0</v>
      </c>
      <c r="Q373" s="321">
        <f t="shared" si="27"/>
        <v>0.01</v>
      </c>
      <c r="R373" s="321">
        <f t="shared" si="27"/>
        <v>0</v>
      </c>
      <c r="S373" s="321">
        <f t="shared" si="27"/>
        <v>0</v>
      </c>
      <c r="T373" s="321">
        <f t="shared" si="27"/>
        <v>8</v>
      </c>
      <c r="U373" s="321">
        <f t="shared" si="27"/>
        <v>0</v>
      </c>
      <c r="V373" s="321"/>
      <c r="W373" s="321">
        <f t="shared" si="28"/>
        <v>3.01</v>
      </c>
      <c r="X373" s="321">
        <f t="shared" si="28"/>
        <v>1</v>
      </c>
      <c r="Y373" s="321">
        <f t="shared" si="28"/>
        <v>2</v>
      </c>
      <c r="Z373" s="321">
        <f t="shared" si="28"/>
        <v>0</v>
      </c>
      <c r="AA373" s="321">
        <f t="shared" si="28"/>
        <v>0.01</v>
      </c>
      <c r="AB373" s="321">
        <f t="shared" si="28"/>
        <v>0</v>
      </c>
      <c r="AC373" s="321">
        <f t="shared" si="28"/>
        <v>8</v>
      </c>
      <c r="AD373" s="321"/>
      <c r="AE373" s="321">
        <f t="shared" si="28"/>
        <v>2238769.7733654249</v>
      </c>
      <c r="AF373" s="321">
        <f t="shared" si="28"/>
        <v>0</v>
      </c>
      <c r="AG373" s="321">
        <f t="shared" si="28"/>
        <v>223250.02869047294</v>
      </c>
      <c r="AH373" s="321">
        <f t="shared" si="28"/>
        <v>43815.608415508141</v>
      </c>
      <c r="AI373" s="321">
        <f t="shared" si="28"/>
        <v>2505835.4104714063</v>
      </c>
      <c r="AJ373" s="321"/>
      <c r="AK373" s="321">
        <f t="shared" si="28"/>
        <v>271135.86274509801</v>
      </c>
      <c r="AL373" s="321">
        <f t="shared" si="28"/>
        <v>0</v>
      </c>
      <c r="AM373" s="321">
        <f t="shared" si="28"/>
        <v>0</v>
      </c>
      <c r="AN373" s="321">
        <f t="shared" si="28"/>
        <v>43618.461538461539</v>
      </c>
      <c r="AO373" s="321">
        <f t="shared" si="28"/>
        <v>314754.32428355957</v>
      </c>
      <c r="AP373" s="321">
        <f t="shared" si="28"/>
        <v>2191081.086187847</v>
      </c>
    </row>
    <row r="374" spans="1:42" x14ac:dyDescent="0.25">
      <c r="A374" s="311">
        <v>2390992</v>
      </c>
      <c r="D374" s="311">
        <v>2390992</v>
      </c>
      <c r="E374" s="315" t="str">
        <f t="shared" si="19"/>
        <v>Horizont</v>
      </c>
      <c r="F374" s="315" t="str">
        <f t="shared" si="20"/>
        <v>Misericordia, o.p.s.</v>
      </c>
      <c r="G374" s="315" t="str">
        <f t="shared" si="21"/>
        <v>§ 70 - Sociální rehabilitace</v>
      </c>
      <c r="H374" s="315"/>
      <c r="I374" s="266" t="s">
        <v>1812</v>
      </c>
      <c r="J374" s="319"/>
      <c r="K374" s="266"/>
      <c r="L374" s="320"/>
      <c r="M374" s="321">
        <f t="shared" si="22"/>
        <v>1.75</v>
      </c>
      <c r="N374" s="321">
        <f t="shared" si="27"/>
        <v>1</v>
      </c>
      <c r="O374" s="321">
        <f t="shared" si="27"/>
        <v>0.75</v>
      </c>
      <c r="P374" s="321">
        <f t="shared" si="27"/>
        <v>0</v>
      </c>
      <c r="Q374" s="321">
        <f t="shared" si="27"/>
        <v>0</v>
      </c>
      <c r="R374" s="321">
        <f t="shared" si="27"/>
        <v>0</v>
      </c>
      <c r="S374" s="321">
        <f t="shared" si="27"/>
        <v>12</v>
      </c>
      <c r="T374" s="321">
        <f t="shared" si="27"/>
        <v>0</v>
      </c>
      <c r="U374" s="321">
        <f t="shared" si="27"/>
        <v>0</v>
      </c>
      <c r="V374" s="321"/>
      <c r="W374" s="321">
        <f t="shared" si="28"/>
        <v>1.75</v>
      </c>
      <c r="X374" s="321">
        <f t="shared" si="28"/>
        <v>1</v>
      </c>
      <c r="Y374" s="321">
        <f t="shared" si="28"/>
        <v>0.75</v>
      </c>
      <c r="Z374" s="321">
        <f t="shared" si="28"/>
        <v>0</v>
      </c>
      <c r="AA374" s="321">
        <f t="shared" si="28"/>
        <v>0</v>
      </c>
      <c r="AB374" s="321">
        <f t="shared" si="28"/>
        <v>0</v>
      </c>
      <c r="AC374" s="321">
        <f t="shared" si="28"/>
        <v>0</v>
      </c>
      <c r="AD374" s="321"/>
      <c r="AE374" s="321">
        <f t="shared" si="28"/>
        <v>1228663.8491631167</v>
      </c>
      <c r="AF374" s="321">
        <f t="shared" si="28"/>
        <v>0</v>
      </c>
      <c r="AG374" s="321">
        <f t="shared" si="28"/>
        <v>76668.962734591187</v>
      </c>
      <c r="AH374" s="321">
        <f t="shared" si="28"/>
        <v>0</v>
      </c>
      <c r="AI374" s="321">
        <f t="shared" si="28"/>
        <v>1305332.8118977079</v>
      </c>
      <c r="AJ374" s="321"/>
      <c r="AK374" s="321">
        <f t="shared" si="28"/>
        <v>0</v>
      </c>
      <c r="AL374" s="321">
        <f t="shared" si="28"/>
        <v>0</v>
      </c>
      <c r="AM374" s="321">
        <f t="shared" si="28"/>
        <v>0</v>
      </c>
      <c r="AN374" s="321">
        <f t="shared" si="28"/>
        <v>0</v>
      </c>
      <c r="AO374" s="321">
        <f t="shared" si="28"/>
        <v>0</v>
      </c>
      <c r="AP374" s="321">
        <f t="shared" si="28"/>
        <v>1305332.8118977079</v>
      </c>
    </row>
    <row r="375" spans="1:42" x14ac:dyDescent="0.25">
      <c r="A375" s="311">
        <v>2392006</v>
      </c>
      <c r="D375" s="311">
        <v>2392006</v>
      </c>
      <c r="E375" s="315" t="str">
        <f t="shared" si="19"/>
        <v>Osobní asistence</v>
      </c>
      <c r="F375" s="315" t="str">
        <f t="shared" si="20"/>
        <v>Farní charita Dvůr Králové nad Labem</v>
      </c>
      <c r="G375" s="315" t="str">
        <f t="shared" si="21"/>
        <v>§ 39 - Osobní asistence</v>
      </c>
      <c r="H375" s="315"/>
      <c r="I375" s="266" t="s">
        <v>1812</v>
      </c>
      <c r="J375" s="319"/>
      <c r="K375" s="266"/>
      <c r="L375" s="320"/>
      <c r="M375" s="321">
        <f t="shared" si="22"/>
        <v>4.7</v>
      </c>
      <c r="N375" s="321">
        <f t="shared" si="27"/>
        <v>0.75</v>
      </c>
      <c r="O375" s="321">
        <f t="shared" si="27"/>
        <v>3.95</v>
      </c>
      <c r="P375" s="321">
        <f t="shared" si="27"/>
        <v>0</v>
      </c>
      <c r="Q375" s="321">
        <f t="shared" si="27"/>
        <v>0</v>
      </c>
      <c r="R375" s="321">
        <f t="shared" si="27"/>
        <v>0</v>
      </c>
      <c r="S375" s="321">
        <f t="shared" si="27"/>
        <v>13</v>
      </c>
      <c r="T375" s="321">
        <f t="shared" si="27"/>
        <v>0</v>
      </c>
      <c r="U375" s="321">
        <f t="shared" si="27"/>
        <v>0</v>
      </c>
      <c r="V375" s="321"/>
      <c r="W375" s="321">
        <f t="shared" si="28"/>
        <v>4.7</v>
      </c>
      <c r="X375" s="321">
        <f t="shared" si="28"/>
        <v>0.75</v>
      </c>
      <c r="Y375" s="321">
        <f t="shared" si="28"/>
        <v>3.95</v>
      </c>
      <c r="Z375" s="321">
        <f t="shared" si="28"/>
        <v>0</v>
      </c>
      <c r="AA375" s="321">
        <f t="shared" si="28"/>
        <v>0</v>
      </c>
      <c r="AB375" s="321">
        <f t="shared" si="28"/>
        <v>0</v>
      </c>
      <c r="AC375" s="321">
        <f t="shared" si="28"/>
        <v>0</v>
      </c>
      <c r="AD375" s="321"/>
      <c r="AE375" s="321">
        <f t="shared" si="28"/>
        <v>2509582.8189960015</v>
      </c>
      <c r="AF375" s="321">
        <f t="shared" si="28"/>
        <v>0</v>
      </c>
      <c r="AG375" s="321">
        <f t="shared" si="28"/>
        <v>93186.294879943904</v>
      </c>
      <c r="AH375" s="321">
        <f t="shared" si="28"/>
        <v>0</v>
      </c>
      <c r="AI375" s="321">
        <f t="shared" si="28"/>
        <v>2602769.1138759456</v>
      </c>
      <c r="AJ375" s="321"/>
      <c r="AK375" s="321">
        <f t="shared" si="28"/>
        <v>493626.91989866947</v>
      </c>
      <c r="AL375" s="321">
        <f t="shared" si="28"/>
        <v>0</v>
      </c>
      <c r="AM375" s="321">
        <f t="shared" si="28"/>
        <v>0</v>
      </c>
      <c r="AN375" s="321">
        <f t="shared" si="28"/>
        <v>0</v>
      </c>
      <c r="AO375" s="321">
        <f t="shared" si="28"/>
        <v>493626.91989866947</v>
      </c>
      <c r="AP375" s="321">
        <f t="shared" si="28"/>
        <v>2109142.1939772759</v>
      </c>
    </row>
    <row r="376" spans="1:42" x14ac:dyDescent="0.25">
      <c r="A376" s="311">
        <v>2495303</v>
      </c>
      <c r="D376" s="311">
        <v>2495303</v>
      </c>
      <c r="E376" s="315" t="str">
        <f t="shared" si="19"/>
        <v>Věra Kosinová - Daneta, zařízení pro zdravotně postižené</v>
      </c>
      <c r="F376" s="315" t="str">
        <f t="shared" si="20"/>
        <v>Věra Kosinová - Daneta, zařízení pro zdravotně postižené</v>
      </c>
      <c r="G376" s="315" t="str">
        <f t="shared" si="21"/>
        <v>§ 39 - Osobní asistence</v>
      </c>
      <c r="H376" s="315"/>
      <c r="I376" s="266" t="s">
        <v>1812</v>
      </c>
      <c r="J376" s="319"/>
      <c r="K376" s="266"/>
      <c r="L376" s="320"/>
      <c r="M376" s="321">
        <f t="shared" si="22"/>
        <v>8.59</v>
      </c>
      <c r="N376" s="321">
        <f t="shared" si="27"/>
        <v>0.4</v>
      </c>
      <c r="O376" s="321">
        <f t="shared" si="27"/>
        <v>8.19</v>
      </c>
      <c r="P376" s="321">
        <f t="shared" si="27"/>
        <v>0</v>
      </c>
      <c r="Q376" s="321">
        <f t="shared" si="27"/>
        <v>0</v>
      </c>
      <c r="R376" s="321">
        <f t="shared" si="27"/>
        <v>0</v>
      </c>
      <c r="S376" s="321">
        <f t="shared" si="27"/>
        <v>65</v>
      </c>
      <c r="T376" s="321">
        <f t="shared" si="27"/>
        <v>0</v>
      </c>
      <c r="U376" s="321">
        <f t="shared" si="27"/>
        <v>0</v>
      </c>
      <c r="V376" s="321"/>
      <c r="W376" s="321">
        <f t="shared" si="28"/>
        <v>8.59</v>
      </c>
      <c r="X376" s="321">
        <f t="shared" si="28"/>
        <v>0.4</v>
      </c>
      <c r="Y376" s="321">
        <f t="shared" si="28"/>
        <v>8.19</v>
      </c>
      <c r="Z376" s="321">
        <f t="shared" si="28"/>
        <v>0</v>
      </c>
      <c r="AA376" s="321">
        <f t="shared" si="28"/>
        <v>0</v>
      </c>
      <c r="AB376" s="321">
        <f t="shared" si="28"/>
        <v>0</v>
      </c>
      <c r="AC376" s="321">
        <f t="shared" si="28"/>
        <v>0</v>
      </c>
      <c r="AD376" s="321"/>
      <c r="AE376" s="321">
        <f t="shared" si="28"/>
        <v>4586663.0670586498</v>
      </c>
      <c r="AF376" s="321">
        <f t="shared" si="28"/>
        <v>0</v>
      </c>
      <c r="AG376" s="321">
        <f t="shared" si="28"/>
        <v>170312.82404653577</v>
      </c>
      <c r="AH376" s="321">
        <f t="shared" si="28"/>
        <v>0</v>
      </c>
      <c r="AI376" s="321">
        <f t="shared" si="28"/>
        <v>4756975.8911051853</v>
      </c>
      <c r="AJ376" s="321"/>
      <c r="AK376" s="321">
        <f t="shared" si="28"/>
        <v>1023494.8035367348</v>
      </c>
      <c r="AL376" s="321">
        <f t="shared" si="28"/>
        <v>0</v>
      </c>
      <c r="AM376" s="321">
        <f t="shared" si="28"/>
        <v>0</v>
      </c>
      <c r="AN376" s="321">
        <f t="shared" si="28"/>
        <v>0</v>
      </c>
      <c r="AO376" s="321">
        <f t="shared" si="28"/>
        <v>1023494.8035367348</v>
      </c>
      <c r="AP376" s="321">
        <f t="shared" si="28"/>
        <v>3733481.0875684507</v>
      </c>
    </row>
    <row r="377" spans="1:42" x14ac:dyDescent="0.25">
      <c r="A377" s="311">
        <v>2499134</v>
      </c>
      <c r="D377" s="311">
        <v>2499134</v>
      </c>
      <c r="E377" s="315" t="str">
        <f t="shared" si="19"/>
        <v>Stacionář sv. Františka</v>
      </c>
      <c r="F377" s="315" t="str">
        <f t="shared" si="20"/>
        <v>Farní charita Rychnov nad Kněžnou</v>
      </c>
      <c r="G377" s="315" t="str">
        <f t="shared" si="21"/>
        <v>§ 47 - Týdenní stacionáře</v>
      </c>
      <c r="H377" s="315"/>
      <c r="I377" s="266" t="s">
        <v>1812</v>
      </c>
      <c r="J377" s="319"/>
      <c r="K377" s="266"/>
      <c r="L377" s="320"/>
      <c r="M377" s="321">
        <f t="shared" si="22"/>
        <v>4.55</v>
      </c>
      <c r="N377" s="321">
        <f t="shared" si="27"/>
        <v>0.2</v>
      </c>
      <c r="O377" s="321">
        <f t="shared" si="27"/>
        <v>2</v>
      </c>
      <c r="P377" s="321">
        <f t="shared" si="27"/>
        <v>1.55</v>
      </c>
      <c r="Q377" s="321">
        <f t="shared" si="27"/>
        <v>0.8</v>
      </c>
      <c r="R377" s="321">
        <f t="shared" si="27"/>
        <v>9</v>
      </c>
      <c r="S377" s="321">
        <f t="shared" si="27"/>
        <v>0</v>
      </c>
      <c r="T377" s="321">
        <f t="shared" si="27"/>
        <v>0</v>
      </c>
      <c r="U377" s="321">
        <f t="shared" si="27"/>
        <v>0</v>
      </c>
      <c r="V377" s="321"/>
      <c r="W377" s="321">
        <f t="shared" si="28"/>
        <v>4.55</v>
      </c>
      <c r="X377" s="321">
        <f t="shared" si="28"/>
        <v>0.2</v>
      </c>
      <c r="Y377" s="321">
        <f t="shared" si="28"/>
        <v>2</v>
      </c>
      <c r="Z377" s="321">
        <f t="shared" si="28"/>
        <v>1.55</v>
      </c>
      <c r="AA377" s="321">
        <f t="shared" si="28"/>
        <v>0.8</v>
      </c>
      <c r="AB377" s="321">
        <f t="shared" si="28"/>
        <v>9</v>
      </c>
      <c r="AC377" s="321">
        <f t="shared" si="28"/>
        <v>0</v>
      </c>
      <c r="AD377" s="321"/>
      <c r="AE377" s="321">
        <f t="shared" si="28"/>
        <v>2749704.2868752903</v>
      </c>
      <c r="AF377" s="321">
        <f t="shared" si="28"/>
        <v>1165177.803796771</v>
      </c>
      <c r="AG377" s="321">
        <f t="shared" si="28"/>
        <v>755004.08042554231</v>
      </c>
      <c r="AH377" s="321">
        <f t="shared" si="28"/>
        <v>322002.60685724026</v>
      </c>
      <c r="AI377" s="321">
        <f t="shared" si="28"/>
        <v>4991888.7779548438</v>
      </c>
      <c r="AJ377" s="321"/>
      <c r="AK377" s="321">
        <f t="shared" si="28"/>
        <v>588986</v>
      </c>
      <c r="AL377" s="321">
        <f t="shared" si="28"/>
        <v>0</v>
      </c>
      <c r="AM377" s="321">
        <f t="shared" si="28"/>
        <v>277020</v>
      </c>
      <c r="AN377" s="321">
        <f t="shared" si="28"/>
        <v>233260</v>
      </c>
      <c r="AO377" s="321">
        <f t="shared" si="28"/>
        <v>1099266</v>
      </c>
      <c r="AP377" s="321">
        <f t="shared" si="28"/>
        <v>3892622.7779548438</v>
      </c>
    </row>
    <row r="378" spans="1:42" x14ac:dyDescent="0.25">
      <c r="A378" s="311">
        <v>2506443</v>
      </c>
      <c r="D378" s="311">
        <v>2506443</v>
      </c>
      <c r="E378" s="315" t="str">
        <f t="shared" si="19"/>
        <v>Centrum denních služeb</v>
      </c>
      <c r="F378" s="315" t="str">
        <f t="shared" si="20"/>
        <v>Městské středisko sociálních služeb Oáza</v>
      </c>
      <c r="G378" s="315" t="str">
        <f t="shared" si="21"/>
        <v>§ 45 - Centra denních služeb</v>
      </c>
      <c r="H378" s="315"/>
      <c r="I378" s="266" t="s">
        <v>1812</v>
      </c>
      <c r="J378" s="319"/>
      <c r="K378" s="266"/>
      <c r="L378" s="320"/>
      <c r="M378" s="321">
        <f t="shared" si="22"/>
        <v>2.41</v>
      </c>
      <c r="N378" s="321">
        <f t="shared" si="27"/>
        <v>0.35</v>
      </c>
      <c r="O378" s="321">
        <f t="shared" si="27"/>
        <v>2</v>
      </c>
      <c r="P378" s="321">
        <f t="shared" si="27"/>
        <v>0.06</v>
      </c>
      <c r="Q378" s="321">
        <f t="shared" si="27"/>
        <v>0</v>
      </c>
      <c r="R378" s="321">
        <f t="shared" si="27"/>
        <v>0</v>
      </c>
      <c r="S378" s="321">
        <f t="shared" si="27"/>
        <v>0</v>
      </c>
      <c r="T378" s="321">
        <f t="shared" si="27"/>
        <v>15</v>
      </c>
      <c r="U378" s="321">
        <f t="shared" si="27"/>
        <v>0</v>
      </c>
      <c r="V378" s="321"/>
      <c r="W378" s="321">
        <f t="shared" si="28"/>
        <v>2.41</v>
      </c>
      <c r="X378" s="321">
        <f t="shared" si="28"/>
        <v>0.35</v>
      </c>
      <c r="Y378" s="321">
        <f t="shared" si="28"/>
        <v>2</v>
      </c>
      <c r="Z378" s="321">
        <f t="shared" si="28"/>
        <v>0.06</v>
      </c>
      <c r="AA378" s="321">
        <f t="shared" si="28"/>
        <v>0</v>
      </c>
      <c r="AB378" s="321">
        <f t="shared" si="28"/>
        <v>0</v>
      </c>
      <c r="AC378" s="321">
        <f t="shared" si="28"/>
        <v>15</v>
      </c>
      <c r="AD378" s="321"/>
      <c r="AE378" s="321">
        <f t="shared" si="28"/>
        <v>1439546.255610523</v>
      </c>
      <c r="AF378" s="321">
        <f t="shared" si="28"/>
        <v>0</v>
      </c>
      <c r="AG378" s="321">
        <f t="shared" si="28"/>
        <v>286986.60842231422</v>
      </c>
      <c r="AH378" s="321">
        <f t="shared" si="28"/>
        <v>8226.6272443913476</v>
      </c>
      <c r="AI378" s="321">
        <f t="shared" si="28"/>
        <v>1734759.4912772286</v>
      </c>
      <c r="AJ378" s="321"/>
      <c r="AK378" s="321">
        <f t="shared" si="28"/>
        <v>234018.06</v>
      </c>
      <c r="AL378" s="321">
        <f t="shared" si="28"/>
        <v>0</v>
      </c>
      <c r="AM378" s="321">
        <f t="shared" si="28"/>
        <v>0</v>
      </c>
      <c r="AN378" s="321">
        <f t="shared" si="28"/>
        <v>0</v>
      </c>
      <c r="AO378" s="321">
        <f t="shared" si="28"/>
        <v>234018.06</v>
      </c>
      <c r="AP378" s="321">
        <f t="shared" si="28"/>
        <v>1500741.4312772285</v>
      </c>
    </row>
    <row r="379" spans="1:42" x14ac:dyDescent="0.25">
      <c r="A379" s="311">
        <v>2514714</v>
      </c>
      <c r="D379" s="311">
        <v>2514714</v>
      </c>
      <c r="E379" s="315" t="str">
        <f t="shared" si="19"/>
        <v>Dům Žofie</v>
      </c>
      <c r="F379" s="315" t="str">
        <f t="shared" si="20"/>
        <v>Pečovatelská služba Města Dvůr Králové nad Labem</v>
      </c>
      <c r="G379" s="315" t="str">
        <f t="shared" si="21"/>
        <v>§ 57 - Azylové domy</v>
      </c>
      <c r="H379" s="315"/>
      <c r="I379" s="266" t="s">
        <v>1812</v>
      </c>
      <c r="J379" s="319"/>
      <c r="K379" s="266"/>
      <c r="L379" s="320"/>
      <c r="M379" s="321">
        <f t="shared" si="22"/>
        <v>2.5</v>
      </c>
      <c r="N379" s="321">
        <f t="shared" si="27"/>
        <v>1</v>
      </c>
      <c r="O379" s="321">
        <f t="shared" si="27"/>
        <v>1.5</v>
      </c>
      <c r="P379" s="321">
        <f t="shared" si="27"/>
        <v>0</v>
      </c>
      <c r="Q379" s="321">
        <f t="shared" si="27"/>
        <v>0</v>
      </c>
      <c r="R379" s="321">
        <f t="shared" si="27"/>
        <v>11</v>
      </c>
      <c r="S379" s="321">
        <f t="shared" si="27"/>
        <v>0</v>
      </c>
      <c r="T379" s="321">
        <f t="shared" si="27"/>
        <v>0</v>
      </c>
      <c r="U379" s="321">
        <f t="shared" si="27"/>
        <v>0</v>
      </c>
      <c r="V379" s="321"/>
      <c r="W379" s="321">
        <f t="shared" si="28"/>
        <v>2.5</v>
      </c>
      <c r="X379" s="321">
        <f t="shared" si="28"/>
        <v>1</v>
      </c>
      <c r="Y379" s="321">
        <f t="shared" si="28"/>
        <v>1.5</v>
      </c>
      <c r="Z379" s="321">
        <f t="shared" si="28"/>
        <v>0</v>
      </c>
      <c r="AA379" s="321">
        <f t="shared" si="28"/>
        <v>0</v>
      </c>
      <c r="AB379" s="321">
        <f t="shared" si="28"/>
        <v>11</v>
      </c>
      <c r="AC379" s="321">
        <f t="shared" si="28"/>
        <v>0</v>
      </c>
      <c r="AD379" s="321"/>
      <c r="AE379" s="321">
        <f t="shared" si="28"/>
        <v>1620311.168356556</v>
      </c>
      <c r="AF379" s="321">
        <f t="shared" si="28"/>
        <v>0</v>
      </c>
      <c r="AG379" s="321">
        <f t="shared" si="28"/>
        <v>293831.0484912105</v>
      </c>
      <c r="AH379" s="321">
        <f t="shared" si="28"/>
        <v>0</v>
      </c>
      <c r="AI379" s="321">
        <f t="shared" si="28"/>
        <v>1914142.2168477664</v>
      </c>
      <c r="AJ379" s="321"/>
      <c r="AK379" s="321">
        <f t="shared" si="28"/>
        <v>0</v>
      </c>
      <c r="AL379" s="321">
        <f t="shared" si="28"/>
        <v>0</v>
      </c>
      <c r="AM379" s="321">
        <f t="shared" si="28"/>
        <v>250086.28333333335</v>
      </c>
      <c r="AN379" s="321">
        <f t="shared" si="28"/>
        <v>0</v>
      </c>
      <c r="AO379" s="321">
        <f t="shared" si="28"/>
        <v>250086.28333333335</v>
      </c>
      <c r="AP379" s="321">
        <f t="shared" si="28"/>
        <v>1664055.933514433</v>
      </c>
    </row>
    <row r="380" spans="1:42" x14ac:dyDescent="0.25">
      <c r="A380" s="311">
        <v>2540162</v>
      </c>
      <c r="D380" s="311">
        <v>2540162</v>
      </c>
      <c r="E380" s="315" t="str">
        <f t="shared" si="19"/>
        <v>Mgr. Zuzana Luňáková, Agentura domácí péče</v>
      </c>
      <c r="F380" s="315" t="str">
        <f t="shared" si="20"/>
        <v>Mgr. Zuzana Luňáková, Agentura domácí péče</v>
      </c>
      <c r="G380" s="315" t="str">
        <f t="shared" si="21"/>
        <v>§ 40 - Pečovatelská služba</v>
      </c>
      <c r="H380" s="315"/>
      <c r="I380" s="266" t="s">
        <v>1812</v>
      </c>
      <c r="J380" s="319"/>
      <c r="K380" s="266"/>
      <c r="L380" s="320"/>
      <c r="M380" s="321">
        <f t="shared" si="22"/>
        <v>5.6</v>
      </c>
      <c r="N380" s="321">
        <f t="shared" ref="N380:AC388" si="29">SUMIFS(N$4:N$318,$D$4:$D$318,$D380)</f>
        <v>1</v>
      </c>
      <c r="O380" s="321">
        <f t="shared" si="29"/>
        <v>4.6000000000000005</v>
      </c>
      <c r="P380" s="321">
        <f t="shared" si="29"/>
        <v>0</v>
      </c>
      <c r="Q380" s="321">
        <f t="shared" si="29"/>
        <v>0</v>
      </c>
      <c r="R380" s="321">
        <f t="shared" si="29"/>
        <v>0</v>
      </c>
      <c r="S380" s="321">
        <f t="shared" si="29"/>
        <v>260</v>
      </c>
      <c r="T380" s="321">
        <f t="shared" si="29"/>
        <v>0</v>
      </c>
      <c r="U380" s="321">
        <f t="shared" si="29"/>
        <v>0</v>
      </c>
      <c r="V380" s="321"/>
      <c r="W380" s="321">
        <f t="shared" si="29"/>
        <v>5.6</v>
      </c>
      <c r="X380" s="321">
        <f t="shared" si="29"/>
        <v>1</v>
      </c>
      <c r="Y380" s="321">
        <f t="shared" si="29"/>
        <v>4.6000000000000005</v>
      </c>
      <c r="Z380" s="321">
        <f t="shared" si="29"/>
        <v>0</v>
      </c>
      <c r="AA380" s="321">
        <f t="shared" si="29"/>
        <v>0</v>
      </c>
      <c r="AB380" s="321">
        <f t="shared" si="29"/>
        <v>0</v>
      </c>
      <c r="AC380" s="321">
        <f t="shared" si="29"/>
        <v>0</v>
      </c>
      <c r="AD380" s="321"/>
      <c r="AE380" s="321">
        <f t="shared" si="28"/>
        <v>3233409.8898434816</v>
      </c>
      <c r="AF380" s="321">
        <f t="shared" si="28"/>
        <v>0</v>
      </c>
      <c r="AG380" s="321">
        <f t="shared" si="28"/>
        <v>241100.86262163182</v>
      </c>
      <c r="AH380" s="321">
        <f t="shared" si="28"/>
        <v>0</v>
      </c>
      <c r="AI380" s="321">
        <f t="shared" si="28"/>
        <v>3474510.7524651131</v>
      </c>
      <c r="AJ380" s="321"/>
      <c r="AK380" s="321">
        <f t="shared" si="28"/>
        <v>638274.08235294116</v>
      </c>
      <c r="AL380" s="321">
        <f t="shared" si="28"/>
        <v>0</v>
      </c>
      <c r="AM380" s="321">
        <f t="shared" si="28"/>
        <v>0</v>
      </c>
      <c r="AN380" s="321">
        <f t="shared" si="28"/>
        <v>0</v>
      </c>
      <c r="AO380" s="321">
        <f t="shared" si="28"/>
        <v>638274.08235294116</v>
      </c>
      <c r="AP380" s="321">
        <f t="shared" si="28"/>
        <v>2836236.6701121721</v>
      </c>
    </row>
    <row r="381" spans="1:42" x14ac:dyDescent="0.25">
      <c r="A381" s="311">
        <v>2583952</v>
      </c>
      <c r="D381" s="311">
        <v>2583952</v>
      </c>
      <c r="E381" s="315" t="str">
        <f t="shared" si="19"/>
        <v>Sociální poradna Centra domácí hospicové péče</v>
      </c>
      <c r="F381" s="315" t="str">
        <f t="shared" si="20"/>
        <v>Domácí hospic Duha, o. p. s.</v>
      </c>
      <c r="G381" s="315" t="str">
        <f t="shared" si="21"/>
        <v>§ 37 - Odborné sociální poradenství</v>
      </c>
      <c r="H381" s="315"/>
      <c r="I381" s="266" t="s">
        <v>1812</v>
      </c>
      <c r="J381" s="319"/>
      <c r="K381" s="266"/>
      <c r="L381" s="320"/>
      <c r="M381" s="321">
        <f t="shared" si="22"/>
        <v>2.1</v>
      </c>
      <c r="N381" s="321">
        <f t="shared" si="29"/>
        <v>2.1</v>
      </c>
      <c r="O381" s="321">
        <f t="shared" si="29"/>
        <v>0</v>
      </c>
      <c r="P381" s="321">
        <f t="shared" si="29"/>
        <v>0</v>
      </c>
      <c r="Q381" s="321">
        <f t="shared" si="29"/>
        <v>0</v>
      </c>
      <c r="R381" s="321">
        <f t="shared" si="29"/>
        <v>0</v>
      </c>
      <c r="S381" s="321">
        <f t="shared" si="29"/>
        <v>18</v>
      </c>
      <c r="T381" s="321">
        <f t="shared" si="29"/>
        <v>0</v>
      </c>
      <c r="U381" s="321">
        <f t="shared" si="29"/>
        <v>0</v>
      </c>
      <c r="V381" s="321"/>
      <c r="W381" s="321">
        <f t="shared" si="28"/>
        <v>2.1</v>
      </c>
      <c r="X381" s="321">
        <f t="shared" si="28"/>
        <v>2.1</v>
      </c>
      <c r="Y381" s="321">
        <f t="shared" si="28"/>
        <v>0</v>
      </c>
      <c r="Z381" s="321">
        <f t="shared" si="28"/>
        <v>0</v>
      </c>
      <c r="AA381" s="321">
        <f t="shared" si="28"/>
        <v>0</v>
      </c>
      <c r="AB381" s="321">
        <f t="shared" si="28"/>
        <v>0</v>
      </c>
      <c r="AC381" s="321">
        <f t="shared" si="28"/>
        <v>0</v>
      </c>
      <c r="AD381" s="321"/>
      <c r="AE381" s="321">
        <f t="shared" si="28"/>
        <v>1460323.1257489831</v>
      </c>
      <c r="AF381" s="321">
        <f t="shared" si="28"/>
        <v>0</v>
      </c>
      <c r="AG381" s="321">
        <f t="shared" si="28"/>
        <v>99501.246885139815</v>
      </c>
      <c r="AH381" s="321">
        <f t="shared" si="28"/>
        <v>0</v>
      </c>
      <c r="AI381" s="321">
        <f t="shared" si="28"/>
        <v>1559824.3726341231</v>
      </c>
      <c r="AJ381" s="321"/>
      <c r="AK381" s="321">
        <f t="shared" si="28"/>
        <v>0</v>
      </c>
      <c r="AL381" s="321">
        <f t="shared" si="28"/>
        <v>0</v>
      </c>
      <c r="AM381" s="321">
        <f t="shared" si="28"/>
        <v>0</v>
      </c>
      <c r="AN381" s="321">
        <f t="shared" si="28"/>
        <v>0</v>
      </c>
      <c r="AO381" s="321">
        <f t="shared" si="28"/>
        <v>0</v>
      </c>
      <c r="AP381" s="321">
        <f t="shared" si="28"/>
        <v>1559824.3726341231</v>
      </c>
    </row>
    <row r="382" spans="1:42" x14ac:dyDescent="0.25">
      <c r="A382" s="311">
        <v>2749776</v>
      </c>
      <c r="D382" s="311">
        <v>2749776</v>
      </c>
      <c r="E382" s="315" t="str">
        <f t="shared" si="19"/>
        <v>Domov důchodců Malá Čermná</v>
      </c>
      <c r="F382" s="315" t="str">
        <f t="shared" si="20"/>
        <v>Domov důchodců Malá Čermná</v>
      </c>
      <c r="G382" s="315" t="str">
        <f t="shared" si="21"/>
        <v>§ 49 - Domovy pro seniory</v>
      </c>
      <c r="H382" s="315"/>
      <c r="I382" s="266" t="s">
        <v>1812</v>
      </c>
      <c r="J382" s="319"/>
      <c r="K382" s="266"/>
      <c r="L382" s="320"/>
      <c r="M382" s="321">
        <f t="shared" si="22"/>
        <v>20</v>
      </c>
      <c r="N382" s="321">
        <f t="shared" si="29"/>
        <v>1</v>
      </c>
      <c r="O382" s="321">
        <f t="shared" si="29"/>
        <v>11</v>
      </c>
      <c r="P382" s="321">
        <f t="shared" si="29"/>
        <v>8</v>
      </c>
      <c r="Q382" s="321">
        <f t="shared" si="29"/>
        <v>0</v>
      </c>
      <c r="R382" s="321">
        <f t="shared" si="29"/>
        <v>53</v>
      </c>
      <c r="S382" s="321">
        <f t="shared" si="29"/>
        <v>0</v>
      </c>
      <c r="T382" s="321">
        <f t="shared" si="29"/>
        <v>0</v>
      </c>
      <c r="U382" s="321">
        <f t="shared" si="29"/>
        <v>0</v>
      </c>
      <c r="V382" s="321"/>
      <c r="W382" s="321">
        <f t="shared" si="28"/>
        <v>20</v>
      </c>
      <c r="X382" s="321">
        <f t="shared" si="28"/>
        <v>1</v>
      </c>
      <c r="Y382" s="321">
        <f t="shared" si="28"/>
        <v>11</v>
      </c>
      <c r="Z382" s="321">
        <f t="shared" si="28"/>
        <v>8</v>
      </c>
      <c r="AA382" s="321">
        <f t="shared" si="28"/>
        <v>0</v>
      </c>
      <c r="AB382" s="321">
        <f t="shared" si="28"/>
        <v>53</v>
      </c>
      <c r="AC382" s="321">
        <f t="shared" si="28"/>
        <v>0</v>
      </c>
      <c r="AD382" s="321"/>
      <c r="AE382" s="321">
        <f t="shared" si="28"/>
        <v>8178496.4111079974</v>
      </c>
      <c r="AF382" s="321">
        <f t="shared" si="28"/>
        <v>6784724.6991913132</v>
      </c>
      <c r="AG382" s="321">
        <f t="shared" si="28"/>
        <v>5369583.667634638</v>
      </c>
      <c r="AH382" s="321">
        <f t="shared" si="28"/>
        <v>3764067.272124819</v>
      </c>
      <c r="AI382" s="321">
        <f t="shared" si="28"/>
        <v>24096872.050058767</v>
      </c>
      <c r="AJ382" s="321"/>
      <c r="AK382" s="321">
        <f t="shared" si="28"/>
        <v>5950335.7132607615</v>
      </c>
      <c r="AL382" s="321">
        <f t="shared" si="28"/>
        <v>1549978.0442834138</v>
      </c>
      <c r="AM382" s="321">
        <f t="shared" si="28"/>
        <v>4076960.0551615446</v>
      </c>
      <c r="AN382" s="321">
        <f t="shared" si="28"/>
        <v>2696484.3368566176</v>
      </c>
      <c r="AO382" s="321">
        <f t="shared" si="28"/>
        <v>14273758.149562337</v>
      </c>
      <c r="AP382" s="321">
        <f t="shared" si="28"/>
        <v>9823113.9004964307</v>
      </c>
    </row>
    <row r="383" spans="1:42" x14ac:dyDescent="0.25">
      <c r="A383" s="311">
        <v>2757263</v>
      </c>
      <c r="D383" s="311">
        <v>2757263</v>
      </c>
      <c r="E383" s="315" t="str">
        <f t="shared" si="19"/>
        <v>Dětské krizové centrum NOMIA</v>
      </c>
      <c r="F383" s="315" t="str">
        <f t="shared" si="20"/>
        <v>NOMIA, z.ú.</v>
      </c>
      <c r="G383" s="315" t="str">
        <f t="shared" si="21"/>
        <v xml:space="preserve">§ 60 - Krizová pomoc </v>
      </c>
      <c r="H383" s="315"/>
      <c r="I383" s="266" t="s">
        <v>1812</v>
      </c>
      <c r="J383" s="319"/>
      <c r="K383" s="266"/>
      <c r="L383" s="320"/>
      <c r="M383" s="321">
        <f t="shared" si="22"/>
        <v>1.35</v>
      </c>
      <c r="N383" s="321">
        <f t="shared" si="29"/>
        <v>0.3</v>
      </c>
      <c r="O383" s="321">
        <f t="shared" si="29"/>
        <v>0</v>
      </c>
      <c r="P383" s="321">
        <f t="shared" si="29"/>
        <v>0</v>
      </c>
      <c r="Q383" s="321">
        <f t="shared" si="29"/>
        <v>1.05</v>
      </c>
      <c r="R383" s="321">
        <f t="shared" si="29"/>
        <v>0</v>
      </c>
      <c r="S383" s="321">
        <f t="shared" si="29"/>
        <v>21</v>
      </c>
      <c r="T383" s="321">
        <f t="shared" si="29"/>
        <v>0</v>
      </c>
      <c r="U383" s="321">
        <f t="shared" si="29"/>
        <v>0</v>
      </c>
      <c r="V383" s="321"/>
      <c r="W383" s="321">
        <f t="shared" si="28"/>
        <v>1.35</v>
      </c>
      <c r="X383" s="321">
        <f t="shared" si="28"/>
        <v>0.3</v>
      </c>
      <c r="Y383" s="321">
        <f t="shared" si="28"/>
        <v>0</v>
      </c>
      <c r="Z383" s="321">
        <f t="shared" si="28"/>
        <v>0</v>
      </c>
      <c r="AA383" s="321">
        <f t="shared" si="28"/>
        <v>1.05</v>
      </c>
      <c r="AB383" s="321">
        <f t="shared" si="28"/>
        <v>0</v>
      </c>
      <c r="AC383" s="321">
        <f t="shared" si="28"/>
        <v>0</v>
      </c>
      <c r="AD383" s="321"/>
      <c r="AE383" s="321">
        <f t="shared" si="28"/>
        <v>1001276.5318256554</v>
      </c>
      <c r="AF383" s="321">
        <f t="shared" si="28"/>
        <v>0</v>
      </c>
      <c r="AG383" s="321">
        <f t="shared" si="28"/>
        <v>114477.84200743496</v>
      </c>
      <c r="AH383" s="321">
        <f t="shared" si="28"/>
        <v>0</v>
      </c>
      <c r="AI383" s="321">
        <f t="shared" si="28"/>
        <v>1115754.3738330903</v>
      </c>
      <c r="AJ383" s="321"/>
      <c r="AK383" s="321">
        <f t="shared" si="28"/>
        <v>0</v>
      </c>
      <c r="AL383" s="321">
        <f t="shared" si="28"/>
        <v>0</v>
      </c>
      <c r="AM383" s="321">
        <f t="shared" si="28"/>
        <v>0</v>
      </c>
      <c r="AN383" s="321">
        <f t="shared" si="28"/>
        <v>0</v>
      </c>
      <c r="AO383" s="321">
        <f t="shared" si="28"/>
        <v>0</v>
      </c>
      <c r="AP383" s="321">
        <f t="shared" si="28"/>
        <v>1115754.3738330903</v>
      </c>
    </row>
    <row r="384" spans="1:42" x14ac:dyDescent="0.25">
      <c r="A384" s="311">
        <v>2788586</v>
      </c>
      <c r="D384" s="311">
        <v>2788586</v>
      </c>
      <c r="E384" s="315" t="str">
        <f t="shared" si="19"/>
        <v>ZVONEK pro rodinu</v>
      </c>
      <c r="F384" s="315" t="str">
        <f t="shared" si="20"/>
        <v>Oblastní charita Trutnov</v>
      </c>
      <c r="G384" s="315" t="str">
        <f t="shared" si="21"/>
        <v>§ 65 - Sociálně aktivizační služby pro rodiny s dětmi</v>
      </c>
      <c r="H384" s="315"/>
      <c r="I384" s="266" t="s">
        <v>1812</v>
      </c>
      <c r="J384" s="319"/>
      <c r="K384" s="266"/>
      <c r="L384" s="320"/>
      <c r="M384" s="321">
        <f t="shared" si="22"/>
        <v>2.25</v>
      </c>
      <c r="N384" s="321">
        <f t="shared" si="29"/>
        <v>2.25</v>
      </c>
      <c r="O384" s="321">
        <f t="shared" si="29"/>
        <v>0</v>
      </c>
      <c r="P384" s="321">
        <f t="shared" si="29"/>
        <v>0</v>
      </c>
      <c r="Q384" s="321">
        <f t="shared" si="29"/>
        <v>0</v>
      </c>
      <c r="R384" s="321">
        <f t="shared" si="29"/>
        <v>0</v>
      </c>
      <c r="S384" s="321">
        <f t="shared" si="29"/>
        <v>23</v>
      </c>
      <c r="T384" s="321">
        <f t="shared" si="29"/>
        <v>3</v>
      </c>
      <c r="U384" s="321">
        <f t="shared" si="29"/>
        <v>0</v>
      </c>
      <c r="V384" s="321"/>
      <c r="W384" s="321">
        <f t="shared" si="28"/>
        <v>2.25</v>
      </c>
      <c r="X384" s="321">
        <f t="shared" si="28"/>
        <v>2.25</v>
      </c>
      <c r="Y384" s="321">
        <f t="shared" si="28"/>
        <v>0</v>
      </c>
      <c r="Z384" s="321">
        <f t="shared" si="28"/>
        <v>0</v>
      </c>
      <c r="AA384" s="321">
        <f t="shared" si="28"/>
        <v>0</v>
      </c>
      <c r="AB384" s="321">
        <f t="shared" si="28"/>
        <v>0</v>
      </c>
      <c r="AC384" s="321">
        <f t="shared" si="28"/>
        <v>3</v>
      </c>
      <c r="AD384" s="321"/>
      <c r="AE384" s="321">
        <f t="shared" si="28"/>
        <v>1516408.7082100562</v>
      </c>
      <c r="AF384" s="321">
        <f t="shared" si="28"/>
        <v>0</v>
      </c>
      <c r="AG384" s="321">
        <f t="shared" si="28"/>
        <v>101273.16430325186</v>
      </c>
      <c r="AH384" s="321">
        <f t="shared" si="28"/>
        <v>0</v>
      </c>
      <c r="AI384" s="321">
        <f t="shared" si="28"/>
        <v>1617681.872513308</v>
      </c>
      <c r="AJ384" s="321"/>
      <c r="AK384" s="321">
        <f t="shared" si="28"/>
        <v>0</v>
      </c>
      <c r="AL384" s="321">
        <f t="shared" si="28"/>
        <v>0</v>
      </c>
      <c r="AM384" s="321">
        <f t="shared" si="28"/>
        <v>0</v>
      </c>
      <c r="AN384" s="321">
        <f t="shared" si="28"/>
        <v>0</v>
      </c>
      <c r="AO384" s="321">
        <f t="shared" si="28"/>
        <v>0</v>
      </c>
      <c r="AP384" s="321">
        <f t="shared" si="28"/>
        <v>1617681.872513308</v>
      </c>
    </row>
    <row r="385" spans="1:42" x14ac:dyDescent="0.25">
      <c r="A385" s="311">
        <v>2801353</v>
      </c>
      <c r="D385" s="311">
        <v>2801353</v>
      </c>
      <c r="E385" s="315" t="str">
        <f t="shared" si="19"/>
        <v>Domov důchodců Police nad Metují</v>
      </c>
      <c r="F385" s="315" t="str">
        <f t="shared" si="20"/>
        <v>Domov důchodců Police nad Metují</v>
      </c>
      <c r="G385" s="315" t="str">
        <f t="shared" si="21"/>
        <v>§ 49 - Domovy pro seniory</v>
      </c>
      <c r="H385" s="315"/>
      <c r="I385" s="266" t="s">
        <v>1812</v>
      </c>
      <c r="J385" s="319"/>
      <c r="K385" s="266"/>
      <c r="L385" s="320"/>
      <c r="M385" s="321">
        <f t="shared" si="22"/>
        <v>36</v>
      </c>
      <c r="N385" s="321">
        <f t="shared" si="29"/>
        <v>2</v>
      </c>
      <c r="O385" s="321">
        <f t="shared" si="29"/>
        <v>24</v>
      </c>
      <c r="P385" s="321">
        <f t="shared" si="29"/>
        <v>10</v>
      </c>
      <c r="Q385" s="321">
        <f t="shared" si="29"/>
        <v>0</v>
      </c>
      <c r="R385" s="321">
        <f t="shared" si="29"/>
        <v>64</v>
      </c>
      <c r="S385" s="321">
        <f t="shared" si="29"/>
        <v>0</v>
      </c>
      <c r="T385" s="321">
        <f t="shared" si="29"/>
        <v>0</v>
      </c>
      <c r="U385" s="321">
        <f t="shared" si="29"/>
        <v>0</v>
      </c>
      <c r="V385" s="321"/>
      <c r="W385" s="321">
        <f t="shared" ref="W385:AP397" si="30">SUMIFS(W$4:W$318,$D$4:$D$318,$D385)</f>
        <v>36</v>
      </c>
      <c r="X385" s="321">
        <f t="shared" si="30"/>
        <v>2</v>
      </c>
      <c r="Y385" s="321">
        <f t="shared" si="30"/>
        <v>24</v>
      </c>
      <c r="Z385" s="321">
        <f t="shared" si="30"/>
        <v>10</v>
      </c>
      <c r="AA385" s="321">
        <f t="shared" si="30"/>
        <v>0</v>
      </c>
      <c r="AB385" s="321">
        <f t="shared" si="30"/>
        <v>64</v>
      </c>
      <c r="AC385" s="321">
        <f t="shared" si="30"/>
        <v>0</v>
      </c>
      <c r="AD385" s="321"/>
      <c r="AE385" s="321">
        <f t="shared" si="30"/>
        <v>17720075.557400662</v>
      </c>
      <c r="AF385" s="321">
        <f t="shared" si="30"/>
        <v>8480905.8739891425</v>
      </c>
      <c r="AG385" s="321">
        <f t="shared" si="30"/>
        <v>6484025.5609172992</v>
      </c>
      <c r="AH385" s="321">
        <f t="shared" si="30"/>
        <v>4545288.7814337434</v>
      </c>
      <c r="AI385" s="321">
        <f t="shared" si="30"/>
        <v>37230295.77374085</v>
      </c>
      <c r="AJ385" s="321"/>
      <c r="AK385" s="321">
        <f t="shared" si="30"/>
        <v>7185311.0499752592</v>
      </c>
      <c r="AL385" s="321">
        <f t="shared" si="30"/>
        <v>1871671.6006441223</v>
      </c>
      <c r="AM385" s="321">
        <f t="shared" si="30"/>
        <v>4923121.5760441292</v>
      </c>
      <c r="AN385" s="321">
        <f t="shared" si="30"/>
        <v>3256132.0294117648</v>
      </c>
      <c r="AO385" s="321">
        <f t="shared" si="30"/>
        <v>17236236.256075278</v>
      </c>
      <c r="AP385" s="321">
        <f t="shared" si="30"/>
        <v>19994059.517665572</v>
      </c>
    </row>
    <row r="386" spans="1:42" x14ac:dyDescent="0.25">
      <c r="A386" s="311">
        <v>2813024</v>
      </c>
      <c r="D386" s="311">
        <v>2813024</v>
      </c>
      <c r="E386" s="315" t="str">
        <f t="shared" si="19"/>
        <v>Dům Matky Terezy Hradec Králové</v>
      </c>
      <c r="F386" s="315" t="str">
        <f t="shared" si="20"/>
        <v>Oblastní charita Hradec Králové</v>
      </c>
      <c r="G386" s="315" t="str">
        <f t="shared" si="21"/>
        <v>§ 70 - Sociální rehabilitace</v>
      </c>
      <c r="H386" s="315"/>
      <c r="I386" s="266" t="s">
        <v>1812</v>
      </c>
      <c r="J386" s="319"/>
      <c r="K386" s="266"/>
      <c r="L386" s="320"/>
      <c r="M386" s="321">
        <f t="shared" si="22"/>
        <v>4.2</v>
      </c>
      <c r="N386" s="321">
        <f t="shared" si="29"/>
        <v>1</v>
      </c>
      <c r="O386" s="321">
        <f t="shared" si="29"/>
        <v>3.2</v>
      </c>
      <c r="P386" s="321">
        <f t="shared" si="29"/>
        <v>0</v>
      </c>
      <c r="Q386" s="321">
        <f t="shared" si="29"/>
        <v>0</v>
      </c>
      <c r="R386" s="321">
        <f t="shared" si="29"/>
        <v>0</v>
      </c>
      <c r="S386" s="321">
        <f t="shared" si="29"/>
        <v>30</v>
      </c>
      <c r="T386" s="321">
        <f t="shared" si="29"/>
        <v>0</v>
      </c>
      <c r="U386" s="321">
        <f t="shared" si="29"/>
        <v>0</v>
      </c>
      <c r="V386" s="321"/>
      <c r="W386" s="321">
        <f t="shared" si="30"/>
        <v>4.2</v>
      </c>
      <c r="X386" s="321">
        <f t="shared" si="30"/>
        <v>1</v>
      </c>
      <c r="Y386" s="321">
        <f t="shared" si="30"/>
        <v>3.2</v>
      </c>
      <c r="Z386" s="321">
        <f t="shared" si="30"/>
        <v>0</v>
      </c>
      <c r="AA386" s="321">
        <f t="shared" si="30"/>
        <v>0</v>
      </c>
      <c r="AB386" s="321">
        <f t="shared" si="30"/>
        <v>0</v>
      </c>
      <c r="AC386" s="321">
        <f t="shared" si="30"/>
        <v>0</v>
      </c>
      <c r="AD386" s="321"/>
      <c r="AE386" s="321">
        <f t="shared" si="30"/>
        <v>2948793.2379914797</v>
      </c>
      <c r="AF386" s="321">
        <f t="shared" si="30"/>
        <v>0</v>
      </c>
      <c r="AG386" s="321">
        <f t="shared" si="30"/>
        <v>184005.51056301885</v>
      </c>
      <c r="AH386" s="321">
        <f t="shared" si="30"/>
        <v>0</v>
      </c>
      <c r="AI386" s="321">
        <f t="shared" si="30"/>
        <v>3132798.7485544984</v>
      </c>
      <c r="AJ386" s="321"/>
      <c r="AK386" s="321">
        <f t="shared" si="30"/>
        <v>0</v>
      </c>
      <c r="AL386" s="321">
        <f t="shared" si="30"/>
        <v>0</v>
      </c>
      <c r="AM386" s="321">
        <f t="shared" si="30"/>
        <v>0</v>
      </c>
      <c r="AN386" s="321">
        <f t="shared" si="30"/>
        <v>0</v>
      </c>
      <c r="AO386" s="321">
        <f t="shared" si="30"/>
        <v>0</v>
      </c>
      <c r="AP386" s="321">
        <f t="shared" si="30"/>
        <v>3132798.7485544984</v>
      </c>
    </row>
    <row r="387" spans="1:42" x14ac:dyDescent="0.25">
      <c r="A387" s="311">
        <v>2813433</v>
      </c>
      <c r="D387" s="311">
        <v>2813433</v>
      </c>
      <c r="E387" s="315" t="str">
        <f t="shared" si="19"/>
        <v>Centrum denních služeb města Úpice</v>
      </c>
      <c r="F387" s="315" t="str">
        <f t="shared" si="20"/>
        <v>Město Úpice</v>
      </c>
      <c r="G387" s="315" t="str">
        <f t="shared" si="21"/>
        <v>§ 45 - Centra denních služeb</v>
      </c>
      <c r="H387" s="315"/>
      <c r="I387" s="266" t="s">
        <v>1812</v>
      </c>
      <c r="J387" s="319"/>
      <c r="K387" s="266"/>
      <c r="L387" s="320"/>
      <c r="M387" s="321">
        <f t="shared" si="22"/>
        <v>2.7</v>
      </c>
      <c r="N387" s="321">
        <f t="shared" si="29"/>
        <v>1</v>
      </c>
      <c r="O387" s="321">
        <f t="shared" si="29"/>
        <v>1.7</v>
      </c>
      <c r="P387" s="321">
        <f t="shared" si="29"/>
        <v>0</v>
      </c>
      <c r="Q387" s="321">
        <f t="shared" si="29"/>
        <v>0</v>
      </c>
      <c r="R387" s="321">
        <f t="shared" si="29"/>
        <v>0</v>
      </c>
      <c r="S387" s="321">
        <f t="shared" si="29"/>
        <v>0</v>
      </c>
      <c r="T387" s="321">
        <f t="shared" si="29"/>
        <v>10</v>
      </c>
      <c r="U387" s="321">
        <f t="shared" si="29"/>
        <v>0</v>
      </c>
      <c r="V387" s="321"/>
      <c r="W387" s="321">
        <f t="shared" si="30"/>
        <v>2.7</v>
      </c>
      <c r="X387" s="321">
        <f t="shared" si="30"/>
        <v>1</v>
      </c>
      <c r="Y387" s="321">
        <f t="shared" si="30"/>
        <v>1.7</v>
      </c>
      <c r="Z387" s="321">
        <f t="shared" si="30"/>
        <v>0</v>
      </c>
      <c r="AA387" s="321">
        <f t="shared" si="30"/>
        <v>0</v>
      </c>
      <c r="AB387" s="321">
        <f t="shared" si="30"/>
        <v>0</v>
      </c>
      <c r="AC387" s="321">
        <f t="shared" si="30"/>
        <v>10</v>
      </c>
      <c r="AD387" s="321"/>
      <c r="AE387" s="321">
        <f t="shared" si="30"/>
        <v>1612769.6639619968</v>
      </c>
      <c r="AF387" s="321">
        <f t="shared" si="30"/>
        <v>0</v>
      </c>
      <c r="AG387" s="321">
        <f t="shared" si="30"/>
        <v>191324.40561487616</v>
      </c>
      <c r="AH387" s="321">
        <f t="shared" si="30"/>
        <v>5484.4181629275645</v>
      </c>
      <c r="AI387" s="321">
        <f t="shared" si="30"/>
        <v>1809578.4877398005</v>
      </c>
      <c r="AJ387" s="321"/>
      <c r="AK387" s="321">
        <f t="shared" si="30"/>
        <v>193121.69999999998</v>
      </c>
      <c r="AL387" s="321">
        <f t="shared" si="30"/>
        <v>0</v>
      </c>
      <c r="AM387" s="321">
        <f t="shared" si="30"/>
        <v>0</v>
      </c>
      <c r="AN387" s="321">
        <f t="shared" si="30"/>
        <v>0</v>
      </c>
      <c r="AO387" s="321">
        <f t="shared" si="30"/>
        <v>193121.69999999998</v>
      </c>
      <c r="AP387" s="321">
        <f t="shared" si="30"/>
        <v>1616456.7877398005</v>
      </c>
    </row>
    <row r="388" spans="1:42" x14ac:dyDescent="0.25">
      <c r="A388" s="311">
        <v>2837121</v>
      </c>
      <c r="D388" s="311">
        <v>2837121</v>
      </c>
      <c r="E388" s="315" t="str">
        <f t="shared" si="19"/>
        <v>Domov důchodců Černožice</v>
      </c>
      <c r="F388" s="315" t="str">
        <f t="shared" si="20"/>
        <v>Domov důchodců Černožice</v>
      </c>
      <c r="G388" s="315" t="str">
        <f t="shared" si="21"/>
        <v>§ 49 - Domovy pro seniory</v>
      </c>
      <c r="H388" s="315"/>
      <c r="I388" s="266" t="s">
        <v>1812</v>
      </c>
      <c r="J388" s="319"/>
      <c r="K388" s="266"/>
      <c r="L388" s="320"/>
      <c r="M388" s="321">
        <f t="shared" si="22"/>
        <v>10.029999999999999</v>
      </c>
      <c r="N388" s="321">
        <f t="shared" si="29"/>
        <v>0.64</v>
      </c>
      <c r="O388" s="321">
        <f t="shared" si="29"/>
        <v>7.4700000000000006</v>
      </c>
      <c r="P388" s="321">
        <f t="shared" si="29"/>
        <v>1.92</v>
      </c>
      <c r="Q388" s="321">
        <f t="shared" si="29"/>
        <v>0</v>
      </c>
      <c r="R388" s="321">
        <f t="shared" si="29"/>
        <v>16</v>
      </c>
      <c r="S388" s="321">
        <f t="shared" si="29"/>
        <v>0</v>
      </c>
      <c r="T388" s="321">
        <f t="shared" si="29"/>
        <v>0</v>
      </c>
      <c r="U388" s="321">
        <f t="shared" si="29"/>
        <v>0</v>
      </c>
      <c r="V388" s="321"/>
      <c r="W388" s="321">
        <f t="shared" si="30"/>
        <v>10.029999999999999</v>
      </c>
      <c r="X388" s="321">
        <f t="shared" si="30"/>
        <v>0.64</v>
      </c>
      <c r="Y388" s="321">
        <f t="shared" si="30"/>
        <v>7.4700000000000006</v>
      </c>
      <c r="Z388" s="321">
        <f t="shared" si="30"/>
        <v>1.92</v>
      </c>
      <c r="AA388" s="321">
        <f t="shared" si="30"/>
        <v>0</v>
      </c>
      <c r="AB388" s="321">
        <f t="shared" si="30"/>
        <v>16</v>
      </c>
      <c r="AC388" s="321">
        <f t="shared" si="30"/>
        <v>0</v>
      </c>
      <c r="AD388" s="321"/>
      <c r="AE388" s="321">
        <f t="shared" si="30"/>
        <v>5527300.4911738224</v>
      </c>
      <c r="AF388" s="321">
        <f t="shared" si="30"/>
        <v>1628333.927805915</v>
      </c>
      <c r="AG388" s="321">
        <f t="shared" si="30"/>
        <v>1621006.3902293248</v>
      </c>
      <c r="AH388" s="321">
        <f t="shared" si="30"/>
        <v>1136322.1953584359</v>
      </c>
      <c r="AI388" s="321">
        <f t="shared" si="30"/>
        <v>9912963.0045675002</v>
      </c>
      <c r="AJ388" s="321"/>
      <c r="AK388" s="321">
        <f t="shared" si="30"/>
        <v>1796327.7624938148</v>
      </c>
      <c r="AL388" s="321">
        <f t="shared" si="30"/>
        <v>467917.90016103059</v>
      </c>
      <c r="AM388" s="321">
        <f t="shared" si="30"/>
        <v>1230780.3940110323</v>
      </c>
      <c r="AN388" s="321">
        <f t="shared" si="30"/>
        <v>814033.0073529412</v>
      </c>
      <c r="AO388" s="321">
        <f t="shared" si="30"/>
        <v>4309059.0640188195</v>
      </c>
      <c r="AP388" s="321">
        <f t="shared" si="30"/>
        <v>5603903.9405486807</v>
      </c>
    </row>
    <row r="389" spans="1:42" x14ac:dyDescent="0.25">
      <c r="A389" s="311">
        <v>2886510</v>
      </c>
      <c r="D389" s="311">
        <v>2886510</v>
      </c>
      <c r="E389" s="315" t="str">
        <f t="shared" ref="E389:E452" si="31">VLOOKUP($D389,$D$4:$K$318,2,FALSE)</f>
        <v>Poradna pro lidi v tísni Hradec Králové</v>
      </c>
      <c r="F389" s="315" t="str">
        <f t="shared" ref="F389:F452" si="32">VLOOKUP($D389,$D$4:$K$318,3,FALSE)</f>
        <v>Oblastní charita Hradec Králové</v>
      </c>
      <c r="G389" s="315" t="str">
        <f t="shared" ref="G389:G452" si="33">VLOOKUP($D389,$D$4:$K$318,8,FALSE)</f>
        <v>§ 37 - Odborné sociální poradenství</v>
      </c>
      <c r="H389" s="315"/>
      <c r="I389" s="266" t="s">
        <v>1812</v>
      </c>
      <c r="J389" s="319"/>
      <c r="K389" s="266"/>
      <c r="L389" s="320"/>
      <c r="M389" s="321">
        <f t="shared" ref="M389:U452" si="34">SUMIFS(M$4:M$318,$D$4:$D$318,$D389)</f>
        <v>3.25</v>
      </c>
      <c r="N389" s="321">
        <f t="shared" si="34"/>
        <v>2.35</v>
      </c>
      <c r="O389" s="321">
        <f t="shared" si="34"/>
        <v>0</v>
      </c>
      <c r="P389" s="321">
        <f t="shared" si="34"/>
        <v>0</v>
      </c>
      <c r="Q389" s="321">
        <f t="shared" si="34"/>
        <v>0.9</v>
      </c>
      <c r="R389" s="321">
        <f t="shared" si="34"/>
        <v>0</v>
      </c>
      <c r="S389" s="321">
        <f t="shared" si="34"/>
        <v>36</v>
      </c>
      <c r="T389" s="321">
        <f t="shared" si="34"/>
        <v>0</v>
      </c>
      <c r="U389" s="321">
        <f t="shared" si="34"/>
        <v>0</v>
      </c>
      <c r="V389" s="321"/>
      <c r="W389" s="321">
        <f t="shared" si="30"/>
        <v>3.25</v>
      </c>
      <c r="X389" s="321">
        <f t="shared" si="30"/>
        <v>2.35</v>
      </c>
      <c r="Y389" s="321">
        <f t="shared" si="30"/>
        <v>0</v>
      </c>
      <c r="Z389" s="321">
        <f t="shared" si="30"/>
        <v>0</v>
      </c>
      <c r="AA389" s="321">
        <f t="shared" si="30"/>
        <v>0.9</v>
      </c>
      <c r="AB389" s="321">
        <f t="shared" si="30"/>
        <v>0</v>
      </c>
      <c r="AC389" s="321">
        <f t="shared" si="30"/>
        <v>0</v>
      </c>
      <c r="AD389" s="321"/>
      <c r="AE389" s="321">
        <f t="shared" si="30"/>
        <v>2260023.8850877117</v>
      </c>
      <c r="AF389" s="321">
        <f t="shared" si="30"/>
        <v>0</v>
      </c>
      <c r="AG389" s="321">
        <f t="shared" si="30"/>
        <v>153990.02494128782</v>
      </c>
      <c r="AH389" s="321">
        <f t="shared" si="30"/>
        <v>0</v>
      </c>
      <c r="AI389" s="321">
        <f t="shared" si="30"/>
        <v>2414013.9100289997</v>
      </c>
      <c r="AJ389" s="321"/>
      <c r="AK389" s="321">
        <f t="shared" si="30"/>
        <v>0</v>
      </c>
      <c r="AL389" s="321">
        <f t="shared" si="30"/>
        <v>0</v>
      </c>
      <c r="AM389" s="321">
        <f t="shared" si="30"/>
        <v>0</v>
      </c>
      <c r="AN389" s="321">
        <f t="shared" si="30"/>
        <v>0</v>
      </c>
      <c r="AO389" s="321">
        <f t="shared" si="30"/>
        <v>0</v>
      </c>
      <c r="AP389" s="321">
        <f t="shared" si="30"/>
        <v>2414013.9100289997</v>
      </c>
    </row>
    <row r="390" spans="1:42" x14ac:dyDescent="0.25">
      <c r="A390" s="311">
        <v>2946425</v>
      </c>
      <c r="D390" s="311">
        <v>2946425</v>
      </c>
      <c r="E390" s="315" t="str">
        <f t="shared" si="31"/>
        <v>Dům s pečovatelskou službou Svoboda nad Úpou</v>
      </c>
      <c r="F390" s="315" t="str">
        <f t="shared" si="32"/>
        <v>Dům s pečovatelskou službou Svoboda nad Úpou</v>
      </c>
      <c r="G390" s="315" t="str">
        <f t="shared" si="33"/>
        <v>§ 40 - Pečovatelská služba</v>
      </c>
      <c r="H390" s="315"/>
      <c r="I390" s="266" t="s">
        <v>1812</v>
      </c>
      <c r="J390" s="319"/>
      <c r="K390" s="266"/>
      <c r="L390" s="320"/>
      <c r="M390" s="321">
        <f t="shared" si="34"/>
        <v>4.5</v>
      </c>
      <c r="N390" s="321">
        <f t="shared" si="34"/>
        <v>0.5</v>
      </c>
      <c r="O390" s="321">
        <f t="shared" si="34"/>
        <v>4</v>
      </c>
      <c r="P390" s="321">
        <f t="shared" si="34"/>
        <v>0</v>
      </c>
      <c r="Q390" s="321">
        <f t="shared" si="34"/>
        <v>0</v>
      </c>
      <c r="R390" s="321">
        <f t="shared" si="34"/>
        <v>0</v>
      </c>
      <c r="S390" s="321">
        <f t="shared" si="34"/>
        <v>80</v>
      </c>
      <c r="T390" s="321">
        <f t="shared" si="34"/>
        <v>0</v>
      </c>
      <c r="U390" s="321">
        <f t="shared" si="34"/>
        <v>0</v>
      </c>
      <c r="V390" s="321"/>
      <c r="W390" s="321">
        <f t="shared" si="30"/>
        <v>4.5</v>
      </c>
      <c r="X390" s="321">
        <f t="shared" si="30"/>
        <v>0.5</v>
      </c>
      <c r="Y390" s="321">
        <f t="shared" si="30"/>
        <v>4</v>
      </c>
      <c r="Z390" s="321">
        <f t="shared" si="30"/>
        <v>0</v>
      </c>
      <c r="AA390" s="321">
        <f t="shared" si="30"/>
        <v>0</v>
      </c>
      <c r="AB390" s="321">
        <f t="shared" si="30"/>
        <v>0</v>
      </c>
      <c r="AC390" s="321">
        <f t="shared" si="30"/>
        <v>0</v>
      </c>
      <c r="AD390" s="321"/>
      <c r="AE390" s="321">
        <f t="shared" si="30"/>
        <v>2598275.804338512</v>
      </c>
      <c r="AF390" s="321">
        <f t="shared" si="30"/>
        <v>0</v>
      </c>
      <c r="AG390" s="321">
        <f t="shared" si="30"/>
        <v>193741.76460666841</v>
      </c>
      <c r="AH390" s="321">
        <f t="shared" si="30"/>
        <v>0</v>
      </c>
      <c r="AI390" s="321">
        <f t="shared" si="30"/>
        <v>2792017.5689451806</v>
      </c>
      <c r="AJ390" s="321"/>
      <c r="AK390" s="321">
        <f t="shared" si="30"/>
        <v>555020.9411764706</v>
      </c>
      <c r="AL390" s="321">
        <f t="shared" si="30"/>
        <v>0</v>
      </c>
      <c r="AM390" s="321">
        <f t="shared" si="30"/>
        <v>0</v>
      </c>
      <c r="AN390" s="321">
        <f t="shared" si="30"/>
        <v>0</v>
      </c>
      <c r="AO390" s="321">
        <f t="shared" si="30"/>
        <v>555020.9411764706</v>
      </c>
      <c r="AP390" s="321">
        <f t="shared" si="30"/>
        <v>2236996.6277687103</v>
      </c>
    </row>
    <row r="391" spans="1:42" x14ac:dyDescent="0.25">
      <c r="A391" s="311">
        <v>3040542</v>
      </c>
      <c r="D391" s="311">
        <v>3040542</v>
      </c>
      <c r="E391" s="315" t="str">
        <f t="shared" si="31"/>
        <v>Občanská poradna Náchod</v>
      </c>
      <c r="F391" s="315" t="str">
        <f t="shared" si="32"/>
        <v>Občanské poradenské středisko, o.p.s.</v>
      </c>
      <c r="G391" s="315" t="str">
        <f t="shared" si="33"/>
        <v>§ 37 - Odborné sociální poradenství</v>
      </c>
      <c r="H391" s="315"/>
      <c r="I391" s="266" t="s">
        <v>1812</v>
      </c>
      <c r="J391" s="319"/>
      <c r="K391" s="266"/>
      <c r="L391" s="320"/>
      <c r="M391" s="321">
        <f t="shared" si="34"/>
        <v>1.35</v>
      </c>
      <c r="N391" s="321">
        <f t="shared" si="34"/>
        <v>1.3</v>
      </c>
      <c r="O391" s="321">
        <f t="shared" si="34"/>
        <v>0.05</v>
      </c>
      <c r="P391" s="321">
        <f t="shared" si="34"/>
        <v>0</v>
      </c>
      <c r="Q391" s="321">
        <f t="shared" si="34"/>
        <v>0</v>
      </c>
      <c r="R391" s="321">
        <f t="shared" si="34"/>
        <v>0</v>
      </c>
      <c r="S391" s="321">
        <f t="shared" si="34"/>
        <v>16</v>
      </c>
      <c r="T391" s="321">
        <f t="shared" si="34"/>
        <v>0</v>
      </c>
      <c r="U391" s="321">
        <f t="shared" si="34"/>
        <v>0</v>
      </c>
      <c r="V391" s="321"/>
      <c r="W391" s="321">
        <f t="shared" si="30"/>
        <v>1.35</v>
      </c>
      <c r="X391" s="321">
        <f t="shared" si="30"/>
        <v>1.3</v>
      </c>
      <c r="Y391" s="321">
        <f t="shared" si="30"/>
        <v>0.05</v>
      </c>
      <c r="Z391" s="321">
        <f t="shared" si="30"/>
        <v>0</v>
      </c>
      <c r="AA391" s="321">
        <f t="shared" si="30"/>
        <v>0</v>
      </c>
      <c r="AB391" s="321">
        <f t="shared" si="30"/>
        <v>0</v>
      </c>
      <c r="AC391" s="321">
        <f t="shared" si="30"/>
        <v>0</v>
      </c>
      <c r="AD391" s="321"/>
      <c r="AE391" s="321">
        <f t="shared" si="30"/>
        <v>938779.15226720355</v>
      </c>
      <c r="AF391" s="321">
        <f t="shared" si="30"/>
        <v>0</v>
      </c>
      <c r="AG391" s="321">
        <f t="shared" si="30"/>
        <v>63965.087283304172</v>
      </c>
      <c r="AH391" s="321">
        <f t="shared" si="30"/>
        <v>0</v>
      </c>
      <c r="AI391" s="321">
        <f t="shared" si="30"/>
        <v>1002744.2395505077</v>
      </c>
      <c r="AJ391" s="321"/>
      <c r="AK391" s="321">
        <f t="shared" si="30"/>
        <v>0</v>
      </c>
      <c r="AL391" s="321">
        <f t="shared" si="30"/>
        <v>0</v>
      </c>
      <c r="AM391" s="321">
        <f t="shared" si="30"/>
        <v>0</v>
      </c>
      <c r="AN391" s="321">
        <f t="shared" si="30"/>
        <v>0</v>
      </c>
      <c r="AO391" s="321">
        <f t="shared" si="30"/>
        <v>0</v>
      </c>
      <c r="AP391" s="321">
        <f t="shared" si="30"/>
        <v>1002744.2395505077</v>
      </c>
    </row>
    <row r="392" spans="1:42" x14ac:dyDescent="0.25">
      <c r="A392" s="311">
        <v>3054253</v>
      </c>
      <c r="D392" s="311">
        <v>3054253</v>
      </c>
      <c r="E392" s="315" t="str">
        <f t="shared" si="31"/>
        <v>Sociální rehabilitace Hořice</v>
      </c>
      <c r="F392" s="315" t="str">
        <f t="shared" si="32"/>
        <v>NAŠE ULITA z.s.</v>
      </c>
      <c r="G392" s="315" t="str">
        <f t="shared" si="33"/>
        <v>§ 70 - Sociální rehabilitace</v>
      </c>
      <c r="H392" s="315"/>
      <c r="I392" s="266" t="s">
        <v>1812</v>
      </c>
      <c r="J392" s="319"/>
      <c r="K392" s="266"/>
      <c r="L392" s="320"/>
      <c r="M392" s="321">
        <f t="shared" si="34"/>
        <v>3.2</v>
      </c>
      <c r="N392" s="321">
        <f t="shared" si="34"/>
        <v>1</v>
      </c>
      <c r="O392" s="321">
        <f t="shared" si="34"/>
        <v>2</v>
      </c>
      <c r="P392" s="321">
        <f t="shared" si="34"/>
        <v>0</v>
      </c>
      <c r="Q392" s="321">
        <f t="shared" si="34"/>
        <v>0.2</v>
      </c>
      <c r="R392" s="321">
        <f t="shared" si="34"/>
        <v>0</v>
      </c>
      <c r="S392" s="321">
        <f t="shared" si="34"/>
        <v>0</v>
      </c>
      <c r="T392" s="321">
        <f t="shared" si="34"/>
        <v>12</v>
      </c>
      <c r="U392" s="321">
        <f t="shared" si="34"/>
        <v>0</v>
      </c>
      <c r="V392" s="321"/>
      <c r="W392" s="321">
        <f t="shared" si="30"/>
        <v>3.2</v>
      </c>
      <c r="X392" s="321">
        <f t="shared" si="30"/>
        <v>1</v>
      </c>
      <c r="Y392" s="321">
        <f t="shared" si="30"/>
        <v>2</v>
      </c>
      <c r="Z392" s="321">
        <f t="shared" si="30"/>
        <v>0</v>
      </c>
      <c r="AA392" s="321">
        <f t="shared" si="30"/>
        <v>0.2</v>
      </c>
      <c r="AB392" s="321">
        <f t="shared" si="30"/>
        <v>0</v>
      </c>
      <c r="AC392" s="321">
        <f t="shared" si="30"/>
        <v>12</v>
      </c>
      <c r="AD392" s="321"/>
      <c r="AE392" s="321">
        <f t="shared" si="30"/>
        <v>2246699.6098982706</v>
      </c>
      <c r="AF392" s="321">
        <f t="shared" si="30"/>
        <v>0</v>
      </c>
      <c r="AG392" s="321">
        <f t="shared" si="30"/>
        <v>140194.67471468102</v>
      </c>
      <c r="AH392" s="321">
        <f t="shared" si="30"/>
        <v>0</v>
      </c>
      <c r="AI392" s="321">
        <f t="shared" si="30"/>
        <v>2386894.2846129518</v>
      </c>
      <c r="AJ392" s="321"/>
      <c r="AK392" s="321">
        <f t="shared" si="30"/>
        <v>0</v>
      </c>
      <c r="AL392" s="321">
        <f t="shared" si="30"/>
        <v>0</v>
      </c>
      <c r="AM392" s="321">
        <f t="shared" si="30"/>
        <v>0</v>
      </c>
      <c r="AN392" s="321">
        <f t="shared" si="30"/>
        <v>0</v>
      </c>
      <c r="AO392" s="321">
        <f t="shared" si="30"/>
        <v>0</v>
      </c>
      <c r="AP392" s="321">
        <f t="shared" si="30"/>
        <v>2386894.2846129518</v>
      </c>
    </row>
    <row r="393" spans="1:42" x14ac:dyDescent="0.25">
      <c r="A393" s="311">
        <v>3095940</v>
      </c>
      <c r="D393" s="311">
        <v>3095940</v>
      </c>
      <c r="E393" s="315" t="str">
        <f t="shared" si="31"/>
        <v>Pečovatelská služba</v>
      </c>
      <c r="F393" s="315" t="str">
        <f t="shared" si="32"/>
        <v>Ústav sociálních služeb města Nové Paky</v>
      </c>
      <c r="G393" s="315" t="str">
        <f t="shared" si="33"/>
        <v>§ 40 - Pečovatelská služba</v>
      </c>
      <c r="H393" s="315"/>
      <c r="I393" s="266" t="s">
        <v>1812</v>
      </c>
      <c r="J393" s="319"/>
      <c r="K393" s="266"/>
      <c r="L393" s="320"/>
      <c r="M393" s="321">
        <f t="shared" si="34"/>
        <v>8</v>
      </c>
      <c r="N393" s="321">
        <f t="shared" si="34"/>
        <v>1</v>
      </c>
      <c r="O393" s="321">
        <f t="shared" si="34"/>
        <v>7</v>
      </c>
      <c r="P393" s="321">
        <f t="shared" si="34"/>
        <v>0</v>
      </c>
      <c r="Q393" s="321">
        <f t="shared" si="34"/>
        <v>0</v>
      </c>
      <c r="R393" s="321">
        <f t="shared" si="34"/>
        <v>0</v>
      </c>
      <c r="S393" s="321">
        <f t="shared" si="34"/>
        <v>130</v>
      </c>
      <c r="T393" s="321">
        <f t="shared" si="34"/>
        <v>0</v>
      </c>
      <c r="U393" s="321">
        <f t="shared" si="34"/>
        <v>0</v>
      </c>
      <c r="V393" s="321"/>
      <c r="W393" s="321">
        <f t="shared" si="30"/>
        <v>8</v>
      </c>
      <c r="X393" s="321">
        <f t="shared" si="30"/>
        <v>1</v>
      </c>
      <c r="Y393" s="321">
        <f t="shared" si="30"/>
        <v>7</v>
      </c>
      <c r="Z393" s="321">
        <f t="shared" si="30"/>
        <v>0</v>
      </c>
      <c r="AA393" s="321">
        <f t="shared" si="30"/>
        <v>0</v>
      </c>
      <c r="AB393" s="321">
        <f t="shared" si="30"/>
        <v>0</v>
      </c>
      <c r="AC393" s="321">
        <f t="shared" si="30"/>
        <v>0</v>
      </c>
      <c r="AD393" s="321"/>
      <c r="AE393" s="321">
        <f t="shared" si="30"/>
        <v>4619156.9854906881</v>
      </c>
      <c r="AF393" s="321">
        <f t="shared" si="30"/>
        <v>0</v>
      </c>
      <c r="AG393" s="321">
        <f t="shared" si="30"/>
        <v>344429.80374518828</v>
      </c>
      <c r="AH393" s="321">
        <f t="shared" si="30"/>
        <v>0</v>
      </c>
      <c r="AI393" s="321">
        <f t="shared" si="30"/>
        <v>4963586.7892358769</v>
      </c>
      <c r="AJ393" s="321"/>
      <c r="AK393" s="321">
        <f t="shared" si="30"/>
        <v>971286.64705882361</v>
      </c>
      <c r="AL393" s="321">
        <f t="shared" si="30"/>
        <v>0</v>
      </c>
      <c r="AM393" s="321">
        <f t="shared" si="30"/>
        <v>0</v>
      </c>
      <c r="AN393" s="321">
        <f t="shared" si="30"/>
        <v>0</v>
      </c>
      <c r="AO393" s="321">
        <f t="shared" si="30"/>
        <v>971286.64705882361</v>
      </c>
      <c r="AP393" s="321">
        <f t="shared" si="30"/>
        <v>3992300.1421770533</v>
      </c>
    </row>
    <row r="394" spans="1:42" x14ac:dyDescent="0.25">
      <c r="A394" s="311">
        <v>3110951</v>
      </c>
      <c r="D394" s="311">
        <v>3110951</v>
      </c>
      <c r="E394" s="315" t="str">
        <f t="shared" si="31"/>
        <v>Charitní ošetřovatelská a pečovatelská služba Trutnov</v>
      </c>
      <c r="F394" s="315" t="str">
        <f t="shared" si="32"/>
        <v>Oblastní charita Trutnov</v>
      </c>
      <c r="G394" s="315" t="str">
        <f t="shared" si="33"/>
        <v>§ 40 - Pečovatelská služba</v>
      </c>
      <c r="H394" s="315"/>
      <c r="I394" s="266" t="s">
        <v>1812</v>
      </c>
      <c r="J394" s="319"/>
      <c r="K394" s="266"/>
      <c r="L394" s="320"/>
      <c r="M394" s="321">
        <f t="shared" si="34"/>
        <v>6.5000000000000009</v>
      </c>
      <c r="N394" s="321">
        <f t="shared" si="34"/>
        <v>0.2</v>
      </c>
      <c r="O394" s="321">
        <f t="shared" si="34"/>
        <v>6.3</v>
      </c>
      <c r="P394" s="321">
        <f t="shared" si="34"/>
        <v>0</v>
      </c>
      <c r="Q394" s="321">
        <f t="shared" si="34"/>
        <v>0</v>
      </c>
      <c r="R394" s="321">
        <f t="shared" si="34"/>
        <v>0</v>
      </c>
      <c r="S394" s="321">
        <f t="shared" si="34"/>
        <v>117</v>
      </c>
      <c r="T394" s="321">
        <f t="shared" si="34"/>
        <v>0</v>
      </c>
      <c r="U394" s="321">
        <f t="shared" si="34"/>
        <v>0</v>
      </c>
      <c r="V394" s="321"/>
      <c r="W394" s="321">
        <f t="shared" si="30"/>
        <v>6.5000000000000009</v>
      </c>
      <c r="X394" s="321">
        <f t="shared" si="30"/>
        <v>0.2</v>
      </c>
      <c r="Y394" s="321">
        <f t="shared" si="30"/>
        <v>6.3</v>
      </c>
      <c r="Z394" s="321">
        <f t="shared" si="30"/>
        <v>0</v>
      </c>
      <c r="AA394" s="321">
        <f t="shared" si="30"/>
        <v>0</v>
      </c>
      <c r="AB394" s="321">
        <f t="shared" si="30"/>
        <v>0</v>
      </c>
      <c r="AC394" s="321">
        <f t="shared" si="30"/>
        <v>0</v>
      </c>
      <c r="AD394" s="321"/>
      <c r="AE394" s="321">
        <f t="shared" si="30"/>
        <v>3753065.0507111847</v>
      </c>
      <c r="AF394" s="321">
        <f t="shared" si="30"/>
        <v>0</v>
      </c>
      <c r="AG394" s="321">
        <f t="shared" si="30"/>
        <v>279849.21554296551</v>
      </c>
      <c r="AH394" s="321">
        <f t="shared" si="30"/>
        <v>0</v>
      </c>
      <c r="AI394" s="321">
        <f t="shared" si="30"/>
        <v>4032914.2662541498</v>
      </c>
      <c r="AJ394" s="321"/>
      <c r="AK394" s="321">
        <f t="shared" si="30"/>
        <v>874157.9823529413</v>
      </c>
      <c r="AL394" s="321">
        <f t="shared" si="30"/>
        <v>0</v>
      </c>
      <c r="AM394" s="321">
        <f t="shared" si="30"/>
        <v>0</v>
      </c>
      <c r="AN394" s="321">
        <f t="shared" si="30"/>
        <v>0</v>
      </c>
      <c r="AO394" s="321">
        <f t="shared" si="30"/>
        <v>874157.9823529413</v>
      </c>
      <c r="AP394" s="321">
        <f t="shared" si="30"/>
        <v>3158756.2839012085</v>
      </c>
    </row>
    <row r="395" spans="1:42" x14ac:dyDescent="0.25">
      <c r="A395" s="311">
        <v>3135426</v>
      </c>
      <c r="D395" s="311">
        <v>3135426</v>
      </c>
      <c r="E395" s="315" t="str">
        <f t="shared" si="31"/>
        <v>Ústav sociálních služeb Milíčeves</v>
      </c>
      <c r="F395" s="315" t="str">
        <f t="shared" si="32"/>
        <v>Ústav sociálních služeb Milíčeves</v>
      </c>
      <c r="G395" s="315" t="str">
        <f t="shared" si="33"/>
        <v>§ 49 - Domovy pro seniory</v>
      </c>
      <c r="H395" s="315"/>
      <c r="I395" s="266" t="s">
        <v>1812</v>
      </c>
      <c r="J395" s="319"/>
      <c r="K395" s="266"/>
      <c r="L395" s="320"/>
      <c r="M395" s="321">
        <f t="shared" si="34"/>
        <v>21.25</v>
      </c>
      <c r="N395" s="321">
        <f t="shared" si="34"/>
        <v>1.25</v>
      </c>
      <c r="O395" s="321">
        <f t="shared" si="34"/>
        <v>14</v>
      </c>
      <c r="P395" s="321">
        <f t="shared" si="34"/>
        <v>6</v>
      </c>
      <c r="Q395" s="321">
        <f t="shared" si="34"/>
        <v>0</v>
      </c>
      <c r="R395" s="321">
        <f t="shared" si="34"/>
        <v>68</v>
      </c>
      <c r="S395" s="321">
        <f t="shared" si="34"/>
        <v>0</v>
      </c>
      <c r="T395" s="321">
        <f t="shared" si="34"/>
        <v>0</v>
      </c>
      <c r="U395" s="321">
        <f t="shared" si="34"/>
        <v>0</v>
      </c>
      <c r="V395" s="321"/>
      <c r="W395" s="321">
        <f t="shared" si="30"/>
        <v>21.25</v>
      </c>
      <c r="X395" s="321">
        <f t="shared" si="30"/>
        <v>1.25</v>
      </c>
      <c r="Y395" s="321">
        <f t="shared" si="30"/>
        <v>14</v>
      </c>
      <c r="Z395" s="321">
        <f t="shared" si="30"/>
        <v>6</v>
      </c>
      <c r="AA395" s="321">
        <f t="shared" si="30"/>
        <v>0</v>
      </c>
      <c r="AB395" s="321">
        <f t="shared" si="30"/>
        <v>68</v>
      </c>
      <c r="AC395" s="321">
        <f t="shared" si="30"/>
        <v>0</v>
      </c>
      <c r="AD395" s="321"/>
      <c r="AE395" s="321">
        <f t="shared" si="30"/>
        <v>10393505.855783081</v>
      </c>
      <c r="AF395" s="321">
        <f t="shared" si="30"/>
        <v>5088543.5243934849</v>
      </c>
      <c r="AG395" s="321">
        <f t="shared" si="30"/>
        <v>6889277.1584746307</v>
      </c>
      <c r="AH395" s="321">
        <f t="shared" si="30"/>
        <v>4829369.3302733526</v>
      </c>
      <c r="AI395" s="321">
        <f t="shared" si="30"/>
        <v>27200695.868924551</v>
      </c>
      <c r="AJ395" s="321"/>
      <c r="AK395" s="321">
        <f t="shared" si="30"/>
        <v>7634392.990598713</v>
      </c>
      <c r="AL395" s="321">
        <f t="shared" si="30"/>
        <v>1988651.07568438</v>
      </c>
      <c r="AM395" s="321">
        <f t="shared" si="30"/>
        <v>5230816.6745468872</v>
      </c>
      <c r="AN395" s="321">
        <f t="shared" si="30"/>
        <v>3459640.28125</v>
      </c>
      <c r="AO395" s="321">
        <f t="shared" si="30"/>
        <v>18313501.022079982</v>
      </c>
      <c r="AP395" s="321">
        <f t="shared" si="30"/>
        <v>8887194.8468445688</v>
      </c>
    </row>
    <row r="396" spans="1:42" x14ac:dyDescent="0.25">
      <c r="A396" s="311">
        <v>3198258</v>
      </c>
      <c r="D396" s="311">
        <v>3198258</v>
      </c>
      <c r="E396" s="315" t="str">
        <f t="shared" si="31"/>
        <v>Společné cesty - z.s.</v>
      </c>
      <c r="F396" s="315" t="str">
        <f t="shared" si="32"/>
        <v>Společné cesty - z.s.</v>
      </c>
      <c r="G396" s="315" t="str">
        <f t="shared" si="33"/>
        <v>§ 39 - Osobní asistence</v>
      </c>
      <c r="H396" s="315"/>
      <c r="I396" s="266" t="s">
        <v>1812</v>
      </c>
      <c r="J396" s="319"/>
      <c r="K396" s="266"/>
      <c r="L396" s="320"/>
      <c r="M396" s="321">
        <f t="shared" si="34"/>
        <v>8</v>
      </c>
      <c r="N396" s="321">
        <f t="shared" si="34"/>
        <v>0.7</v>
      </c>
      <c r="O396" s="321">
        <f t="shared" si="34"/>
        <v>7.3000000000000007</v>
      </c>
      <c r="P396" s="321">
        <f t="shared" si="34"/>
        <v>0</v>
      </c>
      <c r="Q396" s="321">
        <f t="shared" si="34"/>
        <v>0</v>
      </c>
      <c r="R396" s="321">
        <f t="shared" si="34"/>
        <v>0</v>
      </c>
      <c r="S396" s="321">
        <f t="shared" si="34"/>
        <v>65</v>
      </c>
      <c r="T396" s="321">
        <f t="shared" si="34"/>
        <v>0</v>
      </c>
      <c r="U396" s="321">
        <f t="shared" si="34"/>
        <v>0</v>
      </c>
      <c r="V396" s="321"/>
      <c r="W396" s="321">
        <f t="shared" si="30"/>
        <v>8</v>
      </c>
      <c r="X396" s="321">
        <f t="shared" si="30"/>
        <v>0.7</v>
      </c>
      <c r="Y396" s="321">
        <f t="shared" si="30"/>
        <v>7.3000000000000007</v>
      </c>
      <c r="Z396" s="321">
        <f t="shared" si="30"/>
        <v>0</v>
      </c>
      <c r="AA396" s="321">
        <f t="shared" si="30"/>
        <v>0</v>
      </c>
      <c r="AB396" s="321">
        <f t="shared" si="30"/>
        <v>0</v>
      </c>
      <c r="AC396" s="321">
        <f t="shared" si="30"/>
        <v>0</v>
      </c>
      <c r="AD396" s="321"/>
      <c r="AE396" s="321">
        <f t="shared" si="30"/>
        <v>4271630.3302059602</v>
      </c>
      <c r="AF396" s="321">
        <f t="shared" si="30"/>
        <v>0</v>
      </c>
      <c r="AG396" s="321">
        <f t="shared" si="30"/>
        <v>158614.97000841514</v>
      </c>
      <c r="AH396" s="321">
        <f t="shared" si="30"/>
        <v>0</v>
      </c>
      <c r="AI396" s="321">
        <f t="shared" si="30"/>
        <v>4430245.3002143754</v>
      </c>
      <c r="AJ396" s="321"/>
      <c r="AK396" s="321">
        <f t="shared" si="30"/>
        <v>912272.53550893348</v>
      </c>
      <c r="AL396" s="321">
        <f t="shared" si="30"/>
        <v>0</v>
      </c>
      <c r="AM396" s="321">
        <f t="shared" si="30"/>
        <v>0</v>
      </c>
      <c r="AN396" s="321">
        <f t="shared" si="30"/>
        <v>0</v>
      </c>
      <c r="AO396" s="321">
        <f t="shared" si="30"/>
        <v>912272.53550893348</v>
      </c>
      <c r="AP396" s="321">
        <f t="shared" si="30"/>
        <v>3517972.7647054419</v>
      </c>
    </row>
    <row r="397" spans="1:42" x14ac:dyDescent="0.25">
      <c r="A397" s="311">
        <v>3346325</v>
      </c>
      <c r="D397" s="311">
        <v>3346325</v>
      </c>
      <c r="E397" s="315" t="str">
        <f t="shared" si="31"/>
        <v>Centrum LIRA, z. ú.</v>
      </c>
      <c r="F397" s="315" t="str">
        <f t="shared" si="32"/>
        <v>Centrum LIRA, z. ú.</v>
      </c>
      <c r="G397" s="315" t="str">
        <f t="shared" si="33"/>
        <v>§ 54 - Raná péče</v>
      </c>
      <c r="H397" s="315"/>
      <c r="I397" s="266" t="s">
        <v>1812</v>
      </c>
      <c r="J397" s="319"/>
      <c r="K397" s="266"/>
      <c r="L397" s="320"/>
      <c r="M397" s="321">
        <f t="shared" si="34"/>
        <v>4.5999999999999996</v>
      </c>
      <c r="N397" s="321">
        <f t="shared" si="34"/>
        <v>4.54</v>
      </c>
      <c r="O397" s="321">
        <f t="shared" si="34"/>
        <v>0</v>
      </c>
      <c r="P397" s="321">
        <f t="shared" si="34"/>
        <v>0.02</v>
      </c>
      <c r="Q397" s="321">
        <f t="shared" si="34"/>
        <v>0.04</v>
      </c>
      <c r="R397" s="321">
        <f t="shared" si="34"/>
        <v>0</v>
      </c>
      <c r="S397" s="321">
        <f t="shared" si="34"/>
        <v>56</v>
      </c>
      <c r="T397" s="321">
        <f t="shared" si="34"/>
        <v>6</v>
      </c>
      <c r="U397" s="321">
        <f t="shared" si="34"/>
        <v>0</v>
      </c>
      <c r="V397" s="321"/>
      <c r="W397" s="321">
        <f t="shared" si="30"/>
        <v>4.5999999999999996</v>
      </c>
      <c r="X397" s="321">
        <f t="shared" si="30"/>
        <v>4.54</v>
      </c>
      <c r="Y397" s="321">
        <f t="shared" si="30"/>
        <v>0</v>
      </c>
      <c r="Z397" s="321">
        <f t="shared" ref="W397:AP409" si="35">SUMIFS(Z$4:Z$318,$D$4:$D$318,$D397)</f>
        <v>0.02</v>
      </c>
      <c r="AA397" s="321">
        <f t="shared" si="35"/>
        <v>0.04</v>
      </c>
      <c r="AB397" s="321">
        <f t="shared" si="35"/>
        <v>0</v>
      </c>
      <c r="AC397" s="321">
        <f t="shared" si="35"/>
        <v>6</v>
      </c>
      <c r="AD397" s="321"/>
      <c r="AE397" s="321">
        <f t="shared" si="35"/>
        <v>3737405.5851411857</v>
      </c>
      <c r="AF397" s="321">
        <f t="shared" si="35"/>
        <v>0</v>
      </c>
      <c r="AG397" s="321">
        <f t="shared" si="35"/>
        <v>294300.24411575461</v>
      </c>
      <c r="AH397" s="321">
        <f t="shared" si="35"/>
        <v>0</v>
      </c>
      <c r="AI397" s="321">
        <f t="shared" si="35"/>
        <v>4031705.8292569402</v>
      </c>
      <c r="AJ397" s="321"/>
      <c r="AK397" s="321">
        <f t="shared" si="35"/>
        <v>0</v>
      </c>
      <c r="AL397" s="321">
        <f t="shared" si="35"/>
        <v>0</v>
      </c>
      <c r="AM397" s="321">
        <f t="shared" si="35"/>
        <v>0</v>
      </c>
      <c r="AN397" s="321">
        <f t="shared" si="35"/>
        <v>0</v>
      </c>
      <c r="AO397" s="321">
        <f t="shared" si="35"/>
        <v>0</v>
      </c>
      <c r="AP397" s="321">
        <f t="shared" si="35"/>
        <v>4031705.8292569402</v>
      </c>
    </row>
    <row r="398" spans="1:42" x14ac:dyDescent="0.25">
      <c r="A398" s="311">
        <v>3357963</v>
      </c>
      <c r="D398" s="311">
        <v>3357963</v>
      </c>
      <c r="E398" s="315" t="str">
        <f t="shared" si="31"/>
        <v>Domov pro seniory Marie</v>
      </c>
      <c r="F398" s="315" t="str">
        <f t="shared" si="32"/>
        <v>Městské středisko sociálních služeb MARIE</v>
      </c>
      <c r="G398" s="315" t="str">
        <f t="shared" si="33"/>
        <v>§ 44 - Odlehčovací služby</v>
      </c>
      <c r="H398" s="315"/>
      <c r="I398" s="266" t="s">
        <v>1812</v>
      </c>
      <c r="J398" s="319"/>
      <c r="K398" s="266"/>
      <c r="L398" s="320"/>
      <c r="M398" s="321">
        <f t="shared" si="34"/>
        <v>1.9</v>
      </c>
      <c r="N398" s="321">
        <f t="shared" si="34"/>
        <v>0.1</v>
      </c>
      <c r="O398" s="321">
        <f t="shared" si="34"/>
        <v>1.1000000000000001</v>
      </c>
      <c r="P398" s="321">
        <f t="shared" si="34"/>
        <v>0.7</v>
      </c>
      <c r="Q398" s="321">
        <f t="shared" si="34"/>
        <v>0</v>
      </c>
      <c r="R398" s="321">
        <f t="shared" si="34"/>
        <v>4</v>
      </c>
      <c r="S398" s="321">
        <f t="shared" si="34"/>
        <v>0</v>
      </c>
      <c r="T398" s="321">
        <f t="shared" si="34"/>
        <v>0</v>
      </c>
      <c r="U398" s="321">
        <f t="shared" si="34"/>
        <v>0</v>
      </c>
      <c r="V398" s="321"/>
      <c r="W398" s="321">
        <f t="shared" si="35"/>
        <v>1.9</v>
      </c>
      <c r="X398" s="321">
        <f t="shared" si="35"/>
        <v>0.1</v>
      </c>
      <c r="Y398" s="321">
        <f t="shared" si="35"/>
        <v>1.1000000000000001</v>
      </c>
      <c r="Z398" s="321">
        <f t="shared" si="35"/>
        <v>0.7</v>
      </c>
      <c r="AA398" s="321">
        <f t="shared" si="35"/>
        <v>0</v>
      </c>
      <c r="AB398" s="321">
        <f t="shared" si="35"/>
        <v>4</v>
      </c>
      <c r="AC398" s="321">
        <f t="shared" si="35"/>
        <v>0</v>
      </c>
      <c r="AD398" s="321"/>
      <c r="AE398" s="321">
        <f t="shared" si="35"/>
        <v>1121128.5297294119</v>
      </c>
      <c r="AF398" s="321">
        <f t="shared" si="35"/>
        <v>0</v>
      </c>
      <c r="AG398" s="321">
        <f t="shared" si="35"/>
        <v>225828.91318532612</v>
      </c>
      <c r="AH398" s="321">
        <f t="shared" si="35"/>
        <v>123900.67496813175</v>
      </c>
      <c r="AI398" s="321">
        <f t="shared" si="35"/>
        <v>1470858.1178828699</v>
      </c>
      <c r="AJ398" s="321"/>
      <c r="AK398" s="321">
        <f t="shared" si="35"/>
        <v>229284.57829531204</v>
      </c>
      <c r="AL398" s="321">
        <f t="shared" si="35"/>
        <v>0</v>
      </c>
      <c r="AM398" s="321">
        <f t="shared" si="35"/>
        <v>153821.25</v>
      </c>
      <c r="AN398" s="321">
        <f t="shared" si="35"/>
        <v>95581.8</v>
      </c>
      <c r="AO398" s="321">
        <f t="shared" si="35"/>
        <v>478687.628295312</v>
      </c>
      <c r="AP398" s="321">
        <f t="shared" si="35"/>
        <v>992170.48958755797</v>
      </c>
    </row>
    <row r="399" spans="1:42" x14ac:dyDescent="0.25">
      <c r="A399" s="311">
        <v>3446957</v>
      </c>
      <c r="D399" s="311">
        <v>3446957</v>
      </c>
      <c r="E399" s="315" t="str">
        <f t="shared" si="31"/>
        <v>Domov Dědina</v>
      </c>
      <c r="F399" s="315" t="str">
        <f t="shared" si="32"/>
        <v>Domov Dědina</v>
      </c>
      <c r="G399" s="315" t="str">
        <f t="shared" si="33"/>
        <v>§ 46 - Denní stacionáře</v>
      </c>
      <c r="H399" s="315"/>
      <c r="I399" s="266" t="s">
        <v>1812</v>
      </c>
      <c r="J399" s="319"/>
      <c r="K399" s="266"/>
      <c r="L399" s="320"/>
      <c r="M399" s="321">
        <f t="shared" si="34"/>
        <v>1.4</v>
      </c>
      <c r="N399" s="321">
        <f t="shared" si="34"/>
        <v>0.3</v>
      </c>
      <c r="O399" s="321">
        <f t="shared" si="34"/>
        <v>1</v>
      </c>
      <c r="P399" s="321">
        <f t="shared" si="34"/>
        <v>0</v>
      </c>
      <c r="Q399" s="321">
        <f t="shared" si="34"/>
        <v>0.1</v>
      </c>
      <c r="R399" s="321">
        <f t="shared" si="34"/>
        <v>0</v>
      </c>
      <c r="S399" s="321">
        <f t="shared" si="34"/>
        <v>0</v>
      </c>
      <c r="T399" s="321">
        <f t="shared" si="34"/>
        <v>5</v>
      </c>
      <c r="U399" s="321">
        <f t="shared" si="34"/>
        <v>0</v>
      </c>
      <c r="V399" s="321"/>
      <c r="W399" s="321">
        <f t="shared" si="35"/>
        <v>1.4</v>
      </c>
      <c r="X399" s="321">
        <f t="shared" si="35"/>
        <v>0.3</v>
      </c>
      <c r="Y399" s="321">
        <f t="shared" si="35"/>
        <v>1</v>
      </c>
      <c r="Z399" s="321">
        <f t="shared" si="35"/>
        <v>0</v>
      </c>
      <c r="AA399" s="321">
        <f t="shared" si="35"/>
        <v>0.1</v>
      </c>
      <c r="AB399" s="321">
        <f t="shared" si="35"/>
        <v>0</v>
      </c>
      <c r="AC399" s="321">
        <f t="shared" si="35"/>
        <v>5</v>
      </c>
      <c r="AD399" s="321"/>
      <c r="AE399" s="321">
        <f t="shared" si="35"/>
        <v>1041288.266681593</v>
      </c>
      <c r="AF399" s="321">
        <f t="shared" si="35"/>
        <v>0</v>
      </c>
      <c r="AG399" s="321">
        <f t="shared" si="35"/>
        <v>139531.26793154559</v>
      </c>
      <c r="AH399" s="321">
        <f t="shared" si="35"/>
        <v>27384.755259692589</v>
      </c>
      <c r="AI399" s="321">
        <f t="shared" si="35"/>
        <v>1208204.2898728312</v>
      </c>
      <c r="AJ399" s="321"/>
      <c r="AK399" s="321">
        <f t="shared" si="35"/>
        <v>148382.81045751635</v>
      </c>
      <c r="AL399" s="321">
        <f t="shared" si="35"/>
        <v>0</v>
      </c>
      <c r="AM399" s="321">
        <f t="shared" si="35"/>
        <v>0</v>
      </c>
      <c r="AN399" s="321">
        <f t="shared" si="35"/>
        <v>27261.538461538461</v>
      </c>
      <c r="AO399" s="321">
        <f t="shared" si="35"/>
        <v>175644.34891905481</v>
      </c>
      <c r="AP399" s="321">
        <f t="shared" si="35"/>
        <v>1032559.9409537764</v>
      </c>
    </row>
    <row r="400" spans="1:42" x14ac:dyDescent="0.25">
      <c r="A400" s="311">
        <v>3473171</v>
      </c>
      <c r="D400" s="311">
        <v>3473171</v>
      </c>
      <c r="E400" s="315" t="str">
        <f t="shared" si="31"/>
        <v>Domov Dědina</v>
      </c>
      <c r="F400" s="315" t="str">
        <f t="shared" si="32"/>
        <v>Domov Dědina</v>
      </c>
      <c r="G400" s="315" t="str">
        <f t="shared" si="33"/>
        <v>§ 48 - Domovy pro osoby se zdravotním postižením</v>
      </c>
      <c r="H400" s="315"/>
      <c r="I400" s="266" t="s">
        <v>1812</v>
      </c>
      <c r="J400" s="319"/>
      <c r="K400" s="266"/>
      <c r="L400" s="320"/>
      <c r="M400" s="321">
        <f t="shared" si="34"/>
        <v>61.585000000000001</v>
      </c>
      <c r="N400" s="321">
        <f t="shared" si="34"/>
        <v>2.8</v>
      </c>
      <c r="O400" s="321">
        <f t="shared" si="34"/>
        <v>51.5</v>
      </c>
      <c r="P400" s="321">
        <f t="shared" si="34"/>
        <v>6.5</v>
      </c>
      <c r="Q400" s="321">
        <f t="shared" si="34"/>
        <v>0.78500000000000003</v>
      </c>
      <c r="R400" s="321">
        <f t="shared" si="34"/>
        <v>109</v>
      </c>
      <c r="S400" s="321">
        <f t="shared" si="34"/>
        <v>0</v>
      </c>
      <c r="T400" s="321">
        <f t="shared" si="34"/>
        <v>0</v>
      </c>
      <c r="U400" s="321">
        <f t="shared" si="34"/>
        <v>0</v>
      </c>
      <c r="V400" s="321"/>
      <c r="W400" s="321">
        <f t="shared" si="35"/>
        <v>61.585000000000001</v>
      </c>
      <c r="X400" s="321">
        <f t="shared" si="35"/>
        <v>2.8</v>
      </c>
      <c r="Y400" s="321">
        <f t="shared" si="35"/>
        <v>51.5</v>
      </c>
      <c r="Z400" s="321">
        <f t="shared" si="35"/>
        <v>6.5</v>
      </c>
      <c r="AA400" s="321">
        <f t="shared" si="35"/>
        <v>0.78500000000000003</v>
      </c>
      <c r="AB400" s="321">
        <f t="shared" si="35"/>
        <v>109</v>
      </c>
      <c r="AC400" s="321">
        <f t="shared" si="35"/>
        <v>0</v>
      </c>
      <c r="AD400" s="321"/>
      <c r="AE400" s="321">
        <f t="shared" si="35"/>
        <v>36852112.423993789</v>
      </c>
      <c r="AF400" s="321">
        <f t="shared" si="35"/>
        <v>5519835.4715276835</v>
      </c>
      <c r="AG400" s="321">
        <f t="shared" si="35"/>
        <v>11465856.220752623</v>
      </c>
      <c r="AH400" s="321">
        <f t="shared" si="35"/>
        <v>7364676.8334279358</v>
      </c>
      <c r="AI400" s="321">
        <f t="shared" si="35"/>
        <v>61202480.949702024</v>
      </c>
      <c r="AJ400" s="321"/>
      <c r="AK400" s="321">
        <f t="shared" si="35"/>
        <v>11567118.791176472</v>
      </c>
      <c r="AL400" s="321">
        <f t="shared" si="35"/>
        <v>2872120.0784313725</v>
      </c>
      <c r="AM400" s="321">
        <f t="shared" si="35"/>
        <v>5214043.6842105268</v>
      </c>
      <c r="AN400" s="321">
        <f t="shared" si="35"/>
        <v>4934391.8500000006</v>
      </c>
      <c r="AO400" s="321">
        <f t="shared" si="35"/>
        <v>24587674.403818373</v>
      </c>
      <c r="AP400" s="321">
        <f t="shared" si="35"/>
        <v>36614806.545883656</v>
      </c>
    </row>
    <row r="401" spans="1:42" x14ac:dyDescent="0.25">
      <c r="A401" s="311">
        <v>3529182</v>
      </c>
      <c r="D401" s="311">
        <v>3529182</v>
      </c>
      <c r="E401" s="315" t="str">
        <f t="shared" si="31"/>
        <v>Domov V Podzámčí</v>
      </c>
      <c r="F401" s="315" t="str">
        <f t="shared" si="32"/>
        <v>Domov V Podzámčí</v>
      </c>
      <c r="G401" s="315" t="str">
        <f t="shared" si="33"/>
        <v>§ 49 - Domovy pro seniory</v>
      </c>
      <c r="H401" s="315"/>
      <c r="I401" s="266" t="s">
        <v>1812</v>
      </c>
      <c r="J401" s="319"/>
      <c r="K401" s="266"/>
      <c r="L401" s="320"/>
      <c r="M401" s="321">
        <f t="shared" si="34"/>
        <v>18.3</v>
      </c>
      <c r="N401" s="321">
        <f t="shared" si="34"/>
        <v>2</v>
      </c>
      <c r="O401" s="321">
        <f t="shared" si="34"/>
        <v>10</v>
      </c>
      <c r="P401" s="321">
        <f t="shared" si="34"/>
        <v>6.3</v>
      </c>
      <c r="Q401" s="321">
        <f t="shared" si="34"/>
        <v>0</v>
      </c>
      <c r="R401" s="321">
        <f t="shared" si="34"/>
        <v>48</v>
      </c>
      <c r="S401" s="321">
        <f t="shared" si="34"/>
        <v>0</v>
      </c>
      <c r="T401" s="321">
        <f t="shared" si="34"/>
        <v>0</v>
      </c>
      <c r="U401" s="321">
        <f t="shared" si="34"/>
        <v>0</v>
      </c>
      <c r="V401" s="321"/>
      <c r="W401" s="321">
        <f t="shared" si="35"/>
        <v>18.3</v>
      </c>
      <c r="X401" s="321">
        <f t="shared" si="35"/>
        <v>2</v>
      </c>
      <c r="Y401" s="321">
        <f t="shared" si="35"/>
        <v>10</v>
      </c>
      <c r="Z401" s="321">
        <f t="shared" si="35"/>
        <v>6.3</v>
      </c>
      <c r="AA401" s="321">
        <f t="shared" si="35"/>
        <v>0</v>
      </c>
      <c r="AB401" s="321">
        <f t="shared" si="35"/>
        <v>48</v>
      </c>
      <c r="AC401" s="321">
        <f t="shared" si="35"/>
        <v>0</v>
      </c>
      <c r="AD401" s="321"/>
      <c r="AE401" s="321">
        <f t="shared" si="35"/>
        <v>8178496.4111079974</v>
      </c>
      <c r="AF401" s="321">
        <f t="shared" si="35"/>
        <v>5342970.7006131588</v>
      </c>
      <c r="AG401" s="321">
        <f t="shared" si="35"/>
        <v>4863019.1706879744</v>
      </c>
      <c r="AH401" s="321">
        <f t="shared" si="35"/>
        <v>3408966.5860753078</v>
      </c>
      <c r="AI401" s="321">
        <f t="shared" si="35"/>
        <v>21793452.868484437</v>
      </c>
      <c r="AJ401" s="321"/>
      <c r="AK401" s="321">
        <f t="shared" si="35"/>
        <v>5388983.287481444</v>
      </c>
      <c r="AL401" s="321">
        <f t="shared" si="35"/>
        <v>1403753.7004830916</v>
      </c>
      <c r="AM401" s="321">
        <f t="shared" si="35"/>
        <v>3692341.1820330969</v>
      </c>
      <c r="AN401" s="321">
        <f t="shared" si="35"/>
        <v>2442099.0220588236</v>
      </c>
      <c r="AO401" s="321">
        <f t="shared" si="35"/>
        <v>12927177.192056457</v>
      </c>
      <c r="AP401" s="321">
        <f t="shared" si="35"/>
        <v>8866275.6764279809</v>
      </c>
    </row>
    <row r="402" spans="1:42" x14ac:dyDescent="0.25">
      <c r="A402" s="311">
        <v>3595008</v>
      </c>
      <c r="D402" s="311">
        <v>3595008</v>
      </c>
      <c r="E402" s="315" t="str">
        <f t="shared" si="31"/>
        <v>CVIČENÍ bydlení, práce, učení</v>
      </c>
      <c r="F402" s="315" t="str">
        <f t="shared" si="32"/>
        <v>SKOK do života o. p. s.</v>
      </c>
      <c r="G402" s="315" t="str">
        <f t="shared" si="33"/>
        <v>§ 70 - Sociální rehabilitace</v>
      </c>
      <c r="H402" s="315"/>
      <c r="I402" s="266" t="s">
        <v>1812</v>
      </c>
      <c r="J402" s="319"/>
      <c r="K402" s="266"/>
      <c r="L402" s="320"/>
      <c r="M402" s="321">
        <f t="shared" si="34"/>
        <v>6</v>
      </c>
      <c r="N402" s="321">
        <f t="shared" si="34"/>
        <v>4</v>
      </c>
      <c r="O402" s="321">
        <f t="shared" si="34"/>
        <v>2</v>
      </c>
      <c r="P402" s="321">
        <f t="shared" si="34"/>
        <v>0</v>
      </c>
      <c r="Q402" s="321">
        <f t="shared" si="34"/>
        <v>0</v>
      </c>
      <c r="R402" s="321">
        <f t="shared" si="34"/>
        <v>0</v>
      </c>
      <c r="S402" s="321">
        <f t="shared" si="34"/>
        <v>15</v>
      </c>
      <c r="T402" s="321">
        <f t="shared" si="34"/>
        <v>0</v>
      </c>
      <c r="U402" s="321">
        <f t="shared" si="34"/>
        <v>0</v>
      </c>
      <c r="V402" s="321"/>
      <c r="W402" s="321">
        <f t="shared" si="35"/>
        <v>6</v>
      </c>
      <c r="X402" s="321">
        <f t="shared" si="35"/>
        <v>4</v>
      </c>
      <c r="Y402" s="321">
        <f t="shared" si="35"/>
        <v>2</v>
      </c>
      <c r="Z402" s="321">
        <f t="shared" si="35"/>
        <v>0</v>
      </c>
      <c r="AA402" s="321">
        <f t="shared" si="35"/>
        <v>0</v>
      </c>
      <c r="AB402" s="321">
        <f t="shared" si="35"/>
        <v>0</v>
      </c>
      <c r="AC402" s="321">
        <f t="shared" si="35"/>
        <v>0</v>
      </c>
      <c r="AD402" s="321"/>
      <c r="AE402" s="321">
        <f t="shared" si="35"/>
        <v>4212561.7685592566</v>
      </c>
      <c r="AF402" s="321">
        <f t="shared" si="35"/>
        <v>0</v>
      </c>
      <c r="AG402" s="321">
        <f t="shared" si="35"/>
        <v>262865.01509002689</v>
      </c>
      <c r="AH402" s="321">
        <f t="shared" si="35"/>
        <v>0</v>
      </c>
      <c r="AI402" s="321">
        <f t="shared" si="35"/>
        <v>4475426.7836492835</v>
      </c>
      <c r="AJ402" s="321"/>
      <c r="AK402" s="321">
        <f t="shared" si="35"/>
        <v>0</v>
      </c>
      <c r="AL402" s="321">
        <f t="shared" si="35"/>
        <v>0</v>
      </c>
      <c r="AM402" s="321">
        <f t="shared" si="35"/>
        <v>0</v>
      </c>
      <c r="AN402" s="321">
        <f t="shared" si="35"/>
        <v>0</v>
      </c>
      <c r="AO402" s="321">
        <f t="shared" si="35"/>
        <v>0</v>
      </c>
      <c r="AP402" s="321">
        <f t="shared" si="35"/>
        <v>4475426.7836492835</v>
      </c>
    </row>
    <row r="403" spans="1:42" x14ac:dyDescent="0.25">
      <c r="A403" s="311">
        <v>3597628</v>
      </c>
      <c r="D403" s="311">
        <v>3597628</v>
      </c>
      <c r="E403" s="315" t="str">
        <f t="shared" si="31"/>
        <v>Pečovatelská služba</v>
      </c>
      <c r="F403" s="315" t="str">
        <f t="shared" si="32"/>
        <v>Centrum sociálních služeb Naděje Broumov</v>
      </c>
      <c r="G403" s="315" t="str">
        <f t="shared" si="33"/>
        <v>§ 40 - Pečovatelská služba</v>
      </c>
      <c r="H403" s="315"/>
      <c r="I403" s="266" t="s">
        <v>1812</v>
      </c>
      <c r="J403" s="319"/>
      <c r="K403" s="266"/>
      <c r="L403" s="320"/>
      <c r="M403" s="321">
        <f t="shared" si="34"/>
        <v>9</v>
      </c>
      <c r="N403" s="321">
        <f t="shared" si="34"/>
        <v>1</v>
      </c>
      <c r="O403" s="321">
        <f t="shared" si="34"/>
        <v>8</v>
      </c>
      <c r="P403" s="321">
        <f t="shared" si="34"/>
        <v>0</v>
      </c>
      <c r="Q403" s="321">
        <f t="shared" si="34"/>
        <v>0</v>
      </c>
      <c r="R403" s="321">
        <f t="shared" si="34"/>
        <v>0</v>
      </c>
      <c r="S403" s="321">
        <f t="shared" si="34"/>
        <v>70</v>
      </c>
      <c r="T403" s="321">
        <f t="shared" si="34"/>
        <v>0</v>
      </c>
      <c r="U403" s="321">
        <f t="shared" si="34"/>
        <v>0</v>
      </c>
      <c r="V403" s="321"/>
      <c r="W403" s="321">
        <f t="shared" si="35"/>
        <v>9</v>
      </c>
      <c r="X403" s="321">
        <f t="shared" si="35"/>
        <v>1</v>
      </c>
      <c r="Y403" s="321">
        <f t="shared" si="35"/>
        <v>8</v>
      </c>
      <c r="Z403" s="321">
        <f t="shared" si="35"/>
        <v>0</v>
      </c>
      <c r="AA403" s="321">
        <f t="shared" si="35"/>
        <v>0</v>
      </c>
      <c r="AB403" s="321">
        <f t="shared" si="35"/>
        <v>0</v>
      </c>
      <c r="AC403" s="321">
        <f t="shared" si="35"/>
        <v>0</v>
      </c>
      <c r="AD403" s="321"/>
      <c r="AE403" s="321">
        <f t="shared" si="35"/>
        <v>5196551.608677024</v>
      </c>
      <c r="AF403" s="321">
        <f t="shared" si="35"/>
        <v>0</v>
      </c>
      <c r="AG403" s="321">
        <f t="shared" si="35"/>
        <v>387483.52921333682</v>
      </c>
      <c r="AH403" s="321">
        <f t="shared" si="35"/>
        <v>0</v>
      </c>
      <c r="AI403" s="321">
        <f t="shared" si="35"/>
        <v>5584035.1378903612</v>
      </c>
      <c r="AJ403" s="321"/>
      <c r="AK403" s="321">
        <f t="shared" si="35"/>
        <v>1110041.8823529412</v>
      </c>
      <c r="AL403" s="321">
        <f t="shared" si="35"/>
        <v>0</v>
      </c>
      <c r="AM403" s="321">
        <f t="shared" si="35"/>
        <v>0</v>
      </c>
      <c r="AN403" s="321">
        <f t="shared" si="35"/>
        <v>0</v>
      </c>
      <c r="AO403" s="321">
        <f t="shared" si="35"/>
        <v>1110041.8823529412</v>
      </c>
      <c r="AP403" s="321">
        <f t="shared" si="35"/>
        <v>4473993.2555374205</v>
      </c>
    </row>
    <row r="404" spans="1:42" x14ac:dyDescent="0.25">
      <c r="A404" s="311">
        <v>3619533</v>
      </c>
      <c r="D404" s="311">
        <v>3619533</v>
      </c>
      <c r="E404" s="315" t="str">
        <f t="shared" si="31"/>
        <v>Domov pro seniory Jitřenka</v>
      </c>
      <c r="F404" s="315" t="str">
        <f t="shared" si="32"/>
        <v>Sociální služby Města Opočna</v>
      </c>
      <c r="G404" s="315" t="str">
        <f t="shared" si="33"/>
        <v>§ 49 - Domovy pro seniory</v>
      </c>
      <c r="H404" s="315"/>
      <c r="I404" s="266" t="s">
        <v>1812</v>
      </c>
      <c r="J404" s="319"/>
      <c r="K404" s="266"/>
      <c r="L404" s="320"/>
      <c r="M404" s="321">
        <f t="shared" si="34"/>
        <v>17.25</v>
      </c>
      <c r="N404" s="321">
        <f t="shared" si="34"/>
        <v>1</v>
      </c>
      <c r="O404" s="321">
        <f t="shared" si="34"/>
        <v>10</v>
      </c>
      <c r="P404" s="321">
        <f t="shared" si="34"/>
        <v>6.25</v>
      </c>
      <c r="Q404" s="321">
        <f t="shared" si="34"/>
        <v>0</v>
      </c>
      <c r="R404" s="321">
        <f t="shared" si="34"/>
        <v>35</v>
      </c>
      <c r="S404" s="321">
        <f t="shared" si="34"/>
        <v>0</v>
      </c>
      <c r="T404" s="321">
        <f t="shared" si="34"/>
        <v>0</v>
      </c>
      <c r="U404" s="321">
        <f t="shared" si="34"/>
        <v>0</v>
      </c>
      <c r="V404" s="321"/>
      <c r="W404" s="321">
        <f t="shared" si="35"/>
        <v>17.25</v>
      </c>
      <c r="X404" s="321">
        <f t="shared" si="35"/>
        <v>1</v>
      </c>
      <c r="Y404" s="321">
        <f t="shared" si="35"/>
        <v>10</v>
      </c>
      <c r="Z404" s="321">
        <f t="shared" si="35"/>
        <v>6.25</v>
      </c>
      <c r="AA404" s="321">
        <f t="shared" si="35"/>
        <v>0</v>
      </c>
      <c r="AB404" s="321">
        <f t="shared" si="35"/>
        <v>35</v>
      </c>
      <c r="AC404" s="321">
        <f t="shared" si="35"/>
        <v>0</v>
      </c>
      <c r="AD404" s="321"/>
      <c r="AE404" s="321">
        <f t="shared" si="35"/>
        <v>7496955.0435156645</v>
      </c>
      <c r="AF404" s="321">
        <f t="shared" si="35"/>
        <v>5300566.1712432131</v>
      </c>
      <c r="AG404" s="321">
        <f t="shared" si="35"/>
        <v>3545951.478626648</v>
      </c>
      <c r="AH404" s="321">
        <f t="shared" si="35"/>
        <v>2485704.8023465783</v>
      </c>
      <c r="AI404" s="321">
        <f t="shared" si="35"/>
        <v>18829177.495732103</v>
      </c>
      <c r="AJ404" s="321"/>
      <c r="AK404" s="321">
        <f t="shared" si="35"/>
        <v>3929466.9804552197</v>
      </c>
      <c r="AL404" s="321">
        <f t="shared" si="35"/>
        <v>1023570.4066022544</v>
      </c>
      <c r="AM404" s="321">
        <f t="shared" si="35"/>
        <v>2692332.1118991333</v>
      </c>
      <c r="AN404" s="321">
        <f t="shared" si="35"/>
        <v>1780697.2035845588</v>
      </c>
      <c r="AO404" s="321">
        <f t="shared" si="35"/>
        <v>9426066.7025411669</v>
      </c>
      <c r="AP404" s="321">
        <f t="shared" si="35"/>
        <v>9403110.7931909356</v>
      </c>
    </row>
    <row r="405" spans="1:42" x14ac:dyDescent="0.25">
      <c r="A405" s="311">
        <v>3650770</v>
      </c>
      <c r="D405" s="311">
        <v>3650770</v>
      </c>
      <c r="E405" s="315" t="str">
        <f t="shared" si="31"/>
        <v>Barevné domky Hajnice</v>
      </c>
      <c r="F405" s="315" t="str">
        <f t="shared" si="32"/>
        <v>Barevné domky Hajnice</v>
      </c>
      <c r="G405" s="315" t="str">
        <f t="shared" si="33"/>
        <v>§ 70 - Sociální rehabilitace</v>
      </c>
      <c r="H405" s="315"/>
      <c r="I405" s="266" t="s">
        <v>1812</v>
      </c>
      <c r="J405" s="319"/>
      <c r="K405" s="266"/>
      <c r="L405" s="320"/>
      <c r="M405" s="321">
        <f t="shared" si="34"/>
        <v>3.6</v>
      </c>
      <c r="N405" s="321">
        <f t="shared" si="34"/>
        <v>1.6</v>
      </c>
      <c r="O405" s="321">
        <f t="shared" si="34"/>
        <v>2</v>
      </c>
      <c r="P405" s="321">
        <f t="shared" si="34"/>
        <v>0</v>
      </c>
      <c r="Q405" s="321">
        <f t="shared" si="34"/>
        <v>0</v>
      </c>
      <c r="R405" s="321">
        <f t="shared" si="34"/>
        <v>0</v>
      </c>
      <c r="S405" s="321">
        <f t="shared" si="34"/>
        <v>10</v>
      </c>
      <c r="T405" s="321">
        <f t="shared" si="34"/>
        <v>0</v>
      </c>
      <c r="U405" s="321">
        <f t="shared" si="34"/>
        <v>0</v>
      </c>
      <c r="V405" s="321"/>
      <c r="W405" s="321">
        <f t="shared" si="35"/>
        <v>3.6</v>
      </c>
      <c r="X405" s="321">
        <f t="shared" si="35"/>
        <v>1.6</v>
      </c>
      <c r="Y405" s="321">
        <f t="shared" si="35"/>
        <v>2</v>
      </c>
      <c r="Z405" s="321">
        <f t="shared" si="35"/>
        <v>0</v>
      </c>
      <c r="AA405" s="321">
        <f t="shared" si="35"/>
        <v>0</v>
      </c>
      <c r="AB405" s="321">
        <f t="shared" si="35"/>
        <v>0</v>
      </c>
      <c r="AC405" s="321">
        <f t="shared" si="35"/>
        <v>0</v>
      </c>
      <c r="AD405" s="321"/>
      <c r="AE405" s="321">
        <f t="shared" si="35"/>
        <v>2527537.0611355542</v>
      </c>
      <c r="AF405" s="321">
        <f t="shared" si="35"/>
        <v>0</v>
      </c>
      <c r="AG405" s="321">
        <f t="shared" si="35"/>
        <v>157719.00905401615</v>
      </c>
      <c r="AH405" s="321">
        <f t="shared" si="35"/>
        <v>0</v>
      </c>
      <c r="AI405" s="321">
        <f t="shared" si="35"/>
        <v>2685256.0701895705</v>
      </c>
      <c r="AJ405" s="321"/>
      <c r="AK405" s="321">
        <f t="shared" si="35"/>
        <v>0</v>
      </c>
      <c r="AL405" s="321">
        <f t="shared" si="35"/>
        <v>0</v>
      </c>
      <c r="AM405" s="321">
        <f t="shared" si="35"/>
        <v>0</v>
      </c>
      <c r="AN405" s="321">
        <f t="shared" si="35"/>
        <v>0</v>
      </c>
      <c r="AO405" s="321">
        <f t="shared" si="35"/>
        <v>0</v>
      </c>
      <c r="AP405" s="321">
        <f t="shared" si="35"/>
        <v>2685256.0701895705</v>
      </c>
    </row>
    <row r="406" spans="1:42" x14ac:dyDescent="0.25">
      <c r="A406" s="311">
        <v>3673053</v>
      </c>
      <c r="D406" s="311">
        <v>3673053</v>
      </c>
      <c r="E406" s="315" t="str">
        <f t="shared" si="31"/>
        <v>Denní stacionář APROPO</v>
      </c>
      <c r="F406" s="315" t="str">
        <f t="shared" si="32"/>
        <v>Apropo Jičín, o. p. s.</v>
      </c>
      <c r="G406" s="315" t="str">
        <f t="shared" si="33"/>
        <v>§ 46 - Denní stacionáře</v>
      </c>
      <c r="H406" s="315"/>
      <c r="I406" s="266" t="s">
        <v>1812</v>
      </c>
      <c r="J406" s="319"/>
      <c r="K406" s="266"/>
      <c r="L406" s="320"/>
      <c r="M406" s="321">
        <f t="shared" si="34"/>
        <v>17.25</v>
      </c>
      <c r="N406" s="321">
        <f t="shared" si="34"/>
        <v>2.65</v>
      </c>
      <c r="O406" s="321">
        <f t="shared" si="34"/>
        <v>13.4</v>
      </c>
      <c r="P406" s="321">
        <f t="shared" si="34"/>
        <v>0</v>
      </c>
      <c r="Q406" s="321">
        <f t="shared" si="34"/>
        <v>1.2</v>
      </c>
      <c r="R406" s="321">
        <f t="shared" si="34"/>
        <v>0</v>
      </c>
      <c r="S406" s="321">
        <f t="shared" si="34"/>
        <v>0</v>
      </c>
      <c r="T406" s="321">
        <f t="shared" si="34"/>
        <v>32</v>
      </c>
      <c r="U406" s="321">
        <f t="shared" si="34"/>
        <v>0</v>
      </c>
      <c r="V406" s="321"/>
      <c r="W406" s="321">
        <f t="shared" si="35"/>
        <v>17.25</v>
      </c>
      <c r="X406" s="321">
        <f t="shared" si="35"/>
        <v>2.65</v>
      </c>
      <c r="Y406" s="321">
        <f t="shared" si="35"/>
        <v>13.4</v>
      </c>
      <c r="Z406" s="321">
        <f t="shared" si="35"/>
        <v>0</v>
      </c>
      <c r="AA406" s="321">
        <f t="shared" si="35"/>
        <v>1.2</v>
      </c>
      <c r="AB406" s="321">
        <f t="shared" si="35"/>
        <v>0</v>
      </c>
      <c r="AC406" s="321">
        <f t="shared" si="35"/>
        <v>32</v>
      </c>
      <c r="AD406" s="321"/>
      <c r="AE406" s="321">
        <f t="shared" si="35"/>
        <v>12830159.000183914</v>
      </c>
      <c r="AF406" s="321">
        <f t="shared" si="35"/>
        <v>0</v>
      </c>
      <c r="AG406" s="321">
        <f t="shared" si="35"/>
        <v>893000.11476189177</v>
      </c>
      <c r="AH406" s="321">
        <f t="shared" si="35"/>
        <v>175262.43366203256</v>
      </c>
      <c r="AI406" s="321">
        <f t="shared" si="35"/>
        <v>13898421.548607839</v>
      </c>
      <c r="AJ406" s="321"/>
      <c r="AK406" s="321">
        <f t="shared" si="35"/>
        <v>1969444.5751633984</v>
      </c>
      <c r="AL406" s="321">
        <f t="shared" si="35"/>
        <v>0</v>
      </c>
      <c r="AM406" s="321">
        <f t="shared" si="35"/>
        <v>0</v>
      </c>
      <c r="AN406" s="321">
        <f t="shared" si="35"/>
        <v>174473.84615384616</v>
      </c>
      <c r="AO406" s="321">
        <f t="shared" si="35"/>
        <v>2143918.4213172444</v>
      </c>
      <c r="AP406" s="321">
        <f t="shared" si="35"/>
        <v>11754503.127290595</v>
      </c>
    </row>
    <row r="407" spans="1:42" x14ac:dyDescent="0.25">
      <c r="A407" s="311">
        <v>3713907</v>
      </c>
      <c r="D407" s="311">
        <v>3713907</v>
      </c>
      <c r="E407" s="315" t="str">
        <f t="shared" si="31"/>
        <v>Domov sociálních služeb Skřivany</v>
      </c>
      <c r="F407" s="315" t="str">
        <f t="shared" si="32"/>
        <v>Domov sociálních služeb Skřivany</v>
      </c>
      <c r="G407" s="315" t="str">
        <f t="shared" si="33"/>
        <v>§ 48 - Domovy pro osoby se zdravotním postižením</v>
      </c>
      <c r="H407" s="315"/>
      <c r="I407" s="266" t="s">
        <v>1812</v>
      </c>
      <c r="J407" s="319"/>
      <c r="K407" s="266"/>
      <c r="L407" s="320"/>
      <c r="M407" s="321">
        <f t="shared" si="34"/>
        <v>37.299999999999997</v>
      </c>
      <c r="N407" s="321">
        <f t="shared" si="34"/>
        <v>1.9</v>
      </c>
      <c r="O407" s="321">
        <f t="shared" si="34"/>
        <v>27.4</v>
      </c>
      <c r="P407" s="321">
        <f t="shared" si="34"/>
        <v>8</v>
      </c>
      <c r="Q407" s="321">
        <f t="shared" si="34"/>
        <v>0</v>
      </c>
      <c r="R407" s="321">
        <f t="shared" si="34"/>
        <v>74</v>
      </c>
      <c r="S407" s="321">
        <f t="shared" si="34"/>
        <v>0</v>
      </c>
      <c r="T407" s="321">
        <f t="shared" si="34"/>
        <v>0</v>
      </c>
      <c r="U407" s="321">
        <f t="shared" si="34"/>
        <v>0</v>
      </c>
      <c r="V407" s="321"/>
      <c r="W407" s="321">
        <f t="shared" si="35"/>
        <v>37.299999999999997</v>
      </c>
      <c r="X407" s="321">
        <f t="shared" si="35"/>
        <v>1.9</v>
      </c>
      <c r="Y407" s="321">
        <f t="shared" si="35"/>
        <v>27.4</v>
      </c>
      <c r="Z407" s="321">
        <f t="shared" si="35"/>
        <v>8</v>
      </c>
      <c r="AA407" s="321">
        <f t="shared" si="35"/>
        <v>0</v>
      </c>
      <c r="AB407" s="321">
        <f t="shared" si="35"/>
        <v>74</v>
      </c>
      <c r="AC407" s="321">
        <f t="shared" si="35"/>
        <v>0</v>
      </c>
      <c r="AD407" s="321"/>
      <c r="AE407" s="321">
        <f t="shared" si="35"/>
        <v>19601831.606118146</v>
      </c>
      <c r="AF407" s="321">
        <f t="shared" si="35"/>
        <v>6793643.6572648417</v>
      </c>
      <c r="AG407" s="321">
        <f t="shared" si="35"/>
        <v>7784159.2691348083</v>
      </c>
      <c r="AH407" s="321">
        <f t="shared" si="35"/>
        <v>4999872.3456299752</v>
      </c>
      <c r="AI407" s="321">
        <f t="shared" si="35"/>
        <v>39179506.878147766</v>
      </c>
      <c r="AJ407" s="321"/>
      <c r="AK407" s="321">
        <f t="shared" si="35"/>
        <v>7852906.3352941182</v>
      </c>
      <c r="AL407" s="321">
        <f t="shared" si="35"/>
        <v>1949879.6862745096</v>
      </c>
      <c r="AM407" s="321">
        <f t="shared" si="35"/>
        <v>3539809.4736842108</v>
      </c>
      <c r="AN407" s="321">
        <f t="shared" si="35"/>
        <v>3349954.1</v>
      </c>
      <c r="AO407" s="321">
        <f t="shared" si="35"/>
        <v>16692549.595252838</v>
      </c>
      <c r="AP407" s="321">
        <f t="shared" si="35"/>
        <v>22486957.282894928</v>
      </c>
    </row>
    <row r="408" spans="1:42" x14ac:dyDescent="0.25">
      <c r="A408" s="311">
        <v>3736692</v>
      </c>
      <c r="D408" s="311">
        <v>3736692</v>
      </c>
      <c r="E408" s="315" t="str">
        <f t="shared" si="31"/>
        <v>Průvodcovské a předčitatelské služby</v>
      </c>
      <c r="F408" s="315" t="str">
        <f t="shared" si="32"/>
        <v>TyfloCentrum Hradec Králové, o. p. s.</v>
      </c>
      <c r="G408" s="315" t="str">
        <f t="shared" si="33"/>
        <v>§ 42 - Průvodcovské a předčítatelské služby</v>
      </c>
      <c r="H408" s="315"/>
      <c r="I408" s="266" t="s">
        <v>1812</v>
      </c>
      <c r="J408" s="319"/>
      <c r="K408" s="266"/>
      <c r="L408" s="320"/>
      <c r="M408" s="321">
        <f t="shared" si="34"/>
        <v>1.25</v>
      </c>
      <c r="N408" s="321">
        <f t="shared" si="34"/>
        <v>0.5</v>
      </c>
      <c r="O408" s="321">
        <f t="shared" si="34"/>
        <v>0.75</v>
      </c>
      <c r="P408" s="321">
        <f t="shared" si="34"/>
        <v>0</v>
      </c>
      <c r="Q408" s="321">
        <f t="shared" si="34"/>
        <v>0</v>
      </c>
      <c r="R408" s="321">
        <f t="shared" si="34"/>
        <v>0</v>
      </c>
      <c r="S408" s="321">
        <f t="shared" si="34"/>
        <v>2</v>
      </c>
      <c r="T408" s="321">
        <f t="shared" si="34"/>
        <v>0</v>
      </c>
      <c r="U408" s="321">
        <f t="shared" si="34"/>
        <v>0</v>
      </c>
      <c r="V408" s="321"/>
      <c r="W408" s="321">
        <f t="shared" si="35"/>
        <v>1.25</v>
      </c>
      <c r="X408" s="321">
        <f t="shared" si="35"/>
        <v>0.5</v>
      </c>
      <c r="Y408" s="321">
        <f t="shared" si="35"/>
        <v>0.75</v>
      </c>
      <c r="Z408" s="321">
        <f t="shared" si="35"/>
        <v>0</v>
      </c>
      <c r="AA408" s="321">
        <f t="shared" si="35"/>
        <v>0</v>
      </c>
      <c r="AB408" s="321">
        <f t="shared" si="35"/>
        <v>0</v>
      </c>
      <c r="AC408" s="321">
        <f t="shared" si="35"/>
        <v>0</v>
      </c>
      <c r="AD408" s="321"/>
      <c r="AE408" s="321">
        <f t="shared" si="35"/>
        <v>811223.14477634744</v>
      </c>
      <c r="AF408" s="321">
        <f t="shared" si="35"/>
        <v>0</v>
      </c>
      <c r="AG408" s="321">
        <f t="shared" si="35"/>
        <v>52797.933351892527</v>
      </c>
      <c r="AH408" s="321">
        <f t="shared" si="35"/>
        <v>0</v>
      </c>
      <c r="AI408" s="321">
        <f t="shared" si="35"/>
        <v>864021.07812823995</v>
      </c>
      <c r="AJ408" s="321"/>
      <c r="AK408" s="321">
        <f t="shared" si="35"/>
        <v>64209.269521410584</v>
      </c>
      <c r="AL408" s="321">
        <f t="shared" si="35"/>
        <v>0</v>
      </c>
      <c r="AM408" s="321">
        <f t="shared" si="35"/>
        <v>0</v>
      </c>
      <c r="AN408" s="321">
        <f t="shared" si="35"/>
        <v>0</v>
      </c>
      <c r="AO408" s="321">
        <f t="shared" si="35"/>
        <v>64209.269521410584</v>
      </c>
      <c r="AP408" s="321">
        <f t="shared" si="35"/>
        <v>799811.80860682938</v>
      </c>
    </row>
    <row r="409" spans="1:42" x14ac:dyDescent="0.25">
      <c r="A409" s="311">
        <v>3741470</v>
      </c>
      <c r="D409" s="311">
        <v>3741470</v>
      </c>
      <c r="E409" s="315" t="str">
        <f t="shared" si="31"/>
        <v>Sociální rehabilitace - středisko Jičín</v>
      </c>
      <c r="F409" s="315" t="str">
        <f t="shared" si="32"/>
        <v>Péče o duševní zdraví, z.s.</v>
      </c>
      <c r="G409" s="315" t="str">
        <f t="shared" si="33"/>
        <v>§ 70 - Sociální rehabilitace</v>
      </c>
      <c r="H409" s="315"/>
      <c r="I409" s="266" t="s">
        <v>1812</v>
      </c>
      <c r="J409" s="319"/>
      <c r="K409" s="266"/>
      <c r="L409" s="320"/>
      <c r="M409" s="321">
        <f t="shared" si="34"/>
        <v>7.5</v>
      </c>
      <c r="N409" s="321">
        <f t="shared" si="34"/>
        <v>7.5</v>
      </c>
      <c r="O409" s="321">
        <f t="shared" si="34"/>
        <v>0</v>
      </c>
      <c r="P409" s="321">
        <f t="shared" si="34"/>
        <v>0</v>
      </c>
      <c r="Q409" s="321">
        <f t="shared" si="34"/>
        <v>0</v>
      </c>
      <c r="R409" s="321">
        <f t="shared" si="34"/>
        <v>0</v>
      </c>
      <c r="S409" s="321">
        <f t="shared" si="34"/>
        <v>30</v>
      </c>
      <c r="T409" s="321">
        <f t="shared" si="34"/>
        <v>0</v>
      </c>
      <c r="U409" s="321">
        <f t="shared" si="34"/>
        <v>0</v>
      </c>
      <c r="V409" s="321"/>
      <c r="W409" s="321">
        <f t="shared" si="35"/>
        <v>7.5</v>
      </c>
      <c r="X409" s="321">
        <f t="shared" si="35"/>
        <v>7.5</v>
      </c>
      <c r="Y409" s="321">
        <f t="shared" si="35"/>
        <v>0</v>
      </c>
      <c r="Z409" s="321">
        <f t="shared" si="35"/>
        <v>0</v>
      </c>
      <c r="AA409" s="321">
        <f t="shared" si="35"/>
        <v>0</v>
      </c>
      <c r="AB409" s="321">
        <f t="shared" si="35"/>
        <v>0</v>
      </c>
      <c r="AC409" s="321">
        <f t="shared" ref="W409:AP421" si="36">SUMIFS(AC$4:AC$318,$D$4:$D$318,$D409)</f>
        <v>0</v>
      </c>
      <c r="AD409" s="321"/>
      <c r="AE409" s="321">
        <f t="shared" si="36"/>
        <v>5265702.2106990712</v>
      </c>
      <c r="AF409" s="321">
        <f t="shared" si="36"/>
        <v>0</v>
      </c>
      <c r="AG409" s="321">
        <f t="shared" si="36"/>
        <v>328581.26886253362</v>
      </c>
      <c r="AH409" s="321">
        <f t="shared" si="36"/>
        <v>0</v>
      </c>
      <c r="AI409" s="321">
        <f t="shared" si="36"/>
        <v>5594283.4795616046</v>
      </c>
      <c r="AJ409" s="321"/>
      <c r="AK409" s="321">
        <f t="shared" si="36"/>
        <v>0</v>
      </c>
      <c r="AL409" s="321">
        <f t="shared" si="36"/>
        <v>0</v>
      </c>
      <c r="AM409" s="321">
        <f t="shared" si="36"/>
        <v>0</v>
      </c>
      <c r="AN409" s="321">
        <f t="shared" si="36"/>
        <v>0</v>
      </c>
      <c r="AO409" s="321">
        <f t="shared" si="36"/>
        <v>0</v>
      </c>
      <c r="AP409" s="321">
        <f t="shared" si="36"/>
        <v>5594283.4795616046</v>
      </c>
    </row>
    <row r="410" spans="1:42" x14ac:dyDescent="0.25">
      <c r="A410" s="311">
        <v>3754207</v>
      </c>
      <c r="D410" s="311">
        <v>3754207</v>
      </c>
      <c r="E410" s="315" t="str">
        <f t="shared" si="31"/>
        <v>Domov důchodců Černožice</v>
      </c>
      <c r="F410" s="315" t="str">
        <f t="shared" si="32"/>
        <v>Domov důchodců Černožice</v>
      </c>
      <c r="G410" s="315" t="str">
        <f t="shared" si="33"/>
        <v>§ 50 - Domovy se zvláštním režimem</v>
      </c>
      <c r="H410" s="315"/>
      <c r="I410" s="266" t="s">
        <v>1812</v>
      </c>
      <c r="J410" s="319"/>
      <c r="K410" s="266"/>
      <c r="L410" s="320"/>
      <c r="M410" s="321">
        <f t="shared" si="34"/>
        <v>48.57</v>
      </c>
      <c r="N410" s="321">
        <f t="shared" si="34"/>
        <v>3.36</v>
      </c>
      <c r="O410" s="321">
        <f t="shared" si="34"/>
        <v>35.130000000000003</v>
      </c>
      <c r="P410" s="321">
        <f t="shared" si="34"/>
        <v>10.08</v>
      </c>
      <c r="Q410" s="321">
        <f t="shared" si="34"/>
        <v>0</v>
      </c>
      <c r="R410" s="321">
        <f t="shared" si="34"/>
        <v>86</v>
      </c>
      <c r="S410" s="321">
        <f t="shared" si="34"/>
        <v>0</v>
      </c>
      <c r="T410" s="321">
        <f t="shared" si="34"/>
        <v>0</v>
      </c>
      <c r="U410" s="321">
        <f t="shared" si="34"/>
        <v>0</v>
      </c>
      <c r="V410" s="321"/>
      <c r="W410" s="321">
        <f t="shared" si="36"/>
        <v>48.57</v>
      </c>
      <c r="X410" s="321">
        <f t="shared" si="36"/>
        <v>3.36</v>
      </c>
      <c r="Y410" s="321">
        <f t="shared" si="36"/>
        <v>35.130000000000003</v>
      </c>
      <c r="Z410" s="321">
        <f t="shared" si="36"/>
        <v>10.08</v>
      </c>
      <c r="AA410" s="321">
        <f t="shared" si="36"/>
        <v>0</v>
      </c>
      <c r="AB410" s="321">
        <f t="shared" si="36"/>
        <v>86</v>
      </c>
      <c r="AC410" s="321">
        <f t="shared" si="36"/>
        <v>0</v>
      </c>
      <c r="AD410" s="321"/>
      <c r="AE410" s="321">
        <f t="shared" si="36"/>
        <v>25681611.777231641</v>
      </c>
      <c r="AF410" s="321">
        <f t="shared" si="36"/>
        <v>8526786.5627890322</v>
      </c>
      <c r="AG410" s="321">
        <f t="shared" si="36"/>
        <v>8570568.1177334432</v>
      </c>
      <c r="AH410" s="321">
        <f t="shared" si="36"/>
        <v>5788195.3535405751</v>
      </c>
      <c r="AI410" s="321">
        <f t="shared" si="36"/>
        <v>48567161.81129469</v>
      </c>
      <c r="AJ410" s="321"/>
      <c r="AK410" s="321">
        <f t="shared" si="36"/>
        <v>10325866.92</v>
      </c>
      <c r="AL410" s="321">
        <f t="shared" si="36"/>
        <v>1933460.2774999999</v>
      </c>
      <c r="AM410" s="321">
        <f t="shared" si="36"/>
        <v>6229997.1724137934</v>
      </c>
      <c r="AN410" s="321">
        <f t="shared" si="36"/>
        <v>4386116.0999999996</v>
      </c>
      <c r="AO410" s="321">
        <f t="shared" si="36"/>
        <v>22875440.469913796</v>
      </c>
      <c r="AP410" s="321">
        <f t="shared" si="36"/>
        <v>25691721.341380894</v>
      </c>
    </row>
    <row r="411" spans="1:42" x14ac:dyDescent="0.25">
      <c r="A411" s="311">
        <v>3810187</v>
      </c>
      <c r="D411" s="311">
        <v>3810187</v>
      </c>
      <c r="E411" s="315" t="str">
        <f t="shared" si="31"/>
        <v>Pečovatelská služba Vrchlabí</v>
      </c>
      <c r="F411" s="315" t="str">
        <f t="shared" si="32"/>
        <v>Město Vrchlabí</v>
      </c>
      <c r="G411" s="315" t="str">
        <f t="shared" si="33"/>
        <v>§ 40 - Pečovatelská služba</v>
      </c>
      <c r="H411" s="315"/>
      <c r="I411" s="266" t="s">
        <v>1812</v>
      </c>
      <c r="J411" s="319"/>
      <c r="K411" s="266"/>
      <c r="L411" s="320"/>
      <c r="M411" s="321">
        <f t="shared" si="34"/>
        <v>10</v>
      </c>
      <c r="N411" s="321">
        <f t="shared" si="34"/>
        <v>1</v>
      </c>
      <c r="O411" s="321">
        <f t="shared" si="34"/>
        <v>9</v>
      </c>
      <c r="P411" s="321">
        <f t="shared" si="34"/>
        <v>0</v>
      </c>
      <c r="Q411" s="321">
        <f t="shared" si="34"/>
        <v>0</v>
      </c>
      <c r="R411" s="321">
        <f t="shared" si="34"/>
        <v>0</v>
      </c>
      <c r="S411" s="321">
        <f t="shared" si="34"/>
        <v>132</v>
      </c>
      <c r="T411" s="321">
        <f t="shared" si="34"/>
        <v>0</v>
      </c>
      <c r="U411" s="321">
        <f t="shared" si="34"/>
        <v>0</v>
      </c>
      <c r="V411" s="321"/>
      <c r="W411" s="321">
        <f t="shared" si="36"/>
        <v>10</v>
      </c>
      <c r="X411" s="321">
        <f t="shared" si="36"/>
        <v>1</v>
      </c>
      <c r="Y411" s="321">
        <f t="shared" si="36"/>
        <v>9</v>
      </c>
      <c r="Z411" s="321">
        <f t="shared" si="36"/>
        <v>0</v>
      </c>
      <c r="AA411" s="321">
        <f t="shared" si="36"/>
        <v>0</v>
      </c>
      <c r="AB411" s="321">
        <f t="shared" si="36"/>
        <v>0</v>
      </c>
      <c r="AC411" s="321">
        <f t="shared" si="36"/>
        <v>0</v>
      </c>
      <c r="AD411" s="321"/>
      <c r="AE411" s="321">
        <f t="shared" si="36"/>
        <v>5773946.2318633599</v>
      </c>
      <c r="AF411" s="321">
        <f t="shared" si="36"/>
        <v>0</v>
      </c>
      <c r="AG411" s="321">
        <f t="shared" si="36"/>
        <v>430537.25468148536</v>
      </c>
      <c r="AH411" s="321">
        <f t="shared" si="36"/>
        <v>0</v>
      </c>
      <c r="AI411" s="321">
        <f t="shared" si="36"/>
        <v>6204483.4865448456</v>
      </c>
      <c r="AJ411" s="321"/>
      <c r="AK411" s="321">
        <f t="shared" si="36"/>
        <v>1248797.1176470588</v>
      </c>
      <c r="AL411" s="321">
        <f t="shared" si="36"/>
        <v>0</v>
      </c>
      <c r="AM411" s="321">
        <f t="shared" si="36"/>
        <v>0</v>
      </c>
      <c r="AN411" s="321">
        <f t="shared" si="36"/>
        <v>0</v>
      </c>
      <c r="AO411" s="321">
        <f t="shared" si="36"/>
        <v>1248797.1176470588</v>
      </c>
      <c r="AP411" s="321">
        <f t="shared" si="36"/>
        <v>4955686.3688977864</v>
      </c>
    </row>
    <row r="412" spans="1:42" x14ac:dyDescent="0.25">
      <c r="A412" s="311">
        <v>3921078</v>
      </c>
      <c r="D412" s="311">
        <v>3921078</v>
      </c>
      <c r="E412" s="315" t="str">
        <f t="shared" si="31"/>
        <v>Spokojený domov, o.p.s.</v>
      </c>
      <c r="F412" s="315" t="str">
        <f t="shared" si="32"/>
        <v>Spokojený domov, o.p.s.</v>
      </c>
      <c r="G412" s="315" t="str">
        <f t="shared" si="33"/>
        <v>§ 40 - Pečovatelská služba</v>
      </c>
      <c r="H412" s="315"/>
      <c r="I412" s="266" t="s">
        <v>1812</v>
      </c>
      <c r="J412" s="319"/>
      <c r="K412" s="266"/>
      <c r="L412" s="320"/>
      <c r="M412" s="321">
        <f t="shared" si="34"/>
        <v>1.57</v>
      </c>
      <c r="N412" s="321">
        <f t="shared" si="34"/>
        <v>0.1</v>
      </c>
      <c r="O412" s="321">
        <f t="shared" si="34"/>
        <v>1.47</v>
      </c>
      <c r="P412" s="321">
        <f t="shared" si="34"/>
        <v>0</v>
      </c>
      <c r="Q412" s="321">
        <f t="shared" si="34"/>
        <v>0</v>
      </c>
      <c r="R412" s="321">
        <f t="shared" si="34"/>
        <v>0</v>
      </c>
      <c r="S412" s="321">
        <f t="shared" si="34"/>
        <v>0</v>
      </c>
      <c r="T412" s="321">
        <f t="shared" si="34"/>
        <v>3</v>
      </c>
      <c r="U412" s="321">
        <f t="shared" ref="N412:U427" si="37">SUMIFS(U$4:U$318,$D$4:$D$318,$D412)</f>
        <v>0</v>
      </c>
      <c r="V412" s="321"/>
      <c r="W412" s="321">
        <f t="shared" si="36"/>
        <v>1.57</v>
      </c>
      <c r="X412" s="321">
        <f t="shared" si="36"/>
        <v>0.1</v>
      </c>
      <c r="Y412" s="321">
        <f t="shared" si="36"/>
        <v>1.47</v>
      </c>
      <c r="Z412" s="321">
        <f t="shared" si="36"/>
        <v>0</v>
      </c>
      <c r="AA412" s="321">
        <f t="shared" si="36"/>
        <v>0</v>
      </c>
      <c r="AB412" s="321">
        <f t="shared" si="36"/>
        <v>0</v>
      </c>
      <c r="AC412" s="321">
        <f t="shared" si="36"/>
        <v>3</v>
      </c>
      <c r="AD412" s="321"/>
      <c r="AE412" s="321">
        <f t="shared" si="36"/>
        <v>906509.55840254761</v>
      </c>
      <c r="AF412" s="321">
        <f t="shared" si="36"/>
        <v>0</v>
      </c>
      <c r="AG412" s="321">
        <f t="shared" si="36"/>
        <v>67594.348984993208</v>
      </c>
      <c r="AH412" s="321">
        <f t="shared" si="36"/>
        <v>0</v>
      </c>
      <c r="AI412" s="321">
        <f t="shared" si="36"/>
        <v>974103.90738754079</v>
      </c>
      <c r="AJ412" s="321"/>
      <c r="AK412" s="321">
        <f t="shared" si="36"/>
        <v>203970.19588235294</v>
      </c>
      <c r="AL412" s="321">
        <f t="shared" si="36"/>
        <v>0</v>
      </c>
      <c r="AM412" s="321">
        <f t="shared" si="36"/>
        <v>0</v>
      </c>
      <c r="AN412" s="321">
        <f t="shared" si="36"/>
        <v>0</v>
      </c>
      <c r="AO412" s="321">
        <f t="shared" si="36"/>
        <v>203970.19588235294</v>
      </c>
      <c r="AP412" s="321">
        <f t="shared" si="36"/>
        <v>770133.71150518791</v>
      </c>
    </row>
    <row r="413" spans="1:42" x14ac:dyDescent="0.25">
      <c r="A413" s="311">
        <v>3943362</v>
      </c>
      <c r="D413" s="311">
        <v>3943362</v>
      </c>
      <c r="E413" s="315" t="str">
        <f t="shared" si="31"/>
        <v>Domov důchodců Lampertice</v>
      </c>
      <c r="F413" s="315" t="str">
        <f t="shared" si="32"/>
        <v>Domov důchodců Lampertice</v>
      </c>
      <c r="G413" s="315" t="str">
        <f t="shared" si="33"/>
        <v>§ 49 - Domovy pro seniory</v>
      </c>
      <c r="H413" s="315"/>
      <c r="I413" s="266" t="s">
        <v>1812</v>
      </c>
      <c r="J413" s="319"/>
      <c r="K413" s="266"/>
      <c r="L413" s="320"/>
      <c r="M413" s="321">
        <f t="shared" si="34"/>
        <v>23</v>
      </c>
      <c r="N413" s="321">
        <f t="shared" si="37"/>
        <v>2</v>
      </c>
      <c r="O413" s="321">
        <f t="shared" si="37"/>
        <v>13</v>
      </c>
      <c r="P413" s="321">
        <f t="shared" si="37"/>
        <v>8</v>
      </c>
      <c r="Q413" s="321">
        <f t="shared" si="37"/>
        <v>0</v>
      </c>
      <c r="R413" s="321">
        <f t="shared" si="37"/>
        <v>52</v>
      </c>
      <c r="S413" s="321">
        <f t="shared" si="37"/>
        <v>0</v>
      </c>
      <c r="T413" s="321">
        <f t="shared" si="37"/>
        <v>0</v>
      </c>
      <c r="U413" s="321">
        <f t="shared" si="37"/>
        <v>0</v>
      </c>
      <c r="V413" s="321"/>
      <c r="W413" s="321">
        <f t="shared" si="36"/>
        <v>23</v>
      </c>
      <c r="X413" s="321">
        <f t="shared" si="36"/>
        <v>2</v>
      </c>
      <c r="Y413" s="321">
        <f t="shared" si="36"/>
        <v>13</v>
      </c>
      <c r="Z413" s="321">
        <f t="shared" si="36"/>
        <v>8</v>
      </c>
      <c r="AA413" s="321">
        <f t="shared" si="36"/>
        <v>0</v>
      </c>
      <c r="AB413" s="321">
        <f t="shared" si="36"/>
        <v>52</v>
      </c>
      <c r="AC413" s="321">
        <f t="shared" si="36"/>
        <v>0</v>
      </c>
      <c r="AD413" s="321"/>
      <c r="AE413" s="321">
        <f t="shared" si="36"/>
        <v>10223120.513884997</v>
      </c>
      <c r="AF413" s="321">
        <f t="shared" si="36"/>
        <v>6784724.6991913132</v>
      </c>
      <c r="AG413" s="321">
        <f t="shared" si="36"/>
        <v>5268270.7682453059</v>
      </c>
      <c r="AH413" s="321">
        <f t="shared" si="36"/>
        <v>3693047.1349149165</v>
      </c>
      <c r="AI413" s="321">
        <f t="shared" si="36"/>
        <v>25969163.11623653</v>
      </c>
      <c r="AJ413" s="321"/>
      <c r="AK413" s="321">
        <f t="shared" si="36"/>
        <v>5838065.2281048978</v>
      </c>
      <c r="AL413" s="321">
        <f t="shared" si="36"/>
        <v>1520733.1755233493</v>
      </c>
      <c r="AM413" s="321">
        <f t="shared" si="36"/>
        <v>4000036.2805358549</v>
      </c>
      <c r="AN413" s="321">
        <f t="shared" si="36"/>
        <v>2645607.2738970588</v>
      </c>
      <c r="AO413" s="321">
        <f t="shared" si="36"/>
        <v>14004441.958061161</v>
      </c>
      <c r="AP413" s="321">
        <f t="shared" si="36"/>
        <v>11964721.15817537</v>
      </c>
    </row>
    <row r="414" spans="1:42" x14ac:dyDescent="0.25">
      <c r="A414" s="311">
        <v>3994122</v>
      </c>
      <c r="D414" s="311">
        <v>3994122</v>
      </c>
      <c r="E414" s="315" t="str">
        <f t="shared" si="31"/>
        <v>Centrum prevence Mandl</v>
      </c>
      <c r="F414" s="315" t="str">
        <f t="shared" si="32"/>
        <v>Město Nové Město nad Metují</v>
      </c>
      <c r="G414" s="315" t="str">
        <f t="shared" si="33"/>
        <v>§ 70 - Sociální rehabilitace</v>
      </c>
      <c r="H414" s="315"/>
      <c r="I414" s="266" t="s">
        <v>1812</v>
      </c>
      <c r="J414" s="319"/>
      <c r="K414" s="266"/>
      <c r="L414" s="320"/>
      <c r="M414" s="321">
        <f t="shared" si="34"/>
        <v>3.2</v>
      </c>
      <c r="N414" s="321">
        <f t="shared" si="37"/>
        <v>2.2000000000000002</v>
      </c>
      <c r="O414" s="321">
        <f t="shared" si="37"/>
        <v>1</v>
      </c>
      <c r="P414" s="321">
        <f t="shared" si="37"/>
        <v>0</v>
      </c>
      <c r="Q414" s="321">
        <f t="shared" si="37"/>
        <v>0</v>
      </c>
      <c r="R414" s="321">
        <f t="shared" si="37"/>
        <v>0</v>
      </c>
      <c r="S414" s="321">
        <f t="shared" si="37"/>
        <v>15</v>
      </c>
      <c r="T414" s="321">
        <f t="shared" si="37"/>
        <v>25</v>
      </c>
      <c r="U414" s="321">
        <f t="shared" si="37"/>
        <v>0</v>
      </c>
      <c r="V414" s="321"/>
      <c r="W414" s="321">
        <f t="shared" si="36"/>
        <v>3.2</v>
      </c>
      <c r="X414" s="321">
        <f t="shared" si="36"/>
        <v>2.2000000000000002</v>
      </c>
      <c r="Y414" s="321">
        <f t="shared" si="36"/>
        <v>1</v>
      </c>
      <c r="Z414" s="321">
        <f t="shared" si="36"/>
        <v>0</v>
      </c>
      <c r="AA414" s="321">
        <f t="shared" si="36"/>
        <v>0</v>
      </c>
      <c r="AB414" s="321">
        <f t="shared" si="36"/>
        <v>0</v>
      </c>
      <c r="AC414" s="321">
        <f t="shared" si="36"/>
        <v>25</v>
      </c>
      <c r="AD414" s="321"/>
      <c r="AE414" s="321">
        <f t="shared" si="36"/>
        <v>2246699.6098982706</v>
      </c>
      <c r="AF414" s="321">
        <f t="shared" si="36"/>
        <v>0</v>
      </c>
      <c r="AG414" s="321">
        <f t="shared" si="36"/>
        <v>140194.67471468102</v>
      </c>
      <c r="AH414" s="321">
        <f t="shared" si="36"/>
        <v>0</v>
      </c>
      <c r="AI414" s="321">
        <f t="shared" si="36"/>
        <v>2386894.2846129518</v>
      </c>
      <c r="AJ414" s="321"/>
      <c r="AK414" s="321">
        <f t="shared" si="36"/>
        <v>0</v>
      </c>
      <c r="AL414" s="321">
        <f t="shared" si="36"/>
        <v>0</v>
      </c>
      <c r="AM414" s="321">
        <f t="shared" si="36"/>
        <v>0</v>
      </c>
      <c r="AN414" s="321">
        <f t="shared" si="36"/>
        <v>0</v>
      </c>
      <c r="AO414" s="321">
        <f t="shared" si="36"/>
        <v>0</v>
      </c>
      <c r="AP414" s="321">
        <f t="shared" si="36"/>
        <v>2386894.2846129518</v>
      </c>
    </row>
    <row r="415" spans="1:42" x14ac:dyDescent="0.25">
      <c r="A415" s="311">
        <v>4007320</v>
      </c>
      <c r="D415" s="311">
        <v>4007320</v>
      </c>
      <c r="E415" s="315" t="str">
        <f t="shared" si="31"/>
        <v>Domov sociálních služeb Skřivany</v>
      </c>
      <c r="F415" s="315" t="str">
        <f t="shared" si="32"/>
        <v>Domov sociálních služeb Skřivany</v>
      </c>
      <c r="G415" s="315" t="str">
        <f t="shared" si="33"/>
        <v>§ 51 - Chráněné bydlení</v>
      </c>
      <c r="H415" s="315"/>
      <c r="I415" s="266" t="s">
        <v>1812</v>
      </c>
      <c r="J415" s="319"/>
      <c r="K415" s="266"/>
      <c r="L415" s="320"/>
      <c r="M415" s="321">
        <f t="shared" si="34"/>
        <v>1.7</v>
      </c>
      <c r="N415" s="321">
        <f t="shared" si="37"/>
        <v>0.1</v>
      </c>
      <c r="O415" s="321">
        <f t="shared" si="37"/>
        <v>1.6</v>
      </c>
      <c r="P415" s="321">
        <f t="shared" si="37"/>
        <v>0</v>
      </c>
      <c r="Q415" s="321">
        <f t="shared" si="37"/>
        <v>0</v>
      </c>
      <c r="R415" s="321">
        <f t="shared" si="37"/>
        <v>4</v>
      </c>
      <c r="S415" s="321">
        <f t="shared" si="37"/>
        <v>0</v>
      </c>
      <c r="T415" s="321">
        <f t="shared" si="37"/>
        <v>0</v>
      </c>
      <c r="U415" s="321">
        <f t="shared" si="37"/>
        <v>0</v>
      </c>
      <c r="V415" s="321"/>
      <c r="W415" s="321">
        <f t="shared" si="36"/>
        <v>1.7</v>
      </c>
      <c r="X415" s="321">
        <f t="shared" si="36"/>
        <v>0.1</v>
      </c>
      <c r="Y415" s="321">
        <f t="shared" si="36"/>
        <v>1.6</v>
      </c>
      <c r="Z415" s="321">
        <f t="shared" si="36"/>
        <v>0</v>
      </c>
      <c r="AA415" s="321">
        <f t="shared" si="36"/>
        <v>0</v>
      </c>
      <c r="AB415" s="321">
        <f t="shared" si="36"/>
        <v>4</v>
      </c>
      <c r="AC415" s="321">
        <f t="shared" si="36"/>
        <v>0</v>
      </c>
      <c r="AD415" s="321"/>
      <c r="AE415" s="321">
        <f t="shared" si="36"/>
        <v>1144368.6090399257</v>
      </c>
      <c r="AF415" s="321">
        <f t="shared" si="36"/>
        <v>0</v>
      </c>
      <c r="AG415" s="321">
        <f t="shared" si="36"/>
        <v>226758.90154129948</v>
      </c>
      <c r="AH415" s="321">
        <f t="shared" si="36"/>
        <v>74682.559381471496</v>
      </c>
      <c r="AI415" s="321">
        <f t="shared" si="36"/>
        <v>1445810.0699626966</v>
      </c>
      <c r="AJ415" s="321"/>
      <c r="AK415" s="321">
        <f t="shared" si="36"/>
        <v>131152.63092783507</v>
      </c>
      <c r="AL415" s="321">
        <f t="shared" si="36"/>
        <v>0</v>
      </c>
      <c r="AM415" s="321">
        <f t="shared" si="36"/>
        <v>173129.08000000002</v>
      </c>
      <c r="AN415" s="321">
        <f t="shared" si="36"/>
        <v>75225.75</v>
      </c>
      <c r="AO415" s="321">
        <f t="shared" si="36"/>
        <v>379507.46092783508</v>
      </c>
      <c r="AP415" s="321">
        <f t="shared" si="36"/>
        <v>1066302.6090348614</v>
      </c>
    </row>
    <row r="416" spans="1:42" x14ac:dyDescent="0.25">
      <c r="A416" s="311">
        <v>4075651</v>
      </c>
      <c r="D416" s="311">
        <v>4075651</v>
      </c>
      <c r="E416" s="315" t="str">
        <f t="shared" si="31"/>
        <v>Odlehčovací služba</v>
      </c>
      <c r="F416" s="315" t="str">
        <f t="shared" si="32"/>
        <v>Městské středisko sociálních služeb Oáza</v>
      </c>
      <c r="G416" s="315" t="str">
        <f t="shared" si="33"/>
        <v>§ 44 - Odlehčovací služby</v>
      </c>
      <c r="H416" s="315"/>
      <c r="I416" s="266" t="s">
        <v>1812</v>
      </c>
      <c r="J416" s="319"/>
      <c r="K416" s="266"/>
      <c r="L416" s="320"/>
      <c r="M416" s="321">
        <f t="shared" si="34"/>
        <v>3.2</v>
      </c>
      <c r="N416" s="321">
        <f t="shared" si="37"/>
        <v>0.35</v>
      </c>
      <c r="O416" s="321">
        <f t="shared" si="37"/>
        <v>2</v>
      </c>
      <c r="P416" s="321">
        <f t="shared" si="37"/>
        <v>0.85</v>
      </c>
      <c r="Q416" s="321">
        <f t="shared" si="37"/>
        <v>0</v>
      </c>
      <c r="R416" s="321">
        <f t="shared" si="37"/>
        <v>6</v>
      </c>
      <c r="S416" s="321">
        <f t="shared" si="37"/>
        <v>0</v>
      </c>
      <c r="T416" s="321">
        <f t="shared" si="37"/>
        <v>0</v>
      </c>
      <c r="U416" s="321">
        <f t="shared" si="37"/>
        <v>0</v>
      </c>
      <c r="V416" s="321"/>
      <c r="W416" s="321">
        <f t="shared" si="36"/>
        <v>3.2</v>
      </c>
      <c r="X416" s="321">
        <f t="shared" si="36"/>
        <v>0.35</v>
      </c>
      <c r="Y416" s="321">
        <f t="shared" si="36"/>
        <v>2</v>
      </c>
      <c r="Z416" s="321">
        <f t="shared" si="36"/>
        <v>0.85</v>
      </c>
      <c r="AA416" s="321">
        <f t="shared" si="36"/>
        <v>0</v>
      </c>
      <c r="AB416" s="321">
        <f t="shared" si="36"/>
        <v>6</v>
      </c>
      <c r="AC416" s="321">
        <f t="shared" si="36"/>
        <v>0</v>
      </c>
      <c r="AD416" s="321"/>
      <c r="AE416" s="321">
        <f t="shared" si="36"/>
        <v>1888216.4711232202</v>
      </c>
      <c r="AF416" s="321">
        <f t="shared" si="36"/>
        <v>0</v>
      </c>
      <c r="AG416" s="321">
        <f t="shared" si="36"/>
        <v>338743.36977798917</v>
      </c>
      <c r="AH416" s="321">
        <f t="shared" si="36"/>
        <v>185851.01245219761</v>
      </c>
      <c r="AI416" s="321">
        <f t="shared" si="36"/>
        <v>2412810.8533534072</v>
      </c>
      <c r="AJ416" s="321"/>
      <c r="AK416" s="321">
        <f t="shared" si="36"/>
        <v>363033.91563424404</v>
      </c>
      <c r="AL416" s="321">
        <f t="shared" si="36"/>
        <v>0</v>
      </c>
      <c r="AM416" s="321">
        <f t="shared" si="36"/>
        <v>230731.875</v>
      </c>
      <c r="AN416" s="321">
        <f t="shared" si="36"/>
        <v>143372.70000000001</v>
      </c>
      <c r="AO416" s="321">
        <f t="shared" si="36"/>
        <v>737138.49063424394</v>
      </c>
      <c r="AP416" s="321">
        <f t="shared" si="36"/>
        <v>1675672.3627191633</v>
      </c>
    </row>
    <row r="417" spans="1:42" x14ac:dyDescent="0.25">
      <c r="A417" s="311">
        <v>4271738</v>
      </c>
      <c r="D417" s="311">
        <v>4271738</v>
      </c>
      <c r="E417" s="315" t="str">
        <f t="shared" si="31"/>
        <v>Sportem proti bariérám, z.s.</v>
      </c>
      <c r="F417" s="315" t="str">
        <f t="shared" si="32"/>
        <v>Sportem proti bariérám, z. s.</v>
      </c>
      <c r="G417" s="315" t="str">
        <f t="shared" si="33"/>
        <v>§ 39 - Osobní asistence</v>
      </c>
      <c r="H417" s="315"/>
      <c r="I417" s="266" t="s">
        <v>1812</v>
      </c>
      <c r="J417" s="319"/>
      <c r="K417" s="266"/>
      <c r="L417" s="320"/>
      <c r="M417" s="321">
        <f t="shared" si="34"/>
        <v>13.5</v>
      </c>
      <c r="N417" s="321">
        <f t="shared" si="37"/>
        <v>1.5</v>
      </c>
      <c r="O417" s="321">
        <f t="shared" si="37"/>
        <v>12</v>
      </c>
      <c r="P417" s="321">
        <f t="shared" si="37"/>
        <v>0</v>
      </c>
      <c r="Q417" s="321">
        <f t="shared" si="37"/>
        <v>0</v>
      </c>
      <c r="R417" s="321">
        <f t="shared" si="37"/>
        <v>0</v>
      </c>
      <c r="S417" s="321">
        <f t="shared" si="37"/>
        <v>40</v>
      </c>
      <c r="T417" s="321">
        <f t="shared" si="37"/>
        <v>0</v>
      </c>
      <c r="U417" s="321">
        <f t="shared" si="37"/>
        <v>0</v>
      </c>
      <c r="V417" s="321"/>
      <c r="W417" s="321">
        <f t="shared" si="36"/>
        <v>13.5</v>
      </c>
      <c r="X417" s="321">
        <f t="shared" si="36"/>
        <v>1.5</v>
      </c>
      <c r="Y417" s="321">
        <f t="shared" si="36"/>
        <v>12</v>
      </c>
      <c r="Z417" s="321">
        <f t="shared" si="36"/>
        <v>0</v>
      </c>
      <c r="AA417" s="321">
        <f t="shared" si="36"/>
        <v>0</v>
      </c>
      <c r="AB417" s="321">
        <f t="shared" si="36"/>
        <v>0</v>
      </c>
      <c r="AC417" s="321">
        <f t="shared" si="36"/>
        <v>0</v>
      </c>
      <c r="AD417" s="321"/>
      <c r="AE417" s="321">
        <f t="shared" si="36"/>
        <v>7208376.1822225582</v>
      </c>
      <c r="AF417" s="321">
        <f t="shared" si="36"/>
        <v>0</v>
      </c>
      <c r="AG417" s="321">
        <f t="shared" si="36"/>
        <v>267662.76188920054</v>
      </c>
      <c r="AH417" s="321">
        <f t="shared" si="36"/>
        <v>0</v>
      </c>
      <c r="AI417" s="321">
        <f t="shared" si="36"/>
        <v>7476038.9441117588</v>
      </c>
      <c r="AJ417" s="321"/>
      <c r="AK417" s="321">
        <f t="shared" si="36"/>
        <v>1499626.0857681097</v>
      </c>
      <c r="AL417" s="321">
        <f t="shared" si="36"/>
        <v>0</v>
      </c>
      <c r="AM417" s="321">
        <f t="shared" si="36"/>
        <v>0</v>
      </c>
      <c r="AN417" s="321">
        <f t="shared" si="36"/>
        <v>0</v>
      </c>
      <c r="AO417" s="321">
        <f t="shared" si="36"/>
        <v>1499626.0857681097</v>
      </c>
      <c r="AP417" s="321">
        <f t="shared" si="36"/>
        <v>5976412.8583436497</v>
      </c>
    </row>
    <row r="418" spans="1:42" x14ac:dyDescent="0.25">
      <c r="A418" s="311">
        <v>4309907</v>
      </c>
      <c r="D418" s="311">
        <v>4309907</v>
      </c>
      <c r="E418" s="315" t="str">
        <f t="shared" si="31"/>
        <v>Manželská a rodinná poradna Hradec Králové</v>
      </c>
      <c r="F418" s="315" t="str">
        <f t="shared" si="32"/>
        <v>Centrum sociální pomoci a služeb o. p. s.</v>
      </c>
      <c r="G418" s="315" t="str">
        <f t="shared" si="33"/>
        <v>§ 37 - Odborné sociální poradenství</v>
      </c>
      <c r="H418" s="315"/>
      <c r="I418" s="266" t="s">
        <v>1812</v>
      </c>
      <c r="J418" s="319"/>
      <c r="K418" s="266"/>
      <c r="L418" s="320"/>
      <c r="M418" s="321">
        <f t="shared" si="34"/>
        <v>3.3</v>
      </c>
      <c r="N418" s="321">
        <f t="shared" si="37"/>
        <v>0.6</v>
      </c>
      <c r="O418" s="321">
        <f t="shared" si="37"/>
        <v>0</v>
      </c>
      <c r="P418" s="321">
        <f t="shared" si="37"/>
        <v>0</v>
      </c>
      <c r="Q418" s="321">
        <f t="shared" si="37"/>
        <v>2.7</v>
      </c>
      <c r="R418" s="321">
        <f t="shared" si="37"/>
        <v>0</v>
      </c>
      <c r="S418" s="321">
        <f t="shared" si="37"/>
        <v>12</v>
      </c>
      <c r="T418" s="321">
        <f t="shared" si="37"/>
        <v>0</v>
      </c>
      <c r="U418" s="321">
        <f t="shared" si="37"/>
        <v>0</v>
      </c>
      <c r="V418" s="321"/>
      <c r="W418" s="321">
        <f t="shared" si="36"/>
        <v>3.3</v>
      </c>
      <c r="X418" s="321">
        <f t="shared" si="36"/>
        <v>0.6</v>
      </c>
      <c r="Y418" s="321">
        <f t="shared" si="36"/>
        <v>0</v>
      </c>
      <c r="Z418" s="321">
        <f t="shared" si="36"/>
        <v>0</v>
      </c>
      <c r="AA418" s="321">
        <f t="shared" si="36"/>
        <v>2.7</v>
      </c>
      <c r="AB418" s="321">
        <f t="shared" si="36"/>
        <v>0</v>
      </c>
      <c r="AC418" s="321">
        <f t="shared" si="36"/>
        <v>0</v>
      </c>
      <c r="AD418" s="321"/>
      <c r="AE418" s="321">
        <f t="shared" si="36"/>
        <v>2294793.4833198306</v>
      </c>
      <c r="AF418" s="321">
        <f t="shared" si="36"/>
        <v>0</v>
      </c>
      <c r="AG418" s="321">
        <f t="shared" si="36"/>
        <v>156359.10224807684</v>
      </c>
      <c r="AH418" s="321">
        <f t="shared" si="36"/>
        <v>0</v>
      </c>
      <c r="AI418" s="321">
        <f t="shared" si="36"/>
        <v>2451152.5855679074</v>
      </c>
      <c r="AJ418" s="321"/>
      <c r="AK418" s="321">
        <f t="shared" si="36"/>
        <v>0</v>
      </c>
      <c r="AL418" s="321">
        <f t="shared" si="36"/>
        <v>0</v>
      </c>
      <c r="AM418" s="321">
        <f t="shared" si="36"/>
        <v>0</v>
      </c>
      <c r="AN418" s="321">
        <f t="shared" si="36"/>
        <v>0</v>
      </c>
      <c r="AO418" s="321">
        <f t="shared" si="36"/>
        <v>0</v>
      </c>
      <c r="AP418" s="321">
        <f t="shared" si="36"/>
        <v>2451152.5855679074</v>
      </c>
    </row>
    <row r="419" spans="1:42" s="313" customFormat="1" x14ac:dyDescent="0.25">
      <c r="A419" s="316">
        <v>4335979</v>
      </c>
      <c r="D419" s="316">
        <v>4335979</v>
      </c>
      <c r="E419" s="315" t="str">
        <f t="shared" si="31"/>
        <v>Osobní asistence Nautis</v>
      </c>
      <c r="F419" s="315" t="str">
        <f t="shared" si="32"/>
        <v>Národní ústav pro autismus, z.ú.</v>
      </c>
      <c r="G419" s="315" t="str">
        <f t="shared" si="33"/>
        <v>§ 39 - Osobní asistence</v>
      </c>
      <c r="H419" s="315"/>
      <c r="I419" s="266" t="s">
        <v>1812</v>
      </c>
      <c r="J419" s="319"/>
      <c r="K419" s="266"/>
      <c r="L419" s="320"/>
      <c r="M419" s="321">
        <f t="shared" si="34"/>
        <v>1.1000000000000001</v>
      </c>
      <c r="N419" s="321">
        <f t="shared" si="37"/>
        <v>0.1</v>
      </c>
      <c r="O419" s="321">
        <f t="shared" si="37"/>
        <v>1</v>
      </c>
      <c r="P419" s="321">
        <f t="shared" si="37"/>
        <v>0</v>
      </c>
      <c r="Q419" s="321">
        <f t="shared" si="37"/>
        <v>0</v>
      </c>
      <c r="R419" s="321">
        <f t="shared" si="37"/>
        <v>0</v>
      </c>
      <c r="S419" s="321">
        <f t="shared" si="37"/>
        <v>25</v>
      </c>
      <c r="T419" s="321">
        <f t="shared" si="37"/>
        <v>0</v>
      </c>
      <c r="U419" s="321">
        <f t="shared" si="37"/>
        <v>0</v>
      </c>
      <c r="V419" s="321"/>
      <c r="W419" s="321">
        <f t="shared" si="36"/>
        <v>1.1000000000000001</v>
      </c>
      <c r="X419" s="321">
        <f t="shared" si="36"/>
        <v>0.1</v>
      </c>
      <c r="Y419" s="321">
        <f t="shared" si="36"/>
        <v>1</v>
      </c>
      <c r="Z419" s="321">
        <f t="shared" si="36"/>
        <v>0</v>
      </c>
      <c r="AA419" s="321">
        <f t="shared" si="36"/>
        <v>0</v>
      </c>
      <c r="AB419" s="321">
        <f t="shared" si="36"/>
        <v>0</v>
      </c>
      <c r="AC419" s="321">
        <f t="shared" si="36"/>
        <v>0</v>
      </c>
      <c r="AD419" s="321"/>
      <c r="AE419" s="321">
        <f t="shared" si="36"/>
        <v>587349.17040331953</v>
      </c>
      <c r="AF419" s="321">
        <f t="shared" si="36"/>
        <v>0</v>
      </c>
      <c r="AG419" s="321">
        <f t="shared" si="36"/>
        <v>21809.558376157085</v>
      </c>
      <c r="AH419" s="321">
        <f t="shared" si="36"/>
        <v>0</v>
      </c>
      <c r="AI419" s="321">
        <f t="shared" si="36"/>
        <v>609158.7287794766</v>
      </c>
      <c r="AJ419" s="321"/>
      <c r="AK419" s="321">
        <f t="shared" si="36"/>
        <v>124968.8404806758</v>
      </c>
      <c r="AL419" s="321">
        <f t="shared" si="36"/>
        <v>0</v>
      </c>
      <c r="AM419" s="321">
        <f t="shared" si="36"/>
        <v>0</v>
      </c>
      <c r="AN419" s="321">
        <f t="shared" si="36"/>
        <v>0</v>
      </c>
      <c r="AO419" s="321">
        <f t="shared" si="36"/>
        <v>124968.8404806758</v>
      </c>
      <c r="AP419" s="321">
        <f t="shared" si="36"/>
        <v>484189.8882988008</v>
      </c>
    </row>
    <row r="420" spans="1:42" x14ac:dyDescent="0.25">
      <c r="A420" s="311">
        <v>4373225</v>
      </c>
      <c r="D420" s="311">
        <v>4373225</v>
      </c>
      <c r="E420" s="315" t="str">
        <f t="shared" si="31"/>
        <v>Sociální rehabilitace pro zrakově postižené</v>
      </c>
      <c r="F420" s="315" t="str">
        <f t="shared" si="32"/>
        <v>TyfloCentrum Hradec Králové, o. p. s.</v>
      </c>
      <c r="G420" s="315" t="str">
        <f t="shared" si="33"/>
        <v>§ 70 - Sociální rehabilitace</v>
      </c>
      <c r="H420" s="315"/>
      <c r="I420" s="266" t="s">
        <v>1812</v>
      </c>
      <c r="J420" s="319"/>
      <c r="K420" s="266"/>
      <c r="L420" s="320"/>
      <c r="M420" s="321">
        <f t="shared" si="34"/>
        <v>1.6</v>
      </c>
      <c r="N420" s="321">
        <f t="shared" si="37"/>
        <v>1.1000000000000001</v>
      </c>
      <c r="O420" s="321">
        <f t="shared" si="37"/>
        <v>0</v>
      </c>
      <c r="P420" s="321">
        <f t="shared" si="37"/>
        <v>0</v>
      </c>
      <c r="Q420" s="321">
        <f t="shared" si="37"/>
        <v>0.5</v>
      </c>
      <c r="R420" s="321">
        <f t="shared" si="37"/>
        <v>0</v>
      </c>
      <c r="S420" s="321">
        <f t="shared" si="37"/>
        <v>2</v>
      </c>
      <c r="T420" s="321">
        <f t="shared" si="37"/>
        <v>0</v>
      </c>
      <c r="U420" s="321">
        <f t="shared" si="37"/>
        <v>0</v>
      </c>
      <c r="V420" s="321"/>
      <c r="W420" s="321">
        <f t="shared" si="36"/>
        <v>1.6</v>
      </c>
      <c r="X420" s="321">
        <f t="shared" si="36"/>
        <v>1.1000000000000001</v>
      </c>
      <c r="Y420" s="321">
        <f t="shared" si="36"/>
        <v>0</v>
      </c>
      <c r="Z420" s="321">
        <f t="shared" si="36"/>
        <v>0</v>
      </c>
      <c r="AA420" s="321">
        <f t="shared" si="36"/>
        <v>0.5</v>
      </c>
      <c r="AB420" s="321">
        <f t="shared" si="36"/>
        <v>0</v>
      </c>
      <c r="AC420" s="321">
        <f t="shared" si="36"/>
        <v>0</v>
      </c>
      <c r="AD420" s="321"/>
      <c r="AE420" s="321">
        <f t="shared" si="36"/>
        <v>1123349.8049491353</v>
      </c>
      <c r="AF420" s="321">
        <f t="shared" si="36"/>
        <v>0</v>
      </c>
      <c r="AG420" s="321">
        <f t="shared" si="36"/>
        <v>70097.337357340512</v>
      </c>
      <c r="AH420" s="321">
        <f t="shared" si="36"/>
        <v>0</v>
      </c>
      <c r="AI420" s="321">
        <f t="shared" si="36"/>
        <v>1193447.1423064759</v>
      </c>
      <c r="AJ420" s="321"/>
      <c r="AK420" s="321">
        <f t="shared" si="36"/>
        <v>0</v>
      </c>
      <c r="AL420" s="321">
        <f t="shared" si="36"/>
        <v>0</v>
      </c>
      <c r="AM420" s="321">
        <f t="shared" si="36"/>
        <v>0</v>
      </c>
      <c r="AN420" s="321">
        <f t="shared" si="36"/>
        <v>0</v>
      </c>
      <c r="AO420" s="321">
        <f t="shared" si="36"/>
        <v>0</v>
      </c>
      <c r="AP420" s="321">
        <f t="shared" si="36"/>
        <v>1193447.1423064759</v>
      </c>
    </row>
    <row r="421" spans="1:42" x14ac:dyDescent="0.25">
      <c r="A421" s="311">
        <v>4381530</v>
      </c>
      <c r="D421" s="311">
        <v>4381530</v>
      </c>
      <c r="E421" s="315" t="str">
        <f t="shared" si="31"/>
        <v>Domov pro seniory</v>
      </c>
      <c r="F421" s="315" t="str">
        <f t="shared" si="32"/>
        <v>Sociální služby města Jičína</v>
      </c>
      <c r="G421" s="315" t="str">
        <f t="shared" si="33"/>
        <v>§ 49 - Domovy pro seniory</v>
      </c>
      <c r="H421" s="315"/>
      <c r="I421" s="266" t="s">
        <v>1812</v>
      </c>
      <c r="J421" s="319"/>
      <c r="K421" s="266"/>
      <c r="L421" s="320"/>
      <c r="M421" s="321">
        <f t="shared" si="34"/>
        <v>35</v>
      </c>
      <c r="N421" s="321">
        <f t="shared" si="37"/>
        <v>3</v>
      </c>
      <c r="O421" s="321">
        <f t="shared" si="37"/>
        <v>23</v>
      </c>
      <c r="P421" s="321">
        <f t="shared" si="37"/>
        <v>9</v>
      </c>
      <c r="Q421" s="321">
        <f t="shared" si="37"/>
        <v>0</v>
      </c>
      <c r="R421" s="321">
        <f t="shared" si="37"/>
        <v>61</v>
      </c>
      <c r="S421" s="321">
        <f t="shared" si="37"/>
        <v>0</v>
      </c>
      <c r="T421" s="321">
        <f t="shared" si="37"/>
        <v>0</v>
      </c>
      <c r="U421" s="321">
        <f t="shared" si="37"/>
        <v>0</v>
      </c>
      <c r="V421" s="321"/>
      <c r="W421" s="321">
        <f t="shared" si="36"/>
        <v>35</v>
      </c>
      <c r="X421" s="321">
        <f t="shared" si="36"/>
        <v>3</v>
      </c>
      <c r="Y421" s="321">
        <f t="shared" si="36"/>
        <v>23</v>
      </c>
      <c r="Z421" s="321">
        <f t="shared" si="36"/>
        <v>9</v>
      </c>
      <c r="AA421" s="321">
        <f t="shared" si="36"/>
        <v>0</v>
      </c>
      <c r="AB421" s="321">
        <f t="shared" si="36"/>
        <v>61</v>
      </c>
      <c r="AC421" s="321">
        <f t="shared" si="36"/>
        <v>0</v>
      </c>
      <c r="AD421" s="321"/>
      <c r="AE421" s="321">
        <f t="shared" si="36"/>
        <v>17720075.557400662</v>
      </c>
      <c r="AF421" s="321">
        <f t="shared" ref="W421:AP433" si="38">SUMIFS(AF$4:AF$318,$D$4:$D$318,$D421)</f>
        <v>7632815.2865902279</v>
      </c>
      <c r="AG421" s="321">
        <f t="shared" si="38"/>
        <v>6180086.8627493009</v>
      </c>
      <c r="AH421" s="321">
        <f t="shared" si="38"/>
        <v>4332228.3698040368</v>
      </c>
      <c r="AI421" s="321">
        <f t="shared" si="38"/>
        <v>35865206.076544233</v>
      </c>
      <c r="AJ421" s="321"/>
      <c r="AK421" s="321">
        <f t="shared" si="38"/>
        <v>6848499.5945076691</v>
      </c>
      <c r="AL421" s="321">
        <f t="shared" si="38"/>
        <v>1783936.9943639291</v>
      </c>
      <c r="AM421" s="321">
        <f t="shared" si="38"/>
        <v>4692350.252167061</v>
      </c>
      <c r="AN421" s="321">
        <f t="shared" si="38"/>
        <v>3103500.8405330884</v>
      </c>
      <c r="AO421" s="321">
        <f t="shared" si="38"/>
        <v>16428287.681571748</v>
      </c>
      <c r="AP421" s="321">
        <f t="shared" si="38"/>
        <v>19436918.394972485</v>
      </c>
    </row>
    <row r="422" spans="1:42" x14ac:dyDescent="0.25">
      <c r="A422" s="311">
        <v>4382191</v>
      </c>
      <c r="D422" s="311">
        <v>4382191</v>
      </c>
      <c r="E422" s="315" t="str">
        <f t="shared" si="31"/>
        <v>Centrum pro rodinu - OSP</v>
      </c>
      <c r="F422" s="315" t="str">
        <f t="shared" si="32"/>
        <v>Centrum sociálních služeb Naděje Broumov</v>
      </c>
      <c r="G422" s="315" t="str">
        <f t="shared" si="33"/>
        <v>§ 37 - Odborné sociální poradenství</v>
      </c>
      <c r="H422" s="315"/>
      <c r="I422" s="266" t="s">
        <v>1812</v>
      </c>
      <c r="J422" s="319"/>
      <c r="K422" s="266"/>
      <c r="L422" s="320"/>
      <c r="M422" s="321">
        <f t="shared" si="34"/>
        <v>1</v>
      </c>
      <c r="N422" s="321">
        <f t="shared" si="37"/>
        <v>1</v>
      </c>
      <c r="O422" s="321">
        <f t="shared" si="37"/>
        <v>0</v>
      </c>
      <c r="P422" s="321">
        <f t="shared" si="37"/>
        <v>0</v>
      </c>
      <c r="Q422" s="321">
        <f t="shared" si="37"/>
        <v>0</v>
      </c>
      <c r="R422" s="321">
        <f t="shared" si="37"/>
        <v>0</v>
      </c>
      <c r="S422" s="321">
        <f t="shared" si="37"/>
        <v>6</v>
      </c>
      <c r="T422" s="321">
        <f t="shared" si="37"/>
        <v>0</v>
      </c>
      <c r="U422" s="321">
        <f t="shared" si="37"/>
        <v>0</v>
      </c>
      <c r="V422" s="321"/>
      <c r="W422" s="321">
        <f t="shared" si="38"/>
        <v>1</v>
      </c>
      <c r="X422" s="321">
        <f t="shared" si="38"/>
        <v>1</v>
      </c>
      <c r="Y422" s="321">
        <f t="shared" si="38"/>
        <v>0</v>
      </c>
      <c r="Z422" s="321">
        <f t="shared" si="38"/>
        <v>0</v>
      </c>
      <c r="AA422" s="321">
        <f t="shared" si="38"/>
        <v>0</v>
      </c>
      <c r="AB422" s="321">
        <f t="shared" si="38"/>
        <v>0</v>
      </c>
      <c r="AC422" s="321">
        <f t="shared" si="38"/>
        <v>0</v>
      </c>
      <c r="AD422" s="321"/>
      <c r="AE422" s="321">
        <f t="shared" si="38"/>
        <v>695391.96464237291</v>
      </c>
      <c r="AF422" s="321">
        <f t="shared" si="38"/>
        <v>0</v>
      </c>
      <c r="AG422" s="321">
        <f t="shared" si="38"/>
        <v>47381.546135780867</v>
      </c>
      <c r="AH422" s="321">
        <f t="shared" si="38"/>
        <v>0</v>
      </c>
      <c r="AI422" s="321">
        <f t="shared" si="38"/>
        <v>742773.51077815378</v>
      </c>
      <c r="AJ422" s="321"/>
      <c r="AK422" s="321">
        <f t="shared" si="38"/>
        <v>0</v>
      </c>
      <c r="AL422" s="321">
        <f t="shared" si="38"/>
        <v>0</v>
      </c>
      <c r="AM422" s="321">
        <f t="shared" si="38"/>
        <v>0</v>
      </c>
      <c r="AN422" s="321">
        <f t="shared" si="38"/>
        <v>0</v>
      </c>
      <c r="AO422" s="321">
        <f t="shared" si="38"/>
        <v>0</v>
      </c>
      <c r="AP422" s="321">
        <f t="shared" si="38"/>
        <v>742773.51077815378</v>
      </c>
    </row>
    <row r="423" spans="1:42" x14ac:dyDescent="0.25">
      <c r="A423" s="311">
        <v>4382500</v>
      </c>
      <c r="D423" s="311">
        <v>4382500</v>
      </c>
      <c r="E423" s="315" t="str">
        <f t="shared" si="31"/>
        <v>DOMOV NA STŘÍBRNÉM VRCHU</v>
      </c>
      <c r="F423" s="315" t="str">
        <f t="shared" si="32"/>
        <v>DOMOV NA STŘÍBRNÉM VRCHU</v>
      </c>
      <c r="G423" s="315" t="str">
        <f t="shared" si="33"/>
        <v>§ 51 - Chráněné bydlení</v>
      </c>
      <c r="H423" s="315"/>
      <c r="I423" s="266" t="s">
        <v>1812</v>
      </c>
      <c r="J423" s="319"/>
      <c r="K423" s="266"/>
      <c r="L423" s="320"/>
      <c r="M423" s="321">
        <f t="shared" si="34"/>
        <v>3.5</v>
      </c>
      <c r="N423" s="321">
        <f t="shared" si="37"/>
        <v>9.9999999999999978E-2</v>
      </c>
      <c r="O423" s="321">
        <f t="shared" si="37"/>
        <v>3.4000000000000004</v>
      </c>
      <c r="P423" s="321">
        <f t="shared" si="37"/>
        <v>0</v>
      </c>
      <c r="Q423" s="321">
        <f t="shared" si="37"/>
        <v>0</v>
      </c>
      <c r="R423" s="321">
        <f t="shared" si="37"/>
        <v>8</v>
      </c>
      <c r="S423" s="321">
        <f t="shared" si="37"/>
        <v>0</v>
      </c>
      <c r="T423" s="321">
        <f t="shared" si="37"/>
        <v>0</v>
      </c>
      <c r="U423" s="321">
        <f t="shared" si="37"/>
        <v>0</v>
      </c>
      <c r="V423" s="321"/>
      <c r="W423" s="321">
        <f t="shared" si="38"/>
        <v>3.5</v>
      </c>
      <c r="X423" s="321">
        <f t="shared" si="38"/>
        <v>9.9999999999999978E-2</v>
      </c>
      <c r="Y423" s="321">
        <f t="shared" si="38"/>
        <v>3.4000000000000004</v>
      </c>
      <c r="Z423" s="321">
        <f t="shared" si="38"/>
        <v>0</v>
      </c>
      <c r="AA423" s="321">
        <f t="shared" si="38"/>
        <v>0</v>
      </c>
      <c r="AB423" s="321">
        <f t="shared" si="38"/>
        <v>8</v>
      </c>
      <c r="AC423" s="321">
        <f t="shared" si="38"/>
        <v>0</v>
      </c>
      <c r="AD423" s="321"/>
      <c r="AE423" s="321">
        <f t="shared" si="38"/>
        <v>2356053.0186116118</v>
      </c>
      <c r="AF423" s="321">
        <f t="shared" si="38"/>
        <v>0</v>
      </c>
      <c r="AG423" s="321">
        <f t="shared" si="38"/>
        <v>453517.80308259896</v>
      </c>
      <c r="AH423" s="321">
        <f t="shared" si="38"/>
        <v>149365.11876294299</v>
      </c>
      <c r="AI423" s="321">
        <f t="shared" si="38"/>
        <v>2958935.9404571536</v>
      </c>
      <c r="AJ423" s="321"/>
      <c r="AK423" s="321">
        <f t="shared" si="38"/>
        <v>278699.34072164953</v>
      </c>
      <c r="AL423" s="321">
        <f t="shared" si="38"/>
        <v>0</v>
      </c>
      <c r="AM423" s="321">
        <f t="shared" si="38"/>
        <v>346258.16000000003</v>
      </c>
      <c r="AN423" s="321">
        <f t="shared" si="38"/>
        <v>150451.5</v>
      </c>
      <c r="AO423" s="321">
        <f t="shared" si="38"/>
        <v>775409.0007216495</v>
      </c>
      <c r="AP423" s="321">
        <f t="shared" si="38"/>
        <v>2183526.9397355039</v>
      </c>
    </row>
    <row r="424" spans="1:42" x14ac:dyDescent="0.25">
      <c r="A424" s="311">
        <v>4383860</v>
      </c>
      <c r="D424" s="311">
        <v>4383860</v>
      </c>
      <c r="E424" s="315" t="str">
        <f t="shared" si="31"/>
        <v>Pečovatelská služba Trutnov</v>
      </c>
      <c r="F424" s="315" t="str">
        <f t="shared" si="32"/>
        <v>Pečovatelská služba Trutnov</v>
      </c>
      <c r="G424" s="315" t="str">
        <f t="shared" si="33"/>
        <v>§ 40 - Pečovatelská služba</v>
      </c>
      <c r="H424" s="315"/>
      <c r="I424" s="266" t="s">
        <v>1812</v>
      </c>
      <c r="J424" s="319"/>
      <c r="K424" s="266"/>
      <c r="L424" s="320"/>
      <c r="M424" s="321">
        <f t="shared" si="34"/>
        <v>24</v>
      </c>
      <c r="N424" s="321">
        <f t="shared" si="37"/>
        <v>2</v>
      </c>
      <c r="O424" s="321">
        <f t="shared" si="37"/>
        <v>22</v>
      </c>
      <c r="P424" s="321">
        <f t="shared" si="37"/>
        <v>0</v>
      </c>
      <c r="Q424" s="321">
        <f t="shared" si="37"/>
        <v>0</v>
      </c>
      <c r="R424" s="321">
        <f t="shared" si="37"/>
        <v>0</v>
      </c>
      <c r="S424" s="321">
        <f t="shared" si="37"/>
        <v>350</v>
      </c>
      <c r="T424" s="321">
        <f t="shared" si="37"/>
        <v>0</v>
      </c>
      <c r="U424" s="321">
        <f t="shared" si="37"/>
        <v>0</v>
      </c>
      <c r="V424" s="321"/>
      <c r="W424" s="321">
        <f t="shared" si="38"/>
        <v>24</v>
      </c>
      <c r="X424" s="321">
        <f t="shared" si="38"/>
        <v>2</v>
      </c>
      <c r="Y424" s="321">
        <f t="shared" si="38"/>
        <v>22</v>
      </c>
      <c r="Z424" s="321">
        <f t="shared" si="38"/>
        <v>0</v>
      </c>
      <c r="AA424" s="321">
        <f t="shared" si="38"/>
        <v>0</v>
      </c>
      <c r="AB424" s="321">
        <f t="shared" si="38"/>
        <v>0</v>
      </c>
      <c r="AC424" s="321">
        <f t="shared" si="38"/>
        <v>0</v>
      </c>
      <c r="AD424" s="321"/>
      <c r="AE424" s="321">
        <f t="shared" si="38"/>
        <v>13857470.956472065</v>
      </c>
      <c r="AF424" s="321">
        <f t="shared" si="38"/>
        <v>0</v>
      </c>
      <c r="AG424" s="321">
        <f t="shared" si="38"/>
        <v>1033289.4112355649</v>
      </c>
      <c r="AH424" s="321">
        <f t="shared" si="38"/>
        <v>0</v>
      </c>
      <c r="AI424" s="321">
        <f t="shared" si="38"/>
        <v>14890760.367707631</v>
      </c>
      <c r="AJ424" s="321"/>
      <c r="AK424" s="321">
        <f t="shared" si="38"/>
        <v>3052615.1764705884</v>
      </c>
      <c r="AL424" s="321">
        <f t="shared" si="38"/>
        <v>0</v>
      </c>
      <c r="AM424" s="321">
        <f t="shared" si="38"/>
        <v>0</v>
      </c>
      <c r="AN424" s="321">
        <f t="shared" si="38"/>
        <v>0</v>
      </c>
      <c r="AO424" s="321">
        <f t="shared" si="38"/>
        <v>3052615.1764705884</v>
      </c>
      <c r="AP424" s="321">
        <f t="shared" si="38"/>
        <v>11838145.191237042</v>
      </c>
    </row>
    <row r="425" spans="1:42" x14ac:dyDescent="0.25">
      <c r="A425" s="311">
        <v>4396482</v>
      </c>
      <c r="D425" s="311">
        <v>4396482</v>
      </c>
      <c r="E425" s="315" t="str">
        <f t="shared" si="31"/>
        <v>Domov pro seniory</v>
      </c>
      <c r="F425" s="315" t="str">
        <f t="shared" si="32"/>
        <v>PRO-SEN sociálně zdravotní služby, o.p.s.</v>
      </c>
      <c r="G425" s="315" t="str">
        <f t="shared" si="33"/>
        <v>§ 49 - Domovy pro seniory</v>
      </c>
      <c r="H425" s="315"/>
      <c r="I425" s="266" t="s">
        <v>1812</v>
      </c>
      <c r="J425" s="319"/>
      <c r="K425" s="266"/>
      <c r="L425" s="320"/>
      <c r="M425" s="321">
        <f t="shared" si="34"/>
        <v>15</v>
      </c>
      <c r="N425" s="321">
        <f t="shared" si="37"/>
        <v>1</v>
      </c>
      <c r="O425" s="321">
        <f t="shared" si="37"/>
        <v>8</v>
      </c>
      <c r="P425" s="321">
        <f t="shared" si="37"/>
        <v>6</v>
      </c>
      <c r="Q425" s="321">
        <f t="shared" si="37"/>
        <v>0</v>
      </c>
      <c r="R425" s="321">
        <f t="shared" si="37"/>
        <v>30</v>
      </c>
      <c r="S425" s="321">
        <f t="shared" si="37"/>
        <v>0</v>
      </c>
      <c r="T425" s="321">
        <f t="shared" si="37"/>
        <v>0</v>
      </c>
      <c r="U425" s="321">
        <f t="shared" si="37"/>
        <v>0</v>
      </c>
      <c r="V425" s="321"/>
      <c r="W425" s="321">
        <f t="shared" si="38"/>
        <v>15</v>
      </c>
      <c r="X425" s="321">
        <f t="shared" si="38"/>
        <v>1</v>
      </c>
      <c r="Y425" s="321">
        <f t="shared" si="38"/>
        <v>8</v>
      </c>
      <c r="Z425" s="321">
        <f t="shared" si="38"/>
        <v>6</v>
      </c>
      <c r="AA425" s="321">
        <f t="shared" si="38"/>
        <v>0</v>
      </c>
      <c r="AB425" s="321">
        <f t="shared" si="38"/>
        <v>30</v>
      </c>
      <c r="AC425" s="321">
        <f t="shared" si="38"/>
        <v>0</v>
      </c>
      <c r="AD425" s="321"/>
      <c r="AE425" s="321">
        <f t="shared" si="38"/>
        <v>6133872.3083309978</v>
      </c>
      <c r="AF425" s="321">
        <f t="shared" si="38"/>
        <v>5088543.5243934849</v>
      </c>
      <c r="AG425" s="321">
        <f t="shared" si="38"/>
        <v>3039386.9816799839</v>
      </c>
      <c r="AH425" s="321">
        <f t="shared" si="38"/>
        <v>2130604.1162970671</v>
      </c>
      <c r="AI425" s="321">
        <f t="shared" si="38"/>
        <v>16392406.930701531</v>
      </c>
      <c r="AJ425" s="321"/>
      <c r="AK425" s="321">
        <f t="shared" si="38"/>
        <v>3368114.5546759027</v>
      </c>
      <c r="AL425" s="321">
        <f t="shared" si="38"/>
        <v>877346.06280193233</v>
      </c>
      <c r="AM425" s="321">
        <f t="shared" si="38"/>
        <v>2307713.2387706856</v>
      </c>
      <c r="AN425" s="321">
        <f t="shared" si="38"/>
        <v>1526311.8887867648</v>
      </c>
      <c r="AO425" s="321">
        <f t="shared" si="38"/>
        <v>8079485.7450352851</v>
      </c>
      <c r="AP425" s="321">
        <f t="shared" si="38"/>
        <v>8312921.1856662463</v>
      </c>
    </row>
    <row r="426" spans="1:42" x14ac:dyDescent="0.25">
      <c r="A426" s="311">
        <v>4497017</v>
      </c>
      <c r="D426" s="311">
        <v>4497017</v>
      </c>
      <c r="E426" s="315" t="str">
        <f t="shared" si="31"/>
        <v>Věra Kosinová - Daneta, zařízení pro zdravotně postižené</v>
      </c>
      <c r="F426" s="315" t="str">
        <f t="shared" si="32"/>
        <v>Věra Kosinová - Daneta, zařízení pro zdravotně postižené</v>
      </c>
      <c r="G426" s="315" t="str">
        <f t="shared" si="33"/>
        <v>§ 51 - Chráněné bydlení</v>
      </c>
      <c r="H426" s="315"/>
      <c r="I426" s="266" t="s">
        <v>1812</v>
      </c>
      <c r="J426" s="319"/>
      <c r="K426" s="266"/>
      <c r="L426" s="320"/>
      <c r="M426" s="321">
        <f t="shared" si="34"/>
        <v>5.5</v>
      </c>
      <c r="N426" s="321">
        <f t="shared" si="37"/>
        <v>0.5</v>
      </c>
      <c r="O426" s="321">
        <f t="shared" si="37"/>
        <v>5</v>
      </c>
      <c r="P426" s="321">
        <f t="shared" si="37"/>
        <v>0</v>
      </c>
      <c r="Q426" s="321">
        <f t="shared" si="37"/>
        <v>0</v>
      </c>
      <c r="R426" s="321">
        <f t="shared" si="37"/>
        <v>8</v>
      </c>
      <c r="S426" s="321">
        <f t="shared" si="37"/>
        <v>0</v>
      </c>
      <c r="T426" s="321">
        <f t="shared" si="37"/>
        <v>0</v>
      </c>
      <c r="U426" s="321">
        <f t="shared" si="37"/>
        <v>0</v>
      </c>
      <c r="V426" s="321"/>
      <c r="W426" s="321">
        <f t="shared" si="38"/>
        <v>5.5</v>
      </c>
      <c r="X426" s="321">
        <f t="shared" si="38"/>
        <v>0.5</v>
      </c>
      <c r="Y426" s="321">
        <f t="shared" si="38"/>
        <v>5</v>
      </c>
      <c r="Z426" s="321">
        <f t="shared" si="38"/>
        <v>0</v>
      </c>
      <c r="AA426" s="321">
        <f t="shared" si="38"/>
        <v>0</v>
      </c>
      <c r="AB426" s="321">
        <f t="shared" si="38"/>
        <v>8</v>
      </c>
      <c r="AC426" s="321">
        <f t="shared" si="38"/>
        <v>0</v>
      </c>
      <c r="AD426" s="321"/>
      <c r="AE426" s="321">
        <f t="shared" si="38"/>
        <v>3702369.0292468183</v>
      </c>
      <c r="AF426" s="321">
        <f t="shared" si="38"/>
        <v>0</v>
      </c>
      <c r="AG426" s="321">
        <f t="shared" si="38"/>
        <v>453517.80308259896</v>
      </c>
      <c r="AH426" s="321">
        <f t="shared" si="38"/>
        <v>149365.11876294299</v>
      </c>
      <c r="AI426" s="321">
        <f t="shared" si="38"/>
        <v>4305251.9510923605</v>
      </c>
      <c r="AJ426" s="321"/>
      <c r="AK426" s="321">
        <f t="shared" si="38"/>
        <v>409851.97164948453</v>
      </c>
      <c r="AL426" s="321">
        <f t="shared" si="38"/>
        <v>0</v>
      </c>
      <c r="AM426" s="321">
        <f t="shared" si="38"/>
        <v>346258.16000000003</v>
      </c>
      <c r="AN426" s="321">
        <f t="shared" si="38"/>
        <v>150451.5</v>
      </c>
      <c r="AO426" s="321">
        <f t="shared" si="38"/>
        <v>906561.63164948463</v>
      </c>
      <c r="AP426" s="321">
        <f t="shared" si="38"/>
        <v>3398690.3194428757</v>
      </c>
    </row>
    <row r="427" spans="1:42" x14ac:dyDescent="0.25">
      <c r="A427" s="311">
        <v>4526227</v>
      </c>
      <c r="D427" s="311">
        <v>4526227</v>
      </c>
      <c r="E427" s="315" t="str">
        <f t="shared" si="31"/>
        <v>Sociálně aktivizační služba pro rodiny s dětmi Klub Labyrint</v>
      </c>
      <c r="F427" s="315" t="str">
        <f t="shared" si="32"/>
        <v>Farní charita Dvůr Králové nad Labem</v>
      </c>
      <c r="G427" s="315" t="str">
        <f t="shared" si="33"/>
        <v>§ 65 - Sociálně aktivizační služby pro rodiny s dětmi</v>
      </c>
      <c r="H427" s="315"/>
      <c r="I427" s="266" t="s">
        <v>1812</v>
      </c>
      <c r="J427" s="319"/>
      <c r="K427" s="266"/>
      <c r="L427" s="320"/>
      <c r="M427" s="321">
        <f t="shared" si="34"/>
        <v>2.95</v>
      </c>
      <c r="N427" s="321">
        <f t="shared" si="37"/>
        <v>1.5</v>
      </c>
      <c r="O427" s="321">
        <f t="shared" si="37"/>
        <v>1.45</v>
      </c>
      <c r="P427" s="321">
        <f t="shared" si="37"/>
        <v>0</v>
      </c>
      <c r="Q427" s="321">
        <f t="shared" si="37"/>
        <v>0</v>
      </c>
      <c r="R427" s="321">
        <f t="shared" si="37"/>
        <v>0</v>
      </c>
      <c r="S427" s="321">
        <f t="shared" si="37"/>
        <v>29</v>
      </c>
      <c r="T427" s="321">
        <f t="shared" si="37"/>
        <v>0</v>
      </c>
      <c r="U427" s="321">
        <f t="shared" si="37"/>
        <v>0</v>
      </c>
      <c r="V427" s="321"/>
      <c r="W427" s="321">
        <f t="shared" si="38"/>
        <v>2.95</v>
      </c>
      <c r="X427" s="321">
        <f t="shared" si="38"/>
        <v>1.5</v>
      </c>
      <c r="Y427" s="321">
        <f t="shared" si="38"/>
        <v>1.45</v>
      </c>
      <c r="Z427" s="321">
        <f t="shared" si="38"/>
        <v>0</v>
      </c>
      <c r="AA427" s="321">
        <f t="shared" si="38"/>
        <v>0</v>
      </c>
      <c r="AB427" s="321">
        <f t="shared" si="38"/>
        <v>0</v>
      </c>
      <c r="AC427" s="321">
        <f t="shared" si="38"/>
        <v>0</v>
      </c>
      <c r="AD427" s="321"/>
      <c r="AE427" s="321">
        <f t="shared" si="38"/>
        <v>1988180.3063198517</v>
      </c>
      <c r="AF427" s="321">
        <f t="shared" si="38"/>
        <v>0</v>
      </c>
      <c r="AG427" s="321">
        <f t="shared" si="38"/>
        <v>132780.37097537468</v>
      </c>
      <c r="AH427" s="321">
        <f t="shared" si="38"/>
        <v>0</v>
      </c>
      <c r="AI427" s="321">
        <f t="shared" si="38"/>
        <v>2120960.6772952261</v>
      </c>
      <c r="AJ427" s="321"/>
      <c r="AK427" s="321">
        <f t="shared" si="38"/>
        <v>0</v>
      </c>
      <c r="AL427" s="321">
        <f t="shared" si="38"/>
        <v>0</v>
      </c>
      <c r="AM427" s="321">
        <f t="shared" si="38"/>
        <v>0</v>
      </c>
      <c r="AN427" s="321">
        <f t="shared" si="38"/>
        <v>0</v>
      </c>
      <c r="AO427" s="321">
        <f t="shared" si="38"/>
        <v>0</v>
      </c>
      <c r="AP427" s="321">
        <f t="shared" si="38"/>
        <v>2120960.6772952261</v>
      </c>
    </row>
    <row r="428" spans="1:42" x14ac:dyDescent="0.25">
      <c r="A428" s="311">
        <v>4531517</v>
      </c>
      <c r="D428" s="311">
        <v>4531517</v>
      </c>
      <c r="E428" s="315" t="str">
        <f t="shared" si="31"/>
        <v>Centrum denních služeb Domovinka</v>
      </c>
      <c r="F428" s="315" t="str">
        <f t="shared" si="32"/>
        <v>Město Kostelec nad Orlicí</v>
      </c>
      <c r="G428" s="315" t="str">
        <f t="shared" si="33"/>
        <v>§ 45 - Centra denních služeb</v>
      </c>
      <c r="H428" s="315"/>
      <c r="I428" s="266" t="s">
        <v>1812</v>
      </c>
      <c r="J428" s="319"/>
      <c r="K428" s="266"/>
      <c r="L428" s="320"/>
      <c r="M428" s="321">
        <f t="shared" si="34"/>
        <v>1.3</v>
      </c>
      <c r="N428" s="321">
        <f t="shared" ref="N428:AC443" si="39">SUMIFS(N$4:N$318,$D$4:$D$318,$D428)</f>
        <v>0.3</v>
      </c>
      <c r="O428" s="321">
        <f t="shared" si="39"/>
        <v>1</v>
      </c>
      <c r="P428" s="321">
        <f t="shared" si="39"/>
        <v>0</v>
      </c>
      <c r="Q428" s="321">
        <f t="shared" si="39"/>
        <v>0</v>
      </c>
      <c r="R428" s="321">
        <f t="shared" si="39"/>
        <v>0</v>
      </c>
      <c r="S428" s="321">
        <f t="shared" si="39"/>
        <v>0</v>
      </c>
      <c r="T428" s="321">
        <f t="shared" si="39"/>
        <v>9</v>
      </c>
      <c r="U428" s="321">
        <f t="shared" si="39"/>
        <v>0</v>
      </c>
      <c r="V428" s="321"/>
      <c r="W428" s="321">
        <f t="shared" si="39"/>
        <v>1.3</v>
      </c>
      <c r="X428" s="321">
        <f t="shared" si="39"/>
        <v>0.3</v>
      </c>
      <c r="Y428" s="321">
        <f t="shared" si="39"/>
        <v>1</v>
      </c>
      <c r="Z428" s="321">
        <f t="shared" si="39"/>
        <v>0</v>
      </c>
      <c r="AA428" s="321">
        <f t="shared" si="39"/>
        <v>0</v>
      </c>
      <c r="AB428" s="321">
        <f t="shared" si="39"/>
        <v>0</v>
      </c>
      <c r="AC428" s="321">
        <f t="shared" si="39"/>
        <v>9</v>
      </c>
      <c r="AD428" s="321"/>
      <c r="AE428" s="321">
        <f t="shared" si="38"/>
        <v>776518.72709281323</v>
      </c>
      <c r="AF428" s="321">
        <f t="shared" si="38"/>
        <v>0</v>
      </c>
      <c r="AG428" s="321">
        <f t="shared" si="38"/>
        <v>172191.96505338856</v>
      </c>
      <c r="AH428" s="321">
        <f t="shared" si="38"/>
        <v>4935.9763466348086</v>
      </c>
      <c r="AI428" s="321">
        <f t="shared" si="38"/>
        <v>953646.66849283664</v>
      </c>
      <c r="AJ428" s="321"/>
      <c r="AK428" s="321">
        <f t="shared" si="38"/>
        <v>113601</v>
      </c>
      <c r="AL428" s="321">
        <f t="shared" si="38"/>
        <v>0</v>
      </c>
      <c r="AM428" s="321">
        <f t="shared" si="38"/>
        <v>0</v>
      </c>
      <c r="AN428" s="321">
        <f t="shared" si="38"/>
        <v>0</v>
      </c>
      <c r="AO428" s="321">
        <f t="shared" si="38"/>
        <v>113601</v>
      </c>
      <c r="AP428" s="321">
        <f t="shared" si="38"/>
        <v>840045.66849283664</v>
      </c>
    </row>
    <row r="429" spans="1:42" x14ac:dyDescent="0.25">
      <c r="A429" s="311">
        <v>4533728</v>
      </c>
      <c r="D429" s="311">
        <v>4533728</v>
      </c>
      <c r="E429" s="315" t="str">
        <f t="shared" si="31"/>
        <v>Centrum Semafor</v>
      </c>
      <c r="F429" s="315" t="str">
        <f t="shared" si="32"/>
        <v>Salinger, z.s.</v>
      </c>
      <c r="G429" s="315" t="str">
        <f t="shared" si="33"/>
        <v>§ 65 - Sociálně aktivizační služby pro rodiny s dětmi</v>
      </c>
      <c r="H429" s="315"/>
      <c r="I429" s="266" t="s">
        <v>1812</v>
      </c>
      <c r="J429" s="319"/>
      <c r="K429" s="266"/>
      <c r="L429" s="320"/>
      <c r="M429" s="321">
        <f t="shared" si="34"/>
        <v>6.55</v>
      </c>
      <c r="N429" s="321">
        <f t="shared" si="39"/>
        <v>5</v>
      </c>
      <c r="O429" s="321">
        <f t="shared" si="39"/>
        <v>1.5</v>
      </c>
      <c r="P429" s="321">
        <f t="shared" si="39"/>
        <v>0</v>
      </c>
      <c r="Q429" s="321">
        <f t="shared" si="39"/>
        <v>0.05</v>
      </c>
      <c r="R429" s="321">
        <f t="shared" si="39"/>
        <v>0</v>
      </c>
      <c r="S429" s="321">
        <f t="shared" si="39"/>
        <v>128</v>
      </c>
      <c r="T429" s="321">
        <f t="shared" si="39"/>
        <v>40</v>
      </c>
      <c r="U429" s="321">
        <f t="shared" si="39"/>
        <v>0</v>
      </c>
      <c r="V429" s="321"/>
      <c r="W429" s="321">
        <f t="shared" si="38"/>
        <v>6.55</v>
      </c>
      <c r="X429" s="321">
        <f t="shared" si="38"/>
        <v>5</v>
      </c>
      <c r="Y429" s="321">
        <f t="shared" si="38"/>
        <v>1.5</v>
      </c>
      <c r="Z429" s="321">
        <f t="shared" si="38"/>
        <v>0</v>
      </c>
      <c r="AA429" s="321">
        <f t="shared" si="38"/>
        <v>0.05</v>
      </c>
      <c r="AB429" s="321">
        <f t="shared" si="38"/>
        <v>0</v>
      </c>
      <c r="AC429" s="321">
        <f t="shared" si="38"/>
        <v>40</v>
      </c>
      <c r="AD429" s="321"/>
      <c r="AE429" s="321">
        <f t="shared" si="38"/>
        <v>4414434.2394559411</v>
      </c>
      <c r="AF429" s="321">
        <f t="shared" si="38"/>
        <v>0</v>
      </c>
      <c r="AG429" s="321">
        <f t="shared" si="38"/>
        <v>294817.43386057764</v>
      </c>
      <c r="AH429" s="321">
        <f t="shared" si="38"/>
        <v>0</v>
      </c>
      <c r="AI429" s="321">
        <f t="shared" si="38"/>
        <v>4709251.6733165188</v>
      </c>
      <c r="AJ429" s="321"/>
      <c r="AK429" s="321">
        <f t="shared" si="38"/>
        <v>0</v>
      </c>
      <c r="AL429" s="321">
        <f t="shared" si="38"/>
        <v>0</v>
      </c>
      <c r="AM429" s="321">
        <f t="shared" si="38"/>
        <v>0</v>
      </c>
      <c r="AN429" s="321">
        <f t="shared" si="38"/>
        <v>0</v>
      </c>
      <c r="AO429" s="321">
        <f t="shared" si="38"/>
        <v>0</v>
      </c>
      <c r="AP429" s="321">
        <f t="shared" si="38"/>
        <v>4709251.6733165188</v>
      </c>
    </row>
    <row r="430" spans="1:42" x14ac:dyDescent="0.25">
      <c r="A430" s="311">
        <v>4547815</v>
      </c>
      <c r="D430" s="311">
        <v>4547815</v>
      </c>
      <c r="E430" s="315" t="str">
        <f t="shared" si="31"/>
        <v>DUHA o. p. s. - centrum denních služeb</v>
      </c>
      <c r="F430" s="315" t="str">
        <f t="shared" si="32"/>
        <v>DUHA o. p. s.</v>
      </c>
      <c r="G430" s="315" t="str">
        <f t="shared" si="33"/>
        <v>§ 45 - Centra denních služeb</v>
      </c>
      <c r="H430" s="315"/>
      <c r="I430" s="266" t="s">
        <v>1812</v>
      </c>
      <c r="J430" s="319"/>
      <c r="K430" s="266"/>
      <c r="L430" s="320"/>
      <c r="M430" s="321">
        <f t="shared" si="34"/>
        <v>2.0499999999999998</v>
      </c>
      <c r="N430" s="321">
        <f t="shared" si="39"/>
        <v>0.35</v>
      </c>
      <c r="O430" s="321">
        <f t="shared" si="39"/>
        <v>1.7</v>
      </c>
      <c r="P430" s="321">
        <f t="shared" si="39"/>
        <v>0</v>
      </c>
      <c r="Q430" s="321">
        <f t="shared" si="39"/>
        <v>0</v>
      </c>
      <c r="R430" s="321">
        <f t="shared" si="39"/>
        <v>0</v>
      </c>
      <c r="S430" s="321">
        <f t="shared" si="39"/>
        <v>0</v>
      </c>
      <c r="T430" s="321">
        <f t="shared" si="39"/>
        <v>14</v>
      </c>
      <c r="U430" s="321">
        <f t="shared" si="39"/>
        <v>0</v>
      </c>
      <c r="V430" s="321"/>
      <c r="W430" s="321">
        <f t="shared" si="38"/>
        <v>2.0499999999999998</v>
      </c>
      <c r="X430" s="321">
        <f t="shared" si="38"/>
        <v>0.35</v>
      </c>
      <c r="Y430" s="321">
        <f t="shared" si="38"/>
        <v>1.7</v>
      </c>
      <c r="Z430" s="321">
        <f t="shared" si="38"/>
        <v>0</v>
      </c>
      <c r="AA430" s="321">
        <f t="shared" si="38"/>
        <v>0</v>
      </c>
      <c r="AB430" s="321">
        <f t="shared" si="38"/>
        <v>0</v>
      </c>
      <c r="AC430" s="321">
        <f t="shared" si="38"/>
        <v>14</v>
      </c>
      <c r="AD430" s="321"/>
      <c r="AE430" s="321">
        <f t="shared" si="38"/>
        <v>1224510.3004155899</v>
      </c>
      <c r="AF430" s="321">
        <f t="shared" si="38"/>
        <v>0</v>
      </c>
      <c r="AG430" s="321">
        <f t="shared" si="38"/>
        <v>267854.16786082659</v>
      </c>
      <c r="AH430" s="321">
        <f t="shared" si="38"/>
        <v>7678.1854280985908</v>
      </c>
      <c r="AI430" s="321">
        <f t="shared" si="38"/>
        <v>1500042.653704515</v>
      </c>
      <c r="AJ430" s="321"/>
      <c r="AK430" s="321">
        <f t="shared" si="38"/>
        <v>193121.69999999998</v>
      </c>
      <c r="AL430" s="321">
        <f t="shared" si="38"/>
        <v>0</v>
      </c>
      <c r="AM430" s="321">
        <f t="shared" si="38"/>
        <v>0</v>
      </c>
      <c r="AN430" s="321">
        <f t="shared" si="38"/>
        <v>0</v>
      </c>
      <c r="AO430" s="321">
        <f t="shared" si="38"/>
        <v>193121.69999999998</v>
      </c>
      <c r="AP430" s="321">
        <f t="shared" si="38"/>
        <v>1306920.953704515</v>
      </c>
    </row>
    <row r="431" spans="1:42" x14ac:dyDescent="0.25">
      <c r="A431" s="311">
        <v>4659873</v>
      </c>
      <c r="D431" s="311">
        <v>4659873</v>
      </c>
      <c r="E431" s="315" t="str">
        <f t="shared" si="31"/>
        <v>Sociální rehabilitace Doprovázení</v>
      </c>
      <c r="F431" s="315" t="str">
        <f t="shared" si="32"/>
        <v>Salesiánský klub mládeže, z. s. Centrum Don Bosco</v>
      </c>
      <c r="G431" s="315" t="str">
        <f t="shared" si="33"/>
        <v>§ 70 - Sociální rehabilitace</v>
      </c>
      <c r="H431" s="315"/>
      <c r="I431" s="266" t="s">
        <v>1812</v>
      </c>
      <c r="J431" s="319"/>
      <c r="K431" s="266"/>
      <c r="L431" s="320"/>
      <c r="M431" s="321">
        <f t="shared" si="34"/>
        <v>2</v>
      </c>
      <c r="N431" s="321">
        <f t="shared" si="39"/>
        <v>2</v>
      </c>
      <c r="O431" s="321">
        <f t="shared" si="39"/>
        <v>0</v>
      </c>
      <c r="P431" s="321">
        <f t="shared" si="39"/>
        <v>0</v>
      </c>
      <c r="Q431" s="321">
        <f t="shared" si="39"/>
        <v>0</v>
      </c>
      <c r="R431" s="321">
        <f t="shared" si="39"/>
        <v>0</v>
      </c>
      <c r="S431" s="321">
        <f t="shared" si="39"/>
        <v>55</v>
      </c>
      <c r="T431" s="321">
        <f t="shared" si="39"/>
        <v>0</v>
      </c>
      <c r="U431" s="321">
        <f t="shared" si="39"/>
        <v>0</v>
      </c>
      <c r="V431" s="321"/>
      <c r="W431" s="321">
        <f t="shared" si="38"/>
        <v>2</v>
      </c>
      <c r="X431" s="321">
        <f t="shared" si="38"/>
        <v>2</v>
      </c>
      <c r="Y431" s="321">
        <f t="shared" si="38"/>
        <v>0</v>
      </c>
      <c r="Z431" s="321">
        <f t="shared" si="38"/>
        <v>0</v>
      </c>
      <c r="AA431" s="321">
        <f t="shared" si="38"/>
        <v>0</v>
      </c>
      <c r="AB431" s="321">
        <f t="shared" si="38"/>
        <v>0</v>
      </c>
      <c r="AC431" s="321">
        <f t="shared" si="38"/>
        <v>0</v>
      </c>
      <c r="AD431" s="321"/>
      <c r="AE431" s="321">
        <f t="shared" si="38"/>
        <v>1404187.2561864189</v>
      </c>
      <c r="AF431" s="321">
        <f t="shared" si="38"/>
        <v>0</v>
      </c>
      <c r="AG431" s="321">
        <f t="shared" si="38"/>
        <v>87621.671696675636</v>
      </c>
      <c r="AH431" s="321">
        <f t="shared" si="38"/>
        <v>0</v>
      </c>
      <c r="AI431" s="321">
        <f t="shared" si="38"/>
        <v>1491808.9278830946</v>
      </c>
      <c r="AJ431" s="321"/>
      <c r="AK431" s="321">
        <f t="shared" si="38"/>
        <v>0</v>
      </c>
      <c r="AL431" s="321">
        <f t="shared" si="38"/>
        <v>0</v>
      </c>
      <c r="AM431" s="321">
        <f t="shared" si="38"/>
        <v>0</v>
      </c>
      <c r="AN431" s="321">
        <f t="shared" si="38"/>
        <v>0</v>
      </c>
      <c r="AO431" s="321">
        <f t="shared" si="38"/>
        <v>0</v>
      </c>
      <c r="AP431" s="321">
        <f t="shared" si="38"/>
        <v>1491808.9278830946</v>
      </c>
    </row>
    <row r="432" spans="1:42" x14ac:dyDescent="0.25">
      <c r="A432" s="311">
        <v>4699567</v>
      </c>
      <c r="D432" s="311">
        <v>4699567</v>
      </c>
      <c r="E432" s="315" t="str">
        <f t="shared" si="31"/>
        <v>Dům Matky Terezy Hradec Králové</v>
      </c>
      <c r="F432" s="315" t="str">
        <f t="shared" si="32"/>
        <v>Oblastní charita Hradec Králové</v>
      </c>
      <c r="G432" s="315" t="str">
        <f t="shared" si="33"/>
        <v>§ 57 - Azylové domy</v>
      </c>
      <c r="H432" s="315"/>
      <c r="I432" s="266" t="s">
        <v>1812</v>
      </c>
      <c r="J432" s="319"/>
      <c r="K432" s="266"/>
      <c r="L432" s="320"/>
      <c r="M432" s="321">
        <f t="shared" si="34"/>
        <v>6.8</v>
      </c>
      <c r="N432" s="321">
        <f t="shared" si="39"/>
        <v>1</v>
      </c>
      <c r="O432" s="321">
        <f t="shared" si="39"/>
        <v>5.8</v>
      </c>
      <c r="P432" s="321">
        <f t="shared" si="39"/>
        <v>0</v>
      </c>
      <c r="Q432" s="321">
        <f t="shared" si="39"/>
        <v>0</v>
      </c>
      <c r="R432" s="321">
        <f t="shared" si="39"/>
        <v>32</v>
      </c>
      <c r="S432" s="321">
        <f t="shared" si="39"/>
        <v>0</v>
      </c>
      <c r="T432" s="321">
        <f t="shared" si="39"/>
        <v>0</v>
      </c>
      <c r="U432" s="321">
        <f t="shared" si="39"/>
        <v>0</v>
      </c>
      <c r="V432" s="321"/>
      <c r="W432" s="321">
        <f t="shared" si="38"/>
        <v>6.8</v>
      </c>
      <c r="X432" s="321">
        <f t="shared" si="38"/>
        <v>1</v>
      </c>
      <c r="Y432" s="321">
        <f t="shared" si="38"/>
        <v>5.8</v>
      </c>
      <c r="Z432" s="321">
        <f t="shared" si="38"/>
        <v>0</v>
      </c>
      <c r="AA432" s="321">
        <f t="shared" si="38"/>
        <v>0</v>
      </c>
      <c r="AB432" s="321">
        <f t="shared" si="38"/>
        <v>32</v>
      </c>
      <c r="AC432" s="321">
        <f t="shared" si="38"/>
        <v>0</v>
      </c>
      <c r="AD432" s="321"/>
      <c r="AE432" s="321">
        <f t="shared" si="38"/>
        <v>4407246.3779298319</v>
      </c>
      <c r="AF432" s="321">
        <f t="shared" si="38"/>
        <v>0</v>
      </c>
      <c r="AG432" s="321">
        <f t="shared" si="38"/>
        <v>854781.2319744305</v>
      </c>
      <c r="AH432" s="321">
        <f t="shared" si="38"/>
        <v>0</v>
      </c>
      <c r="AI432" s="321">
        <f t="shared" si="38"/>
        <v>5262027.6099042622</v>
      </c>
      <c r="AJ432" s="321"/>
      <c r="AK432" s="321">
        <f t="shared" si="38"/>
        <v>0</v>
      </c>
      <c r="AL432" s="321">
        <f t="shared" si="38"/>
        <v>0</v>
      </c>
      <c r="AM432" s="321">
        <f t="shared" si="38"/>
        <v>727523.7333333334</v>
      </c>
      <c r="AN432" s="321">
        <f t="shared" si="38"/>
        <v>0</v>
      </c>
      <c r="AO432" s="321">
        <f t="shared" si="38"/>
        <v>727523.7333333334</v>
      </c>
      <c r="AP432" s="321">
        <f t="shared" si="38"/>
        <v>4534503.8765709288</v>
      </c>
    </row>
    <row r="433" spans="1:42" x14ac:dyDescent="0.25">
      <c r="A433" s="311">
        <v>4720531</v>
      </c>
      <c r="D433" s="311">
        <v>4720531</v>
      </c>
      <c r="E433" s="315" t="str">
        <f t="shared" si="31"/>
        <v>Noclehárna</v>
      </c>
      <c r="F433" s="315" t="str">
        <f t="shared" si="32"/>
        <v>Sociální služby města Jičína</v>
      </c>
      <c r="G433" s="315" t="str">
        <f t="shared" si="33"/>
        <v>§ 63 - Noclehárny</v>
      </c>
      <c r="H433" s="315"/>
      <c r="I433" s="266" t="s">
        <v>1812</v>
      </c>
      <c r="J433" s="319"/>
      <c r="K433" s="266"/>
      <c r="L433" s="320"/>
      <c r="M433" s="321">
        <f t="shared" si="34"/>
        <v>1.25</v>
      </c>
      <c r="N433" s="321">
        <f t="shared" si="39"/>
        <v>0</v>
      </c>
      <c r="O433" s="321">
        <f t="shared" si="39"/>
        <v>1.25</v>
      </c>
      <c r="P433" s="321">
        <f t="shared" si="39"/>
        <v>0</v>
      </c>
      <c r="Q433" s="321">
        <f t="shared" si="39"/>
        <v>0</v>
      </c>
      <c r="R433" s="321">
        <f t="shared" si="39"/>
        <v>6</v>
      </c>
      <c r="S433" s="321">
        <f t="shared" si="39"/>
        <v>0</v>
      </c>
      <c r="T433" s="321">
        <f t="shared" si="39"/>
        <v>0</v>
      </c>
      <c r="U433" s="321">
        <f t="shared" si="39"/>
        <v>0</v>
      </c>
      <c r="V433" s="321"/>
      <c r="W433" s="321">
        <f t="shared" si="38"/>
        <v>1.25</v>
      </c>
      <c r="X433" s="321">
        <f t="shared" si="38"/>
        <v>0</v>
      </c>
      <c r="Y433" s="321">
        <f t="shared" si="38"/>
        <v>1.25</v>
      </c>
      <c r="Z433" s="321">
        <f t="shared" si="38"/>
        <v>0</v>
      </c>
      <c r="AA433" s="321">
        <f t="shared" si="38"/>
        <v>0</v>
      </c>
      <c r="AB433" s="321">
        <f t="shared" si="38"/>
        <v>6</v>
      </c>
      <c r="AC433" s="321">
        <f t="shared" si="38"/>
        <v>0</v>
      </c>
      <c r="AD433" s="321"/>
      <c r="AE433" s="321">
        <f t="shared" si="38"/>
        <v>885431.84319596295</v>
      </c>
      <c r="AF433" s="321">
        <f t="shared" si="38"/>
        <v>0</v>
      </c>
      <c r="AG433" s="321">
        <f t="shared" si="38"/>
        <v>132033.52653389223</v>
      </c>
      <c r="AH433" s="321">
        <f t="shared" si="38"/>
        <v>0</v>
      </c>
      <c r="AI433" s="321">
        <f t="shared" si="38"/>
        <v>1017465.3697298552</v>
      </c>
      <c r="AJ433" s="321"/>
      <c r="AK433" s="321">
        <f t="shared" si="38"/>
        <v>0</v>
      </c>
      <c r="AL433" s="321">
        <f t="shared" si="38"/>
        <v>0</v>
      </c>
      <c r="AM433" s="321">
        <f t="shared" si="38"/>
        <v>41952</v>
      </c>
      <c r="AN433" s="321">
        <f t="shared" si="38"/>
        <v>0</v>
      </c>
      <c r="AO433" s="321">
        <f t="shared" si="38"/>
        <v>41952</v>
      </c>
      <c r="AP433" s="321">
        <f t="shared" ref="W433:AP447" si="40">SUMIFS(AP$4:AP$318,$D$4:$D$318,$D433)</f>
        <v>975513.36972985521</v>
      </c>
    </row>
    <row r="434" spans="1:42" x14ac:dyDescent="0.25">
      <c r="A434" s="311">
        <v>4721932</v>
      </c>
      <c r="D434" s="311">
        <v>4721932</v>
      </c>
      <c r="E434" s="315" t="str">
        <f t="shared" si="31"/>
        <v>Domov bez bariér</v>
      </c>
      <c r="F434" s="315" t="str">
        <f t="shared" si="32"/>
        <v>Domov bez bariér</v>
      </c>
      <c r="G434" s="315" t="str">
        <f t="shared" si="33"/>
        <v>§ 48 - Domovy pro osoby se zdravotním postižením</v>
      </c>
      <c r="H434" s="315"/>
      <c r="I434" s="266" t="s">
        <v>1812</v>
      </c>
      <c r="J434" s="319"/>
      <c r="K434" s="266"/>
      <c r="L434" s="320"/>
      <c r="M434" s="321">
        <f t="shared" si="34"/>
        <v>53.3</v>
      </c>
      <c r="N434" s="321">
        <f t="shared" si="39"/>
        <v>4</v>
      </c>
      <c r="O434" s="321">
        <f t="shared" si="39"/>
        <v>39.700000000000003</v>
      </c>
      <c r="P434" s="321">
        <f t="shared" si="39"/>
        <v>9.6</v>
      </c>
      <c r="Q434" s="321">
        <f t="shared" si="39"/>
        <v>0</v>
      </c>
      <c r="R434" s="321">
        <f t="shared" si="39"/>
        <v>79</v>
      </c>
      <c r="S434" s="321">
        <f t="shared" si="39"/>
        <v>0</v>
      </c>
      <c r="T434" s="321">
        <f t="shared" si="39"/>
        <v>0</v>
      </c>
      <c r="U434" s="321">
        <f t="shared" si="39"/>
        <v>0</v>
      </c>
      <c r="V434" s="321"/>
      <c r="W434" s="321">
        <f t="shared" si="40"/>
        <v>53.3</v>
      </c>
      <c r="X434" s="321">
        <f t="shared" si="40"/>
        <v>4</v>
      </c>
      <c r="Y434" s="321">
        <f t="shared" si="40"/>
        <v>39.700000000000003</v>
      </c>
      <c r="Z434" s="321">
        <f t="shared" si="40"/>
        <v>9.6</v>
      </c>
      <c r="AA434" s="321">
        <f t="shared" si="40"/>
        <v>0</v>
      </c>
      <c r="AB434" s="321">
        <f t="shared" si="40"/>
        <v>79</v>
      </c>
      <c r="AC434" s="321">
        <f t="shared" si="40"/>
        <v>0</v>
      </c>
      <c r="AD434" s="321"/>
      <c r="AE434" s="321">
        <f t="shared" si="40"/>
        <v>29235496.286258124</v>
      </c>
      <c r="AF434" s="321">
        <f t="shared" si="40"/>
        <v>8152372.3887178097</v>
      </c>
      <c r="AG434" s="321">
        <f t="shared" si="40"/>
        <v>8310115.9765087822</v>
      </c>
      <c r="AH434" s="321">
        <f t="shared" si="40"/>
        <v>5337701.5581725407</v>
      </c>
      <c r="AI434" s="321">
        <f t="shared" si="40"/>
        <v>51035686.209657252</v>
      </c>
      <c r="AJ434" s="321"/>
      <c r="AK434" s="321">
        <f t="shared" si="40"/>
        <v>8383508.114705883</v>
      </c>
      <c r="AL434" s="321">
        <f t="shared" si="40"/>
        <v>2081628.3137254901</v>
      </c>
      <c r="AM434" s="321">
        <f t="shared" si="40"/>
        <v>3778985.7894736845</v>
      </c>
      <c r="AN434" s="321">
        <f t="shared" si="40"/>
        <v>3576302.35</v>
      </c>
      <c r="AO434" s="321">
        <f t="shared" si="40"/>
        <v>17820424.567905057</v>
      </c>
      <c r="AP434" s="321">
        <f t="shared" si="40"/>
        <v>33215261.641752195</v>
      </c>
    </row>
    <row r="435" spans="1:42" x14ac:dyDescent="0.25">
      <c r="A435" s="311">
        <v>4753225</v>
      </c>
      <c r="D435" s="311">
        <v>4753225</v>
      </c>
      <c r="E435" s="315" t="str">
        <f t="shared" si="31"/>
        <v>Domov důchodců Dvůr Králové nad Labem</v>
      </c>
      <c r="F435" s="315" t="str">
        <f t="shared" si="32"/>
        <v>Domov důchodců Dvůr Králové nad Labem</v>
      </c>
      <c r="G435" s="315" t="str">
        <f t="shared" si="33"/>
        <v>§ 49 - Domovy pro seniory</v>
      </c>
      <c r="H435" s="315"/>
      <c r="I435" s="266" t="s">
        <v>1812</v>
      </c>
      <c r="J435" s="319"/>
      <c r="K435" s="266"/>
      <c r="L435" s="320"/>
      <c r="M435" s="321">
        <f t="shared" si="34"/>
        <v>38.799999999999997</v>
      </c>
      <c r="N435" s="321">
        <f t="shared" si="39"/>
        <v>4</v>
      </c>
      <c r="O435" s="321">
        <f t="shared" si="39"/>
        <v>24.55</v>
      </c>
      <c r="P435" s="321">
        <f t="shared" si="39"/>
        <v>10.25</v>
      </c>
      <c r="Q435" s="321">
        <f t="shared" si="39"/>
        <v>0</v>
      </c>
      <c r="R435" s="321">
        <f t="shared" si="39"/>
        <v>80</v>
      </c>
      <c r="S435" s="321">
        <f t="shared" si="39"/>
        <v>0</v>
      </c>
      <c r="T435" s="321">
        <f t="shared" si="39"/>
        <v>0</v>
      </c>
      <c r="U435" s="321">
        <f t="shared" si="39"/>
        <v>0</v>
      </c>
      <c r="V435" s="321"/>
      <c r="W435" s="321">
        <f t="shared" si="40"/>
        <v>38.799999999999997</v>
      </c>
      <c r="X435" s="321">
        <f t="shared" si="40"/>
        <v>4</v>
      </c>
      <c r="Y435" s="321">
        <f t="shared" si="40"/>
        <v>24.55</v>
      </c>
      <c r="Z435" s="321">
        <f t="shared" si="40"/>
        <v>10.25</v>
      </c>
      <c r="AA435" s="321">
        <f t="shared" si="40"/>
        <v>0</v>
      </c>
      <c r="AB435" s="321">
        <f t="shared" si="40"/>
        <v>80</v>
      </c>
      <c r="AC435" s="321">
        <f t="shared" si="40"/>
        <v>0</v>
      </c>
      <c r="AD435" s="321"/>
      <c r="AE435" s="321">
        <f t="shared" si="40"/>
        <v>19458006.04476111</v>
      </c>
      <c r="AF435" s="321">
        <f t="shared" si="40"/>
        <v>8692928.5208388697</v>
      </c>
      <c r="AG435" s="321">
        <f t="shared" si="40"/>
        <v>8105031.9511466241</v>
      </c>
      <c r="AH435" s="321">
        <f t="shared" si="40"/>
        <v>5681610.976792179</v>
      </c>
      <c r="AI435" s="321">
        <f t="shared" si="40"/>
        <v>41937577.493538782</v>
      </c>
      <c r="AJ435" s="321"/>
      <c r="AK435" s="321">
        <f t="shared" si="40"/>
        <v>8981638.8124690745</v>
      </c>
      <c r="AL435" s="321">
        <f t="shared" si="40"/>
        <v>2339589.500805153</v>
      </c>
      <c r="AM435" s="321">
        <f t="shared" si="40"/>
        <v>6153901.970055161</v>
      </c>
      <c r="AN435" s="321">
        <f t="shared" si="40"/>
        <v>4070165.036764706</v>
      </c>
      <c r="AO435" s="321">
        <f t="shared" si="40"/>
        <v>21545295.320094097</v>
      </c>
      <c r="AP435" s="321">
        <f t="shared" si="40"/>
        <v>20392282.173444685</v>
      </c>
    </row>
    <row r="436" spans="1:42" x14ac:dyDescent="0.25">
      <c r="A436" s="311">
        <v>4782003</v>
      </c>
      <c r="D436" s="311">
        <v>4782003</v>
      </c>
      <c r="E436" s="315" t="str">
        <f t="shared" si="31"/>
        <v>Domov pro seniory</v>
      </c>
      <c r="F436" s="315" t="str">
        <f t="shared" si="32"/>
        <v>Městské středisko sociálních služeb Oáza</v>
      </c>
      <c r="G436" s="315" t="str">
        <f t="shared" si="33"/>
        <v>§ 49 - Domovy pro seniory</v>
      </c>
      <c r="H436" s="315"/>
      <c r="I436" s="266" t="s">
        <v>1812</v>
      </c>
      <c r="J436" s="319"/>
      <c r="K436" s="266"/>
      <c r="L436" s="320"/>
      <c r="M436" s="321">
        <f t="shared" si="34"/>
        <v>26.74</v>
      </c>
      <c r="N436" s="321">
        <f t="shared" si="39"/>
        <v>1.1499999999999999</v>
      </c>
      <c r="O436" s="321">
        <f t="shared" si="39"/>
        <v>18</v>
      </c>
      <c r="P436" s="321">
        <f t="shared" si="39"/>
        <v>7.59</v>
      </c>
      <c r="Q436" s="321">
        <f t="shared" si="39"/>
        <v>0</v>
      </c>
      <c r="R436" s="321">
        <f t="shared" si="39"/>
        <v>43</v>
      </c>
      <c r="S436" s="321">
        <f t="shared" si="39"/>
        <v>0</v>
      </c>
      <c r="T436" s="321">
        <f t="shared" si="39"/>
        <v>0</v>
      </c>
      <c r="U436" s="321">
        <f t="shared" si="39"/>
        <v>0</v>
      </c>
      <c r="V436" s="321"/>
      <c r="W436" s="321">
        <f t="shared" si="40"/>
        <v>26.74</v>
      </c>
      <c r="X436" s="321">
        <f t="shared" si="40"/>
        <v>1.1499999999999999</v>
      </c>
      <c r="Y436" s="321">
        <f t="shared" si="40"/>
        <v>18</v>
      </c>
      <c r="Z436" s="321">
        <f t="shared" si="40"/>
        <v>7.59</v>
      </c>
      <c r="AA436" s="321">
        <f t="shared" si="40"/>
        <v>0</v>
      </c>
      <c r="AB436" s="321">
        <f t="shared" si="40"/>
        <v>43</v>
      </c>
      <c r="AC436" s="321">
        <f t="shared" si="40"/>
        <v>0</v>
      </c>
      <c r="AD436" s="321"/>
      <c r="AE436" s="321">
        <f t="shared" si="40"/>
        <v>13051517.189393178</v>
      </c>
      <c r="AF436" s="321">
        <f t="shared" si="40"/>
        <v>6437007.5583577584</v>
      </c>
      <c r="AG436" s="321">
        <f t="shared" si="40"/>
        <v>4356454.6737413108</v>
      </c>
      <c r="AH436" s="321">
        <f t="shared" si="40"/>
        <v>3053865.9000257961</v>
      </c>
      <c r="AI436" s="321">
        <f t="shared" si="40"/>
        <v>26898845.321518045</v>
      </c>
      <c r="AJ436" s="321"/>
      <c r="AK436" s="321">
        <f t="shared" si="40"/>
        <v>4827630.8617021274</v>
      </c>
      <c r="AL436" s="321">
        <f t="shared" si="40"/>
        <v>1257529.3566827697</v>
      </c>
      <c r="AM436" s="321">
        <f t="shared" si="40"/>
        <v>3307722.3089046492</v>
      </c>
      <c r="AN436" s="321">
        <f t="shared" si="40"/>
        <v>2187713.7072610296</v>
      </c>
      <c r="AO436" s="321">
        <f t="shared" si="40"/>
        <v>11580596.234550577</v>
      </c>
      <c r="AP436" s="321">
        <f t="shared" si="40"/>
        <v>15318249.086967468</v>
      </c>
    </row>
    <row r="437" spans="1:42" x14ac:dyDescent="0.25">
      <c r="A437" s="311">
        <v>4878719</v>
      </c>
      <c r="D437" s="311">
        <v>4878719</v>
      </c>
      <c r="E437" s="315" t="str">
        <f t="shared" si="31"/>
        <v>Sociální služby města Hořice</v>
      </c>
      <c r="F437" s="315" t="str">
        <f t="shared" si="32"/>
        <v>Sociální služby města Hořice</v>
      </c>
      <c r="G437" s="315" t="str">
        <f t="shared" si="33"/>
        <v>§ 40 - Pečovatelská služba</v>
      </c>
      <c r="H437" s="315"/>
      <c r="I437" s="266" t="s">
        <v>1812</v>
      </c>
      <c r="J437" s="319"/>
      <c r="K437" s="266"/>
      <c r="L437" s="320"/>
      <c r="M437" s="321">
        <f t="shared" si="34"/>
        <v>6.5</v>
      </c>
      <c r="N437" s="321">
        <f t="shared" si="39"/>
        <v>0.5</v>
      </c>
      <c r="O437" s="321">
        <f t="shared" si="39"/>
        <v>6</v>
      </c>
      <c r="P437" s="321">
        <f t="shared" si="39"/>
        <v>0</v>
      </c>
      <c r="Q437" s="321">
        <f t="shared" si="39"/>
        <v>0</v>
      </c>
      <c r="R437" s="321">
        <f t="shared" si="39"/>
        <v>0</v>
      </c>
      <c r="S437" s="321">
        <f t="shared" si="39"/>
        <v>120</v>
      </c>
      <c r="T437" s="321">
        <f t="shared" si="39"/>
        <v>0</v>
      </c>
      <c r="U437" s="321">
        <f t="shared" si="39"/>
        <v>0</v>
      </c>
      <c r="V437" s="321"/>
      <c r="W437" s="321">
        <f t="shared" si="40"/>
        <v>6.5</v>
      </c>
      <c r="X437" s="321">
        <f t="shared" si="40"/>
        <v>0.5</v>
      </c>
      <c r="Y437" s="321">
        <f t="shared" si="40"/>
        <v>6</v>
      </c>
      <c r="Z437" s="321">
        <f t="shared" si="40"/>
        <v>0</v>
      </c>
      <c r="AA437" s="321">
        <f t="shared" si="40"/>
        <v>0</v>
      </c>
      <c r="AB437" s="321">
        <f t="shared" si="40"/>
        <v>0</v>
      </c>
      <c r="AC437" s="321">
        <f t="shared" si="40"/>
        <v>0</v>
      </c>
      <c r="AD437" s="321"/>
      <c r="AE437" s="321">
        <f t="shared" si="40"/>
        <v>3753065.0507111843</v>
      </c>
      <c r="AF437" s="321">
        <f t="shared" si="40"/>
        <v>0</v>
      </c>
      <c r="AG437" s="321">
        <f t="shared" si="40"/>
        <v>279849.21554296545</v>
      </c>
      <c r="AH437" s="321">
        <f t="shared" si="40"/>
        <v>0</v>
      </c>
      <c r="AI437" s="321">
        <f t="shared" si="40"/>
        <v>4032914.2662541498</v>
      </c>
      <c r="AJ437" s="321"/>
      <c r="AK437" s="321">
        <f t="shared" si="40"/>
        <v>832531.4117647059</v>
      </c>
      <c r="AL437" s="321">
        <f t="shared" si="40"/>
        <v>0</v>
      </c>
      <c r="AM437" s="321">
        <f t="shared" si="40"/>
        <v>0</v>
      </c>
      <c r="AN437" s="321">
        <f t="shared" si="40"/>
        <v>0</v>
      </c>
      <c r="AO437" s="321">
        <f t="shared" si="40"/>
        <v>832531.4117647059</v>
      </c>
      <c r="AP437" s="321">
        <f t="shared" si="40"/>
        <v>3200382.8544894438</v>
      </c>
    </row>
    <row r="438" spans="1:42" x14ac:dyDescent="0.25">
      <c r="A438" s="311">
        <v>4885366</v>
      </c>
      <c r="D438" s="311">
        <v>4885366</v>
      </c>
      <c r="E438" s="315" t="str">
        <f t="shared" si="31"/>
        <v>Podporované zaměstnávání</v>
      </c>
      <c r="F438" s="315" t="str">
        <f t="shared" si="32"/>
        <v>Aspekt z.s.</v>
      </c>
      <c r="G438" s="315" t="str">
        <f t="shared" si="33"/>
        <v>§ 70 - Sociální rehabilitace</v>
      </c>
      <c r="H438" s="315"/>
      <c r="I438" s="266" t="s">
        <v>1812</v>
      </c>
      <c r="J438" s="319"/>
      <c r="K438" s="266"/>
      <c r="L438" s="320"/>
      <c r="M438" s="321">
        <f t="shared" si="34"/>
        <v>4</v>
      </c>
      <c r="N438" s="321">
        <f t="shared" si="39"/>
        <v>2</v>
      </c>
      <c r="O438" s="321">
        <f t="shared" si="39"/>
        <v>2</v>
      </c>
      <c r="P438" s="321">
        <f t="shared" si="39"/>
        <v>0</v>
      </c>
      <c r="Q438" s="321">
        <f t="shared" si="39"/>
        <v>0</v>
      </c>
      <c r="R438" s="321">
        <f t="shared" si="39"/>
        <v>0</v>
      </c>
      <c r="S438" s="321">
        <f t="shared" si="39"/>
        <v>0</v>
      </c>
      <c r="T438" s="321">
        <f t="shared" si="39"/>
        <v>42</v>
      </c>
      <c r="U438" s="321">
        <f t="shared" si="39"/>
        <v>0</v>
      </c>
      <c r="V438" s="321"/>
      <c r="W438" s="321">
        <f t="shared" si="40"/>
        <v>4</v>
      </c>
      <c r="X438" s="321">
        <f t="shared" si="40"/>
        <v>2</v>
      </c>
      <c r="Y438" s="321">
        <f t="shared" si="40"/>
        <v>2</v>
      </c>
      <c r="Z438" s="321">
        <f t="shared" si="40"/>
        <v>0</v>
      </c>
      <c r="AA438" s="321">
        <f t="shared" si="40"/>
        <v>0</v>
      </c>
      <c r="AB438" s="321">
        <f t="shared" si="40"/>
        <v>0</v>
      </c>
      <c r="AC438" s="321">
        <f t="shared" si="40"/>
        <v>42</v>
      </c>
      <c r="AD438" s="321"/>
      <c r="AE438" s="321">
        <f t="shared" si="40"/>
        <v>2808374.5123728379</v>
      </c>
      <c r="AF438" s="321">
        <f t="shared" si="40"/>
        <v>0</v>
      </c>
      <c r="AG438" s="321">
        <f t="shared" si="40"/>
        <v>175243.34339335127</v>
      </c>
      <c r="AH438" s="321">
        <f t="shared" si="40"/>
        <v>0</v>
      </c>
      <c r="AI438" s="321">
        <f t="shared" si="40"/>
        <v>2983617.8557661893</v>
      </c>
      <c r="AJ438" s="321"/>
      <c r="AK438" s="321">
        <f t="shared" si="40"/>
        <v>0</v>
      </c>
      <c r="AL438" s="321">
        <f t="shared" si="40"/>
        <v>0</v>
      </c>
      <c r="AM438" s="321">
        <f t="shared" si="40"/>
        <v>0</v>
      </c>
      <c r="AN438" s="321">
        <f t="shared" si="40"/>
        <v>0</v>
      </c>
      <c r="AO438" s="321">
        <f t="shared" si="40"/>
        <v>0</v>
      </c>
      <c r="AP438" s="321">
        <f t="shared" si="40"/>
        <v>2983617.8557661893</v>
      </c>
    </row>
    <row r="439" spans="1:42" x14ac:dyDescent="0.25">
      <c r="A439" s="311">
        <v>4936413</v>
      </c>
      <c r="D439" s="311">
        <v>4936413</v>
      </c>
      <c r="E439" s="315" t="str">
        <f t="shared" si="31"/>
        <v>Pečovatelská služba Rokytnice v Orlických horách</v>
      </c>
      <c r="F439" s="315" t="str">
        <f t="shared" si="32"/>
        <v>Město Rokytnice v Orlických horách</v>
      </c>
      <c r="G439" s="315" t="str">
        <f t="shared" si="33"/>
        <v>§ 40 - Pečovatelská služba</v>
      </c>
      <c r="H439" s="315"/>
      <c r="I439" s="266" t="s">
        <v>1812</v>
      </c>
      <c r="J439" s="319"/>
      <c r="K439" s="266"/>
      <c r="L439" s="320"/>
      <c r="M439" s="321">
        <f t="shared" si="34"/>
        <v>3.21</v>
      </c>
      <c r="N439" s="321">
        <f t="shared" si="39"/>
        <v>0.9</v>
      </c>
      <c r="O439" s="321">
        <f t="shared" si="39"/>
        <v>2.31</v>
      </c>
      <c r="P439" s="321">
        <f t="shared" si="39"/>
        <v>0</v>
      </c>
      <c r="Q439" s="321">
        <f t="shared" si="39"/>
        <v>0</v>
      </c>
      <c r="R439" s="321">
        <f t="shared" si="39"/>
        <v>0</v>
      </c>
      <c r="S439" s="321">
        <f t="shared" si="39"/>
        <v>37</v>
      </c>
      <c r="T439" s="321">
        <f t="shared" si="39"/>
        <v>3</v>
      </c>
      <c r="U439" s="321">
        <f t="shared" si="39"/>
        <v>0</v>
      </c>
      <c r="V439" s="321"/>
      <c r="W439" s="321">
        <f t="shared" si="40"/>
        <v>3.21</v>
      </c>
      <c r="X439" s="321">
        <f t="shared" si="40"/>
        <v>0.9</v>
      </c>
      <c r="Y439" s="321">
        <f t="shared" si="40"/>
        <v>2.31</v>
      </c>
      <c r="Z439" s="321">
        <f t="shared" si="40"/>
        <v>0</v>
      </c>
      <c r="AA439" s="321">
        <f t="shared" si="40"/>
        <v>0</v>
      </c>
      <c r="AB439" s="321">
        <f t="shared" si="40"/>
        <v>0</v>
      </c>
      <c r="AC439" s="321">
        <f t="shared" si="40"/>
        <v>3</v>
      </c>
      <c r="AD439" s="321"/>
      <c r="AE439" s="321">
        <f t="shared" si="40"/>
        <v>1853436.7404281385</v>
      </c>
      <c r="AF439" s="321">
        <f t="shared" si="40"/>
        <v>0</v>
      </c>
      <c r="AG439" s="321">
        <f t="shared" si="40"/>
        <v>138202.45875275679</v>
      </c>
      <c r="AH439" s="321">
        <f t="shared" si="40"/>
        <v>0</v>
      </c>
      <c r="AI439" s="321">
        <f t="shared" si="40"/>
        <v>1991639.1991808952</v>
      </c>
      <c r="AJ439" s="321"/>
      <c r="AK439" s="321">
        <f t="shared" si="40"/>
        <v>320524.59352941177</v>
      </c>
      <c r="AL439" s="321">
        <f t="shared" si="40"/>
        <v>0</v>
      </c>
      <c r="AM439" s="321">
        <f t="shared" si="40"/>
        <v>0</v>
      </c>
      <c r="AN439" s="321">
        <f t="shared" si="40"/>
        <v>0</v>
      </c>
      <c r="AO439" s="321">
        <f t="shared" si="40"/>
        <v>320524.59352941177</v>
      </c>
      <c r="AP439" s="321">
        <f t="shared" si="40"/>
        <v>1671114.6056514834</v>
      </c>
    </row>
    <row r="440" spans="1:42" x14ac:dyDescent="0.25">
      <c r="A440" s="311">
        <v>4987165</v>
      </c>
      <c r="D440" s="311">
        <v>4987165</v>
      </c>
      <c r="E440" s="315" t="str">
        <f t="shared" si="31"/>
        <v>Centrum pro rodinu - SAS</v>
      </c>
      <c r="F440" s="315" t="str">
        <f t="shared" si="32"/>
        <v>Centrum sociálních služeb Naděje Broumov</v>
      </c>
      <c r="G440" s="315" t="str">
        <f t="shared" si="33"/>
        <v>§ 65 - Sociálně aktivizační služby pro rodiny s dětmi</v>
      </c>
      <c r="H440" s="315"/>
      <c r="I440" s="266" t="s">
        <v>1812</v>
      </c>
      <c r="J440" s="319"/>
      <c r="K440" s="266"/>
      <c r="L440" s="320"/>
      <c r="M440" s="321">
        <f t="shared" si="34"/>
        <v>4.5</v>
      </c>
      <c r="N440" s="321">
        <f t="shared" si="39"/>
        <v>2.5</v>
      </c>
      <c r="O440" s="321">
        <f t="shared" si="39"/>
        <v>2</v>
      </c>
      <c r="P440" s="321">
        <f t="shared" si="39"/>
        <v>0</v>
      </c>
      <c r="Q440" s="321">
        <f t="shared" si="39"/>
        <v>0</v>
      </c>
      <c r="R440" s="321">
        <f t="shared" si="39"/>
        <v>0</v>
      </c>
      <c r="S440" s="321">
        <f t="shared" si="39"/>
        <v>234</v>
      </c>
      <c r="T440" s="321">
        <f t="shared" si="39"/>
        <v>0</v>
      </c>
      <c r="U440" s="321">
        <f t="shared" si="39"/>
        <v>0</v>
      </c>
      <c r="V440" s="321"/>
      <c r="W440" s="321">
        <f t="shared" si="40"/>
        <v>4.5</v>
      </c>
      <c r="X440" s="321">
        <f t="shared" si="40"/>
        <v>2.5</v>
      </c>
      <c r="Y440" s="321">
        <f t="shared" si="40"/>
        <v>2</v>
      </c>
      <c r="Z440" s="321">
        <f t="shared" si="40"/>
        <v>0</v>
      </c>
      <c r="AA440" s="321">
        <f t="shared" si="40"/>
        <v>0</v>
      </c>
      <c r="AB440" s="321">
        <f t="shared" si="40"/>
        <v>0</v>
      </c>
      <c r="AC440" s="321">
        <f t="shared" si="40"/>
        <v>0</v>
      </c>
      <c r="AD440" s="321"/>
      <c r="AE440" s="321">
        <f t="shared" si="40"/>
        <v>3032817.4164201124</v>
      </c>
      <c r="AF440" s="321">
        <f t="shared" si="40"/>
        <v>0</v>
      </c>
      <c r="AG440" s="321">
        <f t="shared" si="40"/>
        <v>202546.32860650372</v>
      </c>
      <c r="AH440" s="321">
        <f t="shared" si="40"/>
        <v>0</v>
      </c>
      <c r="AI440" s="321">
        <f t="shared" si="40"/>
        <v>3235363.7450266159</v>
      </c>
      <c r="AJ440" s="321"/>
      <c r="AK440" s="321">
        <f t="shared" si="40"/>
        <v>0</v>
      </c>
      <c r="AL440" s="321">
        <f t="shared" si="40"/>
        <v>0</v>
      </c>
      <c r="AM440" s="321">
        <f t="shared" si="40"/>
        <v>0</v>
      </c>
      <c r="AN440" s="321">
        <f t="shared" si="40"/>
        <v>0</v>
      </c>
      <c r="AO440" s="321">
        <f t="shared" si="40"/>
        <v>0</v>
      </c>
      <c r="AP440" s="321">
        <f t="shared" si="40"/>
        <v>3235363.7450266159</v>
      </c>
    </row>
    <row r="441" spans="1:42" x14ac:dyDescent="0.25">
      <c r="A441" s="311">
        <v>5000179</v>
      </c>
      <c r="D441" s="311">
        <v>5000179</v>
      </c>
      <c r="E441" s="315" t="str">
        <f t="shared" si="31"/>
        <v>Domov pro osoby se zdravotním postižením</v>
      </c>
      <c r="F441" s="315" t="str">
        <f t="shared" si="32"/>
        <v>Barevné domky Hajnice</v>
      </c>
      <c r="G441" s="315" t="str">
        <f t="shared" si="33"/>
        <v>§ 48 - Domovy pro osoby se zdravotním postižením</v>
      </c>
      <c r="H441" s="315"/>
      <c r="I441" s="266" t="s">
        <v>1812</v>
      </c>
      <c r="J441" s="319"/>
      <c r="K441" s="266"/>
      <c r="L441" s="320"/>
      <c r="M441" s="321">
        <f t="shared" si="34"/>
        <v>66.5</v>
      </c>
      <c r="N441" s="321">
        <f t="shared" si="39"/>
        <v>2</v>
      </c>
      <c r="O441" s="321">
        <f t="shared" si="39"/>
        <v>54.5</v>
      </c>
      <c r="P441" s="321">
        <f t="shared" si="39"/>
        <v>9</v>
      </c>
      <c r="Q441" s="321">
        <f t="shared" si="39"/>
        <v>1</v>
      </c>
      <c r="R441" s="321">
        <f t="shared" si="39"/>
        <v>58</v>
      </c>
      <c r="S441" s="321">
        <f t="shared" si="39"/>
        <v>0</v>
      </c>
      <c r="T441" s="321">
        <f t="shared" si="39"/>
        <v>0</v>
      </c>
      <c r="U441" s="321">
        <f t="shared" si="39"/>
        <v>0</v>
      </c>
      <c r="V441" s="321"/>
      <c r="W441" s="321">
        <f t="shared" si="40"/>
        <v>66.5</v>
      </c>
      <c r="X441" s="321">
        <f t="shared" si="40"/>
        <v>2</v>
      </c>
      <c r="Y441" s="321">
        <f t="shared" si="40"/>
        <v>54.5</v>
      </c>
      <c r="Z441" s="321">
        <f t="shared" si="40"/>
        <v>9</v>
      </c>
      <c r="AA441" s="321">
        <f t="shared" si="40"/>
        <v>1</v>
      </c>
      <c r="AB441" s="321">
        <f t="shared" si="40"/>
        <v>58</v>
      </c>
      <c r="AC441" s="321">
        <f t="shared" si="40"/>
        <v>0</v>
      </c>
      <c r="AD441" s="321"/>
      <c r="AE441" s="321">
        <f t="shared" si="40"/>
        <v>38467758.271392271</v>
      </c>
      <c r="AF441" s="321">
        <f t="shared" si="40"/>
        <v>7642849.1144229472</v>
      </c>
      <c r="AG441" s="321">
        <f t="shared" si="40"/>
        <v>6101097.8055380927</v>
      </c>
      <c r="AH441" s="321">
        <f t="shared" si="40"/>
        <v>3918818.8654937642</v>
      </c>
      <c r="AI441" s="321">
        <f t="shared" si="40"/>
        <v>56130524.056847081</v>
      </c>
      <c r="AJ441" s="321"/>
      <c r="AK441" s="321">
        <f t="shared" si="40"/>
        <v>6154980.6411764706</v>
      </c>
      <c r="AL441" s="321">
        <f t="shared" si="40"/>
        <v>1528284.0784313725</v>
      </c>
      <c r="AM441" s="321">
        <f t="shared" si="40"/>
        <v>2774445.2631578948</v>
      </c>
      <c r="AN441" s="321">
        <f t="shared" si="40"/>
        <v>2625639.7000000002</v>
      </c>
      <c r="AO441" s="321">
        <f t="shared" si="40"/>
        <v>13083349.682765737</v>
      </c>
      <c r="AP441" s="321">
        <f t="shared" si="40"/>
        <v>43047174.374081343</v>
      </c>
    </row>
    <row r="442" spans="1:42" x14ac:dyDescent="0.25">
      <c r="A442" s="311">
        <v>5020855</v>
      </c>
      <c r="D442" s="311">
        <v>5020855</v>
      </c>
      <c r="E442" s="315" t="str">
        <f t="shared" si="31"/>
        <v>Centrum Orion</v>
      </c>
      <c r="F442" s="315" t="str">
        <f t="shared" si="32"/>
        <v>Centrum Orion, z. s.</v>
      </c>
      <c r="G442" s="315" t="str">
        <f t="shared" si="33"/>
        <v>§ 45 - Centra denních služeb</v>
      </c>
      <c r="H442" s="315"/>
      <c r="I442" s="266" t="s">
        <v>1812</v>
      </c>
      <c r="J442" s="319"/>
      <c r="K442" s="266"/>
      <c r="L442" s="320"/>
      <c r="M442" s="321">
        <f t="shared" si="34"/>
        <v>8.51</v>
      </c>
      <c r="N442" s="321">
        <f t="shared" si="39"/>
        <v>1</v>
      </c>
      <c r="O442" s="321">
        <f t="shared" si="39"/>
        <v>6.31</v>
      </c>
      <c r="P442" s="321">
        <f t="shared" si="39"/>
        <v>0</v>
      </c>
      <c r="Q442" s="321">
        <f t="shared" si="39"/>
        <v>1.2</v>
      </c>
      <c r="R442" s="321">
        <f t="shared" si="39"/>
        <v>0</v>
      </c>
      <c r="S442" s="321">
        <f t="shared" si="39"/>
        <v>0</v>
      </c>
      <c r="T442" s="321">
        <f t="shared" si="39"/>
        <v>40</v>
      </c>
      <c r="U442" s="321">
        <f t="shared" si="39"/>
        <v>0</v>
      </c>
      <c r="V442" s="321"/>
      <c r="W442" s="321">
        <f t="shared" si="40"/>
        <v>8.51</v>
      </c>
      <c r="X442" s="321">
        <f t="shared" si="40"/>
        <v>1</v>
      </c>
      <c r="Y442" s="321">
        <f t="shared" si="40"/>
        <v>6.31</v>
      </c>
      <c r="Z442" s="321">
        <f t="shared" si="40"/>
        <v>0</v>
      </c>
      <c r="AA442" s="321">
        <f t="shared" si="40"/>
        <v>1.2</v>
      </c>
      <c r="AB442" s="321">
        <f t="shared" si="40"/>
        <v>0</v>
      </c>
      <c r="AC442" s="321">
        <f t="shared" si="40"/>
        <v>40</v>
      </c>
      <c r="AD442" s="321"/>
      <c r="AE442" s="321">
        <f t="shared" si="40"/>
        <v>5083211.0519691082</v>
      </c>
      <c r="AF442" s="321">
        <f t="shared" si="40"/>
        <v>0</v>
      </c>
      <c r="AG442" s="321">
        <f t="shared" si="40"/>
        <v>765297.62245950464</v>
      </c>
      <c r="AH442" s="321">
        <f t="shared" si="40"/>
        <v>21937.672651710258</v>
      </c>
      <c r="AI442" s="321">
        <f t="shared" si="40"/>
        <v>5870446.3470803229</v>
      </c>
      <c r="AJ442" s="321"/>
      <c r="AK442" s="321">
        <f t="shared" si="40"/>
        <v>853143.51</v>
      </c>
      <c r="AL442" s="321">
        <f t="shared" si="40"/>
        <v>0</v>
      </c>
      <c r="AM442" s="321">
        <f t="shared" si="40"/>
        <v>0</v>
      </c>
      <c r="AN442" s="321">
        <f t="shared" si="40"/>
        <v>0</v>
      </c>
      <c r="AO442" s="321">
        <f t="shared" si="40"/>
        <v>853143.51</v>
      </c>
      <c r="AP442" s="321">
        <f t="shared" si="40"/>
        <v>5017302.8370803231</v>
      </c>
    </row>
    <row r="443" spans="1:42" x14ac:dyDescent="0.25">
      <c r="A443" s="311">
        <v>5040302</v>
      </c>
      <c r="D443" s="311">
        <v>5040302</v>
      </c>
      <c r="E443" s="315" t="str">
        <f t="shared" si="31"/>
        <v>Domov důchodců Humburky</v>
      </c>
      <c r="F443" s="315" t="str">
        <f t="shared" si="32"/>
        <v>Domov důchodců Humburky</v>
      </c>
      <c r="G443" s="315" t="str">
        <f t="shared" si="33"/>
        <v>§ 49 - Domovy pro seniory</v>
      </c>
      <c r="H443" s="315"/>
      <c r="I443" s="266" t="s">
        <v>1812</v>
      </c>
      <c r="J443" s="319"/>
      <c r="K443" s="266"/>
      <c r="L443" s="320"/>
      <c r="M443" s="321">
        <f t="shared" si="34"/>
        <v>21</v>
      </c>
      <c r="N443" s="321">
        <f t="shared" si="39"/>
        <v>2</v>
      </c>
      <c r="O443" s="321">
        <f t="shared" si="39"/>
        <v>12</v>
      </c>
      <c r="P443" s="321">
        <f t="shared" si="39"/>
        <v>7</v>
      </c>
      <c r="Q443" s="321">
        <f t="shared" si="39"/>
        <v>0</v>
      </c>
      <c r="R443" s="321">
        <f t="shared" si="39"/>
        <v>47</v>
      </c>
      <c r="S443" s="321">
        <f t="shared" si="39"/>
        <v>0</v>
      </c>
      <c r="T443" s="321">
        <f t="shared" si="39"/>
        <v>0</v>
      </c>
      <c r="U443" s="321">
        <f t="shared" si="39"/>
        <v>0</v>
      </c>
      <c r="V443" s="321"/>
      <c r="W443" s="321">
        <f t="shared" si="40"/>
        <v>21</v>
      </c>
      <c r="X443" s="321">
        <f t="shared" si="40"/>
        <v>2</v>
      </c>
      <c r="Y443" s="321">
        <f t="shared" si="40"/>
        <v>12</v>
      </c>
      <c r="Z443" s="321">
        <f t="shared" si="40"/>
        <v>7</v>
      </c>
      <c r="AA443" s="321">
        <f t="shared" si="40"/>
        <v>0</v>
      </c>
      <c r="AB443" s="321">
        <f t="shared" si="40"/>
        <v>47</v>
      </c>
      <c r="AC443" s="321">
        <f t="shared" si="40"/>
        <v>0</v>
      </c>
      <c r="AD443" s="321"/>
      <c r="AE443" s="321">
        <f t="shared" si="40"/>
        <v>9541579.1462926641</v>
      </c>
      <c r="AF443" s="321">
        <f t="shared" si="40"/>
        <v>5936634.1117923986</v>
      </c>
      <c r="AG443" s="321">
        <f t="shared" si="40"/>
        <v>4761706.2712986413</v>
      </c>
      <c r="AH443" s="321">
        <f t="shared" si="40"/>
        <v>3337946.4488654053</v>
      </c>
      <c r="AI443" s="321">
        <f t="shared" si="40"/>
        <v>23577865.97824911</v>
      </c>
      <c r="AJ443" s="321"/>
      <c r="AK443" s="321">
        <f t="shared" si="40"/>
        <v>5276712.8023255812</v>
      </c>
      <c r="AL443" s="321">
        <f t="shared" si="40"/>
        <v>1374508.8317230274</v>
      </c>
      <c r="AM443" s="321">
        <f t="shared" si="40"/>
        <v>3615417.4074074072</v>
      </c>
      <c r="AN443" s="321">
        <f t="shared" si="40"/>
        <v>2391221.9590992648</v>
      </c>
      <c r="AO443" s="321">
        <f t="shared" si="40"/>
        <v>12657861.000555281</v>
      </c>
      <c r="AP443" s="321">
        <f t="shared" si="40"/>
        <v>10920004.97769383</v>
      </c>
    </row>
    <row r="444" spans="1:42" x14ac:dyDescent="0.25">
      <c r="A444" s="311">
        <v>5133257</v>
      </c>
      <c r="D444" s="311">
        <v>5133257</v>
      </c>
      <c r="E444" s="315" t="str">
        <f t="shared" si="31"/>
        <v>Poradna pro oběti násilí a trestné činnosti NOMIA</v>
      </c>
      <c r="F444" s="315" t="str">
        <f t="shared" si="32"/>
        <v>NOMIA, z.ú.</v>
      </c>
      <c r="G444" s="315" t="str">
        <f t="shared" si="33"/>
        <v>§ 37 - Odborné sociální poradenství</v>
      </c>
      <c r="H444" s="315"/>
      <c r="I444" s="266" t="s">
        <v>1812</v>
      </c>
      <c r="J444" s="319"/>
      <c r="K444" s="266"/>
      <c r="L444" s="320"/>
      <c r="M444" s="321">
        <f t="shared" si="34"/>
        <v>2.62</v>
      </c>
      <c r="N444" s="321">
        <f t="shared" ref="N444:AC452" si="41">SUMIFS(N$4:N$318,$D$4:$D$318,$D444)</f>
        <v>0.95</v>
      </c>
      <c r="O444" s="321">
        <f t="shared" si="41"/>
        <v>0</v>
      </c>
      <c r="P444" s="321">
        <f t="shared" si="41"/>
        <v>0</v>
      </c>
      <c r="Q444" s="321">
        <f t="shared" si="41"/>
        <v>1.67</v>
      </c>
      <c r="R444" s="321">
        <f t="shared" si="41"/>
        <v>0</v>
      </c>
      <c r="S444" s="321">
        <f t="shared" si="41"/>
        <v>52</v>
      </c>
      <c r="T444" s="321">
        <f t="shared" si="41"/>
        <v>0</v>
      </c>
      <c r="U444" s="321">
        <f t="shared" si="41"/>
        <v>0</v>
      </c>
      <c r="V444" s="321"/>
      <c r="W444" s="321">
        <f t="shared" si="41"/>
        <v>2.62</v>
      </c>
      <c r="X444" s="321">
        <f t="shared" si="41"/>
        <v>0.95</v>
      </c>
      <c r="Y444" s="321">
        <f t="shared" si="41"/>
        <v>0</v>
      </c>
      <c r="Z444" s="321">
        <f t="shared" si="41"/>
        <v>0</v>
      </c>
      <c r="AA444" s="321">
        <f t="shared" si="41"/>
        <v>1.67</v>
      </c>
      <c r="AB444" s="321">
        <f t="shared" si="41"/>
        <v>0</v>
      </c>
      <c r="AC444" s="321">
        <f t="shared" si="41"/>
        <v>0</v>
      </c>
      <c r="AD444" s="321"/>
      <c r="AE444" s="321">
        <f t="shared" si="40"/>
        <v>1821926.9473630171</v>
      </c>
      <c r="AF444" s="321">
        <f t="shared" si="40"/>
        <v>0</v>
      </c>
      <c r="AG444" s="321">
        <f t="shared" si="40"/>
        <v>124139.65087574588</v>
      </c>
      <c r="AH444" s="321">
        <f t="shared" si="40"/>
        <v>0</v>
      </c>
      <c r="AI444" s="321">
        <f t="shared" si="40"/>
        <v>1946066.5982387629</v>
      </c>
      <c r="AJ444" s="321"/>
      <c r="AK444" s="321">
        <f t="shared" si="40"/>
        <v>0</v>
      </c>
      <c r="AL444" s="321">
        <f t="shared" si="40"/>
        <v>0</v>
      </c>
      <c r="AM444" s="321">
        <f t="shared" si="40"/>
        <v>0</v>
      </c>
      <c r="AN444" s="321">
        <f t="shared" si="40"/>
        <v>0</v>
      </c>
      <c r="AO444" s="321">
        <f t="shared" si="40"/>
        <v>0</v>
      </c>
      <c r="AP444" s="321">
        <f t="shared" si="40"/>
        <v>1946066.5982387629</v>
      </c>
    </row>
    <row r="445" spans="1:42" x14ac:dyDescent="0.25">
      <c r="A445" s="311">
        <v>5141443</v>
      </c>
      <c r="D445" s="311">
        <v>5141443</v>
      </c>
      <c r="E445" s="315" t="str">
        <f t="shared" si="31"/>
        <v>Dům s pečovatelskou službou</v>
      </c>
      <c r="F445" s="315" t="str">
        <f t="shared" si="32"/>
        <v>Město Miletín</v>
      </c>
      <c r="G445" s="315" t="str">
        <f t="shared" si="33"/>
        <v>§ 40 - Pečovatelská služba</v>
      </c>
      <c r="H445" s="315"/>
      <c r="I445" s="266" t="s">
        <v>1812</v>
      </c>
      <c r="J445" s="319"/>
      <c r="K445" s="266"/>
      <c r="L445" s="320"/>
      <c r="M445" s="321">
        <f t="shared" si="34"/>
        <v>1.2</v>
      </c>
      <c r="N445" s="321">
        <f t="shared" si="41"/>
        <v>0.1</v>
      </c>
      <c r="O445" s="321">
        <f t="shared" si="41"/>
        <v>1.1000000000000001</v>
      </c>
      <c r="P445" s="321">
        <f t="shared" si="41"/>
        <v>0</v>
      </c>
      <c r="Q445" s="321">
        <f t="shared" si="41"/>
        <v>0</v>
      </c>
      <c r="R445" s="321">
        <f t="shared" si="41"/>
        <v>0</v>
      </c>
      <c r="S445" s="321">
        <f t="shared" si="41"/>
        <v>25</v>
      </c>
      <c r="T445" s="321">
        <f t="shared" si="41"/>
        <v>0</v>
      </c>
      <c r="U445" s="321">
        <f t="shared" si="41"/>
        <v>0</v>
      </c>
      <c r="V445" s="321"/>
      <c r="W445" s="321">
        <f t="shared" si="40"/>
        <v>1.2</v>
      </c>
      <c r="X445" s="321">
        <f t="shared" si="40"/>
        <v>0.1</v>
      </c>
      <c r="Y445" s="321">
        <f t="shared" si="40"/>
        <v>1.1000000000000001</v>
      </c>
      <c r="Z445" s="321">
        <f t="shared" si="40"/>
        <v>0</v>
      </c>
      <c r="AA445" s="321">
        <f t="shared" si="40"/>
        <v>0</v>
      </c>
      <c r="AB445" s="321">
        <f t="shared" si="40"/>
        <v>0</v>
      </c>
      <c r="AC445" s="321">
        <f t="shared" si="40"/>
        <v>0</v>
      </c>
      <c r="AD445" s="321"/>
      <c r="AE445" s="321">
        <f t="shared" si="40"/>
        <v>692873.54782360315</v>
      </c>
      <c r="AF445" s="321">
        <f t="shared" si="40"/>
        <v>0</v>
      </c>
      <c r="AG445" s="321">
        <f t="shared" si="40"/>
        <v>51664.470561778238</v>
      </c>
      <c r="AH445" s="321">
        <f t="shared" si="40"/>
        <v>0</v>
      </c>
      <c r="AI445" s="321">
        <f t="shared" si="40"/>
        <v>744538.01838538144</v>
      </c>
      <c r="AJ445" s="321"/>
      <c r="AK445" s="321">
        <f t="shared" si="40"/>
        <v>152630.75882352944</v>
      </c>
      <c r="AL445" s="321">
        <f t="shared" si="40"/>
        <v>0</v>
      </c>
      <c r="AM445" s="321">
        <f t="shared" si="40"/>
        <v>0</v>
      </c>
      <c r="AN445" s="321">
        <f t="shared" si="40"/>
        <v>0</v>
      </c>
      <c r="AO445" s="321">
        <f t="shared" si="40"/>
        <v>152630.75882352944</v>
      </c>
      <c r="AP445" s="321">
        <f t="shared" si="40"/>
        <v>591907.25956185197</v>
      </c>
    </row>
    <row r="446" spans="1:42" x14ac:dyDescent="0.25">
      <c r="A446" s="311">
        <v>5173305</v>
      </c>
      <c r="D446" s="311">
        <v>5173305</v>
      </c>
      <c r="E446" s="315" t="str">
        <f t="shared" si="31"/>
        <v>Stacionář mezi mosty Trutnov</v>
      </c>
      <c r="F446" s="315" t="str">
        <f t="shared" si="32"/>
        <v>Stacionář mezi mosty Trutnov</v>
      </c>
      <c r="G446" s="315" t="str">
        <f t="shared" si="33"/>
        <v>§ 46 - Denní stacionáře</v>
      </c>
      <c r="H446" s="315"/>
      <c r="I446" s="266" t="s">
        <v>1812</v>
      </c>
      <c r="J446" s="319"/>
      <c r="K446" s="266"/>
      <c r="L446" s="320"/>
      <c r="M446" s="321">
        <f t="shared" si="34"/>
        <v>13.5</v>
      </c>
      <c r="N446" s="321">
        <f t="shared" si="41"/>
        <v>1.75</v>
      </c>
      <c r="O446" s="321">
        <f t="shared" si="41"/>
        <v>10</v>
      </c>
      <c r="P446" s="321">
        <f t="shared" si="41"/>
        <v>0.5</v>
      </c>
      <c r="Q446" s="321">
        <f t="shared" si="41"/>
        <v>1.25</v>
      </c>
      <c r="R446" s="321">
        <f t="shared" si="41"/>
        <v>0</v>
      </c>
      <c r="S446" s="321">
        <f t="shared" si="41"/>
        <v>0</v>
      </c>
      <c r="T446" s="321">
        <f t="shared" si="41"/>
        <v>65</v>
      </c>
      <c r="U446" s="321">
        <f t="shared" si="41"/>
        <v>0</v>
      </c>
      <c r="V446" s="321"/>
      <c r="W446" s="321">
        <f t="shared" si="40"/>
        <v>13.5</v>
      </c>
      <c r="X446" s="321">
        <f t="shared" si="40"/>
        <v>1.75</v>
      </c>
      <c r="Y446" s="321">
        <f t="shared" si="40"/>
        <v>10</v>
      </c>
      <c r="Z446" s="321">
        <f t="shared" si="40"/>
        <v>0.5</v>
      </c>
      <c r="AA446" s="321">
        <f t="shared" si="40"/>
        <v>1.25</v>
      </c>
      <c r="AB446" s="321">
        <f t="shared" si="40"/>
        <v>0</v>
      </c>
      <c r="AC446" s="321">
        <f t="shared" si="40"/>
        <v>65</v>
      </c>
      <c r="AD446" s="321"/>
      <c r="AE446" s="321">
        <f t="shared" si="40"/>
        <v>10040994.000143932</v>
      </c>
      <c r="AF446" s="321">
        <f t="shared" si="40"/>
        <v>0</v>
      </c>
      <c r="AG446" s="321">
        <f t="shared" si="40"/>
        <v>1813906.4831100926</v>
      </c>
      <c r="AH446" s="321">
        <f t="shared" si="40"/>
        <v>356001.81837600365</v>
      </c>
      <c r="AI446" s="321">
        <f t="shared" si="40"/>
        <v>12210902.301630028</v>
      </c>
      <c r="AJ446" s="321"/>
      <c r="AK446" s="321">
        <f t="shared" si="40"/>
        <v>1584998.2026143789</v>
      </c>
      <c r="AL446" s="321">
        <f t="shared" si="40"/>
        <v>0</v>
      </c>
      <c r="AM446" s="321">
        <f t="shared" si="40"/>
        <v>0</v>
      </c>
      <c r="AN446" s="321">
        <f t="shared" si="40"/>
        <v>354400</v>
      </c>
      <c r="AO446" s="321">
        <f t="shared" si="40"/>
        <v>1939398.2026143789</v>
      </c>
      <c r="AP446" s="321">
        <f t="shared" si="40"/>
        <v>10271504.099015649</v>
      </c>
    </row>
    <row r="447" spans="1:42" x14ac:dyDescent="0.25">
      <c r="A447" s="311">
        <v>5175408</v>
      </c>
      <c r="D447" s="311">
        <v>5175408</v>
      </c>
      <c r="E447" s="315" t="str">
        <f t="shared" si="31"/>
        <v>Středisko sociálních služeb Chlumec nad Cidlinou o.p.s.</v>
      </c>
      <c r="F447" s="315" t="str">
        <f t="shared" si="32"/>
        <v>Středisko sociálních služeb Chlumec nad Cidlinou o.p.s.</v>
      </c>
      <c r="G447" s="315" t="str">
        <f t="shared" si="33"/>
        <v>§ 40 - Pečovatelská služba</v>
      </c>
      <c r="H447" s="315"/>
      <c r="I447" s="266" t="s">
        <v>1812</v>
      </c>
      <c r="J447" s="319"/>
      <c r="K447" s="266"/>
      <c r="L447" s="320"/>
      <c r="M447" s="321">
        <f t="shared" si="34"/>
        <v>2</v>
      </c>
      <c r="N447" s="321">
        <f t="shared" si="41"/>
        <v>0</v>
      </c>
      <c r="O447" s="321">
        <f t="shared" si="41"/>
        <v>2</v>
      </c>
      <c r="P447" s="321">
        <f t="shared" si="41"/>
        <v>0</v>
      </c>
      <c r="Q447" s="321">
        <f t="shared" si="41"/>
        <v>0</v>
      </c>
      <c r="R447" s="321">
        <f t="shared" si="41"/>
        <v>0</v>
      </c>
      <c r="S447" s="321">
        <f t="shared" si="41"/>
        <v>70</v>
      </c>
      <c r="T447" s="321">
        <f t="shared" si="41"/>
        <v>0</v>
      </c>
      <c r="U447" s="321">
        <f t="shared" si="41"/>
        <v>0</v>
      </c>
      <c r="V447" s="321"/>
      <c r="W447" s="321">
        <f t="shared" si="40"/>
        <v>2</v>
      </c>
      <c r="X447" s="321">
        <f t="shared" ref="W447:AP459" si="42">SUMIFS(X$4:X$318,$D$4:$D$318,$D447)</f>
        <v>0</v>
      </c>
      <c r="Y447" s="321">
        <f t="shared" si="42"/>
        <v>2</v>
      </c>
      <c r="Z447" s="321">
        <f t="shared" si="42"/>
        <v>0</v>
      </c>
      <c r="AA447" s="321">
        <f t="shared" si="42"/>
        <v>0</v>
      </c>
      <c r="AB447" s="321">
        <f t="shared" si="42"/>
        <v>0</v>
      </c>
      <c r="AC447" s="321">
        <f t="shared" si="42"/>
        <v>0</v>
      </c>
      <c r="AD447" s="321"/>
      <c r="AE447" s="321">
        <f t="shared" si="42"/>
        <v>1154789.246372672</v>
      </c>
      <c r="AF447" s="321">
        <f t="shared" si="42"/>
        <v>0</v>
      </c>
      <c r="AG447" s="321">
        <f t="shared" si="42"/>
        <v>86107.450936297071</v>
      </c>
      <c r="AH447" s="321">
        <f t="shared" si="42"/>
        <v>0</v>
      </c>
      <c r="AI447" s="321">
        <f t="shared" si="42"/>
        <v>1240896.6973089692</v>
      </c>
      <c r="AJ447" s="321"/>
      <c r="AK447" s="321">
        <f t="shared" si="42"/>
        <v>277510.4705882353</v>
      </c>
      <c r="AL447" s="321">
        <f t="shared" si="42"/>
        <v>0</v>
      </c>
      <c r="AM447" s="321">
        <f t="shared" si="42"/>
        <v>0</v>
      </c>
      <c r="AN447" s="321">
        <f t="shared" si="42"/>
        <v>0</v>
      </c>
      <c r="AO447" s="321">
        <f t="shared" si="42"/>
        <v>277510.4705882353</v>
      </c>
      <c r="AP447" s="321">
        <f t="shared" si="42"/>
        <v>963386.22672073392</v>
      </c>
    </row>
    <row r="448" spans="1:42" x14ac:dyDescent="0.25">
      <c r="A448" s="311">
        <v>5204562</v>
      </c>
      <c r="D448" s="311">
        <v>5204562</v>
      </c>
      <c r="E448" s="315" t="str">
        <f t="shared" si="31"/>
        <v>Pečovatelská služba města Úpice</v>
      </c>
      <c r="F448" s="315" t="str">
        <f t="shared" si="32"/>
        <v>Město Úpice</v>
      </c>
      <c r="G448" s="315" t="str">
        <f t="shared" si="33"/>
        <v>§ 40 - Pečovatelská služba</v>
      </c>
      <c r="H448" s="315"/>
      <c r="I448" s="266" t="s">
        <v>1812</v>
      </c>
      <c r="J448" s="319"/>
      <c r="K448" s="266"/>
      <c r="L448" s="320"/>
      <c r="M448" s="321">
        <f t="shared" si="34"/>
        <v>5.7</v>
      </c>
      <c r="N448" s="321">
        <f t="shared" si="41"/>
        <v>0.7</v>
      </c>
      <c r="O448" s="321">
        <f t="shared" si="41"/>
        <v>5</v>
      </c>
      <c r="P448" s="321">
        <f t="shared" si="41"/>
        <v>0</v>
      </c>
      <c r="Q448" s="321">
        <f t="shared" si="41"/>
        <v>0</v>
      </c>
      <c r="R448" s="321">
        <f t="shared" si="41"/>
        <v>0</v>
      </c>
      <c r="S448" s="321">
        <f t="shared" si="41"/>
        <v>160</v>
      </c>
      <c r="T448" s="321">
        <f t="shared" si="41"/>
        <v>0</v>
      </c>
      <c r="U448" s="321">
        <f t="shared" si="41"/>
        <v>0</v>
      </c>
      <c r="V448" s="321"/>
      <c r="W448" s="321">
        <f t="shared" si="42"/>
        <v>5.7</v>
      </c>
      <c r="X448" s="321">
        <f t="shared" si="42"/>
        <v>0.7</v>
      </c>
      <c r="Y448" s="321">
        <f t="shared" si="42"/>
        <v>5</v>
      </c>
      <c r="Z448" s="321">
        <f t="shared" si="42"/>
        <v>0</v>
      </c>
      <c r="AA448" s="321">
        <f t="shared" si="42"/>
        <v>0</v>
      </c>
      <c r="AB448" s="321">
        <f t="shared" si="42"/>
        <v>0</v>
      </c>
      <c r="AC448" s="321">
        <f t="shared" si="42"/>
        <v>0</v>
      </c>
      <c r="AD448" s="321"/>
      <c r="AE448" s="321">
        <f t="shared" si="42"/>
        <v>3291149.3521621153</v>
      </c>
      <c r="AF448" s="321">
        <f t="shared" si="42"/>
        <v>0</v>
      </c>
      <c r="AG448" s="321">
        <f t="shared" si="42"/>
        <v>245406.23516844667</v>
      </c>
      <c r="AH448" s="321">
        <f t="shared" si="42"/>
        <v>0</v>
      </c>
      <c r="AI448" s="321">
        <f t="shared" si="42"/>
        <v>3536555.5873305621</v>
      </c>
      <c r="AJ448" s="321"/>
      <c r="AK448" s="321">
        <f t="shared" si="42"/>
        <v>693776.17647058819</v>
      </c>
      <c r="AL448" s="321">
        <f t="shared" si="42"/>
        <v>0</v>
      </c>
      <c r="AM448" s="321">
        <f t="shared" si="42"/>
        <v>0</v>
      </c>
      <c r="AN448" s="321">
        <f t="shared" si="42"/>
        <v>0</v>
      </c>
      <c r="AO448" s="321">
        <f t="shared" si="42"/>
        <v>693776.17647058819</v>
      </c>
      <c r="AP448" s="321">
        <f t="shared" si="42"/>
        <v>2842779.4108599741</v>
      </c>
    </row>
    <row r="449" spans="1:42" x14ac:dyDescent="0.25">
      <c r="A449" s="311">
        <v>5220717</v>
      </c>
      <c r="D449" s="311">
        <v>5220717</v>
      </c>
      <c r="E449" s="315" t="str">
        <f t="shared" si="31"/>
        <v>DOMOV NA STŘÍBRNÉM VRCHU</v>
      </c>
      <c r="F449" s="315" t="str">
        <f t="shared" si="32"/>
        <v>DOMOV NA STŘÍBRNÉM VRCHU</v>
      </c>
      <c r="G449" s="315" t="str">
        <f t="shared" si="33"/>
        <v>§ 50 - Domovy se zvláštním režimem</v>
      </c>
      <c r="H449" s="315"/>
      <c r="I449" s="266" t="s">
        <v>1812</v>
      </c>
      <c r="J449" s="319"/>
      <c r="K449" s="266"/>
      <c r="L449" s="320"/>
      <c r="M449" s="321">
        <f t="shared" si="34"/>
        <v>33.86</v>
      </c>
      <c r="N449" s="321">
        <f t="shared" si="41"/>
        <v>1.1000000000000001</v>
      </c>
      <c r="O449" s="321">
        <f t="shared" si="41"/>
        <v>26.139999999999997</v>
      </c>
      <c r="P449" s="321">
        <f t="shared" si="41"/>
        <v>6.62</v>
      </c>
      <c r="Q449" s="321">
        <f t="shared" si="41"/>
        <v>0</v>
      </c>
      <c r="R449" s="321">
        <f t="shared" si="41"/>
        <v>40</v>
      </c>
      <c r="S449" s="321">
        <f t="shared" si="41"/>
        <v>0</v>
      </c>
      <c r="T449" s="321">
        <f t="shared" si="41"/>
        <v>0</v>
      </c>
      <c r="U449" s="321">
        <f t="shared" si="41"/>
        <v>0</v>
      </c>
      <c r="V449" s="321"/>
      <c r="W449" s="321">
        <f t="shared" si="42"/>
        <v>33.86</v>
      </c>
      <c r="X449" s="321">
        <f t="shared" si="42"/>
        <v>1.1000000000000001</v>
      </c>
      <c r="Y449" s="321">
        <f t="shared" si="42"/>
        <v>26.139999999999997</v>
      </c>
      <c r="Z449" s="321">
        <f t="shared" si="42"/>
        <v>6.62</v>
      </c>
      <c r="AA449" s="321">
        <f t="shared" si="42"/>
        <v>0</v>
      </c>
      <c r="AB449" s="321">
        <f t="shared" si="42"/>
        <v>40</v>
      </c>
      <c r="AC449" s="321">
        <f t="shared" si="42"/>
        <v>0</v>
      </c>
      <c r="AD449" s="321"/>
      <c r="AE449" s="321">
        <f t="shared" si="42"/>
        <v>18175295.006801501</v>
      </c>
      <c r="AF449" s="321">
        <f t="shared" si="42"/>
        <v>5599933.2386570834</v>
      </c>
      <c r="AG449" s="321">
        <f t="shared" si="42"/>
        <v>3986310.7524341596</v>
      </c>
      <c r="AH449" s="321">
        <f t="shared" si="42"/>
        <v>2692183.8853677092</v>
      </c>
      <c r="AI449" s="321">
        <f t="shared" si="42"/>
        <v>30453722.883260455</v>
      </c>
      <c r="AJ449" s="321"/>
      <c r="AK449" s="321">
        <f t="shared" si="42"/>
        <v>4802728.8</v>
      </c>
      <c r="AL449" s="321">
        <f t="shared" si="42"/>
        <v>899283.85</v>
      </c>
      <c r="AM449" s="321">
        <f t="shared" si="42"/>
        <v>2897673.1034482759</v>
      </c>
      <c r="AN449" s="321">
        <f t="shared" si="42"/>
        <v>2040054</v>
      </c>
      <c r="AO449" s="321">
        <f t="shared" si="42"/>
        <v>10639739.753448276</v>
      </c>
      <c r="AP449" s="321">
        <f t="shared" si="42"/>
        <v>19813983.129812181</v>
      </c>
    </row>
    <row r="450" spans="1:42" x14ac:dyDescent="0.25">
      <c r="A450" s="311">
        <v>5312119</v>
      </c>
      <c r="D450" s="311">
        <v>5312119</v>
      </c>
      <c r="E450" s="315" t="str">
        <f t="shared" si="31"/>
        <v>Týdenní stacionáře</v>
      </c>
      <c r="F450" s="315" t="str">
        <f t="shared" si="32"/>
        <v>Dětské centrum Jilemnice, příspěvková organizace</v>
      </c>
      <c r="G450" s="315" t="str">
        <f t="shared" si="33"/>
        <v>§ 47 - Týdenní stacionáře</v>
      </c>
      <c r="H450" s="315"/>
      <c r="I450" s="266" t="s">
        <v>1812</v>
      </c>
      <c r="J450" s="319"/>
      <c r="K450" s="266"/>
      <c r="L450" s="320"/>
      <c r="M450" s="321">
        <f t="shared" si="34"/>
        <v>2.9</v>
      </c>
      <c r="N450" s="321">
        <f t="shared" si="41"/>
        <v>0.2</v>
      </c>
      <c r="O450" s="321">
        <f t="shared" si="41"/>
        <v>1.2</v>
      </c>
      <c r="P450" s="321">
        <f t="shared" si="41"/>
        <v>1.5</v>
      </c>
      <c r="Q450" s="321">
        <f t="shared" si="41"/>
        <v>0</v>
      </c>
      <c r="R450" s="321">
        <f t="shared" si="41"/>
        <v>5</v>
      </c>
      <c r="S450" s="321">
        <f t="shared" si="41"/>
        <v>0</v>
      </c>
      <c r="T450" s="321">
        <f t="shared" si="41"/>
        <v>0</v>
      </c>
      <c r="U450" s="321">
        <f t="shared" si="41"/>
        <v>0</v>
      </c>
      <c r="V450" s="321"/>
      <c r="W450" s="321">
        <f t="shared" si="42"/>
        <v>2.9</v>
      </c>
      <c r="X450" s="321">
        <f t="shared" si="42"/>
        <v>0.2</v>
      </c>
      <c r="Y450" s="321">
        <f t="shared" si="42"/>
        <v>1.2</v>
      </c>
      <c r="Z450" s="321">
        <f t="shared" si="42"/>
        <v>1.5</v>
      </c>
      <c r="AA450" s="321">
        <f t="shared" si="42"/>
        <v>0</v>
      </c>
      <c r="AB450" s="321">
        <f t="shared" si="42"/>
        <v>5</v>
      </c>
      <c r="AC450" s="321">
        <f t="shared" si="42"/>
        <v>0</v>
      </c>
      <c r="AD450" s="321"/>
      <c r="AE450" s="321">
        <f t="shared" si="42"/>
        <v>1752558.776250185</v>
      </c>
      <c r="AF450" s="321">
        <f t="shared" si="42"/>
        <v>1127591.4230291331</v>
      </c>
      <c r="AG450" s="321">
        <f t="shared" si="42"/>
        <v>419446.71134752349</v>
      </c>
      <c r="AH450" s="321">
        <f t="shared" si="42"/>
        <v>178890.33714291127</v>
      </c>
      <c r="AI450" s="321">
        <f t="shared" si="42"/>
        <v>3478487.247769753</v>
      </c>
      <c r="AJ450" s="321"/>
      <c r="AK450" s="321">
        <f t="shared" si="42"/>
        <v>327214.44444444444</v>
      </c>
      <c r="AL450" s="321">
        <f t="shared" si="42"/>
        <v>0</v>
      </c>
      <c r="AM450" s="321">
        <f t="shared" si="42"/>
        <v>153900</v>
      </c>
      <c r="AN450" s="321">
        <f t="shared" si="42"/>
        <v>129588.88888888889</v>
      </c>
      <c r="AO450" s="321">
        <f t="shared" si="42"/>
        <v>610703.33333333337</v>
      </c>
      <c r="AP450" s="321">
        <f t="shared" si="42"/>
        <v>2867783.9144364195</v>
      </c>
    </row>
    <row r="451" spans="1:42" x14ac:dyDescent="0.25">
      <c r="A451" s="311">
        <v>5344327</v>
      </c>
      <c r="D451" s="311">
        <v>5344327</v>
      </c>
      <c r="E451" s="315" t="str">
        <f t="shared" si="31"/>
        <v>Sociální služby města Hořice</v>
      </c>
      <c r="F451" s="315" t="str">
        <f t="shared" si="32"/>
        <v>Sociální služby města Hořice</v>
      </c>
      <c r="G451" s="315" t="str">
        <f t="shared" si="33"/>
        <v>§ 49 - Domovy pro seniory</v>
      </c>
      <c r="H451" s="315"/>
      <c r="I451" s="266" t="s">
        <v>1812</v>
      </c>
      <c r="J451" s="319"/>
      <c r="K451" s="266"/>
      <c r="L451" s="320"/>
      <c r="M451" s="321">
        <f t="shared" si="34"/>
        <v>22.7</v>
      </c>
      <c r="N451" s="321">
        <f t="shared" si="41"/>
        <v>1.2</v>
      </c>
      <c r="O451" s="321">
        <f t="shared" si="41"/>
        <v>18</v>
      </c>
      <c r="P451" s="321">
        <f t="shared" si="41"/>
        <v>3.5</v>
      </c>
      <c r="Q451" s="321">
        <f t="shared" si="41"/>
        <v>0</v>
      </c>
      <c r="R451" s="321">
        <f t="shared" si="41"/>
        <v>60</v>
      </c>
      <c r="S451" s="321">
        <f t="shared" si="41"/>
        <v>0</v>
      </c>
      <c r="T451" s="321">
        <f t="shared" si="41"/>
        <v>0</v>
      </c>
      <c r="U451" s="321">
        <f t="shared" si="41"/>
        <v>0</v>
      </c>
      <c r="V451" s="321"/>
      <c r="W451" s="321">
        <f t="shared" si="42"/>
        <v>22.7</v>
      </c>
      <c r="X451" s="321">
        <f t="shared" si="42"/>
        <v>1.2</v>
      </c>
      <c r="Y451" s="321">
        <f t="shared" si="42"/>
        <v>18</v>
      </c>
      <c r="Z451" s="321">
        <f t="shared" si="42"/>
        <v>3.5</v>
      </c>
      <c r="AA451" s="321">
        <f t="shared" si="42"/>
        <v>0</v>
      </c>
      <c r="AB451" s="321">
        <f t="shared" si="42"/>
        <v>60</v>
      </c>
      <c r="AC451" s="321">
        <f t="shared" si="42"/>
        <v>0</v>
      </c>
      <c r="AD451" s="321"/>
      <c r="AE451" s="321">
        <f t="shared" si="42"/>
        <v>13085594.257772796</v>
      </c>
      <c r="AF451" s="321">
        <f t="shared" si="42"/>
        <v>2968317.0558961993</v>
      </c>
      <c r="AG451" s="321">
        <f t="shared" si="42"/>
        <v>6078773.9633599678</v>
      </c>
      <c r="AH451" s="321">
        <f t="shared" si="42"/>
        <v>4261208.2325941343</v>
      </c>
      <c r="AI451" s="321">
        <f t="shared" si="42"/>
        <v>26393893.509623095</v>
      </c>
      <c r="AJ451" s="321"/>
      <c r="AK451" s="321">
        <f t="shared" si="42"/>
        <v>6736229.1093518054</v>
      </c>
      <c r="AL451" s="321">
        <f t="shared" si="42"/>
        <v>1754692.1256038647</v>
      </c>
      <c r="AM451" s="321">
        <f t="shared" si="42"/>
        <v>4615426.4775413712</v>
      </c>
      <c r="AN451" s="321">
        <f t="shared" si="42"/>
        <v>3052623.7775735296</v>
      </c>
      <c r="AO451" s="321">
        <f t="shared" si="42"/>
        <v>16158971.49007057</v>
      </c>
      <c r="AP451" s="321">
        <f t="shared" si="42"/>
        <v>10234922.019552525</v>
      </c>
    </row>
    <row r="452" spans="1:42" x14ac:dyDescent="0.25">
      <c r="A452" s="311">
        <v>5369609</v>
      </c>
      <c r="D452" s="311">
        <v>5369609</v>
      </c>
      <c r="E452" s="315" t="str">
        <f t="shared" si="31"/>
        <v>KOMUNITNÍ CENTRUM</v>
      </c>
      <c r="F452" s="315" t="str">
        <f t="shared" si="32"/>
        <v>Začít spolu z.s.</v>
      </c>
      <c r="G452" s="315" t="str">
        <f t="shared" si="33"/>
        <v>§ 65 - Sociálně aktivizační služby pro rodiny s dětmi</v>
      </c>
      <c r="H452" s="315"/>
      <c r="I452" s="266" t="s">
        <v>1812</v>
      </c>
      <c r="J452" s="319"/>
      <c r="K452" s="266"/>
      <c r="L452" s="320"/>
      <c r="M452" s="321">
        <f t="shared" si="34"/>
        <v>3.5</v>
      </c>
      <c r="N452" s="321">
        <f t="shared" si="41"/>
        <v>1.5</v>
      </c>
      <c r="O452" s="321">
        <f t="shared" si="41"/>
        <v>2</v>
      </c>
      <c r="P452" s="321">
        <f t="shared" si="41"/>
        <v>0</v>
      </c>
      <c r="Q452" s="321">
        <f t="shared" si="41"/>
        <v>0</v>
      </c>
      <c r="R452" s="321">
        <f t="shared" si="41"/>
        <v>0</v>
      </c>
      <c r="S452" s="321">
        <f t="shared" si="41"/>
        <v>120</v>
      </c>
      <c r="T452" s="321">
        <f t="shared" si="41"/>
        <v>0</v>
      </c>
      <c r="U452" s="321">
        <f t="shared" si="41"/>
        <v>0</v>
      </c>
      <c r="V452" s="321"/>
      <c r="W452" s="321">
        <f t="shared" si="42"/>
        <v>3.5</v>
      </c>
      <c r="X452" s="321">
        <f t="shared" si="42"/>
        <v>1.5</v>
      </c>
      <c r="Y452" s="321">
        <f t="shared" si="42"/>
        <v>2</v>
      </c>
      <c r="Z452" s="321">
        <f t="shared" si="42"/>
        <v>0</v>
      </c>
      <c r="AA452" s="321">
        <f t="shared" si="42"/>
        <v>0</v>
      </c>
      <c r="AB452" s="321">
        <f t="shared" si="42"/>
        <v>0</v>
      </c>
      <c r="AC452" s="321">
        <f t="shared" si="42"/>
        <v>0</v>
      </c>
      <c r="AD452" s="321"/>
      <c r="AE452" s="321">
        <f t="shared" si="42"/>
        <v>2358857.9905489767</v>
      </c>
      <c r="AF452" s="321">
        <f t="shared" si="42"/>
        <v>0</v>
      </c>
      <c r="AG452" s="321">
        <f t="shared" si="42"/>
        <v>157536.03336061403</v>
      </c>
      <c r="AH452" s="321">
        <f t="shared" si="42"/>
        <v>0</v>
      </c>
      <c r="AI452" s="321">
        <f t="shared" si="42"/>
        <v>2516394.0239095907</v>
      </c>
      <c r="AJ452" s="321"/>
      <c r="AK452" s="321">
        <f t="shared" si="42"/>
        <v>0</v>
      </c>
      <c r="AL452" s="321">
        <f t="shared" si="42"/>
        <v>0</v>
      </c>
      <c r="AM452" s="321">
        <f t="shared" si="42"/>
        <v>0</v>
      </c>
      <c r="AN452" s="321">
        <f t="shared" si="42"/>
        <v>0</v>
      </c>
      <c r="AO452" s="321">
        <f t="shared" si="42"/>
        <v>0</v>
      </c>
      <c r="AP452" s="321">
        <f t="shared" si="42"/>
        <v>2516394.0239095907</v>
      </c>
    </row>
    <row r="453" spans="1:42" x14ac:dyDescent="0.25">
      <c r="A453" s="311">
        <v>5376966</v>
      </c>
      <c r="D453" s="311">
        <v>5376966</v>
      </c>
      <c r="E453" s="315" t="str">
        <f t="shared" ref="E453:E516" si="43">VLOOKUP($D453,$D$4:$K$318,2,FALSE)</f>
        <v>Charitní pečovatelská služba Hradec Králové</v>
      </c>
      <c r="F453" s="315" t="str">
        <f t="shared" ref="F453:F516" si="44">VLOOKUP($D453,$D$4:$K$318,3,FALSE)</f>
        <v>Oblastní charita Hradec Králové</v>
      </c>
      <c r="G453" s="315" t="str">
        <f t="shared" ref="G453:G516" si="45">VLOOKUP($D453,$D$4:$K$318,8,FALSE)</f>
        <v>§ 40 - Pečovatelská služba</v>
      </c>
      <c r="H453" s="315"/>
      <c r="I453" s="266" t="s">
        <v>1812</v>
      </c>
      <c r="J453" s="319"/>
      <c r="K453" s="266"/>
      <c r="L453" s="320"/>
      <c r="M453" s="321">
        <f t="shared" ref="M453:U516" si="46">SUMIFS(M$4:M$318,$D$4:$D$318,$D453)</f>
        <v>28.4</v>
      </c>
      <c r="N453" s="321">
        <f t="shared" si="46"/>
        <v>3</v>
      </c>
      <c r="O453" s="321">
        <f t="shared" si="46"/>
        <v>25.4</v>
      </c>
      <c r="P453" s="321">
        <f t="shared" si="46"/>
        <v>0</v>
      </c>
      <c r="Q453" s="321">
        <f t="shared" si="46"/>
        <v>0</v>
      </c>
      <c r="R453" s="321">
        <f t="shared" si="46"/>
        <v>0</v>
      </c>
      <c r="S453" s="321">
        <f t="shared" si="46"/>
        <v>230</v>
      </c>
      <c r="T453" s="321">
        <f t="shared" si="46"/>
        <v>0</v>
      </c>
      <c r="U453" s="321">
        <f t="shared" si="46"/>
        <v>0</v>
      </c>
      <c r="V453" s="321"/>
      <c r="W453" s="321">
        <f t="shared" si="42"/>
        <v>28.4</v>
      </c>
      <c r="X453" s="321">
        <f t="shared" si="42"/>
        <v>3</v>
      </c>
      <c r="Y453" s="321">
        <f t="shared" si="42"/>
        <v>25.4</v>
      </c>
      <c r="Z453" s="321">
        <f t="shared" si="42"/>
        <v>0</v>
      </c>
      <c r="AA453" s="321">
        <f t="shared" si="42"/>
        <v>0</v>
      </c>
      <c r="AB453" s="321">
        <f t="shared" si="42"/>
        <v>0</v>
      </c>
      <c r="AC453" s="321">
        <f t="shared" si="42"/>
        <v>0</v>
      </c>
      <c r="AD453" s="321"/>
      <c r="AE453" s="321">
        <f t="shared" si="42"/>
        <v>16398007.298491942</v>
      </c>
      <c r="AF453" s="321">
        <f t="shared" si="42"/>
        <v>0</v>
      </c>
      <c r="AG453" s="321">
        <f t="shared" si="42"/>
        <v>1222725.8032954184</v>
      </c>
      <c r="AH453" s="321">
        <f t="shared" si="42"/>
        <v>0</v>
      </c>
      <c r="AI453" s="321">
        <f t="shared" si="42"/>
        <v>17620733.101787359</v>
      </c>
      <c r="AJ453" s="321"/>
      <c r="AK453" s="321">
        <f t="shared" si="42"/>
        <v>3524382.9764705882</v>
      </c>
      <c r="AL453" s="321">
        <f t="shared" si="42"/>
        <v>0</v>
      </c>
      <c r="AM453" s="321">
        <f t="shared" si="42"/>
        <v>0</v>
      </c>
      <c r="AN453" s="321">
        <f t="shared" si="42"/>
        <v>0</v>
      </c>
      <c r="AO453" s="321">
        <f t="shared" si="42"/>
        <v>3524382.9764705882</v>
      </c>
      <c r="AP453" s="321">
        <f t="shared" si="42"/>
        <v>14096350.125316771</v>
      </c>
    </row>
    <row r="454" spans="1:42" x14ac:dyDescent="0.25">
      <c r="A454" s="311">
        <v>5539112</v>
      </c>
      <c r="D454" s="311">
        <v>5539112</v>
      </c>
      <c r="E454" s="315" t="str">
        <f t="shared" si="43"/>
        <v>Život bez bariér, z. ú.</v>
      </c>
      <c r="F454" s="315" t="str">
        <f t="shared" si="44"/>
        <v>Život bez bariér, z. ú.</v>
      </c>
      <c r="G454" s="315" t="str">
        <f t="shared" si="45"/>
        <v>§ 46 - Denní stacionáře</v>
      </c>
      <c r="H454" s="315"/>
      <c r="I454" s="266" t="s">
        <v>1812</v>
      </c>
      <c r="J454" s="319"/>
      <c r="K454" s="266"/>
      <c r="L454" s="320"/>
      <c r="M454" s="321">
        <f t="shared" si="46"/>
        <v>4.2</v>
      </c>
      <c r="N454" s="321">
        <f t="shared" si="46"/>
        <v>0.3</v>
      </c>
      <c r="O454" s="321">
        <f t="shared" si="46"/>
        <v>3.9</v>
      </c>
      <c r="P454" s="321">
        <f t="shared" si="46"/>
        <v>0</v>
      </c>
      <c r="Q454" s="321">
        <f t="shared" si="46"/>
        <v>0</v>
      </c>
      <c r="R454" s="321">
        <f t="shared" si="46"/>
        <v>0</v>
      </c>
      <c r="S454" s="321">
        <f t="shared" si="46"/>
        <v>0</v>
      </c>
      <c r="T454" s="321">
        <f t="shared" si="46"/>
        <v>21</v>
      </c>
      <c r="U454" s="321">
        <f t="shared" si="46"/>
        <v>0</v>
      </c>
      <c r="V454" s="321"/>
      <c r="W454" s="321">
        <f t="shared" si="42"/>
        <v>4.2</v>
      </c>
      <c r="X454" s="321">
        <f t="shared" si="42"/>
        <v>0.3</v>
      </c>
      <c r="Y454" s="321">
        <f t="shared" si="42"/>
        <v>3.9</v>
      </c>
      <c r="Z454" s="321">
        <f t="shared" si="42"/>
        <v>0</v>
      </c>
      <c r="AA454" s="321">
        <f t="shared" si="42"/>
        <v>0</v>
      </c>
      <c r="AB454" s="321">
        <f t="shared" si="42"/>
        <v>0</v>
      </c>
      <c r="AC454" s="321">
        <f t="shared" si="42"/>
        <v>21</v>
      </c>
      <c r="AD454" s="321"/>
      <c r="AE454" s="321">
        <f t="shared" si="42"/>
        <v>3123864.8000447792</v>
      </c>
      <c r="AF454" s="321">
        <f t="shared" si="42"/>
        <v>0</v>
      </c>
      <c r="AG454" s="321">
        <f t="shared" si="42"/>
        <v>586031.32531249151</v>
      </c>
      <c r="AH454" s="321">
        <f t="shared" si="42"/>
        <v>115015.97209070886</v>
      </c>
      <c r="AI454" s="321">
        <f t="shared" si="42"/>
        <v>3824912.0974479797</v>
      </c>
      <c r="AJ454" s="321"/>
      <c r="AK454" s="321">
        <f t="shared" si="42"/>
        <v>526084.50980392157</v>
      </c>
      <c r="AL454" s="321">
        <f t="shared" si="42"/>
        <v>0</v>
      </c>
      <c r="AM454" s="321">
        <f t="shared" si="42"/>
        <v>0</v>
      </c>
      <c r="AN454" s="321">
        <f t="shared" si="42"/>
        <v>114498.46153846155</v>
      </c>
      <c r="AO454" s="321">
        <f t="shared" si="42"/>
        <v>640582.97134238307</v>
      </c>
      <c r="AP454" s="321">
        <f t="shared" si="42"/>
        <v>3184329.1261055968</v>
      </c>
    </row>
    <row r="455" spans="1:42" x14ac:dyDescent="0.25">
      <c r="A455" s="311">
        <v>5599785</v>
      </c>
      <c r="D455" s="311">
        <v>5599785</v>
      </c>
      <c r="E455" s="315" t="str">
        <f t="shared" si="43"/>
        <v>Sociální služby města Rychnov nad Kněžnou, o. p. s.</v>
      </c>
      <c r="F455" s="315" t="str">
        <f t="shared" si="44"/>
        <v>PRO-SEN sociálně zdravotní služby, o.p.s.</v>
      </c>
      <c r="G455" s="315" t="str">
        <f t="shared" si="45"/>
        <v>§ 46 - Denní stacionáře</v>
      </c>
      <c r="H455" s="315"/>
      <c r="I455" s="266" t="s">
        <v>1812</v>
      </c>
      <c r="J455" s="319"/>
      <c r="K455" s="266"/>
      <c r="L455" s="320"/>
      <c r="M455" s="321">
        <f t="shared" si="46"/>
        <v>2.61</v>
      </c>
      <c r="N455" s="321">
        <f t="shared" si="46"/>
        <v>0.11</v>
      </c>
      <c r="O455" s="321">
        <f t="shared" si="46"/>
        <v>2.5</v>
      </c>
      <c r="P455" s="321">
        <f t="shared" si="46"/>
        <v>0</v>
      </c>
      <c r="Q455" s="321">
        <f t="shared" si="46"/>
        <v>0</v>
      </c>
      <c r="R455" s="321">
        <f t="shared" si="46"/>
        <v>0</v>
      </c>
      <c r="S455" s="321">
        <f t="shared" si="46"/>
        <v>0</v>
      </c>
      <c r="T455" s="321">
        <f t="shared" si="46"/>
        <v>20</v>
      </c>
      <c r="U455" s="321">
        <f t="shared" si="46"/>
        <v>0</v>
      </c>
      <c r="V455" s="321"/>
      <c r="W455" s="321">
        <f t="shared" si="42"/>
        <v>2.61</v>
      </c>
      <c r="X455" s="321">
        <f t="shared" si="42"/>
        <v>0.11</v>
      </c>
      <c r="Y455" s="321">
        <f t="shared" si="42"/>
        <v>2.5</v>
      </c>
      <c r="Z455" s="321">
        <f t="shared" si="42"/>
        <v>0</v>
      </c>
      <c r="AA455" s="321">
        <f t="shared" si="42"/>
        <v>0</v>
      </c>
      <c r="AB455" s="321">
        <f t="shared" si="42"/>
        <v>0</v>
      </c>
      <c r="AC455" s="321">
        <f t="shared" si="42"/>
        <v>20</v>
      </c>
      <c r="AD455" s="321"/>
      <c r="AE455" s="321">
        <f t="shared" si="42"/>
        <v>1941258.8400278268</v>
      </c>
      <c r="AF455" s="321">
        <f t="shared" si="42"/>
        <v>0</v>
      </c>
      <c r="AG455" s="321">
        <f t="shared" si="42"/>
        <v>558125.07172618236</v>
      </c>
      <c r="AH455" s="321">
        <f t="shared" si="42"/>
        <v>109539.02103877036</v>
      </c>
      <c r="AI455" s="321">
        <f t="shared" si="42"/>
        <v>2608922.9327927795</v>
      </c>
      <c r="AJ455" s="321"/>
      <c r="AK455" s="321">
        <f t="shared" si="42"/>
        <v>337233.66013071896</v>
      </c>
      <c r="AL455" s="321">
        <f t="shared" si="42"/>
        <v>0</v>
      </c>
      <c r="AM455" s="321">
        <f t="shared" si="42"/>
        <v>0</v>
      </c>
      <c r="AN455" s="321">
        <f t="shared" si="42"/>
        <v>109046.15384615384</v>
      </c>
      <c r="AO455" s="321">
        <f t="shared" si="42"/>
        <v>446279.81397687283</v>
      </c>
      <c r="AP455" s="321">
        <f t="shared" si="42"/>
        <v>2162643.1188159068</v>
      </c>
    </row>
    <row r="456" spans="1:42" x14ac:dyDescent="0.25">
      <c r="A456" s="311">
        <v>5638901</v>
      </c>
      <c r="D456" s="311">
        <v>5638901</v>
      </c>
      <c r="E456" s="315" t="str">
        <f t="shared" si="43"/>
        <v>Domov V Podzámčí</v>
      </c>
      <c r="F456" s="315" t="str">
        <f t="shared" si="44"/>
        <v>Domov V Podzámčí</v>
      </c>
      <c r="G456" s="315" t="str">
        <f t="shared" si="45"/>
        <v>§ 50 - Domovy se zvláštním režimem</v>
      </c>
      <c r="H456" s="315"/>
      <c r="I456" s="266" t="s">
        <v>1812</v>
      </c>
      <c r="J456" s="319"/>
      <c r="K456" s="266"/>
      <c r="L456" s="320"/>
      <c r="M456" s="321">
        <f t="shared" si="46"/>
        <v>31</v>
      </c>
      <c r="N456" s="321">
        <f t="shared" si="46"/>
        <v>1.9</v>
      </c>
      <c r="O456" s="321">
        <f t="shared" si="46"/>
        <v>23.7</v>
      </c>
      <c r="P456" s="321">
        <f t="shared" si="46"/>
        <v>5.4</v>
      </c>
      <c r="Q456" s="321">
        <f t="shared" si="46"/>
        <v>0</v>
      </c>
      <c r="R456" s="321">
        <f t="shared" si="46"/>
        <v>76</v>
      </c>
      <c r="S456" s="321">
        <f t="shared" si="46"/>
        <v>0</v>
      </c>
      <c r="T456" s="321">
        <f t="shared" si="46"/>
        <v>0</v>
      </c>
      <c r="U456" s="321">
        <f t="shared" si="46"/>
        <v>0</v>
      </c>
      <c r="V456" s="321"/>
      <c r="W456" s="321">
        <f t="shared" si="42"/>
        <v>31</v>
      </c>
      <c r="X456" s="321">
        <f t="shared" si="42"/>
        <v>1.9</v>
      </c>
      <c r="Y456" s="321">
        <f t="shared" si="42"/>
        <v>23.7</v>
      </c>
      <c r="Z456" s="321">
        <f t="shared" si="42"/>
        <v>5.4</v>
      </c>
      <c r="AA456" s="321">
        <f t="shared" si="42"/>
        <v>0</v>
      </c>
      <c r="AB456" s="321">
        <f t="shared" si="42"/>
        <v>76</v>
      </c>
      <c r="AC456" s="321">
        <f t="shared" si="42"/>
        <v>0</v>
      </c>
      <c r="AD456" s="321"/>
      <c r="AE456" s="321">
        <f t="shared" si="42"/>
        <v>17081040.828712132</v>
      </c>
      <c r="AF456" s="321">
        <f t="shared" si="42"/>
        <v>4567921.3729226962</v>
      </c>
      <c r="AG456" s="321">
        <f t="shared" si="42"/>
        <v>7573990.429624903</v>
      </c>
      <c r="AH456" s="321">
        <f t="shared" si="42"/>
        <v>5115149.3821986476</v>
      </c>
      <c r="AI456" s="321">
        <f t="shared" si="42"/>
        <v>34338102.013458379</v>
      </c>
      <c r="AJ456" s="321"/>
      <c r="AK456" s="321">
        <f t="shared" si="42"/>
        <v>9125184.7200000007</v>
      </c>
      <c r="AL456" s="321">
        <f t="shared" si="42"/>
        <v>1708639.3149999999</v>
      </c>
      <c r="AM456" s="321">
        <f t="shared" si="42"/>
        <v>5505578.8965517245</v>
      </c>
      <c r="AN456" s="321">
        <f t="shared" si="42"/>
        <v>3876102.6</v>
      </c>
      <c r="AO456" s="321">
        <f t="shared" si="42"/>
        <v>20215505.531551726</v>
      </c>
      <c r="AP456" s="321">
        <f t="shared" si="42"/>
        <v>14122596.481906652</v>
      </c>
    </row>
    <row r="457" spans="1:42" x14ac:dyDescent="0.25">
      <c r="A457" s="311">
        <v>5646573</v>
      </c>
      <c r="D457" s="311">
        <v>5646573</v>
      </c>
      <c r="E457" s="315" t="str">
        <f t="shared" si="43"/>
        <v>Poradna pro cizince a uprchlíky</v>
      </c>
      <c r="F457" s="315" t="str">
        <f t="shared" si="44"/>
        <v>Diecézní katolická charita Hradec Králové</v>
      </c>
      <c r="G457" s="315" t="str">
        <f t="shared" si="45"/>
        <v>§ 37 - Odborné sociální poradenství</v>
      </c>
      <c r="H457" s="315"/>
      <c r="I457" s="266" t="s">
        <v>1812</v>
      </c>
      <c r="J457" s="319"/>
      <c r="K457" s="266"/>
      <c r="L457" s="320"/>
      <c r="M457" s="321">
        <f t="shared" si="46"/>
        <v>2.1</v>
      </c>
      <c r="N457" s="321">
        <f t="shared" si="46"/>
        <v>2.1</v>
      </c>
      <c r="O457" s="321">
        <f t="shared" si="46"/>
        <v>0</v>
      </c>
      <c r="P457" s="321">
        <f t="shared" si="46"/>
        <v>0</v>
      </c>
      <c r="Q457" s="321">
        <f t="shared" si="46"/>
        <v>0</v>
      </c>
      <c r="R457" s="321">
        <f t="shared" si="46"/>
        <v>0</v>
      </c>
      <c r="S457" s="321">
        <f t="shared" si="46"/>
        <v>12</v>
      </c>
      <c r="T457" s="321">
        <f t="shared" si="46"/>
        <v>0</v>
      </c>
      <c r="U457" s="321">
        <f t="shared" si="46"/>
        <v>0</v>
      </c>
      <c r="V457" s="321"/>
      <c r="W457" s="321">
        <f t="shared" si="42"/>
        <v>2.1</v>
      </c>
      <c r="X457" s="321">
        <f t="shared" si="42"/>
        <v>2.1</v>
      </c>
      <c r="Y457" s="321">
        <f t="shared" si="42"/>
        <v>0</v>
      </c>
      <c r="Z457" s="321">
        <f t="shared" si="42"/>
        <v>0</v>
      </c>
      <c r="AA457" s="321">
        <f t="shared" si="42"/>
        <v>0</v>
      </c>
      <c r="AB457" s="321">
        <f t="shared" si="42"/>
        <v>0</v>
      </c>
      <c r="AC457" s="321">
        <f t="shared" si="42"/>
        <v>0</v>
      </c>
      <c r="AD457" s="321"/>
      <c r="AE457" s="321">
        <f t="shared" si="42"/>
        <v>1460323.1257489831</v>
      </c>
      <c r="AF457" s="321">
        <f t="shared" si="42"/>
        <v>0</v>
      </c>
      <c r="AG457" s="321">
        <f t="shared" si="42"/>
        <v>99501.24688513983</v>
      </c>
      <c r="AH457" s="321">
        <f t="shared" si="42"/>
        <v>0</v>
      </c>
      <c r="AI457" s="321">
        <f t="shared" si="42"/>
        <v>1559824.3726341228</v>
      </c>
      <c r="AJ457" s="321"/>
      <c r="AK457" s="321">
        <f t="shared" si="42"/>
        <v>0</v>
      </c>
      <c r="AL457" s="321">
        <f t="shared" si="42"/>
        <v>0</v>
      </c>
      <c r="AM457" s="321">
        <f t="shared" si="42"/>
        <v>0</v>
      </c>
      <c r="AN457" s="321">
        <f t="shared" si="42"/>
        <v>0</v>
      </c>
      <c r="AO457" s="321">
        <f t="shared" si="42"/>
        <v>0</v>
      </c>
      <c r="AP457" s="321">
        <f t="shared" si="42"/>
        <v>1559824.3726341228</v>
      </c>
    </row>
    <row r="458" spans="1:42" x14ac:dyDescent="0.25">
      <c r="A458" s="311">
        <v>5651221</v>
      </c>
      <c r="D458" s="311">
        <v>5651221</v>
      </c>
      <c r="E458" s="315" t="str">
        <f t="shared" si="43"/>
        <v>Domov Dolní zámek</v>
      </c>
      <c r="F458" s="315" t="str">
        <f t="shared" si="44"/>
        <v>Domov Dolní zámek</v>
      </c>
      <c r="G458" s="315" t="str">
        <f t="shared" si="45"/>
        <v>§ 50 - Domovy se zvláštním režimem</v>
      </c>
      <c r="H458" s="315"/>
      <c r="I458" s="266" t="s">
        <v>1812</v>
      </c>
      <c r="J458" s="319"/>
      <c r="K458" s="266"/>
      <c r="L458" s="320"/>
      <c r="M458" s="321">
        <f t="shared" si="46"/>
        <v>33</v>
      </c>
      <c r="N458" s="321">
        <f t="shared" si="46"/>
        <v>2</v>
      </c>
      <c r="O458" s="321">
        <f t="shared" si="46"/>
        <v>23</v>
      </c>
      <c r="P458" s="321">
        <f t="shared" si="46"/>
        <v>8</v>
      </c>
      <c r="Q458" s="321">
        <f t="shared" si="46"/>
        <v>0</v>
      </c>
      <c r="R458" s="321">
        <f t="shared" si="46"/>
        <v>49</v>
      </c>
      <c r="S458" s="321">
        <f t="shared" si="46"/>
        <v>0</v>
      </c>
      <c r="T458" s="321">
        <f t="shared" si="46"/>
        <v>0</v>
      </c>
      <c r="U458" s="321">
        <f t="shared" si="46"/>
        <v>0</v>
      </c>
      <c r="V458" s="321"/>
      <c r="W458" s="321">
        <f t="shared" si="42"/>
        <v>33</v>
      </c>
      <c r="X458" s="321">
        <f t="shared" si="42"/>
        <v>2</v>
      </c>
      <c r="Y458" s="321">
        <f t="shared" si="42"/>
        <v>23</v>
      </c>
      <c r="Z458" s="321">
        <f t="shared" si="42"/>
        <v>8</v>
      </c>
      <c r="AA458" s="321">
        <f t="shared" si="42"/>
        <v>0</v>
      </c>
      <c r="AB458" s="321">
        <f t="shared" si="42"/>
        <v>49</v>
      </c>
      <c r="AC458" s="321">
        <f t="shared" si="42"/>
        <v>0</v>
      </c>
      <c r="AD458" s="321"/>
      <c r="AE458" s="321">
        <f t="shared" si="42"/>
        <v>16680703.934289193</v>
      </c>
      <c r="AF458" s="321">
        <f t="shared" si="42"/>
        <v>6767290.9228484388</v>
      </c>
      <c r="AG458" s="321">
        <f t="shared" si="42"/>
        <v>4883230.6717318455</v>
      </c>
      <c r="AH458" s="321">
        <f t="shared" si="42"/>
        <v>3297925.2595754443</v>
      </c>
      <c r="AI458" s="321">
        <f t="shared" si="42"/>
        <v>31629150.788444921</v>
      </c>
      <c r="AJ458" s="321"/>
      <c r="AK458" s="321">
        <f t="shared" si="42"/>
        <v>5883342.7800000003</v>
      </c>
      <c r="AL458" s="321">
        <f t="shared" si="42"/>
        <v>1101622.7162499998</v>
      </c>
      <c r="AM458" s="321">
        <f t="shared" si="42"/>
        <v>3549649.5517241382</v>
      </c>
      <c r="AN458" s="321">
        <f t="shared" si="42"/>
        <v>2499066.15</v>
      </c>
      <c r="AO458" s="321">
        <f t="shared" si="42"/>
        <v>13033681.197974138</v>
      </c>
      <c r="AP458" s="321">
        <f t="shared" si="42"/>
        <v>18595469.590470783</v>
      </c>
    </row>
    <row r="459" spans="1:42" x14ac:dyDescent="0.25">
      <c r="A459" s="311">
        <v>5700178</v>
      </c>
      <c r="D459" s="311">
        <v>5700178</v>
      </c>
      <c r="E459" s="315" t="str">
        <f t="shared" si="43"/>
        <v>Základní a odborné poradenství pro zrakově postižené</v>
      </c>
      <c r="F459" s="315" t="str">
        <f t="shared" si="44"/>
        <v>TyfloCentrum Hradec Králové, o. p. s.</v>
      </c>
      <c r="G459" s="315" t="str">
        <f t="shared" si="45"/>
        <v>§ 37 - Odborné sociální poradenství</v>
      </c>
      <c r="H459" s="315"/>
      <c r="I459" s="266" t="s">
        <v>1812</v>
      </c>
      <c r="J459" s="319"/>
      <c r="K459" s="266"/>
      <c r="L459" s="320"/>
      <c r="M459" s="321">
        <f t="shared" si="46"/>
        <v>1.25</v>
      </c>
      <c r="N459" s="321">
        <f t="shared" si="46"/>
        <v>0.75</v>
      </c>
      <c r="O459" s="321">
        <f t="shared" si="46"/>
        <v>0</v>
      </c>
      <c r="P459" s="321">
        <f t="shared" si="46"/>
        <v>0</v>
      </c>
      <c r="Q459" s="321">
        <f t="shared" si="46"/>
        <v>0.5</v>
      </c>
      <c r="R459" s="321">
        <f t="shared" si="46"/>
        <v>0</v>
      </c>
      <c r="S459" s="321">
        <f t="shared" si="46"/>
        <v>3</v>
      </c>
      <c r="T459" s="321">
        <f t="shared" si="46"/>
        <v>0</v>
      </c>
      <c r="U459" s="321">
        <f t="shared" si="46"/>
        <v>0</v>
      </c>
      <c r="V459" s="321"/>
      <c r="W459" s="321">
        <f t="shared" si="42"/>
        <v>1.25</v>
      </c>
      <c r="X459" s="321">
        <f t="shared" si="42"/>
        <v>0.75</v>
      </c>
      <c r="Y459" s="321">
        <f t="shared" si="42"/>
        <v>0</v>
      </c>
      <c r="Z459" s="321">
        <f t="shared" si="42"/>
        <v>0</v>
      </c>
      <c r="AA459" s="321">
        <f t="shared" ref="W459:AP471" si="47">SUMIFS(AA$4:AA$318,$D$4:$D$318,$D459)</f>
        <v>0.5</v>
      </c>
      <c r="AB459" s="321">
        <f t="shared" si="47"/>
        <v>0</v>
      </c>
      <c r="AC459" s="321">
        <f t="shared" si="47"/>
        <v>0</v>
      </c>
      <c r="AD459" s="321"/>
      <c r="AE459" s="321">
        <f t="shared" si="47"/>
        <v>869239.95580296614</v>
      </c>
      <c r="AF459" s="321">
        <f t="shared" si="47"/>
        <v>0</v>
      </c>
      <c r="AG459" s="321">
        <f t="shared" si="47"/>
        <v>59226.932669726084</v>
      </c>
      <c r="AH459" s="321">
        <f t="shared" si="47"/>
        <v>0</v>
      </c>
      <c r="AI459" s="321">
        <f t="shared" si="47"/>
        <v>928466.88847269223</v>
      </c>
      <c r="AJ459" s="321"/>
      <c r="AK459" s="321">
        <f t="shared" si="47"/>
        <v>0</v>
      </c>
      <c r="AL459" s="321">
        <f t="shared" si="47"/>
        <v>0</v>
      </c>
      <c r="AM459" s="321">
        <f t="shared" si="47"/>
        <v>0</v>
      </c>
      <c r="AN459" s="321">
        <f t="shared" si="47"/>
        <v>0</v>
      </c>
      <c r="AO459" s="321">
        <f t="shared" si="47"/>
        <v>0</v>
      </c>
      <c r="AP459" s="321">
        <f t="shared" si="47"/>
        <v>928466.88847269223</v>
      </c>
    </row>
    <row r="460" spans="1:42" x14ac:dyDescent="0.25">
      <c r="A460" s="311">
        <v>5703553</v>
      </c>
      <c r="D460" s="311">
        <v>5703553</v>
      </c>
      <c r="E460" s="315" t="str">
        <f t="shared" si="43"/>
        <v>Chráněné bydlení</v>
      </c>
      <c r="F460" s="315" t="str">
        <f t="shared" si="44"/>
        <v>Sociální služby města Jičína</v>
      </c>
      <c r="G460" s="315" t="str">
        <f t="shared" si="45"/>
        <v>§ 51 - Chráněné bydlení</v>
      </c>
      <c r="H460" s="315"/>
      <c r="I460" s="266" t="s">
        <v>1812</v>
      </c>
      <c r="J460" s="319"/>
      <c r="K460" s="266"/>
      <c r="L460" s="320"/>
      <c r="M460" s="321">
        <f t="shared" si="46"/>
        <v>3.82</v>
      </c>
      <c r="N460" s="321">
        <f t="shared" si="46"/>
        <v>0.1</v>
      </c>
      <c r="O460" s="321">
        <f t="shared" si="46"/>
        <v>3.72</v>
      </c>
      <c r="P460" s="321">
        <f t="shared" si="46"/>
        <v>0</v>
      </c>
      <c r="Q460" s="321">
        <f t="shared" si="46"/>
        <v>0</v>
      </c>
      <c r="R460" s="321">
        <f t="shared" si="46"/>
        <v>11</v>
      </c>
      <c r="S460" s="321">
        <f t="shared" si="46"/>
        <v>0</v>
      </c>
      <c r="T460" s="321">
        <f t="shared" si="46"/>
        <v>0</v>
      </c>
      <c r="U460" s="321">
        <f t="shared" si="46"/>
        <v>0</v>
      </c>
      <c r="V460" s="321"/>
      <c r="W460" s="321">
        <f t="shared" si="47"/>
        <v>3.82</v>
      </c>
      <c r="X460" s="321">
        <f t="shared" si="47"/>
        <v>0.1</v>
      </c>
      <c r="Y460" s="321">
        <f t="shared" si="47"/>
        <v>3.72</v>
      </c>
      <c r="Z460" s="321">
        <f t="shared" si="47"/>
        <v>0</v>
      </c>
      <c r="AA460" s="321">
        <f t="shared" si="47"/>
        <v>0</v>
      </c>
      <c r="AB460" s="321">
        <f t="shared" si="47"/>
        <v>11</v>
      </c>
      <c r="AC460" s="321">
        <f t="shared" si="47"/>
        <v>0</v>
      </c>
      <c r="AD460" s="321"/>
      <c r="AE460" s="321">
        <f t="shared" si="47"/>
        <v>2571463.5803132448</v>
      </c>
      <c r="AF460" s="321">
        <f t="shared" si="47"/>
        <v>0</v>
      </c>
      <c r="AG460" s="321">
        <f t="shared" si="47"/>
        <v>623586.97923857358</v>
      </c>
      <c r="AH460" s="321">
        <f t="shared" si="47"/>
        <v>205377.0382990466</v>
      </c>
      <c r="AI460" s="321">
        <f t="shared" si="47"/>
        <v>3400427.5978508648</v>
      </c>
      <c r="AJ460" s="321"/>
      <c r="AK460" s="321">
        <f t="shared" si="47"/>
        <v>304929.86690721649</v>
      </c>
      <c r="AL460" s="321">
        <f t="shared" si="47"/>
        <v>0</v>
      </c>
      <c r="AM460" s="321">
        <f t="shared" si="47"/>
        <v>476104.97000000003</v>
      </c>
      <c r="AN460" s="321">
        <f t="shared" si="47"/>
        <v>206870.8125</v>
      </c>
      <c r="AO460" s="321">
        <f t="shared" si="47"/>
        <v>987905.64940721658</v>
      </c>
      <c r="AP460" s="321">
        <f t="shared" si="47"/>
        <v>2412521.9484436484</v>
      </c>
    </row>
    <row r="461" spans="1:42" x14ac:dyDescent="0.25">
      <c r="A461" s="311">
        <v>5755112</v>
      </c>
      <c r="D461" s="311">
        <v>5755112</v>
      </c>
      <c r="E461" s="315" t="str">
        <f t="shared" si="43"/>
        <v>Most k životu Trutnov</v>
      </c>
      <c r="F461" s="315" t="str">
        <f t="shared" si="44"/>
        <v>Most k životu Trutnov</v>
      </c>
      <c r="G461" s="315" t="str">
        <f t="shared" si="45"/>
        <v>§ 57 - Azylové domy</v>
      </c>
      <c r="H461" s="315"/>
      <c r="I461" s="266" t="s">
        <v>1812</v>
      </c>
      <c r="J461" s="319"/>
      <c r="K461" s="266"/>
      <c r="L461" s="320"/>
      <c r="M461" s="321">
        <f t="shared" si="46"/>
        <v>6</v>
      </c>
      <c r="N461" s="321">
        <f t="shared" si="46"/>
        <v>1</v>
      </c>
      <c r="O461" s="321">
        <f t="shared" si="46"/>
        <v>5</v>
      </c>
      <c r="P461" s="321">
        <f t="shared" si="46"/>
        <v>0</v>
      </c>
      <c r="Q461" s="321">
        <f t="shared" si="46"/>
        <v>0</v>
      </c>
      <c r="R461" s="321">
        <f t="shared" si="46"/>
        <v>32</v>
      </c>
      <c r="S461" s="321">
        <f t="shared" si="46"/>
        <v>0</v>
      </c>
      <c r="T461" s="321">
        <f t="shared" si="46"/>
        <v>0</v>
      </c>
      <c r="U461" s="321">
        <f t="shared" si="46"/>
        <v>0</v>
      </c>
      <c r="V461" s="321"/>
      <c r="W461" s="321">
        <f t="shared" si="47"/>
        <v>6</v>
      </c>
      <c r="X461" s="321">
        <f t="shared" si="47"/>
        <v>1</v>
      </c>
      <c r="Y461" s="321">
        <f t="shared" si="47"/>
        <v>5</v>
      </c>
      <c r="Z461" s="321">
        <f t="shared" si="47"/>
        <v>0</v>
      </c>
      <c r="AA461" s="321">
        <f t="shared" si="47"/>
        <v>0</v>
      </c>
      <c r="AB461" s="321">
        <f t="shared" si="47"/>
        <v>32</v>
      </c>
      <c r="AC461" s="321">
        <f t="shared" si="47"/>
        <v>0</v>
      </c>
      <c r="AD461" s="321"/>
      <c r="AE461" s="321">
        <f t="shared" si="47"/>
        <v>3888746.8040557341</v>
      </c>
      <c r="AF461" s="321">
        <f t="shared" si="47"/>
        <v>0</v>
      </c>
      <c r="AG461" s="321">
        <f t="shared" si="47"/>
        <v>854781.2319744305</v>
      </c>
      <c r="AH461" s="321">
        <f t="shared" si="47"/>
        <v>0</v>
      </c>
      <c r="AI461" s="321">
        <f t="shared" si="47"/>
        <v>4743528.0360301649</v>
      </c>
      <c r="AJ461" s="321"/>
      <c r="AK461" s="321">
        <f t="shared" si="47"/>
        <v>0</v>
      </c>
      <c r="AL461" s="321">
        <f t="shared" si="47"/>
        <v>0</v>
      </c>
      <c r="AM461" s="321">
        <f t="shared" si="47"/>
        <v>727523.7333333334</v>
      </c>
      <c r="AN461" s="321">
        <f t="shared" si="47"/>
        <v>0</v>
      </c>
      <c r="AO461" s="321">
        <f t="shared" si="47"/>
        <v>727523.7333333334</v>
      </c>
      <c r="AP461" s="321">
        <f t="shared" si="47"/>
        <v>4016004.3026968315</v>
      </c>
    </row>
    <row r="462" spans="1:42" x14ac:dyDescent="0.25">
      <c r="A462" s="311">
        <v>5792625</v>
      </c>
      <c r="D462" s="311">
        <v>5792625</v>
      </c>
      <c r="E462" s="315" t="str">
        <f t="shared" si="43"/>
        <v>Manželská a rodinná poradna Náchod</v>
      </c>
      <c r="F462" s="315" t="str">
        <f t="shared" si="44"/>
        <v>Centrum sociální pomoci a služeb o. p. s.</v>
      </c>
      <c r="G462" s="315" t="str">
        <f t="shared" si="45"/>
        <v>§ 37 - Odborné sociální poradenství</v>
      </c>
      <c r="H462" s="315"/>
      <c r="I462" s="266" t="s">
        <v>1812</v>
      </c>
      <c r="J462" s="319"/>
      <c r="K462" s="266"/>
      <c r="L462" s="320"/>
      <c r="M462" s="321">
        <f t="shared" si="46"/>
        <v>2.2999999999999998</v>
      </c>
      <c r="N462" s="321">
        <f t="shared" si="46"/>
        <v>1.5</v>
      </c>
      <c r="O462" s="321">
        <f t="shared" si="46"/>
        <v>0</v>
      </c>
      <c r="P462" s="321">
        <f t="shared" si="46"/>
        <v>0</v>
      </c>
      <c r="Q462" s="321">
        <f t="shared" si="46"/>
        <v>0.8</v>
      </c>
      <c r="R462" s="321">
        <f t="shared" si="46"/>
        <v>0</v>
      </c>
      <c r="S462" s="321">
        <f t="shared" si="46"/>
        <v>8</v>
      </c>
      <c r="T462" s="321">
        <f t="shared" si="46"/>
        <v>0</v>
      </c>
      <c r="U462" s="321">
        <f t="shared" si="46"/>
        <v>0</v>
      </c>
      <c r="V462" s="321"/>
      <c r="W462" s="321">
        <f t="shared" si="47"/>
        <v>2.2999999999999998</v>
      </c>
      <c r="X462" s="321">
        <f t="shared" si="47"/>
        <v>1.5</v>
      </c>
      <c r="Y462" s="321">
        <f t="shared" si="47"/>
        <v>0</v>
      </c>
      <c r="Z462" s="321">
        <f t="shared" si="47"/>
        <v>0</v>
      </c>
      <c r="AA462" s="321">
        <f t="shared" si="47"/>
        <v>0.8</v>
      </c>
      <c r="AB462" s="321">
        <f t="shared" si="47"/>
        <v>0</v>
      </c>
      <c r="AC462" s="321">
        <f t="shared" si="47"/>
        <v>0</v>
      </c>
      <c r="AD462" s="321"/>
      <c r="AE462" s="321">
        <f t="shared" si="47"/>
        <v>1599401.5186774575</v>
      </c>
      <c r="AF462" s="321">
        <f t="shared" si="47"/>
        <v>0</v>
      </c>
      <c r="AG462" s="321">
        <f t="shared" si="47"/>
        <v>108977.55611229599</v>
      </c>
      <c r="AH462" s="321">
        <f t="shared" si="47"/>
        <v>0</v>
      </c>
      <c r="AI462" s="321">
        <f t="shared" si="47"/>
        <v>1708379.0747897534</v>
      </c>
      <c r="AJ462" s="321"/>
      <c r="AK462" s="321">
        <f t="shared" si="47"/>
        <v>0</v>
      </c>
      <c r="AL462" s="321">
        <f t="shared" si="47"/>
        <v>0</v>
      </c>
      <c r="AM462" s="321">
        <f t="shared" si="47"/>
        <v>0</v>
      </c>
      <c r="AN462" s="321">
        <f t="shared" si="47"/>
        <v>0</v>
      </c>
      <c r="AO462" s="321">
        <f t="shared" si="47"/>
        <v>0</v>
      </c>
      <c r="AP462" s="321">
        <f t="shared" si="47"/>
        <v>1708379.0747897534</v>
      </c>
    </row>
    <row r="463" spans="1:42" x14ac:dyDescent="0.25">
      <c r="A463" s="311">
        <v>5804478</v>
      </c>
      <c r="D463" s="311">
        <v>5804478</v>
      </c>
      <c r="E463" s="315" t="str">
        <f t="shared" si="43"/>
        <v>Domov U Biřičky,Hradec Králové</v>
      </c>
      <c r="F463" s="315" t="str">
        <f t="shared" si="44"/>
        <v>Domov U Biřičky</v>
      </c>
      <c r="G463" s="315" t="str">
        <f t="shared" si="45"/>
        <v>§ 50 - Domovy se zvláštním režimem</v>
      </c>
      <c r="H463" s="315"/>
      <c r="I463" s="266" t="s">
        <v>1812</v>
      </c>
      <c r="J463" s="319"/>
      <c r="K463" s="266"/>
      <c r="L463" s="320"/>
      <c r="M463" s="321">
        <f t="shared" si="46"/>
        <v>32.6</v>
      </c>
      <c r="N463" s="321">
        <f t="shared" si="46"/>
        <v>2.4</v>
      </c>
      <c r="O463" s="321">
        <f t="shared" si="46"/>
        <v>26.2</v>
      </c>
      <c r="P463" s="321">
        <f t="shared" si="46"/>
        <v>4</v>
      </c>
      <c r="Q463" s="321">
        <f t="shared" si="46"/>
        <v>0</v>
      </c>
      <c r="R463" s="321">
        <f t="shared" si="46"/>
        <v>58</v>
      </c>
      <c r="S463" s="321">
        <f t="shared" si="46"/>
        <v>0</v>
      </c>
      <c r="T463" s="321">
        <f t="shared" si="46"/>
        <v>0</v>
      </c>
      <c r="U463" s="321">
        <f t="shared" si="46"/>
        <v>0</v>
      </c>
      <c r="V463" s="321"/>
      <c r="W463" s="321">
        <f t="shared" si="47"/>
        <v>32.6</v>
      </c>
      <c r="X463" s="321">
        <f t="shared" si="47"/>
        <v>2.4</v>
      </c>
      <c r="Y463" s="321">
        <f t="shared" si="47"/>
        <v>26.2</v>
      </c>
      <c r="Z463" s="321">
        <f t="shared" si="47"/>
        <v>4</v>
      </c>
      <c r="AA463" s="321">
        <f t="shared" si="47"/>
        <v>0</v>
      </c>
      <c r="AB463" s="321">
        <f t="shared" si="47"/>
        <v>58</v>
      </c>
      <c r="AC463" s="321">
        <f t="shared" si="47"/>
        <v>0</v>
      </c>
      <c r="AD463" s="321"/>
      <c r="AE463" s="321">
        <f t="shared" si="47"/>
        <v>19082725.300826833</v>
      </c>
      <c r="AF463" s="321">
        <f t="shared" si="47"/>
        <v>3383645.4614242194</v>
      </c>
      <c r="AG463" s="321">
        <f t="shared" si="47"/>
        <v>5780150.5910295313</v>
      </c>
      <c r="AH463" s="321">
        <f t="shared" si="47"/>
        <v>3903666.6337831789</v>
      </c>
      <c r="AI463" s="321">
        <f t="shared" si="47"/>
        <v>32150187.987063766</v>
      </c>
      <c r="AJ463" s="321"/>
      <c r="AK463" s="321">
        <f t="shared" si="47"/>
        <v>6963956.7599999998</v>
      </c>
      <c r="AL463" s="321">
        <f t="shared" si="47"/>
        <v>1303961.5825</v>
      </c>
      <c r="AM463" s="321">
        <f t="shared" si="47"/>
        <v>4201626</v>
      </c>
      <c r="AN463" s="321">
        <f t="shared" si="47"/>
        <v>2958078.3</v>
      </c>
      <c r="AO463" s="321">
        <f t="shared" si="47"/>
        <v>15427622.642499998</v>
      </c>
      <c r="AP463" s="321">
        <f t="shared" si="47"/>
        <v>16722565.344563767</v>
      </c>
    </row>
    <row r="464" spans="1:42" x14ac:dyDescent="0.25">
      <c r="A464" s="311">
        <v>5814347</v>
      </c>
      <c r="D464" s="311">
        <v>5814347</v>
      </c>
      <c r="E464" s="315" t="str">
        <f t="shared" si="43"/>
        <v>K - centrum Hradec Králové</v>
      </c>
      <c r="F464" s="315" t="str">
        <f t="shared" si="44"/>
        <v>Laxus z.ú.</v>
      </c>
      <c r="G464" s="315" t="str">
        <f t="shared" si="45"/>
        <v>§ 59 - Kontaktní centra</v>
      </c>
      <c r="H464" s="315"/>
      <c r="I464" s="266" t="s">
        <v>1812</v>
      </c>
      <c r="J464" s="319"/>
      <c r="K464" s="266"/>
      <c r="L464" s="320"/>
      <c r="M464" s="321">
        <f t="shared" si="46"/>
        <v>4</v>
      </c>
      <c r="N464" s="321">
        <f t="shared" si="46"/>
        <v>3</v>
      </c>
      <c r="O464" s="321">
        <f t="shared" si="46"/>
        <v>1</v>
      </c>
      <c r="P464" s="321">
        <f t="shared" si="46"/>
        <v>0</v>
      </c>
      <c r="Q464" s="321">
        <f t="shared" si="46"/>
        <v>0</v>
      </c>
      <c r="R464" s="321">
        <f t="shared" si="46"/>
        <v>0</v>
      </c>
      <c r="S464" s="321">
        <f t="shared" si="46"/>
        <v>0</v>
      </c>
      <c r="T464" s="321">
        <f t="shared" si="46"/>
        <v>4</v>
      </c>
      <c r="U464" s="321">
        <f t="shared" si="46"/>
        <v>0</v>
      </c>
      <c r="V464" s="321"/>
      <c r="W464" s="321">
        <f t="shared" si="47"/>
        <v>4</v>
      </c>
      <c r="X464" s="321">
        <f t="shared" si="47"/>
        <v>3</v>
      </c>
      <c r="Y464" s="321">
        <f t="shared" si="47"/>
        <v>1</v>
      </c>
      <c r="Z464" s="321">
        <f t="shared" si="47"/>
        <v>0</v>
      </c>
      <c r="AA464" s="321">
        <f t="shared" si="47"/>
        <v>0</v>
      </c>
      <c r="AB464" s="321">
        <f t="shared" si="47"/>
        <v>0</v>
      </c>
      <c r="AC464" s="321">
        <f t="shared" si="47"/>
        <v>4</v>
      </c>
      <c r="AD464" s="321"/>
      <c r="AE464" s="321">
        <f t="shared" si="47"/>
        <v>3687620.1036045146</v>
      </c>
      <c r="AF464" s="321">
        <f t="shared" si="47"/>
        <v>0</v>
      </c>
      <c r="AG464" s="321">
        <f t="shared" si="47"/>
        <v>334609.69268154382</v>
      </c>
      <c r="AH464" s="321">
        <f t="shared" si="47"/>
        <v>3024.2693999999997</v>
      </c>
      <c r="AI464" s="321">
        <f t="shared" si="47"/>
        <v>4025254.0656860587</v>
      </c>
      <c r="AJ464" s="321"/>
      <c r="AK464" s="321">
        <f t="shared" si="47"/>
        <v>0</v>
      </c>
      <c r="AL464" s="321">
        <f t="shared" si="47"/>
        <v>0</v>
      </c>
      <c r="AM464" s="321">
        <f t="shared" si="47"/>
        <v>0</v>
      </c>
      <c r="AN464" s="321">
        <f t="shared" si="47"/>
        <v>0</v>
      </c>
      <c r="AO464" s="321">
        <f t="shared" si="47"/>
        <v>0</v>
      </c>
      <c r="AP464" s="321">
        <f t="shared" si="47"/>
        <v>4025254.0656860587</v>
      </c>
    </row>
    <row r="465" spans="1:42" x14ac:dyDescent="0.25">
      <c r="A465" s="311">
        <v>5869239</v>
      </c>
      <c r="D465" s="311">
        <v>5869239</v>
      </c>
      <c r="E465" s="315" t="str">
        <f t="shared" si="43"/>
        <v>domov pro seniory</v>
      </c>
      <c r="F465" s="315" t="str">
        <f t="shared" si="44"/>
        <v>Domovy Na Třešňovce</v>
      </c>
      <c r="G465" s="315" t="str">
        <f t="shared" si="45"/>
        <v>§ 49 - Domovy pro seniory</v>
      </c>
      <c r="H465" s="315"/>
      <c r="I465" s="266" t="s">
        <v>1812</v>
      </c>
      <c r="J465" s="319"/>
      <c r="K465" s="266"/>
      <c r="L465" s="320"/>
      <c r="M465" s="321">
        <f t="shared" si="46"/>
        <v>48.5</v>
      </c>
      <c r="N465" s="321">
        <f t="shared" si="46"/>
        <v>4</v>
      </c>
      <c r="O465" s="321">
        <f t="shared" si="46"/>
        <v>31.2</v>
      </c>
      <c r="P465" s="321">
        <f t="shared" si="46"/>
        <v>13.3</v>
      </c>
      <c r="Q465" s="321">
        <f t="shared" si="46"/>
        <v>0</v>
      </c>
      <c r="R465" s="321">
        <f t="shared" si="46"/>
        <v>103</v>
      </c>
      <c r="S465" s="321">
        <f t="shared" si="46"/>
        <v>0</v>
      </c>
      <c r="T465" s="321">
        <f t="shared" si="46"/>
        <v>0</v>
      </c>
      <c r="U465" s="321">
        <f t="shared" si="46"/>
        <v>0</v>
      </c>
      <c r="V465" s="321"/>
      <c r="W465" s="321">
        <f t="shared" si="47"/>
        <v>48.5</v>
      </c>
      <c r="X465" s="321">
        <f t="shared" si="47"/>
        <v>4</v>
      </c>
      <c r="Y465" s="321">
        <f t="shared" si="47"/>
        <v>31.2</v>
      </c>
      <c r="Z465" s="321">
        <f t="shared" si="47"/>
        <v>13.3</v>
      </c>
      <c r="AA465" s="321">
        <f t="shared" si="47"/>
        <v>0</v>
      </c>
      <c r="AB465" s="321">
        <f t="shared" si="47"/>
        <v>103</v>
      </c>
      <c r="AC465" s="321">
        <f t="shared" si="47"/>
        <v>0</v>
      </c>
      <c r="AD465" s="321"/>
      <c r="AE465" s="321">
        <f t="shared" si="47"/>
        <v>23990256.139250129</v>
      </c>
      <c r="AF465" s="321">
        <f t="shared" si="47"/>
        <v>11279604.812405558</v>
      </c>
      <c r="AG465" s="321">
        <f t="shared" si="47"/>
        <v>10435228.637101278</v>
      </c>
      <c r="AH465" s="321">
        <f t="shared" si="47"/>
        <v>7315074.1326199304</v>
      </c>
      <c r="AI465" s="321">
        <f t="shared" si="47"/>
        <v>53020163.721376896</v>
      </c>
      <c r="AJ465" s="321"/>
      <c r="AK465" s="321">
        <f t="shared" si="47"/>
        <v>11563859.971053934</v>
      </c>
      <c r="AL465" s="321">
        <f t="shared" si="47"/>
        <v>3012221.4822866344</v>
      </c>
      <c r="AM465" s="321">
        <f t="shared" si="47"/>
        <v>7923148.78644602</v>
      </c>
      <c r="AN465" s="321">
        <f t="shared" si="47"/>
        <v>5240337.4848345593</v>
      </c>
      <c r="AO465" s="321">
        <f t="shared" si="47"/>
        <v>27739567.724621147</v>
      </c>
      <c r="AP465" s="321">
        <f t="shared" si="47"/>
        <v>25280595.996755749</v>
      </c>
    </row>
    <row r="466" spans="1:42" x14ac:dyDescent="0.25">
      <c r="A466" s="311">
        <v>5871375</v>
      </c>
      <c r="D466" s="311">
        <v>5871375</v>
      </c>
      <c r="E466" s="315" t="str">
        <f t="shared" si="43"/>
        <v>Chráněné BYDLENÍ v síti</v>
      </c>
      <c r="F466" s="315" t="str">
        <f t="shared" si="44"/>
        <v>SKOK do života o. p. s.</v>
      </c>
      <c r="G466" s="315" t="str">
        <f t="shared" si="45"/>
        <v>§ 51 - Chráněné bydlení</v>
      </c>
      <c r="H466" s="315"/>
      <c r="I466" s="266" t="s">
        <v>1812</v>
      </c>
      <c r="J466" s="319"/>
      <c r="K466" s="266"/>
      <c r="L466" s="320"/>
      <c r="M466" s="321">
        <f t="shared" si="46"/>
        <v>12.1</v>
      </c>
      <c r="N466" s="321">
        <f t="shared" si="46"/>
        <v>4.0999999999999996</v>
      </c>
      <c r="O466" s="321">
        <f t="shared" si="46"/>
        <v>8</v>
      </c>
      <c r="P466" s="321">
        <f t="shared" si="46"/>
        <v>0</v>
      </c>
      <c r="Q466" s="321">
        <f t="shared" si="46"/>
        <v>0</v>
      </c>
      <c r="R466" s="321">
        <f t="shared" si="46"/>
        <v>17</v>
      </c>
      <c r="S466" s="321">
        <f t="shared" si="46"/>
        <v>0</v>
      </c>
      <c r="T466" s="321">
        <f t="shared" si="46"/>
        <v>0</v>
      </c>
      <c r="U466" s="321">
        <f t="shared" si="46"/>
        <v>0</v>
      </c>
      <c r="V466" s="321"/>
      <c r="W466" s="321">
        <f t="shared" si="47"/>
        <v>12.1</v>
      </c>
      <c r="X466" s="321">
        <f t="shared" si="47"/>
        <v>4.0999999999999996</v>
      </c>
      <c r="Y466" s="321">
        <f t="shared" si="47"/>
        <v>8</v>
      </c>
      <c r="Z466" s="321">
        <f t="shared" si="47"/>
        <v>0</v>
      </c>
      <c r="AA466" s="321">
        <f t="shared" si="47"/>
        <v>0</v>
      </c>
      <c r="AB466" s="321">
        <f t="shared" si="47"/>
        <v>17</v>
      </c>
      <c r="AC466" s="321">
        <f t="shared" si="47"/>
        <v>0</v>
      </c>
      <c r="AD466" s="321"/>
      <c r="AE466" s="321">
        <f t="shared" si="47"/>
        <v>8145211.8643430006</v>
      </c>
      <c r="AF466" s="321">
        <f t="shared" si="47"/>
        <v>0</v>
      </c>
      <c r="AG466" s="321">
        <f t="shared" si="47"/>
        <v>963725.33155052282</v>
      </c>
      <c r="AH466" s="321">
        <f t="shared" si="47"/>
        <v>317400.87737125385</v>
      </c>
      <c r="AI466" s="321">
        <f t="shared" si="47"/>
        <v>9426338.0732647777</v>
      </c>
      <c r="AJ466" s="321"/>
      <c r="AK466" s="321">
        <f t="shared" si="47"/>
        <v>655763.15463917528</v>
      </c>
      <c r="AL466" s="321">
        <f t="shared" si="47"/>
        <v>0</v>
      </c>
      <c r="AM466" s="321">
        <f t="shared" si="47"/>
        <v>735798.59000000008</v>
      </c>
      <c r="AN466" s="321">
        <f t="shared" si="47"/>
        <v>319709.4375</v>
      </c>
      <c r="AO466" s="321">
        <f t="shared" si="47"/>
        <v>1711271.1821391755</v>
      </c>
      <c r="AP466" s="321">
        <f t="shared" si="47"/>
        <v>7715066.8911256026</v>
      </c>
    </row>
    <row r="467" spans="1:42" x14ac:dyDescent="0.25">
      <c r="A467" s="311">
        <v>5894253</v>
      </c>
      <c r="D467" s="311">
        <v>5894253</v>
      </c>
      <c r="E467" s="315" t="str">
        <f t="shared" si="43"/>
        <v>Oblastní charita Sobotka - Domov pokojného stáří Libošovice</v>
      </c>
      <c r="F467" s="315" t="str">
        <f t="shared" si="44"/>
        <v>Oblastní charita Sobotka</v>
      </c>
      <c r="G467" s="315" t="str">
        <f t="shared" si="45"/>
        <v>§ 49 - Domovy pro seniory</v>
      </c>
      <c r="H467" s="315"/>
      <c r="I467" s="266" t="s">
        <v>1812</v>
      </c>
      <c r="J467" s="319"/>
      <c r="K467" s="266"/>
      <c r="L467" s="320"/>
      <c r="M467" s="321">
        <f t="shared" si="46"/>
        <v>11</v>
      </c>
      <c r="N467" s="321">
        <f t="shared" si="46"/>
        <v>1</v>
      </c>
      <c r="O467" s="321">
        <f t="shared" si="46"/>
        <v>7</v>
      </c>
      <c r="P467" s="321">
        <f t="shared" si="46"/>
        <v>3</v>
      </c>
      <c r="Q467" s="321">
        <f t="shared" si="46"/>
        <v>0</v>
      </c>
      <c r="R467" s="321">
        <f t="shared" si="46"/>
        <v>25</v>
      </c>
      <c r="S467" s="321">
        <f t="shared" si="46"/>
        <v>0</v>
      </c>
      <c r="T467" s="321">
        <f t="shared" si="46"/>
        <v>0</v>
      </c>
      <c r="U467" s="321">
        <f t="shared" si="46"/>
        <v>0</v>
      </c>
      <c r="V467" s="321"/>
      <c r="W467" s="321">
        <f t="shared" si="47"/>
        <v>11</v>
      </c>
      <c r="X467" s="321">
        <f t="shared" si="47"/>
        <v>1</v>
      </c>
      <c r="Y467" s="321">
        <f t="shared" si="47"/>
        <v>7</v>
      </c>
      <c r="Z467" s="321">
        <f t="shared" si="47"/>
        <v>3</v>
      </c>
      <c r="AA467" s="321">
        <f t="shared" si="47"/>
        <v>0</v>
      </c>
      <c r="AB467" s="321">
        <f t="shared" si="47"/>
        <v>25</v>
      </c>
      <c r="AC467" s="321">
        <f t="shared" si="47"/>
        <v>0</v>
      </c>
      <c r="AD467" s="321"/>
      <c r="AE467" s="321">
        <f t="shared" si="47"/>
        <v>5452330.9407386649</v>
      </c>
      <c r="AF467" s="321">
        <f t="shared" si="47"/>
        <v>2544271.7621967425</v>
      </c>
      <c r="AG467" s="321">
        <f t="shared" si="47"/>
        <v>2532822.4847333198</v>
      </c>
      <c r="AH467" s="321">
        <f t="shared" si="47"/>
        <v>1775503.430247556</v>
      </c>
      <c r="AI467" s="321">
        <f t="shared" si="47"/>
        <v>12304928.617916282</v>
      </c>
      <c r="AJ467" s="321"/>
      <c r="AK467" s="321">
        <f t="shared" si="47"/>
        <v>2806762.1288965857</v>
      </c>
      <c r="AL467" s="321">
        <f t="shared" si="47"/>
        <v>731121.7190016103</v>
      </c>
      <c r="AM467" s="321">
        <f t="shared" si="47"/>
        <v>1923094.3656422379</v>
      </c>
      <c r="AN467" s="321">
        <f t="shared" si="47"/>
        <v>1271926.5739889706</v>
      </c>
      <c r="AO467" s="321">
        <f t="shared" si="47"/>
        <v>6732904.7875294043</v>
      </c>
      <c r="AP467" s="321">
        <f t="shared" si="47"/>
        <v>5572023.830386878</v>
      </c>
    </row>
    <row r="468" spans="1:42" x14ac:dyDescent="0.25">
      <c r="A468" s="311">
        <v>5903063</v>
      </c>
      <c r="D468" s="311">
        <v>5903063</v>
      </c>
      <c r="E468" s="315" t="str">
        <f t="shared" si="43"/>
        <v>Poradna Domácí hospicové péče Hradec Králové</v>
      </c>
      <c r="F468" s="315" t="str">
        <f t="shared" si="44"/>
        <v>Oblastní charita Hradec Králové</v>
      </c>
      <c r="G468" s="315" t="str">
        <f t="shared" si="45"/>
        <v>§ 37 - Odborné sociální poradenství</v>
      </c>
      <c r="H468" s="315"/>
      <c r="I468" s="266" t="s">
        <v>1812</v>
      </c>
      <c r="J468" s="319"/>
      <c r="K468" s="266"/>
      <c r="L468" s="320"/>
      <c r="M468" s="321">
        <f t="shared" si="46"/>
        <v>1</v>
      </c>
      <c r="N468" s="321">
        <f t="shared" si="46"/>
        <v>1</v>
      </c>
      <c r="O468" s="321">
        <f t="shared" si="46"/>
        <v>0</v>
      </c>
      <c r="P468" s="321">
        <f t="shared" si="46"/>
        <v>0</v>
      </c>
      <c r="Q468" s="321">
        <f t="shared" si="46"/>
        <v>0</v>
      </c>
      <c r="R468" s="321">
        <f t="shared" si="46"/>
        <v>0</v>
      </c>
      <c r="S468" s="321">
        <f t="shared" si="46"/>
        <v>13</v>
      </c>
      <c r="T468" s="321">
        <f t="shared" si="46"/>
        <v>0</v>
      </c>
      <c r="U468" s="321">
        <f t="shared" si="46"/>
        <v>0</v>
      </c>
      <c r="V468" s="321"/>
      <c r="W468" s="321">
        <f t="shared" si="47"/>
        <v>1</v>
      </c>
      <c r="X468" s="321">
        <f t="shared" si="47"/>
        <v>1</v>
      </c>
      <c r="Y468" s="321">
        <f t="shared" si="47"/>
        <v>0</v>
      </c>
      <c r="Z468" s="321">
        <f t="shared" si="47"/>
        <v>0</v>
      </c>
      <c r="AA468" s="321">
        <f t="shared" si="47"/>
        <v>0</v>
      </c>
      <c r="AB468" s="321">
        <f t="shared" si="47"/>
        <v>0</v>
      </c>
      <c r="AC468" s="321">
        <f t="shared" si="47"/>
        <v>0</v>
      </c>
      <c r="AD468" s="321"/>
      <c r="AE468" s="321">
        <f t="shared" si="47"/>
        <v>695391.96464237291</v>
      </c>
      <c r="AF468" s="321">
        <f t="shared" si="47"/>
        <v>0</v>
      </c>
      <c r="AG468" s="321">
        <f t="shared" si="47"/>
        <v>47381.546135780867</v>
      </c>
      <c r="AH468" s="321">
        <f t="shared" si="47"/>
        <v>0</v>
      </c>
      <c r="AI468" s="321">
        <f t="shared" si="47"/>
        <v>742773.51077815378</v>
      </c>
      <c r="AJ468" s="321"/>
      <c r="AK468" s="321">
        <f t="shared" si="47"/>
        <v>0</v>
      </c>
      <c r="AL468" s="321">
        <f t="shared" si="47"/>
        <v>0</v>
      </c>
      <c r="AM468" s="321">
        <f t="shared" si="47"/>
        <v>0</v>
      </c>
      <c r="AN468" s="321">
        <f t="shared" si="47"/>
        <v>0</v>
      </c>
      <c r="AO468" s="321">
        <f t="shared" si="47"/>
        <v>0</v>
      </c>
      <c r="AP468" s="321">
        <f t="shared" si="47"/>
        <v>742773.51077815378</v>
      </c>
    </row>
    <row r="469" spans="1:42" x14ac:dyDescent="0.25">
      <c r="A469" s="311">
        <v>5922905</v>
      </c>
      <c r="D469" s="311">
        <v>5922905</v>
      </c>
      <c r="E469" s="315" t="str">
        <f t="shared" si="43"/>
        <v>Nízkoprahové zařízení pro děti a mládež - RIAPS - Shelter</v>
      </c>
      <c r="F469" s="315" t="str">
        <f t="shared" si="44"/>
        <v>Sdružení ozdravoven a léčeben okresu Trutnov</v>
      </c>
      <c r="G469" s="315" t="str">
        <f t="shared" si="45"/>
        <v>§ 62 - Nízkoprahová zařízení pro děti a mládež</v>
      </c>
      <c r="H469" s="315"/>
      <c r="I469" s="266" t="s">
        <v>1812</v>
      </c>
      <c r="J469" s="319"/>
      <c r="K469" s="266"/>
      <c r="L469" s="320"/>
      <c r="M469" s="321">
        <f t="shared" si="46"/>
        <v>3.3</v>
      </c>
      <c r="N469" s="321">
        <f t="shared" si="46"/>
        <v>3.3</v>
      </c>
      <c r="O469" s="321">
        <f t="shared" si="46"/>
        <v>0</v>
      </c>
      <c r="P469" s="321">
        <f t="shared" si="46"/>
        <v>0</v>
      </c>
      <c r="Q469" s="321">
        <f t="shared" si="46"/>
        <v>0</v>
      </c>
      <c r="R469" s="321">
        <f t="shared" si="46"/>
        <v>0</v>
      </c>
      <c r="S469" s="321">
        <f t="shared" si="46"/>
        <v>0</v>
      </c>
      <c r="T469" s="321">
        <f t="shared" si="46"/>
        <v>30</v>
      </c>
      <c r="U469" s="321">
        <f t="shared" si="46"/>
        <v>0</v>
      </c>
      <c r="V469" s="321"/>
      <c r="W469" s="321">
        <f t="shared" si="47"/>
        <v>3.3</v>
      </c>
      <c r="X469" s="321">
        <f t="shared" si="47"/>
        <v>3.3</v>
      </c>
      <c r="Y469" s="321">
        <f t="shared" si="47"/>
        <v>0</v>
      </c>
      <c r="Z469" s="321">
        <f t="shared" si="47"/>
        <v>0</v>
      </c>
      <c r="AA469" s="321">
        <f t="shared" si="47"/>
        <v>0</v>
      </c>
      <c r="AB469" s="321">
        <f t="shared" si="47"/>
        <v>0</v>
      </c>
      <c r="AC469" s="321">
        <f t="shared" si="47"/>
        <v>30</v>
      </c>
      <c r="AD469" s="321"/>
      <c r="AE469" s="321">
        <f t="shared" si="47"/>
        <v>1982677.4686873639</v>
      </c>
      <c r="AF469" s="321">
        <f t="shared" si="47"/>
        <v>0</v>
      </c>
      <c r="AG469" s="321">
        <f t="shared" si="47"/>
        <v>186837.99066510273</v>
      </c>
      <c r="AH469" s="321">
        <f t="shared" si="47"/>
        <v>0</v>
      </c>
      <c r="AI469" s="321">
        <f t="shared" si="47"/>
        <v>2169515.4593524667</v>
      </c>
      <c r="AJ469" s="321"/>
      <c r="AK469" s="321">
        <f t="shared" si="47"/>
        <v>0</v>
      </c>
      <c r="AL469" s="321">
        <f t="shared" si="47"/>
        <v>0</v>
      </c>
      <c r="AM469" s="321">
        <f t="shared" si="47"/>
        <v>0</v>
      </c>
      <c r="AN469" s="321">
        <f t="shared" si="47"/>
        <v>0</v>
      </c>
      <c r="AO469" s="321">
        <f t="shared" si="47"/>
        <v>0</v>
      </c>
      <c r="AP469" s="321">
        <f t="shared" si="47"/>
        <v>2169515.4593524667</v>
      </c>
    </row>
    <row r="470" spans="1:42" x14ac:dyDescent="0.25">
      <c r="A470" s="311">
        <v>5943218</v>
      </c>
      <c r="D470" s="311">
        <v>5943218</v>
      </c>
      <c r="E470" s="315" t="str">
        <f t="shared" si="43"/>
        <v>KŘESADLO HK - Centrum pomoci lidem s PAS, z.ú.</v>
      </c>
      <c r="F470" s="315" t="str">
        <f t="shared" si="44"/>
        <v>KŘESADLO HK - Centrum pomoci lidem s PAS, z.ú.</v>
      </c>
      <c r="G470" s="315" t="str">
        <f t="shared" si="45"/>
        <v>§ 70 - Sociální rehabilitace</v>
      </c>
      <c r="H470" s="315"/>
      <c r="I470" s="266" t="s">
        <v>1812</v>
      </c>
      <c r="J470" s="319"/>
      <c r="K470" s="266"/>
      <c r="L470" s="320"/>
      <c r="M470" s="321">
        <f t="shared" si="46"/>
        <v>1.75</v>
      </c>
      <c r="N470" s="321">
        <f t="shared" si="46"/>
        <v>0.6</v>
      </c>
      <c r="O470" s="321">
        <f t="shared" si="46"/>
        <v>0.22500000000000001</v>
      </c>
      <c r="P470" s="321">
        <f t="shared" si="46"/>
        <v>0</v>
      </c>
      <c r="Q470" s="321">
        <f t="shared" si="46"/>
        <v>0.92499999999999993</v>
      </c>
      <c r="R470" s="321">
        <f t="shared" si="46"/>
        <v>0</v>
      </c>
      <c r="S470" s="321">
        <f t="shared" si="46"/>
        <v>15</v>
      </c>
      <c r="T470" s="321">
        <f t="shared" si="46"/>
        <v>2</v>
      </c>
      <c r="U470" s="321">
        <f t="shared" si="46"/>
        <v>0</v>
      </c>
      <c r="V470" s="321"/>
      <c r="W470" s="321">
        <f t="shared" si="47"/>
        <v>1.75</v>
      </c>
      <c r="X470" s="321">
        <f t="shared" si="47"/>
        <v>0.6</v>
      </c>
      <c r="Y470" s="321">
        <f t="shared" si="47"/>
        <v>0.22500000000000001</v>
      </c>
      <c r="Z470" s="321">
        <f t="shared" si="47"/>
        <v>0</v>
      </c>
      <c r="AA470" s="321">
        <f t="shared" si="47"/>
        <v>0.92499999999999993</v>
      </c>
      <c r="AB470" s="321">
        <f t="shared" si="47"/>
        <v>0</v>
      </c>
      <c r="AC470" s="321">
        <f t="shared" si="47"/>
        <v>2</v>
      </c>
      <c r="AD470" s="321"/>
      <c r="AE470" s="321">
        <f t="shared" si="47"/>
        <v>1228663.8491631167</v>
      </c>
      <c r="AF470" s="321">
        <f t="shared" si="47"/>
        <v>0</v>
      </c>
      <c r="AG470" s="321">
        <f t="shared" si="47"/>
        <v>76668.962734591187</v>
      </c>
      <c r="AH470" s="321">
        <f t="shared" si="47"/>
        <v>0</v>
      </c>
      <c r="AI470" s="321">
        <f t="shared" si="47"/>
        <v>1305332.8118977079</v>
      </c>
      <c r="AJ470" s="321"/>
      <c r="AK470" s="321">
        <f t="shared" si="47"/>
        <v>0</v>
      </c>
      <c r="AL470" s="321">
        <f t="shared" si="47"/>
        <v>0</v>
      </c>
      <c r="AM470" s="321">
        <f t="shared" si="47"/>
        <v>0</v>
      </c>
      <c r="AN470" s="321">
        <f t="shared" si="47"/>
        <v>0</v>
      </c>
      <c r="AO470" s="321">
        <f t="shared" si="47"/>
        <v>0</v>
      </c>
      <c r="AP470" s="321">
        <f t="shared" si="47"/>
        <v>1305332.8118977079</v>
      </c>
    </row>
    <row r="471" spans="1:42" x14ac:dyDescent="0.25">
      <c r="A471" s="311">
        <v>5945407</v>
      </c>
      <c r="D471" s="311">
        <v>5945407</v>
      </c>
      <c r="E471" s="315" t="str">
        <f t="shared" si="43"/>
        <v>Město Vrchlabí</v>
      </c>
      <c r="F471" s="315" t="str">
        <f t="shared" si="44"/>
        <v>Město Vrchlabí</v>
      </c>
      <c r="G471" s="315" t="str">
        <f t="shared" si="45"/>
        <v>§ 70 - Sociální rehabilitace</v>
      </c>
      <c r="H471" s="315"/>
      <c r="I471" s="266" t="s">
        <v>1812</v>
      </c>
      <c r="J471" s="319"/>
      <c r="K471" s="266"/>
      <c r="L471" s="320"/>
      <c r="M471" s="321">
        <f t="shared" si="46"/>
        <v>2</v>
      </c>
      <c r="N471" s="321">
        <f t="shared" si="46"/>
        <v>1</v>
      </c>
      <c r="O471" s="321">
        <f t="shared" si="46"/>
        <v>1</v>
      </c>
      <c r="P471" s="321">
        <f t="shared" si="46"/>
        <v>0</v>
      </c>
      <c r="Q471" s="321">
        <f t="shared" si="46"/>
        <v>0</v>
      </c>
      <c r="R471" s="321">
        <f t="shared" si="46"/>
        <v>0</v>
      </c>
      <c r="S471" s="321">
        <f t="shared" si="46"/>
        <v>6</v>
      </c>
      <c r="T471" s="321">
        <f t="shared" si="46"/>
        <v>0</v>
      </c>
      <c r="U471" s="321">
        <f t="shared" si="46"/>
        <v>0</v>
      </c>
      <c r="V471" s="321"/>
      <c r="W471" s="321">
        <f t="shared" si="47"/>
        <v>2</v>
      </c>
      <c r="X471" s="321">
        <f t="shared" si="47"/>
        <v>1</v>
      </c>
      <c r="Y471" s="321">
        <f t="shared" si="47"/>
        <v>1</v>
      </c>
      <c r="Z471" s="321">
        <f t="shared" si="47"/>
        <v>0</v>
      </c>
      <c r="AA471" s="321">
        <f t="shared" si="47"/>
        <v>0</v>
      </c>
      <c r="AB471" s="321">
        <f t="shared" si="47"/>
        <v>0</v>
      </c>
      <c r="AC471" s="321">
        <f t="shared" si="47"/>
        <v>0</v>
      </c>
      <c r="AD471" s="321"/>
      <c r="AE471" s="321">
        <f t="shared" ref="W471:AP483" si="48">SUMIFS(AE$4:AE$318,$D$4:$D$318,$D471)</f>
        <v>1404187.2561864189</v>
      </c>
      <c r="AF471" s="321">
        <f t="shared" si="48"/>
        <v>0</v>
      </c>
      <c r="AG471" s="321">
        <f t="shared" si="48"/>
        <v>87621.671696675636</v>
      </c>
      <c r="AH471" s="321">
        <f t="shared" si="48"/>
        <v>0</v>
      </c>
      <c r="AI471" s="321">
        <f t="shared" si="48"/>
        <v>1491808.9278830946</v>
      </c>
      <c r="AJ471" s="321"/>
      <c r="AK471" s="321">
        <f t="shared" si="48"/>
        <v>0</v>
      </c>
      <c r="AL471" s="321">
        <f t="shared" si="48"/>
        <v>0</v>
      </c>
      <c r="AM471" s="321">
        <f t="shared" si="48"/>
        <v>0</v>
      </c>
      <c r="AN471" s="321">
        <f t="shared" si="48"/>
        <v>0</v>
      </c>
      <c r="AO471" s="321">
        <f t="shared" si="48"/>
        <v>0</v>
      </c>
      <c r="AP471" s="321">
        <f t="shared" si="48"/>
        <v>1491808.9278830946</v>
      </c>
    </row>
    <row r="472" spans="1:42" x14ac:dyDescent="0.25">
      <c r="A472" s="311">
        <v>5947102</v>
      </c>
      <c r="D472" s="311">
        <v>5947102</v>
      </c>
      <c r="E472" s="315" t="str">
        <f t="shared" si="43"/>
        <v>Oblastní charita Červený Kostelec</v>
      </c>
      <c r="F472" s="315" t="str">
        <f t="shared" si="44"/>
        <v>Oblastní charita Červený Kostelec</v>
      </c>
      <c r="G472" s="315" t="str">
        <f t="shared" si="45"/>
        <v>§ 41 - Tísňová péče</v>
      </c>
      <c r="H472" s="315"/>
      <c r="I472" s="266" t="s">
        <v>1812</v>
      </c>
      <c r="J472" s="319"/>
      <c r="K472" s="266"/>
      <c r="L472" s="320"/>
      <c r="M472" s="321">
        <f t="shared" si="46"/>
        <v>0.38</v>
      </c>
      <c r="N472" s="321">
        <f t="shared" si="46"/>
        <v>0.1</v>
      </c>
      <c r="O472" s="321">
        <f t="shared" si="46"/>
        <v>0.28000000000000003</v>
      </c>
      <c r="P472" s="321">
        <f t="shared" si="46"/>
        <v>0</v>
      </c>
      <c r="Q472" s="321">
        <f t="shared" si="46"/>
        <v>0</v>
      </c>
      <c r="R472" s="321">
        <f t="shared" si="46"/>
        <v>0</v>
      </c>
      <c r="S472" s="321">
        <f t="shared" si="46"/>
        <v>78</v>
      </c>
      <c r="T472" s="321">
        <f t="shared" si="46"/>
        <v>0</v>
      </c>
      <c r="U472" s="321">
        <f t="shared" si="46"/>
        <v>0</v>
      </c>
      <c r="V472" s="321"/>
      <c r="W472" s="321">
        <f t="shared" si="48"/>
        <v>0.38</v>
      </c>
      <c r="X472" s="321">
        <f t="shared" si="48"/>
        <v>0.1</v>
      </c>
      <c r="Y472" s="321">
        <f t="shared" si="48"/>
        <v>0.28000000000000003</v>
      </c>
      <c r="Z472" s="321">
        <f t="shared" si="48"/>
        <v>0</v>
      </c>
      <c r="AA472" s="321">
        <f t="shared" si="48"/>
        <v>0</v>
      </c>
      <c r="AB472" s="321">
        <f t="shared" si="48"/>
        <v>0</v>
      </c>
      <c r="AC472" s="321">
        <f t="shared" si="48"/>
        <v>0</v>
      </c>
      <c r="AD472" s="321"/>
      <c r="AE472" s="321">
        <f t="shared" si="48"/>
        <v>267734.71481137833</v>
      </c>
      <c r="AF472" s="321">
        <f t="shared" si="48"/>
        <v>0</v>
      </c>
      <c r="AG472" s="321">
        <f t="shared" si="48"/>
        <v>15575.872076290794</v>
      </c>
      <c r="AH472" s="321">
        <f t="shared" si="48"/>
        <v>0</v>
      </c>
      <c r="AI472" s="321">
        <f t="shared" si="48"/>
        <v>283310.58688766911</v>
      </c>
      <c r="AJ472" s="321"/>
      <c r="AK472" s="321">
        <f t="shared" si="48"/>
        <v>34290.599334073253</v>
      </c>
      <c r="AL472" s="321">
        <f t="shared" si="48"/>
        <v>0</v>
      </c>
      <c r="AM472" s="321">
        <f t="shared" si="48"/>
        <v>0</v>
      </c>
      <c r="AN472" s="321">
        <f t="shared" si="48"/>
        <v>0</v>
      </c>
      <c r="AO472" s="321">
        <f t="shared" si="48"/>
        <v>34290.599334073253</v>
      </c>
      <c r="AP472" s="321">
        <f t="shared" si="48"/>
        <v>249019.98755359586</v>
      </c>
    </row>
    <row r="473" spans="1:42" x14ac:dyDescent="0.25">
      <c r="A473" s="311">
        <v>5991938</v>
      </c>
      <c r="D473" s="311">
        <v>5991938</v>
      </c>
      <c r="E473" s="315" t="str">
        <f t="shared" si="43"/>
        <v>Osobní asistence</v>
      </c>
      <c r="F473" s="315" t="str">
        <f t="shared" si="44"/>
        <v>PROINTEPO - Střední škola, Základní škola a Mateřská škola s.r.o.</v>
      </c>
      <c r="G473" s="315" t="str">
        <f t="shared" si="45"/>
        <v>§ 39 - Osobní asistence</v>
      </c>
      <c r="H473" s="315"/>
      <c r="I473" s="266" t="s">
        <v>1812</v>
      </c>
      <c r="J473" s="319"/>
      <c r="K473" s="266"/>
      <c r="L473" s="320"/>
      <c r="M473" s="321">
        <f t="shared" si="46"/>
        <v>5.5</v>
      </c>
      <c r="N473" s="321">
        <f t="shared" si="46"/>
        <v>0.5</v>
      </c>
      <c r="O473" s="321">
        <f t="shared" si="46"/>
        <v>5</v>
      </c>
      <c r="P473" s="321">
        <f t="shared" si="46"/>
        <v>0</v>
      </c>
      <c r="Q473" s="321">
        <f t="shared" si="46"/>
        <v>0</v>
      </c>
      <c r="R473" s="321">
        <f t="shared" si="46"/>
        <v>0</v>
      </c>
      <c r="S473" s="321">
        <f t="shared" si="46"/>
        <v>25</v>
      </c>
      <c r="T473" s="321">
        <f t="shared" si="46"/>
        <v>0</v>
      </c>
      <c r="U473" s="321">
        <f t="shared" si="46"/>
        <v>0</v>
      </c>
      <c r="V473" s="321"/>
      <c r="W473" s="321">
        <f t="shared" si="48"/>
        <v>5.5</v>
      </c>
      <c r="X473" s="321">
        <f t="shared" si="48"/>
        <v>0.5</v>
      </c>
      <c r="Y473" s="321">
        <f t="shared" si="48"/>
        <v>5</v>
      </c>
      <c r="Z473" s="321">
        <f t="shared" si="48"/>
        <v>0</v>
      </c>
      <c r="AA473" s="321">
        <f t="shared" si="48"/>
        <v>0</v>
      </c>
      <c r="AB473" s="321">
        <f t="shared" si="48"/>
        <v>0</v>
      </c>
      <c r="AC473" s="321">
        <f t="shared" si="48"/>
        <v>0</v>
      </c>
      <c r="AD473" s="321"/>
      <c r="AE473" s="321">
        <f t="shared" si="48"/>
        <v>2936745.8520165975</v>
      </c>
      <c r="AF473" s="321">
        <f t="shared" si="48"/>
        <v>0</v>
      </c>
      <c r="AG473" s="321">
        <f t="shared" si="48"/>
        <v>109047.79188078541</v>
      </c>
      <c r="AH473" s="321">
        <f t="shared" si="48"/>
        <v>0</v>
      </c>
      <c r="AI473" s="321">
        <f t="shared" si="48"/>
        <v>3045793.643897383</v>
      </c>
      <c r="AJ473" s="321"/>
      <c r="AK473" s="321">
        <f t="shared" si="48"/>
        <v>624844.20240337902</v>
      </c>
      <c r="AL473" s="321">
        <f t="shared" si="48"/>
        <v>0</v>
      </c>
      <c r="AM473" s="321">
        <f t="shared" si="48"/>
        <v>0</v>
      </c>
      <c r="AN473" s="321">
        <f t="shared" si="48"/>
        <v>0</v>
      </c>
      <c r="AO473" s="321">
        <f t="shared" si="48"/>
        <v>624844.20240337902</v>
      </c>
      <c r="AP473" s="321">
        <f t="shared" si="48"/>
        <v>2420949.4414940039</v>
      </c>
    </row>
    <row r="474" spans="1:42" x14ac:dyDescent="0.25">
      <c r="A474" s="311">
        <v>6041962</v>
      </c>
      <c r="D474" s="311">
        <v>6041962</v>
      </c>
      <c r="E474" s="315" t="str">
        <f t="shared" si="43"/>
        <v>Denní stacionář Lávka</v>
      </c>
      <c r="F474" s="315" t="str">
        <f t="shared" si="44"/>
        <v>Sdružení Neratov, z.s.</v>
      </c>
      <c r="G474" s="315" t="str">
        <f t="shared" si="45"/>
        <v>§ 46 - Denní stacionáře</v>
      </c>
      <c r="H474" s="315"/>
      <c r="I474" s="266" t="s">
        <v>1812</v>
      </c>
      <c r="J474" s="319"/>
      <c r="K474" s="266"/>
      <c r="L474" s="320"/>
      <c r="M474" s="321">
        <f t="shared" si="46"/>
        <v>2.5</v>
      </c>
      <c r="N474" s="321">
        <f t="shared" si="46"/>
        <v>0.5</v>
      </c>
      <c r="O474" s="321">
        <f t="shared" si="46"/>
        <v>2</v>
      </c>
      <c r="P474" s="321">
        <f t="shared" si="46"/>
        <v>0</v>
      </c>
      <c r="Q474" s="321">
        <f t="shared" si="46"/>
        <v>0</v>
      </c>
      <c r="R474" s="321">
        <f t="shared" si="46"/>
        <v>0</v>
      </c>
      <c r="S474" s="321">
        <f t="shared" si="46"/>
        <v>0</v>
      </c>
      <c r="T474" s="321">
        <f t="shared" si="46"/>
        <v>5</v>
      </c>
      <c r="U474" s="321">
        <f t="shared" si="46"/>
        <v>0</v>
      </c>
      <c r="V474" s="321"/>
      <c r="W474" s="321">
        <f t="shared" si="48"/>
        <v>2.5</v>
      </c>
      <c r="X474" s="321">
        <f t="shared" si="48"/>
        <v>0.5</v>
      </c>
      <c r="Y474" s="321">
        <f t="shared" si="48"/>
        <v>2</v>
      </c>
      <c r="Z474" s="321">
        <f t="shared" si="48"/>
        <v>0</v>
      </c>
      <c r="AA474" s="321">
        <f t="shared" si="48"/>
        <v>0</v>
      </c>
      <c r="AB474" s="321">
        <f t="shared" si="48"/>
        <v>0</v>
      </c>
      <c r="AC474" s="321">
        <f t="shared" si="48"/>
        <v>5</v>
      </c>
      <c r="AD474" s="321"/>
      <c r="AE474" s="321">
        <f t="shared" si="48"/>
        <v>1859443.3333599875</v>
      </c>
      <c r="AF474" s="321">
        <f t="shared" si="48"/>
        <v>0</v>
      </c>
      <c r="AG474" s="321">
        <f t="shared" si="48"/>
        <v>139531.26793154559</v>
      </c>
      <c r="AH474" s="321">
        <f t="shared" si="48"/>
        <v>27384.755259692589</v>
      </c>
      <c r="AI474" s="321">
        <f t="shared" si="48"/>
        <v>2026359.3565512258</v>
      </c>
      <c r="AJ474" s="321"/>
      <c r="AK474" s="321">
        <f t="shared" si="48"/>
        <v>269786.92810457514</v>
      </c>
      <c r="AL474" s="321">
        <f t="shared" si="48"/>
        <v>0</v>
      </c>
      <c r="AM474" s="321">
        <f t="shared" si="48"/>
        <v>0</v>
      </c>
      <c r="AN474" s="321">
        <f t="shared" si="48"/>
        <v>27261.538461538461</v>
      </c>
      <c r="AO474" s="321">
        <f t="shared" si="48"/>
        <v>297048.46656611358</v>
      </c>
      <c r="AP474" s="321">
        <f t="shared" si="48"/>
        <v>1729310.8899851122</v>
      </c>
    </row>
    <row r="475" spans="1:42" x14ac:dyDescent="0.25">
      <c r="A475" s="311">
        <v>6152074</v>
      </c>
      <c r="D475" s="311">
        <v>6152074</v>
      </c>
      <c r="E475" s="315" t="str">
        <f t="shared" si="43"/>
        <v>Osobní asistence APROPO</v>
      </c>
      <c r="F475" s="315" t="str">
        <f t="shared" si="44"/>
        <v>Apropo Jičín, o. p. s.</v>
      </c>
      <c r="G475" s="315" t="str">
        <f t="shared" si="45"/>
        <v>§ 39 - Osobní asistence</v>
      </c>
      <c r="H475" s="315"/>
      <c r="I475" s="266" t="s">
        <v>1812</v>
      </c>
      <c r="J475" s="319"/>
      <c r="K475" s="266"/>
      <c r="L475" s="320"/>
      <c r="M475" s="321">
        <f t="shared" si="46"/>
        <v>8.9</v>
      </c>
      <c r="N475" s="321">
        <f t="shared" si="46"/>
        <v>1.3</v>
      </c>
      <c r="O475" s="321">
        <f t="shared" si="46"/>
        <v>7.6</v>
      </c>
      <c r="P475" s="321">
        <f t="shared" si="46"/>
        <v>0</v>
      </c>
      <c r="Q475" s="321">
        <f t="shared" si="46"/>
        <v>0</v>
      </c>
      <c r="R475" s="321">
        <f t="shared" si="46"/>
        <v>0</v>
      </c>
      <c r="S475" s="321">
        <f t="shared" si="46"/>
        <v>58</v>
      </c>
      <c r="T475" s="321">
        <f t="shared" si="46"/>
        <v>0</v>
      </c>
      <c r="U475" s="321">
        <f t="shared" si="46"/>
        <v>0</v>
      </c>
      <c r="V475" s="321"/>
      <c r="W475" s="321">
        <f t="shared" si="48"/>
        <v>8.9</v>
      </c>
      <c r="X475" s="321">
        <f t="shared" si="48"/>
        <v>1.3</v>
      </c>
      <c r="Y475" s="321">
        <f t="shared" si="48"/>
        <v>7.6</v>
      </c>
      <c r="Z475" s="321">
        <f t="shared" si="48"/>
        <v>0</v>
      </c>
      <c r="AA475" s="321">
        <f t="shared" si="48"/>
        <v>0</v>
      </c>
      <c r="AB475" s="321">
        <f t="shared" si="48"/>
        <v>0</v>
      </c>
      <c r="AC475" s="321">
        <f t="shared" si="48"/>
        <v>0</v>
      </c>
      <c r="AD475" s="321"/>
      <c r="AE475" s="321">
        <f t="shared" si="48"/>
        <v>4752188.7423541313</v>
      </c>
      <c r="AF475" s="321">
        <f t="shared" si="48"/>
        <v>0</v>
      </c>
      <c r="AG475" s="321">
        <f t="shared" si="48"/>
        <v>176459.15413436186</v>
      </c>
      <c r="AH475" s="321">
        <f t="shared" si="48"/>
        <v>0</v>
      </c>
      <c r="AI475" s="321">
        <f t="shared" si="48"/>
        <v>4928647.8964884933</v>
      </c>
      <c r="AJ475" s="321"/>
      <c r="AK475" s="321">
        <f t="shared" si="48"/>
        <v>949763.18765313609</v>
      </c>
      <c r="AL475" s="321">
        <f t="shared" si="48"/>
        <v>0</v>
      </c>
      <c r="AM475" s="321">
        <f t="shared" si="48"/>
        <v>0</v>
      </c>
      <c r="AN475" s="321">
        <f t="shared" si="48"/>
        <v>0</v>
      </c>
      <c r="AO475" s="321">
        <f t="shared" si="48"/>
        <v>949763.18765313609</v>
      </c>
      <c r="AP475" s="321">
        <f t="shared" si="48"/>
        <v>3978884.7088353573</v>
      </c>
    </row>
    <row r="476" spans="1:42" x14ac:dyDescent="0.25">
      <c r="A476" s="311">
        <v>6161785</v>
      </c>
      <c r="D476" s="311">
        <v>6161785</v>
      </c>
      <c r="E476" s="315" t="str">
        <f t="shared" si="43"/>
        <v>Charitní pečovatelská služba Náchod</v>
      </c>
      <c r="F476" s="315" t="str">
        <f t="shared" si="44"/>
        <v>Oblastní charita Náchod</v>
      </c>
      <c r="G476" s="315" t="str">
        <f t="shared" si="45"/>
        <v>§ 40 - Pečovatelská služba</v>
      </c>
      <c r="H476" s="315"/>
      <c r="I476" s="266" t="s">
        <v>1812</v>
      </c>
      <c r="J476" s="319"/>
      <c r="K476" s="266"/>
      <c r="L476" s="320"/>
      <c r="M476" s="321">
        <f t="shared" si="46"/>
        <v>5</v>
      </c>
      <c r="N476" s="321">
        <f t="shared" si="46"/>
        <v>0.5</v>
      </c>
      <c r="O476" s="321">
        <f t="shared" si="46"/>
        <v>4.5</v>
      </c>
      <c r="P476" s="321">
        <f t="shared" si="46"/>
        <v>0</v>
      </c>
      <c r="Q476" s="321">
        <f t="shared" si="46"/>
        <v>0</v>
      </c>
      <c r="R476" s="321">
        <f t="shared" si="46"/>
        <v>0</v>
      </c>
      <c r="S476" s="321">
        <f t="shared" si="46"/>
        <v>45</v>
      </c>
      <c r="T476" s="321">
        <f t="shared" si="46"/>
        <v>0</v>
      </c>
      <c r="U476" s="321">
        <f t="shared" ref="N476:U491" si="49">SUMIFS(U$4:U$318,$D$4:$D$318,$D476)</f>
        <v>0</v>
      </c>
      <c r="V476" s="321"/>
      <c r="W476" s="321">
        <f t="shared" si="48"/>
        <v>5</v>
      </c>
      <c r="X476" s="321">
        <f t="shared" si="48"/>
        <v>0.5</v>
      </c>
      <c r="Y476" s="321">
        <f t="shared" si="48"/>
        <v>4.5</v>
      </c>
      <c r="Z476" s="321">
        <f t="shared" si="48"/>
        <v>0</v>
      </c>
      <c r="AA476" s="321">
        <f t="shared" si="48"/>
        <v>0</v>
      </c>
      <c r="AB476" s="321">
        <f t="shared" si="48"/>
        <v>0</v>
      </c>
      <c r="AC476" s="321">
        <f t="shared" si="48"/>
        <v>0</v>
      </c>
      <c r="AD476" s="321"/>
      <c r="AE476" s="321">
        <f t="shared" si="48"/>
        <v>2886973.11593168</v>
      </c>
      <c r="AF476" s="321">
        <f t="shared" si="48"/>
        <v>0</v>
      </c>
      <c r="AG476" s="321">
        <f t="shared" si="48"/>
        <v>215268.62734074268</v>
      </c>
      <c r="AH476" s="321">
        <f t="shared" si="48"/>
        <v>0</v>
      </c>
      <c r="AI476" s="321">
        <f t="shared" si="48"/>
        <v>3102241.7432724228</v>
      </c>
      <c r="AJ476" s="321"/>
      <c r="AK476" s="321">
        <f t="shared" si="48"/>
        <v>624398.5588235294</v>
      </c>
      <c r="AL476" s="321">
        <f t="shared" si="48"/>
        <v>0</v>
      </c>
      <c r="AM476" s="321">
        <f t="shared" si="48"/>
        <v>0</v>
      </c>
      <c r="AN476" s="321">
        <f t="shared" si="48"/>
        <v>0</v>
      </c>
      <c r="AO476" s="321">
        <f t="shared" si="48"/>
        <v>624398.5588235294</v>
      </c>
      <c r="AP476" s="321">
        <f t="shared" si="48"/>
        <v>2477843.1844488932</v>
      </c>
    </row>
    <row r="477" spans="1:42" x14ac:dyDescent="0.25">
      <c r="A477" s="311">
        <v>6163071</v>
      </c>
      <c r="D477" s="311">
        <v>6163071</v>
      </c>
      <c r="E477" s="315" t="str">
        <f t="shared" si="43"/>
        <v>Sociálně terapeutická dílna</v>
      </c>
      <c r="F477" s="315" t="str">
        <f t="shared" si="44"/>
        <v>Barevné domky Hajnice</v>
      </c>
      <c r="G477" s="315" t="str">
        <f t="shared" si="45"/>
        <v>§ 67 - Sociálně terapeutické dílny</v>
      </c>
      <c r="H477" s="315"/>
      <c r="I477" s="266" t="s">
        <v>1812</v>
      </c>
      <c r="J477" s="319"/>
      <c r="K477" s="266"/>
      <c r="L477" s="320"/>
      <c r="M477" s="321">
        <f t="shared" si="46"/>
        <v>1.1000000000000001</v>
      </c>
      <c r="N477" s="321">
        <f t="shared" si="49"/>
        <v>0.1</v>
      </c>
      <c r="O477" s="321">
        <f t="shared" si="49"/>
        <v>1</v>
      </c>
      <c r="P477" s="321">
        <f t="shared" si="49"/>
        <v>0</v>
      </c>
      <c r="Q477" s="321">
        <f t="shared" si="49"/>
        <v>0</v>
      </c>
      <c r="R477" s="321">
        <f t="shared" si="49"/>
        <v>0</v>
      </c>
      <c r="S477" s="321">
        <f t="shared" si="49"/>
        <v>0</v>
      </c>
      <c r="T477" s="321">
        <f t="shared" si="49"/>
        <v>1</v>
      </c>
      <c r="U477" s="321">
        <f t="shared" si="49"/>
        <v>0</v>
      </c>
      <c r="V477" s="321"/>
      <c r="W477" s="321">
        <f t="shared" si="48"/>
        <v>1.1000000000000001</v>
      </c>
      <c r="X477" s="321">
        <f t="shared" si="48"/>
        <v>0.1</v>
      </c>
      <c r="Y477" s="321">
        <f t="shared" si="48"/>
        <v>1</v>
      </c>
      <c r="Z477" s="321">
        <f t="shared" si="48"/>
        <v>0</v>
      </c>
      <c r="AA477" s="321">
        <f t="shared" si="48"/>
        <v>0</v>
      </c>
      <c r="AB477" s="321">
        <f t="shared" si="48"/>
        <v>0</v>
      </c>
      <c r="AC477" s="321">
        <f t="shared" si="48"/>
        <v>1</v>
      </c>
      <c r="AD477" s="321"/>
      <c r="AE477" s="321">
        <f t="shared" si="48"/>
        <v>683136.142500413</v>
      </c>
      <c r="AF477" s="321">
        <f t="shared" si="48"/>
        <v>0</v>
      </c>
      <c r="AG477" s="321">
        <f t="shared" si="48"/>
        <v>90366.819609142214</v>
      </c>
      <c r="AH477" s="321">
        <f t="shared" si="48"/>
        <v>0</v>
      </c>
      <c r="AI477" s="321">
        <f t="shared" si="48"/>
        <v>773502.96210955526</v>
      </c>
      <c r="AJ477" s="321"/>
      <c r="AK477" s="321">
        <f t="shared" si="48"/>
        <v>0</v>
      </c>
      <c r="AL477" s="321">
        <f t="shared" si="48"/>
        <v>0</v>
      </c>
      <c r="AM477" s="321">
        <f t="shared" si="48"/>
        <v>0</v>
      </c>
      <c r="AN477" s="321">
        <f t="shared" si="48"/>
        <v>0</v>
      </c>
      <c r="AO477" s="321">
        <f t="shared" si="48"/>
        <v>0</v>
      </c>
      <c r="AP477" s="321">
        <f t="shared" si="48"/>
        <v>773502.96210955526</v>
      </c>
    </row>
    <row r="478" spans="1:42" x14ac:dyDescent="0.25">
      <c r="A478" s="311">
        <v>6181040</v>
      </c>
      <c r="D478" s="311">
        <v>6181040</v>
      </c>
      <c r="E478" s="315" t="str">
        <f t="shared" si="43"/>
        <v>Pečovatelská služba Česká Skalice</v>
      </c>
      <c r="F478" s="315" t="str">
        <f t="shared" si="44"/>
        <v>Město Česká Skalice</v>
      </c>
      <c r="G478" s="315" t="str">
        <f t="shared" si="45"/>
        <v>§ 40 - Pečovatelská služba</v>
      </c>
      <c r="H478" s="315"/>
      <c r="I478" s="266" t="s">
        <v>1812</v>
      </c>
      <c r="J478" s="319"/>
      <c r="K478" s="266"/>
      <c r="L478" s="320"/>
      <c r="M478" s="321">
        <f t="shared" si="46"/>
        <v>2.35</v>
      </c>
      <c r="N478" s="321">
        <f t="shared" si="49"/>
        <v>0.35</v>
      </c>
      <c r="O478" s="321">
        <f t="shared" si="49"/>
        <v>2</v>
      </c>
      <c r="P478" s="321">
        <f t="shared" si="49"/>
        <v>0</v>
      </c>
      <c r="Q478" s="321">
        <f t="shared" si="49"/>
        <v>0</v>
      </c>
      <c r="R478" s="321">
        <f t="shared" si="49"/>
        <v>0</v>
      </c>
      <c r="S478" s="321">
        <f t="shared" si="49"/>
        <v>70</v>
      </c>
      <c r="T478" s="321">
        <f t="shared" si="49"/>
        <v>0</v>
      </c>
      <c r="U478" s="321">
        <f t="shared" si="49"/>
        <v>0</v>
      </c>
      <c r="V478" s="321"/>
      <c r="W478" s="321">
        <f t="shared" si="48"/>
        <v>2.35</v>
      </c>
      <c r="X478" s="321">
        <f t="shared" si="48"/>
        <v>0.35</v>
      </c>
      <c r="Y478" s="321">
        <f t="shared" si="48"/>
        <v>2</v>
      </c>
      <c r="Z478" s="321">
        <f t="shared" si="48"/>
        <v>0</v>
      </c>
      <c r="AA478" s="321">
        <f t="shared" si="48"/>
        <v>0</v>
      </c>
      <c r="AB478" s="321">
        <f t="shared" si="48"/>
        <v>0</v>
      </c>
      <c r="AC478" s="321">
        <f t="shared" si="48"/>
        <v>0</v>
      </c>
      <c r="AD478" s="321"/>
      <c r="AE478" s="321">
        <f t="shared" si="48"/>
        <v>1356877.3644878897</v>
      </c>
      <c r="AF478" s="321">
        <f t="shared" si="48"/>
        <v>0</v>
      </c>
      <c r="AG478" s="321">
        <f t="shared" si="48"/>
        <v>101176.25485014907</v>
      </c>
      <c r="AH478" s="321">
        <f t="shared" si="48"/>
        <v>0</v>
      </c>
      <c r="AI478" s="321">
        <f t="shared" si="48"/>
        <v>1458053.6193380388</v>
      </c>
      <c r="AJ478" s="321"/>
      <c r="AK478" s="321">
        <f t="shared" si="48"/>
        <v>277510.4705882353</v>
      </c>
      <c r="AL478" s="321">
        <f t="shared" si="48"/>
        <v>0</v>
      </c>
      <c r="AM478" s="321">
        <f t="shared" si="48"/>
        <v>0</v>
      </c>
      <c r="AN478" s="321">
        <f t="shared" si="48"/>
        <v>0</v>
      </c>
      <c r="AO478" s="321">
        <f t="shared" si="48"/>
        <v>277510.4705882353</v>
      </c>
      <c r="AP478" s="321">
        <f t="shared" si="48"/>
        <v>1180543.1487498037</v>
      </c>
    </row>
    <row r="479" spans="1:42" x14ac:dyDescent="0.25">
      <c r="A479" s="311">
        <v>6191102</v>
      </c>
      <c r="D479" s="311">
        <v>6191102</v>
      </c>
      <c r="E479" s="315" t="str">
        <f t="shared" si="43"/>
        <v>Manželská a rodinná poradna Rychnov n.Kn.</v>
      </c>
      <c r="F479" s="315" t="str">
        <f t="shared" si="44"/>
        <v>Centrum sociální pomoci a služeb o. p. s.</v>
      </c>
      <c r="G479" s="315" t="str">
        <f t="shared" si="45"/>
        <v>§ 37 - Odborné sociální poradenství</v>
      </c>
      <c r="H479" s="315"/>
      <c r="I479" s="266" t="s">
        <v>1812</v>
      </c>
      <c r="J479" s="319"/>
      <c r="K479" s="266"/>
      <c r="L479" s="320"/>
      <c r="M479" s="321">
        <f t="shared" si="46"/>
        <v>1</v>
      </c>
      <c r="N479" s="321">
        <f t="shared" si="49"/>
        <v>0</v>
      </c>
      <c r="O479" s="321">
        <f t="shared" si="49"/>
        <v>0</v>
      </c>
      <c r="P479" s="321">
        <f t="shared" si="49"/>
        <v>0</v>
      </c>
      <c r="Q479" s="321">
        <f t="shared" si="49"/>
        <v>1</v>
      </c>
      <c r="R479" s="321">
        <f t="shared" si="49"/>
        <v>0</v>
      </c>
      <c r="S479" s="321">
        <f t="shared" si="49"/>
        <v>5</v>
      </c>
      <c r="T479" s="321">
        <f t="shared" si="49"/>
        <v>0</v>
      </c>
      <c r="U479" s="321">
        <f t="shared" si="49"/>
        <v>0</v>
      </c>
      <c r="V479" s="321"/>
      <c r="W479" s="321">
        <f t="shared" si="48"/>
        <v>1</v>
      </c>
      <c r="X479" s="321">
        <f t="shared" si="48"/>
        <v>0</v>
      </c>
      <c r="Y479" s="321">
        <f t="shared" si="48"/>
        <v>0</v>
      </c>
      <c r="Z479" s="321">
        <f t="shared" si="48"/>
        <v>0</v>
      </c>
      <c r="AA479" s="321">
        <f t="shared" si="48"/>
        <v>1</v>
      </c>
      <c r="AB479" s="321">
        <f t="shared" si="48"/>
        <v>0</v>
      </c>
      <c r="AC479" s="321">
        <f t="shared" si="48"/>
        <v>0</v>
      </c>
      <c r="AD479" s="321"/>
      <c r="AE479" s="321">
        <f t="shared" si="48"/>
        <v>695391.96464237291</v>
      </c>
      <c r="AF479" s="321">
        <f t="shared" si="48"/>
        <v>0</v>
      </c>
      <c r="AG479" s="321">
        <f t="shared" si="48"/>
        <v>47381.546135780867</v>
      </c>
      <c r="AH479" s="321">
        <f t="shared" si="48"/>
        <v>0</v>
      </c>
      <c r="AI479" s="321">
        <f t="shared" si="48"/>
        <v>742773.51077815378</v>
      </c>
      <c r="AJ479" s="321"/>
      <c r="AK479" s="321">
        <f t="shared" si="48"/>
        <v>0</v>
      </c>
      <c r="AL479" s="321">
        <f t="shared" si="48"/>
        <v>0</v>
      </c>
      <c r="AM479" s="321">
        <f t="shared" si="48"/>
        <v>0</v>
      </c>
      <c r="AN479" s="321">
        <f t="shared" si="48"/>
        <v>0</v>
      </c>
      <c r="AO479" s="321">
        <f t="shared" si="48"/>
        <v>0</v>
      </c>
      <c r="AP479" s="321">
        <f t="shared" si="48"/>
        <v>742773.51077815378</v>
      </c>
    </row>
    <row r="480" spans="1:42" x14ac:dyDescent="0.25">
      <c r="A480" s="311">
        <v>6232669</v>
      </c>
      <c r="D480" s="311">
        <v>6232669</v>
      </c>
      <c r="E480" s="315" t="str">
        <f t="shared" si="43"/>
        <v>Pečovatelská služba Hronov</v>
      </c>
      <c r="F480" s="315" t="str">
        <f t="shared" si="44"/>
        <v>Město Hronov</v>
      </c>
      <c r="G480" s="315" t="str">
        <f t="shared" si="45"/>
        <v>§ 40 - Pečovatelská služba</v>
      </c>
      <c r="H480" s="315"/>
      <c r="I480" s="266" t="s">
        <v>1812</v>
      </c>
      <c r="J480" s="319"/>
      <c r="K480" s="266"/>
      <c r="L480" s="320"/>
      <c r="M480" s="321">
        <f t="shared" si="46"/>
        <v>8</v>
      </c>
      <c r="N480" s="321">
        <f t="shared" si="49"/>
        <v>1</v>
      </c>
      <c r="O480" s="321">
        <f t="shared" si="49"/>
        <v>7</v>
      </c>
      <c r="P480" s="321">
        <f t="shared" si="49"/>
        <v>0</v>
      </c>
      <c r="Q480" s="321">
        <f t="shared" si="49"/>
        <v>0</v>
      </c>
      <c r="R480" s="321">
        <f t="shared" si="49"/>
        <v>0</v>
      </c>
      <c r="S480" s="321">
        <f t="shared" si="49"/>
        <v>70</v>
      </c>
      <c r="T480" s="321">
        <f t="shared" si="49"/>
        <v>0</v>
      </c>
      <c r="U480" s="321">
        <f t="shared" si="49"/>
        <v>0</v>
      </c>
      <c r="V480" s="321"/>
      <c r="W480" s="321">
        <f t="shared" si="48"/>
        <v>8</v>
      </c>
      <c r="X480" s="321">
        <f t="shared" si="48"/>
        <v>1</v>
      </c>
      <c r="Y480" s="321">
        <f t="shared" si="48"/>
        <v>7</v>
      </c>
      <c r="Z480" s="321">
        <f t="shared" si="48"/>
        <v>0</v>
      </c>
      <c r="AA480" s="321">
        <f t="shared" si="48"/>
        <v>0</v>
      </c>
      <c r="AB480" s="321">
        <f t="shared" si="48"/>
        <v>0</v>
      </c>
      <c r="AC480" s="321">
        <f t="shared" si="48"/>
        <v>0</v>
      </c>
      <c r="AD480" s="321"/>
      <c r="AE480" s="321">
        <f t="shared" si="48"/>
        <v>4619156.9854906881</v>
      </c>
      <c r="AF480" s="321">
        <f t="shared" si="48"/>
        <v>0</v>
      </c>
      <c r="AG480" s="321">
        <f t="shared" si="48"/>
        <v>344429.80374518828</v>
      </c>
      <c r="AH480" s="321">
        <f t="shared" si="48"/>
        <v>0</v>
      </c>
      <c r="AI480" s="321">
        <f t="shared" si="48"/>
        <v>4963586.7892358769</v>
      </c>
      <c r="AJ480" s="321"/>
      <c r="AK480" s="321">
        <f t="shared" si="48"/>
        <v>971286.64705882361</v>
      </c>
      <c r="AL480" s="321">
        <f t="shared" si="48"/>
        <v>0</v>
      </c>
      <c r="AM480" s="321">
        <f t="shared" si="48"/>
        <v>0</v>
      </c>
      <c r="AN480" s="321">
        <f t="shared" si="48"/>
        <v>0</v>
      </c>
      <c r="AO480" s="321">
        <f t="shared" si="48"/>
        <v>971286.64705882361</v>
      </c>
      <c r="AP480" s="321">
        <f t="shared" si="48"/>
        <v>3992300.1421770533</v>
      </c>
    </row>
    <row r="481" spans="1:42" x14ac:dyDescent="0.25">
      <c r="A481" s="311">
        <v>6361701</v>
      </c>
      <c r="D481" s="311">
        <v>6361701</v>
      </c>
      <c r="E481" s="315" t="str">
        <f t="shared" si="43"/>
        <v>Sociálně aktivizační služby</v>
      </c>
      <c r="F481" s="315" t="str">
        <f t="shared" si="44"/>
        <v>Diakonie ČCE - středisko Světlo ve Vrchlabí</v>
      </c>
      <c r="G481" s="315" t="str">
        <f t="shared" si="45"/>
        <v>§ 65 - Sociálně aktivizační služby pro rodiny s dětmi</v>
      </c>
      <c r="H481" s="315"/>
      <c r="I481" s="266" t="s">
        <v>1812</v>
      </c>
      <c r="J481" s="319"/>
      <c r="K481" s="266"/>
      <c r="L481" s="320"/>
      <c r="M481" s="321">
        <f t="shared" si="46"/>
        <v>1.7</v>
      </c>
      <c r="N481" s="321">
        <f t="shared" si="49"/>
        <v>1.7</v>
      </c>
      <c r="O481" s="321">
        <f t="shared" si="49"/>
        <v>0</v>
      </c>
      <c r="P481" s="321">
        <f t="shared" si="49"/>
        <v>0</v>
      </c>
      <c r="Q481" s="321">
        <f t="shared" si="49"/>
        <v>0</v>
      </c>
      <c r="R481" s="321">
        <f t="shared" si="49"/>
        <v>0</v>
      </c>
      <c r="S481" s="321">
        <f t="shared" si="49"/>
        <v>20</v>
      </c>
      <c r="T481" s="321">
        <f t="shared" si="49"/>
        <v>0</v>
      </c>
      <c r="U481" s="321">
        <f t="shared" si="49"/>
        <v>0</v>
      </c>
      <c r="V481" s="321"/>
      <c r="W481" s="321">
        <f t="shared" si="48"/>
        <v>1.7</v>
      </c>
      <c r="X481" s="321">
        <f t="shared" si="48"/>
        <v>1.7</v>
      </c>
      <c r="Y481" s="321">
        <f t="shared" si="48"/>
        <v>0</v>
      </c>
      <c r="Z481" s="321">
        <f t="shared" si="48"/>
        <v>0</v>
      </c>
      <c r="AA481" s="321">
        <f t="shared" si="48"/>
        <v>0</v>
      </c>
      <c r="AB481" s="321">
        <f t="shared" si="48"/>
        <v>0</v>
      </c>
      <c r="AC481" s="321">
        <f t="shared" si="48"/>
        <v>0</v>
      </c>
      <c r="AD481" s="321"/>
      <c r="AE481" s="321">
        <f t="shared" si="48"/>
        <v>1145731.0239809314</v>
      </c>
      <c r="AF481" s="321">
        <f t="shared" si="48"/>
        <v>0</v>
      </c>
      <c r="AG481" s="321">
        <f t="shared" si="48"/>
        <v>76517.501918012524</v>
      </c>
      <c r="AH481" s="321">
        <f t="shared" si="48"/>
        <v>0</v>
      </c>
      <c r="AI481" s="321">
        <f t="shared" si="48"/>
        <v>1222248.5258989439</v>
      </c>
      <c r="AJ481" s="321"/>
      <c r="AK481" s="321">
        <f t="shared" si="48"/>
        <v>0</v>
      </c>
      <c r="AL481" s="321">
        <f t="shared" si="48"/>
        <v>0</v>
      </c>
      <c r="AM481" s="321">
        <f t="shared" si="48"/>
        <v>0</v>
      </c>
      <c r="AN481" s="321">
        <f t="shared" si="48"/>
        <v>0</v>
      </c>
      <c r="AO481" s="321">
        <f t="shared" si="48"/>
        <v>0</v>
      </c>
      <c r="AP481" s="321">
        <f t="shared" si="48"/>
        <v>1222248.5258989439</v>
      </c>
    </row>
    <row r="482" spans="1:42" x14ac:dyDescent="0.25">
      <c r="A482" s="311">
        <v>6375207</v>
      </c>
      <c r="D482" s="311">
        <v>6375207</v>
      </c>
      <c r="E482" s="315" t="str">
        <f t="shared" si="43"/>
        <v>Ústav sociální péče pro mládež DOMEČKY</v>
      </c>
      <c r="F482" s="315" t="str">
        <f t="shared" si="44"/>
        <v>Ústav sociální péče pro mládež DOMEČKY</v>
      </c>
      <c r="G482" s="315" t="str">
        <f t="shared" si="45"/>
        <v>§ 44 - Odlehčovací služby</v>
      </c>
      <c r="H482" s="315"/>
      <c r="I482" s="266" t="s">
        <v>1812</v>
      </c>
      <c r="J482" s="319"/>
      <c r="K482" s="266"/>
      <c r="L482" s="320"/>
      <c r="M482" s="321">
        <f t="shared" si="46"/>
        <v>7.6</v>
      </c>
      <c r="N482" s="321">
        <f t="shared" si="49"/>
        <v>0.6</v>
      </c>
      <c r="O482" s="321">
        <f t="shared" si="49"/>
        <v>7</v>
      </c>
      <c r="P482" s="321">
        <f t="shared" si="49"/>
        <v>0</v>
      </c>
      <c r="Q482" s="321">
        <f t="shared" si="49"/>
        <v>0</v>
      </c>
      <c r="R482" s="321">
        <f t="shared" si="49"/>
        <v>4</v>
      </c>
      <c r="S482" s="321">
        <f t="shared" si="49"/>
        <v>0</v>
      </c>
      <c r="T482" s="321">
        <f t="shared" si="49"/>
        <v>0</v>
      </c>
      <c r="U482" s="321">
        <f t="shared" si="49"/>
        <v>0</v>
      </c>
      <c r="V482" s="321"/>
      <c r="W482" s="321">
        <f t="shared" si="48"/>
        <v>7.6</v>
      </c>
      <c r="X482" s="321">
        <f t="shared" si="48"/>
        <v>0.6</v>
      </c>
      <c r="Y482" s="321">
        <f t="shared" si="48"/>
        <v>7</v>
      </c>
      <c r="Z482" s="321">
        <f t="shared" si="48"/>
        <v>0</v>
      </c>
      <c r="AA482" s="321">
        <f t="shared" si="48"/>
        <v>0</v>
      </c>
      <c r="AB482" s="321">
        <f t="shared" si="48"/>
        <v>4</v>
      </c>
      <c r="AC482" s="321">
        <f t="shared" si="48"/>
        <v>0</v>
      </c>
      <c r="AD482" s="321"/>
      <c r="AE482" s="321">
        <f t="shared" si="48"/>
        <v>4484514.1189176477</v>
      </c>
      <c r="AF482" s="321">
        <f t="shared" si="48"/>
        <v>0</v>
      </c>
      <c r="AG482" s="321">
        <f t="shared" si="48"/>
        <v>225828.91318532612</v>
      </c>
      <c r="AH482" s="321">
        <f t="shared" si="48"/>
        <v>123900.67496813175</v>
      </c>
      <c r="AI482" s="321">
        <f t="shared" si="48"/>
        <v>4834243.7070711059</v>
      </c>
      <c r="AJ482" s="321"/>
      <c r="AK482" s="321">
        <f t="shared" si="48"/>
        <v>891662.24892621348</v>
      </c>
      <c r="AL482" s="321">
        <f t="shared" si="48"/>
        <v>0</v>
      </c>
      <c r="AM482" s="321">
        <f t="shared" si="48"/>
        <v>153821.25</v>
      </c>
      <c r="AN482" s="321">
        <f t="shared" si="48"/>
        <v>95581.8</v>
      </c>
      <c r="AO482" s="321">
        <f t="shared" si="48"/>
        <v>1141065.2989262135</v>
      </c>
      <c r="AP482" s="321">
        <f t="shared" si="48"/>
        <v>3693178.4081448922</v>
      </c>
    </row>
    <row r="483" spans="1:42" x14ac:dyDescent="0.25">
      <c r="A483" s="311">
        <v>6428468</v>
      </c>
      <c r="D483" s="311">
        <v>6428468</v>
      </c>
      <c r="E483" s="315" t="str">
        <f t="shared" si="43"/>
        <v>Město Jaroměř Pečovatelská služba</v>
      </c>
      <c r="F483" s="315" t="str">
        <f t="shared" si="44"/>
        <v>Město Jaroměř</v>
      </c>
      <c r="G483" s="315" t="str">
        <f t="shared" si="45"/>
        <v>§ 40 - Pečovatelská služba</v>
      </c>
      <c r="H483" s="315"/>
      <c r="I483" s="266" t="s">
        <v>1812</v>
      </c>
      <c r="J483" s="319"/>
      <c r="K483" s="266"/>
      <c r="L483" s="320"/>
      <c r="M483" s="321">
        <f t="shared" si="46"/>
        <v>11.5</v>
      </c>
      <c r="N483" s="321">
        <f t="shared" si="49"/>
        <v>1.5</v>
      </c>
      <c r="O483" s="321">
        <f t="shared" si="49"/>
        <v>10</v>
      </c>
      <c r="P483" s="321">
        <f t="shared" si="49"/>
        <v>0</v>
      </c>
      <c r="Q483" s="321">
        <f t="shared" si="49"/>
        <v>0</v>
      </c>
      <c r="R483" s="321">
        <f t="shared" si="49"/>
        <v>0</v>
      </c>
      <c r="S483" s="321">
        <f t="shared" si="49"/>
        <v>160</v>
      </c>
      <c r="T483" s="321">
        <f t="shared" si="49"/>
        <v>0</v>
      </c>
      <c r="U483" s="321">
        <f t="shared" si="49"/>
        <v>0</v>
      </c>
      <c r="V483" s="321"/>
      <c r="W483" s="321">
        <f t="shared" si="48"/>
        <v>11.5</v>
      </c>
      <c r="X483" s="321">
        <f t="shared" si="48"/>
        <v>1.5</v>
      </c>
      <c r="Y483" s="321">
        <f t="shared" si="48"/>
        <v>10</v>
      </c>
      <c r="Z483" s="321">
        <f t="shared" si="48"/>
        <v>0</v>
      </c>
      <c r="AA483" s="321">
        <f t="shared" si="48"/>
        <v>0</v>
      </c>
      <c r="AB483" s="321">
        <f t="shared" si="48"/>
        <v>0</v>
      </c>
      <c r="AC483" s="321">
        <f t="shared" si="48"/>
        <v>0</v>
      </c>
      <c r="AD483" s="321"/>
      <c r="AE483" s="321">
        <f t="shared" si="48"/>
        <v>6640038.1666428642</v>
      </c>
      <c r="AF483" s="321">
        <f t="shared" si="48"/>
        <v>0</v>
      </c>
      <c r="AG483" s="321">
        <f t="shared" ref="W483:AP495" si="50">SUMIFS(AG$4:AG$318,$D$4:$D$318,$D483)</f>
        <v>495117.84288370819</v>
      </c>
      <c r="AH483" s="321">
        <f t="shared" si="50"/>
        <v>0</v>
      </c>
      <c r="AI483" s="321">
        <f t="shared" si="50"/>
        <v>7135156.0095265722</v>
      </c>
      <c r="AJ483" s="321"/>
      <c r="AK483" s="321">
        <f t="shared" si="50"/>
        <v>1387552.3529411764</v>
      </c>
      <c r="AL483" s="321">
        <f t="shared" si="50"/>
        <v>0</v>
      </c>
      <c r="AM483" s="321">
        <f t="shared" si="50"/>
        <v>0</v>
      </c>
      <c r="AN483" s="321">
        <f t="shared" si="50"/>
        <v>0</v>
      </c>
      <c r="AO483" s="321">
        <f t="shared" si="50"/>
        <v>1387552.3529411764</v>
      </c>
      <c r="AP483" s="321">
        <f t="shared" si="50"/>
        <v>5747603.6565853953</v>
      </c>
    </row>
    <row r="484" spans="1:42" x14ac:dyDescent="0.25">
      <c r="A484" s="311">
        <v>6447139</v>
      </c>
      <c r="D484" s="311">
        <v>6447139</v>
      </c>
      <c r="E484" s="315" t="str">
        <f t="shared" si="43"/>
        <v>Pracoviště rané péče Diakonie ČCE - středisko Světlo ve Vrchlabí</v>
      </c>
      <c r="F484" s="315" t="str">
        <f t="shared" si="44"/>
        <v>Diakonie ČCE - středisko Světlo ve Vrchlabí</v>
      </c>
      <c r="G484" s="315" t="str">
        <f t="shared" si="45"/>
        <v>§ 54 - Raná péče</v>
      </c>
      <c r="H484" s="315"/>
      <c r="I484" s="266" t="s">
        <v>1812</v>
      </c>
      <c r="J484" s="319"/>
      <c r="K484" s="266"/>
      <c r="L484" s="320"/>
      <c r="M484" s="321">
        <f t="shared" si="46"/>
        <v>2.85</v>
      </c>
      <c r="N484" s="321">
        <f t="shared" si="49"/>
        <v>2.7</v>
      </c>
      <c r="O484" s="321">
        <f t="shared" si="49"/>
        <v>0.15</v>
      </c>
      <c r="P484" s="321">
        <f t="shared" si="49"/>
        <v>0</v>
      </c>
      <c r="Q484" s="321">
        <f t="shared" si="49"/>
        <v>0</v>
      </c>
      <c r="R484" s="321">
        <f t="shared" si="49"/>
        <v>0</v>
      </c>
      <c r="S484" s="321">
        <f t="shared" si="49"/>
        <v>0</v>
      </c>
      <c r="T484" s="321">
        <f t="shared" si="49"/>
        <v>3</v>
      </c>
      <c r="U484" s="321">
        <f t="shared" si="49"/>
        <v>0</v>
      </c>
      <c r="V484" s="321"/>
      <c r="W484" s="321">
        <f t="shared" si="50"/>
        <v>2.85</v>
      </c>
      <c r="X484" s="321">
        <f t="shared" si="50"/>
        <v>2.7</v>
      </c>
      <c r="Y484" s="321">
        <f t="shared" si="50"/>
        <v>0.15</v>
      </c>
      <c r="Z484" s="321">
        <f t="shared" si="50"/>
        <v>0</v>
      </c>
      <c r="AA484" s="321">
        <f t="shared" si="50"/>
        <v>0</v>
      </c>
      <c r="AB484" s="321">
        <f t="shared" si="50"/>
        <v>0</v>
      </c>
      <c r="AC484" s="321">
        <f t="shared" si="50"/>
        <v>3</v>
      </c>
      <c r="AD484" s="321"/>
      <c r="AE484" s="321">
        <f t="shared" si="50"/>
        <v>2315566.5038374742</v>
      </c>
      <c r="AF484" s="321">
        <f t="shared" si="50"/>
        <v>0</v>
      </c>
      <c r="AG484" s="321">
        <f t="shared" si="50"/>
        <v>182338.19472389144</v>
      </c>
      <c r="AH484" s="321">
        <f t="shared" si="50"/>
        <v>0</v>
      </c>
      <c r="AI484" s="321">
        <f t="shared" si="50"/>
        <v>2497904.6985613657</v>
      </c>
      <c r="AJ484" s="321"/>
      <c r="AK484" s="321">
        <f t="shared" si="50"/>
        <v>0</v>
      </c>
      <c r="AL484" s="321">
        <f t="shared" si="50"/>
        <v>0</v>
      </c>
      <c r="AM484" s="321">
        <f t="shared" si="50"/>
        <v>0</v>
      </c>
      <c r="AN484" s="321">
        <f t="shared" si="50"/>
        <v>0</v>
      </c>
      <c r="AO484" s="321">
        <f t="shared" si="50"/>
        <v>0</v>
      </c>
      <c r="AP484" s="321">
        <f t="shared" si="50"/>
        <v>2497904.6985613657</v>
      </c>
    </row>
    <row r="485" spans="1:42" x14ac:dyDescent="0.25">
      <c r="A485" s="311">
        <v>6466112</v>
      </c>
      <c r="D485" s="311">
        <v>6466112</v>
      </c>
      <c r="E485" s="315" t="str">
        <f t="shared" si="43"/>
        <v>Oblastní charita Červený Kostelec</v>
      </c>
      <c r="F485" s="315" t="str">
        <f t="shared" si="44"/>
        <v>Oblastní charita Červený Kostelec</v>
      </c>
      <c r="G485" s="315" t="str">
        <f t="shared" si="45"/>
        <v>§ 37 - Odborné sociální poradenství</v>
      </c>
      <c r="H485" s="315"/>
      <c r="I485" s="266" t="s">
        <v>1812</v>
      </c>
      <c r="J485" s="319"/>
      <c r="K485" s="266"/>
      <c r="L485" s="320"/>
      <c r="M485" s="321">
        <f t="shared" si="46"/>
        <v>0.4</v>
      </c>
      <c r="N485" s="321">
        <f t="shared" si="49"/>
        <v>0.2</v>
      </c>
      <c r="O485" s="321">
        <f t="shared" si="49"/>
        <v>0</v>
      </c>
      <c r="P485" s="321">
        <f t="shared" si="49"/>
        <v>0.2</v>
      </c>
      <c r="Q485" s="321">
        <f t="shared" si="49"/>
        <v>0</v>
      </c>
      <c r="R485" s="321">
        <f t="shared" si="49"/>
        <v>0</v>
      </c>
      <c r="S485" s="321">
        <f t="shared" si="49"/>
        <v>12</v>
      </c>
      <c r="T485" s="321">
        <f t="shared" si="49"/>
        <v>0</v>
      </c>
      <c r="U485" s="321">
        <f t="shared" si="49"/>
        <v>0</v>
      </c>
      <c r="V485" s="321"/>
      <c r="W485" s="321">
        <f t="shared" si="50"/>
        <v>0.4</v>
      </c>
      <c r="X485" s="321">
        <f t="shared" si="50"/>
        <v>0.2</v>
      </c>
      <c r="Y485" s="321">
        <f t="shared" si="50"/>
        <v>0</v>
      </c>
      <c r="Z485" s="321">
        <f t="shared" si="50"/>
        <v>0.2</v>
      </c>
      <c r="AA485" s="321">
        <f t="shared" si="50"/>
        <v>0</v>
      </c>
      <c r="AB485" s="321">
        <f t="shared" si="50"/>
        <v>0</v>
      </c>
      <c r="AC485" s="321">
        <f t="shared" si="50"/>
        <v>0</v>
      </c>
      <c r="AD485" s="321"/>
      <c r="AE485" s="321">
        <f t="shared" si="50"/>
        <v>278156.78585694917</v>
      </c>
      <c r="AF485" s="321">
        <f t="shared" si="50"/>
        <v>0</v>
      </c>
      <c r="AG485" s="321">
        <f t="shared" si="50"/>
        <v>18952.618454312349</v>
      </c>
      <c r="AH485" s="321">
        <f t="shared" si="50"/>
        <v>0</v>
      </c>
      <c r="AI485" s="321">
        <f t="shared" si="50"/>
        <v>297109.40431126149</v>
      </c>
      <c r="AJ485" s="321"/>
      <c r="AK485" s="321">
        <f t="shared" si="50"/>
        <v>0</v>
      </c>
      <c r="AL485" s="321">
        <f t="shared" si="50"/>
        <v>0</v>
      </c>
      <c r="AM485" s="321">
        <f t="shared" si="50"/>
        <v>0</v>
      </c>
      <c r="AN485" s="321">
        <f t="shared" si="50"/>
        <v>0</v>
      </c>
      <c r="AO485" s="321">
        <f t="shared" si="50"/>
        <v>0</v>
      </c>
      <c r="AP485" s="321">
        <f t="shared" si="50"/>
        <v>297109.40431126149</v>
      </c>
    </row>
    <row r="486" spans="1:42" x14ac:dyDescent="0.25">
      <c r="A486" s="311">
        <v>6473703</v>
      </c>
      <c r="D486" s="311">
        <v>6473703</v>
      </c>
      <c r="E486" s="315" t="str">
        <f t="shared" si="43"/>
        <v>Pferdí trénink Náchod</v>
      </c>
      <c r="F486" s="315" t="str">
        <f t="shared" si="44"/>
        <v>PFERDA z.ú.</v>
      </c>
      <c r="G486" s="315" t="str">
        <f t="shared" si="45"/>
        <v>§ 70 - Sociální rehabilitace</v>
      </c>
      <c r="H486" s="315"/>
      <c r="I486" s="266" t="s">
        <v>1812</v>
      </c>
      <c r="J486" s="319"/>
      <c r="K486" s="266"/>
      <c r="L486" s="320"/>
      <c r="M486" s="321">
        <f t="shared" si="46"/>
        <v>3</v>
      </c>
      <c r="N486" s="321">
        <f t="shared" si="49"/>
        <v>0.6</v>
      </c>
      <c r="O486" s="321">
        <f t="shared" si="49"/>
        <v>2.4</v>
      </c>
      <c r="P486" s="321">
        <f t="shared" si="49"/>
        <v>0</v>
      </c>
      <c r="Q486" s="321">
        <f t="shared" si="49"/>
        <v>0</v>
      </c>
      <c r="R486" s="321">
        <f t="shared" si="49"/>
        <v>0</v>
      </c>
      <c r="S486" s="321">
        <f t="shared" si="49"/>
        <v>20</v>
      </c>
      <c r="T486" s="321">
        <f t="shared" si="49"/>
        <v>0</v>
      </c>
      <c r="U486" s="321">
        <f t="shared" si="49"/>
        <v>0</v>
      </c>
      <c r="V486" s="321"/>
      <c r="W486" s="321">
        <f t="shared" si="50"/>
        <v>3</v>
      </c>
      <c r="X486" s="321">
        <f t="shared" si="50"/>
        <v>0.6</v>
      </c>
      <c r="Y486" s="321">
        <f t="shared" si="50"/>
        <v>2.4</v>
      </c>
      <c r="Z486" s="321">
        <f t="shared" si="50"/>
        <v>0</v>
      </c>
      <c r="AA486" s="321">
        <f t="shared" si="50"/>
        <v>0</v>
      </c>
      <c r="AB486" s="321">
        <f t="shared" si="50"/>
        <v>0</v>
      </c>
      <c r="AC486" s="321">
        <f t="shared" si="50"/>
        <v>0</v>
      </c>
      <c r="AD486" s="321"/>
      <c r="AE486" s="321">
        <f t="shared" si="50"/>
        <v>2106280.8842796283</v>
      </c>
      <c r="AF486" s="321">
        <f t="shared" si="50"/>
        <v>0</v>
      </c>
      <c r="AG486" s="321">
        <f t="shared" si="50"/>
        <v>131432.50754501345</v>
      </c>
      <c r="AH486" s="321">
        <f t="shared" si="50"/>
        <v>0</v>
      </c>
      <c r="AI486" s="321">
        <f t="shared" si="50"/>
        <v>2237713.3918246417</v>
      </c>
      <c r="AJ486" s="321"/>
      <c r="AK486" s="321">
        <f t="shared" si="50"/>
        <v>0</v>
      </c>
      <c r="AL486" s="321">
        <f t="shared" si="50"/>
        <v>0</v>
      </c>
      <c r="AM486" s="321">
        <f t="shared" si="50"/>
        <v>0</v>
      </c>
      <c r="AN486" s="321">
        <f t="shared" si="50"/>
        <v>0</v>
      </c>
      <c r="AO486" s="321">
        <f t="shared" si="50"/>
        <v>0</v>
      </c>
      <c r="AP486" s="321">
        <f t="shared" si="50"/>
        <v>2237713.3918246417</v>
      </c>
    </row>
    <row r="487" spans="1:42" x14ac:dyDescent="0.25">
      <c r="A487" s="311">
        <v>6514817</v>
      </c>
      <c r="D487" s="311">
        <v>6514817</v>
      </c>
      <c r="E487" s="315" t="str">
        <f t="shared" si="43"/>
        <v>Chráněné bydlení</v>
      </c>
      <c r="F487" s="315" t="str">
        <f t="shared" si="44"/>
        <v>Domov Dědina</v>
      </c>
      <c r="G487" s="315" t="str">
        <f t="shared" si="45"/>
        <v>§ 51 - Chráněné bydlení</v>
      </c>
      <c r="H487" s="315"/>
      <c r="I487" s="266" t="s">
        <v>1812</v>
      </c>
      <c r="J487" s="319"/>
      <c r="K487" s="266"/>
      <c r="L487" s="320"/>
      <c r="M487" s="321">
        <f t="shared" si="46"/>
        <v>11.53</v>
      </c>
      <c r="N487" s="321">
        <f t="shared" si="49"/>
        <v>0.89999999999999991</v>
      </c>
      <c r="O487" s="321">
        <f t="shared" si="49"/>
        <v>10.629999999999999</v>
      </c>
      <c r="P487" s="321">
        <f t="shared" si="49"/>
        <v>0</v>
      </c>
      <c r="Q487" s="321">
        <f t="shared" si="49"/>
        <v>0</v>
      </c>
      <c r="R487" s="321">
        <f t="shared" si="49"/>
        <v>23</v>
      </c>
      <c r="S487" s="321">
        <f t="shared" si="49"/>
        <v>0</v>
      </c>
      <c r="T487" s="321">
        <f t="shared" si="49"/>
        <v>0</v>
      </c>
      <c r="U487" s="321">
        <f t="shared" si="49"/>
        <v>0</v>
      </c>
      <c r="V487" s="321"/>
      <c r="W487" s="321">
        <f t="shared" si="50"/>
        <v>11.53</v>
      </c>
      <c r="X487" s="321">
        <f t="shared" si="50"/>
        <v>0.89999999999999991</v>
      </c>
      <c r="Y487" s="321">
        <f t="shared" si="50"/>
        <v>10.629999999999999</v>
      </c>
      <c r="Z487" s="321">
        <f t="shared" si="50"/>
        <v>0</v>
      </c>
      <c r="AA487" s="321">
        <f t="shared" si="50"/>
        <v>0</v>
      </c>
      <c r="AB487" s="321">
        <f t="shared" si="50"/>
        <v>23</v>
      </c>
      <c r="AC487" s="321">
        <f t="shared" si="50"/>
        <v>0</v>
      </c>
      <c r="AD487" s="321"/>
      <c r="AE487" s="321">
        <f t="shared" si="50"/>
        <v>7761511.801311966</v>
      </c>
      <c r="AF487" s="321">
        <f t="shared" si="50"/>
        <v>0</v>
      </c>
      <c r="AG487" s="321">
        <f t="shared" si="50"/>
        <v>1303863.683862472</v>
      </c>
      <c r="AH487" s="321">
        <f t="shared" si="50"/>
        <v>429424.71644346113</v>
      </c>
      <c r="AI487" s="321">
        <f t="shared" si="50"/>
        <v>9494800.2016179003</v>
      </c>
      <c r="AJ487" s="321"/>
      <c r="AK487" s="321">
        <f t="shared" si="50"/>
        <v>871345.29172680411</v>
      </c>
      <c r="AL487" s="321">
        <f t="shared" si="50"/>
        <v>0</v>
      </c>
      <c r="AM487" s="321">
        <f t="shared" si="50"/>
        <v>995492.21000000008</v>
      </c>
      <c r="AN487" s="321">
        <f t="shared" si="50"/>
        <v>432548.0625</v>
      </c>
      <c r="AO487" s="321">
        <f t="shared" si="50"/>
        <v>2299385.5642268043</v>
      </c>
      <c r="AP487" s="321">
        <f t="shared" si="50"/>
        <v>7195414.637391096</v>
      </c>
    </row>
    <row r="488" spans="1:42" x14ac:dyDescent="0.25">
      <c r="A488" s="311">
        <v>6565086</v>
      </c>
      <c r="D488" s="311">
        <v>6565086</v>
      </c>
      <c r="E488" s="315" t="str">
        <f t="shared" si="43"/>
        <v>Centrum pro zdravotně postižené Královéhradeckého kraje</v>
      </c>
      <c r="F488" s="315" t="str">
        <f t="shared" si="44"/>
        <v>Centrum pro integraci osob se zdravotním postižením Královéhradeckého kraje, o. p. s.</v>
      </c>
      <c r="G488" s="315" t="str">
        <f t="shared" si="45"/>
        <v>§ 37 - Odborné sociální poradenství</v>
      </c>
      <c r="H488" s="315"/>
      <c r="I488" s="266" t="s">
        <v>1812</v>
      </c>
      <c r="J488" s="319"/>
      <c r="K488" s="266"/>
      <c r="L488" s="320"/>
      <c r="M488" s="321">
        <f t="shared" si="46"/>
        <v>6.0700000000000012</v>
      </c>
      <c r="N488" s="321">
        <f t="shared" si="49"/>
        <v>5.7900000000000009</v>
      </c>
      <c r="O488" s="321">
        <f t="shared" si="49"/>
        <v>0.28000000000000003</v>
      </c>
      <c r="P488" s="321">
        <f t="shared" si="49"/>
        <v>0</v>
      </c>
      <c r="Q488" s="321">
        <f t="shared" si="49"/>
        <v>0</v>
      </c>
      <c r="R488" s="321">
        <f t="shared" si="49"/>
        <v>0</v>
      </c>
      <c r="S488" s="321">
        <f t="shared" si="49"/>
        <v>125</v>
      </c>
      <c r="T488" s="321">
        <f t="shared" si="49"/>
        <v>0</v>
      </c>
      <c r="U488" s="321">
        <f t="shared" si="49"/>
        <v>0</v>
      </c>
      <c r="V488" s="321"/>
      <c r="W488" s="321">
        <f t="shared" si="50"/>
        <v>6.0700000000000012</v>
      </c>
      <c r="X488" s="321">
        <f t="shared" si="50"/>
        <v>5.7900000000000009</v>
      </c>
      <c r="Y488" s="321">
        <f t="shared" si="50"/>
        <v>0.28000000000000003</v>
      </c>
      <c r="Z488" s="321">
        <f t="shared" si="50"/>
        <v>0</v>
      </c>
      <c r="AA488" s="321">
        <f t="shared" si="50"/>
        <v>0</v>
      </c>
      <c r="AB488" s="321">
        <f t="shared" si="50"/>
        <v>0</v>
      </c>
      <c r="AC488" s="321">
        <f t="shared" si="50"/>
        <v>0</v>
      </c>
      <c r="AD488" s="321"/>
      <c r="AE488" s="321">
        <f t="shared" si="50"/>
        <v>4221029.2253792034</v>
      </c>
      <c r="AF488" s="321">
        <f t="shared" si="50"/>
        <v>0</v>
      </c>
      <c r="AG488" s="321">
        <f t="shared" si="50"/>
        <v>287605.98504418985</v>
      </c>
      <c r="AH488" s="321">
        <f t="shared" si="50"/>
        <v>0</v>
      </c>
      <c r="AI488" s="321">
        <f t="shared" si="50"/>
        <v>4508635.2104233941</v>
      </c>
      <c r="AJ488" s="321"/>
      <c r="AK488" s="321">
        <f t="shared" si="50"/>
        <v>0</v>
      </c>
      <c r="AL488" s="321">
        <f t="shared" si="50"/>
        <v>0</v>
      </c>
      <c r="AM488" s="321">
        <f t="shared" si="50"/>
        <v>0</v>
      </c>
      <c r="AN488" s="321">
        <f t="shared" si="50"/>
        <v>0</v>
      </c>
      <c r="AO488" s="321">
        <f t="shared" si="50"/>
        <v>0</v>
      </c>
      <c r="AP488" s="321">
        <f t="shared" si="50"/>
        <v>4508635.2104233941</v>
      </c>
    </row>
    <row r="489" spans="1:42" x14ac:dyDescent="0.25">
      <c r="A489" s="311">
        <v>6565956</v>
      </c>
      <c r="D489" s="311">
        <v>6565956</v>
      </c>
      <c r="E489" s="315" t="str">
        <f t="shared" si="43"/>
        <v>Domov pro seniory Vrchlabí</v>
      </c>
      <c r="F489" s="315" t="str">
        <f t="shared" si="44"/>
        <v>Domov pro seniory Vrchlabí</v>
      </c>
      <c r="G489" s="315" t="str">
        <f t="shared" si="45"/>
        <v>§ 49 - Domovy pro seniory</v>
      </c>
      <c r="H489" s="315"/>
      <c r="I489" s="266" t="s">
        <v>1812</v>
      </c>
      <c r="J489" s="319"/>
      <c r="K489" s="266"/>
      <c r="L489" s="320"/>
      <c r="M489" s="321">
        <f t="shared" si="46"/>
        <v>21.68</v>
      </c>
      <c r="N489" s="321">
        <f t="shared" si="49"/>
        <v>1.22</v>
      </c>
      <c r="O489" s="321">
        <f t="shared" si="49"/>
        <v>11.2</v>
      </c>
      <c r="P489" s="321">
        <f t="shared" si="49"/>
        <v>9.26</v>
      </c>
      <c r="Q489" s="321">
        <f t="shared" si="49"/>
        <v>0</v>
      </c>
      <c r="R489" s="321">
        <f t="shared" si="49"/>
        <v>55</v>
      </c>
      <c r="S489" s="321">
        <f t="shared" si="49"/>
        <v>0</v>
      </c>
      <c r="T489" s="321">
        <f t="shared" si="49"/>
        <v>0</v>
      </c>
      <c r="U489" s="321">
        <f t="shared" si="49"/>
        <v>0</v>
      </c>
      <c r="V489" s="321"/>
      <c r="W489" s="321">
        <f t="shared" si="50"/>
        <v>21.68</v>
      </c>
      <c r="X489" s="321">
        <f t="shared" si="50"/>
        <v>1.22</v>
      </c>
      <c r="Y489" s="321">
        <f t="shared" si="50"/>
        <v>11.2</v>
      </c>
      <c r="Z489" s="321">
        <f t="shared" si="50"/>
        <v>9.26</v>
      </c>
      <c r="AA489" s="321">
        <f t="shared" si="50"/>
        <v>0</v>
      </c>
      <c r="AB489" s="321">
        <f t="shared" si="50"/>
        <v>55</v>
      </c>
      <c r="AC489" s="321">
        <f t="shared" si="50"/>
        <v>0</v>
      </c>
      <c r="AD489" s="321"/>
      <c r="AE489" s="321">
        <f t="shared" si="50"/>
        <v>8464743.7854967769</v>
      </c>
      <c r="AF489" s="321">
        <f t="shared" si="50"/>
        <v>7853318.8393139448</v>
      </c>
      <c r="AG489" s="321">
        <f t="shared" si="50"/>
        <v>5572209.4664133042</v>
      </c>
      <c r="AH489" s="321">
        <f t="shared" si="50"/>
        <v>3906107.5465446231</v>
      </c>
      <c r="AI489" s="321">
        <f t="shared" si="50"/>
        <v>25796379.637768649</v>
      </c>
      <c r="AJ489" s="321"/>
      <c r="AK489" s="321">
        <f t="shared" si="50"/>
        <v>6174876.6835724888</v>
      </c>
      <c r="AL489" s="321">
        <f t="shared" si="50"/>
        <v>1608467.7818035427</v>
      </c>
      <c r="AM489" s="321">
        <f t="shared" si="50"/>
        <v>4230807.6044129236</v>
      </c>
      <c r="AN489" s="321">
        <f t="shared" si="50"/>
        <v>2798238.4627757352</v>
      </c>
      <c r="AO489" s="321">
        <f t="shared" si="50"/>
        <v>14812390.53256469</v>
      </c>
      <c r="AP489" s="321">
        <f t="shared" si="50"/>
        <v>10983989.105203958</v>
      </c>
    </row>
    <row r="490" spans="1:42" x14ac:dyDescent="0.25">
      <c r="A490" s="311">
        <v>6581899</v>
      </c>
      <c r="D490" s="311">
        <v>6581899</v>
      </c>
      <c r="E490" s="315" t="str">
        <f t="shared" si="43"/>
        <v>Domov důchodců Borohrádek</v>
      </c>
      <c r="F490" s="315" t="str">
        <f t="shared" si="44"/>
        <v>Domov důchodců Borohrádek</v>
      </c>
      <c r="G490" s="315" t="str">
        <f t="shared" si="45"/>
        <v>§ 49 - Domovy pro seniory</v>
      </c>
      <c r="H490" s="315"/>
      <c r="I490" s="266" t="s">
        <v>1812</v>
      </c>
      <c r="J490" s="319"/>
      <c r="K490" s="266"/>
      <c r="L490" s="320"/>
      <c r="M490" s="321">
        <f t="shared" si="46"/>
        <v>47</v>
      </c>
      <c r="N490" s="321">
        <f t="shared" si="49"/>
        <v>1</v>
      </c>
      <c r="O490" s="321">
        <f t="shared" si="49"/>
        <v>30</v>
      </c>
      <c r="P490" s="321">
        <f t="shared" si="49"/>
        <v>16</v>
      </c>
      <c r="Q490" s="321">
        <f t="shared" si="49"/>
        <v>0</v>
      </c>
      <c r="R490" s="321">
        <f t="shared" si="49"/>
        <v>115</v>
      </c>
      <c r="S490" s="321">
        <f t="shared" si="49"/>
        <v>0</v>
      </c>
      <c r="T490" s="321">
        <f t="shared" si="49"/>
        <v>0</v>
      </c>
      <c r="U490" s="321">
        <f t="shared" si="49"/>
        <v>0</v>
      </c>
      <c r="V490" s="321"/>
      <c r="W490" s="321">
        <f t="shared" si="50"/>
        <v>47</v>
      </c>
      <c r="X490" s="321">
        <f t="shared" si="50"/>
        <v>1</v>
      </c>
      <c r="Y490" s="321">
        <f t="shared" si="50"/>
        <v>30</v>
      </c>
      <c r="Z490" s="321">
        <f t="shared" si="50"/>
        <v>16</v>
      </c>
      <c r="AA490" s="321">
        <f t="shared" si="50"/>
        <v>0</v>
      </c>
      <c r="AB490" s="321">
        <f t="shared" si="50"/>
        <v>115</v>
      </c>
      <c r="AC490" s="321">
        <f t="shared" si="50"/>
        <v>0</v>
      </c>
      <c r="AD490" s="321"/>
      <c r="AE490" s="321">
        <f t="shared" si="50"/>
        <v>21127782.395362325</v>
      </c>
      <c r="AF490" s="321">
        <f t="shared" si="50"/>
        <v>13569449.398382626</v>
      </c>
      <c r="AG490" s="321">
        <f t="shared" si="50"/>
        <v>11650983.429773273</v>
      </c>
      <c r="AH490" s="321">
        <f t="shared" si="50"/>
        <v>8167315.7791387578</v>
      </c>
      <c r="AI490" s="321">
        <f t="shared" si="50"/>
        <v>54515531.002656981</v>
      </c>
      <c r="AJ490" s="321"/>
      <c r="AK490" s="321">
        <f t="shared" si="50"/>
        <v>12911105.792924294</v>
      </c>
      <c r="AL490" s="321">
        <f t="shared" si="50"/>
        <v>3363159.9074074072</v>
      </c>
      <c r="AM490" s="321">
        <f t="shared" si="50"/>
        <v>8846234.0819542948</v>
      </c>
      <c r="AN490" s="321">
        <f t="shared" si="50"/>
        <v>5850862.2403492648</v>
      </c>
      <c r="AO490" s="321">
        <f t="shared" si="50"/>
        <v>30971362.022635259</v>
      </c>
      <c r="AP490" s="321">
        <f t="shared" si="50"/>
        <v>23544168.980021723</v>
      </c>
    </row>
    <row r="491" spans="1:42" x14ac:dyDescent="0.25">
      <c r="A491" s="311">
        <v>6585534</v>
      </c>
      <c r="D491" s="311">
        <v>6585534</v>
      </c>
      <c r="E491" s="315" t="str">
        <f t="shared" si="43"/>
        <v>Intervenční centrum Hradec Králové</v>
      </c>
      <c r="F491" s="315" t="str">
        <f t="shared" si="44"/>
        <v>Oblastní charita Hradec Králové</v>
      </c>
      <c r="G491" s="315" t="str">
        <f t="shared" si="45"/>
        <v>§ 60 a) - Intervenční centra</v>
      </c>
      <c r="H491" s="315"/>
      <c r="I491" s="266" t="s">
        <v>1812</v>
      </c>
      <c r="J491" s="319"/>
      <c r="K491" s="266"/>
      <c r="L491" s="320"/>
      <c r="M491" s="321">
        <f t="shared" si="46"/>
        <v>4</v>
      </c>
      <c r="N491" s="321">
        <f t="shared" si="49"/>
        <v>4</v>
      </c>
      <c r="O491" s="321">
        <f t="shared" si="49"/>
        <v>0</v>
      </c>
      <c r="P491" s="321">
        <f t="shared" si="49"/>
        <v>0</v>
      </c>
      <c r="Q491" s="321">
        <f t="shared" si="49"/>
        <v>0</v>
      </c>
      <c r="R491" s="321">
        <f t="shared" si="49"/>
        <v>0</v>
      </c>
      <c r="S491" s="321">
        <f t="shared" si="49"/>
        <v>16</v>
      </c>
      <c r="T491" s="321">
        <f t="shared" si="49"/>
        <v>0</v>
      </c>
      <c r="U491" s="321">
        <f t="shared" si="49"/>
        <v>0</v>
      </c>
      <c r="V491" s="321"/>
      <c r="W491" s="321">
        <f t="shared" si="50"/>
        <v>4</v>
      </c>
      <c r="X491" s="321">
        <f t="shared" si="50"/>
        <v>4</v>
      </c>
      <c r="Y491" s="321">
        <f t="shared" si="50"/>
        <v>0</v>
      </c>
      <c r="Z491" s="321">
        <f t="shared" si="50"/>
        <v>0</v>
      </c>
      <c r="AA491" s="321">
        <f t="shared" si="50"/>
        <v>0</v>
      </c>
      <c r="AB491" s="321">
        <f t="shared" si="50"/>
        <v>0</v>
      </c>
      <c r="AC491" s="321">
        <f t="shared" si="50"/>
        <v>0</v>
      </c>
      <c r="AD491" s="321"/>
      <c r="AE491" s="321">
        <f t="shared" si="50"/>
        <v>3245145.7374266</v>
      </c>
      <c r="AF491" s="321">
        <f t="shared" si="50"/>
        <v>0</v>
      </c>
      <c r="AG491" s="321">
        <f t="shared" si="50"/>
        <v>273706.2297728291</v>
      </c>
      <c r="AH491" s="321">
        <f t="shared" si="50"/>
        <v>0</v>
      </c>
      <c r="AI491" s="321">
        <f t="shared" si="50"/>
        <v>3518851.9671994289</v>
      </c>
      <c r="AJ491" s="321"/>
      <c r="AK491" s="321">
        <f t="shared" si="50"/>
        <v>0</v>
      </c>
      <c r="AL491" s="321">
        <f t="shared" si="50"/>
        <v>0</v>
      </c>
      <c r="AM491" s="321">
        <f t="shared" si="50"/>
        <v>0</v>
      </c>
      <c r="AN491" s="321">
        <f t="shared" si="50"/>
        <v>0</v>
      </c>
      <c r="AO491" s="321">
        <f t="shared" si="50"/>
        <v>0</v>
      </c>
      <c r="AP491" s="321">
        <f t="shared" si="50"/>
        <v>3518851.9671994289</v>
      </c>
    </row>
    <row r="492" spans="1:42" x14ac:dyDescent="0.25">
      <c r="A492" s="311">
        <v>6607461</v>
      </c>
      <c r="D492" s="311">
        <v>6607461</v>
      </c>
      <c r="E492" s="315" t="str">
        <f t="shared" si="43"/>
        <v>Nízkoprahový klub Nová Paka</v>
      </c>
      <c r="F492" s="315" t="str">
        <f t="shared" si="44"/>
        <v>Oblastní charita Jičín</v>
      </c>
      <c r="G492" s="315" t="str">
        <f t="shared" si="45"/>
        <v>§ 62 - Nízkoprahová zařízení pro děti a mládež</v>
      </c>
      <c r="H492" s="315"/>
      <c r="I492" s="266" t="s">
        <v>1812</v>
      </c>
      <c r="J492" s="319"/>
      <c r="K492" s="266"/>
      <c r="L492" s="320"/>
      <c r="M492" s="321">
        <f t="shared" si="46"/>
        <v>2</v>
      </c>
      <c r="N492" s="321">
        <f t="shared" ref="N492:AC507" si="51">SUMIFS(N$4:N$318,$D$4:$D$318,$D492)</f>
        <v>2</v>
      </c>
      <c r="O492" s="321">
        <f t="shared" si="51"/>
        <v>0</v>
      </c>
      <c r="P492" s="321">
        <f t="shared" si="51"/>
        <v>0</v>
      </c>
      <c r="Q492" s="321">
        <f t="shared" si="51"/>
        <v>0</v>
      </c>
      <c r="R492" s="321">
        <f t="shared" si="51"/>
        <v>0</v>
      </c>
      <c r="S492" s="321">
        <f t="shared" si="51"/>
        <v>0</v>
      </c>
      <c r="T492" s="321">
        <f t="shared" si="51"/>
        <v>20</v>
      </c>
      <c r="U492" s="321">
        <f t="shared" si="51"/>
        <v>0</v>
      </c>
      <c r="V492" s="321"/>
      <c r="W492" s="321">
        <f t="shared" si="51"/>
        <v>2</v>
      </c>
      <c r="X492" s="321">
        <f t="shared" si="51"/>
        <v>2</v>
      </c>
      <c r="Y492" s="321">
        <f t="shared" si="51"/>
        <v>0</v>
      </c>
      <c r="Z492" s="321">
        <f t="shared" si="51"/>
        <v>0</v>
      </c>
      <c r="AA492" s="321">
        <f t="shared" si="51"/>
        <v>0</v>
      </c>
      <c r="AB492" s="321">
        <f t="shared" si="51"/>
        <v>0</v>
      </c>
      <c r="AC492" s="321">
        <f t="shared" si="51"/>
        <v>20</v>
      </c>
      <c r="AD492" s="321"/>
      <c r="AE492" s="321">
        <f t="shared" si="50"/>
        <v>1201622.7082953721</v>
      </c>
      <c r="AF492" s="321">
        <f t="shared" si="50"/>
        <v>0</v>
      </c>
      <c r="AG492" s="321">
        <f t="shared" si="50"/>
        <v>113235.14585763802</v>
      </c>
      <c r="AH492" s="321">
        <f t="shared" si="50"/>
        <v>0</v>
      </c>
      <c r="AI492" s="321">
        <f t="shared" si="50"/>
        <v>1314857.8541530101</v>
      </c>
      <c r="AJ492" s="321"/>
      <c r="AK492" s="321">
        <f t="shared" si="50"/>
        <v>0</v>
      </c>
      <c r="AL492" s="321">
        <f t="shared" si="50"/>
        <v>0</v>
      </c>
      <c r="AM492" s="321">
        <f t="shared" si="50"/>
        <v>0</v>
      </c>
      <c r="AN492" s="321">
        <f t="shared" si="50"/>
        <v>0</v>
      </c>
      <c r="AO492" s="321">
        <f t="shared" si="50"/>
        <v>0</v>
      </c>
      <c r="AP492" s="321">
        <f t="shared" si="50"/>
        <v>1314857.8541530101</v>
      </c>
    </row>
    <row r="493" spans="1:42" x14ac:dyDescent="0.25">
      <c r="A493" s="311">
        <v>6627771</v>
      </c>
      <c r="D493" s="311">
        <v>6627771</v>
      </c>
      <c r="E493" s="315" t="str">
        <f t="shared" si="43"/>
        <v>Domov sv. Josefa v Žirči u Dvora Králové n. Labem, středisko OCHČK</v>
      </c>
      <c r="F493" s="315" t="str">
        <f t="shared" si="44"/>
        <v>Oblastní charita Červený Kostelec</v>
      </c>
      <c r="G493" s="315" t="str">
        <f t="shared" si="45"/>
        <v>§ 51 - Chráněné bydlení</v>
      </c>
      <c r="H493" s="315"/>
      <c r="I493" s="266" t="s">
        <v>1812</v>
      </c>
      <c r="J493" s="319"/>
      <c r="K493" s="266"/>
      <c r="L493" s="320"/>
      <c r="M493" s="321">
        <f t="shared" si="46"/>
        <v>0.3</v>
      </c>
      <c r="N493" s="321">
        <f t="shared" si="51"/>
        <v>0.1</v>
      </c>
      <c r="O493" s="321">
        <f t="shared" si="51"/>
        <v>0.2</v>
      </c>
      <c r="P493" s="321">
        <f t="shared" si="51"/>
        <v>0</v>
      </c>
      <c r="Q493" s="321">
        <f t="shared" si="51"/>
        <v>0</v>
      </c>
      <c r="R493" s="321">
        <f t="shared" si="51"/>
        <v>2</v>
      </c>
      <c r="S493" s="321">
        <f t="shared" si="51"/>
        <v>0</v>
      </c>
      <c r="T493" s="321">
        <f t="shared" si="51"/>
        <v>0</v>
      </c>
      <c r="U493" s="321">
        <f t="shared" si="51"/>
        <v>0</v>
      </c>
      <c r="V493" s="321"/>
      <c r="W493" s="321">
        <f t="shared" si="50"/>
        <v>0.3</v>
      </c>
      <c r="X493" s="321">
        <f t="shared" si="50"/>
        <v>0.1</v>
      </c>
      <c r="Y493" s="321">
        <f t="shared" si="50"/>
        <v>0.2</v>
      </c>
      <c r="Z493" s="321">
        <f t="shared" si="50"/>
        <v>0</v>
      </c>
      <c r="AA493" s="321">
        <f t="shared" si="50"/>
        <v>0</v>
      </c>
      <c r="AB493" s="321">
        <f t="shared" si="50"/>
        <v>2</v>
      </c>
      <c r="AC493" s="321">
        <f t="shared" si="50"/>
        <v>0</v>
      </c>
      <c r="AD493" s="321"/>
      <c r="AE493" s="321">
        <f t="shared" si="50"/>
        <v>201947.401595281</v>
      </c>
      <c r="AF493" s="321">
        <f t="shared" si="50"/>
        <v>0</v>
      </c>
      <c r="AG493" s="321">
        <f t="shared" si="50"/>
        <v>113379.45077064974</v>
      </c>
      <c r="AH493" s="321">
        <f t="shared" si="50"/>
        <v>37341.279690735748</v>
      </c>
      <c r="AI493" s="321">
        <f t="shared" si="50"/>
        <v>352668.13205666648</v>
      </c>
      <c r="AJ493" s="321"/>
      <c r="AK493" s="321">
        <f t="shared" si="50"/>
        <v>16394.078865979383</v>
      </c>
      <c r="AL493" s="321">
        <f t="shared" si="50"/>
        <v>0</v>
      </c>
      <c r="AM493" s="321">
        <f t="shared" si="50"/>
        <v>86564.540000000008</v>
      </c>
      <c r="AN493" s="321">
        <f t="shared" si="50"/>
        <v>37612.875</v>
      </c>
      <c r="AO493" s="321">
        <f t="shared" si="50"/>
        <v>140571.4938659794</v>
      </c>
      <c r="AP493" s="321">
        <f t="shared" si="50"/>
        <v>212096.63819068708</v>
      </c>
    </row>
    <row r="494" spans="1:42" x14ac:dyDescent="0.25">
      <c r="A494" s="311">
        <v>6630553</v>
      </c>
      <c r="D494" s="311">
        <v>6630553</v>
      </c>
      <c r="E494" s="315" t="str">
        <f t="shared" si="43"/>
        <v>Centrum pro zdravotně postižené Královéhradeckého kraje</v>
      </c>
      <c r="F494" s="315" t="str">
        <f t="shared" si="44"/>
        <v>Centrum pro integraci osob se zdravotním postižením Královéhradeckého kraje, o. p. s.</v>
      </c>
      <c r="G494" s="315" t="str">
        <f t="shared" si="45"/>
        <v>§ 66 - Sociálně aktivizační služby pro seniory a osoby se zdravotním postižením</v>
      </c>
      <c r="H494" s="315"/>
      <c r="I494" s="266" t="s">
        <v>1812</v>
      </c>
      <c r="J494" s="319"/>
      <c r="K494" s="266"/>
      <c r="L494" s="320"/>
      <c r="M494" s="321">
        <f t="shared" si="46"/>
        <v>4</v>
      </c>
      <c r="N494" s="321">
        <f t="shared" si="51"/>
        <v>3.8</v>
      </c>
      <c r="O494" s="321">
        <f t="shared" si="51"/>
        <v>0</v>
      </c>
      <c r="P494" s="321">
        <f t="shared" si="51"/>
        <v>0</v>
      </c>
      <c r="Q494" s="321">
        <f t="shared" si="51"/>
        <v>0.2</v>
      </c>
      <c r="R494" s="321">
        <f t="shared" si="51"/>
        <v>0</v>
      </c>
      <c r="S494" s="321">
        <f t="shared" si="51"/>
        <v>30</v>
      </c>
      <c r="T494" s="321">
        <f t="shared" si="51"/>
        <v>0</v>
      </c>
      <c r="U494" s="321">
        <f t="shared" si="51"/>
        <v>0</v>
      </c>
      <c r="V494" s="321"/>
      <c r="W494" s="321">
        <f t="shared" si="50"/>
        <v>4</v>
      </c>
      <c r="X494" s="321">
        <f t="shared" si="50"/>
        <v>3.8</v>
      </c>
      <c r="Y494" s="321">
        <f t="shared" si="50"/>
        <v>0</v>
      </c>
      <c r="Z494" s="321">
        <f t="shared" si="50"/>
        <v>0</v>
      </c>
      <c r="AA494" s="321">
        <f t="shared" si="50"/>
        <v>0.2</v>
      </c>
      <c r="AB494" s="321">
        <f t="shared" si="50"/>
        <v>0</v>
      </c>
      <c r="AC494" s="321">
        <f t="shared" si="50"/>
        <v>0</v>
      </c>
      <c r="AD494" s="321"/>
      <c r="AE494" s="321">
        <f t="shared" si="50"/>
        <v>2838648.9399132966</v>
      </c>
      <c r="AF494" s="321">
        <f t="shared" si="50"/>
        <v>0</v>
      </c>
      <c r="AG494" s="321">
        <f t="shared" si="50"/>
        <v>159377.06226839271</v>
      </c>
      <c r="AH494" s="321">
        <f t="shared" si="50"/>
        <v>0</v>
      </c>
      <c r="AI494" s="321">
        <f t="shared" si="50"/>
        <v>2998026.0021816893</v>
      </c>
      <c r="AJ494" s="321"/>
      <c r="AK494" s="321">
        <f t="shared" si="50"/>
        <v>0</v>
      </c>
      <c r="AL494" s="321">
        <f t="shared" si="50"/>
        <v>0</v>
      </c>
      <c r="AM494" s="321">
        <f t="shared" si="50"/>
        <v>0</v>
      </c>
      <c r="AN494" s="321">
        <f t="shared" si="50"/>
        <v>0</v>
      </c>
      <c r="AO494" s="321">
        <f t="shared" si="50"/>
        <v>0</v>
      </c>
      <c r="AP494" s="321">
        <f t="shared" si="50"/>
        <v>2998026.0021816893</v>
      </c>
    </row>
    <row r="495" spans="1:42" x14ac:dyDescent="0.25">
      <c r="A495" s="311">
        <v>6684022</v>
      </c>
      <c r="D495" s="311">
        <v>6684022</v>
      </c>
      <c r="E495" s="315" t="str">
        <f t="shared" si="43"/>
        <v>Stacionář NONA</v>
      </c>
      <c r="F495" s="315" t="str">
        <f t="shared" si="44"/>
        <v>NONA 92, o. p. s.</v>
      </c>
      <c r="G495" s="315" t="str">
        <f t="shared" si="45"/>
        <v>§ 46 - Denní stacionáře</v>
      </c>
      <c r="H495" s="315"/>
      <c r="I495" s="266" t="s">
        <v>1812</v>
      </c>
      <c r="J495" s="319"/>
      <c r="K495" s="266"/>
      <c r="L495" s="320"/>
      <c r="M495" s="321">
        <f t="shared" si="46"/>
        <v>7.85</v>
      </c>
      <c r="N495" s="321">
        <f t="shared" si="51"/>
        <v>1</v>
      </c>
      <c r="O495" s="321">
        <f t="shared" si="51"/>
        <v>6.85</v>
      </c>
      <c r="P495" s="321">
        <f t="shared" si="51"/>
        <v>0</v>
      </c>
      <c r="Q495" s="321">
        <f t="shared" si="51"/>
        <v>0</v>
      </c>
      <c r="R495" s="321">
        <f t="shared" si="51"/>
        <v>0</v>
      </c>
      <c r="S495" s="321">
        <f t="shared" si="51"/>
        <v>0</v>
      </c>
      <c r="T495" s="321">
        <f t="shared" si="51"/>
        <v>25</v>
      </c>
      <c r="U495" s="321">
        <f t="shared" si="51"/>
        <v>0</v>
      </c>
      <c r="V495" s="321"/>
      <c r="W495" s="321">
        <f t="shared" si="50"/>
        <v>7.85</v>
      </c>
      <c r="X495" s="321">
        <f t="shared" si="50"/>
        <v>1</v>
      </c>
      <c r="Y495" s="321">
        <f t="shared" si="50"/>
        <v>6.85</v>
      </c>
      <c r="Z495" s="321">
        <f t="shared" si="50"/>
        <v>0</v>
      </c>
      <c r="AA495" s="321">
        <f t="shared" si="50"/>
        <v>0</v>
      </c>
      <c r="AB495" s="321">
        <f t="shared" si="50"/>
        <v>0</v>
      </c>
      <c r="AC495" s="321">
        <f t="shared" si="50"/>
        <v>25</v>
      </c>
      <c r="AD495" s="321"/>
      <c r="AE495" s="321">
        <f t="shared" si="50"/>
        <v>5838652.0667503607</v>
      </c>
      <c r="AF495" s="321">
        <f t="shared" si="50"/>
        <v>0</v>
      </c>
      <c r="AG495" s="321">
        <f t="shared" si="50"/>
        <v>697656.33965772798</v>
      </c>
      <c r="AH495" s="321">
        <f t="shared" si="50"/>
        <v>136923.77629846294</v>
      </c>
      <c r="AI495" s="321">
        <f t="shared" si="50"/>
        <v>6673232.1827065516</v>
      </c>
      <c r="AJ495" s="321"/>
      <c r="AK495" s="321">
        <f t="shared" si="50"/>
        <v>924020.2287581698</v>
      </c>
      <c r="AL495" s="321">
        <f t="shared" si="50"/>
        <v>0</v>
      </c>
      <c r="AM495" s="321">
        <f t="shared" si="50"/>
        <v>0</v>
      </c>
      <c r="AN495" s="321">
        <f t="shared" si="50"/>
        <v>136307.69230769231</v>
      </c>
      <c r="AO495" s="321">
        <f t="shared" si="50"/>
        <v>1060327.9210658621</v>
      </c>
      <c r="AP495" s="321">
        <f t="shared" si="50"/>
        <v>5612904.2616406893</v>
      </c>
    </row>
    <row r="496" spans="1:42" x14ac:dyDescent="0.25">
      <c r="A496" s="311">
        <v>6697882</v>
      </c>
      <c r="D496" s="311">
        <v>6697882</v>
      </c>
      <c r="E496" s="315" t="str">
        <f t="shared" si="43"/>
        <v>Pečovatelská služba Teplice nad Metují</v>
      </c>
      <c r="F496" s="315" t="str">
        <f t="shared" si="44"/>
        <v>Město Teplice nad Metují</v>
      </c>
      <c r="G496" s="315" t="str">
        <f t="shared" si="45"/>
        <v>§ 40 - Pečovatelská služba</v>
      </c>
      <c r="H496" s="315"/>
      <c r="I496" s="266" t="s">
        <v>1812</v>
      </c>
      <c r="J496" s="319"/>
      <c r="K496" s="266"/>
      <c r="L496" s="320"/>
      <c r="M496" s="321">
        <f t="shared" si="46"/>
        <v>1.7</v>
      </c>
      <c r="N496" s="321">
        <f t="shared" si="51"/>
        <v>0.2</v>
      </c>
      <c r="O496" s="321">
        <f t="shared" si="51"/>
        <v>1.5</v>
      </c>
      <c r="P496" s="321">
        <f t="shared" si="51"/>
        <v>0</v>
      </c>
      <c r="Q496" s="321">
        <f t="shared" si="51"/>
        <v>0</v>
      </c>
      <c r="R496" s="321">
        <f t="shared" si="51"/>
        <v>0</v>
      </c>
      <c r="S496" s="321">
        <f t="shared" si="51"/>
        <v>50</v>
      </c>
      <c r="T496" s="321">
        <f t="shared" si="51"/>
        <v>0</v>
      </c>
      <c r="U496" s="321">
        <f t="shared" si="51"/>
        <v>0</v>
      </c>
      <c r="V496" s="321"/>
      <c r="W496" s="321">
        <f t="shared" ref="W496:AP508" si="52">SUMIFS(W$4:W$318,$D$4:$D$318,$D496)</f>
        <v>1.7</v>
      </c>
      <c r="X496" s="321">
        <f t="shared" si="52"/>
        <v>0.2</v>
      </c>
      <c r="Y496" s="321">
        <f t="shared" si="52"/>
        <v>1.5</v>
      </c>
      <c r="Z496" s="321">
        <f t="shared" si="52"/>
        <v>0</v>
      </c>
      <c r="AA496" s="321">
        <f t="shared" si="52"/>
        <v>0</v>
      </c>
      <c r="AB496" s="321">
        <f t="shared" si="52"/>
        <v>0</v>
      </c>
      <c r="AC496" s="321">
        <f t="shared" si="52"/>
        <v>0</v>
      </c>
      <c r="AD496" s="321"/>
      <c r="AE496" s="321">
        <f t="shared" si="52"/>
        <v>981570.85941677121</v>
      </c>
      <c r="AF496" s="321">
        <f t="shared" si="52"/>
        <v>0</v>
      </c>
      <c r="AG496" s="321">
        <f t="shared" si="52"/>
        <v>73191.333295852513</v>
      </c>
      <c r="AH496" s="321">
        <f t="shared" si="52"/>
        <v>0</v>
      </c>
      <c r="AI496" s="321">
        <f t="shared" si="52"/>
        <v>1054762.1927126236</v>
      </c>
      <c r="AJ496" s="321"/>
      <c r="AK496" s="321">
        <f t="shared" si="52"/>
        <v>208132.85294117648</v>
      </c>
      <c r="AL496" s="321">
        <f t="shared" si="52"/>
        <v>0</v>
      </c>
      <c r="AM496" s="321">
        <f t="shared" si="52"/>
        <v>0</v>
      </c>
      <c r="AN496" s="321">
        <f t="shared" si="52"/>
        <v>0</v>
      </c>
      <c r="AO496" s="321">
        <f t="shared" si="52"/>
        <v>208132.85294117648</v>
      </c>
      <c r="AP496" s="321">
        <f t="shared" si="52"/>
        <v>846629.33977144712</v>
      </c>
    </row>
    <row r="497" spans="1:42" x14ac:dyDescent="0.25">
      <c r="A497" s="311">
        <v>6698987</v>
      </c>
      <c r="D497" s="311">
        <v>6698987</v>
      </c>
      <c r="E497" s="315" t="str">
        <f t="shared" si="43"/>
        <v>Občanská poradna Rychnov nad Kněžnou</v>
      </c>
      <c r="F497" s="315" t="str">
        <f t="shared" si="44"/>
        <v>OD5K10, z. s.</v>
      </c>
      <c r="G497" s="315" t="str">
        <f t="shared" si="45"/>
        <v>§ 37 - Odborné sociální poradenství</v>
      </c>
      <c r="H497" s="315"/>
      <c r="I497" s="266" t="s">
        <v>1812</v>
      </c>
      <c r="J497" s="319"/>
      <c r="K497" s="266"/>
      <c r="L497" s="320"/>
      <c r="M497" s="321">
        <f t="shared" si="46"/>
        <v>1.1499999999999999</v>
      </c>
      <c r="N497" s="321">
        <f t="shared" si="51"/>
        <v>1</v>
      </c>
      <c r="O497" s="321">
        <f t="shared" si="51"/>
        <v>0.15</v>
      </c>
      <c r="P497" s="321">
        <f t="shared" si="51"/>
        <v>0</v>
      </c>
      <c r="Q497" s="321">
        <f t="shared" si="51"/>
        <v>0</v>
      </c>
      <c r="R497" s="321">
        <f t="shared" si="51"/>
        <v>0</v>
      </c>
      <c r="S497" s="321">
        <f t="shared" si="51"/>
        <v>5</v>
      </c>
      <c r="T497" s="321">
        <f t="shared" si="51"/>
        <v>0</v>
      </c>
      <c r="U497" s="321">
        <f t="shared" si="51"/>
        <v>0</v>
      </c>
      <c r="V497" s="321"/>
      <c r="W497" s="321">
        <f t="shared" si="52"/>
        <v>1.1499999999999999</v>
      </c>
      <c r="X497" s="321">
        <f t="shared" si="52"/>
        <v>1</v>
      </c>
      <c r="Y497" s="321">
        <f t="shared" si="52"/>
        <v>0.15</v>
      </c>
      <c r="Z497" s="321">
        <f t="shared" si="52"/>
        <v>0</v>
      </c>
      <c r="AA497" s="321">
        <f t="shared" si="52"/>
        <v>0</v>
      </c>
      <c r="AB497" s="321">
        <f t="shared" si="52"/>
        <v>0</v>
      </c>
      <c r="AC497" s="321">
        <f t="shared" si="52"/>
        <v>0</v>
      </c>
      <c r="AD497" s="321"/>
      <c r="AE497" s="321">
        <f t="shared" si="52"/>
        <v>799700.75933872873</v>
      </c>
      <c r="AF497" s="321">
        <f t="shared" si="52"/>
        <v>0</v>
      </c>
      <c r="AG497" s="321">
        <f t="shared" si="52"/>
        <v>54488.778056147996</v>
      </c>
      <c r="AH497" s="321">
        <f t="shared" si="52"/>
        <v>0</v>
      </c>
      <c r="AI497" s="321">
        <f t="shared" si="52"/>
        <v>854189.53739487671</v>
      </c>
      <c r="AJ497" s="321"/>
      <c r="AK497" s="321">
        <f t="shared" si="52"/>
        <v>0</v>
      </c>
      <c r="AL497" s="321">
        <f t="shared" si="52"/>
        <v>0</v>
      </c>
      <c r="AM497" s="321">
        <f t="shared" si="52"/>
        <v>0</v>
      </c>
      <c r="AN497" s="321">
        <f t="shared" si="52"/>
        <v>0</v>
      </c>
      <c r="AO497" s="321">
        <f t="shared" si="52"/>
        <v>0</v>
      </c>
      <c r="AP497" s="321">
        <f t="shared" si="52"/>
        <v>854189.53739487671</v>
      </c>
    </row>
    <row r="498" spans="1:42" x14ac:dyDescent="0.25">
      <c r="A498" s="311">
        <v>6749255</v>
      </c>
      <c r="D498" s="311">
        <v>6749255</v>
      </c>
      <c r="E498" s="315" t="str">
        <f t="shared" si="43"/>
        <v>DUHA o. p. s. - odlehčovací služba</v>
      </c>
      <c r="F498" s="315" t="str">
        <f t="shared" si="44"/>
        <v>DUHA o. p. s.</v>
      </c>
      <c r="G498" s="315" t="str">
        <f t="shared" si="45"/>
        <v>§ 44 - Odlehčovací služby</v>
      </c>
      <c r="H498" s="315"/>
      <c r="I498" s="266" t="s">
        <v>1812</v>
      </c>
      <c r="J498" s="319"/>
      <c r="K498" s="266"/>
      <c r="L498" s="320"/>
      <c r="M498" s="321">
        <f t="shared" si="46"/>
        <v>6.5750000000000002</v>
      </c>
      <c r="N498" s="321">
        <f t="shared" si="51"/>
        <v>0.375</v>
      </c>
      <c r="O498" s="321">
        <f t="shared" si="51"/>
        <v>6.2</v>
      </c>
      <c r="P498" s="321">
        <f t="shared" si="51"/>
        <v>0</v>
      </c>
      <c r="Q498" s="321">
        <f t="shared" si="51"/>
        <v>0</v>
      </c>
      <c r="R498" s="321">
        <f t="shared" si="51"/>
        <v>9</v>
      </c>
      <c r="S498" s="321">
        <f t="shared" si="51"/>
        <v>0</v>
      </c>
      <c r="T498" s="321">
        <f t="shared" si="51"/>
        <v>0</v>
      </c>
      <c r="U498" s="321">
        <f t="shared" si="51"/>
        <v>0</v>
      </c>
      <c r="V498" s="321"/>
      <c r="W498" s="321">
        <f t="shared" si="52"/>
        <v>6.5750000000000002</v>
      </c>
      <c r="X498" s="321">
        <f t="shared" si="52"/>
        <v>0.375</v>
      </c>
      <c r="Y498" s="321">
        <f t="shared" si="52"/>
        <v>6.2</v>
      </c>
      <c r="Z498" s="321">
        <f t="shared" si="52"/>
        <v>0</v>
      </c>
      <c r="AA498" s="321">
        <f t="shared" si="52"/>
        <v>0</v>
      </c>
      <c r="AB498" s="321">
        <f t="shared" si="52"/>
        <v>9</v>
      </c>
      <c r="AC498" s="321">
        <f t="shared" si="52"/>
        <v>0</v>
      </c>
      <c r="AD498" s="321"/>
      <c r="AE498" s="321">
        <f t="shared" si="52"/>
        <v>3879694.7805109913</v>
      </c>
      <c r="AF498" s="321">
        <f t="shared" si="52"/>
        <v>0</v>
      </c>
      <c r="AG498" s="321">
        <f t="shared" si="52"/>
        <v>508115.05466698378</v>
      </c>
      <c r="AH498" s="321">
        <f t="shared" si="52"/>
        <v>278776.51867829642</v>
      </c>
      <c r="AI498" s="321">
        <f t="shared" si="52"/>
        <v>4666586.3538562711</v>
      </c>
      <c r="AJ498" s="321"/>
      <c r="AK498" s="321">
        <f t="shared" si="52"/>
        <v>789757.99190607481</v>
      </c>
      <c r="AL498" s="321">
        <f t="shared" si="52"/>
        <v>0</v>
      </c>
      <c r="AM498" s="321">
        <f t="shared" si="52"/>
        <v>346097.8125</v>
      </c>
      <c r="AN498" s="321">
        <f t="shared" si="52"/>
        <v>215059.05000000002</v>
      </c>
      <c r="AO498" s="321">
        <f t="shared" si="52"/>
        <v>1350914.8544060749</v>
      </c>
      <c r="AP498" s="321">
        <f t="shared" si="52"/>
        <v>3315671.4994501965</v>
      </c>
    </row>
    <row r="499" spans="1:42" x14ac:dyDescent="0.25">
      <c r="A499" s="311">
        <v>6811251</v>
      </c>
      <c r="D499" s="311">
        <v>6811251</v>
      </c>
      <c r="E499" s="315" t="str">
        <f t="shared" si="43"/>
        <v>Základní a odborné poradenství pro zrakově postižené</v>
      </c>
      <c r="F499" s="315" t="str">
        <f t="shared" si="44"/>
        <v>TyfloCentrum Hradec Králové, o. p. s.</v>
      </c>
      <c r="G499" s="315" t="str">
        <f t="shared" si="45"/>
        <v>§ 37 - Odborné sociální poradenství</v>
      </c>
      <c r="H499" s="315"/>
      <c r="I499" s="266" t="s">
        <v>1812</v>
      </c>
      <c r="J499" s="319"/>
      <c r="K499" s="266"/>
      <c r="L499" s="320"/>
      <c r="M499" s="321">
        <f t="shared" si="46"/>
        <v>0.6</v>
      </c>
      <c r="N499" s="321">
        <f t="shared" si="51"/>
        <v>0.6</v>
      </c>
      <c r="O499" s="321">
        <f t="shared" si="51"/>
        <v>0</v>
      </c>
      <c r="P499" s="321">
        <f t="shared" si="51"/>
        <v>0</v>
      </c>
      <c r="Q499" s="321">
        <f t="shared" si="51"/>
        <v>0</v>
      </c>
      <c r="R499" s="321">
        <f t="shared" si="51"/>
        <v>0</v>
      </c>
      <c r="S499" s="321">
        <f t="shared" si="51"/>
        <v>2</v>
      </c>
      <c r="T499" s="321">
        <f t="shared" si="51"/>
        <v>0</v>
      </c>
      <c r="U499" s="321">
        <f t="shared" si="51"/>
        <v>0</v>
      </c>
      <c r="V499" s="321"/>
      <c r="W499" s="321">
        <f t="shared" si="52"/>
        <v>0.6</v>
      </c>
      <c r="X499" s="321">
        <f t="shared" si="52"/>
        <v>0.6</v>
      </c>
      <c r="Y499" s="321">
        <f t="shared" si="52"/>
        <v>0</v>
      </c>
      <c r="Z499" s="321">
        <f t="shared" si="52"/>
        <v>0</v>
      </c>
      <c r="AA499" s="321">
        <f t="shared" si="52"/>
        <v>0</v>
      </c>
      <c r="AB499" s="321">
        <f t="shared" si="52"/>
        <v>0</v>
      </c>
      <c r="AC499" s="321">
        <f t="shared" si="52"/>
        <v>0</v>
      </c>
      <c r="AD499" s="321"/>
      <c r="AE499" s="321">
        <f t="shared" si="52"/>
        <v>417235.17878542375</v>
      </c>
      <c r="AF499" s="321">
        <f t="shared" si="52"/>
        <v>0</v>
      </c>
      <c r="AG499" s="321">
        <f t="shared" si="52"/>
        <v>28428.927681468518</v>
      </c>
      <c r="AH499" s="321">
        <f t="shared" si="52"/>
        <v>0</v>
      </c>
      <c r="AI499" s="321">
        <f t="shared" si="52"/>
        <v>445664.10646689229</v>
      </c>
      <c r="AJ499" s="321"/>
      <c r="AK499" s="321">
        <f t="shared" si="52"/>
        <v>0</v>
      </c>
      <c r="AL499" s="321">
        <f t="shared" si="52"/>
        <v>0</v>
      </c>
      <c r="AM499" s="321">
        <f t="shared" si="52"/>
        <v>0</v>
      </c>
      <c r="AN499" s="321">
        <f t="shared" si="52"/>
        <v>0</v>
      </c>
      <c r="AO499" s="321">
        <f t="shared" si="52"/>
        <v>0</v>
      </c>
      <c r="AP499" s="321">
        <f t="shared" si="52"/>
        <v>445664.10646689229</v>
      </c>
    </row>
    <row r="500" spans="1:42" x14ac:dyDescent="0.25">
      <c r="A500" s="311">
        <v>6907978</v>
      </c>
      <c r="D500" s="311">
        <v>6907978</v>
      </c>
      <c r="E500" s="315" t="str">
        <f t="shared" si="43"/>
        <v>Odlehčovací služby</v>
      </c>
      <c r="F500" s="315" t="str">
        <f t="shared" si="44"/>
        <v>Dětské centrum Jilemnice, příspěvková organizace</v>
      </c>
      <c r="G500" s="315" t="str">
        <f t="shared" si="45"/>
        <v>§ 44 - Odlehčovací služby</v>
      </c>
      <c r="H500" s="315"/>
      <c r="I500" s="266" t="s">
        <v>1812</v>
      </c>
      <c r="J500" s="319"/>
      <c r="K500" s="266"/>
      <c r="L500" s="320"/>
      <c r="M500" s="321">
        <f t="shared" si="46"/>
        <v>2.1</v>
      </c>
      <c r="N500" s="321">
        <f t="shared" si="51"/>
        <v>0.1</v>
      </c>
      <c r="O500" s="321">
        <f t="shared" si="51"/>
        <v>2</v>
      </c>
      <c r="P500" s="321">
        <f t="shared" si="51"/>
        <v>0</v>
      </c>
      <c r="Q500" s="321">
        <f t="shared" si="51"/>
        <v>0</v>
      </c>
      <c r="R500" s="321">
        <f t="shared" si="51"/>
        <v>1</v>
      </c>
      <c r="S500" s="321">
        <f t="shared" si="51"/>
        <v>0</v>
      </c>
      <c r="T500" s="321">
        <f t="shared" si="51"/>
        <v>0</v>
      </c>
      <c r="U500" s="321">
        <f t="shared" si="51"/>
        <v>0</v>
      </c>
      <c r="V500" s="321"/>
      <c r="W500" s="321">
        <f t="shared" si="52"/>
        <v>2.1</v>
      </c>
      <c r="X500" s="321">
        <f t="shared" si="52"/>
        <v>0.1</v>
      </c>
      <c r="Y500" s="321">
        <f t="shared" si="52"/>
        <v>2</v>
      </c>
      <c r="Z500" s="321">
        <f t="shared" si="52"/>
        <v>0</v>
      </c>
      <c r="AA500" s="321">
        <f t="shared" si="52"/>
        <v>0</v>
      </c>
      <c r="AB500" s="321">
        <f t="shared" si="52"/>
        <v>1</v>
      </c>
      <c r="AC500" s="321">
        <f t="shared" si="52"/>
        <v>0</v>
      </c>
      <c r="AD500" s="321"/>
      <c r="AE500" s="321">
        <f t="shared" si="52"/>
        <v>1239142.0591746131</v>
      </c>
      <c r="AF500" s="321">
        <f t="shared" si="52"/>
        <v>0</v>
      </c>
      <c r="AG500" s="321">
        <f t="shared" si="52"/>
        <v>56457.22829633153</v>
      </c>
      <c r="AH500" s="321">
        <f t="shared" si="52"/>
        <v>30975.168742032936</v>
      </c>
      <c r="AI500" s="321">
        <f t="shared" si="52"/>
        <v>1326574.4562129776</v>
      </c>
      <c r="AJ500" s="321"/>
      <c r="AK500" s="321">
        <f t="shared" si="52"/>
        <v>254760.6425503467</v>
      </c>
      <c r="AL500" s="321">
        <f t="shared" si="52"/>
        <v>0</v>
      </c>
      <c r="AM500" s="321">
        <f t="shared" si="52"/>
        <v>38455.3125</v>
      </c>
      <c r="AN500" s="321">
        <f t="shared" si="52"/>
        <v>23895.45</v>
      </c>
      <c r="AO500" s="321">
        <f t="shared" si="52"/>
        <v>317111.40505034669</v>
      </c>
      <c r="AP500" s="321">
        <f t="shared" si="52"/>
        <v>1009463.051162631</v>
      </c>
    </row>
    <row r="501" spans="1:42" x14ac:dyDescent="0.25">
      <c r="A501" s="311">
        <v>6945387</v>
      </c>
      <c r="D501" s="311">
        <v>6945387</v>
      </c>
      <c r="E501" s="315" t="str">
        <f t="shared" si="43"/>
        <v>domov pro osoby se zdravotním postižením</v>
      </c>
      <c r="F501" s="315" t="str">
        <f t="shared" si="44"/>
        <v>Domovy Na Třešňovce</v>
      </c>
      <c r="G501" s="315" t="str">
        <f t="shared" si="45"/>
        <v>§ 48 - Domovy pro osoby se zdravotním postižením</v>
      </c>
      <c r="H501" s="315"/>
      <c r="I501" s="266" t="s">
        <v>1812</v>
      </c>
      <c r="J501" s="319"/>
      <c r="K501" s="266"/>
      <c r="L501" s="320"/>
      <c r="M501" s="321">
        <f t="shared" si="46"/>
        <v>19</v>
      </c>
      <c r="N501" s="321">
        <f t="shared" si="51"/>
        <v>1</v>
      </c>
      <c r="O501" s="321">
        <f t="shared" si="51"/>
        <v>12.8</v>
      </c>
      <c r="P501" s="321">
        <f t="shared" si="51"/>
        <v>5.2</v>
      </c>
      <c r="Q501" s="321">
        <f t="shared" si="51"/>
        <v>0</v>
      </c>
      <c r="R501" s="321">
        <f t="shared" si="51"/>
        <v>43</v>
      </c>
      <c r="S501" s="321">
        <f t="shared" si="51"/>
        <v>0</v>
      </c>
      <c r="T501" s="321">
        <f t="shared" si="51"/>
        <v>0</v>
      </c>
      <c r="U501" s="321">
        <f t="shared" si="51"/>
        <v>0</v>
      </c>
      <c r="V501" s="321"/>
      <c r="W501" s="321">
        <f t="shared" si="52"/>
        <v>19</v>
      </c>
      <c r="X501" s="321">
        <f t="shared" si="52"/>
        <v>1</v>
      </c>
      <c r="Y501" s="321">
        <f t="shared" si="52"/>
        <v>12.8</v>
      </c>
      <c r="Z501" s="321">
        <f t="shared" si="52"/>
        <v>5.2</v>
      </c>
      <c r="AA501" s="321">
        <f t="shared" si="52"/>
        <v>0</v>
      </c>
      <c r="AB501" s="321">
        <f t="shared" si="52"/>
        <v>43</v>
      </c>
      <c r="AC501" s="321">
        <f t="shared" si="52"/>
        <v>0</v>
      </c>
      <c r="AD501" s="321"/>
      <c r="AE501" s="321">
        <f t="shared" si="52"/>
        <v>9232261.9851341452</v>
      </c>
      <c r="AF501" s="321">
        <f t="shared" si="52"/>
        <v>4415868.3772221468</v>
      </c>
      <c r="AG501" s="321">
        <f t="shared" si="52"/>
        <v>4523227.6834161729</v>
      </c>
      <c r="AH501" s="321">
        <f t="shared" si="52"/>
        <v>2905331.2278660666</v>
      </c>
      <c r="AI501" s="321">
        <f t="shared" si="52"/>
        <v>21076689.273638532</v>
      </c>
      <c r="AJ501" s="321"/>
      <c r="AK501" s="321">
        <f t="shared" si="52"/>
        <v>4563175.302941177</v>
      </c>
      <c r="AL501" s="321">
        <f t="shared" si="52"/>
        <v>1133038.1960784313</v>
      </c>
      <c r="AM501" s="321">
        <f t="shared" si="52"/>
        <v>2056916.3157894739</v>
      </c>
      <c r="AN501" s="321">
        <f t="shared" si="52"/>
        <v>1946594.95</v>
      </c>
      <c r="AO501" s="321">
        <f t="shared" si="52"/>
        <v>9699724.7648090813</v>
      </c>
      <c r="AP501" s="321">
        <f t="shared" si="52"/>
        <v>11376964.50882945</v>
      </c>
    </row>
    <row r="502" spans="1:42" x14ac:dyDescent="0.25">
      <c r="A502" s="311">
        <v>6948137</v>
      </c>
      <c r="D502" s="311">
        <v>6948137</v>
      </c>
      <c r="E502" s="315" t="str">
        <f t="shared" si="43"/>
        <v>Sociální rehabilitace - středisko Rychnov nad Kněžnou</v>
      </c>
      <c r="F502" s="315" t="str">
        <f t="shared" si="44"/>
        <v>Péče o duševní zdraví, z.s.</v>
      </c>
      <c r="G502" s="315" t="str">
        <f t="shared" si="45"/>
        <v>§ 70 - Sociální rehabilitace</v>
      </c>
      <c r="H502" s="315"/>
      <c r="I502" s="266" t="s">
        <v>1812</v>
      </c>
      <c r="J502" s="319"/>
      <c r="K502" s="266"/>
      <c r="L502" s="320"/>
      <c r="M502" s="321">
        <f t="shared" si="46"/>
        <v>10.5</v>
      </c>
      <c r="N502" s="321">
        <f t="shared" si="51"/>
        <v>10.5</v>
      </c>
      <c r="O502" s="321">
        <f t="shared" si="51"/>
        <v>0</v>
      </c>
      <c r="P502" s="321">
        <f t="shared" si="51"/>
        <v>0</v>
      </c>
      <c r="Q502" s="321">
        <f t="shared" si="51"/>
        <v>0</v>
      </c>
      <c r="R502" s="321">
        <f t="shared" si="51"/>
        <v>0</v>
      </c>
      <c r="S502" s="321">
        <f t="shared" si="51"/>
        <v>60</v>
      </c>
      <c r="T502" s="321">
        <f t="shared" si="51"/>
        <v>0</v>
      </c>
      <c r="U502" s="321">
        <f t="shared" si="51"/>
        <v>0</v>
      </c>
      <c r="V502" s="321"/>
      <c r="W502" s="321">
        <f t="shared" si="52"/>
        <v>10.5</v>
      </c>
      <c r="X502" s="321">
        <f t="shared" si="52"/>
        <v>10.5</v>
      </c>
      <c r="Y502" s="321">
        <f t="shared" si="52"/>
        <v>0</v>
      </c>
      <c r="Z502" s="321">
        <f t="shared" si="52"/>
        <v>0</v>
      </c>
      <c r="AA502" s="321">
        <f t="shared" si="52"/>
        <v>0</v>
      </c>
      <c r="AB502" s="321">
        <f t="shared" si="52"/>
        <v>0</v>
      </c>
      <c r="AC502" s="321">
        <f t="shared" si="52"/>
        <v>0</v>
      </c>
      <c r="AD502" s="321"/>
      <c r="AE502" s="321">
        <f t="shared" si="52"/>
        <v>7371983.0949786995</v>
      </c>
      <c r="AF502" s="321">
        <f t="shared" si="52"/>
        <v>0</v>
      </c>
      <c r="AG502" s="321">
        <f t="shared" si="52"/>
        <v>460013.77640754706</v>
      </c>
      <c r="AH502" s="321">
        <f t="shared" si="52"/>
        <v>0</v>
      </c>
      <c r="AI502" s="321">
        <f t="shared" si="52"/>
        <v>7831996.8713862468</v>
      </c>
      <c r="AJ502" s="321"/>
      <c r="AK502" s="321">
        <f t="shared" si="52"/>
        <v>0</v>
      </c>
      <c r="AL502" s="321">
        <f t="shared" si="52"/>
        <v>0</v>
      </c>
      <c r="AM502" s="321">
        <f t="shared" si="52"/>
        <v>0</v>
      </c>
      <c r="AN502" s="321">
        <f t="shared" si="52"/>
        <v>0</v>
      </c>
      <c r="AO502" s="321">
        <f t="shared" si="52"/>
        <v>0</v>
      </c>
      <c r="AP502" s="321">
        <f t="shared" si="52"/>
        <v>7831996.8713862468</v>
      </c>
    </row>
    <row r="503" spans="1:42" x14ac:dyDescent="0.25">
      <c r="A503" s="311">
        <v>6989404</v>
      </c>
      <c r="D503" s="311">
        <v>6989404</v>
      </c>
      <c r="E503" s="315" t="str">
        <f t="shared" si="43"/>
        <v>NZDM DoPatra</v>
      </c>
      <c r="F503" s="315" t="str">
        <f t="shared" si="44"/>
        <v>DUHA o. p. s.</v>
      </c>
      <c r="G503" s="315" t="str">
        <f t="shared" si="45"/>
        <v>§ 62 - Nízkoprahová zařízení pro děti a mládež</v>
      </c>
      <c r="H503" s="315"/>
      <c r="I503" s="266" t="s">
        <v>1812</v>
      </c>
      <c r="J503" s="319"/>
      <c r="K503" s="266"/>
      <c r="L503" s="320"/>
      <c r="M503" s="321">
        <f t="shared" si="46"/>
        <v>2.35</v>
      </c>
      <c r="N503" s="321">
        <f t="shared" si="51"/>
        <v>0.35</v>
      </c>
      <c r="O503" s="321">
        <f t="shared" si="51"/>
        <v>2</v>
      </c>
      <c r="P503" s="321">
        <f t="shared" si="51"/>
        <v>0</v>
      </c>
      <c r="Q503" s="321">
        <f t="shared" si="51"/>
        <v>0</v>
      </c>
      <c r="R503" s="321">
        <f t="shared" si="51"/>
        <v>0</v>
      </c>
      <c r="S503" s="321">
        <f t="shared" si="51"/>
        <v>0</v>
      </c>
      <c r="T503" s="321">
        <f t="shared" si="51"/>
        <v>20</v>
      </c>
      <c r="U503" s="321">
        <f t="shared" si="51"/>
        <v>0</v>
      </c>
      <c r="V503" s="321"/>
      <c r="W503" s="321">
        <f t="shared" si="52"/>
        <v>2.35</v>
      </c>
      <c r="X503" s="321">
        <f t="shared" si="52"/>
        <v>0.35</v>
      </c>
      <c r="Y503" s="321">
        <f t="shared" si="52"/>
        <v>2</v>
      </c>
      <c r="Z503" s="321">
        <f t="shared" si="52"/>
        <v>0</v>
      </c>
      <c r="AA503" s="321">
        <f t="shared" si="52"/>
        <v>0</v>
      </c>
      <c r="AB503" s="321">
        <f t="shared" si="52"/>
        <v>0</v>
      </c>
      <c r="AC503" s="321">
        <f t="shared" si="52"/>
        <v>20</v>
      </c>
      <c r="AD503" s="321"/>
      <c r="AE503" s="321">
        <f t="shared" si="52"/>
        <v>1411906.6822470622</v>
      </c>
      <c r="AF503" s="321">
        <f t="shared" si="52"/>
        <v>0</v>
      </c>
      <c r="AG503" s="321">
        <f t="shared" si="52"/>
        <v>133051.29638272469</v>
      </c>
      <c r="AH503" s="321">
        <f t="shared" si="52"/>
        <v>0</v>
      </c>
      <c r="AI503" s="321">
        <f t="shared" si="52"/>
        <v>1544957.978629787</v>
      </c>
      <c r="AJ503" s="321"/>
      <c r="AK503" s="321">
        <f t="shared" si="52"/>
        <v>0</v>
      </c>
      <c r="AL503" s="321">
        <f t="shared" si="52"/>
        <v>0</v>
      </c>
      <c r="AM503" s="321">
        <f t="shared" si="52"/>
        <v>0</v>
      </c>
      <c r="AN503" s="321">
        <f t="shared" si="52"/>
        <v>0</v>
      </c>
      <c r="AO503" s="321">
        <f t="shared" si="52"/>
        <v>0</v>
      </c>
      <c r="AP503" s="321">
        <f t="shared" si="52"/>
        <v>1544957.978629787</v>
      </c>
    </row>
    <row r="504" spans="1:42" x14ac:dyDescent="0.25">
      <c r="A504" s="311">
        <v>7071797</v>
      </c>
      <c r="D504" s="311">
        <v>7071797</v>
      </c>
      <c r="E504" s="315" t="str">
        <f t="shared" si="43"/>
        <v>Domov V Podzámčí</v>
      </c>
      <c r="F504" s="315" t="str">
        <f t="shared" si="44"/>
        <v>Domov V Podzámčí</v>
      </c>
      <c r="G504" s="315" t="str">
        <f t="shared" si="45"/>
        <v>§ 44 - Odlehčovací služby</v>
      </c>
      <c r="H504" s="315"/>
      <c r="I504" s="266" t="s">
        <v>1812</v>
      </c>
      <c r="J504" s="319"/>
      <c r="K504" s="266"/>
      <c r="L504" s="320"/>
      <c r="M504" s="321">
        <f t="shared" si="46"/>
        <v>7.3</v>
      </c>
      <c r="N504" s="321">
        <f t="shared" si="51"/>
        <v>0.7</v>
      </c>
      <c r="O504" s="321">
        <f t="shared" si="51"/>
        <v>5.3</v>
      </c>
      <c r="P504" s="321">
        <f t="shared" si="51"/>
        <v>1.3</v>
      </c>
      <c r="Q504" s="321">
        <f t="shared" si="51"/>
        <v>0</v>
      </c>
      <c r="R504" s="321">
        <f t="shared" si="51"/>
        <v>8</v>
      </c>
      <c r="S504" s="321">
        <f t="shared" si="51"/>
        <v>0</v>
      </c>
      <c r="T504" s="321">
        <f t="shared" si="51"/>
        <v>0</v>
      </c>
      <c r="U504" s="321">
        <f t="shared" si="51"/>
        <v>0</v>
      </c>
      <c r="V504" s="321"/>
      <c r="W504" s="321">
        <f t="shared" si="52"/>
        <v>7.3</v>
      </c>
      <c r="X504" s="321">
        <f t="shared" si="52"/>
        <v>0.7</v>
      </c>
      <c r="Y504" s="321">
        <f t="shared" si="52"/>
        <v>5.3</v>
      </c>
      <c r="Z504" s="321">
        <f t="shared" si="52"/>
        <v>1.3</v>
      </c>
      <c r="AA504" s="321">
        <f t="shared" si="52"/>
        <v>0</v>
      </c>
      <c r="AB504" s="321">
        <f t="shared" si="52"/>
        <v>8</v>
      </c>
      <c r="AC504" s="321">
        <f t="shared" si="52"/>
        <v>0</v>
      </c>
      <c r="AD504" s="321"/>
      <c r="AE504" s="321">
        <f t="shared" si="52"/>
        <v>4307493.824749846</v>
      </c>
      <c r="AF504" s="321">
        <f t="shared" si="52"/>
        <v>0</v>
      </c>
      <c r="AG504" s="321">
        <f t="shared" si="52"/>
        <v>451657.82637065224</v>
      </c>
      <c r="AH504" s="321">
        <f t="shared" si="52"/>
        <v>247801.34993626349</v>
      </c>
      <c r="AI504" s="321">
        <f t="shared" si="52"/>
        <v>5006953.0010567615</v>
      </c>
      <c r="AJ504" s="321"/>
      <c r="AK504" s="321">
        <f t="shared" si="52"/>
        <v>840710.12041614403</v>
      </c>
      <c r="AL504" s="321">
        <f t="shared" si="52"/>
        <v>0</v>
      </c>
      <c r="AM504" s="321">
        <f t="shared" si="52"/>
        <v>307642.5</v>
      </c>
      <c r="AN504" s="321">
        <f t="shared" si="52"/>
        <v>191163.6</v>
      </c>
      <c r="AO504" s="321">
        <f t="shared" si="52"/>
        <v>1339516.220416144</v>
      </c>
      <c r="AP504" s="321">
        <f t="shared" si="52"/>
        <v>3667436.7806406175</v>
      </c>
    </row>
    <row r="505" spans="1:42" x14ac:dyDescent="0.25">
      <c r="A505" s="311">
        <v>7190506</v>
      </c>
      <c r="D505" s="311">
        <v>7190506</v>
      </c>
      <c r="E505" s="315" t="str">
        <f t="shared" si="43"/>
        <v>Azylový dům Jičín</v>
      </c>
      <c r="F505" s="315" t="str">
        <f t="shared" si="44"/>
        <v>Sociální služby města Jičína</v>
      </c>
      <c r="G505" s="315" t="str">
        <f t="shared" si="45"/>
        <v>§ 57 - Azylové domy</v>
      </c>
      <c r="H505" s="315"/>
      <c r="I505" s="266" t="s">
        <v>1812</v>
      </c>
      <c r="J505" s="319"/>
      <c r="K505" s="266"/>
      <c r="L505" s="320"/>
      <c r="M505" s="321">
        <f t="shared" si="46"/>
        <v>5.85</v>
      </c>
      <c r="N505" s="321">
        <f t="shared" si="51"/>
        <v>1.85</v>
      </c>
      <c r="O505" s="321">
        <f t="shared" si="51"/>
        <v>4</v>
      </c>
      <c r="P505" s="321">
        <f t="shared" si="51"/>
        <v>0</v>
      </c>
      <c r="Q505" s="321">
        <f t="shared" si="51"/>
        <v>0</v>
      </c>
      <c r="R505" s="321">
        <f t="shared" si="51"/>
        <v>14</v>
      </c>
      <c r="S505" s="321">
        <f t="shared" si="51"/>
        <v>0</v>
      </c>
      <c r="T505" s="321">
        <f t="shared" si="51"/>
        <v>0</v>
      </c>
      <c r="U505" s="321">
        <f t="shared" si="51"/>
        <v>0</v>
      </c>
      <c r="V505" s="321"/>
      <c r="W505" s="321">
        <f t="shared" si="52"/>
        <v>5.85</v>
      </c>
      <c r="X505" s="321">
        <f t="shared" si="52"/>
        <v>1.85</v>
      </c>
      <c r="Y505" s="321">
        <f t="shared" si="52"/>
        <v>4</v>
      </c>
      <c r="Z505" s="321">
        <f t="shared" si="52"/>
        <v>0</v>
      </c>
      <c r="AA505" s="321">
        <f t="shared" si="52"/>
        <v>0</v>
      </c>
      <c r="AB505" s="321">
        <f t="shared" si="52"/>
        <v>14</v>
      </c>
      <c r="AC505" s="321">
        <f t="shared" si="52"/>
        <v>0</v>
      </c>
      <c r="AD505" s="321"/>
      <c r="AE505" s="321">
        <f t="shared" si="52"/>
        <v>3791528.1339543406</v>
      </c>
      <c r="AF505" s="321">
        <f t="shared" si="52"/>
        <v>0</v>
      </c>
      <c r="AG505" s="321">
        <f t="shared" si="52"/>
        <v>373966.78898881335</v>
      </c>
      <c r="AH505" s="321">
        <f t="shared" si="52"/>
        <v>0</v>
      </c>
      <c r="AI505" s="321">
        <f t="shared" si="52"/>
        <v>4165494.9229431539</v>
      </c>
      <c r="AJ505" s="321"/>
      <c r="AK505" s="321">
        <f t="shared" si="52"/>
        <v>0</v>
      </c>
      <c r="AL505" s="321">
        <f t="shared" si="52"/>
        <v>0</v>
      </c>
      <c r="AM505" s="321">
        <f t="shared" si="52"/>
        <v>318291.63333333336</v>
      </c>
      <c r="AN505" s="321">
        <f t="shared" si="52"/>
        <v>0</v>
      </c>
      <c r="AO505" s="321">
        <f t="shared" si="52"/>
        <v>318291.63333333336</v>
      </c>
      <c r="AP505" s="321">
        <f t="shared" si="52"/>
        <v>3847203.2896098206</v>
      </c>
    </row>
    <row r="506" spans="1:42" x14ac:dyDescent="0.25">
      <c r="A506" s="311">
        <v>7201840</v>
      </c>
      <c r="D506" s="311">
        <v>7201840</v>
      </c>
      <c r="E506" s="315" t="str">
        <f t="shared" si="43"/>
        <v>Sociální služby města Rychnov nad Kněžnou o. p. s.</v>
      </c>
      <c r="F506" s="315" t="str">
        <f t="shared" si="44"/>
        <v>PRO-SEN sociálně zdravotní služby, o.p.s.</v>
      </c>
      <c r="G506" s="315" t="str">
        <f t="shared" si="45"/>
        <v>§ 40 - Pečovatelská služba</v>
      </c>
      <c r="H506" s="315"/>
      <c r="I506" s="266" t="s">
        <v>1812</v>
      </c>
      <c r="J506" s="319"/>
      <c r="K506" s="266"/>
      <c r="L506" s="320"/>
      <c r="M506" s="321">
        <f t="shared" si="46"/>
        <v>30.25</v>
      </c>
      <c r="N506" s="321">
        <f t="shared" si="51"/>
        <v>1.5</v>
      </c>
      <c r="O506" s="321">
        <f t="shared" si="51"/>
        <v>28.75</v>
      </c>
      <c r="P506" s="321">
        <f t="shared" si="51"/>
        <v>0</v>
      </c>
      <c r="Q506" s="321">
        <f t="shared" si="51"/>
        <v>0</v>
      </c>
      <c r="R506" s="321">
        <f t="shared" si="51"/>
        <v>0</v>
      </c>
      <c r="S506" s="321">
        <f t="shared" si="51"/>
        <v>370</v>
      </c>
      <c r="T506" s="321">
        <f t="shared" si="51"/>
        <v>0</v>
      </c>
      <c r="U506" s="321">
        <f t="shared" si="51"/>
        <v>0</v>
      </c>
      <c r="V506" s="321"/>
      <c r="W506" s="321">
        <f t="shared" si="52"/>
        <v>30.25</v>
      </c>
      <c r="X506" s="321">
        <f t="shared" si="52"/>
        <v>1.5</v>
      </c>
      <c r="Y506" s="321">
        <f t="shared" si="52"/>
        <v>28.75</v>
      </c>
      <c r="Z506" s="321">
        <f t="shared" si="52"/>
        <v>0</v>
      </c>
      <c r="AA506" s="321">
        <f t="shared" si="52"/>
        <v>0</v>
      </c>
      <c r="AB506" s="321">
        <f t="shared" si="52"/>
        <v>0</v>
      </c>
      <c r="AC506" s="321">
        <f t="shared" si="52"/>
        <v>0</v>
      </c>
      <c r="AD506" s="321"/>
      <c r="AE506" s="321">
        <f t="shared" si="52"/>
        <v>17466187.351386666</v>
      </c>
      <c r="AF506" s="321">
        <f t="shared" si="52"/>
        <v>0</v>
      </c>
      <c r="AG506" s="321">
        <f t="shared" si="52"/>
        <v>1302375.1954114933</v>
      </c>
      <c r="AH506" s="321">
        <f t="shared" si="52"/>
        <v>0</v>
      </c>
      <c r="AI506" s="321">
        <f t="shared" si="52"/>
        <v>18768562.546798158</v>
      </c>
      <c r="AJ506" s="321"/>
      <c r="AK506" s="321">
        <f t="shared" si="52"/>
        <v>3989213.0147058824</v>
      </c>
      <c r="AL506" s="321">
        <f t="shared" si="52"/>
        <v>0</v>
      </c>
      <c r="AM506" s="321">
        <f t="shared" si="52"/>
        <v>0</v>
      </c>
      <c r="AN506" s="321">
        <f t="shared" si="52"/>
        <v>0</v>
      </c>
      <c r="AO506" s="321">
        <f t="shared" si="52"/>
        <v>3989213.0147058824</v>
      </c>
      <c r="AP506" s="321">
        <f t="shared" si="52"/>
        <v>14779349.532092277</v>
      </c>
    </row>
    <row r="507" spans="1:42" x14ac:dyDescent="0.25">
      <c r="A507" s="311">
        <v>7218817</v>
      </c>
      <c r="D507" s="311">
        <v>7218817</v>
      </c>
      <c r="E507" s="315" t="str">
        <f t="shared" si="43"/>
        <v>Život bez bariér, z.ú</v>
      </c>
      <c r="F507" s="315" t="str">
        <f t="shared" si="44"/>
        <v>Život bez bariér, z. ú.</v>
      </c>
      <c r="G507" s="315" t="str">
        <f t="shared" si="45"/>
        <v>§ 70 - Sociální rehabilitace</v>
      </c>
      <c r="H507" s="315"/>
      <c r="I507" s="266" t="s">
        <v>1812</v>
      </c>
      <c r="J507" s="319"/>
      <c r="K507" s="266"/>
      <c r="L507" s="320"/>
      <c r="M507" s="321">
        <f t="shared" si="46"/>
        <v>2.5</v>
      </c>
      <c r="N507" s="321">
        <f t="shared" si="51"/>
        <v>0.5</v>
      </c>
      <c r="O507" s="321">
        <f t="shared" si="51"/>
        <v>2</v>
      </c>
      <c r="P507" s="321">
        <f t="shared" si="51"/>
        <v>0</v>
      </c>
      <c r="Q507" s="321">
        <f t="shared" si="51"/>
        <v>0</v>
      </c>
      <c r="R507" s="321">
        <f t="shared" si="51"/>
        <v>0</v>
      </c>
      <c r="S507" s="321">
        <f t="shared" si="51"/>
        <v>20</v>
      </c>
      <c r="T507" s="321">
        <f t="shared" si="51"/>
        <v>0</v>
      </c>
      <c r="U507" s="321">
        <f t="shared" si="51"/>
        <v>0</v>
      </c>
      <c r="V507" s="321"/>
      <c r="W507" s="321">
        <f t="shared" si="52"/>
        <v>2.5</v>
      </c>
      <c r="X507" s="321">
        <f t="shared" si="52"/>
        <v>0.5</v>
      </c>
      <c r="Y507" s="321">
        <f t="shared" si="52"/>
        <v>2</v>
      </c>
      <c r="Z507" s="321">
        <f t="shared" si="52"/>
        <v>0</v>
      </c>
      <c r="AA507" s="321">
        <f t="shared" si="52"/>
        <v>0</v>
      </c>
      <c r="AB507" s="321">
        <f t="shared" si="52"/>
        <v>0</v>
      </c>
      <c r="AC507" s="321">
        <f t="shared" si="52"/>
        <v>0</v>
      </c>
      <c r="AD507" s="321"/>
      <c r="AE507" s="321">
        <f t="shared" si="52"/>
        <v>1755234.0702330237</v>
      </c>
      <c r="AF507" s="321">
        <f t="shared" si="52"/>
        <v>0</v>
      </c>
      <c r="AG507" s="321">
        <f t="shared" si="52"/>
        <v>109527.08962084455</v>
      </c>
      <c r="AH507" s="321">
        <f t="shared" si="52"/>
        <v>0</v>
      </c>
      <c r="AI507" s="321">
        <f t="shared" si="52"/>
        <v>1864761.1598538682</v>
      </c>
      <c r="AJ507" s="321"/>
      <c r="AK507" s="321">
        <f t="shared" si="52"/>
        <v>0</v>
      </c>
      <c r="AL507" s="321">
        <f t="shared" si="52"/>
        <v>0</v>
      </c>
      <c r="AM507" s="321">
        <f t="shared" si="52"/>
        <v>0</v>
      </c>
      <c r="AN507" s="321">
        <f t="shared" si="52"/>
        <v>0</v>
      </c>
      <c r="AO507" s="321">
        <f t="shared" si="52"/>
        <v>0</v>
      </c>
      <c r="AP507" s="321">
        <f t="shared" si="52"/>
        <v>1864761.1598538682</v>
      </c>
    </row>
    <row r="508" spans="1:42" x14ac:dyDescent="0.25">
      <c r="A508" s="311">
        <v>7235281</v>
      </c>
      <c r="D508" s="311">
        <v>7235281</v>
      </c>
      <c r="E508" s="315" t="str">
        <f t="shared" si="43"/>
        <v>Poradna paliativní a hospicové péče</v>
      </c>
      <c r="F508" s="315" t="str">
        <f t="shared" si="44"/>
        <v>Oblastní charita Trutnov</v>
      </c>
      <c r="G508" s="315" t="str">
        <f t="shared" si="45"/>
        <v>§ 37 - Odborné sociální poradenství</v>
      </c>
      <c r="H508" s="315"/>
      <c r="I508" s="266" t="s">
        <v>1812</v>
      </c>
      <c r="J508" s="319"/>
      <c r="K508" s="266"/>
      <c r="L508" s="320"/>
      <c r="M508" s="321">
        <f t="shared" si="46"/>
        <v>0.6</v>
      </c>
      <c r="N508" s="321">
        <f t="shared" ref="N508:AC516" si="53">SUMIFS(N$4:N$318,$D$4:$D$318,$D508)</f>
        <v>0.2</v>
      </c>
      <c r="O508" s="321">
        <f t="shared" si="53"/>
        <v>0.2</v>
      </c>
      <c r="P508" s="321">
        <f t="shared" si="53"/>
        <v>0</v>
      </c>
      <c r="Q508" s="321">
        <f t="shared" si="53"/>
        <v>0.2</v>
      </c>
      <c r="R508" s="321">
        <f t="shared" si="53"/>
        <v>0</v>
      </c>
      <c r="S508" s="321">
        <f t="shared" si="53"/>
        <v>0</v>
      </c>
      <c r="T508" s="321">
        <f t="shared" si="53"/>
        <v>1</v>
      </c>
      <c r="U508" s="321">
        <f t="shared" si="53"/>
        <v>0</v>
      </c>
      <c r="V508" s="321"/>
      <c r="W508" s="321">
        <f t="shared" si="53"/>
        <v>0.6</v>
      </c>
      <c r="X508" s="321">
        <f t="shared" si="53"/>
        <v>0.2</v>
      </c>
      <c r="Y508" s="321">
        <f t="shared" si="53"/>
        <v>0.2</v>
      </c>
      <c r="Z508" s="321">
        <f t="shared" si="53"/>
        <v>0</v>
      </c>
      <c r="AA508" s="321">
        <f t="shared" si="53"/>
        <v>0.2</v>
      </c>
      <c r="AB508" s="321">
        <f t="shared" si="53"/>
        <v>0</v>
      </c>
      <c r="AC508" s="321">
        <f t="shared" si="53"/>
        <v>1</v>
      </c>
      <c r="AD508" s="321"/>
      <c r="AE508" s="321">
        <f t="shared" si="52"/>
        <v>417235.17878542375</v>
      </c>
      <c r="AF508" s="321">
        <f t="shared" si="52"/>
        <v>0</v>
      </c>
      <c r="AG508" s="321">
        <f t="shared" ref="W508:AP520" si="54">SUMIFS(AG$4:AG$318,$D$4:$D$318,$D508)</f>
        <v>28428.927681468518</v>
      </c>
      <c r="AH508" s="321">
        <f t="shared" si="54"/>
        <v>0</v>
      </c>
      <c r="AI508" s="321">
        <f t="shared" si="54"/>
        <v>445664.10646689229</v>
      </c>
      <c r="AJ508" s="321"/>
      <c r="AK508" s="321">
        <f t="shared" si="54"/>
        <v>0</v>
      </c>
      <c r="AL508" s="321">
        <f t="shared" si="54"/>
        <v>0</v>
      </c>
      <c r="AM508" s="321">
        <f t="shared" si="54"/>
        <v>0</v>
      </c>
      <c r="AN508" s="321">
        <f t="shared" si="54"/>
        <v>0</v>
      </c>
      <c r="AO508" s="321">
        <f t="shared" si="54"/>
        <v>0</v>
      </c>
      <c r="AP508" s="321">
        <f t="shared" si="54"/>
        <v>445664.10646689229</v>
      </c>
    </row>
    <row r="509" spans="1:42" x14ac:dyDescent="0.25">
      <c r="A509" s="311">
        <v>7259548</v>
      </c>
      <c r="D509" s="311">
        <v>7259548</v>
      </c>
      <c r="E509" s="315" t="str">
        <f t="shared" si="43"/>
        <v>Pečovatelská služba</v>
      </c>
      <c r="F509" s="315" t="str">
        <f t="shared" si="44"/>
        <v>Městské středisko sociálních služeb MARIE</v>
      </c>
      <c r="G509" s="315" t="str">
        <f t="shared" si="45"/>
        <v>§ 40 - Pečovatelská služba</v>
      </c>
      <c r="H509" s="315"/>
      <c r="I509" s="266" t="s">
        <v>1812</v>
      </c>
      <c r="J509" s="319"/>
      <c r="K509" s="266"/>
      <c r="L509" s="320"/>
      <c r="M509" s="321">
        <f t="shared" si="46"/>
        <v>16</v>
      </c>
      <c r="N509" s="321">
        <f t="shared" si="53"/>
        <v>1</v>
      </c>
      <c r="O509" s="321">
        <f t="shared" si="53"/>
        <v>15</v>
      </c>
      <c r="P509" s="321">
        <f t="shared" si="53"/>
        <v>0</v>
      </c>
      <c r="Q509" s="321">
        <f t="shared" si="53"/>
        <v>0</v>
      </c>
      <c r="R509" s="321">
        <f t="shared" si="53"/>
        <v>0</v>
      </c>
      <c r="S509" s="321">
        <f t="shared" si="53"/>
        <v>260</v>
      </c>
      <c r="T509" s="321">
        <f t="shared" si="53"/>
        <v>0</v>
      </c>
      <c r="U509" s="321">
        <f t="shared" si="53"/>
        <v>0</v>
      </c>
      <c r="V509" s="321"/>
      <c r="W509" s="321">
        <f t="shared" si="54"/>
        <v>16</v>
      </c>
      <c r="X509" s="321">
        <f t="shared" si="54"/>
        <v>1</v>
      </c>
      <c r="Y509" s="321">
        <f t="shared" si="54"/>
        <v>15</v>
      </c>
      <c r="Z509" s="321">
        <f t="shared" si="54"/>
        <v>0</v>
      </c>
      <c r="AA509" s="321">
        <f t="shared" si="54"/>
        <v>0</v>
      </c>
      <c r="AB509" s="321">
        <f t="shared" si="54"/>
        <v>0</v>
      </c>
      <c r="AC509" s="321">
        <f t="shared" si="54"/>
        <v>0</v>
      </c>
      <c r="AD509" s="321"/>
      <c r="AE509" s="321">
        <f t="shared" si="54"/>
        <v>9238313.9709813762</v>
      </c>
      <c r="AF509" s="321">
        <f t="shared" si="54"/>
        <v>0</v>
      </c>
      <c r="AG509" s="321">
        <f t="shared" si="54"/>
        <v>688859.60749037657</v>
      </c>
      <c r="AH509" s="321">
        <f t="shared" si="54"/>
        <v>0</v>
      </c>
      <c r="AI509" s="321">
        <f t="shared" si="54"/>
        <v>9927173.5784717537</v>
      </c>
      <c r="AJ509" s="321"/>
      <c r="AK509" s="321">
        <f t="shared" si="54"/>
        <v>2081328.5294117648</v>
      </c>
      <c r="AL509" s="321">
        <f t="shared" si="54"/>
        <v>0</v>
      </c>
      <c r="AM509" s="321">
        <f t="shared" si="54"/>
        <v>0</v>
      </c>
      <c r="AN509" s="321">
        <f t="shared" si="54"/>
        <v>0</v>
      </c>
      <c r="AO509" s="321">
        <f t="shared" si="54"/>
        <v>2081328.5294117648</v>
      </c>
      <c r="AP509" s="321">
        <f t="shared" si="54"/>
        <v>7845845.0490599889</v>
      </c>
    </row>
    <row r="510" spans="1:42" x14ac:dyDescent="0.25">
      <c r="A510" s="311">
        <v>7263765</v>
      </c>
      <c r="D510" s="311">
        <v>7263765</v>
      </c>
      <c r="E510" s="315" t="str">
        <f t="shared" si="43"/>
        <v>LAFARMA</v>
      </c>
      <c r="F510" s="315" t="str">
        <f t="shared" si="44"/>
        <v>SKOK do života o. p. s.</v>
      </c>
      <c r="G510" s="315" t="str">
        <f t="shared" si="45"/>
        <v>§ 67 - Sociálně terapeutické dílny</v>
      </c>
      <c r="H510" s="315"/>
      <c r="I510" s="266" t="s">
        <v>1812</v>
      </c>
      <c r="J510" s="319"/>
      <c r="K510" s="266"/>
      <c r="L510" s="320"/>
      <c r="M510" s="321">
        <f t="shared" si="46"/>
        <v>2</v>
      </c>
      <c r="N510" s="321">
        <f t="shared" si="53"/>
        <v>1</v>
      </c>
      <c r="O510" s="321">
        <f t="shared" si="53"/>
        <v>1</v>
      </c>
      <c r="P510" s="321">
        <f t="shared" si="53"/>
        <v>0</v>
      </c>
      <c r="Q510" s="321">
        <f t="shared" si="53"/>
        <v>0</v>
      </c>
      <c r="R510" s="321">
        <f t="shared" si="53"/>
        <v>0</v>
      </c>
      <c r="S510" s="321">
        <f t="shared" si="53"/>
        <v>0</v>
      </c>
      <c r="T510" s="321">
        <f t="shared" si="53"/>
        <v>8</v>
      </c>
      <c r="U510" s="321">
        <f t="shared" si="53"/>
        <v>0</v>
      </c>
      <c r="V510" s="321"/>
      <c r="W510" s="321">
        <f t="shared" si="54"/>
        <v>2</v>
      </c>
      <c r="X510" s="321">
        <f t="shared" si="54"/>
        <v>1</v>
      </c>
      <c r="Y510" s="321">
        <f t="shared" si="54"/>
        <v>1</v>
      </c>
      <c r="Z510" s="321">
        <f t="shared" si="54"/>
        <v>0</v>
      </c>
      <c r="AA510" s="321">
        <f t="shared" si="54"/>
        <v>0</v>
      </c>
      <c r="AB510" s="321">
        <f t="shared" si="54"/>
        <v>0</v>
      </c>
      <c r="AC510" s="321">
        <f t="shared" si="54"/>
        <v>8</v>
      </c>
      <c r="AD510" s="321"/>
      <c r="AE510" s="321">
        <f t="shared" si="54"/>
        <v>1242065.7136371145</v>
      </c>
      <c r="AF510" s="321">
        <f t="shared" si="54"/>
        <v>0</v>
      </c>
      <c r="AG510" s="321">
        <f t="shared" si="54"/>
        <v>164303.30838025856</v>
      </c>
      <c r="AH510" s="321">
        <f t="shared" si="54"/>
        <v>0</v>
      </c>
      <c r="AI510" s="321">
        <f t="shared" si="54"/>
        <v>1406369.022017373</v>
      </c>
      <c r="AJ510" s="321"/>
      <c r="AK510" s="321">
        <f t="shared" si="54"/>
        <v>0</v>
      </c>
      <c r="AL510" s="321">
        <f t="shared" si="54"/>
        <v>0</v>
      </c>
      <c r="AM510" s="321">
        <f t="shared" si="54"/>
        <v>0</v>
      </c>
      <c r="AN510" s="321">
        <f t="shared" si="54"/>
        <v>0</v>
      </c>
      <c r="AO510" s="321">
        <f t="shared" si="54"/>
        <v>0</v>
      </c>
      <c r="AP510" s="321">
        <f t="shared" si="54"/>
        <v>1406369.022017373</v>
      </c>
    </row>
    <row r="511" spans="1:42" x14ac:dyDescent="0.25">
      <c r="A511" s="311">
        <v>7268793</v>
      </c>
      <c r="D511" s="311">
        <v>7268793</v>
      </c>
      <c r="E511" s="315" t="str">
        <f t="shared" si="43"/>
        <v>Denní stacionář pro seniory</v>
      </c>
      <c r="F511" s="315" t="str">
        <f t="shared" si="44"/>
        <v>Centrum sociální pomoci a služeb o. p. s.</v>
      </c>
      <c r="G511" s="315" t="str">
        <f t="shared" si="45"/>
        <v>§ 46 - Denní stacionáře</v>
      </c>
      <c r="H511" s="315"/>
      <c r="I511" s="266" t="s">
        <v>1812</v>
      </c>
      <c r="J511" s="319"/>
      <c r="K511" s="266"/>
      <c r="L511" s="320"/>
      <c r="M511" s="321">
        <f t="shared" si="46"/>
        <v>5.75</v>
      </c>
      <c r="N511" s="321">
        <f t="shared" si="53"/>
        <v>0.5</v>
      </c>
      <c r="O511" s="321">
        <f t="shared" si="53"/>
        <v>5.25</v>
      </c>
      <c r="P511" s="321">
        <f t="shared" si="53"/>
        <v>0</v>
      </c>
      <c r="Q511" s="321">
        <f t="shared" si="53"/>
        <v>0</v>
      </c>
      <c r="R511" s="321">
        <f t="shared" si="53"/>
        <v>0</v>
      </c>
      <c r="S511" s="321">
        <f t="shared" si="53"/>
        <v>0</v>
      </c>
      <c r="T511" s="321">
        <f t="shared" si="53"/>
        <v>20</v>
      </c>
      <c r="U511" s="321">
        <f t="shared" si="53"/>
        <v>0</v>
      </c>
      <c r="V511" s="321"/>
      <c r="W511" s="321">
        <f t="shared" si="54"/>
        <v>5.75</v>
      </c>
      <c r="X511" s="321">
        <f t="shared" si="54"/>
        <v>0.5</v>
      </c>
      <c r="Y511" s="321">
        <f t="shared" si="54"/>
        <v>5.25</v>
      </c>
      <c r="Z511" s="321">
        <f t="shared" si="54"/>
        <v>0</v>
      </c>
      <c r="AA511" s="321">
        <f t="shared" si="54"/>
        <v>0</v>
      </c>
      <c r="AB511" s="321">
        <f t="shared" si="54"/>
        <v>0</v>
      </c>
      <c r="AC511" s="321">
        <f t="shared" si="54"/>
        <v>20</v>
      </c>
      <c r="AD511" s="321"/>
      <c r="AE511" s="321">
        <f t="shared" si="54"/>
        <v>4276719.6667279713</v>
      </c>
      <c r="AF511" s="321">
        <f t="shared" si="54"/>
        <v>0</v>
      </c>
      <c r="AG511" s="321">
        <f t="shared" si="54"/>
        <v>558125.07172618236</v>
      </c>
      <c r="AH511" s="321">
        <f t="shared" si="54"/>
        <v>109539.02103877036</v>
      </c>
      <c r="AI511" s="321">
        <f t="shared" si="54"/>
        <v>4944383.7594929244</v>
      </c>
      <c r="AJ511" s="321"/>
      <c r="AK511" s="321">
        <f t="shared" si="54"/>
        <v>708190.68627450976</v>
      </c>
      <c r="AL511" s="321">
        <f t="shared" si="54"/>
        <v>0</v>
      </c>
      <c r="AM511" s="321">
        <f t="shared" si="54"/>
        <v>0</v>
      </c>
      <c r="AN511" s="321">
        <f t="shared" si="54"/>
        <v>109046.15384615384</v>
      </c>
      <c r="AO511" s="321">
        <f t="shared" si="54"/>
        <v>817236.84012066363</v>
      </c>
      <c r="AP511" s="321">
        <f t="shared" si="54"/>
        <v>4127146.9193722606</v>
      </c>
    </row>
    <row r="512" spans="1:42" x14ac:dyDescent="0.25">
      <c r="A512" s="311">
        <v>7365832</v>
      </c>
      <c r="D512" s="311">
        <v>7365832</v>
      </c>
      <c r="E512" s="315" t="str">
        <f t="shared" si="43"/>
        <v>Sociálně terapeutické dílny AJdeTo!</v>
      </c>
      <c r="F512" s="315" t="str">
        <f t="shared" si="44"/>
        <v>Apropo Jičín, o. p. s.</v>
      </c>
      <c r="G512" s="315" t="str">
        <f t="shared" si="45"/>
        <v>§ 67 - Sociálně terapeutické dílny</v>
      </c>
      <c r="H512" s="315"/>
      <c r="I512" s="266" t="s">
        <v>1812</v>
      </c>
      <c r="J512" s="319"/>
      <c r="K512" s="266"/>
      <c r="L512" s="320"/>
      <c r="M512" s="321">
        <f t="shared" si="46"/>
        <v>1.8</v>
      </c>
      <c r="N512" s="321">
        <f t="shared" si="53"/>
        <v>0.3</v>
      </c>
      <c r="O512" s="321">
        <f t="shared" si="53"/>
        <v>1.5</v>
      </c>
      <c r="P512" s="321">
        <f t="shared" si="53"/>
        <v>0</v>
      </c>
      <c r="Q512" s="321">
        <f t="shared" si="53"/>
        <v>0</v>
      </c>
      <c r="R512" s="321">
        <f t="shared" si="53"/>
        <v>0</v>
      </c>
      <c r="S512" s="321">
        <f t="shared" si="53"/>
        <v>0</v>
      </c>
      <c r="T512" s="321">
        <f t="shared" si="53"/>
        <v>20</v>
      </c>
      <c r="U512" s="321">
        <f t="shared" si="53"/>
        <v>0</v>
      </c>
      <c r="V512" s="321"/>
      <c r="W512" s="321">
        <f t="shared" si="54"/>
        <v>1.8</v>
      </c>
      <c r="X512" s="321">
        <f t="shared" si="54"/>
        <v>0.3</v>
      </c>
      <c r="Y512" s="321">
        <f t="shared" si="54"/>
        <v>1.5</v>
      </c>
      <c r="Z512" s="321">
        <f t="shared" si="54"/>
        <v>0</v>
      </c>
      <c r="AA512" s="321">
        <f t="shared" si="54"/>
        <v>0</v>
      </c>
      <c r="AB512" s="321">
        <f t="shared" si="54"/>
        <v>0</v>
      </c>
      <c r="AC512" s="321">
        <f t="shared" si="54"/>
        <v>20</v>
      </c>
      <c r="AD512" s="321"/>
      <c r="AE512" s="321">
        <f t="shared" si="54"/>
        <v>1117859.142273403</v>
      </c>
      <c r="AF512" s="321">
        <f t="shared" si="54"/>
        <v>0</v>
      </c>
      <c r="AG512" s="321">
        <f t="shared" si="54"/>
        <v>147872.97754223272</v>
      </c>
      <c r="AH512" s="321">
        <f t="shared" si="54"/>
        <v>0</v>
      </c>
      <c r="AI512" s="321">
        <f t="shared" si="54"/>
        <v>1265732.1198156357</v>
      </c>
      <c r="AJ512" s="321"/>
      <c r="AK512" s="321">
        <f t="shared" si="54"/>
        <v>0</v>
      </c>
      <c r="AL512" s="321">
        <f t="shared" si="54"/>
        <v>0</v>
      </c>
      <c r="AM512" s="321">
        <f t="shared" si="54"/>
        <v>0</v>
      </c>
      <c r="AN512" s="321">
        <f t="shared" si="54"/>
        <v>0</v>
      </c>
      <c r="AO512" s="321">
        <f t="shared" si="54"/>
        <v>0</v>
      </c>
      <c r="AP512" s="321">
        <f t="shared" si="54"/>
        <v>1265732.1198156357</v>
      </c>
    </row>
    <row r="513" spans="1:42" x14ac:dyDescent="0.25">
      <c r="A513" s="311">
        <v>7381195</v>
      </c>
      <c r="D513" s="311">
        <v>7381195</v>
      </c>
      <c r="E513" s="315" t="str">
        <f t="shared" si="43"/>
        <v>Sociální rehabilitace NONA</v>
      </c>
      <c r="F513" s="315" t="str">
        <f t="shared" si="44"/>
        <v>NONA 92, o. p. s.</v>
      </c>
      <c r="G513" s="315" t="str">
        <f t="shared" si="45"/>
        <v>§ 70 - Sociální rehabilitace</v>
      </c>
      <c r="H513" s="315"/>
      <c r="I513" s="266" t="s">
        <v>1812</v>
      </c>
      <c r="J513" s="319"/>
      <c r="K513" s="266"/>
      <c r="L513" s="320"/>
      <c r="M513" s="321">
        <f t="shared" si="46"/>
        <v>1.1499999999999999</v>
      </c>
      <c r="N513" s="321">
        <f t="shared" si="53"/>
        <v>0.25</v>
      </c>
      <c r="O513" s="321">
        <f t="shared" si="53"/>
        <v>0.9</v>
      </c>
      <c r="P513" s="321">
        <f t="shared" si="53"/>
        <v>0</v>
      </c>
      <c r="Q513" s="321">
        <f t="shared" si="53"/>
        <v>0</v>
      </c>
      <c r="R513" s="321">
        <f t="shared" si="53"/>
        <v>0</v>
      </c>
      <c r="S513" s="321">
        <f t="shared" si="53"/>
        <v>4</v>
      </c>
      <c r="T513" s="321">
        <f t="shared" si="53"/>
        <v>0</v>
      </c>
      <c r="U513" s="321">
        <f t="shared" si="53"/>
        <v>0</v>
      </c>
      <c r="V513" s="321"/>
      <c r="W513" s="321">
        <f t="shared" si="54"/>
        <v>1.1499999999999999</v>
      </c>
      <c r="X513" s="321">
        <f t="shared" si="54"/>
        <v>0.25</v>
      </c>
      <c r="Y513" s="321">
        <f t="shared" si="54"/>
        <v>0.9</v>
      </c>
      <c r="Z513" s="321">
        <f t="shared" si="54"/>
        <v>0</v>
      </c>
      <c r="AA513" s="321">
        <f t="shared" si="54"/>
        <v>0</v>
      </c>
      <c r="AB513" s="321">
        <f t="shared" si="54"/>
        <v>0</v>
      </c>
      <c r="AC513" s="321">
        <f t="shared" si="54"/>
        <v>0</v>
      </c>
      <c r="AD513" s="321"/>
      <c r="AE513" s="321">
        <f t="shared" si="54"/>
        <v>807407.67230719083</v>
      </c>
      <c r="AF513" s="321">
        <f t="shared" si="54"/>
        <v>0</v>
      </c>
      <c r="AG513" s="321">
        <f t="shared" si="54"/>
        <v>50382.461225588486</v>
      </c>
      <c r="AH513" s="321">
        <f t="shared" si="54"/>
        <v>0</v>
      </c>
      <c r="AI513" s="321">
        <f t="shared" si="54"/>
        <v>857790.13353277929</v>
      </c>
      <c r="AJ513" s="321"/>
      <c r="AK513" s="321">
        <f t="shared" si="54"/>
        <v>0</v>
      </c>
      <c r="AL513" s="321">
        <f t="shared" si="54"/>
        <v>0</v>
      </c>
      <c r="AM513" s="321">
        <f t="shared" si="54"/>
        <v>0</v>
      </c>
      <c r="AN513" s="321">
        <f t="shared" si="54"/>
        <v>0</v>
      </c>
      <c r="AO513" s="321">
        <f t="shared" si="54"/>
        <v>0</v>
      </c>
      <c r="AP513" s="321">
        <f t="shared" si="54"/>
        <v>857790.13353277929</v>
      </c>
    </row>
    <row r="514" spans="1:42" x14ac:dyDescent="0.25">
      <c r="A514" s="311">
        <v>7384495</v>
      </c>
      <c r="D514" s="311">
        <v>7384495</v>
      </c>
      <c r="E514" s="315" t="str">
        <f t="shared" si="43"/>
        <v>DOMOV NA STŘÍBRNÉM VRCHU</v>
      </c>
      <c r="F514" s="315" t="str">
        <f t="shared" si="44"/>
        <v>DOMOV NA STŘÍBRNÉM VRCHU</v>
      </c>
      <c r="G514" s="315" t="str">
        <f t="shared" si="45"/>
        <v>§ 70 - Sociální rehabilitace</v>
      </c>
      <c r="H514" s="315"/>
      <c r="I514" s="266" t="s">
        <v>1812</v>
      </c>
      <c r="J514" s="319"/>
      <c r="K514" s="266"/>
      <c r="L514" s="320"/>
      <c r="M514" s="321">
        <f t="shared" si="46"/>
        <v>4.6099999999999994</v>
      </c>
      <c r="N514" s="321">
        <f t="shared" si="53"/>
        <v>1.6</v>
      </c>
      <c r="O514" s="321">
        <f t="shared" si="53"/>
        <v>3.01</v>
      </c>
      <c r="P514" s="321">
        <f t="shared" si="53"/>
        <v>0</v>
      </c>
      <c r="Q514" s="321">
        <f t="shared" si="53"/>
        <v>0</v>
      </c>
      <c r="R514" s="321">
        <f t="shared" si="53"/>
        <v>0</v>
      </c>
      <c r="S514" s="321">
        <f t="shared" si="53"/>
        <v>15</v>
      </c>
      <c r="T514" s="321">
        <f t="shared" si="53"/>
        <v>15</v>
      </c>
      <c r="U514" s="321">
        <f t="shared" si="53"/>
        <v>0</v>
      </c>
      <c r="V514" s="321"/>
      <c r="W514" s="321">
        <f t="shared" si="54"/>
        <v>4.6099999999999994</v>
      </c>
      <c r="X514" s="321">
        <f t="shared" si="54"/>
        <v>1.6</v>
      </c>
      <c r="Y514" s="321">
        <f t="shared" si="54"/>
        <v>3.01</v>
      </c>
      <c r="Z514" s="321">
        <f t="shared" si="54"/>
        <v>0</v>
      </c>
      <c r="AA514" s="321">
        <f t="shared" si="54"/>
        <v>0</v>
      </c>
      <c r="AB514" s="321">
        <f t="shared" si="54"/>
        <v>0</v>
      </c>
      <c r="AC514" s="321">
        <f t="shared" si="54"/>
        <v>15</v>
      </c>
      <c r="AD514" s="321"/>
      <c r="AE514" s="321">
        <f t="shared" si="54"/>
        <v>3236651.6255096951</v>
      </c>
      <c r="AF514" s="321">
        <f t="shared" si="54"/>
        <v>0</v>
      </c>
      <c r="AG514" s="321">
        <f t="shared" si="54"/>
        <v>201967.95326083733</v>
      </c>
      <c r="AH514" s="321">
        <f t="shared" si="54"/>
        <v>0</v>
      </c>
      <c r="AI514" s="321">
        <f t="shared" si="54"/>
        <v>3438619.5787705323</v>
      </c>
      <c r="AJ514" s="321"/>
      <c r="AK514" s="321">
        <f t="shared" si="54"/>
        <v>0</v>
      </c>
      <c r="AL514" s="321">
        <f t="shared" si="54"/>
        <v>0</v>
      </c>
      <c r="AM514" s="321">
        <f t="shared" si="54"/>
        <v>0</v>
      </c>
      <c r="AN514" s="321">
        <f t="shared" si="54"/>
        <v>0</v>
      </c>
      <c r="AO514" s="321">
        <f t="shared" si="54"/>
        <v>0</v>
      </c>
      <c r="AP514" s="321">
        <f t="shared" si="54"/>
        <v>3438619.5787705323</v>
      </c>
    </row>
    <row r="515" spans="1:42" x14ac:dyDescent="0.25">
      <c r="A515" s="311">
        <v>7399132</v>
      </c>
      <c r="D515" s="311">
        <v>7399132</v>
      </c>
      <c r="E515" s="315" t="str">
        <f t="shared" si="43"/>
        <v>Geriatrické centrum Týniště nad Orlicí</v>
      </c>
      <c r="F515" s="315" t="str">
        <f t="shared" si="44"/>
        <v>Geriatrické centrum Týniště nad Orlicí</v>
      </c>
      <c r="G515" s="315" t="str">
        <f t="shared" si="45"/>
        <v>§ 40 - Pečovatelská služba</v>
      </c>
      <c r="H515" s="315"/>
      <c r="I515" s="266" t="s">
        <v>1812</v>
      </c>
      <c r="J515" s="319"/>
      <c r="K515" s="266"/>
      <c r="L515" s="320"/>
      <c r="M515" s="321">
        <f t="shared" si="46"/>
        <v>8</v>
      </c>
      <c r="N515" s="321">
        <f t="shared" si="53"/>
        <v>1</v>
      </c>
      <c r="O515" s="321">
        <f t="shared" si="53"/>
        <v>7</v>
      </c>
      <c r="P515" s="321">
        <f t="shared" si="53"/>
        <v>0</v>
      </c>
      <c r="Q515" s="321">
        <f t="shared" si="53"/>
        <v>0</v>
      </c>
      <c r="R515" s="321">
        <f t="shared" si="53"/>
        <v>0</v>
      </c>
      <c r="S515" s="321">
        <f t="shared" si="53"/>
        <v>110</v>
      </c>
      <c r="T515" s="321">
        <f t="shared" si="53"/>
        <v>0</v>
      </c>
      <c r="U515" s="321">
        <f t="shared" si="53"/>
        <v>0</v>
      </c>
      <c r="V515" s="321"/>
      <c r="W515" s="321">
        <f t="shared" si="54"/>
        <v>8</v>
      </c>
      <c r="X515" s="321">
        <f t="shared" si="54"/>
        <v>1</v>
      </c>
      <c r="Y515" s="321">
        <f t="shared" si="54"/>
        <v>7</v>
      </c>
      <c r="Z515" s="321">
        <f t="shared" si="54"/>
        <v>0</v>
      </c>
      <c r="AA515" s="321">
        <f t="shared" si="54"/>
        <v>0</v>
      </c>
      <c r="AB515" s="321">
        <f t="shared" si="54"/>
        <v>0</v>
      </c>
      <c r="AC515" s="321">
        <f t="shared" si="54"/>
        <v>0</v>
      </c>
      <c r="AD515" s="321"/>
      <c r="AE515" s="321">
        <f t="shared" si="54"/>
        <v>4619156.9854906881</v>
      </c>
      <c r="AF515" s="321">
        <f t="shared" si="54"/>
        <v>0</v>
      </c>
      <c r="AG515" s="321">
        <f t="shared" si="54"/>
        <v>344429.80374518828</v>
      </c>
      <c r="AH515" s="321">
        <f t="shared" si="54"/>
        <v>0</v>
      </c>
      <c r="AI515" s="321">
        <f t="shared" si="54"/>
        <v>4963586.7892358769</v>
      </c>
      <c r="AJ515" s="321"/>
      <c r="AK515" s="321">
        <f t="shared" si="54"/>
        <v>971286.64705882361</v>
      </c>
      <c r="AL515" s="321">
        <f t="shared" si="54"/>
        <v>0</v>
      </c>
      <c r="AM515" s="321">
        <f t="shared" si="54"/>
        <v>0</v>
      </c>
      <c r="AN515" s="321">
        <f t="shared" si="54"/>
        <v>0</v>
      </c>
      <c r="AO515" s="321">
        <f t="shared" si="54"/>
        <v>971286.64705882361</v>
      </c>
      <c r="AP515" s="321">
        <f t="shared" si="54"/>
        <v>3992300.1421770533</v>
      </c>
    </row>
    <row r="516" spans="1:42" x14ac:dyDescent="0.25">
      <c r="A516" s="311">
        <v>7459230</v>
      </c>
      <c r="D516" s="311">
        <v>7459230</v>
      </c>
      <c r="E516" s="315" t="str">
        <f t="shared" si="43"/>
        <v>Osobní asistence</v>
      </c>
      <c r="F516" s="315" t="str">
        <f t="shared" si="44"/>
        <v>Oblastní charita Trutnov</v>
      </c>
      <c r="G516" s="315" t="str">
        <f t="shared" si="45"/>
        <v>§ 39 - Osobní asistence</v>
      </c>
      <c r="H516" s="315"/>
      <c r="I516" s="266" t="s">
        <v>1812</v>
      </c>
      <c r="J516" s="319"/>
      <c r="K516" s="266"/>
      <c r="L516" s="320"/>
      <c r="M516" s="321">
        <f t="shared" si="46"/>
        <v>11.25</v>
      </c>
      <c r="N516" s="321">
        <f t="shared" si="53"/>
        <v>0.25</v>
      </c>
      <c r="O516" s="321">
        <f t="shared" si="53"/>
        <v>11</v>
      </c>
      <c r="P516" s="321">
        <f t="shared" si="53"/>
        <v>0</v>
      </c>
      <c r="Q516" s="321">
        <f t="shared" si="53"/>
        <v>0</v>
      </c>
      <c r="R516" s="321">
        <f t="shared" si="53"/>
        <v>0</v>
      </c>
      <c r="S516" s="321">
        <f t="shared" si="53"/>
        <v>160</v>
      </c>
      <c r="T516" s="321">
        <f t="shared" si="53"/>
        <v>0</v>
      </c>
      <c r="U516" s="321">
        <f t="shared" si="53"/>
        <v>0</v>
      </c>
      <c r="V516" s="321"/>
      <c r="W516" s="321">
        <f t="shared" si="54"/>
        <v>11.25</v>
      </c>
      <c r="X516" s="321">
        <f t="shared" si="54"/>
        <v>0.25</v>
      </c>
      <c r="Y516" s="321">
        <f t="shared" si="54"/>
        <v>11</v>
      </c>
      <c r="Z516" s="321">
        <f t="shared" si="54"/>
        <v>0</v>
      </c>
      <c r="AA516" s="321">
        <f t="shared" si="54"/>
        <v>0</v>
      </c>
      <c r="AB516" s="321">
        <f t="shared" si="54"/>
        <v>0</v>
      </c>
      <c r="AC516" s="321">
        <f t="shared" si="54"/>
        <v>0</v>
      </c>
      <c r="AD516" s="321"/>
      <c r="AE516" s="321">
        <f t="shared" si="54"/>
        <v>6006980.1518521309</v>
      </c>
      <c r="AF516" s="321">
        <f t="shared" si="54"/>
        <v>0</v>
      </c>
      <c r="AG516" s="321">
        <f t="shared" si="54"/>
        <v>223052.30157433377</v>
      </c>
      <c r="AH516" s="321">
        <f t="shared" si="54"/>
        <v>0</v>
      </c>
      <c r="AI516" s="321">
        <f t="shared" si="54"/>
        <v>6230032.4534264645</v>
      </c>
      <c r="AJ516" s="321"/>
      <c r="AK516" s="321">
        <f t="shared" si="54"/>
        <v>1374657.245287434</v>
      </c>
      <c r="AL516" s="321">
        <f t="shared" si="54"/>
        <v>0</v>
      </c>
      <c r="AM516" s="321">
        <f t="shared" si="54"/>
        <v>0</v>
      </c>
      <c r="AN516" s="321">
        <f t="shared" si="54"/>
        <v>0</v>
      </c>
      <c r="AO516" s="321">
        <f t="shared" si="54"/>
        <v>1374657.245287434</v>
      </c>
      <c r="AP516" s="321">
        <f t="shared" si="54"/>
        <v>4855375.2081390303</v>
      </c>
    </row>
    <row r="517" spans="1:42" x14ac:dyDescent="0.25">
      <c r="A517" s="311">
        <v>7566271</v>
      </c>
      <c r="D517" s="311">
        <v>7566271</v>
      </c>
      <c r="E517" s="315" t="str">
        <f t="shared" ref="E517:E580" si="55">VLOOKUP($D517,$D$4:$K$318,2,FALSE)</f>
        <v>Středisko osobní asistence Hradecko</v>
      </c>
      <c r="F517" s="315" t="str">
        <f t="shared" ref="F517:F580" si="56">VLOOKUP($D517,$D$4:$K$318,3,FALSE)</f>
        <v>HEWER, z.s.</v>
      </c>
      <c r="G517" s="315" t="str">
        <f t="shared" ref="G517:G580" si="57">VLOOKUP($D517,$D$4:$K$318,8,FALSE)</f>
        <v>§ 39 - Osobní asistence</v>
      </c>
      <c r="H517" s="315"/>
      <c r="I517" s="266" t="s">
        <v>1812</v>
      </c>
      <c r="J517" s="319"/>
      <c r="K517" s="266"/>
      <c r="L517" s="320"/>
      <c r="M517" s="321">
        <f t="shared" ref="M517:U580" si="58">SUMIFS(M$4:M$318,$D$4:$D$318,$D517)</f>
        <v>25.8</v>
      </c>
      <c r="N517" s="321">
        <f t="shared" si="58"/>
        <v>1.8000000000000003</v>
      </c>
      <c r="O517" s="321">
        <f t="shared" si="58"/>
        <v>24</v>
      </c>
      <c r="P517" s="321">
        <f t="shared" si="58"/>
        <v>0</v>
      </c>
      <c r="Q517" s="321">
        <f t="shared" si="58"/>
        <v>0</v>
      </c>
      <c r="R517" s="321">
        <f t="shared" si="58"/>
        <v>0</v>
      </c>
      <c r="S517" s="321">
        <f t="shared" si="58"/>
        <v>144</v>
      </c>
      <c r="T517" s="321">
        <f t="shared" si="58"/>
        <v>0</v>
      </c>
      <c r="U517" s="321">
        <f t="shared" si="58"/>
        <v>0</v>
      </c>
      <c r="V517" s="321"/>
      <c r="W517" s="321">
        <f t="shared" si="54"/>
        <v>25.8</v>
      </c>
      <c r="X517" s="321">
        <f t="shared" si="54"/>
        <v>1.8000000000000003</v>
      </c>
      <c r="Y517" s="321">
        <f t="shared" si="54"/>
        <v>24</v>
      </c>
      <c r="Z517" s="321">
        <f t="shared" si="54"/>
        <v>0</v>
      </c>
      <c r="AA517" s="321">
        <f t="shared" si="54"/>
        <v>0</v>
      </c>
      <c r="AB517" s="321">
        <f t="shared" si="54"/>
        <v>0</v>
      </c>
      <c r="AC517" s="321">
        <f t="shared" si="54"/>
        <v>0</v>
      </c>
      <c r="AD517" s="321"/>
      <c r="AE517" s="321">
        <f t="shared" si="54"/>
        <v>13776007.814914223</v>
      </c>
      <c r="AF517" s="321">
        <f t="shared" si="54"/>
        <v>0</v>
      </c>
      <c r="AG517" s="321">
        <f t="shared" si="54"/>
        <v>511533.27827713883</v>
      </c>
      <c r="AH517" s="321">
        <f t="shared" si="54"/>
        <v>0</v>
      </c>
      <c r="AI517" s="321">
        <f t="shared" si="54"/>
        <v>14287541.093191361</v>
      </c>
      <c r="AJ517" s="321"/>
      <c r="AK517" s="321">
        <f t="shared" si="54"/>
        <v>2999252.1715362193</v>
      </c>
      <c r="AL517" s="321">
        <f t="shared" si="54"/>
        <v>0</v>
      </c>
      <c r="AM517" s="321">
        <f t="shared" si="54"/>
        <v>0</v>
      </c>
      <c r="AN517" s="321">
        <f t="shared" si="54"/>
        <v>0</v>
      </c>
      <c r="AO517" s="321">
        <f t="shared" si="54"/>
        <v>2999252.1715362193</v>
      </c>
      <c r="AP517" s="321">
        <f t="shared" si="54"/>
        <v>11288288.921655141</v>
      </c>
    </row>
    <row r="518" spans="1:42" x14ac:dyDescent="0.25">
      <c r="A518" s="311">
        <v>7630615</v>
      </c>
      <c r="D518" s="311">
        <v>7630615</v>
      </c>
      <c r="E518" s="315" t="str">
        <f t="shared" si="55"/>
        <v>Domov U Biřičky, Hradec Králové</v>
      </c>
      <c r="F518" s="315" t="str">
        <f t="shared" si="56"/>
        <v>Domov U Biřičky</v>
      </c>
      <c r="G518" s="315" t="str">
        <f t="shared" si="57"/>
        <v>§ 49 - Domovy pro seniory</v>
      </c>
      <c r="H518" s="315"/>
      <c r="I518" s="266" t="s">
        <v>1812</v>
      </c>
      <c r="J518" s="319"/>
      <c r="K518" s="266"/>
      <c r="L518" s="320"/>
      <c r="M518" s="321">
        <f t="shared" si="58"/>
        <v>130.19999999999999</v>
      </c>
      <c r="N518" s="321">
        <f t="shared" si="58"/>
        <v>6.5</v>
      </c>
      <c r="O518" s="321">
        <f t="shared" si="58"/>
        <v>97.4</v>
      </c>
      <c r="P518" s="321">
        <f t="shared" si="58"/>
        <v>26.3</v>
      </c>
      <c r="Q518" s="321">
        <f t="shared" si="58"/>
        <v>0</v>
      </c>
      <c r="R518" s="321">
        <f t="shared" si="58"/>
        <v>282</v>
      </c>
      <c r="S518" s="321">
        <f t="shared" si="58"/>
        <v>0</v>
      </c>
      <c r="T518" s="321">
        <f t="shared" si="58"/>
        <v>0</v>
      </c>
      <c r="U518" s="321">
        <f t="shared" si="58"/>
        <v>0</v>
      </c>
      <c r="V518" s="321"/>
      <c r="W518" s="321">
        <f t="shared" si="54"/>
        <v>130.19999999999999</v>
      </c>
      <c r="X518" s="321">
        <f t="shared" si="54"/>
        <v>6.5</v>
      </c>
      <c r="Y518" s="321">
        <f t="shared" si="54"/>
        <v>97.4</v>
      </c>
      <c r="Z518" s="321">
        <f t="shared" si="54"/>
        <v>26.3</v>
      </c>
      <c r="AA518" s="321">
        <f t="shared" si="54"/>
        <v>0</v>
      </c>
      <c r="AB518" s="321">
        <f t="shared" si="54"/>
        <v>282</v>
      </c>
      <c r="AC518" s="321">
        <f t="shared" si="54"/>
        <v>0</v>
      </c>
      <c r="AD518" s="321"/>
      <c r="AE518" s="321">
        <f t="shared" si="54"/>
        <v>70812148.092843413</v>
      </c>
      <c r="AF518" s="321">
        <f t="shared" si="54"/>
        <v>22304782.448591445</v>
      </c>
      <c r="AG518" s="321">
        <f t="shared" si="54"/>
        <v>28570237.627791848</v>
      </c>
      <c r="AH518" s="321">
        <f t="shared" si="54"/>
        <v>20027678.693192434</v>
      </c>
      <c r="AI518" s="321">
        <f t="shared" si="54"/>
        <v>141714846.86241913</v>
      </c>
      <c r="AJ518" s="321"/>
      <c r="AK518" s="321">
        <f t="shared" si="54"/>
        <v>31660276.813953485</v>
      </c>
      <c r="AL518" s="321">
        <f t="shared" si="54"/>
        <v>8247052.9903381644</v>
      </c>
      <c r="AM518" s="321">
        <f t="shared" si="54"/>
        <v>21692504.444444444</v>
      </c>
      <c r="AN518" s="321">
        <f t="shared" si="54"/>
        <v>14347331.754595589</v>
      </c>
      <c r="AO518" s="321">
        <f t="shared" si="54"/>
        <v>75947166.003331691</v>
      </c>
      <c r="AP518" s="321">
        <f t="shared" si="54"/>
        <v>65767680.859087437</v>
      </c>
    </row>
    <row r="519" spans="1:42" x14ac:dyDescent="0.25">
      <c r="A519" s="311">
        <v>7634996</v>
      </c>
      <c r="D519" s="311">
        <v>7634996</v>
      </c>
      <c r="E519" s="315" t="str">
        <f t="shared" si="55"/>
        <v>Občanská poradna Jaroměř</v>
      </c>
      <c r="F519" s="315" t="str">
        <f t="shared" si="56"/>
        <v>Farní charita Dvůr Králové nad Labem</v>
      </c>
      <c r="G519" s="315" t="str">
        <f t="shared" si="57"/>
        <v>§ 37 - Odborné sociální poradenství</v>
      </c>
      <c r="H519" s="315"/>
      <c r="I519" s="266" t="s">
        <v>1812</v>
      </c>
      <c r="J519" s="319"/>
      <c r="K519" s="266"/>
      <c r="L519" s="320"/>
      <c r="M519" s="321">
        <f t="shared" si="58"/>
        <v>0.4</v>
      </c>
      <c r="N519" s="321">
        <f t="shared" si="58"/>
        <v>0.4</v>
      </c>
      <c r="O519" s="321">
        <f t="shared" si="58"/>
        <v>0</v>
      </c>
      <c r="P519" s="321">
        <f t="shared" si="58"/>
        <v>0</v>
      </c>
      <c r="Q519" s="321">
        <f t="shared" si="58"/>
        <v>0</v>
      </c>
      <c r="R519" s="321">
        <f t="shared" si="58"/>
        <v>0</v>
      </c>
      <c r="S519" s="321">
        <f t="shared" si="58"/>
        <v>14</v>
      </c>
      <c r="T519" s="321">
        <f t="shared" si="58"/>
        <v>0</v>
      </c>
      <c r="U519" s="321">
        <f t="shared" si="58"/>
        <v>0</v>
      </c>
      <c r="V519" s="321"/>
      <c r="W519" s="321">
        <f t="shared" si="54"/>
        <v>0.4</v>
      </c>
      <c r="X519" s="321">
        <f t="shared" si="54"/>
        <v>0.4</v>
      </c>
      <c r="Y519" s="321">
        <f t="shared" si="54"/>
        <v>0</v>
      </c>
      <c r="Z519" s="321">
        <f t="shared" si="54"/>
        <v>0</v>
      </c>
      <c r="AA519" s="321">
        <f t="shared" si="54"/>
        <v>0</v>
      </c>
      <c r="AB519" s="321">
        <f t="shared" si="54"/>
        <v>0</v>
      </c>
      <c r="AC519" s="321">
        <f t="shared" si="54"/>
        <v>0</v>
      </c>
      <c r="AD519" s="321"/>
      <c r="AE519" s="321">
        <f t="shared" si="54"/>
        <v>278156.78585694917</v>
      </c>
      <c r="AF519" s="321">
        <f t="shared" si="54"/>
        <v>0</v>
      </c>
      <c r="AG519" s="321">
        <f t="shared" si="54"/>
        <v>18952.618454312349</v>
      </c>
      <c r="AH519" s="321">
        <f t="shared" si="54"/>
        <v>0</v>
      </c>
      <c r="AI519" s="321">
        <f t="shared" si="54"/>
        <v>297109.40431126149</v>
      </c>
      <c r="AJ519" s="321"/>
      <c r="AK519" s="321">
        <f t="shared" si="54"/>
        <v>0</v>
      </c>
      <c r="AL519" s="321">
        <f t="shared" si="54"/>
        <v>0</v>
      </c>
      <c r="AM519" s="321">
        <f t="shared" si="54"/>
        <v>0</v>
      </c>
      <c r="AN519" s="321">
        <f t="shared" si="54"/>
        <v>0</v>
      </c>
      <c r="AO519" s="321">
        <f t="shared" si="54"/>
        <v>0</v>
      </c>
      <c r="AP519" s="321">
        <f t="shared" si="54"/>
        <v>297109.40431126149</v>
      </c>
    </row>
    <row r="520" spans="1:42" x14ac:dyDescent="0.25">
      <c r="A520" s="311">
        <v>7653065</v>
      </c>
      <c r="D520" s="311">
        <v>7653065</v>
      </c>
      <c r="E520" s="315" t="str">
        <f t="shared" si="55"/>
        <v>Sociálně terapeutická dílna Slunečnice</v>
      </c>
      <c r="F520" s="315" t="str">
        <f t="shared" si="56"/>
        <v>Farní charita Dvůr Králové nad Labem</v>
      </c>
      <c r="G520" s="315" t="str">
        <f t="shared" si="57"/>
        <v>§ 67 - Sociálně terapeutické dílny</v>
      </c>
      <c r="H520" s="315"/>
      <c r="I520" s="266" t="s">
        <v>1812</v>
      </c>
      <c r="J520" s="319"/>
      <c r="K520" s="266"/>
      <c r="L520" s="320"/>
      <c r="M520" s="321">
        <f t="shared" si="58"/>
        <v>5</v>
      </c>
      <c r="N520" s="321">
        <f t="shared" si="58"/>
        <v>1</v>
      </c>
      <c r="O520" s="321">
        <f t="shared" si="58"/>
        <v>4</v>
      </c>
      <c r="P520" s="321">
        <f t="shared" si="58"/>
        <v>0</v>
      </c>
      <c r="Q520" s="321">
        <f t="shared" si="58"/>
        <v>0</v>
      </c>
      <c r="R520" s="321">
        <f t="shared" si="58"/>
        <v>0</v>
      </c>
      <c r="S520" s="321">
        <f t="shared" si="58"/>
        <v>0</v>
      </c>
      <c r="T520" s="321">
        <f t="shared" si="58"/>
        <v>14</v>
      </c>
      <c r="U520" s="321">
        <f t="shared" si="58"/>
        <v>0</v>
      </c>
      <c r="V520" s="321"/>
      <c r="W520" s="321">
        <f t="shared" si="54"/>
        <v>5</v>
      </c>
      <c r="X520" s="321">
        <f t="shared" si="54"/>
        <v>1</v>
      </c>
      <c r="Y520" s="321">
        <f t="shared" si="54"/>
        <v>4</v>
      </c>
      <c r="Z520" s="321">
        <f t="shared" si="54"/>
        <v>0</v>
      </c>
      <c r="AA520" s="321">
        <f t="shared" si="54"/>
        <v>0</v>
      </c>
      <c r="AB520" s="321">
        <f t="shared" si="54"/>
        <v>0</v>
      </c>
      <c r="AC520" s="321">
        <f t="shared" si="54"/>
        <v>14</v>
      </c>
      <c r="AD520" s="321"/>
      <c r="AE520" s="321">
        <f t="shared" si="54"/>
        <v>3105164.2840927863</v>
      </c>
      <c r="AF520" s="321">
        <f t="shared" si="54"/>
        <v>0</v>
      </c>
      <c r="AG520" s="321">
        <f t="shared" si="54"/>
        <v>410758.27095064637</v>
      </c>
      <c r="AH520" s="321">
        <f t="shared" si="54"/>
        <v>0</v>
      </c>
      <c r="AI520" s="321">
        <f t="shared" si="54"/>
        <v>3515922.5550434329</v>
      </c>
      <c r="AJ520" s="321"/>
      <c r="AK520" s="321">
        <f t="shared" ref="W520:AP532" si="59">SUMIFS(AK$4:AK$318,$D$4:$D$318,$D520)</f>
        <v>0</v>
      </c>
      <c r="AL520" s="321">
        <f t="shared" si="59"/>
        <v>0</v>
      </c>
      <c r="AM520" s="321">
        <f t="shared" si="59"/>
        <v>0</v>
      </c>
      <c r="AN520" s="321">
        <f t="shared" si="59"/>
        <v>0</v>
      </c>
      <c r="AO520" s="321">
        <f t="shared" si="59"/>
        <v>0</v>
      </c>
      <c r="AP520" s="321">
        <f t="shared" si="59"/>
        <v>3515922.5550434329</v>
      </c>
    </row>
    <row r="521" spans="1:42" x14ac:dyDescent="0.25">
      <c r="A521" s="311">
        <v>7663376</v>
      </c>
      <c r="D521" s="311">
        <v>7663376</v>
      </c>
      <c r="E521" s="315" t="str">
        <f t="shared" si="55"/>
        <v>Domov se zvláštním režimem</v>
      </c>
      <c r="F521" s="315" t="str">
        <f t="shared" si="56"/>
        <v>Domov důchodců Tmavý Důl</v>
      </c>
      <c r="G521" s="315" t="str">
        <f t="shared" si="57"/>
        <v>§ 50 - Domovy se zvláštním režimem</v>
      </c>
      <c r="H521" s="315"/>
      <c r="I521" s="266" t="s">
        <v>1812</v>
      </c>
      <c r="J521" s="319"/>
      <c r="K521" s="266"/>
      <c r="L521" s="320"/>
      <c r="M521" s="321">
        <f t="shared" si="58"/>
        <v>9.5</v>
      </c>
      <c r="N521" s="321">
        <f t="shared" si="58"/>
        <v>0.5</v>
      </c>
      <c r="O521" s="321">
        <f t="shared" si="58"/>
        <v>6</v>
      </c>
      <c r="P521" s="321">
        <f t="shared" si="58"/>
        <v>3</v>
      </c>
      <c r="Q521" s="321">
        <f t="shared" si="58"/>
        <v>0</v>
      </c>
      <c r="R521" s="321">
        <f t="shared" si="58"/>
        <v>16</v>
      </c>
      <c r="S521" s="321">
        <f t="shared" si="58"/>
        <v>0</v>
      </c>
      <c r="T521" s="321">
        <f t="shared" si="58"/>
        <v>0</v>
      </c>
      <c r="U521" s="321">
        <f t="shared" si="58"/>
        <v>0</v>
      </c>
      <c r="V521" s="321"/>
      <c r="W521" s="321">
        <f t="shared" si="59"/>
        <v>9.5</v>
      </c>
      <c r="X521" s="321">
        <f t="shared" si="59"/>
        <v>0.5</v>
      </c>
      <c r="Y521" s="321">
        <f t="shared" si="59"/>
        <v>6</v>
      </c>
      <c r="Z521" s="321">
        <f t="shared" si="59"/>
        <v>3</v>
      </c>
      <c r="AA521" s="321">
        <f t="shared" si="59"/>
        <v>0</v>
      </c>
      <c r="AB521" s="321">
        <f t="shared" si="59"/>
        <v>16</v>
      </c>
      <c r="AC521" s="321">
        <f t="shared" si="59"/>
        <v>0</v>
      </c>
      <c r="AD521" s="321"/>
      <c r="AE521" s="321">
        <f t="shared" si="59"/>
        <v>4336983.0229151901</v>
      </c>
      <c r="AF521" s="321">
        <f t="shared" si="59"/>
        <v>2537734.0960681643</v>
      </c>
      <c r="AG521" s="321">
        <f t="shared" si="59"/>
        <v>1594524.3009736638</v>
      </c>
      <c r="AH521" s="321">
        <f t="shared" si="59"/>
        <v>1076873.5541470838</v>
      </c>
      <c r="AI521" s="321">
        <f t="shared" si="59"/>
        <v>9546114.9741041008</v>
      </c>
      <c r="AJ521" s="321"/>
      <c r="AK521" s="321">
        <f t="shared" si="59"/>
        <v>1921091.52</v>
      </c>
      <c r="AL521" s="321">
        <f t="shared" si="59"/>
        <v>359713.54</v>
      </c>
      <c r="AM521" s="321">
        <f t="shared" si="59"/>
        <v>1159069.2413793104</v>
      </c>
      <c r="AN521" s="321">
        <f t="shared" si="59"/>
        <v>816021.6</v>
      </c>
      <c r="AO521" s="321">
        <f t="shared" si="59"/>
        <v>4255895.9013793105</v>
      </c>
      <c r="AP521" s="321">
        <f t="shared" si="59"/>
        <v>5290219.0727247903</v>
      </c>
    </row>
    <row r="522" spans="1:42" x14ac:dyDescent="0.25">
      <c r="A522" s="311">
        <v>7702105</v>
      </c>
      <c r="D522" s="311">
        <v>7702105</v>
      </c>
      <c r="E522" s="315" t="str">
        <f t="shared" si="55"/>
        <v>Pečovatelská služba</v>
      </c>
      <c r="F522" s="315" t="str">
        <f t="shared" si="56"/>
        <v>Město Lázně Bělohrad</v>
      </c>
      <c r="G522" s="315" t="str">
        <f t="shared" si="57"/>
        <v>§ 40 - Pečovatelská služba</v>
      </c>
      <c r="H522" s="315"/>
      <c r="I522" s="266" t="s">
        <v>1812</v>
      </c>
      <c r="J522" s="319"/>
      <c r="K522" s="266"/>
      <c r="L522" s="320"/>
      <c r="M522" s="321">
        <f t="shared" si="58"/>
        <v>4.9000000000000004</v>
      </c>
      <c r="N522" s="321">
        <f t="shared" si="58"/>
        <v>0.9</v>
      </c>
      <c r="O522" s="321">
        <f t="shared" si="58"/>
        <v>4</v>
      </c>
      <c r="P522" s="321">
        <f t="shared" si="58"/>
        <v>0</v>
      </c>
      <c r="Q522" s="321">
        <f t="shared" si="58"/>
        <v>0</v>
      </c>
      <c r="R522" s="321">
        <f t="shared" si="58"/>
        <v>0</v>
      </c>
      <c r="S522" s="321">
        <f t="shared" si="58"/>
        <v>50</v>
      </c>
      <c r="T522" s="321">
        <f t="shared" si="58"/>
        <v>0</v>
      </c>
      <c r="U522" s="321">
        <f t="shared" si="58"/>
        <v>0</v>
      </c>
      <c r="V522" s="321"/>
      <c r="W522" s="321">
        <f t="shared" si="59"/>
        <v>4.9000000000000004</v>
      </c>
      <c r="X522" s="321">
        <f t="shared" si="59"/>
        <v>0.9</v>
      </c>
      <c r="Y522" s="321">
        <f t="shared" si="59"/>
        <v>4</v>
      </c>
      <c r="Z522" s="321">
        <f t="shared" si="59"/>
        <v>0</v>
      </c>
      <c r="AA522" s="321">
        <f t="shared" si="59"/>
        <v>0</v>
      </c>
      <c r="AB522" s="321">
        <f t="shared" si="59"/>
        <v>0</v>
      </c>
      <c r="AC522" s="321">
        <f t="shared" si="59"/>
        <v>0</v>
      </c>
      <c r="AD522" s="321"/>
      <c r="AE522" s="321">
        <f t="shared" si="59"/>
        <v>2829233.6536130467</v>
      </c>
      <c r="AF522" s="321">
        <f t="shared" si="59"/>
        <v>0</v>
      </c>
      <c r="AG522" s="321">
        <f t="shared" si="59"/>
        <v>210963.25479392783</v>
      </c>
      <c r="AH522" s="321">
        <f t="shared" si="59"/>
        <v>0</v>
      </c>
      <c r="AI522" s="321">
        <f t="shared" si="59"/>
        <v>3040196.9084069747</v>
      </c>
      <c r="AJ522" s="321"/>
      <c r="AK522" s="321">
        <f t="shared" si="59"/>
        <v>555020.9411764706</v>
      </c>
      <c r="AL522" s="321">
        <f t="shared" si="59"/>
        <v>0</v>
      </c>
      <c r="AM522" s="321">
        <f t="shared" si="59"/>
        <v>0</v>
      </c>
      <c r="AN522" s="321">
        <f t="shared" si="59"/>
        <v>0</v>
      </c>
      <c r="AO522" s="321">
        <f t="shared" si="59"/>
        <v>555020.9411764706</v>
      </c>
      <c r="AP522" s="321">
        <f t="shared" si="59"/>
        <v>2485175.9672305044</v>
      </c>
    </row>
    <row r="523" spans="1:42" x14ac:dyDescent="0.25">
      <c r="A523" s="311">
        <v>7741294</v>
      </c>
      <c r="D523" s="311">
        <v>7741294</v>
      </c>
      <c r="E523" s="315" t="str">
        <f t="shared" si="55"/>
        <v>Charitní pečovatelská služba Hostinné</v>
      </c>
      <c r="F523" s="315" t="str">
        <f t="shared" si="56"/>
        <v>Oblastní charita Červený Kostelec</v>
      </c>
      <c r="G523" s="315" t="str">
        <f t="shared" si="57"/>
        <v>§ 40 - Pečovatelská služba</v>
      </c>
      <c r="H523" s="315"/>
      <c r="I523" s="266" t="s">
        <v>1812</v>
      </c>
      <c r="J523" s="319"/>
      <c r="K523" s="266"/>
      <c r="L523" s="320"/>
      <c r="M523" s="321">
        <f t="shared" si="58"/>
        <v>4</v>
      </c>
      <c r="N523" s="321">
        <f t="shared" si="58"/>
        <v>1</v>
      </c>
      <c r="O523" s="321">
        <f t="shared" si="58"/>
        <v>3</v>
      </c>
      <c r="P523" s="321">
        <f t="shared" si="58"/>
        <v>0</v>
      </c>
      <c r="Q523" s="321">
        <f t="shared" si="58"/>
        <v>0</v>
      </c>
      <c r="R523" s="321">
        <f t="shared" si="58"/>
        <v>0</v>
      </c>
      <c r="S523" s="321">
        <f t="shared" si="58"/>
        <v>125</v>
      </c>
      <c r="T523" s="321">
        <f t="shared" si="58"/>
        <v>0</v>
      </c>
      <c r="U523" s="321">
        <f t="shared" si="58"/>
        <v>0</v>
      </c>
      <c r="V523" s="321"/>
      <c r="W523" s="321">
        <f t="shared" si="59"/>
        <v>4</v>
      </c>
      <c r="X523" s="321">
        <f t="shared" si="59"/>
        <v>1</v>
      </c>
      <c r="Y523" s="321">
        <f t="shared" si="59"/>
        <v>3</v>
      </c>
      <c r="Z523" s="321">
        <f t="shared" si="59"/>
        <v>0</v>
      </c>
      <c r="AA523" s="321">
        <f t="shared" si="59"/>
        <v>0</v>
      </c>
      <c r="AB523" s="321">
        <f t="shared" si="59"/>
        <v>0</v>
      </c>
      <c r="AC523" s="321">
        <f t="shared" si="59"/>
        <v>0</v>
      </c>
      <c r="AD523" s="321"/>
      <c r="AE523" s="321">
        <f t="shared" si="59"/>
        <v>2309578.4927453441</v>
      </c>
      <c r="AF523" s="321">
        <f t="shared" si="59"/>
        <v>0</v>
      </c>
      <c r="AG523" s="321">
        <f t="shared" si="59"/>
        <v>172214.90187259414</v>
      </c>
      <c r="AH523" s="321">
        <f t="shared" si="59"/>
        <v>0</v>
      </c>
      <c r="AI523" s="321">
        <f t="shared" si="59"/>
        <v>2481793.3946179384</v>
      </c>
      <c r="AJ523" s="321"/>
      <c r="AK523" s="321">
        <f t="shared" si="59"/>
        <v>416265.70588235295</v>
      </c>
      <c r="AL523" s="321">
        <f t="shared" si="59"/>
        <v>0</v>
      </c>
      <c r="AM523" s="321">
        <f t="shared" si="59"/>
        <v>0</v>
      </c>
      <c r="AN523" s="321">
        <f t="shared" si="59"/>
        <v>0</v>
      </c>
      <c r="AO523" s="321">
        <f t="shared" si="59"/>
        <v>416265.70588235295</v>
      </c>
      <c r="AP523" s="321">
        <f t="shared" si="59"/>
        <v>2065527.6887355854</v>
      </c>
    </row>
    <row r="524" spans="1:42" x14ac:dyDescent="0.25">
      <c r="A524" s="311">
        <v>7790627</v>
      </c>
      <c r="D524" s="311">
        <v>7790627</v>
      </c>
      <c r="E524" s="315" t="str">
        <f t="shared" si="55"/>
        <v>Sociální rehabilitace</v>
      </c>
      <c r="F524" s="315" t="str">
        <f t="shared" si="56"/>
        <v>Diakonie ČCE - středisko Světlo ve Vrchlabí</v>
      </c>
      <c r="G524" s="315" t="str">
        <f t="shared" si="57"/>
        <v>§ 70 - Sociální rehabilitace</v>
      </c>
      <c r="H524" s="315"/>
      <c r="I524" s="266" t="s">
        <v>1812</v>
      </c>
      <c r="J524" s="319"/>
      <c r="K524" s="266"/>
      <c r="L524" s="320"/>
      <c r="M524" s="321">
        <f t="shared" si="58"/>
        <v>4.74</v>
      </c>
      <c r="N524" s="321">
        <f t="shared" si="58"/>
        <v>0.6</v>
      </c>
      <c r="O524" s="321">
        <f t="shared" si="58"/>
        <v>4.1400000000000006</v>
      </c>
      <c r="P524" s="321">
        <f t="shared" si="58"/>
        <v>0</v>
      </c>
      <c r="Q524" s="321">
        <f t="shared" si="58"/>
        <v>0</v>
      </c>
      <c r="R524" s="321">
        <f t="shared" si="58"/>
        <v>0</v>
      </c>
      <c r="S524" s="321">
        <f t="shared" si="58"/>
        <v>30</v>
      </c>
      <c r="T524" s="321">
        <f t="shared" si="58"/>
        <v>9</v>
      </c>
      <c r="U524" s="321">
        <f t="shared" si="58"/>
        <v>0</v>
      </c>
      <c r="V524" s="321"/>
      <c r="W524" s="321">
        <f t="shared" si="59"/>
        <v>4.74</v>
      </c>
      <c r="X524" s="321">
        <f t="shared" si="59"/>
        <v>0.6</v>
      </c>
      <c r="Y524" s="321">
        <f t="shared" si="59"/>
        <v>4.1400000000000006</v>
      </c>
      <c r="Z524" s="321">
        <f t="shared" si="59"/>
        <v>0</v>
      </c>
      <c r="AA524" s="321">
        <f t="shared" si="59"/>
        <v>0</v>
      </c>
      <c r="AB524" s="321">
        <f t="shared" si="59"/>
        <v>0</v>
      </c>
      <c r="AC524" s="321">
        <f t="shared" si="59"/>
        <v>9</v>
      </c>
      <c r="AD524" s="321"/>
      <c r="AE524" s="321">
        <f t="shared" si="59"/>
        <v>3327923.7971618129</v>
      </c>
      <c r="AF524" s="321">
        <f t="shared" si="59"/>
        <v>0</v>
      </c>
      <c r="AG524" s="321">
        <f t="shared" si="59"/>
        <v>207663.36192112128</v>
      </c>
      <c r="AH524" s="321">
        <f t="shared" si="59"/>
        <v>0</v>
      </c>
      <c r="AI524" s="321">
        <f t="shared" si="59"/>
        <v>3535587.1590829343</v>
      </c>
      <c r="AJ524" s="321"/>
      <c r="AK524" s="321">
        <f t="shared" si="59"/>
        <v>0</v>
      </c>
      <c r="AL524" s="321">
        <f t="shared" si="59"/>
        <v>0</v>
      </c>
      <c r="AM524" s="321">
        <f t="shared" si="59"/>
        <v>0</v>
      </c>
      <c r="AN524" s="321">
        <f t="shared" si="59"/>
        <v>0</v>
      </c>
      <c r="AO524" s="321">
        <f t="shared" si="59"/>
        <v>0</v>
      </c>
      <c r="AP524" s="321">
        <f t="shared" si="59"/>
        <v>3535587.1590829343</v>
      </c>
    </row>
    <row r="525" spans="1:42" x14ac:dyDescent="0.25">
      <c r="A525" s="311">
        <v>7805491</v>
      </c>
      <c r="D525" s="311">
        <v>7805491</v>
      </c>
      <c r="E525" s="315" t="str">
        <f t="shared" si="55"/>
        <v>Pferdí trénink Rychnov</v>
      </c>
      <c r="F525" s="315" t="str">
        <f t="shared" si="56"/>
        <v>PFERDA z.ú.</v>
      </c>
      <c r="G525" s="315" t="str">
        <f t="shared" si="57"/>
        <v>§ 70 - Sociální rehabilitace</v>
      </c>
      <c r="H525" s="315"/>
      <c r="I525" s="266" t="s">
        <v>1812</v>
      </c>
      <c r="J525" s="319"/>
      <c r="K525" s="266"/>
      <c r="L525" s="320"/>
      <c r="M525" s="321">
        <f t="shared" si="58"/>
        <v>3.5</v>
      </c>
      <c r="N525" s="321">
        <f t="shared" si="58"/>
        <v>0.6</v>
      </c>
      <c r="O525" s="321">
        <f t="shared" si="58"/>
        <v>2.9</v>
      </c>
      <c r="P525" s="321">
        <f t="shared" si="58"/>
        <v>0</v>
      </c>
      <c r="Q525" s="321">
        <f t="shared" si="58"/>
        <v>0</v>
      </c>
      <c r="R525" s="321">
        <f t="shared" si="58"/>
        <v>0</v>
      </c>
      <c r="S525" s="321">
        <f t="shared" si="58"/>
        <v>6</v>
      </c>
      <c r="T525" s="321">
        <f t="shared" si="58"/>
        <v>0</v>
      </c>
      <c r="U525" s="321">
        <f t="shared" si="58"/>
        <v>0</v>
      </c>
      <c r="V525" s="321"/>
      <c r="W525" s="321">
        <f t="shared" si="59"/>
        <v>3.5</v>
      </c>
      <c r="X525" s="321">
        <f t="shared" si="59"/>
        <v>0.6</v>
      </c>
      <c r="Y525" s="321">
        <f t="shared" si="59"/>
        <v>2.9</v>
      </c>
      <c r="Z525" s="321">
        <f t="shared" si="59"/>
        <v>0</v>
      </c>
      <c r="AA525" s="321">
        <f t="shared" si="59"/>
        <v>0</v>
      </c>
      <c r="AB525" s="321">
        <f t="shared" si="59"/>
        <v>0</v>
      </c>
      <c r="AC525" s="321">
        <f t="shared" si="59"/>
        <v>0</v>
      </c>
      <c r="AD525" s="321"/>
      <c r="AE525" s="321">
        <f t="shared" si="59"/>
        <v>2457327.6983262333</v>
      </c>
      <c r="AF525" s="321">
        <f t="shared" si="59"/>
        <v>0</v>
      </c>
      <c r="AG525" s="321">
        <f t="shared" si="59"/>
        <v>153337.92546918237</v>
      </c>
      <c r="AH525" s="321">
        <f t="shared" si="59"/>
        <v>0</v>
      </c>
      <c r="AI525" s="321">
        <f t="shared" si="59"/>
        <v>2610665.6237954157</v>
      </c>
      <c r="AJ525" s="321"/>
      <c r="AK525" s="321">
        <f t="shared" si="59"/>
        <v>0</v>
      </c>
      <c r="AL525" s="321">
        <f t="shared" si="59"/>
        <v>0</v>
      </c>
      <c r="AM525" s="321">
        <f t="shared" si="59"/>
        <v>0</v>
      </c>
      <c r="AN525" s="321">
        <f t="shared" si="59"/>
        <v>0</v>
      </c>
      <c r="AO525" s="321">
        <f t="shared" si="59"/>
        <v>0</v>
      </c>
      <c r="AP525" s="321">
        <f t="shared" si="59"/>
        <v>2610665.6237954157</v>
      </c>
    </row>
    <row r="526" spans="1:42" x14ac:dyDescent="0.25">
      <c r="A526" s="311">
        <v>7832444</v>
      </c>
      <c r="D526" s="311">
        <v>7832444</v>
      </c>
      <c r="E526" s="315" t="str">
        <f t="shared" si="55"/>
        <v>Dům Matky Terezy Hradec Králové</v>
      </c>
      <c r="F526" s="315" t="str">
        <f t="shared" si="56"/>
        <v>Oblastní charita Hradec Králové</v>
      </c>
      <c r="G526" s="315" t="str">
        <f t="shared" si="57"/>
        <v>§ 61 - Nízkoprahová denní centra</v>
      </c>
      <c r="H526" s="315"/>
      <c r="I526" s="266" t="s">
        <v>1812</v>
      </c>
      <c r="J526" s="319"/>
      <c r="K526" s="266"/>
      <c r="L526" s="320"/>
      <c r="M526" s="321">
        <f t="shared" si="58"/>
        <v>6.89</v>
      </c>
      <c r="N526" s="321">
        <f t="shared" si="58"/>
        <v>2.75</v>
      </c>
      <c r="O526" s="321">
        <f t="shared" si="58"/>
        <v>4.1399999999999997</v>
      </c>
      <c r="P526" s="321">
        <f t="shared" si="58"/>
        <v>0</v>
      </c>
      <c r="Q526" s="321">
        <f t="shared" si="58"/>
        <v>0</v>
      </c>
      <c r="R526" s="321">
        <f t="shared" si="58"/>
        <v>0</v>
      </c>
      <c r="S526" s="321">
        <f t="shared" si="58"/>
        <v>0</v>
      </c>
      <c r="T526" s="321">
        <f t="shared" si="58"/>
        <v>30</v>
      </c>
      <c r="U526" s="321">
        <f t="shared" si="58"/>
        <v>0</v>
      </c>
      <c r="V526" s="321"/>
      <c r="W526" s="321">
        <f t="shared" si="59"/>
        <v>6.89</v>
      </c>
      <c r="X526" s="321">
        <f t="shared" si="59"/>
        <v>2.75</v>
      </c>
      <c r="Y526" s="321">
        <f t="shared" si="59"/>
        <v>4.1399999999999997</v>
      </c>
      <c r="Z526" s="321">
        <f t="shared" si="59"/>
        <v>0</v>
      </c>
      <c r="AA526" s="321">
        <f t="shared" si="59"/>
        <v>0</v>
      </c>
      <c r="AB526" s="321">
        <f t="shared" si="59"/>
        <v>0</v>
      </c>
      <c r="AC526" s="321">
        <f t="shared" si="59"/>
        <v>30</v>
      </c>
      <c r="AD526" s="321"/>
      <c r="AE526" s="321">
        <f t="shared" si="59"/>
        <v>4064794.3740922217</v>
      </c>
      <c r="AF526" s="321">
        <f t="shared" si="59"/>
        <v>0</v>
      </c>
      <c r="AG526" s="321">
        <f t="shared" si="59"/>
        <v>601400.70773611357</v>
      </c>
      <c r="AH526" s="321">
        <f t="shared" si="59"/>
        <v>0</v>
      </c>
      <c r="AI526" s="321">
        <f t="shared" si="59"/>
        <v>4666195.0818283353</v>
      </c>
      <c r="AJ526" s="321"/>
      <c r="AK526" s="321">
        <f t="shared" si="59"/>
        <v>0</v>
      </c>
      <c r="AL526" s="321">
        <f t="shared" si="59"/>
        <v>0</v>
      </c>
      <c r="AM526" s="321">
        <f t="shared" si="59"/>
        <v>0</v>
      </c>
      <c r="AN526" s="321">
        <f t="shared" si="59"/>
        <v>0</v>
      </c>
      <c r="AO526" s="321">
        <f t="shared" si="59"/>
        <v>0</v>
      </c>
      <c r="AP526" s="321">
        <f t="shared" si="59"/>
        <v>4666195.0818283353</v>
      </c>
    </row>
    <row r="527" spans="1:42" x14ac:dyDescent="0.25">
      <c r="A527" s="311">
        <v>7846871</v>
      </c>
      <c r="D527" s="311">
        <v>7846871</v>
      </c>
      <c r="E527" s="315" t="str">
        <f t="shared" si="55"/>
        <v>Podporované BYDLENÍ v síti</v>
      </c>
      <c r="F527" s="315" t="str">
        <f t="shared" si="56"/>
        <v>SKOK do života o. p. s.</v>
      </c>
      <c r="G527" s="315" t="str">
        <f t="shared" si="57"/>
        <v>§ 43 - Podpora samostatného bydlení</v>
      </c>
      <c r="H527" s="315"/>
      <c r="I527" s="266" t="s">
        <v>1812</v>
      </c>
      <c r="J527" s="319"/>
      <c r="K527" s="266"/>
      <c r="L527" s="320"/>
      <c r="M527" s="321">
        <f t="shared" si="58"/>
        <v>4</v>
      </c>
      <c r="N527" s="321">
        <f t="shared" si="58"/>
        <v>3</v>
      </c>
      <c r="O527" s="321">
        <f t="shared" si="58"/>
        <v>1</v>
      </c>
      <c r="P527" s="321">
        <f t="shared" si="58"/>
        <v>0</v>
      </c>
      <c r="Q527" s="321">
        <f t="shared" si="58"/>
        <v>0</v>
      </c>
      <c r="R527" s="321">
        <f t="shared" si="58"/>
        <v>0</v>
      </c>
      <c r="S527" s="321">
        <f t="shared" si="58"/>
        <v>23</v>
      </c>
      <c r="T527" s="321">
        <f t="shared" si="58"/>
        <v>0</v>
      </c>
      <c r="U527" s="321">
        <f t="shared" si="58"/>
        <v>0</v>
      </c>
      <c r="V527" s="321"/>
      <c r="W527" s="321">
        <f t="shared" si="59"/>
        <v>4</v>
      </c>
      <c r="X527" s="321">
        <f t="shared" si="59"/>
        <v>3</v>
      </c>
      <c r="Y527" s="321">
        <f t="shared" si="59"/>
        <v>1</v>
      </c>
      <c r="Z527" s="321">
        <f t="shared" si="59"/>
        <v>0</v>
      </c>
      <c r="AA527" s="321">
        <f t="shared" si="59"/>
        <v>0</v>
      </c>
      <c r="AB527" s="321">
        <f t="shared" si="59"/>
        <v>0</v>
      </c>
      <c r="AC527" s="321">
        <f t="shared" si="59"/>
        <v>0</v>
      </c>
      <c r="AD527" s="321"/>
      <c r="AE527" s="321">
        <f t="shared" si="59"/>
        <v>2585125.9942497765</v>
      </c>
      <c r="AF527" s="321">
        <f t="shared" si="59"/>
        <v>0</v>
      </c>
      <c r="AG527" s="321">
        <f t="shared" si="59"/>
        <v>60330.922769999997</v>
      </c>
      <c r="AH527" s="321">
        <f t="shared" si="59"/>
        <v>0</v>
      </c>
      <c r="AI527" s="321">
        <f t="shared" si="59"/>
        <v>2645456.9170197765</v>
      </c>
      <c r="AJ527" s="321"/>
      <c r="AK527" s="321">
        <f t="shared" si="59"/>
        <v>107302.76000000001</v>
      </c>
      <c r="AL527" s="321">
        <f t="shared" si="59"/>
        <v>0</v>
      </c>
      <c r="AM527" s="321">
        <f t="shared" si="59"/>
        <v>0</v>
      </c>
      <c r="AN527" s="321">
        <f t="shared" si="59"/>
        <v>0</v>
      </c>
      <c r="AO527" s="321">
        <f t="shared" si="59"/>
        <v>107302.76000000001</v>
      </c>
      <c r="AP527" s="321">
        <f t="shared" si="59"/>
        <v>2538154.1570197763</v>
      </c>
    </row>
    <row r="528" spans="1:42" x14ac:dyDescent="0.25">
      <c r="A528" s="311">
        <v>7857005</v>
      </c>
      <c r="D528" s="311">
        <v>7857005</v>
      </c>
      <c r="E528" s="315" t="str">
        <f t="shared" si="55"/>
        <v>Domov Diakonie</v>
      </c>
      <c r="F528" s="315" t="str">
        <f t="shared" si="56"/>
        <v>Diakonie ČCE - středisko ve Dvoře Králové nad Labem</v>
      </c>
      <c r="G528" s="315" t="str">
        <f t="shared" si="57"/>
        <v>§ 49 - Domovy pro seniory</v>
      </c>
      <c r="H528" s="315"/>
      <c r="I528" s="266" t="s">
        <v>1812</v>
      </c>
      <c r="J528" s="319"/>
      <c r="K528" s="266"/>
      <c r="L528" s="320"/>
      <c r="M528" s="321">
        <f t="shared" si="58"/>
        <v>10.775</v>
      </c>
      <c r="N528" s="321">
        <f t="shared" si="58"/>
        <v>0.375</v>
      </c>
      <c r="O528" s="321">
        <f t="shared" si="58"/>
        <v>7.9</v>
      </c>
      <c r="P528" s="321">
        <f t="shared" si="58"/>
        <v>2.5</v>
      </c>
      <c r="Q528" s="321">
        <f t="shared" si="58"/>
        <v>0</v>
      </c>
      <c r="R528" s="321">
        <f t="shared" si="58"/>
        <v>23</v>
      </c>
      <c r="S528" s="321">
        <f t="shared" si="58"/>
        <v>0</v>
      </c>
      <c r="T528" s="321">
        <f t="shared" si="58"/>
        <v>0</v>
      </c>
      <c r="U528" s="321">
        <f t="shared" si="58"/>
        <v>0</v>
      </c>
      <c r="V528" s="321"/>
      <c r="W528" s="321">
        <f t="shared" si="59"/>
        <v>10.775</v>
      </c>
      <c r="X528" s="321">
        <f t="shared" si="59"/>
        <v>0.375</v>
      </c>
      <c r="Y528" s="321">
        <f t="shared" si="59"/>
        <v>7.9</v>
      </c>
      <c r="Z528" s="321">
        <f t="shared" si="59"/>
        <v>2.5</v>
      </c>
      <c r="AA528" s="321">
        <f t="shared" si="59"/>
        <v>0</v>
      </c>
      <c r="AB528" s="321">
        <f t="shared" si="59"/>
        <v>23</v>
      </c>
      <c r="AC528" s="321">
        <f t="shared" si="59"/>
        <v>0</v>
      </c>
      <c r="AD528" s="321"/>
      <c r="AE528" s="321">
        <f t="shared" si="59"/>
        <v>5639754.8168265568</v>
      </c>
      <c r="AF528" s="321">
        <f t="shared" si="59"/>
        <v>2120226.4684972856</v>
      </c>
      <c r="AG528" s="321">
        <f t="shared" si="59"/>
        <v>2330196.6859546546</v>
      </c>
      <c r="AH528" s="321">
        <f t="shared" si="59"/>
        <v>1633463.1558277516</v>
      </c>
      <c r="AI528" s="321">
        <f t="shared" si="59"/>
        <v>11723641.127106247</v>
      </c>
      <c r="AJ528" s="321"/>
      <c r="AK528" s="321">
        <f t="shared" si="59"/>
        <v>2582221.1585848588</v>
      </c>
      <c r="AL528" s="321">
        <f t="shared" si="59"/>
        <v>672631.98148148146</v>
      </c>
      <c r="AM528" s="321">
        <f t="shared" si="59"/>
        <v>1769246.816390859</v>
      </c>
      <c r="AN528" s="321">
        <f t="shared" si="59"/>
        <v>1170172.448069853</v>
      </c>
      <c r="AO528" s="321">
        <f t="shared" si="59"/>
        <v>6194272.4045270523</v>
      </c>
      <c r="AP528" s="321">
        <f t="shared" si="59"/>
        <v>5529368.7225791952</v>
      </c>
    </row>
    <row r="529" spans="1:42" x14ac:dyDescent="0.25">
      <c r="A529" s="311">
        <v>7916274</v>
      </c>
      <c r="D529" s="311">
        <v>7916274</v>
      </c>
      <c r="E529" s="315" t="str">
        <f t="shared" si="55"/>
        <v>Domov pro seniory</v>
      </c>
      <c r="F529" s="315" t="str">
        <f t="shared" si="56"/>
        <v>Centrum sociálních služeb Naděje Broumov</v>
      </c>
      <c r="G529" s="315" t="str">
        <f t="shared" si="57"/>
        <v>§ 49 - Domovy pro seniory</v>
      </c>
      <c r="H529" s="315"/>
      <c r="I529" s="266" t="s">
        <v>1812</v>
      </c>
      <c r="J529" s="319"/>
      <c r="K529" s="266"/>
      <c r="L529" s="320"/>
      <c r="M529" s="321">
        <f t="shared" si="58"/>
        <v>23</v>
      </c>
      <c r="N529" s="321">
        <f t="shared" si="58"/>
        <v>2</v>
      </c>
      <c r="O529" s="321">
        <f t="shared" si="58"/>
        <v>15</v>
      </c>
      <c r="P529" s="321">
        <f t="shared" si="58"/>
        <v>6</v>
      </c>
      <c r="Q529" s="321">
        <f t="shared" si="58"/>
        <v>0</v>
      </c>
      <c r="R529" s="321">
        <f t="shared" si="58"/>
        <v>42</v>
      </c>
      <c r="S529" s="321">
        <f t="shared" si="58"/>
        <v>0</v>
      </c>
      <c r="T529" s="321">
        <f t="shared" si="58"/>
        <v>0</v>
      </c>
      <c r="U529" s="321">
        <f t="shared" si="58"/>
        <v>0</v>
      </c>
      <c r="V529" s="321"/>
      <c r="W529" s="321">
        <f t="shared" si="59"/>
        <v>23</v>
      </c>
      <c r="X529" s="321">
        <f t="shared" si="59"/>
        <v>2</v>
      </c>
      <c r="Y529" s="321">
        <f t="shared" si="59"/>
        <v>15</v>
      </c>
      <c r="Z529" s="321">
        <f t="shared" si="59"/>
        <v>6</v>
      </c>
      <c r="AA529" s="321">
        <f t="shared" si="59"/>
        <v>0</v>
      </c>
      <c r="AB529" s="321">
        <f t="shared" si="59"/>
        <v>42</v>
      </c>
      <c r="AC529" s="321">
        <f t="shared" si="59"/>
        <v>0</v>
      </c>
      <c r="AD529" s="321"/>
      <c r="AE529" s="321">
        <f t="shared" si="59"/>
        <v>11586203.249069663</v>
      </c>
      <c r="AF529" s="321">
        <f t="shared" si="59"/>
        <v>5088543.5243934849</v>
      </c>
      <c r="AG529" s="321">
        <f t="shared" si="59"/>
        <v>4255141.7743519777</v>
      </c>
      <c r="AH529" s="321">
        <f t="shared" si="59"/>
        <v>2982845.7628158941</v>
      </c>
      <c r="AI529" s="321">
        <f t="shared" si="59"/>
        <v>23912734.310631018</v>
      </c>
      <c r="AJ529" s="321"/>
      <c r="AK529" s="321">
        <f t="shared" si="59"/>
        <v>4715360.3765462637</v>
      </c>
      <c r="AL529" s="321">
        <f t="shared" si="59"/>
        <v>1228284.4879227052</v>
      </c>
      <c r="AM529" s="321">
        <f t="shared" si="59"/>
        <v>3230798.53427896</v>
      </c>
      <c r="AN529" s="321">
        <f t="shared" si="59"/>
        <v>2136836.6443014708</v>
      </c>
      <c r="AO529" s="321">
        <f t="shared" si="59"/>
        <v>11311280.043049399</v>
      </c>
      <c r="AP529" s="321">
        <f t="shared" si="59"/>
        <v>12601454.267581619</v>
      </c>
    </row>
    <row r="530" spans="1:42" x14ac:dyDescent="0.25">
      <c r="A530" s="311">
        <v>8051895</v>
      </c>
      <c r="D530" s="311">
        <v>8051895</v>
      </c>
      <c r="E530" s="315" t="str">
        <f t="shared" si="55"/>
        <v>Chráněné bydlení Domov</v>
      </c>
      <c r="F530" s="315" t="str">
        <f t="shared" si="56"/>
        <v>Sdružení Neratov, z.s.</v>
      </c>
      <c r="G530" s="315" t="str">
        <f t="shared" si="57"/>
        <v>§ 51 - Chráněné bydlení</v>
      </c>
      <c r="H530" s="315"/>
      <c r="I530" s="266" t="s">
        <v>1812</v>
      </c>
      <c r="J530" s="319"/>
      <c r="K530" s="266"/>
      <c r="L530" s="320"/>
      <c r="M530" s="321">
        <f t="shared" si="58"/>
        <v>6.85</v>
      </c>
      <c r="N530" s="321">
        <f t="shared" si="58"/>
        <v>0.6</v>
      </c>
      <c r="O530" s="321">
        <f t="shared" si="58"/>
        <v>6.25</v>
      </c>
      <c r="P530" s="321">
        <f t="shared" si="58"/>
        <v>0</v>
      </c>
      <c r="Q530" s="321">
        <f t="shared" si="58"/>
        <v>0</v>
      </c>
      <c r="R530" s="321">
        <f t="shared" si="58"/>
        <v>25</v>
      </c>
      <c r="S530" s="321">
        <f t="shared" si="58"/>
        <v>0</v>
      </c>
      <c r="T530" s="321">
        <f t="shared" si="58"/>
        <v>0</v>
      </c>
      <c r="U530" s="321">
        <f t="shared" si="58"/>
        <v>0</v>
      </c>
      <c r="V530" s="321"/>
      <c r="W530" s="321">
        <f t="shared" si="59"/>
        <v>6.85</v>
      </c>
      <c r="X530" s="321">
        <f t="shared" si="59"/>
        <v>0.6</v>
      </c>
      <c r="Y530" s="321">
        <f t="shared" si="59"/>
        <v>6.25</v>
      </c>
      <c r="Z530" s="321">
        <f t="shared" si="59"/>
        <v>0</v>
      </c>
      <c r="AA530" s="321">
        <f t="shared" si="59"/>
        <v>0</v>
      </c>
      <c r="AB530" s="321">
        <f t="shared" si="59"/>
        <v>25</v>
      </c>
      <c r="AC530" s="321">
        <f t="shared" si="59"/>
        <v>0</v>
      </c>
      <c r="AD530" s="321"/>
      <c r="AE530" s="321">
        <f t="shared" si="59"/>
        <v>4611132.3364255829</v>
      </c>
      <c r="AF530" s="321">
        <f t="shared" si="59"/>
        <v>0</v>
      </c>
      <c r="AG530" s="321">
        <f t="shared" si="59"/>
        <v>1417243.1346331218</v>
      </c>
      <c r="AH530" s="321">
        <f t="shared" si="59"/>
        <v>466765.99613419687</v>
      </c>
      <c r="AI530" s="321">
        <f t="shared" si="59"/>
        <v>6495141.4671929013</v>
      </c>
      <c r="AJ530" s="321"/>
      <c r="AK530" s="321">
        <f t="shared" si="59"/>
        <v>512314.96456185571</v>
      </c>
      <c r="AL530" s="321">
        <f t="shared" si="59"/>
        <v>0</v>
      </c>
      <c r="AM530" s="321">
        <f t="shared" si="59"/>
        <v>1082056.75</v>
      </c>
      <c r="AN530" s="321">
        <f t="shared" si="59"/>
        <v>470160.9375</v>
      </c>
      <c r="AO530" s="321">
        <f t="shared" si="59"/>
        <v>2064532.6520618557</v>
      </c>
      <c r="AP530" s="321">
        <f t="shared" si="59"/>
        <v>4430608.8151310459</v>
      </c>
    </row>
    <row r="531" spans="1:42" x14ac:dyDescent="0.25">
      <c r="A531" s="311">
        <v>8102124</v>
      </c>
      <c r="D531" s="311">
        <v>8102124</v>
      </c>
      <c r="E531" s="315" t="str">
        <f t="shared" si="55"/>
        <v>Nízkoprahové zařízení pro děti a mládež Střelka</v>
      </c>
      <c r="F531" s="315" t="str">
        <f t="shared" si="56"/>
        <v>Farní charita Dvůr Králové nad Labem</v>
      </c>
      <c r="G531" s="315" t="str">
        <f t="shared" si="57"/>
        <v>§ 62 - Nízkoprahová zařízení pro děti a mládež</v>
      </c>
      <c r="H531" s="315"/>
      <c r="I531" s="266" t="s">
        <v>1812</v>
      </c>
      <c r="J531" s="319"/>
      <c r="K531" s="266"/>
      <c r="L531" s="320"/>
      <c r="M531" s="321">
        <f t="shared" si="58"/>
        <v>1.6</v>
      </c>
      <c r="N531" s="321">
        <f t="shared" si="58"/>
        <v>1.3</v>
      </c>
      <c r="O531" s="321">
        <f t="shared" si="58"/>
        <v>0.3</v>
      </c>
      <c r="P531" s="321">
        <f t="shared" si="58"/>
        <v>0</v>
      </c>
      <c r="Q531" s="321">
        <f t="shared" si="58"/>
        <v>0</v>
      </c>
      <c r="R531" s="321">
        <f t="shared" si="58"/>
        <v>0</v>
      </c>
      <c r="S531" s="321">
        <f t="shared" si="58"/>
        <v>0</v>
      </c>
      <c r="T531" s="321">
        <f t="shared" si="58"/>
        <v>25</v>
      </c>
      <c r="U531" s="321">
        <f t="shared" si="58"/>
        <v>0</v>
      </c>
      <c r="V531" s="321"/>
      <c r="W531" s="321">
        <f t="shared" si="59"/>
        <v>1.6</v>
      </c>
      <c r="X531" s="321">
        <f t="shared" si="59"/>
        <v>1.3</v>
      </c>
      <c r="Y531" s="321">
        <f t="shared" si="59"/>
        <v>0.3</v>
      </c>
      <c r="Z531" s="321">
        <f t="shared" si="59"/>
        <v>0</v>
      </c>
      <c r="AA531" s="321">
        <f t="shared" si="59"/>
        <v>0</v>
      </c>
      <c r="AB531" s="321">
        <f t="shared" si="59"/>
        <v>0</v>
      </c>
      <c r="AC531" s="321">
        <f t="shared" si="59"/>
        <v>25</v>
      </c>
      <c r="AD531" s="321"/>
      <c r="AE531" s="321">
        <f t="shared" si="59"/>
        <v>961298.16663629771</v>
      </c>
      <c r="AF531" s="321">
        <f t="shared" si="59"/>
        <v>0</v>
      </c>
      <c r="AG531" s="321">
        <f t="shared" si="59"/>
        <v>90588.116686110428</v>
      </c>
      <c r="AH531" s="321">
        <f t="shared" si="59"/>
        <v>0</v>
      </c>
      <c r="AI531" s="321">
        <f t="shared" si="59"/>
        <v>1051886.2833224081</v>
      </c>
      <c r="AJ531" s="321"/>
      <c r="AK531" s="321">
        <f t="shared" si="59"/>
        <v>0</v>
      </c>
      <c r="AL531" s="321">
        <f t="shared" si="59"/>
        <v>0</v>
      </c>
      <c r="AM531" s="321">
        <f t="shared" si="59"/>
        <v>0</v>
      </c>
      <c r="AN531" s="321">
        <f t="shared" si="59"/>
        <v>0</v>
      </c>
      <c r="AO531" s="321">
        <f t="shared" si="59"/>
        <v>0</v>
      </c>
      <c r="AP531" s="321">
        <f t="shared" si="59"/>
        <v>1051886.2833224081</v>
      </c>
    </row>
    <row r="532" spans="1:42" x14ac:dyDescent="0.25">
      <c r="A532" s="311">
        <v>8172268</v>
      </c>
      <c r="D532" s="311">
        <v>8172268</v>
      </c>
      <c r="E532" s="315" t="str">
        <f t="shared" si="55"/>
        <v>Sociální rehabilitace - středisko Hradec Králové</v>
      </c>
      <c r="F532" s="315" t="str">
        <f t="shared" si="56"/>
        <v>Péče o duševní zdraví, z.s.</v>
      </c>
      <c r="G532" s="315" t="str">
        <f t="shared" si="57"/>
        <v>§ 70 - Sociální rehabilitace</v>
      </c>
      <c r="H532" s="315"/>
      <c r="I532" s="266" t="s">
        <v>1812</v>
      </c>
      <c r="J532" s="319"/>
      <c r="K532" s="266"/>
      <c r="L532" s="320"/>
      <c r="M532" s="321">
        <f t="shared" si="58"/>
        <v>10.5</v>
      </c>
      <c r="N532" s="321">
        <f t="shared" si="58"/>
        <v>10.5</v>
      </c>
      <c r="O532" s="321">
        <f t="shared" si="58"/>
        <v>0</v>
      </c>
      <c r="P532" s="321">
        <f t="shared" si="58"/>
        <v>0</v>
      </c>
      <c r="Q532" s="321">
        <f t="shared" si="58"/>
        <v>0</v>
      </c>
      <c r="R532" s="321">
        <f t="shared" si="58"/>
        <v>0</v>
      </c>
      <c r="S532" s="321">
        <f t="shared" si="58"/>
        <v>32</v>
      </c>
      <c r="T532" s="321">
        <f t="shared" si="58"/>
        <v>0</v>
      </c>
      <c r="U532" s="321">
        <f t="shared" si="58"/>
        <v>0</v>
      </c>
      <c r="V532" s="321"/>
      <c r="W532" s="321">
        <f t="shared" si="59"/>
        <v>10.5</v>
      </c>
      <c r="X532" s="321">
        <f t="shared" si="59"/>
        <v>10.5</v>
      </c>
      <c r="Y532" s="321">
        <f t="shared" si="59"/>
        <v>0</v>
      </c>
      <c r="Z532" s="321">
        <f t="shared" si="59"/>
        <v>0</v>
      </c>
      <c r="AA532" s="321">
        <f t="shared" si="59"/>
        <v>0</v>
      </c>
      <c r="AB532" s="321">
        <f t="shared" si="59"/>
        <v>0</v>
      </c>
      <c r="AC532" s="321">
        <f t="shared" si="59"/>
        <v>0</v>
      </c>
      <c r="AD532" s="321"/>
      <c r="AE532" s="321">
        <f t="shared" si="59"/>
        <v>7371983.0949786995</v>
      </c>
      <c r="AF532" s="321">
        <f t="shared" si="59"/>
        <v>0</v>
      </c>
      <c r="AG532" s="321">
        <f t="shared" si="59"/>
        <v>460013.77640754706</v>
      </c>
      <c r="AH532" s="321">
        <f t="shared" si="59"/>
        <v>0</v>
      </c>
      <c r="AI532" s="321">
        <f t="shared" si="59"/>
        <v>7831996.8713862468</v>
      </c>
      <c r="AJ532" s="321"/>
      <c r="AK532" s="321">
        <f t="shared" si="59"/>
        <v>0</v>
      </c>
      <c r="AL532" s="321">
        <f t="shared" si="59"/>
        <v>0</v>
      </c>
      <c r="AM532" s="321">
        <f t="shared" ref="W532:AP544" si="60">SUMIFS(AM$4:AM$318,$D$4:$D$318,$D532)</f>
        <v>0</v>
      </c>
      <c r="AN532" s="321">
        <f t="shared" si="60"/>
        <v>0</v>
      </c>
      <c r="AO532" s="321">
        <f t="shared" si="60"/>
        <v>0</v>
      </c>
      <c r="AP532" s="321">
        <f t="shared" si="60"/>
        <v>7831996.8713862468</v>
      </c>
    </row>
    <row r="533" spans="1:42" x14ac:dyDescent="0.25">
      <c r="A533" s="311">
        <v>8289298</v>
      </c>
      <c r="D533" s="311">
        <v>8289298</v>
      </c>
      <c r="E533" s="315" t="str">
        <f t="shared" si="55"/>
        <v>Občanská poradna Dvůr Králové nad Labem</v>
      </c>
      <c r="F533" s="315" t="str">
        <f t="shared" si="56"/>
        <v>Farní charita Dvůr Králové nad Labem</v>
      </c>
      <c r="G533" s="315" t="str">
        <f t="shared" si="57"/>
        <v>§ 37 - Odborné sociální poradenství</v>
      </c>
      <c r="H533" s="315"/>
      <c r="I533" s="266" t="s">
        <v>1812</v>
      </c>
      <c r="J533" s="319"/>
      <c r="K533" s="266"/>
      <c r="L533" s="320"/>
      <c r="M533" s="321">
        <f t="shared" si="58"/>
        <v>2.25</v>
      </c>
      <c r="N533" s="321">
        <f t="shared" si="58"/>
        <v>2.25</v>
      </c>
      <c r="O533" s="321">
        <f t="shared" si="58"/>
        <v>0</v>
      </c>
      <c r="P533" s="321">
        <f t="shared" si="58"/>
        <v>0</v>
      </c>
      <c r="Q533" s="321">
        <f t="shared" si="58"/>
        <v>0</v>
      </c>
      <c r="R533" s="321">
        <f t="shared" si="58"/>
        <v>0</v>
      </c>
      <c r="S533" s="321">
        <f t="shared" si="58"/>
        <v>20</v>
      </c>
      <c r="T533" s="321">
        <f t="shared" si="58"/>
        <v>3</v>
      </c>
      <c r="U533" s="321">
        <f t="shared" si="58"/>
        <v>0</v>
      </c>
      <c r="V533" s="321"/>
      <c r="W533" s="321">
        <f t="shared" si="60"/>
        <v>2.25</v>
      </c>
      <c r="X533" s="321">
        <f t="shared" si="60"/>
        <v>2.25</v>
      </c>
      <c r="Y533" s="321">
        <f t="shared" si="60"/>
        <v>0</v>
      </c>
      <c r="Z533" s="321">
        <f t="shared" si="60"/>
        <v>0</v>
      </c>
      <c r="AA533" s="321">
        <f t="shared" si="60"/>
        <v>0</v>
      </c>
      <c r="AB533" s="321">
        <f t="shared" si="60"/>
        <v>0</v>
      </c>
      <c r="AC533" s="321">
        <f t="shared" si="60"/>
        <v>3</v>
      </c>
      <c r="AD533" s="321"/>
      <c r="AE533" s="321">
        <f t="shared" si="60"/>
        <v>1564631.9204453391</v>
      </c>
      <c r="AF533" s="321">
        <f t="shared" si="60"/>
        <v>0</v>
      </c>
      <c r="AG533" s="321">
        <f t="shared" si="60"/>
        <v>106608.47880550695</v>
      </c>
      <c r="AH533" s="321">
        <f t="shared" si="60"/>
        <v>0</v>
      </c>
      <c r="AI533" s="321">
        <f t="shared" si="60"/>
        <v>1671240.3992508459</v>
      </c>
      <c r="AJ533" s="321"/>
      <c r="AK533" s="321">
        <f t="shared" si="60"/>
        <v>0</v>
      </c>
      <c r="AL533" s="321">
        <f t="shared" si="60"/>
        <v>0</v>
      </c>
      <c r="AM533" s="321">
        <f t="shared" si="60"/>
        <v>0</v>
      </c>
      <c r="AN533" s="321">
        <f t="shared" si="60"/>
        <v>0</v>
      </c>
      <c r="AO533" s="321">
        <f t="shared" si="60"/>
        <v>0</v>
      </c>
      <c r="AP533" s="321">
        <f t="shared" si="60"/>
        <v>1671240.3992508459</v>
      </c>
    </row>
    <row r="534" spans="1:42" x14ac:dyDescent="0.25">
      <c r="A534" s="311">
        <v>8299792</v>
      </c>
      <c r="D534" s="311">
        <v>8299792</v>
      </c>
      <c r="E534" s="315" t="str">
        <f t="shared" si="55"/>
        <v>Křesadlo HK - centrum pomoci lidem s PAS, z. ú.</v>
      </c>
      <c r="F534" s="315" t="str">
        <f t="shared" si="56"/>
        <v>KŘESADLO HK - Centrum pomoci lidem s PAS, z.ú.</v>
      </c>
      <c r="G534" s="315" t="str">
        <f t="shared" si="57"/>
        <v>§ 37 - Odborné sociální poradenství</v>
      </c>
      <c r="H534" s="315"/>
      <c r="I534" s="266" t="s">
        <v>1812</v>
      </c>
      <c r="J534" s="319"/>
      <c r="K534" s="266"/>
      <c r="L534" s="320"/>
      <c r="M534" s="321">
        <f t="shared" si="58"/>
        <v>2.72</v>
      </c>
      <c r="N534" s="321">
        <f t="shared" si="58"/>
        <v>1.02</v>
      </c>
      <c r="O534" s="321">
        <f t="shared" si="58"/>
        <v>0.3</v>
      </c>
      <c r="P534" s="321">
        <f t="shared" si="58"/>
        <v>0</v>
      </c>
      <c r="Q534" s="321">
        <f t="shared" si="58"/>
        <v>1.4</v>
      </c>
      <c r="R534" s="321">
        <f t="shared" si="58"/>
        <v>0</v>
      </c>
      <c r="S534" s="321">
        <f t="shared" si="58"/>
        <v>25</v>
      </c>
      <c r="T534" s="321">
        <f t="shared" si="58"/>
        <v>0</v>
      </c>
      <c r="U534" s="321">
        <f t="shared" si="58"/>
        <v>0</v>
      </c>
      <c r="V534" s="321"/>
      <c r="W534" s="321">
        <f t="shared" si="60"/>
        <v>2.72</v>
      </c>
      <c r="X534" s="321">
        <f t="shared" si="60"/>
        <v>1.02</v>
      </c>
      <c r="Y534" s="321">
        <f t="shared" si="60"/>
        <v>0.3</v>
      </c>
      <c r="Z534" s="321">
        <f t="shared" si="60"/>
        <v>0</v>
      </c>
      <c r="AA534" s="321">
        <f t="shared" si="60"/>
        <v>1.4</v>
      </c>
      <c r="AB534" s="321">
        <f t="shared" si="60"/>
        <v>0</v>
      </c>
      <c r="AC534" s="321">
        <f t="shared" si="60"/>
        <v>0</v>
      </c>
      <c r="AD534" s="321"/>
      <c r="AE534" s="321">
        <f t="shared" si="60"/>
        <v>1891466.1438272544</v>
      </c>
      <c r="AF534" s="321">
        <f t="shared" si="60"/>
        <v>0</v>
      </c>
      <c r="AG534" s="321">
        <f t="shared" si="60"/>
        <v>128877.80548932398</v>
      </c>
      <c r="AH534" s="321">
        <f t="shared" si="60"/>
        <v>0</v>
      </c>
      <c r="AI534" s="321">
        <f t="shared" si="60"/>
        <v>2020343.9493165785</v>
      </c>
      <c r="AJ534" s="321"/>
      <c r="AK534" s="321">
        <f t="shared" si="60"/>
        <v>0</v>
      </c>
      <c r="AL534" s="321">
        <f t="shared" si="60"/>
        <v>0</v>
      </c>
      <c r="AM534" s="321">
        <f t="shared" si="60"/>
        <v>0</v>
      </c>
      <c r="AN534" s="321">
        <f t="shared" si="60"/>
        <v>0</v>
      </c>
      <c r="AO534" s="321">
        <f t="shared" si="60"/>
        <v>0</v>
      </c>
      <c r="AP534" s="321">
        <f t="shared" si="60"/>
        <v>2020343.9493165785</v>
      </c>
    </row>
    <row r="535" spans="1:42" x14ac:dyDescent="0.25">
      <c r="A535" s="311">
        <v>8314639</v>
      </c>
      <c r="D535" s="311">
        <v>8314639</v>
      </c>
      <c r="E535" s="315" t="str">
        <f t="shared" si="55"/>
        <v>Manželská a rodinná poradna</v>
      </c>
      <c r="F535" s="315" t="str">
        <f t="shared" si="56"/>
        <v>Sdružení ozdravoven a léčeben okresu Trutnov</v>
      </c>
      <c r="G535" s="315" t="str">
        <f t="shared" si="57"/>
        <v>§ 37 - Odborné sociální poradenství</v>
      </c>
      <c r="H535" s="315"/>
      <c r="I535" s="266" t="s">
        <v>1812</v>
      </c>
      <c r="J535" s="319"/>
      <c r="K535" s="266"/>
      <c r="L535" s="320"/>
      <c r="M535" s="321">
        <f t="shared" si="58"/>
        <v>4.1500000000000004</v>
      </c>
      <c r="N535" s="321">
        <f t="shared" si="58"/>
        <v>1</v>
      </c>
      <c r="O535" s="321">
        <f t="shared" si="58"/>
        <v>0</v>
      </c>
      <c r="P535" s="321">
        <f t="shared" si="58"/>
        <v>0</v>
      </c>
      <c r="Q535" s="321">
        <f t="shared" si="58"/>
        <v>3.15</v>
      </c>
      <c r="R535" s="321">
        <f t="shared" si="58"/>
        <v>0</v>
      </c>
      <c r="S535" s="321">
        <f t="shared" si="58"/>
        <v>6352</v>
      </c>
      <c r="T535" s="321">
        <f t="shared" si="58"/>
        <v>0</v>
      </c>
      <c r="U535" s="321">
        <f t="shared" si="58"/>
        <v>0</v>
      </c>
      <c r="V535" s="321"/>
      <c r="W535" s="321">
        <f t="shared" si="60"/>
        <v>4.1500000000000004</v>
      </c>
      <c r="X535" s="321">
        <f t="shared" si="60"/>
        <v>1</v>
      </c>
      <c r="Y535" s="321">
        <f t="shared" si="60"/>
        <v>0</v>
      </c>
      <c r="Z535" s="321">
        <f t="shared" si="60"/>
        <v>0</v>
      </c>
      <c r="AA535" s="321">
        <f t="shared" si="60"/>
        <v>3.15</v>
      </c>
      <c r="AB535" s="321">
        <f t="shared" si="60"/>
        <v>0</v>
      </c>
      <c r="AC535" s="321">
        <f t="shared" si="60"/>
        <v>0</v>
      </c>
      <c r="AD535" s="321"/>
      <c r="AE535" s="321">
        <f t="shared" si="60"/>
        <v>2885876.6532658478</v>
      </c>
      <c r="AF535" s="321">
        <f t="shared" si="60"/>
        <v>0</v>
      </c>
      <c r="AG535" s="321">
        <f t="shared" si="60"/>
        <v>196633.4164634906</v>
      </c>
      <c r="AH535" s="321">
        <f t="shared" si="60"/>
        <v>0</v>
      </c>
      <c r="AI535" s="321">
        <f t="shared" si="60"/>
        <v>3082510.0697293384</v>
      </c>
      <c r="AJ535" s="321"/>
      <c r="AK535" s="321">
        <f t="shared" si="60"/>
        <v>0</v>
      </c>
      <c r="AL535" s="321">
        <f t="shared" si="60"/>
        <v>0</v>
      </c>
      <c r="AM535" s="321">
        <f t="shared" si="60"/>
        <v>0</v>
      </c>
      <c r="AN535" s="321">
        <f t="shared" si="60"/>
        <v>0</v>
      </c>
      <c r="AO535" s="321">
        <f t="shared" si="60"/>
        <v>0</v>
      </c>
      <c r="AP535" s="321">
        <f t="shared" si="60"/>
        <v>3082510.0697293384</v>
      </c>
    </row>
    <row r="536" spans="1:42" x14ac:dyDescent="0.25">
      <c r="A536" s="311">
        <v>8338145</v>
      </c>
      <c r="D536" s="311">
        <v>8338145</v>
      </c>
      <c r="E536" s="315" t="str">
        <f t="shared" si="55"/>
        <v>DOMOV NA STŘÍBRNÉM VRCHU</v>
      </c>
      <c r="F536" s="315" t="str">
        <f t="shared" si="56"/>
        <v>DOMOV NA STŘÍBRNÉM VRCHU</v>
      </c>
      <c r="G536" s="315" t="str">
        <f t="shared" si="57"/>
        <v>§ 48 - Domovy pro osoby se zdravotním postižením</v>
      </c>
      <c r="H536" s="315"/>
      <c r="I536" s="266" t="s">
        <v>1812</v>
      </c>
      <c r="J536" s="319"/>
      <c r="K536" s="266"/>
      <c r="L536" s="320"/>
      <c r="M536" s="321">
        <f t="shared" si="58"/>
        <v>6.13</v>
      </c>
      <c r="N536" s="321">
        <f t="shared" si="58"/>
        <v>0.2</v>
      </c>
      <c r="O536" s="321">
        <f t="shared" si="58"/>
        <v>4.9499999999999993</v>
      </c>
      <c r="P536" s="321">
        <f t="shared" si="58"/>
        <v>0.98</v>
      </c>
      <c r="Q536" s="321">
        <f t="shared" si="58"/>
        <v>0</v>
      </c>
      <c r="R536" s="321">
        <f t="shared" si="58"/>
        <v>5</v>
      </c>
      <c r="S536" s="321">
        <f t="shared" si="58"/>
        <v>0</v>
      </c>
      <c r="T536" s="321">
        <f t="shared" si="58"/>
        <v>0</v>
      </c>
      <c r="U536" s="321">
        <f t="shared" si="58"/>
        <v>0</v>
      </c>
      <c r="V536" s="321"/>
      <c r="W536" s="321">
        <f t="shared" si="60"/>
        <v>6.13</v>
      </c>
      <c r="X536" s="321">
        <f t="shared" si="60"/>
        <v>0.2</v>
      </c>
      <c r="Y536" s="321">
        <f t="shared" si="60"/>
        <v>4.9499999999999993</v>
      </c>
      <c r="Z536" s="321">
        <f t="shared" si="60"/>
        <v>0.98</v>
      </c>
      <c r="AA536" s="321">
        <f t="shared" si="60"/>
        <v>0</v>
      </c>
      <c r="AB536" s="321">
        <f t="shared" si="60"/>
        <v>5</v>
      </c>
      <c r="AC536" s="321">
        <f t="shared" si="60"/>
        <v>0</v>
      </c>
      <c r="AD536" s="321"/>
      <c r="AE536" s="321">
        <f t="shared" si="60"/>
        <v>3445373.132133394</v>
      </c>
      <c r="AF536" s="321">
        <f t="shared" si="60"/>
        <v>832221.34801494307</v>
      </c>
      <c r="AG536" s="321">
        <f t="shared" si="60"/>
        <v>525956.70737397356</v>
      </c>
      <c r="AH536" s="321">
        <f t="shared" si="60"/>
        <v>337829.21254256589</v>
      </c>
      <c r="AI536" s="321">
        <f t="shared" si="60"/>
        <v>5141380.4000648763</v>
      </c>
      <c r="AJ536" s="321"/>
      <c r="AK536" s="321">
        <f t="shared" si="60"/>
        <v>530601.7794117647</v>
      </c>
      <c r="AL536" s="321">
        <f t="shared" si="60"/>
        <v>131748.62745098039</v>
      </c>
      <c r="AM536" s="321">
        <f t="shared" si="60"/>
        <v>239176.31578947371</v>
      </c>
      <c r="AN536" s="321">
        <f t="shared" si="60"/>
        <v>226348.25</v>
      </c>
      <c r="AO536" s="321">
        <f t="shared" si="60"/>
        <v>1127874.9726522188</v>
      </c>
      <c r="AP536" s="321">
        <f t="shared" si="60"/>
        <v>4013505.4274126575</v>
      </c>
    </row>
    <row r="537" spans="1:42" x14ac:dyDescent="0.25">
      <c r="A537" s="311">
        <v>8350990</v>
      </c>
      <c r="D537" s="311">
        <v>8350990</v>
      </c>
      <c r="E537" s="315" t="str">
        <f t="shared" si="55"/>
        <v>Centrum 5KA</v>
      </c>
      <c r="F537" s="315" t="str">
        <f t="shared" si="56"/>
        <v>OD5K10, z. s.</v>
      </c>
      <c r="G537" s="315" t="str">
        <f t="shared" si="57"/>
        <v>§ 62 - Nízkoprahová zařízení pro děti a mládež</v>
      </c>
      <c r="H537" s="315"/>
      <c r="I537" s="266" t="s">
        <v>1812</v>
      </c>
      <c r="J537" s="319"/>
      <c r="K537" s="266"/>
      <c r="L537" s="320"/>
      <c r="M537" s="321">
        <f t="shared" si="58"/>
        <v>3</v>
      </c>
      <c r="N537" s="321">
        <f t="shared" si="58"/>
        <v>1</v>
      </c>
      <c r="O537" s="321">
        <f t="shared" si="58"/>
        <v>2</v>
      </c>
      <c r="P537" s="321">
        <f t="shared" si="58"/>
        <v>0</v>
      </c>
      <c r="Q537" s="321">
        <f t="shared" si="58"/>
        <v>0</v>
      </c>
      <c r="R537" s="321">
        <f t="shared" si="58"/>
        <v>0</v>
      </c>
      <c r="S537" s="321">
        <f t="shared" si="58"/>
        <v>0</v>
      </c>
      <c r="T537" s="321">
        <f t="shared" si="58"/>
        <v>50</v>
      </c>
      <c r="U537" s="321">
        <f t="shared" si="58"/>
        <v>0</v>
      </c>
      <c r="V537" s="321"/>
      <c r="W537" s="321">
        <f t="shared" si="60"/>
        <v>3</v>
      </c>
      <c r="X537" s="321">
        <f t="shared" si="60"/>
        <v>1</v>
      </c>
      <c r="Y537" s="321">
        <f t="shared" si="60"/>
        <v>2</v>
      </c>
      <c r="Z537" s="321">
        <f t="shared" si="60"/>
        <v>0</v>
      </c>
      <c r="AA537" s="321">
        <f t="shared" si="60"/>
        <v>0</v>
      </c>
      <c r="AB537" s="321">
        <f t="shared" si="60"/>
        <v>0</v>
      </c>
      <c r="AC537" s="321">
        <f t="shared" si="60"/>
        <v>50</v>
      </c>
      <c r="AD537" s="321"/>
      <c r="AE537" s="321">
        <f t="shared" si="60"/>
        <v>1802434.062443058</v>
      </c>
      <c r="AF537" s="321">
        <f t="shared" si="60"/>
        <v>0</v>
      </c>
      <c r="AG537" s="321">
        <f t="shared" si="60"/>
        <v>169852.71878645703</v>
      </c>
      <c r="AH537" s="321">
        <f t="shared" si="60"/>
        <v>0</v>
      </c>
      <c r="AI537" s="321">
        <f t="shared" si="60"/>
        <v>1972286.7812295151</v>
      </c>
      <c r="AJ537" s="321"/>
      <c r="AK537" s="321">
        <f t="shared" si="60"/>
        <v>0</v>
      </c>
      <c r="AL537" s="321">
        <f t="shared" si="60"/>
        <v>0</v>
      </c>
      <c r="AM537" s="321">
        <f t="shared" si="60"/>
        <v>0</v>
      </c>
      <c r="AN537" s="321">
        <f t="shared" si="60"/>
        <v>0</v>
      </c>
      <c r="AO537" s="321">
        <f t="shared" si="60"/>
        <v>0</v>
      </c>
      <c r="AP537" s="321">
        <f t="shared" si="60"/>
        <v>1972286.7812295151</v>
      </c>
    </row>
    <row r="538" spans="1:42" x14ac:dyDescent="0.25">
      <c r="A538" s="311">
        <v>8365172</v>
      </c>
      <c r="D538" s="311">
        <v>8365172</v>
      </c>
      <c r="E538" s="315" t="str">
        <f t="shared" si="55"/>
        <v>Tlumočnické služby</v>
      </c>
      <c r="F538" s="315" t="str">
        <f t="shared" si="56"/>
        <v>Hradecké centrum pro osoby se sluchovým postižením o.p.s.</v>
      </c>
      <c r="G538" s="315" t="str">
        <f t="shared" si="57"/>
        <v>§ 56 - Tlumočnické služby</v>
      </c>
      <c r="H538" s="315"/>
      <c r="I538" s="266" t="s">
        <v>1812</v>
      </c>
      <c r="J538" s="319"/>
      <c r="K538" s="266"/>
      <c r="L538" s="320"/>
      <c r="M538" s="321">
        <f t="shared" si="58"/>
        <v>1.9</v>
      </c>
      <c r="N538" s="321">
        <f t="shared" si="58"/>
        <v>1.9</v>
      </c>
      <c r="O538" s="321">
        <f t="shared" si="58"/>
        <v>0</v>
      </c>
      <c r="P538" s="321">
        <f t="shared" si="58"/>
        <v>0</v>
      </c>
      <c r="Q538" s="321">
        <f t="shared" si="58"/>
        <v>0</v>
      </c>
      <c r="R538" s="321">
        <f t="shared" si="58"/>
        <v>0</v>
      </c>
      <c r="S538" s="321">
        <f t="shared" si="58"/>
        <v>8</v>
      </c>
      <c r="T538" s="321">
        <f t="shared" si="58"/>
        <v>2</v>
      </c>
      <c r="U538" s="321">
        <f t="shared" si="58"/>
        <v>0</v>
      </c>
      <c r="V538" s="321"/>
      <c r="W538" s="321">
        <f t="shared" si="60"/>
        <v>1.9</v>
      </c>
      <c r="X538" s="321">
        <f t="shared" si="60"/>
        <v>1.9</v>
      </c>
      <c r="Y538" s="321">
        <f t="shared" si="60"/>
        <v>0</v>
      </c>
      <c r="Z538" s="321">
        <f t="shared" si="60"/>
        <v>0</v>
      </c>
      <c r="AA538" s="321">
        <f t="shared" si="60"/>
        <v>0</v>
      </c>
      <c r="AB538" s="321">
        <f t="shared" si="60"/>
        <v>0</v>
      </c>
      <c r="AC538" s="321">
        <f t="shared" si="60"/>
        <v>2</v>
      </c>
      <c r="AD538" s="321"/>
      <c r="AE538" s="321">
        <f t="shared" si="60"/>
        <v>1283807.2224443739</v>
      </c>
      <c r="AF538" s="321">
        <f t="shared" si="60"/>
        <v>0</v>
      </c>
      <c r="AG538" s="321">
        <f t="shared" si="60"/>
        <v>76935.271358158367</v>
      </c>
      <c r="AH538" s="321">
        <f t="shared" si="60"/>
        <v>0</v>
      </c>
      <c r="AI538" s="321">
        <f t="shared" si="60"/>
        <v>1360742.4938025323</v>
      </c>
      <c r="AJ538" s="321"/>
      <c r="AK538" s="321">
        <f t="shared" si="60"/>
        <v>0</v>
      </c>
      <c r="AL538" s="321">
        <f t="shared" si="60"/>
        <v>0</v>
      </c>
      <c r="AM538" s="321">
        <f t="shared" si="60"/>
        <v>0</v>
      </c>
      <c r="AN538" s="321">
        <f t="shared" si="60"/>
        <v>0</v>
      </c>
      <c r="AO538" s="321">
        <f t="shared" si="60"/>
        <v>0</v>
      </c>
      <c r="AP538" s="321">
        <f t="shared" si="60"/>
        <v>1360742.4938025323</v>
      </c>
    </row>
    <row r="539" spans="1:42" x14ac:dyDescent="0.25">
      <c r="A539" s="311">
        <v>8382823</v>
      </c>
      <c r="D539" s="311">
        <v>8382823</v>
      </c>
      <c r="E539" s="315" t="str">
        <f t="shared" si="55"/>
        <v>ARCHA</v>
      </c>
      <c r="F539" s="315" t="str">
        <f t="shared" si="56"/>
        <v>Dokořán z.s.</v>
      </c>
      <c r="G539" s="315" t="str">
        <f t="shared" si="57"/>
        <v>§ 65 - Sociálně aktivizační služby pro rodiny s dětmi</v>
      </c>
      <c r="H539" s="315"/>
      <c r="I539" s="266" t="s">
        <v>1812</v>
      </c>
      <c r="J539" s="319"/>
      <c r="K539" s="266"/>
      <c r="L539" s="320"/>
      <c r="M539" s="321">
        <f t="shared" si="58"/>
        <v>3</v>
      </c>
      <c r="N539" s="321">
        <f t="shared" si="58"/>
        <v>2.2000000000000002</v>
      </c>
      <c r="O539" s="321">
        <f t="shared" si="58"/>
        <v>0.8</v>
      </c>
      <c r="P539" s="321">
        <f t="shared" si="58"/>
        <v>0</v>
      </c>
      <c r="Q539" s="321">
        <f t="shared" si="58"/>
        <v>0</v>
      </c>
      <c r="R539" s="321">
        <f t="shared" si="58"/>
        <v>0</v>
      </c>
      <c r="S539" s="321">
        <f t="shared" si="58"/>
        <v>35</v>
      </c>
      <c r="T539" s="321">
        <f t="shared" si="58"/>
        <v>20</v>
      </c>
      <c r="U539" s="321">
        <f t="shared" si="58"/>
        <v>0</v>
      </c>
      <c r="V539" s="321"/>
      <c r="W539" s="321">
        <f t="shared" si="60"/>
        <v>3</v>
      </c>
      <c r="X539" s="321">
        <f t="shared" si="60"/>
        <v>2.2000000000000002</v>
      </c>
      <c r="Y539" s="321">
        <f t="shared" si="60"/>
        <v>0.8</v>
      </c>
      <c r="Z539" s="321">
        <f t="shared" si="60"/>
        <v>0</v>
      </c>
      <c r="AA539" s="321">
        <f t="shared" si="60"/>
        <v>0</v>
      </c>
      <c r="AB539" s="321">
        <f t="shared" si="60"/>
        <v>0</v>
      </c>
      <c r="AC539" s="321">
        <f t="shared" si="60"/>
        <v>20</v>
      </c>
      <c r="AD539" s="321"/>
      <c r="AE539" s="321">
        <f t="shared" si="60"/>
        <v>2021878.2776134084</v>
      </c>
      <c r="AF539" s="321">
        <f t="shared" si="60"/>
        <v>0</v>
      </c>
      <c r="AG539" s="321">
        <f t="shared" si="60"/>
        <v>135030.88573766916</v>
      </c>
      <c r="AH539" s="321">
        <f t="shared" si="60"/>
        <v>0</v>
      </c>
      <c r="AI539" s="321">
        <f t="shared" si="60"/>
        <v>2156909.1633510776</v>
      </c>
      <c r="AJ539" s="321"/>
      <c r="AK539" s="321">
        <f t="shared" si="60"/>
        <v>0</v>
      </c>
      <c r="AL539" s="321">
        <f t="shared" si="60"/>
        <v>0</v>
      </c>
      <c r="AM539" s="321">
        <f t="shared" si="60"/>
        <v>0</v>
      </c>
      <c r="AN539" s="321">
        <f t="shared" si="60"/>
        <v>0</v>
      </c>
      <c r="AO539" s="321">
        <f t="shared" si="60"/>
        <v>0</v>
      </c>
      <c r="AP539" s="321">
        <f t="shared" si="60"/>
        <v>2156909.1633510776</v>
      </c>
    </row>
    <row r="540" spans="1:42" x14ac:dyDescent="0.25">
      <c r="A540" s="311">
        <v>8411392</v>
      </c>
      <c r="D540" s="311">
        <v>8411392</v>
      </c>
      <c r="E540" s="315" t="str">
        <f t="shared" si="55"/>
        <v>Nízkoprahové zařízení pro děti a mládež Modrý pomeranč</v>
      </c>
      <c r="F540" s="315" t="str">
        <f t="shared" si="56"/>
        <v>Salinger, z.s.</v>
      </c>
      <c r="G540" s="315" t="str">
        <f t="shared" si="57"/>
        <v>§ 62 - Nízkoprahová zařízení pro děti a mládež</v>
      </c>
      <c r="H540" s="315"/>
      <c r="I540" s="266" t="s">
        <v>1812</v>
      </c>
      <c r="J540" s="319"/>
      <c r="K540" s="266"/>
      <c r="L540" s="320"/>
      <c r="M540" s="321">
        <f t="shared" si="58"/>
        <v>6.5</v>
      </c>
      <c r="N540" s="321">
        <f t="shared" si="58"/>
        <v>6.25</v>
      </c>
      <c r="O540" s="321">
        <f t="shared" si="58"/>
        <v>0.25</v>
      </c>
      <c r="P540" s="321">
        <f t="shared" si="58"/>
        <v>0</v>
      </c>
      <c r="Q540" s="321">
        <f t="shared" si="58"/>
        <v>0</v>
      </c>
      <c r="R540" s="321">
        <f t="shared" si="58"/>
        <v>0</v>
      </c>
      <c r="S540" s="321">
        <f t="shared" si="58"/>
        <v>0</v>
      </c>
      <c r="T540" s="321">
        <f t="shared" si="58"/>
        <v>57</v>
      </c>
      <c r="U540" s="321">
        <f t="shared" ref="N540:U555" si="61">SUMIFS(U$4:U$318,$D$4:$D$318,$D540)</f>
        <v>0</v>
      </c>
      <c r="V540" s="321"/>
      <c r="W540" s="321">
        <f t="shared" si="60"/>
        <v>6.5</v>
      </c>
      <c r="X540" s="321">
        <f t="shared" si="60"/>
        <v>6.25</v>
      </c>
      <c r="Y540" s="321">
        <f t="shared" si="60"/>
        <v>0.25</v>
      </c>
      <c r="Z540" s="321">
        <f t="shared" si="60"/>
        <v>0</v>
      </c>
      <c r="AA540" s="321">
        <f t="shared" si="60"/>
        <v>0</v>
      </c>
      <c r="AB540" s="321">
        <f t="shared" si="60"/>
        <v>0</v>
      </c>
      <c r="AC540" s="321">
        <f t="shared" si="60"/>
        <v>57</v>
      </c>
      <c r="AD540" s="321"/>
      <c r="AE540" s="321">
        <f t="shared" si="60"/>
        <v>3905273.8019599593</v>
      </c>
      <c r="AF540" s="321">
        <f t="shared" si="60"/>
        <v>0</v>
      </c>
      <c r="AG540" s="321">
        <f t="shared" si="60"/>
        <v>368014.22403732355</v>
      </c>
      <c r="AH540" s="321">
        <f t="shared" si="60"/>
        <v>0</v>
      </c>
      <c r="AI540" s="321">
        <f t="shared" si="60"/>
        <v>4273288.0259972829</v>
      </c>
      <c r="AJ540" s="321"/>
      <c r="AK540" s="321">
        <f t="shared" si="60"/>
        <v>0</v>
      </c>
      <c r="AL540" s="321">
        <f t="shared" si="60"/>
        <v>0</v>
      </c>
      <c r="AM540" s="321">
        <f t="shared" si="60"/>
        <v>0</v>
      </c>
      <c r="AN540" s="321">
        <f t="shared" si="60"/>
        <v>0</v>
      </c>
      <c r="AO540" s="321">
        <f t="shared" si="60"/>
        <v>0</v>
      </c>
      <c r="AP540" s="321">
        <f t="shared" si="60"/>
        <v>4273288.0259972829</v>
      </c>
    </row>
    <row r="541" spans="1:42" x14ac:dyDescent="0.25">
      <c r="A541" s="311">
        <v>8430922</v>
      </c>
      <c r="D541" s="311">
        <v>8430922</v>
      </c>
      <c r="E541" s="315" t="str">
        <f t="shared" si="55"/>
        <v>Centrum tlumočnických služeb</v>
      </c>
      <c r="F541" s="315" t="str">
        <f t="shared" si="56"/>
        <v>Vyšší odborná škola, Střední škola, Základní škola a Mateřská škola, Hradec Králové, Štefánikova 549</v>
      </c>
      <c r="G541" s="315" t="str">
        <f t="shared" si="57"/>
        <v>§ 56 - Tlumočnické služby</v>
      </c>
      <c r="H541" s="315"/>
      <c r="I541" s="266" t="s">
        <v>1812</v>
      </c>
      <c r="J541" s="319"/>
      <c r="K541" s="266"/>
      <c r="L541" s="320"/>
      <c r="M541" s="321">
        <f t="shared" si="58"/>
        <v>2</v>
      </c>
      <c r="N541" s="321">
        <f t="shared" si="61"/>
        <v>9.9999999999999978E-2</v>
      </c>
      <c r="O541" s="321">
        <f t="shared" si="61"/>
        <v>1.9</v>
      </c>
      <c r="P541" s="321">
        <f t="shared" si="61"/>
        <v>0</v>
      </c>
      <c r="Q541" s="321">
        <f t="shared" si="61"/>
        <v>0</v>
      </c>
      <c r="R541" s="321">
        <f t="shared" si="61"/>
        <v>0</v>
      </c>
      <c r="S541" s="321">
        <f t="shared" si="61"/>
        <v>0</v>
      </c>
      <c r="T541" s="321">
        <f t="shared" si="61"/>
        <v>3</v>
      </c>
      <c r="U541" s="321">
        <f t="shared" si="61"/>
        <v>0</v>
      </c>
      <c r="V541" s="321"/>
      <c r="W541" s="321">
        <f t="shared" si="60"/>
        <v>2</v>
      </c>
      <c r="X541" s="321">
        <f t="shared" si="60"/>
        <v>9.9999999999999978E-2</v>
      </c>
      <c r="Y541" s="321">
        <f t="shared" si="60"/>
        <v>1.9</v>
      </c>
      <c r="Z541" s="321">
        <f t="shared" si="60"/>
        <v>0</v>
      </c>
      <c r="AA541" s="321">
        <f t="shared" si="60"/>
        <v>0</v>
      </c>
      <c r="AB541" s="321">
        <f t="shared" si="60"/>
        <v>0</v>
      </c>
      <c r="AC541" s="321">
        <f t="shared" si="60"/>
        <v>3</v>
      </c>
      <c r="AD541" s="321"/>
      <c r="AE541" s="321">
        <f t="shared" si="60"/>
        <v>1351376.0236256567</v>
      </c>
      <c r="AF541" s="321">
        <f t="shared" si="60"/>
        <v>0</v>
      </c>
      <c r="AG541" s="321">
        <f t="shared" si="60"/>
        <v>80984.496166482495</v>
      </c>
      <c r="AH541" s="321">
        <f t="shared" si="60"/>
        <v>0</v>
      </c>
      <c r="AI541" s="321">
        <f t="shared" si="60"/>
        <v>1432360.5197921393</v>
      </c>
      <c r="AJ541" s="321"/>
      <c r="AK541" s="321">
        <f t="shared" si="60"/>
        <v>0</v>
      </c>
      <c r="AL541" s="321">
        <f t="shared" si="60"/>
        <v>0</v>
      </c>
      <c r="AM541" s="321">
        <f t="shared" si="60"/>
        <v>0</v>
      </c>
      <c r="AN541" s="321">
        <f t="shared" si="60"/>
        <v>0</v>
      </c>
      <c r="AO541" s="321">
        <f t="shared" si="60"/>
        <v>0</v>
      </c>
      <c r="AP541" s="321">
        <f t="shared" si="60"/>
        <v>1432360.5197921393</v>
      </c>
    </row>
    <row r="542" spans="1:42" x14ac:dyDescent="0.25">
      <c r="A542" s="311">
        <v>8504548</v>
      </c>
      <c r="D542" s="311">
        <v>8504548</v>
      </c>
      <c r="E542" s="315" t="str">
        <f t="shared" si="55"/>
        <v>Chráněné bydlení</v>
      </c>
      <c r="F542" s="315" t="str">
        <f t="shared" si="56"/>
        <v>Barevné domky Hajnice</v>
      </c>
      <c r="G542" s="315" t="str">
        <f t="shared" si="57"/>
        <v>§ 51 - Chráněné bydlení</v>
      </c>
      <c r="H542" s="315"/>
      <c r="I542" s="266" t="s">
        <v>1812</v>
      </c>
      <c r="J542" s="319"/>
      <c r="K542" s="266"/>
      <c r="L542" s="320"/>
      <c r="M542" s="321">
        <f t="shared" si="58"/>
        <v>39.799999999999997</v>
      </c>
      <c r="N542" s="321">
        <f t="shared" si="61"/>
        <v>2.2999999999999998</v>
      </c>
      <c r="O542" s="321">
        <f t="shared" si="61"/>
        <v>37.5</v>
      </c>
      <c r="P542" s="321">
        <f t="shared" si="61"/>
        <v>0</v>
      </c>
      <c r="Q542" s="321">
        <f t="shared" si="61"/>
        <v>0</v>
      </c>
      <c r="R542" s="321">
        <f t="shared" si="61"/>
        <v>45</v>
      </c>
      <c r="S542" s="321">
        <f t="shared" si="61"/>
        <v>0</v>
      </c>
      <c r="T542" s="321">
        <f t="shared" si="61"/>
        <v>0</v>
      </c>
      <c r="U542" s="321">
        <f t="shared" si="61"/>
        <v>0</v>
      </c>
      <c r="V542" s="321"/>
      <c r="W542" s="321">
        <f t="shared" si="60"/>
        <v>39.799999999999997</v>
      </c>
      <c r="X542" s="321">
        <f t="shared" si="60"/>
        <v>2.2999999999999998</v>
      </c>
      <c r="Y542" s="321">
        <f t="shared" si="60"/>
        <v>37.5</v>
      </c>
      <c r="Z542" s="321">
        <f t="shared" si="60"/>
        <v>0</v>
      </c>
      <c r="AA542" s="321">
        <f t="shared" si="60"/>
        <v>0</v>
      </c>
      <c r="AB542" s="321">
        <f t="shared" si="60"/>
        <v>45</v>
      </c>
      <c r="AC542" s="321">
        <f t="shared" si="60"/>
        <v>0</v>
      </c>
      <c r="AD542" s="321"/>
      <c r="AE542" s="321">
        <f t="shared" si="60"/>
        <v>26791688.61164061</v>
      </c>
      <c r="AF542" s="321">
        <f t="shared" si="60"/>
        <v>0</v>
      </c>
      <c r="AG542" s="321">
        <f t="shared" si="60"/>
        <v>2551037.6423396193</v>
      </c>
      <c r="AH542" s="321">
        <f t="shared" si="60"/>
        <v>840178.79304155428</v>
      </c>
      <c r="AI542" s="321">
        <f t="shared" si="60"/>
        <v>30182905.047021784</v>
      </c>
      <c r="AJ542" s="321"/>
      <c r="AK542" s="321">
        <f t="shared" si="60"/>
        <v>3073889.7873711339</v>
      </c>
      <c r="AL542" s="321">
        <f t="shared" si="60"/>
        <v>0</v>
      </c>
      <c r="AM542" s="321">
        <f t="shared" si="60"/>
        <v>1947702.1500000001</v>
      </c>
      <c r="AN542" s="321">
        <f t="shared" si="60"/>
        <v>846289.6875</v>
      </c>
      <c r="AO542" s="321">
        <f t="shared" si="60"/>
        <v>5867881.6248711338</v>
      </c>
      <c r="AP542" s="321">
        <f t="shared" si="60"/>
        <v>24315023.422150649</v>
      </c>
    </row>
    <row r="543" spans="1:42" x14ac:dyDescent="0.25">
      <c r="A543" s="311">
        <v>8508078</v>
      </c>
      <c r="D543" s="311">
        <v>8508078</v>
      </c>
      <c r="E543" s="315" t="str">
        <f t="shared" si="55"/>
        <v>Domov důchodců Náchod</v>
      </c>
      <c r="F543" s="315" t="str">
        <f t="shared" si="56"/>
        <v>Domov důchodců Náchod</v>
      </c>
      <c r="G543" s="315" t="str">
        <f t="shared" si="57"/>
        <v>§ 49 - Domovy pro seniory</v>
      </c>
      <c r="H543" s="315"/>
      <c r="I543" s="266" t="s">
        <v>1812</v>
      </c>
      <c r="J543" s="319"/>
      <c r="K543" s="266"/>
      <c r="L543" s="320"/>
      <c r="M543" s="321">
        <f t="shared" si="58"/>
        <v>36.200000000000003</v>
      </c>
      <c r="N543" s="321">
        <f t="shared" si="61"/>
        <v>2.6</v>
      </c>
      <c r="O543" s="321">
        <f t="shared" si="61"/>
        <v>21</v>
      </c>
      <c r="P543" s="321">
        <f t="shared" si="61"/>
        <v>12.6</v>
      </c>
      <c r="Q543" s="321">
        <f t="shared" si="61"/>
        <v>0</v>
      </c>
      <c r="R543" s="321">
        <f t="shared" si="61"/>
        <v>86</v>
      </c>
      <c r="S543" s="321">
        <f t="shared" si="61"/>
        <v>0</v>
      </c>
      <c r="T543" s="321">
        <f t="shared" si="61"/>
        <v>0</v>
      </c>
      <c r="U543" s="321">
        <f t="shared" si="61"/>
        <v>0</v>
      </c>
      <c r="V543" s="321"/>
      <c r="W543" s="321">
        <f t="shared" si="60"/>
        <v>36.200000000000003</v>
      </c>
      <c r="X543" s="321">
        <f t="shared" si="60"/>
        <v>2.6</v>
      </c>
      <c r="Y543" s="321">
        <f t="shared" si="60"/>
        <v>21</v>
      </c>
      <c r="Z543" s="321">
        <f t="shared" si="60"/>
        <v>12.6</v>
      </c>
      <c r="AA543" s="321">
        <f t="shared" si="60"/>
        <v>0</v>
      </c>
      <c r="AB543" s="321">
        <f t="shared" si="60"/>
        <v>86</v>
      </c>
      <c r="AC543" s="321">
        <f t="shared" si="60"/>
        <v>0</v>
      </c>
      <c r="AD543" s="321"/>
      <c r="AE543" s="321">
        <f t="shared" si="60"/>
        <v>16084376.275179062</v>
      </c>
      <c r="AF543" s="321">
        <f t="shared" si="60"/>
        <v>10685941.401226318</v>
      </c>
      <c r="AG543" s="321">
        <f t="shared" si="60"/>
        <v>8712909.3474826217</v>
      </c>
      <c r="AH543" s="321">
        <f t="shared" si="60"/>
        <v>6107731.8000515923</v>
      </c>
      <c r="AI543" s="321">
        <f t="shared" si="60"/>
        <v>41590958.823939592</v>
      </c>
      <c r="AJ543" s="321"/>
      <c r="AK543" s="321">
        <f t="shared" si="60"/>
        <v>9655261.7234042548</v>
      </c>
      <c r="AL543" s="321">
        <f t="shared" si="60"/>
        <v>2515058.7133655394</v>
      </c>
      <c r="AM543" s="321">
        <f t="shared" si="60"/>
        <v>6615444.6178092984</v>
      </c>
      <c r="AN543" s="321">
        <f t="shared" si="60"/>
        <v>4375427.4145220593</v>
      </c>
      <c r="AO543" s="321">
        <f t="shared" si="60"/>
        <v>23161192.469101153</v>
      </c>
      <c r="AP543" s="321">
        <f t="shared" si="60"/>
        <v>18429766.354838438</v>
      </c>
    </row>
    <row r="544" spans="1:42" x14ac:dyDescent="0.25">
      <c r="A544" s="311">
        <v>8522302</v>
      </c>
      <c r="D544" s="311">
        <v>8522302</v>
      </c>
      <c r="E544" s="315" t="str">
        <f t="shared" si="55"/>
        <v>Pečovatelská služba</v>
      </c>
      <c r="F544" s="315" t="str">
        <f t="shared" si="56"/>
        <v>Město Rtyně v Podkrkonoší</v>
      </c>
      <c r="G544" s="315" t="str">
        <f t="shared" si="57"/>
        <v>§ 40 - Pečovatelská služba</v>
      </c>
      <c r="H544" s="315"/>
      <c r="I544" s="266" t="s">
        <v>1812</v>
      </c>
      <c r="J544" s="319"/>
      <c r="K544" s="266"/>
      <c r="L544" s="320"/>
      <c r="M544" s="321">
        <f t="shared" si="58"/>
        <v>2</v>
      </c>
      <c r="N544" s="321">
        <f t="shared" si="61"/>
        <v>0</v>
      </c>
      <c r="O544" s="321">
        <f t="shared" si="61"/>
        <v>2</v>
      </c>
      <c r="P544" s="321">
        <f t="shared" si="61"/>
        <v>0</v>
      </c>
      <c r="Q544" s="321">
        <f t="shared" si="61"/>
        <v>0</v>
      </c>
      <c r="R544" s="321">
        <f t="shared" si="61"/>
        <v>0</v>
      </c>
      <c r="S544" s="321">
        <f t="shared" si="61"/>
        <v>60</v>
      </c>
      <c r="T544" s="321">
        <f t="shared" si="61"/>
        <v>0</v>
      </c>
      <c r="U544" s="321">
        <f t="shared" si="61"/>
        <v>0</v>
      </c>
      <c r="V544" s="321"/>
      <c r="W544" s="321">
        <f t="shared" si="60"/>
        <v>2</v>
      </c>
      <c r="X544" s="321">
        <f t="shared" si="60"/>
        <v>0</v>
      </c>
      <c r="Y544" s="321">
        <f t="shared" si="60"/>
        <v>2</v>
      </c>
      <c r="Z544" s="321">
        <f t="shared" si="60"/>
        <v>0</v>
      </c>
      <c r="AA544" s="321">
        <f t="shared" si="60"/>
        <v>0</v>
      </c>
      <c r="AB544" s="321">
        <f t="shared" si="60"/>
        <v>0</v>
      </c>
      <c r="AC544" s="321">
        <f t="shared" si="60"/>
        <v>0</v>
      </c>
      <c r="AD544" s="321"/>
      <c r="AE544" s="321">
        <f t="shared" si="60"/>
        <v>1154789.246372672</v>
      </c>
      <c r="AF544" s="321">
        <f t="shared" si="60"/>
        <v>0</v>
      </c>
      <c r="AG544" s="321">
        <f t="shared" si="60"/>
        <v>86107.450936297071</v>
      </c>
      <c r="AH544" s="321">
        <f t="shared" si="60"/>
        <v>0</v>
      </c>
      <c r="AI544" s="321">
        <f t="shared" si="60"/>
        <v>1240896.6973089692</v>
      </c>
      <c r="AJ544" s="321"/>
      <c r="AK544" s="321">
        <f t="shared" si="60"/>
        <v>277510.4705882353</v>
      </c>
      <c r="AL544" s="321">
        <f t="shared" si="60"/>
        <v>0</v>
      </c>
      <c r="AM544" s="321">
        <f t="shared" si="60"/>
        <v>0</v>
      </c>
      <c r="AN544" s="321">
        <f t="shared" si="60"/>
        <v>0</v>
      </c>
      <c r="AO544" s="321">
        <f t="shared" si="60"/>
        <v>277510.4705882353</v>
      </c>
      <c r="AP544" s="321">
        <f t="shared" ref="W544:AP558" si="62">SUMIFS(AP$4:AP$318,$D$4:$D$318,$D544)</f>
        <v>963386.22672073392</v>
      </c>
    </row>
    <row r="545" spans="1:42" x14ac:dyDescent="0.25">
      <c r="A545" s="311">
        <v>8615860</v>
      </c>
      <c r="D545" s="311">
        <v>8615860</v>
      </c>
      <c r="E545" s="315" t="str">
        <f t="shared" si="55"/>
        <v>Manželská a rodinná poradna</v>
      </c>
      <c r="F545" s="315" t="str">
        <f t="shared" si="56"/>
        <v>Centrum psychologické podpory, z. s.</v>
      </c>
      <c r="G545" s="315" t="str">
        <f t="shared" si="57"/>
        <v>§ 37 - Odborné sociální poradenství</v>
      </c>
      <c r="H545" s="315"/>
      <c r="I545" s="266" t="s">
        <v>1812</v>
      </c>
      <c r="J545" s="319"/>
      <c r="K545" s="266"/>
      <c r="L545" s="320"/>
      <c r="M545" s="321">
        <f t="shared" si="58"/>
        <v>2.7</v>
      </c>
      <c r="N545" s="321">
        <f t="shared" si="61"/>
        <v>0.7</v>
      </c>
      <c r="O545" s="321">
        <f t="shared" si="61"/>
        <v>0</v>
      </c>
      <c r="P545" s="321">
        <f t="shared" si="61"/>
        <v>0</v>
      </c>
      <c r="Q545" s="321">
        <f t="shared" si="61"/>
        <v>2</v>
      </c>
      <c r="R545" s="321">
        <f t="shared" si="61"/>
        <v>0</v>
      </c>
      <c r="S545" s="321">
        <f t="shared" si="61"/>
        <v>20</v>
      </c>
      <c r="T545" s="321">
        <f t="shared" si="61"/>
        <v>0</v>
      </c>
      <c r="U545" s="321">
        <f t="shared" si="61"/>
        <v>0</v>
      </c>
      <c r="V545" s="321"/>
      <c r="W545" s="321">
        <f t="shared" si="62"/>
        <v>2.7</v>
      </c>
      <c r="X545" s="321">
        <f t="shared" si="62"/>
        <v>0.7</v>
      </c>
      <c r="Y545" s="321">
        <f t="shared" si="62"/>
        <v>0</v>
      </c>
      <c r="Z545" s="321">
        <f t="shared" si="62"/>
        <v>0</v>
      </c>
      <c r="AA545" s="321">
        <f t="shared" si="62"/>
        <v>2</v>
      </c>
      <c r="AB545" s="321">
        <f t="shared" si="62"/>
        <v>0</v>
      </c>
      <c r="AC545" s="321">
        <f t="shared" si="62"/>
        <v>0</v>
      </c>
      <c r="AD545" s="321"/>
      <c r="AE545" s="321">
        <f t="shared" si="62"/>
        <v>1877558.3045344071</v>
      </c>
      <c r="AF545" s="321">
        <f t="shared" si="62"/>
        <v>0</v>
      </c>
      <c r="AG545" s="321">
        <f t="shared" si="62"/>
        <v>127930.17456660834</v>
      </c>
      <c r="AH545" s="321">
        <f t="shared" si="62"/>
        <v>0</v>
      </c>
      <c r="AI545" s="321">
        <f t="shared" si="62"/>
        <v>2005488.4791010155</v>
      </c>
      <c r="AJ545" s="321"/>
      <c r="AK545" s="321">
        <f t="shared" si="62"/>
        <v>0</v>
      </c>
      <c r="AL545" s="321">
        <f t="shared" si="62"/>
        <v>0</v>
      </c>
      <c r="AM545" s="321">
        <f t="shared" si="62"/>
        <v>0</v>
      </c>
      <c r="AN545" s="321">
        <f t="shared" si="62"/>
        <v>0</v>
      </c>
      <c r="AO545" s="321">
        <f t="shared" si="62"/>
        <v>0</v>
      </c>
      <c r="AP545" s="321">
        <f t="shared" si="62"/>
        <v>2005488.4791010155</v>
      </c>
    </row>
    <row r="546" spans="1:42" x14ac:dyDescent="0.25">
      <c r="A546" s="311">
        <v>8635813</v>
      </c>
      <c r="D546" s="311">
        <v>8635813</v>
      </c>
      <c r="E546" s="315" t="str">
        <f t="shared" si="55"/>
        <v>Domov odpočinku ve stáří Justynka</v>
      </c>
      <c r="F546" s="315" t="str">
        <f t="shared" si="56"/>
        <v>Domov odpočinku ve stáří Justynka</v>
      </c>
      <c r="G546" s="315" t="str">
        <f t="shared" si="57"/>
        <v>§ 49 - Domovy pro seniory</v>
      </c>
      <c r="H546" s="315"/>
      <c r="I546" s="266" t="s">
        <v>1812</v>
      </c>
      <c r="J546" s="319"/>
      <c r="K546" s="266"/>
      <c r="L546" s="320"/>
      <c r="M546" s="321">
        <f t="shared" si="58"/>
        <v>25.6</v>
      </c>
      <c r="N546" s="321">
        <f t="shared" si="61"/>
        <v>1.75</v>
      </c>
      <c r="O546" s="321">
        <f t="shared" si="61"/>
        <v>17.350000000000001</v>
      </c>
      <c r="P546" s="321">
        <f t="shared" si="61"/>
        <v>6.5</v>
      </c>
      <c r="Q546" s="321">
        <f t="shared" si="61"/>
        <v>0</v>
      </c>
      <c r="R546" s="321">
        <f t="shared" si="61"/>
        <v>67</v>
      </c>
      <c r="S546" s="321">
        <f t="shared" si="61"/>
        <v>0</v>
      </c>
      <c r="T546" s="321">
        <f t="shared" si="61"/>
        <v>0</v>
      </c>
      <c r="U546" s="321">
        <f t="shared" si="61"/>
        <v>0</v>
      </c>
      <c r="V546" s="321"/>
      <c r="W546" s="321">
        <f t="shared" si="62"/>
        <v>25.6</v>
      </c>
      <c r="X546" s="321">
        <f t="shared" si="62"/>
        <v>1.75</v>
      </c>
      <c r="Y546" s="321">
        <f t="shared" si="62"/>
        <v>17.350000000000001</v>
      </c>
      <c r="Z546" s="321">
        <f t="shared" si="62"/>
        <v>6.5</v>
      </c>
      <c r="AA546" s="321">
        <f t="shared" si="62"/>
        <v>0</v>
      </c>
      <c r="AB546" s="321">
        <f t="shared" si="62"/>
        <v>67</v>
      </c>
      <c r="AC546" s="321">
        <f t="shared" si="62"/>
        <v>0</v>
      </c>
      <c r="AD546" s="321"/>
      <c r="AE546" s="321">
        <f t="shared" si="62"/>
        <v>13017440.121013563</v>
      </c>
      <c r="AF546" s="321">
        <f t="shared" si="62"/>
        <v>5512588.8180929422</v>
      </c>
      <c r="AG546" s="321">
        <f t="shared" si="62"/>
        <v>6787964.2590852976</v>
      </c>
      <c r="AH546" s="321">
        <f t="shared" si="62"/>
        <v>4758349.19306345</v>
      </c>
      <c r="AI546" s="321">
        <f t="shared" si="62"/>
        <v>30076342.391255252</v>
      </c>
      <c r="AJ546" s="321"/>
      <c r="AK546" s="321">
        <f t="shared" si="62"/>
        <v>7522122.5054428494</v>
      </c>
      <c r="AL546" s="321">
        <f t="shared" si="62"/>
        <v>1959406.2069243155</v>
      </c>
      <c r="AM546" s="321">
        <f t="shared" si="62"/>
        <v>5153892.8999211974</v>
      </c>
      <c r="AN546" s="321">
        <f t="shared" si="62"/>
        <v>3408763.2182904412</v>
      </c>
      <c r="AO546" s="321">
        <f t="shared" si="62"/>
        <v>18044184.830578804</v>
      </c>
      <c r="AP546" s="321">
        <f t="shared" si="62"/>
        <v>12032157.560676448</v>
      </c>
    </row>
    <row r="547" spans="1:42" x14ac:dyDescent="0.25">
      <c r="A547" s="311">
        <v>8849001</v>
      </c>
      <c r="D547" s="311">
        <v>8849001</v>
      </c>
      <c r="E547" s="315" t="str">
        <f t="shared" si="55"/>
        <v>Občanská poradna Hradec Králové</v>
      </c>
      <c r="F547" s="315" t="str">
        <f t="shared" si="56"/>
        <v>Občanské poradenské středisko, o.p.s.</v>
      </c>
      <c r="G547" s="315" t="str">
        <f t="shared" si="57"/>
        <v>§ 37 - Odborné sociální poradenství</v>
      </c>
      <c r="H547" s="315"/>
      <c r="I547" s="266" t="s">
        <v>1812</v>
      </c>
      <c r="J547" s="319"/>
      <c r="K547" s="266"/>
      <c r="L547" s="320"/>
      <c r="M547" s="321">
        <f t="shared" si="58"/>
        <v>1.8</v>
      </c>
      <c r="N547" s="321">
        <f t="shared" si="61"/>
        <v>1.8</v>
      </c>
      <c r="O547" s="321">
        <f t="shared" si="61"/>
        <v>0</v>
      </c>
      <c r="P547" s="321">
        <f t="shared" si="61"/>
        <v>0</v>
      </c>
      <c r="Q547" s="321">
        <f t="shared" si="61"/>
        <v>0</v>
      </c>
      <c r="R547" s="321">
        <f t="shared" si="61"/>
        <v>0</v>
      </c>
      <c r="S547" s="321">
        <f t="shared" si="61"/>
        <v>16</v>
      </c>
      <c r="T547" s="321">
        <f t="shared" si="61"/>
        <v>0</v>
      </c>
      <c r="U547" s="321">
        <f t="shared" si="61"/>
        <v>0</v>
      </c>
      <c r="V547" s="321"/>
      <c r="W547" s="321">
        <f t="shared" si="62"/>
        <v>1.8</v>
      </c>
      <c r="X547" s="321">
        <f t="shared" si="62"/>
        <v>1.8</v>
      </c>
      <c r="Y547" s="321">
        <f t="shared" si="62"/>
        <v>0</v>
      </c>
      <c r="Z547" s="321">
        <f t="shared" si="62"/>
        <v>0</v>
      </c>
      <c r="AA547" s="321">
        <f t="shared" si="62"/>
        <v>0</v>
      </c>
      <c r="AB547" s="321">
        <f t="shared" si="62"/>
        <v>0</v>
      </c>
      <c r="AC547" s="321">
        <f t="shared" si="62"/>
        <v>0</v>
      </c>
      <c r="AD547" s="321"/>
      <c r="AE547" s="321">
        <f t="shared" si="62"/>
        <v>1251705.5363562712</v>
      </c>
      <c r="AF547" s="321">
        <f t="shared" si="62"/>
        <v>0</v>
      </c>
      <c r="AG547" s="321">
        <f t="shared" si="62"/>
        <v>85286.783044405558</v>
      </c>
      <c r="AH547" s="321">
        <f t="shared" si="62"/>
        <v>0</v>
      </c>
      <c r="AI547" s="321">
        <f t="shared" si="62"/>
        <v>1336992.3194006768</v>
      </c>
      <c r="AJ547" s="321"/>
      <c r="AK547" s="321">
        <f t="shared" si="62"/>
        <v>0</v>
      </c>
      <c r="AL547" s="321">
        <f t="shared" si="62"/>
        <v>0</v>
      </c>
      <c r="AM547" s="321">
        <f t="shared" si="62"/>
        <v>0</v>
      </c>
      <c r="AN547" s="321">
        <f t="shared" si="62"/>
        <v>0</v>
      </c>
      <c r="AO547" s="321">
        <f t="shared" si="62"/>
        <v>0</v>
      </c>
      <c r="AP547" s="321">
        <f t="shared" si="62"/>
        <v>1336992.3194006768</v>
      </c>
    </row>
    <row r="548" spans="1:42" x14ac:dyDescent="0.25">
      <c r="A548" s="311">
        <v>8877013</v>
      </c>
      <c r="D548" s="311">
        <v>8877013</v>
      </c>
      <c r="E548" s="315" t="str">
        <f t="shared" si="55"/>
        <v>Geriatrické centrum Týniště nad Orlicí</v>
      </c>
      <c r="F548" s="315" t="str">
        <f t="shared" si="56"/>
        <v>Geriatrické centrum Týniště nad Orlicí</v>
      </c>
      <c r="G548" s="315" t="str">
        <f t="shared" si="57"/>
        <v>§ 49 - Domovy pro seniory</v>
      </c>
      <c r="H548" s="315"/>
      <c r="I548" s="266" t="s">
        <v>1812</v>
      </c>
      <c r="J548" s="319"/>
      <c r="K548" s="266"/>
      <c r="L548" s="320"/>
      <c r="M548" s="321">
        <f t="shared" si="58"/>
        <v>21.31</v>
      </c>
      <c r="N548" s="321">
        <f t="shared" si="61"/>
        <v>1</v>
      </c>
      <c r="O548" s="321">
        <f t="shared" si="61"/>
        <v>13.31</v>
      </c>
      <c r="P548" s="321">
        <f t="shared" si="61"/>
        <v>7</v>
      </c>
      <c r="Q548" s="321">
        <f t="shared" si="61"/>
        <v>0</v>
      </c>
      <c r="R548" s="321">
        <f t="shared" si="61"/>
        <v>42</v>
      </c>
      <c r="S548" s="321">
        <f t="shared" si="61"/>
        <v>0</v>
      </c>
      <c r="T548" s="321">
        <f t="shared" si="61"/>
        <v>0</v>
      </c>
      <c r="U548" s="321">
        <f t="shared" si="61"/>
        <v>0</v>
      </c>
      <c r="V548" s="321"/>
      <c r="W548" s="321">
        <f t="shared" si="62"/>
        <v>21.31</v>
      </c>
      <c r="X548" s="321">
        <f t="shared" si="62"/>
        <v>1</v>
      </c>
      <c r="Y548" s="321">
        <f t="shared" si="62"/>
        <v>13.31</v>
      </c>
      <c r="Z548" s="321">
        <f t="shared" si="62"/>
        <v>7</v>
      </c>
      <c r="AA548" s="321">
        <f t="shared" si="62"/>
        <v>0</v>
      </c>
      <c r="AB548" s="321">
        <f t="shared" si="62"/>
        <v>42</v>
      </c>
      <c r="AC548" s="321">
        <f t="shared" si="62"/>
        <v>0</v>
      </c>
      <c r="AD548" s="321"/>
      <c r="AE548" s="321">
        <f t="shared" si="62"/>
        <v>9752856.9702462871</v>
      </c>
      <c r="AF548" s="321">
        <f t="shared" si="62"/>
        <v>5936634.1117923986</v>
      </c>
      <c r="AG548" s="321">
        <f t="shared" si="62"/>
        <v>4255141.7743519777</v>
      </c>
      <c r="AH548" s="321">
        <f t="shared" si="62"/>
        <v>2982845.7628158941</v>
      </c>
      <c r="AI548" s="321">
        <f t="shared" si="62"/>
        <v>22927478.619206555</v>
      </c>
      <c r="AJ548" s="321"/>
      <c r="AK548" s="321">
        <f t="shared" si="62"/>
        <v>4715360.3765462637</v>
      </c>
      <c r="AL548" s="321">
        <f t="shared" si="62"/>
        <v>1228284.4879227052</v>
      </c>
      <c r="AM548" s="321">
        <f t="shared" si="62"/>
        <v>3230798.53427896</v>
      </c>
      <c r="AN548" s="321">
        <f t="shared" si="62"/>
        <v>2136836.6443014708</v>
      </c>
      <c r="AO548" s="321">
        <f t="shared" si="62"/>
        <v>11311280.043049399</v>
      </c>
      <c r="AP548" s="321">
        <f t="shared" si="62"/>
        <v>11616198.576157156</v>
      </c>
    </row>
    <row r="549" spans="1:42" x14ac:dyDescent="0.25">
      <c r="A549" s="311">
        <v>8891712</v>
      </c>
      <c r="D549" s="311">
        <v>8891712</v>
      </c>
      <c r="E549" s="315" t="str">
        <f t="shared" si="55"/>
        <v>Dům na půli cesty</v>
      </c>
      <c r="F549" s="315" t="str">
        <f t="shared" si="56"/>
        <v>Oblastní charita Náchod</v>
      </c>
      <c r="G549" s="315" t="str">
        <f t="shared" si="57"/>
        <v>§ 57 - Azylové domy</v>
      </c>
      <c r="H549" s="315"/>
      <c r="I549" s="266" t="s">
        <v>1812</v>
      </c>
      <c r="J549" s="319"/>
      <c r="K549" s="266"/>
      <c r="L549" s="320"/>
      <c r="M549" s="321">
        <f t="shared" si="58"/>
        <v>6.5</v>
      </c>
      <c r="N549" s="321">
        <f t="shared" si="61"/>
        <v>1</v>
      </c>
      <c r="O549" s="321">
        <f t="shared" si="61"/>
        <v>5.5</v>
      </c>
      <c r="P549" s="321">
        <f t="shared" si="61"/>
        <v>0</v>
      </c>
      <c r="Q549" s="321">
        <f t="shared" si="61"/>
        <v>0</v>
      </c>
      <c r="R549" s="321">
        <f t="shared" si="61"/>
        <v>11</v>
      </c>
      <c r="S549" s="321">
        <f t="shared" si="61"/>
        <v>0</v>
      </c>
      <c r="T549" s="321">
        <f t="shared" si="61"/>
        <v>0</v>
      </c>
      <c r="U549" s="321">
        <f t="shared" si="61"/>
        <v>0</v>
      </c>
      <c r="V549" s="321"/>
      <c r="W549" s="321">
        <f t="shared" si="62"/>
        <v>6.5</v>
      </c>
      <c r="X549" s="321">
        <f t="shared" si="62"/>
        <v>1</v>
      </c>
      <c r="Y549" s="321">
        <f t="shared" si="62"/>
        <v>5.5</v>
      </c>
      <c r="Z549" s="321">
        <f t="shared" si="62"/>
        <v>0</v>
      </c>
      <c r="AA549" s="321">
        <f t="shared" si="62"/>
        <v>0</v>
      </c>
      <c r="AB549" s="321">
        <f t="shared" si="62"/>
        <v>11</v>
      </c>
      <c r="AC549" s="321">
        <f t="shared" si="62"/>
        <v>0</v>
      </c>
      <c r="AD549" s="321"/>
      <c r="AE549" s="321">
        <f t="shared" si="62"/>
        <v>4212809.0377270449</v>
      </c>
      <c r="AF549" s="321">
        <f t="shared" si="62"/>
        <v>0</v>
      </c>
      <c r="AG549" s="321">
        <f t="shared" si="62"/>
        <v>293831.0484912105</v>
      </c>
      <c r="AH549" s="321">
        <f t="shared" si="62"/>
        <v>0</v>
      </c>
      <c r="AI549" s="321">
        <f t="shared" si="62"/>
        <v>4506640.0862182556</v>
      </c>
      <c r="AJ549" s="321"/>
      <c r="AK549" s="321">
        <f t="shared" si="62"/>
        <v>0</v>
      </c>
      <c r="AL549" s="321">
        <f t="shared" si="62"/>
        <v>0</v>
      </c>
      <c r="AM549" s="321">
        <f t="shared" si="62"/>
        <v>250086.28333333335</v>
      </c>
      <c r="AN549" s="321">
        <f t="shared" si="62"/>
        <v>0</v>
      </c>
      <c r="AO549" s="321">
        <f t="shared" si="62"/>
        <v>250086.28333333335</v>
      </c>
      <c r="AP549" s="321">
        <f t="shared" si="62"/>
        <v>4256553.8028849224</v>
      </c>
    </row>
    <row r="550" spans="1:42" x14ac:dyDescent="0.25">
      <c r="A550" s="311">
        <v>8902089</v>
      </c>
      <c r="D550" s="311">
        <v>8902089</v>
      </c>
      <c r="E550" s="315" t="str">
        <f t="shared" si="55"/>
        <v>Osobní asistence</v>
      </c>
      <c r="F550" s="315" t="str">
        <f t="shared" si="56"/>
        <v>Farní charita Dobruška</v>
      </c>
      <c r="G550" s="315" t="str">
        <f t="shared" si="57"/>
        <v>§ 39 - Osobní asistence</v>
      </c>
      <c r="H550" s="315"/>
      <c r="I550" s="266" t="s">
        <v>1812</v>
      </c>
      <c r="J550" s="319"/>
      <c r="K550" s="266"/>
      <c r="L550" s="320"/>
      <c r="M550" s="321">
        <f t="shared" si="58"/>
        <v>5.3</v>
      </c>
      <c r="N550" s="321">
        <f t="shared" si="61"/>
        <v>0.9</v>
      </c>
      <c r="O550" s="321">
        <f t="shared" si="61"/>
        <v>4.4000000000000004</v>
      </c>
      <c r="P550" s="321">
        <f t="shared" si="61"/>
        <v>0</v>
      </c>
      <c r="Q550" s="321">
        <f t="shared" si="61"/>
        <v>0</v>
      </c>
      <c r="R550" s="321">
        <f t="shared" si="61"/>
        <v>0</v>
      </c>
      <c r="S550" s="321">
        <f t="shared" si="61"/>
        <v>5</v>
      </c>
      <c r="T550" s="321">
        <f t="shared" si="61"/>
        <v>0</v>
      </c>
      <c r="U550" s="321">
        <f t="shared" si="61"/>
        <v>0</v>
      </c>
      <c r="V550" s="321"/>
      <c r="W550" s="321">
        <f t="shared" si="62"/>
        <v>5.3</v>
      </c>
      <c r="X550" s="321">
        <f t="shared" si="62"/>
        <v>0.9</v>
      </c>
      <c r="Y550" s="321">
        <f t="shared" si="62"/>
        <v>4.4000000000000004</v>
      </c>
      <c r="Z550" s="321">
        <f t="shared" si="62"/>
        <v>0</v>
      </c>
      <c r="AA550" s="321">
        <f t="shared" si="62"/>
        <v>0</v>
      </c>
      <c r="AB550" s="321">
        <f t="shared" si="62"/>
        <v>0</v>
      </c>
      <c r="AC550" s="321">
        <f t="shared" si="62"/>
        <v>0</v>
      </c>
      <c r="AD550" s="321"/>
      <c r="AE550" s="321">
        <f t="shared" si="62"/>
        <v>2829955.0937614487</v>
      </c>
      <c r="AF550" s="321">
        <f t="shared" si="62"/>
        <v>0</v>
      </c>
      <c r="AG550" s="321">
        <f t="shared" si="62"/>
        <v>105082.41763057503</v>
      </c>
      <c r="AH550" s="321">
        <f t="shared" si="62"/>
        <v>0</v>
      </c>
      <c r="AI550" s="321">
        <f t="shared" si="62"/>
        <v>2935037.5113920239</v>
      </c>
      <c r="AJ550" s="321"/>
      <c r="AK550" s="321">
        <f t="shared" si="62"/>
        <v>549862.89811497356</v>
      </c>
      <c r="AL550" s="321">
        <f t="shared" si="62"/>
        <v>0</v>
      </c>
      <c r="AM550" s="321">
        <f t="shared" si="62"/>
        <v>0</v>
      </c>
      <c r="AN550" s="321">
        <f t="shared" si="62"/>
        <v>0</v>
      </c>
      <c r="AO550" s="321">
        <f t="shared" si="62"/>
        <v>549862.89811497356</v>
      </c>
      <c r="AP550" s="321">
        <f t="shared" si="62"/>
        <v>2385174.6132770502</v>
      </c>
    </row>
    <row r="551" spans="1:42" x14ac:dyDescent="0.25">
      <c r="A551" s="311">
        <v>8936486</v>
      </c>
      <c r="D551" s="311">
        <v>8936486</v>
      </c>
      <c r="E551" s="315" t="str">
        <f t="shared" si="55"/>
        <v>Domov Diakonie</v>
      </c>
      <c r="F551" s="315" t="str">
        <f t="shared" si="56"/>
        <v>Diakonie ČCE - středisko ve Dvoře Králové nad Labem</v>
      </c>
      <c r="G551" s="315" t="str">
        <f t="shared" si="57"/>
        <v>§ 50 - Domovy se zvláštním režimem</v>
      </c>
      <c r="H551" s="315"/>
      <c r="I551" s="266" t="s">
        <v>1812</v>
      </c>
      <c r="J551" s="319"/>
      <c r="K551" s="266"/>
      <c r="L551" s="320"/>
      <c r="M551" s="321">
        <f t="shared" si="58"/>
        <v>7.2</v>
      </c>
      <c r="N551" s="321">
        <f t="shared" si="61"/>
        <v>0.15</v>
      </c>
      <c r="O551" s="321">
        <f t="shared" si="61"/>
        <v>4.25</v>
      </c>
      <c r="P551" s="321">
        <f t="shared" si="61"/>
        <v>2.8</v>
      </c>
      <c r="Q551" s="321">
        <f t="shared" si="61"/>
        <v>0</v>
      </c>
      <c r="R551" s="321">
        <f t="shared" si="61"/>
        <v>10</v>
      </c>
      <c r="S551" s="321">
        <f t="shared" si="61"/>
        <v>0</v>
      </c>
      <c r="T551" s="321">
        <f t="shared" si="61"/>
        <v>0</v>
      </c>
      <c r="U551" s="321">
        <f t="shared" si="61"/>
        <v>0</v>
      </c>
      <c r="V551" s="321"/>
      <c r="W551" s="321">
        <f t="shared" si="62"/>
        <v>7.2</v>
      </c>
      <c r="X551" s="321">
        <f t="shared" si="62"/>
        <v>0.15</v>
      </c>
      <c r="Y551" s="321">
        <f t="shared" si="62"/>
        <v>4.25</v>
      </c>
      <c r="Z551" s="321">
        <f t="shared" si="62"/>
        <v>2.8</v>
      </c>
      <c r="AA551" s="321">
        <f t="shared" si="62"/>
        <v>0</v>
      </c>
      <c r="AB551" s="321">
        <f t="shared" si="62"/>
        <v>10</v>
      </c>
      <c r="AC551" s="321">
        <f t="shared" si="62"/>
        <v>0</v>
      </c>
      <c r="AD551" s="321"/>
      <c r="AE551" s="321">
        <f t="shared" si="62"/>
        <v>2935803.8924348978</v>
      </c>
      <c r="AF551" s="321">
        <f t="shared" si="62"/>
        <v>2368551.8229969535</v>
      </c>
      <c r="AG551" s="321">
        <f t="shared" si="62"/>
        <v>996577.68810853991</v>
      </c>
      <c r="AH551" s="321">
        <f t="shared" si="62"/>
        <v>673045.9713419273</v>
      </c>
      <c r="AI551" s="321">
        <f t="shared" si="62"/>
        <v>6973979.374882319</v>
      </c>
      <c r="AJ551" s="321"/>
      <c r="AK551" s="321">
        <f t="shared" si="62"/>
        <v>1200682.2</v>
      </c>
      <c r="AL551" s="321">
        <f t="shared" si="62"/>
        <v>224820.96249999999</v>
      </c>
      <c r="AM551" s="321">
        <f t="shared" si="62"/>
        <v>724418.27586206899</v>
      </c>
      <c r="AN551" s="321">
        <f t="shared" si="62"/>
        <v>510013.5</v>
      </c>
      <c r="AO551" s="321">
        <f t="shared" si="62"/>
        <v>2659934.938362069</v>
      </c>
      <c r="AP551" s="321">
        <f t="shared" si="62"/>
        <v>4314044.4365202505</v>
      </c>
    </row>
    <row r="552" spans="1:42" x14ac:dyDescent="0.25">
      <c r="A552" s="311">
        <v>8946698</v>
      </c>
      <c r="D552" s="311">
        <v>8946698</v>
      </c>
      <c r="E552" s="315" t="str">
        <f t="shared" si="55"/>
        <v>SAS Alternativa</v>
      </c>
      <c r="F552" s="315" t="str">
        <f t="shared" si="56"/>
        <v>Diakonie ČCE - středisko Milíčův dům</v>
      </c>
      <c r="G552" s="315" t="str">
        <f t="shared" si="57"/>
        <v>§ 65 - Sociálně aktivizační služby pro rodiny s dětmi</v>
      </c>
      <c r="H552" s="315"/>
      <c r="I552" s="266" t="s">
        <v>1812</v>
      </c>
      <c r="J552" s="319"/>
      <c r="K552" s="266"/>
      <c r="L552" s="320"/>
      <c r="M552" s="321">
        <f t="shared" si="58"/>
        <v>6</v>
      </c>
      <c r="N552" s="321">
        <f t="shared" si="61"/>
        <v>3</v>
      </c>
      <c r="O552" s="321">
        <f t="shared" si="61"/>
        <v>3</v>
      </c>
      <c r="P552" s="321">
        <f t="shared" si="61"/>
        <v>0</v>
      </c>
      <c r="Q552" s="321">
        <f t="shared" si="61"/>
        <v>0</v>
      </c>
      <c r="R552" s="321">
        <f t="shared" si="61"/>
        <v>0</v>
      </c>
      <c r="S552" s="321">
        <f t="shared" si="61"/>
        <v>90</v>
      </c>
      <c r="T552" s="321">
        <f t="shared" si="61"/>
        <v>0</v>
      </c>
      <c r="U552" s="321">
        <f t="shared" si="61"/>
        <v>0</v>
      </c>
      <c r="V552" s="321"/>
      <c r="W552" s="321">
        <f t="shared" si="62"/>
        <v>6</v>
      </c>
      <c r="X552" s="321">
        <f t="shared" si="62"/>
        <v>3</v>
      </c>
      <c r="Y552" s="321">
        <f t="shared" si="62"/>
        <v>3</v>
      </c>
      <c r="Z552" s="321">
        <f t="shared" si="62"/>
        <v>0</v>
      </c>
      <c r="AA552" s="321">
        <f t="shared" si="62"/>
        <v>0</v>
      </c>
      <c r="AB552" s="321">
        <f t="shared" si="62"/>
        <v>0</v>
      </c>
      <c r="AC552" s="321">
        <f t="shared" si="62"/>
        <v>0</v>
      </c>
      <c r="AD552" s="321"/>
      <c r="AE552" s="321">
        <f t="shared" si="62"/>
        <v>4043756.5552268168</v>
      </c>
      <c r="AF552" s="321">
        <f t="shared" si="62"/>
        <v>0</v>
      </c>
      <c r="AG552" s="321">
        <f t="shared" si="62"/>
        <v>270061.77147533832</v>
      </c>
      <c r="AH552" s="321">
        <f t="shared" si="62"/>
        <v>0</v>
      </c>
      <c r="AI552" s="321">
        <f t="shared" si="62"/>
        <v>4313818.3267021552</v>
      </c>
      <c r="AJ552" s="321"/>
      <c r="AK552" s="321">
        <f t="shared" si="62"/>
        <v>0</v>
      </c>
      <c r="AL552" s="321">
        <f t="shared" si="62"/>
        <v>0</v>
      </c>
      <c r="AM552" s="321">
        <f t="shared" si="62"/>
        <v>0</v>
      </c>
      <c r="AN552" s="321">
        <f t="shared" si="62"/>
        <v>0</v>
      </c>
      <c r="AO552" s="321">
        <f t="shared" si="62"/>
        <v>0</v>
      </c>
      <c r="AP552" s="321">
        <f t="shared" si="62"/>
        <v>4313818.3267021552</v>
      </c>
    </row>
    <row r="553" spans="1:42" x14ac:dyDescent="0.25">
      <c r="A553" s="311">
        <v>8979890</v>
      </c>
      <c r="D553" s="311">
        <v>8979890</v>
      </c>
      <c r="E553" s="315" t="str">
        <f t="shared" si="55"/>
        <v>Denní stacionář</v>
      </c>
      <c r="F553" s="315" t="str">
        <f t="shared" si="56"/>
        <v>Stacionář Cesta Náchod z.ú.</v>
      </c>
      <c r="G553" s="315" t="str">
        <f t="shared" si="57"/>
        <v>§ 46 - Denní stacionáře</v>
      </c>
      <c r="H553" s="315"/>
      <c r="I553" s="266" t="s">
        <v>1812</v>
      </c>
      <c r="J553" s="319"/>
      <c r="K553" s="266"/>
      <c r="L553" s="320"/>
      <c r="M553" s="321">
        <f t="shared" si="58"/>
        <v>5.5</v>
      </c>
      <c r="N553" s="321">
        <f t="shared" si="61"/>
        <v>0.5</v>
      </c>
      <c r="O553" s="321">
        <f t="shared" si="61"/>
        <v>5</v>
      </c>
      <c r="P553" s="321">
        <f t="shared" si="61"/>
        <v>0</v>
      </c>
      <c r="Q553" s="321">
        <f t="shared" si="61"/>
        <v>0</v>
      </c>
      <c r="R553" s="321">
        <f t="shared" si="61"/>
        <v>0</v>
      </c>
      <c r="S553" s="321">
        <f t="shared" si="61"/>
        <v>0</v>
      </c>
      <c r="T553" s="321">
        <f t="shared" si="61"/>
        <v>17</v>
      </c>
      <c r="U553" s="321">
        <f t="shared" si="61"/>
        <v>0</v>
      </c>
      <c r="V553" s="321"/>
      <c r="W553" s="321">
        <f t="shared" si="62"/>
        <v>5.5</v>
      </c>
      <c r="X553" s="321">
        <f t="shared" si="62"/>
        <v>0.5</v>
      </c>
      <c r="Y553" s="321">
        <f t="shared" si="62"/>
        <v>5</v>
      </c>
      <c r="Z553" s="321">
        <f t="shared" si="62"/>
        <v>0</v>
      </c>
      <c r="AA553" s="321">
        <f t="shared" si="62"/>
        <v>0</v>
      </c>
      <c r="AB553" s="321">
        <f t="shared" si="62"/>
        <v>0</v>
      </c>
      <c r="AC553" s="321">
        <f t="shared" si="62"/>
        <v>17</v>
      </c>
      <c r="AD553" s="321"/>
      <c r="AE553" s="321">
        <f t="shared" si="62"/>
        <v>4090775.3333919728</v>
      </c>
      <c r="AF553" s="321">
        <f t="shared" si="62"/>
        <v>0</v>
      </c>
      <c r="AG553" s="321">
        <f t="shared" si="62"/>
        <v>474406.31096725503</v>
      </c>
      <c r="AH553" s="321">
        <f t="shared" si="62"/>
        <v>93108.167882954804</v>
      </c>
      <c r="AI553" s="321">
        <f t="shared" si="62"/>
        <v>4658289.8122421829</v>
      </c>
      <c r="AJ553" s="321"/>
      <c r="AK553" s="321">
        <f t="shared" si="62"/>
        <v>674467.32026143791</v>
      </c>
      <c r="AL553" s="321">
        <f t="shared" si="62"/>
        <v>0</v>
      </c>
      <c r="AM553" s="321">
        <f t="shared" si="62"/>
        <v>0</v>
      </c>
      <c r="AN553" s="321">
        <f t="shared" si="62"/>
        <v>92689.230769230766</v>
      </c>
      <c r="AO553" s="321">
        <f t="shared" si="62"/>
        <v>767156.55103066866</v>
      </c>
      <c r="AP553" s="321">
        <f t="shared" si="62"/>
        <v>3891133.2612115145</v>
      </c>
    </row>
    <row r="554" spans="1:42" x14ac:dyDescent="0.25">
      <c r="A554" s="311">
        <v>8982230</v>
      </c>
      <c r="D554" s="311">
        <v>8982230</v>
      </c>
      <c r="E554" s="315" t="str">
        <f t="shared" si="55"/>
        <v>Sociální služby obce Chomutice - Domov pro seniory</v>
      </c>
      <c r="F554" s="315" t="str">
        <f t="shared" si="56"/>
        <v>Sociální služby obce Chomutice - Domov pro seniory</v>
      </c>
      <c r="G554" s="315" t="str">
        <f t="shared" si="57"/>
        <v>§ 49 - Domovy pro seniory</v>
      </c>
      <c r="H554" s="315"/>
      <c r="I554" s="266" t="s">
        <v>1812</v>
      </c>
      <c r="J554" s="319"/>
      <c r="K554" s="266"/>
      <c r="L554" s="320"/>
      <c r="M554" s="321">
        <f t="shared" si="58"/>
        <v>18</v>
      </c>
      <c r="N554" s="321">
        <f t="shared" si="61"/>
        <v>1</v>
      </c>
      <c r="O554" s="321">
        <f t="shared" si="61"/>
        <v>13</v>
      </c>
      <c r="P554" s="321">
        <f t="shared" si="61"/>
        <v>4</v>
      </c>
      <c r="Q554" s="321">
        <f t="shared" si="61"/>
        <v>0</v>
      </c>
      <c r="R554" s="321">
        <f t="shared" si="61"/>
        <v>37</v>
      </c>
      <c r="S554" s="321">
        <f t="shared" si="61"/>
        <v>0</v>
      </c>
      <c r="T554" s="321">
        <f t="shared" si="61"/>
        <v>0</v>
      </c>
      <c r="U554" s="321">
        <f t="shared" si="61"/>
        <v>0</v>
      </c>
      <c r="V554" s="321"/>
      <c r="W554" s="321">
        <f t="shared" si="62"/>
        <v>18</v>
      </c>
      <c r="X554" s="321">
        <f t="shared" si="62"/>
        <v>1</v>
      </c>
      <c r="Y554" s="321">
        <f t="shared" si="62"/>
        <v>13</v>
      </c>
      <c r="Z554" s="321">
        <f t="shared" si="62"/>
        <v>4</v>
      </c>
      <c r="AA554" s="321">
        <f t="shared" si="62"/>
        <v>0</v>
      </c>
      <c r="AB554" s="321">
        <f t="shared" si="62"/>
        <v>37</v>
      </c>
      <c r="AC554" s="321">
        <f t="shared" si="62"/>
        <v>0</v>
      </c>
      <c r="AD554" s="321"/>
      <c r="AE554" s="321">
        <f t="shared" si="62"/>
        <v>9541579.1462926641</v>
      </c>
      <c r="AF554" s="321">
        <f t="shared" si="62"/>
        <v>3392362.3495956566</v>
      </c>
      <c r="AG554" s="321">
        <f t="shared" si="62"/>
        <v>3748577.2774053137</v>
      </c>
      <c r="AH554" s="321">
        <f t="shared" si="62"/>
        <v>2627745.0767663829</v>
      </c>
      <c r="AI554" s="321">
        <f t="shared" si="62"/>
        <v>19310263.850060016</v>
      </c>
      <c r="AJ554" s="321"/>
      <c r="AK554" s="321">
        <f t="shared" si="62"/>
        <v>4154007.9507669467</v>
      </c>
      <c r="AL554" s="321">
        <f t="shared" si="62"/>
        <v>1082060.1441223833</v>
      </c>
      <c r="AM554" s="321">
        <f t="shared" si="62"/>
        <v>2846179.6611505123</v>
      </c>
      <c r="AN554" s="321">
        <f t="shared" si="62"/>
        <v>1882451.3295036766</v>
      </c>
      <c r="AO554" s="321">
        <f t="shared" si="62"/>
        <v>9964699.0855435189</v>
      </c>
      <c r="AP554" s="321">
        <f t="shared" si="62"/>
        <v>9345564.764516497</v>
      </c>
    </row>
    <row r="555" spans="1:42" x14ac:dyDescent="0.25">
      <c r="A555" s="311">
        <v>8984742</v>
      </c>
      <c r="D555" s="311">
        <v>8984742</v>
      </c>
      <c r="E555" s="315" t="str">
        <f t="shared" si="55"/>
        <v>Občanská poradna Jičín</v>
      </c>
      <c r="F555" s="315" t="str">
        <f t="shared" si="56"/>
        <v>Občanské poradenské středisko, o.p.s.</v>
      </c>
      <c r="G555" s="315" t="str">
        <f t="shared" si="57"/>
        <v>§ 37 - Odborné sociální poradenství</v>
      </c>
      <c r="H555" s="315"/>
      <c r="I555" s="266" t="s">
        <v>1812</v>
      </c>
      <c r="J555" s="319"/>
      <c r="K555" s="266"/>
      <c r="L555" s="320"/>
      <c r="M555" s="321">
        <f t="shared" si="58"/>
        <v>1.5</v>
      </c>
      <c r="N555" s="321">
        <f t="shared" si="61"/>
        <v>1</v>
      </c>
      <c r="O555" s="321">
        <f t="shared" si="61"/>
        <v>0</v>
      </c>
      <c r="P555" s="321">
        <f t="shared" si="61"/>
        <v>0</v>
      </c>
      <c r="Q555" s="321">
        <f t="shared" si="61"/>
        <v>0.5</v>
      </c>
      <c r="R555" s="321">
        <f t="shared" si="61"/>
        <v>0</v>
      </c>
      <c r="S555" s="321">
        <f t="shared" si="61"/>
        <v>8</v>
      </c>
      <c r="T555" s="321">
        <f t="shared" si="61"/>
        <v>0</v>
      </c>
      <c r="U555" s="321">
        <f t="shared" si="61"/>
        <v>0</v>
      </c>
      <c r="V555" s="321"/>
      <c r="W555" s="321">
        <f t="shared" si="62"/>
        <v>1.5</v>
      </c>
      <c r="X555" s="321">
        <f t="shared" si="62"/>
        <v>1</v>
      </c>
      <c r="Y555" s="321">
        <f t="shared" si="62"/>
        <v>0</v>
      </c>
      <c r="Z555" s="321">
        <f t="shared" si="62"/>
        <v>0</v>
      </c>
      <c r="AA555" s="321">
        <f t="shared" si="62"/>
        <v>0.5</v>
      </c>
      <c r="AB555" s="321">
        <f t="shared" si="62"/>
        <v>0</v>
      </c>
      <c r="AC555" s="321">
        <f t="shared" si="62"/>
        <v>0</v>
      </c>
      <c r="AD555" s="321"/>
      <c r="AE555" s="321">
        <f t="shared" si="62"/>
        <v>1043087.9469635594</v>
      </c>
      <c r="AF555" s="321">
        <f t="shared" si="62"/>
        <v>0</v>
      </c>
      <c r="AG555" s="321">
        <f t="shared" si="62"/>
        <v>71072.319203671301</v>
      </c>
      <c r="AH555" s="321">
        <f t="shared" si="62"/>
        <v>0</v>
      </c>
      <c r="AI555" s="321">
        <f t="shared" si="62"/>
        <v>1114160.2661672307</v>
      </c>
      <c r="AJ555" s="321"/>
      <c r="AK555" s="321">
        <f t="shared" si="62"/>
        <v>0</v>
      </c>
      <c r="AL555" s="321">
        <f t="shared" si="62"/>
        <v>0</v>
      </c>
      <c r="AM555" s="321">
        <f t="shared" si="62"/>
        <v>0</v>
      </c>
      <c r="AN555" s="321">
        <f t="shared" si="62"/>
        <v>0</v>
      </c>
      <c r="AO555" s="321">
        <f t="shared" si="62"/>
        <v>0</v>
      </c>
      <c r="AP555" s="321">
        <f t="shared" si="62"/>
        <v>1114160.2661672307</v>
      </c>
    </row>
    <row r="556" spans="1:42" x14ac:dyDescent="0.25">
      <c r="A556" s="311">
        <v>9064643</v>
      </c>
      <c r="D556" s="311">
        <v>9064643</v>
      </c>
      <c r="E556" s="315" t="str">
        <f t="shared" si="55"/>
        <v>SV. ANNA Domov pro matky s dětmi Náchod</v>
      </c>
      <c r="F556" s="315" t="str">
        <f t="shared" si="56"/>
        <v>Oblastní charita Náchod</v>
      </c>
      <c r="G556" s="315" t="str">
        <f t="shared" si="57"/>
        <v>§ 57 - Azylové domy</v>
      </c>
      <c r="H556" s="315"/>
      <c r="I556" s="266" t="s">
        <v>1812</v>
      </c>
      <c r="J556" s="319"/>
      <c r="K556" s="266"/>
      <c r="L556" s="320"/>
      <c r="M556" s="321">
        <f t="shared" si="58"/>
        <v>7</v>
      </c>
      <c r="N556" s="321">
        <f t="shared" ref="N556:AC571" si="63">SUMIFS(N$4:N$318,$D$4:$D$318,$D556)</f>
        <v>1.5</v>
      </c>
      <c r="O556" s="321">
        <f t="shared" si="63"/>
        <v>5</v>
      </c>
      <c r="P556" s="321">
        <f t="shared" si="63"/>
        <v>0</v>
      </c>
      <c r="Q556" s="321">
        <f t="shared" si="63"/>
        <v>0.5</v>
      </c>
      <c r="R556" s="321">
        <f t="shared" si="63"/>
        <v>72</v>
      </c>
      <c r="S556" s="321">
        <f t="shared" si="63"/>
        <v>0</v>
      </c>
      <c r="T556" s="321">
        <f t="shared" si="63"/>
        <v>0</v>
      </c>
      <c r="U556" s="321">
        <f t="shared" si="63"/>
        <v>0</v>
      </c>
      <c r="V556" s="321"/>
      <c r="W556" s="321">
        <f t="shared" si="63"/>
        <v>7</v>
      </c>
      <c r="X556" s="321">
        <f t="shared" si="63"/>
        <v>1.5</v>
      </c>
      <c r="Y556" s="321">
        <f t="shared" si="63"/>
        <v>5</v>
      </c>
      <c r="Z556" s="321">
        <f t="shared" si="63"/>
        <v>0</v>
      </c>
      <c r="AA556" s="321">
        <f t="shared" si="63"/>
        <v>0.5</v>
      </c>
      <c r="AB556" s="321">
        <f t="shared" si="63"/>
        <v>72</v>
      </c>
      <c r="AC556" s="321">
        <f t="shared" si="63"/>
        <v>0</v>
      </c>
      <c r="AD556" s="321"/>
      <c r="AE556" s="321">
        <f t="shared" si="62"/>
        <v>4536871.2713983562</v>
      </c>
      <c r="AF556" s="321">
        <f t="shared" si="62"/>
        <v>0</v>
      </c>
      <c r="AG556" s="321">
        <f t="shared" si="62"/>
        <v>1923257.7719424686</v>
      </c>
      <c r="AH556" s="321">
        <f t="shared" si="62"/>
        <v>0</v>
      </c>
      <c r="AI556" s="321">
        <f t="shared" si="62"/>
        <v>6460129.0433408245</v>
      </c>
      <c r="AJ556" s="321"/>
      <c r="AK556" s="321">
        <f t="shared" si="62"/>
        <v>0</v>
      </c>
      <c r="AL556" s="321">
        <f t="shared" si="62"/>
        <v>0</v>
      </c>
      <c r="AM556" s="321">
        <f t="shared" si="62"/>
        <v>1636928.4000000001</v>
      </c>
      <c r="AN556" s="321">
        <f t="shared" si="62"/>
        <v>0</v>
      </c>
      <c r="AO556" s="321">
        <f t="shared" si="62"/>
        <v>1636928.4000000001</v>
      </c>
      <c r="AP556" s="321">
        <f t="shared" si="62"/>
        <v>4823200.6433408242</v>
      </c>
    </row>
    <row r="557" spans="1:42" x14ac:dyDescent="0.25">
      <c r="A557" s="311">
        <v>9097155</v>
      </c>
      <c r="D557" s="311">
        <v>9097155</v>
      </c>
      <c r="E557" s="315" t="str">
        <f t="shared" si="55"/>
        <v>Obecný zájem, z. ú.</v>
      </c>
      <c r="F557" s="315" t="str">
        <f t="shared" si="56"/>
        <v>Obecný zájem, z.ú.</v>
      </c>
      <c r="G557" s="315" t="str">
        <f t="shared" si="57"/>
        <v>§ 40 - Pečovatelská služba</v>
      </c>
      <c r="H557" s="315"/>
      <c r="I557" s="266" t="s">
        <v>1812</v>
      </c>
      <c r="J557" s="319"/>
      <c r="K557" s="266"/>
      <c r="L557" s="320"/>
      <c r="M557" s="321">
        <f t="shared" si="58"/>
        <v>8.9</v>
      </c>
      <c r="N557" s="321">
        <f t="shared" si="63"/>
        <v>1.1499999999999999</v>
      </c>
      <c r="O557" s="321">
        <f t="shared" si="63"/>
        <v>7.75</v>
      </c>
      <c r="P557" s="321">
        <f t="shared" si="63"/>
        <v>0</v>
      </c>
      <c r="Q557" s="321">
        <f t="shared" si="63"/>
        <v>0</v>
      </c>
      <c r="R557" s="321">
        <f t="shared" si="63"/>
        <v>0</v>
      </c>
      <c r="S557" s="321">
        <f t="shared" si="63"/>
        <v>85</v>
      </c>
      <c r="T557" s="321">
        <f t="shared" si="63"/>
        <v>0</v>
      </c>
      <c r="U557" s="321">
        <f t="shared" si="63"/>
        <v>0</v>
      </c>
      <c r="V557" s="321"/>
      <c r="W557" s="321">
        <f t="shared" si="62"/>
        <v>8.9</v>
      </c>
      <c r="X557" s="321">
        <f t="shared" si="62"/>
        <v>1.1499999999999999</v>
      </c>
      <c r="Y557" s="321">
        <f t="shared" si="62"/>
        <v>7.75</v>
      </c>
      <c r="Z557" s="321">
        <f t="shared" si="62"/>
        <v>0</v>
      </c>
      <c r="AA557" s="321">
        <f t="shared" si="62"/>
        <v>0</v>
      </c>
      <c r="AB557" s="321">
        <f t="shared" si="62"/>
        <v>0</v>
      </c>
      <c r="AC557" s="321">
        <f t="shared" si="62"/>
        <v>0</v>
      </c>
      <c r="AD557" s="321"/>
      <c r="AE557" s="321">
        <f t="shared" si="62"/>
        <v>5138812.1463583903</v>
      </c>
      <c r="AF557" s="321">
        <f t="shared" si="62"/>
        <v>0</v>
      </c>
      <c r="AG557" s="321">
        <f t="shared" si="62"/>
        <v>383178.15666652197</v>
      </c>
      <c r="AH557" s="321">
        <f t="shared" si="62"/>
        <v>0</v>
      </c>
      <c r="AI557" s="321">
        <f t="shared" si="62"/>
        <v>5521990.3030249123</v>
      </c>
      <c r="AJ557" s="321"/>
      <c r="AK557" s="321">
        <f t="shared" si="62"/>
        <v>1075353.0735294118</v>
      </c>
      <c r="AL557" s="321">
        <f t="shared" si="62"/>
        <v>0</v>
      </c>
      <c r="AM557" s="321">
        <f t="shared" si="62"/>
        <v>0</v>
      </c>
      <c r="AN557" s="321">
        <f t="shared" si="62"/>
        <v>0</v>
      </c>
      <c r="AO557" s="321">
        <f t="shared" si="62"/>
        <v>1075353.0735294118</v>
      </c>
      <c r="AP557" s="321">
        <f t="shared" si="62"/>
        <v>4446637.2294955002</v>
      </c>
    </row>
    <row r="558" spans="1:42" x14ac:dyDescent="0.25">
      <c r="A558" s="311">
        <v>9142033</v>
      </c>
      <c r="D558" s="311">
        <v>9142033</v>
      </c>
      <c r="E558" s="315" t="str">
        <f t="shared" si="55"/>
        <v>Oblastní nemocnice Náchod a.s.</v>
      </c>
      <c r="F558" s="315" t="str">
        <f t="shared" si="56"/>
        <v>Oblastní nemocnice Náchod a.s.</v>
      </c>
      <c r="G558" s="315" t="str">
        <f t="shared" si="57"/>
        <v>§ 52 - Sociální služby poskytované ve zdravotnických zařízeních ústavní péče</v>
      </c>
      <c r="H558" s="315"/>
      <c r="I558" s="266" t="s">
        <v>1812</v>
      </c>
      <c r="J558" s="319"/>
      <c r="K558" s="266"/>
      <c r="L558" s="320"/>
      <c r="M558" s="321">
        <f t="shared" si="58"/>
        <v>21</v>
      </c>
      <c r="N558" s="321">
        <f t="shared" si="63"/>
        <v>1.5</v>
      </c>
      <c r="O558" s="321">
        <f t="shared" si="63"/>
        <v>18</v>
      </c>
      <c r="P558" s="321">
        <f t="shared" si="63"/>
        <v>1.5</v>
      </c>
      <c r="Q558" s="321">
        <f t="shared" si="63"/>
        <v>0</v>
      </c>
      <c r="R558" s="321">
        <f t="shared" si="63"/>
        <v>25</v>
      </c>
      <c r="S558" s="321">
        <f t="shared" si="63"/>
        <v>0</v>
      </c>
      <c r="T558" s="321">
        <f t="shared" si="63"/>
        <v>0</v>
      </c>
      <c r="U558" s="321">
        <f t="shared" si="63"/>
        <v>0</v>
      </c>
      <c r="V558" s="321"/>
      <c r="W558" s="321">
        <f t="shared" si="62"/>
        <v>21</v>
      </c>
      <c r="X558" s="321">
        <f t="shared" ref="W558:AP570" si="64">SUMIFS(X$4:X$318,$D$4:$D$318,$D558)</f>
        <v>1.5</v>
      </c>
      <c r="Y558" s="321">
        <f t="shared" si="64"/>
        <v>18</v>
      </c>
      <c r="Z558" s="321">
        <f t="shared" si="64"/>
        <v>1.5</v>
      </c>
      <c r="AA558" s="321">
        <f t="shared" si="64"/>
        <v>0</v>
      </c>
      <c r="AB558" s="321">
        <f t="shared" si="64"/>
        <v>25</v>
      </c>
      <c r="AC558" s="321">
        <f t="shared" si="64"/>
        <v>0</v>
      </c>
      <c r="AD558" s="321"/>
      <c r="AE558" s="321">
        <f t="shared" si="64"/>
        <v>9592395.3831330575</v>
      </c>
      <c r="AF558" s="321">
        <f t="shared" si="64"/>
        <v>837228.07166316523</v>
      </c>
      <c r="AG558" s="321">
        <f t="shared" si="64"/>
        <v>1253655.5162559515</v>
      </c>
      <c r="AH558" s="321">
        <f t="shared" si="64"/>
        <v>825701.6389226137</v>
      </c>
      <c r="AI558" s="321">
        <f t="shared" si="64"/>
        <v>12508980.609974787</v>
      </c>
      <c r="AJ558" s="321"/>
      <c r="AK558" s="321">
        <f t="shared" si="64"/>
        <v>1734660.4166666665</v>
      </c>
      <c r="AL558" s="321">
        <f t="shared" si="64"/>
        <v>153784.72222222222</v>
      </c>
      <c r="AM558" s="321">
        <f t="shared" si="64"/>
        <v>1193629.1666666667</v>
      </c>
      <c r="AN558" s="321">
        <f t="shared" si="64"/>
        <v>848124.58333333349</v>
      </c>
      <c r="AO558" s="321">
        <f t="shared" si="64"/>
        <v>3930198.888888889</v>
      </c>
      <c r="AP558" s="321">
        <f t="shared" si="64"/>
        <v>8578781.7210858986</v>
      </c>
    </row>
    <row r="559" spans="1:42" x14ac:dyDescent="0.25">
      <c r="A559" s="311">
        <v>9196018</v>
      </c>
      <c r="D559" s="311">
        <v>9196018</v>
      </c>
      <c r="E559" s="315" t="str">
        <f t="shared" si="55"/>
        <v>Pečovatelská služba Kvasiny</v>
      </c>
      <c r="F559" s="315" t="str">
        <f t="shared" si="56"/>
        <v>Obec Kvasiny</v>
      </c>
      <c r="G559" s="315" t="str">
        <f t="shared" si="57"/>
        <v>§ 40 - Pečovatelská služba</v>
      </c>
      <c r="H559" s="315"/>
      <c r="I559" s="266" t="s">
        <v>1812</v>
      </c>
      <c r="J559" s="319"/>
      <c r="K559" s="266"/>
      <c r="L559" s="320"/>
      <c r="M559" s="321">
        <f t="shared" si="58"/>
        <v>3.8439999999999999</v>
      </c>
      <c r="N559" s="321">
        <f t="shared" si="63"/>
        <v>9.4E-2</v>
      </c>
      <c r="O559" s="321">
        <f t="shared" si="63"/>
        <v>3.75</v>
      </c>
      <c r="P559" s="321">
        <f t="shared" si="63"/>
        <v>0</v>
      </c>
      <c r="Q559" s="321">
        <f t="shared" si="63"/>
        <v>0</v>
      </c>
      <c r="R559" s="321">
        <f t="shared" si="63"/>
        <v>0</v>
      </c>
      <c r="S559" s="321">
        <f t="shared" si="63"/>
        <v>60</v>
      </c>
      <c r="T559" s="321">
        <f t="shared" si="63"/>
        <v>0</v>
      </c>
      <c r="U559" s="321">
        <f t="shared" si="63"/>
        <v>0</v>
      </c>
      <c r="V559" s="321"/>
      <c r="W559" s="321">
        <f t="shared" si="64"/>
        <v>3.8439999999999999</v>
      </c>
      <c r="X559" s="321">
        <f t="shared" si="64"/>
        <v>9.4E-2</v>
      </c>
      <c r="Y559" s="321">
        <f t="shared" si="64"/>
        <v>3.75</v>
      </c>
      <c r="Z559" s="321">
        <f t="shared" si="64"/>
        <v>0</v>
      </c>
      <c r="AA559" s="321">
        <f t="shared" si="64"/>
        <v>0</v>
      </c>
      <c r="AB559" s="321">
        <f t="shared" si="64"/>
        <v>0</v>
      </c>
      <c r="AC559" s="321">
        <f t="shared" si="64"/>
        <v>0</v>
      </c>
      <c r="AD559" s="321"/>
      <c r="AE559" s="321">
        <f t="shared" si="64"/>
        <v>2219504.9315282754</v>
      </c>
      <c r="AF559" s="321">
        <f t="shared" si="64"/>
        <v>0</v>
      </c>
      <c r="AG559" s="321">
        <f t="shared" si="64"/>
        <v>165498.52069956297</v>
      </c>
      <c r="AH559" s="321">
        <f t="shared" si="64"/>
        <v>0</v>
      </c>
      <c r="AI559" s="321">
        <f t="shared" si="64"/>
        <v>2385003.4522278383</v>
      </c>
      <c r="AJ559" s="321"/>
      <c r="AK559" s="321">
        <f t="shared" si="64"/>
        <v>520332.1323529412</v>
      </c>
      <c r="AL559" s="321">
        <f t="shared" si="64"/>
        <v>0</v>
      </c>
      <c r="AM559" s="321">
        <f t="shared" si="64"/>
        <v>0</v>
      </c>
      <c r="AN559" s="321">
        <f t="shared" si="64"/>
        <v>0</v>
      </c>
      <c r="AO559" s="321">
        <f t="shared" si="64"/>
        <v>520332.1323529412</v>
      </c>
      <c r="AP559" s="321">
        <f t="shared" si="64"/>
        <v>1864671.3198748971</v>
      </c>
    </row>
    <row r="560" spans="1:42" x14ac:dyDescent="0.25">
      <c r="A560" s="311">
        <v>9199716</v>
      </c>
      <c r="D560" s="311">
        <v>9199716</v>
      </c>
      <c r="E560" s="315" t="str">
        <f t="shared" si="55"/>
        <v>DUHA o. p. s. - pečovatelská služba</v>
      </c>
      <c r="F560" s="315" t="str">
        <f t="shared" si="56"/>
        <v>DUHA o. p. s.</v>
      </c>
      <c r="G560" s="315" t="str">
        <f t="shared" si="57"/>
        <v>§ 40 - Pečovatelská služba</v>
      </c>
      <c r="H560" s="315"/>
      <c r="I560" s="266" t="s">
        <v>1812</v>
      </c>
      <c r="J560" s="319"/>
      <c r="K560" s="266"/>
      <c r="L560" s="320"/>
      <c r="M560" s="321">
        <f t="shared" si="58"/>
        <v>7.48</v>
      </c>
      <c r="N560" s="321">
        <f t="shared" si="63"/>
        <v>0.375</v>
      </c>
      <c r="O560" s="321">
        <f t="shared" si="63"/>
        <v>7.1</v>
      </c>
      <c r="P560" s="321">
        <f t="shared" si="63"/>
        <v>0</v>
      </c>
      <c r="Q560" s="321">
        <f t="shared" si="63"/>
        <v>0</v>
      </c>
      <c r="R560" s="321">
        <f t="shared" si="63"/>
        <v>0</v>
      </c>
      <c r="S560" s="321">
        <f t="shared" si="63"/>
        <v>80</v>
      </c>
      <c r="T560" s="321">
        <f t="shared" si="63"/>
        <v>0</v>
      </c>
      <c r="U560" s="321">
        <f t="shared" si="63"/>
        <v>0</v>
      </c>
      <c r="V560" s="321"/>
      <c r="W560" s="321">
        <f t="shared" si="64"/>
        <v>7.48</v>
      </c>
      <c r="X560" s="321">
        <f t="shared" si="64"/>
        <v>0.375</v>
      </c>
      <c r="Y560" s="321">
        <f t="shared" si="64"/>
        <v>7.1</v>
      </c>
      <c r="Z560" s="321">
        <f t="shared" si="64"/>
        <v>0</v>
      </c>
      <c r="AA560" s="321">
        <f t="shared" si="64"/>
        <v>0</v>
      </c>
      <c r="AB560" s="321">
        <f t="shared" si="64"/>
        <v>0</v>
      </c>
      <c r="AC560" s="321">
        <f t="shared" si="64"/>
        <v>0</v>
      </c>
      <c r="AD560" s="321"/>
      <c r="AE560" s="321">
        <f t="shared" si="64"/>
        <v>4318911.7814337937</v>
      </c>
      <c r="AF560" s="321">
        <f t="shared" si="64"/>
        <v>0</v>
      </c>
      <c r="AG560" s="321">
        <f t="shared" si="64"/>
        <v>322041.86650175106</v>
      </c>
      <c r="AH560" s="321">
        <f t="shared" si="64"/>
        <v>0</v>
      </c>
      <c r="AI560" s="321">
        <f t="shared" si="64"/>
        <v>4640953.6479355451</v>
      </c>
      <c r="AJ560" s="321"/>
      <c r="AK560" s="321">
        <f t="shared" si="64"/>
        <v>985162.17058823525</v>
      </c>
      <c r="AL560" s="321">
        <f t="shared" si="64"/>
        <v>0</v>
      </c>
      <c r="AM560" s="321">
        <f t="shared" si="64"/>
        <v>0</v>
      </c>
      <c r="AN560" s="321">
        <f t="shared" si="64"/>
        <v>0</v>
      </c>
      <c r="AO560" s="321">
        <f t="shared" si="64"/>
        <v>985162.17058823525</v>
      </c>
      <c r="AP560" s="321">
        <f t="shared" si="64"/>
        <v>3655791.4773473097</v>
      </c>
    </row>
    <row r="561" spans="1:42" x14ac:dyDescent="0.25">
      <c r="A561" s="311">
        <v>9223303</v>
      </c>
      <c r="D561" s="311">
        <v>9223303</v>
      </c>
      <c r="E561" s="315" t="str">
        <f t="shared" si="55"/>
        <v>Život bez bariér, z.ú</v>
      </c>
      <c r="F561" s="315" t="str">
        <f t="shared" si="56"/>
        <v>Život bez bariér, z. ú.</v>
      </c>
      <c r="G561" s="315" t="str">
        <f t="shared" si="57"/>
        <v>§ 37 - Odborné sociální poradenství</v>
      </c>
      <c r="H561" s="315"/>
      <c r="I561" s="266" t="s">
        <v>1812</v>
      </c>
      <c r="J561" s="319"/>
      <c r="K561" s="266"/>
      <c r="L561" s="320"/>
      <c r="M561" s="321">
        <f t="shared" si="58"/>
        <v>0.4</v>
      </c>
      <c r="N561" s="321">
        <f t="shared" si="63"/>
        <v>0.4</v>
      </c>
      <c r="O561" s="321">
        <f t="shared" si="63"/>
        <v>0</v>
      </c>
      <c r="P561" s="321">
        <f t="shared" si="63"/>
        <v>0</v>
      </c>
      <c r="Q561" s="321">
        <f t="shared" si="63"/>
        <v>0</v>
      </c>
      <c r="R561" s="321">
        <f t="shared" si="63"/>
        <v>0</v>
      </c>
      <c r="S561" s="321">
        <f t="shared" si="63"/>
        <v>10</v>
      </c>
      <c r="T561" s="321">
        <f t="shared" si="63"/>
        <v>0</v>
      </c>
      <c r="U561" s="321">
        <f t="shared" si="63"/>
        <v>0</v>
      </c>
      <c r="V561" s="321"/>
      <c r="W561" s="321">
        <f t="shared" si="64"/>
        <v>0.4</v>
      </c>
      <c r="X561" s="321">
        <f t="shared" si="64"/>
        <v>0.4</v>
      </c>
      <c r="Y561" s="321">
        <f t="shared" si="64"/>
        <v>0</v>
      </c>
      <c r="Z561" s="321">
        <f t="shared" si="64"/>
        <v>0</v>
      </c>
      <c r="AA561" s="321">
        <f t="shared" si="64"/>
        <v>0</v>
      </c>
      <c r="AB561" s="321">
        <f t="shared" si="64"/>
        <v>0</v>
      </c>
      <c r="AC561" s="321">
        <f t="shared" si="64"/>
        <v>0</v>
      </c>
      <c r="AD561" s="321"/>
      <c r="AE561" s="321">
        <f t="shared" si="64"/>
        <v>278156.78585694917</v>
      </c>
      <c r="AF561" s="321">
        <f t="shared" si="64"/>
        <v>0</v>
      </c>
      <c r="AG561" s="321">
        <f t="shared" si="64"/>
        <v>18952.618454312349</v>
      </c>
      <c r="AH561" s="321">
        <f t="shared" si="64"/>
        <v>0</v>
      </c>
      <c r="AI561" s="321">
        <f t="shared" si="64"/>
        <v>297109.40431126149</v>
      </c>
      <c r="AJ561" s="321"/>
      <c r="AK561" s="321">
        <f t="shared" si="64"/>
        <v>0</v>
      </c>
      <c r="AL561" s="321">
        <f t="shared" si="64"/>
        <v>0</v>
      </c>
      <c r="AM561" s="321">
        <f t="shared" si="64"/>
        <v>0</v>
      </c>
      <c r="AN561" s="321">
        <f t="shared" si="64"/>
        <v>0</v>
      </c>
      <c r="AO561" s="321">
        <f t="shared" si="64"/>
        <v>0</v>
      </c>
      <c r="AP561" s="321">
        <f t="shared" si="64"/>
        <v>297109.40431126149</v>
      </c>
    </row>
    <row r="562" spans="1:42" x14ac:dyDescent="0.25">
      <c r="A562" s="311">
        <v>9223411</v>
      </c>
      <c r="D562" s="311">
        <v>9223411</v>
      </c>
      <c r="E562" s="315" t="str">
        <f t="shared" si="55"/>
        <v>Diakonie ČCE - středisko BETANIE - evangelický domov v Náchodě</v>
      </c>
      <c r="F562" s="315" t="str">
        <f t="shared" si="56"/>
        <v>Diakonie ČCE - středisko BETANIE - evangelický domov v Náchodě</v>
      </c>
      <c r="G562" s="315" t="str">
        <f t="shared" si="57"/>
        <v>§ 44 - Odlehčovací služby</v>
      </c>
      <c r="H562" s="315"/>
      <c r="I562" s="266" t="s">
        <v>1812</v>
      </c>
      <c r="J562" s="319"/>
      <c r="K562" s="266"/>
      <c r="L562" s="320"/>
      <c r="M562" s="321">
        <f t="shared" si="58"/>
        <v>4.05</v>
      </c>
      <c r="N562" s="321">
        <f t="shared" si="63"/>
        <v>0.75</v>
      </c>
      <c r="O562" s="321">
        <f t="shared" si="63"/>
        <v>1.65</v>
      </c>
      <c r="P562" s="321">
        <f t="shared" si="63"/>
        <v>1.65</v>
      </c>
      <c r="Q562" s="321">
        <f t="shared" si="63"/>
        <v>0</v>
      </c>
      <c r="R562" s="321">
        <f t="shared" si="63"/>
        <v>4</v>
      </c>
      <c r="S562" s="321">
        <f t="shared" si="63"/>
        <v>0</v>
      </c>
      <c r="T562" s="321">
        <f t="shared" si="63"/>
        <v>0</v>
      </c>
      <c r="U562" s="321">
        <f t="shared" si="63"/>
        <v>0</v>
      </c>
      <c r="V562" s="321"/>
      <c r="W562" s="321">
        <f t="shared" si="64"/>
        <v>4.05</v>
      </c>
      <c r="X562" s="321">
        <f t="shared" si="64"/>
        <v>0.75</v>
      </c>
      <c r="Y562" s="321">
        <f t="shared" si="64"/>
        <v>1.65</v>
      </c>
      <c r="Z562" s="321">
        <f t="shared" si="64"/>
        <v>1.65</v>
      </c>
      <c r="AA562" s="321">
        <f t="shared" si="64"/>
        <v>0</v>
      </c>
      <c r="AB562" s="321">
        <f t="shared" si="64"/>
        <v>4</v>
      </c>
      <c r="AC562" s="321">
        <f t="shared" si="64"/>
        <v>0</v>
      </c>
      <c r="AD562" s="321"/>
      <c r="AE562" s="321">
        <f t="shared" si="64"/>
        <v>2389773.9712653253</v>
      </c>
      <c r="AF562" s="321">
        <f t="shared" si="64"/>
        <v>0</v>
      </c>
      <c r="AG562" s="321">
        <f t="shared" si="64"/>
        <v>225828.91318532612</v>
      </c>
      <c r="AH562" s="321">
        <f t="shared" si="64"/>
        <v>123900.67496813175</v>
      </c>
      <c r="AI562" s="321">
        <f t="shared" si="64"/>
        <v>2739503.5594187831</v>
      </c>
      <c r="AJ562" s="321"/>
      <c r="AK562" s="321">
        <f t="shared" si="64"/>
        <v>420355.06020807201</v>
      </c>
      <c r="AL562" s="321">
        <f t="shared" si="64"/>
        <v>0</v>
      </c>
      <c r="AM562" s="321">
        <f t="shared" si="64"/>
        <v>153821.25</v>
      </c>
      <c r="AN562" s="321">
        <f t="shared" si="64"/>
        <v>95581.8</v>
      </c>
      <c r="AO562" s="321">
        <f t="shared" si="64"/>
        <v>669758.110208072</v>
      </c>
      <c r="AP562" s="321">
        <f t="shared" si="64"/>
        <v>2069745.4492107111</v>
      </c>
    </row>
    <row r="563" spans="1:42" x14ac:dyDescent="0.25">
      <c r="A563" s="311">
        <v>9264829</v>
      </c>
      <c r="D563" s="311">
        <v>9264829</v>
      </c>
      <c r="E563" s="315" t="str">
        <f t="shared" si="55"/>
        <v>Diakonie ČCE - středisko BETANIE - evangelický domov v Náchodě</v>
      </c>
      <c r="F563" s="315" t="str">
        <f t="shared" si="56"/>
        <v>Diakonie ČCE - středisko BETANIE - evangelický domov v Náchodě</v>
      </c>
      <c r="G563" s="315" t="str">
        <f t="shared" si="57"/>
        <v>§ 48 - Domovy pro osoby se zdravotním postižením</v>
      </c>
      <c r="H563" s="315"/>
      <c r="I563" s="266" t="s">
        <v>1812</v>
      </c>
      <c r="J563" s="319"/>
      <c r="K563" s="266"/>
      <c r="L563" s="320"/>
      <c r="M563" s="321">
        <f t="shared" si="58"/>
        <v>13.95</v>
      </c>
      <c r="N563" s="321">
        <f t="shared" si="63"/>
        <v>0.75</v>
      </c>
      <c r="O563" s="321">
        <f t="shared" si="63"/>
        <v>6.6</v>
      </c>
      <c r="P563" s="321">
        <f t="shared" si="63"/>
        <v>6.6</v>
      </c>
      <c r="Q563" s="321">
        <f t="shared" si="63"/>
        <v>0</v>
      </c>
      <c r="R563" s="321">
        <f t="shared" si="63"/>
        <v>16</v>
      </c>
      <c r="S563" s="321">
        <f t="shared" si="63"/>
        <v>0</v>
      </c>
      <c r="T563" s="321">
        <f t="shared" si="63"/>
        <v>0</v>
      </c>
      <c r="U563" s="321">
        <f t="shared" si="63"/>
        <v>0</v>
      </c>
      <c r="V563" s="321"/>
      <c r="W563" s="321">
        <f t="shared" si="64"/>
        <v>13.95</v>
      </c>
      <c r="X563" s="321">
        <f t="shared" si="64"/>
        <v>0.75</v>
      </c>
      <c r="Y563" s="321">
        <f t="shared" si="64"/>
        <v>6.6</v>
      </c>
      <c r="Z563" s="321">
        <f t="shared" si="64"/>
        <v>6.6</v>
      </c>
      <c r="AA563" s="321">
        <f t="shared" si="64"/>
        <v>0</v>
      </c>
      <c r="AB563" s="321">
        <f t="shared" si="64"/>
        <v>16</v>
      </c>
      <c r="AC563" s="321">
        <f t="shared" si="64"/>
        <v>0</v>
      </c>
      <c r="AD563" s="321"/>
      <c r="AE563" s="321">
        <f t="shared" si="64"/>
        <v>4917183.0138214463</v>
      </c>
      <c r="AF563" s="321">
        <f t="shared" si="64"/>
        <v>5604756.0172434943</v>
      </c>
      <c r="AG563" s="321">
        <f t="shared" si="64"/>
        <v>1683061.4635967154</v>
      </c>
      <c r="AH563" s="321">
        <f t="shared" si="64"/>
        <v>1081053.4801362108</v>
      </c>
      <c r="AI563" s="321">
        <f t="shared" si="64"/>
        <v>13286053.974797865</v>
      </c>
      <c r="AJ563" s="321"/>
      <c r="AK563" s="321">
        <f t="shared" si="64"/>
        <v>1697925.6941176471</v>
      </c>
      <c r="AL563" s="321">
        <f t="shared" si="64"/>
        <v>421595.60784313723</v>
      </c>
      <c r="AM563" s="321">
        <f t="shared" si="64"/>
        <v>765364.21052631584</v>
      </c>
      <c r="AN563" s="321">
        <f t="shared" si="64"/>
        <v>724314.4</v>
      </c>
      <c r="AO563" s="321">
        <f t="shared" si="64"/>
        <v>3609199.9124871003</v>
      </c>
      <c r="AP563" s="321">
        <f t="shared" si="64"/>
        <v>9676854.0623107646</v>
      </c>
    </row>
    <row r="564" spans="1:42" x14ac:dyDescent="0.25">
      <c r="A564" s="311">
        <v>9268423</v>
      </c>
      <c r="D564" s="311">
        <v>9268423</v>
      </c>
      <c r="E564" s="315" t="str">
        <f t="shared" si="55"/>
        <v>Věra Kosinová - Daneta, zařízení pro zdravotně postižené</v>
      </c>
      <c r="F564" s="315" t="str">
        <f t="shared" si="56"/>
        <v>Věra Kosinová - Daneta, zařízení pro zdravotně postižené</v>
      </c>
      <c r="G564" s="315" t="str">
        <f t="shared" si="57"/>
        <v>§ 46 - Denní stacionáře</v>
      </c>
      <c r="H564" s="315"/>
      <c r="I564" s="266" t="s">
        <v>1812</v>
      </c>
      <c r="J564" s="319"/>
      <c r="K564" s="266"/>
      <c r="L564" s="320"/>
      <c r="M564" s="321">
        <f t="shared" si="58"/>
        <v>17.399999999999999</v>
      </c>
      <c r="N564" s="321">
        <f t="shared" si="63"/>
        <v>0.7</v>
      </c>
      <c r="O564" s="321">
        <f t="shared" si="63"/>
        <v>12.43</v>
      </c>
      <c r="P564" s="321">
        <f t="shared" si="63"/>
        <v>0</v>
      </c>
      <c r="Q564" s="321">
        <f t="shared" si="63"/>
        <v>4.2699999999999996</v>
      </c>
      <c r="R564" s="321">
        <f t="shared" si="63"/>
        <v>0</v>
      </c>
      <c r="S564" s="321">
        <f t="shared" si="63"/>
        <v>0</v>
      </c>
      <c r="T564" s="321">
        <f t="shared" si="63"/>
        <v>41</v>
      </c>
      <c r="U564" s="321">
        <f t="shared" si="63"/>
        <v>0</v>
      </c>
      <c r="V564" s="321"/>
      <c r="W564" s="321">
        <f t="shared" si="64"/>
        <v>17.399999999999999</v>
      </c>
      <c r="X564" s="321">
        <f t="shared" si="64"/>
        <v>0.7</v>
      </c>
      <c r="Y564" s="321">
        <f t="shared" si="64"/>
        <v>12.43</v>
      </c>
      <c r="Z564" s="321">
        <f t="shared" si="64"/>
        <v>0</v>
      </c>
      <c r="AA564" s="321">
        <f t="shared" si="64"/>
        <v>4.2699999999999996</v>
      </c>
      <c r="AB564" s="321">
        <f t="shared" si="64"/>
        <v>0</v>
      </c>
      <c r="AC564" s="321">
        <f t="shared" si="64"/>
        <v>41</v>
      </c>
      <c r="AD564" s="321"/>
      <c r="AE564" s="321">
        <f t="shared" si="64"/>
        <v>12941725.600185513</v>
      </c>
      <c r="AF564" s="321">
        <f t="shared" si="64"/>
        <v>0</v>
      </c>
      <c r="AG564" s="321">
        <f t="shared" si="64"/>
        <v>1144156.3970386737</v>
      </c>
      <c r="AH564" s="321">
        <f t="shared" si="64"/>
        <v>224554.99312947923</v>
      </c>
      <c r="AI564" s="321">
        <f t="shared" si="64"/>
        <v>14310436.990353666</v>
      </c>
      <c r="AJ564" s="321"/>
      <c r="AK564" s="321">
        <f t="shared" si="64"/>
        <v>2252720.8496732023</v>
      </c>
      <c r="AL564" s="321">
        <f t="shared" si="64"/>
        <v>0</v>
      </c>
      <c r="AM564" s="321">
        <f t="shared" si="64"/>
        <v>0</v>
      </c>
      <c r="AN564" s="321">
        <f t="shared" si="64"/>
        <v>223544.61538461538</v>
      </c>
      <c r="AO564" s="321">
        <f t="shared" si="64"/>
        <v>2476265.4650578178</v>
      </c>
      <c r="AP564" s="321">
        <f t="shared" si="64"/>
        <v>11834171.525295848</v>
      </c>
    </row>
    <row r="565" spans="1:42" x14ac:dyDescent="0.25">
      <c r="A565" s="311">
        <v>9328941</v>
      </c>
      <c r="D565" s="311">
        <v>9328941</v>
      </c>
      <c r="E565" s="315" t="str">
        <f t="shared" si="55"/>
        <v>Levitovo centrum následné péče</v>
      </c>
      <c r="F565" s="315" t="str">
        <f t="shared" si="56"/>
        <v>Levitovo centrum následné péče</v>
      </c>
      <c r="G565" s="315" t="str">
        <f t="shared" si="57"/>
        <v>§ 52 - Sociální služby poskytované ve zdravotnických zařízeních ústavní péče</v>
      </c>
      <c r="H565" s="315"/>
      <c r="I565" s="266" t="s">
        <v>1812</v>
      </c>
      <c r="J565" s="319"/>
      <c r="K565" s="266"/>
      <c r="L565" s="320"/>
      <c r="M565" s="321">
        <f t="shared" si="58"/>
        <v>6.78</v>
      </c>
      <c r="N565" s="321">
        <f t="shared" si="63"/>
        <v>0.08</v>
      </c>
      <c r="O565" s="321">
        <f t="shared" si="63"/>
        <v>0</v>
      </c>
      <c r="P565" s="321">
        <f t="shared" si="63"/>
        <v>6.7</v>
      </c>
      <c r="Q565" s="321">
        <f t="shared" si="63"/>
        <v>0</v>
      </c>
      <c r="R565" s="321">
        <f t="shared" si="63"/>
        <v>9</v>
      </c>
      <c r="S565" s="321">
        <f t="shared" si="63"/>
        <v>0</v>
      </c>
      <c r="T565" s="321">
        <f t="shared" si="63"/>
        <v>0</v>
      </c>
      <c r="U565" s="321">
        <f t="shared" si="63"/>
        <v>0</v>
      </c>
      <c r="V565" s="321"/>
      <c r="W565" s="321">
        <f t="shared" si="64"/>
        <v>6.78</v>
      </c>
      <c r="X565" s="321">
        <f t="shared" si="64"/>
        <v>0.08</v>
      </c>
      <c r="Y565" s="321">
        <f t="shared" si="64"/>
        <v>0</v>
      </c>
      <c r="Z565" s="321">
        <f t="shared" si="64"/>
        <v>6.7</v>
      </c>
      <c r="AA565" s="321">
        <f t="shared" si="64"/>
        <v>0</v>
      </c>
      <c r="AB565" s="321">
        <f t="shared" si="64"/>
        <v>9</v>
      </c>
      <c r="AC565" s="321">
        <f t="shared" si="64"/>
        <v>0</v>
      </c>
      <c r="AD565" s="321"/>
      <c r="AE565" s="321">
        <f t="shared" si="64"/>
        <v>39353.41695644331</v>
      </c>
      <c r="AF565" s="321">
        <f t="shared" si="64"/>
        <v>3739618.7200954719</v>
      </c>
      <c r="AG565" s="321">
        <f t="shared" si="64"/>
        <v>451315.9858521425</v>
      </c>
      <c r="AH565" s="321">
        <f t="shared" si="64"/>
        <v>297252.59001214092</v>
      </c>
      <c r="AI565" s="321">
        <f t="shared" si="64"/>
        <v>4527540.7129161982</v>
      </c>
      <c r="AJ565" s="321"/>
      <c r="AK565" s="321">
        <f t="shared" si="64"/>
        <v>624477.74999999988</v>
      </c>
      <c r="AL565" s="321">
        <f t="shared" si="64"/>
        <v>55362.5</v>
      </c>
      <c r="AM565" s="321">
        <f t="shared" si="64"/>
        <v>429706.50000000006</v>
      </c>
      <c r="AN565" s="321">
        <f t="shared" si="64"/>
        <v>305324.85000000003</v>
      </c>
      <c r="AO565" s="321">
        <f t="shared" si="64"/>
        <v>1414871.6</v>
      </c>
      <c r="AP565" s="321">
        <f t="shared" si="64"/>
        <v>3112669.1129161981</v>
      </c>
    </row>
    <row r="566" spans="1:42" x14ac:dyDescent="0.25">
      <c r="A566" s="311">
        <v>9379121</v>
      </c>
      <c r="D566" s="311">
        <v>9379121</v>
      </c>
      <c r="E566" s="315" t="str">
        <f t="shared" si="55"/>
        <v>Stacionář RIAPS</v>
      </c>
      <c r="F566" s="315" t="str">
        <f t="shared" si="56"/>
        <v>Sdružení ozdravoven a léčeben okresu Trutnov</v>
      </c>
      <c r="G566" s="315" t="str">
        <f t="shared" si="57"/>
        <v>§ 70 - Sociální rehabilitace</v>
      </c>
      <c r="H566" s="315"/>
      <c r="I566" s="266" t="s">
        <v>1812</v>
      </c>
      <c r="J566" s="319"/>
      <c r="K566" s="266"/>
      <c r="L566" s="320"/>
      <c r="M566" s="321">
        <f t="shared" si="58"/>
        <v>9</v>
      </c>
      <c r="N566" s="321">
        <f t="shared" si="63"/>
        <v>8.6999999999999993</v>
      </c>
      <c r="O566" s="321">
        <f t="shared" si="63"/>
        <v>0</v>
      </c>
      <c r="P566" s="321">
        <f t="shared" si="63"/>
        <v>0.3</v>
      </c>
      <c r="Q566" s="321">
        <f t="shared" si="63"/>
        <v>0</v>
      </c>
      <c r="R566" s="321">
        <f t="shared" si="63"/>
        <v>0</v>
      </c>
      <c r="S566" s="321">
        <f t="shared" si="63"/>
        <v>15</v>
      </c>
      <c r="T566" s="321">
        <f t="shared" si="63"/>
        <v>0</v>
      </c>
      <c r="U566" s="321">
        <f t="shared" si="63"/>
        <v>0</v>
      </c>
      <c r="V566" s="321"/>
      <c r="W566" s="321">
        <f t="shared" si="64"/>
        <v>9</v>
      </c>
      <c r="X566" s="321">
        <f t="shared" si="64"/>
        <v>8.6999999999999993</v>
      </c>
      <c r="Y566" s="321">
        <f t="shared" si="64"/>
        <v>0</v>
      </c>
      <c r="Z566" s="321">
        <f t="shared" si="64"/>
        <v>0.3</v>
      </c>
      <c r="AA566" s="321">
        <f t="shared" si="64"/>
        <v>0</v>
      </c>
      <c r="AB566" s="321">
        <f t="shared" si="64"/>
        <v>0</v>
      </c>
      <c r="AC566" s="321">
        <f t="shared" si="64"/>
        <v>0</v>
      </c>
      <c r="AD566" s="321"/>
      <c r="AE566" s="321">
        <f t="shared" si="64"/>
        <v>6318842.6528388849</v>
      </c>
      <c r="AF566" s="321">
        <f t="shared" si="64"/>
        <v>0</v>
      </c>
      <c r="AG566" s="321">
        <f t="shared" si="64"/>
        <v>394297.52263504034</v>
      </c>
      <c r="AH566" s="321">
        <f t="shared" si="64"/>
        <v>0</v>
      </c>
      <c r="AI566" s="321">
        <f t="shared" si="64"/>
        <v>6713140.1754739247</v>
      </c>
      <c r="AJ566" s="321"/>
      <c r="AK566" s="321">
        <f t="shared" si="64"/>
        <v>0</v>
      </c>
      <c r="AL566" s="321">
        <f t="shared" si="64"/>
        <v>0</v>
      </c>
      <c r="AM566" s="321">
        <f t="shared" si="64"/>
        <v>0</v>
      </c>
      <c r="AN566" s="321">
        <f t="shared" si="64"/>
        <v>0</v>
      </c>
      <c r="AO566" s="321">
        <f t="shared" si="64"/>
        <v>0</v>
      </c>
      <c r="AP566" s="321">
        <f t="shared" si="64"/>
        <v>6713140.1754739247</v>
      </c>
    </row>
    <row r="567" spans="1:42" x14ac:dyDescent="0.25">
      <c r="A567" s="311">
        <v>9445282</v>
      </c>
      <c r="D567" s="311">
        <v>9445282</v>
      </c>
      <c r="E567" s="315" t="str">
        <f t="shared" si="55"/>
        <v>Domov sociálních služeb Chotělice</v>
      </c>
      <c r="F567" s="315" t="str">
        <f t="shared" si="56"/>
        <v>Domov sociálních služeb Chotělice</v>
      </c>
      <c r="G567" s="315" t="str">
        <f t="shared" si="57"/>
        <v>§ 48 - Domovy pro osoby se zdravotním postižením</v>
      </c>
      <c r="H567" s="315"/>
      <c r="I567" s="266" t="s">
        <v>1812</v>
      </c>
      <c r="J567" s="319"/>
      <c r="K567" s="266"/>
      <c r="L567" s="320"/>
      <c r="M567" s="321">
        <f t="shared" si="58"/>
        <v>37</v>
      </c>
      <c r="N567" s="321">
        <f t="shared" si="63"/>
        <v>3</v>
      </c>
      <c r="O567" s="321">
        <f t="shared" si="63"/>
        <v>26</v>
      </c>
      <c r="P567" s="321">
        <f t="shared" si="63"/>
        <v>8</v>
      </c>
      <c r="Q567" s="321">
        <f t="shared" si="63"/>
        <v>0</v>
      </c>
      <c r="R567" s="321">
        <f t="shared" si="63"/>
        <v>70</v>
      </c>
      <c r="S567" s="321">
        <f t="shared" si="63"/>
        <v>0</v>
      </c>
      <c r="T567" s="321">
        <f t="shared" si="63"/>
        <v>0</v>
      </c>
      <c r="U567" s="321">
        <f t="shared" si="63"/>
        <v>0</v>
      </c>
      <c r="V567" s="321"/>
      <c r="W567" s="321">
        <f t="shared" si="64"/>
        <v>37</v>
      </c>
      <c r="X567" s="321">
        <f t="shared" si="64"/>
        <v>3</v>
      </c>
      <c r="Y567" s="321">
        <f t="shared" si="64"/>
        <v>26</v>
      </c>
      <c r="Z567" s="321">
        <f t="shared" si="64"/>
        <v>8</v>
      </c>
      <c r="AA567" s="321">
        <f t="shared" si="64"/>
        <v>0</v>
      </c>
      <c r="AB567" s="321">
        <f t="shared" si="64"/>
        <v>70</v>
      </c>
      <c r="AC567" s="321">
        <f t="shared" si="64"/>
        <v>0</v>
      </c>
      <c r="AD567" s="321"/>
      <c r="AE567" s="321">
        <f t="shared" si="64"/>
        <v>19401130.258615229</v>
      </c>
      <c r="AF567" s="321">
        <f t="shared" si="64"/>
        <v>6793643.6572648417</v>
      </c>
      <c r="AG567" s="321">
        <f t="shared" si="64"/>
        <v>7363393.9032356301</v>
      </c>
      <c r="AH567" s="321">
        <f t="shared" si="64"/>
        <v>4729608.9755959222</v>
      </c>
      <c r="AI567" s="321">
        <f t="shared" si="64"/>
        <v>38287776.79471162</v>
      </c>
      <c r="AJ567" s="321"/>
      <c r="AK567" s="321">
        <f t="shared" si="64"/>
        <v>7428424.9117647065</v>
      </c>
      <c r="AL567" s="321">
        <f t="shared" si="64"/>
        <v>1844480.7843137253</v>
      </c>
      <c r="AM567" s="321">
        <f t="shared" si="64"/>
        <v>3348468.4210526319</v>
      </c>
      <c r="AN567" s="321">
        <f t="shared" si="64"/>
        <v>3168875.5</v>
      </c>
      <c r="AO567" s="321">
        <f t="shared" si="64"/>
        <v>15790249.617131062</v>
      </c>
      <c r="AP567" s="321">
        <f t="shared" si="64"/>
        <v>22497527.177580558</v>
      </c>
    </row>
    <row r="568" spans="1:42" x14ac:dyDescent="0.25">
      <c r="A568" s="311">
        <v>9459250</v>
      </c>
      <c r="D568" s="311">
        <v>9459250</v>
      </c>
      <c r="E568" s="315" t="str">
        <f t="shared" si="55"/>
        <v>Sociální služby města Jičína, Denní stacionář Domovinka</v>
      </c>
      <c r="F568" s="315" t="str">
        <f t="shared" si="56"/>
        <v>Sociální služby města Jičína</v>
      </c>
      <c r="G568" s="315" t="str">
        <f t="shared" si="57"/>
        <v>§ 46 - Denní stacionáře</v>
      </c>
      <c r="H568" s="315"/>
      <c r="I568" s="266" t="s">
        <v>1812</v>
      </c>
      <c r="J568" s="319"/>
      <c r="K568" s="266"/>
      <c r="L568" s="320"/>
      <c r="M568" s="321">
        <f t="shared" si="58"/>
        <v>4.22</v>
      </c>
      <c r="N568" s="321">
        <f t="shared" si="63"/>
        <v>0.11</v>
      </c>
      <c r="O568" s="321">
        <f t="shared" si="63"/>
        <v>4.1100000000000003</v>
      </c>
      <c r="P568" s="321">
        <f t="shared" si="63"/>
        <v>0</v>
      </c>
      <c r="Q568" s="321">
        <f t="shared" si="63"/>
        <v>0</v>
      </c>
      <c r="R568" s="321">
        <f t="shared" si="63"/>
        <v>0</v>
      </c>
      <c r="S568" s="321">
        <f t="shared" si="63"/>
        <v>0</v>
      </c>
      <c r="T568" s="321">
        <f t="shared" si="63"/>
        <v>20</v>
      </c>
      <c r="U568" s="321">
        <f t="shared" si="63"/>
        <v>0</v>
      </c>
      <c r="V568" s="321"/>
      <c r="W568" s="321">
        <f t="shared" si="64"/>
        <v>4.22</v>
      </c>
      <c r="X568" s="321">
        <f t="shared" si="64"/>
        <v>0.11</v>
      </c>
      <c r="Y568" s="321">
        <f t="shared" si="64"/>
        <v>4.1100000000000003</v>
      </c>
      <c r="Z568" s="321">
        <f t="shared" si="64"/>
        <v>0</v>
      </c>
      <c r="AA568" s="321">
        <f t="shared" si="64"/>
        <v>0</v>
      </c>
      <c r="AB568" s="321">
        <f t="shared" si="64"/>
        <v>0</v>
      </c>
      <c r="AC568" s="321">
        <f t="shared" si="64"/>
        <v>20</v>
      </c>
      <c r="AD568" s="321"/>
      <c r="AE568" s="321">
        <f t="shared" si="64"/>
        <v>3138740.3467116589</v>
      </c>
      <c r="AF568" s="321">
        <f t="shared" si="64"/>
        <v>0</v>
      </c>
      <c r="AG568" s="321">
        <f t="shared" si="64"/>
        <v>558125.07172618236</v>
      </c>
      <c r="AH568" s="321">
        <f t="shared" si="64"/>
        <v>109539.02103877036</v>
      </c>
      <c r="AI568" s="321">
        <f t="shared" si="64"/>
        <v>3806404.4394766116</v>
      </c>
      <c r="AJ568" s="321"/>
      <c r="AK568" s="321">
        <f t="shared" si="64"/>
        <v>554412.13725490193</v>
      </c>
      <c r="AL568" s="321">
        <f t="shared" si="64"/>
        <v>0</v>
      </c>
      <c r="AM568" s="321">
        <f t="shared" si="64"/>
        <v>0</v>
      </c>
      <c r="AN568" s="321">
        <f t="shared" si="64"/>
        <v>109046.15384615384</v>
      </c>
      <c r="AO568" s="321">
        <f t="shared" si="64"/>
        <v>663458.2911010558</v>
      </c>
      <c r="AP568" s="321">
        <f t="shared" si="64"/>
        <v>3142946.1483755559</v>
      </c>
    </row>
    <row r="569" spans="1:42" x14ac:dyDescent="0.25">
      <c r="A569" s="311">
        <v>9478716</v>
      </c>
      <c r="D569" s="311">
        <v>9478716</v>
      </c>
      <c r="E569" s="315" t="str">
        <f t="shared" si="55"/>
        <v>Služby Dolní Kalná, okres Trutnov</v>
      </c>
      <c r="F569" s="315" t="str">
        <f t="shared" si="56"/>
        <v>Služby Dolní Kalná, okres Trutnov</v>
      </c>
      <c r="G569" s="315" t="str">
        <f t="shared" si="57"/>
        <v>§ 40 - Pečovatelská služba</v>
      </c>
      <c r="H569" s="315"/>
      <c r="I569" s="266" t="s">
        <v>1812</v>
      </c>
      <c r="J569" s="319"/>
      <c r="K569" s="266"/>
      <c r="L569" s="320"/>
      <c r="M569" s="321">
        <f t="shared" si="58"/>
        <v>0.54</v>
      </c>
      <c r="N569" s="321">
        <f t="shared" si="63"/>
        <v>0.04</v>
      </c>
      <c r="O569" s="321">
        <f t="shared" si="63"/>
        <v>0.5</v>
      </c>
      <c r="P569" s="321">
        <f t="shared" si="63"/>
        <v>0</v>
      </c>
      <c r="Q569" s="321">
        <f t="shared" si="63"/>
        <v>0</v>
      </c>
      <c r="R569" s="321">
        <f t="shared" si="63"/>
        <v>0</v>
      </c>
      <c r="S569" s="321">
        <f t="shared" si="63"/>
        <v>30</v>
      </c>
      <c r="T569" s="321">
        <f t="shared" si="63"/>
        <v>0</v>
      </c>
      <c r="U569" s="321">
        <f t="shared" si="63"/>
        <v>0</v>
      </c>
      <c r="V569" s="321"/>
      <c r="W569" s="321">
        <f t="shared" si="64"/>
        <v>0.54</v>
      </c>
      <c r="X569" s="321">
        <f t="shared" si="64"/>
        <v>0.04</v>
      </c>
      <c r="Y569" s="321">
        <f t="shared" si="64"/>
        <v>0.5</v>
      </c>
      <c r="Z569" s="321">
        <f t="shared" si="64"/>
        <v>0</v>
      </c>
      <c r="AA569" s="321">
        <f t="shared" si="64"/>
        <v>0</v>
      </c>
      <c r="AB569" s="321">
        <f t="shared" si="64"/>
        <v>0</v>
      </c>
      <c r="AC569" s="321">
        <f t="shared" si="64"/>
        <v>0</v>
      </c>
      <c r="AD569" s="321"/>
      <c r="AE569" s="321">
        <f t="shared" si="64"/>
        <v>311793.09652062145</v>
      </c>
      <c r="AF569" s="321">
        <f t="shared" si="64"/>
        <v>0</v>
      </c>
      <c r="AG569" s="321">
        <f t="shared" si="64"/>
        <v>23249.011752800212</v>
      </c>
      <c r="AH569" s="321">
        <f t="shared" si="64"/>
        <v>0</v>
      </c>
      <c r="AI569" s="321">
        <f t="shared" si="64"/>
        <v>335042.10827342165</v>
      </c>
      <c r="AJ569" s="321"/>
      <c r="AK569" s="321">
        <f t="shared" si="64"/>
        <v>69377.617647058825</v>
      </c>
      <c r="AL569" s="321">
        <f t="shared" si="64"/>
        <v>0</v>
      </c>
      <c r="AM569" s="321">
        <f t="shared" si="64"/>
        <v>0</v>
      </c>
      <c r="AN569" s="321">
        <f t="shared" si="64"/>
        <v>0</v>
      </c>
      <c r="AO569" s="321">
        <f t="shared" si="64"/>
        <v>69377.617647058825</v>
      </c>
      <c r="AP569" s="321">
        <f t="shared" si="64"/>
        <v>265664.49062636285</v>
      </c>
    </row>
    <row r="570" spans="1:42" x14ac:dyDescent="0.25">
      <c r="A570" s="311">
        <v>9503685</v>
      </c>
      <c r="D570" s="311">
        <v>9503685</v>
      </c>
      <c r="E570" s="315" t="str">
        <f t="shared" si="55"/>
        <v>Občanská poradna Hořice</v>
      </c>
      <c r="F570" s="315" t="str">
        <f t="shared" si="56"/>
        <v>Farní charita Dvůr Králové nad Labem</v>
      </c>
      <c r="G570" s="315" t="str">
        <f t="shared" si="57"/>
        <v>§ 37 - Odborné sociální poradenství</v>
      </c>
      <c r="H570" s="315"/>
      <c r="I570" s="266" t="s">
        <v>1812</v>
      </c>
      <c r="J570" s="319"/>
      <c r="K570" s="266"/>
      <c r="L570" s="320"/>
      <c r="M570" s="321">
        <f t="shared" si="58"/>
        <v>0.6</v>
      </c>
      <c r="N570" s="321">
        <f t="shared" si="63"/>
        <v>0.6</v>
      </c>
      <c r="O570" s="321">
        <f t="shared" si="63"/>
        <v>0</v>
      </c>
      <c r="P570" s="321">
        <f t="shared" si="63"/>
        <v>0</v>
      </c>
      <c r="Q570" s="321">
        <f t="shared" si="63"/>
        <v>0</v>
      </c>
      <c r="R570" s="321">
        <f t="shared" si="63"/>
        <v>0</v>
      </c>
      <c r="S570" s="321">
        <f t="shared" si="63"/>
        <v>14</v>
      </c>
      <c r="T570" s="321">
        <f t="shared" si="63"/>
        <v>0</v>
      </c>
      <c r="U570" s="321">
        <f t="shared" si="63"/>
        <v>0</v>
      </c>
      <c r="V570" s="321"/>
      <c r="W570" s="321">
        <f t="shared" si="64"/>
        <v>0.6</v>
      </c>
      <c r="X570" s="321">
        <f t="shared" si="64"/>
        <v>0.6</v>
      </c>
      <c r="Y570" s="321">
        <f t="shared" si="64"/>
        <v>0</v>
      </c>
      <c r="Z570" s="321">
        <f t="shared" si="64"/>
        <v>0</v>
      </c>
      <c r="AA570" s="321">
        <f t="shared" ref="W570:AP582" si="65">SUMIFS(AA$4:AA$318,$D$4:$D$318,$D570)</f>
        <v>0</v>
      </c>
      <c r="AB570" s="321">
        <f t="shared" si="65"/>
        <v>0</v>
      </c>
      <c r="AC570" s="321">
        <f t="shared" si="65"/>
        <v>0</v>
      </c>
      <c r="AD570" s="321"/>
      <c r="AE570" s="321">
        <f t="shared" si="65"/>
        <v>417235.17878542375</v>
      </c>
      <c r="AF570" s="321">
        <f t="shared" si="65"/>
        <v>0</v>
      </c>
      <c r="AG570" s="321">
        <f t="shared" si="65"/>
        <v>28428.927681468518</v>
      </c>
      <c r="AH570" s="321">
        <f t="shared" si="65"/>
        <v>0</v>
      </c>
      <c r="AI570" s="321">
        <f t="shared" si="65"/>
        <v>445664.10646689229</v>
      </c>
      <c r="AJ570" s="321"/>
      <c r="AK570" s="321">
        <f t="shared" si="65"/>
        <v>0</v>
      </c>
      <c r="AL570" s="321">
        <f t="shared" si="65"/>
        <v>0</v>
      </c>
      <c r="AM570" s="321">
        <f t="shared" si="65"/>
        <v>0</v>
      </c>
      <c r="AN570" s="321">
        <f t="shared" si="65"/>
        <v>0</v>
      </c>
      <c r="AO570" s="321">
        <f t="shared" si="65"/>
        <v>0</v>
      </c>
      <c r="AP570" s="321">
        <f t="shared" si="65"/>
        <v>445664.10646689229</v>
      </c>
    </row>
    <row r="571" spans="1:42" x14ac:dyDescent="0.25">
      <c r="A571" s="311">
        <v>9554713</v>
      </c>
      <c r="D571" s="311">
        <v>9554713</v>
      </c>
      <c r="E571" s="315" t="str">
        <f t="shared" si="55"/>
        <v>Charitní pečovatelská služba</v>
      </c>
      <c r="F571" s="315" t="str">
        <f t="shared" si="56"/>
        <v>Oblastní charita Jičín</v>
      </c>
      <c r="G571" s="315" t="str">
        <f t="shared" si="57"/>
        <v>§ 40 - Pečovatelská služba</v>
      </c>
      <c r="H571" s="315"/>
      <c r="I571" s="266" t="s">
        <v>1812</v>
      </c>
      <c r="J571" s="319"/>
      <c r="K571" s="266"/>
      <c r="L571" s="320"/>
      <c r="M571" s="321">
        <f t="shared" si="58"/>
        <v>14</v>
      </c>
      <c r="N571" s="321">
        <f t="shared" si="63"/>
        <v>1.5</v>
      </c>
      <c r="O571" s="321">
        <f t="shared" si="63"/>
        <v>12.5</v>
      </c>
      <c r="P571" s="321">
        <f t="shared" si="63"/>
        <v>0</v>
      </c>
      <c r="Q571" s="321">
        <f t="shared" si="63"/>
        <v>0</v>
      </c>
      <c r="R571" s="321">
        <f t="shared" si="63"/>
        <v>0</v>
      </c>
      <c r="S571" s="321">
        <f t="shared" si="63"/>
        <v>195</v>
      </c>
      <c r="T571" s="321">
        <f t="shared" si="63"/>
        <v>0</v>
      </c>
      <c r="U571" s="321">
        <f t="shared" si="63"/>
        <v>0</v>
      </c>
      <c r="V571" s="321"/>
      <c r="W571" s="321">
        <f t="shared" si="65"/>
        <v>14</v>
      </c>
      <c r="X571" s="321">
        <f t="shared" si="65"/>
        <v>1.5</v>
      </c>
      <c r="Y571" s="321">
        <f t="shared" si="65"/>
        <v>12.5</v>
      </c>
      <c r="Z571" s="321">
        <f t="shared" si="65"/>
        <v>0</v>
      </c>
      <c r="AA571" s="321">
        <f t="shared" si="65"/>
        <v>0</v>
      </c>
      <c r="AB571" s="321">
        <f t="shared" si="65"/>
        <v>0</v>
      </c>
      <c r="AC571" s="321">
        <f t="shared" si="65"/>
        <v>0</v>
      </c>
      <c r="AD571" s="321"/>
      <c r="AE571" s="321">
        <f t="shared" si="65"/>
        <v>8083524.7246087044</v>
      </c>
      <c r="AF571" s="321">
        <f t="shared" si="65"/>
        <v>0</v>
      </c>
      <c r="AG571" s="321">
        <f t="shared" si="65"/>
        <v>602752.1565540795</v>
      </c>
      <c r="AH571" s="321">
        <f t="shared" si="65"/>
        <v>0</v>
      </c>
      <c r="AI571" s="321">
        <f t="shared" si="65"/>
        <v>8686276.881162785</v>
      </c>
      <c r="AJ571" s="321"/>
      <c r="AK571" s="321">
        <f t="shared" si="65"/>
        <v>1734440.4411764706</v>
      </c>
      <c r="AL571" s="321">
        <f t="shared" si="65"/>
        <v>0</v>
      </c>
      <c r="AM571" s="321">
        <f t="shared" si="65"/>
        <v>0</v>
      </c>
      <c r="AN571" s="321">
        <f t="shared" si="65"/>
        <v>0</v>
      </c>
      <c r="AO571" s="321">
        <f t="shared" si="65"/>
        <v>1734440.4411764706</v>
      </c>
      <c r="AP571" s="321">
        <f t="shared" si="65"/>
        <v>6951836.4399863137</v>
      </c>
    </row>
    <row r="572" spans="1:42" x14ac:dyDescent="0.25">
      <c r="A572" s="311">
        <v>9577077</v>
      </c>
      <c r="D572" s="311">
        <v>9577077</v>
      </c>
      <c r="E572" s="315" t="str">
        <f t="shared" si="55"/>
        <v>Tísňová péče pro seniory a zdravotně postižené občany</v>
      </c>
      <c r="F572" s="315" t="str">
        <f t="shared" si="56"/>
        <v>Život Hradec Králové, o.p.s.</v>
      </c>
      <c r="G572" s="315" t="str">
        <f t="shared" si="57"/>
        <v>§ 41 - Tísňová péče</v>
      </c>
      <c r="H572" s="315"/>
      <c r="I572" s="266" t="s">
        <v>1812</v>
      </c>
      <c r="J572" s="319"/>
      <c r="K572" s="266"/>
      <c r="L572" s="320"/>
      <c r="M572" s="321">
        <f t="shared" si="58"/>
        <v>6.7700000000000005</v>
      </c>
      <c r="N572" s="321">
        <f t="shared" ref="N572:AC580" si="66">SUMIFS(N$4:N$318,$D$4:$D$318,$D572)</f>
        <v>1.3</v>
      </c>
      <c r="O572" s="321">
        <f t="shared" si="66"/>
        <v>5.4700000000000006</v>
      </c>
      <c r="P572" s="321">
        <f t="shared" si="66"/>
        <v>0</v>
      </c>
      <c r="Q572" s="321">
        <f t="shared" si="66"/>
        <v>0</v>
      </c>
      <c r="R572" s="321">
        <f t="shared" si="66"/>
        <v>0</v>
      </c>
      <c r="S572" s="321">
        <f t="shared" si="66"/>
        <v>250</v>
      </c>
      <c r="T572" s="321">
        <f t="shared" si="66"/>
        <v>0</v>
      </c>
      <c r="U572" s="321">
        <f t="shared" si="66"/>
        <v>5</v>
      </c>
      <c r="V572" s="321"/>
      <c r="W572" s="321">
        <f t="shared" si="66"/>
        <v>6.7700000000000005</v>
      </c>
      <c r="X572" s="321">
        <f t="shared" si="66"/>
        <v>1.3</v>
      </c>
      <c r="Y572" s="321">
        <f t="shared" si="66"/>
        <v>5.4700000000000006</v>
      </c>
      <c r="Z572" s="321">
        <f t="shared" si="66"/>
        <v>0</v>
      </c>
      <c r="AA572" s="321">
        <f t="shared" si="66"/>
        <v>0</v>
      </c>
      <c r="AB572" s="321">
        <f t="shared" si="66"/>
        <v>0</v>
      </c>
      <c r="AC572" s="321">
        <f t="shared" si="66"/>
        <v>0</v>
      </c>
      <c r="AD572" s="321"/>
      <c r="AE572" s="321">
        <f t="shared" si="65"/>
        <v>4769905.3138763979</v>
      </c>
      <c r="AF572" s="321">
        <f t="shared" si="65"/>
        <v>0</v>
      </c>
      <c r="AG572" s="321">
        <f t="shared" si="65"/>
        <v>277496.45778023335</v>
      </c>
      <c r="AH572" s="321">
        <f t="shared" si="65"/>
        <v>0</v>
      </c>
      <c r="AI572" s="321">
        <f t="shared" si="65"/>
        <v>5047401.7716566315</v>
      </c>
      <c r="AJ572" s="321"/>
      <c r="AK572" s="321">
        <f t="shared" si="65"/>
        <v>669891.35127635964</v>
      </c>
      <c r="AL572" s="321">
        <f t="shared" si="65"/>
        <v>0</v>
      </c>
      <c r="AM572" s="321">
        <f t="shared" si="65"/>
        <v>0</v>
      </c>
      <c r="AN572" s="321">
        <f t="shared" si="65"/>
        <v>0</v>
      </c>
      <c r="AO572" s="321">
        <f t="shared" si="65"/>
        <v>669891.35127635964</v>
      </c>
      <c r="AP572" s="321">
        <f t="shared" si="65"/>
        <v>4377510.420380271</v>
      </c>
    </row>
    <row r="573" spans="1:42" x14ac:dyDescent="0.25">
      <c r="A573" s="311">
        <v>9583114</v>
      </c>
      <c r="D573" s="311">
        <v>9583114</v>
      </c>
      <c r="E573" s="315" t="str">
        <f t="shared" si="55"/>
        <v>Pečovatelská služba Žacléř</v>
      </c>
      <c r="F573" s="315" t="str">
        <f t="shared" si="56"/>
        <v>Pečovatelská služba Žacléř</v>
      </c>
      <c r="G573" s="315" t="str">
        <f t="shared" si="57"/>
        <v>§ 40 - Pečovatelská služba</v>
      </c>
      <c r="H573" s="315"/>
      <c r="I573" s="266" t="s">
        <v>1812</v>
      </c>
      <c r="J573" s="319"/>
      <c r="K573" s="266"/>
      <c r="L573" s="320"/>
      <c r="M573" s="321">
        <f t="shared" si="58"/>
        <v>2.6</v>
      </c>
      <c r="N573" s="321">
        <f t="shared" si="66"/>
        <v>0.1</v>
      </c>
      <c r="O573" s="321">
        <f t="shared" si="66"/>
        <v>2.5</v>
      </c>
      <c r="P573" s="321">
        <f t="shared" si="66"/>
        <v>0</v>
      </c>
      <c r="Q573" s="321">
        <f t="shared" si="66"/>
        <v>0</v>
      </c>
      <c r="R573" s="321">
        <f t="shared" si="66"/>
        <v>0</v>
      </c>
      <c r="S573" s="321">
        <f t="shared" si="66"/>
        <v>90</v>
      </c>
      <c r="T573" s="321">
        <f t="shared" si="66"/>
        <v>0</v>
      </c>
      <c r="U573" s="321">
        <f t="shared" si="66"/>
        <v>0</v>
      </c>
      <c r="V573" s="321"/>
      <c r="W573" s="321">
        <f t="shared" si="65"/>
        <v>2.6</v>
      </c>
      <c r="X573" s="321">
        <f t="shared" si="65"/>
        <v>0.1</v>
      </c>
      <c r="Y573" s="321">
        <f t="shared" si="65"/>
        <v>2.5</v>
      </c>
      <c r="Z573" s="321">
        <f t="shared" si="65"/>
        <v>0</v>
      </c>
      <c r="AA573" s="321">
        <f t="shared" si="65"/>
        <v>0</v>
      </c>
      <c r="AB573" s="321">
        <f t="shared" si="65"/>
        <v>0</v>
      </c>
      <c r="AC573" s="321">
        <f t="shared" si="65"/>
        <v>0</v>
      </c>
      <c r="AD573" s="321"/>
      <c r="AE573" s="321">
        <f t="shared" si="65"/>
        <v>1501226.0202844737</v>
      </c>
      <c r="AF573" s="321">
        <f t="shared" si="65"/>
        <v>0</v>
      </c>
      <c r="AG573" s="321">
        <f t="shared" si="65"/>
        <v>111939.6862171862</v>
      </c>
      <c r="AH573" s="321">
        <f t="shared" si="65"/>
        <v>0</v>
      </c>
      <c r="AI573" s="321">
        <f t="shared" si="65"/>
        <v>1613165.7065016599</v>
      </c>
      <c r="AJ573" s="321"/>
      <c r="AK573" s="321">
        <f t="shared" si="65"/>
        <v>346888.0882352941</v>
      </c>
      <c r="AL573" s="321">
        <f t="shared" si="65"/>
        <v>0</v>
      </c>
      <c r="AM573" s="321">
        <f t="shared" si="65"/>
        <v>0</v>
      </c>
      <c r="AN573" s="321">
        <f t="shared" si="65"/>
        <v>0</v>
      </c>
      <c r="AO573" s="321">
        <f t="shared" si="65"/>
        <v>346888.0882352941</v>
      </c>
      <c r="AP573" s="321">
        <f t="shared" si="65"/>
        <v>1266277.618266366</v>
      </c>
    </row>
    <row r="574" spans="1:42" x14ac:dyDescent="0.25">
      <c r="A574" s="311">
        <v>9593192</v>
      </c>
      <c r="D574" s="311">
        <v>9593192</v>
      </c>
      <c r="E574" s="315" t="str">
        <f t="shared" si="55"/>
        <v>Domov důchodců Tmavý Důl</v>
      </c>
      <c r="F574" s="315" t="str">
        <f t="shared" si="56"/>
        <v>Domov důchodců Tmavý Důl</v>
      </c>
      <c r="G574" s="315" t="str">
        <f t="shared" si="57"/>
        <v>§ 49 - Domovy pro seniory</v>
      </c>
      <c r="H574" s="315"/>
      <c r="I574" s="266" t="s">
        <v>1812</v>
      </c>
      <c r="J574" s="319"/>
      <c r="K574" s="266"/>
      <c r="L574" s="320"/>
      <c r="M574" s="321">
        <f t="shared" si="58"/>
        <v>34.5</v>
      </c>
      <c r="N574" s="321">
        <f t="shared" si="66"/>
        <v>2.5</v>
      </c>
      <c r="O574" s="321">
        <f t="shared" si="66"/>
        <v>21</v>
      </c>
      <c r="P574" s="321">
        <f t="shared" si="66"/>
        <v>11</v>
      </c>
      <c r="Q574" s="321">
        <f t="shared" si="66"/>
        <v>0</v>
      </c>
      <c r="R574" s="321">
        <f t="shared" si="66"/>
        <v>84</v>
      </c>
      <c r="S574" s="321">
        <f t="shared" si="66"/>
        <v>0</v>
      </c>
      <c r="T574" s="321">
        <f t="shared" si="66"/>
        <v>0</v>
      </c>
      <c r="U574" s="321">
        <f t="shared" si="66"/>
        <v>0</v>
      </c>
      <c r="V574" s="321"/>
      <c r="W574" s="321">
        <f t="shared" si="65"/>
        <v>34.5</v>
      </c>
      <c r="X574" s="321">
        <f t="shared" si="65"/>
        <v>2.5</v>
      </c>
      <c r="Y574" s="321">
        <f t="shared" si="65"/>
        <v>21</v>
      </c>
      <c r="Z574" s="321">
        <f t="shared" si="65"/>
        <v>11</v>
      </c>
      <c r="AA574" s="321">
        <f t="shared" si="65"/>
        <v>0</v>
      </c>
      <c r="AB574" s="321">
        <f t="shared" si="65"/>
        <v>84</v>
      </c>
      <c r="AC574" s="321">
        <f t="shared" si="65"/>
        <v>0</v>
      </c>
      <c r="AD574" s="321"/>
      <c r="AE574" s="321">
        <f t="shared" si="65"/>
        <v>16016222.138419827</v>
      </c>
      <c r="AF574" s="321">
        <f t="shared" si="65"/>
        <v>9328996.4613880552</v>
      </c>
      <c r="AG574" s="321">
        <f t="shared" si="65"/>
        <v>8510283.5487039555</v>
      </c>
      <c r="AH574" s="321">
        <f t="shared" si="65"/>
        <v>5965691.5256317882</v>
      </c>
      <c r="AI574" s="321">
        <f t="shared" si="65"/>
        <v>39821193.67414362</v>
      </c>
      <c r="AJ574" s="321"/>
      <c r="AK574" s="321">
        <f t="shared" si="65"/>
        <v>9430720.7530925274</v>
      </c>
      <c r="AL574" s="321">
        <f t="shared" si="65"/>
        <v>2456568.9758454105</v>
      </c>
      <c r="AM574" s="321">
        <f t="shared" si="65"/>
        <v>6461597.0685579199</v>
      </c>
      <c r="AN574" s="321">
        <f t="shared" si="65"/>
        <v>4273673.2886029417</v>
      </c>
      <c r="AO574" s="321">
        <f t="shared" si="65"/>
        <v>22622560.086098798</v>
      </c>
      <c r="AP574" s="321">
        <f t="shared" si="65"/>
        <v>17198633.588044822</v>
      </c>
    </row>
    <row r="575" spans="1:42" x14ac:dyDescent="0.25">
      <c r="A575" s="311">
        <v>9608144</v>
      </c>
      <c r="D575" s="311">
        <v>9608144</v>
      </c>
      <c r="E575" s="315" t="str">
        <f t="shared" si="55"/>
        <v>Poradenství</v>
      </c>
      <c r="F575" s="315" t="str">
        <f t="shared" si="56"/>
        <v>Hradecké centrum pro osoby se sluchovým postižením o.p.s.</v>
      </c>
      <c r="G575" s="315" t="str">
        <f t="shared" si="57"/>
        <v>§ 37 - Odborné sociální poradenství</v>
      </c>
      <c r="H575" s="315"/>
      <c r="I575" s="266" t="s">
        <v>1812</v>
      </c>
      <c r="J575" s="319"/>
      <c r="K575" s="266"/>
      <c r="L575" s="320"/>
      <c r="M575" s="321">
        <f t="shared" si="58"/>
        <v>1.9</v>
      </c>
      <c r="N575" s="321">
        <f t="shared" si="66"/>
        <v>1.9</v>
      </c>
      <c r="O575" s="321">
        <f t="shared" si="66"/>
        <v>0</v>
      </c>
      <c r="P575" s="321">
        <f t="shared" si="66"/>
        <v>0</v>
      </c>
      <c r="Q575" s="321">
        <f t="shared" si="66"/>
        <v>0</v>
      </c>
      <c r="R575" s="321">
        <f t="shared" si="66"/>
        <v>0</v>
      </c>
      <c r="S575" s="321">
        <f t="shared" si="66"/>
        <v>18</v>
      </c>
      <c r="T575" s="321">
        <f t="shared" si="66"/>
        <v>1</v>
      </c>
      <c r="U575" s="321">
        <f t="shared" si="66"/>
        <v>0</v>
      </c>
      <c r="V575" s="321"/>
      <c r="W575" s="321">
        <f t="shared" si="65"/>
        <v>1.9</v>
      </c>
      <c r="X575" s="321">
        <f t="shared" si="65"/>
        <v>1.9</v>
      </c>
      <c r="Y575" s="321">
        <f t="shared" si="65"/>
        <v>0</v>
      </c>
      <c r="Z575" s="321">
        <f t="shared" si="65"/>
        <v>0</v>
      </c>
      <c r="AA575" s="321">
        <f t="shared" si="65"/>
        <v>0</v>
      </c>
      <c r="AB575" s="321">
        <f t="shared" si="65"/>
        <v>0</v>
      </c>
      <c r="AC575" s="321">
        <f t="shared" si="65"/>
        <v>1</v>
      </c>
      <c r="AD575" s="321"/>
      <c r="AE575" s="321">
        <f t="shared" si="65"/>
        <v>1321244.7328205085</v>
      </c>
      <c r="AF575" s="321">
        <f t="shared" si="65"/>
        <v>0</v>
      </c>
      <c r="AG575" s="321">
        <f t="shared" si="65"/>
        <v>90024.937657983639</v>
      </c>
      <c r="AH575" s="321">
        <f t="shared" si="65"/>
        <v>0</v>
      </c>
      <c r="AI575" s="321">
        <f t="shared" si="65"/>
        <v>1411269.6704784923</v>
      </c>
      <c r="AJ575" s="321"/>
      <c r="AK575" s="321">
        <f t="shared" si="65"/>
        <v>0</v>
      </c>
      <c r="AL575" s="321">
        <f t="shared" si="65"/>
        <v>0</v>
      </c>
      <c r="AM575" s="321">
        <f t="shared" si="65"/>
        <v>0</v>
      </c>
      <c r="AN575" s="321">
        <f t="shared" si="65"/>
        <v>0</v>
      </c>
      <c r="AO575" s="321">
        <f t="shared" si="65"/>
        <v>0</v>
      </c>
      <c r="AP575" s="321">
        <f t="shared" si="65"/>
        <v>1411269.6704784923</v>
      </c>
    </row>
    <row r="576" spans="1:42" x14ac:dyDescent="0.25">
      <c r="A576" s="311">
        <v>9659243</v>
      </c>
      <c r="D576" s="311">
        <v>9659243</v>
      </c>
      <c r="E576" s="315" t="str">
        <f t="shared" si="55"/>
        <v>Triangl</v>
      </c>
      <c r="F576" s="315" t="str">
        <f t="shared" si="56"/>
        <v>Salinger, z.s.</v>
      </c>
      <c r="G576" s="315" t="str">
        <f t="shared" si="57"/>
        <v>§ 65 - Sociálně aktivizační služby pro rodiny s dětmi</v>
      </c>
      <c r="H576" s="315"/>
      <c r="I576" s="266" t="s">
        <v>1812</v>
      </c>
      <c r="J576" s="319"/>
      <c r="K576" s="266"/>
      <c r="L576" s="320"/>
      <c r="M576" s="321">
        <f t="shared" si="58"/>
        <v>7.5</v>
      </c>
      <c r="N576" s="321">
        <f t="shared" si="66"/>
        <v>6.5</v>
      </c>
      <c r="O576" s="321">
        <f t="shared" si="66"/>
        <v>1</v>
      </c>
      <c r="P576" s="321">
        <f t="shared" si="66"/>
        <v>0</v>
      </c>
      <c r="Q576" s="321">
        <f t="shared" si="66"/>
        <v>0</v>
      </c>
      <c r="R576" s="321">
        <f t="shared" si="66"/>
        <v>0</v>
      </c>
      <c r="S576" s="321">
        <f t="shared" si="66"/>
        <v>176</v>
      </c>
      <c r="T576" s="321">
        <f t="shared" si="66"/>
        <v>0</v>
      </c>
      <c r="U576" s="321">
        <f t="shared" si="66"/>
        <v>0</v>
      </c>
      <c r="V576" s="321"/>
      <c r="W576" s="321">
        <f t="shared" si="65"/>
        <v>7.5</v>
      </c>
      <c r="X576" s="321">
        <f t="shared" si="65"/>
        <v>6.5</v>
      </c>
      <c r="Y576" s="321">
        <f t="shared" si="65"/>
        <v>1</v>
      </c>
      <c r="Z576" s="321">
        <f t="shared" si="65"/>
        <v>0</v>
      </c>
      <c r="AA576" s="321">
        <f t="shared" si="65"/>
        <v>0</v>
      </c>
      <c r="AB576" s="321">
        <f t="shared" si="65"/>
        <v>0</v>
      </c>
      <c r="AC576" s="321">
        <f t="shared" si="65"/>
        <v>0</v>
      </c>
      <c r="AD576" s="321"/>
      <c r="AE576" s="321">
        <f t="shared" si="65"/>
        <v>5054695.6940335212</v>
      </c>
      <c r="AF576" s="321">
        <f t="shared" si="65"/>
        <v>0</v>
      </c>
      <c r="AG576" s="321">
        <f t="shared" si="65"/>
        <v>337577.21434417297</v>
      </c>
      <c r="AH576" s="321">
        <f t="shared" si="65"/>
        <v>0</v>
      </c>
      <c r="AI576" s="321">
        <f t="shared" si="65"/>
        <v>5392272.908377694</v>
      </c>
      <c r="AJ576" s="321"/>
      <c r="AK576" s="321">
        <f t="shared" si="65"/>
        <v>0</v>
      </c>
      <c r="AL576" s="321">
        <f t="shared" si="65"/>
        <v>0</v>
      </c>
      <c r="AM576" s="321">
        <f t="shared" si="65"/>
        <v>0</v>
      </c>
      <c r="AN576" s="321">
        <f t="shared" si="65"/>
        <v>0</v>
      </c>
      <c r="AO576" s="321">
        <f t="shared" si="65"/>
        <v>0</v>
      </c>
      <c r="AP576" s="321">
        <f t="shared" si="65"/>
        <v>5392272.908377694</v>
      </c>
    </row>
    <row r="577" spans="1:42" x14ac:dyDescent="0.25">
      <c r="A577" s="311">
        <v>9666094</v>
      </c>
      <c r="D577" s="311">
        <v>9666094</v>
      </c>
      <c r="E577" s="315" t="str">
        <f t="shared" si="55"/>
        <v>Pečovatelská služba</v>
      </c>
      <c r="F577" s="315" t="str">
        <f t="shared" si="56"/>
        <v>Město Vamberk</v>
      </c>
      <c r="G577" s="315" t="str">
        <f t="shared" si="57"/>
        <v>§ 40 - Pečovatelská služba</v>
      </c>
      <c r="H577" s="315"/>
      <c r="I577" s="266" t="s">
        <v>1812</v>
      </c>
      <c r="J577" s="319"/>
      <c r="K577" s="266"/>
      <c r="L577" s="320"/>
      <c r="M577" s="321">
        <f t="shared" si="58"/>
        <v>7</v>
      </c>
      <c r="N577" s="321">
        <f t="shared" si="66"/>
        <v>1</v>
      </c>
      <c r="O577" s="321">
        <f t="shared" si="66"/>
        <v>6</v>
      </c>
      <c r="P577" s="321">
        <f t="shared" si="66"/>
        <v>0</v>
      </c>
      <c r="Q577" s="321">
        <f t="shared" si="66"/>
        <v>0</v>
      </c>
      <c r="R577" s="321">
        <f t="shared" si="66"/>
        <v>0</v>
      </c>
      <c r="S577" s="321">
        <f t="shared" si="66"/>
        <v>80</v>
      </c>
      <c r="T577" s="321">
        <f t="shared" si="66"/>
        <v>0</v>
      </c>
      <c r="U577" s="321">
        <f t="shared" si="66"/>
        <v>0</v>
      </c>
      <c r="V577" s="321"/>
      <c r="W577" s="321">
        <f t="shared" si="65"/>
        <v>7</v>
      </c>
      <c r="X577" s="321">
        <f t="shared" si="65"/>
        <v>1</v>
      </c>
      <c r="Y577" s="321">
        <f t="shared" si="65"/>
        <v>6</v>
      </c>
      <c r="Z577" s="321">
        <f t="shared" si="65"/>
        <v>0</v>
      </c>
      <c r="AA577" s="321">
        <f t="shared" si="65"/>
        <v>0</v>
      </c>
      <c r="AB577" s="321">
        <f t="shared" si="65"/>
        <v>0</v>
      </c>
      <c r="AC577" s="321">
        <f t="shared" si="65"/>
        <v>0</v>
      </c>
      <c r="AD577" s="321"/>
      <c r="AE577" s="321">
        <f t="shared" si="65"/>
        <v>4041762.3623043522</v>
      </c>
      <c r="AF577" s="321">
        <f t="shared" si="65"/>
        <v>0</v>
      </c>
      <c r="AG577" s="321">
        <f t="shared" si="65"/>
        <v>301376.07827703975</v>
      </c>
      <c r="AH577" s="321">
        <f t="shared" si="65"/>
        <v>0</v>
      </c>
      <c r="AI577" s="321">
        <f t="shared" si="65"/>
        <v>4343138.4405813916</v>
      </c>
      <c r="AJ577" s="321"/>
      <c r="AK577" s="321">
        <f t="shared" si="65"/>
        <v>832531.4117647059</v>
      </c>
      <c r="AL577" s="321">
        <f t="shared" si="65"/>
        <v>0</v>
      </c>
      <c r="AM577" s="321">
        <f t="shared" si="65"/>
        <v>0</v>
      </c>
      <c r="AN577" s="321">
        <f t="shared" si="65"/>
        <v>0</v>
      </c>
      <c r="AO577" s="321">
        <f t="shared" si="65"/>
        <v>832531.4117647059</v>
      </c>
      <c r="AP577" s="321">
        <f t="shared" si="65"/>
        <v>3510607.0288166855</v>
      </c>
    </row>
    <row r="578" spans="1:42" x14ac:dyDescent="0.25">
      <c r="A578" s="311">
        <v>9684449</v>
      </c>
      <c r="D578" s="311">
        <v>9684449</v>
      </c>
      <c r="E578" s="315" t="str">
        <f t="shared" si="55"/>
        <v>Manželská a rodinná poradna Jičín</v>
      </c>
      <c r="F578" s="315" t="str">
        <f t="shared" si="56"/>
        <v>Centrum sociální pomoci a služeb o. p. s.</v>
      </c>
      <c r="G578" s="315" t="str">
        <f t="shared" si="57"/>
        <v>§ 37 - Odborné sociální poradenství</v>
      </c>
      <c r="H578" s="315"/>
      <c r="I578" s="266" t="s">
        <v>1812</v>
      </c>
      <c r="J578" s="319"/>
      <c r="K578" s="266"/>
      <c r="L578" s="320"/>
      <c r="M578" s="321">
        <f t="shared" si="58"/>
        <v>1.5</v>
      </c>
      <c r="N578" s="321">
        <f t="shared" si="66"/>
        <v>1</v>
      </c>
      <c r="O578" s="321">
        <f t="shared" si="66"/>
        <v>0</v>
      </c>
      <c r="P578" s="321">
        <f t="shared" si="66"/>
        <v>0</v>
      </c>
      <c r="Q578" s="321">
        <f t="shared" si="66"/>
        <v>0.5</v>
      </c>
      <c r="R578" s="321">
        <f t="shared" si="66"/>
        <v>0</v>
      </c>
      <c r="S578" s="321">
        <f t="shared" si="66"/>
        <v>10</v>
      </c>
      <c r="T578" s="321">
        <f t="shared" si="66"/>
        <v>0</v>
      </c>
      <c r="U578" s="321">
        <f t="shared" si="66"/>
        <v>0</v>
      </c>
      <c r="V578" s="321"/>
      <c r="W578" s="321">
        <f t="shared" si="65"/>
        <v>1.5</v>
      </c>
      <c r="X578" s="321">
        <f t="shared" si="65"/>
        <v>1</v>
      </c>
      <c r="Y578" s="321">
        <f t="shared" si="65"/>
        <v>0</v>
      </c>
      <c r="Z578" s="321">
        <f t="shared" si="65"/>
        <v>0</v>
      </c>
      <c r="AA578" s="321">
        <f t="shared" si="65"/>
        <v>0.5</v>
      </c>
      <c r="AB578" s="321">
        <f t="shared" si="65"/>
        <v>0</v>
      </c>
      <c r="AC578" s="321">
        <f t="shared" si="65"/>
        <v>0</v>
      </c>
      <c r="AD578" s="321"/>
      <c r="AE578" s="321">
        <f t="shared" si="65"/>
        <v>1043087.9469635594</v>
      </c>
      <c r="AF578" s="321">
        <f t="shared" si="65"/>
        <v>0</v>
      </c>
      <c r="AG578" s="321">
        <f t="shared" si="65"/>
        <v>71072.319203671301</v>
      </c>
      <c r="AH578" s="321">
        <f t="shared" si="65"/>
        <v>0</v>
      </c>
      <c r="AI578" s="321">
        <f t="shared" si="65"/>
        <v>1114160.2661672307</v>
      </c>
      <c r="AJ578" s="321"/>
      <c r="AK578" s="321">
        <f t="shared" si="65"/>
        <v>0</v>
      </c>
      <c r="AL578" s="321">
        <f t="shared" si="65"/>
        <v>0</v>
      </c>
      <c r="AM578" s="321">
        <f t="shared" si="65"/>
        <v>0</v>
      </c>
      <c r="AN578" s="321">
        <f t="shared" si="65"/>
        <v>0</v>
      </c>
      <c r="AO578" s="321">
        <f t="shared" si="65"/>
        <v>0</v>
      </c>
      <c r="AP578" s="321">
        <f t="shared" si="65"/>
        <v>1114160.2661672307</v>
      </c>
    </row>
    <row r="579" spans="1:42" x14ac:dyDescent="0.25">
      <c r="A579" s="311">
        <v>9688838</v>
      </c>
      <c r="D579" s="311">
        <v>9688838</v>
      </c>
      <c r="E579" s="315" t="str">
        <f t="shared" si="55"/>
        <v>Domov pro seniory Trutnov</v>
      </c>
      <c r="F579" s="315" t="str">
        <f t="shared" si="56"/>
        <v>Domov pro seniory Trutnov</v>
      </c>
      <c r="G579" s="315" t="str">
        <f t="shared" si="57"/>
        <v>§ 49 - Domovy pro seniory</v>
      </c>
      <c r="H579" s="315"/>
      <c r="I579" s="266" t="s">
        <v>1812</v>
      </c>
      <c r="J579" s="319"/>
      <c r="K579" s="266"/>
      <c r="L579" s="320"/>
      <c r="M579" s="321">
        <f t="shared" si="58"/>
        <v>64</v>
      </c>
      <c r="N579" s="321">
        <f t="shared" si="66"/>
        <v>4</v>
      </c>
      <c r="O579" s="321">
        <f t="shared" si="66"/>
        <v>41</v>
      </c>
      <c r="P579" s="321">
        <f t="shared" si="66"/>
        <v>19</v>
      </c>
      <c r="Q579" s="321">
        <f t="shared" si="66"/>
        <v>0</v>
      </c>
      <c r="R579" s="321">
        <f t="shared" si="66"/>
        <v>124</v>
      </c>
      <c r="S579" s="321">
        <f t="shared" si="66"/>
        <v>0</v>
      </c>
      <c r="T579" s="321">
        <f t="shared" si="66"/>
        <v>0</v>
      </c>
      <c r="U579" s="321">
        <f t="shared" si="66"/>
        <v>0</v>
      </c>
      <c r="V579" s="321"/>
      <c r="W579" s="321">
        <f t="shared" si="65"/>
        <v>64</v>
      </c>
      <c r="X579" s="321">
        <f t="shared" si="65"/>
        <v>4</v>
      </c>
      <c r="Y579" s="321">
        <f t="shared" si="65"/>
        <v>41</v>
      </c>
      <c r="Z579" s="321">
        <f t="shared" si="65"/>
        <v>19</v>
      </c>
      <c r="AA579" s="321">
        <f t="shared" si="65"/>
        <v>0</v>
      </c>
      <c r="AB579" s="321">
        <f t="shared" si="65"/>
        <v>124</v>
      </c>
      <c r="AC579" s="321">
        <f t="shared" si="65"/>
        <v>0</v>
      </c>
      <c r="AD579" s="321"/>
      <c r="AE579" s="321">
        <f t="shared" si="65"/>
        <v>30669361.541654989</v>
      </c>
      <c r="AF579" s="321">
        <f t="shared" si="65"/>
        <v>16113721.160579368</v>
      </c>
      <c r="AG579" s="321">
        <f t="shared" si="65"/>
        <v>12562799.524277268</v>
      </c>
      <c r="AH579" s="321">
        <f t="shared" si="65"/>
        <v>8806497.0140278786</v>
      </c>
      <c r="AI579" s="321">
        <f t="shared" si="65"/>
        <v>68152379.240539506</v>
      </c>
      <c r="AJ579" s="321"/>
      <c r="AK579" s="321">
        <f t="shared" si="65"/>
        <v>13921540.159327066</v>
      </c>
      <c r="AL579" s="321">
        <f t="shared" si="65"/>
        <v>3626363.7262479872</v>
      </c>
      <c r="AM579" s="321">
        <f t="shared" si="65"/>
        <v>9538548.0535854995</v>
      </c>
      <c r="AN579" s="321">
        <f t="shared" si="65"/>
        <v>6308755.8069852944</v>
      </c>
      <c r="AO579" s="321">
        <f t="shared" si="65"/>
        <v>33395207.746145844</v>
      </c>
      <c r="AP579" s="321">
        <f t="shared" si="65"/>
        <v>34757171.494393662</v>
      </c>
    </row>
    <row r="580" spans="1:42" x14ac:dyDescent="0.25">
      <c r="A580" s="311">
        <v>9735411</v>
      </c>
      <c r="D580" s="311">
        <v>9735411</v>
      </c>
      <c r="E580" s="315" t="str">
        <f t="shared" si="55"/>
        <v>Pečovatelská služba</v>
      </c>
      <c r="F580" s="315" t="str">
        <f t="shared" si="56"/>
        <v>Centrum sociální pomoci a služeb o. p. s.</v>
      </c>
      <c r="G580" s="315" t="str">
        <f t="shared" si="57"/>
        <v>§ 40 - Pečovatelská služba</v>
      </c>
      <c r="H580" s="315"/>
      <c r="I580" s="266" t="s">
        <v>1812</v>
      </c>
      <c r="J580" s="319"/>
      <c r="K580" s="266"/>
      <c r="L580" s="320"/>
      <c r="M580" s="321">
        <f t="shared" si="58"/>
        <v>31.15</v>
      </c>
      <c r="N580" s="321">
        <f t="shared" si="66"/>
        <v>1.9</v>
      </c>
      <c r="O580" s="321">
        <f t="shared" si="66"/>
        <v>29.25</v>
      </c>
      <c r="P580" s="321">
        <f t="shared" si="66"/>
        <v>0</v>
      </c>
      <c r="Q580" s="321">
        <f t="shared" si="66"/>
        <v>0</v>
      </c>
      <c r="R580" s="321">
        <f t="shared" si="66"/>
        <v>0</v>
      </c>
      <c r="S580" s="321">
        <f t="shared" si="66"/>
        <v>220</v>
      </c>
      <c r="T580" s="321">
        <f t="shared" si="66"/>
        <v>0</v>
      </c>
      <c r="U580" s="321">
        <f t="shared" si="66"/>
        <v>0</v>
      </c>
      <c r="V580" s="321"/>
      <c r="W580" s="321">
        <f t="shared" si="65"/>
        <v>31.15</v>
      </c>
      <c r="X580" s="321">
        <f t="shared" si="65"/>
        <v>1.9</v>
      </c>
      <c r="Y580" s="321">
        <f t="shared" si="65"/>
        <v>29.25</v>
      </c>
      <c r="Z580" s="321">
        <f t="shared" si="65"/>
        <v>0</v>
      </c>
      <c r="AA580" s="321">
        <f t="shared" si="65"/>
        <v>0</v>
      </c>
      <c r="AB580" s="321">
        <f t="shared" si="65"/>
        <v>0</v>
      </c>
      <c r="AC580" s="321">
        <f t="shared" si="65"/>
        <v>0</v>
      </c>
      <c r="AD580" s="321"/>
      <c r="AE580" s="321">
        <f t="shared" si="65"/>
        <v>17985842.512254365</v>
      </c>
      <c r="AF580" s="321">
        <f t="shared" si="65"/>
        <v>0</v>
      </c>
      <c r="AG580" s="321">
        <f t="shared" si="65"/>
        <v>1341123.5483328269</v>
      </c>
      <c r="AH580" s="321">
        <f t="shared" si="65"/>
        <v>0</v>
      </c>
      <c r="AI580" s="321">
        <f t="shared" si="65"/>
        <v>19326966.06058719</v>
      </c>
      <c r="AJ580" s="321"/>
      <c r="AK580" s="321">
        <f t="shared" si="65"/>
        <v>4058590.6323529412</v>
      </c>
      <c r="AL580" s="321">
        <f t="shared" si="65"/>
        <v>0</v>
      </c>
      <c r="AM580" s="321">
        <f t="shared" si="65"/>
        <v>0</v>
      </c>
      <c r="AN580" s="321">
        <f t="shared" si="65"/>
        <v>0</v>
      </c>
      <c r="AO580" s="321">
        <f t="shared" si="65"/>
        <v>4058590.6323529412</v>
      </c>
      <c r="AP580" s="321">
        <f t="shared" si="65"/>
        <v>15268375.428234249</v>
      </c>
    </row>
    <row r="581" spans="1:42" x14ac:dyDescent="0.25">
      <c r="A581" s="311">
        <v>9767213</v>
      </c>
      <c r="D581" s="311">
        <v>9767213</v>
      </c>
      <c r="E581" s="315" t="str">
        <f t="shared" ref="E581:E588" si="67">VLOOKUP($D581,$D$4:$K$318,2,FALSE)</f>
        <v>Sociální rehabilitace APROPO</v>
      </c>
      <c r="F581" s="315" t="str">
        <f t="shared" ref="F581:F588" si="68">VLOOKUP($D581,$D$4:$K$318,3,FALSE)</f>
        <v>Apropo Jičín, o. p. s.</v>
      </c>
      <c r="G581" s="315" t="str">
        <f t="shared" ref="G581:G588" si="69">VLOOKUP($D581,$D$4:$K$318,8,FALSE)</f>
        <v>§ 70 - Sociální rehabilitace</v>
      </c>
      <c r="H581" s="315"/>
      <c r="I581" s="266" t="s">
        <v>1812</v>
      </c>
      <c r="J581" s="319"/>
      <c r="K581" s="266"/>
      <c r="L581" s="320"/>
      <c r="M581" s="321">
        <f t="shared" ref="M581:AB588" si="70">SUMIFS(M$4:M$318,$D$4:$D$318,$D581)</f>
        <v>4.7</v>
      </c>
      <c r="N581" s="321">
        <f t="shared" si="70"/>
        <v>1.6</v>
      </c>
      <c r="O581" s="321">
        <f t="shared" si="70"/>
        <v>3.1</v>
      </c>
      <c r="P581" s="321">
        <f t="shared" si="70"/>
        <v>0</v>
      </c>
      <c r="Q581" s="321">
        <f t="shared" si="70"/>
        <v>0</v>
      </c>
      <c r="R581" s="321">
        <f t="shared" si="70"/>
        <v>0</v>
      </c>
      <c r="S581" s="321">
        <f t="shared" si="70"/>
        <v>32</v>
      </c>
      <c r="T581" s="321">
        <f t="shared" si="70"/>
        <v>12</v>
      </c>
      <c r="U581" s="321">
        <f t="shared" si="70"/>
        <v>0</v>
      </c>
      <c r="V581" s="321"/>
      <c r="W581" s="321">
        <f t="shared" si="70"/>
        <v>4.7</v>
      </c>
      <c r="X581" s="321">
        <f t="shared" si="70"/>
        <v>1.6</v>
      </c>
      <c r="Y581" s="321">
        <f t="shared" si="70"/>
        <v>3.1</v>
      </c>
      <c r="Z581" s="321">
        <f t="shared" si="70"/>
        <v>0</v>
      </c>
      <c r="AA581" s="321">
        <f t="shared" si="70"/>
        <v>0</v>
      </c>
      <c r="AB581" s="321">
        <f t="shared" si="70"/>
        <v>0</v>
      </c>
      <c r="AC581" s="321">
        <f t="shared" si="65"/>
        <v>12</v>
      </c>
      <c r="AD581" s="321"/>
      <c r="AE581" s="321">
        <f t="shared" si="65"/>
        <v>3299840.0520380847</v>
      </c>
      <c r="AF581" s="321">
        <f t="shared" si="65"/>
        <v>0</v>
      </c>
      <c r="AG581" s="321">
        <f t="shared" si="65"/>
        <v>205910.92848718775</v>
      </c>
      <c r="AH581" s="321">
        <f t="shared" si="65"/>
        <v>0</v>
      </c>
      <c r="AI581" s="321">
        <f t="shared" si="65"/>
        <v>3505750.9805252724</v>
      </c>
      <c r="AJ581" s="321"/>
      <c r="AK581" s="321">
        <f t="shared" si="65"/>
        <v>0</v>
      </c>
      <c r="AL581" s="321">
        <f t="shared" si="65"/>
        <v>0</v>
      </c>
      <c r="AM581" s="321">
        <f t="shared" si="65"/>
        <v>0</v>
      </c>
      <c r="AN581" s="321">
        <f t="shared" si="65"/>
        <v>0</v>
      </c>
      <c r="AO581" s="321">
        <f t="shared" si="65"/>
        <v>0</v>
      </c>
      <c r="AP581" s="321">
        <f t="shared" si="65"/>
        <v>3505750.9805252724</v>
      </c>
    </row>
    <row r="582" spans="1:42" x14ac:dyDescent="0.25">
      <c r="A582" s="311">
        <v>9775815</v>
      </c>
      <c r="D582" s="311">
        <v>9775815</v>
      </c>
      <c r="E582" s="315" t="str">
        <f t="shared" si="67"/>
        <v>Perinatální hospic</v>
      </c>
      <c r="F582" s="315" t="str">
        <f t="shared" si="68"/>
        <v>Perinatální hospic Dítě v srdci, z. s.</v>
      </c>
      <c r="G582" s="315" t="str">
        <f t="shared" si="69"/>
        <v>§ 37 - Odborné sociální poradenství</v>
      </c>
      <c r="H582" s="315"/>
      <c r="I582" s="266" t="s">
        <v>1812</v>
      </c>
      <c r="J582" s="319"/>
      <c r="K582" s="266"/>
      <c r="L582" s="320"/>
      <c r="M582" s="321">
        <f t="shared" si="70"/>
        <v>1.1499999999999999</v>
      </c>
      <c r="N582" s="321">
        <f t="shared" si="70"/>
        <v>0.75</v>
      </c>
      <c r="O582" s="321">
        <f t="shared" si="70"/>
        <v>0</v>
      </c>
      <c r="P582" s="321">
        <f t="shared" si="70"/>
        <v>0.2</v>
      </c>
      <c r="Q582" s="321">
        <f t="shared" si="70"/>
        <v>0.2</v>
      </c>
      <c r="R582" s="321">
        <f t="shared" si="70"/>
        <v>0</v>
      </c>
      <c r="S582" s="321">
        <f t="shared" si="70"/>
        <v>7</v>
      </c>
      <c r="T582" s="321">
        <f t="shared" si="70"/>
        <v>0</v>
      </c>
      <c r="U582" s="321">
        <f t="shared" si="70"/>
        <v>0</v>
      </c>
      <c r="V582" s="321"/>
      <c r="W582" s="321">
        <f t="shared" si="65"/>
        <v>1.1499999999999999</v>
      </c>
      <c r="X582" s="321">
        <f t="shared" si="65"/>
        <v>0.75</v>
      </c>
      <c r="Y582" s="321">
        <f t="shared" si="65"/>
        <v>0</v>
      </c>
      <c r="Z582" s="321">
        <f t="shared" si="65"/>
        <v>0.2</v>
      </c>
      <c r="AA582" s="321">
        <f t="shared" si="65"/>
        <v>0.2</v>
      </c>
      <c r="AB582" s="321">
        <f t="shared" si="65"/>
        <v>0</v>
      </c>
      <c r="AC582" s="321">
        <f t="shared" si="65"/>
        <v>0</v>
      </c>
      <c r="AD582" s="321"/>
      <c r="AE582" s="321">
        <f t="shared" si="65"/>
        <v>799700.75933872873</v>
      </c>
      <c r="AF582" s="321">
        <f t="shared" si="65"/>
        <v>0</v>
      </c>
      <c r="AG582" s="321">
        <f t="shared" si="65"/>
        <v>54488.778056147996</v>
      </c>
      <c r="AH582" s="321">
        <f t="shared" si="65"/>
        <v>0</v>
      </c>
      <c r="AI582" s="321">
        <f t="shared" si="65"/>
        <v>854189.53739487671</v>
      </c>
      <c r="AJ582" s="321"/>
      <c r="AK582" s="321">
        <f t="shared" si="65"/>
        <v>0</v>
      </c>
      <c r="AL582" s="321">
        <f t="shared" si="65"/>
        <v>0</v>
      </c>
      <c r="AM582" s="321">
        <f t="shared" si="65"/>
        <v>0</v>
      </c>
      <c r="AN582" s="321">
        <f t="shared" si="65"/>
        <v>0</v>
      </c>
      <c r="AO582" s="321">
        <f t="shared" si="65"/>
        <v>0</v>
      </c>
      <c r="AP582" s="321">
        <f t="shared" si="65"/>
        <v>854189.53739487671</v>
      </c>
    </row>
    <row r="583" spans="1:42" x14ac:dyDescent="0.25">
      <c r="A583" s="311">
        <v>9870958</v>
      </c>
      <c r="D583" s="311">
        <v>9870958</v>
      </c>
      <c r="E583" s="315" t="str">
        <f t="shared" si="67"/>
        <v>Kontaktní centrum</v>
      </c>
      <c r="F583" s="315" t="str">
        <f t="shared" si="68"/>
        <v>Sdružení ozdravoven a léčeben okresu Trutnov</v>
      </c>
      <c r="G583" s="315" t="str">
        <f t="shared" si="69"/>
        <v>§ 59 - Kontaktní centra</v>
      </c>
      <c r="H583" s="315"/>
      <c r="I583" s="266" t="s">
        <v>1812</v>
      </c>
      <c r="J583" s="319"/>
      <c r="K583" s="266"/>
      <c r="L583" s="320"/>
      <c r="M583" s="321">
        <f t="shared" si="70"/>
        <v>3.3</v>
      </c>
      <c r="N583" s="321">
        <f t="shared" si="70"/>
        <v>3.1</v>
      </c>
      <c r="O583" s="321">
        <f t="shared" si="70"/>
        <v>0</v>
      </c>
      <c r="P583" s="321">
        <f t="shared" si="70"/>
        <v>0.2</v>
      </c>
      <c r="Q583" s="321">
        <f t="shared" si="70"/>
        <v>0</v>
      </c>
      <c r="R583" s="321">
        <f t="shared" si="70"/>
        <v>0</v>
      </c>
      <c r="S583" s="321">
        <f t="shared" si="70"/>
        <v>0</v>
      </c>
      <c r="T583" s="321">
        <f t="shared" si="70"/>
        <v>9</v>
      </c>
      <c r="U583" s="321">
        <f t="shared" si="70"/>
        <v>0</v>
      </c>
      <c r="V583" s="321"/>
      <c r="W583" s="321">
        <f t="shared" ref="W583:AP588" si="71">SUMIFS(W$4:W$318,$D$4:$D$318,$D583)</f>
        <v>3.3</v>
      </c>
      <c r="X583" s="321">
        <f t="shared" si="71"/>
        <v>3.1</v>
      </c>
      <c r="Y583" s="321">
        <f t="shared" si="71"/>
        <v>0</v>
      </c>
      <c r="Z583" s="321">
        <f t="shared" si="71"/>
        <v>0.2</v>
      </c>
      <c r="AA583" s="321">
        <f t="shared" si="71"/>
        <v>0</v>
      </c>
      <c r="AB583" s="321">
        <f t="shared" si="71"/>
        <v>0</v>
      </c>
      <c r="AC583" s="321">
        <f t="shared" si="71"/>
        <v>9</v>
      </c>
      <c r="AD583" s="321"/>
      <c r="AE583" s="321">
        <f t="shared" si="71"/>
        <v>3042286.5854737242</v>
      </c>
      <c r="AF583" s="321">
        <f t="shared" si="71"/>
        <v>0</v>
      </c>
      <c r="AG583" s="321">
        <f t="shared" si="71"/>
        <v>752871.80853347364</v>
      </c>
      <c r="AH583" s="321">
        <f t="shared" si="71"/>
        <v>6804.6061499999996</v>
      </c>
      <c r="AI583" s="321">
        <f t="shared" si="71"/>
        <v>3801963.0001571975</v>
      </c>
      <c r="AJ583" s="321"/>
      <c r="AK583" s="321">
        <f t="shared" si="71"/>
        <v>0</v>
      </c>
      <c r="AL583" s="321">
        <f t="shared" si="71"/>
        <v>0</v>
      </c>
      <c r="AM583" s="321">
        <f t="shared" si="71"/>
        <v>0</v>
      </c>
      <c r="AN583" s="321">
        <f t="shared" si="71"/>
        <v>0</v>
      </c>
      <c r="AO583" s="321">
        <f t="shared" si="71"/>
        <v>0</v>
      </c>
      <c r="AP583" s="321">
        <f t="shared" si="71"/>
        <v>3801963.0001571975</v>
      </c>
    </row>
    <row r="584" spans="1:42" x14ac:dyDescent="0.25">
      <c r="A584" s="311">
        <v>9924037</v>
      </c>
      <c r="D584" s="311">
        <v>9924037</v>
      </c>
      <c r="E584" s="315" t="str">
        <f t="shared" si="67"/>
        <v>Domov pro seniory Vrchlabí</v>
      </c>
      <c r="F584" s="315" t="str">
        <f t="shared" si="68"/>
        <v>Domov pro seniory Vrchlabí</v>
      </c>
      <c r="G584" s="315" t="str">
        <f t="shared" si="69"/>
        <v>§ 50 - Domovy se zvláštním režimem</v>
      </c>
      <c r="H584" s="315"/>
      <c r="I584" s="266" t="s">
        <v>1812</v>
      </c>
      <c r="J584" s="319"/>
      <c r="K584" s="266"/>
      <c r="L584" s="320"/>
      <c r="M584" s="321">
        <f t="shared" si="70"/>
        <v>7.3</v>
      </c>
      <c r="N584" s="321">
        <f t="shared" si="70"/>
        <v>0.15</v>
      </c>
      <c r="O584" s="321">
        <f t="shared" si="70"/>
        <v>5.5</v>
      </c>
      <c r="P584" s="321">
        <f t="shared" si="70"/>
        <v>1.65</v>
      </c>
      <c r="Q584" s="321">
        <f t="shared" si="70"/>
        <v>0</v>
      </c>
      <c r="R584" s="321">
        <f t="shared" si="70"/>
        <v>10</v>
      </c>
      <c r="S584" s="321">
        <f t="shared" si="70"/>
        <v>0</v>
      </c>
      <c r="T584" s="321">
        <f t="shared" si="70"/>
        <v>0</v>
      </c>
      <c r="U584" s="321">
        <f t="shared" si="70"/>
        <v>0</v>
      </c>
      <c r="V584" s="321"/>
      <c r="W584" s="321">
        <f t="shared" si="71"/>
        <v>7.3</v>
      </c>
      <c r="X584" s="321">
        <f t="shared" si="71"/>
        <v>0.15</v>
      </c>
      <c r="Y584" s="321">
        <f t="shared" si="71"/>
        <v>5.5</v>
      </c>
      <c r="Z584" s="321">
        <f t="shared" si="71"/>
        <v>1.65</v>
      </c>
      <c r="AA584" s="321">
        <f t="shared" si="71"/>
        <v>0</v>
      </c>
      <c r="AB584" s="321">
        <f t="shared" si="71"/>
        <v>10</v>
      </c>
      <c r="AC584" s="321">
        <f t="shared" si="71"/>
        <v>0</v>
      </c>
      <c r="AD584" s="321"/>
      <c r="AE584" s="321">
        <f t="shared" si="71"/>
        <v>3769839.0891493578</v>
      </c>
      <c r="AF584" s="321">
        <f t="shared" si="71"/>
        <v>1395753.7528374905</v>
      </c>
      <c r="AG584" s="321">
        <f t="shared" si="71"/>
        <v>996577.68810853991</v>
      </c>
      <c r="AH584" s="321">
        <f t="shared" si="71"/>
        <v>673045.9713419273</v>
      </c>
      <c r="AI584" s="321">
        <f t="shared" si="71"/>
        <v>6835216.5014373157</v>
      </c>
      <c r="AJ584" s="321"/>
      <c r="AK584" s="321">
        <f t="shared" si="71"/>
        <v>1200682.2</v>
      </c>
      <c r="AL584" s="321">
        <f t="shared" si="71"/>
        <v>224820.96249999999</v>
      </c>
      <c r="AM584" s="321">
        <f t="shared" si="71"/>
        <v>724418.27586206899</v>
      </c>
      <c r="AN584" s="321">
        <f t="shared" si="71"/>
        <v>510013.5</v>
      </c>
      <c r="AO584" s="321">
        <f t="shared" si="71"/>
        <v>2659934.938362069</v>
      </c>
      <c r="AP584" s="321">
        <f t="shared" si="71"/>
        <v>4175281.5630752468</v>
      </c>
    </row>
    <row r="585" spans="1:42" x14ac:dyDescent="0.25">
      <c r="A585" s="311">
        <v>9924639</v>
      </c>
      <c r="D585" s="311">
        <v>9924639</v>
      </c>
      <c r="E585" s="315" t="str">
        <f t="shared" si="67"/>
        <v>Pečovatelská služba Města Dvůr Králové nad Labem</v>
      </c>
      <c r="F585" s="315" t="str">
        <f t="shared" si="68"/>
        <v>Pečovatelská služba Města Dvůr Králové nad Labem</v>
      </c>
      <c r="G585" s="315" t="str">
        <f t="shared" si="69"/>
        <v>§ 40 - Pečovatelská služba</v>
      </c>
      <c r="H585" s="315"/>
      <c r="I585" s="266" t="s">
        <v>1812</v>
      </c>
      <c r="J585" s="319"/>
      <c r="K585" s="266"/>
      <c r="L585" s="320"/>
      <c r="M585" s="321">
        <f t="shared" si="70"/>
        <v>16.38</v>
      </c>
      <c r="N585" s="321">
        <f t="shared" si="70"/>
        <v>1.38</v>
      </c>
      <c r="O585" s="321">
        <f t="shared" si="70"/>
        <v>15</v>
      </c>
      <c r="P585" s="321">
        <f t="shared" si="70"/>
        <v>0</v>
      </c>
      <c r="Q585" s="321">
        <f t="shared" si="70"/>
        <v>0</v>
      </c>
      <c r="R585" s="321">
        <f t="shared" si="70"/>
        <v>0</v>
      </c>
      <c r="S585" s="321">
        <f t="shared" si="70"/>
        <v>190</v>
      </c>
      <c r="T585" s="321">
        <f t="shared" si="70"/>
        <v>11</v>
      </c>
      <c r="U585" s="321">
        <f t="shared" si="70"/>
        <v>0</v>
      </c>
      <c r="V585" s="321"/>
      <c r="W585" s="321">
        <f t="shared" si="71"/>
        <v>16.38</v>
      </c>
      <c r="X585" s="321">
        <f t="shared" si="71"/>
        <v>1.38</v>
      </c>
      <c r="Y585" s="321">
        <f t="shared" si="71"/>
        <v>15</v>
      </c>
      <c r="Z585" s="321">
        <f t="shared" si="71"/>
        <v>0</v>
      </c>
      <c r="AA585" s="321">
        <f t="shared" si="71"/>
        <v>0</v>
      </c>
      <c r="AB585" s="321">
        <f t="shared" si="71"/>
        <v>0</v>
      </c>
      <c r="AC585" s="321">
        <f t="shared" si="71"/>
        <v>11</v>
      </c>
      <c r="AD585" s="321"/>
      <c r="AE585" s="321">
        <f t="shared" si="71"/>
        <v>9457723.9277921841</v>
      </c>
      <c r="AF585" s="321">
        <f t="shared" si="71"/>
        <v>0</v>
      </c>
      <c r="AG585" s="321">
        <f t="shared" si="71"/>
        <v>705220.02316827292</v>
      </c>
      <c r="AH585" s="321">
        <f t="shared" si="71"/>
        <v>0</v>
      </c>
      <c r="AI585" s="321">
        <f t="shared" si="71"/>
        <v>10162943.950960457</v>
      </c>
      <c r="AJ585" s="321"/>
      <c r="AK585" s="321">
        <f t="shared" si="71"/>
        <v>2081328.5294117648</v>
      </c>
      <c r="AL585" s="321">
        <f t="shared" si="71"/>
        <v>0</v>
      </c>
      <c r="AM585" s="321">
        <f t="shared" si="71"/>
        <v>0</v>
      </c>
      <c r="AN585" s="321">
        <f t="shared" si="71"/>
        <v>0</v>
      </c>
      <c r="AO585" s="321">
        <f t="shared" si="71"/>
        <v>2081328.5294117648</v>
      </c>
      <c r="AP585" s="321">
        <f t="shared" si="71"/>
        <v>8081615.4215486925</v>
      </c>
    </row>
    <row r="586" spans="1:42" x14ac:dyDescent="0.25">
      <c r="A586" s="311">
        <v>9940787</v>
      </c>
      <c r="D586" s="311">
        <v>9940787</v>
      </c>
      <c r="E586" s="315" t="str">
        <f t="shared" si="67"/>
        <v>Pečovatelská služba</v>
      </c>
      <c r="F586" s="315" t="str">
        <f t="shared" si="68"/>
        <v>Městské středisko sociálních služeb Oáza</v>
      </c>
      <c r="G586" s="315" t="str">
        <f t="shared" si="69"/>
        <v>§ 40 - Pečovatelská služba</v>
      </c>
      <c r="H586" s="315"/>
      <c r="I586" s="266" t="s">
        <v>1812</v>
      </c>
      <c r="J586" s="319"/>
      <c r="K586" s="266"/>
      <c r="L586" s="320"/>
      <c r="M586" s="321">
        <f t="shared" si="70"/>
        <v>10.65</v>
      </c>
      <c r="N586" s="321">
        <f t="shared" si="70"/>
        <v>1.1499999999999999</v>
      </c>
      <c r="O586" s="321">
        <f t="shared" si="70"/>
        <v>9.5</v>
      </c>
      <c r="P586" s="321">
        <f t="shared" si="70"/>
        <v>0</v>
      </c>
      <c r="Q586" s="321">
        <f t="shared" si="70"/>
        <v>0</v>
      </c>
      <c r="R586" s="321">
        <f t="shared" si="70"/>
        <v>0</v>
      </c>
      <c r="S586" s="321">
        <f t="shared" si="70"/>
        <v>120</v>
      </c>
      <c r="T586" s="321">
        <f t="shared" si="70"/>
        <v>0</v>
      </c>
      <c r="U586" s="321">
        <f t="shared" si="70"/>
        <v>0</v>
      </c>
      <c r="V586" s="321"/>
      <c r="W586" s="321">
        <f t="shared" si="71"/>
        <v>10.65</v>
      </c>
      <c r="X586" s="321">
        <f t="shared" si="71"/>
        <v>1.1499999999999999</v>
      </c>
      <c r="Y586" s="321">
        <f t="shared" si="71"/>
        <v>9.5</v>
      </c>
      <c r="Z586" s="321">
        <f t="shared" si="71"/>
        <v>0</v>
      </c>
      <c r="AA586" s="321">
        <f t="shared" si="71"/>
        <v>0</v>
      </c>
      <c r="AB586" s="321">
        <f t="shared" si="71"/>
        <v>0</v>
      </c>
      <c r="AC586" s="321">
        <f t="shared" si="71"/>
        <v>0</v>
      </c>
      <c r="AD586" s="321"/>
      <c r="AE586" s="321">
        <f t="shared" si="71"/>
        <v>6149252.7369344784</v>
      </c>
      <c r="AF586" s="321">
        <f t="shared" si="71"/>
        <v>0</v>
      </c>
      <c r="AG586" s="321">
        <f t="shared" si="71"/>
        <v>458522.17623578192</v>
      </c>
      <c r="AH586" s="321">
        <f t="shared" si="71"/>
        <v>0</v>
      </c>
      <c r="AI586" s="321">
        <f t="shared" si="71"/>
        <v>6607774.9131702604</v>
      </c>
      <c r="AJ586" s="321"/>
      <c r="AK586" s="321">
        <f t="shared" si="71"/>
        <v>1318174.7352941176</v>
      </c>
      <c r="AL586" s="321">
        <f t="shared" si="71"/>
        <v>0</v>
      </c>
      <c r="AM586" s="321">
        <f t="shared" si="71"/>
        <v>0</v>
      </c>
      <c r="AN586" s="321">
        <f t="shared" si="71"/>
        <v>0</v>
      </c>
      <c r="AO586" s="321">
        <f t="shared" si="71"/>
        <v>1318174.7352941176</v>
      </c>
      <c r="AP586" s="321">
        <f t="shared" si="71"/>
        <v>5289600.1778761428</v>
      </c>
    </row>
    <row r="587" spans="1:42" x14ac:dyDescent="0.25">
      <c r="A587" s="311">
        <v>9949795</v>
      </c>
      <c r="D587" s="311">
        <v>9949795</v>
      </c>
      <c r="E587" s="315" t="str">
        <f t="shared" si="67"/>
        <v>Pečovatelská služba Pecka</v>
      </c>
      <c r="F587" s="315" t="str">
        <f t="shared" si="68"/>
        <v>Městys Pecka</v>
      </c>
      <c r="G587" s="315" t="str">
        <f t="shared" si="69"/>
        <v>§ 40 - Pečovatelská služba</v>
      </c>
      <c r="H587" s="315"/>
      <c r="I587" s="266" t="s">
        <v>1812</v>
      </c>
      <c r="J587" s="319"/>
      <c r="K587" s="266"/>
      <c r="L587" s="320"/>
      <c r="M587" s="321">
        <f t="shared" si="70"/>
        <v>2.75</v>
      </c>
      <c r="N587" s="321">
        <f t="shared" si="70"/>
        <v>0</v>
      </c>
      <c r="O587" s="321">
        <f t="shared" si="70"/>
        <v>2.75</v>
      </c>
      <c r="P587" s="321">
        <f t="shared" si="70"/>
        <v>0</v>
      </c>
      <c r="Q587" s="321">
        <f t="shared" si="70"/>
        <v>0</v>
      </c>
      <c r="R587" s="321">
        <f t="shared" si="70"/>
        <v>0</v>
      </c>
      <c r="S587" s="321">
        <f t="shared" si="70"/>
        <v>27</v>
      </c>
      <c r="T587" s="321">
        <f t="shared" si="70"/>
        <v>0</v>
      </c>
      <c r="U587" s="321">
        <f t="shared" si="70"/>
        <v>0</v>
      </c>
      <c r="V587" s="321"/>
      <c r="W587" s="321">
        <f t="shared" si="71"/>
        <v>2.75</v>
      </c>
      <c r="X587" s="321">
        <f t="shared" si="71"/>
        <v>0</v>
      </c>
      <c r="Y587" s="321">
        <f t="shared" si="71"/>
        <v>2.75</v>
      </c>
      <c r="Z587" s="321">
        <f t="shared" si="71"/>
        <v>0</v>
      </c>
      <c r="AA587" s="321">
        <f t="shared" si="71"/>
        <v>0</v>
      </c>
      <c r="AB587" s="321">
        <f t="shared" si="71"/>
        <v>0</v>
      </c>
      <c r="AC587" s="321">
        <f t="shared" si="71"/>
        <v>0</v>
      </c>
      <c r="AD587" s="321"/>
      <c r="AE587" s="321">
        <f t="shared" si="71"/>
        <v>1587835.213762424</v>
      </c>
      <c r="AF587" s="321">
        <f t="shared" si="71"/>
        <v>0</v>
      </c>
      <c r="AG587" s="321">
        <f t="shared" si="71"/>
        <v>118397.74503740847</v>
      </c>
      <c r="AH587" s="321">
        <f t="shared" si="71"/>
        <v>0</v>
      </c>
      <c r="AI587" s="321">
        <f t="shared" si="71"/>
        <v>1706232.9587998325</v>
      </c>
      <c r="AJ587" s="321"/>
      <c r="AK587" s="321">
        <f t="shared" si="71"/>
        <v>381576.89705882355</v>
      </c>
      <c r="AL587" s="321">
        <f t="shared" si="71"/>
        <v>0</v>
      </c>
      <c r="AM587" s="321">
        <f t="shared" si="71"/>
        <v>0</v>
      </c>
      <c r="AN587" s="321">
        <f t="shared" si="71"/>
        <v>0</v>
      </c>
      <c r="AO587" s="321">
        <f t="shared" si="71"/>
        <v>381576.89705882355</v>
      </c>
      <c r="AP587" s="321">
        <f t="shared" si="71"/>
        <v>1324656.0617410089</v>
      </c>
    </row>
    <row r="588" spans="1:42" x14ac:dyDescent="0.25">
      <c r="A588" s="311" t="s">
        <v>1153</v>
      </c>
      <c r="D588" s="311" t="s">
        <v>1153</v>
      </c>
      <c r="E588" s="315" t="str">
        <f t="shared" si="67"/>
        <v>Denní stacionář</v>
      </c>
      <c r="F588" s="315" t="str">
        <f t="shared" si="68"/>
        <v>Oblastní charita Červený Kostelec</v>
      </c>
      <c r="G588" s="315" t="str">
        <f t="shared" si="69"/>
        <v>§ 46 - Denní stacionáře</v>
      </c>
      <c r="H588" s="315"/>
      <c r="I588" s="266" t="s">
        <v>1812</v>
      </c>
      <c r="J588" s="319"/>
      <c r="K588" s="266"/>
      <c r="L588" s="320"/>
      <c r="M588" s="321">
        <f t="shared" si="70"/>
        <v>19.600000000000001</v>
      </c>
      <c r="N588" s="321">
        <f t="shared" si="70"/>
        <v>1.2</v>
      </c>
      <c r="O588" s="321">
        <f t="shared" si="70"/>
        <v>18.3</v>
      </c>
      <c r="P588" s="321">
        <f t="shared" si="70"/>
        <v>0.1</v>
      </c>
      <c r="Q588" s="321">
        <f t="shared" si="70"/>
        <v>0</v>
      </c>
      <c r="R588" s="321">
        <f t="shared" si="70"/>
        <v>18</v>
      </c>
      <c r="S588" s="321">
        <f t="shared" si="70"/>
        <v>0</v>
      </c>
      <c r="T588" s="321">
        <f t="shared" si="70"/>
        <v>8</v>
      </c>
      <c r="U588" s="321">
        <f t="shared" si="70"/>
        <v>0</v>
      </c>
      <c r="V588" s="321"/>
      <c r="W588" s="321">
        <f t="shared" si="71"/>
        <v>19.600000000000001</v>
      </c>
      <c r="X588" s="321">
        <f t="shared" si="71"/>
        <v>1.2</v>
      </c>
      <c r="Y588" s="321">
        <f t="shared" si="71"/>
        <v>18.3</v>
      </c>
      <c r="Z588" s="321">
        <f t="shared" si="71"/>
        <v>0.1</v>
      </c>
      <c r="AA588" s="321">
        <f t="shared" si="71"/>
        <v>0</v>
      </c>
      <c r="AB588" s="321">
        <f t="shared" si="71"/>
        <v>18</v>
      </c>
      <c r="AC588" s="321">
        <f t="shared" si="71"/>
        <v>8</v>
      </c>
      <c r="AD588" s="321"/>
      <c r="AE588" s="321">
        <f t="shared" si="71"/>
        <v>13377507.157093644</v>
      </c>
      <c r="AF588" s="321">
        <f t="shared" si="71"/>
        <v>0</v>
      </c>
      <c r="AG588" s="321">
        <f t="shared" si="71"/>
        <v>1243665.0856263204</v>
      </c>
      <c r="AH588" s="321">
        <f t="shared" si="71"/>
        <v>379887.12563212984</v>
      </c>
      <c r="AI588" s="321">
        <f t="shared" si="71"/>
        <v>15001059.368352095</v>
      </c>
      <c r="AJ588" s="321"/>
      <c r="AK588" s="321">
        <f t="shared" si="71"/>
        <v>1635270.6230038407</v>
      </c>
      <c r="AL588" s="321">
        <f t="shared" si="71"/>
        <v>0</v>
      </c>
      <c r="AM588" s="321">
        <f t="shared" si="71"/>
        <v>779080.8600000001</v>
      </c>
      <c r="AN588" s="321">
        <f t="shared" si="71"/>
        <v>382134.33653846156</v>
      </c>
      <c r="AO588" s="321">
        <f t="shared" si="71"/>
        <v>2796485.8195423023</v>
      </c>
      <c r="AP588" s="321">
        <f t="shared" si="71"/>
        <v>12204573.548809791</v>
      </c>
    </row>
    <row r="589" spans="1:42" x14ac:dyDescent="0.25">
      <c r="A589" s="311" t="s">
        <v>1808</v>
      </c>
      <c r="D589" s="311" t="s">
        <v>1808</v>
      </c>
      <c r="M589" s="314">
        <f>SUM(M324:M588)</f>
        <v>2846.7489999999993</v>
      </c>
      <c r="N589" s="314">
        <f t="shared" ref="N589:U589" si="72">SUM(N324:N588)</f>
        <v>394.95899999999989</v>
      </c>
      <c r="O589" s="314">
        <f t="shared" si="72"/>
        <v>2001.2550000000008</v>
      </c>
      <c r="P589" s="314">
        <f t="shared" si="72"/>
        <v>411.93000000000006</v>
      </c>
      <c r="Q589" s="314">
        <f t="shared" si="72"/>
        <v>38.599999999999994</v>
      </c>
      <c r="R589" s="314">
        <f t="shared" si="72"/>
        <v>3786</v>
      </c>
      <c r="S589" s="314">
        <f t="shared" si="72"/>
        <v>15777</v>
      </c>
      <c r="T589" s="314">
        <f t="shared" si="72"/>
        <v>1238</v>
      </c>
      <c r="U589" s="314">
        <f t="shared" si="72"/>
        <v>5</v>
      </c>
      <c r="V589" s="314"/>
      <c r="W589" s="314">
        <f t="shared" ref="W589" si="73">SUM(W324:W588)</f>
        <v>2846.7489999999993</v>
      </c>
      <c r="X589" s="314">
        <f t="shared" ref="X589" si="74">SUM(X324:X588)</f>
        <v>394.95899999999989</v>
      </c>
      <c r="Y589" s="314">
        <f t="shared" ref="Y589" si="75">SUM(Y324:Y588)</f>
        <v>2001.2550000000008</v>
      </c>
      <c r="Z589" s="314">
        <f t="shared" ref="Z589" si="76">SUM(Z324:Z588)</f>
        <v>411.93000000000006</v>
      </c>
      <c r="AA589" s="314">
        <f t="shared" ref="AA589" si="77">SUM(AA324:AA588)</f>
        <v>38.599999999999994</v>
      </c>
      <c r="AB589" s="314">
        <f t="shared" ref="AB589" si="78">SUM(AB324:AB588)</f>
        <v>3786</v>
      </c>
      <c r="AC589" s="314">
        <f t="shared" ref="AC589" si="79">SUM(AC324:AC588)</f>
        <v>1238</v>
      </c>
      <c r="AD589" s="314"/>
      <c r="AE589" s="314">
        <f t="shared" ref="AE589" si="80">SUM(AE324:AE588)</f>
        <v>1592983805.2926979</v>
      </c>
      <c r="AF589" s="314">
        <f t="shared" ref="AF589" si="81">SUM(AF324:AF588)</f>
        <v>339412615.33861691</v>
      </c>
      <c r="AG589" s="314">
        <f t="shared" ref="AG589" si="82">SUM(AG324:AG588)</f>
        <v>394793425.50838208</v>
      </c>
      <c r="AH589" s="314">
        <f t="shared" ref="AH589" si="83">SUM(AH324:AH588)</f>
        <v>230253040.33612689</v>
      </c>
      <c r="AI589" s="314">
        <f t="shared" ref="AI589" si="84">SUM(AI324:AI588)</f>
        <v>2557442886.4758205</v>
      </c>
      <c r="AJ589" s="314"/>
      <c r="AK589" s="314">
        <f t="shared" ref="AK589" si="85">SUM(AK324:AK588)</f>
        <v>454074944.72034585</v>
      </c>
      <c r="AL589" s="314">
        <f t="shared" ref="AL589" si="86">SUM(AL324:AL588)</f>
        <v>87562721.466243267</v>
      </c>
      <c r="AM589" s="314">
        <f t="shared" ref="AM589:AN589" si="87">SUM(AM324:AM588)</f>
        <v>242060965.06639507</v>
      </c>
      <c r="AN589" s="314">
        <f t="shared" si="87"/>
        <v>166358291.62891766</v>
      </c>
      <c r="AO589" s="314">
        <f t="shared" ref="AO589" si="88">SUM(AO324:AO588)</f>
        <v>950056922.88190186</v>
      </c>
      <c r="AP589" s="314">
        <f t="shared" ref="AP589" si="89">SUM(AP324:AP588)</f>
        <v>1607385963.5939202</v>
      </c>
    </row>
    <row r="590" spans="1:42" x14ac:dyDescent="0.25">
      <c r="M590" s="314">
        <f>M589-M319</f>
        <v>0</v>
      </c>
      <c r="N590" s="314">
        <f t="shared" ref="N590:U590" si="90">N589-N319</f>
        <v>0</v>
      </c>
      <c r="O590" s="314">
        <f t="shared" si="90"/>
        <v>0</v>
      </c>
      <c r="P590" s="314">
        <f t="shared" si="90"/>
        <v>0</v>
      </c>
      <c r="Q590" s="314">
        <f t="shared" si="90"/>
        <v>0</v>
      </c>
      <c r="R590" s="314">
        <f t="shared" si="90"/>
        <v>0</v>
      </c>
      <c r="S590" s="314">
        <f t="shared" si="90"/>
        <v>0</v>
      </c>
      <c r="T590" s="314">
        <f t="shared" si="90"/>
        <v>0</v>
      </c>
      <c r="U590" s="314">
        <f t="shared" si="90"/>
        <v>0</v>
      </c>
      <c r="V590" s="314"/>
      <c r="W590" s="314">
        <f t="shared" ref="W590" si="91">W589-W319</f>
        <v>0</v>
      </c>
      <c r="X590" s="314">
        <f t="shared" ref="X590" si="92">X589-X319</f>
        <v>0</v>
      </c>
      <c r="Y590" s="314">
        <f t="shared" ref="Y590" si="93">Y589-Y319</f>
        <v>0</v>
      </c>
      <c r="Z590" s="314">
        <f t="shared" ref="Z590" si="94">Z589-Z319</f>
        <v>0</v>
      </c>
      <c r="AA590" s="314">
        <f t="shared" ref="AA590" si="95">AA589-AA319</f>
        <v>0</v>
      </c>
      <c r="AB590" s="314">
        <f t="shared" ref="AB590" si="96">AB589-AB319</f>
        <v>0</v>
      </c>
      <c r="AC590" s="314">
        <f t="shared" ref="AC590" si="97">AC589-AC319</f>
        <v>0</v>
      </c>
      <c r="AD590" s="314"/>
      <c r="AE590" s="314">
        <f t="shared" ref="AE590" si="98">AE589-AE319</f>
        <v>0</v>
      </c>
      <c r="AF590" s="314">
        <f t="shared" ref="AF590" si="99">AF589-AF319</f>
        <v>0</v>
      </c>
      <c r="AG590" s="314">
        <f t="shared" ref="AG590" si="100">AG589-AG319</f>
        <v>0</v>
      </c>
      <c r="AH590" s="314">
        <f t="shared" ref="AH590" si="101">AH589-AH319</f>
        <v>0</v>
      </c>
      <c r="AI590" s="314">
        <f t="shared" ref="AI590" si="102">AI589-AI319</f>
        <v>0</v>
      </c>
      <c r="AJ590" s="314"/>
      <c r="AK590" s="314">
        <f t="shared" ref="AK590" si="103">AK589-AK319</f>
        <v>0</v>
      </c>
      <c r="AL590" s="314">
        <f t="shared" ref="AL590" si="104">AL589-AL319</f>
        <v>0</v>
      </c>
      <c r="AM590" s="314">
        <f t="shared" ref="AM590:AN590" si="105">AM589-AM319</f>
        <v>0</v>
      </c>
      <c r="AN590" s="314">
        <f t="shared" si="105"/>
        <v>0</v>
      </c>
      <c r="AO590" s="314">
        <f t="shared" ref="AO590" si="106">AO589-AO319</f>
        <v>0</v>
      </c>
      <c r="AP590" s="314">
        <f t="shared" ref="AP590" si="107">AP589-AP319</f>
        <v>0</v>
      </c>
    </row>
  </sheetData>
  <sortState ref="A4:AP318">
    <sortCondition ref="B4:B318"/>
  </sortState>
  <conditionalFormatting sqref="E2:AD2">
    <cfRule type="cellIs" dxfId="10" priority="11" operator="equal">
      <formula>"Změna"</formula>
    </cfRule>
  </conditionalFormatting>
  <conditionalFormatting sqref="L319:L320 L323:L588">
    <cfRule type="cellIs" dxfId="9" priority="15" operator="lessThan">
      <formula>0</formula>
    </cfRule>
    <cfRule type="cellIs" dxfId="8" priority="16" operator="greaterThan">
      <formula>0</formula>
    </cfRule>
  </conditionalFormatting>
  <conditionalFormatting sqref="O4:O318 S4:S318">
    <cfRule type="cellIs" dxfId="7" priority="7" operator="lessThan">
      <formula>0</formula>
    </cfRule>
    <cfRule type="cellIs" dxfId="6" priority="8" operator="greaterThan">
      <formula>0</formula>
    </cfRule>
  </conditionalFormatting>
  <conditionalFormatting sqref="W3:AC318">
    <cfRule type="cellIs" dxfId="5" priority="6" operator="equal">
      <formula>0</formula>
    </cfRule>
  </conditionalFormatting>
  <conditionalFormatting sqref="D2">
    <cfRule type="cellIs" dxfId="4" priority="3" operator="equal">
      <formula>"Změna"</formula>
    </cfRule>
  </conditionalFormatting>
  <conditionalFormatting sqref="A2">
    <cfRule type="cellIs" dxfId="3" priority="2" operator="equal">
      <formula>"Změna"</formula>
    </cfRule>
  </conditionalFormatting>
  <conditionalFormatting sqref="W322:AC322">
    <cfRule type="cellIs" dxfId="2" priority="1" operator="equal">
      <formula>0</formula>
    </cfRule>
  </conditionalFormatting>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7"/>
  <sheetViews>
    <sheetView topLeftCell="A256" workbookViewId="0">
      <selection activeCell="E256" sqref="E256"/>
    </sheetView>
  </sheetViews>
  <sheetFormatPr defaultRowHeight="15" x14ac:dyDescent="0.25"/>
  <cols>
    <col min="11" max="11" width="11.28515625" customWidth="1"/>
  </cols>
  <sheetData>
    <row r="1" spans="1:11" ht="45.75" thickBot="1" x14ac:dyDescent="0.3">
      <c r="A1" s="135" t="s">
        <v>1039</v>
      </c>
      <c r="B1" s="136" t="s">
        <v>1040</v>
      </c>
      <c r="C1" s="137" t="s">
        <v>40</v>
      </c>
      <c r="D1" s="138" t="s">
        <v>1507</v>
      </c>
      <c r="E1" s="139" t="s">
        <v>1508</v>
      </c>
      <c r="F1" s="140" t="s">
        <v>1509</v>
      </c>
      <c r="G1" s="140" t="s">
        <v>1510</v>
      </c>
      <c r="H1" s="140" t="s">
        <v>1511</v>
      </c>
      <c r="I1" s="141" t="s">
        <v>1512</v>
      </c>
      <c r="J1" s="141" t="s">
        <v>1513</v>
      </c>
    </row>
    <row r="2" spans="1:11" ht="75" x14ac:dyDescent="0.25">
      <c r="A2" s="142">
        <v>1665958</v>
      </c>
      <c r="B2" s="143" t="s">
        <v>470</v>
      </c>
      <c r="C2" s="144" t="s">
        <v>470</v>
      </c>
      <c r="D2" s="145" t="s">
        <v>1316</v>
      </c>
      <c r="E2" s="146">
        <v>7348000</v>
      </c>
      <c r="F2" s="147">
        <v>6551100</v>
      </c>
      <c r="G2" s="147">
        <v>727900</v>
      </c>
      <c r="H2" s="147">
        <v>69000</v>
      </c>
      <c r="I2" s="148">
        <v>7348000</v>
      </c>
      <c r="J2" s="148"/>
      <c r="K2" s="314">
        <f>I2+J2</f>
        <v>7348000</v>
      </c>
    </row>
    <row r="3" spans="1:11" ht="120" x14ac:dyDescent="0.25">
      <c r="A3" s="149">
        <v>8982230</v>
      </c>
      <c r="B3" s="150" t="s">
        <v>959</v>
      </c>
      <c r="C3" s="151" t="s">
        <v>959</v>
      </c>
      <c r="D3" s="152" t="s">
        <v>1316</v>
      </c>
      <c r="E3" s="153">
        <v>6200000</v>
      </c>
      <c r="F3" s="154">
        <v>5409000</v>
      </c>
      <c r="G3" s="154">
        <v>601000</v>
      </c>
      <c r="H3" s="154">
        <v>190000</v>
      </c>
      <c r="I3" s="155">
        <v>6200000</v>
      </c>
      <c r="J3" s="155"/>
      <c r="K3" s="314">
        <f t="shared" ref="K3:K66" si="0">I3+J3</f>
        <v>6200000</v>
      </c>
    </row>
    <row r="4" spans="1:11" ht="75" x14ac:dyDescent="0.25">
      <c r="A4" s="149">
        <v>3135426</v>
      </c>
      <c r="B4" s="150" t="s">
        <v>1007</v>
      </c>
      <c r="C4" s="151" t="s">
        <v>1007</v>
      </c>
      <c r="D4" s="152" t="s">
        <v>1316</v>
      </c>
      <c r="E4" s="153">
        <v>7900000</v>
      </c>
      <c r="F4" s="154">
        <v>6952500</v>
      </c>
      <c r="G4" s="154">
        <v>772500</v>
      </c>
      <c r="H4" s="154">
        <v>175000</v>
      </c>
      <c r="I4" s="155">
        <v>7900000</v>
      </c>
      <c r="J4" s="155"/>
      <c r="K4" s="314">
        <f t="shared" si="0"/>
        <v>7900000</v>
      </c>
    </row>
    <row r="5" spans="1:11" ht="60" x14ac:dyDescent="0.25">
      <c r="A5" s="149">
        <v>6152074</v>
      </c>
      <c r="B5" s="150" t="s">
        <v>1145</v>
      </c>
      <c r="C5" s="151" t="s">
        <v>226</v>
      </c>
      <c r="D5" s="152" t="s">
        <v>1124</v>
      </c>
      <c r="E5" s="153">
        <v>3989500</v>
      </c>
      <c r="F5" s="154">
        <v>3082780</v>
      </c>
      <c r="G5" s="154">
        <v>38530</v>
      </c>
      <c r="H5" s="154">
        <v>363290</v>
      </c>
      <c r="I5" s="155">
        <v>3484600</v>
      </c>
      <c r="J5" s="155"/>
      <c r="K5" s="314">
        <f t="shared" si="0"/>
        <v>3484600</v>
      </c>
    </row>
    <row r="6" spans="1:11" ht="60" x14ac:dyDescent="0.25">
      <c r="A6" s="149">
        <v>3673053</v>
      </c>
      <c r="B6" s="150" t="s">
        <v>1145</v>
      </c>
      <c r="C6" s="151" t="s">
        <v>219</v>
      </c>
      <c r="D6" s="152" t="s">
        <v>1282</v>
      </c>
      <c r="E6" s="153">
        <v>10694000</v>
      </c>
      <c r="F6" s="154">
        <v>7883460</v>
      </c>
      <c r="G6" s="154">
        <v>628000</v>
      </c>
      <c r="H6" s="154">
        <v>386890</v>
      </c>
      <c r="I6" s="155">
        <v>8898350</v>
      </c>
      <c r="J6" s="155"/>
      <c r="K6" s="314">
        <f t="shared" si="0"/>
        <v>8898350</v>
      </c>
    </row>
    <row r="7" spans="1:11" ht="75" x14ac:dyDescent="0.25">
      <c r="A7" s="149">
        <v>7365832</v>
      </c>
      <c r="B7" s="150" t="s">
        <v>1145</v>
      </c>
      <c r="C7" s="151" t="s">
        <v>231</v>
      </c>
      <c r="D7" s="152" t="s">
        <v>1451</v>
      </c>
      <c r="E7" s="153">
        <v>851000</v>
      </c>
      <c r="F7" s="154">
        <v>851000</v>
      </c>
      <c r="G7" s="154">
        <v>0</v>
      </c>
      <c r="H7" s="154">
        <v>0</v>
      </c>
      <c r="I7" s="155">
        <v>851000</v>
      </c>
      <c r="J7" s="155"/>
      <c r="K7" s="314">
        <f t="shared" si="0"/>
        <v>851000</v>
      </c>
    </row>
    <row r="8" spans="1:11" ht="60" x14ac:dyDescent="0.25">
      <c r="A8" s="149">
        <v>9767213</v>
      </c>
      <c r="B8" s="150" t="s">
        <v>1145</v>
      </c>
      <c r="C8" s="151" t="s">
        <v>236</v>
      </c>
      <c r="D8" s="152" t="s">
        <v>1472</v>
      </c>
      <c r="E8" s="153">
        <v>2077000</v>
      </c>
      <c r="F8" s="154">
        <v>1347350</v>
      </c>
      <c r="G8" s="154">
        <v>274090</v>
      </c>
      <c r="H8" s="154">
        <v>0</v>
      </c>
      <c r="I8" s="155">
        <v>1621440</v>
      </c>
      <c r="J8" s="155"/>
      <c r="K8" s="314">
        <f t="shared" si="0"/>
        <v>1621440</v>
      </c>
    </row>
    <row r="9" spans="1:11" ht="60" x14ac:dyDescent="0.25">
      <c r="A9" s="149">
        <v>4885366</v>
      </c>
      <c r="B9" s="150" t="s">
        <v>240</v>
      </c>
      <c r="C9" s="151" t="s">
        <v>1488</v>
      </c>
      <c r="D9" s="152" t="s">
        <v>1472</v>
      </c>
      <c r="E9" s="153">
        <v>1507826</v>
      </c>
      <c r="F9" s="154">
        <v>1163160</v>
      </c>
      <c r="G9" s="154">
        <v>254330</v>
      </c>
      <c r="H9" s="154">
        <v>0</v>
      </c>
      <c r="I9" s="155">
        <v>1417490</v>
      </c>
      <c r="J9" s="155"/>
      <c r="K9" s="314">
        <f t="shared" si="0"/>
        <v>1417490</v>
      </c>
    </row>
    <row r="10" spans="1:11" ht="60" x14ac:dyDescent="0.25">
      <c r="A10" s="149">
        <v>1758706</v>
      </c>
      <c r="B10" s="150" t="s">
        <v>249</v>
      </c>
      <c r="C10" s="151" t="s">
        <v>1465</v>
      </c>
      <c r="D10" s="152" t="s">
        <v>1459</v>
      </c>
      <c r="E10" s="153">
        <v>3115096</v>
      </c>
      <c r="F10" s="154">
        <v>2571470</v>
      </c>
      <c r="G10" s="154">
        <v>536960</v>
      </c>
      <c r="H10" s="154">
        <v>0</v>
      </c>
      <c r="I10" s="155">
        <v>3108430</v>
      </c>
      <c r="J10" s="155"/>
      <c r="K10" s="314">
        <f t="shared" si="0"/>
        <v>3108430</v>
      </c>
    </row>
    <row r="11" spans="1:11" ht="45" x14ac:dyDescent="0.25">
      <c r="A11" s="149">
        <v>3346325</v>
      </c>
      <c r="B11" s="150" t="s">
        <v>1373</v>
      </c>
      <c r="C11" s="151" t="s">
        <v>1373</v>
      </c>
      <c r="D11" s="152" t="s">
        <v>1366</v>
      </c>
      <c r="E11" s="153">
        <v>3980900</v>
      </c>
      <c r="F11" s="154">
        <v>3342350</v>
      </c>
      <c r="G11" s="154">
        <v>257620</v>
      </c>
      <c r="H11" s="154">
        <v>0</v>
      </c>
      <c r="I11" s="155">
        <v>3599970</v>
      </c>
      <c r="J11" s="155"/>
      <c r="K11" s="314">
        <f t="shared" si="0"/>
        <v>3599970</v>
      </c>
    </row>
    <row r="12" spans="1:11" ht="60" x14ac:dyDescent="0.25">
      <c r="A12" s="149">
        <v>2039109</v>
      </c>
      <c r="B12" s="150" t="s">
        <v>281</v>
      </c>
      <c r="C12" s="151" t="s">
        <v>1130</v>
      </c>
      <c r="D12" s="152" t="s">
        <v>1124</v>
      </c>
      <c r="E12" s="153">
        <v>3535000</v>
      </c>
      <c r="F12" s="154">
        <v>3106890</v>
      </c>
      <c r="G12" s="154">
        <v>345210</v>
      </c>
      <c r="H12" s="154">
        <v>0</v>
      </c>
      <c r="I12" s="155">
        <v>3452100</v>
      </c>
      <c r="J12" s="155"/>
      <c r="K12" s="314">
        <f t="shared" si="0"/>
        <v>3452100</v>
      </c>
    </row>
    <row r="13" spans="1:11" ht="60.75" thickBot="1" x14ac:dyDescent="0.3">
      <c r="A13" s="156">
        <v>5020855</v>
      </c>
      <c r="B13" s="157" t="s">
        <v>281</v>
      </c>
      <c r="C13" s="158" t="s">
        <v>1130</v>
      </c>
      <c r="D13" s="159" t="s">
        <v>1273</v>
      </c>
      <c r="E13" s="160">
        <v>4935000</v>
      </c>
      <c r="F13" s="161">
        <v>4496350</v>
      </c>
      <c r="G13" s="161">
        <v>388650</v>
      </c>
      <c r="H13" s="161">
        <v>50000</v>
      </c>
      <c r="I13" s="162">
        <v>4935000</v>
      </c>
      <c r="J13" s="162"/>
      <c r="K13" s="314">
        <f t="shared" si="0"/>
        <v>4935000</v>
      </c>
    </row>
    <row r="14" spans="1:11" ht="180" x14ac:dyDescent="0.25">
      <c r="A14" s="142">
        <v>6565086</v>
      </c>
      <c r="B14" s="143" t="s">
        <v>290</v>
      </c>
      <c r="C14" s="144" t="s">
        <v>294</v>
      </c>
      <c r="D14" s="145" t="s">
        <v>1055</v>
      </c>
      <c r="E14" s="146">
        <v>3938706</v>
      </c>
      <c r="F14" s="147">
        <v>3594510</v>
      </c>
      <c r="G14" s="147">
        <v>344196</v>
      </c>
      <c r="H14" s="147">
        <v>0</v>
      </c>
      <c r="I14" s="148">
        <v>3938706</v>
      </c>
      <c r="J14" s="155"/>
      <c r="K14" s="314">
        <f t="shared" si="0"/>
        <v>3938706</v>
      </c>
    </row>
    <row r="15" spans="1:11" ht="180" x14ac:dyDescent="0.25">
      <c r="A15" s="149">
        <v>6630553</v>
      </c>
      <c r="B15" s="150" t="s">
        <v>290</v>
      </c>
      <c r="C15" s="151" t="s">
        <v>294</v>
      </c>
      <c r="D15" s="152" t="s">
        <v>1447</v>
      </c>
      <c r="E15" s="153">
        <v>2208380</v>
      </c>
      <c r="F15" s="154">
        <v>2107670</v>
      </c>
      <c r="G15" s="154">
        <v>100710</v>
      </c>
      <c r="H15" s="154">
        <v>0</v>
      </c>
      <c r="I15" s="155">
        <v>2208380</v>
      </c>
      <c r="J15" s="155"/>
      <c r="K15" s="314">
        <f t="shared" si="0"/>
        <v>2208380</v>
      </c>
    </row>
    <row r="16" spans="1:11" ht="75" x14ac:dyDescent="0.25">
      <c r="A16" s="149">
        <v>8615860</v>
      </c>
      <c r="B16" s="150" t="s">
        <v>306</v>
      </c>
      <c r="C16" s="151" t="s">
        <v>931</v>
      </c>
      <c r="D16" s="152" t="s">
        <v>1055</v>
      </c>
      <c r="E16" s="153">
        <v>2515000</v>
      </c>
      <c r="F16" s="154">
        <v>1083740</v>
      </c>
      <c r="G16" s="154">
        <v>120420</v>
      </c>
      <c r="H16" s="154">
        <v>168107</v>
      </c>
      <c r="I16" s="155">
        <v>1372267</v>
      </c>
      <c r="J16" s="155"/>
      <c r="K16" s="314">
        <f t="shared" si="0"/>
        <v>1372267</v>
      </c>
    </row>
    <row r="17" spans="1:11" ht="105" x14ac:dyDescent="0.25">
      <c r="A17" s="149">
        <v>6191102</v>
      </c>
      <c r="B17" s="150" t="s">
        <v>312</v>
      </c>
      <c r="C17" s="151" t="s">
        <v>1095</v>
      </c>
      <c r="D17" s="152" t="s">
        <v>1514</v>
      </c>
      <c r="E17" s="153">
        <v>598000</v>
      </c>
      <c r="F17" s="154">
        <v>474300</v>
      </c>
      <c r="G17" s="154">
        <v>52700</v>
      </c>
      <c r="H17" s="154">
        <v>0</v>
      </c>
      <c r="I17" s="155">
        <v>527000</v>
      </c>
      <c r="J17" s="155"/>
      <c r="K17" s="314">
        <f t="shared" si="0"/>
        <v>527000</v>
      </c>
    </row>
    <row r="18" spans="1:11" ht="105" x14ac:dyDescent="0.25">
      <c r="A18" s="149">
        <v>4309907</v>
      </c>
      <c r="B18" s="150" t="s">
        <v>312</v>
      </c>
      <c r="C18" s="151" t="s">
        <v>314</v>
      </c>
      <c r="D18" s="152" t="s">
        <v>1514</v>
      </c>
      <c r="E18" s="153">
        <v>1903000</v>
      </c>
      <c r="F18" s="154">
        <v>1612910</v>
      </c>
      <c r="G18" s="154">
        <v>180210</v>
      </c>
      <c r="H18" s="154">
        <v>109880</v>
      </c>
      <c r="I18" s="155">
        <v>1903000</v>
      </c>
      <c r="J18" s="155"/>
      <c r="K18" s="314">
        <f t="shared" si="0"/>
        <v>1903000</v>
      </c>
    </row>
    <row r="19" spans="1:11" ht="105" x14ac:dyDescent="0.25">
      <c r="A19" s="149">
        <v>9684449</v>
      </c>
      <c r="B19" s="150" t="s">
        <v>312</v>
      </c>
      <c r="C19" s="151" t="s">
        <v>327</v>
      </c>
      <c r="D19" s="152" t="s">
        <v>1514</v>
      </c>
      <c r="E19" s="153">
        <v>1007150</v>
      </c>
      <c r="F19" s="154">
        <v>894780</v>
      </c>
      <c r="G19" s="154">
        <v>96420</v>
      </c>
      <c r="H19" s="154">
        <v>0</v>
      </c>
      <c r="I19" s="155">
        <v>991200</v>
      </c>
      <c r="J19" s="155"/>
      <c r="K19" s="314">
        <f t="shared" si="0"/>
        <v>991200</v>
      </c>
    </row>
    <row r="20" spans="1:11" ht="105" x14ac:dyDescent="0.25">
      <c r="A20" s="149">
        <v>5792625</v>
      </c>
      <c r="B20" s="150" t="s">
        <v>312</v>
      </c>
      <c r="C20" s="151" t="s">
        <v>318</v>
      </c>
      <c r="D20" s="152" t="s">
        <v>1514</v>
      </c>
      <c r="E20" s="153">
        <v>1487500</v>
      </c>
      <c r="F20" s="154">
        <v>1340350</v>
      </c>
      <c r="G20" s="154">
        <v>147150</v>
      </c>
      <c r="H20" s="154">
        <v>0</v>
      </c>
      <c r="I20" s="155">
        <v>1487500</v>
      </c>
      <c r="J20" s="155"/>
      <c r="K20" s="314">
        <f t="shared" si="0"/>
        <v>1487500</v>
      </c>
    </row>
    <row r="21" spans="1:11" ht="75" x14ac:dyDescent="0.25">
      <c r="A21" s="149">
        <v>9735411</v>
      </c>
      <c r="B21" s="150" t="s">
        <v>312</v>
      </c>
      <c r="C21" s="151" t="s">
        <v>386</v>
      </c>
      <c r="D21" s="152" t="s">
        <v>1155</v>
      </c>
      <c r="E21" s="153">
        <v>9165000</v>
      </c>
      <c r="F21" s="154">
        <v>8740620</v>
      </c>
      <c r="G21" s="154">
        <v>0</v>
      </c>
      <c r="H21" s="154">
        <v>424380</v>
      </c>
      <c r="I21" s="155">
        <v>9165000</v>
      </c>
      <c r="J21" s="155"/>
      <c r="K21" s="314">
        <f t="shared" si="0"/>
        <v>9165000</v>
      </c>
    </row>
    <row r="22" spans="1:11" ht="75" x14ac:dyDescent="0.25">
      <c r="A22" s="149">
        <v>7268793</v>
      </c>
      <c r="B22" s="150" t="s">
        <v>312</v>
      </c>
      <c r="C22" s="151" t="s">
        <v>1299</v>
      </c>
      <c r="D22" s="152" t="s">
        <v>1282</v>
      </c>
      <c r="E22" s="153">
        <v>1794000</v>
      </c>
      <c r="F22" s="154">
        <v>1683000</v>
      </c>
      <c r="G22" s="154">
        <v>21000</v>
      </c>
      <c r="H22" s="154">
        <v>90000</v>
      </c>
      <c r="I22" s="155">
        <v>1794000</v>
      </c>
      <c r="J22" s="155"/>
      <c r="K22" s="314">
        <f t="shared" si="0"/>
        <v>1794000</v>
      </c>
    </row>
    <row r="23" spans="1:11" ht="60" x14ac:dyDescent="0.25">
      <c r="A23" s="149">
        <v>2333254</v>
      </c>
      <c r="B23" s="150" t="s">
        <v>353</v>
      </c>
      <c r="C23" s="151" t="s">
        <v>1287</v>
      </c>
      <c r="D23" s="152" t="s">
        <v>1282</v>
      </c>
      <c r="E23" s="153">
        <v>1627300</v>
      </c>
      <c r="F23" s="154">
        <v>1215080</v>
      </c>
      <c r="G23" s="154">
        <v>94810</v>
      </c>
      <c r="H23" s="154">
        <v>0</v>
      </c>
      <c r="I23" s="155">
        <v>1309890</v>
      </c>
      <c r="J23" s="155"/>
      <c r="K23" s="314">
        <f t="shared" si="0"/>
        <v>1309890</v>
      </c>
    </row>
    <row r="24" spans="1:11" ht="120" x14ac:dyDescent="0.25">
      <c r="A24" s="149">
        <v>9223411</v>
      </c>
      <c r="B24" s="150" t="s">
        <v>358</v>
      </c>
      <c r="C24" s="151" t="s">
        <v>358</v>
      </c>
      <c r="D24" s="152" t="s">
        <v>1250</v>
      </c>
      <c r="E24" s="153">
        <v>1635000</v>
      </c>
      <c r="F24" s="154">
        <v>1400400</v>
      </c>
      <c r="G24" s="154">
        <v>155600</v>
      </c>
      <c r="H24" s="154">
        <v>79000</v>
      </c>
      <c r="I24" s="155">
        <v>1635000</v>
      </c>
      <c r="J24" s="155"/>
      <c r="K24" s="314">
        <f t="shared" si="0"/>
        <v>1635000</v>
      </c>
    </row>
    <row r="25" spans="1:11" ht="120" x14ac:dyDescent="0.25">
      <c r="A25" s="149">
        <v>9264829</v>
      </c>
      <c r="B25" s="150" t="s">
        <v>358</v>
      </c>
      <c r="C25" s="151" t="s">
        <v>358</v>
      </c>
      <c r="D25" s="152" t="s">
        <v>1311</v>
      </c>
      <c r="E25" s="153">
        <v>6656000</v>
      </c>
      <c r="F25" s="154">
        <v>5987000</v>
      </c>
      <c r="G25" s="154">
        <v>597000</v>
      </c>
      <c r="H25" s="154">
        <v>72000</v>
      </c>
      <c r="I25" s="155">
        <v>6656000</v>
      </c>
      <c r="J25" s="155"/>
      <c r="K25" s="314">
        <f t="shared" si="0"/>
        <v>6656000</v>
      </c>
    </row>
    <row r="26" spans="1:11" ht="105" x14ac:dyDescent="0.25">
      <c r="A26" s="149">
        <v>8946698</v>
      </c>
      <c r="B26" s="150" t="s">
        <v>367</v>
      </c>
      <c r="C26" s="151" t="s">
        <v>372</v>
      </c>
      <c r="D26" s="152" t="s">
        <v>1427</v>
      </c>
      <c r="E26" s="153">
        <v>2940572</v>
      </c>
      <c r="F26" s="154">
        <v>2359130</v>
      </c>
      <c r="G26" s="154">
        <v>384980</v>
      </c>
      <c r="H26" s="154">
        <v>0</v>
      </c>
      <c r="I26" s="155">
        <v>2744110</v>
      </c>
      <c r="J26" s="155"/>
      <c r="K26" s="314">
        <f t="shared" si="0"/>
        <v>2744110</v>
      </c>
    </row>
    <row r="27" spans="1:11" ht="75" x14ac:dyDescent="0.25">
      <c r="A27" s="149">
        <v>1806042</v>
      </c>
      <c r="B27" s="150" t="s">
        <v>375</v>
      </c>
      <c r="C27" s="151" t="s">
        <v>225</v>
      </c>
      <c r="D27" s="152" t="s">
        <v>1124</v>
      </c>
      <c r="E27" s="153">
        <v>3463457</v>
      </c>
      <c r="F27" s="154">
        <v>2527550</v>
      </c>
      <c r="G27" s="154">
        <v>280840</v>
      </c>
      <c r="H27" s="154">
        <v>109550</v>
      </c>
      <c r="I27" s="155">
        <v>2917940</v>
      </c>
      <c r="J27" s="155"/>
      <c r="K27" s="314">
        <f t="shared" si="0"/>
        <v>2917940</v>
      </c>
    </row>
    <row r="28" spans="1:11" ht="75" x14ac:dyDescent="0.25">
      <c r="A28" s="149">
        <v>8090757</v>
      </c>
      <c r="B28" s="150" t="s">
        <v>375</v>
      </c>
      <c r="C28" s="151" t="s">
        <v>287</v>
      </c>
      <c r="D28" s="152" t="s">
        <v>1273</v>
      </c>
      <c r="E28" s="153">
        <v>2065000</v>
      </c>
      <c r="F28" s="154">
        <v>1673550</v>
      </c>
      <c r="G28" s="154">
        <v>185950</v>
      </c>
      <c r="H28" s="154">
        <v>0</v>
      </c>
      <c r="I28" s="155">
        <v>1859500</v>
      </c>
      <c r="J28" s="155"/>
      <c r="K28" s="314">
        <f t="shared" si="0"/>
        <v>1859500</v>
      </c>
    </row>
    <row r="29" spans="1:11" ht="120" x14ac:dyDescent="0.25">
      <c r="A29" s="149">
        <v>6447139</v>
      </c>
      <c r="B29" s="150" t="s">
        <v>375</v>
      </c>
      <c r="C29" s="151" t="s">
        <v>1375</v>
      </c>
      <c r="D29" s="152" t="s">
        <v>1366</v>
      </c>
      <c r="E29" s="153">
        <v>1917300</v>
      </c>
      <c r="F29" s="154">
        <v>1558110</v>
      </c>
      <c r="G29" s="154">
        <v>153130</v>
      </c>
      <c r="H29" s="154">
        <v>0</v>
      </c>
      <c r="I29" s="155">
        <v>1711240</v>
      </c>
      <c r="J29" s="155"/>
      <c r="K29" s="314">
        <f t="shared" si="0"/>
        <v>1711240</v>
      </c>
    </row>
    <row r="30" spans="1:11" ht="105" x14ac:dyDescent="0.25">
      <c r="A30" s="149">
        <v>1008575</v>
      </c>
      <c r="B30" s="150" t="s">
        <v>384</v>
      </c>
      <c r="C30" s="151" t="s">
        <v>386</v>
      </c>
      <c r="D30" s="152" t="s">
        <v>1155</v>
      </c>
      <c r="E30" s="153">
        <v>3179000</v>
      </c>
      <c r="F30" s="154">
        <v>2788470</v>
      </c>
      <c r="G30" s="154">
        <v>313430</v>
      </c>
      <c r="H30" s="154">
        <v>0</v>
      </c>
      <c r="I30" s="155">
        <v>3101900</v>
      </c>
      <c r="J30" s="155"/>
      <c r="K30" s="314">
        <f t="shared" si="0"/>
        <v>3101900</v>
      </c>
    </row>
    <row r="31" spans="1:11" ht="105" x14ac:dyDescent="0.25">
      <c r="A31" s="149">
        <v>1567065</v>
      </c>
      <c r="B31" s="150" t="s">
        <v>384</v>
      </c>
      <c r="C31" s="151" t="s">
        <v>1283</v>
      </c>
      <c r="D31" s="152" t="s">
        <v>1282</v>
      </c>
      <c r="E31" s="153">
        <v>700000</v>
      </c>
      <c r="F31" s="154">
        <v>544500</v>
      </c>
      <c r="G31" s="154">
        <v>54800</v>
      </c>
      <c r="H31" s="154">
        <v>0</v>
      </c>
      <c r="I31" s="155">
        <v>599300</v>
      </c>
      <c r="J31" s="155">
        <v>100000</v>
      </c>
      <c r="K31" s="314">
        <f t="shared" si="0"/>
        <v>699300</v>
      </c>
    </row>
    <row r="32" spans="1:11" ht="105" x14ac:dyDescent="0.25">
      <c r="A32" s="149">
        <v>7857005</v>
      </c>
      <c r="B32" s="150" t="s">
        <v>384</v>
      </c>
      <c r="C32" s="151" t="s">
        <v>1332</v>
      </c>
      <c r="D32" s="152" t="s">
        <v>1316</v>
      </c>
      <c r="E32" s="153">
        <v>2560000</v>
      </c>
      <c r="F32" s="154">
        <v>2335050</v>
      </c>
      <c r="G32" s="154">
        <v>211650</v>
      </c>
      <c r="H32" s="154">
        <v>0</v>
      </c>
      <c r="I32" s="155">
        <v>2546700</v>
      </c>
      <c r="J32" s="155"/>
      <c r="K32" s="314">
        <f t="shared" si="0"/>
        <v>2546700</v>
      </c>
    </row>
    <row r="33" spans="1:11" ht="105" x14ac:dyDescent="0.25">
      <c r="A33" s="149">
        <v>8936486</v>
      </c>
      <c r="B33" s="150" t="s">
        <v>384</v>
      </c>
      <c r="C33" s="151" t="s">
        <v>1332</v>
      </c>
      <c r="D33" s="152" t="s">
        <v>1336</v>
      </c>
      <c r="E33" s="153">
        <v>2332000</v>
      </c>
      <c r="F33" s="154">
        <v>2047500</v>
      </c>
      <c r="G33" s="154">
        <v>221800</v>
      </c>
      <c r="H33" s="154">
        <v>62700</v>
      </c>
      <c r="I33" s="155">
        <v>2332000</v>
      </c>
      <c r="J33" s="155"/>
      <c r="K33" s="314">
        <f t="shared" si="0"/>
        <v>2332000</v>
      </c>
    </row>
    <row r="34" spans="1:11" ht="75.75" thickBot="1" x14ac:dyDescent="0.3">
      <c r="A34" s="149">
        <v>5646573</v>
      </c>
      <c r="B34" s="150" t="s">
        <v>396</v>
      </c>
      <c r="C34" s="151" t="s">
        <v>398</v>
      </c>
      <c r="D34" s="152" t="s">
        <v>1055</v>
      </c>
      <c r="E34" s="153">
        <v>1207850</v>
      </c>
      <c r="F34" s="154">
        <v>980100</v>
      </c>
      <c r="G34" s="154">
        <v>108900</v>
      </c>
      <c r="H34" s="154">
        <v>0</v>
      </c>
      <c r="I34" s="155">
        <v>1089000</v>
      </c>
      <c r="J34" s="162"/>
      <c r="K34" s="314">
        <f t="shared" si="0"/>
        <v>1089000</v>
      </c>
    </row>
    <row r="35" spans="1:11" ht="105.75" thickBot="1" x14ac:dyDescent="0.3">
      <c r="A35" s="149">
        <v>8382823</v>
      </c>
      <c r="B35" s="150" t="s">
        <v>402</v>
      </c>
      <c r="C35" s="151" t="s">
        <v>1440</v>
      </c>
      <c r="D35" s="152" t="s">
        <v>1427</v>
      </c>
      <c r="E35" s="153">
        <v>1647796</v>
      </c>
      <c r="F35" s="154">
        <v>840360</v>
      </c>
      <c r="G35" s="154">
        <v>183840</v>
      </c>
      <c r="H35" s="154">
        <v>0</v>
      </c>
      <c r="I35" s="155">
        <v>1024200</v>
      </c>
      <c r="J35" s="163"/>
      <c r="K35" s="314">
        <f t="shared" si="0"/>
        <v>1024200</v>
      </c>
    </row>
    <row r="36" spans="1:11" ht="90.75" thickBot="1" x14ac:dyDescent="0.3">
      <c r="A36" s="156">
        <v>2583952</v>
      </c>
      <c r="B36" s="157" t="s">
        <v>1071</v>
      </c>
      <c r="C36" s="158" t="s">
        <v>407</v>
      </c>
      <c r="D36" s="159" t="s">
        <v>1055</v>
      </c>
      <c r="E36" s="160">
        <v>1249492</v>
      </c>
      <c r="F36" s="161">
        <v>1149200</v>
      </c>
      <c r="G36" s="161">
        <v>75292</v>
      </c>
      <c r="H36" s="161">
        <v>0</v>
      </c>
      <c r="I36" s="162">
        <v>1224492</v>
      </c>
      <c r="J36" s="148"/>
      <c r="K36" s="314">
        <f t="shared" si="0"/>
        <v>1224492</v>
      </c>
    </row>
    <row r="37" spans="1:11" ht="90.75" thickBot="1" x14ac:dyDescent="0.3">
      <c r="A37" s="164">
        <v>1494293</v>
      </c>
      <c r="B37" s="165" t="s">
        <v>411</v>
      </c>
      <c r="C37" s="166" t="s">
        <v>413</v>
      </c>
      <c r="D37" s="167" t="s">
        <v>1055</v>
      </c>
      <c r="E37" s="168">
        <v>1027900</v>
      </c>
      <c r="F37" s="169">
        <v>986440</v>
      </c>
      <c r="G37" s="169">
        <v>41460</v>
      </c>
      <c r="H37" s="169">
        <v>0</v>
      </c>
      <c r="I37" s="163">
        <v>1027900</v>
      </c>
      <c r="J37" s="155"/>
      <c r="K37" s="314">
        <f t="shared" si="0"/>
        <v>1027900</v>
      </c>
    </row>
    <row r="38" spans="1:11" ht="60" x14ac:dyDescent="0.25">
      <c r="A38" s="142">
        <v>1905494</v>
      </c>
      <c r="B38" s="143" t="s">
        <v>415</v>
      </c>
      <c r="C38" s="144" t="s">
        <v>415</v>
      </c>
      <c r="D38" s="145" t="s">
        <v>1250</v>
      </c>
      <c r="E38" s="146">
        <v>5245000</v>
      </c>
      <c r="F38" s="147">
        <v>3150720</v>
      </c>
      <c r="G38" s="147">
        <v>353080</v>
      </c>
      <c r="H38" s="147">
        <v>0</v>
      </c>
      <c r="I38" s="148">
        <v>3503800</v>
      </c>
      <c r="J38" s="155"/>
      <c r="K38" s="314">
        <f t="shared" si="0"/>
        <v>3503800</v>
      </c>
    </row>
    <row r="39" spans="1:11" ht="60" x14ac:dyDescent="0.25">
      <c r="A39" s="149">
        <v>8902089</v>
      </c>
      <c r="B39" s="150" t="s">
        <v>550</v>
      </c>
      <c r="C39" s="151" t="s">
        <v>377</v>
      </c>
      <c r="D39" s="152" t="s">
        <v>1124</v>
      </c>
      <c r="E39" s="153">
        <v>2227000</v>
      </c>
      <c r="F39" s="154">
        <v>1872740</v>
      </c>
      <c r="G39" s="154">
        <v>208080</v>
      </c>
      <c r="H39" s="154">
        <v>0</v>
      </c>
      <c r="I39" s="155">
        <v>2080820</v>
      </c>
      <c r="J39" s="155"/>
      <c r="K39" s="314">
        <f t="shared" si="0"/>
        <v>2080820</v>
      </c>
    </row>
    <row r="40" spans="1:11" ht="90" x14ac:dyDescent="0.25">
      <c r="A40" s="149">
        <v>9503685</v>
      </c>
      <c r="B40" s="150" t="s">
        <v>553</v>
      </c>
      <c r="C40" s="151" t="s">
        <v>1115</v>
      </c>
      <c r="D40" s="152" t="s">
        <v>1055</v>
      </c>
      <c r="E40" s="153">
        <v>495000</v>
      </c>
      <c r="F40" s="154">
        <v>376420</v>
      </c>
      <c r="G40" s="154">
        <v>41820</v>
      </c>
      <c r="H40" s="154">
        <v>0</v>
      </c>
      <c r="I40" s="155">
        <v>418240</v>
      </c>
      <c r="J40" s="155"/>
      <c r="K40" s="314">
        <f t="shared" si="0"/>
        <v>418240</v>
      </c>
    </row>
    <row r="41" spans="1:11" ht="105" x14ac:dyDescent="0.25">
      <c r="A41" s="149">
        <v>8289298</v>
      </c>
      <c r="B41" s="150" t="s">
        <v>553</v>
      </c>
      <c r="C41" s="151" t="s">
        <v>1106</v>
      </c>
      <c r="D41" s="152" t="s">
        <v>1055</v>
      </c>
      <c r="E41" s="153">
        <v>1316000</v>
      </c>
      <c r="F41" s="154">
        <v>764950</v>
      </c>
      <c r="G41" s="154">
        <v>26390</v>
      </c>
      <c r="H41" s="154">
        <v>299251</v>
      </c>
      <c r="I41" s="155">
        <v>1090591</v>
      </c>
      <c r="J41" s="155"/>
      <c r="K41" s="314">
        <f t="shared" si="0"/>
        <v>1090591</v>
      </c>
    </row>
    <row r="42" spans="1:11" ht="90" x14ac:dyDescent="0.25">
      <c r="A42" s="149">
        <v>7634996</v>
      </c>
      <c r="B42" s="150" t="s">
        <v>553</v>
      </c>
      <c r="C42" s="151" t="s">
        <v>1104</v>
      </c>
      <c r="D42" s="152" t="s">
        <v>1055</v>
      </c>
      <c r="E42" s="153">
        <v>360000</v>
      </c>
      <c r="F42" s="154">
        <v>247910</v>
      </c>
      <c r="G42" s="154">
        <v>27550</v>
      </c>
      <c r="H42" s="154">
        <v>0</v>
      </c>
      <c r="I42" s="155">
        <v>275460</v>
      </c>
      <c r="J42" s="155"/>
      <c r="K42" s="314">
        <f t="shared" si="0"/>
        <v>275460</v>
      </c>
    </row>
    <row r="43" spans="1:11" ht="90" x14ac:dyDescent="0.25">
      <c r="A43" s="149">
        <v>2392006</v>
      </c>
      <c r="B43" s="150" t="s">
        <v>553</v>
      </c>
      <c r="C43" s="151" t="s">
        <v>377</v>
      </c>
      <c r="D43" s="152" t="s">
        <v>1124</v>
      </c>
      <c r="E43" s="153">
        <v>2175746</v>
      </c>
      <c r="F43" s="154">
        <v>1969000</v>
      </c>
      <c r="G43" s="154">
        <v>206746</v>
      </c>
      <c r="H43" s="154">
        <v>0</v>
      </c>
      <c r="I43" s="155">
        <v>2175746</v>
      </c>
      <c r="J43" s="155"/>
      <c r="K43" s="314">
        <f t="shared" si="0"/>
        <v>2175746</v>
      </c>
    </row>
    <row r="44" spans="1:11" ht="90" x14ac:dyDescent="0.25">
      <c r="A44" s="149">
        <v>8102124</v>
      </c>
      <c r="B44" s="150" t="s">
        <v>553</v>
      </c>
      <c r="C44" s="151" t="s">
        <v>1418</v>
      </c>
      <c r="D44" s="152" t="s">
        <v>1405</v>
      </c>
      <c r="E44" s="153">
        <v>1127000</v>
      </c>
      <c r="F44" s="154">
        <v>771160</v>
      </c>
      <c r="G44" s="154">
        <v>89280</v>
      </c>
      <c r="H44" s="154">
        <v>0</v>
      </c>
      <c r="I44" s="155">
        <v>860440</v>
      </c>
      <c r="J44" s="155"/>
      <c r="K44" s="314">
        <f t="shared" si="0"/>
        <v>860440</v>
      </c>
    </row>
    <row r="45" spans="1:11" ht="120" x14ac:dyDescent="0.25">
      <c r="A45" s="149">
        <v>4526227</v>
      </c>
      <c r="B45" s="150" t="s">
        <v>553</v>
      </c>
      <c r="C45" s="151" t="s">
        <v>1433</v>
      </c>
      <c r="D45" s="152" t="s">
        <v>1427</v>
      </c>
      <c r="E45" s="153">
        <v>1420000</v>
      </c>
      <c r="F45" s="154">
        <v>923260</v>
      </c>
      <c r="G45" s="154">
        <v>127890</v>
      </c>
      <c r="H45" s="154">
        <v>0</v>
      </c>
      <c r="I45" s="155">
        <v>1051150</v>
      </c>
      <c r="J45" s="155"/>
      <c r="K45" s="314">
        <f t="shared" si="0"/>
        <v>1051150</v>
      </c>
    </row>
    <row r="46" spans="1:11" ht="90" x14ac:dyDescent="0.25">
      <c r="A46" s="149">
        <v>7653065</v>
      </c>
      <c r="B46" s="150" t="s">
        <v>553</v>
      </c>
      <c r="C46" s="151" t="s">
        <v>1457</v>
      </c>
      <c r="D46" s="152" t="s">
        <v>1451</v>
      </c>
      <c r="E46" s="153">
        <v>1914000</v>
      </c>
      <c r="F46" s="154">
        <v>1479160</v>
      </c>
      <c r="G46" s="154">
        <v>209530</v>
      </c>
      <c r="H46" s="154">
        <v>0</v>
      </c>
      <c r="I46" s="155">
        <v>1688690</v>
      </c>
      <c r="J46" s="155"/>
      <c r="K46" s="314">
        <f t="shared" si="0"/>
        <v>1688690</v>
      </c>
    </row>
    <row r="47" spans="1:11" ht="75" x14ac:dyDescent="0.25">
      <c r="A47" s="149">
        <v>1441233</v>
      </c>
      <c r="B47" s="150" t="s">
        <v>568</v>
      </c>
      <c r="C47" s="151" t="s">
        <v>1251</v>
      </c>
      <c r="D47" s="152" t="s">
        <v>1250</v>
      </c>
      <c r="E47" s="153">
        <v>3245000</v>
      </c>
      <c r="F47" s="154">
        <v>2487430</v>
      </c>
      <c r="G47" s="154">
        <v>256380</v>
      </c>
      <c r="H47" s="154">
        <v>0</v>
      </c>
      <c r="I47" s="155">
        <v>2743810</v>
      </c>
      <c r="J47" s="155"/>
      <c r="K47" s="314">
        <f t="shared" si="0"/>
        <v>2743810</v>
      </c>
    </row>
    <row r="48" spans="1:11" ht="75" x14ac:dyDescent="0.25">
      <c r="A48" s="149">
        <v>1961902</v>
      </c>
      <c r="B48" s="150" t="s">
        <v>568</v>
      </c>
      <c r="C48" s="151" t="s">
        <v>1251</v>
      </c>
      <c r="D48" s="152" t="s">
        <v>1282</v>
      </c>
      <c r="E48" s="153">
        <v>3304000</v>
      </c>
      <c r="F48" s="154">
        <v>2515190</v>
      </c>
      <c r="G48" s="154">
        <v>259470</v>
      </c>
      <c r="H48" s="154">
        <v>132233</v>
      </c>
      <c r="I48" s="155">
        <v>2906893</v>
      </c>
      <c r="J48" s="155"/>
      <c r="K48" s="314">
        <f t="shared" si="0"/>
        <v>2906893</v>
      </c>
    </row>
    <row r="49" spans="1:11" ht="75" x14ac:dyDescent="0.25">
      <c r="A49" s="149">
        <v>2499134</v>
      </c>
      <c r="B49" s="150" t="s">
        <v>568</v>
      </c>
      <c r="C49" s="151" t="s">
        <v>1251</v>
      </c>
      <c r="D49" s="152" t="s">
        <v>1307</v>
      </c>
      <c r="E49" s="153">
        <v>2897000</v>
      </c>
      <c r="F49" s="154">
        <v>2445320</v>
      </c>
      <c r="G49" s="154">
        <v>251700</v>
      </c>
      <c r="H49" s="154">
        <v>93215</v>
      </c>
      <c r="I49" s="155">
        <v>2790235</v>
      </c>
      <c r="J49" s="155"/>
      <c r="K49" s="314">
        <f t="shared" si="0"/>
        <v>2790235</v>
      </c>
    </row>
    <row r="50" spans="1:11" ht="90" x14ac:dyDescent="0.25">
      <c r="A50" s="149">
        <v>7566271</v>
      </c>
      <c r="B50" s="150" t="s">
        <v>580</v>
      </c>
      <c r="C50" s="151" t="s">
        <v>1147</v>
      </c>
      <c r="D50" s="152" t="s">
        <v>1124</v>
      </c>
      <c r="E50" s="153">
        <v>7968000</v>
      </c>
      <c r="F50" s="154">
        <v>6600000</v>
      </c>
      <c r="G50" s="154">
        <v>426000</v>
      </c>
      <c r="H50" s="154">
        <v>389268</v>
      </c>
      <c r="I50" s="155">
        <v>7415268</v>
      </c>
      <c r="J50" s="155"/>
      <c r="K50" s="314">
        <f t="shared" si="0"/>
        <v>7415268</v>
      </c>
    </row>
    <row r="51" spans="1:11" ht="135" x14ac:dyDescent="0.25">
      <c r="A51" s="149">
        <v>9608144</v>
      </c>
      <c r="B51" s="150" t="s">
        <v>1118</v>
      </c>
      <c r="C51" s="151" t="s">
        <v>1117</v>
      </c>
      <c r="D51" s="152" t="s">
        <v>1055</v>
      </c>
      <c r="E51" s="153">
        <v>1133500</v>
      </c>
      <c r="F51" s="154">
        <v>915540</v>
      </c>
      <c r="G51" s="154">
        <v>0</v>
      </c>
      <c r="H51" s="154">
        <v>104584</v>
      </c>
      <c r="I51" s="155">
        <v>1020124</v>
      </c>
      <c r="J51" s="155"/>
      <c r="K51" s="314">
        <f t="shared" si="0"/>
        <v>1020124</v>
      </c>
    </row>
    <row r="52" spans="1:11" ht="135" x14ac:dyDescent="0.25">
      <c r="A52" s="149">
        <v>8365172</v>
      </c>
      <c r="B52" s="150" t="s">
        <v>1118</v>
      </c>
      <c r="C52" s="151" t="s">
        <v>1378</v>
      </c>
      <c r="D52" s="152" t="s">
        <v>1377</v>
      </c>
      <c r="E52" s="153">
        <v>1222000</v>
      </c>
      <c r="F52" s="154">
        <v>901760</v>
      </c>
      <c r="G52" s="154">
        <v>70200</v>
      </c>
      <c r="H52" s="154">
        <v>0</v>
      </c>
      <c r="I52" s="155">
        <v>971960</v>
      </c>
      <c r="J52" s="155"/>
      <c r="K52" s="314">
        <f t="shared" si="0"/>
        <v>971960</v>
      </c>
    </row>
    <row r="53" spans="1:11" ht="60" x14ac:dyDescent="0.25">
      <c r="A53" s="149">
        <v>8098643</v>
      </c>
      <c r="B53" s="150" t="s">
        <v>1515</v>
      </c>
      <c r="C53" s="151" t="s">
        <v>1516</v>
      </c>
      <c r="D53" s="152" t="s">
        <v>1472</v>
      </c>
      <c r="E53" s="153">
        <v>1196728</v>
      </c>
      <c r="F53" s="154">
        <v>632530</v>
      </c>
      <c r="G53" s="154">
        <v>211970</v>
      </c>
      <c r="H53" s="154">
        <v>218342</v>
      </c>
      <c r="I53" s="155">
        <v>1062842</v>
      </c>
      <c r="J53" s="155"/>
      <c r="K53" s="314">
        <f t="shared" si="0"/>
        <v>1062842</v>
      </c>
    </row>
    <row r="54" spans="1:11" ht="90" x14ac:dyDescent="0.25">
      <c r="A54" s="149">
        <v>8299792</v>
      </c>
      <c r="B54" s="150" t="s">
        <v>585</v>
      </c>
      <c r="C54" s="151" t="s">
        <v>1108</v>
      </c>
      <c r="D54" s="152" t="s">
        <v>1055</v>
      </c>
      <c r="E54" s="153">
        <v>1680700</v>
      </c>
      <c r="F54" s="154">
        <v>973640</v>
      </c>
      <c r="G54" s="154">
        <v>192180</v>
      </c>
      <c r="H54" s="154">
        <v>0</v>
      </c>
      <c r="I54" s="155">
        <v>1165820</v>
      </c>
      <c r="J54" s="155"/>
      <c r="K54" s="314">
        <f t="shared" si="0"/>
        <v>1165820</v>
      </c>
    </row>
    <row r="55" spans="1:11" ht="90" x14ac:dyDescent="0.25">
      <c r="A55" s="149">
        <v>5943218</v>
      </c>
      <c r="B55" s="150" t="s">
        <v>585</v>
      </c>
      <c r="C55" s="151" t="s">
        <v>585</v>
      </c>
      <c r="D55" s="152" t="s">
        <v>1472</v>
      </c>
      <c r="E55" s="153">
        <v>1182100</v>
      </c>
      <c r="F55" s="154">
        <v>1091150</v>
      </c>
      <c r="G55" s="154">
        <v>0</v>
      </c>
      <c r="H55" s="154">
        <v>0</v>
      </c>
      <c r="I55" s="155">
        <v>1091150</v>
      </c>
      <c r="J55" s="155"/>
      <c r="K55" s="314">
        <f t="shared" si="0"/>
        <v>1091150</v>
      </c>
    </row>
    <row r="56" spans="1:11" ht="75.75" thickBot="1" x14ac:dyDescent="0.3">
      <c r="A56" s="149">
        <v>1201932</v>
      </c>
      <c r="B56" s="150" t="s">
        <v>1056</v>
      </c>
      <c r="C56" s="151" t="s">
        <v>594</v>
      </c>
      <c r="D56" s="152" t="s">
        <v>1055</v>
      </c>
      <c r="E56" s="153">
        <v>1782000</v>
      </c>
      <c r="F56" s="154">
        <v>1421520</v>
      </c>
      <c r="G56" s="154">
        <v>0</v>
      </c>
      <c r="H56" s="154">
        <v>360480</v>
      </c>
      <c r="I56" s="155">
        <v>1782000</v>
      </c>
      <c r="J56" s="162"/>
      <c r="K56" s="314">
        <f t="shared" si="0"/>
        <v>1782000</v>
      </c>
    </row>
    <row r="57" spans="1:11" ht="60.75" thickBot="1" x14ac:dyDescent="0.3">
      <c r="A57" s="149">
        <v>5814347</v>
      </c>
      <c r="B57" s="150" t="s">
        <v>1056</v>
      </c>
      <c r="C57" s="151" t="s">
        <v>1395</v>
      </c>
      <c r="D57" s="152" t="s">
        <v>1394</v>
      </c>
      <c r="E57" s="153">
        <v>2574000</v>
      </c>
      <c r="F57" s="154">
        <v>2102870</v>
      </c>
      <c r="G57" s="154">
        <v>142000</v>
      </c>
      <c r="H57" s="154">
        <v>0</v>
      </c>
      <c r="I57" s="155">
        <v>2244870</v>
      </c>
      <c r="J57" s="163"/>
      <c r="K57" s="314">
        <f t="shared" si="0"/>
        <v>2244870</v>
      </c>
    </row>
    <row r="58" spans="1:11" ht="120" x14ac:dyDescent="0.25">
      <c r="A58" s="149">
        <v>1537615</v>
      </c>
      <c r="B58" s="150" t="s">
        <v>1056</v>
      </c>
      <c r="C58" s="151" t="s">
        <v>1460</v>
      </c>
      <c r="D58" s="152" t="s">
        <v>1459</v>
      </c>
      <c r="E58" s="153">
        <v>3260000</v>
      </c>
      <c r="F58" s="154">
        <v>2409400</v>
      </c>
      <c r="G58" s="154">
        <v>232720</v>
      </c>
      <c r="H58" s="154">
        <v>70000</v>
      </c>
      <c r="I58" s="155">
        <v>2712120</v>
      </c>
      <c r="J58" s="155"/>
      <c r="K58" s="314">
        <f t="shared" si="0"/>
        <v>2712120</v>
      </c>
    </row>
    <row r="59" spans="1:11" ht="105.75" thickBot="1" x14ac:dyDescent="0.3">
      <c r="A59" s="156">
        <v>2540162</v>
      </c>
      <c r="B59" s="157" t="s">
        <v>694</v>
      </c>
      <c r="C59" s="158" t="s">
        <v>694</v>
      </c>
      <c r="D59" s="159" t="s">
        <v>1155</v>
      </c>
      <c r="E59" s="160">
        <v>3210000</v>
      </c>
      <c r="F59" s="161">
        <v>2095690</v>
      </c>
      <c r="G59" s="161">
        <v>232850</v>
      </c>
      <c r="H59" s="161">
        <v>254081</v>
      </c>
      <c r="I59" s="162">
        <v>2582621</v>
      </c>
      <c r="J59" s="155">
        <v>70000</v>
      </c>
      <c r="K59" s="314">
        <f t="shared" si="0"/>
        <v>2652621</v>
      </c>
    </row>
    <row r="60" spans="1:11" ht="45.75" thickBot="1" x14ac:dyDescent="0.3">
      <c r="A60" s="164">
        <v>3028344</v>
      </c>
      <c r="B60" s="165" t="s">
        <v>1517</v>
      </c>
      <c r="C60" s="166" t="s">
        <v>1517</v>
      </c>
      <c r="D60" s="167" t="s">
        <v>1382</v>
      </c>
      <c r="E60" s="168">
        <v>1489747</v>
      </c>
      <c r="F60" s="169">
        <v>1489740</v>
      </c>
      <c r="G60" s="169">
        <v>0</v>
      </c>
      <c r="H60" s="169">
        <v>0</v>
      </c>
      <c r="I60" s="163">
        <v>1489740</v>
      </c>
      <c r="J60" s="155"/>
      <c r="K60" s="314">
        <f t="shared" si="0"/>
        <v>1489740</v>
      </c>
    </row>
    <row r="61" spans="1:11" ht="60" x14ac:dyDescent="0.25">
      <c r="A61" s="142">
        <v>3054253</v>
      </c>
      <c r="B61" s="143" t="s">
        <v>713</v>
      </c>
      <c r="C61" s="144" t="s">
        <v>1476</v>
      </c>
      <c r="D61" s="145" t="s">
        <v>1472</v>
      </c>
      <c r="E61" s="146">
        <v>465100</v>
      </c>
      <c r="F61" s="147">
        <v>465100</v>
      </c>
      <c r="G61" s="147">
        <v>0</v>
      </c>
      <c r="H61" s="147">
        <v>0</v>
      </c>
      <c r="I61" s="148">
        <v>465100</v>
      </c>
      <c r="J61" s="155"/>
      <c r="K61" s="314">
        <f t="shared" si="0"/>
        <v>465100</v>
      </c>
    </row>
    <row r="62" spans="1:11" ht="90" x14ac:dyDescent="0.25">
      <c r="A62" s="149">
        <v>5133257</v>
      </c>
      <c r="B62" s="150" t="s">
        <v>718</v>
      </c>
      <c r="C62" s="151" t="s">
        <v>725</v>
      </c>
      <c r="D62" s="152" t="s">
        <v>1055</v>
      </c>
      <c r="E62" s="153">
        <v>1582000</v>
      </c>
      <c r="F62" s="154">
        <v>1478830</v>
      </c>
      <c r="G62" s="154">
        <v>103170</v>
      </c>
      <c r="H62" s="154">
        <v>0</v>
      </c>
      <c r="I62" s="155">
        <v>1582000</v>
      </c>
      <c r="J62" s="155"/>
      <c r="K62" s="314">
        <f t="shared" si="0"/>
        <v>1582000</v>
      </c>
    </row>
    <row r="63" spans="1:11" ht="60" x14ac:dyDescent="0.25">
      <c r="A63" s="149">
        <v>2757263</v>
      </c>
      <c r="B63" s="150" t="s">
        <v>718</v>
      </c>
      <c r="C63" s="151" t="s">
        <v>721</v>
      </c>
      <c r="D63" s="152" t="s">
        <v>1518</v>
      </c>
      <c r="E63" s="153">
        <v>883413</v>
      </c>
      <c r="F63" s="154">
        <v>675910</v>
      </c>
      <c r="G63" s="154">
        <v>86100</v>
      </c>
      <c r="H63" s="154">
        <v>0</v>
      </c>
      <c r="I63" s="155">
        <v>762010</v>
      </c>
      <c r="J63" s="155"/>
      <c r="K63" s="314">
        <f t="shared" si="0"/>
        <v>762010</v>
      </c>
    </row>
    <row r="64" spans="1:11" ht="60" x14ac:dyDescent="0.25">
      <c r="A64" s="149">
        <v>6684022</v>
      </c>
      <c r="B64" s="150" t="s">
        <v>1297</v>
      </c>
      <c r="C64" s="151" t="s">
        <v>1296</v>
      </c>
      <c r="D64" s="152" t="s">
        <v>1282</v>
      </c>
      <c r="E64" s="153">
        <v>4541500</v>
      </c>
      <c r="F64" s="154">
        <v>2979310</v>
      </c>
      <c r="G64" s="154">
        <v>331030</v>
      </c>
      <c r="H64" s="154">
        <v>50251</v>
      </c>
      <c r="I64" s="155">
        <v>3360591</v>
      </c>
      <c r="J64" s="155">
        <v>100000</v>
      </c>
      <c r="K64" s="314">
        <f t="shared" si="0"/>
        <v>3460591</v>
      </c>
    </row>
    <row r="65" spans="1:11" ht="60" x14ac:dyDescent="0.25">
      <c r="A65" s="149">
        <v>7381195</v>
      </c>
      <c r="B65" s="150" t="s">
        <v>1297</v>
      </c>
      <c r="C65" s="151" t="s">
        <v>731</v>
      </c>
      <c r="D65" s="152" t="s">
        <v>1472</v>
      </c>
      <c r="E65" s="153">
        <v>650825</v>
      </c>
      <c r="F65" s="154">
        <v>402620</v>
      </c>
      <c r="G65" s="154">
        <v>80700</v>
      </c>
      <c r="H65" s="154">
        <v>8435</v>
      </c>
      <c r="I65" s="155">
        <v>491755</v>
      </c>
      <c r="J65" s="155"/>
      <c r="K65" s="314">
        <f t="shared" si="0"/>
        <v>491755</v>
      </c>
    </row>
    <row r="66" spans="1:11" ht="90" x14ac:dyDescent="0.25">
      <c r="A66" s="149">
        <v>3040542</v>
      </c>
      <c r="B66" s="150" t="s">
        <v>733</v>
      </c>
      <c r="C66" s="151" t="s">
        <v>735</v>
      </c>
      <c r="D66" s="152" t="s">
        <v>1055</v>
      </c>
      <c r="E66" s="153">
        <v>984620</v>
      </c>
      <c r="F66" s="154">
        <v>728410</v>
      </c>
      <c r="G66" s="154">
        <v>80930</v>
      </c>
      <c r="H66" s="154">
        <v>0</v>
      </c>
      <c r="I66" s="155">
        <v>809340</v>
      </c>
      <c r="J66" s="155"/>
      <c r="K66" s="314">
        <f t="shared" si="0"/>
        <v>809340</v>
      </c>
    </row>
    <row r="67" spans="1:11" ht="90" x14ac:dyDescent="0.25">
      <c r="A67" s="149">
        <v>8849001</v>
      </c>
      <c r="B67" s="150" t="s">
        <v>733</v>
      </c>
      <c r="C67" s="151" t="s">
        <v>740</v>
      </c>
      <c r="D67" s="152" t="s">
        <v>1055</v>
      </c>
      <c r="E67" s="153">
        <v>1386280</v>
      </c>
      <c r="F67" s="154">
        <v>1092510</v>
      </c>
      <c r="G67" s="154">
        <v>105390</v>
      </c>
      <c r="H67" s="154">
        <v>0</v>
      </c>
      <c r="I67" s="155">
        <v>1197900</v>
      </c>
      <c r="J67" s="155"/>
      <c r="K67" s="314">
        <f t="shared" ref="K67:K130" si="1">I67+J67</f>
        <v>1197900</v>
      </c>
    </row>
    <row r="68" spans="1:11" ht="90.75" thickBot="1" x14ac:dyDescent="0.3">
      <c r="A68" s="149">
        <v>8984742</v>
      </c>
      <c r="B68" s="150" t="s">
        <v>733</v>
      </c>
      <c r="C68" s="151" t="s">
        <v>744</v>
      </c>
      <c r="D68" s="152" t="s">
        <v>1055</v>
      </c>
      <c r="E68" s="153">
        <v>989960</v>
      </c>
      <c r="F68" s="154">
        <v>747990</v>
      </c>
      <c r="G68" s="154">
        <v>33110</v>
      </c>
      <c r="H68" s="154">
        <v>0</v>
      </c>
      <c r="I68" s="155">
        <v>781100</v>
      </c>
      <c r="J68" s="162"/>
      <c r="K68" s="314">
        <f t="shared" si="1"/>
        <v>781100</v>
      </c>
    </row>
    <row r="69" spans="1:11" ht="60.75" thickBot="1" x14ac:dyDescent="0.3">
      <c r="A69" s="149">
        <v>9097155</v>
      </c>
      <c r="B69" s="150" t="s">
        <v>753</v>
      </c>
      <c r="C69" s="151" t="s">
        <v>1219</v>
      </c>
      <c r="D69" s="152" t="s">
        <v>1155</v>
      </c>
      <c r="E69" s="153">
        <v>4095750</v>
      </c>
      <c r="F69" s="154">
        <v>3330940</v>
      </c>
      <c r="G69" s="154">
        <v>0</v>
      </c>
      <c r="H69" s="154">
        <v>119142</v>
      </c>
      <c r="I69" s="155">
        <v>3450082</v>
      </c>
      <c r="J69" s="163"/>
      <c r="K69" s="314">
        <f t="shared" si="1"/>
        <v>3450082</v>
      </c>
    </row>
    <row r="70" spans="1:11" ht="60.75" thickBot="1" x14ac:dyDescent="0.3">
      <c r="A70" s="149">
        <v>2189349</v>
      </c>
      <c r="B70" s="150" t="s">
        <v>753</v>
      </c>
      <c r="C70" s="151" t="s">
        <v>753</v>
      </c>
      <c r="D70" s="152" t="s">
        <v>1250</v>
      </c>
      <c r="E70" s="153">
        <v>435055</v>
      </c>
      <c r="F70" s="154">
        <v>138910</v>
      </c>
      <c r="G70" s="154">
        <v>0</v>
      </c>
      <c r="H70" s="154">
        <v>0</v>
      </c>
      <c r="I70" s="155">
        <v>138910</v>
      </c>
      <c r="J70" s="163"/>
      <c r="K70" s="314">
        <f t="shared" si="1"/>
        <v>138910</v>
      </c>
    </row>
    <row r="71" spans="1:11" ht="75" x14ac:dyDescent="0.25">
      <c r="A71" s="149">
        <v>6466112</v>
      </c>
      <c r="B71" s="150" t="s">
        <v>760</v>
      </c>
      <c r="C71" s="151" t="s">
        <v>760</v>
      </c>
      <c r="D71" s="152" t="s">
        <v>1055</v>
      </c>
      <c r="E71" s="153">
        <v>522000</v>
      </c>
      <c r="F71" s="154">
        <v>476770</v>
      </c>
      <c r="G71" s="154">
        <v>45230</v>
      </c>
      <c r="H71" s="154">
        <v>0</v>
      </c>
      <c r="I71" s="155">
        <v>522000</v>
      </c>
      <c r="J71" s="148"/>
      <c r="K71" s="314">
        <f t="shared" si="1"/>
        <v>522000</v>
      </c>
    </row>
    <row r="72" spans="1:11" ht="90" x14ac:dyDescent="0.25">
      <c r="A72" s="149">
        <v>2028356</v>
      </c>
      <c r="B72" s="150" t="s">
        <v>760</v>
      </c>
      <c r="C72" s="151" t="s">
        <v>1179</v>
      </c>
      <c r="D72" s="152" t="s">
        <v>1155</v>
      </c>
      <c r="E72" s="153">
        <v>4100000</v>
      </c>
      <c r="F72" s="154">
        <v>3372530</v>
      </c>
      <c r="G72" s="154">
        <v>374720</v>
      </c>
      <c r="H72" s="154">
        <v>151032</v>
      </c>
      <c r="I72" s="155">
        <v>3898282</v>
      </c>
      <c r="J72" s="155"/>
      <c r="K72" s="314">
        <f t="shared" si="1"/>
        <v>3898282</v>
      </c>
    </row>
    <row r="73" spans="1:11" ht="75" x14ac:dyDescent="0.25">
      <c r="A73" s="149">
        <v>7741294</v>
      </c>
      <c r="B73" s="150" t="s">
        <v>760</v>
      </c>
      <c r="C73" s="151" t="s">
        <v>772</v>
      </c>
      <c r="D73" s="152" t="s">
        <v>1155</v>
      </c>
      <c r="E73" s="153">
        <v>1440000</v>
      </c>
      <c r="F73" s="154">
        <v>1268820</v>
      </c>
      <c r="G73" s="154">
        <v>140980</v>
      </c>
      <c r="H73" s="154">
        <v>9344</v>
      </c>
      <c r="I73" s="155">
        <v>1419144</v>
      </c>
      <c r="J73" s="155"/>
      <c r="K73" s="314">
        <f t="shared" si="1"/>
        <v>1419144</v>
      </c>
    </row>
    <row r="74" spans="1:11" ht="60.75" thickBot="1" x14ac:dyDescent="0.3">
      <c r="A74" s="156">
        <v>5947102</v>
      </c>
      <c r="B74" s="157" t="s">
        <v>760</v>
      </c>
      <c r="C74" s="158" t="s">
        <v>760</v>
      </c>
      <c r="D74" s="159" t="s">
        <v>1232</v>
      </c>
      <c r="E74" s="160">
        <v>320000</v>
      </c>
      <c r="F74" s="161">
        <v>259340</v>
      </c>
      <c r="G74" s="161">
        <v>28810</v>
      </c>
      <c r="H74" s="161">
        <v>0</v>
      </c>
      <c r="I74" s="162">
        <v>288150</v>
      </c>
      <c r="J74" s="155"/>
      <c r="K74" s="314">
        <f t="shared" si="1"/>
        <v>288150</v>
      </c>
    </row>
    <row r="75" spans="1:11" ht="150.75" thickBot="1" x14ac:dyDescent="0.3">
      <c r="A75" s="164">
        <v>6627771</v>
      </c>
      <c r="B75" s="165" t="s">
        <v>760</v>
      </c>
      <c r="C75" s="166" t="s">
        <v>1355</v>
      </c>
      <c r="D75" s="167" t="s">
        <v>1346</v>
      </c>
      <c r="E75" s="168">
        <v>590000</v>
      </c>
      <c r="F75" s="169">
        <v>425970</v>
      </c>
      <c r="G75" s="169">
        <v>47330</v>
      </c>
      <c r="H75" s="169">
        <v>58963</v>
      </c>
      <c r="I75" s="163">
        <v>532263</v>
      </c>
      <c r="J75" s="155"/>
      <c r="K75" s="314">
        <f t="shared" si="1"/>
        <v>532263</v>
      </c>
    </row>
    <row r="76" spans="1:11" ht="90" x14ac:dyDescent="0.25">
      <c r="A76" s="142">
        <v>5903063</v>
      </c>
      <c r="B76" s="143" t="s">
        <v>776</v>
      </c>
      <c r="C76" s="144" t="s">
        <v>1092</v>
      </c>
      <c r="D76" s="145" t="s">
        <v>1055</v>
      </c>
      <c r="E76" s="146">
        <v>683000</v>
      </c>
      <c r="F76" s="147">
        <v>576000</v>
      </c>
      <c r="G76" s="147">
        <v>0</v>
      </c>
      <c r="H76" s="147">
        <v>71336</v>
      </c>
      <c r="I76" s="148">
        <v>647336</v>
      </c>
      <c r="J76" s="148"/>
      <c r="K76" s="314">
        <f t="shared" si="1"/>
        <v>647336</v>
      </c>
    </row>
    <row r="77" spans="1:11" ht="75" x14ac:dyDescent="0.25">
      <c r="A77" s="149">
        <v>2886510</v>
      </c>
      <c r="B77" s="150" t="s">
        <v>776</v>
      </c>
      <c r="C77" s="151" t="s">
        <v>1075</v>
      </c>
      <c r="D77" s="152" t="s">
        <v>1055</v>
      </c>
      <c r="E77" s="153">
        <v>2470000</v>
      </c>
      <c r="F77" s="154">
        <v>1844830</v>
      </c>
      <c r="G77" s="154">
        <v>210980</v>
      </c>
      <c r="H77" s="154">
        <v>64608</v>
      </c>
      <c r="I77" s="155">
        <v>2120418</v>
      </c>
      <c r="J77" s="155"/>
      <c r="K77" s="314">
        <f t="shared" si="1"/>
        <v>2120418</v>
      </c>
    </row>
    <row r="78" spans="1:11" ht="90" x14ac:dyDescent="0.25">
      <c r="A78" s="149">
        <v>5376966</v>
      </c>
      <c r="B78" s="150" t="s">
        <v>776</v>
      </c>
      <c r="C78" s="151" t="s">
        <v>1200</v>
      </c>
      <c r="D78" s="152" t="s">
        <v>1155</v>
      </c>
      <c r="E78" s="153">
        <v>11150000</v>
      </c>
      <c r="F78" s="154">
        <v>8007780</v>
      </c>
      <c r="G78" s="154">
        <v>85000</v>
      </c>
      <c r="H78" s="154">
        <v>176075</v>
      </c>
      <c r="I78" s="155">
        <v>8268855</v>
      </c>
      <c r="J78" s="155"/>
      <c r="K78" s="314">
        <f t="shared" si="1"/>
        <v>8268855</v>
      </c>
    </row>
    <row r="79" spans="1:11" ht="60" x14ac:dyDescent="0.25">
      <c r="A79" s="149">
        <v>1840658</v>
      </c>
      <c r="B79" s="150" t="s">
        <v>776</v>
      </c>
      <c r="C79" s="151" t="s">
        <v>780</v>
      </c>
      <c r="D79" s="152" t="s">
        <v>1366</v>
      </c>
      <c r="E79" s="153">
        <v>4326000</v>
      </c>
      <c r="F79" s="154">
        <v>4036020</v>
      </c>
      <c r="G79" s="154">
        <v>289980</v>
      </c>
      <c r="H79" s="154">
        <v>0</v>
      </c>
      <c r="I79" s="155">
        <v>4326000</v>
      </c>
      <c r="J79" s="155"/>
      <c r="K79" s="314">
        <f t="shared" si="1"/>
        <v>4326000</v>
      </c>
    </row>
    <row r="80" spans="1:11" ht="90" x14ac:dyDescent="0.25">
      <c r="A80" s="149">
        <v>1236570</v>
      </c>
      <c r="B80" s="150" t="s">
        <v>776</v>
      </c>
      <c r="C80" s="151" t="s">
        <v>1383</v>
      </c>
      <c r="D80" s="152" t="s">
        <v>1382</v>
      </c>
      <c r="E80" s="153">
        <v>5900000</v>
      </c>
      <c r="F80" s="154">
        <v>900000</v>
      </c>
      <c r="G80" s="154">
        <v>0</v>
      </c>
      <c r="H80" s="154">
        <v>0</v>
      </c>
      <c r="I80" s="155">
        <v>900000</v>
      </c>
      <c r="J80" s="155"/>
      <c r="K80" s="314">
        <f t="shared" si="1"/>
        <v>900000</v>
      </c>
    </row>
    <row r="81" spans="1:11" ht="75" x14ac:dyDescent="0.25">
      <c r="A81" s="149">
        <v>4699567</v>
      </c>
      <c r="B81" s="150" t="s">
        <v>776</v>
      </c>
      <c r="C81" s="151" t="s">
        <v>1388</v>
      </c>
      <c r="D81" s="152" t="s">
        <v>1382</v>
      </c>
      <c r="E81" s="153">
        <v>2989625</v>
      </c>
      <c r="F81" s="154">
        <v>2067420</v>
      </c>
      <c r="G81" s="154">
        <v>252030</v>
      </c>
      <c r="H81" s="154">
        <v>0</v>
      </c>
      <c r="I81" s="155">
        <v>2319450</v>
      </c>
      <c r="J81" s="155"/>
      <c r="K81" s="314">
        <f t="shared" si="1"/>
        <v>2319450</v>
      </c>
    </row>
    <row r="82" spans="1:11" ht="75" x14ac:dyDescent="0.25">
      <c r="A82" s="149">
        <v>6585534</v>
      </c>
      <c r="B82" s="150" t="s">
        <v>776</v>
      </c>
      <c r="C82" s="151" t="s">
        <v>1401</v>
      </c>
      <c r="D82" s="152" t="s">
        <v>1400</v>
      </c>
      <c r="E82" s="153">
        <v>1690000</v>
      </c>
      <c r="F82" s="154">
        <v>1533940</v>
      </c>
      <c r="G82" s="154">
        <v>138060</v>
      </c>
      <c r="H82" s="154">
        <v>18000</v>
      </c>
      <c r="I82" s="155">
        <v>1690000</v>
      </c>
      <c r="J82" s="155"/>
      <c r="K82" s="314">
        <f t="shared" si="1"/>
        <v>1690000</v>
      </c>
    </row>
    <row r="83" spans="1:11" ht="75" x14ac:dyDescent="0.25">
      <c r="A83" s="149">
        <v>7832444</v>
      </c>
      <c r="B83" s="150" t="s">
        <v>776</v>
      </c>
      <c r="C83" s="151" t="s">
        <v>1388</v>
      </c>
      <c r="D83" s="152" t="s">
        <v>1403</v>
      </c>
      <c r="E83" s="153">
        <v>3551290</v>
      </c>
      <c r="F83" s="154">
        <v>2055490</v>
      </c>
      <c r="G83" s="154">
        <v>301850</v>
      </c>
      <c r="H83" s="154">
        <v>0</v>
      </c>
      <c r="I83" s="155">
        <v>2357340</v>
      </c>
      <c r="J83" s="155"/>
      <c r="K83" s="314">
        <f t="shared" si="1"/>
        <v>2357340</v>
      </c>
    </row>
    <row r="84" spans="1:11" ht="75" x14ac:dyDescent="0.25">
      <c r="A84" s="149">
        <v>1968420</v>
      </c>
      <c r="B84" s="150" t="s">
        <v>776</v>
      </c>
      <c r="C84" s="151" t="s">
        <v>1388</v>
      </c>
      <c r="D84" s="152" t="s">
        <v>1423</v>
      </c>
      <c r="E84" s="153">
        <v>4620100</v>
      </c>
      <c r="F84" s="154">
        <v>3397000</v>
      </c>
      <c r="G84" s="154">
        <v>351200</v>
      </c>
      <c r="H84" s="154">
        <v>428423</v>
      </c>
      <c r="I84" s="155">
        <v>4176623</v>
      </c>
      <c r="J84" s="155"/>
      <c r="K84" s="314">
        <f t="shared" si="1"/>
        <v>4176623</v>
      </c>
    </row>
    <row r="85" spans="1:11" ht="75.75" thickBot="1" x14ac:dyDescent="0.3">
      <c r="A85" s="156">
        <v>2813024</v>
      </c>
      <c r="B85" s="157" t="s">
        <v>776</v>
      </c>
      <c r="C85" s="158" t="s">
        <v>1388</v>
      </c>
      <c r="D85" s="159" t="s">
        <v>1472</v>
      </c>
      <c r="E85" s="160">
        <v>1812100</v>
      </c>
      <c r="F85" s="161">
        <v>1081130</v>
      </c>
      <c r="G85" s="161">
        <v>0</v>
      </c>
      <c r="H85" s="161">
        <v>316241</v>
      </c>
      <c r="I85" s="162">
        <v>1397371</v>
      </c>
      <c r="J85" s="162"/>
      <c r="K85" s="314">
        <f t="shared" si="1"/>
        <v>1397371</v>
      </c>
    </row>
    <row r="86" spans="1:11" ht="60" x14ac:dyDescent="0.25">
      <c r="A86" s="142">
        <v>9554713</v>
      </c>
      <c r="B86" s="143" t="s">
        <v>805</v>
      </c>
      <c r="C86" s="144" t="s">
        <v>792</v>
      </c>
      <c r="D86" s="145" t="s">
        <v>1155</v>
      </c>
      <c r="E86" s="146">
        <v>6790774</v>
      </c>
      <c r="F86" s="147">
        <v>4788590</v>
      </c>
      <c r="G86" s="147">
        <v>532070</v>
      </c>
      <c r="H86" s="147">
        <v>0</v>
      </c>
      <c r="I86" s="148">
        <v>5320660</v>
      </c>
      <c r="J86" s="155"/>
      <c r="K86" s="314">
        <f t="shared" si="1"/>
        <v>5320660</v>
      </c>
    </row>
    <row r="87" spans="1:11" ht="90" x14ac:dyDescent="0.25">
      <c r="A87" s="149">
        <v>1738957</v>
      </c>
      <c r="B87" s="150" t="s">
        <v>805</v>
      </c>
      <c r="C87" s="151" t="s">
        <v>1406</v>
      </c>
      <c r="D87" s="152" t="s">
        <v>1405</v>
      </c>
      <c r="E87" s="153">
        <v>1764032</v>
      </c>
      <c r="F87" s="154">
        <v>1106970</v>
      </c>
      <c r="G87" s="154">
        <v>123000</v>
      </c>
      <c r="H87" s="154">
        <v>0</v>
      </c>
      <c r="I87" s="155">
        <v>1229970</v>
      </c>
      <c r="J87" s="155"/>
      <c r="K87" s="314">
        <f t="shared" si="1"/>
        <v>1229970</v>
      </c>
    </row>
    <row r="88" spans="1:11" ht="90" x14ac:dyDescent="0.25">
      <c r="A88" s="149">
        <v>2315315</v>
      </c>
      <c r="B88" s="150" t="s">
        <v>805</v>
      </c>
      <c r="C88" s="151" t="s">
        <v>1411</v>
      </c>
      <c r="D88" s="152" t="s">
        <v>1405</v>
      </c>
      <c r="E88" s="153">
        <v>1726095</v>
      </c>
      <c r="F88" s="154">
        <v>1093050</v>
      </c>
      <c r="G88" s="154">
        <v>121450</v>
      </c>
      <c r="H88" s="154">
        <v>0</v>
      </c>
      <c r="I88" s="155">
        <v>1214500</v>
      </c>
      <c r="J88" s="155"/>
      <c r="K88" s="314">
        <f t="shared" si="1"/>
        <v>1214500</v>
      </c>
    </row>
    <row r="89" spans="1:11" ht="90" x14ac:dyDescent="0.25">
      <c r="A89" s="149">
        <v>6607461</v>
      </c>
      <c r="B89" s="150" t="s">
        <v>805</v>
      </c>
      <c r="C89" s="151" t="s">
        <v>810</v>
      </c>
      <c r="D89" s="152" t="s">
        <v>1405</v>
      </c>
      <c r="E89" s="153">
        <v>1767966</v>
      </c>
      <c r="F89" s="154">
        <v>1064340</v>
      </c>
      <c r="G89" s="154">
        <v>118260</v>
      </c>
      <c r="H89" s="154">
        <v>0</v>
      </c>
      <c r="I89" s="155">
        <v>1182600</v>
      </c>
      <c r="J89" s="155"/>
      <c r="K89" s="314">
        <f t="shared" si="1"/>
        <v>1182600</v>
      </c>
    </row>
    <row r="90" spans="1:11" ht="105" x14ac:dyDescent="0.25">
      <c r="A90" s="149">
        <v>1907533</v>
      </c>
      <c r="B90" s="150" t="s">
        <v>805</v>
      </c>
      <c r="C90" s="151" t="s">
        <v>379</v>
      </c>
      <c r="D90" s="152" t="s">
        <v>1427</v>
      </c>
      <c r="E90" s="153">
        <v>3914559</v>
      </c>
      <c r="F90" s="154">
        <v>2516760</v>
      </c>
      <c r="G90" s="154">
        <v>268220</v>
      </c>
      <c r="H90" s="154">
        <v>0</v>
      </c>
      <c r="I90" s="155">
        <v>2784980</v>
      </c>
      <c r="J90" s="155"/>
      <c r="K90" s="314">
        <f t="shared" si="1"/>
        <v>2784980</v>
      </c>
    </row>
    <row r="91" spans="1:11" ht="75" x14ac:dyDescent="0.25">
      <c r="A91" s="149">
        <v>6161785</v>
      </c>
      <c r="B91" s="150" t="s">
        <v>812</v>
      </c>
      <c r="C91" s="151" t="s">
        <v>1204</v>
      </c>
      <c r="D91" s="152" t="s">
        <v>1155</v>
      </c>
      <c r="E91" s="153">
        <v>2015275</v>
      </c>
      <c r="F91" s="154">
        <v>1492330</v>
      </c>
      <c r="G91" s="154">
        <v>0</v>
      </c>
      <c r="H91" s="154">
        <v>0</v>
      </c>
      <c r="I91" s="155">
        <v>1492330</v>
      </c>
      <c r="J91" s="155"/>
      <c r="K91" s="314">
        <f t="shared" si="1"/>
        <v>1492330</v>
      </c>
    </row>
    <row r="92" spans="1:11" ht="105" x14ac:dyDescent="0.25">
      <c r="A92" s="149">
        <v>9064643</v>
      </c>
      <c r="B92" s="150" t="s">
        <v>812</v>
      </c>
      <c r="C92" s="151" t="s">
        <v>818</v>
      </c>
      <c r="D92" s="152" t="s">
        <v>1382</v>
      </c>
      <c r="E92" s="153">
        <v>4613346</v>
      </c>
      <c r="F92" s="154">
        <v>2143540</v>
      </c>
      <c r="G92" s="154">
        <v>522130</v>
      </c>
      <c r="H92" s="154">
        <v>0</v>
      </c>
      <c r="I92" s="155">
        <v>2665670</v>
      </c>
      <c r="J92" s="155"/>
      <c r="K92" s="314">
        <f t="shared" si="1"/>
        <v>2665670</v>
      </c>
    </row>
    <row r="93" spans="1:11" ht="60" x14ac:dyDescent="0.25">
      <c r="A93" s="149">
        <v>3961063</v>
      </c>
      <c r="B93" s="150" t="s">
        <v>812</v>
      </c>
      <c r="C93" s="151" t="s">
        <v>1519</v>
      </c>
      <c r="D93" s="152" t="s">
        <v>1520</v>
      </c>
      <c r="E93" s="153">
        <v>3105055</v>
      </c>
      <c r="F93" s="154">
        <v>1080900</v>
      </c>
      <c r="G93" s="154">
        <v>450410</v>
      </c>
      <c r="H93" s="154">
        <v>0</v>
      </c>
      <c r="I93" s="155">
        <v>1531310</v>
      </c>
      <c r="J93" s="155"/>
      <c r="K93" s="314">
        <f t="shared" si="1"/>
        <v>1531310</v>
      </c>
    </row>
    <row r="94" spans="1:11" ht="105" x14ac:dyDescent="0.25">
      <c r="A94" s="149">
        <v>1356155</v>
      </c>
      <c r="B94" s="150" t="s">
        <v>821</v>
      </c>
      <c r="C94" s="151" t="s">
        <v>1166</v>
      </c>
      <c r="D94" s="152" t="s">
        <v>1155</v>
      </c>
      <c r="E94" s="153">
        <v>1100000</v>
      </c>
      <c r="F94" s="154">
        <v>1100000</v>
      </c>
      <c r="G94" s="154">
        <v>0</v>
      </c>
      <c r="H94" s="154">
        <v>0</v>
      </c>
      <c r="I94" s="155">
        <v>1100000</v>
      </c>
      <c r="J94" s="155"/>
      <c r="K94" s="314">
        <f t="shared" si="1"/>
        <v>1100000</v>
      </c>
    </row>
    <row r="95" spans="1:11" ht="120.75" thickBot="1" x14ac:dyDescent="0.3">
      <c r="A95" s="156">
        <v>5894253</v>
      </c>
      <c r="B95" s="157" t="s">
        <v>821</v>
      </c>
      <c r="C95" s="158" t="s">
        <v>1328</v>
      </c>
      <c r="D95" s="159" t="s">
        <v>1316</v>
      </c>
      <c r="E95" s="160">
        <v>3600000</v>
      </c>
      <c r="F95" s="161">
        <v>3600000</v>
      </c>
      <c r="G95" s="161">
        <v>0</v>
      </c>
      <c r="H95" s="161">
        <v>0</v>
      </c>
      <c r="I95" s="162">
        <v>3600000</v>
      </c>
      <c r="J95" s="155"/>
      <c r="K95" s="314">
        <f t="shared" si="1"/>
        <v>3600000</v>
      </c>
    </row>
    <row r="96" spans="1:11" ht="60" x14ac:dyDescent="0.25">
      <c r="A96" s="142">
        <v>7459230</v>
      </c>
      <c r="B96" s="143" t="s">
        <v>826</v>
      </c>
      <c r="C96" s="144" t="s">
        <v>377</v>
      </c>
      <c r="D96" s="145" t="s">
        <v>1124</v>
      </c>
      <c r="E96" s="146">
        <v>3080000</v>
      </c>
      <c r="F96" s="147">
        <v>2500200</v>
      </c>
      <c r="G96" s="147">
        <v>277800</v>
      </c>
      <c r="H96" s="147">
        <v>0</v>
      </c>
      <c r="I96" s="148">
        <v>2778000</v>
      </c>
      <c r="J96" s="155"/>
      <c r="K96" s="314">
        <f t="shared" si="1"/>
        <v>2778000</v>
      </c>
    </row>
    <row r="97" spans="1:11" ht="105" x14ac:dyDescent="0.25">
      <c r="A97" s="149">
        <v>3110951</v>
      </c>
      <c r="B97" s="150" t="s">
        <v>826</v>
      </c>
      <c r="C97" s="151" t="s">
        <v>829</v>
      </c>
      <c r="D97" s="152" t="s">
        <v>1155</v>
      </c>
      <c r="E97" s="153">
        <v>2750000</v>
      </c>
      <c r="F97" s="154">
        <v>2255580</v>
      </c>
      <c r="G97" s="154">
        <v>250630</v>
      </c>
      <c r="H97" s="154">
        <v>242744</v>
      </c>
      <c r="I97" s="155">
        <v>2748954</v>
      </c>
      <c r="J97" s="155"/>
      <c r="K97" s="314">
        <f t="shared" si="1"/>
        <v>2748954</v>
      </c>
    </row>
    <row r="98" spans="1:11" ht="150" x14ac:dyDescent="0.25">
      <c r="A98" s="149">
        <v>9142033</v>
      </c>
      <c r="B98" s="150" t="s">
        <v>1362</v>
      </c>
      <c r="C98" s="151" t="s">
        <v>1362</v>
      </c>
      <c r="D98" s="152" t="s">
        <v>1361</v>
      </c>
      <c r="E98" s="153">
        <v>6001250</v>
      </c>
      <c r="F98" s="154">
        <v>5580860</v>
      </c>
      <c r="G98" s="154">
        <v>0</v>
      </c>
      <c r="H98" s="154">
        <v>0</v>
      </c>
      <c r="I98" s="155">
        <v>5580860</v>
      </c>
      <c r="J98" s="155"/>
      <c r="K98" s="314">
        <f t="shared" si="1"/>
        <v>5580860</v>
      </c>
    </row>
    <row r="99" spans="1:11" ht="90.75" thickBot="1" x14ac:dyDescent="0.3">
      <c r="A99" s="149">
        <v>2438469</v>
      </c>
      <c r="B99" s="150" t="s">
        <v>1521</v>
      </c>
      <c r="C99" s="151" t="s">
        <v>1391</v>
      </c>
      <c r="D99" s="152" t="s">
        <v>1382</v>
      </c>
      <c r="E99" s="153">
        <v>1230276</v>
      </c>
      <c r="F99" s="154">
        <v>1230270</v>
      </c>
      <c r="G99" s="154">
        <v>0</v>
      </c>
      <c r="H99" s="154">
        <v>0</v>
      </c>
      <c r="I99" s="155">
        <v>1230270</v>
      </c>
      <c r="J99" s="162"/>
      <c r="K99" s="314">
        <f t="shared" si="1"/>
        <v>1230270</v>
      </c>
    </row>
    <row r="100" spans="1:11" ht="90" x14ac:dyDescent="0.25">
      <c r="A100" s="149">
        <v>6698987</v>
      </c>
      <c r="B100" s="150" t="s">
        <v>842</v>
      </c>
      <c r="C100" s="151" t="s">
        <v>844</v>
      </c>
      <c r="D100" s="152" t="s">
        <v>1055</v>
      </c>
      <c r="E100" s="153">
        <v>665328</v>
      </c>
      <c r="F100" s="154">
        <v>591400</v>
      </c>
      <c r="G100" s="154">
        <v>58000</v>
      </c>
      <c r="H100" s="154">
        <v>15928</v>
      </c>
      <c r="I100" s="155">
        <v>665328</v>
      </c>
      <c r="J100" s="148"/>
      <c r="K100" s="314">
        <f t="shared" si="1"/>
        <v>665328</v>
      </c>
    </row>
    <row r="101" spans="1:11" ht="90.75" thickBot="1" x14ac:dyDescent="0.3">
      <c r="A101" s="149">
        <v>8350990</v>
      </c>
      <c r="B101" s="150" t="s">
        <v>842</v>
      </c>
      <c r="C101" s="151" t="s">
        <v>846</v>
      </c>
      <c r="D101" s="152" t="s">
        <v>1405</v>
      </c>
      <c r="E101" s="153">
        <v>1625500</v>
      </c>
      <c r="F101" s="154">
        <v>1368900</v>
      </c>
      <c r="G101" s="154">
        <v>132100</v>
      </c>
      <c r="H101" s="154">
        <v>122500</v>
      </c>
      <c r="I101" s="155">
        <v>1623500</v>
      </c>
      <c r="J101" s="162"/>
      <c r="K101" s="314">
        <f t="shared" si="1"/>
        <v>1623500</v>
      </c>
    </row>
    <row r="102" spans="1:11" ht="90" x14ac:dyDescent="0.25">
      <c r="A102" s="149">
        <v>8172268</v>
      </c>
      <c r="B102" s="150" t="s">
        <v>849</v>
      </c>
      <c r="C102" s="151" t="s">
        <v>1504</v>
      </c>
      <c r="D102" s="152" t="s">
        <v>1472</v>
      </c>
      <c r="E102" s="153">
        <v>4100000</v>
      </c>
      <c r="F102" s="154">
        <v>1613560</v>
      </c>
      <c r="G102" s="154">
        <v>1799860</v>
      </c>
      <c r="H102" s="154">
        <v>0</v>
      </c>
      <c r="I102" s="155">
        <v>3413420</v>
      </c>
      <c r="J102" s="148">
        <v>-700000</v>
      </c>
      <c r="K102" s="314">
        <f t="shared" si="1"/>
        <v>2713420</v>
      </c>
    </row>
    <row r="103" spans="1:11" ht="75" x14ac:dyDescent="0.25">
      <c r="A103" s="149">
        <v>3741470</v>
      </c>
      <c r="B103" s="150" t="s">
        <v>849</v>
      </c>
      <c r="C103" s="151" t="s">
        <v>1482</v>
      </c>
      <c r="D103" s="152" t="s">
        <v>1472</v>
      </c>
      <c r="E103" s="153">
        <v>2900000</v>
      </c>
      <c r="F103" s="154">
        <v>2377690</v>
      </c>
      <c r="G103" s="154">
        <v>380550</v>
      </c>
      <c r="H103" s="154">
        <v>0</v>
      </c>
      <c r="I103" s="155">
        <v>2758240</v>
      </c>
      <c r="J103" s="155">
        <v>-250000</v>
      </c>
      <c r="K103" s="314">
        <f t="shared" si="1"/>
        <v>2508240</v>
      </c>
    </row>
    <row r="104" spans="1:11" ht="75" x14ac:dyDescent="0.25">
      <c r="A104" s="149">
        <v>9775815</v>
      </c>
      <c r="B104" s="150" t="s">
        <v>871</v>
      </c>
      <c r="C104" s="151" t="s">
        <v>873</v>
      </c>
      <c r="D104" s="152" t="s">
        <v>1055</v>
      </c>
      <c r="E104" s="153">
        <v>928140</v>
      </c>
      <c r="F104" s="154">
        <v>605740</v>
      </c>
      <c r="G104" s="154">
        <v>0</v>
      </c>
      <c r="H104" s="154">
        <v>0</v>
      </c>
      <c r="I104" s="155">
        <v>605740</v>
      </c>
      <c r="J104" s="155"/>
      <c r="K104" s="314">
        <f t="shared" si="1"/>
        <v>605740</v>
      </c>
    </row>
    <row r="105" spans="1:11" ht="75" x14ac:dyDescent="0.25">
      <c r="A105" s="149">
        <v>1378201</v>
      </c>
      <c r="B105" s="150" t="s">
        <v>874</v>
      </c>
      <c r="C105" s="151" t="s">
        <v>877</v>
      </c>
      <c r="D105" s="152" t="s">
        <v>1241</v>
      </c>
      <c r="E105" s="153">
        <v>542097</v>
      </c>
      <c r="F105" s="154">
        <v>456700</v>
      </c>
      <c r="G105" s="154">
        <v>85197</v>
      </c>
      <c r="H105" s="154">
        <v>0</v>
      </c>
      <c r="I105" s="155">
        <v>541897</v>
      </c>
      <c r="J105" s="155"/>
      <c r="K105" s="314">
        <f t="shared" si="1"/>
        <v>541897</v>
      </c>
    </row>
    <row r="106" spans="1:11" ht="75.75" thickBot="1" x14ac:dyDescent="0.3">
      <c r="A106" s="149">
        <v>1552469</v>
      </c>
      <c r="B106" s="150" t="s">
        <v>874</v>
      </c>
      <c r="C106" s="151" t="s">
        <v>878</v>
      </c>
      <c r="D106" s="152" t="s">
        <v>1451</v>
      </c>
      <c r="E106" s="153">
        <v>670000</v>
      </c>
      <c r="F106" s="154">
        <v>518650</v>
      </c>
      <c r="G106" s="154">
        <v>107380</v>
      </c>
      <c r="H106" s="154">
        <v>0</v>
      </c>
      <c r="I106" s="155">
        <v>626030</v>
      </c>
      <c r="J106" s="162"/>
      <c r="K106" s="314">
        <f t="shared" si="1"/>
        <v>626030</v>
      </c>
    </row>
    <row r="107" spans="1:11" ht="195" x14ac:dyDescent="0.25">
      <c r="A107" s="149">
        <v>9818505</v>
      </c>
      <c r="B107" s="150" t="s">
        <v>874</v>
      </c>
      <c r="C107" s="151" t="s">
        <v>1522</v>
      </c>
      <c r="D107" s="152" t="s">
        <v>1472</v>
      </c>
      <c r="E107" s="153">
        <v>1031500</v>
      </c>
      <c r="F107" s="154">
        <v>639810</v>
      </c>
      <c r="G107" s="154">
        <v>207110</v>
      </c>
      <c r="H107" s="154">
        <v>0</v>
      </c>
      <c r="I107" s="155">
        <v>846920</v>
      </c>
      <c r="J107" s="148"/>
      <c r="K107" s="314">
        <f t="shared" si="1"/>
        <v>846920</v>
      </c>
    </row>
    <row r="108" spans="1:11" ht="60" x14ac:dyDescent="0.25">
      <c r="A108" s="149">
        <v>7805491</v>
      </c>
      <c r="B108" s="150" t="s">
        <v>874</v>
      </c>
      <c r="C108" s="151" t="s">
        <v>1523</v>
      </c>
      <c r="D108" s="152" t="s">
        <v>1472</v>
      </c>
      <c r="E108" s="153">
        <v>511900</v>
      </c>
      <c r="F108" s="154">
        <v>455220</v>
      </c>
      <c r="G108" s="154">
        <v>51480</v>
      </c>
      <c r="H108" s="154">
        <v>0</v>
      </c>
      <c r="I108" s="155">
        <v>506700</v>
      </c>
      <c r="J108" s="155"/>
      <c r="K108" s="314">
        <f t="shared" si="1"/>
        <v>506700</v>
      </c>
    </row>
    <row r="109" spans="1:11" ht="75" x14ac:dyDescent="0.25">
      <c r="A109" s="149">
        <v>6473703</v>
      </c>
      <c r="B109" s="150" t="s">
        <v>874</v>
      </c>
      <c r="C109" s="151" t="s">
        <v>879</v>
      </c>
      <c r="D109" s="152" t="s">
        <v>1472</v>
      </c>
      <c r="E109" s="153">
        <v>962000</v>
      </c>
      <c r="F109" s="154">
        <v>681230</v>
      </c>
      <c r="G109" s="154">
        <v>162810</v>
      </c>
      <c r="H109" s="154">
        <v>0</v>
      </c>
      <c r="I109" s="155">
        <v>844040</v>
      </c>
      <c r="J109" s="155"/>
      <c r="K109" s="314">
        <f t="shared" si="1"/>
        <v>844040</v>
      </c>
    </row>
    <row r="110" spans="1:11" ht="90.75" thickBot="1" x14ac:dyDescent="0.3">
      <c r="A110" s="156">
        <v>1826777</v>
      </c>
      <c r="B110" s="157" t="s">
        <v>1176</v>
      </c>
      <c r="C110" s="158" t="s">
        <v>1176</v>
      </c>
      <c r="D110" s="159" t="s">
        <v>1155</v>
      </c>
      <c r="E110" s="160">
        <v>5439645</v>
      </c>
      <c r="F110" s="161">
        <v>2764080</v>
      </c>
      <c r="G110" s="161">
        <v>0</v>
      </c>
      <c r="H110" s="161">
        <v>573144</v>
      </c>
      <c r="I110" s="162">
        <v>3337224</v>
      </c>
      <c r="J110" s="155">
        <v>480000</v>
      </c>
      <c r="K110" s="314">
        <f t="shared" si="1"/>
        <v>3817224</v>
      </c>
    </row>
    <row r="111" spans="1:11" ht="135" x14ac:dyDescent="0.25">
      <c r="A111" s="142">
        <v>5991938</v>
      </c>
      <c r="B111" s="143" t="s">
        <v>887</v>
      </c>
      <c r="C111" s="144" t="s">
        <v>377</v>
      </c>
      <c r="D111" s="145" t="s">
        <v>1124</v>
      </c>
      <c r="E111" s="146">
        <v>1800000</v>
      </c>
      <c r="F111" s="147">
        <v>1314900</v>
      </c>
      <c r="G111" s="147">
        <v>146100</v>
      </c>
      <c r="H111" s="147">
        <v>273348</v>
      </c>
      <c r="I111" s="148">
        <v>1734348</v>
      </c>
      <c r="J111" s="155"/>
      <c r="K111" s="314">
        <f t="shared" si="1"/>
        <v>1734348</v>
      </c>
    </row>
    <row r="112" spans="1:11" ht="90.75" thickBot="1" x14ac:dyDescent="0.3">
      <c r="A112" s="156">
        <v>2174839</v>
      </c>
      <c r="B112" s="157" t="s">
        <v>897</v>
      </c>
      <c r="C112" s="158" t="s">
        <v>899</v>
      </c>
      <c r="D112" s="159" t="s">
        <v>1405</v>
      </c>
      <c r="E112" s="160">
        <v>2728440</v>
      </c>
      <c r="F112" s="161">
        <v>2257280</v>
      </c>
      <c r="G112" s="161">
        <v>335810</v>
      </c>
      <c r="H112" s="161">
        <v>135350</v>
      </c>
      <c r="I112" s="162">
        <v>2728440</v>
      </c>
      <c r="J112" s="155"/>
      <c r="K112" s="314">
        <f t="shared" si="1"/>
        <v>2728440</v>
      </c>
    </row>
    <row r="113" spans="1:11" ht="105" x14ac:dyDescent="0.25">
      <c r="A113" s="142">
        <v>4659873</v>
      </c>
      <c r="B113" s="143" t="s">
        <v>902</v>
      </c>
      <c r="C113" s="144" t="s">
        <v>905</v>
      </c>
      <c r="D113" s="145" t="s">
        <v>1472</v>
      </c>
      <c r="E113" s="146">
        <v>1566000</v>
      </c>
      <c r="F113" s="147">
        <v>1085230</v>
      </c>
      <c r="G113" s="147">
        <v>120580</v>
      </c>
      <c r="H113" s="147">
        <v>0</v>
      </c>
      <c r="I113" s="148">
        <v>1205810</v>
      </c>
      <c r="J113" s="155"/>
      <c r="K113" s="314">
        <f t="shared" si="1"/>
        <v>1205810</v>
      </c>
    </row>
    <row r="114" spans="1:11" ht="120.75" thickBot="1" x14ac:dyDescent="0.3">
      <c r="A114" s="149">
        <v>8411392</v>
      </c>
      <c r="B114" s="150" t="s">
        <v>909</v>
      </c>
      <c r="C114" s="151" t="s">
        <v>1421</v>
      </c>
      <c r="D114" s="152" t="s">
        <v>1405</v>
      </c>
      <c r="E114" s="153">
        <v>3871189</v>
      </c>
      <c r="F114" s="154">
        <v>3355360</v>
      </c>
      <c r="G114" s="154">
        <v>372820</v>
      </c>
      <c r="H114" s="154">
        <v>143009</v>
      </c>
      <c r="I114" s="155">
        <v>3871189</v>
      </c>
      <c r="J114" s="155"/>
      <c r="K114" s="314">
        <f t="shared" si="1"/>
        <v>3871189</v>
      </c>
    </row>
    <row r="115" spans="1:11" ht="105" x14ac:dyDescent="0.25">
      <c r="A115" s="149">
        <v>4533728</v>
      </c>
      <c r="B115" s="150" t="s">
        <v>909</v>
      </c>
      <c r="C115" s="151" t="s">
        <v>1524</v>
      </c>
      <c r="D115" s="152" t="s">
        <v>1427</v>
      </c>
      <c r="E115" s="153">
        <v>2167520</v>
      </c>
      <c r="F115" s="154">
        <v>1778610</v>
      </c>
      <c r="G115" s="154">
        <v>388910</v>
      </c>
      <c r="H115" s="154">
        <v>0</v>
      </c>
      <c r="I115" s="155">
        <v>2167520</v>
      </c>
      <c r="J115" s="148"/>
      <c r="K115" s="314">
        <f t="shared" si="1"/>
        <v>2167520</v>
      </c>
    </row>
    <row r="116" spans="1:11" ht="105.75" thickBot="1" x14ac:dyDescent="0.3">
      <c r="A116" s="156">
        <v>9659243</v>
      </c>
      <c r="B116" s="157" t="s">
        <v>909</v>
      </c>
      <c r="C116" s="158" t="s">
        <v>918</v>
      </c>
      <c r="D116" s="159" t="s">
        <v>1427</v>
      </c>
      <c r="E116" s="160">
        <v>2666000</v>
      </c>
      <c r="F116" s="161">
        <v>1914930</v>
      </c>
      <c r="G116" s="161">
        <v>433480</v>
      </c>
      <c r="H116" s="161">
        <v>0</v>
      </c>
      <c r="I116" s="162">
        <v>2348410</v>
      </c>
      <c r="J116" s="155"/>
      <c r="K116" s="314">
        <f t="shared" si="1"/>
        <v>2348410</v>
      </c>
    </row>
    <row r="117" spans="1:11" ht="45" x14ac:dyDescent="0.25">
      <c r="A117" s="142">
        <v>8051895</v>
      </c>
      <c r="B117" s="143" t="s">
        <v>922</v>
      </c>
      <c r="C117" s="144" t="s">
        <v>1357</v>
      </c>
      <c r="D117" s="145" t="s">
        <v>1346</v>
      </c>
      <c r="E117" s="146">
        <v>2825000</v>
      </c>
      <c r="F117" s="147">
        <v>2526340</v>
      </c>
      <c r="G117" s="147">
        <v>230700</v>
      </c>
      <c r="H117" s="147">
        <v>67960</v>
      </c>
      <c r="I117" s="148">
        <v>2825000</v>
      </c>
      <c r="J117" s="155"/>
      <c r="K117" s="314">
        <f t="shared" si="1"/>
        <v>2825000</v>
      </c>
    </row>
    <row r="118" spans="1:11" ht="75.75" thickBot="1" x14ac:dyDescent="0.3">
      <c r="A118" s="149">
        <v>7846871</v>
      </c>
      <c r="B118" s="150" t="s">
        <v>1247</v>
      </c>
      <c r="C118" s="151" t="s">
        <v>1246</v>
      </c>
      <c r="D118" s="152" t="s">
        <v>1241</v>
      </c>
      <c r="E118" s="153">
        <v>1546867</v>
      </c>
      <c r="F118" s="154">
        <v>1497940</v>
      </c>
      <c r="G118" s="154">
        <v>0</v>
      </c>
      <c r="H118" s="154">
        <v>48927</v>
      </c>
      <c r="I118" s="155">
        <v>1546867</v>
      </c>
      <c r="J118" s="162"/>
      <c r="K118" s="314">
        <f t="shared" si="1"/>
        <v>1546867</v>
      </c>
    </row>
    <row r="119" spans="1:11" ht="60" x14ac:dyDescent="0.25">
      <c r="A119" s="149">
        <v>5871375</v>
      </c>
      <c r="B119" s="150" t="s">
        <v>1247</v>
      </c>
      <c r="C119" s="151" t="s">
        <v>1351</v>
      </c>
      <c r="D119" s="152" t="s">
        <v>1346</v>
      </c>
      <c r="E119" s="153">
        <v>3016720</v>
      </c>
      <c r="F119" s="154">
        <v>2814710</v>
      </c>
      <c r="G119" s="154">
        <v>202010</v>
      </c>
      <c r="H119" s="154">
        <v>0</v>
      </c>
      <c r="I119" s="155">
        <v>3016720</v>
      </c>
      <c r="J119" s="148"/>
      <c r="K119" s="314">
        <f t="shared" si="1"/>
        <v>3016720</v>
      </c>
    </row>
    <row r="120" spans="1:11" ht="75" x14ac:dyDescent="0.25">
      <c r="A120" s="149">
        <v>7263765</v>
      </c>
      <c r="B120" s="150" t="s">
        <v>1247</v>
      </c>
      <c r="C120" s="151" t="s">
        <v>1455</v>
      </c>
      <c r="D120" s="152" t="s">
        <v>1451</v>
      </c>
      <c r="E120" s="153">
        <v>1766000</v>
      </c>
      <c r="F120" s="154">
        <v>1211410</v>
      </c>
      <c r="G120" s="154">
        <v>0</v>
      </c>
      <c r="H120" s="154">
        <v>0</v>
      </c>
      <c r="I120" s="155">
        <v>1211410</v>
      </c>
      <c r="J120" s="155"/>
      <c r="K120" s="314">
        <f t="shared" si="1"/>
        <v>1211410</v>
      </c>
    </row>
    <row r="121" spans="1:11" ht="60" x14ac:dyDescent="0.25">
      <c r="A121" s="149">
        <v>3595008</v>
      </c>
      <c r="B121" s="150" t="s">
        <v>1247</v>
      </c>
      <c r="C121" s="151" t="s">
        <v>1479</v>
      </c>
      <c r="D121" s="152" t="s">
        <v>1472</v>
      </c>
      <c r="E121" s="153">
        <v>2606962</v>
      </c>
      <c r="F121" s="154">
        <v>2067850</v>
      </c>
      <c r="G121" s="154">
        <v>201700</v>
      </c>
      <c r="H121" s="154">
        <v>241011</v>
      </c>
      <c r="I121" s="155">
        <v>2510561</v>
      </c>
      <c r="J121" s="155"/>
      <c r="K121" s="314">
        <f t="shared" si="1"/>
        <v>2510561</v>
      </c>
    </row>
    <row r="122" spans="1:11" ht="60" x14ac:dyDescent="0.25">
      <c r="A122" s="149">
        <v>1715626</v>
      </c>
      <c r="B122" s="150" t="s">
        <v>962</v>
      </c>
      <c r="C122" s="151" t="s">
        <v>962</v>
      </c>
      <c r="D122" s="152" t="s">
        <v>1124</v>
      </c>
      <c r="E122" s="153">
        <v>5132000</v>
      </c>
      <c r="F122" s="154">
        <v>3282430</v>
      </c>
      <c r="G122" s="154">
        <v>314720</v>
      </c>
      <c r="H122" s="154">
        <v>0</v>
      </c>
      <c r="I122" s="155">
        <v>3597150</v>
      </c>
      <c r="J122" s="155"/>
      <c r="K122" s="314">
        <f t="shared" si="1"/>
        <v>3597150</v>
      </c>
    </row>
    <row r="123" spans="1:11" ht="60" x14ac:dyDescent="0.25">
      <c r="A123" s="149">
        <v>3921078</v>
      </c>
      <c r="B123" s="150" t="s">
        <v>962</v>
      </c>
      <c r="C123" s="151" t="s">
        <v>962</v>
      </c>
      <c r="D123" s="152" t="s">
        <v>1155</v>
      </c>
      <c r="E123" s="153">
        <v>716300</v>
      </c>
      <c r="F123" s="154">
        <v>689630</v>
      </c>
      <c r="G123" s="154">
        <v>26670</v>
      </c>
      <c r="H123" s="154">
        <v>0</v>
      </c>
      <c r="I123" s="155">
        <v>716300</v>
      </c>
      <c r="J123" s="155"/>
      <c r="K123" s="314">
        <f t="shared" si="1"/>
        <v>716300</v>
      </c>
    </row>
    <row r="124" spans="1:11" ht="60" x14ac:dyDescent="0.25">
      <c r="A124" s="149">
        <v>3198258</v>
      </c>
      <c r="B124" s="150" t="s">
        <v>965</v>
      </c>
      <c r="C124" s="151" t="s">
        <v>1525</v>
      </c>
      <c r="D124" s="152" t="s">
        <v>1124</v>
      </c>
      <c r="E124" s="153">
        <v>3633000</v>
      </c>
      <c r="F124" s="154">
        <v>3307950</v>
      </c>
      <c r="G124" s="154">
        <v>305050</v>
      </c>
      <c r="H124" s="154">
        <v>20000</v>
      </c>
      <c r="I124" s="155">
        <v>3633000</v>
      </c>
      <c r="J124" s="155"/>
      <c r="K124" s="314">
        <f t="shared" si="1"/>
        <v>3633000</v>
      </c>
    </row>
    <row r="125" spans="1:11" ht="60" x14ac:dyDescent="0.25">
      <c r="A125" s="149">
        <v>4271738</v>
      </c>
      <c r="B125" s="150" t="s">
        <v>1141</v>
      </c>
      <c r="C125" s="151" t="s">
        <v>1140</v>
      </c>
      <c r="D125" s="152" t="s">
        <v>1124</v>
      </c>
      <c r="E125" s="153">
        <v>3923012</v>
      </c>
      <c r="F125" s="154">
        <v>3506970</v>
      </c>
      <c r="G125" s="154">
        <v>375720</v>
      </c>
      <c r="H125" s="154">
        <v>0</v>
      </c>
      <c r="I125" s="155">
        <v>3882690</v>
      </c>
      <c r="J125" s="155"/>
      <c r="K125" s="314">
        <f t="shared" si="1"/>
        <v>3882690</v>
      </c>
    </row>
    <row r="126" spans="1:11" ht="60" x14ac:dyDescent="0.25">
      <c r="A126" s="149">
        <v>1622964</v>
      </c>
      <c r="B126" s="150" t="s">
        <v>969</v>
      </c>
      <c r="C126" s="151" t="s">
        <v>684</v>
      </c>
      <c r="D126" s="152" t="s">
        <v>1250</v>
      </c>
      <c r="E126" s="153">
        <v>3547000</v>
      </c>
      <c r="F126" s="154">
        <v>2743830</v>
      </c>
      <c r="G126" s="154">
        <v>304870</v>
      </c>
      <c r="H126" s="154">
        <v>296554</v>
      </c>
      <c r="I126" s="155">
        <v>3345254</v>
      </c>
      <c r="J126" s="155"/>
      <c r="K126" s="314">
        <f t="shared" si="1"/>
        <v>3345254</v>
      </c>
    </row>
    <row r="127" spans="1:11" ht="60.75" thickBot="1" x14ac:dyDescent="0.3">
      <c r="A127" s="156">
        <v>8979890</v>
      </c>
      <c r="B127" s="157" t="s">
        <v>969</v>
      </c>
      <c r="C127" s="158" t="s">
        <v>389</v>
      </c>
      <c r="D127" s="159" t="s">
        <v>1282</v>
      </c>
      <c r="E127" s="160">
        <v>3457000</v>
      </c>
      <c r="F127" s="161">
        <v>2879510</v>
      </c>
      <c r="G127" s="161">
        <v>319950</v>
      </c>
      <c r="H127" s="161">
        <v>257540</v>
      </c>
      <c r="I127" s="162">
        <v>3457000</v>
      </c>
      <c r="J127" s="162"/>
      <c r="K127" s="314">
        <f t="shared" si="1"/>
        <v>3457000</v>
      </c>
    </row>
    <row r="128" spans="1:11" ht="120" x14ac:dyDescent="0.25">
      <c r="A128" s="142">
        <v>5700178</v>
      </c>
      <c r="B128" s="143" t="s">
        <v>1067</v>
      </c>
      <c r="C128" s="144" t="s">
        <v>1066</v>
      </c>
      <c r="D128" s="145" t="s">
        <v>1055</v>
      </c>
      <c r="E128" s="146">
        <v>658000</v>
      </c>
      <c r="F128" s="147">
        <v>565650</v>
      </c>
      <c r="G128" s="147">
        <v>62850</v>
      </c>
      <c r="H128" s="147">
        <v>11986</v>
      </c>
      <c r="I128" s="148">
        <v>640486</v>
      </c>
      <c r="J128" s="155"/>
      <c r="K128" s="314">
        <f t="shared" si="1"/>
        <v>640486</v>
      </c>
    </row>
    <row r="129" spans="1:11" ht="120" x14ac:dyDescent="0.25">
      <c r="A129" s="149">
        <v>6811251</v>
      </c>
      <c r="B129" s="150" t="s">
        <v>1067</v>
      </c>
      <c r="C129" s="151" t="s">
        <v>1066</v>
      </c>
      <c r="D129" s="152" t="s">
        <v>1055</v>
      </c>
      <c r="E129" s="153">
        <v>400000</v>
      </c>
      <c r="F129" s="154">
        <v>353020</v>
      </c>
      <c r="G129" s="154">
        <v>39220</v>
      </c>
      <c r="H129" s="154">
        <v>0</v>
      </c>
      <c r="I129" s="155">
        <v>392240</v>
      </c>
      <c r="J129" s="155"/>
      <c r="K129" s="314">
        <f t="shared" si="1"/>
        <v>392240</v>
      </c>
    </row>
    <row r="130" spans="1:11" ht="120" x14ac:dyDescent="0.25">
      <c r="A130" s="149">
        <v>2093343</v>
      </c>
      <c r="B130" s="150" t="s">
        <v>1067</v>
      </c>
      <c r="C130" s="151" t="s">
        <v>1066</v>
      </c>
      <c r="D130" s="152" t="s">
        <v>1055</v>
      </c>
      <c r="E130" s="153">
        <v>604000</v>
      </c>
      <c r="F130" s="154">
        <v>547000</v>
      </c>
      <c r="G130" s="154">
        <v>0</v>
      </c>
      <c r="H130" s="154">
        <v>16624</v>
      </c>
      <c r="I130" s="155">
        <v>563624</v>
      </c>
      <c r="J130" s="155"/>
      <c r="K130" s="314">
        <f t="shared" si="1"/>
        <v>563624</v>
      </c>
    </row>
    <row r="131" spans="1:11" ht="90" x14ac:dyDescent="0.25">
      <c r="A131" s="149">
        <v>3736692</v>
      </c>
      <c r="B131" s="150" t="s">
        <v>1067</v>
      </c>
      <c r="C131" s="151" t="s">
        <v>1239</v>
      </c>
      <c r="D131" s="152" t="s">
        <v>1238</v>
      </c>
      <c r="E131" s="153">
        <v>583000</v>
      </c>
      <c r="F131" s="154">
        <v>484650</v>
      </c>
      <c r="G131" s="154">
        <v>43850</v>
      </c>
      <c r="H131" s="154">
        <v>9170</v>
      </c>
      <c r="I131" s="155">
        <v>537670</v>
      </c>
      <c r="J131" s="155"/>
      <c r="K131" s="314">
        <f t="shared" ref="K131:K194" si="2">I131+J131</f>
        <v>537670</v>
      </c>
    </row>
    <row r="132" spans="1:11" ht="165" x14ac:dyDescent="0.25">
      <c r="A132" s="149">
        <v>1792038</v>
      </c>
      <c r="B132" s="150" t="s">
        <v>1067</v>
      </c>
      <c r="C132" s="151" t="s">
        <v>1448</v>
      </c>
      <c r="D132" s="152" t="s">
        <v>1447</v>
      </c>
      <c r="E132" s="153">
        <v>880000</v>
      </c>
      <c r="F132" s="154">
        <v>837640</v>
      </c>
      <c r="G132" s="154">
        <v>42360</v>
      </c>
      <c r="H132" s="154">
        <v>0</v>
      </c>
      <c r="I132" s="155">
        <v>880000</v>
      </c>
      <c r="J132" s="155"/>
      <c r="K132" s="314">
        <f t="shared" si="2"/>
        <v>880000</v>
      </c>
    </row>
    <row r="133" spans="1:11" ht="90.75" thickBot="1" x14ac:dyDescent="0.3">
      <c r="A133" s="156">
        <v>4373225</v>
      </c>
      <c r="B133" s="157" t="s">
        <v>1067</v>
      </c>
      <c r="C133" s="158" t="s">
        <v>1485</v>
      </c>
      <c r="D133" s="159" t="s">
        <v>1472</v>
      </c>
      <c r="E133" s="160">
        <v>543000</v>
      </c>
      <c r="F133" s="161">
        <v>480980</v>
      </c>
      <c r="G133" s="161">
        <v>50020</v>
      </c>
      <c r="H133" s="161">
        <v>0</v>
      </c>
      <c r="I133" s="162">
        <v>531000</v>
      </c>
      <c r="J133" s="155"/>
      <c r="K133" s="314">
        <f t="shared" si="2"/>
        <v>531000</v>
      </c>
    </row>
    <row r="134" spans="1:11" ht="135" x14ac:dyDescent="0.25">
      <c r="A134" s="142">
        <v>2495303</v>
      </c>
      <c r="B134" s="143" t="s">
        <v>1010</v>
      </c>
      <c r="C134" s="144" t="s">
        <v>1010</v>
      </c>
      <c r="D134" s="145" t="s">
        <v>1124</v>
      </c>
      <c r="E134" s="146">
        <v>5096330</v>
      </c>
      <c r="F134" s="147">
        <v>3129320</v>
      </c>
      <c r="G134" s="147">
        <v>463710</v>
      </c>
      <c r="H134" s="147">
        <v>0</v>
      </c>
      <c r="I134" s="148">
        <v>3593030</v>
      </c>
      <c r="J134" s="155"/>
      <c r="K134" s="314">
        <f t="shared" si="2"/>
        <v>3593030</v>
      </c>
    </row>
    <row r="135" spans="1:11" ht="135" x14ac:dyDescent="0.25">
      <c r="A135" s="149">
        <v>9268423</v>
      </c>
      <c r="B135" s="150" t="s">
        <v>1010</v>
      </c>
      <c r="C135" s="151" t="s">
        <v>1010</v>
      </c>
      <c r="D135" s="152" t="s">
        <v>1282</v>
      </c>
      <c r="E135" s="153">
        <v>9733310</v>
      </c>
      <c r="F135" s="154">
        <v>7165240</v>
      </c>
      <c r="G135" s="154">
        <v>664140</v>
      </c>
      <c r="H135" s="154">
        <v>143646</v>
      </c>
      <c r="I135" s="155">
        <v>7973026</v>
      </c>
      <c r="J135" s="155"/>
      <c r="K135" s="314">
        <f t="shared" si="2"/>
        <v>7973026</v>
      </c>
    </row>
    <row r="136" spans="1:11" ht="135" x14ac:dyDescent="0.25">
      <c r="A136" s="149">
        <v>4497017</v>
      </c>
      <c r="B136" s="150" t="s">
        <v>1010</v>
      </c>
      <c r="C136" s="151" t="s">
        <v>1010</v>
      </c>
      <c r="D136" s="152" t="s">
        <v>1346</v>
      </c>
      <c r="E136" s="153">
        <v>4094520</v>
      </c>
      <c r="F136" s="154">
        <v>2094710</v>
      </c>
      <c r="G136" s="154">
        <v>353750</v>
      </c>
      <c r="H136" s="154">
        <v>40348</v>
      </c>
      <c r="I136" s="155">
        <v>2488808</v>
      </c>
      <c r="J136" s="155"/>
      <c r="K136" s="314">
        <f t="shared" si="2"/>
        <v>2488808</v>
      </c>
    </row>
    <row r="137" spans="1:11" ht="105" x14ac:dyDescent="0.25">
      <c r="A137" s="149">
        <v>5369609</v>
      </c>
      <c r="B137" s="150" t="s">
        <v>1018</v>
      </c>
      <c r="C137" s="151" t="s">
        <v>1020</v>
      </c>
      <c r="D137" s="152" t="s">
        <v>1427</v>
      </c>
      <c r="E137" s="153">
        <v>1368920</v>
      </c>
      <c r="F137" s="154">
        <v>1164420</v>
      </c>
      <c r="G137" s="154">
        <v>204500</v>
      </c>
      <c r="H137" s="154">
        <v>0</v>
      </c>
      <c r="I137" s="155">
        <v>1368920</v>
      </c>
      <c r="J137" s="155"/>
      <c r="K137" s="314">
        <f t="shared" si="2"/>
        <v>1368920</v>
      </c>
    </row>
    <row r="138" spans="1:11" ht="75" x14ac:dyDescent="0.25">
      <c r="A138" s="149">
        <v>9223303</v>
      </c>
      <c r="B138" s="150" t="s">
        <v>1113</v>
      </c>
      <c r="C138" s="151" t="s">
        <v>1112</v>
      </c>
      <c r="D138" s="152" t="s">
        <v>1055</v>
      </c>
      <c r="E138" s="153">
        <v>410312</v>
      </c>
      <c r="F138" s="154">
        <v>200100</v>
      </c>
      <c r="G138" s="154">
        <v>22230</v>
      </c>
      <c r="H138" s="154">
        <v>14088</v>
      </c>
      <c r="I138" s="155">
        <v>236418</v>
      </c>
      <c r="J138" s="155"/>
      <c r="K138" s="314">
        <f t="shared" si="2"/>
        <v>236418</v>
      </c>
    </row>
    <row r="139" spans="1:11" ht="60" x14ac:dyDescent="0.25">
      <c r="A139" s="149">
        <v>5539112</v>
      </c>
      <c r="B139" s="150" t="s">
        <v>1113</v>
      </c>
      <c r="C139" s="151" t="s">
        <v>1113</v>
      </c>
      <c r="D139" s="152" t="s">
        <v>1282</v>
      </c>
      <c r="E139" s="153">
        <v>2683677</v>
      </c>
      <c r="F139" s="154">
        <v>1822380</v>
      </c>
      <c r="G139" s="154">
        <v>177490</v>
      </c>
      <c r="H139" s="154">
        <v>171253</v>
      </c>
      <c r="I139" s="155">
        <v>2171123</v>
      </c>
      <c r="J139" s="155"/>
      <c r="K139" s="314">
        <f t="shared" si="2"/>
        <v>2171123</v>
      </c>
    </row>
    <row r="140" spans="1:11" ht="60" x14ac:dyDescent="0.25">
      <c r="A140" s="149">
        <v>7218817</v>
      </c>
      <c r="B140" s="150" t="s">
        <v>1113</v>
      </c>
      <c r="C140" s="151" t="s">
        <v>1112</v>
      </c>
      <c r="D140" s="152" t="s">
        <v>1472</v>
      </c>
      <c r="E140" s="153">
        <v>1420556</v>
      </c>
      <c r="F140" s="154">
        <v>983520</v>
      </c>
      <c r="G140" s="154">
        <v>171880</v>
      </c>
      <c r="H140" s="154">
        <v>35338</v>
      </c>
      <c r="I140" s="155">
        <v>1190738</v>
      </c>
      <c r="J140" s="155"/>
      <c r="K140" s="314">
        <f t="shared" si="2"/>
        <v>1190738</v>
      </c>
    </row>
    <row r="141" spans="1:11" ht="60" x14ac:dyDescent="0.25">
      <c r="A141" s="149">
        <v>1686476</v>
      </c>
      <c r="B141" s="150" t="s">
        <v>1175</v>
      </c>
      <c r="C141" s="151" t="s">
        <v>386</v>
      </c>
      <c r="D141" s="152" t="s">
        <v>1155</v>
      </c>
      <c r="E141" s="153">
        <v>5280000</v>
      </c>
      <c r="F141" s="154">
        <v>4886720</v>
      </c>
      <c r="G141" s="154">
        <v>0</v>
      </c>
      <c r="H141" s="154">
        <v>365148</v>
      </c>
      <c r="I141" s="155">
        <v>5251868</v>
      </c>
      <c r="J141" s="155"/>
      <c r="K141" s="314">
        <f t="shared" si="2"/>
        <v>5251868</v>
      </c>
    </row>
    <row r="142" spans="1:11" ht="105.75" thickBot="1" x14ac:dyDescent="0.3">
      <c r="A142" s="156">
        <v>9577077</v>
      </c>
      <c r="B142" s="157" t="s">
        <v>1175</v>
      </c>
      <c r="C142" s="158" t="s">
        <v>1035</v>
      </c>
      <c r="D142" s="159" t="s">
        <v>1232</v>
      </c>
      <c r="E142" s="160">
        <v>3123000</v>
      </c>
      <c r="F142" s="161">
        <v>2320560</v>
      </c>
      <c r="G142" s="161">
        <v>0</v>
      </c>
      <c r="H142" s="161">
        <v>250000</v>
      </c>
      <c r="I142" s="162">
        <v>2570560</v>
      </c>
      <c r="J142" s="155">
        <v>200000</v>
      </c>
      <c r="K142" s="314">
        <f t="shared" si="2"/>
        <v>2770560</v>
      </c>
    </row>
    <row r="143" spans="1:11" ht="75" x14ac:dyDescent="0.25">
      <c r="A143" s="142">
        <v>4382191</v>
      </c>
      <c r="B143" s="143" t="s">
        <v>332</v>
      </c>
      <c r="C143" s="144" t="s">
        <v>1082</v>
      </c>
      <c r="D143" s="145" t="s">
        <v>1055</v>
      </c>
      <c r="E143" s="146">
        <v>350000</v>
      </c>
      <c r="F143" s="147">
        <v>206400</v>
      </c>
      <c r="G143" s="147">
        <v>0</v>
      </c>
      <c r="H143" s="147">
        <v>19135</v>
      </c>
      <c r="I143" s="148">
        <v>225535</v>
      </c>
      <c r="J143" s="155"/>
      <c r="K143" s="314">
        <f t="shared" si="2"/>
        <v>225535</v>
      </c>
    </row>
    <row r="144" spans="1:11" ht="75" x14ac:dyDescent="0.25">
      <c r="A144" s="149">
        <v>3597628</v>
      </c>
      <c r="B144" s="150" t="s">
        <v>332</v>
      </c>
      <c r="C144" s="151" t="s">
        <v>386</v>
      </c>
      <c r="D144" s="152" t="s">
        <v>1155</v>
      </c>
      <c r="E144" s="153">
        <v>3500000</v>
      </c>
      <c r="F144" s="154">
        <v>1700360</v>
      </c>
      <c r="G144" s="154">
        <v>300000</v>
      </c>
      <c r="H144" s="154">
        <v>355953</v>
      </c>
      <c r="I144" s="155">
        <v>2356313</v>
      </c>
      <c r="J144" s="155"/>
      <c r="K144" s="314">
        <f t="shared" si="2"/>
        <v>2356313</v>
      </c>
    </row>
    <row r="145" spans="1:11" ht="75" x14ac:dyDescent="0.25">
      <c r="A145" s="149">
        <v>7916274</v>
      </c>
      <c r="B145" s="150" t="s">
        <v>332</v>
      </c>
      <c r="C145" s="151" t="s">
        <v>390</v>
      </c>
      <c r="D145" s="152" t="s">
        <v>1316</v>
      </c>
      <c r="E145" s="153">
        <v>7200000</v>
      </c>
      <c r="F145" s="154">
        <v>4104290</v>
      </c>
      <c r="G145" s="154">
        <v>400000</v>
      </c>
      <c r="H145" s="154">
        <v>900000</v>
      </c>
      <c r="I145" s="155">
        <v>5404290</v>
      </c>
      <c r="J145" s="155"/>
      <c r="K145" s="314">
        <f t="shared" si="2"/>
        <v>5404290</v>
      </c>
    </row>
    <row r="146" spans="1:11" ht="105" x14ac:dyDescent="0.25">
      <c r="A146" s="149">
        <v>4987165</v>
      </c>
      <c r="B146" s="150" t="s">
        <v>332</v>
      </c>
      <c r="C146" s="151" t="s">
        <v>1436</v>
      </c>
      <c r="D146" s="152" t="s">
        <v>1427</v>
      </c>
      <c r="E146" s="153">
        <v>2000000</v>
      </c>
      <c r="F146" s="154">
        <v>724820</v>
      </c>
      <c r="G146" s="154">
        <v>0</v>
      </c>
      <c r="H146" s="154">
        <v>300000</v>
      </c>
      <c r="I146" s="155">
        <v>1024820</v>
      </c>
      <c r="J146" s="155"/>
      <c r="K146" s="314">
        <f t="shared" si="2"/>
        <v>1024820</v>
      </c>
    </row>
    <row r="147" spans="1:11" ht="75" x14ac:dyDescent="0.25">
      <c r="A147" s="149">
        <v>6181040</v>
      </c>
      <c r="B147" s="150" t="s">
        <v>602</v>
      </c>
      <c r="C147" s="151" t="s">
        <v>605</v>
      </c>
      <c r="D147" s="152" t="s">
        <v>1155</v>
      </c>
      <c r="E147" s="153">
        <v>270000</v>
      </c>
      <c r="F147" s="154">
        <v>52500</v>
      </c>
      <c r="G147" s="154">
        <v>0</v>
      </c>
      <c r="H147" s="154">
        <v>58826</v>
      </c>
      <c r="I147" s="155">
        <v>111326</v>
      </c>
      <c r="J147" s="155"/>
      <c r="K147" s="314">
        <f t="shared" si="2"/>
        <v>111326</v>
      </c>
    </row>
    <row r="148" spans="1:11" ht="90" x14ac:dyDescent="0.25">
      <c r="A148" s="149">
        <v>1647194</v>
      </c>
      <c r="B148" s="150" t="s">
        <v>606</v>
      </c>
      <c r="C148" s="151" t="s">
        <v>608</v>
      </c>
      <c r="D148" s="152" t="s">
        <v>1155</v>
      </c>
      <c r="E148" s="153">
        <v>990000</v>
      </c>
      <c r="F148" s="154">
        <v>685740</v>
      </c>
      <c r="G148" s="154">
        <v>0</v>
      </c>
      <c r="H148" s="154">
        <v>0</v>
      </c>
      <c r="I148" s="155">
        <v>685740</v>
      </c>
      <c r="J148" s="155"/>
      <c r="K148" s="314">
        <f t="shared" si="2"/>
        <v>685740</v>
      </c>
    </row>
    <row r="149" spans="1:11" ht="75" x14ac:dyDescent="0.25">
      <c r="A149" s="149">
        <v>9478716</v>
      </c>
      <c r="B149" s="150" t="s">
        <v>940</v>
      </c>
      <c r="C149" s="151" t="s">
        <v>940</v>
      </c>
      <c r="D149" s="152" t="s">
        <v>1155</v>
      </c>
      <c r="E149" s="153">
        <v>215158</v>
      </c>
      <c r="F149" s="154">
        <v>93750</v>
      </c>
      <c r="G149" s="154">
        <v>0</v>
      </c>
      <c r="H149" s="154">
        <v>0</v>
      </c>
      <c r="I149" s="155">
        <v>93750</v>
      </c>
      <c r="J149" s="155"/>
      <c r="K149" s="314">
        <f t="shared" si="2"/>
        <v>93750</v>
      </c>
    </row>
    <row r="150" spans="1:11" ht="120" x14ac:dyDescent="0.25">
      <c r="A150" s="149">
        <v>9924639</v>
      </c>
      <c r="B150" s="150" t="s">
        <v>857</v>
      </c>
      <c r="C150" s="151" t="s">
        <v>857</v>
      </c>
      <c r="D150" s="152" t="s">
        <v>1155</v>
      </c>
      <c r="E150" s="153">
        <v>3000000</v>
      </c>
      <c r="F150" s="154">
        <v>2215740</v>
      </c>
      <c r="G150" s="154">
        <v>365800</v>
      </c>
      <c r="H150" s="154">
        <v>418460</v>
      </c>
      <c r="I150" s="155">
        <v>3000000</v>
      </c>
      <c r="J150" s="155"/>
      <c r="K150" s="314">
        <f t="shared" si="2"/>
        <v>3000000</v>
      </c>
    </row>
    <row r="151" spans="1:11" ht="120" x14ac:dyDescent="0.25">
      <c r="A151" s="149">
        <v>2514714</v>
      </c>
      <c r="B151" s="150" t="s">
        <v>857</v>
      </c>
      <c r="C151" s="151" t="s">
        <v>860</v>
      </c>
      <c r="D151" s="152" t="s">
        <v>1382</v>
      </c>
      <c r="E151" s="153">
        <v>420000</v>
      </c>
      <c r="F151" s="154">
        <v>320380</v>
      </c>
      <c r="G151" s="154">
        <v>50000</v>
      </c>
      <c r="H151" s="154">
        <v>0</v>
      </c>
      <c r="I151" s="155">
        <v>370380</v>
      </c>
      <c r="J151" s="155"/>
      <c r="K151" s="314">
        <f t="shared" si="2"/>
        <v>370380</v>
      </c>
    </row>
    <row r="152" spans="1:11" ht="120" x14ac:dyDescent="0.25">
      <c r="A152" s="149">
        <v>1696009</v>
      </c>
      <c r="B152" s="150" t="s">
        <v>857</v>
      </c>
      <c r="C152" s="151" t="s">
        <v>859</v>
      </c>
      <c r="D152" s="152" t="s">
        <v>1423</v>
      </c>
      <c r="E152" s="153">
        <v>372700</v>
      </c>
      <c r="F152" s="154">
        <v>262500</v>
      </c>
      <c r="G152" s="154">
        <v>0</v>
      </c>
      <c r="H152" s="154">
        <v>0</v>
      </c>
      <c r="I152" s="155">
        <v>262500</v>
      </c>
      <c r="J152" s="155"/>
      <c r="K152" s="314">
        <f t="shared" si="2"/>
        <v>262500</v>
      </c>
    </row>
    <row r="153" spans="1:11" ht="60" x14ac:dyDescent="0.25">
      <c r="A153" s="149">
        <v>4878719</v>
      </c>
      <c r="B153" s="150" t="s">
        <v>942</v>
      </c>
      <c r="C153" s="151" t="s">
        <v>942</v>
      </c>
      <c r="D153" s="152" t="s">
        <v>1155</v>
      </c>
      <c r="E153" s="153">
        <v>1333000</v>
      </c>
      <c r="F153" s="154">
        <v>1117120</v>
      </c>
      <c r="G153" s="154">
        <v>0</v>
      </c>
      <c r="H153" s="154">
        <v>0</v>
      </c>
      <c r="I153" s="155">
        <v>1117120</v>
      </c>
      <c r="J153" s="155"/>
      <c r="K153" s="314">
        <f t="shared" si="2"/>
        <v>1117120</v>
      </c>
    </row>
    <row r="154" spans="1:11" ht="60" x14ac:dyDescent="0.25">
      <c r="A154" s="149">
        <v>5344327</v>
      </c>
      <c r="B154" s="150" t="s">
        <v>942</v>
      </c>
      <c r="C154" s="151" t="s">
        <v>942</v>
      </c>
      <c r="D154" s="152" t="s">
        <v>1316</v>
      </c>
      <c r="E154" s="153">
        <v>5400000</v>
      </c>
      <c r="F154" s="154">
        <v>3783650</v>
      </c>
      <c r="G154" s="154">
        <v>0</v>
      </c>
      <c r="H154" s="154">
        <v>900000</v>
      </c>
      <c r="I154" s="155">
        <v>4683650</v>
      </c>
      <c r="J154" s="155"/>
      <c r="K154" s="314">
        <f t="shared" si="2"/>
        <v>4683650</v>
      </c>
    </row>
    <row r="155" spans="1:11" ht="90" x14ac:dyDescent="0.25">
      <c r="A155" s="149">
        <v>1642854</v>
      </c>
      <c r="B155" s="150" t="s">
        <v>942</v>
      </c>
      <c r="C155" s="151" t="s">
        <v>942</v>
      </c>
      <c r="D155" s="152" t="s">
        <v>1336</v>
      </c>
      <c r="E155" s="153">
        <v>6060000</v>
      </c>
      <c r="F155" s="154">
        <v>4319580</v>
      </c>
      <c r="G155" s="154">
        <v>400000</v>
      </c>
      <c r="H155" s="154">
        <v>800000</v>
      </c>
      <c r="I155" s="155">
        <v>5519580</v>
      </c>
      <c r="J155" s="155"/>
      <c r="K155" s="314">
        <f t="shared" si="2"/>
        <v>5519580</v>
      </c>
    </row>
    <row r="156" spans="1:11" ht="150" x14ac:dyDescent="0.25">
      <c r="A156" s="149">
        <v>9328941</v>
      </c>
      <c r="B156" s="150" t="s">
        <v>1526</v>
      </c>
      <c r="C156" s="151" t="s">
        <v>1526</v>
      </c>
      <c r="D156" s="152" t="s">
        <v>1361</v>
      </c>
      <c r="E156" s="153">
        <v>1260000</v>
      </c>
      <c r="F156" s="154">
        <v>968100</v>
      </c>
      <c r="G156" s="154">
        <v>0</v>
      </c>
      <c r="H156" s="154">
        <v>280977</v>
      </c>
      <c r="I156" s="155">
        <v>1249077</v>
      </c>
      <c r="J156" s="155"/>
      <c r="K156" s="314">
        <f t="shared" si="2"/>
        <v>1249077</v>
      </c>
    </row>
    <row r="157" spans="1:11" ht="60" x14ac:dyDescent="0.25">
      <c r="A157" s="149">
        <v>6232669</v>
      </c>
      <c r="B157" s="150" t="s">
        <v>610</v>
      </c>
      <c r="C157" s="151" t="s">
        <v>1208</v>
      </c>
      <c r="D157" s="152" t="s">
        <v>1155</v>
      </c>
      <c r="E157" s="153">
        <v>2100000</v>
      </c>
      <c r="F157" s="154">
        <v>1304760</v>
      </c>
      <c r="G157" s="154">
        <v>0</v>
      </c>
      <c r="H157" s="154">
        <v>274286</v>
      </c>
      <c r="I157" s="155">
        <v>1579046</v>
      </c>
      <c r="J157" s="155"/>
      <c r="K157" s="314">
        <f t="shared" si="2"/>
        <v>1579046</v>
      </c>
    </row>
    <row r="158" spans="1:11" ht="60" x14ac:dyDescent="0.25">
      <c r="A158" s="149">
        <v>8635813</v>
      </c>
      <c r="B158" s="150" t="s">
        <v>493</v>
      </c>
      <c r="C158" s="151" t="s">
        <v>493</v>
      </c>
      <c r="D158" s="152" t="s">
        <v>1316</v>
      </c>
      <c r="E158" s="153">
        <v>6800000</v>
      </c>
      <c r="F158" s="154">
        <v>4171340</v>
      </c>
      <c r="G158" s="154">
        <v>300000</v>
      </c>
      <c r="H158" s="154">
        <v>1097147</v>
      </c>
      <c r="I158" s="155">
        <v>5568487</v>
      </c>
      <c r="J158" s="155"/>
      <c r="K158" s="314">
        <f t="shared" si="2"/>
        <v>5568487</v>
      </c>
    </row>
    <row r="159" spans="1:11" ht="120" x14ac:dyDescent="0.25">
      <c r="A159" s="149">
        <v>5175408</v>
      </c>
      <c r="B159" s="150" t="s">
        <v>977</v>
      </c>
      <c r="C159" s="151" t="s">
        <v>977</v>
      </c>
      <c r="D159" s="152" t="s">
        <v>1155</v>
      </c>
      <c r="E159" s="153">
        <v>951500</v>
      </c>
      <c r="F159" s="154">
        <v>195590</v>
      </c>
      <c r="G159" s="154">
        <v>0</v>
      </c>
      <c r="H159" s="154">
        <v>86262</v>
      </c>
      <c r="I159" s="155">
        <v>281852</v>
      </c>
      <c r="J159" s="155"/>
      <c r="K159" s="314">
        <f t="shared" si="2"/>
        <v>281852</v>
      </c>
    </row>
    <row r="160" spans="1:11" ht="120" x14ac:dyDescent="0.25">
      <c r="A160" s="149">
        <v>2015983</v>
      </c>
      <c r="B160" s="150" t="s">
        <v>977</v>
      </c>
      <c r="C160" s="151" t="s">
        <v>977</v>
      </c>
      <c r="D160" s="152" t="s">
        <v>1273</v>
      </c>
      <c r="E160" s="153">
        <v>969000</v>
      </c>
      <c r="F160" s="154">
        <v>453600</v>
      </c>
      <c r="G160" s="154">
        <v>0</v>
      </c>
      <c r="H160" s="154">
        <v>148162</v>
      </c>
      <c r="I160" s="155">
        <v>601762</v>
      </c>
      <c r="J160" s="155"/>
      <c r="K160" s="314">
        <f t="shared" si="2"/>
        <v>601762</v>
      </c>
    </row>
    <row r="161" spans="1:11" ht="75" x14ac:dyDescent="0.25">
      <c r="A161" s="149">
        <v>6428468</v>
      </c>
      <c r="B161" s="150" t="s">
        <v>613</v>
      </c>
      <c r="C161" s="151" t="s">
        <v>1210</v>
      </c>
      <c r="D161" s="152" t="s">
        <v>1155</v>
      </c>
      <c r="E161" s="153">
        <v>4000000</v>
      </c>
      <c r="F161" s="154">
        <v>1935780</v>
      </c>
      <c r="G161" s="154">
        <v>0</v>
      </c>
      <c r="H161" s="154">
        <v>690623</v>
      </c>
      <c r="I161" s="155">
        <v>2626403</v>
      </c>
      <c r="J161" s="155"/>
      <c r="K161" s="314">
        <f t="shared" si="2"/>
        <v>2626403</v>
      </c>
    </row>
    <row r="162" spans="1:11" ht="105" x14ac:dyDescent="0.25">
      <c r="A162" s="149">
        <v>1225073</v>
      </c>
      <c r="B162" s="150" t="s">
        <v>947</v>
      </c>
      <c r="C162" s="151" t="s">
        <v>1163</v>
      </c>
      <c r="D162" s="152" t="s">
        <v>1155</v>
      </c>
      <c r="E162" s="153">
        <v>7450000</v>
      </c>
      <c r="F162" s="154">
        <v>4836330</v>
      </c>
      <c r="G162" s="154">
        <v>200000</v>
      </c>
      <c r="H162" s="154">
        <v>1423050</v>
      </c>
      <c r="I162" s="155">
        <v>6459380</v>
      </c>
      <c r="J162" s="155"/>
      <c r="K162" s="314">
        <f t="shared" si="2"/>
        <v>6459380</v>
      </c>
    </row>
    <row r="163" spans="1:11" ht="120" x14ac:dyDescent="0.25">
      <c r="A163" s="149">
        <v>9459250</v>
      </c>
      <c r="B163" s="150" t="s">
        <v>947</v>
      </c>
      <c r="C163" s="151" t="s">
        <v>1304</v>
      </c>
      <c r="D163" s="152" t="s">
        <v>1282</v>
      </c>
      <c r="E163" s="153">
        <v>2544000</v>
      </c>
      <c r="F163" s="154">
        <v>1242630</v>
      </c>
      <c r="G163" s="154">
        <v>0</v>
      </c>
      <c r="H163" s="154">
        <v>417027</v>
      </c>
      <c r="I163" s="155">
        <v>1659657</v>
      </c>
      <c r="J163" s="155"/>
      <c r="K163" s="314">
        <f t="shared" si="2"/>
        <v>1659657</v>
      </c>
    </row>
    <row r="164" spans="1:11" ht="60" x14ac:dyDescent="0.25">
      <c r="A164" s="149">
        <v>4381530</v>
      </c>
      <c r="B164" s="150" t="s">
        <v>947</v>
      </c>
      <c r="C164" s="151" t="s">
        <v>390</v>
      </c>
      <c r="D164" s="152" t="s">
        <v>1316</v>
      </c>
      <c r="E164" s="153">
        <v>15850000</v>
      </c>
      <c r="F164" s="154">
        <v>8704080</v>
      </c>
      <c r="G164" s="154">
        <v>1200000</v>
      </c>
      <c r="H164" s="154">
        <v>2240372</v>
      </c>
      <c r="I164" s="155">
        <v>12144452</v>
      </c>
      <c r="J164" s="155"/>
      <c r="K164" s="314">
        <f t="shared" si="2"/>
        <v>12144452</v>
      </c>
    </row>
    <row r="165" spans="1:11" ht="60" x14ac:dyDescent="0.25">
      <c r="A165" s="149">
        <v>5703553</v>
      </c>
      <c r="B165" s="150" t="s">
        <v>947</v>
      </c>
      <c r="C165" s="151" t="s">
        <v>769</v>
      </c>
      <c r="D165" s="152" t="s">
        <v>1346</v>
      </c>
      <c r="E165" s="153">
        <v>2140000</v>
      </c>
      <c r="F165" s="154">
        <v>1430150</v>
      </c>
      <c r="G165" s="154">
        <v>0</v>
      </c>
      <c r="H165" s="154">
        <v>479273</v>
      </c>
      <c r="I165" s="155">
        <v>1909423</v>
      </c>
      <c r="J165" s="155"/>
      <c r="K165" s="314">
        <f t="shared" si="2"/>
        <v>1909423</v>
      </c>
    </row>
    <row r="166" spans="1:11" ht="60" x14ac:dyDescent="0.25">
      <c r="A166" s="149">
        <v>4720531</v>
      </c>
      <c r="B166" s="150" t="s">
        <v>947</v>
      </c>
      <c r="C166" s="151" t="s">
        <v>859</v>
      </c>
      <c r="D166" s="152" t="s">
        <v>1423</v>
      </c>
      <c r="E166" s="153">
        <v>617670</v>
      </c>
      <c r="F166" s="154">
        <v>357550</v>
      </c>
      <c r="G166" s="154">
        <v>0</v>
      </c>
      <c r="H166" s="154">
        <v>120020</v>
      </c>
      <c r="I166" s="155">
        <v>477570</v>
      </c>
      <c r="J166" s="155"/>
      <c r="K166" s="314">
        <f t="shared" si="2"/>
        <v>477570</v>
      </c>
    </row>
    <row r="167" spans="1:11" ht="90" x14ac:dyDescent="0.25">
      <c r="A167" s="149">
        <v>1172890</v>
      </c>
      <c r="B167" s="150" t="s">
        <v>618</v>
      </c>
      <c r="C167" s="151" t="s">
        <v>620</v>
      </c>
      <c r="D167" s="152" t="s">
        <v>1155</v>
      </c>
      <c r="E167" s="153">
        <v>4020000</v>
      </c>
      <c r="F167" s="154">
        <v>2255850</v>
      </c>
      <c r="G167" s="154">
        <v>0</v>
      </c>
      <c r="H167" s="154">
        <v>692760</v>
      </c>
      <c r="I167" s="155">
        <v>2948610</v>
      </c>
      <c r="J167" s="155"/>
      <c r="K167" s="314">
        <f t="shared" si="2"/>
        <v>2948610</v>
      </c>
    </row>
    <row r="168" spans="1:11" ht="75" x14ac:dyDescent="0.25">
      <c r="A168" s="149">
        <v>4531517</v>
      </c>
      <c r="B168" s="150" t="s">
        <v>618</v>
      </c>
      <c r="C168" s="151" t="s">
        <v>623</v>
      </c>
      <c r="D168" s="152" t="s">
        <v>1273</v>
      </c>
      <c r="E168" s="153">
        <v>550000</v>
      </c>
      <c r="F168" s="154">
        <v>334180</v>
      </c>
      <c r="G168" s="154">
        <v>0</v>
      </c>
      <c r="H168" s="154">
        <v>92367</v>
      </c>
      <c r="I168" s="155">
        <v>426547</v>
      </c>
      <c r="J168" s="155"/>
      <c r="K168" s="314">
        <f t="shared" si="2"/>
        <v>426547</v>
      </c>
    </row>
    <row r="169" spans="1:11" ht="60" x14ac:dyDescent="0.25">
      <c r="A169" s="149">
        <v>9196018</v>
      </c>
      <c r="B169" s="150" t="s">
        <v>748</v>
      </c>
      <c r="C169" s="151" t="s">
        <v>750</v>
      </c>
      <c r="D169" s="152" t="s">
        <v>1155</v>
      </c>
      <c r="E169" s="153">
        <v>750000</v>
      </c>
      <c r="F169" s="154">
        <v>408500</v>
      </c>
      <c r="G169" s="154">
        <v>0</v>
      </c>
      <c r="H169" s="154">
        <v>150574</v>
      </c>
      <c r="I169" s="155">
        <v>559074</v>
      </c>
      <c r="J169" s="155"/>
      <c r="K169" s="314">
        <f t="shared" si="2"/>
        <v>559074</v>
      </c>
    </row>
    <row r="170" spans="1:11" ht="60" x14ac:dyDescent="0.25">
      <c r="A170" s="149">
        <v>7702105</v>
      </c>
      <c r="B170" s="150" t="s">
        <v>626</v>
      </c>
      <c r="C170" s="151" t="s">
        <v>386</v>
      </c>
      <c r="D170" s="152" t="s">
        <v>1155</v>
      </c>
      <c r="E170" s="153">
        <v>1650000</v>
      </c>
      <c r="F170" s="154">
        <v>762800</v>
      </c>
      <c r="G170" s="154">
        <v>0</v>
      </c>
      <c r="H170" s="154">
        <v>250935</v>
      </c>
      <c r="I170" s="155">
        <v>1013735</v>
      </c>
      <c r="J170" s="155"/>
      <c r="K170" s="314">
        <f t="shared" si="2"/>
        <v>1013735</v>
      </c>
    </row>
    <row r="171" spans="1:11" ht="75" x14ac:dyDescent="0.25">
      <c r="A171" s="149">
        <v>1671513</v>
      </c>
      <c r="B171" s="150" t="s">
        <v>630</v>
      </c>
      <c r="C171" s="151" t="s">
        <v>632</v>
      </c>
      <c r="D171" s="152" t="s">
        <v>1155</v>
      </c>
      <c r="E171" s="153">
        <v>600000</v>
      </c>
      <c r="F171" s="154">
        <v>261000</v>
      </c>
      <c r="G171" s="154">
        <v>0</v>
      </c>
      <c r="H171" s="154">
        <v>103926</v>
      </c>
      <c r="I171" s="155">
        <v>364926</v>
      </c>
      <c r="J171" s="155"/>
      <c r="K171" s="314">
        <f t="shared" si="2"/>
        <v>364926</v>
      </c>
    </row>
    <row r="172" spans="1:11" ht="60" x14ac:dyDescent="0.25">
      <c r="A172" s="149">
        <v>5141443</v>
      </c>
      <c r="B172" s="150" t="s">
        <v>636</v>
      </c>
      <c r="C172" s="151" t="s">
        <v>1197</v>
      </c>
      <c r="D172" s="152" t="s">
        <v>1155</v>
      </c>
      <c r="E172" s="153">
        <v>180000</v>
      </c>
      <c r="F172" s="154">
        <v>150000</v>
      </c>
      <c r="G172" s="154">
        <v>0</v>
      </c>
      <c r="H172" s="154">
        <v>0</v>
      </c>
      <c r="I172" s="155">
        <v>150000</v>
      </c>
      <c r="J172" s="155"/>
      <c r="K172" s="314">
        <f t="shared" si="2"/>
        <v>150000</v>
      </c>
    </row>
    <row r="173" spans="1:11" ht="75" x14ac:dyDescent="0.25">
      <c r="A173" s="149">
        <v>7259548</v>
      </c>
      <c r="B173" s="150" t="s">
        <v>678</v>
      </c>
      <c r="C173" s="151" t="s">
        <v>386</v>
      </c>
      <c r="D173" s="152" t="s">
        <v>1155</v>
      </c>
      <c r="E173" s="153">
        <v>6533325</v>
      </c>
      <c r="F173" s="154">
        <v>2476210</v>
      </c>
      <c r="G173" s="154">
        <v>0</v>
      </c>
      <c r="H173" s="154">
        <v>100000</v>
      </c>
      <c r="I173" s="155">
        <v>2576210</v>
      </c>
      <c r="J173" s="155"/>
      <c r="K173" s="314">
        <f t="shared" si="2"/>
        <v>2576210</v>
      </c>
    </row>
    <row r="174" spans="1:11" ht="75" x14ac:dyDescent="0.25">
      <c r="A174" s="149">
        <v>3357963</v>
      </c>
      <c r="B174" s="150" t="s">
        <v>678</v>
      </c>
      <c r="C174" s="151" t="s">
        <v>1259</v>
      </c>
      <c r="D174" s="152" t="s">
        <v>1250</v>
      </c>
      <c r="E174" s="153">
        <v>868238</v>
      </c>
      <c r="F174" s="154">
        <v>234850</v>
      </c>
      <c r="G174" s="154">
        <v>0</v>
      </c>
      <c r="H174" s="154">
        <v>0</v>
      </c>
      <c r="I174" s="155">
        <v>234850</v>
      </c>
      <c r="J174" s="155"/>
      <c r="K174" s="314">
        <f t="shared" si="2"/>
        <v>234850</v>
      </c>
    </row>
    <row r="175" spans="1:11" ht="75" x14ac:dyDescent="0.25">
      <c r="A175" s="149">
        <v>1817339</v>
      </c>
      <c r="B175" s="150" t="s">
        <v>678</v>
      </c>
      <c r="C175" s="151" t="s">
        <v>1259</v>
      </c>
      <c r="D175" s="152" t="s">
        <v>1316</v>
      </c>
      <c r="E175" s="153">
        <v>3804365</v>
      </c>
      <c r="F175" s="154">
        <v>1656320</v>
      </c>
      <c r="G175" s="154">
        <v>95000</v>
      </c>
      <c r="H175" s="154">
        <v>0</v>
      </c>
      <c r="I175" s="155">
        <v>1751320</v>
      </c>
      <c r="J175" s="155"/>
      <c r="K175" s="314">
        <f t="shared" si="2"/>
        <v>1751320</v>
      </c>
    </row>
    <row r="176" spans="1:11" ht="90" x14ac:dyDescent="0.25">
      <c r="A176" s="149">
        <v>3095940</v>
      </c>
      <c r="B176" s="150" t="s">
        <v>1003</v>
      </c>
      <c r="C176" s="151" t="s">
        <v>386</v>
      </c>
      <c r="D176" s="152" t="s">
        <v>1155</v>
      </c>
      <c r="E176" s="153">
        <v>2685000</v>
      </c>
      <c r="F176" s="154">
        <v>1600890</v>
      </c>
      <c r="G176" s="154">
        <v>0</v>
      </c>
      <c r="H176" s="154">
        <v>554639</v>
      </c>
      <c r="I176" s="155">
        <v>2155529</v>
      </c>
      <c r="J176" s="155"/>
      <c r="K176" s="314">
        <f t="shared" si="2"/>
        <v>2155529</v>
      </c>
    </row>
    <row r="177" spans="1:11" ht="90" x14ac:dyDescent="0.25">
      <c r="A177" s="149">
        <v>1109434</v>
      </c>
      <c r="B177" s="150" t="s">
        <v>1003</v>
      </c>
      <c r="C177" s="151" t="s">
        <v>390</v>
      </c>
      <c r="D177" s="152" t="s">
        <v>1316</v>
      </c>
      <c r="E177" s="153">
        <v>10719000</v>
      </c>
      <c r="F177" s="154">
        <v>4493580</v>
      </c>
      <c r="G177" s="154">
        <v>386720</v>
      </c>
      <c r="H177" s="154">
        <v>0</v>
      </c>
      <c r="I177" s="155">
        <v>4880300</v>
      </c>
      <c r="J177" s="155"/>
      <c r="K177" s="314">
        <f t="shared" si="2"/>
        <v>4880300</v>
      </c>
    </row>
    <row r="178" spans="1:11" ht="75" x14ac:dyDescent="0.25">
      <c r="A178" s="149">
        <v>9940787</v>
      </c>
      <c r="B178" s="150" t="s">
        <v>682</v>
      </c>
      <c r="C178" s="151" t="s">
        <v>386</v>
      </c>
      <c r="D178" s="152" t="s">
        <v>1155</v>
      </c>
      <c r="E178" s="153">
        <v>4762604</v>
      </c>
      <c r="F178" s="154">
        <v>2443820</v>
      </c>
      <c r="G178" s="154">
        <v>175542</v>
      </c>
      <c r="H178" s="154">
        <v>971195</v>
      </c>
      <c r="I178" s="155">
        <v>3590557</v>
      </c>
      <c r="J178" s="155"/>
      <c r="K178" s="314">
        <f t="shared" si="2"/>
        <v>3590557</v>
      </c>
    </row>
    <row r="179" spans="1:11" ht="75" x14ac:dyDescent="0.25">
      <c r="A179" s="149">
        <v>4075651</v>
      </c>
      <c r="B179" s="150" t="s">
        <v>682</v>
      </c>
      <c r="C179" s="151" t="s">
        <v>684</v>
      </c>
      <c r="D179" s="152" t="s">
        <v>1250</v>
      </c>
      <c r="E179" s="153">
        <v>1234654</v>
      </c>
      <c r="F179" s="154">
        <v>890010</v>
      </c>
      <c r="G179" s="154">
        <v>0</v>
      </c>
      <c r="H179" s="154">
        <v>344644</v>
      </c>
      <c r="I179" s="155">
        <v>1234654</v>
      </c>
      <c r="J179" s="155"/>
      <c r="K179" s="314">
        <f t="shared" si="2"/>
        <v>1234654</v>
      </c>
    </row>
    <row r="180" spans="1:11" ht="75" x14ac:dyDescent="0.25">
      <c r="A180" s="149">
        <v>2506443</v>
      </c>
      <c r="B180" s="150" t="s">
        <v>682</v>
      </c>
      <c r="C180" s="151" t="s">
        <v>287</v>
      </c>
      <c r="D180" s="152" t="s">
        <v>1273</v>
      </c>
      <c r="E180" s="153">
        <v>1026112</v>
      </c>
      <c r="F180" s="154">
        <v>764740</v>
      </c>
      <c r="G180" s="154">
        <v>0</v>
      </c>
      <c r="H180" s="154">
        <v>261372</v>
      </c>
      <c r="I180" s="155">
        <v>1026112</v>
      </c>
      <c r="J180" s="155"/>
      <c r="K180" s="314">
        <f t="shared" si="2"/>
        <v>1026112</v>
      </c>
    </row>
    <row r="181" spans="1:11" ht="75" x14ac:dyDescent="0.25">
      <c r="A181" s="149">
        <v>4782003</v>
      </c>
      <c r="B181" s="150" t="s">
        <v>682</v>
      </c>
      <c r="C181" s="151" t="s">
        <v>390</v>
      </c>
      <c r="D181" s="152" t="s">
        <v>1316</v>
      </c>
      <c r="E181" s="153">
        <v>9688710</v>
      </c>
      <c r="F181" s="154">
        <v>5417350</v>
      </c>
      <c r="G181" s="154">
        <v>400000</v>
      </c>
      <c r="H181" s="154">
        <v>1081567</v>
      </c>
      <c r="I181" s="155">
        <v>6898917</v>
      </c>
      <c r="J181" s="155"/>
      <c r="K181" s="314">
        <f t="shared" si="2"/>
        <v>6898917</v>
      </c>
    </row>
    <row r="182" spans="1:11" ht="75" x14ac:dyDescent="0.25">
      <c r="A182" s="149">
        <v>3994122</v>
      </c>
      <c r="B182" s="150" t="s">
        <v>640</v>
      </c>
      <c r="C182" s="151" t="s">
        <v>642</v>
      </c>
      <c r="D182" s="152" t="s">
        <v>1472</v>
      </c>
      <c r="E182" s="153">
        <v>1338671</v>
      </c>
      <c r="F182" s="154">
        <v>474410</v>
      </c>
      <c r="G182" s="154">
        <v>0</v>
      </c>
      <c r="H182" s="154">
        <v>300000</v>
      </c>
      <c r="I182" s="155">
        <v>774410</v>
      </c>
      <c r="J182" s="155"/>
      <c r="K182" s="314">
        <f t="shared" si="2"/>
        <v>774410</v>
      </c>
    </row>
    <row r="183" spans="1:11" ht="75" x14ac:dyDescent="0.25">
      <c r="A183" s="149">
        <v>9199716</v>
      </c>
      <c r="B183" s="150" t="s">
        <v>531</v>
      </c>
      <c r="C183" s="151" t="s">
        <v>1222</v>
      </c>
      <c r="D183" s="152" t="s">
        <v>1155</v>
      </c>
      <c r="E183" s="153">
        <v>2050000</v>
      </c>
      <c r="F183" s="154">
        <v>1317750</v>
      </c>
      <c r="G183" s="154">
        <v>0</v>
      </c>
      <c r="H183" s="154">
        <v>0</v>
      </c>
      <c r="I183" s="155">
        <v>1317750</v>
      </c>
      <c r="J183" s="155"/>
      <c r="K183" s="314">
        <f t="shared" si="2"/>
        <v>1317750</v>
      </c>
    </row>
    <row r="184" spans="1:11" ht="75" x14ac:dyDescent="0.25">
      <c r="A184" s="149">
        <v>6749255</v>
      </c>
      <c r="B184" s="150" t="s">
        <v>531</v>
      </c>
      <c r="C184" s="151" t="s">
        <v>1264</v>
      </c>
      <c r="D184" s="152" t="s">
        <v>1250</v>
      </c>
      <c r="E184" s="153">
        <v>1100000</v>
      </c>
      <c r="F184" s="154">
        <v>666130</v>
      </c>
      <c r="G184" s="154">
        <v>0</v>
      </c>
      <c r="H184" s="154">
        <v>0</v>
      </c>
      <c r="I184" s="155">
        <v>666130</v>
      </c>
      <c r="J184" s="155"/>
      <c r="K184" s="314">
        <f t="shared" si="2"/>
        <v>666130</v>
      </c>
    </row>
    <row r="185" spans="1:11" ht="75" x14ac:dyDescent="0.25">
      <c r="A185" s="149">
        <v>4547815</v>
      </c>
      <c r="B185" s="150" t="s">
        <v>531</v>
      </c>
      <c r="C185" s="151" t="s">
        <v>1279</v>
      </c>
      <c r="D185" s="152" t="s">
        <v>1273</v>
      </c>
      <c r="E185" s="153">
        <v>725000</v>
      </c>
      <c r="F185" s="154">
        <v>394360</v>
      </c>
      <c r="G185" s="154">
        <v>0</v>
      </c>
      <c r="H185" s="154">
        <v>134936</v>
      </c>
      <c r="I185" s="155">
        <v>529296</v>
      </c>
      <c r="J185" s="155"/>
      <c r="K185" s="314">
        <f t="shared" si="2"/>
        <v>529296</v>
      </c>
    </row>
    <row r="186" spans="1:11" ht="90" x14ac:dyDescent="0.25">
      <c r="A186" s="149">
        <v>6989404</v>
      </c>
      <c r="B186" s="150" t="s">
        <v>531</v>
      </c>
      <c r="C186" s="151" t="s">
        <v>1416</v>
      </c>
      <c r="D186" s="152" t="s">
        <v>1405</v>
      </c>
      <c r="E186" s="153">
        <v>850000</v>
      </c>
      <c r="F186" s="154">
        <v>584410</v>
      </c>
      <c r="G186" s="154">
        <v>0</v>
      </c>
      <c r="H186" s="154">
        <v>0</v>
      </c>
      <c r="I186" s="155">
        <v>584410</v>
      </c>
      <c r="J186" s="155"/>
      <c r="K186" s="314">
        <f t="shared" si="2"/>
        <v>584410</v>
      </c>
    </row>
    <row r="187" spans="1:11" ht="105" x14ac:dyDescent="0.25">
      <c r="A187" s="149">
        <v>1272659</v>
      </c>
      <c r="B187" s="150" t="s">
        <v>647</v>
      </c>
      <c r="C187" s="151" t="s">
        <v>647</v>
      </c>
      <c r="D187" s="152" t="s">
        <v>1427</v>
      </c>
      <c r="E187" s="153">
        <v>519000</v>
      </c>
      <c r="F187" s="154">
        <v>201040</v>
      </c>
      <c r="G187" s="154">
        <v>0</v>
      </c>
      <c r="H187" s="154">
        <v>0</v>
      </c>
      <c r="I187" s="155">
        <v>201040</v>
      </c>
      <c r="J187" s="155"/>
      <c r="K187" s="314">
        <f t="shared" si="2"/>
        <v>201040</v>
      </c>
    </row>
    <row r="188" spans="1:11" ht="60" x14ac:dyDescent="0.25">
      <c r="A188" s="149">
        <v>3619533</v>
      </c>
      <c r="B188" s="150" t="s">
        <v>955</v>
      </c>
      <c r="C188" s="151" t="s">
        <v>957</v>
      </c>
      <c r="D188" s="152" t="s">
        <v>1316</v>
      </c>
      <c r="E188" s="153">
        <v>3639640</v>
      </c>
      <c r="F188" s="154">
        <v>2723130</v>
      </c>
      <c r="G188" s="154">
        <v>0</v>
      </c>
      <c r="H188" s="154">
        <v>748341</v>
      </c>
      <c r="I188" s="155">
        <v>3471471</v>
      </c>
      <c r="J188" s="155"/>
      <c r="K188" s="314">
        <f t="shared" si="2"/>
        <v>3471471</v>
      </c>
    </row>
    <row r="189" spans="1:11" ht="60" x14ac:dyDescent="0.25">
      <c r="A189" s="149">
        <v>9949795</v>
      </c>
      <c r="B189" s="150" t="s">
        <v>690</v>
      </c>
      <c r="C189" s="151" t="s">
        <v>692</v>
      </c>
      <c r="D189" s="152" t="s">
        <v>1155</v>
      </c>
      <c r="E189" s="153">
        <v>1969500</v>
      </c>
      <c r="F189" s="154">
        <v>470270</v>
      </c>
      <c r="G189" s="154">
        <v>0</v>
      </c>
      <c r="H189" s="154">
        <v>0</v>
      </c>
      <c r="I189" s="155">
        <v>470270</v>
      </c>
      <c r="J189" s="155"/>
      <c r="K189" s="314">
        <f t="shared" si="2"/>
        <v>470270</v>
      </c>
    </row>
    <row r="190" spans="1:11" ht="105" x14ac:dyDescent="0.25">
      <c r="A190" s="149">
        <v>1514566</v>
      </c>
      <c r="B190" s="150" t="s">
        <v>652</v>
      </c>
      <c r="C190" s="151" t="s">
        <v>1169</v>
      </c>
      <c r="D190" s="152" t="s">
        <v>1155</v>
      </c>
      <c r="E190" s="153">
        <v>680000</v>
      </c>
      <c r="F190" s="154">
        <v>426710</v>
      </c>
      <c r="G190" s="154">
        <v>0</v>
      </c>
      <c r="H190" s="154">
        <v>0</v>
      </c>
      <c r="I190" s="155">
        <v>426710</v>
      </c>
      <c r="J190" s="155"/>
      <c r="K190" s="314">
        <f t="shared" si="2"/>
        <v>426710</v>
      </c>
    </row>
    <row r="191" spans="1:11" ht="105" x14ac:dyDescent="0.25">
      <c r="A191" s="149">
        <v>4936413</v>
      </c>
      <c r="B191" s="150" t="s">
        <v>655</v>
      </c>
      <c r="C191" s="151" t="s">
        <v>657</v>
      </c>
      <c r="D191" s="152" t="s">
        <v>1155</v>
      </c>
      <c r="E191" s="153">
        <v>600000</v>
      </c>
      <c r="F191" s="154">
        <v>516450</v>
      </c>
      <c r="G191" s="154">
        <v>0</v>
      </c>
      <c r="H191" s="154">
        <v>0</v>
      </c>
      <c r="I191" s="155">
        <v>516450</v>
      </c>
      <c r="J191" s="155"/>
      <c r="K191" s="314">
        <f t="shared" si="2"/>
        <v>516450</v>
      </c>
    </row>
    <row r="192" spans="1:11" ht="60.75" thickBot="1" x14ac:dyDescent="0.3">
      <c r="A192" s="149">
        <v>8522302</v>
      </c>
      <c r="B192" s="150" t="s">
        <v>661</v>
      </c>
      <c r="C192" s="151" t="s">
        <v>386</v>
      </c>
      <c r="D192" s="152" t="s">
        <v>1155</v>
      </c>
      <c r="E192" s="153">
        <v>150000</v>
      </c>
      <c r="F192" s="154">
        <v>133500</v>
      </c>
      <c r="G192" s="154">
        <v>0</v>
      </c>
      <c r="H192" s="154">
        <v>0</v>
      </c>
      <c r="I192" s="155">
        <v>133500</v>
      </c>
      <c r="J192" s="162"/>
      <c r="K192" s="314">
        <f t="shared" si="2"/>
        <v>133500</v>
      </c>
    </row>
    <row r="193" spans="1:11" ht="105" x14ac:dyDescent="0.25">
      <c r="A193" s="149">
        <v>7201840</v>
      </c>
      <c r="B193" s="150" t="s">
        <v>1293</v>
      </c>
      <c r="C193" s="151" t="s">
        <v>1212</v>
      </c>
      <c r="D193" s="152" t="s">
        <v>1155</v>
      </c>
      <c r="E193" s="153">
        <v>8192000</v>
      </c>
      <c r="F193" s="154">
        <v>5724000</v>
      </c>
      <c r="G193" s="154">
        <v>0</v>
      </c>
      <c r="H193" s="154">
        <v>0</v>
      </c>
      <c r="I193" s="155">
        <v>5724000</v>
      </c>
      <c r="J193" s="148"/>
      <c r="K193" s="314">
        <f t="shared" si="2"/>
        <v>5724000</v>
      </c>
    </row>
    <row r="194" spans="1:11" ht="105" x14ac:dyDescent="0.25">
      <c r="A194" s="149">
        <v>5599785</v>
      </c>
      <c r="B194" s="150" t="s">
        <v>1293</v>
      </c>
      <c r="C194" s="151" t="s">
        <v>1293</v>
      </c>
      <c r="D194" s="152" t="s">
        <v>1282</v>
      </c>
      <c r="E194" s="153">
        <v>821225</v>
      </c>
      <c r="F194" s="154">
        <v>569870</v>
      </c>
      <c r="G194" s="154">
        <v>0</v>
      </c>
      <c r="H194" s="154">
        <v>191701</v>
      </c>
      <c r="I194" s="155">
        <v>761571</v>
      </c>
      <c r="J194" s="155"/>
      <c r="K194" s="314">
        <f t="shared" si="2"/>
        <v>761571</v>
      </c>
    </row>
    <row r="195" spans="1:11" ht="105" x14ac:dyDescent="0.25">
      <c r="A195" s="149">
        <v>4396482</v>
      </c>
      <c r="B195" s="150" t="s">
        <v>1293</v>
      </c>
      <c r="C195" s="151" t="s">
        <v>390</v>
      </c>
      <c r="D195" s="152" t="s">
        <v>1316</v>
      </c>
      <c r="E195" s="153">
        <v>5000000</v>
      </c>
      <c r="F195" s="154">
        <v>4050000</v>
      </c>
      <c r="G195" s="154">
        <v>419500</v>
      </c>
      <c r="H195" s="154">
        <v>490310</v>
      </c>
      <c r="I195" s="155">
        <v>4959810</v>
      </c>
      <c r="J195" s="155"/>
      <c r="K195" s="314">
        <f t="shared" ref="K195:K256" si="3">I195+J195</f>
        <v>4959810</v>
      </c>
    </row>
    <row r="196" spans="1:11" ht="105" x14ac:dyDescent="0.25">
      <c r="A196" s="149">
        <v>2946425</v>
      </c>
      <c r="B196" s="150" t="s">
        <v>546</v>
      </c>
      <c r="C196" s="151" t="s">
        <v>546</v>
      </c>
      <c r="D196" s="152" t="s">
        <v>1155</v>
      </c>
      <c r="E196" s="153">
        <v>1350000</v>
      </c>
      <c r="F196" s="154">
        <v>853190</v>
      </c>
      <c r="G196" s="154">
        <v>0</v>
      </c>
      <c r="H196" s="154">
        <v>280676</v>
      </c>
      <c r="I196" s="155">
        <v>1133866</v>
      </c>
      <c r="J196" s="155"/>
      <c r="K196" s="314">
        <f t="shared" si="3"/>
        <v>1133866</v>
      </c>
    </row>
    <row r="197" spans="1:11" ht="90" x14ac:dyDescent="0.25">
      <c r="A197" s="149">
        <v>6697882</v>
      </c>
      <c r="B197" s="150" t="s">
        <v>663</v>
      </c>
      <c r="C197" s="151" t="s">
        <v>665</v>
      </c>
      <c r="D197" s="152" t="s">
        <v>1155</v>
      </c>
      <c r="E197" s="153">
        <v>150000</v>
      </c>
      <c r="F197" s="154">
        <v>97500</v>
      </c>
      <c r="G197" s="154">
        <v>0</v>
      </c>
      <c r="H197" s="154">
        <v>0</v>
      </c>
      <c r="I197" s="155">
        <v>97500</v>
      </c>
      <c r="J197" s="155"/>
      <c r="K197" s="314">
        <f t="shared" si="3"/>
        <v>97500</v>
      </c>
    </row>
    <row r="198" spans="1:11" ht="60" x14ac:dyDescent="0.25">
      <c r="A198" s="149">
        <v>4383860</v>
      </c>
      <c r="B198" s="150" t="s">
        <v>864</v>
      </c>
      <c r="C198" s="151" t="s">
        <v>864</v>
      </c>
      <c r="D198" s="152" t="s">
        <v>1155</v>
      </c>
      <c r="E198" s="153">
        <v>4400000</v>
      </c>
      <c r="F198" s="154">
        <v>3764560</v>
      </c>
      <c r="G198" s="154">
        <v>100000</v>
      </c>
      <c r="H198" s="154">
        <v>0</v>
      </c>
      <c r="I198" s="155">
        <v>3864560</v>
      </c>
      <c r="J198" s="155"/>
      <c r="K198" s="314">
        <f t="shared" si="3"/>
        <v>3864560</v>
      </c>
    </row>
    <row r="199" spans="1:11" ht="60" x14ac:dyDescent="0.25">
      <c r="A199" s="149">
        <v>5173305</v>
      </c>
      <c r="B199" s="150" t="s">
        <v>974</v>
      </c>
      <c r="C199" s="151" t="s">
        <v>974</v>
      </c>
      <c r="D199" s="152" t="s">
        <v>1282</v>
      </c>
      <c r="E199" s="153">
        <v>6500000</v>
      </c>
      <c r="F199" s="154">
        <v>1991460</v>
      </c>
      <c r="G199" s="154">
        <v>0</v>
      </c>
      <c r="H199" s="154">
        <v>0</v>
      </c>
      <c r="I199" s="155">
        <v>1991460</v>
      </c>
      <c r="J199" s="155"/>
      <c r="K199" s="314">
        <f t="shared" si="3"/>
        <v>1991460</v>
      </c>
    </row>
    <row r="200" spans="1:11" ht="60" x14ac:dyDescent="0.25">
      <c r="A200" s="149">
        <v>9688838</v>
      </c>
      <c r="B200" s="150" t="s">
        <v>499</v>
      </c>
      <c r="C200" s="151" t="s">
        <v>499</v>
      </c>
      <c r="D200" s="152" t="s">
        <v>1316</v>
      </c>
      <c r="E200" s="153">
        <v>13700000</v>
      </c>
      <c r="F200" s="154">
        <v>9994360</v>
      </c>
      <c r="G200" s="154">
        <v>527500</v>
      </c>
      <c r="H200" s="154">
        <v>0</v>
      </c>
      <c r="I200" s="155">
        <v>10521860</v>
      </c>
      <c r="J200" s="155"/>
      <c r="K200" s="314">
        <f t="shared" si="3"/>
        <v>10521860</v>
      </c>
    </row>
    <row r="201" spans="1:11" ht="60" x14ac:dyDescent="0.25">
      <c r="A201" s="149">
        <v>2125600</v>
      </c>
      <c r="B201" s="150" t="s">
        <v>459</v>
      </c>
      <c r="C201" s="151" t="s">
        <v>459</v>
      </c>
      <c r="D201" s="152" t="s">
        <v>1316</v>
      </c>
      <c r="E201" s="153">
        <v>11200000</v>
      </c>
      <c r="F201" s="154">
        <v>4210800</v>
      </c>
      <c r="G201" s="154">
        <v>150000</v>
      </c>
      <c r="H201" s="154">
        <v>0</v>
      </c>
      <c r="I201" s="155">
        <v>4360800</v>
      </c>
      <c r="J201" s="155"/>
      <c r="K201" s="314">
        <f t="shared" si="3"/>
        <v>4360800</v>
      </c>
    </row>
    <row r="202" spans="1:11" ht="90" x14ac:dyDescent="0.25">
      <c r="A202" s="149">
        <v>7399132</v>
      </c>
      <c r="B202" s="150" t="s">
        <v>576</v>
      </c>
      <c r="C202" s="151" t="s">
        <v>576</v>
      </c>
      <c r="D202" s="152" t="s">
        <v>1155</v>
      </c>
      <c r="E202" s="153">
        <v>1401300</v>
      </c>
      <c r="F202" s="154">
        <v>971100</v>
      </c>
      <c r="G202" s="154">
        <v>0</v>
      </c>
      <c r="H202" s="154">
        <v>0</v>
      </c>
      <c r="I202" s="155">
        <v>971100</v>
      </c>
      <c r="J202" s="155"/>
      <c r="K202" s="314">
        <f t="shared" si="3"/>
        <v>971100</v>
      </c>
    </row>
    <row r="203" spans="1:11" ht="90" x14ac:dyDescent="0.25">
      <c r="A203" s="149">
        <v>8877013</v>
      </c>
      <c r="B203" s="150" t="s">
        <v>576</v>
      </c>
      <c r="C203" s="151" t="s">
        <v>576</v>
      </c>
      <c r="D203" s="152" t="s">
        <v>1316</v>
      </c>
      <c r="E203" s="153">
        <v>4443200</v>
      </c>
      <c r="F203" s="154">
        <v>3434850</v>
      </c>
      <c r="G203" s="154">
        <v>200000</v>
      </c>
      <c r="H203" s="154">
        <v>0</v>
      </c>
      <c r="I203" s="155">
        <v>3634850</v>
      </c>
      <c r="J203" s="155"/>
      <c r="K203" s="314">
        <f t="shared" si="3"/>
        <v>3634850</v>
      </c>
    </row>
    <row r="204" spans="1:11" ht="75" x14ac:dyDescent="0.25">
      <c r="A204" s="149">
        <v>5204562</v>
      </c>
      <c r="B204" s="150" t="s">
        <v>666</v>
      </c>
      <c r="C204" s="151" t="s">
        <v>670</v>
      </c>
      <c r="D204" s="152" t="s">
        <v>1155</v>
      </c>
      <c r="E204" s="153">
        <v>950000</v>
      </c>
      <c r="F204" s="154">
        <v>480000</v>
      </c>
      <c r="G204" s="154">
        <v>0</v>
      </c>
      <c r="H204" s="154">
        <v>0</v>
      </c>
      <c r="I204" s="155">
        <v>480000</v>
      </c>
      <c r="J204" s="155"/>
      <c r="K204" s="314">
        <f t="shared" si="3"/>
        <v>480000</v>
      </c>
    </row>
    <row r="205" spans="1:11" ht="75" x14ac:dyDescent="0.25">
      <c r="A205" s="149">
        <v>2813433</v>
      </c>
      <c r="B205" s="150" t="s">
        <v>666</v>
      </c>
      <c r="C205" s="151" t="s">
        <v>668</v>
      </c>
      <c r="D205" s="152" t="s">
        <v>1273</v>
      </c>
      <c r="E205" s="153">
        <v>550000</v>
      </c>
      <c r="F205" s="154">
        <v>375000</v>
      </c>
      <c r="G205" s="154">
        <v>0</v>
      </c>
      <c r="H205" s="154">
        <v>0</v>
      </c>
      <c r="I205" s="155">
        <v>375000</v>
      </c>
      <c r="J205" s="155"/>
      <c r="K205" s="314">
        <f t="shared" si="3"/>
        <v>375000</v>
      </c>
    </row>
    <row r="206" spans="1:11" ht="60" x14ac:dyDescent="0.25">
      <c r="A206" s="149">
        <v>9666094</v>
      </c>
      <c r="B206" s="150" t="s">
        <v>671</v>
      </c>
      <c r="C206" s="151" t="s">
        <v>386</v>
      </c>
      <c r="D206" s="152" t="s">
        <v>1155</v>
      </c>
      <c r="E206" s="153">
        <v>3200000</v>
      </c>
      <c r="F206" s="154">
        <v>1689660</v>
      </c>
      <c r="G206" s="154">
        <v>0</v>
      </c>
      <c r="H206" s="154">
        <v>0</v>
      </c>
      <c r="I206" s="155">
        <v>1689660</v>
      </c>
      <c r="J206" s="155"/>
      <c r="K206" s="314">
        <f t="shared" si="3"/>
        <v>1689660</v>
      </c>
    </row>
    <row r="207" spans="1:11" ht="60" x14ac:dyDescent="0.25">
      <c r="A207" s="149">
        <v>3810187</v>
      </c>
      <c r="B207" s="150" t="s">
        <v>674</v>
      </c>
      <c r="C207" s="151" t="s">
        <v>676</v>
      </c>
      <c r="D207" s="152" t="s">
        <v>1155</v>
      </c>
      <c r="E207" s="153">
        <v>2465500</v>
      </c>
      <c r="F207" s="154">
        <v>1069500</v>
      </c>
      <c r="G207" s="154">
        <v>0</v>
      </c>
      <c r="H207" s="154">
        <v>0</v>
      </c>
      <c r="I207" s="155">
        <v>1069500</v>
      </c>
      <c r="J207" s="155"/>
      <c r="K207" s="314">
        <f t="shared" si="3"/>
        <v>1069500</v>
      </c>
    </row>
    <row r="208" spans="1:11" ht="60" x14ac:dyDescent="0.25">
      <c r="A208" s="149">
        <v>5945407</v>
      </c>
      <c r="B208" s="150" t="s">
        <v>674</v>
      </c>
      <c r="C208" s="151" t="s">
        <v>674</v>
      </c>
      <c r="D208" s="152" t="s">
        <v>1472</v>
      </c>
      <c r="E208" s="153">
        <v>316000</v>
      </c>
      <c r="F208" s="154">
        <v>128450</v>
      </c>
      <c r="G208" s="154">
        <v>0</v>
      </c>
      <c r="H208" s="154">
        <v>0</v>
      </c>
      <c r="I208" s="155">
        <v>128450</v>
      </c>
      <c r="J208" s="155"/>
      <c r="K208" s="314">
        <f t="shared" si="3"/>
        <v>128450</v>
      </c>
    </row>
    <row r="209" spans="1:11" ht="60" x14ac:dyDescent="0.25">
      <c r="A209" s="149">
        <v>9583114</v>
      </c>
      <c r="B209" s="150" t="s">
        <v>868</v>
      </c>
      <c r="C209" s="151" t="s">
        <v>868</v>
      </c>
      <c r="D209" s="152" t="s">
        <v>1155</v>
      </c>
      <c r="E209" s="153">
        <v>436000</v>
      </c>
      <c r="F209" s="154">
        <v>144000</v>
      </c>
      <c r="G209" s="154">
        <v>0</v>
      </c>
      <c r="H209" s="154">
        <v>0</v>
      </c>
      <c r="I209" s="155">
        <v>144000</v>
      </c>
      <c r="J209" s="155"/>
      <c r="K209" s="314">
        <f t="shared" si="3"/>
        <v>144000</v>
      </c>
    </row>
    <row r="210" spans="1:11" ht="120" x14ac:dyDescent="0.25">
      <c r="A210" s="149">
        <v>5000179</v>
      </c>
      <c r="B210" s="150" t="s">
        <v>257</v>
      </c>
      <c r="C210" s="151" t="s">
        <v>261</v>
      </c>
      <c r="D210" s="152" t="s">
        <v>1311</v>
      </c>
      <c r="E210" s="153">
        <v>45164700</v>
      </c>
      <c r="F210" s="154">
        <v>16781830</v>
      </c>
      <c r="G210" s="154">
        <v>7038317</v>
      </c>
      <c r="H210" s="154">
        <v>1045826</v>
      </c>
      <c r="I210" s="155">
        <v>24865973</v>
      </c>
      <c r="J210" s="155"/>
      <c r="K210" s="314">
        <f t="shared" si="3"/>
        <v>24865973</v>
      </c>
    </row>
    <row r="211" spans="1:11" ht="45" x14ac:dyDescent="0.25">
      <c r="A211" s="149">
        <v>8504548</v>
      </c>
      <c r="B211" s="150" t="s">
        <v>257</v>
      </c>
      <c r="C211" s="151" t="s">
        <v>769</v>
      </c>
      <c r="D211" s="152" t="s">
        <v>1346</v>
      </c>
      <c r="E211" s="153">
        <v>26927700</v>
      </c>
      <c r="F211" s="154">
        <v>11438990</v>
      </c>
      <c r="G211" s="154">
        <v>4572600</v>
      </c>
      <c r="H211" s="154">
        <v>1779508</v>
      </c>
      <c r="I211" s="155">
        <v>17791098</v>
      </c>
      <c r="J211" s="155"/>
      <c r="K211" s="314">
        <f t="shared" si="3"/>
        <v>17791098</v>
      </c>
    </row>
    <row r="212" spans="1:11" ht="75.75" thickBot="1" x14ac:dyDescent="0.3">
      <c r="A212" s="156">
        <v>6163071</v>
      </c>
      <c r="B212" s="157" t="s">
        <v>257</v>
      </c>
      <c r="C212" s="158" t="s">
        <v>1453</v>
      </c>
      <c r="D212" s="159" t="s">
        <v>1451</v>
      </c>
      <c r="E212" s="160">
        <v>910000</v>
      </c>
      <c r="F212" s="161">
        <v>340360</v>
      </c>
      <c r="G212" s="161">
        <v>149400</v>
      </c>
      <c r="H212" s="161">
        <v>89395</v>
      </c>
      <c r="I212" s="162">
        <v>579155</v>
      </c>
      <c r="J212" s="155"/>
      <c r="K212" s="314">
        <f t="shared" si="3"/>
        <v>579155</v>
      </c>
    </row>
    <row r="213" spans="1:11" ht="120" x14ac:dyDescent="0.25">
      <c r="A213" s="142">
        <v>4721932</v>
      </c>
      <c r="B213" s="143" t="s">
        <v>420</v>
      </c>
      <c r="C213" s="144" t="s">
        <v>420</v>
      </c>
      <c r="D213" s="145" t="s">
        <v>1311</v>
      </c>
      <c r="E213" s="146">
        <v>25360000</v>
      </c>
      <c r="F213" s="147">
        <v>12214130</v>
      </c>
      <c r="G213" s="147">
        <v>5135100</v>
      </c>
      <c r="H213" s="147">
        <v>1439988</v>
      </c>
      <c r="I213" s="148">
        <v>18789218</v>
      </c>
      <c r="J213" s="155"/>
      <c r="K213" s="314">
        <f t="shared" si="3"/>
        <v>18789218</v>
      </c>
    </row>
    <row r="214" spans="1:11" ht="60" x14ac:dyDescent="0.25">
      <c r="A214" s="149">
        <v>3446957</v>
      </c>
      <c r="B214" s="150" t="s">
        <v>425</v>
      </c>
      <c r="C214" s="151" t="s">
        <v>425</v>
      </c>
      <c r="D214" s="152" t="s">
        <v>1282</v>
      </c>
      <c r="E214" s="153">
        <v>650000</v>
      </c>
      <c r="F214" s="154">
        <v>599470</v>
      </c>
      <c r="G214" s="154">
        <v>50530</v>
      </c>
      <c r="H214" s="154">
        <v>0</v>
      </c>
      <c r="I214" s="155">
        <v>650000</v>
      </c>
      <c r="J214" s="155"/>
      <c r="K214" s="314">
        <f t="shared" si="3"/>
        <v>650000</v>
      </c>
    </row>
    <row r="215" spans="1:11" ht="120" x14ac:dyDescent="0.25">
      <c r="A215" s="149">
        <v>3473171</v>
      </c>
      <c r="B215" s="150" t="s">
        <v>425</v>
      </c>
      <c r="C215" s="151" t="s">
        <v>425</v>
      </c>
      <c r="D215" s="152" t="s">
        <v>1311</v>
      </c>
      <c r="E215" s="153">
        <v>27000000</v>
      </c>
      <c r="F215" s="154">
        <v>13488090</v>
      </c>
      <c r="G215" s="154">
        <v>6491400</v>
      </c>
      <c r="H215" s="154">
        <v>2443602</v>
      </c>
      <c r="I215" s="155">
        <v>22423092</v>
      </c>
      <c r="J215" s="155"/>
      <c r="K215" s="314">
        <f t="shared" si="3"/>
        <v>22423092</v>
      </c>
    </row>
    <row r="216" spans="1:11" ht="45" x14ac:dyDescent="0.25">
      <c r="A216" s="149">
        <v>6514817</v>
      </c>
      <c r="B216" s="150" t="s">
        <v>425</v>
      </c>
      <c r="C216" s="151" t="s">
        <v>769</v>
      </c>
      <c r="D216" s="152" t="s">
        <v>1346</v>
      </c>
      <c r="E216" s="153">
        <v>4500000</v>
      </c>
      <c r="F216" s="154">
        <v>2541770</v>
      </c>
      <c r="G216" s="154">
        <v>1206600</v>
      </c>
      <c r="H216" s="154">
        <v>0</v>
      </c>
      <c r="I216" s="155">
        <v>3748370</v>
      </c>
      <c r="J216" s="155"/>
      <c r="K216" s="314">
        <f t="shared" si="3"/>
        <v>3748370</v>
      </c>
    </row>
    <row r="217" spans="1:11" ht="90" x14ac:dyDescent="0.25">
      <c r="A217" s="149">
        <v>5651221</v>
      </c>
      <c r="B217" s="150" t="s">
        <v>435</v>
      </c>
      <c r="C217" s="151" t="s">
        <v>435</v>
      </c>
      <c r="D217" s="152" t="s">
        <v>1336</v>
      </c>
      <c r="E217" s="153">
        <v>20650000</v>
      </c>
      <c r="F217" s="154">
        <v>10043880</v>
      </c>
      <c r="G217" s="154">
        <v>4433500</v>
      </c>
      <c r="H217" s="154">
        <v>1056305</v>
      </c>
      <c r="I217" s="155">
        <v>15533685</v>
      </c>
      <c r="J217" s="155"/>
      <c r="K217" s="314">
        <f t="shared" si="3"/>
        <v>15533685</v>
      </c>
    </row>
    <row r="218" spans="1:11" ht="90" x14ac:dyDescent="0.25">
      <c r="A218" s="149">
        <v>1450637</v>
      </c>
      <c r="B218" s="150" t="s">
        <v>440</v>
      </c>
      <c r="C218" s="151" t="s">
        <v>440</v>
      </c>
      <c r="D218" s="152" t="s">
        <v>1336</v>
      </c>
      <c r="E218" s="153">
        <v>16300000</v>
      </c>
      <c r="F218" s="154">
        <v>9387330</v>
      </c>
      <c r="G218" s="154">
        <v>3721300</v>
      </c>
      <c r="H218" s="154">
        <v>2000364</v>
      </c>
      <c r="I218" s="155">
        <v>15108994</v>
      </c>
      <c r="J218" s="155"/>
      <c r="K218" s="314">
        <f t="shared" si="3"/>
        <v>15108994</v>
      </c>
    </row>
    <row r="219" spans="1:11" ht="75" x14ac:dyDescent="0.25">
      <c r="A219" s="149">
        <v>6581899</v>
      </c>
      <c r="B219" s="150" t="s">
        <v>444</v>
      </c>
      <c r="C219" s="151" t="s">
        <v>444</v>
      </c>
      <c r="D219" s="152" t="s">
        <v>1316</v>
      </c>
      <c r="E219" s="153">
        <v>15200000</v>
      </c>
      <c r="F219" s="154">
        <v>7294750</v>
      </c>
      <c r="G219" s="154">
        <v>3044100</v>
      </c>
      <c r="H219" s="154">
        <v>757277</v>
      </c>
      <c r="I219" s="155">
        <v>11096127</v>
      </c>
      <c r="J219" s="155"/>
      <c r="K219" s="314">
        <f t="shared" si="3"/>
        <v>11096127</v>
      </c>
    </row>
    <row r="220" spans="1:11" ht="75" x14ac:dyDescent="0.25">
      <c r="A220" s="149">
        <v>2837121</v>
      </c>
      <c r="B220" s="150" t="s">
        <v>447</v>
      </c>
      <c r="C220" s="151" t="s">
        <v>447</v>
      </c>
      <c r="D220" s="152" t="s">
        <v>1316</v>
      </c>
      <c r="E220" s="153">
        <v>5358880</v>
      </c>
      <c r="F220" s="154">
        <v>3178430</v>
      </c>
      <c r="G220" s="154">
        <v>1084500</v>
      </c>
      <c r="H220" s="154">
        <v>263049</v>
      </c>
      <c r="I220" s="155">
        <v>4525979</v>
      </c>
      <c r="J220" s="155"/>
      <c r="K220" s="314">
        <f t="shared" si="3"/>
        <v>4525979</v>
      </c>
    </row>
    <row r="221" spans="1:11" ht="90" x14ac:dyDescent="0.25">
      <c r="A221" s="149">
        <v>3754207</v>
      </c>
      <c r="B221" s="150" t="s">
        <v>447</v>
      </c>
      <c r="C221" s="151" t="s">
        <v>447</v>
      </c>
      <c r="D221" s="152" t="s">
        <v>1336</v>
      </c>
      <c r="E221" s="153">
        <v>16969770</v>
      </c>
      <c r="F221" s="154">
        <v>6921320</v>
      </c>
      <c r="G221" s="154">
        <v>2788000</v>
      </c>
      <c r="H221" s="154">
        <v>1284771</v>
      </c>
      <c r="I221" s="155">
        <v>10994091</v>
      </c>
      <c r="J221" s="155"/>
      <c r="K221" s="314">
        <f t="shared" si="3"/>
        <v>10994091</v>
      </c>
    </row>
    <row r="222" spans="1:11" ht="90" x14ac:dyDescent="0.25">
      <c r="A222" s="149">
        <v>4753225</v>
      </c>
      <c r="B222" s="150" t="s">
        <v>453</v>
      </c>
      <c r="C222" s="151" t="s">
        <v>453</v>
      </c>
      <c r="D222" s="152" t="s">
        <v>1316</v>
      </c>
      <c r="E222" s="153">
        <v>21126000</v>
      </c>
      <c r="F222" s="154">
        <v>10235530</v>
      </c>
      <c r="G222" s="154">
        <v>2798600</v>
      </c>
      <c r="H222" s="154">
        <v>965632</v>
      </c>
      <c r="I222" s="155">
        <v>13999762</v>
      </c>
      <c r="J222" s="155"/>
      <c r="K222" s="314">
        <f t="shared" si="3"/>
        <v>13999762</v>
      </c>
    </row>
    <row r="223" spans="1:11" ht="75" x14ac:dyDescent="0.25">
      <c r="A223" s="149">
        <v>5040302</v>
      </c>
      <c r="B223" s="150" t="s">
        <v>456</v>
      </c>
      <c r="C223" s="151" t="s">
        <v>456</v>
      </c>
      <c r="D223" s="152" t="s">
        <v>1316</v>
      </c>
      <c r="E223" s="153">
        <v>9393350</v>
      </c>
      <c r="F223" s="154">
        <v>4573000</v>
      </c>
      <c r="G223" s="154">
        <v>1641500</v>
      </c>
      <c r="H223" s="154">
        <v>415441</v>
      </c>
      <c r="I223" s="155">
        <v>6629941</v>
      </c>
      <c r="J223" s="155"/>
      <c r="K223" s="314">
        <f t="shared" si="3"/>
        <v>6629941</v>
      </c>
    </row>
    <row r="224" spans="1:11" ht="75" x14ac:dyDescent="0.25">
      <c r="A224" s="149">
        <v>3943362</v>
      </c>
      <c r="B224" s="150" t="s">
        <v>464</v>
      </c>
      <c r="C224" s="151" t="s">
        <v>464</v>
      </c>
      <c r="D224" s="152" t="s">
        <v>1316</v>
      </c>
      <c r="E224" s="153">
        <v>7318158</v>
      </c>
      <c r="F224" s="154">
        <v>4267950</v>
      </c>
      <c r="G224" s="154">
        <v>1501300</v>
      </c>
      <c r="H224" s="154">
        <v>498237</v>
      </c>
      <c r="I224" s="155">
        <v>6267487</v>
      </c>
      <c r="J224" s="155"/>
      <c r="K224" s="314">
        <f t="shared" si="3"/>
        <v>6267487</v>
      </c>
    </row>
    <row r="225" spans="1:11" ht="60" x14ac:dyDescent="0.25">
      <c r="A225" s="149">
        <v>2749776</v>
      </c>
      <c r="B225" s="150" t="s">
        <v>467</v>
      </c>
      <c r="C225" s="151" t="s">
        <v>467</v>
      </c>
      <c r="D225" s="152" t="s">
        <v>1316</v>
      </c>
      <c r="E225" s="153">
        <v>7590500</v>
      </c>
      <c r="F225" s="154">
        <v>3695760</v>
      </c>
      <c r="G225" s="154">
        <v>1497600</v>
      </c>
      <c r="H225" s="154">
        <v>443821</v>
      </c>
      <c r="I225" s="155">
        <v>5637181</v>
      </c>
      <c r="J225" s="155"/>
      <c r="K225" s="314">
        <f t="shared" si="3"/>
        <v>5637181</v>
      </c>
    </row>
    <row r="226" spans="1:11" ht="60" x14ac:dyDescent="0.25">
      <c r="A226" s="149">
        <v>8508078</v>
      </c>
      <c r="B226" s="150" t="s">
        <v>472</v>
      </c>
      <c r="C226" s="151" t="s">
        <v>472</v>
      </c>
      <c r="D226" s="152" t="s">
        <v>1316</v>
      </c>
      <c r="E226" s="153">
        <v>7543000</v>
      </c>
      <c r="F226" s="154">
        <v>6181030</v>
      </c>
      <c r="G226" s="154">
        <v>770470</v>
      </c>
      <c r="H226" s="154">
        <v>234242</v>
      </c>
      <c r="I226" s="155">
        <v>7185742</v>
      </c>
      <c r="J226" s="155"/>
      <c r="K226" s="314">
        <f t="shared" si="3"/>
        <v>7185742</v>
      </c>
    </row>
    <row r="227" spans="1:11" ht="90" x14ac:dyDescent="0.25">
      <c r="A227" s="149">
        <v>1991772</v>
      </c>
      <c r="B227" s="150" t="s">
        <v>472</v>
      </c>
      <c r="C227" s="151" t="s">
        <v>472</v>
      </c>
      <c r="D227" s="152" t="s">
        <v>1336</v>
      </c>
      <c r="E227" s="153">
        <v>7578000</v>
      </c>
      <c r="F227" s="154">
        <v>4408390</v>
      </c>
      <c r="G227" s="154">
        <v>1800300</v>
      </c>
      <c r="H227" s="154">
        <v>322074</v>
      </c>
      <c r="I227" s="155">
        <v>6530764</v>
      </c>
      <c r="J227" s="155"/>
      <c r="K227" s="314">
        <f t="shared" si="3"/>
        <v>6530764</v>
      </c>
    </row>
    <row r="228" spans="1:11" ht="75" x14ac:dyDescent="0.25">
      <c r="A228" s="149">
        <v>2801353</v>
      </c>
      <c r="B228" s="150" t="s">
        <v>477</v>
      </c>
      <c r="C228" s="151" t="s">
        <v>477</v>
      </c>
      <c r="D228" s="152" t="s">
        <v>1316</v>
      </c>
      <c r="E228" s="153">
        <v>13704000</v>
      </c>
      <c r="F228" s="154">
        <v>7698830</v>
      </c>
      <c r="G228" s="154">
        <v>3192600</v>
      </c>
      <c r="H228" s="154">
        <v>1090462</v>
      </c>
      <c r="I228" s="155">
        <v>11981892</v>
      </c>
      <c r="J228" s="155"/>
      <c r="K228" s="314">
        <f t="shared" si="3"/>
        <v>11981892</v>
      </c>
    </row>
    <row r="229" spans="1:11" ht="60" x14ac:dyDescent="0.25">
      <c r="A229" s="149">
        <v>9593192</v>
      </c>
      <c r="B229" s="150" t="s">
        <v>480</v>
      </c>
      <c r="C229" s="151" t="s">
        <v>480</v>
      </c>
      <c r="D229" s="152" t="s">
        <v>1316</v>
      </c>
      <c r="E229" s="153">
        <v>48162440</v>
      </c>
      <c r="F229" s="154">
        <v>8693090</v>
      </c>
      <c r="G229" s="154">
        <v>2929300</v>
      </c>
      <c r="H229" s="154">
        <v>0</v>
      </c>
      <c r="I229" s="155">
        <v>11622390</v>
      </c>
      <c r="J229" s="155"/>
      <c r="K229" s="314">
        <f t="shared" si="3"/>
        <v>11622390</v>
      </c>
    </row>
    <row r="230" spans="1:11" ht="90" x14ac:dyDescent="0.25">
      <c r="A230" s="149">
        <v>7663376</v>
      </c>
      <c r="B230" s="150" t="s">
        <v>480</v>
      </c>
      <c r="C230" s="151" t="s">
        <v>393</v>
      </c>
      <c r="D230" s="152" t="s">
        <v>1336</v>
      </c>
      <c r="E230" s="153">
        <v>18267616</v>
      </c>
      <c r="F230" s="154">
        <v>1499000</v>
      </c>
      <c r="G230" s="154">
        <v>0</v>
      </c>
      <c r="H230" s="154">
        <v>1158677</v>
      </c>
      <c r="I230" s="155">
        <v>2657677</v>
      </c>
      <c r="J230" s="155"/>
      <c r="K230" s="314">
        <f t="shared" si="3"/>
        <v>2657677</v>
      </c>
    </row>
    <row r="231" spans="1:11" ht="120" x14ac:dyDescent="0.25">
      <c r="A231" s="149">
        <v>8338145</v>
      </c>
      <c r="B231" s="150" t="s">
        <v>485</v>
      </c>
      <c r="C231" s="151" t="s">
        <v>485</v>
      </c>
      <c r="D231" s="152" t="s">
        <v>1311</v>
      </c>
      <c r="E231" s="153">
        <v>3181782</v>
      </c>
      <c r="F231" s="154">
        <v>1042060</v>
      </c>
      <c r="G231" s="154">
        <v>524300</v>
      </c>
      <c r="H231" s="154">
        <v>34880</v>
      </c>
      <c r="I231" s="155">
        <v>1601240</v>
      </c>
      <c r="J231" s="155"/>
      <c r="K231" s="314">
        <f t="shared" si="3"/>
        <v>1601240</v>
      </c>
    </row>
    <row r="232" spans="1:11" ht="90" x14ac:dyDescent="0.25">
      <c r="A232" s="149">
        <v>5220717</v>
      </c>
      <c r="B232" s="150" t="s">
        <v>485</v>
      </c>
      <c r="C232" s="151" t="s">
        <v>485</v>
      </c>
      <c r="D232" s="152" t="s">
        <v>1336</v>
      </c>
      <c r="E232" s="153">
        <v>23807032</v>
      </c>
      <c r="F232" s="154">
        <v>10116350</v>
      </c>
      <c r="G232" s="154">
        <v>3584700</v>
      </c>
      <c r="H232" s="154">
        <v>209067</v>
      </c>
      <c r="I232" s="155">
        <v>13910117</v>
      </c>
      <c r="J232" s="155"/>
      <c r="K232" s="314">
        <f t="shared" si="3"/>
        <v>13910117</v>
      </c>
    </row>
    <row r="233" spans="1:11" ht="75" x14ac:dyDescent="0.25">
      <c r="A233" s="149">
        <v>4382500</v>
      </c>
      <c r="B233" s="150" t="s">
        <v>485</v>
      </c>
      <c r="C233" s="151" t="s">
        <v>485</v>
      </c>
      <c r="D233" s="152" t="s">
        <v>1346</v>
      </c>
      <c r="E233" s="153">
        <v>952322</v>
      </c>
      <c r="F233" s="154">
        <v>750890</v>
      </c>
      <c r="G233" s="154">
        <v>156800</v>
      </c>
      <c r="H233" s="154">
        <v>0</v>
      </c>
      <c r="I233" s="155">
        <v>907690</v>
      </c>
      <c r="J233" s="155"/>
      <c r="K233" s="314">
        <f t="shared" si="3"/>
        <v>907690</v>
      </c>
    </row>
    <row r="234" spans="1:11" ht="60" x14ac:dyDescent="0.25">
      <c r="A234" s="149">
        <v>1872907</v>
      </c>
      <c r="B234" s="150" t="s">
        <v>496</v>
      </c>
      <c r="C234" s="151" t="s">
        <v>496</v>
      </c>
      <c r="D234" s="152" t="s">
        <v>1316</v>
      </c>
      <c r="E234" s="153">
        <v>8542435</v>
      </c>
      <c r="F234" s="154">
        <v>4212850</v>
      </c>
      <c r="G234" s="154">
        <v>2005300</v>
      </c>
      <c r="H234" s="154">
        <v>2506</v>
      </c>
      <c r="I234" s="155">
        <v>6220656</v>
      </c>
      <c r="J234" s="155"/>
      <c r="K234" s="314">
        <f t="shared" si="3"/>
        <v>6220656</v>
      </c>
    </row>
    <row r="235" spans="1:11" ht="60.75" thickBot="1" x14ac:dyDescent="0.3">
      <c r="A235" s="149">
        <v>1878615</v>
      </c>
      <c r="B235" s="150" t="s">
        <v>502</v>
      </c>
      <c r="C235" s="151" t="s">
        <v>502</v>
      </c>
      <c r="D235" s="152" t="s">
        <v>1250</v>
      </c>
      <c r="E235" s="153">
        <v>572636</v>
      </c>
      <c r="F235" s="154">
        <v>388450</v>
      </c>
      <c r="G235" s="154">
        <v>147000</v>
      </c>
      <c r="H235" s="154">
        <v>0</v>
      </c>
      <c r="I235" s="155">
        <v>535450</v>
      </c>
      <c r="J235" s="162"/>
      <c r="K235" s="314">
        <f t="shared" si="3"/>
        <v>535450</v>
      </c>
    </row>
    <row r="236" spans="1:11" ht="60.75" thickBot="1" x14ac:dyDescent="0.3">
      <c r="A236" s="149">
        <v>6565956</v>
      </c>
      <c r="B236" s="150" t="s">
        <v>502</v>
      </c>
      <c r="C236" s="151" t="s">
        <v>502</v>
      </c>
      <c r="D236" s="152" t="s">
        <v>1316</v>
      </c>
      <c r="E236" s="153">
        <v>9862939</v>
      </c>
      <c r="F236" s="154">
        <v>5387240</v>
      </c>
      <c r="G236" s="154">
        <v>1656300</v>
      </c>
      <c r="H236" s="154">
        <v>3883</v>
      </c>
      <c r="I236" s="155">
        <v>7047423</v>
      </c>
      <c r="J236" s="170"/>
      <c r="K236" s="314">
        <f t="shared" si="3"/>
        <v>7047423</v>
      </c>
    </row>
    <row r="237" spans="1:11" ht="90" x14ac:dyDescent="0.25">
      <c r="A237" s="149">
        <v>9924037</v>
      </c>
      <c r="B237" s="150" t="s">
        <v>502</v>
      </c>
      <c r="C237" s="151" t="s">
        <v>502</v>
      </c>
      <c r="D237" s="152" t="s">
        <v>1336</v>
      </c>
      <c r="E237" s="153">
        <v>3491374</v>
      </c>
      <c r="F237" s="154">
        <v>1575410</v>
      </c>
      <c r="G237" s="154">
        <v>621000</v>
      </c>
      <c r="H237" s="154">
        <v>0</v>
      </c>
      <c r="I237" s="155">
        <v>2196410</v>
      </c>
      <c r="J237" s="171"/>
      <c r="K237" s="314">
        <f t="shared" si="3"/>
        <v>2196410</v>
      </c>
    </row>
    <row r="238" spans="1:11" ht="120" x14ac:dyDescent="0.25">
      <c r="A238" s="149">
        <v>9445282</v>
      </c>
      <c r="B238" s="150" t="s">
        <v>506</v>
      </c>
      <c r="C238" s="151" t="s">
        <v>506</v>
      </c>
      <c r="D238" s="152" t="s">
        <v>1311</v>
      </c>
      <c r="E238" s="153">
        <v>17292000</v>
      </c>
      <c r="F238" s="154">
        <v>10228520</v>
      </c>
      <c r="G238" s="154">
        <v>4133800</v>
      </c>
      <c r="H238" s="154">
        <v>1154547</v>
      </c>
      <c r="I238" s="155">
        <v>15516867</v>
      </c>
      <c r="J238" s="171"/>
      <c r="K238" s="314">
        <f t="shared" si="3"/>
        <v>15516867</v>
      </c>
    </row>
    <row r="239" spans="1:11" ht="120" x14ac:dyDescent="0.25">
      <c r="A239" s="149">
        <v>3713907</v>
      </c>
      <c r="B239" s="150" t="s">
        <v>509</v>
      </c>
      <c r="C239" s="151" t="s">
        <v>509</v>
      </c>
      <c r="D239" s="152" t="s">
        <v>1311</v>
      </c>
      <c r="E239" s="153">
        <v>18041000</v>
      </c>
      <c r="F239" s="154">
        <v>9601590</v>
      </c>
      <c r="G239" s="154">
        <v>4010600</v>
      </c>
      <c r="H239" s="154">
        <v>1310959</v>
      </c>
      <c r="I239" s="155">
        <v>14923149</v>
      </c>
      <c r="J239" s="171"/>
      <c r="K239" s="314">
        <f t="shared" si="3"/>
        <v>14923149</v>
      </c>
    </row>
    <row r="240" spans="1:11" ht="60" x14ac:dyDescent="0.25">
      <c r="A240" s="149">
        <v>4007320</v>
      </c>
      <c r="B240" s="150" t="s">
        <v>509</v>
      </c>
      <c r="C240" s="151" t="s">
        <v>509</v>
      </c>
      <c r="D240" s="152" t="s">
        <v>1346</v>
      </c>
      <c r="E240" s="153">
        <v>1115000</v>
      </c>
      <c r="F240" s="154">
        <v>422580</v>
      </c>
      <c r="G240" s="154">
        <v>212300</v>
      </c>
      <c r="H240" s="154">
        <v>0</v>
      </c>
      <c r="I240" s="155">
        <v>634880</v>
      </c>
      <c r="J240" s="171"/>
      <c r="K240" s="314">
        <f t="shared" si="3"/>
        <v>634880</v>
      </c>
    </row>
    <row r="241" spans="1:11" ht="60" x14ac:dyDescent="0.25">
      <c r="A241" s="149">
        <v>7630615</v>
      </c>
      <c r="B241" s="150" t="s">
        <v>515</v>
      </c>
      <c r="C241" s="151" t="s">
        <v>1331</v>
      </c>
      <c r="D241" s="152" t="s">
        <v>1316</v>
      </c>
      <c r="E241" s="153">
        <v>53050000</v>
      </c>
      <c r="F241" s="154">
        <v>24214590</v>
      </c>
      <c r="G241" s="154">
        <v>8676100</v>
      </c>
      <c r="H241" s="154">
        <v>2857544</v>
      </c>
      <c r="I241" s="155">
        <v>35748234</v>
      </c>
      <c r="J241" s="171"/>
      <c r="K241" s="314">
        <f t="shared" si="3"/>
        <v>35748234</v>
      </c>
    </row>
    <row r="242" spans="1:11" ht="90" x14ac:dyDescent="0.25">
      <c r="A242" s="149">
        <v>5804478</v>
      </c>
      <c r="B242" s="150" t="s">
        <v>515</v>
      </c>
      <c r="C242" s="151" t="s">
        <v>1343</v>
      </c>
      <c r="D242" s="152" t="s">
        <v>1336</v>
      </c>
      <c r="E242" s="153">
        <v>12230000</v>
      </c>
      <c r="F242" s="154">
        <v>5612100</v>
      </c>
      <c r="G242" s="154">
        <v>2221200</v>
      </c>
      <c r="H242" s="154">
        <v>0</v>
      </c>
      <c r="I242" s="155">
        <v>7833300</v>
      </c>
      <c r="J242" s="171"/>
      <c r="K242" s="314">
        <f t="shared" si="3"/>
        <v>7833300</v>
      </c>
    </row>
    <row r="243" spans="1:11" ht="60" x14ac:dyDescent="0.25">
      <c r="A243" s="149">
        <v>7071797</v>
      </c>
      <c r="B243" s="150" t="s">
        <v>519</v>
      </c>
      <c r="C243" s="151" t="s">
        <v>519</v>
      </c>
      <c r="D243" s="152" t="s">
        <v>1250</v>
      </c>
      <c r="E243" s="153">
        <v>3658153</v>
      </c>
      <c r="F243" s="154">
        <v>1199670</v>
      </c>
      <c r="G243" s="154">
        <v>667600</v>
      </c>
      <c r="H243" s="154">
        <v>0</v>
      </c>
      <c r="I243" s="155">
        <v>1867270</v>
      </c>
      <c r="J243" s="171"/>
      <c r="K243" s="314">
        <f t="shared" si="3"/>
        <v>1867270</v>
      </c>
    </row>
    <row r="244" spans="1:11" ht="60" x14ac:dyDescent="0.25">
      <c r="A244" s="149">
        <v>3529182</v>
      </c>
      <c r="B244" s="150" t="s">
        <v>519</v>
      </c>
      <c r="C244" s="151" t="s">
        <v>519</v>
      </c>
      <c r="D244" s="152" t="s">
        <v>1316</v>
      </c>
      <c r="E244" s="153">
        <v>7742586</v>
      </c>
      <c r="F244" s="154">
        <v>3549160</v>
      </c>
      <c r="G244" s="154">
        <v>1516500</v>
      </c>
      <c r="H244" s="154">
        <v>299152</v>
      </c>
      <c r="I244" s="155">
        <v>5364812</v>
      </c>
      <c r="J244" s="171"/>
      <c r="K244" s="314">
        <f t="shared" si="3"/>
        <v>5364812</v>
      </c>
    </row>
    <row r="245" spans="1:11" ht="90" x14ac:dyDescent="0.25">
      <c r="A245" s="149">
        <v>5638901</v>
      </c>
      <c r="B245" s="150" t="s">
        <v>519</v>
      </c>
      <c r="C245" s="151" t="s">
        <v>519</v>
      </c>
      <c r="D245" s="152" t="s">
        <v>1336</v>
      </c>
      <c r="E245" s="153">
        <v>14938735</v>
      </c>
      <c r="F245" s="154">
        <v>7397360</v>
      </c>
      <c r="G245" s="154">
        <v>2984600</v>
      </c>
      <c r="H245" s="154">
        <v>226724</v>
      </c>
      <c r="I245" s="155">
        <v>10608684</v>
      </c>
      <c r="J245" s="171"/>
      <c r="K245" s="314">
        <f t="shared" si="3"/>
        <v>10608684</v>
      </c>
    </row>
    <row r="246" spans="1:11" ht="45" x14ac:dyDescent="0.25">
      <c r="A246" s="149">
        <v>1576566</v>
      </c>
      <c r="B246" s="150" t="s">
        <v>519</v>
      </c>
      <c r="C246" s="151" t="s">
        <v>519</v>
      </c>
      <c r="D246" s="152" t="s">
        <v>1346</v>
      </c>
      <c r="E246" s="153">
        <v>2055198</v>
      </c>
      <c r="F246" s="154">
        <v>699600</v>
      </c>
      <c r="G246" s="154">
        <v>340000</v>
      </c>
      <c r="H246" s="154">
        <v>0</v>
      </c>
      <c r="I246" s="155">
        <v>1039600</v>
      </c>
      <c r="J246" s="171"/>
      <c r="K246" s="314">
        <f t="shared" si="3"/>
        <v>1039600</v>
      </c>
    </row>
    <row r="247" spans="1:11" ht="120" x14ac:dyDescent="0.25">
      <c r="A247" s="149">
        <v>6945387</v>
      </c>
      <c r="B247" s="150" t="s">
        <v>523</v>
      </c>
      <c r="C247" s="151" t="s">
        <v>528</v>
      </c>
      <c r="D247" s="152" t="s">
        <v>1311</v>
      </c>
      <c r="E247" s="153">
        <v>10094000</v>
      </c>
      <c r="F247" s="154">
        <v>2905900</v>
      </c>
      <c r="G247" s="154">
        <v>1581700</v>
      </c>
      <c r="H247" s="154">
        <v>201562</v>
      </c>
      <c r="I247" s="155">
        <v>4689162</v>
      </c>
      <c r="J247" s="171"/>
      <c r="K247" s="314">
        <f t="shared" si="3"/>
        <v>4689162</v>
      </c>
    </row>
    <row r="248" spans="1:11" ht="60" x14ac:dyDescent="0.25">
      <c r="A248" s="149">
        <v>5869239</v>
      </c>
      <c r="B248" s="150" t="s">
        <v>523</v>
      </c>
      <c r="C248" s="151" t="s">
        <v>525</v>
      </c>
      <c r="D248" s="152" t="s">
        <v>1316</v>
      </c>
      <c r="E248" s="153">
        <v>19000000</v>
      </c>
      <c r="F248" s="154">
        <v>8914270</v>
      </c>
      <c r="G248" s="154">
        <v>3930300</v>
      </c>
      <c r="H248" s="154">
        <v>606860</v>
      </c>
      <c r="I248" s="155">
        <v>13451430</v>
      </c>
      <c r="J248" s="171"/>
      <c r="K248" s="314">
        <f t="shared" si="3"/>
        <v>13451430</v>
      </c>
    </row>
    <row r="249" spans="1:11" ht="105" x14ac:dyDescent="0.25">
      <c r="A249" s="149">
        <v>8314639</v>
      </c>
      <c r="B249" s="150" t="s">
        <v>928</v>
      </c>
      <c r="C249" s="151" t="s">
        <v>931</v>
      </c>
      <c r="D249" s="152" t="s">
        <v>1514</v>
      </c>
      <c r="E249" s="153">
        <v>2430000</v>
      </c>
      <c r="F249" s="154">
        <v>1892010</v>
      </c>
      <c r="G249" s="154">
        <v>406500</v>
      </c>
      <c r="H249" s="154">
        <v>0</v>
      </c>
      <c r="I249" s="155">
        <v>2298510</v>
      </c>
      <c r="J249" s="171"/>
      <c r="K249" s="314">
        <f t="shared" si="3"/>
        <v>2298510</v>
      </c>
    </row>
    <row r="250" spans="1:11" ht="90" x14ac:dyDescent="0.25">
      <c r="A250" s="149">
        <v>9870958</v>
      </c>
      <c r="B250" s="150" t="s">
        <v>928</v>
      </c>
      <c r="C250" s="151" t="s">
        <v>935</v>
      </c>
      <c r="D250" s="152" t="s">
        <v>1394</v>
      </c>
      <c r="E250" s="153">
        <v>2067000</v>
      </c>
      <c r="F250" s="154">
        <v>1888270</v>
      </c>
      <c r="G250" s="154">
        <v>178730</v>
      </c>
      <c r="H250" s="154">
        <v>0</v>
      </c>
      <c r="I250" s="155">
        <v>2067000</v>
      </c>
      <c r="J250" s="171"/>
      <c r="K250" s="314">
        <f t="shared" si="3"/>
        <v>2067000</v>
      </c>
    </row>
    <row r="251" spans="1:11" ht="105" x14ac:dyDescent="0.25">
      <c r="A251" s="149">
        <v>5922905</v>
      </c>
      <c r="B251" s="150" t="s">
        <v>928</v>
      </c>
      <c r="C251" s="151" t="s">
        <v>1413</v>
      </c>
      <c r="D251" s="152" t="s">
        <v>1405</v>
      </c>
      <c r="E251" s="153">
        <v>1625000</v>
      </c>
      <c r="F251" s="154">
        <v>1497030</v>
      </c>
      <c r="G251" s="154">
        <v>127970</v>
      </c>
      <c r="H251" s="154">
        <v>0</v>
      </c>
      <c r="I251" s="155">
        <v>1625000</v>
      </c>
      <c r="J251" s="171"/>
      <c r="K251" s="314">
        <f t="shared" si="3"/>
        <v>1625000</v>
      </c>
    </row>
    <row r="252" spans="1:11" ht="90" x14ac:dyDescent="0.25">
      <c r="A252" s="149">
        <v>9379121</v>
      </c>
      <c r="B252" s="150" t="s">
        <v>928</v>
      </c>
      <c r="C252" s="151" t="s">
        <v>933</v>
      </c>
      <c r="D252" s="152" t="s">
        <v>1472</v>
      </c>
      <c r="E252" s="153">
        <v>2773000</v>
      </c>
      <c r="F252" s="154">
        <v>1263510</v>
      </c>
      <c r="G252" s="154">
        <v>1502590</v>
      </c>
      <c r="H252" s="154">
        <v>0</v>
      </c>
      <c r="I252" s="155">
        <v>2766100</v>
      </c>
      <c r="J252" s="171"/>
      <c r="K252" s="314">
        <f t="shared" si="3"/>
        <v>2766100</v>
      </c>
    </row>
    <row r="253" spans="1:11" ht="90" x14ac:dyDescent="0.25">
      <c r="A253" s="149">
        <v>6375207</v>
      </c>
      <c r="B253" s="150" t="s">
        <v>997</v>
      </c>
      <c r="C253" s="151" t="s">
        <v>997</v>
      </c>
      <c r="D253" s="152" t="s">
        <v>1250</v>
      </c>
      <c r="E253" s="153">
        <v>721000</v>
      </c>
      <c r="F253" s="154">
        <v>152000</v>
      </c>
      <c r="G253" s="154">
        <v>61800</v>
      </c>
      <c r="H253" s="154">
        <v>116211</v>
      </c>
      <c r="I253" s="155">
        <v>330011</v>
      </c>
      <c r="J253" s="171"/>
      <c r="K253" s="314">
        <f t="shared" si="3"/>
        <v>330011</v>
      </c>
    </row>
    <row r="254" spans="1:11" ht="120" x14ac:dyDescent="0.25">
      <c r="A254" s="149">
        <v>1546097</v>
      </c>
      <c r="B254" s="150" t="s">
        <v>997</v>
      </c>
      <c r="C254" s="151" t="s">
        <v>997</v>
      </c>
      <c r="D254" s="152" t="s">
        <v>1311</v>
      </c>
      <c r="E254" s="153">
        <v>29738000</v>
      </c>
      <c r="F254" s="154">
        <v>14507790</v>
      </c>
      <c r="G254" s="154">
        <v>5704900</v>
      </c>
      <c r="H254" s="154">
        <v>1241004</v>
      </c>
      <c r="I254" s="155">
        <v>21453694</v>
      </c>
      <c r="J254" s="171"/>
      <c r="K254" s="314">
        <f t="shared" si="3"/>
        <v>21453694</v>
      </c>
    </row>
    <row r="255" spans="1:11" ht="120" x14ac:dyDescent="0.25">
      <c r="A255" s="149">
        <v>2089762</v>
      </c>
      <c r="B255" s="150" t="s">
        <v>1001</v>
      </c>
      <c r="C255" s="151" t="s">
        <v>1001</v>
      </c>
      <c r="D255" s="152" t="s">
        <v>1311</v>
      </c>
      <c r="E255" s="153">
        <v>28690000</v>
      </c>
      <c r="F255" s="154">
        <v>12568140</v>
      </c>
      <c r="G255" s="154">
        <v>6055200</v>
      </c>
      <c r="H255" s="154">
        <v>2008197</v>
      </c>
      <c r="I255" s="155">
        <v>20631537</v>
      </c>
      <c r="J255" s="171"/>
      <c r="K255" s="314">
        <f t="shared" si="3"/>
        <v>20631537</v>
      </c>
    </row>
    <row r="256" spans="1:11" ht="195.75" thickBot="1" x14ac:dyDescent="0.3">
      <c r="A256" s="149">
        <v>8430922</v>
      </c>
      <c r="B256" s="157" t="s">
        <v>1380</v>
      </c>
      <c r="C256" s="158" t="s">
        <v>1379</v>
      </c>
      <c r="D256" s="159" t="s">
        <v>1377</v>
      </c>
      <c r="E256" s="160">
        <v>3089217</v>
      </c>
      <c r="F256" s="161">
        <v>693740</v>
      </c>
      <c r="G256" s="161">
        <v>135000</v>
      </c>
      <c r="H256" s="161">
        <v>40000</v>
      </c>
      <c r="I256" s="162">
        <v>868740</v>
      </c>
      <c r="J256" s="172"/>
      <c r="K256" s="314">
        <f t="shared" si="3"/>
        <v>868740</v>
      </c>
    </row>
    <row r="257" spans="1:11" ht="15.75" thickBot="1" x14ac:dyDescent="0.3">
      <c r="A257" s="156"/>
      <c r="B257" s="173"/>
      <c r="C257" s="174"/>
      <c r="D257" s="175"/>
      <c r="E257" s="176">
        <v>1231056153</v>
      </c>
      <c r="F257" s="170">
        <v>683516870</v>
      </c>
      <c r="G257" s="170">
        <v>142286930</v>
      </c>
      <c r="H257" s="170">
        <v>54600000</v>
      </c>
      <c r="I257" s="170">
        <v>880403800</v>
      </c>
      <c r="J257" s="171">
        <f>SUM(J2:J256)</f>
        <v>0</v>
      </c>
      <c r="K257" s="171">
        <f>SUM(K2:K256)</f>
        <v>880403800</v>
      </c>
    </row>
  </sheetData>
  <conditionalFormatting sqref="H2:H256">
    <cfRule type="cellIs" dxfId="1" priority="1" operator="between">
      <formula>1</formula>
      <formula>5000</formula>
    </cfRule>
  </conditionalFormatting>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1"/>
  <sheetViews>
    <sheetView topLeftCell="A187" workbookViewId="0">
      <selection activeCell="H191" sqref="H191"/>
    </sheetView>
  </sheetViews>
  <sheetFormatPr defaultRowHeight="15" x14ac:dyDescent="0.25"/>
  <cols>
    <col min="6" max="6" width="13.28515625" customWidth="1"/>
    <col min="8" max="8" width="9.7109375" bestFit="1" customWidth="1"/>
  </cols>
  <sheetData>
    <row r="1" spans="1:8" ht="30.75" thickBot="1" x14ac:dyDescent="0.3">
      <c r="A1" s="135" t="s">
        <v>1039</v>
      </c>
      <c r="B1" s="136" t="s">
        <v>1040</v>
      </c>
      <c r="C1" s="137" t="s">
        <v>40</v>
      </c>
      <c r="D1" s="138" t="s">
        <v>1507</v>
      </c>
      <c r="E1" s="177" t="s">
        <v>1527</v>
      </c>
      <c r="F1" s="178" t="s">
        <v>1528</v>
      </c>
      <c r="H1" t="s">
        <v>1837</v>
      </c>
    </row>
    <row r="2" spans="1:8" ht="75" x14ac:dyDescent="0.25">
      <c r="A2" s="142">
        <v>1665958</v>
      </c>
      <c r="B2" s="179" t="s">
        <v>470</v>
      </c>
      <c r="C2" s="144" t="s">
        <v>470</v>
      </c>
      <c r="D2" s="145" t="s">
        <v>1316</v>
      </c>
      <c r="E2" s="180">
        <v>370000</v>
      </c>
      <c r="F2" s="181">
        <v>301000</v>
      </c>
      <c r="H2" s="314">
        <f>F2+G2</f>
        <v>301000</v>
      </c>
    </row>
    <row r="3" spans="1:8" ht="120" x14ac:dyDescent="0.25">
      <c r="A3" s="149">
        <v>8982230</v>
      </c>
      <c r="B3" s="182" t="s">
        <v>959</v>
      </c>
      <c r="C3" s="151" t="s">
        <v>959</v>
      </c>
      <c r="D3" s="152" t="s">
        <v>1316</v>
      </c>
      <c r="E3" s="183">
        <v>760000</v>
      </c>
      <c r="F3" s="184">
        <v>123100</v>
      </c>
      <c r="H3" s="314">
        <f t="shared" ref="H3:H66" si="0">F3+G3</f>
        <v>123100</v>
      </c>
    </row>
    <row r="4" spans="1:8" ht="75" x14ac:dyDescent="0.25">
      <c r="A4" s="149">
        <v>3135426</v>
      </c>
      <c r="B4" s="182" t="s">
        <v>1007</v>
      </c>
      <c r="C4" s="151" t="s">
        <v>1007</v>
      </c>
      <c r="D4" s="152" t="s">
        <v>1316</v>
      </c>
      <c r="E4" s="183">
        <v>900000</v>
      </c>
      <c r="F4" s="184">
        <v>296405</v>
      </c>
      <c r="H4" s="314">
        <f t="shared" si="0"/>
        <v>296405</v>
      </c>
    </row>
    <row r="5" spans="1:8" ht="60" x14ac:dyDescent="0.25">
      <c r="A5" s="149">
        <v>6152074</v>
      </c>
      <c r="B5" s="182" t="s">
        <v>1145</v>
      </c>
      <c r="C5" s="151" t="s">
        <v>226</v>
      </c>
      <c r="D5" s="152" t="s">
        <v>1124</v>
      </c>
      <c r="E5" s="183">
        <v>820000</v>
      </c>
      <c r="F5" s="184">
        <v>0</v>
      </c>
      <c r="H5" s="314">
        <f t="shared" si="0"/>
        <v>0</v>
      </c>
    </row>
    <row r="6" spans="1:8" ht="60.75" thickBot="1" x14ac:dyDescent="0.3">
      <c r="A6" s="156">
        <v>3673053</v>
      </c>
      <c r="B6" s="185" t="s">
        <v>1145</v>
      </c>
      <c r="C6" s="158" t="s">
        <v>219</v>
      </c>
      <c r="D6" s="159" t="s">
        <v>1282</v>
      </c>
      <c r="E6" s="186">
        <v>1726000</v>
      </c>
      <c r="F6" s="187">
        <v>0</v>
      </c>
      <c r="H6" s="314">
        <f t="shared" si="0"/>
        <v>0</v>
      </c>
    </row>
    <row r="7" spans="1:8" ht="60.75" thickBot="1" x14ac:dyDescent="0.3">
      <c r="A7" s="164">
        <v>4885366</v>
      </c>
      <c r="B7" s="188" t="s">
        <v>240</v>
      </c>
      <c r="C7" s="166" t="s">
        <v>1488</v>
      </c>
      <c r="D7" s="167" t="s">
        <v>1472</v>
      </c>
      <c r="E7" s="189">
        <v>144568</v>
      </c>
      <c r="F7" s="190">
        <v>49239</v>
      </c>
      <c r="H7" s="314">
        <f t="shared" si="0"/>
        <v>49239</v>
      </c>
    </row>
    <row r="8" spans="1:8" ht="45" x14ac:dyDescent="0.25">
      <c r="A8" s="142">
        <v>3346325</v>
      </c>
      <c r="B8" s="179" t="s">
        <v>1373</v>
      </c>
      <c r="C8" s="144" t="s">
        <v>1373</v>
      </c>
      <c r="D8" s="145" t="s">
        <v>1366</v>
      </c>
      <c r="E8" s="180">
        <v>500000</v>
      </c>
      <c r="F8" s="181">
        <v>0</v>
      </c>
      <c r="H8" s="314">
        <f t="shared" si="0"/>
        <v>0</v>
      </c>
    </row>
    <row r="9" spans="1:8" ht="60" x14ac:dyDescent="0.25">
      <c r="A9" s="149">
        <v>2039109</v>
      </c>
      <c r="B9" s="182" t="s">
        <v>281</v>
      </c>
      <c r="C9" s="151" t="s">
        <v>1130</v>
      </c>
      <c r="D9" s="152" t="s">
        <v>1124</v>
      </c>
      <c r="E9" s="183">
        <v>200000</v>
      </c>
      <c r="F9" s="184">
        <v>8189</v>
      </c>
      <c r="H9" s="314">
        <f t="shared" si="0"/>
        <v>8189</v>
      </c>
    </row>
    <row r="10" spans="1:8" ht="60" x14ac:dyDescent="0.25">
      <c r="A10" s="149">
        <v>5020855</v>
      </c>
      <c r="B10" s="182" t="s">
        <v>281</v>
      </c>
      <c r="C10" s="151" t="s">
        <v>1130</v>
      </c>
      <c r="D10" s="152" t="s">
        <v>1273</v>
      </c>
      <c r="E10" s="183">
        <v>360000</v>
      </c>
      <c r="F10" s="184">
        <v>310000</v>
      </c>
      <c r="H10" s="314">
        <f t="shared" si="0"/>
        <v>310000</v>
      </c>
    </row>
    <row r="11" spans="1:8" ht="90" x14ac:dyDescent="0.25">
      <c r="A11" s="191">
        <v>5002625</v>
      </c>
      <c r="B11" s="192" t="s">
        <v>1529</v>
      </c>
      <c r="C11" s="193" t="s">
        <v>1530</v>
      </c>
      <c r="D11" s="194" t="s">
        <v>1366</v>
      </c>
      <c r="E11" s="183">
        <v>125000</v>
      </c>
      <c r="F11" s="184">
        <v>0</v>
      </c>
      <c r="G11">
        <v>121748</v>
      </c>
      <c r="H11" s="314">
        <f t="shared" si="0"/>
        <v>121748</v>
      </c>
    </row>
    <row r="12" spans="1:8" ht="105" x14ac:dyDescent="0.25">
      <c r="A12" s="191">
        <v>8535980</v>
      </c>
      <c r="B12" s="192" t="s">
        <v>1529</v>
      </c>
      <c r="C12" s="193" t="s">
        <v>379</v>
      </c>
      <c r="D12" s="194" t="s">
        <v>1427</v>
      </c>
      <c r="E12" s="183">
        <v>43320</v>
      </c>
      <c r="F12" s="184">
        <v>0</v>
      </c>
      <c r="H12" s="314">
        <f t="shared" si="0"/>
        <v>0</v>
      </c>
    </row>
    <row r="13" spans="1:8" ht="180" x14ac:dyDescent="0.25">
      <c r="A13" s="149">
        <v>6565086</v>
      </c>
      <c r="B13" s="182" t="s">
        <v>290</v>
      </c>
      <c r="C13" s="151" t="s">
        <v>294</v>
      </c>
      <c r="D13" s="152" t="s">
        <v>1055</v>
      </c>
      <c r="E13" s="183">
        <v>511294</v>
      </c>
      <c r="F13" s="184">
        <v>136223</v>
      </c>
      <c r="H13" s="314">
        <f t="shared" si="0"/>
        <v>136223</v>
      </c>
    </row>
    <row r="14" spans="1:8" ht="180" x14ac:dyDescent="0.25">
      <c r="A14" s="149">
        <v>6630553</v>
      </c>
      <c r="B14" s="182" t="s">
        <v>290</v>
      </c>
      <c r="C14" s="151" t="s">
        <v>294</v>
      </c>
      <c r="D14" s="152" t="s">
        <v>1447</v>
      </c>
      <c r="E14" s="183">
        <v>313620</v>
      </c>
      <c r="F14" s="184">
        <v>136636</v>
      </c>
      <c r="H14" s="314">
        <f t="shared" si="0"/>
        <v>136636</v>
      </c>
    </row>
    <row r="15" spans="1:8" ht="75" x14ac:dyDescent="0.25">
      <c r="A15" s="149">
        <v>8615860</v>
      </c>
      <c r="B15" s="182" t="s">
        <v>306</v>
      </c>
      <c r="C15" s="151" t="s">
        <v>931</v>
      </c>
      <c r="D15" s="152" t="s">
        <v>1055</v>
      </c>
      <c r="E15" s="183">
        <v>180000</v>
      </c>
      <c r="F15" s="184">
        <v>0</v>
      </c>
      <c r="H15" s="314">
        <f t="shared" si="0"/>
        <v>0</v>
      </c>
    </row>
    <row r="16" spans="1:8" ht="105" x14ac:dyDescent="0.25">
      <c r="A16" s="149">
        <v>6191102</v>
      </c>
      <c r="B16" s="182" t="s">
        <v>312</v>
      </c>
      <c r="C16" s="151" t="s">
        <v>1095</v>
      </c>
      <c r="D16" s="152" t="s">
        <v>1514</v>
      </c>
      <c r="E16" s="183">
        <v>196000</v>
      </c>
      <c r="F16" s="184">
        <v>19273</v>
      </c>
      <c r="H16" s="314">
        <f t="shared" si="0"/>
        <v>19273</v>
      </c>
    </row>
    <row r="17" spans="1:8" ht="105" x14ac:dyDescent="0.25">
      <c r="A17" s="149">
        <v>4309907</v>
      </c>
      <c r="B17" s="182" t="s">
        <v>312</v>
      </c>
      <c r="C17" s="151" t="s">
        <v>314</v>
      </c>
      <c r="D17" s="152" t="s">
        <v>1514</v>
      </c>
      <c r="E17" s="183">
        <v>357000</v>
      </c>
      <c r="F17" s="184">
        <v>183425</v>
      </c>
      <c r="H17" s="314">
        <f t="shared" si="0"/>
        <v>183425</v>
      </c>
    </row>
    <row r="18" spans="1:8" ht="105" x14ac:dyDescent="0.25">
      <c r="A18" s="149">
        <v>9684449</v>
      </c>
      <c r="B18" s="182" t="s">
        <v>312</v>
      </c>
      <c r="C18" s="151" t="s">
        <v>327</v>
      </c>
      <c r="D18" s="152" t="s">
        <v>1514</v>
      </c>
      <c r="E18" s="183">
        <v>497000</v>
      </c>
      <c r="F18" s="184">
        <v>108004</v>
      </c>
      <c r="H18" s="314">
        <f t="shared" si="0"/>
        <v>108004</v>
      </c>
    </row>
    <row r="19" spans="1:8" ht="105" x14ac:dyDescent="0.25">
      <c r="A19" s="149">
        <v>5792625</v>
      </c>
      <c r="B19" s="182" t="s">
        <v>312</v>
      </c>
      <c r="C19" s="151" t="s">
        <v>318</v>
      </c>
      <c r="D19" s="152" t="s">
        <v>1514</v>
      </c>
      <c r="E19" s="183">
        <v>227000</v>
      </c>
      <c r="F19" s="184">
        <v>116140</v>
      </c>
      <c r="H19" s="314">
        <f t="shared" si="0"/>
        <v>116140</v>
      </c>
    </row>
    <row r="20" spans="1:8" ht="75" x14ac:dyDescent="0.25">
      <c r="A20" s="149">
        <v>9735411</v>
      </c>
      <c r="B20" s="182" t="s">
        <v>312</v>
      </c>
      <c r="C20" s="151" t="s">
        <v>386</v>
      </c>
      <c r="D20" s="152" t="s">
        <v>1155</v>
      </c>
      <c r="E20" s="183">
        <v>493000</v>
      </c>
      <c r="F20" s="184">
        <v>68620</v>
      </c>
      <c r="H20" s="314">
        <f t="shared" si="0"/>
        <v>68620</v>
      </c>
    </row>
    <row r="21" spans="1:8" ht="75" x14ac:dyDescent="0.25">
      <c r="A21" s="149">
        <v>7268793</v>
      </c>
      <c r="B21" s="182" t="s">
        <v>312</v>
      </c>
      <c r="C21" s="151" t="s">
        <v>1299</v>
      </c>
      <c r="D21" s="152" t="s">
        <v>1282</v>
      </c>
      <c r="E21" s="183">
        <v>121000</v>
      </c>
      <c r="F21" s="184">
        <v>31000</v>
      </c>
      <c r="H21" s="314">
        <f t="shared" si="0"/>
        <v>31000</v>
      </c>
    </row>
    <row r="22" spans="1:8" ht="60" x14ac:dyDescent="0.25">
      <c r="A22" s="149">
        <v>2333254</v>
      </c>
      <c r="B22" s="182" t="s">
        <v>353</v>
      </c>
      <c r="C22" s="151" t="s">
        <v>1287</v>
      </c>
      <c r="D22" s="152" t="s">
        <v>1282</v>
      </c>
      <c r="E22" s="183">
        <v>250110</v>
      </c>
      <c r="F22" s="184">
        <v>0</v>
      </c>
      <c r="H22" s="314">
        <f t="shared" si="0"/>
        <v>0</v>
      </c>
    </row>
    <row r="23" spans="1:8" ht="120" x14ac:dyDescent="0.25">
      <c r="A23" s="149">
        <v>9223411</v>
      </c>
      <c r="B23" s="182" t="s">
        <v>358</v>
      </c>
      <c r="C23" s="151" t="s">
        <v>358</v>
      </c>
      <c r="D23" s="152" t="s">
        <v>1250</v>
      </c>
      <c r="E23" s="183">
        <v>100000</v>
      </c>
      <c r="F23" s="184">
        <v>2810</v>
      </c>
      <c r="H23" s="314">
        <f t="shared" si="0"/>
        <v>2810</v>
      </c>
    </row>
    <row r="24" spans="1:8" ht="120" x14ac:dyDescent="0.25">
      <c r="A24" s="149">
        <v>9264829</v>
      </c>
      <c r="B24" s="182" t="s">
        <v>358</v>
      </c>
      <c r="C24" s="151" t="s">
        <v>358</v>
      </c>
      <c r="D24" s="152" t="s">
        <v>1311</v>
      </c>
      <c r="E24" s="183">
        <v>150000</v>
      </c>
      <c r="F24" s="184">
        <v>78000</v>
      </c>
      <c r="H24" s="314">
        <f t="shared" si="0"/>
        <v>78000</v>
      </c>
    </row>
    <row r="25" spans="1:8" ht="105" x14ac:dyDescent="0.25">
      <c r="A25" s="149">
        <v>8946698</v>
      </c>
      <c r="B25" s="182" t="s">
        <v>367</v>
      </c>
      <c r="C25" s="151" t="s">
        <v>372</v>
      </c>
      <c r="D25" s="152" t="s">
        <v>1427</v>
      </c>
      <c r="E25" s="183">
        <v>121422</v>
      </c>
      <c r="F25" s="184">
        <v>0</v>
      </c>
      <c r="H25" s="314">
        <f t="shared" si="0"/>
        <v>0</v>
      </c>
    </row>
    <row r="26" spans="1:8" ht="75.75" thickBot="1" x14ac:dyDescent="0.3">
      <c r="A26" s="156">
        <v>1806042</v>
      </c>
      <c r="B26" s="185" t="s">
        <v>375</v>
      </c>
      <c r="C26" s="158" t="s">
        <v>225</v>
      </c>
      <c r="D26" s="159" t="s">
        <v>1124</v>
      </c>
      <c r="E26" s="186">
        <v>200000</v>
      </c>
      <c r="F26" s="187">
        <v>0</v>
      </c>
      <c r="H26" s="314">
        <f t="shared" si="0"/>
        <v>0</v>
      </c>
    </row>
    <row r="27" spans="1:8" ht="105" x14ac:dyDescent="0.25">
      <c r="A27" s="142">
        <v>6361701</v>
      </c>
      <c r="B27" s="179" t="s">
        <v>375</v>
      </c>
      <c r="C27" s="144" t="s">
        <v>1438</v>
      </c>
      <c r="D27" s="145" t="s">
        <v>1427</v>
      </c>
      <c r="E27" s="180">
        <v>330000</v>
      </c>
      <c r="F27" s="181">
        <v>26897</v>
      </c>
      <c r="H27" s="314">
        <f t="shared" si="0"/>
        <v>26897</v>
      </c>
    </row>
    <row r="28" spans="1:8" ht="75" x14ac:dyDescent="0.25">
      <c r="A28" s="149">
        <v>7790627</v>
      </c>
      <c r="B28" s="182" t="s">
        <v>375</v>
      </c>
      <c r="C28" s="151" t="s">
        <v>700</v>
      </c>
      <c r="D28" s="152" t="s">
        <v>1472</v>
      </c>
      <c r="E28" s="183">
        <v>110000</v>
      </c>
      <c r="F28" s="184">
        <v>0</v>
      </c>
      <c r="H28" s="314">
        <f t="shared" si="0"/>
        <v>0</v>
      </c>
    </row>
    <row r="29" spans="1:8" ht="105" x14ac:dyDescent="0.25">
      <c r="A29" s="149">
        <v>1008575</v>
      </c>
      <c r="B29" s="182" t="s">
        <v>384</v>
      </c>
      <c r="C29" s="151" t="s">
        <v>386</v>
      </c>
      <c r="D29" s="152" t="s">
        <v>1155</v>
      </c>
      <c r="E29" s="183">
        <v>170700</v>
      </c>
      <c r="F29" s="184">
        <v>65852</v>
      </c>
      <c r="H29" s="314">
        <f t="shared" si="0"/>
        <v>65852</v>
      </c>
    </row>
    <row r="30" spans="1:8" ht="105" x14ac:dyDescent="0.25">
      <c r="A30" s="149">
        <v>1567065</v>
      </c>
      <c r="B30" s="182" t="s">
        <v>384</v>
      </c>
      <c r="C30" s="151" t="s">
        <v>1283</v>
      </c>
      <c r="D30" s="152" t="s">
        <v>1282</v>
      </c>
      <c r="E30" s="183">
        <v>36505</v>
      </c>
      <c r="F30" s="184">
        <v>12471</v>
      </c>
      <c r="H30" s="314">
        <f t="shared" si="0"/>
        <v>12471</v>
      </c>
    </row>
    <row r="31" spans="1:8" ht="105" x14ac:dyDescent="0.25">
      <c r="A31" s="149">
        <v>7857005</v>
      </c>
      <c r="B31" s="182" t="s">
        <v>384</v>
      </c>
      <c r="C31" s="151" t="s">
        <v>1332</v>
      </c>
      <c r="D31" s="152" t="s">
        <v>1316</v>
      </c>
      <c r="E31" s="183">
        <v>241000</v>
      </c>
      <c r="F31" s="184">
        <v>241000</v>
      </c>
      <c r="H31" s="314">
        <f t="shared" si="0"/>
        <v>241000</v>
      </c>
    </row>
    <row r="32" spans="1:8" ht="105" x14ac:dyDescent="0.25">
      <c r="A32" s="149">
        <v>8936486</v>
      </c>
      <c r="B32" s="182" t="s">
        <v>384</v>
      </c>
      <c r="C32" s="151" t="s">
        <v>1332</v>
      </c>
      <c r="D32" s="152" t="s">
        <v>1336</v>
      </c>
      <c r="E32" s="183">
        <v>72000</v>
      </c>
      <c r="F32" s="184">
        <v>9300</v>
      </c>
      <c r="H32" s="314">
        <f t="shared" si="0"/>
        <v>9300</v>
      </c>
    </row>
    <row r="33" spans="1:8" ht="75" x14ac:dyDescent="0.25">
      <c r="A33" s="149">
        <v>5646573</v>
      </c>
      <c r="B33" s="182" t="s">
        <v>396</v>
      </c>
      <c r="C33" s="151" t="s">
        <v>398</v>
      </c>
      <c r="D33" s="152" t="s">
        <v>1055</v>
      </c>
      <c r="E33" s="183">
        <v>50000</v>
      </c>
      <c r="F33" s="184">
        <v>28567</v>
      </c>
      <c r="H33" s="314">
        <f t="shared" si="0"/>
        <v>28567</v>
      </c>
    </row>
    <row r="34" spans="1:8" ht="105" x14ac:dyDescent="0.25">
      <c r="A34" s="149">
        <v>8382823</v>
      </c>
      <c r="B34" s="182" t="s">
        <v>402</v>
      </c>
      <c r="C34" s="151" t="s">
        <v>1440</v>
      </c>
      <c r="D34" s="152" t="s">
        <v>1427</v>
      </c>
      <c r="E34" s="183">
        <v>400000</v>
      </c>
      <c r="F34" s="184">
        <v>22008</v>
      </c>
      <c r="H34" s="314">
        <f t="shared" si="0"/>
        <v>22008</v>
      </c>
    </row>
    <row r="35" spans="1:8" ht="90.75" thickBot="1" x14ac:dyDescent="0.3">
      <c r="A35" s="156">
        <v>2583952</v>
      </c>
      <c r="B35" s="185" t="s">
        <v>1071</v>
      </c>
      <c r="C35" s="158" t="s">
        <v>407</v>
      </c>
      <c r="D35" s="159" t="s">
        <v>1055</v>
      </c>
      <c r="E35" s="186">
        <v>150000</v>
      </c>
      <c r="F35" s="187">
        <v>150000</v>
      </c>
      <c r="H35" s="314">
        <f t="shared" si="0"/>
        <v>150000</v>
      </c>
    </row>
    <row r="36" spans="1:8" ht="60.75" thickBot="1" x14ac:dyDescent="0.3">
      <c r="A36" s="164">
        <v>1905494</v>
      </c>
      <c r="B36" s="188" t="s">
        <v>415</v>
      </c>
      <c r="C36" s="166" t="s">
        <v>415</v>
      </c>
      <c r="D36" s="167" t="s">
        <v>1250</v>
      </c>
      <c r="E36" s="189">
        <v>591200</v>
      </c>
      <c r="F36" s="190">
        <v>225228</v>
      </c>
      <c r="H36" s="314">
        <f t="shared" si="0"/>
        <v>225228</v>
      </c>
    </row>
    <row r="37" spans="1:8" ht="90" x14ac:dyDescent="0.25">
      <c r="A37" s="142">
        <v>9503685</v>
      </c>
      <c r="B37" s="179" t="s">
        <v>553</v>
      </c>
      <c r="C37" s="144" t="s">
        <v>1115</v>
      </c>
      <c r="D37" s="145" t="s">
        <v>1055</v>
      </c>
      <c r="E37" s="180">
        <v>80000</v>
      </c>
      <c r="F37" s="181">
        <v>14332</v>
      </c>
      <c r="H37" s="314">
        <f t="shared" si="0"/>
        <v>14332</v>
      </c>
    </row>
    <row r="38" spans="1:8" ht="105" x14ac:dyDescent="0.25">
      <c r="A38" s="149">
        <v>8289298</v>
      </c>
      <c r="B38" s="182" t="s">
        <v>553</v>
      </c>
      <c r="C38" s="151" t="s">
        <v>1106</v>
      </c>
      <c r="D38" s="152" t="s">
        <v>1055</v>
      </c>
      <c r="E38" s="183">
        <v>600000</v>
      </c>
      <c r="F38" s="184">
        <v>0</v>
      </c>
      <c r="H38" s="314">
        <f t="shared" si="0"/>
        <v>0</v>
      </c>
    </row>
    <row r="39" spans="1:8" ht="90" x14ac:dyDescent="0.25">
      <c r="A39" s="149">
        <v>7634996</v>
      </c>
      <c r="B39" s="182" t="s">
        <v>553</v>
      </c>
      <c r="C39" s="151" t="s">
        <v>1104</v>
      </c>
      <c r="D39" s="152" t="s">
        <v>1055</v>
      </c>
      <c r="E39" s="183">
        <v>75000</v>
      </c>
      <c r="F39" s="184">
        <v>26478</v>
      </c>
      <c r="H39" s="314">
        <f t="shared" si="0"/>
        <v>26478</v>
      </c>
    </row>
    <row r="40" spans="1:8" ht="90" x14ac:dyDescent="0.25">
      <c r="A40" s="149">
        <v>2392006</v>
      </c>
      <c r="B40" s="182" t="s">
        <v>553</v>
      </c>
      <c r="C40" s="151" t="s">
        <v>377</v>
      </c>
      <c r="D40" s="152" t="s">
        <v>1124</v>
      </c>
      <c r="E40" s="183">
        <v>470000</v>
      </c>
      <c r="F40" s="184">
        <v>0</v>
      </c>
      <c r="H40" s="314">
        <f t="shared" si="0"/>
        <v>0</v>
      </c>
    </row>
    <row r="41" spans="1:8" ht="90" x14ac:dyDescent="0.25">
      <c r="A41" s="149">
        <v>8102124</v>
      </c>
      <c r="B41" s="182" t="s">
        <v>553</v>
      </c>
      <c r="C41" s="151" t="s">
        <v>1418</v>
      </c>
      <c r="D41" s="152" t="s">
        <v>1405</v>
      </c>
      <c r="E41" s="183">
        <v>450000</v>
      </c>
      <c r="F41" s="184">
        <v>23832</v>
      </c>
      <c r="H41" s="314">
        <f t="shared" si="0"/>
        <v>23832</v>
      </c>
    </row>
    <row r="42" spans="1:8" ht="120" x14ac:dyDescent="0.25">
      <c r="A42" s="149">
        <v>4526227</v>
      </c>
      <c r="B42" s="182" t="s">
        <v>553</v>
      </c>
      <c r="C42" s="151" t="s">
        <v>1433</v>
      </c>
      <c r="D42" s="152" t="s">
        <v>1427</v>
      </c>
      <c r="E42" s="183">
        <v>340000</v>
      </c>
      <c r="F42" s="184">
        <v>0</v>
      </c>
      <c r="H42" s="314">
        <f t="shared" si="0"/>
        <v>0</v>
      </c>
    </row>
    <row r="43" spans="1:8" ht="90" x14ac:dyDescent="0.25">
      <c r="A43" s="149">
        <v>7653065</v>
      </c>
      <c r="B43" s="182" t="s">
        <v>553</v>
      </c>
      <c r="C43" s="151" t="s">
        <v>1457</v>
      </c>
      <c r="D43" s="152" t="s">
        <v>1451</v>
      </c>
      <c r="E43" s="183">
        <v>270000</v>
      </c>
      <c r="F43" s="184">
        <v>0</v>
      </c>
      <c r="H43" s="314">
        <f t="shared" si="0"/>
        <v>0</v>
      </c>
    </row>
    <row r="44" spans="1:8" ht="75" x14ac:dyDescent="0.25">
      <c r="A44" s="149">
        <v>1441233</v>
      </c>
      <c r="B44" s="182" t="s">
        <v>568</v>
      </c>
      <c r="C44" s="151" t="s">
        <v>1251</v>
      </c>
      <c r="D44" s="152" t="s">
        <v>1250</v>
      </c>
      <c r="E44" s="183">
        <v>107400</v>
      </c>
      <c r="F44" s="184">
        <v>54020</v>
      </c>
      <c r="H44" s="314">
        <f t="shared" si="0"/>
        <v>54020</v>
      </c>
    </row>
    <row r="45" spans="1:8" ht="75" x14ac:dyDescent="0.25">
      <c r="A45" s="149">
        <v>1961902</v>
      </c>
      <c r="B45" s="182" t="s">
        <v>568</v>
      </c>
      <c r="C45" s="151" t="s">
        <v>1251</v>
      </c>
      <c r="D45" s="152" t="s">
        <v>1282</v>
      </c>
      <c r="E45" s="183">
        <v>134010</v>
      </c>
      <c r="F45" s="184">
        <v>0</v>
      </c>
      <c r="H45" s="314">
        <f t="shared" si="0"/>
        <v>0</v>
      </c>
    </row>
    <row r="46" spans="1:8" ht="75" x14ac:dyDescent="0.25">
      <c r="A46" s="149">
        <v>2499134</v>
      </c>
      <c r="B46" s="182" t="s">
        <v>568</v>
      </c>
      <c r="C46" s="151" t="s">
        <v>1251</v>
      </c>
      <c r="D46" s="152" t="s">
        <v>1307</v>
      </c>
      <c r="E46" s="183">
        <v>123062</v>
      </c>
      <c r="F46" s="184">
        <v>0</v>
      </c>
      <c r="H46" s="314">
        <f t="shared" si="0"/>
        <v>0</v>
      </c>
    </row>
    <row r="47" spans="1:8" ht="90" x14ac:dyDescent="0.25">
      <c r="A47" s="149">
        <v>7566271</v>
      </c>
      <c r="B47" s="182" t="s">
        <v>580</v>
      </c>
      <c r="C47" s="151" t="s">
        <v>1147</v>
      </c>
      <c r="D47" s="152" t="s">
        <v>1124</v>
      </c>
      <c r="E47" s="183">
        <v>600000</v>
      </c>
      <c r="F47" s="184">
        <v>0</v>
      </c>
      <c r="H47" s="314">
        <f t="shared" si="0"/>
        <v>0</v>
      </c>
    </row>
    <row r="48" spans="1:8" ht="135" x14ac:dyDescent="0.25">
      <c r="A48" s="149">
        <v>9608144</v>
      </c>
      <c r="B48" s="182" t="s">
        <v>1118</v>
      </c>
      <c r="C48" s="151" t="s">
        <v>1117</v>
      </c>
      <c r="D48" s="152" t="s">
        <v>1055</v>
      </c>
      <c r="E48" s="183">
        <v>229460</v>
      </c>
      <c r="F48" s="184">
        <v>0</v>
      </c>
      <c r="H48" s="314">
        <f t="shared" si="0"/>
        <v>0</v>
      </c>
    </row>
    <row r="49" spans="1:8" ht="135" x14ac:dyDescent="0.25">
      <c r="A49" s="149">
        <v>8365172</v>
      </c>
      <c r="B49" s="182" t="s">
        <v>1118</v>
      </c>
      <c r="C49" s="151" t="s">
        <v>1378</v>
      </c>
      <c r="D49" s="152" t="s">
        <v>1377</v>
      </c>
      <c r="E49" s="183">
        <v>272040</v>
      </c>
      <c r="F49" s="184">
        <v>36785</v>
      </c>
      <c r="H49" s="314">
        <f t="shared" si="0"/>
        <v>36785</v>
      </c>
    </row>
    <row r="50" spans="1:8" ht="60" x14ac:dyDescent="0.25">
      <c r="A50" s="149">
        <v>8098643</v>
      </c>
      <c r="B50" s="182" t="s">
        <v>1515</v>
      </c>
      <c r="C50" s="151" t="s">
        <v>1516</v>
      </c>
      <c r="D50" s="152" t="s">
        <v>1472</v>
      </c>
      <c r="E50" s="183">
        <v>508900</v>
      </c>
      <c r="F50" s="184">
        <v>0</v>
      </c>
      <c r="H50" s="314">
        <f t="shared" si="0"/>
        <v>0</v>
      </c>
    </row>
    <row r="51" spans="1:8" ht="90.75" thickBot="1" x14ac:dyDescent="0.3">
      <c r="A51" s="156">
        <v>8299792</v>
      </c>
      <c r="B51" s="185" t="s">
        <v>585</v>
      </c>
      <c r="C51" s="158" t="s">
        <v>1108</v>
      </c>
      <c r="D51" s="159" t="s">
        <v>1055</v>
      </c>
      <c r="E51" s="186">
        <v>137980</v>
      </c>
      <c r="F51" s="187">
        <v>0</v>
      </c>
      <c r="H51" s="314">
        <f t="shared" si="0"/>
        <v>0</v>
      </c>
    </row>
    <row r="52" spans="1:8" ht="75" x14ac:dyDescent="0.25">
      <c r="A52" s="142">
        <v>1201932</v>
      </c>
      <c r="B52" s="179" t="s">
        <v>1056</v>
      </c>
      <c r="C52" s="144" t="s">
        <v>594</v>
      </c>
      <c r="D52" s="145" t="s">
        <v>1055</v>
      </c>
      <c r="E52" s="180">
        <v>407440</v>
      </c>
      <c r="F52" s="181">
        <v>46960</v>
      </c>
      <c r="H52" s="314">
        <f t="shared" si="0"/>
        <v>46960</v>
      </c>
    </row>
    <row r="53" spans="1:8" ht="60.75" thickBot="1" x14ac:dyDescent="0.3">
      <c r="A53" s="156">
        <v>5814347</v>
      </c>
      <c r="B53" s="185" t="s">
        <v>1056</v>
      </c>
      <c r="C53" s="158" t="s">
        <v>1395</v>
      </c>
      <c r="D53" s="159" t="s">
        <v>1394</v>
      </c>
      <c r="E53" s="186">
        <v>554800</v>
      </c>
      <c r="F53" s="187">
        <v>29346</v>
      </c>
      <c r="H53" s="314">
        <f t="shared" si="0"/>
        <v>29346</v>
      </c>
    </row>
    <row r="54" spans="1:8" ht="120" x14ac:dyDescent="0.25">
      <c r="A54" s="142">
        <v>1537615</v>
      </c>
      <c r="B54" s="179" t="s">
        <v>1056</v>
      </c>
      <c r="C54" s="144" t="s">
        <v>1460</v>
      </c>
      <c r="D54" s="145" t="s">
        <v>1459</v>
      </c>
      <c r="E54" s="180">
        <v>426850</v>
      </c>
      <c r="F54" s="181">
        <v>0</v>
      </c>
      <c r="H54" s="314">
        <f t="shared" si="0"/>
        <v>0</v>
      </c>
    </row>
    <row r="55" spans="1:8" ht="105.75" thickBot="1" x14ac:dyDescent="0.3">
      <c r="A55" s="156">
        <v>2540162</v>
      </c>
      <c r="B55" s="185" t="s">
        <v>694</v>
      </c>
      <c r="C55" s="158" t="s">
        <v>694</v>
      </c>
      <c r="D55" s="159" t="s">
        <v>1155</v>
      </c>
      <c r="E55" s="186">
        <v>531460</v>
      </c>
      <c r="F55" s="187">
        <v>0</v>
      </c>
      <c r="H55" s="314">
        <f t="shared" si="0"/>
        <v>0</v>
      </c>
    </row>
    <row r="56" spans="1:8" ht="45" x14ac:dyDescent="0.25">
      <c r="A56" s="142">
        <v>3028344</v>
      </c>
      <c r="B56" s="179" t="s">
        <v>1517</v>
      </c>
      <c r="C56" s="144" t="s">
        <v>1517</v>
      </c>
      <c r="D56" s="145" t="s">
        <v>1382</v>
      </c>
      <c r="E56" s="180">
        <v>320000</v>
      </c>
      <c r="F56" s="181">
        <v>239048</v>
      </c>
      <c r="H56" s="314">
        <f t="shared" si="0"/>
        <v>239048</v>
      </c>
    </row>
    <row r="57" spans="1:8" ht="120" x14ac:dyDescent="0.25">
      <c r="A57" s="191">
        <v>3523407</v>
      </c>
      <c r="B57" s="192" t="s">
        <v>708</v>
      </c>
      <c r="C57" s="193" t="s">
        <v>1531</v>
      </c>
      <c r="D57" s="194" t="s">
        <v>1336</v>
      </c>
      <c r="E57" s="183">
        <v>240000</v>
      </c>
      <c r="F57" s="184">
        <v>200000</v>
      </c>
      <c r="H57" s="314">
        <f t="shared" si="0"/>
        <v>200000</v>
      </c>
    </row>
    <row r="58" spans="1:8" ht="60.75" thickBot="1" x14ac:dyDescent="0.3">
      <c r="A58" s="156">
        <v>3054253</v>
      </c>
      <c r="B58" s="185" t="s">
        <v>713</v>
      </c>
      <c r="C58" s="158" t="s">
        <v>1476</v>
      </c>
      <c r="D58" s="159" t="s">
        <v>1472</v>
      </c>
      <c r="E58" s="186">
        <v>150000</v>
      </c>
      <c r="F58" s="187">
        <v>150000</v>
      </c>
      <c r="H58" s="314">
        <f t="shared" si="0"/>
        <v>150000</v>
      </c>
    </row>
    <row r="59" spans="1:8" ht="60" x14ac:dyDescent="0.25">
      <c r="A59" s="142">
        <v>6684022</v>
      </c>
      <c r="B59" s="179" t="s">
        <v>1297</v>
      </c>
      <c r="C59" s="144" t="s">
        <v>1296</v>
      </c>
      <c r="D59" s="145" t="s">
        <v>1282</v>
      </c>
      <c r="E59" s="180">
        <v>1604672</v>
      </c>
      <c r="F59" s="181">
        <v>0</v>
      </c>
      <c r="H59" s="314">
        <f t="shared" si="0"/>
        <v>0</v>
      </c>
    </row>
    <row r="60" spans="1:8" ht="60.75" thickBot="1" x14ac:dyDescent="0.3">
      <c r="A60" s="156">
        <v>7381195</v>
      </c>
      <c r="B60" s="185" t="s">
        <v>1297</v>
      </c>
      <c r="C60" s="158" t="s">
        <v>731</v>
      </c>
      <c r="D60" s="159" t="s">
        <v>1472</v>
      </c>
      <c r="E60" s="186">
        <v>167499</v>
      </c>
      <c r="F60" s="187">
        <v>0</v>
      </c>
      <c r="H60" s="314">
        <f t="shared" si="0"/>
        <v>0</v>
      </c>
    </row>
    <row r="61" spans="1:8" ht="60" x14ac:dyDescent="0.25">
      <c r="A61" s="142">
        <v>9097155</v>
      </c>
      <c r="B61" s="179" t="s">
        <v>753</v>
      </c>
      <c r="C61" s="144" t="s">
        <v>1219</v>
      </c>
      <c r="D61" s="145" t="s">
        <v>1155</v>
      </c>
      <c r="E61" s="180">
        <v>1037339</v>
      </c>
      <c r="F61" s="181">
        <v>489256</v>
      </c>
      <c r="H61" s="314">
        <f t="shared" si="0"/>
        <v>489256</v>
      </c>
    </row>
    <row r="62" spans="1:8" ht="60" x14ac:dyDescent="0.25">
      <c r="A62" s="149">
        <v>2189349</v>
      </c>
      <c r="B62" s="182" t="s">
        <v>753</v>
      </c>
      <c r="C62" s="151" t="s">
        <v>753</v>
      </c>
      <c r="D62" s="152" t="s">
        <v>1250</v>
      </c>
      <c r="E62" s="183">
        <v>458502</v>
      </c>
      <c r="F62" s="184">
        <v>450000</v>
      </c>
      <c r="H62" s="314">
        <f t="shared" si="0"/>
        <v>450000</v>
      </c>
    </row>
    <row r="63" spans="1:8" ht="75" x14ac:dyDescent="0.25">
      <c r="A63" s="149">
        <v>6466112</v>
      </c>
      <c r="B63" s="182" t="s">
        <v>760</v>
      </c>
      <c r="C63" s="151" t="s">
        <v>760</v>
      </c>
      <c r="D63" s="152" t="s">
        <v>1055</v>
      </c>
      <c r="E63" s="183">
        <v>100000</v>
      </c>
      <c r="F63" s="184">
        <v>10683</v>
      </c>
      <c r="H63" s="314">
        <f t="shared" si="0"/>
        <v>10683</v>
      </c>
    </row>
    <row r="64" spans="1:8" ht="90" x14ac:dyDescent="0.25">
      <c r="A64" s="149">
        <v>2028356</v>
      </c>
      <c r="B64" s="182" t="s">
        <v>760</v>
      </c>
      <c r="C64" s="151" t="s">
        <v>1179</v>
      </c>
      <c r="D64" s="152" t="s">
        <v>1155</v>
      </c>
      <c r="E64" s="183">
        <v>360000</v>
      </c>
      <c r="F64" s="184">
        <v>0</v>
      </c>
      <c r="H64" s="314">
        <f t="shared" si="0"/>
        <v>0</v>
      </c>
    </row>
    <row r="65" spans="1:8" ht="75" x14ac:dyDescent="0.25">
      <c r="A65" s="149">
        <v>7741294</v>
      </c>
      <c r="B65" s="182" t="s">
        <v>760</v>
      </c>
      <c r="C65" s="151" t="s">
        <v>772</v>
      </c>
      <c r="D65" s="152" t="s">
        <v>1155</v>
      </c>
      <c r="E65" s="183">
        <v>195000</v>
      </c>
      <c r="F65" s="184">
        <v>0</v>
      </c>
      <c r="H65" s="314">
        <f t="shared" si="0"/>
        <v>0</v>
      </c>
    </row>
    <row r="66" spans="1:8" ht="60" x14ac:dyDescent="0.25">
      <c r="A66" s="149">
        <v>5947102</v>
      </c>
      <c r="B66" s="182" t="s">
        <v>760</v>
      </c>
      <c r="C66" s="151" t="s">
        <v>760</v>
      </c>
      <c r="D66" s="152" t="s">
        <v>1232</v>
      </c>
      <c r="E66" s="183">
        <v>40000</v>
      </c>
      <c r="F66" s="184">
        <v>0</v>
      </c>
      <c r="H66" s="314">
        <f t="shared" si="0"/>
        <v>0</v>
      </c>
    </row>
    <row r="67" spans="1:8" ht="150.75" thickBot="1" x14ac:dyDescent="0.3">
      <c r="A67" s="195">
        <v>3854293</v>
      </c>
      <c r="B67" s="196" t="s">
        <v>760</v>
      </c>
      <c r="C67" s="197" t="s">
        <v>1355</v>
      </c>
      <c r="D67" s="198" t="s">
        <v>1250</v>
      </c>
      <c r="E67" s="186">
        <v>3100000</v>
      </c>
      <c r="F67" s="187">
        <v>2400000</v>
      </c>
      <c r="H67" s="314">
        <f t="shared" ref="H67:H130" si="1">F67+G67</f>
        <v>2400000</v>
      </c>
    </row>
    <row r="68" spans="1:8" ht="120" x14ac:dyDescent="0.25">
      <c r="A68" s="199">
        <v>4167967</v>
      </c>
      <c r="B68" s="200" t="s">
        <v>760</v>
      </c>
      <c r="C68" s="201" t="s">
        <v>1532</v>
      </c>
      <c r="D68" s="202" t="s">
        <v>1311</v>
      </c>
      <c r="E68" s="180">
        <v>1500000</v>
      </c>
      <c r="F68" s="181">
        <v>1500000</v>
      </c>
      <c r="H68" s="314">
        <f t="shared" si="1"/>
        <v>1500000</v>
      </c>
    </row>
    <row r="69" spans="1:8" ht="150.75" thickBot="1" x14ac:dyDescent="0.3">
      <c r="A69" s="156">
        <v>6627771</v>
      </c>
      <c r="B69" s="185" t="s">
        <v>760</v>
      </c>
      <c r="C69" s="158" t="s">
        <v>1355</v>
      </c>
      <c r="D69" s="159" t="s">
        <v>1346</v>
      </c>
      <c r="E69" s="186">
        <v>150000</v>
      </c>
      <c r="F69" s="187">
        <v>0</v>
      </c>
      <c r="H69" s="314">
        <f t="shared" si="1"/>
        <v>0</v>
      </c>
    </row>
    <row r="70" spans="1:8" ht="90" x14ac:dyDescent="0.25">
      <c r="A70" s="142">
        <v>5903063</v>
      </c>
      <c r="B70" s="179" t="s">
        <v>776</v>
      </c>
      <c r="C70" s="144" t="s">
        <v>1092</v>
      </c>
      <c r="D70" s="145" t="s">
        <v>1055</v>
      </c>
      <c r="E70" s="180">
        <v>110000</v>
      </c>
      <c r="F70" s="181">
        <v>0</v>
      </c>
      <c r="H70" s="314">
        <f t="shared" si="1"/>
        <v>0</v>
      </c>
    </row>
    <row r="71" spans="1:8" ht="75" x14ac:dyDescent="0.25">
      <c r="A71" s="149">
        <v>2886510</v>
      </c>
      <c r="B71" s="182" t="s">
        <v>776</v>
      </c>
      <c r="C71" s="151" t="s">
        <v>1075</v>
      </c>
      <c r="D71" s="152" t="s">
        <v>1055</v>
      </c>
      <c r="E71" s="183">
        <v>320000</v>
      </c>
      <c r="F71" s="184">
        <v>0</v>
      </c>
      <c r="H71" s="314">
        <f t="shared" si="1"/>
        <v>0</v>
      </c>
    </row>
    <row r="72" spans="1:8" ht="90.75" thickBot="1" x14ac:dyDescent="0.3">
      <c r="A72" s="156">
        <v>5376966</v>
      </c>
      <c r="B72" s="185" t="s">
        <v>776</v>
      </c>
      <c r="C72" s="158" t="s">
        <v>1200</v>
      </c>
      <c r="D72" s="159" t="s">
        <v>1155</v>
      </c>
      <c r="E72" s="186">
        <v>1397816</v>
      </c>
      <c r="F72" s="187">
        <v>0</v>
      </c>
      <c r="H72" s="314">
        <f t="shared" si="1"/>
        <v>0</v>
      </c>
    </row>
    <row r="73" spans="1:8" ht="90.75" thickBot="1" x14ac:dyDescent="0.3">
      <c r="A73" s="164">
        <v>1236570</v>
      </c>
      <c r="B73" s="188" t="s">
        <v>776</v>
      </c>
      <c r="C73" s="166" t="s">
        <v>1383</v>
      </c>
      <c r="D73" s="167" t="s">
        <v>1382</v>
      </c>
      <c r="E73" s="189">
        <v>250000</v>
      </c>
      <c r="F73" s="190">
        <v>0</v>
      </c>
      <c r="H73" s="314">
        <f t="shared" si="1"/>
        <v>0</v>
      </c>
    </row>
    <row r="74" spans="1:8" ht="75" x14ac:dyDescent="0.25">
      <c r="A74" s="142">
        <v>6585534</v>
      </c>
      <c r="B74" s="179" t="s">
        <v>776</v>
      </c>
      <c r="C74" s="144" t="s">
        <v>1401</v>
      </c>
      <c r="D74" s="145" t="s">
        <v>1400</v>
      </c>
      <c r="E74" s="180">
        <v>217000</v>
      </c>
      <c r="F74" s="181">
        <v>47850</v>
      </c>
      <c r="H74" s="314">
        <f t="shared" si="1"/>
        <v>47850</v>
      </c>
    </row>
    <row r="75" spans="1:8" ht="75" x14ac:dyDescent="0.25">
      <c r="A75" s="149">
        <v>7832444</v>
      </c>
      <c r="B75" s="182" t="s">
        <v>776</v>
      </c>
      <c r="C75" s="151" t="s">
        <v>1388</v>
      </c>
      <c r="D75" s="152" t="s">
        <v>1403</v>
      </c>
      <c r="E75" s="183">
        <v>337000</v>
      </c>
      <c r="F75" s="184">
        <v>0</v>
      </c>
      <c r="H75" s="314">
        <f t="shared" si="1"/>
        <v>0</v>
      </c>
    </row>
    <row r="76" spans="1:8" ht="75" x14ac:dyDescent="0.25">
      <c r="A76" s="149">
        <v>1968420</v>
      </c>
      <c r="B76" s="182" t="s">
        <v>776</v>
      </c>
      <c r="C76" s="151" t="s">
        <v>1388</v>
      </c>
      <c r="D76" s="152" t="s">
        <v>1423</v>
      </c>
      <c r="E76" s="183">
        <v>670000</v>
      </c>
      <c r="F76" s="184">
        <v>0</v>
      </c>
      <c r="H76" s="314">
        <f t="shared" si="1"/>
        <v>0</v>
      </c>
    </row>
    <row r="77" spans="1:8" ht="75.75" thickBot="1" x14ac:dyDescent="0.3">
      <c r="A77" s="156">
        <v>2813024</v>
      </c>
      <c r="B77" s="185" t="s">
        <v>776</v>
      </c>
      <c r="C77" s="158" t="s">
        <v>1388</v>
      </c>
      <c r="D77" s="159" t="s">
        <v>1472</v>
      </c>
      <c r="E77" s="186">
        <v>500000</v>
      </c>
      <c r="F77" s="187">
        <v>0</v>
      </c>
      <c r="H77" s="314">
        <f t="shared" si="1"/>
        <v>0</v>
      </c>
    </row>
    <row r="78" spans="1:8" ht="75" x14ac:dyDescent="0.25">
      <c r="A78" s="142">
        <v>6161785</v>
      </c>
      <c r="B78" s="179" t="s">
        <v>812</v>
      </c>
      <c r="C78" s="144" t="s">
        <v>1204</v>
      </c>
      <c r="D78" s="145" t="s">
        <v>1155</v>
      </c>
      <c r="E78" s="180">
        <v>124470</v>
      </c>
      <c r="F78" s="181">
        <v>124470</v>
      </c>
      <c r="H78" s="314">
        <f t="shared" si="1"/>
        <v>124470</v>
      </c>
    </row>
    <row r="79" spans="1:8" ht="105" x14ac:dyDescent="0.25">
      <c r="A79" s="149">
        <v>9064643</v>
      </c>
      <c r="B79" s="182" t="s">
        <v>812</v>
      </c>
      <c r="C79" s="151" t="s">
        <v>818</v>
      </c>
      <c r="D79" s="152" t="s">
        <v>1382</v>
      </c>
      <c r="E79" s="183">
        <v>196918</v>
      </c>
      <c r="F79" s="184">
        <v>196918</v>
      </c>
      <c r="H79" s="314">
        <f t="shared" si="1"/>
        <v>196918</v>
      </c>
    </row>
    <row r="80" spans="1:8" ht="60" x14ac:dyDescent="0.25">
      <c r="A80" s="149">
        <v>3961063</v>
      </c>
      <c r="B80" s="182" t="s">
        <v>812</v>
      </c>
      <c r="C80" s="151" t="s">
        <v>1519</v>
      </c>
      <c r="D80" s="152" t="s">
        <v>1520</v>
      </c>
      <c r="E80" s="183">
        <v>197355</v>
      </c>
      <c r="F80" s="184">
        <v>197355</v>
      </c>
      <c r="H80" s="314">
        <f t="shared" si="1"/>
        <v>197355</v>
      </c>
    </row>
    <row r="81" spans="1:8" ht="105" x14ac:dyDescent="0.25">
      <c r="A81" s="149">
        <v>1356155</v>
      </c>
      <c r="B81" s="182" t="s">
        <v>821</v>
      </c>
      <c r="C81" s="151" t="s">
        <v>1166</v>
      </c>
      <c r="D81" s="152" t="s">
        <v>1155</v>
      </c>
      <c r="E81" s="183">
        <v>300500</v>
      </c>
      <c r="F81" s="184">
        <v>300500</v>
      </c>
      <c r="H81" s="314">
        <f t="shared" si="1"/>
        <v>300500</v>
      </c>
    </row>
    <row r="82" spans="1:8" ht="120" x14ac:dyDescent="0.25">
      <c r="A82" s="149">
        <v>5894253</v>
      </c>
      <c r="B82" s="182" t="s">
        <v>821</v>
      </c>
      <c r="C82" s="151" t="s">
        <v>1328</v>
      </c>
      <c r="D82" s="152" t="s">
        <v>1316</v>
      </c>
      <c r="E82" s="183">
        <v>1431500</v>
      </c>
      <c r="F82" s="184">
        <v>1431500</v>
      </c>
      <c r="H82" s="314">
        <f t="shared" si="1"/>
        <v>1431500</v>
      </c>
    </row>
    <row r="83" spans="1:8" ht="75" x14ac:dyDescent="0.25">
      <c r="A83" s="191">
        <v>7235281</v>
      </c>
      <c r="B83" s="192" t="s">
        <v>831</v>
      </c>
      <c r="C83" s="193" t="s">
        <v>831</v>
      </c>
      <c r="D83" s="194" t="s">
        <v>1055</v>
      </c>
      <c r="E83" s="183">
        <v>328000</v>
      </c>
      <c r="F83" s="184">
        <v>271401</v>
      </c>
      <c r="H83" s="314">
        <f t="shared" si="1"/>
        <v>271401</v>
      </c>
    </row>
    <row r="84" spans="1:8" ht="60" x14ac:dyDescent="0.25">
      <c r="A84" s="149">
        <v>7459230</v>
      </c>
      <c r="B84" s="182" t="s">
        <v>826</v>
      </c>
      <c r="C84" s="151" t="s">
        <v>377</v>
      </c>
      <c r="D84" s="152" t="s">
        <v>1124</v>
      </c>
      <c r="E84" s="183">
        <v>350000</v>
      </c>
      <c r="F84" s="184">
        <v>350000</v>
      </c>
      <c r="H84" s="314">
        <f t="shared" si="1"/>
        <v>350000</v>
      </c>
    </row>
    <row r="85" spans="1:8" ht="105" x14ac:dyDescent="0.25">
      <c r="A85" s="149">
        <v>3110951</v>
      </c>
      <c r="B85" s="182" t="s">
        <v>826</v>
      </c>
      <c r="C85" s="151" t="s">
        <v>829</v>
      </c>
      <c r="D85" s="152" t="s">
        <v>1155</v>
      </c>
      <c r="E85" s="183">
        <v>275000</v>
      </c>
      <c r="F85" s="184">
        <v>0</v>
      </c>
      <c r="H85" s="314">
        <f t="shared" si="1"/>
        <v>0</v>
      </c>
    </row>
    <row r="86" spans="1:8" ht="105.75" thickBot="1" x14ac:dyDescent="0.3">
      <c r="A86" s="156">
        <v>2788586</v>
      </c>
      <c r="B86" s="185" t="s">
        <v>826</v>
      </c>
      <c r="C86" s="158" t="s">
        <v>828</v>
      </c>
      <c r="D86" s="159" t="s">
        <v>1427</v>
      </c>
      <c r="E86" s="186">
        <v>302000</v>
      </c>
      <c r="F86" s="187">
        <v>0</v>
      </c>
      <c r="H86" s="314">
        <f t="shared" si="1"/>
        <v>0</v>
      </c>
    </row>
    <row r="87" spans="1:8" ht="90" x14ac:dyDescent="0.25">
      <c r="A87" s="142">
        <v>6698987</v>
      </c>
      <c r="B87" s="179" t="s">
        <v>842</v>
      </c>
      <c r="C87" s="144" t="s">
        <v>844</v>
      </c>
      <c r="D87" s="145" t="s">
        <v>1055</v>
      </c>
      <c r="E87" s="180">
        <v>37679</v>
      </c>
      <c r="F87" s="181">
        <v>0</v>
      </c>
      <c r="H87" s="314">
        <f t="shared" si="1"/>
        <v>0</v>
      </c>
    </row>
    <row r="88" spans="1:8" ht="90" x14ac:dyDescent="0.25">
      <c r="A88" s="149">
        <v>8350990</v>
      </c>
      <c r="B88" s="182" t="s">
        <v>842</v>
      </c>
      <c r="C88" s="151" t="s">
        <v>846</v>
      </c>
      <c r="D88" s="152" t="s">
        <v>1405</v>
      </c>
      <c r="E88" s="183">
        <v>122500</v>
      </c>
      <c r="F88" s="184">
        <v>0</v>
      </c>
      <c r="H88" s="314">
        <f t="shared" si="1"/>
        <v>0</v>
      </c>
    </row>
    <row r="89" spans="1:8" ht="90" x14ac:dyDescent="0.25">
      <c r="A89" s="149">
        <v>8172268</v>
      </c>
      <c r="B89" s="182" t="s">
        <v>849</v>
      </c>
      <c r="C89" s="151" t="s">
        <v>1504</v>
      </c>
      <c r="D89" s="152" t="s">
        <v>1472</v>
      </c>
      <c r="E89" s="183">
        <v>800000</v>
      </c>
      <c r="F89" s="184">
        <v>0</v>
      </c>
      <c r="H89" s="314">
        <f t="shared" si="1"/>
        <v>0</v>
      </c>
    </row>
    <row r="90" spans="1:8" ht="75" x14ac:dyDescent="0.25">
      <c r="A90" s="149">
        <v>3741470</v>
      </c>
      <c r="B90" s="182" t="s">
        <v>849</v>
      </c>
      <c r="C90" s="151" t="s">
        <v>1482</v>
      </c>
      <c r="D90" s="152" t="s">
        <v>1472</v>
      </c>
      <c r="E90" s="183">
        <v>500000</v>
      </c>
      <c r="F90" s="184">
        <v>0</v>
      </c>
      <c r="H90" s="314">
        <f t="shared" si="1"/>
        <v>0</v>
      </c>
    </row>
    <row r="91" spans="1:8" ht="105.75" thickBot="1" x14ac:dyDescent="0.3">
      <c r="A91" s="156">
        <v>6948137</v>
      </c>
      <c r="B91" s="185" t="s">
        <v>849</v>
      </c>
      <c r="C91" s="158" t="s">
        <v>1495</v>
      </c>
      <c r="D91" s="159" t="s">
        <v>1472</v>
      </c>
      <c r="E91" s="186">
        <v>970550</v>
      </c>
      <c r="F91" s="187">
        <v>970550</v>
      </c>
      <c r="H91" s="314">
        <f t="shared" si="1"/>
        <v>970550</v>
      </c>
    </row>
    <row r="92" spans="1:8" ht="75" x14ac:dyDescent="0.25">
      <c r="A92" s="142">
        <v>1378201</v>
      </c>
      <c r="B92" s="179" t="s">
        <v>874</v>
      </c>
      <c r="C92" s="144" t="s">
        <v>877</v>
      </c>
      <c r="D92" s="145" t="s">
        <v>1241</v>
      </c>
      <c r="E92" s="180">
        <v>376078.64</v>
      </c>
      <c r="F92" s="181">
        <v>376078</v>
      </c>
      <c r="H92" s="314">
        <f t="shared" si="1"/>
        <v>376078</v>
      </c>
    </row>
    <row r="93" spans="1:8" ht="75" x14ac:dyDescent="0.25">
      <c r="A93" s="149">
        <v>1552469</v>
      </c>
      <c r="B93" s="182" t="s">
        <v>874</v>
      </c>
      <c r="C93" s="151" t="s">
        <v>878</v>
      </c>
      <c r="D93" s="152" t="s">
        <v>1451</v>
      </c>
      <c r="E93" s="183">
        <v>20094.59</v>
      </c>
      <c r="F93" s="184">
        <v>20094</v>
      </c>
      <c r="H93" s="314">
        <f t="shared" si="1"/>
        <v>20094</v>
      </c>
    </row>
    <row r="94" spans="1:8" ht="195" x14ac:dyDescent="0.25">
      <c r="A94" s="149">
        <v>9818505</v>
      </c>
      <c r="B94" s="182" t="s">
        <v>874</v>
      </c>
      <c r="C94" s="151" t="s">
        <v>1522</v>
      </c>
      <c r="D94" s="152" t="s">
        <v>1472</v>
      </c>
      <c r="E94" s="183">
        <v>173738.15</v>
      </c>
      <c r="F94" s="184">
        <v>173738</v>
      </c>
      <c r="H94" s="314">
        <f t="shared" si="1"/>
        <v>173738</v>
      </c>
    </row>
    <row r="95" spans="1:8" ht="60" x14ac:dyDescent="0.25">
      <c r="A95" s="149">
        <v>7805491</v>
      </c>
      <c r="B95" s="182" t="s">
        <v>874</v>
      </c>
      <c r="C95" s="151" t="s">
        <v>1523</v>
      </c>
      <c r="D95" s="152" t="s">
        <v>1472</v>
      </c>
      <c r="E95" s="183">
        <v>10236.93</v>
      </c>
      <c r="F95" s="184">
        <v>10236</v>
      </c>
      <c r="H95" s="314">
        <f t="shared" si="1"/>
        <v>10236</v>
      </c>
    </row>
    <row r="96" spans="1:8" ht="75" x14ac:dyDescent="0.25">
      <c r="A96" s="149">
        <v>6473703</v>
      </c>
      <c r="B96" s="182" t="s">
        <v>874</v>
      </c>
      <c r="C96" s="151" t="s">
        <v>879</v>
      </c>
      <c r="D96" s="152" t="s">
        <v>1472</v>
      </c>
      <c r="E96" s="183">
        <v>17420</v>
      </c>
      <c r="F96" s="184">
        <v>0</v>
      </c>
      <c r="H96" s="314">
        <f t="shared" si="1"/>
        <v>0</v>
      </c>
    </row>
    <row r="97" spans="1:8" ht="90.75" thickBot="1" x14ac:dyDescent="0.3">
      <c r="A97" s="156">
        <v>1826777</v>
      </c>
      <c r="B97" s="185" t="s">
        <v>1176</v>
      </c>
      <c r="C97" s="158" t="s">
        <v>1176</v>
      </c>
      <c r="D97" s="159" t="s">
        <v>1155</v>
      </c>
      <c r="E97" s="186">
        <v>4000000</v>
      </c>
      <c r="F97" s="187">
        <v>0</v>
      </c>
      <c r="H97" s="314">
        <f t="shared" si="1"/>
        <v>0</v>
      </c>
    </row>
    <row r="98" spans="1:8" ht="135" x14ac:dyDescent="0.25">
      <c r="A98" s="142">
        <v>5991938</v>
      </c>
      <c r="B98" s="179" t="s">
        <v>887</v>
      </c>
      <c r="C98" s="144" t="s">
        <v>377</v>
      </c>
      <c r="D98" s="145" t="s">
        <v>1124</v>
      </c>
      <c r="E98" s="180">
        <v>500000</v>
      </c>
      <c r="F98" s="181">
        <v>0</v>
      </c>
      <c r="H98" s="314">
        <f t="shared" si="1"/>
        <v>0</v>
      </c>
    </row>
    <row r="99" spans="1:8" ht="90.75" thickBot="1" x14ac:dyDescent="0.3">
      <c r="A99" s="156">
        <v>2174839</v>
      </c>
      <c r="B99" s="185" t="s">
        <v>897</v>
      </c>
      <c r="C99" s="158" t="s">
        <v>899</v>
      </c>
      <c r="D99" s="159" t="s">
        <v>1405</v>
      </c>
      <c r="E99" s="186">
        <v>392443</v>
      </c>
      <c r="F99" s="187">
        <v>122325</v>
      </c>
      <c r="H99" s="314">
        <f t="shared" si="1"/>
        <v>122325</v>
      </c>
    </row>
    <row r="100" spans="1:8" ht="105" x14ac:dyDescent="0.25">
      <c r="A100" s="142">
        <v>4659873</v>
      </c>
      <c r="B100" s="179" t="s">
        <v>902</v>
      </c>
      <c r="C100" s="144" t="s">
        <v>905</v>
      </c>
      <c r="D100" s="145" t="s">
        <v>1472</v>
      </c>
      <c r="E100" s="180">
        <v>206000</v>
      </c>
      <c r="F100" s="181">
        <v>191965</v>
      </c>
      <c r="H100" s="314">
        <f t="shared" si="1"/>
        <v>191965</v>
      </c>
    </row>
    <row r="101" spans="1:8" ht="120.75" thickBot="1" x14ac:dyDescent="0.3">
      <c r="A101" s="156">
        <v>8411392</v>
      </c>
      <c r="B101" s="185" t="s">
        <v>909</v>
      </c>
      <c r="C101" s="158" t="s">
        <v>1421</v>
      </c>
      <c r="D101" s="159" t="s">
        <v>1405</v>
      </c>
      <c r="E101" s="186">
        <v>236000</v>
      </c>
      <c r="F101" s="187">
        <v>37728</v>
      </c>
      <c r="H101" s="314">
        <f t="shared" si="1"/>
        <v>37728</v>
      </c>
    </row>
    <row r="102" spans="1:8" ht="105.75" thickBot="1" x14ac:dyDescent="0.3">
      <c r="A102" s="164">
        <v>4533728</v>
      </c>
      <c r="B102" s="188" t="s">
        <v>909</v>
      </c>
      <c r="C102" s="166" t="s">
        <v>1524</v>
      </c>
      <c r="D102" s="167" t="s">
        <v>1427</v>
      </c>
      <c r="E102" s="189">
        <v>273590</v>
      </c>
      <c r="F102" s="190">
        <v>137043</v>
      </c>
      <c r="H102" s="314">
        <f t="shared" si="1"/>
        <v>137043</v>
      </c>
    </row>
    <row r="103" spans="1:8" ht="105" x14ac:dyDescent="0.25">
      <c r="A103" s="142">
        <v>9659243</v>
      </c>
      <c r="B103" s="179" t="s">
        <v>909</v>
      </c>
      <c r="C103" s="144" t="s">
        <v>918</v>
      </c>
      <c r="D103" s="145" t="s">
        <v>1427</v>
      </c>
      <c r="E103" s="180">
        <v>960000</v>
      </c>
      <c r="F103" s="181">
        <v>603228</v>
      </c>
      <c r="H103" s="314">
        <f t="shared" si="1"/>
        <v>603228</v>
      </c>
    </row>
    <row r="104" spans="1:8" ht="60" x14ac:dyDescent="0.25">
      <c r="A104" s="191">
        <v>6041962</v>
      </c>
      <c r="B104" s="192" t="s">
        <v>922</v>
      </c>
      <c r="C104" s="193" t="s">
        <v>1294</v>
      </c>
      <c r="D104" s="194" t="s">
        <v>1282</v>
      </c>
      <c r="E104" s="183">
        <v>331000</v>
      </c>
      <c r="F104" s="184">
        <v>331000</v>
      </c>
      <c r="H104" s="314">
        <f t="shared" si="1"/>
        <v>331000</v>
      </c>
    </row>
    <row r="105" spans="1:8" ht="45" x14ac:dyDescent="0.25">
      <c r="A105" s="149">
        <v>8051895</v>
      </c>
      <c r="B105" s="182" t="s">
        <v>922</v>
      </c>
      <c r="C105" s="151" t="s">
        <v>1357</v>
      </c>
      <c r="D105" s="152" t="s">
        <v>1346</v>
      </c>
      <c r="E105" s="183">
        <v>550000</v>
      </c>
      <c r="F105" s="184">
        <v>81291</v>
      </c>
      <c r="H105" s="314">
        <f t="shared" si="1"/>
        <v>81291</v>
      </c>
    </row>
    <row r="106" spans="1:8" ht="75" x14ac:dyDescent="0.25">
      <c r="A106" s="149">
        <v>7846871</v>
      </c>
      <c r="B106" s="182" t="s">
        <v>1247</v>
      </c>
      <c r="C106" s="151" t="s">
        <v>1246</v>
      </c>
      <c r="D106" s="152" t="s">
        <v>1241</v>
      </c>
      <c r="E106" s="183">
        <v>348927</v>
      </c>
      <c r="F106" s="184">
        <v>40924</v>
      </c>
      <c r="H106" s="314">
        <f t="shared" si="1"/>
        <v>40924</v>
      </c>
    </row>
    <row r="107" spans="1:8" ht="60" x14ac:dyDescent="0.25">
      <c r="A107" s="149">
        <v>5871375</v>
      </c>
      <c r="B107" s="182" t="s">
        <v>1247</v>
      </c>
      <c r="C107" s="151" t="s">
        <v>1351</v>
      </c>
      <c r="D107" s="152" t="s">
        <v>1346</v>
      </c>
      <c r="E107" s="183">
        <v>500000</v>
      </c>
      <c r="F107" s="184">
        <v>128757</v>
      </c>
      <c r="H107" s="314">
        <f t="shared" si="1"/>
        <v>128757</v>
      </c>
    </row>
    <row r="108" spans="1:8" ht="75" x14ac:dyDescent="0.25">
      <c r="A108" s="149">
        <v>7263765</v>
      </c>
      <c r="B108" s="182" t="s">
        <v>1247</v>
      </c>
      <c r="C108" s="151" t="s">
        <v>1455</v>
      </c>
      <c r="D108" s="152" t="s">
        <v>1451</v>
      </c>
      <c r="E108" s="183">
        <v>554590</v>
      </c>
      <c r="F108" s="184">
        <v>0</v>
      </c>
      <c r="H108" s="314">
        <f t="shared" si="1"/>
        <v>0</v>
      </c>
    </row>
    <row r="109" spans="1:8" ht="60.75" thickBot="1" x14ac:dyDescent="0.3">
      <c r="A109" s="156">
        <v>3595008</v>
      </c>
      <c r="B109" s="185" t="s">
        <v>1247</v>
      </c>
      <c r="C109" s="158" t="s">
        <v>1479</v>
      </c>
      <c r="D109" s="159" t="s">
        <v>1472</v>
      </c>
      <c r="E109" s="186">
        <v>637412</v>
      </c>
      <c r="F109" s="187">
        <v>0</v>
      </c>
      <c r="H109" s="314">
        <f t="shared" si="1"/>
        <v>0</v>
      </c>
    </row>
    <row r="110" spans="1:8" ht="60.75" thickBot="1" x14ac:dyDescent="0.3">
      <c r="A110" s="164">
        <v>3198258</v>
      </c>
      <c r="B110" s="188" t="s">
        <v>965</v>
      </c>
      <c r="C110" s="166" t="s">
        <v>1525</v>
      </c>
      <c r="D110" s="167" t="s">
        <v>1124</v>
      </c>
      <c r="E110" s="189">
        <v>250000</v>
      </c>
      <c r="F110" s="190">
        <v>91188</v>
      </c>
      <c r="H110" s="314">
        <f t="shared" si="1"/>
        <v>91188</v>
      </c>
    </row>
    <row r="111" spans="1:8" ht="60" x14ac:dyDescent="0.25">
      <c r="A111" s="142">
        <v>1622964</v>
      </c>
      <c r="B111" s="179" t="s">
        <v>969</v>
      </c>
      <c r="C111" s="144" t="s">
        <v>684</v>
      </c>
      <c r="D111" s="145" t="s">
        <v>1250</v>
      </c>
      <c r="E111" s="180">
        <v>516000</v>
      </c>
      <c r="F111" s="181">
        <v>0</v>
      </c>
      <c r="H111" s="314">
        <f t="shared" si="1"/>
        <v>0</v>
      </c>
    </row>
    <row r="112" spans="1:8" ht="60" x14ac:dyDescent="0.25">
      <c r="A112" s="149">
        <v>8979890</v>
      </c>
      <c r="B112" s="182" t="s">
        <v>969</v>
      </c>
      <c r="C112" s="151" t="s">
        <v>389</v>
      </c>
      <c r="D112" s="152" t="s">
        <v>1282</v>
      </c>
      <c r="E112" s="183">
        <v>617000</v>
      </c>
      <c r="F112" s="184">
        <v>15808</v>
      </c>
      <c r="H112" s="314">
        <f t="shared" si="1"/>
        <v>15808</v>
      </c>
    </row>
    <row r="113" spans="1:8" ht="60" x14ac:dyDescent="0.25">
      <c r="A113" s="191">
        <v>8477576</v>
      </c>
      <c r="B113" s="192" t="s">
        <v>1533</v>
      </c>
      <c r="C113" s="193" t="s">
        <v>1534</v>
      </c>
      <c r="D113" s="194" t="s">
        <v>1377</v>
      </c>
      <c r="E113" s="183">
        <v>150000</v>
      </c>
      <c r="F113" s="184">
        <v>150000</v>
      </c>
      <c r="H113" s="314">
        <f t="shared" si="1"/>
        <v>150000</v>
      </c>
    </row>
    <row r="114" spans="1:8" ht="60" x14ac:dyDescent="0.25">
      <c r="A114" s="191">
        <v>4385424</v>
      </c>
      <c r="B114" s="192" t="s">
        <v>1533</v>
      </c>
      <c r="C114" s="193" t="s">
        <v>1535</v>
      </c>
      <c r="D114" s="194" t="s">
        <v>1472</v>
      </c>
      <c r="E114" s="183">
        <v>420000</v>
      </c>
      <c r="F114" s="184">
        <v>0</v>
      </c>
      <c r="H114" s="314">
        <f t="shared" si="1"/>
        <v>0</v>
      </c>
    </row>
    <row r="115" spans="1:8" ht="120" x14ac:dyDescent="0.25">
      <c r="A115" s="149">
        <v>5700178</v>
      </c>
      <c r="B115" s="182" t="s">
        <v>1067</v>
      </c>
      <c r="C115" s="151" t="s">
        <v>1066</v>
      </c>
      <c r="D115" s="152" t="s">
        <v>1055</v>
      </c>
      <c r="E115" s="183">
        <v>18000</v>
      </c>
      <c r="F115" s="184">
        <v>0</v>
      </c>
      <c r="H115" s="314">
        <f t="shared" si="1"/>
        <v>0</v>
      </c>
    </row>
    <row r="116" spans="1:8" ht="120" x14ac:dyDescent="0.25">
      <c r="A116" s="149">
        <v>6811251</v>
      </c>
      <c r="B116" s="182" t="s">
        <v>1067</v>
      </c>
      <c r="C116" s="151" t="s">
        <v>1066</v>
      </c>
      <c r="D116" s="152" t="s">
        <v>1055</v>
      </c>
      <c r="E116" s="183">
        <v>21000</v>
      </c>
      <c r="F116" s="184">
        <v>14518</v>
      </c>
      <c r="H116" s="314">
        <f t="shared" si="1"/>
        <v>14518</v>
      </c>
    </row>
    <row r="117" spans="1:8" ht="120" x14ac:dyDescent="0.25">
      <c r="A117" s="149">
        <v>2093343</v>
      </c>
      <c r="B117" s="182" t="s">
        <v>1067</v>
      </c>
      <c r="C117" s="151" t="s">
        <v>1066</v>
      </c>
      <c r="D117" s="152" t="s">
        <v>1055</v>
      </c>
      <c r="E117" s="183">
        <v>60000</v>
      </c>
      <c r="F117" s="184">
        <v>0</v>
      </c>
      <c r="H117" s="314">
        <f t="shared" si="1"/>
        <v>0</v>
      </c>
    </row>
    <row r="118" spans="1:8" ht="90" x14ac:dyDescent="0.25">
      <c r="A118" s="149">
        <v>3736692</v>
      </c>
      <c r="B118" s="182" t="s">
        <v>1067</v>
      </c>
      <c r="C118" s="151" t="s">
        <v>1239</v>
      </c>
      <c r="D118" s="152" t="s">
        <v>1238</v>
      </c>
      <c r="E118" s="183">
        <v>30000</v>
      </c>
      <c r="F118" s="184">
        <v>0</v>
      </c>
      <c r="H118" s="314">
        <f t="shared" si="1"/>
        <v>0</v>
      </c>
    </row>
    <row r="119" spans="1:8" ht="165" x14ac:dyDescent="0.25">
      <c r="A119" s="149">
        <v>1792038</v>
      </c>
      <c r="B119" s="182" t="s">
        <v>1067</v>
      </c>
      <c r="C119" s="151" t="s">
        <v>1448</v>
      </c>
      <c r="D119" s="152" t="s">
        <v>1447</v>
      </c>
      <c r="E119" s="183">
        <v>45000</v>
      </c>
      <c r="F119" s="184">
        <v>30753</v>
      </c>
      <c r="H119" s="314">
        <f t="shared" si="1"/>
        <v>30753</v>
      </c>
    </row>
    <row r="120" spans="1:8" ht="90" x14ac:dyDescent="0.25">
      <c r="A120" s="149">
        <v>4373225</v>
      </c>
      <c r="B120" s="182" t="s">
        <v>1067</v>
      </c>
      <c r="C120" s="151" t="s">
        <v>1485</v>
      </c>
      <c r="D120" s="152" t="s">
        <v>1472</v>
      </c>
      <c r="E120" s="183">
        <v>45000</v>
      </c>
      <c r="F120" s="184">
        <v>45000</v>
      </c>
      <c r="H120" s="314">
        <f t="shared" si="1"/>
        <v>45000</v>
      </c>
    </row>
    <row r="121" spans="1:8" ht="120" x14ac:dyDescent="0.25">
      <c r="A121" s="191">
        <v>7175172</v>
      </c>
      <c r="B121" s="192" t="s">
        <v>1536</v>
      </c>
      <c r="C121" s="193" t="s">
        <v>1537</v>
      </c>
      <c r="D121" s="194" t="s">
        <v>1472</v>
      </c>
      <c r="E121" s="183">
        <v>100000</v>
      </c>
      <c r="F121" s="184">
        <v>36846</v>
      </c>
      <c r="H121" s="314">
        <f t="shared" si="1"/>
        <v>36846</v>
      </c>
    </row>
    <row r="122" spans="1:8" ht="135" x14ac:dyDescent="0.25">
      <c r="A122" s="149">
        <v>2495303</v>
      </c>
      <c r="B122" s="182" t="s">
        <v>1010</v>
      </c>
      <c r="C122" s="151" t="s">
        <v>1010</v>
      </c>
      <c r="D122" s="152" t="s">
        <v>1124</v>
      </c>
      <c r="E122" s="183">
        <v>1992300</v>
      </c>
      <c r="F122" s="184">
        <v>63012</v>
      </c>
      <c r="H122" s="314">
        <f t="shared" si="1"/>
        <v>63012</v>
      </c>
    </row>
    <row r="123" spans="1:8" ht="135" x14ac:dyDescent="0.25">
      <c r="A123" s="149">
        <v>9268423</v>
      </c>
      <c r="B123" s="182" t="s">
        <v>1010</v>
      </c>
      <c r="C123" s="151" t="s">
        <v>1010</v>
      </c>
      <c r="D123" s="152" t="s">
        <v>1282</v>
      </c>
      <c r="E123" s="183">
        <v>3200620</v>
      </c>
      <c r="F123" s="184">
        <v>0</v>
      </c>
      <c r="H123" s="314">
        <f t="shared" si="1"/>
        <v>0</v>
      </c>
    </row>
    <row r="124" spans="1:8" ht="135" x14ac:dyDescent="0.25">
      <c r="A124" s="149">
        <v>4497017</v>
      </c>
      <c r="B124" s="182" t="s">
        <v>1010</v>
      </c>
      <c r="C124" s="151" t="s">
        <v>1010</v>
      </c>
      <c r="D124" s="152" t="s">
        <v>1346</v>
      </c>
      <c r="E124" s="183">
        <v>1796100</v>
      </c>
      <c r="F124" s="184">
        <v>0</v>
      </c>
      <c r="H124" s="314">
        <f t="shared" si="1"/>
        <v>0</v>
      </c>
    </row>
    <row r="125" spans="1:8" ht="105" x14ac:dyDescent="0.25">
      <c r="A125" s="149">
        <v>5369609</v>
      </c>
      <c r="B125" s="182" t="s">
        <v>1018</v>
      </c>
      <c r="C125" s="151" t="s">
        <v>1020</v>
      </c>
      <c r="D125" s="152" t="s">
        <v>1427</v>
      </c>
      <c r="E125" s="183">
        <v>195565</v>
      </c>
      <c r="F125" s="184">
        <v>58055</v>
      </c>
      <c r="H125" s="314">
        <f t="shared" si="1"/>
        <v>58055</v>
      </c>
    </row>
    <row r="126" spans="1:8" ht="75" x14ac:dyDescent="0.25">
      <c r="A126" s="149">
        <v>9223303</v>
      </c>
      <c r="B126" s="182" t="s">
        <v>1113</v>
      </c>
      <c r="C126" s="151" t="s">
        <v>1112</v>
      </c>
      <c r="D126" s="152" t="s">
        <v>1055</v>
      </c>
      <c r="E126" s="183">
        <v>14088</v>
      </c>
      <c r="F126" s="184">
        <v>0</v>
      </c>
      <c r="H126" s="314">
        <f t="shared" si="1"/>
        <v>0</v>
      </c>
    </row>
    <row r="127" spans="1:8" ht="60" x14ac:dyDescent="0.25">
      <c r="A127" s="149">
        <v>5539112</v>
      </c>
      <c r="B127" s="182" t="s">
        <v>1113</v>
      </c>
      <c r="C127" s="151" t="s">
        <v>1113</v>
      </c>
      <c r="D127" s="152" t="s">
        <v>1282</v>
      </c>
      <c r="E127" s="183">
        <v>527330</v>
      </c>
      <c r="F127" s="184">
        <v>0</v>
      </c>
      <c r="H127" s="314">
        <f t="shared" si="1"/>
        <v>0</v>
      </c>
    </row>
    <row r="128" spans="1:8" ht="60" x14ac:dyDescent="0.25">
      <c r="A128" s="149">
        <v>7218817</v>
      </c>
      <c r="B128" s="182" t="s">
        <v>1113</v>
      </c>
      <c r="C128" s="151" t="s">
        <v>1112</v>
      </c>
      <c r="D128" s="152" t="s">
        <v>1472</v>
      </c>
      <c r="E128" s="183">
        <v>609100</v>
      </c>
      <c r="F128" s="184">
        <v>0</v>
      </c>
      <c r="H128" s="314">
        <f t="shared" si="1"/>
        <v>0</v>
      </c>
    </row>
    <row r="129" spans="1:8" ht="60" x14ac:dyDescent="0.25">
      <c r="A129" s="149">
        <v>1686476</v>
      </c>
      <c r="B129" s="182" t="s">
        <v>1175</v>
      </c>
      <c r="C129" s="151" t="s">
        <v>386</v>
      </c>
      <c r="D129" s="152" t="s">
        <v>1155</v>
      </c>
      <c r="E129" s="183">
        <v>393280</v>
      </c>
      <c r="F129" s="184">
        <v>0</v>
      </c>
      <c r="H129" s="314">
        <f t="shared" si="1"/>
        <v>0</v>
      </c>
    </row>
    <row r="130" spans="1:8" ht="105.75" thickBot="1" x14ac:dyDescent="0.3">
      <c r="A130" s="156">
        <v>9577077</v>
      </c>
      <c r="B130" s="185" t="s">
        <v>1175</v>
      </c>
      <c r="C130" s="158" t="s">
        <v>1035</v>
      </c>
      <c r="D130" s="159" t="s">
        <v>1232</v>
      </c>
      <c r="E130" s="186">
        <v>823340</v>
      </c>
      <c r="F130" s="187">
        <v>0</v>
      </c>
      <c r="H130" s="314">
        <f t="shared" si="1"/>
        <v>0</v>
      </c>
    </row>
    <row r="131" spans="1:8" ht="120" x14ac:dyDescent="0.25">
      <c r="A131" s="199">
        <v>5312119</v>
      </c>
      <c r="B131" s="200" t="s">
        <v>1268</v>
      </c>
      <c r="C131" s="201" t="s">
        <v>1309</v>
      </c>
      <c r="D131" s="202" t="s">
        <v>1307</v>
      </c>
      <c r="E131" s="180">
        <v>804000</v>
      </c>
      <c r="F131" s="181">
        <v>804000</v>
      </c>
      <c r="H131" s="314">
        <f t="shared" ref="H131:H190" si="2">F131+G131</f>
        <v>804000</v>
      </c>
    </row>
    <row r="132" spans="1:8" ht="75" x14ac:dyDescent="0.25">
      <c r="A132" s="149">
        <v>4382191</v>
      </c>
      <c r="B132" s="182" t="s">
        <v>332</v>
      </c>
      <c r="C132" s="151" t="s">
        <v>1082</v>
      </c>
      <c r="D132" s="152" t="s">
        <v>1055</v>
      </c>
      <c r="E132" s="183">
        <v>400000</v>
      </c>
      <c r="F132" s="184">
        <v>0</v>
      </c>
      <c r="H132" s="314">
        <f t="shared" si="2"/>
        <v>0</v>
      </c>
    </row>
    <row r="133" spans="1:8" ht="75" x14ac:dyDescent="0.25">
      <c r="A133" s="149">
        <v>3597628</v>
      </c>
      <c r="B133" s="182" t="s">
        <v>332</v>
      </c>
      <c r="C133" s="151" t="s">
        <v>386</v>
      </c>
      <c r="D133" s="152" t="s">
        <v>1155</v>
      </c>
      <c r="E133" s="183">
        <v>700000</v>
      </c>
      <c r="F133" s="184">
        <v>0</v>
      </c>
      <c r="H133" s="314">
        <f t="shared" si="2"/>
        <v>0</v>
      </c>
    </row>
    <row r="134" spans="1:8" ht="75" x14ac:dyDescent="0.25">
      <c r="A134" s="149">
        <v>7916274</v>
      </c>
      <c r="B134" s="182" t="s">
        <v>332</v>
      </c>
      <c r="C134" s="151" t="s">
        <v>390</v>
      </c>
      <c r="D134" s="152" t="s">
        <v>1316</v>
      </c>
      <c r="E134" s="183">
        <v>900000</v>
      </c>
      <c r="F134" s="184">
        <v>0</v>
      </c>
      <c r="H134" s="314">
        <f t="shared" si="2"/>
        <v>0</v>
      </c>
    </row>
    <row r="135" spans="1:8" ht="105" x14ac:dyDescent="0.25">
      <c r="A135" s="149">
        <v>4987165</v>
      </c>
      <c r="B135" s="182" t="s">
        <v>332</v>
      </c>
      <c r="C135" s="151" t="s">
        <v>1436</v>
      </c>
      <c r="D135" s="152" t="s">
        <v>1427</v>
      </c>
      <c r="E135" s="183">
        <v>300000</v>
      </c>
      <c r="F135" s="184">
        <v>0</v>
      </c>
      <c r="H135" s="314">
        <f t="shared" si="2"/>
        <v>0</v>
      </c>
    </row>
    <row r="136" spans="1:8" ht="75" x14ac:dyDescent="0.25">
      <c r="A136" s="149">
        <v>6181040</v>
      </c>
      <c r="B136" s="182" t="s">
        <v>602</v>
      </c>
      <c r="C136" s="151" t="s">
        <v>605</v>
      </c>
      <c r="D136" s="152" t="s">
        <v>1155</v>
      </c>
      <c r="E136" s="183">
        <v>120000</v>
      </c>
      <c r="F136" s="184">
        <v>0</v>
      </c>
      <c r="H136" s="314">
        <f t="shared" si="2"/>
        <v>0</v>
      </c>
    </row>
    <row r="137" spans="1:8" ht="90" x14ac:dyDescent="0.25">
      <c r="A137" s="149">
        <v>1647194</v>
      </c>
      <c r="B137" s="182" t="s">
        <v>606</v>
      </c>
      <c r="C137" s="151" t="s">
        <v>608</v>
      </c>
      <c r="D137" s="152" t="s">
        <v>1155</v>
      </c>
      <c r="E137" s="183">
        <v>150000</v>
      </c>
      <c r="F137" s="184">
        <v>107952</v>
      </c>
      <c r="H137" s="314">
        <f t="shared" si="2"/>
        <v>107952</v>
      </c>
    </row>
    <row r="138" spans="1:8" ht="75" x14ac:dyDescent="0.25">
      <c r="A138" s="149">
        <v>9478716</v>
      </c>
      <c r="B138" s="182" t="s">
        <v>940</v>
      </c>
      <c r="C138" s="151" t="s">
        <v>940</v>
      </c>
      <c r="D138" s="152" t="s">
        <v>1155</v>
      </c>
      <c r="E138" s="183">
        <v>170000</v>
      </c>
      <c r="F138" s="184">
        <v>46011</v>
      </c>
      <c r="H138" s="314">
        <f t="shared" si="2"/>
        <v>46011</v>
      </c>
    </row>
    <row r="139" spans="1:8" ht="120.75" thickBot="1" x14ac:dyDescent="0.3">
      <c r="A139" s="156">
        <v>9924639</v>
      </c>
      <c r="B139" s="185" t="s">
        <v>857</v>
      </c>
      <c r="C139" s="158" t="s">
        <v>857</v>
      </c>
      <c r="D139" s="159" t="s">
        <v>1155</v>
      </c>
      <c r="E139" s="186">
        <v>418460</v>
      </c>
      <c r="F139" s="187">
        <v>0</v>
      </c>
      <c r="H139" s="314">
        <f t="shared" si="2"/>
        <v>0</v>
      </c>
    </row>
    <row r="140" spans="1:8" ht="60" x14ac:dyDescent="0.25">
      <c r="A140" s="142">
        <v>5344327</v>
      </c>
      <c r="B140" s="179" t="s">
        <v>942</v>
      </c>
      <c r="C140" s="144" t="s">
        <v>942</v>
      </c>
      <c r="D140" s="145" t="s">
        <v>1316</v>
      </c>
      <c r="E140" s="180">
        <v>900000</v>
      </c>
      <c r="F140" s="181">
        <v>0</v>
      </c>
      <c r="H140" s="314">
        <f t="shared" si="2"/>
        <v>0</v>
      </c>
    </row>
    <row r="141" spans="1:8" ht="90" x14ac:dyDescent="0.25">
      <c r="A141" s="149">
        <v>1642854</v>
      </c>
      <c r="B141" s="182" t="s">
        <v>942</v>
      </c>
      <c r="C141" s="151" t="s">
        <v>942</v>
      </c>
      <c r="D141" s="152" t="s">
        <v>1336</v>
      </c>
      <c r="E141" s="183">
        <v>800000</v>
      </c>
      <c r="F141" s="184">
        <v>0</v>
      </c>
      <c r="H141" s="314">
        <f t="shared" si="2"/>
        <v>0</v>
      </c>
    </row>
    <row r="142" spans="1:8" ht="150" x14ac:dyDescent="0.25">
      <c r="A142" s="149">
        <v>9328941</v>
      </c>
      <c r="B142" s="182" t="s">
        <v>1526</v>
      </c>
      <c r="C142" s="151" t="s">
        <v>1526</v>
      </c>
      <c r="D142" s="152" t="s">
        <v>1361</v>
      </c>
      <c r="E142" s="183">
        <v>500000</v>
      </c>
      <c r="F142" s="184">
        <v>219023</v>
      </c>
      <c r="H142" s="314">
        <f t="shared" si="2"/>
        <v>219023</v>
      </c>
    </row>
    <row r="143" spans="1:8" ht="60" x14ac:dyDescent="0.25">
      <c r="A143" s="149">
        <v>6232669</v>
      </c>
      <c r="B143" s="182" t="s">
        <v>610</v>
      </c>
      <c r="C143" s="151" t="s">
        <v>1208</v>
      </c>
      <c r="D143" s="152" t="s">
        <v>1155</v>
      </c>
      <c r="E143" s="183">
        <v>300000</v>
      </c>
      <c r="F143" s="184">
        <v>0</v>
      </c>
      <c r="H143" s="314">
        <f t="shared" si="2"/>
        <v>0</v>
      </c>
    </row>
    <row r="144" spans="1:8" ht="60" x14ac:dyDescent="0.25">
      <c r="A144" s="149">
        <v>8635813</v>
      </c>
      <c r="B144" s="182" t="s">
        <v>493</v>
      </c>
      <c r="C144" s="151" t="s">
        <v>493</v>
      </c>
      <c r="D144" s="152" t="s">
        <v>1316</v>
      </c>
      <c r="E144" s="183">
        <v>1200000</v>
      </c>
      <c r="F144" s="184">
        <v>0</v>
      </c>
      <c r="H144" s="314">
        <f t="shared" si="2"/>
        <v>0</v>
      </c>
    </row>
    <row r="145" spans="1:8" ht="120" x14ac:dyDescent="0.25">
      <c r="A145" s="149">
        <v>5175408</v>
      </c>
      <c r="B145" s="182" t="s">
        <v>977</v>
      </c>
      <c r="C145" s="151" t="s">
        <v>977</v>
      </c>
      <c r="D145" s="152" t="s">
        <v>1155</v>
      </c>
      <c r="E145" s="183">
        <v>277000</v>
      </c>
      <c r="F145" s="184">
        <v>0</v>
      </c>
      <c r="H145" s="314">
        <f t="shared" si="2"/>
        <v>0</v>
      </c>
    </row>
    <row r="146" spans="1:8" ht="120" x14ac:dyDescent="0.25">
      <c r="A146" s="149">
        <v>2015983</v>
      </c>
      <c r="B146" s="182" t="s">
        <v>977</v>
      </c>
      <c r="C146" s="151" t="s">
        <v>977</v>
      </c>
      <c r="D146" s="152" t="s">
        <v>1273</v>
      </c>
      <c r="E146" s="183">
        <v>273000</v>
      </c>
      <c r="F146" s="184">
        <v>0</v>
      </c>
      <c r="H146" s="314">
        <f t="shared" si="2"/>
        <v>0</v>
      </c>
    </row>
    <row r="147" spans="1:8" ht="75" x14ac:dyDescent="0.25">
      <c r="A147" s="149">
        <v>6428468</v>
      </c>
      <c r="B147" s="182" t="s">
        <v>613</v>
      </c>
      <c r="C147" s="151" t="s">
        <v>1210</v>
      </c>
      <c r="D147" s="152" t="s">
        <v>1155</v>
      </c>
      <c r="E147" s="183">
        <v>1393700</v>
      </c>
      <c r="F147" s="184">
        <v>0</v>
      </c>
      <c r="H147" s="314">
        <f t="shared" si="2"/>
        <v>0</v>
      </c>
    </row>
    <row r="148" spans="1:8" ht="105" x14ac:dyDescent="0.25">
      <c r="A148" s="149">
        <v>1225073</v>
      </c>
      <c r="B148" s="182" t="s">
        <v>947</v>
      </c>
      <c r="C148" s="151" t="s">
        <v>1163</v>
      </c>
      <c r="D148" s="152" t="s">
        <v>1155</v>
      </c>
      <c r="E148" s="183">
        <v>2413670</v>
      </c>
      <c r="F148" s="184">
        <v>0</v>
      </c>
      <c r="H148" s="314">
        <f t="shared" si="2"/>
        <v>0</v>
      </c>
    </row>
    <row r="149" spans="1:8" ht="120" x14ac:dyDescent="0.25">
      <c r="A149" s="149">
        <v>9459250</v>
      </c>
      <c r="B149" s="182" t="s">
        <v>947</v>
      </c>
      <c r="C149" s="151" t="s">
        <v>1304</v>
      </c>
      <c r="D149" s="152" t="s">
        <v>1282</v>
      </c>
      <c r="E149" s="183">
        <v>1301370</v>
      </c>
      <c r="F149" s="184">
        <v>0</v>
      </c>
      <c r="H149" s="314">
        <f t="shared" si="2"/>
        <v>0</v>
      </c>
    </row>
    <row r="150" spans="1:8" ht="60" x14ac:dyDescent="0.25">
      <c r="A150" s="149">
        <v>4381530</v>
      </c>
      <c r="B150" s="182" t="s">
        <v>947</v>
      </c>
      <c r="C150" s="151" t="s">
        <v>390</v>
      </c>
      <c r="D150" s="152" t="s">
        <v>1316</v>
      </c>
      <c r="E150" s="183">
        <v>5945920</v>
      </c>
      <c r="F150" s="184">
        <v>0</v>
      </c>
      <c r="H150" s="314">
        <f t="shared" si="2"/>
        <v>0</v>
      </c>
    </row>
    <row r="151" spans="1:8" ht="60" x14ac:dyDescent="0.25">
      <c r="A151" s="149">
        <v>5703553</v>
      </c>
      <c r="B151" s="182" t="s">
        <v>947</v>
      </c>
      <c r="C151" s="151" t="s">
        <v>769</v>
      </c>
      <c r="D151" s="152" t="s">
        <v>1346</v>
      </c>
      <c r="E151" s="183">
        <v>709850</v>
      </c>
      <c r="F151" s="184">
        <v>0</v>
      </c>
      <c r="H151" s="314">
        <f t="shared" si="2"/>
        <v>0</v>
      </c>
    </row>
    <row r="152" spans="1:8" ht="60" x14ac:dyDescent="0.25">
      <c r="A152" s="149">
        <v>4720531</v>
      </c>
      <c r="B152" s="182" t="s">
        <v>947</v>
      </c>
      <c r="C152" s="151" t="s">
        <v>859</v>
      </c>
      <c r="D152" s="152" t="s">
        <v>1423</v>
      </c>
      <c r="E152" s="183">
        <v>260120</v>
      </c>
      <c r="F152" s="184">
        <v>0</v>
      </c>
      <c r="H152" s="314">
        <f t="shared" si="2"/>
        <v>0</v>
      </c>
    </row>
    <row r="153" spans="1:8" ht="90" x14ac:dyDescent="0.25">
      <c r="A153" s="149">
        <v>1172890</v>
      </c>
      <c r="B153" s="182" t="s">
        <v>618</v>
      </c>
      <c r="C153" s="151" t="s">
        <v>620</v>
      </c>
      <c r="D153" s="152" t="s">
        <v>1155</v>
      </c>
      <c r="E153" s="183">
        <v>750000</v>
      </c>
      <c r="F153" s="184">
        <v>0</v>
      </c>
      <c r="H153" s="314">
        <f t="shared" si="2"/>
        <v>0</v>
      </c>
    </row>
    <row r="154" spans="1:8" ht="75" x14ac:dyDescent="0.25">
      <c r="A154" s="149">
        <v>4531517</v>
      </c>
      <c r="B154" s="182" t="s">
        <v>618</v>
      </c>
      <c r="C154" s="151" t="s">
        <v>623</v>
      </c>
      <c r="D154" s="152" t="s">
        <v>1273</v>
      </c>
      <c r="E154" s="183">
        <v>100000</v>
      </c>
      <c r="F154" s="184">
        <v>0</v>
      </c>
      <c r="H154" s="314">
        <f t="shared" si="2"/>
        <v>0</v>
      </c>
    </row>
    <row r="155" spans="1:8" ht="60" x14ac:dyDescent="0.25">
      <c r="A155" s="149">
        <v>9196018</v>
      </c>
      <c r="B155" s="182" t="s">
        <v>748</v>
      </c>
      <c r="C155" s="151" t="s">
        <v>750</v>
      </c>
      <c r="D155" s="152" t="s">
        <v>1155</v>
      </c>
      <c r="E155" s="183">
        <v>450000</v>
      </c>
      <c r="F155" s="184">
        <v>0</v>
      </c>
      <c r="H155" s="314">
        <f t="shared" si="2"/>
        <v>0</v>
      </c>
    </row>
    <row r="156" spans="1:8" ht="60" x14ac:dyDescent="0.25">
      <c r="A156" s="149">
        <v>7702105</v>
      </c>
      <c r="B156" s="182" t="s">
        <v>626</v>
      </c>
      <c r="C156" s="151" t="s">
        <v>386</v>
      </c>
      <c r="D156" s="152" t="s">
        <v>1155</v>
      </c>
      <c r="E156" s="183">
        <v>800000</v>
      </c>
      <c r="F156" s="184">
        <v>0</v>
      </c>
      <c r="H156" s="314">
        <f t="shared" si="2"/>
        <v>0</v>
      </c>
    </row>
    <row r="157" spans="1:8" ht="75" x14ac:dyDescent="0.25">
      <c r="A157" s="149">
        <v>1671513</v>
      </c>
      <c r="B157" s="182" t="s">
        <v>630</v>
      </c>
      <c r="C157" s="151" t="s">
        <v>632</v>
      </c>
      <c r="D157" s="152" t="s">
        <v>1155</v>
      </c>
      <c r="E157" s="183">
        <v>200000</v>
      </c>
      <c r="F157" s="184">
        <v>0</v>
      </c>
      <c r="H157" s="314">
        <f t="shared" si="2"/>
        <v>0</v>
      </c>
    </row>
    <row r="158" spans="1:8" ht="60" x14ac:dyDescent="0.25">
      <c r="A158" s="149">
        <v>5141443</v>
      </c>
      <c r="B158" s="182" t="s">
        <v>636</v>
      </c>
      <c r="C158" s="151" t="s">
        <v>1197</v>
      </c>
      <c r="D158" s="152" t="s">
        <v>1155</v>
      </c>
      <c r="E158" s="183">
        <v>150000</v>
      </c>
      <c r="F158" s="184">
        <v>59591</v>
      </c>
      <c r="H158" s="314">
        <f t="shared" si="2"/>
        <v>59591</v>
      </c>
    </row>
    <row r="159" spans="1:8" ht="75.75" thickBot="1" x14ac:dyDescent="0.3">
      <c r="A159" s="156">
        <v>7259548</v>
      </c>
      <c r="B159" s="185" t="s">
        <v>678</v>
      </c>
      <c r="C159" s="158" t="s">
        <v>386</v>
      </c>
      <c r="D159" s="159" t="s">
        <v>1155</v>
      </c>
      <c r="E159" s="186">
        <v>100000</v>
      </c>
      <c r="F159" s="187">
        <v>0</v>
      </c>
      <c r="H159" s="314">
        <f t="shared" si="2"/>
        <v>0</v>
      </c>
    </row>
    <row r="160" spans="1:8" ht="90" x14ac:dyDescent="0.25">
      <c r="A160" s="142">
        <v>3095940</v>
      </c>
      <c r="B160" s="179" t="s">
        <v>1003</v>
      </c>
      <c r="C160" s="144" t="s">
        <v>386</v>
      </c>
      <c r="D160" s="145" t="s">
        <v>1155</v>
      </c>
      <c r="E160" s="180">
        <v>1069000</v>
      </c>
      <c r="F160" s="181">
        <v>0</v>
      </c>
      <c r="H160" s="314">
        <f t="shared" si="2"/>
        <v>0</v>
      </c>
    </row>
    <row r="161" spans="1:8" ht="90" x14ac:dyDescent="0.25">
      <c r="A161" s="149">
        <v>1109434</v>
      </c>
      <c r="B161" s="182" t="s">
        <v>1003</v>
      </c>
      <c r="C161" s="151" t="s">
        <v>390</v>
      </c>
      <c r="D161" s="152" t="s">
        <v>1316</v>
      </c>
      <c r="E161" s="183">
        <v>2469000</v>
      </c>
      <c r="F161" s="184">
        <v>2241991</v>
      </c>
      <c r="H161" s="314">
        <f t="shared" si="2"/>
        <v>2241991</v>
      </c>
    </row>
    <row r="162" spans="1:8" ht="75" x14ac:dyDescent="0.25">
      <c r="A162" s="149">
        <v>9940787</v>
      </c>
      <c r="B162" s="182" t="s">
        <v>682</v>
      </c>
      <c r="C162" s="151" t="s">
        <v>386</v>
      </c>
      <c r="D162" s="152" t="s">
        <v>1155</v>
      </c>
      <c r="E162" s="183">
        <v>971195</v>
      </c>
      <c r="F162" s="184">
        <v>0</v>
      </c>
      <c r="H162" s="314">
        <f t="shared" si="2"/>
        <v>0</v>
      </c>
    </row>
    <row r="163" spans="1:8" ht="75" x14ac:dyDescent="0.25">
      <c r="A163" s="149">
        <v>4075651</v>
      </c>
      <c r="B163" s="182" t="s">
        <v>682</v>
      </c>
      <c r="C163" s="151" t="s">
        <v>684</v>
      </c>
      <c r="D163" s="152" t="s">
        <v>1250</v>
      </c>
      <c r="E163" s="183">
        <v>656636</v>
      </c>
      <c r="F163" s="184">
        <v>55327</v>
      </c>
      <c r="H163" s="314">
        <f t="shared" si="2"/>
        <v>55327</v>
      </c>
    </row>
    <row r="164" spans="1:8" ht="75" x14ac:dyDescent="0.25">
      <c r="A164" s="149">
        <v>2506443</v>
      </c>
      <c r="B164" s="182" t="s">
        <v>682</v>
      </c>
      <c r="C164" s="151" t="s">
        <v>287</v>
      </c>
      <c r="D164" s="152" t="s">
        <v>1273</v>
      </c>
      <c r="E164" s="183">
        <v>607004</v>
      </c>
      <c r="F164" s="184">
        <v>63470</v>
      </c>
      <c r="H164" s="314">
        <f t="shared" si="2"/>
        <v>63470</v>
      </c>
    </row>
    <row r="165" spans="1:8" ht="75" x14ac:dyDescent="0.25">
      <c r="A165" s="149">
        <v>4782003</v>
      </c>
      <c r="B165" s="182" t="s">
        <v>682</v>
      </c>
      <c r="C165" s="151" t="s">
        <v>390</v>
      </c>
      <c r="D165" s="152" t="s">
        <v>1316</v>
      </c>
      <c r="E165" s="183">
        <v>1081567</v>
      </c>
      <c r="F165" s="184">
        <v>0</v>
      </c>
      <c r="H165" s="314">
        <f t="shared" si="2"/>
        <v>0</v>
      </c>
    </row>
    <row r="166" spans="1:8" ht="75" x14ac:dyDescent="0.25">
      <c r="A166" s="149">
        <v>3994122</v>
      </c>
      <c r="B166" s="182" t="s">
        <v>640</v>
      </c>
      <c r="C166" s="151" t="s">
        <v>642</v>
      </c>
      <c r="D166" s="152" t="s">
        <v>1472</v>
      </c>
      <c r="E166" s="183">
        <v>300000</v>
      </c>
      <c r="F166" s="184">
        <v>0</v>
      </c>
      <c r="H166" s="314">
        <f t="shared" si="2"/>
        <v>0</v>
      </c>
    </row>
    <row r="167" spans="1:8" ht="75" x14ac:dyDescent="0.25">
      <c r="A167" s="149">
        <v>9199716</v>
      </c>
      <c r="B167" s="182" t="s">
        <v>531</v>
      </c>
      <c r="C167" s="151" t="s">
        <v>1222</v>
      </c>
      <c r="D167" s="152" t="s">
        <v>1155</v>
      </c>
      <c r="E167" s="183">
        <v>485980</v>
      </c>
      <c r="F167" s="184">
        <v>349751</v>
      </c>
      <c r="H167" s="314">
        <f t="shared" si="2"/>
        <v>349751</v>
      </c>
    </row>
    <row r="168" spans="1:8" ht="75" x14ac:dyDescent="0.25">
      <c r="A168" s="149">
        <v>6749255</v>
      </c>
      <c r="B168" s="182" t="s">
        <v>531</v>
      </c>
      <c r="C168" s="151" t="s">
        <v>1264</v>
      </c>
      <c r="D168" s="152" t="s">
        <v>1250</v>
      </c>
      <c r="E168" s="183">
        <v>426870</v>
      </c>
      <c r="F168" s="184">
        <v>1718</v>
      </c>
      <c r="G168" s="314">
        <f>-F168</f>
        <v>-1718</v>
      </c>
      <c r="H168" s="314">
        <f t="shared" si="2"/>
        <v>0</v>
      </c>
    </row>
    <row r="169" spans="1:8" ht="75" x14ac:dyDescent="0.25">
      <c r="A169" s="149">
        <v>4547815</v>
      </c>
      <c r="B169" s="182" t="s">
        <v>531</v>
      </c>
      <c r="C169" s="151" t="s">
        <v>1279</v>
      </c>
      <c r="D169" s="152" t="s">
        <v>1273</v>
      </c>
      <c r="E169" s="183">
        <v>230640</v>
      </c>
      <c r="F169" s="184">
        <v>0</v>
      </c>
      <c r="H169" s="314">
        <f t="shared" si="2"/>
        <v>0</v>
      </c>
    </row>
    <row r="170" spans="1:8" ht="90.75" thickBot="1" x14ac:dyDescent="0.3">
      <c r="A170" s="156">
        <v>6989404</v>
      </c>
      <c r="B170" s="185" t="s">
        <v>531</v>
      </c>
      <c r="C170" s="158" t="s">
        <v>1416</v>
      </c>
      <c r="D170" s="159" t="s">
        <v>1405</v>
      </c>
      <c r="E170" s="186">
        <v>234590</v>
      </c>
      <c r="F170" s="187">
        <v>168830</v>
      </c>
      <c r="H170" s="314">
        <f t="shared" si="2"/>
        <v>168830</v>
      </c>
    </row>
    <row r="171" spans="1:8" ht="60" x14ac:dyDescent="0.25">
      <c r="A171" s="142">
        <v>3619533</v>
      </c>
      <c r="B171" s="179" t="s">
        <v>955</v>
      </c>
      <c r="C171" s="144" t="s">
        <v>957</v>
      </c>
      <c r="D171" s="145" t="s">
        <v>1316</v>
      </c>
      <c r="E171" s="180">
        <v>942852</v>
      </c>
      <c r="F171" s="181">
        <v>110078</v>
      </c>
      <c r="H171" s="314">
        <f t="shared" si="2"/>
        <v>110078</v>
      </c>
    </row>
    <row r="172" spans="1:8" ht="60" x14ac:dyDescent="0.25">
      <c r="A172" s="149">
        <v>9949795</v>
      </c>
      <c r="B172" s="182" t="s">
        <v>690</v>
      </c>
      <c r="C172" s="151" t="s">
        <v>692</v>
      </c>
      <c r="D172" s="152" t="s">
        <v>1155</v>
      </c>
      <c r="E172" s="183">
        <v>50000</v>
      </c>
      <c r="F172" s="184">
        <v>50000</v>
      </c>
      <c r="H172" s="314">
        <f t="shared" si="2"/>
        <v>50000</v>
      </c>
    </row>
    <row r="173" spans="1:8" ht="105" x14ac:dyDescent="0.25">
      <c r="A173" s="149">
        <v>1514566</v>
      </c>
      <c r="B173" s="182" t="s">
        <v>652</v>
      </c>
      <c r="C173" s="151" t="s">
        <v>1169</v>
      </c>
      <c r="D173" s="152" t="s">
        <v>1155</v>
      </c>
      <c r="E173" s="183">
        <v>500000</v>
      </c>
      <c r="F173" s="184">
        <v>313520</v>
      </c>
      <c r="H173" s="314">
        <f t="shared" si="2"/>
        <v>313520</v>
      </c>
    </row>
    <row r="174" spans="1:8" ht="105" x14ac:dyDescent="0.25">
      <c r="A174" s="149">
        <v>4936413</v>
      </c>
      <c r="B174" s="182" t="s">
        <v>655</v>
      </c>
      <c r="C174" s="151" t="s">
        <v>657</v>
      </c>
      <c r="D174" s="152" t="s">
        <v>1155</v>
      </c>
      <c r="E174" s="183">
        <v>200000</v>
      </c>
      <c r="F174" s="184">
        <v>176702</v>
      </c>
      <c r="H174" s="314">
        <f t="shared" si="2"/>
        <v>176702</v>
      </c>
    </row>
    <row r="175" spans="1:8" ht="60" x14ac:dyDescent="0.25">
      <c r="A175" s="149">
        <v>8522302</v>
      </c>
      <c r="B175" s="182" t="s">
        <v>661</v>
      </c>
      <c r="C175" s="151" t="s">
        <v>386</v>
      </c>
      <c r="D175" s="152" t="s">
        <v>1155</v>
      </c>
      <c r="E175" s="183">
        <v>45000</v>
      </c>
      <c r="F175" s="184">
        <v>32386</v>
      </c>
      <c r="H175" s="314">
        <f t="shared" si="2"/>
        <v>32386</v>
      </c>
    </row>
    <row r="176" spans="1:8" ht="105" x14ac:dyDescent="0.25">
      <c r="A176" s="149">
        <v>7201840</v>
      </c>
      <c r="B176" s="182" t="s">
        <v>1293</v>
      </c>
      <c r="C176" s="151" t="s">
        <v>1212</v>
      </c>
      <c r="D176" s="152" t="s">
        <v>1155</v>
      </c>
      <c r="E176" s="183">
        <v>2621502</v>
      </c>
      <c r="F176" s="184">
        <v>2621502</v>
      </c>
      <c r="H176" s="314">
        <f t="shared" si="2"/>
        <v>2621502</v>
      </c>
    </row>
    <row r="177" spans="1:8" ht="105" x14ac:dyDescent="0.25">
      <c r="A177" s="149">
        <v>5599785</v>
      </c>
      <c r="B177" s="182" t="s">
        <v>1293</v>
      </c>
      <c r="C177" s="151" t="s">
        <v>1293</v>
      </c>
      <c r="D177" s="152" t="s">
        <v>1282</v>
      </c>
      <c r="E177" s="183">
        <v>235188</v>
      </c>
      <c r="F177" s="184">
        <v>0</v>
      </c>
      <c r="H177" s="314">
        <f t="shared" si="2"/>
        <v>0</v>
      </c>
    </row>
    <row r="178" spans="1:8" ht="105" x14ac:dyDescent="0.25">
      <c r="A178" s="149">
        <v>4396482</v>
      </c>
      <c r="B178" s="182" t="s">
        <v>1293</v>
      </c>
      <c r="C178" s="151" t="s">
        <v>390</v>
      </c>
      <c r="D178" s="152" t="s">
        <v>1316</v>
      </c>
      <c r="E178" s="183">
        <v>616080</v>
      </c>
      <c r="F178" s="184">
        <v>0</v>
      </c>
      <c r="H178" s="314">
        <f t="shared" si="2"/>
        <v>0</v>
      </c>
    </row>
    <row r="179" spans="1:8" ht="105" x14ac:dyDescent="0.25">
      <c r="A179" s="149">
        <v>2946425</v>
      </c>
      <c r="B179" s="182" t="s">
        <v>546</v>
      </c>
      <c r="C179" s="151" t="s">
        <v>546</v>
      </c>
      <c r="D179" s="152" t="s">
        <v>1155</v>
      </c>
      <c r="E179" s="183">
        <v>390000</v>
      </c>
      <c r="F179" s="184">
        <v>0</v>
      </c>
      <c r="H179" s="314">
        <f t="shared" si="2"/>
        <v>0</v>
      </c>
    </row>
    <row r="180" spans="1:8" ht="90" x14ac:dyDescent="0.25">
      <c r="A180" s="149">
        <v>6697882</v>
      </c>
      <c r="B180" s="182" t="s">
        <v>663</v>
      </c>
      <c r="C180" s="151" t="s">
        <v>665</v>
      </c>
      <c r="D180" s="152" t="s">
        <v>1155</v>
      </c>
      <c r="E180" s="183">
        <v>80000</v>
      </c>
      <c r="F180" s="184">
        <v>56833</v>
      </c>
      <c r="H180" s="314">
        <f t="shared" si="2"/>
        <v>56833</v>
      </c>
    </row>
    <row r="181" spans="1:8" ht="60.75" thickBot="1" x14ac:dyDescent="0.3">
      <c r="A181" s="156">
        <v>4383860</v>
      </c>
      <c r="B181" s="185" t="s">
        <v>864</v>
      </c>
      <c r="C181" s="158" t="s">
        <v>864</v>
      </c>
      <c r="D181" s="159" t="s">
        <v>1155</v>
      </c>
      <c r="E181" s="186">
        <v>1012000</v>
      </c>
      <c r="F181" s="187">
        <v>1012000</v>
      </c>
      <c r="H181" s="314">
        <f t="shared" si="2"/>
        <v>1012000</v>
      </c>
    </row>
    <row r="182" spans="1:8" ht="60" x14ac:dyDescent="0.25">
      <c r="A182" s="142">
        <v>9688838</v>
      </c>
      <c r="B182" s="179" t="s">
        <v>499</v>
      </c>
      <c r="C182" s="144" t="s">
        <v>499</v>
      </c>
      <c r="D182" s="145" t="s">
        <v>1316</v>
      </c>
      <c r="E182" s="180">
        <v>200000</v>
      </c>
      <c r="F182" s="181">
        <v>200000</v>
      </c>
      <c r="H182" s="314">
        <f t="shared" si="2"/>
        <v>200000</v>
      </c>
    </row>
    <row r="183" spans="1:8" ht="60" x14ac:dyDescent="0.25">
      <c r="A183" s="149">
        <v>2125600</v>
      </c>
      <c r="B183" s="182" t="s">
        <v>459</v>
      </c>
      <c r="C183" s="151" t="s">
        <v>459</v>
      </c>
      <c r="D183" s="152" t="s">
        <v>1316</v>
      </c>
      <c r="E183" s="183">
        <v>773200</v>
      </c>
      <c r="F183" s="184">
        <v>773200</v>
      </c>
      <c r="H183" s="314">
        <f t="shared" si="2"/>
        <v>773200</v>
      </c>
    </row>
    <row r="184" spans="1:8" ht="90" x14ac:dyDescent="0.25">
      <c r="A184" s="149">
        <v>7399132</v>
      </c>
      <c r="B184" s="182" t="s">
        <v>576</v>
      </c>
      <c r="C184" s="151" t="s">
        <v>576</v>
      </c>
      <c r="D184" s="152" t="s">
        <v>1155</v>
      </c>
      <c r="E184" s="183">
        <v>430200</v>
      </c>
      <c r="F184" s="184">
        <v>430200</v>
      </c>
      <c r="H184" s="314">
        <f t="shared" si="2"/>
        <v>430200</v>
      </c>
    </row>
    <row r="185" spans="1:8" ht="90" x14ac:dyDescent="0.25">
      <c r="A185" s="149">
        <v>8877013</v>
      </c>
      <c r="B185" s="182" t="s">
        <v>576</v>
      </c>
      <c r="C185" s="151" t="s">
        <v>576</v>
      </c>
      <c r="D185" s="152" t="s">
        <v>1316</v>
      </c>
      <c r="E185" s="183">
        <v>808350</v>
      </c>
      <c r="F185" s="184">
        <v>808350</v>
      </c>
      <c r="H185" s="314">
        <f t="shared" si="2"/>
        <v>808350</v>
      </c>
    </row>
    <row r="186" spans="1:8" ht="75" x14ac:dyDescent="0.25">
      <c r="A186" s="149">
        <v>5204562</v>
      </c>
      <c r="B186" s="182" t="s">
        <v>666</v>
      </c>
      <c r="C186" s="151" t="s">
        <v>670</v>
      </c>
      <c r="D186" s="152" t="s">
        <v>1155</v>
      </c>
      <c r="E186" s="183">
        <v>400000</v>
      </c>
      <c r="F186" s="184">
        <v>227286</v>
      </c>
      <c r="H186" s="314">
        <f t="shared" si="2"/>
        <v>227286</v>
      </c>
    </row>
    <row r="187" spans="1:8" ht="75" x14ac:dyDescent="0.25">
      <c r="A187" s="149">
        <v>2813433</v>
      </c>
      <c r="B187" s="182" t="s">
        <v>666</v>
      </c>
      <c r="C187" s="151" t="s">
        <v>668</v>
      </c>
      <c r="D187" s="152" t="s">
        <v>1273</v>
      </c>
      <c r="E187" s="183">
        <v>200000</v>
      </c>
      <c r="F187" s="184">
        <v>143077</v>
      </c>
      <c r="H187" s="314">
        <f t="shared" si="2"/>
        <v>143077</v>
      </c>
    </row>
    <row r="188" spans="1:8" ht="60" x14ac:dyDescent="0.25">
      <c r="A188" s="149">
        <v>9666094</v>
      </c>
      <c r="B188" s="182" t="s">
        <v>671</v>
      </c>
      <c r="C188" s="151" t="s">
        <v>386</v>
      </c>
      <c r="D188" s="152" t="s">
        <v>1155</v>
      </c>
      <c r="E188" s="183">
        <v>1500000</v>
      </c>
      <c r="F188" s="184">
        <v>296118</v>
      </c>
      <c r="H188" s="314">
        <f t="shared" si="2"/>
        <v>296118</v>
      </c>
    </row>
    <row r="189" spans="1:8" ht="60" x14ac:dyDescent="0.25">
      <c r="A189" s="149">
        <v>3810187</v>
      </c>
      <c r="B189" s="182" t="s">
        <v>674</v>
      </c>
      <c r="C189" s="151" t="s">
        <v>676</v>
      </c>
      <c r="D189" s="152" t="s">
        <v>1155</v>
      </c>
      <c r="E189" s="183">
        <v>618500</v>
      </c>
      <c r="F189" s="184">
        <v>445123</v>
      </c>
      <c r="H189" s="314">
        <f t="shared" si="2"/>
        <v>445123</v>
      </c>
    </row>
    <row r="190" spans="1:8" ht="60.75" thickBot="1" x14ac:dyDescent="0.3">
      <c r="A190" s="156">
        <v>5945407</v>
      </c>
      <c r="B190" s="185" t="s">
        <v>674</v>
      </c>
      <c r="C190" s="158" t="s">
        <v>674</v>
      </c>
      <c r="D190" s="159" t="s">
        <v>1472</v>
      </c>
      <c r="E190" s="186">
        <v>207052</v>
      </c>
      <c r="F190" s="187">
        <v>115703</v>
      </c>
      <c r="H190" s="314">
        <f t="shared" si="2"/>
        <v>115703</v>
      </c>
    </row>
    <row r="191" spans="1:8" ht="15.75" thickBot="1" x14ac:dyDescent="0.3">
      <c r="A191" s="164"/>
      <c r="B191" s="188"/>
      <c r="C191" s="166"/>
      <c r="D191" s="167"/>
      <c r="E191" s="189">
        <v>102358190.31</v>
      </c>
      <c r="F191" s="190">
        <f>SUM(F2:F190)</f>
        <v>27000000</v>
      </c>
      <c r="H191" s="314">
        <f>SUM(H2:H190)</f>
        <v>27120030</v>
      </c>
    </row>
  </sheetData>
  <conditionalFormatting sqref="F2:F190">
    <cfRule type="cellIs" dxfId="0" priority="1" operator="between">
      <formula>1</formula>
      <formula>5000</formula>
    </cfRule>
  </conditionalFormatting>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89"/>
  <sheetViews>
    <sheetView workbookViewId="0">
      <pane xSplit="4" ySplit="2" topLeftCell="K3" activePane="bottomRight" state="frozen"/>
      <selection pane="topRight" activeCell="E1" sqref="E1"/>
      <selection pane="bottomLeft" activeCell="A3" sqref="A3"/>
      <selection pane="bottomRight" activeCell="I1" sqref="I1:S2"/>
    </sheetView>
  </sheetViews>
  <sheetFormatPr defaultRowHeight="15" x14ac:dyDescent="0.25"/>
  <cols>
    <col min="5" max="5" width="10.28515625" style="313" customWidth="1"/>
    <col min="6" max="7" width="9.28515625" style="313"/>
    <col min="8" max="8" width="11.140625" style="313" customWidth="1"/>
    <col min="9" max="9" width="9.28515625" style="313"/>
    <col min="10" max="10" width="12.7109375" style="313" customWidth="1"/>
    <col min="11" max="15" width="9.28515625" style="313"/>
    <col min="16" max="16" width="9.7109375" style="313" bestFit="1" customWidth="1"/>
    <col min="17" max="17" width="12.140625" style="313" customWidth="1"/>
    <col min="18" max="19" width="9.28515625" style="313"/>
    <col min="20" max="20" width="13.140625" style="313" customWidth="1"/>
  </cols>
  <sheetData>
    <row r="1" spans="1:21" x14ac:dyDescent="0.25">
      <c r="C1" s="203">
        <v>1</v>
      </c>
      <c r="D1" s="203">
        <v>2</v>
      </c>
      <c r="E1" s="203">
        <v>3</v>
      </c>
      <c r="F1" s="203">
        <v>4</v>
      </c>
      <c r="G1" s="203">
        <v>5</v>
      </c>
      <c r="H1" s="203">
        <v>6</v>
      </c>
      <c r="I1" s="203">
        <v>7</v>
      </c>
      <c r="J1" s="203">
        <v>8</v>
      </c>
      <c r="K1" s="203">
        <v>9</v>
      </c>
      <c r="L1" s="203">
        <v>10</v>
      </c>
      <c r="M1" s="203">
        <v>11</v>
      </c>
      <c r="N1" s="203">
        <v>12</v>
      </c>
      <c r="O1" s="203">
        <v>13</v>
      </c>
      <c r="P1" s="203">
        <v>14</v>
      </c>
      <c r="Q1" s="203">
        <v>15</v>
      </c>
      <c r="R1" s="203">
        <v>16</v>
      </c>
      <c r="S1" s="203">
        <v>17</v>
      </c>
      <c r="T1" s="203">
        <v>18</v>
      </c>
      <c r="U1" s="203"/>
    </row>
    <row r="2" spans="1:21" s="1" customFormat="1" ht="60" x14ac:dyDescent="0.25">
      <c r="A2" s="476" t="s">
        <v>40</v>
      </c>
      <c r="B2" s="476" t="s">
        <v>1040</v>
      </c>
      <c r="C2" s="476" t="s">
        <v>1039</v>
      </c>
      <c r="D2" s="476" t="s">
        <v>1538</v>
      </c>
      <c r="E2" s="476" t="s">
        <v>1544</v>
      </c>
      <c r="F2" s="476" t="s">
        <v>1545</v>
      </c>
      <c r="G2" s="476" t="s">
        <v>2527</v>
      </c>
      <c r="H2" s="476" t="s">
        <v>1539</v>
      </c>
      <c r="I2" s="476" t="s">
        <v>1540</v>
      </c>
      <c r="J2" s="476" t="s">
        <v>1543</v>
      </c>
      <c r="K2" s="476" t="s">
        <v>1542</v>
      </c>
      <c r="L2" s="476" t="s">
        <v>1541</v>
      </c>
      <c r="M2" s="476" t="s">
        <v>2528</v>
      </c>
      <c r="N2" s="476" t="s">
        <v>2529</v>
      </c>
      <c r="O2" s="476" t="s">
        <v>2530</v>
      </c>
      <c r="P2" s="476" t="s">
        <v>1156</v>
      </c>
      <c r="Q2" s="476" t="s">
        <v>1836</v>
      </c>
      <c r="R2" s="476" t="s">
        <v>2531</v>
      </c>
      <c r="S2" s="476" t="s">
        <v>2532</v>
      </c>
      <c r="T2" s="476" t="s">
        <v>1763</v>
      </c>
    </row>
    <row r="3" spans="1:21" x14ac:dyDescent="0.25">
      <c r="A3" t="s">
        <v>386</v>
      </c>
      <c r="B3" t="s">
        <v>384</v>
      </c>
      <c r="C3">
        <v>1008575</v>
      </c>
      <c r="D3">
        <v>2019</v>
      </c>
      <c r="E3" s="314">
        <v>65852</v>
      </c>
      <c r="F3" s="314">
        <v>158000</v>
      </c>
      <c r="G3" s="314">
        <v>0</v>
      </c>
      <c r="H3" s="314">
        <v>3101900</v>
      </c>
      <c r="I3" s="314">
        <v>0</v>
      </c>
      <c r="J3" s="314">
        <v>0</v>
      </c>
      <c r="K3" s="314">
        <v>0</v>
      </c>
      <c r="L3" s="313">
        <v>0</v>
      </c>
      <c r="M3" s="314">
        <v>0</v>
      </c>
      <c r="N3" s="314">
        <v>0</v>
      </c>
      <c r="O3" s="314">
        <v>29000</v>
      </c>
      <c r="P3" s="314">
        <v>156400</v>
      </c>
      <c r="Q3" s="314">
        <f>SUM(O3:P3)</f>
        <v>185400</v>
      </c>
      <c r="R3" s="314">
        <v>0</v>
      </c>
      <c r="S3" s="314">
        <v>64000</v>
      </c>
      <c r="T3" s="314">
        <v>3575152</v>
      </c>
    </row>
    <row r="4" spans="1:21" x14ac:dyDescent="0.25">
      <c r="A4" t="s">
        <v>585</v>
      </c>
      <c r="B4" t="s">
        <v>585</v>
      </c>
      <c r="C4">
        <v>5943218</v>
      </c>
      <c r="D4">
        <v>2019</v>
      </c>
      <c r="E4" s="314">
        <v>0</v>
      </c>
      <c r="F4" s="314">
        <v>113000</v>
      </c>
      <c r="G4" s="314">
        <v>0</v>
      </c>
      <c r="H4" s="314">
        <v>1091150</v>
      </c>
      <c r="I4" s="314">
        <v>0</v>
      </c>
      <c r="J4" s="314">
        <v>0</v>
      </c>
      <c r="K4" s="314">
        <v>0</v>
      </c>
      <c r="L4" s="313">
        <v>0</v>
      </c>
      <c r="M4" s="314">
        <v>0</v>
      </c>
      <c r="N4" s="314">
        <v>0</v>
      </c>
      <c r="O4" s="314">
        <v>0</v>
      </c>
      <c r="P4" s="314">
        <v>125000</v>
      </c>
      <c r="Q4" s="314">
        <f t="shared" ref="Q4:Q67" si="0">SUM(O4:P4)</f>
        <v>125000</v>
      </c>
      <c r="R4" s="314">
        <v>0</v>
      </c>
      <c r="S4" s="314">
        <v>0</v>
      </c>
      <c r="T4" s="314">
        <v>1329150</v>
      </c>
    </row>
    <row r="5" spans="1:21" x14ac:dyDescent="0.25">
      <c r="A5" t="s">
        <v>1537</v>
      </c>
      <c r="B5" t="s">
        <v>1536</v>
      </c>
      <c r="C5">
        <v>7175172</v>
      </c>
      <c r="D5">
        <v>2019</v>
      </c>
      <c r="E5" s="314">
        <v>36846</v>
      </c>
      <c r="F5" s="314">
        <v>0</v>
      </c>
      <c r="G5" s="314">
        <v>0</v>
      </c>
      <c r="H5" s="314">
        <v>0</v>
      </c>
      <c r="I5" s="314">
        <v>661000</v>
      </c>
      <c r="J5" s="314">
        <v>0</v>
      </c>
      <c r="K5" s="314">
        <v>549826</v>
      </c>
      <c r="L5" s="313">
        <v>0</v>
      </c>
      <c r="M5" s="314">
        <v>0</v>
      </c>
      <c r="N5" s="314">
        <v>0</v>
      </c>
      <c r="O5" s="314">
        <v>0</v>
      </c>
      <c r="P5" s="314">
        <v>64000</v>
      </c>
      <c r="Q5" s="314">
        <f t="shared" si="0"/>
        <v>64000</v>
      </c>
      <c r="R5" s="314">
        <v>0</v>
      </c>
      <c r="S5" s="314">
        <v>0</v>
      </c>
      <c r="T5" s="314">
        <v>1311672</v>
      </c>
    </row>
    <row r="6" spans="1:21" x14ac:dyDescent="0.25">
      <c r="A6" t="s">
        <v>415</v>
      </c>
      <c r="B6" t="s">
        <v>415</v>
      </c>
      <c r="C6">
        <v>1905494</v>
      </c>
      <c r="D6">
        <v>2019</v>
      </c>
      <c r="E6" s="314">
        <v>225228</v>
      </c>
      <c r="F6" s="314">
        <v>0</v>
      </c>
      <c r="G6" s="314">
        <v>0</v>
      </c>
      <c r="H6" s="314">
        <v>3503800</v>
      </c>
      <c r="I6" s="314">
        <v>0</v>
      </c>
      <c r="J6" s="314">
        <v>0</v>
      </c>
      <c r="K6" s="314">
        <v>0</v>
      </c>
      <c r="L6" s="313">
        <v>0</v>
      </c>
      <c r="M6" s="314">
        <v>0</v>
      </c>
      <c r="N6" s="314">
        <v>0</v>
      </c>
      <c r="O6" s="314">
        <v>0</v>
      </c>
      <c r="P6" s="314">
        <v>2320000</v>
      </c>
      <c r="Q6" s="314">
        <f t="shared" si="0"/>
        <v>2320000</v>
      </c>
      <c r="R6" s="314">
        <v>0</v>
      </c>
      <c r="S6" s="314">
        <v>0</v>
      </c>
      <c r="T6" s="314">
        <v>6049028</v>
      </c>
    </row>
    <row r="7" spans="1:21" x14ac:dyDescent="0.25">
      <c r="A7" t="s">
        <v>358</v>
      </c>
      <c r="B7" t="s">
        <v>358</v>
      </c>
      <c r="C7">
        <v>9223411</v>
      </c>
      <c r="D7">
        <v>2019</v>
      </c>
      <c r="E7" s="314">
        <v>2810</v>
      </c>
      <c r="F7" s="314">
        <v>120000</v>
      </c>
      <c r="G7" s="314">
        <v>0</v>
      </c>
      <c r="H7" s="314">
        <v>1635000</v>
      </c>
      <c r="I7" s="314">
        <v>0</v>
      </c>
      <c r="J7" s="314">
        <v>0</v>
      </c>
      <c r="K7" s="314">
        <v>0</v>
      </c>
      <c r="L7" s="313">
        <v>0</v>
      </c>
      <c r="M7" s="314">
        <v>0</v>
      </c>
      <c r="N7" s="314">
        <v>0</v>
      </c>
      <c r="O7" s="314">
        <v>0</v>
      </c>
      <c r="P7" s="314">
        <v>100000</v>
      </c>
      <c r="Q7" s="314">
        <f t="shared" si="0"/>
        <v>100000</v>
      </c>
      <c r="R7" s="314">
        <v>0</v>
      </c>
      <c r="S7" s="314">
        <v>0</v>
      </c>
      <c r="T7" s="314">
        <v>1857810</v>
      </c>
    </row>
    <row r="8" spans="1:21" x14ac:dyDescent="0.25">
      <c r="A8" t="s">
        <v>1373</v>
      </c>
      <c r="B8" t="s">
        <v>1373</v>
      </c>
      <c r="C8">
        <v>3346325</v>
      </c>
      <c r="D8">
        <v>2019</v>
      </c>
      <c r="E8" s="314">
        <v>0</v>
      </c>
      <c r="F8" s="314">
        <v>175000</v>
      </c>
      <c r="G8" s="314">
        <v>0</v>
      </c>
      <c r="H8" s="314">
        <v>3599970</v>
      </c>
      <c r="I8" s="314">
        <v>0</v>
      </c>
      <c r="J8" s="314">
        <v>0</v>
      </c>
      <c r="K8" s="314">
        <v>0</v>
      </c>
      <c r="L8" s="313">
        <v>0</v>
      </c>
      <c r="M8" s="314">
        <v>0</v>
      </c>
      <c r="N8" s="314">
        <v>0</v>
      </c>
      <c r="O8" s="314">
        <v>38500</v>
      </c>
      <c r="P8" s="314">
        <v>243250</v>
      </c>
      <c r="Q8" s="314">
        <f t="shared" si="0"/>
        <v>281750</v>
      </c>
      <c r="R8" s="314">
        <v>0</v>
      </c>
      <c r="S8" s="314">
        <v>0</v>
      </c>
      <c r="T8" s="314">
        <v>4056720</v>
      </c>
    </row>
    <row r="9" spans="1:21" x14ac:dyDescent="0.25">
      <c r="A9" t="s">
        <v>444</v>
      </c>
      <c r="B9" t="s">
        <v>444</v>
      </c>
      <c r="C9">
        <v>6581899</v>
      </c>
      <c r="D9">
        <v>2019</v>
      </c>
      <c r="E9" s="314">
        <v>0</v>
      </c>
      <c r="F9" s="314">
        <v>0</v>
      </c>
      <c r="G9" s="314">
        <v>0</v>
      </c>
      <c r="H9" s="314">
        <v>11096127</v>
      </c>
      <c r="I9" s="314">
        <v>0</v>
      </c>
      <c r="J9" s="314">
        <v>0</v>
      </c>
      <c r="K9" s="314">
        <v>0</v>
      </c>
      <c r="L9" s="313">
        <v>0</v>
      </c>
      <c r="M9" s="314">
        <v>0</v>
      </c>
      <c r="N9" s="314">
        <v>0</v>
      </c>
      <c r="O9" s="314">
        <v>0</v>
      </c>
      <c r="P9" s="314">
        <v>0</v>
      </c>
      <c r="Q9" s="314">
        <f t="shared" si="0"/>
        <v>0</v>
      </c>
      <c r="R9" s="314">
        <v>0</v>
      </c>
      <c r="S9" s="314">
        <v>0</v>
      </c>
      <c r="T9" s="314">
        <v>11096127</v>
      </c>
    </row>
    <row r="10" spans="1:21" x14ac:dyDescent="0.25">
      <c r="A10" t="s">
        <v>1546</v>
      </c>
      <c r="B10" t="s">
        <v>411</v>
      </c>
      <c r="C10">
        <v>9000002</v>
      </c>
      <c r="D10">
        <v>2019</v>
      </c>
      <c r="E10" s="314">
        <v>653000</v>
      </c>
      <c r="F10" s="314">
        <v>0</v>
      </c>
      <c r="G10" s="314">
        <v>0</v>
      </c>
      <c r="H10" s="314">
        <v>0</v>
      </c>
      <c r="I10" s="314">
        <v>0</v>
      </c>
      <c r="J10" s="314">
        <v>0</v>
      </c>
      <c r="K10" s="314">
        <v>0</v>
      </c>
      <c r="L10" s="313">
        <v>0</v>
      </c>
      <c r="M10" s="314">
        <v>0</v>
      </c>
      <c r="N10" s="314">
        <v>0</v>
      </c>
      <c r="O10" s="314">
        <v>156000</v>
      </c>
      <c r="P10" s="314">
        <v>80000</v>
      </c>
      <c r="Q10" s="314">
        <f t="shared" si="0"/>
        <v>236000</v>
      </c>
      <c r="R10" s="314">
        <v>0</v>
      </c>
      <c r="S10" s="314">
        <v>0</v>
      </c>
      <c r="T10" s="314">
        <v>889000</v>
      </c>
    </row>
    <row r="11" spans="1:21" x14ac:dyDescent="0.25">
      <c r="A11" t="s">
        <v>1287</v>
      </c>
      <c r="B11" t="s">
        <v>353</v>
      </c>
      <c r="C11">
        <v>2333254</v>
      </c>
      <c r="D11">
        <v>2019</v>
      </c>
      <c r="E11" s="314">
        <v>0</v>
      </c>
      <c r="F11" s="314">
        <v>0</v>
      </c>
      <c r="G11" s="314">
        <v>0</v>
      </c>
      <c r="H11" s="314">
        <v>1309890</v>
      </c>
      <c r="I11" s="314">
        <v>0</v>
      </c>
      <c r="J11" s="314">
        <v>0</v>
      </c>
      <c r="K11" s="314">
        <v>0</v>
      </c>
      <c r="L11" s="313">
        <v>0</v>
      </c>
      <c r="M11" s="314">
        <v>0</v>
      </c>
      <c r="N11" s="314">
        <v>0</v>
      </c>
      <c r="O11" s="314">
        <v>14000</v>
      </c>
      <c r="P11" s="314">
        <v>108000</v>
      </c>
      <c r="Q11" s="314">
        <f t="shared" si="0"/>
        <v>122000</v>
      </c>
      <c r="R11" s="314">
        <v>0</v>
      </c>
      <c r="S11" s="314">
        <v>0</v>
      </c>
      <c r="T11" s="314">
        <v>1431890</v>
      </c>
    </row>
    <row r="12" spans="1:21" x14ac:dyDescent="0.25">
      <c r="A12" t="s">
        <v>997</v>
      </c>
      <c r="B12" t="s">
        <v>997</v>
      </c>
      <c r="C12">
        <v>1546097</v>
      </c>
      <c r="D12">
        <v>2019</v>
      </c>
      <c r="E12" s="314">
        <v>0</v>
      </c>
      <c r="F12" s="314">
        <v>0</v>
      </c>
      <c r="G12" s="314">
        <v>0</v>
      </c>
      <c r="H12" s="314">
        <v>21453694</v>
      </c>
      <c r="I12" s="314">
        <v>0</v>
      </c>
      <c r="J12" s="314">
        <v>7701000</v>
      </c>
      <c r="K12" s="314">
        <v>0</v>
      </c>
      <c r="L12" s="313">
        <v>0</v>
      </c>
      <c r="M12" s="314">
        <v>0</v>
      </c>
      <c r="N12" s="314">
        <v>0</v>
      </c>
      <c r="O12" s="314">
        <v>0</v>
      </c>
      <c r="P12" s="314">
        <v>0</v>
      </c>
      <c r="Q12" s="314">
        <f t="shared" si="0"/>
        <v>0</v>
      </c>
      <c r="R12" s="314">
        <v>0</v>
      </c>
      <c r="S12" s="314">
        <v>0</v>
      </c>
      <c r="T12" s="314">
        <v>29154694</v>
      </c>
    </row>
    <row r="13" spans="1:21" x14ac:dyDescent="0.25">
      <c r="A13" t="s">
        <v>435</v>
      </c>
      <c r="B13" t="s">
        <v>435</v>
      </c>
      <c r="C13">
        <v>5651221</v>
      </c>
      <c r="D13">
        <v>2019</v>
      </c>
      <c r="E13" s="314">
        <v>0</v>
      </c>
      <c r="F13" s="314">
        <v>0</v>
      </c>
      <c r="G13" s="314">
        <v>0</v>
      </c>
      <c r="H13" s="314">
        <v>15533685</v>
      </c>
      <c r="I13" s="314">
        <v>0</v>
      </c>
      <c r="J13" s="314">
        <v>0</v>
      </c>
      <c r="K13" s="314">
        <v>0</v>
      </c>
      <c r="L13" s="313">
        <v>0</v>
      </c>
      <c r="M13" s="314">
        <v>0</v>
      </c>
      <c r="N13" s="314">
        <v>0</v>
      </c>
      <c r="O13" s="314">
        <v>0</v>
      </c>
      <c r="P13" s="314">
        <v>0</v>
      </c>
      <c r="Q13" s="314">
        <f t="shared" si="0"/>
        <v>0</v>
      </c>
      <c r="R13" s="314">
        <v>0</v>
      </c>
      <c r="S13" s="314">
        <v>0</v>
      </c>
      <c r="T13" s="314">
        <v>15533685</v>
      </c>
    </row>
    <row r="14" spans="1:21" x14ac:dyDescent="0.25">
      <c r="A14" t="s">
        <v>506</v>
      </c>
      <c r="B14" t="s">
        <v>506</v>
      </c>
      <c r="C14">
        <v>9445282</v>
      </c>
      <c r="D14">
        <v>2019</v>
      </c>
      <c r="E14" s="314">
        <v>0</v>
      </c>
      <c r="F14" s="314">
        <v>0</v>
      </c>
      <c r="G14" s="314">
        <v>0</v>
      </c>
      <c r="H14" s="314">
        <v>15516867</v>
      </c>
      <c r="I14" s="314">
        <v>0</v>
      </c>
      <c r="J14" s="314">
        <v>6999000</v>
      </c>
      <c r="K14" s="314">
        <v>0</v>
      </c>
      <c r="L14" s="313">
        <v>0</v>
      </c>
      <c r="M14" s="314">
        <v>0</v>
      </c>
      <c r="N14" s="314">
        <v>0</v>
      </c>
      <c r="O14" s="314">
        <v>0</v>
      </c>
      <c r="P14" s="314">
        <v>0</v>
      </c>
      <c r="Q14" s="314">
        <f t="shared" si="0"/>
        <v>0</v>
      </c>
      <c r="R14" s="314">
        <v>0</v>
      </c>
      <c r="S14" s="314">
        <v>0</v>
      </c>
      <c r="T14" s="314">
        <v>22515867</v>
      </c>
    </row>
    <row r="15" spans="1:21" x14ac:dyDescent="0.25">
      <c r="A15" t="s">
        <v>225</v>
      </c>
      <c r="B15" t="s">
        <v>375</v>
      </c>
      <c r="C15">
        <v>1806042</v>
      </c>
      <c r="D15">
        <v>2019</v>
      </c>
      <c r="E15" s="314">
        <v>0</v>
      </c>
      <c r="F15" s="314">
        <v>130000</v>
      </c>
      <c r="G15" s="314">
        <v>0</v>
      </c>
      <c r="H15" s="314">
        <v>2917940</v>
      </c>
      <c r="I15" s="314">
        <v>0</v>
      </c>
      <c r="J15" s="314">
        <v>0</v>
      </c>
      <c r="K15" s="314">
        <v>0</v>
      </c>
      <c r="L15" s="313">
        <v>0</v>
      </c>
      <c r="M15" s="314">
        <v>0</v>
      </c>
      <c r="N15" s="314">
        <v>0</v>
      </c>
      <c r="O15" s="314">
        <v>8800</v>
      </c>
      <c r="P15" s="314">
        <v>80000</v>
      </c>
      <c r="Q15" s="314">
        <f t="shared" si="0"/>
        <v>88800</v>
      </c>
      <c r="R15" s="314">
        <v>0</v>
      </c>
      <c r="S15" s="314">
        <v>0</v>
      </c>
      <c r="T15" s="314">
        <v>3136740</v>
      </c>
    </row>
    <row r="16" spans="1:21" x14ac:dyDescent="0.25">
      <c r="A16" t="s">
        <v>1438</v>
      </c>
      <c r="B16" t="s">
        <v>375</v>
      </c>
      <c r="C16">
        <v>6361701</v>
      </c>
      <c r="D16">
        <v>2019</v>
      </c>
      <c r="E16" s="314">
        <v>26897</v>
      </c>
      <c r="F16" s="314">
        <v>0</v>
      </c>
      <c r="G16" s="314">
        <v>0</v>
      </c>
      <c r="H16" s="314">
        <v>0</v>
      </c>
      <c r="I16" s="314">
        <v>0</v>
      </c>
      <c r="J16" s="314">
        <v>0</v>
      </c>
      <c r="K16" s="314">
        <v>1104712</v>
      </c>
      <c r="L16" s="313">
        <v>0</v>
      </c>
      <c r="M16" s="314">
        <v>0</v>
      </c>
      <c r="N16" s="314">
        <v>0</v>
      </c>
      <c r="O16" s="314">
        <v>8800</v>
      </c>
      <c r="P16" s="314">
        <v>80000</v>
      </c>
      <c r="Q16" s="314">
        <f t="shared" si="0"/>
        <v>88800</v>
      </c>
      <c r="R16" s="314">
        <v>0</v>
      </c>
      <c r="S16" s="314">
        <v>5000</v>
      </c>
      <c r="T16" s="314">
        <v>1225409</v>
      </c>
    </row>
    <row r="17" spans="1:20" x14ac:dyDescent="0.25">
      <c r="A17" t="s">
        <v>1375</v>
      </c>
      <c r="B17" t="s">
        <v>375</v>
      </c>
      <c r="C17">
        <v>6447139</v>
      </c>
      <c r="D17">
        <v>2019</v>
      </c>
      <c r="E17" s="314">
        <v>0</v>
      </c>
      <c r="F17" s="314">
        <v>134000</v>
      </c>
      <c r="G17" s="314">
        <v>0</v>
      </c>
      <c r="H17" s="314">
        <v>1711240</v>
      </c>
      <c r="I17" s="314">
        <v>0</v>
      </c>
      <c r="J17" s="314">
        <v>0</v>
      </c>
      <c r="K17" s="314">
        <v>0</v>
      </c>
      <c r="L17" s="313">
        <v>0</v>
      </c>
      <c r="M17" s="314">
        <v>0</v>
      </c>
      <c r="N17" s="314">
        <v>0</v>
      </c>
      <c r="O17" s="314">
        <v>31800</v>
      </c>
      <c r="P17" s="314">
        <v>125000</v>
      </c>
      <c r="Q17" s="314">
        <f t="shared" si="0"/>
        <v>156800</v>
      </c>
      <c r="R17" s="314">
        <v>0</v>
      </c>
      <c r="S17" s="314">
        <v>10000</v>
      </c>
      <c r="T17" s="314">
        <v>2012040</v>
      </c>
    </row>
    <row r="18" spans="1:20" x14ac:dyDescent="0.25">
      <c r="A18" t="s">
        <v>700</v>
      </c>
      <c r="B18" t="s">
        <v>375</v>
      </c>
      <c r="C18">
        <v>7790627</v>
      </c>
      <c r="D18">
        <v>2019</v>
      </c>
      <c r="E18" s="314">
        <v>0</v>
      </c>
      <c r="F18" s="314">
        <v>0</v>
      </c>
      <c r="G18" s="314">
        <v>0</v>
      </c>
      <c r="H18" s="314">
        <v>0</v>
      </c>
      <c r="I18" s="314">
        <v>0</v>
      </c>
      <c r="J18" s="314">
        <v>0</v>
      </c>
      <c r="K18" s="314">
        <v>2209208</v>
      </c>
      <c r="L18" s="313">
        <v>0</v>
      </c>
      <c r="M18" s="314">
        <v>0</v>
      </c>
      <c r="N18" s="314">
        <v>0</v>
      </c>
      <c r="O18" s="314">
        <v>8800</v>
      </c>
      <c r="P18" s="314">
        <v>80000</v>
      </c>
      <c r="Q18" s="314">
        <f t="shared" si="0"/>
        <v>88800</v>
      </c>
      <c r="R18" s="314">
        <v>0</v>
      </c>
      <c r="S18" s="314">
        <v>0</v>
      </c>
      <c r="T18" s="314">
        <v>2298008</v>
      </c>
    </row>
    <row r="19" spans="1:20" x14ac:dyDescent="0.25">
      <c r="A19" t="s">
        <v>287</v>
      </c>
      <c r="B19" t="s">
        <v>375</v>
      </c>
      <c r="C19">
        <v>8090757</v>
      </c>
      <c r="D19">
        <v>2019</v>
      </c>
      <c r="E19" s="314">
        <v>0</v>
      </c>
      <c r="F19" s="314">
        <v>148000</v>
      </c>
      <c r="G19" s="314">
        <v>0</v>
      </c>
      <c r="H19" s="314">
        <v>1859500</v>
      </c>
      <c r="I19" s="314">
        <v>0</v>
      </c>
      <c r="J19" s="314">
        <v>0</v>
      </c>
      <c r="K19" s="314">
        <v>0</v>
      </c>
      <c r="L19" s="313">
        <v>0</v>
      </c>
      <c r="M19" s="314">
        <v>0</v>
      </c>
      <c r="N19" s="314">
        <v>0</v>
      </c>
      <c r="O19" s="314">
        <v>8800</v>
      </c>
      <c r="P19" s="314">
        <v>80000</v>
      </c>
      <c r="Q19" s="314">
        <f t="shared" si="0"/>
        <v>88800</v>
      </c>
      <c r="R19" s="314">
        <v>0</v>
      </c>
      <c r="S19" s="314">
        <v>0</v>
      </c>
      <c r="T19" s="314">
        <v>2096300</v>
      </c>
    </row>
    <row r="20" spans="1:20" x14ac:dyDescent="0.25">
      <c r="A20" t="s">
        <v>1460</v>
      </c>
      <c r="B20" t="s">
        <v>1056</v>
      </c>
      <c r="C20">
        <v>1537615</v>
      </c>
      <c r="D20">
        <v>2019</v>
      </c>
      <c r="E20" s="314">
        <v>0</v>
      </c>
      <c r="F20" s="314">
        <v>235948</v>
      </c>
      <c r="G20" s="314">
        <v>0</v>
      </c>
      <c r="H20" s="314">
        <v>2712120</v>
      </c>
      <c r="I20" s="314">
        <v>0</v>
      </c>
      <c r="J20" s="314">
        <v>0</v>
      </c>
      <c r="K20" s="314">
        <v>0</v>
      </c>
      <c r="L20" s="313">
        <v>0</v>
      </c>
      <c r="M20" s="314">
        <v>0</v>
      </c>
      <c r="N20" s="314">
        <v>0</v>
      </c>
      <c r="O20" s="314">
        <v>2000</v>
      </c>
      <c r="P20" s="314">
        <v>395000</v>
      </c>
      <c r="Q20" s="314">
        <f t="shared" si="0"/>
        <v>397000</v>
      </c>
      <c r="R20" s="314">
        <v>667000</v>
      </c>
      <c r="S20" s="314">
        <v>0</v>
      </c>
      <c r="T20" s="314">
        <v>4012068</v>
      </c>
    </row>
    <row r="21" spans="1:20" x14ac:dyDescent="0.25">
      <c r="A21" t="s">
        <v>1530</v>
      </c>
      <c r="B21" t="s">
        <v>1529</v>
      </c>
      <c r="C21">
        <v>5002625</v>
      </c>
      <c r="D21">
        <v>2019</v>
      </c>
      <c r="E21" s="314">
        <v>0</v>
      </c>
      <c r="F21" s="314">
        <v>0</v>
      </c>
      <c r="G21" s="314">
        <v>0</v>
      </c>
      <c r="H21" s="314">
        <v>0</v>
      </c>
      <c r="I21" s="314">
        <v>541190</v>
      </c>
      <c r="J21" s="314">
        <v>0</v>
      </c>
      <c r="K21" s="314">
        <v>0</v>
      </c>
      <c r="L21" s="313">
        <v>0</v>
      </c>
      <c r="M21" s="314">
        <v>0</v>
      </c>
      <c r="N21" s="314">
        <v>0</v>
      </c>
      <c r="O21" s="314">
        <v>0</v>
      </c>
      <c r="P21" s="314">
        <v>0</v>
      </c>
      <c r="Q21" s="314">
        <f t="shared" si="0"/>
        <v>0</v>
      </c>
      <c r="R21" s="314">
        <v>0</v>
      </c>
      <c r="S21" s="314">
        <v>0</v>
      </c>
      <c r="T21" s="314">
        <v>541190</v>
      </c>
    </row>
    <row r="22" spans="1:20" x14ac:dyDescent="0.25">
      <c r="A22" t="s">
        <v>1095</v>
      </c>
      <c r="B22" t="s">
        <v>312</v>
      </c>
      <c r="C22">
        <v>6191102</v>
      </c>
      <c r="D22">
        <v>2019</v>
      </c>
      <c r="E22" s="314">
        <v>19273</v>
      </c>
      <c r="F22" s="314">
        <v>45063</v>
      </c>
      <c r="G22" s="314">
        <v>0</v>
      </c>
      <c r="H22" s="314">
        <v>527000</v>
      </c>
      <c r="I22" s="314">
        <v>0</v>
      </c>
      <c r="J22" s="314">
        <v>0</v>
      </c>
      <c r="K22" s="314">
        <v>0</v>
      </c>
      <c r="L22" s="313">
        <v>0</v>
      </c>
      <c r="M22" s="314">
        <v>0</v>
      </c>
      <c r="N22" s="314">
        <v>0</v>
      </c>
      <c r="O22" s="314">
        <v>0</v>
      </c>
      <c r="P22" s="314">
        <v>0</v>
      </c>
      <c r="Q22" s="314">
        <f t="shared" si="0"/>
        <v>0</v>
      </c>
      <c r="R22" s="314">
        <v>0</v>
      </c>
      <c r="S22" s="314">
        <v>0</v>
      </c>
      <c r="T22" s="314">
        <v>591336</v>
      </c>
    </row>
    <row r="23" spans="1:20" x14ac:dyDescent="0.25">
      <c r="A23" t="s">
        <v>231</v>
      </c>
      <c r="B23" t="s">
        <v>1145</v>
      </c>
      <c r="C23">
        <v>7365832</v>
      </c>
      <c r="D23">
        <v>2019</v>
      </c>
      <c r="E23" s="314">
        <v>0</v>
      </c>
      <c r="F23" s="314">
        <v>0</v>
      </c>
      <c r="G23" s="314">
        <v>0</v>
      </c>
      <c r="H23" s="314">
        <v>851000</v>
      </c>
      <c r="I23" s="314">
        <v>0</v>
      </c>
      <c r="J23" s="314">
        <v>0</v>
      </c>
      <c r="K23" s="314">
        <v>0</v>
      </c>
      <c r="L23" s="313">
        <v>0</v>
      </c>
      <c r="M23" s="314">
        <v>0</v>
      </c>
      <c r="N23" s="314">
        <v>0</v>
      </c>
      <c r="O23" s="314">
        <v>0</v>
      </c>
      <c r="P23" s="314">
        <v>700000</v>
      </c>
      <c r="Q23" s="314">
        <f t="shared" si="0"/>
        <v>700000</v>
      </c>
      <c r="R23" s="314">
        <v>0</v>
      </c>
      <c r="S23" s="314">
        <v>0</v>
      </c>
      <c r="T23" s="314">
        <v>1551000</v>
      </c>
    </row>
    <row r="24" spans="1:20" x14ac:dyDescent="0.25">
      <c r="A24" t="s">
        <v>393</v>
      </c>
      <c r="B24" t="s">
        <v>480</v>
      </c>
      <c r="C24">
        <v>7663376</v>
      </c>
      <c r="D24">
        <v>2019</v>
      </c>
      <c r="E24" s="314">
        <v>0</v>
      </c>
      <c r="F24" s="314">
        <v>0</v>
      </c>
      <c r="G24" s="314">
        <v>0</v>
      </c>
      <c r="H24" s="314">
        <v>2657677</v>
      </c>
      <c r="I24" s="314">
        <v>0</v>
      </c>
      <c r="J24" s="314">
        <v>0</v>
      </c>
      <c r="K24" s="314">
        <v>0</v>
      </c>
      <c r="L24" s="313">
        <v>0</v>
      </c>
      <c r="M24" s="314">
        <v>0</v>
      </c>
      <c r="N24" s="314">
        <v>0</v>
      </c>
      <c r="O24" s="314">
        <v>0</v>
      </c>
      <c r="P24" s="314">
        <v>0</v>
      </c>
      <c r="Q24" s="314">
        <f t="shared" si="0"/>
        <v>0</v>
      </c>
      <c r="R24" s="314">
        <v>0</v>
      </c>
      <c r="S24" s="314">
        <v>0</v>
      </c>
      <c r="T24" s="314">
        <v>2657677</v>
      </c>
    </row>
    <row r="25" spans="1:20" x14ac:dyDescent="0.25">
      <c r="A25" t="s">
        <v>1219</v>
      </c>
      <c r="B25" t="s">
        <v>753</v>
      </c>
      <c r="C25">
        <v>9097155</v>
      </c>
      <c r="D25">
        <v>2019</v>
      </c>
      <c r="E25" s="314">
        <v>489256</v>
      </c>
      <c r="F25" s="314">
        <v>0</v>
      </c>
      <c r="G25" s="314">
        <v>0</v>
      </c>
      <c r="H25" s="314">
        <v>3450082</v>
      </c>
      <c r="I25" s="314">
        <v>0</v>
      </c>
      <c r="J25" s="314">
        <v>0</v>
      </c>
      <c r="K25" s="314">
        <v>0</v>
      </c>
      <c r="L25" s="313">
        <v>0</v>
      </c>
      <c r="M25" s="314">
        <v>0</v>
      </c>
      <c r="N25" s="314">
        <v>0</v>
      </c>
      <c r="O25" s="314">
        <v>185000</v>
      </c>
      <c r="P25" s="314">
        <v>870000</v>
      </c>
      <c r="Q25" s="314">
        <f t="shared" si="0"/>
        <v>1055000</v>
      </c>
      <c r="R25" s="314">
        <v>0</v>
      </c>
      <c r="S25" s="314">
        <v>0</v>
      </c>
      <c r="T25" s="314">
        <v>4994338</v>
      </c>
    </row>
    <row r="26" spans="1:20" x14ac:dyDescent="0.25">
      <c r="A26" t="s">
        <v>1547</v>
      </c>
      <c r="B26" t="s">
        <v>776</v>
      </c>
      <c r="C26">
        <v>9000003</v>
      </c>
      <c r="D26">
        <v>2019</v>
      </c>
      <c r="E26" s="314">
        <v>2200000</v>
      </c>
      <c r="F26" s="314">
        <v>0</v>
      </c>
      <c r="G26" s="314">
        <v>0</v>
      </c>
      <c r="H26" s="314">
        <v>0</v>
      </c>
      <c r="I26" s="314">
        <v>0</v>
      </c>
      <c r="J26" s="314">
        <v>0</v>
      </c>
      <c r="K26" s="314">
        <v>0</v>
      </c>
      <c r="L26" s="313">
        <v>0</v>
      </c>
      <c r="M26" s="314">
        <v>0</v>
      </c>
      <c r="N26" s="314">
        <v>0</v>
      </c>
      <c r="O26" s="314">
        <v>0</v>
      </c>
      <c r="P26" s="314">
        <v>0</v>
      </c>
      <c r="Q26" s="314">
        <f t="shared" si="0"/>
        <v>0</v>
      </c>
      <c r="R26" s="314">
        <v>65059</v>
      </c>
      <c r="S26" s="314">
        <v>50000</v>
      </c>
      <c r="T26" s="314">
        <v>2315059</v>
      </c>
    </row>
    <row r="27" spans="1:20" x14ac:dyDescent="0.25">
      <c r="A27" t="s">
        <v>792</v>
      </c>
      <c r="B27" t="s">
        <v>805</v>
      </c>
      <c r="C27">
        <v>9554713</v>
      </c>
      <c r="D27">
        <v>2019</v>
      </c>
      <c r="E27" s="314">
        <v>0</v>
      </c>
      <c r="F27" s="314">
        <v>0</v>
      </c>
      <c r="G27" s="314">
        <v>0</v>
      </c>
      <c r="H27" s="314">
        <v>5320660</v>
      </c>
      <c r="I27" s="314">
        <v>0</v>
      </c>
      <c r="J27" s="314">
        <v>0</v>
      </c>
      <c r="K27" s="314">
        <v>0</v>
      </c>
      <c r="L27" s="313">
        <v>0</v>
      </c>
      <c r="M27" s="314">
        <v>0</v>
      </c>
      <c r="N27" s="314">
        <v>0</v>
      </c>
      <c r="O27" s="314">
        <v>563000</v>
      </c>
      <c r="P27" s="314">
        <v>308500</v>
      </c>
      <c r="Q27" s="314">
        <f t="shared" si="0"/>
        <v>871500</v>
      </c>
      <c r="R27" s="314">
        <v>0</v>
      </c>
      <c r="S27" s="314">
        <v>0</v>
      </c>
      <c r="T27" s="314">
        <v>6192160</v>
      </c>
    </row>
    <row r="28" spans="1:20" x14ac:dyDescent="0.25">
      <c r="A28" t="s">
        <v>467</v>
      </c>
      <c r="B28" t="s">
        <v>467</v>
      </c>
      <c r="C28">
        <v>2749776</v>
      </c>
      <c r="D28">
        <v>2019</v>
      </c>
      <c r="E28" s="314">
        <v>0</v>
      </c>
      <c r="F28" s="314">
        <v>0</v>
      </c>
      <c r="G28" s="314">
        <v>0</v>
      </c>
      <c r="H28" s="314">
        <v>5637181</v>
      </c>
      <c r="I28" s="314">
        <v>0</v>
      </c>
      <c r="J28" s="314">
        <v>2938000</v>
      </c>
      <c r="K28" s="314">
        <v>0</v>
      </c>
      <c r="L28" s="313">
        <v>0</v>
      </c>
      <c r="M28" s="314">
        <v>0</v>
      </c>
      <c r="N28" s="314">
        <v>0</v>
      </c>
      <c r="O28" s="314">
        <v>0</v>
      </c>
      <c r="P28" s="314">
        <v>0</v>
      </c>
      <c r="Q28" s="314">
        <f t="shared" si="0"/>
        <v>0</v>
      </c>
      <c r="R28" s="314">
        <v>0</v>
      </c>
      <c r="S28" s="314">
        <v>0</v>
      </c>
      <c r="T28" s="314">
        <v>8575181</v>
      </c>
    </row>
    <row r="29" spans="1:20" x14ac:dyDescent="0.25">
      <c r="A29" t="s">
        <v>1383</v>
      </c>
      <c r="B29" t="s">
        <v>776</v>
      </c>
      <c r="C29">
        <v>1236570</v>
      </c>
      <c r="D29">
        <v>2019</v>
      </c>
      <c r="E29" s="314">
        <v>0</v>
      </c>
      <c r="F29" s="314">
        <v>0</v>
      </c>
      <c r="G29" s="314">
        <v>0</v>
      </c>
      <c r="H29" s="314">
        <v>900000</v>
      </c>
      <c r="I29" s="314">
        <v>0</v>
      </c>
      <c r="J29" s="314">
        <v>0</v>
      </c>
      <c r="K29" s="314">
        <v>7324486</v>
      </c>
      <c r="L29" s="313">
        <v>123880</v>
      </c>
      <c r="M29" s="314">
        <v>0</v>
      </c>
      <c r="N29" s="314">
        <v>0</v>
      </c>
      <c r="O29" s="314">
        <v>0</v>
      </c>
      <c r="P29" s="314">
        <v>1830000</v>
      </c>
      <c r="Q29" s="314">
        <f t="shared" si="0"/>
        <v>1830000</v>
      </c>
      <c r="R29" s="314">
        <v>126000</v>
      </c>
      <c r="S29" s="314">
        <v>0</v>
      </c>
      <c r="T29" s="314">
        <v>10304366</v>
      </c>
    </row>
    <row r="30" spans="1:20" x14ac:dyDescent="0.25">
      <c r="A30" t="s">
        <v>390</v>
      </c>
      <c r="B30" t="s">
        <v>947</v>
      </c>
      <c r="C30">
        <v>4381530</v>
      </c>
      <c r="D30">
        <v>2019</v>
      </c>
      <c r="E30" s="314">
        <v>0</v>
      </c>
      <c r="F30" s="314">
        <v>0</v>
      </c>
      <c r="G30" s="314">
        <v>0</v>
      </c>
      <c r="H30" s="314">
        <v>12144452</v>
      </c>
      <c r="I30" s="314">
        <v>0</v>
      </c>
      <c r="J30" s="314">
        <v>0</v>
      </c>
      <c r="K30" s="314">
        <v>0</v>
      </c>
      <c r="L30" s="313">
        <v>0</v>
      </c>
      <c r="M30" s="314">
        <v>0</v>
      </c>
      <c r="N30" s="314">
        <v>0</v>
      </c>
      <c r="O30" s="314">
        <v>0</v>
      </c>
      <c r="P30" s="314">
        <v>4524544</v>
      </c>
      <c r="Q30" s="314">
        <f t="shared" si="0"/>
        <v>4524544</v>
      </c>
      <c r="R30" s="314">
        <v>0</v>
      </c>
      <c r="S30" s="314">
        <v>0</v>
      </c>
      <c r="T30" s="314">
        <v>16668996</v>
      </c>
    </row>
    <row r="31" spans="1:20" x14ac:dyDescent="0.25">
      <c r="A31" t="s">
        <v>769</v>
      </c>
      <c r="B31" t="s">
        <v>947</v>
      </c>
      <c r="C31">
        <v>5703553</v>
      </c>
      <c r="D31">
        <v>2019</v>
      </c>
      <c r="E31" s="314">
        <v>0</v>
      </c>
      <c r="F31" s="314">
        <v>0</v>
      </c>
      <c r="G31" s="314">
        <v>0</v>
      </c>
      <c r="H31" s="314">
        <v>1909423</v>
      </c>
      <c r="I31" s="314">
        <v>0</v>
      </c>
      <c r="J31" s="314">
        <v>0</v>
      </c>
      <c r="K31" s="314">
        <v>0</v>
      </c>
      <c r="L31" s="313">
        <v>0</v>
      </c>
      <c r="M31" s="314">
        <v>0</v>
      </c>
      <c r="N31" s="314">
        <v>0</v>
      </c>
      <c r="O31" s="314">
        <v>0</v>
      </c>
      <c r="P31" s="314">
        <v>113447</v>
      </c>
      <c r="Q31" s="314">
        <f t="shared" si="0"/>
        <v>113447</v>
      </c>
      <c r="R31" s="314">
        <v>0</v>
      </c>
      <c r="S31" s="314">
        <v>0</v>
      </c>
      <c r="T31" s="314">
        <v>2022870</v>
      </c>
    </row>
    <row r="32" spans="1:20" x14ac:dyDescent="0.25">
      <c r="A32" t="s">
        <v>1147</v>
      </c>
      <c r="B32" t="s">
        <v>580</v>
      </c>
      <c r="C32">
        <v>7566271</v>
      </c>
      <c r="D32">
        <v>2019</v>
      </c>
      <c r="E32" s="314">
        <v>0</v>
      </c>
      <c r="F32" s="314">
        <v>0</v>
      </c>
      <c r="G32" s="314">
        <v>0</v>
      </c>
      <c r="H32" s="314">
        <v>7415268</v>
      </c>
      <c r="I32" s="314">
        <v>0</v>
      </c>
      <c r="J32" s="314">
        <v>0</v>
      </c>
      <c r="K32" s="314">
        <v>0</v>
      </c>
      <c r="L32" s="313">
        <v>0</v>
      </c>
      <c r="M32" s="314">
        <v>0</v>
      </c>
      <c r="N32" s="314">
        <v>0</v>
      </c>
      <c r="O32" s="314">
        <v>0</v>
      </c>
      <c r="P32" s="314">
        <v>1120000</v>
      </c>
      <c r="Q32" s="314">
        <f t="shared" si="0"/>
        <v>1120000</v>
      </c>
      <c r="R32" s="314">
        <v>0</v>
      </c>
      <c r="S32" s="314">
        <v>0</v>
      </c>
      <c r="T32" s="314">
        <v>8535268</v>
      </c>
    </row>
    <row r="33" spans="1:20" x14ac:dyDescent="0.25">
      <c r="A33" t="s">
        <v>857</v>
      </c>
      <c r="B33" t="s">
        <v>857</v>
      </c>
      <c r="C33">
        <v>9924639</v>
      </c>
      <c r="D33">
        <v>2019</v>
      </c>
      <c r="E33" s="314">
        <v>0</v>
      </c>
      <c r="F33" s="314">
        <v>0</v>
      </c>
      <c r="G33" s="314">
        <v>0</v>
      </c>
      <c r="H33" s="314">
        <v>3000000</v>
      </c>
      <c r="I33" s="314">
        <v>0</v>
      </c>
      <c r="J33" s="314">
        <v>0</v>
      </c>
      <c r="K33" s="314">
        <v>0</v>
      </c>
      <c r="L33" s="313">
        <v>0</v>
      </c>
      <c r="M33" s="314">
        <v>0</v>
      </c>
      <c r="N33" s="314">
        <v>0</v>
      </c>
      <c r="O33" s="314">
        <v>62000</v>
      </c>
      <c r="P33" s="314">
        <v>5900000</v>
      </c>
      <c r="Q33" s="314">
        <f t="shared" si="0"/>
        <v>5962000</v>
      </c>
      <c r="R33" s="314">
        <v>0</v>
      </c>
      <c r="S33" s="314">
        <v>0</v>
      </c>
      <c r="T33" s="314">
        <v>8962000</v>
      </c>
    </row>
    <row r="34" spans="1:20" x14ac:dyDescent="0.25">
      <c r="A34" t="s">
        <v>386</v>
      </c>
      <c r="B34" t="s">
        <v>626</v>
      </c>
      <c r="C34">
        <v>7702105</v>
      </c>
      <c r="D34">
        <v>2019</v>
      </c>
      <c r="E34" s="314">
        <v>0</v>
      </c>
      <c r="F34" s="314">
        <v>0</v>
      </c>
      <c r="G34" s="314">
        <v>0</v>
      </c>
      <c r="H34" s="314">
        <v>1013735</v>
      </c>
      <c r="I34" s="314">
        <v>0</v>
      </c>
      <c r="J34" s="314">
        <v>0</v>
      </c>
      <c r="K34" s="314">
        <v>0</v>
      </c>
      <c r="L34" s="313">
        <v>0</v>
      </c>
      <c r="M34" s="314">
        <v>0</v>
      </c>
      <c r="N34" s="314">
        <v>0</v>
      </c>
      <c r="O34" s="314">
        <v>0</v>
      </c>
      <c r="P34" s="314">
        <v>0</v>
      </c>
      <c r="Q34" s="314">
        <f t="shared" si="0"/>
        <v>0</v>
      </c>
      <c r="R34" s="314">
        <v>0</v>
      </c>
      <c r="S34" s="314">
        <v>0</v>
      </c>
      <c r="T34" s="314">
        <v>1013735</v>
      </c>
    </row>
    <row r="35" spans="1:20" x14ac:dyDescent="0.25">
      <c r="A35" t="s">
        <v>868</v>
      </c>
      <c r="B35" t="s">
        <v>868</v>
      </c>
      <c r="C35">
        <v>9583114</v>
      </c>
      <c r="D35">
        <v>2019</v>
      </c>
      <c r="E35" s="314">
        <v>0</v>
      </c>
      <c r="F35" s="314">
        <v>0</v>
      </c>
      <c r="G35" s="314">
        <v>0</v>
      </c>
      <c r="H35" s="314">
        <v>144000</v>
      </c>
      <c r="I35" s="314">
        <v>0</v>
      </c>
      <c r="J35" s="314">
        <v>0</v>
      </c>
      <c r="K35" s="314">
        <v>0</v>
      </c>
      <c r="L35" s="313">
        <v>0</v>
      </c>
      <c r="M35" s="314">
        <v>0</v>
      </c>
      <c r="N35" s="314">
        <v>0</v>
      </c>
      <c r="O35" s="314">
        <v>0</v>
      </c>
      <c r="P35" s="314">
        <v>992500</v>
      </c>
      <c r="Q35" s="314">
        <f t="shared" si="0"/>
        <v>992500</v>
      </c>
      <c r="R35" s="314">
        <v>0</v>
      </c>
      <c r="S35" s="314">
        <v>0</v>
      </c>
      <c r="T35" s="314">
        <v>1136500</v>
      </c>
    </row>
    <row r="36" spans="1:20" x14ac:dyDescent="0.25">
      <c r="A36" t="s">
        <v>647</v>
      </c>
      <c r="B36" t="s">
        <v>647</v>
      </c>
      <c r="C36">
        <v>1272659</v>
      </c>
      <c r="D36">
        <v>2019</v>
      </c>
      <c r="E36" s="314">
        <v>0</v>
      </c>
      <c r="F36" s="314">
        <v>0</v>
      </c>
      <c r="G36" s="314">
        <v>0</v>
      </c>
      <c r="H36" s="314">
        <v>201040</v>
      </c>
      <c r="I36" s="314">
        <v>0</v>
      </c>
      <c r="J36" s="314">
        <v>0</v>
      </c>
      <c r="K36" s="314">
        <v>0</v>
      </c>
      <c r="L36" s="313">
        <v>0</v>
      </c>
      <c r="M36" s="314">
        <v>0</v>
      </c>
      <c r="N36" s="314">
        <v>0</v>
      </c>
      <c r="O36" s="314">
        <v>0</v>
      </c>
      <c r="P36" s="314">
        <v>0</v>
      </c>
      <c r="Q36" s="314">
        <f t="shared" si="0"/>
        <v>0</v>
      </c>
      <c r="R36" s="314">
        <v>0</v>
      </c>
      <c r="S36" s="314">
        <v>0</v>
      </c>
      <c r="T36" s="314">
        <v>201040</v>
      </c>
    </row>
    <row r="37" spans="1:20" x14ac:dyDescent="0.25">
      <c r="A37" t="s">
        <v>1259</v>
      </c>
      <c r="B37" t="s">
        <v>678</v>
      </c>
      <c r="C37">
        <v>1817339</v>
      </c>
      <c r="D37">
        <v>2019</v>
      </c>
      <c r="E37" s="314">
        <v>0</v>
      </c>
      <c r="F37" s="314">
        <v>0</v>
      </c>
      <c r="G37" s="314">
        <v>0</v>
      </c>
      <c r="H37" s="314">
        <v>1751320</v>
      </c>
      <c r="I37" s="314">
        <v>0</v>
      </c>
      <c r="J37" s="314">
        <v>0</v>
      </c>
      <c r="K37" s="314">
        <v>0</v>
      </c>
      <c r="L37" s="313">
        <v>0</v>
      </c>
      <c r="M37" s="314">
        <v>0</v>
      </c>
      <c r="N37" s="314">
        <v>0</v>
      </c>
      <c r="O37" s="314">
        <v>0</v>
      </c>
      <c r="P37" s="314">
        <v>4161580</v>
      </c>
      <c r="Q37" s="314">
        <f t="shared" si="0"/>
        <v>4161580</v>
      </c>
      <c r="R37" s="314">
        <v>0</v>
      </c>
      <c r="S37" s="314">
        <v>0</v>
      </c>
      <c r="T37" s="314">
        <v>5912900</v>
      </c>
    </row>
    <row r="38" spans="1:20" x14ac:dyDescent="0.25">
      <c r="A38" t="s">
        <v>386</v>
      </c>
      <c r="B38" t="s">
        <v>1175</v>
      </c>
      <c r="C38">
        <v>1686476</v>
      </c>
      <c r="D38">
        <v>2019</v>
      </c>
      <c r="E38" s="314">
        <v>0</v>
      </c>
      <c r="F38" s="314">
        <v>0</v>
      </c>
      <c r="G38" s="314">
        <v>0</v>
      </c>
      <c r="H38" s="314">
        <v>5251868</v>
      </c>
      <c r="I38" s="314">
        <v>0</v>
      </c>
      <c r="J38" s="314">
        <v>0</v>
      </c>
      <c r="K38" s="314">
        <v>0</v>
      </c>
      <c r="L38" s="313">
        <v>0</v>
      </c>
      <c r="M38" s="314">
        <v>0</v>
      </c>
      <c r="N38" s="314">
        <v>0</v>
      </c>
      <c r="O38" s="314">
        <v>0</v>
      </c>
      <c r="P38" s="314">
        <v>4235000</v>
      </c>
      <c r="Q38" s="314">
        <f t="shared" si="0"/>
        <v>4235000</v>
      </c>
      <c r="R38" s="314">
        <v>0</v>
      </c>
      <c r="S38" s="314">
        <v>0</v>
      </c>
      <c r="T38" s="314">
        <v>9486868</v>
      </c>
    </row>
    <row r="39" spans="1:20" x14ac:dyDescent="0.25">
      <c r="A39" t="s">
        <v>1113</v>
      </c>
      <c r="B39" t="s">
        <v>1113</v>
      </c>
      <c r="C39">
        <v>5539112</v>
      </c>
      <c r="D39">
        <v>2019</v>
      </c>
      <c r="E39" s="314">
        <v>0</v>
      </c>
      <c r="F39" s="314">
        <v>0</v>
      </c>
      <c r="G39" s="314">
        <v>0</v>
      </c>
      <c r="H39" s="314">
        <v>2171123</v>
      </c>
      <c r="I39" s="314">
        <v>0</v>
      </c>
      <c r="J39" s="314">
        <v>0</v>
      </c>
      <c r="K39" s="314">
        <v>0</v>
      </c>
      <c r="L39" s="313">
        <v>0</v>
      </c>
      <c r="M39" s="314">
        <v>0</v>
      </c>
      <c r="N39" s="314">
        <v>0</v>
      </c>
      <c r="O39" s="314">
        <v>15000</v>
      </c>
      <c r="P39" s="314">
        <v>187000</v>
      </c>
      <c r="Q39" s="314">
        <f t="shared" si="0"/>
        <v>202000</v>
      </c>
      <c r="R39" s="314">
        <v>0</v>
      </c>
      <c r="S39" s="314">
        <v>0</v>
      </c>
      <c r="T39" s="314">
        <v>2373123</v>
      </c>
    </row>
    <row r="40" spans="1:20" x14ac:dyDescent="0.25">
      <c r="A40" t="s">
        <v>859</v>
      </c>
      <c r="B40" t="s">
        <v>857</v>
      </c>
      <c r="C40">
        <v>1696009</v>
      </c>
      <c r="D40">
        <v>2019</v>
      </c>
      <c r="E40" s="314">
        <v>0</v>
      </c>
      <c r="F40" s="314">
        <v>0</v>
      </c>
      <c r="G40" s="314">
        <v>0</v>
      </c>
      <c r="H40" s="314">
        <v>262500</v>
      </c>
      <c r="I40" s="314">
        <v>0</v>
      </c>
      <c r="J40" s="314">
        <v>0</v>
      </c>
      <c r="K40" s="314">
        <v>0</v>
      </c>
      <c r="L40" s="313">
        <v>0</v>
      </c>
      <c r="M40" s="314">
        <v>0</v>
      </c>
      <c r="N40" s="314">
        <v>0</v>
      </c>
      <c r="O40" s="314">
        <v>0</v>
      </c>
      <c r="P40" s="314">
        <v>832200</v>
      </c>
      <c r="Q40" s="314">
        <f t="shared" si="0"/>
        <v>832200</v>
      </c>
      <c r="R40" s="314">
        <v>0</v>
      </c>
      <c r="S40" s="314">
        <v>0</v>
      </c>
      <c r="T40" s="314">
        <v>1094700</v>
      </c>
    </row>
    <row r="41" spans="1:20" x14ac:dyDescent="0.25">
      <c r="A41" t="s">
        <v>860</v>
      </c>
      <c r="B41" t="s">
        <v>857</v>
      </c>
      <c r="C41">
        <v>2514714</v>
      </c>
      <c r="D41">
        <v>2019</v>
      </c>
      <c r="E41" s="314">
        <v>0</v>
      </c>
      <c r="F41" s="314">
        <v>0</v>
      </c>
      <c r="G41" s="314">
        <v>0</v>
      </c>
      <c r="H41" s="314">
        <v>370380</v>
      </c>
      <c r="I41" s="314">
        <v>0</v>
      </c>
      <c r="J41" s="314">
        <v>0</v>
      </c>
      <c r="K41" s="314">
        <v>402081</v>
      </c>
      <c r="L41" s="313">
        <v>0</v>
      </c>
      <c r="M41" s="314">
        <v>0</v>
      </c>
      <c r="N41" s="314">
        <v>0</v>
      </c>
      <c r="O41" s="314">
        <v>0</v>
      </c>
      <c r="P41" s="314">
        <v>1552100</v>
      </c>
      <c r="Q41" s="314">
        <f t="shared" si="0"/>
        <v>1552100</v>
      </c>
      <c r="R41" s="314">
        <v>0</v>
      </c>
      <c r="S41" s="314">
        <v>0</v>
      </c>
      <c r="T41" s="314">
        <v>2324561</v>
      </c>
    </row>
    <row r="42" spans="1:20" x14ac:dyDescent="0.25">
      <c r="A42" t="s">
        <v>386</v>
      </c>
      <c r="B42" t="s">
        <v>678</v>
      </c>
      <c r="C42">
        <v>7259548</v>
      </c>
      <c r="D42">
        <v>2019</v>
      </c>
      <c r="E42" s="314">
        <v>0</v>
      </c>
      <c r="F42" s="314">
        <v>0</v>
      </c>
      <c r="G42" s="314">
        <v>0</v>
      </c>
      <c r="H42" s="314">
        <v>2576210</v>
      </c>
      <c r="I42" s="314">
        <v>0</v>
      </c>
      <c r="J42" s="314">
        <v>0</v>
      </c>
      <c r="K42" s="314">
        <v>0</v>
      </c>
      <c r="L42" s="313">
        <v>0</v>
      </c>
      <c r="M42" s="314">
        <v>0</v>
      </c>
      <c r="N42" s="314">
        <v>0</v>
      </c>
      <c r="O42" s="314">
        <v>0</v>
      </c>
      <c r="P42" s="314">
        <v>5408290</v>
      </c>
      <c r="Q42" s="314">
        <f t="shared" si="0"/>
        <v>5408290</v>
      </c>
      <c r="R42" s="314">
        <v>0</v>
      </c>
      <c r="S42" s="314">
        <v>0</v>
      </c>
      <c r="T42" s="314">
        <v>7984500</v>
      </c>
    </row>
    <row r="43" spans="1:20" x14ac:dyDescent="0.25">
      <c r="A43" t="s">
        <v>931</v>
      </c>
      <c r="B43" t="s">
        <v>928</v>
      </c>
      <c r="C43">
        <v>8314639</v>
      </c>
      <c r="D43">
        <v>2019</v>
      </c>
      <c r="E43" s="314">
        <v>0</v>
      </c>
      <c r="F43" s="314">
        <v>0</v>
      </c>
      <c r="G43" s="314">
        <v>0</v>
      </c>
      <c r="H43" s="314">
        <v>2298510</v>
      </c>
      <c r="I43" s="314">
        <v>0</v>
      </c>
      <c r="J43" s="314">
        <v>738641.73</v>
      </c>
      <c r="K43" s="314">
        <v>0</v>
      </c>
      <c r="L43" s="313">
        <v>0</v>
      </c>
      <c r="M43" s="314">
        <v>0</v>
      </c>
      <c r="N43" s="314">
        <v>0</v>
      </c>
      <c r="O43" s="314">
        <v>0</v>
      </c>
      <c r="P43" s="314">
        <v>69500</v>
      </c>
      <c r="Q43" s="314">
        <f t="shared" si="0"/>
        <v>69500</v>
      </c>
      <c r="R43" s="314">
        <v>0</v>
      </c>
      <c r="S43" s="314">
        <v>0</v>
      </c>
      <c r="T43" s="314">
        <v>3106651.73</v>
      </c>
    </row>
    <row r="44" spans="1:20" x14ac:dyDescent="0.25">
      <c r="A44" t="s">
        <v>1001</v>
      </c>
      <c r="B44" t="s">
        <v>1001</v>
      </c>
      <c r="C44">
        <v>2089762</v>
      </c>
      <c r="D44">
        <v>2019</v>
      </c>
      <c r="E44" s="314">
        <v>0</v>
      </c>
      <c r="F44" s="314">
        <v>0</v>
      </c>
      <c r="G44" s="314">
        <v>0</v>
      </c>
      <c r="H44" s="314">
        <v>20631537</v>
      </c>
      <c r="I44" s="314">
        <v>0</v>
      </c>
      <c r="J44" s="314">
        <v>9063000</v>
      </c>
      <c r="K44" s="314">
        <v>0</v>
      </c>
      <c r="L44" s="313">
        <v>0</v>
      </c>
      <c r="M44" s="314">
        <v>0</v>
      </c>
      <c r="N44" s="314">
        <v>0</v>
      </c>
      <c r="O44" s="314">
        <v>16000</v>
      </c>
      <c r="P44" s="314">
        <v>0</v>
      </c>
      <c r="Q44" s="314">
        <f t="shared" si="0"/>
        <v>16000</v>
      </c>
      <c r="R44" s="314">
        <v>0</v>
      </c>
      <c r="S44" s="314">
        <v>0</v>
      </c>
      <c r="T44" s="314">
        <v>29710537</v>
      </c>
    </row>
    <row r="45" spans="1:20" x14ac:dyDescent="0.25">
      <c r="A45" t="s">
        <v>1332</v>
      </c>
      <c r="B45" t="s">
        <v>384</v>
      </c>
      <c r="C45">
        <v>7857005</v>
      </c>
      <c r="D45">
        <v>2019</v>
      </c>
      <c r="E45" s="314">
        <v>241000</v>
      </c>
      <c r="F45" s="314">
        <v>106000</v>
      </c>
      <c r="G45" s="314">
        <v>0</v>
      </c>
      <c r="H45" s="314">
        <v>2546700</v>
      </c>
      <c r="I45" s="314">
        <v>0</v>
      </c>
      <c r="J45" s="314">
        <v>0</v>
      </c>
      <c r="K45" s="314">
        <v>0</v>
      </c>
      <c r="L45" s="313">
        <v>0</v>
      </c>
      <c r="M45" s="314">
        <v>0</v>
      </c>
      <c r="N45" s="314">
        <v>0</v>
      </c>
      <c r="O45" s="314">
        <v>0</v>
      </c>
      <c r="P45" s="314">
        <v>117300</v>
      </c>
      <c r="Q45" s="314">
        <f t="shared" si="0"/>
        <v>117300</v>
      </c>
      <c r="R45" s="314">
        <v>0</v>
      </c>
      <c r="S45" s="314">
        <v>0</v>
      </c>
      <c r="T45" s="314">
        <v>3011000</v>
      </c>
    </row>
    <row r="46" spans="1:20" x14ac:dyDescent="0.25">
      <c r="A46" t="s">
        <v>386</v>
      </c>
      <c r="B46" t="s">
        <v>682</v>
      </c>
      <c r="C46">
        <v>9940787</v>
      </c>
      <c r="D46">
        <v>2019</v>
      </c>
      <c r="E46" s="314">
        <v>0</v>
      </c>
      <c r="F46" s="314">
        <v>0</v>
      </c>
      <c r="G46" s="314">
        <v>0</v>
      </c>
      <c r="H46" s="314">
        <v>3590557</v>
      </c>
      <c r="I46" s="314">
        <v>0</v>
      </c>
      <c r="J46" s="314">
        <v>0</v>
      </c>
      <c r="K46" s="314">
        <v>0</v>
      </c>
      <c r="L46" s="313">
        <v>0</v>
      </c>
      <c r="M46" s="314">
        <v>0</v>
      </c>
      <c r="N46" s="314">
        <v>0</v>
      </c>
      <c r="O46" s="314">
        <v>56000</v>
      </c>
      <c r="P46" s="314">
        <v>1505000</v>
      </c>
      <c r="Q46" s="314">
        <f t="shared" si="0"/>
        <v>1561000</v>
      </c>
      <c r="R46" s="314">
        <v>0</v>
      </c>
      <c r="S46" s="314">
        <v>0</v>
      </c>
      <c r="T46" s="314">
        <v>5151557</v>
      </c>
    </row>
    <row r="47" spans="1:20" x14ac:dyDescent="0.25">
      <c r="A47" t="s">
        <v>694</v>
      </c>
      <c r="B47" t="s">
        <v>694</v>
      </c>
      <c r="C47">
        <v>2540162</v>
      </c>
      <c r="D47">
        <v>2019</v>
      </c>
      <c r="E47" s="314">
        <v>0</v>
      </c>
      <c r="F47" s="314">
        <v>0</v>
      </c>
      <c r="G47" s="314">
        <v>0</v>
      </c>
      <c r="H47" s="314">
        <v>2582621</v>
      </c>
      <c r="I47" s="314">
        <v>0</v>
      </c>
      <c r="J47" s="314">
        <v>0</v>
      </c>
      <c r="K47" s="314">
        <v>0</v>
      </c>
      <c r="L47" s="313">
        <v>0</v>
      </c>
      <c r="M47" s="314">
        <v>0</v>
      </c>
      <c r="N47" s="314">
        <v>0</v>
      </c>
      <c r="O47" s="314">
        <v>20000</v>
      </c>
      <c r="P47" s="314">
        <v>120000</v>
      </c>
      <c r="Q47" s="314">
        <f t="shared" si="0"/>
        <v>140000</v>
      </c>
      <c r="R47" s="314">
        <v>0</v>
      </c>
      <c r="S47" s="314">
        <v>0</v>
      </c>
      <c r="T47" s="314">
        <v>2722621</v>
      </c>
    </row>
    <row r="48" spans="1:20" x14ac:dyDescent="0.25">
      <c r="A48" t="s">
        <v>294</v>
      </c>
      <c r="B48" t="s">
        <v>290</v>
      </c>
      <c r="C48">
        <v>6565086</v>
      </c>
      <c r="D48">
        <v>2019</v>
      </c>
      <c r="E48" s="314">
        <v>136223</v>
      </c>
      <c r="F48" s="314">
        <v>80000</v>
      </c>
      <c r="G48" s="314">
        <v>0</v>
      </c>
      <c r="H48" s="314">
        <v>3938706</v>
      </c>
      <c r="I48" s="314">
        <v>0</v>
      </c>
      <c r="J48" s="314">
        <v>0</v>
      </c>
      <c r="K48" s="314">
        <v>0</v>
      </c>
      <c r="L48" s="313">
        <v>0</v>
      </c>
      <c r="M48" s="314">
        <v>0</v>
      </c>
      <c r="N48" s="314">
        <v>0</v>
      </c>
      <c r="O48" s="314">
        <v>3000</v>
      </c>
      <c r="P48" s="314">
        <v>268000</v>
      </c>
      <c r="Q48" s="314">
        <f t="shared" si="0"/>
        <v>271000</v>
      </c>
      <c r="R48" s="314">
        <v>0</v>
      </c>
      <c r="S48" s="314">
        <v>0</v>
      </c>
      <c r="T48" s="314">
        <v>4425929</v>
      </c>
    </row>
    <row r="49" spans="1:20" x14ac:dyDescent="0.25">
      <c r="A49" t="s">
        <v>1357</v>
      </c>
      <c r="B49" t="s">
        <v>922</v>
      </c>
      <c r="C49">
        <v>8051895</v>
      </c>
      <c r="D49">
        <v>2019</v>
      </c>
      <c r="E49" s="314">
        <v>81291</v>
      </c>
      <c r="F49" s="314">
        <v>0</v>
      </c>
      <c r="G49" s="314">
        <v>0</v>
      </c>
      <c r="H49" s="314">
        <v>2825000</v>
      </c>
      <c r="I49" s="314">
        <v>0</v>
      </c>
      <c r="J49" s="314">
        <v>0</v>
      </c>
      <c r="K49" s="314">
        <v>0</v>
      </c>
      <c r="L49" s="313">
        <v>0</v>
      </c>
      <c r="M49" s="314">
        <v>0</v>
      </c>
      <c r="N49" s="314">
        <v>0</v>
      </c>
      <c r="O49" s="314">
        <v>0</v>
      </c>
      <c r="P49" s="314">
        <v>50000</v>
      </c>
      <c r="Q49" s="314">
        <f t="shared" si="0"/>
        <v>50000</v>
      </c>
      <c r="R49" s="314">
        <v>0</v>
      </c>
      <c r="S49" s="314">
        <v>0</v>
      </c>
      <c r="T49" s="314">
        <v>2956291</v>
      </c>
    </row>
    <row r="50" spans="1:20" x14ac:dyDescent="0.25">
      <c r="A50" t="s">
        <v>1388</v>
      </c>
      <c r="B50" t="s">
        <v>776</v>
      </c>
      <c r="C50">
        <v>1968420</v>
      </c>
      <c r="D50">
        <v>2019</v>
      </c>
      <c r="E50" s="314">
        <v>0</v>
      </c>
      <c r="F50" s="314">
        <v>0</v>
      </c>
      <c r="G50" s="314">
        <v>0</v>
      </c>
      <c r="H50" s="314">
        <v>4176623</v>
      </c>
      <c r="I50" s="314">
        <v>0</v>
      </c>
      <c r="J50" s="314">
        <v>0</v>
      </c>
      <c r="K50" s="314">
        <v>0</v>
      </c>
      <c r="L50" s="313">
        <v>29899</v>
      </c>
      <c r="M50" s="314">
        <v>0</v>
      </c>
      <c r="N50" s="314">
        <v>0</v>
      </c>
      <c r="O50" s="314">
        <v>0</v>
      </c>
      <c r="P50" s="314">
        <v>581000</v>
      </c>
      <c r="Q50" s="314">
        <f t="shared" si="0"/>
        <v>581000</v>
      </c>
      <c r="R50" s="314">
        <v>0</v>
      </c>
      <c r="S50" s="314">
        <v>0</v>
      </c>
      <c r="T50" s="314">
        <v>4787522</v>
      </c>
    </row>
    <row r="51" spans="1:20" x14ac:dyDescent="0.25">
      <c r="A51" t="s">
        <v>377</v>
      </c>
      <c r="B51" t="s">
        <v>887</v>
      </c>
      <c r="C51">
        <v>5991938</v>
      </c>
      <c r="D51">
        <v>2019</v>
      </c>
      <c r="E51" s="314">
        <v>0</v>
      </c>
      <c r="F51" s="314">
        <v>0</v>
      </c>
      <c r="G51" s="314">
        <v>0</v>
      </c>
      <c r="H51" s="314">
        <v>1734348</v>
      </c>
      <c r="I51" s="314">
        <v>0</v>
      </c>
      <c r="J51" s="314">
        <v>0</v>
      </c>
      <c r="K51" s="314">
        <v>0</v>
      </c>
      <c r="L51" s="313">
        <v>0</v>
      </c>
      <c r="M51" s="314">
        <v>0</v>
      </c>
      <c r="N51" s="314">
        <v>0</v>
      </c>
      <c r="O51" s="314">
        <v>0</v>
      </c>
      <c r="P51" s="314">
        <v>367000</v>
      </c>
      <c r="Q51" s="314">
        <f t="shared" si="0"/>
        <v>367000</v>
      </c>
      <c r="R51" s="314">
        <v>0</v>
      </c>
      <c r="S51" s="314">
        <v>0</v>
      </c>
      <c r="T51" s="314">
        <v>2101348</v>
      </c>
    </row>
    <row r="52" spans="1:20" x14ac:dyDescent="0.25">
      <c r="A52" t="s">
        <v>386</v>
      </c>
      <c r="B52" t="s">
        <v>312</v>
      </c>
      <c r="C52">
        <v>9735411</v>
      </c>
      <c r="D52">
        <v>2019</v>
      </c>
      <c r="E52" s="314">
        <v>68620</v>
      </c>
      <c r="F52" s="314">
        <v>0</v>
      </c>
      <c r="G52" s="314">
        <v>0</v>
      </c>
      <c r="H52" s="314">
        <v>9165000</v>
      </c>
      <c r="I52" s="314">
        <v>0</v>
      </c>
      <c r="J52" s="314">
        <v>0</v>
      </c>
      <c r="K52" s="314">
        <v>0</v>
      </c>
      <c r="L52" s="313">
        <v>0</v>
      </c>
      <c r="M52" s="314">
        <v>0</v>
      </c>
      <c r="N52" s="314">
        <v>0</v>
      </c>
      <c r="O52" s="314">
        <v>0</v>
      </c>
      <c r="P52" s="314">
        <v>4314000</v>
      </c>
      <c r="Q52" s="314">
        <f t="shared" si="0"/>
        <v>4314000</v>
      </c>
      <c r="R52" s="314">
        <v>0</v>
      </c>
      <c r="S52" s="314">
        <v>0</v>
      </c>
      <c r="T52" s="314">
        <v>13547620</v>
      </c>
    </row>
    <row r="53" spans="1:20" x14ac:dyDescent="0.25">
      <c r="A53" t="s">
        <v>576</v>
      </c>
      <c r="B53" t="s">
        <v>576</v>
      </c>
      <c r="C53">
        <v>7399132</v>
      </c>
      <c r="D53">
        <v>2019</v>
      </c>
      <c r="E53" s="314">
        <v>430200</v>
      </c>
      <c r="F53" s="314">
        <v>200000</v>
      </c>
      <c r="G53" s="314">
        <v>0</v>
      </c>
      <c r="H53" s="314">
        <v>971100</v>
      </c>
      <c r="I53" s="314">
        <v>0</v>
      </c>
      <c r="J53" s="314">
        <v>0</v>
      </c>
      <c r="K53" s="314">
        <v>0</v>
      </c>
      <c r="L53" s="313">
        <v>0</v>
      </c>
      <c r="M53" s="314">
        <v>0</v>
      </c>
      <c r="N53" s="314">
        <v>0</v>
      </c>
      <c r="O53" s="314">
        <v>0</v>
      </c>
      <c r="P53" s="314">
        <v>0</v>
      </c>
      <c r="Q53" s="314">
        <f t="shared" si="0"/>
        <v>0</v>
      </c>
      <c r="R53" s="314">
        <v>0</v>
      </c>
      <c r="S53" s="314">
        <v>0</v>
      </c>
      <c r="T53" s="314">
        <v>1601300</v>
      </c>
    </row>
    <row r="54" spans="1:20" x14ac:dyDescent="0.25">
      <c r="A54" t="s">
        <v>493</v>
      </c>
      <c r="B54" t="s">
        <v>493</v>
      </c>
      <c r="C54">
        <v>8635813</v>
      </c>
      <c r="D54">
        <v>2019</v>
      </c>
      <c r="E54" s="314">
        <v>0</v>
      </c>
      <c r="F54" s="314">
        <v>0</v>
      </c>
      <c r="G54" s="314">
        <v>0</v>
      </c>
      <c r="H54" s="314">
        <v>5568487</v>
      </c>
      <c r="I54" s="314">
        <v>0</v>
      </c>
      <c r="J54" s="314">
        <v>0</v>
      </c>
      <c r="K54" s="314">
        <v>0</v>
      </c>
      <c r="L54" s="313">
        <v>0</v>
      </c>
      <c r="M54" s="314">
        <v>0</v>
      </c>
      <c r="N54" s="314">
        <v>0</v>
      </c>
      <c r="O54" s="314">
        <v>0</v>
      </c>
      <c r="P54" s="314">
        <v>1800000</v>
      </c>
      <c r="Q54" s="314">
        <f t="shared" si="0"/>
        <v>1800000</v>
      </c>
      <c r="R54" s="314">
        <v>0</v>
      </c>
      <c r="S54" s="314">
        <v>0</v>
      </c>
      <c r="T54" s="314">
        <v>7368487</v>
      </c>
    </row>
    <row r="55" spans="1:20" x14ac:dyDescent="0.25">
      <c r="A55" t="s">
        <v>420</v>
      </c>
      <c r="B55" t="s">
        <v>420</v>
      </c>
      <c r="C55">
        <v>4721932</v>
      </c>
      <c r="D55">
        <v>2019</v>
      </c>
      <c r="E55" s="314">
        <v>0</v>
      </c>
      <c r="F55" s="314">
        <v>0</v>
      </c>
      <c r="G55" s="314">
        <v>0</v>
      </c>
      <c r="H55" s="314">
        <v>18789218</v>
      </c>
      <c r="I55" s="314">
        <v>0</v>
      </c>
      <c r="J55" s="314">
        <v>8998000</v>
      </c>
      <c r="K55" s="314">
        <v>0</v>
      </c>
      <c r="L55" s="313">
        <v>0</v>
      </c>
      <c r="M55" s="314">
        <v>0</v>
      </c>
      <c r="N55" s="314">
        <v>989703</v>
      </c>
      <c r="O55" s="314">
        <v>0</v>
      </c>
      <c r="P55" s="314">
        <v>0</v>
      </c>
      <c r="Q55" s="314">
        <f t="shared" si="0"/>
        <v>0</v>
      </c>
      <c r="R55" s="314">
        <v>0</v>
      </c>
      <c r="S55" s="314">
        <v>0</v>
      </c>
      <c r="T55" s="314">
        <v>28776921</v>
      </c>
    </row>
    <row r="56" spans="1:20" x14ac:dyDescent="0.25">
      <c r="A56" t="s">
        <v>965</v>
      </c>
      <c r="B56" t="s">
        <v>965</v>
      </c>
      <c r="C56">
        <v>3198258</v>
      </c>
      <c r="D56">
        <v>2019</v>
      </c>
      <c r="E56" s="314">
        <v>91188</v>
      </c>
      <c r="F56" s="314">
        <v>171000</v>
      </c>
      <c r="G56" s="314">
        <v>0</v>
      </c>
      <c r="H56" s="314">
        <v>3633000</v>
      </c>
      <c r="I56" s="314">
        <v>0</v>
      </c>
      <c r="J56" s="314">
        <v>0</v>
      </c>
      <c r="K56" s="314">
        <v>0</v>
      </c>
      <c r="L56" s="313">
        <v>0</v>
      </c>
      <c r="M56" s="314">
        <v>0</v>
      </c>
      <c r="N56" s="314">
        <v>0</v>
      </c>
      <c r="O56" s="314">
        <v>0</v>
      </c>
      <c r="P56" s="314">
        <v>130000</v>
      </c>
      <c r="Q56" s="314">
        <f t="shared" si="0"/>
        <v>130000</v>
      </c>
      <c r="R56" s="314">
        <v>0</v>
      </c>
      <c r="S56" s="314">
        <v>0</v>
      </c>
      <c r="T56" s="314">
        <v>4025188</v>
      </c>
    </row>
    <row r="57" spans="1:20" x14ac:dyDescent="0.25">
      <c r="A57" t="s">
        <v>676</v>
      </c>
      <c r="B57" t="s">
        <v>674</v>
      </c>
      <c r="C57">
        <v>3810187</v>
      </c>
      <c r="D57">
        <v>2019</v>
      </c>
      <c r="E57" s="314">
        <v>445123</v>
      </c>
      <c r="F57" s="314">
        <v>0</v>
      </c>
      <c r="G57" s="314">
        <v>0</v>
      </c>
      <c r="H57" s="314">
        <v>1069500</v>
      </c>
      <c r="I57" s="314">
        <v>0</v>
      </c>
      <c r="J57" s="314">
        <v>0</v>
      </c>
      <c r="K57" s="314">
        <v>0</v>
      </c>
      <c r="L57" s="313">
        <v>0</v>
      </c>
      <c r="M57" s="314">
        <v>0</v>
      </c>
      <c r="N57" s="314">
        <v>0</v>
      </c>
      <c r="O57" s="314">
        <v>0</v>
      </c>
      <c r="P57" s="314">
        <v>2590000</v>
      </c>
      <c r="Q57" s="314">
        <f t="shared" si="0"/>
        <v>2590000</v>
      </c>
      <c r="R57" s="314">
        <v>0</v>
      </c>
      <c r="S57" s="314">
        <v>0</v>
      </c>
      <c r="T57" s="314">
        <v>4104623</v>
      </c>
    </row>
    <row r="58" spans="1:20" x14ac:dyDescent="0.25">
      <c r="A58" t="s">
        <v>1112</v>
      </c>
      <c r="B58" t="s">
        <v>1113</v>
      </c>
      <c r="C58">
        <v>7218817</v>
      </c>
      <c r="D58">
        <v>2019</v>
      </c>
      <c r="E58" s="314">
        <v>0</v>
      </c>
      <c r="F58" s="314">
        <v>0</v>
      </c>
      <c r="G58" s="314">
        <v>0</v>
      </c>
      <c r="H58" s="314">
        <v>1190738</v>
      </c>
      <c r="I58" s="314">
        <v>0</v>
      </c>
      <c r="J58" s="314">
        <v>0</v>
      </c>
      <c r="K58" s="314">
        <v>653384</v>
      </c>
      <c r="L58" s="313">
        <v>0</v>
      </c>
      <c r="M58" s="314">
        <v>0</v>
      </c>
      <c r="N58" s="314">
        <v>0</v>
      </c>
      <c r="O58" s="314">
        <v>0</v>
      </c>
      <c r="P58" s="314">
        <v>40000</v>
      </c>
      <c r="Q58" s="314">
        <f t="shared" si="0"/>
        <v>40000</v>
      </c>
      <c r="R58" s="314">
        <v>0</v>
      </c>
      <c r="S58" s="314">
        <v>13000</v>
      </c>
      <c r="T58" s="314">
        <v>1897122</v>
      </c>
    </row>
    <row r="59" spans="1:20" x14ac:dyDescent="0.25">
      <c r="A59" t="s">
        <v>1112</v>
      </c>
      <c r="B59" t="s">
        <v>1113</v>
      </c>
      <c r="C59">
        <v>9223303</v>
      </c>
      <c r="D59">
        <v>2019</v>
      </c>
      <c r="E59" s="314">
        <v>0</v>
      </c>
      <c r="F59" s="314">
        <v>0</v>
      </c>
      <c r="G59" s="314">
        <v>0</v>
      </c>
      <c r="H59" s="314">
        <v>236418</v>
      </c>
      <c r="I59" s="314">
        <v>0</v>
      </c>
      <c r="J59" s="314">
        <v>0</v>
      </c>
      <c r="K59" s="314">
        <v>0</v>
      </c>
      <c r="L59" s="313">
        <v>0</v>
      </c>
      <c r="M59" s="314">
        <v>0</v>
      </c>
      <c r="N59" s="314">
        <v>0</v>
      </c>
      <c r="O59" s="314">
        <v>0</v>
      </c>
      <c r="P59" s="314">
        <v>15000</v>
      </c>
      <c r="Q59" s="314">
        <f t="shared" si="0"/>
        <v>15000</v>
      </c>
      <c r="R59" s="314">
        <v>0</v>
      </c>
      <c r="S59" s="314">
        <v>0</v>
      </c>
      <c r="T59" s="314">
        <v>251418</v>
      </c>
    </row>
    <row r="60" spans="1:20" x14ac:dyDescent="0.25">
      <c r="A60" t="s">
        <v>1007</v>
      </c>
      <c r="B60" t="s">
        <v>1007</v>
      </c>
      <c r="C60">
        <v>3135426</v>
      </c>
      <c r="D60">
        <v>2019</v>
      </c>
      <c r="E60" s="314">
        <v>296405</v>
      </c>
      <c r="F60" s="314">
        <v>0</v>
      </c>
      <c r="G60" s="314">
        <v>0</v>
      </c>
      <c r="H60" s="314">
        <v>7900000</v>
      </c>
      <c r="I60" s="314">
        <v>0</v>
      </c>
      <c r="J60" s="314">
        <v>0</v>
      </c>
      <c r="K60" s="314">
        <v>0</v>
      </c>
      <c r="L60" s="313">
        <v>0</v>
      </c>
      <c r="M60" s="314">
        <v>0</v>
      </c>
      <c r="N60" s="314">
        <v>0</v>
      </c>
      <c r="O60" s="314">
        <v>0</v>
      </c>
      <c r="P60" s="314">
        <v>180000</v>
      </c>
      <c r="Q60" s="314">
        <f t="shared" si="0"/>
        <v>180000</v>
      </c>
      <c r="R60" s="314">
        <v>0</v>
      </c>
      <c r="S60" s="314">
        <v>0</v>
      </c>
      <c r="T60" s="314">
        <v>8376405</v>
      </c>
    </row>
    <row r="61" spans="1:20" x14ac:dyDescent="0.25">
      <c r="A61" t="s">
        <v>1082</v>
      </c>
      <c r="B61" t="s">
        <v>332</v>
      </c>
      <c r="C61">
        <v>4382191</v>
      </c>
      <c r="D61">
        <v>2019</v>
      </c>
      <c r="E61" s="314">
        <v>0</v>
      </c>
      <c r="F61" s="314">
        <v>0</v>
      </c>
      <c r="G61" s="314">
        <v>0</v>
      </c>
      <c r="H61" s="314">
        <v>225535</v>
      </c>
      <c r="I61" s="314">
        <v>0</v>
      </c>
      <c r="J61" s="314">
        <v>0</v>
      </c>
      <c r="K61" s="314">
        <v>0</v>
      </c>
      <c r="L61" s="313">
        <v>0</v>
      </c>
      <c r="M61" s="314">
        <v>0</v>
      </c>
      <c r="N61" s="314">
        <v>0</v>
      </c>
      <c r="O61" s="314">
        <v>0</v>
      </c>
      <c r="P61" s="314">
        <v>100000</v>
      </c>
      <c r="Q61" s="314">
        <f t="shared" si="0"/>
        <v>100000</v>
      </c>
      <c r="R61" s="314">
        <v>0</v>
      </c>
      <c r="S61" s="314">
        <v>0</v>
      </c>
      <c r="T61" s="314">
        <v>325535</v>
      </c>
    </row>
    <row r="62" spans="1:20" x14ac:dyDescent="0.25">
      <c r="A62" t="s">
        <v>477</v>
      </c>
      <c r="B62" t="s">
        <v>477</v>
      </c>
      <c r="C62">
        <v>2801353</v>
      </c>
      <c r="D62">
        <v>2019</v>
      </c>
      <c r="E62" s="314">
        <v>0</v>
      </c>
      <c r="F62" s="314">
        <v>0</v>
      </c>
      <c r="G62" s="314">
        <v>0</v>
      </c>
      <c r="H62" s="314">
        <v>11981892</v>
      </c>
      <c r="I62" s="314">
        <v>0</v>
      </c>
      <c r="J62" s="314">
        <v>3877000</v>
      </c>
      <c r="K62" s="314">
        <v>0</v>
      </c>
      <c r="L62" s="313">
        <v>0</v>
      </c>
      <c r="M62" s="314">
        <v>0</v>
      </c>
      <c r="N62" s="314">
        <v>0</v>
      </c>
      <c r="O62" s="314">
        <v>0</v>
      </c>
      <c r="P62" s="314">
        <v>0</v>
      </c>
      <c r="Q62" s="314">
        <f t="shared" si="0"/>
        <v>0</v>
      </c>
      <c r="R62" s="314">
        <v>0</v>
      </c>
      <c r="S62" s="314">
        <v>0</v>
      </c>
      <c r="T62" s="314">
        <v>15858892</v>
      </c>
    </row>
    <row r="63" spans="1:20" x14ac:dyDescent="0.25">
      <c r="A63" t="s">
        <v>1548</v>
      </c>
      <c r="B63" t="s">
        <v>760</v>
      </c>
      <c r="C63">
        <v>9000004</v>
      </c>
      <c r="D63">
        <v>2019</v>
      </c>
      <c r="E63" s="314">
        <v>2024343</v>
      </c>
      <c r="F63" s="314">
        <v>0</v>
      </c>
      <c r="G63" s="314">
        <v>0</v>
      </c>
      <c r="H63" s="314">
        <v>0</v>
      </c>
      <c r="I63" s="314">
        <v>0</v>
      </c>
      <c r="J63" s="314">
        <v>0</v>
      </c>
      <c r="K63" s="314">
        <v>0</v>
      </c>
      <c r="L63" s="313">
        <v>0</v>
      </c>
      <c r="M63" s="314">
        <v>0</v>
      </c>
      <c r="N63" s="314">
        <v>0</v>
      </c>
      <c r="O63" s="314">
        <v>75000</v>
      </c>
      <c r="P63" s="314">
        <v>3000</v>
      </c>
      <c r="Q63" s="314">
        <f t="shared" si="0"/>
        <v>78000</v>
      </c>
      <c r="R63" s="314">
        <v>0</v>
      </c>
      <c r="S63" s="314">
        <v>13000</v>
      </c>
      <c r="T63" s="314">
        <v>2115343</v>
      </c>
    </row>
    <row r="64" spans="1:20" x14ac:dyDescent="0.25">
      <c r="A64" t="s">
        <v>1549</v>
      </c>
      <c r="B64" t="s">
        <v>909</v>
      </c>
      <c r="C64">
        <v>3588592</v>
      </c>
      <c r="D64">
        <v>2019</v>
      </c>
      <c r="E64" s="314">
        <v>0</v>
      </c>
      <c r="F64" s="314">
        <v>0</v>
      </c>
      <c r="G64" s="314">
        <v>0</v>
      </c>
      <c r="H64" s="314">
        <v>0</v>
      </c>
      <c r="I64" s="314">
        <v>0</v>
      </c>
      <c r="J64" s="314">
        <v>0</v>
      </c>
      <c r="K64" s="314">
        <v>645510</v>
      </c>
      <c r="L64" s="313">
        <v>0</v>
      </c>
      <c r="M64" s="314">
        <v>0</v>
      </c>
      <c r="N64" s="314">
        <v>0</v>
      </c>
      <c r="O64" s="314">
        <v>0</v>
      </c>
      <c r="P64" s="314">
        <v>2500</v>
      </c>
      <c r="Q64" s="314">
        <f t="shared" si="0"/>
        <v>2500</v>
      </c>
      <c r="R64" s="314">
        <v>0</v>
      </c>
      <c r="S64" s="314">
        <v>0</v>
      </c>
      <c r="T64" s="314">
        <v>648010</v>
      </c>
    </row>
    <row r="65" spans="1:20" x14ac:dyDescent="0.25">
      <c r="A65" t="s">
        <v>1251</v>
      </c>
      <c r="B65" t="s">
        <v>568</v>
      </c>
      <c r="C65">
        <v>1441233</v>
      </c>
      <c r="D65">
        <v>2019</v>
      </c>
      <c r="E65" s="314">
        <v>54020</v>
      </c>
      <c r="F65" s="314">
        <v>172190</v>
      </c>
      <c r="G65" s="314">
        <v>0</v>
      </c>
      <c r="H65" s="314">
        <v>2743810</v>
      </c>
      <c r="I65" s="314">
        <v>0</v>
      </c>
      <c r="J65" s="314">
        <v>0</v>
      </c>
      <c r="K65" s="314">
        <v>0</v>
      </c>
      <c r="L65" s="313">
        <v>0</v>
      </c>
      <c r="M65" s="314">
        <v>0</v>
      </c>
      <c r="N65" s="314">
        <v>0</v>
      </c>
      <c r="O65" s="314">
        <v>45000</v>
      </c>
      <c r="P65" s="314">
        <v>213000</v>
      </c>
      <c r="Q65" s="314">
        <f t="shared" si="0"/>
        <v>258000</v>
      </c>
      <c r="R65" s="314">
        <v>0</v>
      </c>
      <c r="S65" s="314">
        <v>0</v>
      </c>
      <c r="T65" s="314">
        <v>3228020</v>
      </c>
    </row>
    <row r="66" spans="1:20" x14ac:dyDescent="0.25">
      <c r="A66" t="s">
        <v>878</v>
      </c>
      <c r="B66" t="s">
        <v>874</v>
      </c>
      <c r="C66">
        <v>1552469</v>
      </c>
      <c r="D66">
        <v>2019</v>
      </c>
      <c r="E66" s="314">
        <v>20094</v>
      </c>
      <c r="F66" s="314">
        <v>0</v>
      </c>
      <c r="G66" s="314">
        <v>0</v>
      </c>
      <c r="H66" s="314">
        <v>626030</v>
      </c>
      <c r="I66" s="314">
        <v>0</v>
      </c>
      <c r="J66" s="314">
        <v>0</v>
      </c>
      <c r="K66" s="314">
        <v>447816</v>
      </c>
      <c r="L66" s="313">
        <v>0</v>
      </c>
      <c r="M66" s="314">
        <v>0</v>
      </c>
      <c r="N66" s="314">
        <v>0</v>
      </c>
      <c r="O66" s="314">
        <v>0</v>
      </c>
      <c r="P66" s="314">
        <v>31800</v>
      </c>
      <c r="Q66" s="314">
        <f t="shared" si="0"/>
        <v>31800</v>
      </c>
      <c r="R66" s="314">
        <v>0</v>
      </c>
      <c r="S66" s="314">
        <v>54259.41</v>
      </c>
      <c r="T66" s="314">
        <v>1179999.4099999999</v>
      </c>
    </row>
    <row r="67" spans="1:20" x14ac:dyDescent="0.25">
      <c r="A67" t="s">
        <v>877</v>
      </c>
      <c r="B67" t="s">
        <v>874</v>
      </c>
      <c r="C67">
        <v>1378201</v>
      </c>
      <c r="D67">
        <v>2019</v>
      </c>
      <c r="E67" s="314">
        <v>376078</v>
      </c>
      <c r="F67" s="314">
        <v>0</v>
      </c>
      <c r="G67" s="314">
        <v>0</v>
      </c>
      <c r="H67" s="314">
        <v>541897</v>
      </c>
      <c r="I67" s="314">
        <v>0</v>
      </c>
      <c r="J67" s="314">
        <v>0</v>
      </c>
      <c r="K67" s="314">
        <v>780117.06</v>
      </c>
      <c r="L67" s="313">
        <v>0</v>
      </c>
      <c r="M67" s="314">
        <v>0</v>
      </c>
      <c r="N67" s="314">
        <v>0</v>
      </c>
      <c r="O67" s="314">
        <v>15000</v>
      </c>
      <c r="P67" s="314">
        <v>90200</v>
      </c>
      <c r="Q67" s="314">
        <f t="shared" si="0"/>
        <v>105200</v>
      </c>
      <c r="R67" s="314">
        <v>0</v>
      </c>
      <c r="S67" s="314">
        <v>3370.46</v>
      </c>
      <c r="T67" s="314">
        <v>1806662.52</v>
      </c>
    </row>
    <row r="68" spans="1:20" x14ac:dyDescent="0.25">
      <c r="A68" t="s">
        <v>377</v>
      </c>
      <c r="B68" t="s">
        <v>550</v>
      </c>
      <c r="C68">
        <v>8902089</v>
      </c>
      <c r="D68">
        <v>2019</v>
      </c>
      <c r="E68" s="314">
        <v>0</v>
      </c>
      <c r="F68" s="314">
        <v>178955</v>
      </c>
      <c r="G68" s="314">
        <v>0</v>
      </c>
      <c r="H68" s="314">
        <v>2080820</v>
      </c>
      <c r="I68" s="314">
        <v>0</v>
      </c>
      <c r="J68" s="314">
        <v>0</v>
      </c>
      <c r="K68" s="314">
        <v>0</v>
      </c>
      <c r="L68" s="313">
        <v>0</v>
      </c>
      <c r="M68" s="314">
        <v>0</v>
      </c>
      <c r="N68" s="314">
        <v>0</v>
      </c>
      <c r="O68" s="314">
        <v>0</v>
      </c>
      <c r="P68" s="314">
        <v>0</v>
      </c>
      <c r="Q68" s="314">
        <f t="shared" ref="Q68:Q131" si="1">SUM(O68:P68)</f>
        <v>0</v>
      </c>
      <c r="R68" s="314">
        <v>0</v>
      </c>
      <c r="S68" s="314">
        <v>0</v>
      </c>
      <c r="T68" s="314">
        <v>2259775</v>
      </c>
    </row>
    <row r="69" spans="1:20" x14ac:dyDescent="0.25">
      <c r="A69" t="s">
        <v>1516</v>
      </c>
      <c r="B69" t="s">
        <v>1515</v>
      </c>
      <c r="C69">
        <v>8098643</v>
      </c>
      <c r="D69">
        <v>2019</v>
      </c>
      <c r="E69" s="314">
        <v>0</v>
      </c>
      <c r="F69" s="314">
        <v>0</v>
      </c>
      <c r="G69" s="314">
        <v>0</v>
      </c>
      <c r="H69" s="314">
        <v>1716214</v>
      </c>
      <c r="I69" s="314">
        <v>0</v>
      </c>
      <c r="J69" s="314">
        <v>0</v>
      </c>
      <c r="K69" s="314">
        <v>0</v>
      </c>
      <c r="L69" s="313">
        <v>0</v>
      </c>
      <c r="M69" s="314">
        <v>0</v>
      </c>
      <c r="N69" s="314">
        <v>0</v>
      </c>
      <c r="O69" s="314">
        <v>0</v>
      </c>
      <c r="P69" s="314">
        <v>0</v>
      </c>
      <c r="Q69" s="314">
        <f t="shared" si="1"/>
        <v>0</v>
      </c>
      <c r="R69" s="314">
        <v>0</v>
      </c>
      <c r="S69" s="314">
        <v>0</v>
      </c>
      <c r="T69" s="314">
        <v>1716214</v>
      </c>
    </row>
    <row r="70" spans="1:20" x14ac:dyDescent="0.25">
      <c r="A70" t="s">
        <v>1092</v>
      </c>
      <c r="B70" t="s">
        <v>776</v>
      </c>
      <c r="C70">
        <v>5903063</v>
      </c>
      <c r="D70">
        <v>2019</v>
      </c>
      <c r="E70" s="314">
        <v>0</v>
      </c>
      <c r="F70" s="314">
        <v>0</v>
      </c>
      <c r="G70" s="314">
        <v>0</v>
      </c>
      <c r="H70" s="314">
        <v>647336</v>
      </c>
      <c r="I70" s="314">
        <v>0</v>
      </c>
      <c r="J70" s="314">
        <v>0</v>
      </c>
      <c r="K70" s="314">
        <v>0</v>
      </c>
      <c r="L70" s="313">
        <v>26000</v>
      </c>
      <c r="M70" s="314">
        <v>0</v>
      </c>
      <c r="N70" s="314">
        <v>0</v>
      </c>
      <c r="O70" s="314">
        <v>0</v>
      </c>
      <c r="P70" s="314">
        <v>130000</v>
      </c>
      <c r="Q70" s="314">
        <f t="shared" si="1"/>
        <v>130000</v>
      </c>
      <c r="R70" s="314">
        <v>0</v>
      </c>
      <c r="S70" s="314">
        <v>0</v>
      </c>
      <c r="T70" s="314">
        <v>803336</v>
      </c>
    </row>
    <row r="71" spans="1:20" x14ac:dyDescent="0.25">
      <c r="A71" t="s">
        <v>1388</v>
      </c>
      <c r="B71" t="s">
        <v>776</v>
      </c>
      <c r="C71">
        <v>4699567</v>
      </c>
      <c r="D71">
        <v>2019</v>
      </c>
      <c r="E71" s="314">
        <v>0</v>
      </c>
      <c r="F71" s="314">
        <v>0</v>
      </c>
      <c r="G71" s="314">
        <v>0</v>
      </c>
      <c r="H71" s="314">
        <v>2319450</v>
      </c>
      <c r="I71" s="314">
        <v>0</v>
      </c>
      <c r="J71" s="314">
        <v>0</v>
      </c>
      <c r="K71" s="314">
        <v>1334896</v>
      </c>
      <c r="L71" s="313">
        <v>71641</v>
      </c>
      <c r="M71" s="314">
        <v>0</v>
      </c>
      <c r="N71" s="314">
        <v>0</v>
      </c>
      <c r="O71" s="314">
        <v>0</v>
      </c>
      <c r="P71" s="314">
        <v>890000</v>
      </c>
      <c r="Q71" s="314">
        <f t="shared" si="1"/>
        <v>890000</v>
      </c>
      <c r="R71" s="314">
        <v>0</v>
      </c>
      <c r="S71" s="314">
        <v>0</v>
      </c>
      <c r="T71" s="314">
        <v>4615987</v>
      </c>
    </row>
    <row r="72" spans="1:20" x14ac:dyDescent="0.25">
      <c r="A72" t="s">
        <v>1388</v>
      </c>
      <c r="B72" t="s">
        <v>776</v>
      </c>
      <c r="C72">
        <v>7832444</v>
      </c>
      <c r="D72">
        <v>2019</v>
      </c>
      <c r="E72" s="314">
        <v>0</v>
      </c>
      <c r="F72" s="314">
        <v>0</v>
      </c>
      <c r="G72" s="314">
        <v>0</v>
      </c>
      <c r="H72" s="314">
        <v>2357340</v>
      </c>
      <c r="I72" s="314">
        <v>0</v>
      </c>
      <c r="J72" s="314">
        <v>0</v>
      </c>
      <c r="K72" s="314">
        <v>1102190</v>
      </c>
      <c r="L72" s="313">
        <v>31241</v>
      </c>
      <c r="M72" s="314">
        <v>0</v>
      </c>
      <c r="N72" s="314">
        <v>0</v>
      </c>
      <c r="O72" s="314">
        <v>0</v>
      </c>
      <c r="P72" s="314">
        <v>710000</v>
      </c>
      <c r="Q72" s="314">
        <f t="shared" si="1"/>
        <v>710000</v>
      </c>
      <c r="R72" s="314">
        <v>0</v>
      </c>
      <c r="S72" s="314">
        <v>0</v>
      </c>
      <c r="T72" s="314">
        <v>4200771</v>
      </c>
    </row>
    <row r="73" spans="1:20" x14ac:dyDescent="0.25">
      <c r="A73" t="s">
        <v>684</v>
      </c>
      <c r="B73" t="s">
        <v>969</v>
      </c>
      <c r="C73">
        <v>1622964</v>
      </c>
      <c r="D73">
        <v>2019</v>
      </c>
      <c r="E73" s="314">
        <v>0</v>
      </c>
      <c r="F73" s="314">
        <v>0</v>
      </c>
      <c r="G73" s="314">
        <v>0</v>
      </c>
      <c r="H73" s="314">
        <v>3345254</v>
      </c>
      <c r="I73" s="314">
        <v>0</v>
      </c>
      <c r="J73" s="314">
        <v>0</v>
      </c>
      <c r="K73" s="314">
        <v>0</v>
      </c>
      <c r="L73" s="313">
        <v>0</v>
      </c>
      <c r="M73" s="314">
        <v>0</v>
      </c>
      <c r="N73" s="314">
        <v>0</v>
      </c>
      <c r="O73" s="314">
        <v>0</v>
      </c>
      <c r="P73" s="314">
        <v>120796</v>
      </c>
      <c r="Q73" s="314">
        <f t="shared" si="1"/>
        <v>120796</v>
      </c>
      <c r="R73" s="314">
        <v>108000</v>
      </c>
      <c r="S73" s="314">
        <v>0</v>
      </c>
      <c r="T73" s="314">
        <v>3574050</v>
      </c>
    </row>
    <row r="74" spans="1:20" x14ac:dyDescent="0.25">
      <c r="A74" t="s">
        <v>1010</v>
      </c>
      <c r="B74" t="s">
        <v>1010</v>
      </c>
      <c r="C74">
        <v>4497017</v>
      </c>
      <c r="D74">
        <v>2019</v>
      </c>
      <c r="E74" s="314">
        <v>0</v>
      </c>
      <c r="F74" s="314">
        <v>210000</v>
      </c>
      <c r="G74" s="314">
        <v>0</v>
      </c>
      <c r="H74" s="314">
        <v>2488808</v>
      </c>
      <c r="I74" s="314">
        <v>0</v>
      </c>
      <c r="J74" s="314">
        <v>0</v>
      </c>
      <c r="K74" s="314">
        <v>0</v>
      </c>
      <c r="L74" s="313">
        <v>0</v>
      </c>
      <c r="M74" s="314">
        <v>0</v>
      </c>
      <c r="N74" s="314">
        <v>0</v>
      </c>
      <c r="O74" s="314">
        <v>0</v>
      </c>
      <c r="P74" s="314">
        <v>460000</v>
      </c>
      <c r="Q74" s="314">
        <f t="shared" si="1"/>
        <v>460000</v>
      </c>
      <c r="R74" s="314">
        <v>0</v>
      </c>
      <c r="S74" s="314">
        <v>0</v>
      </c>
      <c r="T74" s="314">
        <v>3158808</v>
      </c>
    </row>
    <row r="75" spans="1:20" x14ac:dyDescent="0.25">
      <c r="A75" t="s">
        <v>1066</v>
      </c>
      <c r="B75" t="s">
        <v>1067</v>
      </c>
      <c r="C75">
        <v>5700178</v>
      </c>
      <c r="D75">
        <v>2019</v>
      </c>
      <c r="E75" s="314">
        <v>0</v>
      </c>
      <c r="F75" s="314">
        <v>28601.59</v>
      </c>
      <c r="G75" s="314">
        <v>0</v>
      </c>
      <c r="H75" s="314">
        <v>640486</v>
      </c>
      <c r="I75" s="314">
        <v>0</v>
      </c>
      <c r="J75" s="314">
        <v>0</v>
      </c>
      <c r="K75" s="314">
        <v>0</v>
      </c>
      <c r="L75" s="313">
        <v>0</v>
      </c>
      <c r="M75" s="314">
        <v>0</v>
      </c>
      <c r="N75" s="314">
        <v>0</v>
      </c>
      <c r="O75" s="314">
        <v>0</v>
      </c>
      <c r="P75" s="314">
        <v>100000</v>
      </c>
      <c r="Q75" s="314">
        <f t="shared" si="1"/>
        <v>100000</v>
      </c>
      <c r="R75" s="314">
        <v>0</v>
      </c>
      <c r="S75" s="314">
        <v>0</v>
      </c>
      <c r="T75" s="314">
        <v>769087.59</v>
      </c>
    </row>
    <row r="76" spans="1:20" x14ac:dyDescent="0.25">
      <c r="A76" t="s">
        <v>642</v>
      </c>
      <c r="B76" t="s">
        <v>640</v>
      </c>
      <c r="C76">
        <v>3994122</v>
      </c>
      <c r="D76">
        <v>2019</v>
      </c>
      <c r="E76" s="314">
        <v>0</v>
      </c>
      <c r="F76" s="314">
        <v>0</v>
      </c>
      <c r="G76" s="314">
        <v>0</v>
      </c>
      <c r="H76" s="314">
        <v>774410</v>
      </c>
      <c r="I76" s="314">
        <v>0</v>
      </c>
      <c r="J76" s="314">
        <v>0</v>
      </c>
      <c r="K76" s="314">
        <v>643331</v>
      </c>
      <c r="L76" s="313">
        <v>0</v>
      </c>
      <c r="M76" s="314">
        <v>0</v>
      </c>
      <c r="N76" s="314">
        <v>0</v>
      </c>
      <c r="O76" s="314">
        <v>0</v>
      </c>
      <c r="P76" s="314">
        <v>867259</v>
      </c>
      <c r="Q76" s="314">
        <f t="shared" si="1"/>
        <v>867259</v>
      </c>
      <c r="R76" s="314">
        <v>0</v>
      </c>
      <c r="S76" s="314">
        <v>0</v>
      </c>
      <c r="T76" s="314">
        <v>2285000</v>
      </c>
    </row>
    <row r="77" spans="1:20" x14ac:dyDescent="0.25">
      <c r="A77" t="s">
        <v>1440</v>
      </c>
      <c r="B77" t="s">
        <v>402</v>
      </c>
      <c r="C77">
        <v>8382823</v>
      </c>
      <c r="D77">
        <v>2019</v>
      </c>
      <c r="E77" s="314">
        <v>22008</v>
      </c>
      <c r="F77" s="314">
        <v>0</v>
      </c>
      <c r="G77" s="314">
        <v>0</v>
      </c>
      <c r="H77" s="314">
        <v>1024200</v>
      </c>
      <c r="I77" s="314">
        <v>0</v>
      </c>
      <c r="J77" s="314">
        <v>0</v>
      </c>
      <c r="K77" s="314">
        <v>814208</v>
      </c>
      <c r="L77" s="313">
        <v>0</v>
      </c>
      <c r="M77" s="314">
        <v>0</v>
      </c>
      <c r="N77" s="314">
        <v>0</v>
      </c>
      <c r="O77" s="314">
        <v>0</v>
      </c>
      <c r="P77" s="314">
        <v>204000</v>
      </c>
      <c r="Q77" s="314">
        <f t="shared" si="1"/>
        <v>204000</v>
      </c>
      <c r="R77" s="314">
        <v>0</v>
      </c>
      <c r="S77" s="314">
        <v>0</v>
      </c>
      <c r="T77" s="314">
        <v>2064416</v>
      </c>
    </row>
    <row r="78" spans="1:20" x14ac:dyDescent="0.25">
      <c r="A78" t="s">
        <v>692</v>
      </c>
      <c r="B78" t="s">
        <v>690</v>
      </c>
      <c r="C78">
        <v>9949795</v>
      </c>
      <c r="D78">
        <v>2019</v>
      </c>
      <c r="E78" s="314">
        <v>50000</v>
      </c>
      <c r="F78" s="314">
        <v>0</v>
      </c>
      <c r="G78" s="314">
        <v>0</v>
      </c>
      <c r="H78" s="314">
        <v>470270</v>
      </c>
      <c r="I78" s="314">
        <v>0</v>
      </c>
      <c r="J78" s="314">
        <v>0</v>
      </c>
      <c r="K78" s="314">
        <v>0</v>
      </c>
      <c r="L78" s="313">
        <v>0</v>
      </c>
      <c r="M78" s="314">
        <v>0</v>
      </c>
      <c r="N78" s="314">
        <v>0</v>
      </c>
      <c r="O78" s="314">
        <v>0</v>
      </c>
      <c r="P78" s="314">
        <v>0</v>
      </c>
      <c r="Q78" s="314">
        <f t="shared" si="1"/>
        <v>0</v>
      </c>
      <c r="R78" s="314">
        <v>0</v>
      </c>
      <c r="S78" s="314">
        <v>0</v>
      </c>
      <c r="T78" s="314">
        <v>520270</v>
      </c>
    </row>
    <row r="79" spans="1:20" x14ac:dyDescent="0.25">
      <c r="A79" t="s">
        <v>226</v>
      </c>
      <c r="B79" t="s">
        <v>1145</v>
      </c>
      <c r="C79">
        <v>6152074</v>
      </c>
      <c r="D79">
        <v>2019</v>
      </c>
      <c r="E79" s="314">
        <v>0</v>
      </c>
      <c r="F79" s="314">
        <v>0</v>
      </c>
      <c r="G79" s="314">
        <v>0</v>
      </c>
      <c r="H79" s="314">
        <v>3484600</v>
      </c>
      <c r="I79" s="314">
        <v>0</v>
      </c>
      <c r="J79" s="314">
        <v>0</v>
      </c>
      <c r="K79" s="314">
        <v>0</v>
      </c>
      <c r="L79" s="313">
        <v>0</v>
      </c>
      <c r="M79" s="314">
        <v>0</v>
      </c>
      <c r="N79" s="314">
        <v>0</v>
      </c>
      <c r="O79" s="314">
        <v>34000</v>
      </c>
      <c r="P79" s="314">
        <v>328000</v>
      </c>
      <c r="Q79" s="314">
        <f t="shared" si="1"/>
        <v>362000</v>
      </c>
      <c r="R79" s="314">
        <v>0</v>
      </c>
      <c r="S79" s="314">
        <v>8000</v>
      </c>
      <c r="T79" s="314">
        <v>3854600</v>
      </c>
    </row>
    <row r="80" spans="1:20" x14ac:dyDescent="0.25">
      <c r="A80" t="s">
        <v>314</v>
      </c>
      <c r="B80" t="s">
        <v>312</v>
      </c>
      <c r="C80">
        <v>4309907</v>
      </c>
      <c r="D80">
        <v>2019</v>
      </c>
      <c r="E80" s="314">
        <v>183425</v>
      </c>
      <c r="F80" s="314">
        <v>38293.1</v>
      </c>
      <c r="G80" s="314">
        <v>0</v>
      </c>
      <c r="H80" s="314">
        <v>1903000</v>
      </c>
      <c r="I80" s="314">
        <v>0</v>
      </c>
      <c r="J80" s="314">
        <v>0</v>
      </c>
      <c r="K80" s="314">
        <v>0</v>
      </c>
      <c r="L80" s="313">
        <v>0</v>
      </c>
      <c r="M80" s="314">
        <v>0</v>
      </c>
      <c r="N80" s="314">
        <v>0</v>
      </c>
      <c r="O80" s="314">
        <v>0</v>
      </c>
      <c r="P80" s="314">
        <v>300000</v>
      </c>
      <c r="Q80" s="314">
        <f t="shared" si="1"/>
        <v>300000</v>
      </c>
      <c r="R80" s="314">
        <v>0</v>
      </c>
      <c r="S80" s="314">
        <v>0</v>
      </c>
      <c r="T80" s="314">
        <v>2424718.1</v>
      </c>
    </row>
    <row r="81" spans="1:20" x14ac:dyDescent="0.25">
      <c r="A81" t="s">
        <v>1517</v>
      </c>
      <c r="B81" t="s">
        <v>1517</v>
      </c>
      <c r="C81">
        <v>3028344</v>
      </c>
      <c r="D81">
        <v>2019</v>
      </c>
      <c r="E81" s="314">
        <v>239048</v>
      </c>
      <c r="F81" s="314">
        <v>160860</v>
      </c>
      <c r="G81" s="314">
        <v>0</v>
      </c>
      <c r="H81" s="314">
        <v>1489740</v>
      </c>
      <c r="I81" s="314">
        <v>0</v>
      </c>
      <c r="J81" s="314">
        <v>0</v>
      </c>
      <c r="K81" s="314">
        <v>1013232</v>
      </c>
      <c r="L81" s="313">
        <v>0</v>
      </c>
      <c r="M81" s="314">
        <v>0</v>
      </c>
      <c r="N81" s="314">
        <v>0</v>
      </c>
      <c r="O81" s="314">
        <v>0</v>
      </c>
      <c r="P81" s="314">
        <v>1860000</v>
      </c>
      <c r="Q81" s="314">
        <f t="shared" si="1"/>
        <v>1860000</v>
      </c>
      <c r="R81" s="314">
        <v>0</v>
      </c>
      <c r="S81" s="314">
        <v>0</v>
      </c>
      <c r="T81" s="314">
        <v>4762880</v>
      </c>
    </row>
    <row r="82" spans="1:20" x14ac:dyDescent="0.25">
      <c r="A82" t="s">
        <v>440</v>
      </c>
      <c r="B82" t="s">
        <v>440</v>
      </c>
      <c r="C82">
        <v>1450637</v>
      </c>
      <c r="D82">
        <v>2019</v>
      </c>
      <c r="E82" s="314">
        <v>0</v>
      </c>
      <c r="F82" s="314">
        <v>0</v>
      </c>
      <c r="G82" s="314">
        <v>0</v>
      </c>
      <c r="H82" s="314">
        <v>15108994</v>
      </c>
      <c r="I82" s="314">
        <v>0</v>
      </c>
      <c r="J82" s="314">
        <v>6399000</v>
      </c>
      <c r="K82" s="314">
        <v>0</v>
      </c>
      <c r="L82" s="313">
        <v>0</v>
      </c>
      <c r="M82" s="314">
        <v>0</v>
      </c>
      <c r="N82" s="314">
        <v>0</v>
      </c>
      <c r="O82" s="314">
        <v>45000</v>
      </c>
      <c r="P82" s="314">
        <v>0</v>
      </c>
      <c r="Q82" s="314">
        <f t="shared" si="1"/>
        <v>45000</v>
      </c>
      <c r="R82" s="314">
        <v>0</v>
      </c>
      <c r="S82" s="314">
        <v>0</v>
      </c>
      <c r="T82" s="314">
        <v>21552994</v>
      </c>
    </row>
    <row r="83" spans="1:20" x14ac:dyDescent="0.25">
      <c r="A83" t="s">
        <v>1522</v>
      </c>
      <c r="B83" t="s">
        <v>874</v>
      </c>
      <c r="C83">
        <v>9818505</v>
      </c>
      <c r="D83">
        <v>2019</v>
      </c>
      <c r="E83" s="314">
        <v>173738</v>
      </c>
      <c r="F83" s="314">
        <v>0</v>
      </c>
      <c r="G83" s="314">
        <v>0</v>
      </c>
      <c r="H83" s="314">
        <v>846920</v>
      </c>
      <c r="I83" s="314">
        <v>0</v>
      </c>
      <c r="J83" s="314">
        <v>0</v>
      </c>
      <c r="K83" s="314">
        <v>1191640.1000000001</v>
      </c>
      <c r="L83" s="313">
        <v>0</v>
      </c>
      <c r="M83" s="314">
        <v>0</v>
      </c>
      <c r="N83" s="314">
        <v>0</v>
      </c>
      <c r="O83" s="314">
        <v>0</v>
      </c>
      <c r="P83" s="314">
        <v>56600</v>
      </c>
      <c r="Q83" s="314">
        <f t="shared" si="1"/>
        <v>56600</v>
      </c>
      <c r="R83" s="314">
        <v>0</v>
      </c>
      <c r="S83" s="314">
        <v>66573.75</v>
      </c>
      <c r="T83" s="314">
        <v>2335471.85</v>
      </c>
    </row>
    <row r="84" spans="1:20" x14ac:dyDescent="0.25">
      <c r="A84" t="s">
        <v>386</v>
      </c>
      <c r="B84" t="s">
        <v>332</v>
      </c>
      <c r="C84">
        <v>3597628</v>
      </c>
      <c r="D84">
        <v>2019</v>
      </c>
      <c r="E84" s="314">
        <v>0</v>
      </c>
      <c r="F84" s="314">
        <v>0</v>
      </c>
      <c r="G84" s="314">
        <v>0</v>
      </c>
      <c r="H84" s="314">
        <v>2356313</v>
      </c>
      <c r="I84" s="314">
        <v>0</v>
      </c>
      <c r="J84" s="314">
        <v>0</v>
      </c>
      <c r="K84" s="314">
        <v>0</v>
      </c>
      <c r="L84" s="313">
        <v>0</v>
      </c>
      <c r="M84" s="314">
        <v>0</v>
      </c>
      <c r="N84" s="314">
        <v>0</v>
      </c>
      <c r="O84" s="314">
        <v>0</v>
      </c>
      <c r="P84" s="314">
        <v>2200000</v>
      </c>
      <c r="Q84" s="314">
        <f t="shared" si="1"/>
        <v>2200000</v>
      </c>
      <c r="R84" s="314">
        <v>0</v>
      </c>
      <c r="S84" s="314">
        <v>0</v>
      </c>
      <c r="T84" s="314">
        <v>4556313</v>
      </c>
    </row>
    <row r="85" spans="1:20" x14ac:dyDescent="0.25">
      <c r="A85" t="s">
        <v>735</v>
      </c>
      <c r="B85" t="s">
        <v>733</v>
      </c>
      <c r="C85">
        <v>3040542</v>
      </c>
      <c r="D85">
        <v>2019</v>
      </c>
      <c r="E85" s="314">
        <v>0</v>
      </c>
      <c r="F85" s="314">
        <v>65000</v>
      </c>
      <c r="G85" s="314">
        <v>0</v>
      </c>
      <c r="H85" s="314">
        <v>809340</v>
      </c>
      <c r="I85" s="314">
        <v>0</v>
      </c>
      <c r="J85" s="314">
        <v>0</v>
      </c>
      <c r="K85" s="314">
        <v>0</v>
      </c>
      <c r="L85" s="313">
        <v>0</v>
      </c>
      <c r="M85" s="314">
        <v>0</v>
      </c>
      <c r="N85" s="314">
        <v>0</v>
      </c>
      <c r="O85" s="314">
        <v>0</v>
      </c>
      <c r="P85" s="314">
        <v>40000</v>
      </c>
      <c r="Q85" s="314">
        <f t="shared" si="1"/>
        <v>40000</v>
      </c>
      <c r="R85" s="314">
        <v>0</v>
      </c>
      <c r="S85" s="314">
        <v>0</v>
      </c>
      <c r="T85" s="314">
        <v>914340</v>
      </c>
    </row>
    <row r="86" spans="1:20" x14ac:dyDescent="0.25">
      <c r="A86" t="s">
        <v>1299</v>
      </c>
      <c r="B86" t="s">
        <v>312</v>
      </c>
      <c r="C86">
        <v>7268793</v>
      </c>
      <c r="D86">
        <v>2019</v>
      </c>
      <c r="E86" s="314">
        <v>31000</v>
      </c>
      <c r="F86" s="314">
        <v>0</v>
      </c>
      <c r="G86" s="314">
        <v>0</v>
      </c>
      <c r="H86" s="314">
        <v>1794000</v>
      </c>
      <c r="I86" s="314">
        <v>0</v>
      </c>
      <c r="J86" s="314">
        <v>0</v>
      </c>
      <c r="K86" s="314">
        <v>0</v>
      </c>
      <c r="L86" s="313">
        <v>0</v>
      </c>
      <c r="M86" s="314">
        <v>0</v>
      </c>
      <c r="N86" s="314">
        <v>0</v>
      </c>
      <c r="O86" s="314">
        <v>0</v>
      </c>
      <c r="P86" s="314">
        <v>910000</v>
      </c>
      <c r="Q86" s="314">
        <f t="shared" si="1"/>
        <v>910000</v>
      </c>
      <c r="R86" s="314">
        <v>0</v>
      </c>
      <c r="S86" s="314">
        <v>0</v>
      </c>
      <c r="T86" s="314">
        <v>2735000</v>
      </c>
    </row>
    <row r="87" spans="1:20" x14ac:dyDescent="0.25">
      <c r="A87" t="s">
        <v>1246</v>
      </c>
      <c r="B87" t="s">
        <v>1247</v>
      </c>
      <c r="C87">
        <v>7846871</v>
      </c>
      <c r="D87">
        <v>2019</v>
      </c>
      <c r="E87" s="314">
        <v>40924</v>
      </c>
      <c r="F87" s="314">
        <v>0</v>
      </c>
      <c r="G87" s="314">
        <v>0</v>
      </c>
      <c r="H87" s="314">
        <v>1546867</v>
      </c>
      <c r="I87" s="314">
        <v>0</v>
      </c>
      <c r="J87" s="314">
        <v>0</v>
      </c>
      <c r="K87" s="314">
        <v>0</v>
      </c>
      <c r="L87" s="313">
        <v>0</v>
      </c>
      <c r="M87" s="314">
        <v>0</v>
      </c>
      <c r="N87" s="314">
        <v>0</v>
      </c>
      <c r="O87" s="314">
        <v>0</v>
      </c>
      <c r="P87" s="314">
        <v>0</v>
      </c>
      <c r="Q87" s="314">
        <f t="shared" si="1"/>
        <v>0</v>
      </c>
      <c r="R87" s="314">
        <v>0</v>
      </c>
      <c r="S87" s="314">
        <v>0</v>
      </c>
      <c r="T87" s="314">
        <v>1587791</v>
      </c>
    </row>
    <row r="88" spans="1:20" x14ac:dyDescent="0.25">
      <c r="A88" t="s">
        <v>1210</v>
      </c>
      <c r="B88" t="s">
        <v>613</v>
      </c>
      <c r="C88">
        <v>6428468</v>
      </c>
      <c r="D88">
        <v>2019</v>
      </c>
      <c r="E88" s="314">
        <v>0</v>
      </c>
      <c r="F88" s="314">
        <v>0</v>
      </c>
      <c r="G88" s="314">
        <v>0</v>
      </c>
      <c r="H88" s="314">
        <v>2626403</v>
      </c>
      <c r="I88" s="314">
        <v>0</v>
      </c>
      <c r="J88" s="314">
        <v>0</v>
      </c>
      <c r="K88" s="314">
        <v>0</v>
      </c>
      <c r="L88" s="313">
        <v>0</v>
      </c>
      <c r="M88" s="314">
        <v>0</v>
      </c>
      <c r="N88" s="314">
        <v>0</v>
      </c>
      <c r="O88" s="314">
        <v>0</v>
      </c>
      <c r="P88" s="314">
        <v>1539455</v>
      </c>
      <c r="Q88" s="314">
        <f t="shared" si="1"/>
        <v>1539455</v>
      </c>
      <c r="R88" s="314">
        <v>0</v>
      </c>
      <c r="S88" s="314">
        <v>0</v>
      </c>
      <c r="T88" s="314">
        <v>4165858</v>
      </c>
    </row>
    <row r="89" spans="1:20" x14ac:dyDescent="0.25">
      <c r="A89" t="s">
        <v>1436</v>
      </c>
      <c r="B89" t="s">
        <v>332</v>
      </c>
      <c r="C89">
        <v>4987165</v>
      </c>
      <c r="D89">
        <v>2019</v>
      </c>
      <c r="E89" s="314">
        <v>0</v>
      </c>
      <c r="F89" s="314">
        <v>0</v>
      </c>
      <c r="G89" s="314">
        <v>0</v>
      </c>
      <c r="H89" s="314">
        <v>1024820</v>
      </c>
      <c r="I89" s="314">
        <v>0</v>
      </c>
      <c r="J89" s="314">
        <v>0</v>
      </c>
      <c r="K89" s="314">
        <v>1020025</v>
      </c>
      <c r="L89" s="313">
        <v>0</v>
      </c>
      <c r="M89" s="314">
        <v>0</v>
      </c>
      <c r="N89" s="314">
        <v>0</v>
      </c>
      <c r="O89" s="314">
        <v>0</v>
      </c>
      <c r="P89" s="314">
        <v>1460000</v>
      </c>
      <c r="Q89" s="314">
        <f t="shared" si="1"/>
        <v>1460000</v>
      </c>
      <c r="R89" s="314">
        <v>0</v>
      </c>
      <c r="S89" s="314">
        <v>0</v>
      </c>
      <c r="T89" s="314">
        <v>3504845</v>
      </c>
    </row>
    <row r="90" spans="1:20" x14ac:dyDescent="0.25">
      <c r="A90" t="s">
        <v>1296</v>
      </c>
      <c r="B90" t="s">
        <v>1297</v>
      </c>
      <c r="C90">
        <v>6684022</v>
      </c>
      <c r="D90">
        <v>2019</v>
      </c>
      <c r="E90" s="314">
        <v>0</v>
      </c>
      <c r="F90" s="314">
        <v>458716</v>
      </c>
      <c r="G90" s="314">
        <v>0</v>
      </c>
      <c r="H90" s="314">
        <v>3360591</v>
      </c>
      <c r="I90" s="314">
        <v>0</v>
      </c>
      <c r="J90" s="314">
        <v>0</v>
      </c>
      <c r="K90" s="314">
        <v>0</v>
      </c>
      <c r="L90" s="313">
        <v>0</v>
      </c>
      <c r="M90" s="314">
        <v>0</v>
      </c>
      <c r="N90" s="314">
        <v>0</v>
      </c>
      <c r="O90" s="314">
        <v>10000</v>
      </c>
      <c r="P90" s="314">
        <v>591272</v>
      </c>
      <c r="Q90" s="314">
        <f t="shared" si="1"/>
        <v>601272</v>
      </c>
      <c r="R90" s="314">
        <v>0</v>
      </c>
      <c r="S90" s="314">
        <v>0</v>
      </c>
      <c r="T90" s="314">
        <v>4420579</v>
      </c>
    </row>
    <row r="91" spans="1:20" x14ac:dyDescent="0.25">
      <c r="A91" t="s">
        <v>1309</v>
      </c>
      <c r="B91" t="s">
        <v>1268</v>
      </c>
      <c r="C91">
        <v>5312119</v>
      </c>
      <c r="D91">
        <v>2019</v>
      </c>
      <c r="E91" s="314">
        <v>804000</v>
      </c>
      <c r="F91" s="314">
        <v>0</v>
      </c>
      <c r="G91" s="314">
        <v>0</v>
      </c>
      <c r="H91" s="314">
        <v>0</v>
      </c>
      <c r="I91" s="314">
        <v>0</v>
      </c>
      <c r="J91" s="314">
        <v>0</v>
      </c>
      <c r="K91" s="314">
        <v>0</v>
      </c>
      <c r="L91" s="313">
        <v>0</v>
      </c>
      <c r="M91" s="314">
        <v>0</v>
      </c>
      <c r="N91" s="314">
        <v>0</v>
      </c>
      <c r="O91" s="314">
        <v>0</v>
      </c>
      <c r="P91" s="314">
        <v>12000</v>
      </c>
      <c r="Q91" s="314">
        <f t="shared" si="1"/>
        <v>12000</v>
      </c>
      <c r="R91" s="314">
        <v>0</v>
      </c>
      <c r="S91" s="314">
        <v>3550000</v>
      </c>
      <c r="T91" s="314">
        <v>4366000</v>
      </c>
    </row>
    <row r="92" spans="1:20" x14ac:dyDescent="0.25">
      <c r="A92" t="s">
        <v>390</v>
      </c>
      <c r="B92" t="s">
        <v>682</v>
      </c>
      <c r="C92">
        <v>4782003</v>
      </c>
      <c r="D92">
        <v>2019</v>
      </c>
      <c r="E92" s="314">
        <v>0</v>
      </c>
      <c r="F92" s="314">
        <v>0</v>
      </c>
      <c r="G92" s="314">
        <v>0</v>
      </c>
      <c r="H92" s="314">
        <v>6898917</v>
      </c>
      <c r="I92" s="314">
        <v>0</v>
      </c>
      <c r="J92" s="314">
        <v>0</v>
      </c>
      <c r="K92" s="314">
        <v>0</v>
      </c>
      <c r="L92" s="313">
        <v>0</v>
      </c>
      <c r="M92" s="314">
        <v>0</v>
      </c>
      <c r="N92" s="314">
        <v>0</v>
      </c>
      <c r="O92" s="314">
        <v>0</v>
      </c>
      <c r="P92" s="314">
        <v>6920000</v>
      </c>
      <c r="Q92" s="314">
        <f t="shared" si="1"/>
        <v>6920000</v>
      </c>
      <c r="R92" s="314">
        <v>0</v>
      </c>
      <c r="S92" s="314">
        <v>0</v>
      </c>
      <c r="T92" s="314">
        <v>13818917</v>
      </c>
    </row>
    <row r="93" spans="1:20" x14ac:dyDescent="0.25">
      <c r="A93" t="s">
        <v>425</v>
      </c>
      <c r="B93" t="s">
        <v>425</v>
      </c>
      <c r="C93">
        <v>3446957</v>
      </c>
      <c r="D93">
        <v>2019</v>
      </c>
      <c r="E93" s="314">
        <v>0</v>
      </c>
      <c r="F93" s="314">
        <v>0</v>
      </c>
      <c r="G93" s="314">
        <v>0</v>
      </c>
      <c r="H93" s="314">
        <v>650000</v>
      </c>
      <c r="I93" s="314">
        <v>0</v>
      </c>
      <c r="J93" s="314">
        <v>572881</v>
      </c>
      <c r="K93" s="314">
        <v>0</v>
      </c>
      <c r="L93" s="313">
        <v>0</v>
      </c>
      <c r="M93" s="314">
        <v>0</v>
      </c>
      <c r="N93" s="314">
        <v>0</v>
      </c>
      <c r="O93" s="314">
        <v>0</v>
      </c>
      <c r="P93" s="314">
        <v>0</v>
      </c>
      <c r="Q93" s="314">
        <f t="shared" si="1"/>
        <v>0</v>
      </c>
      <c r="R93" s="314">
        <v>0</v>
      </c>
      <c r="S93" s="314">
        <v>0</v>
      </c>
      <c r="T93" s="314">
        <v>1222881</v>
      </c>
    </row>
    <row r="94" spans="1:20" x14ac:dyDescent="0.25">
      <c r="A94" t="s">
        <v>390</v>
      </c>
      <c r="B94" t="s">
        <v>1213</v>
      </c>
      <c r="C94">
        <v>4396482</v>
      </c>
      <c r="D94">
        <v>2019</v>
      </c>
      <c r="E94" s="314">
        <v>0</v>
      </c>
      <c r="F94" s="314">
        <v>0</v>
      </c>
      <c r="G94" s="314">
        <v>0</v>
      </c>
      <c r="H94" s="314">
        <v>4959810</v>
      </c>
      <c r="I94" s="314">
        <v>0</v>
      </c>
      <c r="J94" s="314">
        <v>0</v>
      </c>
      <c r="K94" s="314">
        <v>0</v>
      </c>
      <c r="L94" s="313">
        <v>0</v>
      </c>
      <c r="M94" s="314">
        <v>0</v>
      </c>
      <c r="N94" s="314">
        <v>0</v>
      </c>
      <c r="O94" s="314">
        <v>121744.54</v>
      </c>
      <c r="P94" s="314">
        <v>2515000</v>
      </c>
      <c r="Q94" s="314">
        <f t="shared" si="1"/>
        <v>2636744.54</v>
      </c>
      <c r="R94" s="314">
        <v>0</v>
      </c>
      <c r="S94" s="314">
        <v>0</v>
      </c>
      <c r="T94" s="314">
        <v>7596554.54</v>
      </c>
    </row>
    <row r="95" spans="1:20" x14ac:dyDescent="0.25">
      <c r="A95" t="s">
        <v>1362</v>
      </c>
      <c r="B95" t="s">
        <v>1362</v>
      </c>
      <c r="C95">
        <v>9142033</v>
      </c>
      <c r="D95">
        <v>2019</v>
      </c>
      <c r="E95" s="314">
        <v>0</v>
      </c>
      <c r="F95" s="314">
        <v>0</v>
      </c>
      <c r="G95" s="314">
        <v>0</v>
      </c>
      <c r="H95" s="314">
        <v>5580860</v>
      </c>
      <c r="I95" s="314">
        <v>0</v>
      </c>
      <c r="J95" s="314">
        <v>0</v>
      </c>
      <c r="K95" s="314">
        <v>0</v>
      </c>
      <c r="L95" s="313">
        <v>0</v>
      </c>
      <c r="M95" s="314">
        <v>0</v>
      </c>
      <c r="N95" s="314">
        <v>0</v>
      </c>
      <c r="O95" s="314">
        <v>0</v>
      </c>
      <c r="P95" s="314">
        <v>0</v>
      </c>
      <c r="Q95" s="314">
        <f t="shared" si="1"/>
        <v>0</v>
      </c>
      <c r="R95" s="314">
        <v>0</v>
      </c>
      <c r="S95" s="314">
        <v>0</v>
      </c>
      <c r="T95" s="314">
        <v>5580860</v>
      </c>
    </row>
    <row r="96" spans="1:20" x14ac:dyDescent="0.25">
      <c r="A96" t="s">
        <v>997</v>
      </c>
      <c r="B96" t="s">
        <v>997</v>
      </c>
      <c r="C96">
        <v>6375207</v>
      </c>
      <c r="D96">
        <v>2019</v>
      </c>
      <c r="E96" s="314">
        <v>0</v>
      </c>
      <c r="F96" s="314">
        <v>0</v>
      </c>
      <c r="G96" s="314">
        <v>0</v>
      </c>
      <c r="H96" s="314">
        <v>330011</v>
      </c>
      <c r="I96" s="314">
        <v>0</v>
      </c>
      <c r="J96" s="314">
        <v>650000</v>
      </c>
      <c r="K96" s="314">
        <v>0</v>
      </c>
      <c r="L96" s="313">
        <v>0</v>
      </c>
      <c r="M96" s="314">
        <v>0</v>
      </c>
      <c r="N96" s="314">
        <v>0</v>
      </c>
      <c r="O96" s="314">
        <v>0</v>
      </c>
      <c r="P96" s="314">
        <v>0</v>
      </c>
      <c r="Q96" s="314">
        <f t="shared" si="1"/>
        <v>0</v>
      </c>
      <c r="R96" s="314">
        <v>0</v>
      </c>
      <c r="S96" s="314">
        <v>0</v>
      </c>
      <c r="T96" s="314">
        <v>980011</v>
      </c>
    </row>
    <row r="97" spans="1:20" x14ac:dyDescent="0.25">
      <c r="A97" t="s">
        <v>1433</v>
      </c>
      <c r="B97" t="s">
        <v>553</v>
      </c>
      <c r="C97">
        <v>4526227</v>
      </c>
      <c r="D97">
        <v>2019</v>
      </c>
      <c r="E97" s="314">
        <v>0</v>
      </c>
      <c r="F97" s="314">
        <v>0</v>
      </c>
      <c r="G97" s="314">
        <v>0</v>
      </c>
      <c r="H97" s="314">
        <v>1051150</v>
      </c>
      <c r="I97" s="314">
        <v>0</v>
      </c>
      <c r="J97" s="314">
        <v>0</v>
      </c>
      <c r="K97" s="314">
        <v>815468</v>
      </c>
      <c r="L97" s="313">
        <v>195000</v>
      </c>
      <c r="M97" s="314">
        <v>0</v>
      </c>
      <c r="N97" s="314">
        <v>0</v>
      </c>
      <c r="O97" s="314">
        <v>0</v>
      </c>
      <c r="P97" s="314">
        <v>117300</v>
      </c>
      <c r="Q97" s="314">
        <f t="shared" si="1"/>
        <v>117300</v>
      </c>
      <c r="R97" s="314">
        <v>0</v>
      </c>
      <c r="S97" s="314">
        <v>0</v>
      </c>
      <c r="T97" s="314">
        <v>2178918</v>
      </c>
    </row>
    <row r="98" spans="1:20" x14ac:dyDescent="0.25">
      <c r="A98" t="s">
        <v>502</v>
      </c>
      <c r="B98" t="s">
        <v>502</v>
      </c>
      <c r="C98">
        <v>6565956</v>
      </c>
      <c r="D98">
        <v>2019</v>
      </c>
      <c r="E98" s="314">
        <v>0</v>
      </c>
      <c r="F98" s="314">
        <v>0</v>
      </c>
      <c r="G98" s="314">
        <v>0</v>
      </c>
      <c r="H98" s="314">
        <v>7047423</v>
      </c>
      <c r="I98" s="314">
        <v>0</v>
      </c>
      <c r="J98" s="314">
        <v>2130590</v>
      </c>
      <c r="K98" s="314">
        <v>0</v>
      </c>
      <c r="L98" s="313">
        <v>0</v>
      </c>
      <c r="M98" s="314">
        <v>0</v>
      </c>
      <c r="N98" s="314">
        <v>0</v>
      </c>
      <c r="O98" s="314">
        <v>0</v>
      </c>
      <c r="P98" s="314">
        <v>0</v>
      </c>
      <c r="Q98" s="314">
        <f t="shared" si="1"/>
        <v>0</v>
      </c>
      <c r="R98" s="314">
        <v>0</v>
      </c>
      <c r="S98" s="314">
        <v>0</v>
      </c>
      <c r="T98" s="314">
        <v>9178013</v>
      </c>
    </row>
    <row r="99" spans="1:20" x14ac:dyDescent="0.25">
      <c r="A99" t="s">
        <v>1075</v>
      </c>
      <c r="B99" t="s">
        <v>776</v>
      </c>
      <c r="C99">
        <v>2886510</v>
      </c>
      <c r="D99">
        <v>2019</v>
      </c>
      <c r="E99" s="314">
        <v>0</v>
      </c>
      <c r="F99" s="314">
        <v>0</v>
      </c>
      <c r="G99" s="314">
        <v>0</v>
      </c>
      <c r="H99" s="314">
        <v>2120418</v>
      </c>
      <c r="I99" s="314">
        <v>0</v>
      </c>
      <c r="J99" s="314">
        <v>0</v>
      </c>
      <c r="K99" s="314">
        <v>0</v>
      </c>
      <c r="L99" s="313">
        <v>104236</v>
      </c>
      <c r="M99" s="314">
        <v>0</v>
      </c>
      <c r="N99" s="314">
        <v>0</v>
      </c>
      <c r="O99" s="314">
        <v>0</v>
      </c>
      <c r="P99" s="314">
        <v>290000</v>
      </c>
      <c r="Q99" s="314">
        <f t="shared" si="1"/>
        <v>290000</v>
      </c>
      <c r="R99" s="314">
        <v>0</v>
      </c>
      <c r="S99" s="314">
        <v>0</v>
      </c>
      <c r="T99" s="314">
        <v>2514654</v>
      </c>
    </row>
    <row r="100" spans="1:20" x14ac:dyDescent="0.25">
      <c r="A100" t="s">
        <v>760</v>
      </c>
      <c r="B100" t="s">
        <v>760</v>
      </c>
      <c r="C100">
        <v>6466112</v>
      </c>
      <c r="D100">
        <v>2019</v>
      </c>
      <c r="E100" s="314">
        <v>10683</v>
      </c>
      <c r="F100" s="314">
        <v>0</v>
      </c>
      <c r="G100" s="314">
        <v>0</v>
      </c>
      <c r="H100" s="314">
        <v>522000</v>
      </c>
      <c r="I100" s="314">
        <v>0</v>
      </c>
      <c r="J100" s="314">
        <v>0</v>
      </c>
      <c r="K100" s="314">
        <v>0</v>
      </c>
      <c r="L100" s="313">
        <v>0</v>
      </c>
      <c r="M100" s="314">
        <v>0</v>
      </c>
      <c r="N100" s="314">
        <v>0</v>
      </c>
      <c r="O100" s="314">
        <v>0</v>
      </c>
      <c r="P100" s="314">
        <v>0</v>
      </c>
      <c r="Q100" s="314">
        <f t="shared" si="1"/>
        <v>0</v>
      </c>
      <c r="R100" s="314">
        <v>0</v>
      </c>
      <c r="S100" s="314">
        <v>0</v>
      </c>
      <c r="T100" s="314">
        <v>532683</v>
      </c>
    </row>
    <row r="101" spans="1:20" x14ac:dyDescent="0.25">
      <c r="A101" t="s">
        <v>1485</v>
      </c>
      <c r="B101" t="s">
        <v>1067</v>
      </c>
      <c r="C101">
        <v>4373225</v>
      </c>
      <c r="D101">
        <v>2019</v>
      </c>
      <c r="E101" s="314">
        <v>45000</v>
      </c>
      <c r="F101" s="314">
        <v>0</v>
      </c>
      <c r="G101" s="314">
        <v>0</v>
      </c>
      <c r="H101" s="314">
        <v>531000</v>
      </c>
      <c r="I101" s="314">
        <v>0</v>
      </c>
      <c r="J101" s="314">
        <v>0</v>
      </c>
      <c r="K101" s="314">
        <v>458374</v>
      </c>
      <c r="L101" s="313">
        <v>0</v>
      </c>
      <c r="M101" s="314">
        <v>0</v>
      </c>
      <c r="N101" s="314">
        <v>0</v>
      </c>
      <c r="O101" s="314">
        <v>0</v>
      </c>
      <c r="P101" s="314">
        <v>18500</v>
      </c>
      <c r="Q101" s="314">
        <f t="shared" si="1"/>
        <v>18500</v>
      </c>
      <c r="R101" s="314">
        <v>72000.5</v>
      </c>
      <c r="S101" s="314">
        <v>4136.66</v>
      </c>
      <c r="T101" s="314">
        <v>1129011.1599999999</v>
      </c>
    </row>
    <row r="102" spans="1:20" x14ac:dyDescent="0.25">
      <c r="A102" t="s">
        <v>294</v>
      </c>
      <c r="B102" t="s">
        <v>290</v>
      </c>
      <c r="C102">
        <v>6630553</v>
      </c>
      <c r="D102">
        <v>2019</v>
      </c>
      <c r="E102" s="314">
        <v>136636</v>
      </c>
      <c r="F102" s="314">
        <v>0</v>
      </c>
      <c r="G102" s="314">
        <v>0</v>
      </c>
      <c r="H102" s="314">
        <v>2208380</v>
      </c>
      <c r="I102" s="314">
        <v>0</v>
      </c>
      <c r="J102" s="314">
        <v>0</v>
      </c>
      <c r="K102" s="314">
        <v>0</v>
      </c>
      <c r="L102" s="313">
        <v>0</v>
      </c>
      <c r="M102" s="314">
        <v>0</v>
      </c>
      <c r="N102" s="314">
        <v>0</v>
      </c>
      <c r="O102" s="314">
        <v>0</v>
      </c>
      <c r="P102" s="314">
        <v>300000</v>
      </c>
      <c r="Q102" s="314">
        <f t="shared" si="1"/>
        <v>300000</v>
      </c>
      <c r="R102" s="314">
        <v>0</v>
      </c>
      <c r="S102" s="314">
        <v>0</v>
      </c>
      <c r="T102" s="314">
        <v>2645016</v>
      </c>
    </row>
    <row r="103" spans="1:20" x14ac:dyDescent="0.25">
      <c r="A103" t="s">
        <v>933</v>
      </c>
      <c r="B103" t="s">
        <v>928</v>
      </c>
      <c r="C103">
        <v>9379121</v>
      </c>
      <c r="D103">
        <v>2019</v>
      </c>
      <c r="E103" s="314">
        <v>0</v>
      </c>
      <c r="F103" s="314">
        <v>0</v>
      </c>
      <c r="G103" s="314">
        <v>0</v>
      </c>
      <c r="H103" s="314">
        <v>2766100</v>
      </c>
      <c r="I103" s="314">
        <v>0</v>
      </c>
      <c r="J103" s="314">
        <v>876588.7</v>
      </c>
      <c r="K103" s="314">
        <v>1410292</v>
      </c>
      <c r="L103" s="313">
        <v>0</v>
      </c>
      <c r="M103" s="314">
        <v>0</v>
      </c>
      <c r="N103" s="314">
        <v>0</v>
      </c>
      <c r="O103" s="314">
        <v>0</v>
      </c>
      <c r="P103" s="314">
        <v>101900</v>
      </c>
      <c r="Q103" s="314">
        <f t="shared" si="1"/>
        <v>101900</v>
      </c>
      <c r="R103" s="314">
        <v>1500000</v>
      </c>
      <c r="S103" s="314">
        <v>0</v>
      </c>
      <c r="T103" s="314">
        <v>6654880.7000000002</v>
      </c>
    </row>
    <row r="104" spans="1:20" x14ac:dyDescent="0.25">
      <c r="A104" t="s">
        <v>1457</v>
      </c>
      <c r="B104" t="s">
        <v>553</v>
      </c>
      <c r="C104">
        <v>7653065</v>
      </c>
      <c r="D104">
        <v>2019</v>
      </c>
      <c r="E104" s="314">
        <v>0</v>
      </c>
      <c r="F104" s="314">
        <v>0</v>
      </c>
      <c r="G104" s="314">
        <v>0</v>
      </c>
      <c r="H104" s="314">
        <v>1688690</v>
      </c>
      <c r="I104" s="314">
        <v>0</v>
      </c>
      <c r="J104" s="314">
        <v>0</v>
      </c>
      <c r="K104" s="314">
        <v>1382185</v>
      </c>
      <c r="L104" s="313">
        <v>135000</v>
      </c>
      <c r="M104" s="314">
        <v>0</v>
      </c>
      <c r="N104" s="314">
        <v>0</v>
      </c>
      <c r="O104" s="314">
        <v>0</v>
      </c>
      <c r="P104" s="314">
        <v>156400</v>
      </c>
      <c r="Q104" s="314">
        <f t="shared" si="1"/>
        <v>156400</v>
      </c>
      <c r="R104" s="314">
        <v>0</v>
      </c>
      <c r="S104" s="314">
        <v>0</v>
      </c>
      <c r="T104" s="314">
        <v>3362275</v>
      </c>
    </row>
    <row r="105" spans="1:20" x14ac:dyDescent="0.25">
      <c r="A105" t="s">
        <v>1066</v>
      </c>
      <c r="B105" t="s">
        <v>1067</v>
      </c>
      <c r="C105">
        <v>6811251</v>
      </c>
      <c r="D105">
        <v>2019</v>
      </c>
      <c r="E105" s="314">
        <v>14518</v>
      </c>
      <c r="F105" s="314">
        <v>21070.99</v>
      </c>
      <c r="G105" s="314">
        <v>0</v>
      </c>
      <c r="H105" s="314">
        <v>392240</v>
      </c>
      <c r="I105" s="314">
        <v>0</v>
      </c>
      <c r="J105" s="314">
        <v>0</v>
      </c>
      <c r="K105" s="314">
        <v>0</v>
      </c>
      <c r="L105" s="313">
        <v>0</v>
      </c>
      <c r="M105" s="314">
        <v>0</v>
      </c>
      <c r="N105" s="314">
        <v>0</v>
      </c>
      <c r="O105" s="314">
        <v>0</v>
      </c>
      <c r="P105" s="314">
        <v>10000</v>
      </c>
      <c r="Q105" s="314">
        <f t="shared" si="1"/>
        <v>10000</v>
      </c>
      <c r="R105" s="314">
        <v>0</v>
      </c>
      <c r="S105" s="314">
        <v>0</v>
      </c>
      <c r="T105" s="314">
        <v>437828.99</v>
      </c>
    </row>
    <row r="106" spans="1:20" x14ac:dyDescent="0.25">
      <c r="A106" t="s">
        <v>257</v>
      </c>
      <c r="B106" t="s">
        <v>257</v>
      </c>
      <c r="C106">
        <v>3650770</v>
      </c>
      <c r="D106">
        <v>2019</v>
      </c>
      <c r="E106" s="314">
        <v>0</v>
      </c>
      <c r="F106" s="314">
        <v>0</v>
      </c>
      <c r="G106" s="314">
        <v>0</v>
      </c>
      <c r="H106" s="314">
        <v>0</v>
      </c>
      <c r="I106" s="314">
        <v>0</v>
      </c>
      <c r="J106" s="314">
        <v>600000</v>
      </c>
      <c r="K106" s="314">
        <v>2080800</v>
      </c>
      <c r="L106" s="313">
        <v>0</v>
      </c>
      <c r="M106" s="314">
        <v>0</v>
      </c>
      <c r="N106" s="314">
        <v>0</v>
      </c>
      <c r="O106" s="314">
        <v>0</v>
      </c>
      <c r="P106" s="314">
        <v>0</v>
      </c>
      <c r="Q106" s="314">
        <f t="shared" si="1"/>
        <v>0</v>
      </c>
      <c r="R106" s="314">
        <v>0</v>
      </c>
      <c r="S106" s="314">
        <v>0</v>
      </c>
      <c r="T106" s="314">
        <v>2680800</v>
      </c>
    </row>
    <row r="107" spans="1:20" x14ac:dyDescent="0.25">
      <c r="A107" t="s">
        <v>974</v>
      </c>
      <c r="B107" t="s">
        <v>974</v>
      </c>
      <c r="C107">
        <v>5173305</v>
      </c>
      <c r="D107">
        <v>2019</v>
      </c>
      <c r="E107" s="314">
        <v>0</v>
      </c>
      <c r="F107" s="314">
        <v>0</v>
      </c>
      <c r="G107" s="314">
        <v>0</v>
      </c>
      <c r="H107" s="314">
        <v>1991460</v>
      </c>
      <c r="I107" s="314">
        <v>0</v>
      </c>
      <c r="J107" s="314">
        <v>0</v>
      </c>
      <c r="K107" s="314">
        <v>0</v>
      </c>
      <c r="L107" s="313">
        <v>0</v>
      </c>
      <c r="M107" s="314">
        <v>0</v>
      </c>
      <c r="N107" s="314">
        <v>0</v>
      </c>
      <c r="O107" s="314">
        <v>0</v>
      </c>
      <c r="P107" s="314">
        <v>0</v>
      </c>
      <c r="Q107" s="314">
        <f t="shared" si="1"/>
        <v>0</v>
      </c>
      <c r="R107" s="314">
        <v>0</v>
      </c>
      <c r="S107" s="314">
        <v>0</v>
      </c>
      <c r="T107" s="314">
        <v>1991460</v>
      </c>
    </row>
    <row r="108" spans="1:20" x14ac:dyDescent="0.25">
      <c r="A108" t="s">
        <v>1179</v>
      </c>
      <c r="B108" t="s">
        <v>760</v>
      </c>
      <c r="C108">
        <v>2028356</v>
      </c>
      <c r="D108">
        <v>2019</v>
      </c>
      <c r="E108" s="314">
        <v>0</v>
      </c>
      <c r="F108" s="314">
        <v>156971</v>
      </c>
      <c r="G108" s="314">
        <v>0</v>
      </c>
      <c r="H108" s="314">
        <v>3898282</v>
      </c>
      <c r="I108" s="314">
        <v>0</v>
      </c>
      <c r="J108" s="314">
        <v>0</v>
      </c>
      <c r="K108" s="314">
        <v>0</v>
      </c>
      <c r="L108" s="313">
        <v>0</v>
      </c>
      <c r="M108" s="314">
        <v>0</v>
      </c>
      <c r="N108" s="314">
        <v>0</v>
      </c>
      <c r="O108" s="314">
        <v>59761</v>
      </c>
      <c r="P108" s="314">
        <v>1250000</v>
      </c>
      <c r="Q108" s="314">
        <f t="shared" si="1"/>
        <v>1309761</v>
      </c>
      <c r="R108" s="314">
        <v>0</v>
      </c>
      <c r="S108" s="314">
        <v>0</v>
      </c>
      <c r="T108" s="314">
        <v>5365014</v>
      </c>
    </row>
    <row r="109" spans="1:20" x14ac:dyDescent="0.25">
      <c r="A109" t="s">
        <v>390</v>
      </c>
      <c r="B109" t="s">
        <v>1003</v>
      </c>
      <c r="C109">
        <v>1109434</v>
      </c>
      <c r="D109">
        <v>2019</v>
      </c>
      <c r="E109" s="314">
        <v>2241991</v>
      </c>
      <c r="F109" s="314">
        <v>0</v>
      </c>
      <c r="G109" s="314">
        <v>0</v>
      </c>
      <c r="H109" s="314">
        <v>4880300</v>
      </c>
      <c r="I109" s="314">
        <v>0</v>
      </c>
      <c r="J109" s="314">
        <v>0</v>
      </c>
      <c r="K109" s="314">
        <v>0</v>
      </c>
      <c r="L109" s="313">
        <v>0</v>
      </c>
      <c r="M109" s="314">
        <v>0</v>
      </c>
      <c r="N109" s="314">
        <v>0</v>
      </c>
      <c r="O109" s="314">
        <v>0</v>
      </c>
      <c r="P109" s="314">
        <v>3850000</v>
      </c>
      <c r="Q109" s="314">
        <f t="shared" si="1"/>
        <v>3850000</v>
      </c>
      <c r="R109" s="314">
        <v>0</v>
      </c>
      <c r="S109" s="314">
        <v>0</v>
      </c>
      <c r="T109" s="314">
        <v>10972291</v>
      </c>
    </row>
    <row r="110" spans="1:20" x14ac:dyDescent="0.25">
      <c r="A110" t="s">
        <v>1176</v>
      </c>
      <c r="B110" t="s">
        <v>1176</v>
      </c>
      <c r="C110">
        <v>1826777</v>
      </c>
      <c r="D110">
        <v>2019</v>
      </c>
      <c r="E110" s="314">
        <v>0</v>
      </c>
      <c r="F110" s="314">
        <v>0</v>
      </c>
      <c r="G110" s="314">
        <v>0</v>
      </c>
      <c r="H110" s="314">
        <v>3337224</v>
      </c>
      <c r="I110" s="314">
        <v>0</v>
      </c>
      <c r="J110" s="314">
        <v>0</v>
      </c>
      <c r="K110" s="314">
        <v>0</v>
      </c>
      <c r="L110" s="313">
        <v>0</v>
      </c>
      <c r="M110" s="314">
        <v>0</v>
      </c>
      <c r="N110" s="314">
        <v>0</v>
      </c>
      <c r="O110" s="314">
        <v>0</v>
      </c>
      <c r="P110" s="314">
        <v>1452000</v>
      </c>
      <c r="Q110" s="314">
        <f t="shared" si="1"/>
        <v>1452000</v>
      </c>
      <c r="R110" s="314">
        <v>0</v>
      </c>
      <c r="S110" s="314">
        <v>0</v>
      </c>
      <c r="T110" s="314">
        <v>4789224</v>
      </c>
    </row>
    <row r="111" spans="1:20" x14ac:dyDescent="0.25">
      <c r="A111" t="s">
        <v>1293</v>
      </c>
      <c r="B111" t="s">
        <v>1213</v>
      </c>
      <c r="C111">
        <v>5599785</v>
      </c>
      <c r="D111">
        <v>2019</v>
      </c>
      <c r="E111" s="314">
        <v>0</v>
      </c>
      <c r="F111" s="314">
        <v>0</v>
      </c>
      <c r="G111" s="314">
        <v>0</v>
      </c>
      <c r="H111" s="314">
        <v>761571</v>
      </c>
      <c r="I111" s="314">
        <v>0</v>
      </c>
      <c r="J111" s="314">
        <v>0</v>
      </c>
      <c r="K111" s="314">
        <v>0</v>
      </c>
      <c r="L111" s="313">
        <v>0</v>
      </c>
      <c r="M111" s="314">
        <v>0</v>
      </c>
      <c r="N111" s="314">
        <v>0</v>
      </c>
      <c r="O111" s="314">
        <v>0</v>
      </c>
      <c r="P111" s="314">
        <v>480000</v>
      </c>
      <c r="Q111" s="314">
        <f t="shared" si="1"/>
        <v>480000</v>
      </c>
      <c r="R111" s="314">
        <v>0</v>
      </c>
      <c r="S111" s="314">
        <v>0</v>
      </c>
      <c r="T111" s="314">
        <v>1241571</v>
      </c>
    </row>
    <row r="112" spans="1:20" x14ac:dyDescent="0.25">
      <c r="A112" t="s">
        <v>846</v>
      </c>
      <c r="B112" t="s">
        <v>842</v>
      </c>
      <c r="C112">
        <v>8350990</v>
      </c>
      <c r="D112">
        <v>2019</v>
      </c>
      <c r="E112" s="314">
        <v>0</v>
      </c>
      <c r="F112" s="314">
        <v>0</v>
      </c>
      <c r="G112" s="314">
        <v>0</v>
      </c>
      <c r="H112" s="314">
        <v>1623500</v>
      </c>
      <c r="I112" s="314">
        <v>0</v>
      </c>
      <c r="J112" s="314">
        <v>0</v>
      </c>
      <c r="K112" s="314">
        <v>0</v>
      </c>
      <c r="L112" s="313">
        <v>0</v>
      </c>
      <c r="M112" s="314">
        <v>0</v>
      </c>
      <c r="N112" s="314">
        <v>0</v>
      </c>
      <c r="O112" s="314">
        <v>0</v>
      </c>
      <c r="P112" s="314">
        <v>250000</v>
      </c>
      <c r="Q112" s="314">
        <f t="shared" si="1"/>
        <v>250000</v>
      </c>
      <c r="R112" s="314">
        <v>0</v>
      </c>
      <c r="S112" s="314">
        <v>0</v>
      </c>
      <c r="T112" s="314">
        <v>1873500</v>
      </c>
    </row>
    <row r="113" spans="1:20" x14ac:dyDescent="0.25">
      <c r="A113" t="s">
        <v>1476</v>
      </c>
      <c r="B113" t="s">
        <v>713</v>
      </c>
      <c r="C113">
        <v>3054253</v>
      </c>
      <c r="D113">
        <v>2019</v>
      </c>
      <c r="E113" s="314">
        <v>150000</v>
      </c>
      <c r="F113" s="314">
        <v>0</v>
      </c>
      <c r="G113" s="314">
        <v>0</v>
      </c>
      <c r="H113" s="314">
        <v>465100</v>
      </c>
      <c r="I113" s="314">
        <v>0</v>
      </c>
      <c r="J113" s="314">
        <v>0</v>
      </c>
      <c r="K113" s="314">
        <v>0</v>
      </c>
      <c r="L113" s="313">
        <v>856252</v>
      </c>
      <c r="M113" s="314">
        <v>0</v>
      </c>
      <c r="N113" s="314">
        <v>0</v>
      </c>
      <c r="O113" s="314">
        <v>0</v>
      </c>
      <c r="P113" s="314">
        <v>50000</v>
      </c>
      <c r="Q113" s="314">
        <f t="shared" si="1"/>
        <v>50000</v>
      </c>
      <c r="R113" s="314">
        <v>0</v>
      </c>
      <c r="S113" s="314">
        <v>0</v>
      </c>
      <c r="T113" s="314">
        <v>1521352</v>
      </c>
    </row>
    <row r="114" spans="1:20" x14ac:dyDescent="0.25">
      <c r="A114" t="s">
        <v>1406</v>
      </c>
      <c r="B114" t="s">
        <v>805</v>
      </c>
      <c r="C114">
        <v>1738957</v>
      </c>
      <c r="D114">
        <v>2019</v>
      </c>
      <c r="E114" s="314">
        <v>0</v>
      </c>
      <c r="F114" s="314">
        <v>52605.14</v>
      </c>
      <c r="G114" s="314">
        <v>0</v>
      </c>
      <c r="H114" s="314">
        <v>1229970</v>
      </c>
      <c r="I114" s="314">
        <v>0</v>
      </c>
      <c r="J114" s="314">
        <v>0</v>
      </c>
      <c r="K114" s="314">
        <v>0</v>
      </c>
      <c r="L114" s="313">
        <v>0</v>
      </c>
      <c r="M114" s="314">
        <v>0</v>
      </c>
      <c r="N114" s="314">
        <v>0</v>
      </c>
      <c r="O114" s="314">
        <v>0</v>
      </c>
      <c r="P114" s="314">
        <v>164850</v>
      </c>
      <c r="Q114" s="314">
        <f t="shared" si="1"/>
        <v>164850</v>
      </c>
      <c r="R114" s="314">
        <v>0</v>
      </c>
      <c r="S114" s="314">
        <v>0</v>
      </c>
      <c r="T114" s="314">
        <v>1447425.14</v>
      </c>
    </row>
    <row r="115" spans="1:20" x14ac:dyDescent="0.25">
      <c r="A115" t="s">
        <v>456</v>
      </c>
      <c r="B115" t="s">
        <v>456</v>
      </c>
      <c r="C115">
        <v>5040302</v>
      </c>
      <c r="D115">
        <v>2019</v>
      </c>
      <c r="E115" s="314">
        <v>0</v>
      </c>
      <c r="F115" s="314">
        <v>0</v>
      </c>
      <c r="G115" s="314">
        <v>0</v>
      </c>
      <c r="H115" s="314">
        <v>6629941</v>
      </c>
      <c r="I115" s="314">
        <v>0</v>
      </c>
      <c r="J115" s="314">
        <v>2936000</v>
      </c>
      <c r="K115" s="314">
        <v>0</v>
      </c>
      <c r="L115" s="313">
        <v>0</v>
      </c>
      <c r="M115" s="314">
        <v>0</v>
      </c>
      <c r="N115" s="314">
        <v>0</v>
      </c>
      <c r="O115" s="314">
        <v>0</v>
      </c>
      <c r="P115" s="314">
        <v>0</v>
      </c>
      <c r="Q115" s="314">
        <f t="shared" si="1"/>
        <v>0</v>
      </c>
      <c r="R115" s="314">
        <v>0</v>
      </c>
      <c r="S115" s="314">
        <v>0</v>
      </c>
      <c r="T115" s="314">
        <v>9565941</v>
      </c>
    </row>
    <row r="116" spans="1:20" x14ac:dyDescent="0.25">
      <c r="A116" t="s">
        <v>684</v>
      </c>
      <c r="B116" t="s">
        <v>682</v>
      </c>
      <c r="C116">
        <v>4075651</v>
      </c>
      <c r="D116">
        <v>2019</v>
      </c>
      <c r="E116" s="314">
        <v>55327</v>
      </c>
      <c r="F116" s="314">
        <v>0</v>
      </c>
      <c r="G116" s="314">
        <v>0</v>
      </c>
      <c r="H116" s="314">
        <v>1234654</v>
      </c>
      <c r="I116" s="314">
        <v>0</v>
      </c>
      <c r="J116" s="314">
        <v>0</v>
      </c>
      <c r="K116" s="314">
        <v>0</v>
      </c>
      <c r="L116" s="313">
        <v>0</v>
      </c>
      <c r="M116" s="314">
        <v>0</v>
      </c>
      <c r="N116" s="314">
        <v>0</v>
      </c>
      <c r="O116" s="314">
        <v>0</v>
      </c>
      <c r="P116" s="314">
        <v>900000</v>
      </c>
      <c r="Q116" s="314">
        <f t="shared" si="1"/>
        <v>900000</v>
      </c>
      <c r="R116" s="314">
        <v>0</v>
      </c>
      <c r="S116" s="314">
        <v>0</v>
      </c>
      <c r="T116" s="314">
        <v>2189981</v>
      </c>
    </row>
    <row r="117" spans="1:20" x14ac:dyDescent="0.25">
      <c r="A117" t="s">
        <v>1532</v>
      </c>
      <c r="B117" t="s">
        <v>760</v>
      </c>
      <c r="C117">
        <v>4167967</v>
      </c>
      <c r="D117">
        <v>2019</v>
      </c>
      <c r="E117" s="314">
        <v>1500000</v>
      </c>
      <c r="F117" s="314">
        <v>0</v>
      </c>
      <c r="G117" s="314">
        <v>0</v>
      </c>
      <c r="H117" s="314">
        <v>0</v>
      </c>
      <c r="I117" s="314">
        <v>14500000</v>
      </c>
      <c r="J117" s="314">
        <v>0</v>
      </c>
      <c r="K117" s="314">
        <v>0</v>
      </c>
      <c r="L117" s="313">
        <v>0</v>
      </c>
      <c r="M117" s="314">
        <v>0</v>
      </c>
      <c r="N117" s="314">
        <v>0</v>
      </c>
      <c r="O117" s="314">
        <v>0</v>
      </c>
      <c r="P117" s="314">
        <v>52800</v>
      </c>
      <c r="Q117" s="314">
        <f t="shared" si="1"/>
        <v>52800</v>
      </c>
      <c r="R117" s="314">
        <v>0</v>
      </c>
      <c r="S117" s="314">
        <v>520000</v>
      </c>
      <c r="T117" s="314">
        <v>16572800</v>
      </c>
    </row>
    <row r="118" spans="1:20" x14ac:dyDescent="0.25">
      <c r="A118" t="s">
        <v>509</v>
      </c>
      <c r="B118" t="s">
        <v>509</v>
      </c>
      <c r="C118">
        <v>4007320</v>
      </c>
      <c r="D118">
        <v>2019</v>
      </c>
      <c r="E118" s="314">
        <v>0</v>
      </c>
      <c r="F118" s="314">
        <v>0</v>
      </c>
      <c r="G118" s="314">
        <v>0</v>
      </c>
      <c r="H118" s="314">
        <v>634880</v>
      </c>
      <c r="I118" s="314">
        <v>0</v>
      </c>
      <c r="J118" s="314">
        <v>370000</v>
      </c>
      <c r="K118" s="314">
        <v>0</v>
      </c>
      <c r="L118" s="313">
        <v>0</v>
      </c>
      <c r="M118" s="314">
        <v>0</v>
      </c>
      <c r="N118" s="314">
        <v>0</v>
      </c>
      <c r="O118" s="314">
        <v>0</v>
      </c>
      <c r="P118" s="314">
        <v>0</v>
      </c>
      <c r="Q118" s="314">
        <f t="shared" si="1"/>
        <v>0</v>
      </c>
      <c r="R118" s="314">
        <v>0</v>
      </c>
      <c r="S118" s="314">
        <v>0</v>
      </c>
      <c r="T118" s="314">
        <v>1004880</v>
      </c>
    </row>
    <row r="119" spans="1:20" x14ac:dyDescent="0.25">
      <c r="A119" t="s">
        <v>620</v>
      </c>
      <c r="B119" t="s">
        <v>618</v>
      </c>
      <c r="C119">
        <v>1172890</v>
      </c>
      <c r="D119">
        <v>2019</v>
      </c>
      <c r="E119" s="314">
        <v>0</v>
      </c>
      <c r="F119" s="314">
        <v>0</v>
      </c>
      <c r="G119" s="314">
        <v>0</v>
      </c>
      <c r="H119" s="314">
        <v>2948610</v>
      </c>
      <c r="I119" s="314">
        <v>0</v>
      </c>
      <c r="J119" s="314">
        <v>0</v>
      </c>
      <c r="K119" s="314">
        <v>0</v>
      </c>
      <c r="L119" s="313">
        <v>0</v>
      </c>
      <c r="M119" s="314">
        <v>0</v>
      </c>
      <c r="N119" s="314">
        <v>0</v>
      </c>
      <c r="O119" s="314">
        <v>83229</v>
      </c>
      <c r="P119" s="314">
        <v>0</v>
      </c>
      <c r="Q119" s="314">
        <f t="shared" si="1"/>
        <v>83229</v>
      </c>
      <c r="R119" s="314">
        <v>0</v>
      </c>
      <c r="S119" s="314">
        <v>0</v>
      </c>
      <c r="T119" s="314">
        <v>3031839</v>
      </c>
    </row>
    <row r="120" spans="1:20" x14ac:dyDescent="0.25">
      <c r="A120" t="s">
        <v>1473</v>
      </c>
      <c r="B120" t="s">
        <v>698</v>
      </c>
      <c r="C120">
        <v>2390992</v>
      </c>
      <c r="D120">
        <v>2019</v>
      </c>
      <c r="E120" s="314">
        <v>0</v>
      </c>
      <c r="F120" s="314">
        <v>0</v>
      </c>
      <c r="G120" s="314">
        <v>0</v>
      </c>
      <c r="H120" s="314">
        <v>0</v>
      </c>
      <c r="I120" s="314">
        <v>0</v>
      </c>
      <c r="J120" s="314">
        <v>0</v>
      </c>
      <c r="K120" s="314">
        <v>0</v>
      </c>
      <c r="L120" s="313">
        <v>0</v>
      </c>
      <c r="M120" s="314">
        <v>0</v>
      </c>
      <c r="N120" s="314">
        <v>0</v>
      </c>
      <c r="O120" s="314">
        <v>0</v>
      </c>
      <c r="P120" s="314">
        <v>0</v>
      </c>
      <c r="Q120" s="314">
        <f t="shared" si="1"/>
        <v>0</v>
      </c>
      <c r="R120" s="314">
        <v>0</v>
      </c>
      <c r="S120" s="314">
        <v>0</v>
      </c>
      <c r="T120" s="314">
        <v>0</v>
      </c>
    </row>
    <row r="121" spans="1:20" x14ac:dyDescent="0.25">
      <c r="A121" t="s">
        <v>1351</v>
      </c>
      <c r="B121" t="s">
        <v>1247</v>
      </c>
      <c r="C121">
        <v>5871375</v>
      </c>
      <c r="D121">
        <v>2019</v>
      </c>
      <c r="E121" s="314">
        <v>128757</v>
      </c>
      <c r="F121" s="314">
        <v>0</v>
      </c>
      <c r="G121" s="314">
        <v>0</v>
      </c>
      <c r="H121" s="314">
        <v>3016720</v>
      </c>
      <c r="I121" s="314">
        <v>0</v>
      </c>
      <c r="J121" s="314">
        <v>0</v>
      </c>
      <c r="K121" s="314">
        <v>0</v>
      </c>
      <c r="L121" s="313">
        <v>0</v>
      </c>
      <c r="M121" s="314">
        <v>0</v>
      </c>
      <c r="N121" s="314">
        <v>0</v>
      </c>
      <c r="O121" s="314">
        <v>0</v>
      </c>
      <c r="P121" s="314">
        <v>0</v>
      </c>
      <c r="Q121" s="314">
        <f t="shared" si="1"/>
        <v>0</v>
      </c>
      <c r="R121" s="314">
        <v>0</v>
      </c>
      <c r="S121" s="356">
        <v>2200000</v>
      </c>
      <c r="T121" s="356">
        <f>SUM(E121:S121)</f>
        <v>5345477</v>
      </c>
    </row>
    <row r="122" spans="1:20" x14ac:dyDescent="0.25">
      <c r="A122" t="s">
        <v>940</v>
      </c>
      <c r="B122" t="s">
        <v>940</v>
      </c>
      <c r="C122">
        <v>9478716</v>
      </c>
      <c r="D122">
        <v>2019</v>
      </c>
      <c r="E122" s="314">
        <v>46011</v>
      </c>
      <c r="F122" s="314">
        <v>0</v>
      </c>
      <c r="G122" s="314">
        <v>0</v>
      </c>
      <c r="H122" s="314">
        <v>93750</v>
      </c>
      <c r="I122" s="314">
        <v>0</v>
      </c>
      <c r="J122" s="314">
        <v>0</v>
      </c>
      <c r="K122" s="314">
        <v>0</v>
      </c>
      <c r="L122" s="313">
        <v>0</v>
      </c>
      <c r="M122" s="314">
        <v>0</v>
      </c>
      <c r="N122" s="314">
        <v>0</v>
      </c>
      <c r="O122" s="314">
        <v>0</v>
      </c>
      <c r="P122" s="314">
        <v>0</v>
      </c>
      <c r="Q122" s="314">
        <f t="shared" si="1"/>
        <v>0</v>
      </c>
      <c r="R122" s="314">
        <v>0</v>
      </c>
      <c r="S122" s="314">
        <v>0</v>
      </c>
      <c r="T122" s="314">
        <v>139761</v>
      </c>
    </row>
    <row r="123" spans="1:20" x14ac:dyDescent="0.25">
      <c r="A123" t="s">
        <v>1479</v>
      </c>
      <c r="B123" t="s">
        <v>1247</v>
      </c>
      <c r="C123">
        <v>3595008</v>
      </c>
      <c r="D123">
        <v>2019</v>
      </c>
      <c r="E123" s="314">
        <v>0</v>
      </c>
      <c r="F123" s="314">
        <v>0</v>
      </c>
      <c r="G123" s="314">
        <v>0</v>
      </c>
      <c r="H123" s="314">
        <v>2510561</v>
      </c>
      <c r="I123" s="314">
        <v>0</v>
      </c>
      <c r="J123" s="314">
        <v>0</v>
      </c>
      <c r="K123" s="314">
        <v>0</v>
      </c>
      <c r="L123" s="313">
        <v>0</v>
      </c>
      <c r="M123" s="314">
        <v>0</v>
      </c>
      <c r="N123" s="314">
        <v>0</v>
      </c>
      <c r="O123" s="314">
        <v>0</v>
      </c>
      <c r="P123" s="314">
        <v>0</v>
      </c>
      <c r="Q123" s="314">
        <f t="shared" si="1"/>
        <v>0</v>
      </c>
      <c r="R123" s="314">
        <v>0</v>
      </c>
      <c r="S123" s="314">
        <v>0</v>
      </c>
      <c r="T123" s="314">
        <v>2510561</v>
      </c>
    </row>
    <row r="124" spans="1:20" x14ac:dyDescent="0.25">
      <c r="A124" t="s">
        <v>674</v>
      </c>
      <c r="B124" t="s">
        <v>674</v>
      </c>
      <c r="C124">
        <v>5945407</v>
      </c>
      <c r="D124">
        <v>2019</v>
      </c>
      <c r="E124" s="314">
        <v>115703</v>
      </c>
      <c r="F124" s="314">
        <v>0</v>
      </c>
      <c r="G124" s="314">
        <v>0</v>
      </c>
      <c r="H124" s="314">
        <v>128450</v>
      </c>
      <c r="I124" s="314">
        <v>0</v>
      </c>
      <c r="J124" s="314">
        <v>0</v>
      </c>
      <c r="K124" s="314">
        <v>251298</v>
      </c>
      <c r="L124" s="313">
        <v>0</v>
      </c>
      <c r="M124" s="314">
        <v>0</v>
      </c>
      <c r="N124" s="314">
        <v>0</v>
      </c>
      <c r="O124" s="314">
        <v>0</v>
      </c>
      <c r="P124" s="314">
        <v>391200</v>
      </c>
      <c r="Q124" s="314">
        <f t="shared" si="1"/>
        <v>391200</v>
      </c>
      <c r="R124" s="314">
        <v>0</v>
      </c>
      <c r="S124" s="314">
        <v>0</v>
      </c>
      <c r="T124" s="314">
        <v>886651</v>
      </c>
    </row>
    <row r="125" spans="1:20" x14ac:dyDescent="0.25">
      <c r="A125" t="s">
        <v>1239</v>
      </c>
      <c r="B125" t="s">
        <v>1067</v>
      </c>
      <c r="C125">
        <v>3736692</v>
      </c>
      <c r="D125">
        <v>2019</v>
      </c>
      <c r="E125" s="314">
        <v>0</v>
      </c>
      <c r="F125" s="314">
        <v>22000</v>
      </c>
      <c r="G125" s="314">
        <v>0</v>
      </c>
      <c r="H125" s="314">
        <v>537670</v>
      </c>
      <c r="I125" s="314">
        <v>0</v>
      </c>
      <c r="J125" s="314">
        <v>0</v>
      </c>
      <c r="K125" s="314">
        <v>0</v>
      </c>
      <c r="L125" s="313">
        <v>0</v>
      </c>
      <c r="M125" s="314">
        <v>0</v>
      </c>
      <c r="N125" s="314">
        <v>0</v>
      </c>
      <c r="O125" s="314">
        <v>0</v>
      </c>
      <c r="P125" s="314">
        <v>80000</v>
      </c>
      <c r="Q125" s="314">
        <f t="shared" si="1"/>
        <v>80000</v>
      </c>
      <c r="R125" s="314">
        <v>0</v>
      </c>
      <c r="S125" s="314">
        <v>0</v>
      </c>
      <c r="T125" s="314">
        <v>639670</v>
      </c>
    </row>
    <row r="126" spans="1:20" x14ac:dyDescent="0.25">
      <c r="A126" t="s">
        <v>386</v>
      </c>
      <c r="B126" t="s">
        <v>671</v>
      </c>
      <c r="C126">
        <v>9666094</v>
      </c>
      <c r="D126">
        <v>2019</v>
      </c>
      <c r="E126" s="314">
        <v>0</v>
      </c>
      <c r="F126" s="314">
        <v>0</v>
      </c>
      <c r="G126" s="314">
        <v>0</v>
      </c>
      <c r="H126" s="314">
        <v>1985778</v>
      </c>
      <c r="I126" s="314">
        <v>0</v>
      </c>
      <c r="J126" s="314">
        <v>0</v>
      </c>
      <c r="K126" s="314">
        <v>0</v>
      </c>
      <c r="L126" s="313">
        <v>0</v>
      </c>
      <c r="M126" s="314">
        <v>0</v>
      </c>
      <c r="N126" s="314">
        <v>0</v>
      </c>
      <c r="O126" s="314">
        <v>0</v>
      </c>
      <c r="P126" s="314">
        <v>0</v>
      </c>
      <c r="Q126" s="314">
        <f t="shared" si="1"/>
        <v>0</v>
      </c>
      <c r="R126" s="314">
        <v>0</v>
      </c>
      <c r="S126" s="314">
        <v>0</v>
      </c>
      <c r="T126" s="314">
        <v>1985778</v>
      </c>
    </row>
    <row r="127" spans="1:20" x14ac:dyDescent="0.25">
      <c r="A127" t="s">
        <v>470</v>
      </c>
      <c r="B127" t="s">
        <v>470</v>
      </c>
      <c r="C127">
        <v>1665958</v>
      </c>
      <c r="D127">
        <v>2019</v>
      </c>
      <c r="E127" s="314">
        <v>301000</v>
      </c>
      <c r="F127" s="314">
        <v>0</v>
      </c>
      <c r="G127" s="314">
        <v>0</v>
      </c>
      <c r="H127" s="314">
        <v>7348000</v>
      </c>
      <c r="I127" s="314">
        <v>0</v>
      </c>
      <c r="J127" s="314">
        <v>0</v>
      </c>
      <c r="K127" s="314">
        <v>0</v>
      </c>
      <c r="L127" s="313">
        <v>0</v>
      </c>
      <c r="M127" s="314">
        <v>0</v>
      </c>
      <c r="N127" s="314">
        <v>0</v>
      </c>
      <c r="O127" s="314">
        <v>50000</v>
      </c>
      <c r="P127" s="314">
        <v>0</v>
      </c>
      <c r="Q127" s="314">
        <f t="shared" si="1"/>
        <v>50000</v>
      </c>
      <c r="R127" s="314">
        <v>0</v>
      </c>
      <c r="S127" s="314">
        <v>0</v>
      </c>
      <c r="T127" s="314">
        <v>7699000</v>
      </c>
    </row>
    <row r="128" spans="1:20" x14ac:dyDescent="0.25">
      <c r="A128" t="s">
        <v>519</v>
      </c>
      <c r="B128" t="s">
        <v>519</v>
      </c>
      <c r="C128">
        <v>7071797</v>
      </c>
      <c r="D128">
        <v>2019</v>
      </c>
      <c r="E128" s="314">
        <v>0</v>
      </c>
      <c r="F128" s="314">
        <v>0</v>
      </c>
      <c r="G128" s="314">
        <v>0</v>
      </c>
      <c r="H128" s="314">
        <v>1867270</v>
      </c>
      <c r="I128" s="314">
        <v>0</v>
      </c>
      <c r="J128" s="314">
        <v>2549108</v>
      </c>
      <c r="K128" s="314">
        <v>0</v>
      </c>
      <c r="L128" s="313">
        <v>0</v>
      </c>
      <c r="M128" s="314">
        <v>0</v>
      </c>
      <c r="N128" s="314">
        <v>0</v>
      </c>
      <c r="O128" s="314">
        <v>0</v>
      </c>
      <c r="P128" s="314">
        <v>0</v>
      </c>
      <c r="Q128" s="314">
        <f t="shared" si="1"/>
        <v>0</v>
      </c>
      <c r="R128" s="314">
        <v>0</v>
      </c>
      <c r="S128" s="314">
        <v>0</v>
      </c>
      <c r="T128" s="314">
        <v>4416378</v>
      </c>
    </row>
    <row r="129" spans="1:20" x14ac:dyDescent="0.25">
      <c r="A129" t="s">
        <v>632</v>
      </c>
      <c r="B129" t="s">
        <v>630</v>
      </c>
      <c r="C129">
        <v>1671513</v>
      </c>
      <c r="D129">
        <v>2019</v>
      </c>
      <c r="E129" s="314">
        <v>0</v>
      </c>
      <c r="F129" s="314">
        <v>0</v>
      </c>
      <c r="G129" s="314">
        <v>0</v>
      </c>
      <c r="H129" s="314">
        <v>364926</v>
      </c>
      <c r="I129" s="314">
        <v>0</v>
      </c>
      <c r="J129" s="314">
        <v>0</v>
      </c>
      <c r="K129" s="314">
        <v>0</v>
      </c>
      <c r="L129" s="313">
        <v>0</v>
      </c>
      <c r="M129" s="314">
        <v>0</v>
      </c>
      <c r="N129" s="314">
        <v>0</v>
      </c>
      <c r="O129" s="314">
        <v>0</v>
      </c>
      <c r="P129" s="314">
        <v>0</v>
      </c>
      <c r="Q129" s="314">
        <f t="shared" si="1"/>
        <v>0</v>
      </c>
      <c r="R129" s="314">
        <v>0</v>
      </c>
      <c r="S129" s="314">
        <v>0</v>
      </c>
      <c r="T129" s="314">
        <v>364926</v>
      </c>
    </row>
    <row r="130" spans="1:20" x14ac:dyDescent="0.25">
      <c r="A130" t="s">
        <v>546</v>
      </c>
      <c r="B130" t="s">
        <v>546</v>
      </c>
      <c r="C130">
        <v>2946425</v>
      </c>
      <c r="D130">
        <v>2019</v>
      </c>
      <c r="E130" s="314">
        <v>0</v>
      </c>
      <c r="F130" s="314">
        <v>0</v>
      </c>
      <c r="G130" s="314">
        <v>0</v>
      </c>
      <c r="H130" s="314">
        <v>1133866</v>
      </c>
      <c r="I130" s="314">
        <v>0</v>
      </c>
      <c r="J130" s="314">
        <v>0</v>
      </c>
      <c r="K130" s="314">
        <v>0</v>
      </c>
      <c r="L130" s="313">
        <v>0</v>
      </c>
      <c r="M130" s="314">
        <v>0</v>
      </c>
      <c r="N130" s="314">
        <v>0</v>
      </c>
      <c r="O130" s="314">
        <v>0</v>
      </c>
      <c r="P130" s="314">
        <v>0</v>
      </c>
      <c r="Q130" s="314">
        <f t="shared" si="1"/>
        <v>0</v>
      </c>
      <c r="R130" s="314">
        <v>0</v>
      </c>
      <c r="S130" s="314">
        <v>0</v>
      </c>
      <c r="T130" s="314">
        <v>1133866</v>
      </c>
    </row>
    <row r="131" spans="1:20" x14ac:dyDescent="0.25">
      <c r="A131" t="s">
        <v>1526</v>
      </c>
      <c r="B131" t="s">
        <v>1364</v>
      </c>
      <c r="C131">
        <v>9328941</v>
      </c>
      <c r="D131">
        <v>2019</v>
      </c>
      <c r="E131" s="314">
        <v>219023</v>
      </c>
      <c r="F131" s="314">
        <v>0</v>
      </c>
      <c r="G131" s="314">
        <v>0</v>
      </c>
      <c r="H131" s="314">
        <v>1249077</v>
      </c>
      <c r="I131" s="314">
        <v>0</v>
      </c>
      <c r="J131" s="314">
        <v>0</v>
      </c>
      <c r="K131" s="314">
        <v>0</v>
      </c>
      <c r="L131" s="313">
        <v>0</v>
      </c>
      <c r="M131" s="314">
        <v>0</v>
      </c>
      <c r="N131" s="314">
        <v>0</v>
      </c>
      <c r="O131" s="314">
        <v>0</v>
      </c>
      <c r="P131" s="314">
        <v>100000</v>
      </c>
      <c r="Q131" s="314">
        <f t="shared" si="1"/>
        <v>100000</v>
      </c>
      <c r="R131" s="314">
        <v>0</v>
      </c>
      <c r="S131" s="314">
        <v>0</v>
      </c>
      <c r="T131" s="314">
        <v>1568100</v>
      </c>
    </row>
    <row r="132" spans="1:20" x14ac:dyDescent="0.25">
      <c r="A132" t="s">
        <v>464</v>
      </c>
      <c r="B132" t="s">
        <v>464</v>
      </c>
      <c r="C132">
        <v>3943362</v>
      </c>
      <c r="D132">
        <v>2019</v>
      </c>
      <c r="E132" s="314">
        <v>0</v>
      </c>
      <c r="F132" s="314">
        <v>0</v>
      </c>
      <c r="G132" s="314">
        <v>0</v>
      </c>
      <c r="H132" s="314">
        <v>6267487</v>
      </c>
      <c r="I132" s="314">
        <v>0</v>
      </c>
      <c r="J132" s="314">
        <v>0</v>
      </c>
      <c r="K132" s="314">
        <v>0</v>
      </c>
      <c r="L132" s="313">
        <v>0</v>
      </c>
      <c r="M132" s="314">
        <v>0</v>
      </c>
      <c r="N132" s="314">
        <v>0</v>
      </c>
      <c r="O132" s="314">
        <v>0</v>
      </c>
      <c r="P132" s="314">
        <v>0</v>
      </c>
      <c r="Q132" s="314">
        <f t="shared" ref="Q132:Q195" si="2">SUM(O132:P132)</f>
        <v>0</v>
      </c>
      <c r="R132" s="314">
        <v>0</v>
      </c>
      <c r="S132" s="314">
        <v>0</v>
      </c>
      <c r="T132" s="314">
        <v>6267487</v>
      </c>
    </row>
    <row r="133" spans="1:20" x14ac:dyDescent="0.25">
      <c r="A133" t="s">
        <v>1328</v>
      </c>
      <c r="B133" t="s">
        <v>821</v>
      </c>
      <c r="C133">
        <v>5894253</v>
      </c>
      <c r="D133">
        <v>2019</v>
      </c>
      <c r="E133" s="314">
        <v>1431500</v>
      </c>
      <c r="F133" s="314">
        <v>0</v>
      </c>
      <c r="G133" s="314">
        <v>0</v>
      </c>
      <c r="H133" s="314">
        <v>3600000</v>
      </c>
      <c r="I133" s="314">
        <v>0</v>
      </c>
      <c r="J133" s="314">
        <v>0</v>
      </c>
      <c r="K133" s="314">
        <v>0</v>
      </c>
      <c r="L133" s="313">
        <v>0</v>
      </c>
      <c r="M133" s="314">
        <v>0</v>
      </c>
      <c r="N133" s="314">
        <v>0</v>
      </c>
      <c r="O133" s="314">
        <v>63500</v>
      </c>
      <c r="P133" s="314">
        <v>65000</v>
      </c>
      <c r="Q133" s="314">
        <f t="shared" si="2"/>
        <v>128500</v>
      </c>
      <c r="R133" s="314">
        <v>0</v>
      </c>
      <c r="S133" s="314">
        <v>0</v>
      </c>
      <c r="T133" s="314">
        <v>5160000</v>
      </c>
    </row>
    <row r="134" spans="1:20" x14ac:dyDescent="0.25">
      <c r="A134" t="s">
        <v>760</v>
      </c>
      <c r="B134" t="s">
        <v>760</v>
      </c>
      <c r="C134">
        <v>5947102</v>
      </c>
      <c r="D134">
        <v>2019</v>
      </c>
      <c r="E134" s="314">
        <v>0</v>
      </c>
      <c r="F134" s="314">
        <v>36000</v>
      </c>
      <c r="G134" s="314">
        <v>0</v>
      </c>
      <c r="H134" s="314">
        <v>288150</v>
      </c>
      <c r="I134" s="314">
        <v>0</v>
      </c>
      <c r="J134" s="314">
        <v>0</v>
      </c>
      <c r="K134" s="314">
        <v>0</v>
      </c>
      <c r="L134" s="313">
        <v>0</v>
      </c>
      <c r="M134" s="314">
        <v>0</v>
      </c>
      <c r="N134" s="314">
        <v>0</v>
      </c>
      <c r="O134" s="314">
        <v>0</v>
      </c>
      <c r="P134" s="314">
        <v>150000</v>
      </c>
      <c r="Q134" s="314">
        <f t="shared" si="2"/>
        <v>150000</v>
      </c>
      <c r="R134" s="314">
        <v>0</v>
      </c>
      <c r="S134" s="314">
        <v>0</v>
      </c>
      <c r="T134" s="314">
        <v>474150</v>
      </c>
    </row>
    <row r="135" spans="1:20" x14ac:dyDescent="0.25">
      <c r="A135" t="s">
        <v>1504</v>
      </c>
      <c r="B135" t="s">
        <v>849</v>
      </c>
      <c r="C135">
        <v>8172268</v>
      </c>
      <c r="D135">
        <v>2019</v>
      </c>
      <c r="E135" s="314">
        <v>0</v>
      </c>
      <c r="F135" s="314">
        <v>0</v>
      </c>
      <c r="G135" s="314">
        <v>0</v>
      </c>
      <c r="H135" s="314">
        <v>2713420</v>
      </c>
      <c r="I135" s="314">
        <v>0</v>
      </c>
      <c r="J135" s="314">
        <v>0</v>
      </c>
      <c r="K135" s="314">
        <v>2503432</v>
      </c>
      <c r="L135" s="313">
        <v>193000</v>
      </c>
      <c r="M135" s="314">
        <v>0</v>
      </c>
      <c r="N135" s="314">
        <v>0</v>
      </c>
      <c r="O135" s="314">
        <v>0</v>
      </c>
      <c r="P135" s="314">
        <v>360000</v>
      </c>
      <c r="Q135" s="314">
        <f t="shared" si="2"/>
        <v>360000</v>
      </c>
      <c r="R135" s="314">
        <v>4788066</v>
      </c>
      <c r="S135" s="314">
        <v>0</v>
      </c>
      <c r="T135" s="314">
        <v>10557918</v>
      </c>
    </row>
    <row r="136" spans="1:20" x14ac:dyDescent="0.25">
      <c r="A136" t="s">
        <v>668</v>
      </c>
      <c r="B136" t="s">
        <v>666</v>
      </c>
      <c r="C136">
        <v>2813433</v>
      </c>
      <c r="D136">
        <v>2019</v>
      </c>
      <c r="E136" s="314">
        <v>143077</v>
      </c>
      <c r="F136" s="314">
        <v>0</v>
      </c>
      <c r="G136" s="314">
        <v>0</v>
      </c>
      <c r="H136" s="314">
        <v>375000</v>
      </c>
      <c r="I136" s="314">
        <v>0</v>
      </c>
      <c r="J136" s="314">
        <v>0</v>
      </c>
      <c r="K136" s="314">
        <v>0</v>
      </c>
      <c r="L136" s="313">
        <v>0</v>
      </c>
      <c r="M136" s="314">
        <v>0</v>
      </c>
      <c r="N136" s="314">
        <v>0</v>
      </c>
      <c r="O136" s="314">
        <v>0</v>
      </c>
      <c r="P136" s="314">
        <v>0</v>
      </c>
      <c r="Q136" s="314">
        <f t="shared" si="2"/>
        <v>0</v>
      </c>
      <c r="R136" s="314">
        <v>0</v>
      </c>
      <c r="S136" s="314">
        <v>0</v>
      </c>
      <c r="T136" s="314">
        <v>518077</v>
      </c>
    </row>
    <row r="137" spans="1:20" x14ac:dyDescent="0.25">
      <c r="A137" t="s">
        <v>1448</v>
      </c>
      <c r="B137" t="s">
        <v>1067</v>
      </c>
      <c r="C137">
        <v>1792038</v>
      </c>
      <c r="D137">
        <v>2019</v>
      </c>
      <c r="E137" s="314">
        <v>30753</v>
      </c>
      <c r="F137" s="314">
        <v>0</v>
      </c>
      <c r="G137" s="314">
        <v>0</v>
      </c>
      <c r="H137" s="314">
        <v>880000</v>
      </c>
      <c r="I137" s="314">
        <v>0</v>
      </c>
      <c r="J137" s="314">
        <v>0</v>
      </c>
      <c r="K137" s="314">
        <v>0</v>
      </c>
      <c r="L137" s="313">
        <v>0</v>
      </c>
      <c r="M137" s="314">
        <v>0</v>
      </c>
      <c r="N137" s="314">
        <v>0</v>
      </c>
      <c r="O137" s="314">
        <v>0</v>
      </c>
      <c r="P137" s="314">
        <v>110000</v>
      </c>
      <c r="Q137" s="314">
        <f t="shared" si="2"/>
        <v>110000</v>
      </c>
      <c r="R137" s="314">
        <v>0</v>
      </c>
      <c r="S137" s="314">
        <v>51000</v>
      </c>
      <c r="T137" s="314">
        <v>1071753</v>
      </c>
    </row>
    <row r="138" spans="1:20" x14ac:dyDescent="0.25">
      <c r="A138" t="s">
        <v>977</v>
      </c>
      <c r="B138" t="s">
        <v>977</v>
      </c>
      <c r="C138">
        <v>5175408</v>
      </c>
      <c r="D138">
        <v>2019</v>
      </c>
      <c r="E138" s="314">
        <v>0</v>
      </c>
      <c r="F138" s="314">
        <v>0</v>
      </c>
      <c r="G138" s="314">
        <v>0</v>
      </c>
      <c r="H138" s="314">
        <v>281852</v>
      </c>
      <c r="I138" s="314">
        <v>0</v>
      </c>
      <c r="J138" s="314">
        <v>0</v>
      </c>
      <c r="K138" s="314">
        <v>0</v>
      </c>
      <c r="L138" s="313">
        <v>0</v>
      </c>
      <c r="M138" s="314">
        <v>0</v>
      </c>
      <c r="N138" s="314">
        <v>0</v>
      </c>
      <c r="O138" s="314">
        <v>0</v>
      </c>
      <c r="P138" s="314">
        <v>600000</v>
      </c>
      <c r="Q138" s="314">
        <f t="shared" si="2"/>
        <v>600000</v>
      </c>
      <c r="R138" s="314">
        <v>0</v>
      </c>
      <c r="S138" s="314">
        <v>0</v>
      </c>
      <c r="T138" s="314">
        <v>881852</v>
      </c>
    </row>
    <row r="139" spans="1:20" x14ac:dyDescent="0.25">
      <c r="A139" t="s">
        <v>1395</v>
      </c>
      <c r="B139" t="s">
        <v>1056</v>
      </c>
      <c r="C139">
        <v>5814347</v>
      </c>
      <c r="D139">
        <v>2019</v>
      </c>
      <c r="E139" s="314">
        <v>29346</v>
      </c>
      <c r="F139" s="314">
        <v>70000</v>
      </c>
      <c r="G139" s="314">
        <v>0</v>
      </c>
      <c r="H139" s="314">
        <v>2244870</v>
      </c>
      <c r="I139" s="314">
        <v>0</v>
      </c>
      <c r="J139" s="314">
        <v>0</v>
      </c>
      <c r="K139" s="314">
        <v>0</v>
      </c>
      <c r="L139" s="313">
        <v>0</v>
      </c>
      <c r="M139" s="314">
        <v>0</v>
      </c>
      <c r="N139" s="314">
        <v>0</v>
      </c>
      <c r="O139" s="314">
        <v>0</v>
      </c>
      <c r="P139" s="314">
        <v>420000</v>
      </c>
      <c r="Q139" s="314">
        <f t="shared" si="2"/>
        <v>420000</v>
      </c>
      <c r="R139" s="314">
        <v>645000</v>
      </c>
      <c r="S139" s="314">
        <v>0</v>
      </c>
      <c r="T139" s="314">
        <v>3409216</v>
      </c>
    </row>
    <row r="140" spans="1:20" x14ac:dyDescent="0.25">
      <c r="A140" t="s">
        <v>1416</v>
      </c>
      <c r="B140" t="s">
        <v>531</v>
      </c>
      <c r="C140">
        <v>6989404</v>
      </c>
      <c r="D140">
        <v>2019</v>
      </c>
      <c r="E140" s="314">
        <v>168830</v>
      </c>
      <c r="F140" s="314">
        <v>0</v>
      </c>
      <c r="G140" s="314">
        <v>0</v>
      </c>
      <c r="H140" s="314">
        <v>584410</v>
      </c>
      <c r="I140" s="314">
        <v>0</v>
      </c>
      <c r="J140" s="314">
        <v>0</v>
      </c>
      <c r="K140" s="314">
        <v>0</v>
      </c>
      <c r="L140" s="313">
        <v>0</v>
      </c>
      <c r="M140" s="314">
        <v>0</v>
      </c>
      <c r="N140" s="314">
        <v>0</v>
      </c>
      <c r="O140" s="314">
        <v>0</v>
      </c>
      <c r="P140" s="314">
        <v>595000</v>
      </c>
      <c r="Q140" s="314">
        <f t="shared" si="2"/>
        <v>595000</v>
      </c>
      <c r="R140" s="314">
        <v>0</v>
      </c>
      <c r="S140" s="314">
        <v>0</v>
      </c>
      <c r="T140" s="314">
        <v>1348240</v>
      </c>
    </row>
    <row r="141" spans="1:20" x14ac:dyDescent="0.25">
      <c r="A141" t="s">
        <v>605</v>
      </c>
      <c r="B141" t="s">
        <v>602</v>
      </c>
      <c r="C141">
        <v>6181040</v>
      </c>
      <c r="D141">
        <v>2019</v>
      </c>
      <c r="E141" s="314">
        <v>0</v>
      </c>
      <c r="F141" s="314">
        <v>0</v>
      </c>
      <c r="G141" s="314">
        <v>0</v>
      </c>
      <c r="H141" s="314">
        <v>111326</v>
      </c>
      <c r="I141" s="314">
        <v>0</v>
      </c>
      <c r="J141" s="314">
        <v>0</v>
      </c>
      <c r="K141" s="314">
        <v>0</v>
      </c>
      <c r="L141" s="313">
        <v>0</v>
      </c>
      <c r="M141" s="314">
        <v>0</v>
      </c>
      <c r="N141" s="314">
        <v>0</v>
      </c>
      <c r="O141" s="314">
        <v>0</v>
      </c>
      <c r="P141" s="314">
        <v>1761805</v>
      </c>
      <c r="Q141" s="314">
        <f t="shared" si="2"/>
        <v>1761805</v>
      </c>
      <c r="R141" s="314">
        <v>0</v>
      </c>
      <c r="S141" s="314">
        <v>0</v>
      </c>
      <c r="T141" s="314">
        <v>1873131</v>
      </c>
    </row>
    <row r="142" spans="1:20" x14ac:dyDescent="0.25">
      <c r="A142" t="s">
        <v>499</v>
      </c>
      <c r="B142" t="s">
        <v>499</v>
      </c>
      <c r="C142">
        <v>9688838</v>
      </c>
      <c r="D142">
        <v>2019</v>
      </c>
      <c r="E142" s="314">
        <v>200000</v>
      </c>
      <c r="F142" s="314">
        <v>0</v>
      </c>
      <c r="G142" s="314">
        <v>0</v>
      </c>
      <c r="H142" s="314">
        <v>10521860</v>
      </c>
      <c r="I142" s="314">
        <v>0</v>
      </c>
      <c r="J142" s="314">
        <v>0</v>
      </c>
      <c r="K142" s="314">
        <v>0</v>
      </c>
      <c r="L142" s="313">
        <v>0</v>
      </c>
      <c r="M142" s="314">
        <v>0</v>
      </c>
      <c r="N142" s="314">
        <v>0</v>
      </c>
      <c r="O142" s="314">
        <v>0</v>
      </c>
      <c r="P142" s="314">
        <v>12567000</v>
      </c>
      <c r="Q142" s="314">
        <f t="shared" si="2"/>
        <v>12567000</v>
      </c>
      <c r="R142" s="314">
        <v>0</v>
      </c>
      <c r="S142" s="314">
        <v>0</v>
      </c>
      <c r="T142" s="314">
        <v>23288860</v>
      </c>
    </row>
    <row r="143" spans="1:20" x14ac:dyDescent="0.25">
      <c r="A143" t="s">
        <v>931</v>
      </c>
      <c r="B143" t="s">
        <v>306</v>
      </c>
      <c r="C143">
        <v>8615860</v>
      </c>
      <c r="D143">
        <v>2019</v>
      </c>
      <c r="E143" s="314">
        <v>0</v>
      </c>
      <c r="F143" s="314">
        <v>93000</v>
      </c>
      <c r="G143" s="314">
        <v>0</v>
      </c>
      <c r="H143" s="314">
        <v>1372267</v>
      </c>
      <c r="I143" s="314">
        <v>0</v>
      </c>
      <c r="J143" s="314">
        <v>0</v>
      </c>
      <c r="K143" s="314">
        <v>0</v>
      </c>
      <c r="L143" s="313">
        <v>0</v>
      </c>
      <c r="M143" s="314">
        <v>0</v>
      </c>
      <c r="N143" s="314">
        <v>0</v>
      </c>
      <c r="O143" s="314">
        <v>6000</v>
      </c>
      <c r="P143" s="314">
        <v>155000</v>
      </c>
      <c r="Q143" s="314">
        <f t="shared" si="2"/>
        <v>161000</v>
      </c>
      <c r="R143" s="314">
        <v>0</v>
      </c>
      <c r="S143" s="314">
        <v>11970</v>
      </c>
      <c r="T143" s="314">
        <v>1638237</v>
      </c>
    </row>
    <row r="144" spans="1:20" x14ac:dyDescent="0.25">
      <c r="A144" t="s">
        <v>1531</v>
      </c>
      <c r="B144" t="s">
        <v>708</v>
      </c>
      <c r="C144">
        <v>3523407</v>
      </c>
      <c r="D144">
        <v>2019</v>
      </c>
      <c r="E144" s="314">
        <v>200000</v>
      </c>
      <c r="F144" s="314">
        <v>0</v>
      </c>
      <c r="G144" s="314">
        <v>0</v>
      </c>
      <c r="H144" s="314">
        <v>0</v>
      </c>
      <c r="I144" s="314">
        <v>1183105</v>
      </c>
      <c r="J144" s="314">
        <v>0</v>
      </c>
      <c r="K144" s="314">
        <v>0</v>
      </c>
      <c r="L144" s="313">
        <v>0</v>
      </c>
      <c r="M144" s="314">
        <v>0</v>
      </c>
      <c r="N144" s="314">
        <v>0</v>
      </c>
      <c r="O144" s="314">
        <v>0</v>
      </c>
      <c r="P144" s="314">
        <v>0</v>
      </c>
      <c r="Q144" s="314">
        <f t="shared" si="2"/>
        <v>0</v>
      </c>
      <c r="R144" s="314">
        <v>0</v>
      </c>
      <c r="S144" s="314">
        <v>0</v>
      </c>
      <c r="T144" s="314">
        <v>1383105</v>
      </c>
    </row>
    <row r="145" spans="1:20" x14ac:dyDescent="0.25">
      <c r="A145" t="s">
        <v>1212</v>
      </c>
      <c r="B145" t="s">
        <v>1213</v>
      </c>
      <c r="C145">
        <v>7201840</v>
      </c>
      <c r="D145">
        <v>2019</v>
      </c>
      <c r="E145" s="314">
        <v>2621502</v>
      </c>
      <c r="F145" s="314">
        <v>0</v>
      </c>
      <c r="G145" s="314">
        <v>0</v>
      </c>
      <c r="H145" s="314">
        <v>5724000</v>
      </c>
      <c r="I145" s="314">
        <v>0</v>
      </c>
      <c r="J145" s="314">
        <v>0</v>
      </c>
      <c r="K145" s="314">
        <v>0</v>
      </c>
      <c r="L145" s="313">
        <v>0</v>
      </c>
      <c r="M145" s="314">
        <v>0</v>
      </c>
      <c r="N145" s="314">
        <v>0</v>
      </c>
      <c r="O145" s="314">
        <v>376362</v>
      </c>
      <c r="P145" s="314">
        <v>5428000</v>
      </c>
      <c r="Q145" s="314">
        <f t="shared" si="2"/>
        <v>5804362</v>
      </c>
      <c r="R145" s="314">
        <v>0</v>
      </c>
      <c r="S145" s="314">
        <v>0</v>
      </c>
      <c r="T145" s="314">
        <v>14149864</v>
      </c>
    </row>
    <row r="146" spans="1:20" x14ac:dyDescent="0.25">
      <c r="A146" t="s">
        <v>1379</v>
      </c>
      <c r="B146" t="s">
        <v>1380</v>
      </c>
      <c r="C146">
        <v>8430922</v>
      </c>
      <c r="D146">
        <v>2019</v>
      </c>
      <c r="E146" s="314">
        <v>0</v>
      </c>
      <c r="F146" s="314">
        <v>0</v>
      </c>
      <c r="G146" s="314">
        <v>0</v>
      </c>
      <c r="H146" s="314">
        <v>868740</v>
      </c>
      <c r="I146" s="314">
        <v>0</v>
      </c>
      <c r="J146" s="314">
        <v>0</v>
      </c>
      <c r="K146" s="314">
        <v>0</v>
      </c>
      <c r="L146" s="313">
        <v>0</v>
      </c>
      <c r="M146" s="314">
        <v>0</v>
      </c>
      <c r="N146" s="314">
        <v>0</v>
      </c>
      <c r="O146" s="314">
        <v>0</v>
      </c>
      <c r="P146" s="314">
        <v>0</v>
      </c>
      <c r="Q146" s="314">
        <f t="shared" si="2"/>
        <v>0</v>
      </c>
      <c r="R146" s="314">
        <v>0</v>
      </c>
      <c r="S146" s="314">
        <v>0</v>
      </c>
      <c r="T146" s="314">
        <v>868740</v>
      </c>
    </row>
    <row r="147" spans="1:20" x14ac:dyDescent="0.25">
      <c r="A147" t="s">
        <v>472</v>
      </c>
      <c r="B147" t="s">
        <v>472</v>
      </c>
      <c r="C147">
        <v>8508078</v>
      </c>
      <c r="D147">
        <v>2019</v>
      </c>
      <c r="E147" s="314">
        <v>0</v>
      </c>
      <c r="F147" s="314">
        <v>0</v>
      </c>
      <c r="G147" s="314">
        <v>0</v>
      </c>
      <c r="H147" s="314">
        <v>7185742</v>
      </c>
      <c r="I147" s="314">
        <v>0</v>
      </c>
      <c r="J147" s="314">
        <v>4520000</v>
      </c>
      <c r="K147" s="314">
        <v>0</v>
      </c>
      <c r="L147" s="313">
        <v>0</v>
      </c>
      <c r="M147" s="314">
        <v>0</v>
      </c>
      <c r="N147" s="314">
        <v>0</v>
      </c>
      <c r="O147" s="314">
        <v>0</v>
      </c>
      <c r="P147" s="314">
        <v>0</v>
      </c>
      <c r="Q147" s="314">
        <f t="shared" si="2"/>
        <v>0</v>
      </c>
      <c r="R147" s="314">
        <v>0</v>
      </c>
      <c r="S147" s="314">
        <v>0</v>
      </c>
      <c r="T147" s="314">
        <v>11705742</v>
      </c>
    </row>
    <row r="148" spans="1:20" x14ac:dyDescent="0.25">
      <c r="A148" t="s">
        <v>873</v>
      </c>
      <c r="B148" t="s">
        <v>871</v>
      </c>
      <c r="C148">
        <v>9775815</v>
      </c>
      <c r="D148">
        <v>2019</v>
      </c>
      <c r="E148" s="314">
        <v>0</v>
      </c>
      <c r="F148" s="314">
        <v>0</v>
      </c>
      <c r="G148" s="314">
        <v>0</v>
      </c>
      <c r="H148" s="314">
        <v>605740</v>
      </c>
      <c r="I148" s="314">
        <v>0</v>
      </c>
      <c r="J148" s="314">
        <v>0</v>
      </c>
      <c r="K148" s="314">
        <v>0</v>
      </c>
      <c r="L148" s="313">
        <v>0</v>
      </c>
      <c r="M148" s="314">
        <v>0</v>
      </c>
      <c r="N148" s="314">
        <v>0</v>
      </c>
      <c r="O148" s="314">
        <v>0</v>
      </c>
      <c r="P148" s="314">
        <v>0</v>
      </c>
      <c r="Q148" s="314">
        <f t="shared" si="2"/>
        <v>0</v>
      </c>
      <c r="R148" s="314">
        <v>0</v>
      </c>
      <c r="S148" s="314">
        <v>0</v>
      </c>
      <c r="T148" s="314">
        <v>605740</v>
      </c>
    </row>
    <row r="149" spans="1:20" x14ac:dyDescent="0.25">
      <c r="A149" t="s">
        <v>1413</v>
      </c>
      <c r="B149" t="s">
        <v>928</v>
      </c>
      <c r="C149">
        <v>5922905</v>
      </c>
      <c r="D149">
        <v>2019</v>
      </c>
      <c r="E149" s="314">
        <v>0</v>
      </c>
      <c r="F149" s="314">
        <v>0</v>
      </c>
      <c r="G149" s="314">
        <v>0</v>
      </c>
      <c r="H149" s="314">
        <v>1625000</v>
      </c>
      <c r="I149" s="314">
        <v>0</v>
      </c>
      <c r="J149" s="314">
        <v>643778.09</v>
      </c>
      <c r="K149" s="314">
        <v>0</v>
      </c>
      <c r="L149" s="313">
        <v>0</v>
      </c>
      <c r="M149" s="314">
        <v>0</v>
      </c>
      <c r="N149" s="314">
        <v>0</v>
      </c>
      <c r="O149" s="314">
        <v>0</v>
      </c>
      <c r="P149" s="314">
        <v>80000</v>
      </c>
      <c r="Q149" s="314">
        <f t="shared" si="2"/>
        <v>80000</v>
      </c>
      <c r="R149" s="314">
        <v>0</v>
      </c>
      <c r="S149" s="314">
        <v>0</v>
      </c>
      <c r="T149" s="314">
        <v>2348778.09</v>
      </c>
    </row>
    <row r="150" spans="1:20" x14ac:dyDescent="0.25">
      <c r="A150" t="s">
        <v>608</v>
      </c>
      <c r="B150" t="s">
        <v>606</v>
      </c>
      <c r="C150">
        <v>1647194</v>
      </c>
      <c r="D150">
        <v>2019</v>
      </c>
      <c r="E150" s="314">
        <v>107952</v>
      </c>
      <c r="F150" s="314">
        <v>0</v>
      </c>
      <c r="G150" s="314">
        <v>0</v>
      </c>
      <c r="H150" s="314">
        <v>685740</v>
      </c>
      <c r="I150" s="314">
        <v>0</v>
      </c>
      <c r="J150" s="314">
        <v>0</v>
      </c>
      <c r="K150" s="314">
        <v>0</v>
      </c>
      <c r="L150" s="313">
        <v>0</v>
      </c>
      <c r="M150" s="314">
        <v>0</v>
      </c>
      <c r="N150" s="314">
        <v>0</v>
      </c>
      <c r="O150" s="314">
        <v>0</v>
      </c>
      <c r="P150" s="314">
        <v>0</v>
      </c>
      <c r="Q150" s="314">
        <f t="shared" si="2"/>
        <v>0</v>
      </c>
      <c r="R150" s="314">
        <v>0</v>
      </c>
      <c r="S150" s="314">
        <v>0</v>
      </c>
      <c r="T150" s="314">
        <v>793692</v>
      </c>
    </row>
    <row r="151" spans="1:20" x14ac:dyDescent="0.25">
      <c r="A151" t="s">
        <v>496</v>
      </c>
      <c r="B151" t="s">
        <v>496</v>
      </c>
      <c r="C151">
        <v>1872907</v>
      </c>
      <c r="D151">
        <v>2019</v>
      </c>
      <c r="E151" s="314">
        <v>0</v>
      </c>
      <c r="F151" s="314">
        <v>0</v>
      </c>
      <c r="G151" s="314">
        <v>0</v>
      </c>
      <c r="H151" s="314">
        <v>6220656</v>
      </c>
      <c r="I151" s="314">
        <v>0</v>
      </c>
      <c r="J151" s="314">
        <v>2984000</v>
      </c>
      <c r="K151" s="314">
        <v>0</v>
      </c>
      <c r="L151" s="313">
        <v>0</v>
      </c>
      <c r="M151" s="314">
        <v>0</v>
      </c>
      <c r="N151" s="314">
        <v>0</v>
      </c>
      <c r="O151" s="314">
        <v>0</v>
      </c>
      <c r="P151" s="314">
        <v>0</v>
      </c>
      <c r="Q151" s="314">
        <f t="shared" si="2"/>
        <v>0</v>
      </c>
      <c r="R151" s="314">
        <v>0</v>
      </c>
      <c r="S151" s="314">
        <v>0</v>
      </c>
      <c r="T151" s="314">
        <v>9204656</v>
      </c>
    </row>
    <row r="152" spans="1:20" x14ac:dyDescent="0.25">
      <c r="A152" t="s">
        <v>509</v>
      </c>
      <c r="B152" t="s">
        <v>509</v>
      </c>
      <c r="C152">
        <v>3713907</v>
      </c>
      <c r="D152">
        <v>2019</v>
      </c>
      <c r="E152" s="314">
        <v>0</v>
      </c>
      <c r="F152" s="314">
        <v>0</v>
      </c>
      <c r="G152" s="314">
        <v>0</v>
      </c>
      <c r="H152" s="314">
        <v>14923149</v>
      </c>
      <c r="I152" s="314">
        <v>0</v>
      </c>
      <c r="J152" s="314">
        <v>6879000</v>
      </c>
      <c r="K152" s="314">
        <v>0</v>
      </c>
      <c r="L152" s="313">
        <v>0</v>
      </c>
      <c r="M152" s="314">
        <v>0</v>
      </c>
      <c r="N152" s="314">
        <v>0</v>
      </c>
      <c r="O152" s="314">
        <v>0</v>
      </c>
      <c r="P152" s="314">
        <v>0</v>
      </c>
      <c r="Q152" s="314">
        <f t="shared" si="2"/>
        <v>0</v>
      </c>
      <c r="R152" s="314">
        <v>0</v>
      </c>
      <c r="S152" s="314">
        <v>0</v>
      </c>
      <c r="T152" s="314">
        <v>21802149</v>
      </c>
    </row>
    <row r="153" spans="1:20" x14ac:dyDescent="0.25">
      <c r="A153" t="s">
        <v>519</v>
      </c>
      <c r="B153" t="s">
        <v>519</v>
      </c>
      <c r="C153">
        <v>3529182</v>
      </c>
      <c r="D153">
        <v>2019</v>
      </c>
      <c r="E153" s="314">
        <v>0</v>
      </c>
      <c r="F153" s="314">
        <v>0</v>
      </c>
      <c r="G153" s="314">
        <v>0</v>
      </c>
      <c r="H153" s="314">
        <v>5364812</v>
      </c>
      <c r="I153" s="314">
        <v>0</v>
      </c>
      <c r="J153" s="314">
        <v>1696865</v>
      </c>
      <c r="K153" s="314">
        <v>0</v>
      </c>
      <c r="L153" s="313">
        <v>0</v>
      </c>
      <c r="M153" s="314">
        <v>0</v>
      </c>
      <c r="N153" s="314">
        <v>0</v>
      </c>
      <c r="O153" s="314">
        <v>0</v>
      </c>
      <c r="P153" s="314">
        <v>0</v>
      </c>
      <c r="Q153" s="314">
        <f t="shared" si="2"/>
        <v>0</v>
      </c>
      <c r="R153" s="314">
        <v>0</v>
      </c>
      <c r="S153" s="314">
        <v>0</v>
      </c>
      <c r="T153" s="314">
        <v>7061677</v>
      </c>
    </row>
    <row r="154" spans="1:20" x14ac:dyDescent="0.25">
      <c r="A154" t="s">
        <v>472</v>
      </c>
      <c r="B154" t="s">
        <v>472</v>
      </c>
      <c r="C154">
        <v>1991772</v>
      </c>
      <c r="D154">
        <v>2019</v>
      </c>
      <c r="E154" s="314">
        <v>0</v>
      </c>
      <c r="F154" s="314">
        <v>0</v>
      </c>
      <c r="G154" s="314">
        <v>0</v>
      </c>
      <c r="H154" s="314">
        <v>6530764</v>
      </c>
      <c r="I154" s="314">
        <v>0</v>
      </c>
      <c r="J154" s="314">
        <v>1935000</v>
      </c>
      <c r="K154" s="314">
        <v>0</v>
      </c>
      <c r="L154" s="313">
        <v>0</v>
      </c>
      <c r="M154" s="314">
        <v>0</v>
      </c>
      <c r="N154" s="314">
        <v>0</v>
      </c>
      <c r="O154" s="314">
        <v>0</v>
      </c>
      <c r="P154" s="314">
        <v>0</v>
      </c>
      <c r="Q154" s="314">
        <f t="shared" si="2"/>
        <v>0</v>
      </c>
      <c r="R154" s="314">
        <v>0</v>
      </c>
      <c r="S154" s="314">
        <v>0</v>
      </c>
      <c r="T154" s="314">
        <v>8465764</v>
      </c>
    </row>
    <row r="155" spans="1:20" x14ac:dyDescent="0.25">
      <c r="A155" t="s">
        <v>502</v>
      </c>
      <c r="B155" t="s">
        <v>502</v>
      </c>
      <c r="C155">
        <v>1878615</v>
      </c>
      <c r="D155">
        <v>2019</v>
      </c>
      <c r="E155" s="314">
        <v>0</v>
      </c>
      <c r="F155" s="314">
        <v>0</v>
      </c>
      <c r="G155" s="314">
        <v>0</v>
      </c>
      <c r="H155" s="314">
        <v>535450</v>
      </c>
      <c r="I155" s="314">
        <v>0</v>
      </c>
      <c r="J155" s="314">
        <v>272100</v>
      </c>
      <c r="K155" s="314">
        <v>0</v>
      </c>
      <c r="L155" s="313">
        <v>0</v>
      </c>
      <c r="M155" s="314">
        <v>0</v>
      </c>
      <c r="N155" s="314">
        <v>0</v>
      </c>
      <c r="O155" s="314">
        <v>0</v>
      </c>
      <c r="P155" s="314">
        <v>0</v>
      </c>
      <c r="Q155" s="314">
        <f t="shared" si="2"/>
        <v>0</v>
      </c>
      <c r="R155" s="314">
        <v>0</v>
      </c>
      <c r="S155" s="314">
        <v>0</v>
      </c>
      <c r="T155" s="314">
        <v>807550</v>
      </c>
    </row>
    <row r="156" spans="1:20" x14ac:dyDescent="0.25">
      <c r="A156" t="s">
        <v>1010</v>
      </c>
      <c r="B156" t="s">
        <v>1010</v>
      </c>
      <c r="C156">
        <v>9268423</v>
      </c>
      <c r="D156">
        <v>2019</v>
      </c>
      <c r="E156" s="314">
        <v>0</v>
      </c>
      <c r="F156" s="314">
        <v>651000</v>
      </c>
      <c r="G156" s="314">
        <v>0</v>
      </c>
      <c r="H156" s="314">
        <v>7973026</v>
      </c>
      <c r="I156" s="314">
        <v>0</v>
      </c>
      <c r="J156" s="314">
        <v>0</v>
      </c>
      <c r="K156" s="314">
        <v>0</v>
      </c>
      <c r="L156" s="313">
        <v>0</v>
      </c>
      <c r="M156" s="314">
        <v>0</v>
      </c>
      <c r="N156" s="314">
        <v>0</v>
      </c>
      <c r="O156" s="314">
        <v>10000</v>
      </c>
      <c r="P156" s="314">
        <v>3005000</v>
      </c>
      <c r="Q156" s="314">
        <f t="shared" si="2"/>
        <v>3015000</v>
      </c>
      <c r="R156" s="314">
        <v>0</v>
      </c>
      <c r="S156" s="314">
        <v>0</v>
      </c>
      <c r="T156" s="314">
        <v>11639026</v>
      </c>
    </row>
    <row r="157" spans="1:20" x14ac:dyDescent="0.25">
      <c r="A157" t="s">
        <v>407</v>
      </c>
      <c r="B157" t="s">
        <v>1071</v>
      </c>
      <c r="C157">
        <v>2583952</v>
      </c>
      <c r="D157">
        <v>2019</v>
      </c>
      <c r="E157" s="314">
        <v>150000</v>
      </c>
      <c r="F157" s="314">
        <v>0</v>
      </c>
      <c r="G157" s="314">
        <v>0</v>
      </c>
      <c r="H157" s="314">
        <v>1224492</v>
      </c>
      <c r="I157" s="314">
        <v>0</v>
      </c>
      <c r="J157" s="314">
        <v>0</v>
      </c>
      <c r="K157" s="314">
        <v>0</v>
      </c>
      <c r="L157" s="313">
        <v>0</v>
      </c>
      <c r="M157" s="314">
        <v>0</v>
      </c>
      <c r="N157" s="314">
        <v>0</v>
      </c>
      <c r="O157" s="314">
        <v>0</v>
      </c>
      <c r="P157" s="314">
        <v>60000</v>
      </c>
      <c r="Q157" s="314">
        <f t="shared" si="2"/>
        <v>60000</v>
      </c>
      <c r="R157" s="314">
        <v>0</v>
      </c>
      <c r="S157" s="314">
        <v>32951</v>
      </c>
      <c r="T157" s="314">
        <v>1467443</v>
      </c>
    </row>
    <row r="158" spans="1:20" x14ac:dyDescent="0.25">
      <c r="A158" t="s">
        <v>962</v>
      </c>
      <c r="B158" t="s">
        <v>962</v>
      </c>
      <c r="C158">
        <v>1715626</v>
      </c>
      <c r="D158">
        <v>2019</v>
      </c>
      <c r="E158" s="314">
        <v>0</v>
      </c>
      <c r="F158" s="314">
        <v>158000</v>
      </c>
      <c r="G158" s="314">
        <v>0</v>
      </c>
      <c r="H158" s="314">
        <v>3597150</v>
      </c>
      <c r="I158" s="314">
        <v>0</v>
      </c>
      <c r="J158" s="314">
        <v>0</v>
      </c>
      <c r="K158" s="314">
        <v>0</v>
      </c>
      <c r="L158" s="313">
        <v>0</v>
      </c>
      <c r="M158" s="314">
        <v>0</v>
      </c>
      <c r="N158" s="314">
        <v>0</v>
      </c>
      <c r="O158" s="314">
        <v>0</v>
      </c>
      <c r="P158" s="314">
        <v>150000</v>
      </c>
      <c r="Q158" s="314">
        <f t="shared" si="2"/>
        <v>150000</v>
      </c>
      <c r="R158" s="314">
        <v>0</v>
      </c>
      <c r="S158" s="314">
        <v>0</v>
      </c>
      <c r="T158" s="314">
        <v>3905150</v>
      </c>
    </row>
    <row r="159" spans="1:20" x14ac:dyDescent="0.25">
      <c r="A159" t="s">
        <v>502</v>
      </c>
      <c r="B159" t="s">
        <v>502</v>
      </c>
      <c r="C159">
        <v>9924037</v>
      </c>
      <c r="D159">
        <v>2019</v>
      </c>
      <c r="E159" s="314">
        <v>0</v>
      </c>
      <c r="F159" s="314">
        <v>0</v>
      </c>
      <c r="G159" s="314">
        <v>0</v>
      </c>
      <c r="H159" s="314">
        <v>2196410</v>
      </c>
      <c r="I159" s="314">
        <v>0</v>
      </c>
      <c r="J159" s="314">
        <v>1723310</v>
      </c>
      <c r="K159" s="314">
        <v>0</v>
      </c>
      <c r="L159" s="313">
        <v>0</v>
      </c>
      <c r="M159" s="314">
        <v>0</v>
      </c>
      <c r="N159" s="314">
        <v>0</v>
      </c>
      <c r="O159" s="314">
        <v>0</v>
      </c>
      <c r="P159" s="314">
        <v>0</v>
      </c>
      <c r="Q159" s="314">
        <f t="shared" si="2"/>
        <v>0</v>
      </c>
      <c r="R159" s="314">
        <v>0</v>
      </c>
      <c r="S159" s="314">
        <v>0</v>
      </c>
      <c r="T159" s="314">
        <v>3919720</v>
      </c>
    </row>
    <row r="160" spans="1:20" x14ac:dyDescent="0.25">
      <c r="A160" t="s">
        <v>1267</v>
      </c>
      <c r="B160" t="s">
        <v>1268</v>
      </c>
      <c r="C160">
        <v>6907978</v>
      </c>
      <c r="D160">
        <v>2019</v>
      </c>
      <c r="E160" s="314">
        <v>0</v>
      </c>
      <c r="F160" s="314">
        <v>0</v>
      </c>
      <c r="G160" s="314">
        <v>0</v>
      </c>
      <c r="H160" s="314">
        <v>0</v>
      </c>
      <c r="I160" s="314">
        <v>0</v>
      </c>
      <c r="J160" s="314">
        <v>0</v>
      </c>
      <c r="K160" s="314">
        <v>0</v>
      </c>
      <c r="L160" s="313">
        <v>0</v>
      </c>
      <c r="M160" s="314">
        <v>0</v>
      </c>
      <c r="N160" s="314">
        <v>0</v>
      </c>
      <c r="O160" s="314">
        <v>0</v>
      </c>
      <c r="P160" s="314">
        <v>0</v>
      </c>
      <c r="Q160" s="314">
        <f t="shared" si="2"/>
        <v>0</v>
      </c>
      <c r="R160" s="314">
        <v>0</v>
      </c>
      <c r="S160" s="314">
        <v>0</v>
      </c>
      <c r="T160" s="314">
        <v>0</v>
      </c>
    </row>
    <row r="161" spans="1:20" x14ac:dyDescent="0.25">
      <c r="A161" t="s">
        <v>1208</v>
      </c>
      <c r="B161" t="s">
        <v>610</v>
      </c>
      <c r="C161">
        <v>6232669</v>
      </c>
      <c r="D161">
        <v>2019</v>
      </c>
      <c r="E161" s="314">
        <v>0</v>
      </c>
      <c r="F161" s="314">
        <v>0</v>
      </c>
      <c r="G161" s="314">
        <v>0</v>
      </c>
      <c r="H161" s="314">
        <v>1579046</v>
      </c>
      <c r="I161" s="314">
        <v>0</v>
      </c>
      <c r="J161" s="314">
        <v>0</v>
      </c>
      <c r="K161" s="314">
        <v>0</v>
      </c>
      <c r="L161" s="313">
        <v>0</v>
      </c>
      <c r="M161" s="314">
        <v>0</v>
      </c>
      <c r="N161" s="314">
        <v>0</v>
      </c>
      <c r="O161" s="314">
        <v>46542</v>
      </c>
      <c r="P161" s="314">
        <v>0</v>
      </c>
      <c r="Q161" s="314">
        <f t="shared" si="2"/>
        <v>46542</v>
      </c>
      <c r="R161" s="314">
        <v>0</v>
      </c>
      <c r="S161" s="314">
        <v>0</v>
      </c>
      <c r="T161" s="314">
        <v>1625588</v>
      </c>
    </row>
    <row r="162" spans="1:20" x14ac:dyDescent="0.25">
      <c r="A162" t="s">
        <v>1222</v>
      </c>
      <c r="B162" t="s">
        <v>531</v>
      </c>
      <c r="C162">
        <v>9199716</v>
      </c>
      <c r="D162">
        <v>2019</v>
      </c>
      <c r="E162" s="314">
        <v>349751</v>
      </c>
      <c r="F162" s="314">
        <v>0</v>
      </c>
      <c r="G162" s="314">
        <v>0</v>
      </c>
      <c r="H162" s="314">
        <v>1317750</v>
      </c>
      <c r="I162" s="314">
        <v>0</v>
      </c>
      <c r="J162" s="314">
        <v>0</v>
      </c>
      <c r="K162" s="314">
        <v>0</v>
      </c>
      <c r="L162" s="313">
        <v>0</v>
      </c>
      <c r="M162" s="314">
        <v>0</v>
      </c>
      <c r="N162" s="314">
        <v>0</v>
      </c>
      <c r="O162" s="314">
        <v>340270</v>
      </c>
      <c r="P162" s="314">
        <v>651000</v>
      </c>
      <c r="Q162" s="314">
        <f t="shared" si="2"/>
        <v>991270</v>
      </c>
      <c r="R162" s="314">
        <v>0</v>
      </c>
      <c r="S162" s="314">
        <v>0</v>
      </c>
      <c r="T162" s="314">
        <v>2658771</v>
      </c>
    </row>
    <row r="163" spans="1:20" x14ac:dyDescent="0.25">
      <c r="A163" t="s">
        <v>844</v>
      </c>
      <c r="B163" t="s">
        <v>842</v>
      </c>
      <c r="C163">
        <v>6698987</v>
      </c>
      <c r="D163">
        <v>2019</v>
      </c>
      <c r="E163" s="314">
        <v>0</v>
      </c>
      <c r="F163" s="314">
        <v>0</v>
      </c>
      <c r="G163" s="314">
        <v>0</v>
      </c>
      <c r="H163" s="314">
        <v>665328</v>
      </c>
      <c r="I163" s="314">
        <v>0</v>
      </c>
      <c r="J163" s="314">
        <v>0</v>
      </c>
      <c r="K163" s="314">
        <v>0</v>
      </c>
      <c r="L163" s="313">
        <v>0</v>
      </c>
      <c r="M163" s="314">
        <v>0</v>
      </c>
      <c r="N163" s="314">
        <v>0</v>
      </c>
      <c r="O163" s="314">
        <v>0</v>
      </c>
      <c r="P163" s="314">
        <v>200000</v>
      </c>
      <c r="Q163" s="314">
        <f t="shared" si="2"/>
        <v>200000</v>
      </c>
      <c r="R163" s="314">
        <v>0</v>
      </c>
      <c r="S163" s="314">
        <v>0</v>
      </c>
      <c r="T163" s="314">
        <v>865328</v>
      </c>
    </row>
    <row r="164" spans="1:20" x14ac:dyDescent="0.25">
      <c r="A164" t="s">
        <v>480</v>
      </c>
      <c r="B164" t="s">
        <v>480</v>
      </c>
      <c r="C164">
        <v>9593192</v>
      </c>
      <c r="D164">
        <v>2019</v>
      </c>
      <c r="E164" s="314">
        <v>0</v>
      </c>
      <c r="F164" s="314">
        <v>0</v>
      </c>
      <c r="G164" s="314">
        <v>0</v>
      </c>
      <c r="H164" s="314">
        <v>11622390</v>
      </c>
      <c r="I164" s="314">
        <v>0</v>
      </c>
      <c r="J164" s="314">
        <v>0</v>
      </c>
      <c r="K164" s="314">
        <v>0</v>
      </c>
      <c r="L164" s="313">
        <v>0</v>
      </c>
      <c r="M164" s="314">
        <v>0</v>
      </c>
      <c r="N164" s="314">
        <v>0</v>
      </c>
      <c r="O164" s="314">
        <v>0</v>
      </c>
      <c r="P164" s="314">
        <v>0</v>
      </c>
      <c r="Q164" s="314">
        <f t="shared" si="2"/>
        <v>0</v>
      </c>
      <c r="R164" s="314">
        <v>0</v>
      </c>
      <c r="S164" s="314">
        <v>0</v>
      </c>
      <c r="T164" s="314">
        <v>11622390</v>
      </c>
    </row>
    <row r="165" spans="1:20" x14ac:dyDescent="0.25">
      <c r="A165" t="s">
        <v>485</v>
      </c>
      <c r="B165" t="s">
        <v>485</v>
      </c>
      <c r="C165">
        <v>5220717</v>
      </c>
      <c r="D165">
        <v>2019</v>
      </c>
      <c r="E165" s="314">
        <v>0</v>
      </c>
      <c r="F165" s="314">
        <v>0</v>
      </c>
      <c r="G165" s="314">
        <v>0</v>
      </c>
      <c r="H165" s="314">
        <v>13910117</v>
      </c>
      <c r="I165" s="314">
        <v>0</v>
      </c>
      <c r="J165" s="314">
        <v>5814209</v>
      </c>
      <c r="K165" s="314">
        <v>0</v>
      </c>
      <c r="L165" s="313">
        <v>1213478</v>
      </c>
      <c r="M165" s="314">
        <v>0</v>
      </c>
      <c r="N165" s="314">
        <v>0</v>
      </c>
      <c r="O165" s="314">
        <v>0</v>
      </c>
      <c r="P165" s="314">
        <v>0</v>
      </c>
      <c r="Q165" s="314">
        <f t="shared" si="2"/>
        <v>0</v>
      </c>
      <c r="R165" s="314">
        <v>0</v>
      </c>
      <c r="S165" s="314">
        <v>0</v>
      </c>
      <c r="T165" s="314">
        <v>20937804</v>
      </c>
    </row>
    <row r="166" spans="1:20" x14ac:dyDescent="0.25">
      <c r="A166" t="s">
        <v>219</v>
      </c>
      <c r="B166" t="s">
        <v>1145</v>
      </c>
      <c r="C166">
        <v>3673053</v>
      </c>
      <c r="D166">
        <v>2019</v>
      </c>
      <c r="E166" s="314">
        <v>0</v>
      </c>
      <c r="F166" s="314">
        <v>0</v>
      </c>
      <c r="G166" s="314">
        <v>0</v>
      </c>
      <c r="H166" s="314">
        <v>8898350</v>
      </c>
      <c r="I166" s="314">
        <v>0</v>
      </c>
      <c r="J166" s="314">
        <v>0</v>
      </c>
      <c r="K166" s="314">
        <v>0</v>
      </c>
      <c r="L166" s="313">
        <v>0</v>
      </c>
      <c r="M166" s="314">
        <v>0</v>
      </c>
      <c r="N166" s="314">
        <v>0</v>
      </c>
      <c r="O166" s="314">
        <v>76000</v>
      </c>
      <c r="P166" s="314">
        <v>1350500</v>
      </c>
      <c r="Q166" s="314">
        <f t="shared" si="2"/>
        <v>1426500</v>
      </c>
      <c r="R166" s="314">
        <v>0</v>
      </c>
      <c r="S166" s="314">
        <v>19000</v>
      </c>
      <c r="T166" s="314">
        <v>10343850</v>
      </c>
    </row>
    <row r="167" spans="1:20" x14ac:dyDescent="0.25">
      <c r="A167" t="s">
        <v>525</v>
      </c>
      <c r="B167" t="s">
        <v>523</v>
      </c>
      <c r="C167">
        <v>5869239</v>
      </c>
      <c r="D167">
        <v>2019</v>
      </c>
      <c r="E167" s="314">
        <v>0</v>
      </c>
      <c r="F167" s="314">
        <v>0</v>
      </c>
      <c r="G167" s="314">
        <v>0</v>
      </c>
      <c r="H167" s="314">
        <v>13451430</v>
      </c>
      <c r="I167" s="314">
        <v>0</v>
      </c>
      <c r="J167" s="314">
        <v>5107000</v>
      </c>
      <c r="K167" s="314">
        <v>0</v>
      </c>
      <c r="L167" s="313">
        <v>0</v>
      </c>
      <c r="M167" s="314">
        <v>0</v>
      </c>
      <c r="N167" s="314">
        <v>0</v>
      </c>
      <c r="O167" s="314">
        <v>0</v>
      </c>
      <c r="P167" s="314">
        <v>0</v>
      </c>
      <c r="Q167" s="314">
        <f t="shared" si="2"/>
        <v>0</v>
      </c>
      <c r="R167" s="314">
        <v>0</v>
      </c>
      <c r="S167" s="314">
        <v>0</v>
      </c>
      <c r="T167" s="314">
        <v>18558430</v>
      </c>
    </row>
    <row r="168" spans="1:20" x14ac:dyDescent="0.25">
      <c r="A168" t="s">
        <v>772</v>
      </c>
      <c r="B168" t="s">
        <v>760</v>
      </c>
      <c r="C168">
        <v>7741294</v>
      </c>
      <c r="D168">
        <v>2019</v>
      </c>
      <c r="E168" s="314">
        <v>0</v>
      </c>
      <c r="F168" s="314">
        <v>101000</v>
      </c>
      <c r="G168" s="314">
        <v>0</v>
      </c>
      <c r="H168" s="314">
        <v>1419144</v>
      </c>
      <c r="I168" s="314">
        <v>0</v>
      </c>
      <c r="J168" s="314">
        <v>0</v>
      </c>
      <c r="K168" s="314">
        <v>0</v>
      </c>
      <c r="L168" s="313">
        <v>0</v>
      </c>
      <c r="M168" s="314">
        <v>0</v>
      </c>
      <c r="N168" s="314">
        <v>0</v>
      </c>
      <c r="O168" s="314">
        <v>10000</v>
      </c>
      <c r="P168" s="314">
        <v>720000</v>
      </c>
      <c r="Q168" s="314">
        <f t="shared" si="2"/>
        <v>730000</v>
      </c>
      <c r="R168" s="314">
        <v>0</v>
      </c>
      <c r="S168" s="314">
        <v>0</v>
      </c>
      <c r="T168" s="314">
        <v>2250144</v>
      </c>
    </row>
    <row r="169" spans="1:20" x14ac:dyDescent="0.25">
      <c r="A169" t="s">
        <v>594</v>
      </c>
      <c r="B169" t="s">
        <v>1056</v>
      </c>
      <c r="C169">
        <v>1201932</v>
      </c>
      <c r="D169">
        <v>2019</v>
      </c>
      <c r="E169" s="314">
        <v>46960</v>
      </c>
      <c r="F169" s="314">
        <v>60000</v>
      </c>
      <c r="G169" s="314">
        <v>0</v>
      </c>
      <c r="H169" s="314">
        <v>1782000</v>
      </c>
      <c r="I169" s="314">
        <v>0</v>
      </c>
      <c r="J169" s="314">
        <v>0</v>
      </c>
      <c r="K169" s="314">
        <v>0</v>
      </c>
      <c r="L169" s="313">
        <v>0</v>
      </c>
      <c r="M169" s="314">
        <v>0</v>
      </c>
      <c r="N169" s="314">
        <v>0</v>
      </c>
      <c r="O169" s="314">
        <v>0</v>
      </c>
      <c r="P169" s="314">
        <v>340000</v>
      </c>
      <c r="Q169" s="314">
        <f t="shared" si="2"/>
        <v>340000</v>
      </c>
      <c r="R169" s="314">
        <v>847190</v>
      </c>
      <c r="S169" s="314">
        <v>0</v>
      </c>
      <c r="T169" s="314">
        <v>3076150</v>
      </c>
    </row>
    <row r="170" spans="1:20" x14ac:dyDescent="0.25">
      <c r="A170" t="s">
        <v>962</v>
      </c>
      <c r="B170" t="s">
        <v>962</v>
      </c>
      <c r="C170">
        <v>3921078</v>
      </c>
      <c r="D170">
        <v>2019</v>
      </c>
      <c r="E170" s="314">
        <v>0</v>
      </c>
      <c r="F170" s="314">
        <v>0</v>
      </c>
      <c r="G170" s="314">
        <v>0</v>
      </c>
      <c r="H170" s="314">
        <v>716300</v>
      </c>
      <c r="I170" s="314">
        <v>0</v>
      </c>
      <c r="J170" s="314">
        <v>0</v>
      </c>
      <c r="K170" s="314">
        <v>0</v>
      </c>
      <c r="L170" s="313">
        <v>0</v>
      </c>
      <c r="M170" s="314">
        <v>0</v>
      </c>
      <c r="N170" s="314">
        <v>0</v>
      </c>
      <c r="O170" s="314">
        <v>0</v>
      </c>
      <c r="P170" s="314">
        <v>0</v>
      </c>
      <c r="Q170" s="314">
        <f t="shared" si="2"/>
        <v>0</v>
      </c>
      <c r="R170" s="314">
        <v>0</v>
      </c>
      <c r="S170" s="314">
        <v>0</v>
      </c>
      <c r="T170" s="314">
        <v>716300</v>
      </c>
    </row>
    <row r="171" spans="1:20" x14ac:dyDescent="0.25">
      <c r="A171" t="s">
        <v>1200</v>
      </c>
      <c r="B171" t="s">
        <v>776</v>
      </c>
      <c r="C171">
        <v>5376966</v>
      </c>
      <c r="D171">
        <v>2019</v>
      </c>
      <c r="E171" s="314">
        <v>0</v>
      </c>
      <c r="F171" s="314">
        <v>0</v>
      </c>
      <c r="G171" s="314">
        <v>0</v>
      </c>
      <c r="H171" s="314">
        <v>8268855</v>
      </c>
      <c r="I171" s="314">
        <v>0</v>
      </c>
      <c r="J171" s="314">
        <v>0</v>
      </c>
      <c r="K171" s="314">
        <v>0</v>
      </c>
      <c r="L171" s="313">
        <v>243056</v>
      </c>
      <c r="M171" s="314">
        <v>0</v>
      </c>
      <c r="N171" s="314">
        <v>0</v>
      </c>
      <c r="O171" s="314">
        <v>101300</v>
      </c>
      <c r="P171" s="314">
        <v>4280000</v>
      </c>
      <c r="Q171" s="314">
        <f t="shared" si="2"/>
        <v>4381300</v>
      </c>
      <c r="R171" s="314">
        <v>0</v>
      </c>
      <c r="S171" s="314">
        <v>0</v>
      </c>
      <c r="T171" s="314">
        <v>12893211</v>
      </c>
    </row>
    <row r="172" spans="1:20" x14ac:dyDescent="0.25">
      <c r="A172" t="s">
        <v>670</v>
      </c>
      <c r="B172" t="s">
        <v>666</v>
      </c>
      <c r="C172">
        <v>5204562</v>
      </c>
      <c r="D172">
        <v>2019</v>
      </c>
      <c r="E172" s="314">
        <v>227286</v>
      </c>
      <c r="F172" s="314">
        <v>0</v>
      </c>
      <c r="G172" s="314">
        <v>0</v>
      </c>
      <c r="H172" s="314">
        <v>480000</v>
      </c>
      <c r="I172" s="314">
        <v>0</v>
      </c>
      <c r="J172" s="314">
        <v>0</v>
      </c>
      <c r="K172" s="314">
        <v>0</v>
      </c>
      <c r="L172" s="313">
        <v>0</v>
      </c>
      <c r="M172" s="314">
        <v>0</v>
      </c>
      <c r="N172" s="314">
        <v>0</v>
      </c>
      <c r="O172" s="314">
        <v>22496</v>
      </c>
      <c r="P172" s="314">
        <v>0</v>
      </c>
      <c r="Q172" s="314">
        <f t="shared" si="2"/>
        <v>22496</v>
      </c>
      <c r="R172" s="314">
        <v>0</v>
      </c>
      <c r="S172" s="314">
        <v>0</v>
      </c>
      <c r="T172" s="314">
        <v>729782</v>
      </c>
    </row>
    <row r="173" spans="1:20" x14ac:dyDescent="0.25">
      <c r="A173" t="s">
        <v>942</v>
      </c>
      <c r="B173" t="s">
        <v>942</v>
      </c>
      <c r="C173">
        <v>4878719</v>
      </c>
      <c r="D173">
        <v>2019</v>
      </c>
      <c r="E173" s="314">
        <v>0</v>
      </c>
      <c r="F173" s="314">
        <v>0</v>
      </c>
      <c r="G173" s="314">
        <v>0</v>
      </c>
      <c r="H173" s="314">
        <v>1117120</v>
      </c>
      <c r="I173" s="314">
        <v>0</v>
      </c>
      <c r="J173" s="314">
        <v>0</v>
      </c>
      <c r="K173" s="314">
        <v>0</v>
      </c>
      <c r="L173" s="313">
        <v>0</v>
      </c>
      <c r="M173" s="314">
        <v>0</v>
      </c>
      <c r="N173" s="314">
        <v>0</v>
      </c>
      <c r="O173" s="314">
        <v>0</v>
      </c>
      <c r="P173" s="314">
        <v>1000000</v>
      </c>
      <c r="Q173" s="314">
        <f t="shared" si="2"/>
        <v>1000000</v>
      </c>
      <c r="R173" s="314">
        <v>0</v>
      </c>
      <c r="S173" s="314">
        <v>0</v>
      </c>
      <c r="T173" s="314">
        <v>2117120</v>
      </c>
    </row>
    <row r="174" spans="1:20" x14ac:dyDescent="0.25">
      <c r="A174" t="s">
        <v>905</v>
      </c>
      <c r="B174" t="s">
        <v>902</v>
      </c>
      <c r="C174">
        <v>4659873</v>
      </c>
      <c r="D174">
        <v>2019</v>
      </c>
      <c r="E174" s="314">
        <v>191965</v>
      </c>
      <c r="F174" s="314">
        <v>0</v>
      </c>
      <c r="G174" s="314">
        <v>0</v>
      </c>
      <c r="H174" s="314">
        <v>1205810</v>
      </c>
      <c r="I174" s="314">
        <v>0</v>
      </c>
      <c r="J174" s="314">
        <v>0</v>
      </c>
      <c r="K174" s="314">
        <v>0</v>
      </c>
      <c r="L174" s="313">
        <v>0</v>
      </c>
      <c r="M174" s="314">
        <v>0</v>
      </c>
      <c r="N174" s="314">
        <v>0</v>
      </c>
      <c r="O174" s="314">
        <v>0</v>
      </c>
      <c r="P174" s="314">
        <v>0</v>
      </c>
      <c r="Q174" s="314">
        <f t="shared" si="2"/>
        <v>0</v>
      </c>
      <c r="R174" s="314">
        <v>0</v>
      </c>
      <c r="S174" s="314">
        <v>0</v>
      </c>
      <c r="T174" s="314">
        <v>1397775</v>
      </c>
    </row>
    <row r="175" spans="1:20" x14ac:dyDescent="0.25">
      <c r="A175" t="s">
        <v>1108</v>
      </c>
      <c r="B175" t="s">
        <v>585</v>
      </c>
      <c r="C175">
        <v>8299792</v>
      </c>
      <c r="D175">
        <v>2019</v>
      </c>
      <c r="E175" s="314">
        <v>0</v>
      </c>
      <c r="F175" s="314">
        <v>112000</v>
      </c>
      <c r="G175" s="314">
        <v>0</v>
      </c>
      <c r="H175" s="314">
        <v>1165820</v>
      </c>
      <c r="I175" s="314">
        <v>0</v>
      </c>
      <c r="J175" s="314">
        <v>0</v>
      </c>
      <c r="K175" s="314">
        <v>0</v>
      </c>
      <c r="L175" s="313">
        <v>0</v>
      </c>
      <c r="M175" s="314">
        <v>0</v>
      </c>
      <c r="N175" s="314">
        <v>0</v>
      </c>
      <c r="O175" s="314">
        <v>0</v>
      </c>
      <c r="P175" s="314">
        <v>220000</v>
      </c>
      <c r="Q175" s="314">
        <f t="shared" si="2"/>
        <v>220000</v>
      </c>
      <c r="R175" s="314">
        <v>0</v>
      </c>
      <c r="S175" s="314">
        <v>0</v>
      </c>
      <c r="T175" s="314">
        <v>1497820</v>
      </c>
    </row>
    <row r="176" spans="1:20" x14ac:dyDescent="0.25">
      <c r="A176" t="s">
        <v>261</v>
      </c>
      <c r="B176" t="s">
        <v>257</v>
      </c>
      <c r="C176">
        <v>5000179</v>
      </c>
      <c r="D176">
        <v>2019</v>
      </c>
      <c r="E176" s="314">
        <v>0</v>
      </c>
      <c r="F176" s="314">
        <v>0</v>
      </c>
      <c r="G176" s="314">
        <v>0</v>
      </c>
      <c r="H176" s="314">
        <v>24865973</v>
      </c>
      <c r="I176" s="314">
        <v>0</v>
      </c>
      <c r="J176" s="314">
        <v>11973000</v>
      </c>
      <c r="K176" s="314">
        <v>0</v>
      </c>
      <c r="L176" s="313">
        <v>0</v>
      </c>
      <c r="M176" s="314">
        <v>0</v>
      </c>
      <c r="N176" s="314">
        <v>0</v>
      </c>
      <c r="O176" s="314">
        <v>0</v>
      </c>
      <c r="P176" s="314">
        <v>0</v>
      </c>
      <c r="Q176" s="314">
        <f t="shared" si="2"/>
        <v>0</v>
      </c>
      <c r="R176" s="314">
        <v>0</v>
      </c>
      <c r="S176" s="314">
        <v>0</v>
      </c>
      <c r="T176" s="314">
        <v>36838973</v>
      </c>
    </row>
    <row r="177" spans="1:20" x14ac:dyDescent="0.25">
      <c r="A177" t="s">
        <v>859</v>
      </c>
      <c r="B177" t="s">
        <v>947</v>
      </c>
      <c r="C177">
        <v>4720531</v>
      </c>
      <c r="D177">
        <v>2019</v>
      </c>
      <c r="E177" s="314">
        <v>0</v>
      </c>
      <c r="F177" s="314">
        <v>0</v>
      </c>
      <c r="G177" s="314">
        <v>0</v>
      </c>
      <c r="H177" s="314">
        <v>477570</v>
      </c>
      <c r="I177" s="314">
        <v>0</v>
      </c>
      <c r="J177" s="314">
        <v>0</v>
      </c>
      <c r="K177" s="314">
        <v>0</v>
      </c>
      <c r="L177" s="313">
        <v>0</v>
      </c>
      <c r="M177" s="314">
        <v>0</v>
      </c>
      <c r="N177" s="314">
        <v>0</v>
      </c>
      <c r="O177" s="314">
        <v>0</v>
      </c>
      <c r="P177" s="314">
        <v>207067</v>
      </c>
      <c r="Q177" s="314">
        <f t="shared" si="2"/>
        <v>207067</v>
      </c>
      <c r="R177" s="314">
        <v>0</v>
      </c>
      <c r="S177" s="314">
        <v>0</v>
      </c>
      <c r="T177" s="314">
        <v>684637</v>
      </c>
    </row>
    <row r="178" spans="1:20" x14ac:dyDescent="0.25">
      <c r="A178" t="s">
        <v>413</v>
      </c>
      <c r="B178" t="s">
        <v>411</v>
      </c>
      <c r="C178">
        <v>1494293</v>
      </c>
      <c r="D178">
        <v>2019</v>
      </c>
      <c r="E178" s="314">
        <v>0</v>
      </c>
      <c r="F178" s="314">
        <v>0</v>
      </c>
      <c r="G178" s="314">
        <v>0</v>
      </c>
      <c r="H178" s="314">
        <v>1027900</v>
      </c>
      <c r="I178" s="314">
        <v>0</v>
      </c>
      <c r="J178" s="314">
        <v>0</v>
      </c>
      <c r="K178" s="314">
        <v>0</v>
      </c>
      <c r="L178" s="313">
        <v>0</v>
      </c>
      <c r="M178" s="314">
        <v>0</v>
      </c>
      <c r="N178" s="314">
        <v>0</v>
      </c>
      <c r="O178" s="314">
        <v>0</v>
      </c>
      <c r="P178" s="314">
        <v>95000</v>
      </c>
      <c r="Q178" s="314">
        <f t="shared" si="2"/>
        <v>95000</v>
      </c>
      <c r="R178" s="314">
        <v>0</v>
      </c>
      <c r="S178" s="314">
        <v>0</v>
      </c>
      <c r="T178" s="314">
        <v>1122900</v>
      </c>
    </row>
    <row r="179" spans="1:20" x14ac:dyDescent="0.25">
      <c r="A179" t="s">
        <v>1453</v>
      </c>
      <c r="B179" t="s">
        <v>257</v>
      </c>
      <c r="C179">
        <v>6163071</v>
      </c>
      <c r="D179">
        <v>2019</v>
      </c>
      <c r="E179" s="314">
        <v>0</v>
      </c>
      <c r="F179" s="314">
        <v>0</v>
      </c>
      <c r="G179" s="314">
        <v>0</v>
      </c>
      <c r="H179" s="314">
        <v>579155</v>
      </c>
      <c r="I179" s="314">
        <v>0</v>
      </c>
      <c r="J179" s="314">
        <v>240000</v>
      </c>
      <c r="K179" s="314">
        <v>0</v>
      </c>
      <c r="L179" s="313">
        <v>0</v>
      </c>
      <c r="M179" s="314">
        <v>0</v>
      </c>
      <c r="N179" s="314">
        <v>0</v>
      </c>
      <c r="O179" s="314">
        <v>0</v>
      </c>
      <c r="P179" s="314">
        <v>0</v>
      </c>
      <c r="Q179" s="314">
        <f t="shared" si="2"/>
        <v>0</v>
      </c>
      <c r="R179" s="314">
        <v>0</v>
      </c>
      <c r="S179" s="314">
        <v>0</v>
      </c>
      <c r="T179" s="314">
        <v>819155</v>
      </c>
    </row>
    <row r="180" spans="1:20" x14ac:dyDescent="0.25">
      <c r="A180" t="s">
        <v>769</v>
      </c>
      <c r="B180" t="s">
        <v>257</v>
      </c>
      <c r="C180">
        <v>8504548</v>
      </c>
      <c r="D180">
        <v>2019</v>
      </c>
      <c r="E180" s="314">
        <v>0</v>
      </c>
      <c r="F180" s="314">
        <v>0</v>
      </c>
      <c r="G180" s="314">
        <v>0</v>
      </c>
      <c r="H180" s="314">
        <v>17791098</v>
      </c>
      <c r="I180" s="314">
        <v>0</v>
      </c>
      <c r="J180" s="314">
        <v>6960000</v>
      </c>
      <c r="K180" s="314">
        <v>0</v>
      </c>
      <c r="L180" s="313">
        <v>0</v>
      </c>
      <c r="M180" s="314">
        <v>0</v>
      </c>
      <c r="N180" s="314">
        <v>0</v>
      </c>
      <c r="O180" s="314">
        <v>0</v>
      </c>
      <c r="P180" s="314">
        <v>0</v>
      </c>
      <c r="Q180" s="314">
        <f t="shared" si="2"/>
        <v>0</v>
      </c>
      <c r="R180" s="314">
        <v>0</v>
      </c>
      <c r="S180" s="314">
        <v>0</v>
      </c>
      <c r="T180" s="314">
        <v>24751098</v>
      </c>
    </row>
    <row r="181" spans="1:20" x14ac:dyDescent="0.25">
      <c r="A181" t="s">
        <v>1279</v>
      </c>
      <c r="B181" t="s">
        <v>531</v>
      </c>
      <c r="C181">
        <v>4547815</v>
      </c>
      <c r="D181">
        <v>2019</v>
      </c>
      <c r="E181" s="314">
        <v>0</v>
      </c>
      <c r="F181" s="314">
        <v>0</v>
      </c>
      <c r="G181" s="314">
        <v>0</v>
      </c>
      <c r="H181" s="314">
        <v>529296</v>
      </c>
      <c r="I181" s="314">
        <v>0</v>
      </c>
      <c r="J181" s="314">
        <v>0</v>
      </c>
      <c r="K181" s="314">
        <v>0</v>
      </c>
      <c r="L181" s="313">
        <v>0</v>
      </c>
      <c r="M181" s="314">
        <v>0</v>
      </c>
      <c r="N181" s="314">
        <v>0</v>
      </c>
      <c r="O181" s="314">
        <v>0</v>
      </c>
      <c r="P181" s="314">
        <v>653000</v>
      </c>
      <c r="Q181" s="314">
        <f t="shared" si="2"/>
        <v>653000</v>
      </c>
      <c r="R181" s="314">
        <v>0</v>
      </c>
      <c r="S181" s="314">
        <v>0</v>
      </c>
      <c r="T181" s="314">
        <v>1182296</v>
      </c>
    </row>
    <row r="182" spans="1:20" x14ac:dyDescent="0.25">
      <c r="A182" t="s">
        <v>576</v>
      </c>
      <c r="B182" t="s">
        <v>576</v>
      </c>
      <c r="C182">
        <v>8877013</v>
      </c>
      <c r="D182">
        <v>2019</v>
      </c>
      <c r="E182" s="314">
        <v>808350</v>
      </c>
      <c r="F182" s="314">
        <v>200000</v>
      </c>
      <c r="G182" s="314">
        <v>0</v>
      </c>
      <c r="H182" s="314">
        <v>3634850</v>
      </c>
      <c r="I182" s="314">
        <v>0</v>
      </c>
      <c r="J182" s="314">
        <v>0</v>
      </c>
      <c r="K182" s="314">
        <v>0</v>
      </c>
      <c r="L182" s="313">
        <v>0</v>
      </c>
      <c r="M182" s="314">
        <v>0</v>
      </c>
      <c r="N182" s="314">
        <v>0</v>
      </c>
      <c r="O182" s="314">
        <v>0</v>
      </c>
      <c r="P182" s="314">
        <v>0</v>
      </c>
      <c r="Q182" s="314">
        <f t="shared" si="2"/>
        <v>0</v>
      </c>
      <c r="R182" s="314">
        <v>0</v>
      </c>
      <c r="S182" s="314">
        <v>0</v>
      </c>
      <c r="T182" s="314">
        <v>4643200</v>
      </c>
    </row>
    <row r="183" spans="1:20" x14ac:dyDescent="0.25">
      <c r="A183" t="s">
        <v>1176</v>
      </c>
      <c r="B183" t="s">
        <v>1176</v>
      </c>
      <c r="C183">
        <v>5060032</v>
      </c>
      <c r="D183">
        <v>2019</v>
      </c>
      <c r="E183" s="314">
        <v>0</v>
      </c>
      <c r="F183" s="314">
        <v>0</v>
      </c>
      <c r="G183" s="314">
        <v>0</v>
      </c>
      <c r="H183" s="314">
        <v>0</v>
      </c>
      <c r="I183" s="314">
        <v>0</v>
      </c>
      <c r="J183" s="314">
        <v>0</v>
      </c>
      <c r="K183" s="314">
        <v>0</v>
      </c>
      <c r="L183" s="313">
        <v>0</v>
      </c>
      <c r="M183" s="314">
        <v>0</v>
      </c>
      <c r="N183" s="314">
        <v>0</v>
      </c>
      <c r="O183" s="314">
        <v>0</v>
      </c>
      <c r="P183" s="314">
        <v>0</v>
      </c>
      <c r="Q183" s="314">
        <f t="shared" si="2"/>
        <v>0</v>
      </c>
      <c r="R183" s="314">
        <v>0</v>
      </c>
      <c r="S183" s="314">
        <v>0</v>
      </c>
      <c r="T183" s="314">
        <v>0</v>
      </c>
    </row>
    <row r="184" spans="1:20" x14ac:dyDescent="0.25">
      <c r="A184" t="s">
        <v>1304</v>
      </c>
      <c r="B184" t="s">
        <v>947</v>
      </c>
      <c r="C184">
        <v>9459250</v>
      </c>
      <c r="D184">
        <v>2019</v>
      </c>
      <c r="E184" s="314">
        <v>0</v>
      </c>
      <c r="F184" s="314">
        <v>0</v>
      </c>
      <c r="G184" s="314">
        <v>0</v>
      </c>
      <c r="H184" s="314">
        <v>1659657</v>
      </c>
      <c r="I184" s="314">
        <v>0</v>
      </c>
      <c r="J184" s="314">
        <v>0</v>
      </c>
      <c r="K184" s="314">
        <v>0</v>
      </c>
      <c r="L184" s="313">
        <v>0</v>
      </c>
      <c r="M184" s="314">
        <v>0</v>
      </c>
      <c r="N184" s="314">
        <v>0</v>
      </c>
      <c r="O184" s="314">
        <v>0</v>
      </c>
      <c r="P184" s="314">
        <v>1078183</v>
      </c>
      <c r="Q184" s="314">
        <f t="shared" si="2"/>
        <v>1078183</v>
      </c>
      <c r="R184" s="314">
        <v>0</v>
      </c>
      <c r="S184" s="314">
        <v>0</v>
      </c>
      <c r="T184" s="314">
        <v>2737840</v>
      </c>
    </row>
    <row r="185" spans="1:20" x14ac:dyDescent="0.25">
      <c r="A185" t="s">
        <v>1010</v>
      </c>
      <c r="B185" t="s">
        <v>1010</v>
      </c>
      <c r="C185">
        <v>2495303</v>
      </c>
      <c r="D185">
        <v>2019</v>
      </c>
      <c r="E185" s="314">
        <v>63012</v>
      </c>
      <c r="F185" s="314">
        <v>276000</v>
      </c>
      <c r="G185" s="314">
        <v>0</v>
      </c>
      <c r="H185" s="314">
        <v>3593030</v>
      </c>
      <c r="I185" s="314">
        <v>0</v>
      </c>
      <c r="J185" s="314">
        <v>0</v>
      </c>
      <c r="K185" s="314">
        <v>0</v>
      </c>
      <c r="L185" s="313">
        <v>0</v>
      </c>
      <c r="M185" s="314">
        <v>0</v>
      </c>
      <c r="N185" s="314">
        <v>0</v>
      </c>
      <c r="O185" s="314">
        <v>0</v>
      </c>
      <c r="P185" s="314">
        <v>500000</v>
      </c>
      <c r="Q185" s="314">
        <f t="shared" si="2"/>
        <v>500000</v>
      </c>
      <c r="R185" s="314">
        <v>0</v>
      </c>
      <c r="S185" s="314">
        <v>0</v>
      </c>
      <c r="T185" s="314">
        <v>4432042</v>
      </c>
    </row>
    <row r="186" spans="1:20" x14ac:dyDescent="0.25">
      <c r="A186" t="s">
        <v>1204</v>
      </c>
      <c r="B186" t="s">
        <v>812</v>
      </c>
      <c r="C186">
        <v>6161785</v>
      </c>
      <c r="D186">
        <v>2019</v>
      </c>
      <c r="E186" s="314">
        <v>124470</v>
      </c>
      <c r="F186" s="314">
        <v>0</v>
      </c>
      <c r="G186" s="314">
        <v>0</v>
      </c>
      <c r="H186" s="314">
        <v>1492330</v>
      </c>
      <c r="I186" s="314">
        <v>0</v>
      </c>
      <c r="J186" s="314">
        <v>0</v>
      </c>
      <c r="K186" s="314">
        <v>0</v>
      </c>
      <c r="L186" s="313">
        <v>0</v>
      </c>
      <c r="M186" s="314">
        <v>0</v>
      </c>
      <c r="N186" s="314">
        <v>0</v>
      </c>
      <c r="O186" s="314">
        <v>0</v>
      </c>
      <c r="P186" s="314">
        <v>50000</v>
      </c>
      <c r="Q186" s="314">
        <f t="shared" si="2"/>
        <v>50000</v>
      </c>
      <c r="R186" s="314">
        <v>0</v>
      </c>
      <c r="S186" s="314">
        <v>0</v>
      </c>
      <c r="T186" s="314">
        <v>1666800</v>
      </c>
    </row>
    <row r="187" spans="1:20" x14ac:dyDescent="0.25">
      <c r="A187" t="s">
        <v>377</v>
      </c>
      <c r="B187" t="s">
        <v>553</v>
      </c>
      <c r="C187">
        <v>2392006</v>
      </c>
      <c r="D187">
        <v>2019</v>
      </c>
      <c r="E187" s="314">
        <v>0</v>
      </c>
      <c r="F187" s="314">
        <v>0</v>
      </c>
      <c r="G187" s="314">
        <v>0</v>
      </c>
      <c r="H187" s="314">
        <v>2175746</v>
      </c>
      <c r="I187" s="314">
        <v>0</v>
      </c>
      <c r="J187" s="314">
        <v>0</v>
      </c>
      <c r="K187" s="314">
        <v>0</v>
      </c>
      <c r="L187" s="313">
        <v>220000</v>
      </c>
      <c r="M187" s="314">
        <v>0</v>
      </c>
      <c r="N187" s="314">
        <v>0</v>
      </c>
      <c r="O187" s="314">
        <v>0</v>
      </c>
      <c r="P187" s="314">
        <v>156400</v>
      </c>
      <c r="Q187" s="314">
        <f t="shared" si="2"/>
        <v>156400</v>
      </c>
      <c r="R187" s="314">
        <v>0</v>
      </c>
      <c r="S187" s="314">
        <v>0</v>
      </c>
      <c r="T187" s="314">
        <v>2552146</v>
      </c>
    </row>
    <row r="188" spans="1:20" x14ac:dyDescent="0.25">
      <c r="A188" t="s">
        <v>1391</v>
      </c>
      <c r="B188" t="s">
        <v>1521</v>
      </c>
      <c r="C188">
        <v>2438469</v>
      </c>
      <c r="D188">
        <v>2019</v>
      </c>
      <c r="E188" s="314">
        <v>0</v>
      </c>
      <c r="F188" s="314">
        <v>0</v>
      </c>
      <c r="G188" s="314">
        <v>0</v>
      </c>
      <c r="H188" s="314">
        <v>1230270</v>
      </c>
      <c r="I188" s="314">
        <v>0</v>
      </c>
      <c r="J188" s="314">
        <v>0</v>
      </c>
      <c r="K188" s="314">
        <v>0</v>
      </c>
      <c r="L188" s="313">
        <v>914731</v>
      </c>
      <c r="M188" s="314">
        <v>0</v>
      </c>
      <c r="N188" s="314">
        <v>0</v>
      </c>
      <c r="O188" s="314">
        <v>0</v>
      </c>
      <c r="P188" s="314">
        <v>538000</v>
      </c>
      <c r="Q188" s="314">
        <f t="shared" si="2"/>
        <v>538000</v>
      </c>
      <c r="R188" s="314">
        <v>0</v>
      </c>
      <c r="S188" s="314">
        <v>0</v>
      </c>
      <c r="T188" s="314">
        <v>2683001</v>
      </c>
    </row>
    <row r="189" spans="1:20" x14ac:dyDescent="0.25">
      <c r="A189" t="s">
        <v>818</v>
      </c>
      <c r="B189" t="s">
        <v>812</v>
      </c>
      <c r="C189">
        <v>9064643</v>
      </c>
      <c r="D189">
        <v>2019</v>
      </c>
      <c r="E189" s="314">
        <v>196918</v>
      </c>
      <c r="F189" s="314">
        <v>0</v>
      </c>
      <c r="G189" s="314">
        <v>0</v>
      </c>
      <c r="H189" s="314">
        <v>2665670</v>
      </c>
      <c r="I189" s="314">
        <v>0</v>
      </c>
      <c r="J189" s="314">
        <v>0</v>
      </c>
      <c r="K189" s="314">
        <v>2207412</v>
      </c>
      <c r="L189" s="313">
        <v>0</v>
      </c>
      <c r="M189" s="314">
        <v>0</v>
      </c>
      <c r="N189" s="314">
        <v>0</v>
      </c>
      <c r="O189" s="314">
        <v>0</v>
      </c>
      <c r="P189" s="314">
        <v>600000</v>
      </c>
      <c r="Q189" s="314">
        <f t="shared" si="2"/>
        <v>600000</v>
      </c>
      <c r="R189" s="314">
        <v>0</v>
      </c>
      <c r="S189" s="314">
        <v>0</v>
      </c>
      <c r="T189" s="314">
        <v>5670000</v>
      </c>
    </row>
    <row r="190" spans="1:20" x14ac:dyDescent="0.25">
      <c r="A190" t="s">
        <v>623</v>
      </c>
      <c r="B190" t="s">
        <v>618</v>
      </c>
      <c r="C190">
        <v>4531517</v>
      </c>
      <c r="D190">
        <v>2019</v>
      </c>
      <c r="E190" s="314">
        <v>0</v>
      </c>
      <c r="F190" s="314">
        <v>0</v>
      </c>
      <c r="G190" s="314">
        <v>0</v>
      </c>
      <c r="H190" s="314">
        <v>426547</v>
      </c>
      <c r="I190" s="314">
        <v>0</v>
      </c>
      <c r="J190" s="314">
        <v>0</v>
      </c>
      <c r="K190" s="314">
        <v>0</v>
      </c>
      <c r="L190" s="313">
        <v>0</v>
      </c>
      <c r="M190" s="314">
        <v>0</v>
      </c>
      <c r="N190" s="314">
        <v>0</v>
      </c>
      <c r="O190" s="314">
        <v>0</v>
      </c>
      <c r="P190" s="314">
        <v>0</v>
      </c>
      <c r="Q190" s="314">
        <f t="shared" si="2"/>
        <v>0</v>
      </c>
      <c r="R190" s="314">
        <v>0</v>
      </c>
      <c r="S190" s="314">
        <v>0</v>
      </c>
      <c r="T190" s="314">
        <v>426547</v>
      </c>
    </row>
    <row r="191" spans="1:20" x14ac:dyDescent="0.25">
      <c r="A191" t="s">
        <v>447</v>
      </c>
      <c r="B191" t="s">
        <v>447</v>
      </c>
      <c r="C191">
        <v>3754207</v>
      </c>
      <c r="D191">
        <v>2019</v>
      </c>
      <c r="E191" s="314">
        <v>0</v>
      </c>
      <c r="F191" s="314">
        <v>0</v>
      </c>
      <c r="G191" s="314">
        <v>0</v>
      </c>
      <c r="H191" s="314">
        <v>10994091</v>
      </c>
      <c r="I191" s="314">
        <v>0</v>
      </c>
      <c r="J191" s="314">
        <v>6722200</v>
      </c>
      <c r="K191" s="314">
        <v>0</v>
      </c>
      <c r="L191" s="313">
        <v>0</v>
      </c>
      <c r="M191" s="314">
        <v>0</v>
      </c>
      <c r="N191" s="314">
        <v>0</v>
      </c>
      <c r="O191" s="314">
        <v>0</v>
      </c>
      <c r="P191" s="314">
        <v>0</v>
      </c>
      <c r="Q191" s="314">
        <f t="shared" si="2"/>
        <v>0</v>
      </c>
      <c r="R191" s="314">
        <v>0</v>
      </c>
      <c r="S191" s="314">
        <v>0</v>
      </c>
      <c r="T191" s="314">
        <v>17716291</v>
      </c>
    </row>
    <row r="192" spans="1:20" x14ac:dyDescent="0.25">
      <c r="A192" t="s">
        <v>519</v>
      </c>
      <c r="B192" t="s">
        <v>519</v>
      </c>
      <c r="C192">
        <v>1576566</v>
      </c>
      <c r="D192">
        <v>2019</v>
      </c>
      <c r="E192" s="314">
        <v>0</v>
      </c>
      <c r="F192" s="314">
        <v>0</v>
      </c>
      <c r="G192" s="314">
        <v>0</v>
      </c>
      <c r="H192" s="314">
        <v>1039600</v>
      </c>
      <c r="I192" s="314">
        <v>0</v>
      </c>
      <c r="J192" s="314">
        <v>1067747</v>
      </c>
      <c r="K192" s="314">
        <v>0</v>
      </c>
      <c r="L192" s="313">
        <v>0</v>
      </c>
      <c r="M192" s="314">
        <v>0</v>
      </c>
      <c r="N192" s="314">
        <v>0</v>
      </c>
      <c r="O192" s="314">
        <v>0</v>
      </c>
      <c r="P192" s="314">
        <v>0</v>
      </c>
      <c r="Q192" s="314">
        <f t="shared" si="2"/>
        <v>0</v>
      </c>
      <c r="R192" s="314">
        <v>0</v>
      </c>
      <c r="S192" s="314">
        <v>0</v>
      </c>
      <c r="T192" s="314">
        <v>2107347</v>
      </c>
    </row>
    <row r="193" spans="1:20" x14ac:dyDescent="0.25">
      <c r="A193" t="s">
        <v>1035</v>
      </c>
      <c r="B193" t="s">
        <v>1175</v>
      </c>
      <c r="C193">
        <v>9577077</v>
      </c>
      <c r="D193">
        <v>2019</v>
      </c>
      <c r="E193" s="314">
        <v>0</v>
      </c>
      <c r="F193" s="314">
        <v>0</v>
      </c>
      <c r="G193" s="314">
        <v>0</v>
      </c>
      <c r="H193" s="314">
        <v>2570560</v>
      </c>
      <c r="I193" s="314">
        <v>0</v>
      </c>
      <c r="J193" s="314">
        <v>0</v>
      </c>
      <c r="K193" s="314">
        <v>0</v>
      </c>
      <c r="L193" s="313">
        <v>0</v>
      </c>
      <c r="M193" s="314">
        <v>0</v>
      </c>
      <c r="N193" s="314">
        <v>0</v>
      </c>
      <c r="O193" s="314">
        <v>0</v>
      </c>
      <c r="P193" s="314">
        <v>1619100</v>
      </c>
      <c r="Q193" s="314">
        <f t="shared" si="2"/>
        <v>1619100</v>
      </c>
      <c r="R193" s="314">
        <v>0</v>
      </c>
      <c r="S193" s="314">
        <v>0</v>
      </c>
      <c r="T193" s="314">
        <v>4189660</v>
      </c>
    </row>
    <row r="194" spans="1:20" x14ac:dyDescent="0.25">
      <c r="A194" t="s">
        <v>1550</v>
      </c>
      <c r="B194" t="s">
        <v>760</v>
      </c>
      <c r="C194">
        <v>9000005</v>
      </c>
      <c r="D194">
        <v>2019</v>
      </c>
      <c r="E194" s="314">
        <v>13050000</v>
      </c>
      <c r="F194" s="314">
        <v>0</v>
      </c>
      <c r="G194" s="314">
        <v>0</v>
      </c>
      <c r="H194" s="314">
        <v>0</v>
      </c>
      <c r="I194" s="314">
        <v>0</v>
      </c>
      <c r="J194" s="314">
        <v>0</v>
      </c>
      <c r="K194" s="314">
        <v>0</v>
      </c>
      <c r="L194" s="313">
        <v>0</v>
      </c>
      <c r="M194" s="314">
        <v>0</v>
      </c>
      <c r="N194" s="314">
        <v>0</v>
      </c>
      <c r="O194" s="314">
        <v>572000</v>
      </c>
      <c r="P194" s="314">
        <v>632300</v>
      </c>
      <c r="Q194" s="314">
        <f t="shared" si="2"/>
        <v>1204300</v>
      </c>
      <c r="R194" s="314">
        <v>0</v>
      </c>
      <c r="S194" s="314">
        <v>113500</v>
      </c>
      <c r="T194" s="314">
        <v>14367800</v>
      </c>
    </row>
    <row r="195" spans="1:20" x14ac:dyDescent="0.25">
      <c r="A195" t="s">
        <v>1482</v>
      </c>
      <c r="B195" t="s">
        <v>849</v>
      </c>
      <c r="C195">
        <v>3741470</v>
      </c>
      <c r="D195">
        <v>2019</v>
      </c>
      <c r="E195" s="314">
        <v>0</v>
      </c>
      <c r="F195" s="314">
        <v>0</v>
      </c>
      <c r="G195" s="314">
        <v>0</v>
      </c>
      <c r="H195" s="314">
        <v>2508240</v>
      </c>
      <c r="I195" s="314">
        <v>0</v>
      </c>
      <c r="J195" s="314">
        <v>0</v>
      </c>
      <c r="K195" s="314">
        <v>2172273</v>
      </c>
      <c r="L195" s="313">
        <v>173277</v>
      </c>
      <c r="M195" s="314">
        <v>0</v>
      </c>
      <c r="N195" s="314">
        <v>0</v>
      </c>
      <c r="O195" s="314">
        <v>0</v>
      </c>
      <c r="P195" s="314">
        <v>215000</v>
      </c>
      <c r="Q195" s="314">
        <f t="shared" si="2"/>
        <v>215000</v>
      </c>
      <c r="R195" s="314">
        <v>0</v>
      </c>
      <c r="S195" s="314">
        <v>0</v>
      </c>
      <c r="T195" s="314">
        <v>5068790</v>
      </c>
    </row>
    <row r="196" spans="1:20" x14ac:dyDescent="0.25">
      <c r="A196" t="s">
        <v>1523</v>
      </c>
      <c r="B196" t="s">
        <v>874</v>
      </c>
      <c r="C196">
        <v>7805491</v>
      </c>
      <c r="D196">
        <v>2019</v>
      </c>
      <c r="E196" s="314">
        <v>10236</v>
      </c>
      <c r="F196" s="314">
        <v>0</v>
      </c>
      <c r="G196" s="314">
        <v>0</v>
      </c>
      <c r="H196" s="314">
        <v>506700</v>
      </c>
      <c r="I196" s="314">
        <v>0</v>
      </c>
      <c r="J196" s="314">
        <v>0</v>
      </c>
      <c r="K196" s="314">
        <v>399004.19</v>
      </c>
      <c r="L196" s="313">
        <v>0</v>
      </c>
      <c r="M196" s="314">
        <v>0</v>
      </c>
      <c r="N196" s="314">
        <v>0</v>
      </c>
      <c r="O196" s="314">
        <v>0</v>
      </c>
      <c r="P196" s="314">
        <v>40200</v>
      </c>
      <c r="Q196" s="314">
        <f t="shared" ref="Q196:Q259" si="3">SUM(O196:P196)</f>
        <v>40200</v>
      </c>
      <c r="R196" s="314">
        <v>0</v>
      </c>
      <c r="S196" s="314">
        <v>27499.39</v>
      </c>
      <c r="T196" s="314">
        <v>983639.58</v>
      </c>
    </row>
    <row r="197" spans="1:20" x14ac:dyDescent="0.25">
      <c r="A197" t="s">
        <v>879</v>
      </c>
      <c r="B197" t="s">
        <v>874</v>
      </c>
      <c r="C197">
        <v>6473703</v>
      </c>
      <c r="D197">
        <v>2019</v>
      </c>
      <c r="E197" s="314">
        <v>0</v>
      </c>
      <c r="F197" s="314">
        <v>0</v>
      </c>
      <c r="G197" s="314">
        <v>0</v>
      </c>
      <c r="H197" s="314">
        <v>844040</v>
      </c>
      <c r="I197" s="314">
        <v>0</v>
      </c>
      <c r="J197" s="314">
        <v>0</v>
      </c>
      <c r="K197" s="314">
        <v>996540</v>
      </c>
      <c r="L197" s="313">
        <v>0</v>
      </c>
      <c r="M197" s="314">
        <v>0</v>
      </c>
      <c r="N197" s="314">
        <v>0</v>
      </c>
      <c r="O197" s="314">
        <v>0</v>
      </c>
      <c r="P197" s="314">
        <v>90000</v>
      </c>
      <c r="Q197" s="314">
        <f t="shared" si="3"/>
        <v>90000</v>
      </c>
      <c r="R197" s="314">
        <v>0</v>
      </c>
      <c r="S197" s="314">
        <v>113528.74</v>
      </c>
      <c r="T197" s="314">
        <v>2044108.74</v>
      </c>
    </row>
    <row r="198" spans="1:20" x14ac:dyDescent="0.25">
      <c r="A198" t="s">
        <v>1378</v>
      </c>
      <c r="B198" t="s">
        <v>1118</v>
      </c>
      <c r="C198">
        <v>8365172</v>
      </c>
      <c r="D198">
        <v>2019</v>
      </c>
      <c r="E198" s="314">
        <v>36785</v>
      </c>
      <c r="F198" s="314">
        <v>0</v>
      </c>
      <c r="G198" s="314">
        <v>0</v>
      </c>
      <c r="H198" s="314">
        <v>971960</v>
      </c>
      <c r="I198" s="314">
        <v>0</v>
      </c>
      <c r="J198" s="314">
        <v>0</v>
      </c>
      <c r="K198" s="314">
        <v>0</v>
      </c>
      <c r="L198" s="313">
        <v>0</v>
      </c>
      <c r="M198" s="314">
        <v>0</v>
      </c>
      <c r="N198" s="314">
        <v>0</v>
      </c>
      <c r="O198" s="314">
        <v>0</v>
      </c>
      <c r="P198" s="314">
        <v>90000</v>
      </c>
      <c r="Q198" s="314">
        <f t="shared" si="3"/>
        <v>90000</v>
      </c>
      <c r="R198" s="314">
        <v>0</v>
      </c>
      <c r="S198" s="314">
        <v>0</v>
      </c>
      <c r="T198" s="314">
        <v>1098745</v>
      </c>
    </row>
    <row r="199" spans="1:20" x14ac:dyDescent="0.25">
      <c r="A199" t="s">
        <v>1488</v>
      </c>
      <c r="B199" t="s">
        <v>240</v>
      </c>
      <c r="C199">
        <v>4885366</v>
      </c>
      <c r="D199">
        <v>2019</v>
      </c>
      <c r="E199" s="314">
        <v>49239</v>
      </c>
      <c r="F199" s="314">
        <v>0</v>
      </c>
      <c r="G199" s="314">
        <v>0</v>
      </c>
      <c r="H199" s="314">
        <v>1417490</v>
      </c>
      <c r="I199" s="314">
        <v>0</v>
      </c>
      <c r="J199" s="314">
        <v>0</v>
      </c>
      <c r="K199" s="314">
        <v>1125716</v>
      </c>
      <c r="L199" s="313">
        <v>0</v>
      </c>
      <c r="M199" s="314">
        <v>0</v>
      </c>
      <c r="N199" s="314">
        <v>0</v>
      </c>
      <c r="O199" s="314">
        <v>0</v>
      </c>
      <c r="P199" s="314">
        <v>80000</v>
      </c>
      <c r="Q199" s="314">
        <f t="shared" si="3"/>
        <v>80000</v>
      </c>
      <c r="R199" s="314">
        <v>0</v>
      </c>
      <c r="S199" s="314">
        <v>0</v>
      </c>
      <c r="T199" s="314">
        <v>2672445</v>
      </c>
    </row>
    <row r="200" spans="1:20" x14ac:dyDescent="0.25">
      <c r="A200" t="s">
        <v>1524</v>
      </c>
      <c r="B200" t="s">
        <v>909</v>
      </c>
      <c r="C200">
        <v>4533728</v>
      </c>
      <c r="D200">
        <v>2019</v>
      </c>
      <c r="E200" s="314">
        <v>137043</v>
      </c>
      <c r="F200" s="314">
        <v>0</v>
      </c>
      <c r="G200" s="314">
        <v>0</v>
      </c>
      <c r="H200" s="314">
        <v>2167520</v>
      </c>
      <c r="I200" s="314">
        <v>0</v>
      </c>
      <c r="J200" s="314">
        <v>0</v>
      </c>
      <c r="K200" s="314">
        <v>1721401</v>
      </c>
      <c r="L200" s="313">
        <v>0</v>
      </c>
      <c r="M200" s="314">
        <v>0</v>
      </c>
      <c r="N200" s="314">
        <v>0</v>
      </c>
      <c r="O200" s="314">
        <v>0</v>
      </c>
      <c r="P200" s="314">
        <v>200000</v>
      </c>
      <c r="Q200" s="314">
        <f t="shared" si="3"/>
        <v>200000</v>
      </c>
      <c r="R200" s="314">
        <v>0</v>
      </c>
      <c r="S200" s="314">
        <v>0</v>
      </c>
      <c r="T200" s="314">
        <v>4225964</v>
      </c>
    </row>
    <row r="201" spans="1:20" x14ac:dyDescent="0.25">
      <c r="A201" t="s">
        <v>287</v>
      </c>
      <c r="B201" t="s">
        <v>682</v>
      </c>
      <c r="C201">
        <v>2506443</v>
      </c>
      <c r="D201">
        <v>2019</v>
      </c>
      <c r="E201" s="314">
        <v>63470</v>
      </c>
      <c r="F201" s="314">
        <v>0</v>
      </c>
      <c r="G201" s="314">
        <v>0</v>
      </c>
      <c r="H201" s="314">
        <v>1026112</v>
      </c>
      <c r="I201" s="314">
        <v>0</v>
      </c>
      <c r="J201" s="314">
        <v>0</v>
      </c>
      <c r="K201" s="314">
        <v>0</v>
      </c>
      <c r="L201" s="313">
        <v>0</v>
      </c>
      <c r="M201" s="314">
        <v>0</v>
      </c>
      <c r="N201" s="314">
        <v>0</v>
      </c>
      <c r="O201" s="314">
        <v>0</v>
      </c>
      <c r="P201" s="314">
        <v>475000</v>
      </c>
      <c r="Q201" s="314">
        <f t="shared" si="3"/>
        <v>475000</v>
      </c>
      <c r="R201" s="314">
        <v>0</v>
      </c>
      <c r="S201" s="314">
        <v>0</v>
      </c>
      <c r="T201" s="314">
        <v>1564582</v>
      </c>
    </row>
    <row r="202" spans="1:20" x14ac:dyDescent="0.25">
      <c r="A202" t="s">
        <v>1166</v>
      </c>
      <c r="B202" t="s">
        <v>821</v>
      </c>
      <c r="C202">
        <v>1356155</v>
      </c>
      <c r="D202">
        <v>2019</v>
      </c>
      <c r="E202" s="314">
        <v>300500</v>
      </c>
      <c r="F202" s="314">
        <v>0</v>
      </c>
      <c r="G202" s="314">
        <v>0</v>
      </c>
      <c r="H202" s="314">
        <v>1100000</v>
      </c>
      <c r="I202" s="314">
        <v>0</v>
      </c>
      <c r="J202" s="314">
        <v>0</v>
      </c>
      <c r="K202" s="314">
        <v>0</v>
      </c>
      <c r="L202" s="313">
        <v>0</v>
      </c>
      <c r="M202" s="314">
        <v>0</v>
      </c>
      <c r="N202" s="314">
        <v>0</v>
      </c>
      <c r="O202" s="314">
        <v>16500</v>
      </c>
      <c r="P202" s="314">
        <v>75000</v>
      </c>
      <c r="Q202" s="314">
        <f t="shared" si="3"/>
        <v>91500</v>
      </c>
      <c r="R202" s="314">
        <v>0</v>
      </c>
      <c r="S202" s="314">
        <v>0</v>
      </c>
      <c r="T202" s="314">
        <v>1492000</v>
      </c>
    </row>
    <row r="203" spans="1:20" x14ac:dyDescent="0.25">
      <c r="A203" t="s">
        <v>1283</v>
      </c>
      <c r="B203" t="s">
        <v>384</v>
      </c>
      <c r="C203">
        <v>1567065</v>
      </c>
      <c r="D203">
        <v>2019</v>
      </c>
      <c r="E203" s="314">
        <v>12471</v>
      </c>
      <c r="F203" s="314">
        <v>55495</v>
      </c>
      <c r="G203" s="314">
        <v>0</v>
      </c>
      <c r="H203" s="314">
        <v>599300</v>
      </c>
      <c r="I203" s="314">
        <v>0</v>
      </c>
      <c r="J203" s="314">
        <v>0</v>
      </c>
      <c r="K203" s="314">
        <v>0</v>
      </c>
      <c r="L203" s="313">
        <v>0</v>
      </c>
      <c r="M203" s="314">
        <v>0</v>
      </c>
      <c r="N203" s="314">
        <v>0</v>
      </c>
      <c r="O203" s="314">
        <v>0</v>
      </c>
      <c r="P203" s="314">
        <v>101700</v>
      </c>
      <c r="Q203" s="314">
        <f t="shared" si="3"/>
        <v>101700</v>
      </c>
      <c r="R203" s="314">
        <v>0</v>
      </c>
      <c r="S203" s="314">
        <v>0</v>
      </c>
      <c r="T203" s="314">
        <v>768966</v>
      </c>
    </row>
    <row r="204" spans="1:20" x14ac:dyDescent="0.25">
      <c r="A204" t="s">
        <v>1421</v>
      </c>
      <c r="B204" t="s">
        <v>909</v>
      </c>
      <c r="C204">
        <v>8411392</v>
      </c>
      <c r="D204">
        <v>2019</v>
      </c>
      <c r="E204" s="314">
        <v>37728</v>
      </c>
      <c r="F204" s="314">
        <v>136446.78</v>
      </c>
      <c r="G204" s="314">
        <v>0</v>
      </c>
      <c r="H204" s="314">
        <v>3871189</v>
      </c>
      <c r="I204" s="314">
        <v>0</v>
      </c>
      <c r="J204" s="314">
        <v>0</v>
      </c>
      <c r="K204" s="314">
        <v>0</v>
      </c>
      <c r="L204" s="313">
        <v>0</v>
      </c>
      <c r="M204" s="314">
        <v>0</v>
      </c>
      <c r="N204" s="314">
        <v>0</v>
      </c>
      <c r="O204" s="314">
        <v>0</v>
      </c>
      <c r="P204" s="314">
        <v>383000</v>
      </c>
      <c r="Q204" s="314">
        <f t="shared" si="3"/>
        <v>383000</v>
      </c>
      <c r="R204" s="314">
        <v>0</v>
      </c>
      <c r="S204" s="314">
        <v>0</v>
      </c>
      <c r="T204" s="314">
        <v>4428363.7799999993</v>
      </c>
    </row>
    <row r="205" spans="1:20" x14ac:dyDescent="0.25">
      <c r="A205" t="s">
        <v>725</v>
      </c>
      <c r="B205" t="s">
        <v>718</v>
      </c>
      <c r="C205">
        <v>5133257</v>
      </c>
      <c r="D205">
        <v>2019</v>
      </c>
      <c r="E205" s="314">
        <v>0</v>
      </c>
      <c r="F205" s="314">
        <v>0</v>
      </c>
      <c r="G205" s="314">
        <v>0</v>
      </c>
      <c r="H205" s="314">
        <v>1582000</v>
      </c>
      <c r="I205" s="314">
        <v>0</v>
      </c>
      <c r="J205" s="314">
        <v>0</v>
      </c>
      <c r="K205" s="314">
        <v>0</v>
      </c>
      <c r="L205" s="313">
        <v>0</v>
      </c>
      <c r="M205" s="314">
        <v>0</v>
      </c>
      <c r="N205" s="314">
        <v>0</v>
      </c>
      <c r="O205" s="314">
        <v>0</v>
      </c>
      <c r="P205" s="314">
        <v>150000</v>
      </c>
      <c r="Q205" s="314">
        <f t="shared" si="3"/>
        <v>150000</v>
      </c>
      <c r="R205" s="314">
        <v>0</v>
      </c>
      <c r="S205" s="314">
        <v>0</v>
      </c>
      <c r="T205" s="314">
        <v>1732000</v>
      </c>
    </row>
    <row r="206" spans="1:20" x14ac:dyDescent="0.25">
      <c r="A206" t="s">
        <v>1259</v>
      </c>
      <c r="B206" t="s">
        <v>678</v>
      </c>
      <c r="C206">
        <v>3357963</v>
      </c>
      <c r="D206">
        <v>2019</v>
      </c>
      <c r="E206" s="314">
        <v>0</v>
      </c>
      <c r="F206" s="314">
        <v>0</v>
      </c>
      <c r="G206" s="314">
        <v>0</v>
      </c>
      <c r="H206" s="314">
        <v>234850</v>
      </c>
      <c r="I206" s="314">
        <v>0</v>
      </c>
      <c r="J206" s="314">
        <v>0</v>
      </c>
      <c r="K206" s="314">
        <v>0</v>
      </c>
      <c r="L206" s="313">
        <v>0</v>
      </c>
      <c r="M206" s="314">
        <v>0</v>
      </c>
      <c r="N206" s="314">
        <v>0</v>
      </c>
      <c r="O206" s="314">
        <v>0</v>
      </c>
      <c r="P206" s="314">
        <v>1110750</v>
      </c>
      <c r="Q206" s="314">
        <f t="shared" si="3"/>
        <v>1110750</v>
      </c>
      <c r="R206" s="314">
        <v>0</v>
      </c>
      <c r="S206" s="314">
        <v>0</v>
      </c>
      <c r="T206" s="314">
        <v>1345600</v>
      </c>
    </row>
    <row r="207" spans="1:20" x14ac:dyDescent="0.25">
      <c r="A207" t="s">
        <v>1411</v>
      </c>
      <c r="B207" t="s">
        <v>805</v>
      </c>
      <c r="C207">
        <v>2315315</v>
      </c>
      <c r="D207">
        <v>2019</v>
      </c>
      <c r="E207" s="314">
        <v>0</v>
      </c>
      <c r="F207" s="314">
        <v>0</v>
      </c>
      <c r="G207" s="314">
        <v>0</v>
      </c>
      <c r="H207" s="314">
        <v>1214500</v>
      </c>
      <c r="I207" s="314">
        <v>0</v>
      </c>
      <c r="J207" s="314">
        <v>0</v>
      </c>
      <c r="K207" s="314">
        <v>0</v>
      </c>
      <c r="L207" s="313">
        <v>0</v>
      </c>
      <c r="M207" s="314">
        <v>0</v>
      </c>
      <c r="N207" s="314">
        <v>0</v>
      </c>
      <c r="O207" s="314">
        <v>0</v>
      </c>
      <c r="P207" s="314">
        <v>250000</v>
      </c>
      <c r="Q207" s="314">
        <f t="shared" si="3"/>
        <v>250000</v>
      </c>
      <c r="R207" s="314">
        <v>0</v>
      </c>
      <c r="S207" s="314">
        <v>0</v>
      </c>
      <c r="T207" s="314">
        <v>1464500</v>
      </c>
    </row>
    <row r="208" spans="1:20" x14ac:dyDescent="0.25">
      <c r="A208" t="s">
        <v>942</v>
      </c>
      <c r="B208" t="s">
        <v>942</v>
      </c>
      <c r="C208">
        <v>5344327</v>
      </c>
      <c r="D208">
        <v>2019</v>
      </c>
      <c r="E208" s="314">
        <v>0</v>
      </c>
      <c r="F208" s="314">
        <v>0</v>
      </c>
      <c r="G208" s="314">
        <v>0</v>
      </c>
      <c r="H208" s="314">
        <v>4683650</v>
      </c>
      <c r="I208" s="314">
        <v>0</v>
      </c>
      <c r="J208" s="314">
        <v>0</v>
      </c>
      <c r="K208" s="314">
        <v>0</v>
      </c>
      <c r="L208" s="313">
        <v>0</v>
      </c>
      <c r="M208" s="314">
        <v>0</v>
      </c>
      <c r="N208" s="314">
        <v>0</v>
      </c>
      <c r="O208" s="314">
        <v>8000</v>
      </c>
      <c r="P208" s="314">
        <v>2400000</v>
      </c>
      <c r="Q208" s="314">
        <f t="shared" si="3"/>
        <v>2408000</v>
      </c>
      <c r="R208" s="314">
        <v>0</v>
      </c>
      <c r="S208" s="314">
        <v>0</v>
      </c>
      <c r="T208" s="314">
        <v>7091650</v>
      </c>
    </row>
    <row r="209" spans="1:20" x14ac:dyDescent="0.25">
      <c r="A209" t="s">
        <v>1551</v>
      </c>
      <c r="B209" t="s">
        <v>1552</v>
      </c>
      <c r="C209">
        <v>4441304</v>
      </c>
      <c r="D209">
        <v>2019</v>
      </c>
      <c r="E209" s="314">
        <v>0</v>
      </c>
      <c r="F209" s="314">
        <v>0</v>
      </c>
      <c r="G209" s="314">
        <v>0</v>
      </c>
      <c r="H209" s="314">
        <v>0</v>
      </c>
      <c r="I209" s="314">
        <v>0</v>
      </c>
      <c r="J209" s="314">
        <v>0</v>
      </c>
      <c r="K209" s="314">
        <v>0</v>
      </c>
      <c r="L209" s="313">
        <v>0</v>
      </c>
      <c r="M209" s="314">
        <v>0</v>
      </c>
      <c r="N209" s="314">
        <v>0</v>
      </c>
      <c r="O209" s="314">
        <v>0</v>
      </c>
      <c r="P209" s="314">
        <v>0</v>
      </c>
      <c r="Q209" s="314">
        <f t="shared" si="3"/>
        <v>0</v>
      </c>
      <c r="R209" s="314">
        <v>0</v>
      </c>
      <c r="S209" s="314">
        <v>0</v>
      </c>
      <c r="T209" s="314">
        <v>0</v>
      </c>
    </row>
    <row r="210" spans="1:20" x14ac:dyDescent="0.25">
      <c r="A210" t="s">
        <v>731</v>
      </c>
      <c r="B210" t="s">
        <v>1297</v>
      </c>
      <c r="C210">
        <v>7381195</v>
      </c>
      <c r="D210">
        <v>2019</v>
      </c>
      <c r="E210" s="314">
        <v>0</v>
      </c>
      <c r="F210" s="314">
        <v>0</v>
      </c>
      <c r="G210" s="314">
        <v>0</v>
      </c>
      <c r="H210" s="314">
        <v>491755</v>
      </c>
      <c r="I210" s="314">
        <v>0</v>
      </c>
      <c r="J210" s="314">
        <v>0</v>
      </c>
      <c r="K210" s="314">
        <v>323681</v>
      </c>
      <c r="L210" s="313">
        <v>0</v>
      </c>
      <c r="M210" s="314">
        <v>0</v>
      </c>
      <c r="N210" s="314">
        <v>0</v>
      </c>
      <c r="O210" s="314">
        <v>0</v>
      </c>
      <c r="P210" s="314">
        <v>0</v>
      </c>
      <c r="Q210" s="314">
        <f t="shared" si="3"/>
        <v>0</v>
      </c>
      <c r="R210" s="314">
        <v>0</v>
      </c>
      <c r="S210" s="314">
        <v>0</v>
      </c>
      <c r="T210" s="314">
        <v>815436</v>
      </c>
    </row>
    <row r="211" spans="1:20" x14ac:dyDescent="0.25">
      <c r="A211" t="s">
        <v>1251</v>
      </c>
      <c r="B211" t="s">
        <v>568</v>
      </c>
      <c r="C211">
        <v>1961902</v>
      </c>
      <c r="D211">
        <v>2019</v>
      </c>
      <c r="E211" s="314">
        <v>0</v>
      </c>
      <c r="F211" s="314">
        <v>184559</v>
      </c>
      <c r="G211" s="314">
        <v>0</v>
      </c>
      <c r="H211" s="314">
        <v>2906893</v>
      </c>
      <c r="I211" s="314">
        <v>0</v>
      </c>
      <c r="J211" s="314">
        <v>0</v>
      </c>
      <c r="K211" s="314">
        <v>0</v>
      </c>
      <c r="L211" s="313">
        <v>0</v>
      </c>
      <c r="M211" s="314">
        <v>0</v>
      </c>
      <c r="N211" s="314">
        <v>0</v>
      </c>
      <c r="O211" s="314">
        <v>25000</v>
      </c>
      <c r="P211" s="314">
        <v>130000</v>
      </c>
      <c r="Q211" s="314">
        <f t="shared" si="3"/>
        <v>155000</v>
      </c>
      <c r="R211" s="314">
        <v>0</v>
      </c>
      <c r="S211" s="314">
        <v>1500</v>
      </c>
      <c r="T211" s="314">
        <v>3247952</v>
      </c>
    </row>
    <row r="212" spans="1:20" x14ac:dyDescent="0.25">
      <c r="A212" t="s">
        <v>1418</v>
      </c>
      <c r="B212" t="s">
        <v>553</v>
      </c>
      <c r="C212">
        <v>8102124</v>
      </c>
      <c r="D212">
        <v>2019</v>
      </c>
      <c r="E212" s="314">
        <v>23832</v>
      </c>
      <c r="F212" s="314">
        <v>10000</v>
      </c>
      <c r="G212" s="314">
        <v>0</v>
      </c>
      <c r="H212" s="314">
        <v>860440</v>
      </c>
      <c r="I212" s="314">
        <v>0</v>
      </c>
      <c r="J212" s="314">
        <v>0</v>
      </c>
      <c r="K212" s="314">
        <v>0</v>
      </c>
      <c r="L212" s="313">
        <v>132000</v>
      </c>
      <c r="M212" s="314">
        <v>0</v>
      </c>
      <c r="N212" s="314">
        <v>0</v>
      </c>
      <c r="O212" s="314">
        <v>0</v>
      </c>
      <c r="P212" s="314">
        <v>156400</v>
      </c>
      <c r="Q212" s="314">
        <f t="shared" si="3"/>
        <v>156400</v>
      </c>
      <c r="R212" s="314">
        <v>0</v>
      </c>
      <c r="S212" s="314">
        <v>0</v>
      </c>
      <c r="T212" s="314">
        <v>1182672</v>
      </c>
    </row>
    <row r="213" spans="1:20" x14ac:dyDescent="0.25">
      <c r="A213" t="s">
        <v>769</v>
      </c>
      <c r="B213" t="s">
        <v>425</v>
      </c>
      <c r="C213">
        <v>6514817</v>
      </c>
      <c r="D213">
        <v>2019</v>
      </c>
      <c r="E213" s="314">
        <v>0</v>
      </c>
      <c r="F213" s="314">
        <v>0</v>
      </c>
      <c r="G213" s="314">
        <v>0</v>
      </c>
      <c r="H213" s="314">
        <v>3748370</v>
      </c>
      <c r="I213" s="314">
        <v>0</v>
      </c>
      <c r="J213" s="314">
        <v>2589829</v>
      </c>
      <c r="K213" s="314">
        <v>0</v>
      </c>
      <c r="L213" s="313">
        <v>0</v>
      </c>
      <c r="M213" s="314">
        <v>0</v>
      </c>
      <c r="N213" s="314">
        <v>0</v>
      </c>
      <c r="O213" s="314">
        <v>0</v>
      </c>
      <c r="P213" s="314">
        <v>0</v>
      </c>
      <c r="Q213" s="314">
        <f t="shared" si="3"/>
        <v>0</v>
      </c>
      <c r="R213" s="314">
        <v>0</v>
      </c>
      <c r="S213" s="314">
        <v>0</v>
      </c>
      <c r="T213" s="314">
        <v>6338199</v>
      </c>
    </row>
    <row r="214" spans="1:20" x14ac:dyDescent="0.25">
      <c r="A214" t="s">
        <v>327</v>
      </c>
      <c r="B214" t="s">
        <v>312</v>
      </c>
      <c r="C214">
        <v>9684449</v>
      </c>
      <c r="D214">
        <v>2019</v>
      </c>
      <c r="E214" s="314">
        <v>108004</v>
      </c>
      <c r="F214" s="314">
        <v>0</v>
      </c>
      <c r="G214" s="314">
        <v>0</v>
      </c>
      <c r="H214" s="314">
        <v>991200</v>
      </c>
      <c r="I214" s="314">
        <v>0</v>
      </c>
      <c r="J214" s="314">
        <v>0</v>
      </c>
      <c r="K214" s="314">
        <v>0</v>
      </c>
      <c r="L214" s="313">
        <v>0</v>
      </c>
      <c r="M214" s="314">
        <v>0</v>
      </c>
      <c r="N214" s="314">
        <v>0</v>
      </c>
      <c r="O214" s="314">
        <v>0</v>
      </c>
      <c r="P214" s="314">
        <v>0</v>
      </c>
      <c r="Q214" s="314">
        <f t="shared" si="3"/>
        <v>0</v>
      </c>
      <c r="R214" s="314">
        <v>0</v>
      </c>
      <c r="S214" s="314">
        <v>0</v>
      </c>
      <c r="T214" s="314">
        <v>1099204</v>
      </c>
    </row>
    <row r="215" spans="1:20" x14ac:dyDescent="0.25">
      <c r="A215" t="s">
        <v>425</v>
      </c>
      <c r="B215" t="s">
        <v>425</v>
      </c>
      <c r="C215">
        <v>3473171</v>
      </c>
      <c r="D215">
        <v>2019</v>
      </c>
      <c r="E215" s="314">
        <v>0</v>
      </c>
      <c r="F215" s="314">
        <v>0</v>
      </c>
      <c r="G215" s="314">
        <v>0</v>
      </c>
      <c r="H215" s="314">
        <v>22423092</v>
      </c>
      <c r="I215" s="314">
        <v>0</v>
      </c>
      <c r="J215" s="314">
        <v>10226290</v>
      </c>
      <c r="K215" s="314">
        <v>0</v>
      </c>
      <c r="L215" s="313">
        <v>0</v>
      </c>
      <c r="M215" s="314">
        <v>0</v>
      </c>
      <c r="N215" s="314">
        <v>0</v>
      </c>
      <c r="O215" s="314">
        <v>0</v>
      </c>
      <c r="P215" s="314">
        <v>0</v>
      </c>
      <c r="Q215" s="314">
        <f t="shared" si="3"/>
        <v>0</v>
      </c>
      <c r="R215" s="314">
        <v>0</v>
      </c>
      <c r="S215" s="314">
        <v>0</v>
      </c>
      <c r="T215" s="314">
        <v>32649382</v>
      </c>
    </row>
    <row r="216" spans="1:20" x14ac:dyDescent="0.25">
      <c r="A216" t="s">
        <v>1355</v>
      </c>
      <c r="B216" t="s">
        <v>760</v>
      </c>
      <c r="C216">
        <v>3854293</v>
      </c>
      <c r="D216">
        <v>2019</v>
      </c>
      <c r="E216" s="314">
        <v>2400000</v>
      </c>
      <c r="F216" s="314">
        <v>0</v>
      </c>
      <c r="G216" s="314">
        <v>0</v>
      </c>
      <c r="H216" s="314">
        <v>0</v>
      </c>
      <c r="I216" s="314">
        <v>7644262</v>
      </c>
      <c r="J216" s="314">
        <v>0</v>
      </c>
      <c r="K216" s="314">
        <v>0</v>
      </c>
      <c r="L216" s="313">
        <v>0</v>
      </c>
      <c r="M216" s="314">
        <v>0</v>
      </c>
      <c r="N216" s="314">
        <v>0</v>
      </c>
      <c r="O216" s="314">
        <v>0</v>
      </c>
      <c r="P216" s="314">
        <v>283600</v>
      </c>
      <c r="Q216" s="314">
        <f t="shared" si="3"/>
        <v>283600</v>
      </c>
      <c r="R216" s="314">
        <v>0</v>
      </c>
      <c r="S216" s="314">
        <v>244000</v>
      </c>
      <c r="T216" s="314">
        <v>10571862</v>
      </c>
    </row>
    <row r="217" spans="1:20" x14ac:dyDescent="0.25">
      <c r="A217" t="s">
        <v>379</v>
      </c>
      <c r="B217" t="s">
        <v>805</v>
      </c>
      <c r="C217">
        <v>1907533</v>
      </c>
      <c r="D217">
        <v>2019</v>
      </c>
      <c r="E217" s="314">
        <v>0</v>
      </c>
      <c r="F217" s="314">
        <v>0</v>
      </c>
      <c r="G217" s="314">
        <v>0</v>
      </c>
      <c r="H217" s="314">
        <v>2784980</v>
      </c>
      <c r="I217" s="314">
        <v>0</v>
      </c>
      <c r="J217" s="314">
        <v>0</v>
      </c>
      <c r="K217" s="314">
        <v>2032163.42</v>
      </c>
      <c r="L217" s="313">
        <v>0</v>
      </c>
      <c r="M217" s="314">
        <v>0</v>
      </c>
      <c r="N217" s="314">
        <v>0</v>
      </c>
      <c r="O217" s="314">
        <v>40000</v>
      </c>
      <c r="P217" s="314">
        <v>700000</v>
      </c>
      <c r="Q217" s="314">
        <f t="shared" si="3"/>
        <v>740000</v>
      </c>
      <c r="R217" s="314">
        <v>0</v>
      </c>
      <c r="S217" s="314">
        <v>0</v>
      </c>
      <c r="T217" s="314">
        <v>5557143.4199999999</v>
      </c>
    </row>
    <row r="218" spans="1:20" x14ac:dyDescent="0.25">
      <c r="A218" t="s">
        <v>1332</v>
      </c>
      <c r="B218" t="s">
        <v>384</v>
      </c>
      <c r="C218">
        <v>8936486</v>
      </c>
      <c r="D218">
        <v>2019</v>
      </c>
      <c r="E218" s="314">
        <v>9300</v>
      </c>
      <c r="F218" s="314">
        <v>109000</v>
      </c>
      <c r="G218" s="314">
        <v>0</v>
      </c>
      <c r="H218" s="314">
        <v>2332000</v>
      </c>
      <c r="I218" s="314">
        <v>0</v>
      </c>
      <c r="J218" s="314">
        <v>0</v>
      </c>
      <c r="K218" s="314">
        <v>0</v>
      </c>
      <c r="L218" s="313">
        <v>0</v>
      </c>
      <c r="M218" s="314">
        <v>0</v>
      </c>
      <c r="N218" s="314">
        <v>0</v>
      </c>
      <c r="O218" s="314">
        <v>12000</v>
      </c>
      <c r="P218" s="314">
        <v>111700</v>
      </c>
      <c r="Q218" s="314">
        <f t="shared" si="3"/>
        <v>123700</v>
      </c>
      <c r="R218" s="314">
        <v>0</v>
      </c>
      <c r="S218" s="314">
        <v>0</v>
      </c>
      <c r="T218" s="314">
        <v>2574000</v>
      </c>
    </row>
    <row r="219" spans="1:20" x14ac:dyDescent="0.25">
      <c r="A219" t="s">
        <v>358</v>
      </c>
      <c r="B219" t="s">
        <v>358</v>
      </c>
      <c r="C219">
        <v>9264829</v>
      </c>
      <c r="D219">
        <v>2019</v>
      </c>
      <c r="E219" s="314">
        <v>78000</v>
      </c>
      <c r="F219" s="314">
        <v>118000</v>
      </c>
      <c r="G219" s="314">
        <v>0</v>
      </c>
      <c r="H219" s="314">
        <v>6656000</v>
      </c>
      <c r="I219" s="314">
        <v>0</v>
      </c>
      <c r="J219" s="314">
        <v>0</v>
      </c>
      <c r="K219" s="314">
        <v>0</v>
      </c>
      <c r="L219" s="313">
        <v>0</v>
      </c>
      <c r="M219" s="314">
        <v>0</v>
      </c>
      <c r="N219" s="314">
        <v>0</v>
      </c>
      <c r="O219" s="314">
        <v>0</v>
      </c>
      <c r="P219" s="314">
        <v>0</v>
      </c>
      <c r="Q219" s="314">
        <f t="shared" si="3"/>
        <v>0</v>
      </c>
      <c r="R219" s="314">
        <v>0</v>
      </c>
      <c r="S219" s="314">
        <v>0</v>
      </c>
      <c r="T219" s="314">
        <v>6852000</v>
      </c>
    </row>
    <row r="220" spans="1:20" x14ac:dyDescent="0.25">
      <c r="A220" t="s">
        <v>1020</v>
      </c>
      <c r="B220" t="s">
        <v>1018</v>
      </c>
      <c r="C220">
        <v>5369609</v>
      </c>
      <c r="D220">
        <v>2019</v>
      </c>
      <c r="E220" s="314">
        <v>58055</v>
      </c>
      <c r="F220" s="314">
        <v>0</v>
      </c>
      <c r="G220" s="314">
        <v>0</v>
      </c>
      <c r="H220" s="314">
        <v>1368920</v>
      </c>
      <c r="I220" s="314">
        <v>0</v>
      </c>
      <c r="J220" s="314">
        <v>0</v>
      </c>
      <c r="K220" s="314">
        <v>967498</v>
      </c>
      <c r="L220" s="313">
        <v>0</v>
      </c>
      <c r="M220" s="314">
        <v>0</v>
      </c>
      <c r="N220" s="314">
        <v>0</v>
      </c>
      <c r="O220" s="314">
        <v>0</v>
      </c>
      <c r="P220" s="314">
        <v>0</v>
      </c>
      <c r="Q220" s="314">
        <f t="shared" si="3"/>
        <v>0</v>
      </c>
      <c r="R220" s="314">
        <v>0</v>
      </c>
      <c r="S220" s="314">
        <v>0</v>
      </c>
      <c r="T220" s="314">
        <v>2394473</v>
      </c>
    </row>
    <row r="221" spans="1:20" x14ac:dyDescent="0.25">
      <c r="A221" t="s">
        <v>1140</v>
      </c>
      <c r="B221" t="s">
        <v>1141</v>
      </c>
      <c r="C221">
        <v>4271738</v>
      </c>
      <c r="D221">
        <v>2019</v>
      </c>
      <c r="E221" s="314">
        <v>0</v>
      </c>
      <c r="F221" s="314">
        <v>0</v>
      </c>
      <c r="G221" s="314">
        <v>0</v>
      </c>
      <c r="H221" s="314">
        <v>3882690</v>
      </c>
      <c r="I221" s="314">
        <v>0</v>
      </c>
      <c r="J221" s="314">
        <v>0</v>
      </c>
      <c r="K221" s="314">
        <v>0</v>
      </c>
      <c r="L221" s="313">
        <v>0</v>
      </c>
      <c r="M221" s="314">
        <v>0</v>
      </c>
      <c r="N221" s="314">
        <v>0</v>
      </c>
      <c r="O221" s="314">
        <v>0</v>
      </c>
      <c r="P221" s="314">
        <v>0</v>
      </c>
      <c r="Q221" s="314">
        <f t="shared" si="3"/>
        <v>0</v>
      </c>
      <c r="R221" s="314">
        <v>0</v>
      </c>
      <c r="S221" s="314">
        <v>0</v>
      </c>
      <c r="T221" s="314">
        <v>3882690</v>
      </c>
    </row>
    <row r="222" spans="1:20" x14ac:dyDescent="0.25">
      <c r="A222" t="s">
        <v>1553</v>
      </c>
      <c r="B222" t="s">
        <v>909</v>
      </c>
      <c r="C222">
        <v>4467429</v>
      </c>
      <c r="D222">
        <v>2019</v>
      </c>
      <c r="E222" s="314">
        <v>0</v>
      </c>
      <c r="F222" s="314">
        <v>0</v>
      </c>
      <c r="G222" s="314">
        <v>0</v>
      </c>
      <c r="H222" s="314">
        <v>0</v>
      </c>
      <c r="I222" s="314">
        <v>0</v>
      </c>
      <c r="J222" s="314">
        <v>0</v>
      </c>
      <c r="K222" s="314">
        <v>733610</v>
      </c>
      <c r="L222" s="313">
        <v>0</v>
      </c>
      <c r="M222" s="314">
        <v>0</v>
      </c>
      <c r="N222" s="314">
        <v>0</v>
      </c>
      <c r="O222" s="314">
        <v>0</v>
      </c>
      <c r="P222" s="314">
        <v>119455</v>
      </c>
      <c r="Q222" s="314">
        <f t="shared" si="3"/>
        <v>119455</v>
      </c>
      <c r="R222" s="314">
        <v>0</v>
      </c>
      <c r="S222" s="314">
        <v>0</v>
      </c>
      <c r="T222" s="314">
        <v>853065</v>
      </c>
    </row>
    <row r="223" spans="1:20" x14ac:dyDescent="0.25">
      <c r="A223" t="s">
        <v>1169</v>
      </c>
      <c r="B223" t="s">
        <v>652</v>
      </c>
      <c r="C223">
        <v>1514566</v>
      </c>
      <c r="D223">
        <v>2019</v>
      </c>
      <c r="E223" s="314">
        <v>313520</v>
      </c>
      <c r="F223" s="314">
        <v>0</v>
      </c>
      <c r="G223" s="314">
        <v>0</v>
      </c>
      <c r="H223" s="314">
        <v>426710</v>
      </c>
      <c r="I223" s="314">
        <v>0</v>
      </c>
      <c r="J223" s="314">
        <v>0</v>
      </c>
      <c r="K223" s="314">
        <v>0</v>
      </c>
      <c r="L223" s="313">
        <v>0</v>
      </c>
      <c r="M223" s="314">
        <v>0</v>
      </c>
      <c r="N223" s="314">
        <v>0</v>
      </c>
      <c r="O223" s="314">
        <v>0</v>
      </c>
      <c r="P223" s="314">
        <v>0</v>
      </c>
      <c r="Q223" s="314">
        <f t="shared" si="3"/>
        <v>0</v>
      </c>
      <c r="R223" s="314">
        <v>0</v>
      </c>
      <c r="S223" s="314">
        <v>0</v>
      </c>
      <c r="T223" s="314">
        <v>740230</v>
      </c>
    </row>
    <row r="224" spans="1:20" x14ac:dyDescent="0.25">
      <c r="A224" t="s">
        <v>760</v>
      </c>
      <c r="B224" t="s">
        <v>760</v>
      </c>
      <c r="C224">
        <v>4461551</v>
      </c>
      <c r="D224">
        <v>2019</v>
      </c>
      <c r="E224" s="314">
        <v>0</v>
      </c>
      <c r="F224" s="314">
        <v>0</v>
      </c>
      <c r="G224" s="314">
        <v>0</v>
      </c>
      <c r="H224" s="314">
        <v>0</v>
      </c>
      <c r="I224" s="314">
        <v>0</v>
      </c>
      <c r="J224" s="314">
        <v>0</v>
      </c>
      <c r="K224" s="314">
        <v>0</v>
      </c>
      <c r="L224" s="313">
        <v>0</v>
      </c>
      <c r="M224" s="314">
        <v>0</v>
      </c>
      <c r="N224" s="314">
        <v>0</v>
      </c>
      <c r="O224" s="314">
        <v>0</v>
      </c>
      <c r="P224" s="314">
        <v>0</v>
      </c>
      <c r="Q224" s="314">
        <f t="shared" si="3"/>
        <v>0</v>
      </c>
      <c r="R224" s="314">
        <v>0</v>
      </c>
      <c r="S224" s="314">
        <v>0</v>
      </c>
      <c r="T224" s="314">
        <v>0</v>
      </c>
    </row>
    <row r="225" spans="1:20" x14ac:dyDescent="0.25">
      <c r="A225" t="s">
        <v>1115</v>
      </c>
      <c r="B225" t="s">
        <v>553</v>
      </c>
      <c r="C225">
        <v>9503685</v>
      </c>
      <c r="D225">
        <v>2019</v>
      </c>
      <c r="E225" s="314">
        <v>14332</v>
      </c>
      <c r="F225" s="314">
        <v>18000</v>
      </c>
      <c r="G225" s="314">
        <v>0</v>
      </c>
      <c r="H225" s="314">
        <v>418240</v>
      </c>
      <c r="I225" s="314">
        <v>0</v>
      </c>
      <c r="J225" s="314">
        <v>0</v>
      </c>
      <c r="K225" s="314">
        <v>0</v>
      </c>
      <c r="L225" s="313">
        <v>30000</v>
      </c>
      <c r="M225" s="314">
        <v>0</v>
      </c>
      <c r="N225" s="314">
        <v>0</v>
      </c>
      <c r="O225" s="314">
        <v>0</v>
      </c>
      <c r="P225" s="314">
        <v>35000</v>
      </c>
      <c r="Q225" s="314">
        <f t="shared" si="3"/>
        <v>35000</v>
      </c>
      <c r="R225" s="314">
        <v>0</v>
      </c>
      <c r="S225" s="314">
        <v>12000</v>
      </c>
      <c r="T225" s="314">
        <v>527572</v>
      </c>
    </row>
    <row r="226" spans="1:20" x14ac:dyDescent="0.25">
      <c r="A226" t="s">
        <v>379</v>
      </c>
      <c r="B226" t="s">
        <v>1529</v>
      </c>
      <c r="C226">
        <v>8535980</v>
      </c>
      <c r="D226">
        <v>2019</v>
      </c>
      <c r="E226" s="314">
        <v>0</v>
      </c>
      <c r="F226" s="314">
        <v>0</v>
      </c>
      <c r="G226" s="314">
        <v>0</v>
      </c>
      <c r="H226" s="314">
        <v>0</v>
      </c>
      <c r="I226" s="314">
        <v>310677</v>
      </c>
      <c r="J226" s="314">
        <v>0</v>
      </c>
      <c r="K226" s="314">
        <v>0</v>
      </c>
      <c r="L226" s="313">
        <v>0</v>
      </c>
      <c r="M226" s="314">
        <v>0</v>
      </c>
      <c r="N226" s="314">
        <v>0</v>
      </c>
      <c r="O226" s="314">
        <v>0</v>
      </c>
      <c r="P226" s="314">
        <v>0</v>
      </c>
      <c r="Q226" s="314">
        <f t="shared" si="3"/>
        <v>0</v>
      </c>
      <c r="R226" s="314">
        <v>0</v>
      </c>
      <c r="S226" s="314">
        <v>0</v>
      </c>
      <c r="T226" s="314">
        <v>310677</v>
      </c>
    </row>
    <row r="227" spans="1:20" x14ac:dyDescent="0.25">
      <c r="A227" t="s">
        <v>977</v>
      </c>
      <c r="B227" t="s">
        <v>977</v>
      </c>
      <c r="C227">
        <v>2015983</v>
      </c>
      <c r="D227">
        <v>2019</v>
      </c>
      <c r="E227" s="314">
        <v>0</v>
      </c>
      <c r="F227" s="314">
        <v>0</v>
      </c>
      <c r="G227" s="314">
        <v>0</v>
      </c>
      <c r="H227" s="314">
        <v>601762</v>
      </c>
      <c r="I227" s="314">
        <v>0</v>
      </c>
      <c r="J227" s="314">
        <v>0</v>
      </c>
      <c r="K227" s="314">
        <v>0</v>
      </c>
      <c r="L227" s="313">
        <v>0</v>
      </c>
      <c r="M227" s="314">
        <v>0</v>
      </c>
      <c r="N227" s="314">
        <v>0</v>
      </c>
      <c r="O227" s="314">
        <v>0</v>
      </c>
      <c r="P227" s="314">
        <v>500000</v>
      </c>
      <c r="Q227" s="314">
        <f t="shared" si="3"/>
        <v>500000</v>
      </c>
      <c r="R227" s="314">
        <v>0</v>
      </c>
      <c r="S227" s="314">
        <v>0</v>
      </c>
      <c r="T227" s="314">
        <v>1101762</v>
      </c>
    </row>
    <row r="228" spans="1:20" x14ac:dyDescent="0.25">
      <c r="A228" t="s">
        <v>386</v>
      </c>
      <c r="B228" t="s">
        <v>1003</v>
      </c>
      <c r="C228">
        <v>3095940</v>
      </c>
      <c r="D228">
        <v>2019</v>
      </c>
      <c r="E228" s="314">
        <v>0</v>
      </c>
      <c r="F228" s="314">
        <v>0</v>
      </c>
      <c r="G228" s="314">
        <v>0</v>
      </c>
      <c r="H228" s="314">
        <v>2155529</v>
      </c>
      <c r="I228" s="314">
        <v>0</v>
      </c>
      <c r="J228" s="314">
        <v>0</v>
      </c>
      <c r="K228" s="314">
        <v>0</v>
      </c>
      <c r="L228" s="313">
        <v>0</v>
      </c>
      <c r="M228" s="314">
        <v>0</v>
      </c>
      <c r="N228" s="314">
        <v>0</v>
      </c>
      <c r="O228" s="314">
        <v>0</v>
      </c>
      <c r="P228" s="314">
        <v>1427000</v>
      </c>
      <c r="Q228" s="314">
        <f t="shared" si="3"/>
        <v>1427000</v>
      </c>
      <c r="R228" s="314">
        <v>0</v>
      </c>
      <c r="S228" s="314">
        <v>0</v>
      </c>
      <c r="T228" s="314">
        <v>3582529</v>
      </c>
    </row>
    <row r="229" spans="1:20" x14ac:dyDescent="0.25">
      <c r="A229" t="s">
        <v>740</v>
      </c>
      <c r="B229" t="s">
        <v>733</v>
      </c>
      <c r="C229">
        <v>8849001</v>
      </c>
      <c r="D229">
        <v>2019</v>
      </c>
      <c r="E229" s="314">
        <v>0</v>
      </c>
      <c r="F229" s="314">
        <v>100000</v>
      </c>
      <c r="G229" s="314">
        <v>0</v>
      </c>
      <c r="H229" s="314">
        <v>1197900</v>
      </c>
      <c r="I229" s="314">
        <v>0</v>
      </c>
      <c r="J229" s="314">
        <v>0</v>
      </c>
      <c r="K229" s="314">
        <v>0</v>
      </c>
      <c r="L229" s="313">
        <v>0</v>
      </c>
      <c r="M229" s="314">
        <v>0</v>
      </c>
      <c r="N229" s="314">
        <v>0</v>
      </c>
      <c r="O229" s="314">
        <v>0</v>
      </c>
      <c r="P229" s="314">
        <v>190000</v>
      </c>
      <c r="Q229" s="314">
        <f t="shared" si="3"/>
        <v>190000</v>
      </c>
      <c r="R229" s="314">
        <v>0</v>
      </c>
      <c r="S229" s="314">
        <v>0</v>
      </c>
      <c r="T229" s="314">
        <v>1487900</v>
      </c>
    </row>
    <row r="230" spans="1:20" x14ac:dyDescent="0.25">
      <c r="A230" t="s">
        <v>744</v>
      </c>
      <c r="B230" t="s">
        <v>733</v>
      </c>
      <c r="C230">
        <v>8984742</v>
      </c>
      <c r="D230">
        <v>2019</v>
      </c>
      <c r="E230" s="314">
        <v>0</v>
      </c>
      <c r="F230" s="314">
        <v>79000</v>
      </c>
      <c r="G230" s="314">
        <v>0</v>
      </c>
      <c r="H230" s="314">
        <v>781100</v>
      </c>
      <c r="I230" s="314">
        <v>0</v>
      </c>
      <c r="J230" s="314">
        <v>0</v>
      </c>
      <c r="K230" s="314">
        <v>0</v>
      </c>
      <c r="L230" s="313">
        <v>0</v>
      </c>
      <c r="M230" s="314">
        <v>0</v>
      </c>
      <c r="N230" s="314">
        <v>0</v>
      </c>
      <c r="O230" s="314">
        <v>0</v>
      </c>
      <c r="P230" s="314">
        <v>200000</v>
      </c>
      <c r="Q230" s="314">
        <f t="shared" si="3"/>
        <v>200000</v>
      </c>
      <c r="R230" s="314">
        <v>0</v>
      </c>
      <c r="S230" s="314">
        <v>0</v>
      </c>
      <c r="T230" s="314">
        <v>1060100</v>
      </c>
    </row>
    <row r="231" spans="1:20" x14ac:dyDescent="0.25">
      <c r="A231" t="s">
        <v>528</v>
      </c>
      <c r="B231" t="s">
        <v>523</v>
      </c>
      <c r="C231">
        <v>6945387</v>
      </c>
      <c r="D231">
        <v>2019</v>
      </c>
      <c r="E231" s="314">
        <v>0</v>
      </c>
      <c r="F231" s="314">
        <v>0</v>
      </c>
      <c r="G231" s="314">
        <v>0</v>
      </c>
      <c r="H231" s="314">
        <v>4689162</v>
      </c>
      <c r="I231" s="314">
        <v>0</v>
      </c>
      <c r="J231" s="314">
        <v>2885000</v>
      </c>
      <c r="K231" s="314">
        <v>0</v>
      </c>
      <c r="L231" s="313">
        <v>0</v>
      </c>
      <c r="M231" s="314">
        <v>0</v>
      </c>
      <c r="N231" s="314">
        <v>0</v>
      </c>
      <c r="O231" s="314">
        <v>0</v>
      </c>
      <c r="P231" s="314">
        <v>0</v>
      </c>
      <c r="Q231" s="314">
        <f t="shared" si="3"/>
        <v>0</v>
      </c>
      <c r="R231" s="314">
        <v>0</v>
      </c>
      <c r="S231" s="314">
        <v>0</v>
      </c>
      <c r="T231" s="314">
        <v>7574162</v>
      </c>
    </row>
    <row r="232" spans="1:20" x14ac:dyDescent="0.25">
      <c r="A232" t="s">
        <v>753</v>
      </c>
      <c r="B232" t="s">
        <v>753</v>
      </c>
      <c r="C232">
        <v>2189349</v>
      </c>
      <c r="D232">
        <v>2019</v>
      </c>
      <c r="E232" s="314">
        <v>450000</v>
      </c>
      <c r="F232" s="314">
        <v>0</v>
      </c>
      <c r="G232" s="314">
        <v>0</v>
      </c>
      <c r="H232" s="314">
        <v>138910</v>
      </c>
      <c r="I232" s="314">
        <v>0</v>
      </c>
      <c r="J232" s="314">
        <v>0</v>
      </c>
      <c r="K232" s="314">
        <v>0</v>
      </c>
      <c r="L232" s="313">
        <v>0</v>
      </c>
      <c r="M232" s="314">
        <v>0</v>
      </c>
      <c r="N232" s="314">
        <v>0</v>
      </c>
      <c r="O232" s="314">
        <v>0</v>
      </c>
      <c r="P232" s="314">
        <v>0</v>
      </c>
      <c r="Q232" s="314">
        <f t="shared" si="3"/>
        <v>0</v>
      </c>
      <c r="R232" s="314">
        <v>0</v>
      </c>
      <c r="S232" s="314">
        <v>0</v>
      </c>
      <c r="T232" s="314">
        <v>588910</v>
      </c>
    </row>
    <row r="233" spans="1:20" x14ac:dyDescent="0.25">
      <c r="A233" t="s">
        <v>1554</v>
      </c>
      <c r="B233" t="s">
        <v>1071</v>
      </c>
      <c r="C233">
        <v>9000001</v>
      </c>
      <c r="D233">
        <v>2019</v>
      </c>
      <c r="E233" s="314">
        <v>1072657</v>
      </c>
      <c r="F233" s="314">
        <v>0</v>
      </c>
      <c r="G233" s="314">
        <v>0</v>
      </c>
      <c r="H233" s="314">
        <v>0</v>
      </c>
      <c r="I233" s="314">
        <v>0</v>
      </c>
      <c r="J233" s="314">
        <v>0</v>
      </c>
      <c r="K233" s="314">
        <v>0</v>
      </c>
      <c r="L233" s="313">
        <v>0</v>
      </c>
      <c r="M233" s="314">
        <v>0</v>
      </c>
      <c r="N233" s="314">
        <v>0</v>
      </c>
      <c r="O233" s="314">
        <v>110000</v>
      </c>
      <c r="P233" s="314">
        <v>45000</v>
      </c>
      <c r="Q233" s="314">
        <f t="shared" si="3"/>
        <v>155000</v>
      </c>
      <c r="R233" s="314">
        <v>0</v>
      </c>
      <c r="S233" s="314">
        <v>34000</v>
      </c>
      <c r="T233" s="314">
        <v>1261657</v>
      </c>
    </row>
    <row r="234" spans="1:20" x14ac:dyDescent="0.25">
      <c r="A234" t="s">
        <v>1163</v>
      </c>
      <c r="B234" t="s">
        <v>947</v>
      </c>
      <c r="C234">
        <v>1225073</v>
      </c>
      <c r="D234">
        <v>2019</v>
      </c>
      <c r="E234" s="314">
        <v>0</v>
      </c>
      <c r="F234" s="314">
        <v>0</v>
      </c>
      <c r="G234" s="314">
        <v>0</v>
      </c>
      <c r="H234" s="314">
        <v>6459380</v>
      </c>
      <c r="I234" s="314">
        <v>0</v>
      </c>
      <c r="J234" s="314">
        <v>0</v>
      </c>
      <c r="K234" s="314">
        <v>0</v>
      </c>
      <c r="L234" s="313">
        <v>0</v>
      </c>
      <c r="M234" s="314">
        <v>0</v>
      </c>
      <c r="N234" s="314">
        <v>0</v>
      </c>
      <c r="O234" s="314">
        <v>3000</v>
      </c>
      <c r="P234" s="314">
        <v>1285895</v>
      </c>
      <c r="Q234" s="314">
        <f t="shared" si="3"/>
        <v>1288895</v>
      </c>
      <c r="R234" s="314">
        <v>0</v>
      </c>
      <c r="S234" s="314">
        <v>0</v>
      </c>
      <c r="T234" s="314">
        <v>7748275</v>
      </c>
    </row>
    <row r="235" spans="1:20" x14ac:dyDescent="0.25">
      <c r="A235" t="s">
        <v>657</v>
      </c>
      <c r="B235" t="s">
        <v>655</v>
      </c>
      <c r="C235">
        <v>4936413</v>
      </c>
      <c r="D235">
        <v>2019</v>
      </c>
      <c r="E235" s="314">
        <v>176702</v>
      </c>
      <c r="F235" s="314">
        <v>0</v>
      </c>
      <c r="G235" s="314">
        <v>0</v>
      </c>
      <c r="H235" s="314">
        <v>516450</v>
      </c>
      <c r="I235" s="314">
        <v>0</v>
      </c>
      <c r="J235" s="314">
        <v>0</v>
      </c>
      <c r="K235" s="314">
        <v>0</v>
      </c>
      <c r="L235" s="313">
        <v>0</v>
      </c>
      <c r="M235" s="314">
        <v>0</v>
      </c>
      <c r="N235" s="314">
        <v>0</v>
      </c>
      <c r="O235" s="314">
        <v>0</v>
      </c>
      <c r="P235" s="314">
        <v>1293990</v>
      </c>
      <c r="Q235" s="314">
        <f t="shared" si="3"/>
        <v>1293990</v>
      </c>
      <c r="R235" s="314">
        <v>0</v>
      </c>
      <c r="S235" s="314">
        <v>0</v>
      </c>
      <c r="T235" s="314">
        <v>1987142</v>
      </c>
    </row>
    <row r="236" spans="1:20" x14ac:dyDescent="0.25">
      <c r="A236" t="s">
        <v>1388</v>
      </c>
      <c r="B236" t="s">
        <v>776</v>
      </c>
      <c r="C236">
        <v>2813024</v>
      </c>
      <c r="D236">
        <v>2019</v>
      </c>
      <c r="E236" s="314">
        <v>0</v>
      </c>
      <c r="F236" s="314">
        <v>0</v>
      </c>
      <c r="G236" s="314">
        <v>0</v>
      </c>
      <c r="H236" s="314">
        <v>1397371</v>
      </c>
      <c r="I236" s="314">
        <v>0</v>
      </c>
      <c r="J236" s="314">
        <v>0</v>
      </c>
      <c r="K236" s="314">
        <v>987598</v>
      </c>
      <c r="L236" s="313">
        <v>54461</v>
      </c>
      <c r="M236" s="314">
        <v>0</v>
      </c>
      <c r="N236" s="314">
        <v>0</v>
      </c>
      <c r="O236" s="314">
        <v>0</v>
      </c>
      <c r="P236" s="314">
        <v>409000</v>
      </c>
      <c r="Q236" s="314">
        <f t="shared" si="3"/>
        <v>409000</v>
      </c>
      <c r="R236" s="314">
        <v>0</v>
      </c>
      <c r="S236" s="314">
        <v>0</v>
      </c>
      <c r="T236" s="314">
        <v>2848430</v>
      </c>
    </row>
    <row r="237" spans="1:20" x14ac:dyDescent="0.25">
      <c r="A237" t="s">
        <v>372</v>
      </c>
      <c r="B237" t="s">
        <v>367</v>
      </c>
      <c r="C237">
        <v>8946698</v>
      </c>
      <c r="D237">
        <v>2019</v>
      </c>
      <c r="E237" s="314">
        <v>0</v>
      </c>
      <c r="F237" s="314">
        <v>0</v>
      </c>
      <c r="G237" s="314">
        <v>0</v>
      </c>
      <c r="H237" s="314">
        <v>2744110</v>
      </c>
      <c r="I237" s="314">
        <v>0</v>
      </c>
      <c r="J237" s="314">
        <v>0</v>
      </c>
      <c r="K237" s="314">
        <v>1105710</v>
      </c>
      <c r="L237" s="313">
        <v>0</v>
      </c>
      <c r="M237" s="314">
        <v>0</v>
      </c>
      <c r="N237" s="314">
        <v>0</v>
      </c>
      <c r="O237" s="314">
        <v>0</v>
      </c>
      <c r="P237" s="314">
        <v>295000</v>
      </c>
      <c r="Q237" s="314">
        <f t="shared" si="3"/>
        <v>295000</v>
      </c>
      <c r="R237" s="314">
        <v>0</v>
      </c>
      <c r="S237" s="314">
        <v>0</v>
      </c>
      <c r="T237" s="314">
        <v>4144820</v>
      </c>
    </row>
    <row r="238" spans="1:20" x14ac:dyDescent="0.25">
      <c r="A238" t="s">
        <v>1251</v>
      </c>
      <c r="B238" t="s">
        <v>568</v>
      </c>
      <c r="C238">
        <v>2499134</v>
      </c>
      <c r="D238">
        <v>2019</v>
      </c>
      <c r="E238" s="314">
        <v>0</v>
      </c>
      <c r="F238" s="314">
        <v>141000</v>
      </c>
      <c r="G238" s="314">
        <v>0</v>
      </c>
      <c r="H238" s="314">
        <v>2790235</v>
      </c>
      <c r="I238" s="314">
        <v>0</v>
      </c>
      <c r="J238" s="314">
        <v>0</v>
      </c>
      <c r="K238" s="314">
        <v>0</v>
      </c>
      <c r="L238" s="313">
        <v>0</v>
      </c>
      <c r="M238" s="314">
        <v>0</v>
      </c>
      <c r="N238" s="314">
        <v>0</v>
      </c>
      <c r="O238" s="314">
        <v>3185</v>
      </c>
      <c r="P238" s="314">
        <v>153000</v>
      </c>
      <c r="Q238" s="314">
        <f t="shared" si="3"/>
        <v>156185</v>
      </c>
      <c r="R238" s="314">
        <v>0</v>
      </c>
      <c r="S238" s="314">
        <v>4000</v>
      </c>
      <c r="T238" s="314">
        <v>3091420</v>
      </c>
    </row>
    <row r="239" spans="1:20" x14ac:dyDescent="0.25">
      <c r="A239" t="s">
        <v>1343</v>
      </c>
      <c r="B239" t="s">
        <v>515</v>
      </c>
      <c r="C239">
        <v>5804478</v>
      </c>
      <c r="D239">
        <v>2019</v>
      </c>
      <c r="E239" s="314">
        <v>0</v>
      </c>
      <c r="F239" s="314">
        <v>0</v>
      </c>
      <c r="G239" s="314">
        <v>0</v>
      </c>
      <c r="H239" s="314">
        <v>7833300</v>
      </c>
      <c r="I239" s="314">
        <v>0</v>
      </c>
      <c r="J239" s="314">
        <v>0</v>
      </c>
      <c r="K239" s="314">
        <v>0</v>
      </c>
      <c r="L239" s="313">
        <v>0</v>
      </c>
      <c r="M239" s="314">
        <v>0</v>
      </c>
      <c r="N239" s="314">
        <v>0</v>
      </c>
      <c r="O239" s="314">
        <v>0</v>
      </c>
      <c r="P239" s="314">
        <v>0</v>
      </c>
      <c r="Q239" s="314">
        <f t="shared" si="3"/>
        <v>0</v>
      </c>
      <c r="R239" s="314">
        <v>0</v>
      </c>
      <c r="S239" s="314">
        <v>0</v>
      </c>
      <c r="T239" s="314">
        <v>7833300</v>
      </c>
    </row>
    <row r="240" spans="1:20" x14ac:dyDescent="0.25">
      <c r="A240" t="s">
        <v>1355</v>
      </c>
      <c r="B240" t="s">
        <v>760</v>
      </c>
      <c r="C240">
        <v>6627771</v>
      </c>
      <c r="D240">
        <v>2019</v>
      </c>
      <c r="E240" s="314">
        <v>0</v>
      </c>
      <c r="F240" s="314">
        <v>0</v>
      </c>
      <c r="G240" s="314">
        <v>0</v>
      </c>
      <c r="H240" s="314">
        <v>532263</v>
      </c>
      <c r="I240" s="314">
        <v>0</v>
      </c>
      <c r="J240" s="314">
        <v>0</v>
      </c>
      <c r="K240" s="314">
        <v>0</v>
      </c>
      <c r="L240" s="313">
        <v>0</v>
      </c>
      <c r="M240" s="314">
        <v>0</v>
      </c>
      <c r="N240" s="314">
        <v>0</v>
      </c>
      <c r="O240" s="314">
        <v>0</v>
      </c>
      <c r="P240" s="314">
        <v>0</v>
      </c>
      <c r="Q240" s="314">
        <f t="shared" si="3"/>
        <v>0</v>
      </c>
      <c r="R240" s="314">
        <v>0</v>
      </c>
      <c r="S240" s="314">
        <v>0</v>
      </c>
      <c r="T240" s="314">
        <v>532263</v>
      </c>
    </row>
    <row r="241" spans="1:20" x14ac:dyDescent="0.25">
      <c r="A241" t="s">
        <v>386</v>
      </c>
      <c r="B241" t="s">
        <v>661</v>
      </c>
      <c r="C241">
        <v>8522302</v>
      </c>
      <c r="D241">
        <v>2019</v>
      </c>
      <c r="E241" s="314">
        <v>32386</v>
      </c>
      <c r="F241" s="314">
        <v>0</v>
      </c>
      <c r="G241" s="314">
        <v>0</v>
      </c>
      <c r="H241" s="314">
        <v>133500</v>
      </c>
      <c r="I241" s="314">
        <v>0</v>
      </c>
      <c r="J241" s="314">
        <v>0</v>
      </c>
      <c r="K241" s="314">
        <v>0</v>
      </c>
      <c r="L241" s="313">
        <v>0</v>
      </c>
      <c r="M241" s="314">
        <v>0</v>
      </c>
      <c r="N241" s="314">
        <v>0</v>
      </c>
      <c r="O241" s="314">
        <v>0</v>
      </c>
      <c r="P241" s="314">
        <v>0</v>
      </c>
      <c r="Q241" s="314">
        <f t="shared" si="3"/>
        <v>0</v>
      </c>
      <c r="R241" s="314">
        <v>0</v>
      </c>
      <c r="S241" s="314">
        <v>0</v>
      </c>
      <c r="T241" s="314">
        <v>165886</v>
      </c>
    </row>
    <row r="242" spans="1:20" x14ac:dyDescent="0.25">
      <c r="A242" t="s">
        <v>398</v>
      </c>
      <c r="B242" t="s">
        <v>396</v>
      </c>
      <c r="C242">
        <v>5646573</v>
      </c>
      <c r="D242">
        <v>2019</v>
      </c>
      <c r="E242" s="314">
        <v>28567</v>
      </c>
      <c r="F242" s="314">
        <v>79838</v>
      </c>
      <c r="G242" s="314">
        <v>0</v>
      </c>
      <c r="H242" s="314">
        <v>1089000</v>
      </c>
      <c r="I242" s="314">
        <v>0</v>
      </c>
      <c r="J242" s="314">
        <v>0</v>
      </c>
      <c r="K242" s="314">
        <v>0</v>
      </c>
      <c r="L242" s="313">
        <v>0</v>
      </c>
      <c r="M242" s="314">
        <v>0</v>
      </c>
      <c r="N242" s="314">
        <v>0</v>
      </c>
      <c r="O242" s="314">
        <v>0</v>
      </c>
      <c r="P242" s="314">
        <v>0</v>
      </c>
      <c r="Q242" s="314">
        <f t="shared" si="3"/>
        <v>0</v>
      </c>
      <c r="R242" s="314">
        <v>41147</v>
      </c>
      <c r="S242" s="314">
        <v>0</v>
      </c>
      <c r="T242" s="314">
        <v>1238552</v>
      </c>
    </row>
    <row r="243" spans="1:20" x14ac:dyDescent="0.25">
      <c r="A243" t="s">
        <v>459</v>
      </c>
      <c r="B243" t="s">
        <v>459</v>
      </c>
      <c r="C243">
        <v>2125600</v>
      </c>
      <c r="D243">
        <v>2019</v>
      </c>
      <c r="E243" s="314">
        <v>773200</v>
      </c>
      <c r="F243" s="314">
        <v>0</v>
      </c>
      <c r="G243" s="314">
        <v>0</v>
      </c>
      <c r="H243" s="314">
        <v>4360800</v>
      </c>
      <c r="I243" s="314">
        <v>0</v>
      </c>
      <c r="J243" s="314">
        <v>0</v>
      </c>
      <c r="K243" s="314">
        <v>0</v>
      </c>
      <c r="L243" s="313">
        <v>0</v>
      </c>
      <c r="M243" s="314">
        <v>0</v>
      </c>
      <c r="N243" s="314">
        <v>0</v>
      </c>
      <c r="O243" s="314">
        <v>0</v>
      </c>
      <c r="P243" s="314">
        <v>6686000</v>
      </c>
      <c r="Q243" s="314">
        <f t="shared" si="3"/>
        <v>6686000</v>
      </c>
      <c r="R243" s="314">
        <v>0</v>
      </c>
      <c r="S243" s="314">
        <v>0</v>
      </c>
      <c r="T243" s="314">
        <v>11820000</v>
      </c>
    </row>
    <row r="244" spans="1:20" x14ac:dyDescent="0.25">
      <c r="A244" t="s">
        <v>485</v>
      </c>
      <c r="B244" t="s">
        <v>485</v>
      </c>
      <c r="C244">
        <v>7384495</v>
      </c>
      <c r="D244">
        <v>2019</v>
      </c>
      <c r="E244" s="314">
        <v>0</v>
      </c>
      <c r="F244" s="314">
        <v>0</v>
      </c>
      <c r="G244" s="314">
        <v>0</v>
      </c>
      <c r="H244" s="314">
        <v>0</v>
      </c>
      <c r="I244" s="314">
        <v>0</v>
      </c>
      <c r="J244" s="314">
        <v>644164</v>
      </c>
      <c r="K244" s="314">
        <v>2393172</v>
      </c>
      <c r="L244" s="313">
        <v>202466</v>
      </c>
      <c r="M244" s="314">
        <v>0</v>
      </c>
      <c r="N244" s="314">
        <v>0</v>
      </c>
      <c r="O244" s="314">
        <v>0</v>
      </c>
      <c r="P244" s="314">
        <v>0</v>
      </c>
      <c r="Q244" s="314">
        <f t="shared" si="3"/>
        <v>0</v>
      </c>
      <c r="R244" s="314">
        <v>0</v>
      </c>
      <c r="S244" s="314">
        <v>0</v>
      </c>
      <c r="T244" s="314">
        <v>3239802</v>
      </c>
    </row>
    <row r="245" spans="1:20" x14ac:dyDescent="0.25">
      <c r="A245" t="s">
        <v>447</v>
      </c>
      <c r="B245" t="s">
        <v>447</v>
      </c>
      <c r="C245">
        <v>2837121</v>
      </c>
      <c r="D245">
        <v>2019</v>
      </c>
      <c r="E245" s="314">
        <v>0</v>
      </c>
      <c r="F245" s="314">
        <v>0</v>
      </c>
      <c r="G245" s="314">
        <v>0</v>
      </c>
      <c r="H245" s="314">
        <v>4525979</v>
      </c>
      <c r="I245" s="314">
        <v>0</v>
      </c>
      <c r="J245" s="314">
        <v>2334960</v>
      </c>
      <c r="K245" s="314">
        <v>0</v>
      </c>
      <c r="L245" s="313">
        <v>0</v>
      </c>
      <c r="M245" s="314">
        <v>0</v>
      </c>
      <c r="N245" s="314">
        <v>0</v>
      </c>
      <c r="O245" s="314">
        <v>0</v>
      </c>
      <c r="P245" s="314">
        <v>0</v>
      </c>
      <c r="Q245" s="314">
        <f t="shared" si="3"/>
        <v>0</v>
      </c>
      <c r="R245" s="314">
        <v>0</v>
      </c>
      <c r="S245" s="314">
        <v>0</v>
      </c>
      <c r="T245" s="314">
        <v>6860939</v>
      </c>
    </row>
    <row r="246" spans="1:20" x14ac:dyDescent="0.25">
      <c r="A246" t="s">
        <v>957</v>
      </c>
      <c r="B246" t="s">
        <v>955</v>
      </c>
      <c r="C246">
        <v>3619533</v>
      </c>
      <c r="D246">
        <v>2019</v>
      </c>
      <c r="E246" s="314">
        <v>110078</v>
      </c>
      <c r="F246" s="314">
        <v>0</v>
      </c>
      <c r="G246" s="314">
        <v>0</v>
      </c>
      <c r="H246" s="314">
        <v>3471471</v>
      </c>
      <c r="I246" s="314">
        <v>0</v>
      </c>
      <c r="J246" s="314">
        <v>0</v>
      </c>
      <c r="K246" s="314">
        <v>0</v>
      </c>
      <c r="L246" s="313">
        <v>0</v>
      </c>
      <c r="M246" s="314">
        <v>0</v>
      </c>
      <c r="N246" s="314">
        <v>0</v>
      </c>
      <c r="O246" s="314">
        <v>0</v>
      </c>
      <c r="P246" s="314">
        <v>1504000</v>
      </c>
      <c r="Q246" s="314">
        <f t="shared" si="3"/>
        <v>1504000</v>
      </c>
      <c r="R246" s="314">
        <v>0</v>
      </c>
      <c r="S246" s="314">
        <v>0</v>
      </c>
      <c r="T246" s="314">
        <v>5085549</v>
      </c>
    </row>
    <row r="247" spans="1:20" x14ac:dyDescent="0.25">
      <c r="A247" t="s">
        <v>1066</v>
      </c>
      <c r="B247" t="s">
        <v>1067</v>
      </c>
      <c r="C247">
        <v>2093343</v>
      </c>
      <c r="D247">
        <v>2019</v>
      </c>
      <c r="E247" s="314">
        <v>0</v>
      </c>
      <c r="F247" s="314">
        <v>0</v>
      </c>
      <c r="G247" s="314">
        <v>0</v>
      </c>
      <c r="H247" s="314">
        <v>563624</v>
      </c>
      <c r="I247" s="314">
        <v>0</v>
      </c>
      <c r="J247" s="314">
        <v>0</v>
      </c>
      <c r="K247" s="314">
        <v>0</v>
      </c>
      <c r="L247" s="313">
        <v>0</v>
      </c>
      <c r="M247" s="314">
        <v>0</v>
      </c>
      <c r="N247" s="314">
        <v>0</v>
      </c>
      <c r="O247" s="314">
        <v>0</v>
      </c>
      <c r="P247" s="314">
        <v>110000</v>
      </c>
      <c r="Q247" s="314">
        <f t="shared" si="3"/>
        <v>110000</v>
      </c>
      <c r="R247" s="314">
        <v>0</v>
      </c>
      <c r="S247" s="314">
        <v>0</v>
      </c>
      <c r="T247" s="314">
        <v>673624</v>
      </c>
    </row>
    <row r="248" spans="1:20" x14ac:dyDescent="0.25">
      <c r="A248" t="s">
        <v>864</v>
      </c>
      <c r="B248" t="s">
        <v>864</v>
      </c>
      <c r="C248">
        <v>4383860</v>
      </c>
      <c r="D248">
        <v>2019</v>
      </c>
      <c r="E248" s="314">
        <v>1012000</v>
      </c>
      <c r="F248" s="314">
        <v>0</v>
      </c>
      <c r="G248" s="314">
        <v>0</v>
      </c>
      <c r="H248" s="314">
        <v>3864560</v>
      </c>
      <c r="I248" s="314">
        <v>0</v>
      </c>
      <c r="J248" s="314">
        <v>0</v>
      </c>
      <c r="K248" s="314">
        <v>0</v>
      </c>
      <c r="L248" s="313">
        <v>0</v>
      </c>
      <c r="M248" s="314">
        <v>0</v>
      </c>
      <c r="N248" s="314">
        <v>0</v>
      </c>
      <c r="O248" s="314">
        <v>0</v>
      </c>
      <c r="P248" s="314">
        <v>0</v>
      </c>
      <c r="Q248" s="314">
        <f t="shared" si="3"/>
        <v>0</v>
      </c>
      <c r="R248" s="314">
        <v>0</v>
      </c>
      <c r="S248" s="314">
        <v>0</v>
      </c>
      <c r="T248" s="314">
        <v>4876560</v>
      </c>
    </row>
    <row r="249" spans="1:20" x14ac:dyDescent="0.25">
      <c r="A249" t="s">
        <v>899</v>
      </c>
      <c r="B249" t="s">
        <v>897</v>
      </c>
      <c r="C249">
        <v>2174839</v>
      </c>
      <c r="D249">
        <v>2019</v>
      </c>
      <c r="E249" s="314">
        <v>122325</v>
      </c>
      <c r="F249" s="314">
        <v>130000</v>
      </c>
      <c r="G249" s="314">
        <v>0</v>
      </c>
      <c r="H249" s="314">
        <v>2728440</v>
      </c>
      <c r="I249" s="314">
        <v>0</v>
      </c>
      <c r="J249" s="314">
        <v>0</v>
      </c>
      <c r="K249" s="314">
        <v>0</v>
      </c>
      <c r="L249" s="313">
        <v>0</v>
      </c>
      <c r="M249" s="314">
        <v>0</v>
      </c>
      <c r="N249" s="314">
        <v>0</v>
      </c>
      <c r="O249" s="314">
        <v>0</v>
      </c>
      <c r="P249" s="314">
        <v>370000</v>
      </c>
      <c r="Q249" s="314">
        <f t="shared" si="3"/>
        <v>370000</v>
      </c>
      <c r="R249" s="314">
        <v>0</v>
      </c>
      <c r="S249" s="314">
        <v>0</v>
      </c>
      <c r="T249" s="314">
        <v>3350765</v>
      </c>
    </row>
    <row r="250" spans="1:20" x14ac:dyDescent="0.25">
      <c r="A250" t="s">
        <v>1519</v>
      </c>
      <c r="B250" t="s">
        <v>812</v>
      </c>
      <c r="C250">
        <v>3961063</v>
      </c>
      <c r="D250">
        <v>2019</v>
      </c>
      <c r="E250" s="314">
        <v>197355</v>
      </c>
      <c r="F250" s="314">
        <v>0</v>
      </c>
      <c r="G250" s="314">
        <v>0</v>
      </c>
      <c r="H250" s="314">
        <v>1531310</v>
      </c>
      <c r="I250" s="314">
        <v>0</v>
      </c>
      <c r="J250" s="314">
        <v>0</v>
      </c>
      <c r="K250" s="314">
        <v>1321335</v>
      </c>
      <c r="L250" s="313">
        <v>0</v>
      </c>
      <c r="M250" s="314">
        <v>0</v>
      </c>
      <c r="N250" s="314">
        <v>0</v>
      </c>
      <c r="O250" s="314">
        <v>0</v>
      </c>
      <c r="P250" s="314">
        <v>150000</v>
      </c>
      <c r="Q250" s="314">
        <f t="shared" si="3"/>
        <v>150000</v>
      </c>
      <c r="R250" s="314">
        <v>0</v>
      </c>
      <c r="S250" s="314">
        <v>0</v>
      </c>
      <c r="T250" s="314">
        <v>3200000</v>
      </c>
    </row>
    <row r="251" spans="1:20" x14ac:dyDescent="0.25">
      <c r="A251" t="s">
        <v>1331</v>
      </c>
      <c r="B251" t="s">
        <v>515</v>
      </c>
      <c r="C251">
        <v>7630615</v>
      </c>
      <c r="D251">
        <v>2019</v>
      </c>
      <c r="E251" s="314">
        <v>0</v>
      </c>
      <c r="F251" s="314">
        <v>0</v>
      </c>
      <c r="G251" s="314">
        <v>0</v>
      </c>
      <c r="H251" s="314">
        <v>35748234</v>
      </c>
      <c r="I251" s="314">
        <v>0</v>
      </c>
      <c r="J251" s="314">
        <v>0</v>
      </c>
      <c r="K251" s="314">
        <v>0</v>
      </c>
      <c r="L251" s="313">
        <v>0</v>
      </c>
      <c r="M251" s="314">
        <v>0</v>
      </c>
      <c r="N251" s="314">
        <v>0</v>
      </c>
      <c r="O251" s="314">
        <v>0</v>
      </c>
      <c r="P251" s="314">
        <v>0</v>
      </c>
      <c r="Q251" s="314">
        <f t="shared" si="3"/>
        <v>0</v>
      </c>
      <c r="R251" s="314">
        <v>0</v>
      </c>
      <c r="S251" s="314">
        <v>0</v>
      </c>
      <c r="T251" s="314">
        <v>35748234</v>
      </c>
    </row>
    <row r="252" spans="1:20" x14ac:dyDescent="0.25">
      <c r="A252" t="s">
        <v>594</v>
      </c>
      <c r="B252" t="s">
        <v>1056</v>
      </c>
      <c r="C252">
        <v>3454870</v>
      </c>
      <c r="D252">
        <v>2019</v>
      </c>
      <c r="E252" s="314">
        <v>0</v>
      </c>
      <c r="F252" s="314">
        <v>0</v>
      </c>
      <c r="G252" s="314">
        <v>0</v>
      </c>
      <c r="H252" s="314">
        <v>0</v>
      </c>
      <c r="I252" s="314">
        <v>0</v>
      </c>
      <c r="J252" s="314">
        <v>0</v>
      </c>
      <c r="K252" s="314">
        <v>364887</v>
      </c>
      <c r="L252" s="313">
        <v>0</v>
      </c>
      <c r="M252" s="314">
        <v>0</v>
      </c>
      <c r="N252" s="314">
        <v>0</v>
      </c>
      <c r="O252" s="314">
        <v>0</v>
      </c>
      <c r="P252" s="314">
        <v>0</v>
      </c>
      <c r="Q252" s="314">
        <f t="shared" si="3"/>
        <v>0</v>
      </c>
      <c r="R252" s="314">
        <v>0</v>
      </c>
      <c r="S252" s="314">
        <v>0</v>
      </c>
      <c r="T252" s="314">
        <v>364887</v>
      </c>
    </row>
    <row r="253" spans="1:20" x14ac:dyDescent="0.25">
      <c r="A253" t="s">
        <v>1264</v>
      </c>
      <c r="B253" t="s">
        <v>531</v>
      </c>
      <c r="C253">
        <v>6749255</v>
      </c>
      <c r="D253">
        <v>2019</v>
      </c>
      <c r="E253" s="314">
        <v>1718</v>
      </c>
      <c r="F253" s="314">
        <v>0</v>
      </c>
      <c r="G253" s="314">
        <v>0</v>
      </c>
      <c r="H253" s="314">
        <v>666130</v>
      </c>
      <c r="I253" s="314">
        <v>0</v>
      </c>
      <c r="J253" s="314">
        <v>0</v>
      </c>
      <c r="K253" s="314">
        <v>0</v>
      </c>
      <c r="L253" s="313">
        <v>472000</v>
      </c>
      <c r="M253" s="314">
        <v>0</v>
      </c>
      <c r="N253" s="314">
        <v>0</v>
      </c>
      <c r="O253" s="314">
        <v>0</v>
      </c>
      <c r="P253" s="314">
        <v>742000</v>
      </c>
      <c r="Q253" s="314">
        <f t="shared" si="3"/>
        <v>742000</v>
      </c>
      <c r="R253" s="314">
        <v>0</v>
      </c>
      <c r="S253" s="314">
        <v>0</v>
      </c>
      <c r="T253" s="314">
        <v>1881848</v>
      </c>
    </row>
    <row r="254" spans="1:20" x14ac:dyDescent="0.25">
      <c r="A254" t="s">
        <v>390</v>
      </c>
      <c r="B254" t="s">
        <v>332</v>
      </c>
      <c r="C254">
        <v>7916274</v>
      </c>
      <c r="D254">
        <v>2019</v>
      </c>
      <c r="E254" s="314">
        <v>0</v>
      </c>
      <c r="F254" s="314">
        <v>0</v>
      </c>
      <c r="G254" s="314">
        <v>0</v>
      </c>
      <c r="H254" s="314">
        <v>5404290</v>
      </c>
      <c r="I254" s="314">
        <v>0</v>
      </c>
      <c r="J254" s="314">
        <v>0</v>
      </c>
      <c r="K254" s="314">
        <v>0</v>
      </c>
      <c r="L254" s="313">
        <v>0</v>
      </c>
      <c r="M254" s="314">
        <v>0</v>
      </c>
      <c r="N254" s="314">
        <v>0</v>
      </c>
      <c r="O254" s="314">
        <v>0</v>
      </c>
      <c r="P254" s="314">
        <v>3600000</v>
      </c>
      <c r="Q254" s="314">
        <f t="shared" si="3"/>
        <v>3600000</v>
      </c>
      <c r="R254" s="314">
        <v>0</v>
      </c>
      <c r="S254" s="314">
        <v>0</v>
      </c>
      <c r="T254" s="314">
        <v>9004290</v>
      </c>
    </row>
    <row r="255" spans="1:20" x14ac:dyDescent="0.25">
      <c r="A255" t="s">
        <v>1495</v>
      </c>
      <c r="B255" t="s">
        <v>849</v>
      </c>
      <c r="C255">
        <v>6948137</v>
      </c>
      <c r="D255">
        <v>2019</v>
      </c>
      <c r="E255" s="314">
        <v>970550</v>
      </c>
      <c r="F255" s="314">
        <v>0</v>
      </c>
      <c r="G255" s="314">
        <v>0</v>
      </c>
      <c r="H255" s="314">
        <v>0</v>
      </c>
      <c r="I255" s="314">
        <v>0</v>
      </c>
      <c r="J255" s="314">
        <v>0</v>
      </c>
      <c r="K255" s="314">
        <v>6197056</v>
      </c>
      <c r="L255" s="313">
        <v>184627</v>
      </c>
      <c r="M255" s="314">
        <v>0</v>
      </c>
      <c r="N255" s="314">
        <v>0</v>
      </c>
      <c r="O255" s="314">
        <v>0</v>
      </c>
      <c r="P255" s="314">
        <v>235000</v>
      </c>
      <c r="Q255" s="314">
        <f t="shared" si="3"/>
        <v>235000</v>
      </c>
      <c r="R255" s="314">
        <v>0</v>
      </c>
      <c r="S255" s="314">
        <v>98000</v>
      </c>
      <c r="T255" s="314">
        <v>7685233</v>
      </c>
    </row>
    <row r="256" spans="1:20" x14ac:dyDescent="0.25">
      <c r="A256" t="s">
        <v>389</v>
      </c>
      <c r="B256" t="s">
        <v>969</v>
      </c>
      <c r="C256">
        <v>8979890</v>
      </c>
      <c r="D256">
        <v>2019</v>
      </c>
      <c r="E256" s="314">
        <v>15808</v>
      </c>
      <c r="F256" s="314">
        <v>0</v>
      </c>
      <c r="G256" s="314">
        <v>0</v>
      </c>
      <c r="H256" s="314">
        <v>3457000</v>
      </c>
      <c r="I256" s="314">
        <v>0</v>
      </c>
      <c r="J256" s="314">
        <v>0</v>
      </c>
      <c r="K256" s="314">
        <v>0</v>
      </c>
      <c r="L256" s="313">
        <v>0</v>
      </c>
      <c r="M256" s="314">
        <v>0</v>
      </c>
      <c r="N256" s="314">
        <v>0</v>
      </c>
      <c r="O256" s="314">
        <v>17000</v>
      </c>
      <c r="P256" s="314">
        <v>353000</v>
      </c>
      <c r="Q256" s="314">
        <f t="shared" si="3"/>
        <v>370000</v>
      </c>
      <c r="R256" s="314">
        <v>0</v>
      </c>
      <c r="S256" s="314">
        <v>0</v>
      </c>
      <c r="T256" s="314">
        <v>3842808</v>
      </c>
    </row>
    <row r="257" spans="1:20" x14ac:dyDescent="0.25">
      <c r="A257" t="s">
        <v>519</v>
      </c>
      <c r="B257" t="s">
        <v>519</v>
      </c>
      <c r="C257">
        <v>5638901</v>
      </c>
      <c r="D257">
        <v>2019</v>
      </c>
      <c r="E257" s="314">
        <v>0</v>
      </c>
      <c r="F257" s="314">
        <v>0</v>
      </c>
      <c r="G257" s="314">
        <v>0</v>
      </c>
      <c r="H257" s="314">
        <v>10608684</v>
      </c>
      <c r="I257" s="314">
        <v>0</v>
      </c>
      <c r="J257" s="314">
        <v>4163280</v>
      </c>
      <c r="K257" s="314">
        <v>0</v>
      </c>
      <c r="L257" s="313">
        <v>0</v>
      </c>
      <c r="M257" s="314">
        <v>0</v>
      </c>
      <c r="N257" s="314">
        <v>0</v>
      </c>
      <c r="O257" s="314">
        <v>0</v>
      </c>
      <c r="P257" s="314">
        <v>0</v>
      </c>
      <c r="Q257" s="314">
        <f t="shared" si="3"/>
        <v>0</v>
      </c>
      <c r="R257" s="314">
        <v>0</v>
      </c>
      <c r="S257" s="314">
        <v>0</v>
      </c>
      <c r="T257" s="314">
        <v>14771964</v>
      </c>
    </row>
    <row r="258" spans="1:20" x14ac:dyDescent="0.25">
      <c r="A258" t="s">
        <v>377</v>
      </c>
      <c r="B258" t="s">
        <v>826</v>
      </c>
      <c r="C258">
        <v>7459230</v>
      </c>
      <c r="D258">
        <v>2019</v>
      </c>
      <c r="E258" s="314">
        <v>350000</v>
      </c>
      <c r="F258" s="314">
        <v>0</v>
      </c>
      <c r="G258" s="314">
        <v>0</v>
      </c>
      <c r="H258" s="314">
        <v>2778000</v>
      </c>
      <c r="I258" s="314">
        <v>0</v>
      </c>
      <c r="J258" s="314">
        <v>0</v>
      </c>
      <c r="K258" s="314">
        <v>0</v>
      </c>
      <c r="L258" s="313">
        <v>0</v>
      </c>
      <c r="M258" s="314">
        <v>0</v>
      </c>
      <c r="N258" s="314">
        <v>0</v>
      </c>
      <c r="O258" s="314">
        <v>71452</v>
      </c>
      <c r="P258" s="314">
        <v>292000</v>
      </c>
      <c r="Q258" s="314">
        <f t="shared" si="3"/>
        <v>363452</v>
      </c>
      <c r="R258" s="314">
        <v>0</v>
      </c>
      <c r="S258" s="314">
        <v>0</v>
      </c>
      <c r="T258" s="314">
        <v>3491452</v>
      </c>
    </row>
    <row r="259" spans="1:20" x14ac:dyDescent="0.25">
      <c r="A259" t="s">
        <v>485</v>
      </c>
      <c r="B259" t="s">
        <v>485</v>
      </c>
      <c r="C259">
        <v>8338145</v>
      </c>
      <c r="D259">
        <v>2019</v>
      </c>
      <c r="E259" s="314">
        <v>0</v>
      </c>
      <c r="F259" s="314">
        <v>0</v>
      </c>
      <c r="G259" s="314">
        <v>0</v>
      </c>
      <c r="H259" s="314">
        <v>1601240</v>
      </c>
      <c r="I259" s="314">
        <v>0</v>
      </c>
      <c r="J259" s="314">
        <v>1445838</v>
      </c>
      <c r="K259" s="314">
        <v>0</v>
      </c>
      <c r="L259" s="313">
        <v>228390</v>
      </c>
      <c r="M259" s="314">
        <v>0</v>
      </c>
      <c r="N259" s="314">
        <v>0</v>
      </c>
      <c r="O259" s="314">
        <v>0</v>
      </c>
      <c r="P259" s="314">
        <v>0</v>
      </c>
      <c r="Q259" s="314">
        <f t="shared" si="3"/>
        <v>0</v>
      </c>
      <c r="R259" s="314">
        <v>0</v>
      </c>
      <c r="S259" s="314">
        <v>0</v>
      </c>
      <c r="T259" s="314">
        <v>3275468</v>
      </c>
    </row>
    <row r="260" spans="1:20" x14ac:dyDescent="0.25">
      <c r="A260" t="s">
        <v>1535</v>
      </c>
      <c r="B260" t="s">
        <v>1533</v>
      </c>
      <c r="C260">
        <v>4385424</v>
      </c>
      <c r="D260">
        <v>2019</v>
      </c>
      <c r="E260" s="314">
        <v>0</v>
      </c>
      <c r="F260" s="314">
        <v>0</v>
      </c>
      <c r="G260" s="314">
        <v>0</v>
      </c>
      <c r="H260" s="314">
        <v>0</v>
      </c>
      <c r="I260" s="314">
        <v>22382591</v>
      </c>
      <c r="J260" s="314">
        <v>0</v>
      </c>
      <c r="K260" s="314">
        <v>0</v>
      </c>
      <c r="L260" s="313">
        <v>0</v>
      </c>
      <c r="M260" s="314">
        <v>0</v>
      </c>
      <c r="N260" s="314">
        <v>0</v>
      </c>
      <c r="O260" s="314">
        <v>0</v>
      </c>
      <c r="P260" s="314">
        <v>57000</v>
      </c>
      <c r="Q260" s="314">
        <f t="shared" ref="Q260:Q288" si="4">SUM(O260:P260)</f>
        <v>57000</v>
      </c>
      <c r="R260" s="314">
        <v>0</v>
      </c>
      <c r="S260" s="314">
        <v>921600</v>
      </c>
      <c r="T260" s="314">
        <v>23361191</v>
      </c>
    </row>
    <row r="261" spans="1:20" x14ac:dyDescent="0.25">
      <c r="A261" t="s">
        <v>665</v>
      </c>
      <c r="B261" t="s">
        <v>663</v>
      </c>
      <c r="C261">
        <v>6697882</v>
      </c>
      <c r="D261">
        <v>2019</v>
      </c>
      <c r="E261" s="314">
        <v>56833</v>
      </c>
      <c r="F261" s="314">
        <v>0</v>
      </c>
      <c r="G261" s="314">
        <v>0</v>
      </c>
      <c r="H261" s="314">
        <v>97500</v>
      </c>
      <c r="I261" s="314">
        <v>0</v>
      </c>
      <c r="J261" s="314">
        <v>0</v>
      </c>
      <c r="K261" s="314">
        <v>0</v>
      </c>
      <c r="L261" s="313">
        <v>0</v>
      </c>
      <c r="M261" s="314">
        <v>0</v>
      </c>
      <c r="N261" s="314">
        <v>0</v>
      </c>
      <c r="O261" s="314">
        <v>0</v>
      </c>
      <c r="P261" s="314">
        <v>311642.76</v>
      </c>
      <c r="Q261" s="314">
        <f t="shared" si="4"/>
        <v>311642.76</v>
      </c>
      <c r="R261" s="314">
        <v>0</v>
      </c>
      <c r="S261" s="314">
        <v>0</v>
      </c>
      <c r="T261" s="314">
        <v>465975.76</v>
      </c>
    </row>
    <row r="262" spans="1:20" x14ac:dyDescent="0.25">
      <c r="A262" t="s">
        <v>959</v>
      </c>
      <c r="B262" t="s">
        <v>959</v>
      </c>
      <c r="C262">
        <v>8982230</v>
      </c>
      <c r="D262">
        <v>2019</v>
      </c>
      <c r="E262" s="314">
        <v>123100</v>
      </c>
      <c r="F262" s="314">
        <v>0</v>
      </c>
      <c r="G262" s="314">
        <v>0</v>
      </c>
      <c r="H262" s="314">
        <v>6200000</v>
      </c>
      <c r="I262" s="314">
        <v>0</v>
      </c>
      <c r="J262" s="314">
        <v>0</v>
      </c>
      <c r="K262" s="314">
        <v>0</v>
      </c>
      <c r="L262" s="313">
        <v>0</v>
      </c>
      <c r="M262" s="314">
        <v>0</v>
      </c>
      <c r="N262" s="314">
        <v>0</v>
      </c>
      <c r="O262" s="314">
        <v>300000</v>
      </c>
      <c r="P262" s="314">
        <v>0</v>
      </c>
      <c r="Q262" s="314">
        <f t="shared" si="4"/>
        <v>300000</v>
      </c>
      <c r="R262" s="314">
        <v>0</v>
      </c>
      <c r="S262" s="314">
        <v>0</v>
      </c>
      <c r="T262" s="314">
        <v>6623100</v>
      </c>
    </row>
    <row r="263" spans="1:20" x14ac:dyDescent="0.25">
      <c r="A263" t="s">
        <v>453</v>
      </c>
      <c r="B263" t="s">
        <v>453</v>
      </c>
      <c r="C263">
        <v>4753225</v>
      </c>
      <c r="D263">
        <v>2019</v>
      </c>
      <c r="E263" s="314">
        <v>0</v>
      </c>
      <c r="F263" s="314">
        <v>0</v>
      </c>
      <c r="G263" s="314">
        <v>0</v>
      </c>
      <c r="H263" s="314">
        <v>13999762</v>
      </c>
      <c r="I263" s="314">
        <v>0</v>
      </c>
      <c r="J263" s="314">
        <v>7106000</v>
      </c>
      <c r="K263" s="314">
        <v>0</v>
      </c>
      <c r="L263" s="313">
        <v>0</v>
      </c>
      <c r="M263" s="314">
        <v>0</v>
      </c>
      <c r="N263" s="314">
        <v>0</v>
      </c>
      <c r="O263" s="314">
        <v>0</v>
      </c>
      <c r="P263" s="314">
        <v>0</v>
      </c>
      <c r="Q263" s="314">
        <f t="shared" si="4"/>
        <v>0</v>
      </c>
      <c r="R263" s="314">
        <v>0</v>
      </c>
      <c r="S263" s="314">
        <v>0</v>
      </c>
      <c r="T263" s="314">
        <v>21105762</v>
      </c>
    </row>
    <row r="264" spans="1:20" x14ac:dyDescent="0.25">
      <c r="A264" t="s">
        <v>1106</v>
      </c>
      <c r="B264" t="s">
        <v>553</v>
      </c>
      <c r="C264">
        <v>8289298</v>
      </c>
      <c r="D264">
        <v>2019</v>
      </c>
      <c r="E264" s="314">
        <v>0</v>
      </c>
      <c r="F264" s="314">
        <v>40000</v>
      </c>
      <c r="G264" s="314">
        <v>0</v>
      </c>
      <c r="H264" s="314">
        <v>1090591</v>
      </c>
      <c r="I264" s="314">
        <v>0</v>
      </c>
      <c r="J264" s="314">
        <v>0</v>
      </c>
      <c r="K264" s="314">
        <v>0</v>
      </c>
      <c r="L264" s="313">
        <v>90000</v>
      </c>
      <c r="M264" s="314">
        <v>0</v>
      </c>
      <c r="N264" s="314">
        <v>0</v>
      </c>
      <c r="O264" s="314">
        <v>0</v>
      </c>
      <c r="P264" s="314">
        <v>100600</v>
      </c>
      <c r="Q264" s="314">
        <f t="shared" si="4"/>
        <v>100600</v>
      </c>
      <c r="R264" s="314">
        <v>0</v>
      </c>
      <c r="S264" s="314">
        <v>60000</v>
      </c>
      <c r="T264" s="314">
        <v>1381191</v>
      </c>
    </row>
    <row r="265" spans="1:20" x14ac:dyDescent="0.25">
      <c r="A265" t="s">
        <v>828</v>
      </c>
      <c r="B265" t="s">
        <v>826</v>
      </c>
      <c r="C265">
        <v>2788586</v>
      </c>
      <c r="D265">
        <v>2019</v>
      </c>
      <c r="E265" s="314">
        <v>0</v>
      </c>
      <c r="F265" s="314">
        <v>0</v>
      </c>
      <c r="G265" s="314">
        <v>0</v>
      </c>
      <c r="H265" s="314">
        <v>0</v>
      </c>
      <c r="I265" s="314">
        <v>0</v>
      </c>
      <c r="J265" s="314">
        <v>0</v>
      </c>
      <c r="K265" s="314">
        <v>1006700</v>
      </c>
      <c r="L265" s="313">
        <v>0</v>
      </c>
      <c r="M265" s="314">
        <v>0</v>
      </c>
      <c r="N265" s="314">
        <v>0</v>
      </c>
      <c r="O265" s="314">
        <v>0</v>
      </c>
      <c r="P265" s="314">
        <v>45000</v>
      </c>
      <c r="Q265" s="314">
        <f t="shared" si="4"/>
        <v>45000</v>
      </c>
      <c r="R265" s="314">
        <v>0</v>
      </c>
      <c r="S265" s="314">
        <v>0</v>
      </c>
      <c r="T265" s="314">
        <v>1051700</v>
      </c>
    </row>
    <row r="266" spans="1:20" x14ac:dyDescent="0.25">
      <c r="A266" t="s">
        <v>935</v>
      </c>
      <c r="B266" t="s">
        <v>928</v>
      </c>
      <c r="C266">
        <v>9870958</v>
      </c>
      <c r="D266">
        <v>2019</v>
      </c>
      <c r="E266" s="314">
        <v>0</v>
      </c>
      <c r="F266" s="314">
        <v>0</v>
      </c>
      <c r="G266" s="314">
        <v>0</v>
      </c>
      <c r="H266" s="314">
        <v>2067000</v>
      </c>
      <c r="I266" s="314">
        <v>0</v>
      </c>
      <c r="J266" s="314">
        <v>828174.04</v>
      </c>
      <c r="K266" s="314">
        <v>0</v>
      </c>
      <c r="L266" s="313">
        <v>0</v>
      </c>
      <c r="M266" s="314">
        <v>0</v>
      </c>
      <c r="N266" s="314">
        <v>0</v>
      </c>
      <c r="O266" s="314">
        <v>0</v>
      </c>
      <c r="P266" s="314">
        <v>129800</v>
      </c>
      <c r="Q266" s="314">
        <f t="shared" si="4"/>
        <v>129800</v>
      </c>
      <c r="R266" s="314">
        <v>280000</v>
      </c>
      <c r="S266" s="314">
        <v>0</v>
      </c>
      <c r="T266" s="314">
        <v>3304974.04</v>
      </c>
    </row>
    <row r="267" spans="1:20" x14ac:dyDescent="0.25">
      <c r="A267" t="s">
        <v>318</v>
      </c>
      <c r="B267" t="s">
        <v>312</v>
      </c>
      <c r="C267">
        <v>5792625</v>
      </c>
      <c r="D267">
        <v>2019</v>
      </c>
      <c r="E267" s="314">
        <v>116140</v>
      </c>
      <c r="F267" s="314">
        <v>33512.800000000003</v>
      </c>
      <c r="G267" s="314">
        <v>0</v>
      </c>
      <c r="H267" s="314">
        <v>1487500</v>
      </c>
      <c r="I267" s="314">
        <v>0</v>
      </c>
      <c r="J267" s="314">
        <v>0</v>
      </c>
      <c r="K267" s="314">
        <v>0</v>
      </c>
      <c r="L267" s="313">
        <v>0</v>
      </c>
      <c r="M267" s="314">
        <v>0</v>
      </c>
      <c r="N267" s="314">
        <v>0</v>
      </c>
      <c r="O267" s="314">
        <v>0</v>
      </c>
      <c r="P267" s="314">
        <v>0</v>
      </c>
      <c r="Q267" s="314">
        <f t="shared" si="4"/>
        <v>0</v>
      </c>
      <c r="R267" s="314">
        <v>0</v>
      </c>
      <c r="S267" s="314">
        <v>0</v>
      </c>
      <c r="T267" s="314">
        <v>1637152.8</v>
      </c>
    </row>
    <row r="268" spans="1:20" x14ac:dyDescent="0.25">
      <c r="A268" t="s">
        <v>810</v>
      </c>
      <c r="B268" t="s">
        <v>805</v>
      </c>
      <c r="C268">
        <v>6607461</v>
      </c>
      <c r="D268">
        <v>2019</v>
      </c>
      <c r="E268" s="314">
        <v>0</v>
      </c>
      <c r="F268" s="314">
        <v>55825.46</v>
      </c>
      <c r="G268" s="314">
        <v>0</v>
      </c>
      <c r="H268" s="314">
        <v>1182600</v>
      </c>
      <c r="I268" s="314">
        <v>0</v>
      </c>
      <c r="J268" s="314">
        <v>0</v>
      </c>
      <c r="K268" s="314">
        <v>0</v>
      </c>
      <c r="L268" s="313">
        <v>0</v>
      </c>
      <c r="M268" s="314">
        <v>0</v>
      </c>
      <c r="N268" s="314">
        <v>0</v>
      </c>
      <c r="O268" s="314">
        <v>15000</v>
      </c>
      <c r="P268" s="314">
        <v>200000</v>
      </c>
      <c r="Q268" s="314">
        <f t="shared" si="4"/>
        <v>215000</v>
      </c>
      <c r="R268" s="314">
        <v>0</v>
      </c>
      <c r="S268" s="314">
        <v>0</v>
      </c>
      <c r="T268" s="314">
        <v>1453425.46</v>
      </c>
    </row>
    <row r="269" spans="1:20" x14ac:dyDescent="0.25">
      <c r="A269" t="s">
        <v>236</v>
      </c>
      <c r="B269" t="s">
        <v>1145</v>
      </c>
      <c r="C269">
        <v>9767213</v>
      </c>
      <c r="D269">
        <v>2019</v>
      </c>
      <c r="E269" s="314">
        <v>0</v>
      </c>
      <c r="F269" s="314">
        <v>0</v>
      </c>
      <c r="G269" s="314">
        <v>0</v>
      </c>
      <c r="H269" s="314">
        <v>1621440</v>
      </c>
      <c r="I269" s="314">
        <v>0</v>
      </c>
      <c r="J269" s="314">
        <v>0</v>
      </c>
      <c r="K269" s="314">
        <v>599462</v>
      </c>
      <c r="L269" s="313">
        <v>0</v>
      </c>
      <c r="M269" s="314">
        <v>0</v>
      </c>
      <c r="N269" s="314">
        <v>0</v>
      </c>
      <c r="O269" s="314">
        <v>9000</v>
      </c>
      <c r="P269" s="314">
        <v>710500</v>
      </c>
      <c r="Q269" s="314">
        <f t="shared" si="4"/>
        <v>719500</v>
      </c>
      <c r="R269" s="314">
        <v>0</v>
      </c>
      <c r="S269" s="314">
        <v>5000</v>
      </c>
      <c r="T269" s="314">
        <v>2945402</v>
      </c>
    </row>
    <row r="270" spans="1:20" x14ac:dyDescent="0.25">
      <c r="A270" t="s">
        <v>780</v>
      </c>
      <c r="B270" t="s">
        <v>776</v>
      </c>
      <c r="C270">
        <v>1840658</v>
      </c>
      <c r="D270">
        <v>2019</v>
      </c>
      <c r="E270" s="314">
        <v>0</v>
      </c>
      <c r="F270" s="314">
        <v>0</v>
      </c>
      <c r="G270" s="314">
        <v>0</v>
      </c>
      <c r="H270" s="314">
        <v>4326000</v>
      </c>
      <c r="I270" s="314">
        <v>0</v>
      </c>
      <c r="J270" s="314">
        <v>0</v>
      </c>
      <c r="K270" s="314">
        <v>0</v>
      </c>
      <c r="L270" s="313">
        <v>77951</v>
      </c>
      <c r="M270" s="314">
        <v>0</v>
      </c>
      <c r="N270" s="314">
        <v>0</v>
      </c>
      <c r="O270" s="314">
        <v>0</v>
      </c>
      <c r="P270" s="314">
        <v>366900</v>
      </c>
      <c r="Q270" s="314">
        <f t="shared" si="4"/>
        <v>366900</v>
      </c>
      <c r="R270" s="314">
        <v>0</v>
      </c>
      <c r="S270" s="314">
        <v>0</v>
      </c>
      <c r="T270" s="314">
        <v>4770851</v>
      </c>
    </row>
    <row r="271" spans="1:20" x14ac:dyDescent="0.25">
      <c r="A271" t="s">
        <v>1104</v>
      </c>
      <c r="B271" t="s">
        <v>553</v>
      </c>
      <c r="C271">
        <v>7634996</v>
      </c>
      <c r="D271">
        <v>2019</v>
      </c>
      <c r="E271" s="314">
        <v>26478</v>
      </c>
      <c r="F271" s="314">
        <v>26000</v>
      </c>
      <c r="G271" s="314">
        <v>0</v>
      </c>
      <c r="H271" s="314">
        <v>275460</v>
      </c>
      <c r="I271" s="314">
        <v>0</v>
      </c>
      <c r="J271" s="314">
        <v>0</v>
      </c>
      <c r="K271" s="314">
        <v>0</v>
      </c>
      <c r="L271" s="313">
        <v>30000</v>
      </c>
      <c r="M271" s="314">
        <v>0</v>
      </c>
      <c r="N271" s="314">
        <v>0</v>
      </c>
      <c r="O271" s="314">
        <v>0</v>
      </c>
      <c r="P271" s="314">
        <v>40000</v>
      </c>
      <c r="Q271" s="314">
        <f t="shared" si="4"/>
        <v>40000</v>
      </c>
      <c r="R271" s="314">
        <v>0</v>
      </c>
      <c r="S271" s="314">
        <v>6000</v>
      </c>
      <c r="T271" s="314">
        <v>403938</v>
      </c>
    </row>
    <row r="272" spans="1:20" x14ac:dyDescent="0.25">
      <c r="A272" t="s">
        <v>918</v>
      </c>
      <c r="B272" t="s">
        <v>909</v>
      </c>
      <c r="C272">
        <v>9659243</v>
      </c>
      <c r="D272">
        <v>2019</v>
      </c>
      <c r="E272" s="314">
        <v>603228</v>
      </c>
      <c r="F272" s="314">
        <v>0</v>
      </c>
      <c r="G272" s="314">
        <v>0</v>
      </c>
      <c r="H272" s="314">
        <v>2348410</v>
      </c>
      <c r="I272" s="314">
        <v>0</v>
      </c>
      <c r="J272" s="314">
        <v>0</v>
      </c>
      <c r="K272" s="314">
        <v>1723418</v>
      </c>
      <c r="L272" s="313">
        <v>0</v>
      </c>
      <c r="M272" s="314">
        <v>0</v>
      </c>
      <c r="N272" s="314">
        <v>0</v>
      </c>
      <c r="O272" s="314">
        <v>0</v>
      </c>
      <c r="P272" s="314">
        <v>28000</v>
      </c>
      <c r="Q272" s="314">
        <f t="shared" si="4"/>
        <v>28000</v>
      </c>
      <c r="R272" s="314">
        <v>0</v>
      </c>
      <c r="S272" s="314">
        <v>0</v>
      </c>
      <c r="T272" s="314">
        <v>4703056</v>
      </c>
    </row>
    <row r="273" spans="1:20" x14ac:dyDescent="0.25">
      <c r="A273" t="s">
        <v>1130</v>
      </c>
      <c r="B273" t="s">
        <v>281</v>
      </c>
      <c r="C273">
        <v>5020855</v>
      </c>
      <c r="D273">
        <v>2019</v>
      </c>
      <c r="E273" s="314">
        <v>310000</v>
      </c>
      <c r="F273" s="314">
        <v>0</v>
      </c>
      <c r="G273" s="314">
        <v>0</v>
      </c>
      <c r="H273" s="314">
        <v>4935000</v>
      </c>
      <c r="I273" s="314">
        <v>0</v>
      </c>
      <c r="J273" s="314">
        <v>0</v>
      </c>
      <c r="K273" s="314">
        <v>0</v>
      </c>
      <c r="L273" s="313">
        <v>0</v>
      </c>
      <c r="M273" s="314">
        <v>0</v>
      </c>
      <c r="N273" s="314">
        <v>0</v>
      </c>
      <c r="O273" s="314">
        <v>70000</v>
      </c>
      <c r="P273" s="314">
        <v>405000</v>
      </c>
      <c r="Q273" s="314">
        <f t="shared" si="4"/>
        <v>475000</v>
      </c>
      <c r="R273" s="314">
        <v>0</v>
      </c>
      <c r="S273" s="314">
        <v>10650</v>
      </c>
      <c r="T273" s="314">
        <v>5730650</v>
      </c>
    </row>
    <row r="274" spans="1:20" x14ac:dyDescent="0.25">
      <c r="A274" t="s">
        <v>485</v>
      </c>
      <c r="B274" t="s">
        <v>485</v>
      </c>
      <c r="C274">
        <v>4382500</v>
      </c>
      <c r="D274">
        <v>2019</v>
      </c>
      <c r="E274" s="314">
        <v>0</v>
      </c>
      <c r="F274" s="314">
        <v>0</v>
      </c>
      <c r="G274" s="314">
        <v>0</v>
      </c>
      <c r="H274" s="314">
        <v>907690</v>
      </c>
      <c r="I274" s="314">
        <v>0</v>
      </c>
      <c r="J274" s="314">
        <v>795789</v>
      </c>
      <c r="K274" s="314">
        <v>0</v>
      </c>
      <c r="L274" s="313">
        <v>112716</v>
      </c>
      <c r="M274" s="314">
        <v>0</v>
      </c>
      <c r="N274" s="314">
        <v>0</v>
      </c>
      <c r="O274" s="314">
        <v>0</v>
      </c>
      <c r="P274" s="314">
        <v>0</v>
      </c>
      <c r="Q274" s="314">
        <f t="shared" si="4"/>
        <v>0</v>
      </c>
      <c r="R274" s="314">
        <v>0</v>
      </c>
      <c r="S274" s="314">
        <v>0</v>
      </c>
      <c r="T274" s="314">
        <v>1816195</v>
      </c>
    </row>
    <row r="275" spans="1:20" x14ac:dyDescent="0.25">
      <c r="A275" t="s">
        <v>1130</v>
      </c>
      <c r="B275" t="s">
        <v>281</v>
      </c>
      <c r="C275">
        <v>2039109</v>
      </c>
      <c r="D275">
        <v>2019</v>
      </c>
      <c r="E275" s="314">
        <v>8189</v>
      </c>
      <c r="F275" s="314">
        <v>177000</v>
      </c>
      <c r="G275" s="314">
        <v>0</v>
      </c>
      <c r="H275" s="314">
        <v>3452100</v>
      </c>
      <c r="I275" s="314">
        <v>0</v>
      </c>
      <c r="J275" s="314">
        <v>0</v>
      </c>
      <c r="K275" s="314">
        <v>0</v>
      </c>
      <c r="L275" s="313">
        <v>0</v>
      </c>
      <c r="M275" s="314">
        <v>0</v>
      </c>
      <c r="N275" s="314">
        <v>0</v>
      </c>
      <c r="O275" s="314">
        <v>91500</v>
      </c>
      <c r="P275" s="314">
        <v>225000</v>
      </c>
      <c r="Q275" s="314">
        <f t="shared" si="4"/>
        <v>316500</v>
      </c>
      <c r="R275" s="314">
        <v>0</v>
      </c>
      <c r="S275" s="314">
        <v>0</v>
      </c>
      <c r="T275" s="314">
        <v>3953789</v>
      </c>
    </row>
    <row r="276" spans="1:20" x14ac:dyDescent="0.25">
      <c r="A276" t="s">
        <v>750</v>
      </c>
      <c r="B276" t="s">
        <v>748</v>
      </c>
      <c r="C276">
        <v>9196018</v>
      </c>
      <c r="D276">
        <v>2019</v>
      </c>
      <c r="E276" s="314">
        <v>0</v>
      </c>
      <c r="F276" s="314">
        <v>0</v>
      </c>
      <c r="G276" s="314">
        <v>0</v>
      </c>
      <c r="H276" s="314">
        <v>559074</v>
      </c>
      <c r="I276" s="314">
        <v>0</v>
      </c>
      <c r="J276" s="314">
        <v>0</v>
      </c>
      <c r="K276" s="314">
        <v>0</v>
      </c>
      <c r="L276" s="313">
        <v>0</v>
      </c>
      <c r="M276" s="314">
        <v>0</v>
      </c>
      <c r="N276" s="314">
        <v>0</v>
      </c>
      <c r="O276" s="314">
        <v>1668344</v>
      </c>
      <c r="P276" s="314">
        <v>0</v>
      </c>
      <c r="Q276" s="314">
        <f t="shared" si="4"/>
        <v>1668344</v>
      </c>
      <c r="R276" s="314">
        <v>0</v>
      </c>
      <c r="S276" s="314">
        <v>0</v>
      </c>
      <c r="T276" s="314">
        <v>2227418</v>
      </c>
    </row>
    <row r="277" spans="1:20" x14ac:dyDescent="0.25">
      <c r="A277" t="s">
        <v>1197</v>
      </c>
      <c r="B277" t="s">
        <v>636</v>
      </c>
      <c r="C277">
        <v>5141443</v>
      </c>
      <c r="D277">
        <v>2019</v>
      </c>
      <c r="E277" s="314">
        <v>59591</v>
      </c>
      <c r="F277" s="314">
        <v>0</v>
      </c>
      <c r="G277" s="314">
        <v>0</v>
      </c>
      <c r="H277" s="314">
        <v>150000</v>
      </c>
      <c r="I277" s="314">
        <v>0</v>
      </c>
      <c r="J277" s="314">
        <v>0</v>
      </c>
      <c r="K277" s="314">
        <v>0</v>
      </c>
      <c r="L277" s="313">
        <v>0</v>
      </c>
      <c r="M277" s="314">
        <v>0</v>
      </c>
      <c r="N277" s="314">
        <v>0</v>
      </c>
      <c r="O277" s="314">
        <v>0</v>
      </c>
      <c r="P277" s="314">
        <v>0</v>
      </c>
      <c r="Q277" s="314">
        <f t="shared" si="4"/>
        <v>0</v>
      </c>
      <c r="R277" s="314">
        <v>0</v>
      </c>
      <c r="S277" s="314">
        <v>0</v>
      </c>
      <c r="T277" s="314">
        <v>209591</v>
      </c>
    </row>
    <row r="278" spans="1:20" x14ac:dyDescent="0.25">
      <c r="A278" t="s">
        <v>1465</v>
      </c>
      <c r="B278" t="s">
        <v>249</v>
      </c>
      <c r="C278">
        <v>1758706</v>
      </c>
      <c r="D278">
        <v>2019</v>
      </c>
      <c r="E278" s="314">
        <v>0</v>
      </c>
      <c r="F278" s="314">
        <v>0</v>
      </c>
      <c r="G278" s="314">
        <v>0</v>
      </c>
      <c r="H278" s="314">
        <v>3108430</v>
      </c>
      <c r="I278" s="314">
        <v>0</v>
      </c>
      <c r="J278" s="314">
        <v>0</v>
      </c>
      <c r="K278" s="314">
        <v>2261112</v>
      </c>
      <c r="L278" s="313">
        <v>0</v>
      </c>
      <c r="M278" s="314">
        <v>0</v>
      </c>
      <c r="N278" s="314">
        <v>0</v>
      </c>
      <c r="O278" s="314">
        <v>0</v>
      </c>
      <c r="P278" s="314">
        <v>20000</v>
      </c>
      <c r="Q278" s="314">
        <f t="shared" si="4"/>
        <v>20000</v>
      </c>
      <c r="R278" s="314">
        <v>0</v>
      </c>
      <c r="S278" s="314">
        <v>0</v>
      </c>
      <c r="T278" s="314">
        <v>5389542</v>
      </c>
    </row>
    <row r="279" spans="1:20" x14ac:dyDescent="0.25">
      <c r="A279" t="s">
        <v>829</v>
      </c>
      <c r="B279" t="s">
        <v>826</v>
      </c>
      <c r="C279">
        <v>3110951</v>
      </c>
      <c r="D279">
        <v>2019</v>
      </c>
      <c r="E279" s="314">
        <v>0</v>
      </c>
      <c r="F279" s="314">
        <v>0</v>
      </c>
      <c r="G279" s="314">
        <v>0</v>
      </c>
      <c r="H279" s="314">
        <v>2748954</v>
      </c>
      <c r="I279" s="314">
        <v>0</v>
      </c>
      <c r="J279" s="314">
        <v>0</v>
      </c>
      <c r="K279" s="314">
        <v>0</v>
      </c>
      <c r="L279" s="313">
        <v>0</v>
      </c>
      <c r="M279" s="314">
        <v>0</v>
      </c>
      <c r="N279" s="314">
        <v>0</v>
      </c>
      <c r="O279" s="314">
        <v>127608</v>
      </c>
      <c r="P279" s="314">
        <v>150000</v>
      </c>
      <c r="Q279" s="314">
        <f t="shared" si="4"/>
        <v>277608</v>
      </c>
      <c r="R279" s="314">
        <v>0</v>
      </c>
      <c r="S279" s="314">
        <v>0</v>
      </c>
      <c r="T279" s="314">
        <v>3026562</v>
      </c>
    </row>
    <row r="280" spans="1:20" x14ac:dyDescent="0.25">
      <c r="A280" t="s">
        <v>1117</v>
      </c>
      <c r="B280" t="s">
        <v>1118</v>
      </c>
      <c r="C280">
        <v>9608144</v>
      </c>
      <c r="D280">
        <v>2019</v>
      </c>
      <c r="E280" s="314">
        <v>0</v>
      </c>
      <c r="F280" s="314">
        <v>0</v>
      </c>
      <c r="G280" s="314">
        <v>0</v>
      </c>
      <c r="H280" s="314">
        <v>1020124</v>
      </c>
      <c r="I280" s="314">
        <v>0</v>
      </c>
      <c r="J280" s="314">
        <v>0</v>
      </c>
      <c r="K280" s="314">
        <v>0</v>
      </c>
      <c r="L280" s="313">
        <v>0</v>
      </c>
      <c r="M280" s="314">
        <v>0</v>
      </c>
      <c r="N280" s="314">
        <v>0</v>
      </c>
      <c r="O280" s="314">
        <v>0</v>
      </c>
      <c r="P280" s="314">
        <v>140000</v>
      </c>
      <c r="Q280" s="314">
        <f t="shared" si="4"/>
        <v>140000</v>
      </c>
      <c r="R280" s="314">
        <v>0</v>
      </c>
      <c r="S280" s="314">
        <v>0</v>
      </c>
      <c r="T280" s="314">
        <v>1160124</v>
      </c>
    </row>
    <row r="281" spans="1:20" x14ac:dyDescent="0.25">
      <c r="A281" t="s">
        <v>1401</v>
      </c>
      <c r="B281" t="s">
        <v>776</v>
      </c>
      <c r="C281">
        <v>6585534</v>
      </c>
      <c r="D281">
        <v>2019</v>
      </c>
      <c r="E281" s="314">
        <v>47850</v>
      </c>
      <c r="F281" s="314">
        <v>0</v>
      </c>
      <c r="G281" s="314">
        <v>0</v>
      </c>
      <c r="H281" s="314">
        <v>1690000</v>
      </c>
      <c r="I281" s="314">
        <v>0</v>
      </c>
      <c r="J281" s="314">
        <v>0</v>
      </c>
      <c r="K281" s="314">
        <v>1144916</v>
      </c>
      <c r="L281" s="313">
        <v>85084</v>
      </c>
      <c r="M281" s="314">
        <v>0</v>
      </c>
      <c r="N281" s="314">
        <v>0</v>
      </c>
      <c r="O281" s="314">
        <v>0</v>
      </c>
      <c r="P281" s="314">
        <v>150000</v>
      </c>
      <c r="Q281" s="314">
        <f t="shared" si="4"/>
        <v>150000</v>
      </c>
      <c r="R281" s="314">
        <v>0</v>
      </c>
      <c r="S281" s="314">
        <v>0</v>
      </c>
      <c r="T281" s="314">
        <v>3117850</v>
      </c>
    </row>
    <row r="282" spans="1:20" x14ac:dyDescent="0.25">
      <c r="A282" t="s">
        <v>721</v>
      </c>
      <c r="B282" t="s">
        <v>718</v>
      </c>
      <c r="C282">
        <v>2757263</v>
      </c>
      <c r="D282">
        <v>2019</v>
      </c>
      <c r="E282" s="314">
        <v>0</v>
      </c>
      <c r="F282" s="314">
        <v>0</v>
      </c>
      <c r="G282" s="314">
        <v>0</v>
      </c>
      <c r="H282" s="314">
        <v>762010</v>
      </c>
      <c r="I282" s="314">
        <v>0</v>
      </c>
      <c r="J282" s="314">
        <v>0</v>
      </c>
      <c r="K282" s="314">
        <v>0</v>
      </c>
      <c r="L282" s="313">
        <v>0</v>
      </c>
      <c r="M282" s="314">
        <v>0</v>
      </c>
      <c r="N282" s="314">
        <v>0</v>
      </c>
      <c r="O282" s="314">
        <v>0</v>
      </c>
      <c r="P282" s="314">
        <v>140000</v>
      </c>
      <c r="Q282" s="314">
        <f t="shared" si="4"/>
        <v>140000</v>
      </c>
      <c r="R282" s="314">
        <v>0</v>
      </c>
      <c r="S282" s="314">
        <v>0</v>
      </c>
      <c r="T282" s="314">
        <v>902010</v>
      </c>
    </row>
    <row r="283" spans="1:20" x14ac:dyDescent="0.25">
      <c r="A283" t="s">
        <v>942</v>
      </c>
      <c r="B283" t="s">
        <v>942</v>
      </c>
      <c r="C283">
        <v>1642854</v>
      </c>
      <c r="D283">
        <v>2019</v>
      </c>
      <c r="E283" s="314">
        <v>0</v>
      </c>
      <c r="F283" s="314">
        <v>0</v>
      </c>
      <c r="G283" s="314">
        <v>0</v>
      </c>
      <c r="H283" s="314">
        <v>5519580</v>
      </c>
      <c r="I283" s="314">
        <v>0</v>
      </c>
      <c r="J283" s="314">
        <v>0</v>
      </c>
      <c r="K283" s="314">
        <v>0</v>
      </c>
      <c r="L283" s="313">
        <v>0</v>
      </c>
      <c r="M283" s="314">
        <v>0</v>
      </c>
      <c r="N283" s="314">
        <v>0</v>
      </c>
      <c r="O283" s="314">
        <v>8000</v>
      </c>
      <c r="P283" s="314">
        <v>1600000</v>
      </c>
      <c r="Q283" s="314">
        <f t="shared" si="4"/>
        <v>1608000</v>
      </c>
      <c r="R283" s="314">
        <v>0</v>
      </c>
      <c r="S283" s="314">
        <v>0</v>
      </c>
      <c r="T283" s="314">
        <v>7127580</v>
      </c>
    </row>
    <row r="284" spans="1:20" x14ac:dyDescent="0.25">
      <c r="A284" t="s">
        <v>1455</v>
      </c>
      <c r="B284" t="s">
        <v>1247</v>
      </c>
      <c r="C284">
        <v>7263765</v>
      </c>
      <c r="D284">
        <v>2019</v>
      </c>
      <c r="E284" s="314">
        <v>0</v>
      </c>
      <c r="F284" s="314">
        <v>0</v>
      </c>
      <c r="G284" s="314">
        <v>0</v>
      </c>
      <c r="H284" s="314">
        <v>1211410</v>
      </c>
      <c r="I284" s="314">
        <v>0</v>
      </c>
      <c r="J284" s="314">
        <v>0</v>
      </c>
      <c r="K284" s="314">
        <v>0</v>
      </c>
      <c r="L284" s="313">
        <v>0</v>
      </c>
      <c r="M284" s="314">
        <v>0</v>
      </c>
      <c r="N284" s="314">
        <v>0</v>
      </c>
      <c r="O284" s="314">
        <v>0</v>
      </c>
      <c r="P284" s="314">
        <v>0</v>
      </c>
      <c r="Q284" s="314">
        <f t="shared" si="4"/>
        <v>0</v>
      </c>
      <c r="R284" s="314">
        <v>0</v>
      </c>
      <c r="S284" s="314">
        <v>0</v>
      </c>
      <c r="T284" s="314">
        <v>1211410</v>
      </c>
    </row>
    <row r="285" spans="1:20" x14ac:dyDescent="0.25">
      <c r="A285" t="s">
        <v>1294</v>
      </c>
      <c r="B285" t="s">
        <v>922</v>
      </c>
      <c r="C285">
        <v>6041962</v>
      </c>
      <c r="D285">
        <v>2019</v>
      </c>
      <c r="E285" s="314">
        <v>331000</v>
      </c>
      <c r="F285" s="314">
        <v>0</v>
      </c>
      <c r="G285" s="314">
        <v>0</v>
      </c>
      <c r="H285" s="314">
        <v>0</v>
      </c>
      <c r="I285" s="314">
        <v>0</v>
      </c>
      <c r="J285" s="314">
        <v>0</v>
      </c>
      <c r="K285" s="314">
        <v>0</v>
      </c>
      <c r="L285" s="313">
        <v>0</v>
      </c>
      <c r="M285" s="314">
        <v>0</v>
      </c>
      <c r="N285" s="314">
        <v>0</v>
      </c>
      <c r="O285" s="314">
        <v>0</v>
      </c>
      <c r="P285" s="314">
        <v>0</v>
      </c>
      <c r="Q285" s="314">
        <f t="shared" si="4"/>
        <v>0</v>
      </c>
      <c r="R285" s="314">
        <v>0</v>
      </c>
      <c r="S285" s="314">
        <v>0</v>
      </c>
      <c r="T285" s="314">
        <v>331000</v>
      </c>
    </row>
    <row r="286" spans="1:20" x14ac:dyDescent="0.25">
      <c r="A286" t="s">
        <v>1534</v>
      </c>
      <c r="B286" t="s">
        <v>1533</v>
      </c>
      <c r="C286">
        <v>8477576</v>
      </c>
      <c r="D286">
        <v>2019</v>
      </c>
      <c r="E286" s="314">
        <v>150000</v>
      </c>
      <c r="F286" s="314">
        <v>0</v>
      </c>
      <c r="G286" s="314">
        <v>0</v>
      </c>
      <c r="H286" s="314">
        <v>0</v>
      </c>
      <c r="I286" s="314">
        <v>9555770</v>
      </c>
      <c r="J286" s="314">
        <v>0</v>
      </c>
      <c r="K286" s="314">
        <v>0</v>
      </c>
      <c r="L286" s="313">
        <v>0</v>
      </c>
      <c r="M286" s="314">
        <v>0</v>
      </c>
      <c r="N286" s="314">
        <v>0</v>
      </c>
      <c r="O286" s="314">
        <v>0</v>
      </c>
      <c r="P286" s="314">
        <v>0</v>
      </c>
      <c r="Q286" s="314">
        <f t="shared" si="4"/>
        <v>0</v>
      </c>
      <c r="R286" s="314">
        <v>1304586</v>
      </c>
      <c r="S286" s="314">
        <v>942200</v>
      </c>
      <c r="T286" s="314">
        <v>11952556</v>
      </c>
    </row>
    <row r="287" spans="1:20" x14ac:dyDescent="0.25">
      <c r="A287" t="s">
        <v>831</v>
      </c>
      <c r="B287" t="s">
        <v>826</v>
      </c>
      <c r="C287">
        <v>7235281</v>
      </c>
      <c r="D287">
        <v>2019</v>
      </c>
      <c r="E287" s="314">
        <v>271401</v>
      </c>
      <c r="F287" s="314">
        <v>0</v>
      </c>
      <c r="G287" s="314">
        <v>0</v>
      </c>
      <c r="H287" s="314">
        <v>0</v>
      </c>
      <c r="I287" s="314">
        <v>0</v>
      </c>
      <c r="J287" s="314">
        <v>0</v>
      </c>
      <c r="K287" s="314">
        <v>0</v>
      </c>
      <c r="L287" s="313">
        <v>0</v>
      </c>
      <c r="M287" s="314">
        <v>0</v>
      </c>
      <c r="N287" s="314">
        <v>0</v>
      </c>
      <c r="O287" s="314">
        <v>0</v>
      </c>
      <c r="P287" s="314">
        <v>0</v>
      </c>
      <c r="Q287" s="314">
        <f t="shared" si="4"/>
        <v>0</v>
      </c>
      <c r="R287" s="314">
        <v>0</v>
      </c>
      <c r="S287" s="314">
        <v>0</v>
      </c>
      <c r="T287" s="314">
        <v>271401</v>
      </c>
    </row>
    <row r="288" spans="1:20" x14ac:dyDescent="0.25">
      <c r="A288" t="s">
        <v>814</v>
      </c>
      <c r="B288" t="s">
        <v>812</v>
      </c>
      <c r="C288">
        <v>8891712</v>
      </c>
      <c r="D288">
        <v>2019</v>
      </c>
      <c r="E288" s="314">
        <v>0</v>
      </c>
      <c r="F288" s="314">
        <v>0</v>
      </c>
      <c r="G288" s="314">
        <v>0</v>
      </c>
      <c r="H288" s="314">
        <v>0</v>
      </c>
      <c r="I288" s="314">
        <v>0</v>
      </c>
      <c r="J288" s="314">
        <v>0</v>
      </c>
      <c r="K288" s="314">
        <v>0</v>
      </c>
      <c r="L288" s="313">
        <v>0</v>
      </c>
      <c r="M288" s="314">
        <v>0</v>
      </c>
      <c r="N288" s="314">
        <v>0</v>
      </c>
      <c r="O288" s="314">
        <v>0</v>
      </c>
      <c r="P288" s="314">
        <v>0</v>
      </c>
      <c r="Q288" s="314">
        <f t="shared" si="4"/>
        <v>0</v>
      </c>
      <c r="R288" s="314">
        <v>0</v>
      </c>
      <c r="S288" s="314">
        <v>0</v>
      </c>
      <c r="T288" s="314">
        <v>0</v>
      </c>
    </row>
    <row r="289" spans="5:20" x14ac:dyDescent="0.25">
      <c r="E289" s="314">
        <v>45703882</v>
      </c>
      <c r="F289" s="314">
        <v>6631950.8600000003</v>
      </c>
      <c r="G289" s="314">
        <v>0</v>
      </c>
      <c r="H289" s="314">
        <v>880403290</v>
      </c>
      <c r="I289" s="314">
        <v>56778595</v>
      </c>
      <c r="J289" s="314">
        <v>148956342.56</v>
      </c>
      <c r="K289" s="314">
        <v>61923175.770000003</v>
      </c>
      <c r="L289" s="314">
        <v>6230386</v>
      </c>
      <c r="M289" s="314">
        <v>0</v>
      </c>
      <c r="N289" s="314">
        <v>989703</v>
      </c>
      <c r="O289" s="314">
        <v>5985293.54</v>
      </c>
      <c r="P289" s="314">
        <v>153842930.75999999</v>
      </c>
      <c r="Q289" s="314">
        <f>SUM(Q3:Q288)</f>
        <v>159828224.30000001</v>
      </c>
      <c r="R289" s="314">
        <v>10444048.5</v>
      </c>
      <c r="S289" s="356">
        <f>SUM(S3:S288)</f>
        <v>9269739.4100000001</v>
      </c>
      <c r="T289" s="356">
        <f>SUM(T3:T288)</f>
        <v>1387159337.4000001</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Q187"/>
  <sheetViews>
    <sheetView zoomScale="85" zoomScaleNormal="85" workbookViewId="0">
      <pane xSplit="2" ySplit="9" topLeftCell="IN140" activePane="bottomRight" state="frozen"/>
      <selection pane="topRight" activeCell="C1" sqref="C1"/>
      <selection pane="bottomLeft" activeCell="A10" sqref="A10"/>
      <selection pane="bottomRight" activeCell="IZ160" sqref="IZ160"/>
    </sheetView>
  </sheetViews>
  <sheetFormatPr defaultColWidth="9.28515625" defaultRowHeight="15" x14ac:dyDescent="0.25"/>
  <cols>
    <col min="1" max="1" width="6.140625" style="313" customWidth="1"/>
    <col min="2" max="2" width="34.5703125" style="313" customWidth="1"/>
    <col min="3" max="11" width="11.140625" style="313" customWidth="1"/>
    <col min="12" max="12" width="14.28515625" style="313" customWidth="1"/>
    <col min="13" max="107" width="11.140625" style="313" customWidth="1"/>
    <col min="108" max="108" width="12.5703125" style="313" customWidth="1"/>
    <col min="109" max="114" width="11.140625" style="313" customWidth="1"/>
    <col min="115" max="115" width="12.140625" style="313" customWidth="1"/>
    <col min="116" max="121" width="11.140625" style="313" customWidth="1"/>
    <col min="122" max="122" width="12.5703125" style="313" customWidth="1"/>
    <col min="123" max="152" width="11.140625" style="313" customWidth="1"/>
    <col min="153" max="153" width="13.85546875" style="313" customWidth="1"/>
    <col min="154" max="242" width="11.140625" style="313" customWidth="1"/>
    <col min="243" max="243" width="11.85546875" style="313" customWidth="1"/>
    <col min="244" max="264" width="11.140625" style="313" customWidth="1"/>
    <col min="265" max="265" width="13.85546875" style="313" customWidth="1"/>
    <col min="266" max="266" width="14.28515625" style="313" customWidth="1"/>
    <col min="267" max="267" width="13.140625" style="313" customWidth="1"/>
    <col min="268" max="268" width="11.140625" style="313" customWidth="1"/>
    <col min="269" max="269" width="15.28515625" style="313" customWidth="1"/>
    <col min="270" max="271" width="15.7109375" style="263" customWidth="1"/>
    <col min="272" max="275" width="13.7109375" style="263" customWidth="1"/>
    <col min="276" max="276" width="16.5703125" style="263" customWidth="1"/>
    <col min="277" max="16384" width="9.28515625" style="263"/>
  </cols>
  <sheetData>
    <row r="1" spans="1:276" x14ac:dyDescent="0.25">
      <c r="B1" s="729">
        <f>JI155</f>
        <v>960818679</v>
      </c>
      <c r="C1" s="311">
        <v>1665958</v>
      </c>
      <c r="D1" s="311">
        <v>8982230</v>
      </c>
      <c r="E1" s="311">
        <v>3135426</v>
      </c>
      <c r="F1" s="311">
        <v>6152074</v>
      </c>
      <c r="G1" s="311">
        <v>3673053</v>
      </c>
      <c r="H1" s="311">
        <v>7365832</v>
      </c>
      <c r="I1" s="311">
        <v>9767213</v>
      </c>
      <c r="J1" s="311">
        <v>4885366</v>
      </c>
      <c r="K1" s="311">
        <v>1758706</v>
      </c>
      <c r="L1" s="311">
        <v>3346325</v>
      </c>
      <c r="M1" s="311">
        <v>2039109</v>
      </c>
      <c r="N1" s="863">
        <v>5020855</v>
      </c>
      <c r="O1" s="311">
        <v>6565086</v>
      </c>
      <c r="P1" s="311">
        <v>6630553</v>
      </c>
      <c r="Q1" s="311">
        <v>8615860</v>
      </c>
      <c r="R1" s="311">
        <v>4309907</v>
      </c>
      <c r="S1" s="311">
        <v>5792625</v>
      </c>
      <c r="T1" s="311">
        <v>6191102</v>
      </c>
      <c r="U1" s="311">
        <v>9684449</v>
      </c>
      <c r="V1" s="311">
        <v>9735411</v>
      </c>
      <c r="W1" s="311">
        <v>7268793</v>
      </c>
      <c r="X1" s="311">
        <v>2333254</v>
      </c>
      <c r="Y1" s="311">
        <v>9223411</v>
      </c>
      <c r="Z1" s="311">
        <v>9264829</v>
      </c>
      <c r="AA1" s="311">
        <v>8946698</v>
      </c>
      <c r="AB1" s="311">
        <v>1806042</v>
      </c>
      <c r="AC1" s="671">
        <v>8090757</v>
      </c>
      <c r="AD1" s="311">
        <v>6447139</v>
      </c>
      <c r="AE1" s="311">
        <v>6361701</v>
      </c>
      <c r="AF1" s="311">
        <v>7790627</v>
      </c>
      <c r="AG1" s="323">
        <v>1008575</v>
      </c>
      <c r="AH1" s="311">
        <v>1567065</v>
      </c>
      <c r="AI1" s="311">
        <v>7857005</v>
      </c>
      <c r="AJ1" s="311">
        <v>8936486</v>
      </c>
      <c r="AK1" s="311">
        <v>5646573</v>
      </c>
      <c r="AL1" s="311">
        <v>8382823</v>
      </c>
      <c r="AM1" s="311">
        <v>2583952</v>
      </c>
      <c r="AN1" s="311">
        <v>1494293</v>
      </c>
      <c r="AO1" s="311">
        <v>1905494</v>
      </c>
      <c r="AP1" s="311">
        <v>8902089</v>
      </c>
      <c r="AQ1" s="311">
        <v>7634996</v>
      </c>
      <c r="AR1" s="311">
        <v>8289298</v>
      </c>
      <c r="AS1" s="311">
        <v>9503685</v>
      </c>
      <c r="AT1" s="311">
        <v>2392006</v>
      </c>
      <c r="AU1" s="311">
        <v>8102124</v>
      </c>
      <c r="AV1" s="311">
        <v>4526227</v>
      </c>
      <c r="AW1" s="311">
        <v>7653065</v>
      </c>
      <c r="AX1" s="311">
        <v>1441233</v>
      </c>
      <c r="AY1" s="311">
        <v>1961902</v>
      </c>
      <c r="AZ1" s="311">
        <v>2499134</v>
      </c>
      <c r="BA1" s="311">
        <v>7566271</v>
      </c>
      <c r="BB1" s="311">
        <v>9608144</v>
      </c>
      <c r="BC1" s="311">
        <v>8365172</v>
      </c>
      <c r="BD1" s="311">
        <v>8299792</v>
      </c>
      <c r="BE1" s="311">
        <v>5943218</v>
      </c>
      <c r="BF1" s="311">
        <v>1201932</v>
      </c>
      <c r="BG1" s="311">
        <v>5814347</v>
      </c>
      <c r="BH1" s="311">
        <v>1537615</v>
      </c>
      <c r="BI1" s="311">
        <v>9328941</v>
      </c>
      <c r="BJ1" s="311">
        <v>2540162</v>
      </c>
      <c r="BK1" s="311">
        <v>2390992</v>
      </c>
      <c r="BL1" s="316">
        <v>4335979</v>
      </c>
      <c r="BM1" s="311">
        <v>3054253</v>
      </c>
      <c r="BN1" s="311">
        <v>5133257</v>
      </c>
      <c r="BO1" s="311">
        <v>2757263</v>
      </c>
      <c r="BP1" s="311">
        <v>6684022</v>
      </c>
      <c r="BQ1" s="311">
        <v>7381195</v>
      </c>
      <c r="BR1" s="311">
        <v>3040542</v>
      </c>
      <c r="BS1" s="311">
        <v>8849001</v>
      </c>
      <c r="BT1" s="311">
        <v>8984742</v>
      </c>
      <c r="BU1" s="311">
        <v>9097155</v>
      </c>
      <c r="BV1" s="311">
        <v>2189349</v>
      </c>
      <c r="BW1" s="311">
        <v>6466112</v>
      </c>
      <c r="BX1" s="311">
        <v>2028356</v>
      </c>
      <c r="BY1" s="311">
        <v>7741294</v>
      </c>
      <c r="BZ1" s="311">
        <v>5947102</v>
      </c>
      <c r="CA1" s="311" t="s">
        <v>2581</v>
      </c>
      <c r="CB1" s="311">
        <v>6627771</v>
      </c>
      <c r="CC1" s="311">
        <v>2886510</v>
      </c>
      <c r="CD1" s="311">
        <v>5903063</v>
      </c>
      <c r="CE1" s="311">
        <v>5376966</v>
      </c>
      <c r="CF1" s="311">
        <v>1840658</v>
      </c>
      <c r="CG1" s="311">
        <v>1236570</v>
      </c>
      <c r="CH1" s="311">
        <v>4699567</v>
      </c>
      <c r="CI1" s="311">
        <v>6585534</v>
      </c>
      <c r="CJ1" s="311">
        <v>7832444</v>
      </c>
      <c r="CK1" s="311">
        <v>1968420</v>
      </c>
      <c r="CL1" s="311">
        <v>2813024</v>
      </c>
      <c r="CM1" s="311">
        <v>9554713</v>
      </c>
      <c r="CN1" s="311">
        <v>1738957</v>
      </c>
      <c r="CO1" s="311">
        <v>2315315</v>
      </c>
      <c r="CP1" s="311">
        <v>6607461</v>
      </c>
      <c r="CQ1" s="311">
        <v>1907533</v>
      </c>
      <c r="CR1" s="311">
        <v>6161785</v>
      </c>
      <c r="CS1" s="311">
        <v>8891712</v>
      </c>
      <c r="CT1" s="311">
        <v>9064643</v>
      </c>
      <c r="CU1" s="311">
        <v>1356155</v>
      </c>
      <c r="CV1" s="311">
        <v>5894253</v>
      </c>
      <c r="CW1" s="311">
        <v>7235281</v>
      </c>
      <c r="CX1" s="311">
        <v>7459230</v>
      </c>
      <c r="CY1" s="311">
        <v>3110951</v>
      </c>
      <c r="CZ1" s="311">
        <v>2788586</v>
      </c>
      <c r="DA1" s="311">
        <v>9142033</v>
      </c>
      <c r="DB1" s="311">
        <v>6698987</v>
      </c>
      <c r="DC1" s="311">
        <v>8350990</v>
      </c>
      <c r="DD1" s="311">
        <v>3741470</v>
      </c>
      <c r="DE1" s="311">
        <v>6948137</v>
      </c>
      <c r="DF1" s="311">
        <v>8172268</v>
      </c>
      <c r="DG1" s="311">
        <v>9775815</v>
      </c>
      <c r="DH1" s="311">
        <v>1378201</v>
      </c>
      <c r="DI1" s="311">
        <v>1552469</v>
      </c>
      <c r="DJ1" s="311">
        <v>6473703</v>
      </c>
      <c r="DK1" s="311">
        <v>7805491</v>
      </c>
      <c r="DL1" s="311">
        <v>1826777</v>
      </c>
      <c r="DM1" s="311">
        <v>5991938</v>
      </c>
      <c r="DN1" s="311">
        <v>2174839</v>
      </c>
      <c r="DO1" s="311">
        <v>4659873</v>
      </c>
      <c r="DP1" s="311">
        <v>8411392</v>
      </c>
      <c r="DQ1" s="311">
        <v>4533728</v>
      </c>
      <c r="DR1" s="311">
        <v>9659243</v>
      </c>
      <c r="DS1" s="311">
        <v>6041962</v>
      </c>
      <c r="DT1" s="311">
        <v>8051895</v>
      </c>
      <c r="DU1" s="311">
        <v>7846871</v>
      </c>
      <c r="DV1" s="311">
        <v>5871375</v>
      </c>
      <c r="DW1" s="311">
        <v>7263765</v>
      </c>
      <c r="DX1" s="311">
        <v>3595008</v>
      </c>
      <c r="DY1" s="311">
        <v>1715626</v>
      </c>
      <c r="DZ1" s="311">
        <v>3921078</v>
      </c>
      <c r="EA1" s="311">
        <v>3198258</v>
      </c>
      <c r="EB1" s="311">
        <v>4271738</v>
      </c>
      <c r="EC1" s="311">
        <v>1622964</v>
      </c>
      <c r="ED1" s="311">
        <v>8979890</v>
      </c>
      <c r="EE1" s="311">
        <v>2093343</v>
      </c>
      <c r="EF1" s="311">
        <v>5700178</v>
      </c>
      <c r="EG1" s="311">
        <v>6811251</v>
      </c>
      <c r="EH1" s="311">
        <v>3736692</v>
      </c>
      <c r="EI1" s="311">
        <v>1792038</v>
      </c>
      <c r="EJ1" s="311">
        <v>4373225</v>
      </c>
      <c r="EK1" s="311">
        <v>2495303</v>
      </c>
      <c r="EL1" s="311">
        <v>9268423</v>
      </c>
      <c r="EM1" s="311">
        <v>4497017</v>
      </c>
      <c r="EN1" s="311">
        <v>5369609</v>
      </c>
      <c r="EO1" s="311">
        <v>9223303</v>
      </c>
      <c r="EP1" s="311">
        <v>5539112</v>
      </c>
      <c r="EQ1" s="311">
        <v>7218817</v>
      </c>
      <c r="ER1" s="311">
        <v>1686476</v>
      </c>
      <c r="ES1" s="311">
        <v>9577077</v>
      </c>
      <c r="ET1" s="311">
        <v>6907978</v>
      </c>
      <c r="EU1" s="311">
        <v>5312119</v>
      </c>
      <c r="EV1" s="311">
        <v>4382191</v>
      </c>
      <c r="EW1" s="311">
        <v>3597628</v>
      </c>
      <c r="EX1" s="311">
        <v>7916274</v>
      </c>
      <c r="EY1" s="311">
        <v>4987165</v>
      </c>
      <c r="EZ1" s="311">
        <v>6181040</v>
      </c>
      <c r="FA1" s="311">
        <v>1647194</v>
      </c>
      <c r="FB1" s="311">
        <v>9478716</v>
      </c>
      <c r="FC1" s="311">
        <v>9924639</v>
      </c>
      <c r="FD1" s="311">
        <v>2514714</v>
      </c>
      <c r="FE1" s="311">
        <v>1696009</v>
      </c>
      <c r="FF1" s="311">
        <v>4878719</v>
      </c>
      <c r="FG1" s="311">
        <v>5344327</v>
      </c>
      <c r="FH1" s="311">
        <v>1642854</v>
      </c>
      <c r="FI1" s="311">
        <v>8635813</v>
      </c>
      <c r="FJ1" s="311">
        <v>6232669</v>
      </c>
      <c r="FK1" s="311">
        <v>5175408</v>
      </c>
      <c r="FL1" s="311">
        <v>2015983</v>
      </c>
      <c r="FM1" s="311">
        <v>6428468</v>
      </c>
      <c r="FN1" s="311">
        <v>1225073</v>
      </c>
      <c r="FO1" s="311">
        <v>9459250</v>
      </c>
      <c r="FP1" s="311">
        <v>4381530</v>
      </c>
      <c r="FQ1" s="311">
        <v>5703553</v>
      </c>
      <c r="FR1" s="311">
        <v>7190506</v>
      </c>
      <c r="FS1" s="311">
        <v>4720531</v>
      </c>
      <c r="FT1" s="323">
        <v>1172890</v>
      </c>
      <c r="FU1" s="311">
        <v>4531517</v>
      </c>
      <c r="FV1" s="311">
        <v>9196018</v>
      </c>
      <c r="FW1" s="311">
        <v>7702105</v>
      </c>
      <c r="FX1" s="311">
        <v>1671513</v>
      </c>
      <c r="FY1" s="311">
        <v>5141443</v>
      </c>
      <c r="FZ1" s="311">
        <v>7259548</v>
      </c>
      <c r="GA1" s="311">
        <v>3357963</v>
      </c>
      <c r="GB1" s="311">
        <v>1817339</v>
      </c>
      <c r="GC1" s="311">
        <v>3095940</v>
      </c>
      <c r="GD1" s="323">
        <v>1109434</v>
      </c>
      <c r="GE1" s="311">
        <v>3994122</v>
      </c>
      <c r="GF1" s="311">
        <v>9940787</v>
      </c>
      <c r="GG1" s="311">
        <v>4075651</v>
      </c>
      <c r="GH1" s="311">
        <v>2506443</v>
      </c>
      <c r="GI1" s="311">
        <v>4782003</v>
      </c>
      <c r="GJ1" s="311">
        <v>9199716</v>
      </c>
      <c r="GK1" s="311">
        <v>6749255</v>
      </c>
      <c r="GL1" s="311">
        <v>4547815</v>
      </c>
      <c r="GM1" s="311">
        <v>6989404</v>
      </c>
      <c r="GN1" s="311">
        <v>1272659</v>
      </c>
      <c r="GO1" s="311">
        <v>3619533</v>
      </c>
      <c r="GP1" s="311">
        <v>9949795</v>
      </c>
      <c r="GQ1" s="311">
        <v>1514566</v>
      </c>
      <c r="GR1" s="311">
        <v>4936413</v>
      </c>
      <c r="GS1" s="311">
        <v>8522302</v>
      </c>
      <c r="GT1" s="311">
        <v>7201840</v>
      </c>
      <c r="GU1" s="311">
        <v>5599785</v>
      </c>
      <c r="GV1" s="311">
        <v>4396482</v>
      </c>
      <c r="GW1" s="311">
        <v>2946425</v>
      </c>
      <c r="GX1" s="311">
        <v>6697882</v>
      </c>
      <c r="GY1" s="311">
        <v>9688838</v>
      </c>
      <c r="GZ1" s="311">
        <v>5755112</v>
      </c>
      <c r="HA1" s="311">
        <v>4383860</v>
      </c>
      <c r="HB1" s="311">
        <v>5173305</v>
      </c>
      <c r="HC1" s="311">
        <v>2125600</v>
      </c>
      <c r="HD1" s="311">
        <v>7399132</v>
      </c>
      <c r="HE1" s="311">
        <v>8877013</v>
      </c>
      <c r="HF1" s="311">
        <v>5204562</v>
      </c>
      <c r="HG1" s="311">
        <v>2813433</v>
      </c>
      <c r="HH1" s="311">
        <v>9666094</v>
      </c>
      <c r="HI1" s="311">
        <v>3810187</v>
      </c>
      <c r="HJ1" s="311">
        <v>5945407</v>
      </c>
      <c r="HK1" s="311">
        <v>9583114</v>
      </c>
      <c r="HL1" s="311">
        <v>5000179</v>
      </c>
      <c r="HM1" s="311">
        <v>8504548</v>
      </c>
      <c r="HN1" s="311">
        <v>6163071</v>
      </c>
      <c r="HO1" s="311">
        <v>3650770</v>
      </c>
      <c r="HP1" s="311">
        <v>4721932</v>
      </c>
      <c r="HQ1" s="311">
        <v>3446957</v>
      </c>
      <c r="HR1" s="311">
        <v>3473171</v>
      </c>
      <c r="HS1" s="311">
        <v>6514817</v>
      </c>
      <c r="HT1" s="311">
        <v>5651221</v>
      </c>
      <c r="HU1" s="311">
        <v>1450637</v>
      </c>
      <c r="HV1" s="311">
        <v>6581899</v>
      </c>
      <c r="HW1" s="311">
        <v>2837121</v>
      </c>
      <c r="HX1" s="311">
        <v>3754207</v>
      </c>
      <c r="HY1" s="311">
        <v>4753225</v>
      </c>
      <c r="HZ1" s="311">
        <v>5040302</v>
      </c>
      <c r="IA1" s="311">
        <v>3943362</v>
      </c>
      <c r="IB1" s="311">
        <v>2749776</v>
      </c>
      <c r="IC1" s="311">
        <v>8508078</v>
      </c>
      <c r="ID1" s="311">
        <v>1991772</v>
      </c>
      <c r="IE1" s="311">
        <v>2801353</v>
      </c>
      <c r="IF1" s="311">
        <v>9593192</v>
      </c>
      <c r="IG1" s="311">
        <v>7663376</v>
      </c>
      <c r="IH1" s="311">
        <v>8338145</v>
      </c>
      <c r="II1" s="311">
        <v>5220717</v>
      </c>
      <c r="IJ1" s="311">
        <v>4382500</v>
      </c>
      <c r="IK1" s="311">
        <v>7384495</v>
      </c>
      <c r="IL1" s="311">
        <v>1872907</v>
      </c>
      <c r="IM1" s="311">
        <v>1878615</v>
      </c>
      <c r="IN1" s="311">
        <v>6565956</v>
      </c>
      <c r="IO1" s="311">
        <v>9924037</v>
      </c>
      <c r="IP1" s="311">
        <v>9445282</v>
      </c>
      <c r="IQ1" s="311">
        <v>3713907</v>
      </c>
      <c r="IR1" s="311">
        <v>4007320</v>
      </c>
      <c r="IS1" s="311">
        <v>7630615</v>
      </c>
      <c r="IT1" s="311">
        <v>5804478</v>
      </c>
      <c r="IU1" s="311">
        <v>7071797</v>
      </c>
      <c r="IV1" s="311">
        <v>3529182</v>
      </c>
      <c r="IW1" s="311">
        <v>5638901</v>
      </c>
      <c r="IX1" s="311">
        <v>1576566</v>
      </c>
      <c r="IY1" s="311">
        <v>6945387</v>
      </c>
      <c r="IZ1" s="311">
        <v>5869239</v>
      </c>
      <c r="JA1" s="311">
        <v>8314639</v>
      </c>
      <c r="JB1" s="311">
        <v>9870958</v>
      </c>
      <c r="JC1" s="311">
        <v>5922905</v>
      </c>
      <c r="JD1" s="311">
        <v>9379121</v>
      </c>
      <c r="JE1" s="311">
        <v>6375207</v>
      </c>
      <c r="JF1" s="311">
        <v>1546097</v>
      </c>
      <c r="JG1" s="311">
        <v>2089762</v>
      </c>
      <c r="JH1" s="311">
        <v>8430922</v>
      </c>
      <c r="JI1" s="505">
        <f>'Zdroje 2019 a 2020'!H3</f>
        <v>947856000</v>
      </c>
    </row>
    <row r="2" spans="1:276" x14ac:dyDescent="0.25">
      <c r="B2" s="730">
        <f>JI154</f>
        <v>960818679</v>
      </c>
      <c r="C2" s="315" t="s">
        <v>470</v>
      </c>
      <c r="D2" s="315" t="s">
        <v>959</v>
      </c>
      <c r="E2" s="315" t="s">
        <v>1007</v>
      </c>
      <c r="F2" s="315" t="s">
        <v>226</v>
      </c>
      <c r="G2" s="315" t="s">
        <v>219</v>
      </c>
      <c r="H2" s="315" t="s">
        <v>231</v>
      </c>
      <c r="I2" s="315" t="s">
        <v>236</v>
      </c>
      <c r="J2" s="315" t="s">
        <v>1488</v>
      </c>
      <c r="K2" s="315" t="s">
        <v>1465</v>
      </c>
      <c r="L2" s="315" t="s">
        <v>1373</v>
      </c>
      <c r="M2" s="315" t="s">
        <v>1130</v>
      </c>
      <c r="N2" s="266" t="s">
        <v>1130</v>
      </c>
      <c r="O2" s="315" t="s">
        <v>294</v>
      </c>
      <c r="P2" s="315" t="s">
        <v>294</v>
      </c>
      <c r="Q2" s="315" t="s">
        <v>931</v>
      </c>
      <c r="R2" s="315" t="s">
        <v>314</v>
      </c>
      <c r="S2" s="315" t="s">
        <v>318</v>
      </c>
      <c r="T2" s="315" t="s">
        <v>1095</v>
      </c>
      <c r="U2" s="315" t="s">
        <v>327</v>
      </c>
      <c r="V2" s="315" t="s">
        <v>386</v>
      </c>
      <c r="W2" s="315" t="s">
        <v>1299</v>
      </c>
      <c r="X2" s="315" t="s">
        <v>1287</v>
      </c>
      <c r="Y2" s="315" t="s">
        <v>358</v>
      </c>
      <c r="Z2" s="315" t="s">
        <v>358</v>
      </c>
      <c r="AA2" s="315" t="s">
        <v>372</v>
      </c>
      <c r="AB2" s="315" t="s">
        <v>225</v>
      </c>
      <c r="AC2" s="579" t="str">
        <f>'žádosti MPSV 2020'!I44</f>
        <v>Centrum denních služeb</v>
      </c>
      <c r="AD2" s="315" t="s">
        <v>1375</v>
      </c>
      <c r="AE2" s="315" t="s">
        <v>1438</v>
      </c>
      <c r="AF2" s="315" t="s">
        <v>700</v>
      </c>
      <c r="AG2" s="315" t="s">
        <v>386</v>
      </c>
      <c r="AH2" s="315" t="s">
        <v>1283</v>
      </c>
      <c r="AI2" s="315" t="s">
        <v>1332</v>
      </c>
      <c r="AJ2" s="315" t="s">
        <v>1332</v>
      </c>
      <c r="AK2" s="315" t="s">
        <v>398</v>
      </c>
      <c r="AL2" s="315" t="s">
        <v>1440</v>
      </c>
      <c r="AM2" s="315" t="s">
        <v>407</v>
      </c>
      <c r="AN2" s="315" t="s">
        <v>413</v>
      </c>
      <c r="AO2" s="315" t="s">
        <v>415</v>
      </c>
      <c r="AP2" s="315" t="s">
        <v>377</v>
      </c>
      <c r="AQ2" s="315" t="s">
        <v>1104</v>
      </c>
      <c r="AR2" s="315" t="s">
        <v>1106</v>
      </c>
      <c r="AS2" s="315" t="s">
        <v>1115</v>
      </c>
      <c r="AT2" s="315" t="s">
        <v>377</v>
      </c>
      <c r="AU2" s="315" t="s">
        <v>1418</v>
      </c>
      <c r="AV2" s="315" t="s">
        <v>1433</v>
      </c>
      <c r="AW2" s="315" t="s">
        <v>1457</v>
      </c>
      <c r="AX2" s="315" t="s">
        <v>1251</v>
      </c>
      <c r="AY2" s="315" t="s">
        <v>1251</v>
      </c>
      <c r="AZ2" s="315" t="s">
        <v>1251</v>
      </c>
      <c r="BA2" s="315" t="s">
        <v>1147</v>
      </c>
      <c r="BB2" s="315" t="s">
        <v>1117</v>
      </c>
      <c r="BC2" s="315" t="s">
        <v>1378</v>
      </c>
      <c r="BD2" s="315" t="s">
        <v>1108</v>
      </c>
      <c r="BE2" s="315" t="s">
        <v>585</v>
      </c>
      <c r="BF2" s="315" t="s">
        <v>594</v>
      </c>
      <c r="BG2" s="315" t="s">
        <v>1395</v>
      </c>
      <c r="BH2" s="315" t="s">
        <v>1460</v>
      </c>
      <c r="BI2" s="315" t="s">
        <v>1364</v>
      </c>
      <c r="BJ2" s="315" t="s">
        <v>694</v>
      </c>
      <c r="BK2" s="315" t="s">
        <v>1473</v>
      </c>
      <c r="BL2" s="315" t="s">
        <v>710</v>
      </c>
      <c r="BM2" s="315" t="s">
        <v>1476</v>
      </c>
      <c r="BN2" s="315" t="s">
        <v>725</v>
      </c>
      <c r="BO2" s="315" t="s">
        <v>721</v>
      </c>
      <c r="BP2" s="315" t="s">
        <v>1296</v>
      </c>
      <c r="BQ2" s="315" t="s">
        <v>731</v>
      </c>
      <c r="BR2" s="315" t="s">
        <v>735</v>
      </c>
      <c r="BS2" s="315" t="s">
        <v>740</v>
      </c>
      <c r="BT2" s="315" t="s">
        <v>744</v>
      </c>
      <c r="BU2" s="315" t="s">
        <v>1219</v>
      </c>
      <c r="BV2" s="315" t="s">
        <v>753</v>
      </c>
      <c r="BW2" s="315" t="s">
        <v>760</v>
      </c>
      <c r="BX2" s="315" t="s">
        <v>1179</v>
      </c>
      <c r="BY2" s="315" t="s">
        <v>772</v>
      </c>
      <c r="BZ2" s="315" t="s">
        <v>760</v>
      </c>
      <c r="CA2" s="315" t="s">
        <v>389</v>
      </c>
      <c r="CB2" s="315" t="s">
        <v>1355</v>
      </c>
      <c r="CC2" s="315" t="s">
        <v>1075</v>
      </c>
      <c r="CD2" s="315" t="s">
        <v>1092</v>
      </c>
      <c r="CE2" s="315" t="s">
        <v>1200</v>
      </c>
      <c r="CF2" s="315" t="s">
        <v>780</v>
      </c>
      <c r="CG2" s="315" t="s">
        <v>1383</v>
      </c>
      <c r="CH2" s="315" t="s">
        <v>1388</v>
      </c>
      <c r="CI2" s="315" t="s">
        <v>1401</v>
      </c>
      <c r="CJ2" s="315" t="s">
        <v>1388</v>
      </c>
      <c r="CK2" s="315" t="s">
        <v>1388</v>
      </c>
      <c r="CL2" s="315" t="s">
        <v>1388</v>
      </c>
      <c r="CM2" s="315" t="s">
        <v>792</v>
      </c>
      <c r="CN2" s="315" t="s">
        <v>1406</v>
      </c>
      <c r="CO2" s="315" t="s">
        <v>1411</v>
      </c>
      <c r="CP2" s="315" t="s">
        <v>810</v>
      </c>
      <c r="CQ2" s="315" t="s">
        <v>379</v>
      </c>
      <c r="CR2" s="315" t="s">
        <v>1204</v>
      </c>
      <c r="CS2" s="315" t="s">
        <v>814</v>
      </c>
      <c r="CT2" s="315" t="s">
        <v>818</v>
      </c>
      <c r="CU2" s="315" t="s">
        <v>1166</v>
      </c>
      <c r="CV2" s="315" t="s">
        <v>1328</v>
      </c>
      <c r="CW2" s="315" t="s">
        <v>831</v>
      </c>
      <c r="CX2" s="315" t="s">
        <v>377</v>
      </c>
      <c r="CY2" s="315" t="s">
        <v>829</v>
      </c>
      <c r="CZ2" s="315" t="s">
        <v>828</v>
      </c>
      <c r="DA2" s="315" t="s">
        <v>1362</v>
      </c>
      <c r="DB2" s="315" t="s">
        <v>844</v>
      </c>
      <c r="DC2" s="315" t="s">
        <v>846</v>
      </c>
      <c r="DD2" s="315" t="s">
        <v>1482</v>
      </c>
      <c r="DE2" s="315" t="s">
        <v>1495</v>
      </c>
      <c r="DF2" s="315" t="s">
        <v>1504</v>
      </c>
      <c r="DG2" s="315" t="s">
        <v>873</v>
      </c>
      <c r="DH2" s="315" t="s">
        <v>877</v>
      </c>
      <c r="DI2" s="315" t="s">
        <v>878</v>
      </c>
      <c r="DJ2" s="315" t="s">
        <v>1493</v>
      </c>
      <c r="DK2" s="315" t="s">
        <v>881</v>
      </c>
      <c r="DL2" s="315" t="s">
        <v>1176</v>
      </c>
      <c r="DM2" s="315" t="s">
        <v>377</v>
      </c>
      <c r="DN2" s="315" t="s">
        <v>899</v>
      </c>
      <c r="DO2" s="315" t="s">
        <v>905</v>
      </c>
      <c r="DP2" s="315" t="s">
        <v>1421</v>
      </c>
      <c r="DQ2" s="315" t="s">
        <v>911</v>
      </c>
      <c r="DR2" s="315" t="s">
        <v>918</v>
      </c>
      <c r="DS2" s="315" t="s">
        <v>1294</v>
      </c>
      <c r="DT2" s="315" t="s">
        <v>1357</v>
      </c>
      <c r="DU2" s="315" t="s">
        <v>1246</v>
      </c>
      <c r="DV2" s="315" t="s">
        <v>1351</v>
      </c>
      <c r="DW2" s="315" t="s">
        <v>1455</v>
      </c>
      <c r="DX2" s="315" t="s">
        <v>1479</v>
      </c>
      <c r="DY2" s="315" t="s">
        <v>962</v>
      </c>
      <c r="DZ2" s="315" t="s">
        <v>962</v>
      </c>
      <c r="EA2" s="315" t="s">
        <v>965</v>
      </c>
      <c r="EB2" s="315" t="s">
        <v>1140</v>
      </c>
      <c r="EC2" s="315" t="s">
        <v>684</v>
      </c>
      <c r="ED2" s="315" t="s">
        <v>389</v>
      </c>
      <c r="EE2" s="315" t="s">
        <v>1066</v>
      </c>
      <c r="EF2" s="315" t="s">
        <v>1066</v>
      </c>
      <c r="EG2" s="315" t="s">
        <v>1066</v>
      </c>
      <c r="EH2" s="315" t="s">
        <v>1239</v>
      </c>
      <c r="EI2" s="315" t="s">
        <v>1448</v>
      </c>
      <c r="EJ2" s="315" t="s">
        <v>1485</v>
      </c>
      <c r="EK2" s="315" t="s">
        <v>1010</v>
      </c>
      <c r="EL2" s="315" t="s">
        <v>1010</v>
      </c>
      <c r="EM2" s="315" t="s">
        <v>1010</v>
      </c>
      <c r="EN2" s="315" t="s">
        <v>1020</v>
      </c>
      <c r="EO2" s="315" t="s">
        <v>1112</v>
      </c>
      <c r="EP2" s="315" t="s">
        <v>1113</v>
      </c>
      <c r="EQ2" s="315" t="s">
        <v>1112</v>
      </c>
      <c r="ER2" s="315" t="s">
        <v>386</v>
      </c>
      <c r="ES2" s="315" t="s">
        <v>1035</v>
      </c>
      <c r="ET2" s="315" t="s">
        <v>1267</v>
      </c>
      <c r="EU2" s="315" t="s">
        <v>1309</v>
      </c>
      <c r="EV2" s="315" t="s">
        <v>1082</v>
      </c>
      <c r="EW2" s="315" t="s">
        <v>386</v>
      </c>
      <c r="EX2" s="315" t="s">
        <v>390</v>
      </c>
      <c r="EY2" s="315" t="s">
        <v>1436</v>
      </c>
      <c r="EZ2" s="315" t="s">
        <v>605</v>
      </c>
      <c r="FA2" s="315" t="s">
        <v>608</v>
      </c>
      <c r="FB2" s="315" t="s">
        <v>940</v>
      </c>
      <c r="FC2" s="315" t="s">
        <v>857</v>
      </c>
      <c r="FD2" s="315" t="s">
        <v>860</v>
      </c>
      <c r="FE2" s="315" t="s">
        <v>859</v>
      </c>
      <c r="FF2" s="315" t="s">
        <v>942</v>
      </c>
      <c r="FG2" s="315" t="s">
        <v>942</v>
      </c>
      <c r="FH2" s="315" t="s">
        <v>942</v>
      </c>
      <c r="FI2" s="315" t="s">
        <v>493</v>
      </c>
      <c r="FJ2" s="315" t="s">
        <v>1208</v>
      </c>
      <c r="FK2" s="315" t="s">
        <v>977</v>
      </c>
      <c r="FL2" s="315" t="s">
        <v>977</v>
      </c>
      <c r="FM2" s="315" t="s">
        <v>1210</v>
      </c>
      <c r="FN2" s="315" t="s">
        <v>1163</v>
      </c>
      <c r="FO2" s="315" t="s">
        <v>1304</v>
      </c>
      <c r="FP2" s="315" t="s">
        <v>390</v>
      </c>
      <c r="FQ2" s="315" t="s">
        <v>769</v>
      </c>
      <c r="FR2" s="315" t="s">
        <v>1391</v>
      </c>
      <c r="FS2" s="315" t="s">
        <v>859</v>
      </c>
      <c r="FT2" s="315" t="s">
        <v>620</v>
      </c>
      <c r="FU2" s="315" t="s">
        <v>623</v>
      </c>
      <c r="FV2" s="315" t="s">
        <v>750</v>
      </c>
      <c r="FW2" s="315" t="s">
        <v>386</v>
      </c>
      <c r="FX2" s="315" t="s">
        <v>632</v>
      </c>
      <c r="FY2" s="315" t="s">
        <v>1197</v>
      </c>
      <c r="FZ2" s="315" t="s">
        <v>386</v>
      </c>
      <c r="GA2" s="315" t="s">
        <v>1259</v>
      </c>
      <c r="GB2" s="315" t="s">
        <v>1259</v>
      </c>
      <c r="GC2" s="315" t="s">
        <v>386</v>
      </c>
      <c r="GD2" s="315" t="s">
        <v>390</v>
      </c>
      <c r="GE2" s="315" t="s">
        <v>642</v>
      </c>
      <c r="GF2" s="315" t="s">
        <v>386</v>
      </c>
      <c r="GG2" s="315" t="s">
        <v>684</v>
      </c>
      <c r="GH2" s="315" t="s">
        <v>287</v>
      </c>
      <c r="GI2" s="315" t="s">
        <v>390</v>
      </c>
      <c r="GJ2" s="315" t="s">
        <v>1222</v>
      </c>
      <c r="GK2" s="315" t="s">
        <v>1264</v>
      </c>
      <c r="GL2" s="315" t="s">
        <v>1279</v>
      </c>
      <c r="GM2" s="315" t="s">
        <v>1416</v>
      </c>
      <c r="GN2" s="315" t="s">
        <v>647</v>
      </c>
      <c r="GO2" s="315" t="s">
        <v>957</v>
      </c>
      <c r="GP2" s="315" t="s">
        <v>692</v>
      </c>
      <c r="GQ2" s="315" t="s">
        <v>1169</v>
      </c>
      <c r="GR2" s="315" t="s">
        <v>657</v>
      </c>
      <c r="GS2" s="315" t="s">
        <v>386</v>
      </c>
      <c r="GT2" s="315" t="s">
        <v>1212</v>
      </c>
      <c r="GU2" s="315" t="s">
        <v>1293</v>
      </c>
      <c r="GV2" s="315" t="s">
        <v>390</v>
      </c>
      <c r="GW2" s="315" t="s">
        <v>546</v>
      </c>
      <c r="GX2" s="315" t="s">
        <v>665</v>
      </c>
      <c r="GY2" s="315" t="s">
        <v>499</v>
      </c>
      <c r="GZ2" s="315" t="s">
        <v>703</v>
      </c>
      <c r="HA2" s="315" t="s">
        <v>864</v>
      </c>
      <c r="HB2" s="315" t="s">
        <v>974</v>
      </c>
      <c r="HC2" s="315" t="s">
        <v>459</v>
      </c>
      <c r="HD2" s="315" t="s">
        <v>576</v>
      </c>
      <c r="HE2" s="315" t="s">
        <v>576</v>
      </c>
      <c r="HF2" s="315" t="s">
        <v>670</v>
      </c>
      <c r="HG2" s="315" t="s">
        <v>668</v>
      </c>
      <c r="HH2" s="315" t="s">
        <v>386</v>
      </c>
      <c r="HI2" s="315" t="s">
        <v>676</v>
      </c>
      <c r="HJ2" s="315" t="s">
        <v>674</v>
      </c>
      <c r="HK2" s="315" t="s">
        <v>868</v>
      </c>
      <c r="HL2" s="315" t="s">
        <v>261</v>
      </c>
      <c r="HM2" s="315" t="s">
        <v>769</v>
      </c>
      <c r="HN2" s="315" t="s">
        <v>1453</v>
      </c>
      <c r="HO2" s="315" t="s">
        <v>257</v>
      </c>
      <c r="HP2" s="315" t="s">
        <v>420</v>
      </c>
      <c r="HQ2" s="315" t="s">
        <v>425</v>
      </c>
      <c r="HR2" s="315" t="s">
        <v>425</v>
      </c>
      <c r="HS2" s="315" t="s">
        <v>769</v>
      </c>
      <c r="HT2" s="315" t="s">
        <v>435</v>
      </c>
      <c r="HU2" s="315" t="s">
        <v>440</v>
      </c>
      <c r="HV2" s="315" t="s">
        <v>444</v>
      </c>
      <c r="HW2" s="315" t="s">
        <v>447</v>
      </c>
      <c r="HX2" s="315" t="s">
        <v>447</v>
      </c>
      <c r="HY2" s="315" t="s">
        <v>453</v>
      </c>
      <c r="HZ2" s="315" t="s">
        <v>456</v>
      </c>
      <c r="IA2" s="315" t="s">
        <v>464</v>
      </c>
      <c r="IB2" s="315" t="s">
        <v>467</v>
      </c>
      <c r="IC2" s="315" t="s">
        <v>472</v>
      </c>
      <c r="ID2" s="315" t="s">
        <v>472</v>
      </c>
      <c r="IE2" s="315" t="s">
        <v>477</v>
      </c>
      <c r="IF2" s="315" t="s">
        <v>480</v>
      </c>
      <c r="IG2" s="315" t="s">
        <v>393</v>
      </c>
      <c r="IH2" s="315" t="s">
        <v>485</v>
      </c>
      <c r="II2" s="315" t="s">
        <v>485</v>
      </c>
      <c r="IJ2" s="315" t="s">
        <v>485</v>
      </c>
      <c r="IK2" s="315" t="s">
        <v>485</v>
      </c>
      <c r="IL2" s="315" t="s">
        <v>496</v>
      </c>
      <c r="IM2" s="315" t="s">
        <v>502</v>
      </c>
      <c r="IN2" s="315" t="s">
        <v>502</v>
      </c>
      <c r="IO2" s="315" t="s">
        <v>502</v>
      </c>
      <c r="IP2" s="315" t="s">
        <v>506</v>
      </c>
      <c r="IQ2" s="315" t="s">
        <v>509</v>
      </c>
      <c r="IR2" s="315" t="s">
        <v>509</v>
      </c>
      <c r="IS2" s="315" t="s">
        <v>1331</v>
      </c>
      <c r="IT2" s="315" t="s">
        <v>1343</v>
      </c>
      <c r="IU2" s="315" t="s">
        <v>519</v>
      </c>
      <c r="IV2" s="315" t="s">
        <v>519</v>
      </c>
      <c r="IW2" s="315" t="s">
        <v>519</v>
      </c>
      <c r="IX2" s="315" t="s">
        <v>519</v>
      </c>
      <c r="IY2" s="315" t="s">
        <v>528</v>
      </c>
      <c r="IZ2" s="315" t="s">
        <v>525</v>
      </c>
      <c r="JA2" s="315" t="s">
        <v>931</v>
      </c>
      <c r="JB2" s="315" t="s">
        <v>935</v>
      </c>
      <c r="JC2" s="315" t="s">
        <v>1413</v>
      </c>
      <c r="JD2" s="315" t="s">
        <v>933</v>
      </c>
      <c r="JE2" s="315" t="s">
        <v>997</v>
      </c>
      <c r="JF2" s="315" t="s">
        <v>997</v>
      </c>
      <c r="JG2" s="315" t="s">
        <v>1001</v>
      </c>
      <c r="JH2" s="315" t="s">
        <v>1379</v>
      </c>
    </row>
    <row r="3" spans="1:276" s="581" customFormat="1" ht="42.4" customHeight="1" x14ac:dyDescent="0.2">
      <c r="A3" s="508"/>
      <c r="B3" s="731">
        <f>B2-B1</f>
        <v>0</v>
      </c>
      <c r="C3" s="509" t="s">
        <v>470</v>
      </c>
      <c r="D3" s="509" t="s">
        <v>959</v>
      </c>
      <c r="E3" s="509" t="s">
        <v>1007</v>
      </c>
      <c r="F3" s="509" t="s">
        <v>1145</v>
      </c>
      <c r="G3" s="509" t="s">
        <v>1145</v>
      </c>
      <c r="H3" s="509" t="s">
        <v>1145</v>
      </c>
      <c r="I3" s="509" t="s">
        <v>1145</v>
      </c>
      <c r="J3" s="509" t="s">
        <v>240</v>
      </c>
      <c r="K3" s="509" t="s">
        <v>249</v>
      </c>
      <c r="L3" s="509" t="s">
        <v>1373</v>
      </c>
      <c r="M3" s="509" t="s">
        <v>281</v>
      </c>
      <c r="N3" s="864" t="s">
        <v>281</v>
      </c>
      <c r="O3" s="509" t="s">
        <v>290</v>
      </c>
      <c r="P3" s="509" t="s">
        <v>290</v>
      </c>
      <c r="Q3" s="509" t="s">
        <v>306</v>
      </c>
      <c r="R3" s="509" t="s">
        <v>312</v>
      </c>
      <c r="S3" s="509" t="s">
        <v>312</v>
      </c>
      <c r="T3" s="509" t="s">
        <v>312</v>
      </c>
      <c r="U3" s="509" t="s">
        <v>312</v>
      </c>
      <c r="V3" s="509" t="s">
        <v>312</v>
      </c>
      <c r="W3" s="509" t="s">
        <v>312</v>
      </c>
      <c r="X3" s="509" t="s">
        <v>353</v>
      </c>
      <c r="Y3" s="509" t="s">
        <v>358</v>
      </c>
      <c r="Z3" s="509" t="s">
        <v>358</v>
      </c>
      <c r="AA3" s="509" t="s">
        <v>367</v>
      </c>
      <c r="AB3" s="509" t="s">
        <v>375</v>
      </c>
      <c r="AC3" s="580" t="s">
        <v>375</v>
      </c>
      <c r="AD3" s="509" t="s">
        <v>375</v>
      </c>
      <c r="AE3" s="509" t="s">
        <v>375</v>
      </c>
      <c r="AF3" s="509" t="s">
        <v>375</v>
      </c>
      <c r="AG3" s="509" t="s">
        <v>384</v>
      </c>
      <c r="AH3" s="509" t="s">
        <v>384</v>
      </c>
      <c r="AI3" s="509" t="s">
        <v>384</v>
      </c>
      <c r="AJ3" s="509" t="s">
        <v>384</v>
      </c>
      <c r="AK3" s="509" t="s">
        <v>396</v>
      </c>
      <c r="AL3" s="509" t="s">
        <v>402</v>
      </c>
      <c r="AM3" s="509" t="s">
        <v>1071</v>
      </c>
      <c r="AN3" s="509" t="s">
        <v>411</v>
      </c>
      <c r="AO3" s="509" t="s">
        <v>415</v>
      </c>
      <c r="AP3" s="509" t="s">
        <v>550</v>
      </c>
      <c r="AQ3" s="509" t="s">
        <v>553</v>
      </c>
      <c r="AR3" s="509" t="s">
        <v>553</v>
      </c>
      <c r="AS3" s="509" t="s">
        <v>553</v>
      </c>
      <c r="AT3" s="509" t="s">
        <v>553</v>
      </c>
      <c r="AU3" s="509" t="s">
        <v>553</v>
      </c>
      <c r="AV3" s="509" t="s">
        <v>553</v>
      </c>
      <c r="AW3" s="509" t="s">
        <v>553</v>
      </c>
      <c r="AX3" s="509" t="s">
        <v>568</v>
      </c>
      <c r="AY3" s="509" t="s">
        <v>568</v>
      </c>
      <c r="AZ3" s="509" t="s">
        <v>568</v>
      </c>
      <c r="BA3" s="509" t="s">
        <v>580</v>
      </c>
      <c r="BB3" s="509" t="s">
        <v>1118</v>
      </c>
      <c r="BC3" s="509" t="s">
        <v>1118</v>
      </c>
      <c r="BD3" s="509" t="s">
        <v>585</v>
      </c>
      <c r="BE3" s="509" t="s">
        <v>585</v>
      </c>
      <c r="BF3" s="509" t="s">
        <v>1056</v>
      </c>
      <c r="BG3" s="509" t="s">
        <v>1056</v>
      </c>
      <c r="BH3" s="509" t="s">
        <v>1056</v>
      </c>
      <c r="BI3" s="509" t="s">
        <v>1364</v>
      </c>
      <c r="BJ3" s="509" t="s">
        <v>694</v>
      </c>
      <c r="BK3" s="509" t="s">
        <v>698</v>
      </c>
      <c r="BL3" s="509" t="s">
        <v>708</v>
      </c>
      <c r="BM3" s="509" t="s">
        <v>713</v>
      </c>
      <c r="BN3" s="509" t="s">
        <v>718</v>
      </c>
      <c r="BO3" s="509" t="s">
        <v>718</v>
      </c>
      <c r="BP3" s="509" t="s">
        <v>1297</v>
      </c>
      <c r="BQ3" s="509" t="s">
        <v>1297</v>
      </c>
      <c r="BR3" s="509" t="s">
        <v>733</v>
      </c>
      <c r="BS3" s="509" t="s">
        <v>733</v>
      </c>
      <c r="BT3" s="509" t="s">
        <v>733</v>
      </c>
      <c r="BU3" s="509" t="s">
        <v>753</v>
      </c>
      <c r="BV3" s="509" t="s">
        <v>753</v>
      </c>
      <c r="BW3" s="509" t="s">
        <v>760</v>
      </c>
      <c r="BX3" s="509" t="s">
        <v>760</v>
      </c>
      <c r="BY3" s="509" t="s">
        <v>760</v>
      </c>
      <c r="BZ3" s="509" t="s">
        <v>760</v>
      </c>
      <c r="CA3" s="509" t="s">
        <v>760</v>
      </c>
      <c r="CB3" s="509" t="s">
        <v>760</v>
      </c>
      <c r="CC3" s="509" t="s">
        <v>776</v>
      </c>
      <c r="CD3" s="509" t="s">
        <v>776</v>
      </c>
      <c r="CE3" s="509" t="s">
        <v>776</v>
      </c>
      <c r="CF3" s="509" t="s">
        <v>776</v>
      </c>
      <c r="CG3" s="509" t="s">
        <v>776</v>
      </c>
      <c r="CH3" s="509" t="s">
        <v>776</v>
      </c>
      <c r="CI3" s="509" t="s">
        <v>776</v>
      </c>
      <c r="CJ3" s="509" t="s">
        <v>776</v>
      </c>
      <c r="CK3" s="509" t="s">
        <v>776</v>
      </c>
      <c r="CL3" s="509" t="s">
        <v>776</v>
      </c>
      <c r="CM3" s="509" t="s">
        <v>805</v>
      </c>
      <c r="CN3" s="509" t="s">
        <v>805</v>
      </c>
      <c r="CO3" s="509" t="s">
        <v>805</v>
      </c>
      <c r="CP3" s="509" t="s">
        <v>805</v>
      </c>
      <c r="CQ3" s="509" t="s">
        <v>805</v>
      </c>
      <c r="CR3" s="509" t="s">
        <v>812</v>
      </c>
      <c r="CS3" s="509" t="s">
        <v>812</v>
      </c>
      <c r="CT3" s="509" t="s">
        <v>812</v>
      </c>
      <c r="CU3" s="509" t="s">
        <v>821</v>
      </c>
      <c r="CV3" s="509" t="s">
        <v>821</v>
      </c>
      <c r="CW3" s="509" t="s">
        <v>826</v>
      </c>
      <c r="CX3" s="509" t="s">
        <v>826</v>
      </c>
      <c r="CY3" s="509" t="s">
        <v>826</v>
      </c>
      <c r="CZ3" s="509" t="s">
        <v>826</v>
      </c>
      <c r="DA3" s="509" t="s">
        <v>1362</v>
      </c>
      <c r="DB3" s="509" t="s">
        <v>842</v>
      </c>
      <c r="DC3" s="509" t="s">
        <v>842</v>
      </c>
      <c r="DD3" s="509" t="s">
        <v>849</v>
      </c>
      <c r="DE3" s="509" t="s">
        <v>849</v>
      </c>
      <c r="DF3" s="509" t="s">
        <v>849</v>
      </c>
      <c r="DG3" s="509" t="s">
        <v>871</v>
      </c>
      <c r="DH3" s="509" t="s">
        <v>874</v>
      </c>
      <c r="DI3" s="509" t="s">
        <v>874</v>
      </c>
      <c r="DJ3" s="509" t="s">
        <v>874</v>
      </c>
      <c r="DK3" s="509" t="s">
        <v>874</v>
      </c>
      <c r="DL3" s="509" t="s">
        <v>1176</v>
      </c>
      <c r="DM3" s="509" t="s">
        <v>887</v>
      </c>
      <c r="DN3" s="509" t="s">
        <v>897</v>
      </c>
      <c r="DO3" s="509" t="s">
        <v>902</v>
      </c>
      <c r="DP3" s="509" t="s">
        <v>909</v>
      </c>
      <c r="DQ3" s="509" t="s">
        <v>909</v>
      </c>
      <c r="DR3" s="509" t="s">
        <v>909</v>
      </c>
      <c r="DS3" s="509" t="s">
        <v>922</v>
      </c>
      <c r="DT3" s="509" t="s">
        <v>922</v>
      </c>
      <c r="DU3" s="509" t="s">
        <v>1247</v>
      </c>
      <c r="DV3" s="509" t="s">
        <v>1247</v>
      </c>
      <c r="DW3" s="509" t="s">
        <v>1247</v>
      </c>
      <c r="DX3" s="509" t="s">
        <v>1247</v>
      </c>
      <c r="DY3" s="509" t="s">
        <v>962</v>
      </c>
      <c r="DZ3" s="509" t="s">
        <v>962</v>
      </c>
      <c r="EA3" s="509" t="s">
        <v>965</v>
      </c>
      <c r="EB3" s="509" t="s">
        <v>1141</v>
      </c>
      <c r="EC3" s="509" t="s">
        <v>969</v>
      </c>
      <c r="ED3" s="509" t="s">
        <v>969</v>
      </c>
      <c r="EE3" s="509" t="s">
        <v>1067</v>
      </c>
      <c r="EF3" s="509" t="s">
        <v>1067</v>
      </c>
      <c r="EG3" s="509" t="s">
        <v>1067</v>
      </c>
      <c r="EH3" s="509" t="s">
        <v>1067</v>
      </c>
      <c r="EI3" s="509" t="s">
        <v>1067</v>
      </c>
      <c r="EJ3" s="509" t="s">
        <v>1067</v>
      </c>
      <c r="EK3" s="509" t="s">
        <v>1010</v>
      </c>
      <c r="EL3" s="509" t="s">
        <v>1010</v>
      </c>
      <c r="EM3" s="509" t="s">
        <v>1010</v>
      </c>
      <c r="EN3" s="509" t="s">
        <v>1018</v>
      </c>
      <c r="EO3" s="509" t="s">
        <v>1113</v>
      </c>
      <c r="EP3" s="509" t="s">
        <v>1113</v>
      </c>
      <c r="EQ3" s="509" t="s">
        <v>1113</v>
      </c>
      <c r="ER3" s="509" t="s">
        <v>1175</v>
      </c>
      <c r="ES3" s="509" t="s">
        <v>1175</v>
      </c>
      <c r="ET3" s="509" t="s">
        <v>1268</v>
      </c>
      <c r="EU3" s="509" t="s">
        <v>1268</v>
      </c>
      <c r="EV3" s="509" t="s">
        <v>332</v>
      </c>
      <c r="EW3" s="580" t="s">
        <v>332</v>
      </c>
      <c r="EX3" s="509" t="s">
        <v>332</v>
      </c>
      <c r="EY3" s="509" t="s">
        <v>332</v>
      </c>
      <c r="EZ3" s="509" t="s">
        <v>602</v>
      </c>
      <c r="FA3" s="509" t="s">
        <v>606</v>
      </c>
      <c r="FB3" s="509" t="s">
        <v>940</v>
      </c>
      <c r="FC3" s="580" t="s">
        <v>857</v>
      </c>
      <c r="FD3" s="509" t="s">
        <v>857</v>
      </c>
      <c r="FE3" s="509" t="s">
        <v>857</v>
      </c>
      <c r="FF3" s="509" t="s">
        <v>942</v>
      </c>
      <c r="FG3" s="509" t="s">
        <v>942</v>
      </c>
      <c r="FH3" s="509" t="s">
        <v>942</v>
      </c>
      <c r="FI3" s="509" t="s">
        <v>493</v>
      </c>
      <c r="FJ3" s="509" t="s">
        <v>610</v>
      </c>
      <c r="FK3" s="509" t="s">
        <v>977</v>
      </c>
      <c r="FL3" s="509" t="s">
        <v>977</v>
      </c>
      <c r="FM3" s="509" t="s">
        <v>613</v>
      </c>
      <c r="FN3" s="580" t="s">
        <v>947</v>
      </c>
      <c r="FO3" s="509" t="s">
        <v>947</v>
      </c>
      <c r="FP3" s="580" t="s">
        <v>947</v>
      </c>
      <c r="FQ3" s="509" t="s">
        <v>947</v>
      </c>
      <c r="FR3" s="509" t="s">
        <v>947</v>
      </c>
      <c r="FS3" s="580" t="s">
        <v>947</v>
      </c>
      <c r="FT3" s="509" t="s">
        <v>618</v>
      </c>
      <c r="FU3" s="509" t="s">
        <v>618</v>
      </c>
      <c r="FV3" s="509" t="s">
        <v>748</v>
      </c>
      <c r="FW3" s="509" t="s">
        <v>626</v>
      </c>
      <c r="FX3" s="509" t="s">
        <v>630</v>
      </c>
      <c r="FY3" s="509" t="s">
        <v>636</v>
      </c>
      <c r="FZ3" s="580" t="s">
        <v>678</v>
      </c>
      <c r="GA3" s="580" t="s">
        <v>678</v>
      </c>
      <c r="GB3" s="580" t="s">
        <v>678</v>
      </c>
      <c r="GC3" s="509" t="s">
        <v>1003</v>
      </c>
      <c r="GD3" s="509" t="s">
        <v>1003</v>
      </c>
      <c r="GE3" s="509" t="s">
        <v>640</v>
      </c>
      <c r="GF3" s="509" t="s">
        <v>682</v>
      </c>
      <c r="GG3" s="509" t="s">
        <v>682</v>
      </c>
      <c r="GH3" s="509" t="s">
        <v>682</v>
      </c>
      <c r="GI3" s="509" t="s">
        <v>682</v>
      </c>
      <c r="GJ3" s="509" t="s">
        <v>531</v>
      </c>
      <c r="GK3" s="509" t="s">
        <v>531</v>
      </c>
      <c r="GL3" s="509" t="s">
        <v>531</v>
      </c>
      <c r="GM3" s="509" t="s">
        <v>531</v>
      </c>
      <c r="GN3" s="509" t="s">
        <v>647</v>
      </c>
      <c r="GO3" s="509" t="s">
        <v>955</v>
      </c>
      <c r="GP3" s="509" t="s">
        <v>690</v>
      </c>
      <c r="GQ3" s="509" t="s">
        <v>652</v>
      </c>
      <c r="GR3" s="509" t="s">
        <v>655</v>
      </c>
      <c r="GS3" s="509" t="s">
        <v>661</v>
      </c>
      <c r="GT3" s="580" t="s">
        <v>1213</v>
      </c>
      <c r="GU3" s="509" t="s">
        <v>1213</v>
      </c>
      <c r="GV3" s="580" t="s">
        <v>1213</v>
      </c>
      <c r="GW3" s="509" t="s">
        <v>546</v>
      </c>
      <c r="GX3" s="509" t="s">
        <v>663</v>
      </c>
      <c r="GY3" s="580" t="s">
        <v>499</v>
      </c>
      <c r="GZ3" s="509" t="s">
        <v>703</v>
      </c>
      <c r="HA3" s="509" t="s">
        <v>864</v>
      </c>
      <c r="HB3" s="580" t="s">
        <v>974</v>
      </c>
      <c r="HC3" s="509" t="s">
        <v>459</v>
      </c>
      <c r="HD3" s="509" t="s">
        <v>576</v>
      </c>
      <c r="HE3" s="509" t="s">
        <v>576</v>
      </c>
      <c r="HF3" s="509" t="s">
        <v>666</v>
      </c>
      <c r="HG3" s="509" t="s">
        <v>666</v>
      </c>
      <c r="HH3" s="509" t="s">
        <v>671</v>
      </c>
      <c r="HI3" s="509" t="s">
        <v>674</v>
      </c>
      <c r="HJ3" s="509" t="s">
        <v>674</v>
      </c>
      <c r="HK3" s="509" t="s">
        <v>868</v>
      </c>
      <c r="HL3" s="509" t="s">
        <v>257</v>
      </c>
      <c r="HM3" s="509" t="s">
        <v>257</v>
      </c>
      <c r="HN3" s="509" t="s">
        <v>257</v>
      </c>
      <c r="HO3" s="509" t="s">
        <v>257</v>
      </c>
      <c r="HP3" s="509" t="s">
        <v>420</v>
      </c>
      <c r="HQ3" s="509" t="s">
        <v>425</v>
      </c>
      <c r="HR3" s="509" t="s">
        <v>425</v>
      </c>
      <c r="HS3" s="509" t="s">
        <v>425</v>
      </c>
      <c r="HT3" s="509" t="s">
        <v>435</v>
      </c>
      <c r="HU3" s="509" t="s">
        <v>440</v>
      </c>
      <c r="HV3" s="509" t="s">
        <v>444</v>
      </c>
      <c r="HW3" s="509" t="s">
        <v>447</v>
      </c>
      <c r="HX3" s="509" t="s">
        <v>447</v>
      </c>
      <c r="HY3" s="509" t="s">
        <v>453</v>
      </c>
      <c r="HZ3" s="509" t="s">
        <v>456</v>
      </c>
      <c r="IA3" s="509" t="s">
        <v>464</v>
      </c>
      <c r="IB3" s="509" t="s">
        <v>467</v>
      </c>
      <c r="IC3" s="509" t="s">
        <v>472</v>
      </c>
      <c r="ID3" s="509" t="s">
        <v>472</v>
      </c>
      <c r="IE3" s="509" t="s">
        <v>477</v>
      </c>
      <c r="IF3" s="509" t="s">
        <v>480</v>
      </c>
      <c r="IG3" s="509" t="s">
        <v>480</v>
      </c>
      <c r="IH3" s="509" t="s">
        <v>485</v>
      </c>
      <c r="II3" s="509" t="s">
        <v>485</v>
      </c>
      <c r="IJ3" s="509" t="s">
        <v>485</v>
      </c>
      <c r="IK3" s="509" t="s">
        <v>485</v>
      </c>
      <c r="IL3" s="509" t="s">
        <v>496</v>
      </c>
      <c r="IM3" s="509" t="s">
        <v>502</v>
      </c>
      <c r="IN3" s="509" t="s">
        <v>502</v>
      </c>
      <c r="IO3" s="509" t="s">
        <v>502</v>
      </c>
      <c r="IP3" s="509" t="s">
        <v>506</v>
      </c>
      <c r="IQ3" s="509" t="s">
        <v>509</v>
      </c>
      <c r="IR3" s="509" t="s">
        <v>509</v>
      </c>
      <c r="IS3" s="509" t="s">
        <v>515</v>
      </c>
      <c r="IT3" s="509" t="s">
        <v>515</v>
      </c>
      <c r="IU3" s="509" t="s">
        <v>519</v>
      </c>
      <c r="IV3" s="509" t="s">
        <v>519</v>
      </c>
      <c r="IW3" s="509" t="s">
        <v>519</v>
      </c>
      <c r="IX3" s="509" t="s">
        <v>519</v>
      </c>
      <c r="IY3" s="509" t="s">
        <v>523</v>
      </c>
      <c r="IZ3" s="509" t="s">
        <v>523</v>
      </c>
      <c r="JA3" s="509" t="s">
        <v>928</v>
      </c>
      <c r="JB3" s="509" t="s">
        <v>928</v>
      </c>
      <c r="JC3" s="509" t="s">
        <v>928</v>
      </c>
      <c r="JD3" s="509" t="s">
        <v>928</v>
      </c>
      <c r="JE3" s="509" t="s">
        <v>997</v>
      </c>
      <c r="JF3" s="509" t="s">
        <v>997</v>
      </c>
      <c r="JG3" s="509" t="s">
        <v>1001</v>
      </c>
      <c r="JH3" s="509" t="s">
        <v>1380</v>
      </c>
      <c r="JI3" s="508"/>
    </row>
    <row r="4" spans="1:276" x14ac:dyDescent="0.25">
      <c r="B4" s="576" t="s">
        <v>2606</v>
      </c>
      <c r="C4" s="315" t="s">
        <v>1316</v>
      </c>
      <c r="D4" s="315" t="s">
        <v>1316</v>
      </c>
      <c r="E4" s="315" t="s">
        <v>1316</v>
      </c>
      <c r="F4" s="315" t="s">
        <v>1124</v>
      </c>
      <c r="G4" s="315" t="s">
        <v>1282</v>
      </c>
      <c r="H4" s="315" t="s">
        <v>1451</v>
      </c>
      <c r="I4" s="315" t="s">
        <v>1472</v>
      </c>
      <c r="J4" s="315" t="s">
        <v>1472</v>
      </c>
      <c r="K4" s="315" t="s">
        <v>1459</v>
      </c>
      <c r="L4" s="315" t="s">
        <v>1366</v>
      </c>
      <c r="M4" s="315" t="s">
        <v>1124</v>
      </c>
      <c r="N4" s="266" t="s">
        <v>1273</v>
      </c>
      <c r="O4" s="315" t="s">
        <v>1055</v>
      </c>
      <c r="P4" s="315" t="s">
        <v>1447</v>
      </c>
      <c r="Q4" s="315" t="s">
        <v>1055</v>
      </c>
      <c r="R4" s="315" t="s">
        <v>1055</v>
      </c>
      <c r="S4" s="315" t="s">
        <v>1055</v>
      </c>
      <c r="T4" s="315" t="s">
        <v>1055</v>
      </c>
      <c r="U4" s="315" t="s">
        <v>1055</v>
      </c>
      <c r="V4" s="315" t="s">
        <v>1155</v>
      </c>
      <c r="W4" s="315" t="s">
        <v>1282</v>
      </c>
      <c r="X4" s="315" t="s">
        <v>1282</v>
      </c>
      <c r="Y4" s="315" t="s">
        <v>1250</v>
      </c>
      <c r="Z4" s="315" t="s">
        <v>1311</v>
      </c>
      <c r="AA4" s="315" t="s">
        <v>1427</v>
      </c>
      <c r="AB4" s="315" t="s">
        <v>1124</v>
      </c>
      <c r="AC4" s="315" t="s">
        <v>1273</v>
      </c>
      <c r="AD4" s="315" t="s">
        <v>1366</v>
      </c>
      <c r="AE4" s="315" t="s">
        <v>1427</v>
      </c>
      <c r="AF4" s="315" t="s">
        <v>1472</v>
      </c>
      <c r="AG4" s="315" t="s">
        <v>1155</v>
      </c>
      <c r="AH4" s="315" t="s">
        <v>1282</v>
      </c>
      <c r="AI4" s="315" t="s">
        <v>1316</v>
      </c>
      <c r="AJ4" s="315" t="s">
        <v>1336</v>
      </c>
      <c r="AK4" s="315" t="s">
        <v>1055</v>
      </c>
      <c r="AL4" s="315" t="s">
        <v>1427</v>
      </c>
      <c r="AM4" s="315" t="s">
        <v>1055</v>
      </c>
      <c r="AN4" s="315" t="s">
        <v>1055</v>
      </c>
      <c r="AO4" s="315" t="s">
        <v>1250</v>
      </c>
      <c r="AP4" s="315" t="s">
        <v>1124</v>
      </c>
      <c r="AQ4" s="315" t="s">
        <v>1055</v>
      </c>
      <c r="AR4" s="315" t="s">
        <v>1055</v>
      </c>
      <c r="AS4" s="315" t="s">
        <v>1055</v>
      </c>
      <c r="AT4" s="315" t="s">
        <v>1124</v>
      </c>
      <c r="AU4" s="315" t="s">
        <v>1405</v>
      </c>
      <c r="AV4" s="315" t="s">
        <v>1427</v>
      </c>
      <c r="AW4" s="315" t="s">
        <v>1451</v>
      </c>
      <c r="AX4" s="315" t="s">
        <v>1250</v>
      </c>
      <c r="AY4" s="315" t="s">
        <v>1282</v>
      </c>
      <c r="AZ4" s="315" t="s">
        <v>1307</v>
      </c>
      <c r="BA4" s="315" t="s">
        <v>1124</v>
      </c>
      <c r="BB4" s="315" t="s">
        <v>1055</v>
      </c>
      <c r="BC4" s="315" t="s">
        <v>1377</v>
      </c>
      <c r="BD4" s="315" t="s">
        <v>1055</v>
      </c>
      <c r="BE4" s="315" t="s">
        <v>1472</v>
      </c>
      <c r="BF4" s="315" t="s">
        <v>1055</v>
      </c>
      <c r="BG4" s="315" t="s">
        <v>1394</v>
      </c>
      <c r="BH4" s="315" t="s">
        <v>1459</v>
      </c>
      <c r="BI4" s="315" t="s">
        <v>1361</v>
      </c>
      <c r="BJ4" s="315" t="s">
        <v>1155</v>
      </c>
      <c r="BK4" s="315" t="s">
        <v>1472</v>
      </c>
      <c r="BL4" s="315" t="s">
        <v>1124</v>
      </c>
      <c r="BM4" s="315" t="s">
        <v>1472</v>
      </c>
      <c r="BN4" s="315" t="s">
        <v>1055</v>
      </c>
      <c r="BO4" s="315" t="s">
        <v>1398</v>
      </c>
      <c r="BP4" s="315" t="s">
        <v>1282</v>
      </c>
      <c r="BQ4" s="315" t="s">
        <v>1472</v>
      </c>
      <c r="BR4" s="315" t="s">
        <v>1055</v>
      </c>
      <c r="BS4" s="315" t="s">
        <v>1055</v>
      </c>
      <c r="BT4" s="315" t="s">
        <v>1055</v>
      </c>
      <c r="BU4" s="315" t="s">
        <v>1155</v>
      </c>
      <c r="BV4" s="315" t="s">
        <v>1250</v>
      </c>
      <c r="BW4" s="315" t="s">
        <v>1055</v>
      </c>
      <c r="BX4" s="315" t="s">
        <v>1155</v>
      </c>
      <c r="BY4" s="315" t="s">
        <v>1155</v>
      </c>
      <c r="BZ4" s="315" t="s">
        <v>1232</v>
      </c>
      <c r="CA4" s="315" t="s">
        <v>1282</v>
      </c>
      <c r="CB4" s="315" t="s">
        <v>1346</v>
      </c>
      <c r="CC4" s="315" t="s">
        <v>1055</v>
      </c>
      <c r="CD4" s="315" t="s">
        <v>1055</v>
      </c>
      <c r="CE4" s="315" t="s">
        <v>1155</v>
      </c>
      <c r="CF4" s="315" t="s">
        <v>1366</v>
      </c>
      <c r="CG4" s="315" t="s">
        <v>1382</v>
      </c>
      <c r="CH4" s="315" t="s">
        <v>1382</v>
      </c>
      <c r="CI4" s="315" t="s">
        <v>1400</v>
      </c>
      <c r="CJ4" s="315" t="s">
        <v>1403</v>
      </c>
      <c r="CK4" s="315" t="s">
        <v>1423</v>
      </c>
      <c r="CL4" s="315" t="s">
        <v>1472</v>
      </c>
      <c r="CM4" s="315" t="s">
        <v>1155</v>
      </c>
      <c r="CN4" s="315" t="s">
        <v>1405</v>
      </c>
      <c r="CO4" s="315" t="s">
        <v>1405</v>
      </c>
      <c r="CP4" s="315" t="s">
        <v>1405</v>
      </c>
      <c r="CQ4" s="315" t="s">
        <v>1427</v>
      </c>
      <c r="CR4" s="315" t="s">
        <v>1155</v>
      </c>
      <c r="CS4" s="315" t="s">
        <v>1382</v>
      </c>
      <c r="CT4" s="315" t="s">
        <v>1382</v>
      </c>
      <c r="CU4" s="315" t="s">
        <v>1155</v>
      </c>
      <c r="CV4" s="315" t="s">
        <v>1316</v>
      </c>
      <c r="CW4" s="315" t="s">
        <v>1055</v>
      </c>
      <c r="CX4" s="315" t="s">
        <v>1124</v>
      </c>
      <c r="CY4" s="315" t="s">
        <v>1155</v>
      </c>
      <c r="CZ4" s="315" t="s">
        <v>1427</v>
      </c>
      <c r="DA4" s="315" t="s">
        <v>1361</v>
      </c>
      <c r="DB4" s="315" t="s">
        <v>1055</v>
      </c>
      <c r="DC4" s="315" t="s">
        <v>1405</v>
      </c>
      <c r="DD4" s="315" t="s">
        <v>1472</v>
      </c>
      <c r="DE4" s="315" t="s">
        <v>1472</v>
      </c>
      <c r="DF4" s="315" t="s">
        <v>1472</v>
      </c>
      <c r="DG4" s="315" t="s">
        <v>1055</v>
      </c>
      <c r="DH4" s="315" t="s">
        <v>1241</v>
      </c>
      <c r="DI4" s="315" t="s">
        <v>1451</v>
      </c>
      <c r="DJ4" s="315" t="s">
        <v>1472</v>
      </c>
      <c r="DK4" s="315" t="s">
        <v>1472</v>
      </c>
      <c r="DL4" s="315" t="s">
        <v>1155</v>
      </c>
      <c r="DM4" s="315" t="s">
        <v>1124</v>
      </c>
      <c r="DN4" s="315" t="s">
        <v>1405</v>
      </c>
      <c r="DO4" s="315" t="s">
        <v>1472</v>
      </c>
      <c r="DP4" s="315" t="s">
        <v>1405</v>
      </c>
      <c r="DQ4" s="315" t="s">
        <v>1427</v>
      </c>
      <c r="DR4" s="315" t="s">
        <v>1427</v>
      </c>
      <c r="DS4" s="315" t="s">
        <v>1282</v>
      </c>
      <c r="DT4" s="315" t="s">
        <v>1346</v>
      </c>
      <c r="DU4" s="315" t="s">
        <v>1241</v>
      </c>
      <c r="DV4" s="315" t="s">
        <v>1346</v>
      </c>
      <c r="DW4" s="315" t="s">
        <v>1451</v>
      </c>
      <c r="DX4" s="315" t="s">
        <v>1472</v>
      </c>
      <c r="DY4" s="315" t="s">
        <v>1124</v>
      </c>
      <c r="DZ4" s="315" t="s">
        <v>1155</v>
      </c>
      <c r="EA4" s="315" t="s">
        <v>1124</v>
      </c>
      <c r="EB4" s="315" t="s">
        <v>1124</v>
      </c>
      <c r="EC4" s="315" t="s">
        <v>1250</v>
      </c>
      <c r="ED4" s="315" t="s">
        <v>1282</v>
      </c>
      <c r="EE4" s="315" t="s">
        <v>1055</v>
      </c>
      <c r="EF4" s="315" t="s">
        <v>1055</v>
      </c>
      <c r="EG4" s="315" t="s">
        <v>1055</v>
      </c>
      <c r="EH4" s="315" t="s">
        <v>1238</v>
      </c>
      <c r="EI4" s="315" t="s">
        <v>1447</v>
      </c>
      <c r="EJ4" s="315" t="s">
        <v>1472</v>
      </c>
      <c r="EK4" s="315" t="s">
        <v>1124</v>
      </c>
      <c r="EL4" s="315" t="s">
        <v>1282</v>
      </c>
      <c r="EM4" s="315" t="s">
        <v>1346</v>
      </c>
      <c r="EN4" s="315" t="s">
        <v>1427</v>
      </c>
      <c r="EO4" s="315" t="s">
        <v>1055</v>
      </c>
      <c r="EP4" s="315" t="s">
        <v>1282</v>
      </c>
      <c r="EQ4" s="315" t="s">
        <v>1472</v>
      </c>
      <c r="ER4" s="315" t="s">
        <v>1155</v>
      </c>
      <c r="ES4" s="315" t="s">
        <v>1232</v>
      </c>
      <c r="ET4" s="315" t="s">
        <v>1250</v>
      </c>
      <c r="EU4" s="315" t="s">
        <v>1307</v>
      </c>
      <c r="EV4" s="315" t="s">
        <v>1055</v>
      </c>
      <c r="EW4" s="315" t="s">
        <v>1155</v>
      </c>
      <c r="EX4" s="315" t="s">
        <v>1316</v>
      </c>
      <c r="EY4" s="315" t="s">
        <v>1427</v>
      </c>
      <c r="EZ4" s="315" t="s">
        <v>1155</v>
      </c>
      <c r="FA4" s="315" t="s">
        <v>1155</v>
      </c>
      <c r="FB4" s="315" t="s">
        <v>1155</v>
      </c>
      <c r="FC4" s="315" t="s">
        <v>1155</v>
      </c>
      <c r="FD4" s="315" t="s">
        <v>1382</v>
      </c>
      <c r="FE4" s="315" t="s">
        <v>1423</v>
      </c>
      <c r="FF4" s="315" t="s">
        <v>1155</v>
      </c>
      <c r="FG4" s="315" t="s">
        <v>1316</v>
      </c>
      <c r="FH4" s="315" t="s">
        <v>1336</v>
      </c>
      <c r="FI4" s="315" t="s">
        <v>1316</v>
      </c>
      <c r="FJ4" s="315" t="s">
        <v>1155</v>
      </c>
      <c r="FK4" s="315" t="s">
        <v>1155</v>
      </c>
      <c r="FL4" s="315" t="s">
        <v>1273</v>
      </c>
      <c r="FM4" s="315" t="s">
        <v>1155</v>
      </c>
      <c r="FN4" s="315" t="s">
        <v>1155</v>
      </c>
      <c r="FO4" s="315" t="s">
        <v>1282</v>
      </c>
      <c r="FP4" s="315" t="s">
        <v>1316</v>
      </c>
      <c r="FQ4" s="315" t="s">
        <v>1346</v>
      </c>
      <c r="FR4" s="315" t="s">
        <v>1382</v>
      </c>
      <c r="FS4" s="315" t="s">
        <v>1423</v>
      </c>
      <c r="FT4" s="315" t="s">
        <v>1155</v>
      </c>
      <c r="FU4" s="315" t="s">
        <v>1273</v>
      </c>
      <c r="FV4" s="315" t="s">
        <v>1155</v>
      </c>
      <c r="FW4" s="315" t="s">
        <v>1155</v>
      </c>
      <c r="FX4" s="315" t="s">
        <v>1155</v>
      </c>
      <c r="FY4" s="315" t="s">
        <v>1155</v>
      </c>
      <c r="FZ4" s="315" t="s">
        <v>1155</v>
      </c>
      <c r="GA4" s="315" t="s">
        <v>1250</v>
      </c>
      <c r="GB4" s="315" t="s">
        <v>1316</v>
      </c>
      <c r="GC4" s="315" t="s">
        <v>1155</v>
      </c>
      <c r="GD4" s="315" t="s">
        <v>1316</v>
      </c>
      <c r="GE4" s="315" t="s">
        <v>1472</v>
      </c>
      <c r="GF4" s="315" t="s">
        <v>1155</v>
      </c>
      <c r="GG4" s="315" t="s">
        <v>1250</v>
      </c>
      <c r="GH4" s="315" t="s">
        <v>1273</v>
      </c>
      <c r="GI4" s="315" t="s">
        <v>1316</v>
      </c>
      <c r="GJ4" s="315" t="s">
        <v>1155</v>
      </c>
      <c r="GK4" s="315" t="s">
        <v>1250</v>
      </c>
      <c r="GL4" s="315" t="s">
        <v>1273</v>
      </c>
      <c r="GM4" s="315" t="s">
        <v>1405</v>
      </c>
      <c r="GN4" s="315" t="s">
        <v>1427</v>
      </c>
      <c r="GO4" s="315" t="s">
        <v>1316</v>
      </c>
      <c r="GP4" s="315" t="s">
        <v>1155</v>
      </c>
      <c r="GQ4" s="315" t="s">
        <v>1155</v>
      </c>
      <c r="GR4" s="315" t="s">
        <v>1155</v>
      </c>
      <c r="GS4" s="315" t="s">
        <v>1155</v>
      </c>
      <c r="GT4" s="315" t="s">
        <v>1155</v>
      </c>
      <c r="GU4" s="315" t="s">
        <v>1282</v>
      </c>
      <c r="GV4" s="315" t="s">
        <v>1316</v>
      </c>
      <c r="GW4" s="315" t="s">
        <v>1155</v>
      </c>
      <c r="GX4" s="315" t="s">
        <v>1155</v>
      </c>
      <c r="GY4" s="315" t="s">
        <v>1316</v>
      </c>
      <c r="GZ4" s="315" t="s">
        <v>1382</v>
      </c>
      <c r="HA4" s="315" t="s">
        <v>1155</v>
      </c>
      <c r="HB4" s="315" t="s">
        <v>1282</v>
      </c>
      <c r="HC4" s="315" t="s">
        <v>1316</v>
      </c>
      <c r="HD4" s="315" t="s">
        <v>1155</v>
      </c>
      <c r="HE4" s="315" t="s">
        <v>1316</v>
      </c>
      <c r="HF4" s="315" t="s">
        <v>1155</v>
      </c>
      <c r="HG4" s="315" t="s">
        <v>1273</v>
      </c>
      <c r="HH4" s="315" t="s">
        <v>1155</v>
      </c>
      <c r="HI4" s="315" t="s">
        <v>1155</v>
      </c>
      <c r="HJ4" s="315" t="s">
        <v>1472</v>
      </c>
      <c r="HK4" s="315" t="s">
        <v>1155</v>
      </c>
      <c r="HL4" s="315" t="s">
        <v>1311</v>
      </c>
      <c r="HM4" s="315" t="s">
        <v>1346</v>
      </c>
      <c r="HN4" s="315" t="s">
        <v>1451</v>
      </c>
      <c r="HO4" s="315" t="s">
        <v>1472</v>
      </c>
      <c r="HP4" s="315" t="s">
        <v>1311</v>
      </c>
      <c r="HQ4" s="315" t="s">
        <v>1282</v>
      </c>
      <c r="HR4" s="315" t="s">
        <v>1311</v>
      </c>
      <c r="HS4" s="315" t="s">
        <v>1346</v>
      </c>
      <c r="HT4" s="315" t="s">
        <v>1336</v>
      </c>
      <c r="HU4" s="315" t="s">
        <v>1336</v>
      </c>
      <c r="HV4" s="315" t="s">
        <v>1316</v>
      </c>
      <c r="HW4" s="315" t="s">
        <v>1316</v>
      </c>
      <c r="HX4" s="315" t="s">
        <v>1336</v>
      </c>
      <c r="HY4" s="315" t="s">
        <v>1316</v>
      </c>
      <c r="HZ4" s="315" t="s">
        <v>1316</v>
      </c>
      <c r="IA4" s="315" t="s">
        <v>1316</v>
      </c>
      <c r="IB4" s="315" t="s">
        <v>1316</v>
      </c>
      <c r="IC4" s="315" t="s">
        <v>1316</v>
      </c>
      <c r="ID4" s="315" t="s">
        <v>1336</v>
      </c>
      <c r="IE4" s="315" t="s">
        <v>1316</v>
      </c>
      <c r="IF4" s="315" t="s">
        <v>1316</v>
      </c>
      <c r="IG4" s="315" t="s">
        <v>1336</v>
      </c>
      <c r="IH4" s="315" t="s">
        <v>1311</v>
      </c>
      <c r="II4" s="315" t="s">
        <v>1336</v>
      </c>
      <c r="IJ4" s="315" t="s">
        <v>1346</v>
      </c>
      <c r="IK4" s="315" t="s">
        <v>1472</v>
      </c>
      <c r="IL4" s="315" t="s">
        <v>1316</v>
      </c>
      <c r="IM4" s="315" t="s">
        <v>1250</v>
      </c>
      <c r="IN4" s="315" t="s">
        <v>1316</v>
      </c>
      <c r="IO4" s="315" t="s">
        <v>1336</v>
      </c>
      <c r="IP4" s="315" t="s">
        <v>1311</v>
      </c>
      <c r="IQ4" s="315" t="s">
        <v>1311</v>
      </c>
      <c r="IR4" s="315" t="s">
        <v>1346</v>
      </c>
      <c r="IS4" s="315" t="s">
        <v>1316</v>
      </c>
      <c r="IT4" s="315" t="s">
        <v>1336</v>
      </c>
      <c r="IU4" s="315" t="s">
        <v>1250</v>
      </c>
      <c r="IV4" s="315" t="s">
        <v>1316</v>
      </c>
      <c r="IW4" s="315" t="s">
        <v>1336</v>
      </c>
      <c r="IX4" s="315" t="s">
        <v>1346</v>
      </c>
      <c r="IY4" s="315" t="s">
        <v>1311</v>
      </c>
      <c r="IZ4" s="315" t="s">
        <v>1316</v>
      </c>
      <c r="JA4" s="315" t="s">
        <v>1055</v>
      </c>
      <c r="JB4" s="315" t="s">
        <v>1394</v>
      </c>
      <c r="JC4" s="315" t="s">
        <v>1405</v>
      </c>
      <c r="JD4" s="315" t="s">
        <v>1472</v>
      </c>
      <c r="JE4" s="315" t="s">
        <v>1250</v>
      </c>
      <c r="JF4" s="315" t="s">
        <v>1311</v>
      </c>
      <c r="JG4" s="315" t="s">
        <v>1311</v>
      </c>
      <c r="JH4" s="315" t="s">
        <v>1377</v>
      </c>
    </row>
    <row r="5" spans="1:276" s="582" customFormat="1" ht="10.15" customHeight="1" x14ac:dyDescent="0.2">
      <c r="A5" s="472"/>
      <c r="B5" s="472"/>
      <c r="C5" s="589" t="str">
        <f>VLOOKUP(C1,'Výpočet VP 2020'!$A$4:$B$318,2,FALSE)</f>
        <v>KHK</v>
      </c>
      <c r="D5" s="589" t="str">
        <f>VLOOKUP(D1,'Výpočet VP 2020'!$A$4:$B$318,2,FALSE)</f>
        <v>KHK</v>
      </c>
      <c r="E5" s="589" t="str">
        <f>VLOOKUP(E1,'Výpočet VP 2020'!$A$4:$B$318,2,FALSE)</f>
        <v>KHK</v>
      </c>
      <c r="F5" s="590" t="str">
        <f>VLOOKUP(F1,'Výpočet VP 2020'!$A$4:$B$318,2,FALSE)</f>
        <v>NZO</v>
      </c>
      <c r="G5" s="590" t="str">
        <f>VLOOKUP(G1,'Výpočet VP 2020'!$A$4:$B$318,2,FALSE)</f>
        <v>NZO</v>
      </c>
      <c r="H5" s="590" t="str">
        <f>VLOOKUP(H1,'Výpočet VP 2020'!$A$4:$B$318,2,FALSE)</f>
        <v>NZO</v>
      </c>
      <c r="I5" s="590" t="str">
        <f>VLOOKUP(I1,'Výpočet VP 2020'!$A$4:$B$318,2,FALSE)</f>
        <v>NZO</v>
      </c>
      <c r="J5" s="590" t="str">
        <f>VLOOKUP(J1,'Výpočet VP 2020'!$A$4:$B$318,2,FALSE)</f>
        <v>NZO</v>
      </c>
      <c r="K5" s="590" t="str">
        <f>VLOOKUP(K1,'Výpočet VP 2020'!$A$4:$B$318,2,FALSE)</f>
        <v>NZO</v>
      </c>
      <c r="L5" s="590" t="str">
        <f>VLOOKUP(L1,'Výpočet VP 2020'!$A$4:$B$318,2,FALSE)</f>
        <v>NZO</v>
      </c>
      <c r="M5" s="590" t="str">
        <f>VLOOKUP(M1,'Výpočet VP 2020'!$A$4:$B$318,2,FALSE)</f>
        <v>NZO</v>
      </c>
      <c r="N5" s="865" t="str">
        <f>VLOOKUP(N1,'Výpočet VP 2020'!$A$4:$B$318,2,FALSE)</f>
        <v>NZO</v>
      </c>
      <c r="O5" s="590" t="str">
        <f>VLOOKUP(O1,'Výpočet VP 2020'!$A$4:$B$318,2,FALSE)</f>
        <v>NZO</v>
      </c>
      <c r="P5" s="590" t="str">
        <f>VLOOKUP(P1,'Výpočet VP 2020'!$A$4:$B$318,2,FALSE)</f>
        <v>NZO</v>
      </c>
      <c r="Q5" s="590" t="str">
        <f>VLOOKUP(Q1,'Výpočet VP 2020'!$A$4:$B$318,2,FALSE)</f>
        <v>NZO</v>
      </c>
      <c r="R5" s="590" t="str">
        <f>VLOOKUP(R1,'Výpočet VP 2020'!$A$4:$B$318,2,FALSE)</f>
        <v>NZO</v>
      </c>
      <c r="S5" s="590" t="str">
        <f>VLOOKUP(S1,'Výpočet VP 2020'!$A$4:$B$318,2,FALSE)</f>
        <v>NZO</v>
      </c>
      <c r="T5" s="590" t="str">
        <f>VLOOKUP(T1,'Výpočet VP 2020'!$A$4:$B$318,2,FALSE)</f>
        <v>NZO</v>
      </c>
      <c r="U5" s="590" t="str">
        <f>VLOOKUP(U1,'Výpočet VP 2020'!$A$4:$B$318,2,FALSE)</f>
        <v>NZO</v>
      </c>
      <c r="V5" s="590" t="str">
        <f>VLOOKUP(V1,'Výpočet VP 2020'!$A$4:$B$318,2,FALSE)</f>
        <v>NZO</v>
      </c>
      <c r="W5" s="590" t="str">
        <f>VLOOKUP(W1,'Výpočet VP 2020'!$A$4:$B$318,2,FALSE)</f>
        <v>NZO</v>
      </c>
      <c r="X5" s="590" t="str">
        <f>VLOOKUP(X1,'Výpočet VP 2020'!$A$4:$B$318,2,FALSE)</f>
        <v>NZO</v>
      </c>
      <c r="Y5" s="590" t="str">
        <f>VLOOKUP(Y1,'Výpočet VP 2020'!$A$4:$B$318,2,FALSE)</f>
        <v>NZO</v>
      </c>
      <c r="Z5" s="590" t="str">
        <f>VLOOKUP(Z1,'Výpočet VP 2020'!$A$4:$B$318,2,FALSE)</f>
        <v>NZO</v>
      </c>
      <c r="AA5" s="590" t="str">
        <f>VLOOKUP(AA1,'Výpočet VP 2020'!$A$4:$B$318,2,FALSE)</f>
        <v>NZO</v>
      </c>
      <c r="AB5" s="590" t="str">
        <f>VLOOKUP(AB1,'Výpočet VP 2020'!$A$4:$B$318,2,FALSE)</f>
        <v>NZO</v>
      </c>
      <c r="AC5" s="860" t="s">
        <v>1770</v>
      </c>
      <c r="AD5" s="590" t="str">
        <f>VLOOKUP(AD1,'Výpočet VP 2020'!$A$4:$B$318,2,FALSE)</f>
        <v>NZO</v>
      </c>
      <c r="AE5" s="590" t="str">
        <f>VLOOKUP(AE1,'Výpočet VP 2020'!$A$4:$B$318,2,FALSE)</f>
        <v>NZO</v>
      </c>
      <c r="AF5" s="590" t="str">
        <f>VLOOKUP(AF1,'Výpočet VP 2020'!$A$4:$B$318,2,FALSE)</f>
        <v>NZO</v>
      </c>
      <c r="AG5" s="590" t="str">
        <f>VLOOKUP(AG1,'Výpočet VP 2020'!$A$4:$B$318,2,FALSE)</f>
        <v>NZO</v>
      </c>
      <c r="AH5" s="590" t="str">
        <f>VLOOKUP(AH1,'Výpočet VP 2020'!$A$4:$B$318,2,FALSE)</f>
        <v>NZO</v>
      </c>
      <c r="AI5" s="590" t="str">
        <f>VLOOKUP(AI1,'Výpočet VP 2020'!$A$4:$B$318,2,FALSE)</f>
        <v>NZO</v>
      </c>
      <c r="AJ5" s="590" t="str">
        <f>VLOOKUP(AJ1,'Výpočet VP 2020'!$A$4:$B$318,2,FALSE)</f>
        <v>NZO</v>
      </c>
      <c r="AK5" s="590" t="str">
        <f>VLOOKUP(AK1,'Výpočet VP 2020'!$A$4:$B$318,2,FALSE)</f>
        <v>NZO</v>
      </c>
      <c r="AL5" s="590" t="str">
        <f>VLOOKUP(AL1,'Výpočet VP 2020'!$A$4:$B$318,2,FALSE)</f>
        <v>NZO</v>
      </c>
      <c r="AM5" s="590" t="str">
        <f>VLOOKUP(AM1,'Výpočet VP 2020'!$A$4:$B$318,2,FALSE)</f>
        <v>NZO</v>
      </c>
      <c r="AN5" s="590" t="str">
        <f>VLOOKUP(AN1,'Výpočet VP 2020'!$A$4:$B$318,2,FALSE)</f>
        <v>NZO</v>
      </c>
      <c r="AO5" s="590" t="str">
        <f>VLOOKUP(AO1,'Výpočet VP 2020'!$A$4:$B$318,2,FALSE)</f>
        <v>NZO</v>
      </c>
      <c r="AP5" s="590" t="str">
        <f>VLOOKUP(AP1,'Výpočet VP 2020'!$A$4:$B$318,2,FALSE)</f>
        <v>NZO</v>
      </c>
      <c r="AQ5" s="590" t="str">
        <f>VLOOKUP(AQ1,'Výpočet VP 2020'!$A$4:$B$318,2,FALSE)</f>
        <v>NZO</v>
      </c>
      <c r="AR5" s="590" t="str">
        <f>VLOOKUP(AR1,'Výpočet VP 2020'!$A$4:$B$318,2,FALSE)</f>
        <v>NZO</v>
      </c>
      <c r="AS5" s="590" t="str">
        <f>VLOOKUP(AS1,'Výpočet VP 2020'!$A$4:$B$318,2,FALSE)</f>
        <v>NZO</v>
      </c>
      <c r="AT5" s="590" t="str">
        <f>VLOOKUP(AT1,'Výpočet VP 2020'!$A$4:$B$318,2,FALSE)</f>
        <v>NZO</v>
      </c>
      <c r="AU5" s="590" t="str">
        <f>VLOOKUP(AU1,'Výpočet VP 2020'!$A$4:$B$318,2,FALSE)</f>
        <v>NZO</v>
      </c>
      <c r="AV5" s="590" t="str">
        <f>VLOOKUP(AV1,'Výpočet VP 2020'!$A$4:$B$318,2,FALSE)</f>
        <v>NZO</v>
      </c>
      <c r="AW5" s="590" t="str">
        <f>VLOOKUP(AW1,'Výpočet VP 2020'!$A$4:$B$318,2,FALSE)</f>
        <v>NZO</v>
      </c>
      <c r="AX5" s="590" t="str">
        <f>VLOOKUP(AX1,'Výpočet VP 2020'!$A$4:$B$318,2,FALSE)</f>
        <v>NZO</v>
      </c>
      <c r="AY5" s="590" t="str">
        <f>VLOOKUP(AY1,'Výpočet VP 2020'!$A$4:$B$318,2,FALSE)</f>
        <v>NZO</v>
      </c>
      <c r="AZ5" s="590" t="str">
        <f>VLOOKUP(AZ1,'Výpočet VP 2020'!$A$4:$B$318,2,FALSE)</f>
        <v>NZO</v>
      </c>
      <c r="BA5" s="590" t="str">
        <f>VLOOKUP(BA1,'Výpočet VP 2020'!$A$4:$B$318,2,FALSE)</f>
        <v>NZO</v>
      </c>
      <c r="BB5" s="590" t="str">
        <f>VLOOKUP(BB1,'Výpočet VP 2020'!$A$4:$B$318,2,FALSE)</f>
        <v>NZO</v>
      </c>
      <c r="BC5" s="590" t="str">
        <f>VLOOKUP(BC1,'Výpočet VP 2020'!$A$4:$B$318,2,FALSE)</f>
        <v>NZO</v>
      </c>
      <c r="BD5" s="590" t="str">
        <f>VLOOKUP(BD1,'Výpočet VP 2020'!$A$4:$B$318,2,FALSE)</f>
        <v>NZO</v>
      </c>
      <c r="BE5" s="590" t="str">
        <f>VLOOKUP(BE1,'Výpočet VP 2020'!$A$4:$B$318,2,FALSE)</f>
        <v>NZO</v>
      </c>
      <c r="BF5" s="590" t="str">
        <f>VLOOKUP(BF1,'Výpočet VP 2020'!$A$4:$B$318,2,FALSE)</f>
        <v>NZO</v>
      </c>
      <c r="BG5" s="590" t="str">
        <f>VLOOKUP(BG1,'Výpočet VP 2020'!$A$4:$B$318,2,FALSE)</f>
        <v>NZO</v>
      </c>
      <c r="BH5" s="590" t="str">
        <f>VLOOKUP(BH1,'Výpočet VP 2020'!$A$4:$B$318,2,FALSE)</f>
        <v>NZO</v>
      </c>
      <c r="BI5" s="590" t="str">
        <f>VLOOKUP(BI1,'Výpočet VP 2020'!$A$4:$B$318,2,FALSE)</f>
        <v>NZO</v>
      </c>
      <c r="BJ5" s="590" t="str">
        <f>VLOOKUP(BJ1,'Výpočet VP 2020'!$A$4:$B$318,2,FALSE)</f>
        <v>NZO</v>
      </c>
      <c r="BK5" s="590" t="str">
        <f>VLOOKUP(BK1,'Výpočet VP 2020'!$A$4:$B$318,2,FALSE)</f>
        <v>NZO</v>
      </c>
      <c r="BL5" s="590" t="str">
        <f>VLOOKUP(BL1,'Výpočet VP 2020'!$A$4:$B$318,2,FALSE)</f>
        <v>NZO</v>
      </c>
      <c r="BM5" s="590" t="str">
        <f>VLOOKUP(BM1,'Výpočet VP 2020'!$A$4:$B$318,2,FALSE)</f>
        <v>NZO</v>
      </c>
      <c r="BN5" s="590" t="str">
        <f>VLOOKUP(BN1,'Výpočet VP 2020'!$A$4:$B$318,2,FALSE)</f>
        <v>NZO</v>
      </c>
      <c r="BO5" s="590" t="str">
        <f>VLOOKUP(BO1,'Výpočet VP 2020'!$A$4:$B$318,2,FALSE)</f>
        <v>NZO</v>
      </c>
      <c r="BP5" s="590" t="str">
        <f>VLOOKUP(BP1,'Výpočet VP 2020'!$A$4:$B$318,2,FALSE)</f>
        <v>NZO</v>
      </c>
      <c r="BQ5" s="590" t="str">
        <f>VLOOKUP(BQ1,'Výpočet VP 2020'!$A$4:$B$318,2,FALSE)</f>
        <v>NZO</v>
      </c>
      <c r="BR5" s="590" t="str">
        <f>VLOOKUP(BR1,'Výpočet VP 2020'!$A$4:$B$318,2,FALSE)</f>
        <v>NZO</v>
      </c>
      <c r="BS5" s="590" t="str">
        <f>VLOOKUP(BS1,'Výpočet VP 2020'!$A$4:$B$318,2,FALSE)</f>
        <v>NZO</v>
      </c>
      <c r="BT5" s="590" t="str">
        <f>VLOOKUP(BT1,'Výpočet VP 2020'!$A$4:$B$318,2,FALSE)</f>
        <v>NZO</v>
      </c>
      <c r="BU5" s="590" t="str">
        <f>VLOOKUP(BU1,'Výpočet VP 2020'!$A$4:$B$318,2,FALSE)</f>
        <v>NZO</v>
      </c>
      <c r="BV5" s="590" t="str">
        <f>VLOOKUP(BV1,'Výpočet VP 2020'!$A$4:$B$318,2,FALSE)</f>
        <v>NZO</v>
      </c>
      <c r="BW5" s="590" t="str">
        <f>VLOOKUP(BW1,'Výpočet VP 2020'!$A$4:$B$318,2,FALSE)</f>
        <v>NZO</v>
      </c>
      <c r="BX5" s="590" t="str">
        <f>VLOOKUP(BX1,'Výpočet VP 2020'!$A$4:$B$318,2,FALSE)</f>
        <v>NZO</v>
      </c>
      <c r="BY5" s="590" t="str">
        <f>VLOOKUP(BY1,'Výpočet VP 2020'!$A$4:$B$318,2,FALSE)</f>
        <v>NZO</v>
      </c>
      <c r="BZ5" s="590" t="str">
        <f>VLOOKUP(BZ1,'Výpočet VP 2020'!$A$4:$B$318,2,FALSE)</f>
        <v>NZO</v>
      </c>
      <c r="CA5" s="590" t="e">
        <f>VLOOKUP(CA1,'Výpočet VP 2020'!$A$4:$B$318,2,FALSE)</f>
        <v>#N/A</v>
      </c>
      <c r="CB5" s="590" t="str">
        <f>VLOOKUP(CB1,'Výpočet VP 2020'!$A$4:$B$318,2,FALSE)</f>
        <v>NZO</v>
      </c>
      <c r="CC5" s="590" t="str">
        <f>VLOOKUP(CC1,'Výpočet VP 2020'!$A$4:$B$318,2,FALSE)</f>
        <v>NZO</v>
      </c>
      <c r="CD5" s="590" t="str">
        <f>VLOOKUP(CD1,'Výpočet VP 2020'!$A$4:$B$318,2,FALSE)</f>
        <v>NZO</v>
      </c>
      <c r="CE5" s="590" t="str">
        <f>VLOOKUP(CE1,'Výpočet VP 2020'!$A$4:$B$318,2,FALSE)</f>
        <v>NZO</v>
      </c>
      <c r="CF5" s="590" t="str">
        <f>VLOOKUP(CF1,'Výpočet VP 2020'!$A$4:$B$318,2,FALSE)</f>
        <v>NZO</v>
      </c>
      <c r="CG5" s="590" t="str">
        <f>VLOOKUP(CG1,'Výpočet VP 2020'!$A$4:$B$318,2,FALSE)</f>
        <v>NZO</v>
      </c>
      <c r="CH5" s="590" t="str">
        <f>VLOOKUP(CH1,'Výpočet VP 2020'!$A$4:$B$318,2,FALSE)</f>
        <v>NZO</v>
      </c>
      <c r="CI5" s="590" t="str">
        <f>VLOOKUP(CI1,'Výpočet VP 2020'!$A$4:$B$318,2,FALSE)</f>
        <v>NZO</v>
      </c>
      <c r="CJ5" s="590" t="str">
        <f>VLOOKUP(CJ1,'Výpočet VP 2020'!$A$4:$B$318,2,FALSE)</f>
        <v>NZO</v>
      </c>
      <c r="CK5" s="590" t="str">
        <f>VLOOKUP(CK1,'Výpočet VP 2020'!$A$4:$B$318,2,FALSE)</f>
        <v>NZO</v>
      </c>
      <c r="CL5" s="590" t="str">
        <f>VLOOKUP(CL1,'Výpočet VP 2020'!$A$4:$B$318,2,FALSE)</f>
        <v>NZO</v>
      </c>
      <c r="CM5" s="590" t="str">
        <f>VLOOKUP(CM1,'Výpočet VP 2020'!$A$4:$B$318,2,FALSE)</f>
        <v>NZO</v>
      </c>
      <c r="CN5" s="590" t="str">
        <f>VLOOKUP(CN1,'Výpočet VP 2020'!$A$4:$B$318,2,FALSE)</f>
        <v>NZO</v>
      </c>
      <c r="CO5" s="590" t="str">
        <f>VLOOKUP(CO1,'Výpočet VP 2020'!$A$4:$B$318,2,FALSE)</f>
        <v>NZO</v>
      </c>
      <c r="CP5" s="590" t="str">
        <f>VLOOKUP(CP1,'Výpočet VP 2020'!$A$4:$B$318,2,FALSE)</f>
        <v>NZO</v>
      </c>
      <c r="CQ5" s="590" t="str">
        <f>VLOOKUP(CQ1,'Výpočet VP 2020'!$A$4:$B$318,2,FALSE)</f>
        <v>NZO</v>
      </c>
      <c r="CR5" s="590" t="str">
        <f>VLOOKUP(CR1,'Výpočet VP 2020'!$A$4:$B$318,2,FALSE)</f>
        <v>NZO</v>
      </c>
      <c r="CS5" s="590" t="str">
        <f>VLOOKUP(CS1,'Výpočet VP 2020'!$A$4:$B$318,2,FALSE)</f>
        <v>NZO</v>
      </c>
      <c r="CT5" s="590" t="str">
        <f>VLOOKUP(CT1,'Výpočet VP 2020'!$A$4:$B$318,2,FALSE)</f>
        <v>NZO</v>
      </c>
      <c r="CU5" s="590" t="str">
        <f>VLOOKUP(CU1,'Výpočet VP 2020'!$A$4:$B$318,2,FALSE)</f>
        <v>NZO</v>
      </c>
      <c r="CV5" s="590" t="str">
        <f>VLOOKUP(CV1,'Výpočet VP 2020'!$A$4:$B$318,2,FALSE)</f>
        <v>NZO</v>
      </c>
      <c r="CW5" s="590" t="str">
        <f>VLOOKUP(CW1,'Výpočet VP 2020'!$A$4:$B$318,2,FALSE)</f>
        <v>NZO</v>
      </c>
      <c r="CX5" s="590" t="str">
        <f>VLOOKUP(CX1,'Výpočet VP 2020'!$A$4:$B$318,2,FALSE)</f>
        <v>NZO</v>
      </c>
      <c r="CY5" s="590" t="str">
        <f>VLOOKUP(CY1,'Výpočet VP 2020'!$A$4:$B$318,2,FALSE)</f>
        <v>NZO</v>
      </c>
      <c r="CZ5" s="590" t="str">
        <f>VLOOKUP(CZ1,'Výpočet VP 2020'!$A$4:$B$318,2,FALSE)</f>
        <v>NZO</v>
      </c>
      <c r="DA5" s="590" t="str">
        <f>VLOOKUP(DA1,'Výpočet VP 2020'!$A$4:$B$318,2,FALSE)</f>
        <v>NZO</v>
      </c>
      <c r="DB5" s="590" t="str">
        <f>VLOOKUP(DB1,'Výpočet VP 2020'!$A$4:$B$318,2,FALSE)</f>
        <v>NZO</v>
      </c>
      <c r="DC5" s="590" t="str">
        <f>VLOOKUP(DC1,'Výpočet VP 2020'!$A$4:$B$318,2,FALSE)</f>
        <v>NZO</v>
      </c>
      <c r="DD5" s="590" t="str">
        <f>VLOOKUP(DD1,'Výpočet VP 2020'!$A$4:$B$318,2,FALSE)</f>
        <v>NZO</v>
      </c>
      <c r="DE5" s="590" t="str">
        <f>VLOOKUP(DE1,'Výpočet VP 2020'!$A$4:$B$318,2,FALSE)</f>
        <v>NZO</v>
      </c>
      <c r="DF5" s="590" t="str">
        <f>VLOOKUP(DF1,'Výpočet VP 2020'!$A$4:$B$318,2,FALSE)</f>
        <v>NZO</v>
      </c>
      <c r="DG5" s="590" t="str">
        <f>VLOOKUP(DG1,'Výpočet VP 2020'!$A$4:$B$318,2,FALSE)</f>
        <v>NZO</v>
      </c>
      <c r="DH5" s="590" t="str">
        <f>VLOOKUP(DH1,'Výpočet VP 2020'!$A$4:$B$318,2,FALSE)</f>
        <v>NZO</v>
      </c>
      <c r="DI5" s="590" t="str">
        <f>VLOOKUP(DI1,'Výpočet VP 2020'!$A$4:$B$318,2,FALSE)</f>
        <v>NZO</v>
      </c>
      <c r="DJ5" s="590" t="str">
        <f>VLOOKUP(DJ1,'Výpočet VP 2020'!$A$4:$B$318,2,FALSE)</f>
        <v>NZO</v>
      </c>
      <c r="DK5" s="590" t="str">
        <f>VLOOKUP(DK1,'Výpočet VP 2020'!$A$4:$B$318,2,FALSE)</f>
        <v>NZO</v>
      </c>
      <c r="DL5" s="590" t="str">
        <f>VLOOKUP(DL1,'Výpočet VP 2020'!$A$4:$B$318,2,FALSE)</f>
        <v>NZO</v>
      </c>
      <c r="DM5" s="590" t="str">
        <f>VLOOKUP(DM1,'Výpočet VP 2020'!$A$4:$B$318,2,FALSE)</f>
        <v>NZO</v>
      </c>
      <c r="DN5" s="590" t="str">
        <f>VLOOKUP(DN1,'Výpočet VP 2020'!$A$4:$B$318,2,FALSE)</f>
        <v>NZO</v>
      </c>
      <c r="DO5" s="590" t="str">
        <f>VLOOKUP(DO1,'Výpočet VP 2020'!$A$4:$B$318,2,FALSE)</f>
        <v>NZO</v>
      </c>
      <c r="DP5" s="590" t="str">
        <f>VLOOKUP(DP1,'Výpočet VP 2020'!$A$4:$B$318,2,FALSE)</f>
        <v>NZO</v>
      </c>
      <c r="DQ5" s="590" t="str">
        <f>VLOOKUP(DQ1,'Výpočet VP 2020'!$A$4:$B$318,2,FALSE)</f>
        <v>NZO</v>
      </c>
      <c r="DR5" s="590" t="str">
        <f>VLOOKUP(DR1,'Výpočet VP 2020'!$A$4:$B$318,2,FALSE)</f>
        <v>NZO</v>
      </c>
      <c r="DS5" s="590" t="str">
        <f>VLOOKUP(DS1,'Výpočet VP 2020'!$A$4:$B$318,2,FALSE)</f>
        <v>NZO</v>
      </c>
      <c r="DT5" s="590" t="str">
        <f>VLOOKUP(DT1,'Výpočet VP 2020'!$A$4:$B$318,2,FALSE)</f>
        <v>NZO</v>
      </c>
      <c r="DU5" s="590" t="str">
        <f>VLOOKUP(DU1,'Výpočet VP 2020'!$A$4:$B$318,2,FALSE)</f>
        <v>NZO</v>
      </c>
      <c r="DV5" s="590" t="str">
        <f>VLOOKUP(DV1,'Výpočet VP 2020'!$A$4:$B$318,2,FALSE)</f>
        <v>NZO</v>
      </c>
      <c r="DW5" s="590" t="str">
        <f>VLOOKUP(DW1,'Výpočet VP 2020'!$A$4:$B$318,2,FALSE)</f>
        <v>NZO</v>
      </c>
      <c r="DX5" s="590" t="str">
        <f>VLOOKUP(DX1,'Výpočet VP 2020'!$A$4:$B$318,2,FALSE)</f>
        <v>NZO</v>
      </c>
      <c r="DY5" s="590" t="str">
        <f>VLOOKUP(DY1,'Výpočet VP 2020'!$A$4:$B$318,2,FALSE)</f>
        <v>NZO</v>
      </c>
      <c r="DZ5" s="590" t="str">
        <f>VLOOKUP(DZ1,'Výpočet VP 2020'!$A$4:$B$318,2,FALSE)</f>
        <v>NZO</v>
      </c>
      <c r="EA5" s="590" t="str">
        <f>VLOOKUP(EA1,'Výpočet VP 2020'!$A$4:$B$318,2,FALSE)</f>
        <v>NZO</v>
      </c>
      <c r="EB5" s="590" t="str">
        <f>VLOOKUP(EB1,'Výpočet VP 2020'!$A$4:$B$318,2,FALSE)</f>
        <v>NZO</v>
      </c>
      <c r="EC5" s="590" t="str">
        <f>VLOOKUP(EC1,'Výpočet VP 2020'!$A$4:$B$318,2,FALSE)</f>
        <v>NZO</v>
      </c>
      <c r="ED5" s="590" t="str">
        <f>VLOOKUP(ED1,'Výpočet VP 2020'!$A$4:$B$318,2,FALSE)</f>
        <v>NZO</v>
      </c>
      <c r="EE5" s="590" t="str">
        <f>VLOOKUP(EE1,'Výpočet VP 2020'!$A$4:$B$318,2,FALSE)</f>
        <v>NZO</v>
      </c>
      <c r="EF5" s="590" t="str">
        <f>VLOOKUP(EF1,'Výpočet VP 2020'!$A$4:$B$318,2,FALSE)</f>
        <v>NZO</v>
      </c>
      <c r="EG5" s="590" t="str">
        <f>VLOOKUP(EG1,'Výpočet VP 2020'!$A$4:$B$318,2,FALSE)</f>
        <v>NZO</v>
      </c>
      <c r="EH5" s="590" t="str">
        <f>VLOOKUP(EH1,'Výpočet VP 2020'!$A$4:$B$318,2,FALSE)</f>
        <v>NZO</v>
      </c>
      <c r="EI5" s="590" t="str">
        <f>VLOOKUP(EI1,'Výpočet VP 2020'!$A$4:$B$318,2,FALSE)</f>
        <v>NZO</v>
      </c>
      <c r="EJ5" s="590" t="str">
        <f>VLOOKUP(EJ1,'Výpočet VP 2020'!$A$4:$B$318,2,FALSE)</f>
        <v>NZO</v>
      </c>
      <c r="EK5" s="590" t="str">
        <f>VLOOKUP(EK1,'Výpočet VP 2020'!$A$4:$B$318,2,FALSE)</f>
        <v>NZO</v>
      </c>
      <c r="EL5" s="590" t="str">
        <f>VLOOKUP(EL1,'Výpočet VP 2020'!$A$4:$B$318,2,FALSE)</f>
        <v>NZO</v>
      </c>
      <c r="EM5" s="590" t="str">
        <f>VLOOKUP(EM1,'Výpočet VP 2020'!$A$4:$B$318,2,FALSE)</f>
        <v>NZO</v>
      </c>
      <c r="EN5" s="590" t="str">
        <f>VLOOKUP(EN1,'Výpočet VP 2020'!$A$4:$B$318,2,FALSE)</f>
        <v>NZO</v>
      </c>
      <c r="EO5" s="590" t="str">
        <f>VLOOKUP(EO1,'Výpočet VP 2020'!$A$4:$B$318,2,FALSE)</f>
        <v>NZO</v>
      </c>
      <c r="EP5" s="590" t="str">
        <f>VLOOKUP(EP1,'Výpočet VP 2020'!$A$4:$B$318,2,FALSE)</f>
        <v>NZO</v>
      </c>
      <c r="EQ5" s="590" t="str">
        <f>VLOOKUP(EQ1,'Výpočet VP 2020'!$A$4:$B$318,2,FALSE)</f>
        <v>NZO</v>
      </c>
      <c r="ER5" s="590" t="str">
        <f>VLOOKUP(ER1,'Výpočet VP 2020'!$A$4:$B$318,2,FALSE)</f>
        <v>NZO</v>
      </c>
      <c r="ES5" s="590" t="str">
        <f>VLOOKUP(ES1,'Výpočet VP 2020'!$A$4:$B$318,2,FALSE)</f>
        <v>NZO</v>
      </c>
      <c r="ET5" s="473" t="str">
        <f>VLOOKUP(ET1,'Výpočet VP 2020'!$A$4:$B$318,2,FALSE)</f>
        <v>Obce</v>
      </c>
      <c r="EU5" s="473" t="str">
        <f>VLOOKUP(EU1,'Výpočet VP 2020'!$A$4:$B$318,2,FALSE)</f>
        <v>Obce</v>
      </c>
      <c r="EV5" s="473" t="str">
        <f>VLOOKUP(EV1,'Výpočet VP 2020'!$A$4:$B$318,2,FALSE)</f>
        <v>Obce</v>
      </c>
      <c r="EW5" s="473" t="str">
        <f>VLOOKUP(EW1,'Výpočet VP 2020'!$A$4:$B$318,2,FALSE)</f>
        <v>Obce</v>
      </c>
      <c r="EX5" s="473" t="str">
        <f>VLOOKUP(EX1,'Výpočet VP 2020'!$A$4:$B$318,2,FALSE)</f>
        <v>Obce</v>
      </c>
      <c r="EY5" s="473" t="str">
        <f>VLOOKUP(EY1,'Výpočet VP 2020'!$A$4:$B$318,2,FALSE)</f>
        <v>Obce</v>
      </c>
      <c r="EZ5" s="473" t="str">
        <f>VLOOKUP(EZ1,'Výpočet VP 2020'!$A$4:$B$318,2,FALSE)</f>
        <v>Obce</v>
      </c>
      <c r="FA5" s="473" t="str">
        <f>VLOOKUP(FA1,'Výpočet VP 2020'!$A$4:$B$318,2,FALSE)</f>
        <v>Obce</v>
      </c>
      <c r="FB5" s="473" t="str">
        <f>VLOOKUP(FB1,'Výpočet VP 2020'!$A$4:$B$318,2,FALSE)</f>
        <v>Obce</v>
      </c>
      <c r="FC5" s="473" t="str">
        <f>VLOOKUP(FC1,'Výpočet VP 2020'!$A$4:$B$318,2,FALSE)</f>
        <v>Obce</v>
      </c>
      <c r="FD5" s="473" t="str">
        <f>VLOOKUP(FD1,'Výpočet VP 2020'!$A$4:$B$318,2,FALSE)</f>
        <v>Obce</v>
      </c>
      <c r="FE5" s="473" t="str">
        <f>VLOOKUP(FE1,'Výpočet VP 2020'!$A$4:$B$318,2,FALSE)</f>
        <v>Obce</v>
      </c>
      <c r="FF5" s="473" t="str">
        <f>VLOOKUP(FF1,'Výpočet VP 2020'!$A$4:$B$318,2,FALSE)</f>
        <v>Obce</v>
      </c>
      <c r="FG5" s="473" t="str">
        <f>VLOOKUP(FG1,'Výpočet VP 2020'!$A$4:$B$318,2,FALSE)</f>
        <v>Obce</v>
      </c>
      <c r="FH5" s="473" t="str">
        <f>VLOOKUP(FH1,'Výpočet VP 2020'!$A$4:$B$318,2,FALSE)</f>
        <v>Obce</v>
      </c>
      <c r="FI5" s="473" t="str">
        <f>VLOOKUP(FI1,'Výpočet VP 2020'!$A$4:$B$318,2,FALSE)</f>
        <v>Obce</v>
      </c>
      <c r="FJ5" s="473" t="str">
        <f>VLOOKUP(FJ1,'Výpočet VP 2020'!$A$4:$B$318,2,FALSE)</f>
        <v>Obce</v>
      </c>
      <c r="FK5" s="473" t="str">
        <f>VLOOKUP(FK1,'Výpočet VP 2020'!$A$4:$B$318,2,FALSE)</f>
        <v>Obce</v>
      </c>
      <c r="FL5" s="473" t="str">
        <f>VLOOKUP(FL1,'Výpočet VP 2020'!$A$4:$B$318,2,FALSE)</f>
        <v>Obce</v>
      </c>
      <c r="FM5" s="473" t="str">
        <f>VLOOKUP(FM1,'Výpočet VP 2020'!$A$4:$B$318,2,FALSE)</f>
        <v>Obce</v>
      </c>
      <c r="FN5" s="473" t="str">
        <f>VLOOKUP(FN1,'Výpočet VP 2020'!$A$4:$B$318,2,FALSE)</f>
        <v>Obce</v>
      </c>
      <c r="FO5" s="473" t="str">
        <f>VLOOKUP(FO1,'Výpočet VP 2020'!$A$4:$B$318,2,FALSE)</f>
        <v>Obce</v>
      </c>
      <c r="FP5" s="473" t="str">
        <f>VLOOKUP(FP1,'Výpočet VP 2020'!$A$4:$B$318,2,FALSE)</f>
        <v>Obce</v>
      </c>
      <c r="FQ5" s="473" t="str">
        <f>VLOOKUP(FQ1,'Výpočet VP 2020'!$A$4:$B$318,2,FALSE)</f>
        <v>Obce</v>
      </c>
      <c r="FR5" s="473" t="str">
        <f>VLOOKUP(FR1,'Výpočet VP 2020'!$A$4:$B$318,2,FALSE)</f>
        <v>Obce</v>
      </c>
      <c r="FS5" s="473" t="str">
        <f>VLOOKUP(FS1,'Výpočet VP 2020'!$A$4:$B$318,2,FALSE)</f>
        <v>Obce</v>
      </c>
      <c r="FT5" s="473" t="str">
        <f>VLOOKUP(FT1,'Výpočet VP 2020'!$A$4:$B$318,2,FALSE)</f>
        <v>Obce</v>
      </c>
      <c r="FU5" s="473" t="str">
        <f>VLOOKUP(FU1,'Výpočet VP 2020'!$A$4:$B$318,2,FALSE)</f>
        <v>Obce</v>
      </c>
      <c r="FV5" s="473" t="str">
        <f>VLOOKUP(FV1,'Výpočet VP 2020'!$A$4:$B$318,2,FALSE)</f>
        <v>Obce</v>
      </c>
      <c r="FW5" s="473" t="str">
        <f>VLOOKUP(FW1,'Výpočet VP 2020'!$A$4:$B$318,2,FALSE)</f>
        <v>Obce</v>
      </c>
      <c r="FX5" s="473" t="str">
        <f>VLOOKUP(FX1,'Výpočet VP 2020'!$A$4:$B$318,2,FALSE)</f>
        <v>Obce</v>
      </c>
      <c r="FY5" s="473" t="str">
        <f>VLOOKUP(FY1,'Výpočet VP 2020'!$A$4:$B$318,2,FALSE)</f>
        <v>Obce</v>
      </c>
      <c r="FZ5" s="473" t="str">
        <f>VLOOKUP(FZ1,'Výpočet VP 2020'!$A$4:$B$318,2,FALSE)</f>
        <v>Obce</v>
      </c>
      <c r="GA5" s="473" t="str">
        <f>VLOOKUP(GA1,'Výpočet VP 2020'!$A$4:$B$318,2,FALSE)</f>
        <v>Obce</v>
      </c>
      <c r="GB5" s="473" t="str">
        <f>VLOOKUP(GB1,'Výpočet VP 2020'!$A$4:$B$318,2,FALSE)</f>
        <v>Obce</v>
      </c>
      <c r="GC5" s="473" t="str">
        <f>VLOOKUP(GC1,'Výpočet VP 2020'!$A$4:$B$318,2,FALSE)</f>
        <v>Obce</v>
      </c>
      <c r="GD5" s="473" t="str">
        <f>VLOOKUP(GD1,'Výpočet VP 2020'!$A$4:$B$318,2,FALSE)</f>
        <v>Obce</v>
      </c>
      <c r="GE5" s="473" t="str">
        <f>VLOOKUP(GE1,'Výpočet VP 2020'!$A$4:$B$318,2,FALSE)</f>
        <v>Obce</v>
      </c>
      <c r="GF5" s="473" t="str">
        <f>VLOOKUP(GF1,'Výpočet VP 2020'!$A$4:$B$318,2,FALSE)</f>
        <v>Obce</v>
      </c>
      <c r="GG5" s="473" t="str">
        <f>VLOOKUP(GG1,'Výpočet VP 2020'!$A$4:$B$318,2,FALSE)</f>
        <v>Obce</v>
      </c>
      <c r="GH5" s="473" t="str">
        <f>VLOOKUP(GH1,'Výpočet VP 2020'!$A$4:$B$318,2,FALSE)</f>
        <v>Obce</v>
      </c>
      <c r="GI5" s="473" t="str">
        <f>VLOOKUP(GI1,'Výpočet VP 2020'!$A$4:$B$318,2,FALSE)</f>
        <v>Obce</v>
      </c>
      <c r="GJ5" s="473" t="str">
        <f>VLOOKUP(GJ1,'Výpočet VP 2020'!$A$4:$B$318,2,FALSE)</f>
        <v>Obce</v>
      </c>
      <c r="GK5" s="473" t="str">
        <f>VLOOKUP(GK1,'Výpočet VP 2020'!$A$4:$B$318,2,FALSE)</f>
        <v>Obce</v>
      </c>
      <c r="GL5" s="473" t="str">
        <f>VLOOKUP(GL1,'Výpočet VP 2020'!$A$4:$B$318,2,FALSE)</f>
        <v>Obce</v>
      </c>
      <c r="GM5" s="473" t="str">
        <f>VLOOKUP(GM1,'Výpočet VP 2020'!$A$4:$B$318,2,FALSE)</f>
        <v>Obce</v>
      </c>
      <c r="GN5" s="473" t="str">
        <f>VLOOKUP(GN1,'Výpočet VP 2020'!$A$4:$B$318,2,FALSE)</f>
        <v>Obce</v>
      </c>
      <c r="GO5" s="473" t="str">
        <f>VLOOKUP(GO1,'Výpočet VP 2020'!$A$4:$B$318,2,FALSE)</f>
        <v>Obce</v>
      </c>
      <c r="GP5" s="473" t="str">
        <f>VLOOKUP(GP1,'Výpočet VP 2020'!$A$4:$B$318,2,FALSE)</f>
        <v>Obce</v>
      </c>
      <c r="GQ5" s="473" t="str">
        <f>VLOOKUP(GQ1,'Výpočet VP 2020'!$A$4:$B$318,2,FALSE)</f>
        <v>Obce</v>
      </c>
      <c r="GR5" s="473" t="str">
        <f>VLOOKUP(GR1,'Výpočet VP 2020'!$A$4:$B$318,2,FALSE)</f>
        <v>Obce</v>
      </c>
      <c r="GS5" s="473" t="str">
        <f>VLOOKUP(GS1,'Výpočet VP 2020'!$A$4:$B$318,2,FALSE)</f>
        <v>Obce</v>
      </c>
      <c r="GT5" s="473" t="str">
        <f>VLOOKUP(GT1,'Výpočet VP 2020'!$A$4:$B$318,2,FALSE)</f>
        <v>Obce</v>
      </c>
      <c r="GU5" s="473" t="str">
        <f>VLOOKUP(GU1,'Výpočet VP 2020'!$A$4:$B$318,2,FALSE)</f>
        <v>Obce</v>
      </c>
      <c r="GV5" s="473" t="str">
        <f>VLOOKUP(GV1,'Výpočet VP 2020'!$A$4:$B$318,2,FALSE)</f>
        <v>Obce</v>
      </c>
      <c r="GW5" s="473" t="str">
        <f>VLOOKUP(GW1,'Výpočet VP 2020'!$A$4:$B$318,2,FALSE)</f>
        <v>Obce</v>
      </c>
      <c r="GX5" s="473" t="str">
        <f>VLOOKUP(GX1,'Výpočet VP 2020'!$A$4:$B$318,2,FALSE)</f>
        <v>Obce</v>
      </c>
      <c r="GY5" s="473" t="str">
        <f>VLOOKUP(GY1,'Výpočet VP 2020'!$A$4:$B$318,2,FALSE)</f>
        <v>Obce</v>
      </c>
      <c r="GZ5" s="473" t="str">
        <f>VLOOKUP(GZ1,'Výpočet VP 2020'!$A$4:$B$318,2,FALSE)</f>
        <v>Obce</v>
      </c>
      <c r="HA5" s="473" t="str">
        <f>VLOOKUP(HA1,'Výpočet VP 2020'!$A$4:$B$318,2,FALSE)</f>
        <v>Obce</v>
      </c>
      <c r="HB5" s="473" t="str">
        <f>VLOOKUP(HB1,'Výpočet VP 2020'!$A$4:$B$318,2,FALSE)</f>
        <v>Obce</v>
      </c>
      <c r="HC5" s="473" t="str">
        <f>VLOOKUP(HC1,'Výpočet VP 2020'!$A$4:$B$318,2,FALSE)</f>
        <v>Obce</v>
      </c>
      <c r="HD5" s="473" t="str">
        <f>VLOOKUP(HD1,'Výpočet VP 2020'!$A$4:$B$318,2,FALSE)</f>
        <v>Obce</v>
      </c>
      <c r="HE5" s="473" t="str">
        <f>VLOOKUP(HE1,'Výpočet VP 2020'!$A$4:$B$318,2,FALSE)</f>
        <v>Obce</v>
      </c>
      <c r="HF5" s="473" t="str">
        <f>VLOOKUP(HF1,'Výpočet VP 2020'!$A$4:$B$318,2,FALSE)</f>
        <v>Obce</v>
      </c>
      <c r="HG5" s="473" t="str">
        <f>VLOOKUP(HG1,'Výpočet VP 2020'!$A$4:$B$318,2,FALSE)</f>
        <v>Obce</v>
      </c>
      <c r="HH5" s="473" t="str">
        <f>VLOOKUP(HH1,'Výpočet VP 2020'!$A$4:$B$318,2,FALSE)</f>
        <v>Obce</v>
      </c>
      <c r="HI5" s="473" t="str">
        <f>VLOOKUP(HI1,'Výpočet VP 2020'!$A$4:$B$318,2,FALSE)</f>
        <v>Obce</v>
      </c>
      <c r="HJ5" s="473" t="str">
        <f>VLOOKUP(HJ1,'Výpočet VP 2020'!$A$4:$B$318,2,FALSE)</f>
        <v>Obce</v>
      </c>
      <c r="HK5" s="473" t="str">
        <f>VLOOKUP(HK1,'Výpočet VP 2020'!$A$4:$B$318,2,FALSE)</f>
        <v>Obce</v>
      </c>
      <c r="HL5" s="588" t="str">
        <f>VLOOKUP(HL1,'Výpočet VP 2020'!$A$4:$B$318,2,FALSE)</f>
        <v>PO KHK</v>
      </c>
      <c r="HM5" s="588" t="str">
        <f>VLOOKUP(HM1,'Výpočet VP 2020'!$A$4:$B$318,2,FALSE)</f>
        <v>PO KHK</v>
      </c>
      <c r="HN5" s="588" t="str">
        <f>VLOOKUP(HN1,'Výpočet VP 2020'!$A$4:$B$318,2,FALSE)</f>
        <v>PO KHK</v>
      </c>
      <c r="HO5" s="588" t="str">
        <f>VLOOKUP(HO1,'Výpočet VP 2020'!$A$4:$B$318,2,FALSE)</f>
        <v>PO KHK</v>
      </c>
      <c r="HP5" s="588" t="str">
        <f>VLOOKUP(HP1,'Výpočet VP 2020'!$A$4:$B$318,2,FALSE)</f>
        <v>PO KHK</v>
      </c>
      <c r="HQ5" s="588" t="str">
        <f>VLOOKUP(HQ1,'Výpočet VP 2020'!$A$4:$B$318,2,FALSE)</f>
        <v>PO KHK</v>
      </c>
      <c r="HR5" s="588" t="str">
        <f>VLOOKUP(HR1,'Výpočet VP 2020'!$A$4:$B$318,2,FALSE)</f>
        <v>PO KHK</v>
      </c>
      <c r="HS5" s="588" t="str">
        <f>VLOOKUP(HS1,'Výpočet VP 2020'!$A$4:$B$318,2,FALSE)</f>
        <v>PO KHK</v>
      </c>
      <c r="HT5" s="588" t="str">
        <f>VLOOKUP(HT1,'Výpočet VP 2020'!$A$4:$B$318,2,FALSE)</f>
        <v>PO KHK</v>
      </c>
      <c r="HU5" s="588" t="str">
        <f>VLOOKUP(HU1,'Výpočet VP 2020'!$A$4:$B$318,2,FALSE)</f>
        <v>PO KHK</v>
      </c>
      <c r="HV5" s="588" t="str">
        <f>VLOOKUP(HV1,'Výpočet VP 2020'!$A$4:$B$318,2,FALSE)</f>
        <v>PO KHK</v>
      </c>
      <c r="HW5" s="588" t="str">
        <f>VLOOKUP(HW1,'Výpočet VP 2020'!$A$4:$B$318,2,FALSE)</f>
        <v>PO KHK</v>
      </c>
      <c r="HX5" s="588" t="str">
        <f>VLOOKUP(HX1,'Výpočet VP 2020'!$A$4:$B$318,2,FALSE)</f>
        <v>PO KHK</v>
      </c>
      <c r="HY5" s="588" t="str">
        <f>VLOOKUP(HY1,'Výpočet VP 2020'!$A$4:$B$318,2,FALSE)</f>
        <v>PO KHK</v>
      </c>
      <c r="HZ5" s="588" t="str">
        <f>VLOOKUP(HZ1,'Výpočet VP 2020'!$A$4:$B$318,2,FALSE)</f>
        <v>PO KHK</v>
      </c>
      <c r="IA5" s="588" t="str">
        <f>VLOOKUP(IA1,'Výpočet VP 2020'!$A$4:$B$318,2,FALSE)</f>
        <v>PO KHK</v>
      </c>
      <c r="IB5" s="588" t="str">
        <f>VLOOKUP(IB1,'Výpočet VP 2020'!$A$4:$B$318,2,FALSE)</f>
        <v>PO KHK</v>
      </c>
      <c r="IC5" s="588" t="str">
        <f>VLOOKUP(IC1,'Výpočet VP 2020'!$A$4:$B$318,2,FALSE)</f>
        <v>PO KHK</v>
      </c>
      <c r="ID5" s="588" t="str">
        <f>VLOOKUP(ID1,'Výpočet VP 2020'!$A$4:$B$318,2,FALSE)</f>
        <v>PO KHK</v>
      </c>
      <c r="IE5" s="588" t="str">
        <f>VLOOKUP(IE1,'Výpočet VP 2020'!$A$4:$B$318,2,FALSE)</f>
        <v>PO KHK</v>
      </c>
      <c r="IF5" s="588" t="str">
        <f>VLOOKUP(IF1,'Výpočet VP 2020'!$A$4:$B$318,2,FALSE)</f>
        <v>PO KHK</v>
      </c>
      <c r="IG5" s="588" t="str">
        <f>VLOOKUP(IG1,'Výpočet VP 2020'!$A$4:$B$318,2,FALSE)</f>
        <v>PO KHK</v>
      </c>
      <c r="IH5" s="588" t="str">
        <f>VLOOKUP(IH1,'Výpočet VP 2020'!$A$4:$B$318,2,FALSE)</f>
        <v>PO KHK</v>
      </c>
      <c r="II5" s="588" t="str">
        <f>VLOOKUP(II1,'Výpočet VP 2020'!$A$4:$B$318,2,FALSE)</f>
        <v>PO KHK</v>
      </c>
      <c r="IJ5" s="588" t="str">
        <f>VLOOKUP(IJ1,'Výpočet VP 2020'!$A$4:$B$318,2,FALSE)</f>
        <v>PO KHK</v>
      </c>
      <c r="IK5" s="588" t="str">
        <f>VLOOKUP(IK1,'Výpočet VP 2020'!$A$4:$B$318,2,FALSE)</f>
        <v>PO KHK</v>
      </c>
      <c r="IL5" s="588" t="str">
        <f>VLOOKUP(IL1,'Výpočet VP 2020'!$A$4:$B$318,2,FALSE)</f>
        <v>PO KHK</v>
      </c>
      <c r="IM5" s="588" t="str">
        <f>VLOOKUP(IM1,'Výpočet VP 2020'!$A$4:$B$318,2,FALSE)</f>
        <v>PO KHK</v>
      </c>
      <c r="IN5" s="588" t="str">
        <f>VLOOKUP(IN1,'Výpočet VP 2020'!$A$4:$B$318,2,FALSE)</f>
        <v>PO KHK</v>
      </c>
      <c r="IO5" s="588" t="str">
        <f>VLOOKUP(IO1,'Výpočet VP 2020'!$A$4:$B$318,2,FALSE)</f>
        <v>PO KHK</v>
      </c>
      <c r="IP5" s="588" t="str">
        <f>VLOOKUP(IP1,'Výpočet VP 2020'!$A$4:$B$318,2,FALSE)</f>
        <v>PO KHK</v>
      </c>
      <c r="IQ5" s="588" t="str">
        <f>VLOOKUP(IQ1,'Výpočet VP 2020'!$A$4:$B$318,2,FALSE)</f>
        <v>PO KHK</v>
      </c>
      <c r="IR5" s="588" t="str">
        <f>VLOOKUP(IR1,'Výpočet VP 2020'!$A$4:$B$318,2,FALSE)</f>
        <v>PO KHK</v>
      </c>
      <c r="IS5" s="588" t="str">
        <f>VLOOKUP(IS1,'Výpočet VP 2020'!$A$4:$B$318,2,FALSE)</f>
        <v>PO KHK</v>
      </c>
      <c r="IT5" s="588" t="str">
        <f>VLOOKUP(IT1,'Výpočet VP 2020'!$A$4:$B$318,2,FALSE)</f>
        <v>PO KHK</v>
      </c>
      <c r="IU5" s="588" t="str">
        <f>VLOOKUP(IU1,'Výpočet VP 2020'!$A$4:$B$318,2,FALSE)</f>
        <v>PO KHK</v>
      </c>
      <c r="IV5" s="588" t="str">
        <f>VLOOKUP(IV1,'Výpočet VP 2020'!$A$4:$B$318,2,FALSE)</f>
        <v>PO KHK</v>
      </c>
      <c r="IW5" s="588" t="str">
        <f>VLOOKUP(IW1,'Výpočet VP 2020'!$A$4:$B$318,2,FALSE)</f>
        <v>PO KHK</v>
      </c>
      <c r="IX5" s="588" t="str">
        <f>VLOOKUP(IX1,'Výpočet VP 2020'!$A$4:$B$318,2,FALSE)</f>
        <v>PO KHK</v>
      </c>
      <c r="IY5" s="588" t="str">
        <f>VLOOKUP(IY1,'Výpočet VP 2020'!$A$4:$B$318,2,FALSE)</f>
        <v>PO KHK</v>
      </c>
      <c r="IZ5" s="588" t="str">
        <f>VLOOKUP(IZ1,'Výpočet VP 2020'!$A$4:$B$318,2,FALSE)</f>
        <v>PO KHK</v>
      </c>
      <c r="JA5" s="588" t="str">
        <f>VLOOKUP(JA1,'Výpočet VP 2020'!$A$4:$B$318,2,FALSE)</f>
        <v>PO KHK</v>
      </c>
      <c r="JB5" s="588" t="str">
        <f>VLOOKUP(JB1,'Výpočet VP 2020'!$A$4:$B$318,2,FALSE)</f>
        <v>PO KHK</v>
      </c>
      <c r="JC5" s="588" t="str">
        <f>VLOOKUP(JC1,'Výpočet VP 2020'!$A$4:$B$318,2,FALSE)</f>
        <v>PO KHK</v>
      </c>
      <c r="JD5" s="588" t="str">
        <f>VLOOKUP(JD1,'Výpočet VP 2020'!$A$4:$B$318,2,FALSE)</f>
        <v>PO KHK</v>
      </c>
      <c r="JE5" s="588" t="str">
        <f>VLOOKUP(JE1,'Výpočet VP 2020'!$A$4:$B$318,2,FALSE)</f>
        <v>PO KHK</v>
      </c>
      <c r="JF5" s="588" t="str">
        <f>VLOOKUP(JF1,'Výpočet VP 2020'!$A$4:$B$318,2,FALSE)</f>
        <v>PO KHK</v>
      </c>
      <c r="JG5" s="588" t="str">
        <f>VLOOKUP(JG1,'Výpočet VP 2020'!$A$4:$B$318,2,FALSE)</f>
        <v>PO KHK</v>
      </c>
      <c r="JH5" s="588" t="str">
        <f>VLOOKUP(JH1,'Výpočet VP 2020'!$A$4:$B$318,2,FALSE)</f>
        <v>PO KHK</v>
      </c>
      <c r="JI5" s="472"/>
      <c r="JL5" s="582" t="s">
        <v>1086</v>
      </c>
      <c r="JM5" s="582" t="s">
        <v>1770</v>
      </c>
      <c r="JN5" s="582" t="s">
        <v>1771</v>
      </c>
      <c r="JO5" s="582" t="s">
        <v>1806</v>
      </c>
    </row>
    <row r="6" spans="1:276" s="582" customFormat="1" ht="13.15" customHeight="1" x14ac:dyDescent="0.2">
      <c r="A6" s="472"/>
      <c r="B6" s="472"/>
      <c r="C6" s="473" t="str">
        <f>VLOOKUP(C1,'Výdaje obcí 2018'!$L$3:O287,4,FALSE)</f>
        <v>Mlázovice</v>
      </c>
      <c r="D6" s="473" t="str">
        <f>VLOOKUP(D1,'Výdaje obcí 2018'!$L$3:P287,4,FALSE)</f>
        <v>Chomutice</v>
      </c>
      <c r="E6" s="473" t="str">
        <f>VLOOKUP(E1,'Výdaje obcí 2018'!$L$3:Q287,4,FALSE)</f>
        <v>Slatiny</v>
      </c>
      <c r="F6" s="473"/>
      <c r="G6" s="473"/>
      <c r="H6" s="473"/>
      <c r="I6" s="473"/>
      <c r="J6" s="577">
        <f t="shared" ref="J6:K6" si="0">J99</f>
        <v>0.06</v>
      </c>
      <c r="K6" s="577">
        <f t="shared" si="0"/>
        <v>5.9999999999999991E-2</v>
      </c>
      <c r="L6" s="473"/>
      <c r="M6" s="473"/>
      <c r="N6" s="473"/>
      <c r="O6" s="473"/>
      <c r="P6" s="473"/>
      <c r="Q6" s="473"/>
      <c r="R6" s="473"/>
      <c r="S6" s="473"/>
      <c r="T6" s="473"/>
      <c r="U6" s="473"/>
      <c r="V6" s="473"/>
      <c r="W6" s="473"/>
      <c r="X6" s="473"/>
      <c r="Y6" s="473"/>
      <c r="Z6" s="473"/>
      <c r="AA6" s="473"/>
      <c r="AB6" s="473"/>
      <c r="AC6" s="473"/>
      <c r="AD6" s="473"/>
      <c r="AE6" s="473"/>
      <c r="AF6" s="577">
        <f t="shared" ref="AF6" si="1">AF99</f>
        <v>0.06</v>
      </c>
      <c r="AG6" s="473"/>
      <c r="AH6" s="473"/>
      <c r="AI6" s="577">
        <f>AI99</f>
        <v>5.0425286138259799E-2</v>
      </c>
      <c r="AJ6" s="577">
        <f t="shared" ref="AJ6:AK6" si="2">AJ99</f>
        <v>4.1251313615013253E-2</v>
      </c>
      <c r="AK6" s="577">
        <f t="shared" si="2"/>
        <v>5.6629452359967337E-2</v>
      </c>
      <c r="AL6" s="473"/>
      <c r="AM6" s="473"/>
      <c r="AN6" s="473"/>
      <c r="AO6" s="473"/>
      <c r="AP6" s="577">
        <f t="shared" ref="AP6" si="3">AP99</f>
        <v>5.8385662510748955E-2</v>
      </c>
      <c r="AQ6" s="473"/>
      <c r="AR6" s="473"/>
      <c r="AS6" s="473"/>
      <c r="AT6" s="473"/>
      <c r="AU6" s="473"/>
      <c r="AV6" s="473"/>
      <c r="AW6" s="473"/>
      <c r="AX6" s="473"/>
      <c r="AY6" s="473"/>
      <c r="AZ6" s="473"/>
      <c r="BA6" s="473"/>
      <c r="BB6" s="473"/>
      <c r="BC6" s="473"/>
      <c r="BD6" s="473"/>
      <c r="BE6" s="473"/>
      <c r="BF6" s="473"/>
      <c r="BG6" s="473"/>
      <c r="BH6" s="473"/>
      <c r="BI6" s="473"/>
      <c r="BJ6" s="473"/>
      <c r="BK6" s="473"/>
      <c r="BL6" s="577">
        <f t="shared" ref="BL6:BM6" si="4">BL99</f>
        <v>0.06</v>
      </c>
      <c r="BM6" s="577">
        <f t="shared" si="4"/>
        <v>5.438739404457979E-2</v>
      </c>
      <c r="BN6" s="473"/>
      <c r="BO6" s="473"/>
      <c r="BP6" s="473"/>
      <c r="BQ6" s="577">
        <f t="shared" ref="BQ6" si="5">BQ99</f>
        <v>0.06</v>
      </c>
      <c r="BR6" s="473"/>
      <c r="BS6" s="473"/>
      <c r="BT6" s="473"/>
      <c r="BU6" s="473"/>
      <c r="BV6" s="577">
        <f t="shared" ref="BV6:BW6" si="6">BV99</f>
        <v>6.0000000000000005E-2</v>
      </c>
      <c r="BW6" s="577">
        <f t="shared" si="6"/>
        <v>5.9999999999999991E-2</v>
      </c>
      <c r="BX6" s="473"/>
      <c r="BY6" s="473"/>
      <c r="BZ6" s="473"/>
      <c r="CA6" s="473"/>
      <c r="CB6" s="577">
        <f t="shared" ref="CB6" si="7">CB99</f>
        <v>0.06</v>
      </c>
      <c r="CC6" s="473"/>
      <c r="CD6" s="473"/>
      <c r="CE6" s="473"/>
      <c r="CF6" s="473"/>
      <c r="CG6" s="473"/>
      <c r="CH6" s="473"/>
      <c r="CI6" s="473"/>
      <c r="CJ6" s="473"/>
      <c r="CK6" s="473"/>
      <c r="CL6" s="473"/>
      <c r="CM6" s="473"/>
      <c r="CN6" s="473"/>
      <c r="CO6" s="473"/>
      <c r="CP6" s="473"/>
      <c r="CQ6" s="473"/>
      <c r="CR6" s="473"/>
      <c r="CS6" s="577">
        <f t="shared" ref="CS6" si="8">CS99</f>
        <v>5.3831280094404285E-2</v>
      </c>
      <c r="CT6" s="473"/>
      <c r="CU6" s="473"/>
      <c r="CV6" s="577">
        <f t="shared" ref="CV6" si="9">CV99</f>
        <v>0.06</v>
      </c>
      <c r="CW6" s="473"/>
      <c r="CX6" s="473"/>
      <c r="CY6" s="473"/>
      <c r="CZ6" s="473"/>
      <c r="DA6" s="473"/>
      <c r="DB6" s="473"/>
      <c r="DC6" s="473"/>
      <c r="DD6" s="473"/>
      <c r="DE6" s="473"/>
      <c r="DF6" s="473"/>
      <c r="DG6" s="577">
        <f t="shared" ref="DG6" si="10">DG99</f>
        <v>6.0000000000000005E-2</v>
      </c>
      <c r="DH6" s="473"/>
      <c r="DI6" s="473"/>
      <c r="DJ6" s="473"/>
      <c r="DK6" s="473"/>
      <c r="DL6" s="473"/>
      <c r="DM6" s="473"/>
      <c r="DN6" s="473"/>
      <c r="DO6" s="577">
        <f t="shared" ref="DO6" si="11">DO99</f>
        <v>0.06</v>
      </c>
      <c r="DP6" s="473"/>
      <c r="DQ6" s="473"/>
      <c r="DR6" s="577">
        <f t="shared" ref="DR6:DT6" si="12">DR99</f>
        <v>5.9012499071701537E-2</v>
      </c>
      <c r="DS6" s="577">
        <f t="shared" si="12"/>
        <v>0.06</v>
      </c>
      <c r="DT6" s="577">
        <f t="shared" si="12"/>
        <v>4.8413211129688875E-2</v>
      </c>
      <c r="DU6" s="473"/>
      <c r="DV6" s="473"/>
      <c r="DW6" s="577">
        <f t="shared" ref="DW6" si="13">DW99</f>
        <v>0</v>
      </c>
      <c r="DX6" s="473"/>
      <c r="DY6" s="473"/>
      <c r="DZ6" s="577">
        <f t="shared" ref="DZ6" si="14">DZ99</f>
        <v>0.06</v>
      </c>
      <c r="EA6" s="473"/>
      <c r="EB6" s="473"/>
      <c r="EC6" s="473"/>
      <c r="ED6" s="473"/>
      <c r="EE6" s="473"/>
      <c r="EF6" s="473"/>
      <c r="EG6" s="577">
        <f t="shared" ref="EG6" si="15">EG99</f>
        <v>0.06</v>
      </c>
      <c r="EH6" s="473"/>
      <c r="EI6" s="473"/>
      <c r="EJ6" s="577">
        <f t="shared" ref="EJ6" si="16">EJ99</f>
        <v>0.06</v>
      </c>
      <c r="EK6" s="473"/>
      <c r="EL6" s="473"/>
      <c r="EM6" s="473"/>
      <c r="EN6" s="577">
        <f t="shared" ref="EN6" si="17">EN99</f>
        <v>0.06</v>
      </c>
      <c r="EO6" s="473"/>
      <c r="EP6" s="473"/>
      <c r="EQ6" s="577">
        <f t="shared" ref="EQ6" si="18">EQ99</f>
        <v>0.06</v>
      </c>
      <c r="ER6" s="473"/>
      <c r="ES6" s="473"/>
      <c r="ET6" s="577">
        <f t="shared" ref="ET6:EU6" si="19">ET99</f>
        <v>0</v>
      </c>
      <c r="EU6" s="577">
        <f t="shared" si="19"/>
        <v>4.184415687525137E-3</v>
      </c>
      <c r="EV6" s="473" t="str">
        <f>VLOOKUP(EV1,'Výdaje obcí 2018'!$L$3:FE287,4,FALSE)</f>
        <v>Broumov</v>
      </c>
      <c r="EW6" s="473" t="str">
        <f>VLOOKUP(EW1,'Výdaje obcí 2018'!$L$3:FF287,4,FALSE)</f>
        <v>Broumov</v>
      </c>
      <c r="EX6" s="473" t="str">
        <f>VLOOKUP(EX1,'Výdaje obcí 2018'!$L$3:FG287,4,FALSE)</f>
        <v>Broumov</v>
      </c>
      <c r="EY6" s="473" t="str">
        <f>VLOOKUP(EY1,'Výdaje obcí 2018'!$L$3:FH287,4,FALSE)</f>
        <v>Broumov</v>
      </c>
      <c r="EZ6" s="473" t="str">
        <f>VLOOKUP(EZ1,'Výdaje obcí 2018'!$L$3:FU287,4,FALSE)</f>
        <v>Česká Skalice</v>
      </c>
      <c r="FA6" s="473" t="str">
        <f>VLOOKUP(FA1,'Výdaje obcí 2018'!$L$3:FV287,4,FALSE)</f>
        <v>Dobruška</v>
      </c>
      <c r="FB6" s="473" t="str">
        <f>VLOOKUP(FB1,'Výdaje obcí 2018'!$L$3:HG287,4,FALSE)</f>
        <v>Dolní Kalná</v>
      </c>
      <c r="FC6" s="473" t="str">
        <f>VLOOKUP(FC1,'Výdaje obcí 2018'!$L$3:GY287,4,FALSE)</f>
        <v>Dvůr Králové nad Labem</v>
      </c>
      <c r="FD6" s="473" t="str">
        <f>VLOOKUP(FD1,'Výdaje obcí 2018'!$L$3:GZ287,4,FALSE)</f>
        <v>Dvůr Králové nad Labem</v>
      </c>
      <c r="FE6" s="473" t="str">
        <f>VLOOKUP(FE1,'Výdaje obcí 2018'!$L$3:HA287,4,FALSE)</f>
        <v>Dvůr Králové nad Labem</v>
      </c>
      <c r="FF6" s="473" t="str">
        <f>VLOOKUP(FF1,'Výdaje obcí 2018'!$L$3:HH287,4,FALSE)</f>
        <v>Hořice</v>
      </c>
      <c r="FG6" s="473" t="str">
        <f>VLOOKUP(FG1,'Výdaje obcí 2018'!$L$3:HI287,4,FALSE)</f>
        <v>Hořice</v>
      </c>
      <c r="FH6" s="473" t="str">
        <f>VLOOKUP(FH1,'Výdaje obcí 2018'!$L$3:HJ287,4,FALSE)</f>
        <v>Hořice</v>
      </c>
      <c r="FI6" s="473" t="str">
        <f>VLOOKUP(FI1,'Výdaje obcí 2018'!$L$3:FL287,4,FALSE)</f>
        <v>Hronov</v>
      </c>
      <c r="FJ6" s="473" t="str">
        <f>VLOOKUP(FJ1,'Výdaje obcí 2018'!$L$3:FW287,4,FALSE)</f>
        <v>Hronov</v>
      </c>
      <c r="FK6" s="473" t="str">
        <f>VLOOKUP(FK1,'Výdaje obcí 2018'!$L$3:HS287,4,FALSE)</f>
        <v>Chlumec nad Cidlinou</v>
      </c>
      <c r="FL6" s="473" t="str">
        <f>VLOOKUP(FL1,'Výdaje obcí 2018'!$L$3:HT287,4,FALSE)</f>
        <v>Chlumec nad Cidlinou</v>
      </c>
      <c r="FM6" s="473" t="str">
        <f>VLOOKUP(FM1,'Výdaje obcí 2018'!$L$3:FX287,4,FALSE)</f>
        <v>Jaroměř</v>
      </c>
      <c r="FN6" s="473" t="str">
        <f>VLOOKUP(FN1,'Výdaje obcí 2018'!$L$3:HK287,4,FALSE)</f>
        <v>Jičín</v>
      </c>
      <c r="FO6" s="473" t="str">
        <f>VLOOKUP(FO1,'Výdaje obcí 2018'!$L$3:HL287,4,FALSE)</f>
        <v>Jičín</v>
      </c>
      <c r="FP6" s="473" t="str">
        <f>VLOOKUP(FP1,'Výdaje obcí 2018'!$L$3:HM287,4,FALSE)</f>
        <v>Jičín</v>
      </c>
      <c r="FQ6" s="473" t="str">
        <f>VLOOKUP(FQ1,'Výdaje obcí 2018'!$L$3:HN287,4,FALSE)</f>
        <v>Jičín</v>
      </c>
      <c r="FR6" s="473" t="s">
        <v>1781</v>
      </c>
      <c r="FS6" s="473" t="str">
        <f>VLOOKUP(FS1,'Výdaje obcí 2018'!$L$3:HP287,4,FALSE)</f>
        <v>Jičín</v>
      </c>
      <c r="FT6" s="473" t="str">
        <f>VLOOKUP(FT1,'Výdaje obcí 2018'!$L$3:FY287,4,FALSE)</f>
        <v>Kostelec nad Orlicí</v>
      </c>
      <c r="FU6" s="473" t="str">
        <f>VLOOKUP(FU1,'Výdaje obcí 2018'!$L$3:FZ287,4,FALSE)</f>
        <v>Kostelec nad Orlicí</v>
      </c>
      <c r="FV6" s="473" t="str">
        <f>VLOOKUP(FV1,'Výdaje obcí 2018'!$L$3:GX287,4,FALSE)</f>
        <v>Kvasiny</v>
      </c>
      <c r="FW6" s="473" t="str">
        <f>VLOOKUP(FW1,'Výdaje obcí 2018'!$L$3:GA287,4,FALSE)</f>
        <v>Lázně Bělohrad</v>
      </c>
      <c r="FX6" s="473" t="str">
        <f>VLOOKUP(FX1,'Výdaje obcí 2018'!$L$3:GB287,4,FALSE)</f>
        <v>Meziměstí</v>
      </c>
      <c r="FY6" s="473" t="str">
        <f>VLOOKUP(FY1,'Výdaje obcí 2018'!$L$3:GC287,4,FALSE)</f>
        <v>Miletín</v>
      </c>
      <c r="FZ6" s="473" t="str">
        <f>VLOOKUP(FZ1,'Výdaje obcí 2018'!$L$3:GO287,4,FALSE)</f>
        <v>Náchod</v>
      </c>
      <c r="GA6" s="473" t="str">
        <f>VLOOKUP(GA1,'Výdaje obcí 2018'!$L$3:GP287,4,FALSE)</f>
        <v>Náchod</v>
      </c>
      <c r="GB6" s="473" t="str">
        <f>VLOOKUP(GB1,'Výdaje obcí 2018'!$L$3:GQ287,4,FALSE)</f>
        <v>Náchod</v>
      </c>
      <c r="GC6" s="473" t="str">
        <f>VLOOKUP(GC1,'Výdaje obcí 2018'!$L$3:HU287,4,FALSE)</f>
        <v>Nová Paka</v>
      </c>
      <c r="GD6" s="473" t="str">
        <f>VLOOKUP(GD1,'Výdaje obcí 2018'!$L$3:HV287,4,FALSE)</f>
        <v>Nová Paka</v>
      </c>
      <c r="GE6" s="473" t="str">
        <f>VLOOKUP(GE1,'Výdaje obcí 2018'!$L$3:GD287,4,FALSE)</f>
        <v>Nové Město nad Metují</v>
      </c>
      <c r="GF6" s="473" t="str">
        <f>VLOOKUP(GF1,'Výdaje obcí 2018'!$L$3:GR287,4,FALSE)</f>
        <v>Nové Město nad Metují</v>
      </c>
      <c r="GG6" s="473" t="str">
        <f>VLOOKUP(GG1,'Výdaje obcí 2018'!$L$3:GS287,4,FALSE)</f>
        <v>Nové Město nad Metují</v>
      </c>
      <c r="GH6" s="473" t="str">
        <f>VLOOKUP(GH1,'Výdaje obcí 2018'!$L$3:GT287,4,FALSE)</f>
        <v>Nové Město nad Metují</v>
      </c>
      <c r="GI6" s="473" t="str">
        <f>VLOOKUP(GI1,'Výdaje obcí 2018'!$L$3:GU287,4,FALSE)</f>
        <v>Nové Město nad Metují</v>
      </c>
      <c r="GJ6" s="473" t="str">
        <f>VLOOKUP(GJ1,'Výdaje obcí 2018'!$L$3:FN287,4,FALSE)</f>
        <v>Nový Bydžov</v>
      </c>
      <c r="GK6" s="473" t="str">
        <f>VLOOKUP(GK1,'Výdaje obcí 2018'!$L$3:FO287,4,FALSE)</f>
        <v>Nový Bydžov</v>
      </c>
      <c r="GL6" s="473" t="str">
        <f>VLOOKUP(GL1,'Výdaje obcí 2018'!$L$3:FP287,4,FALSE)</f>
        <v>Nový Bydžov</v>
      </c>
      <c r="GM6" s="473" t="str">
        <f>VLOOKUP(GM1,'Výdaje obcí 2018'!$L$3:FQ287,4,FALSE)</f>
        <v>Nový Bydžov</v>
      </c>
      <c r="GN6" s="473" t="str">
        <f>VLOOKUP(GN1,'Výdaje obcí 2018'!$L$3:GE287,4,FALSE)</f>
        <v>Nový Bydžov</v>
      </c>
      <c r="GO6" s="473" t="str">
        <f>VLOOKUP(GO1,'Výdaje obcí 2018'!$L$3:HQ287,4,FALSE)</f>
        <v>Opočno</v>
      </c>
      <c r="GP6" s="473" t="str">
        <f>VLOOKUP(GP1,'Výdaje obcí 2018'!$L$3:GV287,4,FALSE)</f>
        <v>Pecka</v>
      </c>
      <c r="GQ6" s="473" t="str">
        <f>VLOOKUP(GQ1,'Výdaje obcí 2018'!$L$3:GF287,4,FALSE)</f>
        <v>Police nad Metují</v>
      </c>
      <c r="GR6" s="473" t="str">
        <f>VLOOKUP(GR1,'Výdaje obcí 2018'!$L$3:GG287,4,FALSE)</f>
        <v>Rokytnice v Orlických horách</v>
      </c>
      <c r="GS6" s="473" t="str">
        <f>VLOOKUP(GS1,'Výdaje obcí 2018'!$L$3:GH287,4,FALSE)</f>
        <v>Rtyně v Podkrkonoší</v>
      </c>
      <c r="GT6" s="473" t="str">
        <f>VLOOKUP(GT1,'Výdaje obcí 2018'!$L$3:HD287,4,FALSE)</f>
        <v>Rychnov nad Kněžnou</v>
      </c>
      <c r="GU6" s="473" t="str">
        <f>VLOOKUP(GU1,'Výdaje obcí 2018'!$L$3:HE287,4,FALSE)</f>
        <v>Rychnov nad Kněžnou</v>
      </c>
      <c r="GV6" s="473" t="str">
        <f>VLOOKUP(GV1,'Výdaje obcí 2018'!$L$3:HF287,4,FALSE)</f>
        <v>Rychnov nad Kněžnou</v>
      </c>
      <c r="GW6" s="473" t="str">
        <f>VLOOKUP(GW1,'Výdaje obcí 2018'!$L$3:FR287,4,FALSE)</f>
        <v>Svoboda nad Úpou</v>
      </c>
      <c r="GX6" s="473" t="str">
        <f>VLOOKUP(GX1,'Výdaje obcí 2018'!$L$3:GI287,4,FALSE)</f>
        <v>Teplice nad Metují</v>
      </c>
      <c r="GY6" s="473" t="str">
        <f>VLOOKUP(GY1,'Výdaje obcí 2018'!$L$3:FM287,4,FALSE)</f>
        <v>Trutnov</v>
      </c>
      <c r="GZ6" s="473" t="s">
        <v>1799</v>
      </c>
      <c r="HA6" s="473" t="str">
        <f>VLOOKUP(HA1,'Výdaje obcí 2018'!$L$3:HB287,4,FALSE)</f>
        <v>Trutnov</v>
      </c>
      <c r="HB6" s="473" t="str">
        <f>VLOOKUP(HB1,'Výdaje obcí 2018'!$L$3:HR287,4,FALSE)</f>
        <v>Trutnov</v>
      </c>
      <c r="HC6" s="473" t="str">
        <f>VLOOKUP(HC1,'Výdaje obcí 2018'!$L$3:FK287,4,FALSE)</f>
        <v>Třebechovice pod Orebem</v>
      </c>
      <c r="HD6" s="473" t="str">
        <f>VLOOKUP(HD1,'Výdaje obcí 2018'!$L$3:FS287,4,FALSE)</f>
        <v>Týniště nad Orlicí</v>
      </c>
      <c r="HE6" s="473" t="str">
        <f>VLOOKUP(HE1,'Výdaje obcí 2018'!$L$3:FT287,4,FALSE)</f>
        <v>Týniště nad Orlicí</v>
      </c>
      <c r="HF6" s="473" t="str">
        <f>VLOOKUP(HF1,'Výdaje obcí 2018'!$L$3:GJ287,4,FALSE)</f>
        <v>Úpice</v>
      </c>
      <c r="HG6" s="473" t="str">
        <f>VLOOKUP(HG1,'Výdaje obcí 2018'!$L$3:GK287,4,FALSE)</f>
        <v>Úpice</v>
      </c>
      <c r="HH6" s="473" t="str">
        <f>VLOOKUP(HH1,'Výdaje obcí 2018'!$L$3:GL287,4,FALSE)</f>
        <v>Vamberk</v>
      </c>
      <c r="HI6" s="473" t="str">
        <f>VLOOKUP(HI1,'Výdaje obcí 2018'!$L$3:GM287,4,FALSE)</f>
        <v>Vrchlabí</v>
      </c>
      <c r="HJ6" s="473" t="str">
        <f>VLOOKUP(HJ1,'Výdaje obcí 2018'!$L$3:GN287,4,FALSE)</f>
        <v>Vrchlabí</v>
      </c>
      <c r="HK6" s="473" t="str">
        <f>VLOOKUP(HK1,'Výdaje obcí 2018'!$L$3:HC287,4,FALSE)</f>
        <v>Žacléř</v>
      </c>
      <c r="HL6" s="473">
        <f>VLOOKUP(HL1,'Výdaje obcí 2018'!$L$3:HW287,4,FALSE)</f>
        <v>0</v>
      </c>
      <c r="HM6" s="473">
        <f>VLOOKUP(HM1,'Výdaje obcí 2018'!$L$3:HX287,4,FALSE)</f>
        <v>0</v>
      </c>
      <c r="HN6" s="473">
        <f>VLOOKUP(HN1,'Výdaje obcí 2018'!$L$3:HY287,4,FALSE)</f>
        <v>0</v>
      </c>
      <c r="HO6" s="473">
        <f>VLOOKUP(HO1,'Výdaje obcí 2018'!$L$3:HZ287,4,FALSE)</f>
        <v>0</v>
      </c>
      <c r="HP6" s="473">
        <f>VLOOKUP(HP1,'Výdaje obcí 2018'!$L$3:IA287,4,FALSE)</f>
        <v>0</v>
      </c>
      <c r="HQ6" s="473">
        <f>VLOOKUP(HQ1,'Výdaje obcí 2018'!$L$3:IB287,4,FALSE)</f>
        <v>0</v>
      </c>
      <c r="HR6" s="473">
        <f>VLOOKUP(HR1,'Výdaje obcí 2018'!$L$3:IC287,4,FALSE)</f>
        <v>0</v>
      </c>
      <c r="HS6" s="473">
        <f>VLOOKUP(HS1,'Výdaje obcí 2018'!$L$3:ID287,4,FALSE)</f>
        <v>0</v>
      </c>
      <c r="HT6" s="473">
        <f>VLOOKUP(HT1,'Výdaje obcí 2018'!$L$3:IE287,4,FALSE)</f>
        <v>0</v>
      </c>
      <c r="HU6" s="473">
        <f>VLOOKUP(HU1,'Výdaje obcí 2018'!$L$3:IF287,4,FALSE)</f>
        <v>0</v>
      </c>
      <c r="HV6" s="473">
        <f>VLOOKUP(HV1,'Výdaje obcí 2018'!$L$3:IG287,4,FALSE)</f>
        <v>0</v>
      </c>
      <c r="HW6" s="473">
        <f>VLOOKUP(HW1,'Výdaje obcí 2018'!$L$3:IH287,4,FALSE)</f>
        <v>0</v>
      </c>
      <c r="HX6" s="473">
        <f>VLOOKUP(HX1,'Výdaje obcí 2018'!$L$3:II287,4,FALSE)</f>
        <v>0</v>
      </c>
      <c r="HY6" s="473">
        <f>VLOOKUP(HY1,'Výdaje obcí 2018'!$L$3:IJ287,4,FALSE)</f>
        <v>0</v>
      </c>
      <c r="HZ6" s="473">
        <f>VLOOKUP(HZ1,'Výdaje obcí 2018'!$L$3:IK287,4,FALSE)</f>
        <v>0</v>
      </c>
      <c r="IA6" s="473">
        <f>VLOOKUP(IA1,'Výdaje obcí 2018'!$L$3:IL287,4,FALSE)</f>
        <v>0</v>
      </c>
      <c r="IB6" s="473">
        <f>VLOOKUP(IB1,'Výdaje obcí 2018'!$L$3:IM287,4,FALSE)</f>
        <v>0</v>
      </c>
      <c r="IC6" s="473">
        <f>VLOOKUP(IC1,'Výdaje obcí 2018'!$L$3:IN287,4,FALSE)</f>
        <v>0</v>
      </c>
      <c r="ID6" s="473">
        <f>VLOOKUP(ID1,'Výdaje obcí 2018'!$L$3:IO287,4,FALSE)</f>
        <v>0</v>
      </c>
      <c r="IE6" s="473">
        <f>VLOOKUP(IE1,'Výdaje obcí 2018'!$L$3:IP287,4,FALSE)</f>
        <v>0</v>
      </c>
      <c r="IF6" s="473">
        <f>VLOOKUP(IF1,'Výdaje obcí 2018'!$L$3:IQ287,4,FALSE)</f>
        <v>0</v>
      </c>
      <c r="IG6" s="473">
        <f>VLOOKUP(IG1,'Výdaje obcí 2018'!$L$3:IR287,4,FALSE)</f>
        <v>0</v>
      </c>
      <c r="IH6" s="473">
        <f>VLOOKUP(IH1,'Výdaje obcí 2018'!$L$3:IS287,4,FALSE)</f>
        <v>0</v>
      </c>
      <c r="II6" s="473">
        <f>VLOOKUP(II1,'Výdaje obcí 2018'!$L$3:IT287,4,FALSE)</f>
        <v>0</v>
      </c>
      <c r="IJ6" s="473">
        <f>VLOOKUP(IJ1,'Výdaje obcí 2018'!$L$3:IU287,4,FALSE)</f>
        <v>0</v>
      </c>
      <c r="IK6" s="473">
        <f>VLOOKUP(IK1,'Výdaje obcí 2018'!$L$3:IV287,4,FALSE)</f>
        <v>0</v>
      </c>
      <c r="IL6" s="473">
        <f>VLOOKUP(IL1,'Výdaje obcí 2018'!$L$3:IW287,4,FALSE)</f>
        <v>0</v>
      </c>
      <c r="IM6" s="473">
        <f>VLOOKUP(IM1,'Výdaje obcí 2018'!$L$3:IX287,4,FALSE)</f>
        <v>0</v>
      </c>
      <c r="IN6" s="473">
        <f>VLOOKUP(IN1,'Výdaje obcí 2018'!$L$3:IY287,4,FALSE)</f>
        <v>0</v>
      </c>
      <c r="IO6" s="473">
        <f>VLOOKUP(IO1,'Výdaje obcí 2018'!$L$3:IZ287,4,FALSE)</f>
        <v>0</v>
      </c>
      <c r="IP6" s="473">
        <f>VLOOKUP(IP1,'Výdaje obcí 2018'!$L$3:JA287,4,FALSE)</f>
        <v>0</v>
      </c>
      <c r="IQ6" s="473">
        <f>VLOOKUP(IQ1,'Výdaje obcí 2018'!$L$3:JB287,4,FALSE)</f>
        <v>0</v>
      </c>
      <c r="IR6" s="473">
        <f>VLOOKUP(IR1,'Výdaje obcí 2018'!$L$3:JC287,4,FALSE)</f>
        <v>0</v>
      </c>
      <c r="IS6" s="473">
        <f>VLOOKUP(IS1,'Výdaje obcí 2018'!$L$3:JD287,4,FALSE)</f>
        <v>0</v>
      </c>
      <c r="IT6" s="473">
        <f>VLOOKUP(IT1,'Výdaje obcí 2018'!$L$3:JE287,4,FALSE)</f>
        <v>0</v>
      </c>
      <c r="IU6" s="473">
        <f>VLOOKUP(IU1,'Výdaje obcí 2018'!$L$3:JF287,4,FALSE)</f>
        <v>0</v>
      </c>
      <c r="IV6" s="473">
        <f>VLOOKUP(IV1,'Výdaje obcí 2018'!$L$3:JG287,4,FALSE)</f>
        <v>0</v>
      </c>
      <c r="IW6" s="473">
        <f>VLOOKUP(IW1,'Výdaje obcí 2018'!$L$3:JH287,4,FALSE)</f>
        <v>0</v>
      </c>
      <c r="IX6" s="473">
        <f>VLOOKUP(IX1,'Výdaje obcí 2018'!$L$3:JI287,4,FALSE)</f>
        <v>0</v>
      </c>
      <c r="IY6" s="473">
        <f>VLOOKUP(IY1,'Výdaje obcí 2018'!$L$3:JJ287,4,FALSE)</f>
        <v>0</v>
      </c>
      <c r="IZ6" s="473">
        <f>VLOOKUP(IZ1,'Výdaje obcí 2018'!$L$3:JK287,4,FALSE)</f>
        <v>0</v>
      </c>
      <c r="JA6" s="473">
        <f>VLOOKUP(JA1,'Výdaje obcí 2018'!$L$3:JL287,4,FALSE)</f>
        <v>0</v>
      </c>
      <c r="JB6" s="473">
        <f>VLOOKUP(JB1,'Výdaje obcí 2018'!$L$3:JM287,4,FALSE)</f>
        <v>0</v>
      </c>
      <c r="JC6" s="473">
        <f>VLOOKUP(JC1,'Výdaje obcí 2018'!$L$3:JN287,4,FALSE)</f>
        <v>0</v>
      </c>
      <c r="JD6" s="473">
        <f>VLOOKUP(JD1,'Výdaje obcí 2018'!$L$3:JO287,4,FALSE)</f>
        <v>0</v>
      </c>
      <c r="JE6" s="473">
        <f>VLOOKUP(JE1,'Výdaje obcí 2018'!$L$3:JP287,4,FALSE)</f>
        <v>0</v>
      </c>
      <c r="JF6" s="473">
        <f>VLOOKUP(JF1,'Výdaje obcí 2018'!$L$3:JQ287,4,FALSE)</f>
        <v>0</v>
      </c>
      <c r="JG6" s="473">
        <f>VLOOKUP(JG1,'Výdaje obcí 2018'!$L$3:JR287,4,FALSE)</f>
        <v>0</v>
      </c>
      <c r="JH6" s="473">
        <f>VLOOKUP(JH1,'Výdaje obcí 2018'!$L$3:JS287,4,FALSE)</f>
        <v>0</v>
      </c>
      <c r="JI6" s="472"/>
    </row>
    <row r="7" spans="1:276" ht="13.15" customHeight="1" x14ac:dyDescent="0.25">
      <c r="B7" s="313" t="s">
        <v>1813</v>
      </c>
      <c r="C7" s="314">
        <f>IFERROR(VLOOKUP(C$1,'žádosti MPSV 2020'!$SF$8:$VN$276,60,FALSE),0)</f>
        <v>9150000</v>
      </c>
      <c r="D7" s="314">
        <f>IFERROR(VLOOKUP(D$1,'žádosti MPSV 2020'!$SF$8:$VN$276,60,FALSE),0)</f>
        <v>7730000</v>
      </c>
      <c r="E7" s="314">
        <f>IFERROR(VLOOKUP(E$1,'žádosti MPSV 2020'!$SF$8:$VN$276,60,FALSE),0)</f>
        <v>9300000</v>
      </c>
      <c r="F7" s="314">
        <f>IFERROR(VLOOKUP(F$1,'žádosti MPSV 2020'!$SF$8:$VN$276,60,FALSE),0)</f>
        <v>4618835</v>
      </c>
      <c r="G7" s="314">
        <f>IFERROR(VLOOKUP(G$1,'žádosti MPSV 2020'!$SF$8:$VN$276,60,FALSE),0)</f>
        <v>10747751</v>
      </c>
      <c r="H7" s="314">
        <f>IFERROR(VLOOKUP(H$1,'žádosti MPSV 2020'!$SF$8:$VN$276,60,FALSE),0)</f>
        <v>1157858</v>
      </c>
      <c r="I7" s="314">
        <f>IFERROR(VLOOKUP(I$1,'žádosti MPSV 2020'!$SF$8:$VN$276,60,FALSE),0)</f>
        <v>3164198</v>
      </c>
      <c r="J7" s="314">
        <f>IFERROR(VLOOKUP(J$1,'žádosti MPSV 2020'!$SF$8:$VN$276,60,FALSE),0)</f>
        <v>2915400</v>
      </c>
      <c r="K7" s="314">
        <f>IFERROR(VLOOKUP(K$1,'žádosti MPSV 2020'!$SF$8:$VN$276,60,FALSE),0)</f>
        <v>5988080</v>
      </c>
      <c r="L7" s="314">
        <f>IFERROR(VLOOKUP(L$1,'žádosti MPSV 2020'!$SF$8:$VN$276,60,FALSE),0)</f>
        <v>4702400</v>
      </c>
      <c r="M7" s="314">
        <f>IFERROR(VLOOKUP(M$1,'žádosti MPSV 2020'!$SF$8:$VN$276,60,FALSE),0)</f>
        <v>4800000</v>
      </c>
      <c r="N7" s="314">
        <f>IFERROR(VLOOKUP(N$1,'žádosti MPSV 2020'!$SF$8:$VN$276,60,FALSE),0)</f>
        <v>6300000</v>
      </c>
      <c r="O7" s="314">
        <f>IFERROR(VLOOKUP(O$1,'žádosti MPSV 2020'!$SF$8:$VN$276,60,FALSE),0)</f>
        <v>4346141</v>
      </c>
      <c r="P7" s="314">
        <f>IFERROR(VLOOKUP(P$1,'žádosti MPSV 2020'!$SF$8:$VN$276,60,FALSE),0)</f>
        <v>2694928</v>
      </c>
      <c r="Q7" s="314">
        <f>IFERROR(VLOOKUP(Q$1,'žádosti MPSV 2020'!$SF$8:$VN$276,60,FALSE),0)</f>
        <v>2795000</v>
      </c>
      <c r="R7" s="314">
        <f>IFERROR(VLOOKUP(R$1,'žádosti MPSV 2020'!$SF$8:$VN$276,60,FALSE),0)</f>
        <v>2091000</v>
      </c>
      <c r="S7" s="314">
        <f>IFERROR(VLOOKUP(S$1,'žádosti MPSV 2020'!$SF$8:$VN$276,60,FALSE),0)</f>
        <v>1735000</v>
      </c>
      <c r="T7" s="314">
        <f>IFERROR(VLOOKUP(T$1,'žádosti MPSV 2020'!$SF$8:$VN$276,60,FALSE),0)</f>
        <v>698000</v>
      </c>
      <c r="U7" s="314">
        <f>IFERROR(VLOOKUP(U$1,'žádosti MPSV 2020'!$SF$8:$VN$276,60,FALSE),0)</f>
        <v>1087500</v>
      </c>
      <c r="V7" s="314">
        <f>IFERROR(VLOOKUP(V$1,'žádosti MPSV 2020'!$SF$8:$VN$276,60,FALSE),0)</f>
        <v>9285000</v>
      </c>
      <c r="W7" s="314">
        <f>IFERROR(VLOOKUP(W$1,'žádosti MPSV 2020'!$SF$8:$VN$276,60,FALSE),0)</f>
        <v>2130000</v>
      </c>
      <c r="X7" s="314">
        <f>IFERROR(VLOOKUP(X$1,'žádosti MPSV 2020'!$SF$8:$VN$276,60,FALSE),0)</f>
        <v>2988500</v>
      </c>
      <c r="Y7" s="314">
        <f>IFERROR(VLOOKUP(Y$1,'žádosti MPSV 2020'!$SF$8:$VN$276,60,FALSE),0)</f>
        <v>1770700</v>
      </c>
      <c r="Z7" s="314">
        <f>IFERROR(VLOOKUP(Z$1,'žádosti MPSV 2020'!$SF$8:$VN$276,60,FALSE),0)</f>
        <v>7231924</v>
      </c>
      <c r="AA7" s="314">
        <f>IFERROR(VLOOKUP(AA$1,'žádosti MPSV 2020'!$SF$8:$VN$276,60,FALSE),0)</f>
        <v>4621783</v>
      </c>
      <c r="AB7" s="314">
        <f>IFERROR(VLOOKUP(AB$1,'žádosti MPSV 2020'!$SF$8:$VN$276,60,FALSE),0)</f>
        <v>4630000</v>
      </c>
      <c r="AC7" s="314">
        <f>IFERROR(VLOOKUP(AC$1,'žádosti MPSV 2020'!$SF$8:$VN$276,60,FALSE),0)</f>
        <v>749000</v>
      </c>
      <c r="AD7" s="314">
        <f>IFERROR(VLOOKUP(AD$1,'žádosti MPSV 2020'!$SF$8:$VN$276,60,FALSE),0)</f>
        <v>2672000</v>
      </c>
      <c r="AE7" s="314">
        <f>IFERROR(VLOOKUP(AE$1,'žádosti MPSV 2020'!$SF$8:$VN$276,60,FALSE),0)</f>
        <v>805640</v>
      </c>
      <c r="AF7" s="314">
        <f>IFERROR(VLOOKUP(AF$1,'žádosti MPSV 2020'!$SF$8:$VN$276,60,FALSE),0)</f>
        <v>1425292</v>
      </c>
      <c r="AG7" s="314">
        <f>IFERROR(VLOOKUP(AG$1,'žádosti MPSV 2020'!$SF$8:$VN$276,60,FALSE),0)</f>
        <v>3596000</v>
      </c>
      <c r="AH7" s="314">
        <f>IFERROR(VLOOKUP(AH$1,'žádosti MPSV 2020'!$SF$8:$VN$276,60,FALSE),0)</f>
        <v>760000</v>
      </c>
      <c r="AI7" s="314">
        <f>IFERROR(VLOOKUP(AI$1,'žádosti MPSV 2020'!$SF$8:$VN$276,60,FALSE),0)</f>
        <v>3404000</v>
      </c>
      <c r="AJ7" s="314">
        <f>IFERROR(VLOOKUP(AJ$1,'žádosti MPSV 2020'!$SF$8:$VN$276,60,FALSE),0)</f>
        <v>2585000</v>
      </c>
      <c r="AK7" s="314">
        <f>IFERROR(VLOOKUP(AK$1,'žádosti MPSV 2020'!$SF$8:$VN$276,60,FALSE),0)</f>
        <v>1251400</v>
      </c>
      <c r="AL7" s="314">
        <f>IFERROR(VLOOKUP(AL$1,'žádosti MPSV 2020'!$SF$8:$VN$276,60,FALSE),0)</f>
        <v>2630000</v>
      </c>
      <c r="AM7" s="314">
        <f>IFERROR(VLOOKUP(AM$1,'žádosti MPSV 2020'!$SF$8:$VN$276,60,FALSE),0)</f>
        <v>1634492</v>
      </c>
      <c r="AN7" s="314">
        <f>IFERROR(VLOOKUP(AN$1,'žádosti MPSV 2020'!$SF$8:$VN$276,60,FALSE),0)</f>
        <v>1177000</v>
      </c>
      <c r="AO7" s="314">
        <f>IFERROR(VLOOKUP(AO$1,'žádosti MPSV 2020'!$SF$8:$VN$276,60,FALSE),0)</f>
        <v>5500000</v>
      </c>
      <c r="AP7" s="314">
        <f>IFERROR(VLOOKUP(AP$1,'žádosti MPSV 2020'!$SF$8:$VN$276,60,FALSE),0)</f>
        <v>2220000</v>
      </c>
      <c r="AQ7" s="314">
        <f>IFERROR(VLOOKUP(AQ$1,'žádosti MPSV 2020'!$SF$8:$VN$276,60,FALSE),0)</f>
        <v>491000</v>
      </c>
      <c r="AR7" s="314">
        <f>IFERROR(VLOOKUP(AR$1,'žádosti MPSV 2020'!$SF$8:$VN$276,60,FALSE),0)</f>
        <v>1929000</v>
      </c>
      <c r="AS7" s="314">
        <f>IFERROR(VLOOKUP(AS$1,'žádosti MPSV 2020'!$SF$8:$VN$276,60,FALSE),0)</f>
        <v>640200</v>
      </c>
      <c r="AT7" s="314">
        <f>IFERROR(VLOOKUP(AT$1,'žádosti MPSV 2020'!$SF$8:$VN$276,60,FALSE),0)</f>
        <v>2900000</v>
      </c>
      <c r="AU7" s="314">
        <f>IFERROR(VLOOKUP(AU$1,'žádosti MPSV 2020'!$SF$8:$VN$276,60,FALSE),0)</f>
        <v>1416300</v>
      </c>
      <c r="AV7" s="314">
        <f>IFERROR(VLOOKUP(AV$1,'žádosti MPSV 2020'!$SF$8:$VN$276,60,FALSE),0)</f>
        <v>2235500</v>
      </c>
      <c r="AW7" s="314">
        <f>IFERROR(VLOOKUP(AW$1,'žádosti MPSV 2020'!$SF$8:$VN$276,60,FALSE),0)</f>
        <v>3142100</v>
      </c>
      <c r="AX7" s="314">
        <f>IFERROR(VLOOKUP(AX$1,'žádosti MPSV 2020'!$SF$8:$VN$276,60,FALSE),0)</f>
        <v>3395000</v>
      </c>
      <c r="AY7" s="314">
        <f>IFERROR(VLOOKUP(AY$1,'žádosti MPSV 2020'!$SF$8:$VN$276,60,FALSE),0)</f>
        <v>3471000</v>
      </c>
      <c r="AZ7" s="314">
        <f>IFERROR(VLOOKUP(AZ$1,'žádosti MPSV 2020'!$SF$8:$VN$276,60,FALSE),0)</f>
        <v>2981000</v>
      </c>
      <c r="BA7" s="314">
        <f>IFERROR(VLOOKUP(BA$1,'žádosti MPSV 2020'!$SF$8:$VN$276,60,FALSE),0)</f>
        <v>9230000</v>
      </c>
      <c r="BB7" s="314">
        <f>IFERROR(VLOOKUP(BB$1,'žádosti MPSV 2020'!$SF$8:$VN$276,60,FALSE),0)</f>
        <v>1312920</v>
      </c>
      <c r="BC7" s="314">
        <f>IFERROR(VLOOKUP(BC$1,'žádosti MPSV 2020'!$SF$8:$VN$276,60,FALSE),0)</f>
        <v>1668800</v>
      </c>
      <c r="BD7" s="314">
        <f>IFERROR(VLOOKUP(BD$1,'žádosti MPSV 2020'!$SF$8:$VN$276,60,FALSE),0)</f>
        <v>2208600</v>
      </c>
      <c r="BE7" s="314">
        <f>IFERROR(VLOOKUP(BE$1,'žádosti MPSV 2020'!$SF$8:$VN$276,60,FALSE),0)</f>
        <v>1290900</v>
      </c>
      <c r="BF7" s="314">
        <f>IFERROR(VLOOKUP(BF$1,'žádosti MPSV 2020'!$SF$8:$VN$276,60,FALSE),0)</f>
        <v>2020000</v>
      </c>
      <c r="BG7" s="314">
        <f>IFERROR(VLOOKUP(BG$1,'žádosti MPSV 2020'!$SF$8:$VN$276,60,FALSE),0)</f>
        <v>2499000</v>
      </c>
      <c r="BH7" s="314">
        <f>IFERROR(VLOOKUP(BH$1,'žádosti MPSV 2020'!$SF$8:$VN$276,60,FALSE),0)</f>
        <v>3206000</v>
      </c>
      <c r="BI7" s="314">
        <f>IFERROR(VLOOKUP(BI$1,'žádosti MPSV 2020'!$SF$8:$VN$276,60,FALSE),0)</f>
        <v>1270000</v>
      </c>
      <c r="BJ7" s="314">
        <f>IFERROR(VLOOKUP(BJ$1,'žádosti MPSV 2020'!$SF$8:$VN$276,60,FALSE),0)</f>
        <v>3539000</v>
      </c>
      <c r="BK7" s="314">
        <f>IFERROR(VLOOKUP(BK$1,'žádosti MPSV 2020'!$SF$8:$VN$276,60,FALSE),0)</f>
        <v>100000</v>
      </c>
      <c r="BL7" s="314">
        <f>IFERROR(VLOOKUP(BL$1,'žádosti MPSV 2020'!$SF$8:$VN$276,60,FALSE),0)</f>
        <v>1000000</v>
      </c>
      <c r="BM7" s="314">
        <f>IFERROR(VLOOKUP(BM$1,'žádosti MPSV 2020'!$SF$8:$VN$276,60,FALSE),0)</f>
        <v>1464826</v>
      </c>
      <c r="BN7" s="314">
        <f>IFERROR(VLOOKUP(BN$1,'žádosti MPSV 2020'!$SF$8:$VN$276,60,FALSE),0)</f>
        <v>1902000</v>
      </c>
      <c r="BO7" s="314">
        <f>IFERROR(VLOOKUP(BO$1,'žádosti MPSV 2020'!$SF$8:$VN$276,60,FALSE),0)</f>
        <v>1072000</v>
      </c>
      <c r="BP7" s="314">
        <f>IFERROR(VLOOKUP(BP$1,'žádosti MPSV 2020'!$SF$8:$VN$276,60,FALSE),0)</f>
        <v>4739080</v>
      </c>
      <c r="BQ7" s="314">
        <f>IFERROR(VLOOKUP(BQ$1,'žádosti MPSV 2020'!$SF$8:$VN$276,60,FALSE),0)</f>
        <v>112726</v>
      </c>
      <c r="BR7" s="314">
        <f>IFERROR(VLOOKUP(BR$1,'žádosti MPSV 2020'!$SF$8:$VN$276,60,FALSE),0)</f>
        <v>1013021</v>
      </c>
      <c r="BS7" s="314">
        <f>IFERROR(VLOOKUP(BS$1,'žádosti MPSV 2020'!$SF$8:$VN$276,60,FALSE),0)</f>
        <v>1408027</v>
      </c>
      <c r="BT7" s="314">
        <f>IFERROR(VLOOKUP(BT$1,'žádosti MPSV 2020'!$SF$8:$VN$276,60,FALSE),0)</f>
        <v>956642</v>
      </c>
      <c r="BU7" s="314">
        <f>IFERROR(VLOOKUP(BU$1,'žádosti MPSV 2020'!$SF$8:$VN$276,60,FALSE),0)</f>
        <v>5554950</v>
      </c>
      <c r="BV7" s="314">
        <f>IFERROR(VLOOKUP(BV$1,'žádosti MPSV 2020'!$SF$8:$VN$276,60,FALSE),0)</f>
        <v>1310620</v>
      </c>
      <c r="BW7" s="314">
        <f>IFERROR(VLOOKUP(BW$1,'žádosti MPSV 2020'!$SF$8:$VN$276,60,FALSE),0)</f>
        <v>590000</v>
      </c>
      <c r="BX7" s="314">
        <f>IFERROR(VLOOKUP(BX$1,'žádosti MPSV 2020'!$SF$8:$VN$276,60,FALSE),0)</f>
        <v>5228000</v>
      </c>
      <c r="BY7" s="314">
        <f>IFERROR(VLOOKUP(BY$1,'žádosti MPSV 2020'!$SF$8:$VN$276,60,FALSE),0)</f>
        <v>1945000</v>
      </c>
      <c r="BZ7" s="314">
        <f>IFERROR(VLOOKUP(BZ$1,'žádosti MPSV 2020'!$SF$8:$VN$276,60,FALSE),0)</f>
        <v>398000</v>
      </c>
      <c r="CA7" s="314">
        <f>IFERROR(VLOOKUP(CA$1,'žádosti MPSV 2020'!$SF$8:$VN$276,60,FALSE),0)</f>
        <v>0</v>
      </c>
      <c r="CB7" s="314">
        <f>IFERROR(VLOOKUP(CB$1,'žádosti MPSV 2020'!$SF$8:$VN$276,60,FALSE),0)</f>
        <v>695000</v>
      </c>
      <c r="CC7" s="314">
        <f>IFERROR(VLOOKUP(CC$1,'žádosti MPSV 2020'!$SF$8:$VN$276,60,FALSE),0)</f>
        <v>2747000</v>
      </c>
      <c r="CD7" s="314">
        <f>IFERROR(VLOOKUP(CD$1,'žádosti MPSV 2020'!$SF$8:$VN$276,60,FALSE),0)</f>
        <v>991000</v>
      </c>
      <c r="CE7" s="314">
        <f>IFERROR(VLOOKUP(CE$1,'žádosti MPSV 2020'!$SF$8:$VN$276,60,FALSE),0)</f>
        <v>11492000</v>
      </c>
      <c r="CF7" s="314">
        <f>IFERROR(VLOOKUP(CF$1,'žádosti MPSV 2020'!$SF$8:$VN$276,60,FALSE),0)</f>
        <v>4720790</v>
      </c>
      <c r="CG7" s="314">
        <f>IFERROR(VLOOKUP(CG$1,'žádosti MPSV 2020'!$SF$8:$VN$276,60,FALSE),0)</f>
        <v>1390000</v>
      </c>
      <c r="CH7" s="314">
        <f>IFERROR(VLOOKUP(CH$1,'žádosti MPSV 2020'!$SF$8:$VN$276,60,FALSE),0)</f>
        <v>3703000</v>
      </c>
      <c r="CI7" s="314">
        <f>IFERROR(VLOOKUP(CI$1,'žádosti MPSV 2020'!$SF$8:$VN$276,60,FALSE),0)</f>
        <v>3270000</v>
      </c>
      <c r="CJ7" s="314">
        <f>IFERROR(VLOOKUP(CJ$1,'žádosti MPSV 2020'!$SF$8:$VN$276,60,FALSE),0)</f>
        <v>4513515</v>
      </c>
      <c r="CK7" s="314">
        <f>IFERROR(VLOOKUP(CK$1,'žádosti MPSV 2020'!$SF$8:$VN$276,60,FALSE),0)</f>
        <v>4542000</v>
      </c>
      <c r="CL7" s="314">
        <f>IFERROR(VLOOKUP(CL$1,'žádosti MPSV 2020'!$SF$8:$VN$276,60,FALSE),0)</f>
        <v>3015000</v>
      </c>
      <c r="CM7" s="314">
        <f>IFERROR(VLOOKUP(CM$1,'žádosti MPSV 2020'!$SF$8:$VN$276,60,FALSE),0)</f>
        <v>7604514</v>
      </c>
      <c r="CN7" s="314">
        <f>IFERROR(VLOOKUP(CN$1,'žádosti MPSV 2020'!$SF$8:$VN$276,60,FALSE),0)</f>
        <v>1507362</v>
      </c>
      <c r="CO7" s="314">
        <f>IFERROR(VLOOKUP(CO$1,'žádosti MPSV 2020'!$SF$8:$VN$276,60,FALSE),0)</f>
        <v>1546768</v>
      </c>
      <c r="CP7" s="314">
        <f>IFERROR(VLOOKUP(CP$1,'žádosti MPSV 2020'!$SF$8:$VN$276,60,FALSE),0)</f>
        <v>1478852</v>
      </c>
      <c r="CQ7" s="314">
        <f>IFERROR(VLOOKUP(CQ$1,'žádosti MPSV 2020'!$SF$8:$VN$276,60,FALSE),0)</f>
        <v>6470764</v>
      </c>
      <c r="CR7" s="314">
        <f>IFERROR(VLOOKUP(CR$1,'žádosti MPSV 2020'!$SF$8:$VN$276,60,FALSE),0)</f>
        <v>2331094</v>
      </c>
      <c r="CS7" s="314">
        <f>IFERROR(VLOOKUP(CS$1,'žádosti MPSV 2020'!$SF$8:$VN$276,60,FALSE),0)</f>
        <v>3298929</v>
      </c>
      <c r="CT7" s="314">
        <f>IFERROR(VLOOKUP(CT$1,'žádosti MPSV 2020'!$SF$8:$VN$276,60,FALSE),0)</f>
        <v>5705918</v>
      </c>
      <c r="CU7" s="314">
        <f>IFERROR(VLOOKUP(CU$1,'žádosti MPSV 2020'!$SF$8:$VN$276,60,FALSE),0)</f>
        <v>1875000</v>
      </c>
      <c r="CV7" s="314">
        <f>IFERROR(VLOOKUP(CV$1,'žádosti MPSV 2020'!$SF$8:$VN$276,60,FALSE),0)</f>
        <v>6960000</v>
      </c>
      <c r="CW7" s="314">
        <f>IFERROR(VLOOKUP(CW$1,'žádosti MPSV 2020'!$SF$8:$VN$276,60,FALSE),0)</f>
        <v>400000</v>
      </c>
      <c r="CX7" s="314">
        <f>IFERROR(VLOOKUP(CX$1,'žádosti MPSV 2020'!$SF$8:$VN$276,60,FALSE),0)</f>
        <v>3457000</v>
      </c>
      <c r="CY7" s="314">
        <f>IFERROR(VLOOKUP(CY$1,'žádosti MPSV 2020'!$SF$8:$VN$276,60,FALSE),0)</f>
        <v>3240000</v>
      </c>
      <c r="CZ7" s="314">
        <f>IFERROR(VLOOKUP(CZ$1,'žádosti MPSV 2020'!$SF$8:$VN$276,60,FALSE),0)</f>
        <v>371000</v>
      </c>
      <c r="DA7" s="314">
        <f>IFERROR(VLOOKUP(DA$1,'žádosti MPSV 2020'!$SF$8:$VN$276,60,FALSE),0)</f>
        <v>7650000</v>
      </c>
      <c r="DB7" s="314">
        <f>IFERROR(VLOOKUP(DB$1,'žádosti MPSV 2020'!$SF$8:$VN$276,60,FALSE),0)</f>
        <v>760808</v>
      </c>
      <c r="DC7" s="314">
        <f>IFERROR(VLOOKUP(DC$1,'žádosti MPSV 2020'!$SF$8:$VN$276,60,FALSE),0)</f>
        <v>2030000</v>
      </c>
      <c r="DD7" s="314">
        <f>IFERROR(VLOOKUP(DD$1,'žádosti MPSV 2020'!$SF$8:$VN$276,60,FALSE),0)</f>
        <v>5300000</v>
      </c>
      <c r="DE7" s="314">
        <f>IFERROR(VLOOKUP(DE$1,'žádosti MPSV 2020'!$SF$8:$VN$276,60,FALSE),0)</f>
        <v>2810000</v>
      </c>
      <c r="DF7" s="314">
        <f>IFERROR(VLOOKUP(DF$1,'žádosti MPSV 2020'!$SF$8:$VN$276,60,FALSE),0)</f>
        <v>4660760</v>
      </c>
      <c r="DG7" s="314">
        <f>IFERROR(VLOOKUP(DG$1,'žádosti MPSV 2020'!$SF$8:$VN$276,60,FALSE),0)</f>
        <v>1865426</v>
      </c>
      <c r="DH7" s="314">
        <f>IFERROR(VLOOKUP(DH$1,'žádosti MPSV 2020'!$SF$8:$VN$276,60,FALSE),0)</f>
        <v>2425434</v>
      </c>
      <c r="DI7" s="314">
        <f>IFERROR(VLOOKUP(DI$1,'žádosti MPSV 2020'!$SF$8:$VN$276,60,FALSE),0)</f>
        <v>1393074</v>
      </c>
      <c r="DJ7" s="314">
        <f>IFERROR(VLOOKUP(DJ$1,'žádosti MPSV 2020'!$SF$8:$VN$276,60,FALSE),0)</f>
        <v>1920826</v>
      </c>
      <c r="DK7" s="314">
        <f>IFERROR(VLOOKUP(DK$1,'žádosti MPSV 2020'!$SF$8:$VN$276,60,FALSE),0)</f>
        <v>2417346</v>
      </c>
      <c r="DL7" s="314">
        <f>IFERROR(VLOOKUP(DL$1,'žádosti MPSV 2020'!$SF$8:$VN$276,60,FALSE),0)</f>
        <v>7306533</v>
      </c>
      <c r="DM7" s="314">
        <f>IFERROR(VLOOKUP(DM$1,'žádosti MPSV 2020'!$SF$8:$VN$276,60,FALSE),0)</f>
        <v>2395000</v>
      </c>
      <c r="DN7" s="314">
        <f>IFERROR(VLOOKUP(DN$1,'žádosti MPSV 2020'!$SF$8:$VN$276,60,FALSE),0)</f>
        <v>3689667</v>
      </c>
      <c r="DO7" s="314">
        <f>IFERROR(VLOOKUP(DO$1,'žádosti MPSV 2020'!$SF$8:$VN$276,60,FALSE),0)</f>
        <v>1734000</v>
      </c>
      <c r="DP7" s="314">
        <f>IFERROR(VLOOKUP(DP$1,'žádosti MPSV 2020'!$SF$8:$VN$276,60,FALSE),0)</f>
        <v>4315763</v>
      </c>
      <c r="DQ7" s="314">
        <f>IFERROR(VLOOKUP(DQ$1,'žádosti MPSV 2020'!$SF$8:$VN$276,60,FALSE),0)</f>
        <v>4013645</v>
      </c>
      <c r="DR7" s="314">
        <f>IFERROR(VLOOKUP(DR$1,'žádosti MPSV 2020'!$SF$8:$VN$276,60,FALSE),0)</f>
        <v>4423025</v>
      </c>
      <c r="DS7" s="314">
        <f>IFERROR(VLOOKUP(DS$1,'žádosti MPSV 2020'!$SF$8:$VN$276,60,FALSE),0)</f>
        <v>878000</v>
      </c>
      <c r="DT7" s="314">
        <f>IFERROR(VLOOKUP(DT$1,'žádosti MPSV 2020'!$SF$8:$VN$276,60,FALSE),0)</f>
        <v>3515000</v>
      </c>
      <c r="DU7" s="314">
        <f>IFERROR(VLOOKUP(DU$1,'žádosti MPSV 2020'!$SF$8:$VN$276,60,FALSE),0)</f>
        <v>0</v>
      </c>
      <c r="DV7" s="314">
        <f>IFERROR(VLOOKUP(DV$1,'žádosti MPSV 2020'!$SF$8:$VN$276,60,FALSE),0)</f>
        <v>4423333</v>
      </c>
      <c r="DW7" s="314">
        <f>IFERROR(VLOOKUP(DW$1,'žádosti MPSV 2020'!$SF$8:$VN$276,60,FALSE),0)</f>
        <v>0</v>
      </c>
      <c r="DX7" s="314">
        <f>IFERROR(VLOOKUP(DX$1,'žádosti MPSV 2020'!$SF$8:$VN$276,60,FALSE),0)</f>
        <v>0</v>
      </c>
      <c r="DY7" s="314">
        <f>IFERROR(VLOOKUP(DY$1,'žádosti MPSV 2020'!$SF$8:$VN$276,60,FALSE),0)</f>
        <v>6070000</v>
      </c>
      <c r="DZ7" s="314">
        <f>IFERROR(VLOOKUP(DZ$1,'žádosti MPSV 2020'!$SF$8:$VN$276,60,FALSE),0)</f>
        <v>924000</v>
      </c>
      <c r="EA7" s="314">
        <f>IFERROR(VLOOKUP(EA$1,'žádosti MPSV 2020'!$SF$8:$VN$276,60,FALSE),0)</f>
        <v>3910500</v>
      </c>
      <c r="EB7" s="314">
        <f>IFERROR(VLOOKUP(EB$1,'žádosti MPSV 2020'!$SF$8:$VN$276,60,FALSE),0)</f>
        <v>6185772</v>
      </c>
      <c r="EC7" s="314">
        <f>IFERROR(VLOOKUP(EC$1,'žádosti MPSV 2020'!$SF$8:$VN$276,60,FALSE),0)</f>
        <v>4509620</v>
      </c>
      <c r="ED7" s="314">
        <f>IFERROR(VLOOKUP(ED$1,'žádosti MPSV 2020'!$SF$8:$VN$276,60,FALSE),0)</f>
        <v>3945350</v>
      </c>
      <c r="EE7" s="314">
        <f>IFERROR(VLOOKUP(EE$1,'žádosti MPSV 2020'!$SF$8:$VN$276,60,FALSE),0)</f>
        <v>610000</v>
      </c>
      <c r="EF7" s="314">
        <f>IFERROR(VLOOKUP(EF$1,'žádosti MPSV 2020'!$SF$8:$VN$276,60,FALSE),0)</f>
        <v>666000</v>
      </c>
      <c r="EG7" s="314">
        <f>IFERROR(VLOOKUP(EG$1,'žádosti MPSV 2020'!$SF$8:$VN$276,60,FALSE),0)</f>
        <v>425000</v>
      </c>
      <c r="EH7" s="314">
        <f>IFERROR(VLOOKUP(EH$1,'žádosti MPSV 2020'!$SF$8:$VN$276,60,FALSE),0)</f>
        <v>595000</v>
      </c>
      <c r="EI7" s="314">
        <f>IFERROR(VLOOKUP(EI$1,'žádosti MPSV 2020'!$SF$8:$VN$276,60,FALSE),0)</f>
        <v>1025000</v>
      </c>
      <c r="EJ7" s="314">
        <f>IFERROR(VLOOKUP(EJ$1,'žádosti MPSV 2020'!$SF$8:$VN$276,60,FALSE),0)</f>
        <v>1254497</v>
      </c>
      <c r="EK7" s="314">
        <f>IFERROR(VLOOKUP(EK$1,'žádosti MPSV 2020'!$SF$8:$VN$276,60,FALSE),0)</f>
        <v>5250700</v>
      </c>
      <c r="EL7" s="314">
        <f>IFERROR(VLOOKUP(EL$1,'žádosti MPSV 2020'!$SF$8:$VN$276,60,FALSE),0)</f>
        <v>10921600</v>
      </c>
      <c r="EM7" s="314">
        <f>IFERROR(VLOOKUP(EM$1,'žádosti MPSV 2020'!$SF$8:$VN$276,60,FALSE),0)</f>
        <v>4256000</v>
      </c>
      <c r="EN7" s="314">
        <f>IFERROR(VLOOKUP(EN$1,'žádosti MPSV 2020'!$SF$8:$VN$276,60,FALSE),0)</f>
        <v>2526602</v>
      </c>
      <c r="EO7" s="314">
        <f>IFERROR(VLOOKUP(EO$1,'žádosti MPSV 2020'!$SF$8:$VN$276,60,FALSE),0)</f>
        <v>413760</v>
      </c>
      <c r="EP7" s="314">
        <f>IFERROR(VLOOKUP(EP$1,'žádosti MPSV 2020'!$SF$8:$VN$276,60,FALSE),0)</f>
        <v>2970065</v>
      </c>
      <c r="EQ7" s="314">
        <f>IFERROR(VLOOKUP(EQ$1,'žádosti MPSV 2020'!$SF$8:$VN$276,60,FALSE),0)</f>
        <v>2886486</v>
      </c>
      <c r="ER7" s="314">
        <f>IFERROR(VLOOKUP(ER$1,'žádosti MPSV 2020'!$SF$8:$VN$276,60,FALSE),0)</f>
        <v>6229000</v>
      </c>
      <c r="ES7" s="314">
        <f>IFERROR(VLOOKUP(ES$1,'žádosti MPSV 2020'!$SF$8:$VN$276,60,FALSE),0)</f>
        <v>3480000</v>
      </c>
      <c r="ET7" s="314">
        <f>IFERROR(VLOOKUP(ET$1,'žádosti MPSV 2020'!$SF$8:$VN$276,60,FALSE),0)</f>
        <v>901340</v>
      </c>
      <c r="EU7" s="314">
        <f>IFERROR(VLOOKUP(EU$1,'žádosti MPSV 2020'!$SF$8:$VN$276,60,FALSE),0)</f>
        <v>2056000</v>
      </c>
      <c r="EV7" s="314">
        <f>IFERROR(VLOOKUP(EV$1,'žádosti MPSV 2020'!$SF$8:$VN$276,60,FALSE),0)</f>
        <v>650000</v>
      </c>
      <c r="EW7" s="314">
        <f>IFERROR(VLOOKUP(EW$1,'žádosti MPSV 2020'!$SF$8:$VN$276,60,FALSE),0)</f>
        <v>2800000</v>
      </c>
      <c r="EX7" s="314">
        <f>IFERROR(VLOOKUP(EX$1,'žádosti MPSV 2020'!$SF$8:$VN$276,60,FALSE),0)</f>
        <v>7200000</v>
      </c>
      <c r="EY7" s="314">
        <f>IFERROR(VLOOKUP(EY$1,'žádosti MPSV 2020'!$SF$8:$VN$276,60,FALSE),0)</f>
        <v>2500000</v>
      </c>
      <c r="EZ7" s="314">
        <f>IFERROR(VLOOKUP(EZ$1,'žádosti MPSV 2020'!$SF$8:$VN$276,60,FALSE),0)</f>
        <v>270000</v>
      </c>
      <c r="FA7" s="314">
        <f>IFERROR(VLOOKUP(FA$1,'žádosti MPSV 2020'!$SF$8:$VN$276,60,FALSE),0)</f>
        <v>990000</v>
      </c>
      <c r="FB7" s="314">
        <f>IFERROR(VLOOKUP(FB$1,'žádosti MPSV 2020'!$SF$8:$VN$276,60,FALSE),0)</f>
        <v>233682</v>
      </c>
      <c r="FC7" s="314">
        <f>IFERROR(VLOOKUP(FC$1,'žádosti MPSV 2020'!$SF$8:$VN$276,60,FALSE),0)</f>
        <v>5000000</v>
      </c>
      <c r="FD7" s="314">
        <f>IFERROR(VLOOKUP(FD$1,'žádosti MPSV 2020'!$SF$8:$VN$276,60,FALSE),0)</f>
        <v>1200000</v>
      </c>
      <c r="FE7" s="314">
        <f>IFERROR(VLOOKUP(FE$1,'žádosti MPSV 2020'!$SF$8:$VN$276,60,FALSE),0)</f>
        <v>390000</v>
      </c>
      <c r="FF7" s="314">
        <f>IFERROR(VLOOKUP(FF$1,'žádosti MPSV 2020'!$SF$8:$VN$276,60,FALSE),0)</f>
        <v>1561200</v>
      </c>
      <c r="FG7" s="314">
        <f>IFERROR(VLOOKUP(FG$1,'žádosti MPSV 2020'!$SF$8:$VN$276,60,FALSE),0)</f>
        <v>5703200</v>
      </c>
      <c r="FH7" s="314">
        <f>IFERROR(VLOOKUP(FH$1,'žádosti MPSV 2020'!$SF$8:$VN$276,60,FALSE),0)</f>
        <v>6594603</v>
      </c>
      <c r="FI7" s="314">
        <f>IFERROR(VLOOKUP(FI$1,'žádosti MPSV 2020'!$SF$8:$VN$276,60,FALSE),0)</f>
        <v>7800000</v>
      </c>
      <c r="FJ7" s="314">
        <f>IFERROR(VLOOKUP(FJ$1,'žádosti MPSV 2020'!$SF$8:$VN$276,60,FALSE),0)</f>
        <v>2200000</v>
      </c>
      <c r="FK7" s="314">
        <f>IFERROR(VLOOKUP(FK$1,'žádosti MPSV 2020'!$SF$8:$VN$276,60,FALSE),0)</f>
        <v>937000</v>
      </c>
      <c r="FL7" s="314">
        <f>IFERROR(VLOOKUP(FL$1,'žádosti MPSV 2020'!$SF$8:$VN$276,60,FALSE),0)</f>
        <v>965000</v>
      </c>
      <c r="FM7" s="314">
        <f>IFERROR(VLOOKUP(FM$1,'žádosti MPSV 2020'!$SF$8:$VN$276,60,FALSE),0)</f>
        <v>4500000</v>
      </c>
      <c r="FN7" s="314">
        <f>IFERROR(VLOOKUP(FN$1,'žádosti MPSV 2020'!$SF$8:$VN$276,60,FALSE),0)</f>
        <v>8082419</v>
      </c>
      <c r="FO7" s="314">
        <f>IFERROR(VLOOKUP(FO$1,'žádosti MPSV 2020'!$SF$8:$VN$276,60,FALSE),0)</f>
        <v>2666678</v>
      </c>
      <c r="FP7" s="314">
        <f>IFERROR(VLOOKUP(FP$1,'žádosti MPSV 2020'!$SF$8:$VN$276,60,FALSE),0)</f>
        <v>16758000</v>
      </c>
      <c r="FQ7" s="314">
        <f>IFERROR(VLOOKUP(FQ$1,'žádosti MPSV 2020'!$SF$8:$VN$276,60,FALSE),0)</f>
        <v>2142886</v>
      </c>
      <c r="FR7" s="314">
        <f>IFERROR(VLOOKUP(FR$1,'žádosti MPSV 2020'!$SF$8:$VN$276,60,FALSE),0)</f>
        <v>3986708</v>
      </c>
      <c r="FS7" s="314">
        <f>IFERROR(VLOOKUP(FS$1,'žádosti MPSV 2020'!$SF$8:$VN$276,60,FALSE),0)</f>
        <v>601500</v>
      </c>
      <c r="FT7" s="314">
        <f>IFERROR(VLOOKUP(FT$1,'žádosti MPSV 2020'!$SF$8:$VN$276,60,FALSE),0)</f>
        <v>4812000</v>
      </c>
      <c r="FU7" s="314">
        <f>IFERROR(VLOOKUP(FU$1,'žádosti MPSV 2020'!$SF$8:$VN$276,60,FALSE),0)</f>
        <v>552000</v>
      </c>
      <c r="FV7" s="314">
        <f>IFERROR(VLOOKUP(FV$1,'žádosti MPSV 2020'!$SF$8:$VN$276,60,FALSE),0)</f>
        <v>1105000</v>
      </c>
      <c r="FW7" s="314">
        <f>IFERROR(VLOOKUP(FW$1,'žádosti MPSV 2020'!$SF$8:$VN$276,60,FALSE),0)</f>
        <v>1800000</v>
      </c>
      <c r="FX7" s="314">
        <f>IFERROR(VLOOKUP(FX$1,'žádosti MPSV 2020'!$SF$8:$VN$276,60,FALSE),0)</f>
        <v>700000</v>
      </c>
      <c r="FY7" s="314">
        <f>IFERROR(VLOOKUP(FY$1,'žádosti MPSV 2020'!$SF$8:$VN$276,60,FALSE),0)</f>
        <v>200000</v>
      </c>
      <c r="FZ7" s="314">
        <f>IFERROR(VLOOKUP(FZ$1,'žádosti MPSV 2020'!$SF$8:$VN$276,60,FALSE),0)</f>
        <v>7690000</v>
      </c>
      <c r="GA7" s="314">
        <f>IFERROR(VLOOKUP(GA$1,'žádosti MPSV 2020'!$SF$8:$VN$276,60,FALSE),0)</f>
        <v>978000</v>
      </c>
      <c r="GB7" s="314">
        <f>IFERROR(VLOOKUP(GB$1,'žádosti MPSV 2020'!$SF$8:$VN$276,60,FALSE),0)</f>
        <v>4746000</v>
      </c>
      <c r="GC7" s="314">
        <f>IFERROR(VLOOKUP(GC$1,'žádosti MPSV 2020'!$SF$8:$VN$276,60,FALSE),0)</f>
        <v>2728000</v>
      </c>
      <c r="GD7" s="314">
        <f>IFERROR(VLOOKUP(GD$1,'žádosti MPSV 2020'!$SF$8:$VN$276,60,FALSE),0)</f>
        <v>11396000</v>
      </c>
      <c r="GE7" s="314">
        <f>IFERROR(VLOOKUP(GE$1,'žádosti MPSV 2020'!$SF$8:$VN$276,60,FALSE),0)</f>
        <v>1800000</v>
      </c>
      <c r="GF7" s="314">
        <f>IFERROR(VLOOKUP(GF$1,'žádosti MPSV 2020'!$SF$8:$VN$276,60,FALSE),0)</f>
        <v>5289602</v>
      </c>
      <c r="GG7" s="314">
        <f>IFERROR(VLOOKUP(GG$1,'žádosti MPSV 2020'!$SF$8:$VN$276,60,FALSE),0)</f>
        <v>1284855</v>
      </c>
      <c r="GH7" s="314">
        <f>IFERROR(VLOOKUP(GH$1,'žádosti MPSV 2020'!$SF$8:$VN$276,60,FALSE),0)</f>
        <v>1054717</v>
      </c>
      <c r="GI7" s="314">
        <f>IFERROR(VLOOKUP(GI$1,'žádosti MPSV 2020'!$SF$8:$VN$276,60,FALSE),0)</f>
        <v>10416974</v>
      </c>
      <c r="GJ7" s="314">
        <f>IFERROR(VLOOKUP(GJ$1,'žádosti MPSV 2020'!$SF$8:$VN$276,60,FALSE),0)</f>
        <v>2195910</v>
      </c>
      <c r="GK7" s="314">
        <f>IFERROR(VLOOKUP(GK$1,'žádosti MPSV 2020'!$SF$8:$VN$276,60,FALSE),0)</f>
        <v>1100000</v>
      </c>
      <c r="GL7" s="314">
        <f>IFERROR(VLOOKUP(GL$1,'žádosti MPSV 2020'!$SF$8:$VN$276,60,FALSE),0)</f>
        <v>750000</v>
      </c>
      <c r="GM7" s="314">
        <f>IFERROR(VLOOKUP(GM$1,'žádosti MPSV 2020'!$SF$8:$VN$276,60,FALSE),0)</f>
        <v>930000</v>
      </c>
      <c r="GN7" s="314">
        <f>IFERROR(VLOOKUP(GN$1,'žádosti MPSV 2020'!$SF$8:$VN$276,60,FALSE),0)</f>
        <v>1018000</v>
      </c>
      <c r="GO7" s="314">
        <f>IFERROR(VLOOKUP(GO$1,'žádosti MPSV 2020'!$SF$8:$VN$276,60,FALSE),0)</f>
        <v>4777941</v>
      </c>
      <c r="GP7" s="314">
        <f>IFERROR(VLOOKUP(GP$1,'žádosti MPSV 2020'!$SF$8:$VN$276,60,FALSE),0)</f>
        <v>1889000</v>
      </c>
      <c r="GQ7" s="314">
        <f>IFERROR(VLOOKUP(GQ$1,'žádosti MPSV 2020'!$SF$8:$VN$276,60,FALSE),0)</f>
        <v>1000000</v>
      </c>
      <c r="GR7" s="314">
        <f>IFERROR(VLOOKUP(GR$1,'žádosti MPSV 2020'!$SF$8:$VN$276,60,FALSE),0)</f>
        <v>610000</v>
      </c>
      <c r="GS7" s="314">
        <f>IFERROR(VLOOKUP(GS$1,'žádosti MPSV 2020'!$SF$8:$VN$276,60,FALSE),0)</f>
        <v>180000</v>
      </c>
      <c r="GT7" s="314">
        <f>IFERROR(VLOOKUP(GT$1,'žádosti MPSV 2020'!$SF$8:$VN$276,60,FALSE),0)</f>
        <v>8922000</v>
      </c>
      <c r="GU7" s="314">
        <f>IFERROR(VLOOKUP(GU$1,'žádosti MPSV 2020'!$SF$8:$VN$276,60,FALSE),0)</f>
        <v>807440</v>
      </c>
      <c r="GV7" s="314">
        <f>IFERROR(VLOOKUP(GV$1,'žádosti MPSV 2020'!$SF$8:$VN$276,60,FALSE),0)</f>
        <v>5000000</v>
      </c>
      <c r="GW7" s="314">
        <f>IFERROR(VLOOKUP(GW$1,'žádosti MPSV 2020'!$SF$8:$VN$276,60,FALSE),0)</f>
        <v>1450000</v>
      </c>
      <c r="GX7" s="314">
        <f>IFERROR(VLOOKUP(GX$1,'žádosti MPSV 2020'!$SF$8:$VN$276,60,FALSE),0)</f>
        <v>150000</v>
      </c>
      <c r="GY7" s="314">
        <f>IFERROR(VLOOKUP(GY$1,'žádosti MPSV 2020'!$SF$8:$VN$276,60,FALSE),0)</f>
        <v>16000000</v>
      </c>
      <c r="GZ7" s="314">
        <f>IFERROR(VLOOKUP(GZ$1,'žádosti MPSV 2020'!$SF$8:$VN$276,60,FALSE),0)</f>
        <v>2110821</v>
      </c>
      <c r="HA7" s="314">
        <f>IFERROR(VLOOKUP(HA$1,'žádosti MPSV 2020'!$SF$8:$VN$276,60,FALSE),0)</f>
        <v>5200000</v>
      </c>
      <c r="HB7" s="314">
        <f>IFERROR(VLOOKUP(HB$1,'žádosti MPSV 2020'!$SF$8:$VN$276,60,FALSE),0)</f>
        <v>5600000</v>
      </c>
      <c r="HC7" s="314">
        <f>IFERROR(VLOOKUP(HC$1,'žádosti MPSV 2020'!$SF$8:$VN$276,60,FALSE),0)</f>
        <v>11200000</v>
      </c>
      <c r="HD7" s="314">
        <f>IFERROR(VLOOKUP(HD$1,'žádosti MPSV 2020'!$SF$8:$VN$276,60,FALSE),0)</f>
        <v>2188680</v>
      </c>
      <c r="HE7" s="314">
        <f>IFERROR(VLOOKUP(HE$1,'žádosti MPSV 2020'!$SF$8:$VN$276,60,FALSE),0)</f>
        <v>4945200</v>
      </c>
      <c r="HF7" s="314">
        <f>IFERROR(VLOOKUP(HF$1,'žádosti MPSV 2020'!$SF$8:$VN$276,60,FALSE),0)</f>
        <v>900000</v>
      </c>
      <c r="HG7" s="314">
        <f>IFERROR(VLOOKUP(HG$1,'žádosti MPSV 2020'!$SF$8:$VN$276,60,FALSE),0)</f>
        <v>865000</v>
      </c>
      <c r="HH7" s="314">
        <f>IFERROR(VLOOKUP(HH$1,'žádosti MPSV 2020'!$SF$8:$VN$276,60,FALSE),0)</f>
        <v>3950000</v>
      </c>
      <c r="HI7" s="314">
        <f>IFERROR(VLOOKUP(HI$1,'žádosti MPSV 2020'!$SF$8:$VN$276,60,FALSE),0)</f>
        <v>2500000</v>
      </c>
      <c r="HJ7" s="314">
        <f>IFERROR(VLOOKUP(HJ$1,'žádosti MPSV 2020'!$SF$8:$VN$276,60,FALSE),0)</f>
        <v>0</v>
      </c>
      <c r="HK7" s="314">
        <f>IFERROR(VLOOKUP(HK$1,'žádosti MPSV 2020'!$SF$8:$VN$276,60,FALSE),0)</f>
        <v>209300</v>
      </c>
      <c r="HL7" s="314">
        <f>IFERROR(VLOOKUP(HL$1,'žádosti MPSV 2020'!$SF$8:$VN$276,60,FALSE),0)</f>
        <v>50500000</v>
      </c>
      <c r="HM7" s="314">
        <f>IFERROR(VLOOKUP(HM$1,'žádosti MPSV 2020'!$SF$8:$VN$276,60,FALSE),0)</f>
        <v>30959000</v>
      </c>
      <c r="HN7" s="314">
        <f>IFERROR(VLOOKUP(HN$1,'žádosti MPSV 2020'!$SF$8:$VN$276,60,FALSE),0)</f>
        <v>1010000</v>
      </c>
      <c r="HO7" s="314">
        <f>IFERROR(VLOOKUP(HO$1,'žádosti MPSV 2020'!$SF$8:$VN$276,60,FALSE),0)</f>
        <v>0</v>
      </c>
      <c r="HP7" s="314">
        <f>IFERROR(VLOOKUP(HP$1,'žádosti MPSV 2020'!$SF$8:$VN$276,60,FALSE),0)</f>
        <v>27114000</v>
      </c>
      <c r="HQ7" s="314">
        <f>IFERROR(VLOOKUP(HQ$1,'žádosti MPSV 2020'!$SF$8:$VN$276,60,FALSE),0)</f>
        <v>700000</v>
      </c>
      <c r="HR7" s="314">
        <f>IFERROR(VLOOKUP(HR$1,'žádosti MPSV 2020'!$SF$8:$VN$276,60,FALSE),0)</f>
        <v>27500000</v>
      </c>
      <c r="HS7" s="314">
        <f>IFERROR(VLOOKUP(HS$1,'žádosti MPSV 2020'!$SF$8:$VN$276,60,FALSE),0)</f>
        <v>4600000</v>
      </c>
      <c r="HT7" s="314">
        <f>IFERROR(VLOOKUP(HT$1,'žádosti MPSV 2020'!$SF$8:$VN$276,60,FALSE),0)</f>
        <v>21000000</v>
      </c>
      <c r="HU7" s="314">
        <f>IFERROR(VLOOKUP(HU$1,'žádosti MPSV 2020'!$SF$8:$VN$276,60,FALSE),0)</f>
        <v>24100000</v>
      </c>
      <c r="HV7" s="314">
        <f>IFERROR(VLOOKUP(HV$1,'žádosti MPSV 2020'!$SF$8:$VN$276,60,FALSE),0)</f>
        <v>17580000</v>
      </c>
      <c r="HW7" s="314">
        <f>IFERROR(VLOOKUP(HW$1,'žádosti MPSV 2020'!$SF$8:$VN$276,60,FALSE),0)</f>
        <v>4562528</v>
      </c>
      <c r="HX7" s="314">
        <f>IFERROR(VLOOKUP(HX$1,'žádosti MPSV 2020'!$SF$8:$VN$276,60,FALSE),0)</f>
        <v>23953272</v>
      </c>
      <c r="HY7" s="314">
        <f>IFERROR(VLOOKUP(HY$1,'žádosti MPSV 2020'!$SF$8:$VN$276,60,FALSE),0)</f>
        <v>17351600</v>
      </c>
      <c r="HZ7" s="314">
        <f>IFERROR(VLOOKUP(HZ$1,'žádosti MPSV 2020'!$SF$8:$VN$276,60,FALSE),0)</f>
        <v>11293100</v>
      </c>
      <c r="IA7" s="314">
        <f>IFERROR(VLOOKUP(IA$1,'žádosti MPSV 2020'!$SF$8:$VN$276,60,FALSE),0)</f>
        <v>8494730</v>
      </c>
      <c r="IB7" s="314">
        <f>IFERROR(VLOOKUP(IB$1,'žádosti MPSV 2020'!$SF$8:$VN$276,60,FALSE),0)</f>
        <v>10442250</v>
      </c>
      <c r="IC7" s="314">
        <f>IFERROR(VLOOKUP(IC$1,'žádosti MPSV 2020'!$SF$8:$VN$276,60,FALSE),0)</f>
        <v>11940000</v>
      </c>
      <c r="ID7" s="314">
        <f>IFERROR(VLOOKUP(ID$1,'žádosti MPSV 2020'!$SF$8:$VN$276,60,FALSE),0)</f>
        <v>10036000</v>
      </c>
      <c r="IE7" s="314">
        <f>IFERROR(VLOOKUP(IE$1,'žádosti MPSV 2020'!$SF$8:$VN$276,60,FALSE),0)</f>
        <v>17118000</v>
      </c>
      <c r="IF7" s="314">
        <f>IFERROR(VLOOKUP(IF$1,'žádosti MPSV 2020'!$SF$8:$VN$276,60,FALSE),0)</f>
        <v>25404400</v>
      </c>
      <c r="IG7" s="314">
        <f>IFERROR(VLOOKUP(IG$1,'žádosti MPSV 2020'!$SF$8:$VN$276,60,FALSE),0)</f>
        <v>8044600</v>
      </c>
      <c r="IH7" s="314">
        <f>IFERROR(VLOOKUP(IH$1,'žádosti MPSV 2020'!$SF$8:$VN$276,60,FALSE),0)</f>
        <v>3681744</v>
      </c>
      <c r="II7" s="314">
        <f>IFERROR(VLOOKUP(II$1,'žádosti MPSV 2020'!$SF$8:$VN$276,60,FALSE),0)</f>
        <v>22880979</v>
      </c>
      <c r="IJ7" s="314">
        <f>IFERROR(VLOOKUP(IJ$1,'žádosti MPSV 2020'!$SF$8:$VN$276,60,FALSE),0)</f>
        <v>1571800</v>
      </c>
      <c r="IK7" s="314">
        <f>IFERROR(VLOOKUP(IK$1,'žádosti MPSV 2020'!$SF$8:$VN$276,60,FALSE),0)</f>
        <v>609567</v>
      </c>
      <c r="IL7" s="314">
        <f>IFERROR(VLOOKUP(IL$1,'žádosti MPSV 2020'!$SF$8:$VN$276,60,FALSE),0)</f>
        <v>9900000</v>
      </c>
      <c r="IM7" s="314">
        <f>IFERROR(VLOOKUP(IM$1,'žádosti MPSV 2020'!$SF$8:$VN$276,60,FALSE),0)</f>
        <v>775000</v>
      </c>
      <c r="IN7" s="314">
        <f>IFERROR(VLOOKUP(IN$1,'žádosti MPSV 2020'!$SF$8:$VN$276,60,FALSE),0)</f>
        <v>11165000</v>
      </c>
      <c r="IO7" s="314">
        <f>IFERROR(VLOOKUP(IO$1,'žádosti MPSV 2020'!$SF$8:$VN$276,60,FALSE),0)</f>
        <v>3560000</v>
      </c>
      <c r="IP7" s="314">
        <f>IFERROR(VLOOKUP(IP$1,'žádosti MPSV 2020'!$SF$8:$VN$276,60,FALSE),0)</f>
        <v>18876000</v>
      </c>
      <c r="IQ7" s="314">
        <f>IFERROR(VLOOKUP(IQ$1,'žádosti MPSV 2020'!$SF$8:$VN$276,60,FALSE),0)</f>
        <v>19626000</v>
      </c>
      <c r="IR7" s="314">
        <f>IFERROR(VLOOKUP(IR$1,'žádosti MPSV 2020'!$SF$8:$VN$276,60,FALSE),0)</f>
        <v>835000</v>
      </c>
      <c r="IS7" s="314">
        <f>IFERROR(VLOOKUP(IS$1,'žádosti MPSV 2020'!$SF$8:$VN$276,60,FALSE),0)</f>
        <v>46709000</v>
      </c>
      <c r="IT7" s="314">
        <f>IFERROR(VLOOKUP(IT$1,'žádosti MPSV 2020'!$SF$8:$VN$276,60,FALSE),0)</f>
        <v>11542000</v>
      </c>
      <c r="IU7" s="314">
        <f>IFERROR(VLOOKUP(IU$1,'žádosti MPSV 2020'!$SF$8:$VN$276,60,FALSE),0)</f>
        <v>3964128</v>
      </c>
      <c r="IV7" s="314">
        <f>IFERROR(VLOOKUP(IV$1,'žádosti MPSV 2020'!$SF$8:$VN$276,60,FALSE),0)</f>
        <v>8599386</v>
      </c>
      <c r="IW7" s="314">
        <f>IFERROR(VLOOKUP(IW$1,'žádosti MPSV 2020'!$SF$8:$VN$276,60,FALSE),0)</f>
        <v>16499135</v>
      </c>
      <c r="IX7" s="314">
        <f>IFERROR(VLOOKUP(IX$1,'žádosti MPSV 2020'!$SF$8:$VN$276,60,FALSE),0)</f>
        <v>2238805</v>
      </c>
      <c r="IY7" s="314">
        <f>IFERROR(VLOOKUP(IY$1,'žádosti MPSV 2020'!$SF$8:$VN$276,60,FALSE),0)</f>
        <v>10538000</v>
      </c>
      <c r="IZ7" s="314">
        <f>IFERROR(VLOOKUP(IZ$1,'žádosti MPSV 2020'!$SF$8:$VN$276,60,FALSE),0)</f>
        <v>23410000</v>
      </c>
      <c r="JA7" s="314">
        <f>IFERROR(VLOOKUP(JA$1,'žádosti MPSV 2020'!$SF$8:$VN$276,60,FALSE),0)</f>
        <v>2868000</v>
      </c>
      <c r="JB7" s="314">
        <f>IFERROR(VLOOKUP(JB$1,'žádosti MPSV 2020'!$SF$8:$VN$276,60,FALSE),0)</f>
        <v>2340000</v>
      </c>
      <c r="JC7" s="314">
        <f>IFERROR(VLOOKUP(JC$1,'žádosti MPSV 2020'!$SF$8:$VN$276,60,FALSE),0)</f>
        <v>2290000</v>
      </c>
      <c r="JD7" s="314">
        <f>IFERROR(VLOOKUP(JD$1,'žádosti MPSV 2020'!$SF$8:$VN$276,60,FALSE),0)</f>
        <v>3000000</v>
      </c>
      <c r="JE7" s="314">
        <f>IFERROR(VLOOKUP(JE$1,'žádosti MPSV 2020'!$SF$8:$VN$276,60,FALSE),0)</f>
        <v>722500</v>
      </c>
      <c r="JF7" s="314">
        <f>IFERROR(VLOOKUP(JF$1,'žádosti MPSV 2020'!$SF$8:$VN$276,60,FALSE),0)</f>
        <v>34067800</v>
      </c>
      <c r="JG7" s="314">
        <f>IFERROR(VLOOKUP(JG$1,'žádosti MPSV 2020'!$SF$8:$VN$276,60,FALSE),0)</f>
        <v>29138040</v>
      </c>
      <c r="JH7" s="314">
        <f>IFERROR(VLOOKUP(JH$1,'žádosti MPSV 2020'!$SF$8:$VN$276,60,FALSE),0)</f>
        <v>3377272</v>
      </c>
      <c r="JI7" s="314">
        <f>SUM(C7:JH7)</f>
        <v>1335221424</v>
      </c>
      <c r="JL7" s="307">
        <f t="shared" ref="JL7:JO13" si="20">SUMIFS($C7:$JH7,$C$5:$JH$5,JL$5)</f>
        <v>26180000</v>
      </c>
      <c r="JM7" s="307">
        <f t="shared" si="20"/>
        <v>428860132</v>
      </c>
      <c r="JN7" s="307">
        <f t="shared" si="20"/>
        <v>231692656</v>
      </c>
      <c r="JO7" s="307">
        <f t="shared" si="20"/>
        <v>648488636</v>
      </c>
      <c r="JP7" s="307">
        <f>SUM(JL7:JO7)</f>
        <v>1335221424</v>
      </c>
    </row>
    <row r="8" spans="1:276" ht="13.15" customHeight="1" x14ac:dyDescent="0.25">
      <c r="B8" s="313" t="s">
        <v>1814</v>
      </c>
      <c r="C8" s="314">
        <f>IFERROR(VLOOKUP(C$1,'žádosti MPSV 2020'!$SF$8:$VN$276,86,FALSE),0)</f>
        <v>0</v>
      </c>
      <c r="D8" s="314">
        <f>IFERROR(VLOOKUP(D$1,'žádosti MPSV 2020'!$SF$8:$VN$276,86,FALSE),0)</f>
        <v>0</v>
      </c>
      <c r="E8" s="314">
        <f>IFERROR(VLOOKUP(E$1,'žádosti MPSV 2020'!$SF$8:$VN$276,86,FALSE),0)</f>
        <v>0</v>
      </c>
      <c r="F8" s="314">
        <f>IFERROR(VLOOKUP(F$1,'žádosti MPSV 2020'!$SF$8:$VN$276,86,FALSE),0)</f>
        <v>0</v>
      </c>
      <c r="G8" s="314">
        <f>IFERROR(VLOOKUP(G$1,'žádosti MPSV 2020'!$SF$8:$VN$276,86,FALSE),0)</f>
        <v>0</v>
      </c>
      <c r="H8" s="314">
        <f>IFERROR(VLOOKUP(H$1,'žádosti MPSV 2020'!$SF$8:$VN$276,86,FALSE),0)</f>
        <v>0</v>
      </c>
      <c r="I8" s="314">
        <f>IFERROR(VLOOKUP(I$1,'žádosti MPSV 2020'!$SF$8:$VN$276,86,FALSE),0)</f>
        <v>0</v>
      </c>
      <c r="J8" s="314">
        <f>IFERROR(VLOOKUP(J$1,'žádosti MPSV 2020'!$SF$8:$VN$276,86,FALSE),0)</f>
        <v>0</v>
      </c>
      <c r="K8" s="314">
        <f>IFERROR(VLOOKUP(K$1,'žádosti MPSV 2020'!$SF$8:$VN$276,86,FALSE),0)</f>
        <v>0</v>
      </c>
      <c r="L8" s="314">
        <f>IFERROR(VLOOKUP(L$1,'žádosti MPSV 2020'!$SF$8:$VN$276,86,FALSE),0)</f>
        <v>0</v>
      </c>
      <c r="M8" s="314">
        <f>IFERROR(VLOOKUP(M$1,'žádosti MPSV 2020'!$SF$8:$VN$276,86,FALSE),0)</f>
        <v>0</v>
      </c>
      <c r="N8" s="314">
        <f>IFERROR(VLOOKUP(N$1,'žádosti MPSV 2020'!$SF$8:$VN$276,86,FALSE),0)</f>
        <v>0</v>
      </c>
      <c r="O8" s="314">
        <f>IFERROR(VLOOKUP(O$1,'žádosti MPSV 2020'!$SF$8:$VN$276,86,FALSE),0)</f>
        <v>0</v>
      </c>
      <c r="P8" s="314">
        <f>IFERROR(VLOOKUP(P$1,'žádosti MPSV 2020'!$SF$8:$VN$276,86,FALSE),0)</f>
        <v>0</v>
      </c>
      <c r="Q8" s="314">
        <f>IFERROR(VLOOKUP(Q$1,'žádosti MPSV 2020'!$SF$8:$VN$276,86,FALSE),0)</f>
        <v>0</v>
      </c>
      <c r="R8" s="314">
        <f>IFERROR(VLOOKUP(R$1,'žádosti MPSV 2020'!$SF$8:$VN$276,86,FALSE),0)</f>
        <v>0</v>
      </c>
      <c r="S8" s="314">
        <f>IFERROR(VLOOKUP(S$1,'žádosti MPSV 2020'!$SF$8:$VN$276,86,FALSE),0)</f>
        <v>0</v>
      </c>
      <c r="T8" s="314">
        <f>IFERROR(VLOOKUP(T$1,'žádosti MPSV 2020'!$SF$8:$VN$276,86,FALSE),0)</f>
        <v>0</v>
      </c>
      <c r="U8" s="314">
        <f>IFERROR(VLOOKUP(U$1,'žádosti MPSV 2020'!$SF$8:$VN$276,86,FALSE),0)</f>
        <v>0</v>
      </c>
      <c r="V8" s="314">
        <f>IFERROR(VLOOKUP(V$1,'žádosti MPSV 2020'!$SF$8:$VN$276,86,FALSE),0)</f>
        <v>0</v>
      </c>
      <c r="W8" s="314">
        <f>IFERROR(VLOOKUP(W$1,'žádosti MPSV 2020'!$SF$8:$VN$276,86,FALSE),0)</f>
        <v>0</v>
      </c>
      <c r="X8" s="314">
        <f>IFERROR(VLOOKUP(X$1,'žádosti MPSV 2020'!$SF$8:$VN$276,86,FALSE),0)</f>
        <v>0</v>
      </c>
      <c r="Y8" s="314">
        <f>IFERROR(VLOOKUP(Y$1,'žádosti MPSV 2020'!$SF$8:$VN$276,86,FALSE),0)</f>
        <v>0</v>
      </c>
      <c r="Z8" s="314">
        <f>IFERROR(VLOOKUP(Z$1,'žádosti MPSV 2020'!$SF$8:$VN$276,86,FALSE),0)</f>
        <v>0</v>
      </c>
      <c r="AA8" s="314">
        <f>IFERROR(VLOOKUP(AA$1,'žádosti MPSV 2020'!$SF$8:$VN$276,86,FALSE),0)</f>
        <v>0</v>
      </c>
      <c r="AB8" s="314">
        <f>IFERROR(VLOOKUP(AB$1,'žádosti MPSV 2020'!$SF$8:$VN$276,86,FALSE),0)</f>
        <v>0</v>
      </c>
      <c r="AC8" s="314">
        <f>IFERROR(VLOOKUP(AC$1,'žádosti MPSV 2020'!$SF$8:$VN$276,86,FALSE),0)</f>
        <v>0</v>
      </c>
      <c r="AD8" s="314">
        <f>IFERROR(VLOOKUP(AD$1,'žádosti MPSV 2020'!$SF$8:$VN$276,86,FALSE),0)</f>
        <v>0</v>
      </c>
      <c r="AE8" s="314">
        <f>IFERROR(VLOOKUP(AE$1,'žádosti MPSV 2020'!$SF$8:$VN$276,86,FALSE),0)</f>
        <v>0</v>
      </c>
      <c r="AF8" s="314">
        <f>IFERROR(VLOOKUP(AF$1,'žádosti MPSV 2020'!$SF$8:$VN$276,86,FALSE),0)</f>
        <v>0</v>
      </c>
      <c r="AG8" s="314">
        <f>IFERROR(VLOOKUP(AG$1,'žádosti MPSV 2020'!$SF$8:$VN$276,86,FALSE),0)</f>
        <v>0</v>
      </c>
      <c r="AH8" s="314">
        <f>IFERROR(VLOOKUP(AH$1,'žádosti MPSV 2020'!$SF$8:$VN$276,86,FALSE),0)</f>
        <v>0</v>
      </c>
      <c r="AI8" s="314">
        <f>IFERROR(VLOOKUP(AI$1,'žádosti MPSV 2020'!$SF$8:$VN$276,86,FALSE),0)</f>
        <v>0</v>
      </c>
      <c r="AJ8" s="314">
        <f>IFERROR(VLOOKUP(AJ$1,'žádosti MPSV 2020'!$SF$8:$VN$276,86,FALSE),0)</f>
        <v>0</v>
      </c>
      <c r="AK8" s="314">
        <f>IFERROR(VLOOKUP(AK$1,'žádosti MPSV 2020'!$SF$8:$VN$276,86,FALSE),0)</f>
        <v>0</v>
      </c>
      <c r="AL8" s="314">
        <f>IFERROR(VLOOKUP(AL$1,'žádosti MPSV 2020'!$SF$8:$VN$276,86,FALSE),0)</f>
        <v>0</v>
      </c>
      <c r="AM8" s="314">
        <f>IFERROR(VLOOKUP(AM$1,'žádosti MPSV 2020'!$SF$8:$VN$276,86,FALSE),0)</f>
        <v>0</v>
      </c>
      <c r="AN8" s="314">
        <f>IFERROR(VLOOKUP(AN$1,'žádosti MPSV 2020'!$SF$8:$VN$276,86,FALSE),0)</f>
        <v>0</v>
      </c>
      <c r="AO8" s="314">
        <f>IFERROR(VLOOKUP(AO$1,'žádosti MPSV 2020'!$SF$8:$VN$276,86,FALSE),0)</f>
        <v>0</v>
      </c>
      <c r="AP8" s="314">
        <f>IFERROR(VLOOKUP(AP$1,'žádosti MPSV 2020'!$SF$8:$VN$276,86,FALSE),0)</f>
        <v>0</v>
      </c>
      <c r="AQ8" s="314">
        <f>IFERROR(VLOOKUP(AQ$1,'žádosti MPSV 2020'!$SF$8:$VN$276,86,FALSE),0)</f>
        <v>0</v>
      </c>
      <c r="AR8" s="314">
        <f>IFERROR(VLOOKUP(AR$1,'žádosti MPSV 2020'!$SF$8:$VN$276,86,FALSE),0)</f>
        <v>0</v>
      </c>
      <c r="AS8" s="314">
        <f>IFERROR(VLOOKUP(AS$1,'žádosti MPSV 2020'!$SF$8:$VN$276,86,FALSE),0)</f>
        <v>0</v>
      </c>
      <c r="AT8" s="314">
        <f>IFERROR(VLOOKUP(AT$1,'žádosti MPSV 2020'!$SF$8:$VN$276,86,FALSE),0)</f>
        <v>0</v>
      </c>
      <c r="AU8" s="314">
        <f>IFERROR(VLOOKUP(AU$1,'žádosti MPSV 2020'!$SF$8:$VN$276,86,FALSE),0)</f>
        <v>0</v>
      </c>
      <c r="AV8" s="314">
        <f>IFERROR(VLOOKUP(AV$1,'žádosti MPSV 2020'!$SF$8:$VN$276,86,FALSE),0)</f>
        <v>0</v>
      </c>
      <c r="AW8" s="314">
        <f>IFERROR(VLOOKUP(AW$1,'žádosti MPSV 2020'!$SF$8:$VN$276,86,FALSE),0)</f>
        <v>0</v>
      </c>
      <c r="AX8" s="314">
        <f>IFERROR(VLOOKUP(AX$1,'žádosti MPSV 2020'!$SF$8:$VN$276,86,FALSE),0)</f>
        <v>0</v>
      </c>
      <c r="AY8" s="314">
        <f>IFERROR(VLOOKUP(AY$1,'žádosti MPSV 2020'!$SF$8:$VN$276,86,FALSE),0)</f>
        <v>0</v>
      </c>
      <c r="AZ8" s="314">
        <f>IFERROR(VLOOKUP(AZ$1,'žádosti MPSV 2020'!$SF$8:$VN$276,86,FALSE),0)</f>
        <v>0</v>
      </c>
      <c r="BA8" s="314">
        <f>IFERROR(VLOOKUP(BA$1,'žádosti MPSV 2020'!$SF$8:$VN$276,86,FALSE),0)</f>
        <v>0</v>
      </c>
      <c r="BB8" s="314">
        <f>IFERROR(VLOOKUP(BB$1,'žádosti MPSV 2020'!$SF$8:$VN$276,86,FALSE),0)</f>
        <v>0</v>
      </c>
      <c r="BC8" s="314">
        <f>IFERROR(VLOOKUP(BC$1,'žádosti MPSV 2020'!$SF$8:$VN$276,86,FALSE),0)</f>
        <v>0</v>
      </c>
      <c r="BD8" s="314">
        <f>IFERROR(VLOOKUP(BD$1,'žádosti MPSV 2020'!$SF$8:$VN$276,86,FALSE),0)</f>
        <v>0</v>
      </c>
      <c r="BE8" s="314">
        <f>IFERROR(VLOOKUP(BE$1,'žádosti MPSV 2020'!$SF$8:$VN$276,86,FALSE),0)</f>
        <v>0</v>
      </c>
      <c r="BF8" s="314">
        <f>IFERROR(VLOOKUP(BF$1,'žádosti MPSV 2020'!$SF$8:$VN$276,86,FALSE),0)</f>
        <v>0</v>
      </c>
      <c r="BG8" s="314">
        <f>IFERROR(VLOOKUP(BG$1,'žádosti MPSV 2020'!$SF$8:$VN$276,86,FALSE),0)</f>
        <v>0</v>
      </c>
      <c r="BH8" s="314">
        <f>IFERROR(VLOOKUP(BH$1,'žádosti MPSV 2020'!$SF$8:$VN$276,86,FALSE),0)</f>
        <v>0</v>
      </c>
      <c r="BI8" s="314">
        <f>IFERROR(VLOOKUP(BI$1,'žádosti MPSV 2020'!$SF$8:$VN$276,86,FALSE),0)</f>
        <v>0</v>
      </c>
      <c r="BJ8" s="314">
        <f>IFERROR(VLOOKUP(BJ$1,'žádosti MPSV 2020'!$SF$8:$VN$276,86,FALSE),0)</f>
        <v>0</v>
      </c>
      <c r="BK8" s="314">
        <f>IFERROR(VLOOKUP(BK$1,'žádosti MPSV 2020'!$SF$8:$VN$276,86,FALSE),0)</f>
        <v>0</v>
      </c>
      <c r="BL8" s="314">
        <f>IFERROR(VLOOKUP(BL$1,'žádosti MPSV 2020'!$SF$8:$VN$276,86,FALSE),0)</f>
        <v>0</v>
      </c>
      <c r="BM8" s="314">
        <f>IFERROR(VLOOKUP(BM$1,'žádosti MPSV 2020'!$SF$8:$VN$276,86,FALSE),0)</f>
        <v>0</v>
      </c>
      <c r="BN8" s="314">
        <f>IFERROR(VLOOKUP(BN$1,'žádosti MPSV 2020'!$SF$8:$VN$276,86,FALSE),0)</f>
        <v>0</v>
      </c>
      <c r="BO8" s="314">
        <f>IFERROR(VLOOKUP(BO$1,'žádosti MPSV 2020'!$SF$8:$VN$276,86,FALSE),0)</f>
        <v>0</v>
      </c>
      <c r="BP8" s="314">
        <f>IFERROR(VLOOKUP(BP$1,'žádosti MPSV 2020'!$SF$8:$VN$276,86,FALSE),0)</f>
        <v>0</v>
      </c>
      <c r="BQ8" s="314">
        <f>IFERROR(VLOOKUP(BQ$1,'žádosti MPSV 2020'!$SF$8:$VN$276,86,FALSE),0)</f>
        <v>0</v>
      </c>
      <c r="BR8" s="314">
        <f>IFERROR(VLOOKUP(BR$1,'žádosti MPSV 2020'!$SF$8:$VN$276,86,FALSE),0)</f>
        <v>0</v>
      </c>
      <c r="BS8" s="314">
        <f>IFERROR(VLOOKUP(BS$1,'žádosti MPSV 2020'!$SF$8:$VN$276,86,FALSE),0)</f>
        <v>0</v>
      </c>
      <c r="BT8" s="314">
        <f>IFERROR(VLOOKUP(BT$1,'žádosti MPSV 2020'!$SF$8:$VN$276,86,FALSE),0)</f>
        <v>0</v>
      </c>
      <c r="BU8" s="314">
        <f>IFERROR(VLOOKUP(BU$1,'žádosti MPSV 2020'!$SF$8:$VN$276,86,FALSE),0)</f>
        <v>0</v>
      </c>
      <c r="BV8" s="314">
        <f>IFERROR(VLOOKUP(BV$1,'žádosti MPSV 2020'!$SF$8:$VN$276,86,FALSE),0)</f>
        <v>0</v>
      </c>
      <c r="BW8" s="314">
        <f>IFERROR(VLOOKUP(BW$1,'žádosti MPSV 2020'!$SF$8:$VN$276,86,FALSE),0)</f>
        <v>0</v>
      </c>
      <c r="BX8" s="314">
        <f>IFERROR(VLOOKUP(BX$1,'žádosti MPSV 2020'!$SF$8:$VN$276,86,FALSE),0)</f>
        <v>0</v>
      </c>
      <c r="BY8" s="314">
        <f>IFERROR(VLOOKUP(BY$1,'žádosti MPSV 2020'!$SF$8:$VN$276,86,FALSE),0)</f>
        <v>0</v>
      </c>
      <c r="BZ8" s="314">
        <f>IFERROR(VLOOKUP(BZ$1,'žádosti MPSV 2020'!$SF$8:$VN$276,86,FALSE),0)</f>
        <v>0</v>
      </c>
      <c r="CA8" s="314">
        <f>IFERROR(VLOOKUP(CA$1,'žádosti MPSV 2020'!$SF$8:$VN$276,86,FALSE),0)</f>
        <v>0</v>
      </c>
      <c r="CB8" s="314">
        <f>IFERROR(VLOOKUP(CB$1,'žádosti MPSV 2020'!$SF$8:$VN$276,86,FALSE),0)</f>
        <v>0</v>
      </c>
      <c r="CC8" s="314">
        <f>IFERROR(VLOOKUP(CC$1,'žádosti MPSV 2020'!$SF$8:$VN$276,86,FALSE),0)</f>
        <v>0</v>
      </c>
      <c r="CD8" s="314">
        <f>IFERROR(VLOOKUP(CD$1,'žádosti MPSV 2020'!$SF$8:$VN$276,86,FALSE),0)</f>
        <v>0</v>
      </c>
      <c r="CE8" s="314">
        <f>IFERROR(VLOOKUP(CE$1,'žádosti MPSV 2020'!$SF$8:$VN$276,86,FALSE),0)</f>
        <v>0</v>
      </c>
      <c r="CF8" s="314">
        <f>IFERROR(VLOOKUP(CF$1,'žádosti MPSV 2020'!$SF$8:$VN$276,86,FALSE),0)</f>
        <v>0</v>
      </c>
      <c r="CG8" s="314">
        <f>IFERROR(VLOOKUP(CG$1,'žádosti MPSV 2020'!$SF$8:$VN$276,86,FALSE),0)</f>
        <v>0</v>
      </c>
      <c r="CH8" s="314">
        <f>IFERROR(VLOOKUP(CH$1,'žádosti MPSV 2020'!$SF$8:$VN$276,86,FALSE),0)</f>
        <v>0</v>
      </c>
      <c r="CI8" s="314">
        <f>IFERROR(VLOOKUP(CI$1,'žádosti MPSV 2020'!$SF$8:$VN$276,86,FALSE),0)</f>
        <v>0</v>
      </c>
      <c r="CJ8" s="314">
        <f>IFERROR(VLOOKUP(CJ$1,'žádosti MPSV 2020'!$SF$8:$VN$276,86,FALSE),0)</f>
        <v>0</v>
      </c>
      <c r="CK8" s="314">
        <f>IFERROR(VLOOKUP(CK$1,'žádosti MPSV 2020'!$SF$8:$VN$276,86,FALSE),0)</f>
        <v>0</v>
      </c>
      <c r="CL8" s="314">
        <f>IFERROR(VLOOKUP(CL$1,'žádosti MPSV 2020'!$SF$8:$VN$276,86,FALSE),0)</f>
        <v>0</v>
      </c>
      <c r="CM8" s="314">
        <f>IFERROR(VLOOKUP(CM$1,'žádosti MPSV 2020'!$SF$8:$VN$276,86,FALSE),0)</f>
        <v>0</v>
      </c>
      <c r="CN8" s="314">
        <f>IFERROR(VLOOKUP(CN$1,'žádosti MPSV 2020'!$SF$8:$VN$276,86,FALSE),0)</f>
        <v>0</v>
      </c>
      <c r="CO8" s="314">
        <f>IFERROR(VLOOKUP(CO$1,'žádosti MPSV 2020'!$SF$8:$VN$276,86,FALSE),0)</f>
        <v>0</v>
      </c>
      <c r="CP8" s="314">
        <f>IFERROR(VLOOKUP(CP$1,'žádosti MPSV 2020'!$SF$8:$VN$276,86,FALSE),0)</f>
        <v>0</v>
      </c>
      <c r="CQ8" s="314">
        <f>IFERROR(VLOOKUP(CQ$1,'žádosti MPSV 2020'!$SF$8:$VN$276,86,FALSE),0)</f>
        <v>0</v>
      </c>
      <c r="CR8" s="314">
        <f>IFERROR(VLOOKUP(CR$1,'žádosti MPSV 2020'!$SF$8:$VN$276,86,FALSE),0)</f>
        <v>0</v>
      </c>
      <c r="CS8" s="314">
        <f>IFERROR(VLOOKUP(CS$1,'žádosti MPSV 2020'!$SF$8:$VN$276,86,FALSE),0)</f>
        <v>0</v>
      </c>
      <c r="CT8" s="314">
        <f>IFERROR(VLOOKUP(CT$1,'žádosti MPSV 2020'!$SF$8:$VN$276,86,FALSE),0)</f>
        <v>0</v>
      </c>
      <c r="CU8" s="314">
        <f>IFERROR(VLOOKUP(CU$1,'žádosti MPSV 2020'!$SF$8:$VN$276,86,FALSE),0)</f>
        <v>0</v>
      </c>
      <c r="CV8" s="314">
        <f>IFERROR(VLOOKUP(CV$1,'žádosti MPSV 2020'!$SF$8:$VN$276,86,FALSE),0)</f>
        <v>0</v>
      </c>
      <c r="CW8" s="314">
        <f>IFERROR(VLOOKUP(CW$1,'žádosti MPSV 2020'!$SF$8:$VN$276,86,FALSE),0)</f>
        <v>0</v>
      </c>
      <c r="CX8" s="314">
        <f>IFERROR(VLOOKUP(CX$1,'žádosti MPSV 2020'!$SF$8:$VN$276,86,FALSE),0)</f>
        <v>0</v>
      </c>
      <c r="CY8" s="314">
        <f>IFERROR(VLOOKUP(CY$1,'žádosti MPSV 2020'!$SF$8:$VN$276,86,FALSE),0)</f>
        <v>0</v>
      </c>
      <c r="CZ8" s="314">
        <f>IFERROR(VLOOKUP(CZ$1,'žádosti MPSV 2020'!$SF$8:$VN$276,86,FALSE),0)</f>
        <v>0</v>
      </c>
      <c r="DA8" s="314">
        <f>IFERROR(VLOOKUP(DA$1,'žádosti MPSV 2020'!$SF$8:$VN$276,86,FALSE),0)</f>
        <v>0</v>
      </c>
      <c r="DB8" s="314">
        <f>IFERROR(VLOOKUP(DB$1,'žádosti MPSV 2020'!$SF$8:$VN$276,86,FALSE),0)</f>
        <v>0</v>
      </c>
      <c r="DC8" s="314">
        <f>IFERROR(VLOOKUP(DC$1,'žádosti MPSV 2020'!$SF$8:$VN$276,86,FALSE),0)</f>
        <v>0</v>
      </c>
      <c r="DD8" s="314">
        <f>IFERROR(VLOOKUP(DD$1,'žádosti MPSV 2020'!$SF$8:$VN$276,86,FALSE),0)</f>
        <v>0</v>
      </c>
      <c r="DE8" s="314">
        <f>IFERROR(VLOOKUP(DE$1,'žádosti MPSV 2020'!$SF$8:$VN$276,86,FALSE),0)</f>
        <v>0</v>
      </c>
      <c r="DF8" s="314">
        <f>IFERROR(VLOOKUP(DF$1,'žádosti MPSV 2020'!$SF$8:$VN$276,86,FALSE),0)</f>
        <v>0</v>
      </c>
      <c r="DG8" s="314">
        <f>IFERROR(VLOOKUP(DG$1,'žádosti MPSV 2020'!$SF$8:$VN$276,86,FALSE),0)</f>
        <v>0</v>
      </c>
      <c r="DH8" s="314">
        <f>IFERROR(VLOOKUP(DH$1,'žádosti MPSV 2020'!$SF$8:$VN$276,86,FALSE),0)</f>
        <v>0</v>
      </c>
      <c r="DI8" s="314">
        <f>IFERROR(VLOOKUP(DI$1,'žádosti MPSV 2020'!$SF$8:$VN$276,86,FALSE),0)</f>
        <v>0</v>
      </c>
      <c r="DJ8" s="314">
        <f>IFERROR(VLOOKUP(DJ$1,'žádosti MPSV 2020'!$SF$8:$VN$276,86,FALSE),0)</f>
        <v>0</v>
      </c>
      <c r="DK8" s="314">
        <f>IFERROR(VLOOKUP(DK$1,'žádosti MPSV 2020'!$SF$8:$VN$276,86,FALSE),0)</f>
        <v>0</v>
      </c>
      <c r="DL8" s="314">
        <f>IFERROR(VLOOKUP(DL$1,'žádosti MPSV 2020'!$SF$8:$VN$276,86,FALSE),0)</f>
        <v>0</v>
      </c>
      <c r="DM8" s="314">
        <f>IFERROR(VLOOKUP(DM$1,'žádosti MPSV 2020'!$SF$8:$VN$276,86,FALSE),0)</f>
        <v>0</v>
      </c>
      <c r="DN8" s="314">
        <f>IFERROR(VLOOKUP(DN$1,'žádosti MPSV 2020'!$SF$8:$VN$276,86,FALSE),0)</f>
        <v>0</v>
      </c>
      <c r="DO8" s="314">
        <f>IFERROR(VLOOKUP(DO$1,'žádosti MPSV 2020'!$SF$8:$VN$276,86,FALSE),0)</f>
        <v>0</v>
      </c>
      <c r="DP8" s="314">
        <f>IFERROR(VLOOKUP(DP$1,'žádosti MPSV 2020'!$SF$8:$VN$276,86,FALSE),0)</f>
        <v>0</v>
      </c>
      <c r="DQ8" s="314">
        <f>IFERROR(VLOOKUP(DQ$1,'žádosti MPSV 2020'!$SF$8:$VN$276,86,FALSE),0)</f>
        <v>0</v>
      </c>
      <c r="DR8" s="314">
        <f>IFERROR(VLOOKUP(DR$1,'žádosti MPSV 2020'!$SF$8:$VN$276,86,FALSE),0)</f>
        <v>0</v>
      </c>
      <c r="DS8" s="314">
        <f>IFERROR(VLOOKUP(DS$1,'žádosti MPSV 2020'!$SF$8:$VN$276,86,FALSE),0)</f>
        <v>0</v>
      </c>
      <c r="DT8" s="314">
        <f>IFERROR(VLOOKUP(DT$1,'žádosti MPSV 2020'!$SF$8:$VN$276,86,FALSE),0)</f>
        <v>500000</v>
      </c>
      <c r="DU8" s="314">
        <f>IFERROR(VLOOKUP(DU$1,'žádosti MPSV 2020'!$SF$8:$VN$276,86,FALSE),0)</f>
        <v>0</v>
      </c>
      <c r="DV8" s="314">
        <f>IFERROR(VLOOKUP(DV$1,'žádosti MPSV 2020'!$SF$8:$VN$276,86,FALSE),0)</f>
        <v>0</v>
      </c>
      <c r="DW8" s="314">
        <f>IFERROR(VLOOKUP(DW$1,'žádosti MPSV 2020'!$SF$8:$VN$276,86,FALSE),0)</f>
        <v>0</v>
      </c>
      <c r="DX8" s="314">
        <f>IFERROR(VLOOKUP(DX$1,'žádosti MPSV 2020'!$SF$8:$VN$276,86,FALSE),0)</f>
        <v>0</v>
      </c>
      <c r="DY8" s="314">
        <f>IFERROR(VLOOKUP(DY$1,'žádosti MPSV 2020'!$SF$8:$VN$276,86,FALSE),0)</f>
        <v>0</v>
      </c>
      <c r="DZ8" s="314">
        <f>IFERROR(VLOOKUP(DZ$1,'žádosti MPSV 2020'!$SF$8:$VN$276,86,FALSE),0)</f>
        <v>0</v>
      </c>
      <c r="EA8" s="314">
        <f>IFERROR(VLOOKUP(EA$1,'žádosti MPSV 2020'!$SF$8:$VN$276,86,FALSE),0)</f>
        <v>0</v>
      </c>
      <c r="EB8" s="314">
        <f>IFERROR(VLOOKUP(EB$1,'žádosti MPSV 2020'!$SF$8:$VN$276,86,FALSE),0)</f>
        <v>511000</v>
      </c>
      <c r="EC8" s="314">
        <f>IFERROR(VLOOKUP(EC$1,'žádosti MPSV 2020'!$SF$8:$VN$276,86,FALSE),0)</f>
        <v>0</v>
      </c>
      <c r="ED8" s="314">
        <f>IFERROR(VLOOKUP(ED$1,'žádosti MPSV 2020'!$SF$8:$VN$276,86,FALSE),0)</f>
        <v>0</v>
      </c>
      <c r="EE8" s="314">
        <f>IFERROR(VLOOKUP(EE$1,'žádosti MPSV 2020'!$SF$8:$VN$276,86,FALSE),0)</f>
        <v>0</v>
      </c>
      <c r="EF8" s="314">
        <f>IFERROR(VLOOKUP(EF$1,'žádosti MPSV 2020'!$SF$8:$VN$276,86,FALSE),0)</f>
        <v>0</v>
      </c>
      <c r="EG8" s="314">
        <f>IFERROR(VLOOKUP(EG$1,'žádosti MPSV 2020'!$SF$8:$VN$276,86,FALSE),0)</f>
        <v>0</v>
      </c>
      <c r="EH8" s="314">
        <f>IFERROR(VLOOKUP(EH$1,'žádosti MPSV 2020'!$SF$8:$VN$276,86,FALSE),0)</f>
        <v>0</v>
      </c>
      <c r="EI8" s="314">
        <f>IFERROR(VLOOKUP(EI$1,'žádosti MPSV 2020'!$SF$8:$VN$276,86,FALSE),0)</f>
        <v>0</v>
      </c>
      <c r="EJ8" s="314">
        <f>IFERROR(VLOOKUP(EJ$1,'žádosti MPSV 2020'!$SF$8:$VN$276,86,FALSE),0)</f>
        <v>0</v>
      </c>
      <c r="EK8" s="314">
        <f>IFERROR(VLOOKUP(EK$1,'žádosti MPSV 2020'!$SF$8:$VN$276,86,FALSE),0)</f>
        <v>0</v>
      </c>
      <c r="EL8" s="314">
        <f>IFERROR(VLOOKUP(EL$1,'žádosti MPSV 2020'!$SF$8:$VN$276,86,FALSE),0)</f>
        <v>0</v>
      </c>
      <c r="EM8" s="314">
        <f>IFERROR(VLOOKUP(EM$1,'žádosti MPSV 2020'!$SF$8:$VN$276,86,FALSE),0)</f>
        <v>0</v>
      </c>
      <c r="EN8" s="314">
        <f>IFERROR(VLOOKUP(EN$1,'žádosti MPSV 2020'!$SF$8:$VN$276,86,FALSE),0)</f>
        <v>0</v>
      </c>
      <c r="EO8" s="314">
        <f>IFERROR(VLOOKUP(EO$1,'žádosti MPSV 2020'!$SF$8:$VN$276,86,FALSE),0)</f>
        <v>0</v>
      </c>
      <c r="EP8" s="314">
        <f>IFERROR(VLOOKUP(EP$1,'žádosti MPSV 2020'!$SF$8:$VN$276,86,FALSE),0)</f>
        <v>0</v>
      </c>
      <c r="EQ8" s="314">
        <f>IFERROR(VLOOKUP(EQ$1,'žádosti MPSV 2020'!$SF$8:$VN$276,86,FALSE),0)</f>
        <v>0</v>
      </c>
      <c r="ER8" s="314">
        <f>IFERROR(VLOOKUP(ER$1,'žádosti MPSV 2020'!$SF$8:$VN$276,86,FALSE),0)</f>
        <v>0</v>
      </c>
      <c r="ES8" s="314">
        <f>IFERROR(VLOOKUP(ES$1,'žádosti MPSV 2020'!$SF$8:$VN$276,86,FALSE),0)</f>
        <v>0</v>
      </c>
      <c r="ET8" s="314">
        <f>IFERROR(VLOOKUP(ET$1,'žádosti MPSV 2020'!$SF$8:$VN$276,86,FALSE),0)</f>
        <v>0</v>
      </c>
      <c r="EU8" s="314">
        <f>IFERROR(VLOOKUP(EU$1,'žádosti MPSV 2020'!$SF$8:$VN$276,86,FALSE),0)</f>
        <v>0</v>
      </c>
      <c r="EV8" s="314">
        <f>IFERROR(VLOOKUP(EV$1,'žádosti MPSV 2020'!$SF$8:$VN$276,86,FALSE),0)</f>
        <v>0</v>
      </c>
      <c r="EW8" s="314">
        <f>IFERROR(VLOOKUP(EW$1,'žádosti MPSV 2020'!$SF$8:$VN$276,86,FALSE),0)</f>
        <v>0</v>
      </c>
      <c r="EX8" s="314">
        <f>IFERROR(VLOOKUP(EX$1,'žádosti MPSV 2020'!$SF$8:$VN$276,86,FALSE),0)</f>
        <v>0</v>
      </c>
      <c r="EY8" s="314">
        <f>IFERROR(VLOOKUP(EY$1,'žádosti MPSV 2020'!$SF$8:$VN$276,86,FALSE),0)</f>
        <v>0</v>
      </c>
      <c r="EZ8" s="314">
        <f>IFERROR(VLOOKUP(EZ$1,'žádosti MPSV 2020'!$SF$8:$VN$276,86,FALSE),0)</f>
        <v>0</v>
      </c>
      <c r="FA8" s="314">
        <f>IFERROR(VLOOKUP(FA$1,'žádosti MPSV 2020'!$SF$8:$VN$276,86,FALSE),0)</f>
        <v>0</v>
      </c>
      <c r="FB8" s="314">
        <f>IFERROR(VLOOKUP(FB$1,'žádosti MPSV 2020'!$SF$8:$VN$276,86,FALSE),0)</f>
        <v>0</v>
      </c>
      <c r="FC8" s="314">
        <f>IFERROR(VLOOKUP(FC$1,'žádosti MPSV 2020'!$SF$8:$VN$276,86,FALSE),0)</f>
        <v>0</v>
      </c>
      <c r="FD8" s="314">
        <f>IFERROR(VLOOKUP(FD$1,'žádosti MPSV 2020'!$SF$8:$VN$276,86,FALSE),0)</f>
        <v>0</v>
      </c>
      <c r="FE8" s="314">
        <f>IFERROR(VLOOKUP(FE$1,'žádosti MPSV 2020'!$SF$8:$VN$276,86,FALSE),0)</f>
        <v>0</v>
      </c>
      <c r="FF8" s="314">
        <f>IFERROR(VLOOKUP(FF$1,'žádosti MPSV 2020'!$SF$8:$VN$276,86,FALSE),0)</f>
        <v>0</v>
      </c>
      <c r="FG8" s="314">
        <f>IFERROR(VLOOKUP(FG$1,'žádosti MPSV 2020'!$SF$8:$VN$276,86,FALSE),0)</f>
        <v>0</v>
      </c>
      <c r="FH8" s="314">
        <f>IFERROR(VLOOKUP(FH$1,'žádosti MPSV 2020'!$SF$8:$VN$276,86,FALSE),0)</f>
        <v>0</v>
      </c>
      <c r="FI8" s="314">
        <f>IFERROR(VLOOKUP(FI$1,'žádosti MPSV 2020'!$SF$8:$VN$276,86,FALSE),0)</f>
        <v>0</v>
      </c>
      <c r="FJ8" s="314">
        <f>IFERROR(VLOOKUP(FJ$1,'žádosti MPSV 2020'!$SF$8:$VN$276,86,FALSE),0)</f>
        <v>0</v>
      </c>
      <c r="FK8" s="314">
        <f>IFERROR(VLOOKUP(FK$1,'žádosti MPSV 2020'!$SF$8:$VN$276,86,FALSE),0)</f>
        <v>0</v>
      </c>
      <c r="FL8" s="314">
        <f>IFERROR(VLOOKUP(FL$1,'žádosti MPSV 2020'!$SF$8:$VN$276,86,FALSE),0)</f>
        <v>0</v>
      </c>
      <c r="FM8" s="314">
        <f>IFERROR(VLOOKUP(FM$1,'žádosti MPSV 2020'!$SF$8:$VN$276,86,FALSE),0)</f>
        <v>0</v>
      </c>
      <c r="FN8" s="314">
        <f>IFERROR(VLOOKUP(FN$1,'žádosti MPSV 2020'!$SF$8:$VN$276,86,FALSE),0)</f>
        <v>0</v>
      </c>
      <c r="FO8" s="314">
        <f>IFERROR(VLOOKUP(FO$1,'žádosti MPSV 2020'!$SF$8:$VN$276,86,FALSE),0)</f>
        <v>0</v>
      </c>
      <c r="FP8" s="314">
        <f>IFERROR(VLOOKUP(FP$1,'žádosti MPSV 2020'!$SF$8:$VN$276,86,FALSE),0)</f>
        <v>0</v>
      </c>
      <c r="FQ8" s="314">
        <f>IFERROR(VLOOKUP(FQ$1,'žádosti MPSV 2020'!$SF$8:$VN$276,86,FALSE),0)</f>
        <v>0</v>
      </c>
      <c r="FR8" s="314">
        <f>IFERROR(VLOOKUP(FR$1,'žádosti MPSV 2020'!$SF$8:$VN$276,86,FALSE),0)</f>
        <v>0</v>
      </c>
      <c r="FS8" s="314">
        <f>IFERROR(VLOOKUP(FS$1,'žádosti MPSV 2020'!$SF$8:$VN$276,86,FALSE),0)</f>
        <v>0</v>
      </c>
      <c r="FT8" s="314">
        <f>IFERROR(VLOOKUP(FT$1,'žádosti MPSV 2020'!$SF$8:$VN$276,86,FALSE),0)</f>
        <v>0</v>
      </c>
      <c r="FU8" s="314">
        <f>IFERROR(VLOOKUP(FU$1,'žádosti MPSV 2020'!$SF$8:$VN$276,86,FALSE),0)</f>
        <v>0</v>
      </c>
      <c r="FV8" s="314">
        <f>IFERROR(VLOOKUP(FV$1,'žádosti MPSV 2020'!$SF$8:$VN$276,86,FALSE),0)</f>
        <v>0</v>
      </c>
      <c r="FW8" s="314">
        <f>IFERROR(VLOOKUP(FW$1,'žádosti MPSV 2020'!$SF$8:$VN$276,86,FALSE),0)</f>
        <v>0</v>
      </c>
      <c r="FX8" s="314">
        <f>IFERROR(VLOOKUP(FX$1,'žádosti MPSV 2020'!$SF$8:$VN$276,86,FALSE),0)</f>
        <v>0</v>
      </c>
      <c r="FY8" s="314">
        <f>IFERROR(VLOOKUP(FY$1,'žádosti MPSV 2020'!$SF$8:$VN$276,86,FALSE),0)</f>
        <v>0</v>
      </c>
      <c r="FZ8" s="314">
        <f>IFERROR(VLOOKUP(FZ$1,'žádosti MPSV 2020'!$SF$8:$VN$276,86,FALSE),0)</f>
        <v>0</v>
      </c>
      <c r="GA8" s="314">
        <f>IFERROR(VLOOKUP(GA$1,'žádosti MPSV 2020'!$SF$8:$VN$276,86,FALSE),0)</f>
        <v>0</v>
      </c>
      <c r="GB8" s="314">
        <f>IFERROR(VLOOKUP(GB$1,'žádosti MPSV 2020'!$SF$8:$VN$276,86,FALSE),0)</f>
        <v>0</v>
      </c>
      <c r="GC8" s="314">
        <f>IFERROR(VLOOKUP(GC$1,'žádosti MPSV 2020'!$SF$8:$VN$276,86,FALSE),0)</f>
        <v>0</v>
      </c>
      <c r="GD8" s="314">
        <f>IFERROR(VLOOKUP(GD$1,'žádosti MPSV 2020'!$SF$8:$VN$276,86,FALSE),0)</f>
        <v>0</v>
      </c>
      <c r="GE8" s="314">
        <f>IFERROR(VLOOKUP(GE$1,'žádosti MPSV 2020'!$SF$8:$VN$276,86,FALSE),0)</f>
        <v>0</v>
      </c>
      <c r="GF8" s="314">
        <f>IFERROR(VLOOKUP(GF$1,'žádosti MPSV 2020'!$SF$8:$VN$276,86,FALSE),0)</f>
        <v>0</v>
      </c>
      <c r="GG8" s="314">
        <f>IFERROR(VLOOKUP(GG$1,'žádosti MPSV 2020'!$SF$8:$VN$276,86,FALSE),0)</f>
        <v>0</v>
      </c>
      <c r="GH8" s="314">
        <f>IFERROR(VLOOKUP(GH$1,'žádosti MPSV 2020'!$SF$8:$VN$276,86,FALSE),0)</f>
        <v>0</v>
      </c>
      <c r="GI8" s="314">
        <f>IFERROR(VLOOKUP(GI$1,'žádosti MPSV 2020'!$SF$8:$VN$276,86,FALSE),0)</f>
        <v>0</v>
      </c>
      <c r="GJ8" s="314">
        <f>IFERROR(VLOOKUP(GJ$1,'žádosti MPSV 2020'!$SF$8:$VN$276,86,FALSE),0)</f>
        <v>0</v>
      </c>
      <c r="GK8" s="314">
        <f>IFERROR(VLOOKUP(GK$1,'žádosti MPSV 2020'!$SF$8:$VN$276,86,FALSE),0)</f>
        <v>0</v>
      </c>
      <c r="GL8" s="314">
        <f>IFERROR(VLOOKUP(GL$1,'žádosti MPSV 2020'!$SF$8:$VN$276,86,FALSE),0)</f>
        <v>0</v>
      </c>
      <c r="GM8" s="314">
        <f>IFERROR(VLOOKUP(GM$1,'žádosti MPSV 2020'!$SF$8:$VN$276,86,FALSE),0)</f>
        <v>0</v>
      </c>
      <c r="GN8" s="314">
        <f>IFERROR(VLOOKUP(GN$1,'žádosti MPSV 2020'!$SF$8:$VN$276,86,FALSE),0)</f>
        <v>0</v>
      </c>
      <c r="GO8" s="314">
        <f>IFERROR(VLOOKUP(GO$1,'žádosti MPSV 2020'!$SF$8:$VN$276,86,FALSE),0)</f>
        <v>0</v>
      </c>
      <c r="GP8" s="314">
        <f>IFERROR(VLOOKUP(GP$1,'žádosti MPSV 2020'!$SF$8:$VN$276,86,FALSE),0)</f>
        <v>0</v>
      </c>
      <c r="GQ8" s="314">
        <f>IFERROR(VLOOKUP(GQ$1,'žádosti MPSV 2020'!$SF$8:$VN$276,86,FALSE),0)</f>
        <v>0</v>
      </c>
      <c r="GR8" s="314">
        <f>IFERROR(VLOOKUP(GR$1,'žádosti MPSV 2020'!$SF$8:$VN$276,86,FALSE),0)</f>
        <v>0</v>
      </c>
      <c r="GS8" s="314">
        <f>IFERROR(VLOOKUP(GS$1,'žádosti MPSV 2020'!$SF$8:$VN$276,86,FALSE),0)</f>
        <v>0</v>
      </c>
      <c r="GT8" s="314">
        <f>IFERROR(VLOOKUP(GT$1,'žádosti MPSV 2020'!$SF$8:$VN$276,86,FALSE),0)</f>
        <v>0</v>
      </c>
      <c r="GU8" s="314">
        <f>IFERROR(VLOOKUP(GU$1,'žádosti MPSV 2020'!$SF$8:$VN$276,86,FALSE),0)</f>
        <v>0</v>
      </c>
      <c r="GV8" s="314">
        <f>IFERROR(VLOOKUP(GV$1,'žádosti MPSV 2020'!$SF$8:$VN$276,86,FALSE),0)</f>
        <v>0</v>
      </c>
      <c r="GW8" s="314">
        <f>IFERROR(VLOOKUP(GW$1,'žádosti MPSV 2020'!$SF$8:$VN$276,86,FALSE),0)</f>
        <v>0</v>
      </c>
      <c r="GX8" s="314">
        <f>IFERROR(VLOOKUP(GX$1,'žádosti MPSV 2020'!$SF$8:$VN$276,86,FALSE),0)</f>
        <v>0</v>
      </c>
      <c r="GY8" s="314">
        <f>IFERROR(VLOOKUP(GY$1,'žádosti MPSV 2020'!$SF$8:$VN$276,86,FALSE),0)</f>
        <v>0</v>
      </c>
      <c r="GZ8" s="314">
        <f>IFERROR(VLOOKUP(GZ$1,'žádosti MPSV 2020'!$SF$8:$VN$276,86,FALSE),0)</f>
        <v>0</v>
      </c>
      <c r="HA8" s="314">
        <f>IFERROR(VLOOKUP(HA$1,'žádosti MPSV 2020'!$SF$8:$VN$276,86,FALSE),0)</f>
        <v>0</v>
      </c>
      <c r="HB8" s="314">
        <f>IFERROR(VLOOKUP(HB$1,'žádosti MPSV 2020'!$SF$8:$VN$276,86,FALSE),0)</f>
        <v>0</v>
      </c>
      <c r="HC8" s="314">
        <f>IFERROR(VLOOKUP(HC$1,'žádosti MPSV 2020'!$SF$8:$VN$276,86,FALSE),0)</f>
        <v>0</v>
      </c>
      <c r="HD8" s="314">
        <f>IFERROR(VLOOKUP(HD$1,'žádosti MPSV 2020'!$SF$8:$VN$276,86,FALSE),0)</f>
        <v>0</v>
      </c>
      <c r="HE8" s="314">
        <f>IFERROR(VLOOKUP(HE$1,'žádosti MPSV 2020'!$SF$8:$VN$276,86,FALSE),0)</f>
        <v>0</v>
      </c>
      <c r="HF8" s="314">
        <f>IFERROR(VLOOKUP(HF$1,'žádosti MPSV 2020'!$SF$8:$VN$276,86,FALSE),0)</f>
        <v>0</v>
      </c>
      <c r="HG8" s="314">
        <f>IFERROR(VLOOKUP(HG$1,'žádosti MPSV 2020'!$SF$8:$VN$276,86,FALSE),0)</f>
        <v>0</v>
      </c>
      <c r="HH8" s="314">
        <f>IFERROR(VLOOKUP(HH$1,'žádosti MPSV 2020'!$SF$8:$VN$276,86,FALSE),0)</f>
        <v>0</v>
      </c>
      <c r="HI8" s="314">
        <f>IFERROR(VLOOKUP(HI$1,'žádosti MPSV 2020'!$SF$8:$VN$276,86,FALSE),0)</f>
        <v>0</v>
      </c>
      <c r="HJ8" s="314">
        <f>IFERROR(VLOOKUP(HJ$1,'žádosti MPSV 2020'!$SF$8:$VN$276,86,FALSE),0)</f>
        <v>0</v>
      </c>
      <c r="HK8" s="314">
        <f>IFERROR(VLOOKUP(HK$1,'žádosti MPSV 2020'!$SF$8:$VN$276,86,FALSE),0)</f>
        <v>0</v>
      </c>
      <c r="HL8" s="314">
        <f>IFERROR(VLOOKUP(HL$1,'žádosti MPSV 2020'!$SF$8:$VN$276,86,FALSE),0)</f>
        <v>0</v>
      </c>
      <c r="HM8" s="314">
        <f>IFERROR(VLOOKUP(HM$1,'žádosti MPSV 2020'!$SF$8:$VN$276,86,FALSE),0)</f>
        <v>0</v>
      </c>
      <c r="HN8" s="314">
        <f>IFERROR(VLOOKUP(HN$1,'žádosti MPSV 2020'!$SF$8:$VN$276,86,FALSE),0)</f>
        <v>0</v>
      </c>
      <c r="HO8" s="314">
        <f>IFERROR(VLOOKUP(HO$1,'žádosti MPSV 2020'!$SF$8:$VN$276,86,FALSE),0)</f>
        <v>0</v>
      </c>
      <c r="HP8" s="314">
        <f>IFERROR(VLOOKUP(HP$1,'žádosti MPSV 2020'!$SF$8:$VN$276,86,FALSE),0)</f>
        <v>0</v>
      </c>
      <c r="HQ8" s="314">
        <f>IFERROR(VLOOKUP(HQ$1,'žádosti MPSV 2020'!$SF$8:$VN$276,86,FALSE),0)</f>
        <v>0</v>
      </c>
      <c r="HR8" s="314">
        <f>IFERROR(VLOOKUP(HR$1,'žádosti MPSV 2020'!$SF$8:$VN$276,86,FALSE),0)</f>
        <v>0</v>
      </c>
      <c r="HS8" s="314">
        <f>IFERROR(VLOOKUP(HS$1,'žádosti MPSV 2020'!$SF$8:$VN$276,86,FALSE),0)</f>
        <v>0</v>
      </c>
      <c r="HT8" s="314">
        <f>IFERROR(VLOOKUP(HT$1,'žádosti MPSV 2020'!$SF$8:$VN$276,86,FALSE),0)</f>
        <v>0</v>
      </c>
      <c r="HU8" s="314">
        <f>IFERROR(VLOOKUP(HU$1,'žádosti MPSV 2020'!$SF$8:$VN$276,86,FALSE),0)</f>
        <v>0</v>
      </c>
      <c r="HV8" s="314">
        <f>IFERROR(VLOOKUP(HV$1,'žádosti MPSV 2020'!$SF$8:$VN$276,86,FALSE),0)</f>
        <v>0</v>
      </c>
      <c r="HW8" s="314">
        <f>IFERROR(VLOOKUP(HW$1,'žádosti MPSV 2020'!$SF$8:$VN$276,86,FALSE),0)</f>
        <v>0</v>
      </c>
      <c r="HX8" s="314">
        <f>IFERROR(VLOOKUP(HX$1,'žádosti MPSV 2020'!$SF$8:$VN$276,86,FALSE),0)</f>
        <v>0</v>
      </c>
      <c r="HY8" s="314">
        <f>IFERROR(VLOOKUP(HY$1,'žádosti MPSV 2020'!$SF$8:$VN$276,86,FALSE),0)</f>
        <v>0</v>
      </c>
      <c r="HZ8" s="314">
        <f>IFERROR(VLOOKUP(HZ$1,'žádosti MPSV 2020'!$SF$8:$VN$276,86,FALSE),0)</f>
        <v>0</v>
      </c>
      <c r="IA8" s="314">
        <f>IFERROR(VLOOKUP(IA$1,'žádosti MPSV 2020'!$SF$8:$VN$276,86,FALSE),0)</f>
        <v>0</v>
      </c>
      <c r="IB8" s="314">
        <f>IFERROR(VLOOKUP(IB$1,'žádosti MPSV 2020'!$SF$8:$VN$276,86,FALSE),0)</f>
        <v>0</v>
      </c>
      <c r="IC8" s="314">
        <f>IFERROR(VLOOKUP(IC$1,'žádosti MPSV 2020'!$SF$8:$VN$276,86,FALSE),0)</f>
        <v>0</v>
      </c>
      <c r="ID8" s="314">
        <f>IFERROR(VLOOKUP(ID$1,'žádosti MPSV 2020'!$SF$8:$VN$276,86,FALSE),0)</f>
        <v>0</v>
      </c>
      <c r="IE8" s="314">
        <f>IFERROR(VLOOKUP(IE$1,'žádosti MPSV 2020'!$SF$8:$VN$276,86,FALSE),0)</f>
        <v>0</v>
      </c>
      <c r="IF8" s="314">
        <f>IFERROR(VLOOKUP(IF$1,'žádosti MPSV 2020'!$SF$8:$VN$276,86,FALSE),0)</f>
        <v>0</v>
      </c>
      <c r="IG8" s="314">
        <f>IFERROR(VLOOKUP(IG$1,'žádosti MPSV 2020'!$SF$8:$VN$276,86,FALSE),0)</f>
        <v>0</v>
      </c>
      <c r="IH8" s="314">
        <f>IFERROR(VLOOKUP(IH$1,'žádosti MPSV 2020'!$SF$8:$VN$276,86,FALSE),0)</f>
        <v>0</v>
      </c>
      <c r="II8" s="314">
        <f>IFERROR(VLOOKUP(II$1,'žádosti MPSV 2020'!$SF$8:$VN$276,86,FALSE),0)</f>
        <v>0</v>
      </c>
      <c r="IJ8" s="314">
        <f>IFERROR(VLOOKUP(IJ$1,'žádosti MPSV 2020'!$SF$8:$VN$276,86,FALSE),0)</f>
        <v>0</v>
      </c>
      <c r="IK8" s="314">
        <f>IFERROR(VLOOKUP(IK$1,'žádosti MPSV 2020'!$SF$8:$VN$276,86,FALSE),0)</f>
        <v>0</v>
      </c>
      <c r="IL8" s="314">
        <f>IFERROR(VLOOKUP(IL$1,'žádosti MPSV 2020'!$SF$8:$VN$276,86,FALSE),0)</f>
        <v>0</v>
      </c>
      <c r="IM8" s="314">
        <f>IFERROR(VLOOKUP(IM$1,'žádosti MPSV 2020'!$SF$8:$VN$276,86,FALSE),0)</f>
        <v>0</v>
      </c>
      <c r="IN8" s="314">
        <f>IFERROR(VLOOKUP(IN$1,'žádosti MPSV 2020'!$SF$8:$VN$276,86,FALSE),0)</f>
        <v>0</v>
      </c>
      <c r="IO8" s="314">
        <f>IFERROR(VLOOKUP(IO$1,'žádosti MPSV 2020'!$SF$8:$VN$276,86,FALSE),0)</f>
        <v>0</v>
      </c>
      <c r="IP8" s="314">
        <f>IFERROR(VLOOKUP(IP$1,'žádosti MPSV 2020'!$SF$8:$VN$276,86,FALSE),0)</f>
        <v>0</v>
      </c>
      <c r="IQ8" s="314">
        <f>IFERROR(VLOOKUP(IQ$1,'žádosti MPSV 2020'!$SF$8:$VN$276,86,FALSE),0)</f>
        <v>0</v>
      </c>
      <c r="IR8" s="314">
        <f>IFERROR(VLOOKUP(IR$1,'žádosti MPSV 2020'!$SF$8:$VN$276,86,FALSE),0)</f>
        <v>0</v>
      </c>
      <c r="IS8" s="314">
        <f>IFERROR(VLOOKUP(IS$1,'žádosti MPSV 2020'!$SF$8:$VN$276,86,FALSE),0)</f>
        <v>0</v>
      </c>
      <c r="IT8" s="314">
        <f>IFERROR(VLOOKUP(IT$1,'žádosti MPSV 2020'!$SF$8:$VN$276,86,FALSE),0)</f>
        <v>0</v>
      </c>
      <c r="IU8" s="314">
        <f>IFERROR(VLOOKUP(IU$1,'žádosti MPSV 2020'!$SF$8:$VN$276,86,FALSE),0)</f>
        <v>0</v>
      </c>
      <c r="IV8" s="314">
        <f>IFERROR(VLOOKUP(IV$1,'žádosti MPSV 2020'!$SF$8:$VN$276,86,FALSE),0)</f>
        <v>0</v>
      </c>
      <c r="IW8" s="314">
        <f>IFERROR(VLOOKUP(IW$1,'žádosti MPSV 2020'!$SF$8:$VN$276,86,FALSE),0)</f>
        <v>0</v>
      </c>
      <c r="IX8" s="314">
        <f>IFERROR(VLOOKUP(IX$1,'žádosti MPSV 2020'!$SF$8:$VN$276,86,FALSE),0)</f>
        <v>0</v>
      </c>
      <c r="IY8" s="314">
        <f>IFERROR(VLOOKUP(IY$1,'žádosti MPSV 2020'!$SF$8:$VN$276,86,FALSE),0)</f>
        <v>0</v>
      </c>
      <c r="IZ8" s="314">
        <f>IFERROR(VLOOKUP(IZ$1,'žádosti MPSV 2020'!$SF$8:$VN$276,86,FALSE),0)</f>
        <v>0</v>
      </c>
      <c r="JA8" s="314">
        <f>IFERROR(VLOOKUP(JA$1,'žádosti MPSV 2020'!$SF$8:$VN$276,86,FALSE),0)</f>
        <v>0</v>
      </c>
      <c r="JB8" s="314">
        <f>IFERROR(VLOOKUP(JB$1,'žádosti MPSV 2020'!$SF$8:$VN$276,86,FALSE),0)</f>
        <v>0</v>
      </c>
      <c r="JC8" s="314">
        <f>IFERROR(VLOOKUP(JC$1,'žádosti MPSV 2020'!$SF$8:$VN$276,86,FALSE),0)</f>
        <v>0</v>
      </c>
      <c r="JD8" s="314">
        <f>IFERROR(VLOOKUP(JD$1,'žádosti MPSV 2020'!$SF$8:$VN$276,86,FALSE),0)</f>
        <v>0</v>
      </c>
      <c r="JE8" s="314">
        <f>IFERROR(VLOOKUP(JE$1,'žádosti MPSV 2020'!$SF$8:$VN$276,86,FALSE),0)</f>
        <v>0</v>
      </c>
      <c r="JF8" s="314">
        <f>IFERROR(VLOOKUP(JF$1,'žádosti MPSV 2020'!$SF$8:$VN$276,86,FALSE),0)</f>
        <v>0</v>
      </c>
      <c r="JG8" s="314">
        <f>IFERROR(VLOOKUP(JG$1,'žádosti MPSV 2020'!$SF$8:$VN$276,86,FALSE),0)</f>
        <v>0</v>
      </c>
      <c r="JH8" s="314">
        <f>IFERROR(VLOOKUP(JH$1,'žádosti MPSV 2020'!$SF$8:$VN$276,86,FALSE),0)</f>
        <v>0</v>
      </c>
      <c r="JI8" s="314">
        <f t="shared" ref="JI8:JI9" si="21">SUM(C8:JH8)</f>
        <v>1011000</v>
      </c>
      <c r="JL8" s="307">
        <f t="shared" si="20"/>
        <v>0</v>
      </c>
      <c r="JM8" s="307">
        <f t="shared" si="20"/>
        <v>1011000</v>
      </c>
      <c r="JN8" s="307">
        <f t="shared" si="20"/>
        <v>0</v>
      </c>
      <c r="JO8" s="307">
        <f t="shared" si="20"/>
        <v>0</v>
      </c>
      <c r="JP8" s="307">
        <f>SUM(JL8:JO8)</f>
        <v>1011000</v>
      </c>
    </row>
    <row r="9" spans="1:276" ht="13.15" customHeight="1" thickBot="1" x14ac:dyDescent="0.3">
      <c r="A9" s="557"/>
      <c r="B9" s="557" t="s">
        <v>2630</v>
      </c>
      <c r="C9" s="558">
        <f>C7-C8</f>
        <v>9150000</v>
      </c>
      <c r="D9" s="558">
        <f t="shared" ref="D9:BP9" si="22">D7-D8</f>
        <v>7730000</v>
      </c>
      <c r="E9" s="558">
        <f t="shared" si="22"/>
        <v>9300000</v>
      </c>
      <c r="F9" s="558">
        <f t="shared" si="22"/>
        <v>4618835</v>
      </c>
      <c r="G9" s="558">
        <f t="shared" si="22"/>
        <v>10747751</v>
      </c>
      <c r="H9" s="558">
        <f t="shared" si="22"/>
        <v>1157858</v>
      </c>
      <c r="I9" s="558">
        <f t="shared" si="22"/>
        <v>3164198</v>
      </c>
      <c r="J9" s="558">
        <f t="shared" si="22"/>
        <v>2915400</v>
      </c>
      <c r="K9" s="558">
        <f t="shared" si="22"/>
        <v>5988080</v>
      </c>
      <c r="L9" s="558">
        <f t="shared" si="22"/>
        <v>4702400</v>
      </c>
      <c r="M9" s="558">
        <f t="shared" si="22"/>
        <v>4800000</v>
      </c>
      <c r="N9" s="558">
        <f t="shared" si="22"/>
        <v>6300000</v>
      </c>
      <c r="O9" s="558">
        <f t="shared" si="22"/>
        <v>4346141</v>
      </c>
      <c r="P9" s="558">
        <f t="shared" si="22"/>
        <v>2694928</v>
      </c>
      <c r="Q9" s="558">
        <f t="shared" si="22"/>
        <v>2795000</v>
      </c>
      <c r="R9" s="558">
        <f t="shared" si="22"/>
        <v>2091000</v>
      </c>
      <c r="S9" s="558">
        <f t="shared" si="22"/>
        <v>1735000</v>
      </c>
      <c r="T9" s="558">
        <f t="shared" si="22"/>
        <v>698000</v>
      </c>
      <c r="U9" s="558">
        <f t="shared" si="22"/>
        <v>1087500</v>
      </c>
      <c r="V9" s="558">
        <f t="shared" si="22"/>
        <v>9285000</v>
      </c>
      <c r="W9" s="558">
        <f t="shared" si="22"/>
        <v>2130000</v>
      </c>
      <c r="X9" s="558">
        <f t="shared" si="22"/>
        <v>2988500</v>
      </c>
      <c r="Y9" s="558">
        <f t="shared" si="22"/>
        <v>1770700</v>
      </c>
      <c r="Z9" s="558">
        <f t="shared" si="22"/>
        <v>7231924</v>
      </c>
      <c r="AA9" s="558">
        <f t="shared" si="22"/>
        <v>4621783</v>
      </c>
      <c r="AB9" s="558">
        <f t="shared" si="22"/>
        <v>4630000</v>
      </c>
      <c r="AC9" s="558">
        <f t="shared" si="22"/>
        <v>749000</v>
      </c>
      <c r="AD9" s="558">
        <f t="shared" si="22"/>
        <v>2672000</v>
      </c>
      <c r="AE9" s="558">
        <f t="shared" si="22"/>
        <v>805640</v>
      </c>
      <c r="AF9" s="558">
        <f t="shared" si="22"/>
        <v>1425292</v>
      </c>
      <c r="AG9" s="558">
        <f t="shared" si="22"/>
        <v>3596000</v>
      </c>
      <c r="AH9" s="558">
        <f t="shared" si="22"/>
        <v>760000</v>
      </c>
      <c r="AI9" s="558">
        <f t="shared" si="22"/>
        <v>3404000</v>
      </c>
      <c r="AJ9" s="558">
        <f t="shared" si="22"/>
        <v>2585000</v>
      </c>
      <c r="AK9" s="558">
        <f t="shared" si="22"/>
        <v>1251400</v>
      </c>
      <c r="AL9" s="558">
        <f t="shared" si="22"/>
        <v>2630000</v>
      </c>
      <c r="AM9" s="558">
        <f t="shared" si="22"/>
        <v>1634492</v>
      </c>
      <c r="AN9" s="558">
        <f t="shared" si="22"/>
        <v>1177000</v>
      </c>
      <c r="AO9" s="558">
        <f t="shared" si="22"/>
        <v>5500000</v>
      </c>
      <c r="AP9" s="558">
        <f t="shared" si="22"/>
        <v>2220000</v>
      </c>
      <c r="AQ9" s="558">
        <f t="shared" si="22"/>
        <v>491000</v>
      </c>
      <c r="AR9" s="558">
        <f t="shared" si="22"/>
        <v>1929000</v>
      </c>
      <c r="AS9" s="558">
        <f t="shared" si="22"/>
        <v>640200</v>
      </c>
      <c r="AT9" s="558">
        <f t="shared" si="22"/>
        <v>2900000</v>
      </c>
      <c r="AU9" s="558">
        <f t="shared" si="22"/>
        <v>1416300</v>
      </c>
      <c r="AV9" s="558">
        <f t="shared" si="22"/>
        <v>2235500</v>
      </c>
      <c r="AW9" s="558">
        <f t="shared" si="22"/>
        <v>3142100</v>
      </c>
      <c r="AX9" s="558">
        <f t="shared" si="22"/>
        <v>3395000</v>
      </c>
      <c r="AY9" s="558">
        <f t="shared" si="22"/>
        <v>3471000</v>
      </c>
      <c r="AZ9" s="558">
        <f t="shared" si="22"/>
        <v>2981000</v>
      </c>
      <c r="BA9" s="558">
        <f t="shared" si="22"/>
        <v>9230000</v>
      </c>
      <c r="BB9" s="558">
        <f t="shared" si="22"/>
        <v>1312920</v>
      </c>
      <c r="BC9" s="558">
        <f t="shared" si="22"/>
        <v>1668800</v>
      </c>
      <c r="BD9" s="558">
        <f t="shared" si="22"/>
        <v>2208600</v>
      </c>
      <c r="BE9" s="558">
        <f t="shared" si="22"/>
        <v>1290900</v>
      </c>
      <c r="BF9" s="558">
        <f t="shared" si="22"/>
        <v>2020000</v>
      </c>
      <c r="BG9" s="558">
        <f t="shared" si="22"/>
        <v>2499000</v>
      </c>
      <c r="BH9" s="558">
        <f t="shared" si="22"/>
        <v>3206000</v>
      </c>
      <c r="BI9" s="558">
        <f t="shared" si="22"/>
        <v>1270000</v>
      </c>
      <c r="BJ9" s="558">
        <f t="shared" si="22"/>
        <v>3539000</v>
      </c>
      <c r="BK9" s="558">
        <f t="shared" si="22"/>
        <v>100000</v>
      </c>
      <c r="BL9" s="558">
        <f t="shared" si="22"/>
        <v>1000000</v>
      </c>
      <c r="BM9" s="558">
        <f t="shared" si="22"/>
        <v>1464826</v>
      </c>
      <c r="BN9" s="558">
        <f t="shared" si="22"/>
        <v>1902000</v>
      </c>
      <c r="BO9" s="558">
        <f t="shared" si="22"/>
        <v>1072000</v>
      </c>
      <c r="BP9" s="558">
        <f t="shared" si="22"/>
        <v>4739080</v>
      </c>
      <c r="BQ9" s="558">
        <f t="shared" ref="BQ9:EB9" si="23">BQ7-BQ8</f>
        <v>112726</v>
      </c>
      <c r="BR9" s="558">
        <f t="shared" si="23"/>
        <v>1013021</v>
      </c>
      <c r="BS9" s="558">
        <f t="shared" si="23"/>
        <v>1408027</v>
      </c>
      <c r="BT9" s="558">
        <f t="shared" si="23"/>
        <v>956642</v>
      </c>
      <c r="BU9" s="558">
        <f t="shared" si="23"/>
        <v>5554950</v>
      </c>
      <c r="BV9" s="558">
        <f t="shared" si="23"/>
        <v>1310620</v>
      </c>
      <c r="BW9" s="558">
        <f t="shared" si="23"/>
        <v>590000</v>
      </c>
      <c r="BX9" s="558">
        <f t="shared" si="23"/>
        <v>5228000</v>
      </c>
      <c r="BY9" s="558">
        <f t="shared" si="23"/>
        <v>1945000</v>
      </c>
      <c r="BZ9" s="558">
        <f t="shared" si="23"/>
        <v>398000</v>
      </c>
      <c r="CA9" s="558">
        <f t="shared" si="23"/>
        <v>0</v>
      </c>
      <c r="CB9" s="558">
        <f t="shared" si="23"/>
        <v>695000</v>
      </c>
      <c r="CC9" s="558">
        <f t="shared" si="23"/>
        <v>2747000</v>
      </c>
      <c r="CD9" s="558">
        <f t="shared" si="23"/>
        <v>991000</v>
      </c>
      <c r="CE9" s="558">
        <f t="shared" si="23"/>
        <v>11492000</v>
      </c>
      <c r="CF9" s="558">
        <f t="shared" si="23"/>
        <v>4720790</v>
      </c>
      <c r="CG9" s="558">
        <f t="shared" si="23"/>
        <v>1390000</v>
      </c>
      <c r="CH9" s="558">
        <f t="shared" si="23"/>
        <v>3703000</v>
      </c>
      <c r="CI9" s="558">
        <f t="shared" si="23"/>
        <v>3270000</v>
      </c>
      <c r="CJ9" s="558">
        <f t="shared" si="23"/>
        <v>4513515</v>
      </c>
      <c r="CK9" s="558">
        <f t="shared" si="23"/>
        <v>4542000</v>
      </c>
      <c r="CL9" s="558">
        <f t="shared" si="23"/>
        <v>3015000</v>
      </c>
      <c r="CM9" s="558">
        <f t="shared" si="23"/>
        <v>7604514</v>
      </c>
      <c r="CN9" s="558">
        <f t="shared" si="23"/>
        <v>1507362</v>
      </c>
      <c r="CO9" s="558">
        <f t="shared" si="23"/>
        <v>1546768</v>
      </c>
      <c r="CP9" s="558">
        <f t="shared" si="23"/>
        <v>1478852</v>
      </c>
      <c r="CQ9" s="558">
        <f t="shared" si="23"/>
        <v>6470764</v>
      </c>
      <c r="CR9" s="558">
        <f t="shared" si="23"/>
        <v>2331094</v>
      </c>
      <c r="CS9" s="558">
        <f t="shared" si="23"/>
        <v>3298929</v>
      </c>
      <c r="CT9" s="558">
        <f t="shared" si="23"/>
        <v>5705918</v>
      </c>
      <c r="CU9" s="558">
        <f t="shared" si="23"/>
        <v>1875000</v>
      </c>
      <c r="CV9" s="558">
        <f t="shared" si="23"/>
        <v>6960000</v>
      </c>
      <c r="CW9" s="558">
        <f t="shared" si="23"/>
        <v>400000</v>
      </c>
      <c r="CX9" s="558">
        <f t="shared" si="23"/>
        <v>3457000</v>
      </c>
      <c r="CY9" s="558">
        <f t="shared" si="23"/>
        <v>3240000</v>
      </c>
      <c r="CZ9" s="558">
        <f t="shared" si="23"/>
        <v>371000</v>
      </c>
      <c r="DA9" s="558">
        <f t="shared" si="23"/>
        <v>7650000</v>
      </c>
      <c r="DB9" s="558">
        <f t="shared" si="23"/>
        <v>760808</v>
      </c>
      <c r="DC9" s="558">
        <f t="shared" si="23"/>
        <v>2030000</v>
      </c>
      <c r="DD9" s="558">
        <f t="shared" si="23"/>
        <v>5300000</v>
      </c>
      <c r="DE9" s="558">
        <f t="shared" si="23"/>
        <v>2810000</v>
      </c>
      <c r="DF9" s="558">
        <f t="shared" si="23"/>
        <v>4660760</v>
      </c>
      <c r="DG9" s="558">
        <f t="shared" si="23"/>
        <v>1865426</v>
      </c>
      <c r="DH9" s="558">
        <f t="shared" si="23"/>
        <v>2425434</v>
      </c>
      <c r="DI9" s="558">
        <f t="shared" si="23"/>
        <v>1393074</v>
      </c>
      <c r="DJ9" s="558">
        <f t="shared" si="23"/>
        <v>1920826</v>
      </c>
      <c r="DK9" s="558">
        <f t="shared" si="23"/>
        <v>2417346</v>
      </c>
      <c r="DL9" s="558">
        <f t="shared" si="23"/>
        <v>7306533</v>
      </c>
      <c r="DM9" s="558">
        <f t="shared" si="23"/>
        <v>2395000</v>
      </c>
      <c r="DN9" s="558">
        <f t="shared" si="23"/>
        <v>3689667</v>
      </c>
      <c r="DO9" s="558">
        <f t="shared" si="23"/>
        <v>1734000</v>
      </c>
      <c r="DP9" s="558">
        <f t="shared" si="23"/>
        <v>4315763</v>
      </c>
      <c r="DQ9" s="558">
        <f t="shared" si="23"/>
        <v>4013645</v>
      </c>
      <c r="DR9" s="558">
        <f t="shared" si="23"/>
        <v>4423025</v>
      </c>
      <c r="DS9" s="558">
        <f t="shared" si="23"/>
        <v>878000</v>
      </c>
      <c r="DT9" s="558">
        <f t="shared" si="23"/>
        <v>3015000</v>
      </c>
      <c r="DU9" s="558">
        <f t="shared" si="23"/>
        <v>0</v>
      </c>
      <c r="DV9" s="558">
        <f t="shared" si="23"/>
        <v>4423333</v>
      </c>
      <c r="DW9" s="558">
        <f t="shared" si="23"/>
        <v>0</v>
      </c>
      <c r="DX9" s="558">
        <f t="shared" si="23"/>
        <v>0</v>
      </c>
      <c r="DY9" s="558">
        <f t="shared" si="23"/>
        <v>6070000</v>
      </c>
      <c r="DZ9" s="558">
        <f t="shared" si="23"/>
        <v>924000</v>
      </c>
      <c r="EA9" s="558">
        <f t="shared" si="23"/>
        <v>3910500</v>
      </c>
      <c r="EB9" s="558">
        <f t="shared" si="23"/>
        <v>5674772</v>
      </c>
      <c r="EC9" s="558">
        <f t="shared" ref="EC9:GN9" si="24">EC7-EC8</f>
        <v>4509620</v>
      </c>
      <c r="ED9" s="558">
        <f t="shared" si="24"/>
        <v>3945350</v>
      </c>
      <c r="EE9" s="558">
        <f t="shared" si="24"/>
        <v>610000</v>
      </c>
      <c r="EF9" s="558">
        <f t="shared" si="24"/>
        <v>666000</v>
      </c>
      <c r="EG9" s="558">
        <f t="shared" si="24"/>
        <v>425000</v>
      </c>
      <c r="EH9" s="558">
        <f t="shared" si="24"/>
        <v>595000</v>
      </c>
      <c r="EI9" s="558">
        <f t="shared" si="24"/>
        <v>1025000</v>
      </c>
      <c r="EJ9" s="558">
        <f t="shared" si="24"/>
        <v>1254497</v>
      </c>
      <c r="EK9" s="558">
        <f t="shared" si="24"/>
        <v>5250700</v>
      </c>
      <c r="EL9" s="558">
        <f t="shared" si="24"/>
        <v>10921600</v>
      </c>
      <c r="EM9" s="558">
        <f t="shared" si="24"/>
        <v>4256000</v>
      </c>
      <c r="EN9" s="558">
        <f t="shared" si="24"/>
        <v>2526602</v>
      </c>
      <c r="EO9" s="558">
        <f t="shared" si="24"/>
        <v>413760</v>
      </c>
      <c r="EP9" s="558">
        <f t="shared" si="24"/>
        <v>2970065</v>
      </c>
      <c r="EQ9" s="558">
        <f t="shared" si="24"/>
        <v>2886486</v>
      </c>
      <c r="ER9" s="558">
        <f t="shared" si="24"/>
        <v>6229000</v>
      </c>
      <c r="ES9" s="558">
        <f t="shared" si="24"/>
        <v>3480000</v>
      </c>
      <c r="ET9" s="558">
        <f t="shared" si="24"/>
        <v>901340</v>
      </c>
      <c r="EU9" s="558">
        <f t="shared" si="24"/>
        <v>2056000</v>
      </c>
      <c r="EV9" s="558">
        <f t="shared" si="24"/>
        <v>650000</v>
      </c>
      <c r="EW9" s="558">
        <f t="shared" si="24"/>
        <v>2800000</v>
      </c>
      <c r="EX9" s="558">
        <f t="shared" si="24"/>
        <v>7200000</v>
      </c>
      <c r="EY9" s="558">
        <f t="shared" si="24"/>
        <v>2500000</v>
      </c>
      <c r="EZ9" s="558">
        <f t="shared" si="24"/>
        <v>270000</v>
      </c>
      <c r="FA9" s="558">
        <f t="shared" si="24"/>
        <v>990000</v>
      </c>
      <c r="FB9" s="558">
        <f t="shared" si="24"/>
        <v>233682</v>
      </c>
      <c r="FC9" s="558">
        <f t="shared" si="24"/>
        <v>5000000</v>
      </c>
      <c r="FD9" s="558">
        <f t="shared" si="24"/>
        <v>1200000</v>
      </c>
      <c r="FE9" s="558">
        <f t="shared" si="24"/>
        <v>390000</v>
      </c>
      <c r="FF9" s="558">
        <f t="shared" si="24"/>
        <v>1561200</v>
      </c>
      <c r="FG9" s="558">
        <f t="shared" si="24"/>
        <v>5703200</v>
      </c>
      <c r="FH9" s="558">
        <f t="shared" si="24"/>
        <v>6594603</v>
      </c>
      <c r="FI9" s="558">
        <f t="shared" si="24"/>
        <v>7800000</v>
      </c>
      <c r="FJ9" s="558">
        <f t="shared" si="24"/>
        <v>2200000</v>
      </c>
      <c r="FK9" s="558">
        <f t="shared" si="24"/>
        <v>937000</v>
      </c>
      <c r="FL9" s="558">
        <f t="shared" si="24"/>
        <v>965000</v>
      </c>
      <c r="FM9" s="558">
        <f t="shared" si="24"/>
        <v>4500000</v>
      </c>
      <c r="FN9" s="558">
        <f t="shared" si="24"/>
        <v>8082419</v>
      </c>
      <c r="FO9" s="558">
        <f t="shared" si="24"/>
        <v>2666678</v>
      </c>
      <c r="FP9" s="558">
        <f t="shared" si="24"/>
        <v>16758000</v>
      </c>
      <c r="FQ9" s="558">
        <f t="shared" si="24"/>
        <v>2142886</v>
      </c>
      <c r="FR9" s="558">
        <f t="shared" si="24"/>
        <v>3986708</v>
      </c>
      <c r="FS9" s="558">
        <f t="shared" si="24"/>
        <v>601500</v>
      </c>
      <c r="FT9" s="558">
        <f t="shared" si="24"/>
        <v>4812000</v>
      </c>
      <c r="FU9" s="558">
        <f t="shared" si="24"/>
        <v>552000</v>
      </c>
      <c r="FV9" s="558">
        <f t="shared" si="24"/>
        <v>1105000</v>
      </c>
      <c r="FW9" s="558">
        <f t="shared" si="24"/>
        <v>1800000</v>
      </c>
      <c r="FX9" s="558">
        <f t="shared" si="24"/>
        <v>700000</v>
      </c>
      <c r="FY9" s="558">
        <f t="shared" si="24"/>
        <v>200000</v>
      </c>
      <c r="FZ9" s="558">
        <f t="shared" si="24"/>
        <v>7690000</v>
      </c>
      <c r="GA9" s="558">
        <f t="shared" si="24"/>
        <v>978000</v>
      </c>
      <c r="GB9" s="558">
        <f t="shared" si="24"/>
        <v>4746000</v>
      </c>
      <c r="GC9" s="558">
        <f t="shared" si="24"/>
        <v>2728000</v>
      </c>
      <c r="GD9" s="558">
        <f t="shared" si="24"/>
        <v>11396000</v>
      </c>
      <c r="GE9" s="558">
        <f t="shared" si="24"/>
        <v>1800000</v>
      </c>
      <c r="GF9" s="558">
        <f t="shared" si="24"/>
        <v>5289602</v>
      </c>
      <c r="GG9" s="558">
        <f t="shared" si="24"/>
        <v>1284855</v>
      </c>
      <c r="GH9" s="558">
        <f t="shared" si="24"/>
        <v>1054717</v>
      </c>
      <c r="GI9" s="558">
        <f t="shared" si="24"/>
        <v>10416974</v>
      </c>
      <c r="GJ9" s="558">
        <f t="shared" si="24"/>
        <v>2195910</v>
      </c>
      <c r="GK9" s="558">
        <f t="shared" si="24"/>
        <v>1100000</v>
      </c>
      <c r="GL9" s="558">
        <f t="shared" si="24"/>
        <v>750000</v>
      </c>
      <c r="GM9" s="558">
        <f t="shared" si="24"/>
        <v>930000</v>
      </c>
      <c r="GN9" s="558">
        <f t="shared" si="24"/>
        <v>1018000</v>
      </c>
      <c r="GO9" s="558">
        <f t="shared" ref="GO9:IZ9" si="25">GO7-GO8</f>
        <v>4777941</v>
      </c>
      <c r="GP9" s="558">
        <f t="shared" si="25"/>
        <v>1889000</v>
      </c>
      <c r="GQ9" s="558">
        <f t="shared" si="25"/>
        <v>1000000</v>
      </c>
      <c r="GR9" s="558">
        <f t="shared" si="25"/>
        <v>610000</v>
      </c>
      <c r="GS9" s="558">
        <f t="shared" si="25"/>
        <v>180000</v>
      </c>
      <c r="GT9" s="558">
        <f t="shared" si="25"/>
        <v>8922000</v>
      </c>
      <c r="GU9" s="558">
        <f t="shared" si="25"/>
        <v>807440</v>
      </c>
      <c r="GV9" s="558">
        <f t="shared" si="25"/>
        <v>5000000</v>
      </c>
      <c r="GW9" s="558">
        <f t="shared" si="25"/>
        <v>1450000</v>
      </c>
      <c r="GX9" s="558">
        <f t="shared" si="25"/>
        <v>150000</v>
      </c>
      <c r="GY9" s="558">
        <f t="shared" si="25"/>
        <v>16000000</v>
      </c>
      <c r="GZ9" s="558">
        <f t="shared" si="25"/>
        <v>2110821</v>
      </c>
      <c r="HA9" s="558">
        <f t="shared" si="25"/>
        <v>5200000</v>
      </c>
      <c r="HB9" s="558">
        <f t="shared" si="25"/>
        <v>5600000</v>
      </c>
      <c r="HC9" s="558">
        <f t="shared" si="25"/>
        <v>11200000</v>
      </c>
      <c r="HD9" s="558">
        <f t="shared" si="25"/>
        <v>2188680</v>
      </c>
      <c r="HE9" s="558">
        <f t="shared" si="25"/>
        <v>4945200</v>
      </c>
      <c r="HF9" s="558">
        <f t="shared" si="25"/>
        <v>900000</v>
      </c>
      <c r="HG9" s="558">
        <f t="shared" si="25"/>
        <v>865000</v>
      </c>
      <c r="HH9" s="558">
        <f t="shared" si="25"/>
        <v>3950000</v>
      </c>
      <c r="HI9" s="558">
        <f t="shared" si="25"/>
        <v>2500000</v>
      </c>
      <c r="HJ9" s="558">
        <f t="shared" si="25"/>
        <v>0</v>
      </c>
      <c r="HK9" s="558">
        <f t="shared" si="25"/>
        <v>209300</v>
      </c>
      <c r="HL9" s="558">
        <f t="shared" si="25"/>
        <v>50500000</v>
      </c>
      <c r="HM9" s="558">
        <f t="shared" si="25"/>
        <v>30959000</v>
      </c>
      <c r="HN9" s="558">
        <f t="shared" si="25"/>
        <v>1010000</v>
      </c>
      <c r="HO9" s="558">
        <f t="shared" si="25"/>
        <v>0</v>
      </c>
      <c r="HP9" s="558">
        <f t="shared" si="25"/>
        <v>27114000</v>
      </c>
      <c r="HQ9" s="558">
        <f t="shared" si="25"/>
        <v>700000</v>
      </c>
      <c r="HR9" s="558">
        <f t="shared" si="25"/>
        <v>27500000</v>
      </c>
      <c r="HS9" s="558">
        <f t="shared" si="25"/>
        <v>4600000</v>
      </c>
      <c r="HT9" s="558">
        <f t="shared" si="25"/>
        <v>21000000</v>
      </c>
      <c r="HU9" s="558">
        <f t="shared" si="25"/>
        <v>24100000</v>
      </c>
      <c r="HV9" s="558">
        <f t="shared" si="25"/>
        <v>17580000</v>
      </c>
      <c r="HW9" s="558">
        <f t="shared" si="25"/>
        <v>4562528</v>
      </c>
      <c r="HX9" s="558">
        <f t="shared" si="25"/>
        <v>23953272</v>
      </c>
      <c r="HY9" s="558">
        <f t="shared" si="25"/>
        <v>17351600</v>
      </c>
      <c r="HZ9" s="558">
        <f t="shared" si="25"/>
        <v>11293100</v>
      </c>
      <c r="IA9" s="558">
        <f t="shared" si="25"/>
        <v>8494730</v>
      </c>
      <c r="IB9" s="558">
        <f t="shared" si="25"/>
        <v>10442250</v>
      </c>
      <c r="IC9" s="558">
        <f t="shared" si="25"/>
        <v>11940000</v>
      </c>
      <c r="ID9" s="558">
        <f t="shared" si="25"/>
        <v>10036000</v>
      </c>
      <c r="IE9" s="558">
        <f t="shared" si="25"/>
        <v>17118000</v>
      </c>
      <c r="IF9" s="558">
        <f t="shared" si="25"/>
        <v>25404400</v>
      </c>
      <c r="IG9" s="558">
        <f t="shared" si="25"/>
        <v>8044600</v>
      </c>
      <c r="IH9" s="558">
        <f t="shared" si="25"/>
        <v>3681744</v>
      </c>
      <c r="II9" s="558">
        <f t="shared" si="25"/>
        <v>22880979</v>
      </c>
      <c r="IJ9" s="558">
        <f t="shared" si="25"/>
        <v>1571800</v>
      </c>
      <c r="IK9" s="558">
        <f t="shared" si="25"/>
        <v>609567</v>
      </c>
      <c r="IL9" s="558">
        <f t="shared" si="25"/>
        <v>9900000</v>
      </c>
      <c r="IM9" s="558">
        <f t="shared" si="25"/>
        <v>775000</v>
      </c>
      <c r="IN9" s="558">
        <f t="shared" si="25"/>
        <v>11165000</v>
      </c>
      <c r="IO9" s="558">
        <f t="shared" si="25"/>
        <v>3560000</v>
      </c>
      <c r="IP9" s="558">
        <f t="shared" si="25"/>
        <v>18876000</v>
      </c>
      <c r="IQ9" s="558">
        <f t="shared" si="25"/>
        <v>19626000</v>
      </c>
      <c r="IR9" s="558">
        <f t="shared" si="25"/>
        <v>835000</v>
      </c>
      <c r="IS9" s="558">
        <f t="shared" si="25"/>
        <v>46709000</v>
      </c>
      <c r="IT9" s="558">
        <f t="shared" si="25"/>
        <v>11542000</v>
      </c>
      <c r="IU9" s="558">
        <f t="shared" si="25"/>
        <v>3964128</v>
      </c>
      <c r="IV9" s="558">
        <f t="shared" si="25"/>
        <v>8599386</v>
      </c>
      <c r="IW9" s="558">
        <f t="shared" si="25"/>
        <v>16499135</v>
      </c>
      <c r="IX9" s="558">
        <f t="shared" si="25"/>
        <v>2238805</v>
      </c>
      <c r="IY9" s="558">
        <f t="shared" si="25"/>
        <v>10538000</v>
      </c>
      <c r="IZ9" s="558">
        <f t="shared" si="25"/>
        <v>23410000</v>
      </c>
      <c r="JA9" s="558">
        <f t="shared" ref="JA9:JH9" si="26">JA7-JA8</f>
        <v>2868000</v>
      </c>
      <c r="JB9" s="558">
        <f t="shared" si="26"/>
        <v>2340000</v>
      </c>
      <c r="JC9" s="558">
        <f t="shared" si="26"/>
        <v>2290000</v>
      </c>
      <c r="JD9" s="558">
        <f t="shared" si="26"/>
        <v>3000000</v>
      </c>
      <c r="JE9" s="558">
        <f t="shared" si="26"/>
        <v>722500</v>
      </c>
      <c r="JF9" s="558">
        <f t="shared" si="26"/>
        <v>34067800</v>
      </c>
      <c r="JG9" s="558">
        <f t="shared" si="26"/>
        <v>29138040</v>
      </c>
      <c r="JH9" s="558">
        <f t="shared" si="26"/>
        <v>3377272</v>
      </c>
      <c r="JI9" s="558">
        <f t="shared" si="21"/>
        <v>1334210424</v>
      </c>
      <c r="JL9" s="263">
        <f t="shared" si="20"/>
        <v>26180000</v>
      </c>
      <c r="JM9" s="263">
        <f t="shared" si="20"/>
        <v>427849132</v>
      </c>
      <c r="JN9" s="263">
        <f t="shared" si="20"/>
        <v>231692656</v>
      </c>
      <c r="JO9" s="307">
        <f t="shared" si="20"/>
        <v>648488636</v>
      </c>
      <c r="JP9" s="263">
        <f t="shared" ref="JP9:JP14" si="27">SUM(JL9:JO9)</f>
        <v>1334210424</v>
      </c>
    </row>
    <row r="10" spans="1:276" x14ac:dyDescent="0.25">
      <c r="B10" s="379" t="s">
        <v>1887</v>
      </c>
      <c r="C10" s="380">
        <f>IFERROR(HLOOKUP(C$1,'ER VP 2018'!$C$3:$JR$41,30,FALSE),0)</f>
        <v>6825516</v>
      </c>
      <c r="D10" s="380">
        <f>IFERROR(HLOOKUP(D$1,'ER VP 2018'!$C$3:$JR$41,30,FALSE),0)</f>
        <v>5886145</v>
      </c>
      <c r="E10" s="380">
        <f>IFERROR(HLOOKUP(E$1,'ER VP 2018'!$C$3:$JR$41,30,FALSE),0)</f>
        <v>7429558</v>
      </c>
      <c r="F10" s="380">
        <f>IFERROR(HLOOKUP(F$1,'ER VP 2018'!$C$3:$JR$41,30,FALSE),0)</f>
        <v>3660207.57</v>
      </c>
      <c r="G10" s="380">
        <f>IFERROR(HLOOKUP(G$1,'ER VP 2018'!$C$3:$JR$41,30,FALSE),0)</f>
        <v>9911370.8800000008</v>
      </c>
      <c r="H10" s="380">
        <f>IFERROR(HLOOKUP(H$1,'ER VP 2018'!$C$3:$JR$41,30,FALSE),0)</f>
        <v>0</v>
      </c>
      <c r="I10" s="380">
        <f>IFERROR(HLOOKUP(I$1,'ER VP 2018'!$C$3:$JR$41,30,FALSE),0)</f>
        <v>1822394.58</v>
      </c>
      <c r="J10" s="380">
        <f>IFERROR(HLOOKUP(J$1,'ER VP 2018'!$C$3:$JR$41,30,FALSE),0)</f>
        <v>2527263.92</v>
      </c>
      <c r="K10" s="380">
        <f>IFERROR(HLOOKUP(K$1,'ER VP 2018'!$C$3:$JR$41,30,FALSE),0)</f>
        <v>5050913.21</v>
      </c>
      <c r="L10" s="380">
        <f>IFERROR(HLOOKUP(L$1,'ER VP 2018'!$C$3:$JR$41,30,FALSE),0)</f>
        <v>3537708.8</v>
      </c>
      <c r="M10" s="380">
        <f>IFERROR(HLOOKUP(M$1,'ER VP 2018'!$C$3:$JR$41,30,FALSE),0)</f>
        <v>3499618</v>
      </c>
      <c r="N10" s="380">
        <f>IFERROR(HLOOKUP(N$1,'ER VP 2018'!$C$3:$JR$41,30,FALSE),0)</f>
        <v>5631152</v>
      </c>
      <c r="O10" s="380">
        <f>IFERROR(HLOOKUP(O$1,'ER VP 2018'!$C$3:$JR$41,30,FALSE),0)</f>
        <v>4181501.89</v>
      </c>
      <c r="P10" s="380">
        <f>IFERROR(HLOOKUP(P$1,'ER VP 2018'!$C$3:$JR$41,30,FALSE),0)</f>
        <v>2535672</v>
      </c>
      <c r="Q10" s="380">
        <f>IFERROR(HLOOKUP(Q$1,'ER VP 2018'!$C$3:$JR$41,30,FALSE),0)</f>
        <v>1329831.28</v>
      </c>
      <c r="R10" s="380">
        <f>IFERROR(HLOOKUP(R$1,'ER VP 2018'!$C$3:$JR$41,30,FALSE),0)</f>
        <v>2353771.0699999998</v>
      </c>
      <c r="S10" s="380">
        <f>IFERROR(HLOOKUP(S$1,'ER VP 2018'!$C$3:$JR$41,30,FALSE),0)</f>
        <v>1670140.2</v>
      </c>
      <c r="T10" s="380">
        <f>IFERROR(HLOOKUP(T$1,'ER VP 2018'!$C$3:$JR$41,30,FALSE),0)</f>
        <v>642795</v>
      </c>
      <c r="U10" s="380">
        <f>IFERROR(HLOOKUP(U$1,'ER VP 2018'!$C$3:$JR$41,30,FALSE),0)</f>
        <v>1254280.73</v>
      </c>
      <c r="V10" s="380">
        <f>IFERROR(HLOOKUP(V$1,'ER VP 2018'!$C$3:$JR$41,30,FALSE),0)</f>
        <v>13012414.92</v>
      </c>
      <c r="W10" s="380">
        <f>IFERROR(HLOOKUP(W$1,'ER VP 2018'!$C$3:$JR$41,30,FALSE),0)</f>
        <v>2672779.2000000002</v>
      </c>
      <c r="X10" s="380">
        <f>IFERROR(HLOOKUP(X$1,'ER VP 2018'!$C$3:$JR$41,30,FALSE),0)</f>
        <v>1031655.95</v>
      </c>
      <c r="Y10" s="380">
        <f>IFERROR(HLOOKUP(Y$1,'ER VP 2018'!$C$3:$JR$41,30,FALSE),0)</f>
        <v>1592337</v>
      </c>
      <c r="Z10" s="380">
        <f>IFERROR(HLOOKUP(Z$1,'ER VP 2018'!$C$3:$JR$41,30,FALSE),0)</f>
        <v>6244762</v>
      </c>
      <c r="AA10" s="380">
        <f>IFERROR(HLOOKUP(AA$1,'ER VP 2018'!$C$3:$JR$41,30,FALSE),0)</f>
        <v>3858834.4</v>
      </c>
      <c r="AB10" s="380">
        <f>IFERROR(HLOOKUP(AB$1,'ER VP 2018'!$C$3:$JR$41,30,FALSE),0)</f>
        <v>2596710.08</v>
      </c>
      <c r="AC10" s="380">
        <f>IFERROR(HLOOKUP(AC$1,'ER VP 2018'!$C$3:$JR$41,30,FALSE),0)</f>
        <v>1810090.61</v>
      </c>
      <c r="AD10" s="380">
        <f>IFERROR(HLOOKUP(AD$1,'ER VP 2018'!$C$3:$JR$41,30,FALSE),0)</f>
        <v>1652192.22</v>
      </c>
      <c r="AE10" s="380">
        <f>IFERROR(HLOOKUP(AE$1,'ER VP 2018'!$C$3:$JR$41,30,FALSE),0)</f>
        <v>1103937.8400000001</v>
      </c>
      <c r="AF10" s="380">
        <f>IFERROR(HLOOKUP(AF$1,'ER VP 2018'!$C$3:$JR$41,30,FALSE),0)</f>
        <v>1856669</v>
      </c>
      <c r="AG10" s="380">
        <f>IFERROR(HLOOKUP(AG$1,'ER VP 2018'!$C$3:$JR$41,30,FALSE),0)</f>
        <v>3205183</v>
      </c>
      <c r="AH10" s="380">
        <f>IFERROR(HLOOKUP(AH$1,'ER VP 2018'!$C$3:$JR$41,30,FALSE),0)</f>
        <v>656700</v>
      </c>
      <c r="AI10" s="380">
        <f>IFERROR(HLOOKUP(AI$1,'ER VP 2018'!$C$3:$JR$41,30,FALSE),0)</f>
        <v>2396771</v>
      </c>
      <c r="AJ10" s="380">
        <f>IFERROR(HLOOKUP(AJ$1,'ER VP 2018'!$C$3:$JR$41,30,FALSE),0)</f>
        <v>2207163</v>
      </c>
      <c r="AK10" s="380">
        <f>IFERROR(HLOOKUP(AK$1,'ER VP 2018'!$C$3:$JR$41,30,FALSE),0)</f>
        <v>1151329.82</v>
      </c>
      <c r="AL10" s="380">
        <f>IFERROR(HLOOKUP(AL$1,'ER VP 2018'!$C$3:$JR$41,30,FALSE),0)</f>
        <v>2014502.3</v>
      </c>
      <c r="AM10" s="380">
        <f>IFERROR(HLOOKUP(AM$1,'ER VP 2018'!$C$3:$JR$41,30,FALSE),0)</f>
        <v>1459957.21</v>
      </c>
      <c r="AN10" s="380">
        <f>IFERROR(HLOOKUP(AN$1,'ER VP 2018'!$C$3:$JR$41,30,FALSE),0)</f>
        <v>1159240</v>
      </c>
      <c r="AO10" s="380">
        <f>IFERROR(HLOOKUP(AO$1,'ER VP 2018'!$C$3:$JR$41,30,FALSE),0)</f>
        <v>5587114.71</v>
      </c>
      <c r="AP10" s="380">
        <f>IFERROR(HLOOKUP(AP$1,'ER VP 2018'!$C$3:$JR$41,30,FALSE),0)</f>
        <v>2104955</v>
      </c>
      <c r="AQ10" s="380">
        <f>IFERROR(HLOOKUP(AQ$1,'ER VP 2018'!$C$3:$JR$41,30,FALSE),0)</f>
        <v>395146.94</v>
      </c>
      <c r="AR10" s="380">
        <f>IFERROR(HLOOKUP(AR$1,'ER VP 2018'!$C$3:$JR$41,30,FALSE),0)</f>
        <v>1302346.2</v>
      </c>
      <c r="AS10" s="380">
        <f>IFERROR(HLOOKUP(AS$1,'ER VP 2018'!$C$3:$JR$41,30,FALSE),0)</f>
        <v>525304.91</v>
      </c>
      <c r="AT10" s="380">
        <f>IFERROR(HLOOKUP(AT$1,'ER VP 2018'!$C$3:$JR$41,30,FALSE),0)</f>
        <v>2486904.5299999998</v>
      </c>
      <c r="AU10" s="380">
        <f>IFERROR(HLOOKUP(AU$1,'ER VP 2018'!$C$3:$JR$41,30,FALSE),0)</f>
        <v>1251596.83</v>
      </c>
      <c r="AV10" s="380">
        <f>IFERROR(HLOOKUP(AV$1,'ER VP 2018'!$C$3:$JR$41,30,FALSE),0)</f>
        <v>1916570.67</v>
      </c>
      <c r="AW10" s="380">
        <f>IFERROR(HLOOKUP(AW$1,'ER VP 2018'!$C$3:$JR$41,30,FALSE),0)</f>
        <v>3148278.68</v>
      </c>
      <c r="AX10" s="380">
        <f>IFERROR(HLOOKUP(AX$1,'ER VP 2018'!$C$3:$JR$41,30,FALSE),0)</f>
        <v>2854690</v>
      </c>
      <c r="AY10" s="380">
        <f>IFERROR(HLOOKUP(AY$1,'ER VP 2018'!$C$3:$JR$41,30,FALSE),0)</f>
        <v>2953665</v>
      </c>
      <c r="AZ10" s="380">
        <f>IFERROR(HLOOKUP(AZ$1,'ER VP 2018'!$C$3:$JR$41,30,FALSE),0)</f>
        <v>2873055</v>
      </c>
      <c r="BA10" s="380">
        <f>IFERROR(HLOOKUP(BA$1,'ER VP 2018'!$C$3:$JR$41,30,FALSE),0)</f>
        <v>7830000</v>
      </c>
      <c r="BB10" s="380">
        <f>IFERROR(HLOOKUP(BB$1,'ER VP 2018'!$C$3:$JR$41,30,FALSE),0)</f>
        <v>1119822</v>
      </c>
      <c r="BC10" s="380">
        <f>IFERROR(HLOOKUP(BC$1,'ER VP 2018'!$C$3:$JR$41,30,FALSE),0)</f>
        <v>1046807</v>
      </c>
      <c r="BD10" s="380">
        <f>IFERROR(HLOOKUP(BD$1,'ER VP 2018'!$C$3:$JR$41,30,FALSE),0)</f>
        <v>1348820</v>
      </c>
      <c r="BE10" s="380">
        <f>IFERROR(HLOOKUP(BE$1,'ER VP 2018'!$C$3:$JR$41,30,FALSE),0)</f>
        <v>1359390</v>
      </c>
      <c r="BF10" s="380">
        <f>IFERROR(HLOOKUP(BF$1,'ER VP 2018'!$C$3:$JR$41,30,FALSE),0)</f>
        <v>2480024</v>
      </c>
      <c r="BG10" s="380">
        <f>IFERROR(HLOOKUP(BG$1,'ER VP 2018'!$C$3:$JR$41,30,FALSE),0)</f>
        <v>3444872</v>
      </c>
      <c r="BH10" s="380">
        <f>IFERROR(HLOOKUP(BH$1,'ER VP 2018'!$C$3:$JR$41,30,FALSE),0)</f>
        <v>3652114</v>
      </c>
      <c r="BI10" s="380">
        <f>IFERROR(HLOOKUP(BI$1,'ER VP 2018'!$C$3:$JR$41,30,FALSE),0)</f>
        <v>2149853.39</v>
      </c>
      <c r="BJ10" s="380">
        <f>IFERROR(HLOOKUP(BJ$1,'ER VP 2018'!$C$3:$JR$41,30,FALSE),0)</f>
        <v>2601592.0299999998</v>
      </c>
      <c r="BK10" s="380">
        <f>IFERROR(HLOOKUP(BK$1,'ER VP 2018'!$C$3:$JR$41,30,FALSE),0)</f>
        <v>764329.89</v>
      </c>
      <c r="BL10" s="380">
        <f>IFERROR(HLOOKUP(BL$1,'ER VP 2018'!$C$3:$JR$41,30,FALSE),0)</f>
        <v>0</v>
      </c>
      <c r="BM10" s="380">
        <f>IFERROR(HLOOKUP(BM$1,'ER VP 2018'!$C$3:$JR$41,30,FALSE),0)</f>
        <v>341571</v>
      </c>
      <c r="BN10" s="380">
        <f>IFERROR(HLOOKUP(BN$1,'ER VP 2018'!$C$3:$JR$41,30,FALSE),0)</f>
        <v>1257522.97</v>
      </c>
      <c r="BO10" s="380">
        <f>IFERROR(HLOOKUP(BO$1,'ER VP 2018'!$C$3:$JR$41,30,FALSE),0)</f>
        <v>768453.18</v>
      </c>
      <c r="BP10" s="380">
        <f>IFERROR(HLOOKUP(BP$1,'ER VP 2018'!$C$3:$JR$41,30,FALSE),0)</f>
        <v>3946986.68</v>
      </c>
      <c r="BQ10" s="380">
        <f>IFERROR(HLOOKUP(BQ$1,'ER VP 2018'!$C$3:$JR$41,30,FALSE),0)</f>
        <v>783360</v>
      </c>
      <c r="BR10" s="380">
        <f>IFERROR(HLOOKUP(BR$1,'ER VP 2018'!$C$3:$JR$41,30,FALSE),0)</f>
        <v>862340</v>
      </c>
      <c r="BS10" s="380">
        <f>IFERROR(HLOOKUP(BS$1,'ER VP 2018'!$C$3:$JR$41,30,FALSE),0)</f>
        <v>1346900</v>
      </c>
      <c r="BT10" s="380">
        <f>IFERROR(HLOOKUP(BT$1,'ER VP 2018'!$C$3:$JR$41,30,FALSE),0)</f>
        <v>957100</v>
      </c>
      <c r="BU10" s="380">
        <f>IFERROR(HLOOKUP(BU$1,'ER VP 2018'!$C$3:$JR$41,30,FALSE),0)</f>
        <v>4685764.92</v>
      </c>
      <c r="BV10" s="380">
        <f>IFERROR(HLOOKUP(BV$1,'ER VP 2018'!$C$3:$JR$41,30,FALSE),0)</f>
        <v>779315</v>
      </c>
      <c r="BW10" s="380">
        <f>IFERROR(HLOOKUP(BW$1,'ER VP 2018'!$C$3:$JR$41,30,FALSE),0)</f>
        <v>521740</v>
      </c>
      <c r="BX10" s="380">
        <f>IFERROR(HLOOKUP(BX$1,'ER VP 2018'!$C$3:$JR$41,30,FALSE),0)</f>
        <v>4927849</v>
      </c>
      <c r="BY10" s="380">
        <f>IFERROR(HLOOKUP(BY$1,'ER VP 2018'!$C$3:$JR$41,30,FALSE),0)</f>
        <v>2039800</v>
      </c>
      <c r="BZ10" s="380">
        <f>IFERROR(HLOOKUP(BZ$1,'ER VP 2018'!$C$3:$JR$41,30,FALSE),0)</f>
        <v>430552</v>
      </c>
      <c r="CA10" s="380">
        <f>IFERROR(HLOOKUP(CA$1,'ER VP 2018'!$C$3:$JR$41,30,FALSE),0)</f>
        <v>0</v>
      </c>
      <c r="CB10" s="380">
        <f>IFERROR(HLOOKUP(CB$1,'ER VP 2018'!$C$3:$JR$41,30,FALSE),0)</f>
        <v>524063</v>
      </c>
      <c r="CC10" s="380">
        <f>IFERROR(HLOOKUP(CC$1,'ER VP 2018'!$C$3:$JR$41,30,FALSE),0)</f>
        <v>2467708</v>
      </c>
      <c r="CD10" s="380">
        <f>IFERROR(HLOOKUP(CD$1,'ER VP 2018'!$C$3:$JR$41,30,FALSE),0)</f>
        <v>812385</v>
      </c>
      <c r="CE10" s="380">
        <f>IFERROR(HLOOKUP(CE$1,'ER VP 2018'!$C$3:$JR$41,30,FALSE),0)</f>
        <v>12181159</v>
      </c>
      <c r="CF10" s="380">
        <f>IFERROR(HLOOKUP(CF$1,'ER VP 2018'!$C$3:$JR$41,30,FALSE),0)</f>
        <v>4143421</v>
      </c>
      <c r="CG10" s="380">
        <f>IFERROR(HLOOKUP(CG$1,'ER VP 2018'!$C$3:$JR$41,30,FALSE),0)</f>
        <v>9767640</v>
      </c>
      <c r="CH10" s="380">
        <f>IFERROR(HLOOKUP(CH$1,'ER VP 2018'!$C$3:$JR$41,30,FALSE),0)</f>
        <v>4338358</v>
      </c>
      <c r="CI10" s="380">
        <f>IFERROR(HLOOKUP(CI$1,'ER VP 2018'!$C$3:$JR$41,30,FALSE),0)</f>
        <v>3154672</v>
      </c>
      <c r="CJ10" s="380">
        <f>IFERROR(HLOOKUP(CJ$1,'ER VP 2018'!$C$3:$JR$41,30,FALSE),0)</f>
        <v>3653031</v>
      </c>
      <c r="CK10" s="380">
        <f>IFERROR(HLOOKUP(CK$1,'ER VP 2018'!$C$3:$JR$41,30,FALSE),0)</f>
        <v>4901946</v>
      </c>
      <c r="CL10" s="380">
        <f>IFERROR(HLOOKUP(CL$1,'ER VP 2018'!$C$3:$JR$41,30,FALSE),0)</f>
        <v>2786196</v>
      </c>
      <c r="CM10" s="380">
        <f>IFERROR(HLOOKUP(CM$1,'ER VP 2018'!$C$3:$JR$41,30,FALSE),0)</f>
        <v>5620113</v>
      </c>
      <c r="CN10" s="380">
        <f>IFERROR(HLOOKUP(CN$1,'ER VP 2018'!$C$3:$JR$41,30,FALSE),0)</f>
        <v>1385720.86</v>
      </c>
      <c r="CO10" s="380">
        <f>IFERROR(HLOOKUP(CO$1,'ER VP 2018'!$C$3:$JR$41,30,FALSE),0)</f>
        <v>1424500</v>
      </c>
      <c r="CP10" s="380">
        <f>IFERROR(HLOOKUP(CP$1,'ER VP 2018'!$C$3:$JR$41,30,FALSE),0)</f>
        <v>1388167.54</v>
      </c>
      <c r="CQ10" s="380">
        <f>IFERROR(HLOOKUP(CQ$1,'ER VP 2018'!$C$3:$JR$41,30,FALSE),0)</f>
        <v>4625591.51</v>
      </c>
      <c r="CR10" s="380">
        <f>IFERROR(HLOOKUP(CR$1,'ER VP 2018'!$C$3:$JR$41,30,FALSE),0)</f>
        <v>0</v>
      </c>
      <c r="CS10" s="380">
        <f>IFERROR(HLOOKUP(CS$1,'ER VP 2018'!$C$3:$JR$41,30,FALSE),0)</f>
        <v>0</v>
      </c>
      <c r="CT10" s="380">
        <f>IFERROR(HLOOKUP(CT$1,'ER VP 2018'!$C$3:$JR$41,30,FALSE),0)</f>
        <v>5400096.9900000002</v>
      </c>
      <c r="CU10" s="380">
        <f>IFERROR(HLOOKUP(CU$1,'ER VP 2018'!$C$3:$JR$41,30,FALSE),0)</f>
        <v>1569675</v>
      </c>
      <c r="CV10" s="380">
        <f>IFERROR(HLOOKUP(CV$1,'ER VP 2018'!$C$3:$JR$41,30,FALSE),0)</f>
        <v>4771570</v>
      </c>
      <c r="CW10" s="380">
        <f>IFERROR(HLOOKUP(CW$1,'ER VP 2018'!$C$3:$JR$41,30,FALSE),0)</f>
        <v>0</v>
      </c>
      <c r="CX10" s="380">
        <f>IFERROR(HLOOKUP(CX$1,'ER VP 2018'!$C$3:$JR$41,30,FALSE),0)</f>
        <v>2712793</v>
      </c>
      <c r="CY10" s="380">
        <f>IFERROR(HLOOKUP(CY$1,'ER VP 2018'!$C$3:$JR$41,30,FALSE),0)</f>
        <v>2512862</v>
      </c>
      <c r="CZ10" s="380">
        <f>IFERROR(HLOOKUP(CZ$1,'ER VP 2018'!$C$3:$JR$41,30,FALSE),0)</f>
        <v>962295</v>
      </c>
      <c r="DA10" s="380">
        <f>IFERROR(HLOOKUP(DA$1,'ER VP 2018'!$C$3:$JR$41,30,FALSE),0)</f>
        <v>299861.58</v>
      </c>
      <c r="DB10" s="380">
        <f>IFERROR(HLOOKUP(DB$1,'ER VP 2018'!$C$3:$JR$41,30,FALSE),0)</f>
        <v>860126.52</v>
      </c>
      <c r="DC10" s="380">
        <f>IFERROR(HLOOKUP(DC$1,'ER VP 2018'!$C$3:$JR$41,30,FALSE),0)</f>
        <v>1864524.64</v>
      </c>
      <c r="DD10" s="380">
        <f>IFERROR(HLOOKUP(DD$1,'ER VP 2018'!$C$3:$JR$41,30,FALSE),0)</f>
        <v>4933837.45</v>
      </c>
      <c r="DE10" s="380">
        <f>IFERROR(HLOOKUP(DE$1,'ER VP 2018'!$C$3:$JR$41,30,FALSE),0)</f>
        <v>7556164.0700000003</v>
      </c>
      <c r="DF10" s="380">
        <f>IFERROR(HLOOKUP(DF$1,'ER VP 2018'!$C$3:$JR$41,30,FALSE),0)</f>
        <v>6092397.7300000004</v>
      </c>
      <c r="DG10" s="380">
        <f>IFERROR(HLOOKUP(DG$1,'ER VP 2018'!$C$3:$JR$41,30,FALSE),0)</f>
        <v>0</v>
      </c>
      <c r="DH10" s="380">
        <f>IFERROR(HLOOKUP(DH$1,'ER VP 2018'!$C$3:$JR$41,30,FALSE),0)</f>
        <v>1300244.49</v>
      </c>
      <c r="DI10" s="380">
        <f>IFERROR(HLOOKUP(DI$1,'ER VP 2018'!$C$3:$JR$41,30,FALSE),0)</f>
        <v>1216923.94</v>
      </c>
      <c r="DJ10" s="380">
        <f>IFERROR(HLOOKUP(DJ$1,'ER VP 2018'!$C$3:$JR$41,30,FALSE),0)</f>
        <v>1813151.53</v>
      </c>
      <c r="DK10" s="380">
        <f>IFERROR(HLOOKUP(DK$1,'ER VP 2018'!$C$3:$JR$41,30,FALSE),0)</f>
        <v>983900.23</v>
      </c>
      <c r="DL10" s="380">
        <f>IFERROR(HLOOKUP(DL$1,'ER VP 2018'!$C$3:$JR$41,30,FALSE),0)</f>
        <v>3728168</v>
      </c>
      <c r="DM10" s="380">
        <f>IFERROR(HLOOKUP(DM$1,'ER VP 2018'!$C$3:$JR$41,30,FALSE),0)</f>
        <v>1951000</v>
      </c>
      <c r="DN10" s="380">
        <f>IFERROR(HLOOKUP(DN$1,'ER VP 2018'!$C$3:$JR$41,30,FALSE),0)</f>
        <v>2874085</v>
      </c>
      <c r="DO10" s="380">
        <f>IFERROR(HLOOKUP(DO$1,'ER VP 2018'!$C$3:$JR$41,30,FALSE),0)</f>
        <v>1344230.13</v>
      </c>
      <c r="DP10" s="380">
        <f>IFERROR(HLOOKUP(DP$1,'ER VP 2018'!$C$3:$JR$41,30,FALSE),0)</f>
        <v>4026924.2</v>
      </c>
      <c r="DQ10" s="380">
        <f>IFERROR(HLOOKUP(DQ$1,'ER VP 2018'!$C$3:$JR$41,30,FALSE),0)</f>
        <v>3760807.24</v>
      </c>
      <c r="DR10" s="380">
        <f>IFERROR(HLOOKUP(DR$1,'ER VP 2018'!$C$3:$JR$41,30,FALSE),0)</f>
        <v>3878955.96</v>
      </c>
      <c r="DS10" s="380">
        <f>IFERROR(HLOOKUP(DS$1,'ER VP 2018'!$C$3:$JR$41,30,FALSE),0)</f>
        <v>0</v>
      </c>
      <c r="DT10" s="380">
        <f>IFERROR(HLOOKUP(DT$1,'ER VP 2018'!$C$3:$JR$41,30,FALSE),0)</f>
        <v>2931376.78</v>
      </c>
      <c r="DU10" s="380">
        <f>IFERROR(HLOOKUP(DU$1,'ER VP 2018'!$C$3:$JR$41,30,FALSE),0)</f>
        <v>1789468.45</v>
      </c>
      <c r="DV10" s="380">
        <f>IFERROR(HLOOKUP(DV$1,'ER VP 2018'!$C$3:$JR$41,30,FALSE),0)</f>
        <v>4326142.42</v>
      </c>
      <c r="DW10" s="380">
        <f>IFERROR(HLOOKUP(DW$1,'ER VP 2018'!$C$3:$JR$41,30,FALSE),0)</f>
        <v>0</v>
      </c>
      <c r="DX10" s="380">
        <f>IFERROR(HLOOKUP(DX$1,'ER VP 2018'!$C$3:$JR$41,30,FALSE),0)</f>
        <v>4391110.8899999997</v>
      </c>
      <c r="DY10" s="380">
        <f>IFERROR(HLOOKUP(DY$1,'ER VP 2018'!$C$3:$JR$41,30,FALSE),0)</f>
        <v>3741424.78</v>
      </c>
      <c r="DZ10" s="380">
        <f>IFERROR(HLOOKUP(DZ$1,'ER VP 2018'!$C$3:$JR$41,30,FALSE),0)</f>
        <v>476209.08</v>
      </c>
      <c r="EA10" s="380">
        <f>IFERROR(HLOOKUP(EA$1,'ER VP 2018'!$C$3:$JR$41,30,FALSE),0)</f>
        <v>3465013</v>
      </c>
      <c r="EB10" s="380">
        <f>IFERROR(HLOOKUP(EB$1,'ER VP 2018'!$C$3:$JR$41,30,FALSE),0)</f>
        <v>4610503</v>
      </c>
      <c r="EC10" s="380">
        <f>IFERROR(HLOOKUP(EC$1,'ER VP 2018'!$C$3:$JR$41,30,FALSE),0)</f>
        <v>3302531.22</v>
      </c>
      <c r="ED10" s="380">
        <f>IFERROR(HLOOKUP(ED$1,'ER VP 2018'!$C$3:$JR$41,30,FALSE),0)</f>
        <v>3673950.04</v>
      </c>
      <c r="EE10" s="380">
        <f>IFERROR(HLOOKUP(EE$1,'ER VP 2018'!$C$3:$JR$41,30,FALSE),0)</f>
        <v>776300.08</v>
      </c>
      <c r="EF10" s="380">
        <f>IFERROR(HLOOKUP(EF$1,'ER VP 2018'!$C$3:$JR$41,30,FALSE),0)</f>
        <v>847701.27</v>
      </c>
      <c r="EG10" s="380">
        <f>IFERROR(HLOOKUP(EG$1,'ER VP 2018'!$C$3:$JR$41,30,FALSE),0)</f>
        <v>400357.21</v>
      </c>
      <c r="EH10" s="380">
        <f>IFERROR(HLOOKUP(EH$1,'ER VP 2018'!$C$3:$JR$41,30,FALSE),0)</f>
        <v>711882.41</v>
      </c>
      <c r="EI10" s="380">
        <f>IFERROR(HLOOKUP(EI$1,'ER VP 2018'!$C$3:$JR$41,30,FALSE),0)</f>
        <v>1142705.0900000001</v>
      </c>
      <c r="EJ10" s="380">
        <f>IFERROR(HLOOKUP(EJ$1,'ER VP 2018'!$C$3:$JR$41,30,FALSE),0)</f>
        <v>1178269.5900000001</v>
      </c>
      <c r="EK10" s="380">
        <f>IFERROR(HLOOKUP(EK$1,'ER VP 2018'!$C$3:$JR$41,30,FALSE),0)</f>
        <v>3921226</v>
      </c>
      <c r="EL10" s="380">
        <f>IFERROR(HLOOKUP(EL$1,'ER VP 2018'!$C$3:$JR$41,30,FALSE),0)</f>
        <v>10512380</v>
      </c>
      <c r="EM10" s="380">
        <f>IFERROR(HLOOKUP(EM$1,'ER VP 2018'!$C$3:$JR$41,30,FALSE),0)</f>
        <v>2798460</v>
      </c>
      <c r="EN10" s="380">
        <f>IFERROR(HLOOKUP(EN$1,'ER VP 2018'!$C$3:$JR$41,30,FALSE),0)</f>
        <v>2294544</v>
      </c>
      <c r="EO10" s="380">
        <f>IFERROR(HLOOKUP(EO$1,'ER VP 2018'!$C$3:$JR$41,30,FALSE),0)</f>
        <v>320533</v>
      </c>
      <c r="EP10" s="380">
        <f>IFERROR(HLOOKUP(EP$1,'ER VP 2018'!$C$3:$JR$41,30,FALSE),0)</f>
        <v>2219572</v>
      </c>
      <c r="EQ10" s="380">
        <f>IFERROR(HLOOKUP(EQ$1,'ER VP 2018'!$C$3:$JR$41,30,FALSE),0)</f>
        <v>2098205</v>
      </c>
      <c r="ER10" s="380">
        <f>IFERROR(HLOOKUP(ER$1,'ER VP 2018'!$C$3:$JR$41,30,FALSE),0)</f>
        <v>8138175.3399999999</v>
      </c>
      <c r="ES10" s="380">
        <f>IFERROR(HLOOKUP(ES$1,'ER VP 2018'!$C$3:$JR$41,30,FALSE),0)</f>
        <v>3636641.78</v>
      </c>
      <c r="ET10" s="380">
        <f>IFERROR(HLOOKUP(ET$1,'ER VP 2018'!$C$3:$JR$41,30,FALSE),0)</f>
        <v>0</v>
      </c>
      <c r="EU10" s="380">
        <f>IFERROR(HLOOKUP(EU$1,'ER VP 2018'!$C$3:$JR$41,30,FALSE),0)</f>
        <v>0</v>
      </c>
      <c r="EV10" s="380">
        <f>IFERROR(HLOOKUP(EV$1,'ER VP 2018'!$C$3:$JR$41,30,FALSE),0)</f>
        <v>470156</v>
      </c>
      <c r="EW10" s="380">
        <f>IFERROR(HLOOKUP(EW$1,'ER VP 2018'!$C$3:$JR$41,30,FALSE),0)</f>
        <v>4188996</v>
      </c>
      <c r="EX10" s="380">
        <f>IFERROR(HLOOKUP(EX$1,'ER VP 2018'!$C$3:$JR$41,30,FALSE),0)</f>
        <v>8022683</v>
      </c>
      <c r="EY10" s="380">
        <f>IFERROR(HLOOKUP(EY$1,'ER VP 2018'!$C$3:$JR$41,30,FALSE),0)</f>
        <v>2916558</v>
      </c>
      <c r="EZ10" s="380">
        <f>IFERROR(HLOOKUP(EZ$1,'ER VP 2018'!$C$3:$JR$41,30,FALSE),0)</f>
        <v>1320527</v>
      </c>
      <c r="FA10" s="380">
        <f>IFERROR(HLOOKUP(FA$1,'ER VP 2018'!$C$3:$JR$41,30,FALSE),0)</f>
        <v>1910577</v>
      </c>
      <c r="FB10" s="380">
        <f>IFERROR(HLOOKUP(FB$1,'ER VP 2018'!$C$3:$JR$41,30,FALSE),0)</f>
        <v>200000</v>
      </c>
      <c r="FC10" s="380">
        <f>IFERROR(HLOOKUP(FC$1,'ER VP 2018'!$C$3:$JR$41,30,FALSE),0)</f>
        <v>7710617</v>
      </c>
      <c r="FD10" s="380">
        <f>IFERROR(HLOOKUP(FD$1,'ER VP 2018'!$C$3:$JR$41,30,FALSE),0)</f>
        <v>2054128</v>
      </c>
      <c r="FE10" s="380">
        <f>IFERROR(HLOOKUP(FE$1,'ER VP 2018'!$C$3:$JR$41,30,FALSE),0)</f>
        <v>989343</v>
      </c>
      <c r="FF10" s="380">
        <f>IFERROR(HLOOKUP(FF$1,'ER VP 2018'!$C$3:$JR$41,30,FALSE),0)</f>
        <v>1826428</v>
      </c>
      <c r="FG10" s="380">
        <f>IFERROR(HLOOKUP(FG$1,'ER VP 2018'!$C$3:$JR$41,30,FALSE),0)</f>
        <v>6864271</v>
      </c>
      <c r="FH10" s="380">
        <f>IFERROR(HLOOKUP(FH$1,'ER VP 2018'!$C$3:$JR$41,30,FALSE),0)</f>
        <v>6741935</v>
      </c>
      <c r="FI10" s="380">
        <f>IFERROR(HLOOKUP(FI$1,'ER VP 2018'!$C$3:$JR$41,30,FALSE),0)</f>
        <v>6742793</v>
      </c>
      <c r="FJ10" s="380">
        <f>IFERROR(HLOOKUP(FJ$1,'ER VP 2018'!$C$3:$JR$41,30,FALSE),0)</f>
        <v>2381775</v>
      </c>
      <c r="FK10" s="380">
        <f>IFERROR(HLOOKUP(FK$1,'ER VP 2018'!$C$3:$JR$41,30,FALSE),0)</f>
        <v>974998</v>
      </c>
      <c r="FL10" s="380">
        <f>IFERROR(HLOOKUP(FL$1,'ER VP 2018'!$C$3:$JR$41,30,FALSE),0)</f>
        <v>1081676</v>
      </c>
      <c r="FM10" s="380">
        <f>IFERROR(HLOOKUP(FM$1,'ER VP 2018'!$C$3:$JR$41,30,FALSE),0)</f>
        <v>4394053</v>
      </c>
      <c r="FN10" s="380">
        <f>IFERROR(HLOOKUP(FN$1,'ER VP 2018'!$C$3:$JR$41,30,FALSE),0)</f>
        <v>6592113.5300000003</v>
      </c>
      <c r="FO10" s="380">
        <f>IFERROR(HLOOKUP(FO$1,'ER VP 2018'!$C$3:$JR$41,30,FALSE),0)</f>
        <v>2319520.9</v>
      </c>
      <c r="FP10" s="380">
        <f>IFERROR(HLOOKUP(FP$1,'ER VP 2018'!$C$3:$JR$41,30,FALSE),0)</f>
        <v>14704423.84</v>
      </c>
      <c r="FQ10" s="380">
        <f>IFERROR(HLOOKUP(FQ$1,'ER VP 2018'!$C$3:$JR$41,30,FALSE),0)</f>
        <v>1922835.59</v>
      </c>
      <c r="FR10" s="380">
        <f>IFERROR(HLOOKUP(FR$1,'ER VP 2018'!$C$3:$JR$41,30,FALSE),0)</f>
        <v>0</v>
      </c>
      <c r="FS10" s="380">
        <f>IFERROR(HLOOKUP(FS$1,'ER VP 2018'!$C$3:$JR$41,30,FALSE),0)</f>
        <v>646512.09</v>
      </c>
      <c r="FT10" s="380">
        <f>IFERROR(HLOOKUP(FT$1,'ER VP 2018'!$C$3:$JR$41,30,FALSE),0)</f>
        <v>5248023.16</v>
      </c>
      <c r="FU10" s="380">
        <f>IFERROR(HLOOKUP(FU$1,'ER VP 2018'!$C$3:$JR$41,30,FALSE),0)</f>
        <v>605321</v>
      </c>
      <c r="FV10" s="380">
        <f>IFERROR(HLOOKUP(FV$1,'ER VP 2018'!$C$3:$JR$41,30,FALSE),0)</f>
        <v>1637265.6</v>
      </c>
      <c r="FW10" s="380">
        <f>IFERROR(HLOOKUP(FW$1,'ER VP 2018'!$C$3:$JR$41,30,FALSE),0)</f>
        <v>1478851</v>
      </c>
      <c r="FX10" s="380">
        <f>IFERROR(HLOOKUP(FX$1,'ER VP 2018'!$C$3:$JR$41,30,FALSE),0)</f>
        <v>750204.18</v>
      </c>
      <c r="FY10" s="380">
        <f>IFERROR(HLOOKUP(FY$1,'ER VP 2018'!$C$3:$JR$41,30,FALSE),0)</f>
        <v>347190</v>
      </c>
      <c r="FZ10" s="380">
        <f>IFERROR(HLOOKUP(FZ$1,'ER VP 2018'!$C$3:$JR$41,30,FALSE),0)</f>
        <v>6984738.0199999996</v>
      </c>
      <c r="GA10" s="380">
        <f>IFERROR(HLOOKUP(GA$1,'ER VP 2018'!$C$3:$JR$41,30,FALSE),0)</f>
        <v>1331038.69</v>
      </c>
      <c r="GB10" s="380">
        <f>IFERROR(HLOOKUP(GB$1,'ER VP 2018'!$C$3:$JR$41,30,FALSE),0)</f>
        <v>3612537.44</v>
      </c>
      <c r="GC10" s="380">
        <f>IFERROR(HLOOKUP(GC$1,'ER VP 2018'!$C$3:$JR$41,30,FALSE),0)</f>
        <v>2832706</v>
      </c>
      <c r="GD10" s="380">
        <f>IFERROR(HLOOKUP(GD$1,'ER VP 2018'!$C$3:$JR$41,30,FALSE),0)</f>
        <v>9050397</v>
      </c>
      <c r="GE10" s="380">
        <f>IFERROR(HLOOKUP(GE$1,'ER VP 2018'!$C$3:$JR$41,30,FALSE),0)</f>
        <v>2165617</v>
      </c>
      <c r="GF10" s="380">
        <f>IFERROR(HLOOKUP(GF$1,'ER VP 2018'!$C$3:$JR$41,30,FALSE),0)</f>
        <v>4382105</v>
      </c>
      <c r="GG10" s="380">
        <f>IFERROR(HLOOKUP(GG$1,'ER VP 2018'!$C$3:$JR$41,30,FALSE),0)</f>
        <v>1904967</v>
      </c>
      <c r="GH10" s="380">
        <f>IFERROR(HLOOKUP(GH$1,'ER VP 2018'!$C$3:$JR$41,30,FALSE),0)</f>
        <v>1407679</v>
      </c>
      <c r="GI10" s="380">
        <f>IFERROR(HLOOKUP(GI$1,'ER VP 2018'!$C$3:$JR$41,30,FALSE),0)</f>
        <v>13610827</v>
      </c>
      <c r="GJ10" s="380">
        <f>IFERROR(HLOOKUP(GJ$1,'ER VP 2018'!$C$3:$JR$41,30,FALSE),0)</f>
        <v>2228489</v>
      </c>
      <c r="GK10" s="380">
        <f>IFERROR(HLOOKUP(GK$1,'ER VP 2018'!$C$3:$JR$41,30,FALSE),0)</f>
        <v>1801630</v>
      </c>
      <c r="GL10" s="380">
        <f>IFERROR(HLOOKUP(GL$1,'ER VP 2018'!$C$3:$JR$41,30,FALSE),0)</f>
        <v>1019136</v>
      </c>
      <c r="GM10" s="380">
        <f>IFERROR(HLOOKUP(GM$1,'ER VP 2018'!$C$3:$JR$41,30,FALSE),0)</f>
        <v>1276974</v>
      </c>
      <c r="GN10" s="380">
        <f>IFERROR(HLOOKUP(GN$1,'ER VP 2018'!$C$3:$JR$41,30,FALSE),0)</f>
        <v>1010549.66</v>
      </c>
      <c r="GO10" s="380">
        <f>IFERROR(HLOOKUP(GO$1,'ER VP 2018'!$C$3:$JR$41,30,FALSE),0)</f>
        <v>4354251.45</v>
      </c>
      <c r="GP10" s="380">
        <f>IFERROR(HLOOKUP(GP$1,'ER VP 2018'!$C$3:$JR$41,30,FALSE),0)</f>
        <v>1632026</v>
      </c>
      <c r="GQ10" s="380">
        <f>IFERROR(HLOOKUP(GQ$1,'ER VP 2018'!$C$3:$JR$41,30,FALSE),0)</f>
        <v>1478404</v>
      </c>
      <c r="GR10" s="380">
        <f>IFERROR(HLOOKUP(GR$1,'ER VP 2018'!$C$3:$JR$41,30,FALSE),0)</f>
        <v>2251710.2999999998</v>
      </c>
      <c r="GS10" s="380">
        <f>IFERROR(HLOOKUP(GS$1,'ER VP 2018'!$C$3:$JR$41,30,FALSE),0)</f>
        <v>1027738.18</v>
      </c>
      <c r="GT10" s="380">
        <f>IFERROR(HLOOKUP(GT$1,'ER VP 2018'!$C$3:$JR$41,30,FALSE),0)</f>
        <v>12408014.9</v>
      </c>
      <c r="GU10" s="380">
        <f>IFERROR(HLOOKUP(GU$1,'ER VP 2018'!$C$3:$JR$41,30,FALSE),0)</f>
        <v>2162404.8199999998</v>
      </c>
      <c r="GV10" s="380">
        <f>IFERROR(HLOOKUP(GV$1,'ER VP 2018'!$C$3:$JR$41,30,FALSE),0)</f>
        <v>0</v>
      </c>
      <c r="GW10" s="380">
        <f>IFERROR(HLOOKUP(GW$1,'ER VP 2018'!$C$3:$JR$41,30,FALSE),0)</f>
        <v>2501436</v>
      </c>
      <c r="GX10" s="380">
        <f>IFERROR(HLOOKUP(GX$1,'ER VP 2018'!$C$3:$JR$41,30,FALSE),0)</f>
        <v>633673.85</v>
      </c>
      <c r="GY10" s="380">
        <f>IFERROR(HLOOKUP(GY$1,'ER VP 2018'!$C$3:$JR$41,30,FALSE),0)</f>
        <v>23707927.82</v>
      </c>
      <c r="GZ10" s="380">
        <f>IFERROR(HLOOKUP(GZ$1,'ER VP 2018'!$C$3:$JR$41,30,FALSE),0)</f>
        <v>0</v>
      </c>
      <c r="HA10" s="380">
        <f>IFERROR(HLOOKUP(HA$1,'ER VP 2018'!$C$3:$JR$41,30,FALSE),0)</f>
        <v>11424741</v>
      </c>
      <c r="HB10" s="380">
        <f>IFERROR(HLOOKUP(HB$1,'ER VP 2018'!$C$3:$JR$41,30,FALSE),0)</f>
        <v>10913750</v>
      </c>
      <c r="HC10" s="380">
        <f>IFERROR(HLOOKUP(HC$1,'ER VP 2018'!$C$3:$JR$41,30,FALSE),0)</f>
        <v>9432027</v>
      </c>
      <c r="HD10" s="380">
        <f>IFERROR(HLOOKUP(HD$1,'ER VP 2018'!$C$3:$JR$41,30,FALSE),0)</f>
        <v>3072107</v>
      </c>
      <c r="HE10" s="380">
        <f>IFERROR(HLOOKUP(HE$1,'ER VP 2018'!$C$3:$JR$41,30,FALSE),0)</f>
        <v>7237876</v>
      </c>
      <c r="HF10" s="380">
        <f>IFERROR(HLOOKUP(HF$1,'ER VP 2018'!$C$3:$JR$41,30,FALSE),0)</f>
        <v>1870257.3</v>
      </c>
      <c r="HG10" s="380">
        <f>IFERROR(HLOOKUP(HG$1,'ER VP 2018'!$C$3:$JR$41,30,FALSE),0)</f>
        <v>905927.64</v>
      </c>
      <c r="HH10" s="380">
        <f>IFERROR(HLOOKUP(HH$1,'ER VP 2018'!$C$3:$JR$41,30,FALSE),0)</f>
        <v>2770296.36</v>
      </c>
      <c r="HI10" s="380">
        <f>IFERROR(HLOOKUP(HI$1,'ER VP 2018'!$C$3:$JR$41,30,FALSE),0)</f>
        <v>3535180.76</v>
      </c>
      <c r="HJ10" s="380">
        <f>IFERROR(HLOOKUP(HJ$1,'ER VP 2018'!$C$3:$JR$41,30,FALSE),0)</f>
        <v>668333.96</v>
      </c>
      <c r="HK10" s="380">
        <f>IFERROR(HLOOKUP(HK$1,'ER VP 2018'!$C$3:$JR$41,30,FALSE),0)</f>
        <v>1059656</v>
      </c>
      <c r="HL10" s="380">
        <f>IFERROR(HLOOKUP(HL$1,'ER VP 2018'!$C$3:$JR$41,30,FALSE),0)</f>
        <v>36210907.859999999</v>
      </c>
      <c r="HM10" s="380">
        <f>IFERROR(HLOOKUP(HM$1,'ER VP 2018'!$C$3:$JR$41,30,FALSE),0)</f>
        <v>23528116.5</v>
      </c>
      <c r="HN10" s="380">
        <f>IFERROR(HLOOKUP(HN$1,'ER VP 2018'!$C$3:$JR$41,30,FALSE),0)</f>
        <v>710388.29</v>
      </c>
      <c r="HO10" s="380">
        <f>IFERROR(HLOOKUP(HO$1,'ER VP 2018'!$C$3:$JR$41,30,FALSE),0)</f>
        <v>2115464.16</v>
      </c>
      <c r="HP10" s="380">
        <f>IFERROR(HLOOKUP(HP$1,'ER VP 2018'!$C$3:$JR$41,30,FALSE),0)</f>
        <v>26567709</v>
      </c>
      <c r="HQ10" s="380">
        <f>IFERROR(HLOOKUP(HQ$1,'ER VP 2018'!$C$3:$JR$41,30,FALSE),0)</f>
        <v>1070789.8700000001</v>
      </c>
      <c r="HR10" s="380">
        <f>IFERROR(HLOOKUP(HR$1,'ER VP 2018'!$C$3:$JR$41,30,FALSE),0)</f>
        <v>29901004.600000001</v>
      </c>
      <c r="HS10" s="380">
        <f>IFERROR(HLOOKUP(HS$1,'ER VP 2018'!$C$3:$JR$41,30,FALSE),0)</f>
        <v>5143844.9800000004</v>
      </c>
      <c r="HT10" s="380">
        <f>IFERROR(HLOOKUP(HT$1,'ER VP 2018'!$C$3:$JR$41,30,FALSE),0)</f>
        <v>21064183</v>
      </c>
      <c r="HU10" s="380">
        <f>IFERROR(HLOOKUP(HU$1,'ER VP 2018'!$C$3:$JR$41,30,FALSE),0)</f>
        <v>18200355.210000001</v>
      </c>
      <c r="HV10" s="380">
        <f>IFERROR(HLOOKUP(HV$1,'ER VP 2018'!$C$3:$JR$41,30,FALSE),0)</f>
        <v>14643546.77</v>
      </c>
      <c r="HW10" s="380">
        <f>IFERROR(HLOOKUP(HW$1,'ER VP 2018'!$C$3:$JR$41,30,FALSE),0)</f>
        <v>6598447</v>
      </c>
      <c r="HX10" s="380">
        <f>IFERROR(HLOOKUP(HX$1,'ER VP 2018'!$C$3:$JR$41,30,FALSE),0)</f>
        <v>16398553</v>
      </c>
      <c r="HY10" s="380">
        <f>IFERROR(HLOOKUP(HY$1,'ER VP 2018'!$C$3:$JR$41,30,FALSE),0)</f>
        <v>19179790.399999999</v>
      </c>
      <c r="HZ10" s="380">
        <f>IFERROR(HLOOKUP(HZ$1,'ER VP 2018'!$C$3:$JR$41,30,FALSE),0)</f>
        <v>8971502</v>
      </c>
      <c r="IA10" s="380">
        <f>IFERROR(HLOOKUP(IA$1,'ER VP 2018'!$C$3:$JR$41,30,FALSE),0)</f>
        <v>8428547.6799999997</v>
      </c>
      <c r="IB10" s="380">
        <f>IFERROR(HLOOKUP(IB$1,'ER VP 2018'!$C$3:$JR$41,30,FALSE),0)</f>
        <v>8051083.1200000001</v>
      </c>
      <c r="IC10" s="380">
        <f>IFERROR(HLOOKUP(IC$1,'ER VP 2018'!$C$3:$JR$41,30,FALSE),0)</f>
        <v>11508678</v>
      </c>
      <c r="ID10" s="380">
        <f>IFERROR(HLOOKUP(ID$1,'ER VP 2018'!$C$3:$JR$41,30,FALSE),0)</f>
        <v>8612393</v>
      </c>
      <c r="IE10" s="380">
        <f>IFERROR(HLOOKUP(IE$1,'ER VP 2018'!$C$3:$JR$41,30,FALSE),0)</f>
        <v>11610505.59</v>
      </c>
      <c r="IF10" s="380">
        <f>IFERROR(HLOOKUP(IF$1,'ER VP 2018'!$C$3:$JR$41,30,FALSE),0)</f>
        <v>25207062</v>
      </c>
      <c r="IG10" s="380">
        <f>IFERROR(HLOOKUP(IG$1,'ER VP 2018'!$C$3:$JR$41,30,FALSE),0)</f>
        <v>0</v>
      </c>
      <c r="IH10" s="380">
        <f>IFERROR(HLOOKUP(IH$1,'ER VP 2018'!$C$3:$JR$41,30,FALSE),0)</f>
        <v>3140192.66</v>
      </c>
      <c r="II10" s="380">
        <f>IFERROR(HLOOKUP(II$1,'ER VP 2018'!$C$3:$JR$41,30,FALSE),0)</f>
        <v>21264277.469999999</v>
      </c>
      <c r="IJ10" s="380">
        <f>IFERROR(HLOOKUP(IJ$1,'ER VP 2018'!$C$3:$JR$41,30,FALSE),0)</f>
        <v>1087841.68</v>
      </c>
      <c r="IK10" s="380">
        <f>IFERROR(HLOOKUP(IK$1,'ER VP 2018'!$C$3:$JR$41,30,FALSE),0)</f>
        <v>2879252.28</v>
      </c>
      <c r="IL10" s="380">
        <f>IFERROR(HLOOKUP(IL$1,'ER VP 2018'!$C$3:$JR$41,30,FALSE),0)</f>
        <v>9206744.6699999999</v>
      </c>
      <c r="IM10" s="380">
        <f>IFERROR(HLOOKUP(IM$1,'ER VP 2018'!$C$3:$JR$41,30,FALSE),0)</f>
        <v>793540</v>
      </c>
      <c r="IN10" s="380">
        <f>IFERROR(HLOOKUP(IN$1,'ER VP 2018'!$C$3:$JR$41,30,FALSE),0)</f>
        <v>8799446</v>
      </c>
      <c r="IO10" s="380">
        <f>IFERROR(HLOOKUP(IO$1,'ER VP 2018'!$C$3:$JR$41,30,FALSE),0)</f>
        <v>3457870</v>
      </c>
      <c r="IP10" s="380">
        <f>IFERROR(HLOOKUP(IP$1,'ER VP 2018'!$C$3:$JR$41,30,FALSE),0)</f>
        <v>21096523.559999999</v>
      </c>
      <c r="IQ10" s="380">
        <f>IFERROR(HLOOKUP(IQ$1,'ER VP 2018'!$C$3:$JR$41,30,FALSE),0)</f>
        <v>20962175.620000001</v>
      </c>
      <c r="IR10" s="380">
        <f>IFERROR(HLOOKUP(IR$1,'ER VP 2018'!$C$3:$JR$41,30,FALSE),0)</f>
        <v>1096930.74</v>
      </c>
      <c r="IS10" s="380">
        <f>IFERROR(HLOOKUP(IS$1,'ER VP 2018'!$C$3:$JR$41,30,FALSE),0)</f>
        <v>50345335</v>
      </c>
      <c r="IT10" s="380">
        <f>IFERROR(HLOOKUP(IT$1,'ER VP 2018'!$C$3:$JR$41,30,FALSE),0)</f>
        <v>11419548</v>
      </c>
      <c r="IU10" s="380">
        <f>IFERROR(HLOOKUP(IU$1,'ER VP 2018'!$C$3:$JR$41,30,FALSE),0)</f>
        <v>3157156</v>
      </c>
      <c r="IV10" s="380">
        <f>IFERROR(HLOOKUP(IV$1,'ER VP 2018'!$C$3:$JR$41,30,FALSE),0)</f>
        <v>8682413</v>
      </c>
      <c r="IW10" s="380">
        <f>IFERROR(HLOOKUP(IW$1,'ER VP 2018'!$C$3:$JR$41,30,FALSE),0)</f>
        <v>14262592</v>
      </c>
      <c r="IX10" s="380">
        <f>IFERROR(HLOOKUP(IX$1,'ER VP 2018'!$C$3:$JR$41,30,FALSE),0)</f>
        <v>2016476</v>
      </c>
      <c r="IY10" s="380">
        <f>IFERROR(HLOOKUP(IY$1,'ER VP 2018'!$C$3:$JR$41,30,FALSE),0)</f>
        <v>6664671.7800000003</v>
      </c>
      <c r="IZ10" s="380">
        <f>IFERROR(HLOOKUP(IZ$1,'ER VP 2018'!$C$3:$JR$41,30,FALSE),0)</f>
        <v>15562864.1</v>
      </c>
      <c r="JA10" s="380">
        <f>IFERROR(HLOOKUP(JA$1,'ER VP 2018'!$C$3:$JR$41,30,FALSE),0)</f>
        <v>3280934.38</v>
      </c>
      <c r="JB10" s="380">
        <f>IFERROR(HLOOKUP(JB$1,'ER VP 2018'!$C$3:$JR$41,30,FALSE),0)</f>
        <v>3648089.45</v>
      </c>
      <c r="JC10" s="380">
        <f>IFERROR(HLOOKUP(JC$1,'ER VP 2018'!$C$3:$JR$41,30,FALSE),0)</f>
        <v>2223069.46</v>
      </c>
      <c r="JD10" s="380">
        <f>IFERROR(HLOOKUP(JD$1,'ER VP 2018'!$C$3:$JR$41,30,FALSE),0)</f>
        <v>5335152.05</v>
      </c>
      <c r="JE10" s="380">
        <f>IFERROR(HLOOKUP(JE$1,'ER VP 2018'!$C$3:$JR$41,30,FALSE),0)</f>
        <v>919050.35</v>
      </c>
      <c r="JF10" s="380">
        <f>IFERROR(HLOOKUP(JF$1,'ER VP 2018'!$C$3:$JR$41,30,FALSE),0)</f>
        <v>27612922.120000001</v>
      </c>
      <c r="JG10" s="380">
        <f>IFERROR(HLOOKUP(JG$1,'ER VP 2018'!$C$3:$JR$41,30,FALSE),0)</f>
        <v>27368139.210000001</v>
      </c>
      <c r="JH10" s="380">
        <f>IFERROR(HLOOKUP(JH$1,'ER VP 2018'!$C$3:$JR$41,30,FALSE),0)</f>
        <v>0</v>
      </c>
      <c r="JI10" s="381">
        <f>SUM(C10:JH10)</f>
        <v>1240290511.8999994</v>
      </c>
      <c r="JL10" s="307">
        <f t="shared" si="20"/>
        <v>20141219</v>
      </c>
      <c r="JM10" s="307">
        <f t="shared" si="20"/>
        <v>383432307.24999982</v>
      </c>
      <c r="JN10" s="307">
        <f t="shared" si="20"/>
        <v>256710906.04000002</v>
      </c>
      <c r="JO10" s="307">
        <f t="shared" si="20"/>
        <v>580006079.61000013</v>
      </c>
      <c r="JP10" s="307">
        <f t="shared" si="27"/>
        <v>1240290511.9000001</v>
      </c>
    </row>
    <row r="11" spans="1:276" ht="15.75" thickBot="1" x14ac:dyDescent="0.3">
      <c r="B11" s="382" t="s">
        <v>1885</v>
      </c>
      <c r="C11" s="383">
        <f>IFERROR(VLOOKUP(C$1,'Výpočet VP 2018'!$D$330:$AK$601,34,FALSE),0)</f>
        <v>7253931.1743842196</v>
      </c>
      <c r="D11" s="383">
        <f>IFERROR(VLOOKUP(D$1,'Výpočet VP 2018'!$D$330:$AK$601,34,FALSE),0)</f>
        <v>6018141.5183983129</v>
      </c>
      <c r="E11" s="383">
        <f>IFERROR(VLOOKUP(E$1,'Výpočet VP 2018'!$D$330:$AK$601,34,FALSE),0)</f>
        <v>6700904.2160280943</v>
      </c>
      <c r="F11" s="383">
        <f>IFERROR(VLOOKUP(F$1,'Výpočet VP 2018'!$D$330:$AK$601,34,FALSE),0)</f>
        <v>3356411.8680831888</v>
      </c>
      <c r="G11" s="383">
        <f>IFERROR(VLOOKUP(G$1,'Výpočet VP 2018'!$D$330:$AK$601,34,FALSE),0)</f>
        <v>9794078.1840702184</v>
      </c>
      <c r="H11" s="383">
        <f>IFERROR(VLOOKUP(H$1,'Výpočet VP 2018'!$D$330:$AK$601,34,FALSE),0)</f>
        <v>0</v>
      </c>
      <c r="I11" s="383">
        <f>IFERROR(VLOOKUP(I$1,'Výpočet VP 2018'!$D$330:$AK$601,34,FALSE),0)</f>
        <v>1632806.4534168697</v>
      </c>
      <c r="J11" s="383">
        <f>IFERROR(VLOOKUP(J$1,'Výpočet VP 2018'!$D$330:$AK$601,34,FALSE),0)</f>
        <v>2612490.3254669919</v>
      </c>
      <c r="K11" s="383">
        <f>IFERROR(VLOOKUP(K$1,'Výpočet VP 2018'!$D$330:$AK$601,34,FALSE),0)</f>
        <v>5832458.0884846486</v>
      </c>
      <c r="L11" s="383">
        <f>IFERROR(VLOOKUP(L$1,'Výpočet VP 2018'!$D$330:$AK$601,34,FALSE),0)</f>
        <v>3148947.3769446653</v>
      </c>
      <c r="M11" s="383">
        <f>IFERROR(VLOOKUP(M$1,'Výpočet VP 2018'!$D$330:$AK$601,34,FALSE),0)</f>
        <v>3354808.3212812142</v>
      </c>
      <c r="N11" s="383">
        <f>IFERROR(VLOOKUP(N$1,'Výpočet VP 2018'!$D$330:$AK$601,34,FALSE),0)</f>
        <v>4302045.340781508</v>
      </c>
      <c r="O11" s="383">
        <f>IFERROR(VLOOKUP(O$1,'Výpočet VP 2018'!$D$330:$AK$601,34,FALSE),0)</f>
        <v>3963353.1021134635</v>
      </c>
      <c r="P11" s="383">
        <f>IFERROR(VLOOKUP(P$1,'Výpočet VP 2018'!$D$330:$AK$601,34,FALSE),0)</f>
        <v>2642813.293818519</v>
      </c>
      <c r="Q11" s="383">
        <f>IFERROR(VLOOKUP(Q$1,'Výpočet VP 2018'!$D$330:$AK$601,34,FALSE),0)</f>
        <v>1305882.4059681923</v>
      </c>
      <c r="R11" s="383">
        <f>IFERROR(VLOOKUP(R$1,'Výpočet VP 2018'!$D$330:$AK$601,34,FALSE),0)</f>
        <v>2154705.9698475171</v>
      </c>
      <c r="S11" s="383">
        <f>IFERROR(VLOOKUP(S$1,'Výpočet VP 2018'!$D$330:$AK$601,34,FALSE),0)</f>
        <v>1501764.7668634208</v>
      </c>
      <c r="T11" s="383">
        <f>IFERROR(VLOOKUP(T$1,'Výpočet VP 2018'!$D$330:$AK$601,34,FALSE),0)</f>
        <v>652941.20298409613</v>
      </c>
      <c r="U11" s="383">
        <f>IFERROR(VLOOKUP(U$1,'Výpočet VP 2018'!$D$330:$AK$601,34,FALSE),0)</f>
        <v>979411.80447614403</v>
      </c>
      <c r="V11" s="383">
        <f>IFERROR(VLOOKUP(V$1,'Výpočet VP 2018'!$D$330:$AK$601,34,FALSE),0)</f>
        <v>12858336.733326502</v>
      </c>
      <c r="W11" s="383">
        <f>IFERROR(VLOOKUP(W$1,'Výpočet VP 2018'!$D$330:$AK$601,34,FALSE),0)</f>
        <v>3553330.6692324439</v>
      </c>
      <c r="X11" s="383">
        <f>IFERROR(VLOOKUP(X$1,'Výpočet VP 2018'!$D$330:$AK$601,34,FALSE),0)</f>
        <v>949446.29525559139</v>
      </c>
      <c r="Y11" s="383">
        <f>IFERROR(VLOOKUP(Y$1,'Výpočet VP 2018'!$D$330:$AK$601,34,FALSE),0)</f>
        <v>1731260.9143099778</v>
      </c>
      <c r="Z11" s="383">
        <f>IFERROR(VLOOKUP(Z$1,'Výpočet VP 2018'!$D$330:$AK$601,34,FALSE),0)</f>
        <v>8070927.7097250205</v>
      </c>
      <c r="AA11" s="383">
        <f>IFERROR(VLOOKUP(AA$1,'Výpočet VP 2018'!$D$330:$AK$601,34,FALSE),0)</f>
        <v>3777932.0873793103</v>
      </c>
      <c r="AB11" s="383">
        <f>IFERROR(VLOOKUP(AB$1,'Výpočet VP 2018'!$D$330:$AK$601,34,FALSE),0)</f>
        <v>2278195.1610143678</v>
      </c>
      <c r="AC11" s="383">
        <f>IFERROR(VLOOKUP(AC$1,'Výpočet VP 2018'!$D$330:$AK$601,34,FALSE),0)</f>
        <v>1238168.979476199</v>
      </c>
      <c r="AD11" s="383">
        <f>IFERROR(VLOOKUP(AD$1,'Výpočet VP 2018'!$D$330:$AK$601,34,FALSE),0)</f>
        <v>1318524.7637453033</v>
      </c>
      <c r="AE11" s="383">
        <f>IFERROR(VLOOKUP(AE$1,'Výpočet VP 2018'!$D$330:$AK$601,34,FALSE),0)</f>
        <v>1070414.0914241378</v>
      </c>
      <c r="AF11" s="383">
        <f>IFERROR(VLOOKUP(AF$1,'Výpočet VP 2018'!$D$330:$AK$601,34,FALSE),0)</f>
        <v>2377366.1961749624</v>
      </c>
      <c r="AG11" s="383">
        <f>IFERROR(VLOOKUP(AG$1,'Výpočet VP 2018'!$D$330:$AK$601,34,FALSE),0)</f>
        <v>2969025.2996239332</v>
      </c>
      <c r="AH11" s="383">
        <f>IFERROR(VLOOKUP(AH$1,'Výpočet VP 2018'!$D$330:$AK$601,34,FALSE),0)</f>
        <v>1147766.1417678613</v>
      </c>
      <c r="AI11" s="383">
        <f>IFERROR(VLOOKUP(AI$1,'Výpočet VP 2018'!$D$330:$AK$601,34,FALSE),0)</f>
        <v>4464267.9845357994</v>
      </c>
      <c r="AJ11" s="383">
        <f>IFERROR(VLOOKUP(AJ$1,'Výpočet VP 2018'!$D$330:$AK$601,34,FALSE),0)</f>
        <v>3595772.4861314795</v>
      </c>
      <c r="AK11" s="383">
        <f>IFERROR(VLOOKUP(AK$1,'Výpočet VP 2018'!$D$330:$AK$601,34,FALSE),0)</f>
        <v>1371176.5262666019</v>
      </c>
      <c r="AL11" s="383">
        <f>IFERROR(VLOOKUP(AL$1,'Výpočet VP 2018'!$D$330:$AK$601,34,FALSE),0)</f>
        <v>1888966.0436896549</v>
      </c>
      <c r="AM11" s="383">
        <f>IFERROR(VLOOKUP(AM$1,'Výpočet VP 2018'!$D$330:$AK$601,34,FALSE),0)</f>
        <v>1371176.5262666019</v>
      </c>
      <c r="AN11" s="383">
        <f>IFERROR(VLOOKUP(AN$1,'Výpočet VP 2018'!$D$330:$AK$601,34,FALSE),0)</f>
        <v>874941.21199868876</v>
      </c>
      <c r="AO11" s="383">
        <f>IFERROR(VLOOKUP(AO$1,'Výpočet VP 2018'!$D$330:$AK$601,34,FALSE),0)</f>
        <v>5230858.2727248725</v>
      </c>
      <c r="AP11" s="383">
        <f>IFERROR(VLOOKUP(AP$1,'Výpočet VP 2018'!$D$330:$AK$601,34,FALSE),0)</f>
        <v>2014488.5395707032</v>
      </c>
      <c r="AQ11" s="383">
        <f>IFERROR(VLOOKUP(AQ$1,'Výpočet VP 2018'!$D$330:$AK$601,34,FALSE),0)</f>
        <v>261176.48119363846</v>
      </c>
      <c r="AR11" s="383">
        <f>IFERROR(VLOOKUP(AR$1,'Výpočet VP 2018'!$D$330:$AK$601,34,FALSE),0)</f>
        <v>881470.62402852974</v>
      </c>
      <c r="AS11" s="383">
        <f>IFERROR(VLOOKUP(AS$1,'Výpočet VP 2018'!$D$330:$AK$601,34,FALSE),0)</f>
        <v>391764.72179045767</v>
      </c>
      <c r="AT11" s="383">
        <f>IFERROR(VLOOKUP(AT$1,'Výpočet VP 2018'!$D$330:$AK$601,34,FALSE),0)</f>
        <v>1780420.5814452323</v>
      </c>
      <c r="AU11" s="383">
        <f>IFERROR(VLOOKUP(AU$1,'Výpočet VP 2018'!$D$330:$AK$601,34,FALSE),0)</f>
        <v>924106.82107958512</v>
      </c>
      <c r="AV11" s="383">
        <f>IFERROR(VLOOKUP(AV$1,'Výpočet VP 2018'!$D$330:$AK$601,34,FALSE),0)</f>
        <v>1857483.2762948275</v>
      </c>
      <c r="AW11" s="383">
        <f>IFERROR(VLOOKUP(AW$1,'Výpočet VP 2018'!$D$330:$AK$601,34,FALSE),0)</f>
        <v>3097353.9259303808</v>
      </c>
      <c r="AX11" s="383">
        <f>IFERROR(VLOOKUP(AX$1,'Výpočet VP 2018'!$D$330:$AK$601,34,FALSE),0)</f>
        <v>2339671.4980174275</v>
      </c>
      <c r="AY11" s="383">
        <f>IFERROR(VLOOKUP(AY$1,'Výpočet VP 2018'!$D$330:$AK$601,34,FALSE),0)</f>
        <v>2755493.4536365326</v>
      </c>
      <c r="AZ11" s="383">
        <f>IFERROR(VLOOKUP(AZ$1,'Výpočet VP 2018'!$D$330:$AK$601,34,FALSE),0)</f>
        <v>3267030.1242453624</v>
      </c>
      <c r="BA11" s="383">
        <f>IFERROR(VLOOKUP(BA$1,'Výpočet VP 2018'!$D$330:$AK$601,34,FALSE),0)</f>
        <v>8766074.9843155295</v>
      </c>
      <c r="BB11" s="383">
        <f>IFERROR(VLOOKUP(BB$1,'Výpočet VP 2018'!$D$330:$AK$601,34,FALSE),0)</f>
        <v>1240588.2856697824</v>
      </c>
      <c r="BC11" s="383">
        <f>IFERROR(VLOOKUP(BC$1,'Výpočet VP 2018'!$D$330:$AK$601,34,FALSE),0)</f>
        <v>1197762.178977177</v>
      </c>
      <c r="BD11" s="383">
        <f>IFERROR(VLOOKUP(BD$1,'Výpočet VP 2018'!$D$330:$AK$601,34,FALSE),0)</f>
        <v>1207941.2255205777</v>
      </c>
      <c r="BE11" s="383">
        <f>IFERROR(VLOOKUP(BE$1,'Výpočet VP 2018'!$D$330:$AK$601,34,FALSE),0)</f>
        <v>947027.74298178451</v>
      </c>
      <c r="BF11" s="383">
        <f>IFERROR(VLOOKUP(BF$1,'Výpočet VP 2018'!$D$330:$AK$601,34,FALSE),0)</f>
        <v>1567058.8871618307</v>
      </c>
      <c r="BG11" s="383">
        <f>IFERROR(VLOOKUP(BG$1,'Výpočet VP 2018'!$D$330:$AK$601,34,FALSE),0)</f>
        <v>3579084.1774242288</v>
      </c>
      <c r="BH11" s="383">
        <f>IFERROR(VLOOKUP(BH$1,'Výpočet VP 2018'!$D$330:$AK$601,34,FALSE),0)</f>
        <v>3353663.400878673</v>
      </c>
      <c r="BI11" s="383">
        <f>IFERROR(VLOOKUP(BI$1,'Výpočet VP 2018'!$D$330:$AK$601,34,FALSE),0)</f>
        <v>2600084.7090806686</v>
      </c>
      <c r="BJ11" s="383">
        <f>IFERROR(VLOOKUP(BJ$1,'Výpočet VP 2018'!$D$330:$AK$601,34,FALSE),0)</f>
        <v>2402971.2867579698</v>
      </c>
      <c r="BK11" s="383">
        <f>IFERROR(VLOOKUP(BK$1,'Výpočet VP 2018'!$D$330:$AK$601,34,FALSE),0)</f>
        <v>979683.87205012201</v>
      </c>
      <c r="BL11" s="383">
        <f>IFERROR(VLOOKUP(BL$1,'Výpočet VP 2018'!$D$330:$AK$601,34,FALSE),0)</f>
        <v>0</v>
      </c>
      <c r="BM11" s="383">
        <f>IFERROR(VLOOKUP(BM$1,'Výpočet VP 2018'!$D$330:$AK$601,34,FALSE),0)</f>
        <v>2089992.2603735935</v>
      </c>
      <c r="BN11" s="383">
        <f>IFERROR(VLOOKUP(BN$1,'Výpočet VP 2018'!$D$330:$AK$601,34,FALSE),0)</f>
        <v>1188352.9894310548</v>
      </c>
      <c r="BO11" s="383">
        <f>IFERROR(VLOOKUP(BO$1,'Výpočet VP 2018'!$D$330:$AK$601,34,FALSE),0)</f>
        <v>834560.15289268037</v>
      </c>
      <c r="BP11" s="383">
        <f>IFERROR(VLOOKUP(BP$1,'Výpočet VP 2018'!$D$330:$AK$601,34,FALSE),0)</f>
        <v>4317419.02728895</v>
      </c>
      <c r="BQ11" s="383">
        <f>IFERROR(VLOOKUP(BQ$1,'Výpočet VP 2018'!$D$330:$AK$601,34,FALSE),0)</f>
        <v>751090.96857175999</v>
      </c>
      <c r="BR11" s="383">
        <f>IFERROR(VLOOKUP(BR$1,'Výpočet VP 2018'!$D$330:$AK$601,34,FALSE),0)</f>
        <v>881470.62402852974</v>
      </c>
      <c r="BS11" s="383">
        <f>IFERROR(VLOOKUP(BS$1,'Výpočet VP 2018'!$D$330:$AK$601,34,FALSE),0)</f>
        <v>1175294.1653713728</v>
      </c>
      <c r="BT11" s="383">
        <f>IFERROR(VLOOKUP(BT$1,'Výpočet VP 2018'!$D$330:$AK$601,34,FALSE),0)</f>
        <v>979411.80447614403</v>
      </c>
      <c r="BU11" s="383">
        <f>IFERROR(VLOOKUP(BU$1,'Výpočet VP 2018'!$D$330:$AK$601,34,FALSE),0)</f>
        <v>3575511.7419803217</v>
      </c>
      <c r="BV11" s="383">
        <f>IFERROR(VLOOKUP(BV$1,'Výpočet VP 2018'!$D$330:$AK$601,34,FALSE),0)</f>
        <v>957945.87881279143</v>
      </c>
      <c r="BW11" s="383">
        <f>IFERROR(VLOOKUP(BW$1,'Výpočet VP 2018'!$D$330:$AK$601,34,FALSE),0)</f>
        <v>261176.48119363846</v>
      </c>
      <c r="BX11" s="383">
        <f>IFERROR(VLOOKUP(BX$1,'Výpočet VP 2018'!$D$330:$AK$601,34,FALSE),0)</f>
        <v>4269203.734533364</v>
      </c>
      <c r="BY11" s="383">
        <f>IFERROR(VLOOKUP(BY$1,'Výpočet VP 2018'!$D$330:$AK$601,34,FALSE),0)</f>
        <v>1756052.4149111549</v>
      </c>
      <c r="BZ11" s="383">
        <f>IFERROR(VLOOKUP(BZ$1,'Výpočet VP 2018'!$D$330:$AK$601,34,FALSE),0)</f>
        <v>215364.26264621396</v>
      </c>
      <c r="CA11" s="383">
        <f>IFERROR(VLOOKUP(CA$1,'Výpočet VP 2018'!$D$330:$AK$601,34,FALSE),0)</f>
        <v>0</v>
      </c>
      <c r="CB11" s="383">
        <f>IFERROR(VLOOKUP(CB$1,'Výpočet VP 2018'!$D$330:$AK$601,34,FALSE),0)</f>
        <v>177723.21287342251</v>
      </c>
      <c r="CC11" s="383">
        <f>IFERROR(VLOOKUP(CC$1,'Výpočet VP 2018'!$D$330:$AK$601,34,FALSE),0)</f>
        <v>2122058.9096983122</v>
      </c>
      <c r="CD11" s="383">
        <f>IFERROR(VLOOKUP(CD$1,'Výpočet VP 2018'!$D$330:$AK$601,34,FALSE),0)</f>
        <v>652941.20298409613</v>
      </c>
      <c r="CE11" s="383">
        <f>IFERROR(VLOOKUP(CE$1,'Výpočet VP 2018'!$D$330:$AK$601,34,FALSE),0)</f>
        <v>11899075.681163318</v>
      </c>
      <c r="CF11" s="383">
        <f>IFERROR(VLOOKUP(CF$1,'Výpočet VP 2018'!$D$330:$AK$601,34,FALSE),0)</f>
        <v>3490212.6099140383</v>
      </c>
      <c r="CG11" s="383">
        <f>IFERROR(VLOOKUP(CG$1,'Výpočet VP 2018'!$D$330:$AK$601,34,FALSE),0)</f>
        <v>9205780.3046253845</v>
      </c>
      <c r="CH11" s="383">
        <f>IFERROR(VLOOKUP(CH$1,'Výpočet VP 2018'!$D$330:$AK$601,34,FALSE),0)</f>
        <v>3934052.0762607008</v>
      </c>
      <c r="CI11" s="383">
        <f>IFERROR(VLOOKUP(CI$1,'Výpočet VP 2018'!$D$330:$AK$601,34,FALSE),0)</f>
        <v>3082510.847786963</v>
      </c>
      <c r="CJ11" s="383">
        <f>IFERROR(VLOOKUP(CJ$1,'Výpočet VP 2018'!$D$330:$AK$601,34,FALSE),0)</f>
        <v>3688924.5340801133</v>
      </c>
      <c r="CK11" s="383">
        <f>IFERROR(VLOOKUP(CK$1,'Výpočet VP 2018'!$D$330:$AK$601,34,FALSE),0)</f>
        <v>5002916.6745204553</v>
      </c>
      <c r="CL11" s="383">
        <f>IFERROR(VLOOKUP(CL$1,'Výpočet VP 2018'!$D$330:$AK$601,34,FALSE),0)</f>
        <v>2566771.7447713199</v>
      </c>
      <c r="CM11" s="383">
        <f>IFERROR(VLOOKUP(CM$1,'Výpočet VP 2018'!$D$330:$AK$601,34,FALSE),0)</f>
        <v>5464348.686696548</v>
      </c>
      <c r="CN11" s="383">
        <f>IFERROR(VLOOKUP(CN$1,'Výpočet VP 2018'!$D$330:$AK$601,34,FALSE),0)</f>
        <v>1155133.5263494812</v>
      </c>
      <c r="CO11" s="383">
        <f>IFERROR(VLOOKUP(CO$1,'Výpočet VP 2018'!$D$330:$AK$601,34,FALSE),0)</f>
        <v>1155133.5263494812</v>
      </c>
      <c r="CP11" s="383">
        <f>IFERROR(VLOOKUP(CP$1,'Výpočet VP 2018'!$D$330:$AK$601,34,FALSE),0)</f>
        <v>1155133.5263494812</v>
      </c>
      <c r="CQ11" s="383">
        <f>IFERROR(VLOOKUP(CQ$1,'Výpočet VP 2018'!$D$330:$AK$601,34,FALSE),0)</f>
        <v>4722415.1092241379</v>
      </c>
      <c r="CR11" s="383">
        <f>IFERROR(VLOOKUP(CR$1,'Výpočet VP 2018'!$D$330:$AK$601,34,FALSE),0)</f>
        <v>0</v>
      </c>
      <c r="CS11" s="383">
        <f>IFERROR(VLOOKUP(CS$1,'Výpočet VP 2018'!$D$330:$AK$601,34,FALSE),0)</f>
        <v>0</v>
      </c>
      <c r="CT11" s="383">
        <f>IFERROR(VLOOKUP(CT$1,'Výpočet VP 2018'!$D$330:$AK$601,34,FALSE),0)</f>
        <v>3296860.2687819041</v>
      </c>
      <c r="CU11" s="383">
        <f>IFERROR(VLOOKUP(CU$1,'Výpočet VP 2018'!$D$330:$AK$601,34,FALSE),0)</f>
        <v>1756052.4149111549</v>
      </c>
      <c r="CV11" s="383">
        <f>IFERROR(VLOOKUP(CV$1,'Výpočet VP 2018'!$D$330:$AK$601,34,FALSE),0)</f>
        <v>4469978.6406120816</v>
      </c>
      <c r="CW11" s="383">
        <f>IFERROR(VLOOKUP(CW$1,'Výpočet VP 2018'!$D$330:$AK$601,34,FALSE),0)</f>
        <v>0</v>
      </c>
      <c r="CX11" s="383">
        <f>IFERROR(VLOOKUP(CX$1,'Výpočet VP 2018'!$D$330:$AK$601,34,FALSE),0)</f>
        <v>3350799.4542762777</v>
      </c>
      <c r="CY11" s="383">
        <f>IFERROR(VLOOKUP(CY$1,'Výpočet VP 2018'!$D$330:$AK$601,34,FALSE),0)</f>
        <v>2251534.6690322496</v>
      </c>
      <c r="CZ11" s="383">
        <f>IFERROR(VLOOKUP(CZ$1,'Výpočet VP 2018'!$D$330:$AK$601,34,FALSE),0)</f>
        <v>1101896.8588189655</v>
      </c>
      <c r="DA11" s="383">
        <f>IFERROR(VLOOKUP(DA$1,'Výpočet VP 2018'!$D$330:$AK$601,34,FALSE),0)</f>
        <v>1196457.2349794924</v>
      </c>
      <c r="DB11" s="383">
        <f>IFERROR(VLOOKUP(DB$1,'Výpočet VP 2018'!$D$330:$AK$601,34,FALSE),0)</f>
        <v>750882.38343171042</v>
      </c>
      <c r="DC11" s="383">
        <f>IFERROR(VLOOKUP(DC$1,'Výpočet VP 2018'!$D$330:$AK$601,34,FALSE),0)</f>
        <v>1443916.9079368515</v>
      </c>
      <c r="DD11" s="383">
        <f>IFERROR(VLOOKUP(DD$1,'Výpočet VP 2018'!$D$330:$AK$601,34,FALSE),0)</f>
        <v>4898419.3602506099</v>
      </c>
      <c r="DE11" s="383">
        <f>IFERROR(VLOOKUP(DE$1,'Výpočet VP 2018'!$D$330:$AK$601,34,FALSE),0)</f>
        <v>6857787.1043508537</v>
      </c>
      <c r="DF11" s="383">
        <f>IFERROR(VLOOKUP(DF$1,'Výpočet VP 2018'!$D$330:$AK$601,34,FALSE),0)</f>
        <v>5551541.9416173585</v>
      </c>
      <c r="DG11" s="383">
        <f>IFERROR(VLOOKUP(DG$1,'Výpočet VP 2018'!$D$330:$AK$601,34,FALSE),0)</f>
        <v>0</v>
      </c>
      <c r="DH11" s="383">
        <f>IFERROR(VLOOKUP(DH$1,'Výpočet VP 2018'!$D$330:$AK$601,34,FALSE),0)</f>
        <v>1213301.4153860291</v>
      </c>
      <c r="DI11" s="383">
        <f>IFERROR(VLOOKUP(DI$1,'Výpočet VP 2018'!$D$330:$AK$601,34,FALSE),0)</f>
        <v>1003542.6720014433</v>
      </c>
      <c r="DJ11" s="383">
        <f>IFERROR(VLOOKUP(DJ$1,'Výpočet VP 2018'!$D$330:$AK$601,34,FALSE),0)</f>
        <v>1959367.744100244</v>
      </c>
      <c r="DK11" s="383">
        <f>IFERROR(VLOOKUP(DK$1,'Výpočet VP 2018'!$D$330:$AK$601,34,FALSE),0)</f>
        <v>881715.48484510975</v>
      </c>
      <c r="DL11" s="383">
        <f>IFERROR(VLOOKUP(DL$1,'Výpočet VP 2018'!$D$330:$AK$601,34,FALSE),0)</f>
        <v>3777673.8894324512</v>
      </c>
      <c r="DM11" s="383">
        <f>IFERROR(VLOOKUP(DM$1,'Výpočet VP 2018'!$D$330:$AK$601,34,FALSE),0)</f>
        <v>2036275.2140628891</v>
      </c>
      <c r="DN11" s="383">
        <f>IFERROR(VLOOKUP(DN$1,'Výpočet VP 2018'!$D$330:$AK$601,34,FALSE),0)</f>
        <v>2887833.815873703</v>
      </c>
      <c r="DO11" s="383">
        <f>IFERROR(VLOOKUP(DO$1,'Výpočet VP 2018'!$D$330:$AK$601,34,FALSE),0)</f>
        <v>1306245.1627334959</v>
      </c>
      <c r="DP11" s="383">
        <f>IFERROR(VLOOKUP(DP$1,'Výpočet VP 2018'!$D$330:$AK$601,34,FALSE),0)</f>
        <v>3465400.5790484436</v>
      </c>
      <c r="DQ11" s="383">
        <f>IFERROR(VLOOKUP(DQ$1,'Výpočet VP 2018'!$D$330:$AK$601,34,FALSE),0)</f>
        <v>3652001.0177999996</v>
      </c>
      <c r="DR11" s="383">
        <f>IFERROR(VLOOKUP(DR$1,'Výpočet VP 2018'!$D$330:$AK$601,34,FALSE),0)</f>
        <v>3463104.4134310344</v>
      </c>
      <c r="DS11" s="383">
        <f>IFERROR(VLOOKUP(DS$1,'Výpočet VP 2018'!$D$330:$AK$601,34,FALSE),0)</f>
        <v>0</v>
      </c>
      <c r="DT11" s="383">
        <f>IFERROR(VLOOKUP(DT$1,'Výpočet VP 2018'!$D$330:$AK$601,34,FALSE),0)</f>
        <v>3727483.4058488263</v>
      </c>
      <c r="DU11" s="383">
        <f>IFERROR(VLOOKUP(DU$1,'Výpočet VP 2018'!$D$330:$AK$601,34,FALSE),0)</f>
        <v>1617735.2205147056</v>
      </c>
      <c r="DV11" s="383">
        <f>IFERROR(VLOOKUP(DV$1,'Výpočet VP 2018'!$D$330:$AK$601,34,FALSE),0)</f>
        <v>6580466.9658008739</v>
      </c>
      <c r="DW11" s="383">
        <f>IFERROR(VLOOKUP(DW$1,'Výpočet VP 2018'!$D$330:$AK$601,34,FALSE),0)</f>
        <v>0</v>
      </c>
      <c r="DX11" s="383">
        <f>IFERROR(VLOOKUP(DX$1,'Výpočet VP 2018'!$D$330:$AK$601,34,FALSE),0)</f>
        <v>3918735.488200488</v>
      </c>
      <c r="DY11" s="383">
        <f>IFERROR(VLOOKUP(DY$1,'Výpočet VP 2018'!$D$330:$AK$601,34,FALSE),0)</f>
        <v>3616911.3959229048</v>
      </c>
      <c r="DZ11" s="383">
        <f>IFERROR(VLOOKUP(DZ$1,'Výpočet VP 2018'!$D$330:$AK$601,34,FALSE),0)</f>
        <v>397983.60368845816</v>
      </c>
      <c r="EA11" s="383">
        <f>IFERROR(VLOOKUP(EA$1,'Výpočet VP 2018'!$D$330:$AK$601,34,FALSE),0)</f>
        <v>2958446.6157147288</v>
      </c>
      <c r="EB11" s="383">
        <f>IFERROR(VLOOKUP(EB$1,'Výpočet VP 2018'!$D$330:$AK$601,34,FALSE),0)</f>
        <v>4038266.8695855243</v>
      </c>
      <c r="EC11" s="383">
        <f>IFERROR(VLOOKUP(EC$1,'Výpočet VP 2018'!$D$330:$AK$601,34,FALSE),0)</f>
        <v>2759511.876270676</v>
      </c>
      <c r="ED11" s="383">
        <f>IFERROR(VLOOKUP(ED$1,'Výpočet VP 2018'!$D$330:$AK$601,34,FALSE),0)</f>
        <v>3347730.9881066624</v>
      </c>
      <c r="EE11" s="383">
        <f>IFERROR(VLOOKUP(EE$1,'Výpočet VP 2018'!$D$330:$AK$601,34,FALSE),0)</f>
        <v>750882.38343171042</v>
      </c>
      <c r="EF11" s="383">
        <f>IFERROR(VLOOKUP(EF$1,'Výpočet VP 2018'!$D$330:$AK$601,34,FALSE),0)</f>
        <v>816176.50373012014</v>
      </c>
      <c r="EG11" s="383">
        <f>IFERROR(VLOOKUP(EG$1,'Výpočet VP 2018'!$D$330:$AK$601,34,FALSE),0)</f>
        <v>391764.72179045767</v>
      </c>
      <c r="EH11" s="383">
        <f>IFERROR(VLOOKUP(EH$1,'Výpočet VP 2018'!$D$330:$AK$601,34,FALSE),0)</f>
        <v>693513.68721179385</v>
      </c>
      <c r="EI11" s="383">
        <f>IFERROR(VLOOKUP(EI$1,'Výpočet VP 2018'!$D$330:$AK$601,34,FALSE),0)</f>
        <v>1156230.8160456021</v>
      </c>
      <c r="EJ11" s="383">
        <f>IFERROR(VLOOKUP(EJ$1,'Výpočet VP 2018'!$D$330:$AK$601,34,FALSE),0)</f>
        <v>1044996.1301867968</v>
      </c>
      <c r="EK11" s="383">
        <f>IFERROR(VLOOKUP(EK$1,'Výpočet VP 2018'!$D$330:$AK$601,34,FALSE),0)</f>
        <v>3132689.8850896731</v>
      </c>
      <c r="EL11" s="383">
        <f>IFERROR(VLOOKUP(EL$1,'Výpočet VP 2018'!$D$330:$AK$601,34,FALSE),0)</f>
        <v>10147834.972545603</v>
      </c>
      <c r="EM11" s="383">
        <f>IFERROR(VLOOKUP(EM$1,'Výpočet VP 2018'!$D$330:$AK$601,34,FALSE),0)</f>
        <v>2881884.4732994391</v>
      </c>
      <c r="EN11" s="383">
        <f>IFERROR(VLOOKUP(EN$1,'Výpočet VP 2018'!$D$330:$AK$601,34,FALSE),0)</f>
        <v>2203793.717637931</v>
      </c>
      <c r="EO11" s="383">
        <f>IFERROR(VLOOKUP(EO$1,'Výpočet VP 2018'!$D$330:$AK$601,34,FALSE),0)</f>
        <v>261176.48119363846</v>
      </c>
      <c r="EP11" s="383">
        <f>IFERROR(VLOOKUP(EP$1,'Výpočet VP 2018'!$D$330:$AK$601,34,FALSE),0)</f>
        <v>2130392.9173067738</v>
      </c>
      <c r="EQ11" s="383">
        <f>IFERROR(VLOOKUP(EQ$1,'Výpočet VP 2018'!$D$330:$AK$601,34,FALSE),0)</f>
        <v>1632806.4534168697</v>
      </c>
      <c r="ER11" s="383">
        <f>IFERROR(VLOOKUP(ER$1,'Výpočet VP 2018'!$D$330:$AK$601,34,FALSE),0)</f>
        <v>9911915.930643402</v>
      </c>
      <c r="ES11" s="383">
        <f>IFERROR(VLOOKUP(ES$1,'Výpočet VP 2018'!$D$330:$AK$601,34,FALSE),0)</f>
        <v>3580811.1671774774</v>
      </c>
      <c r="ET11" s="383">
        <f>IFERROR(VLOOKUP(ET$1,'Výpočet VP 2018'!$D$330:$AK$601,34,FALSE),0)</f>
        <v>0</v>
      </c>
      <c r="EU11" s="383">
        <f>IFERROR(VLOOKUP(EU$1,'Výpočet VP 2018'!$D$330:$AK$601,34,FALSE),0)</f>
        <v>0</v>
      </c>
      <c r="EV11" s="383">
        <f>IFERROR(VLOOKUP(EV$1,'Výpočet VP 2018'!$D$330:$AK$601,34,FALSE),0)</f>
        <v>457058.84208886721</v>
      </c>
      <c r="EW11" s="383">
        <f>IFERROR(VLOOKUP(EW$1,'Výpočet VP 2018'!$D$330:$AK$601,34,FALSE),0)</f>
        <v>3777673.8894324512</v>
      </c>
      <c r="EX11" s="383">
        <f>IFERROR(VLOOKUP(EX$1,'Výpočet VP 2018'!$D$330:$AK$601,34,FALSE),0)</f>
        <v>9541812.599239897</v>
      </c>
      <c r="EY11" s="383">
        <f>IFERROR(VLOOKUP(EY$1,'Výpočet VP 2018'!$D$330:$AK$601,34,FALSE),0)</f>
        <v>2833449.0655344822</v>
      </c>
      <c r="EZ11" s="383">
        <f>IFERROR(VLOOKUP(EZ$1,'Výpočet VP 2018'!$D$330:$AK$601,34,FALSE),0)</f>
        <v>998726.42537795065</v>
      </c>
      <c r="FA11" s="383">
        <f>IFERROR(VLOOKUP(FA$1,'Výpočet VP 2018'!$D$330:$AK$601,34,FALSE),0)</f>
        <v>2241241.5687962659</v>
      </c>
      <c r="FB11" s="383">
        <f>IFERROR(VLOOKUP(FB$1,'Výpočet VP 2018'!$D$330:$AK$601,34,FALSE),0)</f>
        <v>223885.32866006476</v>
      </c>
      <c r="FC11" s="383">
        <f>IFERROR(VLOOKUP(FC$1,'Výpočet VP 2018'!$D$330:$AK$601,34,FALSE),0)</f>
        <v>5651441.1695214566</v>
      </c>
      <c r="FD11" s="383">
        <f>IFERROR(VLOOKUP(FD$1,'Výpočet VP 2018'!$D$330:$AK$601,34,FALSE),0)</f>
        <v>1444437.3396539793</v>
      </c>
      <c r="FE11" s="383">
        <f>IFERROR(VLOOKUP(FE$1,'Výpočet VP 2018'!$D$330:$AK$601,34,FALSE),0)</f>
        <v>652996.20966290007</v>
      </c>
      <c r="FF11" s="383">
        <f>IFERROR(VLOOKUP(FF$1,'Výpočet VP 2018'!$D$330:$AK$601,34,FALSE),0)</f>
        <v>1888836.9447162256</v>
      </c>
      <c r="FG11" s="383">
        <f>IFERROR(VLOOKUP(FG$1,'Výpočet VP 2018'!$D$330:$AK$601,34,FALSE),0)</f>
        <v>8002345.6251694188</v>
      </c>
      <c r="FH11" s="383">
        <f>IFERROR(VLOOKUP(FH$1,'Výpočet VP 2018'!$D$330:$AK$601,34,FALSE),0)</f>
        <v>9694167.1283496041</v>
      </c>
      <c r="FI11" s="383">
        <f>IFERROR(VLOOKUP(FI$1,'Výpočet VP 2018'!$D$330:$AK$601,34,FALSE),0)</f>
        <v>9455381.6508325413</v>
      </c>
      <c r="FJ11" s="383">
        <f>IFERROR(VLOOKUP(FJ$1,'Výpočet VP 2018'!$D$330:$AK$601,34,FALSE),0)</f>
        <v>2564701.0047196737</v>
      </c>
      <c r="FK11" s="383">
        <f>IFERROR(VLOOKUP(FK$1,'Výpočet VP 2018'!$D$330:$AK$601,34,FALSE),0)</f>
        <v>808648.58980851865</v>
      </c>
      <c r="FL11" s="383">
        <f>IFERROR(VLOOKUP(FL$1,'Výpočet VP 2018'!$D$330:$AK$601,34,FALSE),0)</f>
        <v>1031922.4512618496</v>
      </c>
      <c r="FM11" s="383">
        <f>IFERROR(VLOOKUP(FM$1,'Výpočet VP 2018'!$D$330:$AK$601,34,FALSE),0)</f>
        <v>4857862.244340159</v>
      </c>
      <c r="FN11" s="383">
        <f>IFERROR(VLOOKUP(FN$1,'Výpočet VP 2018'!$D$330:$AK$601,34,FALSE),0)</f>
        <v>6699624.9863826567</v>
      </c>
      <c r="FO11" s="383">
        <f>IFERROR(VLOOKUP(FO$1,'Výpočet VP 2018'!$D$330:$AK$601,34,FALSE),0)</f>
        <v>2708162.4607558884</v>
      </c>
      <c r="FP11" s="383">
        <f>IFERROR(VLOOKUP(FP$1,'Výpočet VP 2018'!$D$330:$AK$601,34,FALSE),0)</f>
        <v>15992776.879912134</v>
      </c>
      <c r="FQ11" s="383">
        <f>IFERROR(VLOOKUP(FQ$1,'Výpočet VP 2018'!$D$330:$AK$601,34,FALSE),0)</f>
        <v>2032047.794227205</v>
      </c>
      <c r="FR11" s="383">
        <f>IFERROR(VLOOKUP(FR$1,'Výpočet VP 2018'!$D$330:$AK$601,34,FALSE),0)</f>
        <v>0</v>
      </c>
      <c r="FS11" s="383">
        <f>IFERROR(VLOOKUP(FS$1,'Výpočet VP 2018'!$D$330:$AK$601,34,FALSE),0)</f>
        <v>856567.17101530614</v>
      </c>
      <c r="FT11" s="383">
        <f>IFERROR(VLOOKUP(FT$1,'Výpočet VP 2018'!$D$330:$AK$601,34,FALSE),0)</f>
        <v>4966478.1503798347</v>
      </c>
      <c r="FU11" s="383">
        <f>IFERROR(VLOOKUP(FU$1,'Výpočet VP 2018'!$D$330:$AK$601,34,FALSE),0)</f>
        <v>726788.55762446951</v>
      </c>
      <c r="FV11" s="383">
        <f>IFERROR(VLOOKUP(FV$1,'Výpočet VP 2018'!$D$330:$AK$601,34,FALSE),0)</f>
        <v>1567265.58172962</v>
      </c>
      <c r="FW11" s="383">
        <f>IFERROR(VLOOKUP(FW$1,'Výpočet VP 2018'!$D$330:$AK$601,34,FALSE),0)</f>
        <v>1849598.6563236092</v>
      </c>
      <c r="FX11" s="383">
        <f>IFERROR(VLOOKUP(FX$1,'Výpočet VP 2018'!$D$330:$AK$601,34,FALSE),0)</f>
        <v>862956.54282835627</v>
      </c>
      <c r="FY11" s="383">
        <f>IFERROR(VLOOKUP(FY$1,'Výpočet VP 2018'!$D$330:$AK$601,34,FALSE),0)</f>
        <v>499064.67741452297</v>
      </c>
      <c r="FZ11" s="383">
        <f>IFERROR(VLOOKUP(FZ$1,'Výpočet VP 2018'!$D$330:$AK$601,34,FALSE),0)</f>
        <v>6607943.9537622668</v>
      </c>
      <c r="GA11" s="383">
        <f>IFERROR(VLOOKUP(GA$1,'Výpočet VP 2018'!$D$330:$AK$601,34,FALSE),0)</f>
        <v>818831.74016357516</v>
      </c>
      <c r="GB11" s="383">
        <f>IFERROR(VLOOKUP(GB$1,'Výpočet VP 2018'!$D$330:$AK$601,34,FALSE),0)</f>
        <v>5275514.7232923917</v>
      </c>
      <c r="GC11" s="383">
        <f>IFERROR(VLOOKUP(GC$1,'Výpočet VP 2018'!$D$330:$AK$601,34,FALSE),0)</f>
        <v>2969025.2996239332</v>
      </c>
      <c r="GD11" s="383">
        <f>IFERROR(VLOOKUP(GD$1,'Výpočet VP 2018'!$D$330:$AK$601,34,FALSE),0)</f>
        <v>11888053.926946657</v>
      </c>
      <c r="GE11" s="383">
        <f>IFERROR(VLOOKUP(GE$1,'Výpočet VP 2018'!$D$330:$AK$601,34,FALSE),0)</f>
        <v>2089992.2603735935</v>
      </c>
      <c r="GF11" s="383">
        <f>IFERROR(VLOOKUP(GF$1,'Výpočet VP 2018'!$D$330:$AK$601,34,FALSE),0)</f>
        <v>3656973.6715100789</v>
      </c>
      <c r="GG11" s="383">
        <f>IFERROR(VLOOKUP(GG$1,'Výpočet VP 2018'!$D$330:$AK$601,34,FALSE),0)</f>
        <v>1388780.0409474387</v>
      </c>
      <c r="GH11" s="383">
        <f>IFERROR(VLOOKUP(GH$1,'Výpočet VP 2018'!$D$330:$AK$601,34,FALSE),0)</f>
        <v>1293108.3027074491</v>
      </c>
      <c r="GI11" s="383">
        <f>IFERROR(VLOOKUP(GI$1,'Výpočet VP 2018'!$D$330:$AK$601,34,FALSE),0)</f>
        <v>12679530.755537022</v>
      </c>
      <c r="GJ11" s="383">
        <f>IFERROR(VLOOKUP(GJ$1,'Výpočet VP 2018'!$D$330:$AK$601,34,FALSE),0)</f>
        <v>2670033.0227403729</v>
      </c>
      <c r="GK11" s="383">
        <f>IFERROR(VLOOKUP(GK$1,'Výpočet VP 2018'!$D$330:$AK$601,34,FALSE),0)</f>
        <v>2748991.7287827348</v>
      </c>
      <c r="GL11" s="383">
        <f>IFERROR(VLOOKUP(GL$1,'Výpočet VP 2018'!$D$330:$AK$601,34,FALSE),0)</f>
        <v>1128588.9703077741</v>
      </c>
      <c r="GM11" s="383">
        <f>IFERROR(VLOOKUP(GM$1,'Výpočet VP 2018'!$D$330:$AK$601,34,FALSE),0)</f>
        <v>1357281.8934606405</v>
      </c>
      <c r="GN11" s="383">
        <f>IFERROR(VLOOKUP(GN$1,'Výpočet VP 2018'!$D$330:$AK$601,34,FALSE),0)</f>
        <v>1259310.6957931034</v>
      </c>
      <c r="GO11" s="383">
        <f>IFERROR(VLOOKUP(GO$1,'Výpočet VP 2018'!$D$330:$AK$601,34,FALSE),0)</f>
        <v>6728510.1253123619</v>
      </c>
      <c r="GP11" s="383">
        <f>IFERROR(VLOOKUP(GP$1,'Výpočet VP 2018'!$D$330:$AK$601,34,FALSE),0)</f>
        <v>1111891.8109867133</v>
      </c>
      <c r="GQ11" s="383">
        <f>IFERROR(VLOOKUP(GQ$1,'Výpočet VP 2018'!$D$330:$AK$601,34,FALSE),0)</f>
        <v>1484512.6498119666</v>
      </c>
      <c r="GR11" s="383">
        <f>IFERROR(VLOOKUP(GR$1,'Výpočet VP 2018'!$D$330:$AK$601,34,FALSE),0)</f>
        <v>1422760.6984073783</v>
      </c>
      <c r="GS11" s="383">
        <f>IFERROR(VLOOKUP(GS$1,'Výpočet VP 2018'!$D$330:$AK$601,34,FALSE),0)</f>
        <v>808648.58980851865</v>
      </c>
      <c r="GT11" s="383">
        <f>IFERROR(VLOOKUP(GT$1,'Výpočet VP 2018'!$D$330:$AK$601,34,FALSE),0)</f>
        <v>12438942.773795024</v>
      </c>
      <c r="GU11" s="383">
        <f>IFERROR(VLOOKUP(GU$1,'Výpočet VP 2018'!$D$330:$AK$601,34,FALSE),0)</f>
        <v>1874161.6701880307</v>
      </c>
      <c r="GV11" s="383">
        <f>IFERROR(VLOOKUP(GV$1,'Výpočet VP 2018'!$D$330:$AK$601,34,FALSE),0)</f>
        <v>0</v>
      </c>
      <c r="GW11" s="383">
        <f>IFERROR(VLOOKUP(GW$1,'Výpočet VP 2018'!$D$330:$AK$601,34,FALSE),0)</f>
        <v>2160376.7098154146</v>
      </c>
      <c r="GX11" s="383">
        <f>IFERROR(VLOOKUP(GX$1,'Výpočet VP 2018'!$D$330:$AK$601,34,FALSE),0)</f>
        <v>715102.34839606436</v>
      </c>
      <c r="GY11" s="383">
        <f>IFERROR(VLOOKUP(GY$1,'Výpočet VP 2018'!$D$330:$AK$601,34,FALSE),0)</f>
        <v>27177830.707781576</v>
      </c>
      <c r="GZ11" s="383">
        <f>IFERROR(VLOOKUP(GZ$1,'Výpočet VP 2018'!$D$330:$AK$601,34,FALSE),0)</f>
        <v>0</v>
      </c>
      <c r="HA11" s="383">
        <f>IFERROR(VLOOKUP(HA$1,'Výpočet VP 2018'!$D$330:$AK$601,34,FALSE),0)</f>
        <v>9224564.6293061599</v>
      </c>
      <c r="HB11" s="383">
        <f>IFERROR(VLOOKUP(HB$1,'Výpočet VP 2018'!$D$330:$AK$601,34,FALSE),0)</f>
        <v>8877994.3697692696</v>
      </c>
      <c r="HC11" s="383">
        <f>IFERROR(VLOOKUP(HC$1,'Výpočet VP 2018'!$D$330:$AK$601,34,FALSE),0)</f>
        <v>11950562.569052694</v>
      </c>
      <c r="HD11" s="383">
        <f>IFERROR(VLOOKUP(HD$1,'Výpočet VP 2018'!$D$330:$AK$601,34,FALSE),0)</f>
        <v>2969025.2996239332</v>
      </c>
      <c r="HE11" s="383">
        <f>IFERROR(VLOOKUP(HE$1,'Výpočet VP 2018'!$D$330:$AK$601,34,FALSE),0)</f>
        <v>8989030.9852751978</v>
      </c>
      <c r="HF11" s="383">
        <f>IFERROR(VLOOKUP(HF$1,'Výpočet VP 2018'!$D$330:$AK$601,34,FALSE),0)</f>
        <v>2401777.145660161</v>
      </c>
      <c r="HG11" s="383">
        <f>IFERROR(VLOOKUP(HG$1,'Výpočet VP 2018'!$D$330:$AK$601,34,FALSE),0)</f>
        <v>1393243.2102981168</v>
      </c>
      <c r="HH11" s="383">
        <f>IFERROR(VLOOKUP(HH$1,'Výpočet VP 2018'!$D$330:$AK$601,34,FALSE),0)</f>
        <v>1888836.9447162256</v>
      </c>
      <c r="HI11" s="383">
        <f>IFERROR(VLOOKUP(HI$1,'Výpočet VP 2018'!$D$330:$AK$601,34,FALSE),0)</f>
        <v>3777673.8894324512</v>
      </c>
      <c r="HJ11" s="383">
        <f>IFERROR(VLOOKUP(HJ$1,'Výpočet VP 2018'!$D$330:$AK$601,34,FALSE),0)</f>
        <v>816403.22670843487</v>
      </c>
      <c r="HK11" s="383">
        <f>IFERROR(VLOOKUP(HK$1,'Výpočet VP 2018'!$D$330:$AK$601,34,FALSE),0)</f>
        <v>1065118.6902804859</v>
      </c>
      <c r="HL11" s="383">
        <f>IFERROR(VLOOKUP(HL$1,'Výpočet VP 2018'!$D$330:$AK$601,34,FALSE),0)</f>
        <v>35906560.047242559</v>
      </c>
      <c r="HM11" s="383">
        <f>IFERROR(VLOOKUP(HM$1,'Výpočet VP 2018'!$D$330:$AK$601,34,FALSE),0)</f>
        <v>20836713.109553799</v>
      </c>
      <c r="HN11" s="383">
        <f>IFERROR(VLOOKUP(HN$1,'Výpočet VP 2018'!$D$330:$AK$601,34,FALSE),0)</f>
        <v>681417.86370468384</v>
      </c>
      <c r="HO11" s="383">
        <f>IFERROR(VLOOKUP(HO$1,'Výpočet VP 2018'!$D$330:$AK$601,34,FALSE),0)</f>
        <v>2351241.2929202928</v>
      </c>
      <c r="HP11" s="383">
        <f>IFERROR(VLOOKUP(HP$1,'Výpočet VP 2018'!$D$330:$AK$601,34,FALSE),0)</f>
        <v>27695109.016412284</v>
      </c>
      <c r="HQ11" s="383">
        <f>IFERROR(VLOOKUP(HQ$1,'Výpočet VP 2018'!$D$330:$AK$601,34,FALSE),0)</f>
        <v>892513.53926490422</v>
      </c>
      <c r="HR11" s="383">
        <f>IFERROR(VLOOKUP(HR$1,'Výpočet VP 2018'!$D$330:$AK$601,34,FALSE),0)</f>
        <v>28798371.784613065</v>
      </c>
      <c r="HS11" s="383">
        <f>IFERROR(VLOOKUP(HS$1,'Výpočet VP 2018'!$D$330:$AK$601,34,FALSE),0)</f>
        <v>5211615.6385451872</v>
      </c>
      <c r="HT11" s="383">
        <f>IFERROR(VLOOKUP(HT$1,'Výpočet VP 2018'!$D$330:$AK$601,34,FALSE),0)</f>
        <v>15420172.499446899</v>
      </c>
      <c r="HU11" s="383">
        <f>IFERROR(VLOOKUP(HU$1,'Výpočet VP 2018'!$D$330:$AK$601,34,FALSE),0)</f>
        <v>22660249.141715292</v>
      </c>
      <c r="HV11" s="383">
        <f>IFERROR(VLOOKUP(HV$1,'Výpočet VP 2018'!$D$330:$AK$601,34,FALSE),0)</f>
        <v>16942794.897047374</v>
      </c>
      <c r="HW11" s="383">
        <f>IFERROR(VLOOKUP(HW$1,'Výpočet VP 2018'!$D$330:$AK$601,34,FALSE),0)</f>
        <v>5907955.0246689552</v>
      </c>
      <c r="HX11" s="383">
        <f>IFERROR(VLOOKUP(HX$1,'Výpočet VP 2018'!$D$330:$AK$601,34,FALSE),0)</f>
        <v>17912695.400721401</v>
      </c>
      <c r="HY11" s="383">
        <f>IFERROR(VLOOKUP(HY$1,'Výpočet VP 2018'!$D$330:$AK$601,34,FALSE),0)</f>
        <v>15346956.744452871</v>
      </c>
      <c r="HZ11" s="383">
        <f>IFERROR(VLOOKUP(HZ$1,'Výpočet VP 2018'!$D$330:$AK$601,34,FALSE),0)</f>
        <v>7599953.7869180217</v>
      </c>
      <c r="IA11" s="383">
        <f>IFERROR(VLOOKUP(IA$1,'Výpočet VP 2018'!$D$330:$AK$601,34,FALSE),0)</f>
        <v>9026168.4377509337</v>
      </c>
      <c r="IB11" s="383">
        <f>IFERROR(VLOOKUP(IB$1,'Výpočet VP 2018'!$D$330:$AK$601,34,FALSE),0)</f>
        <v>5814281.5854963101</v>
      </c>
      <c r="IC11" s="383">
        <f>IFERROR(VLOOKUP(IC$1,'Výpočet VP 2018'!$D$330:$AK$601,34,FALSE),0)</f>
        <v>13540412.284037963</v>
      </c>
      <c r="ID11" s="383">
        <f>IFERROR(VLOOKUP(ID$1,'Výpočet VP 2018'!$D$330:$AK$601,34,FALSE),0)</f>
        <v>9878926.294229731</v>
      </c>
      <c r="IE11" s="383">
        <f>IFERROR(VLOOKUP(IE$1,'Výpočet VP 2018'!$D$330:$AK$601,34,FALSE),0)</f>
        <v>13460999.001149824</v>
      </c>
      <c r="IF11" s="383">
        <f>IFERROR(VLOOKUP(IF$1,'Výpočet VP 2018'!$D$330:$AK$601,34,FALSE),0)</f>
        <v>16383724.457242023</v>
      </c>
      <c r="IG11" s="383">
        <f>IFERROR(VLOOKUP(IG$1,'Výpočet VP 2018'!$D$330:$AK$601,34,FALSE),0)</f>
        <v>0</v>
      </c>
      <c r="IH11" s="383">
        <f>IFERROR(VLOOKUP(IH$1,'Výpočet VP 2018'!$D$330:$AK$601,34,FALSE),0)</f>
        <v>3570582.6606337745</v>
      </c>
      <c r="II11" s="383">
        <f>IFERROR(VLOOKUP(II$1,'Výpočet VP 2018'!$D$330:$AK$601,34,FALSE),0)</f>
        <v>15627057.02579583</v>
      </c>
      <c r="IJ11" s="383">
        <f>IFERROR(VLOOKUP(IJ$1,'Výpočet VP 2018'!$D$330:$AK$601,34,FALSE),0)</f>
        <v>858421.91001958004</v>
      </c>
      <c r="IK11" s="383">
        <f>IFERROR(VLOOKUP(IK$1,'Výpočet VP 2018'!$D$330:$AK$601,34,FALSE),0)</f>
        <v>2814958.3256906834</v>
      </c>
      <c r="IL11" s="383">
        <f>IFERROR(VLOOKUP(IL$1,'Výpočet VP 2018'!$D$330:$AK$601,34,FALSE),0)</f>
        <v>7361534.7700161897</v>
      </c>
      <c r="IM11" s="383">
        <f>IFERROR(VLOOKUP(IM$1,'Výpočet VP 2018'!$D$330:$AK$601,34,FALSE),0)</f>
        <v>473953.55398023129</v>
      </c>
      <c r="IN11" s="383">
        <f>IFERROR(VLOOKUP(IN$1,'Výpočet VP 2018'!$D$330:$AK$601,34,FALSE),0)</f>
        <v>7529254.3264304642</v>
      </c>
      <c r="IO11" s="383">
        <f>IFERROR(VLOOKUP(IO$1,'Výpočet VP 2018'!$D$330:$AK$601,34,FALSE),0)</f>
        <v>3477918.357343093</v>
      </c>
      <c r="IP11" s="383">
        <f>IFERROR(VLOOKUP(IP$1,'Výpočet VP 2018'!$D$330:$AK$601,34,FALSE),0)</f>
        <v>17840666.314485785</v>
      </c>
      <c r="IQ11" s="383">
        <f>IFERROR(VLOOKUP(IQ$1,'Výpočet VP 2018'!$D$330:$AK$601,34,FALSE),0)</f>
        <v>18014986.857664142</v>
      </c>
      <c r="IR11" s="383">
        <f>IFERROR(VLOOKUP(IR$1,'Výpočet VP 2018'!$D$330:$AK$601,34,FALSE),0)</f>
        <v>900522.41901386355</v>
      </c>
      <c r="IS11" s="383">
        <f>IFERROR(VLOOKUP(IS$1,'Výpočet VP 2018'!$D$330:$AK$601,34,FALSE),0)</f>
        <v>48085731.884111404</v>
      </c>
      <c r="IT11" s="383">
        <f>IFERROR(VLOOKUP(IT$1,'Výpočet VP 2018'!$D$330:$AK$601,34,FALSE),0)</f>
        <v>13306011.066545848</v>
      </c>
      <c r="IU11" s="383">
        <f>IFERROR(VLOOKUP(IU$1,'Výpočet VP 2018'!$D$330:$AK$601,34,FALSE),0)</f>
        <v>3051917.3054351504</v>
      </c>
      <c r="IV11" s="383">
        <f>IFERROR(VLOOKUP(IV$1,'Výpočet VP 2018'!$D$330:$AK$601,34,FALSE),0)</f>
        <v>6984653.0494687613</v>
      </c>
      <c r="IW11" s="383">
        <f>IFERROR(VLOOKUP(IW$1,'Výpočet VP 2018'!$D$330:$AK$601,34,FALSE),0)</f>
        <v>11123612.661344156</v>
      </c>
      <c r="IX11" s="383">
        <f>IFERROR(VLOOKUP(IX$1,'Výpočet VP 2018'!$D$330:$AK$601,34,FALSE),0)</f>
        <v>1817438.9168937064</v>
      </c>
      <c r="IY11" s="383">
        <f>IFERROR(VLOOKUP(IY$1,'Výpočet VP 2018'!$D$330:$AK$601,34,FALSE),0)</f>
        <v>10276125.187622359</v>
      </c>
      <c r="IZ11" s="383">
        <f>IFERROR(VLOOKUP(IZ$1,'Výpočet VP 2018'!$D$330:$AK$601,34,FALSE),0)</f>
        <v>17411344.248369318</v>
      </c>
      <c r="JA11" s="383">
        <f>IFERROR(VLOOKUP(JA$1,'Výpočet VP 2018'!$D$330:$AK$601,34,FALSE),0)</f>
        <v>2709705.9923839988</v>
      </c>
      <c r="JB11" s="383">
        <f>IFERROR(VLOOKUP(JB$1,'Výpočet VP 2018'!$D$330:$AK$601,34,FALSE),0)</f>
        <v>3396742.0780731477</v>
      </c>
      <c r="JC11" s="383">
        <f>IFERROR(VLOOKUP(JC$1,'Výpočet VP 2018'!$D$330:$AK$601,34,FALSE),0)</f>
        <v>1905970.3184766439</v>
      </c>
      <c r="JD11" s="383">
        <f>IFERROR(VLOOKUP(JD$1,'Výpočet VP 2018'!$D$330:$AK$601,34,FALSE),0)</f>
        <v>5290292.9090706585</v>
      </c>
      <c r="JE11" s="383">
        <f>IFERROR(VLOOKUP(JE$1,'Výpočet VP 2018'!$D$330:$AK$601,34,FALSE),0)</f>
        <v>3082011.2972244062</v>
      </c>
      <c r="JF11" s="383">
        <f>IFERROR(VLOOKUP(JF$1,'Výpočet VP 2018'!$D$330:$AK$601,34,FALSE),0)</f>
        <v>30771450.376357097</v>
      </c>
      <c r="JG11" s="383">
        <f>IFERROR(VLOOKUP(JG$1,'Výpočet VP 2018'!$D$330:$AK$601,34,FALSE),0)</f>
        <v>24841932.313909419</v>
      </c>
      <c r="JH11" s="383">
        <f>IFERROR(VLOOKUP(JH$1,'Výpočet VP 2018'!$D$330:$AK$601,34,FALSE),0)</f>
        <v>2521604.5873203734</v>
      </c>
      <c r="JI11" s="384">
        <f t="shared" ref="JI11:JI13" si="28">SUM(C11:JH11)</f>
        <v>1225070942.4307156</v>
      </c>
      <c r="JJ11" s="307"/>
      <c r="JK11" s="307"/>
      <c r="JL11" s="307">
        <f t="shared" si="20"/>
        <v>19972976.908810627</v>
      </c>
      <c r="JM11" s="307">
        <f t="shared" si="20"/>
        <v>375785883.39495528</v>
      </c>
      <c r="JN11" s="307">
        <f t="shared" si="20"/>
        <v>271996849.56613517</v>
      </c>
      <c r="JO11" s="307">
        <f t="shared" si="20"/>
        <v>557315232.56081438</v>
      </c>
      <c r="JP11" s="307">
        <f t="shared" si="27"/>
        <v>1225070942.4307156</v>
      </c>
    </row>
    <row r="12" spans="1:276" x14ac:dyDescent="0.25">
      <c r="B12" s="313" t="s">
        <v>1815</v>
      </c>
      <c r="C12" s="314">
        <f>IFERROR(ROUND(VLOOKUP(C$1,'Výpočet VP 2019'!$F$343:GK$622,44,FALSE),0),0)</f>
        <v>8686484</v>
      </c>
      <c r="D12" s="314">
        <f>IFERROR(ROUND(VLOOKUP(D$1,'Výpočet VP 2019'!$F$343:HL$622,44,FALSE),0),0)</f>
        <v>7092158</v>
      </c>
      <c r="E12" s="314">
        <f>IFERROR(ROUND(VLOOKUP(E$1,'Výpočet VP 2019'!$F$343:GR$622,44,FALSE),0),0)</f>
        <v>8247386</v>
      </c>
      <c r="F12" s="314">
        <f>IFERROR(ROUND(VLOOKUP(F$1,'Výpočet VP 2019'!$F$343:CN$622,44,FALSE),0),0)</f>
        <v>3768282</v>
      </c>
      <c r="G12" s="314">
        <f>IFERROR(ROUND(VLOOKUP(G$1,'Výpočet VP 2019'!$F$343:FM$622,44,FALSE),0),0)</f>
        <v>11188564</v>
      </c>
      <c r="H12" s="314">
        <f>IFERROR(ROUND(VLOOKUP(H$1,'Výpočet VP 2019'!$F$343:KE$622,44,FALSE),0),0)</f>
        <v>1214072</v>
      </c>
      <c r="I12" s="314">
        <f>IFERROR(ROUND(VLOOKUP(I$1,'Výpočet VP 2019'!$F$343:LD$622,44,FALSE),0),0)</f>
        <v>3000514</v>
      </c>
      <c r="J12" s="314">
        <f>IFERROR(ROUND(VLOOKUP(J$1,'Výpočet VP 2019'!$F$343:KR$622,44,FALSE),0),0)</f>
        <v>2857632</v>
      </c>
      <c r="K12" s="314">
        <f>IFERROR(ROUND(VLOOKUP(K$1,'Výpočet VP 2019'!$F$343:KH$622,44,FALSE),0),0)</f>
        <v>5690645</v>
      </c>
      <c r="L12" s="314">
        <f>IFERROR(ROUND(VLOOKUP(L$1,'Výpočet VP 2019'!$F$343:IM$622,44,FALSE),0),0)</f>
        <v>3871394</v>
      </c>
      <c r="M12" s="314">
        <f>IFERROR(ROUND(VLOOKUP(M$1,'Výpočet VP 2019'!$F$343:CG$622,44,FALSE),0),0)</f>
        <v>3771306</v>
      </c>
      <c r="N12" s="314">
        <f>IFERROR(ROUND(VLOOKUP(N$1,'Výpočet VP 2019'!$F$343:FH$622,44,FALSE),0),0)</f>
        <v>4773373</v>
      </c>
      <c r="O12" s="314">
        <f>IFERROR(ROUND(VLOOKUP(O$1,'Výpočet VP 2019'!$F$343:BO$622,44,FALSE),0),0)</f>
        <v>4322362</v>
      </c>
      <c r="P12" s="314">
        <f>IFERROR(ROUND(VLOOKUP(P$1,'Výpočet VP 2019'!$F$343:KA$622,44,FALSE),0),0)</f>
        <v>2876113</v>
      </c>
      <c r="Q12" s="314">
        <f>IFERROR(ROUND(VLOOKUP(Q$1,'Výpočet VP 2019'!$F$343:BW$622,44,FALSE),0),0)</f>
        <v>1922632</v>
      </c>
      <c r="R12" s="314">
        <f>IFERROR(ROUND(VLOOKUP(R$1,'Výpočet VP 2019'!$F$343:BF$622,44,FALSE),0),0)</f>
        <v>2349884</v>
      </c>
      <c r="S12" s="314">
        <f>IFERROR(ROUND(VLOOKUP(S$1,'Výpočet VP 2019'!$F$343:BK$622,44,FALSE),0),0)</f>
        <v>1637798</v>
      </c>
      <c r="T12" s="314">
        <f>IFERROR(ROUND(VLOOKUP(T$1,'Výpočet VP 2019'!$F$343:BM$622,44,FALSE),0),0)</f>
        <v>712086</v>
      </c>
      <c r="U12" s="314">
        <f>IFERROR(ROUND(VLOOKUP(U$1,'Výpočet VP 2019'!$F$343:CC$622,44,FALSE),0),0)</f>
        <v>1068129</v>
      </c>
      <c r="V12" s="314">
        <f>IFERROR(ROUND(VLOOKUP(V$1,'Výpočet VP 2019'!$F$343:EH$622,44,FALSE),0),0)</f>
        <v>14450695</v>
      </c>
      <c r="W12" s="314">
        <f>IFERROR(ROUND(VLOOKUP(W$1,'Výpočet VP 2019'!$F$343:FS$622,44,FALSE),0),0)</f>
        <v>3929260</v>
      </c>
      <c r="X12" s="314">
        <f>IFERROR(ROUND(VLOOKUP(X$1,'Výpočet VP 2019'!$F$343:FK$622,44,FALSE),0),0)</f>
        <v>1458142</v>
      </c>
      <c r="Y12" s="314">
        <f>IFERROR(ROUND(VLOOKUP(Y$1,'Výpočet VP 2019'!$F$343:FB$622,44,FALSE),0),0)</f>
        <v>1954670</v>
      </c>
      <c r="Z12" s="314">
        <f>IFERROR(ROUND(VLOOKUP(Z$1,'Výpočet VP 2019'!$F$343:GH$622,44,FALSE),0),0)</f>
        <v>9128186</v>
      </c>
      <c r="AA12" s="314">
        <f>IFERROR(ROUND(VLOOKUP(AA$1,'Výpočet VP 2019'!$F$343:JX$622,44,FALSE),0),0)</f>
        <v>4131849</v>
      </c>
      <c r="AB12" s="314">
        <f>IFERROR(ROUND(VLOOKUP(AB$1,'Výpočet VP 2019'!$F$343:CF$622,44,FALSE),0),0)</f>
        <v>2555860</v>
      </c>
      <c r="AC12" s="314">
        <f>IFERROR(ROUND(VLOOKUP(AC$1,'Výpočet VP 2019'!$F$343:CG$622,44,FALSE),0),0)</f>
        <v>1375174</v>
      </c>
      <c r="AD12" s="314">
        <f>IFERROR(ROUND(VLOOKUP(AD$1,'Výpočet VP 2019'!$F$343:IN$622,44,FALSE),0),0)</f>
        <v>1556974</v>
      </c>
      <c r="AE12" s="314">
        <f>IFERROR(ROUND(VLOOKUP(AE$1,'Výpočet VP 2019'!$F$343:JV$622,44,FALSE),0),0)</f>
        <v>1170691</v>
      </c>
      <c r="AF12" s="314">
        <f>IFERROR(ROUND(VLOOKUP(AF$1,'Výpočet VP 2019'!$F$343:KZ$622,44,FALSE),0),0)</f>
        <v>2600445</v>
      </c>
      <c r="AG12" s="314">
        <f>IFERROR(ROUND(VLOOKUP(AG$1,'Výpočet VP 2019'!$F$343:CR$622,44,FALSE),0),0)</f>
        <v>3326859</v>
      </c>
      <c r="AH12" s="314">
        <f>IFERROR(ROUND(VLOOKUP(AH$1,'Výpočet VP 2019'!$F$343:FI$622,44,FALSE),0),0)</f>
        <v>1265349</v>
      </c>
      <c r="AI12" s="314">
        <f>IFERROR(ROUND(VLOOKUP(AI$1,'Výpočet VP 2019'!$F$343:HG$622,44,FALSE),0),0)</f>
        <v>5203307</v>
      </c>
      <c r="AJ12" s="314">
        <f>IFERROR(ROUND(VLOOKUP(AJ$1,'Výpočet VP 2019'!$F$343:HX$622,44,FALSE),0),0)</f>
        <v>4087284</v>
      </c>
      <c r="AK12" s="314">
        <f>IFERROR(ROUND(VLOOKUP(AK$1,'Výpočet VP 2019'!$F$343:BI$622,44,FALSE),0),0)</f>
        <v>1495381</v>
      </c>
      <c r="AL12" s="314">
        <f>IFERROR(ROUND(VLOOKUP(AL$1,'Výpočet VP 2019'!$F$343:JW$622,44,FALSE),0),0)</f>
        <v>2065925</v>
      </c>
      <c r="AM12" s="314">
        <f>IFERROR(ROUND(VLOOKUP(AM$1,'Výpočet VP 2019'!$F$343:BC$622,44,FALSE),0),0)</f>
        <v>1495381</v>
      </c>
      <c r="AN12" s="314">
        <f>IFERROR(ROUND(VLOOKUP(AN$1,'Výpočet VP 2019'!$F$343:BA$622,44,FALSE),0),0)</f>
        <v>954195</v>
      </c>
      <c r="AO12" s="314">
        <f>IFERROR(ROUND(VLOOKUP(AO$1,'Výpočet VP 2019'!$F$343:ET$622,44,FALSE),0),0)</f>
        <v>5942790</v>
      </c>
      <c r="AP12" s="314">
        <f>IFERROR(ROUND(VLOOKUP(AP$1,'Výpočet VP 2019'!$F$343:CQ$622,44,FALSE),0),0)</f>
        <v>2259759</v>
      </c>
      <c r="AQ12" s="314">
        <f>IFERROR(ROUND(VLOOKUP(AQ$1,'Výpočet VP 2019'!$F$343:BS$622,44,FALSE),0),0)</f>
        <v>284834</v>
      </c>
      <c r="AR12" s="314">
        <f>IFERROR(ROUND(VLOOKUP(AR$1,'Výpočet VP 2019'!$F$343:BT$622,44,FALSE),0),0)</f>
        <v>1602194</v>
      </c>
      <c r="AS12" s="314">
        <f>IFERROR(ROUND(VLOOKUP(AS$1,'Výpočet VP 2019'!$F$343:CA$622,44,FALSE),0),0)</f>
        <v>427252</v>
      </c>
      <c r="AT12" s="314">
        <f>IFERROR(ROUND(VLOOKUP(AT$1,'Výpočet VP 2019'!$F$343:CH$622,44,FALSE),0),0)</f>
        <v>1997925</v>
      </c>
      <c r="AU12" s="314">
        <f>IFERROR(ROUND(VLOOKUP(AU$1,'Výpočet VP 2019'!$F$343:JI$622,44,FALSE),0),0)</f>
        <v>1008279</v>
      </c>
      <c r="AV12" s="314">
        <f>IFERROR(ROUND(VLOOKUP(AV$1,'Výpočet VP 2019'!$F$343:JR$622,44,FALSE),0),0)</f>
        <v>2031493</v>
      </c>
      <c r="AW12" s="314">
        <f>IFERROR(ROUND(VLOOKUP(AW$1,'Výpočet VP 2019'!$F$343:KF$622,44,FALSE),0),0)</f>
        <v>3372422</v>
      </c>
      <c r="AX12" s="314">
        <f>IFERROR(ROUND(VLOOKUP(AX$1,'Výpočet VP 2019'!$F$343:EQ$622,44,FALSE),0),0)</f>
        <v>2667366</v>
      </c>
      <c r="AY12" s="314">
        <f>IFERROR(ROUND(VLOOKUP(AY$1,'Výpočet VP 2019'!$F$343:FJ$622,44,FALSE),0),0)</f>
        <v>3041130</v>
      </c>
      <c r="AZ12" s="314">
        <f>IFERROR(ROUND(VLOOKUP(AZ$1,'Výpočet VP 2019'!$F$343:FX$622,44,FALSE),0),0)</f>
        <v>3680604</v>
      </c>
      <c r="BA12" s="314">
        <f>IFERROR(ROUND(VLOOKUP(BA$1,'Výpočet VP 2019'!$F$343:CP$622,44,FALSE),0),0)</f>
        <v>10677777</v>
      </c>
      <c r="BB12" s="314">
        <f>IFERROR(ROUND(VLOOKUP(BB$1,'Výpočet VP 2019'!$F$343:CB$622,44,FALSE),0),0)</f>
        <v>1352964</v>
      </c>
      <c r="BC12" s="314">
        <f>IFERROR(ROUND(VLOOKUP(BC$1,'Výpočet VP 2019'!$F$343:IO$622,44,FALSE),0),0)</f>
        <v>1304944</v>
      </c>
      <c r="BD12" s="314">
        <f>IFERROR(ROUND(VLOOKUP(BD$1,'Výpočet VP 2019'!$F$343:BU$622,44,FALSE),0),0)</f>
        <v>1317359</v>
      </c>
      <c r="BE12" s="314">
        <f>IFERROR(ROUND(VLOOKUP(BE$1,'Výpočet VP 2019'!$F$343:KS$622,44,FALSE),0),0)</f>
        <v>1035892</v>
      </c>
      <c r="BF12" s="314">
        <f>IFERROR(ROUND(VLOOKUP(BF$1,'Výpočet VP 2019'!$F$343:AZ$622,44,FALSE),0),0)</f>
        <v>2919553</v>
      </c>
      <c r="BG12" s="314">
        <f>IFERROR(ROUND(VLOOKUP(BG$1,'Výpočet VP 2019'!$F$343:IX$622,44,FALSE),0),0)</f>
        <v>3869699</v>
      </c>
      <c r="BH12" s="314">
        <f>IFERROR(ROUND(VLOOKUP(BH$1,'Výpočet VP 2019'!$F$343:KG$622,44,FALSE),0),0)</f>
        <v>3635690</v>
      </c>
      <c r="BI12" s="314">
        <f>IFERROR(ROUND(VLOOKUP(BI$1,'Výpočet VP 2019'!$F$343:IK$622,44,FALSE),0),0)</f>
        <v>2934864</v>
      </c>
      <c r="BJ12" s="314">
        <f>IFERROR(ROUND(VLOOKUP(BJ$1,'Výpočet VP 2019'!$F$343:DB$622,44,FALSE),0),0)</f>
        <v>2689238</v>
      </c>
      <c r="BK12" s="314">
        <f>IFERROR(ROUND(VLOOKUP(BK$1,'Výpočet VP 2019'!$F$343:KI$622,44,FALSE),0),0)</f>
        <v>1071612</v>
      </c>
      <c r="BL12" s="314">
        <f>IFERROR(ROUND(VLOOKUP(BL$1,'Výpočet VP 2019'!$F$343:CL$622,44,FALSE),0),0)</f>
        <v>0</v>
      </c>
      <c r="BM12" s="314">
        <f>IFERROR(ROUND(VLOOKUP(BM$1,'Výpočet VP 2019'!$F$343:KK$622,44,FALSE),0),0)</f>
        <v>2286106</v>
      </c>
      <c r="BN12" s="314">
        <f>IFERROR(ROUND(VLOOKUP(BN$1,'Výpočet VP 2019'!$F$343:BH$622,44,FALSE),0),0)</f>
        <v>1865665</v>
      </c>
      <c r="BO12" s="314">
        <f>IFERROR(ROUND(VLOOKUP(BO$1,'Výpočet VP 2019'!$F$343:IZ$622,44,FALSE),0),0)</f>
        <v>1069363</v>
      </c>
      <c r="BP12" s="314">
        <f>IFERROR(ROUND(VLOOKUP(BP$1,'Výpočet VP 2019'!$F$343:FR$622,44,FALSE),0),0)</f>
        <v>4767114</v>
      </c>
      <c r="BQ12" s="314">
        <f>IFERROR(ROUND(VLOOKUP(BQ$1,'Výpočet VP 2019'!$F$343:KX$622,44,FALSE),0),0)</f>
        <v>821569</v>
      </c>
      <c r="BR12" s="314">
        <f>IFERROR(ROUND(VLOOKUP(BR$1,'Výpočet VP 2019'!$F$343:BE$622,44,FALSE),0),0)</f>
        <v>961316</v>
      </c>
      <c r="BS12" s="314">
        <f>IFERROR(ROUND(VLOOKUP(BS$1,'Výpočet VP 2019'!$F$343:BX$622,44,FALSE),0),0)</f>
        <v>1281755</v>
      </c>
      <c r="BT12" s="314">
        <f>IFERROR(ROUND(VLOOKUP(BT$1,'Výpočet VP 2019'!$F$343:BY$622,44,FALSE),0),0)</f>
        <v>1068129</v>
      </c>
      <c r="BU12" s="314">
        <f>IFERROR(ROUND(VLOOKUP(BU$1,'Výpočet VP 2019'!$F$343:EA$622,44,FALSE),0),0)</f>
        <v>4213014</v>
      </c>
      <c r="BV12" s="314">
        <f>IFERROR(ROUND(VLOOKUP(BV$1,'Výpočet VP 2019'!$F$343:EU$622,44,FALSE),0),0)</f>
        <v>1080330</v>
      </c>
      <c r="BW12" s="314">
        <f>IFERROR(ROUND(VLOOKUP(BW$1,'Výpočet VP 2019'!$F$343:BN$622,44,FALSE),0),0)</f>
        <v>284834</v>
      </c>
      <c r="BX12" s="314">
        <f>IFERROR(ROUND(VLOOKUP(BX$1,'Výpočet VP 2019'!$F$343:DA$622,44,FALSE),0),0)</f>
        <v>4793174</v>
      </c>
      <c r="BY12" s="314">
        <f>IFERROR(ROUND(VLOOKUP(BY$1,'Výpočet VP 2019'!$F$343:DY$622,44,FALSE),0),0)</f>
        <v>1960529</v>
      </c>
      <c r="BZ12" s="314">
        <f>IFERROR(ROUND(VLOOKUP(BZ$1,'Výpočet VP 2019'!$F$343:EL$622,44,FALSE),0),0)</f>
        <v>237476</v>
      </c>
      <c r="CA12" s="314">
        <f>IFERROR(ROUND(VLOOKUP(CA$1,'Výpočet VP 2019'!$F$343:FW$622,44,FALSE),0),0)</f>
        <v>0</v>
      </c>
      <c r="CB12" s="314">
        <f>IFERROR(ROUND(VLOOKUP(CB$1,'Výpočet VP 2019'!$F$343:IG$622,44,FALSE),0),0)</f>
        <v>199715</v>
      </c>
      <c r="CC12" s="314">
        <f>IFERROR(ROUND(VLOOKUP(CC$1,'Výpočet VP 2019'!$F$343:BD$622,44,FALSE),0),0)</f>
        <v>2314280</v>
      </c>
      <c r="CD12" s="314">
        <f>IFERROR(ROUND(VLOOKUP(CD$1,'Výpočet VP 2019'!$F$343:BL$622,44,FALSE),0),0)</f>
        <v>712086</v>
      </c>
      <c r="CE12" s="314">
        <f>IFERROR(ROUND(VLOOKUP(CE$1,'Výpočet VP 2019'!$F$343:DO$622,44,FALSE),0),0)</f>
        <v>13350856</v>
      </c>
      <c r="CF12" s="314">
        <f>IFERROR(ROUND(VLOOKUP(CF$1,'Výpočet VP 2019'!$F$343:IL$622,44,FALSE),0),0)</f>
        <v>4628841</v>
      </c>
      <c r="CG12" s="314">
        <f>IFERROR(ROUND(VLOOKUP(CG$1,'Výpočet VP 2019'!$F$343:IQ$622,44,FALSE),0),0)</f>
        <v>10117769</v>
      </c>
      <c r="CH12" s="314">
        <f>IFERROR(ROUND(VLOOKUP(CH$1,'Výpočet VP 2019'!$F$343:IS$622,44,FALSE),0),0)</f>
        <v>4326608</v>
      </c>
      <c r="CI12" s="314">
        <f>IFERROR(ROUND(VLOOKUP(CI$1,'Výpočet VP 2019'!$F$343:JA$622,44,FALSE),0),0)</f>
        <v>3370626</v>
      </c>
      <c r="CJ12" s="314">
        <f>IFERROR(ROUND(VLOOKUP(CJ$1,'Výpočet VP 2019'!$F$343:JB$622,44,FALSE),0),0)</f>
        <v>4472781</v>
      </c>
      <c r="CK12" s="314">
        <f>IFERROR(ROUND(VLOOKUP(CK$1,'Výpočet VP 2019'!$F$343:JM$622,44,FALSE),0),0)</f>
        <v>5111244</v>
      </c>
      <c r="CL12" s="314">
        <f>IFERROR(ROUND(VLOOKUP(CL$1,'Výpočet VP 2019'!$F$343:KJ$622,44,FALSE),0),0)</f>
        <v>2807623</v>
      </c>
      <c r="CM12" s="314">
        <f>IFERROR(ROUND(VLOOKUP(CM$1,'Výpočet VP 2019'!$F$343:EE$622,44,FALSE),0),0)</f>
        <v>6584339</v>
      </c>
      <c r="CN12" s="314">
        <f>IFERROR(ROUND(VLOOKUP(CN$1,'Výpočet VP 2019'!$F$343:JC$622,44,FALSE),0),0)</f>
        <v>1260349</v>
      </c>
      <c r="CO12" s="314">
        <f>IFERROR(ROUND(VLOOKUP(CO$1,'Výpočet VP 2019'!$F$343:JE$622,44,FALSE),0),0)</f>
        <v>1260349</v>
      </c>
      <c r="CP12" s="314">
        <f>IFERROR(ROUND(VLOOKUP(CP$1,'Výpočet VP 2019'!$F$343:JG$622,44,FALSE),0),0)</f>
        <v>1260349</v>
      </c>
      <c r="CQ12" s="314">
        <f>IFERROR(ROUND(VLOOKUP(CQ$1,'Výpočet VP 2019'!$F$343:JP$622,44,FALSE),0),0)</f>
        <v>5991182</v>
      </c>
      <c r="CR12" s="314">
        <f>IFERROR(ROUND(VLOOKUP(CR$1,'Výpočet VP 2019'!$F$343:DP$622,44,FALSE),0),0)</f>
        <v>2346594</v>
      </c>
      <c r="CS12" s="314">
        <f>IFERROR(ROUND(VLOOKUP(CS$1,'Výpočet VP 2019'!$F$343:IV$622,44,FALSE),0),0)</f>
        <v>4070409</v>
      </c>
      <c r="CT12" s="314">
        <f>IFERROR(ROUND(VLOOKUP(CT$1,'Výpočet VP 2019'!$F$343:IW$622,44,FALSE),0),0)</f>
        <v>4584107</v>
      </c>
      <c r="CU12" s="314">
        <f>IFERROR(ROUND(VLOOKUP(CU$1,'Výpočet VP 2019'!$F$343:CU$622,44,FALSE),0),0)</f>
        <v>1960529</v>
      </c>
      <c r="CV12" s="314">
        <f>IFERROR(ROUND(VLOOKUP(CV$1,'Výpočet VP 2019'!$F$343:HC$622,44,FALSE),0),0)</f>
        <v>5236420</v>
      </c>
      <c r="CW12" s="314">
        <f>IFERROR(ROUND(VLOOKUP(CW$1,'Výpočet VP 2019'!$F$343:BR$622,44,FALSE),0),0)</f>
        <v>427252</v>
      </c>
      <c r="CX12" s="314">
        <f>IFERROR(ROUND(VLOOKUP(CX$1,'Výpočet VP 2019'!$F$343:CO$622,44,FALSE),0),0)</f>
        <v>4589164</v>
      </c>
      <c r="CY12" s="314">
        <f>IFERROR(ROUND(VLOOKUP(CY$1,'Výpočet VP 2019'!$F$343:DE$622,44,FALSE),0),0)</f>
        <v>2988133</v>
      </c>
      <c r="CZ12" s="314">
        <f>IFERROR(ROUND(VLOOKUP(CZ$1,'Výpočet VP 2019'!$F$343:JQ$622,44,FALSE),0),0)</f>
        <v>1205123</v>
      </c>
      <c r="DA12" s="314">
        <f>IFERROR(ROUND(VLOOKUP(DA$1,'Výpočet VP 2019'!$F$343:IJ$622,44,FALSE),0),0)</f>
        <v>8122479</v>
      </c>
      <c r="DB12" s="314">
        <f>IFERROR(ROUND(VLOOKUP(DB$1,'Výpočet VP 2019'!$F$343:BP$622,44,FALSE),0),0)</f>
        <v>818899</v>
      </c>
      <c r="DC12" s="314">
        <f>IFERROR(ROUND(VLOOKUP(DC$1,'Výpočet VP 2019'!$F$343:JJ$622,44,FALSE),0),0)</f>
        <v>1575436</v>
      </c>
      <c r="DD12" s="314">
        <f>IFERROR(ROUND(VLOOKUP(DD$1,'Výpočet VP 2019'!$F$343:KN$622,44,FALSE),0),0)</f>
        <v>3929244</v>
      </c>
      <c r="DE12" s="314">
        <f>IFERROR(ROUND(VLOOKUP(DE$1,'Výpočet VP 2019'!$F$343:KV$622,44,FALSE),0),0)</f>
        <v>7501284</v>
      </c>
      <c r="DF12" s="314">
        <f>IFERROR(ROUND(VLOOKUP(DF$1,'Výpočet VP 2019'!$F$343:LB$622,44,FALSE),0),0)</f>
        <v>7501284</v>
      </c>
      <c r="DG12" s="314">
        <f>IFERROR(ROUND(VLOOKUP(DG$1,'Výpočet VP 2019'!$F$343:CD$622,44,FALSE),0),0)</f>
        <v>818899</v>
      </c>
      <c r="DH12" s="314">
        <f>IFERROR(ROUND(VLOOKUP(DH$1,'Výpočet VP 2019'!$F$343:EO$622,44,FALSE),0),0)</f>
        <v>2419262</v>
      </c>
      <c r="DI12" s="314">
        <f>IFERROR(ROUND(VLOOKUP(DI$1,'Výpočet VP 2019'!$F$343:KB$622,44,FALSE),0),0)</f>
        <v>1092665</v>
      </c>
      <c r="DJ12" s="314">
        <f>IFERROR(ROUND(VLOOKUP(DJ$1,'Výpočet VP 2019'!$F$343:KU$622,44,FALSE),0),0)</f>
        <v>2143224</v>
      </c>
      <c r="DK12" s="314">
        <f>IFERROR(ROUND(VLOOKUP(DK$1,'Výpočet VP 2019'!$F$343:LA$622,44,FALSE),0),0)</f>
        <v>964451</v>
      </c>
      <c r="DL12" s="314">
        <f>IFERROR(ROUND(VLOOKUP(DL$1,'Výpočet VP 2019'!$F$343:CZ$622,44,FALSE),0),0)</f>
        <v>4237745</v>
      </c>
      <c r="DM12" s="314">
        <f>IFERROR(ROUND(VLOOKUP(DM$1,'Výpočet VP 2019'!$F$343:CM$622,44,FALSE),0),0)</f>
        <v>2290802</v>
      </c>
      <c r="DN12" s="314">
        <f>IFERROR(ROUND(VLOOKUP(DN$1,'Výpočet VP 2019'!$F$343:JD$622,44,FALSE),0),0)</f>
        <v>3150873</v>
      </c>
      <c r="DO12" s="314">
        <f>IFERROR(ROUND(VLOOKUP(DO$1,'Výpočet VP 2019'!$F$343:KQ$622,44,FALSE),0),0)</f>
        <v>1428816</v>
      </c>
      <c r="DP12" s="314">
        <f>IFERROR(ROUND(VLOOKUP(DP$1,'Výpočet VP 2019'!$F$343:JK$622,44,FALSE),0),0)</f>
        <v>4096134</v>
      </c>
      <c r="DQ12" s="314">
        <f>IFERROR(ROUND(VLOOKUP(DQ$1,'Výpočet VP 2019'!$F$343:JS$622,44,FALSE),0),0)</f>
        <v>4510602</v>
      </c>
      <c r="DR12" s="314">
        <f>IFERROR(ROUND(VLOOKUP(DR$1,'Výpočet VP 2019'!$F$343:JY$622,44,FALSE),0),0)</f>
        <v>4338442</v>
      </c>
      <c r="DS12" s="314">
        <f>IFERROR(ROUND(VLOOKUP(DS$1,'Výpočet VP 2019'!$F$343:FQ$622,44,FALSE),0),0)</f>
        <v>2359549</v>
      </c>
      <c r="DT12" s="314">
        <f>IFERROR(ROUND(VLOOKUP(DT$1,'Výpočet VP 2019'!$F$343:IH$622,44,FALSE),0),0)</f>
        <v>4184050</v>
      </c>
      <c r="DU12" s="314">
        <f>IFERROR(ROUND(VLOOKUP(DU$1,'Výpočet VP 2019'!$F$343:EP$622,44,FALSE),0),0)</f>
        <v>2422127</v>
      </c>
      <c r="DV12" s="314">
        <f>IFERROR(ROUND(VLOOKUP(DV$1,'Výpočet VP 2019'!$F$343:IE$622,44,FALSE),0),0)</f>
        <v>7327058</v>
      </c>
      <c r="DW12" s="314">
        <f>IFERROR(ROUND(VLOOKUP(DW$1,'Výpočet VP 2019'!$F$343:KD$622,44,FALSE),0),0)</f>
        <v>1348969</v>
      </c>
      <c r="DX12" s="314">
        <f>IFERROR(ROUND(VLOOKUP(DX$1,'Výpočet VP 2019'!$F$343:KL$622,44,FALSE),0),0)</f>
        <v>4286448</v>
      </c>
      <c r="DY12" s="314">
        <f>IFERROR(ROUND(VLOOKUP(DY$1,'Výpočet VP 2019'!$F$343:CE$622,44,FALSE),0),0)</f>
        <v>4475580</v>
      </c>
      <c r="DZ12" s="314">
        <f>IFERROR(ROUND(VLOOKUP(DZ$1,'Výpočet VP 2019'!$F$343:DH$622,44,FALSE),0),0)</f>
        <v>728922</v>
      </c>
      <c r="EA12" s="314">
        <f>IFERROR(ROUND(VLOOKUP(EA$1,'Výpočet VP 2019'!$F$343:CJ$622,44,FALSE),0),0)</f>
        <v>5195957</v>
      </c>
      <c r="EB12" s="314">
        <f>IFERROR(ROUND(VLOOKUP(EB$1,'Výpočet VP 2019'!$F$343:CK$622,44,FALSE),0),0)</f>
        <v>5656959</v>
      </c>
      <c r="EC12" s="314">
        <f>IFERROR(ROUND(VLOOKUP(EC$1,'Výpočet VP 2019'!$F$343:ER$622,44,FALSE),0),0)</f>
        <v>3124824</v>
      </c>
      <c r="ED12" s="314">
        <f>IFERROR(ROUND(VLOOKUP(ED$1,'Výpočet VP 2019'!$F$343:FT$622,44,FALSE),0),0)</f>
        <v>3703959</v>
      </c>
      <c r="EE12" s="314">
        <f>IFERROR(ROUND(VLOOKUP(EE$1,'Výpočet VP 2019'!$F$343:BB$622,44,FALSE),0),0)</f>
        <v>818899</v>
      </c>
      <c r="EF12" s="314">
        <f>IFERROR(ROUND(VLOOKUP(EF$1,'Výpočet VP 2019'!$F$343:BJ$622,44,FALSE),0),0)</f>
        <v>890108</v>
      </c>
      <c r="EG12" s="314">
        <f>IFERROR(ROUND(VLOOKUP(EG$1,'Výpočet VP 2019'!$F$343:BQ$622,44,FALSE),0),0)</f>
        <v>427252</v>
      </c>
      <c r="EH12" s="314">
        <f>IFERROR(ROUND(VLOOKUP(EH$1,'Výpočet VP 2019'!$F$343:EN$622,44,FALSE),0),0)</f>
        <v>763639</v>
      </c>
      <c r="EI12" s="314">
        <f>IFERROR(ROUND(VLOOKUP(EI$1,'Výpočet VP 2019'!$F$343:JZ$622,44,FALSE),0),0)</f>
        <v>1258299</v>
      </c>
      <c r="EJ12" s="314">
        <f>IFERROR(ROUND(VLOOKUP(EJ$1,'Výpočet VP 2019'!$F$343:KP$622,44,FALSE),0),0)</f>
        <v>1143053</v>
      </c>
      <c r="EK12" s="314">
        <f>IFERROR(ROUND(VLOOKUP(EK$1,'Výpočet VP 2019'!$F$343:CI$622,44,FALSE),0),0)</f>
        <v>3530214</v>
      </c>
      <c r="EL12" s="314">
        <f>IFERROR(ROUND(VLOOKUP(EL$1,'Výpočet VP 2019'!$F$343:FU$622,44,FALSE),0),0)</f>
        <v>11254676</v>
      </c>
      <c r="EM12" s="314">
        <f>IFERROR(ROUND(VLOOKUP(EM$1,'Výpočet VP 2019'!$F$343:IC$622,44,FALSE),0),0)</f>
        <v>3221846</v>
      </c>
      <c r="EN12" s="314">
        <f>IFERROR(ROUND(VLOOKUP(EN$1,'Výpočet VP 2019'!$F$343:JU$622,44,FALSE),0),0)</f>
        <v>2410246</v>
      </c>
      <c r="EO12" s="314">
        <f>IFERROR(ROUND(VLOOKUP(EO$1,'Výpočet VP 2019'!$F$343:BZ$622,44,FALSE),0),0)</f>
        <v>284834</v>
      </c>
      <c r="EP12" s="314">
        <f>IFERROR(ROUND(VLOOKUP(EP$1,'Výpočet VP 2019'!$F$343:FO$622,44,FALSE),0),0)</f>
        <v>2351691</v>
      </c>
      <c r="EQ12" s="314">
        <f>IFERROR(ROUND(VLOOKUP(EQ$1,'Výpočet VP 2019'!$F$343:KW$622,44,FALSE),0),0)</f>
        <v>1786020</v>
      </c>
      <c r="ER12" s="314">
        <f>IFERROR(ROUND(VLOOKUP(ER$1,'Výpočet VP 2019'!$F$343:CY$622,44,FALSE),0),0)</f>
        <v>11821938</v>
      </c>
      <c r="ES12" s="314">
        <f>IFERROR(ROUND(VLOOKUP(ES$1,'Výpočet VP 2019'!$F$343:EM$622,44,FALSE),0),0)</f>
        <v>3957291</v>
      </c>
      <c r="ET12" s="314">
        <f>IFERROR(ROUND(VLOOKUP(ET$1,'Výpočet VP 2019'!$F$343:EZ$622,44,FALSE),0),0)</f>
        <v>952616</v>
      </c>
      <c r="EU12" s="314">
        <f>IFERROR(ROUND(VLOOKUP(EU$1,'Výpočet VP 2019'!$F$343:FY$622,44,FALSE),0),0)</f>
        <v>2718427</v>
      </c>
      <c r="EV12" s="314">
        <f>IFERROR(ROUND(VLOOKUP(EV$1,'Výpočet VP 2019'!$F$343:BG$622,44,FALSE),0),0)</f>
        <v>498460</v>
      </c>
      <c r="EW12" s="314">
        <f>IFERROR(ROUND(VLOOKUP(EW$1,'Výpočet VP 2019'!$F$343:DF$622,44,FALSE),0),0)</f>
        <v>4237745</v>
      </c>
      <c r="EX12" s="314">
        <f>IFERROR(ROUND(VLOOKUP(EX$1,'Výpočet VP 2019'!$F$343:HH$622,44,FALSE),0),0)</f>
        <v>10592591</v>
      </c>
      <c r="EY12" s="314">
        <f>IFERROR(ROUND(VLOOKUP(EY$1,'Výpočet VP 2019'!$F$343:JT$622,44,FALSE),0),0)</f>
        <v>3098887</v>
      </c>
      <c r="EZ12" s="314">
        <f>IFERROR(ROUND(VLOOKUP(EZ$1,'Výpočet VP 2019'!$F$343:DQ$622,44,FALSE),0),0)</f>
        <v>1118856</v>
      </c>
      <c r="FA12" s="314">
        <f>IFERROR(ROUND(VLOOKUP(FA$1,'Výpočet VP 2019'!$F$343:CW$622,44,FALSE),0),0)</f>
        <v>2507061</v>
      </c>
      <c r="FB12" s="314">
        <f>IFERROR(ROUND(VLOOKUP(FB$1,'Výpočet VP 2019'!$F$343:ED$622,44,FALSE),0),0)</f>
        <v>251490</v>
      </c>
      <c r="FC12" s="314">
        <f>IFERROR(ROUND(VLOOKUP(FC$1,'Výpočet VP 2019'!$F$343:EI$622,44,FALSE),0),0)</f>
        <v>6891233</v>
      </c>
      <c r="FD12" s="314">
        <f>IFERROR(ROUND(VLOOKUP(FD$1,'Výpočet VP 2019'!$F$343:IR$622,44,FALSE),0),0)</f>
        <v>1588115</v>
      </c>
      <c r="FE12" s="314">
        <f>IFERROR(ROUND(VLOOKUP(FE$1,'Výpočet VP 2019'!$F$343:JL$622,44,FALSE),0),0)</f>
        <v>711522</v>
      </c>
      <c r="FF12" s="314">
        <f>IFERROR(ROUND(VLOOKUP(FF$1,'Výpočet VP 2019'!$F$343:DJ$622,44,FALSE),0),0)</f>
        <v>3029759</v>
      </c>
      <c r="FG12" s="314">
        <f>IFERROR(ROUND(VLOOKUP(FG$1,'Výpočet VP 2019'!$F$343:HA$622,44,FALSE),0),0)</f>
        <v>9567793</v>
      </c>
      <c r="FH12" s="314">
        <f>IFERROR(ROUND(VLOOKUP(FH$1,'Výpočet VP 2019'!$F$343:HP$622,44,FALSE),0),0)</f>
        <v>11310649</v>
      </c>
      <c r="FI12" s="314">
        <f>IFERROR(ROUND(VLOOKUP(FI$1,'Výpočet VP 2019'!$F$343:HJ$622,44,FALSE),0),0)</f>
        <v>11259427</v>
      </c>
      <c r="FJ12" s="314">
        <f>IFERROR(ROUND(VLOOKUP(FJ$1,'Výpočet VP 2019'!$F$343:DR$622,44,FALSE),0),0)</f>
        <v>3782302</v>
      </c>
      <c r="FK12" s="314">
        <f>IFERROR(ROUND(VLOOKUP(FK$1,'Výpočet VP 2019'!$F$343:DM$622,44,FALSE),0),0)</f>
        <v>910887</v>
      </c>
      <c r="FL12" s="314">
        <f>IFERROR(ROUND(VLOOKUP(FL$1,'Výpočet VP 2019'!$F$343:FC$622,44,FALSE),0),0)</f>
        <v>1144857</v>
      </c>
      <c r="FM12" s="314">
        <f>IFERROR(ROUND(VLOOKUP(FM$1,'Výpočet VP 2019'!$F$343:DS$622,44,FALSE),0),0)</f>
        <v>5445731</v>
      </c>
      <c r="FN12" s="314">
        <f>IFERROR(ROUND(VLOOKUP(FN$1,'Výpočet VP 2019'!$F$343:CT$622,44,FALSE),0),0)</f>
        <v>7534910</v>
      </c>
      <c r="FO12" s="314">
        <f>IFERROR(ROUND(VLOOKUP(FO$1,'Výpočet VP 2019'!$F$343:FV$622,44,FALSE),0),0)</f>
        <v>2992445</v>
      </c>
      <c r="FP12" s="314">
        <f>IFERROR(ROUND(VLOOKUP(FP$1,'Výpočet VP 2019'!$F$343:GV$622,44,FALSE),0),0)</f>
        <v>18363842</v>
      </c>
      <c r="FQ12" s="314">
        <f>IFERROR(ROUND(VLOOKUP(FQ$1,'Výpočet VP 2019'!$F$343:ID$622,44,FALSE),0),0)</f>
        <v>2280171</v>
      </c>
      <c r="FR12" s="314">
        <f>IFERROR(ROUND(VLOOKUP(FR$1,'Výpočet VP 2019'!$F$343:IU$622,44,FALSE),0),0)</f>
        <v>0</v>
      </c>
      <c r="FS12" s="314">
        <f>IFERROR(ROUND(VLOOKUP(FS$1,'Výpočet VP 2019'!$F$343:JN$622,44,FALSE),0),0)</f>
        <v>934563</v>
      </c>
      <c r="FT12" s="314">
        <f>IFERROR(ROUND(VLOOKUP(FT$1,'Výpočet VP 2019'!$F$343:CS$622,44,FALSE),0),0)</f>
        <v>5564571</v>
      </c>
      <c r="FU12" s="314">
        <f>IFERROR(ROUND(VLOOKUP(FU$1,'Výpočet VP 2019'!$F$343:FF$622,44,FALSE),0),0)</f>
        <v>801196</v>
      </c>
      <c r="FV12" s="314">
        <f>IFERROR(ROUND(VLOOKUP(FV$1,'Výpočet VP 2019'!$F$343:EB$622,44,FALSE),0),0)</f>
        <v>1763767</v>
      </c>
      <c r="FW12" s="314">
        <f>IFERROR(ROUND(VLOOKUP(FW$1,'Výpočet VP 2019'!$F$343:DX$622,44,FALSE),0),0)</f>
        <v>2356552</v>
      </c>
      <c r="FX12" s="314">
        <f>IFERROR(ROUND(VLOOKUP(FX$1,'Výpočet VP 2019'!$F$343:CX$622,44,FALSE),0),0)</f>
        <v>970307</v>
      </c>
      <c r="FY12" s="314">
        <f>IFERROR(ROUND(VLOOKUP(FY$1,'Výpočet VP 2019'!$F$343:DL$622,44,FALSE),0),0)</f>
        <v>560408</v>
      </c>
      <c r="FZ12" s="314">
        <f>IFERROR(ROUND(VLOOKUP(FZ$1,'Výpočet VP 2019'!$F$343:DV$622,44,FALSE),0),0)</f>
        <v>7425849</v>
      </c>
      <c r="GA12" s="314">
        <f>IFERROR(ROUND(VLOOKUP(GA$1,'Výpočet VP 2019'!$F$343:EV$622,44,FALSE),0),0)</f>
        <v>932605</v>
      </c>
      <c r="GB12" s="314">
        <f>IFERROR(ROUND(VLOOKUP(GB$1,'Výpočet VP 2019'!$F$343:GL$622,44,FALSE),0),0)</f>
        <v>6553873</v>
      </c>
      <c r="GC12" s="314">
        <f>IFERROR(ROUND(VLOOKUP(GC$1,'Výpočet VP 2019'!$F$343:DD$622,44,FALSE),0),0)</f>
        <v>3782302</v>
      </c>
      <c r="GD12" s="314">
        <f>IFERROR(ROUND(VLOOKUP(GD$1,'Výpočet VP 2019'!$F$343:GJ$622,44,FALSE),0),0)</f>
        <v>13907234</v>
      </c>
      <c r="GE12" s="314">
        <f>IFERROR(ROUND(VLOOKUP(GE$1,'Výpočet VP 2019'!$F$343:KO$622,44,FALSE),0),0)</f>
        <v>2286106</v>
      </c>
      <c r="GF12" s="314">
        <f>IFERROR(ROUND(VLOOKUP(GF$1,'Výpočet VP 2019'!$F$343:EJ$622,44,FALSE),0),0)</f>
        <v>5010040</v>
      </c>
      <c r="GG12" s="314">
        <f>IFERROR(ROUND(VLOOKUP(GG$1,'Výpočet VP 2019'!$F$343:EW$622,44,FALSE),0),0)</f>
        <v>1577288</v>
      </c>
      <c r="GH12" s="314">
        <f>IFERROR(ROUND(VLOOKUP(GH$1,'Výpočet VP 2019'!$F$343:FD$622,44,FALSE),0),0)</f>
        <v>1429644</v>
      </c>
      <c r="GI12" s="314">
        <f>IFERROR(ROUND(VLOOKUP(GI$1,'Výpočet VP 2019'!$F$343:GY$622,44,FALSE),0),0)</f>
        <v>14490965</v>
      </c>
      <c r="GJ12" s="314">
        <f>IFERROR(ROUND(VLOOKUP(GJ$1,'Výpočet VP 2019'!$F$343:EC$622,44,FALSE),0),0)</f>
        <v>3459443</v>
      </c>
      <c r="GK12" s="314">
        <f>IFERROR(ROUND(VLOOKUP(GK$1,'Výpočet VP 2019'!$F$343:EY$622,44,FALSE),0),0)</f>
        <v>3122266</v>
      </c>
      <c r="GL12" s="314">
        <f>IFERROR(ROUND(VLOOKUP(GL$1,'Výpočet VP 2019'!$F$343:FG$622,44,FALSE),0),0)</f>
        <v>1245763</v>
      </c>
      <c r="GM12" s="314">
        <f>IFERROR(ROUND(VLOOKUP(GM$1,'Výpočet VP 2019'!$F$343:JH$622,44,FALSE),0),0)</f>
        <v>1480910</v>
      </c>
      <c r="GN12" s="314">
        <f>IFERROR(ROUND(VLOOKUP(GN$1,'Výpočet VP 2019'!$F$343:JO$622,44,FALSE),0),0)</f>
        <v>1377283</v>
      </c>
      <c r="GO12" s="314">
        <f>IFERROR(ROUND(VLOOKUP(GO$1,'Výpočet VP 2019'!$F$343:GT$622,44,FALSE),0),0)</f>
        <v>8862536</v>
      </c>
      <c r="GP12" s="314">
        <f>IFERROR(ROUND(VLOOKUP(GP$1,'Výpočet VP 2019'!$F$343:EK$622,44,FALSE),0),0)</f>
        <v>1252469</v>
      </c>
      <c r="GQ12" s="314">
        <f>IFERROR(ROUND(VLOOKUP(GQ$1,'Výpočet VP 2019'!$F$343:CV$622,44,FALSE),0),0)</f>
        <v>2713071</v>
      </c>
      <c r="GR12" s="314">
        <f>IFERROR(ROUND(VLOOKUP(GR$1,'Výpočet VP 2019'!$F$343:DK$622,44,FALSE),0),0)</f>
        <v>1586853</v>
      </c>
      <c r="GS12" s="314">
        <f>IFERROR(ROUND(VLOOKUP(GS$1,'Výpočet VP 2019'!$F$343:DZ$622,44,FALSE),0),0)</f>
        <v>910887</v>
      </c>
      <c r="GT12" s="314">
        <f>IFERROR(ROUND(VLOOKUP(GT$1,'Výpočet VP 2019'!$F$343:DU$622,44,FALSE),0),0)</f>
        <v>13985294</v>
      </c>
      <c r="GU12" s="314">
        <f>IFERROR(ROUND(VLOOKUP(GU$1,'Výpočet VP 2019'!$F$343:FP$622,44,FALSE),0),0)</f>
        <v>2062006</v>
      </c>
      <c r="GV12" s="314">
        <f>IFERROR(ROUND(VLOOKUP(GV$1,'Výpočet VP 2019'!$F$343:GW$622,44,FALSE),0),0)</f>
        <v>7838197</v>
      </c>
      <c r="GW12" s="314">
        <f>IFERROR(ROUND(VLOOKUP(GW$1,'Výpočet VP 2019'!$F$343:DC$622,44,FALSE),0),0)</f>
        <v>2118873</v>
      </c>
      <c r="GX12" s="314">
        <f>IFERROR(ROUND(VLOOKUP(GX$1,'Výpočet VP 2019'!$F$343:DT$622,44,FALSE),0),0)</f>
        <v>802005</v>
      </c>
      <c r="GY12" s="314">
        <f>IFERROR(ROUND(VLOOKUP(GY$1,'Výpočet VP 2019'!$F$343:HN$622,44,FALSE),0),0)</f>
        <v>32781420</v>
      </c>
      <c r="GZ12" s="314">
        <f>IFERROR(ROUND(VLOOKUP(GZ$1,'Výpočet VP 2019'!$F$343:IT$622,44,FALSE),0),0)</f>
        <v>0</v>
      </c>
      <c r="HA12" s="314">
        <f>IFERROR(ROUND(VLOOKUP(HA$1,'Výpočet VP 2019'!$F$343:DI$622,44,FALSE),0),0)</f>
        <v>10364519</v>
      </c>
      <c r="HB12" s="314">
        <f>IFERROR(ROUND(VLOOKUP(HB$1,'Výpočet VP 2019'!$F$343:FN$622,44,FALSE),0),0)</f>
        <v>9789035</v>
      </c>
      <c r="HC12" s="314">
        <f>IFERROR(ROUND(VLOOKUP(HC$1,'Výpočet VP 2019'!$F$343:GN$622,44,FALSE),0),0)</f>
        <v>13831690</v>
      </c>
      <c r="HD12" s="314">
        <f>IFERROR(ROUND(VLOOKUP(HD$1,'Výpočet VP 2019'!$F$343:DW$622,44,FALSE),0),0)</f>
        <v>3326859</v>
      </c>
      <c r="HE12" s="314">
        <f>IFERROR(ROUND(VLOOKUP(HE$1,'Výpočet VP 2019'!$F$343:HK$622,44,FALSE),0),0)</f>
        <v>10953415</v>
      </c>
      <c r="HF12" s="314">
        <f>IFERROR(ROUND(VLOOKUP(HF$1,'Výpočet VP 2019'!$F$343:DN$622,44,FALSE),0),0)</f>
        <v>2693156</v>
      </c>
      <c r="HG12" s="314">
        <f>IFERROR(ROUND(VLOOKUP(HG$1,'Výpočet VP 2019'!$F$343:FE$622,44,FALSE),0),0)</f>
        <v>1540542</v>
      </c>
      <c r="HH12" s="314">
        <f>IFERROR(ROUND(VLOOKUP(HH$1,'Výpočet VP 2019'!$F$343:EG$622,44,FALSE),0),0)</f>
        <v>3326859</v>
      </c>
      <c r="HI12" s="314">
        <f>IFERROR(ROUND(VLOOKUP(HI$1,'Výpočet VP 2019'!$F$343:DG$622,44,FALSE),0),0)</f>
        <v>4693189</v>
      </c>
      <c r="HJ12" s="314">
        <f>IFERROR(ROUND(VLOOKUP(HJ$1,'Výpočet VP 2019'!$F$343:KT$622,44,FALSE),0),0)</f>
        <v>893010</v>
      </c>
      <c r="HK12" s="314">
        <f>IFERROR(ROUND(VLOOKUP(HK$1,'Výpočet VP 2019'!$F$343:EF$622,44,FALSE),0),0)</f>
        <v>1198028</v>
      </c>
      <c r="HL12" s="314">
        <f>IFERROR(ROUND(VLOOKUP(HL$1,'Výpočet VP 2019'!$F$343:GE$622,44,FALSE),0),0)</f>
        <v>40392132</v>
      </c>
      <c r="HM12" s="314">
        <f>IFERROR(ROUND(VLOOKUP(HM$1,'Výpočet VP 2019'!$F$343:II$622,44,FALSE),0),0)</f>
        <v>23297668</v>
      </c>
      <c r="HN12" s="314">
        <f>IFERROR(ROUND(VLOOKUP(HN$1,'Výpočet VP 2019'!$F$343:KC$622,44,FALSE),0),0)</f>
        <v>741933</v>
      </c>
      <c r="HO12" s="314">
        <f>IFERROR(ROUND(VLOOKUP(HO$1,'Výpočet VP 2019'!$F$343:KM$622,44,FALSE),0),0)</f>
        <v>2571869</v>
      </c>
      <c r="HP12" s="314">
        <f>IFERROR(ROUND(VLOOKUP(HP$1,'Výpočet VP 2019'!$F$343:GD$622,44,FALSE),0),0)</f>
        <v>31671790</v>
      </c>
      <c r="HQ12" s="314">
        <f>IFERROR(ROUND(VLOOKUP(HQ$1,'Výpočet VP 2019'!$F$343:FL$622,44,FALSE),0),0)</f>
        <v>984250</v>
      </c>
      <c r="HR12" s="314">
        <f>IFERROR(ROUND(VLOOKUP(HR$1,'Výpočet VP 2019'!$F$343:GB$622,44,FALSE),0),0)</f>
        <v>33358346</v>
      </c>
      <c r="HS12" s="314">
        <f>IFERROR(ROUND(VLOOKUP(HS$1,'Výpočet VP 2019'!$F$343:IF$622,44,FALSE),0),0)</f>
        <v>5829279</v>
      </c>
      <c r="HT12" s="314">
        <f>IFERROR(ROUND(VLOOKUP(HT$1,'Výpočet VP 2019'!$F$343:HU$622,44,FALSE),0),0)</f>
        <v>17599108</v>
      </c>
      <c r="HU12" s="314">
        <f>IFERROR(ROUND(VLOOKUP(HU$1,'Výpočet VP 2019'!$F$343:HO$622,44,FALSE),0),0)</f>
        <v>25979838</v>
      </c>
      <c r="HV12" s="314">
        <f>IFERROR(ROUND(VLOOKUP(HV$1,'Výpočet VP 2019'!$F$343:HE$622,44,FALSE),0),0)</f>
        <v>20133447</v>
      </c>
      <c r="HW12" s="314">
        <f>IFERROR(ROUND(VLOOKUP(HW$1,'Výpočet VP 2019'!$F$343:GQ$622,44,FALSE),0),0)</f>
        <v>7453452</v>
      </c>
      <c r="HX12" s="314">
        <f>IFERROR(ROUND(VLOOKUP(HX$1,'Výpočet VP 2019'!$F$343:HR$622,44,FALSE),0),0)</f>
        <v>21354413</v>
      </c>
      <c r="HY12" s="314">
        <f>IFERROR(ROUND(VLOOKUP(HY$1,'Výpočet VP 2019'!$F$343:GX$622,44,FALSE),0),0)</f>
        <v>19206917</v>
      </c>
      <c r="HZ12" s="314">
        <f>IFERROR(ROUND(VLOOKUP(HZ$1,'Výpočet VP 2019'!$F$343:GZ$622,44,FALSE),0),0)</f>
        <v>10268946</v>
      </c>
      <c r="IA12" s="314">
        <f>IFERROR(ROUND(VLOOKUP(IA$1,'Výpočet VP 2019'!$F$343:GU$622,44,FALSE),0),0)</f>
        <v>11249310</v>
      </c>
      <c r="IB12" s="314">
        <f>IFERROR(ROUND(VLOOKUP(IB$1,'Výpočet VP 2019'!$F$343:GO$622,44,FALSE),0),0)</f>
        <v>8386120</v>
      </c>
      <c r="IC12" s="314">
        <f>IFERROR(ROUND(VLOOKUP(IC$1,'Výpočet VP 2019'!$F$343:HI$622,44,FALSE),0),0)</f>
        <v>17305838</v>
      </c>
      <c r="ID12" s="314">
        <f>IFERROR(ROUND(VLOOKUP(ID$1,'Výpočet VP 2019'!$F$343:HQ$622,44,FALSE),0),0)</f>
        <v>11649999</v>
      </c>
      <c r="IE12" s="314">
        <f>IFERROR(ROUND(VLOOKUP(IE$1,'Výpočet VP 2019'!$F$343:GP$622,44,FALSE),0),0)</f>
        <v>18233136</v>
      </c>
      <c r="IF12" s="314">
        <f>IFERROR(ROUND(VLOOKUP(IF$1,'Výpočet VP 2019'!$F$343:HM$622,44,FALSE),0),0)</f>
        <v>15484442</v>
      </c>
      <c r="IG12" s="314">
        <f>IFERROR(ROUND(VLOOKUP(IG$1,'Výpočet VP 2019'!$F$343:HW$622,44,FALSE),0),0)</f>
        <v>4998712</v>
      </c>
      <c r="IH12" s="314">
        <f>IFERROR(ROUND(VLOOKUP(IH$1,'Výpočet VP 2019'!$F$343:GG$622,44,FALSE),0),0)</f>
        <v>3669915</v>
      </c>
      <c r="II12" s="314">
        <f>IFERROR(ROUND(VLOOKUP(II$1,'Výpočet VP 2019'!$F$343:HS$622,44,FALSE),0),0)</f>
        <v>18020747</v>
      </c>
      <c r="IJ12" s="314">
        <f>IFERROR(ROUND(VLOOKUP(IJ$1,'Výpočet VP 2019'!$F$343:IB$622,44,FALSE),0),0)</f>
        <v>1994569</v>
      </c>
      <c r="IK12" s="314">
        <f>IFERROR(ROUND(VLOOKUP(IK$1,'Výpočet VP 2019'!$F$343:KY$622,44,FALSE),0),0)</f>
        <v>3079099</v>
      </c>
      <c r="IL12" s="314">
        <f>IFERROR(ROUND(VLOOKUP(IL$1,'Výpočet VP 2019'!$F$343:GM$622,44,FALSE),0),0)</f>
        <v>8636578</v>
      </c>
      <c r="IM12" s="314">
        <f>IFERROR(ROUND(VLOOKUP(IM$1,'Výpočet VP 2019'!$F$343:ES$622,44,FALSE),0),0)</f>
        <v>541181</v>
      </c>
      <c r="IN12" s="314">
        <f>IFERROR(ROUND(VLOOKUP(IN$1,'Výpočet VP 2019'!$F$343:HD$622,44,FALSE),0),0)</f>
        <v>10299220</v>
      </c>
      <c r="IO12" s="314">
        <f>IFERROR(ROUND(VLOOKUP(IO$1,'Výpočet VP 2019'!$F$343:HY$622,44,FALSE),0),0)</f>
        <v>3955345</v>
      </c>
      <c r="IP12" s="314">
        <f>IFERROR(ROUND(VLOOKUP(IP$1,'Výpočet VP 2019'!$F$343:GI$622,44,FALSE),0),0)</f>
        <v>20978768</v>
      </c>
      <c r="IQ12" s="314">
        <f>IFERROR(ROUND(VLOOKUP(IQ$1,'Výpočet VP 2019'!$F$343:GC$622,44,FALSE),0),0)</f>
        <v>20938712</v>
      </c>
      <c r="IR12" s="314">
        <f>IFERROR(ROUND(VLOOKUP(IR$1,'Výpočet VP 2019'!$F$343:IA$622,44,FALSE),0),0)</f>
        <v>1008969</v>
      </c>
      <c r="IS12" s="314">
        <f>IFERROR(ROUND(VLOOKUP(IS$1,'Výpočet VP 2019'!$F$343:HF$622,44,FALSE),0),0)</f>
        <v>59904459</v>
      </c>
      <c r="IT12" s="314">
        <f>IFERROR(ROUND(VLOOKUP(IT$1,'Výpočet VP 2019'!$F$343:HV$622,44,FALSE),0),0)</f>
        <v>15139387</v>
      </c>
      <c r="IU12" s="314">
        <f>IFERROR(ROUND(VLOOKUP(IU$1,'Výpočet VP 2019'!$F$343:FA$622,44,FALSE),0),0)</f>
        <v>3457940</v>
      </c>
      <c r="IV12" s="314">
        <f>IFERROR(ROUND(VLOOKUP(IV$1,'Výpočet VP 2019'!$F$343:GS$622,44,FALSE),0),0)</f>
        <v>8300973</v>
      </c>
      <c r="IW12" s="314">
        <f>IFERROR(ROUND(VLOOKUP(IW$1,'Výpočet VP 2019'!$F$343:HT$622,44,FALSE),0),0)</f>
        <v>13223884</v>
      </c>
      <c r="IX12" s="314">
        <f>IFERROR(ROUND(VLOOKUP(IX$1,'Výpočet VP 2019'!$F$343:HZ$622,44,FALSE),0),0)</f>
        <v>2034333</v>
      </c>
      <c r="IY12" s="314">
        <f>IFERROR(ROUND(VLOOKUP(IY$1,'Výpočet VP 2019'!$F$343:GF$622,44,FALSE),0),0)</f>
        <v>12829712</v>
      </c>
      <c r="IZ12" s="314">
        <f>IFERROR(ROUND(VLOOKUP(IZ$1,'Výpočet VP 2019'!$F$343:HB$622,44,FALSE),0),0)</f>
        <v>21019235</v>
      </c>
      <c r="JA12" s="314">
        <f>IFERROR(ROUND(VLOOKUP(JA$1,'Výpočet VP 2019'!$F$343:BV$622,44,FALSE),0),0)</f>
        <v>2955157</v>
      </c>
      <c r="JB12" s="314">
        <f>IFERROR(ROUND(VLOOKUP(JB$1,'Výpočet VP 2019'!$F$343:IY$622,44,FALSE),0),0)</f>
        <v>3659319</v>
      </c>
      <c r="JC12" s="314">
        <f>IFERROR(ROUND(VLOOKUP(JC$1,'Výpočet VP 2019'!$F$343:JF$622,44,FALSE),0),0)</f>
        <v>2079576</v>
      </c>
      <c r="JD12" s="314">
        <f>IFERROR(ROUND(VLOOKUP(JD$1,'Výpočet VP 2019'!$F$343:LC$622,44,FALSE),0),0)</f>
        <v>6429672</v>
      </c>
      <c r="JE12" s="314">
        <f>IFERROR(ROUND(VLOOKUP(JE$1,'Výpočet VP 2019'!$F$343:EX$622,44,FALSE),0),0)</f>
        <v>3486446</v>
      </c>
      <c r="JF12" s="314">
        <f>IFERROR(ROUND(VLOOKUP(JF$1,'Výpočet VP 2019'!$F$343:FZ$622,44,FALSE),0),0)</f>
        <v>35511901</v>
      </c>
      <c r="JG12" s="314">
        <f>IFERROR(ROUND(VLOOKUP(JG$1,'Výpočet VP 2019'!$F$343:GA$622,44,FALSE),0),0)</f>
        <v>28656627</v>
      </c>
      <c r="JH12" s="314">
        <f>IFERROR(ROUND(VLOOKUP(JH$1,'Výpočet VP 2019'!$F$343:IP$622,44,FALSE),0),0)</f>
        <v>2747251</v>
      </c>
      <c r="JI12" s="314">
        <f t="shared" si="28"/>
        <v>1471980676</v>
      </c>
      <c r="JJ12" s="307">
        <f>JI12-JI11</f>
        <v>246909733.56928444</v>
      </c>
      <c r="JK12" s="307"/>
      <c r="JL12" s="307">
        <f t="shared" si="20"/>
        <v>24026028</v>
      </c>
      <c r="JM12" s="307">
        <f t="shared" si="20"/>
        <v>453898104</v>
      </c>
      <c r="JN12" s="307">
        <f t="shared" si="20"/>
        <v>331346624</v>
      </c>
      <c r="JO12" s="307">
        <f t="shared" si="20"/>
        <v>662709920</v>
      </c>
      <c r="JP12" s="307">
        <f t="shared" si="27"/>
        <v>1471980676</v>
      </c>
    </row>
    <row r="13" spans="1:276" x14ac:dyDescent="0.25">
      <c r="B13" s="313" t="s">
        <v>1816</v>
      </c>
      <c r="C13" s="314">
        <f>IFERROR(VLOOKUP(C$1,'Výpočet VP 2020'!$A$324:BK588,42,FALSE),0)</f>
        <v>9296049.1510793846</v>
      </c>
      <c r="D13" s="314">
        <f>IFERROR(VLOOKUP(D$1,'Výpočet VP 2020'!$A$324:JL588,42,FALSE),0)</f>
        <v>9345564.764516497</v>
      </c>
      <c r="E13" s="314">
        <f>IFERROR(VLOOKUP(E$1,'Výpočet VP 2020'!$A$324:DI588,42,FALSE),0)</f>
        <v>8887194.8468445688</v>
      </c>
      <c r="F13" s="314">
        <f>IFERROR(VLOOKUP(F$1,'Výpočet VP 2020'!$A$324:GK588,42,FALSE),0)</f>
        <v>3978884.7088353573</v>
      </c>
      <c r="G13" s="314">
        <f>IFERROR(VLOOKUP(G$1,'Výpočet VP 2020'!$A$324:DT588,42,FALSE),0)</f>
        <v>11754503.127290595</v>
      </c>
      <c r="H13" s="314">
        <f>IFERROR(VLOOKUP(H$1,'Výpočet VP 2020'!$A$324:HV588,42,FALSE),0)</f>
        <v>1265732.1198156357</v>
      </c>
      <c r="I13" s="314">
        <f>IFERROR(VLOOKUP(I$1,'Výpočet VP 2020'!$A$324:KM588,42,FALSE),0)</f>
        <v>3505750.9805252724</v>
      </c>
      <c r="J13" s="314">
        <f>IFERROR(VLOOKUP(J$1,'Výpočet VP 2020'!$A$324:EZ588,42,FALSE),0)</f>
        <v>2983617.8557661893</v>
      </c>
      <c r="K13" s="314">
        <f>IFERROR(VLOOKUP(K$1,'Výpočet VP 2020'!$A$324:BQ588,42,FALSE),0)</f>
        <v>5924518.8128773188</v>
      </c>
      <c r="L13" s="314">
        <f>IFERROR(VLOOKUP(L$1,'Výpočet VP 2020'!$A$324:DK588,42,FALSE),0)</f>
        <v>4031705.8292569402</v>
      </c>
      <c r="M13" s="314">
        <f>IFERROR(VLOOKUP(M$1,'Výpočet VP 2020'!$A$324:CF588,42,FALSE),0)</f>
        <v>3984275.238895766</v>
      </c>
      <c r="N13" s="314">
        <f>IFERROR(VLOOKUP(N$1,'Výpočet VP 2020'!$A$324:FD588,42,FALSE),0)</f>
        <v>5017302.8370803231</v>
      </c>
      <c r="O13" s="314">
        <f>IFERROR(VLOOKUP(O$1,'Výpočet VP 2020'!$A$324:GX588,42,FALSE),0)</f>
        <v>4508635.2104233941</v>
      </c>
      <c r="P13" s="314">
        <f>IFERROR(VLOOKUP(P$1,'Výpočet VP 2020'!$A$324:HD588,42,FALSE),0)</f>
        <v>2998026.0021816893</v>
      </c>
      <c r="Q13" s="314">
        <f>IFERROR(VLOOKUP(Q$1,'Výpočet VP 2020'!$A$324:JC588,42,FALSE),0)</f>
        <v>2005488.4791010155</v>
      </c>
      <c r="R13" s="314">
        <f>IFERROR(VLOOKUP(R$1,'Výpočet VP 2020'!$A$324:EF588,42,FALSE),0)</f>
        <v>2451152.5855679074</v>
      </c>
      <c r="S13" s="314">
        <f>IFERROR(VLOOKUP(S$1,'Výpočet VP 2020'!$A$324:FX588,42,FALSE),0)</f>
        <v>1708379.0747897534</v>
      </c>
      <c r="T13" s="314">
        <f>IFERROR(VLOOKUP(T$1,'Výpočet VP 2020'!$A$324:GO588,42,FALSE),0)</f>
        <v>742773.51077815378</v>
      </c>
      <c r="U13" s="314">
        <f>IFERROR(VLOOKUP(U$1,'Výpočet VP 2020'!$A$324:KJ588,42,FALSE),0)</f>
        <v>1114160.2661672307</v>
      </c>
      <c r="V13" s="314">
        <f>IFERROR(VLOOKUP(V$1,'Výpočet VP 2020'!$A$324:KL588,42,FALSE),0)</f>
        <v>15268375.428234249</v>
      </c>
      <c r="W13" s="314">
        <f>IFERROR(VLOOKUP(W$1,'Výpočet VP 2020'!$A$324:HU588,42,FALSE),0)</f>
        <v>4127146.9193722606</v>
      </c>
      <c r="X13" s="314">
        <f>IFERROR(VLOOKUP(X$1,'Výpočet VP 2020'!$A$324:CM588,42,FALSE),0)</f>
        <v>2191081.086187847</v>
      </c>
      <c r="Y13" s="314">
        <f>IFERROR(VLOOKUP(Y$1,'Výpočet VP 2020'!$A$324:JT588,42,FALSE),0)</f>
        <v>2069745.4492107111</v>
      </c>
      <c r="Z13" s="314">
        <f>IFERROR(VLOOKUP(Z$1,'Výpočet VP 2020'!$A$324:JU588,42,FALSE),0)</f>
        <v>9676854.0623107646</v>
      </c>
      <c r="AA13" s="314">
        <f>IFERROR(VLOOKUP(AA$1,'Výpočet VP 2020'!$A$324:JJ588,42,FALSE),0)</f>
        <v>4313818.3267021552</v>
      </c>
      <c r="AB13" s="314">
        <f>IFERROR(VLOOKUP(AB$1,'Výpočet VP 2020'!$A$324:BS588,42,FALSE),0)</f>
        <v>3153482.7159662391</v>
      </c>
      <c r="AC13" s="314">
        <f>'Výpočet VP 2020'!AR99</f>
        <v>471661.84132364974</v>
      </c>
      <c r="AD13" s="314">
        <f>IFERROR(VLOOKUP(AD$1,'Výpočet VP 2020'!$A$324:GT588,42,FALSE),0)</f>
        <v>2497904.6985613657</v>
      </c>
      <c r="AE13" s="314">
        <f>IFERROR(VLOOKUP(AE$1,'Výpočet VP 2020'!$A$324:GQ588,42,FALSE),0)</f>
        <v>1222248.5258989439</v>
      </c>
      <c r="AF13" s="314">
        <f>IFERROR(VLOOKUP(AF$1,'Výpočet VP 2020'!$A$324:IH588,42,FALSE),0)</f>
        <v>3535587.1590829343</v>
      </c>
      <c r="AG13" s="314">
        <f>IFERROR(VLOOKUP(AG$1,'Výpočet VP 2020'!$A$324:AP588,42,FALSE),0)</f>
        <v>3510607.0288166855</v>
      </c>
      <c r="AH13" s="314">
        <f>IFERROR(VLOOKUP(AH$1,'Výpočet VP 2020'!$A$324:BF588,42,FALSE),0)</f>
        <v>1327900.8936605309</v>
      </c>
      <c r="AI13" s="314">
        <f>IFERROR(VLOOKUP(AI$1,'Výpočet VP 2020'!$A$324:IL588,42,FALSE),0)</f>
        <v>5529368.7225791952</v>
      </c>
      <c r="AJ13" s="314">
        <f>IFERROR(VLOOKUP(AJ$1,'Výpočet VP 2020'!$A$324:JI588,42,FALSE),0)</f>
        <v>4314044.4365202505</v>
      </c>
      <c r="AK13" s="314">
        <f>IFERROR(VLOOKUP(AK$1,'Výpočet VP 2020'!$A$324:FS588,42,FALSE),0)</f>
        <v>1559824.3726341228</v>
      </c>
      <c r="AL13" s="314">
        <f>IFERROR(VLOOKUP(AL$1,'Výpočet VP 2020'!$A$324:IW588,42,FALSE),0)</f>
        <v>2156909.1633510776</v>
      </c>
      <c r="AM13" s="314">
        <f>IFERROR(VLOOKUP(AM$1,'Výpočet VP 2020'!$A$324:CU588,42,FALSE),0)</f>
        <v>1559824.3726341231</v>
      </c>
      <c r="AN13" s="314">
        <f>IFERROR(VLOOKUP(AN$1,'Výpočet VP 2020'!$A$324:BA588,42,FALSE),0)</f>
        <v>995316.50444272615</v>
      </c>
      <c r="AO13" s="314">
        <f>IFERROR(VLOOKUP(AO$1,'Výpočet VP 2020'!$A$324:BY588,42,FALSE),0)</f>
        <v>6314033.6631408297</v>
      </c>
      <c r="AP13" s="314">
        <f>IFERROR(VLOOKUP(AP$1,'Výpočet VP 2020'!$A$324:JH588,42,FALSE),0)</f>
        <v>2385174.6132770502</v>
      </c>
      <c r="AQ13" s="314">
        <f>IFERROR(VLOOKUP(AQ$1,'Výpočet VP 2020'!$A$324:IC588,42,FALSE),0)</f>
        <v>297109.40431126149</v>
      </c>
      <c r="AR13" s="314">
        <f>IFERROR(VLOOKUP(AR$1,'Výpočet VP 2020'!$A$324:IQ588,42,FALSE),0)</f>
        <v>1671240.3992508459</v>
      </c>
      <c r="AS13" s="314">
        <f>IFERROR(VLOOKUP(AS$1,'Výpočet VP 2020'!$A$324:KB588,42,FALSE),0)</f>
        <v>445664.10646689229</v>
      </c>
      <c r="AT13" s="314">
        <f>IFERROR(VLOOKUP(AT$1,'Výpočet VP 2020'!$A$324:CO588,42,FALSE),0)</f>
        <v>2109142.1939772759</v>
      </c>
      <c r="AU13" s="314">
        <f>IFERROR(VLOOKUP(AU$1,'Výpočet VP 2020'!$A$324:IO588,42,FALSE),0)</f>
        <v>1051886.2833224081</v>
      </c>
      <c r="AV13" s="314">
        <f>IFERROR(VLOOKUP(AV$1,'Výpočet VP 2020'!$A$324:EO588,42,FALSE),0)</f>
        <v>2120960.6772952261</v>
      </c>
      <c r="AW13" s="314">
        <f>IFERROR(VLOOKUP(AW$1,'Výpočet VP 2020'!$A$324:ID588,42,FALSE),0)</f>
        <v>3515922.5550434329</v>
      </c>
      <c r="AX13" s="314">
        <f>IFERROR(VLOOKUP(AX$1,'Výpočet VP 2020'!$A$324:AY588,42,FALSE),0)</f>
        <v>2889815.8082949743</v>
      </c>
      <c r="AY13" s="314">
        <f>IFERROR(VLOOKUP(AY$1,'Výpočet VP 2020'!$A$324:CA588,42,FALSE),0)</f>
        <v>3192681.8379533906</v>
      </c>
      <c r="AZ13" s="314">
        <f>IFERROR(VLOOKUP(AZ$1,'Výpočet VP 2020'!$A$324:CQ588,42,FALSE),0)</f>
        <v>3892622.7779548438</v>
      </c>
      <c r="BA13" s="314">
        <f>IFERROR(VLOOKUP(BA$1,'Výpočet VP 2020'!$A$324:IA588,42,FALSE),0)</f>
        <v>11288288.921655141</v>
      </c>
      <c r="BB13" s="314">
        <f>IFERROR(VLOOKUP(BB$1,'Výpočet VP 2020'!$A$324:KG588,42,FALSE),0)</f>
        <v>1411269.6704784923</v>
      </c>
      <c r="BC13" s="314">
        <f>IFERROR(VLOOKUP(BC$1,'Výpočet VP 2020'!$A$324:IV588,42,FALSE),0)</f>
        <v>1360742.4938025323</v>
      </c>
      <c r="BD13" s="314">
        <f>IFERROR(VLOOKUP(BD$1,'Výpočet VP 2020'!$A$324:IR588,42,FALSE),0)</f>
        <v>2020343.9493165785</v>
      </c>
      <c r="BE13" s="314">
        <f>IFERROR(VLOOKUP(BE$1,'Výpočet VP 2020'!$A$324:GF588,42,FALSE),0)</f>
        <v>1305332.8118977079</v>
      </c>
      <c r="BF13" s="314">
        <f>IFERROR(VLOOKUP(BF$1,'Výpočet VP 2020'!$A$324:AS588,42,FALSE),0)</f>
        <v>3045371.3941904306</v>
      </c>
      <c r="BG13" s="314">
        <f>IFERROR(VLOOKUP(BG$1,'Výpočet VP 2020'!$A$324:FZ588,42,FALSE),0)</f>
        <v>4025254.0656860587</v>
      </c>
      <c r="BH13" s="314">
        <f>IFERROR(VLOOKUP(BH$1,'Výpočet VP 2020'!$A$324:BC588,42,FALSE),0)</f>
        <v>3785109.2415605099</v>
      </c>
      <c r="BI13" s="314">
        <f>IFERROR(VLOOKUP(BI$1,'Výpočet VP 2020'!$A$324:JW588,42,FALSE),0)</f>
        <v>3112669.1129161981</v>
      </c>
      <c r="BJ13" s="314">
        <f>IFERROR(VLOOKUP(BJ$1,'Výpočet VP 2020'!$A$324:CT588,42,FALSE),0)</f>
        <v>2836236.6701121721</v>
      </c>
      <c r="BK13" s="314">
        <f>IFERROR(VLOOKUP(BK$1,'Výpočet VP 2020'!$A$324:CN588,42,FALSE),0)</f>
        <v>1305332.8118977079</v>
      </c>
      <c r="BL13" s="314">
        <f>IFERROR(VLOOKUP(BL$1,'Výpočet VP 2020'!$A$324:EG588,42,FALSE),0)</f>
        <v>484189.8882988008</v>
      </c>
      <c r="BM13" s="314">
        <f>IFERROR(VLOOKUP(BM$1,'Výpočet VP 2020'!$A$324:DF588,42,FALSE),0)</f>
        <v>2386894.2846129518</v>
      </c>
      <c r="BN13" s="314">
        <f>IFERROR(VLOOKUP(BN$1,'Výpočet VP 2020'!$A$324:FF588,42,FALSE),0)</f>
        <v>1946066.5982387629</v>
      </c>
      <c r="BO13" s="314">
        <f>IFERROR(VLOOKUP(BO$1,'Výpočet VP 2020'!$A$324:CW588,42,FALSE),0)</f>
        <v>1115754.3738330903</v>
      </c>
      <c r="BP13" s="314">
        <f>IFERROR(VLOOKUP(BP$1,'Výpočet VP 2020'!$A$324:HE588,42,FALSE),0)</f>
        <v>5612904.2616406893</v>
      </c>
      <c r="BQ13" s="314">
        <f>IFERROR(VLOOKUP(BQ$1,'Výpočet VP 2020'!$A$324:HW588,42,FALSE),0)</f>
        <v>857790.13353277929</v>
      </c>
      <c r="BR13" s="314">
        <f>IFERROR(VLOOKUP(BR$1,'Výpočet VP 2020'!$A$324:DE588,42,FALSE),0)</f>
        <v>1002744.2395505077</v>
      </c>
      <c r="BS13" s="314">
        <f>IFERROR(VLOOKUP(BS$1,'Výpočet VP 2020'!$A$324:JE588,42,FALSE),0)</f>
        <v>1336992.3194006768</v>
      </c>
      <c r="BT13" s="314">
        <f>IFERROR(VLOOKUP(BT$1,'Výpočet VP 2020'!$A$324:JM588,42,FALSE),0)</f>
        <v>1114160.2661672307</v>
      </c>
      <c r="BU13" s="314">
        <f>IFERROR(VLOOKUP(BU$1,'Výpočet VP 2020'!$A$324:JO588,42,FALSE),0)</f>
        <v>4446637.2294955002</v>
      </c>
      <c r="BV13" s="314">
        <f>IFERROR(VLOOKUP(BV$1,'Výpočet VP 2020'!$A$324:CK588,42,FALSE),0)</f>
        <v>1142294.6626007925</v>
      </c>
      <c r="BW13" s="314">
        <f>IFERROR(VLOOKUP(BW$1,'Výpočet VP 2020'!$A$324:GU588,42,FALSE),0)</f>
        <v>297109.40431126149</v>
      </c>
      <c r="BX13" s="314">
        <f>IFERROR(VLOOKUP(BX$1,'Výpočet VP 2020'!$A$324:CE588,42,FALSE),0)</f>
        <v>5062234.123708467</v>
      </c>
      <c r="BY13" s="314">
        <f>IFERROR(VLOOKUP(BY$1,'Výpočet VP 2020'!$A$324:IG588,42,FALSE),0)</f>
        <v>2065527.6887355854</v>
      </c>
      <c r="BZ13" s="314">
        <f>IFERROR(VLOOKUP(BZ$1,'Výpočet VP 2020'!$A$324:GH588,42,FALSE),0)</f>
        <v>249019.98755359586</v>
      </c>
      <c r="CA13" s="314">
        <f>IFERROR(VLOOKUP(CA$1,'Výpočet VP 2020'!$A$324:KT588,42,FALSE),0)</f>
        <v>0</v>
      </c>
      <c r="CB13" s="314">
        <f>IFERROR(VLOOKUP(CB$1,'Výpočet VP 2020'!$A$324:HC588,42,FALSE),0)</f>
        <v>212096.63819068708</v>
      </c>
      <c r="CC13" s="314">
        <f>IFERROR(VLOOKUP(CC$1,'Výpočet VP 2020'!$A$324:DC588,42,FALSE),0)</f>
        <v>2414013.9100289997</v>
      </c>
      <c r="CD13" s="314">
        <f>IFERROR(VLOOKUP(CD$1,'Výpočet VP 2020'!$A$324:GD588,42,FALSE),0)</f>
        <v>742773.51077815378</v>
      </c>
      <c r="CE13" s="314">
        <f>IFERROR(VLOOKUP(CE$1,'Výpočet VP 2020'!$A$324:FO588,42,FALSE),0)</f>
        <v>14096350.125316771</v>
      </c>
      <c r="CF13" s="314">
        <f>IFERROR(VLOOKUP(CF$1,'Výpočet VP 2020'!$A$324:BV588,42,FALSE),0)</f>
        <v>4820517.8393289512</v>
      </c>
      <c r="CG13" s="314">
        <f>IFERROR(VLOOKUP(CG$1,'Výpočet VP 2020'!$A$324:AU588,42,FALSE),0)</f>
        <v>10598581.496070446</v>
      </c>
      <c r="CH13" s="314">
        <f>IFERROR(VLOOKUP(CH$1,'Výpočet VP 2020'!$A$324:ET588,42,FALSE),0)</f>
        <v>4534503.8765709288</v>
      </c>
      <c r="CI13" s="314">
        <f>IFERROR(VLOOKUP(CI$1,'Výpočet VP 2020'!$A$324:HA588,42,FALSE),0)</f>
        <v>3518851.9671994289</v>
      </c>
      <c r="CJ13" s="314">
        <f>IFERROR(VLOOKUP(CJ$1,'Výpočet VP 2020'!$A$324:IJ588,42,FALSE),0)</f>
        <v>4666195.0818283353</v>
      </c>
      <c r="CK13" s="314">
        <f>IFERROR(VLOOKUP(CK$1,'Výpočet VP 2020'!$A$324:CB588,42,FALSE),0)</f>
        <v>5333901.2291703308</v>
      </c>
      <c r="CL13" s="314">
        <f>IFERROR(VLOOKUP(CL$1,'Výpočet VP 2020'!$A$324:CZ588,42,FALSE),0)</f>
        <v>3132798.7485544984</v>
      </c>
      <c r="CM13" s="314">
        <f>IFERROR(VLOOKUP(CM$1,'Výpočet VP 2020'!$A$324:KC588,42,FALSE),0)</f>
        <v>6951836.4399863137</v>
      </c>
      <c r="CN13" s="314">
        <f>IFERROR(VLOOKUP(CN$1,'Výpočet VP 2020'!$A$324:BP588,42,FALSE),0)</f>
        <v>1314857.8541530101</v>
      </c>
      <c r="CO13" s="314">
        <f>IFERROR(VLOOKUP(CO$1,'Výpočet VP 2020'!$A$324:CL588,42,FALSE),0)</f>
        <v>1314857.8541530101</v>
      </c>
      <c r="CP13" s="314">
        <f>IFERROR(VLOOKUP(CP$1,'Výpočet VP 2020'!$A$324:HB588,42,FALSE),0)</f>
        <v>1314857.8541530101</v>
      </c>
      <c r="CQ13" s="314">
        <f>IFERROR(VLOOKUP(CQ$1,'Výpočet VP 2020'!$A$324:BZ588,42,FALSE),0)</f>
        <v>6255036.573718125</v>
      </c>
      <c r="CR13" s="314">
        <f>IFERROR(VLOOKUP(CR$1,'Výpočet VP 2020'!$A$324:GL588,42,FALSE),0)</f>
        <v>2477843.1844488932</v>
      </c>
      <c r="CS13" s="314">
        <f>IFERROR(VLOOKUP(CS$1,'Výpočet VP 2020'!$A$324:JG588,42,FALSE),0)</f>
        <v>4256553.8028849224</v>
      </c>
      <c r="CT13" s="314">
        <f>IFERROR(VLOOKUP(CT$1,'Výpočet VP 2020'!$A$324:JN588,42,FALSE),0)</f>
        <v>4823200.6433408242</v>
      </c>
      <c r="CU13" s="314">
        <f>IFERROR(VLOOKUP(CU$1,'Výpočet VP 2020'!$A$324:AW588,42,FALSE),0)</f>
        <v>2065527.6887355854</v>
      </c>
      <c r="CV13" s="314">
        <f>IFERROR(VLOOKUP(CV$1,'Výpočet VP 2020'!$A$324:GC588,42,FALSE),0)</f>
        <v>5572023.830386878</v>
      </c>
      <c r="CW13" s="314">
        <f>IFERROR(VLOOKUP(CW$1,'Výpočet VP 2020'!$A$324:HR588,42,FALSE),0)</f>
        <v>445664.10646689229</v>
      </c>
      <c r="CX13" s="314">
        <f>IFERROR(VLOOKUP(CX$1,'Výpočet VP 2020'!$A$324:HZ588,42,FALSE),0)</f>
        <v>4855375.2081390303</v>
      </c>
      <c r="CY13" s="314">
        <f>IFERROR(VLOOKUP(CY$1,'Výpočet VP 2020'!$A$324:DH588,42,FALSE),0)</f>
        <v>3158756.2839012085</v>
      </c>
      <c r="CZ13" s="314">
        <f>IFERROR(VLOOKUP(CZ$1,'Výpočet VP 2020'!$A$324:CX588,42,FALSE),0)</f>
        <v>1617681.872513308</v>
      </c>
      <c r="DA13" s="314">
        <f>IFERROR(VLOOKUP(DA$1,'Výpočet VP 2020'!$A$324:JP588,42,FALSE),0)</f>
        <v>8578781.7210858986</v>
      </c>
      <c r="DB13" s="314">
        <f>IFERROR(VLOOKUP(DB$1,'Výpočet VP 2020'!$A$324:HG588,42,FALSE),0)</f>
        <v>854189.53739487671</v>
      </c>
      <c r="DC13" s="314">
        <f>IFERROR(VLOOKUP(DC$1,'Výpočet VP 2020'!$A$324:IU588,42,FALSE),0)</f>
        <v>1972286.7812295151</v>
      </c>
      <c r="DD13" s="314">
        <f>IFERROR(VLOOKUP(DD$1,'Výpočet VP 2020'!$A$324:DW588,42,FALSE),0)</f>
        <v>5594283.4795616046</v>
      </c>
      <c r="DE13" s="314">
        <f>IFERROR(VLOOKUP(DE$1,'Výpočet VP 2020'!$A$324:HL588,42,FALSE),0)</f>
        <v>7831996.8713862468</v>
      </c>
      <c r="DF13" s="314">
        <f>IFERROR(VLOOKUP(DF$1,'Výpočet VP 2020'!$A$324:IP588,42,FALSE),0)</f>
        <v>7831996.8713862468</v>
      </c>
      <c r="DG13" s="314">
        <f>IFERROR(VLOOKUP(DG$1,'Výpočet VP 2020'!$A$324:KN588,42,FALSE),0)</f>
        <v>854189.53739487671</v>
      </c>
      <c r="DH13" s="314">
        <f>IFERROR(VLOOKUP(DH$1,'Výpočet VP 2020'!$A$324:AX588,42,FALSE),0)</f>
        <v>2542541.0743335127</v>
      </c>
      <c r="DI13" s="314">
        <f>IFERROR(VLOOKUP(DI$1,'Výpočet VP 2020'!$A$324:BE588,42,FALSE),0)</f>
        <v>1139158.9078340724</v>
      </c>
      <c r="DJ13" s="314">
        <f>IFERROR(VLOOKUP(DJ$1,'Výpočet VP 2020'!$A$324:GV588,42,FALSE),0)</f>
        <v>2237713.3918246417</v>
      </c>
      <c r="DK13" s="314">
        <f>IFERROR(VLOOKUP(DK$1,'Výpočet VP 2020'!$A$324:II588,42,FALSE),0)</f>
        <v>2610665.6237954157</v>
      </c>
      <c r="DL13" s="314">
        <f>IFERROR(VLOOKUP(DL$1,'Výpočet VP 2020'!$A$324:BU588,42,FALSE),0)</f>
        <v>4473993.2555374205</v>
      </c>
      <c r="DM13" s="314">
        <f>IFERROR(VLOOKUP(DM$1,'Výpočet VP 2020'!$A$324:GI588,42,FALSE),0)</f>
        <v>2420949.4414940039</v>
      </c>
      <c r="DN13" s="314">
        <f>IFERROR(VLOOKUP(DN$1,'Výpočet VP 2020'!$A$324:CJ588,42,FALSE),0)</f>
        <v>3944573.5624590302</v>
      </c>
      <c r="DO13" s="314">
        <f>IFERROR(VLOOKUP(DO$1,'Výpočet VP 2020'!$A$324:ES588,42,FALSE),0)</f>
        <v>1491808.9278830946</v>
      </c>
      <c r="DP13" s="314">
        <f>IFERROR(VLOOKUP(DP$1,'Výpočet VP 2020'!$A$324:IX588,42,FALSE),0)</f>
        <v>4273288.0259972829</v>
      </c>
      <c r="DQ13" s="314">
        <f>IFERROR(VLOOKUP(DQ$1,'Výpočet VP 2020'!$A$324:EQ588,42,FALSE),0)</f>
        <v>4709251.6733165188</v>
      </c>
      <c r="DR13" s="314">
        <f>IFERROR(VLOOKUP(DR$1,'Výpočet VP 2020'!$A$324:KH588,42,FALSE),0)</f>
        <v>5392272.908377694</v>
      </c>
      <c r="DS13" s="314">
        <f>IFERROR(VLOOKUP(DS$1,'Výpočet VP 2020'!$A$324:GJ588,42,FALSE),0)</f>
        <v>1729310.8899851122</v>
      </c>
      <c r="DT13" s="314">
        <f>IFERROR(VLOOKUP(DT$1,'Výpočet VP 2020'!$A$324:IN588,42,FALSE),0)</f>
        <v>4430608.8151310459</v>
      </c>
      <c r="DU13" s="314">
        <f>IFERROR(VLOOKUP(DU$1,'Výpočet VP 2020'!$A$324:IK588,42,FALSE),0)</f>
        <v>2538154.1570197763</v>
      </c>
      <c r="DV13" s="314">
        <f>IFERROR(VLOOKUP(DV$1,'Výpočet VP 2020'!$A$324:GB588,42,FALSE),0)</f>
        <v>7715066.8911256026</v>
      </c>
      <c r="DW13" s="314">
        <f>IFERROR(VLOOKUP(DW$1,'Výpočet VP 2020'!$A$324:HT588,42,FALSE),0)</f>
        <v>1406369.022017373</v>
      </c>
      <c r="DX13" s="314">
        <f>IFERROR(VLOOKUP(DX$1,'Výpočet VP 2020'!$A$324:DP588,42,FALSE),0)</f>
        <v>4475426.7836492835</v>
      </c>
      <c r="DY13" s="314">
        <f>IFERROR(VLOOKUP(DY$1,'Výpočet VP 2020'!$A$324:BO588,42,FALSE),0)</f>
        <v>4731142.7504826486</v>
      </c>
      <c r="DZ13" s="314">
        <f>IFERROR(VLOOKUP(DZ$1,'Výpočet VP 2020'!$A$324:DZ588,42,FALSE),0)</f>
        <v>770133.71150518791</v>
      </c>
      <c r="EA13" s="314">
        <f>IFERROR(VLOOKUP(EA$1,'Výpočet VP 2020'!$A$324:DJ588,42,FALSE),0)</f>
        <v>3517972.7647054419</v>
      </c>
      <c r="EB13" s="314">
        <f>IFERROR(VLOOKUP(EB$1,'Výpočet VP 2020'!$A$324:EE588,42,FALSE),0)</f>
        <v>5976412.8583436497</v>
      </c>
      <c r="EC13" s="314">
        <f>IFERROR(VLOOKUP(EC$1,'Výpočet VP 2020'!$A$324:BH588,42,FALSE),0)</f>
        <v>3312237.7834975314</v>
      </c>
      <c r="ED13" s="314">
        <f>IFERROR(VLOOKUP(ED$1,'Výpočet VP 2020'!$A$324:JK588,42,FALSE),0)</f>
        <v>3891133.2612115145</v>
      </c>
      <c r="EE13" s="314">
        <f>IFERROR(VLOOKUP(EE$1,'Výpočet VP 2020'!$A$324:CH588,42,FALSE),0)</f>
        <v>854189.53739487671</v>
      </c>
      <c r="EF13" s="314">
        <f>IFERROR(VLOOKUP(EF$1,'Výpočet VP 2020'!$A$324:FU588,42,FALSE),0)</f>
        <v>928466.88847269223</v>
      </c>
      <c r="EG13" s="314">
        <f>IFERROR(VLOOKUP(EG$1,'Výpočet VP 2020'!$A$324:HI588,42,FALSE),0)</f>
        <v>445664.10646689229</v>
      </c>
      <c r="EH13" s="314">
        <f>IFERROR(VLOOKUP(EH$1,'Výpočet VP 2020'!$A$324:DV588,42,FALSE),0)</f>
        <v>799811.80860682938</v>
      </c>
      <c r="EI13" s="314">
        <f>IFERROR(VLOOKUP(EI$1,'Výpočet VP 2020'!$A$324:BR588,42,FALSE),0)</f>
        <v>1311636.3759544892</v>
      </c>
      <c r="EJ13" s="314">
        <f>IFERROR(VLOOKUP(EJ$1,'Výpočet VP 2020'!$A$324:EH588,42,FALSE),0)</f>
        <v>1193447.1423064759</v>
      </c>
      <c r="EK13" s="314">
        <f>IFERROR(VLOOKUP(EK$1,'Výpočet VP 2020'!$A$324:CP588,42,FALSE),0)</f>
        <v>3733481.0875684507</v>
      </c>
      <c r="EL13" s="314">
        <f>IFERROR(VLOOKUP(EL$1,'Výpočet VP 2020'!$A$324:JV588,42,FALSE),0)</f>
        <v>11834171.525295848</v>
      </c>
      <c r="EM13" s="314">
        <f>IFERROR(VLOOKUP(EM$1,'Výpočet VP 2020'!$A$324:EN588,42,FALSE),0)</f>
        <v>3398690.3194428757</v>
      </c>
      <c r="EN13" s="314">
        <f>IFERROR(VLOOKUP(EN$1,'Výpočet VP 2020'!$A$324:FN588,42,FALSE),0)</f>
        <v>2516394.0239095907</v>
      </c>
      <c r="EO13" s="314">
        <f>IFERROR(VLOOKUP(EO$1,'Výpočet VP 2020'!$A$324:JS588,42,FALSE),0)</f>
        <v>297109.40431126149</v>
      </c>
      <c r="EP13" s="314">
        <f>IFERROR(VLOOKUP(EP$1,'Výpočet VP 2020'!$A$324:FP588,42,FALSE),0)</f>
        <v>3184329.1261055968</v>
      </c>
      <c r="EQ13" s="314">
        <f>IFERROR(VLOOKUP(EQ$1,'Výpočet VP 2020'!$A$324:HQ588,42,FALSE),0)</f>
        <v>1864761.1598538682</v>
      </c>
      <c r="ER13" s="314">
        <f>IFERROR(VLOOKUP(ER$1,'Výpočet VP 2020'!$A$324:BM588,42,FALSE),0)</f>
        <v>12801531.417957775</v>
      </c>
      <c r="ES13" s="314">
        <f>IFERROR(VLOOKUP(ES$1,'Výpočet VP 2020'!$A$324:KD588,42,FALSE),0)</f>
        <v>4377510.420380271</v>
      </c>
      <c r="ET13" s="314">
        <f>IFERROR(VLOOKUP(ET$1,'Výpočet VP 2020'!$A$324:HJ588,42,FALSE),0)</f>
        <v>1009463.051162631</v>
      </c>
      <c r="EU13" s="314">
        <f>IFERROR(VLOOKUP(EU$1,'Výpočet VP 2020'!$A$324:FL588,42,FALSE),0)</f>
        <v>2867783.9144364195</v>
      </c>
      <c r="EV13" s="314">
        <f>IFERROR(VLOOKUP(EV$1,'Výpočet VP 2020'!$A$324:EJ588,42,FALSE),0)</f>
        <v>742773.51077815378</v>
      </c>
      <c r="EW13" s="314">
        <f>IFERROR(VLOOKUP(EW$1,'Výpočet VP 2020'!$A$324:DQ588,42,FALSE),0)</f>
        <v>4473993.2555374205</v>
      </c>
      <c r="EX13" s="314">
        <f>IFERROR(VLOOKUP(EX$1,'Výpočet VP 2020'!$A$324:IM588,42,FALSE),0)</f>
        <v>12601454.267581619</v>
      </c>
      <c r="EY13" s="314">
        <f>IFERROR(VLOOKUP(EY$1,'Výpočet VP 2020'!$A$324:FB588,42,FALSE),0)</f>
        <v>3235363.7450266159</v>
      </c>
      <c r="EZ13" s="314">
        <f>IFERROR(VLOOKUP(EZ$1,'Výpočet VP 2020'!$A$324:GN588,42,FALSE),0)</f>
        <v>1180543.1487498037</v>
      </c>
      <c r="FA13" s="314">
        <f>IFERROR(VLOOKUP(FA$1,'Výpočet VP 2020'!$A$324:BJ588,42,FALSE),0)</f>
        <v>2643559.424768026</v>
      </c>
      <c r="FB13" s="314">
        <f>IFERROR(VLOOKUP(FB$1,'Výpočet VP 2020'!$A$324:KA588,42,FALSE),0)</f>
        <v>265664.49062636285</v>
      </c>
      <c r="FC13" s="314">
        <f>IFERROR(VLOOKUP(FC$1,'Výpočet VP 2020'!$A$324:KQ588,42,FALSE),0)</f>
        <v>8081615.4215486925</v>
      </c>
      <c r="FD13" s="314">
        <f>IFERROR(VLOOKUP(FD$1,'Výpočet VP 2020'!$A$324:CS588,42,FALSE),0)</f>
        <v>1664055.933514433</v>
      </c>
      <c r="FE13" s="314">
        <f>IFERROR(VLOOKUP(FE$1,'Výpočet VP 2020'!$A$324:BN588,42,FALSE),0)</f>
        <v>813440.58884631132</v>
      </c>
      <c r="FF13" s="314">
        <f>IFERROR(VLOOKUP(FF$1,'Výpočet VP 2020'!$A$324:EY588,42,FALSE),0)</f>
        <v>3200382.8544894438</v>
      </c>
      <c r="FG13" s="314">
        <f>IFERROR(VLOOKUP(FG$1,'Výpočet VP 2020'!$A$324:FM588,42,FALSE),0)</f>
        <v>10234922.019552525</v>
      </c>
      <c r="FH13" s="314">
        <f>IFERROR(VLOOKUP(FH$1,'Výpočet VP 2020'!$A$324:BI588,42,FALSE),0)</f>
        <v>12020924.688991101</v>
      </c>
      <c r="FI13" s="314">
        <f>IFERROR(VLOOKUP(FI$1,'Výpočet VP 2020'!$A$324:JD588,42,FALSE),0)</f>
        <v>12032157.560676448</v>
      </c>
      <c r="FJ13" s="314">
        <f>IFERROR(VLOOKUP(FJ$1,'Výpočet VP 2020'!$A$324:GP588,42,FALSE),0)</f>
        <v>3992300.1421770533</v>
      </c>
      <c r="FK13" s="314">
        <f>IFERROR(VLOOKUP(FK$1,'Výpočet VP 2020'!$A$324:FI588,42,FALSE),0)</f>
        <v>963386.22672073392</v>
      </c>
      <c r="FL13" s="314">
        <f>IFERROR(VLOOKUP(FL$1,'Výpočet VP 2020'!$A$324:CD588,42,FALSE),0)</f>
        <v>1203612.7840607695</v>
      </c>
      <c r="FM13" s="314">
        <f>IFERROR(VLOOKUP(FM$1,'Výpočet VP 2020'!$A$324:GS588,42,FALSE),0)</f>
        <v>5747603.6565853953</v>
      </c>
      <c r="FN13" s="314">
        <f>IFERROR(VLOOKUP(FN$1,'Výpočet VP 2020'!$A$324:AT588,42,FALSE),0)</f>
        <v>7963831.4799554544</v>
      </c>
      <c r="FO13" s="314">
        <f>IFERROR(VLOOKUP(FO$1,'Výpočet VP 2020'!$A$324:JZ588,42,FALSE),0)</f>
        <v>3142946.1483755559</v>
      </c>
      <c r="FP13" s="314">
        <f>IFERROR(VLOOKUP(FP$1,'Výpočet VP 2020'!$A$324:EI588,42,FALSE),0)</f>
        <v>19436918.394972485</v>
      </c>
      <c r="FQ13" s="314">
        <f>IFERROR(VLOOKUP(FQ$1,'Výpočet VP 2020'!$A$324:FV588,42,FALSE),0)</f>
        <v>2412521.9484436484</v>
      </c>
      <c r="FR13" s="314">
        <f>IFERROR(VLOOKUP(FR$1,'Výpočet VP 2020'!$A$324:HO588,42,FALSE),0)</f>
        <v>3847203.2896098206</v>
      </c>
      <c r="FS13" s="314">
        <f>IFERROR(VLOOKUP(FS$1,'Výpočet VP 2020'!$A$324:EU588,42,FALSE),0)</f>
        <v>975513.36972985521</v>
      </c>
      <c r="FT13" s="314">
        <f>IFERROR(VLOOKUP(FT$1,'Výpočet VP 2020'!$A$324:AR588,42,FALSE),0)</f>
        <v>5871693.3263162933</v>
      </c>
      <c r="FU13" s="314">
        <f>IFERROR(VLOOKUP(FU$1,'Výpočet VP 2020'!$A$324:EP588,42,FALSE),0)</f>
        <v>840045.66849283664</v>
      </c>
      <c r="FV13" s="314">
        <f>IFERROR(VLOOKUP(FV$1,'Výpočet VP 2020'!$A$324:JQ588,42,FALSE),0)</f>
        <v>1864671.3198748971</v>
      </c>
      <c r="FW13" s="314">
        <f>IFERROR(VLOOKUP(FW$1,'Výpočet VP 2020'!$A$324:IF588,42,FALSE),0)</f>
        <v>2485175.9672305044</v>
      </c>
      <c r="FX13" s="314">
        <f>IFERROR(VLOOKUP(FX$1,'Výpočet VP 2020'!$A$324:BL588,42,FALSE),0)</f>
        <v>1025431.0615861824</v>
      </c>
      <c r="FY13" s="314">
        <f>IFERROR(VLOOKUP(FY$1,'Výpočet VP 2020'!$A$324:FG588,42,FALSE),0)</f>
        <v>591907.25956185197</v>
      </c>
      <c r="FZ13" s="314">
        <f>IFERROR(VLOOKUP(FZ$1,'Výpočet VP 2020'!$A$324:HS588,42,FALSE),0)</f>
        <v>7845845.0490599889</v>
      </c>
      <c r="GA13" s="314">
        <f>IFERROR(VLOOKUP(GA$1,'Výpočet VP 2020'!$A$324:DL588,42,FALSE),0)</f>
        <v>992170.48958755797</v>
      </c>
      <c r="GB13" s="314">
        <f>IFERROR(VLOOKUP(GB$1,'Výpočet VP 2020'!$A$324:BT588,42,FALSE),0)</f>
        <v>7078594.4862977713</v>
      </c>
      <c r="GC13" s="314">
        <f>IFERROR(VLOOKUP(GC$1,'Výpočet VP 2020'!$A$324:DG588,42,FALSE),0)</f>
        <v>3992300.1421770533</v>
      </c>
      <c r="GD13" s="314">
        <f>IFERROR(VLOOKUP(GD$1,'Výpočet VP 2020'!$A$324:AQ588,42,FALSE),0)</f>
        <v>14793188.350004137</v>
      </c>
      <c r="GE13" s="314">
        <f>IFERROR(VLOOKUP(GE$1,'Výpočet VP 2020'!$A$324:EB588,42,FALSE),0)</f>
        <v>2386894.2846129518</v>
      </c>
      <c r="GF13" s="314">
        <f>IFERROR(VLOOKUP(GF$1,'Výpočet VP 2020'!$A$324:KR588,42,FALSE),0)</f>
        <v>5289600.1778761428</v>
      </c>
      <c r="GG13" s="314">
        <f>IFERROR(VLOOKUP(GG$1,'Výpočet VP 2020'!$A$324:ED588,42,FALSE),0)</f>
        <v>1675672.3627191633</v>
      </c>
      <c r="GH13" s="314">
        <f>IFERROR(VLOOKUP(GH$1,'Výpočet VP 2020'!$A$324:CR588,42,FALSE),0)</f>
        <v>1500741.4312772285</v>
      </c>
      <c r="GI13" s="314">
        <f>IFERROR(VLOOKUP(GI$1,'Výpočet VP 2020'!$A$324:EX588,42,FALSE),0)</f>
        <v>15318249.086967468</v>
      </c>
      <c r="GJ13" s="314">
        <f>IFERROR(VLOOKUP(GJ$1,'Výpočet VP 2020'!$A$324:JR588,42,FALSE),0)</f>
        <v>3655791.4773473097</v>
      </c>
      <c r="GK13" s="314">
        <f>IFERROR(VLOOKUP(GK$1,'Výpočet VP 2020'!$A$324:HH588,42,FALSE),0)</f>
        <v>3315671.4994501965</v>
      </c>
      <c r="GL13" s="314">
        <f>IFERROR(VLOOKUP(GL$1,'Výpočet VP 2020'!$A$324:ER588,42,FALSE),0)</f>
        <v>1306920.953704515</v>
      </c>
      <c r="GM13" s="314">
        <f>IFERROR(VLOOKUP(GM$1,'Výpočet VP 2020'!$A$324:HM588,42,FALSE),0)</f>
        <v>1544957.978629787</v>
      </c>
      <c r="GN13" s="314">
        <f>IFERROR(VLOOKUP(GN$1,'Výpočet VP 2020'!$A$324:AV588,42,FALSE),0)</f>
        <v>1437939.4422340516</v>
      </c>
      <c r="GO13" s="314">
        <f>IFERROR(VLOOKUP(GO$1,'Výpočet VP 2020'!$A$324:DR588,42,FALSE),0)</f>
        <v>9403110.7931909356</v>
      </c>
      <c r="GP13" s="314">
        <f>IFERROR(VLOOKUP(GP$1,'Výpočet VP 2020'!$A$324:KS588,42,FALSE),0)</f>
        <v>1324656.0617410089</v>
      </c>
      <c r="GQ13" s="314">
        <f>IFERROR(VLOOKUP(GQ$1,'Výpočet VP 2020'!$A$324:BB588,42,FALSE),0)</f>
        <v>2857444.9764231946</v>
      </c>
      <c r="GR13" s="314">
        <f>IFERROR(VLOOKUP(GR$1,'Výpočet VP 2020'!$A$324:FA588,42,FALSE),0)</f>
        <v>1671114.6056514834</v>
      </c>
      <c r="GS13" s="314">
        <f>IFERROR(VLOOKUP(GS$1,'Výpočet VP 2020'!$A$324:JB588,42,FALSE),0)</f>
        <v>963386.22672073392</v>
      </c>
      <c r="GT13" s="314">
        <f>IFERROR(VLOOKUP(GT$1,'Výpočet VP 2020'!$A$324:HP588,42,FALSE),0)</f>
        <v>14779349.532092277</v>
      </c>
      <c r="GU13" s="314">
        <f>IFERROR(VLOOKUP(GU$1,'Výpočet VP 2020'!$A$324:FQ588,42,FALSE),0)</f>
        <v>2162643.1188159068</v>
      </c>
      <c r="GV13" s="314">
        <f>IFERROR(VLOOKUP(GV$1,'Výpočet VP 2020'!$A$324:EM588,42,FALSE),0)</f>
        <v>8312921.1856662463</v>
      </c>
      <c r="GW13" s="314">
        <f>IFERROR(VLOOKUP(GW$1,'Výpočet VP 2020'!$A$324:DD588,42,FALSE),0)</f>
        <v>2236996.6277687103</v>
      </c>
      <c r="GX13" s="314">
        <f>IFERROR(VLOOKUP(GX$1,'Výpočet VP 2020'!$A$324:HF588,42,FALSE),0)</f>
        <v>846629.33977144712</v>
      </c>
      <c r="GY13" s="314">
        <f>IFERROR(VLOOKUP(GY$1,'Výpočet VP 2020'!$A$324:KK588,42,FALSE),0)</f>
        <v>34757171.494393662</v>
      </c>
      <c r="GZ13" s="314">
        <f>IFERROR(VLOOKUP(GZ$1,'Výpočet VP 2020'!$A$324:FW588,42,FALSE),0)</f>
        <v>4016004.3026968315</v>
      </c>
      <c r="HA13" s="314">
        <f>IFERROR(VLOOKUP(HA$1,'Výpočet VP 2020'!$A$324:EL588,42,FALSE),0)</f>
        <v>11838145.191237042</v>
      </c>
      <c r="HB13" s="314">
        <f>IFERROR(VLOOKUP(HB$1,'Výpočet VP 2020'!$A$324:FH588,42,FALSE),0)</f>
        <v>10271504.099015649</v>
      </c>
      <c r="HC13" s="314">
        <f>IFERROR(VLOOKUP(HC$1,'Výpočet VP 2020'!$A$324:CI588,42,FALSE),0)</f>
        <v>14671141.782730402</v>
      </c>
      <c r="HD13" s="314">
        <f>IFERROR(VLOOKUP(HD$1,'Výpočet VP 2020'!$A$324:HY588,42,FALSE),0)</f>
        <v>3992300.1421770533</v>
      </c>
      <c r="HE13" s="314">
        <f>IFERROR(VLOOKUP(HE$1,'Výpočet VP 2020'!$A$324:JF588,42,FALSE),0)</f>
        <v>11616198.576157156</v>
      </c>
      <c r="HF13" s="314">
        <f>IFERROR(VLOOKUP(HF$1,'Výpočet VP 2020'!$A$324:FJ588,42,FALSE),0)</f>
        <v>2842779.4108599741</v>
      </c>
      <c r="HG13" s="314">
        <f>IFERROR(VLOOKUP(HG$1,'Výpočet VP 2020'!$A$324:DA588,42,FALSE),0)</f>
        <v>1616456.7877398005</v>
      </c>
      <c r="HH13" s="314">
        <f>IFERROR(VLOOKUP(HH$1,'Výpočet VP 2020'!$A$324:KI588,42,FALSE),0)</f>
        <v>3510607.0288166855</v>
      </c>
      <c r="HI13" s="314">
        <f>IFERROR(VLOOKUP(HI$1,'Výpočet VP 2020'!$A$324:DY588,42,FALSE),0)</f>
        <v>4955686.3688977864</v>
      </c>
      <c r="HJ13" s="314">
        <f>IFERROR(VLOOKUP(HJ$1,'Výpočet VP 2020'!$A$324:GG588,42,FALSE),0)</f>
        <v>1491808.9278830946</v>
      </c>
      <c r="HK13" s="314">
        <f>IFERROR(VLOOKUP(HK$1,'Výpočet VP 2020'!$A$324:KE588,42,FALSE),0)</f>
        <v>1266277.618266366</v>
      </c>
      <c r="HL13" s="314">
        <f>IFERROR(VLOOKUP(HL$1,'Výpočet VP 2020'!$A$324:FC588,42,FALSE),0)</f>
        <v>43047174.374081343</v>
      </c>
      <c r="HM13" s="314">
        <f>IFERROR(VLOOKUP(HM$1,'Výpočet VP 2020'!$A$324:IZ588,42,FALSE),0)</f>
        <v>24315023.422150649</v>
      </c>
      <c r="HN13" s="314">
        <f>IFERROR(VLOOKUP(HN$1,'Výpočet VP 2020'!$A$324:GM588,42,FALSE),0)</f>
        <v>773502.96210955526</v>
      </c>
      <c r="HO13" s="314">
        <f>IFERROR(VLOOKUP(HO$1,'Výpočet VP 2020'!$A$324:DS588,42,FALSE),0)</f>
        <v>2685256.0701895705</v>
      </c>
      <c r="HP13" s="314">
        <f>IFERROR(VLOOKUP(HP$1,'Výpočet VP 2020'!$A$324:EV588,42,FALSE),0)</f>
        <v>33215261.641752195</v>
      </c>
      <c r="HQ13" s="314">
        <f>IFERROR(VLOOKUP(HQ$1,'Výpočet VP 2020'!$A$324:DM588,42,FALSE),0)</f>
        <v>1032559.9409537764</v>
      </c>
      <c r="HR13" s="314">
        <f>IFERROR(VLOOKUP(HR$1,'Výpočet VP 2020'!$A$324:DN588,42,FALSE),0)</f>
        <v>36614806.545883656</v>
      </c>
      <c r="HS13" s="314">
        <f>IFERROR(VLOOKUP(HS$1,'Výpočet VP 2020'!$A$324:GW588,42,FALSE),0)</f>
        <v>7195414.637391096</v>
      </c>
      <c r="HT13" s="314">
        <f>IFERROR(VLOOKUP(HT$1,'Výpočet VP 2020'!$A$324:FT588,42,FALSE),0)</f>
        <v>18595469.590470783</v>
      </c>
      <c r="HU13" s="314">
        <f>IFERROR(VLOOKUP(HU$1,'Výpočet VP 2020'!$A$324:AZ588,42,FALSE),0)</f>
        <v>27484085.005208258</v>
      </c>
      <c r="HV13" s="314">
        <f>IFERROR(VLOOKUP(HV$1,'Výpočet VP 2020'!$A$324:GZ588,42,FALSE),0)</f>
        <v>23544168.980021723</v>
      </c>
      <c r="HW13" s="314">
        <f>IFERROR(VLOOKUP(HW$1,'Výpočet VP 2020'!$A$324:DB588,42,FALSE),0)</f>
        <v>5603903.9405486807</v>
      </c>
      <c r="HX13" s="314">
        <f>IFERROR(VLOOKUP(HX$1,'Výpočet VP 2020'!$A$324:DX588,42,FALSE),0)</f>
        <v>25691721.341380894</v>
      </c>
      <c r="HY13" s="314">
        <f>IFERROR(VLOOKUP(HY$1,'Výpočet VP 2020'!$A$324:EW588,42,FALSE),0)</f>
        <v>20392282.173444685</v>
      </c>
      <c r="HZ13" s="314">
        <f>IFERROR(VLOOKUP(HZ$1,'Výpočet VP 2020'!$A$324:FE588,42,FALSE),0)</f>
        <v>10920004.97769383</v>
      </c>
      <c r="IA13" s="314">
        <f>IFERROR(VLOOKUP(IA$1,'Výpočet VP 2020'!$A$324:EA588,42,FALSE),0)</f>
        <v>11964721.15817537</v>
      </c>
      <c r="IB13" s="314">
        <f>IFERROR(VLOOKUP(IB$1,'Výpočet VP 2020'!$A$324:CV588,42,FALSE),0)</f>
        <v>9823113.9004964307</v>
      </c>
      <c r="IC13" s="314">
        <f>IFERROR(VLOOKUP(IC$1,'Výpočet VP 2020'!$A$324:JA588,42,FALSE),0)</f>
        <v>18429766.354838438</v>
      </c>
      <c r="ID13" s="314">
        <f>IFERROR(VLOOKUP(ID$1,'Výpočet VP 2020'!$A$324:CC588,42,FALSE),0)</f>
        <v>12416191.317817554</v>
      </c>
      <c r="IE13" s="314">
        <f>IFERROR(VLOOKUP(IE$1,'Výpočet VP 2020'!$A$324:CY588,42,FALSE),0)</f>
        <v>19994059.517665572</v>
      </c>
      <c r="IF13" s="314">
        <f>IFERROR(VLOOKUP(IF$1,'Výpočet VP 2020'!$A$324:KF588,42,FALSE),0)</f>
        <v>17198633.588044822</v>
      </c>
      <c r="IG13" s="314">
        <f>IFERROR(VLOOKUP(IG$1,'Výpočet VP 2020'!$A$324:IE588,42,FALSE),0)</f>
        <v>5290219.0727247903</v>
      </c>
      <c r="IH13" s="314">
        <f>IFERROR(VLOOKUP(IH$1,'Výpočet VP 2020'!$A$324:IT588,42,FALSE),0)</f>
        <v>4013505.4274126575</v>
      </c>
      <c r="II13" s="314">
        <f>IFERROR(VLOOKUP(II$1,'Výpočet VP 2020'!$A$324:FK588,42,FALSE),0)</f>
        <v>19813983.129812181</v>
      </c>
      <c r="IJ13" s="314">
        <f>IFERROR(VLOOKUP(IJ$1,'Výpočet VP 2020'!$A$324:EK588,42,FALSE),0)</f>
        <v>2183526.9397355039</v>
      </c>
      <c r="IK13" s="314">
        <f>IFERROR(VLOOKUP(IK$1,'Výpočet VP 2020'!$A$324:HX588,42,FALSE),0)</f>
        <v>3438619.5787705323</v>
      </c>
      <c r="IL13" s="314">
        <f>IFERROR(VLOOKUP(IL$1,'Výpočet VP 2020'!$A$324:BW588,42,FALSE),0)</f>
        <v>10265880.700098794</v>
      </c>
      <c r="IM13" s="314">
        <f>IFERROR(VLOOKUP(IM$1,'Výpočet VP 2020'!$A$324:BX588,42,FALSE),0)</f>
        <v>576689.35844624322</v>
      </c>
      <c r="IN13" s="314">
        <f>IFERROR(VLOOKUP(IN$1,'Výpočet VP 2020'!$A$324:GY588,42,FALSE),0)</f>
        <v>10983989.105203958</v>
      </c>
      <c r="IO13" s="314">
        <f>IFERROR(VLOOKUP(IO$1,'Výpočet VP 2020'!$A$324:KP588,42,FALSE),0)</f>
        <v>4175281.5630752468</v>
      </c>
      <c r="IP13" s="314">
        <f>IFERROR(VLOOKUP(IP$1,'Výpočet VP 2020'!$A$324:JY588,42,FALSE),0)</f>
        <v>22497527.177580558</v>
      </c>
      <c r="IQ13" s="314">
        <f>IFERROR(VLOOKUP(IQ$1,'Výpočet VP 2020'!$A$324:DU588,42,FALSE),0)</f>
        <v>22486957.282894928</v>
      </c>
      <c r="IR13" s="314">
        <f>IFERROR(VLOOKUP(IR$1,'Výpočet VP 2020'!$A$324:EC588,42,FALSE),0)</f>
        <v>1066302.6090348614</v>
      </c>
      <c r="IS13" s="314">
        <f>IFERROR(VLOOKUP(IS$1,'Výpočet VP 2020'!$A$324:IB588,42,FALSE),0)</f>
        <v>65767680.859087437</v>
      </c>
      <c r="IT13" s="314">
        <f>IFERROR(VLOOKUP(IT$1,'Výpočet VP 2020'!$A$324:FY588,42,FALSE),0)</f>
        <v>16722565.344563767</v>
      </c>
      <c r="IU13" s="314">
        <f>IFERROR(VLOOKUP(IU$1,'Výpočet VP 2020'!$A$324:HN588,42,FALSE),0)</f>
        <v>3667436.7806406175</v>
      </c>
      <c r="IV13" s="314">
        <f>IFERROR(VLOOKUP(IV$1,'Výpočet VP 2020'!$A$324:DO588,42,FALSE),0)</f>
        <v>8866275.6764279809</v>
      </c>
      <c r="IW13" s="314">
        <f>IFERROR(VLOOKUP(IW$1,'Výpočet VP 2020'!$A$324:FR588,42,FALSE),0)</f>
        <v>14122596.481906652</v>
      </c>
      <c r="IX13" s="314">
        <f>IFERROR(VLOOKUP(IX$1,'Výpočet VP 2020'!$A$324:BG588,42,FALSE),0)</f>
        <v>2148999.2969357027</v>
      </c>
      <c r="IY13" s="314">
        <f>IFERROR(VLOOKUP(IY$1,'Výpočet VP 2020'!$A$324:HK588,42,FALSE),0)</f>
        <v>11376964.50882945</v>
      </c>
      <c r="IZ13" s="314">
        <f>IFERROR(VLOOKUP(IZ$1,'Výpočet VP 2020'!$A$324:GA588,42,FALSE),0)</f>
        <v>25280595.996755749</v>
      </c>
      <c r="JA13" s="314">
        <f>IFERROR(VLOOKUP(JA$1,'Výpočet VP 2020'!$A$324:IS588,42,FALSE),0)</f>
        <v>3082510.0697293384</v>
      </c>
      <c r="JB13" s="314">
        <f>IFERROR(VLOOKUP(JB$1,'Výpočet VP 2020'!$A$324:KO588,42,FALSE),0)</f>
        <v>3801963.0001571975</v>
      </c>
      <c r="JC13" s="314">
        <f>IFERROR(VLOOKUP(JC$1,'Výpočet VP 2020'!$A$324:GE588,42,FALSE),0)</f>
        <v>2169515.4593524667</v>
      </c>
      <c r="JD13" s="314">
        <f>IFERROR(VLOOKUP(JD$1,'Výpočet VP 2020'!$A$324:JX588,42,FALSE),0)</f>
        <v>6713140.1754739247</v>
      </c>
      <c r="JE13" s="314">
        <f>IFERROR(VLOOKUP(JE$1,'Výpočet VP 2020'!$A$324:GR588,42,FALSE),0)</f>
        <v>3693178.4081448922</v>
      </c>
      <c r="JF13" s="314">
        <f>IFERROR(VLOOKUP(JF$1,'Výpočet VP 2020'!$A$324:BD588,42,FALSE),0)</f>
        <v>42724760.148160294</v>
      </c>
      <c r="JG13" s="314">
        <f>IFERROR(VLOOKUP(JG$1,'Výpočet VP 2020'!$A$324:CG588,42,FALSE),0)</f>
        <v>30609469.164951172</v>
      </c>
      <c r="JH13" s="314">
        <f>IFERROR(VLOOKUP(JH$1,'Výpočet VP 2020'!$A$324:IY588,42,FALSE),0)</f>
        <v>1432360.5197921393</v>
      </c>
      <c r="JI13" s="314">
        <f t="shared" si="28"/>
        <v>1595653051.8864341</v>
      </c>
      <c r="JJ13" s="307">
        <f>JI13-JI12</f>
        <v>123672375.88643408</v>
      </c>
      <c r="JK13" s="307"/>
      <c r="JL13" s="307">
        <f t="shared" si="20"/>
        <v>27528808.76244045</v>
      </c>
      <c r="JM13" s="307">
        <f t="shared" si="20"/>
        <v>485242896.51733732</v>
      </c>
      <c r="JN13" s="307">
        <f t="shared" si="20"/>
        <v>362971731.33063805</v>
      </c>
      <c r="JO13" s="307">
        <f t="shared" si="20"/>
        <v>719909615.2760179</v>
      </c>
      <c r="JP13" s="307">
        <f t="shared" si="27"/>
        <v>1595653051.8864336</v>
      </c>
    </row>
    <row r="14" spans="1:276" ht="21" customHeight="1" x14ac:dyDescent="0.25">
      <c r="B14" s="266"/>
      <c r="R14" s="314"/>
      <c r="AK14" s="314">
        <f>AK10-AK15</f>
        <v>1261223.0907816687</v>
      </c>
      <c r="BR14" s="314"/>
      <c r="EV14" s="314"/>
      <c r="JL14" s="627">
        <f t="shared" ref="JL14:JN14" si="29">JL13-JL12</f>
        <v>3502780.7624404505</v>
      </c>
      <c r="JM14" s="627">
        <f>JM13-JM12</f>
        <v>31344792.517337322</v>
      </c>
      <c r="JN14" s="627">
        <f t="shared" si="29"/>
        <v>31625107.330638051</v>
      </c>
      <c r="JO14" s="627">
        <f>JO13-JO12</f>
        <v>57199695.276017904</v>
      </c>
      <c r="JP14" s="627">
        <f t="shared" si="27"/>
        <v>123672375.88643372</v>
      </c>
    </row>
    <row r="15" spans="1:276" x14ac:dyDescent="0.25">
      <c r="B15" s="398" t="s">
        <v>2462</v>
      </c>
      <c r="C15" s="314">
        <f t="shared" ref="C15:BO15" si="30">(C20-C21)*C28*12*1.34</f>
        <v>342265.29123419133</v>
      </c>
      <c r="D15" s="314">
        <f t="shared" si="30"/>
        <v>1177702.655901304</v>
      </c>
      <c r="E15" s="314">
        <f t="shared" si="30"/>
        <v>-262240.22052063321</v>
      </c>
      <c r="F15" s="314">
        <f t="shared" si="30"/>
        <v>367797.81986234616</v>
      </c>
      <c r="G15" s="314">
        <f t="shared" si="30"/>
        <v>-685985.65886851901</v>
      </c>
      <c r="H15" s="314">
        <f t="shared" si="30"/>
        <v>0</v>
      </c>
      <c r="I15" s="314">
        <f t="shared" si="30"/>
        <v>-109065.52006572078</v>
      </c>
      <c r="J15" s="314">
        <f t="shared" si="30"/>
        <v>1034315.2394402931</v>
      </c>
      <c r="K15" s="314">
        <f t="shared" si="30"/>
        <v>0</v>
      </c>
      <c r="L15" s="314">
        <f t="shared" si="30"/>
        <v>0</v>
      </c>
      <c r="M15" s="314">
        <f t="shared" si="30"/>
        <v>981664.32349824475</v>
      </c>
      <c r="N15" s="314">
        <f t="shared" si="30"/>
        <v>-115828.60302667005</v>
      </c>
      <c r="O15" s="314">
        <f t="shared" si="30"/>
        <v>-241488.27525939478</v>
      </c>
      <c r="P15" s="314">
        <f t="shared" si="30"/>
        <v>177985.8373205743</v>
      </c>
      <c r="Q15" s="314">
        <f t="shared" si="30"/>
        <v>-41352.818093055204</v>
      </c>
      <c r="R15" s="314">
        <f t="shared" si="30"/>
        <v>1078372.0030573779</v>
      </c>
      <c r="S15" s="314">
        <f t="shared" si="30"/>
        <v>509790.32247722003</v>
      </c>
      <c r="T15" s="314">
        <f t="shared" si="30"/>
        <v>-489528.7003722231</v>
      </c>
      <c r="U15" s="314">
        <f t="shared" si="30"/>
        <v>112431.15326332145</v>
      </c>
      <c r="V15" s="314">
        <f t="shared" si="30"/>
        <v>756878.09248396102</v>
      </c>
      <c r="W15" s="314">
        <f t="shared" si="30"/>
        <v>281416.12103842251</v>
      </c>
      <c r="X15" s="314">
        <f t="shared" si="30"/>
        <v>-129185.65847580512</v>
      </c>
      <c r="Y15" s="314">
        <f t="shared" si="30"/>
        <v>2415976.4662723579</v>
      </c>
      <c r="Z15" s="314">
        <f t="shared" si="30"/>
        <v>2972592.9699721886</v>
      </c>
      <c r="AA15" s="314">
        <f t="shared" si="30"/>
        <v>-394885.44902487367</v>
      </c>
      <c r="AB15" s="314">
        <f t="shared" si="30"/>
        <v>-103206.0352158928</v>
      </c>
      <c r="AC15" s="314"/>
      <c r="AD15" s="314">
        <f t="shared" si="30"/>
        <v>41293.768493150739</v>
      </c>
      <c r="AE15" s="314">
        <f t="shared" si="30"/>
        <v>140556.34499850788</v>
      </c>
      <c r="AF15" s="314">
        <f t="shared" si="30"/>
        <v>38607.965558032993</v>
      </c>
      <c r="AG15" s="314">
        <f t="shared" si="30"/>
        <v>-125060.75486989686</v>
      </c>
      <c r="AH15" s="314">
        <f t="shared" si="30"/>
        <v>217899.5947568923</v>
      </c>
      <c r="AI15" s="314">
        <f t="shared" si="30"/>
        <v>-263647.54924712441</v>
      </c>
      <c r="AJ15" s="314">
        <f t="shared" si="30"/>
        <v>-212665.70674122276</v>
      </c>
      <c r="AK15" s="314">
        <f t="shared" si="30"/>
        <v>-109893.2707816687</v>
      </c>
      <c r="AL15" s="314">
        <f t="shared" si="30"/>
        <v>251906.8209421084</v>
      </c>
      <c r="AM15" s="314">
        <f t="shared" si="30"/>
        <v>763814.72921833163</v>
      </c>
      <c r="AN15" s="314">
        <f t="shared" si="30"/>
        <v>-121055.19849877896</v>
      </c>
      <c r="AO15" s="314">
        <f t="shared" si="30"/>
        <v>-1101913.3328778169</v>
      </c>
      <c r="AP15" s="314">
        <f t="shared" si="30"/>
        <v>591935.48241244187</v>
      </c>
      <c r="AQ15" s="314">
        <f t="shared" si="30"/>
        <v>-63655.480148889263</v>
      </c>
      <c r="AR15" s="314">
        <f t="shared" si="30"/>
        <v>-102552.51901347302</v>
      </c>
      <c r="AS15" s="314">
        <f t="shared" si="30"/>
        <v>-44681.220223333854</v>
      </c>
      <c r="AT15" s="314">
        <f t="shared" si="30"/>
        <v>-322367.43236834195</v>
      </c>
      <c r="AU15" s="314">
        <f t="shared" si="30"/>
        <v>-97944.939466421318</v>
      </c>
      <c r="AV15" s="314">
        <f t="shared" si="30"/>
        <v>39440.333716616478</v>
      </c>
      <c r="AW15" s="314">
        <f t="shared" si="30"/>
        <v>-52124.334792413159</v>
      </c>
      <c r="AX15" s="314">
        <f t="shared" si="30"/>
        <v>-270115.31108075107</v>
      </c>
      <c r="AY15" s="314">
        <f t="shared" si="30"/>
        <v>-63962.99191914768</v>
      </c>
      <c r="AZ15" s="314">
        <f t="shared" si="30"/>
        <v>0</v>
      </c>
      <c r="BA15" s="314">
        <f t="shared" si="30"/>
        <v>0</v>
      </c>
      <c r="BB15" s="314">
        <f t="shared" si="30"/>
        <v>-309618.68070722395</v>
      </c>
      <c r="BC15" s="314">
        <f t="shared" si="30"/>
        <v>253689.14583333334</v>
      </c>
      <c r="BD15" s="314">
        <f t="shared" si="30"/>
        <v>-70491.396659486665</v>
      </c>
      <c r="BE15" s="314">
        <f t="shared" si="30"/>
        <v>308739.19184710068</v>
      </c>
      <c r="BF15" s="314">
        <f t="shared" si="30"/>
        <v>0</v>
      </c>
      <c r="BG15" s="314">
        <f t="shared" si="30"/>
        <v>0</v>
      </c>
      <c r="BH15" s="314">
        <f t="shared" si="30"/>
        <v>0</v>
      </c>
      <c r="BI15" s="314">
        <f t="shared" si="30"/>
        <v>0</v>
      </c>
      <c r="BJ15" s="314">
        <f t="shared" si="30"/>
        <v>-81837.853564726698</v>
      </c>
      <c r="BK15" s="314">
        <f t="shared" si="30"/>
        <v>-189848.86484108385</v>
      </c>
      <c r="BL15" s="314">
        <f t="shared" si="30"/>
        <v>0</v>
      </c>
      <c r="BM15" s="314">
        <f t="shared" si="30"/>
        <v>-262349.12708161044</v>
      </c>
      <c r="BN15" s="314">
        <f t="shared" si="30"/>
        <v>-52170.350816722595</v>
      </c>
      <c r="BO15" s="314">
        <f t="shared" si="30"/>
        <v>0</v>
      </c>
      <c r="BP15" s="314">
        <f t="shared" ref="BP15:EA15" si="31">(BP20-BP21)*BP28*12*1.34</f>
        <v>26879.75092307707</v>
      </c>
      <c r="BQ15" s="314">
        <f t="shared" si="31"/>
        <v>13524.048319935739</v>
      </c>
      <c r="BR15" s="314">
        <f t="shared" si="31"/>
        <v>-154631.29550250122</v>
      </c>
      <c r="BS15" s="314">
        <f t="shared" si="31"/>
        <v>-12382.298967874071</v>
      </c>
      <c r="BT15" s="314">
        <f t="shared" si="31"/>
        <v>186883.94944166532</v>
      </c>
      <c r="BU15" s="314">
        <f t="shared" si="31"/>
        <v>272218.5123375121</v>
      </c>
      <c r="BV15" s="314">
        <f t="shared" si="31"/>
        <v>-398615.59155145445</v>
      </c>
      <c r="BW15" s="314">
        <f t="shared" si="31"/>
        <v>13510.943557435361</v>
      </c>
      <c r="BX15" s="314">
        <f t="shared" si="31"/>
        <v>-653636.19106335391</v>
      </c>
      <c r="BY15" s="314">
        <f t="shared" si="31"/>
        <v>186475.05697757643</v>
      </c>
      <c r="BZ15" s="314">
        <f t="shared" si="31"/>
        <v>257244.69324837439</v>
      </c>
      <c r="CA15" s="314">
        <f t="shared" si="31"/>
        <v>0</v>
      </c>
      <c r="CB15" s="314">
        <f t="shared" si="31"/>
        <v>-39256.101421467312</v>
      </c>
      <c r="CC15" s="314">
        <f t="shared" si="31"/>
        <v>-117637.66254166378</v>
      </c>
      <c r="CD15" s="314">
        <f t="shared" si="31"/>
        <v>-14512.216855739673</v>
      </c>
      <c r="CE15" s="314">
        <f t="shared" si="31"/>
        <v>232822.41530055879</v>
      </c>
      <c r="CF15" s="314">
        <f t="shared" si="31"/>
        <v>-41247.937451537597</v>
      </c>
      <c r="CG15" s="314">
        <f t="shared" si="31"/>
        <v>217967.10329016089</v>
      </c>
      <c r="CH15" s="314">
        <f t="shared" si="31"/>
        <v>462257.18816362065</v>
      </c>
      <c r="CI15" s="314">
        <f t="shared" si="31"/>
        <v>0</v>
      </c>
      <c r="CJ15" s="314">
        <f t="shared" si="31"/>
        <v>0</v>
      </c>
      <c r="CK15" s="314">
        <f t="shared" si="31"/>
        <v>-89427.366467797081</v>
      </c>
      <c r="CL15" s="314">
        <f t="shared" si="31"/>
        <v>204427.36518856636</v>
      </c>
      <c r="CM15" s="314">
        <f t="shared" si="31"/>
        <v>249848.88755807508</v>
      </c>
      <c r="CN15" s="314">
        <f t="shared" si="31"/>
        <v>-59434.772719491637</v>
      </c>
      <c r="CO15" s="314">
        <f t="shared" si="31"/>
        <v>53212.999832796828</v>
      </c>
      <c r="CP15" s="314">
        <f t="shared" si="31"/>
        <v>-30382.256800304269</v>
      </c>
      <c r="CQ15" s="314">
        <f t="shared" si="31"/>
        <v>-225646.3155760096</v>
      </c>
      <c r="CR15" s="314">
        <f t="shared" si="31"/>
        <v>0</v>
      </c>
      <c r="CS15" s="314">
        <f t="shared" si="31"/>
        <v>0</v>
      </c>
      <c r="CT15" s="314">
        <f t="shared" si="31"/>
        <v>57926.069153157696</v>
      </c>
      <c r="CU15" s="314">
        <f t="shared" si="31"/>
        <v>-7260.7861596786424</v>
      </c>
      <c r="CV15" s="314">
        <f t="shared" si="31"/>
        <v>-798064.91518977657</v>
      </c>
      <c r="CW15" s="314">
        <f t="shared" si="31"/>
        <v>0</v>
      </c>
      <c r="CX15" s="314">
        <f t="shared" si="31"/>
        <v>845437.28301452391</v>
      </c>
      <c r="CY15" s="314">
        <f t="shared" si="31"/>
        <v>134025.595195056</v>
      </c>
      <c r="CZ15" s="314">
        <f t="shared" si="31"/>
        <v>86791.376387353026</v>
      </c>
      <c r="DA15" s="314">
        <f t="shared" si="31"/>
        <v>0</v>
      </c>
      <c r="DB15" s="314">
        <f t="shared" si="31"/>
        <v>-24512.524658825827</v>
      </c>
      <c r="DC15" s="314">
        <f t="shared" si="31"/>
        <v>401799.88360206643</v>
      </c>
      <c r="DD15" s="314">
        <f t="shared" si="31"/>
        <v>0</v>
      </c>
      <c r="DE15" s="314">
        <f t="shared" si="31"/>
        <v>0</v>
      </c>
      <c r="DF15" s="314">
        <f t="shared" si="31"/>
        <v>0</v>
      </c>
      <c r="DG15" s="314">
        <f t="shared" si="31"/>
        <v>0</v>
      </c>
      <c r="DH15" s="314">
        <f t="shared" si="31"/>
        <v>35944.309065452908</v>
      </c>
      <c r="DI15" s="314">
        <f t="shared" si="31"/>
        <v>212745.35069209331</v>
      </c>
      <c r="DJ15" s="314">
        <f t="shared" si="31"/>
        <v>214287.85183354374</v>
      </c>
      <c r="DK15" s="314">
        <f t="shared" si="31"/>
        <v>-10240.133226629352</v>
      </c>
      <c r="DL15" s="314">
        <f t="shared" si="31"/>
        <v>-277072.22180045361</v>
      </c>
      <c r="DM15" s="314">
        <f t="shared" si="31"/>
        <v>-232155.58381385563</v>
      </c>
      <c r="DN15" s="314">
        <f t="shared" si="31"/>
        <v>-344868.19781971403</v>
      </c>
      <c r="DO15" s="314">
        <f t="shared" si="31"/>
        <v>0</v>
      </c>
      <c r="DP15" s="314">
        <f t="shared" si="31"/>
        <v>363207.59321186109</v>
      </c>
      <c r="DQ15" s="314">
        <f t="shared" si="31"/>
        <v>367712.66614726151</v>
      </c>
      <c r="DR15" s="314">
        <f t="shared" si="31"/>
        <v>445560.83637610928</v>
      </c>
      <c r="DS15" s="314">
        <f t="shared" si="31"/>
        <v>0</v>
      </c>
      <c r="DT15" s="314">
        <f t="shared" si="31"/>
        <v>-473573.20137304225</v>
      </c>
      <c r="DU15" s="314">
        <f t="shared" si="31"/>
        <v>-40733.33737315589</v>
      </c>
      <c r="DV15" s="314">
        <f t="shared" si="31"/>
        <v>-1530942.3028013087</v>
      </c>
      <c r="DW15" s="314">
        <f t="shared" si="31"/>
        <v>0</v>
      </c>
      <c r="DX15" s="314">
        <f t="shared" si="31"/>
        <v>290881.24125573988</v>
      </c>
      <c r="DY15" s="314">
        <f t="shared" si="31"/>
        <v>0</v>
      </c>
      <c r="DZ15" s="314">
        <f t="shared" si="31"/>
        <v>0</v>
      </c>
      <c r="EA15" s="314">
        <f t="shared" si="31"/>
        <v>-246252.92638142372</v>
      </c>
      <c r="EB15" s="314">
        <f t="shared" ref="EB15:GM15" si="32">(EB20-EB21)*EB28*12*1.34</f>
        <v>-912030.18562109116</v>
      </c>
      <c r="EC15" s="314">
        <f t="shared" si="32"/>
        <v>-162383.7512384656</v>
      </c>
      <c r="ED15" s="314">
        <f t="shared" si="32"/>
        <v>-317047.92154010548</v>
      </c>
      <c r="EE15" s="314">
        <f t="shared" si="32"/>
        <v>-75012.005428056596</v>
      </c>
      <c r="EF15" s="314">
        <f t="shared" si="32"/>
        <v>-32192.875465278863</v>
      </c>
      <c r="EG15" s="314">
        <f t="shared" si="32"/>
        <v>-12785.220223333856</v>
      </c>
      <c r="EH15" s="314">
        <f t="shared" si="32"/>
        <v>0</v>
      </c>
      <c r="EI15" s="314">
        <f t="shared" si="32"/>
        <v>-105679.09090909085</v>
      </c>
      <c r="EJ15" s="314">
        <f t="shared" si="32"/>
        <v>83795.534311223368</v>
      </c>
      <c r="EK15" s="314">
        <f t="shared" si="32"/>
        <v>0</v>
      </c>
      <c r="EL15" s="314">
        <f t="shared" si="32"/>
        <v>0</v>
      </c>
      <c r="EM15" s="314">
        <f t="shared" si="32"/>
        <v>0</v>
      </c>
      <c r="EN15" s="314">
        <f t="shared" si="32"/>
        <v>-245140.84526450967</v>
      </c>
      <c r="EO15" s="314">
        <f t="shared" si="32"/>
        <v>-90118.146815555898</v>
      </c>
      <c r="EP15" s="314">
        <f t="shared" si="32"/>
        <v>-200492.56531707928</v>
      </c>
      <c r="EQ15" s="314">
        <f t="shared" si="32"/>
        <v>-474030.50442442781</v>
      </c>
      <c r="ER15" s="314">
        <f t="shared" si="32"/>
        <v>-1885718.3433190575</v>
      </c>
      <c r="ES15" s="314">
        <f t="shared" si="32"/>
        <v>-113544.62692626475</v>
      </c>
      <c r="ET15" s="314">
        <f t="shared" si="32"/>
        <v>0</v>
      </c>
      <c r="EU15" s="314">
        <f t="shared" si="32"/>
        <v>0</v>
      </c>
      <c r="EV15" s="314">
        <f t="shared" si="32"/>
        <v>56665.638349069442</v>
      </c>
      <c r="EW15" s="314">
        <f t="shared" si="32"/>
        <v>-348081.49387502647</v>
      </c>
      <c r="EX15" s="314">
        <f t="shared" si="32"/>
        <v>-638432.30795068759</v>
      </c>
      <c r="EY15" s="314">
        <f t="shared" si="32"/>
        <v>-128642.93292250138</v>
      </c>
      <c r="EZ15" s="314">
        <f t="shared" si="32"/>
        <v>-95592.548470118243</v>
      </c>
      <c r="FA15" s="314">
        <f t="shared" si="32"/>
        <v>1476763.5600357614</v>
      </c>
      <c r="FB15" s="314">
        <f t="shared" si="32"/>
        <v>-34229.047308027184</v>
      </c>
      <c r="FC15" s="314">
        <f t="shared" si="32"/>
        <v>1052540.2148394908</v>
      </c>
      <c r="FD15" s="314">
        <f t="shared" si="32"/>
        <v>348657.65590479999</v>
      </c>
      <c r="FE15" s="314">
        <f t="shared" si="32"/>
        <v>5714.6768773479425</v>
      </c>
      <c r="FF15" s="314">
        <f t="shared" si="32"/>
        <v>488484.01052834431</v>
      </c>
      <c r="FG15" s="314">
        <f t="shared" si="32"/>
        <v>24466.228407951068</v>
      </c>
      <c r="FH15" s="314">
        <f t="shared" si="32"/>
        <v>-594400.66413048981</v>
      </c>
      <c r="FI15" s="314">
        <f t="shared" si="32"/>
        <v>-954405.65766166802</v>
      </c>
      <c r="FJ15" s="314">
        <f t="shared" si="32"/>
        <v>-188317.87607209737</v>
      </c>
      <c r="FK15" s="314">
        <f t="shared" si="32"/>
        <v>-110335.8048445452</v>
      </c>
      <c r="FL15" s="314">
        <f t="shared" si="32"/>
        <v>-248265.5884977151</v>
      </c>
      <c r="FM15" s="314">
        <f t="shared" si="32"/>
        <v>-201750.51578717009</v>
      </c>
      <c r="FN15" s="314">
        <f t="shared" si="32"/>
        <v>-577416.09576689464</v>
      </c>
      <c r="FO15" s="314">
        <f t="shared" si="32"/>
        <v>-61105.394861336368</v>
      </c>
      <c r="FP15" s="314">
        <f t="shared" si="32"/>
        <v>-277679.66923819995</v>
      </c>
      <c r="FQ15" s="314">
        <f t="shared" si="32"/>
        <v>-210439.108018117</v>
      </c>
      <c r="FR15" s="314">
        <f t="shared" si="32"/>
        <v>0</v>
      </c>
      <c r="FS15" s="314">
        <f t="shared" si="32"/>
        <v>296437.1629149848</v>
      </c>
      <c r="FT15" s="314">
        <f t="shared" si="32"/>
        <v>1919104.0416594108</v>
      </c>
      <c r="FU15" s="314">
        <f t="shared" si="32"/>
        <v>-45265.732523514867</v>
      </c>
      <c r="FV15" s="314">
        <f t="shared" si="32"/>
        <v>-478055.42113763123</v>
      </c>
      <c r="FW15" s="314">
        <f t="shared" si="32"/>
        <v>318944.20336801169</v>
      </c>
      <c r="FX15" s="314">
        <f t="shared" si="32"/>
        <v>-33449.645086772507</v>
      </c>
      <c r="FY15" s="314">
        <f t="shared" si="32"/>
        <v>-95300.882906727173</v>
      </c>
      <c r="FZ15" s="314">
        <f t="shared" si="32"/>
        <v>327747.96145126916</v>
      </c>
      <c r="GA15" s="314">
        <f t="shared" si="32"/>
        <v>24324.036642340197</v>
      </c>
      <c r="GB15" s="314">
        <f t="shared" si="32"/>
        <v>636419.94348959508</v>
      </c>
      <c r="GC15" s="314">
        <f t="shared" si="32"/>
        <v>-338718.71089530236</v>
      </c>
      <c r="GD15" s="314">
        <f t="shared" si="32"/>
        <v>-1494105.2225657108</v>
      </c>
      <c r="GE15" s="314">
        <f t="shared" si="32"/>
        <v>-98554.569568508174</v>
      </c>
      <c r="GF15" s="314">
        <f t="shared" si="32"/>
        <v>-1194952.5195131919</v>
      </c>
      <c r="GG15" s="314">
        <f t="shared" si="32"/>
        <v>117481.93065662136</v>
      </c>
      <c r="GH15" s="314">
        <f t="shared" si="32"/>
        <v>129523.87259729829</v>
      </c>
      <c r="GI15" s="314">
        <f t="shared" si="32"/>
        <v>386695.97874828178</v>
      </c>
      <c r="GJ15" s="314">
        <f t="shared" si="32"/>
        <v>-123201.05441903298</v>
      </c>
      <c r="GK15" s="314">
        <f t="shared" si="32"/>
        <v>-82104.541052660672</v>
      </c>
      <c r="GL15" s="314">
        <f t="shared" si="32"/>
        <v>304204.95360802393</v>
      </c>
      <c r="GM15" s="314">
        <f t="shared" si="32"/>
        <v>-18224.850808082996</v>
      </c>
      <c r="GN15" s="314">
        <f t="shared" ref="GN15:IY15" si="33">(GN20-GN21)*GN28*12*1.34</f>
        <v>-8330.3877701960664</v>
      </c>
      <c r="GO15" s="314">
        <f t="shared" si="33"/>
        <v>-597882.74445625686</v>
      </c>
      <c r="GP15" s="314">
        <f t="shared" si="33"/>
        <v>-111932.98166124962</v>
      </c>
      <c r="GQ15" s="314">
        <f t="shared" si="33"/>
        <v>-137928.73540103107</v>
      </c>
      <c r="GR15" s="314">
        <f t="shared" si="33"/>
        <v>224112.1279303873</v>
      </c>
      <c r="GS15" s="314">
        <f t="shared" si="33"/>
        <v>285350.19515545462</v>
      </c>
      <c r="GT15" s="314">
        <f t="shared" si="33"/>
        <v>622760.91106360126</v>
      </c>
      <c r="GU15" s="314">
        <f t="shared" si="33"/>
        <v>-102030.66814880611</v>
      </c>
      <c r="GV15" s="314">
        <f t="shared" si="33"/>
        <v>0</v>
      </c>
      <c r="GW15" s="314">
        <f t="shared" si="33"/>
        <v>397375.70697334985</v>
      </c>
      <c r="GX15" s="314">
        <f t="shared" si="33"/>
        <v>122900.89315486379</v>
      </c>
      <c r="GY15" s="314">
        <f t="shared" si="33"/>
        <v>2788618.3666812116</v>
      </c>
      <c r="GZ15" s="314">
        <f t="shared" si="33"/>
        <v>0</v>
      </c>
      <c r="HA15" s="314">
        <f t="shared" si="33"/>
        <v>999242.1126110428</v>
      </c>
      <c r="HB15" s="314">
        <f t="shared" si="33"/>
        <v>1713796.5364742756</v>
      </c>
      <c r="HC15" s="314">
        <f t="shared" si="33"/>
        <v>1446940.1138971357</v>
      </c>
      <c r="HD15" s="314">
        <f t="shared" si="33"/>
        <v>122278.24689477871</v>
      </c>
      <c r="HE15" s="314">
        <f t="shared" si="33"/>
        <v>679200.89978173666</v>
      </c>
      <c r="HF15" s="314">
        <f t="shared" si="33"/>
        <v>-242794.95455501907</v>
      </c>
      <c r="HG15" s="314">
        <f t="shared" si="33"/>
        <v>220963.15552808461</v>
      </c>
      <c r="HH15" s="314">
        <f t="shared" si="33"/>
        <v>0</v>
      </c>
      <c r="HI15" s="314">
        <f t="shared" si="33"/>
        <v>370332.46910863707</v>
      </c>
      <c r="HJ15" s="314">
        <f t="shared" si="33"/>
        <v>680072.41262295097</v>
      </c>
      <c r="HK15" s="314">
        <f t="shared" si="33"/>
        <v>358753.20608304348</v>
      </c>
      <c r="HL15" s="314">
        <f t="shared" si="33"/>
        <v>295227.86046243913</v>
      </c>
      <c r="HM15" s="314">
        <f t="shared" si="33"/>
        <v>3353173.9970160904</v>
      </c>
      <c r="HN15" s="314">
        <f t="shared" si="33"/>
        <v>-83113.601273378488</v>
      </c>
      <c r="HO15" s="314">
        <f t="shared" si="33"/>
        <v>507519.90220025246</v>
      </c>
      <c r="HP15" s="314">
        <f t="shared" si="33"/>
        <v>-1883442.2186719738</v>
      </c>
      <c r="HQ15" s="314">
        <f t="shared" si="33"/>
        <v>134943.55808074438</v>
      </c>
      <c r="HR15" s="314">
        <f t="shared" si="33"/>
        <v>2535524.6314871986</v>
      </c>
      <c r="HS15" s="314">
        <f t="shared" si="33"/>
        <v>-14211.965151664466</v>
      </c>
      <c r="HT15" s="314">
        <f t="shared" si="33"/>
        <v>1085456.5761957499</v>
      </c>
      <c r="HU15" s="314">
        <f t="shared" si="33"/>
        <v>3299862.6926048403</v>
      </c>
      <c r="HV15" s="314">
        <f t="shared" si="33"/>
        <v>1592402.0288383528</v>
      </c>
      <c r="HW15" s="314">
        <f t="shared" si="33"/>
        <v>-565.49077229519594</v>
      </c>
      <c r="HX15" s="314">
        <f t="shared" si="33"/>
        <v>-576687.13167294418</v>
      </c>
      <c r="HY15" s="314">
        <f t="shared" si="33"/>
        <v>3932289.6220227708</v>
      </c>
      <c r="HZ15" s="314">
        <f t="shared" si="33"/>
        <v>-10332.129412174385</v>
      </c>
      <c r="IA15" s="314">
        <f t="shared" si="33"/>
        <v>873489.90351326007</v>
      </c>
      <c r="IB15" s="314">
        <f t="shared" si="33"/>
        <v>1417823.4261204912</v>
      </c>
      <c r="IC15" s="314">
        <f t="shared" si="33"/>
        <v>-1446013.2149478139</v>
      </c>
      <c r="ID15" s="314">
        <f t="shared" si="33"/>
        <v>-155831.97743835318</v>
      </c>
      <c r="IE15" s="314">
        <f t="shared" si="33"/>
        <v>-1061335.1819851368</v>
      </c>
      <c r="IF15" s="314">
        <f t="shared" si="33"/>
        <v>1570868.2845286781</v>
      </c>
      <c r="IG15" s="314">
        <f t="shared" si="33"/>
        <v>0</v>
      </c>
      <c r="IH15" s="314">
        <f t="shared" si="33"/>
        <v>599204.91927969828</v>
      </c>
      <c r="II15" s="314">
        <f t="shared" si="33"/>
        <v>80721.538374304917</v>
      </c>
      <c r="IJ15" s="314">
        <f t="shared" si="33"/>
        <v>-180109.98459361793</v>
      </c>
      <c r="IK15" s="314">
        <f t="shared" si="33"/>
        <v>424985.85834536067</v>
      </c>
      <c r="IL15" s="314">
        <f t="shared" si="33"/>
        <v>1143606.9776071399</v>
      </c>
      <c r="IM15" s="314">
        <f t="shared" si="33"/>
        <v>-16774.870280975832</v>
      </c>
      <c r="IN15" s="314">
        <f t="shared" si="33"/>
        <v>570409.39696999406</v>
      </c>
      <c r="IO15" s="314">
        <f t="shared" si="33"/>
        <v>-438566.15494357405</v>
      </c>
      <c r="IP15" s="314">
        <f t="shared" si="33"/>
        <v>-1530199.0662251285</v>
      </c>
      <c r="IQ15" s="314">
        <f t="shared" si="33"/>
        <v>2188352.1635731496</v>
      </c>
      <c r="IR15" s="314">
        <f t="shared" si="33"/>
        <v>-92743.730127053655</v>
      </c>
      <c r="IS15" s="314">
        <f t="shared" si="33"/>
        <v>1657273.2798378458</v>
      </c>
      <c r="IT15" s="314">
        <f t="shared" si="33"/>
        <v>338271.32882527594</v>
      </c>
      <c r="IU15" s="314">
        <f t="shared" si="33"/>
        <v>2591414.5063129491</v>
      </c>
      <c r="IV15" s="314">
        <f t="shared" si="33"/>
        <v>664855.45452532906</v>
      </c>
      <c r="IW15" s="314">
        <f t="shared" si="33"/>
        <v>-2325006.0519508678</v>
      </c>
      <c r="IX15" s="314">
        <f t="shared" si="33"/>
        <v>-308019.68247632933</v>
      </c>
      <c r="IY15" s="314">
        <f t="shared" si="33"/>
        <v>-404061.48215839796</v>
      </c>
      <c r="IZ15" s="314">
        <f t="shared" ref="IZ15:JH15" si="34">(IZ20-IZ21)*IZ28*12*1.34</f>
        <v>1665074.9802205297</v>
      </c>
      <c r="JA15" s="314">
        <f t="shared" si="34"/>
        <v>-158761.69070314171</v>
      </c>
      <c r="JB15" s="314">
        <f t="shared" si="34"/>
        <v>0</v>
      </c>
      <c r="JC15" s="314">
        <f t="shared" si="34"/>
        <v>-132957.65026689382</v>
      </c>
      <c r="JD15" s="314">
        <f t="shared" si="34"/>
        <v>-538485.26227670815</v>
      </c>
      <c r="JE15" s="314">
        <f t="shared" si="34"/>
        <v>4605944.3083144277</v>
      </c>
      <c r="JF15" s="314">
        <f t="shared" si="34"/>
        <v>827739.12653820869</v>
      </c>
      <c r="JG15" s="314">
        <f t="shared" si="34"/>
        <v>-742898.69584847975</v>
      </c>
      <c r="JH15" s="314">
        <f t="shared" si="34"/>
        <v>-417251.88459429814</v>
      </c>
      <c r="JL15" s="307">
        <f t="shared" ref="JL15:JO16" si="35">SUMIFS($C15:$JH15,$C$5:$JH$5,JL$5)</f>
        <v>1257727.726614862</v>
      </c>
      <c r="JM15" s="307">
        <f t="shared" si="35"/>
        <v>2577346.976735957</v>
      </c>
      <c r="JN15" s="307">
        <f t="shared" si="35"/>
        <v>9074945.0961648673</v>
      </c>
      <c r="JO15" s="307">
        <f t="shared" si="35"/>
        <v>25439067.204023875</v>
      </c>
      <c r="JP15" s="307">
        <f t="shared" ref="JP15:JP16" si="36">SUM(JL15:JO15)</f>
        <v>38349087.003539562</v>
      </c>
    </row>
    <row r="16" spans="1:276" x14ac:dyDescent="0.25">
      <c r="B16" s="398" t="s">
        <v>2457</v>
      </c>
      <c r="C16" s="314">
        <f t="shared" ref="C16:BO16" si="37">C10-C11</f>
        <v>-428415.17438421957</v>
      </c>
      <c r="D16" s="314">
        <f t="shared" si="37"/>
        <v>-131996.51839831285</v>
      </c>
      <c r="E16" s="314">
        <f t="shared" si="37"/>
        <v>728653.78397190571</v>
      </c>
      <c r="F16" s="314">
        <f t="shared" si="37"/>
        <v>303795.70191681106</v>
      </c>
      <c r="G16" s="314">
        <f t="shared" si="37"/>
        <v>117292.69592978247</v>
      </c>
      <c r="H16" s="314">
        <f t="shared" si="37"/>
        <v>0</v>
      </c>
      <c r="I16" s="314">
        <f t="shared" si="37"/>
        <v>189588.12658313033</v>
      </c>
      <c r="J16" s="314">
        <f t="shared" si="37"/>
        <v>-85226.405466991942</v>
      </c>
      <c r="K16" s="314">
        <f t="shared" si="37"/>
        <v>-781544.87848464865</v>
      </c>
      <c r="L16" s="314">
        <f t="shared" si="37"/>
        <v>388761.42305533448</v>
      </c>
      <c r="M16" s="314">
        <f t="shared" si="37"/>
        <v>144809.67871878576</v>
      </c>
      <c r="N16" s="314">
        <f t="shared" si="37"/>
        <v>1329106.659218492</v>
      </c>
      <c r="O16" s="314">
        <f t="shared" si="37"/>
        <v>218148.78788653668</v>
      </c>
      <c r="P16" s="314">
        <f t="shared" si="37"/>
        <v>-107141.29381851899</v>
      </c>
      <c r="Q16" s="314">
        <f t="shared" si="37"/>
        <v>23948.874031807762</v>
      </c>
      <c r="R16" s="314">
        <f t="shared" si="37"/>
        <v>199065.10015248274</v>
      </c>
      <c r="S16" s="314">
        <f t="shared" si="37"/>
        <v>168375.43313657911</v>
      </c>
      <c r="T16" s="314">
        <f t="shared" si="37"/>
        <v>-10146.202984096133</v>
      </c>
      <c r="U16" s="314">
        <f t="shared" si="37"/>
        <v>274868.92552385596</v>
      </c>
      <c r="V16" s="314">
        <f t="shared" si="37"/>
        <v>154078.18667349778</v>
      </c>
      <c r="W16" s="314">
        <f t="shared" si="37"/>
        <v>-880551.46923244372</v>
      </c>
      <c r="X16" s="314">
        <f t="shared" si="37"/>
        <v>82209.654744408559</v>
      </c>
      <c r="Y16" s="314">
        <f t="shared" si="37"/>
        <v>-138923.91430997779</v>
      </c>
      <c r="Z16" s="314">
        <f t="shared" si="37"/>
        <v>-1826165.7097250205</v>
      </c>
      <c r="AA16" s="314">
        <f t="shared" si="37"/>
        <v>80902.312620689627</v>
      </c>
      <c r="AB16" s="314">
        <f t="shared" si="37"/>
        <v>318514.91898563225</v>
      </c>
      <c r="AC16" s="314"/>
      <c r="AD16" s="314">
        <f t="shared" si="37"/>
        <v>333667.45625469671</v>
      </c>
      <c r="AE16" s="314">
        <f t="shared" si="37"/>
        <v>33523.748575862264</v>
      </c>
      <c r="AF16" s="314">
        <f t="shared" si="37"/>
        <v>-520697.19617496245</v>
      </c>
      <c r="AG16" s="314">
        <f t="shared" si="37"/>
        <v>236157.70037606684</v>
      </c>
      <c r="AH16" s="314">
        <f t="shared" si="37"/>
        <v>-491066.14176786132</v>
      </c>
      <c r="AI16" s="314">
        <f t="shared" si="37"/>
        <v>-2067496.9845357994</v>
      </c>
      <c r="AJ16" s="314">
        <f t="shared" si="37"/>
        <v>-1388609.4861314795</v>
      </c>
      <c r="AK16" s="314">
        <f t="shared" si="37"/>
        <v>-219846.7062666018</v>
      </c>
      <c r="AL16" s="314">
        <f t="shared" si="37"/>
        <v>125536.25631034514</v>
      </c>
      <c r="AM16" s="314">
        <f t="shared" si="37"/>
        <v>88780.683733398095</v>
      </c>
      <c r="AN16" s="314">
        <f t="shared" si="37"/>
        <v>284298.78800131124</v>
      </c>
      <c r="AO16" s="314">
        <f t="shared" si="37"/>
        <v>356256.43727512751</v>
      </c>
      <c r="AP16" s="314">
        <f t="shared" si="37"/>
        <v>90466.460429296829</v>
      </c>
      <c r="AQ16" s="314">
        <f t="shared" si="37"/>
        <v>133970.45880636154</v>
      </c>
      <c r="AR16" s="314">
        <f t="shared" si="37"/>
        <v>420875.57597147021</v>
      </c>
      <c r="AS16" s="314">
        <f t="shared" si="37"/>
        <v>133540.18820954236</v>
      </c>
      <c r="AT16" s="314">
        <f t="shared" si="37"/>
        <v>706483.94855476753</v>
      </c>
      <c r="AU16" s="314">
        <f t="shared" si="37"/>
        <v>327490.00892041496</v>
      </c>
      <c r="AV16" s="314">
        <f t="shared" si="37"/>
        <v>59087.393705172464</v>
      </c>
      <c r="AW16" s="314">
        <f t="shared" si="37"/>
        <v>50924.754069619346</v>
      </c>
      <c r="AX16" s="314">
        <f t="shared" si="37"/>
        <v>515018.50198257249</v>
      </c>
      <c r="AY16" s="314">
        <f t="shared" si="37"/>
        <v>198171.54636346735</v>
      </c>
      <c r="AZ16" s="314">
        <f t="shared" si="37"/>
        <v>-393975.12424536236</v>
      </c>
      <c r="BA16" s="314">
        <f t="shared" si="37"/>
        <v>-936074.98431552947</v>
      </c>
      <c r="BB16" s="314">
        <f t="shared" si="37"/>
        <v>-120766.28566978243</v>
      </c>
      <c r="BC16" s="314">
        <f t="shared" si="37"/>
        <v>-150955.17897717701</v>
      </c>
      <c r="BD16" s="314">
        <f t="shared" si="37"/>
        <v>140878.77447942225</v>
      </c>
      <c r="BE16" s="314">
        <f t="shared" si="37"/>
        <v>412362.25701821549</v>
      </c>
      <c r="BF16" s="314">
        <f t="shared" si="37"/>
        <v>912965.11283816933</v>
      </c>
      <c r="BG16" s="314">
        <f t="shared" si="37"/>
        <v>-134212.17742422875</v>
      </c>
      <c r="BH16" s="314">
        <f t="shared" si="37"/>
        <v>298450.59912132705</v>
      </c>
      <c r="BI16" s="314">
        <f t="shared" si="37"/>
        <v>-450231.3190806685</v>
      </c>
      <c r="BJ16" s="314">
        <f t="shared" si="37"/>
        <v>198620.74324203003</v>
      </c>
      <c r="BK16" s="314">
        <f t="shared" si="37"/>
        <v>-215353.98205012199</v>
      </c>
      <c r="BL16" s="314">
        <f t="shared" si="37"/>
        <v>0</v>
      </c>
      <c r="BM16" s="314">
        <f t="shared" si="37"/>
        <v>-1748421.2603735935</v>
      </c>
      <c r="BN16" s="314">
        <f t="shared" si="37"/>
        <v>69169.980568945175</v>
      </c>
      <c r="BO16" s="314">
        <f t="shared" si="37"/>
        <v>-66106.972892680322</v>
      </c>
      <c r="BP16" s="314">
        <f t="shared" ref="BP16:EA16" si="38">BP10-BP11</f>
        <v>-370432.34728894988</v>
      </c>
      <c r="BQ16" s="314">
        <f t="shared" si="38"/>
        <v>32269.031428240007</v>
      </c>
      <c r="BR16" s="314">
        <f t="shared" si="38"/>
        <v>-19130.624028529739</v>
      </c>
      <c r="BS16" s="314">
        <f t="shared" si="38"/>
        <v>171605.83462862717</v>
      </c>
      <c r="BT16" s="314">
        <f t="shared" si="38"/>
        <v>-22311.804476144025</v>
      </c>
      <c r="BU16" s="314">
        <f t="shared" si="38"/>
        <v>1110253.1780196782</v>
      </c>
      <c r="BV16" s="314">
        <f t="shared" si="38"/>
        <v>-178630.87881279143</v>
      </c>
      <c r="BW16" s="314">
        <f t="shared" si="38"/>
        <v>260563.51880636154</v>
      </c>
      <c r="BX16" s="314">
        <f t="shared" si="38"/>
        <v>658645.26546663605</v>
      </c>
      <c r="BY16" s="314">
        <f t="shared" si="38"/>
        <v>283747.58508884511</v>
      </c>
      <c r="BZ16" s="314">
        <f t="shared" si="38"/>
        <v>215187.73735378604</v>
      </c>
      <c r="CA16" s="314">
        <f t="shared" si="38"/>
        <v>0</v>
      </c>
      <c r="CB16" s="314">
        <f t="shared" si="38"/>
        <v>346339.78712657746</v>
      </c>
      <c r="CC16" s="314">
        <f t="shared" si="38"/>
        <v>345649.09030168783</v>
      </c>
      <c r="CD16" s="314">
        <f t="shared" si="38"/>
        <v>159443.79701590387</v>
      </c>
      <c r="CE16" s="314">
        <f t="shared" si="38"/>
        <v>282083.31883668154</v>
      </c>
      <c r="CF16" s="314">
        <f t="shared" si="38"/>
        <v>653208.39008596167</v>
      </c>
      <c r="CG16" s="314">
        <f t="shared" si="38"/>
        <v>561859.69537461549</v>
      </c>
      <c r="CH16" s="314">
        <f t="shared" si="38"/>
        <v>404305.92373929918</v>
      </c>
      <c r="CI16" s="314">
        <f t="shared" si="38"/>
        <v>72161.152213037014</v>
      </c>
      <c r="CJ16" s="314">
        <f t="shared" si="38"/>
        <v>-35893.534080113284</v>
      </c>
      <c r="CK16" s="314">
        <f t="shared" si="38"/>
        <v>-100970.6745204553</v>
      </c>
      <c r="CL16" s="314">
        <f t="shared" si="38"/>
        <v>219424.25522868009</v>
      </c>
      <c r="CM16" s="314">
        <f t="shared" si="38"/>
        <v>155764.31330345199</v>
      </c>
      <c r="CN16" s="314">
        <f t="shared" si="38"/>
        <v>230587.33365051891</v>
      </c>
      <c r="CO16" s="314">
        <f t="shared" si="38"/>
        <v>269366.4736505188</v>
      </c>
      <c r="CP16" s="314">
        <f t="shared" si="38"/>
        <v>233034.01365051884</v>
      </c>
      <c r="CQ16" s="314">
        <f t="shared" si="38"/>
        <v>-96823.599224138074</v>
      </c>
      <c r="CR16" s="314">
        <f t="shared" si="38"/>
        <v>0</v>
      </c>
      <c r="CS16" s="314">
        <f t="shared" si="38"/>
        <v>0</v>
      </c>
      <c r="CT16" s="314">
        <f t="shared" si="38"/>
        <v>2103236.7212180961</v>
      </c>
      <c r="CU16" s="314">
        <f t="shared" si="38"/>
        <v>-186377.41491115489</v>
      </c>
      <c r="CV16" s="314">
        <f t="shared" si="38"/>
        <v>301591.35938791838</v>
      </c>
      <c r="CW16" s="314">
        <f t="shared" si="38"/>
        <v>0</v>
      </c>
      <c r="CX16" s="314">
        <f t="shared" si="38"/>
        <v>-638006.45427627768</v>
      </c>
      <c r="CY16" s="314">
        <f t="shared" si="38"/>
        <v>261327.3309677504</v>
      </c>
      <c r="CZ16" s="314">
        <f t="shared" si="38"/>
        <v>-139601.8588189655</v>
      </c>
      <c r="DA16" s="314">
        <f t="shared" si="38"/>
        <v>-896595.6549794923</v>
      </c>
      <c r="DB16" s="314">
        <f t="shared" si="38"/>
        <v>109244.1365682896</v>
      </c>
      <c r="DC16" s="314">
        <f t="shared" si="38"/>
        <v>420607.7320631484</v>
      </c>
      <c r="DD16" s="314">
        <f t="shared" si="38"/>
        <v>35418.089749390259</v>
      </c>
      <c r="DE16" s="314">
        <f t="shared" si="38"/>
        <v>698376.96564914659</v>
      </c>
      <c r="DF16" s="314">
        <f t="shared" si="38"/>
        <v>540855.78838264197</v>
      </c>
      <c r="DG16" s="314">
        <f t="shared" si="38"/>
        <v>0</v>
      </c>
      <c r="DH16" s="314">
        <f t="shared" si="38"/>
        <v>86943.074613970937</v>
      </c>
      <c r="DI16" s="314">
        <f t="shared" si="38"/>
        <v>213381.26799855661</v>
      </c>
      <c r="DJ16" s="314">
        <f t="shared" si="38"/>
        <v>-146216.21410024399</v>
      </c>
      <c r="DK16" s="314">
        <f t="shared" si="38"/>
        <v>102184.74515489023</v>
      </c>
      <c r="DL16" s="314">
        <f t="shared" si="38"/>
        <v>-49505.889432451222</v>
      </c>
      <c r="DM16" s="314">
        <f t="shared" si="38"/>
        <v>-85275.214062889107</v>
      </c>
      <c r="DN16" s="314">
        <f t="shared" si="38"/>
        <v>-13748.815873702988</v>
      </c>
      <c r="DO16" s="314">
        <f t="shared" si="38"/>
        <v>37984.967266503954</v>
      </c>
      <c r="DP16" s="314">
        <f t="shared" si="38"/>
        <v>561523.6209515566</v>
      </c>
      <c r="DQ16" s="314">
        <f t="shared" si="38"/>
        <v>108806.22220000066</v>
      </c>
      <c r="DR16" s="314">
        <f t="shared" si="38"/>
        <v>415851.54656896554</v>
      </c>
      <c r="DS16" s="314">
        <f t="shared" si="38"/>
        <v>0</v>
      </c>
      <c r="DT16" s="314">
        <f t="shared" si="38"/>
        <v>-796106.62584882649</v>
      </c>
      <c r="DU16" s="314">
        <f t="shared" si="38"/>
        <v>171733.22948529432</v>
      </c>
      <c r="DV16" s="314">
        <f t="shared" si="38"/>
        <v>-2254324.545800874</v>
      </c>
      <c r="DW16" s="314">
        <f t="shared" si="38"/>
        <v>0</v>
      </c>
      <c r="DX16" s="314">
        <f t="shared" si="38"/>
        <v>472375.40179951163</v>
      </c>
      <c r="DY16" s="314">
        <f t="shared" si="38"/>
        <v>124513.38407709496</v>
      </c>
      <c r="DZ16" s="314">
        <f t="shared" si="38"/>
        <v>78225.476311541861</v>
      </c>
      <c r="EA16" s="314">
        <f t="shared" si="38"/>
        <v>506566.38428527117</v>
      </c>
      <c r="EB16" s="314">
        <f t="shared" ref="EB16:GM16" si="39">EB10-EB11</f>
        <v>572236.13041447569</v>
      </c>
      <c r="EC16" s="314">
        <f t="shared" si="39"/>
        <v>543019.34372932417</v>
      </c>
      <c r="ED16" s="314">
        <f t="shared" si="39"/>
        <v>326219.05189333763</v>
      </c>
      <c r="EE16" s="314">
        <f t="shared" si="39"/>
        <v>25417.696568289539</v>
      </c>
      <c r="EF16" s="314">
        <f t="shared" si="39"/>
        <v>31524.766269879881</v>
      </c>
      <c r="EG16" s="314">
        <f t="shared" si="39"/>
        <v>8592.4882095423527</v>
      </c>
      <c r="EH16" s="314">
        <f t="shared" si="39"/>
        <v>18368.722788206185</v>
      </c>
      <c r="EI16" s="314">
        <f t="shared" si="39"/>
        <v>-13525.726045602001</v>
      </c>
      <c r="EJ16" s="314">
        <f t="shared" si="39"/>
        <v>133273.45981320331</v>
      </c>
      <c r="EK16" s="314">
        <f t="shared" si="39"/>
        <v>788536.1149103269</v>
      </c>
      <c r="EL16" s="314">
        <f t="shared" si="39"/>
        <v>364545.02745439671</v>
      </c>
      <c r="EM16" s="314">
        <f t="shared" si="39"/>
        <v>-83424.473299439065</v>
      </c>
      <c r="EN16" s="314">
        <f t="shared" si="39"/>
        <v>90750.282362069003</v>
      </c>
      <c r="EO16" s="314">
        <f t="shared" si="39"/>
        <v>59356.518806361535</v>
      </c>
      <c r="EP16" s="314">
        <f t="shared" si="39"/>
        <v>89179.08269322617</v>
      </c>
      <c r="EQ16" s="314">
        <f t="shared" si="39"/>
        <v>465398.54658313026</v>
      </c>
      <c r="ER16" s="314">
        <f t="shared" si="39"/>
        <v>-1773740.5906434022</v>
      </c>
      <c r="ES16" s="314">
        <f t="shared" si="39"/>
        <v>55830.612822522409</v>
      </c>
      <c r="ET16" s="314">
        <f t="shared" si="39"/>
        <v>0</v>
      </c>
      <c r="EU16" s="314">
        <f t="shared" si="39"/>
        <v>0</v>
      </c>
      <c r="EV16" s="314">
        <f t="shared" si="39"/>
        <v>13097.157911132788</v>
      </c>
      <c r="EW16" s="314">
        <f t="shared" si="39"/>
        <v>411322.11056754878</v>
      </c>
      <c r="EX16" s="314">
        <f t="shared" si="39"/>
        <v>-1519129.599239897</v>
      </c>
      <c r="EY16" s="314">
        <f t="shared" si="39"/>
        <v>83108.934465517756</v>
      </c>
      <c r="EZ16" s="314">
        <f t="shared" si="39"/>
        <v>321800.57462204935</v>
      </c>
      <c r="FA16" s="314">
        <f t="shared" si="39"/>
        <v>-330664.56879626587</v>
      </c>
      <c r="FB16" s="314">
        <f t="shared" si="39"/>
        <v>-23885.328660064755</v>
      </c>
      <c r="FC16" s="314">
        <f t="shared" si="39"/>
        <v>2059175.8304785434</v>
      </c>
      <c r="FD16" s="314">
        <f t="shared" si="39"/>
        <v>609690.66034602071</v>
      </c>
      <c r="FE16" s="314">
        <f t="shared" si="39"/>
        <v>336346.79033709993</v>
      </c>
      <c r="FF16" s="314">
        <f t="shared" si="39"/>
        <v>-62408.944716225611</v>
      </c>
      <c r="FG16" s="314">
        <f t="shared" si="39"/>
        <v>-1138074.6251694188</v>
      </c>
      <c r="FH16" s="314">
        <f t="shared" si="39"/>
        <v>-2952232.1283496041</v>
      </c>
      <c r="FI16" s="314">
        <f t="shared" si="39"/>
        <v>-2712588.6508325413</v>
      </c>
      <c r="FJ16" s="314">
        <f t="shared" si="39"/>
        <v>-182926.00471967366</v>
      </c>
      <c r="FK16" s="314">
        <f t="shared" si="39"/>
        <v>166349.41019148135</v>
      </c>
      <c r="FL16" s="314">
        <f t="shared" si="39"/>
        <v>49753.548738150392</v>
      </c>
      <c r="FM16" s="314">
        <f t="shared" si="39"/>
        <v>-463809.244340159</v>
      </c>
      <c r="FN16" s="314">
        <f t="shared" si="39"/>
        <v>-107511.45638265647</v>
      </c>
      <c r="FO16" s="314">
        <f t="shared" si="39"/>
        <v>-388641.56075588847</v>
      </c>
      <c r="FP16" s="314">
        <f t="shared" si="39"/>
        <v>-1288353.0399121344</v>
      </c>
      <c r="FQ16" s="314">
        <f t="shared" si="39"/>
        <v>-109212.2042272049</v>
      </c>
      <c r="FR16" s="314">
        <f t="shared" si="39"/>
        <v>0</v>
      </c>
      <c r="FS16" s="314">
        <f t="shared" si="39"/>
        <v>-210055.08101530618</v>
      </c>
      <c r="FT16" s="314">
        <f t="shared" si="39"/>
        <v>281545.00962016545</v>
      </c>
      <c r="FU16" s="314">
        <f t="shared" si="39"/>
        <v>-121467.55762446951</v>
      </c>
      <c r="FV16" s="314">
        <f t="shared" si="39"/>
        <v>70000.018270380097</v>
      </c>
      <c r="FW16" s="314">
        <f t="shared" si="39"/>
        <v>-370747.65632360918</v>
      </c>
      <c r="FX16" s="314">
        <f t="shared" si="39"/>
        <v>-112752.36282835621</v>
      </c>
      <c r="FY16" s="314">
        <f t="shared" si="39"/>
        <v>-151874.67741452297</v>
      </c>
      <c r="FZ16" s="314">
        <f t="shared" si="39"/>
        <v>376794.06623773277</v>
      </c>
      <c r="GA16" s="314">
        <f t="shared" si="39"/>
        <v>512206.94983642478</v>
      </c>
      <c r="GB16" s="314">
        <f t="shared" si="39"/>
        <v>-1662977.2832923918</v>
      </c>
      <c r="GC16" s="314">
        <f t="shared" si="39"/>
        <v>-136319.29962393316</v>
      </c>
      <c r="GD16" s="314">
        <f t="shared" si="39"/>
        <v>-2837656.9269466568</v>
      </c>
      <c r="GE16" s="314">
        <f t="shared" si="39"/>
        <v>75624.739626406459</v>
      </c>
      <c r="GF16" s="314">
        <f t="shared" si="39"/>
        <v>725131.32848992106</v>
      </c>
      <c r="GG16" s="314">
        <f t="shared" si="39"/>
        <v>516186.95905256132</v>
      </c>
      <c r="GH16" s="314">
        <f t="shared" si="39"/>
        <v>114570.69729255093</v>
      </c>
      <c r="GI16" s="314">
        <f t="shared" si="39"/>
        <v>931296.24446297809</v>
      </c>
      <c r="GJ16" s="314">
        <f t="shared" si="39"/>
        <v>-441544.02274037292</v>
      </c>
      <c r="GK16" s="314">
        <f t="shared" si="39"/>
        <v>-947361.72878273483</v>
      </c>
      <c r="GL16" s="314">
        <f t="shared" si="39"/>
        <v>-109452.97030777414</v>
      </c>
      <c r="GM16" s="314">
        <f t="shared" si="39"/>
        <v>-80307.893460640451</v>
      </c>
      <c r="GN16" s="314">
        <f t="shared" ref="GN16:IY16" si="40">GN10-GN11</f>
        <v>-248761.03579310339</v>
      </c>
      <c r="GO16" s="314">
        <f t="shared" si="40"/>
        <v>-2374258.6753123617</v>
      </c>
      <c r="GP16" s="314">
        <f t="shared" si="40"/>
        <v>520134.18901328673</v>
      </c>
      <c r="GQ16" s="314">
        <f t="shared" si="40"/>
        <v>-6108.6498119665775</v>
      </c>
      <c r="GR16" s="314">
        <f t="shared" si="40"/>
        <v>828949.60159262153</v>
      </c>
      <c r="GS16" s="314">
        <f t="shared" si="40"/>
        <v>219089.5901914814</v>
      </c>
      <c r="GT16" s="314">
        <f t="shared" si="40"/>
        <v>-30927.873795023188</v>
      </c>
      <c r="GU16" s="314">
        <f t="shared" si="40"/>
        <v>288243.14981196914</v>
      </c>
      <c r="GV16" s="314">
        <f t="shared" si="40"/>
        <v>0</v>
      </c>
      <c r="GW16" s="314">
        <f t="shared" si="40"/>
        <v>341059.29018458538</v>
      </c>
      <c r="GX16" s="314">
        <f t="shared" si="40"/>
        <v>-81428.498396064388</v>
      </c>
      <c r="GY16" s="314">
        <f t="shared" si="40"/>
        <v>-3469902.8877815753</v>
      </c>
      <c r="GZ16" s="314">
        <f t="shared" si="40"/>
        <v>0</v>
      </c>
      <c r="HA16" s="314">
        <f t="shared" si="40"/>
        <v>2200176.3706938401</v>
      </c>
      <c r="HB16" s="314">
        <f t="shared" si="40"/>
        <v>2035755.6302307304</v>
      </c>
      <c r="HC16" s="314">
        <f t="shared" si="40"/>
        <v>-2518535.5690526944</v>
      </c>
      <c r="HD16" s="314">
        <f t="shared" si="40"/>
        <v>103081.70037606684</v>
      </c>
      <c r="HE16" s="314">
        <f t="shared" si="40"/>
        <v>-1751154.9852751978</v>
      </c>
      <c r="HF16" s="314">
        <f t="shared" si="40"/>
        <v>-531519.84566016099</v>
      </c>
      <c r="HG16" s="314">
        <f t="shared" si="40"/>
        <v>-487315.57029811677</v>
      </c>
      <c r="HH16" s="314">
        <f t="shared" si="40"/>
        <v>881459.41528377426</v>
      </c>
      <c r="HI16" s="314">
        <f t="shared" si="40"/>
        <v>-242493.12943245145</v>
      </c>
      <c r="HJ16" s="314">
        <f t="shared" si="40"/>
        <v>-148069.26670843491</v>
      </c>
      <c r="HK16" s="314">
        <f t="shared" si="40"/>
        <v>-5462.6902804858983</v>
      </c>
      <c r="HL16" s="314">
        <f t="shared" si="40"/>
        <v>304347.81275743991</v>
      </c>
      <c r="HM16" s="314">
        <f t="shared" si="40"/>
        <v>2691403.390446201</v>
      </c>
      <c r="HN16" s="314">
        <f t="shared" si="40"/>
        <v>28970.426295316196</v>
      </c>
      <c r="HO16" s="314">
        <f t="shared" si="40"/>
        <v>-235777.13292029267</v>
      </c>
      <c r="HP16" s="314">
        <f t="shared" si="40"/>
        <v>-1127400.0164122842</v>
      </c>
      <c r="HQ16" s="314">
        <f t="shared" si="40"/>
        <v>178276.33073509589</v>
      </c>
      <c r="HR16" s="314">
        <f t="shared" si="40"/>
        <v>1102632.8153869361</v>
      </c>
      <c r="HS16" s="314">
        <f t="shared" si="40"/>
        <v>-67770.658545186743</v>
      </c>
      <c r="HT16" s="314">
        <f t="shared" si="40"/>
        <v>5644010.5005531013</v>
      </c>
      <c r="HU16" s="314">
        <f t="shared" si="40"/>
        <v>-4459893.931715291</v>
      </c>
      <c r="HV16" s="314">
        <f t="shared" si="40"/>
        <v>-2299248.1270473748</v>
      </c>
      <c r="HW16" s="314">
        <f t="shared" si="40"/>
        <v>690491.97533104476</v>
      </c>
      <c r="HX16" s="314">
        <f t="shared" si="40"/>
        <v>-1514142.400721401</v>
      </c>
      <c r="HY16" s="314">
        <f t="shared" si="40"/>
        <v>3832833.6555471271</v>
      </c>
      <c r="HZ16" s="314">
        <f t="shared" si="40"/>
        <v>1371548.2130819783</v>
      </c>
      <c r="IA16" s="314">
        <f t="shared" si="40"/>
        <v>-597620.75775093399</v>
      </c>
      <c r="IB16" s="314">
        <f t="shared" si="40"/>
        <v>2236801.53450369</v>
      </c>
      <c r="IC16" s="314">
        <f t="shared" si="40"/>
        <v>-2031734.2840379626</v>
      </c>
      <c r="ID16" s="314">
        <f t="shared" si="40"/>
        <v>-1266533.294229731</v>
      </c>
      <c r="IE16" s="314">
        <f t="shared" si="40"/>
        <v>-1850493.411149824</v>
      </c>
      <c r="IF16" s="314">
        <f t="shared" si="40"/>
        <v>8823337.5427579768</v>
      </c>
      <c r="IG16" s="314">
        <f t="shared" si="40"/>
        <v>0</v>
      </c>
      <c r="IH16" s="314">
        <f t="shared" si="40"/>
        <v>-430390.00063377433</v>
      </c>
      <c r="II16" s="314">
        <f t="shared" si="40"/>
        <v>5637220.4442041684</v>
      </c>
      <c r="IJ16" s="314">
        <f t="shared" si="40"/>
        <v>229419.76998041989</v>
      </c>
      <c r="IK16" s="314">
        <f t="shared" si="40"/>
        <v>64293.954309316352</v>
      </c>
      <c r="IL16" s="314">
        <f t="shared" si="40"/>
        <v>1845209.8999838103</v>
      </c>
      <c r="IM16" s="314">
        <f t="shared" si="40"/>
        <v>319586.44601976871</v>
      </c>
      <c r="IN16" s="314">
        <f t="shared" si="40"/>
        <v>1270191.6735695358</v>
      </c>
      <c r="IO16" s="314">
        <f t="shared" si="40"/>
        <v>-20048.357343093026</v>
      </c>
      <c r="IP16" s="314">
        <f t="shared" si="40"/>
        <v>3255857.245514214</v>
      </c>
      <c r="IQ16" s="314">
        <f t="shared" si="40"/>
        <v>2947188.7623358592</v>
      </c>
      <c r="IR16" s="314">
        <f t="shared" si="40"/>
        <v>196408.32098613644</v>
      </c>
      <c r="IS16" s="314">
        <f t="shared" si="40"/>
        <v>2259603.1158885956</v>
      </c>
      <c r="IT16" s="314">
        <f t="shared" si="40"/>
        <v>-1886463.0665458478</v>
      </c>
      <c r="IU16" s="314">
        <f t="shared" si="40"/>
        <v>105238.6945648496</v>
      </c>
      <c r="IV16" s="314">
        <f t="shared" si="40"/>
        <v>1697759.9505312387</v>
      </c>
      <c r="IW16" s="314">
        <f t="shared" si="40"/>
        <v>3138979.3386558443</v>
      </c>
      <c r="IX16" s="314">
        <f t="shared" si="40"/>
        <v>199037.08310629358</v>
      </c>
      <c r="IY16" s="314">
        <f t="shared" si="40"/>
        <v>-3611453.4076223588</v>
      </c>
      <c r="IZ16" s="314">
        <f t="shared" ref="IZ16:JH16" si="41">IZ10-IZ11</f>
        <v>-1848480.1483693179</v>
      </c>
      <c r="JA16" s="314">
        <f t="shared" si="41"/>
        <v>571228.38761600107</v>
      </c>
      <c r="JB16" s="314">
        <f t="shared" si="41"/>
        <v>251347.3719268525</v>
      </c>
      <c r="JC16" s="314">
        <f t="shared" si="41"/>
        <v>317099.14152335608</v>
      </c>
      <c r="JD16" s="314">
        <f t="shared" si="41"/>
        <v>44859.140929341316</v>
      </c>
      <c r="JE16" s="314">
        <f t="shared" si="41"/>
        <v>-2162960.9472244061</v>
      </c>
      <c r="JF16" s="314">
        <f t="shared" si="41"/>
        <v>-3158528.2563570961</v>
      </c>
      <c r="JG16" s="314">
        <f t="shared" si="41"/>
        <v>2526206.896090582</v>
      </c>
      <c r="JH16" s="314">
        <f t="shared" si="41"/>
        <v>-2521604.5873203734</v>
      </c>
      <c r="JI16" s="314">
        <f t="shared" ref="JI16" si="42">SUM(C16:JH16)</f>
        <v>14647647.838760696</v>
      </c>
      <c r="JL16" s="307">
        <f t="shared" si="35"/>
        <v>168242.09118937328</v>
      </c>
      <c r="JM16" s="307">
        <f t="shared" si="35"/>
        <v>7074502.2245208966</v>
      </c>
      <c r="JN16" s="307">
        <f t="shared" si="35"/>
        <v>-15285943.526135119</v>
      </c>
      <c r="JO16" s="307">
        <f t="shared" si="35"/>
        <v>22690847.049185544</v>
      </c>
      <c r="JP16" s="307">
        <f t="shared" si="36"/>
        <v>14647647.838760696</v>
      </c>
    </row>
    <row r="17" spans="1:276" ht="7.35" customHeight="1" x14ac:dyDescent="0.25">
      <c r="CX17" s="314" t="e">
        <f>CX10+#REF!</f>
        <v>#REF!</v>
      </c>
    </row>
    <row r="18" spans="1:276" ht="7.9" customHeight="1" x14ac:dyDescent="0.25">
      <c r="C18" s="314"/>
      <c r="D18" s="314"/>
      <c r="E18" s="314"/>
      <c r="F18" s="314"/>
      <c r="G18" s="314"/>
      <c r="H18" s="314"/>
      <c r="I18" s="314"/>
      <c r="J18" s="314"/>
      <c r="K18" s="314"/>
      <c r="L18" s="314"/>
      <c r="M18" s="314"/>
      <c r="N18" s="314"/>
      <c r="O18" s="314"/>
      <c r="P18" s="314"/>
      <c r="Q18" s="314"/>
      <c r="R18" s="314"/>
      <c r="S18" s="314"/>
      <c r="T18" s="314"/>
      <c r="U18" s="314"/>
      <c r="V18" s="314"/>
      <c r="W18" s="314"/>
      <c r="X18" s="314"/>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314"/>
      <c r="BB18" s="314"/>
      <c r="BC18" s="314"/>
      <c r="BD18" s="314"/>
      <c r="BE18" s="314"/>
      <c r="BF18" s="314"/>
      <c r="BG18" s="314"/>
      <c r="BH18" s="314"/>
      <c r="BI18" s="314"/>
      <c r="BJ18" s="314"/>
      <c r="BK18" s="314"/>
      <c r="BL18" s="314"/>
      <c r="BM18" s="314"/>
      <c r="BN18" s="314"/>
      <c r="BO18" s="314"/>
      <c r="BP18" s="314"/>
      <c r="BQ18" s="314"/>
      <c r="BR18" s="314"/>
      <c r="BS18" s="314"/>
      <c r="BT18" s="314"/>
      <c r="BU18" s="314"/>
      <c r="BV18" s="314"/>
      <c r="BW18" s="314"/>
      <c r="BX18" s="314"/>
      <c r="BY18" s="314"/>
      <c r="BZ18" s="314"/>
      <c r="CA18" s="314"/>
      <c r="CB18" s="314"/>
      <c r="CC18" s="314"/>
      <c r="CD18" s="314"/>
      <c r="CE18" s="314"/>
      <c r="CF18" s="314"/>
      <c r="CG18" s="314"/>
      <c r="CH18" s="314"/>
      <c r="CI18" s="314"/>
      <c r="CJ18" s="314"/>
      <c r="CK18" s="314"/>
      <c r="CL18" s="314"/>
      <c r="CM18" s="314"/>
      <c r="CN18" s="314"/>
      <c r="CO18" s="314"/>
      <c r="CP18" s="314"/>
      <c r="CQ18" s="314"/>
      <c r="CR18" s="314"/>
      <c r="CS18" s="314"/>
      <c r="CT18" s="314"/>
      <c r="CU18" s="314"/>
      <c r="CV18" s="314"/>
      <c r="CW18" s="314"/>
      <c r="CX18" s="314"/>
      <c r="CY18" s="314"/>
      <c r="CZ18" s="314"/>
      <c r="DA18" s="314"/>
      <c r="DB18" s="314"/>
      <c r="DC18" s="314"/>
      <c r="DD18" s="314"/>
      <c r="DE18" s="314"/>
      <c r="DF18" s="314"/>
      <c r="DG18" s="314"/>
      <c r="DH18" s="314"/>
      <c r="DI18" s="314"/>
      <c r="DJ18" s="314"/>
      <c r="DK18" s="314"/>
      <c r="DL18" s="314"/>
      <c r="DM18" s="314"/>
      <c r="DN18" s="314"/>
      <c r="DO18" s="314"/>
      <c r="DP18" s="314"/>
      <c r="DQ18" s="314"/>
      <c r="DR18" s="314"/>
      <c r="DS18" s="314"/>
      <c r="DT18" s="314"/>
      <c r="DU18" s="314"/>
      <c r="DV18" s="314"/>
      <c r="DW18" s="314"/>
      <c r="DX18" s="314"/>
      <c r="DY18" s="314"/>
      <c r="DZ18" s="314"/>
      <c r="EA18" s="314"/>
      <c r="EB18" s="314"/>
      <c r="EC18" s="314"/>
      <c r="ED18" s="314"/>
      <c r="EE18" s="314"/>
      <c r="EF18" s="314"/>
      <c r="EG18" s="314"/>
      <c r="EH18" s="314"/>
      <c r="EI18" s="314"/>
      <c r="EJ18" s="314"/>
      <c r="EK18" s="314"/>
      <c r="EL18" s="314"/>
      <c r="EM18" s="314"/>
      <c r="EN18" s="314"/>
      <c r="EO18" s="314"/>
      <c r="EP18" s="314"/>
      <c r="EQ18" s="314"/>
      <c r="ER18" s="314"/>
      <c r="ES18" s="314"/>
      <c r="ET18" s="314"/>
      <c r="EU18" s="314"/>
      <c r="EV18" s="314"/>
      <c r="EW18" s="314"/>
      <c r="EX18" s="314"/>
      <c r="EY18" s="314"/>
      <c r="EZ18" s="314"/>
      <c r="FA18" s="314"/>
      <c r="FB18" s="314"/>
      <c r="FC18" s="314"/>
      <c r="FD18" s="314"/>
      <c r="FE18" s="314"/>
      <c r="FF18" s="314"/>
      <c r="FG18" s="314"/>
      <c r="FH18" s="314"/>
      <c r="FI18" s="314"/>
      <c r="FJ18" s="314"/>
      <c r="FK18" s="314"/>
      <c r="FL18" s="314"/>
      <c r="FM18" s="314"/>
      <c r="FN18" s="314"/>
      <c r="FO18" s="314"/>
      <c r="FP18" s="314"/>
      <c r="FQ18" s="314"/>
      <c r="FR18" s="314"/>
      <c r="FS18" s="314"/>
      <c r="FT18" s="314"/>
      <c r="FU18" s="314"/>
      <c r="FV18" s="314"/>
      <c r="FW18" s="314"/>
      <c r="FX18" s="314"/>
      <c r="FY18" s="314"/>
      <c r="FZ18" s="314"/>
      <c r="GA18" s="314"/>
      <c r="GB18" s="314"/>
      <c r="GC18" s="314"/>
      <c r="GD18" s="314"/>
      <c r="GE18" s="314"/>
      <c r="GF18" s="314"/>
      <c r="GG18" s="314"/>
      <c r="GH18" s="314"/>
      <c r="GI18" s="314"/>
      <c r="GJ18" s="314"/>
      <c r="GK18" s="314"/>
      <c r="GL18" s="314"/>
      <c r="GM18" s="314"/>
      <c r="GN18" s="314"/>
      <c r="GO18" s="314"/>
      <c r="GP18" s="314"/>
      <c r="GQ18" s="314"/>
      <c r="GR18" s="314"/>
      <c r="GS18" s="314"/>
      <c r="GT18" s="314"/>
      <c r="GU18" s="314"/>
      <c r="GV18" s="314"/>
      <c r="GW18" s="314"/>
      <c r="GX18" s="314"/>
      <c r="GY18" s="314"/>
      <c r="GZ18" s="314"/>
      <c r="HA18" s="314"/>
      <c r="HB18" s="314"/>
      <c r="HC18" s="314"/>
      <c r="HD18" s="314"/>
      <c r="HE18" s="314"/>
      <c r="HF18" s="314"/>
      <c r="HG18" s="314"/>
      <c r="HH18" s="314"/>
      <c r="HI18" s="314"/>
      <c r="HJ18" s="314"/>
      <c r="HK18" s="314"/>
      <c r="HL18" s="314"/>
      <c r="HM18" s="314"/>
      <c r="HN18" s="314"/>
      <c r="HO18" s="314"/>
      <c r="HP18" s="314"/>
      <c r="HQ18" s="314"/>
      <c r="HR18" s="314"/>
      <c r="HS18" s="314"/>
      <c r="HT18" s="314"/>
      <c r="HU18" s="314"/>
      <c r="HV18" s="314"/>
      <c r="HW18" s="314"/>
      <c r="HX18" s="314"/>
      <c r="HY18" s="314"/>
      <c r="HZ18" s="314"/>
      <c r="IA18" s="314"/>
      <c r="IB18" s="314"/>
      <c r="IC18" s="314"/>
      <c r="ID18" s="314"/>
      <c r="IE18" s="314"/>
      <c r="IF18" s="314"/>
      <c r="IG18" s="314"/>
      <c r="IH18" s="314"/>
      <c r="II18" s="314"/>
      <c r="IJ18" s="314"/>
      <c r="IK18" s="314"/>
      <c r="IL18" s="314"/>
      <c r="IM18" s="314"/>
      <c r="IN18" s="314"/>
      <c r="IO18" s="314"/>
      <c r="IP18" s="314"/>
      <c r="IQ18" s="314"/>
      <c r="IR18" s="314"/>
      <c r="IS18" s="314"/>
      <c r="IT18" s="314"/>
      <c r="IU18" s="314"/>
      <c r="IV18" s="314"/>
      <c r="IW18" s="314"/>
      <c r="IX18" s="314"/>
      <c r="IY18" s="314"/>
      <c r="IZ18" s="314"/>
      <c r="JA18" s="314"/>
      <c r="JB18" s="314"/>
      <c r="JC18" s="314"/>
      <c r="JD18" s="314"/>
      <c r="JE18" s="314"/>
      <c r="JF18" s="314"/>
      <c r="JG18" s="314"/>
      <c r="JH18" s="314"/>
      <c r="JI18" s="314"/>
    </row>
    <row r="19" spans="1:276" x14ac:dyDescent="0.25">
      <c r="A19" s="313" t="s">
        <v>2444</v>
      </c>
      <c r="B19" s="313" t="s">
        <v>2458</v>
      </c>
      <c r="C19" s="312">
        <f>IFERROR(VLOOKUP(CONCATENATE(C$1,"__",$A19),'Průměrné mzdy 2018'!$D$3:$J$1347,4,FALSE),0)</f>
        <v>14</v>
      </c>
      <c r="D19" s="312">
        <f>IFERROR(VLOOKUP(CONCATENATE(D$1,"__",$A19),'Průměrné mzdy 2018'!$D$3:$J$1347,4,FALSE),0)</f>
        <v>11</v>
      </c>
      <c r="E19" s="312">
        <f>IFERROR(VLOOKUP(CONCATENATE(E$1,"__",$A19),'Průměrné mzdy 2018'!$D$3:$J$1347,4,FALSE),0)</f>
        <v>15.135999999999999</v>
      </c>
      <c r="F19" s="312">
        <f>IFERROR(VLOOKUP(CONCATENATE(F$1,"__",$A19),'Průměrné mzdy 2018'!$D$3:$J$1347,4,FALSE),0)</f>
        <v>7.7271999999999998</v>
      </c>
      <c r="G19" s="312">
        <f>IFERROR(VLOOKUP(CONCATENATE(G$1,"__",$A19),'Průměrné mzdy 2018'!$D$3:$J$1347,4,FALSE),0)</f>
        <v>17.838999999999999</v>
      </c>
      <c r="H19" s="312">
        <f>IFERROR(VLOOKUP(CONCATENATE(H$1,"__",$A19),'Průměrné mzdy 2018'!$D$3:$J$1347,4,FALSE),0)</f>
        <v>0</v>
      </c>
      <c r="I19" s="312">
        <f>IFERROR(VLOOKUP(CONCATENATE(I$1,"__",$A19),'Průměrné mzdy 2018'!$D$3:$J$1347,4,FALSE),0)</f>
        <v>2.7399999999999998</v>
      </c>
      <c r="J19" s="312">
        <f>IFERROR(VLOOKUP(CONCATENATE(J$1,"__",$A19),'Průměrné mzdy 2018'!$D$3:$J$1347,4,FALSE),0)</f>
        <v>2.5722</v>
      </c>
      <c r="K19" s="312">
        <f>IFERROR(VLOOKUP(CONCATENATE(K$1,"__",$A19),'Průměrné mzdy 2018'!$D$3:$J$1347,4,FALSE),0)</f>
        <v>9.4420000000000002</v>
      </c>
      <c r="L19" s="312">
        <f>IFERROR(VLOOKUP(CONCATENATE(L$1,"__",$A19),'Průměrné mzdy 2018'!$D$3:$J$1347,4,FALSE),0)</f>
        <v>0</v>
      </c>
      <c r="M19" s="312">
        <f>IFERROR(VLOOKUP(CONCATENATE(M$1,"__",$A19),'Průměrné mzdy 2018'!$D$3:$J$1347,4,FALSE),0)</f>
        <v>6.0590000000000002</v>
      </c>
      <c r="N19" s="312">
        <f>IFERROR(VLOOKUP(CONCATENATE(N$1,"__",$A19),'Průměrné mzdy 2018'!$D$3:$J$1347,4,FALSE),0)</f>
        <v>7.4580000000000002</v>
      </c>
      <c r="O19" s="312">
        <f>IFERROR(VLOOKUP(CONCATENATE(O$1,"__",$A19),'Průměrné mzdy 2018'!$D$3:$J$1347,4,FALSE),0)</f>
        <v>5</v>
      </c>
      <c r="P19" s="312">
        <f>IFERROR(VLOOKUP(CONCATENATE(P$1,"__",$A19),'Průměrné mzdy 2018'!$D$3:$J$1347,4,FALSE),0)</f>
        <v>3.8</v>
      </c>
      <c r="Q19" s="312">
        <f>IFERROR(VLOOKUP(CONCATENATE(Q$1,"__",$A19),'Průměrné mzdy 2018'!$D$3:$J$1347,4,FALSE),0)</f>
        <v>1.4663999999999999</v>
      </c>
      <c r="R19" s="312">
        <f>IFERROR(VLOOKUP(CONCATENATE(R$1,"__",$A19),'Průměrné mzdy 2018'!$D$3:$J$1347,4,FALSE),0)</f>
        <v>2.1</v>
      </c>
      <c r="S19" s="312">
        <f>IFERROR(VLOOKUP(CONCATENATE(S$1,"__",$A19),'Průměrné mzdy 2018'!$D$3:$J$1347,4,FALSE),0)</f>
        <v>1.8</v>
      </c>
      <c r="T19" s="312">
        <f>IFERROR(VLOOKUP(CONCATENATE(T$1,"__",$A19),'Průměrné mzdy 2018'!$D$3:$J$1347,4,FALSE),0)</f>
        <v>0</v>
      </c>
      <c r="U19" s="312">
        <f>IFERROR(VLOOKUP(CONCATENATE(U$1,"__",$A19),'Průměrné mzdy 2018'!$D$3:$J$1347,4,FALSE),0)</f>
        <v>1.5699999999999998</v>
      </c>
      <c r="V19" s="312">
        <f>IFERROR(VLOOKUP(CONCATENATE(V$1,"__",$A19),'Průměrné mzdy 2018'!$D$3:$J$1347,4,FALSE),0)</f>
        <v>34.380000000000003</v>
      </c>
      <c r="W19" s="312">
        <f>IFERROR(VLOOKUP(CONCATENATE(W$1,"__",$A19),'Průměrné mzdy 2018'!$D$3:$J$1347,4,FALSE),0)</f>
        <v>5.5</v>
      </c>
      <c r="X19" s="312">
        <f>IFERROR(VLOOKUP(CONCATENATE(X$1,"__",$A19),'Průměrné mzdy 2018'!$D$3:$J$1347,4,FALSE),0)</f>
        <v>2.3879999999999999</v>
      </c>
      <c r="Y19" s="312">
        <f>IFERROR(VLOOKUP(CONCATENATE(Y$1,"__",$A19),'Průměrné mzdy 2018'!$D$3:$J$1347,4,FALSE),0)</f>
        <v>1.3992</v>
      </c>
      <c r="Z19" s="312">
        <f>IFERROR(VLOOKUP(CONCATENATE(Z$1,"__",$A19),'Průměrné mzdy 2018'!$D$3:$J$1347,4,FALSE),0)</f>
        <v>8.1568000000000005</v>
      </c>
      <c r="AA19" s="312">
        <f>IFERROR(VLOOKUP(CONCATENATE(AA$1,"__",$A19),'Průměrné mzdy 2018'!$D$3:$J$1347,4,FALSE),0)</f>
        <v>6.2</v>
      </c>
      <c r="AB19" s="312">
        <f>IFERROR(VLOOKUP(CONCATENATE(AB$1,"__",$A19),'Průměrné mzdy 2018'!$D$3:$J$1347,4,FALSE),0)</f>
        <v>5.83</v>
      </c>
      <c r="AC19" s="312">
        <f>IFERROR(VLOOKUP(CONCATENATE(AC$1,"__",$A19),'Průměrné mzdy 2018'!$D$3:$J$1347,4,FALSE),0)</f>
        <v>2.4</v>
      </c>
      <c r="AD19" s="312">
        <f>IFERROR(VLOOKUP(CONCATENATE(AD$1,"__",$A19),'Průměrné mzdy 2018'!$D$3:$J$1347,4,FALSE),0)</f>
        <v>2</v>
      </c>
      <c r="AE19" s="312">
        <f>IFERROR(VLOOKUP(CONCATENATE(AE$1,"__",$A19),'Průměrné mzdy 2018'!$D$3:$J$1347,4,FALSE),0)</f>
        <v>1.62</v>
      </c>
      <c r="AF19" s="312">
        <f>IFERROR(VLOOKUP(CONCATENATE(AF$1,"__",$A19),'Průměrné mzdy 2018'!$D$3:$J$1347,4,FALSE),0)</f>
        <v>2.8000000000000003</v>
      </c>
      <c r="AG19" s="312">
        <f>IFERROR(VLOOKUP(CONCATENATE(AG$1,"__",$A19),'Průměrné mzdy 2018'!$D$3:$J$1347,4,FALSE),0)</f>
        <v>7.1409000000000002</v>
      </c>
      <c r="AH19" s="312">
        <f>IFERROR(VLOOKUP(CONCATENATE(AH$1,"__",$A19),'Průměrné mzdy 2018'!$D$3:$J$1347,4,FALSE),0)</f>
        <v>1.1100000000000001</v>
      </c>
      <c r="AI19" s="312">
        <f>IFERROR(VLOOKUP(CONCATENATE(AI$1,"__",$A19),'Průměrné mzdy 2018'!$D$3:$J$1347,4,FALSE),0)</f>
        <v>6.3194999999999997</v>
      </c>
      <c r="AJ19" s="312">
        <f>IFERROR(VLOOKUP(CONCATENATE(AJ$1,"__",$A19),'Průměrné mzdy 2018'!$D$3:$J$1347,4,FALSE),0)</f>
        <v>3.8699999999999997</v>
      </c>
      <c r="AK19" s="312">
        <f>IFERROR(VLOOKUP(CONCATENATE(AK$1,"__",$A19),'Průměrné mzdy 2018'!$D$3:$J$1347,4,FALSE),0)</f>
        <v>2.1</v>
      </c>
      <c r="AL19" s="312">
        <f>IFERROR(VLOOKUP(CONCATENATE(AL$1,"__",$A19),'Průměrné mzdy 2018'!$D$3:$J$1347,4,FALSE),0)</f>
        <v>2.2000000000000002</v>
      </c>
      <c r="AM19" s="312">
        <f>IFERROR(VLOOKUP(CONCATENATE(AM$1,"__",$A19),'Průměrné mzdy 2018'!$D$3:$J$1347,4,FALSE),0)</f>
        <v>1</v>
      </c>
      <c r="AN19" s="312">
        <f>IFERROR(VLOOKUP(CONCATENATE(AN$1,"__",$A19),'Průměrné mzdy 2018'!$D$3:$J$1347,4,FALSE),0)</f>
        <v>1</v>
      </c>
      <c r="AO19" s="312">
        <f>IFERROR(VLOOKUP(CONCATENATE(AO$1,"__",$A19),'Průměrné mzdy 2018'!$D$3:$J$1347,4,FALSE),0)</f>
        <v>12.068</v>
      </c>
      <c r="AP19" s="312">
        <f>IFERROR(VLOOKUP(CONCATENATE(AP$1,"__",$A19),'Průměrné mzdy 2018'!$D$3:$J$1347,4,FALSE),0)</f>
        <v>3.9</v>
      </c>
      <c r="AQ19" s="312">
        <f>IFERROR(VLOOKUP(CONCATENATE(AQ$1,"__",$A19),'Průměrné mzdy 2018'!$D$3:$J$1347,4,FALSE),0)</f>
        <v>0.4</v>
      </c>
      <c r="AR19" s="312">
        <f>IFERROR(VLOOKUP(CONCATENATE(AR$1,"__",$A19),'Průměrné mzdy 2018'!$D$3:$J$1347,4,FALSE),0)</f>
        <v>1.5312000000000001</v>
      </c>
      <c r="AS19" s="312">
        <f>IFERROR(VLOOKUP(CONCATENATE(AS$1,"__",$A19),'Průměrné mzdy 2018'!$D$3:$J$1347,4,FALSE),0)</f>
        <v>0.6</v>
      </c>
      <c r="AT19" s="312">
        <f>IFERROR(VLOOKUP(CONCATENATE(AT$1,"__",$A19),'Průměrné mzdy 2018'!$D$3:$J$1347,4,FALSE),0)</f>
        <v>6.6315999999999997</v>
      </c>
      <c r="AU19" s="312">
        <f>IFERROR(VLOOKUP(CONCATENATE(AU$1,"__",$A19),'Průměrné mzdy 2018'!$D$3:$J$1347,4,FALSE),0)</f>
        <v>1.6183999999999998</v>
      </c>
      <c r="AV19" s="312">
        <f>IFERROR(VLOOKUP(CONCATENATE(AV$1,"__",$A19),'Průměrné mzdy 2018'!$D$3:$J$1347,4,FALSE),0)</f>
        <v>2.6</v>
      </c>
      <c r="AW19" s="312">
        <f>IFERROR(VLOOKUP(CONCATENATE(AW$1,"__",$A19),'Průměrné mzdy 2018'!$D$3:$J$1347,4,FALSE),0)</f>
        <v>5.25</v>
      </c>
      <c r="AX19" s="312">
        <f>IFERROR(VLOOKUP(CONCATENATE(AX$1,"__",$A19),'Průměrné mzdy 2018'!$D$3:$J$1347,4,FALSE),0)</f>
        <v>4.4420999999999999</v>
      </c>
      <c r="AY19" s="312">
        <f>IFERROR(VLOOKUP(CONCATENATE(AY$1,"__",$A19),'Průměrné mzdy 2018'!$D$3:$J$1347,4,FALSE),0)</f>
        <v>4.79</v>
      </c>
      <c r="AZ19" s="312">
        <f>IFERROR(VLOOKUP(CONCATENATE(AZ$1,"__",$A19),'Průměrné mzdy 2018'!$D$3:$J$1347,4,FALSE),0)</f>
        <v>3.2800000000000002</v>
      </c>
      <c r="BA19" s="312">
        <f>IFERROR(VLOOKUP(CONCATENATE(BA$1,"__",$A19),'Průměrné mzdy 2018'!$D$3:$J$1347,4,FALSE),0)</f>
        <v>0</v>
      </c>
      <c r="BB19" s="312">
        <f>IFERROR(VLOOKUP(CONCATENATE(BB$1,"__",$A19),'Průměrné mzdy 2018'!$D$3:$J$1347,4,FALSE),0)</f>
        <v>2</v>
      </c>
      <c r="BC19" s="312">
        <f>IFERROR(VLOOKUP(CONCATENATE(BC$1,"__",$A19),'Průměrné mzdy 2018'!$D$3:$J$1347,4,FALSE),0)</f>
        <v>1.6</v>
      </c>
      <c r="BD19" s="312">
        <f>IFERROR(VLOOKUP(CONCATENATE(BD$1,"__",$A19),'Průměrné mzdy 2018'!$D$3:$J$1347,4,FALSE),0)</f>
        <v>1.03</v>
      </c>
      <c r="BE19" s="312">
        <f>IFERROR(VLOOKUP(CONCATENATE(BE$1,"__",$A19),'Průměrné mzdy 2018'!$D$3:$J$1347,4,FALSE),0)</f>
        <v>0.72909999999999997</v>
      </c>
      <c r="BF19" s="312">
        <f>IFERROR(VLOOKUP(CONCATENATE(BF$1,"__",$A19),'Průměrné mzdy 2018'!$D$3:$J$1347,4,FALSE),0)</f>
        <v>0</v>
      </c>
      <c r="BG19" s="312">
        <f>IFERROR(VLOOKUP(CONCATENATE(BG$1,"__",$A19),'Průměrné mzdy 2018'!$D$3:$J$1347,4,FALSE),0)</f>
        <v>0</v>
      </c>
      <c r="BH19" s="312">
        <f>IFERROR(VLOOKUP(CONCATENATE(BH$1,"__",$A19),'Průměrné mzdy 2018'!$D$3:$J$1347,4,FALSE),0)</f>
        <v>0</v>
      </c>
      <c r="BI19" s="312">
        <f>IFERROR(VLOOKUP(CONCATENATE(BI$1,"__",$A19),'Průměrné mzdy 2018'!$D$3:$J$1347,4,FALSE),0)</f>
        <v>4.13</v>
      </c>
      <c r="BJ19" s="312">
        <f>IFERROR(VLOOKUP(CONCATENATE(BJ$1,"__",$A19),'Průměrné mzdy 2018'!$D$3:$J$1347,4,FALSE),0)</f>
        <v>6</v>
      </c>
      <c r="BK19" s="312">
        <f>IFERROR(VLOOKUP(CONCATENATE(BK$1,"__",$A19),'Průměrné mzdy 2018'!$D$3:$J$1347,4,FALSE),0)</f>
        <v>1.2984</v>
      </c>
      <c r="BL19" s="312">
        <f>IFERROR(VLOOKUP(CONCATENATE(BL$1,"__",$A19),'Průměrné mzdy 2018'!$D$3:$J$1347,4,FALSE),0)</f>
        <v>0</v>
      </c>
      <c r="BM19" s="312">
        <f>IFERROR(VLOOKUP(CONCATENATE(BM$1,"__",$A19),'Průměrné mzdy 2018'!$D$3:$J$1347,4,FALSE),0)</f>
        <v>0.6704</v>
      </c>
      <c r="BN19" s="312">
        <f>IFERROR(VLOOKUP(CONCATENATE(BN$1,"__",$A19),'Průměrné mzdy 2018'!$D$3:$J$1347,4,FALSE),0)</f>
        <v>1.7634000000000001</v>
      </c>
      <c r="BO19" s="312">
        <f>IFERROR(VLOOKUP(CONCATENATE(BO$1,"__",$A19),'Průměrné mzdy 2018'!$D$3:$J$1347,4,FALSE),0)</f>
        <v>1.06</v>
      </c>
      <c r="BP19" s="312">
        <f>IFERROR(VLOOKUP(CONCATENATE(BP$1,"__",$A19),'Průměrné mzdy 2018'!$D$3:$J$1347,4,FALSE),0)</f>
        <v>5.5667999999999997</v>
      </c>
      <c r="BQ19" s="312">
        <f>IFERROR(VLOOKUP(CONCATENATE(BQ$1,"__",$A19),'Průměrné mzdy 2018'!$D$3:$J$1347,4,FALSE),0)</f>
        <v>1.0876000000000001</v>
      </c>
      <c r="BR19" s="312">
        <f>IFERROR(VLOOKUP(CONCATENATE(BR$1,"__",$A19),'Průměrné mzdy 2018'!$D$3:$J$1347,4,FALSE),0)</f>
        <v>1</v>
      </c>
      <c r="BS19" s="312">
        <f>IFERROR(VLOOKUP(CONCATENATE(BS$1,"__",$A19),'Průměrné mzdy 2018'!$D$3:$J$1347,4,FALSE),0)</f>
        <v>1.4100000000000001</v>
      </c>
      <c r="BT19" s="312">
        <f>IFERROR(VLOOKUP(CONCATENATE(BT$1,"__",$A19),'Průměrné mzdy 2018'!$D$3:$J$1347,4,FALSE),0)</f>
        <v>1</v>
      </c>
      <c r="BU19" s="312">
        <f>IFERROR(VLOOKUP(CONCATENATE(BU$1,"__",$A19),'Průměrné mzdy 2018'!$D$3:$J$1347,4,FALSE),0)</f>
        <v>8.1999999999999993</v>
      </c>
      <c r="BV19" s="312">
        <f>IFERROR(VLOOKUP(CONCATENATE(BV$1,"__",$A19),'Průměrné mzdy 2018'!$D$3:$J$1347,4,FALSE),0)</f>
        <v>2.25</v>
      </c>
      <c r="BW19" s="312">
        <f>IFERROR(VLOOKUP(CONCATENATE(BW$1,"__",$A19),'Průměrné mzdy 2018'!$D$3:$J$1347,4,FALSE),0)</f>
        <v>0.45219999999999999</v>
      </c>
      <c r="BX19" s="312">
        <f>IFERROR(VLOOKUP(CONCATENATE(BX$1,"__",$A19),'Průměrné mzdy 2018'!$D$3:$J$1347,4,FALSE),0)</f>
        <v>12.55</v>
      </c>
      <c r="BY19" s="312">
        <f>IFERROR(VLOOKUP(CONCATENATE(BY$1,"__",$A19),'Průměrné mzdy 2018'!$D$3:$J$1347,4,FALSE),0)</f>
        <v>3</v>
      </c>
      <c r="BZ19" s="312">
        <f>IFERROR(VLOOKUP(CONCATENATE(BZ$1,"__",$A19),'Průměrné mzdy 2018'!$D$3:$J$1347,4,FALSE),0)</f>
        <v>0.37629999999999997</v>
      </c>
      <c r="CA19" s="312">
        <f>IFERROR(VLOOKUP(CONCATENATE(CA$1,"__",$A19),'Průměrné mzdy 2018'!$D$3:$J$1347,4,FALSE),0)</f>
        <v>0</v>
      </c>
      <c r="CB19" s="312">
        <f>IFERROR(VLOOKUP(CONCATENATE(CB$1,"__",$A19),'Průměrné mzdy 2018'!$D$3:$J$1347,4,FALSE),0)</f>
        <v>0.59199999999999997</v>
      </c>
      <c r="CC19" s="312">
        <f>IFERROR(VLOOKUP(CONCATENATE(CC$1,"__",$A19),'Průměrné mzdy 2018'!$D$3:$J$1347,4,FALSE),0)</f>
        <v>3.585</v>
      </c>
      <c r="CD19" s="312">
        <f>IFERROR(VLOOKUP(CONCATENATE(CD$1,"__",$A19),'Průměrné mzdy 2018'!$D$3:$J$1347,4,FALSE),0)</f>
        <v>0.91</v>
      </c>
      <c r="CE19" s="312">
        <f>IFERROR(VLOOKUP(CONCATENATE(CE$1,"__",$A19),'Průměrné mzdy 2018'!$D$3:$J$1347,4,FALSE),0)</f>
        <v>30.4102</v>
      </c>
      <c r="CF19" s="312">
        <f>IFERROR(VLOOKUP(CONCATENATE(CF$1,"__",$A19),'Průměrné mzdy 2018'!$D$3:$J$1347,4,FALSE),0)</f>
        <v>5.3</v>
      </c>
      <c r="CG19" s="312">
        <f>IFERROR(VLOOKUP(CONCATENATE(CG$1,"__",$A19),'Průměrné mzdy 2018'!$D$3:$J$1347,4,FALSE),0)</f>
        <v>14.568</v>
      </c>
      <c r="CH19" s="312">
        <f>IFERROR(VLOOKUP(CONCATENATE(CH$1,"__",$A19),'Průměrné mzdy 2018'!$D$3:$J$1347,4,FALSE),0)</f>
        <v>6</v>
      </c>
      <c r="CI19" s="312">
        <f>IFERROR(VLOOKUP(CONCATENATE(CI$1,"__",$A19),'Průměrné mzdy 2018'!$D$3:$J$1347,4,FALSE),0)</f>
        <v>3.38</v>
      </c>
      <c r="CJ19" s="312">
        <f>IFERROR(VLOOKUP(CONCATENATE(CJ$1,"__",$A19),'Průměrné mzdy 2018'!$D$3:$J$1347,4,FALSE),0)</f>
        <v>5.52</v>
      </c>
      <c r="CK19" s="312">
        <f>IFERROR(VLOOKUP(CONCATENATE(CK$1,"__",$A19),'Průměrné mzdy 2018'!$D$3:$J$1347,4,FALSE),0)</f>
        <v>7.1144999999999996</v>
      </c>
      <c r="CL19" s="312">
        <f>IFERROR(VLOOKUP(CONCATENATE(CL$1,"__",$A19),'Průměrné mzdy 2018'!$D$3:$J$1347,4,FALSE),0)</f>
        <v>3.14</v>
      </c>
      <c r="CM19" s="312">
        <f>IFERROR(VLOOKUP(CONCATENATE(CM$1,"__",$A19),'Průměrné mzdy 2018'!$D$3:$J$1347,4,FALSE),0)</f>
        <v>12.6</v>
      </c>
      <c r="CN19" s="312">
        <f>IFERROR(VLOOKUP(CONCATENATE(CN$1,"__",$A19),'Průměrné mzdy 2018'!$D$3:$J$1347,4,FALSE),0)</f>
        <v>2.2879</v>
      </c>
      <c r="CO19" s="312">
        <f>IFERROR(VLOOKUP(CONCATENATE(CO$1,"__",$A19),'Průměrné mzdy 2018'!$D$3:$J$1347,4,FALSE),0)</f>
        <v>1.9462999999999999</v>
      </c>
      <c r="CP19" s="312">
        <f>IFERROR(VLOOKUP(CONCATENATE(CP$1,"__",$A19),'Průměrné mzdy 2018'!$D$3:$J$1347,4,FALSE),0)</f>
        <v>2.1339999999999999</v>
      </c>
      <c r="CQ19" s="312">
        <f>IFERROR(VLOOKUP(CONCATENATE(CQ$1,"__",$A19),'Průměrné mzdy 2018'!$D$3:$J$1347,4,FALSE),0)</f>
        <v>6.7056000000000004</v>
      </c>
      <c r="CR19" s="312">
        <f>IFERROR(VLOOKUP(CONCATENATE(CR$1,"__",$A19),'Průměrné mzdy 2018'!$D$3:$J$1347,4,FALSE),0)</f>
        <v>2.34</v>
      </c>
      <c r="CS19" s="312">
        <f>IFERROR(VLOOKUP(CONCATENATE(CS$1,"__",$A19),'Průměrné mzdy 2018'!$D$3:$J$1347,4,FALSE),0)</f>
        <v>0</v>
      </c>
      <c r="CT19" s="312">
        <f>IFERROR(VLOOKUP(CONCATENATE(CT$1,"__",$A19),'Průměrné mzdy 2018'!$D$3:$J$1347,4,FALSE),0)</f>
        <v>4.9927999999999999</v>
      </c>
      <c r="CU19" s="312">
        <f>IFERROR(VLOOKUP(CONCATENATE(CU$1,"__",$A19),'Průměrné mzdy 2018'!$D$3:$J$1347,4,FALSE),0)</f>
        <v>3.4</v>
      </c>
      <c r="CV19" s="312">
        <f>IFERROR(VLOOKUP(CONCATENATE(CV$1,"__",$A19),'Průměrné mzdy 2018'!$D$3:$J$1347,4,FALSE),0)</f>
        <v>11.24</v>
      </c>
      <c r="CW19" s="312">
        <f>IFERROR(VLOOKUP(CONCATENATE(CW$1,"__",$A19),'Průměrné mzdy 2018'!$D$3:$J$1347,4,FALSE),0)</f>
        <v>0</v>
      </c>
      <c r="CX19" s="312">
        <f>IFERROR(VLOOKUP(CONCATENATE(CX$1,"__",$A19),'Průměrné mzdy 2018'!$D$3:$J$1347,4,FALSE),0)</f>
        <v>8.1434000000000015</v>
      </c>
      <c r="CY19" s="312">
        <f>IFERROR(VLOOKUP(CONCATENATE(CY$1,"__",$A19),'Průměrné mzdy 2018'!$D$3:$J$1347,4,FALSE),0)</f>
        <v>5.8443999999999994</v>
      </c>
      <c r="CZ19" s="312">
        <f>IFERROR(VLOOKUP(CONCATENATE(CZ$1,"__",$A19),'Průměrné mzdy 2018'!$D$3:$J$1347,4,FALSE),0)</f>
        <v>2.04</v>
      </c>
      <c r="DA19" s="312">
        <f>IFERROR(VLOOKUP(CONCATENATE(DA$1,"__",$A19),'Průměrné mzdy 2018'!$D$3:$J$1347,4,FALSE),0)</f>
        <v>0</v>
      </c>
      <c r="DB19" s="312">
        <f>IFERROR(VLOOKUP(CONCATENATE(DB$1,"__",$A19),'Průměrné mzdy 2018'!$D$3:$J$1347,4,FALSE),0)</f>
        <v>1.04</v>
      </c>
      <c r="DC19" s="312">
        <f>IFERROR(VLOOKUP(CONCATENATE(DC$1,"__",$A19),'Průměrné mzdy 2018'!$D$3:$J$1347,4,FALSE),0)</f>
        <v>1.85</v>
      </c>
      <c r="DD19" s="312">
        <f>IFERROR(VLOOKUP(CONCATENATE(DD$1,"__",$A19),'Průměrné mzdy 2018'!$D$3:$J$1347,4,FALSE),0)</f>
        <v>0</v>
      </c>
      <c r="DE19" s="312">
        <f>IFERROR(VLOOKUP(CONCATENATE(DE$1,"__",$A19),'Průměrné mzdy 2018'!$D$3:$J$1347,4,FALSE),0)</f>
        <v>0</v>
      </c>
      <c r="DF19" s="312">
        <f>IFERROR(VLOOKUP(CONCATENATE(DF$1,"__",$A19),'Průměrné mzdy 2018'!$D$3:$J$1347,4,FALSE),0)</f>
        <v>0</v>
      </c>
      <c r="DG19" s="312">
        <f>IFERROR(VLOOKUP(CONCATENATE(DG$1,"__",$A19),'Průměrné mzdy 2018'!$D$3:$J$1347,4,FALSE),0)</f>
        <v>0</v>
      </c>
      <c r="DH19" s="312">
        <f>IFERROR(VLOOKUP(CONCATENATE(DH$1,"__",$A19),'Průměrné mzdy 2018'!$D$3:$J$1347,4,FALSE),0)</f>
        <v>2.5270000000000001</v>
      </c>
      <c r="DI19" s="312">
        <f>IFERROR(VLOOKUP(CONCATENATE(DI$1,"__",$A19),'Průměrné mzdy 2018'!$D$3:$J$1347,4,FALSE),0)</f>
        <v>1.625</v>
      </c>
      <c r="DJ19" s="312">
        <f>IFERROR(VLOOKUP(CONCATENATE(DJ$1,"__",$A19),'Průměrné mzdy 2018'!$D$3:$J$1347,4,FALSE),0)</f>
        <v>2.5</v>
      </c>
      <c r="DK19" s="312">
        <f>IFERROR(VLOOKUP(CONCATENATE(DK$1,"__",$A19),'Průměrné mzdy 2018'!$D$3:$J$1347,4,FALSE),0)</f>
        <v>1.3919999999999999</v>
      </c>
      <c r="DL19" s="312">
        <f>IFERROR(VLOOKUP(CONCATENATE(DL$1,"__",$A19),'Průměrné mzdy 2018'!$D$3:$J$1347,4,FALSE),0)</f>
        <v>10</v>
      </c>
      <c r="DM19" s="312">
        <f>IFERROR(VLOOKUP(CONCATENATE(DM$1,"__",$A19),'Průměrné mzdy 2018'!$D$3:$J$1347,4,FALSE),0)</f>
        <v>6.1584000000000003</v>
      </c>
      <c r="DN19" s="312">
        <f>IFERROR(VLOOKUP(CONCATENATE(DN$1,"__",$A19),'Průměrné mzdy 2018'!$D$3:$J$1347,4,FALSE),0)</f>
        <v>3.4</v>
      </c>
      <c r="DO19" s="312">
        <f>IFERROR(VLOOKUP(CONCATENATE(DO$1,"__",$A19),'Průměrné mzdy 2018'!$D$3:$J$1347,4,FALSE),0)</f>
        <v>0</v>
      </c>
      <c r="DP19" s="312">
        <f>IFERROR(VLOOKUP(CONCATENATE(DP$1,"__",$A19),'Průměrné mzdy 2018'!$D$3:$J$1347,4,FALSE),0)</f>
        <v>4.9106000000000005</v>
      </c>
      <c r="DQ19" s="312">
        <f>IFERROR(VLOOKUP(CONCATENATE(DQ$1,"__",$A19),'Průměrné mzdy 2018'!$D$3:$J$1347,4,FALSE),0)</f>
        <v>4.3654000000000002</v>
      </c>
      <c r="DR19" s="312">
        <f>IFERROR(VLOOKUP(CONCATENATE(DR$1,"__",$A19),'Průměrné mzdy 2018'!$D$3:$J$1347,4,FALSE),0)</f>
        <v>4.13</v>
      </c>
      <c r="DS19" s="312">
        <f>IFERROR(VLOOKUP(CONCATENATE(DS$1,"__",$A19),'Průměrné mzdy 2018'!$D$3:$J$1347,4,FALSE),0)</f>
        <v>0</v>
      </c>
      <c r="DT19" s="312">
        <f>IFERROR(VLOOKUP(CONCATENATE(DT$1,"__",$A19),'Průměrné mzdy 2018'!$D$3:$J$1347,4,FALSE),0)</f>
        <v>6.2249999999999996</v>
      </c>
      <c r="DU19" s="312">
        <f>IFERROR(VLOOKUP(CONCATENATE(DU$1,"__",$A19),'Průměrné mzdy 2018'!$D$3:$J$1347,4,FALSE),0)</f>
        <v>2.9732000000000003</v>
      </c>
      <c r="DV19" s="312">
        <f>IFERROR(VLOOKUP(CONCATENATE(DV$1,"__",$A19),'Průměrné mzdy 2018'!$D$3:$J$1347,4,FALSE),0)</f>
        <v>12.213999999999999</v>
      </c>
      <c r="DW19" s="312">
        <f>IFERROR(VLOOKUP(CONCATENATE(DW$1,"__",$A19),'Průměrné mzdy 2018'!$D$3:$J$1347,4,FALSE),0)</f>
        <v>0</v>
      </c>
      <c r="DX19" s="312">
        <f>IFERROR(VLOOKUP(CONCATENATE(DX$1,"__",$A19),'Průměrné mzdy 2018'!$D$3:$J$1347,4,FALSE),0)</f>
        <v>5.0760000000000005</v>
      </c>
      <c r="DY19" s="312">
        <f>IFERROR(VLOOKUP(CONCATENATE(DY$1,"__",$A19),'Průměrné mzdy 2018'!$D$3:$J$1347,4,FALSE),0)</f>
        <v>0</v>
      </c>
      <c r="DZ19" s="312">
        <f>IFERROR(VLOOKUP(CONCATENATE(DZ$1,"__",$A19),'Průměrné mzdy 2018'!$D$3:$J$1347,4,FALSE),0)</f>
        <v>0</v>
      </c>
      <c r="EA19" s="312">
        <f>IFERROR(VLOOKUP(CONCATENATE(EA$1,"__",$A19),'Průměrné mzdy 2018'!$D$3:$J$1347,4,FALSE),0)</f>
        <v>7.48</v>
      </c>
      <c r="EB19" s="312">
        <f>IFERROR(VLOOKUP(CONCATENATE(EB$1,"__",$A19),'Průměrné mzdy 2018'!$D$3:$J$1347,4,FALSE),0)</f>
        <v>13</v>
      </c>
      <c r="EC19" s="312">
        <f>IFERROR(VLOOKUP(CONCATENATE(EC$1,"__",$A19),'Průměrné mzdy 2018'!$D$3:$J$1347,4,FALSE),0)</f>
        <v>7.5</v>
      </c>
      <c r="ED19" s="312">
        <f>IFERROR(VLOOKUP(CONCATENATE(ED$1,"__",$A19),'Průměrné mzdy 2018'!$D$3:$J$1347,4,FALSE),0)</f>
        <v>5.5880000000000001</v>
      </c>
      <c r="EE19" s="312">
        <f>IFERROR(VLOOKUP(CONCATENATE(EE$1,"__",$A19),'Průměrné mzdy 2018'!$D$3:$J$1347,4,FALSE),0)</f>
        <v>1.1499999999999999</v>
      </c>
      <c r="EF19" s="312">
        <f>IFERROR(VLOOKUP(CONCATENATE(EF$1,"__",$A19),'Průměrné mzdy 2018'!$D$3:$J$1347,4,FALSE),0)</f>
        <v>1.25</v>
      </c>
      <c r="EG19" s="312">
        <f>IFERROR(VLOOKUP(CONCATENATE(EG$1,"__",$A19),'Průměrné mzdy 2018'!$D$3:$J$1347,4,FALSE),0)</f>
        <v>0.6</v>
      </c>
      <c r="EH19" s="312">
        <f>IFERROR(VLOOKUP(CONCATENATE(EH$1,"__",$A19),'Průměrné mzdy 2018'!$D$3:$J$1347,4,FALSE),0)</f>
        <v>1.458</v>
      </c>
      <c r="EI19" s="312">
        <f>IFERROR(VLOOKUP(CONCATENATE(EI$1,"__",$A19),'Průměrné mzdy 2018'!$D$3:$J$1347,4,FALSE),0)</f>
        <v>2.8</v>
      </c>
      <c r="EJ19" s="312">
        <f>IFERROR(VLOOKUP(CONCATENATE(EJ$1,"__",$A19),'Průměrné mzdy 2018'!$D$3:$J$1347,4,FALSE),0)</f>
        <v>1.6</v>
      </c>
      <c r="EK19" s="312">
        <f>IFERROR(VLOOKUP(CONCATENATE(EK$1,"__",$A19),'Průměrné mzdy 2018'!$D$3:$J$1347,4,FALSE),0)</f>
        <v>0</v>
      </c>
      <c r="EL19" s="312">
        <f>IFERROR(VLOOKUP(CONCATENATE(EL$1,"__",$A19),'Průměrné mzdy 2018'!$D$3:$J$1347,4,FALSE),0)</f>
        <v>0</v>
      </c>
      <c r="EM19" s="312">
        <f>IFERROR(VLOOKUP(CONCATENATE(EM$1,"__",$A19),'Průměrné mzdy 2018'!$D$3:$J$1347,4,FALSE),0)</f>
        <v>0</v>
      </c>
      <c r="EN19" s="312">
        <f>IFERROR(VLOOKUP(CONCATENATE(EN$1,"__",$A19),'Průměrné mzdy 2018'!$D$3:$J$1347,4,FALSE),0)</f>
        <v>4</v>
      </c>
      <c r="EO19" s="312">
        <f>IFERROR(VLOOKUP(CONCATENATE(EO$1,"__",$A19),'Průměrné mzdy 2018'!$D$3:$J$1347,4,FALSE),0)</f>
        <v>0.3</v>
      </c>
      <c r="EP19" s="312">
        <f>IFERROR(VLOOKUP(CONCATENATE(EP$1,"__",$A19),'Průměrné mzdy 2018'!$D$3:$J$1347,4,FALSE),0)</f>
        <v>2.2999999999999998</v>
      </c>
      <c r="EQ19" s="312">
        <f>IFERROR(VLOOKUP(CONCATENATE(EQ$1,"__",$A19),'Průměrné mzdy 2018'!$D$3:$J$1347,4,FALSE),0)</f>
        <v>3.5</v>
      </c>
      <c r="ER19" s="312">
        <f>IFERROR(VLOOKUP(CONCATENATE(ER$1,"__",$A19),'Průměrné mzdy 2018'!$D$3:$J$1347,4,FALSE),0)</f>
        <v>27.613</v>
      </c>
      <c r="ES19" s="312">
        <f>IFERROR(VLOOKUP(CONCATENATE(ES$1,"__",$A19),'Průměrné mzdy 2018'!$D$3:$J$1347,4,FALSE),0)</f>
        <v>15.284000000000001</v>
      </c>
      <c r="ET19" s="312">
        <f>IFERROR(VLOOKUP(CONCATENATE(ET$1,"__",$A19),'Průměrné mzdy 2018'!$D$3:$J$1347,4,FALSE),0)</f>
        <v>0</v>
      </c>
      <c r="EU19" s="312">
        <f>IFERROR(VLOOKUP(CONCATENATE(EU$1,"__",$A19),'Průměrné mzdy 2018'!$D$3:$J$1347,4,FALSE),0)</f>
        <v>0</v>
      </c>
      <c r="EV19" s="312">
        <f>IFERROR(VLOOKUP(CONCATENATE(EV$1,"__",$A19),'Průměrné mzdy 2018'!$D$3:$J$1347,4,FALSE),0)</f>
        <v>0.59840000000000004</v>
      </c>
      <c r="EW19" s="312">
        <f>IFERROR(VLOOKUP(CONCATENATE(EW$1,"__",$A19),'Průměrné mzdy 2018'!$D$3:$J$1347,4,FALSE),0)</f>
        <v>10.084</v>
      </c>
      <c r="EX19" s="312">
        <f>IFERROR(VLOOKUP(CONCATENATE(EX$1,"__",$A19),'Průměrné mzdy 2018'!$D$3:$J$1347,4,FALSE),0)</f>
        <v>16.495000000000001</v>
      </c>
      <c r="EY19" s="312">
        <f>IFERROR(VLOOKUP(CONCATENATE(EY$1,"__",$A19),'Průměrné mzdy 2018'!$D$3:$J$1347,4,FALSE),0)</f>
        <v>4.16</v>
      </c>
      <c r="EZ19" s="312">
        <f>IFERROR(VLOOKUP(CONCATENATE(EZ$1,"__",$A19),'Průměrné mzdy 2018'!$D$3:$J$1347,4,FALSE),0)</f>
        <v>2.25</v>
      </c>
      <c r="FA19" s="312">
        <f>IFERROR(VLOOKUP(CONCATENATE(FA$1,"__",$A19),'Průměrné mzdy 2018'!$D$3:$J$1347,4,FALSE),0)</f>
        <v>3.04</v>
      </c>
      <c r="FB19" s="312">
        <f>IFERROR(VLOOKUP(CONCATENATE(FB$1,"__",$A19),'Průměrné mzdy 2018'!$D$3:$J$1347,4,FALSE),0)</f>
        <v>0.36</v>
      </c>
      <c r="FC19" s="312">
        <f>IFERROR(VLOOKUP(CONCATENATE(FC$1,"__",$A19),'Průměrné mzdy 2018'!$D$3:$J$1347,4,FALSE),0)</f>
        <v>12.672699999999999</v>
      </c>
      <c r="FD19" s="312">
        <f>IFERROR(VLOOKUP(CONCATENATE(FD$1,"__",$A19),'Průměrné mzdy 2018'!$D$3:$J$1347,4,FALSE),0)</f>
        <v>2.08</v>
      </c>
      <c r="FE19" s="312">
        <f>IFERROR(VLOOKUP(CONCATENATE(FE$1,"__",$A19),'Průměrné mzdy 2018'!$D$3:$J$1347,4,FALSE),0)</f>
        <v>1.1553</v>
      </c>
      <c r="FF19" s="312">
        <f>IFERROR(VLOOKUP(CONCATENATE(FF$1,"__",$A19),'Průměrné mzdy 2018'!$D$3:$J$1347,4,FALSE),0)</f>
        <v>4.2</v>
      </c>
      <c r="FG19" s="312">
        <f>IFERROR(VLOOKUP(CONCATENATE(FG$1,"__",$A19),'Průměrné mzdy 2018'!$D$3:$J$1347,4,FALSE),0)</f>
        <v>20</v>
      </c>
      <c r="FH19" s="312">
        <f>IFERROR(VLOOKUP(CONCATENATE(FH$1,"__",$A19),'Průměrné mzdy 2018'!$D$3:$J$1347,4,FALSE),0)</f>
        <v>23.172000000000001</v>
      </c>
      <c r="FI19" s="312">
        <f>IFERROR(VLOOKUP(CONCATENATE(FI$1,"__",$A19),'Průměrné mzdy 2018'!$D$3:$J$1347,4,FALSE),0)</f>
        <v>20.167999999999999</v>
      </c>
      <c r="FJ19" s="312">
        <f>IFERROR(VLOOKUP(CONCATENATE(FJ$1,"__",$A19),'Průměrné mzdy 2018'!$D$3:$J$1347,4,FALSE),0)</f>
        <v>7.8</v>
      </c>
      <c r="FK19" s="312">
        <f>IFERROR(VLOOKUP(CONCATENATE(FK$1,"__",$A19),'Průměrné mzdy 2018'!$D$3:$J$1347,4,FALSE),0)</f>
        <v>2</v>
      </c>
      <c r="FL19" s="312">
        <f>IFERROR(VLOOKUP(CONCATENATE(FL$1,"__",$A19),'Průměrné mzdy 2018'!$D$3:$J$1347,4,FALSE),0)</f>
        <v>2</v>
      </c>
      <c r="FM19" s="312">
        <f>IFERROR(VLOOKUP(CONCATENATE(FM$1,"__",$A19),'Průměrné mzdy 2018'!$D$3:$J$1347,4,FALSE),0)</f>
        <v>11.6</v>
      </c>
      <c r="FN19" s="312">
        <f>IFERROR(VLOOKUP(CONCATENATE(FN$1,"__",$A19),'Průměrné mzdy 2018'!$D$3:$J$1347,4,FALSE),0)</f>
        <v>16.5168</v>
      </c>
      <c r="FO19" s="312">
        <f>IFERROR(VLOOKUP(CONCATENATE(FO$1,"__",$A19),'Průměrné mzdy 2018'!$D$3:$J$1347,4,FALSE),0)</f>
        <v>4.5916000000000006</v>
      </c>
      <c r="FP19" s="312">
        <f>IFERROR(VLOOKUP(CONCATENATE(FP$1,"__",$A19),'Průměrné mzdy 2018'!$D$3:$J$1347,4,FALSE),0)</f>
        <v>26.244</v>
      </c>
      <c r="FQ19" s="312">
        <f>IFERROR(VLOOKUP(CONCATENATE(FQ$1,"__",$A19),'Průměrné mzdy 2018'!$D$3:$J$1347,4,FALSE),0)</f>
        <v>3.3</v>
      </c>
      <c r="FR19" s="312">
        <f>IFERROR(VLOOKUP(CONCATENATE(FR$1,"__",$A19),'Průměrné mzdy 2018'!$D$3:$J$1347,4,FALSE),0)</f>
        <v>0</v>
      </c>
      <c r="FS19" s="312">
        <f>IFERROR(VLOOKUP(CONCATENATE(FS$1,"__",$A19),'Průměrné mzdy 2018'!$D$3:$J$1347,4,FALSE),0)</f>
        <v>0.36360000000000003</v>
      </c>
      <c r="FT19" s="312">
        <f>IFERROR(VLOOKUP(CONCATENATE(FT$1,"__",$A19),'Průměrné mzdy 2018'!$D$3:$J$1347,4,FALSE),0)</f>
        <v>9</v>
      </c>
      <c r="FU19" s="312">
        <f>IFERROR(VLOOKUP(CONCATENATE(FU$1,"__",$A19),'Průměrné mzdy 2018'!$D$3:$J$1347,4,FALSE),0)</f>
        <v>1.2</v>
      </c>
      <c r="FV19" s="312">
        <f>IFERROR(VLOOKUP(CONCATENATE(FV$1,"__",$A19),'Průměrné mzdy 2018'!$D$3:$J$1347,4,FALSE),0)</f>
        <v>5.3000000000000007</v>
      </c>
      <c r="FW19" s="312">
        <f>IFERROR(VLOOKUP(CONCATENATE(FW$1,"__",$A19),'Průměrné mzdy 2018'!$D$3:$J$1347,4,FALSE),0)</f>
        <v>3.7</v>
      </c>
      <c r="FX19" s="312">
        <f>IFERROR(VLOOKUP(CONCATENATE(FX$1,"__",$A19),'Průměrné mzdy 2018'!$D$3:$J$1347,4,FALSE),0)</f>
        <v>2</v>
      </c>
      <c r="FY19" s="312">
        <f>IFERROR(VLOOKUP(CONCATENATE(FY$1,"__",$A19),'Průměrné mzdy 2018'!$D$3:$J$1347,4,FALSE),0)</f>
        <v>1.2000000000000002</v>
      </c>
      <c r="FZ19" s="312">
        <f>IFERROR(VLOOKUP(CONCATENATE(FZ$1,"__",$A19),'Průměrné mzdy 2018'!$D$3:$J$1347,4,FALSE),0)</f>
        <v>15.412000000000001</v>
      </c>
      <c r="GA19" s="312">
        <f>IFERROR(VLOOKUP(CONCATENATE(GA$1,"__",$A19),'Průměrné mzdy 2018'!$D$3:$J$1347,4,FALSE),0)</f>
        <v>1.1764000000000001</v>
      </c>
      <c r="GB19" s="312">
        <f>IFERROR(VLOOKUP(CONCATENATE(GB$1,"__",$A19),'Průměrné mzdy 2018'!$D$3:$J$1347,4,FALSE),0)</f>
        <v>10.14</v>
      </c>
      <c r="GC19" s="312">
        <f>IFERROR(VLOOKUP(CONCATENATE(GC$1,"__",$A19),'Průměrné mzdy 2018'!$D$3:$J$1347,4,FALSE),0)</f>
        <v>7.92</v>
      </c>
      <c r="GD19" s="312">
        <f>IFERROR(VLOOKUP(CONCATENATE(GD$1,"__",$A19),'Průměrné mzdy 2018'!$D$3:$J$1347,4,FALSE),0)</f>
        <v>20.948</v>
      </c>
      <c r="GE19" s="312">
        <f>IFERROR(VLOOKUP(CONCATENATE(GE$1,"__",$A19),'Průměrné mzdy 2018'!$D$3:$J$1347,4,FALSE),0)</f>
        <v>3.1840000000000002</v>
      </c>
      <c r="GF19" s="312">
        <f>IFERROR(VLOOKUP(CONCATENATE(GF$1,"__",$A19),'Průměrné mzdy 2018'!$D$3:$J$1347,4,FALSE),0)</f>
        <v>16.783999999999999</v>
      </c>
      <c r="GG19" s="312">
        <f>IFERROR(VLOOKUP(CONCATENATE(GG$1,"__",$A19),'Průměrné mzdy 2018'!$D$3:$J$1347,4,FALSE),0)</f>
        <v>2.4791000000000003</v>
      </c>
      <c r="GH19" s="312">
        <f>IFERROR(VLOOKUP(CONCATENATE(GH$1,"__",$A19),'Průměrné mzdy 2018'!$D$3:$J$1347,4,FALSE),0)</f>
        <v>1.9703000000000002</v>
      </c>
      <c r="GI19" s="312">
        <f>IFERROR(VLOOKUP(CONCATENATE(GI$1,"__",$A19),'Průměrné mzdy 2018'!$D$3:$J$1347,4,FALSE),0)</f>
        <v>21.823799999999999</v>
      </c>
      <c r="GJ19" s="312">
        <f>IFERROR(VLOOKUP(CONCATENATE(GJ$1,"__",$A19),'Průměrné mzdy 2018'!$D$3:$J$1347,4,FALSE),0)</f>
        <v>6.1749999999999998</v>
      </c>
      <c r="GK19" s="312">
        <f>IFERROR(VLOOKUP(CONCATENATE(GK$1,"__",$A19),'Průměrné mzdy 2018'!$D$3:$J$1347,4,FALSE),0)</f>
        <v>6.1749999999999998</v>
      </c>
      <c r="GL19" s="312">
        <f>IFERROR(VLOOKUP(CONCATENATE(GL$1,"__",$A19),'Průměrné mzdy 2018'!$D$3:$J$1347,4,FALSE),0)</f>
        <v>1.375</v>
      </c>
      <c r="GM19" s="312">
        <f>IFERROR(VLOOKUP(CONCATENATE(GM$1,"__",$A19),'Průměrné mzdy 2018'!$D$3:$J$1347,4,FALSE),0)</f>
        <v>2.375</v>
      </c>
      <c r="GN19" s="312">
        <f>IFERROR(VLOOKUP(CONCATENATE(GN$1,"__",$A19),'Průměrné mzdy 2018'!$D$3:$J$1347,4,FALSE),0)</f>
        <v>2.1</v>
      </c>
      <c r="GO19" s="312">
        <f>IFERROR(VLOOKUP(CONCATENATE(GO$1,"__",$A19),'Průměrné mzdy 2018'!$D$3:$J$1347,4,FALSE),0)</f>
        <v>9.5</v>
      </c>
      <c r="GP19" s="312">
        <f>IFERROR(VLOOKUP(CONCATENATE(GP$1,"__",$A19),'Průměrné mzdy 2018'!$D$3:$J$1347,4,FALSE),0)</f>
        <v>2</v>
      </c>
      <c r="GQ19" s="312">
        <f>IFERROR(VLOOKUP(CONCATENATE(GQ$1,"__",$A19),'Průměrné mzdy 2018'!$D$3:$J$1347,4,FALSE),0)</f>
        <v>3.25</v>
      </c>
      <c r="GR19" s="312">
        <f>IFERROR(VLOOKUP(CONCATENATE(GR$1,"__",$A19),'Průměrné mzdy 2018'!$D$3:$J$1347,4,FALSE),0)</f>
        <v>3.4</v>
      </c>
      <c r="GS19" s="312">
        <f>IFERROR(VLOOKUP(CONCATENATE(GS$1,"__",$A19),'Průměrné mzdy 2018'!$D$3:$J$1347,4,FALSE),0)</f>
        <v>2</v>
      </c>
      <c r="GT19" s="312">
        <f>IFERROR(VLOOKUP(CONCATENATE(GT$1,"__",$A19),'Průměrné mzdy 2018'!$D$3:$J$1347,4,FALSE),0)</f>
        <v>29.216000000000001</v>
      </c>
      <c r="GU19" s="312">
        <f>IFERROR(VLOOKUP(CONCATENATE(GU$1,"__",$A19),'Průměrné mzdy 2018'!$D$3:$J$1347,4,FALSE),0)</f>
        <v>2.2866</v>
      </c>
      <c r="GV19" s="312">
        <f>IFERROR(VLOOKUP(CONCATENATE(GV$1,"__",$A19),'Průměrné mzdy 2018'!$D$3:$J$1347,4,FALSE),0)</f>
        <v>0</v>
      </c>
      <c r="GW19" s="312">
        <f>IFERROR(VLOOKUP(CONCATENATE(GW$1,"__",$A19),'Průměrné mzdy 2018'!$D$3:$J$1347,4,FALSE),0)</f>
        <v>4.1079999999999997</v>
      </c>
      <c r="GX19" s="312">
        <f>IFERROR(VLOOKUP(CONCATENATE(GX$1,"__",$A19),'Průměrné mzdy 2018'!$D$3:$J$1347,4,FALSE),0)</f>
        <v>1.1000000000000001</v>
      </c>
      <c r="GY19" s="312">
        <f>IFERROR(VLOOKUP(CONCATENATE(GY$1,"__",$A19),'Průměrné mzdy 2018'!$D$3:$J$1347,4,FALSE),0)</f>
        <v>40.152799999999999</v>
      </c>
      <c r="GZ19" s="312">
        <f>IFERROR(VLOOKUP(CONCATENATE(GZ$1,"__",$A19),'Průměrné mzdy 2018'!$D$3:$J$1347,4,FALSE),0)</f>
        <v>0</v>
      </c>
      <c r="HA19" s="312">
        <f>IFERROR(VLOOKUP(CONCATENATE(HA$1,"__",$A19),'Průměrné mzdy 2018'!$D$3:$J$1347,4,FALSE),0)</f>
        <v>21.997</v>
      </c>
      <c r="HB19" s="312">
        <f>IFERROR(VLOOKUP(CONCATENATE(HB$1,"__",$A19),'Průměrné mzdy 2018'!$D$3:$J$1347,4,FALSE),0)</f>
        <v>10.164</v>
      </c>
      <c r="HC19" s="312">
        <f>IFERROR(VLOOKUP(CONCATENATE(HC$1,"__",$A19),'Průměrné mzdy 2018'!$D$3:$J$1347,4,FALSE),0)</f>
        <v>17.3444</v>
      </c>
      <c r="HD19" s="312">
        <f>IFERROR(VLOOKUP(CONCATENATE(HD$1,"__",$A19),'Průměrné mzdy 2018'!$D$3:$J$1347,4,FALSE),0)</f>
        <v>7.1260000000000003</v>
      </c>
      <c r="HE19" s="312">
        <f>IFERROR(VLOOKUP(CONCATENATE(HE$1,"__",$A19),'Průměrné mzdy 2018'!$D$3:$J$1347,4,FALSE),0)</f>
        <v>14.058</v>
      </c>
      <c r="HF19" s="312">
        <f>IFERROR(VLOOKUP(CONCATENATE(HF$1,"__",$A19),'Průměrné mzdy 2018'!$D$3:$J$1347,4,FALSE),0)</f>
        <v>5.5823999999999998</v>
      </c>
      <c r="HG19" s="312">
        <f>IFERROR(VLOOKUP(CONCATENATE(HG$1,"__",$A19),'Průměrné mzdy 2018'!$D$3:$J$1347,4,FALSE),0)</f>
        <v>2</v>
      </c>
      <c r="HH19" s="312">
        <f>IFERROR(VLOOKUP(CONCATENATE(HH$1,"__",$A19),'Průměrné mzdy 2018'!$D$3:$J$1347,4,FALSE),0)</f>
        <v>0</v>
      </c>
      <c r="HI19" s="312">
        <f>IFERROR(VLOOKUP(CONCATENATE(HI$1,"__",$A19),'Průměrné mzdy 2018'!$D$3:$J$1347,4,FALSE),0)</f>
        <v>8.8000000000000007</v>
      </c>
      <c r="HJ19" s="312">
        <f>IFERROR(VLOOKUP(CONCATENATE(HJ$1,"__",$A19),'Průměrné mzdy 2018'!$D$3:$J$1347,4,FALSE),0)</f>
        <v>0.52</v>
      </c>
      <c r="HK19" s="312">
        <f>IFERROR(VLOOKUP(CONCATENATE(HK$1,"__",$A19),'Průměrné mzdy 2018'!$D$3:$J$1347,4,FALSE),0)</f>
        <v>2.1</v>
      </c>
      <c r="HL19" s="312">
        <f>IFERROR(VLOOKUP(CONCATENATE(HL$1,"__",$A19),'Průměrné mzdy 2018'!$D$3:$J$1347,4,FALSE),0)</f>
        <v>57.14</v>
      </c>
      <c r="HM19" s="312">
        <f>IFERROR(VLOOKUP(CONCATENATE(HM$1,"__",$A19),'Průměrné mzdy 2018'!$D$3:$J$1347,4,FALSE),0)</f>
        <v>35.588000000000001</v>
      </c>
      <c r="HN19" s="312">
        <f>IFERROR(VLOOKUP(CONCATENATE(HN$1,"__",$A19),'Průměrné mzdy 2018'!$D$3:$J$1347,4,FALSE),0)</f>
        <v>2.1</v>
      </c>
      <c r="HO19" s="312">
        <f>IFERROR(VLOOKUP(CONCATENATE(HO$1,"__",$A19),'Průměrné mzdy 2018'!$D$3:$J$1347,4,FALSE),0)</f>
        <v>3</v>
      </c>
      <c r="HP19" s="312">
        <f>IFERROR(VLOOKUP(CONCATENATE(HP$1,"__",$A19),'Průměrné mzdy 2018'!$D$3:$J$1347,4,FALSE),0)</f>
        <v>42.042000000000002</v>
      </c>
      <c r="HQ19" s="312">
        <f>IFERROR(VLOOKUP(CONCATENATE(HQ$1,"__",$A19),'Průměrné mzdy 2018'!$D$3:$J$1347,4,FALSE),0)</f>
        <v>1.3</v>
      </c>
      <c r="HR19" s="312">
        <f>IFERROR(VLOOKUP(CONCATENATE(HR$1,"__",$A19),'Průměrné mzdy 2018'!$D$3:$J$1347,4,FALSE),0)</f>
        <v>50.488</v>
      </c>
      <c r="HS19" s="312">
        <f>IFERROR(VLOOKUP(CONCATENATE(HS$1,"__",$A19),'Průměrné mzdy 2018'!$D$3:$J$1347,4,FALSE),0)</f>
        <v>9.6</v>
      </c>
      <c r="HT19" s="312">
        <f>IFERROR(VLOOKUP(CONCATENATE(HT$1,"__",$A19),'Průměrné mzdy 2018'!$D$3:$J$1347,4,FALSE),0)</f>
        <v>25</v>
      </c>
      <c r="HU19" s="312">
        <f>IFERROR(VLOOKUP(CONCATENATE(HU$1,"__",$A19),'Průměrné mzdy 2018'!$D$3:$J$1347,4,FALSE),0)</f>
        <v>35.345999999999997</v>
      </c>
      <c r="HV19" s="312">
        <f>IFERROR(VLOOKUP(CONCATENATE(HV$1,"__",$A19),'Průměrné mzdy 2018'!$D$3:$J$1347,4,FALSE),0)</f>
        <v>30.388000000000002</v>
      </c>
      <c r="HW19" s="312">
        <f>IFERROR(VLOOKUP(CONCATENATE(HW$1,"__",$A19),'Průměrné mzdy 2018'!$D$3:$J$1347,4,FALSE),0)</f>
        <v>11.3384</v>
      </c>
      <c r="HX19" s="312">
        <f>IFERROR(VLOOKUP(CONCATENATE(HX$1,"__",$A19),'Průměrné mzdy 2018'!$D$3:$J$1347,4,FALSE),0)</f>
        <v>34.683400000000006</v>
      </c>
      <c r="HY19" s="312">
        <f>IFERROR(VLOOKUP(CONCATENATE(HY$1,"__",$A19),'Průměrné mzdy 2018'!$D$3:$J$1347,4,FALSE),0)</f>
        <v>25.909199999999998</v>
      </c>
      <c r="HZ19" s="312">
        <f>IFERROR(VLOOKUP(CONCATENATE(HZ$1,"__",$A19),'Průměrné mzdy 2018'!$D$3:$J$1347,4,FALSE),0)</f>
        <v>10.8</v>
      </c>
      <c r="IA19" s="312">
        <f>IFERROR(VLOOKUP(CONCATENATE(IA$1,"__",$A19),'Průměrné mzdy 2018'!$D$3:$J$1347,4,FALSE),0)</f>
        <v>13.4</v>
      </c>
      <c r="IB19" s="312">
        <f>IFERROR(VLOOKUP(CONCATENATE(IB$1,"__",$A19),'Průměrné mzdy 2018'!$D$3:$J$1347,4,FALSE),0)</f>
        <v>10.199999999999999</v>
      </c>
      <c r="IC19" s="312">
        <f>IFERROR(VLOOKUP(CONCATENATE(IC$1,"__",$A19),'Průměrné mzdy 2018'!$D$3:$J$1347,4,FALSE),0)</f>
        <v>23.504000000000001</v>
      </c>
      <c r="ID19" s="312">
        <f>IFERROR(VLOOKUP(CONCATENATE(ID$1,"__",$A19),'Průměrné mzdy 2018'!$D$3:$J$1347,4,FALSE),0)</f>
        <v>19.27</v>
      </c>
      <c r="IE19" s="312">
        <f>IFERROR(VLOOKUP(CONCATENATE(IE$1,"__",$A19),'Průměrné mzdy 2018'!$D$3:$J$1347,4,FALSE),0)</f>
        <v>20.501999999999999</v>
      </c>
      <c r="IF19" s="312">
        <f>IFERROR(VLOOKUP(CONCATENATE(IF$1,"__",$A19),'Průměrné mzdy 2018'!$D$3:$J$1347,4,FALSE),0)</f>
        <v>25.817699999999999</v>
      </c>
      <c r="IG19" s="312">
        <f>IFERROR(VLOOKUP(CONCATENATE(IG$1,"__",$A19),'Průměrné mzdy 2018'!$D$3:$J$1347,4,FALSE),0)</f>
        <v>0</v>
      </c>
      <c r="IH19" s="312">
        <f>IFERROR(VLOOKUP(CONCATENATE(IH$1,"__",$A19),'Průměrné mzdy 2018'!$D$3:$J$1347,4,FALSE),0)</f>
        <v>4.21</v>
      </c>
      <c r="II19" s="312">
        <f>IFERROR(VLOOKUP(CONCATENATE(II$1,"__",$A19),'Průměrné mzdy 2018'!$D$3:$J$1347,4,FALSE),0)</f>
        <v>28.555500000000002</v>
      </c>
      <c r="IJ19" s="312">
        <f>IFERROR(VLOOKUP(CONCATENATE(IJ$1,"__",$A19),'Průměrné mzdy 2018'!$D$3:$J$1347,4,FALSE),0)</f>
        <v>1.546</v>
      </c>
      <c r="IK19" s="312">
        <f>IFERROR(VLOOKUP(CONCATENATE(IK$1,"__",$A19),'Průměrné mzdy 2018'!$D$3:$J$1347,4,FALSE),0)</f>
        <v>3.82</v>
      </c>
      <c r="IL19" s="312">
        <f>IFERROR(VLOOKUP(CONCATENATE(IL$1,"__",$A19),'Průměrné mzdy 2018'!$D$3:$J$1347,4,FALSE),0)</f>
        <v>11.8</v>
      </c>
      <c r="IM19" s="312">
        <f>IFERROR(VLOOKUP(CONCATENATE(IM$1,"__",$A19),'Průměrné mzdy 2018'!$D$3:$J$1347,4,FALSE),0)</f>
        <v>0.63</v>
      </c>
      <c r="IN19" s="312">
        <f>IFERROR(VLOOKUP(CONCATENATE(IN$1,"__",$A19),'Průměrné mzdy 2018'!$D$3:$J$1347,4,FALSE),0)</f>
        <v>11.81</v>
      </c>
      <c r="IO19" s="312">
        <f>IFERROR(VLOOKUP(CONCATENATE(IO$1,"__",$A19),'Průměrné mzdy 2018'!$D$3:$J$1347,4,FALSE),0)</f>
        <v>6.95</v>
      </c>
      <c r="IP19" s="312">
        <f>IFERROR(VLOOKUP(CONCATENATE(IP$1,"__",$A19),'Průměrné mzdy 2018'!$D$3:$J$1347,4,FALSE),0)</f>
        <v>29.904</v>
      </c>
      <c r="IQ19" s="312">
        <f>IFERROR(VLOOKUP(CONCATENATE(IQ$1,"__",$A19),'Průměrné mzdy 2018'!$D$3:$J$1347,4,FALSE),0)</f>
        <v>28.524000000000001</v>
      </c>
      <c r="IR19" s="312">
        <f>IFERROR(VLOOKUP(CONCATENATE(IR$1,"__",$A19),'Průměrné mzdy 2018'!$D$3:$J$1347,4,FALSE),0)</f>
        <v>1.5</v>
      </c>
      <c r="IS19" s="312">
        <f>IFERROR(VLOOKUP(CONCATENATE(IS$1,"__",$A19),'Průměrné mzdy 2018'!$D$3:$J$1347,4,FALSE),0)</f>
        <v>91.421199999999999</v>
      </c>
      <c r="IT19" s="312">
        <f>IFERROR(VLOOKUP(CONCATENATE(IT$1,"__",$A19),'Průměrné mzdy 2018'!$D$3:$J$1347,4,FALSE),0)</f>
        <v>24.5608</v>
      </c>
      <c r="IU19" s="312">
        <f>IFERROR(VLOOKUP(CONCATENATE(IU$1,"__",$A19),'Průměrné mzdy 2018'!$D$3:$J$1347,4,FALSE),0)</f>
        <v>3.8132000000000001</v>
      </c>
      <c r="IV19" s="312">
        <f>IFERROR(VLOOKUP(CONCATENATE(IV$1,"__",$A19),'Průměrné mzdy 2018'!$D$3:$J$1347,4,FALSE),0)</f>
        <v>12.1</v>
      </c>
      <c r="IW19" s="312">
        <f>IFERROR(VLOOKUP(CONCATENATE(IW$1,"__",$A19),'Průměrné mzdy 2018'!$D$3:$J$1347,4,FALSE),0)</f>
        <v>30.031199999999998</v>
      </c>
      <c r="IX19" s="312">
        <f>IFERROR(VLOOKUP(CONCATENATE(IX$1,"__",$A19),'Průměrné mzdy 2018'!$D$3:$J$1347,4,FALSE),0)</f>
        <v>3.6</v>
      </c>
      <c r="IY19" s="312">
        <f>IFERROR(VLOOKUP(CONCATENATE(IY$1,"__",$A19),'Průměrné mzdy 2018'!$D$3:$J$1347,4,FALSE),0)</f>
        <v>16.584</v>
      </c>
      <c r="IZ19" s="312">
        <f>IFERROR(VLOOKUP(CONCATENATE(IZ$1,"__",$A19),'Průměrné mzdy 2018'!$D$3:$J$1347,4,FALSE),0)</f>
        <v>29.692</v>
      </c>
      <c r="JA19" s="312">
        <f>IFERROR(VLOOKUP(CONCATENATE(JA$1,"__",$A19),'Průměrné mzdy 2018'!$D$3:$J$1347,4,FALSE),0)</f>
        <v>5.05</v>
      </c>
      <c r="JB19" s="312">
        <f>IFERROR(VLOOKUP(CONCATENATE(JB$1,"__",$A19),'Průměrné mzdy 2018'!$D$3:$J$1347,4,FALSE),0)</f>
        <v>3.1</v>
      </c>
      <c r="JC19" s="312">
        <f>IFERROR(VLOOKUP(CONCATENATE(JC$1,"__",$A19),'Průměrné mzdy 2018'!$D$3:$J$1347,4,FALSE),0)</f>
        <v>3.52</v>
      </c>
      <c r="JD19" s="312">
        <f>IFERROR(VLOOKUP(CONCATENATE(JD$1,"__",$A19),'Průměrné mzdy 2018'!$D$3:$J$1347,4,FALSE),0)</f>
        <v>9.1448</v>
      </c>
      <c r="JE19" s="312">
        <f>IFERROR(VLOOKUP(CONCATENATE(JE$1,"__",$A19),'Průměrné mzdy 2018'!$D$3:$J$1347,4,FALSE),0)</f>
        <v>0.96310000000000007</v>
      </c>
      <c r="JF19" s="312">
        <f>IFERROR(VLOOKUP(CONCATENATE(JF$1,"__",$A19),'Průměrné mzdy 2018'!$D$3:$J$1347,4,FALSE),0)</f>
        <v>58.2029</v>
      </c>
      <c r="JG19" s="312">
        <f>IFERROR(VLOOKUP(CONCATENATE(JG$1,"__",$A19),'Průměrné mzdy 2018'!$D$3:$J$1347,4,FALSE),0)</f>
        <v>41.192</v>
      </c>
      <c r="JH19" s="312">
        <f>IFERROR(VLOOKUP(CONCATENATE(JH$1,"__",$A19),'Průměrné mzdy 2018'!$D$3:$J$1347,4,FALSE),0)</f>
        <v>2.048</v>
      </c>
      <c r="JO19" s="307"/>
    </row>
    <row r="20" spans="1:276" x14ac:dyDescent="0.25">
      <c r="A20" s="313" t="s">
        <v>2444</v>
      </c>
      <c r="B20" s="313" t="s">
        <v>2459</v>
      </c>
      <c r="C20" s="314">
        <f>IFERROR(VLOOKUP(CONCATENATE(C$1,"__",$A20),'Průměrné mzdy 2018'!$D$3:$J$1347,5,FALSE),0)</f>
        <v>27906.925195451313</v>
      </c>
      <c r="D20" s="314">
        <f>IFERROR(VLOOKUP(CONCATENATE(D$1,"__",$A20),'Průměrné mzdy 2018'!$D$3:$J$1347,5,FALSE),0)</f>
        <v>31567.842605156038</v>
      </c>
      <c r="E20" s="314">
        <f>IFERROR(VLOOKUP(CONCATENATE(E$1,"__",$A20),'Průměrné mzdy 2018'!$D$3:$J$1347,5,FALSE),0)</f>
        <v>26075.209970233398</v>
      </c>
      <c r="F20" s="314">
        <f>IFERROR(VLOOKUP(CONCATENATE(F$1,"__",$A20),'Průměrné mzdy 2018'!$D$3:$J$1347,5,FALSE),0)</f>
        <v>25629.34788991166</v>
      </c>
      <c r="G20" s="314">
        <f>IFERROR(VLOOKUP(CONCATENATE(G$1,"__",$A20),'Průměrné mzdy 2018'!$D$3:$J$1347,5,FALSE),0)</f>
        <v>23789.218602318862</v>
      </c>
      <c r="H20" s="314">
        <f>IFERROR(VLOOKUP(CONCATENATE(H$1,"__",$A20),'Průměrné mzdy 2018'!$D$3:$J$1347,5,FALSE),0)</f>
        <v>0</v>
      </c>
      <c r="I20" s="314">
        <f>IFERROR(VLOOKUP(CONCATENATE(I$1,"__",$A20),'Průměrné mzdy 2018'!$D$3:$J$1347,5,FALSE),0)</f>
        <v>25486.300250571956</v>
      </c>
      <c r="J20" s="314">
        <f>IFERROR(VLOOKUP(CONCATENATE(J$1,"__",$A20),'Průměrné mzdy 2018'!$D$3:$J$1347,5,FALSE),0)</f>
        <v>44280.144646489964</v>
      </c>
      <c r="K20" s="314">
        <f>IFERROR(VLOOKUP(CONCATENATE(K$1,"__",$A20),'Průměrné mzdy 2018'!$D$3:$J$1347,5,FALSE),0)</f>
        <v>19608.000824093891</v>
      </c>
      <c r="L20" s="314">
        <f>IFERROR(VLOOKUP(CONCATENATE(L$1,"__",$A20),'Průměrné mzdy 2018'!$D$3:$J$1347,5,FALSE),0)</f>
        <v>0</v>
      </c>
      <c r="M20" s="314">
        <f>IFERROR(VLOOKUP(CONCATENATE(M$1,"__",$A20),'Průměrné mzdy 2018'!$D$3:$J$1347,5,FALSE),0)</f>
        <v>29842.545401397041</v>
      </c>
      <c r="N20" s="314">
        <f>IFERROR(VLOOKUP(CONCATENATE(N$1,"__",$A20),'Průměrné mzdy 2018'!$D$3:$J$1347,5,FALSE),0)</f>
        <v>27568.029389123036</v>
      </c>
      <c r="O20" s="314">
        <f>IFERROR(VLOOKUP(CONCATENATE(O$1,"__",$A20),'Průměrné mzdy 2018'!$D$3:$J$1347,5,FALSE),0)</f>
        <v>27969.203980099497</v>
      </c>
      <c r="P20" s="314">
        <f>IFERROR(VLOOKUP(CONCATENATE(P$1,"__",$A20),'Průměrné mzdy 2018'!$D$3:$J$1347,5,FALSE),0)</f>
        <v>23093.43087195601</v>
      </c>
      <c r="Q20" s="314">
        <f>IFERROR(VLOOKUP(CONCATENATE(Q$1,"__",$A20),'Průměrné mzdy 2018'!$D$3:$J$1347,5,FALSE),0)</f>
        <v>29157.480803836785</v>
      </c>
      <c r="R20" s="314">
        <f>IFERROR(VLOOKUP(CONCATENATE(R$1,"__",$A20),'Průměrné mzdy 2018'!$D$3:$J$1347,5,FALSE),0)</f>
        <v>50765.428808339253</v>
      </c>
      <c r="S20" s="314">
        <f>IFERROR(VLOOKUP(CONCATENATE(S$1,"__",$A20),'Průměrné mzdy 2018'!$D$3:$J$1347,5,FALSE),0)</f>
        <v>44227.404643449416</v>
      </c>
      <c r="T20" s="314">
        <f>IFERROR(VLOOKUP(CONCATENATE(T$1,"__",$A20),'Průměrné mzdy 2018'!$D$3:$J$1347,5,FALSE),0)</f>
        <v>0</v>
      </c>
      <c r="U20" s="314">
        <f>IFERROR(VLOOKUP(CONCATENATE(U$1,"__",$A20),'Průměrné mzdy 2018'!$D$3:$J$1347,5,FALSE),0)</f>
        <v>35104.651899736986</v>
      </c>
      <c r="V20" s="314">
        <f>IFERROR(VLOOKUP(CONCATENATE(V$1,"__",$A20),'Průměrné mzdy 2018'!$D$3:$J$1347,5,FALSE),0)</f>
        <v>25636.67627540019</v>
      </c>
      <c r="W20" s="314">
        <f>IFERROR(VLOOKUP(CONCATENATE(W$1,"__",$A20),'Průměrné mzdy 2018'!$D$3:$J$1347,5,FALSE),0)</f>
        <v>29395.08141112619</v>
      </c>
      <c r="X20" s="314">
        <f>IFERROR(VLOOKUP(CONCATENATE(X$1,"__",$A20),'Průměrné mzdy 2018'!$D$3:$J$1347,5,FALSE),0)</f>
        <v>20995.472803486755</v>
      </c>
      <c r="Y20" s="314">
        <f>IFERROR(VLOOKUP(CONCATENATE(Y$1,"__",$A20),'Průměrné mzdy 2018'!$D$3:$J$1347,5,FALSE),0)</f>
        <v>64176.375483929689</v>
      </c>
      <c r="Z20" s="314">
        <f>IFERROR(VLOOKUP(CONCATENATE(Z$1,"__",$A20),'Průměrné mzdy 2018'!$D$3:$J$1347,5,FALSE),0)</f>
        <v>44034.719558835866</v>
      </c>
      <c r="AA20" s="314">
        <f>IFERROR(VLOOKUP(CONCATENATE(AA$1,"__",$A20),'Průměrné mzdy 2018'!$D$3:$J$1347,5,FALSE),0)</f>
        <v>22764.303482587064</v>
      </c>
      <c r="AB20" s="314">
        <f>IFERROR(VLOOKUP(CONCATENATE(AB$1,"__",$A20),'Průměrné mzdy 2018'!$D$3:$J$1347,5,FALSE),0)</f>
        <v>21989.633735268766</v>
      </c>
      <c r="AC20" s="314">
        <f>IFERROR(VLOOKUP(CONCATENATE(AC$1,"__",$A20),'Průměrné mzdy 2018'!$D$3:$J$1347,5,FALSE),0)</f>
        <v>26288.401741293532</v>
      </c>
      <c r="AD20" s="314">
        <f>IFERROR(VLOOKUP(CONCATENATE(AD$1,"__",$A20),'Průměrné mzdy 2018'!$D$3:$J$1347,5,FALSE),0)</f>
        <v>30967.101990049749</v>
      </c>
      <c r="AE20" s="314">
        <f>IFERROR(VLOOKUP(CONCATENATE(AE$1,"__",$A20),'Průměrné mzdy 2018'!$D$3:$J$1347,5,FALSE),0)</f>
        <v>31999.032614704251</v>
      </c>
      <c r="AF20" s="314">
        <f>IFERROR(VLOOKUP(CONCATENATE(AF$1,"__",$A20),'Průměrné mzdy 2018'!$D$3:$J$1347,5,FALSE),0)</f>
        <v>28858.986318407955</v>
      </c>
      <c r="AG20" s="314">
        <f>IFERROR(VLOOKUP(CONCATENATE(AG$1,"__",$A20),'Průměrné mzdy 2018'!$D$3:$J$1347,5,FALSE),0)</f>
        <v>23014.557232462786</v>
      </c>
      <c r="AH20" s="314">
        <f>IFERROR(VLOOKUP(CONCATENATE(AH$1,"__",$A20),'Průměrné mzdy 2018'!$D$3:$J$1347,5,FALSE),0)</f>
        <v>34322.587512886013</v>
      </c>
      <c r="AI20" s="314">
        <f>IFERROR(VLOOKUP(CONCATENATE(AI$1,"__",$A20),'Průměrné mzdy 2018'!$D$3:$J$1347,5,FALSE),0)</f>
        <v>25320.997670087731</v>
      </c>
      <c r="AJ20" s="314">
        <f>IFERROR(VLOOKUP(CONCATENATE(AJ$1,"__",$A20),'Průměrné mzdy 2018'!$D$3:$J$1347,5,FALSE),0)</f>
        <v>26082.362734132956</v>
      </c>
      <c r="AK20" s="314">
        <f>IFERROR(VLOOKUP(CONCATENATE(AK$1,"__",$A20),'Průměrné mzdy 2018'!$D$3:$J$1347,5,FALSE),0)</f>
        <v>27188.965884861402</v>
      </c>
      <c r="AL20" s="314">
        <f>IFERROR(VLOOKUP(CONCATENATE(AL$1,"__",$A20),'Průměrné mzdy 2018'!$D$3:$J$1347,5,FALSE),0)</f>
        <v>32079.177973767521</v>
      </c>
      <c r="AM20" s="314">
        <f>IFERROR(VLOOKUP(CONCATENATE(AM$1,"__",$A20),'Průměrné mzdy 2018'!$D$3:$J$1347,5,FALSE),0)</f>
        <v>53062.810945273632</v>
      </c>
      <c r="AN20" s="314">
        <f>IFERROR(VLOOKUP(CONCATENATE(AN$1,"__",$A20),'Průměrné mzdy 2018'!$D$3:$J$1347,5,FALSE),0)</f>
        <v>24825.186567164179</v>
      </c>
      <c r="AO20" s="314">
        <f>IFERROR(VLOOKUP(CONCATENATE(AO$1,"__",$A20),'Průměrné mzdy 2018'!$D$3:$J$1347,5,FALSE),0)</f>
        <v>21433.554591972188</v>
      </c>
      <c r="AP20" s="314">
        <f>IFERROR(VLOOKUP(CONCATENATE(AP$1,"__",$A20),'Průměrné mzdy 2018'!$D$3:$J$1347,5,FALSE),0)</f>
        <v>30004.99107028958</v>
      </c>
      <c r="AQ20" s="314">
        <f>IFERROR(VLOOKUP(CONCATENATE(AQ$1,"__",$A20),'Průměrné mzdy 2018'!$D$3:$J$1347,5,FALSE),0)</f>
        <v>20546.641791044774</v>
      </c>
      <c r="AR20" s="314">
        <f>IFERROR(VLOOKUP(CONCATENATE(AR$1,"__",$A20),'Průměrné mzdy 2018'!$D$3:$J$1347,5,FALSE),0)</f>
        <v>25719.146235905111</v>
      </c>
      <c r="AS20" s="314">
        <f>IFERROR(VLOOKUP(CONCATENATE(AS$1,"__",$A20),'Průměrné mzdy 2018'!$D$3:$J$1347,5,FALSE),0)</f>
        <v>25812.189054726368</v>
      </c>
      <c r="AT20" s="314">
        <f>IFERROR(VLOOKUP(CONCATENATE(AT$1,"__",$A20),'Průměrné mzdy 2018'!$D$3:$J$1347,5,FALSE),0)</f>
        <v>18793.874436251099</v>
      </c>
      <c r="AU20" s="314">
        <f>IFERROR(VLOOKUP(CONCATENATE(AU$1,"__",$A20),'Průměrné mzdy 2018'!$D$3:$J$1347,5,FALSE),0)</f>
        <v>20983.234162848632</v>
      </c>
      <c r="AV20" s="314">
        <f>IFERROR(VLOOKUP(CONCATENATE(AV$1,"__",$A20),'Průměrné mzdy 2018'!$D$3:$J$1347,5,FALSE),0)</f>
        <v>27688.672024492917</v>
      </c>
      <c r="AW20" s="314">
        <f>IFERROR(VLOOKUP(CONCATENATE(AW$1,"__",$A20),'Průměrné mzdy 2018'!$D$3:$J$1347,5,FALSE),0)</f>
        <v>18645.794835347071</v>
      </c>
      <c r="AX20" s="314">
        <f>IFERROR(VLOOKUP(CONCATENATE(AX$1,"__",$A20),'Průměrné mzdy 2018'!$D$3:$J$1347,5,FALSE),0)</f>
        <v>23938.425093863876</v>
      </c>
      <c r="AY20" s="314">
        <f>IFERROR(VLOOKUP(CONCATENATE(AY$1,"__",$A20),'Průměrné mzdy 2018'!$D$3:$J$1347,5,FALSE),0)</f>
        <v>25402.073660922943</v>
      </c>
      <c r="AZ20" s="314">
        <f>IFERROR(VLOOKUP(CONCATENATE(AZ$1,"__",$A20),'Průměrné mzdy 2018'!$D$3:$J$1347,5,FALSE),0)</f>
        <v>32982.761497391082</v>
      </c>
      <c r="BA20" s="314">
        <f>IFERROR(VLOOKUP(CONCATENATE(BA$1,"__",$A20),'Průměrné mzdy 2018'!$D$3:$J$1347,5,FALSE),0)</f>
        <v>0</v>
      </c>
      <c r="BB20" s="314">
        <f>IFERROR(VLOOKUP(CONCATENATE(BB$1,"__",$A20),'Průměrné mzdy 2018'!$D$3:$J$1347,5,FALSE),0)</f>
        <v>20309.172885572138</v>
      </c>
      <c r="BC20" s="314">
        <f>IFERROR(VLOOKUP(CONCATENATE(BC$1,"__",$A20),'Průměrné mzdy 2018'!$D$3:$J$1347,5,FALSE),0)</f>
        <v>28084.071828358206</v>
      </c>
      <c r="BD20" s="314">
        <f>IFERROR(VLOOKUP(CONCATENATE(BD$1,"__",$A20),'Průměrné mzdy 2018'!$D$3:$J$1347,5,FALSE),0)</f>
        <v>28073.7091242815</v>
      </c>
      <c r="BE20" s="314">
        <f>IFERROR(VLOOKUP(CONCATENATE(BE$1,"__",$A20),'Průměrné mzdy 2018'!$D$3:$J$1347,5,FALSE),0)</f>
        <v>41440.889094508253</v>
      </c>
      <c r="BF20" s="314">
        <f>IFERROR(VLOOKUP(CONCATENATE(BF$1,"__",$A20),'Průměrné mzdy 2018'!$D$3:$J$1347,5,FALSE),0)</f>
        <v>0</v>
      </c>
      <c r="BG20" s="314">
        <f>IFERROR(VLOOKUP(CONCATENATE(BG$1,"__",$A20),'Průměrné mzdy 2018'!$D$3:$J$1347,5,FALSE),0)</f>
        <v>0</v>
      </c>
      <c r="BH20" s="314">
        <f>IFERROR(VLOOKUP(CONCATENATE(BH$1,"__",$A20),'Průměrné mzdy 2018'!$D$3:$J$1347,5,FALSE),0)</f>
        <v>0</v>
      </c>
      <c r="BI20" s="314">
        <f>IFERROR(VLOOKUP(CONCATENATE(BI$1,"__",$A20),'Průměrné mzdy 2018'!$D$3:$J$1347,5,FALSE),0)</f>
        <v>65036.485249298297</v>
      </c>
      <c r="BJ20" s="314">
        <f>IFERROR(VLOOKUP(CONCATENATE(BJ$1,"__",$A20),'Průměrné mzdy 2018'!$D$3:$J$1347,5,FALSE),0)</f>
        <v>23216.791044776117</v>
      </c>
      <c r="BK20" s="314">
        <f>IFERROR(VLOOKUP(CONCATENATE(BK$1,"__",$A20),'Průměrné mzdy 2018'!$D$3:$J$1347,5,FALSE),0)</f>
        <v>20328.358592128698</v>
      </c>
      <c r="BL20" s="314">
        <f>IFERROR(VLOOKUP(CONCATENATE(BL$1,"__",$A20),'Průměrné mzdy 2018'!$D$3:$J$1347,5,FALSE),0)</f>
        <v>0</v>
      </c>
      <c r="BM20" s="314">
        <f>IFERROR(VLOOKUP(CONCATENATE(BM$1,"__",$A20),'Průměrné mzdy 2018'!$D$3:$J$1347,5,FALSE),0)</f>
        <v>23100.859069806102</v>
      </c>
      <c r="BN20" s="314">
        <f>IFERROR(VLOOKUP(CONCATENATE(BN$1,"__",$A20),'Průměrné mzdy 2018'!$D$3:$J$1347,5,FALSE),0)</f>
        <v>28660.676147446949</v>
      </c>
      <c r="BO20" s="314">
        <f>IFERROR(VLOOKUP(CONCATENATE(BO$1,"__",$A20),'Průměrné mzdy 2018'!$D$3:$J$1347,5,FALSE),0)</f>
        <v>30825.354360274101</v>
      </c>
      <c r="BP20" s="314">
        <f>IFERROR(VLOOKUP(CONCATENATE(BP$1,"__",$A20),'Průměrné mzdy 2018'!$D$3:$J$1347,5,FALSE),0)</f>
        <v>26595.461830032134</v>
      </c>
      <c r="BQ20" s="314">
        <f>IFERROR(VLOOKUP(CONCATENATE(BQ$1,"__",$A20),'Průměrné mzdy 2018'!$D$3:$J$1347,5,FALSE),0)</f>
        <v>28930.718785623183</v>
      </c>
      <c r="BR20" s="314">
        <f>IFERROR(VLOOKUP(CONCATENATE(BR$1,"__",$A20),'Průměrné mzdy 2018'!$D$3:$J$1347,5,FALSE),0)</f>
        <v>23320.087064676616</v>
      </c>
      <c r="BS20" s="314">
        <f>IFERROR(VLOOKUP(CONCATENATE(BS$1,"__",$A20),'Průměrné mzdy 2018'!$D$3:$J$1347,5,FALSE),0)</f>
        <v>30015.525210825301</v>
      </c>
      <c r="BT20" s="314">
        <f>IFERROR(VLOOKUP(CONCATENATE(BT$1,"__",$A20),'Průměrné mzdy 2018'!$D$3:$J$1347,5,FALSE),0)</f>
        <v>38191.417910447759</v>
      </c>
      <c r="BU20" s="314">
        <f>IFERROR(VLOOKUP(CONCATENATE(BU$1,"__",$A20),'Průměrné mzdy 2018'!$D$3:$J$1347,5,FALSE),0)</f>
        <v>26117.264288314524</v>
      </c>
      <c r="BV20" s="314">
        <f>IFERROR(VLOOKUP(CONCATENATE(BV$1,"__",$A20),'Průměrné mzdy 2018'!$D$3:$J$1347,5,FALSE),0)</f>
        <v>16749.309010503039</v>
      </c>
      <c r="BW20" s="314">
        <f>IFERROR(VLOOKUP(CONCATENATE(BW$1,"__",$A20),'Průměrné mzdy 2018'!$D$3:$J$1347,5,FALSE),0)</f>
        <v>32543.90915832161</v>
      </c>
      <c r="BX20" s="314">
        <f>IFERROR(VLOOKUP(CONCATENATE(BX$1,"__",$A20),'Průměrné mzdy 2018'!$D$3:$J$1347,5,FALSE),0)</f>
        <v>20159.858080117341</v>
      </c>
      <c r="BY20" s="314">
        <f>IFERROR(VLOOKUP(CONCATENATE(BY$1,"__",$A20),'Průměrné mzdy 2018'!$D$3:$J$1347,5,FALSE),0)</f>
        <v>27024.792703150913</v>
      </c>
      <c r="BZ20" s="314">
        <f>IFERROR(VLOOKUP(CONCATENATE(BZ$1,"__",$A20),'Průměrné mzdy 2018'!$D$3:$J$1347,5,FALSE),0)</f>
        <v>54228.426033531519</v>
      </c>
      <c r="CA20" s="314">
        <f>IFERROR(VLOOKUP(CONCATENATE(CA$1,"__",$A20),'Průměrné mzdy 2018'!$D$3:$J$1347,5,FALSE),0)</f>
        <v>0</v>
      </c>
      <c r="CB20" s="314">
        <f>IFERROR(VLOOKUP(CONCATENATE(CB$1,"__",$A20),'Průměrné mzdy 2018'!$D$3:$J$1347,5,FALSE),0)</f>
        <v>23848.557045851823</v>
      </c>
      <c r="CC20" s="314">
        <f>IFERROR(VLOOKUP(CONCATENATE(CC$1,"__",$A20),'Průměrné mzdy 2018'!$D$3:$J$1347,5,FALSE),0)</f>
        <v>28192.319434903584</v>
      </c>
      <c r="CD20" s="314">
        <f>IFERROR(VLOOKUP(CONCATENATE(CD$1,"__",$A20),'Průměrné mzdy 2018'!$D$3:$J$1347,5,FALSE),0)</f>
        <v>29540.826089333546</v>
      </c>
      <c r="CE20" s="314">
        <f>IFERROR(VLOOKUP(CONCATENATE(CE$1,"__",$A20),'Průměrné mzdy 2018'!$D$3:$J$1347,5,FALSE),0)</f>
        <v>24635.439974627523</v>
      </c>
      <c r="CF20" s="314">
        <f>IFERROR(VLOOKUP(CONCATENATE(CF$1,"__",$A20),'Průměrné mzdy 2018'!$D$3:$J$1347,5,FALSE),0)</f>
        <v>28886.46390688069</v>
      </c>
      <c r="CG20" s="314">
        <f>IFERROR(VLOOKUP(CONCATENATE(CG$1,"__",$A20),'Průměrné mzdy 2018'!$D$3:$J$1347,5,FALSE),0)</f>
        <v>29081.203674106127</v>
      </c>
      <c r="CH20" s="314">
        <f>IFERROR(VLOOKUP(CONCATENATE(CH$1,"__",$A20),'Průměrné mzdy 2018'!$D$3:$J$1347,5,FALSE),0)</f>
        <v>32459.432006633499</v>
      </c>
      <c r="CI20" s="314">
        <f>IFERROR(VLOOKUP(CONCATENATE(CI$1,"__",$A20),'Průměrné mzdy 2018'!$D$3:$J$1347,5,FALSE),0)</f>
        <v>34707.564249757132</v>
      </c>
      <c r="CJ20" s="314">
        <f>IFERROR(VLOOKUP(CONCATENATE(CJ$1,"__",$A20),'Průměrné mzdy 2018'!$D$3:$J$1347,5,FALSE),0)</f>
        <v>28005.860642439973</v>
      </c>
      <c r="CK20" s="314">
        <f>IFERROR(VLOOKUP(CONCATENATE(CK$1,"__",$A20),'Průměrné mzdy 2018'!$D$3:$J$1347,5,FALSE),0)</f>
        <v>25967.970954140677</v>
      </c>
      <c r="CL20" s="314">
        <f>IFERROR(VLOOKUP(CONCATENATE(CL$1,"__",$A20),'Průměrné mzdy 2018'!$D$3:$J$1347,5,FALSE),0)</f>
        <v>31434.269734131882</v>
      </c>
      <c r="CM20" s="314">
        <f>IFERROR(VLOOKUP(CONCATENATE(CM$1,"__",$A20),'Průměrné mzdy 2018'!$D$3:$J$1347,5,FALSE),0)</f>
        <v>25320.83629471689</v>
      </c>
      <c r="CN20" s="314">
        <f>IFERROR(VLOOKUP(CONCATENATE(CN$1,"__",$A20),'Průměrné mzdy 2018'!$D$3:$J$1347,5,FALSE),0)</f>
        <v>22942.077496602829</v>
      </c>
      <c r="CO20" s="314">
        <f>IFERROR(VLOOKUP(CONCATENATE(CO$1,"__",$A20),'Průměrné mzdy 2018'!$D$3:$J$1347,5,FALSE),0)</f>
        <v>26444.806742631699</v>
      </c>
      <c r="CP20" s="314">
        <f>IFERROR(VLOOKUP(CONCATENATE(CP$1,"__",$A20),'Průměrné mzdy 2018'!$D$3:$J$1347,5,FALSE),0)</f>
        <v>23845.451747821342</v>
      </c>
      <c r="CQ20" s="314">
        <f>IFERROR(VLOOKUP(CONCATENATE(CQ$1,"__",$A20),'Průměrné mzdy 2018'!$D$3:$J$1347,5,FALSE),0)</f>
        <v>24986.198140174813</v>
      </c>
      <c r="CR20" s="314">
        <f>IFERROR(VLOOKUP(CONCATENATE(CR$1,"__",$A20),'Průměrné mzdy 2018'!$D$3:$J$1347,5,FALSE),0)</f>
        <v>20340.950163711354</v>
      </c>
      <c r="CS20" s="314">
        <f>IFERROR(VLOOKUP(CONCATENATE(CS$1,"__",$A20),'Průměrné mzdy 2018'!$D$3:$J$1347,5,FALSE),0)</f>
        <v>0</v>
      </c>
      <c r="CT20" s="314">
        <f>IFERROR(VLOOKUP(CONCATENATE(CT$1,"__",$A20),'Průměrné mzdy 2018'!$D$3:$J$1347,5,FALSE),0)</f>
        <v>28886.858269938562</v>
      </c>
      <c r="CU20" s="314">
        <f>IFERROR(VLOOKUP(CONCATENATE(CU$1,"__",$A20),'Průměrné mzdy 2018'!$D$3:$J$1347,5,FALSE),0)</f>
        <v>24012.730465320456</v>
      </c>
      <c r="CV20" s="314">
        <f>IFERROR(VLOOKUP(CONCATENATE(CV$1,"__",$A20),'Průměrné mzdy 2018'!$D$3:$J$1347,5,FALSE),0)</f>
        <v>22330.76720490076</v>
      </c>
      <c r="CW20" s="314">
        <f>IFERROR(VLOOKUP(CONCATENATE(CW$1,"__",$A20),'Průměrné mzdy 2018'!$D$3:$J$1347,5,FALSE),0)</f>
        <v>0</v>
      </c>
      <c r="CX20" s="314">
        <f>IFERROR(VLOOKUP(CONCATENATE(CX$1,"__",$A20),'Průměrné mzdy 2018'!$D$3:$J$1347,5,FALSE),0)</f>
        <v>28743.342134527149</v>
      </c>
      <c r="CY20" s="314">
        <f>IFERROR(VLOOKUP(CONCATENATE(CY$1,"__",$A20),'Průměrné mzdy 2018'!$D$3:$J$1347,5,FALSE),0)</f>
        <v>25641.056744884161</v>
      </c>
      <c r="CZ20" s="314">
        <f>IFERROR(VLOOKUP(CONCATENATE(CZ$1,"__",$A20),'Průměrné mzdy 2018'!$D$3:$J$1347,5,FALSE),0)</f>
        <v>29941.499609794166</v>
      </c>
      <c r="DA20" s="314">
        <f>IFERROR(VLOOKUP(CONCATENATE(DA$1,"__",$A20),'Průměrné mzdy 2018'!$D$3:$J$1347,5,FALSE),0)</f>
        <v>0</v>
      </c>
      <c r="DB20" s="314">
        <f>IFERROR(VLOOKUP(CONCATENATE(DB$1,"__",$A20),'Průměrné mzdy 2018'!$D$3:$J$1347,5,FALSE),0)</f>
        <v>29117.752583237656</v>
      </c>
      <c r="DC20" s="314">
        <f>IFERROR(VLOOKUP(CONCATENATE(DC$1,"__",$A20),'Průměrné mzdy 2018'!$D$3:$J$1347,5,FALSE),0)</f>
        <v>34785.195643404593</v>
      </c>
      <c r="DD20" s="314">
        <f>IFERROR(VLOOKUP(CONCATENATE(DD$1,"__",$A20),'Průměrné mzdy 2018'!$D$3:$J$1347,5,FALSE),0)</f>
        <v>0</v>
      </c>
      <c r="DE20" s="314">
        <f>IFERROR(VLOOKUP(CONCATENATE(DE$1,"__",$A20),'Průměrné mzdy 2018'!$D$3:$J$1347,5,FALSE),0)</f>
        <v>0</v>
      </c>
      <c r="DF20" s="314">
        <f>IFERROR(VLOOKUP(CONCATENATE(DF$1,"__",$A20),'Průměrné mzdy 2018'!$D$3:$J$1347,5,FALSE),0)</f>
        <v>0</v>
      </c>
      <c r="DG20" s="314">
        <f>IFERROR(VLOOKUP(CONCATENATE(DG$1,"__",$A20),'Průměrné mzdy 2018'!$D$3:$J$1347,5,FALSE),0)</f>
        <v>0</v>
      </c>
      <c r="DH20" s="314">
        <f>IFERROR(VLOOKUP(CONCATENATE(DH$1,"__",$A20),'Průměrné mzdy 2018'!$D$3:$J$1347,5,FALSE),0)</f>
        <v>27024.651180189278</v>
      </c>
      <c r="DI20" s="314">
        <f>IFERROR(VLOOKUP(CONCATENATE(DI$1,"__",$A20),'Průměrné mzdy 2018'!$D$3:$J$1347,5,FALSE),0)</f>
        <v>27461.040949100647</v>
      </c>
      <c r="DJ20" s="314">
        <f>IFERROR(VLOOKUP(CONCATENATE(DJ$1,"__",$A20),'Průměrné mzdy 2018'!$D$3:$J$1347,5,FALSE),0)</f>
        <v>32641.492537313428</v>
      </c>
      <c r="DK20" s="314">
        <f>IFERROR(VLOOKUP(CONCATENATE(DK$1,"__",$A20),'Průměrné mzdy 2018'!$D$3:$J$1347,5,FALSE),0)</f>
        <v>27727.651255218163</v>
      </c>
      <c r="DL20" s="314">
        <f>IFERROR(VLOOKUP(CONCATENATE(DL$1,"__",$A20),'Průměrné mzdy 2018'!$D$3:$J$1347,5,FALSE),0)</f>
        <v>22211.075870646764</v>
      </c>
      <c r="DM20" s="314">
        <f>IFERROR(VLOOKUP(CONCATENATE(DM$1,"__",$A20),'Průměrné mzdy 2018'!$D$3:$J$1347,5,FALSE),0)</f>
        <v>20434.341429382057</v>
      </c>
      <c r="DN20" s="314">
        <f>IFERROR(VLOOKUP(CONCATENATE(DN$1,"__",$A20),'Průměrné mzdy 2018'!$D$3:$J$1347,5,FALSE),0)</f>
        <v>20500.768217734858</v>
      </c>
      <c r="DO20" s="314">
        <f>IFERROR(VLOOKUP(CONCATENATE(DO$1,"__",$A20),'Průměrné mzdy 2018'!$D$3:$J$1347,5,FALSE),0)</f>
        <v>0</v>
      </c>
      <c r="DP20" s="314">
        <f>IFERROR(VLOOKUP(CONCATENATE(DP$1,"__",$A20),'Průměrné mzdy 2018'!$D$3:$J$1347,5,FALSE),0)</f>
        <v>28554.763145134504</v>
      </c>
      <c r="DQ20" s="314">
        <f>IFERROR(VLOOKUP(CONCATENATE(DQ$1,"__",$A20),'Průměrné mzdy 2018'!$D$3:$J$1347,5,FALSE),0)</f>
        <v>30799.936383506025</v>
      </c>
      <c r="DR20" s="314">
        <f>IFERROR(VLOOKUP(CONCATENATE(DR$1,"__",$A20),'Průměrné mzdy 2018'!$D$3:$J$1347,5,FALSE),0)</f>
        <v>31895.230265139191</v>
      </c>
      <c r="DS20" s="314">
        <f>IFERROR(VLOOKUP(CONCATENATE(DS$1,"__",$A20),'Průměrné mzdy 2018'!$D$3:$J$1347,5,FALSE),0)</f>
        <v>0</v>
      </c>
      <c r="DT20" s="314">
        <f>IFERROR(VLOOKUP(CONCATENATE(DT$1,"__",$A20),'Průměrné mzdy 2018'!$D$3:$J$1347,5,FALSE),0)</f>
        <v>27686.796938999782</v>
      </c>
      <c r="DU20" s="314">
        <f>IFERROR(VLOOKUP(CONCATENATE(DU$1,"__",$A20),'Průměrné mzdy 2018'!$D$3:$J$1347,5,FALSE),0)</f>
        <v>25186.776329572367</v>
      </c>
      <c r="DV20" s="314">
        <f>IFERROR(VLOOKUP(CONCATENATE(DV$1,"__",$A20),'Průměrné mzdy 2018'!$D$3:$J$1347,5,FALSE),0)</f>
        <v>24117.805438176732</v>
      </c>
      <c r="DW20" s="314">
        <f>IFERROR(VLOOKUP(CONCATENATE(DW$1,"__",$A20),'Průměrné mzdy 2018'!$D$3:$J$1347,5,FALSE),0)</f>
        <v>0</v>
      </c>
      <c r="DX20" s="314">
        <f>IFERROR(VLOOKUP(CONCATENATE(DX$1,"__",$A20),'Průměrné mzdy 2018'!$D$3:$J$1347,5,FALSE),0)</f>
        <v>31214.311127577239</v>
      </c>
      <c r="DY20" s="314">
        <f>IFERROR(VLOOKUP(CONCATENATE(DY$1,"__",$A20),'Průměrné mzdy 2018'!$D$3:$J$1347,5,FALSE),0)</f>
        <v>0</v>
      </c>
      <c r="DZ20" s="314">
        <f>IFERROR(VLOOKUP(CONCATENATE(DZ$1,"__",$A20),'Průměrné mzdy 2018'!$D$3:$J$1347,5,FALSE),0)</f>
        <v>0</v>
      </c>
      <c r="EA20" s="314">
        <f>IFERROR(VLOOKUP(CONCATENATE(EA$1,"__",$A20),'Průměrné mzdy 2018'!$D$3:$J$1347,5,FALSE),0)</f>
        <v>21145.068441216372</v>
      </c>
      <c r="EB20" s="314">
        <f>IFERROR(VLOOKUP(CONCATENATE(EB$1,"__",$A20),'Průměrné mzdy 2018'!$D$3:$J$1347,5,FALSE),0)</f>
        <v>17807.654037504784</v>
      </c>
      <c r="EC20" s="314">
        <f>IFERROR(VLOOKUP(CONCATENATE(EC$1,"__",$A20),'Průměrné mzdy 2018'!$D$3:$J$1347,5,FALSE),0)</f>
        <v>25582.205638474294</v>
      </c>
      <c r="ED20" s="314">
        <f>IFERROR(VLOOKUP(CONCATENATE(ED$1,"__",$A20),'Průměrné mzdy 2018'!$D$3:$J$1347,5,FALSE),0)</f>
        <v>22766.535967264608</v>
      </c>
      <c r="EE20" s="314">
        <f>IFERROR(VLOOKUP(CONCATENATE(EE$1,"__",$A20),'Průměrné mzdy 2018'!$D$3:$J$1347,5,FALSE),0)</f>
        <v>26386.8699978369</v>
      </c>
      <c r="EF20" s="314">
        <f>IFERROR(VLOOKUP(CONCATENATE(EF$1,"__",$A20),'Průměrné mzdy 2018'!$D$3:$J$1347,5,FALSE),0)</f>
        <v>28841.691542288558</v>
      </c>
      <c r="EG20" s="314">
        <f>IFERROR(VLOOKUP(CONCATENATE(EG$1,"__",$A20),'Průměrné mzdy 2018'!$D$3:$J$1347,5,FALSE),0)</f>
        <v>29118.1592039801</v>
      </c>
      <c r="EH20" s="314">
        <f>IFERROR(VLOOKUP(CONCATENATE(EH$1,"__",$A20),'Průměrné mzdy 2018'!$D$3:$J$1347,5,FALSE),0)</f>
        <v>22598.555576029317</v>
      </c>
      <c r="EI20" s="314">
        <f>IFERROR(VLOOKUP(CONCATENATE(EI$1,"__",$A20),'Průměrné mzdy 2018'!$D$3:$J$1347,5,FALSE),0)</f>
        <v>16570.762260127933</v>
      </c>
      <c r="EJ20" s="314">
        <f>IFERROR(VLOOKUP(CONCATENATE(EJ$1,"__",$A20),'Průměrné mzdy 2018'!$D$3:$J$1347,5,FALSE),0)</f>
        <v>31456.351057213928</v>
      </c>
      <c r="EK20" s="314">
        <f>IFERROR(VLOOKUP(CONCATENATE(EK$1,"__",$A20),'Průměrné mzdy 2018'!$D$3:$J$1347,5,FALSE),0)</f>
        <v>0</v>
      </c>
      <c r="EL20" s="314">
        <f>IFERROR(VLOOKUP(CONCATENATE(EL$1,"__",$A20),'Průměrné mzdy 2018'!$D$3:$J$1347,5,FALSE),0)</f>
        <v>0</v>
      </c>
      <c r="EM20" s="314">
        <f>IFERROR(VLOOKUP(CONCATENATE(EM$1,"__",$A20),'Průměrné mzdy 2018'!$D$3:$J$1347,5,FALSE),0)</f>
        <v>0</v>
      </c>
      <c r="EN20" s="314">
        <f>IFERROR(VLOOKUP(CONCATENATE(EN$1,"__",$A20),'Průměrné mzdy 2018'!$D$3:$J$1347,5,FALSE),0)</f>
        <v>22501.492537313432</v>
      </c>
      <c r="EO20" s="314">
        <f>IFERROR(VLOOKUP(CONCATENATE(EO$1,"__",$A20),'Průměrné mzdy 2018'!$D$3:$J$1347,5,FALSE),0)</f>
        <v>16432.421227197348</v>
      </c>
      <c r="EP20" s="314">
        <f>IFERROR(VLOOKUP(CONCATENATE(EP$1,"__",$A20),'Průměrné mzdy 2018'!$D$3:$J$1347,5,FALSE),0)</f>
        <v>22573.112697382654</v>
      </c>
      <c r="EQ20" s="314">
        <f>IFERROR(VLOOKUP(CONCATENATE(EQ$1,"__",$A20),'Průměrné mzdy 2018'!$D$3:$J$1347,5,FALSE),0)</f>
        <v>16407.569296375263</v>
      </c>
      <c r="ER20" s="314">
        <f>IFERROR(VLOOKUP(CONCATENATE(ER$1,"__",$A20),'Průměrné mzdy 2018'!$D$3:$J$1347,5,FALSE),0)</f>
        <v>19239.322436814586</v>
      </c>
      <c r="ES20" s="314">
        <f>IFERROR(VLOOKUP(CONCATENATE(ES$1,"__",$A20),'Průměrné mzdy 2018'!$D$3:$J$1347,5,FALSE),0)</f>
        <v>11037.560333636709</v>
      </c>
      <c r="ET20" s="314">
        <f>IFERROR(VLOOKUP(CONCATENATE(ET$1,"__",$A20),'Průměrné mzdy 2018'!$D$3:$J$1347,5,FALSE),0)</f>
        <v>0</v>
      </c>
      <c r="EU20" s="314">
        <f>IFERROR(VLOOKUP(CONCATENATE(EU$1,"__",$A20),'Průměrné mzdy 2018'!$D$3:$J$1347,5,FALSE),0)</f>
        <v>0</v>
      </c>
      <c r="EV20" s="314">
        <f>IFERROR(VLOOKUP(CONCATENATE(EV$1,"__",$A20),'Průměrné mzdy 2018'!$D$3:$J$1347,5,FALSE),0)</f>
        <v>35477.587829568729</v>
      </c>
      <c r="EW20" s="314">
        <f>IFERROR(VLOOKUP(CONCATENATE(EW$1,"__",$A20),'Průměrné mzdy 2018'!$D$3:$J$1347,5,FALSE),0)</f>
        <v>21720.409258743966</v>
      </c>
      <c r="EX20" s="314">
        <f>IFERROR(VLOOKUP(CONCATENATE(EX$1,"__",$A20),'Průměrné mzdy 2018'!$D$3:$J$1347,5,FALSE),0)</f>
        <v>24952.024509160776</v>
      </c>
      <c r="EY20" s="314">
        <f>IFERROR(VLOOKUP(CONCATENATE(EY$1,"__",$A20),'Průměrné mzdy 2018'!$D$3:$J$1347,5,FALSE),0)</f>
        <v>25079.410639112131</v>
      </c>
      <c r="EZ20" s="314">
        <f>IFERROR(VLOOKUP(CONCATENATE(EZ$1,"__",$A20),'Průměrné mzdy 2018'!$D$3:$J$1347,5,FALSE),0)</f>
        <v>21595.909342178002</v>
      </c>
      <c r="FA20" s="314">
        <f>IFERROR(VLOOKUP(CONCATENATE(FA$1,"__",$A20),'Průměrné mzdy 2018'!$D$3:$J$1347,5,FALSE),0)</f>
        <v>41786.871563236447</v>
      </c>
      <c r="FB20" s="314">
        <f>IFERROR(VLOOKUP(CONCATENATE(FB$1,"__",$A20),'Průměrné mzdy 2018'!$D$3:$J$1347,5,FALSE),0)</f>
        <v>20183.630458817028</v>
      </c>
      <c r="FC20" s="314">
        <f>IFERROR(VLOOKUP(CONCATENATE(FC$1,"__",$A20),'Průměrné mzdy 2018'!$D$3:$J$1347,5,FALSE),0)</f>
        <v>28938.592368042133</v>
      </c>
      <c r="FD20" s="314">
        <f>IFERROR(VLOOKUP(CONCATENATE(FD$1,"__",$A20),'Průměrné mzdy 2018'!$D$3:$J$1347,5,FALSE),0)</f>
        <v>36904.958381171062</v>
      </c>
      <c r="FE20" s="314">
        <f>IFERROR(VLOOKUP(CONCATENATE(FE$1,"__",$A20),'Průměrné mzdy 2018'!$D$3:$J$1347,5,FALSE),0)</f>
        <v>27180.702563526178</v>
      </c>
      <c r="FF20" s="314">
        <f>IFERROR(VLOOKUP(CONCATENATE(FF$1,"__",$A20),'Průměrné mzdy 2018'!$D$3:$J$1347,5,FALSE),0)</f>
        <v>30876.362236436857</v>
      </c>
      <c r="FG20" s="314">
        <f>IFERROR(VLOOKUP(CONCATENATE(FG$1,"__",$A20),'Průměrné mzdy 2018'!$D$3:$J$1347,5,FALSE),0)</f>
        <v>26909.695273631842</v>
      </c>
      <c r="FH20" s="314">
        <f>IFERROR(VLOOKUP(CONCATENATE(FH$1,"__",$A20),'Průměrné mzdy 2018'!$D$3:$J$1347,5,FALSE),0)</f>
        <v>26410.450552347873</v>
      </c>
      <c r="FI20" s="314">
        <f>IFERROR(VLOOKUP(CONCATENATE(FI$1,"__",$A20),'Průměrné mzdy 2018'!$D$3:$J$1347,5,FALSE),0)</f>
        <v>24524.168008628025</v>
      </c>
      <c r="FJ20" s="314">
        <f>IFERROR(VLOOKUP(CONCATENATE(FJ$1,"__",$A20),'Průměrné mzdy 2018'!$D$3:$J$1347,5,FALSE),0)</f>
        <v>22173.73070544712</v>
      </c>
      <c r="FK20" s="314">
        <f>IFERROR(VLOOKUP(CONCATENATE(FK$1,"__",$A20),'Průměrné mzdy 2018'!$D$3:$J$1347,5,FALSE),0)</f>
        <v>20694.776119402984</v>
      </c>
      <c r="FL20" s="314">
        <f>IFERROR(VLOOKUP(CONCATENATE(FL$1,"__",$A20),'Průměrné mzdy 2018'!$D$3:$J$1347,5,FALSE),0)</f>
        <v>20694.776119402984</v>
      </c>
      <c r="FM20" s="314">
        <f>IFERROR(VLOOKUP(CONCATENATE(FM$1,"__",$A20),'Průměrné mzdy 2018'!$D$3:$J$1347,5,FALSE),0)</f>
        <v>23034.600703379649</v>
      </c>
      <c r="FN20" s="314">
        <f>IFERROR(VLOOKUP(CONCATENATE(FN$1,"__",$A20),'Průměrné mzdy 2018'!$D$3:$J$1347,5,FALSE),0)</f>
        <v>21928.004978979945</v>
      </c>
      <c r="FO20" s="314">
        <f>IFERROR(VLOOKUP(CONCATENATE(FO$1,"__",$A20),'Průměrné mzdy 2018'!$D$3:$J$1347,5,FALSE),0)</f>
        <v>25450.934304000508</v>
      </c>
      <c r="FP20" s="314">
        <f>IFERROR(VLOOKUP(CONCATENATE(FP$1,"__",$A20),'Průměrné mzdy 2018'!$D$3:$J$1347,5,FALSE),0)</f>
        <v>26349.277844886219</v>
      </c>
      <c r="FQ20" s="314">
        <f>IFERROR(VLOOKUP(CONCATENATE(FQ$1,"__",$A20),'Průměrné mzdy 2018'!$D$3:$J$1347,5,FALSE),0)</f>
        <v>28560.30453791648</v>
      </c>
      <c r="FR20" s="314">
        <f>IFERROR(VLOOKUP(CONCATENATE(FR$1,"__",$A20),'Průměrné mzdy 2018'!$D$3:$J$1347,5,FALSE),0)</f>
        <v>0</v>
      </c>
      <c r="FS20" s="314">
        <f>IFERROR(VLOOKUP(CONCATENATE(FS$1,"__",$A20),'Průměrné mzdy 2018'!$D$3:$J$1347,5,FALSE),0)</f>
        <v>41533.941951409062</v>
      </c>
      <c r="FT20" s="314">
        <f>IFERROR(VLOOKUP(CONCATENATE(FT$1,"__",$A20),'Průměrné mzdy 2018'!$D$3:$J$1347,5,FALSE),0)</f>
        <v>34326.236871199559</v>
      </c>
      <c r="FU20" s="314">
        <f>IFERROR(VLOOKUP(CONCATENATE(FU$1,"__",$A20),'Průměrné mzdy 2018'!$D$3:$J$1347,5,FALSE),0)</f>
        <v>26249.067164179101</v>
      </c>
      <c r="FV20" s="314">
        <f>IFERROR(VLOOKUP(CONCATENATE(FV$1,"__",$A20),'Průměrné mzdy 2018'!$D$3:$J$1347,5,FALSE),0)</f>
        <v>16391.532901530081</v>
      </c>
      <c r="FW20" s="314">
        <f>IFERROR(VLOOKUP(CONCATENATE(FW$1,"__",$A20),'Průměrné mzdy 2018'!$D$3:$J$1347,5,FALSE),0)</f>
        <v>28738.368965980906</v>
      </c>
      <c r="FX20" s="314">
        <f>IFERROR(VLOOKUP(CONCATENATE(FX$1,"__",$A20),'Průměrné mzdy 2018'!$D$3:$J$1347,5,FALSE),0)</f>
        <v>23135.043532338306</v>
      </c>
      <c r="FY20" s="314">
        <f>IFERROR(VLOOKUP(CONCATENATE(FY$1,"__",$A20),'Průměrné mzdy 2018'!$D$3:$J$1347,5,FALSE),0)</f>
        <v>19186.722636815917</v>
      </c>
      <c r="FZ20" s="314">
        <f>IFERROR(VLOOKUP(CONCATENATE(FZ$1,"__",$A20),'Průměrné mzdy 2018'!$D$3:$J$1347,5,FALSE),0)</f>
        <v>25399.51181672742</v>
      </c>
      <c r="GA20" s="314">
        <f>IFERROR(VLOOKUP(CONCATENATE(GA$1,"__",$A20),'Průměrné mzdy 2018'!$D$3:$J$1347,5,FALSE),0)</f>
        <v>27874.430550410136</v>
      </c>
      <c r="GB20" s="314">
        <f>IFERROR(VLOOKUP(CONCATENATE(GB$1,"__",$A20),'Průměrné mzdy 2018'!$D$3:$J$1347,5,FALSE),0)</f>
        <v>29157.19111542877</v>
      </c>
      <c r="GC20" s="314">
        <f>IFERROR(VLOOKUP(CONCATENATE(GC$1,"__",$A20),'Průměrné mzdy 2018'!$D$3:$J$1347,5,FALSE),0)</f>
        <v>21116.3877581788</v>
      </c>
      <c r="GD20" s="314">
        <f>IFERROR(VLOOKUP(CONCATENATE(GD$1,"__",$A20),'Průměrné mzdy 2018'!$D$3:$J$1347,5,FALSE),0)</f>
        <v>23638.633261038703</v>
      </c>
      <c r="GE20" s="314">
        <f>IFERROR(VLOOKUP(CONCATENATE(GE$1,"__",$A20),'Průměrné mzdy 2018'!$D$3:$J$1347,5,FALSE),0)</f>
        <v>26284.055538888468</v>
      </c>
      <c r="GF20" s="314">
        <f>IFERROR(VLOOKUP(CONCATENATE(GF$1,"__",$A20),'Průměrné mzdy 2018'!$D$3:$J$1347,5,FALSE),0)</f>
        <v>15534.52129841735</v>
      </c>
      <c r="GG20" s="314">
        <f>IFERROR(VLOOKUP(CONCATENATE(GG$1,"__",$A20),'Průměrné mzdy 2018'!$D$3:$J$1347,5,FALSE),0)</f>
        <v>29361.431718419717</v>
      </c>
      <c r="GH20" s="314">
        <f>IFERROR(VLOOKUP(CONCATENATE(GH$1,"__",$A20),'Průměrné mzdy 2018'!$D$3:$J$1347,5,FALSE),0)</f>
        <v>31756.787296325554</v>
      </c>
      <c r="GI20" s="314">
        <f>IFERROR(VLOOKUP(CONCATENATE(GI$1,"__",$A20),'Průměrné mzdy 2018'!$D$3:$J$1347,5,FALSE),0)</f>
        <v>27742.00392569726</v>
      </c>
      <c r="GJ20" s="314">
        <f>IFERROR(VLOOKUP(CONCATENATE(GJ$1,"__",$A20),'Průměrné mzdy 2018'!$D$3:$J$1347,5,FALSE),0)</f>
        <v>22942.332870062641</v>
      </c>
      <c r="GK20" s="314">
        <f>IFERROR(VLOOKUP(CONCATENATE(GK$1,"__",$A20),'Průměrné mzdy 2018'!$D$3:$J$1347,5,FALSE),0)</f>
        <v>26301.700002014222</v>
      </c>
      <c r="GL20" s="314">
        <f>IFERROR(VLOOKUP(CONCATENATE(GL$1,"__",$A20),'Průměrné mzdy 2018'!$D$3:$J$1347,5,FALSE),0)</f>
        <v>37642.876526458618</v>
      </c>
      <c r="GM20" s="314">
        <f>IFERROR(VLOOKUP(CONCATENATE(GM$1,"__",$A20),'Průměrné mzdy 2018'!$D$3:$J$1347,5,FALSE),0)</f>
        <v>24307.881644409532</v>
      </c>
      <c r="GN20" s="314">
        <f>IFERROR(VLOOKUP(CONCATENATE(GN$1,"__",$A20),'Průměrné mzdy 2018'!$D$3:$J$1347,5,FALSE),0)</f>
        <v>26598.19947879649</v>
      </c>
      <c r="GO20" s="314">
        <f>IFERROR(VLOOKUP(CONCATENATE(GO$1,"__",$A20),'Průměrné mzdy 2018'!$D$3:$J$1347,5,FALSE),0)</f>
        <v>24518.807279392506</v>
      </c>
      <c r="GP20" s="314">
        <f>IFERROR(VLOOKUP(CONCATENATE(GP$1,"__",$A20),'Průměrné mzdy 2018'!$D$3:$J$1347,5,FALSE),0)</f>
        <v>21594.3407960199</v>
      </c>
      <c r="GQ20" s="314">
        <f>IFERROR(VLOOKUP(CONCATENATE(GQ$1,"__",$A20),'Průměrné mzdy 2018'!$D$3:$J$1347,5,FALSE),0)</f>
        <v>21674.856486796783</v>
      </c>
      <c r="GR20" s="314">
        <f>IFERROR(VLOOKUP(CONCATENATE(GR$1,"__",$A20),'Průměrné mzdy 2018'!$D$3:$J$1347,5,FALSE),0)</f>
        <v>28467.460491659349</v>
      </c>
      <c r="GS20" s="314">
        <f>IFERROR(VLOOKUP(CONCATENATE(GS$1,"__",$A20),'Průměrné mzdy 2018'!$D$3:$J$1347,5,FALSE),0)</f>
        <v>32998.445273631834</v>
      </c>
      <c r="GT20" s="314">
        <f>IFERROR(VLOOKUP(CONCATENATE(GT$1,"__",$A20),'Průměrné mzdy 2018'!$D$3:$J$1347,5,FALSE),0)</f>
        <v>25405.910446398888</v>
      </c>
      <c r="GU20" s="314">
        <f>IFERROR(VLOOKUP(CONCATENATE(GU$1,"__",$A20),'Průměrné mzdy 2018'!$D$3:$J$1347,5,FALSE),0)</f>
        <v>23920.321205134998</v>
      </c>
      <c r="GV20" s="314">
        <f>IFERROR(VLOOKUP(CONCATENATE(GV$1,"__",$A20),'Průměrné mzdy 2018'!$D$3:$J$1347,5,FALSE),0)</f>
        <v>0</v>
      </c>
      <c r="GW20" s="314">
        <f>IFERROR(VLOOKUP(CONCATENATE(GW$1,"__",$A20),'Průměrné mzdy 2018'!$D$3:$J$1347,5,FALSE),0)</f>
        <v>29068.099739859612</v>
      </c>
      <c r="GX20" s="314">
        <f>IFERROR(VLOOKUP(CONCATENATE(GX$1,"__",$A20),'Průměrné mzdy 2018'!$D$3:$J$1347,5,FALSE),0)</f>
        <v>28621.551334237898</v>
      </c>
      <c r="GY20" s="314">
        <f>IFERROR(VLOOKUP(CONCATENATE(GY$1,"__",$A20),'Průměrné mzdy 2018'!$D$3:$J$1347,5,FALSE),0)</f>
        <v>29639.789065471392</v>
      </c>
      <c r="GZ20" s="314">
        <f>IFERROR(VLOOKUP(CONCATENATE(GZ$1,"__",$A20),'Průměrné mzdy 2018'!$D$3:$J$1347,5,FALSE),0)</f>
        <v>0</v>
      </c>
      <c r="HA20" s="314">
        <f>IFERROR(VLOOKUP(CONCATENATE(HA$1,"__",$A20),'Průměrné mzdy 2018'!$D$3:$J$1347,5,FALSE),0)</f>
        <v>26912.249114929058</v>
      </c>
      <c r="HB20" s="314">
        <f>IFERROR(VLOOKUP(CONCATENATE(HB$1,"__",$A20),'Průměrné mzdy 2018'!$D$3:$J$1347,5,FALSE),0)</f>
        <v>34246.19817089288</v>
      </c>
      <c r="HC20" s="314">
        <f>IFERROR(VLOOKUP(CONCATENATE(HC$1,"__",$A20),'Průměrné mzdy 2018'!$D$3:$J$1347,5,FALSE),0)</f>
        <v>30114.807010128206</v>
      </c>
      <c r="HD20" s="314">
        <f>IFERROR(VLOOKUP(CONCATENATE(HD$1,"__",$A20),'Průměrné mzdy 2018'!$D$3:$J$1347,5,FALSE),0)</f>
        <v>25211.954191992598</v>
      </c>
      <c r="HE20" s="314">
        <f>IFERROR(VLOOKUP(CONCATENATE(HE$1,"__",$A20),'Průměrné mzdy 2018'!$D$3:$J$1347,5,FALSE),0)</f>
        <v>28903.099738184872</v>
      </c>
      <c r="HF20" s="314">
        <f>IFERROR(VLOOKUP(CONCATENATE(HF$1,"__",$A20),'Průměrné mzdy 2018'!$D$3:$J$1347,5,FALSE),0)</f>
        <v>21476.635345770432</v>
      </c>
      <c r="HG20" s="314">
        <f>IFERROR(VLOOKUP(CONCATENATE(HG$1,"__",$A20),'Průměrné mzdy 2018'!$D$3:$J$1347,5,FALSE),0)</f>
        <v>33503.917910447759</v>
      </c>
      <c r="HH20" s="314">
        <f>IFERROR(VLOOKUP(CONCATENATE(HH$1,"__",$A20),'Průměrné mzdy 2018'!$D$3:$J$1347,5,FALSE),0)</f>
        <v>0</v>
      </c>
      <c r="HI20" s="314">
        <f>IFERROR(VLOOKUP(CONCATENATE(HI$1,"__",$A20),'Průměrné mzdy 2018'!$D$3:$J$1347,5,FALSE),0)</f>
        <v>26684.574287652642</v>
      </c>
      <c r="HJ20" s="314">
        <f>IFERROR(VLOOKUP(CONCATENATE(HJ$1,"__",$A20),'Průměrné mzdy 2018'!$D$3:$J$1347,5,FALSE),0)</f>
        <v>62033.821278224263</v>
      </c>
      <c r="HK20" s="314">
        <f>IFERROR(VLOOKUP(CONCATENATE(HK$1,"__",$A20),'Průměrné mzdy 2018'!$D$3:$J$1347,5,FALSE),0)</f>
        <v>32706.586117033872</v>
      </c>
      <c r="HL20" s="314">
        <f>IFERROR(VLOOKUP(CONCATENATE(HL$1,"__",$A20),'Průměrné mzdy 2018'!$D$3:$J$1347,5,FALSE),0)</f>
        <v>31061.090678912049</v>
      </c>
      <c r="HM20" s="314">
        <f>IFERROR(VLOOKUP(CONCATENATE(HM$1,"__",$A20),'Průměrné mzdy 2018'!$D$3:$J$1347,5,FALSE),0)</f>
        <v>37160.682761308657</v>
      </c>
      <c r="HN20" s="314">
        <f>IFERROR(VLOOKUP(CONCATENATE(HN$1,"__",$A20),'Průměrné mzdy 2018'!$D$3:$J$1347,5,FALSE),0)</f>
        <v>14595.238095238094</v>
      </c>
      <c r="HO20" s="314">
        <f>IFERROR(VLOOKUP(CONCATENATE(HO$1,"__",$A20),'Průměrné mzdy 2018'!$D$3:$J$1347,5,FALSE),0)</f>
        <v>36966.645936981753</v>
      </c>
      <c r="HP20" s="314">
        <f>IFERROR(VLOOKUP(CONCATENATE(HP$1,"__",$A20),'Průměrné mzdy 2018'!$D$3:$J$1347,5,FALSE),0)</f>
        <v>28585.358316168546</v>
      </c>
      <c r="HQ20" s="314">
        <f>IFERROR(VLOOKUP(CONCATENATE(HQ$1,"__",$A20),'Průměrné mzdy 2018'!$D$3:$J$1347,5,FALSE),0)</f>
        <v>32345.723306544198</v>
      </c>
      <c r="HR20" s="314">
        <f>IFERROR(VLOOKUP(CONCATENATE(HR$1,"__",$A20),'Průměrné mzdy 2018'!$D$3:$J$1347,5,FALSE),0)</f>
        <v>33407.660142482011</v>
      </c>
      <c r="HS20" s="314">
        <f>IFERROR(VLOOKUP(CONCATENATE(HS$1,"__",$A20),'Průměrné mzdy 2018'!$D$3:$J$1347,5,FALSE),0)</f>
        <v>31896.947553897182</v>
      </c>
      <c r="HT20" s="314">
        <f>IFERROR(VLOOKUP(CONCATENATE(HT$1,"__",$A20),'Průměrné mzdy 2018'!$D$3:$J$1347,5,FALSE),0)</f>
        <v>29964.796019900496</v>
      </c>
      <c r="HU20" s="314">
        <f>IFERROR(VLOOKUP(CONCATENATE(HU$1,"__",$A20),'Průměrné mzdy 2018'!$D$3:$J$1347,5,FALSE),0)</f>
        <v>32023.54168725208</v>
      </c>
      <c r="HV20" s="314">
        <f>IFERROR(VLOOKUP(CONCATENATE(HV$1,"__",$A20),'Průměrné mzdy 2018'!$D$3:$J$1347,5,FALSE),0)</f>
        <v>29093.348742662885</v>
      </c>
      <c r="HW20" s="314">
        <f>IFERROR(VLOOKUP(CONCATENATE(HW$1,"__",$A20),'Průměrné mzdy 2018'!$D$3:$J$1347,5,FALSE),0)</f>
        <v>26840.03121694849</v>
      </c>
      <c r="HX20" s="314">
        <f>IFERROR(VLOOKUP(CONCATENATE(HX$1,"__",$A20),'Průměrné mzdy 2018'!$D$3:$J$1347,5,FALSE),0)</f>
        <v>27070.592461153286</v>
      </c>
      <c r="HY20" s="314">
        <f>IFERROR(VLOOKUP(CONCATENATE(HY$1,"__",$A20),'Průměrné mzdy 2018'!$D$3:$J$1347,5,FALSE),0)</f>
        <v>33487.922191030244</v>
      </c>
      <c r="HZ20" s="314">
        <f>IFERROR(VLOOKUP(CONCATENATE(HZ$1,"__",$A20),'Průměrné mzdy 2018'!$D$3:$J$1347,5,FALSE),0)</f>
        <v>26808.849272157728</v>
      </c>
      <c r="IA20" s="314">
        <f>IFERROR(VLOOKUP(CONCATENATE(IA$1,"__",$A20),'Průměrné mzdy 2018'!$D$3:$J$1347,5,FALSE),0)</f>
        <v>29311.827058736166</v>
      </c>
      <c r="IB20" s="314">
        <f>IFERROR(VLOOKUP(CONCATENATE(IB$1,"__",$A20),'Průměrné mzdy 2018'!$D$3:$J$1347,5,FALSE),0)</f>
        <v>32029.320310213636</v>
      </c>
      <c r="IC20" s="314">
        <f>IFERROR(VLOOKUP(CONCATENATE(IC$1,"__",$A20),'Průměrné mzdy 2018'!$D$3:$J$1347,5,FALSE),0)</f>
        <v>24213.246543829522</v>
      </c>
      <c r="ID20" s="314">
        <f>IFERROR(VLOOKUP(CONCATENATE(ID$1,"__",$A20),'Průměrné mzdy 2018'!$D$3:$J$1347,5,FALSE),0)</f>
        <v>27543.613019489992</v>
      </c>
      <c r="IE20" s="314">
        <f>IFERROR(VLOOKUP(CONCATENATE(IE$1,"__",$A20),'Průměrné mzdy 2018'!$D$3:$J$1347,5,FALSE),0)</f>
        <v>24713.524490512031</v>
      </c>
      <c r="IF20" s="314">
        <f>IFERROR(VLOOKUP(CONCATENATE(IF$1,"__",$A20),'Průměrné mzdy 2018'!$D$3:$J$1347,5,FALSE),0)</f>
        <v>29225.370222599999</v>
      </c>
      <c r="IG20" s="314">
        <f>IFERROR(VLOOKUP(CONCATENATE(IG$1,"__",$A20),'Průměrné mzdy 2018'!$D$3:$J$1347,5,FALSE),0)</f>
        <v>0</v>
      </c>
      <c r="IH20" s="314">
        <f>IFERROR(VLOOKUP(CONCATENATE(IH$1,"__",$A20),'Průměrné mzdy 2018'!$D$3:$J$1347,5,FALSE),0)</f>
        <v>36551.328866357049</v>
      </c>
      <c r="II20" s="314">
        <f>IFERROR(VLOOKUP(CONCATENATE(II$1,"__",$A20),'Průměrné mzdy 2018'!$D$3:$J$1347,5,FALSE),0)</f>
        <v>28073.601281470634</v>
      </c>
      <c r="IJ20" s="314">
        <f>IFERROR(VLOOKUP(CONCATENATE(IJ$1,"__",$A20),'Průměrné mzdy 2018'!$D$3:$J$1347,5,FALSE),0)</f>
        <v>24985.679622585645</v>
      </c>
      <c r="IK20" s="314">
        <f>IFERROR(VLOOKUP(CONCATENATE(IK$1,"__",$A20),'Průměrné mzdy 2018'!$D$3:$J$1347,5,FALSE),0)</f>
        <v>34331.500221406059</v>
      </c>
      <c r="IL20" s="314">
        <f>IFERROR(VLOOKUP(CONCATENATE(IL$1,"__",$A20),'Průměrné mzdy 2018'!$D$3:$J$1347,5,FALSE),0)</f>
        <v>30793.769499957834</v>
      </c>
      <c r="IM20" s="314">
        <f>IFERROR(VLOOKUP(CONCATENATE(IM$1,"__",$A20),'Průměrné mzdy 2018'!$D$3:$J$1347,5,FALSE),0)</f>
        <v>26103.312801073993</v>
      </c>
      <c r="IN20" s="314">
        <f>IFERROR(VLOOKUP(CONCATENATE(IN$1,"__",$A20),'Průměrné mzdy 2018'!$D$3:$J$1347,5,FALSE),0)</f>
        <v>28645.168526545935</v>
      </c>
      <c r="IO20" s="314">
        <f>IFERROR(VLOOKUP(CONCATENATE(IO$1,"__",$A20),'Průměrné mzdy 2018'!$D$3:$J$1347,5,FALSE),0)</f>
        <v>24183.068470596652</v>
      </c>
      <c r="IP20" s="314">
        <f>IFERROR(VLOOKUP(CONCATENATE(IP$1,"__",$A20),'Průměrné mzdy 2018'!$D$3:$J$1347,5,FALSE),0)</f>
        <v>28210.973706241395</v>
      </c>
      <c r="IQ20" s="314">
        <f>IFERROR(VLOOKUP(CONCATENATE(IQ$1,"__",$A20),'Průměrné mzdy 2018'!$D$3:$J$1347,5,FALSE),0)</f>
        <v>34431.476836125083</v>
      </c>
      <c r="IR20" s="314">
        <f>IFERROR(VLOOKUP(CONCATENATE(IR$1,"__",$A20),'Průměrné mzdy 2018'!$D$3:$J$1347,5,FALSE),0)</f>
        <v>28593.490878938635</v>
      </c>
      <c r="IS20" s="314">
        <f>IFERROR(VLOOKUP(CONCATENATE(IS$1,"__",$A20),'Průměrné mzdy 2018'!$D$3:$J$1347,5,FALSE),0)</f>
        <v>27686.07382138717</v>
      </c>
      <c r="IT20" s="314">
        <f>IFERROR(VLOOKUP(CONCATENATE(IT$1,"__",$A20),'Průměrné mzdy 2018'!$D$3:$J$1347,5,FALSE),0)</f>
        <v>28580.768634920572</v>
      </c>
      <c r="IU20" s="314">
        <f>IFERROR(VLOOKUP(CONCATENATE(IU$1,"__",$A20),'Průměrné mzdy 2018'!$D$3:$J$1347,5,FALSE),0)</f>
        <v>49154.664629229803</v>
      </c>
      <c r="IV20" s="314">
        <f>IFERROR(VLOOKUP(CONCATENATE(IV$1,"__",$A20),'Průměrné mzdy 2018'!$D$3:$J$1347,5,FALSE),0)</f>
        <v>29102.051724846835</v>
      </c>
      <c r="IW20" s="314">
        <f>IFERROR(VLOOKUP(CONCATENATE(IW$1,"__",$A20),'Průměrné mzdy 2018'!$D$3:$J$1347,5,FALSE),0)</f>
        <v>23255.043610366611</v>
      </c>
      <c r="IX20" s="314">
        <f>IFERROR(VLOOKUP(CONCATENATE(IX$1,"__",$A20),'Průměrné mzdy 2018'!$D$3:$J$1347,5,FALSE),0)</f>
        <v>26352.266445550027</v>
      </c>
      <c r="IY20" s="314">
        <f>IFERROR(VLOOKUP(CONCATENATE(IY$1,"__",$A20),'Průměrné mzdy 2018'!$D$3:$J$1347,5,FALSE),0)</f>
        <v>29667.340306427337</v>
      </c>
      <c r="IZ20" s="314">
        <f>IFERROR(VLOOKUP(CONCATENATE(IZ$1,"__",$A20),'Průměrné mzdy 2018'!$D$3:$J$1347,5,FALSE),0)</f>
        <v>29290.644732018205</v>
      </c>
      <c r="JA20" s="314">
        <f>IFERROR(VLOOKUP(CONCATENATE(JA$1,"__",$A20),'Průměrné mzdy 2018'!$D$3:$J$1347,5,FALSE),0)</f>
        <v>28064.233289000542</v>
      </c>
      <c r="JB20" s="314">
        <f>IFERROR(VLOOKUP(CONCATENATE(JB$1,"__",$A20),'Průměrné mzdy 2018'!$D$3:$J$1347,5,FALSE),0)</f>
        <v>38540.08184882041</v>
      </c>
      <c r="JC20" s="314">
        <f>IFERROR(VLOOKUP(CONCATENATE(JC$1,"__",$A20),'Průměrné mzdy 2018'!$D$3:$J$1347,5,FALSE),0)</f>
        <v>22284.564393939392</v>
      </c>
      <c r="JD20" s="314">
        <f>IFERROR(VLOOKUP(CONCATENATE(JD$1,"__",$A20),'Průměrné mzdy 2018'!$D$3:$J$1347,5,FALSE),0)</f>
        <v>24065.065550125324</v>
      </c>
      <c r="JE20" s="314">
        <f>IFERROR(VLOOKUP(CONCATENATE(JE$1,"__",$A20),'Průměrné mzdy 2018'!$D$3:$J$1347,5,FALSE),0)</f>
        <v>64767.66308629213</v>
      </c>
      <c r="JF20" s="314">
        <f>IFERROR(VLOOKUP(CONCATENATE(JF$1,"__",$A20),'Průměrné mzdy 2018'!$D$3:$J$1347,5,FALSE),0)</f>
        <v>31608.247469914153</v>
      </c>
      <c r="JG20" s="314">
        <f>IFERROR(VLOOKUP(CONCATENATE(JG$1,"__",$A20),'Průměrné mzdy 2018'!$D$3:$J$1347,5,FALSE),0)</f>
        <v>29858.906392972021</v>
      </c>
      <c r="JH20" s="314">
        <f>IFERROR(VLOOKUP(CONCATENATE(JH$1,"__",$A20),'Průměrné mzdy 2018'!$D$3:$J$1347,5,FALSE),0)</f>
        <v>13293.426665500619</v>
      </c>
    </row>
    <row r="21" spans="1:276" x14ac:dyDescent="0.25">
      <c r="A21" s="313" t="s">
        <v>2444</v>
      </c>
      <c r="B21" s="313" t="s">
        <v>2460</v>
      </c>
      <c r="C21" s="314">
        <f>IFERROR(VLOOKUP(CONCATENATE(C$1,"__",$A21),'Průměrné mzdy 2018'!$D$3:$J$1347,6,FALSE),0)</f>
        <v>26842.66744907634</v>
      </c>
      <c r="D21" s="314">
        <f>IFERROR(VLOOKUP(CONCATENATE(D$1,"__",$A21),'Průměrné mzdy 2018'!$D$3:$J$1347,6,FALSE),0)</f>
        <v>26842.66744907634</v>
      </c>
      <c r="E21" s="314">
        <f>IFERROR(VLOOKUP(CONCATENATE(E$1,"__",$A21),'Průměrné mzdy 2018'!$D$3:$J$1347,6,FALSE),0)</f>
        <v>26842.66744907634</v>
      </c>
      <c r="F21" s="314">
        <f>IFERROR(VLOOKUP(CONCATENATE(F$1,"__",$A21),'Průměrné mzdy 2018'!$D$3:$J$1347,6,FALSE),0)</f>
        <v>23059.348030624205</v>
      </c>
      <c r="G21" s="314">
        <f>IFERROR(VLOOKUP(CONCATENATE(G$1,"__",$A21),'Průměrné mzdy 2018'!$D$3:$J$1347,6,FALSE),0)</f>
        <v>26351.428793362589</v>
      </c>
      <c r="H21" s="314">
        <f>IFERROR(VLOOKUP(CONCATENATE(H$1,"__",$A21),'Průměrné mzdy 2018'!$D$3:$J$1347,6,FALSE),0)</f>
        <v>0</v>
      </c>
      <c r="I21" s="314">
        <f>IFERROR(VLOOKUP(CONCATENATE(I$1,"__",$A21),'Průměrné mzdy 2018'!$D$3:$J$1347,6,FALSE),0)</f>
        <v>28199.372889022721</v>
      </c>
      <c r="J21" s="314">
        <f>IFERROR(VLOOKUP(CONCATENATE(J$1,"__",$A21),'Průměrné mzdy 2018'!$D$3:$J$1347,6,FALSE),0)</f>
        <v>28199.372889022721</v>
      </c>
      <c r="K21" s="314">
        <f>IFERROR(VLOOKUP(CONCATENATE(K$1,"__",$A21),'Průměrné mzdy 2018'!$D$3:$J$1347,6,FALSE),0)</f>
        <v>19608.000824093891</v>
      </c>
      <c r="L21" s="314">
        <f>IFERROR(VLOOKUP(CONCATENATE(L$1,"__",$A21),'Průměrné mzdy 2018'!$D$3:$J$1347,6,FALSE),0)</f>
        <v>0</v>
      </c>
      <c r="M21" s="314">
        <f>IFERROR(VLOOKUP(CONCATENATE(M$1,"__",$A21),'Průměrné mzdy 2018'!$D$3:$J$1347,6,FALSE),0)</f>
        <v>23059.348030624205</v>
      </c>
      <c r="N21" s="314">
        <f>IFERROR(VLOOKUP(CONCATENATE(N$1,"__",$A21),'Průměrné mzdy 2018'!$D$3:$J$1347,6,FALSE),0)</f>
        <v>28414.477254282185</v>
      </c>
      <c r="O21" s="314">
        <f>IFERROR(VLOOKUP(CONCATENATE(O$1,"__",$A21),'Průměrné mzdy 2018'!$D$3:$J$1347,6,FALSE),0)</f>
        <v>30443.327137576063</v>
      </c>
      <c r="P21" s="314">
        <f>IFERROR(VLOOKUP(CONCATENATE(P$1,"__",$A21),'Průměrné mzdy 2018'!$D$3:$J$1347,6,FALSE),0)</f>
        <v>20326.238127544097</v>
      </c>
      <c r="Q21" s="314">
        <f>IFERROR(VLOOKUP(CONCATENATE(Q$1,"__",$A21),'Průměrné mzdy 2018'!$D$3:$J$1347,6,FALSE),0)</f>
        <v>30443.327137576063</v>
      </c>
      <c r="R21" s="314">
        <f>IFERROR(VLOOKUP(CONCATENATE(R$1,"__",$A21),'Průměrné mzdy 2018'!$D$3:$J$1347,6,FALSE),0)</f>
        <v>30443.327137576063</v>
      </c>
      <c r="S21" s="314">
        <f>IFERROR(VLOOKUP(CONCATENATE(S$1,"__",$A21),'Průměrné mzdy 2018'!$D$3:$J$1347,6,FALSE),0)</f>
        <v>30443.327137576063</v>
      </c>
      <c r="T21" s="314">
        <f>IFERROR(VLOOKUP(CONCATENATE(T$1,"__",$A21),'Průměrné mzdy 2018'!$D$3:$J$1347,6,FALSE),0)</f>
        <v>30443.327137576063</v>
      </c>
      <c r="U21" s="314">
        <f>IFERROR(VLOOKUP(CONCATENATE(U$1,"__",$A21),'Průměrné mzdy 2018'!$D$3:$J$1347,6,FALSE),0)</f>
        <v>30443.327137576063</v>
      </c>
      <c r="V21" s="314">
        <f>IFERROR(VLOOKUP(CONCATENATE(V$1,"__",$A21),'Průměrné mzdy 2018'!$D$3:$J$1347,6,FALSE),0)</f>
        <v>24125.615822280633</v>
      </c>
      <c r="W21" s="314">
        <f>IFERROR(VLOOKUP(CONCATENATE(W$1,"__",$A21),'Průměrné mzdy 2018'!$D$3:$J$1347,6,FALSE),0)</f>
        <v>26351.428793362589</v>
      </c>
      <c r="X21" s="314">
        <f>IFERROR(VLOOKUP(CONCATENATE(X$1,"__",$A21),'Průměrné mzdy 2018'!$D$3:$J$1347,6,FALSE),0)</f>
        <v>26351.428793362589</v>
      </c>
      <c r="Y21" s="314">
        <f>IFERROR(VLOOKUP(CONCATENATE(Y$1,"__",$A21),'Průměrné mzdy 2018'!$D$3:$J$1347,6,FALSE),0)</f>
        <v>27078.278526243463</v>
      </c>
      <c r="Z21" s="314">
        <f>IFERROR(VLOOKUP(CONCATENATE(Z$1,"__",$A21),'Průměrné mzdy 2018'!$D$3:$J$1347,6,FALSE),0)</f>
        <v>30782.909746017394</v>
      </c>
      <c r="AA21" s="314">
        <f>IFERROR(VLOOKUP(CONCATENATE(AA$1,"__",$A21),'Průměrné mzdy 2018'!$D$3:$J$1347,6,FALSE),0)</f>
        <v>26857.228949262786</v>
      </c>
      <c r="AB21" s="314">
        <f>IFERROR(VLOOKUP(CONCATENATE(AB$1,"__",$A21),'Průměrné mzdy 2018'!$D$3:$J$1347,6,FALSE),0)</f>
        <v>23059.348030624205</v>
      </c>
      <c r="AC21" s="314">
        <f>IFERROR(VLOOKUP(CONCATENATE(AC$1,"__",$A21),'Průměrné mzdy 2018'!$D$3:$J$1347,6,FALSE),0)</f>
        <v>28414.477254282185</v>
      </c>
      <c r="AD21" s="314">
        <f>IFERROR(VLOOKUP(CONCATENATE(AD$1,"__",$A21),'Průměrné mzdy 2018'!$D$3:$J$1347,6,FALSE),0)</f>
        <v>29456.501737885908</v>
      </c>
      <c r="AE21" s="314">
        <f>IFERROR(VLOOKUP(CONCATENATE(AE$1,"__",$A21),'Průměrné mzdy 2018'!$D$3:$J$1347,6,FALSE),0)</f>
        <v>26857.228949262786</v>
      </c>
      <c r="AF21" s="314">
        <f>IFERROR(VLOOKUP(CONCATENATE(AF$1,"__",$A21),'Průměrné mzdy 2018'!$D$3:$J$1347,6,FALSE),0)</f>
        <v>28199.372889022721</v>
      </c>
      <c r="AG21" s="314">
        <f>IFERROR(VLOOKUP(CONCATENATE(AG$1,"__",$A21),'Průměrné mzdy 2018'!$D$3:$J$1347,6,FALSE),0)</f>
        <v>24125.615822280633</v>
      </c>
      <c r="AH21" s="314">
        <f>IFERROR(VLOOKUP(CONCATENATE(AH$1,"__",$A21),'Průměrné mzdy 2018'!$D$3:$J$1347,6,FALSE),0)</f>
        <v>26351.428793362589</v>
      </c>
      <c r="AI21" s="314">
        <f>IFERROR(VLOOKUP(CONCATENATE(AI$1,"__",$A21),'Průměrné mzdy 2018'!$D$3:$J$1347,6,FALSE),0)</f>
        <v>26842.66744907634</v>
      </c>
      <c r="AJ21" s="314">
        <f>IFERROR(VLOOKUP(CONCATENATE(AJ$1,"__",$A21),'Průměrné mzdy 2018'!$D$3:$J$1347,6,FALSE),0)</f>
        <v>27919.23485565402</v>
      </c>
      <c r="AK21" s="314">
        <f>IFERROR(VLOOKUP(CONCATENATE(AK$1,"__",$A21),'Průměrné mzdy 2018'!$D$3:$J$1347,6,FALSE),0)</f>
        <v>30443.327137576063</v>
      </c>
      <c r="AL21" s="314">
        <f>IFERROR(VLOOKUP(CONCATENATE(AL$1,"__",$A21),'Průměrné mzdy 2018'!$D$3:$J$1347,6,FALSE),0)</f>
        <v>26857.228949262786</v>
      </c>
      <c r="AM21" s="314">
        <f>IFERROR(VLOOKUP(CONCATENATE(AM$1,"__",$A21),'Průměrné mzdy 2018'!$D$3:$J$1347,6,FALSE),0)</f>
        <v>30443.327137576063</v>
      </c>
      <c r="AN21" s="314">
        <f>IFERROR(VLOOKUP(CONCATENATE(AN$1,"__",$A21),'Průměrné mzdy 2018'!$D$3:$J$1347,6,FALSE),0)</f>
        <v>30443.327137576063</v>
      </c>
      <c r="AO21" s="314">
        <f>IFERROR(VLOOKUP(CONCATENATE(AO$1,"__",$A21),'Průměrné mzdy 2018'!$D$3:$J$1347,6,FALSE),0)</f>
        <v>27078.278526243463</v>
      </c>
      <c r="AP21" s="314">
        <f>IFERROR(VLOOKUP(CONCATENATE(AP$1,"__",$A21),'Průměrné mzdy 2018'!$D$3:$J$1347,6,FALSE),0)</f>
        <v>23059.348030624205</v>
      </c>
      <c r="AQ21" s="314">
        <f>IFERROR(VLOOKUP(CONCATENATE(AQ$1,"__",$A21),'Průměrné mzdy 2018'!$D$3:$J$1347,6,FALSE),0)</f>
        <v>30443.327137576063</v>
      </c>
      <c r="AR21" s="314">
        <f>IFERROR(VLOOKUP(CONCATENATE(AR$1,"__",$A21),'Průměrné mzdy 2018'!$D$3:$J$1347,6,FALSE),0)</f>
        <v>30443.327137576063</v>
      </c>
      <c r="AS21" s="314">
        <f>IFERROR(VLOOKUP(CONCATENATE(AS$1,"__",$A21),'Průměrné mzdy 2018'!$D$3:$J$1347,6,FALSE),0)</f>
        <v>30443.327137576063</v>
      </c>
      <c r="AT21" s="314">
        <f>IFERROR(VLOOKUP(CONCATENATE(AT$1,"__",$A21),'Průměrné mzdy 2018'!$D$3:$J$1347,6,FALSE),0)</f>
        <v>23059.348030624205</v>
      </c>
      <c r="AU21" s="314">
        <f>IFERROR(VLOOKUP(CONCATENATE(AU$1,"__",$A21),'Průměrné mzdy 2018'!$D$3:$J$1347,6,FALSE),0)</f>
        <v>24790.173663253689</v>
      </c>
      <c r="AV21" s="314">
        <f>IFERROR(VLOOKUP(CONCATENATE(AV$1,"__",$A21),'Průměrné mzdy 2018'!$D$3:$J$1347,6,FALSE),0)</f>
        <v>26857.228949262786</v>
      </c>
      <c r="AW21" s="314">
        <f>IFERROR(VLOOKUP(CONCATENATE(AW$1,"__",$A21),'Průměrné mzdy 2018'!$D$3:$J$1347,6,FALSE),0)</f>
        <v>19294.107457143255</v>
      </c>
      <c r="AX21" s="314">
        <f>IFERROR(VLOOKUP(CONCATENATE(AX$1,"__",$A21),'Průměrné mzdy 2018'!$D$3:$J$1347,6,FALSE),0)</f>
        <v>27078.278526243463</v>
      </c>
      <c r="AY21" s="314">
        <f>IFERROR(VLOOKUP(CONCATENATE(AY$1,"__",$A21),'Průměrné mzdy 2018'!$D$3:$J$1347,6,FALSE),0)</f>
        <v>26351.428793362589</v>
      </c>
      <c r="AZ21" s="314">
        <f>IFERROR(VLOOKUP(CONCATENATE(AZ$1,"__",$A21),'Průměrné mzdy 2018'!$D$3:$J$1347,6,FALSE),0)</f>
        <v>32982.761497391082</v>
      </c>
      <c r="BA21" s="314">
        <f>IFERROR(VLOOKUP(CONCATENATE(BA$1,"__",$A21),'Průměrné mzdy 2018'!$D$3:$J$1347,6,FALSE),0)</f>
        <v>0</v>
      </c>
      <c r="BB21" s="314">
        <f>IFERROR(VLOOKUP(CONCATENATE(BB$1,"__",$A21),'Průměrné mzdy 2018'!$D$3:$J$1347,6,FALSE),0)</f>
        <v>30443.327137576063</v>
      </c>
      <c r="BC21" s="314">
        <f>IFERROR(VLOOKUP(CONCATENATE(BC$1,"__",$A21),'Průměrné mzdy 2018'!$D$3:$J$1347,6,FALSE),0)</f>
        <v>19780.551736929385</v>
      </c>
      <c r="BD21" s="314">
        <f>IFERROR(VLOOKUP(CONCATENATE(BD$1,"__",$A21),'Průměrné mzdy 2018'!$D$3:$J$1347,6,FALSE),0)</f>
        <v>30443.327137576063</v>
      </c>
      <c r="BE21" s="314">
        <f>IFERROR(VLOOKUP(CONCATENATE(BE$1,"__",$A21),'Průměrné mzdy 2018'!$D$3:$J$1347,6,FALSE),0)</f>
        <v>28199.372889022721</v>
      </c>
      <c r="BF21" s="314">
        <f>IFERROR(VLOOKUP(CONCATENATE(BF$1,"__",$A21),'Průměrné mzdy 2018'!$D$3:$J$1347,6,FALSE),0)</f>
        <v>0</v>
      </c>
      <c r="BG21" s="314">
        <f>IFERROR(VLOOKUP(CONCATENATE(BG$1,"__",$A21),'Průměrné mzdy 2018'!$D$3:$J$1347,6,FALSE),0)</f>
        <v>0</v>
      </c>
      <c r="BH21" s="314">
        <f>IFERROR(VLOOKUP(CONCATENATE(BH$1,"__",$A21),'Průměrné mzdy 2018'!$D$3:$J$1347,6,FALSE),0)</f>
        <v>0</v>
      </c>
      <c r="BI21" s="314">
        <f>IFERROR(VLOOKUP(CONCATENATE(BI$1,"__",$A21),'Průměrné mzdy 2018'!$D$3:$J$1347,6,FALSE),0)</f>
        <v>65036.485249298297</v>
      </c>
      <c r="BJ21" s="314">
        <f>IFERROR(VLOOKUP(CONCATENATE(BJ$1,"__",$A21),'Průměrné mzdy 2018'!$D$3:$J$1347,6,FALSE),0)</f>
        <v>24125.615822280633</v>
      </c>
      <c r="BK21" s="314">
        <f>IFERROR(VLOOKUP(CONCATENATE(BK$1,"__",$A21),'Průměrné mzdy 2018'!$D$3:$J$1347,6,FALSE),0)</f>
        <v>28199.372889022721</v>
      </c>
      <c r="BL21" s="314">
        <f>IFERROR(VLOOKUP(CONCATENATE(BL$1,"__",$A21),'Průměrné mzdy 2018'!$D$3:$J$1347,6,FALSE),0)</f>
        <v>0</v>
      </c>
      <c r="BM21" s="314">
        <f>IFERROR(VLOOKUP(CONCATENATE(BM$1,"__",$A21),'Průměrné mzdy 2018'!$D$3:$J$1347,6,FALSE),0)</f>
        <v>28199.372889022721</v>
      </c>
      <c r="BN21" s="314">
        <f>IFERROR(VLOOKUP(CONCATENATE(BN$1,"__",$A21),'Průměrné mzdy 2018'!$D$3:$J$1347,6,FALSE),0)</f>
        <v>30443.327137576063</v>
      </c>
      <c r="BO21" s="314">
        <f>IFERROR(VLOOKUP(CONCATENATE(BO$1,"__",$A21),'Průměrné mzdy 2018'!$D$3:$J$1347,6,FALSE),0)</f>
        <v>30825.354360274101</v>
      </c>
      <c r="BP21" s="314">
        <f>IFERROR(VLOOKUP(CONCATENATE(BP$1,"__",$A21),'Průměrné mzdy 2018'!$D$3:$J$1347,6,FALSE),0)</f>
        <v>26351.428793362589</v>
      </c>
      <c r="BQ21" s="314">
        <f>IFERROR(VLOOKUP(CONCATENATE(BQ$1,"__",$A21),'Průměrné mzdy 2018'!$D$3:$J$1347,6,FALSE),0)</f>
        <v>28199.372889022721</v>
      </c>
      <c r="BR21" s="314">
        <f>IFERROR(VLOOKUP(CONCATENATE(BR$1,"__",$A21),'Průměrné mzdy 2018'!$D$3:$J$1347,6,FALSE),0)</f>
        <v>30443.327137576063</v>
      </c>
      <c r="BS21" s="314">
        <f>IFERROR(VLOOKUP(CONCATENATE(BS$1,"__",$A21),'Průměrné mzdy 2018'!$D$3:$J$1347,6,FALSE),0)</f>
        <v>30443.327137576063</v>
      </c>
      <c r="BT21" s="314">
        <f>IFERROR(VLOOKUP(CONCATENATE(BT$1,"__",$A21),'Průměrné mzdy 2018'!$D$3:$J$1347,6,FALSE),0)</f>
        <v>30443.327137576063</v>
      </c>
      <c r="BU21" s="314">
        <f>IFERROR(VLOOKUP(CONCATENATE(BU$1,"__",$A21),'Průměrné mzdy 2018'!$D$3:$J$1347,6,FALSE),0)</f>
        <v>24125.615822280633</v>
      </c>
      <c r="BV21" s="314">
        <f>IFERROR(VLOOKUP(CONCATENATE(BV$1,"__",$A21),'Průměrné mzdy 2018'!$D$3:$J$1347,6,FALSE),0)</f>
        <v>27078.278526243463</v>
      </c>
      <c r="BW21" s="314">
        <f>IFERROR(VLOOKUP(CONCATENATE(BW$1,"__",$A21),'Průměrné mzdy 2018'!$D$3:$J$1347,6,FALSE),0)</f>
        <v>30443.327137576063</v>
      </c>
      <c r="BX21" s="314">
        <f>IFERROR(VLOOKUP(CONCATENATE(BX$1,"__",$A21),'Průměrné mzdy 2018'!$D$3:$J$1347,6,FALSE),0)</f>
        <v>24125.615822280633</v>
      </c>
      <c r="BY21" s="314">
        <f>IFERROR(VLOOKUP(CONCATENATE(BY$1,"__",$A21),'Průměrné mzdy 2018'!$D$3:$J$1347,6,FALSE),0)</f>
        <v>24125.615822280633</v>
      </c>
      <c r="BZ21" s="314">
        <f>IFERROR(VLOOKUP(CONCATENATE(BZ$1,"__",$A21),'Průměrné mzdy 2018'!$D$3:$J$1347,6,FALSE),0)</f>
        <v>12128.941016450084</v>
      </c>
      <c r="CA21" s="314">
        <f>IFERROR(VLOOKUP(CONCATENATE(CA$1,"__",$A21),'Průměrné mzdy 2018'!$D$3:$J$1347,6,FALSE),0)</f>
        <v>0</v>
      </c>
      <c r="CB21" s="314">
        <f>IFERROR(VLOOKUP(CONCATENATE(CB$1,"__",$A21),'Průměrné mzdy 2018'!$D$3:$J$1347,6,FALSE),0)</f>
        <v>31986.223177996788</v>
      </c>
      <c r="CC21" s="314">
        <f>IFERROR(VLOOKUP(CONCATENATE(CC$1,"__",$A21),'Průměrné mzdy 2018'!$D$3:$J$1347,6,FALSE),0)</f>
        <v>30443.327137576063</v>
      </c>
      <c r="CD21" s="314">
        <f>IFERROR(VLOOKUP(CONCATENATE(CD$1,"__",$A21),'Průměrné mzdy 2018'!$D$3:$J$1347,6,FALSE),0)</f>
        <v>30443.327137576063</v>
      </c>
      <c r="CE21" s="314">
        <f>IFERROR(VLOOKUP(CONCATENATE(CE$1,"__",$A21),'Průměrné mzdy 2018'!$D$3:$J$1347,6,FALSE),0)</f>
        <v>24125.615822280633</v>
      </c>
      <c r="CF21" s="314">
        <f>IFERROR(VLOOKUP(CONCATENATE(CF$1,"__",$A21),'Průměrné mzdy 2018'!$D$3:$J$1347,6,FALSE),0)</f>
        <v>29456.501737885908</v>
      </c>
      <c r="CG21" s="314">
        <f>IFERROR(VLOOKUP(CONCATENATE(CG$1,"__",$A21),'Průměrné mzdy 2018'!$D$3:$J$1347,6,FALSE),0)</f>
        <v>28231.882363638724</v>
      </c>
      <c r="CH21" s="314">
        <f>IFERROR(VLOOKUP(CONCATENATE(CH$1,"__",$A21),'Průměrné mzdy 2018'!$D$3:$J$1347,6,FALSE),0)</f>
        <v>28231.882363638724</v>
      </c>
      <c r="CI21" s="314">
        <f>IFERROR(VLOOKUP(CONCATENATE(CI$1,"__",$A21),'Průměrné mzdy 2018'!$D$3:$J$1347,6,FALSE),0)</f>
        <v>34707.564249757132</v>
      </c>
      <c r="CJ21" s="314">
        <f>IFERROR(VLOOKUP(CONCATENATE(CJ$1,"__",$A21),'Průměrné mzdy 2018'!$D$3:$J$1347,6,FALSE),0)</f>
        <v>28005.860642439973</v>
      </c>
      <c r="CK21" s="314">
        <f>IFERROR(VLOOKUP(CONCATENATE(CK$1,"__",$A21),'Průměrné mzdy 2018'!$D$3:$J$1347,6,FALSE),0)</f>
        <v>26785.82439344962</v>
      </c>
      <c r="CL21" s="314">
        <f>IFERROR(VLOOKUP(CONCATENATE(CL$1,"__",$A21),'Průměrné mzdy 2018'!$D$3:$J$1347,6,FALSE),0)</f>
        <v>28199.372889022721</v>
      </c>
      <c r="CM21" s="314">
        <f>IFERROR(VLOOKUP(CONCATENATE(CM$1,"__",$A21),'Průměrné mzdy 2018'!$D$3:$J$1347,6,FALSE),0)</f>
        <v>24125.615822280633</v>
      </c>
      <c r="CN21" s="314">
        <f>IFERROR(VLOOKUP(CONCATENATE(CN$1,"__",$A21),'Průměrné mzdy 2018'!$D$3:$J$1347,6,FALSE),0)</f>
        <v>24790.173663253689</v>
      </c>
      <c r="CO21" s="314">
        <f>IFERROR(VLOOKUP(CONCATENATE(CO$1,"__",$A21),'Průměrné mzdy 2018'!$D$3:$J$1347,6,FALSE),0)</f>
        <v>24790.173663253689</v>
      </c>
      <c r="CP21" s="314">
        <f>IFERROR(VLOOKUP(CONCATENATE(CP$1,"__",$A21),'Průměrné mzdy 2018'!$D$3:$J$1347,6,FALSE),0)</f>
        <v>24790.173663253689</v>
      </c>
      <c r="CQ21" s="314">
        <f>IFERROR(VLOOKUP(CONCATENATE(CQ$1,"__",$A21),'Průměrné mzdy 2018'!$D$3:$J$1347,6,FALSE),0)</f>
        <v>26857.228949262786</v>
      </c>
      <c r="CR21" s="314">
        <f>IFERROR(VLOOKUP(CONCATENATE(CR$1,"__",$A21),'Průměrné mzdy 2018'!$D$3:$J$1347,6,FALSE),0)</f>
        <v>24125.615822280633</v>
      </c>
      <c r="CS21" s="314">
        <f>IFERROR(VLOOKUP(CONCATENATE(CS$1,"__",$A21),'Průměrné mzdy 2018'!$D$3:$J$1347,6,FALSE),0)</f>
        <v>0</v>
      </c>
      <c r="CT21" s="314">
        <f>IFERROR(VLOOKUP(CONCATENATE(CT$1,"__",$A21),'Průměrné mzdy 2018'!$D$3:$J$1347,6,FALSE),0)</f>
        <v>28231.882363638724</v>
      </c>
      <c r="CU21" s="314">
        <f>IFERROR(VLOOKUP(CONCATENATE(CU$1,"__",$A21),'Průměrné mzdy 2018'!$D$3:$J$1347,6,FALSE),0)</f>
        <v>24125.615822280633</v>
      </c>
      <c r="CV21" s="314">
        <f>IFERROR(VLOOKUP(CONCATENATE(CV$1,"__",$A21),'Průměrné mzdy 2018'!$D$3:$J$1347,6,FALSE),0)</f>
        <v>26842.66744907634</v>
      </c>
      <c r="CW21" s="314">
        <f>IFERROR(VLOOKUP(CONCATENATE(CW$1,"__",$A21),'Průměrné mzdy 2018'!$D$3:$J$1347,6,FALSE),0)</f>
        <v>0</v>
      </c>
      <c r="CX21" s="314">
        <f>IFERROR(VLOOKUP(CONCATENATE(CX$1,"__",$A21),'Průměrné mzdy 2018'!$D$3:$J$1347,6,FALSE),0)</f>
        <v>23059.348030624205</v>
      </c>
      <c r="CY21" s="314">
        <f>IFERROR(VLOOKUP(CONCATENATE(CY$1,"__",$A21),'Průměrné mzdy 2018'!$D$3:$J$1347,6,FALSE),0)</f>
        <v>24125.615822280633</v>
      </c>
      <c r="CZ21" s="314">
        <f>IFERROR(VLOOKUP(CONCATENATE(CZ$1,"__",$A21),'Průměrné mzdy 2018'!$D$3:$J$1347,6,FALSE),0)</f>
        <v>26857.228949262786</v>
      </c>
      <c r="DA21" s="314">
        <f>IFERROR(VLOOKUP(CONCATENATE(DA$1,"__",$A21),'Průměrné mzdy 2018'!$D$3:$J$1347,6,FALSE),0)</f>
        <v>0</v>
      </c>
      <c r="DB21" s="314">
        <f>IFERROR(VLOOKUP(CONCATENATE(DB$1,"__",$A21),'Průměrné mzdy 2018'!$D$3:$J$1347,6,FALSE),0)</f>
        <v>30443.327137576063</v>
      </c>
      <c r="DC21" s="314">
        <f>IFERROR(VLOOKUP(CONCATENATE(DC$1,"__",$A21),'Průměrné mzdy 2018'!$D$3:$J$1347,6,FALSE),0)</f>
        <v>24790.173663253689</v>
      </c>
      <c r="DD21" s="314">
        <f>IFERROR(VLOOKUP(CONCATENATE(DD$1,"__",$A21),'Průměrné mzdy 2018'!$D$3:$J$1347,6,FALSE),0)</f>
        <v>0</v>
      </c>
      <c r="DE21" s="314">
        <f>IFERROR(VLOOKUP(CONCATENATE(DE$1,"__",$A21),'Průměrné mzdy 2018'!$D$3:$J$1347,6,FALSE),0)</f>
        <v>0</v>
      </c>
      <c r="DF21" s="314">
        <f>IFERROR(VLOOKUP(CONCATENATE(DF$1,"__",$A21),'Průměrné mzdy 2018'!$D$3:$J$1347,6,FALSE),0)</f>
        <v>0</v>
      </c>
      <c r="DG21" s="314">
        <f>IFERROR(VLOOKUP(CONCATENATE(DG$1,"__",$A21),'Průměrné mzdy 2018'!$D$3:$J$1347,6,FALSE),0)</f>
        <v>0</v>
      </c>
      <c r="DH21" s="314">
        <f>IFERROR(VLOOKUP(CONCATENATE(DH$1,"__",$A21),'Průměrné mzdy 2018'!$D$3:$J$1347,6,FALSE),0)</f>
        <v>26031.165578601303</v>
      </c>
      <c r="DI21" s="314">
        <f>IFERROR(VLOOKUP(CONCATENATE(DI$1,"__",$A21),'Průměrné mzdy 2018'!$D$3:$J$1347,6,FALSE),0)</f>
        <v>19294.107457143255</v>
      </c>
      <c r="DJ21" s="314">
        <f>IFERROR(VLOOKUP(CONCATENATE(DJ$1,"__",$A21),'Průměrné mzdy 2018'!$D$3:$J$1347,6,FALSE),0)</f>
        <v>28199.372889022721</v>
      </c>
      <c r="DK21" s="314">
        <f>IFERROR(VLOOKUP(CONCATENATE(DK$1,"__",$A21),'Průměrné mzdy 2018'!$D$3:$J$1347,6,FALSE),0)</f>
        <v>28199.372889022721</v>
      </c>
      <c r="DL21" s="314">
        <f>IFERROR(VLOOKUP(CONCATENATE(DL$1,"__",$A21),'Průměrné mzdy 2018'!$D$3:$J$1347,6,FALSE),0)</f>
        <v>24125.615822280633</v>
      </c>
      <c r="DM21" s="314">
        <f>IFERROR(VLOOKUP(CONCATENATE(DM$1,"__",$A21),'Průměrné mzdy 2018'!$D$3:$J$1347,6,FALSE),0)</f>
        <v>23059.348030624205</v>
      </c>
      <c r="DN21" s="314">
        <f>IFERROR(VLOOKUP(CONCATENATE(DN$1,"__",$A21),'Průměrné mzdy 2018'!$D$3:$J$1347,6,FALSE),0)</f>
        <v>24790.173663253689</v>
      </c>
      <c r="DO21" s="314">
        <f>IFERROR(VLOOKUP(CONCATENATE(DO$1,"__",$A21),'Průměrné mzdy 2018'!$D$3:$J$1347,6,FALSE),0)</f>
        <v>0</v>
      </c>
      <c r="DP21" s="314">
        <f>IFERROR(VLOOKUP(CONCATENATE(DP$1,"__",$A21),'Průměrné mzdy 2018'!$D$3:$J$1347,6,FALSE),0)</f>
        <v>24790.173663253689</v>
      </c>
      <c r="DQ21" s="314">
        <f>IFERROR(VLOOKUP(CONCATENATE(DQ$1,"__",$A21),'Průměrné mzdy 2018'!$D$3:$J$1347,6,FALSE),0)</f>
        <v>26857.228949262786</v>
      </c>
      <c r="DR21" s="314">
        <f>IFERROR(VLOOKUP(CONCATENATE(DR$1,"__",$A21),'Průměrné mzdy 2018'!$D$3:$J$1347,6,FALSE),0)</f>
        <v>26857.228949262786</v>
      </c>
      <c r="DS21" s="314">
        <f>IFERROR(VLOOKUP(CONCATENATE(DS$1,"__",$A21),'Průměrné mzdy 2018'!$D$3:$J$1347,6,FALSE),0)</f>
        <v>0</v>
      </c>
      <c r="DT21" s="314">
        <f>IFERROR(VLOOKUP(CONCATENATE(DT$1,"__",$A21),'Průměrné mzdy 2018'!$D$3:$J$1347,6,FALSE),0)</f>
        <v>31986.223177996788</v>
      </c>
      <c r="DU21" s="314">
        <f>IFERROR(VLOOKUP(CONCATENATE(DU$1,"__",$A21),'Průměrné mzdy 2018'!$D$3:$J$1347,6,FALSE),0)</f>
        <v>26031.165578601303</v>
      </c>
      <c r="DV21" s="314">
        <f>IFERROR(VLOOKUP(CONCATENATE(DV$1,"__",$A21),'Průměrné mzdy 2018'!$D$3:$J$1347,6,FALSE),0)</f>
        <v>31986.223177996788</v>
      </c>
      <c r="DW21" s="314">
        <f>IFERROR(VLOOKUP(CONCATENATE(DW$1,"__",$A21),'Průměrné mzdy 2018'!$D$3:$J$1347,6,FALSE),0)</f>
        <v>19294.107457143255</v>
      </c>
      <c r="DX21" s="314">
        <f>IFERROR(VLOOKUP(CONCATENATE(DX$1,"__",$A21),'Průměrné mzdy 2018'!$D$3:$J$1347,6,FALSE),0)</f>
        <v>28199.372889022721</v>
      </c>
      <c r="DY21" s="314">
        <f>IFERROR(VLOOKUP(CONCATENATE(DY$1,"__",$A21),'Průměrné mzdy 2018'!$D$3:$J$1347,6,FALSE),0)</f>
        <v>0</v>
      </c>
      <c r="DZ21" s="314">
        <f>IFERROR(VLOOKUP(CONCATENATE(DZ$1,"__",$A21),'Průměrné mzdy 2018'!$D$3:$J$1347,6,FALSE),0)</f>
        <v>0</v>
      </c>
      <c r="EA21" s="314">
        <f>IFERROR(VLOOKUP(CONCATENATE(EA$1,"__",$A21),'Průměrné mzdy 2018'!$D$3:$J$1347,6,FALSE),0)</f>
        <v>23059.348030624205</v>
      </c>
      <c r="EB21" s="314">
        <f>IFERROR(VLOOKUP(CONCATENATE(EB$1,"__",$A21),'Průměrné mzdy 2018'!$D$3:$J$1347,6,FALSE),0)</f>
        <v>23059.348030624205</v>
      </c>
      <c r="EC21" s="314">
        <f>IFERROR(VLOOKUP(CONCATENATE(EC$1,"__",$A21),'Průměrné mzdy 2018'!$D$3:$J$1347,6,FALSE),0)</f>
        <v>27078.278526243463</v>
      </c>
      <c r="ED21" s="314">
        <f>IFERROR(VLOOKUP(CONCATENATE(ED$1,"__",$A21),'Průměrné mzdy 2018'!$D$3:$J$1347,6,FALSE),0)</f>
        <v>26351.428793362589</v>
      </c>
      <c r="EE21" s="314">
        <f>IFERROR(VLOOKUP(CONCATENATE(EE$1,"__",$A21),'Průměrné mzdy 2018'!$D$3:$J$1347,6,FALSE),0)</f>
        <v>30443.327137576063</v>
      </c>
      <c r="EF21" s="314">
        <f>IFERROR(VLOOKUP(CONCATENATE(EF$1,"__",$A21),'Průměrné mzdy 2018'!$D$3:$J$1347,6,FALSE),0)</f>
        <v>30443.327137576063</v>
      </c>
      <c r="EG21" s="314">
        <f>IFERROR(VLOOKUP(CONCATENATE(EG$1,"__",$A21),'Průměrné mzdy 2018'!$D$3:$J$1347,6,FALSE),0)</f>
        <v>30443.327137576063</v>
      </c>
      <c r="EH21" s="314">
        <f>IFERROR(VLOOKUP(CONCATENATE(EH$1,"__",$A21),'Průměrné mzdy 2018'!$D$3:$J$1347,6,FALSE),0)</f>
        <v>22598.555576029317</v>
      </c>
      <c r="EI21" s="314">
        <f>IFERROR(VLOOKUP(CONCATENATE(EI$1,"__",$A21),'Průměrné mzdy 2018'!$D$3:$J$1347,6,FALSE),0)</f>
        <v>20326.238127544097</v>
      </c>
      <c r="EJ21" s="314">
        <f>IFERROR(VLOOKUP(CONCATENATE(EJ$1,"__",$A21),'Průměrné mzdy 2018'!$D$3:$J$1347,6,FALSE),0)</f>
        <v>28199.372889022721</v>
      </c>
      <c r="EK21" s="314">
        <f>IFERROR(VLOOKUP(CONCATENATE(EK$1,"__",$A21),'Průměrné mzdy 2018'!$D$3:$J$1347,6,FALSE),0)</f>
        <v>0</v>
      </c>
      <c r="EL21" s="314">
        <f>IFERROR(VLOOKUP(CONCATENATE(EL$1,"__",$A21),'Průměrné mzdy 2018'!$D$3:$J$1347,6,FALSE),0)</f>
        <v>0</v>
      </c>
      <c r="EM21" s="314">
        <f>IFERROR(VLOOKUP(CONCATENATE(EM$1,"__",$A21),'Průměrné mzdy 2018'!$D$3:$J$1347,6,FALSE),0)</f>
        <v>0</v>
      </c>
      <c r="EN21" s="314">
        <f>IFERROR(VLOOKUP(CONCATENATE(EN$1,"__",$A21),'Průměrné mzdy 2018'!$D$3:$J$1347,6,FALSE),0)</f>
        <v>26857.228949262786</v>
      </c>
      <c r="EO21" s="314">
        <f>IFERROR(VLOOKUP(CONCATENATE(EO$1,"__",$A21),'Průměrné mzdy 2018'!$D$3:$J$1347,6,FALSE),0)</f>
        <v>30443.327137576063</v>
      </c>
      <c r="EP21" s="314">
        <f>IFERROR(VLOOKUP(CONCATENATE(EP$1,"__",$A21),'Průměrné mzdy 2018'!$D$3:$J$1347,6,FALSE),0)</f>
        <v>26351.428793362589</v>
      </c>
      <c r="EQ21" s="314">
        <f>IFERROR(VLOOKUP(CONCATENATE(EQ$1,"__",$A21),'Průměrné mzdy 2018'!$D$3:$J$1347,6,FALSE),0)</f>
        <v>28199.372889022721</v>
      </c>
      <c r="ER21" s="314">
        <f>IFERROR(VLOOKUP(CONCATENATE(ER$1,"__",$A21),'Průměrné mzdy 2018'!$D$3:$J$1347,6,FALSE),0)</f>
        <v>24125.615822280633</v>
      </c>
      <c r="ES21" s="314">
        <f>IFERROR(VLOOKUP(CONCATENATE(ES$1,"__",$A21),'Průměrné mzdy 2018'!$D$3:$J$1347,6,FALSE),0)</f>
        <v>12128.941016450084</v>
      </c>
      <c r="ET21" s="314">
        <f>IFERROR(VLOOKUP(CONCATENATE(ET$1,"__",$A21),'Průměrné mzdy 2018'!$D$3:$J$1347,6,FALSE),0)</f>
        <v>0</v>
      </c>
      <c r="EU21" s="314">
        <f>IFERROR(VLOOKUP(CONCATENATE(EU$1,"__",$A21),'Průměrné mzdy 2018'!$D$3:$J$1347,6,FALSE),0)</f>
        <v>0</v>
      </c>
      <c r="EV21" s="314">
        <f>IFERROR(VLOOKUP(CONCATENATE(EV$1,"__",$A21),'Průměrné mzdy 2018'!$D$3:$J$1347,6,FALSE),0)</f>
        <v>30443.327137576063</v>
      </c>
      <c r="EW21" s="314">
        <f>IFERROR(VLOOKUP(CONCATENATE(EW$1,"__",$A21),'Průměrné mzdy 2018'!$D$3:$J$1347,6,FALSE),0)</f>
        <v>24125.615822280633</v>
      </c>
      <c r="EX21" s="314">
        <f>IFERROR(VLOOKUP(CONCATENATE(EX$1,"__",$A21),'Průměrné mzdy 2018'!$D$3:$J$1347,6,FALSE),0)</f>
        <v>26842.66744907634</v>
      </c>
      <c r="EY21" s="314">
        <f>IFERROR(VLOOKUP(CONCATENATE(EY$1,"__",$A21),'Průměrné mzdy 2018'!$D$3:$J$1347,6,FALSE),0)</f>
        <v>26857.228949262786</v>
      </c>
      <c r="EZ21" s="314">
        <f>IFERROR(VLOOKUP(CONCATENATE(EZ$1,"__",$A21),'Průměrné mzdy 2018'!$D$3:$J$1347,6,FALSE),0)</f>
        <v>24125.615822280633</v>
      </c>
      <c r="FA21" s="314">
        <f>IFERROR(VLOOKUP(CONCATENATE(FA$1,"__",$A21),'Průměrné mzdy 2018'!$D$3:$J$1347,6,FALSE),0)</f>
        <v>24125.615822280633</v>
      </c>
      <c r="FB21" s="314">
        <f>IFERROR(VLOOKUP(CONCATENATE(FB$1,"__",$A21),'Průměrné mzdy 2018'!$D$3:$J$1347,6,FALSE),0)</f>
        <v>24125.615822280633</v>
      </c>
      <c r="FC21" s="314">
        <f>IFERROR(VLOOKUP(CONCATENATE(FC$1,"__",$A21),'Průměrné mzdy 2018'!$D$3:$J$1347,6,FALSE),0)</f>
        <v>24125.615822280633</v>
      </c>
      <c r="FD21" s="314">
        <f>IFERROR(VLOOKUP(CONCATENATE(FD$1,"__",$A21),'Průměrné mzdy 2018'!$D$3:$J$1347,6,FALSE),0)</f>
        <v>28231.882363638724</v>
      </c>
      <c r="FE21" s="314">
        <f>IFERROR(VLOOKUP(CONCATENATE(FE$1,"__",$A21),'Průměrné mzdy 2018'!$D$3:$J$1347,6,FALSE),0)</f>
        <v>26785.82439344962</v>
      </c>
      <c r="FF21" s="314">
        <f>IFERROR(VLOOKUP(CONCATENATE(FF$1,"__",$A21),'Průměrné mzdy 2018'!$D$3:$J$1347,6,FALSE),0)</f>
        <v>24125.615822280633</v>
      </c>
      <c r="FG21" s="314">
        <f>IFERROR(VLOOKUP(CONCATENATE(FG$1,"__",$A21),'Průměrné mzdy 2018'!$D$3:$J$1347,6,FALSE),0)</f>
        <v>26842.66744907634</v>
      </c>
      <c r="FH21" s="314">
        <f>IFERROR(VLOOKUP(CONCATENATE(FH$1,"__",$A21),'Průměrné mzdy 2018'!$D$3:$J$1347,6,FALSE),0)</f>
        <v>27919.23485565402</v>
      </c>
      <c r="FI21" s="314">
        <f>IFERROR(VLOOKUP(CONCATENATE(FI$1,"__",$A21),'Průměrné mzdy 2018'!$D$3:$J$1347,6,FALSE),0)</f>
        <v>26842.66744907634</v>
      </c>
      <c r="FJ21" s="314">
        <f>IFERROR(VLOOKUP(CONCATENATE(FJ$1,"__",$A21),'Průměrné mzdy 2018'!$D$3:$J$1347,6,FALSE),0)</f>
        <v>24125.615822280633</v>
      </c>
      <c r="FK21" s="314">
        <f>IFERROR(VLOOKUP(CONCATENATE(FK$1,"__",$A21),'Průměrné mzdy 2018'!$D$3:$J$1347,6,FALSE),0)</f>
        <v>24125.615822280633</v>
      </c>
      <c r="FL21" s="314">
        <f>IFERROR(VLOOKUP(CONCATENATE(FL$1,"__",$A21),'Průměrné mzdy 2018'!$D$3:$J$1347,6,FALSE),0)</f>
        <v>28414.477254282185</v>
      </c>
      <c r="FM21" s="314">
        <f>IFERROR(VLOOKUP(CONCATENATE(FM$1,"__",$A21),'Průměrné mzdy 2018'!$D$3:$J$1347,6,FALSE),0)</f>
        <v>24125.615822280633</v>
      </c>
      <c r="FN21" s="314">
        <f>IFERROR(VLOOKUP(CONCATENATE(FN$1,"__",$A21),'Průměrné mzdy 2018'!$D$3:$J$1347,6,FALSE),0)</f>
        <v>24125.615822280633</v>
      </c>
      <c r="FO21" s="314">
        <f>IFERROR(VLOOKUP(CONCATENATE(FO$1,"__",$A21),'Průměrné mzdy 2018'!$D$3:$J$1347,6,FALSE),0)</f>
        <v>26351.428793362589</v>
      </c>
      <c r="FP21" s="314">
        <f>IFERROR(VLOOKUP(CONCATENATE(FP$1,"__",$A21),'Průměrné mzdy 2018'!$D$3:$J$1347,6,FALSE),0)</f>
        <v>26842.66744907634</v>
      </c>
      <c r="FQ21" s="314">
        <f>IFERROR(VLOOKUP(CONCATENATE(FQ$1,"__",$A21),'Průměrné mzdy 2018'!$D$3:$J$1347,6,FALSE),0)</f>
        <v>31986.223177996788</v>
      </c>
      <c r="FR21" s="314">
        <f>IFERROR(VLOOKUP(CONCATENATE(FR$1,"__",$A21),'Průměrné mzdy 2018'!$D$3:$J$1347,6,FALSE),0)</f>
        <v>0</v>
      </c>
      <c r="FS21" s="314">
        <f>IFERROR(VLOOKUP(CONCATENATE(FS$1,"__",$A21),'Průměrné mzdy 2018'!$D$3:$J$1347,6,FALSE),0)</f>
        <v>26785.82439344962</v>
      </c>
      <c r="FT21" s="314">
        <f>IFERROR(VLOOKUP(CONCATENATE(FT$1,"__",$A21),'Průměrné mzdy 2018'!$D$3:$J$1347,6,FALSE),0)</f>
        <v>24125.615822280633</v>
      </c>
      <c r="FU21" s="314">
        <f>IFERROR(VLOOKUP(CONCATENATE(FU$1,"__",$A21),'Průměrné mzdy 2018'!$D$3:$J$1347,6,FALSE),0)</f>
        <v>28414.477254282185</v>
      </c>
      <c r="FV21" s="314">
        <f>IFERROR(VLOOKUP(CONCATENATE(FV$1,"__",$A21),'Průměrné mzdy 2018'!$D$3:$J$1347,6,FALSE),0)</f>
        <v>24125.615822280633</v>
      </c>
      <c r="FW21" s="314">
        <f>IFERROR(VLOOKUP(CONCATENATE(FW$1,"__",$A21),'Průměrné mzdy 2018'!$D$3:$J$1347,6,FALSE),0)</f>
        <v>24125.615822280633</v>
      </c>
      <c r="FX21" s="314">
        <f>IFERROR(VLOOKUP(CONCATENATE(FX$1,"__",$A21),'Průměrné mzdy 2018'!$D$3:$J$1347,6,FALSE),0)</f>
        <v>24125.615822280633</v>
      </c>
      <c r="FY21" s="314">
        <f>IFERROR(VLOOKUP(CONCATENATE(FY$1,"__",$A21),'Průměrné mzdy 2018'!$D$3:$J$1347,6,FALSE),0)</f>
        <v>24125.615822280633</v>
      </c>
      <c r="FZ21" s="314">
        <f>IFERROR(VLOOKUP(CONCATENATE(FZ$1,"__",$A21),'Průměrné mzdy 2018'!$D$3:$J$1347,6,FALSE),0)</f>
        <v>24125.615822280633</v>
      </c>
      <c r="GA21" s="314">
        <f>IFERROR(VLOOKUP(CONCATENATE(GA$1,"__",$A21),'Průměrné mzdy 2018'!$D$3:$J$1347,6,FALSE),0)</f>
        <v>27078.278526243463</v>
      </c>
      <c r="GB21" s="314">
        <f>IFERROR(VLOOKUP(CONCATENATE(GB$1,"__",$A21),'Průměrné mzdy 2018'!$D$3:$J$1347,6,FALSE),0)</f>
        <v>26842.66744907634</v>
      </c>
      <c r="GC21" s="314">
        <f>IFERROR(VLOOKUP(CONCATENATE(GC$1,"__",$A21),'Průměrné mzdy 2018'!$D$3:$J$1347,6,FALSE),0)</f>
        <v>24125.615822280633</v>
      </c>
      <c r="GD21" s="314">
        <f>IFERROR(VLOOKUP(CONCATENATE(GD$1,"__",$A21),'Průměrné mzdy 2018'!$D$3:$J$1347,6,FALSE),0)</f>
        <v>26842.66744907634</v>
      </c>
      <c r="GE21" s="314">
        <f>IFERROR(VLOOKUP(CONCATENATE(GE$1,"__",$A21),'Průměrné mzdy 2018'!$D$3:$J$1347,6,FALSE),0)</f>
        <v>28199.372889022721</v>
      </c>
      <c r="GF21" s="314">
        <f>IFERROR(VLOOKUP(CONCATENATE(GF$1,"__",$A21),'Průměrné mzdy 2018'!$D$3:$J$1347,6,FALSE),0)</f>
        <v>24125.615822280633</v>
      </c>
      <c r="GG21" s="314">
        <f>IFERROR(VLOOKUP(CONCATENATE(GG$1,"__",$A21),'Průměrné mzdy 2018'!$D$3:$J$1347,6,FALSE),0)</f>
        <v>27078.278526243463</v>
      </c>
      <c r="GH21" s="314">
        <f>IFERROR(VLOOKUP(CONCATENATE(GH$1,"__",$A21),'Průměrné mzdy 2018'!$D$3:$J$1347,6,FALSE),0)</f>
        <v>28414.477254282185</v>
      </c>
      <c r="GI21" s="314">
        <f>IFERROR(VLOOKUP(CONCATENATE(GI$1,"__",$A21),'Průměrné mzdy 2018'!$D$3:$J$1347,6,FALSE),0)</f>
        <v>26842.66744907634</v>
      </c>
      <c r="GJ21" s="314">
        <f>IFERROR(VLOOKUP(CONCATENATE(GJ$1,"__",$A21),'Průměrné mzdy 2018'!$D$3:$J$1347,6,FALSE),0)</f>
        <v>24125.615822280633</v>
      </c>
      <c r="GK21" s="314">
        <f>IFERROR(VLOOKUP(CONCATENATE(GK$1,"__",$A21),'Průměrné mzdy 2018'!$D$3:$J$1347,6,FALSE),0)</f>
        <v>27078.278526243463</v>
      </c>
      <c r="GL21" s="314">
        <f>IFERROR(VLOOKUP(CONCATENATE(GL$1,"__",$A21),'Průměrné mzdy 2018'!$D$3:$J$1347,6,FALSE),0)</f>
        <v>28414.477254282185</v>
      </c>
      <c r="GM21" s="314">
        <f>IFERROR(VLOOKUP(CONCATENATE(GM$1,"__",$A21),'Průměrné mzdy 2018'!$D$3:$J$1347,6,FALSE),0)</f>
        <v>24790.173663253689</v>
      </c>
      <c r="GN21" s="314">
        <f>IFERROR(VLOOKUP(CONCATENATE(GN$1,"__",$A21),'Průměrné mzdy 2018'!$D$3:$J$1347,6,FALSE),0)</f>
        <v>26857.228949262786</v>
      </c>
      <c r="GO21" s="314">
        <f>IFERROR(VLOOKUP(CONCATENATE(GO$1,"__",$A21),'Průměrné mzdy 2018'!$D$3:$J$1347,6,FALSE),0)</f>
        <v>26842.66744907634</v>
      </c>
      <c r="GP21" s="314">
        <f>IFERROR(VLOOKUP(CONCATENATE(GP$1,"__",$A21),'Průměrné mzdy 2018'!$D$3:$J$1347,6,FALSE),0)</f>
        <v>24125.615822280633</v>
      </c>
      <c r="GQ21" s="314">
        <f>IFERROR(VLOOKUP(CONCATENATE(GQ$1,"__",$A21),'Průměrné mzdy 2018'!$D$3:$J$1347,6,FALSE),0)</f>
        <v>24125.615822280633</v>
      </c>
      <c r="GR21" s="314">
        <f>IFERROR(VLOOKUP(CONCATENATE(GR$1,"__",$A21),'Průměrné mzdy 2018'!$D$3:$J$1347,6,FALSE),0)</f>
        <v>24125.615822280633</v>
      </c>
      <c r="GS21" s="314">
        <f>IFERROR(VLOOKUP(CONCATENATE(GS$1,"__",$A21),'Průměrné mzdy 2018'!$D$3:$J$1347,6,FALSE),0)</f>
        <v>24125.615822280633</v>
      </c>
      <c r="GT21" s="314">
        <f>IFERROR(VLOOKUP(CONCATENATE(GT$1,"__",$A21),'Průměrné mzdy 2018'!$D$3:$J$1347,6,FALSE),0)</f>
        <v>24125.615822280633</v>
      </c>
      <c r="GU21" s="314">
        <f>IFERROR(VLOOKUP(CONCATENATE(GU$1,"__",$A21),'Průměrné mzdy 2018'!$D$3:$J$1347,6,FALSE),0)</f>
        <v>26351.428793362589</v>
      </c>
      <c r="GV21" s="314">
        <f>IFERROR(VLOOKUP(CONCATENATE(GV$1,"__",$A21),'Průměrné mzdy 2018'!$D$3:$J$1347,6,FALSE),0)</f>
        <v>0</v>
      </c>
      <c r="GW21" s="314">
        <f>IFERROR(VLOOKUP(CONCATENATE(GW$1,"__",$A21),'Průměrné mzdy 2018'!$D$3:$J$1347,6,FALSE),0)</f>
        <v>24125.615822280633</v>
      </c>
      <c r="GX21" s="314">
        <f>IFERROR(VLOOKUP(CONCATENATE(GX$1,"__",$A21),'Průměrné mzdy 2018'!$D$3:$J$1347,6,FALSE),0)</f>
        <v>24125.615822280633</v>
      </c>
      <c r="GY21" s="314">
        <f>IFERROR(VLOOKUP(CONCATENATE(GY$1,"__",$A21),'Průměrné mzdy 2018'!$D$3:$J$1347,6,FALSE),0)</f>
        <v>26842.66744907634</v>
      </c>
      <c r="GZ21" s="314">
        <f>IFERROR(VLOOKUP(CONCATENATE(GZ$1,"__",$A21),'Průměrné mzdy 2018'!$D$3:$J$1347,6,FALSE),0)</f>
        <v>0</v>
      </c>
      <c r="HA21" s="314">
        <f>IFERROR(VLOOKUP(CONCATENATE(HA$1,"__",$A21),'Průměrné mzdy 2018'!$D$3:$J$1347,6,FALSE),0)</f>
        <v>24125.615822280633</v>
      </c>
      <c r="HB21" s="314">
        <f>IFERROR(VLOOKUP(CONCATENATE(HB$1,"__",$A21),'Průměrné mzdy 2018'!$D$3:$J$1347,6,FALSE),0)</f>
        <v>26351.428793362589</v>
      </c>
      <c r="HC21" s="314">
        <f>IFERROR(VLOOKUP(CONCATENATE(HC$1,"__",$A21),'Průměrné mzdy 2018'!$D$3:$J$1347,6,FALSE),0)</f>
        <v>26842.66744907634</v>
      </c>
      <c r="HD21" s="314">
        <f>IFERROR(VLOOKUP(CONCATENATE(HD$1,"__",$A21),'Průměrné mzdy 2018'!$D$3:$J$1347,6,FALSE),0)</f>
        <v>24125.615822280633</v>
      </c>
      <c r="HE21" s="314">
        <f>IFERROR(VLOOKUP(CONCATENATE(HE$1,"__",$A21),'Průměrné mzdy 2018'!$D$3:$J$1347,6,FALSE),0)</f>
        <v>26842.66744907634</v>
      </c>
      <c r="HF21" s="314">
        <f>IFERROR(VLOOKUP(CONCATENATE(HF$1,"__",$A21),'Průměrné mzdy 2018'!$D$3:$J$1347,6,FALSE),0)</f>
        <v>24125.615822280633</v>
      </c>
      <c r="HG21" s="314">
        <f>IFERROR(VLOOKUP(CONCATENATE(HG$1,"__",$A21),'Průměrné mzdy 2018'!$D$3:$J$1347,6,FALSE),0)</f>
        <v>28414.477254282185</v>
      </c>
      <c r="HH21" s="314">
        <f>IFERROR(VLOOKUP(CONCATENATE(HH$1,"__",$A21),'Průměrné mzdy 2018'!$D$3:$J$1347,6,FALSE),0)</f>
        <v>0</v>
      </c>
      <c r="HI21" s="314">
        <f>IFERROR(VLOOKUP(CONCATENATE(HI$1,"__",$A21),'Průměrné mzdy 2018'!$D$3:$J$1347,6,FALSE),0)</f>
        <v>24125.615822280633</v>
      </c>
      <c r="HJ21" s="314">
        <f>IFERROR(VLOOKUP(CONCATENATE(HJ$1,"__",$A21),'Průměrné mzdy 2018'!$D$3:$J$1347,6,FALSE),0)</f>
        <v>28199.372889022721</v>
      </c>
      <c r="HK21" s="314">
        <f>IFERROR(VLOOKUP(CONCATENATE(HK$1,"__",$A21),'Průměrné mzdy 2018'!$D$3:$J$1347,6,FALSE),0)</f>
        <v>24125.615822280633</v>
      </c>
      <c r="HL21" s="314">
        <f>IFERROR(VLOOKUP(CONCATENATE(HL$1,"__",$A21),'Průměrné mzdy 2018'!$D$3:$J$1347,6,FALSE),0)</f>
        <v>30782.909746017394</v>
      </c>
      <c r="HM21" s="314">
        <f>IFERROR(VLOOKUP(CONCATENATE(HM$1,"__",$A21),'Průměrné mzdy 2018'!$D$3:$J$1347,6,FALSE),0)</f>
        <v>31986.223177996788</v>
      </c>
      <c r="HN21" s="314">
        <f>IFERROR(VLOOKUP(CONCATENATE(HN$1,"__",$A21),'Průměrné mzdy 2018'!$D$3:$J$1347,6,FALSE),0)</f>
        <v>19294.107457143255</v>
      </c>
      <c r="HO21" s="314">
        <f>IFERROR(VLOOKUP(CONCATENATE(HO$1,"__",$A21),'Průměrné mzdy 2018'!$D$3:$J$1347,6,FALSE),0)</f>
        <v>28199.372889022721</v>
      </c>
      <c r="HP21" s="314">
        <f>IFERROR(VLOOKUP(CONCATENATE(HP$1,"__",$A21),'Průměrné mzdy 2018'!$D$3:$J$1347,6,FALSE),0)</f>
        <v>30782.909746017394</v>
      </c>
      <c r="HQ21" s="314">
        <f>IFERROR(VLOOKUP(CONCATENATE(HQ$1,"__",$A21),'Průměrné mzdy 2018'!$D$3:$J$1347,6,FALSE),0)</f>
        <v>26351.428793362589</v>
      </c>
      <c r="HR21" s="314">
        <f>IFERROR(VLOOKUP(CONCATENATE(HR$1,"__",$A21),'Průměrné mzdy 2018'!$D$3:$J$1347,6,FALSE),0)</f>
        <v>30782.909746017394</v>
      </c>
      <c r="HS21" s="314">
        <f>IFERROR(VLOOKUP(CONCATENATE(HS$1,"__",$A21),'Průměrné mzdy 2018'!$D$3:$J$1347,6,FALSE),0)</f>
        <v>31986.223177996788</v>
      </c>
      <c r="HT21" s="314">
        <f>IFERROR(VLOOKUP(CONCATENATE(HT$1,"__",$A21),'Průměrné mzdy 2018'!$D$3:$J$1347,6,FALSE),0)</f>
        <v>27919.23485565402</v>
      </c>
      <c r="HU21" s="314">
        <f>IFERROR(VLOOKUP(CONCATENATE(HU$1,"__",$A21),'Průměrné mzdy 2018'!$D$3:$J$1347,6,FALSE),0)</f>
        <v>27919.23485565402</v>
      </c>
      <c r="HV21" s="314">
        <f>IFERROR(VLOOKUP(CONCATENATE(HV$1,"__",$A21),'Průměrné mzdy 2018'!$D$3:$J$1347,6,FALSE),0)</f>
        <v>26842.66744907634</v>
      </c>
      <c r="HW21" s="314">
        <f>IFERROR(VLOOKUP(CONCATENATE(HW$1,"__",$A21),'Průměrné mzdy 2018'!$D$3:$J$1347,6,FALSE),0)</f>
        <v>26842.66744907634</v>
      </c>
      <c r="HX21" s="314">
        <f>IFERROR(VLOOKUP(CONCATENATE(HX$1,"__",$A21),'Průměrné mzdy 2018'!$D$3:$J$1347,6,FALSE),0)</f>
        <v>27919.23485565402</v>
      </c>
      <c r="HY21" s="314">
        <f>IFERROR(VLOOKUP(CONCATENATE(HY$1,"__",$A21),'Průměrné mzdy 2018'!$D$3:$J$1347,6,FALSE),0)</f>
        <v>26842.66744907634</v>
      </c>
      <c r="HZ21" s="314">
        <f>IFERROR(VLOOKUP(CONCATENATE(HZ$1,"__",$A21),'Průměrné mzdy 2018'!$D$3:$J$1347,6,FALSE),0)</f>
        <v>26842.66744907634</v>
      </c>
      <c r="IA21" s="314">
        <f>IFERROR(VLOOKUP(CONCATENATE(IA$1,"__",$A21),'Průměrné mzdy 2018'!$D$3:$J$1347,6,FALSE),0)</f>
        <v>26842.66744907634</v>
      </c>
      <c r="IB21" s="314">
        <f>IFERROR(VLOOKUP(CONCATENATE(IB$1,"__",$A21),'Průměrné mzdy 2018'!$D$3:$J$1347,6,FALSE),0)</f>
        <v>26842.66744907634</v>
      </c>
      <c r="IC21" s="314">
        <f>IFERROR(VLOOKUP(CONCATENATE(IC$1,"__",$A21),'Průměrné mzdy 2018'!$D$3:$J$1347,6,FALSE),0)</f>
        <v>26842.66744907634</v>
      </c>
      <c r="ID21" s="314">
        <f>IFERROR(VLOOKUP(CONCATENATE(ID$1,"__",$A21),'Průměrné mzdy 2018'!$D$3:$J$1347,6,FALSE),0)</f>
        <v>27919.23485565402</v>
      </c>
      <c r="IE21" s="314">
        <f>IFERROR(VLOOKUP(CONCATENATE(IE$1,"__",$A21),'Průměrné mzdy 2018'!$D$3:$J$1347,6,FALSE),0)</f>
        <v>26842.66744907634</v>
      </c>
      <c r="IF21" s="314">
        <f>IFERROR(VLOOKUP(CONCATENATE(IF$1,"__",$A21),'Průměrné mzdy 2018'!$D$3:$J$1347,6,FALSE),0)</f>
        <v>26842.66744907634</v>
      </c>
      <c r="IG21" s="314">
        <f>IFERROR(VLOOKUP(CONCATENATE(IG$1,"__",$A21),'Průměrné mzdy 2018'!$D$3:$J$1347,6,FALSE),0)</f>
        <v>0</v>
      </c>
      <c r="IH21" s="314">
        <f>IFERROR(VLOOKUP(CONCATENATE(IH$1,"__",$A21),'Průměrné mzdy 2018'!$D$3:$J$1347,6,FALSE),0)</f>
        <v>30782.909746017394</v>
      </c>
      <c r="II21" s="314">
        <f>IFERROR(VLOOKUP(CONCATENATE(II$1,"__",$A21),'Průměrné mzdy 2018'!$D$3:$J$1347,6,FALSE),0)</f>
        <v>27919.23485565402</v>
      </c>
      <c r="IJ21" s="314">
        <f>IFERROR(VLOOKUP(CONCATENATE(IJ$1,"__",$A21),'Průměrné mzdy 2018'!$D$3:$J$1347,6,FALSE),0)</f>
        <v>31986.223177996788</v>
      </c>
      <c r="IK21" s="314">
        <f>IFERROR(VLOOKUP(CONCATENATE(IK$1,"__",$A21),'Průměrné mzdy 2018'!$D$3:$J$1347,6,FALSE),0)</f>
        <v>28199.372889022721</v>
      </c>
      <c r="IL21" s="314">
        <f>IFERROR(VLOOKUP(CONCATENATE(IL$1,"__",$A21),'Průměrné mzdy 2018'!$D$3:$J$1347,6,FALSE),0)</f>
        <v>26842.66744907634</v>
      </c>
      <c r="IM21" s="314">
        <f>IFERROR(VLOOKUP(CONCATENATE(IM$1,"__",$A21),'Průměrné mzdy 2018'!$D$3:$J$1347,6,FALSE),0)</f>
        <v>27078.278526243463</v>
      </c>
      <c r="IN21" s="314">
        <f>IFERROR(VLOOKUP(CONCATENATE(IN$1,"__",$A21),'Průměrné mzdy 2018'!$D$3:$J$1347,6,FALSE),0)</f>
        <v>26842.66744907634</v>
      </c>
      <c r="IO21" s="314">
        <f>IFERROR(VLOOKUP(CONCATENATE(IO$1,"__",$A21),'Průměrné mzdy 2018'!$D$3:$J$1347,6,FALSE),0)</f>
        <v>27919.23485565402</v>
      </c>
      <c r="IP21" s="314">
        <f>IFERROR(VLOOKUP(CONCATENATE(IP$1,"__",$A21),'Průměrné mzdy 2018'!$D$3:$J$1347,6,FALSE),0)</f>
        <v>30782.909746017394</v>
      </c>
      <c r="IQ21" s="314">
        <f>IFERROR(VLOOKUP(CONCATENATE(IQ$1,"__",$A21),'Průměrné mzdy 2018'!$D$3:$J$1347,6,FALSE),0)</f>
        <v>30782.909746017394</v>
      </c>
      <c r="IR21" s="314">
        <f>IFERROR(VLOOKUP(CONCATENATE(IR$1,"__",$A21),'Průměrné mzdy 2018'!$D$3:$J$1347,6,FALSE),0)</f>
        <v>31986.223177996788</v>
      </c>
      <c r="IS21" s="314">
        <f>IFERROR(VLOOKUP(CONCATENATE(IS$1,"__",$A21),'Průměrné mzdy 2018'!$D$3:$J$1347,6,FALSE),0)</f>
        <v>26842.66744907634</v>
      </c>
      <c r="IT21" s="314">
        <f>IFERROR(VLOOKUP(CONCATENATE(IT$1,"__",$A21),'Průměrné mzdy 2018'!$D$3:$J$1347,6,FALSE),0)</f>
        <v>27919.23485565402</v>
      </c>
      <c r="IU21" s="314">
        <f>IFERROR(VLOOKUP(CONCATENATE(IU$1,"__",$A21),'Průměrné mzdy 2018'!$D$3:$J$1347,6,FALSE),0)</f>
        <v>27078.278526243463</v>
      </c>
      <c r="IV21" s="314">
        <f>IFERROR(VLOOKUP(CONCATENATE(IV$1,"__",$A21),'Průměrné mzdy 2018'!$D$3:$J$1347,6,FALSE),0)</f>
        <v>26842.66744907634</v>
      </c>
      <c r="IW21" s="314">
        <f>IFERROR(VLOOKUP(CONCATENATE(IW$1,"__",$A21),'Průměrné mzdy 2018'!$D$3:$J$1347,6,FALSE),0)</f>
        <v>27919.23485565402</v>
      </c>
      <c r="IX21" s="314">
        <f>IFERROR(VLOOKUP(CONCATENATE(IX$1,"__",$A21),'Průměrné mzdy 2018'!$D$3:$J$1347,6,FALSE),0)</f>
        <v>31986.223177996788</v>
      </c>
      <c r="IY21" s="314">
        <f>IFERROR(VLOOKUP(CONCATENATE(IY$1,"__",$A21),'Průměrné mzdy 2018'!$D$3:$J$1347,6,FALSE),0)</f>
        <v>30782.909746017394</v>
      </c>
      <c r="IZ21" s="314">
        <f>IFERROR(VLOOKUP(CONCATENATE(IZ$1,"__",$A21),'Průměrné mzdy 2018'!$D$3:$J$1347,6,FALSE),0)</f>
        <v>26842.66744907634</v>
      </c>
      <c r="JA21" s="314">
        <f>IFERROR(VLOOKUP(CONCATENATE(JA$1,"__",$A21),'Průměrné mzdy 2018'!$D$3:$J$1347,6,FALSE),0)</f>
        <v>30443.327137576063</v>
      </c>
      <c r="JB21" s="314">
        <f>IFERROR(VLOOKUP(CONCATENATE(JB$1,"__",$A21),'Průměrné mzdy 2018'!$D$3:$J$1347,6,FALSE),0)</f>
        <v>38540.08184882041</v>
      </c>
      <c r="JC21" s="314">
        <f>IFERROR(VLOOKUP(CONCATENATE(JC$1,"__",$A21),'Průměrné mzdy 2018'!$D$3:$J$1347,6,FALSE),0)</f>
        <v>24790.173663253689</v>
      </c>
      <c r="JD21" s="314">
        <f>IFERROR(VLOOKUP(CONCATENATE(JD$1,"__",$A21),'Průměrné mzdy 2018'!$D$3:$J$1347,6,FALSE),0)</f>
        <v>28199.372889022721</v>
      </c>
      <c r="JE21" s="314">
        <f>IFERROR(VLOOKUP(CONCATENATE(JE$1,"__",$A21),'Průměrné mzdy 2018'!$D$3:$J$1347,6,FALSE),0)</f>
        <v>27078.278526243463</v>
      </c>
      <c r="JF21" s="314">
        <f>IFERROR(VLOOKUP(CONCATENATE(JF$1,"__",$A21),'Průměrné mzdy 2018'!$D$3:$J$1347,6,FALSE),0)</f>
        <v>30782.909746017394</v>
      </c>
      <c r="JG21" s="314">
        <f>IFERROR(VLOOKUP(CONCATENATE(JG$1,"__",$A21),'Průměrné mzdy 2018'!$D$3:$J$1347,6,FALSE),0)</f>
        <v>30782.909746017394</v>
      </c>
      <c r="JH21" s="314">
        <f>IFERROR(VLOOKUP(CONCATENATE(JH$1,"__",$A21),'Průměrné mzdy 2018'!$D$3:$J$1347,6,FALSE),0)</f>
        <v>19780.551736929385</v>
      </c>
    </row>
    <row r="22" spans="1:276" x14ac:dyDescent="0.25">
      <c r="A22" s="313" t="s">
        <v>2444</v>
      </c>
      <c r="B22" s="313" t="s">
        <v>2461</v>
      </c>
      <c r="C22" s="314">
        <f>IFERROR(VLOOKUP(CONCATENATE(C$1,"__",$A22),'Průměrné mzdy 2018'!$D$3:$J$1347,7,FALSE),0)</f>
        <v>25494.782664826929</v>
      </c>
      <c r="D22" s="314">
        <f>IFERROR(VLOOKUP(CONCATENATE(D$1,"__",$A22),'Průměrné mzdy 2018'!$D$3:$J$1347,7,FALSE),0)</f>
        <v>25494.782664826929</v>
      </c>
      <c r="E22" s="314">
        <f>IFERROR(VLOOKUP(CONCATENATE(E$1,"__",$A22),'Průměrné mzdy 2018'!$D$3:$J$1347,7,FALSE),0)</f>
        <v>25494.782664826929</v>
      </c>
      <c r="F22" s="314">
        <f>IFERROR(VLOOKUP(CONCATENATE(F$1,"__",$A22),'Průměrné mzdy 2018'!$D$3:$J$1347,7,FALSE),0)</f>
        <v>23004.176189640086</v>
      </c>
      <c r="G22" s="314">
        <f>IFERROR(VLOOKUP(CONCATENATE(G$1,"__",$A22),'Průměrné mzdy 2018'!$D$3:$J$1347,7,FALSE),0)</f>
        <v>26362.049149868351</v>
      </c>
      <c r="H22" s="314">
        <f>IFERROR(VLOOKUP(CONCATENATE(H$1,"__",$A22),'Průměrné mzdy 2018'!$D$3:$J$1347,7,FALSE),0)</f>
        <v>0</v>
      </c>
      <c r="I22" s="314">
        <f>IFERROR(VLOOKUP(CONCATENATE(I$1,"__",$A22),'Průměrné mzdy 2018'!$D$3:$J$1347,7,FALSE),0)</f>
        <v>26837.070867899798</v>
      </c>
      <c r="J22" s="314">
        <f>IFERROR(VLOOKUP(CONCATENATE(J$1,"__",$A22),'Průměrné mzdy 2018'!$D$3:$J$1347,7,FALSE),0)</f>
        <v>26837.070867899798</v>
      </c>
      <c r="K22" s="314">
        <f>IFERROR(VLOOKUP(CONCATENATE(K$1,"__",$A22),'Průměrné mzdy 2018'!$D$3:$J$1347,7,FALSE),0)</f>
        <v>26681.862427889606</v>
      </c>
      <c r="L22" s="314">
        <f>IFERROR(VLOOKUP(CONCATENATE(L$1,"__",$A22),'Průměrné mzdy 2018'!$D$3:$J$1347,7,FALSE),0)</f>
        <v>0</v>
      </c>
      <c r="M22" s="314">
        <f>IFERROR(VLOOKUP(CONCATENATE(M$1,"__",$A22),'Průměrné mzdy 2018'!$D$3:$J$1347,7,FALSE),0)</f>
        <v>23004.176189640086</v>
      </c>
      <c r="N22" s="314">
        <f>IFERROR(VLOOKUP(CONCATENATE(N$1,"__",$A22),'Průměrné mzdy 2018'!$D$3:$J$1347,7,FALSE),0)</f>
        <v>24846.947441386379</v>
      </c>
      <c r="O22" s="314">
        <f>IFERROR(VLOOKUP(CONCATENATE(O$1,"__",$A22),'Průměrné mzdy 2018'!$D$3:$J$1347,7,FALSE),0)</f>
        <v>31127.953171467958</v>
      </c>
      <c r="P22" s="314">
        <f>IFERROR(VLOOKUP(CONCATENATE(P$1,"__",$A22),'Průměrné mzdy 2018'!$D$3:$J$1347,7,FALSE),0)</f>
        <v>25112.661826156243</v>
      </c>
      <c r="Q22" s="314">
        <f>IFERROR(VLOOKUP(CONCATENATE(Q$1,"__",$A22),'Průměrné mzdy 2018'!$D$3:$J$1347,7,FALSE),0)</f>
        <v>31127.953171467958</v>
      </c>
      <c r="R22" s="314">
        <f>IFERROR(VLOOKUP(CONCATENATE(R$1,"__",$A22),'Průměrné mzdy 2018'!$D$3:$J$1347,7,FALSE),0)</f>
        <v>31127.953171467958</v>
      </c>
      <c r="S22" s="314">
        <f>IFERROR(VLOOKUP(CONCATENATE(S$1,"__",$A22),'Průměrné mzdy 2018'!$D$3:$J$1347,7,FALSE),0)</f>
        <v>31127.953171467958</v>
      </c>
      <c r="T22" s="314">
        <f>IFERROR(VLOOKUP(CONCATENATE(T$1,"__",$A22),'Průměrné mzdy 2018'!$D$3:$J$1347,7,FALSE),0)</f>
        <v>31127.953171467958</v>
      </c>
      <c r="U22" s="314">
        <f>IFERROR(VLOOKUP(CONCATENATE(U$1,"__",$A22),'Průměrné mzdy 2018'!$D$3:$J$1347,7,FALSE),0)</f>
        <v>31127.953171467958</v>
      </c>
      <c r="V22" s="314">
        <f>IFERROR(VLOOKUP(CONCATENATE(V$1,"__",$A22),'Průměrné mzdy 2018'!$D$3:$J$1347,7,FALSE),0)</f>
        <v>24448.908771949045</v>
      </c>
      <c r="W22" s="314">
        <f>IFERROR(VLOOKUP(CONCATENATE(W$1,"__",$A22),'Průměrné mzdy 2018'!$D$3:$J$1347,7,FALSE),0)</f>
        <v>26362.049149868351</v>
      </c>
      <c r="X22" s="314">
        <f>IFERROR(VLOOKUP(CONCATENATE(X$1,"__",$A22),'Průměrné mzdy 2018'!$D$3:$J$1347,7,FALSE),0)</f>
        <v>26362.049149868351</v>
      </c>
      <c r="Y22" s="314">
        <f>IFERROR(VLOOKUP(CONCATENATE(Y$1,"__",$A22),'Průměrné mzdy 2018'!$D$3:$J$1347,7,FALSE),0)</f>
        <v>26102.573409149816</v>
      </c>
      <c r="Z22" s="314">
        <f>IFERROR(VLOOKUP(CONCATENATE(Z$1,"__",$A22),'Průměrné mzdy 2018'!$D$3:$J$1347,7,FALSE),0)</f>
        <v>26849.811948652292</v>
      </c>
      <c r="AA22" s="314">
        <f>IFERROR(VLOOKUP(CONCATENATE(AA$1,"__",$A22),'Průměrné mzdy 2018'!$D$3:$J$1347,7,FALSE),0)</f>
        <v>26364.572073040395</v>
      </c>
      <c r="AB22" s="314">
        <f>IFERROR(VLOOKUP(CONCATENATE(AB$1,"__",$A22),'Průměrné mzdy 2018'!$D$3:$J$1347,7,FALSE),0)</f>
        <v>23004.176189640086</v>
      </c>
      <c r="AC22" s="314">
        <f>IFERROR(VLOOKUP(CONCATENATE(AC$1,"__",$A22),'Průměrné mzdy 2018'!$D$3:$J$1347,7,FALSE),0)</f>
        <v>24846.947441386379</v>
      </c>
      <c r="AD22" s="314">
        <f>IFERROR(VLOOKUP(CONCATENATE(AD$1,"__",$A22),'Průměrné mzdy 2018'!$D$3:$J$1347,7,FALSE),0)</f>
        <v>31439.673906348191</v>
      </c>
      <c r="AE22" s="314">
        <f>IFERROR(VLOOKUP(CONCATENATE(AE$1,"__",$A22),'Průměrné mzdy 2018'!$D$3:$J$1347,7,FALSE),0)</f>
        <v>26364.572073040395</v>
      </c>
      <c r="AF22" s="314">
        <f>IFERROR(VLOOKUP(CONCATENATE(AF$1,"__",$A22),'Průměrné mzdy 2018'!$D$3:$J$1347,7,FALSE),0)</f>
        <v>26837.070867899798</v>
      </c>
      <c r="AG22" s="314">
        <f>IFERROR(VLOOKUP(CONCATENATE(AG$1,"__",$A22),'Průměrné mzdy 2018'!$D$3:$J$1347,7,FALSE),0)</f>
        <v>24448.908771949045</v>
      </c>
      <c r="AH22" s="314">
        <f>IFERROR(VLOOKUP(CONCATENATE(AH$1,"__",$A22),'Průměrné mzdy 2018'!$D$3:$J$1347,7,FALSE),0)</f>
        <v>26362.049149868351</v>
      </c>
      <c r="AI22" s="314">
        <f>IFERROR(VLOOKUP(CONCATENATE(AI$1,"__",$A22),'Průměrné mzdy 2018'!$D$3:$J$1347,7,FALSE),0)</f>
        <v>25494.782664826929</v>
      </c>
      <c r="AJ22" s="314">
        <f>IFERROR(VLOOKUP(CONCATENATE(AJ$1,"__",$A22),'Průměrné mzdy 2018'!$D$3:$J$1347,7,FALSE),0)</f>
        <v>24602.206032430611</v>
      </c>
      <c r="AK22" s="314">
        <f>IFERROR(VLOOKUP(CONCATENATE(AK$1,"__",$A22),'Průměrné mzdy 2018'!$D$3:$J$1347,7,FALSE),0)</f>
        <v>31127.953171467958</v>
      </c>
      <c r="AL22" s="314">
        <f>IFERROR(VLOOKUP(CONCATENATE(AL$1,"__",$A22),'Průměrné mzdy 2018'!$D$3:$J$1347,7,FALSE),0)</f>
        <v>26364.572073040395</v>
      </c>
      <c r="AM22" s="314">
        <f>IFERROR(VLOOKUP(CONCATENATE(AM$1,"__",$A22),'Průměrné mzdy 2018'!$D$3:$J$1347,7,FALSE),0)</f>
        <v>31127.953171467958</v>
      </c>
      <c r="AN22" s="314">
        <f>IFERROR(VLOOKUP(CONCATENATE(AN$1,"__",$A22),'Průměrné mzdy 2018'!$D$3:$J$1347,7,FALSE),0)</f>
        <v>31127.953171467958</v>
      </c>
      <c r="AO22" s="314">
        <f>IFERROR(VLOOKUP(CONCATENATE(AO$1,"__",$A22),'Průměrné mzdy 2018'!$D$3:$J$1347,7,FALSE),0)</f>
        <v>26102.573409149816</v>
      </c>
      <c r="AP22" s="314">
        <f>IFERROR(VLOOKUP(CONCATENATE(AP$1,"__",$A22),'Průměrné mzdy 2018'!$D$3:$J$1347,7,FALSE),0)</f>
        <v>23004.176189640086</v>
      </c>
      <c r="AQ22" s="314">
        <f>IFERROR(VLOOKUP(CONCATENATE(AQ$1,"__",$A22),'Průměrné mzdy 2018'!$D$3:$J$1347,7,FALSE),0)</f>
        <v>31127.953171467958</v>
      </c>
      <c r="AR22" s="314">
        <f>IFERROR(VLOOKUP(CONCATENATE(AR$1,"__",$A22),'Průměrné mzdy 2018'!$D$3:$J$1347,7,FALSE),0)</f>
        <v>31127.953171467958</v>
      </c>
      <c r="AS22" s="314">
        <f>IFERROR(VLOOKUP(CONCATENATE(AS$1,"__",$A22),'Průměrné mzdy 2018'!$D$3:$J$1347,7,FALSE),0)</f>
        <v>31127.953171467958</v>
      </c>
      <c r="AT22" s="314">
        <f>IFERROR(VLOOKUP(CONCATENATE(AT$1,"__",$A22),'Průměrné mzdy 2018'!$D$3:$J$1347,7,FALSE),0)</f>
        <v>23004.176189640086</v>
      </c>
      <c r="AU22" s="314">
        <f>IFERROR(VLOOKUP(CONCATENATE(AU$1,"__",$A22),'Průměrné mzdy 2018'!$D$3:$J$1347,7,FALSE),0)</f>
        <v>25287.261406181333</v>
      </c>
      <c r="AV22" s="314">
        <f>IFERROR(VLOOKUP(CONCATENATE(AV$1,"__",$A22),'Průměrné mzdy 2018'!$D$3:$J$1347,7,FALSE),0)</f>
        <v>26364.572073040395</v>
      </c>
      <c r="AW22" s="314">
        <f>IFERROR(VLOOKUP(CONCATENATE(AW$1,"__",$A22),'Průměrné mzdy 2018'!$D$3:$J$1347,7,FALSE),0)</f>
        <v>25293.255114356805</v>
      </c>
      <c r="AX22" s="314">
        <f>IFERROR(VLOOKUP(CONCATENATE(AX$1,"__",$A22),'Průměrné mzdy 2018'!$D$3:$J$1347,7,FALSE),0)</f>
        <v>26102.573409149816</v>
      </c>
      <c r="AY22" s="314">
        <f>IFERROR(VLOOKUP(CONCATENATE(AY$1,"__",$A22),'Průměrné mzdy 2018'!$D$3:$J$1347,7,FALSE),0)</f>
        <v>26362.049149868351</v>
      </c>
      <c r="AZ22" s="314">
        <f>IFERROR(VLOOKUP(CONCATENATE(AZ$1,"__",$A22),'Průměrné mzdy 2018'!$D$3:$J$1347,7,FALSE),0)</f>
        <v>28419.032814348084</v>
      </c>
      <c r="BA22" s="314">
        <f>IFERROR(VLOOKUP(CONCATENATE(BA$1,"__",$A22),'Průměrné mzdy 2018'!$D$3:$J$1347,7,FALSE),0)</f>
        <v>0</v>
      </c>
      <c r="BB22" s="314">
        <f>IFERROR(VLOOKUP(CONCATENATE(BB$1,"__",$A22),'Průměrné mzdy 2018'!$D$3:$J$1347,7,FALSE),0)</f>
        <v>31127.953171467958</v>
      </c>
      <c r="BC22" s="314">
        <f>IFERROR(VLOOKUP(CONCATENATE(BC$1,"__",$A22),'Průměrné mzdy 2018'!$D$3:$J$1347,7,FALSE),0)</f>
        <v>32243.952958531994</v>
      </c>
      <c r="BD22" s="314">
        <f>IFERROR(VLOOKUP(CONCATENATE(BD$1,"__",$A22),'Průměrné mzdy 2018'!$D$3:$J$1347,7,FALSE),0)</f>
        <v>31127.953171467958</v>
      </c>
      <c r="BE22" s="314">
        <f>IFERROR(VLOOKUP(CONCATENATE(BE$1,"__",$A22),'Průměrné mzdy 2018'!$D$3:$J$1347,7,FALSE),0)</f>
        <v>26837.070867899798</v>
      </c>
      <c r="BF22" s="314">
        <f>IFERROR(VLOOKUP(CONCATENATE(BF$1,"__",$A22),'Průměrné mzdy 2018'!$D$3:$J$1347,7,FALSE),0)</f>
        <v>0</v>
      </c>
      <c r="BG22" s="314">
        <f>IFERROR(VLOOKUP(CONCATENATE(BG$1,"__",$A22),'Průměrné mzdy 2018'!$D$3:$J$1347,7,FALSE),0)</f>
        <v>0</v>
      </c>
      <c r="BH22" s="314">
        <f>IFERROR(VLOOKUP(CONCATENATE(BH$1,"__",$A22),'Průměrné mzdy 2018'!$D$3:$J$1347,7,FALSE),0)</f>
        <v>0</v>
      </c>
      <c r="BI22" s="314">
        <f>IFERROR(VLOOKUP(CONCATENATE(BI$1,"__",$A22),'Průměrné mzdy 2018'!$D$3:$J$1347,7,FALSE),0)</f>
        <v>24181.169027937369</v>
      </c>
      <c r="BJ22" s="314">
        <f>IFERROR(VLOOKUP(CONCATENATE(BJ$1,"__",$A22),'Průměrné mzdy 2018'!$D$3:$J$1347,7,FALSE),0)</f>
        <v>24448.908771949045</v>
      </c>
      <c r="BK22" s="314">
        <f>IFERROR(VLOOKUP(CONCATENATE(BK$1,"__",$A22),'Průměrné mzdy 2018'!$D$3:$J$1347,7,FALSE),0)</f>
        <v>26837.070867899798</v>
      </c>
      <c r="BL22" s="314">
        <f>IFERROR(VLOOKUP(CONCATENATE(BL$1,"__",$A22),'Průměrné mzdy 2018'!$D$3:$J$1347,7,FALSE),0)</f>
        <v>0</v>
      </c>
      <c r="BM22" s="314">
        <f>IFERROR(VLOOKUP(CONCATENATE(BM$1,"__",$A22),'Průměrné mzdy 2018'!$D$3:$J$1347,7,FALSE),0)</f>
        <v>26837.070867899798</v>
      </c>
      <c r="BN22" s="314">
        <f>IFERROR(VLOOKUP(CONCATENATE(BN$1,"__",$A22),'Průměrné mzdy 2018'!$D$3:$J$1347,7,FALSE),0)</f>
        <v>31127.953171467958</v>
      </c>
      <c r="BO22" s="314">
        <f>IFERROR(VLOOKUP(CONCATENATE(BO$1,"__",$A22),'Průměrné mzdy 2018'!$D$3:$J$1347,7,FALSE),0)</f>
        <v>32219.561369205225</v>
      </c>
      <c r="BP22" s="314">
        <f>IFERROR(VLOOKUP(CONCATENATE(BP$1,"__",$A22),'Průměrné mzdy 2018'!$D$3:$J$1347,7,FALSE),0)</f>
        <v>26362.049149868351</v>
      </c>
      <c r="BQ22" s="314">
        <f>IFERROR(VLOOKUP(CONCATENATE(BQ$1,"__",$A22),'Průměrné mzdy 2018'!$D$3:$J$1347,7,FALSE),0)</f>
        <v>26837.070867899798</v>
      </c>
      <c r="BR22" s="314">
        <f>IFERROR(VLOOKUP(CONCATENATE(BR$1,"__",$A22),'Průměrné mzdy 2018'!$D$3:$J$1347,7,FALSE),0)</f>
        <v>31127.953171467958</v>
      </c>
      <c r="BS22" s="314">
        <f>IFERROR(VLOOKUP(CONCATENATE(BS$1,"__",$A22),'Průměrné mzdy 2018'!$D$3:$J$1347,7,FALSE),0)</f>
        <v>31127.953171467958</v>
      </c>
      <c r="BT22" s="314">
        <f>IFERROR(VLOOKUP(CONCATENATE(BT$1,"__",$A22),'Průměrné mzdy 2018'!$D$3:$J$1347,7,FALSE),0)</f>
        <v>31127.953171467958</v>
      </c>
      <c r="BU22" s="314">
        <f>IFERROR(VLOOKUP(CONCATENATE(BU$1,"__",$A22),'Průměrné mzdy 2018'!$D$3:$J$1347,7,FALSE),0)</f>
        <v>24448.908771949045</v>
      </c>
      <c r="BV22" s="314">
        <f>IFERROR(VLOOKUP(CONCATENATE(BV$1,"__",$A22),'Průměrné mzdy 2018'!$D$3:$J$1347,7,FALSE),0)</f>
        <v>26102.573409149816</v>
      </c>
      <c r="BW22" s="314">
        <f>IFERROR(VLOOKUP(CONCATENATE(BW$1,"__",$A22),'Průměrné mzdy 2018'!$D$3:$J$1347,7,FALSE),0)</f>
        <v>31127.953171467958</v>
      </c>
      <c r="BX22" s="314">
        <f>IFERROR(VLOOKUP(CONCATENATE(BX$1,"__",$A22),'Průměrné mzdy 2018'!$D$3:$J$1347,7,FALSE),0)</f>
        <v>24448.908771949045</v>
      </c>
      <c r="BY22" s="314">
        <f>IFERROR(VLOOKUP(CONCATENATE(BY$1,"__",$A22),'Průměrné mzdy 2018'!$D$3:$J$1347,7,FALSE),0)</f>
        <v>24448.908771949045</v>
      </c>
      <c r="BZ22" s="314">
        <f>IFERROR(VLOOKUP(CONCATENATE(BZ$1,"__",$A22),'Průměrné mzdy 2018'!$D$3:$J$1347,7,FALSE),0)</f>
        <v>24208.019142085453</v>
      </c>
      <c r="CA22" s="314">
        <f>IFERROR(VLOOKUP(CONCATENATE(CA$1,"__",$A22),'Průměrné mzdy 2018'!$D$3:$J$1347,7,FALSE),0)</f>
        <v>0</v>
      </c>
      <c r="CB22" s="314">
        <f>IFERROR(VLOOKUP(CONCATENATE(CB$1,"__",$A22),'Průměrné mzdy 2018'!$D$3:$J$1347,7,FALSE),0)</f>
        <v>28276.910051176939</v>
      </c>
      <c r="CC22" s="314">
        <f>IFERROR(VLOOKUP(CONCATENATE(CC$1,"__",$A22),'Průměrné mzdy 2018'!$D$3:$J$1347,7,FALSE),0)</f>
        <v>31127.953171467958</v>
      </c>
      <c r="CD22" s="314">
        <f>IFERROR(VLOOKUP(CONCATENATE(CD$1,"__",$A22),'Průměrné mzdy 2018'!$D$3:$J$1347,7,FALSE),0)</f>
        <v>31127.953171467958</v>
      </c>
      <c r="CE22" s="314">
        <f>IFERROR(VLOOKUP(CONCATENATE(CE$1,"__",$A22),'Průměrné mzdy 2018'!$D$3:$J$1347,7,FALSE),0)</f>
        <v>24448.908771949045</v>
      </c>
      <c r="CF22" s="314">
        <f>IFERROR(VLOOKUP(CONCATENATE(CF$1,"__",$A22),'Průměrné mzdy 2018'!$D$3:$J$1347,7,FALSE),0)</f>
        <v>31439.673906348191</v>
      </c>
      <c r="CG22" s="314">
        <f>IFERROR(VLOOKUP(CONCATENATE(CG$1,"__",$A22),'Průměrné mzdy 2018'!$D$3:$J$1347,7,FALSE),0)</f>
        <v>27736.496615082382</v>
      </c>
      <c r="CH22" s="314">
        <f>IFERROR(VLOOKUP(CONCATENATE(CH$1,"__",$A22),'Průměrné mzdy 2018'!$D$3:$J$1347,7,FALSE),0)</f>
        <v>27736.496615082382</v>
      </c>
      <c r="CI22" s="314">
        <f>IFERROR(VLOOKUP(CONCATENATE(CI$1,"__",$A22),'Průměrné mzdy 2018'!$D$3:$J$1347,7,FALSE),0)</f>
        <v>34616.353338856919</v>
      </c>
      <c r="CJ22" s="314">
        <f>IFERROR(VLOOKUP(CONCATENATE(CJ$1,"__",$A22),'Průměrné mzdy 2018'!$D$3:$J$1347,7,FALSE),0)</f>
        <v>28113.406621530874</v>
      </c>
      <c r="CK22" s="314">
        <f>IFERROR(VLOOKUP(CONCATENATE(CK$1,"__",$A22),'Průměrné mzdy 2018'!$D$3:$J$1347,7,FALSE),0)</f>
        <v>29279.931534256906</v>
      </c>
      <c r="CL22" s="314">
        <f>IFERROR(VLOOKUP(CONCATENATE(CL$1,"__",$A22),'Průměrné mzdy 2018'!$D$3:$J$1347,7,FALSE),0)</f>
        <v>26837.070867899798</v>
      </c>
      <c r="CM22" s="314">
        <f>IFERROR(VLOOKUP(CONCATENATE(CM$1,"__",$A22),'Průměrné mzdy 2018'!$D$3:$J$1347,7,FALSE),0)</f>
        <v>24448.908771949045</v>
      </c>
      <c r="CN22" s="314">
        <f>IFERROR(VLOOKUP(CONCATENATE(CN$1,"__",$A22),'Průměrné mzdy 2018'!$D$3:$J$1347,7,FALSE),0)</f>
        <v>25287.261406181333</v>
      </c>
      <c r="CO22" s="314">
        <f>IFERROR(VLOOKUP(CONCATENATE(CO$1,"__",$A22),'Průměrné mzdy 2018'!$D$3:$J$1347,7,FALSE),0)</f>
        <v>25287.261406181333</v>
      </c>
      <c r="CP22" s="314">
        <f>IFERROR(VLOOKUP(CONCATENATE(CP$1,"__",$A22),'Průměrné mzdy 2018'!$D$3:$J$1347,7,FALSE),0)</f>
        <v>25287.261406181333</v>
      </c>
      <c r="CQ22" s="314">
        <f>IFERROR(VLOOKUP(CONCATENATE(CQ$1,"__",$A22),'Průměrné mzdy 2018'!$D$3:$J$1347,7,FALSE),0)</f>
        <v>26364.572073040395</v>
      </c>
      <c r="CR22" s="314">
        <f>IFERROR(VLOOKUP(CONCATENATE(CR$1,"__",$A22),'Průměrné mzdy 2018'!$D$3:$J$1347,7,FALSE),0)</f>
        <v>24448.908771949045</v>
      </c>
      <c r="CS22" s="314">
        <f>IFERROR(VLOOKUP(CONCATENATE(CS$1,"__",$A22),'Průměrné mzdy 2018'!$D$3:$J$1347,7,FALSE),0)</f>
        <v>0</v>
      </c>
      <c r="CT22" s="314">
        <f>IFERROR(VLOOKUP(CONCATENATE(CT$1,"__",$A22),'Průměrné mzdy 2018'!$D$3:$J$1347,7,FALSE),0)</f>
        <v>27736.496615082382</v>
      </c>
      <c r="CU22" s="314">
        <f>IFERROR(VLOOKUP(CONCATENATE(CU$1,"__",$A22),'Průměrné mzdy 2018'!$D$3:$J$1347,7,FALSE),0)</f>
        <v>24448.908771949045</v>
      </c>
      <c r="CV22" s="314">
        <f>IFERROR(VLOOKUP(CONCATENATE(CV$1,"__",$A22),'Průměrné mzdy 2018'!$D$3:$J$1347,7,FALSE),0)</f>
        <v>25494.782664826929</v>
      </c>
      <c r="CW22" s="314">
        <f>IFERROR(VLOOKUP(CONCATENATE(CW$1,"__",$A22),'Průměrné mzdy 2018'!$D$3:$J$1347,7,FALSE),0)</f>
        <v>0</v>
      </c>
      <c r="CX22" s="314">
        <f>IFERROR(VLOOKUP(CONCATENATE(CX$1,"__",$A22),'Průměrné mzdy 2018'!$D$3:$J$1347,7,FALSE),0)</f>
        <v>23004.176189640086</v>
      </c>
      <c r="CY22" s="314">
        <f>IFERROR(VLOOKUP(CONCATENATE(CY$1,"__",$A22),'Průměrné mzdy 2018'!$D$3:$J$1347,7,FALSE),0)</f>
        <v>24448.908771949045</v>
      </c>
      <c r="CZ22" s="314">
        <f>IFERROR(VLOOKUP(CONCATENATE(CZ$1,"__",$A22),'Průměrné mzdy 2018'!$D$3:$J$1347,7,FALSE),0)</f>
        <v>26364.572073040395</v>
      </c>
      <c r="DA22" s="314">
        <f>IFERROR(VLOOKUP(CONCATENATE(DA$1,"__",$A22),'Průměrné mzdy 2018'!$D$3:$J$1347,7,FALSE),0)</f>
        <v>0</v>
      </c>
      <c r="DB22" s="314">
        <f>IFERROR(VLOOKUP(CONCATENATE(DB$1,"__",$A22),'Průměrné mzdy 2018'!$D$3:$J$1347,7,FALSE),0)</f>
        <v>31127.953171467958</v>
      </c>
      <c r="DC22" s="314">
        <f>IFERROR(VLOOKUP(CONCATENATE(DC$1,"__",$A22),'Průměrné mzdy 2018'!$D$3:$J$1347,7,FALSE),0)</f>
        <v>25287.261406181333</v>
      </c>
      <c r="DD22" s="314">
        <f>IFERROR(VLOOKUP(CONCATENATE(DD$1,"__",$A22),'Průměrné mzdy 2018'!$D$3:$J$1347,7,FALSE),0)</f>
        <v>0</v>
      </c>
      <c r="DE22" s="314">
        <f>IFERROR(VLOOKUP(CONCATENATE(DE$1,"__",$A22),'Průměrné mzdy 2018'!$D$3:$J$1347,7,FALSE),0)</f>
        <v>0</v>
      </c>
      <c r="DF22" s="314">
        <f>IFERROR(VLOOKUP(CONCATENATE(DF$1,"__",$A22),'Průměrné mzdy 2018'!$D$3:$J$1347,7,FALSE),0)</f>
        <v>0</v>
      </c>
      <c r="DG22" s="314">
        <f>IFERROR(VLOOKUP(CONCATENATE(DG$1,"__",$A22),'Průměrné mzdy 2018'!$D$3:$J$1347,7,FALSE),0)</f>
        <v>0</v>
      </c>
      <c r="DH22" s="314">
        <f>IFERROR(VLOOKUP(CONCATENATE(DH$1,"__",$A22),'Průměrné mzdy 2018'!$D$3:$J$1347,7,FALSE),0)</f>
        <v>24581.975096862661</v>
      </c>
      <c r="DI22" s="314">
        <f>IFERROR(VLOOKUP(CONCATENATE(DI$1,"__",$A22),'Průměrné mzdy 2018'!$D$3:$J$1347,7,FALSE),0)</f>
        <v>25293.255114356805</v>
      </c>
      <c r="DJ22" s="314">
        <f>IFERROR(VLOOKUP(CONCATENATE(DJ$1,"__",$A22),'Průměrné mzdy 2018'!$D$3:$J$1347,7,FALSE),0)</f>
        <v>26837.070867899798</v>
      </c>
      <c r="DK22" s="314">
        <f>IFERROR(VLOOKUP(CONCATENATE(DK$1,"__",$A22),'Průměrné mzdy 2018'!$D$3:$J$1347,7,FALSE),0)</f>
        <v>26837.070867899798</v>
      </c>
      <c r="DL22" s="314">
        <f>IFERROR(VLOOKUP(CONCATENATE(DL$1,"__",$A22),'Průměrné mzdy 2018'!$D$3:$J$1347,7,FALSE),0)</f>
        <v>24448.908771949045</v>
      </c>
      <c r="DM22" s="314">
        <f>IFERROR(VLOOKUP(CONCATENATE(DM$1,"__",$A22),'Průměrné mzdy 2018'!$D$3:$J$1347,7,FALSE),0)</f>
        <v>23004.176189640086</v>
      </c>
      <c r="DN22" s="314">
        <f>IFERROR(VLOOKUP(CONCATENATE(DN$1,"__",$A22),'Průměrné mzdy 2018'!$D$3:$J$1347,7,FALSE),0)</f>
        <v>25287.261406181333</v>
      </c>
      <c r="DO22" s="314">
        <f>IFERROR(VLOOKUP(CONCATENATE(DO$1,"__",$A22),'Průměrné mzdy 2018'!$D$3:$J$1347,7,FALSE),0)</f>
        <v>0</v>
      </c>
      <c r="DP22" s="314">
        <f>IFERROR(VLOOKUP(CONCATENATE(DP$1,"__",$A22),'Průměrné mzdy 2018'!$D$3:$J$1347,7,FALSE),0)</f>
        <v>25287.261406181333</v>
      </c>
      <c r="DQ22" s="314">
        <f>IFERROR(VLOOKUP(CONCATENATE(DQ$1,"__",$A22),'Průměrné mzdy 2018'!$D$3:$J$1347,7,FALSE),0)</f>
        <v>26364.572073040395</v>
      </c>
      <c r="DR22" s="314">
        <f>IFERROR(VLOOKUP(CONCATENATE(DR$1,"__",$A22),'Průměrné mzdy 2018'!$D$3:$J$1347,7,FALSE),0)</f>
        <v>26364.572073040395</v>
      </c>
      <c r="DS22" s="314">
        <f>IFERROR(VLOOKUP(CONCATENATE(DS$1,"__",$A22),'Průměrné mzdy 2018'!$D$3:$J$1347,7,FALSE),0)</f>
        <v>0</v>
      </c>
      <c r="DT22" s="314">
        <f>IFERROR(VLOOKUP(CONCATENATE(DT$1,"__",$A22),'Průměrné mzdy 2018'!$D$3:$J$1347,7,FALSE),0)</f>
        <v>28276.910051176939</v>
      </c>
      <c r="DU22" s="314">
        <f>IFERROR(VLOOKUP(CONCATENATE(DU$1,"__",$A22),'Průměrné mzdy 2018'!$D$3:$J$1347,7,FALSE),0)</f>
        <v>24581.975096862661</v>
      </c>
      <c r="DV22" s="314">
        <f>IFERROR(VLOOKUP(CONCATENATE(DV$1,"__",$A22),'Průměrné mzdy 2018'!$D$3:$J$1347,7,FALSE),0)</f>
        <v>28276.910051176939</v>
      </c>
      <c r="DW22" s="314">
        <f>IFERROR(VLOOKUP(CONCATENATE(DW$1,"__",$A22),'Průměrné mzdy 2018'!$D$3:$J$1347,7,FALSE),0)</f>
        <v>25293.255114356805</v>
      </c>
      <c r="DX22" s="314">
        <f>IFERROR(VLOOKUP(CONCATENATE(DX$1,"__",$A22),'Průměrné mzdy 2018'!$D$3:$J$1347,7,FALSE),0)</f>
        <v>26837.070867899798</v>
      </c>
      <c r="DY22" s="314">
        <f>IFERROR(VLOOKUP(CONCATENATE(DY$1,"__",$A22),'Průměrné mzdy 2018'!$D$3:$J$1347,7,FALSE),0)</f>
        <v>0</v>
      </c>
      <c r="DZ22" s="314">
        <f>IFERROR(VLOOKUP(CONCATENATE(DZ$1,"__",$A22),'Průměrné mzdy 2018'!$D$3:$J$1347,7,FALSE),0)</f>
        <v>0</v>
      </c>
      <c r="EA22" s="314">
        <f>IFERROR(VLOOKUP(CONCATENATE(EA$1,"__",$A22),'Průměrné mzdy 2018'!$D$3:$J$1347,7,FALSE),0)</f>
        <v>23004.176189640086</v>
      </c>
      <c r="EB22" s="314">
        <f>IFERROR(VLOOKUP(CONCATENATE(EB$1,"__",$A22),'Průměrné mzdy 2018'!$D$3:$J$1347,7,FALSE),0)</f>
        <v>23004.176189640086</v>
      </c>
      <c r="EC22" s="314">
        <f>IFERROR(VLOOKUP(CONCATENATE(EC$1,"__",$A22),'Průměrné mzdy 2018'!$D$3:$J$1347,7,FALSE),0)</f>
        <v>26102.573409149816</v>
      </c>
      <c r="ED22" s="314">
        <f>IFERROR(VLOOKUP(CONCATENATE(ED$1,"__",$A22),'Průměrné mzdy 2018'!$D$3:$J$1347,7,FALSE),0)</f>
        <v>26362.049149868351</v>
      </c>
      <c r="EE22" s="314">
        <f>IFERROR(VLOOKUP(CONCATENATE(EE$1,"__",$A22),'Průměrné mzdy 2018'!$D$3:$J$1347,7,FALSE),0)</f>
        <v>31127.953171467958</v>
      </c>
      <c r="EF22" s="314">
        <f>IFERROR(VLOOKUP(CONCATENATE(EF$1,"__",$A22),'Průměrné mzdy 2018'!$D$3:$J$1347,7,FALSE),0)</f>
        <v>31127.953171467958</v>
      </c>
      <c r="EG22" s="314">
        <f>IFERROR(VLOOKUP(CONCATENATE(EG$1,"__",$A22),'Průměrné mzdy 2018'!$D$3:$J$1347,7,FALSE),0)</f>
        <v>31127.953171467958</v>
      </c>
      <c r="EH22" s="314">
        <f>IFERROR(VLOOKUP(CONCATENATE(EH$1,"__",$A22),'Průměrné mzdy 2018'!$D$3:$J$1347,7,FALSE),0)</f>
        <v>24910.841440127879</v>
      </c>
      <c r="EI22" s="314">
        <f>IFERROR(VLOOKUP(CONCATENATE(EI$1,"__",$A22),'Průměrné mzdy 2018'!$D$3:$J$1347,7,FALSE),0)</f>
        <v>25112.661826156243</v>
      </c>
      <c r="EJ22" s="314">
        <f>IFERROR(VLOOKUP(CONCATENATE(EJ$1,"__",$A22),'Průměrné mzdy 2018'!$D$3:$J$1347,7,FALSE),0)</f>
        <v>26837.070867899798</v>
      </c>
      <c r="EK22" s="314">
        <f>IFERROR(VLOOKUP(CONCATENATE(EK$1,"__",$A22),'Průměrné mzdy 2018'!$D$3:$J$1347,7,FALSE),0)</f>
        <v>0</v>
      </c>
      <c r="EL22" s="314">
        <f>IFERROR(VLOOKUP(CONCATENATE(EL$1,"__",$A22),'Průměrné mzdy 2018'!$D$3:$J$1347,7,FALSE),0)</f>
        <v>0</v>
      </c>
      <c r="EM22" s="314">
        <f>IFERROR(VLOOKUP(CONCATENATE(EM$1,"__",$A22),'Průměrné mzdy 2018'!$D$3:$J$1347,7,FALSE),0)</f>
        <v>0</v>
      </c>
      <c r="EN22" s="314">
        <f>IFERROR(VLOOKUP(CONCATENATE(EN$1,"__",$A22),'Průměrné mzdy 2018'!$D$3:$J$1347,7,FALSE),0)</f>
        <v>26364.572073040395</v>
      </c>
      <c r="EO22" s="314">
        <f>IFERROR(VLOOKUP(CONCATENATE(EO$1,"__",$A22),'Průměrné mzdy 2018'!$D$3:$J$1347,7,FALSE),0)</f>
        <v>31127.953171467958</v>
      </c>
      <c r="EP22" s="314">
        <f>IFERROR(VLOOKUP(CONCATENATE(EP$1,"__",$A22),'Průměrné mzdy 2018'!$D$3:$J$1347,7,FALSE),0)</f>
        <v>26362.049149868351</v>
      </c>
      <c r="EQ22" s="314">
        <f>IFERROR(VLOOKUP(CONCATENATE(EQ$1,"__",$A22),'Průměrné mzdy 2018'!$D$3:$J$1347,7,FALSE),0)</f>
        <v>26837.070867899798</v>
      </c>
      <c r="ER22" s="314">
        <f>IFERROR(VLOOKUP(CONCATENATE(ER$1,"__",$A22),'Průměrné mzdy 2018'!$D$3:$J$1347,7,FALSE),0)</f>
        <v>24448.908771949045</v>
      </c>
      <c r="ES22" s="314">
        <f>IFERROR(VLOOKUP(CONCATENATE(ES$1,"__",$A22),'Průměrné mzdy 2018'!$D$3:$J$1347,7,FALSE),0)</f>
        <v>24208.019142085453</v>
      </c>
      <c r="ET22" s="314">
        <f>IFERROR(VLOOKUP(CONCATENATE(ET$1,"__",$A22),'Průměrné mzdy 2018'!$D$3:$J$1347,7,FALSE),0)</f>
        <v>0</v>
      </c>
      <c r="EU22" s="314">
        <f>IFERROR(VLOOKUP(CONCATENATE(EU$1,"__",$A22),'Průměrné mzdy 2018'!$D$3:$J$1347,7,FALSE),0)</f>
        <v>0</v>
      </c>
      <c r="EV22" s="314">
        <f>IFERROR(VLOOKUP(CONCATENATE(EV$1,"__",$A22),'Průměrné mzdy 2018'!$D$3:$J$1347,7,FALSE),0)</f>
        <v>31127.953171467958</v>
      </c>
      <c r="EW22" s="314">
        <f>IFERROR(VLOOKUP(CONCATENATE(EW$1,"__",$A22),'Průměrné mzdy 2018'!$D$3:$J$1347,7,FALSE),0)</f>
        <v>24448.908771949045</v>
      </c>
      <c r="EX22" s="314">
        <f>IFERROR(VLOOKUP(CONCATENATE(EX$1,"__",$A22),'Průměrné mzdy 2018'!$D$3:$J$1347,7,FALSE),0)</f>
        <v>25494.782664826929</v>
      </c>
      <c r="EY22" s="314">
        <f>IFERROR(VLOOKUP(CONCATENATE(EY$1,"__",$A22),'Průměrné mzdy 2018'!$D$3:$J$1347,7,FALSE),0)</f>
        <v>26364.572073040395</v>
      </c>
      <c r="EZ22" s="314">
        <f>IFERROR(VLOOKUP(CONCATENATE(EZ$1,"__",$A22),'Průměrné mzdy 2018'!$D$3:$J$1347,7,FALSE),0)</f>
        <v>24448.908771949045</v>
      </c>
      <c r="FA22" s="314">
        <f>IFERROR(VLOOKUP(CONCATENATE(FA$1,"__",$A22),'Průměrné mzdy 2018'!$D$3:$J$1347,7,FALSE),0)</f>
        <v>24448.908771949045</v>
      </c>
      <c r="FB22" s="314">
        <f>IFERROR(VLOOKUP(CONCATENATE(FB$1,"__",$A22),'Průměrné mzdy 2018'!$D$3:$J$1347,7,FALSE),0)</f>
        <v>24448.908771949045</v>
      </c>
      <c r="FC22" s="314">
        <f>IFERROR(VLOOKUP(CONCATENATE(FC$1,"__",$A22),'Průměrné mzdy 2018'!$D$3:$J$1347,7,FALSE),0)</f>
        <v>24448.908771949045</v>
      </c>
      <c r="FD22" s="314">
        <f>IFERROR(VLOOKUP(CONCATENATE(FD$1,"__",$A22),'Průměrné mzdy 2018'!$D$3:$J$1347,7,FALSE),0)</f>
        <v>27736.496615082382</v>
      </c>
      <c r="FE22" s="314">
        <f>IFERROR(VLOOKUP(CONCATENATE(FE$1,"__",$A22),'Průměrné mzdy 2018'!$D$3:$J$1347,7,FALSE),0)</f>
        <v>29279.931534256906</v>
      </c>
      <c r="FF22" s="314">
        <f>IFERROR(VLOOKUP(CONCATENATE(FF$1,"__",$A22),'Průměrné mzdy 2018'!$D$3:$J$1347,7,FALSE),0)</f>
        <v>24448.908771949045</v>
      </c>
      <c r="FG22" s="314">
        <f>IFERROR(VLOOKUP(CONCATENATE(FG$1,"__",$A22),'Průměrné mzdy 2018'!$D$3:$J$1347,7,FALSE),0)</f>
        <v>25494.782664826929</v>
      </c>
      <c r="FH22" s="314">
        <f>IFERROR(VLOOKUP(CONCATENATE(FH$1,"__",$A22),'Průměrné mzdy 2018'!$D$3:$J$1347,7,FALSE),0)</f>
        <v>24602.206032430611</v>
      </c>
      <c r="FI22" s="314">
        <f>IFERROR(VLOOKUP(CONCATENATE(FI$1,"__",$A22),'Průměrné mzdy 2018'!$D$3:$J$1347,7,FALSE),0)</f>
        <v>25494.782664826929</v>
      </c>
      <c r="FJ22" s="314">
        <f>IFERROR(VLOOKUP(CONCATENATE(FJ$1,"__",$A22),'Průměrné mzdy 2018'!$D$3:$J$1347,7,FALSE),0)</f>
        <v>24448.908771949045</v>
      </c>
      <c r="FK22" s="314">
        <f>IFERROR(VLOOKUP(CONCATENATE(FK$1,"__",$A22),'Průměrné mzdy 2018'!$D$3:$J$1347,7,FALSE),0)</f>
        <v>24448.908771949045</v>
      </c>
      <c r="FL22" s="314">
        <f>IFERROR(VLOOKUP(CONCATENATE(FL$1,"__",$A22),'Průměrné mzdy 2018'!$D$3:$J$1347,7,FALSE),0)</f>
        <v>24846.947441386379</v>
      </c>
      <c r="FM22" s="314">
        <f>IFERROR(VLOOKUP(CONCATENATE(FM$1,"__",$A22),'Průměrné mzdy 2018'!$D$3:$J$1347,7,FALSE),0)</f>
        <v>24448.908771949045</v>
      </c>
      <c r="FN22" s="314">
        <f>IFERROR(VLOOKUP(CONCATENATE(FN$1,"__",$A22),'Průměrné mzdy 2018'!$D$3:$J$1347,7,FALSE),0)</f>
        <v>24448.908771949045</v>
      </c>
      <c r="FO22" s="314">
        <f>IFERROR(VLOOKUP(CONCATENATE(FO$1,"__",$A22),'Průměrné mzdy 2018'!$D$3:$J$1347,7,FALSE),0)</f>
        <v>26362.049149868351</v>
      </c>
      <c r="FP22" s="314">
        <f>IFERROR(VLOOKUP(CONCATENATE(FP$1,"__",$A22),'Průměrné mzdy 2018'!$D$3:$J$1347,7,FALSE),0)</f>
        <v>25494.782664826929</v>
      </c>
      <c r="FQ22" s="314">
        <f>IFERROR(VLOOKUP(CONCATENATE(FQ$1,"__",$A22),'Průměrné mzdy 2018'!$D$3:$J$1347,7,FALSE),0)</f>
        <v>28276.910051176939</v>
      </c>
      <c r="FR22" s="314">
        <f>IFERROR(VLOOKUP(CONCATENATE(FR$1,"__",$A22),'Průměrné mzdy 2018'!$D$3:$J$1347,7,FALSE),0)</f>
        <v>0</v>
      </c>
      <c r="FS22" s="314">
        <f>IFERROR(VLOOKUP(CONCATENATE(FS$1,"__",$A22),'Průměrné mzdy 2018'!$D$3:$J$1347,7,FALSE),0)</f>
        <v>29279.931534256906</v>
      </c>
      <c r="FT22" s="314">
        <f>IFERROR(VLOOKUP(CONCATENATE(FT$1,"__",$A22),'Průměrné mzdy 2018'!$D$3:$J$1347,7,FALSE),0)</f>
        <v>24448.908771949045</v>
      </c>
      <c r="FU22" s="314">
        <f>IFERROR(VLOOKUP(CONCATENATE(FU$1,"__",$A22),'Průměrné mzdy 2018'!$D$3:$J$1347,7,FALSE),0)</f>
        <v>24846.947441386379</v>
      </c>
      <c r="FV22" s="314">
        <f>IFERROR(VLOOKUP(CONCATENATE(FV$1,"__",$A22),'Průměrné mzdy 2018'!$D$3:$J$1347,7,FALSE),0)</f>
        <v>24448.908771949045</v>
      </c>
      <c r="FW22" s="314">
        <f>IFERROR(VLOOKUP(CONCATENATE(FW$1,"__",$A22),'Průměrné mzdy 2018'!$D$3:$J$1347,7,FALSE),0)</f>
        <v>24448.908771949045</v>
      </c>
      <c r="FX22" s="314">
        <f>IFERROR(VLOOKUP(CONCATENATE(FX$1,"__",$A22),'Průměrné mzdy 2018'!$D$3:$J$1347,7,FALSE),0)</f>
        <v>24448.908771949045</v>
      </c>
      <c r="FY22" s="314">
        <f>IFERROR(VLOOKUP(CONCATENATE(FY$1,"__",$A22),'Průměrné mzdy 2018'!$D$3:$J$1347,7,FALSE),0)</f>
        <v>24448.908771949045</v>
      </c>
      <c r="FZ22" s="314">
        <f>IFERROR(VLOOKUP(CONCATENATE(FZ$1,"__",$A22),'Průměrné mzdy 2018'!$D$3:$J$1347,7,FALSE),0)</f>
        <v>24448.908771949045</v>
      </c>
      <c r="GA22" s="314">
        <f>IFERROR(VLOOKUP(CONCATENATE(GA$1,"__",$A22),'Průměrné mzdy 2018'!$D$3:$J$1347,7,FALSE),0)</f>
        <v>26102.573409149816</v>
      </c>
      <c r="GB22" s="314">
        <f>IFERROR(VLOOKUP(CONCATENATE(GB$1,"__",$A22),'Průměrné mzdy 2018'!$D$3:$J$1347,7,FALSE),0)</f>
        <v>25494.782664826929</v>
      </c>
      <c r="GC22" s="314">
        <f>IFERROR(VLOOKUP(CONCATENATE(GC$1,"__",$A22),'Průměrné mzdy 2018'!$D$3:$J$1347,7,FALSE),0)</f>
        <v>24448.908771949045</v>
      </c>
      <c r="GD22" s="314">
        <f>IFERROR(VLOOKUP(CONCATENATE(GD$1,"__",$A22),'Průměrné mzdy 2018'!$D$3:$J$1347,7,FALSE),0)</f>
        <v>25494.782664826929</v>
      </c>
      <c r="GE22" s="314">
        <f>IFERROR(VLOOKUP(CONCATENATE(GE$1,"__",$A22),'Průměrné mzdy 2018'!$D$3:$J$1347,7,FALSE),0)</f>
        <v>26837.070867899798</v>
      </c>
      <c r="GF22" s="314">
        <f>IFERROR(VLOOKUP(CONCATENATE(GF$1,"__",$A22),'Průměrné mzdy 2018'!$D$3:$J$1347,7,FALSE),0)</f>
        <v>24448.908771949045</v>
      </c>
      <c r="GG22" s="314">
        <f>IFERROR(VLOOKUP(CONCATENATE(GG$1,"__",$A22),'Průměrné mzdy 2018'!$D$3:$J$1347,7,FALSE),0)</f>
        <v>26102.573409149816</v>
      </c>
      <c r="GH22" s="314">
        <f>IFERROR(VLOOKUP(CONCATENATE(GH$1,"__",$A22),'Průměrné mzdy 2018'!$D$3:$J$1347,7,FALSE),0)</f>
        <v>24846.947441386379</v>
      </c>
      <c r="GI22" s="314">
        <f>IFERROR(VLOOKUP(CONCATENATE(GI$1,"__",$A22),'Průměrné mzdy 2018'!$D$3:$J$1347,7,FALSE),0)</f>
        <v>25494.782664826929</v>
      </c>
      <c r="GJ22" s="314">
        <f>IFERROR(VLOOKUP(CONCATENATE(GJ$1,"__",$A22),'Průměrné mzdy 2018'!$D$3:$J$1347,7,FALSE),0)</f>
        <v>24448.908771949045</v>
      </c>
      <c r="GK22" s="314">
        <f>IFERROR(VLOOKUP(CONCATENATE(GK$1,"__",$A22),'Průměrné mzdy 2018'!$D$3:$J$1347,7,FALSE),0)</f>
        <v>26102.573409149816</v>
      </c>
      <c r="GL22" s="314">
        <f>IFERROR(VLOOKUP(CONCATENATE(GL$1,"__",$A22),'Průměrné mzdy 2018'!$D$3:$J$1347,7,FALSE),0)</f>
        <v>24846.947441386379</v>
      </c>
      <c r="GM22" s="314">
        <f>IFERROR(VLOOKUP(CONCATENATE(GM$1,"__",$A22),'Průměrné mzdy 2018'!$D$3:$J$1347,7,FALSE),0)</f>
        <v>25287.261406181333</v>
      </c>
      <c r="GN22" s="314">
        <f>IFERROR(VLOOKUP(CONCATENATE(GN$1,"__",$A22),'Průměrné mzdy 2018'!$D$3:$J$1347,7,FALSE),0)</f>
        <v>26364.572073040395</v>
      </c>
      <c r="GO22" s="314">
        <f>IFERROR(VLOOKUP(CONCATENATE(GO$1,"__",$A22),'Průměrné mzdy 2018'!$D$3:$J$1347,7,FALSE),0)</f>
        <v>25494.782664826929</v>
      </c>
      <c r="GP22" s="314">
        <f>IFERROR(VLOOKUP(CONCATENATE(GP$1,"__",$A22),'Průměrné mzdy 2018'!$D$3:$J$1347,7,FALSE),0)</f>
        <v>24448.908771949045</v>
      </c>
      <c r="GQ22" s="314">
        <f>IFERROR(VLOOKUP(CONCATENATE(GQ$1,"__",$A22),'Průměrné mzdy 2018'!$D$3:$J$1347,7,FALSE),0)</f>
        <v>24448.908771949045</v>
      </c>
      <c r="GR22" s="314">
        <f>IFERROR(VLOOKUP(CONCATENATE(GR$1,"__",$A22),'Průměrné mzdy 2018'!$D$3:$J$1347,7,FALSE),0)</f>
        <v>24448.908771949045</v>
      </c>
      <c r="GS22" s="314">
        <f>IFERROR(VLOOKUP(CONCATENATE(GS$1,"__",$A22),'Průměrné mzdy 2018'!$D$3:$J$1347,7,FALSE),0)</f>
        <v>24448.908771949045</v>
      </c>
      <c r="GT22" s="314">
        <f>IFERROR(VLOOKUP(CONCATENATE(GT$1,"__",$A22),'Průměrné mzdy 2018'!$D$3:$J$1347,7,FALSE),0)</f>
        <v>24448.908771949045</v>
      </c>
      <c r="GU22" s="314">
        <f>IFERROR(VLOOKUP(CONCATENATE(GU$1,"__",$A22),'Průměrné mzdy 2018'!$D$3:$J$1347,7,FALSE),0)</f>
        <v>26362.049149868351</v>
      </c>
      <c r="GV22" s="314">
        <f>IFERROR(VLOOKUP(CONCATENATE(GV$1,"__",$A22),'Průměrné mzdy 2018'!$D$3:$J$1347,7,FALSE),0)</f>
        <v>0</v>
      </c>
      <c r="GW22" s="314">
        <f>IFERROR(VLOOKUP(CONCATENATE(GW$1,"__",$A22),'Průměrné mzdy 2018'!$D$3:$J$1347,7,FALSE),0)</f>
        <v>24448.908771949045</v>
      </c>
      <c r="GX22" s="314">
        <f>IFERROR(VLOOKUP(CONCATENATE(GX$1,"__",$A22),'Průměrné mzdy 2018'!$D$3:$J$1347,7,FALSE),0)</f>
        <v>24448.908771949045</v>
      </c>
      <c r="GY22" s="314">
        <f>IFERROR(VLOOKUP(CONCATENATE(GY$1,"__",$A22),'Průměrné mzdy 2018'!$D$3:$J$1347,7,FALSE),0)</f>
        <v>25494.782664826929</v>
      </c>
      <c r="GZ22" s="314">
        <f>IFERROR(VLOOKUP(CONCATENATE(GZ$1,"__",$A22),'Průměrné mzdy 2018'!$D$3:$J$1347,7,FALSE),0)</f>
        <v>0</v>
      </c>
      <c r="HA22" s="314">
        <f>IFERROR(VLOOKUP(CONCATENATE(HA$1,"__",$A22),'Průměrné mzdy 2018'!$D$3:$J$1347,7,FALSE),0)</f>
        <v>24448.908771949045</v>
      </c>
      <c r="HB22" s="314">
        <f>IFERROR(VLOOKUP(CONCATENATE(HB$1,"__",$A22),'Průměrné mzdy 2018'!$D$3:$J$1347,7,FALSE),0)</f>
        <v>26362.049149868351</v>
      </c>
      <c r="HC22" s="314">
        <f>IFERROR(VLOOKUP(CONCATENATE(HC$1,"__",$A22),'Průměrné mzdy 2018'!$D$3:$J$1347,7,FALSE),0)</f>
        <v>25494.782664826929</v>
      </c>
      <c r="HD22" s="314">
        <f>IFERROR(VLOOKUP(CONCATENATE(HD$1,"__",$A22),'Průměrné mzdy 2018'!$D$3:$J$1347,7,FALSE),0)</f>
        <v>24448.908771949045</v>
      </c>
      <c r="HE22" s="314">
        <f>IFERROR(VLOOKUP(CONCATENATE(HE$1,"__",$A22),'Průměrné mzdy 2018'!$D$3:$J$1347,7,FALSE),0)</f>
        <v>25494.782664826929</v>
      </c>
      <c r="HF22" s="314">
        <f>IFERROR(VLOOKUP(CONCATENATE(HF$1,"__",$A22),'Průměrné mzdy 2018'!$D$3:$J$1347,7,FALSE),0)</f>
        <v>24448.908771949045</v>
      </c>
      <c r="HG22" s="314">
        <f>IFERROR(VLOOKUP(CONCATENATE(HG$1,"__",$A22),'Průměrné mzdy 2018'!$D$3:$J$1347,7,FALSE),0)</f>
        <v>24846.947441386379</v>
      </c>
      <c r="HH22" s="314">
        <f>IFERROR(VLOOKUP(CONCATENATE(HH$1,"__",$A22),'Průměrné mzdy 2018'!$D$3:$J$1347,7,FALSE),0)</f>
        <v>0</v>
      </c>
      <c r="HI22" s="314">
        <f>IFERROR(VLOOKUP(CONCATENATE(HI$1,"__",$A22),'Průměrné mzdy 2018'!$D$3:$J$1347,7,FALSE),0)</f>
        <v>24448.908771949045</v>
      </c>
      <c r="HJ22" s="314">
        <f>IFERROR(VLOOKUP(CONCATENATE(HJ$1,"__",$A22),'Průměrné mzdy 2018'!$D$3:$J$1347,7,FALSE),0)</f>
        <v>26837.070867899798</v>
      </c>
      <c r="HK22" s="314">
        <f>IFERROR(VLOOKUP(CONCATENATE(HK$1,"__",$A22),'Průměrné mzdy 2018'!$D$3:$J$1347,7,FALSE),0)</f>
        <v>24448.908771949045</v>
      </c>
      <c r="HL22" s="314">
        <f>IFERROR(VLOOKUP(CONCATENATE(HL$1,"__",$A22),'Průměrné mzdy 2018'!$D$3:$J$1347,7,FALSE),0)</f>
        <v>26849.811948652292</v>
      </c>
      <c r="HM22" s="314">
        <f>IFERROR(VLOOKUP(CONCATENATE(HM$1,"__",$A22),'Průměrné mzdy 2018'!$D$3:$J$1347,7,FALSE),0)</f>
        <v>28276.910051176939</v>
      </c>
      <c r="HN22" s="314">
        <f>IFERROR(VLOOKUP(CONCATENATE(HN$1,"__",$A22),'Průměrné mzdy 2018'!$D$3:$J$1347,7,FALSE),0)</f>
        <v>25293.255114356805</v>
      </c>
      <c r="HO22" s="314">
        <f>IFERROR(VLOOKUP(CONCATENATE(HO$1,"__",$A22),'Průměrné mzdy 2018'!$D$3:$J$1347,7,FALSE),0)</f>
        <v>26837.070867899798</v>
      </c>
      <c r="HP22" s="314">
        <f>IFERROR(VLOOKUP(CONCATENATE(HP$1,"__",$A22),'Průměrné mzdy 2018'!$D$3:$J$1347,7,FALSE),0)</f>
        <v>26849.811948652292</v>
      </c>
      <c r="HQ22" s="314">
        <f>IFERROR(VLOOKUP(CONCATENATE(HQ$1,"__",$A22),'Průměrné mzdy 2018'!$D$3:$J$1347,7,FALSE),0)</f>
        <v>26362.049149868351</v>
      </c>
      <c r="HR22" s="314">
        <f>IFERROR(VLOOKUP(CONCATENATE(HR$1,"__",$A22),'Průměrné mzdy 2018'!$D$3:$J$1347,7,FALSE),0)</f>
        <v>26849.811948652292</v>
      </c>
      <c r="HS22" s="314">
        <f>IFERROR(VLOOKUP(CONCATENATE(HS$1,"__",$A22),'Průměrné mzdy 2018'!$D$3:$J$1347,7,FALSE),0)</f>
        <v>28276.910051176939</v>
      </c>
      <c r="HT22" s="314">
        <f>IFERROR(VLOOKUP(CONCATENATE(HT$1,"__",$A22),'Průměrné mzdy 2018'!$D$3:$J$1347,7,FALSE),0)</f>
        <v>24602.206032430611</v>
      </c>
      <c r="HU22" s="314">
        <f>IFERROR(VLOOKUP(CONCATENATE(HU$1,"__",$A22),'Průměrné mzdy 2018'!$D$3:$J$1347,7,FALSE),0)</f>
        <v>24602.206032430611</v>
      </c>
      <c r="HV22" s="314">
        <f>IFERROR(VLOOKUP(CONCATENATE(HV$1,"__",$A22),'Průměrné mzdy 2018'!$D$3:$J$1347,7,FALSE),0)</f>
        <v>25494.782664826929</v>
      </c>
      <c r="HW22" s="314">
        <f>IFERROR(VLOOKUP(CONCATENATE(HW$1,"__",$A22),'Průměrné mzdy 2018'!$D$3:$J$1347,7,FALSE),0)</f>
        <v>25494.782664826929</v>
      </c>
      <c r="HX22" s="314">
        <f>IFERROR(VLOOKUP(CONCATENATE(HX$1,"__",$A22),'Průměrné mzdy 2018'!$D$3:$J$1347,7,FALSE),0)</f>
        <v>24602.206032430611</v>
      </c>
      <c r="HY22" s="314">
        <f>IFERROR(VLOOKUP(CONCATENATE(HY$1,"__",$A22),'Průměrné mzdy 2018'!$D$3:$J$1347,7,FALSE),0)</f>
        <v>25494.782664826929</v>
      </c>
      <c r="HZ22" s="314">
        <f>IFERROR(VLOOKUP(CONCATENATE(HZ$1,"__",$A22),'Průměrné mzdy 2018'!$D$3:$J$1347,7,FALSE),0)</f>
        <v>25494.782664826929</v>
      </c>
      <c r="IA22" s="314">
        <f>IFERROR(VLOOKUP(CONCATENATE(IA$1,"__",$A22),'Průměrné mzdy 2018'!$D$3:$J$1347,7,FALSE),0)</f>
        <v>25494.782664826929</v>
      </c>
      <c r="IB22" s="314">
        <f>IFERROR(VLOOKUP(CONCATENATE(IB$1,"__",$A22),'Průměrné mzdy 2018'!$D$3:$J$1347,7,FALSE),0)</f>
        <v>25494.782664826929</v>
      </c>
      <c r="IC22" s="314">
        <f>IFERROR(VLOOKUP(CONCATENATE(IC$1,"__",$A22),'Průměrné mzdy 2018'!$D$3:$J$1347,7,FALSE),0)</f>
        <v>25494.782664826929</v>
      </c>
      <c r="ID22" s="314">
        <f>IFERROR(VLOOKUP(CONCATENATE(ID$1,"__",$A22),'Průměrné mzdy 2018'!$D$3:$J$1347,7,FALSE),0)</f>
        <v>24602.206032430611</v>
      </c>
      <c r="IE22" s="314">
        <f>IFERROR(VLOOKUP(CONCATENATE(IE$1,"__",$A22),'Průměrné mzdy 2018'!$D$3:$J$1347,7,FALSE),0)</f>
        <v>25494.782664826929</v>
      </c>
      <c r="IF22" s="314">
        <f>IFERROR(VLOOKUP(CONCATENATE(IF$1,"__",$A22),'Průměrné mzdy 2018'!$D$3:$J$1347,7,FALSE),0)</f>
        <v>25494.782664826929</v>
      </c>
      <c r="IG22" s="314">
        <f>IFERROR(VLOOKUP(CONCATENATE(IG$1,"__",$A22),'Průměrné mzdy 2018'!$D$3:$J$1347,7,FALSE),0)</f>
        <v>0</v>
      </c>
      <c r="IH22" s="314">
        <f>IFERROR(VLOOKUP(CONCATENATE(IH$1,"__",$A22),'Průměrné mzdy 2018'!$D$3:$J$1347,7,FALSE),0)</f>
        <v>26849.811948652292</v>
      </c>
      <c r="II22" s="314">
        <f>IFERROR(VLOOKUP(CONCATENATE(II$1,"__",$A22),'Průměrné mzdy 2018'!$D$3:$J$1347,7,FALSE),0)</f>
        <v>24602.206032430611</v>
      </c>
      <c r="IJ22" s="314">
        <f>IFERROR(VLOOKUP(CONCATENATE(IJ$1,"__",$A22),'Průměrné mzdy 2018'!$D$3:$J$1347,7,FALSE),0)</f>
        <v>28276.910051176939</v>
      </c>
      <c r="IK22" s="314">
        <f>IFERROR(VLOOKUP(CONCATENATE(IK$1,"__",$A22),'Průměrné mzdy 2018'!$D$3:$J$1347,7,FALSE),0)</f>
        <v>26837.070867899798</v>
      </c>
      <c r="IL22" s="314">
        <f>IFERROR(VLOOKUP(CONCATENATE(IL$1,"__",$A22),'Průměrné mzdy 2018'!$D$3:$J$1347,7,FALSE),0)</f>
        <v>25494.782664826929</v>
      </c>
      <c r="IM22" s="314">
        <f>IFERROR(VLOOKUP(CONCATENATE(IM$1,"__",$A22),'Průměrné mzdy 2018'!$D$3:$J$1347,7,FALSE),0)</f>
        <v>26102.573409149816</v>
      </c>
      <c r="IN22" s="314">
        <f>IFERROR(VLOOKUP(CONCATENATE(IN$1,"__",$A22),'Průměrné mzdy 2018'!$D$3:$J$1347,7,FALSE),0)</f>
        <v>25494.782664826929</v>
      </c>
      <c r="IO22" s="314">
        <f>IFERROR(VLOOKUP(CONCATENATE(IO$1,"__",$A22),'Průměrné mzdy 2018'!$D$3:$J$1347,7,FALSE),0)</f>
        <v>24602.206032430611</v>
      </c>
      <c r="IP22" s="314">
        <f>IFERROR(VLOOKUP(CONCATENATE(IP$1,"__",$A22),'Průměrné mzdy 2018'!$D$3:$J$1347,7,FALSE),0)</f>
        <v>26849.811948652292</v>
      </c>
      <c r="IQ22" s="314">
        <f>IFERROR(VLOOKUP(CONCATENATE(IQ$1,"__",$A22),'Průměrné mzdy 2018'!$D$3:$J$1347,7,FALSE),0)</f>
        <v>26849.811948652292</v>
      </c>
      <c r="IR22" s="314">
        <f>IFERROR(VLOOKUP(CONCATENATE(IR$1,"__",$A22),'Průměrné mzdy 2018'!$D$3:$J$1347,7,FALSE),0)</f>
        <v>28276.910051176939</v>
      </c>
      <c r="IS22" s="314">
        <f>IFERROR(VLOOKUP(CONCATENATE(IS$1,"__",$A22),'Průměrné mzdy 2018'!$D$3:$J$1347,7,FALSE),0)</f>
        <v>25494.782664826929</v>
      </c>
      <c r="IT22" s="314">
        <f>IFERROR(VLOOKUP(CONCATENATE(IT$1,"__",$A22),'Průměrné mzdy 2018'!$D$3:$J$1347,7,FALSE),0)</f>
        <v>24602.206032430611</v>
      </c>
      <c r="IU22" s="314">
        <f>IFERROR(VLOOKUP(CONCATENATE(IU$1,"__",$A22),'Průměrné mzdy 2018'!$D$3:$J$1347,7,FALSE),0)</f>
        <v>26102.573409149816</v>
      </c>
      <c r="IV22" s="314">
        <f>IFERROR(VLOOKUP(CONCATENATE(IV$1,"__",$A22),'Průměrné mzdy 2018'!$D$3:$J$1347,7,FALSE),0)</f>
        <v>25494.782664826929</v>
      </c>
      <c r="IW22" s="314">
        <f>IFERROR(VLOOKUP(CONCATENATE(IW$1,"__",$A22),'Průměrné mzdy 2018'!$D$3:$J$1347,7,FALSE),0)</f>
        <v>24602.206032430611</v>
      </c>
      <c r="IX22" s="314">
        <f>IFERROR(VLOOKUP(CONCATENATE(IX$1,"__",$A22),'Průměrné mzdy 2018'!$D$3:$J$1347,7,FALSE),0)</f>
        <v>28276.910051176939</v>
      </c>
      <c r="IY22" s="314">
        <f>IFERROR(VLOOKUP(CONCATENATE(IY$1,"__",$A22),'Průměrné mzdy 2018'!$D$3:$J$1347,7,FALSE),0)</f>
        <v>26849.811948652292</v>
      </c>
      <c r="IZ22" s="314">
        <f>IFERROR(VLOOKUP(CONCATENATE(IZ$1,"__",$A22),'Průměrné mzdy 2018'!$D$3:$J$1347,7,FALSE),0)</f>
        <v>25494.782664826929</v>
      </c>
      <c r="JA22" s="314">
        <f>IFERROR(VLOOKUP(CONCATENATE(JA$1,"__",$A22),'Průměrné mzdy 2018'!$D$3:$J$1347,7,FALSE),0)</f>
        <v>31127.953171467958</v>
      </c>
      <c r="JB22" s="314">
        <f>IFERROR(VLOOKUP(CONCATENATE(JB$1,"__",$A22),'Průměrné mzdy 2018'!$D$3:$J$1347,7,FALSE),0)</f>
        <v>34478.369790155819</v>
      </c>
      <c r="JC22" s="314">
        <f>IFERROR(VLOOKUP(CONCATENATE(JC$1,"__",$A22),'Průměrné mzdy 2018'!$D$3:$J$1347,7,FALSE),0)</f>
        <v>25287.261406181333</v>
      </c>
      <c r="JD22" s="314">
        <f>IFERROR(VLOOKUP(CONCATENATE(JD$1,"__",$A22),'Průměrné mzdy 2018'!$D$3:$J$1347,7,FALSE),0)</f>
        <v>26837.070867899798</v>
      </c>
      <c r="JE22" s="314">
        <f>IFERROR(VLOOKUP(CONCATENATE(JE$1,"__",$A22),'Průměrné mzdy 2018'!$D$3:$J$1347,7,FALSE),0)</f>
        <v>26102.573409149816</v>
      </c>
      <c r="JF22" s="314">
        <f>IFERROR(VLOOKUP(CONCATENATE(JF$1,"__",$A22),'Průměrné mzdy 2018'!$D$3:$J$1347,7,FALSE),0)</f>
        <v>26849.811948652292</v>
      </c>
      <c r="JG22" s="314">
        <f>IFERROR(VLOOKUP(CONCATENATE(JG$1,"__",$A22),'Průměrné mzdy 2018'!$D$3:$J$1347,7,FALSE),0)</f>
        <v>26849.811948652292</v>
      </c>
      <c r="JH22" s="314">
        <f>IFERROR(VLOOKUP(CONCATENATE(JH$1,"__",$A22),'Průměrné mzdy 2018'!$D$3:$J$1347,7,FALSE),0)</f>
        <v>32243.952958531994</v>
      </c>
    </row>
    <row r="23" spans="1:276" x14ac:dyDescent="0.25">
      <c r="BF23" s="314"/>
    </row>
    <row r="24" spans="1:276" x14ac:dyDescent="0.25">
      <c r="A24" s="313">
        <v>8</v>
      </c>
      <c r="B24" s="313" t="s">
        <v>2454</v>
      </c>
      <c r="C24" s="314">
        <f>VLOOKUP(C$1,'Náklady na ppp ER 2018'!$C$4:$L$279,$A24,FALSE)</f>
        <v>83289.929999999993</v>
      </c>
      <c r="D24" s="314">
        <f>VLOOKUP(D$1,'Náklady na ppp ER 2018'!$C$4:$L$279,$A24,FALSE)</f>
        <v>87311.56</v>
      </c>
      <c r="E24" s="314">
        <f>VLOOKUP(E$1,'Náklady na ppp ER 2018'!$C$4:$L$279,$A24,FALSE)</f>
        <v>138177.89000000001</v>
      </c>
      <c r="F24" s="314">
        <f>VLOOKUP(F$1,'Náklady na ppp ER 2018'!$C$4:$L$279,$A24,FALSE)</f>
        <v>4939.0200000000004</v>
      </c>
      <c r="G24" s="314">
        <f>VLOOKUP(G$1,'Náklady na ppp ER 2018'!$C$4:$L$279,$A24,FALSE)</f>
        <v>56189.67</v>
      </c>
      <c r="H24" s="314" t="e">
        <f>VLOOKUP(H$1,'Náklady na ppp ER 2018'!$C$4:$L$279,$A24,FALSE)</f>
        <v>#N/A</v>
      </c>
      <c r="I24" s="314">
        <f>VLOOKUP(I$1,'Náklady na ppp ER 2018'!$C$4:$L$279,$A24,FALSE)</f>
        <v>42934.82</v>
      </c>
      <c r="J24" s="314">
        <f>VLOOKUP(J$1,'Náklady na ppp ER 2018'!$C$4:$L$279,$A24,FALSE)</f>
        <v>36014.68</v>
      </c>
      <c r="K24" s="314">
        <f>VLOOKUP(K$1,'Náklady na ppp ER 2018'!$C$4:$L$279,$A24,FALSE)</f>
        <v>0</v>
      </c>
      <c r="L24" s="314">
        <f>VLOOKUP(L$1,'Náklady na ppp ER 2018'!$C$4:$L$279,$A24,FALSE)</f>
        <v>113310.71</v>
      </c>
      <c r="M24" s="314">
        <f>VLOOKUP(M$1,'Náklady na ppp ER 2018'!$C$4:$L$279,$A24,FALSE)</f>
        <v>20561.29</v>
      </c>
      <c r="N24" s="314">
        <f>VLOOKUP(N$1,'Náklady na ppp ER 2018'!$C$4:$L$279,$A24,FALSE)</f>
        <v>144292.66</v>
      </c>
      <c r="O24" s="314">
        <f>VLOOKUP(O$1,'Náklady na ppp ER 2018'!$C$4:$L$279,$A24,FALSE)</f>
        <v>12794.76</v>
      </c>
      <c r="P24" s="314">
        <f>VLOOKUP(P$1,'Náklady na ppp ER 2018'!$C$4:$L$279,$A24,FALSE)</f>
        <v>0</v>
      </c>
      <c r="Q24" s="314">
        <f>VLOOKUP(Q$1,'Náklady na ppp ER 2018'!$C$4:$L$279,$A24,FALSE)</f>
        <v>31234.82</v>
      </c>
      <c r="R24" s="314">
        <f>VLOOKUP(R$1,'Náklady na ppp ER 2018'!$C$4:$L$279,$A24,FALSE)</f>
        <v>30388.45</v>
      </c>
      <c r="S24" s="314">
        <f>VLOOKUP(S$1,'Náklady na ppp ER 2018'!$C$4:$L$279,$A24,FALSE)</f>
        <v>22529.64</v>
      </c>
      <c r="T24" s="314">
        <f>VLOOKUP(T$1,'Náklady na ppp ER 2018'!$C$4:$L$279,$A24,FALSE)</f>
        <v>0</v>
      </c>
      <c r="U24" s="314">
        <f>VLOOKUP(U$1,'Náklady na ppp ER 2018'!$C$4:$L$279,$A24,FALSE)</f>
        <v>67581.399999999994</v>
      </c>
      <c r="V24" s="314">
        <f>VLOOKUP(V$1,'Náklady na ppp ER 2018'!$C$4:$L$279,$A24,FALSE)</f>
        <v>22655.69</v>
      </c>
      <c r="W24" s="314">
        <f>VLOOKUP(W$1,'Náklady na ppp ER 2018'!$C$4:$L$279,$A24,FALSE)</f>
        <v>26894.21</v>
      </c>
      <c r="X24" s="314">
        <f>VLOOKUP(X$1,'Náklady na ppp ER 2018'!$C$4:$L$279,$A24,FALSE)</f>
        <v>50907.61</v>
      </c>
      <c r="Y24" s="314">
        <f>VLOOKUP(Y$1,'Náklady na ppp ER 2018'!$C$4:$L$279,$A24,FALSE)</f>
        <v>43284.22</v>
      </c>
      <c r="Z24" s="314">
        <f>VLOOKUP(Z$1,'Náklady na ppp ER 2018'!$C$4:$L$279,$A24,FALSE)</f>
        <v>52465.59</v>
      </c>
      <c r="AA24" s="314">
        <f>VLOOKUP(AA$1,'Náklady na ppp ER 2018'!$C$4:$L$279,$A24,FALSE)</f>
        <v>54749.84</v>
      </c>
      <c r="AB24" s="314">
        <f>VLOOKUP(AB$1,'Náklady na ppp ER 2018'!$C$4:$L$279,$A24,FALSE)</f>
        <v>15668.1</v>
      </c>
      <c r="AC24" s="314">
        <f>VLOOKUP(AC$1,'Náklady na ppp ER 2018'!$C$4:$L$279,$A24,FALSE)</f>
        <v>71614.259999999995</v>
      </c>
      <c r="AD24" s="314">
        <f>VLOOKUP(AD$1,'Náklady na ppp ER 2018'!$C$4:$L$279,$A24,FALSE)</f>
        <v>46622.46</v>
      </c>
      <c r="AE24" s="314">
        <f>VLOOKUP(AE$1,'Náklady na ppp ER 2018'!$C$4:$L$279,$A24,FALSE)</f>
        <v>45309.77</v>
      </c>
      <c r="AF24" s="314">
        <f>VLOOKUP(AF$1,'Náklady na ppp ER 2018'!$C$4:$L$279,$A24,FALSE)</f>
        <v>39367.129999999997</v>
      </c>
      <c r="AG24" s="314">
        <f>VLOOKUP(AG$1,'Náklady na ppp ER 2018'!$C$4:$L$279,$A24,FALSE)</f>
        <v>71109.84</v>
      </c>
      <c r="AH24" s="314">
        <f>VLOOKUP(AH$1,'Náklady na ppp ER 2018'!$C$4:$L$279,$A24,FALSE)</f>
        <v>41134.300000000003</v>
      </c>
      <c r="AI24" s="314">
        <f>VLOOKUP(AI$1,'Náklady na ppp ER 2018'!$C$4:$L$279,$A24,FALSE)</f>
        <v>69038.649999999994</v>
      </c>
      <c r="AJ24" s="314">
        <f>VLOOKUP(AJ$1,'Náklady na ppp ER 2018'!$C$4:$L$279,$A24,FALSE)</f>
        <v>55279.48</v>
      </c>
      <c r="AK24" s="314">
        <f>VLOOKUP(AK$1,'Náklady na ppp ER 2018'!$C$4:$L$279,$A24,FALSE)</f>
        <v>37630.589999999997</v>
      </c>
      <c r="AL24" s="314">
        <f>VLOOKUP(AL$1,'Náklady na ppp ER 2018'!$C$4:$L$279,$A24,FALSE)</f>
        <v>37985.46</v>
      </c>
      <c r="AM24" s="314">
        <f>VLOOKUP(AM$1,'Náklady na ppp ER 2018'!$C$4:$L$279,$A24,FALSE)</f>
        <v>27490.48</v>
      </c>
      <c r="AN24" s="314">
        <f>VLOOKUP(AN$1,'Náklady na ppp ER 2018'!$C$4:$L$279,$A24,FALSE)</f>
        <v>79732.990000000005</v>
      </c>
      <c r="AO24" s="314">
        <f>VLOOKUP(AO$1,'Náklady na ppp ER 2018'!$C$4:$L$279,$A24,FALSE)</f>
        <v>78465.210000000006</v>
      </c>
      <c r="AP24" s="314">
        <f>VLOOKUP(AP$1,'Náklady na ppp ER 2018'!$C$4:$L$279,$A24,FALSE)</f>
        <v>17254.34</v>
      </c>
      <c r="AQ24" s="314">
        <f>VLOOKUP(AQ$1,'Náklady na ppp ER 2018'!$C$4:$L$279,$A24,FALSE)</f>
        <v>8084.25</v>
      </c>
      <c r="AR24" s="314">
        <f>VLOOKUP(AR$1,'Náklady na ppp ER 2018'!$C$4:$L$279,$A24,FALSE)</f>
        <v>57108.87</v>
      </c>
      <c r="AS24" s="314">
        <f>VLOOKUP(AS$1,'Náklady na ppp ER 2018'!$C$4:$L$279,$A24,FALSE)</f>
        <v>38385.5</v>
      </c>
      <c r="AT24" s="314">
        <f>VLOOKUP(AT$1,'Náklady na ppp ER 2018'!$C$4:$L$279,$A24,FALSE)</f>
        <v>23017.26</v>
      </c>
      <c r="AU24" s="314">
        <f>VLOOKUP(AU$1,'Náklady na ppp ER 2018'!$C$4:$L$279,$A24,FALSE)</f>
        <v>64839.29</v>
      </c>
      <c r="AV24" s="314">
        <f>VLOOKUP(AV$1,'Náklady na ppp ER 2018'!$C$4:$L$279,$A24,FALSE)</f>
        <v>30602.15</v>
      </c>
      <c r="AW24" s="314">
        <f>VLOOKUP(AW$1,'Náklady na ppp ER 2018'!$C$4:$L$279,$A24,FALSE)</f>
        <v>64484.36</v>
      </c>
      <c r="AX24" s="314">
        <f>VLOOKUP(AX$1,'Náklady na ppp ER 2018'!$C$4:$L$279,$A24,FALSE)</f>
        <v>107310.08</v>
      </c>
      <c r="AY24" s="314">
        <f>VLOOKUP(AY$1,'Náklady na ppp ER 2018'!$C$4:$L$279,$A24,FALSE)</f>
        <v>48689.16</v>
      </c>
      <c r="AZ24" s="314">
        <f>VLOOKUP(AZ$1,'Náklady na ppp ER 2018'!$C$4:$L$279,$A24,FALSE)</f>
        <v>68578.399999999994</v>
      </c>
      <c r="BA24" s="314">
        <f>VLOOKUP(BA$1,'Náklady na ppp ER 2018'!$C$4:$L$279,$A24,FALSE)</f>
        <v>5321.83</v>
      </c>
      <c r="BB24" s="314">
        <f>VLOOKUP(BB$1,'Náklady na ppp ER 2018'!$C$4:$L$279,$A24,FALSE)</f>
        <v>85074</v>
      </c>
      <c r="BC24" s="314">
        <f>VLOOKUP(BC$1,'Náklady na ppp ER 2018'!$C$4:$L$279,$A24,FALSE)</f>
        <v>36460.67</v>
      </c>
      <c r="BD24" s="314">
        <f>VLOOKUP(BD$1,'Náklady na ppp ER 2018'!$C$4:$L$279,$A24,FALSE)</f>
        <v>31848.06</v>
      </c>
      <c r="BE24" s="314">
        <f>VLOOKUP(BE$1,'Náklady na ppp ER 2018'!$C$4:$L$279,$A24,FALSE)</f>
        <v>25932.47</v>
      </c>
      <c r="BF24" s="314">
        <f>VLOOKUP(BF$1,'Náklady na ppp ER 2018'!$C$4:$L$279,$A24,FALSE)</f>
        <v>55820.67</v>
      </c>
      <c r="BG24" s="314">
        <f>VLOOKUP(BG$1,'Náklady na ppp ER 2018'!$C$4:$L$279,$A24,FALSE)</f>
        <v>30071.26</v>
      </c>
      <c r="BH24" s="314">
        <f>VLOOKUP(BH$1,'Náklady na ppp ER 2018'!$C$4:$L$279,$A24,FALSE)</f>
        <v>18881.38</v>
      </c>
      <c r="BI24" s="314">
        <f>VLOOKUP(BI$1,'Náklady na ppp ER 2018'!$C$4:$L$279,$A24,FALSE)</f>
        <v>38065.74</v>
      </c>
      <c r="BJ24" s="314">
        <f>VLOOKUP(BJ$1,'Náklady na ppp ER 2018'!$C$4:$L$279,$A24,FALSE)</f>
        <v>56974.55</v>
      </c>
      <c r="BK24" s="314">
        <f>VLOOKUP(BK$1,'Náklady na ppp ER 2018'!$C$4:$L$279,$A24,FALSE)</f>
        <v>59007.88</v>
      </c>
      <c r="BL24" s="314" t="e">
        <f>VLOOKUP(BL$1,'Náklady na ppp ER 2018'!$C$4:$L$279,$A24,FALSE)</f>
        <v>#N/A</v>
      </c>
      <c r="BM24" s="314">
        <f>VLOOKUP(BM$1,'Náklady na ppp ER 2018'!$C$4:$L$279,$A24,FALSE)</f>
        <v>7956.5</v>
      </c>
      <c r="BN24" s="314">
        <f>VLOOKUP(BN$1,'Náklady na ppp ER 2018'!$C$4:$L$279,$A24,FALSE)</f>
        <v>54047</v>
      </c>
      <c r="BO24" s="314">
        <f>VLOOKUP(BO$1,'Náklady na ppp ER 2018'!$C$4:$L$279,$A24,FALSE)</f>
        <v>54046.96</v>
      </c>
      <c r="BP24" s="314">
        <f>VLOOKUP(BP$1,'Náklady na ppp ER 2018'!$C$4:$L$279,$A24,FALSE)</f>
        <v>67282.37</v>
      </c>
      <c r="BQ24" s="314">
        <f>VLOOKUP(BQ$1,'Náklady na ppp ER 2018'!$C$4:$L$279,$A24,FALSE)</f>
        <v>47134.52</v>
      </c>
      <c r="BR24" s="314">
        <f>VLOOKUP(BR$1,'Náklady na ppp ER 2018'!$C$4:$L$279,$A24,FALSE)</f>
        <v>59714.06</v>
      </c>
      <c r="BS24" s="314">
        <f>VLOOKUP(BS$1,'Náklady na ppp ER 2018'!$C$4:$L$279,$A24,FALSE)</f>
        <v>124816.39</v>
      </c>
      <c r="BT24" s="314">
        <f>VLOOKUP(BT$1,'Náklady na ppp ER 2018'!$C$4:$L$279,$A24,FALSE)</f>
        <v>11816.02</v>
      </c>
      <c r="BU24" s="314">
        <f>VLOOKUP(BU$1,'Náklady na ppp ER 2018'!$C$4:$L$279,$A24,FALSE)</f>
        <v>37399.22</v>
      </c>
      <c r="BV24" s="314">
        <f>VLOOKUP(BV$1,'Náklady na ppp ER 2018'!$C$4:$L$279,$A24,FALSE)</f>
        <v>4149.78</v>
      </c>
      <c r="BW24" s="314">
        <f>VLOOKUP(BW$1,'Náklady na ppp ER 2018'!$C$4:$L$279,$A24,FALSE)</f>
        <v>15777.78</v>
      </c>
      <c r="BX24" s="314">
        <f>VLOOKUP(BX$1,'Náklady na ppp ER 2018'!$C$4:$L$279,$A24,FALSE)</f>
        <v>24571.55</v>
      </c>
      <c r="BY24" s="314">
        <f>VLOOKUP(BY$1,'Náklady na ppp ER 2018'!$C$4:$L$279,$A24,FALSE)</f>
        <v>51484</v>
      </c>
      <c r="BZ24" s="314">
        <f>VLOOKUP(BZ$1,'Náklady na ppp ER 2018'!$C$4:$L$279,$A24,FALSE)</f>
        <v>92420.51</v>
      </c>
      <c r="CA24" s="314" t="e">
        <f>VLOOKUP(CA$1,'Náklady na ppp ER 2018'!$C$4:$L$279,$A24,FALSE)</f>
        <v>#N/A</v>
      </c>
      <c r="CB24" s="314">
        <f>VLOOKUP(CB$1,'Náklady na ppp ER 2018'!$C$4:$L$279,$A24,FALSE)</f>
        <v>375945.07</v>
      </c>
      <c r="CC24" s="314">
        <f>VLOOKUP(CC$1,'Náklady na ppp ER 2018'!$C$4:$L$279,$A24,FALSE)</f>
        <v>45488.66</v>
      </c>
      <c r="CD24" s="314">
        <f>VLOOKUP(CD$1,'Náklady na ppp ER 2018'!$C$4:$L$279,$A24,FALSE)</f>
        <v>73812.179999999993</v>
      </c>
      <c r="CE24" s="314">
        <f>VLOOKUP(CE$1,'Náklady na ppp ER 2018'!$C$4:$L$279,$A24,FALSE)</f>
        <v>30645.46</v>
      </c>
      <c r="CF24" s="314">
        <f>VLOOKUP(CF$1,'Náklady na ppp ER 2018'!$C$4:$L$279,$A24,FALSE)</f>
        <v>116438.35</v>
      </c>
      <c r="CG24" s="314">
        <f>VLOOKUP(CG$1,'Náklady na ppp ER 2018'!$C$4:$L$279,$A24,FALSE)</f>
        <v>98485.87</v>
      </c>
      <c r="CH24" s="314">
        <f>VLOOKUP(CH$1,'Náklady na ppp ER 2018'!$C$4:$L$279,$A24,FALSE)</f>
        <v>109090.02</v>
      </c>
      <c r="CI24" s="314">
        <f>VLOOKUP(CI$1,'Náklady na ppp ER 2018'!$C$4:$L$279,$A24,FALSE)</f>
        <v>56643.57</v>
      </c>
      <c r="CJ24" s="314">
        <f>VLOOKUP(CJ$1,'Náklady na ppp ER 2018'!$C$4:$L$279,$A24,FALSE)</f>
        <v>73101.59</v>
      </c>
      <c r="CK24" s="314">
        <f>VLOOKUP(CK$1,'Náklady na ppp ER 2018'!$C$4:$L$279,$A24,FALSE)</f>
        <v>122897.47</v>
      </c>
      <c r="CL24" s="314">
        <f>VLOOKUP(CL$1,'Náklady na ppp ER 2018'!$C$4:$L$279,$A24,FALSE)</f>
        <v>124448.09</v>
      </c>
      <c r="CM24" s="314">
        <f>VLOOKUP(CM$1,'Náklady na ppp ER 2018'!$C$4:$L$279,$A24,FALSE)</f>
        <v>37356.39</v>
      </c>
      <c r="CN24" s="314">
        <f>VLOOKUP(CN$1,'Náklady na ppp ER 2018'!$C$4:$L$279,$A24,FALSE)</f>
        <v>48064.14</v>
      </c>
      <c r="CO24" s="314">
        <f>VLOOKUP(CO$1,'Náklady na ppp ER 2018'!$C$4:$L$279,$A24,FALSE)</f>
        <v>60133.64</v>
      </c>
      <c r="CP24" s="314">
        <f>VLOOKUP(CP$1,'Náklady na ppp ER 2018'!$C$4:$L$279,$A24,FALSE)</f>
        <v>55070.99</v>
      </c>
      <c r="CQ24" s="314">
        <f>VLOOKUP(CQ$1,'Náklady na ppp ER 2018'!$C$4:$L$279,$A24,FALSE)</f>
        <v>35574.379999999997</v>
      </c>
      <c r="CR24" s="314" t="e">
        <f>VLOOKUP(CR$1,'Náklady na ppp ER 2018'!$C$4:$L$279,$A24,FALSE)</f>
        <v>#N/A</v>
      </c>
      <c r="CS24" s="314" t="e">
        <f>VLOOKUP(CS$1,'Náklady na ppp ER 2018'!$C$4:$L$279,$A24,FALSE)</f>
        <v>#N/A</v>
      </c>
      <c r="CT24" s="314">
        <f>VLOOKUP(CT$1,'Náklady na ppp ER 2018'!$C$4:$L$279,$A24,FALSE)</f>
        <v>189660.67</v>
      </c>
      <c r="CU24" s="314">
        <f>VLOOKUP(CU$1,'Náklady na ppp ER 2018'!$C$4:$L$279,$A24,FALSE)</f>
        <v>43594.25</v>
      </c>
      <c r="CV24" s="314">
        <f>VLOOKUP(CV$1,'Náklady na ppp ER 2018'!$C$4:$L$279,$A24,FALSE)</f>
        <v>95448.6</v>
      </c>
      <c r="CW24" s="314" t="e">
        <f>VLOOKUP(CW$1,'Náklady na ppp ER 2018'!$C$4:$L$279,$A24,FALSE)</f>
        <v>#N/A</v>
      </c>
      <c r="CX24" s="314">
        <f>VLOOKUP(CX$1,'Náklady na ppp ER 2018'!$C$4:$L$279,$A24,FALSE)</f>
        <v>25046.959999999999</v>
      </c>
      <c r="CY24" s="314">
        <f>VLOOKUP(CY$1,'Náklady na ppp ER 2018'!$C$4:$L$279,$A24,FALSE)</f>
        <v>112605.48</v>
      </c>
      <c r="CZ24" s="314">
        <f>VLOOKUP(CZ$1,'Náklady na ppp ER 2018'!$C$4:$L$279,$A24,FALSE)</f>
        <v>46445.2</v>
      </c>
      <c r="DA24" s="314">
        <f>VLOOKUP(DA$1,'Náklady na ppp ER 2018'!$C$4:$L$279,$A24,FALSE)</f>
        <v>7670.02</v>
      </c>
      <c r="DB24" s="314">
        <f>VLOOKUP(DB$1,'Náklady na ppp ER 2018'!$C$4:$L$279,$A24,FALSE)</f>
        <v>71254.81</v>
      </c>
      <c r="DC24" s="314">
        <f>VLOOKUP(DC$1,'Náklady na ppp ER 2018'!$C$4:$L$279,$A24,FALSE)</f>
        <v>36996.800000000003</v>
      </c>
      <c r="DD24" s="314">
        <f>VLOOKUP(DD$1,'Náklady na ppp ER 2018'!$C$4:$L$279,$A24,FALSE)</f>
        <v>39709.050000000003</v>
      </c>
      <c r="DE24" s="314">
        <f>VLOOKUP(DE$1,'Náklady na ppp ER 2018'!$C$4:$L$279,$A24,FALSE)</f>
        <v>36266.36</v>
      </c>
      <c r="DF24" s="314">
        <f>VLOOKUP(DF$1,'Náklady na ppp ER 2018'!$C$4:$L$279,$A24,FALSE)</f>
        <v>44503.38</v>
      </c>
      <c r="DG24" s="314" t="e">
        <f>VLOOKUP(DG$1,'Náklady na ppp ER 2018'!$C$4:$L$279,$A24,FALSE)</f>
        <v>#N/A</v>
      </c>
      <c r="DH24" s="314">
        <f>VLOOKUP(DH$1,'Náklady na ppp ER 2018'!$C$4:$L$279,$A24,FALSE)</f>
        <v>12817.63</v>
      </c>
      <c r="DI24" s="314">
        <f>VLOOKUP(DI$1,'Náklady na ppp ER 2018'!$C$4:$L$279,$A24,FALSE)</f>
        <v>33593.01</v>
      </c>
      <c r="DJ24" s="314">
        <f>VLOOKUP(DJ$1,'Náklady na ppp ER 2018'!$C$4:$L$279,$A24,FALSE)</f>
        <v>35588.97</v>
      </c>
      <c r="DK24" s="314">
        <f>VLOOKUP(DK$1,'Náklady na ppp ER 2018'!$C$4:$L$279,$A24,FALSE)</f>
        <v>84658.09</v>
      </c>
      <c r="DL24" s="314">
        <f>VLOOKUP(DL$1,'Náklady na ppp ER 2018'!$C$4:$L$279,$A24,FALSE)</f>
        <v>15312.21</v>
      </c>
      <c r="DM24" s="314">
        <f>VLOOKUP(DM$1,'Náklady na ppp ER 2018'!$C$4:$L$279,$A24,FALSE)</f>
        <v>36227.85</v>
      </c>
      <c r="DN24" s="314">
        <f>VLOOKUP(DN$1,'Náklady na ppp ER 2018'!$C$4:$L$279,$A24,FALSE)</f>
        <v>32587.200000000001</v>
      </c>
      <c r="DO24" s="314">
        <f>VLOOKUP(DO$1,'Náklady na ppp ER 2018'!$C$4:$L$279,$A24,FALSE)</f>
        <v>21494.06</v>
      </c>
      <c r="DP24" s="314">
        <f>VLOOKUP(DP$1,'Náklady na ppp ER 2018'!$C$4:$L$279,$A24,FALSE)</f>
        <v>57778.879999999997</v>
      </c>
      <c r="DQ24" s="314">
        <f>VLOOKUP(DQ$1,'Náklady na ppp ER 2018'!$C$4:$L$279,$A24,FALSE)</f>
        <v>29175.48</v>
      </c>
      <c r="DR24" s="314">
        <f>VLOOKUP(DR$1,'Náklady na ppp ER 2018'!$C$4:$L$279,$A24,FALSE)</f>
        <v>50326.37</v>
      </c>
      <c r="DS24" s="314" t="e">
        <f>VLOOKUP(DS$1,'Náklady na ppp ER 2018'!$C$4:$L$279,$A24,FALSE)</f>
        <v>#N/A</v>
      </c>
      <c r="DT24" s="314">
        <f>VLOOKUP(DT$1,'Náklady na ppp ER 2018'!$C$4:$L$279,$A24,FALSE)</f>
        <v>192624.01</v>
      </c>
      <c r="DU24" s="314">
        <f>VLOOKUP(DU$1,'Náklady na ppp ER 2018'!$C$4:$L$279,$A24,FALSE)</f>
        <v>16176.47</v>
      </c>
      <c r="DV24" s="314">
        <f>VLOOKUP(DV$1,'Náklady na ppp ER 2018'!$C$4:$L$279,$A24,FALSE)</f>
        <v>67957.95</v>
      </c>
      <c r="DW24" s="314" t="e">
        <f>VLOOKUP(DW$1,'Náklady na ppp ER 2018'!$C$4:$L$279,$A24,FALSE)</f>
        <v>#N/A</v>
      </c>
      <c r="DX24" s="314">
        <f>VLOOKUP(DX$1,'Náklady na ppp ER 2018'!$C$4:$L$279,$A24,FALSE)</f>
        <v>41566.25</v>
      </c>
      <c r="DY24" s="314">
        <f>VLOOKUP(DY$1,'Náklady na ppp ER 2018'!$C$4:$L$279,$A24,FALSE)</f>
        <v>37144.910000000003</v>
      </c>
      <c r="DZ24" s="314">
        <f>VLOOKUP(DZ$1,'Náklady na ppp ER 2018'!$C$4:$L$279,$A24,FALSE)</f>
        <v>53464.12</v>
      </c>
      <c r="EA24" s="314">
        <f>VLOOKUP(EA$1,'Náklady na ppp ER 2018'!$C$4:$L$279,$A24,FALSE)</f>
        <v>20225.5</v>
      </c>
      <c r="EB24" s="314">
        <f>VLOOKUP(EB$1,'Náklady na ppp ER 2018'!$C$4:$L$279,$A24,FALSE)</f>
        <v>69952.45</v>
      </c>
      <c r="EC24" s="314">
        <f>VLOOKUP(EC$1,'Náklady na ppp ER 2018'!$C$4:$L$279,$A24,FALSE)</f>
        <v>36901.42</v>
      </c>
      <c r="ED24" s="314">
        <f>VLOOKUP(ED$1,'Náklady na ppp ER 2018'!$C$4:$L$279,$A24,FALSE)</f>
        <v>51698.58</v>
      </c>
      <c r="EE24" s="314">
        <f>VLOOKUP(EE$1,'Náklady na ppp ER 2018'!$C$4:$L$279,$A24,FALSE)</f>
        <v>27333.64</v>
      </c>
      <c r="EF24" s="314">
        <f>VLOOKUP(EF$1,'Náklady na ppp ER 2018'!$C$4:$L$279,$A24,FALSE)</f>
        <v>30741.54</v>
      </c>
      <c r="EG24" s="314">
        <f>VLOOKUP(EG$1,'Náklady na ppp ER 2018'!$C$4:$L$279,$A24,FALSE)</f>
        <v>322.52999999999997</v>
      </c>
      <c r="EH24" s="314">
        <f>VLOOKUP(EH$1,'Náklady na ppp ER 2018'!$C$4:$L$279,$A24,FALSE)</f>
        <v>33115.08</v>
      </c>
      <c r="EI24" s="314">
        <f>VLOOKUP(EI$1,'Náklady na ppp ER 2018'!$C$4:$L$279,$A24,FALSE)</f>
        <v>24100.26</v>
      </c>
      <c r="EJ24" s="314">
        <f>VLOOKUP(EJ$1,'Náklady na ppp ER 2018'!$C$4:$L$279,$A24,FALSE)</f>
        <v>24153.24</v>
      </c>
      <c r="EK24" s="314">
        <f>VLOOKUP(EK$1,'Náklady na ppp ER 2018'!$C$4:$L$279,$A24,FALSE)</f>
        <v>35879.360000000001</v>
      </c>
      <c r="EL24" s="314">
        <f>VLOOKUP(EL$1,'Náklady na ppp ER 2018'!$C$4:$L$279,$A24,FALSE)</f>
        <v>62171.68</v>
      </c>
      <c r="EM24" s="314">
        <f>VLOOKUP(EM$1,'Náklady na ppp ER 2018'!$C$4:$L$279,$A24,FALSE)</f>
        <v>66534.759999999995</v>
      </c>
      <c r="EN24" s="314">
        <f>VLOOKUP(EN$1,'Náklady na ppp ER 2018'!$C$4:$L$279,$A24,FALSE)</f>
        <v>57589.71</v>
      </c>
      <c r="EO24" s="314">
        <f>VLOOKUP(EO$1,'Náklady na ppp ER 2018'!$C$4:$L$279,$A24,FALSE)</f>
        <v>384155</v>
      </c>
      <c r="EP24" s="314">
        <f>VLOOKUP(EP$1,'Náklady na ppp ER 2018'!$C$4:$L$279,$A24,FALSE)</f>
        <v>222242.08</v>
      </c>
      <c r="EQ24" s="314">
        <f>VLOOKUP(EQ$1,'Náklady na ppp ER 2018'!$C$4:$L$279,$A24,FALSE)</f>
        <v>183765.63</v>
      </c>
      <c r="ER24" s="314">
        <f>VLOOKUP(ER$1,'Náklady na ppp ER 2018'!$C$4:$L$279,$A24,FALSE)</f>
        <v>25095.15</v>
      </c>
      <c r="ES24" s="314">
        <f>VLOOKUP(ES$1,'Náklady na ppp ER 2018'!$C$4:$L$279,$A24,FALSE)</f>
        <v>13150.39</v>
      </c>
      <c r="ET24" s="314" t="e">
        <f>VLOOKUP(ET$1,'Náklady na ppp ER 2018'!$C$4:$L$279,$A24,FALSE)</f>
        <v>#N/A</v>
      </c>
      <c r="EU24" s="314" t="e">
        <f>VLOOKUP(EU$1,'Náklady na ppp ER 2018'!$C$4:$L$279,$A24,FALSE)</f>
        <v>#N/A</v>
      </c>
      <c r="EV24" s="314">
        <f>VLOOKUP(EV$1,'Náklady na ppp ER 2018'!$C$4:$L$279,$A24,FALSE)</f>
        <v>0</v>
      </c>
      <c r="EW24" s="314">
        <f>VLOOKUP(EW$1,'Náklady na ppp ER 2018'!$C$4:$L$279,$A24,FALSE)</f>
        <v>31685.67</v>
      </c>
      <c r="EX24" s="314">
        <f>VLOOKUP(EX$1,'Náklady na ppp ER 2018'!$C$4:$L$279,$A24,FALSE)</f>
        <v>54406.57</v>
      </c>
      <c r="EY24" s="314">
        <f>VLOOKUP(EY$1,'Náklady na ppp ER 2018'!$C$4:$L$279,$A24,FALSE)</f>
        <v>18394.22</v>
      </c>
      <c r="EZ24" s="314">
        <f>VLOOKUP(EZ$1,'Náklady na ppp ER 2018'!$C$4:$L$279,$A24,FALSE)</f>
        <v>4710.6400000000003</v>
      </c>
      <c r="FA24" s="314">
        <f>VLOOKUP(FA$1,'Náklady na ppp ER 2018'!$C$4:$L$279,$A24,FALSE)</f>
        <v>44626.92</v>
      </c>
      <c r="FB24" s="314">
        <f>VLOOKUP(FB$1,'Náklady na ppp ER 2018'!$C$4:$L$279,$A24,FALSE)</f>
        <v>0</v>
      </c>
      <c r="FC24" s="314">
        <f>VLOOKUP(FC$1,'Náklady na ppp ER 2018'!$C$4:$L$279,$A24,FALSE)</f>
        <v>41524.46</v>
      </c>
      <c r="FD24" s="314">
        <f>VLOOKUP(FD$1,'Náklady na ppp ER 2018'!$C$4:$L$279,$A24,FALSE)</f>
        <v>128099.26</v>
      </c>
      <c r="FE24" s="314">
        <f>VLOOKUP(FE$1,'Náklady na ppp ER 2018'!$C$4:$L$279,$A24,FALSE)</f>
        <v>94007.63</v>
      </c>
      <c r="FF24" s="314">
        <f>VLOOKUP(FF$1,'Náklady na ppp ER 2018'!$C$4:$L$279,$A24,FALSE)</f>
        <v>17633.330000000002</v>
      </c>
      <c r="FG24" s="314">
        <f>VLOOKUP(FG$1,'Náklady na ppp ER 2018'!$C$4:$L$279,$A24,FALSE)</f>
        <v>74375.66</v>
      </c>
      <c r="FH24" s="314">
        <f>VLOOKUP(FH$1,'Náklady na ppp ER 2018'!$C$4:$L$279,$A24,FALSE)</f>
        <v>65589.48</v>
      </c>
      <c r="FI24" s="314">
        <f>VLOOKUP(FI$1,'Náklady na ppp ER 2018'!$C$4:$L$279,$A24,FALSE)</f>
        <v>79882.960000000006</v>
      </c>
      <c r="FJ24" s="314">
        <f>VLOOKUP(FJ$1,'Náklady na ppp ER 2018'!$C$4:$L$279,$A24,FALSE)</f>
        <v>9058.75</v>
      </c>
      <c r="FK24" s="314">
        <f>VLOOKUP(FK$1,'Náklady na ppp ER 2018'!$C$4:$L$279,$A24,FALSE)</f>
        <v>56598.22</v>
      </c>
      <c r="FL24" s="314">
        <f>VLOOKUP(FL$1,'Náklady na ppp ER 2018'!$C$4:$L$279,$A24,FALSE)</f>
        <v>49513.33</v>
      </c>
      <c r="FM24" s="314">
        <f>VLOOKUP(FM$1,'Náklady na ppp ER 2018'!$C$4:$L$279,$A24,FALSE)</f>
        <v>11746</v>
      </c>
      <c r="FN24" s="314">
        <f>VLOOKUP(FN$1,'Náklady na ppp ER 2018'!$C$4:$L$279,$A24,FALSE)</f>
        <v>37209.67</v>
      </c>
      <c r="FO24" s="314">
        <f>VLOOKUP(FO$1,'Náklady na ppp ER 2018'!$C$4:$L$279,$A24,FALSE)</f>
        <v>41514.44</v>
      </c>
      <c r="FP24" s="314">
        <f>VLOOKUP(FP$1,'Náklady na ppp ER 2018'!$C$4:$L$279,$A24,FALSE)</f>
        <v>87721.7</v>
      </c>
      <c r="FQ24" s="314">
        <f>VLOOKUP(FQ$1,'Náklady na ppp ER 2018'!$C$4:$L$279,$A24,FALSE)</f>
        <v>136831.79999999999</v>
      </c>
      <c r="FR24" s="314" t="e">
        <f>VLOOKUP(FR$1,'Náklady na ppp ER 2018'!$C$4:$L$279,$A24,FALSE)</f>
        <v>#N/A</v>
      </c>
      <c r="FS24" s="314">
        <f>VLOOKUP(FS$1,'Náklady na ppp ER 2018'!$C$4:$L$279,$A24,FALSE)</f>
        <v>14898.1</v>
      </c>
      <c r="FT24" s="314">
        <f>VLOOKUP(FT$1,'Náklady na ppp ER 2018'!$C$4:$L$279,$A24,FALSE)</f>
        <v>36891.9</v>
      </c>
      <c r="FU24" s="314">
        <f>VLOOKUP(FU$1,'Náklady na ppp ER 2018'!$C$4:$L$279,$A24,FALSE)</f>
        <v>29642.31</v>
      </c>
      <c r="FV24" s="314">
        <f>VLOOKUP(FV$1,'Náklady na ppp ER 2018'!$C$4:$L$279,$A24,FALSE)</f>
        <v>11894</v>
      </c>
      <c r="FW24" s="314">
        <f>VLOOKUP(FW$1,'Náklady na ppp ER 2018'!$C$4:$L$279,$A24,FALSE)</f>
        <v>5795.39</v>
      </c>
      <c r="FX24" s="314">
        <f>VLOOKUP(FX$1,'Náklady na ppp ER 2018'!$C$4:$L$279,$A24,FALSE)</f>
        <v>7298.22</v>
      </c>
      <c r="FY24" s="314">
        <f>VLOOKUP(FY$1,'Náklady na ppp ER 2018'!$C$4:$L$279,$A24,FALSE)</f>
        <v>1190.83</v>
      </c>
      <c r="FZ24" s="314">
        <f>VLOOKUP(FZ$1,'Náklady na ppp ER 2018'!$C$4:$L$279,$A24,FALSE)</f>
        <v>24116.48</v>
      </c>
      <c r="GA24" s="314">
        <f>VLOOKUP(GA$1,'Náklady na ppp ER 2018'!$C$4:$L$279,$A24,FALSE)</f>
        <v>57894.74</v>
      </c>
      <c r="GB24" s="314">
        <f>VLOOKUP(GB$1,'Náklady na ppp ER 2018'!$C$4:$L$279,$A24,FALSE)</f>
        <v>74365.61</v>
      </c>
      <c r="GC24" s="314">
        <f>VLOOKUP(GC$1,'Náklady na ppp ER 2018'!$C$4:$L$279,$A24,FALSE)</f>
        <v>52428.53</v>
      </c>
      <c r="GD24" s="314">
        <f>VLOOKUP(GD$1,'Náklady na ppp ER 2018'!$C$4:$L$279,$A24,FALSE)</f>
        <v>142518.43</v>
      </c>
      <c r="GE24" s="314">
        <f>VLOOKUP(GE$1,'Náklady na ppp ER 2018'!$C$4:$L$279,$A24,FALSE)</f>
        <v>20611.560000000001</v>
      </c>
      <c r="GF24" s="314">
        <f>VLOOKUP(GF$1,'Náklady na ppp ER 2018'!$C$4:$L$279,$A24,FALSE)</f>
        <v>18208.93</v>
      </c>
      <c r="GG24" s="314">
        <f>VLOOKUP(GG$1,'Náklady na ppp ER 2018'!$C$4:$L$279,$A24,FALSE)</f>
        <v>40656.33</v>
      </c>
      <c r="GH24" s="314">
        <f>VLOOKUP(GH$1,'Náklady na ppp ER 2018'!$C$4:$L$279,$A24,FALSE)</f>
        <v>56457.56</v>
      </c>
      <c r="GI24" s="314">
        <f>VLOOKUP(GI$1,'Náklady na ppp ER 2018'!$C$4:$L$279,$A24,FALSE)</f>
        <v>44562.15</v>
      </c>
      <c r="GJ24" s="314">
        <f>VLOOKUP(GJ$1,'Náklady na ppp ER 2018'!$C$4:$L$279,$A24,FALSE)</f>
        <v>53327.47</v>
      </c>
      <c r="GK24" s="314">
        <f>VLOOKUP(GK$1,'Náklady na ppp ER 2018'!$C$4:$L$279,$A24,FALSE)</f>
        <v>30295.59</v>
      </c>
      <c r="GL24" s="314">
        <f>VLOOKUP(GL$1,'Náklady na ppp ER 2018'!$C$4:$L$279,$A24,FALSE)</f>
        <v>54009.62</v>
      </c>
      <c r="GM24" s="314">
        <f>VLOOKUP(GM$1,'Náklady na ppp ER 2018'!$C$4:$L$279,$A24,FALSE)</f>
        <v>53913.03</v>
      </c>
      <c r="GN24" s="314">
        <f>VLOOKUP(GN$1,'Náklady na ppp ER 2018'!$C$4:$L$279,$A24,FALSE)</f>
        <v>28618.5</v>
      </c>
      <c r="GO24" s="314">
        <f>VLOOKUP(GO$1,'Náklady na ppp ER 2018'!$C$4:$L$279,$A24,FALSE)</f>
        <v>29985.55</v>
      </c>
      <c r="GP24" s="314">
        <f>VLOOKUP(GP$1,'Náklady na ppp ER 2018'!$C$4:$L$279,$A24,FALSE)</f>
        <v>101134.18</v>
      </c>
      <c r="GQ24" s="314">
        <f>VLOOKUP(GQ$1,'Náklady na ppp ER 2018'!$C$4:$L$279,$A24,FALSE)</f>
        <v>6073.14</v>
      </c>
      <c r="GR24" s="314">
        <f>VLOOKUP(GR$1,'Náklady na ppp ER 2018'!$C$4:$L$279,$A24,FALSE)</f>
        <v>22601.4</v>
      </c>
      <c r="GS24" s="314">
        <f>VLOOKUP(GS$1,'Náklady na ppp ER 2018'!$C$4:$L$279,$A24,FALSE)</f>
        <v>84579.21</v>
      </c>
      <c r="GT24" s="314">
        <f>VLOOKUP(GT$1,'Náklady na ppp ER 2018'!$C$4:$L$279,$A24,FALSE)</f>
        <v>45022.3</v>
      </c>
      <c r="GU24" s="314">
        <f>VLOOKUP(GU$1,'Náklady na ppp ER 2018'!$C$4:$L$279,$A24,FALSE)</f>
        <v>24241.18</v>
      </c>
      <c r="GV24" s="314" t="e">
        <f>VLOOKUP(GV$1,'Náklady na ppp ER 2018'!$C$4:$L$279,$A24,FALSE)</f>
        <v>#N/A</v>
      </c>
      <c r="GW24" s="314">
        <f>VLOOKUP(GW$1,'Náklady na ppp ER 2018'!$C$4:$L$279,$A24,FALSE)</f>
        <v>82595.87</v>
      </c>
      <c r="GX24" s="314">
        <f>VLOOKUP(GX$1,'Náklady na ppp ER 2018'!$C$4:$L$279,$A24,FALSE)</f>
        <v>9679.41</v>
      </c>
      <c r="GY24" s="314">
        <f>VLOOKUP(GY$1,'Náklady na ppp ER 2018'!$C$4:$L$279,$A24,FALSE)</f>
        <v>108939.52</v>
      </c>
      <c r="GZ24" s="314" t="e">
        <f>VLOOKUP(GZ$1,'Náklady na ppp ER 2018'!$C$4:$L$279,$A24,FALSE)</f>
        <v>#N/A</v>
      </c>
      <c r="HA24" s="314">
        <f>VLOOKUP(HA$1,'Náklady na ppp ER 2018'!$C$4:$L$279,$A24,FALSE)</f>
        <v>40270.76</v>
      </c>
      <c r="HB24" s="314">
        <f>VLOOKUP(HB$1,'Náklady na ppp ER 2018'!$C$4:$L$279,$A24,FALSE)</f>
        <v>115550</v>
      </c>
      <c r="HC24" s="314">
        <f>VLOOKUP(HC$1,'Náklady na ppp ER 2018'!$C$4:$L$279,$A24,FALSE)</f>
        <v>78094.03</v>
      </c>
      <c r="HD24" s="314">
        <f>VLOOKUP(HD$1,'Náklady na ppp ER 2018'!$C$4:$L$279,$A24,FALSE)</f>
        <v>15626.86</v>
      </c>
      <c r="HE24" s="314">
        <f>VLOOKUP(HE$1,'Náklady na ppp ER 2018'!$C$4:$L$279,$A24,FALSE)</f>
        <v>90411.07</v>
      </c>
      <c r="HF24" s="314">
        <f>VLOOKUP(HF$1,'Náklady na ppp ER 2018'!$C$4:$L$279,$A24,FALSE)</f>
        <v>29787.95</v>
      </c>
      <c r="HG24" s="314">
        <f>VLOOKUP(HG$1,'Náklady na ppp ER 2018'!$C$4:$L$279,$A24,FALSE)</f>
        <v>8239.57</v>
      </c>
      <c r="HH24" s="314">
        <f>VLOOKUP(HH$1,'Náklady na ppp ER 2018'!$C$4:$L$279,$A24,FALSE)</f>
        <v>23200.74</v>
      </c>
      <c r="HI24" s="314">
        <f>VLOOKUP(HI$1,'Náklady na ppp ER 2018'!$C$4:$L$279,$A24,FALSE)</f>
        <v>51645.47</v>
      </c>
      <c r="HJ24" s="314">
        <f>VLOOKUP(HJ$1,'Náklady na ppp ER 2018'!$C$4:$L$279,$A24,FALSE)</f>
        <v>16974.37</v>
      </c>
      <c r="HK24" s="314">
        <f>VLOOKUP(HK$1,'Náklady na ppp ER 2018'!$C$4:$L$279,$A24,FALSE)</f>
        <v>22103.85</v>
      </c>
      <c r="HL24" s="314">
        <f>VLOOKUP(HL$1,'Náklady na ppp ER 2018'!$C$4:$L$279,$A24,FALSE)</f>
        <v>65543.8</v>
      </c>
      <c r="HM24" s="314">
        <f>VLOOKUP(HM$1,'Náklady na ppp ER 2018'!$C$4:$L$279,$A24,FALSE)</f>
        <v>64599.43</v>
      </c>
      <c r="HN24" s="314">
        <f>VLOOKUP(HN$1,'Náklady na ppp ER 2018'!$C$4:$L$279,$A24,FALSE)</f>
        <v>20882.73</v>
      </c>
      <c r="HO24" s="314">
        <f>VLOOKUP(HO$1,'Náklady na ppp ER 2018'!$C$4:$L$279,$A24,FALSE)</f>
        <v>48632.78</v>
      </c>
      <c r="HP24" s="314">
        <f>VLOOKUP(HP$1,'Náklady na ppp ER 2018'!$C$4:$L$279,$A24,FALSE)</f>
        <v>92816.66</v>
      </c>
      <c r="HQ24" s="314">
        <f>VLOOKUP(HQ$1,'Náklady na ppp ER 2018'!$C$4:$L$279,$A24,FALSE)</f>
        <v>31797.14</v>
      </c>
      <c r="HR24" s="314">
        <f>VLOOKUP(HR$1,'Náklady na ppp ER 2018'!$C$4:$L$279,$A24,FALSE)</f>
        <v>79123.06</v>
      </c>
      <c r="HS24" s="314">
        <f>VLOOKUP(HS$1,'Náklady na ppp ER 2018'!$C$4:$L$279,$A24,FALSE)</f>
        <v>73612.92</v>
      </c>
      <c r="HT24" s="314">
        <f>VLOOKUP(HT$1,'Náklady na ppp ER 2018'!$C$4:$L$279,$A24,FALSE)</f>
        <v>116892.82</v>
      </c>
      <c r="HU24" s="314">
        <f>VLOOKUP(HU$1,'Náklady na ppp ER 2018'!$C$4:$L$279,$A24,FALSE)</f>
        <v>68868.42</v>
      </c>
      <c r="HV24" s="314">
        <f>VLOOKUP(HV$1,'Náklady na ppp ER 2018'!$C$4:$L$279,$A24,FALSE)</f>
        <v>67576.179999999993</v>
      </c>
      <c r="HW24" s="314">
        <f>VLOOKUP(HW$1,'Náklady na ppp ER 2018'!$C$4:$L$279,$A24,FALSE)</f>
        <v>89458.42</v>
      </c>
      <c r="HX24" s="314">
        <f>VLOOKUP(HX$1,'Náklady na ppp ER 2018'!$C$4:$L$279,$A24,FALSE)</f>
        <v>94612.93</v>
      </c>
      <c r="HY24" s="314">
        <f>VLOOKUP(HY$1,'Náklady na ppp ER 2018'!$C$4:$L$279,$A24,FALSE)</f>
        <v>170073.33</v>
      </c>
      <c r="HZ24" s="314">
        <f>VLOOKUP(HZ$1,'Náklady na ppp ER 2018'!$C$4:$L$279,$A24,FALSE)</f>
        <v>138935.85999999999</v>
      </c>
      <c r="IA24" s="314">
        <f>VLOOKUP(IA$1,'Náklady na ppp ER 2018'!$C$4:$L$279,$A24,FALSE)</f>
        <v>76793.27</v>
      </c>
      <c r="IB24" s="314">
        <f>VLOOKUP(IB$1,'Náklady na ppp ER 2018'!$C$4:$L$279,$A24,FALSE)</f>
        <v>109471.57</v>
      </c>
      <c r="IC24" s="314">
        <f>VLOOKUP(IC$1,'Náklady na ppp ER 2018'!$C$4:$L$279,$A24,FALSE)</f>
        <v>119898.33</v>
      </c>
      <c r="ID24" s="314">
        <f>VLOOKUP(ID$1,'Náklady na ppp ER 2018'!$C$4:$L$279,$A24,FALSE)</f>
        <v>114272.38</v>
      </c>
      <c r="IE24" s="314">
        <f>VLOOKUP(IE$1,'Náklady na ppp ER 2018'!$C$4:$L$279,$A24,FALSE)</f>
        <v>138385.38</v>
      </c>
      <c r="IF24" s="314">
        <f>VLOOKUP(IF$1,'Náklady na ppp ER 2018'!$C$4:$L$279,$A24,FALSE)</f>
        <v>135401.63</v>
      </c>
      <c r="IG24" s="314" t="e">
        <f>VLOOKUP(IG$1,'Náklady na ppp ER 2018'!$C$4:$L$279,$A24,FALSE)</f>
        <v>#N/A</v>
      </c>
      <c r="IH24" s="314">
        <f>VLOOKUP(IH$1,'Náklady na ppp ER 2018'!$C$4:$L$279,$A24,FALSE)</f>
        <v>67542.25</v>
      </c>
      <c r="II24" s="314">
        <f>VLOOKUP(II$1,'Náklady na ppp ER 2018'!$C$4:$L$279,$A24,FALSE)</f>
        <v>83587.600000000006</v>
      </c>
      <c r="IJ24" s="314">
        <f>VLOOKUP(IJ$1,'Náklady na ppp ER 2018'!$C$4:$L$279,$A24,FALSE)</f>
        <v>131807.74</v>
      </c>
      <c r="IK24" s="314">
        <f>VLOOKUP(IK$1,'Náklady na ppp ER 2018'!$C$4:$L$279,$A24,FALSE)</f>
        <v>32426.48</v>
      </c>
      <c r="IL24" s="314">
        <f>VLOOKUP(IL$1,'Náklady na ppp ER 2018'!$C$4:$L$279,$A24,FALSE)</f>
        <v>74127.58</v>
      </c>
      <c r="IM24" s="314">
        <f>VLOOKUP(IM$1,'Náklady na ppp ER 2018'!$C$4:$L$279,$A24,FALSE)</f>
        <v>163031.25</v>
      </c>
      <c r="IN24" s="314">
        <f>VLOOKUP(IN$1,'Náklady na ppp ER 2018'!$C$4:$L$279,$A24,FALSE)</f>
        <v>177353.41</v>
      </c>
      <c r="IO24" s="314">
        <f>VLOOKUP(IO$1,'Náklady na ppp ER 2018'!$C$4:$L$279,$A24,FALSE)</f>
        <v>84075.8</v>
      </c>
      <c r="IP24" s="314">
        <f>VLOOKUP(IP$1,'Náklady na ppp ER 2018'!$C$4:$L$279,$A24,FALSE)</f>
        <v>155063.12</v>
      </c>
      <c r="IQ24" s="314">
        <f>VLOOKUP(IQ$1,'Náklady na ppp ER 2018'!$C$4:$L$279,$A24,FALSE)</f>
        <v>166105.79</v>
      </c>
      <c r="IR24" s="314">
        <f>VLOOKUP(IR$1,'Náklady na ppp ER 2018'!$C$4:$L$279,$A24,FALSE)</f>
        <v>206668.24</v>
      </c>
      <c r="IS24" s="314">
        <f>VLOOKUP(IS$1,'Náklady na ppp ER 2018'!$C$4:$L$279,$A24,FALSE)</f>
        <v>116505.75</v>
      </c>
      <c r="IT24" s="314">
        <f>VLOOKUP(IT$1,'Náklady na ppp ER 2018'!$C$4:$L$279,$A24,FALSE)</f>
        <v>81993.22</v>
      </c>
      <c r="IU24" s="314">
        <f>VLOOKUP(IU$1,'Náklady na ppp ER 2018'!$C$4:$L$279,$A24,FALSE)</f>
        <v>21921.78</v>
      </c>
      <c r="IV24" s="314">
        <f>VLOOKUP(IV$1,'Náklady na ppp ER 2018'!$C$4:$L$279,$A24,FALSE)</f>
        <v>126413.83</v>
      </c>
      <c r="IW24" s="314">
        <f>VLOOKUP(IW$1,'Náklady na ppp ER 2018'!$C$4:$L$279,$A24,FALSE)</f>
        <v>111150.97</v>
      </c>
      <c r="IX24" s="314">
        <f>VLOOKUP(IX$1,'Náklady na ppp ER 2018'!$C$4:$L$279,$A24,FALSE)</f>
        <v>99785</v>
      </c>
      <c r="IY24" s="314">
        <f>VLOOKUP(IY$1,'Náklady na ppp ER 2018'!$C$4:$L$279,$A24,FALSE)</f>
        <v>105459.28</v>
      </c>
      <c r="IZ24" s="314">
        <f>VLOOKUP(IZ$1,'Náklady na ppp ER 2018'!$C$4:$L$279,$A24,FALSE)</f>
        <v>116676.12</v>
      </c>
      <c r="JA24" s="314">
        <f>VLOOKUP(JA$1,'Náklady na ppp ER 2018'!$C$4:$L$279,$A24,FALSE)</f>
        <v>48323.99</v>
      </c>
      <c r="JB24" s="314">
        <f>VLOOKUP(JB$1,'Náklady na ppp ER 2018'!$C$4:$L$279,$A24,FALSE)</f>
        <v>87439.79</v>
      </c>
      <c r="JC24" s="314">
        <f>VLOOKUP(JC$1,'Náklady na ppp ER 2018'!$C$4:$L$279,$A24,FALSE)</f>
        <v>58585.120000000003</v>
      </c>
      <c r="JD24" s="314">
        <f>VLOOKUP(JD$1,'Náklady na ppp ER 2018'!$C$4:$L$279,$A24,FALSE)</f>
        <v>44493.83</v>
      </c>
      <c r="JE24" s="314">
        <f>VLOOKUP(JE$1,'Náklady na ppp ER 2018'!$C$4:$L$279,$A24,FALSE)</f>
        <v>10821.24</v>
      </c>
      <c r="JF24" s="314">
        <f>VLOOKUP(JF$1,'Náklady na ppp ER 2018'!$C$4:$L$279,$A24,FALSE)</f>
        <v>69373.77</v>
      </c>
      <c r="JG24" s="314">
        <f>VLOOKUP(JG$1,'Náklady na ppp ER 2018'!$C$4:$L$279,$A24,FALSE)</f>
        <v>95872.66</v>
      </c>
      <c r="JH24" s="314">
        <f>VLOOKUP(JH$1,'Náklady na ppp ER 2018'!$C$4:$L$279,$A24,FALSE)</f>
        <v>0</v>
      </c>
      <c r="JL24" s="307"/>
      <c r="JM24" s="307"/>
      <c r="JN24" s="307"/>
      <c r="JO24" s="307"/>
      <c r="JP24" s="307"/>
    </row>
    <row r="25" spans="1:276" x14ac:dyDescent="0.25">
      <c r="A25" s="313">
        <v>9</v>
      </c>
      <c r="B25" s="313" t="s">
        <v>2455</v>
      </c>
      <c r="C25" s="314">
        <f>VLOOKUP(C$1,'Náklady na ppp ER 2018'!$C$4:$L$279,$A25,FALSE)</f>
        <v>167173.34</v>
      </c>
      <c r="D25" s="314">
        <f>VLOOKUP(D$1,'Náklady na ppp ER 2018'!$C$4:$L$279,$A25,FALSE)</f>
        <v>210792.44</v>
      </c>
      <c r="E25" s="314">
        <f>VLOOKUP(E$1,'Náklady na ppp ER 2018'!$C$4:$L$279,$A25,FALSE)</f>
        <v>321469.61</v>
      </c>
      <c r="F25" s="314">
        <f>VLOOKUP(F$1,'Náklady na ppp ER 2018'!$C$4:$L$279,$A25,FALSE)</f>
        <v>37391.18</v>
      </c>
      <c r="G25" s="314">
        <f>VLOOKUP(G$1,'Náklady na ppp ER 2018'!$C$4:$L$279,$A25,FALSE)</f>
        <v>110262.84</v>
      </c>
      <c r="H25" s="314" t="e">
        <f>VLOOKUP(H$1,'Náklady na ppp ER 2018'!$C$4:$L$279,$A25,FALSE)</f>
        <v>#N/A</v>
      </c>
      <c r="I25" s="314">
        <f>VLOOKUP(I$1,'Náklady na ppp ER 2018'!$C$4:$L$279,$A25,FALSE)</f>
        <v>176813.7</v>
      </c>
      <c r="J25" s="314">
        <f>VLOOKUP(J$1,'Náklady na ppp ER 2018'!$C$4:$L$279,$A25,FALSE)</f>
        <v>45178.68</v>
      </c>
      <c r="K25" s="314">
        <f>VLOOKUP(K$1,'Náklady na ppp ER 2018'!$C$4:$L$279,$A25,FALSE)</f>
        <v>118429.92</v>
      </c>
      <c r="L25" s="314">
        <f>VLOOKUP(L$1,'Náklady na ppp ER 2018'!$C$4:$L$279,$A25,FALSE)</f>
        <v>194263.95</v>
      </c>
      <c r="M25" s="314">
        <f>VLOOKUP(M$1,'Náklady na ppp ER 2018'!$C$4:$L$279,$A25,FALSE)</f>
        <v>34189.71</v>
      </c>
      <c r="N25" s="314">
        <f>VLOOKUP(N$1,'Náklady na ppp ER 2018'!$C$4:$L$279,$A25,FALSE)</f>
        <v>53548.61</v>
      </c>
      <c r="O25" s="314">
        <f>VLOOKUP(O$1,'Náklady na ppp ER 2018'!$C$4:$L$279,$A25,FALSE)</f>
        <v>150685.32</v>
      </c>
      <c r="P25" s="314">
        <f>VLOOKUP(P$1,'Náklady na ppp ER 2018'!$C$4:$L$279,$A25,FALSE)</f>
        <v>163699.49</v>
      </c>
      <c r="Q25" s="314">
        <f>VLOOKUP(Q$1,'Náklady na ppp ER 2018'!$C$4:$L$279,$A25,FALSE)</f>
        <v>55461.440000000002</v>
      </c>
      <c r="R25" s="314">
        <f>VLOOKUP(R$1,'Náklady na ppp ER 2018'!$C$4:$L$279,$A25,FALSE)</f>
        <v>149278.75</v>
      </c>
      <c r="S25" s="314">
        <f>VLOOKUP(S$1,'Náklady na ppp ER 2018'!$C$4:$L$279,$A25,FALSE)</f>
        <v>95043.95</v>
      </c>
      <c r="T25" s="314">
        <f>VLOOKUP(T$1,'Náklady na ppp ER 2018'!$C$4:$L$279,$A25,FALSE)</f>
        <v>557895</v>
      </c>
      <c r="U25" s="314">
        <f>VLOOKUP(U$1,'Náklady na ppp ER 2018'!$C$4:$L$279,$A25,FALSE)</f>
        <v>95017.34</v>
      </c>
      <c r="V25" s="314">
        <f>VLOOKUP(V$1,'Náklady na ppp ER 2018'!$C$4:$L$279,$A25,FALSE)</f>
        <v>46124.39</v>
      </c>
      <c r="W25" s="314">
        <f>VLOOKUP(W$1,'Náklady na ppp ER 2018'!$C$4:$L$279,$A25,FALSE)</f>
        <v>114348.92</v>
      </c>
      <c r="X25" s="314">
        <f>VLOOKUP(X$1,'Náklady na ppp ER 2018'!$C$4:$L$279,$A25,FALSE)</f>
        <v>123981.2</v>
      </c>
      <c r="Y25" s="314">
        <f>VLOOKUP(Y$1,'Náklady na ppp ER 2018'!$C$4:$L$279,$A25,FALSE)</f>
        <v>123706.22</v>
      </c>
      <c r="Z25" s="314">
        <f>VLOOKUP(Z$1,'Náklady na ppp ER 2018'!$C$4:$L$279,$A25,FALSE)</f>
        <v>150372.04999999999</v>
      </c>
      <c r="AA25" s="314">
        <f>VLOOKUP(AA$1,'Náklady na ppp ER 2018'!$C$4:$L$279,$A25,FALSE)</f>
        <v>79715.39</v>
      </c>
      <c r="AB25" s="314">
        <f>VLOOKUP(AB$1,'Náklady na ppp ER 2018'!$C$4:$L$279,$A25,FALSE)</f>
        <v>91077.23</v>
      </c>
      <c r="AC25" s="314">
        <f>VLOOKUP(AC$1,'Náklady na ppp ER 2018'!$C$4:$L$279,$A25,FALSE)</f>
        <v>195639.52</v>
      </c>
      <c r="AD25" s="314">
        <f>VLOOKUP(AD$1,'Náklady na ppp ER 2018'!$C$4:$L$279,$A25,FALSE)</f>
        <v>196849.48</v>
      </c>
      <c r="AE25" s="314">
        <f>VLOOKUP(AE$1,'Náklady na ppp ER 2018'!$C$4:$L$279,$A25,FALSE)</f>
        <v>43373.279999999999</v>
      </c>
      <c r="AF25" s="314">
        <f>VLOOKUP(AF$1,'Náklady na ppp ER 2018'!$C$4:$L$279,$A25,FALSE)</f>
        <v>83278.58</v>
      </c>
      <c r="AG25" s="314">
        <f>VLOOKUP(AG$1,'Náklady na ppp ER 2018'!$C$4:$L$279,$A25,FALSE)</f>
        <v>194814.02</v>
      </c>
      <c r="AH25" s="314">
        <f>VLOOKUP(AH$1,'Náklady na ppp ER 2018'!$C$4:$L$279,$A25,FALSE)</f>
        <v>72212.56</v>
      </c>
      <c r="AI25" s="314">
        <f>VLOOKUP(AI$1,'Náklady na ppp ER 2018'!$C$4:$L$279,$A25,FALSE)</f>
        <v>131074.89000000001</v>
      </c>
      <c r="AJ25" s="314">
        <f>VLOOKUP(AJ$1,'Náklady na ppp ER 2018'!$C$4:$L$279,$A25,FALSE)</f>
        <v>89509.78</v>
      </c>
      <c r="AK25" s="314">
        <f>VLOOKUP(AK$1,'Náklady na ppp ER 2018'!$C$4:$L$279,$A25,FALSE)</f>
        <v>54251.09</v>
      </c>
      <c r="AL25" s="314">
        <f>VLOOKUP(AL$1,'Náklady na ppp ER 2018'!$C$4:$L$279,$A25,FALSE)</f>
        <v>80498.960000000006</v>
      </c>
      <c r="AM25" s="314">
        <f>VLOOKUP(AM$1,'Náklady na ppp ER 2018'!$C$4:$L$279,$A25,FALSE)</f>
        <v>183034.4</v>
      </c>
      <c r="AN25" s="314">
        <f>VLOOKUP(AN$1,'Náklady na ppp ER 2018'!$C$4:$L$279,$A25,FALSE)</f>
        <v>101214.34</v>
      </c>
      <c r="AO25" s="314">
        <f>VLOOKUP(AO$1,'Náklady na ppp ER 2018'!$C$4:$L$279,$A25,FALSE)</f>
        <v>107090.8</v>
      </c>
      <c r="AP25" s="314">
        <f>VLOOKUP(AP$1,'Náklady na ppp ER 2018'!$C$4:$L$279,$A25,FALSE)</f>
        <v>62176.98</v>
      </c>
      <c r="AQ25" s="314">
        <f>VLOOKUP(AQ$1,'Náklady na ppp ER 2018'!$C$4:$L$279,$A25,FALSE)</f>
        <v>104545.1</v>
      </c>
      <c r="AR25" s="314">
        <f>VLOOKUP(AR$1,'Náklady na ppp ER 2018'!$C$4:$L$279,$A25,FALSE)</f>
        <v>98549.4</v>
      </c>
      <c r="AS25" s="314">
        <f>VLOOKUP(AS$1,'Náklady na ppp ER 2018'!$C$4:$L$279,$A25,FALSE)</f>
        <v>82997.679999999993</v>
      </c>
      <c r="AT25" s="314">
        <f>VLOOKUP(AT$1,'Náklady na ppp ER 2018'!$C$4:$L$279,$A25,FALSE)</f>
        <v>59416.22</v>
      </c>
      <c r="AU25" s="314">
        <f>VLOOKUP(AU$1,'Náklady na ppp ER 2018'!$C$4:$L$279,$A25,FALSE)</f>
        <v>106219.94</v>
      </c>
      <c r="AV25" s="314">
        <f>VLOOKUP(AV$1,'Náklady na ppp ER 2018'!$C$4:$L$279,$A25,FALSE)</f>
        <v>70412.820000000007</v>
      </c>
      <c r="AW25" s="314">
        <f>VLOOKUP(AW$1,'Náklady na ppp ER 2018'!$C$4:$L$279,$A25,FALSE)</f>
        <v>81120.3</v>
      </c>
      <c r="AX25" s="314">
        <f>VLOOKUP(AX$1,'Náklady na ppp ER 2018'!$C$4:$L$279,$A25,FALSE)</f>
        <v>139800.82999999999</v>
      </c>
      <c r="AY25" s="314">
        <f>VLOOKUP(AY$1,'Náklady na ppp ER 2018'!$C$4:$L$279,$A25,FALSE)</f>
        <v>74902.66</v>
      </c>
      <c r="AZ25" s="314">
        <f>VLOOKUP(AZ$1,'Náklady na ppp ER 2018'!$C$4:$L$279,$A25,FALSE)</f>
        <v>96744</v>
      </c>
      <c r="BA25" s="314">
        <f>VLOOKUP(BA$1,'Náklady na ppp ER 2018'!$C$4:$L$279,$A25,FALSE)</f>
        <v>70012.62</v>
      </c>
      <c r="BB25" s="314">
        <f>VLOOKUP(BB$1,'Náklady na ppp ER 2018'!$C$4:$L$279,$A25,FALSE)</f>
        <v>145246.15</v>
      </c>
      <c r="BC25" s="314">
        <f>VLOOKUP(BC$1,'Náklady na ppp ER 2018'!$C$4:$L$279,$A25,FALSE)</f>
        <v>138665.41</v>
      </c>
      <c r="BD25" s="314">
        <f>VLOOKUP(BD$1,'Náklady na ppp ER 2018'!$C$4:$L$279,$A25,FALSE)</f>
        <v>105481.27</v>
      </c>
      <c r="BE25" s="314">
        <f>VLOOKUP(BE$1,'Náklady na ppp ER 2018'!$C$4:$L$279,$A25,FALSE)</f>
        <v>207387.81</v>
      </c>
      <c r="BF25" s="314">
        <f>VLOOKUP(BF$1,'Náklady na ppp ER 2018'!$C$4:$L$279,$A25,FALSE)</f>
        <v>124471.92</v>
      </c>
      <c r="BG25" s="314">
        <f>VLOOKUP(BG$1,'Náklady na ppp ER 2018'!$C$4:$L$279,$A25,FALSE)</f>
        <v>235147.2</v>
      </c>
      <c r="BH25" s="314">
        <f>VLOOKUP(BH$1,'Náklady na ppp ER 2018'!$C$4:$L$279,$A25,FALSE)</f>
        <v>165986.23000000001</v>
      </c>
      <c r="BI25" s="314">
        <f>VLOOKUP(BI$1,'Náklady na ppp ER 2018'!$C$4:$L$279,$A25,FALSE)</f>
        <v>107495.99</v>
      </c>
      <c r="BJ25" s="314">
        <f>VLOOKUP(BJ$1,'Náklady na ppp ER 2018'!$C$4:$L$279,$A25,FALSE)</f>
        <v>96929.46</v>
      </c>
      <c r="BK25" s="314">
        <f>VLOOKUP(BK$1,'Náklady na ppp ER 2018'!$C$4:$L$279,$A25,FALSE)</f>
        <v>78558.42</v>
      </c>
      <c r="BL25" s="314" t="e">
        <f>VLOOKUP(BL$1,'Náklady na ppp ER 2018'!$C$4:$L$279,$A25,FALSE)</f>
        <v>#N/A</v>
      </c>
      <c r="BM25" s="314">
        <f>VLOOKUP(BM$1,'Náklady na ppp ER 2018'!$C$4:$L$279,$A25,FALSE)</f>
        <v>9059.25</v>
      </c>
      <c r="BN25" s="314">
        <f>VLOOKUP(BN$1,'Náklady na ppp ER 2018'!$C$4:$L$279,$A25,FALSE)</f>
        <v>72010.91</v>
      </c>
      <c r="BO25" s="314">
        <f>VLOOKUP(BO$1,'Náklady na ppp ER 2018'!$C$4:$L$279,$A25,FALSE)</f>
        <v>65107.98</v>
      </c>
      <c r="BP25" s="314">
        <f>VLOOKUP(BP$1,'Náklady na ppp ER 2018'!$C$4:$L$279,$A25,FALSE)</f>
        <v>102662.26</v>
      </c>
      <c r="BQ25" s="314">
        <f>VLOOKUP(BQ$1,'Náklady na ppp ER 2018'!$C$4:$L$279,$A25,FALSE)</f>
        <v>62603.74</v>
      </c>
      <c r="BR25" s="314">
        <f>VLOOKUP(BR$1,'Náklady na ppp ER 2018'!$C$4:$L$279,$A25,FALSE)</f>
        <v>92128.25</v>
      </c>
      <c r="BS25" s="314">
        <f>VLOOKUP(BS$1,'Náklady na ppp ER 2018'!$C$4:$L$279,$A25,FALSE)</f>
        <v>76414.960000000006</v>
      </c>
      <c r="BT25" s="314">
        <f>VLOOKUP(BT$1,'Náklady na ppp ER 2018'!$C$4:$L$279,$A25,FALSE)</f>
        <v>55128.93</v>
      </c>
      <c r="BU25" s="314">
        <f>VLOOKUP(BU$1,'Náklady na ppp ER 2018'!$C$4:$L$279,$A25,FALSE)</f>
        <v>191205.45</v>
      </c>
      <c r="BV25" s="314">
        <f>VLOOKUP(BV$1,'Náklady na ppp ER 2018'!$C$4:$L$279,$A25,FALSE)</f>
        <v>53409.78</v>
      </c>
      <c r="BW25" s="314">
        <f>VLOOKUP(BW$1,'Náklady na ppp ER 2018'!$C$4:$L$279,$A25,FALSE)</f>
        <v>64520</v>
      </c>
      <c r="BX25" s="314">
        <f>VLOOKUP(BX$1,'Náklady na ppp ER 2018'!$C$4:$L$279,$A25,FALSE)</f>
        <v>274988.13</v>
      </c>
      <c r="BY25" s="314">
        <f>VLOOKUP(BY$1,'Náklady na ppp ER 2018'!$C$4:$L$279,$A25,FALSE)</f>
        <v>174960.29</v>
      </c>
      <c r="BZ25" s="314">
        <f>VLOOKUP(BZ$1,'Náklady na ppp ER 2018'!$C$4:$L$279,$A25,FALSE)</f>
        <v>320289.74</v>
      </c>
      <c r="CA25" s="314" t="e">
        <f>VLOOKUP(CA$1,'Náklady na ppp ER 2018'!$C$4:$L$279,$A25,FALSE)</f>
        <v>#N/A</v>
      </c>
      <c r="CB25" s="314">
        <f>VLOOKUP(CB$1,'Náklady na ppp ER 2018'!$C$4:$L$279,$A25,FALSE)</f>
        <v>300532.39</v>
      </c>
      <c r="CC25" s="314">
        <f>VLOOKUP(CC$1,'Náklady na ppp ER 2018'!$C$4:$L$279,$A25,FALSE)</f>
        <v>99856.42</v>
      </c>
      <c r="CD25" s="314">
        <f>VLOOKUP(CD$1,'Náklady na ppp ER 2018'!$C$4:$L$279,$A25,FALSE)</f>
        <v>132019.54999999999</v>
      </c>
      <c r="CE25" s="314">
        <f>VLOOKUP(CE$1,'Náklady na ppp ER 2018'!$C$4:$L$279,$A25,FALSE)</f>
        <v>61539.3</v>
      </c>
      <c r="CF25" s="314">
        <f>VLOOKUP(CF$1,'Náklady na ppp ER 2018'!$C$4:$L$279,$A25,FALSE)</f>
        <v>143778.20000000001</v>
      </c>
      <c r="CG25" s="314">
        <f>VLOOKUP(CG$1,'Náklady na ppp ER 2018'!$C$4:$L$279,$A25,FALSE)</f>
        <v>88209.49</v>
      </c>
      <c r="CH25" s="314">
        <f>VLOOKUP(CH$1,'Náklady na ppp ER 2018'!$C$4:$L$279,$A25,FALSE)</f>
        <v>147129.82999999999</v>
      </c>
      <c r="CI25" s="314">
        <f>VLOOKUP(CI$1,'Náklady na ppp ER 2018'!$C$4:$L$279,$A25,FALSE)</f>
        <v>99191.77</v>
      </c>
      <c r="CJ25" s="314">
        <f>VLOOKUP(CJ$1,'Náklady na ppp ER 2018'!$C$4:$L$279,$A25,FALSE)</f>
        <v>67626.84</v>
      </c>
      <c r="CK25" s="314">
        <f>VLOOKUP(CK$1,'Náklady na ppp ER 2018'!$C$4:$L$279,$A25,FALSE)</f>
        <v>152062.23000000001</v>
      </c>
      <c r="CL25" s="314">
        <f>VLOOKUP(CL$1,'Náklady na ppp ER 2018'!$C$4:$L$279,$A25,FALSE)</f>
        <v>90995.42</v>
      </c>
      <c r="CM25" s="314">
        <f>VLOOKUP(CM$1,'Náklady na ppp ER 2018'!$C$4:$L$279,$A25,FALSE)</f>
        <v>60031.7</v>
      </c>
      <c r="CN25" s="314">
        <f>VLOOKUP(CN$1,'Náklady na ppp ER 2018'!$C$4:$L$279,$A25,FALSE)</f>
        <v>44112.72</v>
      </c>
      <c r="CO25" s="314">
        <f>VLOOKUP(CO$1,'Náklady na ppp ER 2018'!$C$4:$L$279,$A25,FALSE)</f>
        <v>66376.509999999995</v>
      </c>
      <c r="CP25" s="314">
        <f>VLOOKUP(CP$1,'Náklady na ppp ER 2018'!$C$4:$L$279,$A25,FALSE)</f>
        <v>35282.67</v>
      </c>
      <c r="CQ25" s="314">
        <f>VLOOKUP(CQ$1,'Náklady na ppp ER 2018'!$C$4:$L$279,$A25,FALSE)</f>
        <v>64600.89</v>
      </c>
      <c r="CR25" s="314" t="e">
        <f>VLOOKUP(CR$1,'Náklady na ppp ER 2018'!$C$4:$L$279,$A25,FALSE)</f>
        <v>#N/A</v>
      </c>
      <c r="CS25" s="314" t="e">
        <f>VLOOKUP(CS$1,'Náklady na ppp ER 2018'!$C$4:$L$279,$A25,FALSE)</f>
        <v>#N/A</v>
      </c>
      <c r="CT25" s="314">
        <f>VLOOKUP(CT$1,'Náklady na ppp ER 2018'!$C$4:$L$279,$A25,FALSE)</f>
        <v>243476.6</v>
      </c>
      <c r="CU25" s="314">
        <f>VLOOKUP(CU$1,'Náklady na ppp ER 2018'!$C$4:$L$279,$A25,FALSE)</f>
        <v>172424.25</v>
      </c>
      <c r="CV25" s="314">
        <f>VLOOKUP(CV$1,'Náklady na ppp ER 2018'!$C$4:$L$279,$A25,FALSE)</f>
        <v>164711.6</v>
      </c>
      <c r="CW25" s="314" t="e">
        <f>VLOOKUP(CW$1,'Náklady na ppp ER 2018'!$C$4:$L$279,$A25,FALSE)</f>
        <v>#N/A</v>
      </c>
      <c r="CX25" s="314">
        <f>VLOOKUP(CX$1,'Náklady na ppp ER 2018'!$C$4:$L$279,$A25,FALSE)</f>
        <v>15341.61</v>
      </c>
      <c r="CY25" s="314">
        <f>VLOOKUP(CY$1,'Náklady na ppp ER 2018'!$C$4:$L$279,$A25,FALSE)</f>
        <v>60093.39</v>
      </c>
      <c r="CZ25" s="314">
        <f>VLOOKUP(CZ$1,'Náklady na ppp ER 2018'!$C$4:$L$279,$A25,FALSE)</f>
        <v>49863.199999999997</v>
      </c>
      <c r="DA25" s="314">
        <f>VLOOKUP(DA$1,'Náklady na ppp ER 2018'!$C$4:$L$279,$A25,FALSE)</f>
        <v>69154.7</v>
      </c>
      <c r="DB25" s="314">
        <f>VLOOKUP(DB$1,'Náklady na ppp ER 2018'!$C$4:$L$279,$A25,FALSE)</f>
        <v>155565.89000000001</v>
      </c>
      <c r="DC25" s="314">
        <f>VLOOKUP(DC$1,'Náklady na ppp ER 2018'!$C$4:$L$279,$A25,FALSE)</f>
        <v>99926.26</v>
      </c>
      <c r="DD25" s="314">
        <f>VLOOKUP(DD$1,'Náklady na ppp ER 2018'!$C$4:$L$279,$A25,FALSE)</f>
        <v>60220.51</v>
      </c>
      <c r="DE25" s="314">
        <f>VLOOKUP(DE$1,'Náklady na ppp ER 2018'!$C$4:$L$279,$A25,FALSE)</f>
        <v>68620.960000000006</v>
      </c>
      <c r="DF25" s="314">
        <f>VLOOKUP(DF$1,'Náklady na ppp ER 2018'!$C$4:$L$279,$A25,FALSE)</f>
        <v>63800.74</v>
      </c>
      <c r="DG25" s="314" t="e">
        <f>VLOOKUP(DG$1,'Náklady na ppp ER 2018'!$C$4:$L$279,$A25,FALSE)</f>
        <v>#N/A</v>
      </c>
      <c r="DH25" s="314">
        <f>VLOOKUP(DH$1,'Náklady na ppp ER 2018'!$C$4:$L$279,$A25,FALSE)</f>
        <v>56694.46</v>
      </c>
      <c r="DI25" s="314">
        <f>VLOOKUP(DI$1,'Náklady na ppp ER 2018'!$C$4:$L$279,$A25,FALSE)</f>
        <v>149862.78</v>
      </c>
      <c r="DJ25" s="314">
        <f>VLOOKUP(DJ$1,'Náklady na ppp ER 2018'!$C$4:$L$279,$A25,FALSE)</f>
        <v>55371.81</v>
      </c>
      <c r="DK25" s="314">
        <f>VLOOKUP(DK$1,'Náklady na ppp ER 2018'!$C$4:$L$279,$A25,FALSE)</f>
        <v>86574.3</v>
      </c>
      <c r="DL25" s="314">
        <f>VLOOKUP(DL$1,'Náklady na ppp ER 2018'!$C$4:$L$279,$A25,FALSE)</f>
        <v>78306.48</v>
      </c>
      <c r="DM25" s="314">
        <f>VLOOKUP(DM$1,'Náklady na ppp ER 2018'!$C$4:$L$279,$A25,FALSE)</f>
        <v>35837.69</v>
      </c>
      <c r="DN25" s="314">
        <f>VLOOKUP(DN$1,'Náklady na ppp ER 2018'!$C$4:$L$279,$A25,FALSE)</f>
        <v>109510.39999999999</v>
      </c>
      <c r="DO25" s="314">
        <f>VLOOKUP(DO$1,'Náklady na ppp ER 2018'!$C$4:$L$279,$A25,FALSE)</f>
        <v>95968.88</v>
      </c>
      <c r="DP25" s="314">
        <f>VLOOKUP(DP$1,'Náklady na ppp ER 2018'!$C$4:$L$279,$A25,FALSE)</f>
        <v>69363.48</v>
      </c>
      <c r="DQ25" s="314">
        <f>VLOOKUP(DQ$1,'Náklady na ppp ER 2018'!$C$4:$L$279,$A25,FALSE)</f>
        <v>93448.61</v>
      </c>
      <c r="DR25" s="314">
        <f>VLOOKUP(DR$1,'Náklady na ppp ER 2018'!$C$4:$L$279,$A25,FALSE)</f>
        <v>156765.31</v>
      </c>
      <c r="DS25" s="314" t="e">
        <f>VLOOKUP(DS$1,'Náklady na ppp ER 2018'!$C$4:$L$279,$A25,FALSE)</f>
        <v>#N/A</v>
      </c>
      <c r="DT25" s="314">
        <f>VLOOKUP(DT$1,'Náklady na ppp ER 2018'!$C$4:$L$279,$A25,FALSE)</f>
        <v>77419.240000000005</v>
      </c>
      <c r="DU25" s="314">
        <f>VLOOKUP(DU$1,'Náklady na ppp ER 2018'!$C$4:$L$279,$A25,FALSE)</f>
        <v>46963.66</v>
      </c>
      <c r="DV25" s="314">
        <f>VLOOKUP(DV$1,'Náklady na ppp ER 2018'!$C$4:$L$279,$A25,FALSE)</f>
        <v>134687.35999999999</v>
      </c>
      <c r="DW25" s="314" t="e">
        <f>VLOOKUP(DW$1,'Náklady na ppp ER 2018'!$C$4:$L$279,$A25,FALSE)</f>
        <v>#N/A</v>
      </c>
      <c r="DX25" s="314">
        <f>VLOOKUP(DX$1,'Náklady na ppp ER 2018'!$C$4:$L$279,$A25,FALSE)</f>
        <v>99006.61</v>
      </c>
      <c r="DY25" s="314">
        <f>VLOOKUP(DY$1,'Náklady na ppp ER 2018'!$C$4:$L$279,$A25,FALSE)</f>
        <v>81742.429999999993</v>
      </c>
      <c r="DZ25" s="314">
        <f>VLOOKUP(DZ$1,'Náklady na ppp ER 2018'!$C$4:$L$279,$A25,FALSE)</f>
        <v>118647.99</v>
      </c>
      <c r="EA25" s="314">
        <f>VLOOKUP(EA$1,'Náklady na ppp ER 2018'!$C$4:$L$279,$A25,FALSE)</f>
        <v>141794.66</v>
      </c>
      <c r="EB25" s="314">
        <f>VLOOKUP(EB$1,'Náklady na ppp ER 2018'!$C$4:$L$279,$A25,FALSE)</f>
        <v>91619.87</v>
      </c>
      <c r="EC25" s="314">
        <f>VLOOKUP(EC$1,'Náklady na ppp ER 2018'!$C$4:$L$279,$A25,FALSE)</f>
        <v>82305.240000000005</v>
      </c>
      <c r="ED25" s="314">
        <f>VLOOKUP(ED$1,'Náklady na ppp ER 2018'!$C$4:$L$279,$A25,FALSE)</f>
        <v>215102.68</v>
      </c>
      <c r="EE25" s="314">
        <f>VLOOKUP(EE$1,'Náklady na ppp ER 2018'!$C$4:$L$279,$A25,FALSE)</f>
        <v>109422.73</v>
      </c>
      <c r="EF25" s="314">
        <f>VLOOKUP(EF$1,'Náklady na ppp ER 2018'!$C$4:$L$279,$A25,FALSE)</f>
        <v>72224.479999999996</v>
      </c>
      <c r="EG25" s="314">
        <f>VLOOKUP(EG$1,'Náklady na ppp ER 2018'!$C$4:$L$279,$A25,FALSE)</f>
        <v>82650.73</v>
      </c>
      <c r="EH25" s="314">
        <f>VLOOKUP(EH$1,'Náklady na ppp ER 2018'!$C$4:$L$279,$A25,FALSE)</f>
        <v>79611.5</v>
      </c>
      <c r="EI25" s="314">
        <f>VLOOKUP(EI$1,'Náklady na ppp ER 2018'!$C$4:$L$279,$A25,FALSE)</f>
        <v>126395.12</v>
      </c>
      <c r="EJ25" s="314">
        <f>VLOOKUP(EJ$1,'Náklady na ppp ER 2018'!$C$4:$L$279,$A25,FALSE)</f>
        <v>89128.07</v>
      </c>
      <c r="EK25" s="314">
        <f>VLOOKUP(EK$1,'Náklady na ppp ER 2018'!$C$4:$L$279,$A25,FALSE)</f>
        <v>77034.45</v>
      </c>
      <c r="EL25" s="314">
        <f>VLOOKUP(EL$1,'Náklady na ppp ER 2018'!$C$4:$L$279,$A25,FALSE)</f>
        <v>223252.74</v>
      </c>
      <c r="EM25" s="314">
        <f>VLOOKUP(EM$1,'Náklady na ppp ER 2018'!$C$4:$L$279,$A25,FALSE)</f>
        <v>106640.28</v>
      </c>
      <c r="EN25" s="314">
        <f>VLOOKUP(EN$1,'Náklady na ppp ER 2018'!$C$4:$L$279,$A25,FALSE)</f>
        <v>57396</v>
      </c>
      <c r="EO25" s="314">
        <f>VLOOKUP(EO$1,'Náklady na ppp ER 2018'!$C$4:$L$279,$A25,FALSE)</f>
        <v>423520</v>
      </c>
      <c r="EP25" s="314">
        <f>VLOOKUP(EP$1,'Náklady na ppp ER 2018'!$C$4:$L$279,$A25,FALSE)</f>
        <v>216088.76</v>
      </c>
      <c r="EQ25" s="314">
        <f>VLOOKUP(EQ$1,'Náklady na ppp ER 2018'!$C$4:$L$279,$A25,FALSE)</f>
        <v>151231.88</v>
      </c>
      <c r="ER25" s="314">
        <f>VLOOKUP(ER$1,'Náklady na ppp ER 2018'!$C$4:$L$279,$A25,FALSE)</f>
        <v>92632.62</v>
      </c>
      <c r="ES25" s="314">
        <f>VLOOKUP(ES$1,'Náklady na ppp ER 2018'!$C$4:$L$279,$A25,FALSE)</f>
        <v>50879.199999999997</v>
      </c>
      <c r="ET25" s="314" t="e">
        <f>VLOOKUP(ET$1,'Náklady na ppp ER 2018'!$C$4:$L$279,$A25,FALSE)</f>
        <v>#N/A</v>
      </c>
      <c r="EU25" s="314" t="e">
        <f>VLOOKUP(EU$1,'Náklady na ppp ER 2018'!$C$4:$L$279,$A25,FALSE)</f>
        <v>#N/A</v>
      </c>
      <c r="EV25" s="314">
        <f>VLOOKUP(EV$1,'Náklady na ppp ER 2018'!$C$4:$L$279,$A25,FALSE)</f>
        <v>7424.29</v>
      </c>
      <c r="EW25" s="314">
        <f>VLOOKUP(EW$1,'Náklady na ppp ER 2018'!$C$4:$L$279,$A25,FALSE)</f>
        <v>38993</v>
      </c>
      <c r="EX25" s="314">
        <f>VLOOKUP(EX$1,'Náklady na ppp ER 2018'!$C$4:$L$279,$A25,FALSE)</f>
        <v>181102.61</v>
      </c>
      <c r="EY25" s="314">
        <f>VLOOKUP(EY$1,'Náklady na ppp ER 2018'!$C$4:$L$279,$A25,FALSE)</f>
        <v>51664.67</v>
      </c>
      <c r="EZ25" s="314">
        <f>VLOOKUP(EZ$1,'Náklady na ppp ER 2018'!$C$4:$L$279,$A25,FALSE)</f>
        <v>204584.26</v>
      </c>
      <c r="FA25" s="314">
        <f>VLOOKUP(FA$1,'Náklady na ppp ER 2018'!$C$4:$L$279,$A25,FALSE)</f>
        <v>142140.76999999999</v>
      </c>
      <c r="FB25" s="314">
        <f>VLOOKUP(FB$1,'Náklady na ppp ER 2018'!$C$4:$L$279,$A25,FALSE)</f>
        <v>116498.46</v>
      </c>
      <c r="FC25" s="314">
        <f>VLOOKUP(FC$1,'Náklady na ppp ER 2018'!$C$4:$L$279,$A25,FALSE)</f>
        <v>128729.94</v>
      </c>
      <c r="FD25" s="314">
        <f>VLOOKUP(FD$1,'Náklady na ppp ER 2018'!$C$4:$L$279,$A25,FALSE)</f>
        <v>84843.87</v>
      </c>
      <c r="FE25" s="314">
        <f>VLOOKUP(FE$1,'Náklady na ppp ER 2018'!$C$4:$L$279,$A25,FALSE)</f>
        <v>69011.02</v>
      </c>
      <c r="FF25" s="314">
        <f>VLOOKUP(FF$1,'Náklady na ppp ER 2018'!$C$4:$L$279,$A25,FALSE)</f>
        <v>54613.15</v>
      </c>
      <c r="FG25" s="314">
        <f>VLOOKUP(FG$1,'Náklady na ppp ER 2018'!$C$4:$L$279,$A25,FALSE)</f>
        <v>184812.39</v>
      </c>
      <c r="FH25" s="314">
        <f>VLOOKUP(FH$1,'Náklady na ppp ER 2018'!$C$4:$L$279,$A25,FALSE)</f>
        <v>136989.04</v>
      </c>
      <c r="FI25" s="314">
        <f>VLOOKUP(FI$1,'Náklady na ppp ER 2018'!$C$4:$L$279,$A25,FALSE)</f>
        <v>175410.4</v>
      </c>
      <c r="FJ25" s="314">
        <f>VLOOKUP(FJ$1,'Náklady na ppp ER 2018'!$C$4:$L$279,$A25,FALSE)</f>
        <v>28935.38</v>
      </c>
      <c r="FK25" s="314">
        <f>VLOOKUP(FK$1,'Náklady na ppp ER 2018'!$C$4:$L$279,$A25,FALSE)</f>
        <v>379207.11</v>
      </c>
      <c r="FL25" s="314">
        <f>VLOOKUP(FL$1,'Náklady na ppp ER 2018'!$C$4:$L$279,$A25,FALSE)</f>
        <v>61396.89</v>
      </c>
      <c r="FM25" s="314">
        <f>VLOOKUP(FM$1,'Náklady na ppp ER 2018'!$C$4:$L$279,$A25,FALSE)</f>
        <v>85687.57</v>
      </c>
      <c r="FN25" s="314">
        <f>VLOOKUP(FN$1,'Náklady na ppp ER 2018'!$C$4:$L$279,$A25,FALSE)</f>
        <v>65314.26</v>
      </c>
      <c r="FO25" s="314">
        <f>VLOOKUP(FO$1,'Náklady na ppp ER 2018'!$C$4:$L$279,$A25,FALSE)</f>
        <v>50918.67</v>
      </c>
      <c r="FP25" s="314">
        <f>VLOOKUP(FP$1,'Náklady na ppp ER 2018'!$C$4:$L$279,$A25,FALSE)</f>
        <v>171044.44</v>
      </c>
      <c r="FQ25" s="314">
        <f>VLOOKUP(FQ$1,'Náklady na ppp ER 2018'!$C$4:$L$279,$A25,FALSE)</f>
        <v>46343.85</v>
      </c>
      <c r="FR25" s="314" t="e">
        <f>VLOOKUP(FR$1,'Náklady na ppp ER 2018'!$C$4:$L$279,$A25,FALSE)</f>
        <v>#N/A</v>
      </c>
      <c r="FS25" s="314">
        <f>VLOOKUP(FS$1,'Náklady na ppp ER 2018'!$C$4:$L$279,$A25,FALSE)</f>
        <v>21921.51</v>
      </c>
      <c r="FT25" s="314">
        <f>VLOOKUP(FT$1,'Náklady na ppp ER 2018'!$C$4:$L$279,$A25,FALSE)</f>
        <v>54804.84</v>
      </c>
      <c r="FU25" s="314">
        <f>VLOOKUP(FU$1,'Náklady na ppp ER 2018'!$C$4:$L$279,$A25,FALSE)</f>
        <v>23126.15</v>
      </c>
      <c r="FV25" s="314">
        <f>VLOOKUP(FV$1,'Náklady na ppp ER 2018'!$C$4:$L$279,$A25,FALSE)</f>
        <v>41196.199999999997</v>
      </c>
      <c r="FW25" s="314">
        <f>VLOOKUP(FW$1,'Náklady na ppp ER 2018'!$C$4:$L$279,$A25,FALSE)</f>
        <v>142449.74</v>
      </c>
      <c r="FX25" s="314">
        <f>VLOOKUP(FX$1,'Náklady na ppp ER 2018'!$C$4:$L$279,$A25,FALSE)</f>
        <v>55285.41</v>
      </c>
      <c r="FY25" s="314">
        <f>VLOOKUP(FY$1,'Náklady na ppp ER 2018'!$C$4:$L$279,$A25,FALSE)</f>
        <v>35824.17</v>
      </c>
      <c r="FZ25" s="314">
        <f>VLOOKUP(FZ$1,'Náklady na ppp ER 2018'!$C$4:$L$279,$A25,FALSE)</f>
        <v>25467.8</v>
      </c>
      <c r="GA25" s="314">
        <f>VLOOKUP(GA$1,'Náklady na ppp ER 2018'!$C$4:$L$279,$A25,FALSE)</f>
        <v>12401.94</v>
      </c>
      <c r="GB25" s="314">
        <f>VLOOKUP(GB$1,'Náklady na ppp ER 2018'!$C$4:$L$279,$A25,FALSE)</f>
        <v>38100.480000000003</v>
      </c>
      <c r="GC25" s="314">
        <f>VLOOKUP(GC$1,'Náklady na ppp ER 2018'!$C$4:$L$279,$A25,FALSE)</f>
        <v>115334.29</v>
      </c>
      <c r="GD25" s="314">
        <f>VLOOKUP(GD$1,'Náklady na ppp ER 2018'!$C$4:$L$279,$A25,FALSE)</f>
        <v>149327.56</v>
      </c>
      <c r="GE25" s="314">
        <f>VLOOKUP(GE$1,'Náklady na ppp ER 2018'!$C$4:$L$279,$A25,FALSE)</f>
        <v>90597.51</v>
      </c>
      <c r="GF25" s="314">
        <f>VLOOKUP(GF$1,'Náklady na ppp ER 2018'!$C$4:$L$279,$A25,FALSE)</f>
        <v>41754.1</v>
      </c>
      <c r="GG25" s="314">
        <f>VLOOKUP(GG$1,'Náklady na ppp ER 2018'!$C$4:$L$279,$A25,FALSE)</f>
        <v>145905.06</v>
      </c>
      <c r="GH25" s="314">
        <f>VLOOKUP(GH$1,'Náklady na ppp ER 2018'!$C$4:$L$279,$A25,FALSE)</f>
        <v>153576.04999999999</v>
      </c>
      <c r="GI25" s="314">
        <f>VLOOKUP(GI$1,'Náklady na ppp ER 2018'!$C$4:$L$279,$A25,FALSE)</f>
        <v>131737.19</v>
      </c>
      <c r="GJ25" s="314">
        <f>VLOOKUP(GJ$1,'Náklady na ppp ER 2018'!$C$4:$L$279,$A25,FALSE)</f>
        <v>118731.79</v>
      </c>
      <c r="GK25" s="314">
        <f>VLOOKUP(GK$1,'Náklady na ppp ER 2018'!$C$4:$L$279,$A25,FALSE)</f>
        <v>102345.44</v>
      </c>
      <c r="GL25" s="314">
        <f>VLOOKUP(GL$1,'Náklady na ppp ER 2018'!$C$4:$L$279,$A25,FALSE)</f>
        <v>52172.6</v>
      </c>
      <c r="GM25" s="314">
        <f>VLOOKUP(GM$1,'Náklady na ppp ER 2018'!$C$4:$L$279,$A25,FALSE)</f>
        <v>50631.51</v>
      </c>
      <c r="GN25" s="314">
        <f>VLOOKUP(GN$1,'Náklady na ppp ER 2018'!$C$4:$L$279,$A25,FALSE)</f>
        <v>27572.58</v>
      </c>
      <c r="GO25" s="314">
        <f>VLOOKUP(GO$1,'Náklady na ppp ER 2018'!$C$4:$L$279,$A25,FALSE)</f>
        <v>195539.12</v>
      </c>
      <c r="GP25" s="314">
        <f>VLOOKUP(GP$1,'Náklady na ppp ER 2018'!$C$4:$L$279,$A25,FALSE)</f>
        <v>211505.46</v>
      </c>
      <c r="GQ25" s="314">
        <f>VLOOKUP(GQ$1,'Náklady na ppp ER 2018'!$C$4:$L$279,$A25,FALSE)</f>
        <v>64639.14</v>
      </c>
      <c r="GR25" s="314">
        <f>VLOOKUP(GR$1,'Náklady na ppp ER 2018'!$C$4:$L$279,$A25,FALSE)</f>
        <v>319624.24</v>
      </c>
      <c r="GS25" s="314">
        <f>VLOOKUP(GS$1,'Náklady na ppp ER 2018'!$C$4:$L$279,$A25,FALSE)</f>
        <v>203436.46</v>
      </c>
      <c r="GT25" s="314">
        <f>VLOOKUP(GT$1,'Náklady na ppp ER 2018'!$C$4:$L$279,$A25,FALSE)</f>
        <v>71664.19</v>
      </c>
      <c r="GU25" s="314">
        <f>VLOOKUP(GU$1,'Náklady na ppp ER 2018'!$C$4:$L$279,$A25,FALSE)</f>
        <v>499760.25</v>
      </c>
      <c r="GV25" s="314" t="e">
        <f>VLOOKUP(GV$1,'Náklady na ppp ER 2018'!$C$4:$L$279,$A25,FALSE)</f>
        <v>#N/A</v>
      </c>
      <c r="GW25" s="314">
        <f>VLOOKUP(GW$1,'Náklady na ppp ER 2018'!$C$4:$L$279,$A25,FALSE)</f>
        <v>115169.04</v>
      </c>
      <c r="GX25" s="314">
        <f>VLOOKUP(GX$1,'Náklady na ppp ER 2018'!$C$4:$L$279,$A25,FALSE)</f>
        <v>48982.85</v>
      </c>
      <c r="GY25" s="314">
        <f>VLOOKUP(GY$1,'Náklady na ppp ER 2018'!$C$4:$L$279,$A25,FALSE)</f>
        <v>122821.31</v>
      </c>
      <c r="GZ25" s="314" t="e">
        <f>VLOOKUP(GZ$1,'Náklady na ppp ER 2018'!$C$4:$L$279,$A25,FALSE)</f>
        <v>#N/A</v>
      </c>
      <c r="HA25" s="314">
        <f>VLOOKUP(HA$1,'Náklady na ppp ER 2018'!$C$4:$L$279,$A25,FALSE)</f>
        <v>59537.47</v>
      </c>
      <c r="HB25" s="314">
        <f>VLOOKUP(HB$1,'Náklady na ppp ER 2018'!$C$4:$L$279,$A25,FALSE)</f>
        <v>133370.82999999999</v>
      </c>
      <c r="HC25" s="314">
        <f>VLOOKUP(HC$1,'Náklady na ppp ER 2018'!$C$4:$L$279,$A25,FALSE)</f>
        <v>156445.29999999999</v>
      </c>
      <c r="HD25" s="314">
        <f>VLOOKUP(HD$1,'Náklady na ppp ER 2018'!$C$4:$L$279,$A25,FALSE)</f>
        <v>40861.43</v>
      </c>
      <c r="HE25" s="314">
        <f>VLOOKUP(HE$1,'Náklady na ppp ER 2018'!$C$4:$L$279,$A25,FALSE)</f>
        <v>231737.51</v>
      </c>
      <c r="HF25" s="314">
        <f>VLOOKUP(HF$1,'Náklady na ppp ER 2018'!$C$4:$L$279,$A25,FALSE)</f>
        <v>34844.04</v>
      </c>
      <c r="HG25" s="314">
        <f>VLOOKUP(HG$1,'Náklady na ppp ER 2018'!$C$4:$L$279,$A25,FALSE)</f>
        <v>16882.330000000002</v>
      </c>
      <c r="HH25" s="314">
        <f>VLOOKUP(HH$1,'Náklady na ppp ER 2018'!$C$4:$L$279,$A25,FALSE)</f>
        <v>59614.31</v>
      </c>
      <c r="HI25" s="314">
        <f>VLOOKUP(HI$1,'Náklady na ppp ER 2018'!$C$4:$L$279,$A25,FALSE)</f>
        <v>79538.98</v>
      </c>
      <c r="HJ25" s="314">
        <f>VLOOKUP(HJ$1,'Náklady na ppp ER 2018'!$C$4:$L$279,$A25,FALSE)</f>
        <v>28285.89</v>
      </c>
      <c r="HK25" s="314">
        <f>VLOOKUP(HK$1,'Náklady na ppp ER 2018'!$C$4:$L$279,$A25,FALSE)</f>
        <v>41363.08</v>
      </c>
      <c r="HL25" s="314">
        <f>VLOOKUP(HL$1,'Náklady na ppp ER 2018'!$C$4:$L$279,$A25,FALSE)</f>
        <v>119296.8</v>
      </c>
      <c r="HM25" s="314">
        <f>VLOOKUP(HM$1,'Náklady na ppp ER 2018'!$C$4:$L$279,$A25,FALSE)</f>
        <v>89427.07</v>
      </c>
      <c r="HN25" s="314">
        <f>VLOOKUP(HN$1,'Náklady na ppp ER 2018'!$C$4:$L$279,$A25,FALSE)</f>
        <v>27966.25</v>
      </c>
      <c r="HO25" s="314">
        <f>VLOOKUP(HO$1,'Náklady na ppp ER 2018'!$C$4:$L$279,$A25,FALSE)</f>
        <v>67135.42</v>
      </c>
      <c r="HP25" s="314">
        <f>VLOOKUP(HP$1,'Náklady na ppp ER 2018'!$C$4:$L$279,$A25,FALSE)</f>
        <v>95922.13</v>
      </c>
      <c r="HQ25" s="314">
        <f>VLOOKUP(HQ$1,'Náklady na ppp ER 2018'!$C$4:$L$279,$A25,FALSE)</f>
        <v>82184.19</v>
      </c>
      <c r="HR25" s="314">
        <f>VLOOKUP(HR$1,'Náklady na ppp ER 2018'!$C$4:$L$279,$A25,FALSE)</f>
        <v>146162.85999999999</v>
      </c>
      <c r="HS25" s="314">
        <f>VLOOKUP(HS$1,'Náklady na ppp ER 2018'!$C$4:$L$279,$A25,FALSE)</f>
        <v>86091.42</v>
      </c>
      <c r="HT25" s="314">
        <f>VLOOKUP(HT$1,'Náklady na ppp ER 2018'!$C$4:$L$279,$A25,FALSE)</f>
        <v>120987.06</v>
      </c>
      <c r="HU25" s="314">
        <f>VLOOKUP(HU$1,'Náklady na ppp ER 2018'!$C$4:$L$279,$A25,FALSE)</f>
        <v>168485.99</v>
      </c>
      <c r="HV25" s="314">
        <f>VLOOKUP(HV$1,'Náklady na ppp ER 2018'!$C$4:$L$279,$A25,FALSE)</f>
        <v>190060.29</v>
      </c>
      <c r="HW25" s="314">
        <f>VLOOKUP(HW$1,'Náklady na ppp ER 2018'!$C$4:$L$279,$A25,FALSE)</f>
        <v>176804.83</v>
      </c>
      <c r="HX25" s="314">
        <f>VLOOKUP(HX$1,'Náklady na ppp ER 2018'!$C$4:$L$279,$A25,FALSE)</f>
        <v>186998.26</v>
      </c>
      <c r="HY25" s="314">
        <f>VLOOKUP(HY$1,'Náklady na ppp ER 2018'!$C$4:$L$279,$A25,FALSE)</f>
        <v>204528.47</v>
      </c>
      <c r="HZ25" s="314">
        <f>VLOOKUP(HZ$1,'Náklady na ppp ER 2018'!$C$4:$L$279,$A25,FALSE)</f>
        <v>235180.63</v>
      </c>
      <c r="IA25" s="314">
        <f>VLOOKUP(IA$1,'Náklady na ppp ER 2018'!$C$4:$L$279,$A25,FALSE)</f>
        <v>202410.2</v>
      </c>
      <c r="IB25" s="314">
        <f>VLOOKUP(IB$1,'Náklady na ppp ER 2018'!$C$4:$L$279,$A25,FALSE)</f>
        <v>183213.48</v>
      </c>
      <c r="IC25" s="314">
        <f>VLOOKUP(IC$1,'Náklady na ppp ER 2018'!$C$4:$L$279,$A25,FALSE)</f>
        <v>172437.02</v>
      </c>
      <c r="ID25" s="314">
        <f>VLOOKUP(ID$1,'Náklady na ppp ER 2018'!$C$4:$L$279,$A25,FALSE)</f>
        <v>159946.29</v>
      </c>
      <c r="IE25" s="314">
        <f>VLOOKUP(IE$1,'Náklady na ppp ER 2018'!$C$4:$L$279,$A25,FALSE)</f>
        <v>153814.68</v>
      </c>
      <c r="IF25" s="314">
        <f>VLOOKUP(IF$1,'Náklady na ppp ER 2018'!$C$4:$L$279,$A25,FALSE)</f>
        <v>269543.09999999998</v>
      </c>
      <c r="IG25" s="314" t="e">
        <f>VLOOKUP(IG$1,'Náklady na ppp ER 2018'!$C$4:$L$279,$A25,FALSE)</f>
        <v>#N/A</v>
      </c>
      <c r="IH25" s="314">
        <f>VLOOKUP(IH$1,'Náklady na ppp ER 2018'!$C$4:$L$279,$A25,FALSE)</f>
        <v>97802.559999999998</v>
      </c>
      <c r="II25" s="314">
        <f>VLOOKUP(II$1,'Náklady na ppp ER 2018'!$C$4:$L$279,$A25,FALSE)</f>
        <v>106738.17</v>
      </c>
      <c r="IJ25" s="314">
        <f>VLOOKUP(IJ$1,'Náklady na ppp ER 2018'!$C$4:$L$279,$A25,FALSE)</f>
        <v>195705.65</v>
      </c>
      <c r="IK25" s="314">
        <f>VLOOKUP(IK$1,'Náklady na ppp ER 2018'!$C$4:$L$279,$A25,FALSE)</f>
        <v>57047.35</v>
      </c>
      <c r="IL25" s="314">
        <f>VLOOKUP(IL$1,'Náklady na ppp ER 2018'!$C$4:$L$279,$A25,FALSE)</f>
        <v>208425.4</v>
      </c>
      <c r="IM25" s="314">
        <f>VLOOKUP(IM$1,'Náklady na ppp ER 2018'!$C$4:$L$279,$A25,FALSE)</f>
        <v>142535.71</v>
      </c>
      <c r="IN25" s="314">
        <f>VLOOKUP(IN$1,'Náklady na ppp ER 2018'!$C$4:$L$279,$A25,FALSE)</f>
        <v>167447.84</v>
      </c>
      <c r="IO25" s="314">
        <f>VLOOKUP(IO$1,'Náklady na ppp ER 2018'!$C$4:$L$279,$A25,FALSE)</f>
        <v>80282.19</v>
      </c>
      <c r="IP25" s="314">
        <f>VLOOKUP(IP$1,'Náklady na ppp ER 2018'!$C$4:$L$279,$A25,FALSE)</f>
        <v>139581.45000000001</v>
      </c>
      <c r="IQ25" s="314">
        <f>VLOOKUP(IQ$1,'Náklady na ppp ER 2018'!$C$4:$L$279,$A25,FALSE)</f>
        <v>113827.27</v>
      </c>
      <c r="IR25" s="314">
        <f>VLOOKUP(IR$1,'Náklady na ppp ER 2018'!$C$4:$L$279,$A25,FALSE)</f>
        <v>90269.41</v>
      </c>
      <c r="IS25" s="314">
        <f>VLOOKUP(IS$1,'Náklady na ppp ER 2018'!$C$4:$L$279,$A25,FALSE)</f>
        <v>204174.36</v>
      </c>
      <c r="IT25" s="314">
        <f>VLOOKUP(IT$1,'Náklady na ppp ER 2018'!$C$4:$L$279,$A25,FALSE)</f>
        <v>171899.25</v>
      </c>
      <c r="IU25" s="314">
        <f>VLOOKUP(IU$1,'Náklady na ppp ER 2018'!$C$4:$L$279,$A25,FALSE)</f>
        <v>72591.64</v>
      </c>
      <c r="IV25" s="314">
        <f>VLOOKUP(IV$1,'Náklady na ppp ER 2018'!$C$4:$L$279,$A25,FALSE)</f>
        <v>191430.98</v>
      </c>
      <c r="IW25" s="314">
        <f>VLOOKUP(IW$1,'Náklady na ppp ER 2018'!$C$4:$L$279,$A25,FALSE)</f>
        <v>172927.32</v>
      </c>
      <c r="IX25" s="314">
        <f>VLOOKUP(IX$1,'Náklady na ppp ER 2018'!$C$4:$L$279,$A25,FALSE)</f>
        <v>98757.94</v>
      </c>
      <c r="IY25" s="314">
        <f>VLOOKUP(IY$1,'Náklady na ppp ER 2018'!$C$4:$L$279,$A25,FALSE)</f>
        <v>143560.04999999999</v>
      </c>
      <c r="IZ25" s="314">
        <f>VLOOKUP(IZ$1,'Náklady na ppp ER 2018'!$C$4:$L$279,$A25,FALSE)</f>
        <v>164938.12</v>
      </c>
      <c r="JA25" s="314">
        <f>VLOOKUP(JA$1,'Náklady na ppp ER 2018'!$C$4:$L$279,$A25,FALSE)</f>
        <v>118288.15</v>
      </c>
      <c r="JB25" s="314">
        <f>VLOOKUP(JB$1,'Náklady na ppp ER 2018'!$C$4:$L$279,$A25,FALSE)</f>
        <v>297365.96000000002</v>
      </c>
      <c r="JC25" s="314">
        <f>VLOOKUP(JC$1,'Náklady na ppp ER 2018'!$C$4:$L$279,$A25,FALSE)</f>
        <v>136427.79</v>
      </c>
      <c r="JD25" s="314">
        <f>VLOOKUP(JD$1,'Náklady na ppp ER 2018'!$C$4:$L$279,$A25,FALSE)</f>
        <v>108151.79</v>
      </c>
      <c r="JE25" s="314">
        <f>VLOOKUP(JE$1,'Náklady na ppp ER 2018'!$C$4:$L$279,$A25,FALSE)</f>
        <v>19972.189999999999</v>
      </c>
      <c r="JF25" s="314">
        <f>VLOOKUP(JF$1,'Náklady na ppp ER 2018'!$C$4:$L$279,$A25,FALSE)</f>
        <v>88456.62</v>
      </c>
      <c r="JG25" s="314">
        <f>VLOOKUP(JG$1,'Náklady na ppp ER 2018'!$C$4:$L$279,$A25,FALSE)</f>
        <v>117445.63</v>
      </c>
      <c r="JH25" s="314">
        <f>VLOOKUP(JH$1,'Náklady na ppp ER 2018'!$C$4:$L$279,$A25,FALSE)</f>
        <v>0</v>
      </c>
    </row>
    <row r="26" spans="1:276" x14ac:dyDescent="0.25">
      <c r="BF26" s="314"/>
    </row>
    <row r="27" spans="1:276" x14ac:dyDescent="0.25">
      <c r="B27" s="313" t="s">
        <v>1886</v>
      </c>
      <c r="C27" s="324">
        <f>IFERROR(HLOOKUP(C$1,'ER VP 2018'!$C$3:$JR$41,31,FALSE),0)</f>
        <v>19.77</v>
      </c>
      <c r="D27" s="324">
        <f>IFERROR(HLOOKUP(D$1,'ER VP 2018'!$C$3:$JR$41,31,FALSE),0)</f>
        <v>16</v>
      </c>
      <c r="E27" s="324">
        <f>IFERROR(HLOOKUP(E$1,'ER VP 2018'!$C$3:$JR$41,31,FALSE),0)</f>
        <v>21.75</v>
      </c>
      <c r="F27" s="324">
        <f>IFERROR(HLOOKUP(F$1,'ER VP 2018'!$C$3:$JR$41,31,FALSE),0)</f>
        <v>7.94</v>
      </c>
      <c r="G27" s="324">
        <f>IFERROR(HLOOKUP(G$1,'ER VP 2018'!$C$3:$JR$41,31,FALSE),0)</f>
        <v>16.77</v>
      </c>
      <c r="H27" s="324">
        <f>IFERROR(HLOOKUP(H$1,'ER VP 2018'!$C$3:$JR$41,31,FALSE),0)</f>
        <v>0</v>
      </c>
      <c r="I27" s="324">
        <f>IFERROR(HLOOKUP(I$1,'ER VP 2018'!$C$3:$JR$41,31,FALSE),0)</f>
        <v>2.62</v>
      </c>
      <c r="J27" s="324">
        <f>IFERROR(HLOOKUP(J$1,'ER VP 2018'!$C$3:$JR$41,31,FALSE),0)</f>
        <v>4.0199999999999996</v>
      </c>
      <c r="K27" s="324">
        <f>IFERROR(HLOOKUP(K$1,'ER VP 2018'!$C$3:$JR$41,31,FALSE),0)</f>
        <v>10</v>
      </c>
      <c r="L27" s="324">
        <f>IFERROR(HLOOKUP(L$1,'ER VP 2018'!$C$3:$JR$41,31,FALSE),0)</f>
        <v>4.3499999999999996</v>
      </c>
      <c r="M27" s="324">
        <f>IFERROR(HLOOKUP(M$1,'ER VP 2018'!$C$3:$JR$41,31,FALSE),0)</f>
        <v>7</v>
      </c>
      <c r="N27" s="324">
        <f>IFERROR(HLOOKUP(N$1,'ER VP 2018'!$C$3:$JR$41,31,FALSE),0)</f>
        <v>7.9</v>
      </c>
      <c r="O27" s="324">
        <f>IFERROR(HLOOKUP(O$1,'ER VP 2018'!$C$3:$JR$41,31,FALSE),0)</f>
        <v>5.73</v>
      </c>
      <c r="P27" s="324">
        <f>IFERROR(HLOOKUP(P$1,'ER VP 2018'!$C$3:$JR$41,31,FALSE),0)</f>
        <v>3.91</v>
      </c>
      <c r="Q27" s="324">
        <f>IFERROR(HLOOKUP(Q$1,'ER VP 2018'!$C$3:$JR$41,31,FALSE),0)</f>
        <v>2.1</v>
      </c>
      <c r="R27" s="324">
        <f>IFERROR(HLOOKUP(R$1,'ER VP 2018'!$C$3:$JR$41,31,FALSE),0)</f>
        <v>3.29</v>
      </c>
      <c r="S27" s="324">
        <f>IFERROR(HLOOKUP(S$1,'ER VP 2018'!$C$3:$JR$41,31,FALSE),0)</f>
        <v>2.5299999999999998</v>
      </c>
      <c r="T27" s="324">
        <f>IFERROR(HLOOKUP(T$1,'ER VP 2018'!$C$3:$JR$41,31,FALSE),0)</f>
        <v>1</v>
      </c>
      <c r="U27" s="324">
        <f>IFERROR(HLOOKUP(U$1,'ER VP 2018'!$C$3:$JR$41,31,FALSE),0)</f>
        <v>1.81</v>
      </c>
      <c r="V27" s="324">
        <f>IFERROR(HLOOKUP(V$1,'ER VP 2018'!$C$3:$JR$41,31,FALSE),0)</f>
        <v>32.28</v>
      </c>
      <c r="W27" s="324">
        <f>IFERROR(HLOOKUP(W$1,'ER VP 2018'!$C$3:$JR$41,31,FALSE),0)</f>
        <v>4.92</v>
      </c>
      <c r="X27" s="324">
        <f>IFERROR(HLOOKUP(X$1,'ER VP 2018'!$C$3:$JR$41,31,FALSE),0)</f>
        <v>1.85</v>
      </c>
      <c r="Y27" s="324">
        <f>IFERROR(HLOOKUP(Y$1,'ER VP 2018'!$C$3:$JR$41,31,FALSE),0)</f>
        <v>4.5</v>
      </c>
      <c r="Z27" s="324">
        <f>IFERROR(HLOOKUP(Z$1,'ER VP 2018'!$C$3:$JR$41,31,FALSE),0)</f>
        <v>14.85</v>
      </c>
      <c r="AA27" s="324">
        <f>IFERROR(HLOOKUP(AA$1,'ER VP 2018'!$C$3:$JR$41,31,FALSE),0)</f>
        <v>6.2</v>
      </c>
      <c r="AB27" s="324">
        <f>IFERROR(HLOOKUP(AB$1,'ER VP 2018'!$C$3:$JR$41,31,FALSE),0)</f>
        <v>6.52</v>
      </c>
      <c r="AC27" s="324">
        <f>IFERROR(HLOOKUP(AC$1,'ER VP 2018'!$C$3:$JR$41,31,FALSE),0)</f>
        <v>2.63</v>
      </c>
      <c r="AD27" s="324">
        <f>IFERROR(HLOOKUP(AD$1,'ER VP 2018'!$C$3:$JR$41,31,FALSE),0)</f>
        <v>2.0699999999999998</v>
      </c>
      <c r="AE27" s="324">
        <f>IFERROR(HLOOKUP(AE$1,'ER VP 2018'!$C$3:$JR$41,31,FALSE),0)</f>
        <v>1.84</v>
      </c>
      <c r="AF27" s="324">
        <f>IFERROR(HLOOKUP(AF$1,'ER VP 2018'!$C$3:$JR$41,31,FALSE),0)</f>
        <v>3.65</v>
      </c>
      <c r="AG27" s="324">
        <f>IFERROR(HLOOKUP(AG$1,'ER VP 2018'!$C$3:$JR$41,31,FALSE),0)</f>
        <v>7.42</v>
      </c>
      <c r="AH27" s="324">
        <f>IFERROR(HLOOKUP(AH$1,'ER VP 2018'!$C$3:$JR$41,31,FALSE),0)</f>
        <v>2.0699999999999998</v>
      </c>
      <c r="AI27" s="324">
        <f>IFERROR(HLOOKUP(AI$1,'ER VP 2018'!$C$3:$JR$41,31,FALSE),0)</f>
        <v>11.67</v>
      </c>
      <c r="AJ27" s="324">
        <f>IFERROR(HLOOKUP(AJ$1,'ER VP 2018'!$C$3:$JR$41,31,FALSE),0)</f>
        <v>7.36</v>
      </c>
      <c r="AK27" s="324">
        <f>IFERROR(HLOOKUP(AK$1,'ER VP 2018'!$C$3:$JR$41,31,FALSE),0)</f>
        <v>2.1</v>
      </c>
      <c r="AL27" s="324">
        <f>IFERROR(HLOOKUP(AL$1,'ER VP 2018'!$C$3:$JR$41,31,FALSE),0)</f>
        <v>3</v>
      </c>
      <c r="AM27" s="324">
        <f>IFERROR(HLOOKUP(AM$1,'ER VP 2018'!$C$3:$JR$41,31,FALSE),0)</f>
        <v>2.1</v>
      </c>
      <c r="AN27" s="324">
        <f>IFERROR(HLOOKUP(AN$1,'ER VP 2018'!$C$3:$JR$41,31,FALSE),0)</f>
        <v>1.44</v>
      </c>
      <c r="AO27" s="324">
        <f>IFERROR(HLOOKUP(AO$1,'ER VP 2018'!$C$3:$JR$41,31,FALSE),0)</f>
        <v>11.83</v>
      </c>
      <c r="AP27" s="324">
        <f>IFERROR(HLOOKUP(AP$1,'ER VP 2018'!$C$3:$JR$41,31,FALSE),0)</f>
        <v>5.3</v>
      </c>
      <c r="AQ27" s="324">
        <f>IFERROR(HLOOKUP(AQ$1,'ER VP 2018'!$C$3:$JR$41,31,FALSE),0)</f>
        <v>0.4</v>
      </c>
      <c r="AR27" s="324">
        <f>IFERROR(HLOOKUP(AR$1,'ER VP 2018'!$C$3:$JR$41,31,FALSE),0)</f>
        <v>1.5</v>
      </c>
      <c r="AS27" s="324">
        <f>IFERROR(HLOOKUP(AS$1,'ER VP 2018'!$C$3:$JR$41,31,FALSE),0)</f>
        <v>0.6</v>
      </c>
      <c r="AT27" s="324">
        <f>IFERROR(HLOOKUP(AT$1,'ER VP 2018'!$C$3:$JR$41,31,FALSE),0)</f>
        <v>6.39</v>
      </c>
      <c r="AU27" s="324">
        <f>IFERROR(HLOOKUP(AU$1,'ER VP 2018'!$C$3:$JR$41,31,FALSE),0)</f>
        <v>1.84</v>
      </c>
      <c r="AV27" s="324">
        <f>IFERROR(HLOOKUP(AV$1,'ER VP 2018'!$C$3:$JR$41,31,FALSE),0)</f>
        <v>2.77</v>
      </c>
      <c r="AW27" s="324">
        <f>IFERROR(HLOOKUP(AW$1,'ER VP 2018'!$C$3:$JR$41,31,FALSE),0)</f>
        <v>5.19</v>
      </c>
      <c r="AX27" s="324">
        <f>IFERROR(HLOOKUP(AX$1,'ER VP 2018'!$C$3:$JR$41,31,FALSE),0)</f>
        <v>6.05</v>
      </c>
      <c r="AY27" s="324">
        <f>IFERROR(HLOOKUP(AY$1,'ER VP 2018'!$C$3:$JR$41,31,FALSE),0)</f>
        <v>4.8899999999999997</v>
      </c>
      <c r="AZ27" s="324">
        <f>IFERROR(HLOOKUP(AZ$1,'ER VP 2018'!$C$3:$JR$41,31,FALSE),0)</f>
        <v>5</v>
      </c>
      <c r="BA27" s="324">
        <f>IFERROR(HLOOKUP(BA$1,'ER VP 2018'!$C$3:$JR$41,31,FALSE),0)</f>
        <v>21.65</v>
      </c>
      <c r="BB27" s="324">
        <f>IFERROR(HLOOKUP(BB$1,'ER VP 2018'!$C$3:$JR$41,31,FALSE),0)</f>
        <v>1.5</v>
      </c>
      <c r="BC27" s="324">
        <f>IFERROR(HLOOKUP(BC$1,'ER VP 2018'!$C$3:$JR$41,31,FALSE),0)</f>
        <v>1.5</v>
      </c>
      <c r="BD27" s="324">
        <f>IFERROR(HLOOKUP(BD$1,'ER VP 2018'!$C$3:$JR$41,31,FALSE),0)</f>
        <v>1.64</v>
      </c>
      <c r="BE27" s="324">
        <f>IFERROR(HLOOKUP(BE$1,'ER VP 2018'!$C$3:$JR$41,31,FALSE),0)</f>
        <v>1.39</v>
      </c>
      <c r="BF27" s="324">
        <f>IFERROR(HLOOKUP(BF$1,'ER VP 2018'!$C$3:$JR$41,31,FALSE),0)</f>
        <v>3</v>
      </c>
      <c r="BG27" s="324">
        <f>IFERROR(HLOOKUP(BG$1,'ER VP 2018'!$C$3:$JR$41,31,FALSE),0)</f>
        <v>4.28</v>
      </c>
      <c r="BH27" s="324">
        <f>IFERROR(HLOOKUP(BH$1,'ER VP 2018'!$C$3:$JR$41,31,FALSE),0)</f>
        <v>5.75</v>
      </c>
      <c r="BI27" s="324">
        <f>IFERROR(HLOOKUP(BI$1,'ER VP 2018'!$C$3:$JR$41,31,FALSE),0)</f>
        <v>6.13</v>
      </c>
      <c r="BJ27" s="324">
        <f>IFERROR(HLOOKUP(BJ$1,'ER VP 2018'!$C$3:$JR$41,31,FALSE),0)</f>
        <v>7.25</v>
      </c>
      <c r="BK27" s="324">
        <f>IFERROR(HLOOKUP(BK$1,'ER VP 2018'!$C$3:$JR$41,31,FALSE),0)</f>
        <v>1.65</v>
      </c>
      <c r="BL27" s="324">
        <f>IFERROR(HLOOKUP(BL$1,'ER VP 2018'!$C$3:$JR$41,31,FALSE),0)</f>
        <v>0</v>
      </c>
      <c r="BM27" s="324">
        <f>IFERROR(HLOOKUP(BM$1,'ER VP 2018'!$C$3:$JR$41,31,FALSE),0)</f>
        <v>4</v>
      </c>
      <c r="BN27" s="324">
        <f>IFERROR(HLOOKUP(BN$1,'ER VP 2018'!$C$3:$JR$41,31,FALSE),0)</f>
        <v>1.83</v>
      </c>
      <c r="BO27" s="324">
        <f>IFERROR(HLOOKUP(BO$1,'ER VP 2018'!$C$3:$JR$41,31,FALSE),0)</f>
        <v>1.1499999999999999</v>
      </c>
      <c r="BP27" s="324">
        <f>IFERROR(HLOOKUP(BP$1,'ER VP 2018'!$C$3:$JR$41,31,FALSE),0)</f>
        <v>6.85</v>
      </c>
      <c r="BQ27" s="324">
        <f>IFERROR(HLOOKUP(BQ$1,'ER VP 2018'!$C$3:$JR$41,31,FALSE),0)</f>
        <v>1.1499999999999999</v>
      </c>
      <c r="BR27" s="324">
        <f>IFERROR(HLOOKUP(BR$1,'ER VP 2018'!$C$3:$JR$41,31,FALSE),0)</f>
        <v>1.6</v>
      </c>
      <c r="BS27" s="324">
        <f>IFERROR(HLOOKUP(BS$1,'ER VP 2018'!$C$3:$JR$41,31,FALSE),0)</f>
        <v>1.8</v>
      </c>
      <c r="BT27" s="324">
        <f>IFERROR(HLOOKUP(BT$1,'ER VP 2018'!$C$3:$JR$41,31,FALSE),0)</f>
        <v>1.75</v>
      </c>
      <c r="BU27" s="324">
        <f>IFERROR(HLOOKUP(BU$1,'ER VP 2018'!$C$3:$JR$41,31,FALSE),0)</f>
        <v>8.99</v>
      </c>
      <c r="BV27" s="324">
        <f>IFERROR(HLOOKUP(BV$1,'ER VP 2018'!$C$3:$JR$41,31,FALSE),0)</f>
        <v>2.25</v>
      </c>
      <c r="BW27" s="324">
        <f>IFERROR(HLOOKUP(BW$1,'ER VP 2018'!$C$3:$JR$41,31,FALSE),0)</f>
        <v>0.45</v>
      </c>
      <c r="BX27" s="324">
        <f>IFERROR(HLOOKUP(BX$1,'ER VP 2018'!$C$3:$JR$41,31,FALSE),0)</f>
        <v>12.55</v>
      </c>
      <c r="BY27" s="324">
        <f>IFERROR(HLOOKUP(BY$1,'ER VP 2018'!$C$3:$JR$41,31,FALSE),0)</f>
        <v>3.5</v>
      </c>
      <c r="BZ27" s="324">
        <f>IFERROR(HLOOKUP(BZ$1,'ER VP 2018'!$C$3:$JR$41,31,FALSE),0)</f>
        <v>0.39</v>
      </c>
      <c r="CA27" s="324">
        <f>IFERROR(HLOOKUP(CA$1,'ER VP 2018'!$C$3:$JR$41,31,FALSE),0)</f>
        <v>0</v>
      </c>
      <c r="CB27" s="324">
        <f>IFERROR(HLOOKUP(CB$1,'ER VP 2018'!$C$3:$JR$41,31,FALSE),0)</f>
        <v>0.71</v>
      </c>
      <c r="CC27" s="324">
        <f>IFERROR(HLOOKUP(CC$1,'ER VP 2018'!$C$3:$JR$41,31,FALSE),0)</f>
        <v>3.35</v>
      </c>
      <c r="CD27" s="324">
        <f>IFERROR(HLOOKUP(CD$1,'ER VP 2018'!$C$3:$JR$41,31,FALSE),0)</f>
        <v>1.04</v>
      </c>
      <c r="CE27" s="324">
        <f>IFERROR(HLOOKUP(CE$1,'ER VP 2018'!$C$3:$JR$41,31,FALSE),0)</f>
        <v>30.9</v>
      </c>
      <c r="CF27" s="324">
        <f>IFERROR(HLOOKUP(CF$1,'ER VP 2018'!$C$3:$JR$41,31,FALSE),0)</f>
        <v>5.32</v>
      </c>
      <c r="CG27" s="324">
        <f>IFERROR(HLOOKUP(CG$1,'ER VP 2018'!$C$3:$JR$41,31,FALSE),0)</f>
        <v>15.92</v>
      </c>
      <c r="CH27" s="324">
        <f>IFERROR(HLOOKUP(CH$1,'ER VP 2018'!$C$3:$JR$41,31,FALSE),0)</f>
        <v>6.8</v>
      </c>
      <c r="CI27" s="324">
        <f>IFERROR(HLOOKUP(CI$1,'ER VP 2018'!$C$3:$JR$41,31,FALSE),0)</f>
        <v>3.99</v>
      </c>
      <c r="CJ27" s="324">
        <f>IFERROR(HLOOKUP(CJ$1,'ER VP 2018'!$C$3:$JR$41,31,FALSE),0)</f>
        <v>6.19</v>
      </c>
      <c r="CK27" s="324">
        <f>IFERROR(HLOOKUP(CK$1,'ER VP 2018'!$C$3:$JR$41,31,FALSE),0)</f>
        <v>6.8</v>
      </c>
      <c r="CL27" s="628">
        <f>IFERROR(HLOOKUP(CL$1,'ER VP 2018'!$C$3:$JR$41,31,FALSE),0)</f>
        <v>3.93</v>
      </c>
      <c r="CM27" s="324">
        <f>IFERROR(HLOOKUP(CM$1,'ER VP 2018'!$C$3:$JR$41,31,FALSE),0)</f>
        <v>13.23</v>
      </c>
      <c r="CN27" s="324">
        <f>IFERROR(HLOOKUP(CN$1,'ER VP 2018'!$C$3:$JR$41,31,FALSE),0)</f>
        <v>2.36</v>
      </c>
      <c r="CO27" s="324">
        <f>IFERROR(HLOOKUP(CO$1,'ER VP 2018'!$C$3:$JR$41,31,FALSE),0)</f>
        <v>2.1800000000000002</v>
      </c>
      <c r="CP27" s="324">
        <f>IFERROR(HLOOKUP(CP$1,'ER VP 2018'!$C$3:$JR$41,31,FALSE),0)</f>
        <v>2.29</v>
      </c>
      <c r="CQ27" s="324">
        <f>IFERROR(HLOOKUP(CQ$1,'ER VP 2018'!$C$3:$JR$41,31,FALSE),0)</f>
        <v>7.18</v>
      </c>
      <c r="CR27" s="324">
        <f>IFERROR(HLOOKUP(CR$1,'ER VP 2018'!$C$3:$JR$41,31,FALSE),0)</f>
        <v>0</v>
      </c>
      <c r="CS27" s="324">
        <f>IFERROR(HLOOKUP(CS$1,'ER VP 2018'!$C$3:$JR$41,31,FALSE),0)</f>
        <v>0</v>
      </c>
      <c r="CT27" s="324">
        <f>IFERROR(HLOOKUP(CT$1,'ER VP 2018'!$C$3:$JR$41,31,FALSE),0)</f>
        <v>5.58</v>
      </c>
      <c r="CU27" s="324">
        <f>IFERROR(HLOOKUP(CU$1,'ER VP 2018'!$C$3:$JR$41,31,FALSE),0)</f>
        <v>4</v>
      </c>
      <c r="CV27" s="324">
        <f>IFERROR(HLOOKUP(CV$1,'ER VP 2018'!$C$3:$JR$41,31,FALSE),0)</f>
        <v>15</v>
      </c>
      <c r="CW27" s="324">
        <f>IFERROR(HLOOKUP(CW$1,'ER VP 2018'!$C$3:$JR$41,31,FALSE),0)</f>
        <v>0</v>
      </c>
      <c r="CX27" s="324">
        <f>IFERROR(HLOOKUP(CX$1,'ER VP 2018'!$C$3:$JR$41,31,FALSE),0)</f>
        <v>11.2</v>
      </c>
      <c r="CY27" s="324">
        <f>IFERROR(HLOOKUP(CY$1,'ER VP 2018'!$C$3:$JR$41,31,FALSE),0)</f>
        <v>6.2</v>
      </c>
      <c r="CZ27" s="324">
        <f>IFERROR(HLOOKUP(CZ$1,'ER VP 2018'!$C$3:$JR$41,31,FALSE),0)</f>
        <v>2.5</v>
      </c>
      <c r="DA27" s="324">
        <f>IFERROR(HLOOKUP(DA$1,'ER VP 2018'!$C$3:$JR$41,31,FALSE),0)</f>
        <v>4.2699999999999996</v>
      </c>
      <c r="DB27" s="324">
        <f>IFERROR(HLOOKUP(DB$1,'ER VP 2018'!$C$3:$JR$41,31,FALSE),0)</f>
        <v>1.04</v>
      </c>
      <c r="DC27" s="324">
        <f>IFERROR(HLOOKUP(DC$1,'ER VP 2018'!$C$3:$JR$41,31,FALSE),0)</f>
        <v>2.5</v>
      </c>
      <c r="DD27" s="324">
        <f>IFERROR(HLOOKUP(DD$1,'ER VP 2018'!$C$3:$JR$41,31,FALSE),0)</f>
        <v>7.51</v>
      </c>
      <c r="DE27" s="324">
        <f>IFERROR(HLOOKUP(DE$1,'ER VP 2018'!$C$3:$JR$41,31,FALSE),0)</f>
        <v>11.41</v>
      </c>
      <c r="DF27" s="324">
        <f>IFERROR(HLOOKUP(DF$1,'ER VP 2018'!$C$3:$JR$41,31,FALSE),0)</f>
        <v>8.8800000000000008</v>
      </c>
      <c r="DG27" s="324">
        <f>IFERROR(HLOOKUP(DG$1,'ER VP 2018'!$C$3:$JR$41,31,FALSE),0)</f>
        <v>0</v>
      </c>
      <c r="DH27" s="324">
        <f>IFERROR(HLOOKUP(DH$1,'ER VP 2018'!$C$3:$JR$41,31,FALSE),0)</f>
        <v>2.4</v>
      </c>
      <c r="DI27" s="324">
        <f>IFERROR(HLOOKUP(DI$1,'ER VP 2018'!$C$3:$JR$41,31,FALSE),0)</f>
        <v>1.63</v>
      </c>
      <c r="DJ27" s="324">
        <f>IFERROR(HLOOKUP(DJ$1,'ER VP 2018'!$C$3:$JR$41,31,FALSE),0)</f>
        <v>3.25</v>
      </c>
      <c r="DK27" s="324">
        <f>IFERROR(HLOOKUP(DK$1,'ER VP 2018'!$C$3:$JR$41,31,FALSE),0)</f>
        <v>1.35</v>
      </c>
      <c r="DL27" s="324">
        <f>IFERROR(HLOOKUP(DL$1,'ER VP 2018'!$C$3:$JR$41,31,FALSE),0)</f>
        <v>9.42</v>
      </c>
      <c r="DM27" s="324">
        <f>IFERROR(HLOOKUP(DM$1,'ER VP 2018'!$C$3:$JR$41,31,FALSE),0)</f>
        <v>6.5</v>
      </c>
      <c r="DN27" s="324">
        <f>IFERROR(HLOOKUP(DN$1,'ER VP 2018'!$C$3:$JR$41,31,FALSE),0)</f>
        <v>5</v>
      </c>
      <c r="DO27" s="324">
        <f>IFERROR(HLOOKUP(DO$1,'ER VP 2018'!$C$3:$JR$41,31,FALSE),0)</f>
        <v>2.02</v>
      </c>
      <c r="DP27" s="324">
        <f>IFERROR(HLOOKUP(DP$1,'ER VP 2018'!$C$3:$JR$41,31,FALSE),0)</f>
        <v>6.15</v>
      </c>
      <c r="DQ27" s="324">
        <f>IFERROR(HLOOKUP(DQ$1,'ER VP 2018'!$C$3:$JR$41,31,FALSE),0)</f>
        <v>5.87</v>
      </c>
      <c r="DR27" s="324">
        <f>IFERROR(HLOOKUP(DR$1,'ER VP 2018'!$C$3:$JR$41,31,FALSE),0)</f>
        <v>5.15</v>
      </c>
      <c r="DS27" s="324">
        <f>IFERROR(HLOOKUP(DS$1,'ER VP 2018'!$C$3:$JR$41,31,FALSE),0)</f>
        <v>0</v>
      </c>
      <c r="DT27" s="324">
        <f>IFERROR(HLOOKUP(DT$1,'ER VP 2018'!$C$3:$JR$41,31,FALSE),0)</f>
        <v>6.08</v>
      </c>
      <c r="DU27" s="324">
        <f>IFERROR(HLOOKUP(DU$1,'ER VP 2018'!$C$3:$JR$41,31,FALSE),0)</f>
        <v>3.4</v>
      </c>
      <c r="DV27" s="324">
        <f>IFERROR(HLOOKUP(DV$1,'ER VP 2018'!$C$3:$JR$41,31,FALSE),0)</f>
        <v>12.5</v>
      </c>
      <c r="DW27" s="324">
        <f>IFERROR(HLOOKUP(DW$1,'ER VP 2018'!$C$3:$JR$41,31,FALSE),0)</f>
        <v>0</v>
      </c>
      <c r="DX27" s="324">
        <f>IFERROR(HLOOKUP(DX$1,'ER VP 2018'!$C$3:$JR$41,31,FALSE),0)</f>
        <v>6.6</v>
      </c>
      <c r="DY27" s="324">
        <f>IFERROR(HLOOKUP(DY$1,'ER VP 2018'!$C$3:$JR$41,31,FALSE),0)</f>
        <v>8.8000000000000007</v>
      </c>
      <c r="DZ27" s="324">
        <f>IFERROR(HLOOKUP(DZ$1,'ER VP 2018'!$C$3:$JR$41,31,FALSE),0)</f>
        <v>0.95</v>
      </c>
      <c r="EA27" s="324">
        <f>IFERROR(HLOOKUP(EA$1,'ER VP 2018'!$C$3:$JR$41,31,FALSE),0)</f>
        <v>6.55</v>
      </c>
      <c r="EB27" s="324">
        <f>IFERROR(HLOOKUP(EB$1,'ER VP 2018'!$C$3:$JR$41,31,FALSE),0)</f>
        <v>10.62</v>
      </c>
      <c r="EC27" s="324">
        <f>IFERROR(HLOOKUP(EC$1,'ER VP 2018'!$C$3:$JR$41,31,FALSE),0)</f>
        <v>8.48</v>
      </c>
      <c r="ED27" s="324">
        <f>IFERROR(HLOOKUP(ED$1,'ER VP 2018'!$C$3:$JR$41,31,FALSE),0)</f>
        <v>5.54</v>
      </c>
      <c r="EE27" s="324">
        <f>IFERROR(HLOOKUP(EE$1,'ER VP 2018'!$C$3:$JR$41,31,FALSE),0)</f>
        <v>1.1499999999999999</v>
      </c>
      <c r="EF27" s="324">
        <f>IFERROR(HLOOKUP(EF$1,'ER VP 2018'!$C$3:$JR$41,31,FALSE),0)</f>
        <v>1.25</v>
      </c>
      <c r="EG27" s="324">
        <f>IFERROR(HLOOKUP(EG$1,'ER VP 2018'!$C$3:$JR$41,31,FALSE),0)</f>
        <v>0.6</v>
      </c>
      <c r="EH27" s="324">
        <f>IFERROR(HLOOKUP(EH$1,'ER VP 2018'!$C$3:$JR$41,31,FALSE),0)</f>
        <v>1.21</v>
      </c>
      <c r="EI27" s="324">
        <f>IFERROR(HLOOKUP(EI$1,'ER VP 2018'!$C$3:$JR$41,31,FALSE),0)</f>
        <v>1.71</v>
      </c>
      <c r="EJ27" s="324">
        <f>IFERROR(HLOOKUP(EJ$1,'ER VP 2018'!$C$3:$JR$41,31,FALSE),0)</f>
        <v>1.6</v>
      </c>
      <c r="EK27" s="324">
        <f>IFERROR(HLOOKUP(EK$1,'ER VP 2018'!$C$3:$JR$41,31,FALSE),0)</f>
        <v>8.84</v>
      </c>
      <c r="EL27" s="324">
        <f>IFERROR(HLOOKUP(EL$1,'ER VP 2018'!$C$3:$JR$41,31,FALSE),0)</f>
        <v>17.03</v>
      </c>
      <c r="EM27" s="324">
        <f>IFERROR(HLOOKUP(EM$1,'ER VP 2018'!$C$3:$JR$41,31,FALSE),0)</f>
        <v>5.27</v>
      </c>
      <c r="EN27" s="324">
        <f>IFERROR(HLOOKUP(EN$1,'ER VP 2018'!$C$3:$JR$41,31,FALSE),0)</f>
        <v>3.5</v>
      </c>
      <c r="EO27" s="324">
        <f>IFERROR(HLOOKUP(EO$1,'ER VP 2018'!$C$3:$JR$41,31,FALSE),0)</f>
        <v>0.4</v>
      </c>
      <c r="EP27" s="324">
        <f>IFERROR(HLOOKUP(EP$1,'ER VP 2018'!$C$3:$JR$41,31,FALSE),0)</f>
        <v>3.47</v>
      </c>
      <c r="EQ27" s="324">
        <f>IFERROR(HLOOKUP(EQ$1,'ER VP 2018'!$C$3:$JR$41,31,FALSE),0)</f>
        <v>3.2</v>
      </c>
      <c r="ER27" s="324">
        <f>IFERROR(HLOOKUP(ER$1,'ER VP 2018'!$C$3:$JR$41,31,FALSE),0)</f>
        <v>24.94</v>
      </c>
      <c r="ES27" s="324">
        <f>IFERROR(HLOOKUP(ES$1,'ER VP 2018'!$C$3:$JR$41,31,FALSE),0)</f>
        <v>15.5</v>
      </c>
      <c r="ET27" s="324">
        <f>IFERROR(HLOOKUP(ET$1,'ER VP 2018'!$C$3:$JR$41,31,FALSE),0)</f>
        <v>0</v>
      </c>
      <c r="EU27" s="324">
        <f>IFERROR(HLOOKUP(EU$1,'ER VP 2018'!$C$3:$JR$41,31,FALSE),0)</f>
        <v>0</v>
      </c>
      <c r="EV27" s="324">
        <f>IFERROR(HLOOKUP(EV$1,'ER VP 2018'!$C$3:$JR$41,31,FALSE),0)</f>
        <v>0.7</v>
      </c>
      <c r="EW27" s="324">
        <f>IFERROR(HLOOKUP(EW$1,'ER VP 2018'!$C$3:$JR$41,31,FALSE),0)</f>
        <v>9</v>
      </c>
      <c r="EX27" s="324">
        <f>IFERROR(HLOOKUP(EX$1,'ER VP 2018'!$C$3:$JR$41,31,FALSE),0)</f>
        <v>23</v>
      </c>
      <c r="EY27" s="324">
        <f>IFERROR(HLOOKUP(EY$1,'ER VP 2018'!$C$3:$JR$41,31,FALSE),0)</f>
        <v>4.5</v>
      </c>
      <c r="EZ27" s="324">
        <f>IFERROR(HLOOKUP(EZ$1,'ER VP 2018'!$C$3:$JR$41,31,FALSE),0)</f>
        <v>2.35</v>
      </c>
      <c r="FA27" s="324">
        <f>IFERROR(HLOOKUP(FA$1,'ER VP 2018'!$C$3:$JR$41,31,FALSE),0)</f>
        <v>5.2</v>
      </c>
      <c r="FB27" s="324">
        <f>IFERROR(HLOOKUP(FB$1,'ER VP 2018'!$C$3:$JR$41,31,FALSE),0)</f>
        <v>0.65</v>
      </c>
      <c r="FC27" s="324">
        <f>IFERROR(HLOOKUP(FC$1,'ER VP 2018'!$C$3:$JR$41,31,FALSE),0)</f>
        <v>13.86</v>
      </c>
      <c r="FD27" s="324">
        <f>IFERROR(HLOOKUP(FD$1,'ER VP 2018'!$C$3:$JR$41,31,FALSE),0)</f>
        <v>2.69</v>
      </c>
      <c r="FE27" s="324">
        <f>IFERROR(HLOOKUP(FE$1,'ER VP 2018'!$C$3:$JR$41,31,FALSE),0)</f>
        <v>1.18</v>
      </c>
      <c r="FF27" s="324">
        <f>IFERROR(HLOOKUP(FF$1,'ER VP 2018'!$C$3:$JR$41,31,FALSE),0)</f>
        <v>5.4</v>
      </c>
      <c r="FG27" s="324">
        <f>IFERROR(HLOOKUP(FG$1,'ER VP 2018'!$C$3:$JR$41,31,FALSE),0)</f>
        <v>20.5</v>
      </c>
      <c r="FH27" s="324">
        <f>IFERROR(HLOOKUP(FH$1,'ER VP 2018'!$C$3:$JR$41,31,FALSE),0)</f>
        <v>23</v>
      </c>
      <c r="FI27" s="324">
        <f>IFERROR(HLOOKUP(FI$1,'ER VP 2018'!$C$3:$JR$41,31,FALSE),0)</f>
        <v>25</v>
      </c>
      <c r="FJ27" s="324">
        <f>IFERROR(HLOOKUP(FJ$1,'ER VP 2018'!$C$3:$JR$41,31,FALSE),0)</f>
        <v>8</v>
      </c>
      <c r="FK27" s="324">
        <f>IFERROR(HLOOKUP(FK$1,'ER VP 2018'!$C$3:$JR$41,31,FALSE),0)</f>
        <v>2.25</v>
      </c>
      <c r="FL27" s="324">
        <f>IFERROR(HLOOKUP(FL$1,'ER VP 2018'!$C$3:$JR$41,31,FALSE),0)</f>
        <v>2.25</v>
      </c>
      <c r="FM27" s="324">
        <f>IFERROR(HLOOKUP(FM$1,'ER VP 2018'!$C$3:$JR$41,31,FALSE),0)</f>
        <v>11.5</v>
      </c>
      <c r="FN27" s="324">
        <f>IFERROR(HLOOKUP(FN$1,'ER VP 2018'!$C$3:$JR$41,31,FALSE),0)</f>
        <v>16.2</v>
      </c>
      <c r="FO27" s="324">
        <f>IFERROR(HLOOKUP(FO$1,'ER VP 2018'!$C$3:$JR$41,31,FALSE),0)</f>
        <v>4.5999999999999996</v>
      </c>
      <c r="FP27" s="324">
        <f>IFERROR(HLOOKUP(FP$1,'ER VP 2018'!$C$3:$JR$41,31,FALSE),0)</f>
        <v>34</v>
      </c>
      <c r="FQ27" s="324">
        <f>IFERROR(HLOOKUP(FQ$1,'ER VP 2018'!$C$3:$JR$41,31,FALSE),0)</f>
        <v>3.8</v>
      </c>
      <c r="FR27" s="324">
        <f>IFERROR(HLOOKUP(FR$1,'ER VP 2018'!$C$3:$JR$41,31,FALSE),0)</f>
        <v>0</v>
      </c>
      <c r="FS27" s="324">
        <f>IFERROR(HLOOKUP(FS$1,'ER VP 2018'!$C$3:$JR$41,31,FALSE),0)</f>
        <v>5.0999999999999996</v>
      </c>
      <c r="FT27" s="324">
        <f>IFERROR(HLOOKUP(FT$1,'ER VP 2018'!$C$3:$JR$41,31,FALSE),0)</f>
        <v>11.6</v>
      </c>
      <c r="FU27" s="324">
        <f>IFERROR(HLOOKUP(FU$1,'ER VP 2018'!$C$3:$JR$41,31,FALSE),0)</f>
        <v>1.3</v>
      </c>
      <c r="FV27" s="324">
        <f>IFERROR(HLOOKUP(FV$1,'ER VP 2018'!$C$3:$JR$41,31,FALSE),0)</f>
        <v>4.09</v>
      </c>
      <c r="FW27" s="324">
        <f>IFERROR(HLOOKUP(FW$1,'ER VP 2018'!$C$3:$JR$41,31,FALSE),0)</f>
        <v>3.9</v>
      </c>
      <c r="FX27" s="324">
        <f>IFERROR(HLOOKUP(FX$1,'ER VP 2018'!$C$3:$JR$41,31,FALSE),0)</f>
        <v>2.25</v>
      </c>
      <c r="FY27" s="324">
        <f>IFERROR(HLOOKUP(FY$1,'ER VP 2018'!$C$3:$JR$41,31,FALSE),0)</f>
        <v>1.2</v>
      </c>
      <c r="FZ27" s="324">
        <f>IFERROR(HLOOKUP(FZ$1,'ER VP 2018'!$C$3:$JR$41,31,FALSE),0)</f>
        <v>15.54</v>
      </c>
      <c r="GA27" s="324">
        <f>IFERROR(HLOOKUP(GA$1,'ER VP 2018'!$C$3:$JR$41,31,FALSE),0)</f>
        <v>1.9</v>
      </c>
      <c r="GB27" s="324">
        <f>IFERROR(HLOOKUP(GB$1,'ER VP 2018'!$C$3:$JR$41,31,FALSE),0)</f>
        <v>17.100000000000001</v>
      </c>
      <c r="GC27" s="324">
        <f>IFERROR(HLOOKUP(GC$1,'ER VP 2018'!$C$3:$JR$41,31,FALSE),0)</f>
        <v>6.94</v>
      </c>
      <c r="GD27" s="324">
        <f>IFERROR(HLOOKUP(GD$1,'ER VP 2018'!$C$3:$JR$41,31,FALSE),0)</f>
        <v>27.29</v>
      </c>
      <c r="GE27" s="324">
        <f>IFERROR(HLOOKUP(GE$1,'ER VP 2018'!$C$3:$JR$41,31,FALSE),0)</f>
        <v>3.2</v>
      </c>
      <c r="GF27" s="324">
        <f>IFERROR(HLOOKUP(GF$1,'ER VP 2018'!$C$3:$JR$41,31,FALSE),0)</f>
        <v>9.6300000000000008</v>
      </c>
      <c r="GG27" s="324">
        <f>IFERROR(HLOOKUP(GG$1,'ER VP 2018'!$C$3:$JR$41,31,FALSE),0)</f>
        <v>3.16</v>
      </c>
      <c r="GH27" s="324">
        <f>IFERROR(HLOOKUP(GH$1,'ER VP 2018'!$C$3:$JR$41,31,FALSE),0)</f>
        <v>2.38</v>
      </c>
      <c r="GI27" s="324">
        <f>IFERROR(HLOOKUP(GI$1,'ER VP 2018'!$C$3:$JR$41,31,FALSE),0)</f>
        <v>27.13</v>
      </c>
      <c r="GJ27" s="324">
        <f>IFERROR(HLOOKUP(GJ$1,'ER VP 2018'!$C$3:$JR$41,31,FALSE),0)</f>
        <v>6.48</v>
      </c>
      <c r="GK27" s="324">
        <f>IFERROR(HLOOKUP(GK$1,'ER VP 2018'!$C$3:$JR$41,31,FALSE),0)</f>
        <v>6.58</v>
      </c>
      <c r="GL27" s="324">
        <f>IFERROR(HLOOKUP(GL$1,'ER VP 2018'!$C$3:$JR$41,31,FALSE),0)</f>
        <v>2.08</v>
      </c>
      <c r="GM27" s="324">
        <f>IFERROR(HLOOKUP(GM$1,'ER VP 2018'!$C$3:$JR$41,31,FALSE),0)</f>
        <v>2.38</v>
      </c>
      <c r="GN27" s="324">
        <f>IFERROR(HLOOKUP(GN$1,'ER VP 2018'!$C$3:$JR$41,31,FALSE),0)</f>
        <v>2</v>
      </c>
      <c r="GO27" s="324">
        <f>IFERROR(HLOOKUP(GO$1,'ER VP 2018'!$C$3:$JR$41,31,FALSE),0)</f>
        <v>17.260000000000002</v>
      </c>
      <c r="GP27" s="324">
        <f>IFERROR(HLOOKUP(GP$1,'ER VP 2018'!$C$3:$JR$41,31,FALSE),0)</f>
        <v>2.75</v>
      </c>
      <c r="GQ27" s="324">
        <f>IFERROR(HLOOKUP(GQ$1,'ER VP 2018'!$C$3:$JR$41,31,FALSE),0)</f>
        <v>3.5</v>
      </c>
      <c r="GR27" s="324">
        <f>IFERROR(HLOOKUP(GR$1,'ER VP 2018'!$C$3:$JR$41,31,FALSE),0)</f>
        <v>3.21</v>
      </c>
      <c r="GS27" s="324">
        <f>IFERROR(HLOOKUP(GS$1,'ER VP 2018'!$C$3:$JR$41,31,FALSE),0)</f>
        <v>2.5</v>
      </c>
      <c r="GT27" s="324">
        <f>IFERROR(HLOOKUP(GT$1,'ER VP 2018'!$C$3:$JR$41,31,FALSE),0)</f>
        <v>30.25</v>
      </c>
      <c r="GU27" s="324">
        <f>IFERROR(HLOOKUP(GU$1,'ER VP 2018'!$C$3:$JR$41,31,FALSE),0)</f>
        <v>2.61</v>
      </c>
      <c r="GV27" s="324">
        <f>IFERROR(HLOOKUP(GV$1,'ER VP 2018'!$C$3:$JR$41,31,FALSE),0)</f>
        <v>0</v>
      </c>
      <c r="GW27" s="324">
        <f>IFERROR(HLOOKUP(GW$1,'ER VP 2018'!$C$3:$JR$41,31,FALSE),0)</f>
        <v>4.3600000000000003</v>
      </c>
      <c r="GX27" s="324">
        <f>IFERROR(HLOOKUP(GX$1,'ER VP 2018'!$C$3:$JR$41,31,FALSE),0)</f>
        <v>1.7</v>
      </c>
      <c r="GY27" s="324">
        <f>IFERROR(HLOOKUP(GY$1,'ER VP 2018'!$C$3:$JR$41,31,FALSE),0)</f>
        <v>62.02</v>
      </c>
      <c r="GZ27" s="324">
        <f>IFERROR(HLOOKUP(GZ$1,'ER VP 2018'!$C$3:$JR$41,31,FALSE),0)</f>
        <v>0</v>
      </c>
      <c r="HA27" s="324">
        <f>IFERROR(HLOOKUP(HA$1,'ER VP 2018'!$C$3:$JR$41,31,FALSE),0)</f>
        <v>21.75</v>
      </c>
      <c r="HB27" s="324">
        <f>IFERROR(HLOOKUP(HB$1,'ER VP 2018'!$C$3:$JR$41,31,FALSE),0)</f>
        <v>12</v>
      </c>
      <c r="HC27" s="324">
        <f>IFERROR(HLOOKUP(HC$1,'ER VP 2018'!$C$3:$JR$41,31,FALSE),0)</f>
        <v>25.96</v>
      </c>
      <c r="HD27" s="324">
        <f>IFERROR(HLOOKUP(HD$1,'ER VP 2018'!$C$3:$JR$41,31,FALSE),0)</f>
        <v>7</v>
      </c>
      <c r="HE27" s="324">
        <f>IFERROR(HLOOKUP(HE$1,'ER VP 2018'!$C$3:$JR$41,31,FALSE),0)</f>
        <v>20.5</v>
      </c>
      <c r="HF27" s="324">
        <f>IFERROR(HLOOKUP(HF$1,'ER VP 2018'!$C$3:$JR$41,31,FALSE),0)</f>
        <v>5.7</v>
      </c>
      <c r="HG27" s="324">
        <f>IFERROR(HLOOKUP(HG$1,'ER VP 2018'!$C$3:$JR$41,31,FALSE),0)</f>
        <v>2.7</v>
      </c>
      <c r="HH27" s="324">
        <f>IFERROR(HLOOKUP(HH$1,'ER VP 2018'!$C$3:$JR$41,31,FALSE),0)</f>
        <v>5.4</v>
      </c>
      <c r="HI27" s="324">
        <f>IFERROR(HLOOKUP(HI$1,'ER VP 2018'!$C$3:$JR$41,31,FALSE),0)</f>
        <v>9</v>
      </c>
      <c r="HJ27" s="324">
        <f>IFERROR(HLOOKUP(HJ$1,'ER VP 2018'!$C$3:$JR$41,31,FALSE),0)</f>
        <v>1.25</v>
      </c>
      <c r="HK27" s="324">
        <f>IFERROR(HLOOKUP(HK$1,'ER VP 2018'!$C$3:$JR$41,31,FALSE),0)</f>
        <v>2.6</v>
      </c>
      <c r="HL27" s="324">
        <f>IFERROR(HLOOKUP(HL$1,'ER VP 2018'!$C$3:$JR$41,31,FALSE),0)</f>
        <v>66.25</v>
      </c>
      <c r="HM27" s="324">
        <f>IFERROR(HLOOKUP(HM$1,'ER VP 2018'!$C$3:$JR$41,31,FALSE),0)</f>
        <v>40.6</v>
      </c>
      <c r="HN27" s="324">
        <f>IFERROR(HLOOKUP(HN$1,'ER VP 2018'!$C$3:$JR$41,31,FALSE),0)</f>
        <v>1.1000000000000001</v>
      </c>
      <c r="HO27" s="324">
        <f>IFERROR(HLOOKUP(HO$1,'ER VP 2018'!$C$3:$JR$41,31,FALSE),0)</f>
        <v>3.6</v>
      </c>
      <c r="HP27" s="324">
        <f>IFERROR(HLOOKUP(HP$1,'ER VP 2018'!$C$3:$JR$41,31,FALSE),0)</f>
        <v>55.3</v>
      </c>
      <c r="HQ27" s="324">
        <f>IFERROR(HLOOKUP(HQ$1,'ER VP 2018'!$C$3:$JR$41,31,FALSE),0)</f>
        <v>1.4</v>
      </c>
      <c r="HR27" s="324">
        <f>IFERROR(HLOOKUP(HR$1,'ER VP 2018'!$C$3:$JR$41,31,FALSE),0)</f>
        <v>61.64</v>
      </c>
      <c r="HS27" s="324">
        <f>IFERROR(HLOOKUP(HS$1,'ER VP 2018'!$C$3:$JR$41,31,FALSE),0)</f>
        <v>10.71</v>
      </c>
      <c r="HT27" s="324">
        <f>IFERROR(HLOOKUP(HT$1,'ER VP 2018'!$C$3:$JR$41,31,FALSE),0)</f>
        <v>33</v>
      </c>
      <c r="HU27" s="324">
        <f>IFERROR(HLOOKUP(HU$1,'ER VP 2018'!$C$3:$JR$41,31,FALSE),0)</f>
        <v>51.59</v>
      </c>
      <c r="HV27" s="324">
        <f>IFERROR(HLOOKUP(HV$1,'ER VP 2018'!$C$3:$JR$41,31,FALSE),0)</f>
        <v>44</v>
      </c>
      <c r="HW27" s="324">
        <f>IFERROR(HLOOKUP(HW$1,'ER VP 2018'!$C$3:$JR$41,31,FALSE),0)</f>
        <v>13.66</v>
      </c>
      <c r="HX27" s="324">
        <f>IFERROR(HLOOKUP(HX$1,'ER VP 2018'!$C$3:$JR$41,31,FALSE),0)</f>
        <v>40.9</v>
      </c>
      <c r="HY27" s="324">
        <f>IFERROR(HLOOKUP(HY$1,'ER VP 2018'!$C$3:$JR$41,31,FALSE),0)</f>
        <v>37.35</v>
      </c>
      <c r="HZ27" s="324">
        <f>IFERROR(HLOOKUP(HZ$1,'ER VP 2018'!$C$3:$JR$41,31,FALSE),0)</f>
        <v>19.100000000000001</v>
      </c>
      <c r="IA27" s="324">
        <f>IFERROR(HLOOKUP(IA$1,'ER VP 2018'!$C$3:$JR$41,31,FALSE),0)</f>
        <v>21.46</v>
      </c>
      <c r="IB27" s="324">
        <f>IFERROR(HLOOKUP(IB$1,'ER VP 2018'!$C$3:$JR$41,31,FALSE),0)</f>
        <v>17.05</v>
      </c>
      <c r="IC27" s="324">
        <f>IFERROR(HLOOKUP(IC$1,'ER VP 2018'!$C$3:$JR$41,31,FALSE),0)</f>
        <v>33.549999999999997</v>
      </c>
      <c r="ID27" s="324">
        <f>IFERROR(HLOOKUP(ID$1,'ER VP 2018'!$C$3:$JR$41,31,FALSE),0)</f>
        <v>25.49</v>
      </c>
      <c r="IE27" s="324">
        <f>IFERROR(HLOOKUP(IE$1,'ER VP 2018'!$C$3:$JR$41,31,FALSE),0)</f>
        <v>26.31</v>
      </c>
      <c r="IF27" s="324">
        <f>IFERROR(HLOOKUP(IF$1,'ER VP 2018'!$C$3:$JR$41,31,FALSE),0)</f>
        <v>41</v>
      </c>
      <c r="IG27" s="324">
        <f>IFERROR(HLOOKUP(IG$1,'ER VP 2018'!$C$3:$JR$41,31,FALSE),0)</f>
        <v>0</v>
      </c>
      <c r="IH27" s="324">
        <f>IFERROR(HLOOKUP(IH$1,'ER VP 2018'!$C$3:$JR$41,31,FALSE),0)</f>
        <v>5.51</v>
      </c>
      <c r="II27" s="324">
        <f>IFERROR(HLOOKUP(II$1,'ER VP 2018'!$C$3:$JR$41,31,FALSE),0)</f>
        <v>32.270000000000003</v>
      </c>
      <c r="IJ27" s="324">
        <f>IFERROR(HLOOKUP(IJ$1,'ER VP 2018'!$C$3:$JR$41,31,FALSE),0)</f>
        <v>1.5</v>
      </c>
      <c r="IK27" s="324">
        <f>IFERROR(HLOOKUP(IK$1,'ER VP 2018'!$C$3:$JR$41,31,FALSE),0)</f>
        <v>4.3</v>
      </c>
      <c r="IL27" s="324">
        <f>IFERROR(HLOOKUP(IL$1,'ER VP 2018'!$C$3:$JR$41,31,FALSE),0)</f>
        <v>18</v>
      </c>
      <c r="IM27" s="324">
        <f>IFERROR(HLOOKUP(IM$1,'ER VP 2018'!$C$3:$JR$41,31,FALSE),0)</f>
        <v>1.1200000000000001</v>
      </c>
      <c r="IN27" s="324">
        <f>IFERROR(HLOOKUP(IN$1,'ER VP 2018'!$C$3:$JR$41,31,FALSE),0)</f>
        <v>20.84</v>
      </c>
      <c r="IO27" s="324">
        <f>IFERROR(HLOOKUP(IO$1,'ER VP 2018'!$C$3:$JR$41,31,FALSE),0)</f>
        <v>8.14</v>
      </c>
      <c r="IP27" s="324">
        <f>IFERROR(HLOOKUP(IP$1,'ER VP 2018'!$C$3:$JR$41,31,FALSE),0)</f>
        <v>35</v>
      </c>
      <c r="IQ27" s="324">
        <f>IFERROR(HLOOKUP(IQ$1,'ER VP 2018'!$C$3:$JR$41,31,FALSE),0)</f>
        <v>39.130000000000003</v>
      </c>
      <c r="IR27" s="324">
        <f>IFERROR(HLOOKUP(IR$1,'ER VP 2018'!$C$3:$JR$41,31,FALSE),0)</f>
        <v>1.7</v>
      </c>
      <c r="IS27" s="324">
        <f>IFERROR(HLOOKUP(IS$1,'ER VP 2018'!$C$3:$JR$41,31,FALSE),0)</f>
        <v>111.03</v>
      </c>
      <c r="IT27" s="324">
        <f>IFERROR(HLOOKUP(IT$1,'ER VP 2018'!$C$3:$JR$41,31,FALSE),0)</f>
        <v>28.16</v>
      </c>
      <c r="IU27" s="324">
        <f>IFERROR(HLOOKUP(IU$1,'ER VP 2018'!$C$3:$JR$41,31,FALSE),0)</f>
        <v>7.3</v>
      </c>
      <c r="IV27" s="324">
        <f>IFERROR(HLOOKUP(IV$1,'ER VP 2018'!$C$3:$JR$41,31,FALSE),0)</f>
        <v>18.3</v>
      </c>
      <c r="IW27" s="324">
        <f>IFERROR(HLOOKUP(IW$1,'ER VP 2018'!$C$3:$JR$41,31,FALSE),0)</f>
        <v>31</v>
      </c>
      <c r="IX27" s="324">
        <f>IFERROR(HLOOKUP(IX$1,'ER VP 2018'!$C$3:$JR$41,31,FALSE),0)</f>
        <v>3.4</v>
      </c>
      <c r="IY27" s="324">
        <f>IFERROR(HLOOKUP(IY$1,'ER VP 2018'!$C$3:$JR$41,31,FALSE),0)</f>
        <v>22.2</v>
      </c>
      <c r="IZ27" s="324">
        <f>IFERROR(HLOOKUP(IZ$1,'ER VP 2018'!$C$3:$JR$41,31,FALSE),0)</f>
        <v>42</v>
      </c>
      <c r="JA27" s="324">
        <f>IFERROR(HLOOKUP(JA$1,'ER VP 2018'!$C$3:$JR$41,31,FALSE),0)</f>
        <v>4.1500000000000004</v>
      </c>
      <c r="JB27" s="324">
        <f>IFERROR(HLOOKUP(JB$1,'ER VP 2018'!$C$3:$JR$41,31,FALSE),0)</f>
        <v>3.3</v>
      </c>
      <c r="JC27" s="324">
        <f>IFERROR(HLOOKUP(JC$1,'ER VP 2018'!$C$3:$JR$41,31,FALSE),0)</f>
        <v>3.3</v>
      </c>
      <c r="JD27" s="324">
        <f>IFERROR(HLOOKUP(JD$1,'ER VP 2018'!$C$3:$JR$41,31,FALSE),0)</f>
        <v>8.1</v>
      </c>
      <c r="JE27" s="324">
        <f>IFERROR(HLOOKUP(JE$1,'ER VP 2018'!$C$3:$JR$41,31,FALSE),0)</f>
        <v>1.93</v>
      </c>
      <c r="JF27" s="324">
        <f>IFERROR(HLOOKUP(JF$1,'ER VP 2018'!$C$3:$JR$41,31,FALSE),0)</f>
        <v>66.069999999999993</v>
      </c>
      <c r="JG27" s="324">
        <f>IFERROR(HLOOKUP(JG$1,'ER VP 2018'!$C$3:$JR$41,31,FALSE),0)</f>
        <v>49</v>
      </c>
      <c r="JH27" s="324">
        <f>IFERROR(HLOOKUP(JH$1,'ER VP 2018'!$C$3:$JR$41,31,FALSE),0)</f>
        <v>623492</v>
      </c>
    </row>
    <row r="28" spans="1:276" x14ac:dyDescent="0.25">
      <c r="B28" s="313" t="s">
        <v>1877</v>
      </c>
      <c r="C28" s="324">
        <f>IFERROR(VLOOKUP(C$1,'Výpočet VP 2018'!$D$330:$AK$601,15,FALSE),0)</f>
        <v>20</v>
      </c>
      <c r="D28" s="324">
        <f>IFERROR(VLOOKUP(D$1,'Výpočet VP 2018'!$D$330:$AK$601,15,FALSE),0)</f>
        <v>15.5</v>
      </c>
      <c r="E28" s="324">
        <f>IFERROR(VLOOKUP(E$1,'Výpočet VP 2018'!$D$330:$AK$601,15,FALSE),0)</f>
        <v>21.25</v>
      </c>
      <c r="F28" s="324">
        <f>IFERROR(VLOOKUP(F$1,'Výpočet VP 2018'!$D$330:$AK$601,15,FALSE),0)</f>
        <v>8.9</v>
      </c>
      <c r="G28" s="324">
        <f>IFERROR(VLOOKUP(G$1,'Výpočet VP 2018'!$D$330:$AK$601,15,FALSE),0)</f>
        <v>16.649999999999999</v>
      </c>
      <c r="H28" s="324">
        <f>IFERROR(VLOOKUP(H$1,'Výpočet VP 2018'!$D$330:$AK$601,15,FALSE),0)</f>
        <v>0</v>
      </c>
      <c r="I28" s="324">
        <f>IFERROR(VLOOKUP(I$1,'Výpočet VP 2018'!$D$330:$AK$601,15,FALSE),0)</f>
        <v>2.5</v>
      </c>
      <c r="J28" s="324">
        <f>IFERROR(VLOOKUP(J$1,'Výpočet VP 2018'!$D$330:$AK$601,15,FALSE),0)</f>
        <v>4</v>
      </c>
      <c r="K28" s="324">
        <f>IFERROR(VLOOKUP(K$1,'Výpočet VP 2018'!$D$330:$AK$601,15,FALSE),0)</f>
        <v>10</v>
      </c>
      <c r="L28" s="324">
        <f>IFERROR(VLOOKUP(L$1,'Výpočet VP 2018'!$D$330:$AK$601,15,FALSE),0)</f>
        <v>4.0599999999999996</v>
      </c>
      <c r="M28" s="324">
        <f>IFERROR(VLOOKUP(M$1,'Výpočet VP 2018'!$D$330:$AK$601,15,FALSE),0)</f>
        <v>9</v>
      </c>
      <c r="N28" s="324">
        <f>IFERROR(VLOOKUP(N$1,'Výpočet VP 2018'!$D$330:$AK$601,15,FALSE),0)</f>
        <v>8.51</v>
      </c>
      <c r="O28" s="324">
        <f>IFERROR(VLOOKUP(O$1,'Výpočet VP 2018'!$D$330:$AK$601,15,FALSE),0)</f>
        <v>6.0700000000000012</v>
      </c>
      <c r="P28" s="324">
        <f>IFERROR(VLOOKUP(P$1,'Výpočet VP 2018'!$D$330:$AK$601,15,FALSE),0)</f>
        <v>4</v>
      </c>
      <c r="Q28" s="324">
        <f>IFERROR(VLOOKUP(Q$1,'Výpočet VP 2018'!$D$330:$AK$601,15,FALSE),0)</f>
        <v>2</v>
      </c>
      <c r="R28" s="324">
        <f>IFERROR(VLOOKUP(R$1,'Výpočet VP 2018'!$D$330:$AK$601,15,FALSE),0)</f>
        <v>3.3</v>
      </c>
      <c r="S28" s="324">
        <f>IFERROR(VLOOKUP(S$1,'Výpočet VP 2018'!$D$330:$AK$601,15,FALSE),0)</f>
        <v>2.2999999999999998</v>
      </c>
      <c r="T28" s="324">
        <f>IFERROR(VLOOKUP(T$1,'Výpočet VP 2018'!$D$330:$AK$601,15,FALSE),0)</f>
        <v>1</v>
      </c>
      <c r="U28" s="324">
        <f>IFERROR(VLOOKUP(U$1,'Výpočet VP 2018'!$D$330:$AK$601,15,FALSE),0)</f>
        <v>1.5</v>
      </c>
      <c r="V28" s="324">
        <f>IFERROR(VLOOKUP(V$1,'Výpočet VP 2018'!$D$330:$AK$601,15,FALSE),0)</f>
        <v>31.15</v>
      </c>
      <c r="W28" s="324">
        <f>IFERROR(VLOOKUP(W$1,'Výpočet VP 2018'!$D$330:$AK$601,15,FALSE),0)</f>
        <v>5.75</v>
      </c>
      <c r="X28" s="324">
        <f>IFERROR(VLOOKUP(X$1,'Výpočet VP 2018'!$D$330:$AK$601,15,FALSE),0)</f>
        <v>1.5</v>
      </c>
      <c r="Y28" s="324">
        <f>IFERROR(VLOOKUP(Y$1,'Výpočet VP 2018'!$D$330:$AK$601,15,FALSE),0)</f>
        <v>4.05</v>
      </c>
      <c r="Z28" s="324">
        <f>IFERROR(VLOOKUP(Z$1,'Výpočet VP 2018'!$D$330:$AK$601,15,FALSE),0)</f>
        <v>13.95</v>
      </c>
      <c r="AA28" s="324">
        <f>IFERROR(VLOOKUP(AA$1,'Výpočet VP 2018'!$D$330:$AK$601,15,FALSE),0)</f>
        <v>6</v>
      </c>
      <c r="AB28" s="324">
        <f>IFERROR(VLOOKUP(AB$1,'Výpočet VP 2018'!$D$330:$AK$601,15,FALSE),0)</f>
        <v>6</v>
      </c>
      <c r="AC28" s="324">
        <f>IFERROR(VLOOKUP(AC$1,'Výpočet VP 2018'!$D$330:$AK$601,15,FALSE),0)</f>
        <v>2.5</v>
      </c>
      <c r="AD28" s="324">
        <f>IFERROR(VLOOKUP(AD$1,'Výpočet VP 2018'!$D$330:$AK$601,15,FALSE),0)</f>
        <v>1.7</v>
      </c>
      <c r="AE28" s="324">
        <f>IFERROR(VLOOKUP(AE$1,'Výpočet VP 2018'!$D$330:$AK$601,15,FALSE),0)</f>
        <v>1.7</v>
      </c>
      <c r="AF28" s="324">
        <f>IFERROR(VLOOKUP(AF$1,'Výpočet VP 2018'!$D$330:$AK$601,15,FALSE),0)</f>
        <v>3.64</v>
      </c>
      <c r="AG28" s="324">
        <f>IFERROR(VLOOKUP(AG$1,'Výpočet VP 2018'!$D$330:$AK$601,15,FALSE),0)</f>
        <v>7</v>
      </c>
      <c r="AH28" s="324">
        <f>IFERROR(VLOOKUP(AH$1,'Výpočet VP 2018'!$D$330:$AK$601,15,FALSE),0)</f>
        <v>1.7</v>
      </c>
      <c r="AI28" s="324">
        <f>IFERROR(VLOOKUP(AI$1,'Výpočet VP 2018'!$D$330:$AK$601,15,FALSE),0)</f>
        <v>10.775</v>
      </c>
      <c r="AJ28" s="324">
        <f>IFERROR(VLOOKUP(AJ$1,'Výpočet VP 2018'!$D$330:$AK$601,15,FALSE),0)</f>
        <v>7.2</v>
      </c>
      <c r="AK28" s="324">
        <f>IFERROR(VLOOKUP(AK$1,'Výpočet VP 2018'!$D$330:$AK$601,15,FALSE),0)</f>
        <v>2.1</v>
      </c>
      <c r="AL28" s="324">
        <f>IFERROR(VLOOKUP(AL$1,'Výpočet VP 2018'!$D$330:$AK$601,15,FALSE),0)</f>
        <v>3</v>
      </c>
      <c r="AM28" s="324">
        <f>IFERROR(VLOOKUP(AM$1,'Výpočet VP 2018'!$D$330:$AK$601,15,FALSE),0)</f>
        <v>2.1</v>
      </c>
      <c r="AN28" s="324">
        <f>IFERROR(VLOOKUP(AN$1,'Výpočet VP 2018'!$D$330:$AK$601,15,FALSE),0)</f>
        <v>1.34</v>
      </c>
      <c r="AO28" s="324">
        <f>IFERROR(VLOOKUP(AO$1,'Výpočet VP 2018'!$D$330:$AK$601,15,FALSE),0)</f>
        <v>12.14</v>
      </c>
      <c r="AP28" s="324">
        <f>IFERROR(VLOOKUP(AP$1,'Výpočet VP 2018'!$D$330:$AK$601,15,FALSE),0)</f>
        <v>5.3</v>
      </c>
      <c r="AQ28" s="324">
        <f>IFERROR(VLOOKUP(AQ$1,'Výpočet VP 2018'!$D$330:$AK$601,15,FALSE),0)</f>
        <v>0.4</v>
      </c>
      <c r="AR28" s="324">
        <f>IFERROR(VLOOKUP(AR$1,'Výpočet VP 2018'!$D$330:$AK$601,15,FALSE),0)</f>
        <v>1.35</v>
      </c>
      <c r="AS28" s="324">
        <f>IFERROR(VLOOKUP(AS$1,'Výpočet VP 2018'!$D$330:$AK$601,15,FALSE),0)</f>
        <v>0.6</v>
      </c>
      <c r="AT28" s="324">
        <f>IFERROR(VLOOKUP(AT$1,'Výpočet VP 2018'!$D$330:$AK$601,15,FALSE),0)</f>
        <v>4.7</v>
      </c>
      <c r="AU28" s="324">
        <f>IFERROR(VLOOKUP(AU$1,'Výpočet VP 2018'!$D$330:$AK$601,15,FALSE),0)</f>
        <v>1.6</v>
      </c>
      <c r="AV28" s="324">
        <f>IFERROR(VLOOKUP(AV$1,'Výpočet VP 2018'!$D$330:$AK$601,15,FALSE),0)</f>
        <v>2.95</v>
      </c>
      <c r="AW28" s="324">
        <f>IFERROR(VLOOKUP(AW$1,'Výpočet VP 2018'!$D$330:$AK$601,15,FALSE),0)</f>
        <v>5</v>
      </c>
      <c r="AX28" s="324">
        <f>IFERROR(VLOOKUP(AX$1,'Výpočet VP 2018'!$D$330:$AK$601,15,FALSE),0)</f>
        <v>5.35</v>
      </c>
      <c r="AY28" s="324">
        <f>IFERROR(VLOOKUP(AY$1,'Výpočet VP 2018'!$D$330:$AK$601,15,FALSE),0)</f>
        <v>4.1899999999999995</v>
      </c>
      <c r="AZ28" s="324">
        <f>IFERROR(VLOOKUP(AZ$1,'Výpočet VP 2018'!$D$330:$AK$601,15,FALSE),0)</f>
        <v>4.55</v>
      </c>
      <c r="BA28" s="324">
        <f>IFERROR(VLOOKUP(BA$1,'Výpočet VP 2018'!$D$330:$AK$601,15,FALSE),0)</f>
        <v>23.8</v>
      </c>
      <c r="BB28" s="324">
        <f>IFERROR(VLOOKUP(BB$1,'Výpočet VP 2018'!$D$330:$AK$601,15,FALSE),0)</f>
        <v>1.9</v>
      </c>
      <c r="BC28" s="324">
        <f>IFERROR(VLOOKUP(BC$1,'Výpočet VP 2018'!$D$330:$AK$601,15,FALSE),0)</f>
        <v>1.9</v>
      </c>
      <c r="BD28" s="324">
        <f>IFERROR(VLOOKUP(BD$1,'Výpočet VP 2018'!$D$330:$AK$601,15,FALSE),0)</f>
        <v>1.85</v>
      </c>
      <c r="BE28" s="324">
        <f>IFERROR(VLOOKUP(BE$1,'Výpočet VP 2018'!$D$330:$AK$601,15,FALSE),0)</f>
        <v>1.45</v>
      </c>
      <c r="BF28" s="324">
        <f>IFERROR(VLOOKUP(BF$1,'Výpočet VP 2018'!$D$330:$AK$601,15,FALSE),0)</f>
        <v>2.4</v>
      </c>
      <c r="BG28" s="324">
        <f>IFERROR(VLOOKUP(BG$1,'Výpočet VP 2018'!$D$330:$AK$601,15,FALSE),0)</f>
        <v>4</v>
      </c>
      <c r="BH28" s="324">
        <f>IFERROR(VLOOKUP(BH$1,'Výpočet VP 2018'!$D$330:$AK$601,15,FALSE),0)</f>
        <v>5.75</v>
      </c>
      <c r="BI28" s="324">
        <f>IFERROR(VLOOKUP(BI$1,'Výpočet VP 2018'!$D$330:$AK$601,15,FALSE),0)</f>
        <v>6.78</v>
      </c>
      <c r="BJ28" s="324">
        <f>IFERROR(VLOOKUP(BJ$1,'Výpočet VP 2018'!$D$330:$AK$601,15,FALSE),0)</f>
        <v>5.6</v>
      </c>
      <c r="BK28" s="324">
        <f>IFERROR(VLOOKUP(BK$1,'Výpočet VP 2018'!$D$330:$AK$601,15,FALSE),0)</f>
        <v>1.5</v>
      </c>
      <c r="BL28" s="324">
        <f>IFERROR(VLOOKUP(BL$1,'Výpočet VP 2018'!$D$330:$AK$601,15,FALSE),0)</f>
        <v>0</v>
      </c>
      <c r="BM28" s="324">
        <f>IFERROR(VLOOKUP(BM$1,'Výpočet VP 2018'!$D$330:$AK$601,15,FALSE),0)</f>
        <v>3.2</v>
      </c>
      <c r="BN28" s="324">
        <f>IFERROR(VLOOKUP(BN$1,'Výpočet VP 2018'!$D$330:$AK$601,15,FALSE),0)</f>
        <v>1.82</v>
      </c>
      <c r="BO28" s="324">
        <f>IFERROR(VLOOKUP(BO$1,'Výpočet VP 2018'!$D$330:$AK$601,15,FALSE),0)</f>
        <v>1.1499999999999999</v>
      </c>
      <c r="BP28" s="324">
        <f>IFERROR(VLOOKUP(BP$1,'Výpočet VP 2018'!$D$330:$AK$601,15,FALSE),0)</f>
        <v>6.85</v>
      </c>
      <c r="BQ28" s="324">
        <f>IFERROR(VLOOKUP(BQ$1,'Výpočet VP 2018'!$D$330:$AK$601,15,FALSE),0)</f>
        <v>1.1499999999999999</v>
      </c>
      <c r="BR28" s="324">
        <f>IFERROR(VLOOKUP(BR$1,'Výpočet VP 2018'!$D$330:$AK$601,15,FALSE),0)</f>
        <v>1.35</v>
      </c>
      <c r="BS28" s="324">
        <f>IFERROR(VLOOKUP(BS$1,'Výpočet VP 2018'!$D$330:$AK$601,15,FALSE),0)</f>
        <v>1.8</v>
      </c>
      <c r="BT28" s="324">
        <f>IFERROR(VLOOKUP(BT$1,'Výpočet VP 2018'!$D$330:$AK$601,15,FALSE),0)</f>
        <v>1.5</v>
      </c>
      <c r="BU28" s="324">
        <f>IFERROR(VLOOKUP(BU$1,'Výpočet VP 2018'!$D$330:$AK$601,15,FALSE),0)</f>
        <v>8.5</v>
      </c>
      <c r="BV28" s="324">
        <f>IFERROR(VLOOKUP(BV$1,'Výpočet VP 2018'!$D$330:$AK$601,15,FALSE),0)</f>
        <v>2.4</v>
      </c>
      <c r="BW28" s="324">
        <f>IFERROR(VLOOKUP(BW$1,'Výpočet VP 2018'!$D$330:$AK$601,15,FALSE),0)</f>
        <v>0.4</v>
      </c>
      <c r="BX28" s="324">
        <f>IFERROR(VLOOKUP(BX$1,'Výpočet VP 2018'!$D$330:$AK$601,15,FALSE),0)</f>
        <v>10.25</v>
      </c>
      <c r="BY28" s="324">
        <f>IFERROR(VLOOKUP(BY$1,'Výpočet VP 2018'!$D$330:$AK$601,15,FALSE),0)</f>
        <v>4</v>
      </c>
      <c r="BZ28" s="324">
        <f>IFERROR(VLOOKUP(BZ$1,'Výpočet VP 2018'!$D$330:$AK$601,15,FALSE),0)</f>
        <v>0.38</v>
      </c>
      <c r="CA28" s="324">
        <f>IFERROR(VLOOKUP(CA$1,'Výpočet VP 2018'!$D$330:$AK$601,15,FALSE),0)</f>
        <v>0</v>
      </c>
      <c r="CB28" s="324">
        <f>IFERROR(VLOOKUP(CB$1,'Výpočet VP 2018'!$D$330:$AK$601,15,FALSE),0)</f>
        <v>0.3</v>
      </c>
      <c r="CC28" s="324">
        <f>IFERROR(VLOOKUP(CC$1,'Výpočet VP 2018'!$D$330:$AK$601,15,FALSE),0)</f>
        <v>3.25</v>
      </c>
      <c r="CD28" s="324">
        <f>IFERROR(VLOOKUP(CD$1,'Výpočet VP 2018'!$D$330:$AK$601,15,FALSE),0)</f>
        <v>1</v>
      </c>
      <c r="CE28" s="324">
        <f>IFERROR(VLOOKUP(CE$1,'Výpočet VP 2018'!$D$330:$AK$601,15,FALSE),0)</f>
        <v>28.4</v>
      </c>
      <c r="CF28" s="324">
        <f>IFERROR(VLOOKUP(CF$1,'Výpočet VP 2018'!$D$330:$AK$601,15,FALSE),0)</f>
        <v>4.5</v>
      </c>
      <c r="CG28" s="324">
        <f>IFERROR(VLOOKUP(CG$1,'Výpočet VP 2018'!$D$330:$AK$601,15,FALSE),0)</f>
        <v>15.96</v>
      </c>
      <c r="CH28" s="324">
        <f>IFERROR(VLOOKUP(CH$1,'Výpočet VP 2018'!$D$330:$AK$601,15,FALSE),0)</f>
        <v>6.8</v>
      </c>
      <c r="CI28" s="324">
        <f>IFERROR(VLOOKUP(CI$1,'Výpočet VP 2018'!$D$330:$AK$601,15,FALSE),0)</f>
        <v>4</v>
      </c>
      <c r="CJ28" s="324">
        <f>IFERROR(VLOOKUP(CJ$1,'Výpočet VP 2018'!$D$330:$AK$601,15,FALSE),0)</f>
        <v>6.2</v>
      </c>
      <c r="CK28" s="324">
        <f>IFERROR(VLOOKUP(CK$1,'Výpočet VP 2018'!$D$330:$AK$601,15,FALSE),0)</f>
        <v>6.8</v>
      </c>
      <c r="CL28" s="628">
        <f>IFERROR(VLOOKUP(CL$1,'Výpočet VP 2018'!$D$330:$AK$601,15,FALSE),0)</f>
        <v>3.93</v>
      </c>
      <c r="CM28" s="324">
        <f>IFERROR(VLOOKUP(CM$1,'Výpočet VP 2018'!$D$330:$AK$601,15,FALSE),0)</f>
        <v>13</v>
      </c>
      <c r="CN28" s="324">
        <f>IFERROR(VLOOKUP(CN$1,'Výpočet VP 2018'!$D$330:$AK$601,15,FALSE),0)</f>
        <v>2</v>
      </c>
      <c r="CO28" s="324">
        <f>IFERROR(VLOOKUP(CO$1,'Výpočet VP 2018'!$D$330:$AK$601,15,FALSE),0)</f>
        <v>2</v>
      </c>
      <c r="CP28" s="324">
        <f>IFERROR(VLOOKUP(CP$1,'Výpočet VP 2018'!$D$330:$AK$601,15,FALSE),0)</f>
        <v>2</v>
      </c>
      <c r="CQ28" s="324">
        <f>IFERROR(VLOOKUP(CQ$1,'Výpočet VP 2018'!$D$330:$AK$601,15,FALSE),0)</f>
        <v>7.5</v>
      </c>
      <c r="CR28" s="324">
        <f>IFERROR(VLOOKUP(CR$1,'Výpočet VP 2018'!$D$330:$AK$601,15,FALSE),0)</f>
        <v>0</v>
      </c>
      <c r="CS28" s="324">
        <f>IFERROR(VLOOKUP(CS$1,'Výpočet VP 2018'!$D$330:$AK$601,15,FALSE),0)</f>
        <v>0</v>
      </c>
      <c r="CT28" s="324">
        <f>IFERROR(VLOOKUP(CT$1,'Výpočet VP 2018'!$D$330:$AK$601,15,FALSE),0)</f>
        <v>5.5</v>
      </c>
      <c r="CU28" s="324">
        <f>IFERROR(VLOOKUP(CU$1,'Výpočet VP 2018'!$D$330:$AK$601,15,FALSE),0)</f>
        <v>4</v>
      </c>
      <c r="CV28" s="324">
        <f>IFERROR(VLOOKUP(CV$1,'Výpočet VP 2018'!$D$330:$AK$601,15,FALSE),0)</f>
        <v>11</v>
      </c>
      <c r="CW28" s="324">
        <f>IFERROR(VLOOKUP(CW$1,'Výpočet VP 2018'!$D$330:$AK$601,15,FALSE),0)</f>
        <v>0</v>
      </c>
      <c r="CX28" s="324">
        <f>IFERROR(VLOOKUP(CX$1,'Výpočet VP 2018'!$D$330:$AK$601,15,FALSE),0)</f>
        <v>9.25</v>
      </c>
      <c r="CY28" s="324">
        <f>IFERROR(VLOOKUP(CY$1,'Výpočet VP 2018'!$D$330:$AK$601,15,FALSE),0)</f>
        <v>5.5</v>
      </c>
      <c r="CZ28" s="324">
        <f>IFERROR(VLOOKUP(CZ$1,'Výpočet VP 2018'!$D$330:$AK$601,15,FALSE),0)</f>
        <v>1.75</v>
      </c>
      <c r="DA28" s="324">
        <f>IFERROR(VLOOKUP(DA$1,'Výpočet VP 2018'!$D$330:$AK$601,15,FALSE),0)</f>
        <v>3.58</v>
      </c>
      <c r="DB28" s="324">
        <f>IFERROR(VLOOKUP(DB$1,'Výpočet VP 2018'!$D$330:$AK$601,15,FALSE),0)</f>
        <v>1.1499999999999999</v>
      </c>
      <c r="DC28" s="324">
        <f>IFERROR(VLOOKUP(DC$1,'Výpočet VP 2018'!$D$330:$AK$601,15,FALSE),0)</f>
        <v>2.5</v>
      </c>
      <c r="DD28" s="324">
        <f>IFERROR(VLOOKUP(DD$1,'Výpočet VP 2018'!$D$330:$AK$601,15,FALSE),0)</f>
        <v>7.5</v>
      </c>
      <c r="DE28" s="324">
        <f>IFERROR(VLOOKUP(DE$1,'Výpočet VP 2018'!$D$330:$AK$601,15,FALSE),0)</f>
        <v>10.5</v>
      </c>
      <c r="DF28" s="324">
        <f>IFERROR(VLOOKUP(DF$1,'Výpočet VP 2018'!$D$330:$AK$601,15,FALSE),0)</f>
        <v>8.5</v>
      </c>
      <c r="DG28" s="324">
        <f>IFERROR(VLOOKUP(DG$1,'Výpočet VP 2018'!$D$330:$AK$601,15,FALSE),0)</f>
        <v>0</v>
      </c>
      <c r="DH28" s="324">
        <f>IFERROR(VLOOKUP(DH$1,'Výpočet VP 2018'!$D$330:$AK$601,15,FALSE),0)</f>
        <v>2.25</v>
      </c>
      <c r="DI28" s="324">
        <f>IFERROR(VLOOKUP(DI$1,'Výpočet VP 2018'!$D$330:$AK$601,15,FALSE),0)</f>
        <v>1.62</v>
      </c>
      <c r="DJ28" s="324">
        <f>IFERROR(VLOOKUP(DJ$1,'Výpočet VP 2018'!$D$330:$AK$601,15,FALSE),0)</f>
        <v>3</v>
      </c>
      <c r="DK28" s="324">
        <f>IFERROR(VLOOKUP(DK$1,'Výpočet VP 2018'!$D$330:$AK$601,15,FALSE),0)</f>
        <v>1.35</v>
      </c>
      <c r="DL28" s="324">
        <f>IFERROR(VLOOKUP(DL$1,'Výpočet VP 2018'!$D$330:$AK$601,15,FALSE),0)</f>
        <v>9</v>
      </c>
      <c r="DM28" s="324">
        <f>IFERROR(VLOOKUP(DM$1,'Výpočet VP 2018'!$D$330:$AK$601,15,FALSE),0)</f>
        <v>5.5</v>
      </c>
      <c r="DN28" s="324">
        <f>IFERROR(VLOOKUP(DN$1,'Výpočet VP 2018'!$D$330:$AK$601,15,FALSE),0)</f>
        <v>5</v>
      </c>
      <c r="DO28" s="324">
        <f>IFERROR(VLOOKUP(DO$1,'Výpočet VP 2018'!$D$330:$AK$601,15,FALSE),0)</f>
        <v>2</v>
      </c>
      <c r="DP28" s="324">
        <f>IFERROR(VLOOKUP(DP$1,'Výpočet VP 2018'!$D$330:$AK$601,15,FALSE),0)</f>
        <v>6</v>
      </c>
      <c r="DQ28" s="324">
        <f>IFERROR(VLOOKUP(DQ$1,'Výpočet VP 2018'!$D$330:$AK$601,15,FALSE),0)</f>
        <v>5.8</v>
      </c>
      <c r="DR28" s="324">
        <f>IFERROR(VLOOKUP(DR$1,'Výpočet VP 2018'!$D$330:$AK$601,15,FALSE),0)</f>
        <v>5.5</v>
      </c>
      <c r="DS28" s="324">
        <f>IFERROR(VLOOKUP(DS$1,'Výpočet VP 2018'!$D$330:$AK$601,15,FALSE),0)</f>
        <v>0</v>
      </c>
      <c r="DT28" s="324">
        <f>IFERROR(VLOOKUP(DT$1,'Výpočet VP 2018'!$D$330:$AK$601,15,FALSE),0)</f>
        <v>6.85</v>
      </c>
      <c r="DU28" s="324">
        <f>IFERROR(VLOOKUP(DU$1,'Výpočet VP 2018'!$D$330:$AK$601,15,FALSE),0)</f>
        <v>3</v>
      </c>
      <c r="DV28" s="324">
        <f>IFERROR(VLOOKUP(DV$1,'Výpočet VP 2018'!$D$330:$AK$601,15,FALSE),0)</f>
        <v>12.1</v>
      </c>
      <c r="DW28" s="324">
        <f>IFERROR(VLOOKUP(DW$1,'Výpočet VP 2018'!$D$330:$AK$601,15,FALSE),0)</f>
        <v>0</v>
      </c>
      <c r="DX28" s="324">
        <f>IFERROR(VLOOKUP(DX$1,'Výpočet VP 2018'!$D$330:$AK$601,15,FALSE),0)</f>
        <v>6</v>
      </c>
      <c r="DY28" s="324">
        <f>IFERROR(VLOOKUP(DY$1,'Výpočet VP 2018'!$D$330:$AK$601,15,FALSE),0)</f>
        <v>9.8000000000000007</v>
      </c>
      <c r="DZ28" s="324">
        <f>IFERROR(VLOOKUP(DZ$1,'Výpočet VP 2018'!$D$330:$AK$601,15,FALSE),0)</f>
        <v>0.95</v>
      </c>
      <c r="EA28" s="324">
        <f>IFERROR(VLOOKUP(EA$1,'Výpočet VP 2018'!$D$330:$AK$601,15,FALSE),0)</f>
        <v>8</v>
      </c>
      <c r="EB28" s="324">
        <f>IFERROR(VLOOKUP(EB$1,'Výpočet VP 2018'!$D$330:$AK$601,15,FALSE),0)</f>
        <v>10.8</v>
      </c>
      <c r="EC28" s="324">
        <f>IFERROR(VLOOKUP(EC$1,'Výpočet VP 2018'!$D$330:$AK$601,15,FALSE),0)</f>
        <v>6.75</v>
      </c>
      <c r="ED28" s="324">
        <f>IFERROR(VLOOKUP(ED$1,'Výpočet VP 2018'!$D$330:$AK$601,15,FALSE),0)</f>
        <v>5.5</v>
      </c>
      <c r="EE28" s="324">
        <f>IFERROR(VLOOKUP(EE$1,'Výpočet VP 2018'!$D$330:$AK$601,15,FALSE),0)</f>
        <v>1.1499999999999999</v>
      </c>
      <c r="EF28" s="324">
        <f>IFERROR(VLOOKUP(EF$1,'Výpočet VP 2018'!$D$330:$AK$601,15,FALSE),0)</f>
        <v>1.25</v>
      </c>
      <c r="EG28" s="324">
        <f>IFERROR(VLOOKUP(EG$1,'Výpočet VP 2018'!$D$330:$AK$601,15,FALSE),0)</f>
        <v>0.6</v>
      </c>
      <c r="EH28" s="324">
        <f>IFERROR(VLOOKUP(EH$1,'Výpočet VP 2018'!$D$330:$AK$601,15,FALSE),0)</f>
        <v>1.25</v>
      </c>
      <c r="EI28" s="324">
        <f>IFERROR(VLOOKUP(EI$1,'Výpočet VP 2018'!$D$330:$AK$601,15,FALSE),0)</f>
        <v>1.75</v>
      </c>
      <c r="EJ28" s="324">
        <f>IFERROR(VLOOKUP(EJ$1,'Výpočet VP 2018'!$D$330:$AK$601,15,FALSE),0)</f>
        <v>1.6</v>
      </c>
      <c r="EK28" s="324">
        <f>IFERROR(VLOOKUP(EK$1,'Výpočet VP 2018'!$D$330:$AK$601,15,FALSE),0)</f>
        <v>8.59</v>
      </c>
      <c r="EL28" s="324">
        <f>IFERROR(VLOOKUP(EL$1,'Výpočet VP 2018'!$D$330:$AK$601,15,FALSE),0)</f>
        <v>17.399999999999999</v>
      </c>
      <c r="EM28" s="324">
        <f>IFERROR(VLOOKUP(EM$1,'Výpočet VP 2018'!$D$330:$AK$601,15,FALSE),0)</f>
        <v>5.5</v>
      </c>
      <c r="EN28" s="324">
        <f>IFERROR(VLOOKUP(EN$1,'Výpočet VP 2018'!$D$330:$AK$601,15,FALSE),0)</f>
        <v>3.5</v>
      </c>
      <c r="EO28" s="324">
        <f>IFERROR(VLOOKUP(EO$1,'Výpočet VP 2018'!$D$330:$AK$601,15,FALSE),0)</f>
        <v>0.4</v>
      </c>
      <c r="EP28" s="324">
        <f>IFERROR(VLOOKUP(EP$1,'Výpočet VP 2018'!$D$330:$AK$601,15,FALSE),0)</f>
        <v>3.3</v>
      </c>
      <c r="EQ28" s="324">
        <f>IFERROR(VLOOKUP(EQ$1,'Výpočet VP 2018'!$D$330:$AK$601,15,FALSE),0)</f>
        <v>2.5</v>
      </c>
      <c r="ER28" s="324">
        <f>IFERROR(VLOOKUP(ER$1,'Výpočet VP 2018'!$D$330:$AK$601,15,FALSE),0)</f>
        <v>24</v>
      </c>
      <c r="ES28" s="324">
        <f>IFERROR(VLOOKUP(ES$1,'Výpočet VP 2018'!$D$330:$AK$601,15,FALSE),0)</f>
        <v>6.4700000000000006</v>
      </c>
      <c r="ET28" s="324">
        <f>IFERROR(VLOOKUP(ET$1,'Výpočet VP 2018'!$D$330:$AK$601,15,FALSE),0)</f>
        <v>0</v>
      </c>
      <c r="EU28" s="324">
        <f>IFERROR(VLOOKUP(EU$1,'Výpočet VP 2018'!$D$330:$AK$601,15,FALSE),0)</f>
        <v>0</v>
      </c>
      <c r="EV28" s="324">
        <f>IFERROR(VLOOKUP(EV$1,'Výpočet VP 2018'!$D$330:$AK$601,15,FALSE),0)</f>
        <v>0.7</v>
      </c>
      <c r="EW28" s="324">
        <f>IFERROR(VLOOKUP(EW$1,'Výpočet VP 2018'!$D$330:$AK$601,15,FALSE),0)</f>
        <v>9</v>
      </c>
      <c r="EX28" s="324">
        <f>IFERROR(VLOOKUP(EX$1,'Výpočet VP 2018'!$D$330:$AK$601,15,FALSE),0)</f>
        <v>21</v>
      </c>
      <c r="EY28" s="324">
        <f>IFERROR(VLOOKUP(EY$1,'Výpočet VP 2018'!$D$330:$AK$601,15,FALSE),0)</f>
        <v>4.5</v>
      </c>
      <c r="EZ28" s="324">
        <f>IFERROR(VLOOKUP(EZ$1,'Výpočet VP 2018'!$D$330:$AK$601,15,FALSE),0)</f>
        <v>2.35</v>
      </c>
      <c r="FA28" s="324">
        <f>IFERROR(VLOOKUP(FA$1,'Výpočet VP 2018'!$D$330:$AK$601,15,FALSE),0)</f>
        <v>5.2</v>
      </c>
      <c r="FB28" s="324">
        <f>IFERROR(VLOOKUP(FB$1,'Výpočet VP 2018'!$D$330:$AK$601,15,FALSE),0)</f>
        <v>0.54</v>
      </c>
      <c r="FC28" s="324">
        <f>IFERROR(VLOOKUP(FC$1,'Výpočet VP 2018'!$D$330:$AK$601,15,FALSE),0)</f>
        <v>13.6</v>
      </c>
      <c r="FD28" s="324">
        <f>IFERROR(VLOOKUP(FD$1,'Výpočet VP 2018'!$D$330:$AK$601,15,FALSE),0)</f>
        <v>2.5</v>
      </c>
      <c r="FE28" s="324">
        <f>IFERROR(VLOOKUP(FE$1,'Výpočet VP 2018'!$D$330:$AK$601,15,FALSE),0)</f>
        <v>0.9</v>
      </c>
      <c r="FF28" s="324">
        <f>IFERROR(VLOOKUP(FF$1,'Výpočet VP 2018'!$D$330:$AK$601,15,FALSE),0)</f>
        <v>4.5</v>
      </c>
      <c r="FG28" s="324">
        <f>IFERROR(VLOOKUP(FG$1,'Výpočet VP 2018'!$D$330:$AK$601,15,FALSE),0)</f>
        <v>22.7</v>
      </c>
      <c r="FH28" s="324">
        <f>IFERROR(VLOOKUP(FH$1,'Výpočet VP 2018'!$D$330:$AK$601,15,FALSE),0)</f>
        <v>24.5</v>
      </c>
      <c r="FI28" s="324">
        <f>IFERROR(VLOOKUP(FI$1,'Výpočet VP 2018'!$D$330:$AK$601,15,FALSE),0)</f>
        <v>25.6</v>
      </c>
      <c r="FJ28" s="324">
        <f>IFERROR(VLOOKUP(FJ$1,'Výpočet VP 2018'!$D$330:$AK$601,15,FALSE),0)</f>
        <v>6</v>
      </c>
      <c r="FK28" s="324">
        <f>IFERROR(VLOOKUP(FK$1,'Výpočet VP 2018'!$D$330:$AK$601,15,FALSE),0)</f>
        <v>2</v>
      </c>
      <c r="FL28" s="324">
        <f>IFERROR(VLOOKUP(FL$1,'Výpočet VP 2018'!$D$330:$AK$601,15,FALSE),0)</f>
        <v>2</v>
      </c>
      <c r="FM28" s="324">
        <f>IFERROR(VLOOKUP(FM$1,'Výpočet VP 2018'!$D$330:$AK$601,15,FALSE),0)</f>
        <v>11.5</v>
      </c>
      <c r="FN28" s="324">
        <f>IFERROR(VLOOKUP(FN$1,'Výpočet VP 2018'!$D$330:$AK$601,15,FALSE),0)</f>
        <v>16.34</v>
      </c>
      <c r="FO28" s="324">
        <f>IFERROR(VLOOKUP(FO$1,'Výpočet VP 2018'!$D$330:$AK$601,15,FALSE),0)</f>
        <v>4.22</v>
      </c>
      <c r="FP28" s="324">
        <f>IFERROR(VLOOKUP(FP$1,'Výpočet VP 2018'!$D$330:$AK$601,15,FALSE),0)</f>
        <v>35</v>
      </c>
      <c r="FQ28" s="324">
        <f>IFERROR(VLOOKUP(FQ$1,'Výpočet VP 2018'!$D$330:$AK$601,15,FALSE),0)</f>
        <v>3.82</v>
      </c>
      <c r="FR28" s="324">
        <f>IFERROR(VLOOKUP(FR$1,'Výpočet VP 2018'!$D$330:$AK$601,15,FALSE),0)</f>
        <v>0</v>
      </c>
      <c r="FS28" s="324">
        <f>IFERROR(VLOOKUP(FS$1,'Výpočet VP 2018'!$D$330:$AK$601,15,FALSE),0)</f>
        <v>1.25</v>
      </c>
      <c r="FT28" s="324">
        <f>IFERROR(VLOOKUP(FT$1,'Výpočet VP 2018'!$D$330:$AK$601,15,FALSE),0)</f>
        <v>11.7</v>
      </c>
      <c r="FU28" s="324">
        <f>IFERROR(VLOOKUP(FU$1,'Výpočet VP 2018'!$D$330:$AK$601,15,FALSE),0)</f>
        <v>1.3</v>
      </c>
      <c r="FV28" s="324">
        <f>IFERROR(VLOOKUP(FV$1,'Výpočet VP 2018'!$D$330:$AK$601,15,FALSE),0)</f>
        <v>3.8439999999999999</v>
      </c>
      <c r="FW28" s="324">
        <f>IFERROR(VLOOKUP(FW$1,'Výpočet VP 2018'!$D$330:$AK$601,15,FALSE),0)</f>
        <v>4.3</v>
      </c>
      <c r="FX28" s="324">
        <f>IFERROR(VLOOKUP(FX$1,'Výpočet VP 2018'!$D$330:$AK$601,15,FALSE),0)</f>
        <v>2.1</v>
      </c>
      <c r="FY28" s="324">
        <f>IFERROR(VLOOKUP(FY$1,'Výpočet VP 2018'!$D$330:$AK$601,15,FALSE),0)</f>
        <v>1.2</v>
      </c>
      <c r="FZ28" s="324">
        <f>IFERROR(VLOOKUP(FZ$1,'Výpočet VP 2018'!$D$330:$AK$601,15,FALSE),0)</f>
        <v>16</v>
      </c>
      <c r="GA28" s="324">
        <f>IFERROR(VLOOKUP(GA$1,'Výpočet VP 2018'!$D$330:$AK$601,15,FALSE),0)</f>
        <v>1.9</v>
      </c>
      <c r="GB28" s="324">
        <f>IFERROR(VLOOKUP(GB$1,'Výpočet VP 2018'!$D$330:$AK$601,15,FALSE),0)</f>
        <v>17.100000000000001</v>
      </c>
      <c r="GC28" s="324">
        <f>IFERROR(VLOOKUP(GC$1,'Výpočet VP 2018'!$D$330:$AK$601,15,FALSE),0)</f>
        <v>7</v>
      </c>
      <c r="GD28" s="324">
        <f>IFERROR(VLOOKUP(GD$1,'Výpočet VP 2018'!$D$330:$AK$601,15,FALSE),0)</f>
        <v>29</v>
      </c>
      <c r="GE28" s="324">
        <f>IFERROR(VLOOKUP(GE$1,'Výpočet VP 2018'!$D$330:$AK$601,15,FALSE),0)</f>
        <v>3.2</v>
      </c>
      <c r="GF28" s="324">
        <f>IFERROR(VLOOKUP(GF$1,'Výpočet VP 2018'!$D$330:$AK$601,15,FALSE),0)</f>
        <v>8.65</v>
      </c>
      <c r="GG28" s="324">
        <f>IFERROR(VLOOKUP(GG$1,'Výpočet VP 2018'!$D$330:$AK$601,15,FALSE),0)</f>
        <v>3.2</v>
      </c>
      <c r="GH28" s="324">
        <f>IFERROR(VLOOKUP(GH$1,'Výpočet VP 2018'!$D$330:$AK$601,15,FALSE),0)</f>
        <v>2.41</v>
      </c>
      <c r="GI28" s="324">
        <f>IFERROR(VLOOKUP(GI$1,'Výpočet VP 2018'!$D$330:$AK$601,15,FALSE),0)</f>
        <v>26.74</v>
      </c>
      <c r="GJ28" s="324">
        <f>IFERROR(VLOOKUP(GJ$1,'Výpočet VP 2018'!$D$330:$AK$601,15,FALSE),0)</f>
        <v>6.4749999999999996</v>
      </c>
      <c r="GK28" s="324">
        <f>IFERROR(VLOOKUP(GK$1,'Výpočet VP 2018'!$D$330:$AK$601,15,FALSE),0)</f>
        <v>6.5750000000000002</v>
      </c>
      <c r="GL28" s="324">
        <f>IFERROR(VLOOKUP(GL$1,'Výpočet VP 2018'!$D$330:$AK$601,15,FALSE),0)</f>
        <v>2.0499999999999998</v>
      </c>
      <c r="GM28" s="324">
        <f>IFERROR(VLOOKUP(GM$1,'Výpočet VP 2018'!$D$330:$AK$601,15,FALSE),0)</f>
        <v>2.35</v>
      </c>
      <c r="GN28" s="324">
        <f>IFERROR(VLOOKUP(GN$1,'Výpočet VP 2018'!$D$330:$AK$601,15,FALSE),0)</f>
        <v>2</v>
      </c>
      <c r="GO28" s="324">
        <f>IFERROR(VLOOKUP(GO$1,'Výpočet VP 2018'!$D$330:$AK$601,15,FALSE),0)</f>
        <v>16</v>
      </c>
      <c r="GP28" s="324">
        <f>IFERROR(VLOOKUP(GP$1,'Výpočet VP 2018'!$D$330:$AK$601,15,FALSE),0)</f>
        <v>2.75</v>
      </c>
      <c r="GQ28" s="324">
        <f>IFERROR(VLOOKUP(GQ$1,'Výpočet VP 2018'!$D$330:$AK$601,15,FALSE),0)</f>
        <v>3.5</v>
      </c>
      <c r="GR28" s="324">
        <f>IFERROR(VLOOKUP(GR$1,'Výpočet VP 2018'!$D$330:$AK$601,15,FALSE),0)</f>
        <v>3.21</v>
      </c>
      <c r="GS28" s="324">
        <f>IFERROR(VLOOKUP(GS$1,'Výpočet VP 2018'!$D$330:$AK$601,15,FALSE),0)</f>
        <v>2</v>
      </c>
      <c r="GT28" s="324">
        <f>IFERROR(VLOOKUP(GT$1,'Výpočet VP 2018'!$D$330:$AK$601,15,FALSE),0)</f>
        <v>30.25</v>
      </c>
      <c r="GU28" s="324">
        <f>IFERROR(VLOOKUP(GU$1,'Výpočet VP 2018'!$D$330:$AK$601,15,FALSE),0)</f>
        <v>2.61</v>
      </c>
      <c r="GV28" s="324">
        <f>IFERROR(VLOOKUP(GV$1,'Výpočet VP 2018'!$D$330:$AK$601,15,FALSE),0)</f>
        <v>0</v>
      </c>
      <c r="GW28" s="324">
        <f>IFERROR(VLOOKUP(GW$1,'Výpočet VP 2018'!$D$330:$AK$601,15,FALSE),0)</f>
        <v>5</v>
      </c>
      <c r="GX28" s="324">
        <f>IFERROR(VLOOKUP(GX$1,'Výpočet VP 2018'!$D$330:$AK$601,15,FALSE),0)</f>
        <v>1.7</v>
      </c>
      <c r="GY28" s="324">
        <f>IFERROR(VLOOKUP(GY$1,'Výpočet VP 2018'!$D$330:$AK$601,15,FALSE),0)</f>
        <v>62</v>
      </c>
      <c r="GZ28" s="324">
        <f>IFERROR(VLOOKUP(GZ$1,'Výpočet VP 2018'!$D$330:$AK$601,15,FALSE),0)</f>
        <v>0</v>
      </c>
      <c r="HA28" s="324">
        <f>IFERROR(VLOOKUP(HA$1,'Výpočet VP 2018'!$D$330:$AK$601,15,FALSE),0)</f>
        <v>22.3</v>
      </c>
      <c r="HB28" s="324">
        <f>IFERROR(VLOOKUP(HB$1,'Výpočet VP 2018'!$D$330:$AK$601,15,FALSE),0)</f>
        <v>13.5</v>
      </c>
      <c r="HC28" s="324">
        <f>IFERROR(VLOOKUP(HC$1,'Výpočet VP 2018'!$D$330:$AK$601,15,FALSE),0)</f>
        <v>27.5</v>
      </c>
      <c r="HD28" s="324">
        <f>IFERROR(VLOOKUP(HD$1,'Výpočet VP 2018'!$D$330:$AK$601,15,FALSE),0)</f>
        <v>7</v>
      </c>
      <c r="HE28" s="324">
        <f>IFERROR(VLOOKUP(HE$1,'Výpočet VP 2018'!$D$330:$AK$601,15,FALSE),0)</f>
        <v>20.5</v>
      </c>
      <c r="HF28" s="324">
        <f>IFERROR(VLOOKUP(HF$1,'Výpočet VP 2018'!$D$330:$AK$601,15,FALSE),0)</f>
        <v>5.7</v>
      </c>
      <c r="HG28" s="324">
        <f>IFERROR(VLOOKUP(HG$1,'Výpočet VP 2018'!$D$330:$AK$601,15,FALSE),0)</f>
        <v>2.7</v>
      </c>
      <c r="HH28" s="324">
        <f>IFERROR(VLOOKUP(HH$1,'Výpočet VP 2018'!$D$330:$AK$601,15,FALSE),0)</f>
        <v>4.5</v>
      </c>
      <c r="HI28" s="324">
        <f>IFERROR(VLOOKUP(HI$1,'Výpočet VP 2018'!$D$330:$AK$601,15,FALSE),0)</f>
        <v>9</v>
      </c>
      <c r="HJ28" s="324">
        <f>IFERROR(VLOOKUP(HJ$1,'Výpočet VP 2018'!$D$330:$AK$601,15,FALSE),0)</f>
        <v>1.25</v>
      </c>
      <c r="HK28" s="324">
        <f>IFERROR(VLOOKUP(HK$1,'Výpočet VP 2018'!$D$330:$AK$601,15,FALSE),0)</f>
        <v>2.6</v>
      </c>
      <c r="HL28" s="324">
        <f>IFERROR(VLOOKUP(HL$1,'Výpočet VP 2018'!$D$330:$AK$601,15,FALSE),0)</f>
        <v>66</v>
      </c>
      <c r="HM28" s="324">
        <f>IFERROR(VLOOKUP(HM$1,'Výpočet VP 2018'!$D$330:$AK$601,15,FALSE),0)</f>
        <v>40.299999999999997</v>
      </c>
      <c r="HN28" s="324">
        <f>IFERROR(VLOOKUP(HN$1,'Výpočet VP 2018'!$D$330:$AK$601,15,FALSE),0)</f>
        <v>1.1000000000000001</v>
      </c>
      <c r="HO28" s="324">
        <f>IFERROR(VLOOKUP(HO$1,'Výpočet VP 2018'!$D$330:$AK$601,15,FALSE),0)</f>
        <v>3.6</v>
      </c>
      <c r="HP28" s="324">
        <f>IFERROR(VLOOKUP(HP$1,'Výpočet VP 2018'!$D$330:$AK$601,15,FALSE),0)</f>
        <v>53.3</v>
      </c>
      <c r="HQ28" s="324">
        <f>IFERROR(VLOOKUP(HQ$1,'Výpočet VP 2018'!$D$330:$AK$601,15,FALSE),0)</f>
        <v>1.4</v>
      </c>
      <c r="HR28" s="324">
        <f>IFERROR(VLOOKUP(HR$1,'Výpočet VP 2018'!$D$330:$AK$601,15,FALSE),0)</f>
        <v>60.075000000000003</v>
      </c>
      <c r="HS28" s="324">
        <f>IFERROR(VLOOKUP(HS$1,'Výpočet VP 2018'!$D$330:$AK$601,15,FALSE),0)</f>
        <v>9.8999999999999986</v>
      </c>
      <c r="HT28" s="324">
        <f>IFERROR(VLOOKUP(HT$1,'Výpočet VP 2018'!$D$330:$AK$601,15,FALSE),0)</f>
        <v>33</v>
      </c>
      <c r="HU28" s="324">
        <f>IFERROR(VLOOKUP(HU$1,'Výpočet VP 2018'!$D$330:$AK$601,15,FALSE),0)</f>
        <v>50</v>
      </c>
      <c r="HV28" s="324">
        <f>IFERROR(VLOOKUP(HV$1,'Výpočet VP 2018'!$D$330:$AK$601,15,FALSE),0)</f>
        <v>44</v>
      </c>
      <c r="HW28" s="324">
        <f>IFERROR(VLOOKUP(HW$1,'Výpočet VP 2018'!$D$330:$AK$601,15,FALSE),0)</f>
        <v>13.34</v>
      </c>
      <c r="HX28" s="324">
        <f>IFERROR(VLOOKUP(HX$1,'Výpočet VP 2018'!$D$330:$AK$601,15,FALSE),0)</f>
        <v>42.26</v>
      </c>
      <c r="HY28" s="324">
        <f>IFERROR(VLOOKUP(HY$1,'Výpočet VP 2018'!$D$330:$AK$601,15,FALSE),0)</f>
        <v>36.799999999999997</v>
      </c>
      <c r="HZ28" s="324">
        <f>IFERROR(VLOOKUP(HZ$1,'Výpočet VP 2018'!$D$330:$AK$601,15,FALSE),0)</f>
        <v>19</v>
      </c>
      <c r="IA28" s="324">
        <f>IFERROR(VLOOKUP(IA$1,'Výpočet VP 2018'!$D$330:$AK$601,15,FALSE),0)</f>
        <v>22</v>
      </c>
      <c r="IB28" s="324">
        <f>IFERROR(VLOOKUP(IB$1,'Výpočet VP 2018'!$D$330:$AK$601,15,FALSE),0)</f>
        <v>17</v>
      </c>
      <c r="IC28" s="324">
        <f>IFERROR(VLOOKUP(IC$1,'Výpočet VP 2018'!$D$330:$AK$601,15,FALSE),0)</f>
        <v>34.200000000000003</v>
      </c>
      <c r="ID28" s="324">
        <f>IFERROR(VLOOKUP(ID$1,'Výpočet VP 2018'!$D$330:$AK$601,15,FALSE),0)</f>
        <v>25.8</v>
      </c>
      <c r="IE28" s="324">
        <f>IFERROR(VLOOKUP(IE$1,'Výpočet VP 2018'!$D$330:$AK$601,15,FALSE),0)</f>
        <v>31</v>
      </c>
      <c r="IF28" s="324">
        <f>IFERROR(VLOOKUP(IF$1,'Výpočet VP 2018'!$D$330:$AK$601,15,FALSE),0)</f>
        <v>41</v>
      </c>
      <c r="IG28" s="324">
        <f>IFERROR(VLOOKUP(IG$1,'Výpočet VP 2018'!$D$330:$AK$601,15,FALSE),0)</f>
        <v>0</v>
      </c>
      <c r="IH28" s="324">
        <f>IFERROR(VLOOKUP(IH$1,'Výpočet VP 2018'!$D$330:$AK$601,15,FALSE),0)</f>
        <v>6.46</v>
      </c>
      <c r="II28" s="324">
        <f>IFERROR(VLOOKUP(II$1,'Výpočet VP 2018'!$D$330:$AK$601,15,FALSE),0)</f>
        <v>32.520000000000003</v>
      </c>
      <c r="IJ28" s="324">
        <f>IFERROR(VLOOKUP(IJ$1,'Výpočet VP 2018'!$D$330:$AK$601,15,FALSE),0)</f>
        <v>1.6</v>
      </c>
      <c r="IK28" s="324">
        <f>IFERROR(VLOOKUP(IK$1,'Výpočet VP 2018'!$D$330:$AK$601,15,FALSE),0)</f>
        <v>4.3099999999999996</v>
      </c>
      <c r="IL28" s="324">
        <f>IFERROR(VLOOKUP(IL$1,'Výpočet VP 2018'!$D$330:$AK$601,15,FALSE),0)</f>
        <v>18</v>
      </c>
      <c r="IM28" s="324">
        <f>IFERROR(VLOOKUP(IM$1,'Výpočet VP 2018'!$D$330:$AK$601,15,FALSE),0)</f>
        <v>1.07</v>
      </c>
      <c r="IN28" s="324">
        <f>IFERROR(VLOOKUP(IN$1,'Výpočet VP 2018'!$D$330:$AK$601,15,FALSE),0)</f>
        <v>19.68</v>
      </c>
      <c r="IO28" s="324">
        <f>IFERROR(VLOOKUP(IO$1,'Výpočet VP 2018'!$D$330:$AK$601,15,FALSE),0)</f>
        <v>7.3</v>
      </c>
      <c r="IP28" s="324">
        <f>IFERROR(VLOOKUP(IP$1,'Výpočet VP 2018'!$D$330:$AK$601,15,FALSE),0)</f>
        <v>37</v>
      </c>
      <c r="IQ28" s="324">
        <f>IFERROR(VLOOKUP(IQ$1,'Výpočet VP 2018'!$D$330:$AK$601,15,FALSE),0)</f>
        <v>37.299999999999997</v>
      </c>
      <c r="IR28" s="324">
        <f>IFERROR(VLOOKUP(IR$1,'Výpočet VP 2018'!$D$330:$AK$601,15,FALSE),0)</f>
        <v>1.7</v>
      </c>
      <c r="IS28" s="324">
        <f>IFERROR(VLOOKUP(IS$1,'Výpočet VP 2018'!$D$330:$AK$601,15,FALSE),0)</f>
        <v>122.2</v>
      </c>
      <c r="IT28" s="324">
        <f>IFERROR(VLOOKUP(IT$1,'Výpočet VP 2018'!$D$330:$AK$601,15,FALSE),0)</f>
        <v>31.8</v>
      </c>
      <c r="IU28" s="324">
        <f>IFERROR(VLOOKUP(IU$1,'Výpočet VP 2018'!$D$330:$AK$601,15,FALSE),0)</f>
        <v>7.3</v>
      </c>
      <c r="IV28" s="324">
        <f>IFERROR(VLOOKUP(IV$1,'Výpočet VP 2018'!$D$330:$AK$601,15,FALSE),0)</f>
        <v>18.3</v>
      </c>
      <c r="IW28" s="324">
        <f>IFERROR(VLOOKUP(IW$1,'Výpočet VP 2018'!$D$330:$AK$601,15,FALSE),0)</f>
        <v>31</v>
      </c>
      <c r="IX28" s="324">
        <f>IFERROR(VLOOKUP(IX$1,'Výpočet VP 2018'!$D$330:$AK$601,15,FALSE),0)</f>
        <v>3.4</v>
      </c>
      <c r="IY28" s="324">
        <f>IFERROR(VLOOKUP(IY$1,'Výpočet VP 2018'!$D$330:$AK$601,15,FALSE),0)</f>
        <v>22.524999999999999</v>
      </c>
      <c r="IZ28" s="324">
        <f>IFERROR(VLOOKUP(IZ$1,'Výpočet VP 2018'!$D$330:$AK$601,15,FALSE),0)</f>
        <v>42.3</v>
      </c>
      <c r="JA28" s="324">
        <f>IFERROR(VLOOKUP(JA$1,'Výpočet VP 2018'!$D$330:$AK$601,15,FALSE),0)</f>
        <v>4.1500000000000004</v>
      </c>
      <c r="JB28" s="324">
        <f>IFERROR(VLOOKUP(JB$1,'Výpočet VP 2018'!$D$330:$AK$601,15,FALSE),0)</f>
        <v>3.3</v>
      </c>
      <c r="JC28" s="324">
        <f>IFERROR(VLOOKUP(JC$1,'Výpočet VP 2018'!$D$330:$AK$601,15,FALSE),0)</f>
        <v>3.3</v>
      </c>
      <c r="JD28" s="324">
        <f>IFERROR(VLOOKUP(JD$1,'Výpočet VP 2018'!$D$330:$AK$601,15,FALSE),0)</f>
        <v>8.1</v>
      </c>
      <c r="JE28" s="324">
        <f>IFERROR(VLOOKUP(JE$1,'Výpočet VP 2018'!$D$330:$AK$601,15,FALSE),0)</f>
        <v>7.6</v>
      </c>
      <c r="JF28" s="324">
        <f>IFERROR(VLOOKUP(JF$1,'Výpočet VP 2018'!$D$330:$AK$601,15,FALSE),0)</f>
        <v>62.37</v>
      </c>
      <c r="JG28" s="324">
        <f>IFERROR(VLOOKUP(JG$1,'Výpočet VP 2018'!$D$330:$AK$601,15,FALSE),0)</f>
        <v>50</v>
      </c>
      <c r="JH28" s="324">
        <f>IFERROR(VLOOKUP(JH$1,'Výpočet VP 2018'!$D$330:$AK$601,15,FALSE),0)</f>
        <v>4</v>
      </c>
    </row>
    <row r="29" spans="1:276" x14ac:dyDescent="0.25">
      <c r="B29" s="313" t="s">
        <v>1817</v>
      </c>
      <c r="C29" s="324">
        <f>IFERROR(ROUND(VLOOKUP(C$1,'Výpočet VP 2019'!$F$343:GK$622,15,FALSE),0),0)</f>
        <v>20</v>
      </c>
      <c r="D29" s="324">
        <f>IFERROR(ROUND(VLOOKUP(D$1,'Výpočet VP 2019'!$F$343:HL$622,15,FALSE),0),0)</f>
        <v>16</v>
      </c>
      <c r="E29" s="324">
        <f>IFERROR(ROUND(VLOOKUP(E$1,'Výpočet VP 2019'!$F$343:GR$622,15,FALSE),0),0)</f>
        <v>21</v>
      </c>
      <c r="F29" s="324">
        <f>IFERROR(ROUND(VLOOKUP(F$1,'Výpočet VP 2019'!$F$343:CN$622,15,FALSE),0),0)</f>
        <v>9</v>
      </c>
      <c r="G29" s="324">
        <f>IFERROR(ROUND(VLOOKUP(G$1,'Výpočet VP 2019'!$F$343:FM$622,15,FALSE),0),0)</f>
        <v>17</v>
      </c>
      <c r="H29" s="324">
        <f>IFERROR(ROUND(VLOOKUP(H$1,'Výpočet VP 2019'!$F$343:KE$622,15,FALSE),0),0)</f>
        <v>2</v>
      </c>
      <c r="I29" s="324">
        <f>IFERROR(ROUND(VLOOKUP(I$1,'Výpočet VP 2019'!$F$343:LD$622,15,FALSE),0),0)</f>
        <v>4</v>
      </c>
      <c r="J29" s="324">
        <f>IFERROR(ROUND(VLOOKUP(J$1,'Výpočet VP 2019'!$F$343:KR$622,15,FALSE),0),0)</f>
        <v>4</v>
      </c>
      <c r="K29" s="324">
        <f>IFERROR(ROUND(VLOOKUP(K$1,'Výpočet VP 2019'!$F$343:KH$622,15,FALSE),0),0)</f>
        <v>9</v>
      </c>
      <c r="L29" s="324">
        <f>IFERROR(ROUND(VLOOKUP(L$1,'Výpočet VP 2019'!$F$343:IM$622,15,FALSE),0),0)</f>
        <v>5</v>
      </c>
      <c r="M29" s="324">
        <f>IFERROR(ROUND(VLOOKUP(M$1,'Výpočet VP 2019'!$F$343:CG$622,15,FALSE),0),0)</f>
        <v>9</v>
      </c>
      <c r="N29" s="324">
        <f>IFERROR(ROUND(VLOOKUP(N$1,'Výpočet VP 2019'!$F$343:FH$622,15,FALSE),0),0)</f>
        <v>9</v>
      </c>
      <c r="O29" s="324">
        <f>IFERROR(ROUND(VLOOKUP(O$1,'Výpočet VP 2019'!$F$343:BO$622,15,FALSE),0),0)</f>
        <v>6</v>
      </c>
      <c r="P29" s="324">
        <f>IFERROR(ROUND(VLOOKUP(P$1,'Výpočet VP 2019'!$F$343:KA$622,15,FALSE),0),0)</f>
        <v>4</v>
      </c>
      <c r="Q29" s="324">
        <f>IFERROR(ROUND(VLOOKUP(Q$1,'Výpočet VP 2019'!$F$343:BW$622,15,FALSE),0),0)</f>
        <v>3</v>
      </c>
      <c r="R29" s="324">
        <f>IFERROR(ROUND(VLOOKUP(R$1,'Výpočet VP 2019'!$F$343:BF$622,15,FALSE),0),0)</f>
        <v>3</v>
      </c>
      <c r="S29" s="324">
        <f>IFERROR(ROUND(VLOOKUP(S$1,'Výpočet VP 2019'!$F$343:BK$622,15,FALSE),0),0)</f>
        <v>2</v>
      </c>
      <c r="T29" s="324">
        <f>IFERROR(ROUND(VLOOKUP(T$1,'Výpočet VP 2019'!$F$343:BM$622,15,FALSE),0),0)</f>
        <v>1</v>
      </c>
      <c r="U29" s="324">
        <f>IFERROR(ROUND(VLOOKUP(U$1,'Výpočet VP 2019'!$F$343:CC$622,15,FALSE),0),0)</f>
        <v>2</v>
      </c>
      <c r="V29" s="324">
        <f>IFERROR(ROUND(VLOOKUP(V$1,'Výpočet VP 2019'!$F$343:EH$622,15,FALSE),0),0)</f>
        <v>31</v>
      </c>
      <c r="W29" s="324">
        <f>IFERROR(ROUND(VLOOKUP(W$1,'Výpočet VP 2019'!$F$343:FS$622,15,FALSE),0),0)</f>
        <v>6</v>
      </c>
      <c r="X29" s="324">
        <f>IFERROR(ROUND(VLOOKUP(X$1,'Výpočet VP 2019'!$F$343:FK$622,15,FALSE),0),0)</f>
        <v>2</v>
      </c>
      <c r="Y29" s="324">
        <f>IFERROR(ROUND(VLOOKUP(Y$1,'Výpočet VP 2019'!$F$343:FB$622,15,FALSE),0),0)</f>
        <v>4</v>
      </c>
      <c r="Z29" s="324">
        <f>IFERROR(ROUND(VLOOKUP(Z$1,'Výpočet VP 2019'!$F$343:GH$622,15,FALSE),0),0)</f>
        <v>14</v>
      </c>
      <c r="AA29" s="324">
        <f>IFERROR(ROUND(VLOOKUP(AA$1,'Výpočet VP 2019'!$F$343:JX$622,15,FALSE),0),0)</f>
        <v>6</v>
      </c>
      <c r="AB29" s="324">
        <f>IFERROR(ROUND(VLOOKUP(AB$1,'Výpočet VP 2019'!$F$343:CF$622,15,FALSE),0),0)</f>
        <v>6</v>
      </c>
      <c r="AC29" s="324">
        <f>IFERROR(ROUND(VLOOKUP(AC$1,'Výpočet VP 2019'!$F$343:CG$622,15,FALSE),0),0)</f>
        <v>3</v>
      </c>
      <c r="AD29" s="324">
        <f>IFERROR(ROUND(VLOOKUP(AD$1,'Výpočet VP 2019'!$F$343:IN$622,15,FALSE),0),0)</f>
        <v>2</v>
      </c>
      <c r="AE29" s="324">
        <f>IFERROR(ROUND(VLOOKUP(AE$1,'Výpočet VP 2019'!$F$343:JV$622,15,FALSE),0),0)</f>
        <v>2</v>
      </c>
      <c r="AF29" s="324">
        <f>IFERROR(ROUND(VLOOKUP(AF$1,'Výpočet VP 2019'!$F$343:KZ$622,15,FALSE),0),0)</f>
        <v>4</v>
      </c>
      <c r="AG29" s="324">
        <f>IFERROR(ROUND(VLOOKUP(AG$1,'Výpočet VP 2019'!$F$343:CR$622,15,FALSE),0),0)</f>
        <v>7</v>
      </c>
      <c r="AH29" s="324">
        <f>IFERROR(ROUND(VLOOKUP(AH$1,'Výpočet VP 2019'!$F$343:FI$622,15,FALSE),0),0)</f>
        <v>2</v>
      </c>
      <c r="AI29" s="324">
        <f>IFERROR(ROUND(VLOOKUP(AI$1,'Výpočet VP 2019'!$F$343:HG$622,15,FALSE),0),0)</f>
        <v>11</v>
      </c>
      <c r="AJ29" s="324">
        <f>IFERROR(ROUND(VLOOKUP(AJ$1,'Výpočet VP 2019'!$F$343:HX$622,15,FALSE),0),0)</f>
        <v>7</v>
      </c>
      <c r="AK29" s="324">
        <f>IFERROR(ROUND(VLOOKUP(AK$1,'Výpočet VP 2019'!$F$343:BI$622,15,FALSE),0),0)</f>
        <v>2</v>
      </c>
      <c r="AL29" s="324">
        <f>IFERROR(ROUND(VLOOKUP(AL$1,'Výpočet VP 2019'!$F$343:JW$622,15,FALSE),0),0)</f>
        <v>3</v>
      </c>
      <c r="AM29" s="324">
        <f>IFERROR(ROUND(VLOOKUP(AM$1,'Výpočet VP 2019'!$F$343:BC$622,15,FALSE),0),0)</f>
        <v>2</v>
      </c>
      <c r="AN29" s="324">
        <f>IFERROR(ROUND(VLOOKUP(AN$1,'Výpočet VP 2019'!$F$343:BA$622,15,FALSE),0),0)</f>
        <v>1</v>
      </c>
      <c r="AO29" s="324">
        <f>IFERROR(ROUND(VLOOKUP(AO$1,'Výpočet VP 2019'!$F$343:ET$622,15,FALSE),0),0)</f>
        <v>12</v>
      </c>
      <c r="AP29" s="324">
        <f>IFERROR(ROUND(VLOOKUP(AP$1,'Výpočet VP 2019'!$F$343:CQ$622,15,FALSE),0),0)</f>
        <v>5</v>
      </c>
      <c r="AQ29" s="324">
        <f>IFERROR(ROUND(VLOOKUP(AQ$1,'Výpočet VP 2019'!$F$343:BS$622,15,FALSE),0),0)</f>
        <v>0</v>
      </c>
      <c r="AR29" s="324">
        <f>IFERROR(ROUND(VLOOKUP(AR$1,'Výpočet VP 2019'!$F$343:BT$622,15,FALSE),0),0)</f>
        <v>2</v>
      </c>
      <c r="AS29" s="324">
        <f>IFERROR(ROUND(VLOOKUP(AS$1,'Výpočet VP 2019'!$F$343:CA$622,15,FALSE),0),0)</f>
        <v>1</v>
      </c>
      <c r="AT29" s="324">
        <f>IFERROR(ROUND(VLOOKUP(AT$1,'Výpočet VP 2019'!$F$343:CH$622,15,FALSE),0),0)</f>
        <v>5</v>
      </c>
      <c r="AU29" s="324">
        <f>IFERROR(ROUND(VLOOKUP(AU$1,'Výpočet VP 2019'!$F$343:JI$622,15,FALSE),0),0)</f>
        <v>2</v>
      </c>
      <c r="AV29" s="324">
        <f>IFERROR(ROUND(VLOOKUP(AV$1,'Výpočet VP 2019'!$F$343:JR$622,15,FALSE),0),0)</f>
        <v>3</v>
      </c>
      <c r="AW29" s="324">
        <f>IFERROR(ROUND(VLOOKUP(AW$1,'Výpočet VP 2019'!$F$343:KF$622,15,FALSE),0),0)</f>
        <v>5</v>
      </c>
      <c r="AX29" s="324">
        <f>IFERROR(ROUND(VLOOKUP(AX$1,'Výpočet VP 2019'!$F$343:EQ$622,15,FALSE),0),0)</f>
        <v>5</v>
      </c>
      <c r="AY29" s="324">
        <f>IFERROR(ROUND(VLOOKUP(AY$1,'Výpočet VP 2019'!$F$343:FJ$622,15,FALSE),0),0)</f>
        <v>4</v>
      </c>
      <c r="AZ29" s="324">
        <f>IFERROR(ROUND(VLOOKUP(AZ$1,'Výpočet VP 2019'!$F$343:FX$622,15,FALSE),0),0)</f>
        <v>5</v>
      </c>
      <c r="BA29" s="324">
        <f>IFERROR(ROUND(VLOOKUP(BA$1,'Výpočet VP 2019'!$F$343:CP$622,15,FALSE),0),0)</f>
        <v>26</v>
      </c>
      <c r="BB29" s="324">
        <f>IFERROR(ROUND(VLOOKUP(BB$1,'Výpočet VP 2019'!$F$343:CB$622,15,FALSE),0),0)</f>
        <v>2</v>
      </c>
      <c r="BC29" s="324">
        <f>IFERROR(ROUND(VLOOKUP(BC$1,'Výpočet VP 2019'!$F$343:IO$622,15,FALSE),0),0)</f>
        <v>2</v>
      </c>
      <c r="BD29" s="324">
        <f>IFERROR(ROUND(VLOOKUP(BD$1,'Výpočet VP 2019'!$F$343:BU$622,15,FALSE),0),0)</f>
        <v>2</v>
      </c>
      <c r="BE29" s="324">
        <f>IFERROR(ROUND(VLOOKUP(BE$1,'Výpočet VP 2019'!$F$343:KS$622,15,FALSE),0),0)</f>
        <v>1</v>
      </c>
      <c r="BF29" s="324">
        <f>IFERROR(ROUND(VLOOKUP(BF$1,'Výpočet VP 2019'!$F$343:AZ$622,15,FALSE),0),0)</f>
        <v>4</v>
      </c>
      <c r="BG29" s="324">
        <f>IFERROR(ROUND(VLOOKUP(BG$1,'Výpočet VP 2019'!$F$343:IX$622,15,FALSE),0),0)</f>
        <v>4</v>
      </c>
      <c r="BH29" s="324">
        <f>IFERROR(ROUND(VLOOKUP(BH$1,'Výpočet VP 2019'!$F$343:KG$622,15,FALSE),0),0)</f>
        <v>6</v>
      </c>
      <c r="BI29" s="324">
        <f>IFERROR(ROUND(VLOOKUP(BI$1,'Výpočet VP 2019'!$F$343:IK$622,15,FALSE),0),0)</f>
        <v>7</v>
      </c>
      <c r="BJ29" s="324">
        <f>IFERROR(ROUND(VLOOKUP(BJ$1,'Výpočet VP 2019'!$F$343:DB$622,15,FALSE),0),0)</f>
        <v>6</v>
      </c>
      <c r="BK29" s="324">
        <f>IFERROR(ROUND(VLOOKUP(BK$1,'Výpočet VP 2019'!$F$343:KI$622,15,FALSE),0),0)</f>
        <v>2</v>
      </c>
      <c r="BL29" s="324">
        <f>IFERROR(ROUND(VLOOKUP(BL$1,'Výpočet VP 2019'!$F$343:CL$622,15,FALSE),0),0)</f>
        <v>0</v>
      </c>
      <c r="BM29" s="324">
        <f>IFERROR(ROUND(VLOOKUP(BM$1,'Výpočet VP 2019'!$F$343:KK$622,15,FALSE),0),0)</f>
        <v>3</v>
      </c>
      <c r="BN29" s="324">
        <f>IFERROR(ROUND(VLOOKUP(BN$1,'Výpočet VP 2019'!$F$343:BH$622,15,FALSE),0),0)</f>
        <v>3</v>
      </c>
      <c r="BO29" s="324">
        <f>IFERROR(ROUND(VLOOKUP(BO$1,'Výpočet VP 2019'!$F$343:IZ$622,15,FALSE),0),0)</f>
        <v>1</v>
      </c>
      <c r="BP29" s="324">
        <f>IFERROR(ROUND(VLOOKUP(BP$1,'Výpočet VP 2019'!$F$343:FR$622,15,FALSE),0),0)</f>
        <v>7</v>
      </c>
      <c r="BQ29" s="324">
        <f>IFERROR(ROUND(VLOOKUP(BQ$1,'Výpočet VP 2019'!$F$343:KX$622,15,FALSE),0),0)</f>
        <v>1</v>
      </c>
      <c r="BR29" s="324">
        <f>IFERROR(ROUND(VLOOKUP(BR$1,'Výpočet VP 2019'!$F$343:BE$622,15,FALSE),0),0)</f>
        <v>1</v>
      </c>
      <c r="BS29" s="324">
        <f>IFERROR(ROUND(VLOOKUP(BS$1,'Výpočet VP 2019'!$F$343:BX$622,15,FALSE),0),0)</f>
        <v>2</v>
      </c>
      <c r="BT29" s="324">
        <f>IFERROR(ROUND(VLOOKUP(BT$1,'Výpočet VP 2019'!$F$343:BY$622,15,FALSE),0),0)</f>
        <v>2</v>
      </c>
      <c r="BU29" s="324">
        <f>IFERROR(ROUND(VLOOKUP(BU$1,'Výpočet VP 2019'!$F$343:EA$622,15,FALSE),0),0)</f>
        <v>9</v>
      </c>
      <c r="BV29" s="324">
        <f>IFERROR(ROUND(VLOOKUP(BV$1,'Výpočet VP 2019'!$F$343:EU$622,15,FALSE),0),0)</f>
        <v>2</v>
      </c>
      <c r="BW29" s="324">
        <f>IFERROR(ROUND(VLOOKUP(BW$1,'Výpočet VP 2019'!$F$343:BN$622,15,FALSE),0),0)</f>
        <v>0</v>
      </c>
      <c r="BX29" s="324">
        <f>IFERROR(ROUND(VLOOKUP(BX$1,'Výpočet VP 2019'!$F$343:DA$622,15,FALSE),0),0)</f>
        <v>10</v>
      </c>
      <c r="BY29" s="324">
        <f>IFERROR(ROUND(VLOOKUP(BY$1,'Výpočet VP 2019'!$F$343:DY$622,15,FALSE),0),0)</f>
        <v>4</v>
      </c>
      <c r="BZ29" s="324">
        <f>IFERROR(ROUND(VLOOKUP(BZ$1,'Výpočet VP 2019'!$F$343:EL$622,15,FALSE),0),0)</f>
        <v>0</v>
      </c>
      <c r="CA29" s="324">
        <f>IFERROR(ROUND(VLOOKUP(CA$1,'Výpočet VP 2019'!$F$343:FW$622,15,FALSE),0),0)</f>
        <v>0</v>
      </c>
      <c r="CB29" s="324">
        <f>IFERROR(ROUND(VLOOKUP(CB$1,'Výpočet VP 2019'!$F$343:IG$622,15,FALSE),0),0)</f>
        <v>0</v>
      </c>
      <c r="CC29" s="324">
        <f>IFERROR(ROUND(VLOOKUP(CC$1,'Výpočet VP 2019'!$F$343:BD$622,15,FALSE),0),0)</f>
        <v>3</v>
      </c>
      <c r="CD29" s="324">
        <f>IFERROR(ROUND(VLOOKUP(CD$1,'Výpočet VP 2019'!$F$343:BL$622,15,FALSE),0),0)</f>
        <v>1</v>
      </c>
      <c r="CE29" s="324">
        <f>IFERROR(ROUND(VLOOKUP(CE$1,'Výpočet VP 2019'!$F$343:DO$622,15,FALSE),0),0)</f>
        <v>28</v>
      </c>
      <c r="CF29" s="324">
        <f>IFERROR(ROUND(VLOOKUP(CF$1,'Výpočet VP 2019'!$F$343:IL$622,15,FALSE),0),0)</f>
        <v>6</v>
      </c>
      <c r="CG29" s="324">
        <f>IFERROR(ROUND(VLOOKUP(CG$1,'Výpočet VP 2019'!$F$343:IQ$622,15,FALSE),0),0)</f>
        <v>16</v>
      </c>
      <c r="CH29" s="324">
        <f>IFERROR(ROUND(VLOOKUP(CH$1,'Výpočet VP 2019'!$F$343:IS$622,15,FALSE),0),0)</f>
        <v>7</v>
      </c>
      <c r="CI29" s="324">
        <f>IFERROR(ROUND(VLOOKUP(CI$1,'Výpočet VP 2019'!$F$343:JA$622,15,FALSE),0),0)</f>
        <v>4</v>
      </c>
      <c r="CJ29" s="324">
        <f>IFERROR(ROUND(VLOOKUP(CJ$1,'Výpočet VP 2019'!$F$343:JB$622,15,FALSE),0),0)</f>
        <v>7</v>
      </c>
      <c r="CK29" s="324">
        <f>IFERROR(ROUND(VLOOKUP(CK$1,'Výpočet VP 2019'!$F$343:JM$622,15,FALSE),0),0)</f>
        <v>6</v>
      </c>
      <c r="CL29" s="324">
        <f>IFERROR(ROUND(VLOOKUP(CL$1,'Výpočet VP 2019'!$F$343:KJ$622,15,FALSE),0),0)</f>
        <v>4</v>
      </c>
      <c r="CM29" s="324">
        <f>IFERROR(ROUND(VLOOKUP(CM$1,'Výpočet VP 2019'!$F$343:EE$622,15,FALSE),0),0)</f>
        <v>14</v>
      </c>
      <c r="CN29" s="324">
        <f>IFERROR(ROUND(VLOOKUP(CN$1,'Výpočet VP 2019'!$F$343:JC$622,15,FALSE),0),0)</f>
        <v>2</v>
      </c>
      <c r="CO29" s="324">
        <f>IFERROR(ROUND(VLOOKUP(CO$1,'Výpočet VP 2019'!$F$343:JE$622,15,FALSE),0),0)</f>
        <v>2</v>
      </c>
      <c r="CP29" s="324">
        <f>IFERROR(ROUND(VLOOKUP(CP$1,'Výpočet VP 2019'!$F$343:JG$622,15,FALSE),0),0)</f>
        <v>2</v>
      </c>
      <c r="CQ29" s="324">
        <f>IFERROR(ROUND(VLOOKUP(CQ$1,'Výpočet VP 2019'!$F$343:JP$622,15,FALSE),0),0)</f>
        <v>9</v>
      </c>
      <c r="CR29" s="324">
        <f>IFERROR(ROUND(VLOOKUP(CR$1,'Výpočet VP 2019'!$F$343:DP$622,15,FALSE),0),0)</f>
        <v>5</v>
      </c>
      <c r="CS29" s="324">
        <f>IFERROR(ROUND(VLOOKUP(CS$1,'Výpočet VP 2019'!$F$343:IV$622,15,FALSE),0),0)</f>
        <v>7</v>
      </c>
      <c r="CT29" s="324">
        <f>IFERROR(ROUND(VLOOKUP(CT$1,'Výpočet VP 2019'!$F$343:IW$622,15,FALSE),0),0)</f>
        <v>7</v>
      </c>
      <c r="CU29" s="324">
        <f>IFERROR(ROUND(VLOOKUP(CU$1,'Výpočet VP 2019'!$F$343:CU$622,15,FALSE),0),0)</f>
        <v>4</v>
      </c>
      <c r="CV29" s="324">
        <f>IFERROR(ROUND(VLOOKUP(CV$1,'Výpočet VP 2019'!$F$343:HC$622,15,FALSE),0),0)</f>
        <v>11</v>
      </c>
      <c r="CW29" s="324">
        <f>IFERROR(ROUND(VLOOKUP(CW$1,'Výpočet VP 2019'!$F$343:BR$622,15,FALSE),0),0)</f>
        <v>1</v>
      </c>
      <c r="CX29" s="324">
        <f>IFERROR(ROUND(VLOOKUP(CX$1,'Výpočet VP 2019'!$F$343:CO$622,15,FALSE),0),0)</f>
        <v>11</v>
      </c>
      <c r="CY29" s="324">
        <f>IFERROR(ROUND(VLOOKUP(CY$1,'Výpočet VP 2019'!$F$343:DE$622,15,FALSE),0),0)</f>
        <v>7</v>
      </c>
      <c r="CZ29" s="324">
        <f>IFERROR(ROUND(VLOOKUP(CZ$1,'Výpočet VP 2019'!$F$343:JQ$622,15,FALSE),0),0)</f>
        <v>2</v>
      </c>
      <c r="DA29" s="324">
        <f>IFERROR(ROUND(VLOOKUP(DA$1,'Výpočet VP 2019'!$F$343:IJ$622,15,FALSE),0),0)</f>
        <v>21</v>
      </c>
      <c r="DB29" s="324">
        <f>IFERROR(ROUND(VLOOKUP(DB$1,'Výpočet VP 2019'!$F$343:BP$622,15,FALSE),0),0)</f>
        <v>1</v>
      </c>
      <c r="DC29" s="324">
        <v>2.5</v>
      </c>
      <c r="DD29" s="324">
        <f>IFERROR(ROUND(VLOOKUP(DD$1,'Výpočet VP 2019'!$F$343:KN$622,15,FALSE),0),0)</f>
        <v>6</v>
      </c>
      <c r="DE29" s="324">
        <f>IFERROR(ROUND(VLOOKUP(DE$1,'Výpočet VP 2019'!$F$343:KV$622,15,FALSE),0),0)</f>
        <v>11</v>
      </c>
      <c r="DF29" s="324">
        <f>IFERROR(ROUND(VLOOKUP(DF$1,'Výpočet VP 2019'!$F$343:LB$622,15,FALSE),0),0)</f>
        <v>11</v>
      </c>
      <c r="DG29" s="324">
        <f>IFERROR(ROUND(VLOOKUP(DG$1,'Výpočet VP 2019'!$F$343:CD$622,15,FALSE),0),0)</f>
        <v>1</v>
      </c>
      <c r="DH29" s="324">
        <f>IFERROR(ROUND(VLOOKUP(DH$1,'Výpočet VP 2019'!$F$343:EO$622,15,FALSE),0),0)</f>
        <v>4</v>
      </c>
      <c r="DI29" s="324">
        <f>IFERROR(ROUND(VLOOKUP(DI$1,'Výpočet VP 2019'!$F$343:KB$622,15,FALSE),0),0)</f>
        <v>2</v>
      </c>
      <c r="DJ29" s="324">
        <f>IFERROR(ROUND(VLOOKUP(DJ$1,'Výpočet VP 2019'!$F$343:KU$622,15,FALSE),0),0)</f>
        <v>3</v>
      </c>
      <c r="DK29" s="324">
        <f>IFERROR(ROUND(VLOOKUP(DK$1,'Výpočet VP 2019'!$F$343:LA$622,15,FALSE),0),0)</f>
        <v>1</v>
      </c>
      <c r="DL29" s="324">
        <f>IFERROR(ROUND(VLOOKUP(DL$1,'Výpočet VP 2019'!$F$343:CZ$622,15,FALSE),0),0)</f>
        <v>9</v>
      </c>
      <c r="DM29" s="324">
        <f>IFERROR(ROUND(VLOOKUP(DM$1,'Výpočet VP 2019'!$F$343:CM$622,15,FALSE),0),0)</f>
        <v>6</v>
      </c>
      <c r="DN29" s="324">
        <f>IFERROR(ROUND(VLOOKUP(DN$1,'Výpočet VP 2019'!$F$343:JD$622,15,FALSE),0),0)</f>
        <v>5</v>
      </c>
      <c r="DO29" s="324">
        <f>IFERROR(ROUND(VLOOKUP(DO$1,'Výpočet VP 2019'!$F$343:KQ$622,15,FALSE),0),0)</f>
        <v>2</v>
      </c>
      <c r="DP29" s="324">
        <f>IFERROR(ROUND(VLOOKUP(DP$1,'Výpočet VP 2019'!$F$343:JK$622,15,FALSE),0),0)</f>
        <v>7</v>
      </c>
      <c r="DQ29" s="324">
        <f>IFERROR(ROUND(VLOOKUP(DQ$1,'Výpočet VP 2019'!$F$343:JS$622,15,FALSE),0),0)</f>
        <v>7</v>
      </c>
      <c r="DR29" s="324">
        <f>IFERROR(ROUND(VLOOKUP(DR$1,'Výpočet VP 2019'!$F$343:JY$622,15,FALSE),0),0)</f>
        <v>6</v>
      </c>
      <c r="DS29" s="324">
        <f>IFERROR(ROUND(VLOOKUP(DS$1,'Výpočet VP 2019'!$F$343:FQ$622,15,FALSE),0),0)</f>
        <v>4</v>
      </c>
      <c r="DT29" s="324">
        <f>IFERROR(ROUND(VLOOKUP(DT$1,'Výpočet VP 2019'!$F$343:IH$622,15,FALSE),0),0)</f>
        <v>7</v>
      </c>
      <c r="DU29" s="324">
        <f>IFERROR(ROUND(VLOOKUP(DU$1,'Výpočet VP 2019'!$F$343:EP$622,15,FALSE),0),0)</f>
        <v>4</v>
      </c>
      <c r="DV29" s="324">
        <f>IFERROR(ROUND(VLOOKUP(DV$1,'Výpočet VP 2019'!$F$343:IE$622,15,FALSE),0),0)</f>
        <v>12</v>
      </c>
      <c r="DW29" s="324">
        <f>IFERROR(ROUND(VLOOKUP(DW$1,'Výpočet VP 2019'!$F$343:KD$622,15,FALSE),0),0)</f>
        <v>2</v>
      </c>
      <c r="DX29" s="324">
        <f>IFERROR(ROUND(VLOOKUP(DX$1,'Výpočet VP 2019'!$F$343:KL$622,15,FALSE),0),0)</f>
        <v>6</v>
      </c>
      <c r="DY29" s="324">
        <f>IFERROR(ROUND(VLOOKUP(DY$1,'Výpočet VP 2019'!$F$343:CE$622,15,FALSE),0),0)</f>
        <v>11</v>
      </c>
      <c r="DZ29" s="324">
        <f>IFERROR(ROUND(VLOOKUP(DZ$1,'Výpočet VP 2019'!$F$343:DH$622,15,FALSE),0),0)</f>
        <v>2</v>
      </c>
      <c r="EA29" s="324">
        <f>IFERROR(ROUND(VLOOKUP(EA$1,'Výpočet VP 2019'!$F$343:CJ$622,15,FALSE),0),0)</f>
        <v>12</v>
      </c>
      <c r="EB29" s="324">
        <f>IFERROR(ROUND(VLOOKUP(EB$1,'Výpočet VP 2019'!$F$343:CK$622,15,FALSE),0),0)</f>
        <v>14</v>
      </c>
      <c r="EC29" s="324">
        <f>IFERROR(ROUND(VLOOKUP(EC$1,'Výpočet VP 2019'!$F$343:ER$622,15,FALSE),0),0)</f>
        <v>7</v>
      </c>
      <c r="ED29" s="324">
        <f>IFERROR(ROUND(VLOOKUP(ED$1,'Výpočet VP 2019'!$F$343:FT$622,15,FALSE),0),0)</f>
        <v>6</v>
      </c>
      <c r="EE29" s="324">
        <f>IFERROR(ROUND(VLOOKUP(EE$1,'Výpočet VP 2019'!$F$343:BB$622,15,FALSE),0),0)</f>
        <v>1</v>
      </c>
      <c r="EF29" s="324">
        <f>IFERROR(ROUND(VLOOKUP(EF$1,'Výpočet VP 2019'!$F$343:BJ$622,15,FALSE),0),0)</f>
        <v>1</v>
      </c>
      <c r="EG29" s="324">
        <f>IFERROR(ROUND(VLOOKUP(EG$1,'Výpočet VP 2019'!$F$343:BQ$622,15,FALSE),0),0)</f>
        <v>1</v>
      </c>
      <c r="EH29" s="324">
        <f>IFERROR(ROUND(VLOOKUP(EH$1,'Výpočet VP 2019'!$F$343:EN$622,15,FALSE),0),0)</f>
        <v>1</v>
      </c>
      <c r="EI29" s="324">
        <f>IFERROR(ROUND(VLOOKUP(EI$1,'Výpočet VP 2019'!$F$343:JZ$622,15,FALSE),0),0)</f>
        <v>2</v>
      </c>
      <c r="EJ29" s="324">
        <f>IFERROR(ROUND(VLOOKUP(EJ$1,'Výpočet VP 2019'!$F$343:KP$622,15,FALSE),0),0)</f>
        <v>2</v>
      </c>
      <c r="EK29" s="324">
        <f>IFERROR(ROUND(VLOOKUP(EK$1,'Výpočet VP 2019'!$F$343:CI$622,15,FALSE),0),0)</f>
        <v>9</v>
      </c>
      <c r="EL29" s="324">
        <f>IFERROR(ROUND(VLOOKUP(EL$1,'Výpočet VP 2019'!$F$343:FU$622,15,FALSE),0),0)</f>
        <v>17</v>
      </c>
      <c r="EM29" s="324">
        <f>IFERROR(ROUND(VLOOKUP(EM$1,'Výpočet VP 2019'!$F$343:IC$622,15,FALSE),0),0)</f>
        <v>6</v>
      </c>
      <c r="EN29" s="324">
        <f>IFERROR(ROUND(VLOOKUP(EN$1,'Výpočet VP 2019'!$F$343:JU$622,15,FALSE),0),0)</f>
        <v>4</v>
      </c>
      <c r="EO29" s="324">
        <f>IFERROR(ROUND(VLOOKUP(EO$1,'Výpočet VP 2019'!$F$343:BZ$622,15,FALSE),0),0)</f>
        <v>0</v>
      </c>
      <c r="EP29" s="324">
        <f>IFERROR(ROUND(VLOOKUP(EP$1,'Výpočet VP 2019'!$F$343:FO$622,15,FALSE),0),0)</f>
        <v>3</v>
      </c>
      <c r="EQ29" s="324">
        <f>IFERROR(ROUND(VLOOKUP(EQ$1,'Výpočet VP 2019'!$F$343:KW$622,15,FALSE),0),0)</f>
        <v>3</v>
      </c>
      <c r="ER29" s="324">
        <f>IFERROR(ROUND(VLOOKUP(ER$1,'Výpočet VP 2019'!$F$343:CY$622,15,FALSE),0),0)</f>
        <v>26</v>
      </c>
      <c r="ES29" s="324">
        <f>IFERROR(ROUND(VLOOKUP(ES$1,'Výpočet VP 2019'!$F$343:EM$622,15,FALSE),0),0)</f>
        <v>6</v>
      </c>
      <c r="ET29" s="324">
        <f>IFERROR(ROUND(VLOOKUP(ET$1,'Výpočet VP 2019'!$F$343:EZ$622,15,FALSE),0),0)</f>
        <v>2</v>
      </c>
      <c r="EU29" s="324">
        <f>IFERROR(ROUND(VLOOKUP(EU$1,'Výpočet VP 2019'!$F$343:FY$622,15,FALSE),0),0)</f>
        <v>3</v>
      </c>
      <c r="EV29" s="324">
        <f>IFERROR(ROUND(VLOOKUP(EV$1,'Výpočet VP 2019'!$F$343:BG$622,15,FALSE),0),0)</f>
        <v>1</v>
      </c>
      <c r="EW29" s="324">
        <f>IFERROR(ROUND(VLOOKUP(EW$1,'Výpočet VP 2019'!$F$343:DF$622,15,FALSE),0),0)</f>
        <v>9</v>
      </c>
      <c r="EX29" s="324">
        <f>IFERROR(ROUND(VLOOKUP(EX$1,'Výpočet VP 2019'!$F$343:HH$622,15,FALSE),0),0)</f>
        <v>21</v>
      </c>
      <c r="EY29" s="324">
        <f>IFERROR(ROUND(VLOOKUP(EY$1,'Výpočet VP 2019'!$F$343:JT$622,15,FALSE),0),0)</f>
        <v>5</v>
      </c>
      <c r="EZ29" s="324">
        <f>IFERROR(ROUND(VLOOKUP(EZ$1,'Výpočet VP 2019'!$F$343:DQ$622,15,FALSE),0),0)</f>
        <v>2</v>
      </c>
      <c r="FA29" s="324">
        <f>IFERROR(ROUND(VLOOKUP(FA$1,'Výpočet VP 2019'!$F$343:CW$622,15,FALSE),0),0)</f>
        <v>5</v>
      </c>
      <c r="FB29" s="324">
        <f>IFERROR(ROUND(VLOOKUP(FB$1,'Výpočet VP 2019'!$F$343:ED$622,15,FALSE),0),0)</f>
        <v>1</v>
      </c>
      <c r="FC29" s="324">
        <f>IFERROR(ROUND(VLOOKUP(FC$1,'Výpočet VP 2019'!$F$343:EI$622,15,FALSE),0),0)</f>
        <v>15</v>
      </c>
      <c r="FD29" s="324">
        <f>IFERROR(ROUND(VLOOKUP(FD$1,'Výpočet VP 2019'!$F$343:IR$622,15,FALSE),0),0)</f>
        <v>3</v>
      </c>
      <c r="FE29" s="324">
        <f>IFERROR(ROUND(VLOOKUP(FE$1,'Výpočet VP 2019'!$F$343:JL$622,15,FALSE),0),0)</f>
        <v>1</v>
      </c>
      <c r="FF29" s="324">
        <f>IFERROR(ROUND(VLOOKUP(FF$1,'Výpočet VP 2019'!$F$343:DJ$622,15,FALSE),0),0)</f>
        <v>7</v>
      </c>
      <c r="FG29" s="324">
        <f>IFERROR(ROUND(VLOOKUP(FG$1,'Výpočet VP 2019'!$F$343:HA$622,15,FALSE),0),0)</f>
        <v>23</v>
      </c>
      <c r="FH29" s="324">
        <f>IFERROR(ROUND(VLOOKUP(FH$1,'Výpočet VP 2019'!$F$343:HP$622,15,FALSE),0),0)</f>
        <v>25</v>
      </c>
      <c r="FI29" s="324">
        <f>IFERROR(ROUND(VLOOKUP(FI$1,'Výpočet VP 2019'!$F$343:HJ$622,15,FALSE),0),0)</f>
        <v>26</v>
      </c>
      <c r="FJ29" s="324">
        <f>IFERROR(ROUND(VLOOKUP(FJ$1,'Výpočet VP 2019'!$F$343:DR$622,15,FALSE),0),0)</f>
        <v>8</v>
      </c>
      <c r="FK29" s="324">
        <f>IFERROR(ROUND(VLOOKUP(FK$1,'Výpočet VP 2019'!$F$343:DM$622,15,FALSE),0),0)</f>
        <v>2</v>
      </c>
      <c r="FL29" s="324">
        <f>IFERROR(ROUND(VLOOKUP(FL$1,'Výpočet VP 2019'!$F$343:FC$622,15,FALSE),0),0)</f>
        <v>2</v>
      </c>
      <c r="FM29" s="324">
        <f>IFERROR(ROUND(VLOOKUP(FM$1,'Výpočet VP 2019'!$F$343:DS$622,15,FALSE),0),0)</f>
        <v>12</v>
      </c>
      <c r="FN29" s="324">
        <f>IFERROR(ROUND(VLOOKUP(FN$1,'Výpočet VP 2019'!$F$343:CT$622,15,FALSE),0),0)</f>
        <v>16</v>
      </c>
      <c r="FO29" s="324">
        <f>IFERROR(ROUND(VLOOKUP(FO$1,'Výpočet VP 2019'!$F$343:FV$622,15,FALSE),0),0)</f>
        <v>4</v>
      </c>
      <c r="FP29" s="324">
        <f>IFERROR(ROUND(VLOOKUP(FP$1,'Výpočet VP 2019'!$F$343:GV$622,15,FALSE),0),0)</f>
        <v>35</v>
      </c>
      <c r="FQ29" s="324">
        <f>IFERROR(ROUND(VLOOKUP(FQ$1,'Výpočet VP 2019'!$F$343:ID$622,15,FALSE),0),0)</f>
        <v>4</v>
      </c>
      <c r="FR29" s="324">
        <f>IFERROR(ROUND(VLOOKUP(FR$1,'Výpočet VP 2019'!$F$343:IU$622,15,FALSE),0),0)</f>
        <v>0</v>
      </c>
      <c r="FS29" s="324">
        <f>IFERROR(ROUND(VLOOKUP(FS$1,'Výpočet VP 2019'!$F$343:JN$622,15,FALSE),0),0)</f>
        <v>1</v>
      </c>
      <c r="FT29" s="324">
        <f>IFERROR(ROUND(VLOOKUP(FT$1,'Výpočet VP 2019'!$F$343:CS$622,15,FALSE),0),0)</f>
        <v>12</v>
      </c>
      <c r="FU29" s="324">
        <f>IFERROR(ROUND(VLOOKUP(FU$1,'Výpočet VP 2019'!$F$343:FF$622,15,FALSE),0),0)</f>
        <v>1</v>
      </c>
      <c r="FV29" s="324">
        <f>IFERROR(ROUND(VLOOKUP(FV$1,'Výpočet VP 2019'!$F$343:EB$622,15,FALSE),0),0)</f>
        <v>4</v>
      </c>
      <c r="FW29" s="324">
        <f>IFERROR(ROUND(VLOOKUP(FW$1,'Výpočet VP 2019'!$F$343:DX$622,15,FALSE),0),0)</f>
        <v>5</v>
      </c>
      <c r="FX29" s="324">
        <f>IFERROR(ROUND(VLOOKUP(FX$1,'Výpočet VP 2019'!$F$343:CX$622,15,FALSE),0),0)</f>
        <v>2</v>
      </c>
      <c r="FY29" s="324">
        <f>IFERROR(ROUND(VLOOKUP(FY$1,'Výpočet VP 2019'!$F$343:DL$622,15,FALSE),0),0)</f>
        <v>1</v>
      </c>
      <c r="FZ29" s="324">
        <f>IFERROR(ROUND(VLOOKUP(FZ$1,'Výpočet VP 2019'!$F$343:DV$622,15,FALSE),0),0)</f>
        <v>16</v>
      </c>
      <c r="GA29" s="324">
        <f>IFERROR(ROUND(VLOOKUP(GA$1,'Výpočet VP 2019'!$F$343:EV$622,15,FALSE),0),0)</f>
        <v>2</v>
      </c>
      <c r="GB29" s="324">
        <f>IFERROR(ROUND(VLOOKUP(GB$1,'Výpočet VP 2019'!$F$343:GL$622,15,FALSE),0),0)</f>
        <v>17</v>
      </c>
      <c r="GC29" s="324">
        <f>IFERROR(ROUND(VLOOKUP(GC$1,'Výpočet VP 2019'!$F$343:DD$622,15,FALSE),0),0)</f>
        <v>8</v>
      </c>
      <c r="GD29" s="324">
        <f>IFERROR(ROUND(VLOOKUP(GD$1,'Výpočet VP 2019'!$F$343:GJ$622,15,FALSE),0),0)</f>
        <v>29</v>
      </c>
      <c r="GE29" s="324">
        <f>IFERROR(ROUND(VLOOKUP(GE$1,'Výpočet VP 2019'!$F$343:KO$622,15,FALSE),0),0)</f>
        <v>3</v>
      </c>
      <c r="GF29" s="324">
        <f>IFERROR(ROUND(VLOOKUP(GF$1,'Výpočet VP 2019'!$F$343:EJ$622,15,FALSE),0),0)</f>
        <v>11</v>
      </c>
      <c r="GG29" s="324">
        <f>IFERROR(ROUND(VLOOKUP(GG$1,'Výpočet VP 2019'!$F$343:EW$622,15,FALSE),0),0)</f>
        <v>3</v>
      </c>
      <c r="GH29" s="324">
        <f>IFERROR(ROUND(VLOOKUP(GH$1,'Výpočet VP 2019'!$F$343:FD$622,15,FALSE),0),0)</f>
        <v>2</v>
      </c>
      <c r="GI29" s="324">
        <f>IFERROR(ROUND(VLOOKUP(GI$1,'Výpočet VP 2019'!$F$343:GY$622,15,FALSE),0),0)</f>
        <v>27</v>
      </c>
      <c r="GJ29" s="324">
        <f>IFERROR(ROUND(VLOOKUP(GJ$1,'Výpočet VP 2019'!$F$343:EC$622,15,FALSE),0),0)</f>
        <v>7</v>
      </c>
      <c r="GK29" s="324">
        <f>IFERROR(ROUND(VLOOKUP(GK$1,'Výpočet VP 2019'!$F$343:EY$622,15,FALSE),0),0)</f>
        <v>7</v>
      </c>
      <c r="GL29" s="324">
        <f>IFERROR(ROUND(VLOOKUP(GL$1,'Výpočet VP 2019'!$F$343:FG$622,15,FALSE),0),0)</f>
        <v>2</v>
      </c>
      <c r="GM29" s="324">
        <f>IFERROR(ROUND(VLOOKUP(GM$1,'Výpočet VP 2019'!$F$343:JH$622,15,FALSE),0),0)</f>
        <v>2</v>
      </c>
      <c r="GN29" s="324">
        <f>IFERROR(ROUND(VLOOKUP(GN$1,'Výpočet VP 2019'!$F$343:JO$622,15,FALSE),0),0)</f>
        <v>2</v>
      </c>
      <c r="GO29" s="324">
        <f>IFERROR(ROUND(VLOOKUP(GO$1,'Výpočet VP 2019'!$F$343:GT$622,15,FALSE),0),0)</f>
        <v>17</v>
      </c>
      <c r="GP29" s="324">
        <f>IFERROR(ROUND(VLOOKUP(GP$1,'Výpočet VP 2019'!$F$343:EK$622,15,FALSE),0),0)</f>
        <v>3</v>
      </c>
      <c r="GQ29" s="324">
        <f>IFERROR(ROUND(VLOOKUP(GQ$1,'Výpočet VP 2019'!$F$343:CV$622,15,FALSE),0),0)</f>
        <v>6</v>
      </c>
      <c r="GR29" s="324">
        <f>IFERROR(ROUND(VLOOKUP(GR$1,'Výpočet VP 2019'!$F$343:DK$622,15,FALSE),0),0)</f>
        <v>3</v>
      </c>
      <c r="GS29" s="324">
        <f>IFERROR(ROUND(VLOOKUP(GS$1,'Výpočet VP 2019'!$F$343:DZ$622,15,FALSE),0),0)</f>
        <v>2</v>
      </c>
      <c r="GT29" s="324">
        <f>IFERROR(ROUND(VLOOKUP(GT$1,'Výpočet VP 2019'!$F$343:DU$622,15,FALSE),0),0)</f>
        <v>30</v>
      </c>
      <c r="GU29" s="324">
        <f>IFERROR(ROUND(VLOOKUP(GU$1,'Výpočet VP 2019'!$F$343:FP$622,15,FALSE),0),0)</f>
        <v>3</v>
      </c>
      <c r="GV29" s="324">
        <f>IFERROR(ROUND(VLOOKUP(GV$1,'Výpočet VP 2019'!$F$343:GW$622,15,FALSE),0),0)</f>
        <v>15</v>
      </c>
      <c r="GW29" s="324">
        <f>IFERROR(ROUND(VLOOKUP(GW$1,'Výpočet VP 2019'!$F$343:DC$622,15,FALSE),0),0)</f>
        <v>5</v>
      </c>
      <c r="GX29" s="324">
        <f>IFERROR(ROUND(VLOOKUP(GX$1,'Výpočet VP 2019'!$F$343:DT$622,15,FALSE),0),0)</f>
        <v>2</v>
      </c>
      <c r="GY29" s="324">
        <f>IFERROR(ROUND(VLOOKUP(GY$1,'Výpočet VP 2019'!$F$343:HN$622,15,FALSE),0),0)</f>
        <v>64</v>
      </c>
      <c r="GZ29" s="324">
        <f>IFERROR(ROUND(VLOOKUP(GZ$1,'Výpočet VP 2019'!$F$343:IT$622,15,FALSE),0),0)</f>
        <v>0</v>
      </c>
      <c r="HA29" s="324">
        <f>IFERROR(ROUND(VLOOKUP(HA$1,'Výpočet VP 2019'!$F$343:DI$622,15,FALSE),0),0)</f>
        <v>22</v>
      </c>
      <c r="HB29" s="324">
        <f>IFERROR(ROUND(VLOOKUP(HB$1,'Výpočet VP 2019'!$F$343:FN$622,15,FALSE),0),0)</f>
        <v>14</v>
      </c>
      <c r="HC29" s="324">
        <f>IFERROR(ROUND(VLOOKUP(HC$1,'Výpočet VP 2019'!$F$343:GN$622,15,FALSE),0),0)</f>
        <v>28</v>
      </c>
      <c r="HD29" s="324">
        <f>IFERROR(ROUND(VLOOKUP(HD$1,'Výpočet VP 2019'!$F$343:DW$622,15,FALSE),0),0)</f>
        <v>7</v>
      </c>
      <c r="HE29" s="324">
        <f>IFERROR(ROUND(VLOOKUP(HE$1,'Výpočet VP 2019'!$F$343:HK$622,15,FALSE),0),0)</f>
        <v>21</v>
      </c>
      <c r="HF29" s="324">
        <f>IFERROR(ROUND(VLOOKUP(HF$1,'Výpočet VP 2019'!$F$343:DN$622,15,FALSE),0),0)</f>
        <v>6</v>
      </c>
      <c r="HG29" s="324">
        <f>IFERROR(ROUND(VLOOKUP(HG$1,'Výpočet VP 2019'!$F$343:FE$622,15,FALSE),0),0)</f>
        <v>3</v>
      </c>
      <c r="HH29" s="324">
        <f>IFERROR(ROUND(VLOOKUP(HH$1,'Výpočet VP 2019'!$F$343:EG$622,15,FALSE),0),0)</f>
        <v>7</v>
      </c>
      <c r="HI29" s="324">
        <f>IFERROR(ROUND(VLOOKUP(HI$1,'Výpočet VP 2019'!$F$343:DG$622,15,FALSE),0),0)</f>
        <v>10</v>
      </c>
      <c r="HJ29" s="324">
        <f>IFERROR(ROUND(VLOOKUP(HJ$1,'Výpočet VP 2019'!$F$343:KT$622,15,FALSE),0),0)</f>
        <v>1</v>
      </c>
      <c r="HK29" s="324">
        <f>IFERROR(ROUND(VLOOKUP(HK$1,'Výpočet VP 2019'!$F$343:EF$622,15,FALSE),0),0)</f>
        <v>3</v>
      </c>
      <c r="HL29" s="324">
        <f>IFERROR(ROUND(VLOOKUP(HL$1,'Výpočet VP 2019'!$F$343:GE$622,15,FALSE),0),0)</f>
        <v>66</v>
      </c>
      <c r="HM29" s="324">
        <f>IFERROR(ROUND(VLOOKUP(HM$1,'Výpočet VP 2019'!$F$343:II$622,15,FALSE),0),0)</f>
        <v>40</v>
      </c>
      <c r="HN29" s="324">
        <f>IFERROR(ROUND(VLOOKUP(HN$1,'Výpočet VP 2019'!$F$343:KC$622,15,FALSE),0),0)</f>
        <v>1</v>
      </c>
      <c r="HO29" s="324">
        <f>IFERROR(ROUND(VLOOKUP(HO$1,'Výpočet VP 2019'!$F$343:KM$622,15,FALSE),0),0)</f>
        <v>4</v>
      </c>
      <c r="HP29" s="324">
        <f>IFERROR(ROUND(VLOOKUP(HP$1,'Výpočet VP 2019'!$F$343:GD$622,15,FALSE),0),0)</f>
        <v>53</v>
      </c>
      <c r="HQ29" s="324">
        <f>IFERROR(ROUND(VLOOKUP(HQ$1,'Výpočet VP 2019'!$F$343:FL$622,15,FALSE),0),0)</f>
        <v>1</v>
      </c>
      <c r="HR29" s="324">
        <f>IFERROR(ROUND(VLOOKUP(HR$1,'Výpočet VP 2019'!$F$343:GB$622,15,FALSE),0),0)</f>
        <v>60</v>
      </c>
      <c r="HS29" s="324">
        <f>IFERROR(ROUND(VLOOKUP(HS$1,'Výpočet VP 2019'!$F$343:IF$622,15,FALSE),0),0)</f>
        <v>10</v>
      </c>
      <c r="HT29" s="324">
        <f>IFERROR(ROUND(VLOOKUP(HT$1,'Výpočet VP 2019'!$F$343:HU$622,15,FALSE),0),0)</f>
        <v>33</v>
      </c>
      <c r="HU29" s="324">
        <f>IFERROR(ROUND(VLOOKUP(HU$1,'Výpočet VP 2019'!$F$343:HO$622,15,FALSE),0),0)</f>
        <v>50</v>
      </c>
      <c r="HV29" s="324">
        <f>IFERROR(ROUND(VLOOKUP(HV$1,'Výpočet VP 2019'!$F$343:HE$622,15,FALSE),0),0)</f>
        <v>44</v>
      </c>
      <c r="HW29" s="324">
        <f>IFERROR(ROUND(VLOOKUP(HW$1,'Výpočet VP 2019'!$F$343:GQ$622,15,FALSE),0),0)</f>
        <v>14</v>
      </c>
      <c r="HX29" s="324">
        <f>IFERROR(ROUND(VLOOKUP(HX$1,'Výpočet VP 2019'!$F$343:HR$622,15,FALSE),0),0)</f>
        <v>43</v>
      </c>
      <c r="HY29" s="324">
        <f>IFERROR(ROUND(VLOOKUP(HY$1,'Výpočet VP 2019'!$F$343:GX$622,15,FALSE),0),0)</f>
        <v>39</v>
      </c>
      <c r="HZ29" s="324">
        <f>IFERROR(ROUND(VLOOKUP(HZ$1,'Výpočet VP 2019'!$F$343:GZ$622,15,FALSE),0),0)</f>
        <v>21</v>
      </c>
      <c r="IA29" s="324">
        <f>IFERROR(ROUND(VLOOKUP(IA$1,'Výpočet VP 2019'!$F$343:GU$622,15,FALSE),0),0)</f>
        <v>23</v>
      </c>
      <c r="IB29" s="324">
        <f>IFERROR(ROUND(VLOOKUP(IB$1,'Výpočet VP 2019'!$F$343:GO$622,15,FALSE),0),0)</f>
        <v>19</v>
      </c>
      <c r="IC29" s="324">
        <f>IFERROR(ROUND(VLOOKUP(IC$1,'Výpočet VP 2019'!$F$343:HI$622,15,FALSE),0),0)</f>
        <v>36</v>
      </c>
      <c r="ID29" s="324">
        <f>IFERROR(ROUND(VLOOKUP(ID$1,'Výpočet VP 2019'!$F$343:HQ$622,15,FALSE),0),0)</f>
        <v>26</v>
      </c>
      <c r="IE29" s="324">
        <f>IFERROR(ROUND(VLOOKUP(IE$1,'Výpočet VP 2019'!$F$343:GP$622,15,FALSE),0),0)</f>
        <v>35</v>
      </c>
      <c r="IF29" s="324">
        <f>IFERROR(ROUND(VLOOKUP(IF$1,'Výpočet VP 2019'!$F$343:HM$622,15,FALSE),0),0)</f>
        <v>34</v>
      </c>
      <c r="IG29" s="324">
        <f>IFERROR(ROUND(VLOOKUP(IG$1,'Výpočet VP 2019'!$F$343:HW$622,15,FALSE),0),0)</f>
        <v>10</v>
      </c>
      <c r="IH29" s="324">
        <f>IFERROR(ROUND(VLOOKUP(IH$1,'Výpočet VP 2019'!$F$343:GG$622,15,FALSE),0),0)</f>
        <v>6</v>
      </c>
      <c r="II29" s="324">
        <f>IFERROR(ROUND(VLOOKUP(II$1,'Výpočet VP 2019'!$F$343:HS$622,15,FALSE),0),0)</f>
        <v>33</v>
      </c>
      <c r="IJ29" s="324">
        <f>IFERROR(ROUND(VLOOKUP(IJ$1,'Výpočet VP 2019'!$F$343:IB$622,15,FALSE),0),0)</f>
        <v>3</v>
      </c>
      <c r="IK29" s="324">
        <f>IFERROR(ROUND(VLOOKUP(IK$1,'Výpočet VP 2019'!$F$343:KY$622,15,FALSE),0),0)</f>
        <v>4</v>
      </c>
      <c r="IL29" s="324">
        <f>IFERROR(ROUND(VLOOKUP(IL$1,'Výpočet VP 2019'!$F$343:GM$622,15,FALSE),0),0)</f>
        <v>18</v>
      </c>
      <c r="IM29" s="324">
        <f>IFERROR(ROUND(VLOOKUP(IM$1,'Výpočet VP 2019'!$F$343:ES$622,15,FALSE),0),0)</f>
        <v>1</v>
      </c>
      <c r="IN29" s="324">
        <f>IFERROR(ROUND(VLOOKUP(IN$1,'Výpočet VP 2019'!$F$343:HD$622,15,FALSE),0),0)</f>
        <v>22</v>
      </c>
      <c r="IO29" s="324">
        <f>IFERROR(ROUND(VLOOKUP(IO$1,'Výpočet VP 2019'!$F$343:HY$622,15,FALSE),0),0)</f>
        <v>7</v>
      </c>
      <c r="IP29" s="324">
        <f>IFERROR(ROUND(VLOOKUP(IP$1,'Výpočet VP 2019'!$F$343:GI$622,15,FALSE),0),0)</f>
        <v>37</v>
      </c>
      <c r="IQ29" s="324">
        <f>IFERROR(ROUND(VLOOKUP(IQ$1,'Výpočet VP 2019'!$F$343:GC$622,15,FALSE),0),0)</f>
        <v>37</v>
      </c>
      <c r="IR29" s="324">
        <f>IFERROR(ROUND(VLOOKUP(IR$1,'Výpočet VP 2019'!$F$343:IA$622,15,FALSE),0),0)</f>
        <v>2</v>
      </c>
      <c r="IS29" s="324">
        <f>IFERROR(ROUND(VLOOKUP(IS$1,'Výpočet VP 2019'!$F$343:HF$622,15,FALSE),0),0)</f>
        <v>127</v>
      </c>
      <c r="IT29" s="324">
        <f>IFERROR(ROUND(VLOOKUP(IT$1,'Výpočet VP 2019'!$F$343:HV$622,15,FALSE),0),0)</f>
        <v>32</v>
      </c>
      <c r="IU29" s="324">
        <f>IFERROR(ROUND(VLOOKUP(IU$1,'Výpočet VP 2019'!$F$343:FA$622,15,FALSE),0),0)</f>
        <v>7</v>
      </c>
      <c r="IV29" s="324">
        <f>IFERROR(ROUND(VLOOKUP(IV$1,'Výpočet VP 2019'!$F$343:GS$622,15,FALSE),0),0)</f>
        <v>18</v>
      </c>
      <c r="IW29" s="324">
        <f>IFERROR(ROUND(VLOOKUP(IW$1,'Výpočet VP 2019'!$F$343:HT$622,15,FALSE),0),0)</f>
        <v>31</v>
      </c>
      <c r="IX29" s="324">
        <f>IFERROR(ROUND(VLOOKUP(IX$1,'Výpočet VP 2019'!$F$343:HZ$622,15,FALSE),0),0)</f>
        <v>3</v>
      </c>
      <c r="IY29" s="324">
        <f>IFERROR(ROUND(VLOOKUP(IY$1,'Výpočet VP 2019'!$F$343:GF$622,15,FALSE),0),0)</f>
        <v>23</v>
      </c>
      <c r="IZ29" s="324">
        <f>IFERROR(ROUND(VLOOKUP(IZ$1,'Výpočet VP 2019'!$F$343:HB$622,15,FALSE),0),0)</f>
        <v>43</v>
      </c>
      <c r="JA29" s="324">
        <f>IFERROR(ROUND(VLOOKUP(JA$1,'Výpočet VP 2019'!$F$343:BV$622,15,FALSE),0),0)</f>
        <v>4</v>
      </c>
      <c r="JB29" s="324">
        <f>IFERROR(ROUND(VLOOKUP(JB$1,'Výpočet VP 2019'!$F$343:IY$622,15,FALSE),0),0)</f>
        <v>3</v>
      </c>
      <c r="JC29" s="324">
        <f>IFERROR(ROUND(VLOOKUP(JC$1,'Výpočet VP 2019'!$F$343:JF$622,15,FALSE),0),0)</f>
        <v>3</v>
      </c>
      <c r="JD29" s="324">
        <f>IFERROR(ROUND(VLOOKUP(JD$1,'Výpočet VP 2019'!$F$343:LC$622,15,FALSE),0),0)</f>
        <v>9</v>
      </c>
      <c r="JE29" s="324">
        <f>IFERROR(ROUND(VLOOKUP(JE$1,'Výpočet VP 2019'!$F$343:EX$622,15,FALSE),0),0)</f>
        <v>8</v>
      </c>
      <c r="JF29" s="324">
        <f>IFERROR(ROUND(VLOOKUP(JF$1,'Výpočet VP 2019'!$F$343:FZ$622,15,FALSE),0),0)</f>
        <v>62</v>
      </c>
      <c r="JG29" s="324">
        <f>IFERROR(ROUND(VLOOKUP(JG$1,'Výpočet VP 2019'!$F$343:GA$622,15,FALSE),0),0)</f>
        <v>50</v>
      </c>
      <c r="JH29" s="324">
        <f>IFERROR(ROUND(VLOOKUP(JH$1,'Výpočet VP 2019'!$F$343:IP$622,15,FALSE),0),0)</f>
        <v>4</v>
      </c>
    </row>
    <row r="30" spans="1:276" x14ac:dyDescent="0.25">
      <c r="B30" s="313" t="s">
        <v>1818</v>
      </c>
      <c r="C30" s="324">
        <f>IFERROR(VLOOKUP(C$1,'Výpočet VP 2020'!$A$324:BK591,13,FALSE),0)</f>
        <v>20</v>
      </c>
      <c r="D30" s="324">
        <f>IFERROR(VLOOKUP(D$1,'Výpočet VP 2020'!$A$324:JL591,13,FALSE),0)</f>
        <v>18</v>
      </c>
      <c r="E30" s="324">
        <f>IFERROR(VLOOKUP(E$1,'Výpočet VP 2020'!$A$324:DI591,13,FALSE),0)</f>
        <v>21.25</v>
      </c>
      <c r="F30" s="324">
        <f>IFERROR(VLOOKUP(F$1,'Výpočet VP 2020'!$A$324:GK591,13,FALSE),0)</f>
        <v>8.9</v>
      </c>
      <c r="G30" s="324">
        <f>IFERROR(VLOOKUP(G$1,'Výpočet VP 2020'!$A$324:DT591,13,FALSE),0)</f>
        <v>17.25</v>
      </c>
      <c r="H30" s="324">
        <f>IFERROR(VLOOKUP(H$1,'Výpočet VP 2020'!$A$324:HV591,13,FALSE),0)</f>
        <v>1.8</v>
      </c>
      <c r="I30" s="324">
        <f>IFERROR(VLOOKUP(I$1,'Výpočet VP 2020'!$A$324:KM591,13,FALSE),0)</f>
        <v>4.7</v>
      </c>
      <c r="J30" s="324">
        <f>IFERROR(VLOOKUP(J$1,'Výpočet VP 2020'!$A$324:EZ591,13,FALSE),0)</f>
        <v>4</v>
      </c>
      <c r="K30" s="324">
        <f>IFERROR(VLOOKUP(K$1,'Výpočet VP 2020'!$A$324:BQ591,13,FALSE),0)</f>
        <v>9</v>
      </c>
      <c r="L30" s="324">
        <f>IFERROR(VLOOKUP(L$1,'Výpočet VP 2020'!$A$324:DK591,13,FALSE),0)</f>
        <v>4.5999999999999996</v>
      </c>
      <c r="M30" s="324">
        <f>IFERROR(VLOOKUP(M$1,'Výpočet VP 2020'!$A$324:CF591,13,FALSE),0)</f>
        <v>9</v>
      </c>
      <c r="N30" s="324">
        <f>IFERROR(VLOOKUP(N$1,'Výpočet VP 2020'!$A$324:FD591,13,FALSE),0)</f>
        <v>8.51</v>
      </c>
      <c r="O30" s="324">
        <f>IFERROR(VLOOKUP(O$1,'Výpočet VP 2020'!$A$324:GX591,13,FALSE),0)</f>
        <v>6.0700000000000012</v>
      </c>
      <c r="P30" s="324">
        <f>IFERROR(VLOOKUP(P$1,'Výpočet VP 2020'!$A$324:HD591,13,FALSE),0)</f>
        <v>4</v>
      </c>
      <c r="Q30" s="324">
        <f>IFERROR(VLOOKUP(Q$1,'Výpočet VP 2020'!$A$324:JC591,13,FALSE),0)</f>
        <v>2.7</v>
      </c>
      <c r="R30" s="324">
        <f>IFERROR(VLOOKUP(R$1,'Výpočet VP 2020'!$A$324:EF591,13,FALSE),0)</f>
        <v>3.3</v>
      </c>
      <c r="S30" s="324">
        <f>IFERROR(VLOOKUP(S$1,'Výpočet VP 2020'!$A$324:FX591,13,FALSE),0)</f>
        <v>2.2999999999999998</v>
      </c>
      <c r="T30" s="324">
        <f>IFERROR(VLOOKUP(T$1,'Výpočet VP 2020'!$A$324:GO591,13,FALSE),0)</f>
        <v>1</v>
      </c>
      <c r="U30" s="324">
        <f>IFERROR(VLOOKUP(U$1,'Výpočet VP 2020'!$A$324:KJ591,13,FALSE),0)</f>
        <v>1.5</v>
      </c>
      <c r="V30" s="324">
        <f>IFERROR(VLOOKUP(V$1,'Výpočet VP 2020'!$A$324:KL591,13,FALSE),0)</f>
        <v>31.15</v>
      </c>
      <c r="W30" s="324">
        <f>IFERROR(VLOOKUP(W$1,'Výpočet VP 2020'!$A$324:HU591,13,FALSE),0)</f>
        <v>5.75</v>
      </c>
      <c r="X30" s="324">
        <f>IFERROR(VLOOKUP(X$1,'Výpočet VP 2020'!$A$324:CM591,13,FALSE),0)</f>
        <v>3.01</v>
      </c>
      <c r="Y30" s="324">
        <f>IFERROR(VLOOKUP(Y$1,'Výpočet VP 2020'!$A$324:JT591,13,FALSE),0)</f>
        <v>4.05</v>
      </c>
      <c r="Z30" s="324">
        <f>IFERROR(VLOOKUP(Z$1,'Výpočet VP 2020'!$A$324:JU591,13,FALSE),0)</f>
        <v>13.95</v>
      </c>
      <c r="AA30" s="324">
        <f>IFERROR(VLOOKUP(AA$1,'Výpočet VP 2020'!$A$324:JJ591,13,FALSE),0)</f>
        <v>6</v>
      </c>
      <c r="AB30" s="324">
        <f>IFERROR(VLOOKUP(AB$1,'Výpočet VP 2020'!$A$324:BS591,13,FALSE),0)</f>
        <v>7.15</v>
      </c>
      <c r="AC30" s="861">
        <f>2.5/12*4</f>
        <v>0.83333333333333337</v>
      </c>
      <c r="AD30" s="324">
        <f>IFERROR(VLOOKUP(AD$1,'Výpočet VP 2020'!$A$324:GT591,13,FALSE),0)</f>
        <v>2.85</v>
      </c>
      <c r="AE30" s="324">
        <f>IFERROR(VLOOKUP(AE$1,'Výpočet VP 2020'!$A$324:GQ591,13,FALSE),0)</f>
        <v>1.7</v>
      </c>
      <c r="AF30" s="324">
        <f>IFERROR(VLOOKUP(AF$1,'Výpočet VP 2020'!$A$324:IH591,13,FALSE),0)</f>
        <v>4.74</v>
      </c>
      <c r="AG30" s="324">
        <f>IFERROR(VLOOKUP(AG$1,'Výpočet VP 2020'!$A$324:AP591,13,FALSE),0)</f>
        <v>7</v>
      </c>
      <c r="AH30" s="324">
        <f>IFERROR(VLOOKUP(AH$1,'Výpočet VP 2020'!$A$324:BF591,13,FALSE),0)</f>
        <v>1.7</v>
      </c>
      <c r="AI30" s="324">
        <f>IFERROR(VLOOKUP(AI$1,'Výpočet VP 2020'!$A$324:IL591,13,FALSE),0)</f>
        <v>10.775</v>
      </c>
      <c r="AJ30" s="324">
        <f>IFERROR(VLOOKUP(AJ$1,'Výpočet VP 2020'!$A$324:JI591,13,FALSE),0)</f>
        <v>7.2</v>
      </c>
      <c r="AK30" s="324">
        <f>IFERROR(VLOOKUP(AK$1,'Výpočet VP 2020'!$A$324:FS591,13,FALSE),0)</f>
        <v>2.1</v>
      </c>
      <c r="AL30" s="324">
        <f>IFERROR(VLOOKUP(AL$1,'Výpočet VP 2020'!$A$324:IW591,13,FALSE),0)</f>
        <v>3</v>
      </c>
      <c r="AM30" s="324">
        <f>IFERROR(VLOOKUP(AM$1,'Výpočet VP 2020'!$A$324:CU591,13,FALSE),0)</f>
        <v>2.1</v>
      </c>
      <c r="AN30" s="324">
        <f>IFERROR(VLOOKUP(AN$1,'Výpočet VP 2020'!$A$324:BA591,13,FALSE),0)</f>
        <v>1.34</v>
      </c>
      <c r="AO30" s="324">
        <f>IFERROR(VLOOKUP(AO$1,'Výpočet VP 2020'!$A$324:BY591,13,FALSE),0)</f>
        <v>12.14</v>
      </c>
      <c r="AP30" s="324">
        <f>IFERROR(VLOOKUP(AP$1,'Výpočet VP 2020'!$A$324:JH591,13,FALSE),0)</f>
        <v>5.3</v>
      </c>
      <c r="AQ30" s="324">
        <f>IFERROR(VLOOKUP(AQ$1,'Výpočet VP 2020'!$A$324:IC591,13,FALSE),0)</f>
        <v>0.4</v>
      </c>
      <c r="AR30" s="324">
        <f>IFERROR(VLOOKUP(AR$1,'Výpočet VP 2020'!$A$324:IQ591,13,FALSE),0)</f>
        <v>2.25</v>
      </c>
      <c r="AS30" s="324">
        <f>IFERROR(VLOOKUP(AS$1,'Výpočet VP 2020'!$A$324:KB591,13,FALSE),0)</f>
        <v>0.6</v>
      </c>
      <c r="AT30" s="324">
        <f>IFERROR(VLOOKUP(AT$1,'Výpočet VP 2020'!$A$324:CO591,13,FALSE),0)</f>
        <v>4.7</v>
      </c>
      <c r="AU30" s="324">
        <f>IFERROR(VLOOKUP(AU$1,'Výpočet VP 2020'!$A$324:IO591,13,FALSE),0)</f>
        <v>1.6</v>
      </c>
      <c r="AV30" s="324">
        <f>IFERROR(VLOOKUP(AV$1,'Výpočet VP 2020'!$A$324:EO591,13,FALSE),0)</f>
        <v>2.95</v>
      </c>
      <c r="AW30" s="324">
        <f>IFERROR(VLOOKUP(AW$1,'Výpočet VP 2020'!$A$324:ID591,13,FALSE),0)</f>
        <v>5</v>
      </c>
      <c r="AX30" s="324">
        <f>IFERROR(VLOOKUP(AX$1,'Výpočet VP 2020'!$A$324:AY591,13,FALSE),0)</f>
        <v>5.35</v>
      </c>
      <c r="AY30" s="324">
        <f>IFERROR(VLOOKUP(AY$1,'Výpočet VP 2020'!$A$324:CA591,13,FALSE),0)</f>
        <v>4.1899999999999995</v>
      </c>
      <c r="AZ30" s="324">
        <f>IFERROR(VLOOKUP(AZ$1,'Výpočet VP 2020'!$A$324:CQ591,13,FALSE),0)</f>
        <v>4.55</v>
      </c>
      <c r="BA30" s="324">
        <f>IFERROR(VLOOKUP(BA$1,'Výpočet VP 2020'!$A$324:IA591,13,FALSE),0)</f>
        <v>25.8</v>
      </c>
      <c r="BB30" s="324">
        <f>IFERROR(VLOOKUP(BB$1,'Výpočet VP 2020'!$A$324:KG591,13,FALSE),0)</f>
        <v>1.9</v>
      </c>
      <c r="BC30" s="324">
        <f>IFERROR(VLOOKUP(BC$1,'Výpočet VP 2020'!$A$324:IV591,13,FALSE),0)</f>
        <v>1.9</v>
      </c>
      <c r="BD30" s="324">
        <f>IFERROR(VLOOKUP(BD$1,'Výpočet VP 2020'!$A$324:IR591,13,FALSE),0)</f>
        <v>2.72</v>
      </c>
      <c r="BE30" s="324">
        <f>IFERROR(VLOOKUP(BE$1,'Výpočet VP 2020'!$A$324:GF591,13,FALSE),0)</f>
        <v>1.75</v>
      </c>
      <c r="BF30" s="324">
        <f>IFERROR(VLOOKUP(BF$1,'Výpočet VP 2020'!$A$324:AS591,13,FALSE),0)</f>
        <v>4.0999999999999996</v>
      </c>
      <c r="BG30" s="324">
        <f>IFERROR(VLOOKUP(BG$1,'Výpočet VP 2020'!$A$324:FZ591,13,FALSE),0)</f>
        <v>4</v>
      </c>
      <c r="BH30" s="324">
        <f>IFERROR(VLOOKUP(BH$1,'Výpočet VP 2020'!$A$324:BC591,13,FALSE),0)</f>
        <v>5.75</v>
      </c>
      <c r="BI30" s="324">
        <f>IFERROR(VLOOKUP(BI$1,'Výpočet VP 2020'!$A$324:JW591,13,FALSE),0)</f>
        <v>6.78</v>
      </c>
      <c r="BJ30" s="324">
        <f>IFERROR(VLOOKUP(BJ$1,'Výpočet VP 2020'!$A$324:CT591,13,FALSE),0)</f>
        <v>5.6</v>
      </c>
      <c r="BK30" s="324">
        <f>IFERROR(VLOOKUP(BK$1,'Výpočet VP 2020'!$A$324:CN591,13,FALSE),0)</f>
        <v>1.75</v>
      </c>
      <c r="BL30" s="324">
        <f>IFERROR(VLOOKUP(BL$1,'Výpočet VP 2020'!$A$324:EG591,13,FALSE),0)</f>
        <v>1.1000000000000001</v>
      </c>
      <c r="BM30" s="324">
        <f>IFERROR(VLOOKUP(BM$1,'Výpočet VP 2020'!$A$324:DF591,13,FALSE),0)</f>
        <v>3.2</v>
      </c>
      <c r="BN30" s="324">
        <f>IFERROR(VLOOKUP(BN$1,'Výpočet VP 2020'!$A$324:FF591,13,FALSE),0)</f>
        <v>2.62</v>
      </c>
      <c r="BO30" s="324">
        <f>IFERROR(VLOOKUP(BO$1,'Výpočet VP 2020'!$A$324:CW591,13,FALSE),0)</f>
        <v>1.35</v>
      </c>
      <c r="BP30" s="324">
        <f>IFERROR(VLOOKUP(BP$1,'Výpočet VP 2020'!$A$324:HE591,13,FALSE),0)</f>
        <v>7.85</v>
      </c>
      <c r="BQ30" s="324">
        <f>IFERROR(VLOOKUP(BQ$1,'Výpočet VP 2020'!$A$324:HW591,13,FALSE),0)</f>
        <v>1.1499999999999999</v>
      </c>
      <c r="BR30" s="324">
        <f>IFERROR(VLOOKUP(BR$1,'Výpočet VP 2020'!$A$324:DE591,13,FALSE),0)</f>
        <v>1.35</v>
      </c>
      <c r="BS30" s="324">
        <f>IFERROR(VLOOKUP(BS$1,'Výpočet VP 2020'!$A$324:JE591,13,FALSE),0)</f>
        <v>1.8</v>
      </c>
      <c r="BT30" s="324">
        <f>IFERROR(VLOOKUP(BT$1,'Výpočet VP 2020'!$A$324:JM591,13,FALSE),0)</f>
        <v>1.5</v>
      </c>
      <c r="BU30" s="324">
        <f>IFERROR(VLOOKUP(BU$1,'Výpočet VP 2020'!$A$324:JO591,13,FALSE),0)</f>
        <v>8.9</v>
      </c>
      <c r="BV30" s="324">
        <f>IFERROR(VLOOKUP(BV$1,'Výpočet VP 2020'!$A$324:CK591,13,FALSE),0)</f>
        <v>2.4</v>
      </c>
      <c r="BW30" s="324">
        <f>IFERROR(VLOOKUP(BW$1,'Výpočet VP 2020'!$A$324:GU591,13,FALSE),0)</f>
        <v>0.4</v>
      </c>
      <c r="BX30" s="324">
        <f>IFERROR(VLOOKUP(BX$1,'Výpočet VP 2020'!$A$324:CE591,13,FALSE),0)</f>
        <v>10.25</v>
      </c>
      <c r="BY30" s="324">
        <f>IFERROR(VLOOKUP(BY$1,'Výpočet VP 2020'!$A$324:IG591,13,FALSE),0)</f>
        <v>4</v>
      </c>
      <c r="BZ30" s="324">
        <f>IFERROR(VLOOKUP(BZ$1,'Výpočet VP 2020'!$A$324:GH591,13,FALSE),0)</f>
        <v>0.38</v>
      </c>
      <c r="CA30" s="324">
        <f>IFERROR(VLOOKUP(CA$1,'Výpočet VP 2020'!$A$324:KT591,13,FALSE),0)</f>
        <v>0</v>
      </c>
      <c r="CB30" s="324">
        <f>IFERROR(VLOOKUP(CB$1,'Výpočet VP 2020'!$A$324:HC591,13,FALSE),0)</f>
        <v>0.3</v>
      </c>
      <c r="CC30" s="324">
        <f>IFERROR(VLOOKUP(CC$1,'Výpočet VP 2020'!$A$324:DC591,13,FALSE),0)</f>
        <v>3.25</v>
      </c>
      <c r="CD30" s="324">
        <f>IFERROR(VLOOKUP(CD$1,'Výpočet VP 2020'!$A$324:GD591,13,FALSE),0)</f>
        <v>1</v>
      </c>
      <c r="CE30" s="324">
        <f>IFERROR(VLOOKUP(CE$1,'Výpočet VP 2020'!$A$324:FO591,13,FALSE),0)</f>
        <v>28.4</v>
      </c>
      <c r="CF30" s="324">
        <f>IFERROR(VLOOKUP(CF$1,'Výpočet VP 2020'!$A$324:BV591,13,FALSE),0)</f>
        <v>5.5</v>
      </c>
      <c r="CG30" s="324">
        <f>IFERROR(VLOOKUP(CG$1,'Výpočet VP 2020'!$A$324:AU591,13,FALSE),0)</f>
        <v>15.96</v>
      </c>
      <c r="CH30" s="324">
        <f>IFERROR(VLOOKUP(CH$1,'Výpočet VP 2020'!$A$324:ET591,13,FALSE),0)</f>
        <v>6.8</v>
      </c>
      <c r="CI30" s="324">
        <f>IFERROR(VLOOKUP(CI$1,'Výpočet VP 2020'!$A$324:HA591,13,FALSE),0)</f>
        <v>4</v>
      </c>
      <c r="CJ30" s="324">
        <f>IFERROR(VLOOKUP(CJ$1,'Výpočet VP 2020'!$A$324:IJ591,13,FALSE),0)</f>
        <v>6.89</v>
      </c>
      <c r="CK30" s="324">
        <f>IFERROR(VLOOKUP(CK$1,'Výpočet VP 2020'!$A$324:CB591,13,FALSE),0)</f>
        <v>6.11</v>
      </c>
      <c r="CL30" s="312">
        <f>IFERROR(VLOOKUP(CL$1,'Výpočet VP 2020'!$A$324:CZ591,13,FALSE),0)</f>
        <v>4.2</v>
      </c>
      <c r="CM30" s="324">
        <f>IFERROR(VLOOKUP(CM$1,'Výpočet VP 2020'!$A$324:KC591,13,FALSE),0)</f>
        <v>14</v>
      </c>
      <c r="CN30" s="324">
        <f>IFERROR(VLOOKUP(CN$1,'Výpočet VP 2020'!$A$324:BP591,13,FALSE),0)</f>
        <v>2</v>
      </c>
      <c r="CO30" s="324">
        <f>IFERROR(VLOOKUP(CO$1,'Výpočet VP 2020'!$A$324:CL591,13,FALSE),0)</f>
        <v>2</v>
      </c>
      <c r="CP30" s="324">
        <f>IFERROR(VLOOKUP(CP$1,'Výpočet VP 2020'!$A$324:HB591,13,FALSE),0)</f>
        <v>2</v>
      </c>
      <c r="CQ30" s="324">
        <f>IFERROR(VLOOKUP(CQ$1,'Výpočet VP 2020'!$A$324:BZ591,13,FALSE),0)</f>
        <v>8.6999999999999993</v>
      </c>
      <c r="CR30" s="324">
        <f>IFERROR(VLOOKUP(CR$1,'Výpočet VP 2020'!$A$324:GL591,13,FALSE),0)</f>
        <v>5</v>
      </c>
      <c r="CS30" s="324">
        <f>IFERROR(VLOOKUP(CS$1,'Výpočet VP 2020'!$A$324:JG591,13,FALSE),0)</f>
        <v>6.5</v>
      </c>
      <c r="CT30" s="324">
        <f>IFERROR(VLOOKUP(CT$1,'Výpočet VP 2020'!$A$324:JN591,13,FALSE),0)</f>
        <v>7</v>
      </c>
      <c r="CU30" s="324">
        <f>IFERROR(VLOOKUP(CU$1,'Výpočet VP 2020'!$A$324:AW591,13,FALSE),0)</f>
        <v>4</v>
      </c>
      <c r="CV30" s="324">
        <f>IFERROR(VLOOKUP(CV$1,'Výpočet VP 2020'!$A$324:GC591,13,FALSE),0)</f>
        <v>11</v>
      </c>
      <c r="CW30" s="324">
        <f>IFERROR(VLOOKUP(CW$1,'Výpočet VP 2020'!$A$324:HR591,13,FALSE),0)</f>
        <v>0.6</v>
      </c>
      <c r="CX30" s="324">
        <f>IFERROR(VLOOKUP(CX$1,'Výpočet VP 2020'!$A$324:HZ591,13,FALSE),0)</f>
        <v>11.25</v>
      </c>
      <c r="CY30" s="324">
        <f>IFERROR(VLOOKUP(CY$1,'Výpočet VP 2020'!$A$324:DH591,13,FALSE),0)</f>
        <v>6.5000000000000009</v>
      </c>
      <c r="CZ30" s="324">
        <f>IFERROR(VLOOKUP(CZ$1,'Výpočet VP 2020'!$A$324:CX591,13,FALSE),0)</f>
        <v>2.25</v>
      </c>
      <c r="DA30" s="324">
        <f>IFERROR(VLOOKUP(DA$1,'Výpočet VP 2020'!$A$324:JP591,13,FALSE),0)</f>
        <v>21</v>
      </c>
      <c r="DB30" s="324">
        <f>IFERROR(VLOOKUP(DB$1,'Výpočet VP 2020'!$A$324:HG591,13,FALSE),0)</f>
        <v>1.1499999999999999</v>
      </c>
      <c r="DC30" s="324">
        <f>IFERROR(VLOOKUP(DC$1,'Výpočet VP 2020'!$A$324:IU591,13,FALSE),0)</f>
        <v>3</v>
      </c>
      <c r="DD30" s="324">
        <f>IFERROR(VLOOKUP(DD$1,'Výpočet VP 2020'!$A$324:DW591,13,FALSE),0)</f>
        <v>7.5</v>
      </c>
      <c r="DE30" s="324">
        <f>IFERROR(VLOOKUP(DE$1,'Výpočet VP 2020'!$A$324:HL591,13,FALSE),0)</f>
        <v>10.5</v>
      </c>
      <c r="DF30" s="324">
        <f>IFERROR(VLOOKUP(DF$1,'Výpočet VP 2020'!$A$324:IP591,13,FALSE),0)</f>
        <v>10.5</v>
      </c>
      <c r="DG30" s="324">
        <f>IFERROR(VLOOKUP(DG$1,'Výpočet VP 2020'!$A$324:KN591,13,FALSE),0)</f>
        <v>1.1499999999999999</v>
      </c>
      <c r="DH30" s="324">
        <f>IFERROR(VLOOKUP(DH$1,'Výpočet VP 2020'!$A$324:AX591,13,FALSE),0)</f>
        <v>4.25</v>
      </c>
      <c r="DI30" s="324">
        <f>IFERROR(VLOOKUP(DI$1,'Výpočet VP 2020'!$A$324:BE591,13,FALSE),0)</f>
        <v>1.62</v>
      </c>
      <c r="DJ30" s="324">
        <f>IFERROR(VLOOKUP(DJ$1,'Výpočet VP 2020'!$A$324:GV591,13,FALSE),0)</f>
        <v>3</v>
      </c>
      <c r="DK30" s="324">
        <f>IFERROR(VLOOKUP(DK$1,'Výpočet VP 2020'!$A$324:II591,13,FALSE),0)</f>
        <v>3.5</v>
      </c>
      <c r="DL30" s="324">
        <f>IFERROR(VLOOKUP(DL$1,'Výpočet VP 2020'!$A$324:BU591,13,FALSE),0)</f>
        <v>9</v>
      </c>
      <c r="DM30" s="324">
        <f>IFERROR(VLOOKUP(DM$1,'Výpočet VP 2020'!$A$324:GI591,13,FALSE),0)</f>
        <v>5.5</v>
      </c>
      <c r="DN30" s="324">
        <f>IFERROR(VLOOKUP(DN$1,'Výpočet VP 2020'!$A$324:CJ591,13,FALSE),0)</f>
        <v>6</v>
      </c>
      <c r="DO30" s="324">
        <f>IFERROR(VLOOKUP(DO$1,'Výpočet VP 2020'!$A$324:ES591,13,FALSE),0)</f>
        <v>2</v>
      </c>
      <c r="DP30" s="324">
        <f>IFERROR(VLOOKUP(DP$1,'Výpočet VP 2020'!$A$324:IX591,13,FALSE),0)</f>
        <v>6.5</v>
      </c>
      <c r="DQ30" s="324">
        <f>IFERROR(VLOOKUP(DQ$1,'Výpočet VP 2020'!$A$324:EQ591,13,FALSE),0)</f>
        <v>6.55</v>
      </c>
      <c r="DR30" s="324">
        <f>IFERROR(VLOOKUP(DR$1,'Výpočet VP 2020'!$A$324:KH591,13,FALSE),0)</f>
        <v>7.5</v>
      </c>
      <c r="DS30" s="324">
        <f>IFERROR(VLOOKUP(DS$1,'Výpočet VP 2020'!$A$324:GJ591,13,FALSE),0)</f>
        <v>2.5</v>
      </c>
      <c r="DT30" s="324">
        <f>IFERROR(VLOOKUP(DT$1,'Výpočet VP 2020'!$A$324:IN591,13,FALSE),0)</f>
        <v>6.85</v>
      </c>
      <c r="DU30" s="324">
        <f>IFERROR(VLOOKUP(DU$1,'Výpočet VP 2020'!$A$324:IK591,13,FALSE),0)</f>
        <v>4</v>
      </c>
      <c r="DV30" s="324">
        <f>IFERROR(VLOOKUP(DV$1,'Výpočet VP 2020'!$A$324:GB591,13,FALSE),0)</f>
        <v>12.1</v>
      </c>
      <c r="DW30" s="324">
        <f>IFERROR(VLOOKUP(DW$1,'Výpočet VP 2020'!$A$324:HT591,13,FALSE),0)</f>
        <v>2</v>
      </c>
      <c r="DX30" s="324">
        <f>IFERROR(VLOOKUP(DX$1,'Výpočet VP 2020'!$A$324:DP591,13,FALSE),0)</f>
        <v>6</v>
      </c>
      <c r="DY30" s="324">
        <f>IFERROR(VLOOKUP(DY$1,'Výpočet VP 2020'!$A$324:BO591,13,FALSE),0)</f>
        <v>10.8</v>
      </c>
      <c r="DZ30" s="324">
        <f>IFERROR(VLOOKUP(DZ$1,'Výpočet VP 2020'!$A$324:DZ591,13,FALSE),0)</f>
        <v>1.57</v>
      </c>
      <c r="EA30" s="324">
        <f>IFERROR(VLOOKUP(EA$1,'Výpočet VP 2020'!$A$324:DJ591,13,FALSE),0)</f>
        <v>8</v>
      </c>
      <c r="EB30" s="324">
        <f>IFERROR(VLOOKUP(EB$1,'Výpočet VP 2020'!$A$324:EE591,13,FALSE),0)</f>
        <v>13.5</v>
      </c>
      <c r="EC30" s="324">
        <f>IFERROR(VLOOKUP(EC$1,'Výpočet VP 2020'!$A$324:BH591,13,FALSE),0)</f>
        <v>6.75</v>
      </c>
      <c r="ED30" s="324">
        <f>IFERROR(VLOOKUP(ED$1,'Výpočet VP 2020'!$A$324:JK591,13,FALSE),0)</f>
        <v>5.5</v>
      </c>
      <c r="EE30" s="324">
        <f>IFERROR(VLOOKUP(EE$1,'Výpočet VP 2020'!$A$324:CH591,13,FALSE),0)</f>
        <v>1.1499999999999999</v>
      </c>
      <c r="EF30" s="324">
        <f>IFERROR(VLOOKUP(EF$1,'Výpočet VP 2020'!$A$324:FU591,13,FALSE),0)</f>
        <v>1.25</v>
      </c>
      <c r="EG30" s="324">
        <f>IFERROR(VLOOKUP(EG$1,'Výpočet VP 2020'!$A$324:HI591,13,FALSE),0)</f>
        <v>0.6</v>
      </c>
      <c r="EH30" s="324">
        <f>IFERROR(VLOOKUP(EH$1,'Výpočet VP 2020'!$A$324:DV591,13,FALSE),0)</f>
        <v>1.25</v>
      </c>
      <c r="EI30" s="324">
        <f>IFERROR(VLOOKUP(EI$1,'Výpočet VP 2020'!$A$324:BR591,13,FALSE),0)</f>
        <v>1.75</v>
      </c>
      <c r="EJ30" s="324">
        <f>IFERROR(VLOOKUP(EJ$1,'Výpočet VP 2020'!$A$324:EH591,13,FALSE),0)</f>
        <v>1.6</v>
      </c>
      <c r="EK30" s="324">
        <f>IFERROR(VLOOKUP(EK$1,'Výpočet VP 2020'!$A$324:CP591,13,FALSE),0)</f>
        <v>8.59</v>
      </c>
      <c r="EL30" s="324">
        <f>IFERROR(VLOOKUP(EL$1,'Výpočet VP 2020'!$A$324:JV591,13,FALSE),0)</f>
        <v>17.399999999999999</v>
      </c>
      <c r="EM30" s="324">
        <f>IFERROR(VLOOKUP(EM$1,'Výpočet VP 2020'!$A$324:EN591,13,FALSE),0)</f>
        <v>5.5</v>
      </c>
      <c r="EN30" s="324">
        <f>IFERROR(VLOOKUP(EN$1,'Výpočet VP 2020'!$A$324:FN591,13,FALSE),0)</f>
        <v>3.5</v>
      </c>
      <c r="EO30" s="324">
        <f>IFERROR(VLOOKUP(EO$1,'Výpočet VP 2020'!$A$324:JS591,13,FALSE),0)</f>
        <v>0.4</v>
      </c>
      <c r="EP30" s="324">
        <f>IFERROR(VLOOKUP(EP$1,'Výpočet VP 2020'!$A$324:FP591,13,FALSE),0)</f>
        <v>4.2</v>
      </c>
      <c r="EQ30" s="324">
        <f>IFERROR(VLOOKUP(EQ$1,'Výpočet VP 2020'!$A$324:HQ591,13,FALSE),0)</f>
        <v>2.5</v>
      </c>
      <c r="ER30" s="324">
        <f>IFERROR(VLOOKUP(ER$1,'Výpočet VP 2020'!$A$324:BM591,13,FALSE),0)</f>
        <v>26</v>
      </c>
      <c r="ES30" s="324">
        <f>IFERROR(VLOOKUP(ES$1,'Výpočet VP 2020'!$A$324:KD591,13,FALSE),0)</f>
        <v>6.7700000000000005</v>
      </c>
      <c r="ET30" s="324">
        <f>IFERROR(VLOOKUP(ET$1,'Výpočet VP 2020'!$A$324:HJ591,13,FALSE),0)</f>
        <v>2.1</v>
      </c>
      <c r="EU30" s="324">
        <f>IFERROR(VLOOKUP(EU$1,'Výpočet VP 2020'!$A$324:FL591,13,FALSE),0)</f>
        <v>2.9</v>
      </c>
      <c r="EV30" s="324">
        <f>IFERROR(VLOOKUP(EV$1,'Výpočet VP 2020'!$A$324:EJ591,13,FALSE),0)</f>
        <v>1</v>
      </c>
      <c r="EW30" s="324">
        <f>IFERROR(VLOOKUP(EW$1,'Výpočet VP 2020'!$A$324:DQ591,13,FALSE),0)</f>
        <v>9</v>
      </c>
      <c r="EX30" s="324">
        <f>IFERROR(VLOOKUP(EX$1,'Výpočet VP 2020'!$A$324:IM591,13,FALSE),0)</f>
        <v>23</v>
      </c>
      <c r="EY30" s="324">
        <f>IFERROR(VLOOKUP(EY$1,'Výpočet VP 2020'!$A$324:FB591,13,FALSE),0)</f>
        <v>4.5</v>
      </c>
      <c r="EZ30" s="324">
        <f>IFERROR(VLOOKUP(EZ$1,'Výpočet VP 2020'!$A$324:GN591,13,FALSE),0)</f>
        <v>2.35</v>
      </c>
      <c r="FA30" s="324">
        <f>IFERROR(VLOOKUP(FA$1,'Výpočet VP 2020'!$A$324:BJ591,13,FALSE),0)</f>
        <v>5.2</v>
      </c>
      <c r="FB30" s="324">
        <f>IFERROR(VLOOKUP(FB$1,'Výpočet VP 2020'!$A$324:KA591,13,FALSE),0)</f>
        <v>0.54</v>
      </c>
      <c r="FC30" s="324">
        <f>IFERROR(VLOOKUP(FC$1,'Výpočet VP 2020'!$A$324:KQ591,13,FALSE),0)</f>
        <v>16.38</v>
      </c>
      <c r="FD30" s="324">
        <f>IFERROR(VLOOKUP(FD$1,'Výpočet VP 2020'!$A$324:CS591,13,FALSE),0)</f>
        <v>2.5</v>
      </c>
      <c r="FE30" s="324">
        <f>IFERROR(VLOOKUP(FE$1,'Výpočet VP 2020'!$A$324:BN591,13,FALSE),0)</f>
        <v>1</v>
      </c>
      <c r="FF30" s="324">
        <f>IFERROR(VLOOKUP(FF$1,'Výpočet VP 2020'!$A$324:EY591,13,FALSE),0)</f>
        <v>6.5</v>
      </c>
      <c r="FG30" s="324">
        <f>IFERROR(VLOOKUP(FG$1,'Výpočet VP 2020'!$A$324:FM591,13,FALSE),0)</f>
        <v>22.7</v>
      </c>
      <c r="FH30" s="324">
        <f>IFERROR(VLOOKUP(FH$1,'Výpočet VP 2020'!$A$324:BI591,13,FALSE),0)</f>
        <v>24.5</v>
      </c>
      <c r="FI30" s="324">
        <f>IFERROR(VLOOKUP(FI$1,'Výpočet VP 2020'!$A$324:JD591,13,FALSE),0)</f>
        <v>25.6</v>
      </c>
      <c r="FJ30" s="324">
        <f>IFERROR(VLOOKUP(FJ$1,'Výpočet VP 2020'!$A$324:GP591,13,FALSE),0)</f>
        <v>8</v>
      </c>
      <c r="FK30" s="324">
        <f>IFERROR(VLOOKUP(FK$1,'Výpočet VP 2020'!$A$324:FI591,13,FALSE),0)</f>
        <v>2</v>
      </c>
      <c r="FL30" s="324">
        <f>IFERROR(VLOOKUP(FL$1,'Výpočet VP 2020'!$A$324:CD591,13,FALSE),0)</f>
        <v>2</v>
      </c>
      <c r="FM30" s="324">
        <f>IFERROR(VLOOKUP(FM$1,'Výpočet VP 2020'!$A$324:GS591,13,FALSE),0)</f>
        <v>11.5</v>
      </c>
      <c r="FN30" s="324">
        <f>IFERROR(VLOOKUP(FN$1,'Výpočet VP 2020'!$A$324:AT591,13,FALSE),0)</f>
        <v>16.34</v>
      </c>
      <c r="FO30" s="324">
        <f>IFERROR(VLOOKUP(FO$1,'Výpočet VP 2020'!$A$324:JZ591,13,FALSE),0)</f>
        <v>4.22</v>
      </c>
      <c r="FP30" s="324">
        <f>IFERROR(VLOOKUP(FP$1,'Výpočet VP 2020'!$A$324:EI591,13,FALSE),0)</f>
        <v>35</v>
      </c>
      <c r="FQ30" s="324">
        <f>IFERROR(VLOOKUP(FQ$1,'Výpočet VP 2020'!$A$324:FV591,13,FALSE),0)</f>
        <v>3.82</v>
      </c>
      <c r="FR30" s="324">
        <f>IFERROR(VLOOKUP(FR$1,'Výpočet VP 2020'!$A$324:HO591,13,FALSE),0)</f>
        <v>5.85</v>
      </c>
      <c r="FS30" s="324">
        <f>IFERROR(VLOOKUP(FS$1,'Výpočet VP 2020'!$A$324:EU591,13,FALSE),0)</f>
        <v>1.25</v>
      </c>
      <c r="FT30" s="324">
        <f>IFERROR(VLOOKUP(FT$1,'Výpočet VP 2020'!$A$324:AR591,13,FALSE),0)</f>
        <v>11.7</v>
      </c>
      <c r="FU30" s="324">
        <f>IFERROR(VLOOKUP(FU$1,'Výpočet VP 2020'!$A$324:EP591,13,FALSE),0)</f>
        <v>1.3</v>
      </c>
      <c r="FV30" s="324">
        <f>IFERROR(VLOOKUP(FV$1,'Výpočet VP 2020'!$A$324:JQ591,13,FALSE),0)</f>
        <v>3.8439999999999999</v>
      </c>
      <c r="FW30" s="324">
        <f>IFERROR(VLOOKUP(FW$1,'Výpočet VP 2020'!$A$324:IF591,13,FALSE),0)</f>
        <v>4.9000000000000004</v>
      </c>
      <c r="FX30" s="324">
        <f>IFERROR(VLOOKUP(FX$1,'Výpočet VP 2020'!$A$324:BL591,13,FALSE),0)</f>
        <v>2.1</v>
      </c>
      <c r="FY30" s="324">
        <f>IFERROR(VLOOKUP(FY$1,'Výpočet VP 2020'!$A$324:FG591,13,FALSE),0)</f>
        <v>1.2</v>
      </c>
      <c r="FZ30" s="324">
        <f>IFERROR(VLOOKUP(FZ$1,'Výpočet VP 2020'!$A$324:HS591,13,FALSE),0)</f>
        <v>16</v>
      </c>
      <c r="GA30" s="324">
        <f>IFERROR(VLOOKUP(GA$1,'Výpočet VP 2020'!$A$324:DL591,13,FALSE),0)</f>
        <v>1.9</v>
      </c>
      <c r="GB30" s="324">
        <f>IFERROR(VLOOKUP(GB$1,'Výpočet VP 2020'!$A$324:BT591,13,FALSE),0)</f>
        <v>17.100000000000001</v>
      </c>
      <c r="GC30" s="324">
        <f>IFERROR(VLOOKUP(GC$1,'Výpočet VP 2020'!$A$324:DG591,13,FALSE),0)</f>
        <v>8</v>
      </c>
      <c r="GD30" s="324">
        <f>IFERROR(VLOOKUP(GD$1,'Výpočet VP 2020'!$A$324:AQ591,13,FALSE),0)</f>
        <v>29</v>
      </c>
      <c r="GE30" s="324">
        <f>IFERROR(VLOOKUP(GE$1,'Výpočet VP 2020'!$A$324:EB591,13,FALSE),0)</f>
        <v>3.2</v>
      </c>
      <c r="GF30" s="324">
        <f>IFERROR(VLOOKUP(GF$1,'Výpočet VP 2020'!$A$324:KR591,13,FALSE),0)</f>
        <v>10.65</v>
      </c>
      <c r="GG30" s="324">
        <f>IFERROR(VLOOKUP(GG$1,'Výpočet VP 2020'!$A$324:ED591,13,FALSE),0)</f>
        <v>3.2</v>
      </c>
      <c r="GH30" s="324">
        <f>IFERROR(VLOOKUP(GH$1,'Výpočet VP 2020'!$A$324:CR591,13,FALSE),0)</f>
        <v>2.41</v>
      </c>
      <c r="GI30" s="324">
        <f>IFERROR(VLOOKUP(GI$1,'Výpočet VP 2020'!$A$324:EX591,13,FALSE),0)</f>
        <v>26.74</v>
      </c>
      <c r="GJ30" s="324">
        <f>IFERROR(VLOOKUP(GJ$1,'Výpočet VP 2020'!$A$324:JR591,13,FALSE),0)</f>
        <v>7.48</v>
      </c>
      <c r="GK30" s="324">
        <f>IFERROR(VLOOKUP(GK$1,'Výpočet VP 2020'!$A$324:HH591,13,FALSE),0)</f>
        <v>6.5750000000000002</v>
      </c>
      <c r="GL30" s="324">
        <f>IFERROR(VLOOKUP(GL$1,'Výpočet VP 2020'!$A$324:ER591,13,FALSE),0)</f>
        <v>2.0499999999999998</v>
      </c>
      <c r="GM30" s="324">
        <f>IFERROR(VLOOKUP(GM$1,'Výpočet VP 2020'!$A$324:HM591,13,FALSE),0)</f>
        <v>2.35</v>
      </c>
      <c r="GN30" s="324">
        <f>IFERROR(VLOOKUP(GN$1,'Výpočet VP 2020'!$A$324:AV591,13,FALSE),0)</f>
        <v>2</v>
      </c>
      <c r="GO30" s="324">
        <f>IFERROR(VLOOKUP(GO$1,'Výpočet VP 2020'!$A$324:DR591,13,FALSE),0)</f>
        <v>17.25</v>
      </c>
      <c r="GP30" s="324">
        <f>IFERROR(VLOOKUP(GP$1,'Výpočet VP 2020'!$A$324:KS591,13,FALSE),0)</f>
        <v>2.75</v>
      </c>
      <c r="GQ30" s="324">
        <f>IFERROR(VLOOKUP(GQ$1,'Výpočet VP 2020'!$A$324:BB591,13,FALSE),0)</f>
        <v>5.5</v>
      </c>
      <c r="GR30" s="324">
        <f>IFERROR(VLOOKUP(GR$1,'Výpočet VP 2020'!$A$324:FA591,13,FALSE),0)</f>
        <v>3.21</v>
      </c>
      <c r="GS30" s="324">
        <f>IFERROR(VLOOKUP(GS$1,'Výpočet VP 2020'!$A$324:JB591,13,FALSE),0)</f>
        <v>2</v>
      </c>
      <c r="GT30" s="324">
        <f>IFERROR(VLOOKUP(GT$1,'Výpočet VP 2020'!$A$324:HP591,13,FALSE),0)</f>
        <v>30.25</v>
      </c>
      <c r="GU30" s="324">
        <f>IFERROR(VLOOKUP(GU$1,'Výpočet VP 2020'!$A$324:FQ591,13,FALSE),0)</f>
        <v>2.61</v>
      </c>
      <c r="GV30" s="324">
        <f>IFERROR(VLOOKUP(GV$1,'Výpočet VP 2020'!$A$324:EM591,13,FALSE),0)</f>
        <v>15</v>
      </c>
      <c r="GW30" s="324">
        <f>IFERROR(VLOOKUP(GW$1,'Výpočet VP 2020'!$A$324:DD591,13,FALSE),0)</f>
        <v>4.5</v>
      </c>
      <c r="GX30" s="324">
        <f>IFERROR(VLOOKUP(GX$1,'Výpočet VP 2020'!$A$324:HF591,13,FALSE),0)</f>
        <v>1.7</v>
      </c>
      <c r="GY30" s="324">
        <f>IFERROR(VLOOKUP(GY$1,'Výpočet VP 2020'!$A$324:KK591,13,FALSE),0)</f>
        <v>64</v>
      </c>
      <c r="GZ30" s="324">
        <f>IFERROR(VLOOKUP(GZ$1,'Výpočet VP 2020'!$A$324:FW591,13,FALSE),0)</f>
        <v>6</v>
      </c>
      <c r="HA30" s="324">
        <f>IFERROR(VLOOKUP(HA$1,'Výpočet VP 2020'!$A$324:EL591,13,FALSE),0)</f>
        <v>24</v>
      </c>
      <c r="HB30" s="324">
        <f>IFERROR(VLOOKUP(HB$1,'Výpočet VP 2020'!$A$324:FH591,13,FALSE),0)</f>
        <v>13.5</v>
      </c>
      <c r="HC30" s="324">
        <f>IFERROR(VLOOKUP(HC$1,'Výpočet VP 2020'!$A$324:CI591,13,FALSE),0)</f>
        <v>27.5</v>
      </c>
      <c r="HD30" s="324">
        <f>IFERROR(VLOOKUP(HD$1,'Výpočet VP 2020'!$A$324:HY591,13,FALSE),0)</f>
        <v>8</v>
      </c>
      <c r="HE30" s="324">
        <f>IFERROR(VLOOKUP(HE$1,'Výpočet VP 2020'!$A$324:JF591,13,FALSE),0)</f>
        <v>21.31</v>
      </c>
      <c r="HF30" s="324">
        <f>IFERROR(VLOOKUP(HF$1,'Výpočet VP 2020'!$A$324:FJ591,13,FALSE),0)</f>
        <v>5.7</v>
      </c>
      <c r="HG30" s="324">
        <f>IFERROR(VLOOKUP(HG$1,'Výpočet VP 2020'!$A$324:DA591,13,FALSE),0)</f>
        <v>2.7</v>
      </c>
      <c r="HH30" s="324">
        <f>IFERROR(VLOOKUP(HH$1,'Výpočet VP 2020'!$A$324:KI591,13,FALSE),0)</f>
        <v>7</v>
      </c>
      <c r="HI30" s="324">
        <f>IFERROR(VLOOKUP(HI$1,'Výpočet VP 2020'!$A$324:DY591,13,FALSE),0)</f>
        <v>10</v>
      </c>
      <c r="HJ30" s="324">
        <f>IFERROR(VLOOKUP(HJ$1,'Výpočet VP 2020'!$A$324:GG591,13,FALSE),0)</f>
        <v>2</v>
      </c>
      <c r="HK30" s="324">
        <f>IFERROR(VLOOKUP(HK$1,'Výpočet VP 2020'!$A$324:KE591,13,FALSE),0)</f>
        <v>2.6</v>
      </c>
      <c r="HL30" s="324">
        <f>IFERROR(VLOOKUP(HL$1,'Výpočet VP 2020'!$A$324:FC591,13,FALSE),0)</f>
        <v>66.5</v>
      </c>
      <c r="HM30" s="324">
        <f>IFERROR(VLOOKUP(HM$1,'Výpočet VP 2020'!$A$324:IZ591,13,FALSE),0)</f>
        <v>39.799999999999997</v>
      </c>
      <c r="HN30" s="324">
        <f>IFERROR(VLOOKUP(HN$1,'Výpočet VP 2020'!$A$324:GM591,13,FALSE),0)</f>
        <v>1.1000000000000001</v>
      </c>
      <c r="HO30" s="324">
        <f>IFERROR(VLOOKUP(HO$1,'Výpočet VP 2020'!$A$324:DS591,13,FALSE),0)</f>
        <v>3.6</v>
      </c>
      <c r="HP30" s="324">
        <f>IFERROR(VLOOKUP(HP$1,'Výpočet VP 2020'!$A$324:EV591,13,FALSE),0)</f>
        <v>53.3</v>
      </c>
      <c r="HQ30" s="324">
        <f>IFERROR(VLOOKUP(HQ$1,'Výpočet VP 2020'!$A$324:DM591,13,FALSE),0)</f>
        <v>1.4</v>
      </c>
      <c r="HR30" s="324">
        <f>IFERROR(VLOOKUP(HR$1,'Výpočet VP 2020'!$A$324:DN591,13,FALSE),0)</f>
        <v>61.585000000000001</v>
      </c>
      <c r="HS30" s="324">
        <f>IFERROR(VLOOKUP(HS$1,'Výpočet VP 2020'!$A$324:GW591,13,FALSE),0)</f>
        <v>11.53</v>
      </c>
      <c r="HT30" s="324">
        <f>IFERROR(VLOOKUP(HT$1,'Výpočet VP 2020'!$A$324:FT591,13,FALSE),0)</f>
        <v>33</v>
      </c>
      <c r="HU30" s="324">
        <f>IFERROR(VLOOKUP(HU$1,'Výpočet VP 2020'!$A$324:AZ591,13,FALSE),0)</f>
        <v>50</v>
      </c>
      <c r="HV30" s="324">
        <f>IFERROR(VLOOKUP(HV$1,'Výpočet VP 2020'!$A$324:GZ591,13,FALSE),0)</f>
        <v>47</v>
      </c>
      <c r="HW30" s="324">
        <f>IFERROR(VLOOKUP(HW$1,'Výpočet VP 2020'!$A$324:DB591,13,FALSE),0)</f>
        <v>10.029999999999999</v>
      </c>
      <c r="HX30" s="324">
        <f>IFERROR(VLOOKUP(HX$1,'Výpočet VP 2020'!$A$324:DX591,13,FALSE),0)</f>
        <v>48.57</v>
      </c>
      <c r="HY30" s="324">
        <f>IFERROR(VLOOKUP(HY$1,'Výpočet VP 2020'!$A$324:EW591,13,FALSE),0)</f>
        <v>38.799999999999997</v>
      </c>
      <c r="HZ30" s="324">
        <f>IFERROR(VLOOKUP(HZ$1,'Výpočet VP 2020'!$A$324:FE591,13,FALSE),0)</f>
        <v>21</v>
      </c>
      <c r="IA30" s="324">
        <f>IFERROR(VLOOKUP(IA$1,'Výpočet VP 2020'!$A$324:EA591,13,FALSE),0)</f>
        <v>23</v>
      </c>
      <c r="IB30" s="324">
        <f>IFERROR(VLOOKUP(IB$1,'Výpočet VP 2020'!$A$324:CV591,13,FALSE),0)</f>
        <v>20</v>
      </c>
      <c r="IC30" s="324">
        <f>IFERROR(VLOOKUP(IC$1,'Výpočet VP 2020'!$A$324:JA591,13,FALSE),0)</f>
        <v>36.200000000000003</v>
      </c>
      <c r="ID30" s="324">
        <f>IFERROR(VLOOKUP(ID$1,'Výpočet VP 2020'!$A$324:CC591,13,FALSE),0)</f>
        <v>25.8</v>
      </c>
      <c r="IE30" s="324">
        <f>IFERROR(VLOOKUP(IE$1,'Výpočet VP 2020'!$A$324:CY591,13,FALSE),0)</f>
        <v>36</v>
      </c>
      <c r="IF30" s="324">
        <f>IFERROR(VLOOKUP(IF$1,'Výpočet VP 2020'!$A$324:KF591,13,FALSE),0)</f>
        <v>34.5</v>
      </c>
      <c r="IG30" s="324">
        <f>IFERROR(VLOOKUP(IG$1,'Výpočet VP 2020'!$A$324:IE591,13,FALSE),0)</f>
        <v>9.5</v>
      </c>
      <c r="IH30" s="324">
        <f>IFERROR(VLOOKUP(IH$1,'Výpočet VP 2020'!$A$324:IT591,13,FALSE),0)</f>
        <v>6.13</v>
      </c>
      <c r="II30" s="324">
        <f>IFERROR(VLOOKUP(II$1,'Výpočet VP 2020'!$A$324:FK591,13,FALSE),0)</f>
        <v>33.86</v>
      </c>
      <c r="IJ30" s="324">
        <f>IFERROR(VLOOKUP(IJ$1,'Výpočet VP 2020'!$A$324:EK591,13,FALSE),0)</f>
        <v>3.5</v>
      </c>
      <c r="IK30" s="324">
        <f>IFERROR(VLOOKUP(IK$1,'Výpočet VP 2020'!$A$324:HX591,13,FALSE),0)</f>
        <v>4.6099999999999994</v>
      </c>
      <c r="IL30" s="324">
        <f>IFERROR(VLOOKUP(IL$1,'Výpočet VP 2020'!$A$324:BW591,13,FALSE),0)</f>
        <v>20</v>
      </c>
      <c r="IM30" s="324">
        <f>IFERROR(VLOOKUP(IM$1,'Výpočet VP 2020'!$A$324:BX591,13,FALSE),0)</f>
        <v>1.07</v>
      </c>
      <c r="IN30" s="324">
        <f>IFERROR(VLOOKUP(IN$1,'Výpočet VP 2020'!$A$324:GY591,13,FALSE),0)</f>
        <v>21.68</v>
      </c>
      <c r="IO30" s="324">
        <f>IFERROR(VLOOKUP(IO$1,'Výpočet VP 2020'!$A$324:KP591,13,FALSE),0)</f>
        <v>7.3</v>
      </c>
      <c r="IP30" s="324">
        <f>IFERROR(VLOOKUP(IP$1,'Výpočet VP 2020'!$A$324:JY591,13,FALSE),0)</f>
        <v>37</v>
      </c>
      <c r="IQ30" s="324">
        <f>IFERROR(VLOOKUP(IQ$1,'Výpočet VP 2020'!$A$324:DU591,13,FALSE),0)</f>
        <v>37.299999999999997</v>
      </c>
      <c r="IR30" s="324">
        <f>IFERROR(VLOOKUP(IR$1,'Výpočet VP 2020'!$A$324:EC591,13,FALSE),0)</f>
        <v>1.7</v>
      </c>
      <c r="IS30" s="324">
        <f>IFERROR(VLOOKUP(IS$1,'Výpočet VP 2020'!$A$324:IB591,13,FALSE),0)</f>
        <v>130.19999999999999</v>
      </c>
      <c r="IT30" s="324">
        <f>IFERROR(VLOOKUP(IT$1,'Výpočet VP 2020'!$A$324:FY591,13,FALSE),0)</f>
        <v>32.6</v>
      </c>
      <c r="IU30" s="324">
        <f>IFERROR(VLOOKUP(IU$1,'Výpočet VP 2020'!$A$324:HN591,13,FALSE),0)</f>
        <v>7.3</v>
      </c>
      <c r="IV30" s="324">
        <f>IFERROR(VLOOKUP(IV$1,'Výpočet VP 2020'!$A$324:DO591,13,FALSE),0)</f>
        <v>18.3</v>
      </c>
      <c r="IW30" s="324">
        <f>IFERROR(VLOOKUP(IW$1,'Výpočet VP 2020'!$A$324:FR591,13,FALSE),0)</f>
        <v>31</v>
      </c>
      <c r="IX30" s="324">
        <f>IFERROR(VLOOKUP(IX$1,'Výpočet VP 2020'!$A$324:BG591,13,FALSE),0)</f>
        <v>3.4</v>
      </c>
      <c r="IY30" s="324">
        <f>IFERROR(VLOOKUP(IY$1,'Výpočet VP 2020'!$A$324:HK591,13,FALSE),0)</f>
        <v>19</v>
      </c>
      <c r="IZ30" s="324">
        <f>IFERROR(VLOOKUP(IZ$1,'Výpočet VP 2020'!$A$324:GA591,13,FALSE),0)</f>
        <v>48.5</v>
      </c>
      <c r="JA30" s="324">
        <f>IFERROR(VLOOKUP(JA$1,'Výpočet VP 2020'!$A$324:IS591,13,FALSE),0)</f>
        <v>4.1500000000000004</v>
      </c>
      <c r="JB30" s="324">
        <f>IFERROR(VLOOKUP(JB$1,'Výpočet VP 2020'!$A$324:KO591,13,FALSE),0)</f>
        <v>3.3</v>
      </c>
      <c r="JC30" s="324">
        <f>IFERROR(VLOOKUP(JC$1,'Výpočet VP 2020'!$A$324:GE591,13,FALSE),0)</f>
        <v>3.3</v>
      </c>
      <c r="JD30" s="324">
        <f>IFERROR(VLOOKUP(JD$1,'Výpočet VP 2020'!$A$324:JX591,13,FALSE),0)</f>
        <v>9</v>
      </c>
      <c r="JE30" s="324">
        <f>IFERROR(VLOOKUP(JE$1,'Výpočet VP 2020'!$A$324:GR591,13,FALSE),0)</f>
        <v>7.6</v>
      </c>
      <c r="JF30" s="324">
        <f>IFERROR(VLOOKUP(JF$1,'Výpočet VP 2020'!$A$324:BD591,13,FALSE),0)</f>
        <v>69.37</v>
      </c>
      <c r="JG30" s="324">
        <f>IFERROR(VLOOKUP(JG$1,'Výpočet VP 2020'!$A$324:CG591,13,FALSE),0)</f>
        <v>49</v>
      </c>
      <c r="JH30" s="324">
        <f>IFERROR(VLOOKUP(JH$1,'Výpočet VP 2020'!$A$324:IY591,13,FALSE),0)</f>
        <v>2</v>
      </c>
      <c r="JL30" s="307">
        <f>SUMIFS($C30:$JH30,$C$5:$JH$5,JL$5)</f>
        <v>59.25</v>
      </c>
      <c r="JM30" s="307">
        <f>SUMIFS($C30:$JH30,$C$5:$JH$5,JM$5)</f>
        <v>801.81833333333327</v>
      </c>
      <c r="JN30" s="307">
        <f>SUMIFS($C30:$JH30,$C$5:$JH$5,JN$5)</f>
        <v>682.52900000000011</v>
      </c>
      <c r="JO30" s="307">
        <f>SUMIFS($C30:$JH30,$C$5:$JH$5,JO$5)</f>
        <v>1284.3849999999998</v>
      </c>
      <c r="JP30" s="307">
        <f t="shared" ref="JP30" si="43">SUM(JL30:JO30)</f>
        <v>2827.9823333333334</v>
      </c>
    </row>
    <row r="31" spans="1:276" x14ac:dyDescent="0.25">
      <c r="AC31" s="313" t="s">
        <v>2838</v>
      </c>
    </row>
    <row r="33" spans="1:277" x14ac:dyDescent="0.25">
      <c r="A33" s="338"/>
      <c r="B33" s="338" t="s">
        <v>1836</v>
      </c>
      <c r="C33" s="341">
        <f>IFERROR(VLOOKUP(C1,'PZ 2019'!$C$3:AM288,15,FALSE),0)</f>
        <v>50000</v>
      </c>
      <c r="D33" s="341">
        <f>IFERROR(VLOOKUP(D1,'PZ 2019'!$C$3:IN288,15,FALSE),0)</f>
        <v>300000</v>
      </c>
      <c r="E33" s="341">
        <f>IFERROR(VLOOKUP(E1,'PZ 2019'!$C$3:CK288,15,FALSE),0)</f>
        <v>180000</v>
      </c>
      <c r="F33" s="341">
        <f>IFERROR(VLOOKUP(F1,'PZ 2019'!$C$3:FM288,15,FALSE),0)</f>
        <v>362000</v>
      </c>
      <c r="G33" s="341">
        <f>IFERROR(VLOOKUP(G1,'PZ 2019'!$C$3:CV288,15,FALSE),0)</f>
        <v>1426500</v>
      </c>
      <c r="H33" s="341">
        <f>IFERROR(VLOOKUP(H1,'PZ 2019'!$C$3:GX288,15,FALSE),0)</f>
        <v>700000</v>
      </c>
      <c r="I33" s="341">
        <f>IFERROR(VLOOKUP(I1,'PZ 2019'!$C$3:JO288,15,FALSE),0)</f>
        <v>719500</v>
      </c>
      <c r="J33" s="341">
        <f>IFERROR(VLOOKUP(J1,'PZ 2019'!$C$3:EB288,15,FALSE),0)</f>
        <v>80000</v>
      </c>
      <c r="K33" s="341">
        <f>IFERROR(VLOOKUP(K1,'PZ 2019'!$C$3:AS288,15,FALSE),0)</f>
        <v>20000</v>
      </c>
      <c r="L33" s="341">
        <f>IFERROR(VLOOKUP(L1,'PZ 2019'!$C$3:CM288,15,FALSE),0)</f>
        <v>281750</v>
      </c>
      <c r="M33" s="341">
        <f>IFERROR(VLOOKUP(M1,'PZ 2019'!$C$3:BH288,15,FALSE),0)</f>
        <v>316500</v>
      </c>
      <c r="N33" s="341">
        <f>IFERROR(VLOOKUP(N1,'PZ 2019'!$C$3:EF288,15,FALSE),0)</f>
        <v>475000</v>
      </c>
      <c r="O33" s="341">
        <f>IFERROR(VLOOKUP(O1,'PZ 2019'!$C$3:FZ288,15,FALSE),0)</f>
        <v>271000</v>
      </c>
      <c r="P33" s="341">
        <f>IFERROR(VLOOKUP(P1,'PZ 2019'!$C$3:GF288,15,FALSE),0)</f>
        <v>300000</v>
      </c>
      <c r="Q33" s="341">
        <f>IFERROR(VLOOKUP(Q1,'PZ 2019'!$C$3:IE288,15,FALSE),0)</f>
        <v>161000</v>
      </c>
      <c r="R33" s="341">
        <f>IFERROR(VLOOKUP(R1,'PZ 2019'!$C$3:DH288,15,FALSE),0)</f>
        <v>300000</v>
      </c>
      <c r="S33" s="341">
        <f>IFERROR(VLOOKUP(S1,'PZ 2019'!$C$3:EZ288,15,FALSE),0)</f>
        <v>0</v>
      </c>
      <c r="T33" s="341">
        <f>IFERROR(VLOOKUP(T1,'PZ 2019'!$C$3:FQ288,15,FALSE),0)</f>
        <v>0</v>
      </c>
      <c r="U33" s="341">
        <f>IFERROR(VLOOKUP(U1,'PZ 2019'!$C$3:JL288,15,FALSE),0)</f>
        <v>0</v>
      </c>
      <c r="V33" s="341">
        <f>IFERROR(VLOOKUP(V1,'PZ 2019'!$C$3:JN288,15,FALSE),0)</f>
        <v>4314000</v>
      </c>
      <c r="W33" s="341">
        <f>IFERROR(VLOOKUP(W1,'PZ 2019'!$C$3:GW288,15,FALSE),0)</f>
        <v>910000</v>
      </c>
      <c r="X33" s="341">
        <f>IFERROR(VLOOKUP(X1,'PZ 2019'!$C$3:BO288,15,FALSE),0)</f>
        <v>122000</v>
      </c>
      <c r="Y33" s="341">
        <f>IFERROR(VLOOKUP(Y1,'PZ 2019'!$C$3:IV288,15,FALSE),0)</f>
        <v>100000</v>
      </c>
      <c r="Z33" s="341">
        <f>IFERROR(VLOOKUP(Z1,'PZ 2019'!$C$3:IW288,15,FALSE),0)</f>
        <v>0</v>
      </c>
      <c r="AA33" s="341">
        <f>IFERROR(VLOOKUP(AA1,'PZ 2019'!$C$3:IL288,15,FALSE),0)</f>
        <v>295000</v>
      </c>
      <c r="AB33" s="341">
        <f>IFERROR(VLOOKUP(AB1,'PZ 2019'!$C$3:AU288,15,FALSE),0)</f>
        <v>88800</v>
      </c>
      <c r="AC33" s="341">
        <f>IFERROR(VLOOKUP(AC1,'PZ 2019'!$C$3:AV288,15,FALSE),0)</f>
        <v>88800</v>
      </c>
      <c r="AD33" s="341">
        <f>IFERROR(VLOOKUP(AD1,'PZ 2019'!$C$3:FV288,15,FALSE),0)</f>
        <v>156800</v>
      </c>
      <c r="AE33" s="341">
        <f>IFERROR(VLOOKUP(AE1,'PZ 2019'!$C$3:FS288,15,FALSE),0)</f>
        <v>88800</v>
      </c>
      <c r="AF33" s="341">
        <f>IFERROR(VLOOKUP(AF1,'PZ 2019'!$C$3:HJ288,15,FALSE),0)</f>
        <v>88800</v>
      </c>
      <c r="AG33" s="341">
        <f>IFERROR(VLOOKUP(AG1,'PZ 2019'!$C$3:R288,15,FALSE),0)</f>
        <v>185400</v>
      </c>
      <c r="AH33" s="341">
        <f>IFERROR(VLOOKUP(AH1,'PZ 2019'!$C$3:AH288,15,FALSE),0)</f>
        <v>101700</v>
      </c>
      <c r="AI33" s="341">
        <f>IFERROR(VLOOKUP(AI1,'PZ 2019'!$C$3:HN288,15,FALSE),0)</f>
        <v>117300</v>
      </c>
      <c r="AJ33" s="341">
        <f>IFERROR(VLOOKUP(AJ1,'PZ 2019'!$C$3:IK288,15,FALSE),0)</f>
        <v>123700</v>
      </c>
      <c r="AK33" s="341">
        <f>IFERROR(VLOOKUP(AK1,'PZ 2019'!$C$3:EU288,15,FALSE),0)</f>
        <v>0</v>
      </c>
      <c r="AL33" s="341">
        <f>IFERROR(VLOOKUP(AL1,'PZ 2019'!$C$3:HY288,15,FALSE),0)</f>
        <v>204000</v>
      </c>
      <c r="AM33" s="341">
        <f>IFERROR(VLOOKUP(AM1,'PZ 2019'!$C$3:BW288,15,FALSE),0)</f>
        <v>60000</v>
      </c>
      <c r="AN33" s="341">
        <f>IFERROR(VLOOKUP(AN1,'PZ 2019'!$C$3:AC288,15,FALSE),0)</f>
        <v>95000</v>
      </c>
      <c r="AO33" s="341">
        <f>IFERROR(VLOOKUP(AO1,'PZ 2019'!$C$3:BA288,15,FALSE),0)</f>
        <v>2320000</v>
      </c>
      <c r="AP33" s="341">
        <f>IFERROR(VLOOKUP(AP1,'PZ 2019'!$C$3:IJ288,15,FALSE),0)</f>
        <v>0</v>
      </c>
      <c r="AQ33" s="341">
        <f>IFERROR(VLOOKUP(AQ1,'PZ 2019'!$C$3:HE288,15,FALSE),0)</f>
        <v>40000</v>
      </c>
      <c r="AR33" s="341">
        <f>IFERROR(VLOOKUP(AR1,'PZ 2019'!$C$3:HS288,15,FALSE),0)</f>
        <v>100600</v>
      </c>
      <c r="AS33" s="341">
        <f>IFERROR(VLOOKUP(AS1,'PZ 2019'!$C$3:JD288,15,FALSE),0)</f>
        <v>35000</v>
      </c>
      <c r="AT33" s="341">
        <f>IFERROR(VLOOKUP(AT1,'PZ 2019'!$C$3:BQ288,15,FALSE),0)</f>
        <v>156400</v>
      </c>
      <c r="AU33" s="341">
        <f>IFERROR(VLOOKUP(AU1,'PZ 2019'!$C$3:HQ288,15,FALSE),0)</f>
        <v>156400</v>
      </c>
      <c r="AV33" s="341">
        <f>IFERROR(VLOOKUP(AV1,'PZ 2019'!$C$3:DQ288,15,FALSE),0)</f>
        <v>117300</v>
      </c>
      <c r="AW33" s="341">
        <f>IFERROR(VLOOKUP(AW1,'PZ 2019'!$C$3:HF288,15,FALSE),0)</f>
        <v>156400</v>
      </c>
      <c r="AX33" s="341">
        <f>IFERROR(VLOOKUP(AX1,'PZ 2019'!$C$3:AA288,15,FALSE),0)</f>
        <v>258000</v>
      </c>
      <c r="AY33" s="341">
        <f>IFERROR(VLOOKUP(AY1,'PZ 2019'!$C$3:BC288,15,FALSE),0)</f>
        <v>155000</v>
      </c>
      <c r="AZ33" s="341">
        <f>IFERROR(VLOOKUP(AZ1,'PZ 2019'!$C$3:BS288,15,FALSE),0)</f>
        <v>156185</v>
      </c>
      <c r="BA33" s="341">
        <f>IFERROR(VLOOKUP(BA1,'PZ 2019'!$C$3:HC288,15,FALSE),0)</f>
        <v>1120000</v>
      </c>
      <c r="BB33" s="341">
        <f>IFERROR(VLOOKUP(BB1,'PZ 2019'!$C$3:JI288,15,FALSE),0)</f>
        <v>140000</v>
      </c>
      <c r="BC33" s="341">
        <f>IFERROR(VLOOKUP(BC1,'PZ 2019'!$C$3:HX288,15,FALSE),0)</f>
        <v>90000</v>
      </c>
      <c r="BD33" s="341">
        <f>IFERROR(VLOOKUP(BD1,'PZ 2019'!$C$3:HT288,15,FALSE),0)</f>
        <v>220000</v>
      </c>
      <c r="BE33" s="341">
        <f>IFERROR(VLOOKUP(BE1,'PZ 2019'!$C$3:FH288,15,FALSE),0)</f>
        <v>125000</v>
      </c>
      <c r="BF33" s="341">
        <f>IFERROR(VLOOKUP(BF1,'PZ 2019'!$C$3:U288,15,FALSE),0)</f>
        <v>340000</v>
      </c>
      <c r="BG33" s="341">
        <f>IFERROR(VLOOKUP(BG1,'PZ 2019'!$C$3:FB288,15,FALSE),0)</f>
        <v>420000</v>
      </c>
      <c r="BH33" s="341">
        <f>IFERROR(VLOOKUP(BH1,'PZ 2019'!$C$3:AE288,15,FALSE),0)</f>
        <v>397000</v>
      </c>
      <c r="BI33" s="341">
        <f>IFERROR(VLOOKUP(BI1,'PZ 2019'!$C$3:IY288,15,FALSE),0)</f>
        <v>100000</v>
      </c>
      <c r="BJ33" s="341">
        <f>IFERROR(VLOOKUP(BJ1,'PZ 2019'!$C$3:BV288,15,FALSE),0)</f>
        <v>140000</v>
      </c>
      <c r="BK33" s="341">
        <f>IFERROR(VLOOKUP(BK1,'PZ 2019'!$C$3:BP288,15,FALSE),0)</f>
        <v>0</v>
      </c>
      <c r="BL33" s="341">
        <f>IFERROR(VLOOKUP(BL1,'PZ 2019'!$C$3:DI288,15,FALSE),0)</f>
        <v>0</v>
      </c>
      <c r="BM33" s="341">
        <f>IFERROR(VLOOKUP(BM1,'PZ 2019'!$C$3:CH288,15,FALSE),0)</f>
        <v>50000</v>
      </c>
      <c r="BN33" s="341">
        <f>IFERROR(VLOOKUP(BN1,'PZ 2019'!$C$3:EH288,15,FALSE),0)</f>
        <v>150000</v>
      </c>
      <c r="BO33" s="341">
        <f>IFERROR(VLOOKUP(BO1,'PZ 2019'!$C$3:BY288,15,FALSE),0)</f>
        <v>140000</v>
      </c>
      <c r="BP33" s="341">
        <f>IFERROR(VLOOKUP(BP1,'PZ 2019'!$C$3:GG288,15,FALSE),0)</f>
        <v>601272</v>
      </c>
      <c r="BQ33" s="341">
        <f>IFERROR(VLOOKUP(BQ1,'PZ 2019'!$C$3:GY288,15,FALSE),0)</f>
        <v>0</v>
      </c>
      <c r="BR33" s="341">
        <f>IFERROR(VLOOKUP(BR1,'PZ 2019'!$C$3:CG288,15,FALSE),0)</f>
        <v>40000</v>
      </c>
      <c r="BS33" s="341">
        <f>IFERROR(VLOOKUP(BS1,'PZ 2019'!$C$3:IG288,15,FALSE),0)</f>
        <v>190000</v>
      </c>
      <c r="BT33" s="341">
        <f>IFERROR(VLOOKUP(BT1,'PZ 2019'!$C$3:IO288,15,FALSE),0)</f>
        <v>200000</v>
      </c>
      <c r="BU33" s="341">
        <f>IFERROR(VLOOKUP(BU1,'PZ 2019'!$C$3:IQ288,15,FALSE),0)</f>
        <v>1055000</v>
      </c>
      <c r="BV33" s="341">
        <f>IFERROR(VLOOKUP(BV1,'PZ 2019'!$C$3:BM288,15,FALSE),0)</f>
        <v>0</v>
      </c>
      <c r="BW33" s="341">
        <f>IFERROR(VLOOKUP(BW1,'PZ 2019'!$C$3:FW288,15,FALSE),0)</f>
        <v>0</v>
      </c>
      <c r="BX33" s="341">
        <f>IFERROR(VLOOKUP(BX1,'PZ 2019'!$C$3:BG288,15,FALSE),0)</f>
        <v>1309761</v>
      </c>
      <c r="BY33" s="341">
        <f>IFERROR(VLOOKUP(BY1,'PZ 2019'!$C$3:HI288,15,FALSE),0)</f>
        <v>730000</v>
      </c>
      <c r="BZ33" s="341">
        <f>IFERROR(VLOOKUP(BZ1,'PZ 2019'!$C$3:FJ288,15,FALSE),0)</f>
        <v>150000</v>
      </c>
      <c r="CA33" s="341">
        <f>IFERROR(VLOOKUP(CA1,'PZ 2019'!$C$3:JV288,15,FALSE),0)</f>
        <v>0</v>
      </c>
      <c r="CB33" s="341">
        <f>IFERROR(VLOOKUP(CB1,'PZ 2019'!$C$3:GE288,15,FALSE),0)</f>
        <v>0</v>
      </c>
      <c r="CC33" s="341">
        <f>IFERROR(VLOOKUP(CC1,'PZ 2019'!$C$3:CE288,15,FALSE),0)</f>
        <v>290000</v>
      </c>
      <c r="CD33" s="341">
        <f>IFERROR(VLOOKUP(CD1,'PZ 2019'!$C$3:FF288,15,FALSE),0)</f>
        <v>130000</v>
      </c>
      <c r="CE33" s="341">
        <f>IFERROR(VLOOKUP(CE1,'PZ 2019'!$C$3:EQ288,15,FALSE),0)</f>
        <v>4381300</v>
      </c>
      <c r="CF33" s="341">
        <f>IFERROR(VLOOKUP(CF1,'PZ 2019'!$C$3:AX288,15,FALSE),0)</f>
        <v>366900</v>
      </c>
      <c r="CG33" s="341">
        <f>IFERROR(VLOOKUP(CG1,'PZ 2019'!$C$3:W288,15,FALSE),0)</f>
        <v>1830000</v>
      </c>
      <c r="CH33" s="341">
        <f>IFERROR(VLOOKUP(CH1,'PZ 2019'!$C$3:DV288,15,FALSE),0)</f>
        <v>890000</v>
      </c>
      <c r="CI33" s="341">
        <f>IFERROR(VLOOKUP(CI1,'PZ 2019'!$C$3:GC288,15,FALSE),0)</f>
        <v>150000</v>
      </c>
      <c r="CJ33" s="341">
        <f>IFERROR(VLOOKUP(CJ1,'PZ 2019'!$C$3:HL288,15,FALSE),0)</f>
        <v>710000</v>
      </c>
      <c r="CK33" s="341">
        <f>IFERROR(VLOOKUP(CK1,'PZ 2019'!$C$3:BD288,15,FALSE),0)</f>
        <v>581000</v>
      </c>
      <c r="CL33" s="341">
        <f>IFERROR(VLOOKUP(CL1,'PZ 2019'!$C$3:CB288,15,FALSE),0)</f>
        <v>409000</v>
      </c>
      <c r="CM33" s="341">
        <f>IFERROR(VLOOKUP(CM1,'PZ 2019'!$C$3:JE288,15,FALSE),0)</f>
        <v>871500</v>
      </c>
      <c r="CN33" s="341">
        <f>IFERROR(VLOOKUP(CN1,'PZ 2019'!$C$3:AR288,15,FALSE),0)</f>
        <v>164850</v>
      </c>
      <c r="CO33" s="341">
        <f>IFERROR(VLOOKUP(CO1,'PZ 2019'!$C$3:BN288,15,FALSE),0)</f>
        <v>250000</v>
      </c>
      <c r="CP33" s="341">
        <f>IFERROR(VLOOKUP(CP1,'PZ 2019'!$C$3:GD288,15,FALSE),0)</f>
        <v>215000</v>
      </c>
      <c r="CQ33" s="341">
        <f>IFERROR(VLOOKUP(CQ1,'PZ 2019'!$C$3:BB288,15,FALSE),0)</f>
        <v>740000</v>
      </c>
      <c r="CR33" s="341">
        <f>IFERROR(VLOOKUP(CR1,'PZ 2019'!$C$3:FN288,15,FALSE),0)</f>
        <v>50000</v>
      </c>
      <c r="CS33" s="341">
        <f>IFERROR(VLOOKUP(CS1,'PZ 2019'!$C$3:II288,15,FALSE),0)</f>
        <v>0</v>
      </c>
      <c r="CT33" s="341">
        <f>IFERROR(VLOOKUP(CT1,'PZ 2019'!$C$3:IP288,15,FALSE),0)</f>
        <v>600000</v>
      </c>
      <c r="CU33" s="341">
        <f>IFERROR(VLOOKUP(CU1,'PZ 2019'!$C$3:Y288,15,FALSE),0)</f>
        <v>91500</v>
      </c>
      <c r="CV33" s="341">
        <f>IFERROR(VLOOKUP(CV1,'PZ 2019'!$C$3:FE288,15,FALSE),0)</f>
        <v>128500</v>
      </c>
      <c r="CW33" s="341">
        <f>IFERROR(VLOOKUP(CW1,'PZ 2019'!$C$3:GT288,15,FALSE),0)</f>
        <v>0</v>
      </c>
      <c r="CX33" s="341">
        <f>IFERROR(VLOOKUP(CX1,'PZ 2019'!$C$3:HB288,15,FALSE),0)</f>
        <v>363452</v>
      </c>
      <c r="CY33" s="341">
        <f>IFERROR(VLOOKUP(CY1,'PZ 2019'!$C$3:CJ288,15,FALSE),0)</f>
        <v>277608</v>
      </c>
      <c r="CZ33" s="341">
        <f>IFERROR(VLOOKUP(CZ1,'PZ 2019'!$C$3:BZ288,15,FALSE),0)</f>
        <v>45000</v>
      </c>
      <c r="DA33" s="341">
        <f>IFERROR(VLOOKUP(DA1,'PZ 2019'!$C$3:IR288,15,FALSE),0)</f>
        <v>0</v>
      </c>
      <c r="DB33" s="341">
        <f>IFERROR(VLOOKUP(DB1,'PZ 2019'!$C$3:GI288,15,FALSE),0)</f>
        <v>200000</v>
      </c>
      <c r="DC33" s="341">
        <f>IFERROR(VLOOKUP(DC1,'PZ 2019'!$C$3:HW288,15,FALSE),0)</f>
        <v>250000</v>
      </c>
      <c r="DD33" s="341">
        <f>IFERROR(VLOOKUP(DD1,'PZ 2019'!$C$3:CY288,15,FALSE),0)</f>
        <v>215000</v>
      </c>
      <c r="DE33" s="341">
        <f>IFERROR(VLOOKUP(DE1,'PZ 2019'!$C$3:GN288,15,FALSE),0)</f>
        <v>235000</v>
      </c>
      <c r="DF33" s="341">
        <f>IFERROR(VLOOKUP(DF1,'PZ 2019'!$C$3:HR288,15,FALSE),0)</f>
        <v>360000</v>
      </c>
      <c r="DG33" s="341">
        <f>IFERROR(VLOOKUP(DG1,'PZ 2019'!$C$3:JP288,15,FALSE),0)</f>
        <v>0</v>
      </c>
      <c r="DH33" s="341">
        <f>IFERROR(VLOOKUP(DH1,'PZ 2019'!$C$3:Z288,15,FALSE),0)</f>
        <v>105200</v>
      </c>
      <c r="DI33" s="341">
        <f>IFERROR(VLOOKUP(DI1,'PZ 2019'!$C$3:AG288,15,FALSE),0)</f>
        <v>31800</v>
      </c>
      <c r="DJ33" s="341">
        <f>IFERROR(VLOOKUP(DJ1,'PZ 2019'!$C$3:FX288,15,FALSE),0)</f>
        <v>90000</v>
      </c>
      <c r="DK33" s="341">
        <f>IFERROR(VLOOKUP(DK1,'PZ 2019'!$C$3:HK288,15,FALSE),0)</f>
        <v>40200</v>
      </c>
      <c r="DL33" s="341">
        <f>IFERROR(VLOOKUP(DL1,'PZ 2019'!$C$3:AW288,15,FALSE),0)</f>
        <v>1452000</v>
      </c>
      <c r="DM33" s="341">
        <f>IFERROR(VLOOKUP(DM1,'PZ 2019'!$C$3:FK288,15,FALSE),0)</f>
        <v>367000</v>
      </c>
      <c r="DN33" s="341">
        <f>IFERROR(VLOOKUP(DN1,'PZ 2019'!$C$3:BL288,15,FALSE),0)</f>
        <v>370000</v>
      </c>
      <c r="DO33" s="341">
        <f>IFERROR(VLOOKUP(DO1,'PZ 2019'!$C$3:DU288,15,FALSE),0)</f>
        <v>0</v>
      </c>
      <c r="DP33" s="341">
        <f>IFERROR(VLOOKUP(DP1,'PZ 2019'!$C$3:HZ288,15,FALSE),0)</f>
        <v>383000</v>
      </c>
      <c r="DQ33" s="341">
        <f>IFERROR(VLOOKUP(DQ1,'PZ 2019'!$C$3:DS288,15,FALSE),0)</f>
        <v>200000</v>
      </c>
      <c r="DR33" s="341">
        <f>IFERROR(VLOOKUP(DR1,'PZ 2019'!$C$3:JJ288,15,FALSE),0)</f>
        <v>28000</v>
      </c>
      <c r="DS33" s="341">
        <f>IFERROR(VLOOKUP(DS1,'PZ 2019'!$C$3:FL288,15,FALSE),0)</f>
        <v>0</v>
      </c>
      <c r="DT33" s="341">
        <f>IFERROR(VLOOKUP(DT1,'PZ 2019'!$C$3:HP288,15,FALSE),0)</f>
        <v>50000</v>
      </c>
      <c r="DU33" s="341">
        <f>IFERROR(VLOOKUP(DU1,'PZ 2019'!$C$3:HM288,15,FALSE),0)</f>
        <v>0</v>
      </c>
      <c r="DV33" s="341">
        <f>IFERROR(VLOOKUP(DV1,'PZ 2019'!$C$3:FD288,15,FALSE),0)</f>
        <v>0</v>
      </c>
      <c r="DW33" s="341">
        <f>IFERROR(VLOOKUP(DW1,'PZ 2019'!$C$3:GV288,15,FALSE),0)</f>
        <v>0</v>
      </c>
      <c r="DX33" s="341">
        <f>IFERROR(VLOOKUP(DX1,'PZ 2019'!$C$3:CR288,15,FALSE),0)</f>
        <v>0</v>
      </c>
      <c r="DY33" s="341">
        <f>IFERROR(VLOOKUP(DY1,'PZ 2019'!$C$3:AQ288,15,FALSE),0)</f>
        <v>150000</v>
      </c>
      <c r="DZ33" s="341">
        <f>IFERROR(VLOOKUP(DZ1,'PZ 2019'!$C$3:DB288,15,FALSE),0)</f>
        <v>0</v>
      </c>
      <c r="EA33" s="341">
        <f>IFERROR(VLOOKUP(EA1,'PZ 2019'!$C$3:CL288,15,FALSE),0)</f>
        <v>130000</v>
      </c>
      <c r="EB33" s="341">
        <f>IFERROR(VLOOKUP(EB1,'PZ 2019'!$C$3:DG288,15,FALSE),0)</f>
        <v>0</v>
      </c>
      <c r="EC33" s="341">
        <f>IFERROR(VLOOKUP(EC1,'PZ 2019'!$C$3:AJ288,15,FALSE),0)</f>
        <v>120796</v>
      </c>
      <c r="ED33" s="341">
        <f>IFERROR(VLOOKUP(ED1,'PZ 2019'!$C$3:IM288,15,FALSE),0)</f>
        <v>370000</v>
      </c>
      <c r="EE33" s="341">
        <f>IFERROR(VLOOKUP(EE1,'PZ 2019'!$C$3:BJ288,15,FALSE),0)</f>
        <v>110000</v>
      </c>
      <c r="EF33" s="341">
        <f>IFERROR(VLOOKUP(EF1,'PZ 2019'!$C$3:EW288,15,FALSE),0)</f>
        <v>100000</v>
      </c>
      <c r="EG33" s="341">
        <f>IFERROR(VLOOKUP(EG1,'PZ 2019'!$C$3:GK288,15,FALSE),0)</f>
        <v>10000</v>
      </c>
      <c r="EH33" s="341">
        <f>IFERROR(VLOOKUP(EH1,'PZ 2019'!$C$3:CX288,15,FALSE),0)</f>
        <v>80000</v>
      </c>
      <c r="EI33" s="341">
        <f>IFERROR(VLOOKUP(EI1,'PZ 2019'!$C$3:AT288,15,FALSE),0)</f>
        <v>110000</v>
      </c>
      <c r="EJ33" s="341">
        <f>IFERROR(VLOOKUP(EJ1,'PZ 2019'!$C$3:DJ288,15,FALSE),0)</f>
        <v>18500</v>
      </c>
      <c r="EK33" s="341">
        <f>IFERROR(VLOOKUP(EK1,'PZ 2019'!$C$3:BR288,15,FALSE),0)</f>
        <v>500000</v>
      </c>
      <c r="EL33" s="341">
        <f>IFERROR(VLOOKUP(EL1,'PZ 2019'!$C$3:IX288,15,FALSE),0)</f>
        <v>3015000</v>
      </c>
      <c r="EM33" s="341">
        <f>IFERROR(VLOOKUP(EM1,'PZ 2019'!$C$3:DP288,15,FALSE),0)</f>
        <v>460000</v>
      </c>
      <c r="EN33" s="341">
        <f>IFERROR(VLOOKUP(EN1,'PZ 2019'!$C$3:EP288,15,FALSE),0)</f>
        <v>0</v>
      </c>
      <c r="EO33" s="341">
        <f>IFERROR(VLOOKUP(EO1,'PZ 2019'!$C$3:IU288,15,FALSE),0)</f>
        <v>15000</v>
      </c>
      <c r="EP33" s="341">
        <f>IFERROR(VLOOKUP(EP1,'PZ 2019'!$C$3:ER288,15,FALSE),0)</f>
        <v>202000</v>
      </c>
      <c r="EQ33" s="341">
        <f>IFERROR(VLOOKUP(EQ1,'PZ 2019'!$C$3:GS288,15,FALSE),0)</f>
        <v>40000</v>
      </c>
      <c r="ER33" s="341">
        <f>IFERROR(VLOOKUP(ER1,'PZ 2019'!$C$3:AO288,15,FALSE),0)</f>
        <v>4235000</v>
      </c>
      <c r="ES33" s="341">
        <f>IFERROR(VLOOKUP(ES1,'PZ 2019'!$C$3:JF288,15,FALSE),0)</f>
        <v>1619100</v>
      </c>
      <c r="ET33" s="341">
        <f>IFERROR(VLOOKUP(ET1,'PZ 2019'!$C$3:GL288,15,FALSE),0)</f>
        <v>0</v>
      </c>
      <c r="EU33" s="341">
        <f>IFERROR(VLOOKUP(EU1,'PZ 2019'!$C$3:EN288,15,FALSE),0)</f>
        <v>12000</v>
      </c>
      <c r="EV33" s="341">
        <f>IFERROR(VLOOKUP(EV1,'PZ 2019'!$C$3:DL288,15,FALSE),0)</f>
        <v>100000</v>
      </c>
      <c r="EW33" s="341">
        <f>IFERROR(VLOOKUP(EW1,'PZ 2019'!$C$3:CS288,15,FALSE),0)</f>
        <v>2200000</v>
      </c>
      <c r="EX33" s="341">
        <f>IFERROR(VLOOKUP(EX1,'PZ 2019'!$C$3:HO288,15,FALSE),0)</f>
        <v>3600000</v>
      </c>
      <c r="EY33" s="341">
        <f>IFERROR(VLOOKUP(EY1,'PZ 2019'!$C$3:ED288,15,FALSE),0)</f>
        <v>1460000</v>
      </c>
      <c r="EZ33" s="341">
        <f>IFERROR(VLOOKUP(EZ1,'PZ 2019'!$C$3:FP288,15,FALSE),0)</f>
        <v>1761805</v>
      </c>
      <c r="FA33" s="341">
        <f>IFERROR(VLOOKUP(FA1,'PZ 2019'!$C$3:AL288,15,FALSE),0)</f>
        <v>0</v>
      </c>
      <c r="FB33" s="341">
        <f>IFERROR(VLOOKUP(FB1,'PZ 2019'!$C$3:JC288,15,FALSE),0)</f>
        <v>0</v>
      </c>
      <c r="FC33" s="341">
        <f>IFERROR(VLOOKUP(FC1,'PZ 2019'!$C$3:JS288,15,FALSE),0)</f>
        <v>5962000</v>
      </c>
      <c r="FD33" s="341">
        <f>IFERROR(VLOOKUP(FD1,'PZ 2019'!$C$3:BU288,15,FALSE),0)</f>
        <v>1552100</v>
      </c>
      <c r="FE33" s="341">
        <f>IFERROR(VLOOKUP(FE1,'PZ 2019'!$C$3:AP288,15,FALSE),0)</f>
        <v>832200</v>
      </c>
      <c r="FF33" s="341">
        <f>IFERROR(VLOOKUP(FF1,'PZ 2019'!$C$3:EA288,15,FALSE),0)</f>
        <v>1000000</v>
      </c>
      <c r="FG33" s="341">
        <f>IFERROR(VLOOKUP(FG1,'PZ 2019'!$C$3:EO288,15,FALSE),0)</f>
        <v>2408000</v>
      </c>
      <c r="FH33" s="341">
        <f>IFERROR(VLOOKUP(FH1,'PZ 2019'!$C$3:AK288,15,FALSE),0)</f>
        <v>1608000</v>
      </c>
      <c r="FI33" s="341">
        <f>IFERROR(VLOOKUP(FI1,'PZ 2019'!$C$3:IF288,15,FALSE),0)</f>
        <v>1800000</v>
      </c>
      <c r="FJ33" s="341">
        <f>IFERROR(VLOOKUP(FJ1,'PZ 2019'!$C$3:FR288,15,FALSE),0)</f>
        <v>46542</v>
      </c>
      <c r="FK33" s="341">
        <f>IFERROR(VLOOKUP(FK1,'PZ 2019'!$C$3:EK288,15,FALSE),0)</f>
        <v>600000</v>
      </c>
      <c r="FL33" s="341">
        <f>IFERROR(VLOOKUP(FL1,'PZ 2019'!$C$3:BF288,15,FALSE),0)</f>
        <v>500000</v>
      </c>
      <c r="FM33" s="341">
        <f>IFERROR(VLOOKUP(FM1,'PZ 2019'!$C$3:FU288,15,FALSE),0)</f>
        <v>1539455</v>
      </c>
      <c r="FN33" s="341">
        <f>IFERROR(VLOOKUP(FN1,'PZ 2019'!$C$3:V288,15,FALSE),0)</f>
        <v>1288895</v>
      </c>
      <c r="FO33" s="341">
        <f>IFERROR(VLOOKUP(FO1,'PZ 2019'!$C$3:JB288,15,FALSE),0)</f>
        <v>1078183</v>
      </c>
      <c r="FP33" s="341">
        <f>IFERROR(VLOOKUP(FP1,'PZ 2019'!$C$3:DK288,15,FALSE),0)</f>
        <v>4524544</v>
      </c>
      <c r="FQ33" s="341">
        <f>IFERROR(VLOOKUP(FQ1,'PZ 2019'!$C$3:EX288,15,FALSE),0)</f>
        <v>113447</v>
      </c>
      <c r="FR33" s="341">
        <f>IFERROR(VLOOKUP(FR1,'PZ 2019'!$C$3:GQ288,15,FALSE),0)</f>
        <v>0</v>
      </c>
      <c r="FS33" s="341">
        <f>IFERROR(VLOOKUP(FS1,'PZ 2019'!$C$3:DW288,15,FALSE),0)</f>
        <v>207067</v>
      </c>
      <c r="FT33" s="341">
        <f>IFERROR(VLOOKUP(FT1,'PZ 2019'!$C$3:T288,15,FALSE),0)</f>
        <v>83229</v>
      </c>
      <c r="FU33" s="341">
        <f>IFERROR(VLOOKUP(FU1,'PZ 2019'!$C$3:DR288,15,FALSE),0)</f>
        <v>0</v>
      </c>
      <c r="FV33" s="341">
        <f>IFERROR(VLOOKUP(FV1,'PZ 2019'!$C$3:IS288,15,FALSE),0)</f>
        <v>1668344</v>
      </c>
      <c r="FW33" s="341">
        <f>IFERROR(VLOOKUP(FW1,'PZ 2019'!$C$3:HH288,15,FALSE),0)</f>
        <v>0</v>
      </c>
      <c r="FX33" s="341">
        <f>IFERROR(VLOOKUP(FX1,'PZ 2019'!$C$3:AN288,15,FALSE),0)</f>
        <v>0</v>
      </c>
      <c r="FY33" s="341">
        <f>IFERROR(VLOOKUP(FY1,'PZ 2019'!$C$3:EI288,15,FALSE),0)</f>
        <v>0</v>
      </c>
      <c r="FZ33" s="341">
        <f>IFERROR(VLOOKUP(FZ1,'PZ 2019'!$C$3:GU288,15,FALSE),0)</f>
        <v>5408290</v>
      </c>
      <c r="GA33" s="341">
        <f>IFERROR(VLOOKUP(GA1,'PZ 2019'!$C$3:CN288,15,FALSE),0)</f>
        <v>1110750</v>
      </c>
      <c r="GB33" s="341">
        <f>IFERROR(VLOOKUP(GB1,'PZ 2019'!$C$3:AV288,15,FALSE),0)</f>
        <v>4161580</v>
      </c>
      <c r="GC33" s="341">
        <f>IFERROR(VLOOKUP(GC1,'PZ 2019'!$C$3:CI288,15,FALSE),0)</f>
        <v>1427000</v>
      </c>
      <c r="GD33" s="341">
        <f>IFERROR(VLOOKUP(GD1,'PZ 2019'!$C$3:S288,15,FALSE),0)</f>
        <v>3850000</v>
      </c>
      <c r="GE33" s="341">
        <f>IFERROR(VLOOKUP(GE1,'PZ 2019'!$C$3:DD288,15,FALSE),0)</f>
        <v>867259</v>
      </c>
      <c r="GF33" s="341">
        <f>IFERROR(VLOOKUP(GF1,'PZ 2019'!$C$3:JT288,15,FALSE),0)</f>
        <v>1561000</v>
      </c>
      <c r="GG33" s="341">
        <f>IFERROR(VLOOKUP(GG1,'PZ 2019'!$C$3:DF288,15,FALSE),0)</f>
        <v>900000</v>
      </c>
      <c r="GH33" s="341">
        <f>IFERROR(VLOOKUP(GH1,'PZ 2019'!$C$3:BT288,15,FALSE),0)</f>
        <v>475000</v>
      </c>
      <c r="GI33" s="341">
        <f>IFERROR(VLOOKUP(GI1,'PZ 2019'!$C$3:DZ288,15,FALSE),0)</f>
        <v>6920000</v>
      </c>
      <c r="GJ33" s="341">
        <f>IFERROR(VLOOKUP(GJ1,'PZ 2019'!$C$3:IT288,15,FALSE),0)</f>
        <v>991270</v>
      </c>
      <c r="GK33" s="341">
        <f>IFERROR(VLOOKUP(GK1,'PZ 2019'!$C$3:GJ288,15,FALSE),0)</f>
        <v>742000</v>
      </c>
      <c r="GL33" s="341">
        <f>IFERROR(VLOOKUP(GL1,'PZ 2019'!$C$3:DT288,15,FALSE),0)</f>
        <v>653000</v>
      </c>
      <c r="GM33" s="341">
        <f>IFERROR(VLOOKUP(GM1,'PZ 2019'!$C$3:GO288,15,FALSE),0)</f>
        <v>595000</v>
      </c>
      <c r="GN33" s="341">
        <f>IFERROR(VLOOKUP(GN1,'PZ 2019'!$C$3:X288,15,FALSE),0)</f>
        <v>0</v>
      </c>
      <c r="GO33" s="341">
        <f>IFERROR(VLOOKUP(GO1,'PZ 2019'!$C$3:CT288,15,FALSE),0)</f>
        <v>1504000</v>
      </c>
      <c r="GP33" s="341">
        <f>IFERROR(VLOOKUP(GP1,'PZ 2019'!$C$3:JU288,15,FALSE),0)</f>
        <v>0</v>
      </c>
      <c r="GQ33" s="341">
        <f>IFERROR(VLOOKUP(GQ1,'PZ 2019'!$C$3:AD288,15,FALSE),0)</f>
        <v>0</v>
      </c>
      <c r="GR33" s="341">
        <f>IFERROR(VLOOKUP(GR1,'PZ 2019'!$C$3:EC288,15,FALSE),0)</f>
        <v>1293990</v>
      </c>
      <c r="GS33" s="341">
        <f>IFERROR(VLOOKUP(GS1,'PZ 2019'!$C$3:ID288,15,FALSE),0)</f>
        <v>0</v>
      </c>
      <c r="GT33" s="341">
        <f>IFERROR(VLOOKUP(GT1,'PZ 2019'!$C$3:GR288,15,FALSE),0)</f>
        <v>5804362</v>
      </c>
      <c r="GU33" s="341">
        <f>IFERROR(VLOOKUP(GU1,'PZ 2019'!$C$3:ES288,15,FALSE),0)</f>
        <v>480000</v>
      </c>
      <c r="GV33" s="341">
        <f>IFERROR(VLOOKUP(GV1,'PZ 2019'!$C$3:DO288,15,FALSE),0)</f>
        <v>2636744.54</v>
      </c>
      <c r="GW33" s="341">
        <f>IFERROR(VLOOKUP(GW1,'PZ 2019'!$C$3:CF288,15,FALSE),0)</f>
        <v>0</v>
      </c>
      <c r="GX33" s="341">
        <f>IFERROR(VLOOKUP(GX1,'PZ 2019'!$C$3:GH288,15,FALSE),0)</f>
        <v>311642.76</v>
      </c>
      <c r="GY33" s="341">
        <f>IFERROR(VLOOKUP(GY1,'PZ 2019'!$C$3:JM288,15,FALSE),0)</f>
        <v>12567000</v>
      </c>
      <c r="GZ33" s="341">
        <f>IFERROR(VLOOKUP(GZ1,'PZ 2019'!$C$3:EY288,15,FALSE),0)</f>
        <v>0</v>
      </c>
      <c r="HA33" s="341">
        <f>IFERROR(VLOOKUP(HA1,'PZ 2019'!$C$3:DN288,15,FALSE),0)</f>
        <v>0</v>
      </c>
      <c r="HB33" s="341">
        <f>IFERROR(VLOOKUP(HB1,'PZ 2019'!$C$3:EJ288,15,FALSE),0)</f>
        <v>0</v>
      </c>
      <c r="HC33" s="341">
        <f>IFERROR(VLOOKUP(HC1,'PZ 2019'!$C$3:BK288,15,FALSE),0)</f>
        <v>6686000</v>
      </c>
      <c r="HD33" s="341">
        <f>IFERROR(VLOOKUP(HD1,'PZ 2019'!$C$3:HA288,15,FALSE),0)</f>
        <v>0</v>
      </c>
      <c r="HE33" s="341">
        <f>IFERROR(VLOOKUP(HE1,'PZ 2019'!$C$3:IH288,15,FALSE),0)</f>
        <v>0</v>
      </c>
      <c r="HF33" s="341">
        <f>IFERROR(VLOOKUP(HF1,'PZ 2019'!$C$3:EL288,15,FALSE),0)</f>
        <v>22496</v>
      </c>
      <c r="HG33" s="341">
        <f>IFERROR(VLOOKUP(HG1,'PZ 2019'!$C$3:CC288,15,FALSE),0)</f>
        <v>0</v>
      </c>
      <c r="HH33" s="341">
        <f>IFERROR(VLOOKUP(HH1,'PZ 2019'!$C$3:JK288,15,FALSE),0)</f>
        <v>0</v>
      </c>
      <c r="HI33" s="341">
        <f>IFERROR(VLOOKUP(HI1,'PZ 2019'!$C$3:DA288,15,FALSE),0)</f>
        <v>2590000</v>
      </c>
      <c r="HJ33" s="341">
        <f>IFERROR(VLOOKUP(HJ1,'PZ 2019'!$C$3:FI288,15,FALSE),0)</f>
        <v>391200</v>
      </c>
      <c r="HK33" s="341">
        <f>IFERROR(VLOOKUP(HK1,'PZ 2019'!$C$3:JG288,15,FALSE),0)</f>
        <v>992500</v>
      </c>
      <c r="HL33" s="341">
        <f>IFERROR(VLOOKUP(HL1,'PZ 2019'!$C$3:EE288,15,FALSE),0)</f>
        <v>0</v>
      </c>
      <c r="HM33" s="341">
        <f>IFERROR(VLOOKUP(HM1,'PZ 2019'!$C$3:IB288,15,FALSE),0)</f>
        <v>0</v>
      </c>
      <c r="HN33" s="341">
        <f>IFERROR(VLOOKUP(HN1,'PZ 2019'!$C$3:FO288,15,FALSE),0)</f>
        <v>0</v>
      </c>
      <c r="HO33" s="341">
        <f>IFERROR(VLOOKUP(HO1,'PZ 2019'!$C$3:CU288,15,FALSE),0)</f>
        <v>0</v>
      </c>
      <c r="HP33" s="341">
        <f>IFERROR(VLOOKUP(HP1,'PZ 2019'!$C$3:DX288,15,FALSE),0)</f>
        <v>0</v>
      </c>
      <c r="HQ33" s="341">
        <f>IFERROR(VLOOKUP(HQ1,'PZ 2019'!$C$3:CO288,15,FALSE),0)</f>
        <v>0</v>
      </c>
      <c r="HR33" s="341">
        <f>IFERROR(VLOOKUP(HR1,'PZ 2019'!$C$3:CP288,15,FALSE),0)</f>
        <v>0</v>
      </c>
      <c r="HS33" s="341">
        <f>IFERROR(VLOOKUP(HS1,'PZ 2019'!$C$3:FY288,15,FALSE),0)</f>
        <v>0</v>
      </c>
      <c r="HT33" s="341">
        <f>IFERROR(VLOOKUP(HT1,'PZ 2019'!$C$3:EV288,15,FALSE),0)</f>
        <v>0</v>
      </c>
      <c r="HU33" s="341">
        <f>IFERROR(VLOOKUP(HU1,'PZ 2019'!$C$3:AB288,15,FALSE),0)</f>
        <v>45000</v>
      </c>
      <c r="HV33" s="341">
        <f>IFERROR(VLOOKUP(HV1,'PZ 2019'!$C$3:GB288,15,FALSE),0)</f>
        <v>0</v>
      </c>
      <c r="HW33" s="341">
        <f>IFERROR(VLOOKUP(HW1,'PZ 2019'!$C$3:CD288,15,FALSE),0)</f>
        <v>0</v>
      </c>
      <c r="HX33" s="341">
        <f>IFERROR(VLOOKUP(HX1,'PZ 2019'!$C$3:CZ288,15,FALSE),0)</f>
        <v>0</v>
      </c>
      <c r="HY33" s="341">
        <f>IFERROR(VLOOKUP(HY1,'PZ 2019'!$C$3:DY288,15,FALSE),0)</f>
        <v>0</v>
      </c>
      <c r="HZ33" s="341">
        <f>IFERROR(VLOOKUP(HZ1,'PZ 2019'!$C$3:EG288,15,FALSE),0)</f>
        <v>0</v>
      </c>
      <c r="IA33" s="341">
        <f>IFERROR(VLOOKUP(IA1,'PZ 2019'!$C$3:DC288,15,FALSE),0)</f>
        <v>0</v>
      </c>
      <c r="IB33" s="341">
        <f>IFERROR(VLOOKUP(IB1,'PZ 2019'!$C$3:BX288,15,FALSE),0)</f>
        <v>0</v>
      </c>
      <c r="IC33" s="341">
        <f>IFERROR(VLOOKUP(IC1,'PZ 2019'!$C$3:IC288,15,FALSE),0)</f>
        <v>0</v>
      </c>
      <c r="ID33" s="341">
        <f>IFERROR(VLOOKUP(ID1,'PZ 2019'!$C$3:BE288,15,FALSE),0)</f>
        <v>0</v>
      </c>
      <c r="IE33" s="341">
        <f>IFERROR(VLOOKUP(IE1,'PZ 2019'!$C$3:CA288,15,FALSE),0)</f>
        <v>0</v>
      </c>
      <c r="IF33" s="341">
        <f>IFERROR(VLOOKUP(IF1,'PZ 2019'!$C$3:JH288,15,FALSE),0)</f>
        <v>0</v>
      </c>
      <c r="IG33" s="341">
        <f>IFERROR(VLOOKUP(IG1,'PZ 2019'!$C$3:HG288,15,FALSE),0)</f>
        <v>0</v>
      </c>
      <c r="IH33" s="341">
        <f>IFERROR(VLOOKUP(IH1,'PZ 2019'!$C$3:HV288,15,FALSE),0)</f>
        <v>0</v>
      </c>
      <c r="II33" s="341">
        <f>IFERROR(VLOOKUP(II1,'PZ 2019'!$C$3:EM288,15,FALSE),0)</f>
        <v>0</v>
      </c>
      <c r="IJ33" s="341">
        <f>IFERROR(VLOOKUP(IJ1,'PZ 2019'!$C$3:DM288,15,FALSE),0)</f>
        <v>0</v>
      </c>
      <c r="IK33" s="341">
        <f>IFERROR(VLOOKUP(IK1,'PZ 2019'!$C$3:GZ288,15,FALSE),0)</f>
        <v>0</v>
      </c>
      <c r="IL33" s="341">
        <f>IFERROR(VLOOKUP(IL1,'PZ 2019'!$C$3:AY288,15,FALSE),0)</f>
        <v>0</v>
      </c>
      <c r="IM33" s="341">
        <f>IFERROR(VLOOKUP(IM1,'PZ 2019'!$C$3:AZ288,15,FALSE),0)</f>
        <v>0</v>
      </c>
      <c r="IN33" s="341">
        <f>IFERROR(VLOOKUP(IN1,'PZ 2019'!$C$3:GA288,15,FALSE),0)</f>
        <v>0</v>
      </c>
      <c r="IO33" s="341">
        <f>IFERROR(VLOOKUP(IO1,'PZ 2019'!$C$3:JR288,15,FALSE),0)</f>
        <v>0</v>
      </c>
      <c r="IP33" s="341">
        <f>IFERROR(VLOOKUP(IP1,'PZ 2019'!$C$3:JA288,15,FALSE),0)</f>
        <v>0</v>
      </c>
      <c r="IQ33" s="341">
        <f>IFERROR(VLOOKUP(IQ1,'PZ 2019'!$C$3:CW288,15,FALSE),0)</f>
        <v>0</v>
      </c>
      <c r="IR33" s="341">
        <f>IFERROR(VLOOKUP(IR1,'PZ 2019'!$C$3:DE288,15,FALSE),0)</f>
        <v>0</v>
      </c>
      <c r="IS33" s="341">
        <f>IFERROR(VLOOKUP(IS1,'PZ 2019'!$C$3:HD288,15,FALSE),0)</f>
        <v>0</v>
      </c>
      <c r="IT33" s="341">
        <f>IFERROR(VLOOKUP(IT1,'PZ 2019'!$C$3:FA288,15,FALSE),0)</f>
        <v>0</v>
      </c>
      <c r="IU33" s="341">
        <f>IFERROR(VLOOKUP(IU1,'PZ 2019'!$C$3:GP288,15,FALSE),0)</f>
        <v>0</v>
      </c>
      <c r="IV33" s="341">
        <f>IFERROR(VLOOKUP(IV1,'PZ 2019'!$C$3:CQ288,15,FALSE),0)</f>
        <v>0</v>
      </c>
      <c r="IW33" s="341">
        <f>IFERROR(VLOOKUP(IW1,'PZ 2019'!$C$3:ET288,15,FALSE),0)</f>
        <v>0</v>
      </c>
      <c r="IX33" s="341">
        <f>IFERROR(VLOOKUP(IX1,'PZ 2019'!$C$3:AI288,15,FALSE),0)</f>
        <v>0</v>
      </c>
      <c r="IY33" s="341">
        <f>IFERROR(VLOOKUP(IY1,'PZ 2019'!$C$3:GM288,15,FALSE),0)</f>
        <v>0</v>
      </c>
      <c r="IZ33" s="341">
        <f>IFERROR(VLOOKUP(IZ1,'PZ 2019'!$C$3:FC288,15,FALSE),0)</f>
        <v>0</v>
      </c>
      <c r="JA33" s="341">
        <f>IFERROR(VLOOKUP(JA1,'PZ 2019'!$C$3:HU288,15,FALSE),0)</f>
        <v>69500</v>
      </c>
      <c r="JB33" s="341">
        <f>IFERROR(VLOOKUP(JB1,'PZ 2019'!$C$3:JQ288,15,FALSE),0)</f>
        <v>129800</v>
      </c>
      <c r="JC33" s="341">
        <f>IFERROR(VLOOKUP(JC1,'PZ 2019'!$C$3:FG288,15,FALSE),0)</f>
        <v>80000</v>
      </c>
      <c r="JD33" s="341">
        <f>IFERROR(VLOOKUP(JD1,'PZ 2019'!$C$3:IZ288,15,FALSE),0)</f>
        <v>101900</v>
      </c>
      <c r="JE33" s="341">
        <f>IFERROR(VLOOKUP(JE1,'PZ 2019'!$C$3:FT288,15,FALSE),0)</f>
        <v>0</v>
      </c>
      <c r="JF33" s="341">
        <f>IFERROR(VLOOKUP(JF1,'PZ 2019'!$C$3:AF288,15,FALSE),0)</f>
        <v>0</v>
      </c>
      <c r="JG33" s="341">
        <f>IFERROR(VLOOKUP(JG1,'PZ 2019'!$C$3:BI288,15,FALSE),0)</f>
        <v>16000</v>
      </c>
      <c r="JH33" s="341">
        <f>IFERROR(VLOOKUP(JH1,'PZ 2019'!$C$3:IA288,15,FALSE),0)</f>
        <v>0</v>
      </c>
      <c r="JI33" s="341">
        <f>SUM(C33:JH33)</f>
        <v>154970969.30000001</v>
      </c>
      <c r="JL33" s="307">
        <f t="shared" ref="JL33:JO34" si="44">SUMIFS($C33:$JH33,$C$5:$JH$5,JL$5)</f>
        <v>530000</v>
      </c>
      <c r="JM33" s="307">
        <f t="shared" si="44"/>
        <v>53110874</v>
      </c>
      <c r="JN33" s="307">
        <f t="shared" si="44"/>
        <v>100887895.30000001</v>
      </c>
      <c r="JO33" s="307">
        <f t="shared" si="44"/>
        <v>442200</v>
      </c>
      <c r="JP33" s="307">
        <f t="shared" ref="JP33:JP34" si="45">SUM(JL33:JO33)</f>
        <v>154970969.30000001</v>
      </c>
    </row>
    <row r="34" spans="1:277" x14ac:dyDescent="0.25">
      <c r="A34" s="338"/>
      <c r="B34" s="338" t="s">
        <v>1835</v>
      </c>
      <c r="C34" s="341">
        <f>IFERROR(VLOOKUP(C1,'PZ 2018'!$C$3:AL278,14,FALSE),0)</f>
        <v>0</v>
      </c>
      <c r="D34" s="341">
        <f>IFERROR(VLOOKUP(D1,'PZ 2018'!$C$3:IM278,14,FALSE),0)</f>
        <v>200000</v>
      </c>
      <c r="E34" s="341">
        <f>IFERROR(VLOOKUP(E1,'PZ 2018'!$C$3:CJ278,14,FALSE),0)</f>
        <v>170000</v>
      </c>
      <c r="F34" s="341">
        <f>IFERROR(VLOOKUP(F1,'PZ 2018'!$C$3:FL278,14,FALSE),0)</f>
        <v>359000</v>
      </c>
      <c r="G34" s="341">
        <f>IFERROR(VLOOKUP(G1,'PZ 2018'!$C$3:CU278,14,FALSE),0)</f>
        <v>1415500</v>
      </c>
      <c r="H34" s="341">
        <f>IFERROR(VLOOKUP(H1,'PZ 2018'!$C$3:GW278,14,FALSE),0)</f>
        <v>0</v>
      </c>
      <c r="I34" s="341">
        <f>IFERROR(VLOOKUP(I1,'PZ 2018'!$C$3:JN278,14,FALSE),0)</f>
        <v>412500</v>
      </c>
      <c r="J34" s="341">
        <f>IFERROR(VLOOKUP(J1,'PZ 2018'!$C$3:EA278,14,FALSE),0)</f>
        <v>99900</v>
      </c>
      <c r="K34" s="341">
        <f>IFERROR(VLOOKUP(K1,'PZ 2018'!$C$3:AR278,14,FALSE),0)</f>
        <v>20000</v>
      </c>
      <c r="L34" s="341">
        <f>IFERROR(VLOOKUP(L1,'PZ 2018'!$C$3:CL278,14,FALSE),0)</f>
        <v>148000</v>
      </c>
      <c r="M34" s="341">
        <f>IFERROR(VLOOKUP(M1,'PZ 2018'!$C$3:BG278,14,FALSE),0)</f>
        <v>248500</v>
      </c>
      <c r="N34" s="341">
        <f>IFERROR(VLOOKUP(N1,'PZ 2018'!$C$3:EE278,14,FALSE),0)</f>
        <v>549000</v>
      </c>
      <c r="O34" s="341">
        <f>IFERROR(VLOOKUP(O1,'PZ 2018'!$C$3:FY278,14,FALSE),0)</f>
        <v>307500</v>
      </c>
      <c r="P34" s="341">
        <f>IFERROR(VLOOKUP(P1,'PZ 2018'!$C$3:GE278,14,FALSE),0)</f>
        <v>428000</v>
      </c>
      <c r="Q34" s="341">
        <f>IFERROR(VLOOKUP(Q1,'PZ 2018'!$C$3:ID278,14,FALSE),0)</f>
        <v>169000</v>
      </c>
      <c r="R34" s="341">
        <f>IFERROR(VLOOKUP(R1,'PZ 2018'!$C$3:DG278,14,FALSE),0)</f>
        <v>361116</v>
      </c>
      <c r="S34" s="341">
        <f>IFERROR(VLOOKUP(S1,'PZ 2018'!$C$3:EY278,14,FALSE),0)</f>
        <v>116084</v>
      </c>
      <c r="T34" s="341">
        <f>IFERROR(VLOOKUP(T1,'PZ 2018'!$C$3:FP278,14,FALSE),0)</f>
        <v>120000</v>
      </c>
      <c r="U34" s="341">
        <f>IFERROR(VLOOKUP(U1,'PZ 2018'!$C$3:JK278,14,FALSE),0)</f>
        <v>165000</v>
      </c>
      <c r="V34" s="341">
        <f>IFERROR(VLOOKUP(V1,'PZ 2018'!$C$3:JM278,14,FALSE),0)</f>
        <v>3500000</v>
      </c>
      <c r="W34" s="341">
        <f>IFERROR(VLOOKUP(W1,'PZ 2018'!$C$3:GV278,14,FALSE),0)</f>
        <v>820000</v>
      </c>
      <c r="X34" s="341">
        <f>IFERROR(VLOOKUP(X1,'PZ 2018'!$C$3:BN278,14,FALSE),0)</f>
        <v>75000</v>
      </c>
      <c r="Y34" s="341">
        <f>IFERROR(VLOOKUP(Y1,'PZ 2018'!$C$3:IU278,14,FALSE),0)</f>
        <v>100000</v>
      </c>
      <c r="Z34" s="341">
        <f>IFERROR(VLOOKUP(Z1,'PZ 2018'!$C$3:IV278,14,FALSE),0)</f>
        <v>0</v>
      </c>
      <c r="AA34" s="341">
        <f>IFERROR(VLOOKUP(AA1,'PZ 2018'!$C$3:IK278,14,FALSE),0)</f>
        <v>180000</v>
      </c>
      <c r="AB34" s="341">
        <f>IFERROR(VLOOKUP(AB1,'PZ 2018'!$C$3:AT278,14,FALSE),0)</f>
        <v>154334.58000000002</v>
      </c>
      <c r="AC34" s="341">
        <f>IFERROR(VLOOKUP(AC1,'PZ 2018'!$C$3:AU278,14,FALSE),0)</f>
        <v>136928.35999999999</v>
      </c>
      <c r="AD34" s="341">
        <f>IFERROR(VLOOKUP(AD1,'PZ 2018'!$C$3:FU278,14,FALSE),0)</f>
        <v>106192.22</v>
      </c>
      <c r="AE34" s="341">
        <f>IFERROR(VLOOKUP(AE1,'PZ 2018'!$C$3:FR278,14,FALSE),0)</f>
        <v>3694.84</v>
      </c>
      <c r="AF34" s="341">
        <f>IFERROR(VLOOKUP(AF1,'PZ 2018'!$C$3:HI278,14,FALSE),0)</f>
        <v>6850</v>
      </c>
      <c r="AG34" s="341">
        <f>IFERROR(VLOOKUP(AG1,'PZ 2018'!$C$3:Q278,14,FALSE),0)</f>
        <v>267500</v>
      </c>
      <c r="AH34" s="341">
        <f>IFERROR(VLOOKUP(AH1,'PZ 2018'!$C$3:AG278,14,FALSE),0)</f>
        <v>96000</v>
      </c>
      <c r="AI34" s="341">
        <f>IFERROR(VLOOKUP(AI1,'PZ 2018'!$C$3:HM278,14,FALSE),0)</f>
        <v>105000</v>
      </c>
      <c r="AJ34" s="341">
        <f>IFERROR(VLOOKUP(AJ1,'PZ 2018'!$C$3:IJ278,14,FALSE),0)</f>
        <v>122000</v>
      </c>
      <c r="AK34" s="341">
        <f>IFERROR(VLOOKUP(AK1,'PZ 2018'!$C$3:ET278,14,FALSE),0)</f>
        <v>0</v>
      </c>
      <c r="AL34" s="341">
        <f>IFERROR(VLOOKUP(AL1,'PZ 2018'!$C$3:HX278,14,FALSE),0)</f>
        <v>204000</v>
      </c>
      <c r="AM34" s="341">
        <f>IFERROR(VLOOKUP(AM1,'PZ 2018'!$C$3:BV278,14,FALSE),0)</f>
        <v>60116</v>
      </c>
      <c r="AN34" s="341">
        <f>IFERROR(VLOOKUP(AN1,'PZ 2018'!$C$3:AB278,14,FALSE),0)</f>
        <v>90000</v>
      </c>
      <c r="AO34" s="341">
        <f>IFERROR(VLOOKUP(AO1,'PZ 2018'!$C$3:AZ278,14,FALSE),0)</f>
        <v>2303000</v>
      </c>
      <c r="AP34" s="341">
        <f>IFERROR(VLOOKUP(AP1,'PZ 2018'!$C$3:II278,14,FALSE),0)</f>
        <v>0</v>
      </c>
      <c r="AQ34" s="341">
        <f>IFERROR(VLOOKUP(AQ1,'PZ 2018'!$C$3:HD278,14,FALSE),0)</f>
        <v>50000</v>
      </c>
      <c r="AR34" s="341">
        <f>IFERROR(VLOOKUP(AR1,'PZ 2018'!$C$3:HR278,14,FALSE),0)</f>
        <v>139500</v>
      </c>
      <c r="AS34" s="341">
        <f>IFERROR(VLOOKUP(AS1,'PZ 2018'!$C$3:JC278,14,FALSE),0)</f>
        <v>37000</v>
      </c>
      <c r="AT34" s="341">
        <f>IFERROR(VLOOKUP(AT1,'PZ 2018'!$C$3:BP278,14,FALSE),0)</f>
        <v>169000</v>
      </c>
      <c r="AU34" s="341">
        <f>IFERROR(VLOOKUP(AU1,'PZ 2018'!$C$3:HP278,14,FALSE),0)</f>
        <v>160000</v>
      </c>
      <c r="AV34" s="341">
        <f>IFERROR(VLOOKUP(AV1,'PZ 2018'!$C$3:DP278,14,FALSE),0)</f>
        <v>57000</v>
      </c>
      <c r="AW34" s="341">
        <f>IFERROR(VLOOKUP(AW1,'PZ 2018'!$C$3:HE278,14,FALSE),0)</f>
        <v>52000</v>
      </c>
      <c r="AX34" s="341">
        <f>IFERROR(VLOOKUP(AX1,'PZ 2018'!$C$3:Z278,14,FALSE),0)</f>
        <v>183950</v>
      </c>
      <c r="AY34" s="341">
        <f>IFERROR(VLOOKUP(AY1,'PZ 2018'!$C$3:BB278,14,FALSE),0)</f>
        <v>238000</v>
      </c>
      <c r="AZ34" s="341">
        <f>IFERROR(VLOOKUP(AZ1,'PZ 2018'!$C$3:BR278,14,FALSE),0)</f>
        <v>141490</v>
      </c>
      <c r="BA34" s="341">
        <f>IFERROR(VLOOKUP(BA1,'PZ 2018'!$C$3:HB278,14,FALSE),0)</f>
        <v>930000</v>
      </c>
      <c r="BB34" s="341">
        <f>IFERROR(VLOOKUP(BB1,'PZ 2018'!$C$3:JH278,14,FALSE),0)</f>
        <v>111000</v>
      </c>
      <c r="BC34" s="341">
        <f>IFERROR(VLOOKUP(BC1,'PZ 2018'!$C$3:HW278,14,FALSE),0)</f>
        <v>68500</v>
      </c>
      <c r="BD34" s="341">
        <f>IFERROR(VLOOKUP(BD1,'PZ 2018'!$C$3:HS278,14,FALSE),0)</f>
        <v>304000</v>
      </c>
      <c r="BE34" s="341">
        <f>IFERROR(VLOOKUP(BE1,'PZ 2018'!$C$3:FG278,14,FALSE),0)</f>
        <v>176000</v>
      </c>
      <c r="BF34" s="341">
        <f>IFERROR(VLOOKUP(BF1,'PZ 2018'!$C$3:T278,14,FALSE),0)</f>
        <v>194000</v>
      </c>
      <c r="BG34" s="341">
        <f>IFERROR(VLOOKUP(BG1,'PZ 2018'!$C$3:FA278,14,FALSE),0)</f>
        <v>412000</v>
      </c>
      <c r="BH34" s="341">
        <f>IFERROR(VLOOKUP(BH1,'PZ 2018'!$C$3:AD278,14,FALSE),0)</f>
        <v>265998</v>
      </c>
      <c r="BI34" s="341">
        <f>IFERROR(VLOOKUP(BI1,'PZ 2018'!$C$3:IX278,14,FALSE),0)</f>
        <v>100000</v>
      </c>
      <c r="BJ34" s="341">
        <f>IFERROR(VLOOKUP(BJ1,'PZ 2018'!$C$3:BU278,14,FALSE),0)</f>
        <v>219000</v>
      </c>
      <c r="BK34" s="341">
        <f>IFERROR(VLOOKUP(BK1,'PZ 2018'!$C$3:BO278,14,FALSE),0)</f>
        <v>48000</v>
      </c>
      <c r="BL34" s="341">
        <f>IFERROR(VLOOKUP(BL1,'PZ 2018'!$C$3:DH278,14,FALSE),0)</f>
        <v>0</v>
      </c>
      <c r="BM34" s="341">
        <f>IFERROR(VLOOKUP(BM1,'PZ 2018'!$C$3:CG278,14,FALSE),0)</f>
        <v>50000</v>
      </c>
      <c r="BN34" s="341">
        <f>IFERROR(VLOOKUP(BN1,'PZ 2018'!$C$3:EG278,14,FALSE),0)</f>
        <v>166000</v>
      </c>
      <c r="BO34" s="341">
        <f>IFERROR(VLOOKUP(BO1,'PZ 2018'!$C$3:BX278,14,FALSE),0)</f>
        <v>151000</v>
      </c>
      <c r="BP34" s="341">
        <f>IFERROR(VLOOKUP(BP1,'PZ 2018'!$C$3:GF278,14,FALSE),0)</f>
        <v>777000</v>
      </c>
      <c r="BQ34" s="341">
        <f>IFERROR(VLOOKUP(BQ1,'PZ 2018'!$C$3:GX278,14,FALSE),0)</f>
        <v>0</v>
      </c>
      <c r="BR34" s="341">
        <f>IFERROR(VLOOKUP(BR1,'PZ 2018'!$C$3:CF278,14,FALSE),0)</f>
        <v>80000</v>
      </c>
      <c r="BS34" s="341">
        <f>IFERROR(VLOOKUP(BS1,'PZ 2018'!$C$3:IF278,14,FALSE),0)</f>
        <v>169000</v>
      </c>
      <c r="BT34" s="341">
        <f>IFERROR(VLOOKUP(BT1,'PZ 2018'!$C$3:IN278,14,FALSE),0)</f>
        <v>156000</v>
      </c>
      <c r="BU34" s="341">
        <f>IFERROR(VLOOKUP(BU1,'PZ 2018'!$C$3:IP278,14,FALSE),0)</f>
        <v>1150000</v>
      </c>
      <c r="BV34" s="341">
        <f>IFERROR(VLOOKUP(BV1,'PZ 2018'!$C$3:BL278,14,FALSE),0)</f>
        <v>0</v>
      </c>
      <c r="BW34" s="341">
        <f>IFERROR(VLOOKUP(BW1,'PZ 2018'!$C$3:FV278,14,FALSE),0)</f>
        <v>0</v>
      </c>
      <c r="BX34" s="341">
        <f>IFERROR(VLOOKUP(BX1,'PZ 2018'!$C$3:BF278,14,FALSE),0)</f>
        <v>1250000</v>
      </c>
      <c r="BY34" s="341">
        <f>IFERROR(VLOOKUP(BY1,'PZ 2018'!$C$3:HH278,14,FALSE),0)</f>
        <v>710000</v>
      </c>
      <c r="BZ34" s="341">
        <f>IFERROR(VLOOKUP(BZ1,'PZ 2018'!$C$3:FI278,14,FALSE),0)</f>
        <v>150000</v>
      </c>
      <c r="CA34" s="341">
        <f>IFERROR(VLOOKUP(CA1,'PZ 2018'!$C$3:JU278,14,FALSE),0)</f>
        <v>0</v>
      </c>
      <c r="CB34" s="341">
        <f>IFERROR(VLOOKUP(CB1,'PZ 2018'!$C$3:GD278,14,FALSE),0)</f>
        <v>0</v>
      </c>
      <c r="CC34" s="341">
        <f>IFERROR(VLOOKUP(CC1,'PZ 2018'!$C$3:CD278,14,FALSE),0)</f>
        <v>296000</v>
      </c>
      <c r="CD34" s="341">
        <f>IFERROR(VLOOKUP(CD1,'PZ 2018'!$C$3:FE278,14,FALSE),0)</f>
        <v>156000</v>
      </c>
      <c r="CE34" s="341">
        <f>IFERROR(VLOOKUP(CE1,'PZ 2018'!$C$3:EP278,14,FALSE),0)</f>
        <v>3761706</v>
      </c>
      <c r="CF34" s="341">
        <f>IFERROR(VLOOKUP(CF1,'PZ 2018'!$C$3:AW278,14,FALSE),0)</f>
        <v>354000</v>
      </c>
      <c r="CG34" s="341">
        <f>IFERROR(VLOOKUP(CG1,'PZ 2018'!$C$3:V278,14,FALSE),0)</f>
        <v>1703000</v>
      </c>
      <c r="CH34" s="341">
        <f>IFERROR(VLOOKUP(CH1,'PZ 2018'!$C$3:DU278,14,FALSE),0)</f>
        <v>764000</v>
      </c>
      <c r="CI34" s="341">
        <f>IFERROR(VLOOKUP(CI1,'PZ 2018'!$C$3:GB278,14,FALSE),0)</f>
        <v>112000</v>
      </c>
      <c r="CJ34" s="341">
        <f>IFERROR(VLOOKUP(CJ1,'PZ 2018'!$C$3:HK278,14,FALSE),0)</f>
        <v>661000</v>
      </c>
      <c r="CK34" s="341">
        <f>IFERROR(VLOOKUP(CK1,'PZ 2018'!$C$3:BC278,14,FALSE),0)</f>
        <v>575000</v>
      </c>
      <c r="CL34" s="341">
        <f>IFERROR(VLOOKUP(CL1,'PZ 2018'!$C$3:CA278,14,FALSE),0)</f>
        <v>521000</v>
      </c>
      <c r="CM34" s="341">
        <f>IFERROR(VLOOKUP(CM1,'PZ 2018'!$C$3:JD278,14,FALSE),0)</f>
        <v>939500</v>
      </c>
      <c r="CN34" s="341">
        <f>IFERROR(VLOOKUP(CN1,'PZ 2018'!$C$3:AQ278,14,FALSE),0)</f>
        <v>165000</v>
      </c>
      <c r="CO34" s="341">
        <f>IFERROR(VLOOKUP(CO1,'PZ 2018'!$C$3:BM278,14,FALSE),0)</f>
        <v>250000</v>
      </c>
      <c r="CP34" s="341">
        <f>IFERROR(VLOOKUP(CP1,'PZ 2018'!$C$3:GC278,14,FALSE),0)</f>
        <v>215000</v>
      </c>
      <c r="CQ34" s="341">
        <f>IFERROR(VLOOKUP(CQ1,'PZ 2018'!$C$3:BA278,14,FALSE),0)</f>
        <v>552705</v>
      </c>
      <c r="CR34" s="341">
        <f>IFERROR(VLOOKUP(CR1,'PZ 2018'!$C$3:FM278,14,FALSE),0)</f>
        <v>0</v>
      </c>
      <c r="CS34" s="341">
        <f>IFERROR(VLOOKUP(CS1,'PZ 2018'!$C$3:IH278,14,FALSE),0)</f>
        <v>0</v>
      </c>
      <c r="CT34" s="341">
        <f>IFERROR(VLOOKUP(CT1,'PZ 2018'!$C$3:IO278,14,FALSE),0)</f>
        <v>600000</v>
      </c>
      <c r="CU34" s="341">
        <f>IFERROR(VLOOKUP(CU1,'PZ 2018'!$C$3:X278,14,FALSE),0)</f>
        <v>91500</v>
      </c>
      <c r="CV34" s="341">
        <f>IFERROR(VLOOKUP(CV1,'PZ 2018'!$C$3:FD278,14,FALSE),0)</f>
        <v>127500</v>
      </c>
      <c r="CW34" s="341">
        <f>IFERROR(VLOOKUP(CW1,'PZ 2018'!$C$3:GS278,14,FALSE),0)</f>
        <v>0</v>
      </c>
      <c r="CX34" s="341">
        <f>IFERROR(VLOOKUP(CX1,'PZ 2018'!$C$3:HA278,14,FALSE),0)</f>
        <v>373468</v>
      </c>
      <c r="CY34" s="341">
        <f>IFERROR(VLOOKUP(CY1,'PZ 2018'!$C$3:CI278,14,FALSE),0)</f>
        <v>277673</v>
      </c>
      <c r="CZ34" s="341">
        <f>IFERROR(VLOOKUP(CZ1,'PZ 2018'!$C$3:BY278,14,FALSE),0)</f>
        <v>50000</v>
      </c>
      <c r="DA34" s="341">
        <f>IFERROR(VLOOKUP(DA1,'PZ 2018'!$C$3:IQ278,14,FALSE),0)</f>
        <v>0</v>
      </c>
      <c r="DB34" s="341">
        <f>IFERROR(VLOOKUP(DB1,'PZ 2018'!$C$3:GH278,14,FALSE),0)</f>
        <v>200000</v>
      </c>
      <c r="DC34" s="341">
        <f>IFERROR(VLOOKUP(DC1,'PZ 2018'!$C$3:HV278,14,FALSE),0)</f>
        <v>265000</v>
      </c>
      <c r="DD34" s="341">
        <f>IFERROR(VLOOKUP(DD1,'PZ 2018'!$C$3:CX278,14,FALSE),0)</f>
        <v>90000</v>
      </c>
      <c r="DE34" s="341">
        <f>IFERROR(VLOOKUP(DE1,'PZ 2018'!$C$3:GM278,14,FALSE),0)</f>
        <v>201800</v>
      </c>
      <c r="DF34" s="341">
        <f>IFERROR(VLOOKUP(DF1,'PZ 2018'!$C$3:HQ278,14,FALSE),0)</f>
        <v>250000</v>
      </c>
      <c r="DG34" s="341">
        <f>IFERROR(VLOOKUP(DG1,'PZ 2018'!$C$3:JO278,14,FALSE),0)</f>
        <v>0</v>
      </c>
      <c r="DH34" s="341">
        <f>IFERROR(VLOOKUP(DH1,'PZ 2018'!$C$3:Y278,14,FALSE),0)</f>
        <v>100000</v>
      </c>
      <c r="DI34" s="341">
        <f>IFERROR(VLOOKUP(DI1,'PZ 2018'!$C$3:AF278,14,FALSE),0)</f>
        <v>33480</v>
      </c>
      <c r="DJ34" s="341">
        <f>IFERROR(VLOOKUP(DJ1,'PZ 2018'!$C$3:FW278,14,FALSE),0)</f>
        <v>90000</v>
      </c>
      <c r="DK34" s="341">
        <f>IFERROR(VLOOKUP(DK1,'PZ 2018'!$C$3:HJ278,14,FALSE),0)</f>
        <v>42480</v>
      </c>
      <c r="DL34" s="341">
        <f>IFERROR(VLOOKUP(DL1,'PZ 2018'!$C$3:AV278,14,FALSE),0)</f>
        <v>370000</v>
      </c>
      <c r="DM34" s="341">
        <f>IFERROR(VLOOKUP(DM1,'PZ 2018'!$C$3:FJ278,14,FALSE),0)</f>
        <v>508000</v>
      </c>
      <c r="DN34" s="341">
        <f>IFERROR(VLOOKUP(DN1,'PZ 2018'!$C$3:BK278,14,FALSE),0)</f>
        <v>455000</v>
      </c>
      <c r="DO34" s="341">
        <f>IFERROR(VLOOKUP(DO1,'PZ 2018'!$C$3:DT278,14,FALSE),0)</f>
        <v>0</v>
      </c>
      <c r="DP34" s="341">
        <f>IFERROR(VLOOKUP(DP1,'PZ 2018'!$C$3:HY278,14,FALSE),0)</f>
        <v>383000</v>
      </c>
      <c r="DQ34" s="341">
        <f>IFERROR(VLOOKUP(DQ1,'PZ 2018'!$C$3:DR278,14,FALSE),0)</f>
        <v>274000</v>
      </c>
      <c r="DR34" s="341">
        <f>IFERROR(VLOOKUP(DR1,'PZ 2018'!$C$3:JI278,14,FALSE),0)</f>
        <v>46000</v>
      </c>
      <c r="DS34" s="341">
        <f>IFERROR(VLOOKUP(DS1,'PZ 2018'!$C$3:FK278,14,FALSE),0)</f>
        <v>0</v>
      </c>
      <c r="DT34" s="341">
        <f>IFERROR(VLOOKUP(DT1,'PZ 2018'!$C$3:HO278,14,FALSE),0)</f>
        <v>0</v>
      </c>
      <c r="DU34" s="341">
        <f>IFERROR(VLOOKUP(DU1,'PZ 2018'!$C$3:HL278,14,FALSE),0)</f>
        <v>160000</v>
      </c>
      <c r="DV34" s="341">
        <f>IFERROR(VLOOKUP(DV1,'PZ 2018'!$C$3:FC278,14,FALSE),0)</f>
        <v>300000</v>
      </c>
      <c r="DW34" s="341">
        <f>IFERROR(VLOOKUP(DW1,'PZ 2018'!$C$3:GU278,14,FALSE),0)</f>
        <v>0</v>
      </c>
      <c r="DX34" s="341">
        <f>IFERROR(VLOOKUP(DX1,'PZ 2018'!$C$3:CQ278,14,FALSE),0)</f>
        <v>300000</v>
      </c>
      <c r="DY34" s="341">
        <f>IFERROR(VLOOKUP(DY1,'PZ 2018'!$C$3:AP278,14,FALSE),0)</f>
        <v>100000</v>
      </c>
      <c r="DZ34" s="341">
        <f>IFERROR(VLOOKUP(DZ1,'PZ 2018'!$C$3:DA278,14,FALSE),0)</f>
        <v>0</v>
      </c>
      <c r="EA34" s="341">
        <f>IFERROR(VLOOKUP(EA1,'PZ 2018'!$C$3:CK278,14,FALSE),0)</f>
        <v>120000</v>
      </c>
      <c r="EB34" s="341">
        <f>IFERROR(VLOOKUP(EB1,'PZ 2018'!$C$3:DF278,14,FALSE),0)</f>
        <v>225000</v>
      </c>
      <c r="EC34" s="341">
        <f>IFERROR(VLOOKUP(EC1,'PZ 2018'!$C$3:AI278,14,FALSE),0)</f>
        <v>121000</v>
      </c>
      <c r="ED34" s="341">
        <f>IFERROR(VLOOKUP(ED1,'PZ 2018'!$C$3:IL278,14,FALSE),0)</f>
        <v>391000</v>
      </c>
      <c r="EE34" s="341">
        <f>IFERROR(VLOOKUP(EE1,'PZ 2018'!$C$3:BI278,14,FALSE),0)</f>
        <v>70000</v>
      </c>
      <c r="EF34" s="341">
        <f>IFERROR(VLOOKUP(EF1,'PZ 2018'!$C$3:EV278,14,FALSE),0)</f>
        <v>100000</v>
      </c>
      <c r="EG34" s="341">
        <f>IFERROR(VLOOKUP(EG1,'PZ 2018'!$C$3:GJ278,14,FALSE),0)</f>
        <v>10000</v>
      </c>
      <c r="EH34" s="341">
        <f>IFERROR(VLOOKUP(EH1,'PZ 2018'!$C$3:CW278,14,FALSE),0)</f>
        <v>70000</v>
      </c>
      <c r="EI34" s="341">
        <f>IFERROR(VLOOKUP(EI1,'PZ 2018'!$C$3:AS278,14,FALSE),0)</f>
        <v>110000</v>
      </c>
      <c r="EJ34" s="341">
        <f>IFERROR(VLOOKUP(EJ1,'PZ 2018'!$C$3:DI278,14,FALSE),0)</f>
        <v>25000</v>
      </c>
      <c r="EK34" s="341">
        <f>IFERROR(VLOOKUP(EK1,'PZ 2018'!$C$3:BQ278,14,FALSE),0)</f>
        <v>616000</v>
      </c>
      <c r="EL34" s="341">
        <f>IFERROR(VLOOKUP(EL1,'PZ 2018'!$C$3:IW278,14,FALSE),0)</f>
        <v>2899000</v>
      </c>
      <c r="EM34" s="341">
        <f>IFERROR(VLOOKUP(EM1,'PZ 2018'!$C$3:DO278,14,FALSE),0)</f>
        <v>581000</v>
      </c>
      <c r="EN34" s="341">
        <f>IFERROR(VLOOKUP(EN1,'PZ 2018'!$C$3:EO278,14,FALSE),0)</f>
        <v>0</v>
      </c>
      <c r="EO34" s="341">
        <f>IFERROR(VLOOKUP(EO1,'PZ 2018'!$C$3:IT278,14,FALSE),0)</f>
        <v>15000</v>
      </c>
      <c r="EP34" s="341">
        <f>IFERROR(VLOOKUP(EP1,'PZ 2018'!$C$3:EQ278,14,FALSE),0)</f>
        <v>189045</v>
      </c>
      <c r="EQ34" s="341">
        <f>IFERROR(VLOOKUP(EQ1,'PZ 2018'!$C$3:GR278,14,FALSE),0)</f>
        <v>30000</v>
      </c>
      <c r="ER34" s="341">
        <f>IFERROR(VLOOKUP(ER1,'PZ 2018'!$C$3:AN278,14,FALSE),0)</f>
        <v>3375000</v>
      </c>
      <c r="ES34" s="341">
        <f>IFERROR(VLOOKUP(ES1,'PZ 2018'!$C$3:JE278,14,FALSE),0)</f>
        <v>1068000</v>
      </c>
      <c r="ET34" s="341">
        <f>IFERROR(VLOOKUP(ET1,'PZ 2018'!$C$3:GK278,14,FALSE),0)</f>
        <v>0</v>
      </c>
      <c r="EU34" s="341">
        <f>IFERROR(VLOOKUP(EU1,'PZ 2018'!$C$3:EM278,14,FALSE),0)</f>
        <v>0</v>
      </c>
      <c r="EV34" s="341">
        <f>IFERROR(VLOOKUP(EV1,'PZ 2018'!$C$3:DK278,14,FALSE),0)</f>
        <v>265000</v>
      </c>
      <c r="EW34" s="341">
        <f>IFERROR(VLOOKUP(EW1,'PZ 2018'!$C$3:CR278,14,FALSE),0)</f>
        <v>2210000</v>
      </c>
      <c r="EX34" s="341">
        <f>IFERROR(VLOOKUP(EX1,'PZ 2018'!$C$3:HN278,14,FALSE),0)</f>
        <v>2560000</v>
      </c>
      <c r="EY34" s="341">
        <f>IFERROR(VLOOKUP(EY1,'PZ 2018'!$C$3:EC278,14,FALSE),0)</f>
        <v>720000</v>
      </c>
      <c r="EZ34" s="341">
        <f>IFERROR(VLOOKUP(EZ1,'PZ 2018'!$C$3:FO278,14,FALSE),0)</f>
        <v>1578567</v>
      </c>
      <c r="FA34" s="341">
        <f>IFERROR(VLOOKUP(FA1,'PZ 2018'!$C$3:AK278,14,FALSE),0)</f>
        <v>996261</v>
      </c>
      <c r="FB34" s="341">
        <f>IFERROR(VLOOKUP(FB1,'PZ 2018'!$C$3:JB278,14,FALSE),0)</f>
        <v>0</v>
      </c>
      <c r="FC34" s="341">
        <f>IFERROR(VLOOKUP(FC1,'PZ 2018'!$C$3:JR278,14,FALSE),0)</f>
        <v>5464500</v>
      </c>
      <c r="FD34" s="341">
        <f>IFERROR(VLOOKUP(FD1,'PZ 2018'!$C$3:BT278,14,FALSE),0)</f>
        <v>1162000</v>
      </c>
      <c r="FE34" s="341">
        <f>IFERROR(VLOOKUP(FE1,'PZ 2018'!$C$3:AO278,14,FALSE),0)</f>
        <v>668000</v>
      </c>
      <c r="FF34" s="341">
        <f>IFERROR(VLOOKUP(FF1,'PZ 2018'!$C$3:DZ278,14,FALSE),0)</f>
        <v>1000000</v>
      </c>
      <c r="FG34" s="341">
        <f>IFERROR(VLOOKUP(FG1,'PZ 2018'!$C$3:EN278,14,FALSE),0)</f>
        <v>2431500</v>
      </c>
      <c r="FH34" s="341">
        <f>IFERROR(VLOOKUP(FH1,'PZ 2018'!$C$3:AJ278,14,FALSE),0)</f>
        <v>1641500</v>
      </c>
      <c r="FI34" s="341">
        <f>IFERROR(VLOOKUP(FI1,'PZ 2018'!$C$3:IE278,14,FALSE),0)</f>
        <v>1200000</v>
      </c>
      <c r="FJ34" s="341">
        <f>IFERROR(VLOOKUP(FJ1,'PZ 2018'!$C$3:FQ278,14,FALSE),0)</f>
        <v>1177383</v>
      </c>
      <c r="FK34" s="341">
        <f>IFERROR(VLOOKUP(FK1,'PZ 2018'!$C$3:EJ278,14,FALSE),0)</f>
        <v>633403</v>
      </c>
      <c r="FL34" s="341">
        <f>IFERROR(VLOOKUP(FL1,'PZ 2018'!$C$3:BE278,14,FALSE),0)</f>
        <v>451804</v>
      </c>
      <c r="FM34" s="341">
        <f>IFERROR(VLOOKUP(FM1,'PZ 2018'!$C$3:FT278,14,FALSE),0)</f>
        <v>1813013</v>
      </c>
      <c r="FN34" s="341">
        <f>IFERROR(VLOOKUP(FN1,'PZ 2018'!$C$3:U278,14,FALSE),0)</f>
        <v>579850</v>
      </c>
      <c r="FO34" s="341">
        <f>IFERROR(VLOOKUP(FO1,'PZ 2018'!$C$3:JA278,14,FALSE),0)</f>
        <v>775300</v>
      </c>
      <c r="FP34" s="341">
        <f>IFERROR(VLOOKUP(FP1,'PZ 2018'!$C$3:DJ278,14,FALSE),0)</f>
        <v>4118200</v>
      </c>
      <c r="FQ34" s="341">
        <f>IFERROR(VLOOKUP(FQ1,'PZ 2018'!$C$3:EW278,14,FALSE),0)</f>
        <v>118200</v>
      </c>
      <c r="FR34" s="341">
        <f>IFERROR(VLOOKUP(FR1,'PZ 2018'!$C$3:GP278,14,FALSE),0)</f>
        <v>0</v>
      </c>
      <c r="FS34" s="341">
        <f>IFERROR(VLOOKUP(FS1,'PZ 2018'!$C$3:DV278,14,FALSE),0)</f>
        <v>205800</v>
      </c>
      <c r="FT34" s="341">
        <f>IFERROR(VLOOKUP(FT1,'PZ 2018'!$C$3:S278,14,FALSE),0)</f>
        <v>2240223.16</v>
      </c>
      <c r="FU34" s="341">
        <f>IFERROR(VLOOKUP(FU1,'PZ 2018'!$C$3:DQ278,14,FALSE),0)</f>
        <v>204301</v>
      </c>
      <c r="FV34" s="341">
        <f>IFERROR(VLOOKUP(FV1,'PZ 2018'!$C$3:IR278,14,FALSE),0)</f>
        <v>1195099.6000000001</v>
      </c>
      <c r="FW34" s="341">
        <f>IFERROR(VLOOKUP(FW1,'PZ 2018'!$C$3:HG278,14,FALSE),0)</f>
        <v>621321</v>
      </c>
      <c r="FX34" s="341">
        <f>IFERROR(VLOOKUP(FX1,'PZ 2018'!$C$3:AM278,14,FALSE),0)</f>
        <v>402204.18</v>
      </c>
      <c r="FY34" s="341">
        <f>IFERROR(VLOOKUP(FY1,'PZ 2018'!$C$3:EH278,14,FALSE),0)</f>
        <v>147190</v>
      </c>
      <c r="FZ34" s="341">
        <f>IFERROR(VLOOKUP(FZ1,'PZ 2018'!$C$3:GT278,14,FALSE),0)</f>
        <v>4108306</v>
      </c>
      <c r="GA34" s="341">
        <f>IFERROR(VLOOKUP(GA1,'PZ 2018'!$C$3:CM278,14,FALSE),0)</f>
        <v>1067400</v>
      </c>
      <c r="GB34" s="341">
        <f>IFERROR(VLOOKUP(GB1,'PZ 2018'!$C$3:AU278,14,FALSE),0)</f>
        <v>1862794</v>
      </c>
      <c r="GC34" s="341">
        <f>IFERROR(VLOOKUP(GC1,'PZ 2018'!$C$3:CH278,14,FALSE),0)</f>
        <v>1119616</v>
      </c>
      <c r="GD34" s="341">
        <f>IFERROR(VLOOKUP(GD1,'PZ 2018'!$C$3:R278,14,FALSE),0)</f>
        <v>2877384</v>
      </c>
      <c r="GE34" s="341">
        <f>IFERROR(VLOOKUP(GE1,'PZ 2018'!$C$3:DC278,14,FALSE),0)</f>
        <v>760629</v>
      </c>
      <c r="GF34" s="341">
        <f>IFERROR(VLOOKUP(GF1,'PZ 2018'!$C$3:JS278,14,FALSE),0)</f>
        <v>1389762</v>
      </c>
      <c r="GG34" s="341">
        <f>IFERROR(VLOOKUP(GG1,'PZ 2018'!$C$3:DE278,14,FALSE),0)</f>
        <v>830000</v>
      </c>
      <c r="GH34" s="341">
        <f>IFERROR(VLOOKUP(GH1,'PZ 2018'!$C$3:BS278,14,FALSE),0)</f>
        <v>480000</v>
      </c>
      <c r="GI34" s="341">
        <f>IFERROR(VLOOKUP(GI1,'PZ 2018'!$C$3:DY278,14,FALSE),0)</f>
        <v>7145000</v>
      </c>
      <c r="GJ34" s="341">
        <f>IFERROR(VLOOKUP(GJ1,'PZ 2018'!$C$3:IS278,14,FALSE),0)</f>
        <v>510780</v>
      </c>
      <c r="GK34" s="341">
        <f>IFERROR(VLOOKUP(GK1,'PZ 2018'!$C$3:GI278,14,FALSE),0)</f>
        <v>583000</v>
      </c>
      <c r="GL34" s="341">
        <f>IFERROR(VLOOKUP(GL1,'PZ 2018'!$C$3:DS278,14,FALSE),0)</f>
        <v>485000</v>
      </c>
      <c r="GM34" s="341">
        <f>IFERROR(VLOOKUP(GM1,'PZ 2018'!$C$3:GN278,14,FALSE),0)</f>
        <v>495000</v>
      </c>
      <c r="GN34" s="341">
        <f>IFERROR(VLOOKUP(GN1,'PZ 2018'!$C$3:W278,14,FALSE),0)</f>
        <v>206397.66</v>
      </c>
      <c r="GO34" s="341">
        <f>IFERROR(VLOOKUP(GO1,'PZ 2018'!$C$3:CS278,14,FALSE),0)</f>
        <v>1367400</v>
      </c>
      <c r="GP34" s="341">
        <f>IFERROR(VLOOKUP(GP1,'PZ 2018'!$C$3:JT278,14,FALSE),0)</f>
        <v>1078336</v>
      </c>
      <c r="GQ34" s="341">
        <f>IFERROR(VLOOKUP(GQ1,'PZ 2018'!$C$3:AC278,14,FALSE),0)</f>
        <v>1066404</v>
      </c>
      <c r="GR34" s="341">
        <f>IFERROR(VLOOKUP(GR1,'PZ 2018'!$C$3:EB278,14,FALSE),0)</f>
        <v>1194960.3</v>
      </c>
      <c r="GS34" s="341">
        <f>IFERROR(VLOOKUP(GS1,'PZ 2018'!$C$3:IC278,14,FALSE),0)</f>
        <v>849738.18</v>
      </c>
      <c r="GT34" s="341">
        <f>IFERROR(VLOOKUP(GT1,'PZ 2018'!$C$3:GQ278,14,FALSE),0)</f>
        <v>4859603</v>
      </c>
      <c r="GU34" s="341">
        <f>IFERROR(VLOOKUP(GU1,'PZ 2018'!$C$3:ER278,14,FALSE),0)</f>
        <v>384000</v>
      </c>
      <c r="GV34" s="341">
        <f>IFERROR(VLOOKUP(GV1,'PZ 2018'!$C$3:DN278,14,FALSE),0)</f>
        <v>0</v>
      </c>
      <c r="GW34" s="341">
        <f>IFERROR(VLOOKUP(GW1,'PZ 2018'!$C$3:CE278,14,FALSE),0)</f>
        <v>1188833</v>
      </c>
      <c r="GX34" s="341">
        <f>IFERROR(VLOOKUP(GX1,'PZ 2018'!$C$3:GG278,14,FALSE),0)</f>
        <v>503673.85</v>
      </c>
      <c r="GY34" s="341">
        <f>IFERROR(VLOOKUP(GY1,'PZ 2018'!$C$3:JL278,14,FALSE),0)</f>
        <v>12590000</v>
      </c>
      <c r="GZ34" s="341">
        <f>IFERROR(VLOOKUP(GZ1,'PZ 2018'!$C$3:EX278,14,FALSE),0)</f>
        <v>0</v>
      </c>
      <c r="HA34" s="341">
        <f>IFERROR(VLOOKUP(HA1,'PZ 2018'!$C$3:DM278,14,FALSE),0)</f>
        <v>7000000</v>
      </c>
      <c r="HB34" s="341">
        <f>IFERROR(VLOOKUP(HB1,'PZ 2018'!$C$3:EI278,14,FALSE),0)</f>
        <v>9050000</v>
      </c>
      <c r="HC34" s="341">
        <f>IFERROR(VLOOKUP(HC1,'PZ 2018'!$C$3:BJ278,14,FALSE),0)</f>
        <v>4550967</v>
      </c>
      <c r="HD34" s="341">
        <f>IFERROR(VLOOKUP(HD1,'PZ 2018'!$C$3:GZ278,14,FALSE),0)</f>
        <v>1897307</v>
      </c>
      <c r="HE34" s="341">
        <f>IFERROR(VLOOKUP(HE1,'PZ 2018'!$C$3:IG278,14,FALSE),0)</f>
        <v>2971345</v>
      </c>
      <c r="HF34" s="341">
        <f>IFERROR(VLOOKUP(HF1,'PZ 2018'!$C$3:EK278,14,FALSE),0)</f>
        <v>1230257</v>
      </c>
      <c r="HG34" s="341">
        <f>IFERROR(VLOOKUP(HG1,'PZ 2018'!$C$3:CB278,14,FALSE),0)</f>
        <v>405927.64</v>
      </c>
      <c r="HH34" s="341">
        <f>IFERROR(VLOOKUP(HH1,'PZ 2018'!$C$3:JJ278,14,FALSE),0)</f>
        <v>1476086.36</v>
      </c>
      <c r="HI34" s="341">
        <f>IFERROR(VLOOKUP(HI1,'PZ 2018'!$C$3:CZ278,14,FALSE),0)</f>
        <v>2109180.7599999998</v>
      </c>
      <c r="HJ34" s="341">
        <f>IFERROR(VLOOKUP(HJ1,'PZ 2018'!$C$3:FH278,14,FALSE),0)</f>
        <v>161984.95999999999</v>
      </c>
      <c r="HK34" s="341">
        <f>IFERROR(VLOOKUP(HK1,'PZ 2018'!$C$3:JF278,14,FALSE),0)</f>
        <v>700000</v>
      </c>
      <c r="HL34" s="341">
        <f>IFERROR(VLOOKUP(HL1,'PZ 2018'!$C$3:ED278,14,FALSE),0)</f>
        <v>0</v>
      </c>
      <c r="HM34" s="341">
        <f>IFERROR(VLOOKUP(HM1,'PZ 2018'!$C$3:IA278,14,FALSE),0)</f>
        <v>0</v>
      </c>
      <c r="HN34" s="341">
        <f>IFERROR(VLOOKUP(HN1,'PZ 2018'!$C$3:FN278,14,FALSE),0)</f>
        <v>0</v>
      </c>
      <c r="HO34" s="341">
        <f>IFERROR(VLOOKUP(HO1,'PZ 2018'!$C$3:CT278,14,FALSE),0)</f>
        <v>0</v>
      </c>
      <c r="HP34" s="341">
        <f>IFERROR(VLOOKUP(HP1,'PZ 2018'!$C$3:DW278,14,FALSE),0)</f>
        <v>0</v>
      </c>
      <c r="HQ34" s="341">
        <f>IFERROR(VLOOKUP(HQ1,'PZ 2018'!$C$3:CN278,14,FALSE),0)</f>
        <v>0</v>
      </c>
      <c r="HR34" s="341">
        <f>IFERROR(VLOOKUP(HR1,'PZ 2018'!$C$3:CO278,14,FALSE),0)</f>
        <v>0</v>
      </c>
      <c r="HS34" s="341">
        <f>IFERROR(VLOOKUP(HS1,'PZ 2018'!$C$3:FX278,14,FALSE),0)</f>
        <v>0</v>
      </c>
      <c r="HT34" s="341">
        <f>IFERROR(VLOOKUP(HT1,'PZ 2018'!$C$3:EU278,14,FALSE),0)</f>
        <v>0</v>
      </c>
      <c r="HU34" s="341">
        <f>IFERROR(VLOOKUP(HU1,'PZ 2018'!$C$3:AA278,14,FALSE),0)</f>
        <v>48866</v>
      </c>
      <c r="HV34" s="341">
        <f>IFERROR(VLOOKUP(HV1,'PZ 2018'!$C$3:GA278,14,FALSE),0)</f>
        <v>0</v>
      </c>
      <c r="HW34" s="341">
        <f>IFERROR(VLOOKUP(HW1,'PZ 2018'!$C$3:CC278,14,FALSE),0)</f>
        <v>0</v>
      </c>
      <c r="HX34" s="341">
        <f>IFERROR(VLOOKUP(HX1,'PZ 2018'!$C$3:CY278,14,FALSE),0)</f>
        <v>0</v>
      </c>
      <c r="HY34" s="341">
        <f>IFERROR(VLOOKUP(HY1,'PZ 2018'!$C$3:DX278,14,FALSE),0)</f>
        <v>10000</v>
      </c>
      <c r="HZ34" s="341">
        <f>IFERROR(VLOOKUP(HZ1,'PZ 2018'!$C$3:EF278,14,FALSE),0)</f>
        <v>0</v>
      </c>
      <c r="IA34" s="341">
        <f>IFERROR(VLOOKUP(IA1,'PZ 2018'!$C$3:DB278,14,FALSE),0)</f>
        <v>0</v>
      </c>
      <c r="IB34" s="341">
        <f>IFERROR(VLOOKUP(IB1,'PZ 2018'!$C$3:BW278,14,FALSE),0)</f>
        <v>0</v>
      </c>
      <c r="IC34" s="341">
        <f>IFERROR(VLOOKUP(IC1,'PZ 2018'!$C$3:IB278,14,FALSE),0)</f>
        <v>0</v>
      </c>
      <c r="ID34" s="341">
        <f>IFERROR(VLOOKUP(ID1,'PZ 2018'!$C$3:BD278,14,FALSE),0)</f>
        <v>0</v>
      </c>
      <c r="IE34" s="341">
        <f>IFERROR(VLOOKUP(IE1,'PZ 2018'!$C$3:BZ278,14,FALSE),0)</f>
        <v>0</v>
      </c>
      <c r="IF34" s="341">
        <f>IFERROR(VLOOKUP(IF1,'PZ 2018'!$C$3:JG278,14,FALSE),0)</f>
        <v>0</v>
      </c>
      <c r="IG34" s="341">
        <f>IFERROR(VLOOKUP(IG1,'PZ 2018'!$C$3:HF278,14,FALSE),0)</f>
        <v>0</v>
      </c>
      <c r="IH34" s="341">
        <f>IFERROR(VLOOKUP(IH1,'PZ 2018'!$C$3:HU278,14,FALSE),0)</f>
        <v>0</v>
      </c>
      <c r="II34" s="341">
        <f>IFERROR(VLOOKUP(II1,'PZ 2018'!$C$3:EL278,14,FALSE),0)</f>
        <v>0</v>
      </c>
      <c r="IJ34" s="341">
        <f>IFERROR(VLOOKUP(IJ1,'PZ 2018'!$C$3:DL278,14,FALSE),0)</f>
        <v>0</v>
      </c>
      <c r="IK34" s="341">
        <f>IFERROR(VLOOKUP(IK1,'PZ 2018'!$C$3:GY278,14,FALSE),0)</f>
        <v>0</v>
      </c>
      <c r="IL34" s="341">
        <f>IFERROR(VLOOKUP(IL1,'PZ 2018'!$C$3:AX278,14,FALSE),0)</f>
        <v>0</v>
      </c>
      <c r="IM34" s="341">
        <f>IFERROR(VLOOKUP(IM1,'PZ 2018'!$C$3:AY278,14,FALSE),0)</f>
        <v>0</v>
      </c>
      <c r="IN34" s="341">
        <f>IFERROR(VLOOKUP(IN1,'PZ 2018'!$C$3:FZ278,14,FALSE),0)</f>
        <v>0</v>
      </c>
      <c r="IO34" s="341">
        <f>IFERROR(VLOOKUP(IO1,'PZ 2018'!$C$3:JQ278,14,FALSE),0)</f>
        <v>0</v>
      </c>
      <c r="IP34" s="341">
        <f>IFERROR(VLOOKUP(IP1,'PZ 2018'!$C$3:IZ278,14,FALSE),0)</f>
        <v>0</v>
      </c>
      <c r="IQ34" s="341">
        <f>IFERROR(VLOOKUP(IQ1,'PZ 2018'!$C$3:CV278,14,FALSE),0)</f>
        <v>0</v>
      </c>
      <c r="IR34" s="341">
        <f>IFERROR(VLOOKUP(IR1,'PZ 2018'!$C$3:DD278,14,FALSE),0)</f>
        <v>0</v>
      </c>
      <c r="IS34" s="341">
        <f>IFERROR(VLOOKUP(IS1,'PZ 2018'!$C$3:HC278,14,FALSE),0)</f>
        <v>0</v>
      </c>
      <c r="IT34" s="341">
        <f>IFERROR(VLOOKUP(IT1,'PZ 2018'!$C$3:EZ278,14,FALSE),0)</f>
        <v>0</v>
      </c>
      <c r="IU34" s="341">
        <f>IFERROR(VLOOKUP(IU1,'PZ 2018'!$C$3:GO278,14,FALSE),0)</f>
        <v>0</v>
      </c>
      <c r="IV34" s="341">
        <f>IFERROR(VLOOKUP(IV1,'PZ 2018'!$C$3:CP278,14,FALSE),0)</f>
        <v>0</v>
      </c>
      <c r="IW34" s="341">
        <f>IFERROR(VLOOKUP(IW1,'PZ 2018'!$C$3:ES278,14,FALSE),0)</f>
        <v>0</v>
      </c>
      <c r="IX34" s="341">
        <f>IFERROR(VLOOKUP(IX1,'PZ 2018'!$C$3:AH278,14,FALSE),0)</f>
        <v>0</v>
      </c>
      <c r="IY34" s="341">
        <f>IFERROR(VLOOKUP(IY1,'PZ 2018'!$C$3:GL278,14,FALSE),0)</f>
        <v>0</v>
      </c>
      <c r="IZ34" s="341">
        <f>IFERROR(VLOOKUP(IZ1,'PZ 2018'!$C$3:FB278,14,FALSE),0)</f>
        <v>0</v>
      </c>
      <c r="JA34" s="341">
        <f>IFERROR(VLOOKUP(JA1,'PZ 2018'!$C$3:HT278,14,FALSE),0)</f>
        <v>78000</v>
      </c>
      <c r="JB34" s="341">
        <f>IFERROR(VLOOKUP(JB1,'PZ 2018'!$C$3:JP278,14,FALSE),0)</f>
        <v>160000</v>
      </c>
      <c r="JC34" s="341">
        <f>IFERROR(VLOOKUP(JC1,'PZ 2018'!$C$3:FF278,14,FALSE),0)</f>
        <v>80000</v>
      </c>
      <c r="JD34" s="341">
        <f>IFERROR(VLOOKUP(JD1,'PZ 2018'!$C$3:IY278,14,FALSE),0)</f>
        <v>90000</v>
      </c>
      <c r="JE34" s="341">
        <f>IFERROR(VLOOKUP(JE1,'PZ 2018'!$C$3:FS278,14,FALSE),0)</f>
        <v>0</v>
      </c>
      <c r="JF34" s="341">
        <f>IFERROR(VLOOKUP(JF1,'PZ 2018'!$C$3:AE278,14,FALSE),0)</f>
        <v>0</v>
      </c>
      <c r="JG34" s="341">
        <f>IFERROR(VLOOKUP(JG1,'PZ 2018'!$C$3:BH278,14,FALSE),0)</f>
        <v>21000</v>
      </c>
      <c r="JH34" s="341">
        <f>IFERROR(VLOOKUP(JH1,'PZ 2018'!$C$3:HZ278,14,FALSE),0)</f>
        <v>0</v>
      </c>
      <c r="JI34" s="341">
        <f>SUM(C34:JH34)</f>
        <v>166840569.65000001</v>
      </c>
      <c r="JL34" s="307">
        <f t="shared" si="44"/>
        <v>370000</v>
      </c>
      <c r="JM34" s="307">
        <f t="shared" si="44"/>
        <v>48845011</v>
      </c>
      <c r="JN34" s="307">
        <f t="shared" si="44"/>
        <v>117137692.64999998</v>
      </c>
      <c r="JO34" s="307">
        <f t="shared" si="44"/>
        <v>487866</v>
      </c>
      <c r="JP34" s="307">
        <f t="shared" si="45"/>
        <v>166840569.64999998</v>
      </c>
    </row>
    <row r="35" spans="1:277" x14ac:dyDescent="0.25">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14"/>
      <c r="BG35" s="314"/>
      <c r="BH35" s="314"/>
      <c r="BI35" s="314"/>
      <c r="BJ35" s="314"/>
      <c r="BK35" s="314"/>
      <c r="BL35" s="314"/>
      <c r="BM35" s="314"/>
      <c r="BN35" s="314"/>
      <c r="BO35" s="314"/>
      <c r="BP35" s="314"/>
      <c r="BQ35" s="314"/>
      <c r="BR35" s="314"/>
      <c r="BS35" s="314"/>
      <c r="BT35" s="314"/>
      <c r="BU35" s="314"/>
      <c r="BV35" s="314"/>
      <c r="BW35" s="314"/>
      <c r="BX35" s="314"/>
      <c r="BY35" s="314"/>
      <c r="BZ35" s="314"/>
      <c r="CA35" s="314"/>
      <c r="CB35" s="314"/>
      <c r="CC35" s="314"/>
      <c r="CD35" s="314"/>
      <c r="CE35" s="314"/>
      <c r="CF35" s="314"/>
      <c r="CG35" s="314"/>
      <c r="CH35" s="314"/>
      <c r="CI35" s="314"/>
      <c r="CJ35" s="314"/>
      <c r="CK35" s="314"/>
      <c r="CL35" s="314"/>
      <c r="CM35" s="314"/>
      <c r="CN35" s="314"/>
      <c r="CO35" s="314"/>
      <c r="CP35" s="314"/>
      <c r="CQ35" s="314"/>
      <c r="CR35" s="314"/>
      <c r="CS35" s="314"/>
      <c r="CT35" s="314"/>
      <c r="CU35" s="314"/>
      <c r="CV35" s="314"/>
      <c r="CW35" s="314"/>
      <c r="CX35" s="314"/>
      <c r="CY35" s="314"/>
      <c r="CZ35" s="314"/>
      <c r="DA35" s="314"/>
      <c r="DB35" s="314"/>
      <c r="DC35" s="314"/>
      <c r="DD35" s="314"/>
      <c r="DE35" s="314"/>
      <c r="DF35" s="314"/>
      <c r="DG35" s="314"/>
      <c r="DH35" s="314"/>
      <c r="DI35" s="314"/>
      <c r="DJ35" s="314"/>
      <c r="DK35" s="314"/>
      <c r="DL35" s="314"/>
      <c r="DM35" s="314"/>
      <c r="DN35" s="314"/>
      <c r="DO35" s="314"/>
      <c r="DP35" s="314"/>
      <c r="DQ35" s="314"/>
      <c r="DR35" s="314"/>
      <c r="DS35" s="314"/>
      <c r="DT35" s="314"/>
      <c r="DU35" s="314"/>
      <c r="DV35" s="314"/>
      <c r="DW35" s="314"/>
      <c r="DX35" s="314"/>
      <c r="DY35" s="314"/>
      <c r="DZ35" s="314"/>
      <c r="EA35" s="314"/>
      <c r="EB35" s="314"/>
      <c r="EC35" s="314"/>
      <c r="ED35" s="314"/>
      <c r="EE35" s="314"/>
      <c r="EF35" s="314"/>
      <c r="EG35" s="314"/>
      <c r="EH35" s="314"/>
      <c r="EI35" s="314"/>
      <c r="EJ35" s="314"/>
      <c r="EK35" s="314"/>
      <c r="EL35" s="314"/>
      <c r="EM35" s="314"/>
      <c r="EN35" s="314"/>
      <c r="EO35" s="314"/>
      <c r="EP35" s="314"/>
      <c r="EQ35" s="314"/>
      <c r="ER35" s="314"/>
      <c r="ES35" s="314"/>
      <c r="ET35" s="314"/>
      <c r="EU35" s="314"/>
      <c r="EV35" s="314"/>
      <c r="EW35" s="314"/>
      <c r="EX35" s="314"/>
      <c r="EY35" s="314"/>
      <c r="EZ35" s="314"/>
      <c r="FA35" s="314"/>
      <c r="FB35" s="314"/>
      <c r="FC35" s="314"/>
      <c r="FD35" s="314"/>
      <c r="FE35" s="314"/>
      <c r="FF35" s="314"/>
      <c r="FG35" s="314"/>
      <c r="FH35" s="314"/>
      <c r="FI35" s="314"/>
      <c r="FJ35" s="314"/>
      <c r="FK35" s="314"/>
      <c r="FL35" s="314"/>
      <c r="FM35" s="314"/>
      <c r="FN35" s="314"/>
      <c r="FO35" s="314"/>
      <c r="FP35" s="314"/>
      <c r="FQ35" s="314"/>
      <c r="FR35" s="314"/>
      <c r="FS35" s="314"/>
      <c r="FT35" s="314"/>
      <c r="FU35" s="314"/>
      <c r="FV35" s="314"/>
      <c r="FW35" s="314"/>
      <c r="FX35" s="314"/>
      <c r="FY35" s="314"/>
      <c r="FZ35" s="314"/>
      <c r="GA35" s="314"/>
      <c r="GB35" s="314"/>
      <c r="GC35" s="314"/>
      <c r="GD35" s="314"/>
      <c r="GE35" s="314"/>
      <c r="GF35" s="314"/>
      <c r="GG35" s="314"/>
      <c r="GH35" s="314"/>
      <c r="GI35" s="314"/>
      <c r="GJ35" s="314"/>
      <c r="GK35" s="314"/>
      <c r="GL35" s="314"/>
      <c r="GM35" s="314"/>
      <c r="GN35" s="314"/>
      <c r="GO35" s="314"/>
      <c r="GP35" s="314"/>
      <c r="GQ35" s="314"/>
      <c r="GR35" s="314"/>
      <c r="GS35" s="314"/>
      <c r="GT35" s="314"/>
      <c r="GU35" s="314"/>
      <c r="GV35" s="314"/>
      <c r="GW35" s="314"/>
      <c r="GX35" s="314"/>
      <c r="GY35" s="314"/>
      <c r="GZ35" s="314"/>
      <c r="HA35" s="314"/>
      <c r="HB35" s="314"/>
      <c r="HC35" s="314"/>
      <c r="HD35" s="314"/>
      <c r="HE35" s="314"/>
      <c r="HF35" s="314"/>
      <c r="HG35" s="314"/>
      <c r="HH35" s="314"/>
      <c r="HI35" s="314"/>
      <c r="HJ35" s="314"/>
      <c r="HK35" s="314"/>
      <c r="HL35" s="314"/>
      <c r="HM35" s="314"/>
      <c r="HN35" s="314"/>
      <c r="HO35" s="314"/>
      <c r="HP35" s="314"/>
      <c r="HQ35" s="314"/>
      <c r="HR35" s="314"/>
      <c r="HS35" s="314"/>
      <c r="HT35" s="314"/>
      <c r="HU35" s="314"/>
      <c r="HV35" s="314"/>
      <c r="HW35" s="314"/>
      <c r="HX35" s="314"/>
      <c r="HY35" s="314"/>
      <c r="HZ35" s="314"/>
      <c r="IA35" s="314"/>
      <c r="IB35" s="314"/>
      <c r="IC35" s="314"/>
      <c r="ID35" s="314"/>
      <c r="IE35" s="314"/>
      <c r="IF35" s="314"/>
      <c r="IG35" s="314"/>
      <c r="IH35" s="314"/>
      <c r="II35" s="314"/>
      <c r="IJ35" s="314"/>
      <c r="IK35" s="314"/>
      <c r="IL35" s="314"/>
      <c r="IM35" s="314"/>
      <c r="IN35" s="314"/>
      <c r="IO35" s="314"/>
      <c r="IP35" s="314"/>
      <c r="IQ35" s="314"/>
      <c r="IR35" s="314"/>
      <c r="IS35" s="314"/>
      <c r="IT35" s="314"/>
      <c r="IU35" s="314"/>
      <c r="IV35" s="314"/>
      <c r="IW35" s="314"/>
      <c r="IX35" s="314"/>
      <c r="IY35" s="314"/>
      <c r="IZ35" s="314"/>
      <c r="JA35" s="314"/>
      <c r="JB35" s="314"/>
      <c r="JC35" s="314"/>
      <c r="JD35" s="314"/>
      <c r="JE35" s="314"/>
      <c r="JF35" s="314"/>
      <c r="JG35" s="314"/>
      <c r="JH35" s="314"/>
      <c r="JI35" s="314"/>
    </row>
    <row r="36" spans="1:277" x14ac:dyDescent="0.25">
      <c r="B36" s="313" t="s">
        <v>1836</v>
      </c>
      <c r="C36" s="314">
        <f t="shared" ref="C36:BO36" si="46">C42</f>
        <v>50000</v>
      </c>
      <c r="D36" s="314">
        <f t="shared" si="46"/>
        <v>300000</v>
      </c>
      <c r="E36" s="314">
        <f t="shared" si="46"/>
        <v>180000</v>
      </c>
      <c r="F36" s="314">
        <f t="shared" si="46"/>
        <v>362000</v>
      </c>
      <c r="G36" s="314">
        <f t="shared" si="46"/>
        <v>1426500</v>
      </c>
      <c r="H36" s="314">
        <f t="shared" si="46"/>
        <v>700000</v>
      </c>
      <c r="I36" s="314">
        <f t="shared" si="46"/>
        <v>719500</v>
      </c>
      <c r="J36" s="314">
        <f t="shared" si="46"/>
        <v>99900</v>
      </c>
      <c r="K36" s="314">
        <f t="shared" si="46"/>
        <v>20000</v>
      </c>
      <c r="L36" s="314">
        <f t="shared" si="46"/>
        <v>281750</v>
      </c>
      <c r="M36" s="314">
        <f t="shared" si="46"/>
        <v>316500</v>
      </c>
      <c r="N36" s="314">
        <f t="shared" si="46"/>
        <v>549000</v>
      </c>
      <c r="O36" s="314">
        <f t="shared" si="46"/>
        <v>307500</v>
      </c>
      <c r="P36" s="314">
        <f t="shared" si="46"/>
        <v>428000</v>
      </c>
      <c r="Q36" s="314">
        <f t="shared" si="46"/>
        <v>169000</v>
      </c>
      <c r="R36" s="314">
        <f t="shared" si="46"/>
        <v>456000</v>
      </c>
      <c r="S36" s="314">
        <f t="shared" si="46"/>
        <v>116084</v>
      </c>
      <c r="T36" s="314">
        <f t="shared" si="46"/>
        <v>120000</v>
      </c>
      <c r="U36" s="314">
        <f t="shared" si="46"/>
        <v>165000</v>
      </c>
      <c r="V36" s="314">
        <f t="shared" si="46"/>
        <v>4317000</v>
      </c>
      <c r="W36" s="314">
        <f t="shared" si="46"/>
        <v>934000</v>
      </c>
      <c r="X36" s="314">
        <f t="shared" si="46"/>
        <v>122000</v>
      </c>
      <c r="Y36" s="314">
        <f t="shared" si="46"/>
        <v>100000</v>
      </c>
      <c r="Z36" s="314">
        <f t="shared" si="46"/>
        <v>0</v>
      </c>
      <c r="AA36" s="314">
        <f t="shared" si="46"/>
        <v>295000</v>
      </c>
      <c r="AB36" s="314">
        <f t="shared" si="46"/>
        <v>154334.58000000002</v>
      </c>
      <c r="AC36" s="314">
        <f t="shared" ref="AC36" si="47">AC42</f>
        <v>136928.35999999999</v>
      </c>
      <c r="AD36" s="314">
        <f t="shared" si="46"/>
        <v>156800</v>
      </c>
      <c r="AE36" s="314">
        <f t="shared" si="46"/>
        <v>88800</v>
      </c>
      <c r="AF36" s="314">
        <f t="shared" si="46"/>
        <v>88800</v>
      </c>
      <c r="AG36" s="314">
        <f t="shared" si="46"/>
        <v>267500</v>
      </c>
      <c r="AH36" s="314">
        <f t="shared" si="46"/>
        <v>101700</v>
      </c>
      <c r="AI36" s="314">
        <f t="shared" si="46"/>
        <v>117300</v>
      </c>
      <c r="AJ36" s="314">
        <f t="shared" si="46"/>
        <v>123700</v>
      </c>
      <c r="AK36" s="314">
        <f t="shared" si="46"/>
        <v>0</v>
      </c>
      <c r="AL36" s="314">
        <f t="shared" si="46"/>
        <v>204000</v>
      </c>
      <c r="AM36" s="314">
        <f t="shared" si="46"/>
        <v>60116</v>
      </c>
      <c r="AN36" s="314">
        <f t="shared" si="46"/>
        <v>95000</v>
      </c>
      <c r="AO36" s="314">
        <f t="shared" si="46"/>
        <v>2581000</v>
      </c>
      <c r="AP36" s="314">
        <f t="shared" si="46"/>
        <v>0</v>
      </c>
      <c r="AQ36" s="314">
        <f t="shared" si="46"/>
        <v>50000</v>
      </c>
      <c r="AR36" s="314">
        <f t="shared" si="46"/>
        <v>139500</v>
      </c>
      <c r="AS36" s="314">
        <f t="shared" si="46"/>
        <v>37000</v>
      </c>
      <c r="AT36" s="314">
        <f t="shared" si="46"/>
        <v>169000</v>
      </c>
      <c r="AU36" s="314">
        <f t="shared" si="46"/>
        <v>160000</v>
      </c>
      <c r="AV36" s="314">
        <f t="shared" si="46"/>
        <v>117300</v>
      </c>
      <c r="AW36" s="314">
        <f t="shared" si="46"/>
        <v>156400</v>
      </c>
      <c r="AX36" s="314">
        <f t="shared" si="46"/>
        <v>258000</v>
      </c>
      <c r="AY36" s="314">
        <f t="shared" si="46"/>
        <v>238000</v>
      </c>
      <c r="AZ36" s="314">
        <f t="shared" si="46"/>
        <v>156185</v>
      </c>
      <c r="BA36" s="314">
        <f t="shared" si="46"/>
        <v>1120000</v>
      </c>
      <c r="BB36" s="314">
        <f t="shared" si="46"/>
        <v>140000</v>
      </c>
      <c r="BC36" s="314">
        <f t="shared" si="46"/>
        <v>137000</v>
      </c>
      <c r="BD36" s="314">
        <f t="shared" si="46"/>
        <v>304000</v>
      </c>
      <c r="BE36" s="314">
        <f t="shared" si="46"/>
        <v>176000</v>
      </c>
      <c r="BF36" s="314">
        <f t="shared" si="46"/>
        <v>376000</v>
      </c>
      <c r="BG36" s="314">
        <f t="shared" si="46"/>
        <v>490000</v>
      </c>
      <c r="BH36" s="314">
        <f t="shared" si="46"/>
        <v>397000</v>
      </c>
      <c r="BI36" s="314">
        <f t="shared" si="46"/>
        <v>100000</v>
      </c>
      <c r="BJ36" s="314">
        <f t="shared" si="46"/>
        <v>219000</v>
      </c>
      <c r="BK36" s="314">
        <f t="shared" si="46"/>
        <v>48000</v>
      </c>
      <c r="BL36" s="314">
        <f t="shared" si="46"/>
        <v>0</v>
      </c>
      <c r="BM36" s="314">
        <f t="shared" si="46"/>
        <v>50000</v>
      </c>
      <c r="BN36" s="314">
        <f t="shared" si="46"/>
        <v>326000</v>
      </c>
      <c r="BO36" s="314">
        <f t="shared" si="46"/>
        <v>222000</v>
      </c>
      <c r="BP36" s="314">
        <f t="shared" ref="BP36:EA36" si="48">BP42</f>
        <v>777000</v>
      </c>
      <c r="BQ36" s="314">
        <f t="shared" si="48"/>
        <v>0</v>
      </c>
      <c r="BR36" s="314">
        <f t="shared" si="48"/>
        <v>80000</v>
      </c>
      <c r="BS36" s="314">
        <f t="shared" si="48"/>
        <v>230000</v>
      </c>
      <c r="BT36" s="314">
        <f t="shared" si="48"/>
        <v>200000</v>
      </c>
      <c r="BU36" s="314">
        <f t="shared" si="48"/>
        <v>1150000</v>
      </c>
      <c r="BV36" s="314">
        <f t="shared" si="48"/>
        <v>0</v>
      </c>
      <c r="BW36" s="314">
        <f t="shared" si="48"/>
        <v>0</v>
      </c>
      <c r="BX36" s="314">
        <f t="shared" si="48"/>
        <v>1309761</v>
      </c>
      <c r="BY36" s="314">
        <f t="shared" si="48"/>
        <v>730000</v>
      </c>
      <c r="BZ36" s="314">
        <f t="shared" si="48"/>
        <v>150000</v>
      </c>
      <c r="CA36" s="314">
        <f t="shared" si="48"/>
        <v>0</v>
      </c>
      <c r="CB36" s="314">
        <f t="shared" si="48"/>
        <v>0</v>
      </c>
      <c r="CC36" s="314">
        <f t="shared" si="48"/>
        <v>404000</v>
      </c>
      <c r="CD36" s="314">
        <f t="shared" si="48"/>
        <v>156000</v>
      </c>
      <c r="CE36" s="314">
        <f t="shared" si="48"/>
        <v>4381300</v>
      </c>
      <c r="CF36" s="314">
        <f t="shared" si="48"/>
        <v>366900</v>
      </c>
      <c r="CG36" s="314">
        <f t="shared" si="48"/>
        <v>1830000</v>
      </c>
      <c r="CH36" s="314">
        <f t="shared" si="48"/>
        <v>890000</v>
      </c>
      <c r="CI36" s="314">
        <f t="shared" si="48"/>
        <v>200000</v>
      </c>
      <c r="CJ36" s="314">
        <f t="shared" si="48"/>
        <v>812000</v>
      </c>
      <c r="CK36" s="314">
        <f t="shared" si="48"/>
        <v>599000</v>
      </c>
      <c r="CL36" s="314">
        <f t="shared" si="48"/>
        <v>521000</v>
      </c>
      <c r="CM36" s="314">
        <f t="shared" si="48"/>
        <v>939500</v>
      </c>
      <c r="CN36" s="314">
        <f t="shared" si="48"/>
        <v>165000</v>
      </c>
      <c r="CO36" s="314">
        <f t="shared" si="48"/>
        <v>250000</v>
      </c>
      <c r="CP36" s="314">
        <f t="shared" si="48"/>
        <v>215000</v>
      </c>
      <c r="CQ36" s="314">
        <f t="shared" si="48"/>
        <v>740000</v>
      </c>
      <c r="CR36" s="314">
        <f t="shared" si="48"/>
        <v>50000</v>
      </c>
      <c r="CS36" s="314">
        <f t="shared" si="48"/>
        <v>0</v>
      </c>
      <c r="CT36" s="314">
        <f t="shared" si="48"/>
        <v>600000</v>
      </c>
      <c r="CU36" s="314">
        <f t="shared" si="48"/>
        <v>91500</v>
      </c>
      <c r="CV36" s="314">
        <f t="shared" si="48"/>
        <v>128500</v>
      </c>
      <c r="CW36" s="314">
        <f t="shared" si="48"/>
        <v>0</v>
      </c>
      <c r="CX36" s="314">
        <f t="shared" si="48"/>
        <v>373468</v>
      </c>
      <c r="CY36" s="314">
        <f t="shared" si="48"/>
        <v>277673</v>
      </c>
      <c r="CZ36" s="314">
        <f t="shared" si="48"/>
        <v>50000</v>
      </c>
      <c r="DA36" s="314">
        <f t="shared" si="48"/>
        <v>0</v>
      </c>
      <c r="DB36" s="314">
        <f t="shared" si="48"/>
        <v>200000</v>
      </c>
      <c r="DC36" s="314">
        <f t="shared" si="48"/>
        <v>265000</v>
      </c>
      <c r="DD36" s="314">
        <f t="shared" si="48"/>
        <v>215000</v>
      </c>
      <c r="DE36" s="314">
        <f t="shared" si="48"/>
        <v>235000</v>
      </c>
      <c r="DF36" s="314">
        <f t="shared" si="48"/>
        <v>450000</v>
      </c>
      <c r="DG36" s="314">
        <f t="shared" si="48"/>
        <v>0</v>
      </c>
      <c r="DH36" s="314">
        <f t="shared" si="48"/>
        <v>105200</v>
      </c>
      <c r="DI36" s="314">
        <f t="shared" si="48"/>
        <v>33480</v>
      </c>
      <c r="DJ36" s="314">
        <f t="shared" si="48"/>
        <v>90000</v>
      </c>
      <c r="DK36" s="314">
        <f t="shared" si="48"/>
        <v>42480</v>
      </c>
      <c r="DL36" s="314">
        <f t="shared" si="48"/>
        <v>1452000</v>
      </c>
      <c r="DM36" s="314">
        <f t="shared" si="48"/>
        <v>508000</v>
      </c>
      <c r="DN36" s="314">
        <f t="shared" si="48"/>
        <v>554000</v>
      </c>
      <c r="DO36" s="314">
        <f t="shared" si="48"/>
        <v>0</v>
      </c>
      <c r="DP36" s="314">
        <f t="shared" si="48"/>
        <v>415000</v>
      </c>
      <c r="DQ36" s="314">
        <f t="shared" si="48"/>
        <v>330000</v>
      </c>
      <c r="DR36" s="314">
        <f t="shared" si="48"/>
        <v>54000</v>
      </c>
      <c r="DS36" s="314">
        <f t="shared" si="48"/>
        <v>0</v>
      </c>
      <c r="DT36" s="314">
        <f t="shared" si="48"/>
        <v>50000</v>
      </c>
      <c r="DU36" s="314">
        <f t="shared" si="48"/>
        <v>260000</v>
      </c>
      <c r="DV36" s="314">
        <f t="shared" si="48"/>
        <v>600000</v>
      </c>
      <c r="DW36" s="314">
        <f t="shared" si="48"/>
        <v>165000</v>
      </c>
      <c r="DX36" s="314">
        <f t="shared" si="48"/>
        <v>455000</v>
      </c>
      <c r="DY36" s="314">
        <f t="shared" si="48"/>
        <v>150000</v>
      </c>
      <c r="DZ36" s="314">
        <f t="shared" si="48"/>
        <v>0</v>
      </c>
      <c r="EA36" s="314">
        <f t="shared" si="48"/>
        <v>130000</v>
      </c>
      <c r="EB36" s="314">
        <f t="shared" ref="EB36:GM36" si="49">EB42</f>
        <v>225000</v>
      </c>
      <c r="EC36" s="314">
        <f t="shared" si="49"/>
        <v>121000</v>
      </c>
      <c r="ED36" s="314">
        <f t="shared" si="49"/>
        <v>391000</v>
      </c>
      <c r="EE36" s="314">
        <f t="shared" si="49"/>
        <v>110000</v>
      </c>
      <c r="EF36" s="314">
        <f t="shared" si="49"/>
        <v>115000</v>
      </c>
      <c r="EG36" s="314">
        <f t="shared" si="49"/>
        <v>10000</v>
      </c>
      <c r="EH36" s="314">
        <f t="shared" si="49"/>
        <v>80000</v>
      </c>
      <c r="EI36" s="314">
        <f t="shared" si="49"/>
        <v>122000</v>
      </c>
      <c r="EJ36" s="314">
        <f t="shared" si="49"/>
        <v>78000</v>
      </c>
      <c r="EK36" s="314">
        <f t="shared" si="49"/>
        <v>659000</v>
      </c>
      <c r="EL36" s="314">
        <f t="shared" si="49"/>
        <v>3015000</v>
      </c>
      <c r="EM36" s="314">
        <f t="shared" si="49"/>
        <v>581000</v>
      </c>
      <c r="EN36" s="314">
        <f t="shared" si="49"/>
        <v>0</v>
      </c>
      <c r="EO36" s="314">
        <f t="shared" si="49"/>
        <v>15000</v>
      </c>
      <c r="EP36" s="314">
        <f t="shared" si="49"/>
        <v>202000</v>
      </c>
      <c r="EQ36" s="314">
        <f t="shared" si="49"/>
        <v>40000</v>
      </c>
      <c r="ER36" s="314">
        <f t="shared" si="49"/>
        <v>4235000</v>
      </c>
      <c r="ES36" s="314">
        <f t="shared" si="49"/>
        <v>1619100</v>
      </c>
      <c r="ET36" s="314">
        <f t="shared" si="49"/>
        <v>0</v>
      </c>
      <c r="EU36" s="314">
        <f t="shared" si="49"/>
        <v>12000</v>
      </c>
      <c r="EV36" s="314">
        <f t="shared" si="49"/>
        <v>265000</v>
      </c>
      <c r="EW36" s="314">
        <f t="shared" si="49"/>
        <v>2210000</v>
      </c>
      <c r="EX36" s="314">
        <f t="shared" si="49"/>
        <v>3600000</v>
      </c>
      <c r="EY36" s="314">
        <f t="shared" si="49"/>
        <v>1460000</v>
      </c>
      <c r="EZ36" s="314">
        <f t="shared" si="49"/>
        <v>1761805</v>
      </c>
      <c r="FA36" s="314">
        <f t="shared" si="49"/>
        <v>996261</v>
      </c>
      <c r="FB36" s="314">
        <f t="shared" si="49"/>
        <v>0</v>
      </c>
      <c r="FC36" s="314">
        <f t="shared" si="49"/>
        <v>5962000</v>
      </c>
      <c r="FD36" s="314">
        <f t="shared" si="49"/>
        <v>1552100</v>
      </c>
      <c r="FE36" s="314">
        <f t="shared" si="49"/>
        <v>832200</v>
      </c>
      <c r="FF36" s="314">
        <f t="shared" si="49"/>
        <v>1000000</v>
      </c>
      <c r="FG36" s="314">
        <f t="shared" si="49"/>
        <v>2431500</v>
      </c>
      <c r="FH36" s="314">
        <f t="shared" si="49"/>
        <v>1641500</v>
      </c>
      <c r="FI36" s="314">
        <f t="shared" si="49"/>
        <v>1800000</v>
      </c>
      <c r="FJ36" s="314">
        <f t="shared" si="49"/>
        <v>1177383</v>
      </c>
      <c r="FK36" s="314">
        <f t="shared" si="49"/>
        <v>633403</v>
      </c>
      <c r="FL36" s="314">
        <f t="shared" si="49"/>
        <v>500000</v>
      </c>
      <c r="FM36" s="314">
        <f t="shared" si="49"/>
        <v>1813013</v>
      </c>
      <c r="FN36" s="314">
        <f t="shared" si="49"/>
        <v>1288895</v>
      </c>
      <c r="FO36" s="314">
        <f t="shared" si="49"/>
        <v>1078183</v>
      </c>
      <c r="FP36" s="314">
        <f t="shared" si="49"/>
        <v>4524544</v>
      </c>
      <c r="FQ36" s="314">
        <f t="shared" si="49"/>
        <v>118200</v>
      </c>
      <c r="FR36" s="314">
        <f t="shared" si="49"/>
        <v>0</v>
      </c>
      <c r="FS36" s="314">
        <f t="shared" si="49"/>
        <v>207067</v>
      </c>
      <c r="FT36" s="314">
        <f t="shared" si="49"/>
        <v>2240223.16</v>
      </c>
      <c r="FU36" s="314">
        <f t="shared" si="49"/>
        <v>204301</v>
      </c>
      <c r="FV36" s="314">
        <f t="shared" si="49"/>
        <v>1668344</v>
      </c>
      <c r="FW36" s="314">
        <f t="shared" si="49"/>
        <v>621321</v>
      </c>
      <c r="FX36" s="314">
        <f t="shared" si="49"/>
        <v>402204.18</v>
      </c>
      <c r="FY36" s="314">
        <f t="shared" si="49"/>
        <v>147190</v>
      </c>
      <c r="FZ36" s="314">
        <f t="shared" si="49"/>
        <v>5408290</v>
      </c>
      <c r="GA36" s="314">
        <f t="shared" si="49"/>
        <v>1110750</v>
      </c>
      <c r="GB36" s="314">
        <f t="shared" si="49"/>
        <v>4161580</v>
      </c>
      <c r="GC36" s="314">
        <f t="shared" si="49"/>
        <v>1427000</v>
      </c>
      <c r="GD36" s="314">
        <f t="shared" si="49"/>
        <v>3850000</v>
      </c>
      <c r="GE36" s="314">
        <f t="shared" si="49"/>
        <v>867259</v>
      </c>
      <c r="GF36" s="314">
        <f t="shared" si="49"/>
        <v>1561000</v>
      </c>
      <c r="GG36" s="314">
        <f t="shared" si="49"/>
        <v>900000</v>
      </c>
      <c r="GH36" s="314">
        <f t="shared" si="49"/>
        <v>480000</v>
      </c>
      <c r="GI36" s="314">
        <f t="shared" si="49"/>
        <v>7145000</v>
      </c>
      <c r="GJ36" s="314">
        <f t="shared" si="49"/>
        <v>991270</v>
      </c>
      <c r="GK36" s="314">
        <f t="shared" si="49"/>
        <v>742000</v>
      </c>
      <c r="GL36" s="314">
        <f t="shared" si="49"/>
        <v>653000</v>
      </c>
      <c r="GM36" s="314">
        <f t="shared" si="49"/>
        <v>595000</v>
      </c>
      <c r="GN36" s="314">
        <f t="shared" ref="GN36:IY36" si="50">GN42</f>
        <v>206397.66</v>
      </c>
      <c r="GO36" s="314">
        <f t="shared" si="50"/>
        <v>1504000</v>
      </c>
      <c r="GP36" s="314">
        <f t="shared" si="50"/>
        <v>1078336</v>
      </c>
      <c r="GQ36" s="314">
        <f t="shared" si="50"/>
        <v>1066404</v>
      </c>
      <c r="GR36" s="314">
        <f t="shared" si="50"/>
        <v>1293990</v>
      </c>
      <c r="GS36" s="314">
        <f t="shared" si="50"/>
        <v>849738.18</v>
      </c>
      <c r="GT36" s="314">
        <f t="shared" si="50"/>
        <v>5804362</v>
      </c>
      <c r="GU36" s="314">
        <f t="shared" si="50"/>
        <v>480000</v>
      </c>
      <c r="GV36" s="314">
        <f t="shared" si="50"/>
        <v>2636744.54</v>
      </c>
      <c r="GW36" s="314">
        <f t="shared" si="50"/>
        <v>1188833</v>
      </c>
      <c r="GX36" s="314">
        <f t="shared" si="50"/>
        <v>503673.85</v>
      </c>
      <c r="GY36" s="314">
        <f t="shared" si="50"/>
        <v>12590000</v>
      </c>
      <c r="GZ36" s="314">
        <f t="shared" si="50"/>
        <v>0</v>
      </c>
      <c r="HA36" s="314">
        <f t="shared" si="50"/>
        <v>7000000</v>
      </c>
      <c r="HB36" s="314">
        <f t="shared" si="50"/>
        <v>9050000</v>
      </c>
      <c r="HC36" s="314">
        <f t="shared" si="50"/>
        <v>6686000</v>
      </c>
      <c r="HD36" s="314">
        <f t="shared" si="50"/>
        <v>1897307</v>
      </c>
      <c r="HE36" s="314">
        <f t="shared" si="50"/>
        <v>2971345</v>
      </c>
      <c r="HF36" s="314">
        <f t="shared" si="50"/>
        <v>1230257</v>
      </c>
      <c r="HG36" s="314">
        <f t="shared" si="50"/>
        <v>405927.64</v>
      </c>
      <c r="HH36" s="314">
        <f t="shared" si="50"/>
        <v>1476086.36</v>
      </c>
      <c r="HI36" s="314">
        <f t="shared" si="50"/>
        <v>2590000</v>
      </c>
      <c r="HJ36" s="314">
        <f t="shared" si="50"/>
        <v>391200</v>
      </c>
      <c r="HK36" s="314">
        <f t="shared" si="50"/>
        <v>992500</v>
      </c>
      <c r="HL36" s="314">
        <f t="shared" si="50"/>
        <v>0</v>
      </c>
      <c r="HM36" s="314">
        <f t="shared" si="50"/>
        <v>0</v>
      </c>
      <c r="HN36" s="314">
        <f t="shared" si="50"/>
        <v>0</v>
      </c>
      <c r="HO36" s="314">
        <f t="shared" si="50"/>
        <v>0</v>
      </c>
      <c r="HP36" s="314">
        <f t="shared" si="50"/>
        <v>0</v>
      </c>
      <c r="HQ36" s="314">
        <f t="shared" si="50"/>
        <v>0</v>
      </c>
      <c r="HR36" s="314">
        <f t="shared" si="50"/>
        <v>0</v>
      </c>
      <c r="HS36" s="314">
        <f t="shared" si="50"/>
        <v>0</v>
      </c>
      <c r="HT36" s="314">
        <f t="shared" si="50"/>
        <v>0</v>
      </c>
      <c r="HU36" s="314">
        <f t="shared" si="50"/>
        <v>48866</v>
      </c>
      <c r="HV36" s="314">
        <f t="shared" si="50"/>
        <v>0</v>
      </c>
      <c r="HW36" s="314">
        <f t="shared" si="50"/>
        <v>0</v>
      </c>
      <c r="HX36" s="314">
        <f t="shared" si="50"/>
        <v>0</v>
      </c>
      <c r="HY36" s="314">
        <f t="shared" si="50"/>
        <v>10000</v>
      </c>
      <c r="HZ36" s="314">
        <f t="shared" si="50"/>
        <v>0</v>
      </c>
      <c r="IA36" s="314">
        <f t="shared" si="50"/>
        <v>0</v>
      </c>
      <c r="IB36" s="314">
        <f t="shared" si="50"/>
        <v>0</v>
      </c>
      <c r="IC36" s="314">
        <f t="shared" si="50"/>
        <v>0</v>
      </c>
      <c r="ID36" s="314">
        <f t="shared" si="50"/>
        <v>0</v>
      </c>
      <c r="IE36" s="314">
        <f t="shared" si="50"/>
        <v>0</v>
      </c>
      <c r="IF36" s="314">
        <f t="shared" si="50"/>
        <v>0</v>
      </c>
      <c r="IG36" s="314">
        <f t="shared" si="50"/>
        <v>0</v>
      </c>
      <c r="IH36" s="314">
        <f t="shared" si="50"/>
        <v>0</v>
      </c>
      <c r="II36" s="314">
        <f t="shared" si="50"/>
        <v>0</v>
      </c>
      <c r="IJ36" s="314">
        <f t="shared" si="50"/>
        <v>0</v>
      </c>
      <c r="IK36" s="314">
        <f t="shared" si="50"/>
        <v>0</v>
      </c>
      <c r="IL36" s="314">
        <f t="shared" si="50"/>
        <v>0</v>
      </c>
      <c r="IM36" s="314">
        <f t="shared" si="50"/>
        <v>0</v>
      </c>
      <c r="IN36" s="314">
        <f t="shared" si="50"/>
        <v>0</v>
      </c>
      <c r="IO36" s="314">
        <f t="shared" si="50"/>
        <v>0</v>
      </c>
      <c r="IP36" s="314">
        <f t="shared" si="50"/>
        <v>0</v>
      </c>
      <c r="IQ36" s="314">
        <f t="shared" si="50"/>
        <v>0</v>
      </c>
      <c r="IR36" s="314">
        <f t="shared" si="50"/>
        <v>0</v>
      </c>
      <c r="IS36" s="314">
        <f t="shared" si="50"/>
        <v>0</v>
      </c>
      <c r="IT36" s="314">
        <f t="shared" si="50"/>
        <v>0</v>
      </c>
      <c r="IU36" s="314">
        <f t="shared" si="50"/>
        <v>0</v>
      </c>
      <c r="IV36" s="314">
        <f t="shared" si="50"/>
        <v>0</v>
      </c>
      <c r="IW36" s="314">
        <f t="shared" si="50"/>
        <v>0</v>
      </c>
      <c r="IX36" s="314">
        <f t="shared" si="50"/>
        <v>0</v>
      </c>
      <c r="IY36" s="314">
        <f t="shared" si="50"/>
        <v>0</v>
      </c>
      <c r="IZ36" s="314">
        <f t="shared" ref="IZ36:JH36" si="51">IZ42</f>
        <v>0</v>
      </c>
      <c r="JA36" s="314">
        <f t="shared" si="51"/>
        <v>78000</v>
      </c>
      <c r="JB36" s="314">
        <f t="shared" si="51"/>
        <v>160000</v>
      </c>
      <c r="JC36" s="314">
        <f t="shared" si="51"/>
        <v>80000</v>
      </c>
      <c r="JD36" s="314">
        <f t="shared" si="51"/>
        <v>101900</v>
      </c>
      <c r="JE36" s="314">
        <f t="shared" si="51"/>
        <v>0</v>
      </c>
      <c r="JF36" s="314">
        <f t="shared" si="51"/>
        <v>0</v>
      </c>
      <c r="JG36" s="314">
        <f t="shared" si="51"/>
        <v>21000</v>
      </c>
      <c r="JH36" s="314">
        <f t="shared" si="51"/>
        <v>0</v>
      </c>
      <c r="JI36" s="314">
        <f>SUM(C36:JH36)</f>
        <v>195775614.50999999</v>
      </c>
      <c r="JL36" s="307">
        <f t="shared" ref="JL36:JO40" si="52">SUMIFS($C36:$JH36,$C$5:$JH$5,JL$5)</f>
        <v>530000</v>
      </c>
      <c r="JM36" s="307">
        <f t="shared" si="52"/>
        <v>58811959.939999998</v>
      </c>
      <c r="JN36" s="307">
        <f t="shared" si="52"/>
        <v>135933888.56999999</v>
      </c>
      <c r="JO36" s="307">
        <f t="shared" si="52"/>
        <v>499766</v>
      </c>
      <c r="JP36" s="307">
        <f t="shared" ref="JP36:JP40" si="53">SUM(JL36:JO36)</f>
        <v>195775614.50999999</v>
      </c>
    </row>
    <row r="37" spans="1:277" x14ac:dyDescent="0.25">
      <c r="B37" s="313" t="s">
        <v>2463</v>
      </c>
      <c r="C37" s="314">
        <f>IFERROR(VLOOKUP(C$1,'IP 2019'!$N$2:$O$51,2,FALSE),0)</f>
        <v>0</v>
      </c>
      <c r="D37" s="314">
        <f>IFERROR(VLOOKUP(D1,'IP 2019'!$N$2:$O$51,2,FALSE),0)</f>
        <v>0</v>
      </c>
      <c r="E37" s="314">
        <f>IFERROR(VLOOKUP(E1,'IP 2019'!$N$2:$O$51,2,FALSE),0)</f>
        <v>0</v>
      </c>
      <c r="F37" s="314">
        <f>IFERROR(VLOOKUP(F1,'IP 2019'!$N$2:$O$51,2,FALSE),0)</f>
        <v>0</v>
      </c>
      <c r="G37" s="314">
        <f>IFERROR(VLOOKUP(G1,'IP 2019'!$N$2:$O$51,2,FALSE),0)</f>
        <v>0</v>
      </c>
      <c r="H37" s="314">
        <f>IFERROR(VLOOKUP(H1,'IP 2019'!$N$2:$O$51,2,FALSE),0)</f>
        <v>0</v>
      </c>
      <c r="I37" s="314">
        <f>IFERROR(VLOOKUP(I1,'IP 2019'!$N$2:$O$51,2,FALSE),0)</f>
        <v>599462</v>
      </c>
      <c r="J37" s="314">
        <f>IFERROR(VLOOKUP(J1,'IP 2019'!$N$2:$O$51,2,FALSE),0)</f>
        <v>1125716</v>
      </c>
      <c r="K37" s="314">
        <f>IFERROR(VLOOKUP(K1,'IP 2019'!$N$2:$O$51,2,FALSE),0)</f>
        <v>2261112</v>
      </c>
      <c r="L37" s="314">
        <f>IFERROR(VLOOKUP(L1,'IP 2019'!$N$2:$O$51,2,FALSE),0)</f>
        <v>0</v>
      </c>
      <c r="M37" s="314">
        <f>IFERROR(VLOOKUP(M1,'IP 2019'!$N$2:$O$51,2,FALSE),0)</f>
        <v>0</v>
      </c>
      <c r="N37" s="314">
        <f>IFERROR(VLOOKUP(N1,'IP 2019'!$N$2:$O$51,2,FALSE),0)</f>
        <v>0</v>
      </c>
      <c r="O37" s="314">
        <f>IFERROR(VLOOKUP(O1,'IP 2019'!$N$2:$O$51,2,FALSE),0)</f>
        <v>0</v>
      </c>
      <c r="P37" s="314">
        <f>IFERROR(VLOOKUP(P1,'IP 2019'!$N$2:$O$51,2,FALSE),0)</f>
        <v>0</v>
      </c>
      <c r="Q37" s="314">
        <f>IFERROR(VLOOKUP(Q1,'IP 2019'!$N$2:$O$51,2,FALSE),0)</f>
        <v>0</v>
      </c>
      <c r="R37" s="314">
        <f>IFERROR(VLOOKUP(R1,'IP 2019'!$N$2:$O$51,2,FALSE),0)</f>
        <v>0</v>
      </c>
      <c r="S37" s="314">
        <f>IFERROR(VLOOKUP(S1,'IP 2019'!$N$2:$O$51,2,FALSE),0)</f>
        <v>0</v>
      </c>
      <c r="T37" s="314">
        <f>IFERROR(VLOOKUP(T1,'IP 2019'!$N$2:$O$51,2,FALSE),0)</f>
        <v>0</v>
      </c>
      <c r="U37" s="314">
        <f>IFERROR(VLOOKUP(U1,'IP 2019'!$N$2:$O$51,2,FALSE),0)</f>
        <v>0</v>
      </c>
      <c r="V37" s="314">
        <f>IFERROR(VLOOKUP(V1,'IP 2019'!$N$2:$O$51,2,FALSE),0)</f>
        <v>0</v>
      </c>
      <c r="W37" s="314">
        <f>IFERROR(VLOOKUP(W1,'IP 2019'!$N$2:$O$51,2,FALSE),0)</f>
        <v>0</v>
      </c>
      <c r="X37" s="314">
        <f>IFERROR(VLOOKUP(X1,'IP 2019'!$N$2:$O$51,2,FALSE),0)</f>
        <v>0</v>
      </c>
      <c r="Y37" s="314">
        <f>IFERROR(VLOOKUP(Y1,'IP 2019'!$N$2:$O$51,2,FALSE),0)</f>
        <v>0</v>
      </c>
      <c r="Z37" s="314">
        <f>IFERROR(VLOOKUP(Z1,'IP 2019'!$N$2:$O$51,2,FALSE),0)</f>
        <v>0</v>
      </c>
      <c r="AA37" s="314">
        <f>IFERROR(VLOOKUP(AA1,'IP 2019'!$N$2:$O$51,2,FALSE),0)</f>
        <v>1105710</v>
      </c>
      <c r="AB37" s="314">
        <f>IFERROR(VLOOKUP(AB1,'IP 2019'!$N$2:$O$51,2,FALSE),0)</f>
        <v>0</v>
      </c>
      <c r="AC37" s="314">
        <f>IFERROR(VLOOKUP(AC1,'IP 2019'!$N$2:$O$51,2,FALSE),0)</f>
        <v>0</v>
      </c>
      <c r="AD37" s="314">
        <f>IFERROR(VLOOKUP(AD1,'IP 2019'!$N$2:$O$51,2,FALSE),0)</f>
        <v>0</v>
      </c>
      <c r="AE37" s="314">
        <f>IFERROR(VLOOKUP(AE1,'IP 2019'!$N$2:$O$51,2,FALSE),0)</f>
        <v>1029711</v>
      </c>
      <c r="AF37" s="314">
        <f>IFERROR(VLOOKUP(AF1,'IP 2019'!$N$2:$O$51,2,FALSE),0)</f>
        <v>2104207</v>
      </c>
      <c r="AG37" s="314">
        <f>IFERROR(VLOOKUP(AG1,'IP 2019'!$N$2:$O$51,2,FALSE),0)</f>
        <v>0</v>
      </c>
      <c r="AH37" s="314">
        <f>IFERROR(VLOOKUP(AH1,'IP 2019'!$N$2:$O$51,2,FALSE),0)</f>
        <v>0</v>
      </c>
      <c r="AI37" s="314">
        <f>IFERROR(VLOOKUP(AI1,'IP 2019'!$N$2:$O$51,2,FALSE),0)</f>
        <v>0</v>
      </c>
      <c r="AJ37" s="314">
        <f>IFERROR(VLOOKUP(AJ1,'IP 2019'!$N$2:$O$51,2,FALSE),0)</f>
        <v>0</v>
      </c>
      <c r="AK37" s="314">
        <f>IFERROR(VLOOKUP(AK1,'IP 2019'!$N$2:$O$51,2,FALSE),0)</f>
        <v>0</v>
      </c>
      <c r="AL37" s="314">
        <f>IFERROR(VLOOKUP(AL1,'IP 2019'!$N$2:$O$51,2,FALSE),0)</f>
        <v>814208</v>
      </c>
      <c r="AM37" s="314">
        <f>IFERROR(VLOOKUP(AM1,'IP 2019'!$N$2:$O$51,2,FALSE),0)</f>
        <v>0</v>
      </c>
      <c r="AN37" s="314">
        <f>IFERROR(VLOOKUP(AN1,'IP 2019'!$N$2:$O$51,2,FALSE),0)</f>
        <v>0</v>
      </c>
      <c r="AO37" s="314">
        <f>IFERROR(VLOOKUP(AO1,'IP 2019'!$N$2:$O$51,2,FALSE),0)</f>
        <v>0</v>
      </c>
      <c r="AP37" s="314">
        <f>IFERROR(VLOOKUP(AP1,'IP 2019'!$N$2:$O$51,2,FALSE),0)</f>
        <v>0</v>
      </c>
      <c r="AQ37" s="314">
        <f>IFERROR(VLOOKUP(AQ1,'IP 2019'!$N$2:$O$51,2,FALSE),0)</f>
        <v>0</v>
      </c>
      <c r="AR37" s="314">
        <f>IFERROR(VLOOKUP(AR1,'IP 2019'!$N$2:$O$51,2,FALSE),0)</f>
        <v>0</v>
      </c>
      <c r="AS37" s="314">
        <f>IFERROR(VLOOKUP(AS1,'IP 2019'!$N$2:$O$51,2,FALSE),0)</f>
        <v>0</v>
      </c>
      <c r="AT37" s="314">
        <f>IFERROR(VLOOKUP(AT1,'IP 2019'!$N$2:$O$51,2,FALSE),0)</f>
        <v>0</v>
      </c>
      <c r="AU37" s="314">
        <f>IFERROR(VLOOKUP(AU1,'IP 2019'!$N$2:$O$51,2,FALSE),0)</f>
        <v>0</v>
      </c>
      <c r="AV37" s="314">
        <f>IFERROR(VLOOKUP(AV1,'IP 2019'!$N$2:$O$51,2,FALSE),0)</f>
        <v>815468</v>
      </c>
      <c r="AW37" s="314">
        <f>IFERROR(VLOOKUP(AW1,'IP 2019'!$N$2:$O$51,2,FALSE),0)</f>
        <v>1382185</v>
      </c>
      <c r="AX37" s="314">
        <f>IFERROR(VLOOKUP(AX1,'IP 2019'!$N$2:$O$51,2,FALSE),0)</f>
        <v>0</v>
      </c>
      <c r="AY37" s="314">
        <f>IFERROR(VLOOKUP(AY1,'IP 2019'!$N$2:$O$51,2,FALSE),0)</f>
        <v>0</v>
      </c>
      <c r="AZ37" s="314">
        <f>IFERROR(VLOOKUP(AZ1,'IP 2019'!$N$2:$O$51,2,FALSE),0)</f>
        <v>0</v>
      </c>
      <c r="BA37" s="314">
        <f>IFERROR(VLOOKUP(BA1,'IP 2019'!$N$2:$O$51,2,FALSE),0)</f>
        <v>0</v>
      </c>
      <c r="BB37" s="314">
        <f>IFERROR(VLOOKUP(BB1,'IP 2019'!$N$2:$O$51,2,FALSE),0)</f>
        <v>0</v>
      </c>
      <c r="BC37" s="314">
        <f>IFERROR(VLOOKUP(BC1,'IP 2019'!$N$2:$O$51,2,FALSE),0)</f>
        <v>0</v>
      </c>
      <c r="BD37" s="314">
        <f>IFERROR(VLOOKUP(BD1,'IP 2019'!$N$2:$O$51,2,FALSE),0)</f>
        <v>0</v>
      </c>
      <c r="BE37" s="314">
        <f>IFERROR(VLOOKUP(BE1,'IP 2019'!$N$2:$O$51,2,FALSE),0)</f>
        <v>0</v>
      </c>
      <c r="BF37" s="314">
        <f>IFERROR(VLOOKUP(BF1,'IP 2019'!$N$2:$O$51,2,FALSE),0)</f>
        <v>0</v>
      </c>
      <c r="BG37" s="314">
        <f>IFERROR(VLOOKUP(BG1,'IP 2019'!$N$2:$O$51,2,FALSE),0)</f>
        <v>0</v>
      </c>
      <c r="BH37" s="314">
        <f>IFERROR(VLOOKUP(BH1,'IP 2019'!$N$2:$O$51,2,FALSE),0)</f>
        <v>0</v>
      </c>
      <c r="BI37" s="314">
        <f>IFERROR(VLOOKUP(BI1,'IP 2019'!$N$2:$O$51,2,FALSE),0)</f>
        <v>0</v>
      </c>
      <c r="BJ37" s="314">
        <f>IFERROR(VLOOKUP(BJ1,'IP 2019'!$N$2:$O$51,2,FALSE),0)</f>
        <v>0</v>
      </c>
      <c r="BK37" s="314">
        <f>IFERROR(VLOOKUP(BK1,'IP 2019'!$N$2:$O$51,2,FALSE),0)</f>
        <v>852000</v>
      </c>
      <c r="BL37" s="314">
        <f>IFERROR(VLOOKUP(BL1,'IP 2019'!$N$2:$O$51,2,FALSE),0)</f>
        <v>0</v>
      </c>
      <c r="BM37" s="314">
        <f>IFERROR(VLOOKUP(BM1,'IP 2019'!$N$2:$O$51,2,FALSE),0)</f>
        <v>0</v>
      </c>
      <c r="BN37" s="314">
        <f>IFERROR(VLOOKUP(BN1,'IP 2019'!$N$2:$O$51,2,FALSE),0)</f>
        <v>0</v>
      </c>
      <c r="BO37" s="314">
        <f>IFERROR(VLOOKUP(BO1,'IP 2019'!$N$2:$O$51,2,FALSE),0)</f>
        <v>0</v>
      </c>
      <c r="BP37" s="314">
        <f>IFERROR(VLOOKUP(BP1,'IP 2019'!$N$2:$O$51,2,FALSE),0)</f>
        <v>0</v>
      </c>
      <c r="BQ37" s="314">
        <f>IFERROR(VLOOKUP(BQ1,'IP 2019'!$N$2:$O$51,2,FALSE),0)</f>
        <v>323681</v>
      </c>
      <c r="BR37" s="314">
        <f>IFERROR(VLOOKUP(BR1,'IP 2019'!$N$2:$O$51,2,FALSE),0)</f>
        <v>0</v>
      </c>
      <c r="BS37" s="314">
        <f>IFERROR(VLOOKUP(BS1,'IP 2019'!$N$2:$O$51,2,FALSE),0)</f>
        <v>0</v>
      </c>
      <c r="BT37" s="314">
        <f>IFERROR(VLOOKUP(BT1,'IP 2019'!$N$2:$O$51,2,FALSE),0)</f>
        <v>0</v>
      </c>
      <c r="BU37" s="314">
        <f>IFERROR(VLOOKUP(BU1,'IP 2019'!$N$2:$O$51,2,FALSE),0)</f>
        <v>0</v>
      </c>
      <c r="BV37" s="314">
        <f>IFERROR(VLOOKUP(BV1,'IP 2019'!$N$2:$O$51,2,FALSE),0)</f>
        <v>0</v>
      </c>
      <c r="BW37" s="314">
        <f>IFERROR(VLOOKUP(BW1,'IP 2019'!$N$2:$O$51,2,FALSE),0)</f>
        <v>0</v>
      </c>
      <c r="BX37" s="314">
        <f>IFERROR(VLOOKUP(BX1,'IP 2019'!$N$2:$O$51,2,FALSE),0)</f>
        <v>0</v>
      </c>
      <c r="BY37" s="314">
        <f>IFERROR(VLOOKUP(BY1,'IP 2019'!$N$2:$O$51,2,FALSE),0)</f>
        <v>0</v>
      </c>
      <c r="BZ37" s="314">
        <f>IFERROR(VLOOKUP(BZ1,'IP 2019'!$N$2:$O$51,2,FALSE),0)</f>
        <v>0</v>
      </c>
      <c r="CA37" s="314">
        <f>IFERROR(VLOOKUP(CA1,'IP 2019'!$N$2:$O$51,2,FALSE),0)</f>
        <v>0</v>
      </c>
      <c r="CB37" s="314">
        <f>IFERROR(VLOOKUP(CB1,'IP 2019'!$N$2:$O$51,2,FALSE),0)</f>
        <v>0</v>
      </c>
      <c r="CC37" s="314">
        <f>IFERROR(VLOOKUP(CC1,'IP 2019'!$N$2:$O$51,2,FALSE),0)</f>
        <v>0</v>
      </c>
      <c r="CD37" s="314">
        <f>IFERROR(VLOOKUP(CD1,'IP 2019'!$N$2:$O$51,2,FALSE),0)</f>
        <v>0</v>
      </c>
      <c r="CE37" s="314">
        <f>IFERROR(VLOOKUP(CE1,'IP 2019'!$N$2:$O$51,2,FALSE),0)</f>
        <v>0</v>
      </c>
      <c r="CF37" s="314">
        <f>IFERROR(VLOOKUP(CF1,'IP 2019'!$N$2:$O$51,2,FALSE),0)</f>
        <v>0</v>
      </c>
      <c r="CG37" s="314">
        <f>IFERROR(VLOOKUP(CG1,'IP 2019'!$N$2:$O$51,2,FALSE),0)</f>
        <v>7324486</v>
      </c>
      <c r="CH37" s="314">
        <f>IFERROR(VLOOKUP(CH1,'IP 2019'!$N$2:$O$51,2,FALSE),0)</f>
        <v>1334896</v>
      </c>
      <c r="CI37" s="314">
        <f>IFERROR(VLOOKUP(CI1,'IP 2019'!$N$2:$O$51,2,FALSE),0)</f>
        <v>1144916</v>
      </c>
      <c r="CJ37" s="314">
        <f>IFERROR(VLOOKUP(CJ1,'IP 2019'!$N$2:$O$51,2,FALSE),0)</f>
        <v>1102190</v>
      </c>
      <c r="CK37" s="314">
        <f>IFERROR(VLOOKUP(CK1,'IP 2019'!$N$2:$O$51,2,FALSE),0)</f>
        <v>0</v>
      </c>
      <c r="CL37" s="314">
        <f>IFERROR(VLOOKUP(CL1,'IP 2019'!$N$2:$O$51,2,FALSE),0)</f>
        <v>987598</v>
      </c>
      <c r="CM37" s="314">
        <f>IFERROR(VLOOKUP(CM1,'IP 2019'!$N$2:$O$51,2,FALSE),0)</f>
        <v>0</v>
      </c>
      <c r="CN37" s="314">
        <f>IFERROR(VLOOKUP(CN1,'IP 2019'!$N$2:$O$51,2,FALSE),0)</f>
        <v>0</v>
      </c>
      <c r="CO37" s="314">
        <f>IFERROR(VLOOKUP(CO1,'IP 2019'!$N$2:$O$51,2,FALSE),0)</f>
        <v>0</v>
      </c>
      <c r="CP37" s="314">
        <f>IFERROR(VLOOKUP(CP1,'IP 2019'!$N$2:$O$51,2,FALSE),0)</f>
        <v>0</v>
      </c>
      <c r="CQ37" s="314">
        <f>IFERROR(VLOOKUP(CQ1,'IP 2019'!$N$2:$O$51,2,FALSE),0)</f>
        <v>1821286</v>
      </c>
      <c r="CR37" s="314">
        <f>IFERROR(VLOOKUP(CR1,'IP 2019'!$N$2:$O$51,2,FALSE),0)</f>
        <v>0</v>
      </c>
      <c r="CS37" s="314">
        <f>IFERROR(VLOOKUP(CS1,'IP 2019'!$N$2:$O$51,2,FALSE),0)</f>
        <v>0</v>
      </c>
      <c r="CT37" s="314">
        <f>IFERROR(VLOOKUP(CT1,'IP 2019'!$N$2:$O$51,2,FALSE),0)</f>
        <v>2207412</v>
      </c>
      <c r="CU37" s="314">
        <f>IFERROR(VLOOKUP(CU1,'IP 2019'!$N$2:$O$51,2,FALSE),0)</f>
        <v>0</v>
      </c>
      <c r="CV37" s="314">
        <f>IFERROR(VLOOKUP(CV1,'IP 2019'!$N$2:$O$51,2,FALSE),0)</f>
        <v>0</v>
      </c>
      <c r="CW37" s="314">
        <f>IFERROR(VLOOKUP(CW1,'IP 2019'!$N$2:$O$51,2,FALSE),0)</f>
        <v>0</v>
      </c>
      <c r="CX37" s="314">
        <f>IFERROR(VLOOKUP(CX1,'IP 2019'!$N$2:$O$51,2,FALSE),0)</f>
        <v>0</v>
      </c>
      <c r="CY37" s="314">
        <f>IFERROR(VLOOKUP(CY1,'IP 2019'!$N$2:$O$51,2,FALSE),0)</f>
        <v>0</v>
      </c>
      <c r="CZ37" s="314">
        <f>IFERROR(VLOOKUP(CZ1,'IP 2019'!$N$2:$O$51,2,FALSE),0)</f>
        <v>1006700</v>
      </c>
      <c r="DA37" s="314">
        <f>IFERROR(VLOOKUP(DA1,'IP 2019'!$N$2:$O$51,2,FALSE),0)</f>
        <v>0</v>
      </c>
      <c r="DB37" s="314">
        <f>IFERROR(VLOOKUP(DB1,'IP 2019'!$N$2:$O$51,2,FALSE),0)</f>
        <v>0</v>
      </c>
      <c r="DC37" s="314">
        <f>IFERROR(VLOOKUP(DC1,'IP 2019'!$N$2:$O$51,2,FALSE),0)</f>
        <v>0</v>
      </c>
      <c r="DD37" s="314">
        <f>IFERROR(VLOOKUP(DD1,'IP 2019'!$N$2:$O$51,2,FALSE),0)</f>
        <v>2172273</v>
      </c>
      <c r="DE37" s="314">
        <f>IFERROR(VLOOKUP(DE1,'IP 2019'!$N$2:$O$51,2,FALSE),0)</f>
        <v>6197056</v>
      </c>
      <c r="DF37" s="314">
        <f>IFERROR(VLOOKUP(DF1,'IP 2019'!$N$2:$O$51,2,FALSE),0)</f>
        <v>2503432</v>
      </c>
      <c r="DG37" s="314">
        <f>IFERROR(VLOOKUP(DG1,'IP 2019'!$N$2:$O$51,2,FALSE),0)</f>
        <v>0</v>
      </c>
      <c r="DH37" s="314">
        <f>IFERROR(VLOOKUP(DH1,'IP 2019'!$N$2:$O$51,2,FALSE),0)</f>
        <v>688392.64</v>
      </c>
      <c r="DI37" s="314">
        <f>IFERROR(VLOOKUP(DI1,'IP 2019'!$N$2:$O$51,2,FALSE),0)</f>
        <v>447816</v>
      </c>
      <c r="DJ37" s="314">
        <f>IFERROR(VLOOKUP(DJ1,'IP 2019'!$N$2:$O$51,2,FALSE),0)</f>
        <v>972918</v>
      </c>
      <c r="DK37" s="314">
        <f>IFERROR(VLOOKUP(DK1,'IP 2019'!$N$2:$O$51,2,FALSE),0)</f>
        <v>393535</v>
      </c>
      <c r="DL37" s="314">
        <f>IFERROR(VLOOKUP(DL1,'IP 2019'!$N$2:$O$51,2,FALSE),0)</f>
        <v>0</v>
      </c>
      <c r="DM37" s="314">
        <f>IFERROR(VLOOKUP(DM1,'IP 2019'!$N$2:$O$51,2,FALSE),0)</f>
        <v>0</v>
      </c>
      <c r="DN37" s="314">
        <f>IFERROR(VLOOKUP(DN1,'IP 2019'!$N$2:$O$51,2,FALSE),0)</f>
        <v>0</v>
      </c>
      <c r="DO37" s="314">
        <f>IFERROR(VLOOKUP(DO1,'IP 2019'!$N$2:$O$51,2,FALSE),0)</f>
        <v>0</v>
      </c>
      <c r="DP37" s="314">
        <f>IFERROR(VLOOKUP(DP1,'IP 2019'!$N$2:$O$51,2,FALSE),0)</f>
        <v>0</v>
      </c>
      <c r="DQ37" s="314">
        <f>IFERROR(VLOOKUP(DQ1,'IP 2019'!$N$2:$O$51,2,FALSE),0)</f>
        <v>1603289</v>
      </c>
      <c r="DR37" s="314">
        <f>IFERROR(VLOOKUP(DR1,'IP 2019'!$N$2:$O$51,2,FALSE),0)</f>
        <v>1525738</v>
      </c>
      <c r="DS37" s="314">
        <f>IFERROR(VLOOKUP(DS1,'IP 2019'!$N$2:$O$51,2,FALSE),0)</f>
        <v>0</v>
      </c>
      <c r="DT37" s="314">
        <f>IFERROR(VLOOKUP(DT1,'IP 2019'!$N$2:$O$51,2,FALSE),0)</f>
        <v>0</v>
      </c>
      <c r="DU37" s="314">
        <f>IFERROR(VLOOKUP(DU1,'IP 2019'!$N$2:$O$51,2,FALSE),0)</f>
        <v>512809</v>
      </c>
      <c r="DV37" s="314">
        <f>IFERROR(VLOOKUP(DV1,'IP 2019'!$N$2:$O$51,2,FALSE),0)</f>
        <v>0</v>
      </c>
      <c r="DW37" s="314">
        <f>IFERROR(VLOOKUP(DW1,'IP 2019'!$N$2:$O$51,2,FALSE),0)</f>
        <v>0</v>
      </c>
      <c r="DX37" s="314">
        <f>IFERROR(VLOOKUP(DX1,'IP 2019'!$N$2:$O$51,2,FALSE),0)</f>
        <v>1520357</v>
      </c>
      <c r="DY37" s="314">
        <f>IFERROR(VLOOKUP(DY1,'IP 2019'!$N$2:$O$51,2,FALSE),0)</f>
        <v>0</v>
      </c>
      <c r="DZ37" s="314">
        <f>IFERROR(VLOOKUP(DZ1,'IP 2019'!$N$2:$O$51,2,FALSE),0)</f>
        <v>0</v>
      </c>
      <c r="EA37" s="314">
        <f>IFERROR(VLOOKUP(EA1,'IP 2019'!$N$2:$O$51,2,FALSE),0)</f>
        <v>0</v>
      </c>
      <c r="EB37" s="314">
        <f>IFERROR(VLOOKUP(EB1,'IP 2019'!$N$2:$O$51,2,FALSE),0)</f>
        <v>0</v>
      </c>
      <c r="EC37" s="314">
        <f>IFERROR(VLOOKUP(EC1,'IP 2019'!$N$2:$O$51,2,FALSE),0)</f>
        <v>0</v>
      </c>
      <c r="ED37" s="314">
        <f>IFERROR(VLOOKUP(ED1,'IP 2019'!$N$2:$O$51,2,FALSE),0)</f>
        <v>0</v>
      </c>
      <c r="EE37" s="314">
        <f>IFERROR(VLOOKUP(EE1,'IP 2019'!$N$2:$O$51,2,FALSE),0)</f>
        <v>0</v>
      </c>
      <c r="EF37" s="314">
        <f>IFERROR(VLOOKUP(EF1,'IP 2019'!$N$2:$O$51,2,FALSE),0)</f>
        <v>0</v>
      </c>
      <c r="EG37" s="314">
        <f>IFERROR(VLOOKUP(EG1,'IP 2019'!$N$2:$O$51,2,FALSE),0)</f>
        <v>0</v>
      </c>
      <c r="EH37" s="314">
        <f>IFERROR(VLOOKUP(EH1,'IP 2019'!$N$2:$O$51,2,FALSE),0)</f>
        <v>0</v>
      </c>
      <c r="EI37" s="314">
        <f>IFERROR(VLOOKUP(EI1,'IP 2019'!$N$2:$O$51,2,FALSE),0)</f>
        <v>0</v>
      </c>
      <c r="EJ37" s="314">
        <f>IFERROR(VLOOKUP(EJ1,'IP 2019'!$N$2:$O$51,2,FALSE),0)</f>
        <v>458374</v>
      </c>
      <c r="EK37" s="314">
        <f>IFERROR(VLOOKUP(EK1,'IP 2019'!$N$2:$O$51,2,FALSE),0)</f>
        <v>0</v>
      </c>
      <c r="EL37" s="314">
        <f>IFERROR(VLOOKUP(EL1,'IP 2019'!$N$2:$O$51,2,FALSE),0)</f>
        <v>0</v>
      </c>
      <c r="EM37" s="314">
        <f>IFERROR(VLOOKUP(EM1,'IP 2019'!$N$2:$O$51,2,FALSE),0)</f>
        <v>0</v>
      </c>
      <c r="EN37" s="314">
        <f>IFERROR(VLOOKUP(EN1,'IP 2019'!$N$2:$O$51,2,FALSE),0)</f>
        <v>967498</v>
      </c>
      <c r="EO37" s="314">
        <f>IFERROR(VLOOKUP(EO1,'IP 2019'!$N$2:$O$51,2,FALSE),0)</f>
        <v>0</v>
      </c>
      <c r="EP37" s="314">
        <f>IFERROR(VLOOKUP(EP1,'IP 2019'!$N$2:$O$51,2,FALSE),0)</f>
        <v>0</v>
      </c>
      <c r="EQ37" s="314">
        <f>IFERROR(VLOOKUP(EQ1,'IP 2019'!$N$2:$O$51,2,FALSE),0)</f>
        <v>653384</v>
      </c>
      <c r="ER37" s="314">
        <f>IFERROR(VLOOKUP(ER1,'IP 2019'!$N$2:$O$51,2,FALSE),0)</f>
        <v>0</v>
      </c>
      <c r="ES37" s="314">
        <f>IFERROR(VLOOKUP(ES1,'IP 2019'!$N$2:$O$51,2,FALSE),0)</f>
        <v>0</v>
      </c>
      <c r="ET37" s="314">
        <f>IFERROR(VLOOKUP(ET1,'IP 2019'!$N$2:$O$51,2,FALSE),0)</f>
        <v>0</v>
      </c>
      <c r="EU37" s="314">
        <f>IFERROR(VLOOKUP(EU1,'IP 2019'!$N$2:$O$51,2,FALSE),0)</f>
        <v>0</v>
      </c>
      <c r="EV37" s="314">
        <f>IFERROR(VLOOKUP(EV1,'IP 2019'!$N$2:$O$51,2,FALSE),0)</f>
        <v>0</v>
      </c>
      <c r="EW37" s="314">
        <f>IFERROR(VLOOKUP(EW1,'IP 2019'!$N$2:$O$51,2,FALSE),0)</f>
        <v>0</v>
      </c>
      <c r="EX37" s="314">
        <f>IFERROR(VLOOKUP(EX1,'IP 2019'!$N$2:$O$51,2,FALSE),0)</f>
        <v>0</v>
      </c>
      <c r="EY37" s="314">
        <f>IFERROR(VLOOKUP(EY1,'IP 2019'!$N$2:$O$51,2,FALSE),0)</f>
        <v>1020025</v>
      </c>
      <c r="EZ37" s="314">
        <f>IFERROR(VLOOKUP(EZ1,'IP 2019'!$N$2:$O$51,2,FALSE),0)</f>
        <v>0</v>
      </c>
      <c r="FA37" s="314">
        <f>IFERROR(VLOOKUP(FA1,'IP 2019'!$N$2:$O$51,2,FALSE),0)</f>
        <v>0</v>
      </c>
      <c r="FB37" s="314">
        <f>IFERROR(VLOOKUP(FB1,'IP 2019'!$N$2:$O$51,2,FALSE),0)</f>
        <v>0</v>
      </c>
      <c r="FC37" s="314">
        <f>IFERROR(VLOOKUP(FC1,'IP 2019'!$N$2:$O$51,2,FALSE),0)</f>
        <v>0</v>
      </c>
      <c r="FD37" s="314">
        <f>IFERROR(VLOOKUP(FD1,'IP 2019'!$N$2:$O$51,2,FALSE),0)</f>
        <v>402081</v>
      </c>
      <c r="FE37" s="314">
        <f>IFERROR(VLOOKUP(FE1,'IP 2019'!$N$2:$O$51,2,FALSE),0)</f>
        <v>0</v>
      </c>
      <c r="FF37" s="314">
        <f>IFERROR(VLOOKUP(FF1,'IP 2019'!$N$2:$O$51,2,FALSE),0)</f>
        <v>0</v>
      </c>
      <c r="FG37" s="314">
        <f>IFERROR(VLOOKUP(FG1,'IP 2019'!$N$2:$O$51,2,FALSE),0)</f>
        <v>0</v>
      </c>
      <c r="FH37" s="314">
        <f>IFERROR(VLOOKUP(FH1,'IP 2019'!$N$2:$O$51,2,FALSE),0)</f>
        <v>0</v>
      </c>
      <c r="FI37" s="314">
        <f>IFERROR(VLOOKUP(FI1,'IP 2019'!$N$2:$O$51,2,FALSE),0)</f>
        <v>0</v>
      </c>
      <c r="FJ37" s="314">
        <f>IFERROR(VLOOKUP(FJ1,'IP 2019'!$N$2:$O$51,2,FALSE),0)</f>
        <v>0</v>
      </c>
      <c r="FK37" s="314">
        <f>IFERROR(VLOOKUP(FK1,'IP 2019'!$N$2:$O$51,2,FALSE),0)</f>
        <v>0</v>
      </c>
      <c r="FL37" s="314">
        <f>IFERROR(VLOOKUP(FL1,'IP 2019'!$N$2:$O$51,2,FALSE),0)</f>
        <v>0</v>
      </c>
      <c r="FM37" s="314">
        <f>IFERROR(VLOOKUP(FM1,'IP 2019'!$N$2:$O$51,2,FALSE),0)</f>
        <v>0</v>
      </c>
      <c r="FN37" s="314">
        <f>IFERROR(VLOOKUP(FN1,'IP 2019'!$N$2:$O$51,2,FALSE),0)</f>
        <v>0</v>
      </c>
      <c r="FO37" s="314">
        <f>IFERROR(VLOOKUP(FO1,'IP 2019'!$N$2:$O$51,2,FALSE),0)</f>
        <v>0</v>
      </c>
      <c r="FP37" s="314">
        <f>IFERROR(VLOOKUP(FP1,'IP 2019'!$N$2:$O$51,2,FALSE),0)</f>
        <v>0</v>
      </c>
      <c r="FQ37" s="314">
        <f>IFERROR(VLOOKUP(FQ1,'IP 2019'!$N$2:$O$51,2,FALSE),0)</f>
        <v>0</v>
      </c>
      <c r="FR37" s="314">
        <f>IFERROR(VLOOKUP(FR1,'IP 2019'!$N$2:$O$51,2,FALSE),0)</f>
        <v>0</v>
      </c>
      <c r="FS37" s="314">
        <f>IFERROR(VLOOKUP(FS1,'IP 2019'!$N$2:$O$51,2,FALSE),0)</f>
        <v>0</v>
      </c>
      <c r="FT37" s="314">
        <f>IFERROR(VLOOKUP(FT1,'IP 2019'!$N$2:$O$51,2,FALSE),0)</f>
        <v>0</v>
      </c>
      <c r="FU37" s="314">
        <f>IFERROR(VLOOKUP(FU1,'IP 2019'!$N$2:$O$51,2,FALSE),0)</f>
        <v>0</v>
      </c>
      <c r="FV37" s="314">
        <f>IFERROR(VLOOKUP(FV1,'IP 2019'!$N$2:$O$51,2,FALSE),0)</f>
        <v>0</v>
      </c>
      <c r="FW37" s="314">
        <f>IFERROR(VLOOKUP(FW1,'IP 2019'!$N$2:$O$51,2,FALSE),0)</f>
        <v>0</v>
      </c>
      <c r="FX37" s="314">
        <f>IFERROR(VLOOKUP(FX1,'IP 2019'!$N$2:$O$51,2,FALSE),0)</f>
        <v>0</v>
      </c>
      <c r="FY37" s="314">
        <f>IFERROR(VLOOKUP(FY1,'IP 2019'!$N$2:$O$51,2,FALSE),0)</f>
        <v>0</v>
      </c>
      <c r="FZ37" s="314">
        <f>IFERROR(VLOOKUP(FZ1,'IP 2019'!$N$2:$O$51,2,FALSE),0)</f>
        <v>0</v>
      </c>
      <c r="GA37" s="314">
        <f>IFERROR(VLOOKUP(GA1,'IP 2019'!$N$2:$O$51,2,FALSE),0)</f>
        <v>0</v>
      </c>
      <c r="GB37" s="314">
        <f>IFERROR(VLOOKUP(GB1,'IP 2019'!$N$2:$O$51,2,FALSE),0)</f>
        <v>0</v>
      </c>
      <c r="GC37" s="314">
        <f>IFERROR(VLOOKUP(GC1,'IP 2019'!$N$2:$O$51,2,FALSE),0)</f>
        <v>0</v>
      </c>
      <c r="GD37" s="314">
        <f>IFERROR(VLOOKUP(GD1,'IP 2019'!$N$2:$O$51,2,FALSE),0)</f>
        <v>0</v>
      </c>
      <c r="GE37" s="314">
        <f>IFERROR(VLOOKUP(GE1,'IP 2019'!$N$2:$O$51,2,FALSE),0)</f>
        <v>564655</v>
      </c>
      <c r="GF37" s="314">
        <f>IFERROR(VLOOKUP(GF1,'IP 2019'!$N$2:$O$51,2,FALSE),0)</f>
        <v>0</v>
      </c>
      <c r="GG37" s="314">
        <f>IFERROR(VLOOKUP(GG1,'IP 2019'!$N$2:$O$51,2,FALSE),0)</f>
        <v>0</v>
      </c>
      <c r="GH37" s="314">
        <f>IFERROR(VLOOKUP(GH1,'IP 2019'!$N$2:$O$51,2,FALSE),0)</f>
        <v>0</v>
      </c>
      <c r="GI37" s="314">
        <f>IFERROR(VLOOKUP(GI1,'IP 2019'!$N$2:$O$51,2,FALSE),0)</f>
        <v>0</v>
      </c>
      <c r="GJ37" s="314">
        <f>IFERROR(VLOOKUP(GJ1,'IP 2019'!$N$2:$O$51,2,FALSE),0)</f>
        <v>0</v>
      </c>
      <c r="GK37" s="314">
        <f>IFERROR(VLOOKUP(GK1,'IP 2019'!$N$2:$O$51,2,FALSE),0)</f>
        <v>0</v>
      </c>
      <c r="GL37" s="314">
        <f>IFERROR(VLOOKUP(GL1,'IP 2019'!$N$2:$O$51,2,FALSE),0)</f>
        <v>0</v>
      </c>
      <c r="GM37" s="314">
        <f>IFERROR(VLOOKUP(GM1,'IP 2019'!$N$2:$O$51,2,FALSE),0)</f>
        <v>0</v>
      </c>
      <c r="GN37" s="314">
        <f>IFERROR(VLOOKUP(GN1,'IP 2019'!$N$2:$O$51,2,FALSE),0)</f>
        <v>402076</v>
      </c>
      <c r="GO37" s="314">
        <f>IFERROR(VLOOKUP(GO1,'IP 2019'!$N$2:$O$51,2,FALSE),0)</f>
        <v>0</v>
      </c>
      <c r="GP37" s="314">
        <f>IFERROR(VLOOKUP(GP1,'IP 2019'!$N$2:$O$51,2,FALSE),0)</f>
        <v>0</v>
      </c>
      <c r="GQ37" s="314">
        <f>IFERROR(VLOOKUP(GQ1,'IP 2019'!$N$2:$O$51,2,FALSE),0)</f>
        <v>0</v>
      </c>
      <c r="GR37" s="314">
        <f>IFERROR(VLOOKUP(GR1,'IP 2019'!$N$2:$O$51,2,FALSE),0)</f>
        <v>0</v>
      </c>
      <c r="GS37" s="314">
        <f>IFERROR(VLOOKUP(GS1,'IP 2019'!$N$2:$O$51,2,FALSE),0)</f>
        <v>0</v>
      </c>
      <c r="GT37" s="314">
        <f>IFERROR(VLOOKUP(GT1,'IP 2019'!$N$2:$O$51,2,FALSE),0)</f>
        <v>0</v>
      </c>
      <c r="GU37" s="314">
        <f>IFERROR(VLOOKUP(GU1,'IP 2019'!$N$2:$O$51,2,FALSE),0)</f>
        <v>0</v>
      </c>
      <c r="GV37" s="314">
        <f>IFERROR(VLOOKUP(GV1,'IP 2019'!$N$2:$O$51,2,FALSE),0)</f>
        <v>0</v>
      </c>
      <c r="GW37" s="314">
        <f>IFERROR(VLOOKUP(GW1,'IP 2019'!$N$2:$O$51,2,FALSE),0)</f>
        <v>0</v>
      </c>
      <c r="GX37" s="314">
        <f>IFERROR(VLOOKUP(GX1,'IP 2019'!$N$2:$O$51,2,FALSE),0)</f>
        <v>0</v>
      </c>
      <c r="GY37" s="314">
        <f>IFERROR(VLOOKUP(GY1,'IP 2019'!$N$2:$O$51,2,FALSE),0)</f>
        <v>0</v>
      </c>
      <c r="GZ37" s="314">
        <f>IFERROR(VLOOKUP(GZ1,'IP 2019'!$N$2:$O$51,2,FALSE),0)</f>
        <v>0</v>
      </c>
      <c r="HA37" s="314">
        <f>IFERROR(VLOOKUP(HA1,'IP 2019'!$N$2:$O$51,2,FALSE),0)</f>
        <v>0</v>
      </c>
      <c r="HB37" s="314">
        <f>IFERROR(VLOOKUP(HB1,'IP 2019'!$N$2:$O$51,2,FALSE),0)</f>
        <v>0</v>
      </c>
      <c r="HC37" s="314">
        <f>IFERROR(VLOOKUP(HC1,'IP 2019'!$N$2:$O$51,2,FALSE),0)</f>
        <v>0</v>
      </c>
      <c r="HD37" s="314">
        <f>IFERROR(VLOOKUP(HD1,'IP 2019'!$N$2:$O$51,2,FALSE),0)</f>
        <v>0</v>
      </c>
      <c r="HE37" s="314">
        <f>IFERROR(VLOOKUP(HE1,'IP 2019'!$N$2:$O$51,2,FALSE),0)</f>
        <v>0</v>
      </c>
      <c r="HF37" s="314">
        <f>IFERROR(VLOOKUP(HF1,'IP 2019'!$N$2:$O$51,2,FALSE),0)</f>
        <v>0</v>
      </c>
      <c r="HG37" s="314">
        <f>IFERROR(VLOOKUP(HG1,'IP 2019'!$N$2:$O$51,2,FALSE),0)</f>
        <v>0</v>
      </c>
      <c r="HH37" s="314">
        <f>IFERROR(VLOOKUP(HH1,'IP 2019'!$N$2:$O$51,2,FALSE),0)</f>
        <v>0</v>
      </c>
      <c r="HI37" s="314">
        <f>IFERROR(VLOOKUP(HI1,'IP 2019'!$N$2:$O$51,2,FALSE),0)</f>
        <v>0</v>
      </c>
      <c r="HJ37" s="314">
        <f>IFERROR(VLOOKUP(HJ1,'IP 2019'!$N$2:$O$51,2,FALSE),0)</f>
        <v>251307</v>
      </c>
      <c r="HK37" s="314">
        <f>IFERROR(VLOOKUP(HK1,'IP 2019'!$N$2:$O$51,2,FALSE),0)</f>
        <v>0</v>
      </c>
      <c r="HL37" s="314">
        <f>IFERROR(VLOOKUP(HL1,'IP 2019'!$N$2:$O$51,2,FALSE),0)</f>
        <v>0</v>
      </c>
      <c r="HM37" s="314">
        <f>IFERROR(VLOOKUP(HM1,'IP 2019'!$N$2:$O$51,2,FALSE),0)</f>
        <v>0</v>
      </c>
      <c r="HN37" s="314">
        <f>IFERROR(VLOOKUP(HN1,'IP 2019'!$N$2:$O$51,2,FALSE),0)</f>
        <v>0</v>
      </c>
      <c r="HO37" s="314">
        <f>IFERROR(VLOOKUP(HO1,'IP 2019'!$N$2:$O$51,2,FALSE),0)</f>
        <v>2080800</v>
      </c>
      <c r="HP37" s="314">
        <f>IFERROR(VLOOKUP(HP1,'IP 2019'!$N$2:$O$51,2,FALSE),0)</f>
        <v>0</v>
      </c>
      <c r="HQ37" s="314">
        <f>IFERROR(VLOOKUP(HQ1,'IP 2019'!$N$2:$O$51,2,FALSE),0)</f>
        <v>0</v>
      </c>
      <c r="HR37" s="314">
        <f>IFERROR(VLOOKUP(HR1,'IP 2019'!$N$2:$O$51,2,FALSE),0)</f>
        <v>0</v>
      </c>
      <c r="HS37" s="314">
        <f>IFERROR(VLOOKUP(HS1,'IP 2019'!$N$2:$O$51,2,FALSE),0)</f>
        <v>0</v>
      </c>
      <c r="HT37" s="314">
        <f>IFERROR(VLOOKUP(HT1,'IP 2019'!$N$2:$O$51,2,FALSE),0)</f>
        <v>0</v>
      </c>
      <c r="HU37" s="314">
        <f>IFERROR(VLOOKUP(HU1,'IP 2019'!$N$2:$O$51,2,FALSE),0)</f>
        <v>0</v>
      </c>
      <c r="HV37" s="314">
        <f>IFERROR(VLOOKUP(HV1,'IP 2019'!$N$2:$O$51,2,FALSE),0)</f>
        <v>0</v>
      </c>
      <c r="HW37" s="314">
        <f>IFERROR(VLOOKUP(HW1,'IP 2019'!$N$2:$O$51,2,FALSE),0)</f>
        <v>0</v>
      </c>
      <c r="HX37" s="314">
        <f>IFERROR(VLOOKUP(HX1,'IP 2019'!$N$2:$O$51,2,FALSE),0)</f>
        <v>0</v>
      </c>
      <c r="HY37" s="314">
        <f>IFERROR(VLOOKUP(HY1,'IP 2019'!$N$2:$O$51,2,FALSE),0)</f>
        <v>0</v>
      </c>
      <c r="HZ37" s="314">
        <f>IFERROR(VLOOKUP(HZ1,'IP 2019'!$N$2:$O$51,2,FALSE),0)</f>
        <v>0</v>
      </c>
      <c r="IA37" s="314">
        <f>IFERROR(VLOOKUP(IA1,'IP 2019'!$N$2:$O$51,2,FALSE),0)</f>
        <v>0</v>
      </c>
      <c r="IB37" s="314">
        <f>IFERROR(VLOOKUP(IB1,'IP 2019'!$N$2:$O$51,2,FALSE),0)</f>
        <v>0</v>
      </c>
      <c r="IC37" s="314">
        <f>IFERROR(VLOOKUP(IC1,'IP 2019'!$N$2:$O$51,2,FALSE),0)</f>
        <v>0</v>
      </c>
      <c r="ID37" s="314">
        <f>IFERROR(VLOOKUP(ID1,'IP 2019'!$N$2:$O$51,2,FALSE),0)</f>
        <v>0</v>
      </c>
      <c r="IE37" s="314">
        <f>IFERROR(VLOOKUP(IE1,'IP 2019'!$N$2:$O$51,2,FALSE),0)</f>
        <v>0</v>
      </c>
      <c r="IF37" s="314">
        <f>IFERROR(VLOOKUP(IF1,'IP 2019'!$N$2:$O$51,2,FALSE),0)</f>
        <v>0</v>
      </c>
      <c r="IG37" s="314">
        <f>IFERROR(VLOOKUP(IG1,'IP 2019'!$N$2:$O$51,2,FALSE),0)</f>
        <v>0</v>
      </c>
      <c r="IH37" s="314">
        <f>IFERROR(VLOOKUP(IH1,'IP 2019'!$N$2:$O$51,2,FALSE),0)</f>
        <v>0</v>
      </c>
      <c r="II37" s="314">
        <f>IFERROR(VLOOKUP(II1,'IP 2019'!$N$2:$O$51,2,FALSE),0)</f>
        <v>0</v>
      </c>
      <c r="IJ37" s="314">
        <f>IFERROR(VLOOKUP(IJ1,'IP 2019'!$N$2:$O$51,2,FALSE),0)</f>
        <v>0</v>
      </c>
      <c r="IK37" s="314">
        <f>IFERROR(VLOOKUP(IK1,'IP 2019'!$N$2:$O$51,2,FALSE),0)</f>
        <v>2393172</v>
      </c>
      <c r="IL37" s="314">
        <f>IFERROR(VLOOKUP(IL1,'IP 2019'!$N$2:$O$51,2,FALSE),0)</f>
        <v>0</v>
      </c>
      <c r="IM37" s="314">
        <f>IFERROR(VLOOKUP(IM1,'IP 2019'!$N$2:$O$51,2,FALSE),0)</f>
        <v>0</v>
      </c>
      <c r="IN37" s="314">
        <f>IFERROR(VLOOKUP(IN1,'IP 2019'!$N$2:$O$51,2,FALSE),0)</f>
        <v>0</v>
      </c>
      <c r="IO37" s="314">
        <f>IFERROR(VLOOKUP(IO1,'IP 2019'!$N$2:$O$51,2,FALSE),0)</f>
        <v>0</v>
      </c>
      <c r="IP37" s="314">
        <f>IFERROR(VLOOKUP(IP1,'IP 2019'!$N$2:$O$51,2,FALSE),0)</f>
        <v>0</v>
      </c>
      <c r="IQ37" s="314">
        <f>IFERROR(VLOOKUP(IQ1,'IP 2019'!$N$2:$O$51,2,FALSE),0)</f>
        <v>0</v>
      </c>
      <c r="IR37" s="314">
        <f>IFERROR(VLOOKUP(IR1,'IP 2019'!$N$2:$O$51,2,FALSE),0)</f>
        <v>0</v>
      </c>
      <c r="IS37" s="314">
        <f>IFERROR(VLOOKUP(IS1,'IP 2019'!$N$2:$O$51,2,FALSE),0)</f>
        <v>0</v>
      </c>
      <c r="IT37" s="314">
        <f>IFERROR(VLOOKUP(IT1,'IP 2019'!$N$2:$O$51,2,FALSE),0)</f>
        <v>0</v>
      </c>
      <c r="IU37" s="314">
        <f>IFERROR(VLOOKUP(IU1,'IP 2019'!$N$2:$O$51,2,FALSE),0)</f>
        <v>0</v>
      </c>
      <c r="IV37" s="314">
        <f>IFERROR(VLOOKUP(IV1,'IP 2019'!$N$2:$O$51,2,FALSE),0)</f>
        <v>0</v>
      </c>
      <c r="IW37" s="314">
        <f>IFERROR(VLOOKUP(IW1,'IP 2019'!$N$2:$O$51,2,FALSE),0)</f>
        <v>0</v>
      </c>
      <c r="IX37" s="314">
        <f>IFERROR(VLOOKUP(IX1,'IP 2019'!$N$2:$O$51,2,FALSE),0)</f>
        <v>0</v>
      </c>
      <c r="IY37" s="314">
        <f>IFERROR(VLOOKUP(IY1,'IP 2019'!$N$2:$O$51,2,FALSE),0)</f>
        <v>0</v>
      </c>
      <c r="IZ37" s="314">
        <f>IFERROR(VLOOKUP(IZ1,'IP 2019'!$N$2:$O$51,2,FALSE),0)</f>
        <v>0</v>
      </c>
      <c r="JA37" s="314">
        <f>IFERROR(VLOOKUP(JA1,'IP 2019'!$N$2:$O$51,2,FALSE),0)</f>
        <v>0</v>
      </c>
      <c r="JB37" s="314">
        <f>IFERROR(VLOOKUP(JB1,'IP 2019'!$N$2:$O$51,2,FALSE),0)</f>
        <v>0</v>
      </c>
      <c r="JC37" s="314">
        <f>IFERROR(VLOOKUP(JC1,'IP 2019'!$N$2:$O$51,2,FALSE),0)</f>
        <v>0</v>
      </c>
      <c r="JD37" s="314">
        <f>IFERROR(VLOOKUP(JD1,'IP 2019'!$N$2:$O$51,2,FALSE),0)</f>
        <v>1410292</v>
      </c>
      <c r="JE37" s="314">
        <f>IFERROR(VLOOKUP(JE1,'IP 2019'!$N$2:$O$51,2,FALSE),0)</f>
        <v>0</v>
      </c>
      <c r="JF37" s="314">
        <f>IFERROR(VLOOKUP(JF1,'IP 2019'!$N$2:$O$51,2,FALSE),0)</f>
        <v>0</v>
      </c>
      <c r="JG37" s="314">
        <f>IFERROR(VLOOKUP(JG1,'IP 2019'!$N$2:$O$51,2,FALSE),0)</f>
        <v>0</v>
      </c>
      <c r="JH37" s="314">
        <f>IFERROR(VLOOKUP(JH1,'IP 2019'!$N$2:$O$51,2,FALSE),0)</f>
        <v>0</v>
      </c>
      <c r="JI37" s="314">
        <f>SUM(C37:JH37)</f>
        <v>58484223.640000001</v>
      </c>
      <c r="JL37" s="307">
        <f t="shared" si="52"/>
        <v>0</v>
      </c>
      <c r="JM37" s="307">
        <f t="shared" si="52"/>
        <v>49959815.640000001</v>
      </c>
      <c r="JN37" s="307">
        <f t="shared" si="52"/>
        <v>2640144</v>
      </c>
      <c r="JO37" s="307">
        <f t="shared" si="52"/>
        <v>5884264</v>
      </c>
      <c r="JP37" s="307">
        <f t="shared" si="53"/>
        <v>58484223.640000001</v>
      </c>
    </row>
    <row r="38" spans="1:277" x14ac:dyDescent="0.25">
      <c r="B38" s="313" t="s">
        <v>1831</v>
      </c>
      <c r="C38" s="314">
        <f>IFERROR(VLOOKUP(C$1,'MPSV 2019'!$A$2:$EV$256,11,FALSE),0)</f>
        <v>7348000</v>
      </c>
      <c r="D38" s="314">
        <f>IFERROR(VLOOKUP(D1,'MPSV 2019'!$A$2:FW256,11,FALSE),0)</f>
        <v>6200000</v>
      </c>
      <c r="E38" s="314">
        <f>IFERROR(VLOOKUP(E1,'MPSV 2019'!$A$2:FC256,11,FALSE),0)</f>
        <v>7900000</v>
      </c>
      <c r="F38" s="314">
        <f>IFERROR(VLOOKUP(F1,'MPSV 2019'!$A$2:AY256,11,FALSE),0)</f>
        <v>3484600</v>
      </c>
      <c r="G38" s="314">
        <f>IFERROR(VLOOKUP(G1,'MPSV 2019'!$A$2:DX256,11,FALSE),0)</f>
        <v>8898350</v>
      </c>
      <c r="H38" s="314">
        <f>IFERROR(VLOOKUP(H1,'MPSV 2019'!$A$2:IP256,11,FALSE),0)</f>
        <v>851000</v>
      </c>
      <c r="I38" s="314">
        <f>IFERROR(VLOOKUP(I1,'MPSV 2019'!$A$2:JO256,11,FALSE),0)</f>
        <v>1621440</v>
      </c>
      <c r="J38" s="314">
        <f>IFERROR(VLOOKUP(J1,'MPSV 2019'!$A$2:JC256,11,FALSE),0)</f>
        <v>1417490</v>
      </c>
      <c r="K38" s="314">
        <f>IFERROR(VLOOKUP(K1,'MPSV 2019'!$A$2:IS256,11,FALSE),0)</f>
        <v>3108430</v>
      </c>
      <c r="L38" s="314">
        <f>IFERROR(VLOOKUP(L1,'MPSV 2019'!$A$2:GX256,11,FALSE),0)</f>
        <v>3599970</v>
      </c>
      <c r="M38" s="314">
        <f>IFERROR(VLOOKUP(M1,'MPSV 2019'!$A$2:AR256,11,FALSE),0)</f>
        <v>3452100</v>
      </c>
      <c r="N38" s="314">
        <f>IFERROR(VLOOKUP(N1,'MPSV 2019'!$A$2:DS256,11,FALSE),0)</f>
        <v>4935000</v>
      </c>
      <c r="O38" s="314">
        <f>IFERROR(VLOOKUP(O1,'MPSV 2019'!$A$2:Z256,11,FALSE),0)</f>
        <v>3938706</v>
      </c>
      <c r="P38" s="314">
        <f>IFERROR(VLOOKUP(P1,'MPSV 2019'!$A$2:IL256,11,FALSE),0)</f>
        <v>2208380</v>
      </c>
      <c r="Q38" s="314">
        <f>IFERROR(VLOOKUP(Q1,'MPSV 2019'!$A$2:AH256,11,FALSE),0)</f>
        <v>1372267</v>
      </c>
      <c r="R38" s="314">
        <f>IFERROR(VLOOKUP(R1,'MPSV 2019'!$A$2:Q256,11,FALSE),0)</f>
        <v>1903000</v>
      </c>
      <c r="S38" s="314">
        <f>IFERROR(VLOOKUP(S1,'MPSV 2019'!$A$2:V256,11,FALSE),0)</f>
        <v>1487500</v>
      </c>
      <c r="T38" s="314">
        <f>IFERROR(VLOOKUP(T1,'MPSV 2019'!$A$2:X256,11,FALSE),0)</f>
        <v>527000</v>
      </c>
      <c r="U38" s="314">
        <f>IFERROR(VLOOKUP(U1,'MPSV 2019'!$A$2:AN256,11,FALSE),0)</f>
        <v>991200</v>
      </c>
      <c r="V38" s="314">
        <f>IFERROR(VLOOKUP(V1,'MPSV 2019'!$A$2:CS256,11,FALSE),0)</f>
        <v>9165000</v>
      </c>
      <c r="W38" s="314">
        <f>IFERROR(VLOOKUP(W1,'MPSV 2019'!$A$2:ED256,11,FALSE),0)</f>
        <v>1794000</v>
      </c>
      <c r="X38" s="314">
        <f>IFERROR(VLOOKUP(X1,'MPSV 2019'!$A$2:DV256,11,FALSE),0)</f>
        <v>1309890</v>
      </c>
      <c r="Y38" s="314">
        <f>IFERROR(VLOOKUP(Y1,'MPSV 2019'!$A$2:DM256,11,FALSE),0)</f>
        <v>1635000</v>
      </c>
      <c r="Z38" s="314">
        <f>IFERROR(VLOOKUP(Z1,'MPSV 2019'!$A$2:ES256,11,FALSE),0)</f>
        <v>6656000</v>
      </c>
      <c r="AA38" s="314">
        <f>IFERROR(VLOOKUP(AA1,'MPSV 2019'!$A$2:II256,11,FALSE),0)</f>
        <v>2744110</v>
      </c>
      <c r="AB38" s="314">
        <f>IFERROR(VLOOKUP(AB1,'MPSV 2019'!$A$2:AQ256,11,FALSE),0)</f>
        <v>2917940</v>
      </c>
      <c r="AC38" s="314">
        <f>IFERROR(VLOOKUP(AC1,'MPSV 2019'!$A$2:AR256,11,FALSE),0)</f>
        <v>1859500</v>
      </c>
      <c r="AD38" s="314">
        <f>IFERROR(VLOOKUP(AD1,'MPSV 2019'!$A$2:GY256,11,FALSE),0)</f>
        <v>1711240</v>
      </c>
      <c r="AE38" s="314">
        <f>IFERROR(VLOOKUP(AE1,'MPSV 2019'!$A$2:IG256,11,FALSE),0)</f>
        <v>0</v>
      </c>
      <c r="AF38" s="314">
        <f>IFERROR(VLOOKUP(AF1,'MPSV 2019'!$A$2:JK256,11,FALSE),0)</f>
        <v>0</v>
      </c>
      <c r="AG38" s="314">
        <f>IFERROR(VLOOKUP(AG1,'MPSV 2019'!$A$2:BC256,11,FALSE),0)</f>
        <v>3101900</v>
      </c>
      <c r="AH38" s="314">
        <f>IFERROR(VLOOKUP(AH1,'MPSV 2019'!$A$2:DT256,11,FALSE),0)</f>
        <v>699300</v>
      </c>
      <c r="AI38" s="314">
        <f>IFERROR(VLOOKUP(AI1,'MPSV 2019'!$A$2:FR256,11,FALSE),0)</f>
        <v>2546700</v>
      </c>
      <c r="AJ38" s="314">
        <f>IFERROR(VLOOKUP(AJ1,'MPSV 2019'!$A$2:GI256,11,FALSE),0)</f>
        <v>2332000</v>
      </c>
      <c r="AK38" s="314">
        <f>IFERROR(VLOOKUP(AK1,'MPSV 2019'!$A$2:T256,11,FALSE),0)</f>
        <v>1089000</v>
      </c>
      <c r="AL38" s="314">
        <f>IFERROR(VLOOKUP(AL1,'MPSV 2019'!$A$2:IH256,11,FALSE),0)</f>
        <v>1024200</v>
      </c>
      <c r="AM38" s="314">
        <f>IFERROR(VLOOKUP(AM1,'MPSV 2019'!$A$2:N256,11,FALSE),0)</f>
        <v>1224492</v>
      </c>
      <c r="AN38" s="314">
        <f>IFERROR(VLOOKUP(AN1,'MPSV 2019'!$A$2:L256,11,FALSE),0)</f>
        <v>1027900</v>
      </c>
      <c r="AO38" s="314">
        <f>IFERROR(VLOOKUP(AO1,'MPSV 2019'!$A$2:DE256,11,FALSE),0)</f>
        <v>3503800</v>
      </c>
      <c r="AP38" s="314">
        <f>IFERROR(VLOOKUP(AP1,'MPSV 2019'!$A$2:BB256,11,FALSE),0)</f>
        <v>2080820</v>
      </c>
      <c r="AQ38" s="314">
        <f>IFERROR(VLOOKUP(AQ1,'MPSV 2019'!$A$2:AD256,11,FALSE),0)</f>
        <v>275460</v>
      </c>
      <c r="AR38" s="314">
        <f>IFERROR(VLOOKUP(AR1,'MPSV 2019'!$A$2:AE256,11,FALSE),0)</f>
        <v>1090591</v>
      </c>
      <c r="AS38" s="314">
        <f>IFERROR(VLOOKUP(AS1,'MPSV 2019'!$A$2:AL256,11,FALSE),0)</f>
        <v>418240</v>
      </c>
      <c r="AT38" s="314">
        <f>IFERROR(VLOOKUP(AT1,'MPSV 2019'!$A$2:AS256,11,FALSE),0)</f>
        <v>2175746</v>
      </c>
      <c r="AU38" s="314">
        <f>IFERROR(VLOOKUP(AU1,'MPSV 2019'!$A$2:HT256,11,FALSE),0)</f>
        <v>860440</v>
      </c>
      <c r="AV38" s="314">
        <f>IFERROR(VLOOKUP(AV1,'MPSV 2019'!$A$2:IC256,11,FALSE),0)</f>
        <v>1051150</v>
      </c>
      <c r="AW38" s="314">
        <f>IFERROR(VLOOKUP(AW1,'MPSV 2019'!$A$2:IQ256,11,FALSE),0)</f>
        <v>1688690</v>
      </c>
      <c r="AX38" s="314">
        <f>IFERROR(VLOOKUP(AX1,'MPSV 2019'!$A$2:DB256,11,FALSE),0)</f>
        <v>2743810</v>
      </c>
      <c r="AY38" s="314">
        <f>IFERROR(VLOOKUP(AY1,'MPSV 2019'!$A$2:DU256,11,FALSE),0)</f>
        <v>2906893</v>
      </c>
      <c r="AZ38" s="314">
        <f>IFERROR(VLOOKUP(AZ1,'MPSV 2019'!$A$2:EI256,11,FALSE),0)</f>
        <v>2790235</v>
      </c>
      <c r="BA38" s="314">
        <f>IFERROR(VLOOKUP(BA1,'MPSV 2019'!$A$2:BA256,11,FALSE),0)</f>
        <v>7415268</v>
      </c>
      <c r="BB38" s="314">
        <f>IFERROR(VLOOKUP(BB1,'MPSV 2019'!$A$2:AM256,11,FALSE),0)</f>
        <v>1020124</v>
      </c>
      <c r="BC38" s="314">
        <f>IFERROR(VLOOKUP(BC1,'MPSV 2019'!$A$2:GZ256,11,FALSE),0)</f>
        <v>971960</v>
      </c>
      <c r="BD38" s="314">
        <f>IFERROR(VLOOKUP(BD1,'MPSV 2019'!$A$2:AF256,11,FALSE),0)</f>
        <v>1165820</v>
      </c>
      <c r="BE38" s="314">
        <f>IFERROR(VLOOKUP(BE1,'MPSV 2019'!$A$2:JD256,11,FALSE),0)</f>
        <v>1091150</v>
      </c>
      <c r="BF38" s="314">
        <f>IFERROR(VLOOKUP(BF1,'MPSV 2019'!$A$2:K256,11,FALSE),0)</f>
        <v>1782000</v>
      </c>
      <c r="BG38" s="314">
        <f>IFERROR(VLOOKUP(BG1,'MPSV 2019'!$A$2:HI256,11,FALSE),0)</f>
        <v>2244870</v>
      </c>
      <c r="BH38" s="314">
        <f>IFERROR(VLOOKUP(BH1,'MPSV 2019'!$A$2:IR256,11,FALSE),0)</f>
        <v>2712120</v>
      </c>
      <c r="BI38" s="314">
        <f>IFERROR(VLOOKUP(BI1,'MPSV 2019'!$A$2:GV256,11,FALSE),0)</f>
        <v>1249077</v>
      </c>
      <c r="BJ38" s="314">
        <f>IFERROR(VLOOKUP(BJ1,'MPSV 2019'!$A$2:BM256,11,FALSE),0)</f>
        <v>2652621</v>
      </c>
      <c r="BK38" s="314">
        <f>IFERROR(VLOOKUP(BK1,'MPSV 2019'!$A$2:IT256,11,FALSE),0)</f>
        <v>0</v>
      </c>
      <c r="BL38" s="314">
        <f>IFERROR(VLOOKUP(BL1,'MPSV 2019'!$A$2:AW256,11,FALSE),0)</f>
        <v>0</v>
      </c>
      <c r="BM38" s="314">
        <f>IFERROR(VLOOKUP(BM1,'MPSV 2019'!$A$2:IV256,11,FALSE),0)</f>
        <v>465100</v>
      </c>
      <c r="BN38" s="314">
        <f>IFERROR(VLOOKUP(BN1,'MPSV 2019'!$A$2:S256,11,FALSE),0)</f>
        <v>1582000</v>
      </c>
      <c r="BO38" s="314">
        <f>IFERROR(VLOOKUP(BO1,'MPSV 2019'!$A$2:HK256,11,FALSE),0)</f>
        <v>762010</v>
      </c>
      <c r="BP38" s="314">
        <f>IFERROR(VLOOKUP(BP1,'MPSV 2019'!$A$2:EC256,11,FALSE),0)</f>
        <v>3460591</v>
      </c>
      <c r="BQ38" s="314">
        <f>IFERROR(VLOOKUP(BQ1,'MPSV 2019'!$A$2:JI256,11,FALSE),0)</f>
        <v>491755</v>
      </c>
      <c r="BR38" s="314">
        <f>IFERROR(VLOOKUP(BR1,'MPSV 2019'!$A$2:P256,11,FALSE),0)</f>
        <v>809340</v>
      </c>
      <c r="BS38" s="314">
        <f>IFERROR(VLOOKUP(BS1,'MPSV 2019'!$A$2:AI256,11,FALSE),0)</f>
        <v>1197900</v>
      </c>
      <c r="BT38" s="314">
        <f>IFERROR(VLOOKUP(BT1,'MPSV 2019'!$A$2:AJ256,11,FALSE),0)</f>
        <v>781100</v>
      </c>
      <c r="BU38" s="314">
        <f>IFERROR(VLOOKUP(BU1,'MPSV 2019'!$A$2:CL256,11,FALSE),0)</f>
        <v>3450082</v>
      </c>
      <c r="BV38" s="314">
        <f>IFERROR(VLOOKUP(BV1,'MPSV 2019'!$A$2:DF256,11,FALSE),0)</f>
        <v>138910</v>
      </c>
      <c r="BW38" s="314">
        <f>IFERROR(VLOOKUP(BW1,'MPSV 2019'!$A$2:Y256,11,FALSE),0)</f>
        <v>522000</v>
      </c>
      <c r="BX38" s="314">
        <f>IFERROR(VLOOKUP(BX1,'MPSV 2019'!$A$2:BL256,11,FALSE),0)</f>
        <v>3898282</v>
      </c>
      <c r="BY38" s="314">
        <f>IFERROR(VLOOKUP(BY1,'MPSV 2019'!$A$2:CJ256,11,FALSE),0)</f>
        <v>1419144</v>
      </c>
      <c r="BZ38" s="314">
        <f>IFERROR(VLOOKUP(BZ1,'MPSV 2019'!$A$2:CW256,11,FALSE),0)</f>
        <v>288150</v>
      </c>
      <c r="CA38" s="314">
        <f>IFERROR(VLOOKUP(CA1,'MPSV 2019'!$A$2:EH256,11,FALSE),0)</f>
        <v>0</v>
      </c>
      <c r="CB38" s="314">
        <f>IFERROR(VLOOKUP(CB1,'MPSV 2019'!$A$2:GR256,11,FALSE),0)</f>
        <v>532263</v>
      </c>
      <c r="CC38" s="314">
        <f>IFERROR(VLOOKUP(CC1,'MPSV 2019'!$A$2:O256,11,FALSE),0)</f>
        <v>2120418</v>
      </c>
      <c r="CD38" s="314">
        <f>IFERROR(VLOOKUP(CD1,'MPSV 2019'!$A$2:W256,11,FALSE),0)</f>
        <v>647336</v>
      </c>
      <c r="CE38" s="314">
        <f>IFERROR(VLOOKUP(CE1,'MPSV 2019'!$A$2:BZ256,11,FALSE),0)</f>
        <v>8268855</v>
      </c>
      <c r="CF38" s="314">
        <f>IFERROR(VLOOKUP(CF1,'MPSV 2019'!$A$2:GW256,11,FALSE),0)</f>
        <v>4326000</v>
      </c>
      <c r="CG38" s="314">
        <f>IFERROR(VLOOKUP(CG1,'MPSV 2019'!$A$2:HB256,11,FALSE),0)</f>
        <v>900000</v>
      </c>
      <c r="CH38" s="314">
        <f>IFERROR(VLOOKUP(CH1,'MPSV 2019'!$A$2:HD256,11,FALSE),0)</f>
        <v>2319450</v>
      </c>
      <c r="CI38" s="314">
        <f>IFERROR(VLOOKUP(CI1,'MPSV 2019'!$A$2:HL256,11,FALSE),0)</f>
        <v>1690000</v>
      </c>
      <c r="CJ38" s="314">
        <f>IFERROR(VLOOKUP(CJ1,'MPSV 2019'!$A$2:HM256,11,FALSE),0)</f>
        <v>2357340</v>
      </c>
      <c r="CK38" s="314">
        <f>IFERROR(VLOOKUP(CK1,'MPSV 2019'!$A$2:HX256,11,FALSE),0)</f>
        <v>4176623</v>
      </c>
      <c r="CL38" s="314">
        <f>IFERROR(VLOOKUP(CL1,'MPSV 2019'!$A$2:IU256,11,FALSE),0)</f>
        <v>1397371</v>
      </c>
      <c r="CM38" s="314">
        <f>IFERROR(VLOOKUP(CM1,'MPSV 2019'!$A$2:CP256,11,FALSE),0)</f>
        <v>5320660</v>
      </c>
      <c r="CN38" s="314">
        <f>IFERROR(VLOOKUP(CN1,'MPSV 2019'!$A$2:HN256,11,FALSE),0)</f>
        <v>1229970</v>
      </c>
      <c r="CO38" s="314">
        <f>IFERROR(VLOOKUP(CO1,'MPSV 2019'!$A$2:HP256,11,FALSE),0)</f>
        <v>1214500</v>
      </c>
      <c r="CP38" s="314">
        <f>IFERROR(VLOOKUP(CP1,'MPSV 2019'!$A$2:HR256,11,FALSE),0)</f>
        <v>1182600</v>
      </c>
      <c r="CQ38" s="314">
        <f>IFERROR(VLOOKUP(CQ1,'MPSV 2019'!$A$2:IA256,11,FALSE),0)</f>
        <v>2784980</v>
      </c>
      <c r="CR38" s="314">
        <f>IFERROR(VLOOKUP(CR1,'MPSV 2019'!$A$2:CA256,11,FALSE),0)</f>
        <v>1492330</v>
      </c>
      <c r="CS38" s="314">
        <f>IFERROR(VLOOKUP(CS1,'MPSV 2019'!$A$2:HG256,11,FALSE),0)</f>
        <v>0</v>
      </c>
      <c r="CT38" s="314">
        <f>IFERROR(VLOOKUP(CT1,'MPSV 2019'!$A$2:HH256,11,FALSE),0)</f>
        <v>2665670</v>
      </c>
      <c r="CU38" s="314">
        <f>IFERROR(VLOOKUP(CU1,'MPSV 2019'!$A$2:BF256,11,FALSE),0)</f>
        <v>1100000</v>
      </c>
      <c r="CV38" s="314">
        <f>IFERROR(VLOOKUP(CV1,'MPSV 2019'!$A$2:FN256,11,FALSE),0)</f>
        <v>3600000</v>
      </c>
      <c r="CW38" s="314">
        <f>IFERROR(VLOOKUP(CW1,'MPSV 2019'!$A$2:AC256,11,FALSE),0)</f>
        <v>0</v>
      </c>
      <c r="CX38" s="314">
        <f>IFERROR(VLOOKUP(CX1,'MPSV 2019'!$A$2:AZ256,11,FALSE),0)</f>
        <v>2778000</v>
      </c>
      <c r="CY38" s="314">
        <f>IFERROR(VLOOKUP(CY1,'MPSV 2019'!$A$2:BP256,11,FALSE),0)</f>
        <v>2748954</v>
      </c>
      <c r="CZ38" s="314">
        <f>IFERROR(VLOOKUP(CZ1,'MPSV 2019'!$A$2:IB256,11,FALSE),0)</f>
        <v>0</v>
      </c>
      <c r="DA38" s="314">
        <f>IFERROR(VLOOKUP(DA1,'MPSV 2019'!$A$2:GU256,11,FALSE),0)</f>
        <v>5580860</v>
      </c>
      <c r="DB38" s="314">
        <f>IFERROR(VLOOKUP(DB1,'MPSV 2019'!$A$2:AA256,11,FALSE),0)</f>
        <v>665328</v>
      </c>
      <c r="DC38" s="314">
        <f>IFERROR(VLOOKUP(DC1,'MPSV 2019'!$A$2:HU256,11,FALSE),0)</f>
        <v>1623500</v>
      </c>
      <c r="DD38" s="314">
        <f>IFERROR(VLOOKUP(DD1,'MPSV 2019'!$A$2:IY256,11,FALSE),0)</f>
        <v>2508240</v>
      </c>
      <c r="DE38" s="314">
        <f>IFERROR(VLOOKUP(DE1,'MPSV 2019'!$A$2:JG256,11,FALSE),0)</f>
        <v>0</v>
      </c>
      <c r="DF38" s="314">
        <f>IFERROR(VLOOKUP(DF1,'MPSV 2019'!$A$2:JM256,11,FALSE),0)</f>
        <v>2713420</v>
      </c>
      <c r="DG38" s="314">
        <f>IFERROR(VLOOKUP(DG1,'MPSV 2019'!$A$2:AO256,11,FALSE),0)</f>
        <v>605740</v>
      </c>
      <c r="DH38" s="314">
        <f>IFERROR(VLOOKUP(DH1,'MPSV 2019'!$A$2:CZ256,11,FALSE),0)</f>
        <v>541897</v>
      </c>
      <c r="DI38" s="314">
        <f>IFERROR(VLOOKUP(DI1,'MPSV 2019'!$A$2:IM256,11,FALSE),0)</f>
        <v>626030</v>
      </c>
      <c r="DJ38" s="314">
        <f>IFERROR(VLOOKUP(DJ1,'MPSV 2019'!$A$2:JF256,11,FALSE),0)</f>
        <v>844040</v>
      </c>
      <c r="DK38" s="314">
        <f>IFERROR(VLOOKUP(DK1,'MPSV 2019'!$A$2:JL256,11,FALSE),0)</f>
        <v>506700</v>
      </c>
      <c r="DL38" s="314">
        <f>IFERROR(VLOOKUP(DL1,'MPSV 2019'!$A$2:BK256,11,FALSE),0)</f>
        <v>3817224</v>
      </c>
      <c r="DM38" s="314">
        <f>IFERROR(VLOOKUP(DM1,'MPSV 2019'!$A$2:AX256,11,FALSE),0)</f>
        <v>1734348</v>
      </c>
      <c r="DN38" s="314">
        <f>IFERROR(VLOOKUP(DN1,'MPSV 2019'!$A$2:HO256,11,FALSE),0)</f>
        <v>2728440</v>
      </c>
      <c r="DO38" s="314">
        <f>IFERROR(VLOOKUP(DO1,'MPSV 2019'!$A$2:JB256,11,FALSE),0)</f>
        <v>1205810</v>
      </c>
      <c r="DP38" s="314">
        <f>IFERROR(VLOOKUP(DP1,'MPSV 2019'!$A$2:HV256,11,FALSE),0)</f>
        <v>3871189</v>
      </c>
      <c r="DQ38" s="314">
        <f>IFERROR(VLOOKUP(DQ1,'MPSV 2019'!$A$2:ID256,11,FALSE),0)</f>
        <v>2167520</v>
      </c>
      <c r="DR38" s="314">
        <f>IFERROR(VLOOKUP(DR1,'MPSV 2019'!$A$2:IJ256,11,FALSE),0)</f>
        <v>2348410</v>
      </c>
      <c r="DS38" s="314">
        <f>IFERROR(VLOOKUP(DS1,'MPSV 2019'!$A$2:EB256,11,FALSE),0)</f>
        <v>0</v>
      </c>
      <c r="DT38" s="314">
        <f>IFERROR(VLOOKUP(DT1,'MPSV 2019'!$A$2:GS256,11,FALSE),0)</f>
        <v>2825000</v>
      </c>
      <c r="DU38" s="314">
        <f>IFERROR(VLOOKUP(DU1,'MPSV 2019'!$A$2:DA256,11,FALSE),0)</f>
        <v>1546867</v>
      </c>
      <c r="DV38" s="314">
        <f>IFERROR(VLOOKUP(DV1,'MPSV 2019'!$A$2:GP256,11,FALSE),0)</f>
        <v>3016720</v>
      </c>
      <c r="DW38" s="314">
        <f>IFERROR(VLOOKUP(DW1,'MPSV 2019'!$A$2:IO256,11,FALSE),0)</f>
        <v>1211410</v>
      </c>
      <c r="DX38" s="314">
        <f>IFERROR(VLOOKUP(DX1,'MPSV 2019'!$A$2:IW256,11,FALSE),0)</f>
        <v>2510561</v>
      </c>
      <c r="DY38" s="314">
        <f>IFERROR(VLOOKUP(DY1,'MPSV 2019'!$A$2:AP256,11,FALSE),0)</f>
        <v>3597150</v>
      </c>
      <c r="DZ38" s="314">
        <f>IFERROR(VLOOKUP(DZ1,'MPSV 2019'!$A$2:BS256,11,FALSE),0)</f>
        <v>716300</v>
      </c>
      <c r="EA38" s="314">
        <f>IFERROR(VLOOKUP(EA1,'MPSV 2019'!$A$2:AU256,11,FALSE),0)</f>
        <v>3633000</v>
      </c>
      <c r="EB38" s="314">
        <f>IFERROR(VLOOKUP(EB1,'MPSV 2019'!$A$2:AV256,11,FALSE),0)</f>
        <v>3882690</v>
      </c>
      <c r="EC38" s="314">
        <f>IFERROR(VLOOKUP(EC1,'MPSV 2019'!$A$2:DC256,11,FALSE),0)</f>
        <v>3345254</v>
      </c>
      <c r="ED38" s="314">
        <f>IFERROR(VLOOKUP(ED1,'MPSV 2019'!$A$2:EE256,11,FALSE),0)</f>
        <v>3457000</v>
      </c>
      <c r="EE38" s="314">
        <f>IFERROR(VLOOKUP(EE1,'MPSV 2019'!$A$2:M256,11,FALSE),0)</f>
        <v>563624</v>
      </c>
      <c r="EF38" s="314">
        <f>IFERROR(VLOOKUP(EF1,'MPSV 2019'!$A$2:U256,11,FALSE),0)</f>
        <v>640486</v>
      </c>
      <c r="EG38" s="314">
        <f>IFERROR(VLOOKUP(EG1,'MPSV 2019'!$A$2:AB256,11,FALSE),0)</f>
        <v>392240</v>
      </c>
      <c r="EH38" s="314">
        <f>IFERROR(VLOOKUP(EH1,'MPSV 2019'!$A$2:CY256,11,FALSE),0)</f>
        <v>537670</v>
      </c>
      <c r="EI38" s="314">
        <f>IFERROR(VLOOKUP(EI1,'MPSV 2019'!$A$2:IK256,11,FALSE),0)</f>
        <v>880000</v>
      </c>
      <c r="EJ38" s="314">
        <f>IFERROR(VLOOKUP(EJ1,'MPSV 2019'!$A$2:JA256,11,FALSE),0)</f>
        <v>531000</v>
      </c>
      <c r="EK38" s="314">
        <f>IFERROR(VLOOKUP(EK1,'MPSV 2019'!$A$2:AT256,11,FALSE),0)</f>
        <v>3593030</v>
      </c>
      <c r="EL38" s="314">
        <f>IFERROR(VLOOKUP(EL1,'MPSV 2019'!$A$2:EF256,11,FALSE),0)</f>
        <v>7973026</v>
      </c>
      <c r="EM38" s="314">
        <f>IFERROR(VLOOKUP(EM1,'MPSV 2019'!$A$2:GN256,11,FALSE),0)</f>
        <v>2488808</v>
      </c>
      <c r="EN38" s="314">
        <f>IFERROR(VLOOKUP(EN1,'MPSV 2019'!$A$2:IF256,11,FALSE),0)</f>
        <v>1368920</v>
      </c>
      <c r="EO38" s="314">
        <f>IFERROR(VLOOKUP(EO1,'MPSV 2019'!$A$2:AK256,11,FALSE),0)</f>
        <v>236418</v>
      </c>
      <c r="EP38" s="314">
        <f>IFERROR(VLOOKUP(EP1,'MPSV 2019'!$A$2:DZ256,11,FALSE),0)</f>
        <v>2171123</v>
      </c>
      <c r="EQ38" s="314">
        <f>IFERROR(VLOOKUP(EQ1,'MPSV 2019'!$A$2:JH256,11,FALSE),0)</f>
        <v>1190738</v>
      </c>
      <c r="ER38" s="314">
        <f>IFERROR(VLOOKUP(ER1,'MPSV 2019'!$A$2:BJ256,11,FALSE),0)</f>
        <v>5251868</v>
      </c>
      <c r="ES38" s="314">
        <f>IFERROR(VLOOKUP(ES1,'MPSV 2019'!$A$2:CX256,11,FALSE),0)</f>
        <v>2770560</v>
      </c>
      <c r="ET38" s="314">
        <f>IFERROR(VLOOKUP(ET1,'MPSV 2019'!$A$2:DK256,11,FALSE),0)</f>
        <v>0</v>
      </c>
      <c r="EU38" s="314">
        <f>IFERROR(VLOOKUP(EU1,'MPSV 2019'!$A$2:EJ256,11,FALSE),0)</f>
        <v>0</v>
      </c>
      <c r="EV38" s="314">
        <f>IFERROR(VLOOKUP(EV1,'MPSV 2019'!$A$2:R256,11,FALSE),0)</f>
        <v>225535</v>
      </c>
      <c r="EW38" s="314">
        <f>IFERROR(VLOOKUP(EW1,'MPSV 2019'!$A$2:BQ256,11,FALSE),0)</f>
        <v>2356313</v>
      </c>
      <c r="EX38" s="314">
        <f>IFERROR(VLOOKUP(EX1,'MPSV 2019'!$A$2:FS256,11,FALSE),0)</f>
        <v>5404290</v>
      </c>
      <c r="EY38" s="314">
        <f>IFERROR(VLOOKUP(EY1,'MPSV 2019'!$A$2:IE256,11,FALSE),0)</f>
        <v>1024820</v>
      </c>
      <c r="EZ38" s="314">
        <f>IFERROR(VLOOKUP(EZ1,'MPSV 2019'!$A$2:CB256,11,FALSE),0)</f>
        <v>111326</v>
      </c>
      <c r="FA38" s="314">
        <f>IFERROR(VLOOKUP(FA1,'MPSV 2019'!$A$2:BH256,11,FALSE),0)</f>
        <v>685740</v>
      </c>
      <c r="FB38" s="314">
        <f>IFERROR(VLOOKUP(FB1,'MPSV 2019'!$A$2:CO256,11,FALSE),0)</f>
        <v>93750</v>
      </c>
      <c r="FC38" s="314">
        <f>IFERROR(VLOOKUP(FC1,'MPSV 2019'!$A$2:CT256,11,FALSE),0)</f>
        <v>3000000</v>
      </c>
      <c r="FD38" s="314">
        <f>IFERROR(VLOOKUP(FD1,'MPSV 2019'!$A$2:HC256,11,FALSE),0)</f>
        <v>370380</v>
      </c>
      <c r="FE38" s="314">
        <f>IFERROR(VLOOKUP(FE1,'MPSV 2019'!$A$2:HW256,11,FALSE),0)</f>
        <v>262500</v>
      </c>
      <c r="FF38" s="314">
        <f>IFERROR(VLOOKUP(FF1,'MPSV 2019'!$A$2:BU256,11,FALSE),0)</f>
        <v>1117120</v>
      </c>
      <c r="FG38" s="314">
        <f>IFERROR(VLOOKUP(FG1,'MPSV 2019'!$A$2:FL256,11,FALSE),0)</f>
        <v>4683650</v>
      </c>
      <c r="FH38" s="314">
        <f>IFERROR(VLOOKUP(FH1,'MPSV 2019'!$A$2:GA256,11,FALSE),0)</f>
        <v>5519580</v>
      </c>
      <c r="FI38" s="314">
        <f>IFERROR(VLOOKUP(FI1,'MPSV 2019'!$A$2:FU256,11,FALSE),0)</f>
        <v>5568487</v>
      </c>
      <c r="FJ38" s="314">
        <f>IFERROR(VLOOKUP(FJ1,'MPSV 2019'!$A$2:CC256,11,FALSE),0)</f>
        <v>1579046</v>
      </c>
      <c r="FK38" s="314">
        <f>IFERROR(VLOOKUP(FK1,'MPSV 2019'!$A$2:BX256,11,FALSE),0)</f>
        <v>281852</v>
      </c>
      <c r="FL38" s="314">
        <f>IFERROR(VLOOKUP(FL1,'MPSV 2019'!$A$2:DN256,11,FALSE),0)</f>
        <v>601762</v>
      </c>
      <c r="FM38" s="314">
        <f>IFERROR(VLOOKUP(FM1,'MPSV 2019'!$A$2:CD256,11,FALSE),0)</f>
        <v>2626403</v>
      </c>
      <c r="FN38" s="314">
        <f>IFERROR(VLOOKUP(FN1,'MPSV 2019'!$A$2:BE256,11,FALSE),0)</f>
        <v>6459380</v>
      </c>
      <c r="FO38" s="314">
        <f>IFERROR(VLOOKUP(FO1,'MPSV 2019'!$A$2:EG256,11,FALSE),0)</f>
        <v>1659657</v>
      </c>
      <c r="FP38" s="314">
        <f>IFERROR(VLOOKUP(FP1,'MPSV 2019'!$A$2:FG256,11,FALSE),0)</f>
        <v>12144452</v>
      </c>
      <c r="FQ38" s="314">
        <f>IFERROR(VLOOKUP(FQ1,'MPSV 2019'!$A$2:GO256,11,FALSE),0)</f>
        <v>1909423</v>
      </c>
      <c r="FR38" s="314">
        <f>IFERROR(VLOOKUP(FR1,'MPSV 2019'!$A$2:HF256,11,FALSE),0)</f>
        <v>0</v>
      </c>
      <c r="FS38" s="314">
        <f>IFERROR(VLOOKUP(FS1,'MPSV 2019'!$A$2:HY256,11,FALSE),0)</f>
        <v>477570</v>
      </c>
      <c r="FT38" s="314">
        <f>IFERROR(VLOOKUP(FT1,'MPSV 2019'!$A$2:BD256,11,FALSE),0)</f>
        <v>2948610</v>
      </c>
      <c r="FU38" s="314">
        <f>IFERROR(VLOOKUP(FU1,'MPSV 2019'!$A$2:DQ256,11,FALSE),0)</f>
        <v>426547</v>
      </c>
      <c r="FV38" s="314">
        <f>IFERROR(VLOOKUP(FV1,'MPSV 2019'!$A$2:CM256,11,FALSE),0)</f>
        <v>559074</v>
      </c>
      <c r="FW38" s="314">
        <f>IFERROR(VLOOKUP(FW1,'MPSV 2019'!$A$2:CI256,11,FALSE),0)</f>
        <v>1013735</v>
      </c>
      <c r="FX38" s="314">
        <f>IFERROR(VLOOKUP(FX1,'MPSV 2019'!$A$2:BI256,11,FALSE),0)</f>
        <v>364926</v>
      </c>
      <c r="FY38" s="314">
        <f>IFERROR(VLOOKUP(FY1,'MPSV 2019'!$A$2:BW256,11,FALSE),0)</f>
        <v>150000</v>
      </c>
      <c r="FZ38" s="314">
        <f>IFERROR(VLOOKUP(FZ1,'MPSV 2019'!$A$2:CG256,11,FALSE),0)</f>
        <v>2576210</v>
      </c>
      <c r="GA38" s="314">
        <f>IFERROR(VLOOKUP(GA1,'MPSV 2019'!$A$2:DG256,11,FALSE),0)</f>
        <v>234850</v>
      </c>
      <c r="GB38" s="314">
        <f>IFERROR(VLOOKUP(GB1,'MPSV 2019'!$A$2:EW256,11,FALSE),0)</f>
        <v>1751320</v>
      </c>
      <c r="GC38" s="314">
        <f>IFERROR(VLOOKUP(GC1,'MPSV 2019'!$A$2:BO256,11,FALSE),0)</f>
        <v>2155529</v>
      </c>
      <c r="GD38" s="314">
        <f>IFERROR(VLOOKUP(GD1,'MPSV 2019'!$A$2:EU256,11,FALSE),0)</f>
        <v>4880300</v>
      </c>
      <c r="GE38" s="314">
        <f>IFERROR(VLOOKUP(GE1,'MPSV 2019'!$A$2:IZ256,11,FALSE),0)</f>
        <v>774410</v>
      </c>
      <c r="GF38" s="314">
        <f>IFERROR(VLOOKUP(GF1,'MPSV 2019'!$A$2:CU256,11,FALSE),0)</f>
        <v>3590557</v>
      </c>
      <c r="GG38" s="314">
        <f>IFERROR(VLOOKUP(GG1,'MPSV 2019'!$A$2:DH256,11,FALSE),0)</f>
        <v>1234654</v>
      </c>
      <c r="GH38" s="314">
        <f>IFERROR(VLOOKUP(GH1,'MPSV 2019'!$A$2:DO256,11,FALSE),0)</f>
        <v>1026112</v>
      </c>
      <c r="GI38" s="314">
        <f>IFERROR(VLOOKUP(GI1,'MPSV 2019'!$A$2:FJ256,11,FALSE),0)</f>
        <v>6898917</v>
      </c>
      <c r="GJ38" s="314">
        <f>IFERROR(VLOOKUP(GJ1,'MPSV 2019'!$A$2:CN256,11,FALSE),0)</f>
        <v>1317750</v>
      </c>
      <c r="GK38" s="314">
        <f>IFERROR(VLOOKUP(GK1,'MPSV 2019'!$A$2:DJ256,11,FALSE),0)</f>
        <v>666130</v>
      </c>
      <c r="GL38" s="314">
        <f>IFERROR(VLOOKUP(GL1,'MPSV 2019'!$A$2:DR256,11,FALSE),0)</f>
        <v>529296</v>
      </c>
      <c r="GM38" s="314">
        <f>IFERROR(VLOOKUP(GM1,'MPSV 2019'!$A$2:HS256,11,FALSE),0)</f>
        <v>584410</v>
      </c>
      <c r="GN38" s="314">
        <f>IFERROR(VLOOKUP(GN1,'MPSV 2019'!$A$2:HZ256,11,FALSE),0)</f>
        <v>201040</v>
      </c>
      <c r="GO38" s="314">
        <f>IFERROR(VLOOKUP(GO1,'MPSV 2019'!$A$2:FE256,11,FALSE),0)</f>
        <v>3471471</v>
      </c>
      <c r="GP38" s="314">
        <f>IFERROR(VLOOKUP(GP1,'MPSV 2019'!$A$2:CV256,11,FALSE),0)</f>
        <v>470270</v>
      </c>
      <c r="GQ38" s="314">
        <f>IFERROR(VLOOKUP(GQ1,'MPSV 2019'!$A$2:BG256,11,FALSE),0)</f>
        <v>426710</v>
      </c>
      <c r="GR38" s="314">
        <f>IFERROR(VLOOKUP(GR1,'MPSV 2019'!$A$2:BV256,11,FALSE),0)</f>
        <v>516450</v>
      </c>
      <c r="GS38" s="314">
        <f>IFERROR(VLOOKUP(GS1,'MPSV 2019'!$A$2:CK256,11,FALSE),0)</f>
        <v>133500</v>
      </c>
      <c r="GT38" s="314">
        <f>IFERROR(VLOOKUP(GT1,'MPSV 2019'!$A$2:CF256,11,FALSE),0)</f>
        <v>5724000</v>
      </c>
      <c r="GU38" s="314">
        <f>IFERROR(VLOOKUP(GU1,'MPSV 2019'!$A$2:EA256,11,FALSE),0)</f>
        <v>761571</v>
      </c>
      <c r="GV38" s="314">
        <f>IFERROR(VLOOKUP(GV1,'MPSV 2019'!$A$2:FH256,11,FALSE),0)</f>
        <v>4959810</v>
      </c>
      <c r="GW38" s="314">
        <f>IFERROR(VLOOKUP(GW1,'MPSV 2019'!$A$2:BN256,11,FALSE),0)</f>
        <v>1133866</v>
      </c>
      <c r="GX38" s="314">
        <f>IFERROR(VLOOKUP(GX1,'MPSV 2019'!$A$2:CE256,11,FALSE),0)</f>
        <v>97500</v>
      </c>
      <c r="GY38" s="314">
        <f>IFERROR(VLOOKUP(GY1,'MPSV 2019'!$A$2:FY256,11,FALSE),0)</f>
        <v>10521860</v>
      </c>
      <c r="GZ38" s="314">
        <f>IFERROR(VLOOKUP(GZ1,'MPSV 2019'!$A$2:HE256,11,FALSE),0)</f>
        <v>0</v>
      </c>
      <c r="HA38" s="314">
        <f>IFERROR(VLOOKUP(HA1,'MPSV 2019'!$A$2:BT256,11,FALSE),0)</f>
        <v>3864560</v>
      </c>
      <c r="HB38" s="314">
        <f>IFERROR(VLOOKUP(HB1,'MPSV 2019'!$A$2:DY256,11,FALSE),0)</f>
        <v>1991460</v>
      </c>
      <c r="HC38" s="314">
        <f>IFERROR(VLOOKUP(HC1,'MPSV 2019'!$A$2:EY256,11,FALSE),0)</f>
        <v>4360800</v>
      </c>
      <c r="HD38" s="314">
        <f>IFERROR(VLOOKUP(HD1,'MPSV 2019'!$A$2:CH256,11,FALSE),0)</f>
        <v>971100</v>
      </c>
      <c r="HE38" s="314">
        <f>IFERROR(VLOOKUP(HE1,'MPSV 2019'!$A$2:FV256,11,FALSE),0)</f>
        <v>3634850</v>
      </c>
      <c r="HF38" s="314">
        <f>IFERROR(VLOOKUP(HF1,'MPSV 2019'!$A$2:BY256,11,FALSE),0)</f>
        <v>480000</v>
      </c>
      <c r="HG38" s="314">
        <f>IFERROR(VLOOKUP(HG1,'MPSV 2019'!$A$2:DP256,11,FALSE),0)</f>
        <v>375000</v>
      </c>
      <c r="HH38" s="314">
        <f>IFERROR(VLOOKUP(HH1,'MPSV 2019'!$A$2:CR256,11,FALSE),0)</f>
        <v>1689660</v>
      </c>
      <c r="HI38" s="314">
        <f>IFERROR(VLOOKUP(HI1,'MPSV 2019'!$A$2:BR256,11,FALSE),0)</f>
        <v>1069500</v>
      </c>
      <c r="HJ38" s="314">
        <f>IFERROR(VLOOKUP(HJ1,'MPSV 2019'!$A$2:JE256,11,FALSE),0)</f>
        <v>128450</v>
      </c>
      <c r="HK38" s="314">
        <f>IFERROR(VLOOKUP(HK1,'MPSV 2019'!$A$2:CQ256,11,FALSE),0)</f>
        <v>144000</v>
      </c>
      <c r="HL38" s="314">
        <f>IFERROR(VLOOKUP(HL1,'MPSV 2019'!$A$2:EP256,11,FALSE),0)</f>
        <v>24865973</v>
      </c>
      <c r="HM38" s="314">
        <f>IFERROR(VLOOKUP(HM1,'MPSV 2019'!$A$2:GT256,11,FALSE),0)</f>
        <v>17791098</v>
      </c>
      <c r="HN38" s="314">
        <f>IFERROR(VLOOKUP(HN1,'MPSV 2019'!$A$2:IN256,11,FALSE),0)</f>
        <v>579155</v>
      </c>
      <c r="HO38" s="314">
        <f>IFERROR(VLOOKUP(HO1,'MPSV 2019'!$A$2:IX256,11,FALSE),0)</f>
        <v>0</v>
      </c>
      <c r="HP38" s="314">
        <f>IFERROR(VLOOKUP(HP1,'MPSV 2019'!$A$2:EO256,11,FALSE),0)</f>
        <v>18789218</v>
      </c>
      <c r="HQ38" s="314">
        <f>IFERROR(VLOOKUP(HQ1,'MPSV 2019'!$A$2:DW256,11,FALSE),0)</f>
        <v>650000</v>
      </c>
      <c r="HR38" s="314">
        <f>IFERROR(VLOOKUP(HR1,'MPSV 2019'!$A$2:EM256,11,FALSE),0)</f>
        <v>22423092</v>
      </c>
      <c r="HS38" s="314">
        <f>IFERROR(VLOOKUP(HS1,'MPSV 2019'!$A$2:GQ256,11,FALSE),0)</f>
        <v>3748370</v>
      </c>
      <c r="HT38" s="314">
        <f>IFERROR(VLOOKUP(HT1,'MPSV 2019'!$A$2:GF256,11,FALSE),0)</f>
        <v>15533685</v>
      </c>
      <c r="HU38" s="314">
        <f>IFERROR(VLOOKUP(HU$1,'MPSV 2019'!$A$2:FZ256,11,FALSE),0)</f>
        <v>15108994</v>
      </c>
      <c r="HV38" s="314">
        <f>IFERROR(VLOOKUP(HV1,'MPSV 2019'!$A$2:FP256,11,FALSE),0)</f>
        <v>11096127</v>
      </c>
      <c r="HW38" s="314">
        <f>IFERROR(VLOOKUP(HW1,'MPSV 2019'!$A$2:FB256,11,FALSE),0)</f>
        <v>4525979</v>
      </c>
      <c r="HX38" s="314">
        <f>IFERROR(VLOOKUP(HX1,'MPSV 2019'!$A$2:GC256,11,FALSE),0)</f>
        <v>10994091</v>
      </c>
      <c r="HY38" s="314">
        <f>IFERROR(VLOOKUP(HY1,'MPSV 2019'!$A$2:FI256,11,FALSE),0)</f>
        <v>13999762</v>
      </c>
      <c r="HZ38" s="314">
        <f>IFERROR(VLOOKUP(HZ1,'MPSV 2019'!$A$2:FK256,11,FALSE),0)</f>
        <v>6629941</v>
      </c>
      <c r="IA38" s="314">
        <f>IFERROR(VLOOKUP(IA1,'MPSV 2019'!$A$2:FF256,11,FALSE),0)</f>
        <v>6267487</v>
      </c>
      <c r="IB38" s="314">
        <f>IFERROR(VLOOKUP(IB1,'MPSV 2019'!$A$2:EZ256,11,FALSE),0)</f>
        <v>5637181</v>
      </c>
      <c r="IC38" s="314">
        <f>IFERROR(VLOOKUP(IC1,'MPSV 2019'!$A$2:FT256,11,FALSE),0)</f>
        <v>7185742</v>
      </c>
      <c r="ID38" s="314">
        <f>IFERROR(VLOOKUP(ID1,'MPSV 2019'!$A$2:GB256,11,FALSE),0)</f>
        <v>6530764</v>
      </c>
      <c r="IE38" s="314">
        <f>IFERROR(VLOOKUP(IE1,'MPSV 2019'!$A$2:FA256,11,FALSE),0)</f>
        <v>11981892</v>
      </c>
      <c r="IF38" s="314">
        <f>IFERROR(VLOOKUP(IF1,'MPSV 2019'!$A$2:FX256,11,FALSE),0)</f>
        <v>11622390</v>
      </c>
      <c r="IG38" s="314">
        <f>IFERROR(VLOOKUP(IG1,'MPSV 2019'!$A$2:GH256,11,FALSE),0)</f>
        <v>2657677</v>
      </c>
      <c r="IH38" s="314">
        <f>IFERROR(VLOOKUP(IH1,'MPSV 2019'!$A$2:ER256,11,FALSE),0)</f>
        <v>1601240</v>
      </c>
      <c r="II38" s="314">
        <f>IFERROR(VLOOKUP(II1,'MPSV 2019'!$A$2:GD256,11,FALSE),0)</f>
        <v>13910117</v>
      </c>
      <c r="IJ38" s="314">
        <f>IFERROR(VLOOKUP(IJ1,'MPSV 2019'!$A$2:GM256,11,FALSE),0)</f>
        <v>907690</v>
      </c>
      <c r="IK38" s="314">
        <f>IFERROR(VLOOKUP(IK1,'MPSV 2019'!$A$2:JJ256,11,FALSE),0)</f>
        <v>0</v>
      </c>
      <c r="IL38" s="314">
        <f>IFERROR(VLOOKUP(IL1,'MPSV 2019'!$A$2:EX256,11,FALSE),0)</f>
        <v>6220656</v>
      </c>
      <c r="IM38" s="314">
        <f>IFERROR(VLOOKUP(IM1,'MPSV 2019'!$A$2:DD256,11,FALSE),0)</f>
        <v>535450</v>
      </c>
      <c r="IN38" s="314">
        <f>IFERROR(VLOOKUP(IN1,'MPSV 2019'!$A$2:FO256,11,FALSE),0)</f>
        <v>7047423</v>
      </c>
      <c r="IO38" s="314">
        <f>IFERROR(VLOOKUP(IO1,'MPSV 2019'!$A$2:GJ256,11,FALSE),0)</f>
        <v>2196410</v>
      </c>
      <c r="IP38" s="314">
        <f>IFERROR(VLOOKUP(IP1,'MPSV 2019'!$A$2:ET256,11,FALSE),0)</f>
        <v>15516867</v>
      </c>
      <c r="IQ38" s="314">
        <f>IFERROR(VLOOKUP(IQ1,'MPSV 2019'!$A$2:EN256,11,FALSE),0)</f>
        <v>14923149</v>
      </c>
      <c r="IR38" s="314">
        <f>IFERROR(VLOOKUP(IR1,'MPSV 2019'!$A$2:GL256,11,FALSE),0)</f>
        <v>634880</v>
      </c>
      <c r="IS38" s="314">
        <f>IFERROR(VLOOKUP(IS1,'MPSV 2019'!$A$2:FQ256,11,FALSE),0)</f>
        <v>35748234</v>
      </c>
      <c r="IT38" s="314">
        <f>IFERROR(VLOOKUP(IT1,'MPSV 2019'!$A$2:GG256,11,FALSE),0)</f>
        <v>7833300</v>
      </c>
      <c r="IU38" s="314">
        <f>IFERROR(VLOOKUP(IU1,'MPSV 2019'!$A$2:DL256,11,FALSE),0)</f>
        <v>1867270</v>
      </c>
      <c r="IV38" s="314">
        <f>IFERROR(VLOOKUP(IV1,'MPSV 2019'!$A$2:FD256,11,FALSE),0)</f>
        <v>5364812</v>
      </c>
      <c r="IW38" s="314">
        <f>IFERROR(VLOOKUP(IW1,'MPSV 2019'!$A$2:GE256,11,FALSE),0)</f>
        <v>10608684</v>
      </c>
      <c r="IX38" s="314">
        <f>IFERROR(VLOOKUP(IX1,'MPSV 2019'!$A$2:GK256,11,FALSE),0)</f>
        <v>1039600</v>
      </c>
      <c r="IY38" s="314">
        <f>IFERROR(VLOOKUP(IY1,'MPSV 2019'!$A$2:EQ256,11,FALSE),0)</f>
        <v>4689162</v>
      </c>
      <c r="IZ38" s="314">
        <f>IFERROR(VLOOKUP(IZ1,'MPSV 2019'!$A$2:FM256,11,FALSE),0)</f>
        <v>13451430</v>
      </c>
      <c r="JA38" s="314">
        <f>IFERROR(VLOOKUP(JA1,'MPSV 2019'!$A$2:AG256,11,FALSE),0)</f>
        <v>2298510</v>
      </c>
      <c r="JB38" s="314">
        <f>IFERROR(VLOOKUP(JB1,'MPSV 2019'!$A$2:HJ256,11,FALSE),0)</f>
        <v>2067000</v>
      </c>
      <c r="JC38" s="314">
        <f>IFERROR(VLOOKUP(JC1,'MPSV 2019'!$A$2:HQ256,11,FALSE),0)</f>
        <v>1625000</v>
      </c>
      <c r="JD38" s="314">
        <f>IFERROR(VLOOKUP(JD1,'MPSV 2019'!$A$2:JN256,11,FALSE),0)</f>
        <v>2766100</v>
      </c>
      <c r="JE38" s="314">
        <f>IFERROR(VLOOKUP(JE1,'MPSV 2019'!$A$2:DI256,11,FALSE),0)</f>
        <v>330011</v>
      </c>
      <c r="JF38" s="314">
        <f>IFERROR(VLOOKUP(JF1,'MPSV 2019'!$A$2:EK256,11,FALSE),0)</f>
        <v>21453694</v>
      </c>
      <c r="JG38" s="314">
        <f>IFERROR(VLOOKUP(JG1,'MPSV 2019'!$A$2:EL256,11,FALSE),0)</f>
        <v>20631537</v>
      </c>
      <c r="JH38" s="314">
        <f>IFERROR(VLOOKUP(JH1,'MPSV 2019'!$A$2:HA256,11,FALSE),0)</f>
        <v>868740</v>
      </c>
      <c r="JI38" s="314">
        <f>SUM(C38:JH38)</f>
        <v>874242718</v>
      </c>
      <c r="JL38" s="307">
        <f t="shared" si="52"/>
        <v>21448000</v>
      </c>
      <c r="JM38" s="307">
        <f t="shared" si="52"/>
        <v>299065333</v>
      </c>
      <c r="JN38" s="307">
        <f t="shared" si="52"/>
        <v>138973801</v>
      </c>
      <c r="JO38" s="307">
        <f t="shared" si="52"/>
        <v>414755584</v>
      </c>
      <c r="JP38" s="307">
        <f t="shared" si="53"/>
        <v>874242718</v>
      </c>
    </row>
    <row r="39" spans="1:277" x14ac:dyDescent="0.25">
      <c r="B39" s="313" t="s">
        <v>1837</v>
      </c>
      <c r="C39" s="314">
        <f>IFERROR(VLOOKUP(C1,'KHK 2019'!$A$2:$H$190,8,FALSE),0)+C120</f>
        <v>301000</v>
      </c>
      <c r="D39" s="314">
        <f>IFERROR(VLOOKUP(D1,'KHK 2019'!$A$2:$H$190,8,FALSE),0)+D120</f>
        <v>123100</v>
      </c>
      <c r="E39" s="314">
        <f>IFERROR(VLOOKUP(E1,'KHK 2019'!$A$2:$H$190,8,FALSE),0)+E120</f>
        <v>296405</v>
      </c>
      <c r="F39" s="314">
        <f>IFERROR(VLOOKUP(F1,'KHK 2019'!$A$2:$H$190,8,FALSE),0)+F120</f>
        <v>0</v>
      </c>
      <c r="G39" s="314">
        <f>IFERROR(VLOOKUP(G1,'KHK 2019'!$A$2:$H$190,8,FALSE),0)+G120</f>
        <v>0</v>
      </c>
      <c r="H39" s="314">
        <f>IFERROR(VLOOKUP(H1,'KHK 2019'!$A$2:$H$190,8,FALSE),0)+H120</f>
        <v>0</v>
      </c>
      <c r="I39" s="314">
        <f>IFERROR(VLOOKUP(I1,'KHK 2019'!$A$2:$H$190,8,FALSE),0)+I120</f>
        <v>0</v>
      </c>
      <c r="J39" s="314">
        <f>IFERROR(VLOOKUP(J1,'KHK 2019'!$A$2:$H$190,8,FALSE),0)+J120</f>
        <v>49239</v>
      </c>
      <c r="K39" s="314">
        <f>IFERROR(VLOOKUP(K1,'KHK 2019'!$A$2:$H$190,8,FALSE),0)+K120</f>
        <v>0</v>
      </c>
      <c r="L39" s="314">
        <f>IFERROR(VLOOKUP(L1,'KHK 2019'!$A$2:$H$190,8,FALSE),0)+L120</f>
        <v>175000</v>
      </c>
      <c r="M39" s="314">
        <f>IFERROR(VLOOKUP(M1,'KHK 2019'!$A$2:$H$190,8,FALSE),0)+M120</f>
        <v>185189</v>
      </c>
      <c r="N39" s="314">
        <f>IFERROR(VLOOKUP(N1,'KHK 2019'!$A$2:$H$190,8,FALSE),0)+N120</f>
        <v>310000</v>
      </c>
      <c r="O39" s="314">
        <f>IFERROR(VLOOKUP(O1,'KHK 2019'!$A$2:$H$190,8,FALSE),0)+O120</f>
        <v>216223</v>
      </c>
      <c r="P39" s="314">
        <f>IFERROR(VLOOKUP(P1,'KHK 2019'!$A$2:$H$190,8,FALSE),0)+P120</f>
        <v>136636</v>
      </c>
      <c r="Q39" s="314">
        <f>IFERROR(VLOOKUP(Q1,'KHK 2019'!$A$2:$H$190,8,FALSE),0)+Q120</f>
        <v>93000</v>
      </c>
      <c r="R39" s="314">
        <f>IFERROR(VLOOKUP(R1,'KHK 2019'!$A$2:$H$190,8,FALSE),0)+R120</f>
        <v>221718.1</v>
      </c>
      <c r="S39" s="314">
        <f>IFERROR(VLOOKUP(S1,'KHK 2019'!$A$2:$H$190,8,FALSE),0)+S120</f>
        <v>149652.79999999999</v>
      </c>
      <c r="T39" s="314">
        <f>IFERROR(VLOOKUP(T1,'KHK 2019'!$A$2:$H$190,8,FALSE),0)+T120</f>
        <v>64336</v>
      </c>
      <c r="U39" s="314">
        <f>IFERROR(VLOOKUP(U1,'KHK 2019'!$A$2:$H$190,8,FALSE),0)+U120</f>
        <v>108004</v>
      </c>
      <c r="V39" s="314">
        <f>IFERROR(VLOOKUP(V1,'KHK 2019'!$A$2:$H$190,8,FALSE),0)+V120</f>
        <v>68620</v>
      </c>
      <c r="W39" s="314">
        <f>IFERROR(VLOOKUP(W1,'KHK 2019'!$A$2:$H$190,8,FALSE),0)+W120</f>
        <v>31000</v>
      </c>
      <c r="X39" s="314">
        <f>IFERROR(VLOOKUP(X1,'KHK 2019'!$A$2:$H$190,8,FALSE),0)+X120</f>
        <v>0</v>
      </c>
      <c r="Y39" s="314">
        <f>IFERROR(VLOOKUP(Y1,'KHK 2019'!$A$2:$H$190,8,FALSE),0)+Y120</f>
        <v>122810</v>
      </c>
      <c r="Z39" s="314">
        <f>IFERROR(VLOOKUP(Z1,'KHK 2019'!$A$2:$H$190,8,FALSE),0)+Z120</f>
        <v>196000</v>
      </c>
      <c r="AA39" s="314">
        <f>IFERROR(VLOOKUP(AA1,'KHK 2019'!$A$2:$H$190,8,FALSE),0)+AA120</f>
        <v>0</v>
      </c>
      <c r="AB39" s="314">
        <f>IFERROR(VLOOKUP(AB1,'KHK 2019'!$A$2:$H$190,8,FALSE),0)+AB120</f>
        <v>130000</v>
      </c>
      <c r="AC39" s="314">
        <f>IFERROR(VLOOKUP(AC1,'KHK 2019'!$A$2:$H$190,8,FALSE),0)+AC120</f>
        <v>148000</v>
      </c>
      <c r="AD39" s="314">
        <f>IFERROR(VLOOKUP(AD1,'KHK 2019'!$A$2:$H$190,8,FALSE),0)+AD120</f>
        <v>134000</v>
      </c>
      <c r="AE39" s="314">
        <f>IFERROR(VLOOKUP(AE1,'KHK 2019'!$A$2:$H$190,8,FALSE),0)+AE120</f>
        <v>26897</v>
      </c>
      <c r="AF39" s="314">
        <f>IFERROR(VLOOKUP(AF1,'KHK 2019'!$A$2:$H$190,8,FALSE),0)+AF120</f>
        <v>0</v>
      </c>
      <c r="AG39" s="314">
        <f>IFERROR(VLOOKUP(AG1,'KHK 2019'!$A$2:$H$190,8,FALSE),0)+AG120</f>
        <v>223852</v>
      </c>
      <c r="AH39" s="314">
        <f>IFERROR(VLOOKUP(AH1,'KHK 2019'!$A$2:$H$190,8,FALSE),0)+AH120</f>
        <v>67966</v>
      </c>
      <c r="AI39" s="314">
        <f>IFERROR(VLOOKUP(AI1,'KHK 2019'!$A$2:$H$190,8,FALSE),0)+AI120</f>
        <v>347000</v>
      </c>
      <c r="AJ39" s="314">
        <f>IFERROR(VLOOKUP(AJ1,'KHK 2019'!$A$2:$H$190,8,FALSE),0)+AJ120</f>
        <v>118300</v>
      </c>
      <c r="AK39" s="314">
        <f>IFERROR(VLOOKUP(AK1,'KHK 2019'!$A$2:$H$190,8,FALSE),0)+AK120</f>
        <v>108405</v>
      </c>
      <c r="AL39" s="314">
        <f>IFERROR(VLOOKUP(AL1,'KHK 2019'!$A$2:$H$190,8,FALSE),0)+AL120</f>
        <v>22008</v>
      </c>
      <c r="AM39" s="314">
        <f>IFERROR(VLOOKUP(AM1,'KHK 2019'!$A$2:$H$190,8,FALSE),0)+AM120</f>
        <v>150000</v>
      </c>
      <c r="AN39" s="314">
        <f>IFERROR(VLOOKUP(AN1,'KHK 2019'!$A$2:$H$190,8,FALSE),0)+AN120</f>
        <v>0</v>
      </c>
      <c r="AO39" s="314">
        <f>IFERROR(VLOOKUP(AO1,'KHK 2019'!$A$2:$H$190,8,FALSE),0)+AO120</f>
        <v>225228</v>
      </c>
      <c r="AP39" s="314">
        <f>IFERROR(VLOOKUP(AP1,'KHK 2019'!$A$2:$H$190,8,FALSE),0)+AP120</f>
        <v>178955</v>
      </c>
      <c r="AQ39" s="314">
        <f>IFERROR(VLOOKUP(AQ1,'KHK 2019'!$A$2:$H$190,8,FALSE),0)+AQ120</f>
        <v>52478</v>
      </c>
      <c r="AR39" s="314">
        <f>IFERROR(VLOOKUP(AR1,'KHK 2019'!$A$2:$H$190,8,FALSE),0)+AR120</f>
        <v>40000</v>
      </c>
      <c r="AS39" s="314">
        <f>IFERROR(VLOOKUP(AS1,'KHK 2019'!$A$2:$H$190,8,FALSE),0)+AS120</f>
        <v>32332</v>
      </c>
      <c r="AT39" s="314">
        <f>IFERROR(VLOOKUP(AT1,'KHK 2019'!$A$2:$H$190,8,FALSE),0)+AT120</f>
        <v>0</v>
      </c>
      <c r="AU39" s="314">
        <f>IFERROR(VLOOKUP(AU1,'KHK 2019'!$A$2:$H$190,8,FALSE),0)+AU120</f>
        <v>33832</v>
      </c>
      <c r="AV39" s="314">
        <f>IFERROR(VLOOKUP(AV1,'KHK 2019'!$A$2:$H$190,8,FALSE),0)+AV120</f>
        <v>0</v>
      </c>
      <c r="AW39" s="314">
        <f>IFERROR(VLOOKUP(AW1,'KHK 2019'!$A$2:$H$190,8,FALSE),0)+AW120</f>
        <v>0</v>
      </c>
      <c r="AX39" s="314">
        <f>IFERROR(VLOOKUP(AX1,'KHK 2019'!$A$2:$H$190,8,FALSE),0)+AX120</f>
        <v>226210</v>
      </c>
      <c r="AY39" s="314">
        <f>IFERROR(VLOOKUP(AY1,'KHK 2019'!$A$2:$H$190,8,FALSE),0)+AY120</f>
        <v>184559</v>
      </c>
      <c r="AZ39" s="314">
        <f>IFERROR(VLOOKUP(AZ1,'KHK 2019'!$A$2:$H$190,8,FALSE),0)+AZ120</f>
        <v>141000</v>
      </c>
      <c r="BA39" s="314">
        <f>IFERROR(VLOOKUP(BA1,'KHK 2019'!$A$2:$H$190,8,FALSE),0)+BA120</f>
        <v>0</v>
      </c>
      <c r="BB39" s="314">
        <f>IFERROR(VLOOKUP(BB1,'KHK 2019'!$A$2:$H$190,8,FALSE),0)+BB120</f>
        <v>0</v>
      </c>
      <c r="BC39" s="314">
        <f>IFERROR(VLOOKUP(BC1,'KHK 2019'!$A$2:$H$190,8,FALSE),0)+BC120</f>
        <v>36785</v>
      </c>
      <c r="BD39" s="314">
        <f>IFERROR(VLOOKUP(BD1,'KHK 2019'!$A$2:$H$190,8,FALSE),0)+BD120</f>
        <v>112000</v>
      </c>
      <c r="BE39" s="314">
        <f>IFERROR(VLOOKUP(BE1,'KHK 2019'!$A$2:$H$190,8,FALSE),0)+BE120</f>
        <v>113000</v>
      </c>
      <c r="BF39" s="314">
        <f>IFERROR(VLOOKUP(BF1,'KHK 2019'!$A$2:$H$190,8,FALSE),0)+BF120</f>
        <v>106960</v>
      </c>
      <c r="BG39" s="314">
        <f>IFERROR(VLOOKUP(BG1,'KHK 2019'!$A$2:$H$190,8,FALSE),0)+BG120</f>
        <v>99346</v>
      </c>
      <c r="BH39" s="314">
        <f>IFERROR(VLOOKUP(BH1,'KHK 2019'!$A$2:$H$190,8,FALSE),0)+BH120</f>
        <v>235948</v>
      </c>
      <c r="BI39" s="314">
        <f>IFERROR(VLOOKUP(BI1,'KHK 2019'!$A$2:$H$190,8,FALSE),0)+BI120</f>
        <v>219023</v>
      </c>
      <c r="BJ39" s="314">
        <f>IFERROR(VLOOKUP(BJ1,'KHK 2019'!$A$2:$H$190,8,FALSE),0)+BJ120</f>
        <v>0</v>
      </c>
      <c r="BK39" s="314">
        <f>IFERROR(VLOOKUP(BK1,'KHK 2019'!$A$2:$H$190,8,FALSE),0)+BK120</f>
        <v>0</v>
      </c>
      <c r="BL39" s="314">
        <f>IFERROR(VLOOKUP(BL1,'KHK 2019'!$A$2:$H$190,8,FALSE),0)+BL120</f>
        <v>0</v>
      </c>
      <c r="BM39" s="314">
        <f>IFERROR(VLOOKUP(BM1,'KHK 2019'!$A$2:$H$190,8,FALSE),0)+BM120</f>
        <v>150000</v>
      </c>
      <c r="BN39" s="314">
        <f>IFERROR(VLOOKUP(BN1,'KHK 2019'!$A$2:$H$190,8,FALSE),0)+BN120</f>
        <v>0</v>
      </c>
      <c r="BO39" s="314">
        <f>IFERROR(VLOOKUP(BO1,'KHK 2019'!$A$2:$H$190,8,FALSE),0)+BO120</f>
        <v>0</v>
      </c>
      <c r="BP39" s="314">
        <f>IFERROR(VLOOKUP(BP1,'KHK 2019'!$A$2:$H$190,8,FALSE),0)+BP120</f>
        <v>458716</v>
      </c>
      <c r="BQ39" s="314">
        <f>IFERROR(VLOOKUP(BQ1,'KHK 2019'!$A$2:$H$190,8,FALSE),0)+BQ120</f>
        <v>0</v>
      </c>
      <c r="BR39" s="314">
        <f>IFERROR(VLOOKUP(BR1,'KHK 2019'!$A$2:$H$190,8,FALSE),0)+BR120</f>
        <v>65000</v>
      </c>
      <c r="BS39" s="314">
        <f>IFERROR(VLOOKUP(BS1,'KHK 2019'!$A$2:$H$190,8,FALSE),0)+BS120</f>
        <v>100000</v>
      </c>
      <c r="BT39" s="314">
        <f>IFERROR(VLOOKUP(BT1,'KHK 2019'!$A$2:$H$190,8,FALSE),0)+BT120</f>
        <v>79000</v>
      </c>
      <c r="BU39" s="314">
        <f>IFERROR(VLOOKUP(BU1,'KHK 2019'!$A$2:$H$190,8,FALSE),0)+BU120</f>
        <v>489256</v>
      </c>
      <c r="BV39" s="314">
        <f>IFERROR(VLOOKUP(BV1,'KHK 2019'!$A$2:$H$190,8,FALSE),0)+BV120</f>
        <v>450000</v>
      </c>
      <c r="BW39" s="314">
        <f>IFERROR(VLOOKUP(BW1,'KHK 2019'!$A$2:$H$190,8,FALSE),0)+BW120</f>
        <v>10683</v>
      </c>
      <c r="BX39" s="314">
        <f>IFERROR(VLOOKUP(BX1,'KHK 2019'!$A$2:$H$190,8,FALSE),0)+BX120</f>
        <v>156971</v>
      </c>
      <c r="BY39" s="314">
        <f>IFERROR(VLOOKUP(BY1,'KHK 2019'!$A$2:$H$190,8,FALSE),0)+BY120</f>
        <v>101000</v>
      </c>
      <c r="BZ39" s="314">
        <f>IFERROR(VLOOKUP(BZ1,'KHK 2019'!$A$2:$H$190,8,FALSE),0)+BZ120</f>
        <v>36000</v>
      </c>
      <c r="CA39" s="314">
        <f>IFERROR(VLOOKUP(CA1,'KHK 2019'!$A$2:$H$190,8,FALSE),0)+CA120</f>
        <v>0</v>
      </c>
      <c r="CB39" s="314">
        <f>IFERROR(VLOOKUP(CB1,'KHK 2019'!$A$2:$H$190,8,FALSE),0)+CB120</f>
        <v>0</v>
      </c>
      <c r="CC39" s="314">
        <f>IFERROR(VLOOKUP(CC1,'KHK 2019'!$A$2:$H$190,8,FALSE),0)+CC120</f>
        <v>0</v>
      </c>
      <c r="CD39" s="314">
        <f>IFERROR(VLOOKUP(CD1,'KHK 2019'!$A$2:$H$190,8,FALSE),0)+CD120</f>
        <v>0</v>
      </c>
      <c r="CE39" s="314">
        <f>IFERROR(VLOOKUP(CE1,'KHK 2019'!$A$2:$H$190,8,FALSE),0)+CE120</f>
        <v>0</v>
      </c>
      <c r="CF39" s="314">
        <f>IFERROR(VLOOKUP(CF1,'KHK 2019'!$A$2:$H$190,8,FALSE),0)+CF120</f>
        <v>0</v>
      </c>
      <c r="CG39" s="314">
        <f>IFERROR(VLOOKUP(CG1,'KHK 2019'!$A$2:$H$190,8,FALSE),0)+CG120</f>
        <v>0</v>
      </c>
      <c r="CH39" s="314">
        <f>IFERROR(VLOOKUP(CH1,'KHK 2019'!$A$2:$H$190,8,FALSE),0)+CH120</f>
        <v>0</v>
      </c>
      <c r="CI39" s="314">
        <f>IFERROR(VLOOKUP(CI1,'KHK 2019'!$A$2:$H$190,8,FALSE),0)+CI120</f>
        <v>47850</v>
      </c>
      <c r="CJ39" s="314">
        <f>IFERROR(VLOOKUP(CJ1,'KHK 2019'!$A$2:$H$190,8,FALSE),0)+CJ120</f>
        <v>0</v>
      </c>
      <c r="CK39" s="314">
        <f>IFERROR(VLOOKUP(CK1,'KHK 2019'!$A$2:$H$190,8,FALSE),0)+CK120</f>
        <v>0</v>
      </c>
      <c r="CL39" s="314">
        <f>IFERROR(VLOOKUP(CL1,'KHK 2019'!$A$2:$H$190,8,FALSE),0)+CL120</f>
        <v>0</v>
      </c>
      <c r="CM39" s="314">
        <f>IFERROR(VLOOKUP(CM1,'KHK 2019'!$A$2:$H$190,8,FALSE),0)+CM120</f>
        <v>0</v>
      </c>
      <c r="CN39" s="314">
        <f>IFERROR(VLOOKUP(CN1,'KHK 2019'!$A$2:$H$190,8,FALSE),0)+CN120</f>
        <v>52605.14</v>
      </c>
      <c r="CO39" s="314">
        <f>IFERROR(VLOOKUP(CO1,'KHK 2019'!$A$2:$H$190,8,FALSE),0)+CO120</f>
        <v>0</v>
      </c>
      <c r="CP39" s="314">
        <f>IFERROR(VLOOKUP(CP1,'KHK 2019'!$A$2:$H$190,8,FALSE),0)+CP120</f>
        <v>55825.46</v>
      </c>
      <c r="CQ39" s="314">
        <f>IFERROR(VLOOKUP(CQ1,'KHK 2019'!$A$2:$H$190,8,FALSE),0)+CQ120</f>
        <v>0</v>
      </c>
      <c r="CR39" s="314">
        <f>IFERROR(VLOOKUP(CR1,'KHK 2019'!$A$2:$H$190,8,FALSE),0)+CR120</f>
        <v>124470</v>
      </c>
      <c r="CS39" s="314">
        <f>IFERROR(VLOOKUP(CS1,'KHK 2019'!$A$2:$H$190,8,FALSE),0)+CS120</f>
        <v>0</v>
      </c>
      <c r="CT39" s="314">
        <f>IFERROR(VLOOKUP(CT1,'KHK 2019'!$A$2:$H$190,8,FALSE),0)+CT120</f>
        <v>196918</v>
      </c>
      <c r="CU39" s="314">
        <f>IFERROR(VLOOKUP(CU1,'KHK 2019'!$A$2:$H$190,8,FALSE),0)+CU120</f>
        <v>300500</v>
      </c>
      <c r="CV39" s="314">
        <f>IFERROR(VLOOKUP(CV1,'KHK 2019'!$A$2:$H$190,8,FALSE),0)+CV120</f>
        <v>1431500</v>
      </c>
      <c r="CW39" s="314">
        <f>IFERROR(VLOOKUP(CW1,'KHK 2019'!$A$2:$H$190,8,FALSE),0)+CW120</f>
        <v>271401</v>
      </c>
      <c r="CX39" s="314">
        <f>IFERROR(VLOOKUP(CX1,'KHK 2019'!$A$2:$H$190,8,FALSE),0)+CX120</f>
        <v>350000</v>
      </c>
      <c r="CY39" s="314">
        <f>IFERROR(VLOOKUP(CY1,'KHK 2019'!$A$2:$H$190,8,FALSE),0)+CY120</f>
        <v>0</v>
      </c>
      <c r="CZ39" s="314">
        <f>IFERROR(VLOOKUP(CZ1,'KHK 2019'!$A$2:$H$190,8,FALSE),0)+CZ120</f>
        <v>0</v>
      </c>
      <c r="DA39" s="314">
        <f>IFERROR(VLOOKUP(DA1,'KHK 2019'!$A$2:$H$190,8,FALSE),0)+DA120</f>
        <v>0</v>
      </c>
      <c r="DB39" s="314">
        <f>IFERROR(VLOOKUP(DB1,'KHK 2019'!$A$2:$H$190,8,FALSE),0)+DB120</f>
        <v>0</v>
      </c>
      <c r="DC39" s="314">
        <f>IFERROR(VLOOKUP(DC1,'KHK 2019'!$A$2:$H$190,8,FALSE),0)+DC120</f>
        <v>0</v>
      </c>
      <c r="DD39" s="314">
        <f>IFERROR(VLOOKUP(DD1,'KHK 2019'!$A$2:$H$190,8,FALSE),0)+DD120</f>
        <v>0</v>
      </c>
      <c r="DE39" s="314">
        <f>IFERROR(VLOOKUP(DE1,'KHK 2019'!$A$2:$H$190,8,FALSE),0)+DE120</f>
        <v>970550</v>
      </c>
      <c r="DF39" s="314">
        <f>IFERROR(VLOOKUP(DF1,'KHK 2019'!$A$2:$H$190,8,FALSE),0)+DF120</f>
        <v>0</v>
      </c>
      <c r="DG39" s="314">
        <f>IFERROR(VLOOKUP(DG1,'KHK 2019'!$A$2:$H$190,8,FALSE),0)+DG120</f>
        <v>0</v>
      </c>
      <c r="DH39" s="314">
        <f>IFERROR(VLOOKUP(DH1,'KHK 2019'!$A$2:$H$190,8,FALSE),0)+DH120</f>
        <v>376078</v>
      </c>
      <c r="DI39" s="314">
        <f>IFERROR(VLOOKUP(DI1,'KHK 2019'!$A$2:$H$190,8,FALSE),0)+DI120</f>
        <v>20094</v>
      </c>
      <c r="DJ39" s="314">
        <f>IFERROR(VLOOKUP(DJ1,'KHK 2019'!$A$2:$H$190,8,FALSE),0)+DJ120</f>
        <v>0</v>
      </c>
      <c r="DK39" s="314">
        <f>IFERROR(VLOOKUP(DK1,'KHK 2019'!$A$2:$H$190,8,FALSE),0)+DK120</f>
        <v>10236</v>
      </c>
      <c r="DL39" s="314">
        <f>IFERROR(VLOOKUP(DL1,'KHK 2019'!$A$2:$H$190,8,FALSE),0)+DL120</f>
        <v>0</v>
      </c>
      <c r="DM39" s="314">
        <f>IFERROR(VLOOKUP(DM1,'KHK 2019'!$A$2:$H$190,8,FALSE),0)+DM120</f>
        <v>0</v>
      </c>
      <c r="DN39" s="314">
        <f>IFERROR(VLOOKUP(DN1,'KHK 2019'!$A$2:$H$190,8,FALSE),0)+DN120</f>
        <v>252325</v>
      </c>
      <c r="DO39" s="314">
        <f>IFERROR(VLOOKUP(DO1,'KHK 2019'!$A$2:$H$190,8,FALSE),0)+DO120</f>
        <v>191965</v>
      </c>
      <c r="DP39" s="314">
        <f>IFERROR(VLOOKUP(DP1,'KHK 2019'!$A$2:$H$190,8,FALSE),0)+DP120</f>
        <v>174174.78</v>
      </c>
      <c r="DQ39" s="314">
        <f>IFERROR(VLOOKUP(DQ1,'KHK 2019'!$A$2:$H$190,8,FALSE),0)+DQ120</f>
        <v>137043</v>
      </c>
      <c r="DR39" s="314">
        <f>IFERROR(VLOOKUP(DR1,'KHK 2019'!$A$2:$H$190,8,FALSE),0)+DR120</f>
        <v>603228</v>
      </c>
      <c r="DS39" s="314">
        <f>IFERROR(VLOOKUP(DS1,'KHK 2019'!$A$2:$H$190,8,FALSE),0)+DS120</f>
        <v>331000</v>
      </c>
      <c r="DT39" s="314">
        <f>IFERROR(VLOOKUP(DT1,'KHK 2019'!$A$2:$H$190,8,FALSE),0)+DT120</f>
        <v>81291</v>
      </c>
      <c r="DU39" s="314">
        <f>IFERROR(VLOOKUP(DU1,'KHK 2019'!$A$2:$H$190,8,FALSE),0)+DU120</f>
        <v>40924</v>
      </c>
      <c r="DV39" s="314">
        <f>IFERROR(VLOOKUP(DV1,'KHK 2019'!$A$2:$H$190,8,FALSE),0)+DV120</f>
        <v>128757</v>
      </c>
      <c r="DW39" s="314">
        <f>IFERROR(VLOOKUP(DW1,'KHK 2019'!$A$2:$H$190,8,FALSE),0)+DW120</f>
        <v>0</v>
      </c>
      <c r="DX39" s="314">
        <f>IFERROR(VLOOKUP(DX1,'KHK 2019'!$A$2:$H$190,8,FALSE),0)+DX120</f>
        <v>0</v>
      </c>
      <c r="DY39" s="314">
        <f>IFERROR(VLOOKUP(DY1,'KHK 2019'!$A$2:$H$190,8,FALSE),0)+DY120</f>
        <v>158000</v>
      </c>
      <c r="DZ39" s="314">
        <f>IFERROR(VLOOKUP(DZ1,'KHK 2019'!$A$2:$H$190,8,FALSE),0)+DZ120</f>
        <v>0</v>
      </c>
      <c r="EA39" s="314">
        <f>IFERROR(VLOOKUP(EA1,'KHK 2019'!$A$2:$H$190,8,FALSE),0)+EA120</f>
        <v>262188</v>
      </c>
      <c r="EB39" s="314">
        <f>IFERROR(VLOOKUP(EB1,'KHK 2019'!$A$2:$H$190,8,FALSE),0)+EB120</f>
        <v>0</v>
      </c>
      <c r="EC39" s="314">
        <f>IFERROR(VLOOKUP(EC1,'KHK 2019'!$A$2:$H$190,8,FALSE),0)+EC120</f>
        <v>0</v>
      </c>
      <c r="ED39" s="314">
        <f>IFERROR(VLOOKUP(ED1,'KHK 2019'!$A$2:$H$190,8,FALSE),0)+ED120</f>
        <v>15808</v>
      </c>
      <c r="EE39" s="314">
        <f>IFERROR(VLOOKUP(EE1,'KHK 2019'!$A$2:$H$190,8,FALSE),0)+EE120</f>
        <v>0</v>
      </c>
      <c r="EF39" s="314">
        <f>IFERROR(VLOOKUP(EF1,'KHK 2019'!$A$2:$H$190,8,FALSE),0)+EF120</f>
        <v>28601.59</v>
      </c>
      <c r="EG39" s="314">
        <f>IFERROR(VLOOKUP(EG1,'KHK 2019'!$A$2:$H$190,8,FALSE),0)+EG120</f>
        <v>35588.990000000005</v>
      </c>
      <c r="EH39" s="314">
        <f>IFERROR(VLOOKUP(EH1,'KHK 2019'!$A$2:$H$190,8,FALSE),0)+EH120</f>
        <v>22000</v>
      </c>
      <c r="EI39" s="314">
        <f>IFERROR(VLOOKUP(EI1,'KHK 2019'!$A$2:$H$190,8,FALSE),0)+EI120</f>
        <v>30753</v>
      </c>
      <c r="EJ39" s="314">
        <f>IFERROR(VLOOKUP(EJ1,'KHK 2019'!$A$2:$H$190,8,FALSE),0)+EJ120</f>
        <v>45000</v>
      </c>
      <c r="EK39" s="314">
        <f>IFERROR(VLOOKUP(EK1,'KHK 2019'!$A$2:$H$190,8,FALSE),0)+EK120</f>
        <v>339012</v>
      </c>
      <c r="EL39" s="314">
        <f>IFERROR(VLOOKUP(EL1,'KHK 2019'!$A$2:$H$190,8,FALSE),0)+EL120</f>
        <v>651000</v>
      </c>
      <c r="EM39" s="314">
        <f>IFERROR(VLOOKUP(EM1,'KHK 2019'!$A$2:$H$190,8,FALSE),0)+EM120</f>
        <v>210000</v>
      </c>
      <c r="EN39" s="314">
        <f>IFERROR(VLOOKUP(EN1,'KHK 2019'!$A$2:$H$190,8,FALSE),0)+EN120</f>
        <v>58055</v>
      </c>
      <c r="EO39" s="314">
        <f>IFERROR(VLOOKUP(EO1,'KHK 2019'!$A$2:$H$190,8,FALSE),0)+EO120</f>
        <v>0</v>
      </c>
      <c r="EP39" s="314">
        <f>IFERROR(VLOOKUP(EP1,'KHK 2019'!$A$2:$H$190,8,FALSE),0)+EP120</f>
        <v>0</v>
      </c>
      <c r="EQ39" s="314">
        <f>IFERROR(VLOOKUP(EQ1,'KHK 2019'!$A$2:$H$190,8,FALSE),0)+EQ120</f>
        <v>0</v>
      </c>
      <c r="ER39" s="314">
        <f>IFERROR(VLOOKUP(ER1,'KHK 2019'!$A$2:$H$190,8,FALSE),0)+ER120</f>
        <v>0</v>
      </c>
      <c r="ES39" s="314">
        <f>IFERROR(VLOOKUP(ES1,'KHK 2019'!$A$2:$H$190,8,FALSE),0)+ES120</f>
        <v>0</v>
      </c>
      <c r="ET39" s="314">
        <f>IFERROR(VLOOKUP(ET1,'KHK 2019'!$A$2:$H$190,8,FALSE),0)</f>
        <v>0</v>
      </c>
      <c r="EU39" s="314">
        <f>IFERROR(VLOOKUP(EU1,'KHK 2019'!$A$2:$H$190,8,FALSE),0)</f>
        <v>804000</v>
      </c>
      <c r="EV39" s="314">
        <f>IFERROR(VLOOKUP(EV1,'KHK 2019'!$A$2:$H$190,8,FALSE),0)</f>
        <v>0</v>
      </c>
      <c r="EW39" s="314">
        <f>IFERROR(VLOOKUP(EW1,'KHK 2019'!$A$2:$H$190,8,FALSE),0)</f>
        <v>0</v>
      </c>
      <c r="EX39" s="314">
        <f>IFERROR(VLOOKUP(EX1,'KHK 2019'!$A$2:$H$190,8,FALSE),0)</f>
        <v>0</v>
      </c>
      <c r="EY39" s="314">
        <f>IFERROR(VLOOKUP(EY1,'KHK 2019'!$A$2:$H$190,8,FALSE),0)</f>
        <v>0</v>
      </c>
      <c r="EZ39" s="314">
        <f>IFERROR(VLOOKUP(EZ1,'KHK 2019'!$A$2:$H$190,8,FALSE),0)</f>
        <v>0</v>
      </c>
      <c r="FA39" s="314">
        <f>IFERROR(VLOOKUP(FA1,'KHK 2019'!$A$2:$H$190,8,FALSE),0)</f>
        <v>107952</v>
      </c>
      <c r="FB39" s="314">
        <f>IFERROR(VLOOKUP(FB1,'KHK 2019'!$A$2:$H$190,8,FALSE),0)</f>
        <v>46011</v>
      </c>
      <c r="FC39" s="314">
        <f>IFERROR(VLOOKUP(FC1,'KHK 2019'!$A$2:$H$190,8,FALSE),0)</f>
        <v>0</v>
      </c>
      <c r="FD39" s="314">
        <f>IFERROR(VLOOKUP(FD1,'KHK 2019'!$A$2:$H$190,8,FALSE),0)</f>
        <v>0</v>
      </c>
      <c r="FE39" s="314">
        <f>IFERROR(VLOOKUP(FE1,'KHK 2019'!$A$2:$H$190,8,FALSE),0)</f>
        <v>0</v>
      </c>
      <c r="FF39" s="314">
        <f>IFERROR(VLOOKUP(FF1,'KHK 2019'!$A$2:$H$190,8,FALSE),0)</f>
        <v>0</v>
      </c>
      <c r="FG39" s="314">
        <f>IFERROR(VLOOKUP(FG1,'KHK 2019'!$A$2:$H$190,8,FALSE),0)</f>
        <v>0</v>
      </c>
      <c r="FH39" s="314">
        <f>IFERROR(VLOOKUP(FH1,'KHK 2019'!$A$2:$H$190,8,FALSE),0)</f>
        <v>0</v>
      </c>
      <c r="FI39" s="314">
        <f>IFERROR(VLOOKUP(FI1,'KHK 2019'!$A$2:$H$190,8,FALSE),0)</f>
        <v>0</v>
      </c>
      <c r="FJ39" s="314">
        <f>IFERROR(VLOOKUP(FJ1,'KHK 2019'!$A$2:$H$190,8,FALSE),0)</f>
        <v>0</v>
      </c>
      <c r="FK39" s="314">
        <f>IFERROR(VLOOKUP(FK1,'KHK 2019'!$A$2:$H$190,8,FALSE),0)</f>
        <v>0</v>
      </c>
      <c r="FL39" s="314">
        <f>IFERROR(VLOOKUP(FL1,'KHK 2019'!$A$2:$H$190,8,FALSE),0)</f>
        <v>0</v>
      </c>
      <c r="FM39" s="314">
        <f>IFERROR(VLOOKUP(FM1,'KHK 2019'!$A$2:$H$190,8,FALSE),0)</f>
        <v>0</v>
      </c>
      <c r="FN39" s="314">
        <f>IFERROR(VLOOKUP(FN1,'KHK 2019'!$A$2:$H$190,8,FALSE),0)</f>
        <v>0</v>
      </c>
      <c r="FO39" s="314">
        <f>IFERROR(VLOOKUP(FO1,'KHK 2019'!$A$2:$H$190,8,FALSE),0)</f>
        <v>0</v>
      </c>
      <c r="FP39" s="314">
        <f>IFERROR(VLOOKUP(FP1,'KHK 2019'!$A$2:$H$190,8,FALSE),0)</f>
        <v>0</v>
      </c>
      <c r="FQ39" s="314">
        <f>IFERROR(VLOOKUP(FQ1,'KHK 2019'!$A$2:$H$190,8,FALSE),0)</f>
        <v>0</v>
      </c>
      <c r="FR39" s="314">
        <f>IFERROR(VLOOKUP(FR1,'KHK 2019'!$A$2:$H$190,8,FALSE),0)</f>
        <v>0</v>
      </c>
      <c r="FS39" s="314">
        <f>IFERROR(VLOOKUP(FS1,'KHK 2019'!$A$2:$H$190,8,FALSE),0)</f>
        <v>0</v>
      </c>
      <c r="FT39" s="314">
        <f>IFERROR(VLOOKUP(FT1,'KHK 2019'!$A$2:$H$190,8,FALSE),0)</f>
        <v>0</v>
      </c>
      <c r="FU39" s="314">
        <f>IFERROR(VLOOKUP(FU1,'KHK 2019'!$A$2:$H$190,8,FALSE),0)</f>
        <v>0</v>
      </c>
      <c r="FV39" s="314">
        <f>IFERROR(VLOOKUP(FV1,'KHK 2019'!$A$2:$H$190,8,FALSE),0)</f>
        <v>0</v>
      </c>
      <c r="FW39" s="314">
        <f>IFERROR(VLOOKUP(FW1,'KHK 2019'!$A$2:$H$190,8,FALSE),0)</f>
        <v>0</v>
      </c>
      <c r="FX39" s="314">
        <f>IFERROR(VLOOKUP(FX1,'KHK 2019'!$A$2:$H$190,8,FALSE),0)</f>
        <v>0</v>
      </c>
      <c r="FY39" s="314">
        <f>IFERROR(VLOOKUP(FY1,'KHK 2019'!$A$2:$H$190,8,FALSE),0)</f>
        <v>59591</v>
      </c>
      <c r="FZ39" s="314">
        <f>IFERROR(VLOOKUP(FZ1,'KHK 2019'!$A$2:$H$190,8,FALSE),0)</f>
        <v>0</v>
      </c>
      <c r="GA39" s="314">
        <f>IFERROR(VLOOKUP(GA1,'KHK 2019'!$A$2:$H$190,8,FALSE),0)</f>
        <v>0</v>
      </c>
      <c r="GB39" s="314">
        <f>IFERROR(VLOOKUP(GB1,'KHK 2019'!$A$2:$H$190,8,FALSE),0)</f>
        <v>0</v>
      </c>
      <c r="GC39" s="314">
        <f>IFERROR(VLOOKUP(GC1,'KHK 2019'!$A$2:$H$190,8,FALSE),0)</f>
        <v>0</v>
      </c>
      <c r="GD39" s="314">
        <f>IFERROR(VLOOKUP(GD1,'KHK 2019'!$A$2:$H$190,8,FALSE),0)</f>
        <v>2241991</v>
      </c>
      <c r="GE39" s="314">
        <f>IFERROR(VLOOKUP(GE1,'KHK 2019'!$A$2:$H$190,8,FALSE),0)</f>
        <v>0</v>
      </c>
      <c r="GF39" s="314">
        <f>IFERROR(VLOOKUP(GF1,'KHK 2019'!$A$2:$H$190,8,FALSE),0)</f>
        <v>0</v>
      </c>
      <c r="GG39" s="314">
        <f>IFERROR(VLOOKUP(GG1,'KHK 2019'!$A$2:$H$190,8,FALSE),0)</f>
        <v>55327</v>
      </c>
      <c r="GH39" s="314">
        <f>IFERROR(VLOOKUP(GH1,'KHK 2019'!$A$2:$H$190,8,FALSE),0)</f>
        <v>63470</v>
      </c>
      <c r="GI39" s="314">
        <f>IFERROR(VLOOKUP(GI1,'KHK 2019'!$A$2:$H$190,8,FALSE),0)</f>
        <v>0</v>
      </c>
      <c r="GJ39" s="314">
        <f>IFERROR(VLOOKUP(GJ1,'KHK 2019'!$A$2:$H$190,8,FALSE),0)</f>
        <v>349751</v>
      </c>
      <c r="GK39" s="314">
        <f>IFERROR(VLOOKUP(GK1,'KHK 2019'!$A$2:$H$190,8,FALSE),0)</f>
        <v>0</v>
      </c>
      <c r="GL39" s="314">
        <f>IFERROR(VLOOKUP(GL1,'KHK 2019'!$A$2:$H$190,8,FALSE),0)</f>
        <v>0</v>
      </c>
      <c r="GM39" s="314">
        <f>IFERROR(VLOOKUP(GM1,'KHK 2019'!$A$2:$H$190,8,FALSE),0)</f>
        <v>168830</v>
      </c>
      <c r="GN39" s="314">
        <f>IFERROR(VLOOKUP(GN1,'KHK 2019'!$A$2:$H$190,8,FALSE),0)</f>
        <v>0</v>
      </c>
      <c r="GO39" s="314">
        <f>IFERROR(VLOOKUP(GO1,'KHK 2019'!$A$2:$H$190,8,FALSE),0)</f>
        <v>110078</v>
      </c>
      <c r="GP39" s="314">
        <f>IFERROR(VLOOKUP(GP1,'KHK 2019'!$A$2:$H$190,8,FALSE),0)</f>
        <v>50000</v>
      </c>
      <c r="GQ39" s="314">
        <f>IFERROR(VLOOKUP(GQ1,'KHK 2019'!$A$2:$H$190,8,FALSE),0)</f>
        <v>313520</v>
      </c>
      <c r="GR39" s="314">
        <f>IFERROR(VLOOKUP(GR1,'KHK 2019'!$A$2:$H$190,8,FALSE),0)</f>
        <v>176702</v>
      </c>
      <c r="GS39" s="314">
        <f>IFERROR(VLOOKUP(GS1,'KHK 2019'!$A$2:$H$190,8,FALSE),0)</f>
        <v>32386</v>
      </c>
      <c r="GT39" s="314">
        <f>IFERROR(VLOOKUP(GT1,'KHK 2019'!$A$2:$H$190,8,FALSE),0)</f>
        <v>2621502</v>
      </c>
      <c r="GU39" s="314">
        <f>IFERROR(VLOOKUP(GU1,'KHK 2019'!$A$2:$H$190,8,FALSE),0)</f>
        <v>0</v>
      </c>
      <c r="GV39" s="314">
        <f>IFERROR(VLOOKUP(GV1,'KHK 2019'!$A$2:$H$190,8,FALSE),0)</f>
        <v>0</v>
      </c>
      <c r="GW39" s="314">
        <f>IFERROR(VLOOKUP(GW1,'KHK 2019'!$A$2:$H$190,8,FALSE),0)</f>
        <v>0</v>
      </c>
      <c r="GX39" s="314">
        <f>IFERROR(VLOOKUP(GX1,'KHK 2019'!$A$2:$H$190,8,FALSE),0)</f>
        <v>56833</v>
      </c>
      <c r="GY39" s="314">
        <f>IFERROR(VLOOKUP(GY1,'KHK 2019'!$A$2:$H$190,8,FALSE),0)</f>
        <v>200000</v>
      </c>
      <c r="GZ39" s="314">
        <f>IFERROR(VLOOKUP(GZ1,'KHK 2019'!$A$2:$H$190,8,FALSE),0)</f>
        <v>0</v>
      </c>
      <c r="HA39" s="314">
        <f>IFERROR(VLOOKUP(HA1,'KHK 2019'!$A$2:$H$190,8,FALSE),0)</f>
        <v>1012000</v>
      </c>
      <c r="HB39" s="314">
        <f>IFERROR(VLOOKUP(HB1,'KHK 2019'!$A$2:$H$190,8,FALSE),0)</f>
        <v>0</v>
      </c>
      <c r="HC39" s="314">
        <f>IFERROR(VLOOKUP(HC1,'KHK 2019'!$A$2:$H$190,8,FALSE),0)</f>
        <v>773200</v>
      </c>
      <c r="HD39" s="314">
        <f>IFERROR(VLOOKUP(HD1,'KHK 2019'!$A$2:$H$190,8,FALSE),0)</f>
        <v>430200</v>
      </c>
      <c r="HE39" s="314">
        <f>IFERROR(VLOOKUP(HE1,'KHK 2019'!$A$2:$H$190,8,FALSE),0)</f>
        <v>808350</v>
      </c>
      <c r="HF39" s="314">
        <f>IFERROR(VLOOKUP(HF1,'KHK 2019'!$A$2:$H$190,8,FALSE),0)</f>
        <v>227286</v>
      </c>
      <c r="HG39" s="314">
        <f>IFERROR(VLOOKUP(HG1,'KHK 2019'!$A$2:$H$190,8,FALSE),0)</f>
        <v>143077</v>
      </c>
      <c r="HH39" s="314">
        <f>IFERROR(VLOOKUP(HH1,'KHK 2019'!$A$2:$H$190,8,FALSE),0)</f>
        <v>296118</v>
      </c>
      <c r="HI39" s="314">
        <f>IFERROR(VLOOKUP(HI1,'KHK 2019'!$A$2:$H$190,8,FALSE),0)</f>
        <v>445123</v>
      </c>
      <c r="HJ39" s="314">
        <f>IFERROR(VLOOKUP(HJ1,'KHK 2019'!$A$2:$H$190,8,FALSE),0)</f>
        <v>115703</v>
      </c>
      <c r="HK39" s="314">
        <f>IFERROR(VLOOKUP(HK1,'KHK 2019'!$A$2:$H$190,8,FALSE),0)</f>
        <v>0</v>
      </c>
      <c r="HL39" s="314">
        <f>IFERROR(VLOOKUP(HL1,'KHK 2019'!$A$2:$H$190,8,FALSE),0)</f>
        <v>0</v>
      </c>
      <c r="HM39" s="314">
        <f>IFERROR(VLOOKUP(HM1,'KHK 2019'!$A$2:$H$190,8,FALSE),0)</f>
        <v>0</v>
      </c>
      <c r="HN39" s="314">
        <f>IFERROR(VLOOKUP(HN1,'KHK 2019'!$A$2:$H$190,8,FALSE),0)</f>
        <v>0</v>
      </c>
      <c r="HO39" s="314">
        <f>IFERROR(VLOOKUP(HO1,'KHK 2019'!$A$2:$H$190,8,FALSE),0)</f>
        <v>0</v>
      </c>
      <c r="HP39" s="314">
        <f>IFERROR(VLOOKUP(HP1,'KHK 2019'!$A$2:$H$190,8,FALSE),0)</f>
        <v>0</v>
      </c>
      <c r="HQ39" s="314">
        <f>IFERROR(VLOOKUP(HQ1,'KHK 2019'!$A$2:$H$190,8,FALSE),0)</f>
        <v>0</v>
      </c>
      <c r="HR39" s="314">
        <f>IFERROR(VLOOKUP(HR1,'KHK 2019'!$A$2:$H$190,8,FALSE),0)</f>
        <v>0</v>
      </c>
      <c r="HS39" s="314">
        <f>IFERROR(VLOOKUP(HS1,'KHK 2019'!$A$2:$H$190,8,FALSE),0)</f>
        <v>0</v>
      </c>
      <c r="HT39" s="314">
        <f>IFERROR(VLOOKUP(HT1,'KHK 2019'!$A$2:$H$190,8,FALSE),0)</f>
        <v>0</v>
      </c>
      <c r="HU39" s="314">
        <f>IFERROR(VLOOKUP(HU1,'KHK 2019'!$A$2:$H$190,8,FALSE),0)</f>
        <v>0</v>
      </c>
      <c r="HV39" s="314">
        <f>IFERROR(VLOOKUP(HV1,'KHK 2019'!$A$2:$H$190,8,FALSE),0)</f>
        <v>0</v>
      </c>
      <c r="HW39" s="314">
        <f>IFERROR(VLOOKUP(HW1,'KHK 2019'!$A$2:$H$190,8,FALSE),0)</f>
        <v>0</v>
      </c>
      <c r="HX39" s="314">
        <f>IFERROR(VLOOKUP(HX1,'KHK 2019'!$A$2:$H$190,8,FALSE),0)</f>
        <v>0</v>
      </c>
      <c r="HY39" s="314">
        <f>IFERROR(VLOOKUP(HY1,'KHK 2019'!$A$2:$H$190,8,FALSE),0)</f>
        <v>0</v>
      </c>
      <c r="HZ39" s="314">
        <f>IFERROR(VLOOKUP(HZ1,'KHK 2019'!$A$2:$H$190,8,FALSE),0)</f>
        <v>0</v>
      </c>
      <c r="IA39" s="314">
        <f>IFERROR(VLOOKUP(IA1,'KHK 2019'!$A$2:$H$190,8,FALSE),0)</f>
        <v>0</v>
      </c>
      <c r="IB39" s="314">
        <f>IFERROR(VLOOKUP(IB1,'KHK 2019'!$A$2:$H$190,8,FALSE),0)</f>
        <v>0</v>
      </c>
      <c r="IC39" s="314">
        <f>IFERROR(VLOOKUP(IC1,'KHK 2019'!$A$2:$H$190,8,FALSE),0)</f>
        <v>0</v>
      </c>
      <c r="ID39" s="314">
        <f>IFERROR(VLOOKUP(ID1,'KHK 2019'!$A$2:$H$190,8,FALSE),0)</f>
        <v>0</v>
      </c>
      <c r="IE39" s="314">
        <f>IFERROR(VLOOKUP(IE1,'KHK 2019'!$A$2:$H$190,8,FALSE),0)</f>
        <v>0</v>
      </c>
      <c r="IF39" s="314">
        <f>IFERROR(VLOOKUP(IF1,'KHK 2019'!$A$2:$H$190,8,FALSE),0)</f>
        <v>0</v>
      </c>
      <c r="IG39" s="314">
        <f>IFERROR(VLOOKUP(IG1,'KHK 2019'!$A$2:$H$190,8,FALSE),0)</f>
        <v>0</v>
      </c>
      <c r="IH39" s="314">
        <f>IFERROR(VLOOKUP(IH1,'KHK 2019'!$A$2:$H$190,8,FALSE),0)</f>
        <v>0</v>
      </c>
      <c r="II39" s="314">
        <f>IFERROR(VLOOKUP(II1,'KHK 2019'!$A$2:$H$190,8,FALSE),0)</f>
        <v>0</v>
      </c>
      <c r="IJ39" s="314">
        <f>IFERROR(VLOOKUP(IJ1,'KHK 2019'!$A$2:$H$190,8,FALSE),0)</f>
        <v>0</v>
      </c>
      <c r="IK39" s="314">
        <f>IFERROR(VLOOKUP(IK1,'KHK 2019'!$A$2:$H$190,8,FALSE),0)</f>
        <v>0</v>
      </c>
      <c r="IL39" s="314">
        <f>IFERROR(VLOOKUP(IL1,'KHK 2019'!$A$2:$H$190,8,FALSE),0)</f>
        <v>0</v>
      </c>
      <c r="IM39" s="314">
        <f>IFERROR(VLOOKUP(IM1,'KHK 2019'!$A$2:$H$190,8,FALSE),0)</f>
        <v>0</v>
      </c>
      <c r="IN39" s="314">
        <f>IFERROR(VLOOKUP(IN1,'KHK 2019'!$A$2:$H$190,8,FALSE),0)</f>
        <v>0</v>
      </c>
      <c r="IO39" s="314">
        <f>IFERROR(VLOOKUP(IO1,'KHK 2019'!$A$2:$H$190,8,FALSE),0)</f>
        <v>0</v>
      </c>
      <c r="IP39" s="314">
        <f>IFERROR(VLOOKUP(IP1,'KHK 2019'!$A$2:$H$190,8,FALSE),0)</f>
        <v>0</v>
      </c>
      <c r="IQ39" s="314">
        <f>IFERROR(VLOOKUP(IQ1,'KHK 2019'!$A$2:$H$190,8,FALSE),0)</f>
        <v>0</v>
      </c>
      <c r="IR39" s="314">
        <f>IFERROR(VLOOKUP(IR1,'KHK 2019'!$A$2:$H$190,8,FALSE),0)</f>
        <v>0</v>
      </c>
      <c r="IS39" s="314">
        <f>IFERROR(VLOOKUP(IS1,'KHK 2019'!$A$2:$H$190,8,FALSE),0)</f>
        <v>0</v>
      </c>
      <c r="IT39" s="314">
        <f>IFERROR(VLOOKUP(IT1,'KHK 2019'!$A$2:$H$190,8,FALSE),0)</f>
        <v>0</v>
      </c>
      <c r="IU39" s="314">
        <f>IFERROR(VLOOKUP(IU1,'KHK 2019'!$A$2:$H$190,8,FALSE),0)</f>
        <v>0</v>
      </c>
      <c r="IV39" s="314">
        <f>IFERROR(VLOOKUP(IV1,'KHK 2019'!$A$2:$H$190,8,FALSE),0)</f>
        <v>0</v>
      </c>
      <c r="IW39" s="314">
        <f>IFERROR(VLOOKUP(IW1,'KHK 2019'!$A$2:$H$190,8,FALSE),0)</f>
        <v>0</v>
      </c>
      <c r="IX39" s="314">
        <f>IFERROR(VLOOKUP(IX1,'KHK 2019'!$A$2:$H$190,8,FALSE),0)</f>
        <v>0</v>
      </c>
      <c r="IY39" s="314">
        <f>IFERROR(VLOOKUP(IY1,'KHK 2019'!$A$2:$H$190,8,FALSE),0)</f>
        <v>0</v>
      </c>
      <c r="IZ39" s="314">
        <f>IFERROR(VLOOKUP(IZ1,'KHK 2019'!$A$2:$H$190,8,FALSE),0)</f>
        <v>0</v>
      </c>
      <c r="JA39" s="314">
        <f>IFERROR(VLOOKUP(JA1,'KHK 2019'!$A$2:$H$190,8,FALSE),0)</f>
        <v>0</v>
      </c>
      <c r="JB39" s="314">
        <f>IFERROR(VLOOKUP(JB1,'KHK 2019'!$A$2:$H$190,8,FALSE),0)</f>
        <v>0</v>
      </c>
      <c r="JC39" s="314">
        <f>IFERROR(VLOOKUP(JC1,'KHK 2019'!$A$2:$H$190,8,FALSE),0)</f>
        <v>0</v>
      </c>
      <c r="JD39" s="314">
        <f>IFERROR(VLOOKUP(JD1,'KHK 2019'!$A$2:$H$190,8,FALSE),0)</f>
        <v>0</v>
      </c>
      <c r="JE39" s="314">
        <f>IFERROR(VLOOKUP(JE1,'KHK 2019'!$A$2:$H$190,8,FALSE),0)</f>
        <v>0</v>
      </c>
      <c r="JF39" s="314">
        <f>IFERROR(VLOOKUP(JF1,'KHK 2019'!$A$2:$H$190,8,FALSE),0)</f>
        <v>0</v>
      </c>
      <c r="JG39" s="314">
        <f>IFERROR(VLOOKUP(JG1,'KHK 2019'!$A$2:$H$190,8,FALSE),0)</f>
        <v>0</v>
      </c>
      <c r="JH39" s="314">
        <f>IFERROR(VLOOKUP(JH1,'KHK 2019'!$A$2:$H$190,8,FALSE),0)</f>
        <v>0</v>
      </c>
      <c r="JI39" s="314">
        <f>SUM(C39:JH39)</f>
        <v>28172385.859999999</v>
      </c>
      <c r="JL39" s="307">
        <f t="shared" si="52"/>
        <v>720505</v>
      </c>
      <c r="JM39" s="307">
        <f t="shared" si="52"/>
        <v>15742879.859999999</v>
      </c>
      <c r="JN39" s="307">
        <f t="shared" si="52"/>
        <v>11709001</v>
      </c>
      <c r="JO39" s="307">
        <f t="shared" si="52"/>
        <v>0</v>
      </c>
      <c r="JP39" s="307">
        <f t="shared" si="53"/>
        <v>28172385.859999999</v>
      </c>
    </row>
    <row r="40" spans="1:277" x14ac:dyDescent="0.25">
      <c r="A40" s="338">
        <v>8</v>
      </c>
      <c r="B40" s="313" t="s">
        <v>2524</v>
      </c>
      <c r="C40" s="314">
        <f>IFERROR(VLOOKUP(C$1,PnaPr2019!$Q$82:$R$155,2,FALSE),0)</f>
        <v>0</v>
      </c>
      <c r="D40" s="314">
        <f>IFERROR(VLOOKUP(D$1,PnaPr2019!$Q$82:$R$155,2,FALSE),0)</f>
        <v>0</v>
      </c>
      <c r="E40" s="314">
        <f>IFERROR(VLOOKUP(E$1,PnaPr2019!$Q$82:$R$155,2,FALSE),0)</f>
        <v>0</v>
      </c>
      <c r="F40" s="314">
        <f>IFERROR(VLOOKUP(F$1,PnaPr2019!$Q$82:$R$155,2,FALSE),0)</f>
        <v>0</v>
      </c>
      <c r="G40" s="314">
        <f>IFERROR(VLOOKUP(G$1,PnaPr2019!$Q$82:$R$155,2,FALSE),0)</f>
        <v>0</v>
      </c>
      <c r="H40" s="314">
        <f>IFERROR(VLOOKUP(H$1,PnaPr2019!$Q$82:$R$155,2,FALSE),0)</f>
        <v>0</v>
      </c>
      <c r="I40" s="314">
        <f>IFERROR(VLOOKUP(I$1,PnaPr2019!$Q$82:$R$155,2,FALSE),0)</f>
        <v>0</v>
      </c>
      <c r="J40" s="314">
        <f>IFERROR(VLOOKUP(J$1,PnaPr2019!$Q$82:$R$155,2,FALSE),0)</f>
        <v>0</v>
      </c>
      <c r="K40" s="314">
        <f>IFERROR(VLOOKUP(K$1,PnaPr2019!$Q$82:$R$155,2,FALSE),0)</f>
        <v>0</v>
      </c>
      <c r="L40" s="314">
        <f>IFERROR(VLOOKUP(L$1,PnaPr2019!$Q$82:$R$155,2,FALSE),0)</f>
        <v>0</v>
      </c>
      <c r="M40" s="314">
        <f>IFERROR(VLOOKUP(M$1,PnaPr2019!$Q$82:$R$155,2,FALSE),0)</f>
        <v>0</v>
      </c>
      <c r="N40" s="314">
        <f>IFERROR(VLOOKUP(N$1,PnaPr2019!$Q$82:$R$155,2,FALSE),0)</f>
        <v>0</v>
      </c>
      <c r="O40" s="314">
        <f>IFERROR(VLOOKUP(O$1,PnaPr2019!$Q$82:$R$155,2,FALSE),0)</f>
        <v>0</v>
      </c>
      <c r="P40" s="314">
        <f>IFERROR(VLOOKUP(P$1,PnaPr2019!$Q$82:$R$155,2,FALSE),0)</f>
        <v>0</v>
      </c>
      <c r="Q40" s="314">
        <f>IFERROR(VLOOKUP(Q$1,PnaPr2019!$Q$82:$R$155,2,FALSE),0)</f>
        <v>0</v>
      </c>
      <c r="R40" s="314">
        <f>IFERROR(VLOOKUP(R$1,PnaPr2019!$Q$82:$R$155,2,FALSE),0)</f>
        <v>0</v>
      </c>
      <c r="S40" s="314">
        <f>IFERROR(VLOOKUP(S$1,PnaPr2019!$Q$82:$R$155,2,FALSE),0)</f>
        <v>0</v>
      </c>
      <c r="T40" s="314">
        <f>IFERROR(VLOOKUP(T$1,PnaPr2019!$Q$82:$R$155,2,FALSE),0)</f>
        <v>0</v>
      </c>
      <c r="U40" s="314">
        <f>IFERROR(VLOOKUP(U$1,PnaPr2019!$Q$82:$R$155,2,FALSE),0)</f>
        <v>0</v>
      </c>
      <c r="V40" s="314">
        <f>IFERROR(VLOOKUP(V$1,PnaPr2019!$Q$82:$R$155,2,FALSE),0)</f>
        <v>0</v>
      </c>
      <c r="W40" s="314">
        <f>IFERROR(VLOOKUP(W$1,PnaPr2019!$Q$82:$R$155,2,FALSE),0)</f>
        <v>0</v>
      </c>
      <c r="X40" s="314">
        <f>IFERROR(VLOOKUP(X$1,PnaPr2019!$Q$82:$R$155,2,FALSE),0)</f>
        <v>0</v>
      </c>
      <c r="Y40" s="314">
        <f>IFERROR(VLOOKUP(Y$1,PnaPr2019!$Q$82:$R$155,2,FALSE),0)</f>
        <v>0</v>
      </c>
      <c r="Z40" s="314">
        <f>IFERROR(VLOOKUP(Z$1,PnaPr2019!$Q$82:$R$155,2,FALSE),0)</f>
        <v>0</v>
      </c>
      <c r="AA40" s="314">
        <f>IFERROR(VLOOKUP(AA$1,PnaPr2019!$Q$82:$R$155,2,FALSE),0)</f>
        <v>0</v>
      </c>
      <c r="AB40" s="314">
        <f>IFERROR(VLOOKUP(AB$1,PnaPr2019!$Q$82:$R$155,2,FALSE),0)</f>
        <v>0</v>
      </c>
      <c r="AC40" s="314">
        <f>IFERROR(VLOOKUP(AC$1,PnaPr2019!$Q$82:$R$155,2,FALSE),0)</f>
        <v>0</v>
      </c>
      <c r="AD40" s="314">
        <f>IFERROR(VLOOKUP(AD$1,PnaPr2019!$Q$82:$R$155,2,FALSE),0)</f>
        <v>0</v>
      </c>
      <c r="AE40" s="314">
        <f>IFERROR(VLOOKUP(AE$1,PnaPr2019!$Q$82:$R$155,2,FALSE),0)</f>
        <v>0</v>
      </c>
      <c r="AF40" s="314">
        <f>IFERROR(VLOOKUP(AF$1,PnaPr2019!$Q$82:$R$155,2,FALSE),0)</f>
        <v>0</v>
      </c>
      <c r="AG40" s="314">
        <f>IFERROR(VLOOKUP(AG$1,PnaPr2019!$Q$82:$R$155,2,FALSE),0)</f>
        <v>0</v>
      </c>
      <c r="AH40" s="314">
        <f>IFERROR(VLOOKUP(AH$1,PnaPr2019!$Q$82:$R$155,2,FALSE),0)</f>
        <v>0</v>
      </c>
      <c r="AI40" s="314">
        <f>IFERROR(VLOOKUP(AI$1,PnaPr2019!$Q$82:$R$155,2,FALSE),0)</f>
        <v>0</v>
      </c>
      <c r="AJ40" s="314">
        <f>IFERROR(VLOOKUP(AJ$1,PnaPr2019!$Q$82:$R$155,2,FALSE),0)</f>
        <v>0</v>
      </c>
      <c r="AK40" s="314">
        <f>IFERROR(VLOOKUP(AK$1,PnaPr2019!$Q$82:$R$155,2,FALSE),0)</f>
        <v>0</v>
      </c>
      <c r="AL40" s="314">
        <f>IFERROR(VLOOKUP(AL$1,PnaPr2019!$Q$82:$R$155,2,FALSE),0)</f>
        <v>0</v>
      </c>
      <c r="AM40" s="314">
        <f>IFERROR(VLOOKUP(AM$1,PnaPr2019!$Q$82:$R$155,2,FALSE),0)</f>
        <v>0</v>
      </c>
      <c r="AN40" s="314">
        <f>IFERROR(VLOOKUP(AN$1,PnaPr2019!$Q$82:$R$155,2,FALSE),0)</f>
        <v>0</v>
      </c>
      <c r="AO40" s="314">
        <f>IFERROR(VLOOKUP(AO$1,PnaPr2019!$Q$82:$R$155,2,FALSE),0)</f>
        <v>0</v>
      </c>
      <c r="AP40" s="314">
        <f>IFERROR(VLOOKUP(AP$1,PnaPr2019!$Q$82:$R$155,2,FALSE),0)</f>
        <v>0</v>
      </c>
      <c r="AQ40" s="314">
        <f>IFERROR(VLOOKUP(AQ$1,PnaPr2019!$Q$82:$R$155,2,FALSE),0)</f>
        <v>0</v>
      </c>
      <c r="AR40" s="314">
        <f>IFERROR(VLOOKUP(AR$1,PnaPr2019!$Q$82:$R$155,2,FALSE),0)</f>
        <v>0</v>
      </c>
      <c r="AS40" s="314">
        <f>IFERROR(VLOOKUP(AS$1,PnaPr2019!$Q$82:$R$155,2,FALSE),0)</f>
        <v>0</v>
      </c>
      <c r="AT40" s="314">
        <f>IFERROR(VLOOKUP(AT$1,PnaPr2019!$Q$82:$R$155,2,FALSE),0)</f>
        <v>0</v>
      </c>
      <c r="AU40" s="314">
        <f>IFERROR(VLOOKUP(AU$1,PnaPr2019!$Q$82:$R$155,2,FALSE),0)</f>
        <v>0</v>
      </c>
      <c r="AV40" s="314">
        <f>IFERROR(VLOOKUP(AV$1,PnaPr2019!$Q$82:$R$155,2,FALSE),0)</f>
        <v>0</v>
      </c>
      <c r="AW40" s="314">
        <f>IFERROR(VLOOKUP(AW$1,PnaPr2019!$Q$82:$R$155,2,FALSE),0)</f>
        <v>0</v>
      </c>
      <c r="AX40" s="314">
        <f>IFERROR(VLOOKUP(AX$1,PnaPr2019!$Q$82:$R$155,2,FALSE),0)</f>
        <v>0</v>
      </c>
      <c r="AY40" s="314">
        <f>IFERROR(VLOOKUP(AY$1,PnaPr2019!$Q$82:$R$155,2,FALSE),0)</f>
        <v>0</v>
      </c>
      <c r="AZ40" s="314">
        <f>IFERROR(VLOOKUP(AZ$1,PnaPr2019!$Q$82:$R$155,2,FALSE),0)</f>
        <v>0</v>
      </c>
      <c r="BA40" s="314">
        <f>IFERROR(VLOOKUP(BA$1,PnaPr2019!$Q$82:$R$155,2,FALSE),0)</f>
        <v>0</v>
      </c>
      <c r="BB40" s="314">
        <f>IFERROR(VLOOKUP(BB$1,PnaPr2019!$Q$82:$R$155,2,FALSE),0)</f>
        <v>0</v>
      </c>
      <c r="BC40" s="314">
        <f>IFERROR(VLOOKUP(BC$1,PnaPr2019!$Q$82:$R$155,2,FALSE),0)</f>
        <v>0</v>
      </c>
      <c r="BD40" s="314">
        <f>IFERROR(VLOOKUP(BD$1,PnaPr2019!$Q$82:$R$155,2,FALSE),0)</f>
        <v>0</v>
      </c>
      <c r="BE40" s="314">
        <f>IFERROR(VLOOKUP(BE$1,PnaPr2019!$Q$82:$R$155,2,FALSE),0)</f>
        <v>0</v>
      </c>
      <c r="BF40" s="314">
        <f>IFERROR(VLOOKUP(BF$1,PnaPr2019!$Q$82:$R$155,2,FALSE),0)</f>
        <v>0</v>
      </c>
      <c r="BG40" s="314">
        <f>IFERROR(VLOOKUP(BG$1,PnaPr2019!$Q$82:$R$155,2,FALSE),0)</f>
        <v>0</v>
      </c>
      <c r="BH40" s="314">
        <f>IFERROR(VLOOKUP(BH$1,PnaPr2019!$Q$82:$R$155,2,FALSE),0)</f>
        <v>0</v>
      </c>
      <c r="BI40" s="314">
        <f>IFERROR(VLOOKUP(BI$1,PnaPr2019!$Q$82:$R$155,2,FALSE),0)</f>
        <v>0</v>
      </c>
      <c r="BJ40" s="314">
        <f>IFERROR(VLOOKUP(BJ$1,PnaPr2019!$Q$82:$R$155,2,FALSE),0)</f>
        <v>0</v>
      </c>
      <c r="BK40" s="314">
        <f>IFERROR(VLOOKUP(BK$1,PnaPr2019!$Q$82:$R$155,2,FALSE),0)</f>
        <v>0</v>
      </c>
      <c r="BL40" s="314">
        <f>IFERROR(VLOOKUP(BL$1,PnaPr2019!$Q$82:$R$155,2,FALSE),0)</f>
        <v>0</v>
      </c>
      <c r="BM40" s="314">
        <f>IFERROR(VLOOKUP(BM$1,PnaPr2019!$Q$82:$R$155,2,FALSE),0)</f>
        <v>0</v>
      </c>
      <c r="BN40" s="314">
        <f>IFERROR(VLOOKUP(BN$1,PnaPr2019!$Q$82:$R$155,2,FALSE),0)</f>
        <v>0</v>
      </c>
      <c r="BO40" s="314">
        <f>IFERROR(VLOOKUP(BO$1,PnaPr2019!$Q$82:$R$155,2,FALSE),0)</f>
        <v>0</v>
      </c>
      <c r="BP40" s="314">
        <f>IFERROR(VLOOKUP(BP$1,PnaPr2019!$Q$82:$R$155,2,FALSE),0)</f>
        <v>0</v>
      </c>
      <c r="BQ40" s="314">
        <f>IFERROR(VLOOKUP(BQ$1,PnaPr2019!$Q$82:$R$155,2,FALSE),0)</f>
        <v>0</v>
      </c>
      <c r="BR40" s="314">
        <f>IFERROR(VLOOKUP(BR$1,PnaPr2019!$Q$82:$R$155,2,FALSE),0)</f>
        <v>0</v>
      </c>
      <c r="BS40" s="314">
        <f>IFERROR(VLOOKUP(BS$1,PnaPr2019!$Q$82:$R$155,2,FALSE),0)</f>
        <v>0</v>
      </c>
      <c r="BT40" s="314">
        <f>IFERROR(VLOOKUP(BT$1,PnaPr2019!$Q$82:$R$155,2,FALSE),0)</f>
        <v>0</v>
      </c>
      <c r="BU40" s="314">
        <f>IFERROR(VLOOKUP(BU$1,PnaPr2019!$Q$82:$R$155,2,FALSE),0)</f>
        <v>0</v>
      </c>
      <c r="BV40" s="314">
        <f>IFERROR(VLOOKUP(BV$1,PnaPr2019!$Q$82:$R$155,2,FALSE),0)</f>
        <v>0</v>
      </c>
      <c r="BW40" s="314">
        <f>IFERROR(VLOOKUP(BW$1,PnaPr2019!$Q$82:$R$155,2,FALSE),0)</f>
        <v>0</v>
      </c>
      <c r="BX40" s="314">
        <f>IFERROR(VLOOKUP(BX$1,PnaPr2019!$Q$82:$R$155,2,FALSE),0)</f>
        <v>0</v>
      </c>
      <c r="BY40" s="314">
        <f>IFERROR(VLOOKUP(BY$1,PnaPr2019!$Q$82:$R$155,2,FALSE),0)</f>
        <v>0</v>
      </c>
      <c r="BZ40" s="314">
        <f>IFERROR(VLOOKUP(BZ$1,PnaPr2019!$Q$82:$R$155,2,FALSE),0)</f>
        <v>0</v>
      </c>
      <c r="CA40" s="314">
        <f>IFERROR(VLOOKUP(CA$1,PnaPr2019!$Q$82:$R$155,2,FALSE),0)</f>
        <v>0</v>
      </c>
      <c r="CB40" s="314">
        <f>IFERROR(VLOOKUP(CB$1,PnaPr2019!$Q$82:$R$155,2,FALSE),0)</f>
        <v>0</v>
      </c>
      <c r="CC40" s="314">
        <f>IFERROR(VLOOKUP(CC$1,PnaPr2019!$Q$82:$R$155,2,FALSE),0)</f>
        <v>0</v>
      </c>
      <c r="CD40" s="314">
        <f>IFERROR(VLOOKUP(CD$1,PnaPr2019!$Q$82:$R$155,2,FALSE),0)</f>
        <v>0</v>
      </c>
      <c r="CE40" s="314">
        <f>IFERROR(VLOOKUP(CE$1,PnaPr2019!$Q$82:$R$155,2,FALSE),0)</f>
        <v>0</v>
      </c>
      <c r="CF40" s="314">
        <f>IFERROR(VLOOKUP(CF$1,PnaPr2019!$Q$82:$R$155,2,FALSE),0)</f>
        <v>0</v>
      </c>
      <c r="CG40" s="314">
        <f>IFERROR(VLOOKUP(CG$1,PnaPr2019!$Q$82:$R$155,2,FALSE),0)</f>
        <v>0</v>
      </c>
      <c r="CH40" s="314">
        <f>IFERROR(VLOOKUP(CH$1,PnaPr2019!$Q$82:$R$155,2,FALSE),0)</f>
        <v>0</v>
      </c>
      <c r="CI40" s="314">
        <f>IFERROR(VLOOKUP(CI$1,PnaPr2019!$Q$82:$R$155,2,FALSE),0)</f>
        <v>0</v>
      </c>
      <c r="CJ40" s="314">
        <f>IFERROR(VLOOKUP(CJ$1,PnaPr2019!$Q$82:$R$155,2,FALSE),0)</f>
        <v>0</v>
      </c>
      <c r="CK40" s="314">
        <f>IFERROR(VLOOKUP(CK$1,PnaPr2019!$Q$82:$R$155,2,FALSE),0)</f>
        <v>0</v>
      </c>
      <c r="CL40" s="314">
        <f>IFERROR(VLOOKUP(CL$1,PnaPr2019!$Q$82:$R$155,2,FALSE),0)</f>
        <v>0</v>
      </c>
      <c r="CM40" s="314">
        <f>IFERROR(VLOOKUP(CM$1,PnaPr2019!$Q$82:$R$155,2,FALSE),0)</f>
        <v>0</v>
      </c>
      <c r="CN40" s="314">
        <f>IFERROR(VLOOKUP(CN$1,PnaPr2019!$Q$82:$R$155,2,FALSE),0)</f>
        <v>0</v>
      </c>
      <c r="CO40" s="314">
        <f>IFERROR(VLOOKUP(CO$1,PnaPr2019!$Q$82:$R$155,2,FALSE),0)</f>
        <v>0</v>
      </c>
      <c r="CP40" s="314">
        <f>IFERROR(VLOOKUP(CP$1,PnaPr2019!$Q$82:$R$155,2,FALSE),0)</f>
        <v>0</v>
      </c>
      <c r="CQ40" s="314">
        <f>IFERROR(VLOOKUP(CQ$1,PnaPr2019!$Q$82:$R$155,2,FALSE),0)</f>
        <v>0</v>
      </c>
      <c r="CR40" s="314">
        <f>IFERROR(VLOOKUP(CR$1,PnaPr2019!$Q$82:$R$155,2,FALSE),0)</f>
        <v>0</v>
      </c>
      <c r="CS40" s="314">
        <f>IFERROR(VLOOKUP(CS$1,PnaPr2019!$Q$82:$R$155,2,FALSE),0)</f>
        <v>0</v>
      </c>
      <c r="CT40" s="314">
        <f>IFERROR(VLOOKUP(CT$1,PnaPr2019!$Q$82:$R$155,2,FALSE),0)</f>
        <v>0</v>
      </c>
      <c r="CU40" s="314">
        <f>IFERROR(VLOOKUP(CU$1,PnaPr2019!$Q$82:$R$155,2,FALSE),0)</f>
        <v>0</v>
      </c>
      <c r="CV40" s="314">
        <f>IFERROR(VLOOKUP(CV$1,PnaPr2019!$Q$82:$R$155,2,FALSE),0)</f>
        <v>0</v>
      </c>
      <c r="CW40" s="314">
        <f>IFERROR(VLOOKUP(CW$1,PnaPr2019!$Q$82:$R$155,2,FALSE),0)</f>
        <v>0</v>
      </c>
      <c r="CX40" s="314">
        <f>IFERROR(VLOOKUP(CX$1,PnaPr2019!$Q$82:$R$155,2,FALSE),0)</f>
        <v>0</v>
      </c>
      <c r="CY40" s="314">
        <f>IFERROR(VLOOKUP(CY$1,PnaPr2019!$Q$82:$R$155,2,FALSE),0)</f>
        <v>0</v>
      </c>
      <c r="CZ40" s="314">
        <f>IFERROR(VLOOKUP(CZ$1,PnaPr2019!$Q$82:$R$155,2,FALSE),0)</f>
        <v>0</v>
      </c>
      <c r="DA40" s="314">
        <f>IFERROR(VLOOKUP(DA$1,PnaPr2019!$Q$82:$R$155,2,FALSE),0)</f>
        <v>0</v>
      </c>
      <c r="DB40" s="314">
        <f>IFERROR(VLOOKUP(DB$1,PnaPr2019!$Q$82:$R$155,2,FALSE),0)</f>
        <v>0</v>
      </c>
      <c r="DC40" s="314">
        <f>IFERROR(VLOOKUP(DC$1,PnaPr2019!$Q$82:$R$155,2,FALSE),0)</f>
        <v>0</v>
      </c>
      <c r="DD40" s="314">
        <f>IFERROR(VLOOKUP(DD$1,PnaPr2019!$Q$82:$R$155,2,FALSE),0)</f>
        <v>0</v>
      </c>
      <c r="DE40" s="314">
        <f>IFERROR(VLOOKUP(DE$1,PnaPr2019!$Q$82:$R$155,2,FALSE),0)</f>
        <v>0</v>
      </c>
      <c r="DF40" s="314">
        <f>IFERROR(VLOOKUP(DF$1,PnaPr2019!$Q$82:$R$155,2,FALSE),0)</f>
        <v>0</v>
      </c>
      <c r="DG40" s="314">
        <f>IFERROR(VLOOKUP(DG$1,PnaPr2019!$Q$82:$R$155,2,FALSE),0)</f>
        <v>0</v>
      </c>
      <c r="DH40" s="314">
        <f>IFERROR(VLOOKUP(DH$1,PnaPr2019!$Q$82:$R$155,2,FALSE),0)</f>
        <v>0</v>
      </c>
      <c r="DI40" s="314">
        <f>IFERROR(VLOOKUP(DI$1,PnaPr2019!$Q$82:$R$155,2,FALSE),0)</f>
        <v>0</v>
      </c>
      <c r="DJ40" s="314">
        <f>IFERROR(VLOOKUP(DJ$1,PnaPr2019!$Q$82:$R$155,2,FALSE),0)</f>
        <v>0</v>
      </c>
      <c r="DK40" s="314">
        <f>IFERROR(VLOOKUP(DK$1,PnaPr2019!$Q$82:$R$155,2,FALSE),0)</f>
        <v>0</v>
      </c>
      <c r="DL40" s="314">
        <f>IFERROR(VLOOKUP(DL$1,PnaPr2019!$Q$82:$R$155,2,FALSE),0)</f>
        <v>0</v>
      </c>
      <c r="DM40" s="314">
        <f>IFERROR(VLOOKUP(DM$1,PnaPr2019!$Q$82:$R$155,2,FALSE),0)</f>
        <v>0</v>
      </c>
      <c r="DN40" s="314">
        <f>IFERROR(VLOOKUP(DN$1,PnaPr2019!$Q$82:$R$155,2,FALSE),0)</f>
        <v>0</v>
      </c>
      <c r="DO40" s="314">
        <f>IFERROR(VLOOKUP(DO$1,PnaPr2019!$Q$82:$R$155,2,FALSE),0)</f>
        <v>0</v>
      </c>
      <c r="DP40" s="314">
        <f>IFERROR(VLOOKUP(DP$1,PnaPr2019!$Q$82:$R$155,2,FALSE),0)</f>
        <v>0</v>
      </c>
      <c r="DQ40" s="314">
        <f>IFERROR(VLOOKUP(DQ$1,PnaPr2019!$Q$82:$R$155,2,FALSE),0)</f>
        <v>0</v>
      </c>
      <c r="DR40" s="314">
        <f>IFERROR(VLOOKUP(DR$1,PnaPr2019!$Q$82:$R$155,2,FALSE),0)</f>
        <v>0</v>
      </c>
      <c r="DS40" s="314">
        <f>IFERROR(VLOOKUP(DS$1,PnaPr2019!$Q$82:$R$155,2,FALSE),0)</f>
        <v>0</v>
      </c>
      <c r="DT40" s="314">
        <f>IFERROR(VLOOKUP(DT$1,PnaPr2019!$Q$82:$R$155,2,FALSE),0)</f>
        <v>0</v>
      </c>
      <c r="DU40" s="314">
        <f>IFERROR(VLOOKUP(DU$1,PnaPr2019!$Q$82:$R$155,2,FALSE),0)</f>
        <v>0</v>
      </c>
      <c r="DV40" s="314">
        <f>IFERROR(VLOOKUP(DV$1,PnaPr2019!$Q$82:$R$155,2,FALSE),0)</f>
        <v>0</v>
      </c>
      <c r="DW40" s="314">
        <f>IFERROR(VLOOKUP(DW$1,PnaPr2019!$Q$82:$R$155,2,FALSE),0)</f>
        <v>0</v>
      </c>
      <c r="DX40" s="314">
        <f>IFERROR(VLOOKUP(DX$1,PnaPr2019!$Q$82:$R$155,2,FALSE),0)</f>
        <v>0</v>
      </c>
      <c r="DY40" s="314">
        <f>IFERROR(VLOOKUP(DY$1,PnaPr2019!$Q$82:$R$155,2,FALSE),0)</f>
        <v>0</v>
      </c>
      <c r="DZ40" s="314">
        <f>IFERROR(VLOOKUP(DZ$1,PnaPr2019!$Q$82:$R$155,2,FALSE),0)</f>
        <v>0</v>
      </c>
      <c r="EA40" s="314">
        <f>IFERROR(VLOOKUP(EA$1,PnaPr2019!$Q$82:$R$155,2,FALSE),0)</f>
        <v>0</v>
      </c>
      <c r="EB40" s="314">
        <f>IFERROR(VLOOKUP(EB$1,PnaPr2019!$Q$82:$R$155,2,FALSE),0)</f>
        <v>0</v>
      </c>
      <c r="EC40" s="314">
        <f>IFERROR(VLOOKUP(EC$1,PnaPr2019!$Q$82:$R$155,2,FALSE),0)</f>
        <v>0</v>
      </c>
      <c r="ED40" s="314">
        <f>IFERROR(VLOOKUP(ED$1,PnaPr2019!$Q$82:$R$155,2,FALSE),0)</f>
        <v>0</v>
      </c>
      <c r="EE40" s="314">
        <f>IFERROR(VLOOKUP(EE$1,PnaPr2019!$Q$82:$R$155,2,FALSE),0)</f>
        <v>0</v>
      </c>
      <c r="EF40" s="314">
        <f>IFERROR(VLOOKUP(EF$1,PnaPr2019!$Q$82:$R$155,2,FALSE),0)</f>
        <v>0</v>
      </c>
      <c r="EG40" s="314">
        <f>IFERROR(VLOOKUP(EG$1,PnaPr2019!$Q$82:$R$155,2,FALSE),0)</f>
        <v>0</v>
      </c>
      <c r="EH40" s="314">
        <f>IFERROR(VLOOKUP(EH$1,PnaPr2019!$Q$82:$R$155,2,FALSE),0)</f>
        <v>0</v>
      </c>
      <c r="EI40" s="314">
        <f>IFERROR(VLOOKUP(EI$1,PnaPr2019!$Q$82:$R$155,2,FALSE),0)</f>
        <v>0</v>
      </c>
      <c r="EJ40" s="314">
        <f>IFERROR(VLOOKUP(EJ$1,PnaPr2019!$Q$82:$R$155,2,FALSE),0)</f>
        <v>0</v>
      </c>
      <c r="EK40" s="314">
        <f>IFERROR(VLOOKUP(EK$1,PnaPr2019!$Q$82:$R$155,2,FALSE),0)</f>
        <v>0</v>
      </c>
      <c r="EL40" s="314">
        <f>IFERROR(VLOOKUP(EL$1,PnaPr2019!$Q$82:$R$155,2,FALSE),0)</f>
        <v>0</v>
      </c>
      <c r="EM40" s="314">
        <f>IFERROR(VLOOKUP(EM$1,PnaPr2019!$Q$82:$R$155,2,FALSE),0)</f>
        <v>0</v>
      </c>
      <c r="EN40" s="314">
        <f>IFERROR(VLOOKUP(EN$1,PnaPr2019!$Q$82:$R$155,2,FALSE),0)</f>
        <v>0</v>
      </c>
      <c r="EO40" s="314">
        <f>IFERROR(VLOOKUP(EO$1,PnaPr2019!$Q$82:$R$155,2,FALSE),0)</f>
        <v>0</v>
      </c>
      <c r="EP40" s="314">
        <f>IFERROR(VLOOKUP(EP$1,PnaPr2019!$Q$82:$R$155,2,FALSE),0)</f>
        <v>0</v>
      </c>
      <c r="EQ40" s="314">
        <f>IFERROR(VLOOKUP(EQ$1,PnaPr2019!$Q$82:$R$155,2,FALSE),0)</f>
        <v>0</v>
      </c>
      <c r="ER40" s="314">
        <f>IFERROR(VLOOKUP(ER$1,PnaPr2019!$Q$82:$R$155,2,FALSE),0)</f>
        <v>0</v>
      </c>
      <c r="ES40" s="314">
        <f>IFERROR(VLOOKUP(ES$1,PnaPr2019!$Q$82:$R$155,2,FALSE),0)</f>
        <v>0</v>
      </c>
      <c r="ET40" s="314">
        <f>IFERROR(VLOOKUP(ET$1,PnaPr2019!$Q$82:$R$155,2,FALSE),0)</f>
        <v>0</v>
      </c>
      <c r="EU40" s="314">
        <f>IFERROR(VLOOKUP(EU$1,PnaPr2019!$Q$82:$R$155,2,FALSE),0)</f>
        <v>0</v>
      </c>
      <c r="EV40" s="314">
        <f>IFERROR(VLOOKUP(EV$1,PnaPr2019!$Q$82:$R$155,2,FALSE),0)</f>
        <v>0</v>
      </c>
      <c r="EW40" s="314">
        <f>IFERROR(VLOOKUP(EW$1,PnaPr2019!$Q$82:$R$155,2,FALSE),0)</f>
        <v>0</v>
      </c>
      <c r="EX40" s="314">
        <f>IFERROR(VLOOKUP(EX$1,PnaPr2019!$Q$82:$R$155,2,FALSE),0)</f>
        <v>0</v>
      </c>
      <c r="EY40" s="314">
        <f>IFERROR(VLOOKUP(EY$1,PnaPr2019!$Q$82:$R$155,2,FALSE),0)</f>
        <v>0</v>
      </c>
      <c r="EZ40" s="314">
        <f>IFERROR(VLOOKUP(EZ$1,PnaPr2019!$Q$82:$R$155,2,FALSE),0)</f>
        <v>0</v>
      </c>
      <c r="FA40" s="314">
        <f>IFERROR(VLOOKUP(FA$1,PnaPr2019!$Q$82:$R$155,2,FALSE),0)</f>
        <v>0</v>
      </c>
      <c r="FB40" s="314">
        <f>IFERROR(VLOOKUP(FB$1,PnaPr2019!$Q$82:$R$155,2,FALSE),0)</f>
        <v>0</v>
      </c>
      <c r="FC40" s="314">
        <f>IFERROR(VLOOKUP(FC$1,PnaPr2019!$Q$82:$R$155,2,FALSE),0)</f>
        <v>0</v>
      </c>
      <c r="FD40" s="314">
        <f>IFERROR(VLOOKUP(FD$1,PnaPr2019!$Q$82:$R$155,2,FALSE),0)</f>
        <v>0</v>
      </c>
      <c r="FE40" s="314">
        <f>IFERROR(VLOOKUP(FE$1,PnaPr2019!$Q$82:$R$155,2,FALSE),0)</f>
        <v>0</v>
      </c>
      <c r="FF40" s="314">
        <f>IFERROR(VLOOKUP(FF$1,PnaPr2019!$Q$82:$R$155,2,FALSE),0)</f>
        <v>0</v>
      </c>
      <c r="FG40" s="314">
        <f>IFERROR(VLOOKUP(FG$1,PnaPr2019!$Q$82:$R$155,2,FALSE),0)</f>
        <v>0</v>
      </c>
      <c r="FH40" s="314">
        <f>IFERROR(VLOOKUP(FH$1,PnaPr2019!$Q$82:$R$155,2,FALSE),0)</f>
        <v>0</v>
      </c>
      <c r="FI40" s="314">
        <f>IFERROR(VLOOKUP(FI$1,PnaPr2019!$Q$82:$R$155,2,FALSE),0)</f>
        <v>0</v>
      </c>
      <c r="FJ40" s="314">
        <f>IFERROR(VLOOKUP(FJ$1,PnaPr2019!$Q$82:$R$155,2,FALSE),0)</f>
        <v>0</v>
      </c>
      <c r="FK40" s="314">
        <f>IFERROR(VLOOKUP(FK$1,PnaPr2019!$Q$82:$R$155,2,FALSE),0)</f>
        <v>0</v>
      </c>
      <c r="FL40" s="314">
        <f>IFERROR(VLOOKUP(FL$1,PnaPr2019!$Q$82:$R$155,2,FALSE),0)</f>
        <v>0</v>
      </c>
      <c r="FM40" s="314">
        <f>IFERROR(VLOOKUP(FM$1,PnaPr2019!$Q$82:$R$155,2,FALSE),0)</f>
        <v>0</v>
      </c>
      <c r="FN40" s="314">
        <f>IFERROR(VLOOKUP(FN$1,PnaPr2019!$Q$82:$R$155,2,FALSE),0)</f>
        <v>0</v>
      </c>
      <c r="FO40" s="314">
        <f>IFERROR(VLOOKUP(FO$1,PnaPr2019!$Q$82:$R$155,2,FALSE),0)</f>
        <v>0</v>
      </c>
      <c r="FP40" s="314">
        <f>IFERROR(VLOOKUP(FP$1,PnaPr2019!$Q$82:$R$155,2,FALSE),0)</f>
        <v>0</v>
      </c>
      <c r="FQ40" s="314">
        <f>IFERROR(VLOOKUP(FQ$1,PnaPr2019!$Q$82:$R$155,2,FALSE),0)</f>
        <v>0</v>
      </c>
      <c r="FR40" s="314">
        <f>IFERROR(VLOOKUP(FR$1,PnaPr2019!$Q$82:$R$155,2,FALSE),0)</f>
        <v>0</v>
      </c>
      <c r="FS40" s="314">
        <f>IFERROR(VLOOKUP(FS$1,PnaPr2019!$Q$82:$R$155,2,FALSE),0)</f>
        <v>0</v>
      </c>
      <c r="FT40" s="314">
        <f>IFERROR(VLOOKUP(FT$1,PnaPr2019!$Q$82:$R$155,2,FALSE),0)</f>
        <v>0</v>
      </c>
      <c r="FU40" s="314">
        <f>IFERROR(VLOOKUP(FU$1,PnaPr2019!$Q$82:$R$155,2,FALSE),0)</f>
        <v>0</v>
      </c>
      <c r="FV40" s="314">
        <f>IFERROR(VLOOKUP(FV$1,PnaPr2019!$Q$82:$R$155,2,FALSE),0)</f>
        <v>0</v>
      </c>
      <c r="FW40" s="314">
        <f>IFERROR(VLOOKUP(FW$1,PnaPr2019!$Q$82:$R$155,2,FALSE),0)</f>
        <v>0</v>
      </c>
      <c r="FX40" s="314">
        <f>IFERROR(VLOOKUP(FX$1,PnaPr2019!$Q$82:$R$155,2,FALSE),0)</f>
        <v>0</v>
      </c>
      <c r="FY40" s="314">
        <f>IFERROR(VLOOKUP(FY$1,PnaPr2019!$Q$82:$R$155,2,FALSE),0)</f>
        <v>0</v>
      </c>
      <c r="FZ40" s="314">
        <f>IFERROR(VLOOKUP(FZ$1,PnaPr2019!$Q$82:$R$155,2,FALSE),0)</f>
        <v>0</v>
      </c>
      <c r="GA40" s="314">
        <f>IFERROR(VLOOKUP(GA$1,PnaPr2019!$Q$82:$R$155,2,FALSE),0)</f>
        <v>0</v>
      </c>
      <c r="GB40" s="314">
        <f>IFERROR(VLOOKUP(GB$1,PnaPr2019!$Q$82:$R$155,2,FALSE),0)</f>
        <v>0</v>
      </c>
      <c r="GC40" s="314">
        <f>IFERROR(VLOOKUP(GC$1,PnaPr2019!$Q$82:$R$155,2,FALSE),0)</f>
        <v>0</v>
      </c>
      <c r="GD40" s="314">
        <f>IFERROR(VLOOKUP(GD$1,PnaPr2019!$Q$82:$R$155,2,FALSE),0)</f>
        <v>0</v>
      </c>
      <c r="GE40" s="314">
        <f>IFERROR(VLOOKUP(GE$1,PnaPr2019!$Q$82:$R$155,2,FALSE),0)</f>
        <v>0</v>
      </c>
      <c r="GF40" s="314">
        <f>IFERROR(VLOOKUP(GF$1,PnaPr2019!$Q$82:$R$155,2,FALSE),0)</f>
        <v>0</v>
      </c>
      <c r="GG40" s="314">
        <f>IFERROR(VLOOKUP(GG$1,PnaPr2019!$Q$82:$R$155,2,FALSE),0)</f>
        <v>0</v>
      </c>
      <c r="GH40" s="314">
        <f>IFERROR(VLOOKUP(GH$1,PnaPr2019!$Q$82:$R$155,2,FALSE),0)</f>
        <v>0</v>
      </c>
      <c r="GI40" s="314">
        <f>IFERROR(VLOOKUP(GI$1,PnaPr2019!$Q$82:$R$155,2,FALSE),0)</f>
        <v>0</v>
      </c>
      <c r="GJ40" s="314">
        <f>IFERROR(VLOOKUP(GJ$1,PnaPr2019!$Q$82:$R$155,2,FALSE),0)</f>
        <v>0</v>
      </c>
      <c r="GK40" s="314">
        <f>IFERROR(VLOOKUP(GK$1,PnaPr2019!$Q$82:$R$155,2,FALSE),0)</f>
        <v>0</v>
      </c>
      <c r="GL40" s="314">
        <f>IFERROR(VLOOKUP(GL$1,PnaPr2019!$Q$82:$R$155,2,FALSE),0)</f>
        <v>0</v>
      </c>
      <c r="GM40" s="314">
        <f>IFERROR(VLOOKUP(GM$1,PnaPr2019!$Q$82:$R$155,2,FALSE),0)</f>
        <v>0</v>
      </c>
      <c r="GN40" s="314">
        <f>IFERROR(VLOOKUP(GN$1,PnaPr2019!$Q$82:$R$155,2,FALSE),0)</f>
        <v>0</v>
      </c>
      <c r="GO40" s="314">
        <f>IFERROR(VLOOKUP(GO$1,PnaPr2019!$Q$82:$R$155,2,FALSE),0)</f>
        <v>0</v>
      </c>
      <c r="GP40" s="314">
        <f>IFERROR(VLOOKUP(GP$1,PnaPr2019!$Q$82:$R$155,2,FALSE),0)</f>
        <v>0</v>
      </c>
      <c r="GQ40" s="314">
        <f>IFERROR(VLOOKUP(GQ$1,PnaPr2019!$Q$82:$R$155,2,FALSE),0)</f>
        <v>0</v>
      </c>
      <c r="GR40" s="314">
        <f>IFERROR(VLOOKUP(GR$1,PnaPr2019!$Q$82:$R$155,2,FALSE),0)</f>
        <v>0</v>
      </c>
      <c r="GS40" s="314">
        <f>IFERROR(VLOOKUP(GS$1,PnaPr2019!$Q$82:$R$155,2,FALSE),0)</f>
        <v>0</v>
      </c>
      <c r="GT40" s="314">
        <f>IFERROR(VLOOKUP(GT$1,PnaPr2019!$Q$82:$R$155,2,FALSE),0)</f>
        <v>0</v>
      </c>
      <c r="GU40" s="314">
        <f>IFERROR(VLOOKUP(GU$1,PnaPr2019!$Q$82:$R$155,2,FALSE),0)</f>
        <v>0</v>
      </c>
      <c r="GV40" s="314">
        <f>IFERROR(VLOOKUP(GV$1,PnaPr2019!$Q$82:$R$155,2,FALSE),0)</f>
        <v>0</v>
      </c>
      <c r="GW40" s="314">
        <f>IFERROR(VLOOKUP(GW$1,PnaPr2019!$Q$82:$R$155,2,FALSE),0)</f>
        <v>0</v>
      </c>
      <c r="GX40" s="314">
        <f>IFERROR(VLOOKUP(GX$1,PnaPr2019!$Q$82:$R$155,2,FALSE),0)</f>
        <v>0</v>
      </c>
      <c r="GY40" s="314">
        <f>IFERROR(VLOOKUP(GY$1,PnaPr2019!$Q$82:$R$155,2,FALSE),0)</f>
        <v>0</v>
      </c>
      <c r="GZ40" s="314">
        <f>IFERROR(VLOOKUP(GZ$1,PnaPr2019!$Q$82:$R$155,2,FALSE),0)</f>
        <v>0</v>
      </c>
      <c r="HA40" s="314">
        <f>IFERROR(VLOOKUP(HA$1,PnaPr2019!$Q$82:$R$155,2,FALSE),0)</f>
        <v>0</v>
      </c>
      <c r="HB40" s="314">
        <f>IFERROR(VLOOKUP(HB$1,PnaPr2019!$Q$82:$R$155,2,FALSE),0)</f>
        <v>0</v>
      </c>
      <c r="HC40" s="314">
        <f>IFERROR(VLOOKUP(HC$1,PnaPr2019!$Q$82:$R$155,2,FALSE),0)</f>
        <v>0</v>
      </c>
      <c r="HD40" s="314">
        <f>IFERROR(VLOOKUP(HD$1,PnaPr2019!$Q$82:$R$155,2,FALSE),0)</f>
        <v>0</v>
      </c>
      <c r="HE40" s="314">
        <f>IFERROR(VLOOKUP(HE$1,PnaPr2019!$Q$82:$R$155,2,FALSE),0)</f>
        <v>0</v>
      </c>
      <c r="HF40" s="314">
        <f>IFERROR(VLOOKUP(HF$1,PnaPr2019!$Q$82:$R$155,2,FALSE),0)</f>
        <v>0</v>
      </c>
      <c r="HG40" s="314">
        <f>IFERROR(VLOOKUP(HG$1,PnaPr2019!$Q$82:$R$155,2,FALSE),0)</f>
        <v>0</v>
      </c>
      <c r="HH40" s="314">
        <f>IFERROR(VLOOKUP(HH$1,PnaPr2019!$Q$82:$R$155,2,FALSE),0)</f>
        <v>0</v>
      </c>
      <c r="HI40" s="314">
        <f>IFERROR(VLOOKUP(HI$1,PnaPr2019!$Q$82:$R$155,2,FALSE),0)</f>
        <v>0</v>
      </c>
      <c r="HJ40" s="314">
        <f>IFERROR(VLOOKUP(HJ$1,PnaPr2019!$Q$82:$R$155,2,FALSE),0)</f>
        <v>0</v>
      </c>
      <c r="HK40" s="314">
        <f>IFERROR(VLOOKUP(HK$1,PnaPr2019!$Q$82:$R$155,2,FALSE),0)</f>
        <v>0</v>
      </c>
      <c r="HL40" s="314">
        <f>IFERROR(VLOOKUP(HL$1,PnaPr2019!$Q$82:$R$155,2,FALSE),0)</f>
        <v>12500994.243574739</v>
      </c>
      <c r="HM40" s="314">
        <f>IFERROR(VLOOKUP(HM$1,PnaPr2019!$Q$82:$R$155,2,FALSE),0)</f>
        <v>7210414.5415793229</v>
      </c>
      <c r="HN40" s="314">
        <f>IFERROR(VLOOKUP(HN$1,PnaPr2019!$Q$82:$R$155,2,FALSE),0)</f>
        <v>229621.41538817159</v>
      </c>
      <c r="HO40" s="314">
        <f>IFERROR(VLOOKUP(HO$1,PnaPr2019!$Q$82:$R$155,2,FALSE),0)</f>
        <v>795969.79945776786</v>
      </c>
      <c r="HP40" s="314">
        <f>IFERROR(VLOOKUP(HP$1,PnaPr2019!$Q$82:$R$155,2,FALSE),0)</f>
        <v>8998000</v>
      </c>
      <c r="HQ40" s="314">
        <f>IFERROR(VLOOKUP(HQ$1,PnaPr2019!$Q$82:$R$155,2,FALSE),0)</f>
        <v>328043.38080963405</v>
      </c>
      <c r="HR40" s="314">
        <f>IFERROR(VLOOKUP(HR$1,PnaPr2019!$Q$82:$R$155,2,FALSE),0)</f>
        <v>11118099.281565275</v>
      </c>
      <c r="HS40" s="314">
        <f>IFERROR(VLOOKUP(HS$1,PnaPr2019!$Q$82:$R$155,2,FALSE),0)</f>
        <v>1942857.3376250905</v>
      </c>
      <c r="HT40" s="314">
        <f>IFERROR(VLOOKUP(HT$1,PnaPr2019!$Q$82:$R$155,2,FALSE),0)</f>
        <v>7066000</v>
      </c>
      <c r="HU40" s="314">
        <f>IFERROR(VLOOKUP(HU$1,PnaPr2019!$Q$82:$R$155,2,FALSE),0)</f>
        <v>6399000</v>
      </c>
      <c r="HV40" s="314">
        <f>IFERROR(VLOOKUP(HV$1,PnaPr2019!$Q$82:$R$155,2,FALSE),0)</f>
        <v>5593000</v>
      </c>
      <c r="HW40" s="314">
        <f>IFERROR(VLOOKUP(HW$1,PnaPr2019!$Q$82:$R$155,2,FALSE),0)</f>
        <v>2439562.9659980796</v>
      </c>
      <c r="HX40" s="314">
        <f>IFERROR(VLOOKUP(HX$1,PnaPr2019!$Q$82:$R$155,2,FALSE),0)</f>
        <v>6989437.0340019213</v>
      </c>
      <c r="HY40" s="314">
        <f>IFERROR(VLOOKUP(HY$1,PnaPr2019!$Q$82:$R$155,2,FALSE),0)</f>
        <v>7106000</v>
      </c>
      <c r="HZ40" s="314">
        <f>IFERROR(VLOOKUP(HZ$1,PnaPr2019!$Q$82:$R$155,2,FALSE),0)</f>
        <v>2936000</v>
      </c>
      <c r="IA40" s="314">
        <f>IFERROR(VLOOKUP(IA$1,PnaPr2019!$Q$82:$R$155,2,FALSE),0)</f>
        <v>2840000</v>
      </c>
      <c r="IB40" s="314">
        <f>IFERROR(VLOOKUP(IB$1,PnaPr2019!$Q$82:$R$155,2,FALSE),0)</f>
        <v>2938000</v>
      </c>
      <c r="IC40" s="314">
        <f>IFERROR(VLOOKUP(IC$1,PnaPr2019!$Q$82:$R$155,2,FALSE),0)</f>
        <v>4047972.8227466298</v>
      </c>
      <c r="ID40" s="314">
        <f>IFERROR(VLOOKUP(ID$1,PnaPr2019!$Q$82:$R$155,2,FALSE),0)</f>
        <v>2725027.1772533702</v>
      </c>
      <c r="IE40" s="314">
        <f>IFERROR(VLOOKUP(IE$1,PnaPr2019!$Q$82:$R$155,2,FALSE),0)</f>
        <v>4207000</v>
      </c>
      <c r="IF40" s="314">
        <f>IFERROR(VLOOKUP(IF$1,PnaPr2019!$Q$82:$R$155,2,FALSE),0)</f>
        <v>8637597.1987946387</v>
      </c>
      <c r="IG40" s="314">
        <f>IFERROR(VLOOKUP(IG$1,PnaPr2019!$Q$82:$R$155,2,FALSE),0)</f>
        <v>2788402.8012053594</v>
      </c>
      <c r="IH40" s="314">
        <f>IFERROR(VLOOKUP(IH$1,PnaPr2019!$Q$82:$R$155,2,FALSE),0)</f>
        <v>1411646.589095501</v>
      </c>
      <c r="II40" s="314">
        <f>IFERROR(VLOOKUP(II$1,PnaPr2019!$Q$82:$R$155,2,FALSE),0)</f>
        <v>6931748.0492442045</v>
      </c>
      <c r="IJ40" s="314">
        <f>IFERROR(VLOOKUP(IJ$1,PnaPr2019!$Q$82:$R$155,2,FALSE),0)</f>
        <v>767218.5338407224</v>
      </c>
      <c r="IK40" s="314">
        <f>IFERROR(VLOOKUP(IK$1,PnaPr2019!$Q$82:$R$155,2,FALSE),0)</f>
        <v>1184386.8278195728</v>
      </c>
      <c r="IL40" s="314">
        <f>IFERROR(VLOOKUP(IL$1,PnaPr2019!$Q$82:$R$155,2,FALSE),0)</f>
        <v>2984000</v>
      </c>
      <c r="IM40" s="314">
        <f>IFERROR(VLOOKUP(IM$1,PnaPr2019!$Q$82:$R$155,2,FALSE),0)</f>
        <v>166387.84282009516</v>
      </c>
      <c r="IN40" s="314">
        <f>IFERROR(VLOOKUP(IN$1,PnaPr2019!$Q$82:$R$155,2,FALSE),0)</f>
        <v>3166528.5048106513</v>
      </c>
      <c r="IO40" s="314">
        <f>IFERROR(VLOOKUP(IO$1,PnaPr2019!$Q$82:$R$155,2,FALSE),0)</f>
        <v>1216083.6523692533</v>
      </c>
      <c r="IP40" s="314">
        <f>IFERROR(VLOOKUP(IP$1,PnaPr2019!$Q$82:$R$155,2,FALSE),0)</f>
        <v>6999000</v>
      </c>
      <c r="IQ40" s="314">
        <f>IFERROR(VLOOKUP(IQ$1,PnaPr2019!$Q$82:$R$155,2,FALSE),0)</f>
        <v>7640813.6661687279</v>
      </c>
      <c r="IR40" s="314">
        <f>IFERROR(VLOOKUP(IR$1,PnaPr2019!$Q$82:$R$155,2,FALSE),0)</f>
        <v>368186.33383127127</v>
      </c>
      <c r="IS40" s="314">
        <f>IFERROR(VLOOKUP(IS$1,PnaPr2019!$Q$82:$R$155,2,FALSE),0)</f>
        <v>17317440.509968996</v>
      </c>
      <c r="IT40" s="314">
        <f>IFERROR(VLOOKUP(IT$1,PnaPr2019!$Q$82:$R$155,2,FALSE),0)</f>
        <v>4376559.490031003</v>
      </c>
      <c r="IU40" s="314">
        <f>IFERROR(VLOOKUP(IU$1,PnaPr2019!$Q$82:$R$155,2,FALSE),0)</f>
        <v>1315360.0362361365</v>
      </c>
      <c r="IV40" s="314">
        <f>IFERROR(VLOOKUP(IV$1,PnaPr2019!$Q$82:$R$155,2,FALSE),0)</f>
        <v>3157592.8188311569</v>
      </c>
      <c r="IW40" s="314">
        <f>IFERROR(VLOOKUP(IW$1,PnaPr2019!$Q$82:$R$155,2,FALSE),0)</f>
        <v>5030210.711101328</v>
      </c>
      <c r="IX40" s="314">
        <f>IFERROR(VLOOKUP(IX$1,PnaPr2019!$Q$82:$R$155,2,FALSE),0)</f>
        <v>773836.43383137882</v>
      </c>
      <c r="IY40" s="314">
        <f>IFERROR(VLOOKUP(IY$1,PnaPr2019!$Q$82:$R$155,2,FALSE),0)</f>
        <v>2915486.4471565667</v>
      </c>
      <c r="IZ40" s="314">
        <f>IFERROR(VLOOKUP(IZ$1,PnaPr2019!$Q$82:$R$155,2,FALSE),0)</f>
        <v>4776513.5528434329</v>
      </c>
      <c r="JA40" s="341">
        <f>IFERROR(VLOOKUP(JA$1,'PZ 2019'!$C$3:$T$288,$A40,FALSE),0)</f>
        <v>738641.73</v>
      </c>
      <c r="JB40" s="341">
        <f>IFERROR(VLOOKUP(JB$1,'PZ 2019'!$C$3:$T$288,$A40,FALSE),0)</f>
        <v>828174.04</v>
      </c>
      <c r="JC40" s="341">
        <f>IFERROR(VLOOKUP(JC$1,'PZ 2019'!$C$3:$T$288,$A40,FALSE),0)</f>
        <v>643778.09</v>
      </c>
      <c r="JD40" s="341">
        <f>IFERROR(VLOOKUP(JD$1,'PZ 2019'!$C$3:$T$288,$A40,FALSE),0)</f>
        <v>876588.7</v>
      </c>
      <c r="JE40" s="314">
        <f>IFERROR(VLOOKUP(JE$1,PnaPr2019!$Q$82:$R$155,2,FALSE),0)</f>
        <v>829094.14505924715</v>
      </c>
      <c r="JF40" s="314">
        <f>IFERROR(VLOOKUP(JF$1,PnaPr2019!$Q$82:$R$155,2,FALSE),0)</f>
        <v>8444905.8549407516</v>
      </c>
      <c r="JG40" s="314">
        <f>IFERROR(VLOOKUP(JG$1,PnaPr2019!$Q$82:$R$155,2,FALSE),0)</f>
        <v>9910000</v>
      </c>
      <c r="JH40" s="341">
        <f>IFERROR(VLOOKUP(JH$1,'PZ 2019'!$C$3:$T$288,$A40,FALSE),0)</f>
        <v>0</v>
      </c>
      <c r="JI40" s="314">
        <f t="shared" ref="JI40" si="54">SUM(C40:JH40)</f>
        <v>204607182.55999997</v>
      </c>
      <c r="JJ40" s="307"/>
      <c r="JK40" s="307"/>
      <c r="JL40" s="307">
        <f t="shared" si="52"/>
        <v>0</v>
      </c>
      <c r="JM40" s="307">
        <f t="shared" si="52"/>
        <v>0</v>
      </c>
      <c r="JN40" s="307">
        <f t="shared" si="52"/>
        <v>0</v>
      </c>
      <c r="JO40" s="307">
        <f t="shared" si="52"/>
        <v>204607182.55999997</v>
      </c>
      <c r="JP40" s="307">
        <f t="shared" si="53"/>
        <v>204607182.55999997</v>
      </c>
    </row>
    <row r="41" spans="1:277" ht="15.75" thickBot="1" x14ac:dyDescent="0.3">
      <c r="C41" s="314"/>
    </row>
    <row r="42" spans="1:277" ht="15.75" thickBot="1" x14ac:dyDescent="0.3">
      <c r="A42" s="554"/>
      <c r="B42" s="573" t="s">
        <v>2608</v>
      </c>
      <c r="C42" s="574">
        <f>IF(IF(C33&lt;C34,C34,C33)&lt;C43,C43,IF(C33&lt;C34,C34,C33))</f>
        <v>50000</v>
      </c>
      <c r="D42" s="574">
        <f t="shared" ref="D42:G42" si="55">IF(IF(D33&lt;D34,D34,D33)&lt;D43,D43,IF(D33&lt;D34,D34,D33))</f>
        <v>300000</v>
      </c>
      <c r="E42" s="574">
        <f t="shared" si="55"/>
        <v>180000</v>
      </c>
      <c r="F42" s="574">
        <f t="shared" si="55"/>
        <v>362000</v>
      </c>
      <c r="G42" s="574">
        <f t="shared" si="55"/>
        <v>1426500</v>
      </c>
      <c r="H42" s="574">
        <f t="shared" ref="H42" si="56">IF(IF(H33&lt;H34,H34,H33)&lt;H43,H43,IF(H33&lt;H34,H34,H33))</f>
        <v>700000</v>
      </c>
      <c r="I42" s="574">
        <f t="shared" ref="I42" si="57">IF(IF(I33&lt;I34,I34,I33)&lt;I43,I43,IF(I33&lt;I34,I34,I33))</f>
        <v>719500</v>
      </c>
      <c r="J42" s="574">
        <f t="shared" ref="J42" si="58">IF(IF(J33&lt;J34,J34,J33)&lt;J43,J43,IF(J33&lt;J34,J34,J33))</f>
        <v>99900</v>
      </c>
      <c r="K42" s="574">
        <f t="shared" ref="K42" si="59">IF(IF(K33&lt;K34,K34,K33)&lt;K43,K43,IF(K33&lt;K34,K34,K33))</f>
        <v>20000</v>
      </c>
      <c r="L42" s="574">
        <f t="shared" ref="L42" si="60">IF(IF(L33&lt;L34,L34,L33)&lt;L43,L43,IF(L33&lt;L34,L34,L33))</f>
        <v>281750</v>
      </c>
      <c r="M42" s="574">
        <f t="shared" ref="M42" si="61">IF(IF(M33&lt;M34,M34,M33)&lt;M43,M43,IF(M33&lt;M34,M34,M33))</f>
        <v>316500</v>
      </c>
      <c r="N42" s="574">
        <f t="shared" ref="N42" si="62">IF(IF(N33&lt;N34,N34,N33)&lt;N43,N43,IF(N33&lt;N34,N34,N33))</f>
        <v>549000</v>
      </c>
      <c r="O42" s="574">
        <f t="shared" ref="O42" si="63">IF(IF(O33&lt;O34,O34,O33)&lt;O43,O43,IF(O33&lt;O34,O34,O33))</f>
        <v>307500</v>
      </c>
      <c r="P42" s="574">
        <f t="shared" ref="P42" si="64">IF(IF(P33&lt;P34,P34,P33)&lt;P43,P43,IF(P33&lt;P34,P34,P33))</f>
        <v>428000</v>
      </c>
      <c r="Q42" s="574">
        <f t="shared" ref="Q42" si="65">IF(IF(Q33&lt;Q34,Q34,Q33)&lt;Q43,Q43,IF(Q33&lt;Q34,Q34,Q33))</f>
        <v>169000</v>
      </c>
      <c r="R42" s="574">
        <f t="shared" ref="R42" si="66">IF(IF(R33&lt;R34,R34,R33)&lt;R43,R43,IF(R33&lt;R34,R34,R33))</f>
        <v>456000</v>
      </c>
      <c r="S42" s="574">
        <f t="shared" ref="S42" si="67">IF(IF(S33&lt;S34,S34,S33)&lt;S43,S43,IF(S33&lt;S34,S34,S33))</f>
        <v>116084</v>
      </c>
      <c r="T42" s="574">
        <f t="shared" ref="T42" si="68">IF(IF(T33&lt;T34,T34,T33)&lt;T43,T43,IF(T33&lt;T34,T34,T33))</f>
        <v>120000</v>
      </c>
      <c r="U42" s="574">
        <f t="shared" ref="U42" si="69">IF(IF(U33&lt;U34,U34,U33)&lt;U43,U43,IF(U33&lt;U34,U34,U33))</f>
        <v>165000</v>
      </c>
      <c r="V42" s="574">
        <f t="shared" ref="V42" si="70">IF(IF(V33&lt;V34,V34,V33)&lt;V43,V43,IF(V33&lt;V34,V34,V33))</f>
        <v>4317000</v>
      </c>
      <c r="W42" s="574">
        <f t="shared" ref="W42" si="71">IF(IF(W33&lt;W34,W34,W33)&lt;W43,W43,IF(W33&lt;W34,W34,W33))</f>
        <v>934000</v>
      </c>
      <c r="X42" s="574">
        <f t="shared" ref="X42" si="72">IF(IF(X33&lt;X34,X34,X33)&lt;X43,X43,IF(X33&lt;X34,X34,X33))</f>
        <v>122000</v>
      </c>
      <c r="Y42" s="574">
        <f t="shared" ref="Y42" si="73">IF(IF(Y33&lt;Y34,Y34,Y33)&lt;Y43,Y43,IF(Y33&lt;Y34,Y34,Y33))</f>
        <v>100000</v>
      </c>
      <c r="Z42" s="574">
        <f t="shared" ref="Z42" si="74">IF(IF(Z33&lt;Z34,Z34,Z33)&lt;Z43,Z43,IF(Z33&lt;Z34,Z34,Z33))</f>
        <v>0</v>
      </c>
      <c r="AA42" s="574">
        <f t="shared" ref="AA42" si="75">IF(IF(AA33&lt;AA34,AA34,AA33)&lt;AA43,AA43,IF(AA33&lt;AA34,AA34,AA33))</f>
        <v>295000</v>
      </c>
      <c r="AB42" s="574">
        <f t="shared" ref="AB42:AC42" si="76">IF(IF(AB33&lt;AB34,AB34,AB33)&lt;AB43,AB43,IF(AB33&lt;AB34,AB34,AB33))</f>
        <v>154334.58000000002</v>
      </c>
      <c r="AC42" s="574">
        <f t="shared" si="76"/>
        <v>136928.35999999999</v>
      </c>
      <c r="AD42" s="574">
        <f t="shared" ref="AD42" si="77">IF(IF(AD33&lt;AD34,AD34,AD33)&lt;AD43,AD43,IF(AD33&lt;AD34,AD34,AD33))</f>
        <v>156800</v>
      </c>
      <c r="AE42" s="574">
        <f t="shared" ref="AE42" si="78">IF(IF(AE33&lt;AE34,AE34,AE33)&lt;AE43,AE43,IF(AE33&lt;AE34,AE34,AE33))</f>
        <v>88800</v>
      </c>
      <c r="AF42" s="574">
        <f t="shared" ref="AF42" si="79">IF(IF(AF33&lt;AF34,AF34,AF33)&lt;AF43,AF43,IF(AF33&lt;AF34,AF34,AF33))</f>
        <v>88800</v>
      </c>
      <c r="AG42" s="574">
        <f t="shared" ref="AG42" si="80">IF(IF(AG33&lt;AG34,AG34,AG33)&lt;AG43,AG43,IF(AG33&lt;AG34,AG34,AG33))</f>
        <v>267500</v>
      </c>
      <c r="AH42" s="574">
        <f t="shared" ref="AH42" si="81">IF(IF(AH33&lt;AH34,AH34,AH33)&lt;AH43,AH43,IF(AH33&lt;AH34,AH34,AH33))</f>
        <v>101700</v>
      </c>
      <c r="AI42" s="574">
        <f t="shared" ref="AI42" si="82">IF(IF(AI33&lt;AI34,AI34,AI33)&lt;AI43,AI43,IF(AI33&lt;AI34,AI34,AI33))</f>
        <v>117300</v>
      </c>
      <c r="AJ42" s="574">
        <f t="shared" ref="AJ42" si="83">IF(IF(AJ33&lt;AJ34,AJ34,AJ33)&lt;AJ43,AJ43,IF(AJ33&lt;AJ34,AJ34,AJ33))</f>
        <v>123700</v>
      </c>
      <c r="AK42" s="574">
        <f t="shared" ref="AK42" si="84">IF(IF(AK33&lt;AK34,AK34,AK33)&lt;AK43,AK43,IF(AK33&lt;AK34,AK34,AK33))</f>
        <v>0</v>
      </c>
      <c r="AL42" s="574">
        <f t="shared" ref="AL42" si="85">IF(IF(AL33&lt;AL34,AL34,AL33)&lt;AL43,AL43,IF(AL33&lt;AL34,AL34,AL33))</f>
        <v>204000</v>
      </c>
      <c r="AM42" s="574">
        <f t="shared" ref="AM42" si="86">IF(IF(AM33&lt;AM34,AM34,AM33)&lt;AM43,AM43,IF(AM33&lt;AM34,AM34,AM33))</f>
        <v>60116</v>
      </c>
      <c r="AN42" s="574">
        <f t="shared" ref="AN42" si="87">IF(IF(AN33&lt;AN34,AN34,AN33)&lt;AN43,AN43,IF(AN33&lt;AN34,AN34,AN33))</f>
        <v>95000</v>
      </c>
      <c r="AO42" s="574">
        <f t="shared" ref="AO42" si="88">IF(IF(AO33&lt;AO34,AO34,AO33)&lt;AO43,AO43,IF(AO33&lt;AO34,AO34,AO33))</f>
        <v>2581000</v>
      </c>
      <c r="AP42" s="574">
        <f t="shared" ref="AP42" si="89">IF(IF(AP33&lt;AP34,AP34,AP33)&lt;AP43,AP43,IF(AP33&lt;AP34,AP34,AP33))</f>
        <v>0</v>
      </c>
      <c r="AQ42" s="574">
        <f t="shared" ref="AQ42" si="90">IF(IF(AQ33&lt;AQ34,AQ34,AQ33)&lt;AQ43,AQ43,IF(AQ33&lt;AQ34,AQ34,AQ33))</f>
        <v>50000</v>
      </c>
      <c r="AR42" s="574">
        <f t="shared" ref="AR42" si="91">IF(IF(AR33&lt;AR34,AR34,AR33)&lt;AR43,AR43,IF(AR33&lt;AR34,AR34,AR33))</f>
        <v>139500</v>
      </c>
      <c r="AS42" s="574">
        <f t="shared" ref="AS42" si="92">IF(IF(AS33&lt;AS34,AS34,AS33)&lt;AS43,AS43,IF(AS33&lt;AS34,AS34,AS33))</f>
        <v>37000</v>
      </c>
      <c r="AT42" s="574">
        <f t="shared" ref="AT42" si="93">IF(IF(AT33&lt;AT34,AT34,AT33)&lt;AT43,AT43,IF(AT33&lt;AT34,AT34,AT33))</f>
        <v>169000</v>
      </c>
      <c r="AU42" s="574">
        <f t="shared" ref="AU42" si="94">IF(IF(AU33&lt;AU34,AU34,AU33)&lt;AU43,AU43,IF(AU33&lt;AU34,AU34,AU33))</f>
        <v>160000</v>
      </c>
      <c r="AV42" s="574">
        <f t="shared" ref="AV42" si="95">IF(IF(AV33&lt;AV34,AV34,AV33)&lt;AV43,AV43,IF(AV33&lt;AV34,AV34,AV33))</f>
        <v>117300</v>
      </c>
      <c r="AW42" s="574">
        <f t="shared" ref="AW42" si="96">IF(IF(AW33&lt;AW34,AW34,AW33)&lt;AW43,AW43,IF(AW33&lt;AW34,AW34,AW33))</f>
        <v>156400</v>
      </c>
      <c r="AX42" s="574">
        <f t="shared" ref="AX42" si="97">IF(IF(AX33&lt;AX34,AX34,AX33)&lt;AX43,AX43,IF(AX33&lt;AX34,AX34,AX33))</f>
        <v>258000</v>
      </c>
      <c r="AY42" s="574">
        <f t="shared" ref="AY42" si="98">IF(IF(AY33&lt;AY34,AY34,AY33)&lt;AY43,AY43,IF(AY33&lt;AY34,AY34,AY33))</f>
        <v>238000</v>
      </c>
      <c r="AZ42" s="574">
        <f t="shared" ref="AZ42" si="99">IF(IF(AZ33&lt;AZ34,AZ34,AZ33)&lt;AZ43,AZ43,IF(AZ33&lt;AZ34,AZ34,AZ33))</f>
        <v>156185</v>
      </c>
      <c r="BA42" s="574">
        <f t="shared" ref="BA42" si="100">IF(IF(BA33&lt;BA34,BA34,BA33)&lt;BA43,BA43,IF(BA33&lt;BA34,BA34,BA33))</f>
        <v>1120000</v>
      </c>
      <c r="BB42" s="574">
        <f t="shared" ref="BB42" si="101">IF(IF(BB33&lt;BB34,BB34,BB33)&lt;BB43,BB43,IF(BB33&lt;BB34,BB34,BB33))</f>
        <v>140000</v>
      </c>
      <c r="BC42" s="574">
        <f t="shared" ref="BC42" si="102">IF(IF(BC33&lt;BC34,BC34,BC33)&lt;BC43,BC43,IF(BC33&lt;BC34,BC34,BC33))</f>
        <v>137000</v>
      </c>
      <c r="BD42" s="574">
        <f t="shared" ref="BD42" si="103">IF(IF(BD33&lt;BD34,BD34,BD33)&lt;BD43,BD43,IF(BD33&lt;BD34,BD34,BD33))</f>
        <v>304000</v>
      </c>
      <c r="BE42" s="574">
        <f t="shared" ref="BE42" si="104">IF(IF(BE33&lt;BE34,BE34,BE33)&lt;BE43,BE43,IF(BE33&lt;BE34,BE34,BE33))</f>
        <v>176000</v>
      </c>
      <c r="BF42" s="574">
        <f t="shared" ref="BF42" si="105">IF(IF(BF33&lt;BF34,BF34,BF33)&lt;BF43,BF43,IF(BF33&lt;BF34,BF34,BF33))</f>
        <v>376000</v>
      </c>
      <c r="BG42" s="574">
        <f t="shared" ref="BG42" si="106">IF(IF(BG33&lt;BG34,BG34,BG33)&lt;BG43,BG43,IF(BG33&lt;BG34,BG34,BG33))</f>
        <v>490000</v>
      </c>
      <c r="BH42" s="574">
        <f t="shared" ref="BH42" si="107">IF(IF(BH33&lt;BH34,BH34,BH33)&lt;BH43,BH43,IF(BH33&lt;BH34,BH34,BH33))</f>
        <v>397000</v>
      </c>
      <c r="BI42" s="574">
        <f t="shared" ref="BI42" si="108">IF(IF(BI33&lt;BI34,BI34,BI33)&lt;BI43,BI43,IF(BI33&lt;BI34,BI34,BI33))</f>
        <v>100000</v>
      </c>
      <c r="BJ42" s="574">
        <f t="shared" ref="BJ42" si="109">IF(IF(BJ33&lt;BJ34,BJ34,BJ33)&lt;BJ43,BJ43,IF(BJ33&lt;BJ34,BJ34,BJ33))</f>
        <v>219000</v>
      </c>
      <c r="BK42" s="574">
        <f t="shared" ref="BK42" si="110">IF(IF(BK33&lt;BK34,BK34,BK33)&lt;BK43,BK43,IF(BK33&lt;BK34,BK34,BK33))</f>
        <v>48000</v>
      </c>
      <c r="BL42" s="574">
        <f t="shared" ref="BL42" si="111">IF(IF(BL33&lt;BL34,BL34,BL33)&lt;BL43,BL43,IF(BL33&lt;BL34,BL34,BL33))</f>
        <v>0</v>
      </c>
      <c r="BM42" s="574">
        <f t="shared" ref="BM42" si="112">IF(IF(BM33&lt;BM34,BM34,BM33)&lt;BM43,BM43,IF(BM33&lt;BM34,BM34,BM33))</f>
        <v>50000</v>
      </c>
      <c r="BN42" s="574">
        <f t="shared" ref="BN42" si="113">IF(IF(BN33&lt;BN34,BN34,BN33)&lt;BN43,BN43,IF(BN33&lt;BN34,BN34,BN33))</f>
        <v>326000</v>
      </c>
      <c r="BO42" s="574">
        <f t="shared" ref="BO42" si="114">IF(IF(BO33&lt;BO34,BO34,BO33)&lt;BO43,BO43,IF(BO33&lt;BO34,BO34,BO33))</f>
        <v>222000</v>
      </c>
      <c r="BP42" s="574">
        <f t="shared" ref="BP42" si="115">IF(IF(BP33&lt;BP34,BP34,BP33)&lt;BP43,BP43,IF(BP33&lt;BP34,BP34,BP33))</f>
        <v>777000</v>
      </c>
      <c r="BQ42" s="574">
        <f t="shared" ref="BQ42" si="116">IF(IF(BQ33&lt;BQ34,BQ34,BQ33)&lt;BQ43,BQ43,IF(BQ33&lt;BQ34,BQ34,BQ33))</f>
        <v>0</v>
      </c>
      <c r="BR42" s="574">
        <f t="shared" ref="BR42" si="117">IF(IF(BR33&lt;BR34,BR34,BR33)&lt;BR43,BR43,IF(BR33&lt;BR34,BR34,BR33))</f>
        <v>80000</v>
      </c>
      <c r="BS42" s="574">
        <f t="shared" ref="BS42" si="118">IF(IF(BS33&lt;BS34,BS34,BS33)&lt;BS43,BS43,IF(BS33&lt;BS34,BS34,BS33))</f>
        <v>230000</v>
      </c>
      <c r="BT42" s="574">
        <f t="shared" ref="BT42" si="119">IF(IF(BT33&lt;BT34,BT34,BT33)&lt;BT43,BT43,IF(BT33&lt;BT34,BT34,BT33))</f>
        <v>200000</v>
      </c>
      <c r="BU42" s="574">
        <f t="shared" ref="BU42" si="120">IF(IF(BU33&lt;BU34,BU34,BU33)&lt;BU43,BU43,IF(BU33&lt;BU34,BU34,BU33))</f>
        <v>1150000</v>
      </c>
      <c r="BV42" s="574">
        <f t="shared" ref="BV42" si="121">IF(IF(BV33&lt;BV34,BV34,BV33)&lt;BV43,BV43,IF(BV33&lt;BV34,BV34,BV33))</f>
        <v>0</v>
      </c>
      <c r="BW42" s="574">
        <f t="shared" ref="BW42" si="122">IF(IF(BW33&lt;BW34,BW34,BW33)&lt;BW43,BW43,IF(BW33&lt;BW34,BW34,BW33))</f>
        <v>0</v>
      </c>
      <c r="BX42" s="574">
        <f t="shared" ref="BX42" si="123">IF(IF(BX33&lt;BX34,BX34,BX33)&lt;BX43,BX43,IF(BX33&lt;BX34,BX34,BX33))</f>
        <v>1309761</v>
      </c>
      <c r="BY42" s="574">
        <f t="shared" ref="BY42" si="124">IF(IF(BY33&lt;BY34,BY34,BY33)&lt;BY43,BY43,IF(BY33&lt;BY34,BY34,BY33))</f>
        <v>730000</v>
      </c>
      <c r="BZ42" s="574">
        <f t="shared" ref="BZ42" si="125">IF(IF(BZ33&lt;BZ34,BZ34,BZ33)&lt;BZ43,BZ43,IF(BZ33&lt;BZ34,BZ34,BZ33))</f>
        <v>150000</v>
      </c>
      <c r="CA42" s="574">
        <f t="shared" ref="CA42" si="126">IF(IF(CA33&lt;CA34,CA34,CA33)&lt;CA43,CA43,IF(CA33&lt;CA34,CA34,CA33))</f>
        <v>0</v>
      </c>
      <c r="CB42" s="574">
        <f t="shared" ref="CB42" si="127">IF(IF(CB33&lt;CB34,CB34,CB33)&lt;CB43,CB43,IF(CB33&lt;CB34,CB34,CB33))</f>
        <v>0</v>
      </c>
      <c r="CC42" s="574">
        <f t="shared" ref="CC42" si="128">IF(IF(CC33&lt;CC34,CC34,CC33)&lt;CC43,CC43,IF(CC33&lt;CC34,CC34,CC33))</f>
        <v>404000</v>
      </c>
      <c r="CD42" s="574">
        <f t="shared" ref="CD42" si="129">IF(IF(CD33&lt;CD34,CD34,CD33)&lt;CD43,CD43,IF(CD33&lt;CD34,CD34,CD33))</f>
        <v>156000</v>
      </c>
      <c r="CE42" s="574">
        <f t="shared" ref="CE42" si="130">IF(IF(CE33&lt;CE34,CE34,CE33)&lt;CE43,CE43,IF(CE33&lt;CE34,CE34,CE33))</f>
        <v>4381300</v>
      </c>
      <c r="CF42" s="574">
        <f t="shared" ref="CF42" si="131">IF(IF(CF33&lt;CF34,CF34,CF33)&lt;CF43,CF43,IF(CF33&lt;CF34,CF34,CF33))</f>
        <v>366900</v>
      </c>
      <c r="CG42" s="574">
        <f t="shared" ref="CG42" si="132">IF(IF(CG33&lt;CG34,CG34,CG33)&lt;CG43,CG43,IF(CG33&lt;CG34,CG34,CG33))</f>
        <v>1830000</v>
      </c>
      <c r="CH42" s="574">
        <f t="shared" ref="CH42" si="133">IF(IF(CH33&lt;CH34,CH34,CH33)&lt;CH43,CH43,IF(CH33&lt;CH34,CH34,CH33))</f>
        <v>890000</v>
      </c>
      <c r="CI42" s="574">
        <f t="shared" ref="CI42" si="134">IF(IF(CI33&lt;CI34,CI34,CI33)&lt;CI43,CI43,IF(CI33&lt;CI34,CI34,CI33))</f>
        <v>200000</v>
      </c>
      <c r="CJ42" s="574">
        <f t="shared" ref="CJ42" si="135">IF(IF(CJ33&lt;CJ34,CJ34,CJ33)&lt;CJ43,CJ43,IF(CJ33&lt;CJ34,CJ34,CJ33))</f>
        <v>812000</v>
      </c>
      <c r="CK42" s="574">
        <f t="shared" ref="CK42" si="136">IF(IF(CK33&lt;CK34,CK34,CK33)&lt;CK43,CK43,IF(CK33&lt;CK34,CK34,CK33))</f>
        <v>599000</v>
      </c>
      <c r="CL42" s="574">
        <f t="shared" ref="CL42" si="137">IF(IF(CL33&lt;CL34,CL34,CL33)&lt;CL43,CL43,IF(CL33&lt;CL34,CL34,CL33))</f>
        <v>521000</v>
      </c>
      <c r="CM42" s="574">
        <f t="shared" ref="CM42" si="138">IF(IF(CM33&lt;CM34,CM34,CM33)&lt;CM43,CM43,IF(CM33&lt;CM34,CM34,CM33))</f>
        <v>939500</v>
      </c>
      <c r="CN42" s="574">
        <f t="shared" ref="CN42" si="139">IF(IF(CN33&lt;CN34,CN34,CN33)&lt;CN43,CN43,IF(CN33&lt;CN34,CN34,CN33))</f>
        <v>165000</v>
      </c>
      <c r="CO42" s="574">
        <f t="shared" ref="CO42" si="140">IF(IF(CO33&lt;CO34,CO34,CO33)&lt;CO43,CO43,IF(CO33&lt;CO34,CO34,CO33))</f>
        <v>250000</v>
      </c>
      <c r="CP42" s="574">
        <f t="shared" ref="CP42" si="141">IF(IF(CP33&lt;CP34,CP34,CP33)&lt;CP43,CP43,IF(CP33&lt;CP34,CP34,CP33))</f>
        <v>215000</v>
      </c>
      <c r="CQ42" s="574">
        <f t="shared" ref="CQ42" si="142">IF(IF(CQ33&lt;CQ34,CQ34,CQ33)&lt;CQ43,CQ43,IF(CQ33&lt;CQ34,CQ34,CQ33))</f>
        <v>740000</v>
      </c>
      <c r="CR42" s="574">
        <f t="shared" ref="CR42" si="143">IF(IF(CR33&lt;CR34,CR34,CR33)&lt;CR43,CR43,IF(CR33&lt;CR34,CR34,CR33))</f>
        <v>50000</v>
      </c>
      <c r="CS42" s="574">
        <f t="shared" ref="CS42" si="144">IF(IF(CS33&lt;CS34,CS34,CS33)&lt;CS43,CS43,IF(CS33&lt;CS34,CS34,CS33))</f>
        <v>0</v>
      </c>
      <c r="CT42" s="574">
        <f t="shared" ref="CT42" si="145">IF(IF(CT33&lt;CT34,CT34,CT33)&lt;CT43,CT43,IF(CT33&lt;CT34,CT34,CT33))</f>
        <v>600000</v>
      </c>
      <c r="CU42" s="574">
        <f t="shared" ref="CU42" si="146">IF(IF(CU33&lt;CU34,CU34,CU33)&lt;CU43,CU43,IF(CU33&lt;CU34,CU34,CU33))</f>
        <v>91500</v>
      </c>
      <c r="CV42" s="574">
        <f t="shared" ref="CV42" si="147">IF(IF(CV33&lt;CV34,CV34,CV33)&lt;CV43,CV43,IF(CV33&lt;CV34,CV34,CV33))</f>
        <v>128500</v>
      </c>
      <c r="CW42" s="574">
        <f t="shared" ref="CW42" si="148">IF(IF(CW33&lt;CW34,CW34,CW33)&lt;CW43,CW43,IF(CW33&lt;CW34,CW34,CW33))</f>
        <v>0</v>
      </c>
      <c r="CX42" s="574">
        <f t="shared" ref="CX42" si="149">IF(IF(CX33&lt;CX34,CX34,CX33)&lt;CX43,CX43,IF(CX33&lt;CX34,CX34,CX33))</f>
        <v>373468</v>
      </c>
      <c r="CY42" s="574">
        <f t="shared" ref="CY42" si="150">IF(IF(CY33&lt;CY34,CY34,CY33)&lt;CY43,CY43,IF(CY33&lt;CY34,CY34,CY33))</f>
        <v>277673</v>
      </c>
      <c r="CZ42" s="574">
        <f t="shared" ref="CZ42" si="151">IF(IF(CZ33&lt;CZ34,CZ34,CZ33)&lt;CZ43,CZ43,IF(CZ33&lt;CZ34,CZ34,CZ33))</f>
        <v>50000</v>
      </c>
      <c r="DA42" s="574">
        <f t="shared" ref="DA42" si="152">IF(IF(DA33&lt;DA34,DA34,DA33)&lt;DA43,DA43,IF(DA33&lt;DA34,DA34,DA33))</f>
        <v>0</v>
      </c>
      <c r="DB42" s="574">
        <f t="shared" ref="DB42" si="153">IF(IF(DB33&lt;DB34,DB34,DB33)&lt;DB43,DB43,IF(DB33&lt;DB34,DB34,DB33))</f>
        <v>200000</v>
      </c>
      <c r="DC42" s="574">
        <f t="shared" ref="DC42" si="154">IF(IF(DC33&lt;DC34,DC34,DC33)&lt;DC43,DC43,IF(DC33&lt;DC34,DC34,DC33))</f>
        <v>265000</v>
      </c>
      <c r="DD42" s="574">
        <f t="shared" ref="DD42" si="155">IF(IF(DD33&lt;DD34,DD34,DD33)&lt;DD43,DD43,IF(DD33&lt;DD34,DD34,DD33))</f>
        <v>215000</v>
      </c>
      <c r="DE42" s="574">
        <f t="shared" ref="DE42" si="156">IF(IF(DE33&lt;DE34,DE34,DE33)&lt;DE43,DE43,IF(DE33&lt;DE34,DE34,DE33))</f>
        <v>235000</v>
      </c>
      <c r="DF42" s="574">
        <f t="shared" ref="DF42" si="157">IF(IF(DF33&lt;DF34,DF34,DF33)&lt;DF43,DF43,IF(DF33&lt;DF34,DF34,DF33))</f>
        <v>450000</v>
      </c>
      <c r="DG42" s="574">
        <f t="shared" ref="DG42" si="158">IF(IF(DG33&lt;DG34,DG34,DG33)&lt;DG43,DG43,IF(DG33&lt;DG34,DG34,DG33))</f>
        <v>0</v>
      </c>
      <c r="DH42" s="574">
        <f t="shared" ref="DH42" si="159">IF(IF(DH33&lt;DH34,DH34,DH33)&lt;DH43,DH43,IF(DH33&lt;DH34,DH34,DH33))</f>
        <v>105200</v>
      </c>
      <c r="DI42" s="574">
        <f t="shared" ref="DI42" si="160">IF(IF(DI33&lt;DI34,DI34,DI33)&lt;DI43,DI43,IF(DI33&lt;DI34,DI34,DI33))</f>
        <v>33480</v>
      </c>
      <c r="DJ42" s="574">
        <f t="shared" ref="DJ42" si="161">IF(IF(DJ33&lt;DJ34,DJ34,DJ33)&lt;DJ43,DJ43,IF(DJ33&lt;DJ34,DJ34,DJ33))</f>
        <v>90000</v>
      </c>
      <c r="DK42" s="574">
        <f t="shared" ref="DK42" si="162">IF(IF(DK33&lt;DK34,DK34,DK33)&lt;DK43,DK43,IF(DK33&lt;DK34,DK34,DK33))</f>
        <v>42480</v>
      </c>
      <c r="DL42" s="574">
        <f t="shared" ref="DL42" si="163">IF(IF(DL33&lt;DL34,DL34,DL33)&lt;DL43,DL43,IF(DL33&lt;DL34,DL34,DL33))</f>
        <v>1452000</v>
      </c>
      <c r="DM42" s="574">
        <f t="shared" ref="DM42" si="164">IF(IF(DM33&lt;DM34,DM34,DM33)&lt;DM43,DM43,IF(DM33&lt;DM34,DM34,DM33))</f>
        <v>508000</v>
      </c>
      <c r="DN42" s="574">
        <f t="shared" ref="DN42" si="165">IF(IF(DN33&lt;DN34,DN34,DN33)&lt;DN43,DN43,IF(DN33&lt;DN34,DN34,DN33))</f>
        <v>554000</v>
      </c>
      <c r="DO42" s="574">
        <f t="shared" ref="DO42" si="166">IF(IF(DO33&lt;DO34,DO34,DO33)&lt;DO43,DO43,IF(DO33&lt;DO34,DO34,DO33))</f>
        <v>0</v>
      </c>
      <c r="DP42" s="574">
        <f t="shared" ref="DP42" si="167">IF(IF(DP33&lt;DP34,DP34,DP33)&lt;DP43,DP43,IF(DP33&lt;DP34,DP34,DP33))</f>
        <v>415000</v>
      </c>
      <c r="DQ42" s="574">
        <f t="shared" ref="DQ42" si="168">IF(IF(DQ33&lt;DQ34,DQ34,DQ33)&lt;DQ43,DQ43,IF(DQ33&lt;DQ34,DQ34,DQ33))</f>
        <v>330000</v>
      </c>
      <c r="DR42" s="574">
        <f t="shared" ref="DR42" si="169">IF(IF(DR33&lt;DR34,DR34,DR33)&lt;DR43,DR43,IF(DR33&lt;DR34,DR34,DR33))</f>
        <v>54000</v>
      </c>
      <c r="DS42" s="574">
        <f t="shared" ref="DS42" si="170">IF(IF(DS33&lt;DS34,DS34,DS33)&lt;DS43,DS43,IF(DS33&lt;DS34,DS34,DS33))</f>
        <v>0</v>
      </c>
      <c r="DT42" s="574">
        <f t="shared" ref="DT42" si="171">IF(IF(DT33&lt;DT34,DT34,DT33)&lt;DT43,DT43,IF(DT33&lt;DT34,DT34,DT33))</f>
        <v>50000</v>
      </c>
      <c r="DU42" s="574">
        <f t="shared" ref="DU42" si="172">IF(IF(DU33&lt;DU34,DU34,DU33)&lt;DU43,DU43,IF(DU33&lt;DU34,DU34,DU33))</f>
        <v>260000</v>
      </c>
      <c r="DV42" s="574">
        <f t="shared" ref="DV42" si="173">IF(IF(DV33&lt;DV34,DV34,DV33)&lt;DV43,DV43,IF(DV33&lt;DV34,DV34,DV33))</f>
        <v>600000</v>
      </c>
      <c r="DW42" s="574">
        <f t="shared" ref="DW42" si="174">IF(IF(DW33&lt;DW34,DW34,DW33)&lt;DW43,DW43,IF(DW33&lt;DW34,DW34,DW33))</f>
        <v>165000</v>
      </c>
      <c r="DX42" s="574">
        <f t="shared" ref="DX42" si="175">IF(IF(DX33&lt;DX34,DX34,DX33)&lt;DX43,DX43,IF(DX33&lt;DX34,DX34,DX33))</f>
        <v>455000</v>
      </c>
      <c r="DY42" s="574">
        <f t="shared" ref="DY42" si="176">IF(IF(DY33&lt;DY34,DY34,DY33)&lt;DY43,DY43,IF(DY33&lt;DY34,DY34,DY33))</f>
        <v>150000</v>
      </c>
      <c r="DZ42" s="574">
        <f t="shared" ref="DZ42" si="177">IF(IF(DZ33&lt;DZ34,DZ34,DZ33)&lt;DZ43,DZ43,IF(DZ33&lt;DZ34,DZ34,DZ33))</f>
        <v>0</v>
      </c>
      <c r="EA42" s="574">
        <f t="shared" ref="EA42" si="178">IF(IF(EA33&lt;EA34,EA34,EA33)&lt;EA43,EA43,IF(EA33&lt;EA34,EA34,EA33))</f>
        <v>130000</v>
      </c>
      <c r="EB42" s="574">
        <f t="shared" ref="EB42" si="179">IF(IF(EB33&lt;EB34,EB34,EB33)&lt;EB43,EB43,IF(EB33&lt;EB34,EB34,EB33))</f>
        <v>225000</v>
      </c>
      <c r="EC42" s="574">
        <f t="shared" ref="EC42" si="180">IF(IF(EC33&lt;EC34,EC34,EC33)&lt;EC43,EC43,IF(EC33&lt;EC34,EC34,EC33))</f>
        <v>121000</v>
      </c>
      <c r="ED42" s="574">
        <f t="shared" ref="ED42" si="181">IF(IF(ED33&lt;ED34,ED34,ED33)&lt;ED43,ED43,IF(ED33&lt;ED34,ED34,ED33))</f>
        <v>391000</v>
      </c>
      <c r="EE42" s="574">
        <f t="shared" ref="EE42" si="182">IF(IF(EE33&lt;EE34,EE34,EE33)&lt;EE43,EE43,IF(EE33&lt;EE34,EE34,EE33))</f>
        <v>110000</v>
      </c>
      <c r="EF42" s="574">
        <f t="shared" ref="EF42" si="183">IF(IF(EF33&lt;EF34,EF34,EF33)&lt;EF43,EF43,IF(EF33&lt;EF34,EF34,EF33))</f>
        <v>115000</v>
      </c>
      <c r="EG42" s="574">
        <f t="shared" ref="EG42" si="184">IF(IF(EG33&lt;EG34,EG34,EG33)&lt;EG43,EG43,IF(EG33&lt;EG34,EG34,EG33))</f>
        <v>10000</v>
      </c>
      <c r="EH42" s="574">
        <f t="shared" ref="EH42" si="185">IF(IF(EH33&lt;EH34,EH34,EH33)&lt;EH43,EH43,IF(EH33&lt;EH34,EH34,EH33))</f>
        <v>80000</v>
      </c>
      <c r="EI42" s="574">
        <f t="shared" ref="EI42" si="186">IF(IF(EI33&lt;EI34,EI34,EI33)&lt;EI43,EI43,IF(EI33&lt;EI34,EI34,EI33))</f>
        <v>122000</v>
      </c>
      <c r="EJ42" s="574">
        <f t="shared" ref="EJ42" si="187">IF(IF(EJ33&lt;EJ34,EJ34,EJ33)&lt;EJ43,EJ43,IF(EJ33&lt;EJ34,EJ34,EJ33))</f>
        <v>78000</v>
      </c>
      <c r="EK42" s="574">
        <f t="shared" ref="EK42" si="188">IF(IF(EK33&lt;EK34,EK34,EK33)&lt;EK43,EK43,IF(EK33&lt;EK34,EK34,EK33))</f>
        <v>659000</v>
      </c>
      <c r="EL42" s="574">
        <f t="shared" ref="EL42" si="189">IF(IF(EL33&lt;EL34,EL34,EL33)&lt;EL43,EL43,IF(EL33&lt;EL34,EL34,EL33))</f>
        <v>3015000</v>
      </c>
      <c r="EM42" s="574">
        <f t="shared" ref="EM42" si="190">IF(IF(EM33&lt;EM34,EM34,EM33)&lt;EM43,EM43,IF(EM33&lt;EM34,EM34,EM33))</f>
        <v>581000</v>
      </c>
      <c r="EN42" s="574">
        <f t="shared" ref="EN42" si="191">IF(IF(EN33&lt;EN34,EN34,EN33)&lt;EN43,EN43,IF(EN33&lt;EN34,EN34,EN33))</f>
        <v>0</v>
      </c>
      <c r="EO42" s="574">
        <f t="shared" ref="EO42" si="192">IF(IF(EO33&lt;EO34,EO34,EO33)&lt;EO43,EO43,IF(EO33&lt;EO34,EO34,EO33))</f>
        <v>15000</v>
      </c>
      <c r="EP42" s="574">
        <f t="shared" ref="EP42" si="193">IF(IF(EP33&lt;EP34,EP34,EP33)&lt;EP43,EP43,IF(EP33&lt;EP34,EP34,EP33))</f>
        <v>202000</v>
      </c>
      <c r="EQ42" s="574">
        <f t="shared" ref="EQ42" si="194">IF(IF(EQ33&lt;EQ34,EQ34,EQ33)&lt;EQ43,EQ43,IF(EQ33&lt;EQ34,EQ34,EQ33))</f>
        <v>40000</v>
      </c>
      <c r="ER42" s="574">
        <f t="shared" ref="ER42" si="195">IF(IF(ER33&lt;ER34,ER34,ER33)&lt;ER43,ER43,IF(ER33&lt;ER34,ER34,ER33))</f>
        <v>4235000</v>
      </c>
      <c r="ES42" s="574">
        <f t="shared" ref="ES42" si="196">IF(IF(ES33&lt;ES34,ES34,ES33)&lt;ES43,ES43,IF(ES33&lt;ES34,ES34,ES33))</f>
        <v>1619100</v>
      </c>
      <c r="ET42" s="574">
        <f t="shared" ref="ET42" si="197">IF(IF(ET33&lt;ET34,ET34,ET33)&lt;ET43,ET43,IF(ET33&lt;ET34,ET34,ET33))</f>
        <v>0</v>
      </c>
      <c r="EU42" s="574">
        <f t="shared" ref="EU42" si="198">IF(IF(EU33&lt;EU34,EU34,EU33)&lt;EU43,EU43,IF(EU33&lt;EU34,EU34,EU33))</f>
        <v>12000</v>
      </c>
      <c r="EV42" s="574">
        <f t="shared" ref="EV42" si="199">IF(IF(EV33&lt;EV34,EV34,EV33)&lt;EV43,EV43,IF(EV33&lt;EV34,EV34,EV33))</f>
        <v>265000</v>
      </c>
      <c r="EW42" s="574">
        <f t="shared" ref="EW42" si="200">IF(IF(EW33&lt;EW34,EW34,EW33)&lt;EW43,EW43,IF(EW33&lt;EW34,EW34,EW33))</f>
        <v>2210000</v>
      </c>
      <c r="EX42" s="574">
        <f t="shared" ref="EX42" si="201">IF(IF(EX33&lt;EX34,EX34,EX33)&lt;EX43,EX43,IF(EX33&lt;EX34,EX34,EX33))</f>
        <v>3600000</v>
      </c>
      <c r="EY42" s="574">
        <f t="shared" ref="EY42" si="202">IF(IF(EY33&lt;EY34,EY34,EY33)&lt;EY43,EY43,IF(EY33&lt;EY34,EY34,EY33))</f>
        <v>1460000</v>
      </c>
      <c r="EZ42" s="574">
        <f t="shared" ref="EZ42" si="203">IF(IF(EZ33&lt;EZ34,EZ34,EZ33)&lt;EZ43,EZ43,IF(EZ33&lt;EZ34,EZ34,EZ33))</f>
        <v>1761805</v>
      </c>
      <c r="FA42" s="574">
        <f t="shared" ref="FA42" si="204">IF(IF(FA33&lt;FA34,FA34,FA33)&lt;FA43,FA43,IF(FA33&lt;FA34,FA34,FA33))</f>
        <v>996261</v>
      </c>
      <c r="FB42" s="574">
        <f t="shared" ref="FB42" si="205">IF(IF(FB33&lt;FB34,FB34,FB33)&lt;FB43,FB43,IF(FB33&lt;FB34,FB34,FB33))</f>
        <v>0</v>
      </c>
      <c r="FC42" s="574">
        <f t="shared" ref="FC42" si="206">IF(IF(FC33&lt;FC34,FC34,FC33)&lt;FC43,FC43,IF(FC33&lt;FC34,FC34,FC33))</f>
        <v>5962000</v>
      </c>
      <c r="FD42" s="574">
        <f t="shared" ref="FD42" si="207">IF(IF(FD33&lt;FD34,FD34,FD33)&lt;FD43,FD43,IF(FD33&lt;FD34,FD34,FD33))</f>
        <v>1552100</v>
      </c>
      <c r="FE42" s="574">
        <f t="shared" ref="FE42" si="208">IF(IF(FE33&lt;FE34,FE34,FE33)&lt;FE43,FE43,IF(FE33&lt;FE34,FE34,FE33))</f>
        <v>832200</v>
      </c>
      <c r="FF42" s="574">
        <f t="shared" ref="FF42" si="209">IF(IF(FF33&lt;FF34,FF34,FF33)&lt;FF43,FF43,IF(FF33&lt;FF34,FF34,FF33))</f>
        <v>1000000</v>
      </c>
      <c r="FG42" s="574">
        <f t="shared" ref="FG42" si="210">IF(IF(FG33&lt;FG34,FG34,FG33)&lt;FG43,FG43,IF(FG33&lt;FG34,FG34,FG33))</f>
        <v>2431500</v>
      </c>
      <c r="FH42" s="574">
        <f t="shared" ref="FH42" si="211">IF(IF(FH33&lt;FH34,FH34,FH33)&lt;FH43,FH43,IF(FH33&lt;FH34,FH34,FH33))</f>
        <v>1641500</v>
      </c>
      <c r="FI42" s="574">
        <f t="shared" ref="FI42" si="212">IF(IF(FI33&lt;FI34,FI34,FI33)&lt;FI43,FI43,IF(FI33&lt;FI34,FI34,FI33))</f>
        <v>1800000</v>
      </c>
      <c r="FJ42" s="574">
        <f t="shared" ref="FJ42" si="213">IF(IF(FJ33&lt;FJ34,FJ34,FJ33)&lt;FJ43,FJ43,IF(FJ33&lt;FJ34,FJ34,FJ33))</f>
        <v>1177383</v>
      </c>
      <c r="FK42" s="574">
        <f t="shared" ref="FK42" si="214">IF(IF(FK33&lt;FK34,FK34,FK33)&lt;FK43,FK43,IF(FK33&lt;FK34,FK34,FK33))</f>
        <v>633403</v>
      </c>
      <c r="FL42" s="574">
        <f t="shared" ref="FL42" si="215">IF(IF(FL33&lt;FL34,FL34,FL33)&lt;FL43,FL43,IF(FL33&lt;FL34,FL34,FL33))</f>
        <v>500000</v>
      </c>
      <c r="FM42" s="574">
        <f t="shared" ref="FM42" si="216">IF(IF(FM33&lt;FM34,FM34,FM33)&lt;FM43,FM43,IF(FM33&lt;FM34,FM34,FM33))</f>
        <v>1813013</v>
      </c>
      <c r="FN42" s="574">
        <f t="shared" ref="FN42" si="217">IF(IF(FN33&lt;FN34,FN34,FN33)&lt;FN43,FN43,IF(FN33&lt;FN34,FN34,FN33))</f>
        <v>1288895</v>
      </c>
      <c r="FO42" s="574">
        <f t="shared" ref="FO42" si="218">IF(IF(FO33&lt;FO34,FO34,FO33)&lt;FO43,FO43,IF(FO33&lt;FO34,FO34,FO33))</f>
        <v>1078183</v>
      </c>
      <c r="FP42" s="574">
        <f t="shared" ref="FP42" si="219">IF(IF(FP33&lt;FP34,FP34,FP33)&lt;FP43,FP43,IF(FP33&lt;FP34,FP34,FP33))</f>
        <v>4524544</v>
      </c>
      <c r="FQ42" s="574">
        <f t="shared" ref="FQ42" si="220">IF(IF(FQ33&lt;FQ34,FQ34,FQ33)&lt;FQ43,FQ43,IF(FQ33&lt;FQ34,FQ34,FQ33))</f>
        <v>118200</v>
      </c>
      <c r="FR42" s="574">
        <f t="shared" ref="FR42" si="221">IF(IF(FR33&lt;FR34,FR34,FR33)&lt;FR43,FR43,IF(FR33&lt;FR34,FR34,FR33))</f>
        <v>0</v>
      </c>
      <c r="FS42" s="574">
        <f t="shared" ref="FS42" si="222">IF(IF(FS33&lt;FS34,FS34,FS33)&lt;FS43,FS43,IF(FS33&lt;FS34,FS34,FS33))</f>
        <v>207067</v>
      </c>
      <c r="FT42" s="574">
        <f t="shared" ref="FT42" si="223">IF(IF(FT33&lt;FT34,FT34,FT33)&lt;FT43,FT43,IF(FT33&lt;FT34,FT34,FT33))</f>
        <v>2240223.16</v>
      </c>
      <c r="FU42" s="574">
        <f t="shared" ref="FU42" si="224">IF(IF(FU33&lt;FU34,FU34,FU33)&lt;FU43,FU43,IF(FU33&lt;FU34,FU34,FU33))</f>
        <v>204301</v>
      </c>
      <c r="FV42" s="574">
        <f t="shared" ref="FV42" si="225">IF(IF(FV33&lt;FV34,FV34,FV33)&lt;FV43,FV43,IF(FV33&lt;FV34,FV34,FV33))</f>
        <v>1668344</v>
      </c>
      <c r="FW42" s="574">
        <f t="shared" ref="FW42" si="226">IF(IF(FW33&lt;FW34,FW34,FW33)&lt;FW43,FW43,IF(FW33&lt;FW34,FW34,FW33))</f>
        <v>621321</v>
      </c>
      <c r="FX42" s="574">
        <f t="shared" ref="FX42" si="227">IF(IF(FX33&lt;FX34,FX34,FX33)&lt;FX43,FX43,IF(FX33&lt;FX34,FX34,FX33))</f>
        <v>402204.18</v>
      </c>
      <c r="FY42" s="574">
        <f t="shared" ref="FY42" si="228">IF(IF(FY33&lt;FY34,FY34,FY33)&lt;FY43,FY43,IF(FY33&lt;FY34,FY34,FY33))</f>
        <v>147190</v>
      </c>
      <c r="FZ42" s="574">
        <f t="shared" ref="FZ42" si="229">IF(IF(FZ33&lt;FZ34,FZ34,FZ33)&lt;FZ43,FZ43,IF(FZ33&lt;FZ34,FZ34,FZ33))</f>
        <v>5408290</v>
      </c>
      <c r="GA42" s="574">
        <f t="shared" ref="GA42" si="230">IF(IF(GA33&lt;GA34,GA34,GA33)&lt;GA43,GA43,IF(GA33&lt;GA34,GA34,GA33))</f>
        <v>1110750</v>
      </c>
      <c r="GB42" s="574">
        <f t="shared" ref="GB42" si="231">IF(IF(GB33&lt;GB34,GB34,GB33)&lt;GB43,GB43,IF(GB33&lt;GB34,GB34,GB33))</f>
        <v>4161580</v>
      </c>
      <c r="GC42" s="574">
        <f t="shared" ref="GC42" si="232">IF(IF(GC33&lt;GC34,GC34,GC33)&lt;GC43,GC43,IF(GC33&lt;GC34,GC34,GC33))</f>
        <v>1427000</v>
      </c>
      <c r="GD42" s="574">
        <f t="shared" ref="GD42" si="233">IF(IF(GD33&lt;GD34,GD34,GD33)&lt;GD43,GD43,IF(GD33&lt;GD34,GD34,GD33))</f>
        <v>3850000</v>
      </c>
      <c r="GE42" s="574">
        <f t="shared" ref="GE42" si="234">IF(IF(GE33&lt;GE34,GE34,GE33)&lt;GE43,GE43,IF(GE33&lt;GE34,GE34,GE33))</f>
        <v>867259</v>
      </c>
      <c r="GF42" s="574">
        <f t="shared" ref="GF42" si="235">IF(IF(GF33&lt;GF34,GF34,GF33)&lt;GF43,GF43,IF(GF33&lt;GF34,GF34,GF33))</f>
        <v>1561000</v>
      </c>
      <c r="GG42" s="574">
        <f t="shared" ref="GG42" si="236">IF(IF(GG33&lt;GG34,GG34,GG33)&lt;GG43,GG43,IF(GG33&lt;GG34,GG34,GG33))</f>
        <v>900000</v>
      </c>
      <c r="GH42" s="574">
        <f t="shared" ref="GH42" si="237">IF(IF(GH33&lt;GH34,GH34,GH33)&lt;GH43,GH43,IF(GH33&lt;GH34,GH34,GH33))</f>
        <v>480000</v>
      </c>
      <c r="GI42" s="574">
        <f t="shared" ref="GI42" si="238">IF(IF(GI33&lt;GI34,GI34,GI33)&lt;GI43,GI43,IF(GI33&lt;GI34,GI34,GI33))</f>
        <v>7145000</v>
      </c>
      <c r="GJ42" s="574">
        <f t="shared" ref="GJ42" si="239">IF(IF(GJ33&lt;GJ34,GJ34,GJ33)&lt;GJ43,GJ43,IF(GJ33&lt;GJ34,GJ34,GJ33))</f>
        <v>991270</v>
      </c>
      <c r="GK42" s="574">
        <f t="shared" ref="GK42" si="240">IF(IF(GK33&lt;GK34,GK34,GK33)&lt;GK43,GK43,IF(GK33&lt;GK34,GK34,GK33))</f>
        <v>742000</v>
      </c>
      <c r="GL42" s="574">
        <f t="shared" ref="GL42" si="241">IF(IF(GL33&lt;GL34,GL34,GL33)&lt;GL43,GL43,IF(GL33&lt;GL34,GL34,GL33))</f>
        <v>653000</v>
      </c>
      <c r="GM42" s="574">
        <f t="shared" ref="GM42" si="242">IF(IF(GM33&lt;GM34,GM34,GM33)&lt;GM43,GM43,IF(GM33&lt;GM34,GM34,GM33))</f>
        <v>595000</v>
      </c>
      <c r="GN42" s="574">
        <f t="shared" ref="GN42" si="243">IF(IF(GN33&lt;GN34,GN34,GN33)&lt;GN43,GN43,IF(GN33&lt;GN34,GN34,GN33))</f>
        <v>206397.66</v>
      </c>
      <c r="GO42" s="574">
        <f t="shared" ref="GO42" si="244">IF(IF(GO33&lt;GO34,GO34,GO33)&lt;GO43,GO43,IF(GO33&lt;GO34,GO34,GO33))</f>
        <v>1504000</v>
      </c>
      <c r="GP42" s="574">
        <f t="shared" ref="GP42" si="245">IF(IF(GP33&lt;GP34,GP34,GP33)&lt;GP43,GP43,IF(GP33&lt;GP34,GP34,GP33))</f>
        <v>1078336</v>
      </c>
      <c r="GQ42" s="574">
        <f t="shared" ref="GQ42" si="246">IF(IF(GQ33&lt;GQ34,GQ34,GQ33)&lt;GQ43,GQ43,IF(GQ33&lt;GQ34,GQ34,GQ33))</f>
        <v>1066404</v>
      </c>
      <c r="GR42" s="574">
        <f t="shared" ref="GR42" si="247">IF(IF(GR33&lt;GR34,GR34,GR33)&lt;GR43,GR43,IF(GR33&lt;GR34,GR34,GR33))</f>
        <v>1293990</v>
      </c>
      <c r="GS42" s="574">
        <f t="shared" ref="GS42" si="248">IF(IF(GS33&lt;GS34,GS34,GS33)&lt;GS43,GS43,IF(GS33&lt;GS34,GS34,GS33))</f>
        <v>849738.18</v>
      </c>
      <c r="GT42" s="574">
        <f t="shared" ref="GT42" si="249">IF(IF(GT33&lt;GT34,GT34,GT33)&lt;GT43,GT43,IF(GT33&lt;GT34,GT34,GT33))</f>
        <v>5804362</v>
      </c>
      <c r="GU42" s="574">
        <f t="shared" ref="GU42" si="250">IF(IF(GU33&lt;GU34,GU34,GU33)&lt;GU43,GU43,IF(GU33&lt;GU34,GU34,GU33))</f>
        <v>480000</v>
      </c>
      <c r="GV42" s="574">
        <f t="shared" ref="GV42" si="251">IF(IF(GV33&lt;GV34,GV34,GV33)&lt;GV43,GV43,IF(GV33&lt;GV34,GV34,GV33))</f>
        <v>2636744.54</v>
      </c>
      <c r="GW42" s="574">
        <f t="shared" ref="GW42" si="252">IF(IF(GW33&lt;GW34,GW34,GW33)&lt;GW43,GW43,IF(GW33&lt;GW34,GW34,GW33))</f>
        <v>1188833</v>
      </c>
      <c r="GX42" s="574">
        <f t="shared" ref="GX42" si="253">IF(IF(GX33&lt;GX34,GX34,GX33)&lt;GX43,GX43,IF(GX33&lt;GX34,GX34,GX33))</f>
        <v>503673.85</v>
      </c>
      <c r="GY42" s="574">
        <f t="shared" ref="GY42" si="254">IF(IF(GY33&lt;GY34,GY34,GY33)&lt;GY43,GY43,IF(GY33&lt;GY34,GY34,GY33))</f>
        <v>12590000</v>
      </c>
      <c r="GZ42" s="574">
        <f t="shared" ref="GZ42" si="255">IF(IF(GZ33&lt;GZ34,GZ34,GZ33)&lt;GZ43,GZ43,IF(GZ33&lt;GZ34,GZ34,GZ33))</f>
        <v>0</v>
      </c>
      <c r="HA42" s="574">
        <f t="shared" ref="HA42" si="256">IF(IF(HA33&lt;HA34,HA34,HA33)&lt;HA43,HA43,IF(HA33&lt;HA34,HA34,HA33))</f>
        <v>7000000</v>
      </c>
      <c r="HB42" s="574">
        <f t="shared" ref="HB42" si="257">IF(IF(HB33&lt;HB34,HB34,HB33)&lt;HB43,HB43,IF(HB33&lt;HB34,HB34,HB33))</f>
        <v>9050000</v>
      </c>
      <c r="HC42" s="574">
        <f t="shared" ref="HC42" si="258">IF(IF(HC33&lt;HC34,HC34,HC33)&lt;HC43,HC43,IF(HC33&lt;HC34,HC34,HC33))</f>
        <v>6686000</v>
      </c>
      <c r="HD42" s="574">
        <f t="shared" ref="HD42" si="259">IF(IF(HD33&lt;HD34,HD34,HD33)&lt;HD43,HD43,IF(HD33&lt;HD34,HD34,HD33))</f>
        <v>1897307</v>
      </c>
      <c r="HE42" s="574">
        <f t="shared" ref="HE42" si="260">IF(IF(HE33&lt;HE34,HE34,HE33)&lt;HE43,HE43,IF(HE33&lt;HE34,HE34,HE33))</f>
        <v>2971345</v>
      </c>
      <c r="HF42" s="574">
        <f t="shared" ref="HF42" si="261">IF(IF(HF33&lt;HF34,HF34,HF33)&lt;HF43,HF43,IF(HF33&lt;HF34,HF34,HF33))</f>
        <v>1230257</v>
      </c>
      <c r="HG42" s="574">
        <f t="shared" ref="HG42" si="262">IF(IF(HG33&lt;HG34,HG34,HG33)&lt;HG43,HG43,IF(HG33&lt;HG34,HG34,HG33))</f>
        <v>405927.64</v>
      </c>
      <c r="HH42" s="574">
        <f t="shared" ref="HH42" si="263">IF(IF(HH33&lt;HH34,HH34,HH33)&lt;HH43,HH43,IF(HH33&lt;HH34,HH34,HH33))</f>
        <v>1476086.36</v>
      </c>
      <c r="HI42" s="574">
        <f t="shared" ref="HI42" si="264">IF(IF(HI33&lt;HI34,HI34,HI33)&lt;HI43,HI43,IF(HI33&lt;HI34,HI34,HI33))</f>
        <v>2590000</v>
      </c>
      <c r="HJ42" s="574">
        <f t="shared" ref="HJ42" si="265">IF(IF(HJ33&lt;HJ34,HJ34,HJ33)&lt;HJ43,HJ43,IF(HJ33&lt;HJ34,HJ34,HJ33))</f>
        <v>391200</v>
      </c>
      <c r="HK42" s="574">
        <f t="shared" ref="HK42" si="266">IF(IF(HK33&lt;HK34,HK34,HK33)&lt;HK43,HK43,IF(HK33&lt;HK34,HK34,HK33))</f>
        <v>992500</v>
      </c>
      <c r="HL42" s="574">
        <f t="shared" ref="HL42" si="267">IF(IF(HL33&lt;HL34,HL34,HL33)&lt;HL43,HL43,IF(HL33&lt;HL34,HL34,HL33))</f>
        <v>0</v>
      </c>
      <c r="HM42" s="574">
        <f t="shared" ref="HM42" si="268">IF(IF(HM33&lt;HM34,HM34,HM33)&lt;HM43,HM43,IF(HM33&lt;HM34,HM34,HM33))</f>
        <v>0</v>
      </c>
      <c r="HN42" s="574">
        <f t="shared" ref="HN42" si="269">IF(IF(HN33&lt;HN34,HN34,HN33)&lt;HN43,HN43,IF(HN33&lt;HN34,HN34,HN33))</f>
        <v>0</v>
      </c>
      <c r="HO42" s="574">
        <f t="shared" ref="HO42" si="270">IF(IF(HO33&lt;HO34,HO34,HO33)&lt;HO43,HO43,IF(HO33&lt;HO34,HO34,HO33))</f>
        <v>0</v>
      </c>
      <c r="HP42" s="574">
        <f t="shared" ref="HP42" si="271">IF(IF(HP33&lt;HP34,HP34,HP33)&lt;HP43,HP43,IF(HP33&lt;HP34,HP34,HP33))</f>
        <v>0</v>
      </c>
      <c r="HQ42" s="574">
        <f t="shared" ref="HQ42" si="272">IF(IF(HQ33&lt;HQ34,HQ34,HQ33)&lt;HQ43,HQ43,IF(HQ33&lt;HQ34,HQ34,HQ33))</f>
        <v>0</v>
      </c>
      <c r="HR42" s="574">
        <f t="shared" ref="HR42" si="273">IF(IF(HR33&lt;HR34,HR34,HR33)&lt;HR43,HR43,IF(HR33&lt;HR34,HR34,HR33))</f>
        <v>0</v>
      </c>
      <c r="HS42" s="574">
        <f t="shared" ref="HS42" si="274">IF(IF(HS33&lt;HS34,HS34,HS33)&lt;HS43,HS43,IF(HS33&lt;HS34,HS34,HS33))</f>
        <v>0</v>
      </c>
      <c r="HT42" s="574">
        <f t="shared" ref="HT42" si="275">IF(IF(HT33&lt;HT34,HT34,HT33)&lt;HT43,HT43,IF(HT33&lt;HT34,HT34,HT33))</f>
        <v>0</v>
      </c>
      <c r="HU42" s="574">
        <f t="shared" ref="HU42" si="276">IF(IF(HU33&lt;HU34,HU34,HU33)&lt;HU43,HU43,IF(HU33&lt;HU34,HU34,HU33))</f>
        <v>48866</v>
      </c>
      <c r="HV42" s="574">
        <f t="shared" ref="HV42" si="277">IF(IF(HV33&lt;HV34,HV34,HV33)&lt;HV43,HV43,IF(HV33&lt;HV34,HV34,HV33))</f>
        <v>0</v>
      </c>
      <c r="HW42" s="574">
        <f t="shared" ref="HW42" si="278">IF(IF(HW33&lt;HW34,HW34,HW33)&lt;HW43,HW43,IF(HW33&lt;HW34,HW34,HW33))</f>
        <v>0</v>
      </c>
      <c r="HX42" s="574">
        <f t="shared" ref="HX42" si="279">IF(IF(HX33&lt;HX34,HX34,HX33)&lt;HX43,HX43,IF(HX33&lt;HX34,HX34,HX33))</f>
        <v>0</v>
      </c>
      <c r="HY42" s="574">
        <f t="shared" ref="HY42" si="280">IF(IF(HY33&lt;HY34,HY34,HY33)&lt;HY43,HY43,IF(HY33&lt;HY34,HY34,HY33))</f>
        <v>10000</v>
      </c>
      <c r="HZ42" s="574">
        <f t="shared" ref="HZ42" si="281">IF(IF(HZ33&lt;HZ34,HZ34,HZ33)&lt;HZ43,HZ43,IF(HZ33&lt;HZ34,HZ34,HZ33))</f>
        <v>0</v>
      </c>
      <c r="IA42" s="574">
        <f t="shared" ref="IA42" si="282">IF(IF(IA33&lt;IA34,IA34,IA33)&lt;IA43,IA43,IF(IA33&lt;IA34,IA34,IA33))</f>
        <v>0</v>
      </c>
      <c r="IB42" s="574">
        <f t="shared" ref="IB42" si="283">IF(IF(IB33&lt;IB34,IB34,IB33)&lt;IB43,IB43,IF(IB33&lt;IB34,IB34,IB33))</f>
        <v>0</v>
      </c>
      <c r="IC42" s="574">
        <f t="shared" ref="IC42" si="284">IF(IF(IC33&lt;IC34,IC34,IC33)&lt;IC43,IC43,IF(IC33&lt;IC34,IC34,IC33))</f>
        <v>0</v>
      </c>
      <c r="ID42" s="574">
        <f t="shared" ref="ID42" si="285">IF(IF(ID33&lt;ID34,ID34,ID33)&lt;ID43,ID43,IF(ID33&lt;ID34,ID34,ID33))</f>
        <v>0</v>
      </c>
      <c r="IE42" s="574">
        <f t="shared" ref="IE42" si="286">IF(IF(IE33&lt;IE34,IE34,IE33)&lt;IE43,IE43,IF(IE33&lt;IE34,IE34,IE33))</f>
        <v>0</v>
      </c>
      <c r="IF42" s="574">
        <f t="shared" ref="IF42" si="287">IF(IF(IF33&lt;IF34,IF34,IF33)&lt;IF43,IF43,IF(IF33&lt;IF34,IF34,IF33))</f>
        <v>0</v>
      </c>
      <c r="IG42" s="574">
        <f t="shared" ref="IG42" si="288">IF(IF(IG33&lt;IG34,IG34,IG33)&lt;IG43,IG43,IF(IG33&lt;IG34,IG34,IG33))</f>
        <v>0</v>
      </c>
      <c r="IH42" s="574">
        <f t="shared" ref="IH42" si="289">IF(IF(IH33&lt;IH34,IH34,IH33)&lt;IH43,IH43,IF(IH33&lt;IH34,IH34,IH33))</f>
        <v>0</v>
      </c>
      <c r="II42" s="574">
        <f t="shared" ref="II42" si="290">IF(IF(II33&lt;II34,II34,II33)&lt;II43,II43,IF(II33&lt;II34,II34,II33))</f>
        <v>0</v>
      </c>
      <c r="IJ42" s="574">
        <f t="shared" ref="IJ42" si="291">IF(IF(IJ33&lt;IJ34,IJ34,IJ33)&lt;IJ43,IJ43,IF(IJ33&lt;IJ34,IJ34,IJ33))</f>
        <v>0</v>
      </c>
      <c r="IK42" s="574">
        <f t="shared" ref="IK42" si="292">IF(IF(IK33&lt;IK34,IK34,IK33)&lt;IK43,IK43,IF(IK33&lt;IK34,IK34,IK33))</f>
        <v>0</v>
      </c>
      <c r="IL42" s="574">
        <f t="shared" ref="IL42" si="293">IF(IF(IL33&lt;IL34,IL34,IL33)&lt;IL43,IL43,IF(IL33&lt;IL34,IL34,IL33))</f>
        <v>0</v>
      </c>
      <c r="IM42" s="574">
        <f t="shared" ref="IM42" si="294">IF(IF(IM33&lt;IM34,IM34,IM33)&lt;IM43,IM43,IF(IM33&lt;IM34,IM34,IM33))</f>
        <v>0</v>
      </c>
      <c r="IN42" s="574">
        <f t="shared" ref="IN42" si="295">IF(IF(IN33&lt;IN34,IN34,IN33)&lt;IN43,IN43,IF(IN33&lt;IN34,IN34,IN33))</f>
        <v>0</v>
      </c>
      <c r="IO42" s="574">
        <f t="shared" ref="IO42" si="296">IF(IF(IO33&lt;IO34,IO34,IO33)&lt;IO43,IO43,IF(IO33&lt;IO34,IO34,IO33))</f>
        <v>0</v>
      </c>
      <c r="IP42" s="574">
        <f t="shared" ref="IP42" si="297">IF(IF(IP33&lt;IP34,IP34,IP33)&lt;IP43,IP43,IF(IP33&lt;IP34,IP34,IP33))</f>
        <v>0</v>
      </c>
      <c r="IQ42" s="574">
        <f t="shared" ref="IQ42" si="298">IF(IF(IQ33&lt;IQ34,IQ34,IQ33)&lt;IQ43,IQ43,IF(IQ33&lt;IQ34,IQ34,IQ33))</f>
        <v>0</v>
      </c>
      <c r="IR42" s="574">
        <f t="shared" ref="IR42" si="299">IF(IF(IR33&lt;IR34,IR34,IR33)&lt;IR43,IR43,IF(IR33&lt;IR34,IR34,IR33))</f>
        <v>0</v>
      </c>
      <c r="IS42" s="574">
        <f t="shared" ref="IS42" si="300">IF(IF(IS33&lt;IS34,IS34,IS33)&lt;IS43,IS43,IF(IS33&lt;IS34,IS34,IS33))</f>
        <v>0</v>
      </c>
      <c r="IT42" s="574">
        <f t="shared" ref="IT42" si="301">IF(IF(IT33&lt;IT34,IT34,IT33)&lt;IT43,IT43,IF(IT33&lt;IT34,IT34,IT33))</f>
        <v>0</v>
      </c>
      <c r="IU42" s="574">
        <f t="shared" ref="IU42" si="302">IF(IF(IU33&lt;IU34,IU34,IU33)&lt;IU43,IU43,IF(IU33&lt;IU34,IU34,IU33))</f>
        <v>0</v>
      </c>
      <c r="IV42" s="574">
        <f t="shared" ref="IV42" si="303">IF(IF(IV33&lt;IV34,IV34,IV33)&lt;IV43,IV43,IF(IV33&lt;IV34,IV34,IV33))</f>
        <v>0</v>
      </c>
      <c r="IW42" s="574">
        <f t="shared" ref="IW42" si="304">IF(IF(IW33&lt;IW34,IW34,IW33)&lt;IW43,IW43,IF(IW33&lt;IW34,IW34,IW33))</f>
        <v>0</v>
      </c>
      <c r="IX42" s="574">
        <f t="shared" ref="IX42" si="305">IF(IF(IX33&lt;IX34,IX34,IX33)&lt;IX43,IX43,IF(IX33&lt;IX34,IX34,IX33))</f>
        <v>0</v>
      </c>
      <c r="IY42" s="574">
        <f t="shared" ref="IY42" si="306">IF(IF(IY33&lt;IY34,IY34,IY33)&lt;IY43,IY43,IF(IY33&lt;IY34,IY34,IY33))</f>
        <v>0</v>
      </c>
      <c r="IZ42" s="574">
        <f t="shared" ref="IZ42" si="307">IF(IF(IZ33&lt;IZ34,IZ34,IZ33)&lt;IZ43,IZ43,IF(IZ33&lt;IZ34,IZ34,IZ33))</f>
        <v>0</v>
      </c>
      <c r="JA42" s="574">
        <f t="shared" ref="JA42" si="308">IF(IF(JA33&lt;JA34,JA34,JA33)&lt;JA43,JA43,IF(JA33&lt;JA34,JA34,JA33))</f>
        <v>78000</v>
      </c>
      <c r="JB42" s="574">
        <f t="shared" ref="JB42" si="309">IF(IF(JB33&lt;JB34,JB34,JB33)&lt;JB43,JB43,IF(JB33&lt;JB34,JB34,JB33))</f>
        <v>160000</v>
      </c>
      <c r="JC42" s="574">
        <f t="shared" ref="JC42" si="310">IF(IF(JC33&lt;JC34,JC34,JC33)&lt;JC43,JC43,IF(JC33&lt;JC34,JC34,JC33))</f>
        <v>80000</v>
      </c>
      <c r="JD42" s="574">
        <f t="shared" ref="JD42" si="311">IF(IF(JD33&lt;JD34,JD34,JD33)&lt;JD43,JD43,IF(JD33&lt;JD34,JD34,JD33))</f>
        <v>101900</v>
      </c>
      <c r="JE42" s="574">
        <f t="shared" ref="JE42" si="312">IF(IF(JE33&lt;JE34,JE34,JE33)&lt;JE43,JE43,IF(JE33&lt;JE34,JE34,JE33))</f>
        <v>0</v>
      </c>
      <c r="JF42" s="574">
        <f t="shared" ref="JF42" si="313">IF(IF(JF33&lt;JF34,JF34,JF33)&lt;JF43,JF43,IF(JF33&lt;JF34,JF34,JF33))</f>
        <v>0</v>
      </c>
      <c r="JG42" s="574">
        <f t="shared" ref="JG42" si="314">IF(IF(JG33&lt;JG34,JG34,JG33)&lt;JG43,JG43,IF(JG33&lt;JG34,JG34,JG33))</f>
        <v>21000</v>
      </c>
      <c r="JH42" s="574">
        <f t="shared" ref="JH42" si="315">IF(IF(JH33&lt;JH34,JH34,JH33)&lt;JH43,JH43,IF(JH33&lt;JH34,JH34,JH33))</f>
        <v>0</v>
      </c>
      <c r="JI42" s="575">
        <f>SUM(C42:JH42)</f>
        <v>195775614.50999999</v>
      </c>
      <c r="JL42" s="307">
        <f>SUMIFS($C42:$JH42,$C$5:$JH$5,JL$5)</f>
        <v>530000</v>
      </c>
      <c r="JM42" s="307">
        <f>SUMIFS($C42:$JH42,$C$5:$JH$5,JM$5)</f>
        <v>58811959.939999998</v>
      </c>
      <c r="JN42" s="307">
        <f>SUMIFS($C42:$JH42,$C$5:$JH$5,JN$5)</f>
        <v>135933888.56999999</v>
      </c>
      <c r="JO42" s="307">
        <f>SUMIFS($C42:$JH42,$C$5:$JH$5,JO$5)</f>
        <v>499766</v>
      </c>
      <c r="JP42" s="307">
        <f t="shared" ref="JP42" si="316">SUM(JL42:JO42)</f>
        <v>195775614.50999999</v>
      </c>
    </row>
    <row r="43" spans="1:277" s="307" customFormat="1" x14ac:dyDescent="0.25">
      <c r="A43" s="314"/>
      <c r="B43" s="321" t="s">
        <v>2781</v>
      </c>
      <c r="C43" s="314">
        <f>IFERROR(VLOOKUP(C1,'HK-dotace 2020'!$F$3:$G$49,2,FALSE),0)</f>
        <v>0</v>
      </c>
      <c r="D43" s="314">
        <f>IFERROR(VLOOKUP(D1,'HK-dotace 2020'!$F$3:$G$49,2,FALSE),0)</f>
        <v>0</v>
      </c>
      <c r="E43" s="314">
        <f>IFERROR(VLOOKUP(E1,'HK-dotace 2020'!$F$3:$G$49,2,FALSE),0)</f>
        <v>0</v>
      </c>
      <c r="F43" s="314">
        <f>IFERROR(VLOOKUP(F1,'HK-dotace 2020'!$F$3:$G$49,2,FALSE),0)</f>
        <v>0</v>
      </c>
      <c r="G43" s="314">
        <f>IFERROR(VLOOKUP(G1,'HK-dotace 2020'!$F$3:$G$49,2,FALSE),0)</f>
        <v>0</v>
      </c>
      <c r="H43" s="314">
        <f>IFERROR(VLOOKUP(H1,'HK-dotace 2020'!$F$3:$G$49,2,FALSE),0)</f>
        <v>0</v>
      </c>
      <c r="I43" s="314">
        <f>IFERROR(VLOOKUP(I1,'HK-dotace 2020'!$F$3:$G$49,2,FALSE),0)</f>
        <v>0</v>
      </c>
      <c r="J43" s="314">
        <f>IFERROR(VLOOKUP(J1,'HK-dotace 2020'!$F$3:$G$49,2,FALSE),0)</f>
        <v>0</v>
      </c>
      <c r="K43" s="314">
        <f>IFERROR(VLOOKUP(K1,'HK-dotace 2020'!$F$3:$G$49,2,FALSE),0)</f>
        <v>0</v>
      </c>
      <c r="L43" s="314">
        <f>IFERROR(VLOOKUP(L1,'HK-dotace 2020'!$F$3:$G$49,2,FALSE),0)</f>
        <v>0</v>
      </c>
      <c r="M43" s="314">
        <f>IFERROR(VLOOKUP(M1,'HK-dotace 2020'!$F$3:$G$49,2,FALSE),0)</f>
        <v>0</v>
      </c>
      <c r="N43" s="314">
        <f>IFERROR(VLOOKUP(N1,'HK-dotace 2020'!$F$3:$G$49,2,FALSE),0)</f>
        <v>0</v>
      </c>
      <c r="O43" s="314">
        <f>IFERROR(VLOOKUP(O1,'HK-dotace 2020'!$F$3:$G$49,2,FALSE),0)</f>
        <v>173000</v>
      </c>
      <c r="P43" s="314">
        <f>IFERROR(VLOOKUP(P1,'HK-dotace 2020'!$F$3:$G$49,2,FALSE),0)</f>
        <v>417000</v>
      </c>
      <c r="Q43" s="314">
        <f>IFERROR(VLOOKUP(Q1,'HK-dotace 2020'!$F$3:$G$49,2,FALSE),0)</f>
        <v>0</v>
      </c>
      <c r="R43" s="314">
        <f>IFERROR(VLOOKUP(R1,'HK-dotace 2020'!$F$3:$G$49,2,FALSE),0)</f>
        <v>456000</v>
      </c>
      <c r="S43" s="314">
        <f>IFERROR(VLOOKUP(S1,'HK-dotace 2020'!$F$3:$G$49,2,FALSE),0)</f>
        <v>0</v>
      </c>
      <c r="T43" s="314">
        <f>IFERROR(VLOOKUP(T1,'HK-dotace 2020'!$F$3:$G$49,2,FALSE),0)</f>
        <v>0</v>
      </c>
      <c r="U43" s="314">
        <f>IFERROR(VLOOKUP(U1,'HK-dotace 2020'!$F$3:$G$49,2,FALSE),0)</f>
        <v>0</v>
      </c>
      <c r="V43" s="314">
        <f>IFERROR(VLOOKUP(V1,'HK-dotace 2020'!$F$3:$G$49,2,FALSE),0)</f>
        <v>4317000</v>
      </c>
      <c r="W43" s="314">
        <f>IFERROR(VLOOKUP(W1,'HK-dotace 2020'!$F$3:$G$49,2,FALSE),0)</f>
        <v>934000</v>
      </c>
      <c r="X43" s="314">
        <f>IFERROR(VLOOKUP(X1,'HK-dotace 2020'!$F$3:$G$49,2,FALSE),0)</f>
        <v>0</v>
      </c>
      <c r="Y43" s="314">
        <f>IFERROR(VLOOKUP(Y1,'HK-dotace 2020'!$F$3:$G$49,2,FALSE),0)</f>
        <v>0</v>
      </c>
      <c r="Z43" s="314">
        <f>IFERROR(VLOOKUP(Z1,'HK-dotace 2020'!$F$3:$G$49,2,FALSE),0)</f>
        <v>0</v>
      </c>
      <c r="AA43" s="314">
        <f>IFERROR(VLOOKUP(AA1,'HK-dotace 2020'!$F$3:$G$49,2,FALSE),0)</f>
        <v>0</v>
      </c>
      <c r="AB43" s="314">
        <f>IFERROR(VLOOKUP(AB1,'HK-dotace 2020'!$F$3:$G$49,2,FALSE),0)</f>
        <v>0</v>
      </c>
      <c r="AC43" s="314"/>
      <c r="AD43" s="314">
        <f>IFERROR(VLOOKUP(AD1,'HK-dotace 2020'!$F$3:$G$49,2,FALSE),0)</f>
        <v>0</v>
      </c>
      <c r="AE43" s="314">
        <f>IFERROR(VLOOKUP(AE1,'HK-dotace 2020'!$F$3:$G$49,2,FALSE),0)</f>
        <v>0</v>
      </c>
      <c r="AF43" s="314">
        <f>IFERROR(VLOOKUP(AF1,'HK-dotace 2020'!$F$3:$G$49,2,FALSE),0)</f>
        <v>0</v>
      </c>
      <c r="AG43" s="314">
        <f>IFERROR(VLOOKUP(AG1,'HK-dotace 2020'!$F$3:$G$49,2,FALSE),0)</f>
        <v>0</v>
      </c>
      <c r="AH43" s="314">
        <f>IFERROR(VLOOKUP(AH1,'HK-dotace 2020'!$F$3:$G$49,2,FALSE),0)</f>
        <v>0</v>
      </c>
      <c r="AI43" s="314">
        <f>IFERROR(VLOOKUP(AI1,'HK-dotace 2020'!$F$3:$G$49,2,FALSE),0)</f>
        <v>0</v>
      </c>
      <c r="AJ43" s="314">
        <f>IFERROR(VLOOKUP(AJ1,'HK-dotace 2020'!$F$3:$G$49,2,FALSE),0)</f>
        <v>0</v>
      </c>
      <c r="AK43" s="314">
        <f>IFERROR(VLOOKUP(AK1,'HK-dotace 2020'!$F$3:$G$49,2,FALSE),0)</f>
        <v>0</v>
      </c>
      <c r="AL43" s="314">
        <f>IFERROR(VLOOKUP(AL1,'HK-dotace 2020'!$F$3:$G$49,2,FALSE),0)</f>
        <v>0</v>
      </c>
      <c r="AM43" s="314">
        <f>IFERROR(VLOOKUP(AM1,'HK-dotace 2020'!$F$3:$G$49,2,FALSE),0)</f>
        <v>0</v>
      </c>
      <c r="AN43" s="314">
        <f>IFERROR(VLOOKUP(AN1,'HK-dotace 2020'!$F$3:$G$49,2,FALSE),0)</f>
        <v>0</v>
      </c>
      <c r="AO43" s="314">
        <f>IFERROR(VLOOKUP(AO1,'HK-dotace 2020'!$F$3:$G$49,2,FALSE),0)</f>
        <v>2581000</v>
      </c>
      <c r="AP43" s="314">
        <f>IFERROR(VLOOKUP(AP1,'HK-dotace 2020'!$F$3:$G$49,2,FALSE),0)</f>
        <v>0</v>
      </c>
      <c r="AQ43" s="314">
        <f>IFERROR(VLOOKUP(AQ1,'HK-dotace 2020'!$F$3:$G$49,2,FALSE),0)</f>
        <v>0</v>
      </c>
      <c r="AR43" s="314">
        <f>IFERROR(VLOOKUP(AR1,'HK-dotace 2020'!$F$3:$G$49,2,FALSE),0)</f>
        <v>0</v>
      </c>
      <c r="AS43" s="314">
        <f>IFERROR(VLOOKUP(AS1,'HK-dotace 2020'!$F$3:$G$49,2,FALSE),0)</f>
        <v>0</v>
      </c>
      <c r="AT43" s="314">
        <f>IFERROR(VLOOKUP(AT1,'HK-dotace 2020'!$F$3:$G$49,2,FALSE),0)</f>
        <v>0</v>
      </c>
      <c r="AU43" s="314">
        <f>IFERROR(VLOOKUP(AU1,'HK-dotace 2020'!$F$3:$G$49,2,FALSE),0)</f>
        <v>0</v>
      </c>
      <c r="AV43" s="314">
        <f>IFERROR(VLOOKUP(AV1,'HK-dotace 2020'!$F$3:$G$49,2,FALSE),0)</f>
        <v>0</v>
      </c>
      <c r="AW43" s="314">
        <f>IFERROR(VLOOKUP(AW1,'HK-dotace 2020'!$F$3:$G$49,2,FALSE),0)</f>
        <v>0</v>
      </c>
      <c r="AX43" s="314">
        <f>IFERROR(VLOOKUP(AX1,'HK-dotace 2020'!$F$3:$G$49,2,FALSE),0)</f>
        <v>0</v>
      </c>
      <c r="AY43" s="314">
        <f>IFERROR(VLOOKUP(AY1,'HK-dotace 2020'!$F$3:$G$49,2,FALSE),0)</f>
        <v>0</v>
      </c>
      <c r="AZ43" s="314">
        <f>IFERROR(VLOOKUP(AZ1,'HK-dotace 2020'!$F$3:$G$49,2,FALSE),0)</f>
        <v>0</v>
      </c>
      <c r="BA43" s="314">
        <f>IFERROR(VLOOKUP(BA1,'HK-dotace 2020'!$F$3:$G$49,2,FALSE),0)</f>
        <v>1100000</v>
      </c>
      <c r="BB43" s="314">
        <f>IFERROR(VLOOKUP(BB1,'HK-dotace 2020'!$F$3:$G$49,2,FALSE),0)</f>
        <v>140000</v>
      </c>
      <c r="BC43" s="314">
        <f>IFERROR(VLOOKUP(BC1,'HK-dotace 2020'!$F$3:$G$49,2,FALSE),0)</f>
        <v>137000</v>
      </c>
      <c r="BD43" s="314">
        <f>IFERROR(VLOOKUP(BD1,'HK-dotace 2020'!$F$3:$G$49,2,FALSE),0)</f>
        <v>216000</v>
      </c>
      <c r="BE43" s="314">
        <f>IFERROR(VLOOKUP(BE1,'HK-dotace 2020'!$F$3:$G$49,2,FALSE),0)</f>
        <v>159000</v>
      </c>
      <c r="BF43" s="314">
        <f>IFERROR(VLOOKUP(BF1,'HK-dotace 2020'!$F$3:$G$49,2,FALSE),0)</f>
        <v>376000</v>
      </c>
      <c r="BG43" s="314">
        <f>IFERROR(VLOOKUP(BG1,'HK-dotace 2020'!$F$3:$G$49,2,FALSE),0)</f>
        <v>490000</v>
      </c>
      <c r="BH43" s="314">
        <f>IFERROR(VLOOKUP(BH1,'HK-dotace 2020'!$F$3:$G$49,2,FALSE),0)</f>
        <v>0</v>
      </c>
      <c r="BI43" s="314">
        <f>IFERROR(VLOOKUP(BI1,'HK-dotace 2020'!$F$3:$G$49,2,FALSE),0)</f>
        <v>0</v>
      </c>
      <c r="BJ43" s="314">
        <f>IFERROR(VLOOKUP(BJ1,'HK-dotace 2020'!$F$3:$G$49,2,FALSE),0)</f>
        <v>0</v>
      </c>
      <c r="BK43" s="314">
        <f>IFERROR(VLOOKUP(BK1,'HK-dotace 2020'!$F$3:$G$49,2,FALSE),0)</f>
        <v>0</v>
      </c>
      <c r="BL43" s="314">
        <f>IFERROR(VLOOKUP(BL1,'HK-dotace 2020'!$F$3:$G$49,2,FALSE),0)</f>
        <v>0</v>
      </c>
      <c r="BM43" s="314">
        <f>IFERROR(VLOOKUP(BM1,'HK-dotace 2020'!$F$3:$G$49,2,FALSE),0)</f>
        <v>0</v>
      </c>
      <c r="BN43" s="314">
        <f>IFERROR(VLOOKUP(BN1,'HK-dotace 2020'!$F$3:$G$49,2,FALSE),0)</f>
        <v>326000</v>
      </c>
      <c r="BO43" s="314">
        <f>IFERROR(VLOOKUP(BO1,'HK-dotace 2020'!$F$3:$G$49,2,FALSE),0)</f>
        <v>222000</v>
      </c>
      <c r="BP43" s="314">
        <f>IFERROR(VLOOKUP(BP1,'HK-dotace 2020'!$F$3:$G$49,2,FALSE),0)</f>
        <v>0</v>
      </c>
      <c r="BQ43" s="314">
        <f>IFERROR(VLOOKUP(BQ1,'HK-dotace 2020'!$F$3:$G$49,2,FALSE),0)</f>
        <v>0</v>
      </c>
      <c r="BR43" s="314">
        <f>IFERROR(VLOOKUP(BR1,'HK-dotace 2020'!$F$3:$G$49,2,FALSE),0)</f>
        <v>0</v>
      </c>
      <c r="BS43" s="314">
        <f>IFERROR(VLOOKUP(BS1,'HK-dotace 2020'!$F$3:$G$49,2,FALSE),0)</f>
        <v>230000</v>
      </c>
      <c r="BT43" s="314">
        <f>IFERROR(VLOOKUP(BT1,'HK-dotace 2020'!$F$3:$G$49,2,FALSE),0)</f>
        <v>0</v>
      </c>
      <c r="BU43" s="314">
        <f>IFERROR(VLOOKUP(BU1,'HK-dotace 2020'!$F$3:$G$49,2,FALSE),0)</f>
        <v>0</v>
      </c>
      <c r="BV43" s="314">
        <f>IFERROR(VLOOKUP(BV1,'HK-dotace 2020'!$F$3:$G$49,2,FALSE),0)</f>
        <v>0</v>
      </c>
      <c r="BW43" s="314">
        <f>IFERROR(VLOOKUP(BW1,'HK-dotace 2020'!$F$3:$G$49,2,FALSE),0)</f>
        <v>0</v>
      </c>
      <c r="BX43" s="314">
        <f>IFERROR(VLOOKUP(BX1,'HK-dotace 2020'!$F$3:$G$49,2,FALSE),0)</f>
        <v>0</v>
      </c>
      <c r="BY43" s="314">
        <f>IFERROR(VLOOKUP(BY1,'HK-dotace 2020'!$F$3:$G$49,2,FALSE),0)</f>
        <v>0</v>
      </c>
      <c r="BZ43" s="314">
        <f>IFERROR(VLOOKUP(BZ1,'HK-dotace 2020'!$F$3:$G$49,2,FALSE),0)</f>
        <v>0</v>
      </c>
      <c r="CA43" s="314">
        <f>IFERROR(VLOOKUP(CA1,'HK-dotace 2020'!$F$3:$G$49,2,FALSE),0)</f>
        <v>0</v>
      </c>
      <c r="CB43" s="314">
        <f>IFERROR(VLOOKUP(CB1,'HK-dotace 2020'!$F$3:$G$49,2,FALSE),0)</f>
        <v>0</v>
      </c>
      <c r="CC43" s="314">
        <f>IFERROR(VLOOKUP(CC1,'HK-dotace 2020'!$F$3:$G$49,2,FALSE),0)</f>
        <v>404000</v>
      </c>
      <c r="CD43" s="314">
        <f>IFERROR(VLOOKUP(CD1,'HK-dotace 2020'!$F$3:$G$49,2,FALSE),0)</f>
        <v>124000</v>
      </c>
      <c r="CE43" s="314">
        <f>IFERROR(VLOOKUP(CE1,'HK-dotace 2020'!$F$3:$G$49,2,FALSE),0)</f>
        <v>3637000</v>
      </c>
      <c r="CF43" s="314">
        <f>IFERROR(VLOOKUP(CF1,'HK-dotace 2020'!$F$3:$G$49,2,FALSE),0)</f>
        <v>255000</v>
      </c>
      <c r="CG43" s="314">
        <f>IFERROR(VLOOKUP(CG1,'HK-dotace 2020'!$F$3:$G$49,2,FALSE),0)</f>
        <v>1774000</v>
      </c>
      <c r="CH43" s="314">
        <f>IFERROR(VLOOKUP(CH1,'HK-dotace 2020'!$F$3:$G$49,2,FALSE),0)</f>
        <v>734000</v>
      </c>
      <c r="CI43" s="314">
        <f>IFERROR(VLOOKUP(CI1,'HK-dotace 2020'!$F$3:$G$49,2,FALSE),0)</f>
        <v>200000</v>
      </c>
      <c r="CJ43" s="314">
        <f>IFERROR(VLOOKUP(CJ1,'HK-dotace 2020'!$F$3:$G$49,2,FALSE),0)</f>
        <v>812000</v>
      </c>
      <c r="CK43" s="314">
        <f>IFERROR(VLOOKUP(CK1,'HK-dotace 2020'!$F$3:$G$49,2,FALSE),0)</f>
        <v>599000</v>
      </c>
      <c r="CL43" s="314">
        <f>IFERROR(VLOOKUP(CL1,'HK-dotace 2020'!$F$3:$G$49,2,FALSE),0)</f>
        <v>478000</v>
      </c>
      <c r="CM43" s="314">
        <f>IFERROR(VLOOKUP(CM1,'HK-dotace 2020'!$F$3:$G$49,2,FALSE),0)</f>
        <v>0</v>
      </c>
      <c r="CN43" s="314">
        <f>IFERROR(VLOOKUP(CN1,'HK-dotace 2020'!$F$3:$G$49,2,FALSE),0)</f>
        <v>0</v>
      </c>
      <c r="CO43" s="314">
        <f>IFERROR(VLOOKUP(CO1,'HK-dotace 2020'!$F$3:$G$49,2,FALSE),0)</f>
        <v>0</v>
      </c>
      <c r="CP43" s="314">
        <f>IFERROR(VLOOKUP(CP1,'HK-dotace 2020'!$F$3:$G$49,2,FALSE),0)</f>
        <v>0</v>
      </c>
      <c r="CQ43" s="314">
        <f>IFERROR(VLOOKUP(CQ1,'HK-dotace 2020'!$F$3:$G$49,2,FALSE),0)</f>
        <v>0</v>
      </c>
      <c r="CR43" s="314">
        <f>IFERROR(VLOOKUP(CR1,'HK-dotace 2020'!$F$3:$G$49,2,FALSE),0)</f>
        <v>0</v>
      </c>
      <c r="CS43" s="314">
        <f>IFERROR(VLOOKUP(CS1,'HK-dotace 2020'!$F$3:$G$49,2,FALSE),0)</f>
        <v>0</v>
      </c>
      <c r="CT43" s="314">
        <f>IFERROR(VLOOKUP(CT1,'HK-dotace 2020'!$F$3:$G$49,2,FALSE),0)</f>
        <v>0</v>
      </c>
      <c r="CU43" s="314">
        <f>IFERROR(VLOOKUP(CU1,'HK-dotace 2020'!$F$3:$G$49,2,FALSE),0)</f>
        <v>0</v>
      </c>
      <c r="CV43" s="314">
        <f>IFERROR(VLOOKUP(CV1,'HK-dotace 2020'!$F$3:$G$49,2,FALSE),0)</f>
        <v>0</v>
      </c>
      <c r="CW43" s="314">
        <f>IFERROR(VLOOKUP(CW1,'HK-dotace 2020'!$F$3:$G$49,2,FALSE),0)</f>
        <v>0</v>
      </c>
      <c r="CX43" s="314">
        <f>IFERROR(VLOOKUP(CX1,'HK-dotace 2020'!$F$3:$G$49,2,FALSE),0)</f>
        <v>0</v>
      </c>
      <c r="CY43" s="314">
        <f>IFERROR(VLOOKUP(CY1,'HK-dotace 2020'!$F$3:$G$49,2,FALSE),0)</f>
        <v>0</v>
      </c>
      <c r="CZ43" s="314">
        <f>IFERROR(VLOOKUP(CZ1,'HK-dotace 2020'!$F$3:$G$49,2,FALSE),0)</f>
        <v>0</v>
      </c>
      <c r="DA43" s="314">
        <f>IFERROR(VLOOKUP(DA1,'HK-dotace 2020'!$F$3:$G$49,2,FALSE),0)</f>
        <v>0</v>
      </c>
      <c r="DB43" s="314">
        <f>IFERROR(VLOOKUP(DB1,'HK-dotace 2020'!$F$3:$G$49,2,FALSE),0)</f>
        <v>0</v>
      </c>
      <c r="DC43" s="314">
        <f>IFERROR(VLOOKUP(DC1,'HK-dotace 2020'!$F$3:$G$49,2,FALSE),0)</f>
        <v>0</v>
      </c>
      <c r="DD43" s="314">
        <f>IFERROR(VLOOKUP(DD1,'HK-dotace 2020'!$F$3:$G$49,2,FALSE),0)</f>
        <v>0</v>
      </c>
      <c r="DE43" s="314">
        <f>IFERROR(VLOOKUP(DE1,'HK-dotace 2020'!$F$3:$G$49,2,FALSE),0)</f>
        <v>0</v>
      </c>
      <c r="DF43" s="314">
        <f>IFERROR(VLOOKUP(DF1,'HK-dotace 2020'!$F$3:$G$49,2,FALSE),0)</f>
        <v>450000</v>
      </c>
      <c r="DG43" s="314">
        <f>IFERROR(VLOOKUP(DG1,'HK-dotace 2020'!$F$3:$G$49,2,FALSE),0)</f>
        <v>0</v>
      </c>
      <c r="DH43" s="314">
        <f>IFERROR(VLOOKUP(DH1,'HK-dotace 2020'!$F$3:$G$49,2,FALSE),0)</f>
        <v>0</v>
      </c>
      <c r="DI43" s="314">
        <f>IFERROR(VLOOKUP(DI1,'HK-dotace 2020'!$F$3:$G$49,2,FALSE),0)</f>
        <v>0</v>
      </c>
      <c r="DJ43" s="314">
        <f>IFERROR(VLOOKUP(DJ1,'HK-dotace 2020'!$F$3:$G$49,2,FALSE),0)</f>
        <v>0</v>
      </c>
      <c r="DK43" s="314">
        <f>IFERROR(VLOOKUP(DK1,'HK-dotace 2020'!$F$3:$G$49,2,FALSE),0)</f>
        <v>0</v>
      </c>
      <c r="DL43" s="314">
        <f>IFERROR(VLOOKUP(DL1,'HK-dotace 2020'!$F$3:$G$49,2,FALSE),0)</f>
        <v>1386000</v>
      </c>
      <c r="DM43" s="314">
        <f>IFERROR(VLOOKUP(DM1,'HK-dotace 2020'!$F$3:$G$49,2,FALSE),0)</f>
        <v>428000</v>
      </c>
      <c r="DN43" s="314">
        <f>IFERROR(VLOOKUP(DN1,'HK-dotace 2020'!$F$3:$G$49,2,FALSE),0)</f>
        <v>554000</v>
      </c>
      <c r="DO43" s="314">
        <f>IFERROR(VLOOKUP(DO1,'HK-dotace 2020'!$F$3:$G$49,2,FALSE),0)</f>
        <v>0</v>
      </c>
      <c r="DP43" s="314">
        <f>IFERROR(VLOOKUP(DP1,'HK-dotace 2020'!$F$3:$G$49,2,FALSE),0)</f>
        <v>415000</v>
      </c>
      <c r="DQ43" s="314">
        <f>IFERROR(VLOOKUP(DQ1,'HK-dotace 2020'!$F$3:$G$49,2,FALSE),0)</f>
        <v>330000</v>
      </c>
      <c r="DR43" s="314">
        <f>IFERROR(VLOOKUP(DR1,'HK-dotace 2020'!$F$3:$G$49,2,FALSE),0)</f>
        <v>54000</v>
      </c>
      <c r="DS43" s="314">
        <f>IFERROR(VLOOKUP(DS1,'HK-dotace 2020'!$F$3:$G$49,2,FALSE),0)</f>
        <v>0</v>
      </c>
      <c r="DT43" s="314">
        <f>IFERROR(VLOOKUP(DT1,'HK-dotace 2020'!$F$3:$G$49,2,FALSE),0)</f>
        <v>0</v>
      </c>
      <c r="DU43" s="314">
        <f>IFERROR(VLOOKUP(DU1,'HK-dotace 2020'!$F$3:$G$49,2,FALSE),0)</f>
        <v>260000</v>
      </c>
      <c r="DV43" s="314">
        <f>IFERROR(VLOOKUP(DV1,'HK-dotace 2020'!$F$3:$G$49,2,FALSE),0)</f>
        <v>600000</v>
      </c>
      <c r="DW43" s="314">
        <f>IFERROR(VLOOKUP(DW1,'HK-dotace 2020'!$F$3:$G$49,2,FALSE),0)</f>
        <v>165000</v>
      </c>
      <c r="DX43" s="314">
        <f>IFERROR(VLOOKUP(DX1,'HK-dotace 2020'!$F$3:$G$49,2,FALSE),0)</f>
        <v>455000</v>
      </c>
      <c r="DY43" s="314">
        <f>IFERROR(VLOOKUP(DY1,'HK-dotace 2020'!$F$3:$G$49,2,FALSE),0)</f>
        <v>0</v>
      </c>
      <c r="DZ43" s="314">
        <f>IFERROR(VLOOKUP(DZ1,'HK-dotace 2020'!$F$3:$G$49,2,FALSE),0)</f>
        <v>0</v>
      </c>
      <c r="EA43" s="314">
        <f>IFERROR(VLOOKUP(EA1,'HK-dotace 2020'!$F$3:$G$49,2,FALSE),0)</f>
        <v>0</v>
      </c>
      <c r="EB43" s="314">
        <f>IFERROR(VLOOKUP(EB1,'HK-dotace 2020'!$F$3:$G$49,2,FALSE),0)</f>
        <v>0</v>
      </c>
      <c r="EC43" s="314">
        <f>IFERROR(VLOOKUP(EC1,'HK-dotace 2020'!$F$3:$G$49,2,FALSE),0)</f>
        <v>0</v>
      </c>
      <c r="ED43" s="314">
        <f>IFERROR(VLOOKUP(ED1,'HK-dotace 2020'!$F$3:$G$49,2,FALSE),0)</f>
        <v>0</v>
      </c>
      <c r="EE43" s="314">
        <f>IFERROR(VLOOKUP(EE1,'HK-dotace 2020'!$F$3:$G$49,2,FALSE),0)</f>
        <v>0</v>
      </c>
      <c r="EF43" s="314">
        <f>IFERROR(VLOOKUP(EF1,'HK-dotace 2020'!$F$3:$G$49,2,FALSE),0)</f>
        <v>115000</v>
      </c>
      <c r="EG43" s="314">
        <f>IFERROR(VLOOKUP(EG1,'HK-dotace 2020'!$F$3:$G$49,2,FALSE),0)</f>
        <v>0</v>
      </c>
      <c r="EH43" s="314">
        <f>IFERROR(VLOOKUP(EH1,'HK-dotace 2020'!$F$3:$G$49,2,FALSE),0)</f>
        <v>80000</v>
      </c>
      <c r="EI43" s="314">
        <f>IFERROR(VLOOKUP(EI1,'HK-dotace 2020'!$F$3:$G$49,2,FALSE),0)</f>
        <v>122000</v>
      </c>
      <c r="EJ43" s="314">
        <f>IFERROR(VLOOKUP(EJ1,'HK-dotace 2020'!$F$3:$G$49,2,FALSE),0)</f>
        <v>78000</v>
      </c>
      <c r="EK43" s="314">
        <f>IFERROR(VLOOKUP(EK1,'HK-dotace 2020'!$F$3:$G$49,2,FALSE),0)</f>
        <v>659000</v>
      </c>
      <c r="EL43" s="314">
        <f>IFERROR(VLOOKUP(EL1,'HK-dotace 2020'!$F$3:$G$49,2,FALSE),0)</f>
        <v>2708000</v>
      </c>
      <c r="EM43" s="314">
        <f>IFERROR(VLOOKUP(EM1,'HK-dotace 2020'!$F$3:$G$49,2,FALSE),0)</f>
        <v>512000</v>
      </c>
      <c r="EN43" s="314">
        <f>IFERROR(VLOOKUP(EN1,'HK-dotace 2020'!$F$3:$G$49,2,FALSE),0)</f>
        <v>0</v>
      </c>
      <c r="EO43" s="314">
        <f>IFERROR(VLOOKUP(EO1,'HK-dotace 2020'!$F$3:$G$49,2,FALSE),0)</f>
        <v>0</v>
      </c>
      <c r="EP43" s="314">
        <f>IFERROR(VLOOKUP(EP1,'HK-dotace 2020'!$F$3:$G$49,2,FALSE),0)</f>
        <v>0</v>
      </c>
      <c r="EQ43" s="314">
        <f>IFERROR(VLOOKUP(EQ1,'HK-dotace 2020'!$F$3:$G$49,2,FALSE),0)</f>
        <v>0</v>
      </c>
      <c r="ER43" s="314">
        <f>IFERROR(VLOOKUP(ER1,'HK-dotace 2020'!$F$3:$G$49,2,FALSE),0)</f>
        <v>3872000</v>
      </c>
      <c r="ES43" s="314">
        <f>IFERROR(VLOOKUP(ES1,'HK-dotace 2020'!$F$3:$G$49,2,FALSE),0)</f>
        <v>1466000</v>
      </c>
      <c r="ET43" s="314">
        <f>IFERROR(VLOOKUP(ET1,'HK-dotace 2020'!$F$3:$G$49,2,FALSE),0)</f>
        <v>0</v>
      </c>
      <c r="EU43" s="314">
        <f>IFERROR(VLOOKUP(EU1,'HK-dotace 2020'!$F$3:$G$49,2,FALSE),0)</f>
        <v>0</v>
      </c>
      <c r="EV43" s="314">
        <f>IFERROR(VLOOKUP(EV1,'HK-dotace 2020'!$F$3:$G$49,2,FALSE),0)</f>
        <v>0</v>
      </c>
      <c r="EW43" s="314">
        <f>IFERROR(VLOOKUP(EW1,'HK-dotace 2020'!$F$3:$G$49,2,FALSE),0)</f>
        <v>0</v>
      </c>
      <c r="EX43" s="314">
        <f>IFERROR(VLOOKUP(EX1,'HK-dotace 2020'!$F$3:$G$49,2,FALSE),0)</f>
        <v>0</v>
      </c>
      <c r="EY43" s="314">
        <f>IFERROR(VLOOKUP(EY1,'HK-dotace 2020'!$F$3:$G$49,2,FALSE),0)</f>
        <v>0</v>
      </c>
      <c r="EZ43" s="314">
        <f>IFERROR(VLOOKUP(EZ1,'HK-dotace 2020'!$F$3:$G$49,2,FALSE),0)</f>
        <v>0</v>
      </c>
      <c r="FA43" s="314">
        <f>IFERROR(VLOOKUP(FA1,'HK-dotace 2020'!$F$3:$G$49,2,FALSE),0)</f>
        <v>0</v>
      </c>
      <c r="FB43" s="314">
        <f>IFERROR(VLOOKUP(FB1,'HK-dotace 2020'!$F$3:$G$49,2,FALSE),0)</f>
        <v>0</v>
      </c>
      <c r="FC43" s="314">
        <f>IFERROR(VLOOKUP(FC1,'HK-dotace 2020'!$F$3:$G$49,2,FALSE),0)</f>
        <v>0</v>
      </c>
      <c r="FD43" s="314">
        <f>IFERROR(VLOOKUP(FD1,'HK-dotace 2020'!$F$3:$G$49,2,FALSE),0)</f>
        <v>0</v>
      </c>
      <c r="FE43" s="314">
        <f>IFERROR(VLOOKUP(FE1,'HK-dotace 2020'!$F$3:$G$49,2,FALSE),0)</f>
        <v>0</v>
      </c>
      <c r="FF43" s="314">
        <f>IFERROR(VLOOKUP(FF1,'HK-dotace 2020'!$F$3:$G$49,2,FALSE),0)</f>
        <v>0</v>
      </c>
      <c r="FG43" s="314">
        <f>IFERROR(VLOOKUP(FG1,'HK-dotace 2020'!$F$3:$G$49,2,FALSE),0)</f>
        <v>0</v>
      </c>
      <c r="FH43" s="314">
        <f>IFERROR(VLOOKUP(FH1,'HK-dotace 2020'!$F$3:$G$49,2,FALSE),0)</f>
        <v>0</v>
      </c>
      <c r="FI43" s="314">
        <f>IFERROR(VLOOKUP(FI1,'HK-dotace 2020'!$F$3:$G$49,2,FALSE),0)</f>
        <v>0</v>
      </c>
      <c r="FJ43" s="314">
        <f>IFERROR(VLOOKUP(FJ1,'HK-dotace 2020'!$F$3:$G$49,2,FALSE),0)</f>
        <v>0</v>
      </c>
      <c r="FK43" s="314">
        <f>IFERROR(VLOOKUP(FK1,'HK-dotace 2020'!$F$3:$G$49,2,FALSE),0)</f>
        <v>0</v>
      </c>
      <c r="FL43" s="314">
        <f>IFERROR(VLOOKUP(FL1,'HK-dotace 2020'!$F$3:$G$49,2,FALSE),0)</f>
        <v>0</v>
      </c>
      <c r="FM43" s="314">
        <f>IFERROR(VLOOKUP(FM1,'HK-dotace 2020'!$F$3:$G$49,2,FALSE),0)</f>
        <v>0</v>
      </c>
      <c r="FN43" s="314">
        <f>IFERROR(VLOOKUP(FN1,'HK-dotace 2020'!$F$3:$G$49,2,FALSE),0)</f>
        <v>0</v>
      </c>
      <c r="FO43" s="314">
        <f>IFERROR(VLOOKUP(FO1,'HK-dotace 2020'!$F$3:$G$49,2,FALSE),0)</f>
        <v>0</v>
      </c>
      <c r="FP43" s="314">
        <f>IFERROR(VLOOKUP(FP1,'HK-dotace 2020'!$F$3:$G$49,2,FALSE),0)</f>
        <v>0</v>
      </c>
      <c r="FQ43" s="314">
        <f>IFERROR(VLOOKUP(FQ1,'HK-dotace 2020'!$F$3:$G$49,2,FALSE),0)</f>
        <v>0</v>
      </c>
      <c r="FR43" s="314">
        <f>IFERROR(VLOOKUP(FR1,'HK-dotace 2020'!$F$3:$G$49,2,FALSE),0)</f>
        <v>0</v>
      </c>
      <c r="FS43" s="314">
        <f>IFERROR(VLOOKUP(FS1,'HK-dotace 2020'!$F$3:$G$49,2,FALSE),0)</f>
        <v>0</v>
      </c>
      <c r="FT43" s="314">
        <f>IFERROR(VLOOKUP(FT1,'HK-dotace 2020'!$F$3:$G$49,2,FALSE),0)</f>
        <v>0</v>
      </c>
      <c r="FU43" s="314">
        <f>IFERROR(VLOOKUP(FU1,'HK-dotace 2020'!$F$3:$G$49,2,FALSE),0)</f>
        <v>0</v>
      </c>
      <c r="FV43" s="314">
        <f>IFERROR(VLOOKUP(FV1,'HK-dotace 2020'!$F$3:$G$49,2,FALSE),0)</f>
        <v>0</v>
      </c>
      <c r="FW43" s="314">
        <f>IFERROR(VLOOKUP(FW1,'HK-dotace 2020'!$F$3:$G$49,2,FALSE),0)</f>
        <v>0</v>
      </c>
      <c r="FX43" s="314">
        <f>IFERROR(VLOOKUP(FX1,'HK-dotace 2020'!$F$3:$G$49,2,FALSE),0)</f>
        <v>0</v>
      </c>
      <c r="FY43" s="314">
        <f>IFERROR(VLOOKUP(FY1,'HK-dotace 2020'!$F$3:$G$49,2,FALSE),0)</f>
        <v>0</v>
      </c>
      <c r="FZ43" s="314">
        <f>IFERROR(VLOOKUP(FZ1,'HK-dotace 2020'!$F$3:$G$49,2,FALSE),0)</f>
        <v>0</v>
      </c>
      <c r="GA43" s="314">
        <f>IFERROR(VLOOKUP(GA1,'HK-dotace 2020'!$F$3:$G$49,2,FALSE),0)</f>
        <v>0</v>
      </c>
      <c r="GB43" s="314">
        <f>IFERROR(VLOOKUP(GB1,'HK-dotace 2020'!$F$3:$G$49,2,FALSE),0)</f>
        <v>0</v>
      </c>
      <c r="GC43" s="314">
        <f>IFERROR(VLOOKUP(GC1,'HK-dotace 2020'!$F$3:$G$49,2,FALSE),0)</f>
        <v>0</v>
      </c>
      <c r="GD43" s="314">
        <f>IFERROR(VLOOKUP(GD1,'HK-dotace 2020'!$F$3:$G$49,2,FALSE),0)</f>
        <v>0</v>
      </c>
      <c r="GE43" s="314">
        <f>IFERROR(VLOOKUP(GE1,'HK-dotace 2020'!$F$3:$G$49,2,FALSE),0)</f>
        <v>0</v>
      </c>
      <c r="GF43" s="314">
        <f>IFERROR(VLOOKUP(GF1,'HK-dotace 2020'!$F$3:$G$49,2,FALSE),0)</f>
        <v>0</v>
      </c>
      <c r="GG43" s="314">
        <f>IFERROR(VLOOKUP(GG1,'HK-dotace 2020'!$F$3:$G$49,2,FALSE),0)</f>
        <v>0</v>
      </c>
      <c r="GH43" s="314">
        <f>IFERROR(VLOOKUP(GH1,'HK-dotace 2020'!$F$3:$G$49,2,FALSE),0)</f>
        <v>0</v>
      </c>
      <c r="GI43" s="314">
        <f>IFERROR(VLOOKUP(GI1,'HK-dotace 2020'!$F$3:$G$49,2,FALSE),0)</f>
        <v>0</v>
      </c>
      <c r="GJ43" s="314">
        <f>IFERROR(VLOOKUP(GJ1,'HK-dotace 2020'!$F$3:$G$49,2,FALSE),0)</f>
        <v>0</v>
      </c>
      <c r="GK43" s="314">
        <f>IFERROR(VLOOKUP(GK1,'HK-dotace 2020'!$F$3:$G$49,2,FALSE),0)</f>
        <v>0</v>
      </c>
      <c r="GL43" s="314">
        <f>IFERROR(VLOOKUP(GL1,'HK-dotace 2020'!$F$3:$G$49,2,FALSE),0)</f>
        <v>0</v>
      </c>
      <c r="GM43" s="314">
        <f>IFERROR(VLOOKUP(GM1,'HK-dotace 2020'!$F$3:$G$49,2,FALSE),0)</f>
        <v>0</v>
      </c>
      <c r="GN43" s="314">
        <f>IFERROR(VLOOKUP(GN1,'HK-dotace 2020'!$F$3:$G$49,2,FALSE),0)</f>
        <v>0</v>
      </c>
      <c r="GO43" s="314">
        <f>IFERROR(VLOOKUP(GO1,'HK-dotace 2020'!$F$3:$G$49,2,FALSE),0)</f>
        <v>0</v>
      </c>
      <c r="GP43" s="314">
        <f>IFERROR(VLOOKUP(GP1,'HK-dotace 2020'!$F$3:$G$49,2,FALSE),0)</f>
        <v>0</v>
      </c>
      <c r="GQ43" s="314">
        <f>IFERROR(VLOOKUP(GQ1,'HK-dotace 2020'!$F$3:$G$49,2,FALSE),0)</f>
        <v>0</v>
      </c>
      <c r="GR43" s="314">
        <f>IFERROR(VLOOKUP(GR1,'HK-dotace 2020'!$F$3:$G$49,2,FALSE),0)</f>
        <v>0</v>
      </c>
      <c r="GS43" s="314">
        <f>IFERROR(VLOOKUP(GS1,'HK-dotace 2020'!$F$3:$G$49,2,FALSE),0)</f>
        <v>0</v>
      </c>
      <c r="GT43" s="314">
        <f>IFERROR(VLOOKUP(GT1,'HK-dotace 2020'!$F$3:$G$49,2,FALSE),0)</f>
        <v>0</v>
      </c>
      <c r="GU43" s="314">
        <f>IFERROR(VLOOKUP(GU1,'HK-dotace 2020'!$F$3:$G$49,2,FALSE),0)</f>
        <v>0</v>
      </c>
      <c r="GV43" s="314">
        <f>IFERROR(VLOOKUP(GV1,'HK-dotace 2020'!$F$3:$G$49,2,FALSE),0)</f>
        <v>0</v>
      </c>
      <c r="GW43" s="314">
        <f>IFERROR(VLOOKUP(GW1,'HK-dotace 2020'!$F$3:$G$49,2,FALSE),0)</f>
        <v>0</v>
      </c>
      <c r="GX43" s="314">
        <f>IFERROR(VLOOKUP(GX1,'HK-dotace 2020'!$F$3:$G$49,2,FALSE),0)</f>
        <v>0</v>
      </c>
      <c r="GY43" s="314">
        <f>IFERROR(VLOOKUP(GY1,'HK-dotace 2020'!$F$3:$G$49,2,FALSE),0)</f>
        <v>0</v>
      </c>
      <c r="GZ43" s="314">
        <f>IFERROR(VLOOKUP(GZ1,'HK-dotace 2020'!$F$3:$G$49,2,FALSE),0)</f>
        <v>0</v>
      </c>
      <c r="HA43" s="314">
        <f>IFERROR(VLOOKUP(HA1,'HK-dotace 2020'!$F$3:$G$49,2,FALSE),0)</f>
        <v>0</v>
      </c>
      <c r="HB43" s="314">
        <f>IFERROR(VLOOKUP(HB1,'HK-dotace 2020'!$F$3:$G$49,2,FALSE),0)</f>
        <v>0</v>
      </c>
      <c r="HC43" s="314">
        <f>IFERROR(VLOOKUP(HC1,'HK-dotace 2020'!$F$3:$G$49,2,FALSE),0)</f>
        <v>0</v>
      </c>
      <c r="HD43" s="314">
        <f>IFERROR(VLOOKUP(HD1,'HK-dotace 2020'!$F$3:$G$49,2,FALSE),0)</f>
        <v>0</v>
      </c>
      <c r="HE43" s="314">
        <f>IFERROR(VLOOKUP(HE1,'HK-dotace 2020'!$F$3:$G$49,2,FALSE),0)</f>
        <v>0</v>
      </c>
      <c r="HF43" s="314">
        <f>IFERROR(VLOOKUP(HF1,'HK-dotace 2020'!$F$3:$G$49,2,FALSE),0)</f>
        <v>0</v>
      </c>
      <c r="HG43" s="314">
        <f>IFERROR(VLOOKUP(HG1,'HK-dotace 2020'!$F$3:$G$49,2,FALSE),0)</f>
        <v>0</v>
      </c>
      <c r="HH43" s="314">
        <f>IFERROR(VLOOKUP(HH1,'HK-dotace 2020'!$F$3:$G$49,2,FALSE),0)</f>
        <v>0</v>
      </c>
      <c r="HI43" s="314">
        <f>IFERROR(VLOOKUP(HI1,'HK-dotace 2020'!$F$3:$G$49,2,FALSE),0)</f>
        <v>0</v>
      </c>
      <c r="HJ43" s="314">
        <f>IFERROR(VLOOKUP(HJ1,'HK-dotace 2020'!$F$3:$G$49,2,FALSE),0)</f>
        <v>0</v>
      </c>
      <c r="HK43" s="314">
        <f>IFERROR(VLOOKUP(HK1,'HK-dotace 2020'!$F$3:$G$49,2,FALSE),0)</f>
        <v>0</v>
      </c>
      <c r="HL43" s="314">
        <f>IFERROR(VLOOKUP(HL1,'HK-dotace 2020'!$F$3:$G$49,2,FALSE),0)</f>
        <v>0</v>
      </c>
      <c r="HM43" s="314">
        <f>IFERROR(VLOOKUP(HM1,'HK-dotace 2020'!$F$3:$G$49,2,FALSE),0)</f>
        <v>0</v>
      </c>
      <c r="HN43" s="314">
        <f>IFERROR(VLOOKUP(HN1,'HK-dotace 2020'!$F$3:$G$49,2,FALSE),0)</f>
        <v>0</v>
      </c>
      <c r="HO43" s="314">
        <f>IFERROR(VLOOKUP(HO1,'HK-dotace 2020'!$F$3:$G$49,2,FALSE),0)</f>
        <v>0</v>
      </c>
      <c r="HP43" s="314">
        <f>IFERROR(VLOOKUP(HP1,'HK-dotace 2020'!$F$3:$G$49,2,FALSE),0)</f>
        <v>0</v>
      </c>
      <c r="HQ43" s="314">
        <f>IFERROR(VLOOKUP(HQ1,'HK-dotace 2020'!$F$3:$G$49,2,FALSE),0)</f>
        <v>0</v>
      </c>
      <c r="HR43" s="314">
        <f>IFERROR(VLOOKUP(HR1,'HK-dotace 2020'!$F$3:$G$49,2,FALSE),0)</f>
        <v>0</v>
      </c>
      <c r="HS43" s="314">
        <f>IFERROR(VLOOKUP(HS1,'HK-dotace 2020'!$F$3:$G$49,2,FALSE),0)</f>
        <v>0</v>
      </c>
      <c r="HT43" s="314">
        <f>IFERROR(VLOOKUP(HT1,'HK-dotace 2020'!$F$3:$G$49,2,FALSE),0)</f>
        <v>0</v>
      </c>
      <c r="HU43" s="314">
        <f>IFERROR(VLOOKUP(HU1,'HK-dotace 2020'!$F$3:$G$49,2,FALSE),0)</f>
        <v>0</v>
      </c>
      <c r="HV43" s="314">
        <f>IFERROR(VLOOKUP(HV1,'HK-dotace 2020'!$F$3:$G$49,2,FALSE),0)</f>
        <v>0</v>
      </c>
      <c r="HW43" s="314">
        <f>IFERROR(VLOOKUP(HW1,'HK-dotace 2020'!$F$3:$G$49,2,FALSE),0)</f>
        <v>0</v>
      </c>
      <c r="HX43" s="314">
        <f>IFERROR(VLOOKUP(HX1,'HK-dotace 2020'!$F$3:$G$49,2,FALSE),0)</f>
        <v>0</v>
      </c>
      <c r="HY43" s="314">
        <f>IFERROR(VLOOKUP(HY1,'HK-dotace 2020'!$F$3:$G$49,2,FALSE),0)</f>
        <v>0</v>
      </c>
      <c r="HZ43" s="314">
        <f>IFERROR(VLOOKUP(HZ1,'HK-dotace 2020'!$F$3:$G$49,2,FALSE),0)</f>
        <v>0</v>
      </c>
      <c r="IA43" s="314">
        <f>IFERROR(VLOOKUP(IA1,'HK-dotace 2020'!$F$3:$G$49,2,FALSE),0)</f>
        <v>0</v>
      </c>
      <c r="IB43" s="314">
        <f>IFERROR(VLOOKUP(IB1,'HK-dotace 2020'!$F$3:$G$49,2,FALSE),0)</f>
        <v>0</v>
      </c>
      <c r="IC43" s="314">
        <f>IFERROR(VLOOKUP(IC1,'HK-dotace 2020'!$F$3:$G$49,2,FALSE),0)</f>
        <v>0</v>
      </c>
      <c r="ID43" s="314">
        <f>IFERROR(VLOOKUP(ID1,'HK-dotace 2020'!$F$3:$G$49,2,FALSE),0)</f>
        <v>0</v>
      </c>
      <c r="IE43" s="314">
        <f>IFERROR(VLOOKUP(IE1,'HK-dotace 2020'!$F$3:$G$49,2,FALSE),0)</f>
        <v>0</v>
      </c>
      <c r="IF43" s="314">
        <f>IFERROR(VLOOKUP(IF1,'HK-dotace 2020'!$F$3:$G$49,2,FALSE),0)</f>
        <v>0</v>
      </c>
      <c r="IG43" s="314">
        <f>IFERROR(VLOOKUP(IG1,'HK-dotace 2020'!$F$3:$G$49,2,FALSE),0)</f>
        <v>0</v>
      </c>
      <c r="IH43" s="314">
        <f>IFERROR(VLOOKUP(IH1,'HK-dotace 2020'!$F$3:$G$49,2,FALSE),0)</f>
        <v>0</v>
      </c>
      <c r="II43" s="314">
        <f>IFERROR(VLOOKUP(II1,'HK-dotace 2020'!$F$3:$G$49,2,FALSE),0)</f>
        <v>0</v>
      </c>
      <c r="IJ43" s="314">
        <f>IFERROR(VLOOKUP(IJ1,'HK-dotace 2020'!$F$3:$G$49,2,FALSE),0)</f>
        <v>0</v>
      </c>
      <c r="IK43" s="314">
        <f>IFERROR(VLOOKUP(IK1,'HK-dotace 2020'!$F$3:$G$49,2,FALSE),0)</f>
        <v>0</v>
      </c>
      <c r="IL43" s="314">
        <f>IFERROR(VLOOKUP(IL1,'HK-dotace 2020'!$F$3:$G$49,2,FALSE),0)</f>
        <v>0</v>
      </c>
      <c r="IM43" s="314">
        <f>IFERROR(VLOOKUP(IM1,'HK-dotace 2020'!$F$3:$G$49,2,FALSE),0)</f>
        <v>0</v>
      </c>
      <c r="IN43" s="314">
        <f>IFERROR(VLOOKUP(IN1,'HK-dotace 2020'!$F$3:$G$49,2,FALSE),0)</f>
        <v>0</v>
      </c>
      <c r="IO43" s="314">
        <f>IFERROR(VLOOKUP(IO1,'HK-dotace 2020'!$F$3:$G$49,2,FALSE),0)</f>
        <v>0</v>
      </c>
      <c r="IP43" s="314">
        <f>IFERROR(VLOOKUP(IP1,'HK-dotace 2020'!$F$3:$G$49,2,FALSE),0)</f>
        <v>0</v>
      </c>
      <c r="IQ43" s="314">
        <f>IFERROR(VLOOKUP(IQ1,'HK-dotace 2020'!$F$3:$G$49,2,FALSE),0)</f>
        <v>0</v>
      </c>
      <c r="IR43" s="314">
        <f>IFERROR(VLOOKUP(IR1,'HK-dotace 2020'!$F$3:$G$49,2,FALSE),0)</f>
        <v>0</v>
      </c>
      <c r="IS43" s="314">
        <f>IFERROR(VLOOKUP(IS1,'HK-dotace 2020'!$F$3:$G$49,2,FALSE),0)</f>
        <v>0</v>
      </c>
      <c r="IT43" s="314">
        <f>IFERROR(VLOOKUP(IT1,'HK-dotace 2020'!$F$3:$G$49,2,FALSE),0)</f>
        <v>0</v>
      </c>
      <c r="IU43" s="314">
        <f>IFERROR(VLOOKUP(IU1,'HK-dotace 2020'!$F$3:$G$49,2,FALSE),0)</f>
        <v>0</v>
      </c>
      <c r="IV43" s="314">
        <f>IFERROR(VLOOKUP(IV1,'HK-dotace 2020'!$F$3:$G$49,2,FALSE),0)</f>
        <v>0</v>
      </c>
      <c r="IW43" s="314">
        <f>IFERROR(VLOOKUP(IW1,'HK-dotace 2020'!$F$3:$G$49,2,FALSE),0)</f>
        <v>0</v>
      </c>
      <c r="IX43" s="314">
        <f>IFERROR(VLOOKUP(IX1,'HK-dotace 2020'!$F$3:$G$49,2,FALSE),0)</f>
        <v>0</v>
      </c>
      <c r="IY43" s="314">
        <f>IFERROR(VLOOKUP(IY1,'HK-dotace 2020'!$F$3:$G$49,2,FALSE),0)</f>
        <v>0</v>
      </c>
      <c r="IZ43" s="314">
        <f>IFERROR(VLOOKUP(IZ1,'HK-dotace 2020'!$F$3:$G$49,2,FALSE),0)</f>
        <v>0</v>
      </c>
      <c r="JA43" s="314">
        <f>IFERROR(VLOOKUP(JA1,'HK-dotace 2020'!$F$3:$G$49,2,FALSE),0)</f>
        <v>0</v>
      </c>
      <c r="JB43" s="314">
        <f>IFERROR(VLOOKUP(JB1,'HK-dotace 2020'!$F$3:$G$49,2,FALSE),0)</f>
        <v>0</v>
      </c>
      <c r="JC43" s="314">
        <f>IFERROR(VLOOKUP(JC1,'HK-dotace 2020'!$F$3:$G$49,2,FALSE),0)</f>
        <v>0</v>
      </c>
      <c r="JD43" s="314">
        <f>IFERROR(VLOOKUP(JD1,'HK-dotace 2020'!$F$3:$G$49,2,FALSE),0)</f>
        <v>0</v>
      </c>
      <c r="JE43" s="314">
        <f>IFERROR(VLOOKUP(JE1,'HK-dotace 2020'!$F$3:$G$49,2,FALSE),0)</f>
        <v>0</v>
      </c>
      <c r="JF43" s="314">
        <f>IFERROR(VLOOKUP(JF1,'HK-dotace 2020'!$F$3:$G$49,2,FALSE),0)</f>
        <v>0</v>
      </c>
      <c r="JG43" s="314">
        <f>IFERROR(VLOOKUP(JG1,'HK-dotace 2020'!$F$3:$G$49,2,FALSE),0)</f>
        <v>0</v>
      </c>
      <c r="JH43" s="314">
        <f>IFERROR(VLOOKUP(JH1,'HK-dotace 2020'!$F$3:$G$49,2,FALSE),0)</f>
        <v>0</v>
      </c>
      <c r="JI43" s="321">
        <f>SUM(C43:JH43)</f>
        <v>36000000</v>
      </c>
    </row>
    <row r="44" spans="1:277" x14ac:dyDescent="0.25">
      <c r="A44" s="557"/>
      <c r="B44" s="557" t="s">
        <v>2525</v>
      </c>
      <c r="C44" s="558">
        <f t="shared" ref="C44:BO44" si="317">C7-C8</f>
        <v>9150000</v>
      </c>
      <c r="D44" s="558">
        <f t="shared" si="317"/>
        <v>7730000</v>
      </c>
      <c r="E44" s="558">
        <f t="shared" si="317"/>
        <v>9300000</v>
      </c>
      <c r="F44" s="558">
        <f t="shared" si="317"/>
        <v>4618835</v>
      </c>
      <c r="G44" s="558">
        <f t="shared" si="317"/>
        <v>10747751</v>
      </c>
      <c r="H44" s="558">
        <f t="shared" si="317"/>
        <v>1157858</v>
      </c>
      <c r="I44" s="558">
        <f t="shared" si="317"/>
        <v>3164198</v>
      </c>
      <c r="J44" s="558">
        <f t="shared" si="317"/>
        <v>2915400</v>
      </c>
      <c r="K44" s="558">
        <f t="shared" si="317"/>
        <v>5988080</v>
      </c>
      <c r="L44" s="558">
        <f t="shared" si="317"/>
        <v>4702400</v>
      </c>
      <c r="M44" s="558">
        <f t="shared" si="317"/>
        <v>4800000</v>
      </c>
      <c r="N44" s="558">
        <f t="shared" si="317"/>
        <v>6300000</v>
      </c>
      <c r="O44" s="558">
        <f t="shared" si="317"/>
        <v>4346141</v>
      </c>
      <c r="P44" s="558">
        <f t="shared" si="317"/>
        <v>2694928</v>
      </c>
      <c r="Q44" s="558">
        <f t="shared" si="317"/>
        <v>2795000</v>
      </c>
      <c r="R44" s="558">
        <f t="shared" si="317"/>
        <v>2091000</v>
      </c>
      <c r="S44" s="558">
        <f t="shared" si="317"/>
        <v>1735000</v>
      </c>
      <c r="T44" s="558">
        <f t="shared" si="317"/>
        <v>698000</v>
      </c>
      <c r="U44" s="558">
        <f t="shared" si="317"/>
        <v>1087500</v>
      </c>
      <c r="V44" s="558">
        <f t="shared" si="317"/>
        <v>9285000</v>
      </c>
      <c r="W44" s="558">
        <f t="shared" si="317"/>
        <v>2130000</v>
      </c>
      <c r="X44" s="558">
        <f t="shared" si="317"/>
        <v>2988500</v>
      </c>
      <c r="Y44" s="558">
        <f t="shared" si="317"/>
        <v>1770700</v>
      </c>
      <c r="Z44" s="558">
        <f t="shared" si="317"/>
        <v>7231924</v>
      </c>
      <c r="AA44" s="558">
        <f t="shared" si="317"/>
        <v>4621783</v>
      </c>
      <c r="AB44" s="558">
        <f t="shared" si="317"/>
        <v>4630000</v>
      </c>
      <c r="AC44" s="558"/>
      <c r="AD44" s="558">
        <f t="shared" si="317"/>
        <v>2672000</v>
      </c>
      <c r="AE44" s="558">
        <f t="shared" si="317"/>
        <v>805640</v>
      </c>
      <c r="AF44" s="558">
        <f t="shared" si="317"/>
        <v>1425292</v>
      </c>
      <c r="AG44" s="558">
        <f t="shared" si="317"/>
        <v>3596000</v>
      </c>
      <c r="AH44" s="558">
        <f t="shared" si="317"/>
        <v>760000</v>
      </c>
      <c r="AI44" s="558">
        <f t="shared" si="317"/>
        <v>3404000</v>
      </c>
      <c r="AJ44" s="558">
        <f t="shared" si="317"/>
        <v>2585000</v>
      </c>
      <c r="AK44" s="558">
        <f t="shared" si="317"/>
        <v>1251400</v>
      </c>
      <c r="AL44" s="558">
        <f t="shared" si="317"/>
        <v>2630000</v>
      </c>
      <c r="AM44" s="558">
        <f t="shared" si="317"/>
        <v>1634492</v>
      </c>
      <c r="AN44" s="558">
        <f t="shared" si="317"/>
        <v>1177000</v>
      </c>
      <c r="AO44" s="558">
        <f t="shared" si="317"/>
        <v>5500000</v>
      </c>
      <c r="AP44" s="558">
        <f t="shared" si="317"/>
        <v>2220000</v>
      </c>
      <c r="AQ44" s="558">
        <f t="shared" si="317"/>
        <v>491000</v>
      </c>
      <c r="AR44" s="558">
        <f t="shared" si="317"/>
        <v>1929000</v>
      </c>
      <c r="AS44" s="558">
        <f t="shared" si="317"/>
        <v>640200</v>
      </c>
      <c r="AT44" s="558">
        <f t="shared" si="317"/>
        <v>2900000</v>
      </c>
      <c r="AU44" s="558">
        <f t="shared" si="317"/>
        <v>1416300</v>
      </c>
      <c r="AV44" s="558">
        <f t="shared" si="317"/>
        <v>2235500</v>
      </c>
      <c r="AW44" s="558">
        <f t="shared" si="317"/>
        <v>3142100</v>
      </c>
      <c r="AX44" s="558">
        <f t="shared" si="317"/>
        <v>3395000</v>
      </c>
      <c r="AY44" s="558">
        <f t="shared" si="317"/>
        <v>3471000</v>
      </c>
      <c r="AZ44" s="558">
        <f t="shared" si="317"/>
        <v>2981000</v>
      </c>
      <c r="BA44" s="558">
        <f t="shared" si="317"/>
        <v>9230000</v>
      </c>
      <c r="BB44" s="558">
        <f t="shared" si="317"/>
        <v>1312920</v>
      </c>
      <c r="BC44" s="558">
        <f t="shared" si="317"/>
        <v>1668800</v>
      </c>
      <c r="BD44" s="558">
        <f t="shared" si="317"/>
        <v>2208600</v>
      </c>
      <c r="BE44" s="558">
        <f t="shared" si="317"/>
        <v>1290900</v>
      </c>
      <c r="BF44" s="558">
        <f t="shared" si="317"/>
        <v>2020000</v>
      </c>
      <c r="BG44" s="558">
        <f t="shared" si="317"/>
        <v>2499000</v>
      </c>
      <c r="BH44" s="558">
        <f t="shared" si="317"/>
        <v>3206000</v>
      </c>
      <c r="BI44" s="558">
        <f t="shared" si="317"/>
        <v>1270000</v>
      </c>
      <c r="BJ44" s="558">
        <f t="shared" si="317"/>
        <v>3539000</v>
      </c>
      <c r="BK44" s="558">
        <f t="shared" si="317"/>
        <v>100000</v>
      </c>
      <c r="BL44" s="558">
        <f t="shared" si="317"/>
        <v>1000000</v>
      </c>
      <c r="BM44" s="558">
        <f t="shared" si="317"/>
        <v>1464826</v>
      </c>
      <c r="BN44" s="558">
        <f t="shared" si="317"/>
        <v>1902000</v>
      </c>
      <c r="BO44" s="558">
        <f t="shared" si="317"/>
        <v>1072000</v>
      </c>
      <c r="BP44" s="558">
        <f t="shared" ref="BP44:EA44" si="318">BP7-BP8</f>
        <v>4739080</v>
      </c>
      <c r="BQ44" s="558">
        <f t="shared" si="318"/>
        <v>112726</v>
      </c>
      <c r="BR44" s="558">
        <f t="shared" si="318"/>
        <v>1013021</v>
      </c>
      <c r="BS44" s="558">
        <f t="shared" si="318"/>
        <v>1408027</v>
      </c>
      <c r="BT44" s="558">
        <f t="shared" si="318"/>
        <v>956642</v>
      </c>
      <c r="BU44" s="558">
        <f t="shared" si="318"/>
        <v>5554950</v>
      </c>
      <c r="BV44" s="558">
        <f t="shared" si="318"/>
        <v>1310620</v>
      </c>
      <c r="BW44" s="558">
        <f t="shared" si="318"/>
        <v>590000</v>
      </c>
      <c r="BX44" s="558">
        <f t="shared" si="318"/>
        <v>5228000</v>
      </c>
      <c r="BY44" s="558">
        <f t="shared" si="318"/>
        <v>1945000</v>
      </c>
      <c r="BZ44" s="558">
        <f t="shared" si="318"/>
        <v>398000</v>
      </c>
      <c r="CA44" s="558">
        <f t="shared" si="318"/>
        <v>0</v>
      </c>
      <c r="CB44" s="558">
        <f t="shared" si="318"/>
        <v>695000</v>
      </c>
      <c r="CC44" s="558">
        <f t="shared" si="318"/>
        <v>2747000</v>
      </c>
      <c r="CD44" s="558">
        <f t="shared" si="318"/>
        <v>991000</v>
      </c>
      <c r="CE44" s="558">
        <f t="shared" si="318"/>
        <v>11492000</v>
      </c>
      <c r="CF44" s="558">
        <f t="shared" si="318"/>
        <v>4720790</v>
      </c>
      <c r="CG44" s="558">
        <f t="shared" si="318"/>
        <v>1390000</v>
      </c>
      <c r="CH44" s="558">
        <f t="shared" si="318"/>
        <v>3703000</v>
      </c>
      <c r="CI44" s="558">
        <f t="shared" si="318"/>
        <v>3270000</v>
      </c>
      <c r="CJ44" s="558">
        <f t="shared" si="318"/>
        <v>4513515</v>
      </c>
      <c r="CK44" s="558">
        <f t="shared" si="318"/>
        <v>4542000</v>
      </c>
      <c r="CL44" s="558">
        <f t="shared" si="318"/>
        <v>3015000</v>
      </c>
      <c r="CM44" s="558">
        <f t="shared" si="318"/>
        <v>7604514</v>
      </c>
      <c r="CN44" s="558">
        <f t="shared" si="318"/>
        <v>1507362</v>
      </c>
      <c r="CO44" s="558">
        <f t="shared" si="318"/>
        <v>1546768</v>
      </c>
      <c r="CP44" s="558">
        <f t="shared" si="318"/>
        <v>1478852</v>
      </c>
      <c r="CQ44" s="558">
        <f t="shared" si="318"/>
        <v>6470764</v>
      </c>
      <c r="CR44" s="558">
        <f t="shared" si="318"/>
        <v>2331094</v>
      </c>
      <c r="CS44" s="558">
        <f t="shared" si="318"/>
        <v>3298929</v>
      </c>
      <c r="CT44" s="558">
        <f t="shared" si="318"/>
        <v>5705918</v>
      </c>
      <c r="CU44" s="558">
        <f t="shared" si="318"/>
        <v>1875000</v>
      </c>
      <c r="CV44" s="558">
        <f t="shared" si="318"/>
        <v>6960000</v>
      </c>
      <c r="CW44" s="558">
        <f t="shared" si="318"/>
        <v>400000</v>
      </c>
      <c r="CX44" s="558">
        <f t="shared" si="318"/>
        <v>3457000</v>
      </c>
      <c r="CY44" s="558">
        <f t="shared" si="318"/>
        <v>3240000</v>
      </c>
      <c r="CZ44" s="558">
        <f t="shared" si="318"/>
        <v>371000</v>
      </c>
      <c r="DA44" s="558">
        <f t="shared" si="318"/>
        <v>7650000</v>
      </c>
      <c r="DB44" s="558">
        <f t="shared" si="318"/>
        <v>760808</v>
      </c>
      <c r="DC44" s="558">
        <f t="shared" si="318"/>
        <v>2030000</v>
      </c>
      <c r="DD44" s="558">
        <f t="shared" si="318"/>
        <v>5300000</v>
      </c>
      <c r="DE44" s="558">
        <f t="shared" si="318"/>
        <v>2810000</v>
      </c>
      <c r="DF44" s="558">
        <f t="shared" si="318"/>
        <v>4660760</v>
      </c>
      <c r="DG44" s="558">
        <f t="shared" si="318"/>
        <v>1865426</v>
      </c>
      <c r="DH44" s="558">
        <f t="shared" si="318"/>
        <v>2425434</v>
      </c>
      <c r="DI44" s="558">
        <f t="shared" si="318"/>
        <v>1393074</v>
      </c>
      <c r="DJ44" s="558">
        <f t="shared" si="318"/>
        <v>1920826</v>
      </c>
      <c r="DK44" s="558">
        <f t="shared" si="318"/>
        <v>2417346</v>
      </c>
      <c r="DL44" s="558">
        <f t="shared" si="318"/>
        <v>7306533</v>
      </c>
      <c r="DM44" s="558">
        <f t="shared" si="318"/>
        <v>2395000</v>
      </c>
      <c r="DN44" s="558">
        <f t="shared" si="318"/>
        <v>3689667</v>
      </c>
      <c r="DO44" s="558">
        <f t="shared" si="318"/>
        <v>1734000</v>
      </c>
      <c r="DP44" s="558">
        <f t="shared" si="318"/>
        <v>4315763</v>
      </c>
      <c r="DQ44" s="558">
        <f t="shared" si="318"/>
        <v>4013645</v>
      </c>
      <c r="DR44" s="558">
        <f t="shared" si="318"/>
        <v>4423025</v>
      </c>
      <c r="DS44" s="558">
        <f t="shared" si="318"/>
        <v>878000</v>
      </c>
      <c r="DT44" s="558">
        <f t="shared" si="318"/>
        <v>3015000</v>
      </c>
      <c r="DU44" s="558">
        <f t="shared" si="318"/>
        <v>0</v>
      </c>
      <c r="DV44" s="558">
        <f t="shared" si="318"/>
        <v>4423333</v>
      </c>
      <c r="DW44" s="558">
        <f t="shared" si="318"/>
        <v>0</v>
      </c>
      <c r="DX44" s="558">
        <f t="shared" si="318"/>
        <v>0</v>
      </c>
      <c r="DY44" s="558">
        <f t="shared" si="318"/>
        <v>6070000</v>
      </c>
      <c r="DZ44" s="558">
        <f t="shared" si="318"/>
        <v>924000</v>
      </c>
      <c r="EA44" s="558">
        <f t="shared" si="318"/>
        <v>3910500</v>
      </c>
      <c r="EB44" s="558">
        <f t="shared" ref="EB44:GM44" si="319">EB7-EB8</f>
        <v>5674772</v>
      </c>
      <c r="EC44" s="558">
        <f t="shared" si="319"/>
        <v>4509620</v>
      </c>
      <c r="ED44" s="558">
        <f t="shared" si="319"/>
        <v>3945350</v>
      </c>
      <c r="EE44" s="558">
        <f t="shared" si="319"/>
        <v>610000</v>
      </c>
      <c r="EF44" s="558">
        <f t="shared" si="319"/>
        <v>666000</v>
      </c>
      <c r="EG44" s="558">
        <f t="shared" si="319"/>
        <v>425000</v>
      </c>
      <c r="EH44" s="558">
        <f t="shared" si="319"/>
        <v>595000</v>
      </c>
      <c r="EI44" s="558">
        <f t="shared" si="319"/>
        <v>1025000</v>
      </c>
      <c r="EJ44" s="558">
        <f t="shared" si="319"/>
        <v>1254497</v>
      </c>
      <c r="EK44" s="558">
        <f t="shared" si="319"/>
        <v>5250700</v>
      </c>
      <c r="EL44" s="558">
        <f t="shared" si="319"/>
        <v>10921600</v>
      </c>
      <c r="EM44" s="558">
        <f t="shared" si="319"/>
        <v>4256000</v>
      </c>
      <c r="EN44" s="558">
        <f t="shared" si="319"/>
        <v>2526602</v>
      </c>
      <c r="EO44" s="558">
        <f t="shared" si="319"/>
        <v>413760</v>
      </c>
      <c r="EP44" s="558">
        <f t="shared" si="319"/>
        <v>2970065</v>
      </c>
      <c r="EQ44" s="558">
        <f t="shared" si="319"/>
        <v>2886486</v>
      </c>
      <c r="ER44" s="558">
        <f t="shared" si="319"/>
        <v>6229000</v>
      </c>
      <c r="ES44" s="558">
        <f t="shared" si="319"/>
        <v>3480000</v>
      </c>
      <c r="ET44" s="558">
        <f t="shared" si="319"/>
        <v>901340</v>
      </c>
      <c r="EU44" s="558">
        <f t="shared" si="319"/>
        <v>2056000</v>
      </c>
      <c r="EV44" s="558">
        <f t="shared" si="319"/>
        <v>650000</v>
      </c>
      <c r="EW44" s="558">
        <f t="shared" si="319"/>
        <v>2800000</v>
      </c>
      <c r="EX44" s="558">
        <f t="shared" si="319"/>
        <v>7200000</v>
      </c>
      <c r="EY44" s="558">
        <f t="shared" si="319"/>
        <v>2500000</v>
      </c>
      <c r="EZ44" s="558">
        <f t="shared" si="319"/>
        <v>270000</v>
      </c>
      <c r="FA44" s="558">
        <f t="shared" si="319"/>
        <v>990000</v>
      </c>
      <c r="FB44" s="558">
        <f t="shared" si="319"/>
        <v>233682</v>
      </c>
      <c r="FC44" s="558">
        <f t="shared" si="319"/>
        <v>5000000</v>
      </c>
      <c r="FD44" s="558">
        <f t="shared" si="319"/>
        <v>1200000</v>
      </c>
      <c r="FE44" s="558">
        <f t="shared" si="319"/>
        <v>390000</v>
      </c>
      <c r="FF44" s="558">
        <f t="shared" si="319"/>
        <v>1561200</v>
      </c>
      <c r="FG44" s="558">
        <f t="shared" si="319"/>
        <v>5703200</v>
      </c>
      <c r="FH44" s="558">
        <f t="shared" si="319"/>
        <v>6594603</v>
      </c>
      <c r="FI44" s="558">
        <f t="shared" si="319"/>
        <v>7800000</v>
      </c>
      <c r="FJ44" s="558">
        <f t="shared" si="319"/>
        <v>2200000</v>
      </c>
      <c r="FK44" s="558">
        <f t="shared" si="319"/>
        <v>937000</v>
      </c>
      <c r="FL44" s="558">
        <f t="shared" si="319"/>
        <v>965000</v>
      </c>
      <c r="FM44" s="558">
        <f t="shared" si="319"/>
        <v>4500000</v>
      </c>
      <c r="FN44" s="558">
        <f t="shared" si="319"/>
        <v>8082419</v>
      </c>
      <c r="FO44" s="558">
        <f t="shared" si="319"/>
        <v>2666678</v>
      </c>
      <c r="FP44" s="558">
        <f t="shared" si="319"/>
        <v>16758000</v>
      </c>
      <c r="FQ44" s="558">
        <f t="shared" si="319"/>
        <v>2142886</v>
      </c>
      <c r="FR44" s="558">
        <f t="shared" si="319"/>
        <v>3986708</v>
      </c>
      <c r="FS44" s="558">
        <f t="shared" si="319"/>
        <v>601500</v>
      </c>
      <c r="FT44" s="558">
        <f t="shared" si="319"/>
        <v>4812000</v>
      </c>
      <c r="FU44" s="558">
        <f t="shared" si="319"/>
        <v>552000</v>
      </c>
      <c r="FV44" s="558">
        <f t="shared" si="319"/>
        <v>1105000</v>
      </c>
      <c r="FW44" s="558">
        <f t="shared" si="319"/>
        <v>1800000</v>
      </c>
      <c r="FX44" s="558">
        <f t="shared" si="319"/>
        <v>700000</v>
      </c>
      <c r="FY44" s="558">
        <f t="shared" si="319"/>
        <v>200000</v>
      </c>
      <c r="FZ44" s="558">
        <f t="shared" si="319"/>
        <v>7690000</v>
      </c>
      <c r="GA44" s="558">
        <f t="shared" si="319"/>
        <v>978000</v>
      </c>
      <c r="GB44" s="558">
        <f t="shared" si="319"/>
        <v>4746000</v>
      </c>
      <c r="GC44" s="558">
        <f t="shared" si="319"/>
        <v>2728000</v>
      </c>
      <c r="GD44" s="558">
        <f t="shared" si="319"/>
        <v>11396000</v>
      </c>
      <c r="GE44" s="558">
        <f t="shared" si="319"/>
        <v>1800000</v>
      </c>
      <c r="GF44" s="558">
        <f t="shared" si="319"/>
        <v>5289602</v>
      </c>
      <c r="GG44" s="558">
        <f t="shared" si="319"/>
        <v>1284855</v>
      </c>
      <c r="GH44" s="558">
        <f t="shared" si="319"/>
        <v>1054717</v>
      </c>
      <c r="GI44" s="558">
        <f t="shared" si="319"/>
        <v>10416974</v>
      </c>
      <c r="GJ44" s="558">
        <f t="shared" si="319"/>
        <v>2195910</v>
      </c>
      <c r="GK44" s="558">
        <f t="shared" si="319"/>
        <v>1100000</v>
      </c>
      <c r="GL44" s="558">
        <f t="shared" si="319"/>
        <v>750000</v>
      </c>
      <c r="GM44" s="558">
        <f t="shared" si="319"/>
        <v>930000</v>
      </c>
      <c r="GN44" s="558">
        <f t="shared" ref="GN44:IY44" si="320">GN7-GN8</f>
        <v>1018000</v>
      </c>
      <c r="GO44" s="558">
        <f t="shared" si="320"/>
        <v>4777941</v>
      </c>
      <c r="GP44" s="558">
        <f t="shared" si="320"/>
        <v>1889000</v>
      </c>
      <c r="GQ44" s="558">
        <f t="shared" si="320"/>
        <v>1000000</v>
      </c>
      <c r="GR44" s="558">
        <f t="shared" si="320"/>
        <v>610000</v>
      </c>
      <c r="GS44" s="558">
        <f t="shared" si="320"/>
        <v>180000</v>
      </c>
      <c r="GT44" s="558">
        <f t="shared" si="320"/>
        <v>8922000</v>
      </c>
      <c r="GU44" s="558">
        <f t="shared" si="320"/>
        <v>807440</v>
      </c>
      <c r="GV44" s="558">
        <f t="shared" si="320"/>
        <v>5000000</v>
      </c>
      <c r="GW44" s="558">
        <f t="shared" si="320"/>
        <v>1450000</v>
      </c>
      <c r="GX44" s="558">
        <f t="shared" si="320"/>
        <v>150000</v>
      </c>
      <c r="GY44" s="558">
        <f t="shared" si="320"/>
        <v>16000000</v>
      </c>
      <c r="GZ44" s="558">
        <f t="shared" si="320"/>
        <v>2110821</v>
      </c>
      <c r="HA44" s="558">
        <f t="shared" si="320"/>
        <v>5200000</v>
      </c>
      <c r="HB44" s="558">
        <f t="shared" si="320"/>
        <v>5600000</v>
      </c>
      <c r="HC44" s="558">
        <f t="shared" si="320"/>
        <v>11200000</v>
      </c>
      <c r="HD44" s="558">
        <f t="shared" si="320"/>
        <v>2188680</v>
      </c>
      <c r="HE44" s="558">
        <f t="shared" si="320"/>
        <v>4945200</v>
      </c>
      <c r="HF44" s="558">
        <f t="shared" si="320"/>
        <v>900000</v>
      </c>
      <c r="HG44" s="558">
        <f t="shared" si="320"/>
        <v>865000</v>
      </c>
      <c r="HH44" s="558">
        <f t="shared" si="320"/>
        <v>3950000</v>
      </c>
      <c r="HI44" s="558">
        <f t="shared" si="320"/>
        <v>2500000</v>
      </c>
      <c r="HJ44" s="558">
        <f t="shared" si="320"/>
        <v>0</v>
      </c>
      <c r="HK44" s="558">
        <f t="shared" si="320"/>
        <v>209300</v>
      </c>
      <c r="HL44" s="558">
        <f t="shared" si="320"/>
        <v>50500000</v>
      </c>
      <c r="HM44" s="558">
        <f t="shared" si="320"/>
        <v>30959000</v>
      </c>
      <c r="HN44" s="558">
        <f t="shared" si="320"/>
        <v>1010000</v>
      </c>
      <c r="HO44" s="558">
        <f t="shared" si="320"/>
        <v>0</v>
      </c>
      <c r="HP44" s="558">
        <f t="shared" si="320"/>
        <v>27114000</v>
      </c>
      <c r="HQ44" s="558">
        <f t="shared" si="320"/>
        <v>700000</v>
      </c>
      <c r="HR44" s="558">
        <f t="shared" si="320"/>
        <v>27500000</v>
      </c>
      <c r="HS44" s="558">
        <f t="shared" si="320"/>
        <v>4600000</v>
      </c>
      <c r="HT44" s="558">
        <f t="shared" si="320"/>
        <v>21000000</v>
      </c>
      <c r="HU44" s="558">
        <f t="shared" si="320"/>
        <v>24100000</v>
      </c>
      <c r="HV44" s="558">
        <f t="shared" si="320"/>
        <v>17580000</v>
      </c>
      <c r="HW44" s="558">
        <f t="shared" si="320"/>
        <v>4562528</v>
      </c>
      <c r="HX44" s="558">
        <f t="shared" si="320"/>
        <v>23953272</v>
      </c>
      <c r="HY44" s="558">
        <f t="shared" si="320"/>
        <v>17351600</v>
      </c>
      <c r="HZ44" s="558">
        <f t="shared" si="320"/>
        <v>11293100</v>
      </c>
      <c r="IA44" s="558">
        <f t="shared" si="320"/>
        <v>8494730</v>
      </c>
      <c r="IB44" s="558">
        <f t="shared" si="320"/>
        <v>10442250</v>
      </c>
      <c r="IC44" s="558">
        <f t="shared" si="320"/>
        <v>11940000</v>
      </c>
      <c r="ID44" s="558">
        <f t="shared" si="320"/>
        <v>10036000</v>
      </c>
      <c r="IE44" s="558">
        <f t="shared" si="320"/>
        <v>17118000</v>
      </c>
      <c r="IF44" s="558">
        <f t="shared" si="320"/>
        <v>25404400</v>
      </c>
      <c r="IG44" s="558">
        <f t="shared" si="320"/>
        <v>8044600</v>
      </c>
      <c r="IH44" s="558">
        <f t="shared" si="320"/>
        <v>3681744</v>
      </c>
      <c r="II44" s="558">
        <f t="shared" si="320"/>
        <v>22880979</v>
      </c>
      <c r="IJ44" s="558">
        <f t="shared" si="320"/>
        <v>1571800</v>
      </c>
      <c r="IK44" s="558">
        <f t="shared" si="320"/>
        <v>609567</v>
      </c>
      <c r="IL44" s="558">
        <f t="shared" si="320"/>
        <v>9900000</v>
      </c>
      <c r="IM44" s="558">
        <f t="shared" si="320"/>
        <v>775000</v>
      </c>
      <c r="IN44" s="558">
        <f t="shared" si="320"/>
        <v>11165000</v>
      </c>
      <c r="IO44" s="558">
        <f t="shared" si="320"/>
        <v>3560000</v>
      </c>
      <c r="IP44" s="558">
        <f t="shared" si="320"/>
        <v>18876000</v>
      </c>
      <c r="IQ44" s="558">
        <f t="shared" si="320"/>
        <v>19626000</v>
      </c>
      <c r="IR44" s="558">
        <f t="shared" si="320"/>
        <v>835000</v>
      </c>
      <c r="IS44" s="558">
        <f t="shared" si="320"/>
        <v>46709000</v>
      </c>
      <c r="IT44" s="558">
        <f t="shared" si="320"/>
        <v>11542000</v>
      </c>
      <c r="IU44" s="558">
        <f t="shared" si="320"/>
        <v>3964128</v>
      </c>
      <c r="IV44" s="558">
        <f t="shared" si="320"/>
        <v>8599386</v>
      </c>
      <c r="IW44" s="558">
        <f t="shared" si="320"/>
        <v>16499135</v>
      </c>
      <c r="IX44" s="558">
        <f t="shared" si="320"/>
        <v>2238805</v>
      </c>
      <c r="IY44" s="558">
        <f t="shared" si="320"/>
        <v>10538000</v>
      </c>
      <c r="IZ44" s="558">
        <f t="shared" ref="IZ44:JH44" si="321">IZ7-IZ8</f>
        <v>23410000</v>
      </c>
      <c r="JA44" s="558">
        <f t="shared" si="321"/>
        <v>2868000</v>
      </c>
      <c r="JB44" s="558">
        <f t="shared" si="321"/>
        <v>2340000</v>
      </c>
      <c r="JC44" s="558">
        <f t="shared" si="321"/>
        <v>2290000</v>
      </c>
      <c r="JD44" s="558">
        <f t="shared" si="321"/>
        <v>3000000</v>
      </c>
      <c r="JE44" s="558">
        <f t="shared" si="321"/>
        <v>722500</v>
      </c>
      <c r="JF44" s="558">
        <f t="shared" si="321"/>
        <v>34067800</v>
      </c>
      <c r="JG44" s="558">
        <f t="shared" si="321"/>
        <v>29138040</v>
      </c>
      <c r="JH44" s="558">
        <f t="shared" si="321"/>
        <v>3377272</v>
      </c>
      <c r="JI44" s="558">
        <f>SUM(C44:JH44)</f>
        <v>1333461424</v>
      </c>
    </row>
    <row r="45" spans="1:277" ht="15.75" thickBot="1" x14ac:dyDescent="0.3">
      <c r="AC45" s="356">
        <f>AC38/AC28*AC30</f>
        <v>619833.33333333337</v>
      </c>
    </row>
    <row r="46" spans="1:277" ht="15.75" thickBot="1" x14ac:dyDescent="0.3">
      <c r="B46" s="611" t="s">
        <v>2636</v>
      </c>
      <c r="C46" s="608">
        <f>IF(C133&lt;0,IFERROR(VLOOKUP(C$1,'Výpočet VP 2020'!$A$324:BK628,42,FALSE),0)+C133,IFERROR(VLOOKUP(C$1,'Výpočet VP 2020'!$A$324:BK628,42,FALSE),0))</f>
        <v>9296049.1510793846</v>
      </c>
      <c r="D46" s="608">
        <f>IF(D133&lt;0,IFERROR(VLOOKUP(D$1,'Výpočet VP 2020'!$A$324:BL628,42,FALSE),0)+D133,IFERROR(VLOOKUP(D$1,'Výpočet VP 2020'!$A$324:BL628,42,FALSE),0))</f>
        <v>8380000</v>
      </c>
      <c r="E46" s="608">
        <f>IF(E133&lt;0,IFERROR(VLOOKUP(E$1,'Výpočet VP 2020'!$A$324:BM628,42,FALSE),0)+E133,IFERROR(VLOOKUP(E$1,'Výpočet VP 2020'!$A$324:BM628,42,FALSE),0))</f>
        <v>8887194.8468445688</v>
      </c>
      <c r="F46" s="608">
        <f>IF(F133&lt;0,IFERROR(VLOOKUP(F$1,'Výpočet VP 2020'!$A$324:BN628,42,FALSE),0)+F133,IFERROR(VLOOKUP(F$1,'Výpočet VP 2020'!$A$324:BN628,42,FALSE),0))</f>
        <v>3978884.7088353573</v>
      </c>
      <c r="G46" s="608">
        <f>IF(G133&lt;0,IFERROR(VLOOKUP(G$1,'Výpočet VP 2020'!$A$324:BO628,42,FALSE),0)+G133,IFERROR(VLOOKUP(G$1,'Výpočet VP 2020'!$A$324:BO628,42,FALSE),0))</f>
        <v>11754503.127290595</v>
      </c>
      <c r="H46" s="608">
        <f>IF(H133&lt;0,IFERROR(VLOOKUP(H$1,'Výpočet VP 2020'!$A$324:BP628,42,FALSE),0)+H133,IFERROR(VLOOKUP(H$1,'Výpočet VP 2020'!$A$324:BP628,42,FALSE),0))</f>
        <v>1265732.1198156357</v>
      </c>
      <c r="I46" s="608">
        <f>IF(I133&lt;0,IFERROR(VLOOKUP(I$1,'Výpočet VP 2020'!$A$324:BQ628,42,FALSE),0)+I133,IFERROR(VLOOKUP(I$1,'Výpočet VP 2020'!$A$324:BQ628,42,FALSE),0))</f>
        <v>3505750.9805252724</v>
      </c>
      <c r="J46" s="608">
        <f>IF(J133&lt;0,IFERROR(VLOOKUP(J$1,'Výpočet VP 2020'!$A$324:BR628,42,FALSE),0)+J133,IFERROR(VLOOKUP(J$1,'Výpočet VP 2020'!$A$324:BR628,42,FALSE),0))</f>
        <v>2983617.8557661893</v>
      </c>
      <c r="K46" s="608">
        <f>IF(K133&lt;0,IFERROR(VLOOKUP(K$1,'Výpočet VP 2020'!$A$324:BS628,42,FALSE),0)+K133,IFERROR(VLOOKUP(K$1,'Výpočet VP 2020'!$A$324:BS628,42,FALSE),0))</f>
        <v>5924518.8128773188</v>
      </c>
      <c r="L46" s="608">
        <f>IF(L133&lt;0,IFERROR(VLOOKUP(L$1,'Výpočet VP 2020'!$A$324:BT628,42,FALSE),0)+L133,IFERROR(VLOOKUP(L$1,'Výpočet VP 2020'!$A$324:BT628,42,FALSE),0))</f>
        <v>4031705.8292569402</v>
      </c>
      <c r="M46" s="608">
        <f>IF(M133&lt;0,IFERROR(VLOOKUP(M$1,'Výpočet VP 2020'!$A$324:BU628,42,FALSE),0)+M133,IFERROR(VLOOKUP(M$1,'Výpočet VP 2020'!$A$324:BU628,42,FALSE),0))</f>
        <v>3984275.238895766</v>
      </c>
      <c r="N46" s="608">
        <f>IF(N133&lt;0,IFERROR(VLOOKUP(N$1,'Výpočet VP 2020'!$A$324:BV628,42,FALSE),0)+N133,IFERROR(VLOOKUP(N$1,'Výpočet VP 2020'!$A$324:BV628,42,FALSE),0))</f>
        <v>5017302.8370803231</v>
      </c>
      <c r="O46" s="608">
        <f>IF(O133&lt;0,IFERROR(VLOOKUP(O$1,'Výpočet VP 2020'!$A$324:BW628,42,FALSE),0)+O133,IFERROR(VLOOKUP(O$1,'Výpočet VP 2020'!$A$324:BW628,42,FALSE),0))</f>
        <v>4508635.2104233941</v>
      </c>
      <c r="P46" s="608">
        <f>IF(P133&lt;0,IFERROR(VLOOKUP(P$1,'Výpočet VP 2020'!$A$324:BX628,42,FALSE),0)+P133,IFERROR(VLOOKUP(P$1,'Výpočet VP 2020'!$A$324:BX628,42,FALSE),0))</f>
        <v>2998026.0021816893</v>
      </c>
      <c r="Q46" s="608">
        <f>IF(Q133&lt;0,IFERROR(VLOOKUP(Q$1,'Výpočet VP 2020'!$A$324:BY628,42,FALSE),0)+Q133,IFERROR(VLOOKUP(Q$1,'Výpočet VP 2020'!$A$324:BY628,42,FALSE),0))</f>
        <v>2005488.4791010155</v>
      </c>
      <c r="R46" s="608">
        <f>IF(R133&lt;0,IFERROR(VLOOKUP(R$1,'Výpočet VP 2020'!$A$324:BZ628,42,FALSE),0)+R133,IFERROR(VLOOKUP(R$1,'Výpočet VP 2020'!$A$324:BZ628,42,FALSE),0))</f>
        <v>2451152.5855679074</v>
      </c>
      <c r="S46" s="608">
        <f>IF(S133&lt;0,IFERROR(VLOOKUP(S$1,'Výpočet VP 2020'!$A$324:CA628,42,FALSE),0)+S133,IFERROR(VLOOKUP(S$1,'Výpočet VP 2020'!$A$324:CA628,42,FALSE),0))</f>
        <v>1708379.0747897534</v>
      </c>
      <c r="T46" s="608">
        <f>IF(T133&lt;0,IFERROR(VLOOKUP(T$1,'Výpočet VP 2020'!$A$324:CB628,42,FALSE),0)+T133,IFERROR(VLOOKUP(T$1,'Výpočet VP 2020'!$A$324:CB628,42,FALSE),0))</f>
        <v>742773.51077815378</v>
      </c>
      <c r="U46" s="608">
        <f>IF(U133&lt;0,IFERROR(VLOOKUP(U$1,'Výpočet VP 2020'!$A$324:CC628,42,FALSE),0)+U133,IFERROR(VLOOKUP(U$1,'Výpočet VP 2020'!$A$324:CC628,42,FALSE),0))</f>
        <v>1114160.2661672307</v>
      </c>
      <c r="V46" s="608">
        <f>IF(V133&lt;0,IFERROR(VLOOKUP(V$1,'Výpočet VP 2020'!$A$324:CD628,42,FALSE),0)+V133,IFERROR(VLOOKUP(V$1,'Výpočet VP 2020'!$A$324:CD628,42,FALSE),0))</f>
        <v>13347900</v>
      </c>
      <c r="W46" s="608">
        <f>IF(W133&lt;0,IFERROR(VLOOKUP(W$1,'Výpočet VP 2020'!$A$324:CE628,42,FALSE),0)+W133,IFERROR(VLOOKUP(W$1,'Výpočet VP 2020'!$A$324:CE628,42,FALSE),0))</f>
        <v>3313600</v>
      </c>
      <c r="X46" s="608">
        <f>IF(X133&lt;0,IFERROR(VLOOKUP(X$1,'Výpočet VP 2020'!$A$324:CF628,42,FALSE),0)+X133,IFERROR(VLOOKUP(X$1,'Výpočet VP 2020'!$A$324:CF628,42,FALSE),0))</f>
        <v>2191081.086187847</v>
      </c>
      <c r="Y46" s="608">
        <f>IF(Y133&lt;0,IFERROR(VLOOKUP(Y$1,'Výpočet VP 2020'!$A$324:CG628,42,FALSE),0)+Y133,IFERROR(VLOOKUP(Y$1,'Výpočet VP 2020'!$A$324:CG628,42,FALSE),0))</f>
        <v>2069745.4492107111</v>
      </c>
      <c r="Z46" s="608">
        <f>IF(Z133&lt;0,IFERROR(VLOOKUP(Z$1,'Výpočet VP 2020'!$A$324:CH628,42,FALSE),0)+Z133,IFERROR(VLOOKUP(Z$1,'Výpočet VP 2020'!$A$324:CH628,42,FALSE),0))</f>
        <v>7441924</v>
      </c>
      <c r="AA46" s="608">
        <f>IF(AA133&lt;0,IFERROR(VLOOKUP(AA$1,'Výpočet VP 2020'!$A$324:CI628,42,FALSE),0)+AA133,IFERROR(VLOOKUP(AA$1,'Výpočet VP 2020'!$A$324:CI628,42,FALSE),0))</f>
        <v>4313818.3267021552</v>
      </c>
      <c r="AB46" s="608">
        <f>IF(AB133&lt;0,IFERROR(VLOOKUP(AB$1,'Výpočet VP 2020'!$A$324:CJ628,42,FALSE),0)+AB133,IFERROR(VLOOKUP(AB$1,'Výpočet VP 2020'!$A$324:CJ628,42,FALSE),0))</f>
        <v>3153482.7159662391</v>
      </c>
      <c r="AC46" s="862">
        <f>'Výpočet VP 2020'!AR99</f>
        <v>471661.84132364974</v>
      </c>
      <c r="AD46" s="608">
        <f>IF(AD133&lt;0,IFERROR(VLOOKUP(AD$1,'Výpočet VP 2020'!$A$324:CK628,42,FALSE),0)+AD133,IFERROR(VLOOKUP(AD$1,'Výpočet VP 2020'!$A$324:CK628,42,FALSE),0))</f>
        <v>2497904.6985613657</v>
      </c>
      <c r="AE46" s="608">
        <f>IF(AE133&lt;0,IFERROR(VLOOKUP(AE$1,'Výpočet VP 2020'!$A$324:CL628,42,FALSE),0)+AE133,IFERROR(VLOOKUP(AE$1,'Výpočet VP 2020'!$A$324:CL628,42,FALSE),0))</f>
        <v>1222248.5258989439</v>
      </c>
      <c r="AF46" s="608">
        <f>IF(AF133&lt;0,IFERROR(VLOOKUP(AF$1,'Výpočet VP 2020'!$A$324:CM628,42,FALSE),0)+AF133,IFERROR(VLOOKUP(AF$1,'Výpočet VP 2020'!$A$324:CM628,42,FALSE),0))</f>
        <v>3535587.1590829343</v>
      </c>
      <c r="AG46" s="608">
        <f>IF(AG133&lt;0,IFERROR(VLOOKUP(AG$1,'Výpočet VP 2020'!$A$324:CN628,42,FALSE),0)+AG133,IFERROR(VLOOKUP(AG$1,'Výpočet VP 2020'!$A$324:CN628,42,FALSE),0))</f>
        <v>3510607.0288166855</v>
      </c>
      <c r="AH46" s="608">
        <f>IF(AH133&lt;0,IFERROR(VLOOKUP(AH$1,'Výpočet VP 2020'!$A$324:CO628,42,FALSE),0)+AH133,IFERROR(VLOOKUP(AH$1,'Výpočet VP 2020'!$A$324:CO628,42,FALSE),0))</f>
        <v>909000</v>
      </c>
      <c r="AI46" s="608">
        <f>IF(AI133&lt;0,IFERROR(VLOOKUP(AI$1,'Výpočet VP 2020'!$A$324:CP628,42,FALSE),0)+AI133,IFERROR(VLOOKUP(AI$1,'Výpočet VP 2020'!$A$324:CP628,42,FALSE),0))</f>
        <v>4647000</v>
      </c>
      <c r="AJ46" s="608">
        <f>IF(AJ133&lt;0,IFERROR(VLOOKUP(AJ$1,'Výpočet VP 2020'!$A$324:CQ628,42,FALSE),0)+AJ133,IFERROR(VLOOKUP(AJ$1,'Výpočet VP 2020'!$A$324:CQ628,42,FALSE),0))</f>
        <v>2966000</v>
      </c>
      <c r="AK46" s="608">
        <f>IF(AK133&lt;0,IFERROR(VLOOKUP(AK$1,'Výpočet VP 2020'!$A$324:CR628,42,FALSE),0)+AK133,IFERROR(VLOOKUP(AK$1,'Výpočet VP 2020'!$A$324:CR628,42,FALSE),0))</f>
        <v>1472200</v>
      </c>
      <c r="AL46" s="608">
        <f>IF(AL133&lt;0,IFERROR(VLOOKUP(AL$1,'Výpočet VP 2020'!$A$324:CS628,42,FALSE),0)+AL133,IFERROR(VLOOKUP(AL$1,'Výpočet VP 2020'!$A$324:CS628,42,FALSE),0))</f>
        <v>2156909.1633510776</v>
      </c>
      <c r="AM46" s="608">
        <f>IF(AM133&lt;0,IFERROR(VLOOKUP(AM$1,'Výpočet VP 2020'!$A$324:CT628,42,FALSE),0)+AM133,IFERROR(VLOOKUP(AM$1,'Výpočet VP 2020'!$A$324:CT628,42,FALSE),0))</f>
        <v>1559824.3726341231</v>
      </c>
      <c r="AN46" s="608">
        <f>IF(AN133&lt;0,IFERROR(VLOOKUP(AN$1,'Výpočet VP 2020'!$A$324:CU628,42,FALSE),0)+AN133,IFERROR(VLOOKUP(AN$1,'Výpočet VP 2020'!$A$324:CU628,42,FALSE),0))</f>
        <v>995316.50444272615</v>
      </c>
      <c r="AO46" s="608">
        <f>IF(AO133&lt;0,IFERROR(VLOOKUP(AO$1,'Výpočet VP 2020'!$A$324:CV628,42,FALSE),0)+AO133,IFERROR(VLOOKUP(AO$1,'Výpočet VP 2020'!$A$324:CV628,42,FALSE),0))</f>
        <v>6314033.6631408297</v>
      </c>
      <c r="AP46" s="608">
        <f>IF(AP133&lt;0,IFERROR(VLOOKUP(AP$1,'Výpočet VP 2020'!$A$324:CW628,42,FALSE),0)+AP133,IFERROR(VLOOKUP(AP$1,'Výpočet VP 2020'!$A$324:CW628,42,FALSE),0))</f>
        <v>2321000</v>
      </c>
      <c r="AQ46" s="608">
        <f>IF(AQ133&lt;0,IFERROR(VLOOKUP(AQ$1,'Výpočet VP 2020'!$A$324:CX628,42,FALSE),0)+AQ133,IFERROR(VLOOKUP(AQ$1,'Výpočet VP 2020'!$A$324:CX628,42,FALSE),0))</f>
        <v>297109.40431126149</v>
      </c>
      <c r="AR46" s="608">
        <f>IF(AR133&lt;0,IFERROR(VLOOKUP(AR$1,'Výpočet VP 2020'!$A$324:CY628,42,FALSE),0)+AR133,IFERROR(VLOOKUP(AR$1,'Výpočet VP 2020'!$A$324:CY628,42,FALSE),0))</f>
        <v>1671240.3992508459</v>
      </c>
      <c r="AS46" s="608">
        <f>IF(AS133&lt;0,IFERROR(VLOOKUP(AS$1,'Výpočet VP 2020'!$A$324:CZ628,42,FALSE),0)+AS133,IFERROR(VLOOKUP(AS$1,'Výpočet VP 2020'!$A$324:CZ628,42,FALSE),0))</f>
        <v>445664.10646689229</v>
      </c>
      <c r="AT46" s="608">
        <f>IF(AT133&lt;0,IFERROR(VLOOKUP(AT$1,'Výpočet VP 2020'!$A$324:DA628,42,FALSE),0)+AT133,IFERROR(VLOOKUP(AT$1,'Výpočet VP 2020'!$A$324:DA628,42,FALSE),0))</f>
        <v>2109142.1939772759</v>
      </c>
      <c r="AU46" s="608">
        <f>IF(AU133&lt;0,IFERROR(VLOOKUP(AU$1,'Výpočet VP 2020'!$A$324:DB628,42,FALSE),0)+AU133,IFERROR(VLOOKUP(AU$1,'Výpočet VP 2020'!$A$324:DB628,42,FALSE),0))</f>
        <v>1051886.2833224081</v>
      </c>
      <c r="AV46" s="608">
        <f>IF(AV133&lt;0,IFERROR(VLOOKUP(AV$1,'Výpočet VP 2020'!$A$324:DC628,42,FALSE),0)+AV133,IFERROR(VLOOKUP(AV$1,'Výpočet VP 2020'!$A$324:DC628,42,FALSE),0))</f>
        <v>2120960.6772952261</v>
      </c>
      <c r="AW46" s="608">
        <f>IF(AW133&lt;0,IFERROR(VLOOKUP(AW$1,'Výpočet VP 2020'!$A$324:DD628,42,FALSE),0)+AW133,IFERROR(VLOOKUP(AW$1,'Výpočet VP 2020'!$A$324:DD628,42,FALSE),0))</f>
        <v>3515922.5550434329</v>
      </c>
      <c r="AX46" s="608">
        <f>IF(AX133&lt;0,IFERROR(VLOOKUP(AX$1,'Výpočet VP 2020'!$A$324:DE628,42,FALSE),0)+AX133,IFERROR(VLOOKUP(AX$1,'Výpočet VP 2020'!$A$324:DE628,42,FALSE),0))</f>
        <v>2889815.8082949743</v>
      </c>
      <c r="AY46" s="608">
        <f>IF(AY133&lt;0,IFERROR(VLOOKUP(AY$1,'Výpočet VP 2020'!$A$324:DF628,42,FALSE),0)+AY133,IFERROR(VLOOKUP(AY$1,'Výpočet VP 2020'!$A$324:DF628,42,FALSE),0))</f>
        <v>3192681.8379533906</v>
      </c>
      <c r="AZ46" s="608">
        <f>IF(AZ133&lt;0,IFERROR(VLOOKUP(AZ$1,'Výpočet VP 2020'!$A$324:DG628,42,FALSE),0)+AZ133,IFERROR(VLOOKUP(AZ$1,'Výpočet VP 2020'!$A$324:DG628,42,FALSE),0))</f>
        <v>3590692</v>
      </c>
      <c r="BA46" s="608">
        <f>IF(BA133&lt;0,IFERROR(VLOOKUP(BA$1,'Výpočet VP 2020'!$A$324:DH628,42,FALSE),0)+BA133,IFERROR(VLOOKUP(BA$1,'Výpočet VP 2020'!$A$324:DH628,42,FALSE),0))</f>
        <v>11033000</v>
      </c>
      <c r="BB46" s="608">
        <f>IF(BB133&lt;0,IFERROR(VLOOKUP(BB$1,'Výpočet VP 2020'!$A$324:DI628,42,FALSE),0)+BB133,IFERROR(VLOOKUP(BB$1,'Výpočet VP 2020'!$A$324:DI628,42,FALSE),0))</f>
        <v>1411269.6704784923</v>
      </c>
      <c r="BC46" s="608">
        <f>IF(BC133&lt;0,IFERROR(VLOOKUP(BC$1,'Výpočet VP 2020'!$A$324:DJ628,42,FALSE),0)+BC133,IFERROR(VLOOKUP(BC$1,'Výpočet VP 2020'!$A$324:DJ628,42,FALSE),0))</f>
        <v>1360742.4938025323</v>
      </c>
      <c r="BD46" s="608">
        <f>IF(BD133&lt;0,IFERROR(VLOOKUP(BD$1,'Výpočet VP 2020'!$A$324:DK628,42,FALSE),0)+BD133,IFERROR(VLOOKUP(BD$1,'Výpočet VP 2020'!$A$324:DK628,42,FALSE),0))</f>
        <v>2020343.9493165785</v>
      </c>
      <c r="BE46" s="608">
        <f>IF(BE133&lt;0,IFERROR(VLOOKUP(BE$1,'Výpočet VP 2020'!$A$324:DL628,42,FALSE),0)+BE133,IFERROR(VLOOKUP(BE$1,'Výpočet VP 2020'!$A$324:DL628,42,FALSE),0))</f>
        <v>1305332.8118977079</v>
      </c>
      <c r="BF46" s="608">
        <f>IF(BF133&lt;0,IFERROR(VLOOKUP(BF$1,'Výpočet VP 2020'!$A$324:DM628,42,FALSE),0)+BF133,IFERROR(VLOOKUP(BF$1,'Výpočet VP 2020'!$A$324:DM628,42,FALSE),0))</f>
        <v>3045371.3941904306</v>
      </c>
      <c r="BG46" s="608">
        <f>IF(BG133&lt;0,IFERROR(VLOOKUP(BG$1,'Výpočet VP 2020'!$A$324:DN628,42,FALSE),0)+BG133,IFERROR(VLOOKUP(BG$1,'Výpočet VP 2020'!$A$324:DN628,42,FALSE),0))</f>
        <v>3832000</v>
      </c>
      <c r="BH46" s="608">
        <f>IF(BH133&lt;0,IFERROR(VLOOKUP(BH$1,'Výpočet VP 2020'!$A$324:DO628,42,FALSE),0)+BH133,IFERROR(VLOOKUP(BH$1,'Výpočet VP 2020'!$A$324:DO628,42,FALSE),0))</f>
        <v>3785109.2415605099</v>
      </c>
      <c r="BI46" s="608">
        <f>IF(BI133&lt;0,IFERROR(VLOOKUP(BI$1,'Výpočet VP 2020'!$A$324:DP628,42,FALSE),0)+BI133,IFERROR(VLOOKUP(BI$1,'Výpočet VP 2020'!$A$324:DP628,42,FALSE),0))</f>
        <v>2470000</v>
      </c>
      <c r="BJ46" s="608">
        <f>IF(BJ133&lt;0,IFERROR(VLOOKUP(BJ$1,'Výpočet VP 2020'!$A$324:DQ628,42,FALSE),0)+BJ133,IFERROR(VLOOKUP(BJ$1,'Výpočet VP 2020'!$A$324:DQ628,42,FALSE),0))</f>
        <v>2836236.6701121721</v>
      </c>
      <c r="BK46" s="608">
        <f>IF(BK133&lt;0,IFERROR(VLOOKUP(BK$1,'Výpočet VP 2020'!$A$324:DR628,42,FALSE),0)+BK133,IFERROR(VLOOKUP(BK$1,'Výpočet VP 2020'!$A$324:DR628,42,FALSE),0))</f>
        <v>1058000</v>
      </c>
      <c r="BL46" s="608">
        <f>IF(BL133&lt;0,IFERROR(VLOOKUP(BL$1,'Výpočet VP 2020'!$A$324:DS628,42,FALSE),0)+BL133,IFERROR(VLOOKUP(BL$1,'Výpočet VP 2020'!$A$324:DS628,42,FALSE),0))</f>
        <v>484189.8882988008</v>
      </c>
      <c r="BM46" s="608">
        <f>IF(BM133&lt;0,IFERROR(VLOOKUP(BM$1,'Výpočet VP 2020'!$A$324:DT628,42,FALSE),0)+BM133,IFERROR(VLOOKUP(BM$1,'Výpočet VP 2020'!$A$324:DT628,42,FALSE),0))</f>
        <v>2163616</v>
      </c>
      <c r="BN46" s="608">
        <f>IF(BN133&lt;0,IFERROR(VLOOKUP(BN$1,'Výpočet VP 2020'!$A$324:DU628,42,FALSE),0)+BN133,IFERROR(VLOOKUP(BN$1,'Výpočet VP 2020'!$A$324:DU628,42,FALSE),0))</f>
        <v>1946066.5982387629</v>
      </c>
      <c r="BO46" s="608">
        <f>IF(BO133&lt;0,IFERROR(VLOOKUP(BO$1,'Výpočet VP 2020'!$A$324:DV628,42,FALSE),0)+BO133,IFERROR(VLOOKUP(BO$1,'Výpočet VP 2020'!$A$324:DV628,42,FALSE),0))</f>
        <v>1115754.3738330903</v>
      </c>
      <c r="BP46" s="608">
        <f>IF(BP133&lt;0,IFERROR(VLOOKUP(BP$1,'Výpočet VP 2020'!$A$324:DW628,42,FALSE),0)+BP133,IFERROR(VLOOKUP(BP$1,'Výpočet VP 2020'!$A$324:DW628,42,FALSE),0))</f>
        <v>5429080</v>
      </c>
      <c r="BQ46" s="608">
        <f>IF(BQ133&lt;0,IFERROR(VLOOKUP(BQ$1,'Výpočet VP 2020'!$A$324:DX628,42,FALSE),0)+BQ133,IFERROR(VLOOKUP(BQ$1,'Výpočet VP 2020'!$A$324:DX628,42,FALSE),0))</f>
        <v>857790.13353277929</v>
      </c>
      <c r="BR46" s="608">
        <f>IF(BR133&lt;0,IFERROR(VLOOKUP(BR$1,'Výpočet VP 2020'!$A$324:DY628,42,FALSE),0)+BR133,IFERROR(VLOOKUP(BR$1,'Výpočet VP 2020'!$A$324:DY628,42,FALSE),0))</f>
        <v>1002744.2395505077</v>
      </c>
      <c r="BS46" s="608">
        <f>IF(BS133&lt;0,IFERROR(VLOOKUP(BS$1,'Výpočet VP 2020'!$A$324:DZ628,42,FALSE),0)+BS133,IFERROR(VLOOKUP(BS$1,'Výpočet VP 2020'!$A$324:DZ628,42,FALSE),0))</f>
        <v>1336992.3194006768</v>
      </c>
      <c r="BT46" s="608">
        <f>IF(BT133&lt;0,IFERROR(VLOOKUP(BT$1,'Výpočet VP 2020'!$A$324:EA628,42,FALSE),0)+BT133,IFERROR(VLOOKUP(BT$1,'Výpočet VP 2020'!$A$324:EA628,42,FALSE),0))</f>
        <v>1114160.2661672307</v>
      </c>
      <c r="BU46" s="608">
        <f>IF(BU133&lt;0,IFERROR(VLOOKUP(BU$1,'Výpočet VP 2020'!$A$324:EB628,42,FALSE),0)+BU133,IFERROR(VLOOKUP(BU$1,'Výpočet VP 2020'!$A$324:EB628,42,FALSE),0))</f>
        <v>4446637.2294955002</v>
      </c>
      <c r="BV46" s="608">
        <f>IF(BV133&lt;0,IFERROR(VLOOKUP(BV$1,'Výpočet VP 2020'!$A$324:EC628,42,FALSE),0)+BV133,IFERROR(VLOOKUP(BV$1,'Výpočet VP 2020'!$A$324:EC628,42,FALSE),0))</f>
        <v>1142294.6626007925</v>
      </c>
      <c r="BW46" s="608">
        <f>IF(BW133&lt;0,IFERROR(VLOOKUP(BW$1,'Výpočet VP 2020'!$A$324:ED628,42,FALSE),0)+BW133,IFERROR(VLOOKUP(BW$1,'Výpočet VP 2020'!$A$324:ED628,42,FALSE),0))</f>
        <v>297109.40431126149</v>
      </c>
      <c r="BX46" s="608">
        <f>IF(BX133&lt;0,IFERROR(VLOOKUP(BX$1,'Výpočet VP 2020'!$A$324:EE628,42,FALSE),0)+BX133,IFERROR(VLOOKUP(BX$1,'Výpočet VP 2020'!$A$324:EE628,42,FALSE),0))</f>
        <v>5062234.123708467</v>
      </c>
      <c r="BY46" s="608">
        <f>IF(BY133&lt;0,IFERROR(VLOOKUP(BY$1,'Výpočet VP 2020'!$A$324:EF628,42,FALSE),0)+BY133,IFERROR(VLOOKUP(BY$1,'Výpočet VP 2020'!$A$324:EF628,42,FALSE),0))</f>
        <v>2065527.6887355854</v>
      </c>
      <c r="BZ46" s="608">
        <f>IF(BZ133&lt;0,IFERROR(VLOOKUP(BZ$1,'Výpočet VP 2020'!$A$324:EG628,42,FALSE),0)+BZ133,IFERROR(VLOOKUP(BZ$1,'Výpočet VP 2020'!$A$324:EG628,42,FALSE),0))</f>
        <v>249019.98755359586</v>
      </c>
      <c r="CA46" s="608">
        <f>IF(CA133&lt;0,IFERROR(VLOOKUP(CA$1,'Výpočet VP 2020'!$A$324:EH628,42,FALSE),0)+CA133,IFERROR(VLOOKUP(CA$1,'Výpočet VP 2020'!$A$324:EH628,42,FALSE),0))</f>
        <v>0</v>
      </c>
      <c r="CB46" s="608">
        <f>IF(CB133&lt;0,IFERROR(VLOOKUP(CB$1,'Výpočet VP 2020'!$A$324:EI628,42,FALSE),0)+CB133,IFERROR(VLOOKUP(CB$1,'Výpočet VP 2020'!$A$324:EI628,42,FALSE),0))</f>
        <v>212096.63819068708</v>
      </c>
      <c r="CC46" s="608">
        <f>IF(CC133&lt;0,IFERROR(VLOOKUP(CC$1,'Výpočet VP 2020'!$A$324:EJ628,42,FALSE),0)+CC133,IFERROR(VLOOKUP(CC$1,'Výpočet VP 2020'!$A$324:EJ628,42,FALSE),0))</f>
        <v>2414013.9100289997</v>
      </c>
      <c r="CD46" s="608">
        <f>IF(CD133&lt;0,IFERROR(VLOOKUP(CD$1,'Výpočet VP 2020'!$A$324:EK628,42,FALSE),0)+CD133,IFERROR(VLOOKUP(CD$1,'Výpočet VP 2020'!$A$324:EK628,42,FALSE),0))</f>
        <v>742773.51077815378</v>
      </c>
      <c r="CE46" s="608">
        <f>IF(CE133&lt;0,IFERROR(VLOOKUP(CE$1,'Výpočet VP 2020'!$A$324:EL628,42,FALSE),0)+CE133,IFERROR(VLOOKUP(CE$1,'Výpočet VP 2020'!$A$324:EL628,42,FALSE),0))</f>
        <v>14096350.125316771</v>
      </c>
      <c r="CF46" s="608">
        <f>IF(CF133&lt;0,IFERROR(VLOOKUP(CF$1,'Výpočet VP 2020'!$A$324:EM628,42,FALSE),0)+CF133,IFERROR(VLOOKUP(CF$1,'Výpočet VP 2020'!$A$324:EM628,42,FALSE),0))</f>
        <v>4820517.8393289512</v>
      </c>
      <c r="CG46" s="608">
        <f>IF(CG133&lt;0,IFERROR(VLOOKUP(CG$1,'Výpočet VP 2020'!$A$324:EN628,42,FALSE),0)+CG133,IFERROR(VLOOKUP(CG$1,'Výpočet VP 2020'!$A$324:EN628,42,FALSE),0))</f>
        <v>10598581.496070446</v>
      </c>
      <c r="CH46" s="608">
        <f>IF(CH133&lt;0,IFERROR(VLOOKUP(CH$1,'Výpočet VP 2020'!$A$324:EO628,42,FALSE),0)+CH133,IFERROR(VLOOKUP(CH$1,'Výpočet VP 2020'!$A$324:EO628,42,FALSE),0))</f>
        <v>4533330</v>
      </c>
      <c r="CI46" s="608">
        <f>IF(CI133&lt;0,IFERROR(VLOOKUP(CI$1,'Výpočet VP 2020'!$A$324:EP628,42,FALSE),0)+CI133,IFERROR(VLOOKUP(CI$1,'Výpočet VP 2020'!$A$324:EP628,42,FALSE),0))</f>
        <v>3518851.9671994289</v>
      </c>
      <c r="CJ46" s="608">
        <f>IF(CJ133&lt;0,IFERROR(VLOOKUP(CJ$1,'Výpočet VP 2020'!$A$324:EQ628,42,FALSE),0)+CJ133,IFERROR(VLOOKUP(CJ$1,'Výpočet VP 2020'!$A$324:EQ628,42,FALSE),0))</f>
        <v>4666195.0818283353</v>
      </c>
      <c r="CK46" s="608">
        <f>IF(CK133&lt;0,IFERROR(VLOOKUP(CK$1,'Výpočet VP 2020'!$A$324:ER628,42,FALSE),0)+CK133,IFERROR(VLOOKUP(CK$1,'Výpočet VP 2020'!$A$324:ER628,42,FALSE),0))</f>
        <v>5170780</v>
      </c>
      <c r="CL46" s="608">
        <f>IF(CL133&lt;0,IFERROR(VLOOKUP(CL$1,'Výpočet VP 2020'!$A$324:ES628,42,FALSE),0)+CL133,IFERROR(VLOOKUP(CL$1,'Výpočet VP 2020'!$A$324:ES628,42,FALSE),0))</f>
        <v>3132798.7485544984</v>
      </c>
      <c r="CM46" s="608">
        <f>IF(CM133&lt;0,IFERROR(VLOOKUP(CM$1,'Výpočet VP 2020'!$A$324:ET628,42,FALSE),0)+CM133,IFERROR(VLOOKUP(CM$1,'Výpočet VP 2020'!$A$324:ET628,42,FALSE),0))</f>
        <v>6951836.4399863137</v>
      </c>
      <c r="CN46" s="608">
        <f>IF(CN133&lt;0,IFERROR(VLOOKUP(CN$1,'Výpočet VP 2020'!$A$324:EU628,42,FALSE),0)+CN133,IFERROR(VLOOKUP(CN$1,'Výpočet VP 2020'!$A$324:EU628,42,FALSE),0))</f>
        <v>1314857.8541530101</v>
      </c>
      <c r="CO46" s="608">
        <f>IF(CO133&lt;0,IFERROR(VLOOKUP(CO$1,'Výpočet VP 2020'!$A$324:EV628,42,FALSE),0)+CO133,IFERROR(VLOOKUP(CO$1,'Výpočet VP 2020'!$A$324:EV628,42,FALSE),0))</f>
        <v>1314857.8541530101</v>
      </c>
      <c r="CP46" s="608">
        <f>IF(CP133&lt;0,IFERROR(VLOOKUP(CP$1,'Výpočet VP 2020'!$A$324:EW628,42,FALSE),0)+CP133,IFERROR(VLOOKUP(CP$1,'Výpočet VP 2020'!$A$324:EW628,42,FALSE),0))</f>
        <v>1314857.8541530101</v>
      </c>
      <c r="CQ46" s="608">
        <f>IF(CQ133&lt;0,IFERROR(VLOOKUP(CQ$1,'Výpočet VP 2020'!$A$324:EX628,42,FALSE),0)+CQ133,IFERROR(VLOOKUP(CQ$1,'Výpočet VP 2020'!$A$324:EX628,42,FALSE),0))</f>
        <v>6255036.573718125</v>
      </c>
      <c r="CR46" s="608">
        <f>IF(CR133&lt;0,IFERROR(VLOOKUP(CR$1,'Výpočet VP 2020'!$A$324:EY628,42,FALSE),0)+CR133,IFERROR(VLOOKUP(CR$1,'Výpočet VP 2020'!$A$324:EY628,42,FALSE),0))</f>
        <v>2417817</v>
      </c>
      <c r="CS46" s="608">
        <f>IF(CS133&lt;0,IFERROR(VLOOKUP(CS$1,'Výpočet VP 2020'!$A$324:EZ628,42,FALSE),0)+CS133,IFERROR(VLOOKUP(CS$1,'Výpočet VP 2020'!$A$324:EZ628,42,FALSE),0))</f>
        <v>3818929</v>
      </c>
      <c r="CT46" s="608">
        <f>IF(CT133&lt;0,IFERROR(VLOOKUP(CT$1,'Výpočet VP 2020'!$A$324:FA628,42,FALSE),0)+CT133,IFERROR(VLOOKUP(CT$1,'Výpočet VP 2020'!$A$324:FA628,42,FALSE),0))</f>
        <v>4823200.6433408242</v>
      </c>
      <c r="CU46" s="608">
        <f>IF(CU133&lt;0,IFERROR(VLOOKUP(CU$1,'Výpočet VP 2020'!$A$324:FB628,42,FALSE),0)+CU133,IFERROR(VLOOKUP(CU$1,'Výpočet VP 2020'!$A$324:FB628,42,FALSE),0))</f>
        <v>2065527.6887355854</v>
      </c>
      <c r="CV46" s="608">
        <f>IF(CV133&lt;0,IFERROR(VLOOKUP(CV$1,'Výpočet VP 2020'!$A$324:FC628,42,FALSE),0)+CV133,IFERROR(VLOOKUP(CV$1,'Výpočet VP 2020'!$A$324:FC628,42,FALSE),0))</f>
        <v>5572023.830386878</v>
      </c>
      <c r="CW46" s="608">
        <f>IF(CW133&lt;0,IFERROR(VLOOKUP(CW$1,'Výpočet VP 2020'!$A$324:FD628,42,FALSE),0)+CW133,IFERROR(VLOOKUP(CW$1,'Výpočet VP 2020'!$A$324:FD628,42,FALSE),0))</f>
        <v>445664.10646689229</v>
      </c>
      <c r="CX46" s="608">
        <f>IF(CX133&lt;0,IFERROR(VLOOKUP(CX$1,'Výpočet VP 2020'!$A$324:FE628,42,FALSE),0)+CX133,IFERROR(VLOOKUP(CX$1,'Výpočet VP 2020'!$A$324:FE628,42,FALSE),0))</f>
        <v>4060000</v>
      </c>
      <c r="CY46" s="608">
        <f>IF(CY133&lt;0,IFERROR(VLOOKUP(CY$1,'Výpočet VP 2020'!$A$324:FF628,42,FALSE),0)+CY133,IFERROR(VLOOKUP(CY$1,'Výpočet VP 2020'!$A$324:FF628,42,FALSE),0))</f>
        <v>3158756.2839012085</v>
      </c>
      <c r="CZ46" s="608">
        <f>IF(CZ133&lt;0,IFERROR(VLOOKUP(CZ$1,'Výpočet VP 2020'!$A$324:FG628,42,FALSE),0)+CZ133,IFERROR(VLOOKUP(CZ$1,'Výpočet VP 2020'!$A$324:FG628,42,FALSE),0))</f>
        <v>1499800</v>
      </c>
      <c r="DA46" s="608">
        <f>IF(DA133&lt;0,IFERROR(VLOOKUP(DA$1,'Výpočet VP 2020'!$A$324:FH628,42,FALSE),0)+DA133,IFERROR(VLOOKUP(DA$1,'Výpočet VP 2020'!$A$324:FH628,42,FALSE),0))</f>
        <v>8578781.7210858986</v>
      </c>
      <c r="DB46" s="608">
        <f>IF(DB133&lt;0,IFERROR(VLOOKUP(DB$1,'Výpočet VP 2020'!$A$324:FI628,42,FALSE),0)+DB133,IFERROR(VLOOKUP(DB$1,'Výpočet VP 2020'!$A$324:FI628,42,FALSE),0))</f>
        <v>854189.53739487671</v>
      </c>
      <c r="DC46" s="608">
        <f>IF(DC133&lt;0,IFERROR(VLOOKUP(DC$1,'Výpočet VP 2020'!$A$324:FJ628,42,FALSE),0)+DC133,IFERROR(VLOOKUP(DC$1,'Výpočet VP 2020'!$A$324:FJ628,42,FALSE),0))</f>
        <v>1972286.7812295151</v>
      </c>
      <c r="DD46" s="608">
        <f>IF(DD133&lt;0,IFERROR(VLOOKUP(DD$1,'Výpočet VP 2020'!$A$324:FK628,42,FALSE),0)+DD133,IFERROR(VLOOKUP(DD$1,'Výpočet VP 2020'!$A$324:FK628,42,FALSE),0))</f>
        <v>5594283.4795616046</v>
      </c>
      <c r="DE46" s="608">
        <f>IF(DE133&lt;0,IFERROR(VLOOKUP(DE$1,'Výpočet VP 2020'!$A$324:FL628,42,FALSE),0)+DE133,IFERROR(VLOOKUP(DE$1,'Výpočet VP 2020'!$A$324:FL628,42,FALSE),0))</f>
        <v>7831996.8713862468</v>
      </c>
      <c r="DF46" s="608">
        <f>IF(DF133&lt;0,IFERROR(VLOOKUP(DF$1,'Výpočet VP 2020'!$A$324:FM628,42,FALSE),0)+DF133,IFERROR(VLOOKUP(DF$1,'Výpočet VP 2020'!$A$324:FM628,42,FALSE),0))</f>
        <v>7831996.8713862468</v>
      </c>
      <c r="DG46" s="608">
        <f>IF(DG133&lt;0,IFERROR(VLOOKUP(DG$1,'Výpočet VP 2020'!$A$324:FN628,42,FALSE),0)+DG133,IFERROR(VLOOKUP(DG$1,'Výpočet VP 2020'!$A$324:FN628,42,FALSE),0))</f>
        <v>854189.53739487671</v>
      </c>
      <c r="DH46" s="608">
        <f>IF(DH133&lt;0,IFERROR(VLOOKUP(DH$1,'Výpočet VP 2020'!$A$324:FO628,42,FALSE),0)+DH133,IFERROR(VLOOKUP(DH$1,'Výpočet VP 2020'!$A$324:FO628,42,FALSE),0))</f>
        <v>2542541.0743335127</v>
      </c>
      <c r="DI46" s="608">
        <f>IF(DI133&lt;0,IFERROR(VLOOKUP(DI$1,'Výpočet VP 2020'!$A$324:FP628,42,FALSE),0)+DI133,IFERROR(VLOOKUP(DI$1,'Výpočet VP 2020'!$A$324:FP628,42,FALSE),0))</f>
        <v>1139158.9078340724</v>
      </c>
      <c r="DJ46" s="608">
        <f>IF(DJ133&lt;0,IFERROR(VLOOKUP(DJ$1,'Výpočet VP 2020'!$A$324:FQ628,42,FALSE),0)+DJ133,IFERROR(VLOOKUP(DJ$1,'Výpočet VP 2020'!$A$324:FQ628,42,FALSE),0))</f>
        <v>2010826</v>
      </c>
      <c r="DK46" s="608">
        <f>IF(DK133&lt;0,IFERROR(VLOOKUP(DK$1,'Výpočet VP 2020'!$A$324:FR628,42,FALSE),0)+DK133,IFERROR(VLOOKUP(DK$1,'Výpočet VP 2020'!$A$324:FR628,42,FALSE),0))</f>
        <v>2511146</v>
      </c>
      <c r="DL46" s="608">
        <f>IF(DL133&lt;0,IFERROR(VLOOKUP(DL$1,'Výpočet VP 2020'!$A$324:FS628,42,FALSE),0)+DL133,IFERROR(VLOOKUP(DL$1,'Výpočet VP 2020'!$A$324:FS628,42,FALSE),0))</f>
        <v>4473993.2555374205</v>
      </c>
      <c r="DM46" s="608">
        <f>IF(DM133&lt;0,IFERROR(VLOOKUP(DM$1,'Výpočet VP 2020'!$A$324:FT628,42,FALSE),0)+DM133,IFERROR(VLOOKUP(DM$1,'Výpočet VP 2020'!$A$324:FT628,42,FALSE),0))</f>
        <v>2420949.4414940039</v>
      </c>
      <c r="DN46" s="608">
        <f>IF(DN133&lt;0,IFERROR(VLOOKUP(DN$1,'Výpočet VP 2020'!$A$324:FU628,42,FALSE),0)+DN133,IFERROR(VLOOKUP(DN$1,'Výpočet VP 2020'!$A$324:FU628,42,FALSE),0))</f>
        <v>3944573.5624590302</v>
      </c>
      <c r="DO46" s="608">
        <f>IF(DO133&lt;0,IFERROR(VLOOKUP(DO$1,'Výpočet VP 2020'!$A$324:FV628,42,FALSE),0)+DO133,IFERROR(VLOOKUP(DO$1,'Výpočet VP 2020'!$A$324:FV628,42,FALSE),0))</f>
        <v>1491808.9278830946</v>
      </c>
      <c r="DP46" s="608">
        <f>IF(DP133&lt;0,IFERROR(VLOOKUP(DP$1,'Výpočet VP 2020'!$A$324:FW628,42,FALSE),0)+DP133,IFERROR(VLOOKUP(DP$1,'Výpočet VP 2020'!$A$324:FW628,42,FALSE),0))</f>
        <v>4273288.0259972829</v>
      </c>
      <c r="DQ46" s="608">
        <f>IF(DQ133&lt;0,IFERROR(VLOOKUP(DQ$1,'Výpočet VP 2020'!$A$324:FX628,42,FALSE),0)+DQ133,IFERROR(VLOOKUP(DQ$1,'Výpočet VP 2020'!$A$324:FX628,42,FALSE),0))</f>
        <v>4659795</v>
      </c>
      <c r="DR46" s="608">
        <f>IF(DR133&lt;0,IFERROR(VLOOKUP(DR$1,'Výpočet VP 2020'!$A$324:FY628,42,FALSE),0)+DR133,IFERROR(VLOOKUP(DR$1,'Výpočet VP 2020'!$A$324:FY628,42,FALSE),0))</f>
        <v>5303525</v>
      </c>
      <c r="DS46" s="608">
        <f>IF(DS133&lt;0,IFERROR(VLOOKUP(DS$1,'Výpočet VP 2020'!$A$324:FZ628,42,FALSE),0)+DS133,IFERROR(VLOOKUP(DS$1,'Výpočet VP 2020'!$A$324:FZ628,42,FALSE),0))</f>
        <v>1729310.8899851122</v>
      </c>
      <c r="DT46" s="608">
        <f>IF(DT133&lt;0,IFERROR(VLOOKUP(DT$1,'Výpočet VP 2020'!$A$324:GA628,42,FALSE),0)+DT133,IFERROR(VLOOKUP(DT$1,'Výpočet VP 2020'!$A$324:GA628,42,FALSE),0))</f>
        <v>3575000</v>
      </c>
      <c r="DU46" s="608">
        <f>IF(DU133&lt;0,IFERROR(VLOOKUP(DU$1,'Výpočet VP 2020'!$A$324:GB628,42,FALSE),0)+DU133,IFERROR(VLOOKUP(DU$1,'Výpočet VP 2020'!$A$324:GB628,42,FALSE),0))</f>
        <v>0</v>
      </c>
      <c r="DV46" s="608">
        <f>IF(DV133&lt;0,IFERROR(VLOOKUP(DV$1,'Výpočet VP 2020'!$A$324:GC628,42,FALSE),0)+DV133,IFERROR(VLOOKUP(DV$1,'Výpočet VP 2020'!$A$324:GC628,42,FALSE),0))</f>
        <v>7040000</v>
      </c>
      <c r="DW46" s="608">
        <f>IF(DW133&lt;0,IFERROR(VLOOKUP(DW$1,'Výpočet VP 2020'!$A$324:GD628,42,FALSE),0)+DW133,IFERROR(VLOOKUP(DW$1,'Výpočet VP 2020'!$A$324:GD628,42,FALSE),0))</f>
        <v>0</v>
      </c>
      <c r="DX46" s="608">
        <f>IF(DX133&lt;0,IFERROR(VLOOKUP(DX$1,'Výpočet VP 2020'!$A$324:GE628,42,FALSE),0)+DX133,IFERROR(VLOOKUP(DX$1,'Výpočet VP 2020'!$A$324:GE628,42,FALSE),0))</f>
        <v>0</v>
      </c>
      <c r="DY46" s="608">
        <f>IF(DY133&lt;0,IFERROR(VLOOKUP(DY$1,'Výpočet VP 2020'!$A$324:GF628,42,FALSE),0)+DY133,IFERROR(VLOOKUP(DY$1,'Výpočet VP 2020'!$A$324:GF628,42,FALSE),0))</f>
        <v>4731142.7504826486</v>
      </c>
      <c r="DZ46" s="608">
        <f>IF(DZ133&lt;0,IFERROR(VLOOKUP(DZ$1,'Výpočet VP 2020'!$A$324:GG628,42,FALSE),0)+DZ133,IFERROR(VLOOKUP(DZ$1,'Výpočet VP 2020'!$A$324:GG628,42,FALSE),0))</f>
        <v>770133.71150518791</v>
      </c>
      <c r="EA46" s="608">
        <f>IF(EA133&lt;0,IFERROR(VLOOKUP(EA$1,'Výpočet VP 2020'!$A$324:GH628,42,FALSE),0)+EA133,IFERROR(VLOOKUP(EA$1,'Výpočet VP 2020'!$A$324:GH628,42,FALSE),0))</f>
        <v>3517972.7647054419</v>
      </c>
      <c r="EB46" s="608">
        <f>IF(EB133&lt;0,IFERROR(VLOOKUP(EB$1,'Výpočet VP 2020'!$A$324:GI628,42,FALSE),0)+EB133,IFERROR(VLOOKUP(EB$1,'Výpočet VP 2020'!$A$324:GI628,42,FALSE),0))</f>
        <v>5976412.8583436497</v>
      </c>
      <c r="EC46" s="608">
        <f>IF(EC133&lt;0,IFERROR(VLOOKUP(EC$1,'Výpočet VP 2020'!$A$324:GJ628,42,FALSE),0)+EC133,IFERROR(VLOOKUP(EC$1,'Výpočet VP 2020'!$A$324:GJ628,42,FALSE),0))</f>
        <v>3312237.7834975314</v>
      </c>
      <c r="ED46" s="608">
        <f>IF(ED133&lt;0,IFERROR(VLOOKUP(ED$1,'Výpočet VP 2020'!$A$324:GK628,42,FALSE),0)+ED133,IFERROR(VLOOKUP(ED$1,'Výpočet VP 2020'!$A$324:GK628,42,FALSE),0))</f>
        <v>3891133.2612115145</v>
      </c>
      <c r="EE46" s="608">
        <f>IF(EE133&lt;0,IFERROR(VLOOKUP(EE$1,'Výpočet VP 2020'!$A$324:GL628,42,FALSE),0)+EE133,IFERROR(VLOOKUP(EE$1,'Výpočet VP 2020'!$A$324:GL628,42,FALSE),0))</f>
        <v>854189.53739487671</v>
      </c>
      <c r="EF46" s="608">
        <f>IF(EF133&lt;0,IFERROR(VLOOKUP(EF$1,'Výpočet VP 2020'!$A$324:GM628,42,FALSE),0)+EF133,IFERROR(VLOOKUP(EF$1,'Výpočet VP 2020'!$A$324:GM628,42,FALSE),0))</f>
        <v>928466.88847269223</v>
      </c>
      <c r="EG46" s="608">
        <f>IF(EG133&lt;0,IFERROR(VLOOKUP(EG$1,'Výpočet VP 2020'!$A$324:GN628,42,FALSE),0)+EG133,IFERROR(VLOOKUP(EG$1,'Výpočet VP 2020'!$A$324:GN628,42,FALSE),0))</f>
        <v>445664.10646689229</v>
      </c>
      <c r="EH46" s="608">
        <f>IF(EH133&lt;0,IFERROR(VLOOKUP(EH$1,'Výpočet VP 2020'!$A$324:GO628,42,FALSE),0)+EH133,IFERROR(VLOOKUP(EH$1,'Výpočet VP 2020'!$A$324:GO628,42,FALSE),0))</f>
        <v>799811.80860682938</v>
      </c>
      <c r="EI46" s="608">
        <f>IF(EI133&lt;0,IFERROR(VLOOKUP(EI$1,'Výpočet VP 2020'!$A$324:GP628,42,FALSE),0)+EI133,IFERROR(VLOOKUP(EI$1,'Výpočet VP 2020'!$A$324:GP628,42,FALSE),0))</f>
        <v>1300000</v>
      </c>
      <c r="EJ46" s="608">
        <f>IF(EJ133&lt;0,IFERROR(VLOOKUP(EJ$1,'Výpočet VP 2020'!$A$324:GQ628,42,FALSE),0)+EJ133,IFERROR(VLOOKUP(EJ$1,'Výpočet VP 2020'!$A$324:GQ628,42,FALSE),0))</f>
        <v>1193447.1423064759</v>
      </c>
      <c r="EK46" s="608">
        <f>IF(EK133&lt;0,IFERROR(VLOOKUP(EK$1,'Výpočet VP 2020'!$A$324:GR628,42,FALSE),0)+EK133,IFERROR(VLOOKUP(EK$1,'Výpočet VP 2020'!$A$324:GR628,42,FALSE),0))</f>
        <v>3733481.0875684507</v>
      </c>
      <c r="EL46" s="608">
        <f>IF(EL133&lt;0,IFERROR(VLOOKUP(EL$1,'Výpočet VP 2020'!$A$324:GS628,42,FALSE),0)+EL133,IFERROR(VLOOKUP(EL$1,'Výpočet VP 2020'!$A$324:GS628,42,FALSE),0))</f>
        <v>11834171.525295848</v>
      </c>
      <c r="EM46" s="608">
        <f>IF(EM133&lt;0,IFERROR(VLOOKUP(EM$1,'Výpočet VP 2020'!$A$324:GT628,42,FALSE),0)+EM133,IFERROR(VLOOKUP(EM$1,'Výpočet VP 2020'!$A$324:GT628,42,FALSE),0))</f>
        <v>3398690.3194428757</v>
      </c>
      <c r="EN46" s="608">
        <f>IF(EN133&lt;0,IFERROR(VLOOKUP(EN$1,'Výpočet VP 2020'!$A$324:GU628,42,FALSE),0)+EN133,IFERROR(VLOOKUP(EN$1,'Výpočet VP 2020'!$A$324:GU628,42,FALSE),0))</f>
        <v>2516394.0239095907</v>
      </c>
      <c r="EO46" s="608">
        <f>IF(EO133&lt;0,IFERROR(VLOOKUP(EO$1,'Výpočet VP 2020'!$A$324:GV628,42,FALSE),0)+EO133,IFERROR(VLOOKUP(EO$1,'Výpočet VP 2020'!$A$324:GV628,42,FALSE),0))</f>
        <v>297109.40431126149</v>
      </c>
      <c r="EP46" s="608">
        <f>IF(EP133&lt;0,IFERROR(VLOOKUP(EP$1,'Výpočet VP 2020'!$A$324:GW628,42,FALSE),0)+EP133,IFERROR(VLOOKUP(EP$1,'Výpočet VP 2020'!$A$324:GW628,42,FALSE),0))</f>
        <v>3184329.1261055968</v>
      </c>
      <c r="EQ46" s="608">
        <f>IF(EQ133&lt;0,IFERROR(VLOOKUP(EQ$1,'Výpočet VP 2020'!$A$324:GX628,42,FALSE),0)+EQ133,IFERROR(VLOOKUP(EQ$1,'Výpočet VP 2020'!$A$324:GX628,42,FALSE),0))</f>
        <v>1864761.1598538682</v>
      </c>
      <c r="ER46" s="608">
        <f>IF(ER133&lt;0,IFERROR(VLOOKUP(ER$1,'Výpočet VP 2020'!$A$324:GY628,42,FALSE),0)+ER133,IFERROR(VLOOKUP(ER$1,'Výpočet VP 2020'!$A$324:GY628,42,FALSE),0))</f>
        <v>11121000</v>
      </c>
      <c r="ES46" s="608">
        <f>IF(ES133&lt;0,IFERROR(VLOOKUP(ES$1,'Výpočet VP 2020'!$A$324:GZ628,42,FALSE),0)+ES133,IFERROR(VLOOKUP(ES$1,'Výpočet VP 2020'!$A$324:GZ628,42,FALSE),0))</f>
        <v>0</v>
      </c>
      <c r="ET46" s="608">
        <f>IF(ET133&lt;0,IFERROR(VLOOKUP(ET$1,'Výpočet VP 2020'!$A$324:HA628,42,FALSE),0)+ET133,IFERROR(VLOOKUP(ET$1,'Výpočet VP 2020'!$A$324:HA628,42,FALSE),0))</f>
        <v>1009463.051162631</v>
      </c>
      <c r="EU46" s="608">
        <f>IF(EU133&lt;0,IFERROR(VLOOKUP(EU$1,'Výpočet VP 2020'!$A$324:HB628,42,FALSE),0)+EU133,IFERROR(VLOOKUP(EU$1,'Výpočet VP 2020'!$A$324:HB628,42,FALSE),0))</f>
        <v>2867783.9144364195</v>
      </c>
      <c r="EV46" s="608">
        <f>IF(EV133&lt;0,IFERROR(VLOOKUP(EV$1,'Výpočet VP 2020'!$A$324:HC628,42,FALSE),0)+EV133,IFERROR(VLOOKUP(EV$1,'Výpočet VP 2020'!$A$324:HC628,42,FALSE),0))</f>
        <v>742773.51077815378</v>
      </c>
      <c r="EW46" s="608">
        <f>IF(EW133&lt;0,IFERROR(VLOOKUP(EW$1,'Výpočet VP 2020'!$A$324:HD628,42,FALSE),0)+EW133,IFERROR(VLOOKUP(EW$1,'Výpočet VP 2020'!$A$324:HD628,42,FALSE),0))</f>
        <v>4473993.2555374205</v>
      </c>
      <c r="EX46" s="608">
        <f>IF(EX133&lt;0,IFERROR(VLOOKUP(EX$1,'Výpočet VP 2020'!$A$324:HE628,42,FALSE),0)+EX133,IFERROR(VLOOKUP(EX$1,'Výpočet VP 2020'!$A$324:HE628,42,FALSE),0))</f>
        <v>10000000</v>
      </c>
      <c r="EY46" s="608">
        <f>IF(EY133&lt;0,IFERROR(VLOOKUP(EY$1,'Výpočet VP 2020'!$A$324:HF628,42,FALSE),0)+EY133,IFERROR(VLOOKUP(EY$1,'Výpočet VP 2020'!$A$324:HF628,42,FALSE),0))</f>
        <v>3235363.7450266159</v>
      </c>
      <c r="EZ46" s="608">
        <f>IF(EZ133&lt;0,IFERROR(VLOOKUP(EZ$1,'Výpočet VP 2020'!$A$324:HG628,42,FALSE),0)+EZ133,IFERROR(VLOOKUP(EZ$1,'Výpočet VP 2020'!$A$324:HG628,42,FALSE),0))</f>
        <v>1180543.1487498037</v>
      </c>
      <c r="FA46" s="608">
        <f>IF(FA133&lt;0,IFERROR(VLOOKUP(FA$1,'Výpočet VP 2020'!$A$324:HH628,42,FALSE),0)+FA133,IFERROR(VLOOKUP(FA$1,'Výpočet VP 2020'!$A$324:HH628,42,FALSE),0))</f>
        <v>2643559.424768026</v>
      </c>
      <c r="FB46" s="608">
        <f>IF(FB133&lt;0,IFERROR(VLOOKUP(FB$1,'Výpočet VP 2020'!$A$324:HI628,42,FALSE),0)+FB133,IFERROR(VLOOKUP(FB$1,'Výpočet VP 2020'!$A$324:HI628,42,FALSE),0))</f>
        <v>265664.49062636285</v>
      </c>
      <c r="FC46" s="608">
        <f>IF(FC133&lt;0,IFERROR(VLOOKUP(FC$1,'Výpočet VP 2020'!$A$324:HJ628,42,FALSE),0)+FC133,IFERROR(VLOOKUP(FC$1,'Výpočet VP 2020'!$A$324:HJ628,42,FALSE),0))</f>
        <v>8081615.4215486925</v>
      </c>
      <c r="FD46" s="608">
        <f>IF(FD133&lt;0,IFERROR(VLOOKUP(FD$1,'Výpočet VP 2020'!$A$324:HK628,42,FALSE),0)+FD133,IFERROR(VLOOKUP(FD$1,'Výpočet VP 2020'!$A$324:HK628,42,FALSE),0))</f>
        <v>1664055.933514433</v>
      </c>
      <c r="FE46" s="608">
        <f>IF(FE133&lt;0,IFERROR(VLOOKUP(FE$1,'Výpočet VP 2020'!$A$324:HL628,42,FALSE),0)+FE133,IFERROR(VLOOKUP(FE$1,'Výpočet VP 2020'!$A$324:HL628,42,FALSE),0))</f>
        <v>813440.58884631132</v>
      </c>
      <c r="FF46" s="608">
        <f>IF(FF133&lt;0,IFERROR(VLOOKUP(FF$1,'Výpočet VP 2020'!$A$324:HM628,42,FALSE),0)+FF133,IFERROR(VLOOKUP(FF$1,'Výpočet VP 2020'!$A$324:HM628,42,FALSE),0))</f>
        <v>2561200</v>
      </c>
      <c r="FG46" s="608">
        <f>IF(FG133&lt;0,IFERROR(VLOOKUP(FG$1,'Výpočet VP 2020'!$A$324:HN628,42,FALSE),0)+FG133,IFERROR(VLOOKUP(FG$1,'Výpočet VP 2020'!$A$324:HN628,42,FALSE),0))</f>
        <v>10234922.019552525</v>
      </c>
      <c r="FH46" s="608">
        <f>IF(FH133&lt;0,IFERROR(VLOOKUP(FH$1,'Výpočet VP 2020'!$A$324:HO628,42,FALSE),0)+FH133,IFERROR(VLOOKUP(FH$1,'Výpočet VP 2020'!$A$324:HO628,42,FALSE),0))</f>
        <v>8194603</v>
      </c>
      <c r="FI46" s="608">
        <f>IF(FI133&lt;0,IFERROR(VLOOKUP(FI$1,'Výpočet VP 2020'!$A$324:HP628,42,FALSE),0)+FI133,IFERROR(VLOOKUP(FI$1,'Výpočet VP 2020'!$A$324:HP628,42,FALSE),0))</f>
        <v>10510000</v>
      </c>
      <c r="FJ46" s="608">
        <f>IF(FJ133&lt;0,IFERROR(VLOOKUP(FJ$1,'Výpočet VP 2020'!$A$324:HQ628,42,FALSE),0)+FJ133,IFERROR(VLOOKUP(FJ$1,'Výpočet VP 2020'!$A$324:HQ628,42,FALSE),0))</f>
        <v>3226240</v>
      </c>
      <c r="FK46" s="608">
        <f>IF(FK133&lt;0,IFERROR(VLOOKUP(FK$1,'Výpočet VP 2020'!$A$324:HR628,42,FALSE),0)+FK133,IFERROR(VLOOKUP(FK$1,'Výpočet VP 2020'!$A$324:HR628,42,FALSE),0))</f>
        <v>963386.22672073392</v>
      </c>
      <c r="FL46" s="608">
        <f>IF(FL133&lt;0,IFERROR(VLOOKUP(FL$1,'Výpočet VP 2020'!$A$324:HS628,42,FALSE),0)+FL133,IFERROR(VLOOKUP(FL$1,'Výpočet VP 2020'!$A$324:HS628,42,FALSE),0))</f>
        <v>1203612.7840607695</v>
      </c>
      <c r="FM46" s="608">
        <f>IF(FM133&lt;0,IFERROR(VLOOKUP(FM$1,'Výpočet VP 2020'!$A$324:HT628,42,FALSE),0)+FM133,IFERROR(VLOOKUP(FM$1,'Výpočet VP 2020'!$A$324:HT628,42,FALSE),0))</f>
        <v>5747603.6565853953</v>
      </c>
      <c r="FN46" s="608">
        <f>IF(FN133&lt;0,IFERROR(VLOOKUP(FN$1,'Výpočet VP 2020'!$A$324:HU628,42,FALSE),0)+FN133,IFERROR(VLOOKUP(FN$1,'Výpočet VP 2020'!$A$324:HU628,42,FALSE),0))</f>
        <v>7963831.4799554544</v>
      </c>
      <c r="FO46" s="608">
        <f>IF(FO133&lt;0,IFERROR(VLOOKUP(FO$1,'Výpočet VP 2020'!$A$324:HV628,42,FALSE),0)+FO133,IFERROR(VLOOKUP(FO$1,'Výpočet VP 2020'!$A$324:HV628,42,FALSE),0))</f>
        <v>2866678</v>
      </c>
      <c r="FP46" s="608">
        <f>IF(FP133&lt;0,IFERROR(VLOOKUP(FP$1,'Výpočet VP 2020'!$A$324:HW628,42,FALSE),0)+FP133,IFERROR(VLOOKUP(FP$1,'Výpočet VP 2020'!$A$324:HW628,42,FALSE),0))</f>
        <v>17008000</v>
      </c>
      <c r="FQ46" s="608">
        <f>IF(FQ133&lt;0,IFERROR(VLOOKUP(FQ$1,'Výpočet VP 2020'!$A$324:HX628,42,FALSE),0)+FQ133,IFERROR(VLOOKUP(FQ$1,'Výpočet VP 2020'!$A$324:HX628,42,FALSE),0))</f>
        <v>2192886</v>
      </c>
      <c r="FR46" s="608">
        <f>IF(FR133&lt;0,IFERROR(VLOOKUP(FR$1,'Výpočet VP 2020'!$A$324:HY628,42,FALSE),0)+FR133,IFERROR(VLOOKUP(FR$1,'Výpočet VP 2020'!$A$324:HY628,42,FALSE),0))</f>
        <v>3847203.2896098206</v>
      </c>
      <c r="FS46" s="608">
        <f>IF(FS133&lt;0,IFERROR(VLOOKUP(FS$1,'Výpočet VP 2020'!$A$324:HZ628,42,FALSE),0)+FS133,IFERROR(VLOOKUP(FS$1,'Výpočet VP 2020'!$A$324:HZ628,42,FALSE),0))</f>
        <v>651500</v>
      </c>
      <c r="FT46" s="608">
        <f>IF(FT133&lt;0,IFERROR(VLOOKUP(FT$1,'Výpočet VP 2020'!$A$324:IA628,42,FALSE),0)+FT133,IFERROR(VLOOKUP(FT$1,'Výpočet VP 2020'!$A$324:IA628,42,FALSE),0))</f>
        <v>5871693.3263162933</v>
      </c>
      <c r="FU46" s="608">
        <f>IF(FU133&lt;0,IFERROR(VLOOKUP(FU$1,'Výpočet VP 2020'!$A$324:IB628,42,FALSE),0)+FU133,IFERROR(VLOOKUP(FU$1,'Výpočet VP 2020'!$A$324:IB628,42,FALSE),0))</f>
        <v>718000</v>
      </c>
      <c r="FV46" s="608">
        <f>IF(FV133&lt;0,IFERROR(VLOOKUP(FV$1,'Výpočet VP 2020'!$A$324:IC628,42,FALSE),0)+FV133,IFERROR(VLOOKUP(FV$1,'Výpočet VP 2020'!$A$324:IC628,42,FALSE),0))</f>
        <v>1864671.3198748971</v>
      </c>
      <c r="FW46" s="608">
        <f>IF(FW133&lt;0,IFERROR(VLOOKUP(FW$1,'Výpočet VP 2020'!$A$324:ID628,42,FALSE),0)+FW133,IFERROR(VLOOKUP(FW$1,'Výpočet VP 2020'!$A$324:ID628,42,FALSE),0))</f>
        <v>2104500</v>
      </c>
      <c r="FX46" s="608">
        <f>IF(FX133&lt;0,IFERROR(VLOOKUP(FX$1,'Výpočet VP 2020'!$A$324:IE628,42,FALSE),0)+FX133,IFERROR(VLOOKUP(FX$1,'Výpočet VP 2020'!$A$324:IE628,42,FALSE),0))</f>
        <v>988000</v>
      </c>
      <c r="FY46" s="608">
        <f>IF(FY133&lt;0,IFERROR(VLOOKUP(FY$1,'Výpočet VP 2020'!$A$324:IF628,42,FALSE),0)+FY133,IFERROR(VLOOKUP(FY$1,'Výpočet VP 2020'!$A$324:IF628,42,FALSE),0))</f>
        <v>484000</v>
      </c>
      <c r="FZ46" s="608">
        <f>IF(FZ133&lt;0,IFERROR(VLOOKUP(FZ$1,'Výpočet VP 2020'!$A$324:IG628,42,FALSE),0)+FZ133,IFERROR(VLOOKUP(FZ$1,'Výpočet VP 2020'!$A$324:IG628,42,FALSE),0))</f>
        <v>7845845.0490599889</v>
      </c>
      <c r="GA46" s="608">
        <f>IF(GA133&lt;0,IFERROR(VLOOKUP(GA$1,'Výpočet VP 2020'!$A$324:IH628,42,FALSE),0)+GA133,IFERROR(VLOOKUP(GA$1,'Výpočet VP 2020'!$A$324:IH628,42,FALSE),0))</f>
        <v>992170.48958755797</v>
      </c>
      <c r="GB46" s="608">
        <f>IF(GB133&lt;0,IFERROR(VLOOKUP(GB$1,'Výpočet VP 2020'!$A$324:II628,42,FALSE),0)+GB133,IFERROR(VLOOKUP(GB$1,'Výpočet VP 2020'!$A$324:II628,42,FALSE),0))</f>
        <v>7078594.4862977713</v>
      </c>
      <c r="GC46" s="608">
        <f>IF(GC133&lt;0,IFERROR(VLOOKUP(GC$1,'Výpočet VP 2020'!$A$324:IJ628,42,FALSE),0)+GC133,IFERROR(VLOOKUP(GC$1,'Výpočet VP 2020'!$A$324:IJ628,42,FALSE),0))</f>
        <v>3992300.1421770533</v>
      </c>
      <c r="GD46" s="608">
        <f>IF(GD133&lt;0,IFERROR(VLOOKUP(GD$1,'Výpočet VP 2020'!$A$324:IK628,42,FALSE),0)+GD133,IFERROR(VLOOKUP(GD$1,'Výpočet VP 2020'!$A$324:IK628,42,FALSE),0))</f>
        <v>14793188.350004137</v>
      </c>
      <c r="GE46" s="608">
        <f>IF(GE133&lt;0,IFERROR(VLOOKUP(GE$1,'Výpočet VP 2020'!$A$324:IL628,42,FALSE),0)+GE133,IFERROR(VLOOKUP(GE$1,'Výpočet VP 2020'!$A$324:IL628,42,FALSE),0))</f>
        <v>2300000</v>
      </c>
      <c r="GF46" s="608">
        <f>IF(GF133&lt;0,IFERROR(VLOOKUP(GF$1,'Výpočet VP 2020'!$A$324:IM628,42,FALSE),0)+GF133,IFERROR(VLOOKUP(GF$1,'Výpočet VP 2020'!$A$324:IM628,42,FALSE),0))</f>
        <v>5289600.1778761428</v>
      </c>
      <c r="GG46" s="608">
        <f>IF(GG133&lt;0,IFERROR(VLOOKUP(GG$1,'Výpočet VP 2020'!$A$324:IN628,42,FALSE),0)+GG133,IFERROR(VLOOKUP(GG$1,'Výpočet VP 2020'!$A$324:IN628,42,FALSE),0))</f>
        <v>1675672.3627191633</v>
      </c>
      <c r="GH46" s="608">
        <f>IF(GH133&lt;0,IFERROR(VLOOKUP(GH$1,'Výpočet VP 2020'!$A$324:IO628,42,FALSE),0)+GH133,IFERROR(VLOOKUP(GH$1,'Výpočet VP 2020'!$A$324:IO628,42,FALSE),0))</f>
        <v>1500741.4312772285</v>
      </c>
      <c r="GI46" s="608">
        <f>IF(GI133&lt;0,IFERROR(VLOOKUP(GI$1,'Výpočet VP 2020'!$A$324:IP628,42,FALSE),0)+GI133,IFERROR(VLOOKUP(GI$1,'Výpočet VP 2020'!$A$324:IP628,42,FALSE),0))</f>
        <v>15318249.086967468</v>
      </c>
      <c r="GJ46" s="608">
        <f>IF(GJ133&lt;0,IFERROR(VLOOKUP(GJ$1,'Výpočet VP 2020'!$A$324:IQ628,42,FALSE),0)+GJ133,IFERROR(VLOOKUP(GJ$1,'Výpočet VP 2020'!$A$324:IQ628,42,FALSE),0))</f>
        <v>3236180</v>
      </c>
      <c r="GK46" s="608">
        <f>IF(GK133&lt;0,IFERROR(VLOOKUP(GK$1,'Výpočet VP 2020'!$A$324:IR628,42,FALSE),0)+GK133,IFERROR(VLOOKUP(GK$1,'Výpočet VP 2020'!$A$324:IR628,42,FALSE),0))</f>
        <v>2287953</v>
      </c>
      <c r="GL46" s="608">
        <f>IF(GL133&lt;0,IFERROR(VLOOKUP(GL$1,'Výpočet VP 2020'!$A$324:IS628,42,FALSE),0)+GL133,IFERROR(VLOOKUP(GL$1,'Výpočet VP 2020'!$A$324:IS628,42,FALSE),0))</f>
        <v>1248846</v>
      </c>
      <c r="GM46" s="608">
        <f>IF(GM133&lt;0,IFERROR(VLOOKUP(GM$1,'Výpočet VP 2020'!$A$324:IT628,42,FALSE),0)+GM133,IFERROR(VLOOKUP(GM$1,'Výpočet VP 2020'!$A$324:IT628,42,FALSE),0))</f>
        <v>1452634</v>
      </c>
      <c r="GN46" s="608">
        <f>IF(GN133&lt;0,IFERROR(VLOOKUP(GN$1,'Výpočet VP 2020'!$A$324:IU628,42,FALSE),0)+GN133,IFERROR(VLOOKUP(GN$1,'Výpočet VP 2020'!$A$324:IU628,42,FALSE),0))</f>
        <v>1157000</v>
      </c>
      <c r="GO46" s="608">
        <f>IF(GO133&lt;0,IFERROR(VLOOKUP(GO$1,'Výpočet VP 2020'!$A$324:IV628,42,FALSE),0)+GO133,IFERROR(VLOOKUP(GO$1,'Výpočet VP 2020'!$A$324:IV628,42,FALSE),0))</f>
        <v>6719641</v>
      </c>
      <c r="GP46" s="608">
        <f>IF(GP133&lt;0,IFERROR(VLOOKUP(GP$1,'Výpočet VP 2020'!$A$324:IW628,42,FALSE),0)+GP133,IFERROR(VLOOKUP(GP$1,'Výpočet VP 2020'!$A$324:IW628,42,FALSE),0))</f>
        <v>1324656.0617410089</v>
      </c>
      <c r="GQ46" s="608">
        <f>IF(GQ133&lt;0,IFERROR(VLOOKUP(GQ$1,'Výpočet VP 2020'!$A$324:IX628,42,FALSE),0)+GQ133,IFERROR(VLOOKUP(GQ$1,'Výpočet VP 2020'!$A$324:IX628,42,FALSE),0))</f>
        <v>1766200</v>
      </c>
      <c r="GR46" s="608">
        <f>IF(GR133&lt;0,IFERROR(VLOOKUP(GR$1,'Výpočet VP 2020'!$A$324:IY628,42,FALSE),0)+GR133,IFERROR(VLOOKUP(GR$1,'Výpočet VP 2020'!$A$324:IY628,42,FALSE),0))</f>
        <v>1671114.6056514834</v>
      </c>
      <c r="GS46" s="608">
        <f>IF(GS133&lt;0,IFERROR(VLOOKUP(GS$1,'Výpočet VP 2020'!$A$324:IZ628,42,FALSE),0)+GS133,IFERROR(VLOOKUP(GS$1,'Výpočet VP 2020'!$A$324:IZ628,42,FALSE),0))</f>
        <v>963386.22672073392</v>
      </c>
      <c r="GT46" s="608">
        <f>IF(GT133&lt;0,IFERROR(VLOOKUP(GT$1,'Výpočet VP 2020'!$A$324:JA628,42,FALSE),0)+GT133,IFERROR(VLOOKUP(GT$1,'Výpočet VP 2020'!$A$324:JA628,42,FALSE),0))</f>
        <v>14779349.532092277</v>
      </c>
      <c r="GU46" s="608">
        <f>IF(GU133&lt;0,IFERROR(VLOOKUP(GU$1,'Výpočet VP 2020'!$A$324:JB628,42,FALSE),0)+GU133,IFERROR(VLOOKUP(GU$1,'Výpočet VP 2020'!$A$324:JB628,42,FALSE),0))</f>
        <v>1604440</v>
      </c>
      <c r="GV46" s="608">
        <f>IF(GV133&lt;0,IFERROR(VLOOKUP(GV$1,'Výpočet VP 2020'!$A$324:JC628,42,FALSE),0)+GV133,IFERROR(VLOOKUP(GV$1,'Výpočet VP 2020'!$A$324:JC628,42,FALSE),0))</f>
        <v>8312921.1856662463</v>
      </c>
      <c r="GW46" s="608">
        <f>IF(GW133&lt;0,IFERROR(VLOOKUP(GW$1,'Výpočet VP 2020'!$A$324:JD628,42,FALSE),0)+GW133,IFERROR(VLOOKUP(GW$1,'Výpočet VP 2020'!$A$324:JD628,42,FALSE),0))</f>
        <v>2236996.6277687103</v>
      </c>
      <c r="GX46" s="608">
        <f>IF(GX133&lt;0,IFERROR(VLOOKUP(GX$1,'Výpočet VP 2020'!$A$324:JE628,42,FALSE),0)+GX133,IFERROR(VLOOKUP(GX$1,'Výpočet VP 2020'!$A$324:JE628,42,FALSE),0))</f>
        <v>846629.33977144712</v>
      </c>
      <c r="GY46" s="608">
        <f>IF(GY133&lt;0,IFERROR(VLOOKUP(GY$1,'Výpočet VP 2020'!$A$324:JF628,42,FALSE),0)+GY133,IFERROR(VLOOKUP(GY$1,'Výpočet VP 2020'!$A$324:JF628,42,FALSE),0))</f>
        <v>28093975</v>
      </c>
      <c r="GZ46" s="608">
        <f>IF(GZ133&lt;0,IFERROR(VLOOKUP(GZ$1,'Výpočet VP 2020'!$A$324:JG628,42,FALSE),0)+GZ133,IFERROR(VLOOKUP(GZ$1,'Výpočet VP 2020'!$A$324:JG628,42,FALSE),0))</f>
        <v>4016004.3026968315</v>
      </c>
      <c r="HA46" s="608">
        <f>IF(HA133&lt;0,IFERROR(VLOOKUP(HA$1,'Výpočet VP 2020'!$A$324:JH628,42,FALSE),0)+HA133,IFERROR(VLOOKUP(HA$1,'Výpočet VP 2020'!$A$324:JH628,42,FALSE),0))</f>
        <v>11838145.191237042</v>
      </c>
      <c r="HB46" s="608">
        <f>IF(HB133&lt;0,IFERROR(VLOOKUP(HB$1,'Výpočet VP 2020'!$A$324:JI628,42,FALSE),0)+HB133,IFERROR(VLOOKUP(HB$1,'Výpočet VP 2020'!$A$324:JI628,42,FALSE),0))</f>
        <v>10271504.099015649</v>
      </c>
      <c r="HC46" s="608">
        <f>IF(HC133&lt;0,IFERROR(VLOOKUP(HC$1,'Výpočet VP 2020'!$A$324:JJ628,42,FALSE),0)+HC133,IFERROR(VLOOKUP(HC$1,'Výpočet VP 2020'!$A$324:JJ628,42,FALSE),0))</f>
        <v>13279000</v>
      </c>
      <c r="HD46" s="608">
        <f>IF(HD133&lt;0,IFERROR(VLOOKUP(HD$1,'Výpočet VP 2020'!$A$324:JK628,42,FALSE),0)+HD133,IFERROR(VLOOKUP(HD$1,'Výpočet VP 2020'!$A$324:JK628,42,FALSE),0))</f>
        <v>3992300.1421770533</v>
      </c>
      <c r="HE46" s="608">
        <f>IF(HE133&lt;0,IFERROR(VLOOKUP(HE$1,'Výpočet VP 2020'!$A$324:JL628,42,FALSE),0)+HE133,IFERROR(VLOOKUP(HE$1,'Výpočet VP 2020'!$A$324:JL628,42,FALSE),0))</f>
        <v>9761700</v>
      </c>
      <c r="HF46" s="608">
        <f>IF(HF133&lt;0,IFERROR(VLOOKUP(HF$1,'Výpočet VP 2020'!$A$324:JM628,42,FALSE),0)+HF133,IFERROR(VLOOKUP(HF$1,'Výpočet VP 2020'!$A$324:JM628,42,FALSE),0))</f>
        <v>2452907</v>
      </c>
      <c r="HG46" s="608">
        <f>IF(HG133&lt;0,IFERROR(VLOOKUP(HG$1,'Výpočet VP 2020'!$A$324:JN628,42,FALSE),0)+HG133,IFERROR(VLOOKUP(HG$1,'Výpočet VP 2020'!$A$324:JN628,42,FALSE),0))</f>
        <v>969165</v>
      </c>
      <c r="HH46" s="608">
        <f>IF(HH133&lt;0,IFERROR(VLOOKUP(HH$1,'Výpočet VP 2020'!$A$324:JO628,42,FALSE),0)+HH133,IFERROR(VLOOKUP(HH$1,'Výpočet VP 2020'!$A$324:JO628,42,FALSE),0))</f>
        <v>3510607.0288166855</v>
      </c>
      <c r="HI46" s="608">
        <f>IF(HI133&lt;0,IFERROR(VLOOKUP(HI$1,'Výpočet VP 2020'!$A$324:JP628,42,FALSE),0)+HI133,IFERROR(VLOOKUP(HI$1,'Výpočet VP 2020'!$A$324:JP628,42,FALSE),0))</f>
        <v>4955686.3688977864</v>
      </c>
      <c r="HJ46" s="608">
        <f>IF(HJ133&lt;0,IFERROR(VLOOKUP(HJ$1,'Výpočet VP 2020'!$A$324:JQ628,42,FALSE),0)+HJ133,IFERROR(VLOOKUP(HJ$1,'Výpočet VP 2020'!$A$324:JQ628,42,FALSE),0))</f>
        <v>0</v>
      </c>
      <c r="HK46" s="608">
        <f>IF(HK133&lt;0,IFERROR(VLOOKUP(HK$1,'Výpočet VP 2020'!$A$324:JR628,42,FALSE),0)+HK133,IFERROR(VLOOKUP(HK$1,'Výpočet VP 2020'!$A$324:JR628,42,FALSE),0))</f>
        <v>1201800</v>
      </c>
      <c r="HL46" s="608">
        <f>IF(HL133&lt;0,IFERROR(VLOOKUP(HL$1,'Výpočet VP 2020'!$A$324:JS628,42,FALSE),0)+HL133,IFERROR(VLOOKUP(HL$1,'Výpočet VP 2020'!$A$324:JS628,42,FALSE),0))</f>
        <v>43047174.374081343</v>
      </c>
      <c r="HM46" s="608">
        <f>IF(HM133&lt;0,IFERROR(VLOOKUP(HM$1,'Výpočet VP 2020'!$A$324:JT628,42,FALSE),0)+HM133,IFERROR(VLOOKUP(HM$1,'Výpočet VP 2020'!$A$324:JT628,42,FALSE),0))</f>
        <v>24315023.422150649</v>
      </c>
      <c r="HN46" s="608">
        <f>IF(HN133&lt;0,IFERROR(VLOOKUP(HN$1,'Výpočet VP 2020'!$A$324:JU628,42,FALSE),0)+HN133,IFERROR(VLOOKUP(HN$1,'Výpočet VP 2020'!$A$324:JU628,42,FALSE),0))</f>
        <v>773502.96210955526</v>
      </c>
      <c r="HO46" s="608">
        <f>IF(HO133&lt;0,IFERROR(VLOOKUP(HO$1,'Výpočet VP 2020'!$A$324:JV628,42,FALSE),0)+HO133,IFERROR(VLOOKUP(HO$1,'Výpočet VP 2020'!$A$324:JV628,42,FALSE),0))</f>
        <v>0</v>
      </c>
      <c r="HP46" s="608">
        <f>IF(HP133&lt;0,IFERROR(VLOOKUP(HP$1,'Výpočet VP 2020'!$A$324:JW628,42,FALSE),0)+HP133,IFERROR(VLOOKUP(HP$1,'Výpočet VP 2020'!$A$324:JW628,42,FALSE),0))</f>
        <v>33033000</v>
      </c>
      <c r="HQ46" s="608">
        <f>IF(HQ133&lt;0,IFERROR(VLOOKUP(HQ$1,'Výpočet VP 2020'!$A$324:JX628,42,FALSE),0)+HQ133,IFERROR(VLOOKUP(HQ$1,'Výpočet VP 2020'!$A$324:JX628,42,FALSE),0))</f>
        <v>1032559.9409537764</v>
      </c>
      <c r="HR46" s="608">
        <f>IF(HR133&lt;0,IFERROR(VLOOKUP(HR$1,'Výpočet VP 2020'!$A$324:JY628,42,FALSE),0)+HR133,IFERROR(VLOOKUP(HR$1,'Výpočet VP 2020'!$A$324:JY628,42,FALSE),0))</f>
        <v>36614806.545883656</v>
      </c>
      <c r="HS46" s="608">
        <f>IF(HS133&lt;0,IFERROR(VLOOKUP(HS$1,'Výpočet VP 2020'!$A$324:JZ628,42,FALSE),0)+HS133,IFERROR(VLOOKUP(HS$1,'Výpočet VP 2020'!$A$324:JZ628,42,FALSE),0))</f>
        <v>7195414.637391096</v>
      </c>
      <c r="HT46" s="608">
        <f>IF(HT133&lt;0,IFERROR(VLOOKUP(HT$1,'Výpočet VP 2020'!$A$324:KA628,42,FALSE),0)+HT133,IFERROR(VLOOKUP(HT$1,'Výpočet VP 2020'!$A$324:KA628,42,FALSE),0))</f>
        <v>18595469.590470783</v>
      </c>
      <c r="HU46" s="608">
        <f>IF(HU133&lt;0,IFERROR(VLOOKUP(HU$1,'Výpočet VP 2020'!$A$324:KB628,42,FALSE),0)+HU133,IFERROR(VLOOKUP(HU$1,'Výpočet VP 2020'!$A$324:KB628,42,FALSE),0))</f>
        <v>27484085.005208258</v>
      </c>
      <c r="HV46" s="608">
        <f>IF(HV133&lt;0,IFERROR(VLOOKUP(HV$1,'Výpočet VP 2020'!$A$324:KC628,42,FALSE),0)+HV133,IFERROR(VLOOKUP(HV$1,'Výpočet VP 2020'!$A$324:KC628,42,FALSE),0))</f>
        <v>21508000</v>
      </c>
      <c r="HW46" s="608">
        <f>IF(HW133&lt;0,IFERROR(VLOOKUP(HW$1,'Výpočet VP 2020'!$A$324:KD628,42,FALSE),0)+HW133,IFERROR(VLOOKUP(HW$1,'Výpočet VP 2020'!$A$324:KD628,42,FALSE),0))</f>
        <v>5561920</v>
      </c>
      <c r="HX46" s="608">
        <f>IF(HX133&lt;0,IFERROR(VLOOKUP(HX$1,'Výpočet VP 2020'!$A$324:KE628,42,FALSE),0)+HX133,IFERROR(VLOOKUP(HX$1,'Výpočet VP 2020'!$A$324:KE628,42,FALSE),0))</f>
        <v>25691721.341380894</v>
      </c>
      <c r="HY46" s="608">
        <f>IF(HY133&lt;0,IFERROR(VLOOKUP(HY$1,'Výpočet VP 2020'!$A$324:KF628,42,FALSE),0)+HY133,IFERROR(VLOOKUP(HY$1,'Výpočet VP 2020'!$A$324:KF628,42,FALSE),0))</f>
        <v>20392282.173444685</v>
      </c>
      <c r="HZ46" s="608">
        <f>IF(HZ133&lt;0,IFERROR(VLOOKUP(HZ$1,'Výpočet VP 2020'!$A$324:KG628,42,FALSE),0)+HZ133,IFERROR(VLOOKUP(HZ$1,'Výpočet VP 2020'!$A$324:KG628,42,FALSE),0))</f>
        <v>10920004.97769383</v>
      </c>
      <c r="IA46" s="608">
        <f>IF(IA133&lt;0,IFERROR(VLOOKUP(IA$1,'Výpočet VP 2020'!$A$324:KH628,42,FALSE),0)+IA133,IFERROR(VLOOKUP(IA$1,'Výpočet VP 2020'!$A$324:KH628,42,FALSE),0))</f>
        <v>9979880</v>
      </c>
      <c r="IB46" s="608">
        <f>IF(IB133&lt;0,IFERROR(VLOOKUP(IB$1,'Výpočet VP 2020'!$A$324:KI628,42,FALSE),0)+IB133,IFERROR(VLOOKUP(IB$1,'Výpočet VP 2020'!$A$324:KI628,42,FALSE),0))</f>
        <v>9823113.9004964307</v>
      </c>
      <c r="IC46" s="608">
        <f>IF(IC133&lt;0,IFERROR(VLOOKUP(IC$1,'Výpočet VP 2020'!$A$324:KJ628,42,FALSE),0)+IC133,IFERROR(VLOOKUP(IC$1,'Výpočet VP 2020'!$A$324:KJ628,42,FALSE),0))</f>
        <v>14489500</v>
      </c>
      <c r="ID46" s="608">
        <f>IF(ID133&lt;0,IFERROR(VLOOKUP(ID$1,'Výpočet VP 2020'!$A$324:KK628,42,FALSE),0)+ID133,IFERROR(VLOOKUP(ID$1,'Výpočet VP 2020'!$A$324:KK628,42,FALSE),0))</f>
        <v>11816000</v>
      </c>
      <c r="IE46" s="608">
        <f>IF(IE133&lt;0,IFERROR(VLOOKUP(IE$1,'Výpočet VP 2020'!$A$324:KL628,42,FALSE),0)+IE133,IFERROR(VLOOKUP(IE$1,'Výpočet VP 2020'!$A$324:KL628,42,FALSE),0))</f>
        <v>19994059.517665572</v>
      </c>
      <c r="IF46" s="608">
        <f>IF(IF133&lt;0,IFERROR(VLOOKUP(IF$1,'Výpočet VP 2020'!$A$324:KM628,42,FALSE),0)+IF133,IFERROR(VLOOKUP(IF$1,'Výpočet VP 2020'!$A$324:KM628,42,FALSE),0))</f>
        <v>17198633.588044822</v>
      </c>
      <c r="IG46" s="608">
        <f>IF(IG133&lt;0,IFERROR(VLOOKUP(IG$1,'Výpočet VP 2020'!$A$324:KN628,42,FALSE),0)+IG133,IFERROR(VLOOKUP(IG$1,'Výpočet VP 2020'!$A$324:KN628,42,FALSE),0))</f>
        <v>5290219.0727247903</v>
      </c>
      <c r="IH46" s="608">
        <f>IF(IH133&lt;0,IFERROR(VLOOKUP(IH$1,'Výpočet VP 2020'!$A$324:KO628,42,FALSE),0)+IH133,IFERROR(VLOOKUP(IH$1,'Výpočet VP 2020'!$A$324:KO628,42,FALSE),0))</f>
        <v>4013505.4274126575</v>
      </c>
      <c r="II46" s="608">
        <f>IF(II133&lt;0,IFERROR(VLOOKUP(II$1,'Výpočet VP 2020'!$A$324:KP628,42,FALSE),0)+II133,IFERROR(VLOOKUP(II$1,'Výpočet VP 2020'!$A$324:KP628,42,FALSE),0))</f>
        <v>19813983.129812181</v>
      </c>
      <c r="IJ46" s="608">
        <f>IF(IJ133&lt;0,IFERROR(VLOOKUP(IJ$1,'Výpočet VP 2020'!$A$324:KQ628,42,FALSE),0)+IJ133,IFERROR(VLOOKUP(IJ$1,'Výpočet VP 2020'!$A$324:KQ628,42,FALSE),0))</f>
        <v>2183526.9397355039</v>
      </c>
      <c r="IK46" s="608">
        <f>IF(IK133&lt;0,IFERROR(VLOOKUP(IK$1,'Výpočet VP 2020'!$A$324:KR628,42,FALSE),0)+IK133,IFERROR(VLOOKUP(IK$1,'Výpočet VP 2020'!$A$324:KR628,42,FALSE),0))</f>
        <v>3320915</v>
      </c>
      <c r="IL46" s="608">
        <f>IF(IL133&lt;0,IFERROR(VLOOKUP(IL$1,'Výpočet VP 2020'!$A$324:KS628,42,FALSE),0)+IL133,IFERROR(VLOOKUP(IL$1,'Výpočet VP 2020'!$A$324:KS628,42,FALSE),0))</f>
        <v>10265880.700098794</v>
      </c>
      <c r="IM46" s="608">
        <f>IF(IM133&lt;0,IFERROR(VLOOKUP(IM$1,'Výpočet VP 2020'!$A$324:KT628,42,FALSE),0)+IM133,IFERROR(VLOOKUP(IM$1,'Výpočet VP 2020'!$A$324:KT628,42,FALSE),0))</f>
        <v>576689.35844624322</v>
      </c>
      <c r="IN46" s="608">
        <f>IF(IN133&lt;0,IFERROR(VLOOKUP(IN$1,'Výpočet VP 2020'!$A$324:KU628,42,FALSE),0)+IN133,IFERROR(VLOOKUP(IN$1,'Výpočet VP 2020'!$A$324:KU628,42,FALSE),0))</f>
        <v>10983989.105203958</v>
      </c>
      <c r="IO46" s="608">
        <f>IF(IO133&lt;0,IFERROR(VLOOKUP(IO$1,'Výpočet VP 2020'!$A$324:KV628,42,FALSE),0)+IO133,IFERROR(VLOOKUP(IO$1,'Výpočet VP 2020'!$A$324:KV628,42,FALSE),0))</f>
        <v>4175281.5630752468</v>
      </c>
      <c r="IP46" s="608">
        <f>IF(IP133&lt;0,IFERROR(VLOOKUP(IP$1,'Výpočet VP 2020'!$A$324:KW628,42,FALSE),0)+IP133,IFERROR(VLOOKUP(IP$1,'Výpočet VP 2020'!$A$324:KW628,42,FALSE),0))</f>
        <v>22497527.177580558</v>
      </c>
      <c r="IQ46" s="608">
        <f>IF(IQ133&lt;0,IFERROR(VLOOKUP(IQ$1,'Výpočet VP 2020'!$A$324:KX628,42,FALSE),0)+IQ133,IFERROR(VLOOKUP(IQ$1,'Výpočet VP 2020'!$A$324:KX628,42,FALSE),0))</f>
        <v>22486957.282894928</v>
      </c>
      <c r="IR46" s="608">
        <f>IF(IR133&lt;0,IFERROR(VLOOKUP(IR$1,'Výpočet VP 2020'!$A$324:KY628,42,FALSE),0)+IR133,IFERROR(VLOOKUP(IR$1,'Výpočet VP 2020'!$A$324:KY628,42,FALSE),0))</f>
        <v>1066302.6090348614</v>
      </c>
      <c r="IS46" s="608">
        <f>IF(IS133&lt;0,IFERROR(VLOOKUP(IS$1,'Výpočet VP 2020'!$A$324:KZ628,42,FALSE),0)+IS133,IFERROR(VLOOKUP(IS$1,'Výpočet VP 2020'!$A$324:KZ628,42,FALSE),0))</f>
        <v>55608500</v>
      </c>
      <c r="IT46" s="608">
        <f>IF(IT133&lt;0,IFERROR(VLOOKUP(IT$1,'Výpočet VP 2020'!$A$324:LA628,42,FALSE),0)+IT133,IFERROR(VLOOKUP(IT$1,'Výpočet VP 2020'!$A$324:LA628,42,FALSE),0))</f>
        <v>14347100</v>
      </c>
      <c r="IU46" s="608">
        <f>IF(IU133&lt;0,IFERROR(VLOOKUP(IU$1,'Výpočet VP 2020'!$A$324:LB628,42,FALSE),0)+IU133,IFERROR(VLOOKUP(IU$1,'Výpočet VP 2020'!$A$324:LB628,42,FALSE),0))</f>
        <v>3667436.7806406175</v>
      </c>
      <c r="IV46" s="608">
        <f>IF(IV133&lt;0,IFERROR(VLOOKUP(IV$1,'Výpočet VP 2020'!$A$324:LC628,42,FALSE),0)+IV133,IFERROR(VLOOKUP(IV$1,'Výpočet VP 2020'!$A$324:LC628,42,FALSE),0))</f>
        <v>8866275.6764279809</v>
      </c>
      <c r="IW46" s="608">
        <f>IF(IW133&lt;0,IFERROR(VLOOKUP(IW$1,'Výpočet VP 2020'!$A$324:LD628,42,FALSE),0)+IW133,IFERROR(VLOOKUP(IW$1,'Výpočet VP 2020'!$A$324:LD628,42,FALSE),0))</f>
        <v>14122596.481906652</v>
      </c>
      <c r="IX46" s="608">
        <f>IF(IX133&lt;0,IFERROR(VLOOKUP(IX$1,'Výpočet VP 2020'!$A$324:LE628,42,FALSE),0)+IX133,IFERROR(VLOOKUP(IX$1,'Výpočet VP 2020'!$A$324:LE628,42,FALSE),0))</f>
        <v>2148999.2969357027</v>
      </c>
      <c r="IY46" s="608">
        <f>IF(IY133&lt;0,IFERROR(VLOOKUP(IY$1,'Výpočet VP 2020'!$A$324:LF628,42,FALSE),0)+IY133,IFERROR(VLOOKUP(IY$1,'Výpočet VP 2020'!$A$324:LF628,42,FALSE),0))</f>
        <v>11376964.50882945</v>
      </c>
      <c r="IZ46" s="608">
        <f>IF(IZ133&lt;0,IFERROR(VLOOKUP(IZ$1,'Výpočet VP 2020'!$A$324:LG628,42,FALSE),0)+IZ133,IFERROR(VLOOKUP(IZ$1,'Výpočet VP 2020'!$A$324:LG628,42,FALSE),0))</f>
        <v>25280595.996755749</v>
      </c>
      <c r="JA46" s="608">
        <f>IF(JA133&lt;0,IFERROR(VLOOKUP(JA$1,'Výpočet VP 2020'!$A$324:LH628,42,FALSE),0)+JA133,IFERROR(VLOOKUP(JA$1,'Výpočet VP 2020'!$A$324:LH628,42,FALSE),0))</f>
        <v>3082510.0697293384</v>
      </c>
      <c r="JB46" s="608">
        <f>IF(JB133&lt;0,IFERROR(VLOOKUP(JB$1,'Výpočet VP 2020'!$A$324:LI628,42,FALSE),0)+JB133,IFERROR(VLOOKUP(JB$1,'Výpočet VP 2020'!$A$324:LI628,42,FALSE),0))</f>
        <v>3801963.0001571975</v>
      </c>
      <c r="JC46" s="608">
        <f>IF(JC133&lt;0,IFERROR(VLOOKUP(JC$1,'Výpočet VP 2020'!$A$324:LJ628,42,FALSE),0)+JC133,IFERROR(VLOOKUP(JC$1,'Výpočet VP 2020'!$A$324:LJ628,42,FALSE),0))</f>
        <v>2169515.4593524667</v>
      </c>
      <c r="JD46" s="608">
        <f>IF(JD133&lt;0,IFERROR(VLOOKUP(JD$1,'Výpočet VP 2020'!$A$324:LK628,42,FALSE),0)+JD133,IFERROR(VLOOKUP(JD$1,'Výpočet VP 2020'!$A$324:LK628,42,FALSE),0))</f>
        <v>6713140.1754739247</v>
      </c>
      <c r="JE46" s="608">
        <f>IF(JE133&lt;0,IFERROR(VLOOKUP(JE$1,'Výpočet VP 2020'!$A$324:LL628,42,FALSE),0)+JE133,IFERROR(VLOOKUP(JE$1,'Výpočet VP 2020'!$A$324:LL628,42,FALSE),0))</f>
        <v>850000</v>
      </c>
      <c r="JF46" s="608">
        <f>IF(JF133&lt;0,IFERROR(VLOOKUP(JF$1,'Výpočet VP 2020'!$A$324:LM628,42,FALSE),0)+JF133,IFERROR(VLOOKUP(JF$1,'Výpočet VP 2020'!$A$324:LM628,42,FALSE),0))</f>
        <v>40477800</v>
      </c>
      <c r="JG46" s="608">
        <f>IF(JG133&lt;0,IFERROR(VLOOKUP(JG$1,'Výpočet VP 2020'!$A$324:LN628,42,FALSE),0)+JG133,IFERROR(VLOOKUP(JG$1,'Výpočet VP 2020'!$A$324:LN628,42,FALSE),0))</f>
        <v>30609469.164951172</v>
      </c>
      <c r="JH46" s="608">
        <f>IF(JH133&lt;0,IFERROR(VLOOKUP(JH$1,'Výpočet VP 2020'!$A$324:LO628,42,FALSE),0)+JH133,IFERROR(VLOOKUP(JH$1,'Výpočet VP 2020'!$A$324:LO628,42,FALSE),0))</f>
        <v>1432360.5197921393</v>
      </c>
      <c r="JI46" s="608">
        <f t="shared" ref="JI46" si="322">SUM(C46:JH46)</f>
        <v>1505542425.5258696</v>
      </c>
      <c r="JL46" s="307">
        <f t="shared" ref="JL46:JO49" si="323">SUMIFS($C46:$JH46,$C$5:$JH$5,JL$5)</f>
        <v>26563243.997923955</v>
      </c>
      <c r="JM46" s="307">
        <f t="shared" si="323"/>
        <v>457365134.17810804</v>
      </c>
      <c r="JN46" s="307">
        <f t="shared" si="323"/>
        <v>330917890.87589014</v>
      </c>
      <c r="JO46" s="307">
        <f t="shared" si="323"/>
        <v>690696156.47394741</v>
      </c>
      <c r="JP46" s="307">
        <f t="shared" ref="JP46:JP49" si="324">SUM(JL46:JO46)</f>
        <v>1505542425.5258694</v>
      </c>
    </row>
    <row r="47" spans="1:277" ht="15.75" thickBot="1" x14ac:dyDescent="0.3">
      <c r="B47" s="611" t="s">
        <v>2526</v>
      </c>
      <c r="C47" s="608">
        <f>IFERROR(VLOOKUP(C$1,IP5_2020!$D$74:$E$107,2,FALSE),0)</f>
        <v>0</v>
      </c>
      <c r="D47" s="608">
        <f>IFERROR(VLOOKUP(D$1,IP5_2020!$D$74:$E$107,2,FALSE),0)</f>
        <v>0</v>
      </c>
      <c r="E47" s="608">
        <f>IFERROR(VLOOKUP(E$1,IP5_2020!$D$74:$E$107,2,FALSE),0)</f>
        <v>0</v>
      </c>
      <c r="F47" s="608">
        <f>IFERROR(VLOOKUP(F$1,IP5_2020!$D$74:$E$107,2,FALSE),0)</f>
        <v>0</v>
      </c>
      <c r="G47" s="608">
        <f>IFERROR(VLOOKUP(G$1,IP5_2020!$D$74:$E$107,2,FALSE),0)</f>
        <v>0</v>
      </c>
      <c r="H47" s="608">
        <f>IFERROR(VLOOKUP(H$1,IP5_2020!$D$74:$E$107,2,FALSE),0)</f>
        <v>916710.41611130896</v>
      </c>
      <c r="I47" s="608">
        <f>IFERROR(VLOOKUP(I$1,IP5_2020!$D$74:$E$107,2,FALSE),0)</f>
        <v>3162879.4741952131</v>
      </c>
      <c r="J47" s="608">
        <f>IFERROR(VLOOKUP(J$1,IP5_2020!$D$74:$E$107,2,FALSE),0)</f>
        <v>2678115.5483361837</v>
      </c>
      <c r="K47" s="608">
        <f>IFERROR(VLOOKUP(K$1,IP5_2020!$D$74:$E$107,2,FALSE),0)</f>
        <v>0</v>
      </c>
      <c r="L47" s="608">
        <f>IFERROR(VLOOKUP(L$1,IP5_2020!$D$74:$E$107,2,FALSE),0)</f>
        <v>0</v>
      </c>
      <c r="M47" s="608">
        <f>IFERROR(VLOOKUP(M$1,IP5_2020!$D$74:$E$107,2,FALSE),0)</f>
        <v>0</v>
      </c>
      <c r="N47" s="608">
        <f>IFERROR(VLOOKUP(N$1,IP5_2020!$D$74:$E$107,2,FALSE),0)</f>
        <v>0</v>
      </c>
      <c r="O47" s="608">
        <f>IFERROR(VLOOKUP(O$1,IP5_2020!$D$74:$E$107,2,FALSE),0)</f>
        <v>0</v>
      </c>
      <c r="P47" s="608">
        <f>IFERROR(VLOOKUP(P$1,IP5_2020!$D$74:$E$107,2,FALSE),0)</f>
        <v>0</v>
      </c>
      <c r="Q47" s="608">
        <f>IFERROR(VLOOKUP(Q$1,IP5_2020!$D$74:$E$107,2,FALSE),0)</f>
        <v>0</v>
      </c>
      <c r="R47" s="608">
        <f>IFERROR(VLOOKUP(R$1,IP5_2020!$D$74:$E$107,2,FALSE),0)</f>
        <v>0</v>
      </c>
      <c r="S47" s="608">
        <f>IFERROR(VLOOKUP(S$1,IP5_2020!$D$74:$E$107,2,FALSE),0)</f>
        <v>0</v>
      </c>
      <c r="T47" s="608">
        <f>IFERROR(VLOOKUP(T$1,IP5_2020!$D$74:$E$107,2,FALSE),0)</f>
        <v>0</v>
      </c>
      <c r="U47" s="608">
        <f>IFERROR(VLOOKUP(U$1,IP5_2020!$D$74:$E$107,2,FALSE),0)</f>
        <v>0</v>
      </c>
      <c r="V47" s="608">
        <f>IFERROR(VLOOKUP(V$1,IP5_2020!$D$74:$E$107,2,FALSE),0)</f>
        <v>0</v>
      </c>
      <c r="W47" s="608">
        <f>IFERROR(VLOOKUP(W$1,IP5_2020!$D$74:$E$107,2,FALSE),0)</f>
        <v>0</v>
      </c>
      <c r="X47" s="608">
        <f>IFERROR(VLOOKUP(X$1,IP5_2020!$D$74:$E$107,2,FALSE),0)</f>
        <v>0</v>
      </c>
      <c r="Y47" s="608">
        <f>IFERROR(VLOOKUP(Y$1,IP5_2020!$D$74:$E$107,2,FALSE),0)</f>
        <v>0</v>
      </c>
      <c r="Z47" s="608">
        <f>IFERROR(VLOOKUP(Z$1,IP5_2020!$D$74:$E$107,2,FALSE),0)</f>
        <v>0</v>
      </c>
      <c r="AA47" s="608">
        <f>IFERROR(VLOOKUP(AA$1,IP5_2020!$D$74:$E$107,2,FALSE),0)</f>
        <v>0</v>
      </c>
      <c r="AB47" s="608">
        <f>IFERROR(VLOOKUP(AB$1,IP5_2020!$D$74:$E$107,2,FALSE),0)</f>
        <v>0</v>
      </c>
      <c r="AC47" s="608"/>
      <c r="AD47" s="608">
        <f>IFERROR(VLOOKUP(AD$1,IP5_2020!$D$74:$E$107,2,FALSE),0)</f>
        <v>0</v>
      </c>
      <c r="AE47" s="608">
        <f>IFERROR(VLOOKUP(AE$1,IP5_2020!$D$74:$E$107,2,FALSE),0)</f>
        <v>1029711</v>
      </c>
      <c r="AF47" s="608">
        <f>IFERROR(VLOOKUP(AF$1,IP5_2020!$D$74:$E$107,2,FALSE),0)</f>
        <v>2104207</v>
      </c>
      <c r="AG47" s="608">
        <f>IFERROR(VLOOKUP(AG$1,IP5_2020!$D$74:$E$107,2,FALSE),0)</f>
        <v>0</v>
      </c>
      <c r="AH47" s="608">
        <f>IFERROR(VLOOKUP(AH$1,IP5_2020!$D$74:$E$107,2,FALSE),0)</f>
        <v>0</v>
      </c>
      <c r="AI47" s="608">
        <f>IFERROR(VLOOKUP(AI$1,IP5_2020!$D$74:$E$107,2,FALSE),0)</f>
        <v>0</v>
      </c>
      <c r="AJ47" s="608">
        <f>IFERROR(VLOOKUP(AJ$1,IP5_2020!$D$74:$E$107,2,FALSE),0)</f>
        <v>0</v>
      </c>
      <c r="AK47" s="608">
        <f>IFERROR(VLOOKUP(AK$1,IP5_2020!$D$74:$E$107,2,FALSE),0)</f>
        <v>0</v>
      </c>
      <c r="AL47" s="608">
        <f>IFERROR(VLOOKUP(AL$1,IP5_2020!$D$74:$E$107,2,FALSE),0)</f>
        <v>0</v>
      </c>
      <c r="AM47" s="608">
        <f>IFERROR(VLOOKUP(AM$1,IP5_2020!$D$74:$E$107,2,FALSE),0)</f>
        <v>0</v>
      </c>
      <c r="AN47" s="608">
        <f>IFERROR(VLOOKUP(AN$1,IP5_2020!$D$74:$E$107,2,FALSE),0)</f>
        <v>0</v>
      </c>
      <c r="AO47" s="608">
        <f>IFERROR(VLOOKUP(AO$1,IP5_2020!$D$74:$E$107,2,FALSE),0)</f>
        <v>0</v>
      </c>
      <c r="AP47" s="608">
        <f>IFERROR(VLOOKUP(AP$1,IP5_2020!$D$74:$E$107,2,FALSE),0)</f>
        <v>0</v>
      </c>
      <c r="AQ47" s="608">
        <f>IFERROR(VLOOKUP(AQ$1,IP5_2020!$D$74:$E$107,2,FALSE),0)</f>
        <v>0</v>
      </c>
      <c r="AR47" s="608">
        <f>IFERROR(VLOOKUP(AR$1,IP5_2020!$D$74:$E$107,2,FALSE),0)</f>
        <v>0</v>
      </c>
      <c r="AS47" s="608">
        <f>IFERROR(VLOOKUP(AS$1,IP5_2020!$D$74:$E$107,2,FALSE),0)</f>
        <v>0</v>
      </c>
      <c r="AT47" s="608">
        <f>IFERROR(VLOOKUP(AT$1,IP5_2020!$D$74:$E$107,2,FALSE),0)</f>
        <v>0</v>
      </c>
      <c r="AU47" s="608">
        <f>IFERROR(VLOOKUP(AU$1,IP5_2020!$D$74:$E$107,2,FALSE),0)</f>
        <v>0</v>
      </c>
      <c r="AV47" s="608">
        <f>IFERROR(VLOOKUP(AV$1,IP5_2020!$D$74:$E$107,2,FALSE),0)</f>
        <v>0</v>
      </c>
      <c r="AW47" s="608">
        <f>IFERROR(VLOOKUP(AW$1,IP5_2020!$D$74:$E$107,2,FALSE),0)</f>
        <v>3343410.5426933127</v>
      </c>
      <c r="AX47" s="608">
        <f>IFERROR(VLOOKUP(AX$1,IP5_2020!$D$74:$E$107,2,FALSE),0)</f>
        <v>0</v>
      </c>
      <c r="AY47" s="608">
        <f>IFERROR(VLOOKUP(AY$1,IP5_2020!$D$74:$E$107,2,FALSE),0)</f>
        <v>0</v>
      </c>
      <c r="AZ47" s="608">
        <f>IFERROR(VLOOKUP(AZ$1,IP5_2020!$D$74:$E$107,2,FALSE),0)</f>
        <v>0</v>
      </c>
      <c r="BA47" s="608">
        <f>IFERROR(VLOOKUP(BA$1,IP5_2020!$D$74:$E$107,2,FALSE),0)</f>
        <v>0</v>
      </c>
      <c r="BB47" s="608">
        <f>IFERROR(VLOOKUP(BB$1,IP5_2020!$D$74:$E$107,2,FALSE),0)</f>
        <v>0</v>
      </c>
      <c r="BC47" s="608">
        <f>IFERROR(VLOOKUP(BC$1,IP5_2020!$D$74:$E$107,2,FALSE),0)</f>
        <v>0</v>
      </c>
      <c r="BD47" s="608">
        <f>IFERROR(VLOOKUP(BD$1,IP5_2020!$D$74:$E$107,2,FALSE),0)</f>
        <v>0</v>
      </c>
      <c r="BE47" s="608">
        <f>IFERROR(VLOOKUP(BE$1,IP5_2020!$D$74:$E$107,2,FALSE),0)</f>
        <v>1290934.3566507786</v>
      </c>
      <c r="BF47" s="608">
        <f>IFERROR(VLOOKUP(BF$1,IP5_2020!$D$74:$E$107,2,FALSE),0)</f>
        <v>0</v>
      </c>
      <c r="BG47" s="608">
        <f>IFERROR(VLOOKUP(BG$1,IP5_2020!$D$74:$E$107,2,FALSE),0)</f>
        <v>0</v>
      </c>
      <c r="BH47" s="608">
        <f>IFERROR(VLOOKUP(BH$1,IP5_2020!$D$74:$E$107,2,FALSE),0)</f>
        <v>0</v>
      </c>
      <c r="BI47" s="608">
        <f>IFERROR(VLOOKUP(BI$1,IP5_2020!$D$74:$E$107,2,FALSE),0)</f>
        <v>0</v>
      </c>
      <c r="BJ47" s="608">
        <f>IFERROR(VLOOKUP(BJ$1,IP5_2020!$D$74:$E$107,2,FALSE),0)</f>
        <v>0</v>
      </c>
      <c r="BK47" s="608">
        <f>IFERROR(VLOOKUP(BK$1,IP5_2020!$D$74:$E$107,2,FALSE),0)</f>
        <v>888000</v>
      </c>
      <c r="BL47" s="608">
        <f>IFERROR(VLOOKUP(BL$1,IP5_2020!$D$74:$E$107,2,FALSE),0)</f>
        <v>0</v>
      </c>
      <c r="BM47" s="608">
        <f>IFERROR(VLOOKUP(BM$1,IP5_2020!$D$74:$E$107,2,FALSE),0)</f>
        <v>0</v>
      </c>
      <c r="BN47" s="608">
        <f>IFERROR(VLOOKUP(BN$1,IP5_2020!$D$74:$E$107,2,FALSE),0)</f>
        <v>0</v>
      </c>
      <c r="BO47" s="608">
        <f>IFERROR(VLOOKUP(BO$1,IP5_2020!$D$74:$E$107,2,FALSE),0)</f>
        <v>0</v>
      </c>
      <c r="BP47" s="608">
        <f>IFERROR(VLOOKUP(BP$1,IP5_2020!$D$74:$E$107,2,FALSE),0)</f>
        <v>0</v>
      </c>
      <c r="BQ47" s="608">
        <f>IFERROR(VLOOKUP(BQ$1,IP5_2020!$D$74:$E$107,2,FALSE),0)</f>
        <v>847233.45560883218</v>
      </c>
      <c r="BR47" s="608">
        <f>IFERROR(VLOOKUP(BR$1,IP5_2020!$D$74:$E$107,2,FALSE),0)</f>
        <v>0</v>
      </c>
      <c r="BS47" s="608">
        <f>IFERROR(VLOOKUP(BS$1,IP5_2020!$D$74:$E$107,2,FALSE),0)</f>
        <v>0</v>
      </c>
      <c r="BT47" s="608">
        <f>IFERROR(VLOOKUP(BT$1,IP5_2020!$D$74:$E$107,2,FALSE),0)</f>
        <v>0</v>
      </c>
      <c r="BU47" s="608">
        <f>IFERROR(VLOOKUP(BU$1,IP5_2020!$D$74:$E$107,2,FALSE),0)</f>
        <v>0</v>
      </c>
      <c r="BV47" s="608">
        <f>IFERROR(VLOOKUP(BV$1,IP5_2020!$D$74:$E$107,2,FALSE),0)</f>
        <v>0</v>
      </c>
      <c r="BW47" s="608">
        <f>IFERROR(VLOOKUP(BW$1,IP5_2020!$D$74:$E$107,2,FALSE),0)</f>
        <v>0</v>
      </c>
      <c r="BX47" s="608">
        <f>IFERROR(VLOOKUP(BX$1,IP5_2020!$D$74:$E$107,2,FALSE),0)</f>
        <v>0</v>
      </c>
      <c r="BY47" s="608">
        <f>IFERROR(VLOOKUP(BY$1,IP5_2020!$D$74:$E$107,2,FALSE),0)</f>
        <v>0</v>
      </c>
      <c r="BZ47" s="608">
        <f>IFERROR(VLOOKUP(BZ$1,IP5_2020!$D$74:$E$107,2,FALSE),0)</f>
        <v>0</v>
      </c>
      <c r="CA47" s="608">
        <f>IFERROR(VLOOKUP(CA$1,IP5_2020!$D$74:$E$107,2,FALSE),0)</f>
        <v>0</v>
      </c>
      <c r="CB47" s="608">
        <f>IFERROR(VLOOKUP(CB$1,IP5_2020!$D$74:$E$107,2,FALSE),0)</f>
        <v>0</v>
      </c>
      <c r="CC47" s="608">
        <f>IFERROR(VLOOKUP(CC$1,IP5_2020!$D$74:$E$107,2,FALSE),0)</f>
        <v>0</v>
      </c>
      <c r="CD47" s="608">
        <f>IFERROR(VLOOKUP(CD$1,IP5_2020!$D$74:$E$107,2,FALSE),0)</f>
        <v>0</v>
      </c>
      <c r="CE47" s="608">
        <f>IFERROR(VLOOKUP(CE$1,IP5_2020!$D$74:$E$107,2,FALSE),0)</f>
        <v>0</v>
      </c>
      <c r="CF47" s="608">
        <f>IFERROR(VLOOKUP(CF$1,IP5_2020!$D$74:$E$107,2,FALSE),0)</f>
        <v>0</v>
      </c>
      <c r="CG47" s="608">
        <f>IFERROR(VLOOKUP(CG$1,IP5_2020!$D$74:$E$107,2,FALSE),0)</f>
        <v>8537422</v>
      </c>
      <c r="CH47" s="608">
        <f>IFERROR(VLOOKUP(CH$1,IP5_2020!$D$74:$E$107,2,FALSE),0)</f>
        <v>3959479.0792496316</v>
      </c>
      <c r="CI47" s="608">
        <f>IFERROR(VLOOKUP(CI$1,IP5_2020!$D$74:$E$107,2,FALSE),0)</f>
        <v>3297218.8114025602</v>
      </c>
      <c r="CJ47" s="608">
        <f>IFERROR(VLOOKUP(CJ$1,IP5_2020!$D$74:$E$107,2,FALSE),0)</f>
        <v>0</v>
      </c>
      <c r="CK47" s="608">
        <f>IFERROR(VLOOKUP(CK$1,IP5_2020!$D$74:$E$107,2,FALSE),0)</f>
        <v>0</v>
      </c>
      <c r="CL47" s="608">
        <f>IFERROR(VLOOKUP(CL$1,IP5_2020!$D$74:$E$107,2,FALSE),0)</f>
        <v>2555360.1512724077</v>
      </c>
      <c r="CM47" s="608">
        <f>IFERROR(VLOOKUP(CM$1,IP5_2020!$D$74:$E$107,2,FALSE),0)</f>
        <v>0</v>
      </c>
      <c r="CN47" s="608">
        <f>IFERROR(VLOOKUP(CN$1,IP5_2020!$D$74:$E$107,2,FALSE),0)</f>
        <v>0</v>
      </c>
      <c r="CO47" s="608">
        <f>IFERROR(VLOOKUP(CO$1,IP5_2020!$D$74:$E$107,2,FALSE),0)</f>
        <v>0</v>
      </c>
      <c r="CP47" s="608">
        <f>IFERROR(VLOOKUP(CP$1,IP5_2020!$D$74:$E$107,2,FALSE),0)</f>
        <v>0</v>
      </c>
      <c r="CQ47" s="608">
        <f>IFERROR(VLOOKUP(CQ$1,IP5_2020!$D$74:$E$107,2,FALSE),0)</f>
        <v>0</v>
      </c>
      <c r="CR47" s="608">
        <f>IFERROR(VLOOKUP(CR$1,IP5_2020!$D$74:$E$107,2,FALSE),0)</f>
        <v>0</v>
      </c>
      <c r="CS47" s="608">
        <f>IFERROR(VLOOKUP(CS$1,IP5_2020!$D$74:$E$107,2,FALSE),0)</f>
        <v>3402237.5858069072</v>
      </c>
      <c r="CT47" s="608">
        <f>IFERROR(VLOOKUP(CT$1,IP5_2020!$D$74:$E$107,2,FALSE),0)</f>
        <v>5929679.8103662794</v>
      </c>
      <c r="CU47" s="608">
        <f>IFERROR(VLOOKUP(CU$1,IP5_2020!$D$74:$E$107,2,FALSE),0)</f>
        <v>0</v>
      </c>
      <c r="CV47" s="608">
        <f>IFERROR(VLOOKUP(CV$1,IP5_2020!$D$74:$E$107,2,FALSE),0)</f>
        <v>0</v>
      </c>
      <c r="CW47" s="608">
        <f>IFERROR(VLOOKUP(CW$1,IP5_2020!$D$74:$E$107,2,FALSE),0)</f>
        <v>0</v>
      </c>
      <c r="CX47" s="608">
        <f>IFERROR(VLOOKUP(CX$1,IP5_2020!$D$74:$E$107,2,FALSE),0)</f>
        <v>0</v>
      </c>
      <c r="CY47" s="608">
        <f>IFERROR(VLOOKUP(CY$1,IP5_2020!$D$74:$E$107,2,FALSE),0)</f>
        <v>0</v>
      </c>
      <c r="CZ47" s="608">
        <f>IFERROR(VLOOKUP(CZ$1,IP5_2020!$D$74:$E$107,2,FALSE),0)</f>
        <v>1003700</v>
      </c>
      <c r="DA47" s="608">
        <f>IFERROR(VLOOKUP(DA$1,IP5_2020!$D$74:$E$107,2,FALSE),0)</f>
        <v>0</v>
      </c>
      <c r="DB47" s="608">
        <f>IFERROR(VLOOKUP(DB$1,IP5_2020!$D$74:$E$107,2,FALSE),0)</f>
        <v>0</v>
      </c>
      <c r="DC47" s="608">
        <f>IFERROR(VLOOKUP(DC$1,IP5_2020!$D$74:$E$107,2,FALSE),0)</f>
        <v>0</v>
      </c>
      <c r="DD47" s="608">
        <f>IFERROR(VLOOKUP(DD$1,IP5_2020!$D$74:$E$107,2,FALSE),0)</f>
        <v>5370629.645727817</v>
      </c>
      <c r="DE47" s="608">
        <f>IFERROR(VLOOKUP(DE$1,IP5_2020!$D$74:$E$107,2,FALSE),0)</f>
        <v>6001592</v>
      </c>
      <c r="DF47" s="608">
        <f>IFERROR(VLOOKUP(DF$1,IP5_2020!$D$74:$E$107,2,FALSE),0)</f>
        <v>0</v>
      </c>
      <c r="DG47" s="608">
        <f>IFERROR(VLOOKUP(DG$1,IP5_2020!$D$74:$E$107,2,FALSE),0)</f>
        <v>0</v>
      </c>
      <c r="DH47" s="608">
        <f>IFERROR(VLOOKUP(DH$1,IP5_2020!$D$74:$E$107,2,FALSE),0)</f>
        <v>1529096.6341313617</v>
      </c>
      <c r="DI47" s="608">
        <f>IFERROR(VLOOKUP(DI$1,IP5_2020!$D$74:$E$107,2,FALSE),0)</f>
        <v>1137805.3840966881</v>
      </c>
      <c r="DJ47" s="608">
        <f>IFERROR(VLOOKUP(DJ$1,IP5_2020!$D$74:$E$107,2,FALSE),0)</f>
        <v>1854835.0236859601</v>
      </c>
      <c r="DK47" s="608">
        <f>IFERROR(VLOOKUP(DK$1,IP5_2020!$D$74:$E$107,2,FALSE),0)</f>
        <v>2577327.818091928</v>
      </c>
      <c r="DL47" s="608">
        <f>IFERROR(VLOOKUP(DL$1,IP5_2020!$D$74:$E$107,2,FALSE),0)</f>
        <v>0</v>
      </c>
      <c r="DM47" s="608">
        <f>IFERROR(VLOOKUP(DM$1,IP5_2020!$D$74:$E$107,2,FALSE),0)</f>
        <v>0</v>
      </c>
      <c r="DN47" s="608">
        <f>IFERROR(VLOOKUP(DN$1,IP5_2020!$D$74:$E$107,2,FALSE),0)</f>
        <v>0</v>
      </c>
      <c r="DO47" s="608">
        <f>IFERROR(VLOOKUP(DO$1,IP5_2020!$D$74:$E$107,2,FALSE),0)</f>
        <v>0</v>
      </c>
      <c r="DP47" s="608">
        <f>IFERROR(VLOOKUP(DP$1,IP5_2020!$D$74:$E$107,2,FALSE),0)</f>
        <v>0</v>
      </c>
      <c r="DQ47" s="608">
        <f>IFERROR(VLOOKUP(DQ$1,IP5_2020!$D$74:$E$107,2,FALSE),0)</f>
        <v>0</v>
      </c>
      <c r="DR47" s="608">
        <f>IFERROR(VLOOKUP(DR$1,IP5_2020!$D$74:$E$107,2,FALSE),0)</f>
        <v>0</v>
      </c>
      <c r="DS47" s="608">
        <f>IFERROR(VLOOKUP(DS$1,IP5_2020!$D$74:$E$107,2,FALSE),0)</f>
        <v>0</v>
      </c>
      <c r="DT47" s="608">
        <f>IFERROR(VLOOKUP(DT$1,IP5_2020!$D$74:$E$107,2,FALSE),0)</f>
        <v>0</v>
      </c>
      <c r="DU47" s="608">
        <f>IFERROR(VLOOKUP(DU$1,IP5_2020!$D$74:$E$107,2,FALSE),0)</f>
        <v>2119508.9633388799</v>
      </c>
      <c r="DV47" s="608">
        <f>IFERROR(VLOOKUP(DV$1,IP5_2020!$D$74:$E$107,2,FALSE),0)</f>
        <v>0</v>
      </c>
      <c r="DW47" s="608">
        <f>IFERROR(VLOOKUP(DW$1,IP5_2020!$D$74:$E$107,2,FALSE),0)</f>
        <v>1463011.5734570101</v>
      </c>
      <c r="DX47" s="608">
        <f>IFERROR(VLOOKUP(DX$1,IP5_2020!$D$74:$E$107,2,FALSE),0)</f>
        <v>4464719.1541079516</v>
      </c>
      <c r="DY47" s="608">
        <f>IFERROR(VLOOKUP(DY$1,IP5_2020!$D$74:$E$107,2,FALSE),0)</f>
        <v>0</v>
      </c>
      <c r="DZ47" s="608">
        <f>IFERROR(VLOOKUP(DZ$1,IP5_2020!$D$74:$E$107,2,FALSE),0)</f>
        <v>0</v>
      </c>
      <c r="EA47" s="608">
        <f>IFERROR(VLOOKUP(EA$1,IP5_2020!$D$74:$E$107,2,FALSE),0)</f>
        <v>0</v>
      </c>
      <c r="EB47" s="608">
        <f>IFERROR(VLOOKUP(EB$1,IP5_2020!$D$74:$E$107,2,FALSE),0)</f>
        <v>0</v>
      </c>
      <c r="EC47" s="608">
        <f>IFERROR(VLOOKUP(EC$1,IP5_2020!$D$74:$E$107,2,FALSE),0)</f>
        <v>0</v>
      </c>
      <c r="ED47" s="608">
        <f>IFERROR(VLOOKUP(ED$1,IP5_2020!$D$74:$E$107,2,FALSE),0)</f>
        <v>0</v>
      </c>
      <c r="EE47" s="608">
        <f>IFERROR(VLOOKUP(EE$1,IP5_2020!$D$74:$E$107,2,FALSE),0)</f>
        <v>0</v>
      </c>
      <c r="EF47" s="608">
        <f>IFERROR(VLOOKUP(EF$1,IP5_2020!$D$74:$E$107,2,FALSE),0)</f>
        <v>0</v>
      </c>
      <c r="EG47" s="608">
        <f>IFERROR(VLOOKUP(EG$1,IP5_2020!$D$74:$E$107,2,FALSE),0)</f>
        <v>0</v>
      </c>
      <c r="EH47" s="608">
        <f>IFERROR(VLOOKUP(EH$1,IP5_2020!$D$74:$E$107,2,FALSE),0)</f>
        <v>0</v>
      </c>
      <c r="EI47" s="608">
        <f>IFERROR(VLOOKUP(EI$1,IP5_2020!$D$74:$E$107,2,FALSE),0)</f>
        <v>0</v>
      </c>
      <c r="EJ47" s="608">
        <f>IFERROR(VLOOKUP(EJ$1,IP5_2020!$D$74:$E$107,2,FALSE),0)</f>
        <v>1254497.1182819521</v>
      </c>
      <c r="EK47" s="608">
        <f>IFERROR(VLOOKUP(EK$1,IP5_2020!$D$74:$E$107,2,FALSE),0)</f>
        <v>0</v>
      </c>
      <c r="EL47" s="608">
        <f>IFERROR(VLOOKUP(EL$1,IP5_2020!$D$74:$E$107,2,FALSE),0)</f>
        <v>0</v>
      </c>
      <c r="EM47" s="608">
        <f>IFERROR(VLOOKUP(EM$1,IP5_2020!$D$74:$E$107,2,FALSE),0)</f>
        <v>0</v>
      </c>
      <c r="EN47" s="608">
        <f>IFERROR(VLOOKUP(EN$1,IP5_2020!$D$74:$E$107,2,FALSE),0)</f>
        <v>0</v>
      </c>
      <c r="EO47" s="608">
        <f>IFERROR(VLOOKUP(EO$1,IP5_2020!$D$74:$E$107,2,FALSE),0)</f>
        <v>0</v>
      </c>
      <c r="EP47" s="608">
        <f>IFERROR(VLOOKUP(EP$1,IP5_2020!$D$74:$E$107,2,FALSE),0)</f>
        <v>0</v>
      </c>
      <c r="EQ47" s="608">
        <f>IFERROR(VLOOKUP(EQ$1,IP5_2020!$D$74:$E$107,2,FALSE),0)</f>
        <v>0</v>
      </c>
      <c r="ER47" s="608">
        <f>IFERROR(VLOOKUP(ER$1,IP5_2020!$D$74:$E$107,2,FALSE),0)</f>
        <v>0</v>
      </c>
      <c r="ES47" s="608">
        <f>IFERROR(VLOOKUP(ES$1,IP5_2020!$D$74:$E$107,2,FALSE),0)</f>
        <v>0</v>
      </c>
      <c r="ET47" s="608">
        <f>IFERROR(VLOOKUP(ET$1,IP5_2020!$D$74:$E$107,2,FALSE),0)</f>
        <v>0</v>
      </c>
      <c r="EU47" s="608">
        <f>IFERROR(VLOOKUP(EU$1,IP5_2020!$D$74:$E$107,2,FALSE),0)</f>
        <v>0</v>
      </c>
      <c r="EV47" s="608">
        <f>IFERROR(VLOOKUP(EV$1,IP5_2020!$D$74:$E$107,2,FALSE),0)</f>
        <v>0</v>
      </c>
      <c r="EW47" s="608">
        <f>IFERROR(VLOOKUP(EW$1,IP5_2020!$D$74:$E$107,2,FALSE),0)</f>
        <v>0</v>
      </c>
      <c r="EX47" s="608">
        <f>IFERROR(VLOOKUP(EX$1,IP5_2020!$D$74:$E$107,2,FALSE),0)</f>
        <v>0</v>
      </c>
      <c r="EY47" s="608">
        <f>IFERROR(VLOOKUP(EY$1,IP5_2020!$D$74:$E$107,2,FALSE),0)</f>
        <v>0</v>
      </c>
      <c r="EZ47" s="608">
        <f>IFERROR(VLOOKUP(EZ$1,IP5_2020!$D$74:$E$107,2,FALSE),0)</f>
        <v>0</v>
      </c>
      <c r="FA47" s="608">
        <f>IFERROR(VLOOKUP(FA$1,IP5_2020!$D$74:$E$107,2,FALSE),0)</f>
        <v>0</v>
      </c>
      <c r="FB47" s="608">
        <f>IFERROR(VLOOKUP(FB$1,IP5_2020!$D$74:$E$107,2,FALSE),0)</f>
        <v>0</v>
      </c>
      <c r="FC47" s="608">
        <f>IFERROR(VLOOKUP(FC$1,IP5_2020!$D$74:$E$107,2,FALSE),0)</f>
        <v>0</v>
      </c>
      <c r="FD47" s="608">
        <f>IFERROR(VLOOKUP(FD$1,IP5_2020!$D$74:$E$107,2,FALSE),0)</f>
        <v>1059104.6825002881</v>
      </c>
      <c r="FE47" s="608">
        <f>IFERROR(VLOOKUP(FE$1,IP5_2020!$D$74:$E$107,2,FALSE),0)</f>
        <v>0</v>
      </c>
      <c r="FF47" s="608">
        <f>IFERROR(VLOOKUP(FF$1,IP5_2020!$D$74:$E$107,2,FALSE),0)</f>
        <v>0</v>
      </c>
      <c r="FG47" s="608">
        <f>IFERROR(VLOOKUP(FG$1,IP5_2020!$D$74:$E$107,2,FALSE),0)</f>
        <v>0</v>
      </c>
      <c r="FH47" s="608">
        <f>IFERROR(VLOOKUP(FH$1,IP5_2020!$D$74:$E$107,2,FALSE),0)</f>
        <v>0</v>
      </c>
      <c r="FI47" s="608">
        <f>IFERROR(VLOOKUP(FI$1,IP5_2020!$D$74:$E$107,2,FALSE),0)</f>
        <v>0</v>
      </c>
      <c r="FJ47" s="608">
        <f>IFERROR(VLOOKUP(FJ$1,IP5_2020!$D$74:$E$107,2,FALSE),0)</f>
        <v>0</v>
      </c>
      <c r="FK47" s="608">
        <f>IFERROR(VLOOKUP(FK$1,IP5_2020!$D$74:$E$107,2,FALSE),0)</f>
        <v>0</v>
      </c>
      <c r="FL47" s="608">
        <f>IFERROR(VLOOKUP(FL$1,IP5_2020!$D$74:$E$107,2,FALSE),0)</f>
        <v>0</v>
      </c>
      <c r="FM47" s="608">
        <f>IFERROR(VLOOKUP(FM$1,IP5_2020!$D$74:$E$107,2,FALSE),0)</f>
        <v>0</v>
      </c>
      <c r="FN47" s="608">
        <f>IFERROR(VLOOKUP(FN$1,IP5_2020!$D$74:$E$107,2,FALSE),0)</f>
        <v>0</v>
      </c>
      <c r="FO47" s="608">
        <f>IFERROR(VLOOKUP(FO$1,IP5_2020!$D$74:$E$107,2,FALSE),0)</f>
        <v>0</v>
      </c>
      <c r="FP47" s="608">
        <f>IFERROR(VLOOKUP(FP$1,IP5_2020!$D$74:$E$107,2,FALSE),0)</f>
        <v>0</v>
      </c>
      <c r="FQ47" s="608">
        <f>IFERROR(VLOOKUP(FQ$1,IP5_2020!$D$74:$E$107,2,FALSE),0)</f>
        <v>0</v>
      </c>
      <c r="FR47" s="608">
        <f>IFERROR(VLOOKUP(FR$1,IP5_2020!$D$74:$E$107,2,FALSE),0)</f>
        <v>2840805.433337939</v>
      </c>
      <c r="FS47" s="608">
        <f>IFERROR(VLOOKUP(FS$1,IP5_2020!$D$74:$E$107,2,FALSE),0)</f>
        <v>0</v>
      </c>
      <c r="FT47" s="608">
        <f>IFERROR(VLOOKUP(FT$1,IP5_2020!$D$74:$E$107,2,FALSE),0)</f>
        <v>0</v>
      </c>
      <c r="FU47" s="608">
        <f>IFERROR(VLOOKUP(FU$1,IP5_2020!$D$74:$E$107,2,FALSE),0)</f>
        <v>0</v>
      </c>
      <c r="FV47" s="608">
        <f>IFERROR(VLOOKUP(FV$1,IP5_2020!$D$74:$E$107,2,FALSE),0)</f>
        <v>0</v>
      </c>
      <c r="FW47" s="608">
        <f>IFERROR(VLOOKUP(FW$1,IP5_2020!$D$74:$E$107,2,FALSE),0)</f>
        <v>0</v>
      </c>
      <c r="FX47" s="608">
        <f>IFERROR(VLOOKUP(FX$1,IP5_2020!$D$74:$E$107,2,FALSE),0)</f>
        <v>0</v>
      </c>
      <c r="FY47" s="608">
        <f>IFERROR(VLOOKUP(FY$1,IP5_2020!$D$74:$E$107,2,FALSE),0)</f>
        <v>0</v>
      </c>
      <c r="FZ47" s="608">
        <f>IFERROR(VLOOKUP(FZ$1,IP5_2020!$D$74:$E$107,2,FALSE),0)</f>
        <v>0</v>
      </c>
      <c r="GA47" s="608">
        <f>IFERROR(VLOOKUP(GA$1,IP5_2020!$D$74:$E$107,2,FALSE),0)</f>
        <v>0</v>
      </c>
      <c r="GB47" s="608">
        <f>IFERROR(VLOOKUP(GB$1,IP5_2020!$D$74:$E$107,2,FALSE),0)</f>
        <v>0</v>
      </c>
      <c r="GC47" s="608">
        <f>IFERROR(VLOOKUP(GC$1,IP5_2020!$D$74:$E$107,2,FALSE),0)</f>
        <v>0</v>
      </c>
      <c r="GD47" s="608">
        <f>IFERROR(VLOOKUP(GD$1,IP5_2020!$D$74:$E$107,2,FALSE),0)</f>
        <v>0</v>
      </c>
      <c r="GE47" s="608">
        <f>IFERROR(VLOOKUP(GE$1,IP5_2020!$D$74:$E$107,2,FALSE),0)</f>
        <v>1229450.065998916</v>
      </c>
      <c r="GF47" s="608">
        <f>IFERROR(VLOOKUP(GF$1,IP5_2020!$D$74:$E$107,2,FALSE),0)</f>
        <v>0</v>
      </c>
      <c r="GG47" s="608">
        <f>IFERROR(VLOOKUP(GG$1,IP5_2020!$D$74:$E$107,2,FALSE),0)</f>
        <v>0</v>
      </c>
      <c r="GH47" s="608">
        <f>IFERROR(VLOOKUP(GH$1,IP5_2020!$D$74:$E$107,2,FALSE),0)</f>
        <v>0</v>
      </c>
      <c r="GI47" s="608">
        <f>IFERROR(VLOOKUP(GI$1,IP5_2020!$D$74:$E$107,2,FALSE),0)</f>
        <v>0</v>
      </c>
      <c r="GJ47" s="608">
        <f>IFERROR(VLOOKUP(GJ$1,IP5_2020!$D$74:$E$107,2,FALSE),0)</f>
        <v>0</v>
      </c>
      <c r="GK47" s="608">
        <f>IFERROR(VLOOKUP(GK$1,IP5_2020!$D$74:$E$107,2,FALSE),0)</f>
        <v>0</v>
      </c>
      <c r="GL47" s="608">
        <f>IFERROR(VLOOKUP(GL$1,IP5_2020!$D$74:$E$107,2,FALSE),0)</f>
        <v>0</v>
      </c>
      <c r="GM47" s="608">
        <f>IFERROR(VLOOKUP(GM$1,IP5_2020!$D$74:$E$107,2,FALSE),0)</f>
        <v>0</v>
      </c>
      <c r="GN47" s="608">
        <f>IFERROR(VLOOKUP(GN$1,IP5_2020!$D$74:$E$107,2,FALSE),0)</f>
        <v>0</v>
      </c>
      <c r="GO47" s="608">
        <f>IFERROR(VLOOKUP(GO$1,IP5_2020!$D$74:$E$107,2,FALSE),0)</f>
        <v>0</v>
      </c>
      <c r="GP47" s="608">
        <f>IFERROR(VLOOKUP(GP$1,IP5_2020!$D$74:$E$107,2,FALSE),0)</f>
        <v>0</v>
      </c>
      <c r="GQ47" s="608">
        <f>IFERROR(VLOOKUP(GQ$1,IP5_2020!$D$74:$E$107,2,FALSE),0)</f>
        <v>0</v>
      </c>
      <c r="GR47" s="608">
        <f>IFERROR(VLOOKUP(GR$1,IP5_2020!$D$74:$E$107,2,FALSE),0)</f>
        <v>0</v>
      </c>
      <c r="GS47" s="608">
        <f>IFERROR(VLOOKUP(GS$1,IP5_2020!$D$74:$E$107,2,FALSE),0)</f>
        <v>0</v>
      </c>
      <c r="GT47" s="608">
        <f>IFERROR(VLOOKUP(GT$1,IP5_2020!$D$74:$E$107,2,FALSE),0)</f>
        <v>0</v>
      </c>
      <c r="GU47" s="608">
        <f>IFERROR(VLOOKUP(GU$1,IP5_2020!$D$74:$E$107,2,FALSE),0)</f>
        <v>0</v>
      </c>
      <c r="GV47" s="608">
        <f>IFERROR(VLOOKUP(GV$1,IP5_2020!$D$74:$E$107,2,FALSE),0)</f>
        <v>0</v>
      </c>
      <c r="GW47" s="608">
        <f>IFERROR(VLOOKUP(GW$1,IP5_2020!$D$74:$E$107,2,FALSE),0)</f>
        <v>0</v>
      </c>
      <c r="GX47" s="608">
        <f>IFERROR(VLOOKUP(GX$1,IP5_2020!$D$74:$E$107,2,FALSE),0)</f>
        <v>0</v>
      </c>
      <c r="GY47" s="608">
        <f>IFERROR(VLOOKUP(GY$1,IP5_2020!$D$74:$E$107,2,FALSE),0)</f>
        <v>0</v>
      </c>
      <c r="GZ47" s="608">
        <f>IFERROR(VLOOKUP(GZ$1,IP5_2020!$D$74:$E$107,2,FALSE),0)</f>
        <v>3222820.7912944802</v>
      </c>
      <c r="HA47" s="608">
        <f>IFERROR(VLOOKUP(HA$1,IP5_2020!$D$74:$E$107,2,FALSE),0)</f>
        <v>0</v>
      </c>
      <c r="HB47" s="608">
        <f>IFERROR(VLOOKUP(HB$1,IP5_2020!$D$74:$E$107,2,FALSE),0)</f>
        <v>0</v>
      </c>
      <c r="HC47" s="608">
        <f>IFERROR(VLOOKUP(HC$1,IP5_2020!$D$74:$E$107,2,FALSE),0)</f>
        <v>0</v>
      </c>
      <c r="HD47" s="608">
        <f>IFERROR(VLOOKUP(HD$1,IP5_2020!$D$74:$E$107,2,FALSE),0)</f>
        <v>0</v>
      </c>
      <c r="HE47" s="608">
        <f>IFERROR(VLOOKUP(HE$1,IP5_2020!$D$74:$E$107,2,FALSE),0)</f>
        <v>0</v>
      </c>
      <c r="HF47" s="608">
        <f>IFERROR(VLOOKUP(HF$1,IP5_2020!$D$74:$E$107,2,FALSE),0)</f>
        <v>0</v>
      </c>
      <c r="HG47" s="608">
        <f>IFERROR(VLOOKUP(HG$1,IP5_2020!$D$74:$E$107,2,FALSE),0)</f>
        <v>0</v>
      </c>
      <c r="HH47" s="608">
        <f>IFERROR(VLOOKUP(HH$1,IP5_2020!$D$74:$E$107,2,FALSE),0)</f>
        <v>0</v>
      </c>
      <c r="HI47" s="608">
        <f>IFERROR(VLOOKUP(HI$1,IP5_2020!$D$74:$E$107,2,FALSE),0)</f>
        <v>0</v>
      </c>
      <c r="HJ47" s="608">
        <f>IFERROR(VLOOKUP(HJ$1,IP5_2020!$D$74:$E$107,2,FALSE),0)</f>
        <v>997908.83102156827</v>
      </c>
      <c r="HK47" s="608">
        <f>IFERROR(VLOOKUP(HK$1,IP5_2020!$D$74:$E$107,2,FALSE),0)</f>
        <v>0</v>
      </c>
      <c r="HL47" s="608">
        <f>IFERROR(VLOOKUP(HL$1,IP5_2020!$D$74:$E$107,2,FALSE),0)</f>
        <v>0</v>
      </c>
      <c r="HM47" s="608">
        <f>IFERROR(VLOOKUP(HM$1,IP5_2020!$D$74:$E$107,2,FALSE),0)</f>
        <v>0</v>
      </c>
      <c r="HN47" s="608">
        <f>IFERROR(VLOOKUP(HN$1,IP5_2020!$D$74:$E$107,2,FALSE),0)</f>
        <v>772003.02506114123</v>
      </c>
      <c r="HO47" s="608">
        <f>IFERROR(VLOOKUP(HO$1,IP5_2020!$D$74:$E$107,2,FALSE),0)</f>
        <v>2080800</v>
      </c>
      <c r="HP47" s="608">
        <f>IFERROR(VLOOKUP(HP$1,IP5_2020!$D$74:$E$107,2,FALSE),0)</f>
        <v>0</v>
      </c>
      <c r="HQ47" s="608">
        <f>IFERROR(VLOOKUP(HQ$1,IP5_2020!$D$74:$E$107,2,FALSE),0)</f>
        <v>0</v>
      </c>
      <c r="HR47" s="608">
        <f>IFERROR(VLOOKUP(HR$1,IP5_2020!$D$74:$E$107,2,FALSE),0)</f>
        <v>0</v>
      </c>
      <c r="HS47" s="608">
        <f>IFERROR(VLOOKUP(HS$1,IP5_2020!$D$74:$E$107,2,FALSE),0)</f>
        <v>0</v>
      </c>
      <c r="HT47" s="608">
        <f>IFERROR(VLOOKUP(HT$1,IP5_2020!$D$74:$E$107,2,FALSE),0)</f>
        <v>0</v>
      </c>
      <c r="HU47" s="608">
        <f>IFERROR(VLOOKUP(HU$1,IP5_2020!$D$74:$E$107,2,FALSE),0)</f>
        <v>0</v>
      </c>
      <c r="HV47" s="608">
        <f>IFERROR(VLOOKUP(HV$1,IP5_2020!$D$74:$E$107,2,FALSE),0)</f>
        <v>0</v>
      </c>
      <c r="HW47" s="608">
        <f>IFERROR(VLOOKUP(HW$1,IP5_2020!$D$74:$E$107,2,FALSE),0)</f>
        <v>0</v>
      </c>
      <c r="HX47" s="608">
        <f>IFERROR(VLOOKUP(HX$1,IP5_2020!$D$74:$E$107,2,FALSE),0)</f>
        <v>0</v>
      </c>
      <c r="HY47" s="608">
        <f>IFERROR(VLOOKUP(HY$1,IP5_2020!$D$74:$E$107,2,FALSE),0)</f>
        <v>0</v>
      </c>
      <c r="HZ47" s="608">
        <f>IFERROR(VLOOKUP(HZ$1,IP5_2020!$D$74:$E$107,2,FALSE),0)</f>
        <v>0</v>
      </c>
      <c r="IA47" s="608">
        <f>IFERROR(VLOOKUP(IA$1,IP5_2020!$D$74:$E$107,2,FALSE),0)</f>
        <v>0</v>
      </c>
      <c r="IB47" s="608">
        <f>IFERROR(VLOOKUP(IB$1,IP5_2020!$D$74:$E$107,2,FALSE),0)</f>
        <v>0</v>
      </c>
      <c r="IC47" s="608">
        <f>IFERROR(VLOOKUP(IC$1,IP5_2020!$D$74:$E$107,2,FALSE),0)</f>
        <v>0</v>
      </c>
      <c r="ID47" s="608">
        <f>IFERROR(VLOOKUP(ID$1,IP5_2020!$D$74:$E$107,2,FALSE),0)</f>
        <v>0</v>
      </c>
      <c r="IE47" s="608">
        <f>IFERROR(VLOOKUP(IE$1,IP5_2020!$D$74:$E$107,2,FALSE),0)</f>
        <v>0</v>
      </c>
      <c r="IF47" s="608">
        <f>IFERROR(VLOOKUP(IF$1,IP5_2020!$D$74:$E$107,2,FALSE),0)</f>
        <v>0</v>
      </c>
      <c r="IG47" s="608">
        <f>IFERROR(VLOOKUP(IG$1,IP5_2020!$D$74:$E$107,2,FALSE),0)</f>
        <v>0</v>
      </c>
      <c r="IH47" s="608">
        <f>IFERROR(VLOOKUP(IH$1,IP5_2020!$D$74:$E$107,2,FALSE),0)</f>
        <v>0</v>
      </c>
      <c r="II47" s="608">
        <f>IFERROR(VLOOKUP(II$1,IP5_2020!$D$74:$E$107,2,FALSE),0)</f>
        <v>0</v>
      </c>
      <c r="IJ47" s="608">
        <f>IFERROR(VLOOKUP(IJ$1,IP5_2020!$D$74:$E$107,2,FALSE),0)</f>
        <v>0</v>
      </c>
      <c r="IK47" s="608">
        <f>IFERROR(VLOOKUP(IK$1,IP5_2020!$D$74:$E$107,2,FALSE),0)</f>
        <v>2511960</v>
      </c>
      <c r="IL47" s="608">
        <f>IFERROR(VLOOKUP(IL$1,IP5_2020!$D$74:$E$107,2,FALSE),0)</f>
        <v>0</v>
      </c>
      <c r="IM47" s="608">
        <f>IFERROR(VLOOKUP(IM$1,IP5_2020!$D$74:$E$107,2,FALSE),0)</f>
        <v>0</v>
      </c>
      <c r="IN47" s="608">
        <f>IFERROR(VLOOKUP(IN$1,IP5_2020!$D$74:$E$107,2,FALSE),0)</f>
        <v>0</v>
      </c>
      <c r="IO47" s="608">
        <f>IFERROR(VLOOKUP(IO$1,IP5_2020!$D$74:$E$107,2,FALSE),0)</f>
        <v>0</v>
      </c>
      <c r="IP47" s="608">
        <f>IFERROR(VLOOKUP(IP$1,IP5_2020!$D$74:$E$107,2,FALSE),0)</f>
        <v>0</v>
      </c>
      <c r="IQ47" s="608">
        <f>IFERROR(VLOOKUP(IQ$1,IP5_2020!$D$74:$E$107,2,FALSE),0)</f>
        <v>0</v>
      </c>
      <c r="IR47" s="608">
        <f>IFERROR(VLOOKUP(IR$1,IP5_2020!$D$74:$E$107,2,FALSE),0)</f>
        <v>0</v>
      </c>
      <c r="IS47" s="608">
        <f>IFERROR(VLOOKUP(IS$1,IP5_2020!$D$74:$E$107,2,FALSE),0)</f>
        <v>0</v>
      </c>
      <c r="IT47" s="608">
        <f>IFERROR(VLOOKUP(IT$1,IP5_2020!$D$74:$E$107,2,FALSE),0)</f>
        <v>0</v>
      </c>
      <c r="IU47" s="608">
        <f>IFERROR(VLOOKUP(IU$1,IP5_2020!$D$74:$E$107,2,FALSE),0)</f>
        <v>0</v>
      </c>
      <c r="IV47" s="608">
        <f>IFERROR(VLOOKUP(IV$1,IP5_2020!$D$74:$E$107,2,FALSE),0)</f>
        <v>0</v>
      </c>
      <c r="IW47" s="608">
        <f>IFERROR(VLOOKUP(IW$1,IP5_2020!$D$74:$E$107,2,FALSE),0)</f>
        <v>0</v>
      </c>
      <c r="IX47" s="608">
        <f>IFERROR(VLOOKUP(IX$1,IP5_2020!$D$74:$E$107,2,FALSE),0)</f>
        <v>0</v>
      </c>
      <c r="IY47" s="608">
        <f>IFERROR(VLOOKUP(IY$1,IP5_2020!$D$74:$E$107,2,FALSE),0)</f>
        <v>0</v>
      </c>
      <c r="IZ47" s="608">
        <f>IFERROR(VLOOKUP(IZ$1,IP5_2020!$D$74:$E$107,2,FALSE),0)</f>
        <v>0</v>
      </c>
      <c r="JA47" s="608">
        <f>IFERROR(VLOOKUP(JA$1,IP5_2020!$D$74:$E$107,2,FALSE),0)</f>
        <v>0</v>
      </c>
      <c r="JB47" s="608">
        <f>IFERROR(VLOOKUP(JB$1,IP5_2020!$D$74:$E$107,2,FALSE),0)</f>
        <v>0</v>
      </c>
      <c r="JC47" s="608">
        <f>IFERROR(VLOOKUP(JC$1,IP5_2020!$D$74:$E$107,2,FALSE),0)</f>
        <v>0</v>
      </c>
      <c r="JD47" s="608">
        <f>IFERROR(VLOOKUP(JD$1,IP5_2020!$D$74:$E$107,2,FALSE),0)</f>
        <v>0</v>
      </c>
      <c r="JE47" s="608">
        <f>IFERROR(VLOOKUP(JE$1,IP5_2020!$D$74:$E$107,2,FALSE),0)</f>
        <v>0</v>
      </c>
      <c r="JF47" s="608">
        <f>IFERROR(VLOOKUP(JF$1,IP5_2020!$D$74:$E$107,2,FALSE),0)</f>
        <v>0</v>
      </c>
      <c r="JG47" s="608">
        <f>IFERROR(VLOOKUP(JG$1,IP5_2020!$D$74:$E$107,2,FALSE),0)</f>
        <v>0</v>
      </c>
      <c r="JH47" s="608">
        <f>IFERROR(VLOOKUP(JH$1,IP5_2020!$D$74:$E$107,2,FALSE),0)</f>
        <v>0</v>
      </c>
      <c r="JI47" s="608">
        <f>SUM(C47:JH47)</f>
        <v>87434175.375827298</v>
      </c>
      <c r="JL47" s="307">
        <f t="shared" si="323"/>
        <v>0</v>
      </c>
      <c r="JM47" s="307">
        <f t="shared" si="323"/>
        <v>72719322.546612963</v>
      </c>
      <c r="JN47" s="307">
        <f t="shared" si="323"/>
        <v>9350089.8041531909</v>
      </c>
      <c r="JO47" s="307">
        <f t="shared" si="323"/>
        <v>5364763.0250611417</v>
      </c>
      <c r="JP47" s="307">
        <f t="shared" si="324"/>
        <v>87434175.375827298</v>
      </c>
      <c r="JQ47" s="591"/>
    </row>
    <row r="48" spans="1:277" ht="15.75" thickBot="1" x14ac:dyDescent="0.3">
      <c r="B48" s="611" t="s">
        <v>2521</v>
      </c>
      <c r="C48" s="608">
        <f>IFERROR(VLOOKUP(C1,PnaPr2020!$Q$84:$R$128,2,FALSE),0)</f>
        <v>0</v>
      </c>
      <c r="D48" s="608">
        <f>IFERROR(VLOOKUP(D1,PnaPr2020!$Q$84:$R$128,2,FALSE),0)</f>
        <v>0</v>
      </c>
      <c r="E48" s="608">
        <f>IFERROR(VLOOKUP(E1,PnaPr2020!$Q$84:$R$128,2,FALSE),0)</f>
        <v>0</v>
      </c>
      <c r="F48" s="608">
        <f>IFERROR(VLOOKUP(F1,PnaPr2020!$Q$84:$R$128,2,FALSE),0)</f>
        <v>0</v>
      </c>
      <c r="G48" s="608">
        <f>IFERROR(VLOOKUP(G1,PnaPr2020!$Q$84:$R$128,2,FALSE),0)</f>
        <v>0</v>
      </c>
      <c r="H48" s="608">
        <f>IFERROR(VLOOKUP(H1,PnaPr2020!$Q$84:$R$128,2,FALSE),0)</f>
        <v>0</v>
      </c>
      <c r="I48" s="608">
        <f>IFERROR(VLOOKUP(I1,PnaPr2020!$Q$84:$R$128,2,FALSE),0)</f>
        <v>0</v>
      </c>
      <c r="J48" s="608">
        <f>IFERROR(VLOOKUP(J1,PnaPr2020!$Q$84:$R$128,2,FALSE),0)</f>
        <v>0</v>
      </c>
      <c r="K48" s="608">
        <f>IFERROR(VLOOKUP(K1,PnaPr2020!$Q$84:$R$128,2,FALSE),0)</f>
        <v>0</v>
      </c>
      <c r="L48" s="608">
        <f>IFERROR(VLOOKUP(L1,PnaPr2020!$Q$84:$R$128,2,FALSE),0)</f>
        <v>0</v>
      </c>
      <c r="M48" s="608">
        <f>IFERROR(VLOOKUP(M1,PnaPr2020!$Q$84:$R$128,2,FALSE),0)</f>
        <v>0</v>
      </c>
      <c r="N48" s="608">
        <f>IFERROR(VLOOKUP(N1,PnaPr2020!$Q$84:$R$128,2,FALSE),0)</f>
        <v>0</v>
      </c>
      <c r="O48" s="608">
        <f>IFERROR(VLOOKUP(O1,PnaPr2020!$Q$84:$R$128,2,FALSE),0)</f>
        <v>0</v>
      </c>
      <c r="P48" s="608">
        <f>IFERROR(VLOOKUP(P1,PnaPr2020!$Q$84:$R$128,2,FALSE),0)</f>
        <v>0</v>
      </c>
      <c r="Q48" s="608">
        <f>IFERROR(VLOOKUP(Q1,PnaPr2020!$Q$84:$R$128,2,FALSE),0)</f>
        <v>0</v>
      </c>
      <c r="R48" s="608">
        <f>IFERROR(VLOOKUP(R1,PnaPr2020!$Q$84:$R$128,2,FALSE),0)</f>
        <v>0</v>
      </c>
      <c r="S48" s="608">
        <f>IFERROR(VLOOKUP(S1,PnaPr2020!$Q$84:$R$128,2,FALSE),0)</f>
        <v>0</v>
      </c>
      <c r="T48" s="608">
        <f>IFERROR(VLOOKUP(T1,PnaPr2020!$Q$84:$R$128,2,FALSE),0)</f>
        <v>0</v>
      </c>
      <c r="U48" s="608">
        <f>IFERROR(VLOOKUP(U1,PnaPr2020!$Q$84:$R$128,2,FALSE),0)</f>
        <v>0</v>
      </c>
      <c r="V48" s="608">
        <f>IFERROR(VLOOKUP(V1,PnaPr2020!$Q$84:$R$128,2,FALSE),0)</f>
        <v>0</v>
      </c>
      <c r="W48" s="608">
        <f>IFERROR(VLOOKUP(W1,PnaPr2020!$Q$84:$R$128,2,FALSE),0)</f>
        <v>0</v>
      </c>
      <c r="X48" s="608">
        <f>IFERROR(VLOOKUP(X1,PnaPr2020!$Q$84:$R$128,2,FALSE),0)</f>
        <v>0</v>
      </c>
      <c r="Y48" s="608">
        <f>IFERROR(VLOOKUP(Y1,PnaPr2020!$Q$84:$R$128,2,FALSE),0)</f>
        <v>0</v>
      </c>
      <c r="Z48" s="608">
        <f>IFERROR(VLOOKUP(Z1,PnaPr2020!$Q$84:$R$128,2,FALSE),0)</f>
        <v>0</v>
      </c>
      <c r="AA48" s="608">
        <f>IFERROR(VLOOKUP(AA1,PnaPr2020!$Q$84:$R$128,2,FALSE),0)</f>
        <v>0</v>
      </c>
      <c r="AB48" s="608">
        <f>IFERROR(VLOOKUP(AB1,PnaPr2020!$Q$84:$R$128,2,FALSE),0)</f>
        <v>0</v>
      </c>
      <c r="AC48" s="608"/>
      <c r="AD48" s="608">
        <f>IFERROR(VLOOKUP(AD1,PnaPr2020!$Q$84:$R$128,2,FALSE),0)</f>
        <v>0</v>
      </c>
      <c r="AE48" s="608">
        <f>IFERROR(VLOOKUP(AE1,PnaPr2020!$Q$84:$R$128,2,FALSE),0)</f>
        <v>0</v>
      </c>
      <c r="AF48" s="608">
        <f>IFERROR(VLOOKUP(AF1,PnaPr2020!$Q$84:$R$128,2,FALSE),0)</f>
        <v>0</v>
      </c>
      <c r="AG48" s="608">
        <f>IFERROR(VLOOKUP(AG1,PnaPr2020!$Q$84:$R$128,2,FALSE),0)</f>
        <v>0</v>
      </c>
      <c r="AH48" s="608">
        <f>IFERROR(VLOOKUP(AH1,PnaPr2020!$Q$84:$R$128,2,FALSE),0)</f>
        <v>0</v>
      </c>
      <c r="AI48" s="608">
        <f>IFERROR(VLOOKUP(AI1,PnaPr2020!$Q$84:$R$128,2,FALSE),0)</f>
        <v>0</v>
      </c>
      <c r="AJ48" s="608">
        <f>IFERROR(VLOOKUP(AJ1,PnaPr2020!$Q$84:$R$128,2,FALSE),0)</f>
        <v>0</v>
      </c>
      <c r="AK48" s="608">
        <f>IFERROR(VLOOKUP(AK1,PnaPr2020!$Q$84:$R$128,2,FALSE),0)</f>
        <v>0</v>
      </c>
      <c r="AL48" s="608">
        <f>IFERROR(VLOOKUP(AL1,PnaPr2020!$Q$84:$R$128,2,FALSE),0)</f>
        <v>0</v>
      </c>
      <c r="AM48" s="608">
        <f>IFERROR(VLOOKUP(AM1,PnaPr2020!$Q$84:$R$128,2,FALSE),0)</f>
        <v>0</v>
      </c>
      <c r="AN48" s="608">
        <f>IFERROR(VLOOKUP(AN1,PnaPr2020!$Q$84:$R$128,2,FALSE),0)</f>
        <v>0</v>
      </c>
      <c r="AO48" s="608">
        <f>IFERROR(VLOOKUP(AO1,PnaPr2020!$Q$84:$R$128,2,FALSE),0)</f>
        <v>0</v>
      </c>
      <c r="AP48" s="608">
        <f>IFERROR(VLOOKUP(AP1,PnaPr2020!$Q$84:$R$128,2,FALSE),0)</f>
        <v>0</v>
      </c>
      <c r="AQ48" s="608">
        <f>IFERROR(VLOOKUP(AQ1,PnaPr2020!$Q$84:$R$128,2,FALSE),0)</f>
        <v>0</v>
      </c>
      <c r="AR48" s="608">
        <f>IFERROR(VLOOKUP(AR1,PnaPr2020!$Q$84:$R$128,2,FALSE),0)</f>
        <v>0</v>
      </c>
      <c r="AS48" s="608">
        <f>IFERROR(VLOOKUP(AS1,PnaPr2020!$Q$84:$R$128,2,FALSE),0)</f>
        <v>0</v>
      </c>
      <c r="AT48" s="608">
        <f>IFERROR(VLOOKUP(AT1,PnaPr2020!$Q$84:$R$128,2,FALSE),0)</f>
        <v>0</v>
      </c>
      <c r="AU48" s="608">
        <f>IFERROR(VLOOKUP(AU1,PnaPr2020!$Q$84:$R$128,2,FALSE),0)</f>
        <v>0</v>
      </c>
      <c r="AV48" s="608">
        <f>IFERROR(VLOOKUP(AV1,PnaPr2020!$Q$84:$R$128,2,FALSE),0)</f>
        <v>0</v>
      </c>
      <c r="AW48" s="608">
        <f>IFERROR(VLOOKUP(AW1,PnaPr2020!$Q$84:$R$128,2,FALSE),0)</f>
        <v>0</v>
      </c>
      <c r="AX48" s="608">
        <f>IFERROR(VLOOKUP(AX1,PnaPr2020!$Q$84:$R$128,2,FALSE),0)</f>
        <v>0</v>
      </c>
      <c r="AY48" s="608">
        <f>IFERROR(VLOOKUP(AY1,PnaPr2020!$Q$84:$R$128,2,FALSE),0)</f>
        <v>0</v>
      </c>
      <c r="AZ48" s="608">
        <f>IFERROR(VLOOKUP(AZ1,PnaPr2020!$Q$84:$R$128,2,FALSE),0)</f>
        <v>0</v>
      </c>
      <c r="BA48" s="608">
        <f>IFERROR(VLOOKUP(BA1,PnaPr2020!$Q$84:$R$128,2,FALSE),0)</f>
        <v>0</v>
      </c>
      <c r="BB48" s="608">
        <f>IFERROR(VLOOKUP(BB1,PnaPr2020!$Q$84:$R$128,2,FALSE),0)</f>
        <v>0</v>
      </c>
      <c r="BC48" s="608">
        <f>IFERROR(VLOOKUP(BC1,PnaPr2020!$Q$84:$R$128,2,FALSE),0)</f>
        <v>0</v>
      </c>
      <c r="BD48" s="608">
        <f>IFERROR(VLOOKUP(BD1,PnaPr2020!$Q$84:$R$128,2,FALSE),0)</f>
        <v>0</v>
      </c>
      <c r="BE48" s="608">
        <f>IFERROR(VLOOKUP(BE1,PnaPr2020!$Q$84:$R$128,2,FALSE),0)</f>
        <v>0</v>
      </c>
      <c r="BF48" s="608">
        <f>IFERROR(VLOOKUP(BF1,PnaPr2020!$Q$84:$R$128,2,FALSE),0)</f>
        <v>0</v>
      </c>
      <c r="BG48" s="608">
        <f>IFERROR(VLOOKUP(BG1,PnaPr2020!$Q$84:$R$128,2,FALSE),0)</f>
        <v>0</v>
      </c>
      <c r="BH48" s="608">
        <f>IFERROR(VLOOKUP(BH1,PnaPr2020!$Q$84:$R$128,2,FALSE),0)</f>
        <v>0</v>
      </c>
      <c r="BI48" s="608">
        <f>IFERROR(VLOOKUP(BI1,PnaPr2020!$Q$84:$R$128,2,FALSE),0)</f>
        <v>0</v>
      </c>
      <c r="BJ48" s="608">
        <f>IFERROR(VLOOKUP(BJ1,PnaPr2020!$Q$84:$R$128,2,FALSE),0)</f>
        <v>0</v>
      </c>
      <c r="BK48" s="608">
        <f>IFERROR(VLOOKUP(BK1,PnaPr2020!$Q$84:$R$128,2,FALSE),0)</f>
        <v>0</v>
      </c>
      <c r="BL48" s="608">
        <f>IFERROR(VLOOKUP(BL1,PnaPr2020!$Q$84:$R$128,2,FALSE),0)</f>
        <v>0</v>
      </c>
      <c r="BM48" s="608">
        <f>IFERROR(VLOOKUP(BM1,PnaPr2020!$Q$84:$R$128,2,FALSE),0)</f>
        <v>0</v>
      </c>
      <c r="BN48" s="608">
        <f>IFERROR(VLOOKUP(BN1,PnaPr2020!$Q$84:$R$128,2,FALSE),0)</f>
        <v>0</v>
      </c>
      <c r="BO48" s="608">
        <f>IFERROR(VLOOKUP(BO1,PnaPr2020!$Q$84:$R$128,2,FALSE),0)</f>
        <v>0</v>
      </c>
      <c r="BP48" s="608">
        <f>IFERROR(VLOOKUP(BP1,PnaPr2020!$Q$84:$R$128,2,FALSE),0)</f>
        <v>0</v>
      </c>
      <c r="BQ48" s="608">
        <f>IFERROR(VLOOKUP(BQ1,PnaPr2020!$Q$84:$R$128,2,FALSE),0)</f>
        <v>0</v>
      </c>
      <c r="BR48" s="608">
        <f>IFERROR(VLOOKUP(BR1,PnaPr2020!$Q$84:$R$128,2,FALSE),0)</f>
        <v>0</v>
      </c>
      <c r="BS48" s="608">
        <f>IFERROR(VLOOKUP(BS1,PnaPr2020!$Q$84:$R$128,2,FALSE),0)</f>
        <v>0</v>
      </c>
      <c r="BT48" s="608">
        <f>IFERROR(VLOOKUP(BT1,PnaPr2020!$Q$84:$R$128,2,FALSE),0)</f>
        <v>0</v>
      </c>
      <c r="BU48" s="608">
        <f>IFERROR(VLOOKUP(BU1,PnaPr2020!$Q$84:$R$128,2,FALSE),0)</f>
        <v>0</v>
      </c>
      <c r="BV48" s="608">
        <f>IFERROR(VLOOKUP(BV1,PnaPr2020!$Q$84:$R$128,2,FALSE),0)</f>
        <v>0</v>
      </c>
      <c r="BW48" s="608">
        <f>IFERROR(VLOOKUP(BW1,PnaPr2020!$Q$84:$R$128,2,FALSE),0)</f>
        <v>0</v>
      </c>
      <c r="BX48" s="608">
        <f>IFERROR(VLOOKUP(BX1,PnaPr2020!$Q$84:$R$128,2,FALSE),0)</f>
        <v>0</v>
      </c>
      <c r="BY48" s="608">
        <f>IFERROR(VLOOKUP(BY1,PnaPr2020!$Q$84:$R$128,2,FALSE),0)</f>
        <v>0</v>
      </c>
      <c r="BZ48" s="608">
        <f>IFERROR(VLOOKUP(BZ1,PnaPr2020!$Q$84:$R$128,2,FALSE),0)</f>
        <v>0</v>
      </c>
      <c r="CA48" s="608">
        <f>IFERROR(VLOOKUP(CA1,PnaPr2020!$Q$84:$R$128,2,FALSE),0)</f>
        <v>0</v>
      </c>
      <c r="CB48" s="608">
        <f>IFERROR(VLOOKUP(CB1,PnaPr2020!$Q$84:$R$128,2,FALSE),0)</f>
        <v>0</v>
      </c>
      <c r="CC48" s="608">
        <f>IFERROR(VLOOKUP(CC1,PnaPr2020!$Q$84:$R$128,2,FALSE),0)</f>
        <v>0</v>
      </c>
      <c r="CD48" s="608">
        <f>IFERROR(VLOOKUP(CD1,PnaPr2020!$Q$84:$R$128,2,FALSE),0)</f>
        <v>0</v>
      </c>
      <c r="CE48" s="608">
        <f>IFERROR(VLOOKUP(CE1,PnaPr2020!$Q$84:$R$128,2,FALSE),0)</f>
        <v>0</v>
      </c>
      <c r="CF48" s="608">
        <f>IFERROR(VLOOKUP(CF1,PnaPr2020!$Q$84:$R$128,2,FALSE),0)</f>
        <v>0</v>
      </c>
      <c r="CG48" s="608">
        <f>IFERROR(VLOOKUP(CG1,PnaPr2020!$Q$84:$R$128,2,FALSE),0)</f>
        <v>0</v>
      </c>
      <c r="CH48" s="608">
        <f>IFERROR(VLOOKUP(CH1,PnaPr2020!$Q$84:$R$128,2,FALSE),0)</f>
        <v>0</v>
      </c>
      <c r="CI48" s="608">
        <f>IFERROR(VLOOKUP(CI1,PnaPr2020!$Q$84:$R$128,2,FALSE),0)</f>
        <v>0</v>
      </c>
      <c r="CJ48" s="608">
        <f>IFERROR(VLOOKUP(CJ1,PnaPr2020!$Q$84:$R$128,2,FALSE),0)</f>
        <v>0</v>
      </c>
      <c r="CK48" s="608">
        <f>IFERROR(VLOOKUP(CK1,PnaPr2020!$Q$84:$R$128,2,FALSE),0)</f>
        <v>0</v>
      </c>
      <c r="CL48" s="608">
        <f>IFERROR(VLOOKUP(CL1,PnaPr2020!$Q$84:$R$128,2,FALSE),0)</f>
        <v>0</v>
      </c>
      <c r="CM48" s="608">
        <f>IFERROR(VLOOKUP(CM1,PnaPr2020!$Q$84:$R$128,2,FALSE),0)</f>
        <v>0</v>
      </c>
      <c r="CN48" s="608">
        <f>IFERROR(VLOOKUP(CN1,PnaPr2020!$Q$84:$R$128,2,FALSE),0)</f>
        <v>0</v>
      </c>
      <c r="CO48" s="608">
        <f>IFERROR(VLOOKUP(CO1,PnaPr2020!$Q$84:$R$128,2,FALSE),0)</f>
        <v>0</v>
      </c>
      <c r="CP48" s="608">
        <f>IFERROR(VLOOKUP(CP1,PnaPr2020!$Q$84:$R$128,2,FALSE),0)</f>
        <v>0</v>
      </c>
      <c r="CQ48" s="608">
        <f>IFERROR(VLOOKUP(CQ1,PnaPr2020!$Q$84:$R$128,2,FALSE),0)</f>
        <v>0</v>
      </c>
      <c r="CR48" s="608">
        <f>IFERROR(VLOOKUP(CR1,PnaPr2020!$Q$84:$R$128,2,FALSE),0)</f>
        <v>0</v>
      </c>
      <c r="CS48" s="608">
        <f>IFERROR(VLOOKUP(CS1,PnaPr2020!$Q$84:$R$128,2,FALSE),0)</f>
        <v>0</v>
      </c>
      <c r="CT48" s="608">
        <f>IFERROR(VLOOKUP(CT1,PnaPr2020!$Q$84:$R$128,2,FALSE),0)</f>
        <v>0</v>
      </c>
      <c r="CU48" s="608">
        <f>IFERROR(VLOOKUP(CU1,PnaPr2020!$Q$84:$R$128,2,FALSE),0)</f>
        <v>0</v>
      </c>
      <c r="CV48" s="608">
        <f>IFERROR(VLOOKUP(CV1,PnaPr2020!$Q$84:$R$128,2,FALSE),0)</f>
        <v>0</v>
      </c>
      <c r="CW48" s="608">
        <f>IFERROR(VLOOKUP(CW1,PnaPr2020!$Q$84:$R$128,2,FALSE),0)</f>
        <v>0</v>
      </c>
      <c r="CX48" s="608">
        <f>IFERROR(VLOOKUP(CX1,PnaPr2020!$Q$84:$R$128,2,FALSE),0)</f>
        <v>0</v>
      </c>
      <c r="CY48" s="608">
        <f>IFERROR(VLOOKUP(CY1,PnaPr2020!$Q$84:$R$128,2,FALSE),0)</f>
        <v>0</v>
      </c>
      <c r="CZ48" s="608">
        <f>IFERROR(VLOOKUP(CZ1,PnaPr2020!$Q$84:$R$128,2,FALSE),0)</f>
        <v>0</v>
      </c>
      <c r="DA48" s="608">
        <f>IFERROR(VLOOKUP(DA1,PnaPr2020!$Q$84:$R$128,2,FALSE),0)</f>
        <v>0</v>
      </c>
      <c r="DB48" s="608">
        <f>IFERROR(VLOOKUP(DB1,PnaPr2020!$Q$84:$R$128,2,FALSE),0)</f>
        <v>0</v>
      </c>
      <c r="DC48" s="608">
        <f>IFERROR(VLOOKUP(DC1,PnaPr2020!$Q$84:$R$128,2,FALSE),0)</f>
        <v>0</v>
      </c>
      <c r="DD48" s="608">
        <f>IFERROR(VLOOKUP(DD1,PnaPr2020!$Q$84:$R$128,2,FALSE),0)</f>
        <v>0</v>
      </c>
      <c r="DE48" s="608">
        <f>IFERROR(VLOOKUP(DE1,PnaPr2020!$Q$84:$R$128,2,FALSE),0)</f>
        <v>0</v>
      </c>
      <c r="DF48" s="608">
        <f>IFERROR(VLOOKUP(DF1,PnaPr2020!$Q$84:$R$128,2,FALSE),0)</f>
        <v>0</v>
      </c>
      <c r="DG48" s="608">
        <f>IFERROR(VLOOKUP(DG1,PnaPr2020!$Q$84:$R$128,2,FALSE),0)</f>
        <v>0</v>
      </c>
      <c r="DH48" s="608">
        <f>IFERROR(VLOOKUP(DH1,PnaPr2020!$Q$84:$R$128,2,FALSE),0)</f>
        <v>0</v>
      </c>
      <c r="DI48" s="608">
        <f>IFERROR(VLOOKUP(DI1,PnaPr2020!$Q$84:$R$128,2,FALSE),0)</f>
        <v>0</v>
      </c>
      <c r="DJ48" s="608">
        <f>IFERROR(VLOOKUP(DJ1,PnaPr2020!$Q$84:$R$128,2,FALSE),0)</f>
        <v>0</v>
      </c>
      <c r="DK48" s="608">
        <f>IFERROR(VLOOKUP(DK1,PnaPr2020!$Q$84:$R$128,2,FALSE),0)</f>
        <v>0</v>
      </c>
      <c r="DL48" s="608">
        <f>IFERROR(VLOOKUP(DL1,PnaPr2020!$Q$84:$R$128,2,FALSE),0)</f>
        <v>0</v>
      </c>
      <c r="DM48" s="608">
        <f>IFERROR(VLOOKUP(DM1,PnaPr2020!$Q$84:$R$128,2,FALSE),0)</f>
        <v>0</v>
      </c>
      <c r="DN48" s="608">
        <f>IFERROR(VLOOKUP(DN1,PnaPr2020!$Q$84:$R$128,2,FALSE),0)</f>
        <v>0</v>
      </c>
      <c r="DO48" s="608">
        <f>IFERROR(VLOOKUP(DO1,PnaPr2020!$Q$84:$R$128,2,FALSE),0)</f>
        <v>0</v>
      </c>
      <c r="DP48" s="608">
        <f>IFERROR(VLOOKUP(DP1,PnaPr2020!$Q$84:$R$128,2,FALSE),0)</f>
        <v>0</v>
      </c>
      <c r="DQ48" s="608">
        <f>IFERROR(VLOOKUP(DQ1,PnaPr2020!$Q$84:$R$128,2,FALSE),0)</f>
        <v>0</v>
      </c>
      <c r="DR48" s="608">
        <f>IFERROR(VLOOKUP(DR1,PnaPr2020!$Q$84:$R$128,2,FALSE),0)</f>
        <v>0</v>
      </c>
      <c r="DS48" s="608">
        <f>IFERROR(VLOOKUP(DS1,PnaPr2020!$Q$84:$R$128,2,FALSE),0)</f>
        <v>0</v>
      </c>
      <c r="DT48" s="608">
        <f>IFERROR(VLOOKUP(DT1,PnaPr2020!$Q$84:$R$128,2,FALSE),0)</f>
        <v>0</v>
      </c>
      <c r="DU48" s="608">
        <f>IFERROR(VLOOKUP(DU1,PnaPr2020!$Q$84:$R$128,2,FALSE),0)</f>
        <v>0</v>
      </c>
      <c r="DV48" s="608">
        <f>IFERROR(VLOOKUP(DV1,PnaPr2020!$Q$84:$R$128,2,FALSE),0)</f>
        <v>0</v>
      </c>
      <c r="DW48" s="608">
        <f>IFERROR(VLOOKUP(DW1,PnaPr2020!$Q$84:$R$128,2,FALSE),0)</f>
        <v>0</v>
      </c>
      <c r="DX48" s="608">
        <f>IFERROR(VLOOKUP(DX1,PnaPr2020!$Q$84:$R$128,2,FALSE),0)</f>
        <v>0</v>
      </c>
      <c r="DY48" s="608">
        <f>IFERROR(VLOOKUP(DY1,PnaPr2020!$Q$84:$R$128,2,FALSE),0)</f>
        <v>0</v>
      </c>
      <c r="DZ48" s="608">
        <f>IFERROR(VLOOKUP(DZ1,PnaPr2020!$Q$84:$R$128,2,FALSE),0)</f>
        <v>0</v>
      </c>
      <c r="EA48" s="608">
        <f>IFERROR(VLOOKUP(EA1,PnaPr2020!$Q$84:$R$128,2,FALSE),0)</f>
        <v>0</v>
      </c>
      <c r="EB48" s="608">
        <f>IFERROR(VLOOKUP(EB1,PnaPr2020!$Q$84:$R$128,2,FALSE),0)</f>
        <v>0</v>
      </c>
      <c r="EC48" s="608">
        <f>IFERROR(VLOOKUP(EC1,PnaPr2020!$Q$84:$R$128,2,FALSE),0)</f>
        <v>0</v>
      </c>
      <c r="ED48" s="608">
        <f>IFERROR(VLOOKUP(ED1,PnaPr2020!$Q$84:$R$128,2,FALSE),0)</f>
        <v>0</v>
      </c>
      <c r="EE48" s="608">
        <f>IFERROR(VLOOKUP(EE1,PnaPr2020!$Q$84:$R$128,2,FALSE),0)</f>
        <v>0</v>
      </c>
      <c r="EF48" s="608">
        <f>IFERROR(VLOOKUP(EF1,PnaPr2020!$Q$84:$R$128,2,FALSE),0)</f>
        <v>0</v>
      </c>
      <c r="EG48" s="608">
        <f>IFERROR(VLOOKUP(EG1,PnaPr2020!$Q$84:$R$128,2,FALSE),0)</f>
        <v>0</v>
      </c>
      <c r="EH48" s="608">
        <f>IFERROR(VLOOKUP(EH1,PnaPr2020!$Q$84:$R$128,2,FALSE),0)</f>
        <v>0</v>
      </c>
      <c r="EI48" s="608">
        <f>IFERROR(VLOOKUP(EI1,PnaPr2020!$Q$84:$R$128,2,FALSE),0)</f>
        <v>0</v>
      </c>
      <c r="EJ48" s="608">
        <f>IFERROR(VLOOKUP(EJ1,PnaPr2020!$Q$84:$R$128,2,FALSE),0)</f>
        <v>0</v>
      </c>
      <c r="EK48" s="608">
        <f>IFERROR(VLOOKUP(EK1,PnaPr2020!$Q$84:$R$128,2,FALSE),0)</f>
        <v>0</v>
      </c>
      <c r="EL48" s="608">
        <f>IFERROR(VLOOKUP(EL1,PnaPr2020!$Q$84:$R$128,2,FALSE),0)</f>
        <v>0</v>
      </c>
      <c r="EM48" s="608">
        <f>IFERROR(VLOOKUP(EM1,PnaPr2020!$Q$84:$R$128,2,FALSE),0)</f>
        <v>0</v>
      </c>
      <c r="EN48" s="608">
        <f>IFERROR(VLOOKUP(EN1,PnaPr2020!$Q$84:$R$128,2,FALSE),0)</f>
        <v>0</v>
      </c>
      <c r="EO48" s="608">
        <f>IFERROR(VLOOKUP(EO1,PnaPr2020!$Q$84:$R$128,2,FALSE),0)</f>
        <v>0</v>
      </c>
      <c r="EP48" s="608">
        <f>IFERROR(VLOOKUP(EP1,PnaPr2020!$Q$84:$R$128,2,FALSE),0)</f>
        <v>0</v>
      </c>
      <c r="EQ48" s="608">
        <f>IFERROR(VLOOKUP(EQ1,PnaPr2020!$Q$84:$R$128,2,FALSE),0)</f>
        <v>0</v>
      </c>
      <c r="ER48" s="608">
        <f>IFERROR(VLOOKUP(ER1,PnaPr2020!$Q$84:$R$128,2,FALSE),0)</f>
        <v>0</v>
      </c>
      <c r="ES48" s="608">
        <f>IFERROR(VLOOKUP(ES1,PnaPr2020!$Q$84:$R$128,2,FALSE),0)</f>
        <v>0</v>
      </c>
      <c r="ET48" s="608">
        <f>IFERROR(VLOOKUP(ET1,PnaPr2020!$Q$84:$R$128,2,FALSE),0)</f>
        <v>0</v>
      </c>
      <c r="EU48" s="608">
        <f>IFERROR(VLOOKUP(EU1,PnaPr2020!$Q$84:$R$128,2,FALSE),0)</f>
        <v>0</v>
      </c>
      <c r="EV48" s="608">
        <f>IFERROR(VLOOKUP(EV1,PnaPr2020!$Q$84:$R$128,2,FALSE),0)</f>
        <v>0</v>
      </c>
      <c r="EW48" s="608">
        <f>IFERROR(VLOOKUP(EW1,PnaPr2020!$Q$84:$R$128,2,FALSE),0)</f>
        <v>0</v>
      </c>
      <c r="EX48" s="608">
        <f>IFERROR(VLOOKUP(EX1,PnaPr2020!$Q$84:$R$128,2,FALSE),0)</f>
        <v>0</v>
      </c>
      <c r="EY48" s="608">
        <f>IFERROR(VLOOKUP(EY1,PnaPr2020!$Q$84:$R$128,2,FALSE),0)</f>
        <v>0</v>
      </c>
      <c r="EZ48" s="608">
        <f>IFERROR(VLOOKUP(EZ1,PnaPr2020!$Q$84:$R$128,2,FALSE),0)</f>
        <v>0</v>
      </c>
      <c r="FA48" s="608">
        <f>IFERROR(VLOOKUP(FA1,PnaPr2020!$Q$84:$R$128,2,FALSE),0)</f>
        <v>0</v>
      </c>
      <c r="FB48" s="608">
        <f>IFERROR(VLOOKUP(FB1,PnaPr2020!$Q$84:$R$128,2,FALSE),0)</f>
        <v>0</v>
      </c>
      <c r="FC48" s="608">
        <f>IFERROR(VLOOKUP(FC1,PnaPr2020!$Q$84:$R$128,2,FALSE),0)</f>
        <v>0</v>
      </c>
      <c r="FD48" s="608">
        <f>IFERROR(VLOOKUP(FD1,PnaPr2020!$Q$84:$R$128,2,FALSE),0)</f>
        <v>0</v>
      </c>
      <c r="FE48" s="608">
        <f>IFERROR(VLOOKUP(FE1,PnaPr2020!$Q$84:$R$128,2,FALSE),0)</f>
        <v>0</v>
      </c>
      <c r="FF48" s="608">
        <f>IFERROR(VLOOKUP(FF1,PnaPr2020!$Q$84:$R$128,2,FALSE),0)</f>
        <v>0</v>
      </c>
      <c r="FG48" s="608">
        <f>IFERROR(VLOOKUP(FG1,PnaPr2020!$Q$84:$R$128,2,FALSE),0)</f>
        <v>0</v>
      </c>
      <c r="FH48" s="608">
        <f>IFERROR(VLOOKUP(FH1,PnaPr2020!$Q$84:$R$128,2,FALSE),0)</f>
        <v>0</v>
      </c>
      <c r="FI48" s="608">
        <f>IFERROR(VLOOKUP(FI1,PnaPr2020!$Q$84:$R$128,2,FALSE),0)</f>
        <v>0</v>
      </c>
      <c r="FJ48" s="608">
        <f>IFERROR(VLOOKUP(FJ1,PnaPr2020!$Q$84:$R$128,2,FALSE),0)</f>
        <v>0</v>
      </c>
      <c r="FK48" s="608">
        <f>IFERROR(VLOOKUP(FK1,PnaPr2020!$Q$84:$R$128,2,FALSE),0)</f>
        <v>0</v>
      </c>
      <c r="FL48" s="608">
        <f>IFERROR(VLOOKUP(FL1,PnaPr2020!$Q$84:$R$128,2,FALSE),0)</f>
        <v>0</v>
      </c>
      <c r="FM48" s="608">
        <f>IFERROR(VLOOKUP(FM1,PnaPr2020!$Q$84:$R$128,2,FALSE),0)</f>
        <v>0</v>
      </c>
      <c r="FN48" s="608">
        <f>IFERROR(VLOOKUP(FN1,PnaPr2020!$Q$84:$R$128,2,FALSE),0)</f>
        <v>0</v>
      </c>
      <c r="FO48" s="608">
        <f>IFERROR(VLOOKUP(FO1,PnaPr2020!$Q$84:$R$128,2,FALSE),0)</f>
        <v>0</v>
      </c>
      <c r="FP48" s="608">
        <f>IFERROR(VLOOKUP(FP1,PnaPr2020!$Q$84:$R$128,2,FALSE),0)</f>
        <v>0</v>
      </c>
      <c r="FQ48" s="608">
        <f>IFERROR(VLOOKUP(FQ1,PnaPr2020!$Q$84:$R$128,2,FALSE),0)</f>
        <v>0</v>
      </c>
      <c r="FR48" s="608">
        <f>IFERROR(VLOOKUP(FR1,PnaPr2020!$Q$84:$R$128,2,FALSE),0)</f>
        <v>0</v>
      </c>
      <c r="FS48" s="608">
        <f>IFERROR(VLOOKUP(FS1,PnaPr2020!$Q$84:$R$128,2,FALSE),0)</f>
        <v>0</v>
      </c>
      <c r="FT48" s="608">
        <f>IFERROR(VLOOKUP(FT1,PnaPr2020!$Q$84:$R$128,2,FALSE),0)</f>
        <v>0</v>
      </c>
      <c r="FU48" s="608">
        <f>IFERROR(VLOOKUP(FU1,PnaPr2020!$Q$84:$R$128,2,FALSE),0)</f>
        <v>0</v>
      </c>
      <c r="FV48" s="608">
        <f>IFERROR(VLOOKUP(FV1,PnaPr2020!$Q$84:$R$128,2,FALSE),0)</f>
        <v>0</v>
      </c>
      <c r="FW48" s="608">
        <f>IFERROR(VLOOKUP(FW1,PnaPr2020!$Q$84:$R$128,2,FALSE),0)</f>
        <v>0</v>
      </c>
      <c r="FX48" s="608">
        <f>IFERROR(VLOOKUP(FX1,PnaPr2020!$Q$84:$R$128,2,FALSE),0)</f>
        <v>0</v>
      </c>
      <c r="FY48" s="608">
        <f>IFERROR(VLOOKUP(FY1,PnaPr2020!$Q$84:$R$128,2,FALSE),0)</f>
        <v>0</v>
      </c>
      <c r="FZ48" s="608">
        <f>IFERROR(VLOOKUP(FZ1,PnaPr2020!$Q$84:$R$128,2,FALSE),0)</f>
        <v>0</v>
      </c>
      <c r="GA48" s="608">
        <f>IFERROR(VLOOKUP(GA1,PnaPr2020!$Q$84:$R$128,2,FALSE),0)</f>
        <v>0</v>
      </c>
      <c r="GB48" s="608">
        <f>IFERROR(VLOOKUP(GB1,PnaPr2020!$Q$84:$R$128,2,FALSE),0)</f>
        <v>0</v>
      </c>
      <c r="GC48" s="608">
        <f>IFERROR(VLOOKUP(GC1,PnaPr2020!$Q$84:$R$128,2,FALSE),0)</f>
        <v>0</v>
      </c>
      <c r="GD48" s="608">
        <f>IFERROR(VLOOKUP(GD1,PnaPr2020!$Q$84:$R$128,2,FALSE),0)</f>
        <v>0</v>
      </c>
      <c r="GE48" s="608">
        <f>IFERROR(VLOOKUP(GE1,PnaPr2020!$Q$84:$R$128,2,FALSE),0)</f>
        <v>0</v>
      </c>
      <c r="GF48" s="608">
        <f>IFERROR(VLOOKUP(GF1,PnaPr2020!$Q$84:$R$128,2,FALSE),0)</f>
        <v>0</v>
      </c>
      <c r="GG48" s="608">
        <f>IFERROR(VLOOKUP(GG1,PnaPr2020!$Q$84:$R$128,2,FALSE),0)</f>
        <v>0</v>
      </c>
      <c r="GH48" s="608">
        <f>IFERROR(VLOOKUP(GH1,PnaPr2020!$Q$84:$R$128,2,FALSE),0)</f>
        <v>0</v>
      </c>
      <c r="GI48" s="608">
        <f>IFERROR(VLOOKUP(GI1,PnaPr2020!$Q$84:$R$128,2,FALSE),0)</f>
        <v>0</v>
      </c>
      <c r="GJ48" s="608">
        <f>IFERROR(VLOOKUP(GJ1,PnaPr2020!$Q$84:$R$128,2,FALSE),0)</f>
        <v>0</v>
      </c>
      <c r="GK48" s="608">
        <f>IFERROR(VLOOKUP(GK1,PnaPr2020!$Q$84:$R$128,2,FALSE),0)</f>
        <v>0</v>
      </c>
      <c r="GL48" s="608">
        <f>IFERROR(VLOOKUP(GL1,PnaPr2020!$Q$84:$R$128,2,FALSE),0)</f>
        <v>0</v>
      </c>
      <c r="GM48" s="608">
        <f>IFERROR(VLOOKUP(GM1,PnaPr2020!$Q$84:$R$128,2,FALSE),0)</f>
        <v>0</v>
      </c>
      <c r="GN48" s="608">
        <f>IFERROR(VLOOKUP(GN1,PnaPr2020!$Q$84:$R$128,2,FALSE),0)</f>
        <v>0</v>
      </c>
      <c r="GO48" s="608">
        <f>IFERROR(VLOOKUP(GO1,PnaPr2020!$Q$84:$R$128,2,FALSE),0)</f>
        <v>0</v>
      </c>
      <c r="GP48" s="608">
        <f>IFERROR(VLOOKUP(GP1,PnaPr2020!$Q$84:$R$128,2,FALSE),0)</f>
        <v>0</v>
      </c>
      <c r="GQ48" s="608">
        <f>IFERROR(VLOOKUP(GQ1,PnaPr2020!$Q$84:$R$128,2,FALSE),0)</f>
        <v>0</v>
      </c>
      <c r="GR48" s="608">
        <f>IFERROR(VLOOKUP(GR1,PnaPr2020!$Q$84:$R$128,2,FALSE),0)</f>
        <v>0</v>
      </c>
      <c r="GS48" s="608">
        <f>IFERROR(VLOOKUP(GS1,PnaPr2020!$Q$84:$R$128,2,FALSE),0)</f>
        <v>0</v>
      </c>
      <c r="GT48" s="608">
        <f>IFERROR(VLOOKUP(GT1,PnaPr2020!$Q$84:$R$128,2,FALSE),0)</f>
        <v>0</v>
      </c>
      <c r="GU48" s="608">
        <f>IFERROR(VLOOKUP(GU1,PnaPr2020!$Q$84:$R$128,2,FALSE),0)</f>
        <v>0</v>
      </c>
      <c r="GV48" s="608">
        <f>IFERROR(VLOOKUP(GV1,PnaPr2020!$Q$84:$R$128,2,FALSE),0)</f>
        <v>0</v>
      </c>
      <c r="GW48" s="608">
        <f>IFERROR(VLOOKUP(GW1,PnaPr2020!$Q$84:$R$128,2,FALSE),0)</f>
        <v>0</v>
      </c>
      <c r="GX48" s="608">
        <f>IFERROR(VLOOKUP(GX1,PnaPr2020!$Q$84:$R$128,2,FALSE),0)</f>
        <v>0</v>
      </c>
      <c r="GY48" s="608">
        <f>IFERROR(VLOOKUP(GY1,PnaPr2020!$Q$84:$R$128,2,FALSE),0)</f>
        <v>0</v>
      </c>
      <c r="GZ48" s="608">
        <f>IFERROR(VLOOKUP(GZ1,PnaPr2020!$Q$84:$R$128,2,FALSE),0)</f>
        <v>0</v>
      </c>
      <c r="HA48" s="608">
        <f>IFERROR(VLOOKUP(HA1,PnaPr2020!$Q$84:$R$128,2,FALSE),0)</f>
        <v>0</v>
      </c>
      <c r="HB48" s="608">
        <f>IFERROR(VLOOKUP(HB1,PnaPr2020!$Q$84:$R$128,2,FALSE),0)</f>
        <v>0</v>
      </c>
      <c r="HC48" s="608">
        <f>IFERROR(VLOOKUP(HC1,PnaPr2020!$Q$84:$R$128,2,FALSE),0)</f>
        <v>0</v>
      </c>
      <c r="HD48" s="608">
        <f>IFERROR(VLOOKUP(HD1,PnaPr2020!$Q$84:$R$128,2,FALSE),0)</f>
        <v>0</v>
      </c>
      <c r="HE48" s="608">
        <f>IFERROR(VLOOKUP(HE1,PnaPr2020!$Q$84:$R$128,2,FALSE),0)</f>
        <v>0</v>
      </c>
      <c r="HF48" s="608">
        <f>IFERROR(VLOOKUP(HF1,PnaPr2020!$Q$84:$R$128,2,FALSE),0)</f>
        <v>0</v>
      </c>
      <c r="HG48" s="608">
        <f>IFERROR(VLOOKUP(HG1,PnaPr2020!$Q$84:$R$128,2,FALSE),0)</f>
        <v>0</v>
      </c>
      <c r="HH48" s="608">
        <f>IFERROR(VLOOKUP(HH1,PnaPr2020!$Q$84:$R$128,2,FALSE),0)</f>
        <v>0</v>
      </c>
      <c r="HI48" s="608">
        <f>IFERROR(VLOOKUP(HI1,PnaPr2020!$Q$84:$R$128,2,FALSE),0)</f>
        <v>0</v>
      </c>
      <c r="HJ48" s="608">
        <f>IFERROR(VLOOKUP(HJ1,PnaPr2020!$Q$84:$R$128,2,FALSE),0)</f>
        <v>0</v>
      </c>
      <c r="HK48" s="608">
        <f>IFERROR(VLOOKUP(HK1,PnaPr2020!$Q$84:$R$128,2,FALSE),0)</f>
        <v>0</v>
      </c>
      <c r="HL48" s="608">
        <f>IFERROR(VLOOKUP(HL1,PnaPr2020!$Q$84:$R$128,2,FALSE),0)</f>
        <v>12285480.561290776</v>
      </c>
      <c r="HM48" s="608">
        <f>IFERROR(VLOOKUP(HM1,PnaPr2020!$Q$84:$R$128,2,FALSE),0)</f>
        <v>6939404.3150024218</v>
      </c>
      <c r="HN48" s="608">
        <f>IFERROR(VLOOKUP(HN1,PnaPr2020!$Q$84:$R$128,2,FALSE),0)</f>
        <v>220754.45701772789</v>
      </c>
      <c r="HO48" s="608">
        <f>IFERROR(VLOOKUP(HO1,PnaPr2020!$Q$84:$R$128,2,FALSE),0)</f>
        <v>766360.66668907937</v>
      </c>
      <c r="HP48" s="608">
        <f>IFERROR(VLOOKUP(HP1,PnaPr2020!$Q$84:$R$128,2,FALSE),0)</f>
        <v>8484000</v>
      </c>
      <c r="HQ48" s="608">
        <f>IFERROR(VLOOKUP(HQ1,PnaPr2020!$Q$84:$R$128,2,FALSE),0)</f>
        <v>290683.05684451963</v>
      </c>
      <c r="HR48" s="608">
        <f>IFERROR(VLOOKUP(HR1,PnaPr2020!$Q$84:$R$128,2,FALSE),0)</f>
        <v>10307686.237272542</v>
      </c>
      <c r="HS48" s="608">
        <f>IFERROR(VLOOKUP(HS1,PnaPr2020!$Q$84:$R$128,2,FALSE),0)</f>
        <v>2025630.7058829397</v>
      </c>
      <c r="HT48" s="608">
        <f>IFERROR(VLOOKUP(HT1,PnaPr2020!$Q$84:$R$128,2,FALSE),0)</f>
        <v>6662000</v>
      </c>
      <c r="HU48" s="608">
        <f>IFERROR(VLOOKUP(HU1,PnaPr2020!$Q$84:$R$128,2,FALSE),0)</f>
        <v>6033000</v>
      </c>
      <c r="HV48" s="608">
        <f>IFERROR(VLOOKUP(HV1,PnaPr2020!$Q$84:$R$128,2,FALSE),0)</f>
        <v>5273000</v>
      </c>
      <c r="HW48" s="608">
        <f>IFERROR(VLOOKUP(HW1,PnaPr2020!$Q$84:$R$128,2,FALSE),0)</f>
        <v>1642549.4101354356</v>
      </c>
      <c r="HX48" s="608">
        <f>IFERROR(VLOOKUP(HX1,PnaPr2020!$Q$84:$R$128,2,FALSE),0)</f>
        <v>7530450.5898645641</v>
      </c>
      <c r="HY48" s="608">
        <f>IFERROR(VLOOKUP(HY1,PnaPr2020!$Q$84:$R$128,2,FALSE),0)</f>
        <v>6700000</v>
      </c>
      <c r="HZ48" s="608">
        <f>IFERROR(VLOOKUP(HZ1,PnaPr2020!$Q$84:$R$128,2,FALSE),0)</f>
        <v>2768000</v>
      </c>
      <c r="IA48" s="608">
        <f>IFERROR(VLOOKUP(IA1,PnaPr2020!$Q$84:$R$128,2,FALSE),0)</f>
        <v>2678000</v>
      </c>
      <c r="IB48" s="608">
        <f>IFERROR(VLOOKUP(IB1,PnaPr2020!$Q$84:$R$128,2,FALSE),0)</f>
        <v>2770000</v>
      </c>
      <c r="IC48" s="608">
        <f>IFERROR(VLOOKUP(IC1,PnaPr2020!$Q$84:$R$128,2,FALSE),0)</f>
        <v>3815491.4556706757</v>
      </c>
      <c r="ID48" s="608">
        <f>IFERROR(VLOOKUP(ID1,PnaPr2020!$Q$84:$R$128,2,FALSE),0)</f>
        <v>2570508.5443293238</v>
      </c>
      <c r="IE48" s="608">
        <f>IFERROR(VLOOKUP(IE1,PnaPr2020!$Q$84:$R$128,2,FALSE),0)</f>
        <v>3655000.0000000005</v>
      </c>
      <c r="IF48" s="608">
        <f>IFERROR(VLOOKUP(IF1,PnaPr2020!$Q$84:$R$128,2,FALSE),0)</f>
        <v>7662156.5589786824</v>
      </c>
      <c r="IG48" s="608">
        <f>IFERROR(VLOOKUP(IG1,PnaPr2020!$Q$84:$R$128,2,FALSE),0)</f>
        <v>2356843.4410213181</v>
      </c>
      <c r="IH48" s="608">
        <f>IFERROR(VLOOKUP(IH1,PnaPr2020!$Q$84:$R$128,2,FALSE),0)</f>
        <v>1258580.0308507229</v>
      </c>
      <c r="II48" s="608">
        <f>IFERROR(VLOOKUP(II1,PnaPr2020!$Q$84:$R$128,2,FALSE),0)</f>
        <v>6213392.2452101652</v>
      </c>
      <c r="IJ48" s="608">
        <f>IFERROR(VLOOKUP(IJ1,PnaPr2020!$Q$84:$R$128,2,FALSE),0)</f>
        <v>684723.97829727374</v>
      </c>
      <c r="IK48" s="608">
        <f>IFERROR(VLOOKUP(IK1,PnaPr2020!$Q$84:$R$128,2,FALSE),0)</f>
        <v>1078303.7456418383</v>
      </c>
      <c r="IL48" s="608">
        <f>IFERROR(VLOOKUP(IL1,PnaPr2020!$Q$84:$R$128,2,FALSE),0)</f>
        <v>2813000</v>
      </c>
      <c r="IM48" s="608">
        <f>IFERROR(VLOOKUP(IM1,PnaPr2020!$Q$84:$R$128,2,FALSE),0)</f>
        <v>170998.94394368998</v>
      </c>
      <c r="IN48" s="608">
        <f>IFERROR(VLOOKUP(IN1,PnaPr2020!$Q$84:$R$128,2,FALSE),0)</f>
        <v>3256953.6957286447</v>
      </c>
      <c r="IO48" s="608">
        <f>IFERROR(VLOOKUP(IO1,PnaPr2020!$Q$84:$R$128,2,FALSE),0)</f>
        <v>1238047.3603276657</v>
      </c>
      <c r="IP48" s="608">
        <f>IFERROR(VLOOKUP(IP1,PnaPr2020!$Q$84:$R$128,2,FALSE),0)</f>
        <v>6599000</v>
      </c>
      <c r="IQ48" s="608">
        <f>IFERROR(VLOOKUP(IQ1,PnaPr2020!$Q$84:$R$128,2,FALSE),0)</f>
        <v>7209151.311633043</v>
      </c>
      <c r="IR48" s="608">
        <f>IFERROR(VLOOKUP(IR1,PnaPr2020!$Q$84:$R$128,2,FALSE),0)</f>
        <v>341848.68836695631</v>
      </c>
      <c r="IS48" s="608">
        <f>IFERROR(VLOOKUP(IS1,PnaPr2020!$Q$84:$R$128,2,FALSE),0)</f>
        <v>16307529.752920441</v>
      </c>
      <c r="IT48" s="608">
        <f>IFERROR(VLOOKUP(IT1,PnaPr2020!$Q$84:$R$128,2,FALSE),0)</f>
        <v>4146470.2470795596</v>
      </c>
      <c r="IU48" s="608">
        <f>IFERROR(VLOOKUP(IU1,PnaPr2020!$Q$84:$R$128,2,FALSE),0)</f>
        <v>1173618.1389581335</v>
      </c>
      <c r="IV48" s="608">
        <f>IFERROR(VLOOKUP(IV1,PnaPr2020!$Q$84:$R$128,2,FALSE),0)</f>
        <v>2837300.9764715149</v>
      </c>
      <c r="IW48" s="608">
        <f>IFERROR(VLOOKUP(IW1,PnaPr2020!$Q$84:$R$128,2,FALSE),0)</f>
        <v>4519378.6264685867</v>
      </c>
      <c r="IX48" s="608">
        <f>IFERROR(VLOOKUP(IX1,PnaPr2020!$Q$84:$R$128,2,FALSE),0)</f>
        <v>687702.25810176414</v>
      </c>
      <c r="IY48" s="608">
        <f>IFERROR(VLOOKUP(IY1,PnaPr2020!$Q$84:$R$128,2,FALSE),0)</f>
        <v>2338546.9843517998</v>
      </c>
      <c r="IZ48" s="608">
        <f>IFERROR(VLOOKUP(IZ1,PnaPr2020!$Q$84:$R$128,2,FALSE),0)</f>
        <v>5196453.0156482002</v>
      </c>
      <c r="JA48" s="609">
        <f>JA40</f>
        <v>738641.73</v>
      </c>
      <c r="JB48" s="609">
        <f t="shared" ref="JB48:JD48" si="325">JB40</f>
        <v>828174.04</v>
      </c>
      <c r="JC48" s="609">
        <f t="shared" si="325"/>
        <v>643778.09</v>
      </c>
      <c r="JD48" s="609">
        <f t="shared" si="325"/>
        <v>876588.7</v>
      </c>
      <c r="JE48" s="608">
        <f>IFERROR(VLOOKUP(JE1,PnaPr2020!$Q$84:$R$128,2,FALSE),0)</f>
        <v>705410.89899747109</v>
      </c>
      <c r="JF48" s="608">
        <f>IFERROR(VLOOKUP(JF1,PnaPr2020!$Q$84:$R$128,2,FALSE),0)</f>
        <v>8160589.1010025293</v>
      </c>
      <c r="JG48" s="608">
        <f>IFERROR(VLOOKUP(JG1,PnaPr2020!$Q$84:$R$128,2,FALSE),0)</f>
        <v>7189922.4049856197</v>
      </c>
      <c r="JH48" s="609">
        <f t="shared" ref="JH48" si="326">JH40</f>
        <v>0</v>
      </c>
      <c r="JI48" s="608">
        <f t="shared" ref="JI48:JI83" si="327">SUM(C48:JH48)</f>
        <v>190651104.96498561</v>
      </c>
      <c r="JL48" s="307">
        <f t="shared" si="323"/>
        <v>0</v>
      </c>
      <c r="JM48" s="307">
        <f t="shared" si="323"/>
        <v>0</v>
      </c>
      <c r="JN48" s="307">
        <f t="shared" si="323"/>
        <v>0</v>
      </c>
      <c r="JO48" s="307">
        <f t="shared" si="323"/>
        <v>190651104.96498561</v>
      </c>
      <c r="JP48" s="307">
        <f t="shared" si="324"/>
        <v>190651104.96498561</v>
      </c>
      <c r="JQ48" s="591"/>
    </row>
    <row r="49" spans="1:277" ht="15.75" thickBot="1" x14ac:dyDescent="0.3">
      <c r="A49" s="577">
        <v>0.06</v>
      </c>
      <c r="B49" s="611" t="s">
        <v>2534</v>
      </c>
      <c r="C49" s="608">
        <f t="shared" ref="C49:BO49" si="328">C42</f>
        <v>50000</v>
      </c>
      <c r="D49" s="608">
        <f t="shared" si="328"/>
        <v>300000</v>
      </c>
      <c r="E49" s="608">
        <f t="shared" si="328"/>
        <v>180000</v>
      </c>
      <c r="F49" s="608">
        <f t="shared" si="328"/>
        <v>362000</v>
      </c>
      <c r="G49" s="608">
        <f t="shared" si="328"/>
        <v>1426500</v>
      </c>
      <c r="H49" s="608">
        <f t="shared" si="328"/>
        <v>700000</v>
      </c>
      <c r="I49" s="608">
        <f t="shared" si="328"/>
        <v>719500</v>
      </c>
      <c r="J49" s="610">
        <f>J46*$A49</f>
        <v>179017.07134597134</v>
      </c>
      <c r="K49" s="610">
        <f>K46*$A49</f>
        <v>355471.12877263909</v>
      </c>
      <c r="L49" s="608">
        <f t="shared" si="328"/>
        <v>281750</v>
      </c>
      <c r="M49" s="608">
        <f t="shared" si="328"/>
        <v>316500</v>
      </c>
      <c r="N49" s="608">
        <f t="shared" si="328"/>
        <v>549000</v>
      </c>
      <c r="O49" s="608">
        <f t="shared" si="328"/>
        <v>307500</v>
      </c>
      <c r="P49" s="608">
        <f t="shared" si="328"/>
        <v>428000</v>
      </c>
      <c r="Q49" s="608">
        <f t="shared" si="328"/>
        <v>169000</v>
      </c>
      <c r="R49" s="608">
        <f t="shared" si="328"/>
        <v>456000</v>
      </c>
      <c r="S49" s="608">
        <f t="shared" si="328"/>
        <v>116084</v>
      </c>
      <c r="T49" s="608">
        <f t="shared" si="328"/>
        <v>120000</v>
      </c>
      <c r="U49" s="608">
        <f t="shared" si="328"/>
        <v>165000</v>
      </c>
      <c r="V49" s="608">
        <f t="shared" si="328"/>
        <v>4317000</v>
      </c>
      <c r="W49" s="608">
        <f t="shared" si="328"/>
        <v>934000</v>
      </c>
      <c r="X49" s="608">
        <f t="shared" si="328"/>
        <v>122000</v>
      </c>
      <c r="Y49" s="608">
        <f t="shared" si="328"/>
        <v>100000</v>
      </c>
      <c r="Z49" s="608">
        <f t="shared" si="328"/>
        <v>0</v>
      </c>
      <c r="AA49" s="608">
        <f t="shared" si="328"/>
        <v>295000</v>
      </c>
      <c r="AB49" s="608">
        <f t="shared" si="328"/>
        <v>154334.58000000002</v>
      </c>
      <c r="AC49" s="608"/>
      <c r="AD49" s="608">
        <f t="shared" si="328"/>
        <v>156800</v>
      </c>
      <c r="AE49" s="608">
        <f t="shared" si="328"/>
        <v>88800</v>
      </c>
      <c r="AF49" s="610">
        <f>AF46*$A49</f>
        <v>212135.22954497606</v>
      </c>
      <c r="AG49" s="608">
        <f t="shared" si="328"/>
        <v>267500</v>
      </c>
      <c r="AH49" s="608">
        <f t="shared" si="328"/>
        <v>101700</v>
      </c>
      <c r="AI49" s="610">
        <f>AI46*$A49</f>
        <v>278820</v>
      </c>
      <c r="AJ49" s="610">
        <f>AJ46*$A49</f>
        <v>177960</v>
      </c>
      <c r="AK49" s="610">
        <f>AK46*$A49</f>
        <v>88332</v>
      </c>
      <c r="AL49" s="608">
        <f t="shared" si="328"/>
        <v>204000</v>
      </c>
      <c r="AM49" s="608">
        <f t="shared" si="328"/>
        <v>60116</v>
      </c>
      <c r="AN49" s="608">
        <f t="shared" si="328"/>
        <v>95000</v>
      </c>
      <c r="AO49" s="608">
        <f t="shared" si="328"/>
        <v>2581000</v>
      </c>
      <c r="AP49" s="610">
        <f>AP46*$A49</f>
        <v>139260</v>
      </c>
      <c r="AQ49" s="608">
        <f t="shared" si="328"/>
        <v>50000</v>
      </c>
      <c r="AR49" s="608">
        <f t="shared" si="328"/>
        <v>139500</v>
      </c>
      <c r="AS49" s="608">
        <f t="shared" si="328"/>
        <v>37000</v>
      </c>
      <c r="AT49" s="608">
        <f t="shared" si="328"/>
        <v>169000</v>
      </c>
      <c r="AU49" s="608">
        <f t="shared" si="328"/>
        <v>160000</v>
      </c>
      <c r="AV49" s="608">
        <f t="shared" si="328"/>
        <v>117300</v>
      </c>
      <c r="AW49" s="608">
        <f t="shared" si="328"/>
        <v>156400</v>
      </c>
      <c r="AX49" s="608">
        <f t="shared" si="328"/>
        <v>258000</v>
      </c>
      <c r="AY49" s="608">
        <f t="shared" si="328"/>
        <v>238000</v>
      </c>
      <c r="AZ49" s="608">
        <f t="shared" si="328"/>
        <v>156185</v>
      </c>
      <c r="BA49" s="608">
        <f t="shared" si="328"/>
        <v>1120000</v>
      </c>
      <c r="BB49" s="608">
        <f t="shared" si="328"/>
        <v>140000</v>
      </c>
      <c r="BC49" s="608">
        <f t="shared" si="328"/>
        <v>137000</v>
      </c>
      <c r="BD49" s="608">
        <f t="shared" si="328"/>
        <v>304000</v>
      </c>
      <c r="BE49" s="608">
        <f t="shared" si="328"/>
        <v>176000</v>
      </c>
      <c r="BF49" s="608">
        <f t="shared" si="328"/>
        <v>376000</v>
      </c>
      <c r="BG49" s="608">
        <f t="shared" si="328"/>
        <v>490000</v>
      </c>
      <c r="BH49" s="608">
        <f t="shared" si="328"/>
        <v>397000</v>
      </c>
      <c r="BI49" s="608">
        <f t="shared" si="328"/>
        <v>100000</v>
      </c>
      <c r="BJ49" s="608">
        <f t="shared" si="328"/>
        <v>219000</v>
      </c>
      <c r="BK49" s="608">
        <f t="shared" si="328"/>
        <v>48000</v>
      </c>
      <c r="BL49" s="610">
        <f>BL46*$A49</f>
        <v>29051.393297928047</v>
      </c>
      <c r="BM49" s="610">
        <f>BM46*$A49</f>
        <v>129816.95999999999</v>
      </c>
      <c r="BN49" s="608">
        <f t="shared" si="328"/>
        <v>326000</v>
      </c>
      <c r="BO49" s="608">
        <f t="shared" si="328"/>
        <v>222000</v>
      </c>
      <c r="BP49" s="608">
        <f t="shared" ref="BP49:EA49" si="329">BP42</f>
        <v>777000</v>
      </c>
      <c r="BQ49" s="610">
        <f>BQ46*$A49</f>
        <v>51467.408011966756</v>
      </c>
      <c r="BR49" s="608">
        <f t="shared" si="329"/>
        <v>80000</v>
      </c>
      <c r="BS49" s="608">
        <f t="shared" si="329"/>
        <v>230000</v>
      </c>
      <c r="BT49" s="608">
        <f t="shared" si="329"/>
        <v>200000</v>
      </c>
      <c r="BU49" s="608">
        <f t="shared" si="329"/>
        <v>1150000</v>
      </c>
      <c r="BV49" s="610">
        <f>BV46*$A49</f>
        <v>68537.679756047553</v>
      </c>
      <c r="BW49" s="610">
        <f>BW46*$A49</f>
        <v>17826.564258675688</v>
      </c>
      <c r="BX49" s="608">
        <f t="shared" si="329"/>
        <v>1309761</v>
      </c>
      <c r="BY49" s="608">
        <f t="shared" si="329"/>
        <v>730000</v>
      </c>
      <c r="BZ49" s="608">
        <f t="shared" si="329"/>
        <v>150000</v>
      </c>
      <c r="CA49" s="608">
        <f t="shared" si="329"/>
        <v>0</v>
      </c>
      <c r="CB49" s="610">
        <f>CB46*$A49</f>
        <v>12725.798291441224</v>
      </c>
      <c r="CC49" s="608">
        <f t="shared" si="329"/>
        <v>404000</v>
      </c>
      <c r="CD49" s="608">
        <f t="shared" si="329"/>
        <v>156000</v>
      </c>
      <c r="CE49" s="608">
        <f t="shared" si="329"/>
        <v>4381300</v>
      </c>
      <c r="CF49" s="608">
        <f t="shared" si="329"/>
        <v>366900</v>
      </c>
      <c r="CG49" s="608">
        <f t="shared" si="329"/>
        <v>1830000</v>
      </c>
      <c r="CH49" s="608">
        <f t="shared" si="329"/>
        <v>890000</v>
      </c>
      <c r="CI49" s="608">
        <f t="shared" si="329"/>
        <v>200000</v>
      </c>
      <c r="CJ49" s="608">
        <f t="shared" si="329"/>
        <v>812000</v>
      </c>
      <c r="CK49" s="608">
        <f t="shared" si="329"/>
        <v>599000</v>
      </c>
      <c r="CL49" s="608">
        <f t="shared" si="329"/>
        <v>521000</v>
      </c>
      <c r="CM49" s="608">
        <f t="shared" si="329"/>
        <v>939500</v>
      </c>
      <c r="CN49" s="608">
        <f t="shared" si="329"/>
        <v>165000</v>
      </c>
      <c r="CO49" s="608">
        <f t="shared" si="329"/>
        <v>250000</v>
      </c>
      <c r="CP49" s="608">
        <f t="shared" si="329"/>
        <v>215000</v>
      </c>
      <c r="CQ49" s="608">
        <f t="shared" si="329"/>
        <v>740000</v>
      </c>
      <c r="CR49" s="608">
        <f t="shared" si="329"/>
        <v>50000</v>
      </c>
      <c r="CS49" s="610">
        <f>CS46*$A49</f>
        <v>229135.74</v>
      </c>
      <c r="CT49" s="608">
        <f t="shared" si="329"/>
        <v>600000</v>
      </c>
      <c r="CU49" s="608">
        <f t="shared" si="329"/>
        <v>91500</v>
      </c>
      <c r="CV49" s="610">
        <f>CV46*$A49</f>
        <v>334321.42982321267</v>
      </c>
      <c r="CW49" s="608">
        <f t="shared" si="329"/>
        <v>0</v>
      </c>
      <c r="CX49" s="608">
        <f t="shared" si="329"/>
        <v>373468</v>
      </c>
      <c r="CY49" s="608">
        <f t="shared" si="329"/>
        <v>277673</v>
      </c>
      <c r="CZ49" s="608">
        <f t="shared" si="329"/>
        <v>50000</v>
      </c>
      <c r="DA49" s="608">
        <f t="shared" si="329"/>
        <v>0</v>
      </c>
      <c r="DB49" s="608">
        <f t="shared" si="329"/>
        <v>200000</v>
      </c>
      <c r="DC49" s="608">
        <f t="shared" si="329"/>
        <v>265000</v>
      </c>
      <c r="DD49" s="608">
        <f t="shared" si="329"/>
        <v>215000</v>
      </c>
      <c r="DE49" s="608">
        <f t="shared" si="329"/>
        <v>235000</v>
      </c>
      <c r="DF49" s="608">
        <f t="shared" si="329"/>
        <v>450000</v>
      </c>
      <c r="DG49" s="610">
        <f>DG46*$A49</f>
        <v>51251.372243692604</v>
      </c>
      <c r="DH49" s="608">
        <f t="shared" si="329"/>
        <v>105200</v>
      </c>
      <c r="DI49" s="608">
        <f t="shared" si="329"/>
        <v>33480</v>
      </c>
      <c r="DJ49" s="608">
        <f t="shared" si="329"/>
        <v>90000</v>
      </c>
      <c r="DK49" s="608">
        <f t="shared" si="329"/>
        <v>42480</v>
      </c>
      <c r="DL49" s="608">
        <f t="shared" si="329"/>
        <v>1452000</v>
      </c>
      <c r="DM49" s="608">
        <f t="shared" si="329"/>
        <v>508000</v>
      </c>
      <c r="DN49" s="608">
        <f t="shared" si="329"/>
        <v>554000</v>
      </c>
      <c r="DO49" s="610">
        <f>DO46*$A49</f>
        <v>89508.535672985672</v>
      </c>
      <c r="DP49" s="608">
        <f t="shared" si="329"/>
        <v>415000</v>
      </c>
      <c r="DQ49" s="608">
        <f t="shared" si="329"/>
        <v>330000</v>
      </c>
      <c r="DR49" s="610">
        <f>DR46*$A49</f>
        <v>318211.5</v>
      </c>
      <c r="DS49" s="610">
        <f>DS46*$A49</f>
        <v>103758.65339910673</v>
      </c>
      <c r="DT49" s="610">
        <f>DT46*$A49</f>
        <v>214500</v>
      </c>
      <c r="DU49" s="608">
        <f t="shared" si="329"/>
        <v>260000</v>
      </c>
      <c r="DV49" s="608">
        <f t="shared" si="329"/>
        <v>600000</v>
      </c>
      <c r="DW49" s="610">
        <f>DW46*$A49</f>
        <v>0</v>
      </c>
      <c r="DX49" s="608">
        <f t="shared" si="329"/>
        <v>455000</v>
      </c>
      <c r="DY49" s="608">
        <f t="shared" si="329"/>
        <v>150000</v>
      </c>
      <c r="DZ49" s="610">
        <f>DZ46*$A49</f>
        <v>46208.022690311271</v>
      </c>
      <c r="EA49" s="608">
        <f t="shared" si="329"/>
        <v>130000</v>
      </c>
      <c r="EB49" s="608">
        <f t="shared" ref="EB49:ES49" si="330">EB42</f>
        <v>225000</v>
      </c>
      <c r="EC49" s="608">
        <f t="shared" si="330"/>
        <v>121000</v>
      </c>
      <c r="ED49" s="608">
        <f t="shared" si="330"/>
        <v>391000</v>
      </c>
      <c r="EE49" s="608">
        <f t="shared" si="330"/>
        <v>110000</v>
      </c>
      <c r="EF49" s="608">
        <f t="shared" si="330"/>
        <v>115000</v>
      </c>
      <c r="EG49" s="610">
        <f>EG46*$A49</f>
        <v>26739.846388013535</v>
      </c>
      <c r="EH49" s="608">
        <f t="shared" si="330"/>
        <v>80000</v>
      </c>
      <c r="EI49" s="608">
        <f t="shared" si="330"/>
        <v>122000</v>
      </c>
      <c r="EJ49" s="610">
        <f>EJ46*$A49</f>
        <v>71606.828538388552</v>
      </c>
      <c r="EK49" s="608">
        <f t="shared" si="330"/>
        <v>659000</v>
      </c>
      <c r="EL49" s="608">
        <f t="shared" si="330"/>
        <v>3015000</v>
      </c>
      <c r="EM49" s="608">
        <f t="shared" si="330"/>
        <v>581000</v>
      </c>
      <c r="EN49" s="610">
        <f>EN46*$A49</f>
        <v>150983.64143457543</v>
      </c>
      <c r="EO49" s="608">
        <f t="shared" si="330"/>
        <v>15000</v>
      </c>
      <c r="EP49" s="608">
        <f t="shared" si="330"/>
        <v>202000</v>
      </c>
      <c r="EQ49" s="610">
        <f>EQ46*$A49</f>
        <v>111885.66959123209</v>
      </c>
      <c r="ER49" s="608">
        <f t="shared" si="330"/>
        <v>4235000</v>
      </c>
      <c r="ES49" s="608">
        <f t="shared" si="330"/>
        <v>1619100</v>
      </c>
      <c r="ET49" s="608">
        <f>ET42</f>
        <v>0</v>
      </c>
      <c r="EU49" s="608">
        <f>EU42</f>
        <v>12000</v>
      </c>
      <c r="EV49" s="608">
        <f>EV42</f>
        <v>265000</v>
      </c>
      <c r="EW49" s="609">
        <f>EW42-450000</f>
        <v>1760000</v>
      </c>
      <c r="EX49" s="608">
        <f>EX42</f>
        <v>3600000</v>
      </c>
      <c r="EY49" s="609">
        <f>EY42/47*33</f>
        <v>1025106.3829787234</v>
      </c>
      <c r="EZ49" s="608">
        <f>EZ42</f>
        <v>1761805</v>
      </c>
      <c r="FA49" s="608">
        <f>FA42</f>
        <v>996261</v>
      </c>
      <c r="FB49" s="608">
        <f>FB42</f>
        <v>0</v>
      </c>
      <c r="FC49" s="609">
        <f>FC42-1300000</f>
        <v>4662000</v>
      </c>
      <c r="FD49" s="608">
        <f>FD42</f>
        <v>1552100</v>
      </c>
      <c r="FE49" s="609">
        <f>FE42-400000</f>
        <v>432200</v>
      </c>
      <c r="FF49" s="608">
        <f t="shared" ref="FF49:FM49" si="331">FF42</f>
        <v>1000000</v>
      </c>
      <c r="FG49" s="608">
        <f t="shared" si="331"/>
        <v>2431500</v>
      </c>
      <c r="FH49" s="608">
        <f t="shared" si="331"/>
        <v>1641500</v>
      </c>
      <c r="FI49" s="608">
        <f t="shared" si="331"/>
        <v>1800000</v>
      </c>
      <c r="FJ49" s="608">
        <f t="shared" si="331"/>
        <v>1177383</v>
      </c>
      <c r="FK49" s="608">
        <f t="shared" si="331"/>
        <v>633403</v>
      </c>
      <c r="FL49" s="608">
        <f t="shared" si="331"/>
        <v>500000</v>
      </c>
      <c r="FM49" s="608">
        <f t="shared" si="331"/>
        <v>1813013</v>
      </c>
      <c r="FN49" s="609">
        <f>FN42-700000</f>
        <v>588895</v>
      </c>
      <c r="FO49" s="608">
        <f>FO42</f>
        <v>1078183</v>
      </c>
      <c r="FP49" s="609">
        <f>FP42-1200000</f>
        <v>3324544</v>
      </c>
      <c r="FQ49" s="608">
        <f>FQ42</f>
        <v>118200</v>
      </c>
      <c r="FR49" s="610">
        <f>FR13*0.2</f>
        <v>769440.65792196419</v>
      </c>
      <c r="FS49" s="609">
        <f>FS42-50000</f>
        <v>157067</v>
      </c>
      <c r="FT49" s="608">
        <f t="shared" ref="FT49:FY49" si="332">FT42</f>
        <v>2240223.16</v>
      </c>
      <c r="FU49" s="608">
        <f t="shared" si="332"/>
        <v>204301</v>
      </c>
      <c r="FV49" s="609">
        <f>FV42-450000</f>
        <v>1218344</v>
      </c>
      <c r="FW49" s="608">
        <f t="shared" si="332"/>
        <v>621321</v>
      </c>
      <c r="FX49" s="608">
        <f t="shared" si="332"/>
        <v>402204.18</v>
      </c>
      <c r="FY49" s="608">
        <f t="shared" si="332"/>
        <v>147190</v>
      </c>
      <c r="FZ49" s="609">
        <f>FZ42-500000</f>
        <v>4908290</v>
      </c>
      <c r="GA49" s="609">
        <f>GA42-400000</f>
        <v>710750</v>
      </c>
      <c r="GB49" s="608">
        <f>GB42</f>
        <v>4161580</v>
      </c>
      <c r="GC49" s="608">
        <f>GC42</f>
        <v>1427000</v>
      </c>
      <c r="GD49" s="610">
        <f>GD42/26*33</f>
        <v>4886538.461538461</v>
      </c>
      <c r="GE49" s="609">
        <f>GE42-60000</f>
        <v>807259</v>
      </c>
      <c r="GF49" s="609">
        <f>GF42-400000</f>
        <v>1161000</v>
      </c>
      <c r="GG49" s="609">
        <f>GG42-460000</f>
        <v>440000</v>
      </c>
      <c r="GH49" s="609">
        <f>GH42-200000</f>
        <v>280000</v>
      </c>
      <c r="GI49" s="609">
        <f>GI42-700000</f>
        <v>6445000</v>
      </c>
      <c r="GJ49" s="608">
        <f t="shared" ref="GJ49:GS49" si="333">GJ42</f>
        <v>991270</v>
      </c>
      <c r="GK49" s="608">
        <f t="shared" si="333"/>
        <v>742000</v>
      </c>
      <c r="GL49" s="608">
        <f t="shared" si="333"/>
        <v>653000</v>
      </c>
      <c r="GM49" s="608">
        <f t="shared" si="333"/>
        <v>595000</v>
      </c>
      <c r="GN49" s="608">
        <f t="shared" si="333"/>
        <v>206397.66</v>
      </c>
      <c r="GO49" s="608">
        <f t="shared" si="333"/>
        <v>1504000</v>
      </c>
      <c r="GP49" s="609">
        <f>GP42-300000</f>
        <v>778336</v>
      </c>
      <c r="GQ49" s="608">
        <f t="shared" si="333"/>
        <v>1066404</v>
      </c>
      <c r="GR49" s="609">
        <f>GR42-350000</f>
        <v>943990</v>
      </c>
      <c r="GS49" s="608">
        <f t="shared" si="333"/>
        <v>849738.18</v>
      </c>
      <c r="GT49" s="609">
        <f>GT42-400000</f>
        <v>5404362</v>
      </c>
      <c r="GU49" s="608">
        <f>GU42</f>
        <v>480000</v>
      </c>
      <c r="GV49" s="609">
        <f>GV42-150000</f>
        <v>2486744.54</v>
      </c>
      <c r="GW49" s="608">
        <f>GW42</f>
        <v>1188833</v>
      </c>
      <c r="GX49" s="608">
        <f>GX42</f>
        <v>503673.85</v>
      </c>
      <c r="GY49" s="610">
        <f>GY42+2000000</f>
        <v>14590000</v>
      </c>
      <c r="GZ49" s="610">
        <f>GZ46*0.3</f>
        <v>1204801.2908090495</v>
      </c>
      <c r="HA49" s="609">
        <f>HA42/59*51</f>
        <v>6050847.4576271186</v>
      </c>
      <c r="HB49" s="609">
        <f>HB42-1500000</f>
        <v>7550000</v>
      </c>
      <c r="HC49" s="608">
        <f t="shared" ref="HC49:JH49" si="334">HC42</f>
        <v>6686000</v>
      </c>
      <c r="HD49" s="608">
        <f t="shared" si="334"/>
        <v>1897307</v>
      </c>
      <c r="HE49" s="608">
        <f t="shared" si="334"/>
        <v>2971345</v>
      </c>
      <c r="HF49" s="610">
        <f>HF42+100000</f>
        <v>1330257</v>
      </c>
      <c r="HG49" s="609">
        <f>HG42-100000</f>
        <v>305927.64</v>
      </c>
      <c r="HH49" s="608">
        <f t="shared" si="334"/>
        <v>1476086.36</v>
      </c>
      <c r="HI49" s="608">
        <f t="shared" si="334"/>
        <v>2590000</v>
      </c>
      <c r="HJ49" s="608">
        <f t="shared" si="334"/>
        <v>391200</v>
      </c>
      <c r="HK49" s="608">
        <f t="shared" si="334"/>
        <v>992500</v>
      </c>
      <c r="HL49" s="608">
        <f t="shared" si="334"/>
        <v>0</v>
      </c>
      <c r="HM49" s="608">
        <f t="shared" si="334"/>
        <v>0</v>
      </c>
      <c r="HN49" s="608">
        <f t="shared" si="334"/>
        <v>0</v>
      </c>
      <c r="HO49" s="608">
        <f t="shared" si="334"/>
        <v>0</v>
      </c>
      <c r="HP49" s="608">
        <f t="shared" si="334"/>
        <v>0</v>
      </c>
      <c r="HQ49" s="608">
        <f t="shared" si="334"/>
        <v>0</v>
      </c>
      <c r="HR49" s="608">
        <f t="shared" si="334"/>
        <v>0</v>
      </c>
      <c r="HS49" s="608">
        <f t="shared" si="334"/>
        <v>0</v>
      </c>
      <c r="HT49" s="608">
        <f t="shared" si="334"/>
        <v>0</v>
      </c>
      <c r="HU49" s="608">
        <f t="shared" si="334"/>
        <v>48866</v>
      </c>
      <c r="HV49" s="608">
        <f t="shared" si="334"/>
        <v>0</v>
      </c>
      <c r="HW49" s="608">
        <f t="shared" si="334"/>
        <v>0</v>
      </c>
      <c r="HX49" s="608">
        <f t="shared" si="334"/>
        <v>0</v>
      </c>
      <c r="HY49" s="608">
        <f t="shared" si="334"/>
        <v>10000</v>
      </c>
      <c r="HZ49" s="608">
        <f t="shared" si="334"/>
        <v>0</v>
      </c>
      <c r="IA49" s="608">
        <f t="shared" si="334"/>
        <v>0</v>
      </c>
      <c r="IB49" s="608">
        <f t="shared" si="334"/>
        <v>0</v>
      </c>
      <c r="IC49" s="608">
        <f t="shared" si="334"/>
        <v>0</v>
      </c>
      <c r="ID49" s="608">
        <f t="shared" si="334"/>
        <v>0</v>
      </c>
      <c r="IE49" s="608">
        <f t="shared" si="334"/>
        <v>0</v>
      </c>
      <c r="IF49" s="608">
        <f t="shared" si="334"/>
        <v>0</v>
      </c>
      <c r="IG49" s="608">
        <f t="shared" si="334"/>
        <v>0</v>
      </c>
      <c r="IH49" s="608">
        <f t="shared" si="334"/>
        <v>0</v>
      </c>
      <c r="II49" s="608">
        <f t="shared" si="334"/>
        <v>0</v>
      </c>
      <c r="IJ49" s="608">
        <f t="shared" si="334"/>
        <v>0</v>
      </c>
      <c r="IK49" s="608">
        <f t="shared" si="334"/>
        <v>0</v>
      </c>
      <c r="IL49" s="608">
        <f t="shared" si="334"/>
        <v>0</v>
      </c>
      <c r="IM49" s="608">
        <f t="shared" si="334"/>
        <v>0</v>
      </c>
      <c r="IN49" s="608">
        <f t="shared" si="334"/>
        <v>0</v>
      </c>
      <c r="IO49" s="608">
        <f t="shared" si="334"/>
        <v>0</v>
      </c>
      <c r="IP49" s="608">
        <f t="shared" si="334"/>
        <v>0</v>
      </c>
      <c r="IQ49" s="608">
        <f t="shared" si="334"/>
        <v>0</v>
      </c>
      <c r="IR49" s="608">
        <f t="shared" si="334"/>
        <v>0</v>
      </c>
      <c r="IS49" s="608">
        <f t="shared" si="334"/>
        <v>0</v>
      </c>
      <c r="IT49" s="608">
        <f t="shared" si="334"/>
        <v>0</v>
      </c>
      <c r="IU49" s="608">
        <f t="shared" si="334"/>
        <v>0</v>
      </c>
      <c r="IV49" s="608">
        <f t="shared" si="334"/>
        <v>0</v>
      </c>
      <c r="IW49" s="608">
        <f t="shared" si="334"/>
        <v>0</v>
      </c>
      <c r="IX49" s="608">
        <f t="shared" si="334"/>
        <v>0</v>
      </c>
      <c r="IY49" s="608">
        <f t="shared" si="334"/>
        <v>0</v>
      </c>
      <c r="IZ49" s="608">
        <f t="shared" si="334"/>
        <v>0</v>
      </c>
      <c r="JA49" s="608">
        <f t="shared" si="334"/>
        <v>78000</v>
      </c>
      <c r="JB49" s="608">
        <f t="shared" si="334"/>
        <v>160000</v>
      </c>
      <c r="JC49" s="608">
        <f t="shared" si="334"/>
        <v>80000</v>
      </c>
      <c r="JD49" s="608">
        <f t="shared" si="334"/>
        <v>101900</v>
      </c>
      <c r="JE49" s="608">
        <f t="shared" si="334"/>
        <v>0</v>
      </c>
      <c r="JF49" s="608">
        <f t="shared" si="334"/>
        <v>0</v>
      </c>
      <c r="JG49" s="608">
        <f t="shared" si="334"/>
        <v>21000</v>
      </c>
      <c r="JH49" s="608">
        <f t="shared" si="334"/>
        <v>0</v>
      </c>
      <c r="JI49" s="608">
        <f t="shared" si="327"/>
        <v>191758752.87393647</v>
      </c>
      <c r="JL49" s="307">
        <f t="shared" si="323"/>
        <v>530000</v>
      </c>
      <c r="JM49" s="307">
        <f t="shared" si="323"/>
        <v>61138364.053061172</v>
      </c>
      <c r="JN49" s="307">
        <f t="shared" si="323"/>
        <v>129590622.82087532</v>
      </c>
      <c r="JO49" s="307">
        <f t="shared" si="323"/>
        <v>499766</v>
      </c>
      <c r="JP49" s="307">
        <f t="shared" si="324"/>
        <v>191758752.87393647</v>
      </c>
      <c r="JQ49" s="591"/>
    </row>
    <row r="50" spans="1:277" hidden="1" x14ac:dyDescent="0.25"/>
    <row r="51" spans="1:277" x14ac:dyDescent="0.25">
      <c r="A51" s="557"/>
      <c r="B51" s="557" t="s">
        <v>2542</v>
      </c>
      <c r="C51" s="558">
        <f t="shared" ref="C51:BO51" si="335">IF(C46-C47-C48-C49&lt;0,0,C46-C47-C48-C49)</f>
        <v>9246049.1510793846</v>
      </c>
      <c r="D51" s="558">
        <f t="shared" si="335"/>
        <v>8080000</v>
      </c>
      <c r="E51" s="558">
        <f t="shared" si="335"/>
        <v>8707194.8468445688</v>
      </c>
      <c r="F51" s="558">
        <f t="shared" si="335"/>
        <v>3616884.7088353573</v>
      </c>
      <c r="G51" s="558">
        <f t="shared" si="335"/>
        <v>10328003.127290595</v>
      </c>
      <c r="H51" s="558">
        <f t="shared" si="335"/>
        <v>0</v>
      </c>
      <c r="I51" s="558">
        <f t="shared" si="335"/>
        <v>0</v>
      </c>
      <c r="J51" s="558">
        <f t="shared" si="335"/>
        <v>126485.23608403429</v>
      </c>
      <c r="K51" s="558">
        <f t="shared" si="335"/>
        <v>5569047.6841046801</v>
      </c>
      <c r="L51" s="558">
        <f t="shared" si="335"/>
        <v>3749955.8292569402</v>
      </c>
      <c r="M51" s="558">
        <f t="shared" si="335"/>
        <v>3667775.238895766</v>
      </c>
      <c r="N51" s="558">
        <f t="shared" si="335"/>
        <v>4468302.8370803231</v>
      </c>
      <c r="O51" s="558">
        <f t="shared" si="335"/>
        <v>4201135.2104233941</v>
      </c>
      <c r="P51" s="558">
        <f t="shared" si="335"/>
        <v>2570026.0021816893</v>
      </c>
      <c r="Q51" s="558">
        <f t="shared" si="335"/>
        <v>1836488.4791010155</v>
      </c>
      <c r="R51" s="558">
        <f t="shared" si="335"/>
        <v>1995152.5855679074</v>
      </c>
      <c r="S51" s="558">
        <f t="shared" si="335"/>
        <v>1592295.0747897534</v>
      </c>
      <c r="T51" s="558">
        <f t="shared" si="335"/>
        <v>622773.51077815378</v>
      </c>
      <c r="U51" s="558">
        <f t="shared" si="335"/>
        <v>949160.26616723067</v>
      </c>
      <c r="V51" s="558">
        <f t="shared" si="335"/>
        <v>9030900</v>
      </c>
      <c r="W51" s="558">
        <f t="shared" si="335"/>
        <v>2379600</v>
      </c>
      <c r="X51" s="558">
        <f t="shared" si="335"/>
        <v>2069081.086187847</v>
      </c>
      <c r="Y51" s="558">
        <f t="shared" si="335"/>
        <v>1969745.4492107111</v>
      </c>
      <c r="Z51" s="558">
        <f t="shared" si="335"/>
        <v>7441924</v>
      </c>
      <c r="AA51" s="558">
        <f t="shared" si="335"/>
        <v>4018818.3267021552</v>
      </c>
      <c r="AB51" s="558">
        <f t="shared" si="335"/>
        <v>2999148.135966239</v>
      </c>
      <c r="AC51" s="558">
        <f t="shared" si="335"/>
        <v>471661.84132364974</v>
      </c>
      <c r="AD51" s="558">
        <f t="shared" si="335"/>
        <v>2341104.6985613657</v>
      </c>
      <c r="AE51" s="558">
        <f t="shared" si="335"/>
        <v>103737.52589894389</v>
      </c>
      <c r="AF51" s="558">
        <f t="shared" si="335"/>
        <v>1219244.9295379582</v>
      </c>
      <c r="AG51" s="558">
        <f t="shared" si="335"/>
        <v>3243107.0288166855</v>
      </c>
      <c r="AH51" s="558">
        <f t="shared" si="335"/>
        <v>807300</v>
      </c>
      <c r="AI51" s="558">
        <f t="shared" si="335"/>
        <v>4368180</v>
      </c>
      <c r="AJ51" s="558">
        <f t="shared" si="335"/>
        <v>2788040</v>
      </c>
      <c r="AK51" s="558">
        <f t="shared" si="335"/>
        <v>1383868</v>
      </c>
      <c r="AL51" s="558">
        <f t="shared" si="335"/>
        <v>1952909.1633510776</v>
      </c>
      <c r="AM51" s="558">
        <f t="shared" si="335"/>
        <v>1499708.3726341231</v>
      </c>
      <c r="AN51" s="558">
        <f t="shared" si="335"/>
        <v>900316.50444272615</v>
      </c>
      <c r="AO51" s="558">
        <f t="shared" si="335"/>
        <v>3733033.6631408297</v>
      </c>
      <c r="AP51" s="558">
        <f t="shared" si="335"/>
        <v>2181740</v>
      </c>
      <c r="AQ51" s="558">
        <f t="shared" si="335"/>
        <v>247109.40431126149</v>
      </c>
      <c r="AR51" s="558">
        <f t="shared" si="335"/>
        <v>1531740.3992508459</v>
      </c>
      <c r="AS51" s="558">
        <f t="shared" si="335"/>
        <v>408664.10646689229</v>
      </c>
      <c r="AT51" s="558">
        <f t="shared" si="335"/>
        <v>1940142.1939772759</v>
      </c>
      <c r="AU51" s="558">
        <f t="shared" si="335"/>
        <v>891886.2833224081</v>
      </c>
      <c r="AV51" s="558">
        <f t="shared" si="335"/>
        <v>2003660.6772952261</v>
      </c>
      <c r="AW51" s="558">
        <f t="shared" si="335"/>
        <v>16112.012350120116</v>
      </c>
      <c r="AX51" s="558">
        <f t="shared" si="335"/>
        <v>2631815.8082949743</v>
      </c>
      <c r="AY51" s="558">
        <f t="shared" si="335"/>
        <v>2954681.8379533906</v>
      </c>
      <c r="AZ51" s="558">
        <f t="shared" si="335"/>
        <v>3434507</v>
      </c>
      <c r="BA51" s="558">
        <f t="shared" si="335"/>
        <v>9913000</v>
      </c>
      <c r="BB51" s="558">
        <f t="shared" si="335"/>
        <v>1271269.6704784923</v>
      </c>
      <c r="BC51" s="558">
        <f t="shared" si="335"/>
        <v>1223742.4938025323</v>
      </c>
      <c r="BD51" s="558">
        <f t="shared" si="335"/>
        <v>1716343.9493165785</v>
      </c>
      <c r="BE51" s="558">
        <f t="shared" si="335"/>
        <v>0</v>
      </c>
      <c r="BF51" s="558">
        <f t="shared" si="335"/>
        <v>2669371.3941904306</v>
      </c>
      <c r="BG51" s="558">
        <f t="shared" si="335"/>
        <v>3342000</v>
      </c>
      <c r="BH51" s="558">
        <f t="shared" si="335"/>
        <v>3388109.2415605099</v>
      </c>
      <c r="BI51" s="558">
        <f t="shared" si="335"/>
        <v>2370000</v>
      </c>
      <c r="BJ51" s="558">
        <f t="shared" si="335"/>
        <v>2617236.6701121721</v>
      </c>
      <c r="BK51" s="558">
        <f t="shared" si="335"/>
        <v>122000</v>
      </c>
      <c r="BL51" s="558">
        <f t="shared" si="335"/>
        <v>455138.49500087276</v>
      </c>
      <c r="BM51" s="558">
        <f t="shared" si="335"/>
        <v>2033799.04</v>
      </c>
      <c r="BN51" s="558">
        <f t="shared" si="335"/>
        <v>1620066.5982387629</v>
      </c>
      <c r="BO51" s="558">
        <f t="shared" si="335"/>
        <v>893754.3738330903</v>
      </c>
      <c r="BP51" s="558">
        <f t="shared" ref="BP51:EA51" si="336">IF(BP46-BP47-BP48-BP49&lt;0,0,BP46-BP47-BP48-BP49)</f>
        <v>4652080</v>
      </c>
      <c r="BQ51" s="558">
        <f t="shared" si="336"/>
        <v>0</v>
      </c>
      <c r="BR51" s="558">
        <f t="shared" si="336"/>
        <v>922744.23955050774</v>
      </c>
      <c r="BS51" s="558">
        <f t="shared" si="336"/>
        <v>1106992.3194006768</v>
      </c>
      <c r="BT51" s="558">
        <f t="shared" si="336"/>
        <v>914160.26616723067</v>
      </c>
      <c r="BU51" s="558">
        <f t="shared" si="336"/>
        <v>3296637.2294955002</v>
      </c>
      <c r="BV51" s="558">
        <f t="shared" si="336"/>
        <v>1073756.9828447448</v>
      </c>
      <c r="BW51" s="558">
        <f t="shared" si="336"/>
        <v>279282.84005258582</v>
      </c>
      <c r="BX51" s="558">
        <f t="shared" si="336"/>
        <v>3752473.123708467</v>
      </c>
      <c r="BY51" s="558">
        <f t="shared" si="336"/>
        <v>1335527.6887355854</v>
      </c>
      <c r="BZ51" s="558">
        <f t="shared" si="336"/>
        <v>99019.987553595856</v>
      </c>
      <c r="CA51" s="558">
        <f t="shared" si="336"/>
        <v>0</v>
      </c>
      <c r="CB51" s="558">
        <f t="shared" si="336"/>
        <v>199370.83989924585</v>
      </c>
      <c r="CC51" s="558">
        <f t="shared" si="336"/>
        <v>2010013.9100289997</v>
      </c>
      <c r="CD51" s="558">
        <f t="shared" si="336"/>
        <v>586773.51077815378</v>
      </c>
      <c r="CE51" s="558">
        <f t="shared" si="336"/>
        <v>9715050.1253167707</v>
      </c>
      <c r="CF51" s="558">
        <f t="shared" si="336"/>
        <v>4453617.8393289512</v>
      </c>
      <c r="CG51" s="558">
        <f t="shared" si="336"/>
        <v>231159.49607044645</v>
      </c>
      <c r="CH51" s="558">
        <f t="shared" si="336"/>
        <v>0</v>
      </c>
      <c r="CI51" s="558">
        <f t="shared" si="336"/>
        <v>21633.155796868727</v>
      </c>
      <c r="CJ51" s="558">
        <f t="shared" si="336"/>
        <v>3854195.0818283353</v>
      </c>
      <c r="CK51" s="558">
        <f t="shared" si="336"/>
        <v>4571780</v>
      </c>
      <c r="CL51" s="558">
        <f t="shared" si="336"/>
        <v>56438.59728209069</v>
      </c>
      <c r="CM51" s="558">
        <f t="shared" si="336"/>
        <v>6012336.4399863137</v>
      </c>
      <c r="CN51" s="558">
        <f t="shared" si="336"/>
        <v>1149857.8541530101</v>
      </c>
      <c r="CO51" s="558">
        <f t="shared" si="336"/>
        <v>1064857.8541530101</v>
      </c>
      <c r="CP51" s="558">
        <f t="shared" si="336"/>
        <v>1099857.8541530101</v>
      </c>
      <c r="CQ51" s="558">
        <f t="shared" si="336"/>
        <v>5515036.573718125</v>
      </c>
      <c r="CR51" s="558">
        <f t="shared" si="336"/>
        <v>2367817</v>
      </c>
      <c r="CS51" s="558">
        <f t="shared" si="336"/>
        <v>187555.67419309285</v>
      </c>
      <c r="CT51" s="558">
        <f t="shared" si="336"/>
        <v>0</v>
      </c>
      <c r="CU51" s="558">
        <f t="shared" si="336"/>
        <v>1974027.6887355854</v>
      </c>
      <c r="CV51" s="558">
        <f t="shared" si="336"/>
        <v>5237702.4005636657</v>
      </c>
      <c r="CW51" s="558">
        <f t="shared" si="336"/>
        <v>445664.10646689229</v>
      </c>
      <c r="CX51" s="558">
        <f t="shared" si="336"/>
        <v>3686532</v>
      </c>
      <c r="CY51" s="558">
        <f t="shared" si="336"/>
        <v>2881083.2839012085</v>
      </c>
      <c r="CZ51" s="558">
        <f t="shared" si="336"/>
        <v>446100</v>
      </c>
      <c r="DA51" s="558">
        <f t="shared" si="336"/>
        <v>8578781.7210858986</v>
      </c>
      <c r="DB51" s="558">
        <f t="shared" si="336"/>
        <v>654189.53739487671</v>
      </c>
      <c r="DC51" s="558">
        <f t="shared" si="336"/>
        <v>1707286.7812295151</v>
      </c>
      <c r="DD51" s="558">
        <f t="shared" si="336"/>
        <v>8653.8338337875903</v>
      </c>
      <c r="DE51" s="558">
        <f t="shared" si="336"/>
        <v>1595404.8713862468</v>
      </c>
      <c r="DF51" s="558">
        <f t="shared" si="336"/>
        <v>7381996.8713862468</v>
      </c>
      <c r="DG51" s="558">
        <f t="shared" si="336"/>
        <v>802938.16515118408</v>
      </c>
      <c r="DH51" s="558">
        <f t="shared" si="336"/>
        <v>908244.44020215096</v>
      </c>
      <c r="DI51" s="558">
        <f t="shared" si="336"/>
        <v>0</v>
      </c>
      <c r="DJ51" s="558">
        <f t="shared" si="336"/>
        <v>65990.976314039901</v>
      </c>
      <c r="DK51" s="558">
        <f t="shared" si="336"/>
        <v>0</v>
      </c>
      <c r="DL51" s="558">
        <f t="shared" si="336"/>
        <v>3021993.2555374205</v>
      </c>
      <c r="DM51" s="558">
        <f t="shared" si="336"/>
        <v>1912949.4414940039</v>
      </c>
      <c r="DN51" s="558">
        <f t="shared" si="336"/>
        <v>3390573.5624590302</v>
      </c>
      <c r="DO51" s="558">
        <f t="shared" si="336"/>
        <v>1402300.3922101089</v>
      </c>
      <c r="DP51" s="558">
        <f t="shared" si="336"/>
        <v>3858288.0259972829</v>
      </c>
      <c r="DQ51" s="558">
        <f t="shared" si="336"/>
        <v>4329795</v>
      </c>
      <c r="DR51" s="558">
        <f t="shared" si="336"/>
        <v>4985313.5</v>
      </c>
      <c r="DS51" s="558">
        <f t="shared" si="336"/>
        <v>1625552.2365860054</v>
      </c>
      <c r="DT51" s="558">
        <f t="shared" si="336"/>
        <v>3360500</v>
      </c>
      <c r="DU51" s="558">
        <f t="shared" si="336"/>
        <v>0</v>
      </c>
      <c r="DV51" s="558">
        <f t="shared" si="336"/>
        <v>6440000</v>
      </c>
      <c r="DW51" s="558">
        <f t="shared" si="336"/>
        <v>0</v>
      </c>
      <c r="DX51" s="558">
        <f t="shared" si="336"/>
        <v>0</v>
      </c>
      <c r="DY51" s="558">
        <f t="shared" si="336"/>
        <v>4581142.7504826486</v>
      </c>
      <c r="DZ51" s="558">
        <f t="shared" si="336"/>
        <v>723925.6888148766</v>
      </c>
      <c r="EA51" s="558">
        <f t="shared" si="336"/>
        <v>3387972.7647054419</v>
      </c>
      <c r="EB51" s="558">
        <f t="shared" ref="EB51:GM51" si="337">IF(EB46-EB47-EB48-EB49&lt;0,0,EB46-EB47-EB48-EB49)</f>
        <v>5751412.8583436497</v>
      </c>
      <c r="EC51" s="558">
        <f t="shared" si="337"/>
        <v>3191237.7834975314</v>
      </c>
      <c r="ED51" s="558">
        <f t="shared" si="337"/>
        <v>3500133.2612115145</v>
      </c>
      <c r="EE51" s="558">
        <f t="shared" si="337"/>
        <v>744189.53739487671</v>
      </c>
      <c r="EF51" s="558">
        <f t="shared" si="337"/>
        <v>813466.88847269223</v>
      </c>
      <c r="EG51" s="558">
        <f t="shared" si="337"/>
        <v>418924.26007887878</v>
      </c>
      <c r="EH51" s="558">
        <f t="shared" si="337"/>
        <v>719811.80860682938</v>
      </c>
      <c r="EI51" s="558">
        <f t="shared" si="337"/>
        <v>1178000</v>
      </c>
      <c r="EJ51" s="558">
        <f t="shared" si="337"/>
        <v>0</v>
      </c>
      <c r="EK51" s="558">
        <f t="shared" si="337"/>
        <v>3074481.0875684507</v>
      </c>
      <c r="EL51" s="558">
        <f t="shared" si="337"/>
        <v>8819171.525295848</v>
      </c>
      <c r="EM51" s="558">
        <f t="shared" si="337"/>
        <v>2817690.3194428757</v>
      </c>
      <c r="EN51" s="558">
        <f t="shared" si="337"/>
        <v>2365410.3824750152</v>
      </c>
      <c r="EO51" s="558">
        <f t="shared" si="337"/>
        <v>282109.40431126149</v>
      </c>
      <c r="EP51" s="558">
        <f t="shared" si="337"/>
        <v>2982329.1261055968</v>
      </c>
      <c r="EQ51" s="558">
        <f t="shared" si="337"/>
        <v>1752875.490262636</v>
      </c>
      <c r="ER51" s="558">
        <f t="shared" si="337"/>
        <v>6886000</v>
      </c>
      <c r="ES51" s="558">
        <f t="shared" si="337"/>
        <v>0</v>
      </c>
      <c r="ET51" s="558">
        <f t="shared" si="337"/>
        <v>1009463.051162631</v>
      </c>
      <c r="EU51" s="558">
        <f t="shared" si="337"/>
        <v>2855783.9144364195</v>
      </c>
      <c r="EV51" s="558">
        <f t="shared" si="337"/>
        <v>477773.51077815378</v>
      </c>
      <c r="EW51" s="558">
        <f t="shared" si="337"/>
        <v>2713993.2555374205</v>
      </c>
      <c r="EX51" s="558">
        <f t="shared" si="337"/>
        <v>6400000</v>
      </c>
      <c r="EY51" s="558">
        <f t="shared" si="337"/>
        <v>2210257.3620478925</v>
      </c>
      <c r="EZ51" s="558">
        <f t="shared" si="337"/>
        <v>0</v>
      </c>
      <c r="FA51" s="558">
        <f t="shared" si="337"/>
        <v>1647298.424768026</v>
      </c>
      <c r="FB51" s="558">
        <f t="shared" si="337"/>
        <v>265664.49062636285</v>
      </c>
      <c r="FC51" s="558">
        <f t="shared" si="337"/>
        <v>3419615.4215486925</v>
      </c>
      <c r="FD51" s="558">
        <f t="shared" si="337"/>
        <v>0</v>
      </c>
      <c r="FE51" s="558">
        <f t="shared" si="337"/>
        <v>381240.58884631132</v>
      </c>
      <c r="FF51" s="558">
        <f t="shared" si="337"/>
        <v>1561200</v>
      </c>
      <c r="FG51" s="558">
        <f t="shared" si="337"/>
        <v>7803422.0195525251</v>
      </c>
      <c r="FH51" s="558">
        <f t="shared" si="337"/>
        <v>6553103</v>
      </c>
      <c r="FI51" s="558">
        <f t="shared" si="337"/>
        <v>8710000</v>
      </c>
      <c r="FJ51" s="558">
        <f t="shared" si="337"/>
        <v>2048857</v>
      </c>
      <c r="FK51" s="558">
        <f t="shared" si="337"/>
        <v>329983.22672073392</v>
      </c>
      <c r="FL51" s="558">
        <f t="shared" si="337"/>
        <v>703612.78406076948</v>
      </c>
      <c r="FM51" s="558">
        <f t="shared" si="337"/>
        <v>3934590.6565853953</v>
      </c>
      <c r="FN51" s="558">
        <f t="shared" si="337"/>
        <v>7374936.4799554544</v>
      </c>
      <c r="FO51" s="558">
        <f t="shared" si="337"/>
        <v>1788495</v>
      </c>
      <c r="FP51" s="558">
        <f t="shared" si="337"/>
        <v>13683456</v>
      </c>
      <c r="FQ51" s="558">
        <f t="shared" si="337"/>
        <v>2074686</v>
      </c>
      <c r="FR51" s="558">
        <f t="shared" si="337"/>
        <v>236957.19834991742</v>
      </c>
      <c r="FS51" s="558">
        <f t="shared" si="337"/>
        <v>494433</v>
      </c>
      <c r="FT51" s="558">
        <f t="shared" si="337"/>
        <v>3631470.1663162932</v>
      </c>
      <c r="FU51" s="558">
        <f t="shared" si="337"/>
        <v>513699</v>
      </c>
      <c r="FV51" s="558">
        <f t="shared" si="337"/>
        <v>646327.31987489713</v>
      </c>
      <c r="FW51" s="558">
        <f t="shared" si="337"/>
        <v>1483179</v>
      </c>
      <c r="FX51" s="558">
        <f t="shared" si="337"/>
        <v>585795.82000000007</v>
      </c>
      <c r="FY51" s="558">
        <f t="shared" si="337"/>
        <v>336810</v>
      </c>
      <c r="FZ51" s="558">
        <f t="shared" si="337"/>
        <v>2937555.0490599889</v>
      </c>
      <c r="GA51" s="558">
        <f t="shared" si="337"/>
        <v>281420.48958755797</v>
      </c>
      <c r="GB51" s="558">
        <f t="shared" si="337"/>
        <v>2917014.4862977713</v>
      </c>
      <c r="GC51" s="558">
        <f t="shared" si="337"/>
        <v>2565300.1421770533</v>
      </c>
      <c r="GD51" s="558">
        <f t="shared" si="337"/>
        <v>9906649.8884656765</v>
      </c>
      <c r="GE51" s="558">
        <f t="shared" si="337"/>
        <v>263290.93400108395</v>
      </c>
      <c r="GF51" s="558">
        <f t="shared" si="337"/>
        <v>4128600.1778761428</v>
      </c>
      <c r="GG51" s="558">
        <f t="shared" si="337"/>
        <v>1235672.3627191633</v>
      </c>
      <c r="GH51" s="558">
        <f t="shared" si="337"/>
        <v>1220741.4312772285</v>
      </c>
      <c r="GI51" s="558">
        <f t="shared" si="337"/>
        <v>8873249.0869674683</v>
      </c>
      <c r="GJ51" s="558">
        <f t="shared" si="337"/>
        <v>2244910</v>
      </c>
      <c r="GK51" s="558">
        <f t="shared" si="337"/>
        <v>1545953</v>
      </c>
      <c r="GL51" s="558">
        <f t="shared" si="337"/>
        <v>595846</v>
      </c>
      <c r="GM51" s="558">
        <f t="shared" si="337"/>
        <v>857634</v>
      </c>
      <c r="GN51" s="558">
        <f t="shared" ref="GN51:IY51" si="338">IF(GN46-GN47-GN48-GN49&lt;0,0,GN46-GN47-GN48-GN49)</f>
        <v>950602.34</v>
      </c>
      <c r="GO51" s="558">
        <f t="shared" si="338"/>
        <v>5215641</v>
      </c>
      <c r="GP51" s="558">
        <f t="shared" si="338"/>
        <v>546320.06174100889</v>
      </c>
      <c r="GQ51" s="558">
        <f t="shared" si="338"/>
        <v>699796</v>
      </c>
      <c r="GR51" s="558">
        <f t="shared" si="338"/>
        <v>727124.60565148341</v>
      </c>
      <c r="GS51" s="558">
        <f t="shared" si="338"/>
        <v>113648.04672073387</v>
      </c>
      <c r="GT51" s="558">
        <f t="shared" si="338"/>
        <v>9374987.532092277</v>
      </c>
      <c r="GU51" s="558">
        <f t="shared" si="338"/>
        <v>1124440</v>
      </c>
      <c r="GV51" s="558">
        <f t="shared" si="338"/>
        <v>5826176.6456662463</v>
      </c>
      <c r="GW51" s="558">
        <f t="shared" si="338"/>
        <v>1048163.6277687103</v>
      </c>
      <c r="GX51" s="558">
        <f t="shared" si="338"/>
        <v>342955.48977144714</v>
      </c>
      <c r="GY51" s="558">
        <f t="shared" si="338"/>
        <v>13503975</v>
      </c>
      <c r="GZ51" s="558">
        <f t="shared" si="338"/>
        <v>0</v>
      </c>
      <c r="HA51" s="558">
        <f t="shared" si="338"/>
        <v>5787297.7336099232</v>
      </c>
      <c r="HB51" s="558">
        <f t="shared" si="338"/>
        <v>2721504.0990156494</v>
      </c>
      <c r="HC51" s="558">
        <f t="shared" si="338"/>
        <v>6593000</v>
      </c>
      <c r="HD51" s="558">
        <f t="shared" si="338"/>
        <v>2094993.1421770533</v>
      </c>
      <c r="HE51" s="558">
        <f t="shared" si="338"/>
        <v>6790355</v>
      </c>
      <c r="HF51" s="558">
        <f t="shared" si="338"/>
        <v>1122650</v>
      </c>
      <c r="HG51" s="558">
        <f t="shared" si="338"/>
        <v>663237.36</v>
      </c>
      <c r="HH51" s="558">
        <f t="shared" si="338"/>
        <v>2034520.6688166854</v>
      </c>
      <c r="HI51" s="558">
        <f t="shared" si="338"/>
        <v>2365686.3688977864</v>
      </c>
      <c r="HJ51" s="558">
        <f t="shared" si="338"/>
        <v>0</v>
      </c>
      <c r="HK51" s="558">
        <f t="shared" si="338"/>
        <v>209300</v>
      </c>
      <c r="HL51" s="558">
        <f t="shared" si="338"/>
        <v>30761693.812790565</v>
      </c>
      <c r="HM51" s="558">
        <f t="shared" si="338"/>
        <v>17375619.107148226</v>
      </c>
      <c r="HN51" s="558">
        <f t="shared" si="338"/>
        <v>0</v>
      </c>
      <c r="HO51" s="558">
        <f t="shared" si="338"/>
        <v>0</v>
      </c>
      <c r="HP51" s="558">
        <f t="shared" si="338"/>
        <v>24549000</v>
      </c>
      <c r="HQ51" s="558">
        <f t="shared" si="338"/>
        <v>741876.88410925679</v>
      </c>
      <c r="HR51" s="558">
        <f t="shared" si="338"/>
        <v>26307120.308611114</v>
      </c>
      <c r="HS51" s="558">
        <f t="shared" si="338"/>
        <v>5169783.9315081565</v>
      </c>
      <c r="HT51" s="558">
        <f t="shared" si="338"/>
        <v>11933469.590470783</v>
      </c>
      <c r="HU51" s="558">
        <f t="shared" si="338"/>
        <v>21402219.005208258</v>
      </c>
      <c r="HV51" s="558">
        <f t="shared" si="338"/>
        <v>16235000</v>
      </c>
      <c r="HW51" s="558">
        <f t="shared" si="338"/>
        <v>3919370.5898645641</v>
      </c>
      <c r="HX51" s="558">
        <f t="shared" si="338"/>
        <v>18161270.751516331</v>
      </c>
      <c r="HY51" s="558">
        <f t="shared" si="338"/>
        <v>13682282.173444685</v>
      </c>
      <c r="HZ51" s="558">
        <f t="shared" si="338"/>
        <v>8152004.9776938297</v>
      </c>
      <c r="IA51" s="558">
        <f t="shared" si="338"/>
        <v>7301880</v>
      </c>
      <c r="IB51" s="558">
        <f t="shared" si="338"/>
        <v>7053113.9004964307</v>
      </c>
      <c r="IC51" s="558">
        <f t="shared" si="338"/>
        <v>10674008.544329325</v>
      </c>
      <c r="ID51" s="558">
        <f t="shared" si="338"/>
        <v>9245491.4556706771</v>
      </c>
      <c r="IE51" s="558">
        <f t="shared" si="338"/>
        <v>16339059.517665572</v>
      </c>
      <c r="IF51" s="558">
        <f t="shared" si="338"/>
        <v>9536477.0290661398</v>
      </c>
      <c r="IG51" s="558">
        <f t="shared" si="338"/>
        <v>2933375.6317034722</v>
      </c>
      <c r="IH51" s="558">
        <f t="shared" si="338"/>
        <v>2754925.3965619346</v>
      </c>
      <c r="II51" s="558">
        <f t="shared" si="338"/>
        <v>13600590.884602016</v>
      </c>
      <c r="IJ51" s="558">
        <f t="shared" si="338"/>
        <v>1498802.9614382302</v>
      </c>
      <c r="IK51" s="558">
        <f t="shared" si="338"/>
        <v>0</v>
      </c>
      <c r="IL51" s="558">
        <f t="shared" si="338"/>
        <v>7452880.700098794</v>
      </c>
      <c r="IM51" s="558">
        <f t="shared" si="338"/>
        <v>405690.41450255323</v>
      </c>
      <c r="IN51" s="558">
        <f t="shared" si="338"/>
        <v>7727035.4094753135</v>
      </c>
      <c r="IO51" s="558">
        <f t="shared" si="338"/>
        <v>2937234.2027475811</v>
      </c>
      <c r="IP51" s="558">
        <f t="shared" si="338"/>
        <v>15898527.177580558</v>
      </c>
      <c r="IQ51" s="558">
        <f t="shared" si="338"/>
        <v>15277805.971261885</v>
      </c>
      <c r="IR51" s="558">
        <f t="shared" si="338"/>
        <v>724453.92066790513</v>
      </c>
      <c r="IS51" s="558">
        <f t="shared" si="338"/>
        <v>39300970.247079559</v>
      </c>
      <c r="IT51" s="558">
        <f t="shared" si="338"/>
        <v>10200629.752920441</v>
      </c>
      <c r="IU51" s="558">
        <f t="shared" si="338"/>
        <v>2493818.6416824842</v>
      </c>
      <c r="IV51" s="558">
        <f t="shared" si="338"/>
        <v>6028974.6999564655</v>
      </c>
      <c r="IW51" s="558">
        <f t="shared" si="338"/>
        <v>9603217.8554380648</v>
      </c>
      <c r="IX51" s="558">
        <f t="shared" si="338"/>
        <v>1461297.0388339385</v>
      </c>
      <c r="IY51" s="558">
        <f t="shared" si="338"/>
        <v>9038417.5244776495</v>
      </c>
      <c r="IZ51" s="558">
        <f t="shared" ref="IZ51:JH51" si="339">IF(IZ46-IZ47-IZ48-IZ49&lt;0,0,IZ46-IZ47-IZ48-IZ49)</f>
        <v>20084142.981107548</v>
      </c>
      <c r="JA51" s="558">
        <f t="shared" si="339"/>
        <v>2265868.3397293384</v>
      </c>
      <c r="JB51" s="558">
        <f t="shared" si="339"/>
        <v>2813788.9601571974</v>
      </c>
      <c r="JC51" s="558">
        <f t="shared" si="339"/>
        <v>1445737.3693524669</v>
      </c>
      <c r="JD51" s="558">
        <f t="shared" si="339"/>
        <v>5734651.4754739245</v>
      </c>
      <c r="JE51" s="558">
        <f t="shared" si="339"/>
        <v>144589.10100252891</v>
      </c>
      <c r="JF51" s="558">
        <f t="shared" si="339"/>
        <v>32317210.898997471</v>
      </c>
      <c r="JG51" s="558">
        <f t="shared" si="339"/>
        <v>23398546.759965554</v>
      </c>
      <c r="JH51" s="558">
        <f t="shared" si="339"/>
        <v>1432360.5197921393</v>
      </c>
      <c r="JI51" s="558">
        <f t="shared" si="327"/>
        <v>1055970825.5549388</v>
      </c>
    </row>
    <row r="52" spans="1:277" s="554" customFormat="1" x14ac:dyDescent="0.25">
      <c r="B52" s="832" t="s">
        <v>2804</v>
      </c>
      <c r="C52" s="575">
        <f>C46*0.85</f>
        <v>7901641.7784174765</v>
      </c>
      <c r="D52" s="575">
        <f t="shared" ref="D52:BP52" si="340">D46*0.85</f>
        <v>7123000</v>
      </c>
      <c r="E52" s="575">
        <f t="shared" si="340"/>
        <v>7554115.6198178837</v>
      </c>
      <c r="F52" s="575">
        <f t="shared" si="340"/>
        <v>3382052.0025100536</v>
      </c>
      <c r="G52" s="575">
        <f t="shared" si="340"/>
        <v>9991327.6581970062</v>
      </c>
      <c r="H52" s="575">
        <f t="shared" si="340"/>
        <v>1075872.3018432905</v>
      </c>
      <c r="I52" s="575">
        <f t="shared" si="340"/>
        <v>2979888.3334464813</v>
      </c>
      <c r="J52" s="575">
        <f t="shared" si="340"/>
        <v>2536075.1774012609</v>
      </c>
      <c r="K52" s="575">
        <f t="shared" si="340"/>
        <v>5035840.990945721</v>
      </c>
      <c r="L52" s="575">
        <f t="shared" si="340"/>
        <v>3426949.9548683991</v>
      </c>
      <c r="M52" s="575">
        <f t="shared" si="340"/>
        <v>3386633.9530614009</v>
      </c>
      <c r="N52" s="575">
        <f t="shared" si="340"/>
        <v>4264707.4115182748</v>
      </c>
      <c r="O52" s="575">
        <f t="shared" si="340"/>
        <v>3832339.9288598849</v>
      </c>
      <c r="P52" s="575">
        <f t="shared" si="340"/>
        <v>2548322.1018544356</v>
      </c>
      <c r="Q52" s="575">
        <f t="shared" si="340"/>
        <v>1704665.2072358632</v>
      </c>
      <c r="R52" s="575">
        <f t="shared" si="340"/>
        <v>2083479.6977327212</v>
      </c>
      <c r="S52" s="575">
        <f t="shared" si="340"/>
        <v>1452122.2135712903</v>
      </c>
      <c r="T52" s="575">
        <f t="shared" si="340"/>
        <v>631357.48416143074</v>
      </c>
      <c r="U52" s="575">
        <f t="shared" si="340"/>
        <v>947036.22624214599</v>
      </c>
      <c r="V52" s="575">
        <f t="shared" si="340"/>
        <v>11345715</v>
      </c>
      <c r="W52" s="575">
        <f t="shared" si="340"/>
        <v>2816560</v>
      </c>
      <c r="X52" s="575">
        <f t="shared" si="340"/>
        <v>1862418.9232596699</v>
      </c>
      <c r="Y52" s="575">
        <f t="shared" si="340"/>
        <v>1759283.6318291044</v>
      </c>
      <c r="Z52" s="575">
        <f t="shared" si="340"/>
        <v>6325635.3999999994</v>
      </c>
      <c r="AA52" s="575">
        <f t="shared" si="340"/>
        <v>3666745.5776968319</v>
      </c>
      <c r="AB52" s="575">
        <f t="shared" si="340"/>
        <v>2680460.3085713033</v>
      </c>
      <c r="AC52" s="575"/>
      <c r="AD52" s="575">
        <f t="shared" si="340"/>
        <v>2123218.993777161</v>
      </c>
      <c r="AE52" s="575">
        <f t="shared" si="340"/>
        <v>1038911.2470141023</v>
      </c>
      <c r="AF52" s="575">
        <f t="shared" si="340"/>
        <v>3005249.0852204938</v>
      </c>
      <c r="AG52" s="575">
        <f t="shared" si="340"/>
        <v>2984015.9744941825</v>
      </c>
      <c r="AH52" s="575">
        <f t="shared" si="340"/>
        <v>772650</v>
      </c>
      <c r="AI52" s="575">
        <f t="shared" si="340"/>
        <v>3949950</v>
      </c>
      <c r="AJ52" s="575">
        <f t="shared" si="340"/>
        <v>2521100</v>
      </c>
      <c r="AK52" s="575">
        <f t="shared" si="340"/>
        <v>1251370</v>
      </c>
      <c r="AL52" s="575">
        <f t="shared" si="340"/>
        <v>1833372.7888484159</v>
      </c>
      <c r="AM52" s="575">
        <f t="shared" si="340"/>
        <v>1325850.7167390045</v>
      </c>
      <c r="AN52" s="575">
        <f t="shared" si="340"/>
        <v>846019.02877631725</v>
      </c>
      <c r="AO52" s="575">
        <f t="shared" si="340"/>
        <v>5366928.6136697046</v>
      </c>
      <c r="AP52" s="575">
        <f t="shared" si="340"/>
        <v>1972850</v>
      </c>
      <c r="AQ52" s="575">
        <f t="shared" si="340"/>
        <v>252542.99366457225</v>
      </c>
      <c r="AR52" s="575">
        <f t="shared" si="340"/>
        <v>1420554.339363219</v>
      </c>
      <c r="AS52" s="575">
        <f t="shared" si="340"/>
        <v>378814.49049685843</v>
      </c>
      <c r="AT52" s="575">
        <f t="shared" si="340"/>
        <v>1792770.8648806845</v>
      </c>
      <c r="AU52" s="575">
        <f t="shared" si="340"/>
        <v>894103.34082404687</v>
      </c>
      <c r="AV52" s="575">
        <f t="shared" si="340"/>
        <v>1802816.5757009422</v>
      </c>
      <c r="AW52" s="575">
        <f t="shared" si="340"/>
        <v>2988534.1717869178</v>
      </c>
      <c r="AX52" s="575">
        <f t="shared" si="340"/>
        <v>2456343.4370507281</v>
      </c>
      <c r="AY52" s="575">
        <f t="shared" si="340"/>
        <v>2713779.5622603819</v>
      </c>
      <c r="AZ52" s="575">
        <f t="shared" si="340"/>
        <v>3052088.1999999997</v>
      </c>
      <c r="BA52" s="575">
        <f t="shared" si="340"/>
        <v>9378050</v>
      </c>
      <c r="BB52" s="575">
        <f t="shared" si="340"/>
        <v>1199579.2199067185</v>
      </c>
      <c r="BC52" s="575">
        <f t="shared" si="340"/>
        <v>1156631.1197321524</v>
      </c>
      <c r="BD52" s="575">
        <f t="shared" si="340"/>
        <v>1717292.3569190917</v>
      </c>
      <c r="BE52" s="575">
        <f t="shared" si="340"/>
        <v>1109532.8901130517</v>
      </c>
      <c r="BF52" s="575">
        <f t="shared" si="340"/>
        <v>2588565.685061866</v>
      </c>
      <c r="BG52" s="575">
        <f t="shared" si="340"/>
        <v>3257200</v>
      </c>
      <c r="BH52" s="575">
        <f t="shared" si="340"/>
        <v>3217342.8553264332</v>
      </c>
      <c r="BI52" s="575">
        <f t="shared" si="340"/>
        <v>2099500</v>
      </c>
      <c r="BJ52" s="575">
        <f t="shared" si="340"/>
        <v>2410801.1695953463</v>
      </c>
      <c r="BK52" s="575">
        <f t="shared" si="340"/>
        <v>899300</v>
      </c>
      <c r="BL52" s="575">
        <f t="shared" si="340"/>
        <v>411561.40505398065</v>
      </c>
      <c r="BM52" s="575">
        <f t="shared" si="340"/>
        <v>1839073.5999999999</v>
      </c>
      <c r="BN52" s="575">
        <f t="shared" si="340"/>
        <v>1654156.6085029484</v>
      </c>
      <c r="BO52" s="575">
        <f t="shared" si="340"/>
        <v>948391.21775812667</v>
      </c>
      <c r="BP52" s="575">
        <f t="shared" si="340"/>
        <v>4614718</v>
      </c>
      <c r="BQ52" s="575">
        <f t="shared" ref="BQ52:EB52" si="341">BQ46*0.85</f>
        <v>729121.6135028624</v>
      </c>
      <c r="BR52" s="575">
        <f t="shared" si="341"/>
        <v>852332.6036179316</v>
      </c>
      <c r="BS52" s="575">
        <f t="shared" si="341"/>
        <v>1136443.4714905752</v>
      </c>
      <c r="BT52" s="575">
        <f t="shared" si="341"/>
        <v>947036.22624214599</v>
      </c>
      <c r="BU52" s="575">
        <f t="shared" si="341"/>
        <v>3779641.6450711749</v>
      </c>
      <c r="BV52" s="575">
        <f t="shared" si="341"/>
        <v>970950.46321067354</v>
      </c>
      <c r="BW52" s="575">
        <f t="shared" si="341"/>
        <v>252542.99366457225</v>
      </c>
      <c r="BX52" s="575">
        <f t="shared" si="341"/>
        <v>4302899.0051521966</v>
      </c>
      <c r="BY52" s="575">
        <f t="shared" si="341"/>
        <v>1755698.5354252476</v>
      </c>
      <c r="BZ52" s="575">
        <f t="shared" si="341"/>
        <v>211666.98942055646</v>
      </c>
      <c r="CA52" s="575">
        <f t="shared" si="341"/>
        <v>0</v>
      </c>
      <c r="CB52" s="575">
        <f t="shared" si="341"/>
        <v>180282.14246208401</v>
      </c>
      <c r="CC52" s="575">
        <f t="shared" si="341"/>
        <v>2051911.8235246497</v>
      </c>
      <c r="CD52" s="575">
        <f t="shared" si="341"/>
        <v>631357.48416143074</v>
      </c>
      <c r="CE52" s="575">
        <f t="shared" si="341"/>
        <v>11981897.606519254</v>
      </c>
      <c r="CF52" s="575">
        <f t="shared" si="341"/>
        <v>4097440.1634296086</v>
      </c>
      <c r="CG52" s="575">
        <f t="shared" si="341"/>
        <v>9008794.271659879</v>
      </c>
      <c r="CH52" s="575">
        <f t="shared" si="341"/>
        <v>3853330.5</v>
      </c>
      <c r="CI52" s="575">
        <f t="shared" si="341"/>
        <v>2991024.1721195146</v>
      </c>
      <c r="CJ52" s="575">
        <f t="shared" si="341"/>
        <v>3966265.8195540849</v>
      </c>
      <c r="CK52" s="575">
        <f t="shared" si="341"/>
        <v>4395163</v>
      </c>
      <c r="CL52" s="575">
        <f t="shared" si="341"/>
        <v>2662878.9362713238</v>
      </c>
      <c r="CM52" s="575">
        <f t="shared" si="341"/>
        <v>5909060.9739883663</v>
      </c>
      <c r="CN52" s="575">
        <f t="shared" si="341"/>
        <v>1117629.1760300584</v>
      </c>
      <c r="CO52" s="575">
        <f t="shared" si="341"/>
        <v>1117629.1760300584</v>
      </c>
      <c r="CP52" s="575">
        <f t="shared" si="341"/>
        <v>1117629.1760300584</v>
      </c>
      <c r="CQ52" s="575">
        <f t="shared" si="341"/>
        <v>5316781.0876604058</v>
      </c>
      <c r="CR52" s="575">
        <f t="shared" si="341"/>
        <v>2055144.45</v>
      </c>
      <c r="CS52" s="575">
        <f t="shared" si="341"/>
        <v>3246089.65</v>
      </c>
      <c r="CT52" s="575">
        <f t="shared" si="341"/>
        <v>4099720.5468397005</v>
      </c>
      <c r="CU52" s="575">
        <f t="shared" si="341"/>
        <v>1755698.5354252476</v>
      </c>
      <c r="CV52" s="575">
        <f t="shared" si="341"/>
        <v>4736220.2558288462</v>
      </c>
      <c r="CW52" s="575">
        <f t="shared" si="341"/>
        <v>378814.49049685843</v>
      </c>
      <c r="CX52" s="575">
        <f t="shared" si="341"/>
        <v>3451000</v>
      </c>
      <c r="CY52" s="575">
        <f t="shared" si="341"/>
        <v>2684942.8413160271</v>
      </c>
      <c r="CZ52" s="575">
        <f t="shared" si="341"/>
        <v>1274830</v>
      </c>
      <c r="DA52" s="575">
        <f t="shared" si="341"/>
        <v>7291964.4629230136</v>
      </c>
      <c r="DB52" s="575">
        <f t="shared" si="341"/>
        <v>726061.10678564513</v>
      </c>
      <c r="DC52" s="575">
        <f t="shared" si="341"/>
        <v>1676443.7640450879</v>
      </c>
      <c r="DD52" s="575">
        <f t="shared" si="341"/>
        <v>4755140.9576273635</v>
      </c>
      <c r="DE52" s="575">
        <f t="shared" si="341"/>
        <v>6657197.34067831</v>
      </c>
      <c r="DF52" s="575">
        <f t="shared" si="341"/>
        <v>6657197.34067831</v>
      </c>
      <c r="DG52" s="575">
        <f t="shared" si="341"/>
        <v>726061.10678564513</v>
      </c>
      <c r="DH52" s="575">
        <f t="shared" si="341"/>
        <v>2161159.9131834856</v>
      </c>
      <c r="DI52" s="575">
        <f t="shared" si="341"/>
        <v>968285.07165896147</v>
      </c>
      <c r="DJ52" s="575">
        <f t="shared" si="341"/>
        <v>1709202.0999999999</v>
      </c>
      <c r="DK52" s="575">
        <f t="shared" si="341"/>
        <v>2134474.1</v>
      </c>
      <c r="DL52" s="575">
        <f t="shared" si="341"/>
        <v>3802894.2672068072</v>
      </c>
      <c r="DM52" s="575">
        <f t="shared" si="341"/>
        <v>2057807.0252699032</v>
      </c>
      <c r="DN52" s="575">
        <f t="shared" si="341"/>
        <v>3352887.5280901757</v>
      </c>
      <c r="DO52" s="575">
        <f t="shared" si="341"/>
        <v>1268037.5887006305</v>
      </c>
      <c r="DP52" s="575">
        <f t="shared" si="341"/>
        <v>3632294.8220976903</v>
      </c>
      <c r="DQ52" s="575">
        <f t="shared" si="341"/>
        <v>3960825.75</v>
      </c>
      <c r="DR52" s="575">
        <f t="shared" si="341"/>
        <v>4507996.25</v>
      </c>
      <c r="DS52" s="575">
        <f t="shared" si="341"/>
        <v>1469914.2564873453</v>
      </c>
      <c r="DT52" s="575">
        <f t="shared" si="341"/>
        <v>3038750</v>
      </c>
      <c r="DU52" s="575">
        <f t="shared" si="341"/>
        <v>0</v>
      </c>
      <c r="DV52" s="575">
        <f t="shared" si="341"/>
        <v>5984000</v>
      </c>
      <c r="DW52" s="575">
        <f t="shared" si="341"/>
        <v>0</v>
      </c>
      <c r="DX52" s="575">
        <f t="shared" si="341"/>
        <v>0</v>
      </c>
      <c r="DY52" s="575">
        <f t="shared" si="341"/>
        <v>4021471.3379102512</v>
      </c>
      <c r="DZ52" s="575">
        <f t="shared" si="341"/>
        <v>654613.65477940976</v>
      </c>
      <c r="EA52" s="575">
        <f t="shared" si="341"/>
        <v>2990276.8499996257</v>
      </c>
      <c r="EB52" s="575">
        <f t="shared" si="341"/>
        <v>5079950.9295921018</v>
      </c>
      <c r="EC52" s="575">
        <f t="shared" ref="EC52:GN52" si="342">EC46*0.85</f>
        <v>2815402.1159729017</v>
      </c>
      <c r="ED52" s="575">
        <f t="shared" si="342"/>
        <v>3307463.2720297873</v>
      </c>
      <c r="EE52" s="575">
        <f t="shared" si="342"/>
        <v>726061.10678564513</v>
      </c>
      <c r="EF52" s="575">
        <f t="shared" si="342"/>
        <v>789196.85520178836</v>
      </c>
      <c r="EG52" s="575">
        <f t="shared" si="342"/>
        <v>378814.49049685843</v>
      </c>
      <c r="EH52" s="575">
        <f t="shared" si="342"/>
        <v>679840.03731580498</v>
      </c>
      <c r="EI52" s="575">
        <f t="shared" si="342"/>
        <v>1105000</v>
      </c>
      <c r="EJ52" s="575">
        <f t="shared" si="342"/>
        <v>1014430.0709605045</v>
      </c>
      <c r="EK52" s="575">
        <f t="shared" si="342"/>
        <v>3173458.9244331829</v>
      </c>
      <c r="EL52" s="575">
        <f t="shared" si="342"/>
        <v>10059045.796501471</v>
      </c>
      <c r="EM52" s="575">
        <f t="shared" si="342"/>
        <v>2888886.7715264442</v>
      </c>
      <c r="EN52" s="575">
        <f t="shared" si="342"/>
        <v>2138934.9203231521</v>
      </c>
      <c r="EO52" s="575">
        <f t="shared" si="342"/>
        <v>252542.99366457225</v>
      </c>
      <c r="EP52" s="575">
        <f t="shared" si="342"/>
        <v>2706679.7571897572</v>
      </c>
      <c r="EQ52" s="575">
        <f t="shared" si="342"/>
        <v>1585046.9858757879</v>
      </c>
      <c r="ER52" s="575">
        <f t="shared" si="342"/>
        <v>9452850</v>
      </c>
      <c r="ES52" s="575">
        <f t="shared" si="342"/>
        <v>0</v>
      </c>
      <c r="ET52" s="575">
        <f t="shared" si="342"/>
        <v>858043.59348823631</v>
      </c>
      <c r="EU52" s="575">
        <f t="shared" si="342"/>
        <v>2437616.3272709567</v>
      </c>
      <c r="EV52" s="575">
        <f t="shared" si="342"/>
        <v>631357.48416143074</v>
      </c>
      <c r="EW52" s="575">
        <f t="shared" si="342"/>
        <v>3802894.2672068072</v>
      </c>
      <c r="EX52" s="575">
        <f t="shared" si="342"/>
        <v>8500000</v>
      </c>
      <c r="EY52" s="575">
        <f t="shared" si="342"/>
        <v>2750059.1832726235</v>
      </c>
      <c r="EZ52" s="575">
        <f t="shared" si="342"/>
        <v>1003461.6764373331</v>
      </c>
      <c r="FA52" s="575">
        <f t="shared" si="342"/>
        <v>2247025.5110528222</v>
      </c>
      <c r="FB52" s="575">
        <f t="shared" si="342"/>
        <v>225814.81703240841</v>
      </c>
      <c r="FC52" s="575">
        <f t="shared" si="342"/>
        <v>6869373.1083163889</v>
      </c>
      <c r="FD52" s="575">
        <f t="shared" si="342"/>
        <v>1414447.543487268</v>
      </c>
      <c r="FE52" s="575">
        <f t="shared" si="342"/>
        <v>691424.50051936461</v>
      </c>
      <c r="FF52" s="575">
        <f t="shared" si="342"/>
        <v>2177020</v>
      </c>
      <c r="FG52" s="575">
        <f t="shared" si="342"/>
        <v>8699683.7166196462</v>
      </c>
      <c r="FH52" s="575">
        <f t="shared" si="342"/>
        <v>6965412.5499999998</v>
      </c>
      <c r="FI52" s="575">
        <f t="shared" si="342"/>
        <v>8933500</v>
      </c>
      <c r="FJ52" s="575">
        <f t="shared" si="342"/>
        <v>2742304</v>
      </c>
      <c r="FK52" s="575">
        <f t="shared" si="342"/>
        <v>818878.29271262384</v>
      </c>
      <c r="FL52" s="575">
        <f t="shared" si="342"/>
        <v>1023070.866451654</v>
      </c>
      <c r="FM52" s="575">
        <f t="shared" si="342"/>
        <v>4885463.1080975858</v>
      </c>
      <c r="FN52" s="575">
        <f t="shared" si="342"/>
        <v>6769256.7579621356</v>
      </c>
      <c r="FO52" s="575">
        <f t="shared" si="342"/>
        <v>2436676.2999999998</v>
      </c>
      <c r="FP52" s="575">
        <f t="shared" si="342"/>
        <v>14456800</v>
      </c>
      <c r="FQ52" s="575">
        <f t="shared" si="342"/>
        <v>1863953.0999999999</v>
      </c>
      <c r="FR52" s="575">
        <f t="shared" si="342"/>
        <v>3270122.7961683474</v>
      </c>
      <c r="FS52" s="575">
        <f t="shared" si="342"/>
        <v>553775</v>
      </c>
      <c r="FT52" s="575">
        <f t="shared" si="342"/>
        <v>4990939.327368849</v>
      </c>
      <c r="FU52" s="575">
        <f t="shared" si="342"/>
        <v>610300</v>
      </c>
      <c r="FV52" s="575">
        <f t="shared" si="342"/>
        <v>1584970.6218936625</v>
      </c>
      <c r="FW52" s="575">
        <f t="shared" si="342"/>
        <v>1788825</v>
      </c>
      <c r="FX52" s="575">
        <f t="shared" si="342"/>
        <v>839800</v>
      </c>
      <c r="FY52" s="575">
        <f t="shared" si="342"/>
        <v>411400</v>
      </c>
      <c r="FZ52" s="575">
        <f t="shared" si="342"/>
        <v>6668968.2917009909</v>
      </c>
      <c r="GA52" s="575">
        <f t="shared" si="342"/>
        <v>843344.91614942427</v>
      </c>
      <c r="GB52" s="575">
        <f t="shared" si="342"/>
        <v>6016805.3133531054</v>
      </c>
      <c r="GC52" s="575">
        <f t="shared" si="342"/>
        <v>3393455.1208504951</v>
      </c>
      <c r="GD52" s="575">
        <f t="shared" si="342"/>
        <v>12574210.097503515</v>
      </c>
      <c r="GE52" s="575">
        <f t="shared" si="342"/>
        <v>1955000</v>
      </c>
      <c r="GF52" s="575">
        <f t="shared" si="342"/>
        <v>4496160.1511947215</v>
      </c>
      <c r="GG52" s="575">
        <f t="shared" si="342"/>
        <v>1424321.5083112887</v>
      </c>
      <c r="GH52" s="575">
        <f t="shared" si="342"/>
        <v>1275630.2165856443</v>
      </c>
      <c r="GI52" s="575">
        <f t="shared" si="342"/>
        <v>13020511.723922348</v>
      </c>
      <c r="GJ52" s="575">
        <f t="shared" si="342"/>
        <v>2750753</v>
      </c>
      <c r="GK52" s="575">
        <f t="shared" si="342"/>
        <v>1944760.05</v>
      </c>
      <c r="GL52" s="575">
        <f t="shared" si="342"/>
        <v>1061519.0999999999</v>
      </c>
      <c r="GM52" s="575">
        <f t="shared" si="342"/>
        <v>1234738.8999999999</v>
      </c>
      <c r="GN52" s="575">
        <f t="shared" si="342"/>
        <v>983450</v>
      </c>
      <c r="GO52" s="575">
        <f t="shared" ref="GO52:IZ52" si="343">GO46*0.85</f>
        <v>5711694.8499999996</v>
      </c>
      <c r="GP52" s="575">
        <f t="shared" si="343"/>
        <v>1125957.6524798574</v>
      </c>
      <c r="GQ52" s="575">
        <f t="shared" si="343"/>
        <v>1501270</v>
      </c>
      <c r="GR52" s="575">
        <f t="shared" si="343"/>
        <v>1420447.4148037608</v>
      </c>
      <c r="GS52" s="575">
        <f t="shared" si="343"/>
        <v>818878.29271262384</v>
      </c>
      <c r="GT52" s="575">
        <f t="shared" si="343"/>
        <v>12562447.102278436</v>
      </c>
      <c r="GU52" s="575">
        <f t="shared" si="343"/>
        <v>1363774</v>
      </c>
      <c r="GV52" s="575">
        <f t="shared" si="343"/>
        <v>7065983.0078163091</v>
      </c>
      <c r="GW52" s="575">
        <f t="shared" si="343"/>
        <v>1901447.1336034036</v>
      </c>
      <c r="GX52" s="575">
        <f t="shared" si="343"/>
        <v>719634.93880573008</v>
      </c>
      <c r="GY52" s="575">
        <f t="shared" si="343"/>
        <v>23879878.75</v>
      </c>
      <c r="GZ52" s="575">
        <f t="shared" si="343"/>
        <v>3413603.6572923069</v>
      </c>
      <c r="HA52" s="575">
        <f t="shared" si="343"/>
        <v>10062423.412551485</v>
      </c>
      <c r="HB52" s="575">
        <f t="shared" si="343"/>
        <v>8730778.4841633011</v>
      </c>
      <c r="HC52" s="575">
        <f t="shared" si="343"/>
        <v>11287150</v>
      </c>
      <c r="HD52" s="575">
        <f t="shared" si="343"/>
        <v>3393455.1208504951</v>
      </c>
      <c r="HE52" s="575">
        <f t="shared" si="343"/>
        <v>8297445</v>
      </c>
      <c r="HF52" s="575">
        <f t="shared" si="343"/>
        <v>2084970.95</v>
      </c>
      <c r="HG52" s="575">
        <f t="shared" si="343"/>
        <v>823790.25</v>
      </c>
      <c r="HH52" s="575">
        <f t="shared" si="343"/>
        <v>2984015.9744941825</v>
      </c>
      <c r="HI52" s="575">
        <f t="shared" si="343"/>
        <v>4212333.4135631183</v>
      </c>
      <c r="HJ52" s="575">
        <f t="shared" si="343"/>
        <v>0</v>
      </c>
      <c r="HK52" s="575">
        <f t="shared" si="343"/>
        <v>1021530</v>
      </c>
      <c r="HL52" s="575">
        <f t="shared" si="343"/>
        <v>36590098.217969142</v>
      </c>
      <c r="HM52" s="575">
        <f t="shared" si="343"/>
        <v>20667769.90882805</v>
      </c>
      <c r="HN52" s="575">
        <f t="shared" si="343"/>
        <v>657477.51779312198</v>
      </c>
      <c r="HO52" s="575">
        <f t="shared" si="343"/>
        <v>0</v>
      </c>
      <c r="HP52" s="575">
        <f t="shared" si="343"/>
        <v>28078050</v>
      </c>
      <c r="HQ52" s="575">
        <f t="shared" si="343"/>
        <v>877675.94981070992</v>
      </c>
      <c r="HR52" s="575">
        <f t="shared" si="343"/>
        <v>31122585.564001106</v>
      </c>
      <c r="HS52" s="575">
        <f t="shared" si="343"/>
        <v>6116102.4417824317</v>
      </c>
      <c r="HT52" s="575">
        <f t="shared" si="343"/>
        <v>15806149.151900165</v>
      </c>
      <c r="HU52" s="575">
        <f t="shared" si="343"/>
        <v>23361472.25442702</v>
      </c>
      <c r="HV52" s="575">
        <f t="shared" si="343"/>
        <v>18281800</v>
      </c>
      <c r="HW52" s="575">
        <f t="shared" si="343"/>
        <v>4727632</v>
      </c>
      <c r="HX52" s="575">
        <f t="shared" si="343"/>
        <v>21837963.140173759</v>
      </c>
      <c r="HY52" s="575">
        <f t="shared" si="343"/>
        <v>17333439.847427983</v>
      </c>
      <c r="HZ52" s="575">
        <f t="shared" si="343"/>
        <v>9282004.231039755</v>
      </c>
      <c r="IA52" s="575">
        <f t="shared" si="343"/>
        <v>8482898</v>
      </c>
      <c r="IB52" s="575">
        <f t="shared" si="343"/>
        <v>8349646.8154219659</v>
      </c>
      <c r="IC52" s="575">
        <f t="shared" si="343"/>
        <v>12316075</v>
      </c>
      <c r="ID52" s="575">
        <f t="shared" si="343"/>
        <v>10043600</v>
      </c>
      <c r="IE52" s="575">
        <f t="shared" si="343"/>
        <v>16994950.590015735</v>
      </c>
      <c r="IF52" s="575">
        <f t="shared" si="343"/>
        <v>14618838.549838098</v>
      </c>
      <c r="IG52" s="575">
        <f t="shared" si="343"/>
        <v>4496686.2118160715</v>
      </c>
      <c r="IH52" s="575">
        <f t="shared" si="343"/>
        <v>3411479.6133007589</v>
      </c>
      <c r="II52" s="575">
        <f t="shared" si="343"/>
        <v>16841885.660340354</v>
      </c>
      <c r="IJ52" s="575">
        <f t="shared" si="343"/>
        <v>1855997.8987751782</v>
      </c>
      <c r="IK52" s="575">
        <f t="shared" si="343"/>
        <v>2822777.75</v>
      </c>
      <c r="IL52" s="575">
        <f t="shared" si="343"/>
        <v>8725998.5950839743</v>
      </c>
      <c r="IM52" s="575">
        <f t="shared" si="343"/>
        <v>490185.95467930671</v>
      </c>
      <c r="IN52" s="575">
        <f t="shared" si="343"/>
        <v>9336390.7394233644</v>
      </c>
      <c r="IO52" s="575">
        <f t="shared" si="343"/>
        <v>3548989.3286139597</v>
      </c>
      <c r="IP52" s="575">
        <f t="shared" si="343"/>
        <v>19122898.100943472</v>
      </c>
      <c r="IQ52" s="575">
        <f t="shared" si="343"/>
        <v>19113913.690460689</v>
      </c>
      <c r="IR52" s="575">
        <f t="shared" si="343"/>
        <v>906357.21767963225</v>
      </c>
      <c r="IS52" s="575">
        <f t="shared" si="343"/>
        <v>47267225</v>
      </c>
      <c r="IT52" s="575">
        <f t="shared" si="343"/>
        <v>12195035</v>
      </c>
      <c r="IU52" s="575">
        <f t="shared" si="343"/>
        <v>3117321.2635445246</v>
      </c>
      <c r="IV52" s="575">
        <f t="shared" si="343"/>
        <v>7536334.3249637838</v>
      </c>
      <c r="IW52" s="575">
        <f t="shared" si="343"/>
        <v>12004207.009620653</v>
      </c>
      <c r="IX52" s="575">
        <f t="shared" si="343"/>
        <v>1826649.4023953471</v>
      </c>
      <c r="IY52" s="575">
        <f t="shared" si="343"/>
        <v>9670419.8325050324</v>
      </c>
      <c r="IZ52" s="575">
        <f t="shared" si="343"/>
        <v>21488506.597242385</v>
      </c>
      <c r="JA52" s="575">
        <f t="shared" ref="JA52:JH52" si="344">JA46*0.85</f>
        <v>2620133.5592699377</v>
      </c>
      <c r="JB52" s="575">
        <f t="shared" si="344"/>
        <v>3231668.5501336176</v>
      </c>
      <c r="JC52" s="575">
        <f t="shared" si="344"/>
        <v>1844088.1404495966</v>
      </c>
      <c r="JD52" s="575">
        <f t="shared" si="344"/>
        <v>5706169.1491528358</v>
      </c>
      <c r="JE52" s="575">
        <f t="shared" si="344"/>
        <v>722500</v>
      </c>
      <c r="JF52" s="575">
        <f t="shared" si="344"/>
        <v>34406130</v>
      </c>
      <c r="JG52" s="575">
        <f t="shared" si="344"/>
        <v>26018048.790208496</v>
      </c>
      <c r="JH52" s="575">
        <f t="shared" si="344"/>
        <v>1217506.4418233184</v>
      </c>
      <c r="JI52" s="575">
        <f>SUM(C52:JH52)</f>
        <v>1279310149.1318645</v>
      </c>
    </row>
    <row r="53" spans="1:277" ht="15.75" thickBot="1" x14ac:dyDescent="0.3">
      <c r="A53" s="328" t="s">
        <v>2591</v>
      </c>
      <c r="C53" s="31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4"/>
      <c r="BK53" s="314"/>
      <c r="BL53" s="314"/>
      <c r="BM53" s="314"/>
      <c r="BN53" s="314"/>
      <c r="BO53" s="314"/>
      <c r="BP53" s="314"/>
      <c r="BQ53" s="314"/>
      <c r="BR53" s="314"/>
      <c r="BS53" s="314"/>
      <c r="BT53" s="314"/>
      <c r="BU53" s="314"/>
      <c r="BV53" s="314"/>
      <c r="BW53" s="314"/>
      <c r="BX53" s="314"/>
      <c r="BY53" s="314"/>
      <c r="BZ53" s="314"/>
      <c r="CA53" s="314"/>
      <c r="CB53" s="314"/>
      <c r="CC53" s="314"/>
      <c r="CD53" s="314"/>
      <c r="CE53" s="314"/>
      <c r="CF53" s="314"/>
      <c r="CG53" s="314"/>
      <c r="CH53" s="314"/>
      <c r="CI53" s="314"/>
      <c r="CJ53" s="314"/>
      <c r="CK53" s="314"/>
      <c r="CL53" s="314"/>
      <c r="CM53" s="314"/>
      <c r="CN53" s="314"/>
      <c r="CO53" s="314"/>
      <c r="CP53" s="314"/>
      <c r="CQ53" s="314"/>
      <c r="CR53" s="314"/>
      <c r="CS53" s="314"/>
      <c r="CT53" s="314"/>
      <c r="CU53" s="314"/>
      <c r="CV53" s="314"/>
      <c r="CW53" s="314"/>
      <c r="CX53" s="314"/>
      <c r="CY53" s="314"/>
      <c r="CZ53" s="314"/>
      <c r="DA53" s="314"/>
      <c r="DB53" s="314"/>
      <c r="DC53" s="314"/>
      <c r="DD53" s="314"/>
      <c r="DE53" s="314"/>
      <c r="DF53" s="314"/>
      <c r="DG53" s="314"/>
      <c r="DH53" s="314"/>
      <c r="DI53" s="314"/>
      <c r="DJ53" s="314"/>
      <c r="DK53" s="314"/>
      <c r="DL53" s="314"/>
      <c r="DM53" s="314"/>
      <c r="DN53" s="314"/>
      <c r="DO53" s="314"/>
      <c r="DP53" s="314"/>
      <c r="DQ53" s="314"/>
      <c r="DR53" s="314"/>
      <c r="DS53" s="314"/>
      <c r="DT53" s="314"/>
      <c r="DU53" s="314"/>
      <c r="DV53" s="314"/>
      <c r="DW53" s="314"/>
      <c r="DX53" s="314"/>
      <c r="DY53" s="314"/>
      <c r="DZ53" s="314"/>
      <c r="EA53" s="314"/>
      <c r="EB53" s="314"/>
      <c r="EC53" s="314"/>
      <c r="ED53" s="314"/>
      <c r="EE53" s="314"/>
      <c r="EF53" s="314"/>
      <c r="EG53" s="314"/>
      <c r="EH53" s="314"/>
      <c r="EI53" s="314"/>
      <c r="EJ53" s="314"/>
      <c r="EK53" s="314"/>
      <c r="EL53" s="314"/>
      <c r="EM53" s="314"/>
      <c r="EN53" s="314"/>
      <c r="EO53" s="314"/>
      <c r="EP53" s="314"/>
      <c r="EQ53" s="314"/>
      <c r="ER53" s="314"/>
      <c r="ES53" s="314"/>
      <c r="ET53" s="314"/>
      <c r="EU53" s="314"/>
      <c r="EV53" s="314"/>
      <c r="EW53" s="314"/>
      <c r="EX53" s="314"/>
      <c r="EY53" s="314"/>
      <c r="EZ53" s="314"/>
      <c r="FA53" s="314"/>
      <c r="FB53" s="314"/>
      <c r="FC53" s="314"/>
      <c r="FD53" s="314"/>
      <c r="FE53" s="314"/>
      <c r="FF53" s="314"/>
      <c r="FG53" s="314"/>
      <c r="FH53" s="314"/>
      <c r="FI53" s="314"/>
      <c r="FJ53" s="314"/>
      <c r="FK53" s="314"/>
      <c r="FL53" s="314"/>
      <c r="FM53" s="314"/>
      <c r="FN53" s="314"/>
      <c r="FO53" s="314"/>
      <c r="FP53" s="314"/>
      <c r="FQ53" s="314"/>
      <c r="FR53" s="314"/>
      <c r="FS53" s="314"/>
      <c r="FT53" s="314"/>
      <c r="FU53" s="314"/>
      <c r="FV53" s="314"/>
      <c r="FW53" s="314"/>
      <c r="FX53" s="314"/>
      <c r="FY53" s="314"/>
      <c r="FZ53" s="314"/>
      <c r="GA53" s="314"/>
      <c r="GB53" s="314"/>
      <c r="GC53" s="314"/>
      <c r="GD53" s="314"/>
      <c r="GE53" s="314"/>
      <c r="GF53" s="314"/>
      <c r="GG53" s="314"/>
      <c r="GH53" s="314"/>
      <c r="GI53" s="314"/>
      <c r="GJ53" s="314"/>
      <c r="GK53" s="314"/>
      <c r="GL53" s="314"/>
      <c r="GM53" s="314"/>
      <c r="GN53" s="314"/>
      <c r="GO53" s="314"/>
      <c r="GP53" s="314"/>
      <c r="GQ53" s="314"/>
      <c r="GR53" s="314"/>
      <c r="GS53" s="314"/>
      <c r="GT53" s="314"/>
      <c r="GU53" s="314"/>
      <c r="GV53" s="314"/>
      <c r="GW53" s="314"/>
      <c r="GX53" s="314"/>
      <c r="GY53" s="314"/>
      <c r="GZ53" s="314"/>
      <c r="HA53" s="314"/>
      <c r="HB53" s="314"/>
      <c r="HC53" s="314"/>
      <c r="HD53" s="314"/>
      <c r="HE53" s="314"/>
      <c r="HF53" s="314"/>
      <c r="HG53" s="314"/>
      <c r="HH53" s="314"/>
      <c r="HI53" s="314"/>
      <c r="HJ53" s="314"/>
      <c r="HK53" s="314"/>
      <c r="HL53" s="314"/>
      <c r="HM53" s="314"/>
      <c r="HN53" s="314"/>
      <c r="HO53" s="314"/>
      <c r="HP53" s="314"/>
      <c r="HQ53" s="314"/>
      <c r="HR53" s="314"/>
      <c r="HS53" s="314"/>
      <c r="HT53" s="314"/>
      <c r="HU53" s="314"/>
      <c r="HV53" s="314"/>
      <c r="HW53" s="314"/>
      <c r="HX53" s="314"/>
      <c r="HY53" s="314"/>
      <c r="HZ53" s="314"/>
      <c r="IA53" s="314"/>
      <c r="IB53" s="314"/>
      <c r="IC53" s="314"/>
      <c r="ID53" s="314"/>
      <c r="IE53" s="314"/>
      <c r="IF53" s="314"/>
      <c r="IG53" s="314"/>
      <c r="IH53" s="314"/>
      <c r="II53" s="314"/>
      <c r="IJ53" s="314"/>
      <c r="IK53" s="314"/>
      <c r="IL53" s="314"/>
      <c r="IM53" s="314"/>
      <c r="IN53" s="314"/>
      <c r="IO53" s="314"/>
      <c r="IP53" s="314"/>
      <c r="IQ53" s="314"/>
      <c r="IR53" s="314"/>
      <c r="IS53" s="314"/>
      <c r="IT53" s="314"/>
      <c r="IU53" s="314"/>
      <c r="IV53" s="314"/>
      <c r="IW53" s="314"/>
      <c r="IX53" s="314"/>
      <c r="IY53" s="314"/>
      <c r="IZ53" s="314"/>
      <c r="JA53" s="314"/>
      <c r="JB53" s="314"/>
      <c r="JC53" s="314"/>
      <c r="JD53" s="314"/>
      <c r="JE53" s="314"/>
      <c r="JF53" s="314"/>
      <c r="JG53" s="314"/>
      <c r="JH53" s="314"/>
      <c r="JI53" s="314"/>
    </row>
    <row r="54" spans="1:277" ht="15.75" thickBot="1" x14ac:dyDescent="0.3">
      <c r="B54" s="607" t="s">
        <v>2564</v>
      </c>
      <c r="C54" s="608">
        <f>C37+C38+C39+C40</f>
        <v>7649000</v>
      </c>
      <c r="D54" s="608">
        <f t="shared" ref="D54:BP54" si="345">D37+D38+D39+D40</f>
        <v>6323100</v>
      </c>
      <c r="E54" s="608">
        <f t="shared" si="345"/>
        <v>8196405</v>
      </c>
      <c r="F54" s="608">
        <f t="shared" si="345"/>
        <v>3484600</v>
      </c>
      <c r="G54" s="608">
        <f t="shared" si="345"/>
        <v>8898350</v>
      </c>
      <c r="H54" s="608">
        <f t="shared" si="345"/>
        <v>851000</v>
      </c>
      <c r="I54" s="608">
        <f t="shared" si="345"/>
        <v>2220902</v>
      </c>
      <c r="J54" s="608">
        <f t="shared" si="345"/>
        <v>2592445</v>
      </c>
      <c r="K54" s="608">
        <f t="shared" si="345"/>
        <v>5369542</v>
      </c>
      <c r="L54" s="608">
        <f t="shared" si="345"/>
        <v>3774970</v>
      </c>
      <c r="M54" s="608">
        <f t="shared" si="345"/>
        <v>3637289</v>
      </c>
      <c r="N54" s="608">
        <f t="shared" si="345"/>
        <v>5245000</v>
      </c>
      <c r="O54" s="608">
        <f t="shared" si="345"/>
        <v>4154929</v>
      </c>
      <c r="P54" s="608">
        <f t="shared" si="345"/>
        <v>2345016</v>
      </c>
      <c r="Q54" s="608">
        <f t="shared" si="345"/>
        <v>1465267</v>
      </c>
      <c r="R54" s="608">
        <f t="shared" si="345"/>
        <v>2124718.1</v>
      </c>
      <c r="S54" s="608">
        <f t="shared" si="345"/>
        <v>1637152.8</v>
      </c>
      <c r="T54" s="608">
        <f t="shared" si="345"/>
        <v>591336</v>
      </c>
      <c r="U54" s="608">
        <f t="shared" si="345"/>
        <v>1099204</v>
      </c>
      <c r="V54" s="608">
        <f t="shared" si="345"/>
        <v>9233620</v>
      </c>
      <c r="W54" s="608">
        <f t="shared" si="345"/>
        <v>1825000</v>
      </c>
      <c r="X54" s="608">
        <f t="shared" si="345"/>
        <v>1309890</v>
      </c>
      <c r="Y54" s="608">
        <f t="shared" si="345"/>
        <v>1757810</v>
      </c>
      <c r="Z54" s="608">
        <f t="shared" si="345"/>
        <v>6852000</v>
      </c>
      <c r="AA54" s="608">
        <f t="shared" si="345"/>
        <v>3849820</v>
      </c>
      <c r="AB54" s="608">
        <f t="shared" si="345"/>
        <v>3047940</v>
      </c>
      <c r="AC54" s="608">
        <f t="shared" ref="AC54" si="346">AC37+AC38+AC39+AC40</f>
        <v>2007500</v>
      </c>
      <c r="AD54" s="608">
        <f t="shared" si="345"/>
        <v>1845240</v>
      </c>
      <c r="AE54" s="608">
        <f t="shared" si="345"/>
        <v>1056608</v>
      </c>
      <c r="AF54" s="608">
        <f t="shared" si="345"/>
        <v>2104207</v>
      </c>
      <c r="AG54" s="608">
        <f t="shared" si="345"/>
        <v>3325752</v>
      </c>
      <c r="AH54" s="608">
        <f t="shared" si="345"/>
        <v>767266</v>
      </c>
      <c r="AI54" s="608">
        <f t="shared" si="345"/>
        <v>2893700</v>
      </c>
      <c r="AJ54" s="608">
        <f t="shared" si="345"/>
        <v>2450300</v>
      </c>
      <c r="AK54" s="608">
        <f t="shared" si="345"/>
        <v>1197405</v>
      </c>
      <c r="AL54" s="608">
        <f t="shared" si="345"/>
        <v>1860416</v>
      </c>
      <c r="AM54" s="608">
        <f t="shared" si="345"/>
        <v>1374492</v>
      </c>
      <c r="AN54" s="608">
        <f t="shared" si="345"/>
        <v>1027900</v>
      </c>
      <c r="AO54" s="608">
        <f t="shared" si="345"/>
        <v>3729028</v>
      </c>
      <c r="AP54" s="608">
        <f t="shared" si="345"/>
        <v>2259775</v>
      </c>
      <c r="AQ54" s="608">
        <f t="shared" si="345"/>
        <v>327938</v>
      </c>
      <c r="AR54" s="608">
        <f t="shared" si="345"/>
        <v>1130591</v>
      </c>
      <c r="AS54" s="608">
        <f t="shared" si="345"/>
        <v>450572</v>
      </c>
      <c r="AT54" s="608">
        <f t="shared" si="345"/>
        <v>2175746</v>
      </c>
      <c r="AU54" s="608">
        <f t="shared" si="345"/>
        <v>894272</v>
      </c>
      <c r="AV54" s="608">
        <f t="shared" si="345"/>
        <v>1866618</v>
      </c>
      <c r="AW54" s="608">
        <f t="shared" si="345"/>
        <v>3070875</v>
      </c>
      <c r="AX54" s="608">
        <f t="shared" si="345"/>
        <v>2970020</v>
      </c>
      <c r="AY54" s="608">
        <f t="shared" si="345"/>
        <v>3091452</v>
      </c>
      <c r="AZ54" s="608">
        <f t="shared" si="345"/>
        <v>2931235</v>
      </c>
      <c r="BA54" s="608">
        <f t="shared" si="345"/>
        <v>7415268</v>
      </c>
      <c r="BB54" s="608">
        <f t="shared" si="345"/>
        <v>1020124</v>
      </c>
      <c r="BC54" s="608">
        <f t="shared" si="345"/>
        <v>1008745</v>
      </c>
      <c r="BD54" s="608">
        <f t="shared" si="345"/>
        <v>1277820</v>
      </c>
      <c r="BE54" s="608">
        <f t="shared" si="345"/>
        <v>1204150</v>
      </c>
      <c r="BF54" s="608">
        <f t="shared" si="345"/>
        <v>1888960</v>
      </c>
      <c r="BG54" s="608">
        <f t="shared" si="345"/>
        <v>2344216</v>
      </c>
      <c r="BH54" s="608">
        <f t="shared" si="345"/>
        <v>2948068</v>
      </c>
      <c r="BI54" s="608">
        <f t="shared" si="345"/>
        <v>1468100</v>
      </c>
      <c r="BJ54" s="608">
        <f t="shared" si="345"/>
        <v>2652621</v>
      </c>
      <c r="BK54" s="608">
        <f t="shared" si="345"/>
        <v>852000</v>
      </c>
      <c r="BL54" s="608">
        <f t="shared" si="345"/>
        <v>0</v>
      </c>
      <c r="BM54" s="608">
        <f t="shared" si="345"/>
        <v>615100</v>
      </c>
      <c r="BN54" s="608">
        <f t="shared" si="345"/>
        <v>1582000</v>
      </c>
      <c r="BO54" s="608">
        <f t="shared" si="345"/>
        <v>762010</v>
      </c>
      <c r="BP54" s="608">
        <f t="shared" si="345"/>
        <v>3919307</v>
      </c>
      <c r="BQ54" s="608">
        <f t="shared" ref="BQ54:EB54" si="347">BQ37+BQ38+BQ39+BQ40</f>
        <v>815436</v>
      </c>
      <c r="BR54" s="608">
        <f t="shared" si="347"/>
        <v>874340</v>
      </c>
      <c r="BS54" s="608">
        <f t="shared" si="347"/>
        <v>1297900</v>
      </c>
      <c r="BT54" s="608">
        <f t="shared" si="347"/>
        <v>860100</v>
      </c>
      <c r="BU54" s="608">
        <f t="shared" si="347"/>
        <v>3939338</v>
      </c>
      <c r="BV54" s="608">
        <f t="shared" si="347"/>
        <v>588910</v>
      </c>
      <c r="BW54" s="608">
        <f t="shared" si="347"/>
        <v>532683</v>
      </c>
      <c r="BX54" s="608">
        <f t="shared" si="347"/>
        <v>4055253</v>
      </c>
      <c r="BY54" s="608">
        <f t="shared" si="347"/>
        <v>1520144</v>
      </c>
      <c r="BZ54" s="608">
        <f t="shared" si="347"/>
        <v>324150</v>
      </c>
      <c r="CA54" s="608">
        <f t="shared" si="347"/>
        <v>0</v>
      </c>
      <c r="CB54" s="608">
        <f t="shared" si="347"/>
        <v>532263</v>
      </c>
      <c r="CC54" s="608">
        <f t="shared" si="347"/>
        <v>2120418</v>
      </c>
      <c r="CD54" s="608">
        <f t="shared" si="347"/>
        <v>647336</v>
      </c>
      <c r="CE54" s="608">
        <f t="shared" si="347"/>
        <v>8268855</v>
      </c>
      <c r="CF54" s="608">
        <f t="shared" si="347"/>
        <v>4326000</v>
      </c>
      <c r="CG54" s="608">
        <f t="shared" si="347"/>
        <v>8224486</v>
      </c>
      <c r="CH54" s="608">
        <f t="shared" si="347"/>
        <v>3654346</v>
      </c>
      <c r="CI54" s="608">
        <f t="shared" si="347"/>
        <v>2882766</v>
      </c>
      <c r="CJ54" s="608">
        <f t="shared" si="347"/>
        <v>3459530</v>
      </c>
      <c r="CK54" s="608">
        <f t="shared" si="347"/>
        <v>4176623</v>
      </c>
      <c r="CL54" s="608">
        <f t="shared" si="347"/>
        <v>2384969</v>
      </c>
      <c r="CM54" s="608">
        <f t="shared" si="347"/>
        <v>5320660</v>
      </c>
      <c r="CN54" s="608">
        <f t="shared" si="347"/>
        <v>1282575.1399999999</v>
      </c>
      <c r="CO54" s="608">
        <f t="shared" si="347"/>
        <v>1214500</v>
      </c>
      <c r="CP54" s="608">
        <f t="shared" si="347"/>
        <v>1238425.46</v>
      </c>
      <c r="CQ54" s="608">
        <f t="shared" si="347"/>
        <v>4606266</v>
      </c>
      <c r="CR54" s="608">
        <f t="shared" si="347"/>
        <v>1616800</v>
      </c>
      <c r="CS54" s="608">
        <f t="shared" si="347"/>
        <v>0</v>
      </c>
      <c r="CT54" s="608">
        <f t="shared" si="347"/>
        <v>5070000</v>
      </c>
      <c r="CU54" s="608">
        <f t="shared" si="347"/>
        <v>1400500</v>
      </c>
      <c r="CV54" s="608">
        <f t="shared" si="347"/>
        <v>5031500</v>
      </c>
      <c r="CW54" s="608">
        <f t="shared" si="347"/>
        <v>271401</v>
      </c>
      <c r="CX54" s="608">
        <f t="shared" si="347"/>
        <v>3128000</v>
      </c>
      <c r="CY54" s="608">
        <f t="shared" si="347"/>
        <v>2748954</v>
      </c>
      <c r="CZ54" s="608">
        <f t="shared" si="347"/>
        <v>1006700</v>
      </c>
      <c r="DA54" s="608">
        <f t="shared" si="347"/>
        <v>5580860</v>
      </c>
      <c r="DB54" s="608">
        <f t="shared" si="347"/>
        <v>665328</v>
      </c>
      <c r="DC54" s="608">
        <f t="shared" si="347"/>
        <v>1623500</v>
      </c>
      <c r="DD54" s="608">
        <f t="shared" si="347"/>
        <v>4680513</v>
      </c>
      <c r="DE54" s="608">
        <f t="shared" si="347"/>
        <v>7167606</v>
      </c>
      <c r="DF54" s="608">
        <f>DF37+DF38+DF39+DF40</f>
        <v>5216852</v>
      </c>
      <c r="DG54" s="608">
        <f t="shared" si="347"/>
        <v>605740</v>
      </c>
      <c r="DH54" s="608">
        <f t="shared" si="347"/>
        <v>1606367.6400000001</v>
      </c>
      <c r="DI54" s="608">
        <f t="shared" si="347"/>
        <v>1093940</v>
      </c>
      <c r="DJ54" s="608">
        <f t="shared" si="347"/>
        <v>1816958</v>
      </c>
      <c r="DK54" s="608">
        <f t="shared" si="347"/>
        <v>910471</v>
      </c>
      <c r="DL54" s="608">
        <f t="shared" si="347"/>
        <v>3817224</v>
      </c>
      <c r="DM54" s="608">
        <f t="shared" si="347"/>
        <v>1734348</v>
      </c>
      <c r="DN54" s="608">
        <f t="shared" si="347"/>
        <v>2980765</v>
      </c>
      <c r="DO54" s="608">
        <f t="shared" si="347"/>
        <v>1397775</v>
      </c>
      <c r="DP54" s="608">
        <f t="shared" si="347"/>
        <v>4045363.78</v>
      </c>
      <c r="DQ54" s="608">
        <f t="shared" si="347"/>
        <v>3907852</v>
      </c>
      <c r="DR54" s="608">
        <f t="shared" si="347"/>
        <v>4477376</v>
      </c>
      <c r="DS54" s="608">
        <f t="shared" si="347"/>
        <v>331000</v>
      </c>
      <c r="DT54" s="608">
        <f t="shared" si="347"/>
        <v>2906291</v>
      </c>
      <c r="DU54" s="608">
        <f t="shared" si="347"/>
        <v>2100600</v>
      </c>
      <c r="DV54" s="608">
        <f t="shared" si="347"/>
        <v>3145477</v>
      </c>
      <c r="DW54" s="608">
        <f t="shared" si="347"/>
        <v>1211410</v>
      </c>
      <c r="DX54" s="608">
        <f t="shared" si="347"/>
        <v>4030918</v>
      </c>
      <c r="DY54" s="608">
        <f t="shared" si="347"/>
        <v>3755150</v>
      </c>
      <c r="DZ54" s="608">
        <f t="shared" si="347"/>
        <v>716300</v>
      </c>
      <c r="EA54" s="608">
        <f t="shared" si="347"/>
        <v>3895188</v>
      </c>
      <c r="EB54" s="608">
        <f t="shared" si="347"/>
        <v>3882690</v>
      </c>
      <c r="EC54" s="608">
        <f t="shared" ref="EC54:GN54" si="348">EC37+EC38+EC39+EC40</f>
        <v>3345254</v>
      </c>
      <c r="ED54" s="608">
        <f t="shared" si="348"/>
        <v>3472808</v>
      </c>
      <c r="EE54" s="608">
        <f t="shared" si="348"/>
        <v>563624</v>
      </c>
      <c r="EF54" s="608">
        <f t="shared" si="348"/>
        <v>669087.59</v>
      </c>
      <c r="EG54" s="608">
        <f t="shared" si="348"/>
        <v>427828.99</v>
      </c>
      <c r="EH54" s="608">
        <f t="shared" si="348"/>
        <v>559670</v>
      </c>
      <c r="EI54" s="608">
        <f t="shared" si="348"/>
        <v>910753</v>
      </c>
      <c r="EJ54" s="608">
        <f t="shared" si="348"/>
        <v>1034374</v>
      </c>
      <c r="EK54" s="608">
        <f t="shared" si="348"/>
        <v>3932042</v>
      </c>
      <c r="EL54" s="608">
        <f t="shared" si="348"/>
        <v>8624026</v>
      </c>
      <c r="EM54" s="608">
        <f t="shared" si="348"/>
        <v>2698808</v>
      </c>
      <c r="EN54" s="608">
        <f t="shared" si="348"/>
        <v>2394473</v>
      </c>
      <c r="EO54" s="608">
        <f t="shared" si="348"/>
        <v>236418</v>
      </c>
      <c r="EP54" s="608">
        <f t="shared" si="348"/>
        <v>2171123</v>
      </c>
      <c r="EQ54" s="608">
        <f t="shared" si="348"/>
        <v>1844122</v>
      </c>
      <c r="ER54" s="608">
        <f t="shared" si="348"/>
        <v>5251868</v>
      </c>
      <c r="ES54" s="608">
        <f t="shared" si="348"/>
        <v>2770560</v>
      </c>
      <c r="ET54" s="608">
        <f t="shared" si="348"/>
        <v>0</v>
      </c>
      <c r="EU54" s="608">
        <f t="shared" si="348"/>
        <v>804000</v>
      </c>
      <c r="EV54" s="608">
        <f t="shared" si="348"/>
        <v>225535</v>
      </c>
      <c r="EW54" s="608">
        <f t="shared" si="348"/>
        <v>2356313</v>
      </c>
      <c r="EX54" s="608">
        <f t="shared" si="348"/>
        <v>5404290</v>
      </c>
      <c r="EY54" s="608">
        <f t="shared" si="348"/>
        <v>2044845</v>
      </c>
      <c r="EZ54" s="608">
        <f t="shared" si="348"/>
        <v>111326</v>
      </c>
      <c r="FA54" s="608">
        <f t="shared" si="348"/>
        <v>793692</v>
      </c>
      <c r="FB54" s="608">
        <f t="shared" si="348"/>
        <v>139761</v>
      </c>
      <c r="FC54" s="608">
        <f t="shared" si="348"/>
        <v>3000000</v>
      </c>
      <c r="FD54" s="608">
        <f t="shared" si="348"/>
        <v>772461</v>
      </c>
      <c r="FE54" s="608">
        <f t="shared" si="348"/>
        <v>262500</v>
      </c>
      <c r="FF54" s="608">
        <f t="shared" si="348"/>
        <v>1117120</v>
      </c>
      <c r="FG54" s="608">
        <f t="shared" si="348"/>
        <v>4683650</v>
      </c>
      <c r="FH54" s="608">
        <f t="shared" si="348"/>
        <v>5519580</v>
      </c>
      <c r="FI54" s="608">
        <f t="shared" si="348"/>
        <v>5568487</v>
      </c>
      <c r="FJ54" s="608">
        <f t="shared" si="348"/>
        <v>1579046</v>
      </c>
      <c r="FK54" s="608">
        <f t="shared" si="348"/>
        <v>281852</v>
      </c>
      <c r="FL54" s="608">
        <f t="shared" si="348"/>
        <v>601762</v>
      </c>
      <c r="FM54" s="608">
        <f t="shared" si="348"/>
        <v>2626403</v>
      </c>
      <c r="FN54" s="608">
        <f t="shared" si="348"/>
        <v>6459380</v>
      </c>
      <c r="FO54" s="608">
        <f t="shared" si="348"/>
        <v>1659657</v>
      </c>
      <c r="FP54" s="608">
        <f t="shared" si="348"/>
        <v>12144452</v>
      </c>
      <c r="FQ54" s="608">
        <f t="shared" si="348"/>
        <v>1909423</v>
      </c>
      <c r="FR54" s="608">
        <f t="shared" si="348"/>
        <v>0</v>
      </c>
      <c r="FS54" s="608">
        <f t="shared" si="348"/>
        <v>477570</v>
      </c>
      <c r="FT54" s="608">
        <f t="shared" si="348"/>
        <v>2948610</v>
      </c>
      <c r="FU54" s="608">
        <f t="shared" si="348"/>
        <v>426547</v>
      </c>
      <c r="FV54" s="608">
        <f t="shared" si="348"/>
        <v>559074</v>
      </c>
      <c r="FW54" s="608">
        <f t="shared" si="348"/>
        <v>1013735</v>
      </c>
      <c r="FX54" s="608">
        <f t="shared" si="348"/>
        <v>364926</v>
      </c>
      <c r="FY54" s="608">
        <f t="shared" si="348"/>
        <v>209591</v>
      </c>
      <c r="FZ54" s="608">
        <f t="shared" si="348"/>
        <v>2576210</v>
      </c>
      <c r="GA54" s="608">
        <f t="shared" si="348"/>
        <v>234850</v>
      </c>
      <c r="GB54" s="608">
        <f t="shared" si="348"/>
        <v>1751320</v>
      </c>
      <c r="GC54" s="608">
        <f t="shared" si="348"/>
        <v>2155529</v>
      </c>
      <c r="GD54" s="608">
        <f t="shared" si="348"/>
        <v>7122291</v>
      </c>
      <c r="GE54" s="608">
        <f t="shared" si="348"/>
        <v>1339065</v>
      </c>
      <c r="GF54" s="608">
        <f t="shared" si="348"/>
        <v>3590557</v>
      </c>
      <c r="GG54" s="608">
        <f t="shared" si="348"/>
        <v>1289981</v>
      </c>
      <c r="GH54" s="608">
        <f t="shared" si="348"/>
        <v>1089582</v>
      </c>
      <c r="GI54" s="608">
        <f t="shared" si="348"/>
        <v>6898917</v>
      </c>
      <c r="GJ54" s="608">
        <f t="shared" si="348"/>
        <v>1667501</v>
      </c>
      <c r="GK54" s="608">
        <f t="shared" si="348"/>
        <v>666130</v>
      </c>
      <c r="GL54" s="608">
        <f t="shared" si="348"/>
        <v>529296</v>
      </c>
      <c r="GM54" s="608">
        <f t="shared" si="348"/>
        <v>753240</v>
      </c>
      <c r="GN54" s="608">
        <f t="shared" si="348"/>
        <v>603116</v>
      </c>
      <c r="GO54" s="608">
        <f t="shared" ref="GO54:IZ54" si="349">GO37+GO38+GO39+GO40</f>
        <v>3581549</v>
      </c>
      <c r="GP54" s="608">
        <f t="shared" si="349"/>
        <v>520270</v>
      </c>
      <c r="GQ54" s="608">
        <f t="shared" si="349"/>
        <v>740230</v>
      </c>
      <c r="GR54" s="608">
        <f t="shared" si="349"/>
        <v>693152</v>
      </c>
      <c r="GS54" s="608">
        <f t="shared" si="349"/>
        <v>165886</v>
      </c>
      <c r="GT54" s="608">
        <f t="shared" si="349"/>
        <v>8345502</v>
      </c>
      <c r="GU54" s="608">
        <f t="shared" si="349"/>
        <v>761571</v>
      </c>
      <c r="GV54" s="608">
        <f t="shared" si="349"/>
        <v>4959810</v>
      </c>
      <c r="GW54" s="608">
        <f t="shared" si="349"/>
        <v>1133866</v>
      </c>
      <c r="GX54" s="608">
        <f t="shared" si="349"/>
        <v>154333</v>
      </c>
      <c r="GY54" s="608">
        <f t="shared" si="349"/>
        <v>10721860</v>
      </c>
      <c r="GZ54" s="608">
        <f t="shared" si="349"/>
        <v>0</v>
      </c>
      <c r="HA54" s="608">
        <f t="shared" si="349"/>
        <v>4876560</v>
      </c>
      <c r="HB54" s="608">
        <f t="shared" si="349"/>
        <v>1991460</v>
      </c>
      <c r="HC54" s="608">
        <f t="shared" si="349"/>
        <v>5134000</v>
      </c>
      <c r="HD54" s="608">
        <f t="shared" si="349"/>
        <v>1401300</v>
      </c>
      <c r="HE54" s="608">
        <f t="shared" si="349"/>
        <v>4443200</v>
      </c>
      <c r="HF54" s="608">
        <f t="shared" si="349"/>
        <v>707286</v>
      </c>
      <c r="HG54" s="608">
        <f t="shared" si="349"/>
        <v>518077</v>
      </c>
      <c r="HH54" s="608">
        <f t="shared" si="349"/>
        <v>1985778</v>
      </c>
      <c r="HI54" s="608">
        <f t="shared" si="349"/>
        <v>1514623</v>
      </c>
      <c r="HJ54" s="608">
        <f t="shared" si="349"/>
        <v>495460</v>
      </c>
      <c r="HK54" s="608">
        <f t="shared" si="349"/>
        <v>144000</v>
      </c>
      <c r="HL54" s="608">
        <f>HL37+HL38+HL39+HL40</f>
        <v>37366967.243574739</v>
      </c>
      <c r="HM54" s="608">
        <f t="shared" si="349"/>
        <v>25001512.541579321</v>
      </c>
      <c r="HN54" s="608">
        <f t="shared" si="349"/>
        <v>808776.41538817156</v>
      </c>
      <c r="HO54" s="608">
        <f t="shared" si="349"/>
        <v>2876769.799457768</v>
      </c>
      <c r="HP54" s="608">
        <f t="shared" si="349"/>
        <v>27787218</v>
      </c>
      <c r="HQ54" s="608">
        <f t="shared" si="349"/>
        <v>978043.38080963399</v>
      </c>
      <c r="HR54" s="608">
        <f t="shared" si="349"/>
        <v>33541191.281565275</v>
      </c>
      <c r="HS54" s="608">
        <f t="shared" si="349"/>
        <v>5691227.33762509</v>
      </c>
      <c r="HT54" s="608">
        <f t="shared" si="349"/>
        <v>22599685</v>
      </c>
      <c r="HU54" s="608">
        <f t="shared" si="349"/>
        <v>21507994</v>
      </c>
      <c r="HV54" s="608">
        <f t="shared" si="349"/>
        <v>16689127</v>
      </c>
      <c r="HW54" s="608">
        <f t="shared" si="349"/>
        <v>6965541.9659980796</v>
      </c>
      <c r="HX54" s="608">
        <f t="shared" si="349"/>
        <v>17983528.03400192</v>
      </c>
      <c r="HY54" s="608">
        <f t="shared" si="349"/>
        <v>21105762</v>
      </c>
      <c r="HZ54" s="608">
        <f t="shared" si="349"/>
        <v>9565941</v>
      </c>
      <c r="IA54" s="608">
        <f t="shared" si="349"/>
        <v>9107487</v>
      </c>
      <c r="IB54" s="608">
        <f t="shared" si="349"/>
        <v>8575181</v>
      </c>
      <c r="IC54" s="608">
        <f t="shared" si="349"/>
        <v>11233714.822746631</v>
      </c>
      <c r="ID54" s="608">
        <f t="shared" si="349"/>
        <v>9255791.1772533692</v>
      </c>
      <c r="IE54" s="608">
        <f t="shared" si="349"/>
        <v>16188892</v>
      </c>
      <c r="IF54" s="608">
        <f t="shared" si="349"/>
        <v>20259987.198794641</v>
      </c>
      <c r="IG54" s="608">
        <f t="shared" si="349"/>
        <v>5446079.8012053594</v>
      </c>
      <c r="IH54" s="608">
        <f t="shared" si="349"/>
        <v>3012886.5890955012</v>
      </c>
      <c r="II54" s="608">
        <f t="shared" si="349"/>
        <v>20841865.049244203</v>
      </c>
      <c r="IJ54" s="608">
        <f t="shared" si="349"/>
        <v>1674908.5338407224</v>
      </c>
      <c r="IK54" s="608">
        <f t="shared" si="349"/>
        <v>3577558.8278195728</v>
      </c>
      <c r="IL54" s="608">
        <f t="shared" si="349"/>
        <v>9204656</v>
      </c>
      <c r="IM54" s="608">
        <f t="shared" si="349"/>
        <v>701837.84282009513</v>
      </c>
      <c r="IN54" s="608">
        <f t="shared" si="349"/>
        <v>10213951.504810652</v>
      </c>
      <c r="IO54" s="608">
        <f t="shared" si="349"/>
        <v>3412493.6523692533</v>
      </c>
      <c r="IP54" s="608">
        <f t="shared" si="349"/>
        <v>22515867</v>
      </c>
      <c r="IQ54" s="608">
        <f t="shared" si="349"/>
        <v>22563962.666168727</v>
      </c>
      <c r="IR54" s="608">
        <f t="shared" si="349"/>
        <v>1003066.3338312713</v>
      </c>
      <c r="IS54" s="608">
        <f t="shared" si="349"/>
        <v>53065674.509968996</v>
      </c>
      <c r="IT54" s="608">
        <f t="shared" si="349"/>
        <v>12209859.490031004</v>
      </c>
      <c r="IU54" s="608">
        <f t="shared" si="349"/>
        <v>3182630.0362361362</v>
      </c>
      <c r="IV54" s="608">
        <f t="shared" si="349"/>
        <v>8522404.8188311569</v>
      </c>
      <c r="IW54" s="608">
        <f t="shared" si="349"/>
        <v>15638894.711101327</v>
      </c>
      <c r="IX54" s="608">
        <f t="shared" si="349"/>
        <v>1813436.4338313788</v>
      </c>
      <c r="IY54" s="608">
        <f t="shared" si="349"/>
        <v>7604648.4471565671</v>
      </c>
      <c r="IZ54" s="608">
        <f t="shared" si="349"/>
        <v>18227943.552843433</v>
      </c>
      <c r="JA54" s="608">
        <f t="shared" ref="JA54:JH54" si="350">JA37+JA38+JA39+JA40</f>
        <v>3037151.73</v>
      </c>
      <c r="JB54" s="608">
        <f t="shared" si="350"/>
        <v>2895174.04</v>
      </c>
      <c r="JC54" s="608">
        <f t="shared" si="350"/>
        <v>2268778.09</v>
      </c>
      <c r="JD54" s="608">
        <f t="shared" si="350"/>
        <v>5052980.7</v>
      </c>
      <c r="JE54" s="608">
        <f t="shared" si="350"/>
        <v>1159105.145059247</v>
      </c>
      <c r="JF54" s="608">
        <f t="shared" si="350"/>
        <v>29898599.85494075</v>
      </c>
      <c r="JG54" s="608">
        <f t="shared" si="350"/>
        <v>30541537</v>
      </c>
      <c r="JH54" s="608">
        <f t="shared" si="350"/>
        <v>868740</v>
      </c>
      <c r="JI54" s="314"/>
      <c r="JL54" s="307">
        <f t="shared" ref="JL54:JO58" si="351">SUMIFS($C54:$JH54,$C$5:$JH$5,JL$5)</f>
        <v>22168505</v>
      </c>
      <c r="JM54" s="307">
        <f t="shared" si="351"/>
        <v>364768028.49999994</v>
      </c>
      <c r="JN54" s="307">
        <f t="shared" si="351"/>
        <v>153322946</v>
      </c>
      <c r="JO54" s="307">
        <f t="shared" si="351"/>
        <v>625247030.56000006</v>
      </c>
      <c r="JP54" s="307">
        <f t="shared" ref="JP54" si="352">SUM(JL54:JO54)</f>
        <v>1165506510.0599999</v>
      </c>
    </row>
    <row r="55" spans="1:277" ht="15.75" thickBot="1" x14ac:dyDescent="0.3">
      <c r="B55" s="607" t="s">
        <v>2565</v>
      </c>
      <c r="C55" s="608">
        <f>C47+C48+C51</f>
        <v>9246049.1510793846</v>
      </c>
      <c r="D55" s="608">
        <f>D47+D48+D51</f>
        <v>8080000</v>
      </c>
      <c r="E55" s="608">
        <f t="shared" ref="E55:BP55" si="353">E47+E48+E51</f>
        <v>8707194.8468445688</v>
      </c>
      <c r="F55" s="608">
        <f t="shared" si="353"/>
        <v>3616884.7088353573</v>
      </c>
      <c r="G55" s="608">
        <f t="shared" si="353"/>
        <v>10328003.127290595</v>
      </c>
      <c r="H55" s="608">
        <f t="shared" si="353"/>
        <v>916710.41611130896</v>
      </c>
      <c r="I55" s="608">
        <f t="shared" si="353"/>
        <v>3162879.4741952131</v>
      </c>
      <c r="J55" s="608">
        <f t="shared" si="353"/>
        <v>2804600.7844202179</v>
      </c>
      <c r="K55" s="608">
        <f t="shared" si="353"/>
        <v>5569047.6841046801</v>
      </c>
      <c r="L55" s="608">
        <f t="shared" si="353"/>
        <v>3749955.8292569402</v>
      </c>
      <c r="M55" s="608">
        <f t="shared" si="353"/>
        <v>3667775.238895766</v>
      </c>
      <c r="N55" s="608">
        <f t="shared" si="353"/>
        <v>4468302.8370803231</v>
      </c>
      <c r="O55" s="608">
        <f t="shared" si="353"/>
        <v>4201135.2104233941</v>
      </c>
      <c r="P55" s="608">
        <f t="shared" si="353"/>
        <v>2570026.0021816893</v>
      </c>
      <c r="Q55" s="608">
        <f t="shared" si="353"/>
        <v>1836488.4791010155</v>
      </c>
      <c r="R55" s="608">
        <f t="shared" si="353"/>
        <v>1995152.5855679074</v>
      </c>
      <c r="S55" s="608">
        <f t="shared" si="353"/>
        <v>1592295.0747897534</v>
      </c>
      <c r="T55" s="608">
        <f t="shared" si="353"/>
        <v>622773.51077815378</v>
      </c>
      <c r="U55" s="608">
        <f t="shared" si="353"/>
        <v>949160.26616723067</v>
      </c>
      <c r="V55" s="608">
        <f t="shared" si="353"/>
        <v>9030900</v>
      </c>
      <c r="W55" s="608">
        <f t="shared" si="353"/>
        <v>2379600</v>
      </c>
      <c r="X55" s="608">
        <f t="shared" si="353"/>
        <v>2069081.086187847</v>
      </c>
      <c r="Y55" s="608">
        <f t="shared" si="353"/>
        <v>1969745.4492107111</v>
      </c>
      <c r="Z55" s="608">
        <f t="shared" si="353"/>
        <v>7441924</v>
      </c>
      <c r="AA55" s="608">
        <f t="shared" si="353"/>
        <v>4018818.3267021552</v>
      </c>
      <c r="AB55" s="608">
        <f t="shared" si="353"/>
        <v>2999148.135966239</v>
      </c>
      <c r="AC55" s="608">
        <f t="shared" ref="AC55" si="354">AC47+AC48+AC51</f>
        <v>471661.84132364974</v>
      </c>
      <c r="AD55" s="608">
        <f t="shared" si="353"/>
        <v>2341104.6985613657</v>
      </c>
      <c r="AE55" s="608">
        <f t="shared" si="353"/>
        <v>1133448.5258989439</v>
      </c>
      <c r="AF55" s="608">
        <f t="shared" si="353"/>
        <v>3323451.9295379585</v>
      </c>
      <c r="AG55" s="608">
        <f t="shared" si="353"/>
        <v>3243107.0288166855</v>
      </c>
      <c r="AH55" s="608">
        <f t="shared" si="353"/>
        <v>807300</v>
      </c>
      <c r="AI55" s="608">
        <f t="shared" si="353"/>
        <v>4368180</v>
      </c>
      <c r="AJ55" s="608">
        <f t="shared" si="353"/>
        <v>2788040</v>
      </c>
      <c r="AK55" s="608">
        <f t="shared" si="353"/>
        <v>1383868</v>
      </c>
      <c r="AL55" s="608">
        <f t="shared" si="353"/>
        <v>1952909.1633510776</v>
      </c>
      <c r="AM55" s="608">
        <f t="shared" si="353"/>
        <v>1499708.3726341231</v>
      </c>
      <c r="AN55" s="608">
        <f t="shared" si="353"/>
        <v>900316.50444272615</v>
      </c>
      <c r="AO55" s="608">
        <f t="shared" si="353"/>
        <v>3733033.6631408297</v>
      </c>
      <c r="AP55" s="608">
        <f t="shared" si="353"/>
        <v>2181740</v>
      </c>
      <c r="AQ55" s="608">
        <f t="shared" si="353"/>
        <v>247109.40431126149</v>
      </c>
      <c r="AR55" s="608">
        <f t="shared" si="353"/>
        <v>1531740.3992508459</v>
      </c>
      <c r="AS55" s="608">
        <f t="shared" si="353"/>
        <v>408664.10646689229</v>
      </c>
      <c r="AT55" s="608">
        <f t="shared" si="353"/>
        <v>1940142.1939772759</v>
      </c>
      <c r="AU55" s="608">
        <f t="shared" si="353"/>
        <v>891886.2833224081</v>
      </c>
      <c r="AV55" s="608">
        <f t="shared" si="353"/>
        <v>2003660.6772952261</v>
      </c>
      <c r="AW55" s="608">
        <f t="shared" si="353"/>
        <v>3359522.5550434329</v>
      </c>
      <c r="AX55" s="608">
        <f t="shared" si="353"/>
        <v>2631815.8082949743</v>
      </c>
      <c r="AY55" s="608">
        <f t="shared" si="353"/>
        <v>2954681.8379533906</v>
      </c>
      <c r="AZ55" s="608">
        <f t="shared" si="353"/>
        <v>3434507</v>
      </c>
      <c r="BA55" s="608">
        <f t="shared" si="353"/>
        <v>9913000</v>
      </c>
      <c r="BB55" s="608">
        <f t="shared" si="353"/>
        <v>1271269.6704784923</v>
      </c>
      <c r="BC55" s="608">
        <f t="shared" si="353"/>
        <v>1223742.4938025323</v>
      </c>
      <c r="BD55" s="608">
        <f t="shared" si="353"/>
        <v>1716343.9493165785</v>
      </c>
      <c r="BE55" s="608">
        <f t="shared" si="353"/>
        <v>1290934.3566507786</v>
      </c>
      <c r="BF55" s="608">
        <f t="shared" si="353"/>
        <v>2669371.3941904306</v>
      </c>
      <c r="BG55" s="608">
        <f t="shared" si="353"/>
        <v>3342000</v>
      </c>
      <c r="BH55" s="608">
        <f t="shared" si="353"/>
        <v>3388109.2415605099</v>
      </c>
      <c r="BI55" s="608">
        <f t="shared" si="353"/>
        <v>2370000</v>
      </c>
      <c r="BJ55" s="608">
        <f t="shared" si="353"/>
        <v>2617236.6701121721</v>
      </c>
      <c r="BK55" s="608">
        <f t="shared" si="353"/>
        <v>1010000</v>
      </c>
      <c r="BL55" s="608">
        <f t="shared" si="353"/>
        <v>455138.49500087276</v>
      </c>
      <c r="BM55" s="608">
        <f t="shared" si="353"/>
        <v>2033799.04</v>
      </c>
      <c r="BN55" s="608">
        <f t="shared" si="353"/>
        <v>1620066.5982387629</v>
      </c>
      <c r="BO55" s="608">
        <f t="shared" si="353"/>
        <v>893754.3738330903</v>
      </c>
      <c r="BP55" s="608">
        <f t="shared" si="353"/>
        <v>4652080</v>
      </c>
      <c r="BQ55" s="608">
        <f t="shared" ref="BQ55:EB55" si="355">BQ47+BQ48+BQ51</f>
        <v>847233.45560883218</v>
      </c>
      <c r="BR55" s="608">
        <f t="shared" si="355"/>
        <v>922744.23955050774</v>
      </c>
      <c r="BS55" s="608">
        <f t="shared" si="355"/>
        <v>1106992.3194006768</v>
      </c>
      <c r="BT55" s="608">
        <f t="shared" si="355"/>
        <v>914160.26616723067</v>
      </c>
      <c r="BU55" s="608">
        <f t="shared" si="355"/>
        <v>3296637.2294955002</v>
      </c>
      <c r="BV55" s="608">
        <f t="shared" si="355"/>
        <v>1073756.9828447448</v>
      </c>
      <c r="BW55" s="608">
        <f t="shared" si="355"/>
        <v>279282.84005258582</v>
      </c>
      <c r="BX55" s="608">
        <f t="shared" si="355"/>
        <v>3752473.123708467</v>
      </c>
      <c r="BY55" s="608">
        <f t="shared" si="355"/>
        <v>1335527.6887355854</v>
      </c>
      <c r="BZ55" s="608">
        <f t="shared" si="355"/>
        <v>99019.987553595856</v>
      </c>
      <c r="CA55" s="608">
        <f t="shared" si="355"/>
        <v>0</v>
      </c>
      <c r="CB55" s="608">
        <f t="shared" si="355"/>
        <v>199370.83989924585</v>
      </c>
      <c r="CC55" s="608">
        <f t="shared" si="355"/>
        <v>2010013.9100289997</v>
      </c>
      <c r="CD55" s="608">
        <f t="shared" si="355"/>
        <v>586773.51077815378</v>
      </c>
      <c r="CE55" s="608">
        <f t="shared" si="355"/>
        <v>9715050.1253167707</v>
      </c>
      <c r="CF55" s="608">
        <f t="shared" si="355"/>
        <v>4453617.8393289512</v>
      </c>
      <c r="CG55" s="608">
        <f t="shared" si="355"/>
        <v>8768581.4960704464</v>
      </c>
      <c r="CH55" s="608">
        <f t="shared" si="355"/>
        <v>3959479.0792496316</v>
      </c>
      <c r="CI55" s="608">
        <f t="shared" si="355"/>
        <v>3318851.9671994289</v>
      </c>
      <c r="CJ55" s="608">
        <f t="shared" si="355"/>
        <v>3854195.0818283353</v>
      </c>
      <c r="CK55" s="608">
        <f t="shared" si="355"/>
        <v>4571780</v>
      </c>
      <c r="CL55" s="608">
        <f t="shared" si="355"/>
        <v>2611798.7485544984</v>
      </c>
      <c r="CM55" s="608">
        <f t="shared" si="355"/>
        <v>6012336.4399863137</v>
      </c>
      <c r="CN55" s="608">
        <f t="shared" si="355"/>
        <v>1149857.8541530101</v>
      </c>
      <c r="CO55" s="608">
        <f t="shared" si="355"/>
        <v>1064857.8541530101</v>
      </c>
      <c r="CP55" s="608">
        <f t="shared" si="355"/>
        <v>1099857.8541530101</v>
      </c>
      <c r="CQ55" s="608">
        <f t="shared" si="355"/>
        <v>5515036.573718125</v>
      </c>
      <c r="CR55" s="608">
        <f t="shared" si="355"/>
        <v>2367817</v>
      </c>
      <c r="CS55" s="608">
        <f t="shared" si="355"/>
        <v>3589793.26</v>
      </c>
      <c r="CT55" s="608">
        <f t="shared" si="355"/>
        <v>5929679.8103662794</v>
      </c>
      <c r="CU55" s="608">
        <f t="shared" si="355"/>
        <v>1974027.6887355854</v>
      </c>
      <c r="CV55" s="608">
        <f t="shared" si="355"/>
        <v>5237702.4005636657</v>
      </c>
      <c r="CW55" s="608">
        <f t="shared" si="355"/>
        <v>445664.10646689229</v>
      </c>
      <c r="CX55" s="608">
        <f t="shared" si="355"/>
        <v>3686532</v>
      </c>
      <c r="CY55" s="608">
        <f t="shared" si="355"/>
        <v>2881083.2839012085</v>
      </c>
      <c r="CZ55" s="608">
        <f t="shared" si="355"/>
        <v>1449800</v>
      </c>
      <c r="DA55" s="608">
        <f t="shared" si="355"/>
        <v>8578781.7210858986</v>
      </c>
      <c r="DB55" s="608">
        <f t="shared" si="355"/>
        <v>654189.53739487671</v>
      </c>
      <c r="DC55" s="608">
        <f t="shared" si="355"/>
        <v>1707286.7812295151</v>
      </c>
      <c r="DD55" s="608">
        <f t="shared" si="355"/>
        <v>5379283.4795616046</v>
      </c>
      <c r="DE55" s="608">
        <f t="shared" si="355"/>
        <v>7596996.8713862468</v>
      </c>
      <c r="DF55" s="608">
        <f t="shared" si="355"/>
        <v>7381996.8713862468</v>
      </c>
      <c r="DG55" s="608">
        <f t="shared" si="355"/>
        <v>802938.16515118408</v>
      </c>
      <c r="DH55" s="608">
        <f t="shared" si="355"/>
        <v>2437341.0743335127</v>
      </c>
      <c r="DI55" s="608">
        <f t="shared" si="355"/>
        <v>1137805.3840966881</v>
      </c>
      <c r="DJ55" s="608">
        <f t="shared" si="355"/>
        <v>1920826</v>
      </c>
      <c r="DK55" s="608">
        <f t="shared" si="355"/>
        <v>2577327.818091928</v>
      </c>
      <c r="DL55" s="608">
        <f t="shared" si="355"/>
        <v>3021993.2555374205</v>
      </c>
      <c r="DM55" s="608">
        <f t="shared" si="355"/>
        <v>1912949.4414940039</v>
      </c>
      <c r="DN55" s="608">
        <f t="shared" si="355"/>
        <v>3390573.5624590302</v>
      </c>
      <c r="DO55" s="608">
        <f t="shared" si="355"/>
        <v>1402300.3922101089</v>
      </c>
      <c r="DP55" s="608">
        <f t="shared" si="355"/>
        <v>3858288.0259972829</v>
      </c>
      <c r="DQ55" s="608">
        <f t="shared" si="355"/>
        <v>4329795</v>
      </c>
      <c r="DR55" s="608">
        <f t="shared" si="355"/>
        <v>4985313.5</v>
      </c>
      <c r="DS55" s="608">
        <f t="shared" si="355"/>
        <v>1625552.2365860054</v>
      </c>
      <c r="DT55" s="608">
        <f t="shared" si="355"/>
        <v>3360500</v>
      </c>
      <c r="DU55" s="608">
        <f t="shared" si="355"/>
        <v>2119508.9633388799</v>
      </c>
      <c r="DV55" s="608">
        <f t="shared" si="355"/>
        <v>6440000</v>
      </c>
      <c r="DW55" s="608">
        <f t="shared" si="355"/>
        <v>1463011.5734570101</v>
      </c>
      <c r="DX55" s="608">
        <f t="shared" si="355"/>
        <v>4464719.1541079516</v>
      </c>
      <c r="DY55" s="608">
        <f t="shared" si="355"/>
        <v>4581142.7504826486</v>
      </c>
      <c r="DZ55" s="608">
        <f t="shared" si="355"/>
        <v>723925.6888148766</v>
      </c>
      <c r="EA55" s="608">
        <f t="shared" si="355"/>
        <v>3387972.7647054419</v>
      </c>
      <c r="EB55" s="608">
        <f t="shared" si="355"/>
        <v>5751412.8583436497</v>
      </c>
      <c r="EC55" s="608">
        <f t="shared" ref="EC55:GN55" si="356">EC47+EC48+EC51</f>
        <v>3191237.7834975314</v>
      </c>
      <c r="ED55" s="608">
        <f t="shared" si="356"/>
        <v>3500133.2612115145</v>
      </c>
      <c r="EE55" s="608">
        <f t="shared" si="356"/>
        <v>744189.53739487671</v>
      </c>
      <c r="EF55" s="608">
        <f t="shared" si="356"/>
        <v>813466.88847269223</v>
      </c>
      <c r="EG55" s="608">
        <f t="shared" si="356"/>
        <v>418924.26007887878</v>
      </c>
      <c r="EH55" s="608">
        <f t="shared" si="356"/>
        <v>719811.80860682938</v>
      </c>
      <c r="EI55" s="608">
        <f t="shared" si="356"/>
        <v>1178000</v>
      </c>
      <c r="EJ55" s="608">
        <f t="shared" si="356"/>
        <v>1254497.1182819521</v>
      </c>
      <c r="EK55" s="608">
        <f t="shared" si="356"/>
        <v>3074481.0875684507</v>
      </c>
      <c r="EL55" s="608">
        <f t="shared" si="356"/>
        <v>8819171.525295848</v>
      </c>
      <c r="EM55" s="608">
        <f t="shared" si="356"/>
        <v>2817690.3194428757</v>
      </c>
      <c r="EN55" s="608">
        <f t="shared" si="356"/>
        <v>2365410.3824750152</v>
      </c>
      <c r="EO55" s="608">
        <f t="shared" si="356"/>
        <v>282109.40431126149</v>
      </c>
      <c r="EP55" s="608">
        <f t="shared" si="356"/>
        <v>2982329.1261055968</v>
      </c>
      <c r="EQ55" s="608">
        <f t="shared" si="356"/>
        <v>1752875.490262636</v>
      </c>
      <c r="ER55" s="608">
        <f t="shared" si="356"/>
        <v>6886000</v>
      </c>
      <c r="ES55" s="608">
        <f t="shared" si="356"/>
        <v>0</v>
      </c>
      <c r="ET55" s="608">
        <f t="shared" si="356"/>
        <v>1009463.051162631</v>
      </c>
      <c r="EU55" s="608">
        <f t="shared" si="356"/>
        <v>2855783.9144364195</v>
      </c>
      <c r="EV55" s="608">
        <f t="shared" si="356"/>
        <v>477773.51077815378</v>
      </c>
      <c r="EW55" s="608">
        <f t="shared" si="356"/>
        <v>2713993.2555374205</v>
      </c>
      <c r="EX55" s="608">
        <f t="shared" si="356"/>
        <v>6400000</v>
      </c>
      <c r="EY55" s="608">
        <f t="shared" si="356"/>
        <v>2210257.3620478925</v>
      </c>
      <c r="EZ55" s="608">
        <f t="shared" si="356"/>
        <v>0</v>
      </c>
      <c r="FA55" s="608">
        <f t="shared" si="356"/>
        <v>1647298.424768026</v>
      </c>
      <c r="FB55" s="608">
        <f t="shared" si="356"/>
        <v>265664.49062636285</v>
      </c>
      <c r="FC55" s="608">
        <f t="shared" si="356"/>
        <v>3419615.4215486925</v>
      </c>
      <c r="FD55" s="608">
        <f t="shared" si="356"/>
        <v>1059104.6825002881</v>
      </c>
      <c r="FE55" s="608">
        <f t="shared" si="356"/>
        <v>381240.58884631132</v>
      </c>
      <c r="FF55" s="608">
        <f t="shared" si="356"/>
        <v>1561200</v>
      </c>
      <c r="FG55" s="608">
        <f t="shared" si="356"/>
        <v>7803422.0195525251</v>
      </c>
      <c r="FH55" s="608">
        <f t="shared" si="356"/>
        <v>6553103</v>
      </c>
      <c r="FI55" s="608">
        <f t="shared" si="356"/>
        <v>8710000</v>
      </c>
      <c r="FJ55" s="608">
        <f t="shared" si="356"/>
        <v>2048857</v>
      </c>
      <c r="FK55" s="608">
        <f t="shared" si="356"/>
        <v>329983.22672073392</v>
      </c>
      <c r="FL55" s="608">
        <f t="shared" si="356"/>
        <v>703612.78406076948</v>
      </c>
      <c r="FM55" s="608">
        <f t="shared" si="356"/>
        <v>3934590.6565853953</v>
      </c>
      <c r="FN55" s="608">
        <f t="shared" si="356"/>
        <v>7374936.4799554544</v>
      </c>
      <c r="FO55" s="608">
        <f t="shared" si="356"/>
        <v>1788495</v>
      </c>
      <c r="FP55" s="608">
        <f t="shared" si="356"/>
        <v>13683456</v>
      </c>
      <c r="FQ55" s="608">
        <f t="shared" si="356"/>
        <v>2074686</v>
      </c>
      <c r="FR55" s="608">
        <f t="shared" si="356"/>
        <v>3077762.6316878563</v>
      </c>
      <c r="FS55" s="608">
        <f t="shared" si="356"/>
        <v>494433</v>
      </c>
      <c r="FT55" s="608">
        <f t="shared" si="356"/>
        <v>3631470.1663162932</v>
      </c>
      <c r="FU55" s="608">
        <f t="shared" si="356"/>
        <v>513699</v>
      </c>
      <c r="FV55" s="608">
        <f t="shared" si="356"/>
        <v>646327.31987489713</v>
      </c>
      <c r="FW55" s="608">
        <f t="shared" si="356"/>
        <v>1483179</v>
      </c>
      <c r="FX55" s="608">
        <f t="shared" si="356"/>
        <v>585795.82000000007</v>
      </c>
      <c r="FY55" s="608">
        <f t="shared" si="356"/>
        <v>336810</v>
      </c>
      <c r="FZ55" s="608">
        <f t="shared" si="356"/>
        <v>2937555.0490599889</v>
      </c>
      <c r="GA55" s="608">
        <f t="shared" si="356"/>
        <v>281420.48958755797</v>
      </c>
      <c r="GB55" s="608">
        <f t="shared" si="356"/>
        <v>2917014.4862977713</v>
      </c>
      <c r="GC55" s="608">
        <f t="shared" si="356"/>
        <v>2565300.1421770533</v>
      </c>
      <c r="GD55" s="608">
        <f t="shared" si="356"/>
        <v>9906649.8884656765</v>
      </c>
      <c r="GE55" s="608">
        <f t="shared" si="356"/>
        <v>1492741</v>
      </c>
      <c r="GF55" s="608">
        <f t="shared" si="356"/>
        <v>4128600.1778761428</v>
      </c>
      <c r="GG55" s="608">
        <f t="shared" si="356"/>
        <v>1235672.3627191633</v>
      </c>
      <c r="GH55" s="608">
        <f t="shared" si="356"/>
        <v>1220741.4312772285</v>
      </c>
      <c r="GI55" s="608">
        <f t="shared" si="356"/>
        <v>8873249.0869674683</v>
      </c>
      <c r="GJ55" s="608">
        <f t="shared" si="356"/>
        <v>2244910</v>
      </c>
      <c r="GK55" s="608">
        <f t="shared" si="356"/>
        <v>1545953</v>
      </c>
      <c r="GL55" s="608">
        <f t="shared" si="356"/>
        <v>595846</v>
      </c>
      <c r="GM55" s="608">
        <f t="shared" si="356"/>
        <v>857634</v>
      </c>
      <c r="GN55" s="608">
        <f t="shared" si="356"/>
        <v>950602.34</v>
      </c>
      <c r="GO55" s="608">
        <f t="shared" ref="GO55:IZ55" si="357">GO47+GO48+GO51</f>
        <v>5215641</v>
      </c>
      <c r="GP55" s="608">
        <f t="shared" si="357"/>
        <v>546320.06174100889</v>
      </c>
      <c r="GQ55" s="608">
        <f t="shared" si="357"/>
        <v>699796</v>
      </c>
      <c r="GR55" s="608">
        <f t="shared" si="357"/>
        <v>727124.60565148341</v>
      </c>
      <c r="GS55" s="608">
        <f t="shared" si="357"/>
        <v>113648.04672073387</v>
      </c>
      <c r="GT55" s="608">
        <f t="shared" si="357"/>
        <v>9374987.532092277</v>
      </c>
      <c r="GU55" s="608">
        <f t="shared" si="357"/>
        <v>1124440</v>
      </c>
      <c r="GV55" s="608">
        <f t="shared" si="357"/>
        <v>5826176.6456662463</v>
      </c>
      <c r="GW55" s="608">
        <f t="shared" si="357"/>
        <v>1048163.6277687103</v>
      </c>
      <c r="GX55" s="608">
        <f t="shared" si="357"/>
        <v>342955.48977144714</v>
      </c>
      <c r="GY55" s="608">
        <f t="shared" si="357"/>
        <v>13503975</v>
      </c>
      <c r="GZ55" s="608">
        <f t="shared" si="357"/>
        <v>3222820.7912944802</v>
      </c>
      <c r="HA55" s="608">
        <f t="shared" si="357"/>
        <v>5787297.7336099232</v>
      </c>
      <c r="HB55" s="608">
        <f t="shared" si="357"/>
        <v>2721504.0990156494</v>
      </c>
      <c r="HC55" s="608">
        <f t="shared" si="357"/>
        <v>6593000</v>
      </c>
      <c r="HD55" s="608">
        <f t="shared" si="357"/>
        <v>2094993.1421770533</v>
      </c>
      <c r="HE55" s="608">
        <f t="shared" si="357"/>
        <v>6790355</v>
      </c>
      <c r="HF55" s="608">
        <f t="shared" si="357"/>
        <v>1122650</v>
      </c>
      <c r="HG55" s="608">
        <f t="shared" si="357"/>
        <v>663237.36</v>
      </c>
      <c r="HH55" s="608">
        <f t="shared" si="357"/>
        <v>2034520.6688166854</v>
      </c>
      <c r="HI55" s="608">
        <f t="shared" si="357"/>
        <v>2365686.3688977864</v>
      </c>
      <c r="HJ55" s="608">
        <f t="shared" si="357"/>
        <v>997908.83102156827</v>
      </c>
      <c r="HK55" s="608">
        <f t="shared" si="357"/>
        <v>209300</v>
      </c>
      <c r="HL55" s="608">
        <f t="shared" si="357"/>
        <v>43047174.374081343</v>
      </c>
      <c r="HM55" s="608">
        <f t="shared" si="357"/>
        <v>24315023.422150649</v>
      </c>
      <c r="HN55" s="608">
        <f t="shared" si="357"/>
        <v>992757.48207886913</v>
      </c>
      <c r="HO55" s="608">
        <f t="shared" si="357"/>
        <v>2847160.6666890793</v>
      </c>
      <c r="HP55" s="608">
        <f t="shared" si="357"/>
        <v>33033000</v>
      </c>
      <c r="HQ55" s="608">
        <f t="shared" si="357"/>
        <v>1032559.9409537765</v>
      </c>
      <c r="HR55" s="608">
        <f t="shared" si="357"/>
        <v>36614806.545883656</v>
      </c>
      <c r="HS55" s="608">
        <f t="shared" si="357"/>
        <v>7195414.637391096</v>
      </c>
      <c r="HT55" s="608">
        <f t="shared" si="357"/>
        <v>18595469.590470783</v>
      </c>
      <c r="HU55" s="608">
        <f t="shared" si="357"/>
        <v>27435219.005208258</v>
      </c>
      <c r="HV55" s="608">
        <f t="shared" si="357"/>
        <v>21508000</v>
      </c>
      <c r="HW55" s="608">
        <f t="shared" si="357"/>
        <v>5561920</v>
      </c>
      <c r="HX55" s="608">
        <f t="shared" si="357"/>
        <v>25691721.341380894</v>
      </c>
      <c r="HY55" s="608">
        <f t="shared" si="357"/>
        <v>20382282.173444685</v>
      </c>
      <c r="HZ55" s="608">
        <f t="shared" si="357"/>
        <v>10920004.97769383</v>
      </c>
      <c r="IA55" s="608">
        <f t="shared" si="357"/>
        <v>9979880</v>
      </c>
      <c r="IB55" s="608">
        <f t="shared" si="357"/>
        <v>9823113.9004964307</v>
      </c>
      <c r="IC55" s="608">
        <f t="shared" si="357"/>
        <v>14489500</v>
      </c>
      <c r="ID55" s="608">
        <f t="shared" si="357"/>
        <v>11816000</v>
      </c>
      <c r="IE55" s="608">
        <f t="shared" si="357"/>
        <v>19994059.517665572</v>
      </c>
      <c r="IF55" s="608">
        <f t="shared" si="357"/>
        <v>17198633.588044822</v>
      </c>
      <c r="IG55" s="608">
        <f t="shared" si="357"/>
        <v>5290219.0727247903</v>
      </c>
      <c r="IH55" s="608">
        <f t="shared" si="357"/>
        <v>4013505.4274126575</v>
      </c>
      <c r="II55" s="608">
        <f t="shared" si="357"/>
        <v>19813983.129812181</v>
      </c>
      <c r="IJ55" s="608">
        <f t="shared" si="357"/>
        <v>2183526.9397355039</v>
      </c>
      <c r="IK55" s="608">
        <f t="shared" si="357"/>
        <v>3590263.7456418383</v>
      </c>
      <c r="IL55" s="608">
        <f t="shared" si="357"/>
        <v>10265880.700098794</v>
      </c>
      <c r="IM55" s="608">
        <f t="shared" si="357"/>
        <v>576689.35844624322</v>
      </c>
      <c r="IN55" s="608">
        <f t="shared" si="357"/>
        <v>10983989.105203958</v>
      </c>
      <c r="IO55" s="608">
        <f t="shared" si="357"/>
        <v>4175281.5630752468</v>
      </c>
      <c r="IP55" s="608">
        <f t="shared" si="357"/>
        <v>22497527.177580558</v>
      </c>
      <c r="IQ55" s="608">
        <f t="shared" si="357"/>
        <v>22486957.282894928</v>
      </c>
      <c r="IR55" s="608">
        <f t="shared" si="357"/>
        <v>1066302.6090348614</v>
      </c>
      <c r="IS55" s="608">
        <f t="shared" si="357"/>
        <v>55608500</v>
      </c>
      <c r="IT55" s="608">
        <f t="shared" si="357"/>
        <v>14347100</v>
      </c>
      <c r="IU55" s="608">
        <f t="shared" si="357"/>
        <v>3667436.7806406179</v>
      </c>
      <c r="IV55" s="608">
        <f t="shared" si="357"/>
        <v>8866275.6764279809</v>
      </c>
      <c r="IW55" s="608">
        <f t="shared" si="357"/>
        <v>14122596.481906652</v>
      </c>
      <c r="IX55" s="608">
        <f t="shared" si="357"/>
        <v>2148999.2969357027</v>
      </c>
      <c r="IY55" s="608">
        <f t="shared" si="357"/>
        <v>11376964.508829448</v>
      </c>
      <c r="IZ55" s="608">
        <f t="shared" si="357"/>
        <v>25280595.996755749</v>
      </c>
      <c r="JA55" s="608">
        <f t="shared" ref="JA55:JH55" si="358">JA47+JA48+JA51</f>
        <v>3004510.0697293384</v>
      </c>
      <c r="JB55" s="608">
        <f t="shared" si="358"/>
        <v>3641963.0001571975</v>
      </c>
      <c r="JC55" s="608">
        <f t="shared" si="358"/>
        <v>2089515.4593524667</v>
      </c>
      <c r="JD55" s="608">
        <f t="shared" si="358"/>
        <v>6611240.1754739247</v>
      </c>
      <c r="JE55" s="608">
        <f t="shared" si="358"/>
        <v>850000</v>
      </c>
      <c r="JF55" s="608">
        <f t="shared" si="358"/>
        <v>40477800</v>
      </c>
      <c r="JG55" s="608">
        <f t="shared" si="358"/>
        <v>30588469.164951175</v>
      </c>
      <c r="JH55" s="608">
        <f t="shared" si="358"/>
        <v>1432360.5197921393</v>
      </c>
      <c r="JI55" s="314"/>
      <c r="JL55" s="307">
        <f t="shared" si="351"/>
        <v>26033243.997923955</v>
      </c>
      <c r="JM55" s="307">
        <f t="shared" si="351"/>
        <v>409834302.22590077</v>
      </c>
      <c r="JN55" s="307">
        <f t="shared" si="351"/>
        <v>204656405.26567927</v>
      </c>
      <c r="JO55" s="307">
        <f t="shared" si="351"/>
        <v>693532154.40624762</v>
      </c>
      <c r="JP55" s="307">
        <f t="shared" ref="JP55:JP58" si="359">SUM(JL55:JO55)</f>
        <v>1334056105.8957515</v>
      </c>
    </row>
    <row r="56" spans="1:277" x14ac:dyDescent="0.25">
      <c r="B56" s="313" t="s">
        <v>1828</v>
      </c>
      <c r="C56" s="314">
        <f>C55-C54</f>
        <v>1597049.1510793846</v>
      </c>
      <c r="D56" s="314">
        <f t="shared" ref="D56:BP56" si="360">D55-D54</f>
        <v>1756900</v>
      </c>
      <c r="E56" s="314">
        <f t="shared" si="360"/>
        <v>510789.84684456885</v>
      </c>
      <c r="F56" s="314">
        <f t="shared" si="360"/>
        <v>132284.70883535733</v>
      </c>
      <c r="G56" s="314">
        <f t="shared" si="360"/>
        <v>1429653.1272905953</v>
      </c>
      <c r="H56" s="314">
        <f t="shared" si="360"/>
        <v>65710.416111308965</v>
      </c>
      <c r="I56" s="314">
        <f t="shared" si="360"/>
        <v>941977.47419521306</v>
      </c>
      <c r="J56" s="314">
        <f t="shared" si="360"/>
        <v>212155.78442021785</v>
      </c>
      <c r="K56" s="314">
        <f t="shared" si="360"/>
        <v>199505.68410468008</v>
      </c>
      <c r="L56" s="314">
        <f t="shared" si="360"/>
        <v>-25014.170743059833</v>
      </c>
      <c r="M56" s="314">
        <f t="shared" si="360"/>
        <v>30486.238895765971</v>
      </c>
      <c r="N56" s="314">
        <f t="shared" si="360"/>
        <v>-776697.16291967686</v>
      </c>
      <c r="O56" s="314">
        <f t="shared" si="360"/>
        <v>46206.210423394106</v>
      </c>
      <c r="P56" s="314">
        <f t="shared" si="360"/>
        <v>225010.00218168925</v>
      </c>
      <c r="Q56" s="314">
        <f t="shared" si="360"/>
        <v>371221.47910101549</v>
      </c>
      <c r="R56" s="314">
        <f t="shared" si="360"/>
        <v>-129565.51443209266</v>
      </c>
      <c r="S56" s="314">
        <f t="shared" si="360"/>
        <v>-44857.72521024663</v>
      </c>
      <c r="T56" s="314">
        <f t="shared" si="360"/>
        <v>31437.510778153781</v>
      </c>
      <c r="U56" s="314">
        <f t="shared" si="360"/>
        <v>-150043.73383276933</v>
      </c>
      <c r="V56" s="314">
        <f t="shared" si="360"/>
        <v>-202720</v>
      </c>
      <c r="W56" s="314">
        <f t="shared" si="360"/>
        <v>554600</v>
      </c>
      <c r="X56" s="314">
        <f t="shared" si="360"/>
        <v>759191.08618784696</v>
      </c>
      <c r="Y56" s="314">
        <f t="shared" si="360"/>
        <v>211935.44921071106</v>
      </c>
      <c r="Z56" s="314">
        <f t="shared" si="360"/>
        <v>589924</v>
      </c>
      <c r="AA56" s="314">
        <f t="shared" si="360"/>
        <v>168998.32670215517</v>
      </c>
      <c r="AB56" s="314">
        <f t="shared" si="360"/>
        <v>-48791.864033760969</v>
      </c>
      <c r="AC56" s="314">
        <f t="shared" ref="AC56" si="361">AC55-AC54</f>
        <v>-1535838.1586763503</v>
      </c>
      <c r="AD56" s="314">
        <f t="shared" si="360"/>
        <v>495864.69856136572</v>
      </c>
      <c r="AE56" s="314">
        <f t="shared" si="360"/>
        <v>76840.525898943888</v>
      </c>
      <c r="AF56" s="314">
        <f t="shared" si="360"/>
        <v>1219244.9295379585</v>
      </c>
      <c r="AG56" s="314">
        <f t="shared" si="360"/>
        <v>-82644.971183314454</v>
      </c>
      <c r="AH56" s="314">
        <f t="shared" si="360"/>
        <v>40034</v>
      </c>
      <c r="AI56" s="314">
        <f t="shared" si="360"/>
        <v>1474480</v>
      </c>
      <c r="AJ56" s="314">
        <f t="shared" si="360"/>
        <v>337740</v>
      </c>
      <c r="AK56" s="314">
        <f t="shared" si="360"/>
        <v>186463</v>
      </c>
      <c r="AL56" s="314">
        <f t="shared" si="360"/>
        <v>92493.163351077586</v>
      </c>
      <c r="AM56" s="314">
        <f t="shared" si="360"/>
        <v>125216.37263412308</v>
      </c>
      <c r="AN56" s="314">
        <f t="shared" si="360"/>
        <v>-127583.49555727385</v>
      </c>
      <c r="AO56" s="314">
        <f t="shared" si="360"/>
        <v>4005.6631408296525</v>
      </c>
      <c r="AP56" s="314">
        <f t="shared" si="360"/>
        <v>-78035</v>
      </c>
      <c r="AQ56" s="314">
        <f t="shared" si="360"/>
        <v>-80828.595688738511</v>
      </c>
      <c r="AR56" s="314">
        <f t="shared" si="360"/>
        <v>401149.39925084589</v>
      </c>
      <c r="AS56" s="314">
        <f t="shared" si="360"/>
        <v>-41907.893533107708</v>
      </c>
      <c r="AT56" s="314">
        <f t="shared" si="360"/>
        <v>-235603.80602272414</v>
      </c>
      <c r="AU56" s="314">
        <f t="shared" si="360"/>
        <v>-2385.7166775919031</v>
      </c>
      <c r="AV56" s="314">
        <f t="shared" si="360"/>
        <v>137042.67729522614</v>
      </c>
      <c r="AW56" s="314">
        <f t="shared" si="360"/>
        <v>288647.55504343286</v>
      </c>
      <c r="AX56" s="314">
        <f t="shared" si="360"/>
        <v>-338204.19170502573</v>
      </c>
      <c r="AY56" s="314">
        <f t="shared" si="360"/>
        <v>-136770.16204660945</v>
      </c>
      <c r="AZ56" s="314">
        <f t="shared" si="360"/>
        <v>503272</v>
      </c>
      <c r="BA56" s="314">
        <f t="shared" si="360"/>
        <v>2497732</v>
      </c>
      <c r="BB56" s="314">
        <f t="shared" si="360"/>
        <v>251145.67047849228</v>
      </c>
      <c r="BC56" s="314">
        <f t="shared" si="360"/>
        <v>214997.49380253232</v>
      </c>
      <c r="BD56" s="314">
        <f t="shared" si="360"/>
        <v>438523.94931657845</v>
      </c>
      <c r="BE56" s="314">
        <f t="shared" si="360"/>
        <v>86784.356650778558</v>
      </c>
      <c r="BF56" s="314">
        <f t="shared" si="360"/>
        <v>780411.39419043064</v>
      </c>
      <c r="BG56" s="314">
        <f t="shared" si="360"/>
        <v>997784</v>
      </c>
      <c r="BH56" s="314">
        <f t="shared" si="360"/>
        <v>440041.24156050989</v>
      </c>
      <c r="BI56" s="314">
        <f t="shared" si="360"/>
        <v>901900</v>
      </c>
      <c r="BJ56" s="314">
        <f t="shared" si="360"/>
        <v>-35384.329887827858</v>
      </c>
      <c r="BK56" s="314">
        <f t="shared" si="360"/>
        <v>158000</v>
      </c>
      <c r="BL56" s="314">
        <f t="shared" si="360"/>
        <v>455138.49500087276</v>
      </c>
      <c r="BM56" s="314">
        <f t="shared" si="360"/>
        <v>1418699.04</v>
      </c>
      <c r="BN56" s="314">
        <f t="shared" si="360"/>
        <v>38066.598238762934</v>
      </c>
      <c r="BO56" s="314">
        <f t="shared" si="360"/>
        <v>131744.3738330903</v>
      </c>
      <c r="BP56" s="314">
        <f t="shared" si="360"/>
        <v>732773</v>
      </c>
      <c r="BQ56" s="314">
        <f t="shared" ref="BQ56:EB56" si="362">BQ55-BQ54</f>
        <v>31797.455608832184</v>
      </c>
      <c r="BR56" s="314">
        <f t="shared" si="362"/>
        <v>48404.239550507744</v>
      </c>
      <c r="BS56" s="314">
        <f t="shared" si="362"/>
        <v>-190907.68059932324</v>
      </c>
      <c r="BT56" s="314">
        <f t="shared" si="362"/>
        <v>54060.266167230671</v>
      </c>
      <c r="BU56" s="314">
        <f t="shared" si="362"/>
        <v>-642700.77050449979</v>
      </c>
      <c r="BV56" s="314">
        <f t="shared" si="362"/>
        <v>484846.98284474481</v>
      </c>
      <c r="BW56" s="314">
        <f t="shared" si="362"/>
        <v>-253400.15994741418</v>
      </c>
      <c r="BX56" s="314">
        <f t="shared" si="362"/>
        <v>-302779.876291533</v>
      </c>
      <c r="BY56" s="314">
        <f t="shared" si="362"/>
        <v>-184616.31126441457</v>
      </c>
      <c r="BZ56" s="314">
        <f t="shared" si="362"/>
        <v>-225130.01244640414</v>
      </c>
      <c r="CA56" s="314">
        <f t="shared" si="362"/>
        <v>0</v>
      </c>
      <c r="CB56" s="314">
        <f t="shared" si="362"/>
        <v>-332892.16010075412</v>
      </c>
      <c r="CC56" s="314">
        <f t="shared" si="362"/>
        <v>-110404.08997100033</v>
      </c>
      <c r="CD56" s="314">
        <f t="shared" si="362"/>
        <v>-60562.489221846219</v>
      </c>
      <c r="CE56" s="314">
        <f t="shared" si="362"/>
        <v>1446195.1253167707</v>
      </c>
      <c r="CF56" s="314">
        <f t="shared" si="362"/>
        <v>127617.8393289512</v>
      </c>
      <c r="CG56" s="314">
        <f t="shared" si="362"/>
        <v>544095.49607044645</v>
      </c>
      <c r="CH56" s="314">
        <f t="shared" si="362"/>
        <v>305133.07924963161</v>
      </c>
      <c r="CI56" s="314">
        <f t="shared" si="362"/>
        <v>436085.96719942894</v>
      </c>
      <c r="CJ56" s="314">
        <f t="shared" si="362"/>
        <v>394665.0818283353</v>
      </c>
      <c r="CK56" s="314">
        <f t="shared" si="362"/>
        <v>395157</v>
      </c>
      <c r="CL56" s="314">
        <f t="shared" si="362"/>
        <v>226829.74855449842</v>
      </c>
      <c r="CM56" s="314">
        <f t="shared" si="362"/>
        <v>691676.43998631369</v>
      </c>
      <c r="CN56" s="314">
        <f t="shared" si="362"/>
        <v>-132717.28584698983</v>
      </c>
      <c r="CO56" s="314">
        <f t="shared" si="362"/>
        <v>-149642.14584698994</v>
      </c>
      <c r="CP56" s="314">
        <f t="shared" si="362"/>
        <v>-138567.6058469899</v>
      </c>
      <c r="CQ56" s="314">
        <f t="shared" si="362"/>
        <v>908770.573718125</v>
      </c>
      <c r="CR56" s="314">
        <f t="shared" si="362"/>
        <v>751017</v>
      </c>
      <c r="CS56" s="314">
        <f t="shared" si="362"/>
        <v>3589793.26</v>
      </c>
      <c r="CT56" s="314">
        <f t="shared" si="362"/>
        <v>859679.81036627945</v>
      </c>
      <c r="CU56" s="314">
        <f t="shared" si="362"/>
        <v>573527.68873558543</v>
      </c>
      <c r="CV56" s="314">
        <f t="shared" si="362"/>
        <v>206202.40056366567</v>
      </c>
      <c r="CW56" s="314">
        <f t="shared" si="362"/>
        <v>174263.10646689229</v>
      </c>
      <c r="CX56" s="314">
        <f t="shared" si="362"/>
        <v>558532</v>
      </c>
      <c r="CY56" s="314">
        <f t="shared" si="362"/>
        <v>132129.28390120855</v>
      </c>
      <c r="CZ56" s="314">
        <f t="shared" si="362"/>
        <v>443100</v>
      </c>
      <c r="DA56" s="314">
        <f t="shared" si="362"/>
        <v>2997921.7210858986</v>
      </c>
      <c r="DB56" s="314">
        <f t="shared" si="362"/>
        <v>-11138.462605123292</v>
      </c>
      <c r="DC56" s="314">
        <f t="shared" si="362"/>
        <v>83786.781229515094</v>
      </c>
      <c r="DD56" s="314">
        <f t="shared" si="362"/>
        <v>698770.47956160456</v>
      </c>
      <c r="DE56" s="314">
        <f t="shared" si="362"/>
        <v>429390.87138624676</v>
      </c>
      <c r="DF56" s="314">
        <f t="shared" si="362"/>
        <v>2165144.8713862468</v>
      </c>
      <c r="DG56" s="314">
        <f t="shared" si="362"/>
        <v>197198.16515118408</v>
      </c>
      <c r="DH56" s="314">
        <f t="shared" si="362"/>
        <v>830973.43433351256</v>
      </c>
      <c r="DI56" s="314">
        <f t="shared" si="362"/>
        <v>43865.384096688125</v>
      </c>
      <c r="DJ56" s="314">
        <f t="shared" si="362"/>
        <v>103868</v>
      </c>
      <c r="DK56" s="314">
        <f t="shared" si="362"/>
        <v>1666856.818091928</v>
      </c>
      <c r="DL56" s="314">
        <f t="shared" si="362"/>
        <v>-795230.74446257949</v>
      </c>
      <c r="DM56" s="314">
        <f t="shared" si="362"/>
        <v>178601.44149400387</v>
      </c>
      <c r="DN56" s="314">
        <f t="shared" si="362"/>
        <v>409808.56245903019</v>
      </c>
      <c r="DO56" s="314">
        <f t="shared" si="362"/>
        <v>4525.3922101089265</v>
      </c>
      <c r="DP56" s="314">
        <f t="shared" si="362"/>
        <v>-187075.75400271686</v>
      </c>
      <c r="DQ56" s="314">
        <f t="shared" si="362"/>
        <v>421943</v>
      </c>
      <c r="DR56" s="314">
        <f t="shared" si="362"/>
        <v>507937.5</v>
      </c>
      <c r="DS56" s="314">
        <f t="shared" si="362"/>
        <v>1294552.2365860054</v>
      </c>
      <c r="DT56" s="314">
        <f t="shared" si="362"/>
        <v>454209</v>
      </c>
      <c r="DU56" s="314">
        <f t="shared" si="362"/>
        <v>18908.963338879868</v>
      </c>
      <c r="DV56" s="314">
        <f t="shared" si="362"/>
        <v>3294523</v>
      </c>
      <c r="DW56" s="314">
        <f t="shared" si="362"/>
        <v>251601.57345701009</v>
      </c>
      <c r="DX56" s="314">
        <f t="shared" si="362"/>
        <v>433801.15410795156</v>
      </c>
      <c r="DY56" s="314">
        <f t="shared" si="362"/>
        <v>825992.75048264861</v>
      </c>
      <c r="DZ56" s="314">
        <f t="shared" si="362"/>
        <v>7625.6888148766011</v>
      </c>
      <c r="EA56" s="314">
        <f t="shared" si="362"/>
        <v>-507215.23529455811</v>
      </c>
      <c r="EB56" s="314">
        <f t="shared" si="362"/>
        <v>1868722.8583436497</v>
      </c>
      <c r="EC56" s="314">
        <f t="shared" ref="EC56:GN56" si="363">EC55-EC54</f>
        <v>-154016.21650246857</v>
      </c>
      <c r="ED56" s="314">
        <f t="shared" si="363"/>
        <v>27325.261211514473</v>
      </c>
      <c r="EE56" s="314">
        <f t="shared" si="363"/>
        <v>180565.53739487671</v>
      </c>
      <c r="EF56" s="314">
        <f t="shared" si="363"/>
        <v>144379.29847269226</v>
      </c>
      <c r="EG56" s="314">
        <f t="shared" si="363"/>
        <v>-8904.7299211212085</v>
      </c>
      <c r="EH56" s="314">
        <f t="shared" si="363"/>
        <v>160141.80860682938</v>
      </c>
      <c r="EI56" s="314">
        <f t="shared" si="363"/>
        <v>267247</v>
      </c>
      <c r="EJ56" s="314">
        <f t="shared" si="363"/>
        <v>220123.11828195211</v>
      </c>
      <c r="EK56" s="314">
        <f t="shared" si="363"/>
        <v>-857560.91243154928</v>
      </c>
      <c r="EL56" s="314">
        <f t="shared" si="363"/>
        <v>195145.52529584803</v>
      </c>
      <c r="EM56" s="314">
        <f t="shared" si="363"/>
        <v>118882.31944287568</v>
      </c>
      <c r="EN56" s="314">
        <f t="shared" si="363"/>
        <v>-29062.617524984758</v>
      </c>
      <c r="EO56" s="314">
        <f t="shared" si="363"/>
        <v>45691.404311261489</v>
      </c>
      <c r="EP56" s="314">
        <f t="shared" si="363"/>
        <v>811206.12610559678</v>
      </c>
      <c r="EQ56" s="314">
        <f t="shared" si="363"/>
        <v>-91246.509737364016</v>
      </c>
      <c r="ER56" s="314">
        <f t="shared" si="363"/>
        <v>1634132</v>
      </c>
      <c r="ES56" s="314">
        <f t="shared" si="363"/>
        <v>-2770560</v>
      </c>
      <c r="ET56" s="314">
        <f t="shared" si="363"/>
        <v>1009463.051162631</v>
      </c>
      <c r="EU56" s="314">
        <f t="shared" si="363"/>
        <v>2051783.9144364195</v>
      </c>
      <c r="EV56" s="314">
        <f t="shared" si="363"/>
        <v>252238.51077815378</v>
      </c>
      <c r="EW56" s="314">
        <f t="shared" si="363"/>
        <v>357680.25553742051</v>
      </c>
      <c r="EX56" s="314">
        <f t="shared" si="363"/>
        <v>995710</v>
      </c>
      <c r="EY56" s="314">
        <f t="shared" si="363"/>
        <v>165412.36204789253</v>
      </c>
      <c r="EZ56" s="314">
        <f t="shared" si="363"/>
        <v>-111326</v>
      </c>
      <c r="FA56" s="314">
        <f t="shared" si="363"/>
        <v>853606.42476802599</v>
      </c>
      <c r="FB56" s="314">
        <f t="shared" si="363"/>
        <v>125903.49062636285</v>
      </c>
      <c r="FC56" s="314">
        <f t="shared" si="363"/>
        <v>419615.42154869251</v>
      </c>
      <c r="FD56" s="314">
        <f t="shared" si="363"/>
        <v>286643.68250028812</v>
      </c>
      <c r="FE56" s="314">
        <f t="shared" si="363"/>
        <v>118740.58884631132</v>
      </c>
      <c r="FF56" s="314">
        <f t="shared" si="363"/>
        <v>444080</v>
      </c>
      <c r="FG56" s="314">
        <f t="shared" si="363"/>
        <v>3119772.0195525251</v>
      </c>
      <c r="FH56" s="314">
        <f t="shared" si="363"/>
        <v>1033523</v>
      </c>
      <c r="FI56" s="314">
        <f t="shared" si="363"/>
        <v>3141513</v>
      </c>
      <c r="FJ56" s="314">
        <f t="shared" si="363"/>
        <v>469811</v>
      </c>
      <c r="FK56" s="314">
        <f t="shared" si="363"/>
        <v>48131.226720733917</v>
      </c>
      <c r="FL56" s="314">
        <f t="shared" si="363"/>
        <v>101850.78406076948</v>
      </c>
      <c r="FM56" s="314">
        <f t="shared" si="363"/>
        <v>1308187.6565853953</v>
      </c>
      <c r="FN56" s="314">
        <f t="shared" si="363"/>
        <v>915556.47995545436</v>
      </c>
      <c r="FO56" s="314">
        <f t="shared" si="363"/>
        <v>128838</v>
      </c>
      <c r="FP56" s="314">
        <f t="shared" si="363"/>
        <v>1539004</v>
      </c>
      <c r="FQ56" s="314">
        <f t="shared" si="363"/>
        <v>165263</v>
      </c>
      <c r="FR56" s="314">
        <f t="shared" si="363"/>
        <v>3077762.6316878563</v>
      </c>
      <c r="FS56" s="314">
        <f t="shared" si="363"/>
        <v>16863</v>
      </c>
      <c r="FT56" s="314">
        <f t="shared" si="363"/>
        <v>682860.16631629318</v>
      </c>
      <c r="FU56" s="314">
        <f t="shared" si="363"/>
        <v>87152</v>
      </c>
      <c r="FV56" s="314">
        <f t="shared" si="363"/>
        <v>87253.319874897134</v>
      </c>
      <c r="FW56" s="314">
        <f t="shared" si="363"/>
        <v>469444</v>
      </c>
      <c r="FX56" s="314">
        <f t="shared" si="363"/>
        <v>220869.82000000007</v>
      </c>
      <c r="FY56" s="314">
        <f t="shared" si="363"/>
        <v>127219</v>
      </c>
      <c r="FZ56" s="314">
        <f t="shared" si="363"/>
        <v>361345.04905998893</v>
      </c>
      <c r="GA56" s="314">
        <f t="shared" si="363"/>
        <v>46570.489587557968</v>
      </c>
      <c r="GB56" s="314">
        <f t="shared" si="363"/>
        <v>1165694.4862977713</v>
      </c>
      <c r="GC56" s="314">
        <f t="shared" si="363"/>
        <v>409771.14217705326</v>
      </c>
      <c r="GD56" s="314">
        <f t="shared" si="363"/>
        <v>2784358.8884656765</v>
      </c>
      <c r="GE56" s="314">
        <f t="shared" si="363"/>
        <v>153676</v>
      </c>
      <c r="GF56" s="314">
        <f t="shared" si="363"/>
        <v>538043.17787614278</v>
      </c>
      <c r="GG56" s="314">
        <f t="shared" si="363"/>
        <v>-54308.637280836701</v>
      </c>
      <c r="GH56" s="314">
        <f t="shared" si="363"/>
        <v>131159.43127722852</v>
      </c>
      <c r="GI56" s="314">
        <f t="shared" si="363"/>
        <v>1974332.0869674683</v>
      </c>
      <c r="GJ56" s="314">
        <f t="shared" si="363"/>
        <v>577409</v>
      </c>
      <c r="GK56" s="314">
        <f t="shared" si="363"/>
        <v>879823</v>
      </c>
      <c r="GL56" s="314">
        <f t="shared" si="363"/>
        <v>66550</v>
      </c>
      <c r="GM56" s="314">
        <f t="shared" si="363"/>
        <v>104394</v>
      </c>
      <c r="GN56" s="314">
        <f t="shared" si="363"/>
        <v>347486.33999999997</v>
      </c>
      <c r="GO56" s="314">
        <f t="shared" ref="GO56:IZ56" si="364">GO55-GO54</f>
        <v>1634092</v>
      </c>
      <c r="GP56" s="314">
        <f t="shared" si="364"/>
        <v>26050.061741008889</v>
      </c>
      <c r="GQ56" s="314">
        <f t="shared" si="364"/>
        <v>-40434</v>
      </c>
      <c r="GR56" s="314">
        <f t="shared" si="364"/>
        <v>33972.605651483405</v>
      </c>
      <c r="GS56" s="314">
        <f t="shared" si="364"/>
        <v>-52237.953279266134</v>
      </c>
      <c r="GT56" s="314">
        <f t="shared" si="364"/>
        <v>1029485.532092277</v>
      </c>
      <c r="GU56" s="314">
        <f t="shared" si="364"/>
        <v>362869</v>
      </c>
      <c r="GV56" s="314">
        <f t="shared" si="364"/>
        <v>866366.6456662463</v>
      </c>
      <c r="GW56" s="314">
        <f t="shared" si="364"/>
        <v>-85702.372231289744</v>
      </c>
      <c r="GX56" s="314">
        <f t="shared" si="364"/>
        <v>188622.48977144714</v>
      </c>
      <c r="GY56" s="314">
        <f t="shared" si="364"/>
        <v>2782115</v>
      </c>
      <c r="GZ56" s="314">
        <f t="shared" si="364"/>
        <v>3222820.7912944802</v>
      </c>
      <c r="HA56" s="314">
        <f t="shared" si="364"/>
        <v>910737.73360992316</v>
      </c>
      <c r="HB56" s="314">
        <f t="shared" si="364"/>
        <v>730044.09901564941</v>
      </c>
      <c r="HC56" s="314">
        <f t="shared" si="364"/>
        <v>1459000</v>
      </c>
      <c r="HD56" s="314">
        <f t="shared" si="364"/>
        <v>693693.14217705326</v>
      </c>
      <c r="HE56" s="314">
        <f t="shared" si="364"/>
        <v>2347155</v>
      </c>
      <c r="HF56" s="314">
        <f t="shared" si="364"/>
        <v>415364</v>
      </c>
      <c r="HG56" s="314">
        <f t="shared" si="364"/>
        <v>145160.35999999999</v>
      </c>
      <c r="HH56" s="314">
        <f t="shared" si="364"/>
        <v>48742.668816685444</v>
      </c>
      <c r="HI56" s="314">
        <f t="shared" si="364"/>
        <v>851063.36889778636</v>
      </c>
      <c r="HJ56" s="314">
        <f t="shared" si="364"/>
        <v>502448.83102156827</v>
      </c>
      <c r="HK56" s="314">
        <f t="shared" si="364"/>
        <v>65300</v>
      </c>
      <c r="HL56" s="314">
        <f t="shared" si="364"/>
        <v>5680207.1305066049</v>
      </c>
      <c r="HM56" s="314">
        <f t="shared" si="364"/>
        <v>-686489.1194286719</v>
      </c>
      <c r="HN56" s="314">
        <f t="shared" si="364"/>
        <v>183981.06669069757</v>
      </c>
      <c r="HO56" s="314">
        <f t="shared" si="364"/>
        <v>-29609.132768688723</v>
      </c>
      <c r="HP56" s="314">
        <f t="shared" si="364"/>
        <v>5245782</v>
      </c>
      <c r="HQ56" s="314">
        <f t="shared" si="364"/>
        <v>54516.560144142481</v>
      </c>
      <c r="HR56" s="314">
        <f t="shared" si="364"/>
        <v>3073615.2643183805</v>
      </c>
      <c r="HS56" s="314">
        <f t="shared" si="364"/>
        <v>1504187.2997660059</v>
      </c>
      <c r="HT56" s="314">
        <f t="shared" si="364"/>
        <v>-4004215.4095292166</v>
      </c>
      <c r="HU56" s="314">
        <f t="shared" si="364"/>
        <v>5927225.0052082576</v>
      </c>
      <c r="HV56" s="314">
        <f t="shared" si="364"/>
        <v>4818873</v>
      </c>
      <c r="HW56" s="314">
        <f t="shared" si="364"/>
        <v>-1403621.9659980796</v>
      </c>
      <c r="HX56" s="314">
        <f t="shared" si="364"/>
        <v>7708193.3073789738</v>
      </c>
      <c r="HY56" s="314">
        <f t="shared" si="364"/>
        <v>-723479.82655531541</v>
      </c>
      <c r="HZ56" s="314">
        <f t="shared" si="364"/>
        <v>1354063.9776938297</v>
      </c>
      <c r="IA56" s="314">
        <f t="shared" si="364"/>
        <v>872393</v>
      </c>
      <c r="IB56" s="314">
        <f t="shared" si="364"/>
        <v>1247932.9004964307</v>
      </c>
      <c r="IC56" s="314">
        <f t="shared" si="364"/>
        <v>3255785.1772533692</v>
      </c>
      <c r="ID56" s="314">
        <f t="shared" si="364"/>
        <v>2560208.8227466308</v>
      </c>
      <c r="IE56" s="314">
        <f t="shared" si="364"/>
        <v>3805167.5176655725</v>
      </c>
      <c r="IF56" s="314">
        <f t="shared" si="364"/>
        <v>-3061353.6107498184</v>
      </c>
      <c r="IG56" s="314">
        <f t="shared" si="364"/>
        <v>-155860.72848056909</v>
      </c>
      <c r="IH56" s="314">
        <f t="shared" si="364"/>
        <v>1000618.8383171563</v>
      </c>
      <c r="II56" s="314">
        <f t="shared" si="364"/>
        <v>-1027881.9194320217</v>
      </c>
      <c r="IJ56" s="314">
        <f t="shared" si="364"/>
        <v>508618.40589478146</v>
      </c>
      <c r="IK56" s="314">
        <f t="shared" si="364"/>
        <v>12704.917822265532</v>
      </c>
      <c r="IL56" s="314">
        <f t="shared" si="364"/>
        <v>1061224.700098794</v>
      </c>
      <c r="IM56" s="314">
        <f t="shared" si="364"/>
        <v>-125148.48437385191</v>
      </c>
      <c r="IN56" s="314">
        <f t="shared" si="364"/>
        <v>770037.60039330646</v>
      </c>
      <c r="IO56" s="314">
        <f t="shared" si="364"/>
        <v>762787.91070599342</v>
      </c>
      <c r="IP56" s="314">
        <f t="shared" si="364"/>
        <v>-18339.822419442236</v>
      </c>
      <c r="IQ56" s="314">
        <f t="shared" si="364"/>
        <v>-77005.383273798972</v>
      </c>
      <c r="IR56" s="314">
        <f t="shared" si="364"/>
        <v>63236.275203590165</v>
      </c>
      <c r="IS56" s="314">
        <f t="shared" si="364"/>
        <v>2542825.490031004</v>
      </c>
      <c r="IT56" s="314">
        <f t="shared" si="364"/>
        <v>2137240.509968996</v>
      </c>
      <c r="IU56" s="314">
        <f t="shared" si="364"/>
        <v>484806.74440448172</v>
      </c>
      <c r="IV56" s="314">
        <f t="shared" si="364"/>
        <v>343870.85759682395</v>
      </c>
      <c r="IW56" s="314">
        <f t="shared" si="364"/>
        <v>-1516298.2291946746</v>
      </c>
      <c r="IX56" s="314">
        <f t="shared" si="364"/>
        <v>335562.86310432386</v>
      </c>
      <c r="IY56" s="314">
        <f t="shared" si="364"/>
        <v>3772316.0616728812</v>
      </c>
      <c r="IZ56" s="314">
        <f t="shared" si="364"/>
        <v>7052652.4439123161</v>
      </c>
      <c r="JA56" s="314">
        <f t="shared" ref="JA56:JH56" si="365">JA55-JA54</f>
        <v>-32641.660270661581</v>
      </c>
      <c r="JB56" s="314">
        <f t="shared" si="365"/>
        <v>746788.96015719743</v>
      </c>
      <c r="JC56" s="314">
        <f t="shared" si="365"/>
        <v>-179262.63064753311</v>
      </c>
      <c r="JD56" s="314">
        <f t="shared" si="365"/>
        <v>1558259.4754739245</v>
      </c>
      <c r="JE56" s="314">
        <f t="shared" si="365"/>
        <v>-309105.14505924704</v>
      </c>
      <c r="JF56" s="314">
        <f t="shared" si="365"/>
        <v>10579200.14505925</v>
      </c>
      <c r="JG56" s="314">
        <f t="shared" si="365"/>
        <v>46932.164951175451</v>
      </c>
      <c r="JH56" s="314">
        <f t="shared" si="365"/>
        <v>563620.5197921393</v>
      </c>
      <c r="JI56" s="314"/>
      <c r="JL56" s="307">
        <f t="shared" si="351"/>
        <v>3864738.9979239535</v>
      </c>
      <c r="JM56" s="307">
        <f t="shared" si="351"/>
        <v>45066273.725901045</v>
      </c>
      <c r="JN56" s="307">
        <f t="shared" si="351"/>
        <v>51333459.265679248</v>
      </c>
      <c r="JO56" s="307">
        <f t="shared" si="351"/>
        <v>68285123.846247703</v>
      </c>
      <c r="JP56" s="307">
        <f t="shared" si="359"/>
        <v>168549595.83575195</v>
      </c>
    </row>
    <row r="57" spans="1:277" x14ac:dyDescent="0.25">
      <c r="B57" s="313" t="s">
        <v>2573</v>
      </c>
      <c r="C57" s="314">
        <f>IF(C56&gt;0,C56,0)</f>
        <v>1597049.1510793846</v>
      </c>
      <c r="D57" s="314">
        <f t="shared" ref="D57:V57" si="366">IF(D56&gt;0,D56,0)</f>
        <v>1756900</v>
      </c>
      <c r="E57" s="314">
        <f t="shared" si="366"/>
        <v>510789.84684456885</v>
      </c>
      <c r="F57" s="314">
        <f t="shared" si="366"/>
        <v>132284.70883535733</v>
      </c>
      <c r="G57" s="314">
        <f t="shared" si="366"/>
        <v>1429653.1272905953</v>
      </c>
      <c r="H57" s="314">
        <f t="shared" si="366"/>
        <v>65710.416111308965</v>
      </c>
      <c r="I57" s="314">
        <f t="shared" si="366"/>
        <v>941977.47419521306</v>
      </c>
      <c r="J57" s="314">
        <f t="shared" si="366"/>
        <v>212155.78442021785</v>
      </c>
      <c r="K57" s="314">
        <f t="shared" si="366"/>
        <v>199505.68410468008</v>
      </c>
      <c r="L57" s="314">
        <f t="shared" si="366"/>
        <v>0</v>
      </c>
      <c r="M57" s="314">
        <f t="shared" si="366"/>
        <v>30486.238895765971</v>
      </c>
      <c r="N57" s="314">
        <f t="shared" si="366"/>
        <v>0</v>
      </c>
      <c r="O57" s="314">
        <f t="shared" si="366"/>
        <v>46206.210423394106</v>
      </c>
      <c r="P57" s="314">
        <f t="shared" si="366"/>
        <v>225010.00218168925</v>
      </c>
      <c r="Q57" s="314">
        <f t="shared" si="366"/>
        <v>371221.47910101549</v>
      </c>
      <c r="R57" s="314">
        <f t="shared" si="366"/>
        <v>0</v>
      </c>
      <c r="S57" s="314">
        <f t="shared" si="366"/>
        <v>0</v>
      </c>
      <c r="T57" s="314">
        <f t="shared" si="366"/>
        <v>31437.510778153781</v>
      </c>
      <c r="U57" s="314">
        <f t="shared" si="366"/>
        <v>0</v>
      </c>
      <c r="V57" s="314">
        <f t="shared" si="366"/>
        <v>0</v>
      </c>
      <c r="W57" s="314">
        <f>IF(W56&gt;0,W56,0)</f>
        <v>554600</v>
      </c>
      <c r="X57" s="314">
        <f t="shared" ref="X57:AI57" si="367">IF(X56&gt;0,X56,0)</f>
        <v>759191.08618784696</v>
      </c>
      <c r="Y57" s="314">
        <f t="shared" si="367"/>
        <v>211935.44921071106</v>
      </c>
      <c r="Z57" s="314">
        <f t="shared" si="367"/>
        <v>589924</v>
      </c>
      <c r="AA57" s="314">
        <f t="shared" si="367"/>
        <v>168998.32670215517</v>
      </c>
      <c r="AB57" s="314">
        <f t="shared" si="367"/>
        <v>0</v>
      </c>
      <c r="AC57" s="314">
        <f t="shared" ref="AC57" si="368">IF(AC56&gt;0,AC56,0)</f>
        <v>0</v>
      </c>
      <c r="AD57" s="314">
        <f t="shared" si="367"/>
        <v>495864.69856136572</v>
      </c>
      <c r="AE57" s="314">
        <f t="shared" si="367"/>
        <v>76840.525898943888</v>
      </c>
      <c r="AF57" s="314">
        <f t="shared" si="367"/>
        <v>1219244.9295379585</v>
      </c>
      <c r="AG57" s="314">
        <f t="shared" si="367"/>
        <v>0</v>
      </c>
      <c r="AH57" s="314">
        <f t="shared" si="367"/>
        <v>40034</v>
      </c>
      <c r="AI57" s="314">
        <f t="shared" si="367"/>
        <v>1474480</v>
      </c>
      <c r="AJ57" s="314">
        <f>IF(AJ56&gt;0,AJ56,0)</f>
        <v>337740</v>
      </c>
      <c r="AK57" s="314">
        <f t="shared" ref="AK57:BA57" si="369">IF(AK56&gt;0,AK56,0)</f>
        <v>186463</v>
      </c>
      <c r="AL57" s="314">
        <f t="shared" si="369"/>
        <v>92493.163351077586</v>
      </c>
      <c r="AM57" s="314">
        <f t="shared" si="369"/>
        <v>125216.37263412308</v>
      </c>
      <c r="AN57" s="314">
        <f t="shared" si="369"/>
        <v>0</v>
      </c>
      <c r="AO57" s="314">
        <f t="shared" si="369"/>
        <v>4005.6631408296525</v>
      </c>
      <c r="AP57" s="314">
        <f t="shared" si="369"/>
        <v>0</v>
      </c>
      <c r="AQ57" s="314">
        <f t="shared" si="369"/>
        <v>0</v>
      </c>
      <c r="AR57" s="314">
        <f t="shared" si="369"/>
        <v>401149.39925084589</v>
      </c>
      <c r="AS57" s="314">
        <f t="shared" si="369"/>
        <v>0</v>
      </c>
      <c r="AT57" s="314">
        <f t="shared" si="369"/>
        <v>0</v>
      </c>
      <c r="AU57" s="314">
        <f t="shared" si="369"/>
        <v>0</v>
      </c>
      <c r="AV57" s="314">
        <f t="shared" si="369"/>
        <v>137042.67729522614</v>
      </c>
      <c r="AW57" s="314">
        <f t="shared" si="369"/>
        <v>288647.55504343286</v>
      </c>
      <c r="AX57" s="314">
        <f t="shared" si="369"/>
        <v>0</v>
      </c>
      <c r="AY57" s="314">
        <f t="shared" si="369"/>
        <v>0</v>
      </c>
      <c r="AZ57" s="314">
        <f t="shared" si="369"/>
        <v>503272</v>
      </c>
      <c r="BA57" s="314">
        <f t="shared" si="369"/>
        <v>2497732</v>
      </c>
      <c r="BB57" s="314">
        <f>IF(BB56&gt;0,BB56,0)</f>
        <v>251145.67047849228</v>
      </c>
      <c r="BC57" s="314">
        <f t="shared" ref="BC57:BU57" si="370">IF(BC56&gt;0,BC56,0)</f>
        <v>214997.49380253232</v>
      </c>
      <c r="BD57" s="314">
        <f t="shared" si="370"/>
        <v>438523.94931657845</v>
      </c>
      <c r="BE57" s="314">
        <f t="shared" si="370"/>
        <v>86784.356650778558</v>
      </c>
      <c r="BF57" s="314">
        <f t="shared" si="370"/>
        <v>780411.39419043064</v>
      </c>
      <c r="BG57" s="314">
        <f t="shared" si="370"/>
        <v>997784</v>
      </c>
      <c r="BH57" s="314">
        <f t="shared" si="370"/>
        <v>440041.24156050989</v>
      </c>
      <c r="BI57" s="314">
        <f t="shared" si="370"/>
        <v>901900</v>
      </c>
      <c r="BJ57" s="314">
        <f t="shared" si="370"/>
        <v>0</v>
      </c>
      <c r="BK57" s="314">
        <f t="shared" si="370"/>
        <v>158000</v>
      </c>
      <c r="BL57" s="314">
        <f t="shared" si="370"/>
        <v>455138.49500087276</v>
      </c>
      <c r="BM57" s="314">
        <f t="shared" si="370"/>
        <v>1418699.04</v>
      </c>
      <c r="BN57" s="314">
        <f t="shared" si="370"/>
        <v>38066.598238762934</v>
      </c>
      <c r="BO57" s="314">
        <f t="shared" si="370"/>
        <v>131744.3738330903</v>
      </c>
      <c r="BP57" s="314">
        <f t="shared" si="370"/>
        <v>732773</v>
      </c>
      <c r="BQ57" s="314">
        <f t="shared" si="370"/>
        <v>31797.455608832184</v>
      </c>
      <c r="BR57" s="314">
        <f t="shared" si="370"/>
        <v>48404.239550507744</v>
      </c>
      <c r="BS57" s="314">
        <f t="shared" si="370"/>
        <v>0</v>
      </c>
      <c r="BT57" s="314">
        <f t="shared" si="370"/>
        <v>54060.266167230671</v>
      </c>
      <c r="BU57" s="314">
        <f t="shared" si="370"/>
        <v>0</v>
      </c>
      <c r="BV57" s="314">
        <f>IF(BV56&gt;0,BV56,0)</f>
        <v>484846.98284474481</v>
      </c>
      <c r="BW57" s="314">
        <f t="shared" ref="BW57:CG57" si="371">IF(BW56&gt;0,BW56,0)</f>
        <v>0</v>
      </c>
      <c r="BX57" s="314">
        <f t="shared" si="371"/>
        <v>0</v>
      </c>
      <c r="BY57" s="314">
        <f t="shared" si="371"/>
        <v>0</v>
      </c>
      <c r="BZ57" s="314">
        <f t="shared" si="371"/>
        <v>0</v>
      </c>
      <c r="CA57" s="314">
        <f t="shared" si="371"/>
        <v>0</v>
      </c>
      <c r="CB57" s="314">
        <f t="shared" si="371"/>
        <v>0</v>
      </c>
      <c r="CC57" s="314">
        <f t="shared" si="371"/>
        <v>0</v>
      </c>
      <c r="CD57" s="314">
        <f t="shared" si="371"/>
        <v>0</v>
      </c>
      <c r="CE57" s="314">
        <f t="shared" si="371"/>
        <v>1446195.1253167707</v>
      </c>
      <c r="CF57" s="314">
        <f t="shared" si="371"/>
        <v>127617.8393289512</v>
      </c>
      <c r="CG57" s="314">
        <f t="shared" si="371"/>
        <v>544095.49607044645</v>
      </c>
      <c r="CH57" s="314">
        <f>IF(CH56&gt;0,CH56,0)</f>
        <v>305133.07924963161</v>
      </c>
      <c r="CI57" s="314">
        <f t="shared" ref="CI57:ET57" si="372">IF(CI56&gt;0,CI56,0)</f>
        <v>436085.96719942894</v>
      </c>
      <c r="CJ57" s="314">
        <f t="shared" si="372"/>
        <v>394665.0818283353</v>
      </c>
      <c r="CK57" s="314">
        <f t="shared" si="372"/>
        <v>395157</v>
      </c>
      <c r="CL57" s="314">
        <f t="shared" si="372"/>
        <v>226829.74855449842</v>
      </c>
      <c r="CM57" s="314">
        <f t="shared" si="372"/>
        <v>691676.43998631369</v>
      </c>
      <c r="CN57" s="314">
        <f t="shared" si="372"/>
        <v>0</v>
      </c>
      <c r="CO57" s="314">
        <f t="shared" si="372"/>
        <v>0</v>
      </c>
      <c r="CP57" s="314">
        <f t="shared" si="372"/>
        <v>0</v>
      </c>
      <c r="CQ57" s="314">
        <f t="shared" si="372"/>
        <v>908770.573718125</v>
      </c>
      <c r="CR57" s="314">
        <f t="shared" si="372"/>
        <v>751017</v>
      </c>
      <c r="CS57" s="314">
        <f t="shared" si="372"/>
        <v>3589793.26</v>
      </c>
      <c r="CT57" s="314">
        <f t="shared" si="372"/>
        <v>859679.81036627945</v>
      </c>
      <c r="CU57" s="314">
        <f t="shared" si="372"/>
        <v>573527.68873558543</v>
      </c>
      <c r="CV57" s="314">
        <f t="shared" si="372"/>
        <v>206202.40056366567</v>
      </c>
      <c r="CW57" s="314">
        <f t="shared" si="372"/>
        <v>174263.10646689229</v>
      </c>
      <c r="CX57" s="314">
        <f t="shared" si="372"/>
        <v>558532</v>
      </c>
      <c r="CY57" s="314">
        <f t="shared" si="372"/>
        <v>132129.28390120855</v>
      </c>
      <c r="CZ57" s="314">
        <f t="shared" si="372"/>
        <v>443100</v>
      </c>
      <c r="DA57" s="314">
        <f t="shared" si="372"/>
        <v>2997921.7210858986</v>
      </c>
      <c r="DB57" s="314">
        <f t="shared" si="372"/>
        <v>0</v>
      </c>
      <c r="DC57" s="314">
        <f t="shared" si="372"/>
        <v>83786.781229515094</v>
      </c>
      <c r="DD57" s="314">
        <f t="shared" si="372"/>
        <v>698770.47956160456</v>
      </c>
      <c r="DE57" s="314">
        <f t="shared" si="372"/>
        <v>429390.87138624676</v>
      </c>
      <c r="DF57" s="314">
        <f t="shared" si="372"/>
        <v>2165144.8713862468</v>
      </c>
      <c r="DG57" s="314">
        <f t="shared" si="372"/>
        <v>197198.16515118408</v>
      </c>
      <c r="DH57" s="314">
        <f t="shared" si="372"/>
        <v>830973.43433351256</v>
      </c>
      <c r="DI57" s="314">
        <f t="shared" si="372"/>
        <v>43865.384096688125</v>
      </c>
      <c r="DJ57" s="314">
        <f t="shared" si="372"/>
        <v>103868</v>
      </c>
      <c r="DK57" s="314">
        <f t="shared" si="372"/>
        <v>1666856.818091928</v>
      </c>
      <c r="DL57" s="314">
        <f t="shared" si="372"/>
        <v>0</v>
      </c>
      <c r="DM57" s="314">
        <f t="shared" si="372"/>
        <v>178601.44149400387</v>
      </c>
      <c r="DN57" s="314">
        <f t="shared" si="372"/>
        <v>409808.56245903019</v>
      </c>
      <c r="DO57" s="314">
        <f t="shared" si="372"/>
        <v>4525.3922101089265</v>
      </c>
      <c r="DP57" s="314">
        <f t="shared" si="372"/>
        <v>0</v>
      </c>
      <c r="DQ57" s="314">
        <f t="shared" si="372"/>
        <v>421943</v>
      </c>
      <c r="DR57" s="314">
        <f t="shared" si="372"/>
        <v>507937.5</v>
      </c>
      <c r="DS57" s="314">
        <f t="shared" si="372"/>
        <v>1294552.2365860054</v>
      </c>
      <c r="DT57" s="314">
        <f t="shared" si="372"/>
        <v>454209</v>
      </c>
      <c r="DU57" s="314">
        <f t="shared" si="372"/>
        <v>18908.963338879868</v>
      </c>
      <c r="DV57" s="314">
        <f t="shared" si="372"/>
        <v>3294523</v>
      </c>
      <c r="DW57" s="314">
        <f t="shared" si="372"/>
        <v>251601.57345701009</v>
      </c>
      <c r="DX57" s="314">
        <f t="shared" si="372"/>
        <v>433801.15410795156</v>
      </c>
      <c r="DY57" s="314">
        <f t="shared" si="372"/>
        <v>825992.75048264861</v>
      </c>
      <c r="DZ57" s="314">
        <f t="shared" si="372"/>
        <v>7625.6888148766011</v>
      </c>
      <c r="EA57" s="314">
        <f t="shared" si="372"/>
        <v>0</v>
      </c>
      <c r="EB57" s="314">
        <f t="shared" si="372"/>
        <v>1868722.8583436497</v>
      </c>
      <c r="EC57" s="314">
        <f t="shared" si="372"/>
        <v>0</v>
      </c>
      <c r="ED57" s="314">
        <f t="shared" si="372"/>
        <v>27325.261211514473</v>
      </c>
      <c r="EE57" s="314">
        <f t="shared" si="372"/>
        <v>180565.53739487671</v>
      </c>
      <c r="EF57" s="314">
        <f t="shared" si="372"/>
        <v>144379.29847269226</v>
      </c>
      <c r="EG57" s="314">
        <f t="shared" si="372"/>
        <v>0</v>
      </c>
      <c r="EH57" s="314">
        <f t="shared" si="372"/>
        <v>160141.80860682938</v>
      </c>
      <c r="EI57" s="314">
        <f t="shared" si="372"/>
        <v>267247</v>
      </c>
      <c r="EJ57" s="314">
        <f t="shared" si="372"/>
        <v>220123.11828195211</v>
      </c>
      <c r="EK57" s="314">
        <f t="shared" si="372"/>
        <v>0</v>
      </c>
      <c r="EL57" s="314">
        <f t="shared" si="372"/>
        <v>195145.52529584803</v>
      </c>
      <c r="EM57" s="314">
        <f t="shared" si="372"/>
        <v>118882.31944287568</v>
      </c>
      <c r="EN57" s="314">
        <f t="shared" si="372"/>
        <v>0</v>
      </c>
      <c r="EO57" s="314">
        <f t="shared" si="372"/>
        <v>45691.404311261489</v>
      </c>
      <c r="EP57" s="314">
        <f t="shared" si="372"/>
        <v>811206.12610559678</v>
      </c>
      <c r="EQ57" s="314">
        <f t="shared" si="372"/>
        <v>0</v>
      </c>
      <c r="ER57" s="314">
        <f t="shared" si="372"/>
        <v>1634132</v>
      </c>
      <c r="ES57" s="314">
        <f t="shared" si="372"/>
        <v>0</v>
      </c>
      <c r="ET57" s="314">
        <f t="shared" si="372"/>
        <v>1009463.051162631</v>
      </c>
      <c r="EU57" s="314">
        <f t="shared" ref="EU57:HF57" si="373">IF(EU56&gt;0,EU56,0)</f>
        <v>2051783.9144364195</v>
      </c>
      <c r="EV57" s="314">
        <f t="shared" si="373"/>
        <v>252238.51077815378</v>
      </c>
      <c r="EW57" s="314">
        <f t="shared" si="373"/>
        <v>357680.25553742051</v>
      </c>
      <c r="EX57" s="314">
        <f t="shared" si="373"/>
        <v>995710</v>
      </c>
      <c r="EY57" s="314">
        <f t="shared" si="373"/>
        <v>165412.36204789253</v>
      </c>
      <c r="EZ57" s="314">
        <f t="shared" si="373"/>
        <v>0</v>
      </c>
      <c r="FA57" s="314">
        <f t="shared" si="373"/>
        <v>853606.42476802599</v>
      </c>
      <c r="FB57" s="314">
        <f t="shared" si="373"/>
        <v>125903.49062636285</v>
      </c>
      <c r="FC57" s="314">
        <f t="shared" si="373"/>
        <v>419615.42154869251</v>
      </c>
      <c r="FD57" s="314">
        <f t="shared" si="373"/>
        <v>286643.68250028812</v>
      </c>
      <c r="FE57" s="314">
        <f t="shared" si="373"/>
        <v>118740.58884631132</v>
      </c>
      <c r="FF57" s="314">
        <f t="shared" si="373"/>
        <v>444080</v>
      </c>
      <c r="FG57" s="314">
        <f t="shared" si="373"/>
        <v>3119772.0195525251</v>
      </c>
      <c r="FH57" s="314">
        <f t="shared" si="373"/>
        <v>1033523</v>
      </c>
      <c r="FI57" s="314">
        <f t="shared" si="373"/>
        <v>3141513</v>
      </c>
      <c r="FJ57" s="314">
        <f t="shared" si="373"/>
        <v>469811</v>
      </c>
      <c r="FK57" s="314">
        <f t="shared" si="373"/>
        <v>48131.226720733917</v>
      </c>
      <c r="FL57" s="314">
        <f t="shared" si="373"/>
        <v>101850.78406076948</v>
      </c>
      <c r="FM57" s="314">
        <f t="shared" si="373"/>
        <v>1308187.6565853953</v>
      </c>
      <c r="FN57" s="314">
        <f t="shared" si="373"/>
        <v>915556.47995545436</v>
      </c>
      <c r="FO57" s="314">
        <f t="shared" si="373"/>
        <v>128838</v>
      </c>
      <c r="FP57" s="314">
        <f t="shared" si="373"/>
        <v>1539004</v>
      </c>
      <c r="FQ57" s="314">
        <f t="shared" si="373"/>
        <v>165263</v>
      </c>
      <c r="FR57" s="314">
        <f t="shared" si="373"/>
        <v>3077762.6316878563</v>
      </c>
      <c r="FS57" s="314">
        <f t="shared" si="373"/>
        <v>16863</v>
      </c>
      <c r="FT57" s="314">
        <f t="shared" si="373"/>
        <v>682860.16631629318</v>
      </c>
      <c r="FU57" s="314">
        <f t="shared" si="373"/>
        <v>87152</v>
      </c>
      <c r="FV57" s="314">
        <f t="shared" si="373"/>
        <v>87253.319874897134</v>
      </c>
      <c r="FW57" s="314">
        <f t="shared" si="373"/>
        <v>469444</v>
      </c>
      <c r="FX57" s="314">
        <f t="shared" si="373"/>
        <v>220869.82000000007</v>
      </c>
      <c r="FY57" s="314">
        <f t="shared" si="373"/>
        <v>127219</v>
      </c>
      <c r="FZ57" s="314">
        <f t="shared" si="373"/>
        <v>361345.04905998893</v>
      </c>
      <c r="GA57" s="314">
        <f t="shared" si="373"/>
        <v>46570.489587557968</v>
      </c>
      <c r="GB57" s="314">
        <f t="shared" si="373"/>
        <v>1165694.4862977713</v>
      </c>
      <c r="GC57" s="314">
        <f t="shared" si="373"/>
        <v>409771.14217705326</v>
      </c>
      <c r="GD57" s="314">
        <f t="shared" si="373"/>
        <v>2784358.8884656765</v>
      </c>
      <c r="GE57" s="314">
        <f t="shared" si="373"/>
        <v>153676</v>
      </c>
      <c r="GF57" s="314">
        <f t="shared" si="373"/>
        <v>538043.17787614278</v>
      </c>
      <c r="GG57" s="314">
        <f t="shared" si="373"/>
        <v>0</v>
      </c>
      <c r="GH57" s="314">
        <f t="shared" si="373"/>
        <v>131159.43127722852</v>
      </c>
      <c r="GI57" s="314">
        <f t="shared" si="373"/>
        <v>1974332.0869674683</v>
      </c>
      <c r="GJ57" s="314">
        <f t="shared" si="373"/>
        <v>577409</v>
      </c>
      <c r="GK57" s="314">
        <f t="shared" si="373"/>
        <v>879823</v>
      </c>
      <c r="GL57" s="314">
        <f t="shared" si="373"/>
        <v>66550</v>
      </c>
      <c r="GM57" s="314">
        <f t="shared" si="373"/>
        <v>104394</v>
      </c>
      <c r="GN57" s="314">
        <f t="shared" si="373"/>
        <v>347486.33999999997</v>
      </c>
      <c r="GO57" s="314">
        <f t="shared" si="373"/>
        <v>1634092</v>
      </c>
      <c r="GP57" s="314">
        <f t="shared" si="373"/>
        <v>26050.061741008889</v>
      </c>
      <c r="GQ57" s="314">
        <f t="shared" si="373"/>
        <v>0</v>
      </c>
      <c r="GR57" s="314">
        <f t="shared" si="373"/>
        <v>33972.605651483405</v>
      </c>
      <c r="GS57" s="314">
        <f t="shared" si="373"/>
        <v>0</v>
      </c>
      <c r="GT57" s="314">
        <f t="shared" si="373"/>
        <v>1029485.532092277</v>
      </c>
      <c r="GU57" s="314">
        <f t="shared" si="373"/>
        <v>362869</v>
      </c>
      <c r="GV57" s="314">
        <f t="shared" si="373"/>
        <v>866366.6456662463</v>
      </c>
      <c r="GW57" s="314">
        <f t="shared" si="373"/>
        <v>0</v>
      </c>
      <c r="GX57" s="314">
        <f t="shared" si="373"/>
        <v>188622.48977144714</v>
      </c>
      <c r="GY57" s="314">
        <f t="shared" si="373"/>
        <v>2782115</v>
      </c>
      <c r="GZ57" s="314">
        <f t="shared" si="373"/>
        <v>3222820.7912944802</v>
      </c>
      <c r="HA57" s="314">
        <f t="shared" si="373"/>
        <v>910737.73360992316</v>
      </c>
      <c r="HB57" s="314">
        <f t="shared" si="373"/>
        <v>730044.09901564941</v>
      </c>
      <c r="HC57" s="314">
        <f t="shared" si="373"/>
        <v>1459000</v>
      </c>
      <c r="HD57" s="314">
        <f t="shared" si="373"/>
        <v>693693.14217705326</v>
      </c>
      <c r="HE57" s="314">
        <f t="shared" si="373"/>
        <v>2347155</v>
      </c>
      <c r="HF57" s="314">
        <f t="shared" si="373"/>
        <v>415364</v>
      </c>
      <c r="HG57" s="314">
        <f t="shared" ref="HG57:JH57" si="374">IF(HG56&gt;0,HG56,0)</f>
        <v>145160.35999999999</v>
      </c>
      <c r="HH57" s="314">
        <f t="shared" si="374"/>
        <v>48742.668816685444</v>
      </c>
      <c r="HI57" s="314">
        <f t="shared" si="374"/>
        <v>851063.36889778636</v>
      </c>
      <c r="HJ57" s="314">
        <f t="shared" si="374"/>
        <v>502448.83102156827</v>
      </c>
      <c r="HK57" s="314">
        <f t="shared" si="374"/>
        <v>65300</v>
      </c>
      <c r="HL57" s="314">
        <f t="shared" si="374"/>
        <v>5680207.1305066049</v>
      </c>
      <c r="HM57" s="314">
        <f t="shared" si="374"/>
        <v>0</v>
      </c>
      <c r="HN57" s="314">
        <f t="shared" si="374"/>
        <v>183981.06669069757</v>
      </c>
      <c r="HO57" s="314">
        <f t="shared" si="374"/>
        <v>0</v>
      </c>
      <c r="HP57" s="314">
        <f t="shared" si="374"/>
        <v>5245782</v>
      </c>
      <c r="HQ57" s="314">
        <f t="shared" si="374"/>
        <v>54516.560144142481</v>
      </c>
      <c r="HR57" s="314">
        <f t="shared" si="374"/>
        <v>3073615.2643183805</v>
      </c>
      <c r="HS57" s="314">
        <f t="shared" si="374"/>
        <v>1504187.2997660059</v>
      </c>
      <c r="HT57" s="314">
        <f t="shared" si="374"/>
        <v>0</v>
      </c>
      <c r="HU57" s="314">
        <f t="shared" si="374"/>
        <v>5927225.0052082576</v>
      </c>
      <c r="HV57" s="314">
        <f t="shared" si="374"/>
        <v>4818873</v>
      </c>
      <c r="HW57" s="314">
        <f t="shared" si="374"/>
        <v>0</v>
      </c>
      <c r="HX57" s="314">
        <f t="shared" si="374"/>
        <v>7708193.3073789738</v>
      </c>
      <c r="HY57" s="314">
        <f t="shared" si="374"/>
        <v>0</v>
      </c>
      <c r="HZ57" s="314">
        <f t="shared" si="374"/>
        <v>1354063.9776938297</v>
      </c>
      <c r="IA57" s="314">
        <f t="shared" si="374"/>
        <v>872393</v>
      </c>
      <c r="IB57" s="314">
        <f t="shared" si="374"/>
        <v>1247932.9004964307</v>
      </c>
      <c r="IC57" s="314">
        <f t="shared" si="374"/>
        <v>3255785.1772533692</v>
      </c>
      <c r="ID57" s="314">
        <f t="shared" si="374"/>
        <v>2560208.8227466308</v>
      </c>
      <c r="IE57" s="314">
        <f t="shared" si="374"/>
        <v>3805167.5176655725</v>
      </c>
      <c r="IF57" s="314">
        <f t="shared" si="374"/>
        <v>0</v>
      </c>
      <c r="IG57" s="314">
        <f t="shared" si="374"/>
        <v>0</v>
      </c>
      <c r="IH57" s="314">
        <f t="shared" si="374"/>
        <v>1000618.8383171563</v>
      </c>
      <c r="II57" s="314">
        <f t="shared" si="374"/>
        <v>0</v>
      </c>
      <c r="IJ57" s="314">
        <f t="shared" si="374"/>
        <v>508618.40589478146</v>
      </c>
      <c r="IK57" s="314">
        <f t="shared" si="374"/>
        <v>12704.917822265532</v>
      </c>
      <c r="IL57" s="314">
        <f t="shared" si="374"/>
        <v>1061224.700098794</v>
      </c>
      <c r="IM57" s="314">
        <f t="shared" si="374"/>
        <v>0</v>
      </c>
      <c r="IN57" s="314">
        <f t="shared" si="374"/>
        <v>770037.60039330646</v>
      </c>
      <c r="IO57" s="314">
        <f t="shared" si="374"/>
        <v>762787.91070599342</v>
      </c>
      <c r="IP57" s="314">
        <f t="shared" si="374"/>
        <v>0</v>
      </c>
      <c r="IQ57" s="314">
        <f t="shared" si="374"/>
        <v>0</v>
      </c>
      <c r="IR57" s="314">
        <f t="shared" si="374"/>
        <v>63236.275203590165</v>
      </c>
      <c r="IS57" s="314">
        <f t="shared" si="374"/>
        <v>2542825.490031004</v>
      </c>
      <c r="IT57" s="314">
        <f t="shared" si="374"/>
        <v>2137240.509968996</v>
      </c>
      <c r="IU57" s="314">
        <f t="shared" si="374"/>
        <v>484806.74440448172</v>
      </c>
      <c r="IV57" s="314">
        <f t="shared" si="374"/>
        <v>343870.85759682395</v>
      </c>
      <c r="IW57" s="314">
        <f t="shared" si="374"/>
        <v>0</v>
      </c>
      <c r="IX57" s="314">
        <f t="shared" si="374"/>
        <v>335562.86310432386</v>
      </c>
      <c r="IY57" s="314">
        <f t="shared" si="374"/>
        <v>3772316.0616728812</v>
      </c>
      <c r="IZ57" s="314">
        <f t="shared" si="374"/>
        <v>7052652.4439123161</v>
      </c>
      <c r="JA57" s="314">
        <f t="shared" si="374"/>
        <v>0</v>
      </c>
      <c r="JB57" s="314">
        <f t="shared" si="374"/>
        <v>746788.96015719743</v>
      </c>
      <c r="JC57" s="314">
        <f t="shared" si="374"/>
        <v>0</v>
      </c>
      <c r="JD57" s="314">
        <f t="shared" si="374"/>
        <v>1558259.4754739245</v>
      </c>
      <c r="JE57" s="314">
        <f t="shared" si="374"/>
        <v>0</v>
      </c>
      <c r="JF57" s="314">
        <f t="shared" si="374"/>
        <v>10579200.14505925</v>
      </c>
      <c r="JG57" s="314">
        <f t="shared" si="374"/>
        <v>46932.164951175451</v>
      </c>
      <c r="JH57" s="314">
        <f t="shared" si="374"/>
        <v>563620.5197921393</v>
      </c>
      <c r="JI57" s="314">
        <f>SUM(C57:JH57)</f>
        <v>194453126.12924564</v>
      </c>
      <c r="JL57" s="307">
        <f t="shared" si="351"/>
        <v>3864738.9979239535</v>
      </c>
      <c r="JM57" s="307">
        <f t="shared" si="351"/>
        <v>57275481.988421842</v>
      </c>
      <c r="JN57" s="307">
        <f t="shared" si="351"/>
        <v>51677468.228470631</v>
      </c>
      <c r="JO57" s="307">
        <f t="shared" si="351"/>
        <v>81635436.914429307</v>
      </c>
      <c r="JP57" s="307">
        <f t="shared" si="359"/>
        <v>194453126.12924573</v>
      </c>
    </row>
    <row r="58" spans="1:277" x14ac:dyDescent="0.25">
      <c r="B58" s="313" t="s">
        <v>2572</v>
      </c>
      <c r="C58" s="314">
        <f>IF(C56&lt;0,C56,0)</f>
        <v>0</v>
      </c>
      <c r="D58" s="314">
        <f t="shared" ref="D58:V58" si="375">IF(D56&lt;0,D56,0)</f>
        <v>0</v>
      </c>
      <c r="E58" s="314">
        <f t="shared" si="375"/>
        <v>0</v>
      </c>
      <c r="F58" s="314">
        <f t="shared" si="375"/>
        <v>0</v>
      </c>
      <c r="G58" s="314">
        <f t="shared" si="375"/>
        <v>0</v>
      </c>
      <c r="H58" s="314">
        <f t="shared" si="375"/>
        <v>0</v>
      </c>
      <c r="I58" s="314">
        <f t="shared" si="375"/>
        <v>0</v>
      </c>
      <c r="J58" s="314">
        <f t="shared" si="375"/>
        <v>0</v>
      </c>
      <c r="K58" s="314">
        <f t="shared" si="375"/>
        <v>0</v>
      </c>
      <c r="L58" s="314">
        <f t="shared" si="375"/>
        <v>-25014.170743059833</v>
      </c>
      <c r="M58" s="314">
        <f t="shared" si="375"/>
        <v>0</v>
      </c>
      <c r="N58" s="314">
        <f t="shared" si="375"/>
        <v>-776697.16291967686</v>
      </c>
      <c r="O58" s="314">
        <f t="shared" si="375"/>
        <v>0</v>
      </c>
      <c r="P58" s="314">
        <f t="shared" si="375"/>
        <v>0</v>
      </c>
      <c r="Q58" s="314">
        <f t="shared" si="375"/>
        <v>0</v>
      </c>
      <c r="R58" s="314">
        <f t="shared" si="375"/>
        <v>-129565.51443209266</v>
      </c>
      <c r="S58" s="314">
        <f t="shared" si="375"/>
        <v>-44857.72521024663</v>
      </c>
      <c r="T58" s="314">
        <f t="shared" si="375"/>
        <v>0</v>
      </c>
      <c r="U58" s="314">
        <f t="shared" si="375"/>
        <v>-150043.73383276933</v>
      </c>
      <c r="V58" s="314">
        <f t="shared" si="375"/>
        <v>-202720</v>
      </c>
      <c r="W58" s="314">
        <f>IF(W56&lt;0,W56,0)</f>
        <v>0</v>
      </c>
      <c r="X58" s="314">
        <f t="shared" ref="X58:AI58" si="376">IF(X56&lt;0,X56,0)</f>
        <v>0</v>
      </c>
      <c r="Y58" s="314">
        <f t="shared" si="376"/>
        <v>0</v>
      </c>
      <c r="Z58" s="314">
        <f t="shared" si="376"/>
        <v>0</v>
      </c>
      <c r="AA58" s="314">
        <f t="shared" si="376"/>
        <v>0</v>
      </c>
      <c r="AB58" s="314">
        <f t="shared" si="376"/>
        <v>-48791.864033760969</v>
      </c>
      <c r="AC58" s="314">
        <f t="shared" ref="AC58" si="377">IF(AC56&lt;0,AC56,0)</f>
        <v>-1535838.1586763503</v>
      </c>
      <c r="AD58" s="314">
        <f t="shared" si="376"/>
        <v>0</v>
      </c>
      <c r="AE58" s="314">
        <f t="shared" si="376"/>
        <v>0</v>
      </c>
      <c r="AF58" s="314">
        <f t="shared" si="376"/>
        <v>0</v>
      </c>
      <c r="AG58" s="314">
        <f t="shared" si="376"/>
        <v>-82644.971183314454</v>
      </c>
      <c r="AH58" s="314">
        <f t="shared" si="376"/>
        <v>0</v>
      </c>
      <c r="AI58" s="314">
        <f t="shared" si="376"/>
        <v>0</v>
      </c>
      <c r="AJ58" s="314">
        <f>IF(AJ56&lt;0,AJ56,0)</f>
        <v>0</v>
      </c>
      <c r="AK58" s="314">
        <f t="shared" ref="AK58:BA58" si="378">IF(AK56&lt;0,AK56,0)</f>
        <v>0</v>
      </c>
      <c r="AL58" s="314">
        <f t="shared" si="378"/>
        <v>0</v>
      </c>
      <c r="AM58" s="314">
        <f t="shared" si="378"/>
        <v>0</v>
      </c>
      <c r="AN58" s="314">
        <f t="shared" si="378"/>
        <v>-127583.49555727385</v>
      </c>
      <c r="AO58" s="314">
        <f t="shared" si="378"/>
        <v>0</v>
      </c>
      <c r="AP58" s="314">
        <f t="shared" si="378"/>
        <v>-78035</v>
      </c>
      <c r="AQ58" s="314">
        <f t="shared" si="378"/>
        <v>-80828.595688738511</v>
      </c>
      <c r="AR58" s="314">
        <f t="shared" si="378"/>
        <v>0</v>
      </c>
      <c r="AS58" s="314">
        <f t="shared" si="378"/>
        <v>-41907.893533107708</v>
      </c>
      <c r="AT58" s="314">
        <f t="shared" si="378"/>
        <v>-235603.80602272414</v>
      </c>
      <c r="AU58" s="314">
        <f t="shared" si="378"/>
        <v>-2385.7166775919031</v>
      </c>
      <c r="AV58" s="314">
        <f t="shared" si="378"/>
        <v>0</v>
      </c>
      <c r="AW58" s="314">
        <f t="shared" si="378"/>
        <v>0</v>
      </c>
      <c r="AX58" s="314">
        <f t="shared" si="378"/>
        <v>-338204.19170502573</v>
      </c>
      <c r="AY58" s="314">
        <f t="shared" si="378"/>
        <v>-136770.16204660945</v>
      </c>
      <c r="AZ58" s="314">
        <f t="shared" si="378"/>
        <v>0</v>
      </c>
      <c r="BA58" s="314">
        <f t="shared" si="378"/>
        <v>0</v>
      </c>
      <c r="BB58" s="314">
        <f>IF(BB56&lt;0,BB56,0)</f>
        <v>0</v>
      </c>
      <c r="BC58" s="314">
        <f t="shared" ref="BC58:BU58" si="379">IF(BC56&lt;0,BC56,0)</f>
        <v>0</v>
      </c>
      <c r="BD58" s="314">
        <f t="shared" si="379"/>
        <v>0</v>
      </c>
      <c r="BE58" s="314">
        <f t="shared" si="379"/>
        <v>0</v>
      </c>
      <c r="BF58" s="314">
        <f t="shared" si="379"/>
        <v>0</v>
      </c>
      <c r="BG58" s="314">
        <f t="shared" si="379"/>
        <v>0</v>
      </c>
      <c r="BH58" s="314">
        <f t="shared" si="379"/>
        <v>0</v>
      </c>
      <c r="BI58" s="314">
        <f t="shared" si="379"/>
        <v>0</v>
      </c>
      <c r="BJ58" s="314">
        <f t="shared" si="379"/>
        <v>-35384.329887827858</v>
      </c>
      <c r="BK58" s="314">
        <f t="shared" si="379"/>
        <v>0</v>
      </c>
      <c r="BL58" s="314">
        <f t="shared" si="379"/>
        <v>0</v>
      </c>
      <c r="BM58" s="314">
        <f t="shared" si="379"/>
        <v>0</v>
      </c>
      <c r="BN58" s="314">
        <f t="shared" si="379"/>
        <v>0</v>
      </c>
      <c r="BO58" s="314">
        <f t="shared" si="379"/>
        <v>0</v>
      </c>
      <c r="BP58" s="314">
        <f t="shared" si="379"/>
        <v>0</v>
      </c>
      <c r="BQ58" s="314">
        <f t="shared" si="379"/>
        <v>0</v>
      </c>
      <c r="BR58" s="314">
        <f t="shared" si="379"/>
        <v>0</v>
      </c>
      <c r="BS58" s="314">
        <f t="shared" si="379"/>
        <v>-190907.68059932324</v>
      </c>
      <c r="BT58" s="314">
        <f t="shared" si="379"/>
        <v>0</v>
      </c>
      <c r="BU58" s="314">
        <f t="shared" si="379"/>
        <v>-642700.77050449979</v>
      </c>
      <c r="BV58" s="314">
        <f>IF(BV56&lt;0,BV56,0)</f>
        <v>0</v>
      </c>
      <c r="BW58" s="314">
        <f t="shared" ref="BW58:CG58" si="380">IF(BW56&lt;0,BW56,0)</f>
        <v>-253400.15994741418</v>
      </c>
      <c r="BX58" s="314">
        <f t="shared" si="380"/>
        <v>-302779.876291533</v>
      </c>
      <c r="BY58" s="314">
        <f t="shared" si="380"/>
        <v>-184616.31126441457</v>
      </c>
      <c r="BZ58" s="314">
        <f t="shared" si="380"/>
        <v>-225130.01244640414</v>
      </c>
      <c r="CA58" s="314">
        <f t="shared" si="380"/>
        <v>0</v>
      </c>
      <c r="CB58" s="314">
        <f t="shared" si="380"/>
        <v>-332892.16010075412</v>
      </c>
      <c r="CC58" s="314">
        <f t="shared" si="380"/>
        <v>-110404.08997100033</v>
      </c>
      <c r="CD58" s="314">
        <f t="shared" si="380"/>
        <v>-60562.489221846219</v>
      </c>
      <c r="CE58" s="314">
        <f t="shared" si="380"/>
        <v>0</v>
      </c>
      <c r="CF58" s="314">
        <f t="shared" si="380"/>
        <v>0</v>
      </c>
      <c r="CG58" s="314">
        <f t="shared" si="380"/>
        <v>0</v>
      </c>
      <c r="CH58" s="314">
        <f>IF(CH56&lt;0,CH56,0)</f>
        <v>0</v>
      </c>
      <c r="CI58" s="314">
        <f t="shared" ref="CI58:ET58" si="381">IF(CI56&lt;0,CI56,0)</f>
        <v>0</v>
      </c>
      <c r="CJ58" s="314">
        <f t="shared" si="381"/>
        <v>0</v>
      </c>
      <c r="CK58" s="314">
        <f t="shared" si="381"/>
        <v>0</v>
      </c>
      <c r="CL58" s="314">
        <f t="shared" si="381"/>
        <v>0</v>
      </c>
      <c r="CM58" s="314">
        <f t="shared" si="381"/>
        <v>0</v>
      </c>
      <c r="CN58" s="314">
        <f t="shared" si="381"/>
        <v>-132717.28584698983</v>
      </c>
      <c r="CO58" s="314">
        <f t="shared" si="381"/>
        <v>-149642.14584698994</v>
      </c>
      <c r="CP58" s="314">
        <f t="shared" si="381"/>
        <v>-138567.6058469899</v>
      </c>
      <c r="CQ58" s="314">
        <f t="shared" si="381"/>
        <v>0</v>
      </c>
      <c r="CR58" s="314">
        <f t="shared" si="381"/>
        <v>0</v>
      </c>
      <c r="CS58" s="314">
        <f t="shared" si="381"/>
        <v>0</v>
      </c>
      <c r="CT58" s="314">
        <f t="shared" si="381"/>
        <v>0</v>
      </c>
      <c r="CU58" s="314">
        <f t="shared" si="381"/>
        <v>0</v>
      </c>
      <c r="CV58" s="314">
        <f t="shared" si="381"/>
        <v>0</v>
      </c>
      <c r="CW58" s="314">
        <f t="shared" si="381"/>
        <v>0</v>
      </c>
      <c r="CX58" s="314">
        <f t="shared" si="381"/>
        <v>0</v>
      </c>
      <c r="CY58" s="314">
        <f t="shared" si="381"/>
        <v>0</v>
      </c>
      <c r="CZ58" s="314">
        <f t="shared" si="381"/>
        <v>0</v>
      </c>
      <c r="DA58" s="314">
        <f t="shared" si="381"/>
        <v>0</v>
      </c>
      <c r="DB58" s="314">
        <f t="shared" si="381"/>
        <v>-11138.462605123292</v>
      </c>
      <c r="DC58" s="314">
        <f t="shared" si="381"/>
        <v>0</v>
      </c>
      <c r="DD58" s="314">
        <f t="shared" si="381"/>
        <v>0</v>
      </c>
      <c r="DE58" s="314">
        <f t="shared" si="381"/>
        <v>0</v>
      </c>
      <c r="DF58" s="314">
        <f t="shared" si="381"/>
        <v>0</v>
      </c>
      <c r="DG58" s="314">
        <f t="shared" si="381"/>
        <v>0</v>
      </c>
      <c r="DH58" s="314">
        <f t="shared" si="381"/>
        <v>0</v>
      </c>
      <c r="DI58" s="314">
        <f t="shared" si="381"/>
        <v>0</v>
      </c>
      <c r="DJ58" s="314">
        <f t="shared" si="381"/>
        <v>0</v>
      </c>
      <c r="DK58" s="314">
        <f t="shared" si="381"/>
        <v>0</v>
      </c>
      <c r="DL58" s="314">
        <f t="shared" si="381"/>
        <v>-795230.74446257949</v>
      </c>
      <c r="DM58" s="314">
        <f t="shared" si="381"/>
        <v>0</v>
      </c>
      <c r="DN58" s="314">
        <f t="shared" si="381"/>
        <v>0</v>
      </c>
      <c r="DO58" s="314">
        <f t="shared" si="381"/>
        <v>0</v>
      </c>
      <c r="DP58" s="314">
        <f t="shared" si="381"/>
        <v>-187075.75400271686</v>
      </c>
      <c r="DQ58" s="314">
        <f t="shared" si="381"/>
        <v>0</v>
      </c>
      <c r="DR58" s="314">
        <f t="shared" si="381"/>
        <v>0</v>
      </c>
      <c r="DS58" s="314">
        <f t="shared" si="381"/>
        <v>0</v>
      </c>
      <c r="DT58" s="314">
        <f t="shared" si="381"/>
        <v>0</v>
      </c>
      <c r="DU58" s="314">
        <f t="shared" si="381"/>
        <v>0</v>
      </c>
      <c r="DV58" s="314">
        <f t="shared" si="381"/>
        <v>0</v>
      </c>
      <c r="DW58" s="314">
        <f t="shared" si="381"/>
        <v>0</v>
      </c>
      <c r="DX58" s="314">
        <f t="shared" si="381"/>
        <v>0</v>
      </c>
      <c r="DY58" s="314">
        <f t="shared" si="381"/>
        <v>0</v>
      </c>
      <c r="DZ58" s="314">
        <f t="shared" si="381"/>
        <v>0</v>
      </c>
      <c r="EA58" s="314">
        <f t="shared" si="381"/>
        <v>-507215.23529455811</v>
      </c>
      <c r="EB58" s="314">
        <f t="shared" si="381"/>
        <v>0</v>
      </c>
      <c r="EC58" s="314">
        <f t="shared" si="381"/>
        <v>-154016.21650246857</v>
      </c>
      <c r="ED58" s="314">
        <f t="shared" si="381"/>
        <v>0</v>
      </c>
      <c r="EE58" s="314">
        <f t="shared" si="381"/>
        <v>0</v>
      </c>
      <c r="EF58" s="314">
        <f t="shared" si="381"/>
        <v>0</v>
      </c>
      <c r="EG58" s="314">
        <f t="shared" si="381"/>
        <v>-8904.7299211212085</v>
      </c>
      <c r="EH58" s="314">
        <f t="shared" si="381"/>
        <v>0</v>
      </c>
      <c r="EI58" s="314">
        <f t="shared" si="381"/>
        <v>0</v>
      </c>
      <c r="EJ58" s="314">
        <f t="shared" si="381"/>
        <v>0</v>
      </c>
      <c r="EK58" s="314">
        <f t="shared" si="381"/>
        <v>-857560.91243154928</v>
      </c>
      <c r="EL58" s="314">
        <f t="shared" si="381"/>
        <v>0</v>
      </c>
      <c r="EM58" s="314">
        <f t="shared" si="381"/>
        <v>0</v>
      </c>
      <c r="EN58" s="314">
        <f t="shared" si="381"/>
        <v>-29062.617524984758</v>
      </c>
      <c r="EO58" s="314">
        <f t="shared" si="381"/>
        <v>0</v>
      </c>
      <c r="EP58" s="314">
        <f t="shared" si="381"/>
        <v>0</v>
      </c>
      <c r="EQ58" s="314">
        <f t="shared" si="381"/>
        <v>-91246.509737364016</v>
      </c>
      <c r="ER58" s="314">
        <f t="shared" si="381"/>
        <v>0</v>
      </c>
      <c r="ES58" s="314">
        <f t="shared" si="381"/>
        <v>-2770560</v>
      </c>
      <c r="ET58" s="314">
        <f t="shared" si="381"/>
        <v>0</v>
      </c>
      <c r="EU58" s="314">
        <f t="shared" ref="EU58:HF58" si="382">IF(EU56&lt;0,EU56,0)</f>
        <v>0</v>
      </c>
      <c r="EV58" s="314">
        <f t="shared" si="382"/>
        <v>0</v>
      </c>
      <c r="EW58" s="314">
        <f t="shared" si="382"/>
        <v>0</v>
      </c>
      <c r="EX58" s="314">
        <f t="shared" si="382"/>
        <v>0</v>
      </c>
      <c r="EY58" s="314">
        <f t="shared" si="382"/>
        <v>0</v>
      </c>
      <c r="EZ58" s="314">
        <f t="shared" si="382"/>
        <v>-111326</v>
      </c>
      <c r="FA58" s="314">
        <f t="shared" si="382"/>
        <v>0</v>
      </c>
      <c r="FB58" s="314">
        <f t="shared" si="382"/>
        <v>0</v>
      </c>
      <c r="FC58" s="314">
        <f t="shared" si="382"/>
        <v>0</v>
      </c>
      <c r="FD58" s="314">
        <f t="shared" si="382"/>
        <v>0</v>
      </c>
      <c r="FE58" s="314">
        <f t="shared" si="382"/>
        <v>0</v>
      </c>
      <c r="FF58" s="314">
        <f t="shared" si="382"/>
        <v>0</v>
      </c>
      <c r="FG58" s="314">
        <f t="shared" si="382"/>
        <v>0</v>
      </c>
      <c r="FH58" s="314">
        <f t="shared" si="382"/>
        <v>0</v>
      </c>
      <c r="FI58" s="314">
        <f t="shared" si="382"/>
        <v>0</v>
      </c>
      <c r="FJ58" s="314">
        <f t="shared" si="382"/>
        <v>0</v>
      </c>
      <c r="FK58" s="314">
        <f t="shared" si="382"/>
        <v>0</v>
      </c>
      <c r="FL58" s="314">
        <f t="shared" si="382"/>
        <v>0</v>
      </c>
      <c r="FM58" s="314">
        <f t="shared" si="382"/>
        <v>0</v>
      </c>
      <c r="FN58" s="314">
        <f t="shared" si="382"/>
        <v>0</v>
      </c>
      <c r="FO58" s="314">
        <f t="shared" si="382"/>
        <v>0</v>
      </c>
      <c r="FP58" s="314">
        <f t="shared" si="382"/>
        <v>0</v>
      </c>
      <c r="FQ58" s="314">
        <f t="shared" si="382"/>
        <v>0</v>
      </c>
      <c r="FR58" s="314">
        <f t="shared" si="382"/>
        <v>0</v>
      </c>
      <c r="FS58" s="314">
        <f t="shared" si="382"/>
        <v>0</v>
      </c>
      <c r="FT58" s="314">
        <f t="shared" si="382"/>
        <v>0</v>
      </c>
      <c r="FU58" s="314">
        <f t="shared" si="382"/>
        <v>0</v>
      </c>
      <c r="FV58" s="314">
        <f t="shared" si="382"/>
        <v>0</v>
      </c>
      <c r="FW58" s="314">
        <f t="shared" si="382"/>
        <v>0</v>
      </c>
      <c r="FX58" s="314">
        <f t="shared" si="382"/>
        <v>0</v>
      </c>
      <c r="FY58" s="314">
        <f t="shared" si="382"/>
        <v>0</v>
      </c>
      <c r="FZ58" s="314">
        <f t="shared" si="382"/>
        <v>0</v>
      </c>
      <c r="GA58" s="314">
        <f t="shared" si="382"/>
        <v>0</v>
      </c>
      <c r="GB58" s="314">
        <f t="shared" si="382"/>
        <v>0</v>
      </c>
      <c r="GC58" s="314">
        <f t="shared" si="382"/>
        <v>0</v>
      </c>
      <c r="GD58" s="314">
        <f t="shared" si="382"/>
        <v>0</v>
      </c>
      <c r="GE58" s="314">
        <f t="shared" si="382"/>
        <v>0</v>
      </c>
      <c r="GF58" s="314">
        <f t="shared" si="382"/>
        <v>0</v>
      </c>
      <c r="GG58" s="314">
        <f t="shared" si="382"/>
        <v>-54308.637280836701</v>
      </c>
      <c r="GH58" s="314">
        <f t="shared" si="382"/>
        <v>0</v>
      </c>
      <c r="GI58" s="314">
        <f t="shared" si="382"/>
        <v>0</v>
      </c>
      <c r="GJ58" s="314">
        <f t="shared" si="382"/>
        <v>0</v>
      </c>
      <c r="GK58" s="314">
        <f t="shared" si="382"/>
        <v>0</v>
      </c>
      <c r="GL58" s="314">
        <f t="shared" si="382"/>
        <v>0</v>
      </c>
      <c r="GM58" s="314">
        <f t="shared" si="382"/>
        <v>0</v>
      </c>
      <c r="GN58" s="314">
        <f t="shared" si="382"/>
        <v>0</v>
      </c>
      <c r="GO58" s="314">
        <f t="shared" si="382"/>
        <v>0</v>
      </c>
      <c r="GP58" s="314">
        <f t="shared" si="382"/>
        <v>0</v>
      </c>
      <c r="GQ58" s="314">
        <f t="shared" si="382"/>
        <v>-40434</v>
      </c>
      <c r="GR58" s="314">
        <f t="shared" si="382"/>
        <v>0</v>
      </c>
      <c r="GS58" s="314">
        <f t="shared" si="382"/>
        <v>-52237.953279266134</v>
      </c>
      <c r="GT58" s="314">
        <f t="shared" si="382"/>
        <v>0</v>
      </c>
      <c r="GU58" s="314">
        <f t="shared" si="382"/>
        <v>0</v>
      </c>
      <c r="GV58" s="314">
        <f t="shared" si="382"/>
        <v>0</v>
      </c>
      <c r="GW58" s="314">
        <f t="shared" si="382"/>
        <v>-85702.372231289744</v>
      </c>
      <c r="GX58" s="314">
        <f t="shared" si="382"/>
        <v>0</v>
      </c>
      <c r="GY58" s="314">
        <f t="shared" si="382"/>
        <v>0</v>
      </c>
      <c r="GZ58" s="314">
        <f t="shared" si="382"/>
        <v>0</v>
      </c>
      <c r="HA58" s="314">
        <f t="shared" si="382"/>
        <v>0</v>
      </c>
      <c r="HB58" s="314">
        <f t="shared" si="382"/>
        <v>0</v>
      </c>
      <c r="HC58" s="314">
        <f t="shared" si="382"/>
        <v>0</v>
      </c>
      <c r="HD58" s="314">
        <f t="shared" si="382"/>
        <v>0</v>
      </c>
      <c r="HE58" s="314">
        <f t="shared" si="382"/>
        <v>0</v>
      </c>
      <c r="HF58" s="314">
        <f t="shared" si="382"/>
        <v>0</v>
      </c>
      <c r="HG58" s="314">
        <f t="shared" ref="HG58:JH58" si="383">IF(HG56&lt;0,HG56,0)</f>
        <v>0</v>
      </c>
      <c r="HH58" s="314">
        <f t="shared" si="383"/>
        <v>0</v>
      </c>
      <c r="HI58" s="314">
        <f t="shared" si="383"/>
        <v>0</v>
      </c>
      <c r="HJ58" s="314">
        <f t="shared" si="383"/>
        <v>0</v>
      </c>
      <c r="HK58" s="314">
        <f t="shared" si="383"/>
        <v>0</v>
      </c>
      <c r="HL58" s="314">
        <f t="shared" si="383"/>
        <v>0</v>
      </c>
      <c r="HM58" s="314">
        <f t="shared" si="383"/>
        <v>-686489.1194286719</v>
      </c>
      <c r="HN58" s="314">
        <f t="shared" si="383"/>
        <v>0</v>
      </c>
      <c r="HO58" s="314">
        <f t="shared" si="383"/>
        <v>-29609.132768688723</v>
      </c>
      <c r="HP58" s="314">
        <f t="shared" si="383"/>
        <v>0</v>
      </c>
      <c r="HQ58" s="314">
        <f t="shared" si="383"/>
        <v>0</v>
      </c>
      <c r="HR58" s="314">
        <f t="shared" si="383"/>
        <v>0</v>
      </c>
      <c r="HS58" s="314">
        <f t="shared" si="383"/>
        <v>0</v>
      </c>
      <c r="HT58" s="314">
        <f t="shared" si="383"/>
        <v>-4004215.4095292166</v>
      </c>
      <c r="HU58" s="314">
        <f t="shared" si="383"/>
        <v>0</v>
      </c>
      <c r="HV58" s="314">
        <f t="shared" si="383"/>
        <v>0</v>
      </c>
      <c r="HW58" s="314">
        <f t="shared" si="383"/>
        <v>-1403621.9659980796</v>
      </c>
      <c r="HX58" s="314">
        <f t="shared" si="383"/>
        <v>0</v>
      </c>
      <c r="HY58" s="314">
        <f t="shared" si="383"/>
        <v>-723479.82655531541</v>
      </c>
      <c r="HZ58" s="314">
        <f t="shared" si="383"/>
        <v>0</v>
      </c>
      <c r="IA58" s="314">
        <f t="shared" si="383"/>
        <v>0</v>
      </c>
      <c r="IB58" s="314">
        <f t="shared" si="383"/>
        <v>0</v>
      </c>
      <c r="IC58" s="314">
        <f t="shared" si="383"/>
        <v>0</v>
      </c>
      <c r="ID58" s="314">
        <f t="shared" si="383"/>
        <v>0</v>
      </c>
      <c r="IE58" s="314">
        <f t="shared" si="383"/>
        <v>0</v>
      </c>
      <c r="IF58" s="314">
        <f t="shared" si="383"/>
        <v>-3061353.6107498184</v>
      </c>
      <c r="IG58" s="314">
        <f t="shared" si="383"/>
        <v>-155860.72848056909</v>
      </c>
      <c r="IH58" s="314">
        <f t="shared" si="383"/>
        <v>0</v>
      </c>
      <c r="II58" s="314">
        <f t="shared" si="383"/>
        <v>-1027881.9194320217</v>
      </c>
      <c r="IJ58" s="314">
        <f t="shared" si="383"/>
        <v>0</v>
      </c>
      <c r="IK58" s="314">
        <f t="shared" si="383"/>
        <v>0</v>
      </c>
      <c r="IL58" s="314">
        <f t="shared" si="383"/>
        <v>0</v>
      </c>
      <c r="IM58" s="314">
        <f t="shared" si="383"/>
        <v>-125148.48437385191</v>
      </c>
      <c r="IN58" s="314">
        <f t="shared" si="383"/>
        <v>0</v>
      </c>
      <c r="IO58" s="314">
        <f t="shared" si="383"/>
        <v>0</v>
      </c>
      <c r="IP58" s="314">
        <f t="shared" si="383"/>
        <v>-18339.822419442236</v>
      </c>
      <c r="IQ58" s="314">
        <f t="shared" si="383"/>
        <v>-77005.383273798972</v>
      </c>
      <c r="IR58" s="314">
        <f t="shared" si="383"/>
        <v>0</v>
      </c>
      <c r="IS58" s="314">
        <f t="shared" si="383"/>
        <v>0</v>
      </c>
      <c r="IT58" s="314">
        <f t="shared" si="383"/>
        <v>0</v>
      </c>
      <c r="IU58" s="314">
        <f t="shared" si="383"/>
        <v>0</v>
      </c>
      <c r="IV58" s="314">
        <f t="shared" si="383"/>
        <v>0</v>
      </c>
      <c r="IW58" s="314">
        <f t="shared" si="383"/>
        <v>-1516298.2291946746</v>
      </c>
      <c r="IX58" s="314">
        <f t="shared" si="383"/>
        <v>0</v>
      </c>
      <c r="IY58" s="314">
        <f t="shared" si="383"/>
        <v>0</v>
      </c>
      <c r="IZ58" s="314">
        <f t="shared" si="383"/>
        <v>0</v>
      </c>
      <c r="JA58" s="314">
        <f t="shared" si="383"/>
        <v>-32641.660270661581</v>
      </c>
      <c r="JB58" s="314">
        <f t="shared" si="383"/>
        <v>0</v>
      </c>
      <c r="JC58" s="314">
        <f t="shared" si="383"/>
        <v>-179262.63064753311</v>
      </c>
      <c r="JD58" s="314">
        <f t="shared" si="383"/>
        <v>0</v>
      </c>
      <c r="JE58" s="314">
        <f t="shared" si="383"/>
        <v>-309105.14505924704</v>
      </c>
      <c r="JF58" s="314">
        <f t="shared" si="383"/>
        <v>0</v>
      </c>
      <c r="JG58" s="314">
        <f t="shared" si="383"/>
        <v>0</v>
      </c>
      <c r="JH58" s="314">
        <f t="shared" si="383"/>
        <v>0</v>
      </c>
      <c r="JI58" s="314">
        <f>SUM(C58:JH58)</f>
        <v>-25903530.293493778</v>
      </c>
      <c r="JL58" s="307">
        <f t="shared" si="351"/>
        <v>0</v>
      </c>
      <c r="JM58" s="307">
        <f t="shared" si="351"/>
        <v>-12209208.262520794</v>
      </c>
      <c r="JN58" s="307">
        <f t="shared" si="351"/>
        <v>-344008.96279139258</v>
      </c>
      <c r="JO58" s="307">
        <f t="shared" si="351"/>
        <v>-13350313.068181589</v>
      </c>
      <c r="JP58" s="307">
        <f t="shared" si="359"/>
        <v>-25903530.293493778</v>
      </c>
    </row>
    <row r="59" spans="1:277" s="673" customFormat="1" x14ac:dyDescent="0.25">
      <c r="A59" s="312"/>
      <c r="B59" s="672" t="s">
        <v>2783</v>
      </c>
      <c r="C59" s="312">
        <f>C13/C30*(C30-C29)</f>
        <v>0</v>
      </c>
      <c r="D59" s="312">
        <f>(D30-D29)*466320</f>
        <v>932640</v>
      </c>
      <c r="E59" s="312">
        <f>(E30-E29)*466320</f>
        <v>116580</v>
      </c>
      <c r="F59" s="312">
        <f t="shared" ref="F59:BN59" si="384">(F30-F29)</f>
        <v>-9.9999999999999645E-2</v>
      </c>
      <c r="G59" s="312">
        <f>G13/G30*(G30-G29)</f>
        <v>170355.11778682022</v>
      </c>
      <c r="H59" s="312">
        <f t="shared" si="384"/>
        <v>-0.19999999999999996</v>
      </c>
      <c r="I59" s="312">
        <f>I13/I30*(I30-I29)</f>
        <v>522133.12475908326</v>
      </c>
      <c r="J59" s="312">
        <f t="shared" si="384"/>
        <v>0</v>
      </c>
      <c r="K59" s="312">
        <f t="shared" si="384"/>
        <v>0</v>
      </c>
      <c r="L59" s="312">
        <f t="shared" si="384"/>
        <v>-0.40000000000000036</v>
      </c>
      <c r="M59" s="312">
        <f t="shared" si="384"/>
        <v>0</v>
      </c>
      <c r="N59" s="312">
        <f t="shared" si="384"/>
        <v>-0.49000000000000021</v>
      </c>
      <c r="O59" s="312">
        <f>O13/O30*(O30-O29)</f>
        <v>51994.145754471632</v>
      </c>
      <c r="P59" s="312">
        <f t="shared" si="384"/>
        <v>0</v>
      </c>
      <c r="Q59" s="312">
        <f t="shared" si="384"/>
        <v>-0.29999999999999982</v>
      </c>
      <c r="R59" s="312">
        <f>R13/R30*(R30-R29)</f>
        <v>222832.053233446</v>
      </c>
      <c r="S59" s="312">
        <f>S13/S30*(S30-S29)</f>
        <v>222832.05323344597</v>
      </c>
      <c r="T59" s="312">
        <f t="shared" si="384"/>
        <v>0</v>
      </c>
      <c r="U59" s="312">
        <f t="shared" si="384"/>
        <v>-0.5</v>
      </c>
      <c r="V59" s="312">
        <f>V13/V30*(V30-V29)</f>
        <v>73523.477182507733</v>
      </c>
      <c r="W59" s="312">
        <f t="shared" si="384"/>
        <v>-0.25</v>
      </c>
      <c r="X59" s="312">
        <f>X13/X30*(X30-X29)</f>
        <v>735213.25483379571</v>
      </c>
      <c r="Y59" s="312">
        <f>Y13/Y30*(Y30-Y29)</f>
        <v>25552.412953218565</v>
      </c>
      <c r="Z59" s="312">
        <f t="shared" si="384"/>
        <v>-5.0000000000000711E-2</v>
      </c>
      <c r="AA59" s="312">
        <f t="shared" si="384"/>
        <v>0</v>
      </c>
      <c r="AB59" s="312">
        <f>AB13/AB30*(AB30-AB29)</f>
        <v>507203.51375680778</v>
      </c>
      <c r="AC59" s="312">
        <f>AC13/AC30*(AC30-AC29)</f>
        <v>-1226320.7874414893</v>
      </c>
      <c r="AD59" s="312">
        <f>AD13/AD30*(AD30-AD29)</f>
        <v>744989.12062356528</v>
      </c>
      <c r="AE59" s="312">
        <f t="shared" si="384"/>
        <v>-0.30000000000000004</v>
      </c>
      <c r="AF59" s="312">
        <f>AF13/AF30*(AF30-AF29)</f>
        <v>551969.30331674521</v>
      </c>
      <c r="AG59" s="312">
        <f t="shared" si="384"/>
        <v>0</v>
      </c>
      <c r="AH59" s="312">
        <f t="shared" si="384"/>
        <v>-0.30000000000000004</v>
      </c>
      <c r="AI59" s="312">
        <f t="shared" si="384"/>
        <v>-0.22499999999999964</v>
      </c>
      <c r="AJ59" s="312">
        <f>AJ13/AJ30*(AJ30-AJ29)</f>
        <v>119834.56768111819</v>
      </c>
      <c r="AK59" s="312">
        <f>AK13/AK30*(AK30-AK29)</f>
        <v>74277.35107781543</v>
      </c>
      <c r="AL59" s="312">
        <f t="shared" si="384"/>
        <v>0</v>
      </c>
      <c r="AM59" s="312">
        <f t="shared" ref="AM59:AR59" si="385">AM13/AM30*(AM30-AM29)</f>
        <v>74277.351077815445</v>
      </c>
      <c r="AN59" s="312">
        <f t="shared" si="385"/>
        <v>252542.99366457234</v>
      </c>
      <c r="AO59" s="312">
        <f t="shared" si="385"/>
        <v>72814.226757802273</v>
      </c>
      <c r="AP59" s="312">
        <f t="shared" si="385"/>
        <v>135009.883770399</v>
      </c>
      <c r="AQ59" s="312">
        <f t="shared" si="385"/>
        <v>297109.40431126149</v>
      </c>
      <c r="AR59" s="312">
        <f t="shared" si="385"/>
        <v>185693.37769453845</v>
      </c>
      <c r="AS59" s="312">
        <f t="shared" si="384"/>
        <v>-0.4</v>
      </c>
      <c r="AT59" s="312">
        <f t="shared" si="384"/>
        <v>-0.29999999999999982</v>
      </c>
      <c r="AU59" s="312">
        <f t="shared" si="384"/>
        <v>-0.39999999999999991</v>
      </c>
      <c r="AV59" s="312">
        <f t="shared" si="384"/>
        <v>-4.9999999999999822E-2</v>
      </c>
      <c r="AW59" s="312">
        <f t="shared" si="384"/>
        <v>0</v>
      </c>
      <c r="AX59" s="312">
        <f>AX13/AX30*(AX30-AX29)</f>
        <v>189053.37063611965</v>
      </c>
      <c r="AY59" s="312">
        <f>AY13/AY30*(AY30-AY29)</f>
        <v>144775.54873774288</v>
      </c>
      <c r="AZ59" s="312">
        <f t="shared" si="384"/>
        <v>-0.45000000000000018</v>
      </c>
      <c r="BA59" s="312">
        <f t="shared" si="384"/>
        <v>-0.19999999999999929</v>
      </c>
      <c r="BB59" s="312">
        <f t="shared" si="384"/>
        <v>-0.10000000000000009</v>
      </c>
      <c r="BC59" s="312">
        <f t="shared" si="384"/>
        <v>-0.10000000000000009</v>
      </c>
      <c r="BD59" s="312">
        <f>BD13/BD30*(BD30-BD29)</f>
        <v>534796.92776027089</v>
      </c>
      <c r="BE59" s="312">
        <f>BE13/BE30*(BE30-BE29)</f>
        <v>559428.34795616055</v>
      </c>
      <c r="BF59" s="312">
        <f>BF13/BF30*(BF30-BF29)</f>
        <v>74277.351077815125</v>
      </c>
      <c r="BG59" s="312">
        <f t="shared" si="384"/>
        <v>0</v>
      </c>
      <c r="BH59" s="312">
        <f t="shared" si="384"/>
        <v>-0.25</v>
      </c>
      <c r="BI59" s="312">
        <f t="shared" si="384"/>
        <v>-0.21999999999999975</v>
      </c>
      <c r="BJ59" s="312">
        <f t="shared" si="384"/>
        <v>-0.40000000000000036</v>
      </c>
      <c r="BK59" s="312">
        <f t="shared" si="384"/>
        <v>-0.25</v>
      </c>
      <c r="BL59" s="312">
        <f t="shared" si="384"/>
        <v>1.1000000000000001</v>
      </c>
      <c r="BM59" s="312">
        <f>BM13/BM30*(BM30-BM29)</f>
        <v>149180.89278830963</v>
      </c>
      <c r="BN59" s="312">
        <f t="shared" si="384"/>
        <v>-0.37999999999999989</v>
      </c>
      <c r="BO59" s="312">
        <f>BO13/BO30*(BO30-BO29)</f>
        <v>289269.6524752457</v>
      </c>
      <c r="BP59" s="312">
        <f>BP13/BP30*(BP30-BP29)</f>
        <v>607766.70348975586</v>
      </c>
      <c r="BQ59" s="312">
        <f>BQ13/BQ30*(BQ30-BQ29)</f>
        <v>111885.66959123203</v>
      </c>
      <c r="BR59" s="312">
        <f>BR13/BR30*(BR30-BR29)</f>
        <v>259970.72877235388</v>
      </c>
      <c r="BS59" s="312">
        <f t="shared" ref="BS59:EB59" si="386">(BS30-BS29)</f>
        <v>-0.19999999999999996</v>
      </c>
      <c r="BT59" s="312">
        <f t="shared" si="386"/>
        <v>-0.5</v>
      </c>
      <c r="BU59" s="312">
        <f t="shared" si="386"/>
        <v>-9.9999999999999645E-2</v>
      </c>
      <c r="BV59" s="312">
        <f>BV13/BV30*(BV30-BV29)</f>
        <v>190382.44376679871</v>
      </c>
      <c r="BW59" s="312">
        <f>BW13/BW30*(BW30-BW29)</f>
        <v>297109.40431126149</v>
      </c>
      <c r="BX59" s="312">
        <f>BX13/BX30*(BX30-BX29)</f>
        <v>123469.12496849919</v>
      </c>
      <c r="BY59" s="312">
        <f t="shared" si="386"/>
        <v>0</v>
      </c>
      <c r="BZ59" s="312"/>
      <c r="CA59" s="312">
        <f t="shared" si="386"/>
        <v>0</v>
      </c>
      <c r="CB59" s="312">
        <f>CB13/CB30*(CB30-CB29)</f>
        <v>212096.63819068708</v>
      </c>
      <c r="CC59" s="312">
        <f>CC13/CC30*(CC30-CC29)</f>
        <v>185693.37769453845</v>
      </c>
      <c r="CD59" s="312">
        <f t="shared" si="386"/>
        <v>0</v>
      </c>
      <c r="CE59" s="312">
        <f>CE13/CE30*(CE30-CE29)</f>
        <v>198540.14261009466</v>
      </c>
      <c r="CF59" s="312">
        <f t="shared" si="386"/>
        <v>-0.5</v>
      </c>
      <c r="CG59" s="312">
        <f t="shared" si="386"/>
        <v>-3.9999999999999147E-2</v>
      </c>
      <c r="CH59" s="312">
        <f t="shared" si="386"/>
        <v>-0.20000000000000018</v>
      </c>
      <c r="CI59" s="312">
        <f t="shared" si="386"/>
        <v>0</v>
      </c>
      <c r="CJ59" s="312">
        <f t="shared" si="386"/>
        <v>-0.11000000000000032</v>
      </c>
      <c r="CK59" s="312">
        <f>CK13/CK30*(CK30-CK29)</f>
        <v>96027.681703557784</v>
      </c>
      <c r="CL59" s="312">
        <f>CL13/CL30*(CL30-CL29)</f>
        <v>149180.89278830957</v>
      </c>
      <c r="CM59" s="312">
        <f t="shared" si="386"/>
        <v>0</v>
      </c>
      <c r="CN59" s="312">
        <f t="shared" si="386"/>
        <v>0</v>
      </c>
      <c r="CO59" s="312">
        <f t="shared" si="386"/>
        <v>0</v>
      </c>
      <c r="CP59" s="312">
        <f t="shared" si="386"/>
        <v>0</v>
      </c>
      <c r="CQ59" s="312">
        <f t="shared" si="386"/>
        <v>-0.30000000000000071</v>
      </c>
      <c r="CR59" s="312">
        <f t="shared" si="386"/>
        <v>0</v>
      </c>
      <c r="CS59" s="312">
        <f t="shared" si="386"/>
        <v>-0.5</v>
      </c>
      <c r="CT59" s="312">
        <f t="shared" si="386"/>
        <v>0</v>
      </c>
      <c r="CU59" s="312">
        <f t="shared" si="386"/>
        <v>0</v>
      </c>
      <c r="CV59" s="312">
        <f t="shared" si="386"/>
        <v>0</v>
      </c>
      <c r="CW59" s="312">
        <f t="shared" si="386"/>
        <v>-0.4</v>
      </c>
      <c r="CX59" s="312">
        <f>CX13/CX30*(CX30-CX29)</f>
        <v>107897.22684753401</v>
      </c>
      <c r="CY59" s="312">
        <f t="shared" si="386"/>
        <v>-0.49999999999999911</v>
      </c>
      <c r="CZ59" s="312">
        <f>CZ13/CZ30*(CZ30-CZ29)</f>
        <v>179742.43027925643</v>
      </c>
      <c r="DA59" s="312">
        <f t="shared" si="386"/>
        <v>0</v>
      </c>
      <c r="DB59" s="312">
        <f>DB13/DB30*(DB30-DB29)</f>
        <v>111416.02661672299</v>
      </c>
      <c r="DC59" s="312">
        <f>DC13/DC30*(DC30-DC29)</f>
        <v>328714.46353825252</v>
      </c>
      <c r="DD59" s="312">
        <f>DD13/DD30*(DD30-DD29)</f>
        <v>1118856.6959123211</v>
      </c>
      <c r="DE59" s="312">
        <f t="shared" si="386"/>
        <v>-0.5</v>
      </c>
      <c r="DF59" s="312">
        <f t="shared" si="386"/>
        <v>-0.5</v>
      </c>
      <c r="DG59" s="312">
        <f>DG13/DG30*(DG30-DG29)</f>
        <v>111416.02661672299</v>
      </c>
      <c r="DH59" s="312">
        <f>DH13/DH30*(DH30-DH29)</f>
        <v>149561.23966667723</v>
      </c>
      <c r="DI59" s="312">
        <f t="shared" si="386"/>
        <v>-0.37999999999999989</v>
      </c>
      <c r="DJ59" s="312">
        <f t="shared" si="386"/>
        <v>0</v>
      </c>
      <c r="DK59" s="312">
        <f>DK13/DK30*(DK30-DK29)</f>
        <v>1864761.1598538682</v>
      </c>
      <c r="DL59" s="312">
        <f t="shared" si="386"/>
        <v>0</v>
      </c>
      <c r="DM59" s="312">
        <f t="shared" si="386"/>
        <v>-0.5</v>
      </c>
      <c r="DN59" s="312">
        <f>DN13/DN30*(DN30-DN29)</f>
        <v>657428.92707650503</v>
      </c>
      <c r="DO59" s="312">
        <f t="shared" si="386"/>
        <v>0</v>
      </c>
      <c r="DP59" s="312">
        <f t="shared" si="386"/>
        <v>-0.5</v>
      </c>
      <c r="DQ59" s="312">
        <f t="shared" si="386"/>
        <v>-0.45000000000000018</v>
      </c>
      <c r="DR59" s="312">
        <f>DR13/DR30*(DR30-DR29)</f>
        <v>1078454.5816755388</v>
      </c>
      <c r="DS59" s="312">
        <f t="shared" si="386"/>
        <v>-1.5</v>
      </c>
      <c r="DT59" s="312">
        <f t="shared" si="386"/>
        <v>-0.15000000000000036</v>
      </c>
      <c r="DU59" s="312">
        <f t="shared" si="386"/>
        <v>0</v>
      </c>
      <c r="DV59" s="312">
        <f>DV13/DV30*(DV30-DV29)</f>
        <v>63760.883397732032</v>
      </c>
      <c r="DW59" s="312">
        <f t="shared" si="386"/>
        <v>0</v>
      </c>
      <c r="DX59" s="312">
        <f t="shared" si="386"/>
        <v>0</v>
      </c>
      <c r="DY59" s="312">
        <f t="shared" si="386"/>
        <v>-0.19999999999999929</v>
      </c>
      <c r="DZ59" s="312">
        <f t="shared" si="386"/>
        <v>-0.42999999999999994</v>
      </c>
      <c r="EA59" s="312">
        <f t="shared" si="386"/>
        <v>-4</v>
      </c>
      <c r="EB59" s="312">
        <f t="shared" si="386"/>
        <v>-0.5</v>
      </c>
      <c r="EC59" s="312">
        <f t="shared" ref="EC59:ER59" si="387">(EC30-EC29)</f>
        <v>-0.25</v>
      </c>
      <c r="ED59" s="312">
        <f t="shared" si="387"/>
        <v>-0.5</v>
      </c>
      <c r="EE59" s="312">
        <f>EE13/EE30*(EE30-EE29)</f>
        <v>111416.02661672299</v>
      </c>
      <c r="EF59" s="312">
        <f>EF13/EF30*(EF30-EF29)</f>
        <v>185693.37769453845</v>
      </c>
      <c r="EG59" s="312">
        <f t="shared" si="387"/>
        <v>-0.4</v>
      </c>
      <c r="EH59" s="312">
        <f>EH13/EH30*(EH30-EH29)</f>
        <v>159962.36172136589</v>
      </c>
      <c r="EI59" s="312">
        <f t="shared" si="387"/>
        <v>-0.25</v>
      </c>
      <c r="EJ59" s="312">
        <f t="shared" si="387"/>
        <v>-0.39999999999999991</v>
      </c>
      <c r="EK59" s="312">
        <f t="shared" si="387"/>
        <v>-0.41000000000000014</v>
      </c>
      <c r="EL59" s="312">
        <f>EL13/EL30*(EL30-EL29)</f>
        <v>272049.9201217427</v>
      </c>
      <c r="EM59" s="312">
        <f t="shared" si="387"/>
        <v>-0.5</v>
      </c>
      <c r="EN59" s="312">
        <f t="shared" si="387"/>
        <v>-0.5</v>
      </c>
      <c r="EO59" s="674">
        <v>0</v>
      </c>
      <c r="EP59" s="312">
        <f>EP13/EP30*(EP30-EP29)</f>
        <v>909808.32174445631</v>
      </c>
      <c r="EQ59" s="312">
        <f t="shared" si="387"/>
        <v>-0.5</v>
      </c>
      <c r="ER59" s="312">
        <f t="shared" si="387"/>
        <v>0</v>
      </c>
      <c r="ES59" s="312">
        <f>ES13/ES30*(ES30-ES29)</f>
        <v>497885.23245093215</v>
      </c>
      <c r="ET59" s="312"/>
      <c r="EU59" s="312"/>
      <c r="EV59" s="312"/>
      <c r="EW59" s="312"/>
      <c r="EX59" s="312"/>
      <c r="EY59" s="312"/>
      <c r="EZ59" s="312"/>
      <c r="FA59" s="312"/>
      <c r="FB59" s="312"/>
      <c r="FC59" s="312"/>
      <c r="FD59" s="312"/>
      <c r="FE59" s="312"/>
      <c r="FF59" s="312"/>
      <c r="FG59" s="312"/>
      <c r="FH59" s="312"/>
      <c r="FI59" s="312"/>
      <c r="FJ59" s="312"/>
      <c r="FK59" s="312"/>
      <c r="FL59" s="312"/>
      <c r="FM59" s="312"/>
      <c r="FN59" s="312"/>
      <c r="FO59" s="312"/>
      <c r="FP59" s="312"/>
      <c r="FQ59" s="312"/>
      <c r="FR59" s="312"/>
      <c r="FS59" s="312"/>
      <c r="FT59" s="312"/>
      <c r="FU59" s="312"/>
      <c r="FV59" s="312"/>
      <c r="FW59" s="312"/>
      <c r="FX59" s="312"/>
      <c r="FY59" s="312"/>
      <c r="FZ59" s="312"/>
      <c r="GA59" s="312"/>
      <c r="GB59" s="312"/>
      <c r="GC59" s="312"/>
      <c r="GD59" s="312"/>
      <c r="GE59" s="312"/>
      <c r="GF59" s="312"/>
      <c r="GG59" s="312"/>
      <c r="GH59" s="312"/>
      <c r="GI59" s="312"/>
      <c r="GJ59" s="312"/>
      <c r="GK59" s="312"/>
      <c r="GL59" s="312"/>
      <c r="GM59" s="312"/>
      <c r="GN59" s="312"/>
      <c r="GO59" s="312"/>
      <c r="GP59" s="312"/>
      <c r="GQ59" s="312"/>
      <c r="GR59" s="312"/>
      <c r="GS59" s="312"/>
      <c r="GT59" s="312"/>
      <c r="GU59" s="312"/>
      <c r="GV59" s="312"/>
      <c r="GW59" s="312"/>
      <c r="GX59" s="312"/>
      <c r="GY59" s="312"/>
      <c r="GZ59" s="312"/>
      <c r="HA59" s="312"/>
      <c r="HB59" s="312"/>
      <c r="HC59" s="312"/>
      <c r="HD59" s="312"/>
      <c r="HE59" s="312"/>
      <c r="HF59" s="312"/>
      <c r="HG59" s="312"/>
      <c r="HH59" s="312"/>
      <c r="HI59" s="312"/>
      <c r="HJ59" s="312"/>
      <c r="HK59" s="312"/>
      <c r="HL59" s="312"/>
      <c r="HM59" s="312"/>
      <c r="HN59" s="312"/>
      <c r="HO59" s="312"/>
      <c r="HP59" s="312"/>
      <c r="HQ59" s="312"/>
      <c r="HR59" s="312"/>
      <c r="HS59" s="312"/>
      <c r="HT59" s="312"/>
      <c r="HU59" s="312"/>
      <c r="HV59" s="312"/>
      <c r="HW59" s="312"/>
      <c r="HX59" s="312"/>
      <c r="HY59" s="312"/>
      <c r="HZ59" s="312"/>
      <c r="IA59" s="312"/>
      <c r="IB59" s="312"/>
      <c r="IC59" s="312"/>
      <c r="ID59" s="312"/>
      <c r="IE59" s="312"/>
      <c r="IF59" s="312"/>
      <c r="IG59" s="312"/>
      <c r="IH59" s="312"/>
      <c r="II59" s="312"/>
      <c r="IJ59" s="312"/>
      <c r="IK59" s="312"/>
      <c r="IL59" s="312"/>
      <c r="IM59" s="312"/>
      <c r="IN59" s="312"/>
      <c r="IO59" s="312"/>
      <c r="IP59" s="312"/>
      <c r="IQ59" s="312"/>
      <c r="IR59" s="312"/>
      <c r="IS59" s="312"/>
      <c r="IT59" s="312"/>
      <c r="IU59" s="312"/>
      <c r="IV59" s="312"/>
      <c r="IW59" s="312"/>
      <c r="IX59" s="312"/>
      <c r="IY59" s="312"/>
      <c r="IZ59" s="312"/>
      <c r="JA59" s="312"/>
      <c r="JB59" s="312"/>
      <c r="JC59" s="312"/>
      <c r="JD59" s="312"/>
      <c r="JE59" s="312"/>
      <c r="JF59" s="312"/>
      <c r="JG59" s="312"/>
      <c r="JH59" s="312"/>
      <c r="JI59" s="312"/>
    </row>
    <row r="60" spans="1:277" x14ac:dyDescent="0.25">
      <c r="B60" s="314" t="str">
        <f>B$20</f>
        <v>Průměrná mzda PPPs 2018</v>
      </c>
      <c r="C60" s="314">
        <f>C$20</f>
        <v>27906.925195451313</v>
      </c>
      <c r="D60" s="314">
        <f t="shared" ref="D60:BP60" si="388">D$20</f>
        <v>31567.842605156038</v>
      </c>
      <c r="E60" s="314">
        <f t="shared" si="388"/>
        <v>26075.209970233398</v>
      </c>
      <c r="F60" s="314">
        <f t="shared" si="388"/>
        <v>25629.34788991166</v>
      </c>
      <c r="G60" s="314">
        <f t="shared" si="388"/>
        <v>23789.218602318862</v>
      </c>
      <c r="H60" s="314">
        <f t="shared" si="388"/>
        <v>0</v>
      </c>
      <c r="I60" s="314">
        <f t="shared" si="388"/>
        <v>25486.300250571956</v>
      </c>
      <c r="J60" s="314">
        <f t="shared" si="388"/>
        <v>44280.144646489964</v>
      </c>
      <c r="K60" s="314">
        <f t="shared" si="388"/>
        <v>19608.000824093891</v>
      </c>
      <c r="L60" s="314">
        <f t="shared" si="388"/>
        <v>0</v>
      </c>
      <c r="M60" s="314">
        <f t="shared" si="388"/>
        <v>29842.545401397041</v>
      </c>
      <c r="N60" s="314">
        <f t="shared" si="388"/>
        <v>27568.029389123036</v>
      </c>
      <c r="O60" s="314">
        <f t="shared" si="388"/>
        <v>27969.203980099497</v>
      </c>
      <c r="P60" s="314">
        <f t="shared" si="388"/>
        <v>23093.43087195601</v>
      </c>
      <c r="Q60" s="314">
        <f t="shared" si="388"/>
        <v>29157.480803836785</v>
      </c>
      <c r="R60" s="314">
        <f t="shared" si="388"/>
        <v>50765.428808339253</v>
      </c>
      <c r="S60" s="314">
        <f t="shared" si="388"/>
        <v>44227.404643449416</v>
      </c>
      <c r="T60" s="314">
        <f t="shared" si="388"/>
        <v>0</v>
      </c>
      <c r="U60" s="314">
        <f t="shared" si="388"/>
        <v>35104.651899736986</v>
      </c>
      <c r="V60" s="314">
        <f t="shared" si="388"/>
        <v>25636.67627540019</v>
      </c>
      <c r="W60" s="314">
        <f t="shared" si="388"/>
        <v>29395.08141112619</v>
      </c>
      <c r="X60" s="314">
        <f t="shared" si="388"/>
        <v>20995.472803486755</v>
      </c>
      <c r="Y60" s="314">
        <f t="shared" si="388"/>
        <v>64176.375483929689</v>
      </c>
      <c r="Z60" s="314">
        <f t="shared" si="388"/>
        <v>44034.719558835866</v>
      </c>
      <c r="AA60" s="314">
        <f t="shared" si="388"/>
        <v>22764.303482587064</v>
      </c>
      <c r="AB60" s="314">
        <f t="shared" si="388"/>
        <v>21989.633735268766</v>
      </c>
      <c r="AC60" s="314">
        <f t="shared" si="388"/>
        <v>26288.401741293532</v>
      </c>
      <c r="AD60" s="314">
        <f t="shared" si="388"/>
        <v>30967.101990049749</v>
      </c>
      <c r="AE60" s="314">
        <f t="shared" si="388"/>
        <v>31999.032614704251</v>
      </c>
      <c r="AF60" s="314">
        <f t="shared" si="388"/>
        <v>28858.986318407955</v>
      </c>
      <c r="AG60" s="314">
        <f t="shared" si="388"/>
        <v>23014.557232462786</v>
      </c>
      <c r="AH60" s="314">
        <f t="shared" si="388"/>
        <v>34322.587512886013</v>
      </c>
      <c r="AI60" s="314">
        <f t="shared" si="388"/>
        <v>25320.997670087731</v>
      </c>
      <c r="AJ60" s="314">
        <f t="shared" si="388"/>
        <v>26082.362734132956</v>
      </c>
      <c r="AK60" s="314">
        <f t="shared" si="388"/>
        <v>27188.965884861402</v>
      </c>
      <c r="AL60" s="314">
        <f t="shared" si="388"/>
        <v>32079.177973767521</v>
      </c>
      <c r="AM60" s="314">
        <f t="shared" si="388"/>
        <v>53062.810945273632</v>
      </c>
      <c r="AN60" s="314">
        <f t="shared" si="388"/>
        <v>24825.186567164179</v>
      </c>
      <c r="AO60" s="314">
        <f t="shared" si="388"/>
        <v>21433.554591972188</v>
      </c>
      <c r="AP60" s="314">
        <f t="shared" si="388"/>
        <v>30004.99107028958</v>
      </c>
      <c r="AQ60" s="314">
        <f t="shared" si="388"/>
        <v>20546.641791044774</v>
      </c>
      <c r="AR60" s="314">
        <f t="shared" si="388"/>
        <v>25719.146235905111</v>
      </c>
      <c r="AS60" s="314">
        <f t="shared" si="388"/>
        <v>25812.189054726368</v>
      </c>
      <c r="AT60" s="314">
        <f t="shared" si="388"/>
        <v>18793.874436251099</v>
      </c>
      <c r="AU60" s="314">
        <f t="shared" si="388"/>
        <v>20983.234162848632</v>
      </c>
      <c r="AV60" s="314">
        <f t="shared" si="388"/>
        <v>27688.672024492917</v>
      </c>
      <c r="AW60" s="314">
        <f t="shared" si="388"/>
        <v>18645.794835347071</v>
      </c>
      <c r="AX60" s="314">
        <f t="shared" si="388"/>
        <v>23938.425093863876</v>
      </c>
      <c r="AY60" s="314">
        <f t="shared" si="388"/>
        <v>25402.073660922943</v>
      </c>
      <c r="AZ60" s="314">
        <f t="shared" si="388"/>
        <v>32982.761497391082</v>
      </c>
      <c r="BA60" s="314">
        <f t="shared" si="388"/>
        <v>0</v>
      </c>
      <c r="BB60" s="314">
        <f t="shared" si="388"/>
        <v>20309.172885572138</v>
      </c>
      <c r="BC60" s="314">
        <f t="shared" si="388"/>
        <v>28084.071828358206</v>
      </c>
      <c r="BD60" s="314">
        <f t="shared" si="388"/>
        <v>28073.7091242815</v>
      </c>
      <c r="BE60" s="314">
        <f t="shared" si="388"/>
        <v>41440.889094508253</v>
      </c>
      <c r="BF60" s="314">
        <f t="shared" si="388"/>
        <v>0</v>
      </c>
      <c r="BG60" s="314">
        <f t="shared" si="388"/>
        <v>0</v>
      </c>
      <c r="BH60" s="314">
        <f t="shared" si="388"/>
        <v>0</v>
      </c>
      <c r="BI60" s="314">
        <f t="shared" si="388"/>
        <v>65036.485249298297</v>
      </c>
      <c r="BJ60" s="314">
        <f t="shared" si="388"/>
        <v>23216.791044776117</v>
      </c>
      <c r="BK60" s="314">
        <f t="shared" si="388"/>
        <v>20328.358592128698</v>
      </c>
      <c r="BL60" s="314">
        <f t="shared" si="388"/>
        <v>0</v>
      </c>
      <c r="BM60" s="314">
        <f t="shared" si="388"/>
        <v>23100.859069806102</v>
      </c>
      <c r="BN60" s="314">
        <f t="shared" si="388"/>
        <v>28660.676147446949</v>
      </c>
      <c r="BO60" s="314">
        <f t="shared" si="388"/>
        <v>30825.354360274101</v>
      </c>
      <c r="BP60" s="314">
        <f t="shared" si="388"/>
        <v>26595.461830032134</v>
      </c>
      <c r="BQ60" s="314">
        <f t="shared" ref="BQ60:EB60" si="389">BQ$20</f>
        <v>28930.718785623183</v>
      </c>
      <c r="BR60" s="314">
        <f t="shared" si="389"/>
        <v>23320.087064676616</v>
      </c>
      <c r="BS60" s="314">
        <f t="shared" si="389"/>
        <v>30015.525210825301</v>
      </c>
      <c r="BT60" s="314">
        <f t="shared" si="389"/>
        <v>38191.417910447759</v>
      </c>
      <c r="BU60" s="314">
        <f t="shared" si="389"/>
        <v>26117.264288314524</v>
      </c>
      <c r="BV60" s="314">
        <f t="shared" si="389"/>
        <v>16749.309010503039</v>
      </c>
      <c r="BW60" s="314">
        <f t="shared" si="389"/>
        <v>32543.90915832161</v>
      </c>
      <c r="BX60" s="314">
        <f t="shared" si="389"/>
        <v>20159.858080117341</v>
      </c>
      <c r="BY60" s="314">
        <f t="shared" si="389"/>
        <v>27024.792703150913</v>
      </c>
      <c r="BZ60" s="314">
        <f t="shared" si="389"/>
        <v>54228.426033531519</v>
      </c>
      <c r="CA60" s="314">
        <f t="shared" si="389"/>
        <v>0</v>
      </c>
      <c r="CB60" s="314">
        <f t="shared" si="389"/>
        <v>23848.557045851823</v>
      </c>
      <c r="CC60" s="314">
        <f t="shared" si="389"/>
        <v>28192.319434903584</v>
      </c>
      <c r="CD60" s="314">
        <f t="shared" si="389"/>
        <v>29540.826089333546</v>
      </c>
      <c r="CE60" s="314">
        <f t="shared" si="389"/>
        <v>24635.439974627523</v>
      </c>
      <c r="CF60" s="314">
        <f t="shared" si="389"/>
        <v>28886.46390688069</v>
      </c>
      <c r="CG60" s="314">
        <f t="shared" si="389"/>
        <v>29081.203674106127</v>
      </c>
      <c r="CH60" s="314">
        <f t="shared" si="389"/>
        <v>32459.432006633499</v>
      </c>
      <c r="CI60" s="314">
        <f t="shared" si="389"/>
        <v>34707.564249757132</v>
      </c>
      <c r="CJ60" s="314">
        <f t="shared" si="389"/>
        <v>28005.860642439973</v>
      </c>
      <c r="CK60" s="314">
        <f t="shared" si="389"/>
        <v>25967.970954140677</v>
      </c>
      <c r="CL60" s="314">
        <f t="shared" si="389"/>
        <v>31434.269734131882</v>
      </c>
      <c r="CM60" s="314">
        <f t="shared" si="389"/>
        <v>25320.83629471689</v>
      </c>
      <c r="CN60" s="314">
        <f t="shared" si="389"/>
        <v>22942.077496602829</v>
      </c>
      <c r="CO60" s="314">
        <f t="shared" si="389"/>
        <v>26444.806742631699</v>
      </c>
      <c r="CP60" s="314">
        <f t="shared" si="389"/>
        <v>23845.451747821342</v>
      </c>
      <c r="CQ60" s="314">
        <f t="shared" si="389"/>
        <v>24986.198140174813</v>
      </c>
      <c r="CR60" s="314">
        <f t="shared" si="389"/>
        <v>20340.950163711354</v>
      </c>
      <c r="CS60" s="314">
        <f t="shared" si="389"/>
        <v>0</v>
      </c>
      <c r="CT60" s="314">
        <f t="shared" si="389"/>
        <v>28886.858269938562</v>
      </c>
      <c r="CU60" s="314">
        <f t="shared" si="389"/>
        <v>24012.730465320456</v>
      </c>
      <c r="CV60" s="314">
        <f t="shared" si="389"/>
        <v>22330.76720490076</v>
      </c>
      <c r="CW60" s="314">
        <f t="shared" si="389"/>
        <v>0</v>
      </c>
      <c r="CX60" s="314">
        <f t="shared" si="389"/>
        <v>28743.342134527149</v>
      </c>
      <c r="CY60" s="314">
        <f t="shared" si="389"/>
        <v>25641.056744884161</v>
      </c>
      <c r="CZ60" s="314">
        <f t="shared" si="389"/>
        <v>29941.499609794166</v>
      </c>
      <c r="DA60" s="314">
        <f t="shared" si="389"/>
        <v>0</v>
      </c>
      <c r="DB60" s="314">
        <f t="shared" si="389"/>
        <v>29117.752583237656</v>
      </c>
      <c r="DC60" s="314">
        <f t="shared" si="389"/>
        <v>34785.195643404593</v>
      </c>
      <c r="DD60" s="314">
        <f t="shared" si="389"/>
        <v>0</v>
      </c>
      <c r="DE60" s="314">
        <f t="shared" si="389"/>
        <v>0</v>
      </c>
      <c r="DF60" s="314">
        <f t="shared" si="389"/>
        <v>0</v>
      </c>
      <c r="DG60" s="314">
        <f t="shared" si="389"/>
        <v>0</v>
      </c>
      <c r="DH60" s="314">
        <f t="shared" si="389"/>
        <v>27024.651180189278</v>
      </c>
      <c r="DI60" s="314">
        <f t="shared" si="389"/>
        <v>27461.040949100647</v>
      </c>
      <c r="DJ60" s="314">
        <f t="shared" si="389"/>
        <v>32641.492537313428</v>
      </c>
      <c r="DK60" s="314">
        <f t="shared" si="389"/>
        <v>27727.651255218163</v>
      </c>
      <c r="DL60" s="314">
        <f t="shared" si="389"/>
        <v>22211.075870646764</v>
      </c>
      <c r="DM60" s="314">
        <f t="shared" si="389"/>
        <v>20434.341429382057</v>
      </c>
      <c r="DN60" s="314">
        <f t="shared" si="389"/>
        <v>20500.768217734858</v>
      </c>
      <c r="DO60" s="314">
        <f t="shared" si="389"/>
        <v>0</v>
      </c>
      <c r="DP60" s="314">
        <f t="shared" si="389"/>
        <v>28554.763145134504</v>
      </c>
      <c r="DQ60" s="314">
        <f t="shared" si="389"/>
        <v>30799.936383506025</v>
      </c>
      <c r="DR60" s="314">
        <f t="shared" si="389"/>
        <v>31895.230265139191</v>
      </c>
      <c r="DS60" s="314">
        <f t="shared" si="389"/>
        <v>0</v>
      </c>
      <c r="DT60" s="314">
        <f t="shared" si="389"/>
        <v>27686.796938999782</v>
      </c>
      <c r="DU60" s="314">
        <f t="shared" si="389"/>
        <v>25186.776329572367</v>
      </c>
      <c r="DV60" s="314">
        <f t="shared" si="389"/>
        <v>24117.805438176732</v>
      </c>
      <c r="DW60" s="314">
        <f t="shared" si="389"/>
        <v>0</v>
      </c>
      <c r="DX60" s="314">
        <f t="shared" si="389"/>
        <v>31214.311127577239</v>
      </c>
      <c r="DY60" s="314">
        <f t="shared" si="389"/>
        <v>0</v>
      </c>
      <c r="DZ60" s="314">
        <f t="shared" si="389"/>
        <v>0</v>
      </c>
      <c r="EA60" s="314">
        <f t="shared" si="389"/>
        <v>21145.068441216372</v>
      </c>
      <c r="EB60" s="314">
        <f t="shared" si="389"/>
        <v>17807.654037504784</v>
      </c>
      <c r="EC60" s="314">
        <f t="shared" ref="EC60:GN60" si="390">EC$20</f>
        <v>25582.205638474294</v>
      </c>
      <c r="ED60" s="314">
        <f t="shared" si="390"/>
        <v>22766.535967264608</v>
      </c>
      <c r="EE60" s="314">
        <f t="shared" si="390"/>
        <v>26386.8699978369</v>
      </c>
      <c r="EF60" s="314">
        <f t="shared" si="390"/>
        <v>28841.691542288558</v>
      </c>
      <c r="EG60" s="314">
        <f t="shared" si="390"/>
        <v>29118.1592039801</v>
      </c>
      <c r="EH60" s="314">
        <f t="shared" si="390"/>
        <v>22598.555576029317</v>
      </c>
      <c r="EI60" s="314">
        <f t="shared" si="390"/>
        <v>16570.762260127933</v>
      </c>
      <c r="EJ60" s="314">
        <f t="shared" si="390"/>
        <v>31456.351057213928</v>
      </c>
      <c r="EK60" s="314">
        <f t="shared" si="390"/>
        <v>0</v>
      </c>
      <c r="EL60" s="314">
        <f t="shared" si="390"/>
        <v>0</v>
      </c>
      <c r="EM60" s="314">
        <f t="shared" si="390"/>
        <v>0</v>
      </c>
      <c r="EN60" s="314">
        <f t="shared" si="390"/>
        <v>22501.492537313432</v>
      </c>
      <c r="EO60" s="314">
        <f t="shared" si="390"/>
        <v>16432.421227197348</v>
      </c>
      <c r="EP60" s="314">
        <f t="shared" si="390"/>
        <v>22573.112697382654</v>
      </c>
      <c r="EQ60" s="314">
        <f t="shared" si="390"/>
        <v>16407.569296375263</v>
      </c>
      <c r="ER60" s="314">
        <f t="shared" si="390"/>
        <v>19239.322436814586</v>
      </c>
      <c r="ES60" s="314">
        <f t="shared" si="390"/>
        <v>11037.560333636709</v>
      </c>
      <c r="ET60" s="314">
        <f t="shared" si="390"/>
        <v>0</v>
      </c>
      <c r="EU60" s="314">
        <f t="shared" si="390"/>
        <v>0</v>
      </c>
      <c r="EV60" s="314">
        <f t="shared" si="390"/>
        <v>35477.587829568729</v>
      </c>
      <c r="EW60" s="314">
        <f t="shared" si="390"/>
        <v>21720.409258743966</v>
      </c>
      <c r="EX60" s="314">
        <f t="shared" si="390"/>
        <v>24952.024509160776</v>
      </c>
      <c r="EY60" s="314">
        <f t="shared" si="390"/>
        <v>25079.410639112131</v>
      </c>
      <c r="EZ60" s="314">
        <f t="shared" si="390"/>
        <v>21595.909342178002</v>
      </c>
      <c r="FA60" s="314">
        <f t="shared" si="390"/>
        <v>41786.871563236447</v>
      </c>
      <c r="FB60" s="314">
        <f t="shared" si="390"/>
        <v>20183.630458817028</v>
      </c>
      <c r="FC60" s="314">
        <f t="shared" si="390"/>
        <v>28938.592368042133</v>
      </c>
      <c r="FD60" s="314">
        <f t="shared" si="390"/>
        <v>36904.958381171062</v>
      </c>
      <c r="FE60" s="314">
        <f t="shared" si="390"/>
        <v>27180.702563526178</v>
      </c>
      <c r="FF60" s="314">
        <f t="shared" si="390"/>
        <v>30876.362236436857</v>
      </c>
      <c r="FG60" s="314">
        <f t="shared" si="390"/>
        <v>26909.695273631842</v>
      </c>
      <c r="FH60" s="314">
        <f t="shared" si="390"/>
        <v>26410.450552347873</v>
      </c>
      <c r="FI60" s="314">
        <f t="shared" si="390"/>
        <v>24524.168008628025</v>
      </c>
      <c r="FJ60" s="314">
        <f t="shared" si="390"/>
        <v>22173.73070544712</v>
      </c>
      <c r="FK60" s="314">
        <f t="shared" si="390"/>
        <v>20694.776119402984</v>
      </c>
      <c r="FL60" s="314">
        <f t="shared" si="390"/>
        <v>20694.776119402984</v>
      </c>
      <c r="FM60" s="314">
        <f t="shared" si="390"/>
        <v>23034.600703379649</v>
      </c>
      <c r="FN60" s="314">
        <f t="shared" si="390"/>
        <v>21928.004978979945</v>
      </c>
      <c r="FO60" s="314">
        <f t="shared" si="390"/>
        <v>25450.934304000508</v>
      </c>
      <c r="FP60" s="314">
        <f t="shared" si="390"/>
        <v>26349.277844886219</v>
      </c>
      <c r="FQ60" s="314">
        <f t="shared" si="390"/>
        <v>28560.30453791648</v>
      </c>
      <c r="FR60" s="314">
        <f t="shared" si="390"/>
        <v>0</v>
      </c>
      <c r="FS60" s="314">
        <f t="shared" si="390"/>
        <v>41533.941951409062</v>
      </c>
      <c r="FT60" s="314">
        <f t="shared" si="390"/>
        <v>34326.236871199559</v>
      </c>
      <c r="FU60" s="314">
        <f t="shared" si="390"/>
        <v>26249.067164179101</v>
      </c>
      <c r="FV60" s="314">
        <f t="shared" si="390"/>
        <v>16391.532901530081</v>
      </c>
      <c r="FW60" s="314">
        <f t="shared" si="390"/>
        <v>28738.368965980906</v>
      </c>
      <c r="FX60" s="314">
        <f t="shared" si="390"/>
        <v>23135.043532338306</v>
      </c>
      <c r="FY60" s="314">
        <f t="shared" si="390"/>
        <v>19186.722636815917</v>
      </c>
      <c r="FZ60" s="314">
        <f t="shared" si="390"/>
        <v>25399.51181672742</v>
      </c>
      <c r="GA60" s="314">
        <f t="shared" si="390"/>
        <v>27874.430550410136</v>
      </c>
      <c r="GB60" s="314">
        <f t="shared" si="390"/>
        <v>29157.19111542877</v>
      </c>
      <c r="GC60" s="314">
        <f t="shared" si="390"/>
        <v>21116.3877581788</v>
      </c>
      <c r="GD60" s="314">
        <f t="shared" si="390"/>
        <v>23638.633261038703</v>
      </c>
      <c r="GE60" s="314">
        <f t="shared" si="390"/>
        <v>26284.055538888468</v>
      </c>
      <c r="GF60" s="314">
        <f t="shared" si="390"/>
        <v>15534.52129841735</v>
      </c>
      <c r="GG60" s="314">
        <f t="shared" si="390"/>
        <v>29361.431718419717</v>
      </c>
      <c r="GH60" s="314">
        <f t="shared" si="390"/>
        <v>31756.787296325554</v>
      </c>
      <c r="GI60" s="314">
        <f t="shared" si="390"/>
        <v>27742.00392569726</v>
      </c>
      <c r="GJ60" s="314">
        <f t="shared" si="390"/>
        <v>22942.332870062641</v>
      </c>
      <c r="GK60" s="314">
        <f t="shared" si="390"/>
        <v>26301.700002014222</v>
      </c>
      <c r="GL60" s="314">
        <f t="shared" si="390"/>
        <v>37642.876526458618</v>
      </c>
      <c r="GM60" s="314">
        <f t="shared" si="390"/>
        <v>24307.881644409532</v>
      </c>
      <c r="GN60" s="314">
        <f t="shared" si="390"/>
        <v>26598.19947879649</v>
      </c>
      <c r="GO60" s="314">
        <f t="shared" ref="GO60:IZ60" si="391">GO$20</f>
        <v>24518.807279392506</v>
      </c>
      <c r="GP60" s="314">
        <f t="shared" si="391"/>
        <v>21594.3407960199</v>
      </c>
      <c r="GQ60" s="314">
        <f t="shared" si="391"/>
        <v>21674.856486796783</v>
      </c>
      <c r="GR60" s="314">
        <f t="shared" si="391"/>
        <v>28467.460491659349</v>
      </c>
      <c r="GS60" s="314">
        <f t="shared" si="391"/>
        <v>32998.445273631834</v>
      </c>
      <c r="GT60" s="314">
        <f t="shared" si="391"/>
        <v>25405.910446398888</v>
      </c>
      <c r="GU60" s="314">
        <f t="shared" si="391"/>
        <v>23920.321205134998</v>
      </c>
      <c r="GV60" s="314">
        <f t="shared" si="391"/>
        <v>0</v>
      </c>
      <c r="GW60" s="314">
        <f t="shared" si="391"/>
        <v>29068.099739859612</v>
      </c>
      <c r="GX60" s="314">
        <f t="shared" si="391"/>
        <v>28621.551334237898</v>
      </c>
      <c r="GY60" s="314">
        <f t="shared" si="391"/>
        <v>29639.789065471392</v>
      </c>
      <c r="GZ60" s="314">
        <f t="shared" si="391"/>
        <v>0</v>
      </c>
      <c r="HA60" s="314">
        <f t="shared" si="391"/>
        <v>26912.249114929058</v>
      </c>
      <c r="HB60" s="314">
        <f t="shared" si="391"/>
        <v>34246.19817089288</v>
      </c>
      <c r="HC60" s="314">
        <f t="shared" si="391"/>
        <v>30114.807010128206</v>
      </c>
      <c r="HD60" s="314">
        <f t="shared" si="391"/>
        <v>25211.954191992598</v>
      </c>
      <c r="HE60" s="314">
        <f t="shared" si="391"/>
        <v>28903.099738184872</v>
      </c>
      <c r="HF60" s="314">
        <f t="shared" si="391"/>
        <v>21476.635345770432</v>
      </c>
      <c r="HG60" s="314">
        <f t="shared" si="391"/>
        <v>33503.917910447759</v>
      </c>
      <c r="HH60" s="314">
        <f t="shared" si="391"/>
        <v>0</v>
      </c>
      <c r="HI60" s="314">
        <f t="shared" si="391"/>
        <v>26684.574287652642</v>
      </c>
      <c r="HJ60" s="314">
        <f t="shared" si="391"/>
        <v>62033.821278224263</v>
      </c>
      <c r="HK60" s="314">
        <f t="shared" si="391"/>
        <v>32706.586117033872</v>
      </c>
      <c r="HL60" s="314">
        <f t="shared" si="391"/>
        <v>31061.090678912049</v>
      </c>
      <c r="HM60" s="314">
        <f t="shared" si="391"/>
        <v>37160.682761308657</v>
      </c>
      <c r="HN60" s="314">
        <f t="shared" si="391"/>
        <v>14595.238095238094</v>
      </c>
      <c r="HO60" s="314">
        <f t="shared" si="391"/>
        <v>36966.645936981753</v>
      </c>
      <c r="HP60" s="314">
        <f t="shared" si="391"/>
        <v>28585.358316168546</v>
      </c>
      <c r="HQ60" s="314">
        <f t="shared" si="391"/>
        <v>32345.723306544198</v>
      </c>
      <c r="HR60" s="314">
        <f t="shared" si="391"/>
        <v>33407.660142482011</v>
      </c>
      <c r="HS60" s="314">
        <f t="shared" si="391"/>
        <v>31896.947553897182</v>
      </c>
      <c r="HT60" s="314">
        <f t="shared" si="391"/>
        <v>29964.796019900496</v>
      </c>
      <c r="HU60" s="314">
        <f t="shared" si="391"/>
        <v>32023.54168725208</v>
      </c>
      <c r="HV60" s="314">
        <f t="shared" si="391"/>
        <v>29093.348742662885</v>
      </c>
      <c r="HW60" s="314">
        <f t="shared" si="391"/>
        <v>26840.03121694849</v>
      </c>
      <c r="HX60" s="314">
        <f t="shared" si="391"/>
        <v>27070.592461153286</v>
      </c>
      <c r="HY60" s="314">
        <f t="shared" si="391"/>
        <v>33487.922191030244</v>
      </c>
      <c r="HZ60" s="314">
        <f t="shared" si="391"/>
        <v>26808.849272157728</v>
      </c>
      <c r="IA60" s="314">
        <f t="shared" si="391"/>
        <v>29311.827058736166</v>
      </c>
      <c r="IB60" s="314">
        <f t="shared" si="391"/>
        <v>32029.320310213636</v>
      </c>
      <c r="IC60" s="314">
        <f t="shared" si="391"/>
        <v>24213.246543829522</v>
      </c>
      <c r="ID60" s="314">
        <f t="shared" si="391"/>
        <v>27543.613019489992</v>
      </c>
      <c r="IE60" s="314">
        <f t="shared" si="391"/>
        <v>24713.524490512031</v>
      </c>
      <c r="IF60" s="314">
        <f t="shared" si="391"/>
        <v>29225.370222599999</v>
      </c>
      <c r="IG60" s="314">
        <f t="shared" si="391"/>
        <v>0</v>
      </c>
      <c r="IH60" s="314">
        <f t="shared" si="391"/>
        <v>36551.328866357049</v>
      </c>
      <c r="II60" s="314">
        <f t="shared" si="391"/>
        <v>28073.601281470634</v>
      </c>
      <c r="IJ60" s="314">
        <f t="shared" si="391"/>
        <v>24985.679622585645</v>
      </c>
      <c r="IK60" s="314">
        <f t="shared" si="391"/>
        <v>34331.500221406059</v>
      </c>
      <c r="IL60" s="314">
        <f t="shared" si="391"/>
        <v>30793.769499957834</v>
      </c>
      <c r="IM60" s="314">
        <f t="shared" si="391"/>
        <v>26103.312801073993</v>
      </c>
      <c r="IN60" s="314">
        <f t="shared" si="391"/>
        <v>28645.168526545935</v>
      </c>
      <c r="IO60" s="314">
        <f t="shared" si="391"/>
        <v>24183.068470596652</v>
      </c>
      <c r="IP60" s="314">
        <f t="shared" si="391"/>
        <v>28210.973706241395</v>
      </c>
      <c r="IQ60" s="314">
        <f t="shared" si="391"/>
        <v>34431.476836125083</v>
      </c>
      <c r="IR60" s="314">
        <f t="shared" si="391"/>
        <v>28593.490878938635</v>
      </c>
      <c r="IS60" s="314">
        <f t="shared" si="391"/>
        <v>27686.07382138717</v>
      </c>
      <c r="IT60" s="314">
        <f t="shared" si="391"/>
        <v>28580.768634920572</v>
      </c>
      <c r="IU60" s="314">
        <f t="shared" si="391"/>
        <v>49154.664629229803</v>
      </c>
      <c r="IV60" s="314">
        <f t="shared" si="391"/>
        <v>29102.051724846835</v>
      </c>
      <c r="IW60" s="314">
        <f t="shared" si="391"/>
        <v>23255.043610366611</v>
      </c>
      <c r="IX60" s="314">
        <f t="shared" si="391"/>
        <v>26352.266445550027</v>
      </c>
      <c r="IY60" s="314">
        <f t="shared" si="391"/>
        <v>29667.340306427337</v>
      </c>
      <c r="IZ60" s="314">
        <f t="shared" si="391"/>
        <v>29290.644732018205</v>
      </c>
      <c r="JA60" s="314">
        <f t="shared" ref="JA60:JH60" si="392">JA$20</f>
        <v>28064.233289000542</v>
      </c>
      <c r="JB60" s="314">
        <f t="shared" si="392"/>
        <v>38540.08184882041</v>
      </c>
      <c r="JC60" s="314">
        <f t="shared" si="392"/>
        <v>22284.564393939392</v>
      </c>
      <c r="JD60" s="314">
        <f t="shared" si="392"/>
        <v>24065.065550125324</v>
      </c>
      <c r="JE60" s="314">
        <f t="shared" si="392"/>
        <v>64767.66308629213</v>
      </c>
      <c r="JF60" s="314">
        <f t="shared" si="392"/>
        <v>31608.247469914153</v>
      </c>
      <c r="JG60" s="314">
        <f t="shared" si="392"/>
        <v>29858.906392972021</v>
      </c>
      <c r="JH60" s="314">
        <f t="shared" si="392"/>
        <v>13293.426665500619</v>
      </c>
      <c r="JI60" s="314"/>
    </row>
    <row r="61" spans="1:277" x14ac:dyDescent="0.25">
      <c r="B61" s="314" t="str">
        <f>B$21</f>
        <v>Průměrná mzda PPPs KHK 2018</v>
      </c>
      <c r="C61" s="314">
        <f>C$21</f>
        <v>26842.66744907634</v>
      </c>
      <c r="D61" s="314">
        <f t="shared" ref="D61:BP61" si="393">D$21</f>
        <v>26842.66744907634</v>
      </c>
      <c r="E61" s="314">
        <f t="shared" si="393"/>
        <v>26842.66744907634</v>
      </c>
      <c r="F61" s="314">
        <f t="shared" si="393"/>
        <v>23059.348030624205</v>
      </c>
      <c r="G61" s="314">
        <f t="shared" si="393"/>
        <v>26351.428793362589</v>
      </c>
      <c r="H61" s="314">
        <f t="shared" si="393"/>
        <v>0</v>
      </c>
      <c r="I61" s="314">
        <f t="shared" si="393"/>
        <v>28199.372889022721</v>
      </c>
      <c r="J61" s="314">
        <f t="shared" si="393"/>
        <v>28199.372889022721</v>
      </c>
      <c r="K61" s="314">
        <f t="shared" si="393"/>
        <v>19608.000824093891</v>
      </c>
      <c r="L61" s="314">
        <f t="shared" si="393"/>
        <v>0</v>
      </c>
      <c r="M61" s="314">
        <f t="shared" si="393"/>
        <v>23059.348030624205</v>
      </c>
      <c r="N61" s="314">
        <f t="shared" si="393"/>
        <v>28414.477254282185</v>
      </c>
      <c r="O61" s="314">
        <f t="shared" si="393"/>
        <v>30443.327137576063</v>
      </c>
      <c r="P61" s="314">
        <f t="shared" si="393"/>
        <v>20326.238127544097</v>
      </c>
      <c r="Q61" s="314">
        <f t="shared" si="393"/>
        <v>30443.327137576063</v>
      </c>
      <c r="R61" s="314">
        <f t="shared" si="393"/>
        <v>30443.327137576063</v>
      </c>
      <c r="S61" s="314">
        <f t="shared" si="393"/>
        <v>30443.327137576063</v>
      </c>
      <c r="T61" s="314">
        <f t="shared" si="393"/>
        <v>30443.327137576063</v>
      </c>
      <c r="U61" s="314">
        <f t="shared" si="393"/>
        <v>30443.327137576063</v>
      </c>
      <c r="V61" s="314">
        <f t="shared" si="393"/>
        <v>24125.615822280633</v>
      </c>
      <c r="W61" s="314">
        <f t="shared" si="393"/>
        <v>26351.428793362589</v>
      </c>
      <c r="X61" s="314">
        <f t="shared" si="393"/>
        <v>26351.428793362589</v>
      </c>
      <c r="Y61" s="314">
        <f t="shared" si="393"/>
        <v>27078.278526243463</v>
      </c>
      <c r="Z61" s="314">
        <f t="shared" si="393"/>
        <v>30782.909746017394</v>
      </c>
      <c r="AA61" s="314">
        <f t="shared" si="393"/>
        <v>26857.228949262786</v>
      </c>
      <c r="AB61" s="314">
        <f t="shared" si="393"/>
        <v>23059.348030624205</v>
      </c>
      <c r="AC61" s="314">
        <f t="shared" si="393"/>
        <v>28414.477254282185</v>
      </c>
      <c r="AD61" s="314">
        <f t="shared" si="393"/>
        <v>29456.501737885908</v>
      </c>
      <c r="AE61" s="314">
        <f t="shared" si="393"/>
        <v>26857.228949262786</v>
      </c>
      <c r="AF61" s="314">
        <f t="shared" si="393"/>
        <v>28199.372889022721</v>
      </c>
      <c r="AG61" s="314">
        <f t="shared" si="393"/>
        <v>24125.615822280633</v>
      </c>
      <c r="AH61" s="314">
        <f t="shared" si="393"/>
        <v>26351.428793362589</v>
      </c>
      <c r="AI61" s="314">
        <f t="shared" si="393"/>
        <v>26842.66744907634</v>
      </c>
      <c r="AJ61" s="314">
        <f t="shared" si="393"/>
        <v>27919.23485565402</v>
      </c>
      <c r="AK61" s="314">
        <f t="shared" si="393"/>
        <v>30443.327137576063</v>
      </c>
      <c r="AL61" s="314">
        <f t="shared" si="393"/>
        <v>26857.228949262786</v>
      </c>
      <c r="AM61" s="314">
        <f t="shared" si="393"/>
        <v>30443.327137576063</v>
      </c>
      <c r="AN61" s="314">
        <f t="shared" si="393"/>
        <v>30443.327137576063</v>
      </c>
      <c r="AO61" s="314">
        <f t="shared" si="393"/>
        <v>27078.278526243463</v>
      </c>
      <c r="AP61" s="314">
        <f t="shared" si="393"/>
        <v>23059.348030624205</v>
      </c>
      <c r="AQ61" s="314">
        <f t="shared" si="393"/>
        <v>30443.327137576063</v>
      </c>
      <c r="AR61" s="314">
        <f t="shared" si="393"/>
        <v>30443.327137576063</v>
      </c>
      <c r="AS61" s="314">
        <f t="shared" si="393"/>
        <v>30443.327137576063</v>
      </c>
      <c r="AT61" s="314">
        <f t="shared" si="393"/>
        <v>23059.348030624205</v>
      </c>
      <c r="AU61" s="314">
        <f t="shared" si="393"/>
        <v>24790.173663253689</v>
      </c>
      <c r="AV61" s="314">
        <f t="shared" si="393"/>
        <v>26857.228949262786</v>
      </c>
      <c r="AW61" s="314">
        <f t="shared" si="393"/>
        <v>19294.107457143255</v>
      </c>
      <c r="AX61" s="314">
        <f t="shared" si="393"/>
        <v>27078.278526243463</v>
      </c>
      <c r="AY61" s="314">
        <f t="shared" si="393"/>
        <v>26351.428793362589</v>
      </c>
      <c r="AZ61" s="314">
        <f t="shared" si="393"/>
        <v>32982.761497391082</v>
      </c>
      <c r="BA61" s="314">
        <f t="shared" si="393"/>
        <v>0</v>
      </c>
      <c r="BB61" s="314">
        <f t="shared" si="393"/>
        <v>30443.327137576063</v>
      </c>
      <c r="BC61" s="314">
        <f t="shared" si="393"/>
        <v>19780.551736929385</v>
      </c>
      <c r="BD61" s="314">
        <f t="shared" si="393"/>
        <v>30443.327137576063</v>
      </c>
      <c r="BE61" s="314">
        <f t="shared" si="393"/>
        <v>28199.372889022721</v>
      </c>
      <c r="BF61" s="314">
        <f t="shared" si="393"/>
        <v>0</v>
      </c>
      <c r="BG61" s="314">
        <f t="shared" si="393"/>
        <v>0</v>
      </c>
      <c r="BH61" s="314">
        <f t="shared" si="393"/>
        <v>0</v>
      </c>
      <c r="BI61" s="314">
        <f t="shared" si="393"/>
        <v>65036.485249298297</v>
      </c>
      <c r="BJ61" s="314">
        <f t="shared" si="393"/>
        <v>24125.615822280633</v>
      </c>
      <c r="BK61" s="314">
        <f t="shared" si="393"/>
        <v>28199.372889022721</v>
      </c>
      <c r="BL61" s="314">
        <f t="shared" si="393"/>
        <v>0</v>
      </c>
      <c r="BM61" s="314">
        <f t="shared" si="393"/>
        <v>28199.372889022721</v>
      </c>
      <c r="BN61" s="314">
        <f t="shared" si="393"/>
        <v>30443.327137576063</v>
      </c>
      <c r="BO61" s="314">
        <f t="shared" si="393"/>
        <v>30825.354360274101</v>
      </c>
      <c r="BP61" s="314">
        <f t="shared" si="393"/>
        <v>26351.428793362589</v>
      </c>
      <c r="BQ61" s="314">
        <f t="shared" ref="BQ61:EB61" si="394">BQ$21</f>
        <v>28199.372889022721</v>
      </c>
      <c r="BR61" s="314">
        <f t="shared" si="394"/>
        <v>30443.327137576063</v>
      </c>
      <c r="BS61" s="314">
        <f t="shared" si="394"/>
        <v>30443.327137576063</v>
      </c>
      <c r="BT61" s="314">
        <f t="shared" si="394"/>
        <v>30443.327137576063</v>
      </c>
      <c r="BU61" s="314">
        <f t="shared" si="394"/>
        <v>24125.615822280633</v>
      </c>
      <c r="BV61" s="314">
        <f t="shared" si="394"/>
        <v>27078.278526243463</v>
      </c>
      <c r="BW61" s="314">
        <f t="shared" si="394"/>
        <v>30443.327137576063</v>
      </c>
      <c r="BX61" s="314">
        <f t="shared" si="394"/>
        <v>24125.615822280633</v>
      </c>
      <c r="BY61" s="314">
        <f t="shared" si="394"/>
        <v>24125.615822280633</v>
      </c>
      <c r="BZ61" s="314">
        <f t="shared" si="394"/>
        <v>12128.941016450084</v>
      </c>
      <c r="CA61" s="314">
        <f t="shared" si="394"/>
        <v>0</v>
      </c>
      <c r="CB61" s="314">
        <f t="shared" si="394"/>
        <v>31986.223177996788</v>
      </c>
      <c r="CC61" s="314">
        <f t="shared" si="394"/>
        <v>30443.327137576063</v>
      </c>
      <c r="CD61" s="314">
        <f t="shared" si="394"/>
        <v>30443.327137576063</v>
      </c>
      <c r="CE61" s="314">
        <f t="shared" si="394"/>
        <v>24125.615822280633</v>
      </c>
      <c r="CF61" s="314">
        <f t="shared" si="394"/>
        <v>29456.501737885908</v>
      </c>
      <c r="CG61" s="314">
        <f t="shared" si="394"/>
        <v>28231.882363638724</v>
      </c>
      <c r="CH61" s="314">
        <f t="shared" si="394"/>
        <v>28231.882363638724</v>
      </c>
      <c r="CI61" s="314">
        <f t="shared" si="394"/>
        <v>34707.564249757132</v>
      </c>
      <c r="CJ61" s="314">
        <f t="shared" si="394"/>
        <v>28005.860642439973</v>
      </c>
      <c r="CK61" s="314">
        <f t="shared" si="394"/>
        <v>26785.82439344962</v>
      </c>
      <c r="CL61" s="314">
        <f t="shared" si="394"/>
        <v>28199.372889022721</v>
      </c>
      <c r="CM61" s="314">
        <f t="shared" si="394"/>
        <v>24125.615822280633</v>
      </c>
      <c r="CN61" s="314">
        <f t="shared" si="394"/>
        <v>24790.173663253689</v>
      </c>
      <c r="CO61" s="314">
        <f t="shared" si="394"/>
        <v>24790.173663253689</v>
      </c>
      <c r="CP61" s="314">
        <f t="shared" si="394"/>
        <v>24790.173663253689</v>
      </c>
      <c r="CQ61" s="314">
        <f t="shared" si="394"/>
        <v>26857.228949262786</v>
      </c>
      <c r="CR61" s="314">
        <f t="shared" si="394"/>
        <v>24125.615822280633</v>
      </c>
      <c r="CS61" s="314">
        <f t="shared" si="394"/>
        <v>0</v>
      </c>
      <c r="CT61" s="314">
        <f t="shared" si="394"/>
        <v>28231.882363638724</v>
      </c>
      <c r="CU61" s="314">
        <f t="shared" si="394"/>
        <v>24125.615822280633</v>
      </c>
      <c r="CV61" s="314">
        <f t="shared" si="394"/>
        <v>26842.66744907634</v>
      </c>
      <c r="CW61" s="314">
        <f t="shared" si="394"/>
        <v>0</v>
      </c>
      <c r="CX61" s="314">
        <f t="shared" si="394"/>
        <v>23059.348030624205</v>
      </c>
      <c r="CY61" s="314">
        <f t="shared" si="394"/>
        <v>24125.615822280633</v>
      </c>
      <c r="CZ61" s="314">
        <f t="shared" si="394"/>
        <v>26857.228949262786</v>
      </c>
      <c r="DA61" s="314">
        <f t="shared" si="394"/>
        <v>0</v>
      </c>
      <c r="DB61" s="314">
        <f t="shared" si="394"/>
        <v>30443.327137576063</v>
      </c>
      <c r="DC61" s="314">
        <f t="shared" si="394"/>
        <v>24790.173663253689</v>
      </c>
      <c r="DD61" s="314">
        <f t="shared" si="394"/>
        <v>0</v>
      </c>
      <c r="DE61" s="314">
        <f t="shared" si="394"/>
        <v>0</v>
      </c>
      <c r="DF61" s="314">
        <f t="shared" si="394"/>
        <v>0</v>
      </c>
      <c r="DG61" s="314">
        <f t="shared" si="394"/>
        <v>0</v>
      </c>
      <c r="DH61" s="314">
        <f t="shared" si="394"/>
        <v>26031.165578601303</v>
      </c>
      <c r="DI61" s="314">
        <f t="shared" si="394"/>
        <v>19294.107457143255</v>
      </c>
      <c r="DJ61" s="314">
        <f t="shared" si="394"/>
        <v>28199.372889022721</v>
      </c>
      <c r="DK61" s="314">
        <f t="shared" si="394"/>
        <v>28199.372889022721</v>
      </c>
      <c r="DL61" s="314">
        <f t="shared" si="394"/>
        <v>24125.615822280633</v>
      </c>
      <c r="DM61" s="314">
        <f t="shared" si="394"/>
        <v>23059.348030624205</v>
      </c>
      <c r="DN61" s="314">
        <f t="shared" si="394"/>
        <v>24790.173663253689</v>
      </c>
      <c r="DO61" s="314">
        <f t="shared" si="394"/>
        <v>0</v>
      </c>
      <c r="DP61" s="314">
        <f t="shared" si="394"/>
        <v>24790.173663253689</v>
      </c>
      <c r="DQ61" s="314">
        <f t="shared" si="394"/>
        <v>26857.228949262786</v>
      </c>
      <c r="DR61" s="314">
        <f t="shared" si="394"/>
        <v>26857.228949262786</v>
      </c>
      <c r="DS61" s="314">
        <f t="shared" si="394"/>
        <v>0</v>
      </c>
      <c r="DT61" s="314">
        <f t="shared" si="394"/>
        <v>31986.223177996788</v>
      </c>
      <c r="DU61" s="314">
        <f t="shared" si="394"/>
        <v>26031.165578601303</v>
      </c>
      <c r="DV61" s="314">
        <f t="shared" si="394"/>
        <v>31986.223177996788</v>
      </c>
      <c r="DW61" s="314">
        <f t="shared" si="394"/>
        <v>19294.107457143255</v>
      </c>
      <c r="DX61" s="314">
        <f t="shared" si="394"/>
        <v>28199.372889022721</v>
      </c>
      <c r="DY61" s="314">
        <f t="shared" si="394"/>
        <v>0</v>
      </c>
      <c r="DZ61" s="314">
        <f t="shared" si="394"/>
        <v>0</v>
      </c>
      <c r="EA61" s="314">
        <f t="shared" si="394"/>
        <v>23059.348030624205</v>
      </c>
      <c r="EB61" s="314">
        <f t="shared" si="394"/>
        <v>23059.348030624205</v>
      </c>
      <c r="EC61" s="314">
        <f t="shared" ref="EC61:GN61" si="395">EC$21</f>
        <v>27078.278526243463</v>
      </c>
      <c r="ED61" s="314">
        <f t="shared" si="395"/>
        <v>26351.428793362589</v>
      </c>
      <c r="EE61" s="314">
        <f t="shared" si="395"/>
        <v>30443.327137576063</v>
      </c>
      <c r="EF61" s="314">
        <f t="shared" si="395"/>
        <v>30443.327137576063</v>
      </c>
      <c r="EG61" s="314">
        <f t="shared" si="395"/>
        <v>30443.327137576063</v>
      </c>
      <c r="EH61" s="314">
        <f t="shared" si="395"/>
        <v>22598.555576029317</v>
      </c>
      <c r="EI61" s="314">
        <f t="shared" si="395"/>
        <v>20326.238127544097</v>
      </c>
      <c r="EJ61" s="314">
        <f t="shared" si="395"/>
        <v>28199.372889022721</v>
      </c>
      <c r="EK61" s="314">
        <f t="shared" si="395"/>
        <v>0</v>
      </c>
      <c r="EL61" s="314">
        <f t="shared" si="395"/>
        <v>0</v>
      </c>
      <c r="EM61" s="314">
        <f t="shared" si="395"/>
        <v>0</v>
      </c>
      <c r="EN61" s="314">
        <f t="shared" si="395"/>
        <v>26857.228949262786</v>
      </c>
      <c r="EO61" s="314">
        <f t="shared" si="395"/>
        <v>30443.327137576063</v>
      </c>
      <c r="EP61" s="314">
        <f t="shared" si="395"/>
        <v>26351.428793362589</v>
      </c>
      <c r="EQ61" s="314">
        <f t="shared" si="395"/>
        <v>28199.372889022721</v>
      </c>
      <c r="ER61" s="314">
        <f t="shared" si="395"/>
        <v>24125.615822280633</v>
      </c>
      <c r="ES61" s="314">
        <f t="shared" si="395"/>
        <v>12128.941016450084</v>
      </c>
      <c r="ET61" s="314">
        <f t="shared" si="395"/>
        <v>0</v>
      </c>
      <c r="EU61" s="314">
        <f t="shared" si="395"/>
        <v>0</v>
      </c>
      <c r="EV61" s="314">
        <f t="shared" si="395"/>
        <v>30443.327137576063</v>
      </c>
      <c r="EW61" s="314">
        <f t="shared" si="395"/>
        <v>24125.615822280633</v>
      </c>
      <c r="EX61" s="314">
        <f t="shared" si="395"/>
        <v>26842.66744907634</v>
      </c>
      <c r="EY61" s="314">
        <f t="shared" si="395"/>
        <v>26857.228949262786</v>
      </c>
      <c r="EZ61" s="314">
        <f t="shared" si="395"/>
        <v>24125.615822280633</v>
      </c>
      <c r="FA61" s="314">
        <f t="shared" si="395"/>
        <v>24125.615822280633</v>
      </c>
      <c r="FB61" s="314">
        <f t="shared" si="395"/>
        <v>24125.615822280633</v>
      </c>
      <c r="FC61" s="314">
        <f t="shared" si="395"/>
        <v>24125.615822280633</v>
      </c>
      <c r="FD61" s="314">
        <f t="shared" si="395"/>
        <v>28231.882363638724</v>
      </c>
      <c r="FE61" s="314">
        <f t="shared" si="395"/>
        <v>26785.82439344962</v>
      </c>
      <c r="FF61" s="314">
        <f t="shared" si="395"/>
        <v>24125.615822280633</v>
      </c>
      <c r="FG61" s="314">
        <f t="shared" si="395"/>
        <v>26842.66744907634</v>
      </c>
      <c r="FH61" s="314">
        <f t="shared" si="395"/>
        <v>27919.23485565402</v>
      </c>
      <c r="FI61" s="314">
        <f t="shared" si="395"/>
        <v>26842.66744907634</v>
      </c>
      <c r="FJ61" s="314">
        <f t="shared" si="395"/>
        <v>24125.615822280633</v>
      </c>
      <c r="FK61" s="314">
        <f t="shared" si="395"/>
        <v>24125.615822280633</v>
      </c>
      <c r="FL61" s="314">
        <f t="shared" si="395"/>
        <v>28414.477254282185</v>
      </c>
      <c r="FM61" s="314">
        <f t="shared" si="395"/>
        <v>24125.615822280633</v>
      </c>
      <c r="FN61" s="314">
        <f t="shared" si="395"/>
        <v>24125.615822280633</v>
      </c>
      <c r="FO61" s="314">
        <f t="shared" si="395"/>
        <v>26351.428793362589</v>
      </c>
      <c r="FP61" s="314">
        <f t="shared" si="395"/>
        <v>26842.66744907634</v>
      </c>
      <c r="FQ61" s="314">
        <f t="shared" si="395"/>
        <v>31986.223177996788</v>
      </c>
      <c r="FR61" s="314">
        <f t="shared" si="395"/>
        <v>0</v>
      </c>
      <c r="FS61" s="314">
        <f t="shared" si="395"/>
        <v>26785.82439344962</v>
      </c>
      <c r="FT61" s="314">
        <f t="shared" si="395"/>
        <v>24125.615822280633</v>
      </c>
      <c r="FU61" s="314">
        <f t="shared" si="395"/>
        <v>28414.477254282185</v>
      </c>
      <c r="FV61" s="314">
        <f t="shared" si="395"/>
        <v>24125.615822280633</v>
      </c>
      <c r="FW61" s="314">
        <f t="shared" si="395"/>
        <v>24125.615822280633</v>
      </c>
      <c r="FX61" s="314">
        <f t="shared" si="395"/>
        <v>24125.615822280633</v>
      </c>
      <c r="FY61" s="314">
        <f t="shared" si="395"/>
        <v>24125.615822280633</v>
      </c>
      <c r="FZ61" s="314">
        <f t="shared" si="395"/>
        <v>24125.615822280633</v>
      </c>
      <c r="GA61" s="314">
        <f t="shared" si="395"/>
        <v>27078.278526243463</v>
      </c>
      <c r="GB61" s="314">
        <f t="shared" si="395"/>
        <v>26842.66744907634</v>
      </c>
      <c r="GC61" s="314">
        <f t="shared" si="395"/>
        <v>24125.615822280633</v>
      </c>
      <c r="GD61" s="314">
        <f t="shared" si="395"/>
        <v>26842.66744907634</v>
      </c>
      <c r="GE61" s="314">
        <f t="shared" si="395"/>
        <v>28199.372889022721</v>
      </c>
      <c r="GF61" s="314">
        <f t="shared" si="395"/>
        <v>24125.615822280633</v>
      </c>
      <c r="GG61" s="314">
        <f t="shared" si="395"/>
        <v>27078.278526243463</v>
      </c>
      <c r="GH61" s="314">
        <f t="shared" si="395"/>
        <v>28414.477254282185</v>
      </c>
      <c r="GI61" s="314">
        <f t="shared" si="395"/>
        <v>26842.66744907634</v>
      </c>
      <c r="GJ61" s="314">
        <f t="shared" si="395"/>
        <v>24125.615822280633</v>
      </c>
      <c r="GK61" s="314">
        <f t="shared" si="395"/>
        <v>27078.278526243463</v>
      </c>
      <c r="GL61" s="314">
        <f t="shared" si="395"/>
        <v>28414.477254282185</v>
      </c>
      <c r="GM61" s="314">
        <f t="shared" si="395"/>
        <v>24790.173663253689</v>
      </c>
      <c r="GN61" s="314">
        <f t="shared" si="395"/>
        <v>26857.228949262786</v>
      </c>
      <c r="GO61" s="314">
        <f t="shared" ref="GO61:IZ61" si="396">GO$21</f>
        <v>26842.66744907634</v>
      </c>
      <c r="GP61" s="314">
        <f t="shared" si="396"/>
        <v>24125.615822280633</v>
      </c>
      <c r="GQ61" s="314">
        <f t="shared" si="396"/>
        <v>24125.615822280633</v>
      </c>
      <c r="GR61" s="314">
        <f t="shared" si="396"/>
        <v>24125.615822280633</v>
      </c>
      <c r="GS61" s="314">
        <f t="shared" si="396"/>
        <v>24125.615822280633</v>
      </c>
      <c r="GT61" s="314">
        <f t="shared" si="396"/>
        <v>24125.615822280633</v>
      </c>
      <c r="GU61" s="314">
        <f t="shared" si="396"/>
        <v>26351.428793362589</v>
      </c>
      <c r="GV61" s="314">
        <f t="shared" si="396"/>
        <v>0</v>
      </c>
      <c r="GW61" s="314">
        <f t="shared" si="396"/>
        <v>24125.615822280633</v>
      </c>
      <c r="GX61" s="314">
        <f t="shared" si="396"/>
        <v>24125.615822280633</v>
      </c>
      <c r="GY61" s="314">
        <f t="shared" si="396"/>
        <v>26842.66744907634</v>
      </c>
      <c r="GZ61" s="314">
        <f t="shared" si="396"/>
        <v>0</v>
      </c>
      <c r="HA61" s="314">
        <f t="shared" si="396"/>
        <v>24125.615822280633</v>
      </c>
      <c r="HB61" s="314">
        <f t="shared" si="396"/>
        <v>26351.428793362589</v>
      </c>
      <c r="HC61" s="314">
        <f t="shared" si="396"/>
        <v>26842.66744907634</v>
      </c>
      <c r="HD61" s="314">
        <f t="shared" si="396"/>
        <v>24125.615822280633</v>
      </c>
      <c r="HE61" s="314">
        <f t="shared" si="396"/>
        <v>26842.66744907634</v>
      </c>
      <c r="HF61" s="314">
        <f t="shared" si="396"/>
        <v>24125.615822280633</v>
      </c>
      <c r="HG61" s="314">
        <f t="shared" si="396"/>
        <v>28414.477254282185</v>
      </c>
      <c r="HH61" s="314">
        <f t="shared" si="396"/>
        <v>0</v>
      </c>
      <c r="HI61" s="314">
        <f t="shared" si="396"/>
        <v>24125.615822280633</v>
      </c>
      <c r="HJ61" s="314">
        <f t="shared" si="396"/>
        <v>28199.372889022721</v>
      </c>
      <c r="HK61" s="314">
        <f t="shared" si="396"/>
        <v>24125.615822280633</v>
      </c>
      <c r="HL61" s="314">
        <f t="shared" si="396"/>
        <v>30782.909746017394</v>
      </c>
      <c r="HM61" s="314">
        <f t="shared" si="396"/>
        <v>31986.223177996788</v>
      </c>
      <c r="HN61" s="314">
        <f t="shared" si="396"/>
        <v>19294.107457143255</v>
      </c>
      <c r="HO61" s="314">
        <f t="shared" si="396"/>
        <v>28199.372889022721</v>
      </c>
      <c r="HP61" s="314">
        <f t="shared" si="396"/>
        <v>30782.909746017394</v>
      </c>
      <c r="HQ61" s="314">
        <f t="shared" si="396"/>
        <v>26351.428793362589</v>
      </c>
      <c r="HR61" s="314">
        <f t="shared" si="396"/>
        <v>30782.909746017394</v>
      </c>
      <c r="HS61" s="314">
        <f t="shared" si="396"/>
        <v>31986.223177996788</v>
      </c>
      <c r="HT61" s="314">
        <f t="shared" si="396"/>
        <v>27919.23485565402</v>
      </c>
      <c r="HU61" s="314">
        <f t="shared" si="396"/>
        <v>27919.23485565402</v>
      </c>
      <c r="HV61" s="314">
        <f t="shared" si="396"/>
        <v>26842.66744907634</v>
      </c>
      <c r="HW61" s="314">
        <f t="shared" si="396"/>
        <v>26842.66744907634</v>
      </c>
      <c r="HX61" s="314">
        <f t="shared" si="396"/>
        <v>27919.23485565402</v>
      </c>
      <c r="HY61" s="314">
        <f t="shared" si="396"/>
        <v>26842.66744907634</v>
      </c>
      <c r="HZ61" s="314">
        <f t="shared" si="396"/>
        <v>26842.66744907634</v>
      </c>
      <c r="IA61" s="314">
        <f t="shared" si="396"/>
        <v>26842.66744907634</v>
      </c>
      <c r="IB61" s="314">
        <f t="shared" si="396"/>
        <v>26842.66744907634</v>
      </c>
      <c r="IC61" s="314">
        <f t="shared" si="396"/>
        <v>26842.66744907634</v>
      </c>
      <c r="ID61" s="314">
        <f t="shared" si="396"/>
        <v>27919.23485565402</v>
      </c>
      <c r="IE61" s="314">
        <f t="shared" si="396"/>
        <v>26842.66744907634</v>
      </c>
      <c r="IF61" s="314">
        <f t="shared" si="396"/>
        <v>26842.66744907634</v>
      </c>
      <c r="IG61" s="314">
        <f t="shared" si="396"/>
        <v>0</v>
      </c>
      <c r="IH61" s="314">
        <f t="shared" si="396"/>
        <v>30782.909746017394</v>
      </c>
      <c r="II61" s="314">
        <f t="shared" si="396"/>
        <v>27919.23485565402</v>
      </c>
      <c r="IJ61" s="314">
        <f t="shared" si="396"/>
        <v>31986.223177996788</v>
      </c>
      <c r="IK61" s="314">
        <f t="shared" si="396"/>
        <v>28199.372889022721</v>
      </c>
      <c r="IL61" s="314">
        <f t="shared" si="396"/>
        <v>26842.66744907634</v>
      </c>
      <c r="IM61" s="314">
        <f t="shared" si="396"/>
        <v>27078.278526243463</v>
      </c>
      <c r="IN61" s="314">
        <f t="shared" si="396"/>
        <v>26842.66744907634</v>
      </c>
      <c r="IO61" s="314">
        <f t="shared" si="396"/>
        <v>27919.23485565402</v>
      </c>
      <c r="IP61" s="314">
        <f t="shared" si="396"/>
        <v>30782.909746017394</v>
      </c>
      <c r="IQ61" s="314">
        <f t="shared" si="396"/>
        <v>30782.909746017394</v>
      </c>
      <c r="IR61" s="314">
        <f t="shared" si="396"/>
        <v>31986.223177996788</v>
      </c>
      <c r="IS61" s="314">
        <f t="shared" si="396"/>
        <v>26842.66744907634</v>
      </c>
      <c r="IT61" s="314">
        <f t="shared" si="396"/>
        <v>27919.23485565402</v>
      </c>
      <c r="IU61" s="314">
        <f t="shared" si="396"/>
        <v>27078.278526243463</v>
      </c>
      <c r="IV61" s="314">
        <f t="shared" si="396"/>
        <v>26842.66744907634</v>
      </c>
      <c r="IW61" s="314">
        <f t="shared" si="396"/>
        <v>27919.23485565402</v>
      </c>
      <c r="IX61" s="314">
        <f t="shared" si="396"/>
        <v>31986.223177996788</v>
      </c>
      <c r="IY61" s="314">
        <f t="shared" si="396"/>
        <v>30782.909746017394</v>
      </c>
      <c r="IZ61" s="314">
        <f t="shared" si="396"/>
        <v>26842.66744907634</v>
      </c>
      <c r="JA61" s="314">
        <f t="shared" ref="JA61:JH61" si="397">JA$21</f>
        <v>30443.327137576063</v>
      </c>
      <c r="JB61" s="314">
        <f t="shared" si="397"/>
        <v>38540.08184882041</v>
      </c>
      <c r="JC61" s="314">
        <f t="shared" si="397"/>
        <v>24790.173663253689</v>
      </c>
      <c r="JD61" s="314">
        <f t="shared" si="397"/>
        <v>28199.372889022721</v>
      </c>
      <c r="JE61" s="314">
        <f t="shared" si="397"/>
        <v>27078.278526243463</v>
      </c>
      <c r="JF61" s="314">
        <f t="shared" si="397"/>
        <v>30782.909746017394</v>
      </c>
      <c r="JG61" s="314">
        <f t="shared" si="397"/>
        <v>30782.909746017394</v>
      </c>
      <c r="JH61" s="314">
        <f t="shared" si="397"/>
        <v>19780.551736929385</v>
      </c>
      <c r="JI61" s="314"/>
    </row>
    <row r="62" spans="1:277" x14ac:dyDescent="0.25">
      <c r="B62" s="314" t="str">
        <f>B$22</f>
        <v>Průměrná mzda PPPs ČR 2018</v>
      </c>
      <c r="C62" s="314">
        <f>C$22</f>
        <v>25494.782664826929</v>
      </c>
      <c r="D62" s="314">
        <f t="shared" ref="D62:BP62" si="398">D$22</f>
        <v>25494.782664826929</v>
      </c>
      <c r="E62" s="314">
        <f t="shared" si="398"/>
        <v>25494.782664826929</v>
      </c>
      <c r="F62" s="314">
        <f t="shared" si="398"/>
        <v>23004.176189640086</v>
      </c>
      <c r="G62" s="314">
        <f t="shared" si="398"/>
        <v>26362.049149868351</v>
      </c>
      <c r="H62" s="314">
        <f t="shared" si="398"/>
        <v>0</v>
      </c>
      <c r="I62" s="314">
        <f t="shared" si="398"/>
        <v>26837.070867899798</v>
      </c>
      <c r="J62" s="314">
        <f t="shared" si="398"/>
        <v>26837.070867899798</v>
      </c>
      <c r="K62" s="314">
        <f t="shared" si="398"/>
        <v>26681.862427889606</v>
      </c>
      <c r="L62" s="314">
        <f t="shared" si="398"/>
        <v>0</v>
      </c>
      <c r="M62" s="314">
        <f t="shared" si="398"/>
        <v>23004.176189640086</v>
      </c>
      <c r="N62" s="314">
        <f t="shared" si="398"/>
        <v>24846.947441386379</v>
      </c>
      <c r="O62" s="314">
        <f t="shared" si="398"/>
        <v>31127.953171467958</v>
      </c>
      <c r="P62" s="314">
        <f t="shared" si="398"/>
        <v>25112.661826156243</v>
      </c>
      <c r="Q62" s="314">
        <f t="shared" si="398"/>
        <v>31127.953171467958</v>
      </c>
      <c r="R62" s="314">
        <f t="shared" si="398"/>
        <v>31127.953171467958</v>
      </c>
      <c r="S62" s="314">
        <f t="shared" si="398"/>
        <v>31127.953171467958</v>
      </c>
      <c r="T62" s="314">
        <f t="shared" si="398"/>
        <v>31127.953171467958</v>
      </c>
      <c r="U62" s="314">
        <f t="shared" si="398"/>
        <v>31127.953171467958</v>
      </c>
      <c r="V62" s="314">
        <f t="shared" si="398"/>
        <v>24448.908771949045</v>
      </c>
      <c r="W62" s="314">
        <f t="shared" si="398"/>
        <v>26362.049149868351</v>
      </c>
      <c r="X62" s="314">
        <f t="shared" si="398"/>
        <v>26362.049149868351</v>
      </c>
      <c r="Y62" s="314">
        <f t="shared" si="398"/>
        <v>26102.573409149816</v>
      </c>
      <c r="Z62" s="314">
        <f t="shared" si="398"/>
        <v>26849.811948652292</v>
      </c>
      <c r="AA62" s="314">
        <f t="shared" si="398"/>
        <v>26364.572073040395</v>
      </c>
      <c r="AB62" s="314">
        <f t="shared" si="398"/>
        <v>23004.176189640086</v>
      </c>
      <c r="AC62" s="314">
        <f t="shared" si="398"/>
        <v>24846.947441386379</v>
      </c>
      <c r="AD62" s="314">
        <f t="shared" si="398"/>
        <v>31439.673906348191</v>
      </c>
      <c r="AE62" s="314">
        <f t="shared" si="398"/>
        <v>26364.572073040395</v>
      </c>
      <c r="AF62" s="314">
        <f t="shared" si="398"/>
        <v>26837.070867899798</v>
      </c>
      <c r="AG62" s="314">
        <f t="shared" si="398"/>
        <v>24448.908771949045</v>
      </c>
      <c r="AH62" s="314">
        <f t="shared" si="398"/>
        <v>26362.049149868351</v>
      </c>
      <c r="AI62" s="314">
        <f t="shared" si="398"/>
        <v>25494.782664826929</v>
      </c>
      <c r="AJ62" s="314">
        <f t="shared" si="398"/>
        <v>24602.206032430611</v>
      </c>
      <c r="AK62" s="314">
        <f t="shared" si="398"/>
        <v>31127.953171467958</v>
      </c>
      <c r="AL62" s="314">
        <f t="shared" si="398"/>
        <v>26364.572073040395</v>
      </c>
      <c r="AM62" s="314">
        <f t="shared" si="398"/>
        <v>31127.953171467958</v>
      </c>
      <c r="AN62" s="314">
        <f t="shared" si="398"/>
        <v>31127.953171467958</v>
      </c>
      <c r="AO62" s="314">
        <f t="shared" si="398"/>
        <v>26102.573409149816</v>
      </c>
      <c r="AP62" s="314">
        <f t="shared" si="398"/>
        <v>23004.176189640086</v>
      </c>
      <c r="AQ62" s="314">
        <f t="shared" si="398"/>
        <v>31127.953171467958</v>
      </c>
      <c r="AR62" s="314">
        <f t="shared" si="398"/>
        <v>31127.953171467958</v>
      </c>
      <c r="AS62" s="314">
        <f t="shared" si="398"/>
        <v>31127.953171467958</v>
      </c>
      <c r="AT62" s="314">
        <f t="shared" si="398"/>
        <v>23004.176189640086</v>
      </c>
      <c r="AU62" s="314">
        <f t="shared" si="398"/>
        <v>25287.261406181333</v>
      </c>
      <c r="AV62" s="314">
        <f t="shared" si="398"/>
        <v>26364.572073040395</v>
      </c>
      <c r="AW62" s="314">
        <f t="shared" si="398"/>
        <v>25293.255114356805</v>
      </c>
      <c r="AX62" s="314">
        <f t="shared" si="398"/>
        <v>26102.573409149816</v>
      </c>
      <c r="AY62" s="314">
        <f t="shared" si="398"/>
        <v>26362.049149868351</v>
      </c>
      <c r="AZ62" s="314">
        <f t="shared" si="398"/>
        <v>28419.032814348084</v>
      </c>
      <c r="BA62" s="314">
        <f t="shared" si="398"/>
        <v>0</v>
      </c>
      <c r="BB62" s="314">
        <f t="shared" si="398"/>
        <v>31127.953171467958</v>
      </c>
      <c r="BC62" s="314">
        <f t="shared" si="398"/>
        <v>32243.952958531994</v>
      </c>
      <c r="BD62" s="314">
        <f t="shared" si="398"/>
        <v>31127.953171467958</v>
      </c>
      <c r="BE62" s="314">
        <f t="shared" si="398"/>
        <v>26837.070867899798</v>
      </c>
      <c r="BF62" s="314">
        <f t="shared" si="398"/>
        <v>0</v>
      </c>
      <c r="BG62" s="314">
        <f t="shared" si="398"/>
        <v>0</v>
      </c>
      <c r="BH62" s="314">
        <f t="shared" si="398"/>
        <v>0</v>
      </c>
      <c r="BI62" s="314">
        <f t="shared" si="398"/>
        <v>24181.169027937369</v>
      </c>
      <c r="BJ62" s="314">
        <f t="shared" si="398"/>
        <v>24448.908771949045</v>
      </c>
      <c r="BK62" s="314">
        <f t="shared" si="398"/>
        <v>26837.070867899798</v>
      </c>
      <c r="BL62" s="314">
        <f t="shared" si="398"/>
        <v>0</v>
      </c>
      <c r="BM62" s="314">
        <f t="shared" si="398"/>
        <v>26837.070867899798</v>
      </c>
      <c r="BN62" s="314">
        <f t="shared" si="398"/>
        <v>31127.953171467958</v>
      </c>
      <c r="BO62" s="314">
        <f t="shared" si="398"/>
        <v>32219.561369205225</v>
      </c>
      <c r="BP62" s="314">
        <f t="shared" si="398"/>
        <v>26362.049149868351</v>
      </c>
      <c r="BQ62" s="314">
        <f t="shared" ref="BQ62:EB62" si="399">BQ$22</f>
        <v>26837.070867899798</v>
      </c>
      <c r="BR62" s="314">
        <f t="shared" si="399"/>
        <v>31127.953171467958</v>
      </c>
      <c r="BS62" s="314">
        <f t="shared" si="399"/>
        <v>31127.953171467958</v>
      </c>
      <c r="BT62" s="314">
        <f t="shared" si="399"/>
        <v>31127.953171467958</v>
      </c>
      <c r="BU62" s="314">
        <f t="shared" si="399"/>
        <v>24448.908771949045</v>
      </c>
      <c r="BV62" s="314">
        <f t="shared" si="399"/>
        <v>26102.573409149816</v>
      </c>
      <c r="BW62" s="314">
        <f t="shared" si="399"/>
        <v>31127.953171467958</v>
      </c>
      <c r="BX62" s="314">
        <f t="shared" si="399"/>
        <v>24448.908771949045</v>
      </c>
      <c r="BY62" s="314">
        <f t="shared" si="399"/>
        <v>24448.908771949045</v>
      </c>
      <c r="BZ62" s="314">
        <f t="shared" si="399"/>
        <v>24208.019142085453</v>
      </c>
      <c r="CA62" s="314">
        <f t="shared" si="399"/>
        <v>0</v>
      </c>
      <c r="CB62" s="314">
        <f t="shared" si="399"/>
        <v>28276.910051176939</v>
      </c>
      <c r="CC62" s="314">
        <f t="shared" si="399"/>
        <v>31127.953171467958</v>
      </c>
      <c r="CD62" s="314">
        <f t="shared" si="399"/>
        <v>31127.953171467958</v>
      </c>
      <c r="CE62" s="314">
        <f t="shared" si="399"/>
        <v>24448.908771949045</v>
      </c>
      <c r="CF62" s="314">
        <f t="shared" si="399"/>
        <v>31439.673906348191</v>
      </c>
      <c r="CG62" s="314">
        <f t="shared" si="399"/>
        <v>27736.496615082382</v>
      </c>
      <c r="CH62" s="314">
        <f t="shared" si="399"/>
        <v>27736.496615082382</v>
      </c>
      <c r="CI62" s="314">
        <f t="shared" si="399"/>
        <v>34616.353338856919</v>
      </c>
      <c r="CJ62" s="314">
        <f t="shared" si="399"/>
        <v>28113.406621530874</v>
      </c>
      <c r="CK62" s="314">
        <f t="shared" si="399"/>
        <v>29279.931534256906</v>
      </c>
      <c r="CL62" s="314">
        <f t="shared" si="399"/>
        <v>26837.070867899798</v>
      </c>
      <c r="CM62" s="314">
        <f t="shared" si="399"/>
        <v>24448.908771949045</v>
      </c>
      <c r="CN62" s="314">
        <f t="shared" si="399"/>
        <v>25287.261406181333</v>
      </c>
      <c r="CO62" s="314">
        <f t="shared" si="399"/>
        <v>25287.261406181333</v>
      </c>
      <c r="CP62" s="314">
        <f t="shared" si="399"/>
        <v>25287.261406181333</v>
      </c>
      <c r="CQ62" s="314">
        <f t="shared" si="399"/>
        <v>26364.572073040395</v>
      </c>
      <c r="CR62" s="314">
        <f t="shared" si="399"/>
        <v>24448.908771949045</v>
      </c>
      <c r="CS62" s="314">
        <f t="shared" si="399"/>
        <v>0</v>
      </c>
      <c r="CT62" s="314">
        <f t="shared" si="399"/>
        <v>27736.496615082382</v>
      </c>
      <c r="CU62" s="314">
        <f t="shared" si="399"/>
        <v>24448.908771949045</v>
      </c>
      <c r="CV62" s="314">
        <f t="shared" si="399"/>
        <v>25494.782664826929</v>
      </c>
      <c r="CW62" s="314">
        <f t="shared" si="399"/>
        <v>0</v>
      </c>
      <c r="CX62" s="314">
        <f t="shared" si="399"/>
        <v>23004.176189640086</v>
      </c>
      <c r="CY62" s="314">
        <f t="shared" si="399"/>
        <v>24448.908771949045</v>
      </c>
      <c r="CZ62" s="314">
        <f t="shared" si="399"/>
        <v>26364.572073040395</v>
      </c>
      <c r="DA62" s="314">
        <f t="shared" si="399"/>
        <v>0</v>
      </c>
      <c r="DB62" s="314">
        <f t="shared" si="399"/>
        <v>31127.953171467958</v>
      </c>
      <c r="DC62" s="314">
        <f t="shared" si="399"/>
        <v>25287.261406181333</v>
      </c>
      <c r="DD62" s="314">
        <f t="shared" si="399"/>
        <v>0</v>
      </c>
      <c r="DE62" s="314">
        <f t="shared" si="399"/>
        <v>0</v>
      </c>
      <c r="DF62" s="314">
        <f t="shared" si="399"/>
        <v>0</v>
      </c>
      <c r="DG62" s="314">
        <f t="shared" si="399"/>
        <v>0</v>
      </c>
      <c r="DH62" s="314">
        <f t="shared" si="399"/>
        <v>24581.975096862661</v>
      </c>
      <c r="DI62" s="314">
        <f t="shared" si="399"/>
        <v>25293.255114356805</v>
      </c>
      <c r="DJ62" s="314">
        <f t="shared" si="399"/>
        <v>26837.070867899798</v>
      </c>
      <c r="DK62" s="314">
        <f t="shared" si="399"/>
        <v>26837.070867899798</v>
      </c>
      <c r="DL62" s="314">
        <f t="shared" si="399"/>
        <v>24448.908771949045</v>
      </c>
      <c r="DM62" s="314">
        <f t="shared" si="399"/>
        <v>23004.176189640086</v>
      </c>
      <c r="DN62" s="314">
        <f t="shared" si="399"/>
        <v>25287.261406181333</v>
      </c>
      <c r="DO62" s="314">
        <f t="shared" si="399"/>
        <v>0</v>
      </c>
      <c r="DP62" s="314">
        <f t="shared" si="399"/>
        <v>25287.261406181333</v>
      </c>
      <c r="DQ62" s="314">
        <f t="shared" si="399"/>
        <v>26364.572073040395</v>
      </c>
      <c r="DR62" s="314">
        <f t="shared" si="399"/>
        <v>26364.572073040395</v>
      </c>
      <c r="DS62" s="314">
        <f t="shared" si="399"/>
        <v>0</v>
      </c>
      <c r="DT62" s="314">
        <f t="shared" si="399"/>
        <v>28276.910051176939</v>
      </c>
      <c r="DU62" s="314">
        <f t="shared" si="399"/>
        <v>24581.975096862661</v>
      </c>
      <c r="DV62" s="314">
        <f t="shared" si="399"/>
        <v>28276.910051176939</v>
      </c>
      <c r="DW62" s="314">
        <f t="shared" si="399"/>
        <v>25293.255114356805</v>
      </c>
      <c r="DX62" s="314">
        <f t="shared" si="399"/>
        <v>26837.070867899798</v>
      </c>
      <c r="DY62" s="314">
        <f t="shared" si="399"/>
        <v>0</v>
      </c>
      <c r="DZ62" s="314">
        <f t="shared" si="399"/>
        <v>0</v>
      </c>
      <c r="EA62" s="314">
        <f t="shared" si="399"/>
        <v>23004.176189640086</v>
      </c>
      <c r="EB62" s="314">
        <f t="shared" si="399"/>
        <v>23004.176189640086</v>
      </c>
      <c r="EC62" s="314">
        <f t="shared" ref="EC62:GN62" si="400">EC$22</f>
        <v>26102.573409149816</v>
      </c>
      <c r="ED62" s="314">
        <f t="shared" si="400"/>
        <v>26362.049149868351</v>
      </c>
      <c r="EE62" s="314">
        <f t="shared" si="400"/>
        <v>31127.953171467958</v>
      </c>
      <c r="EF62" s="314">
        <f t="shared" si="400"/>
        <v>31127.953171467958</v>
      </c>
      <c r="EG62" s="314">
        <f t="shared" si="400"/>
        <v>31127.953171467958</v>
      </c>
      <c r="EH62" s="314">
        <f t="shared" si="400"/>
        <v>24910.841440127879</v>
      </c>
      <c r="EI62" s="314">
        <f t="shared" si="400"/>
        <v>25112.661826156243</v>
      </c>
      <c r="EJ62" s="314">
        <f t="shared" si="400"/>
        <v>26837.070867899798</v>
      </c>
      <c r="EK62" s="314">
        <f t="shared" si="400"/>
        <v>0</v>
      </c>
      <c r="EL62" s="314">
        <f t="shared" si="400"/>
        <v>0</v>
      </c>
      <c r="EM62" s="314">
        <f t="shared" si="400"/>
        <v>0</v>
      </c>
      <c r="EN62" s="314">
        <f t="shared" si="400"/>
        <v>26364.572073040395</v>
      </c>
      <c r="EO62" s="314">
        <f t="shared" si="400"/>
        <v>31127.953171467958</v>
      </c>
      <c r="EP62" s="314">
        <f t="shared" si="400"/>
        <v>26362.049149868351</v>
      </c>
      <c r="EQ62" s="314">
        <f t="shared" si="400"/>
        <v>26837.070867899798</v>
      </c>
      <c r="ER62" s="314">
        <f t="shared" si="400"/>
        <v>24448.908771949045</v>
      </c>
      <c r="ES62" s="314">
        <f t="shared" si="400"/>
        <v>24208.019142085453</v>
      </c>
      <c r="ET62" s="314">
        <f t="shared" si="400"/>
        <v>0</v>
      </c>
      <c r="EU62" s="314">
        <f t="shared" si="400"/>
        <v>0</v>
      </c>
      <c r="EV62" s="314">
        <f t="shared" si="400"/>
        <v>31127.953171467958</v>
      </c>
      <c r="EW62" s="314">
        <f t="shared" si="400"/>
        <v>24448.908771949045</v>
      </c>
      <c r="EX62" s="314">
        <f t="shared" si="400"/>
        <v>25494.782664826929</v>
      </c>
      <c r="EY62" s="314">
        <f t="shared" si="400"/>
        <v>26364.572073040395</v>
      </c>
      <c r="EZ62" s="314">
        <f t="shared" si="400"/>
        <v>24448.908771949045</v>
      </c>
      <c r="FA62" s="314">
        <f t="shared" si="400"/>
        <v>24448.908771949045</v>
      </c>
      <c r="FB62" s="314">
        <f t="shared" si="400"/>
        <v>24448.908771949045</v>
      </c>
      <c r="FC62" s="314">
        <f t="shared" si="400"/>
        <v>24448.908771949045</v>
      </c>
      <c r="FD62" s="314">
        <f t="shared" si="400"/>
        <v>27736.496615082382</v>
      </c>
      <c r="FE62" s="314">
        <f t="shared" si="400"/>
        <v>29279.931534256906</v>
      </c>
      <c r="FF62" s="314">
        <f t="shared" si="400"/>
        <v>24448.908771949045</v>
      </c>
      <c r="FG62" s="314">
        <f t="shared" si="400"/>
        <v>25494.782664826929</v>
      </c>
      <c r="FH62" s="314">
        <f t="shared" si="400"/>
        <v>24602.206032430611</v>
      </c>
      <c r="FI62" s="314">
        <f t="shared" si="400"/>
        <v>25494.782664826929</v>
      </c>
      <c r="FJ62" s="314">
        <f t="shared" si="400"/>
        <v>24448.908771949045</v>
      </c>
      <c r="FK62" s="314">
        <f t="shared" si="400"/>
        <v>24448.908771949045</v>
      </c>
      <c r="FL62" s="314">
        <f t="shared" si="400"/>
        <v>24846.947441386379</v>
      </c>
      <c r="FM62" s="314">
        <f t="shared" si="400"/>
        <v>24448.908771949045</v>
      </c>
      <c r="FN62" s="314">
        <f t="shared" si="400"/>
        <v>24448.908771949045</v>
      </c>
      <c r="FO62" s="314">
        <f t="shared" si="400"/>
        <v>26362.049149868351</v>
      </c>
      <c r="FP62" s="314">
        <f t="shared" si="400"/>
        <v>25494.782664826929</v>
      </c>
      <c r="FQ62" s="314">
        <f t="shared" si="400"/>
        <v>28276.910051176939</v>
      </c>
      <c r="FR62" s="314">
        <f t="shared" si="400"/>
        <v>0</v>
      </c>
      <c r="FS62" s="314">
        <f t="shared" si="400"/>
        <v>29279.931534256906</v>
      </c>
      <c r="FT62" s="314">
        <f t="shared" si="400"/>
        <v>24448.908771949045</v>
      </c>
      <c r="FU62" s="314">
        <f t="shared" si="400"/>
        <v>24846.947441386379</v>
      </c>
      <c r="FV62" s="314">
        <f t="shared" si="400"/>
        <v>24448.908771949045</v>
      </c>
      <c r="FW62" s="314">
        <f t="shared" si="400"/>
        <v>24448.908771949045</v>
      </c>
      <c r="FX62" s="314">
        <f t="shared" si="400"/>
        <v>24448.908771949045</v>
      </c>
      <c r="FY62" s="314">
        <f t="shared" si="400"/>
        <v>24448.908771949045</v>
      </c>
      <c r="FZ62" s="314">
        <f t="shared" si="400"/>
        <v>24448.908771949045</v>
      </c>
      <c r="GA62" s="314">
        <f t="shared" si="400"/>
        <v>26102.573409149816</v>
      </c>
      <c r="GB62" s="314">
        <f t="shared" si="400"/>
        <v>25494.782664826929</v>
      </c>
      <c r="GC62" s="314">
        <f t="shared" si="400"/>
        <v>24448.908771949045</v>
      </c>
      <c r="GD62" s="314">
        <f t="shared" si="400"/>
        <v>25494.782664826929</v>
      </c>
      <c r="GE62" s="314">
        <f t="shared" si="400"/>
        <v>26837.070867899798</v>
      </c>
      <c r="GF62" s="314">
        <f t="shared" si="400"/>
        <v>24448.908771949045</v>
      </c>
      <c r="GG62" s="314">
        <f t="shared" si="400"/>
        <v>26102.573409149816</v>
      </c>
      <c r="GH62" s="314">
        <f t="shared" si="400"/>
        <v>24846.947441386379</v>
      </c>
      <c r="GI62" s="314">
        <f t="shared" si="400"/>
        <v>25494.782664826929</v>
      </c>
      <c r="GJ62" s="314">
        <f t="shared" si="400"/>
        <v>24448.908771949045</v>
      </c>
      <c r="GK62" s="314">
        <f t="shared" si="400"/>
        <v>26102.573409149816</v>
      </c>
      <c r="GL62" s="314">
        <f t="shared" si="400"/>
        <v>24846.947441386379</v>
      </c>
      <c r="GM62" s="314">
        <f t="shared" si="400"/>
        <v>25287.261406181333</v>
      </c>
      <c r="GN62" s="314">
        <f t="shared" si="400"/>
        <v>26364.572073040395</v>
      </c>
      <c r="GO62" s="314">
        <f t="shared" ref="GO62:IZ62" si="401">GO$22</f>
        <v>25494.782664826929</v>
      </c>
      <c r="GP62" s="314">
        <f t="shared" si="401"/>
        <v>24448.908771949045</v>
      </c>
      <c r="GQ62" s="314">
        <f t="shared" si="401"/>
        <v>24448.908771949045</v>
      </c>
      <c r="GR62" s="314">
        <f t="shared" si="401"/>
        <v>24448.908771949045</v>
      </c>
      <c r="GS62" s="314">
        <f t="shared" si="401"/>
        <v>24448.908771949045</v>
      </c>
      <c r="GT62" s="314">
        <f t="shared" si="401"/>
        <v>24448.908771949045</v>
      </c>
      <c r="GU62" s="314">
        <f t="shared" si="401"/>
        <v>26362.049149868351</v>
      </c>
      <c r="GV62" s="314">
        <f t="shared" si="401"/>
        <v>0</v>
      </c>
      <c r="GW62" s="314">
        <f t="shared" si="401"/>
        <v>24448.908771949045</v>
      </c>
      <c r="GX62" s="314">
        <f t="shared" si="401"/>
        <v>24448.908771949045</v>
      </c>
      <c r="GY62" s="314">
        <f t="shared" si="401"/>
        <v>25494.782664826929</v>
      </c>
      <c r="GZ62" s="314">
        <f t="shared" si="401"/>
        <v>0</v>
      </c>
      <c r="HA62" s="314">
        <f t="shared" si="401"/>
        <v>24448.908771949045</v>
      </c>
      <c r="HB62" s="314">
        <f t="shared" si="401"/>
        <v>26362.049149868351</v>
      </c>
      <c r="HC62" s="314">
        <f t="shared" si="401"/>
        <v>25494.782664826929</v>
      </c>
      <c r="HD62" s="314">
        <f t="shared" si="401"/>
        <v>24448.908771949045</v>
      </c>
      <c r="HE62" s="314">
        <f t="shared" si="401"/>
        <v>25494.782664826929</v>
      </c>
      <c r="HF62" s="314">
        <f t="shared" si="401"/>
        <v>24448.908771949045</v>
      </c>
      <c r="HG62" s="314">
        <f t="shared" si="401"/>
        <v>24846.947441386379</v>
      </c>
      <c r="HH62" s="314">
        <f t="shared" si="401"/>
        <v>0</v>
      </c>
      <c r="HI62" s="314">
        <f t="shared" si="401"/>
        <v>24448.908771949045</v>
      </c>
      <c r="HJ62" s="314">
        <f t="shared" si="401"/>
        <v>26837.070867899798</v>
      </c>
      <c r="HK62" s="314">
        <f t="shared" si="401"/>
        <v>24448.908771949045</v>
      </c>
      <c r="HL62" s="314">
        <f t="shared" si="401"/>
        <v>26849.811948652292</v>
      </c>
      <c r="HM62" s="314">
        <f t="shared" si="401"/>
        <v>28276.910051176939</v>
      </c>
      <c r="HN62" s="314">
        <f t="shared" si="401"/>
        <v>25293.255114356805</v>
      </c>
      <c r="HO62" s="314">
        <f t="shared" si="401"/>
        <v>26837.070867899798</v>
      </c>
      <c r="HP62" s="314">
        <f t="shared" si="401"/>
        <v>26849.811948652292</v>
      </c>
      <c r="HQ62" s="314">
        <f t="shared" si="401"/>
        <v>26362.049149868351</v>
      </c>
      <c r="HR62" s="314">
        <f t="shared" si="401"/>
        <v>26849.811948652292</v>
      </c>
      <c r="HS62" s="314">
        <f t="shared" si="401"/>
        <v>28276.910051176939</v>
      </c>
      <c r="HT62" s="314">
        <f t="shared" si="401"/>
        <v>24602.206032430611</v>
      </c>
      <c r="HU62" s="314">
        <f t="shared" si="401"/>
        <v>24602.206032430611</v>
      </c>
      <c r="HV62" s="314">
        <f t="shared" si="401"/>
        <v>25494.782664826929</v>
      </c>
      <c r="HW62" s="314">
        <f t="shared" si="401"/>
        <v>25494.782664826929</v>
      </c>
      <c r="HX62" s="314">
        <f t="shared" si="401"/>
        <v>24602.206032430611</v>
      </c>
      <c r="HY62" s="314">
        <f t="shared" si="401"/>
        <v>25494.782664826929</v>
      </c>
      <c r="HZ62" s="314">
        <f t="shared" si="401"/>
        <v>25494.782664826929</v>
      </c>
      <c r="IA62" s="314">
        <f t="shared" si="401"/>
        <v>25494.782664826929</v>
      </c>
      <c r="IB62" s="314">
        <f t="shared" si="401"/>
        <v>25494.782664826929</v>
      </c>
      <c r="IC62" s="314">
        <f t="shared" si="401"/>
        <v>25494.782664826929</v>
      </c>
      <c r="ID62" s="314">
        <f t="shared" si="401"/>
        <v>24602.206032430611</v>
      </c>
      <c r="IE62" s="314">
        <f t="shared" si="401"/>
        <v>25494.782664826929</v>
      </c>
      <c r="IF62" s="314">
        <f t="shared" si="401"/>
        <v>25494.782664826929</v>
      </c>
      <c r="IG62" s="314">
        <f t="shared" si="401"/>
        <v>0</v>
      </c>
      <c r="IH62" s="314">
        <f t="shared" si="401"/>
        <v>26849.811948652292</v>
      </c>
      <c r="II62" s="314">
        <f t="shared" si="401"/>
        <v>24602.206032430611</v>
      </c>
      <c r="IJ62" s="314">
        <f t="shared" si="401"/>
        <v>28276.910051176939</v>
      </c>
      <c r="IK62" s="314">
        <f t="shared" si="401"/>
        <v>26837.070867899798</v>
      </c>
      <c r="IL62" s="314">
        <f t="shared" si="401"/>
        <v>25494.782664826929</v>
      </c>
      <c r="IM62" s="314">
        <f t="shared" si="401"/>
        <v>26102.573409149816</v>
      </c>
      <c r="IN62" s="314">
        <f t="shared" si="401"/>
        <v>25494.782664826929</v>
      </c>
      <c r="IO62" s="314">
        <f t="shared" si="401"/>
        <v>24602.206032430611</v>
      </c>
      <c r="IP62" s="314">
        <f t="shared" si="401"/>
        <v>26849.811948652292</v>
      </c>
      <c r="IQ62" s="314">
        <f t="shared" si="401"/>
        <v>26849.811948652292</v>
      </c>
      <c r="IR62" s="314">
        <f t="shared" si="401"/>
        <v>28276.910051176939</v>
      </c>
      <c r="IS62" s="314">
        <f t="shared" si="401"/>
        <v>25494.782664826929</v>
      </c>
      <c r="IT62" s="314">
        <f t="shared" si="401"/>
        <v>24602.206032430611</v>
      </c>
      <c r="IU62" s="314">
        <f t="shared" si="401"/>
        <v>26102.573409149816</v>
      </c>
      <c r="IV62" s="314">
        <f t="shared" si="401"/>
        <v>25494.782664826929</v>
      </c>
      <c r="IW62" s="314">
        <f t="shared" si="401"/>
        <v>24602.206032430611</v>
      </c>
      <c r="IX62" s="314">
        <f t="shared" si="401"/>
        <v>28276.910051176939</v>
      </c>
      <c r="IY62" s="314">
        <f t="shared" si="401"/>
        <v>26849.811948652292</v>
      </c>
      <c r="IZ62" s="314">
        <f t="shared" si="401"/>
        <v>25494.782664826929</v>
      </c>
      <c r="JA62" s="314">
        <f t="shared" ref="JA62:JH62" si="402">JA$22</f>
        <v>31127.953171467958</v>
      </c>
      <c r="JB62" s="314">
        <f t="shared" si="402"/>
        <v>34478.369790155819</v>
      </c>
      <c r="JC62" s="314">
        <f t="shared" si="402"/>
        <v>25287.261406181333</v>
      </c>
      <c r="JD62" s="314">
        <f t="shared" si="402"/>
        <v>26837.070867899798</v>
      </c>
      <c r="JE62" s="314">
        <f t="shared" si="402"/>
        <v>26102.573409149816</v>
      </c>
      <c r="JF62" s="314">
        <f t="shared" si="402"/>
        <v>26849.811948652292</v>
      </c>
      <c r="JG62" s="314">
        <f t="shared" si="402"/>
        <v>26849.811948652292</v>
      </c>
      <c r="JH62" s="314">
        <f t="shared" si="402"/>
        <v>32243.952958531994</v>
      </c>
      <c r="JI62" s="314"/>
    </row>
    <row r="63" spans="1:277" x14ac:dyDescent="0.25">
      <c r="A63" s="263"/>
      <c r="B63" s="263"/>
      <c r="C63" s="307">
        <f t="shared" ref="C63:F63" si="403">(C61-C60)*C30*1.34*12</f>
        <v>-342265.29123419133</v>
      </c>
      <c r="D63" s="307">
        <f t="shared" si="403"/>
        <v>-1367654.6971757081</v>
      </c>
      <c r="E63" s="307">
        <f t="shared" si="403"/>
        <v>262240.22052063327</v>
      </c>
      <c r="F63" s="307">
        <f t="shared" si="403"/>
        <v>-367797.81986234622</v>
      </c>
      <c r="G63" s="307">
        <f>(G61-G60)*G30*1.34*12</f>
        <v>710705.86279170902</v>
      </c>
      <c r="H63" s="307">
        <f t="shared" ref="H63:BT63" si="404">(H61-H60)*H30*1.34*12</f>
        <v>0</v>
      </c>
      <c r="I63" s="307">
        <f t="shared" si="404"/>
        <v>205043.17772355504</v>
      </c>
      <c r="J63" s="307">
        <f t="shared" si="404"/>
        <v>-1034315.2394402931</v>
      </c>
      <c r="K63" s="307">
        <f>(K62-K60)*K30*1.34*12</f>
        <v>1023729.2513013157</v>
      </c>
      <c r="L63" s="307">
        <f t="shared" si="404"/>
        <v>0</v>
      </c>
      <c r="M63" s="307">
        <f t="shared" si="404"/>
        <v>-981664.32349824475</v>
      </c>
      <c r="N63" s="307">
        <f t="shared" si="404"/>
        <v>115828.60302667007</v>
      </c>
      <c r="O63" s="307">
        <f t="shared" si="404"/>
        <v>241488.27525939478</v>
      </c>
      <c r="P63" s="307">
        <f>(P62-P60)*P30*1.34*12</f>
        <v>129876.934974159</v>
      </c>
      <c r="Q63" s="307">
        <f t="shared" si="404"/>
        <v>55826.304425624534</v>
      </c>
      <c r="R63" s="307">
        <f t="shared" si="404"/>
        <v>-1078372.0030573779</v>
      </c>
      <c r="S63" s="307">
        <f t="shared" si="404"/>
        <v>-509790.32247722003</v>
      </c>
      <c r="T63" s="307">
        <f t="shared" si="404"/>
        <v>489528.70037222316</v>
      </c>
      <c r="U63" s="307">
        <f t="shared" si="404"/>
        <v>-112431.15326332147</v>
      </c>
      <c r="V63" s="307">
        <f t="shared" si="404"/>
        <v>-756878.09248396102</v>
      </c>
      <c r="W63" s="307">
        <f t="shared" si="404"/>
        <v>-281416.12103842257</v>
      </c>
      <c r="X63" s="307">
        <f t="shared" si="404"/>
        <v>259232.55467478227</v>
      </c>
      <c r="Y63" s="307">
        <f t="shared" si="404"/>
        <v>-2415976.4662723579</v>
      </c>
      <c r="Z63" s="307">
        <f t="shared" si="404"/>
        <v>-2972592.9699721881</v>
      </c>
      <c r="AA63" s="307">
        <f t="shared" si="404"/>
        <v>394885.44902487379</v>
      </c>
      <c r="AB63" s="307">
        <f t="shared" si="404"/>
        <v>122987.1919656056</v>
      </c>
      <c r="AC63" s="307">
        <f t="shared" ref="AC63" si="405">(AC61-AC60)*AC30*1.34*12</f>
        <v>28489.41187404795</v>
      </c>
      <c r="AD63" s="307">
        <f t="shared" si="404"/>
        <v>-69227.78835616447</v>
      </c>
      <c r="AE63" s="307">
        <f t="shared" si="404"/>
        <v>-140556.34499850788</v>
      </c>
      <c r="AF63" s="307">
        <f t="shared" si="404"/>
        <v>-50275.207896999011</v>
      </c>
      <c r="AG63" s="307">
        <f t="shared" si="404"/>
        <v>125060.75486989686</v>
      </c>
      <c r="AH63" s="307">
        <f t="shared" si="404"/>
        <v>-217899.59475689233</v>
      </c>
      <c r="AI63" s="307">
        <f t="shared" si="404"/>
        <v>263647.54924712447</v>
      </c>
      <c r="AJ63" s="307">
        <f t="shared" si="404"/>
        <v>212665.70674122276</v>
      </c>
      <c r="AK63" s="307">
        <f t="shared" si="404"/>
        <v>109893.27078166869</v>
      </c>
      <c r="AL63" s="307">
        <f t="shared" si="404"/>
        <v>-251906.8209421084</v>
      </c>
      <c r="AM63" s="307">
        <f t="shared" si="404"/>
        <v>-763814.72921833163</v>
      </c>
      <c r="AN63" s="307">
        <f t="shared" si="404"/>
        <v>121055.19849877898</v>
      </c>
      <c r="AO63" s="307">
        <f t="shared" si="404"/>
        <v>1101913.3328778169</v>
      </c>
      <c r="AP63" s="307">
        <f t="shared" si="404"/>
        <v>-591935.48241244187</v>
      </c>
      <c r="AQ63" s="307">
        <f t="shared" si="404"/>
        <v>63655.480148889255</v>
      </c>
      <c r="AR63" s="307">
        <f t="shared" si="404"/>
        <v>170920.86502245505</v>
      </c>
      <c r="AS63" s="307">
        <f t="shared" si="404"/>
        <v>44681.220223333854</v>
      </c>
      <c r="AT63" s="307">
        <f t="shared" si="404"/>
        <v>322367.43236834195</v>
      </c>
      <c r="AU63" s="307">
        <f t="shared" si="404"/>
        <v>97944.939466421318</v>
      </c>
      <c r="AV63" s="307">
        <f t="shared" si="404"/>
        <v>-39440.333716616478</v>
      </c>
      <c r="AW63" s="307">
        <f t="shared" si="404"/>
        <v>52124.334792413159</v>
      </c>
      <c r="AX63" s="307">
        <f t="shared" si="404"/>
        <v>270115.31108075113</v>
      </c>
      <c r="AY63" s="307">
        <f t="shared" si="404"/>
        <v>63962.99191914768</v>
      </c>
      <c r="AZ63" s="307">
        <f t="shared" si="404"/>
        <v>0</v>
      </c>
      <c r="BA63" s="307">
        <f t="shared" si="404"/>
        <v>0</v>
      </c>
      <c r="BB63" s="307">
        <f t="shared" si="404"/>
        <v>309618.68070722395</v>
      </c>
      <c r="BC63" s="307">
        <f t="shared" si="404"/>
        <v>-253689.14583333331</v>
      </c>
      <c r="BD63" s="307">
        <f t="shared" si="404"/>
        <v>103641.40481827228</v>
      </c>
      <c r="BE63" s="307">
        <f t="shared" si="404"/>
        <v>-372616.26602236286</v>
      </c>
      <c r="BF63" s="307">
        <f t="shared" si="404"/>
        <v>0</v>
      </c>
      <c r="BG63" s="307">
        <f t="shared" si="404"/>
        <v>0</v>
      </c>
      <c r="BH63" s="307">
        <f t="shared" si="404"/>
        <v>0</v>
      </c>
      <c r="BI63" s="307">
        <f t="shared" si="404"/>
        <v>0</v>
      </c>
      <c r="BJ63" s="307">
        <f t="shared" si="404"/>
        <v>81837.853564726713</v>
      </c>
      <c r="BK63" s="307">
        <f t="shared" si="404"/>
        <v>221490.34231459786</v>
      </c>
      <c r="BL63" s="307">
        <f t="shared" si="404"/>
        <v>0</v>
      </c>
      <c r="BM63" s="307">
        <f t="shared" si="404"/>
        <v>262349.12708161038</v>
      </c>
      <c r="BN63" s="307">
        <f t="shared" si="404"/>
        <v>75102.373153743509</v>
      </c>
      <c r="BO63" s="307">
        <f t="shared" si="404"/>
        <v>0</v>
      </c>
      <c r="BP63" s="307">
        <f t="shared" si="404"/>
        <v>-30803.802152723358</v>
      </c>
      <c r="BQ63" s="307">
        <f t="shared" si="404"/>
        <v>-13524.04831993574</v>
      </c>
      <c r="BR63" s="307">
        <f t="shared" si="404"/>
        <v>154631.29550250122</v>
      </c>
      <c r="BS63" s="307">
        <f t="shared" si="404"/>
        <v>12382.298967874071</v>
      </c>
      <c r="BT63" s="307">
        <f t="shared" si="404"/>
        <v>-186883.94944166532</v>
      </c>
      <c r="BU63" s="307">
        <f t="shared" ref="BU63:EF63" si="406">(BU61-BU60)*BU30*1.34*12</f>
        <v>-285028.79527104215</v>
      </c>
      <c r="BV63" s="307">
        <f t="shared" si="406"/>
        <v>398615.59155145439</v>
      </c>
      <c r="BW63" s="307">
        <f t="shared" si="406"/>
        <v>-13510.943557435363</v>
      </c>
      <c r="BX63" s="307">
        <f t="shared" si="406"/>
        <v>653636.19106335379</v>
      </c>
      <c r="BY63" s="307">
        <f t="shared" si="406"/>
        <v>-186475.05697757643</v>
      </c>
      <c r="BZ63" s="307">
        <f t="shared" si="406"/>
        <v>-257244.69324837439</v>
      </c>
      <c r="CA63" s="307">
        <f t="shared" si="406"/>
        <v>0</v>
      </c>
      <c r="CB63" s="307">
        <f t="shared" si="406"/>
        <v>39256.101421467305</v>
      </c>
      <c r="CC63" s="307">
        <f t="shared" si="406"/>
        <v>117637.66254166378</v>
      </c>
      <c r="CD63" s="307">
        <f t="shared" si="406"/>
        <v>14512.216855739673</v>
      </c>
      <c r="CE63" s="307">
        <f t="shared" si="406"/>
        <v>-232822.41530055876</v>
      </c>
      <c r="CF63" s="307">
        <f t="shared" si="406"/>
        <v>50414.145774101511</v>
      </c>
      <c r="CG63" s="307">
        <f t="shared" si="406"/>
        <v>-217967.10329016089</v>
      </c>
      <c r="CH63" s="307">
        <f t="shared" si="406"/>
        <v>-462257.18816362054</v>
      </c>
      <c r="CI63" s="307">
        <f t="shared" si="406"/>
        <v>0</v>
      </c>
      <c r="CJ63" s="307">
        <f t="shared" si="406"/>
        <v>0</v>
      </c>
      <c r="CK63" s="307">
        <f t="shared" si="406"/>
        <v>80353.118987976501</v>
      </c>
      <c r="CL63" s="307">
        <f t="shared" si="406"/>
        <v>-218471.99333129227</v>
      </c>
      <c r="CM63" s="307">
        <f t="shared" si="406"/>
        <v>-269068.03275485005</v>
      </c>
      <c r="CN63" s="307">
        <f t="shared" si="406"/>
        <v>59434.772719491637</v>
      </c>
      <c r="CO63" s="307">
        <f t="shared" si="406"/>
        <v>-53212.999832796828</v>
      </c>
      <c r="CP63" s="307">
        <f t="shared" si="406"/>
        <v>30382.256800304269</v>
      </c>
      <c r="CQ63" s="307">
        <f t="shared" si="406"/>
        <v>261749.72606817112</v>
      </c>
      <c r="CR63" s="307">
        <f t="shared" si="406"/>
        <v>304287.11894897011</v>
      </c>
      <c r="CS63" s="307">
        <f t="shared" si="406"/>
        <v>0</v>
      </c>
      <c r="CT63" s="307">
        <f t="shared" si="406"/>
        <v>-73724.088013109795</v>
      </c>
      <c r="CU63" s="307">
        <f t="shared" si="406"/>
        <v>7260.7861596786424</v>
      </c>
      <c r="CV63" s="307">
        <f t="shared" si="406"/>
        <v>798064.91518977669</v>
      </c>
      <c r="CW63" s="307">
        <f t="shared" si="406"/>
        <v>0</v>
      </c>
      <c r="CX63" s="307">
        <f t="shared" si="406"/>
        <v>-1028234.5333960427</v>
      </c>
      <c r="CY63" s="307">
        <f t="shared" si="406"/>
        <v>-158393.88523052074</v>
      </c>
      <c r="CZ63" s="307">
        <f t="shared" si="406"/>
        <v>-111588.91249802533</v>
      </c>
      <c r="DA63" s="307">
        <f t="shared" si="406"/>
        <v>0</v>
      </c>
      <c r="DB63" s="307">
        <f>(DB61-DB60)*DB30*1.34*12</f>
        <v>24512.524658825827</v>
      </c>
      <c r="DC63" s="307">
        <f t="shared" si="406"/>
        <v>-482159.86032247968</v>
      </c>
      <c r="DD63" s="307">
        <f t="shared" si="406"/>
        <v>0</v>
      </c>
      <c r="DE63" s="307">
        <f t="shared" si="406"/>
        <v>0</v>
      </c>
      <c r="DF63" s="307">
        <f t="shared" si="406"/>
        <v>0</v>
      </c>
      <c r="DG63" s="307">
        <f t="shared" si="406"/>
        <v>0</v>
      </c>
      <c r="DH63" s="307">
        <f t="shared" si="406"/>
        <v>-67894.806012522153</v>
      </c>
      <c r="DI63" s="307">
        <f t="shared" si="406"/>
        <v>-212745.35069209331</v>
      </c>
      <c r="DJ63" s="307">
        <f t="shared" si="406"/>
        <v>-214287.85183354374</v>
      </c>
      <c r="DK63" s="307">
        <f t="shared" si="406"/>
        <v>26548.493550520539</v>
      </c>
      <c r="DL63" s="307">
        <f t="shared" si="406"/>
        <v>277072.22180045355</v>
      </c>
      <c r="DM63" s="307">
        <f t="shared" si="406"/>
        <v>232155.58381385566</v>
      </c>
      <c r="DN63" s="307">
        <f>(DN61-DN60)*DN30*1.34*12</f>
        <v>413841.83738365688</v>
      </c>
      <c r="DO63" s="307">
        <f t="shared" si="406"/>
        <v>0</v>
      </c>
      <c r="DP63" s="307">
        <f t="shared" si="406"/>
        <v>-393474.89264618291</v>
      </c>
      <c r="DQ63" s="307">
        <f t="shared" si="406"/>
        <v>-415261.71780423494</v>
      </c>
      <c r="DR63" s="307">
        <f t="shared" si="406"/>
        <v>-607582.95869469445</v>
      </c>
      <c r="DS63" s="307">
        <f t="shared" si="406"/>
        <v>0</v>
      </c>
      <c r="DT63" s="307">
        <f t="shared" si="406"/>
        <v>473573.20137304231</v>
      </c>
      <c r="DU63" s="307">
        <f t="shared" si="406"/>
        <v>54311.116497541188</v>
      </c>
      <c r="DV63" s="307">
        <f t="shared" si="406"/>
        <v>1530942.3028013087</v>
      </c>
      <c r="DW63" s="307">
        <f t="shared" si="406"/>
        <v>620498.49582172709</v>
      </c>
      <c r="DX63" s="307">
        <f t="shared" si="406"/>
        <v>-290881.24125573988</v>
      </c>
      <c r="DY63" s="307">
        <f t="shared" si="406"/>
        <v>0</v>
      </c>
      <c r="DZ63" s="307">
        <f t="shared" si="406"/>
        <v>0</v>
      </c>
      <c r="EA63" s="307">
        <f t="shared" si="406"/>
        <v>246252.92638142372</v>
      </c>
      <c r="EB63" s="307">
        <f t="shared" si="406"/>
        <v>1140037.7320263642</v>
      </c>
      <c r="EC63" s="307">
        <f t="shared" si="406"/>
        <v>162383.7512384656</v>
      </c>
      <c r="ED63" s="307">
        <f t="shared" si="406"/>
        <v>317047.92154010548</v>
      </c>
      <c r="EE63" s="307">
        <f t="shared" si="406"/>
        <v>75012.005428056596</v>
      </c>
      <c r="EF63" s="307">
        <f t="shared" si="406"/>
        <v>32192.875465278863</v>
      </c>
      <c r="EG63" s="307">
        <f t="shared" ref="EG63:ES63" si="407">(EG61-EG60)*EG30*1.34*12</f>
        <v>12785.220223333856</v>
      </c>
      <c r="EH63" s="307">
        <f>(EH62-EH60)*EH30*1.34*12</f>
        <v>46476.945868381088</v>
      </c>
      <c r="EI63" s="307">
        <f>(EI62-EI60)*EI30*1.34*12</f>
        <v>240369.05378803669</v>
      </c>
      <c r="EJ63" s="307">
        <f t="shared" si="407"/>
        <v>-83795.534311223368</v>
      </c>
      <c r="EK63" s="307">
        <f t="shared" si="407"/>
        <v>0</v>
      </c>
      <c r="EL63" s="307">
        <f t="shared" si="407"/>
        <v>0</v>
      </c>
      <c r="EM63" s="307">
        <f t="shared" si="407"/>
        <v>0</v>
      </c>
      <c r="EN63" s="307">
        <f t="shared" si="407"/>
        <v>245140.84526450967</v>
      </c>
      <c r="EO63" s="307">
        <f t="shared" si="407"/>
        <v>90118.146815555898</v>
      </c>
      <c r="EP63" s="307">
        <f t="shared" si="407"/>
        <v>255172.3558581009</v>
      </c>
      <c r="EQ63" s="307">
        <f t="shared" si="407"/>
        <v>474030.50442442781</v>
      </c>
      <c r="ER63" s="307">
        <f t="shared" si="407"/>
        <v>2042861.5385956452</v>
      </c>
      <c r="ES63" s="307">
        <f t="shared" si="407"/>
        <v>118809.44734015648</v>
      </c>
      <c r="ET63" s="263"/>
      <c r="EU63" s="263"/>
      <c r="EV63" s="263"/>
      <c r="EW63" s="263"/>
      <c r="EX63" s="263"/>
      <c r="EY63" s="263"/>
      <c r="EZ63" s="263"/>
      <c r="FA63" s="263"/>
      <c r="FB63" s="263"/>
      <c r="FC63" s="263"/>
      <c r="FD63" s="263"/>
      <c r="FE63" s="263"/>
      <c r="FF63" s="263"/>
      <c r="FG63" s="263"/>
      <c r="FH63" s="263"/>
      <c r="FI63" s="263"/>
      <c r="FJ63" s="263"/>
      <c r="FK63" s="263"/>
      <c r="FL63" s="263"/>
      <c r="FM63" s="263"/>
      <c r="FN63" s="263"/>
      <c r="FO63" s="263"/>
      <c r="FP63" s="263"/>
      <c r="FQ63" s="263"/>
      <c r="FR63" s="263"/>
      <c r="FS63" s="263"/>
      <c r="FT63" s="263"/>
      <c r="FU63" s="263"/>
      <c r="FV63" s="263"/>
      <c r="FW63" s="263"/>
      <c r="FX63" s="263"/>
      <c r="FY63" s="263"/>
      <c r="FZ63" s="263"/>
      <c r="GA63" s="263"/>
      <c r="GB63" s="263"/>
      <c r="GC63" s="263"/>
      <c r="GD63" s="263"/>
      <c r="GE63" s="263"/>
      <c r="GF63" s="263"/>
      <c r="GG63" s="263"/>
      <c r="GH63" s="263"/>
      <c r="GI63" s="263"/>
      <c r="GJ63" s="263"/>
      <c r="GK63" s="263"/>
      <c r="GL63" s="263"/>
      <c r="GM63" s="263"/>
      <c r="GN63" s="263"/>
      <c r="GO63" s="263"/>
      <c r="GP63" s="263"/>
      <c r="GQ63" s="263"/>
      <c r="GR63" s="263"/>
      <c r="GS63" s="263"/>
      <c r="GT63" s="263"/>
      <c r="GU63" s="263"/>
      <c r="GV63" s="263"/>
      <c r="GW63" s="263"/>
      <c r="GX63" s="263"/>
      <c r="GY63" s="263"/>
      <c r="GZ63" s="263"/>
      <c r="HA63" s="263"/>
      <c r="HB63" s="263"/>
      <c r="HC63" s="263"/>
      <c r="HD63" s="263"/>
      <c r="HE63" s="263"/>
      <c r="HF63" s="263"/>
      <c r="HG63" s="263"/>
      <c r="HH63" s="263"/>
      <c r="HI63" s="263"/>
      <c r="HJ63" s="263"/>
      <c r="HK63" s="263"/>
      <c r="HL63" s="263"/>
      <c r="HM63" s="263"/>
      <c r="HN63" s="263"/>
      <c r="HO63" s="263"/>
      <c r="HP63" s="263"/>
      <c r="HQ63" s="263"/>
      <c r="HR63" s="263"/>
      <c r="HS63" s="263"/>
      <c r="HT63" s="263"/>
      <c r="HU63" s="263"/>
      <c r="HV63" s="263"/>
      <c r="HW63" s="263"/>
      <c r="HX63" s="263"/>
      <c r="HY63" s="263"/>
      <c r="HZ63" s="263"/>
      <c r="IA63" s="263"/>
      <c r="IB63" s="263"/>
      <c r="IC63" s="263"/>
      <c r="ID63" s="263"/>
      <c r="IE63" s="263"/>
      <c r="IF63" s="263"/>
      <c r="IG63" s="263"/>
      <c r="IH63" s="263"/>
      <c r="II63" s="263"/>
      <c r="IJ63" s="263"/>
      <c r="IK63" s="263"/>
      <c r="IL63" s="263"/>
      <c r="IM63" s="263"/>
      <c r="IN63" s="263"/>
      <c r="IO63" s="263"/>
      <c r="IP63" s="263"/>
      <c r="IQ63" s="263"/>
      <c r="IR63" s="263"/>
      <c r="IS63" s="263"/>
      <c r="IT63" s="263"/>
      <c r="IU63" s="263"/>
      <c r="IV63" s="263"/>
      <c r="IW63" s="263"/>
      <c r="IX63" s="263"/>
      <c r="IY63" s="263"/>
      <c r="IZ63" s="263"/>
      <c r="JA63" s="263"/>
      <c r="JB63" s="263"/>
      <c r="JC63" s="263"/>
      <c r="JD63" s="263"/>
      <c r="JE63" s="263"/>
      <c r="JF63" s="263"/>
      <c r="JG63" s="263"/>
      <c r="JH63" s="263"/>
      <c r="JI63" s="263"/>
    </row>
    <row r="64" spans="1:277" ht="45" x14ac:dyDescent="0.25">
      <c r="B64" s="246" t="s">
        <v>2576</v>
      </c>
      <c r="C64" s="314">
        <f>IF(C58=0,0,IF(C60&gt;=C61,-C58,-C58+(C61-C60)*C$30*1.34*12))</f>
        <v>0</v>
      </c>
      <c r="D64" s="314">
        <f t="shared" ref="D64:BP64" si="408">IF(D58=0,0,IF(D60&gt;=D61,-D58,-D58+(D61-D60)*D$30*1.34*12))</f>
        <v>0</v>
      </c>
      <c r="E64" s="314">
        <f t="shared" si="408"/>
        <v>0</v>
      </c>
      <c r="F64" s="314">
        <f t="shared" si="408"/>
        <v>0</v>
      </c>
      <c r="G64" s="314">
        <f t="shared" si="408"/>
        <v>0</v>
      </c>
      <c r="H64" s="314">
        <f t="shared" si="408"/>
        <v>0</v>
      </c>
      <c r="I64" s="314">
        <f t="shared" si="408"/>
        <v>0</v>
      </c>
      <c r="J64" s="314">
        <f t="shared" si="408"/>
        <v>0</v>
      </c>
      <c r="K64" s="314">
        <f t="shared" si="408"/>
        <v>0</v>
      </c>
      <c r="L64" s="314">
        <f t="shared" si="408"/>
        <v>25014.170743059833</v>
      </c>
      <c r="M64" s="314">
        <f t="shared" si="408"/>
        <v>0</v>
      </c>
      <c r="N64" s="314">
        <f>IF(N58=0,0,IF(N60&gt;=N61,-N58,-N58+(N61-N60)*N$30*1.34*12))</f>
        <v>892525.76594634692</v>
      </c>
      <c r="O64" s="314">
        <f t="shared" si="408"/>
        <v>0</v>
      </c>
      <c r="P64" s="314">
        <f t="shared" si="408"/>
        <v>0</v>
      </c>
      <c r="Q64" s="314">
        <f t="shared" si="408"/>
        <v>0</v>
      </c>
      <c r="R64" s="314">
        <f t="shared" si="408"/>
        <v>129565.51443209266</v>
      </c>
      <c r="S64" s="314">
        <f t="shared" si="408"/>
        <v>44857.72521024663</v>
      </c>
      <c r="T64" s="314">
        <f t="shared" si="408"/>
        <v>0</v>
      </c>
      <c r="U64" s="314">
        <f t="shared" si="408"/>
        <v>150043.73383276933</v>
      </c>
      <c r="V64" s="314">
        <f t="shared" si="408"/>
        <v>202720</v>
      </c>
      <c r="W64" s="314">
        <f t="shared" si="408"/>
        <v>0</v>
      </c>
      <c r="X64" s="314">
        <f t="shared" si="408"/>
        <v>0</v>
      </c>
      <c r="Y64" s="314">
        <f t="shared" si="408"/>
        <v>0</v>
      </c>
      <c r="Z64" s="314">
        <f t="shared" si="408"/>
        <v>0</v>
      </c>
      <c r="AA64" s="314">
        <f t="shared" si="408"/>
        <v>0</v>
      </c>
      <c r="AB64" s="314">
        <f t="shared" si="408"/>
        <v>171779.05599936657</v>
      </c>
      <c r="AC64" s="314">
        <f>(AC61-AC60)*1.34*AC30*4</f>
        <v>9496.4706246826499</v>
      </c>
      <c r="AD64" s="314">
        <f t="shared" si="408"/>
        <v>0</v>
      </c>
      <c r="AE64" s="314">
        <f t="shared" si="408"/>
        <v>0</v>
      </c>
      <c r="AF64" s="314">
        <f t="shared" si="408"/>
        <v>0</v>
      </c>
      <c r="AG64" s="314">
        <f t="shared" si="408"/>
        <v>207705.72605321131</v>
      </c>
      <c r="AH64" s="314">
        <f t="shared" si="408"/>
        <v>0</v>
      </c>
      <c r="AI64" s="314">
        <f t="shared" si="408"/>
        <v>0</v>
      </c>
      <c r="AJ64" s="314">
        <f t="shared" si="408"/>
        <v>0</v>
      </c>
      <c r="AK64" s="314">
        <f t="shared" si="408"/>
        <v>0</v>
      </c>
      <c r="AL64" s="314">
        <f t="shared" si="408"/>
        <v>0</v>
      </c>
      <c r="AM64" s="314">
        <f t="shared" si="408"/>
        <v>0</v>
      </c>
      <c r="AN64" s="314">
        <f>IF(AN58=0,0,IF(AN60&gt;=AN61,-AN58,-AN58+(AN61-AN60)*AN$30*1.34*12))</f>
        <v>248638.69405605283</v>
      </c>
      <c r="AO64" s="314">
        <f t="shared" si="408"/>
        <v>0</v>
      </c>
      <c r="AP64" s="314">
        <f t="shared" si="408"/>
        <v>78035</v>
      </c>
      <c r="AQ64" s="314">
        <f t="shared" si="408"/>
        <v>144484.07583762775</v>
      </c>
      <c r="AR64" s="314">
        <f t="shared" si="408"/>
        <v>0</v>
      </c>
      <c r="AS64" s="314">
        <f t="shared" si="408"/>
        <v>86589.113756441569</v>
      </c>
      <c r="AT64" s="314">
        <f>IF(AT58=0,0,IF(AT60&gt;=AT61,-AT58,-AT58+(AT61-AT60)*AT$30*1.34*12))</f>
        <v>557971.23839106609</v>
      </c>
      <c r="AU64" s="314">
        <f t="shared" si="408"/>
        <v>100330.65614401322</v>
      </c>
      <c r="AV64" s="314">
        <f t="shared" si="408"/>
        <v>0</v>
      </c>
      <c r="AW64" s="314">
        <f t="shared" si="408"/>
        <v>0</v>
      </c>
      <c r="AX64" s="314">
        <f t="shared" si="408"/>
        <v>608319.50278577686</v>
      </c>
      <c r="AY64" s="314">
        <f>IF(AY58=0,0,IF(AY60&gt;=AY61,-AY58,-AY58+(AY61-AY60)*AY$30*1.34*12))</f>
        <v>200733.15396575711</v>
      </c>
      <c r="AZ64" s="314">
        <f t="shared" si="408"/>
        <v>0</v>
      </c>
      <c r="BA64" s="314">
        <f t="shared" si="408"/>
        <v>0</v>
      </c>
      <c r="BB64" s="314">
        <f t="shared" si="408"/>
        <v>0</v>
      </c>
      <c r="BC64" s="314">
        <f t="shared" si="408"/>
        <v>0</v>
      </c>
      <c r="BD64" s="314">
        <f t="shared" si="408"/>
        <v>0</v>
      </c>
      <c r="BE64" s="314">
        <f t="shared" si="408"/>
        <v>0</v>
      </c>
      <c r="BF64" s="314">
        <f t="shared" si="408"/>
        <v>0</v>
      </c>
      <c r="BG64" s="314">
        <f t="shared" si="408"/>
        <v>0</v>
      </c>
      <c r="BH64" s="314">
        <f t="shared" si="408"/>
        <v>0</v>
      </c>
      <c r="BI64" s="314">
        <f t="shared" si="408"/>
        <v>0</v>
      </c>
      <c r="BJ64" s="314">
        <f t="shared" si="408"/>
        <v>117222.18345255457</v>
      </c>
      <c r="BK64" s="314">
        <f t="shared" si="408"/>
        <v>0</v>
      </c>
      <c r="BL64" s="314">
        <f t="shared" si="408"/>
        <v>0</v>
      </c>
      <c r="BM64" s="314">
        <f t="shared" si="408"/>
        <v>0</v>
      </c>
      <c r="BN64" s="314">
        <f t="shared" si="408"/>
        <v>0</v>
      </c>
      <c r="BO64" s="314">
        <f t="shared" si="408"/>
        <v>0</v>
      </c>
      <c r="BP64" s="314">
        <f t="shared" si="408"/>
        <v>0</v>
      </c>
      <c r="BQ64" s="314">
        <f t="shared" ref="BQ64:EB64" si="409">IF(BQ58=0,0,IF(BQ60&gt;=BQ61,-BQ58,-BQ58+(BQ61-BQ60)*BQ$30*1.34*12))</f>
        <v>0</v>
      </c>
      <c r="BR64" s="314">
        <f t="shared" si="409"/>
        <v>0</v>
      </c>
      <c r="BS64" s="314">
        <f t="shared" si="409"/>
        <v>203289.97956719733</v>
      </c>
      <c r="BT64" s="314">
        <f t="shared" si="409"/>
        <v>0</v>
      </c>
      <c r="BU64" s="314">
        <f t="shared" si="409"/>
        <v>642700.77050449979</v>
      </c>
      <c r="BV64" s="314">
        <f t="shared" si="409"/>
        <v>0</v>
      </c>
      <c r="BW64" s="314">
        <f t="shared" si="409"/>
        <v>253400.15994741418</v>
      </c>
      <c r="BX64" s="314">
        <f t="shared" si="409"/>
        <v>956416.06735488679</v>
      </c>
      <c r="BY64" s="314">
        <f t="shared" si="409"/>
        <v>184616.31126441457</v>
      </c>
      <c r="BZ64" s="314">
        <f t="shared" si="409"/>
        <v>225130.01244640414</v>
      </c>
      <c r="CA64" s="314">
        <f t="shared" si="409"/>
        <v>0</v>
      </c>
      <c r="CB64" s="314">
        <f t="shared" si="409"/>
        <v>372148.26152222144</v>
      </c>
      <c r="CC64" s="314">
        <f t="shared" si="409"/>
        <v>228041.75251266413</v>
      </c>
      <c r="CD64" s="314">
        <f t="shared" si="409"/>
        <v>75074.706077585899</v>
      </c>
      <c r="CE64" s="314">
        <f t="shared" si="409"/>
        <v>0</v>
      </c>
      <c r="CF64" s="314">
        <f t="shared" si="409"/>
        <v>0</v>
      </c>
      <c r="CG64" s="314">
        <f t="shared" si="409"/>
        <v>0</v>
      </c>
      <c r="CH64" s="314">
        <f t="shared" si="409"/>
        <v>0</v>
      </c>
      <c r="CI64" s="314">
        <f t="shared" si="409"/>
        <v>0</v>
      </c>
      <c r="CJ64" s="314">
        <f t="shared" si="409"/>
        <v>0</v>
      </c>
      <c r="CK64" s="314">
        <f t="shared" si="409"/>
        <v>0</v>
      </c>
      <c r="CL64" s="314">
        <f t="shared" si="409"/>
        <v>0</v>
      </c>
      <c r="CM64" s="314">
        <f t="shared" si="409"/>
        <v>0</v>
      </c>
      <c r="CN64" s="314">
        <f t="shared" si="409"/>
        <v>192152.05856648146</v>
      </c>
      <c r="CO64" s="314">
        <f t="shared" si="409"/>
        <v>149642.14584698994</v>
      </c>
      <c r="CP64" s="314">
        <f>IF(CP58=0,0,IF(CP60&gt;=CP61,-CP58,-CP58+(CP61-CP60)*CP$30*1.34*12))</f>
        <v>168949.86264729418</v>
      </c>
      <c r="CQ64" s="314">
        <f t="shared" si="409"/>
        <v>0</v>
      </c>
      <c r="CR64" s="314">
        <f t="shared" si="409"/>
        <v>0</v>
      </c>
      <c r="CS64" s="314">
        <f t="shared" si="409"/>
        <v>0</v>
      </c>
      <c r="CT64" s="314">
        <f t="shared" si="409"/>
        <v>0</v>
      </c>
      <c r="CU64" s="314">
        <f t="shared" si="409"/>
        <v>0</v>
      </c>
      <c r="CV64" s="314">
        <f t="shared" si="409"/>
        <v>0</v>
      </c>
      <c r="CW64" s="314">
        <f t="shared" si="409"/>
        <v>0</v>
      </c>
      <c r="CX64" s="314">
        <f t="shared" si="409"/>
        <v>0</v>
      </c>
      <c r="CY64" s="314">
        <f t="shared" si="409"/>
        <v>0</v>
      </c>
      <c r="CZ64" s="314">
        <f t="shared" si="409"/>
        <v>0</v>
      </c>
      <c r="DA64" s="314">
        <f t="shared" si="409"/>
        <v>0</v>
      </c>
      <c r="DB64" s="314">
        <f t="shared" si="409"/>
        <v>35650.987263949122</v>
      </c>
      <c r="DC64" s="314">
        <f t="shared" si="409"/>
        <v>0</v>
      </c>
      <c r="DD64" s="314">
        <f t="shared" si="409"/>
        <v>0</v>
      </c>
      <c r="DE64" s="314">
        <f t="shared" si="409"/>
        <v>0</v>
      </c>
      <c r="DF64" s="314">
        <f t="shared" si="409"/>
        <v>0</v>
      </c>
      <c r="DG64" s="314">
        <f t="shared" si="409"/>
        <v>0</v>
      </c>
      <c r="DH64" s="314">
        <f t="shared" si="409"/>
        <v>0</v>
      </c>
      <c r="DI64" s="314">
        <f t="shared" si="409"/>
        <v>0</v>
      </c>
      <c r="DJ64" s="314">
        <f t="shared" si="409"/>
        <v>0</v>
      </c>
      <c r="DK64" s="314">
        <f t="shared" si="409"/>
        <v>0</v>
      </c>
      <c r="DL64" s="314">
        <f>IF(DL58=0,0,IF(DL60&gt;=DL61,-DL58,-DL58+(DL61-DL60)*DL$30*1.34*12))</f>
        <v>1072302.966263033</v>
      </c>
      <c r="DM64" s="314">
        <f t="shared" si="409"/>
        <v>0</v>
      </c>
      <c r="DN64" s="314">
        <f t="shared" si="409"/>
        <v>0</v>
      </c>
      <c r="DO64" s="314">
        <f t="shared" si="409"/>
        <v>0</v>
      </c>
      <c r="DP64" s="314">
        <f t="shared" si="409"/>
        <v>187075.75400271686</v>
      </c>
      <c r="DQ64" s="314">
        <f t="shared" si="409"/>
        <v>0</v>
      </c>
      <c r="DR64" s="314">
        <f t="shared" si="409"/>
        <v>0</v>
      </c>
      <c r="DS64" s="314">
        <f t="shared" si="409"/>
        <v>0</v>
      </c>
      <c r="DT64" s="314">
        <f t="shared" si="409"/>
        <v>0</v>
      </c>
      <c r="DU64" s="314">
        <f t="shared" si="409"/>
        <v>0</v>
      </c>
      <c r="DV64" s="314">
        <f t="shared" si="409"/>
        <v>0</v>
      </c>
      <c r="DW64" s="314">
        <f t="shared" si="409"/>
        <v>0</v>
      </c>
      <c r="DX64" s="314">
        <f t="shared" si="409"/>
        <v>0</v>
      </c>
      <c r="DY64" s="314">
        <f t="shared" si="409"/>
        <v>0</v>
      </c>
      <c r="DZ64" s="314">
        <f t="shared" si="409"/>
        <v>0</v>
      </c>
      <c r="EA64" s="314">
        <f t="shared" si="409"/>
        <v>753468.16167598183</v>
      </c>
      <c r="EB64" s="314">
        <f t="shared" si="409"/>
        <v>0</v>
      </c>
      <c r="EC64" s="314">
        <f t="shared" ref="EC64:ES64" si="410">IF(EC58=0,0,IF(EC60&gt;=EC61,-EC58,-EC58+(EC61-EC60)*EC$30*1.34*12))</f>
        <v>316399.96774093417</v>
      </c>
      <c r="ED64" s="314">
        <f t="shared" si="410"/>
        <v>0</v>
      </c>
      <c r="EE64" s="314">
        <f t="shared" si="410"/>
        <v>0</v>
      </c>
      <c r="EF64" s="314">
        <f t="shared" si="410"/>
        <v>0</v>
      </c>
      <c r="EG64" s="314">
        <f t="shared" si="410"/>
        <v>21689.950144455062</v>
      </c>
      <c r="EH64" s="314">
        <f t="shared" si="410"/>
        <v>0</v>
      </c>
      <c r="EI64" s="314">
        <f t="shared" si="410"/>
        <v>0</v>
      </c>
      <c r="EJ64" s="314">
        <f t="shared" si="410"/>
        <v>0</v>
      </c>
      <c r="EK64" s="314">
        <f t="shared" si="410"/>
        <v>857560.91243154928</v>
      </c>
      <c r="EL64" s="314">
        <f t="shared" si="410"/>
        <v>0</v>
      </c>
      <c r="EM64" s="314">
        <f t="shared" si="410"/>
        <v>0</v>
      </c>
      <c r="EN64" s="314">
        <f>IF(EN58=0,0,IF(EN60&gt;=EN61,-EN58,-EN58+(EN61-EN60)*EN$30*1.34*12))</f>
        <v>274203.46278949443</v>
      </c>
      <c r="EO64" s="314">
        <f t="shared" si="410"/>
        <v>0</v>
      </c>
      <c r="EP64" s="314">
        <f t="shared" si="410"/>
        <v>0</v>
      </c>
      <c r="EQ64" s="314">
        <f t="shared" si="410"/>
        <v>565277.01416179189</v>
      </c>
      <c r="ER64" s="314">
        <f t="shared" si="410"/>
        <v>0</v>
      </c>
      <c r="ES64" s="314">
        <f t="shared" si="410"/>
        <v>2889369.4473401564</v>
      </c>
      <c r="ET64" s="314"/>
      <c r="EU64" s="314"/>
      <c r="EV64" s="314"/>
      <c r="EW64" s="314"/>
      <c r="EX64" s="314"/>
      <c r="EY64" s="314"/>
      <c r="EZ64" s="314"/>
      <c r="FA64" s="314"/>
      <c r="FB64" s="314"/>
      <c r="FC64" s="314"/>
      <c r="FD64" s="314"/>
      <c r="FE64" s="314"/>
      <c r="FF64" s="314"/>
      <c r="FG64" s="314"/>
      <c r="FH64" s="314"/>
      <c r="FI64" s="314"/>
      <c r="FJ64" s="314"/>
      <c r="FK64" s="314"/>
      <c r="FL64" s="314"/>
      <c r="FM64" s="314"/>
      <c r="FN64" s="314"/>
      <c r="FO64" s="314"/>
      <c r="FP64" s="314"/>
      <c r="FQ64" s="314"/>
      <c r="FR64" s="314"/>
      <c r="FS64" s="314"/>
      <c r="FT64" s="314"/>
      <c r="FU64" s="314"/>
      <c r="FV64" s="314"/>
      <c r="FW64" s="314"/>
      <c r="FX64" s="314"/>
      <c r="FY64" s="314"/>
      <c r="FZ64" s="314"/>
      <c r="GA64" s="314"/>
      <c r="GB64" s="314"/>
      <c r="GC64" s="314"/>
      <c r="GD64" s="314"/>
      <c r="GE64" s="314"/>
      <c r="GF64" s="314"/>
      <c r="GG64" s="314"/>
      <c r="GH64" s="314"/>
      <c r="GI64" s="314"/>
      <c r="GJ64" s="314"/>
      <c r="GK64" s="314"/>
      <c r="GL64" s="314"/>
      <c r="GM64" s="314"/>
      <c r="GN64" s="314"/>
      <c r="GO64" s="314"/>
      <c r="GP64" s="314"/>
      <c r="GQ64" s="314"/>
      <c r="GR64" s="314"/>
      <c r="GS64" s="314"/>
      <c r="GT64" s="314"/>
      <c r="GU64" s="314"/>
      <c r="GV64" s="314"/>
      <c r="GW64" s="314"/>
      <c r="GX64" s="314"/>
      <c r="GY64" s="314"/>
      <c r="GZ64" s="314"/>
      <c r="HA64" s="314"/>
      <c r="HB64" s="314"/>
      <c r="HC64" s="314"/>
      <c r="HD64" s="314"/>
      <c r="HE64" s="314"/>
      <c r="HF64" s="314"/>
      <c r="HG64" s="314"/>
      <c r="HH64" s="314"/>
      <c r="HI64" s="314"/>
      <c r="HJ64" s="314"/>
      <c r="HK64" s="314"/>
      <c r="HL64" s="314"/>
      <c r="HM64" s="314"/>
      <c r="HN64" s="314"/>
      <c r="HO64" s="314"/>
      <c r="HP64" s="314"/>
      <c r="HQ64" s="314"/>
      <c r="HR64" s="314"/>
      <c r="HS64" s="314"/>
      <c r="HT64" s="314"/>
      <c r="HU64" s="314"/>
      <c r="HV64" s="314"/>
      <c r="HW64" s="314"/>
      <c r="HX64" s="314"/>
      <c r="HY64" s="314"/>
      <c r="HZ64" s="314"/>
      <c r="IA64" s="314"/>
      <c r="IB64" s="314"/>
      <c r="IC64" s="314"/>
      <c r="ID64" s="314"/>
      <c r="IE64" s="314"/>
      <c r="IF64" s="314"/>
      <c r="IG64" s="314"/>
      <c r="IH64" s="314"/>
      <c r="II64" s="314"/>
      <c r="IJ64" s="314"/>
      <c r="IK64" s="314"/>
      <c r="IL64" s="314"/>
      <c r="IM64" s="314"/>
      <c r="IN64" s="314"/>
      <c r="IO64" s="314"/>
      <c r="IP64" s="314"/>
      <c r="IQ64" s="314"/>
      <c r="IR64" s="314"/>
      <c r="IS64" s="314"/>
      <c r="IT64" s="314"/>
      <c r="IU64" s="314"/>
      <c r="IV64" s="314"/>
      <c r="IW64" s="314"/>
      <c r="IX64" s="314"/>
      <c r="IY64" s="314"/>
      <c r="IZ64" s="314"/>
      <c r="JA64" s="314"/>
      <c r="JB64" s="314"/>
      <c r="JC64" s="314"/>
      <c r="JD64" s="314"/>
      <c r="JE64" s="314"/>
      <c r="JF64" s="314"/>
      <c r="JG64" s="314"/>
      <c r="JH64" s="314"/>
      <c r="JI64" s="314"/>
      <c r="JL64" s="307">
        <f t="shared" ref="JL64:JO65" si="411">SUMIFS($C64:$JH64,$C$5:$JH$5,JL$5)</f>
        <v>0</v>
      </c>
      <c r="JM64" s="307">
        <f t="shared" si="411"/>
        <v>14600592.493303182</v>
      </c>
      <c r="JN64" s="307">
        <f t="shared" si="411"/>
        <v>0</v>
      </c>
      <c r="JO64" s="307">
        <f t="shared" si="411"/>
        <v>0</v>
      </c>
      <c r="JP64" s="307">
        <f t="shared" ref="JP64:JP65" si="412">SUM(JL64:JO64)</f>
        <v>14600592.493303182</v>
      </c>
    </row>
    <row r="65" spans="1:276" x14ac:dyDescent="0.25">
      <c r="A65" s="554"/>
      <c r="B65" s="478" t="s">
        <v>2577</v>
      </c>
      <c r="C65" s="506">
        <f>C51+C64</f>
        <v>9246049.1510793846</v>
      </c>
      <c r="D65" s="506">
        <f t="shared" ref="D65:BP65" si="413">D51+D64</f>
        <v>8080000</v>
      </c>
      <c r="E65" s="506">
        <f t="shared" si="413"/>
        <v>8707194.8468445688</v>
      </c>
      <c r="F65" s="506">
        <f t="shared" si="413"/>
        <v>3616884.7088353573</v>
      </c>
      <c r="G65" s="506">
        <f t="shared" si="413"/>
        <v>10328003.127290595</v>
      </c>
      <c r="H65" s="506">
        <f t="shared" si="413"/>
        <v>0</v>
      </c>
      <c r="I65" s="506">
        <f t="shared" si="413"/>
        <v>0</v>
      </c>
      <c r="J65" s="506">
        <f t="shared" si="413"/>
        <v>126485.23608403429</v>
      </c>
      <c r="K65" s="356">
        <f>K51+K64+(-K66)</f>
        <v>6393271.2513013156</v>
      </c>
      <c r="L65" s="506">
        <f t="shared" si="413"/>
        <v>3774970</v>
      </c>
      <c r="M65" s="506">
        <f t="shared" si="413"/>
        <v>3667775.238895766</v>
      </c>
      <c r="N65" s="506">
        <f t="shared" si="413"/>
        <v>5360828.6030266704</v>
      </c>
      <c r="O65" s="356">
        <f>O51+O64+(-O66)</f>
        <v>4448411.4210138666</v>
      </c>
      <c r="P65" s="506">
        <f t="shared" si="413"/>
        <v>2570026.0021816893</v>
      </c>
      <c r="Q65" s="506">
        <f t="shared" si="413"/>
        <v>1836488.4791010155</v>
      </c>
      <c r="R65" s="506">
        <f t="shared" si="413"/>
        <v>2124718.1</v>
      </c>
      <c r="S65" s="506">
        <f t="shared" si="413"/>
        <v>1637152.8</v>
      </c>
      <c r="T65" s="506">
        <f t="shared" si="413"/>
        <v>622773.51077815378</v>
      </c>
      <c r="U65" s="506">
        <f t="shared" si="413"/>
        <v>1099204</v>
      </c>
      <c r="V65" s="506">
        <f t="shared" si="413"/>
        <v>9233620</v>
      </c>
      <c r="W65" s="506">
        <f t="shared" si="413"/>
        <v>2379600</v>
      </c>
      <c r="X65" s="356">
        <f>X51+X64+(-X66)</f>
        <v>2304335.8095085779</v>
      </c>
      <c r="Y65" s="506">
        <f t="shared" si="413"/>
        <v>1969745.4492107111</v>
      </c>
      <c r="Z65" s="506">
        <f t="shared" si="413"/>
        <v>7441924</v>
      </c>
      <c r="AA65" s="356">
        <f>AA51+AA64+(-AA66)</f>
        <v>4244705.4490248738</v>
      </c>
      <c r="AB65" s="356">
        <f>AB51+AB64+(-AB66)</f>
        <v>3678130.7057224135</v>
      </c>
      <c r="AC65" s="506">
        <f t="shared" si="413"/>
        <v>481158.31194833241</v>
      </c>
      <c r="AD65" s="356">
        <f>AD51+AD64+(-AD66)</f>
        <v>2590229.1206235653</v>
      </c>
      <c r="AE65" s="506">
        <f t="shared" si="413"/>
        <v>103737.52589894389</v>
      </c>
      <c r="AF65" s="506">
        <f t="shared" si="413"/>
        <v>1219244.9295379582</v>
      </c>
      <c r="AG65" s="356">
        <f>AG51+AG64+(-AG66)</f>
        <v>3450812.7548698969</v>
      </c>
      <c r="AH65" s="506">
        <f t="shared" si="413"/>
        <v>807300</v>
      </c>
      <c r="AI65" s="506">
        <f t="shared" si="413"/>
        <v>4368180</v>
      </c>
      <c r="AJ65" s="506">
        <f t="shared" si="413"/>
        <v>2788040</v>
      </c>
      <c r="AK65" s="506">
        <f t="shared" si="413"/>
        <v>1383868</v>
      </c>
      <c r="AL65" s="506">
        <f t="shared" si="413"/>
        <v>1952909.1633510776</v>
      </c>
      <c r="AM65" s="506">
        <f t="shared" si="413"/>
        <v>1499708.3726341231</v>
      </c>
      <c r="AN65" s="506">
        <f t="shared" si="413"/>
        <v>1148955.198498779</v>
      </c>
      <c r="AO65" s="356">
        <f>AO51+AO64+(-AO66)</f>
        <v>4903755.5596356187</v>
      </c>
      <c r="AP65" s="356">
        <f>AP51+AP64+AP66</f>
        <v>2124765.1162296012</v>
      </c>
      <c r="AQ65" s="356">
        <f>AQ51+AQ64+(-AQ66)</f>
        <v>688702.88446015073</v>
      </c>
      <c r="AR65" s="506">
        <f t="shared" si="413"/>
        <v>1531740.3992508459</v>
      </c>
      <c r="AS65" s="506">
        <f t="shared" si="413"/>
        <v>495253.22022333386</v>
      </c>
      <c r="AT65" s="506">
        <f>AT51+AT64</f>
        <v>2498113.4323683418</v>
      </c>
      <c r="AU65" s="506">
        <f>AU51+AU64</f>
        <v>992216.93946642126</v>
      </c>
      <c r="AV65" s="506">
        <f t="shared" si="413"/>
        <v>2003660.6772952261</v>
      </c>
      <c r="AW65" s="506">
        <f t="shared" si="413"/>
        <v>16112.012350120116</v>
      </c>
      <c r="AX65" s="506">
        <f t="shared" si="413"/>
        <v>3240135.311080751</v>
      </c>
      <c r="AY65" s="356">
        <f>AY51+AY64+(-AY66)</f>
        <v>3300190.5406568907</v>
      </c>
      <c r="AZ65" s="506">
        <f t="shared" si="413"/>
        <v>3434507</v>
      </c>
      <c r="BA65" s="506">
        <f t="shared" si="413"/>
        <v>9913000</v>
      </c>
      <c r="BB65" s="356">
        <f>BB51+BB64+(-BB66)</f>
        <v>1329742.5807072239</v>
      </c>
      <c r="BC65" s="506">
        <f t="shared" si="413"/>
        <v>1223742.4938025323</v>
      </c>
      <c r="BD65" s="356">
        <f>BD51+BD64+(-BD66)</f>
        <v>1916258.3325785431</v>
      </c>
      <c r="BE65" s="506">
        <f t="shared" si="413"/>
        <v>0</v>
      </c>
      <c r="BF65" s="506">
        <f t="shared" si="413"/>
        <v>2669371.3941904306</v>
      </c>
      <c r="BG65" s="506">
        <f t="shared" si="413"/>
        <v>3342000</v>
      </c>
      <c r="BH65" s="506">
        <f t="shared" si="413"/>
        <v>3388109.2415605099</v>
      </c>
      <c r="BI65" s="506">
        <f t="shared" si="413"/>
        <v>2370000</v>
      </c>
      <c r="BJ65" s="506">
        <f t="shared" si="413"/>
        <v>2734458.8535647267</v>
      </c>
      <c r="BK65" s="356">
        <f>BK51+BK64+(-BK66)</f>
        <v>185490.09231459786</v>
      </c>
      <c r="BL65" s="506">
        <f t="shared" si="413"/>
        <v>455138.49500087276</v>
      </c>
      <c r="BM65" s="506">
        <f t="shared" si="413"/>
        <v>2033799.04</v>
      </c>
      <c r="BN65" s="356">
        <f>BN51+BN64+(-BN66)</f>
        <v>1657101.9931537434</v>
      </c>
      <c r="BO65" s="356">
        <f>BO51+BO64+(-BO66)</f>
        <v>1051279.6524752458</v>
      </c>
      <c r="BP65" s="506">
        <f t="shared" si="413"/>
        <v>4652080</v>
      </c>
      <c r="BQ65" s="356">
        <f>BQ51+BQ64+(-BQ66)</f>
        <v>66564.165662464104</v>
      </c>
      <c r="BR65" s="356">
        <f>BR51+BR64+(-BR66)</f>
        <v>1288942.0242748552</v>
      </c>
      <c r="BS65" s="506">
        <f t="shared" ref="BS65:EB65" si="414">BS51+BS64</f>
        <v>1310282.2989678741</v>
      </c>
      <c r="BT65" s="506">
        <f t="shared" si="414"/>
        <v>914160.26616723067</v>
      </c>
      <c r="BU65" s="506">
        <f t="shared" si="414"/>
        <v>3939338</v>
      </c>
      <c r="BV65" s="356">
        <f>BV51+BV64+(-BV66)</f>
        <v>1177908.0353182531</v>
      </c>
      <c r="BW65" s="506">
        <f t="shared" si="414"/>
        <v>532683</v>
      </c>
      <c r="BX65" s="506">
        <f t="shared" si="414"/>
        <v>4708889.1910633538</v>
      </c>
      <c r="BY65" s="506">
        <f t="shared" si="414"/>
        <v>1520144</v>
      </c>
      <c r="BZ65" s="506">
        <f t="shared" si="414"/>
        <v>324150</v>
      </c>
      <c r="CA65" s="506">
        <f t="shared" si="414"/>
        <v>0</v>
      </c>
      <c r="CB65" s="506">
        <f t="shared" si="414"/>
        <v>571519.10142146726</v>
      </c>
      <c r="CC65" s="506">
        <f t="shared" si="414"/>
        <v>2238055.6625416637</v>
      </c>
      <c r="CD65" s="506">
        <f t="shared" si="414"/>
        <v>661848.21685573971</v>
      </c>
      <c r="CE65" s="506">
        <f t="shared" si="414"/>
        <v>9715050.1253167707</v>
      </c>
      <c r="CF65" s="506">
        <f t="shared" si="414"/>
        <v>4453617.8393289512</v>
      </c>
      <c r="CG65" s="506">
        <f t="shared" si="414"/>
        <v>231159.49607044645</v>
      </c>
      <c r="CH65" s="506">
        <f t="shared" si="414"/>
        <v>0</v>
      </c>
      <c r="CI65" s="506">
        <f t="shared" si="414"/>
        <v>21633.155796868727</v>
      </c>
      <c r="CJ65" s="506">
        <f t="shared" si="414"/>
        <v>3854195.0818283353</v>
      </c>
      <c r="CK65" s="506">
        <f t="shared" si="414"/>
        <v>4571780</v>
      </c>
      <c r="CL65" s="506">
        <f t="shared" si="414"/>
        <v>56438.59728209069</v>
      </c>
      <c r="CM65" s="506">
        <f t="shared" si="414"/>
        <v>6012336.4399863137</v>
      </c>
      <c r="CN65" s="506">
        <f t="shared" si="414"/>
        <v>1342009.9127194914</v>
      </c>
      <c r="CO65" s="506">
        <f t="shared" si="414"/>
        <v>1214500</v>
      </c>
      <c r="CP65" s="506">
        <f t="shared" si="414"/>
        <v>1268807.7168003041</v>
      </c>
      <c r="CQ65" s="506">
        <f t="shared" si="414"/>
        <v>5515036.573718125</v>
      </c>
      <c r="CR65" s="506">
        <f t="shared" si="414"/>
        <v>2367817</v>
      </c>
      <c r="CS65" s="506">
        <f t="shared" si="414"/>
        <v>187555.67419309285</v>
      </c>
      <c r="CT65" s="506">
        <f t="shared" si="414"/>
        <v>0</v>
      </c>
      <c r="CU65" s="506">
        <f t="shared" si="414"/>
        <v>1974027.6887355854</v>
      </c>
      <c r="CV65" s="356">
        <f>CV51+CV64+(-CV66)</f>
        <v>5829564.9151897766</v>
      </c>
      <c r="CW65" s="506">
        <f t="shared" si="414"/>
        <v>445664.10646689229</v>
      </c>
      <c r="CX65" s="506">
        <f t="shared" si="414"/>
        <v>3686532</v>
      </c>
      <c r="CY65" s="506">
        <f t="shared" si="414"/>
        <v>2881083.2839012085</v>
      </c>
      <c r="CZ65" s="506">
        <f t="shared" si="414"/>
        <v>446100</v>
      </c>
      <c r="DA65" s="506">
        <f t="shared" si="414"/>
        <v>8578781.7210858986</v>
      </c>
      <c r="DB65" s="356">
        <f>DB51+DB64+(-DB66)</f>
        <v>801256.55127554876</v>
      </c>
      <c r="DC65" s="356">
        <f>DC51+DC64+(-DC66)</f>
        <v>1952214.4635382525</v>
      </c>
      <c r="DD65" s="356">
        <f>DD51+DD64+(-DD66)</f>
        <v>428740.05018450413</v>
      </c>
      <c r="DE65" s="506">
        <f t="shared" si="414"/>
        <v>1595404.8713862468</v>
      </c>
      <c r="DF65" s="506">
        <f t="shared" si="414"/>
        <v>7381996.8713862468</v>
      </c>
      <c r="DG65" s="506">
        <f t="shared" si="414"/>
        <v>802938.16515118408</v>
      </c>
      <c r="DH65" s="506">
        <f t="shared" si="414"/>
        <v>908244.44020215096</v>
      </c>
      <c r="DI65" s="506">
        <f t="shared" si="414"/>
        <v>0</v>
      </c>
      <c r="DJ65" s="506">
        <f t="shared" si="414"/>
        <v>65990.976314039901</v>
      </c>
      <c r="DK65" s="356">
        <f>DK51+DK64+(-DK66)</f>
        <v>224452.83531246078</v>
      </c>
      <c r="DL65" s="506">
        <f t="shared" si="414"/>
        <v>4094296.2218004535</v>
      </c>
      <c r="DM65" s="356">
        <f>DM51+DM64+(-DM66)</f>
        <v>1966503.0838138557</v>
      </c>
      <c r="DN65" s="356">
        <f>DN51+DN64+(-DN66)</f>
        <v>4052035.7644601618</v>
      </c>
      <c r="DO65" s="506">
        <f t="shared" si="414"/>
        <v>1402300.3922101089</v>
      </c>
      <c r="DP65" s="506">
        <f t="shared" si="414"/>
        <v>4045363.78</v>
      </c>
      <c r="DQ65" s="506">
        <f t="shared" si="414"/>
        <v>4329795</v>
      </c>
      <c r="DR65" s="506">
        <f t="shared" si="414"/>
        <v>4985313.5</v>
      </c>
      <c r="DS65" s="506">
        <f t="shared" si="414"/>
        <v>1625552.2365860054</v>
      </c>
      <c r="DT65" s="356">
        <f>DT51+DT64+(-DT66)</f>
        <v>3379864.0513730422</v>
      </c>
      <c r="DU65" s="356">
        <f>DU51+DU64+(-DU66)</f>
        <v>35402.15315866132</v>
      </c>
      <c r="DV65" s="506">
        <f t="shared" si="414"/>
        <v>6440000</v>
      </c>
      <c r="DW65" s="356">
        <f>DW51+DW64+(-DW66)</f>
        <v>368896.922364717</v>
      </c>
      <c r="DX65" s="506">
        <f t="shared" si="414"/>
        <v>0</v>
      </c>
      <c r="DY65" s="506">
        <f t="shared" si="414"/>
        <v>4581142.7504826486</v>
      </c>
      <c r="DZ65" s="506">
        <f t="shared" si="414"/>
        <v>723925.6888148766</v>
      </c>
      <c r="EA65" s="506">
        <f t="shared" si="414"/>
        <v>4141440.9263814236</v>
      </c>
      <c r="EB65" s="506">
        <f t="shared" si="414"/>
        <v>5751412.8583436497</v>
      </c>
      <c r="EC65" s="506">
        <f t="shared" ref="EC65:GN65" si="415">EC51+EC64</f>
        <v>3507637.7512384658</v>
      </c>
      <c r="ED65" s="356">
        <f>ED51+ED64+(-ED66)</f>
        <v>3789855.4215401057</v>
      </c>
      <c r="EE65" s="356">
        <f>EE51+EE64+(-EE66)</f>
        <v>750052.03204477963</v>
      </c>
      <c r="EF65" s="356">
        <f>EF51+EF64+(-EF66)</f>
        <v>886973.84315981728</v>
      </c>
      <c r="EG65" s="506">
        <f t="shared" si="415"/>
        <v>440614.21022333385</v>
      </c>
      <c r="EH65" s="356">
        <f>EH51+EH64+(-EH66)</f>
        <v>766109.30758974701</v>
      </c>
      <c r="EI65" s="506">
        <f t="shared" si="415"/>
        <v>1178000</v>
      </c>
      <c r="EJ65" s="506">
        <f t="shared" si="415"/>
        <v>0</v>
      </c>
      <c r="EK65" s="506">
        <f t="shared" si="415"/>
        <v>3932042</v>
      </c>
      <c r="EL65" s="356">
        <f>EL51+EL64+(-EL66)</f>
        <v>8896075.9201217424</v>
      </c>
      <c r="EM65" s="506">
        <f t="shared" si="415"/>
        <v>2817690.3194428757</v>
      </c>
      <c r="EN65" s="506">
        <f t="shared" si="415"/>
        <v>2639613.8452645098</v>
      </c>
      <c r="EO65" s="356">
        <f>EO51+EO64+(-EO66)</f>
        <v>326536.14681555587</v>
      </c>
      <c r="EP65" s="356">
        <f>EP51+EP64+(-EP66)</f>
        <v>3336103.6776025575</v>
      </c>
      <c r="EQ65" s="506">
        <f t="shared" si="415"/>
        <v>2318152.5044244276</v>
      </c>
      <c r="ER65" s="506">
        <f t="shared" si="415"/>
        <v>6886000</v>
      </c>
      <c r="ES65" s="506">
        <f t="shared" si="415"/>
        <v>2889369.4473401564</v>
      </c>
      <c r="ET65" s="506">
        <f t="shared" si="415"/>
        <v>1009463.051162631</v>
      </c>
      <c r="EU65" s="506">
        <f t="shared" si="415"/>
        <v>2855783.9144364195</v>
      </c>
      <c r="EV65" s="506">
        <f t="shared" si="415"/>
        <v>477773.51077815378</v>
      </c>
      <c r="EW65" s="506">
        <f t="shared" si="415"/>
        <v>2713993.2555374205</v>
      </c>
      <c r="EX65" s="506">
        <f t="shared" si="415"/>
        <v>6400000</v>
      </c>
      <c r="EY65" s="506">
        <f t="shared" si="415"/>
        <v>2210257.3620478925</v>
      </c>
      <c r="EZ65" s="506">
        <f t="shared" si="415"/>
        <v>0</v>
      </c>
      <c r="FA65" s="506">
        <f t="shared" si="415"/>
        <v>1647298.424768026</v>
      </c>
      <c r="FB65" s="506">
        <f t="shared" si="415"/>
        <v>265664.49062636285</v>
      </c>
      <c r="FC65" s="506">
        <f t="shared" si="415"/>
        <v>3419615.4215486925</v>
      </c>
      <c r="FD65" s="506">
        <f t="shared" si="415"/>
        <v>0</v>
      </c>
      <c r="FE65" s="506">
        <f t="shared" si="415"/>
        <v>381240.58884631132</v>
      </c>
      <c r="FF65" s="506">
        <f t="shared" si="415"/>
        <v>1561200</v>
      </c>
      <c r="FG65" s="506">
        <f t="shared" si="415"/>
        <v>7803422.0195525251</v>
      </c>
      <c r="FH65" s="506">
        <f t="shared" si="415"/>
        <v>6553103</v>
      </c>
      <c r="FI65" s="506">
        <f t="shared" si="415"/>
        <v>8710000</v>
      </c>
      <c r="FJ65" s="506">
        <f t="shared" si="415"/>
        <v>2048857</v>
      </c>
      <c r="FK65" s="506">
        <f t="shared" si="415"/>
        <v>329983.22672073392</v>
      </c>
      <c r="FL65" s="506">
        <f t="shared" si="415"/>
        <v>703612.78406076948</v>
      </c>
      <c r="FM65" s="506">
        <f t="shared" si="415"/>
        <v>3934590.6565853953</v>
      </c>
      <c r="FN65" s="506">
        <f t="shared" si="415"/>
        <v>7374936.4799554544</v>
      </c>
      <c r="FO65" s="506">
        <f t="shared" si="415"/>
        <v>1788495</v>
      </c>
      <c r="FP65" s="506">
        <f t="shared" si="415"/>
        <v>13683456</v>
      </c>
      <c r="FQ65" s="506">
        <f t="shared" si="415"/>
        <v>2074686</v>
      </c>
      <c r="FR65" s="506">
        <f t="shared" si="415"/>
        <v>236957.19834991742</v>
      </c>
      <c r="FS65" s="506">
        <f t="shared" si="415"/>
        <v>494433</v>
      </c>
      <c r="FT65" s="506">
        <f t="shared" si="415"/>
        <v>3631470.1663162932</v>
      </c>
      <c r="FU65" s="506">
        <f t="shared" si="415"/>
        <v>513699</v>
      </c>
      <c r="FV65" s="506">
        <f t="shared" si="415"/>
        <v>646327.31987489713</v>
      </c>
      <c r="FW65" s="506">
        <f t="shared" si="415"/>
        <v>1483179</v>
      </c>
      <c r="FX65" s="506">
        <f t="shared" si="415"/>
        <v>585795.82000000007</v>
      </c>
      <c r="FY65" s="506">
        <f t="shared" si="415"/>
        <v>336810</v>
      </c>
      <c r="FZ65" s="506">
        <f t="shared" si="415"/>
        <v>2937555.0490599889</v>
      </c>
      <c r="GA65" s="506">
        <f t="shared" si="415"/>
        <v>281420.48958755797</v>
      </c>
      <c r="GB65" s="506">
        <f t="shared" si="415"/>
        <v>2917014.4862977713</v>
      </c>
      <c r="GC65" s="506">
        <f t="shared" si="415"/>
        <v>2565300.1421770533</v>
      </c>
      <c r="GD65" s="506">
        <f t="shared" si="415"/>
        <v>9906649.8884656765</v>
      </c>
      <c r="GE65" s="506">
        <f t="shared" si="415"/>
        <v>263290.93400108395</v>
      </c>
      <c r="GF65" s="506">
        <f t="shared" si="415"/>
        <v>4128600.1778761428</v>
      </c>
      <c r="GG65" s="506">
        <f t="shared" si="415"/>
        <v>1235672.3627191633</v>
      </c>
      <c r="GH65" s="506">
        <f t="shared" si="415"/>
        <v>1220741.4312772285</v>
      </c>
      <c r="GI65" s="506">
        <f t="shared" si="415"/>
        <v>8873249.0869674683</v>
      </c>
      <c r="GJ65" s="506">
        <f t="shared" si="415"/>
        <v>2244910</v>
      </c>
      <c r="GK65" s="506">
        <f t="shared" si="415"/>
        <v>1545953</v>
      </c>
      <c r="GL65" s="506">
        <f t="shared" si="415"/>
        <v>595846</v>
      </c>
      <c r="GM65" s="506">
        <f t="shared" si="415"/>
        <v>857634</v>
      </c>
      <c r="GN65" s="506">
        <f t="shared" si="415"/>
        <v>950602.34</v>
      </c>
      <c r="GO65" s="506">
        <f t="shared" ref="GO65:IZ65" si="416">GO51+GO64</f>
        <v>5215641</v>
      </c>
      <c r="GP65" s="506">
        <f t="shared" si="416"/>
        <v>546320.06174100889</v>
      </c>
      <c r="GQ65" s="506">
        <f t="shared" si="416"/>
        <v>699796</v>
      </c>
      <c r="GR65" s="506">
        <f t="shared" si="416"/>
        <v>727124.60565148341</v>
      </c>
      <c r="GS65" s="506">
        <f t="shared" si="416"/>
        <v>113648.04672073387</v>
      </c>
      <c r="GT65" s="506">
        <f t="shared" si="416"/>
        <v>9374987.532092277</v>
      </c>
      <c r="GU65" s="506">
        <f t="shared" si="416"/>
        <v>1124440</v>
      </c>
      <c r="GV65" s="506">
        <f t="shared" si="416"/>
        <v>5826176.6456662463</v>
      </c>
      <c r="GW65" s="506">
        <f t="shared" si="416"/>
        <v>1048163.6277687103</v>
      </c>
      <c r="GX65" s="506">
        <f t="shared" si="416"/>
        <v>342955.48977144714</v>
      </c>
      <c r="GY65" s="506">
        <f t="shared" si="416"/>
        <v>13503975</v>
      </c>
      <c r="GZ65" s="506">
        <f t="shared" si="416"/>
        <v>0</v>
      </c>
      <c r="HA65" s="506">
        <f t="shared" si="416"/>
        <v>5787297.7336099232</v>
      </c>
      <c r="HB65" s="506">
        <f t="shared" si="416"/>
        <v>2721504.0990156494</v>
      </c>
      <c r="HC65" s="506">
        <f t="shared" si="416"/>
        <v>6593000</v>
      </c>
      <c r="HD65" s="506">
        <f t="shared" si="416"/>
        <v>2094993.1421770533</v>
      </c>
      <c r="HE65" s="506">
        <f t="shared" si="416"/>
        <v>6790355</v>
      </c>
      <c r="HF65" s="506">
        <f t="shared" si="416"/>
        <v>1122650</v>
      </c>
      <c r="HG65" s="506">
        <f t="shared" si="416"/>
        <v>663237.36</v>
      </c>
      <c r="HH65" s="506">
        <f t="shared" si="416"/>
        <v>2034520.6688166854</v>
      </c>
      <c r="HI65" s="506">
        <f t="shared" si="416"/>
        <v>2365686.3688977864</v>
      </c>
      <c r="HJ65" s="506">
        <f t="shared" si="416"/>
        <v>0</v>
      </c>
      <c r="HK65" s="506">
        <f t="shared" si="416"/>
        <v>209300</v>
      </c>
      <c r="HL65" s="506">
        <f t="shared" si="416"/>
        <v>30761693.812790565</v>
      </c>
      <c r="HM65" s="506">
        <f t="shared" si="416"/>
        <v>17375619.107148226</v>
      </c>
      <c r="HN65" s="506">
        <f t="shared" si="416"/>
        <v>0</v>
      </c>
      <c r="HO65" s="506">
        <f t="shared" si="416"/>
        <v>0</v>
      </c>
      <c r="HP65" s="506">
        <f t="shared" si="416"/>
        <v>24549000</v>
      </c>
      <c r="HQ65" s="506">
        <f t="shared" si="416"/>
        <v>741876.88410925679</v>
      </c>
      <c r="HR65" s="506">
        <f t="shared" si="416"/>
        <v>26307120.308611114</v>
      </c>
      <c r="HS65" s="506">
        <f t="shared" si="416"/>
        <v>5169783.9315081565</v>
      </c>
      <c r="HT65" s="506">
        <f t="shared" si="416"/>
        <v>11933469.590470783</v>
      </c>
      <c r="HU65" s="506">
        <f t="shared" si="416"/>
        <v>21402219.005208258</v>
      </c>
      <c r="HV65" s="506">
        <f t="shared" si="416"/>
        <v>16235000</v>
      </c>
      <c r="HW65" s="506">
        <f t="shared" si="416"/>
        <v>3919370.5898645641</v>
      </c>
      <c r="HX65" s="506">
        <f t="shared" si="416"/>
        <v>18161270.751516331</v>
      </c>
      <c r="HY65" s="506">
        <f t="shared" si="416"/>
        <v>13682282.173444685</v>
      </c>
      <c r="HZ65" s="506">
        <f t="shared" si="416"/>
        <v>8152004.9776938297</v>
      </c>
      <c r="IA65" s="506">
        <f t="shared" si="416"/>
        <v>7301880</v>
      </c>
      <c r="IB65" s="506">
        <f t="shared" si="416"/>
        <v>7053113.9004964307</v>
      </c>
      <c r="IC65" s="506">
        <f t="shared" si="416"/>
        <v>10674008.544329325</v>
      </c>
      <c r="ID65" s="506">
        <f t="shared" si="416"/>
        <v>9245491.4556706771</v>
      </c>
      <c r="IE65" s="506">
        <f t="shared" si="416"/>
        <v>16339059.517665572</v>
      </c>
      <c r="IF65" s="506">
        <f t="shared" si="416"/>
        <v>9536477.0290661398</v>
      </c>
      <c r="IG65" s="506">
        <f t="shared" si="416"/>
        <v>2933375.6317034722</v>
      </c>
      <c r="IH65" s="506">
        <f t="shared" si="416"/>
        <v>2754925.3965619346</v>
      </c>
      <c r="II65" s="506">
        <f t="shared" si="416"/>
        <v>13600590.884602016</v>
      </c>
      <c r="IJ65" s="506">
        <f t="shared" si="416"/>
        <v>1498802.9614382302</v>
      </c>
      <c r="IK65" s="506">
        <f t="shared" si="416"/>
        <v>0</v>
      </c>
      <c r="IL65" s="506">
        <f t="shared" si="416"/>
        <v>7452880.700098794</v>
      </c>
      <c r="IM65" s="506">
        <f t="shared" si="416"/>
        <v>405690.41450255323</v>
      </c>
      <c r="IN65" s="506">
        <f t="shared" si="416"/>
        <v>7727035.4094753135</v>
      </c>
      <c r="IO65" s="506">
        <f t="shared" si="416"/>
        <v>2937234.2027475811</v>
      </c>
      <c r="IP65" s="506">
        <f t="shared" si="416"/>
        <v>15898527.177580558</v>
      </c>
      <c r="IQ65" s="506">
        <f t="shared" si="416"/>
        <v>15277805.971261885</v>
      </c>
      <c r="IR65" s="506">
        <f t="shared" si="416"/>
        <v>724453.92066790513</v>
      </c>
      <c r="IS65" s="506">
        <f t="shared" si="416"/>
        <v>39300970.247079559</v>
      </c>
      <c r="IT65" s="506">
        <f t="shared" si="416"/>
        <v>10200629.752920441</v>
      </c>
      <c r="IU65" s="506">
        <f t="shared" si="416"/>
        <v>2493818.6416824842</v>
      </c>
      <c r="IV65" s="506">
        <f t="shared" si="416"/>
        <v>6028974.6999564655</v>
      </c>
      <c r="IW65" s="506">
        <f t="shared" si="416"/>
        <v>9603217.8554380648</v>
      </c>
      <c r="IX65" s="506">
        <f t="shared" si="416"/>
        <v>1461297.0388339385</v>
      </c>
      <c r="IY65" s="506">
        <f t="shared" si="416"/>
        <v>9038417.5244776495</v>
      </c>
      <c r="IZ65" s="506">
        <f t="shared" si="416"/>
        <v>20084142.981107548</v>
      </c>
      <c r="JA65" s="506">
        <f t="shared" ref="JA65:JH65" si="417">JA51+JA64</f>
        <v>2265868.3397293384</v>
      </c>
      <c r="JB65" s="506">
        <f t="shared" si="417"/>
        <v>2813788.9601571974</v>
      </c>
      <c r="JC65" s="506">
        <f t="shared" si="417"/>
        <v>1445737.3693524669</v>
      </c>
      <c r="JD65" s="506">
        <f t="shared" si="417"/>
        <v>5734651.4754739245</v>
      </c>
      <c r="JE65" s="506">
        <f t="shared" si="417"/>
        <v>144589.10100252891</v>
      </c>
      <c r="JF65" s="506">
        <f t="shared" si="417"/>
        <v>32317210.898997471</v>
      </c>
      <c r="JG65" s="506">
        <f t="shared" si="417"/>
        <v>23398546.759965554</v>
      </c>
      <c r="JH65" s="506">
        <f t="shared" si="417"/>
        <v>1432360.5197921393</v>
      </c>
      <c r="JI65" s="314">
        <f>SUM(C65:JH65)</f>
        <v>1079013254.6793954</v>
      </c>
      <c r="JJ65" s="307">
        <f>'Zdroje 2019 a 2020'!H3</f>
        <v>947856000</v>
      </c>
      <c r="JK65" s="307"/>
      <c r="JL65" s="307">
        <f t="shared" si="411"/>
        <v>26033243.997923955</v>
      </c>
      <c r="JM65" s="307">
        <f t="shared" si="411"/>
        <v>360157408.80374461</v>
      </c>
      <c r="JN65" s="307">
        <f t="shared" si="411"/>
        <v>195306315.46152607</v>
      </c>
      <c r="JO65" s="307">
        <f t="shared" si="411"/>
        <v>497516286.41620088</v>
      </c>
      <c r="JP65" s="307">
        <f t="shared" si="412"/>
        <v>1079013254.6793957</v>
      </c>
    </row>
    <row r="66" spans="1:276" x14ac:dyDescent="0.25">
      <c r="B66" s="313" t="s">
        <v>2784</v>
      </c>
      <c r="C66" s="314"/>
      <c r="D66" s="314"/>
      <c r="E66" s="314">
        <f>E57-E63-E59</f>
        <v>131969.62632393558</v>
      </c>
      <c r="F66" s="314"/>
      <c r="G66" s="314">
        <f>G57-G63-G59</f>
        <v>548592.14671206614</v>
      </c>
      <c r="H66" s="314"/>
      <c r="I66" s="314">
        <f>I57-I63-I59</f>
        <v>214801.17171257478</v>
      </c>
      <c r="J66" s="314"/>
      <c r="K66" s="314">
        <f>K57-K63-K59</f>
        <v>-824223.56719663565</v>
      </c>
      <c r="L66" s="314"/>
      <c r="M66" s="314"/>
      <c r="N66" s="314"/>
      <c r="O66" s="314">
        <f>O57-O63-O59</f>
        <v>-247276.2105904723</v>
      </c>
      <c r="P66" s="314">
        <f>P57-P63-P59</f>
        <v>95133.067207530257</v>
      </c>
      <c r="Q66" s="314">
        <f>Q57-Q63-Q59</f>
        <v>315395.47467539093</v>
      </c>
      <c r="R66" s="314">
        <f>R57-R63-R59</f>
        <v>855539.94982393191</v>
      </c>
      <c r="S66" s="314">
        <f>S57-S63-S59</f>
        <v>286958.26924377406</v>
      </c>
      <c r="T66" s="314"/>
      <c r="U66" s="314">
        <f>U57-U63-U59</f>
        <v>112431.65326332147</v>
      </c>
      <c r="V66" s="314">
        <f>V57-V63-V59</f>
        <v>683354.61530145328</v>
      </c>
      <c r="W66" s="314"/>
      <c r="X66" s="314">
        <f>X57-X63-X59</f>
        <v>-235254.72332073102</v>
      </c>
      <c r="Y66" s="314">
        <f>Y57-Y63-Y59</f>
        <v>2602359.5025298502</v>
      </c>
      <c r="Z66" s="314"/>
      <c r="AA66" s="314">
        <f>AA57-AA63-AA59</f>
        <v>-225887.12232271861</v>
      </c>
      <c r="AB66" s="314">
        <f>AB57-AB59</f>
        <v>-507203.51375680778</v>
      </c>
      <c r="AC66" s="314">
        <f>AC57-AC59</f>
        <v>1226320.7874414893</v>
      </c>
      <c r="AD66" s="314">
        <f>AD57-AD59</f>
        <v>-249124.42206219956</v>
      </c>
      <c r="AE66" s="314"/>
      <c r="AF66" s="314">
        <f>AF57-AF63-AF59</f>
        <v>717550.83411821234</v>
      </c>
      <c r="AG66" s="314">
        <f>AG57-AG59</f>
        <v>0</v>
      </c>
      <c r="AH66" s="314"/>
      <c r="AI66" s="314">
        <f>AI57-AI63-AI59</f>
        <v>1210832.6757528756</v>
      </c>
      <c r="AJ66" s="314">
        <f>AJ57-AJ63-AJ59</f>
        <v>5239.7255776590464</v>
      </c>
      <c r="AK66" s="314">
        <f>AK57-AK63-AK59</f>
        <v>2292.3781405158807</v>
      </c>
      <c r="AL66" s="314"/>
      <c r="AM66" s="314">
        <f>AM57-AM63-AM59</f>
        <v>814753.75077463931</v>
      </c>
      <c r="AN66" s="314"/>
      <c r="AO66" s="314">
        <f>AO57-AO63-AO59</f>
        <v>-1170721.8964947895</v>
      </c>
      <c r="AP66" s="314">
        <f>AP57-AP59</f>
        <v>-135009.883770399</v>
      </c>
      <c r="AQ66" s="314">
        <f>AQ57-AQ59</f>
        <v>-297109.40431126149</v>
      </c>
      <c r="AR66" s="314">
        <f>AR57-AR63-AR59</f>
        <v>44535.156533852394</v>
      </c>
      <c r="AS66" s="314"/>
      <c r="AT66" s="314"/>
      <c r="AU66" s="314">
        <f>AU57-AU59</f>
        <v>0.39999999999999991</v>
      </c>
      <c r="AV66" s="314"/>
      <c r="AW66" s="314">
        <f>AW57-AW63-AW59</f>
        <v>236523.22025101969</v>
      </c>
      <c r="AX66" s="314"/>
      <c r="AY66" s="314">
        <f>AY57-AY59</f>
        <v>-144775.54873774288</v>
      </c>
      <c r="AZ66" s="314"/>
      <c r="BA66" s="314"/>
      <c r="BB66" s="314">
        <f>BB57-BB63-BB59</f>
        <v>-58472.910228731671</v>
      </c>
      <c r="BC66" s="314"/>
      <c r="BD66" s="314">
        <f>BD57-BD63-BD59</f>
        <v>-199914.38326196471</v>
      </c>
      <c r="BE66" s="314">
        <f>BE57-BE63-BE59</f>
        <v>-100027.72528301913</v>
      </c>
      <c r="BF66" s="314">
        <f>BF57-BF63-BF59</f>
        <v>706134.04311261547</v>
      </c>
      <c r="BG66" s="314"/>
      <c r="BH66" s="314"/>
      <c r="BI66" s="314"/>
      <c r="BJ66" s="314"/>
      <c r="BK66" s="314">
        <f>BK57-BK63-BK59</f>
        <v>-63490.09231459786</v>
      </c>
      <c r="BL66" s="314"/>
      <c r="BM66" s="314">
        <f t="shared" ref="BM66:BR66" si="418">BM57-BM63-BM59</f>
        <v>1007169.0201300802</v>
      </c>
      <c r="BN66" s="314">
        <f t="shared" si="418"/>
        <v>-37035.394914980578</v>
      </c>
      <c r="BO66" s="314">
        <f t="shared" si="418"/>
        <v>-157525.2786421554</v>
      </c>
      <c r="BP66" s="314">
        <f t="shared" si="418"/>
        <v>155810.09866296744</v>
      </c>
      <c r="BQ66" s="314">
        <f t="shared" si="418"/>
        <v>-66564.165662464104</v>
      </c>
      <c r="BR66" s="314">
        <f t="shared" si="418"/>
        <v>-366197.78472434735</v>
      </c>
      <c r="BS66" s="314"/>
      <c r="BT66" s="314"/>
      <c r="BU66" s="314"/>
      <c r="BV66" s="314">
        <f>BV57-BV63-BV59</f>
        <v>-104151.05247350829</v>
      </c>
      <c r="BW66" s="314"/>
      <c r="BX66" s="314"/>
      <c r="BY66" s="314"/>
      <c r="BZ66" s="314"/>
      <c r="CA66" s="314"/>
      <c r="CB66" s="314"/>
      <c r="CC66" s="314"/>
      <c r="CD66" s="314"/>
      <c r="CE66" s="314"/>
      <c r="CF66" s="314"/>
      <c r="CG66" s="314"/>
      <c r="CH66" s="314"/>
      <c r="CI66" s="314"/>
      <c r="CJ66" s="314"/>
      <c r="CK66" s="314">
        <f>CK57-CK63-CK59</f>
        <v>218776.1993084657</v>
      </c>
      <c r="CL66" s="314">
        <f>CL57-CL63-CL59</f>
        <v>296120.84909748111</v>
      </c>
      <c r="CM66" s="314"/>
      <c r="CN66" s="314"/>
      <c r="CO66" s="314"/>
      <c r="CP66" s="314"/>
      <c r="CQ66" s="314">
        <f>CQ57-CQ63-CQ59</f>
        <v>647021.14764995396</v>
      </c>
      <c r="CR66" s="314">
        <f>CR57-CR63-CR59</f>
        <v>446729.88105102989</v>
      </c>
      <c r="CS66" s="314"/>
      <c r="CT66" s="314"/>
      <c r="CU66" s="314">
        <f>CU57-CU63-CU59</f>
        <v>566266.90257590683</v>
      </c>
      <c r="CV66" s="314">
        <f>CV57-CV63-CV59</f>
        <v>-591862.51462611102</v>
      </c>
      <c r="CW66" s="314"/>
      <c r="CX66" s="314">
        <f>CX57-CX63-CX59</f>
        <v>1478869.3065485086</v>
      </c>
      <c r="CY66" s="314"/>
      <c r="CZ66" s="314">
        <f>CZ57-CZ63-CZ59</f>
        <v>374946.48221876891</v>
      </c>
      <c r="DA66" s="314"/>
      <c r="DB66" s="314">
        <f>DB57-DB59</f>
        <v>-111416.02661672299</v>
      </c>
      <c r="DC66" s="314">
        <f>DC57-DC59</f>
        <v>-244927.68230873742</v>
      </c>
      <c r="DD66" s="314">
        <f>DD57-DD63-DD59</f>
        <v>-420086.21635071654</v>
      </c>
      <c r="DE66" s="314"/>
      <c r="DF66" s="314"/>
      <c r="DG66" s="314">
        <f>DG57-DG63-DG59</f>
        <v>85782.13853446109</v>
      </c>
      <c r="DH66" s="314">
        <f>DH57-DH63-DH59</f>
        <v>749307.00067935756</v>
      </c>
      <c r="DI66" s="314"/>
      <c r="DJ66" s="314"/>
      <c r="DK66" s="314">
        <f>DK57-DK63-DK59</f>
        <v>-224452.83531246078</v>
      </c>
      <c r="DL66" s="314"/>
      <c r="DM66" s="314">
        <f>DM57-DM63-DM59</f>
        <v>-53553.642319851788</v>
      </c>
      <c r="DN66" s="314">
        <f>DN57-DN63-DN59</f>
        <v>-661462.20200113172</v>
      </c>
      <c r="DO66" s="314"/>
      <c r="DP66" s="314">
        <f>DP57-DP63-DP59</f>
        <v>393475.39264618291</v>
      </c>
      <c r="DQ66" s="314"/>
      <c r="DR66" s="314">
        <f>DR57-DR63-DR59</f>
        <v>37065.877019155771</v>
      </c>
      <c r="DS66" s="314"/>
      <c r="DT66" s="314">
        <f>DT57-DT63-DT59</f>
        <v>-19364.051373042304</v>
      </c>
      <c r="DU66" s="314">
        <f>DU57-DU63-DU59</f>
        <v>-35402.15315866132</v>
      </c>
      <c r="DV66" s="314">
        <f>DV57-DV63-DV59</f>
        <v>1699819.8138009594</v>
      </c>
      <c r="DW66" s="314">
        <f>DW57-DW63-DW59</f>
        <v>-368896.922364717</v>
      </c>
      <c r="DX66" s="314"/>
      <c r="DY66" s="314"/>
      <c r="DZ66" s="314"/>
      <c r="EA66" s="314"/>
      <c r="EB66" s="314">
        <f>EB57-EB63-EB59</f>
        <v>728685.62631728547</v>
      </c>
      <c r="EC66" s="314"/>
      <c r="ED66" s="314">
        <f t="shared" ref="ED66:EH66" si="419">ED57-ED63-ED59</f>
        <v>-289722.16032859101</v>
      </c>
      <c r="EE66" s="314">
        <f t="shared" si="419"/>
        <v>-5862.4946499028738</v>
      </c>
      <c r="EF66" s="314">
        <f t="shared" si="419"/>
        <v>-73506.95468712505</v>
      </c>
      <c r="EG66" s="314"/>
      <c r="EH66" s="314">
        <f t="shared" si="419"/>
        <v>-46297.498982917605</v>
      </c>
      <c r="EI66" s="314">
        <f>EI57-EI63-EI59</f>
        <v>26878.19621196331</v>
      </c>
      <c r="EJ66" s="314"/>
      <c r="EK66" s="314">
        <f>EK57-EK63-EK59</f>
        <v>0.41000000000000014</v>
      </c>
      <c r="EL66" s="314">
        <f>EL57-EL63-EL59</f>
        <v>-76904.394825894677</v>
      </c>
      <c r="EM66" s="314"/>
      <c r="EN66" s="314"/>
      <c r="EO66" s="314">
        <f>EO57-EO63-EO59</f>
        <v>-44426.742504294409</v>
      </c>
      <c r="EP66" s="314">
        <f>EP57-EP63-EP59</f>
        <v>-353774.55149696046</v>
      </c>
      <c r="EQ66" s="314"/>
      <c r="ER66" s="314"/>
      <c r="ES66" s="314"/>
      <c r="ET66" s="314"/>
      <c r="EU66" s="314"/>
      <c r="EV66" s="314"/>
      <c r="EW66" s="314"/>
      <c r="EX66" s="314"/>
      <c r="EY66" s="314"/>
      <c r="EZ66" s="314"/>
      <c r="FA66" s="314"/>
      <c r="FB66" s="314"/>
      <c r="FC66" s="314"/>
      <c r="FD66" s="314"/>
      <c r="FE66" s="314"/>
      <c r="FF66" s="314"/>
      <c r="FG66" s="314"/>
      <c r="FH66" s="314"/>
      <c r="FI66" s="314"/>
      <c r="FJ66" s="314"/>
      <c r="FK66" s="314"/>
      <c r="FL66" s="314"/>
      <c r="FM66" s="314"/>
      <c r="FN66" s="314"/>
      <c r="FO66" s="314"/>
      <c r="FP66" s="314"/>
      <c r="FQ66" s="314"/>
      <c r="FR66" s="314"/>
      <c r="FS66" s="314"/>
      <c r="FT66" s="314"/>
      <c r="FU66" s="314"/>
      <c r="FV66" s="314"/>
      <c r="FW66" s="314"/>
      <c r="FX66" s="314"/>
      <c r="FY66" s="314"/>
      <c r="FZ66" s="314"/>
      <c r="GA66" s="314"/>
      <c r="GB66" s="314"/>
      <c r="GC66" s="314"/>
      <c r="GD66" s="314"/>
      <c r="GE66" s="314"/>
      <c r="GF66" s="314"/>
      <c r="GG66" s="314"/>
      <c r="GH66" s="314"/>
      <c r="GI66" s="314"/>
      <c r="GJ66" s="314"/>
      <c r="GK66" s="314"/>
      <c r="GL66" s="314"/>
      <c r="GM66" s="314"/>
      <c r="GN66" s="314"/>
      <c r="GO66" s="314"/>
      <c r="GP66" s="314"/>
      <c r="GQ66" s="314"/>
      <c r="GR66" s="314"/>
      <c r="GS66" s="314"/>
      <c r="GT66" s="314"/>
      <c r="GU66" s="314"/>
      <c r="GV66" s="314"/>
      <c r="GW66" s="314"/>
      <c r="GX66" s="314"/>
      <c r="GY66" s="314"/>
      <c r="GZ66" s="314"/>
      <c r="HA66" s="314"/>
      <c r="HB66" s="314"/>
      <c r="HC66" s="314"/>
      <c r="HD66" s="314"/>
      <c r="HE66" s="314"/>
      <c r="HF66" s="314"/>
      <c r="HG66" s="314"/>
      <c r="HH66" s="314"/>
      <c r="HI66" s="314"/>
      <c r="HJ66" s="314"/>
      <c r="HK66" s="314"/>
      <c r="HL66" s="314"/>
      <c r="HM66" s="314"/>
      <c r="HN66" s="314"/>
      <c r="HO66" s="314"/>
      <c r="HP66" s="314"/>
      <c r="HQ66" s="314"/>
      <c r="HR66" s="314"/>
      <c r="HS66" s="314"/>
      <c r="HT66" s="314"/>
      <c r="HU66" s="314"/>
      <c r="HV66" s="314"/>
      <c r="HW66" s="314"/>
      <c r="HX66" s="314"/>
      <c r="HY66" s="314"/>
      <c r="HZ66" s="314"/>
      <c r="IA66" s="314"/>
      <c r="IB66" s="314"/>
      <c r="IC66" s="314"/>
      <c r="ID66" s="314"/>
      <c r="IE66" s="314"/>
      <c r="IF66" s="314"/>
      <c r="IG66" s="314"/>
      <c r="IH66" s="314"/>
      <c r="II66" s="314"/>
      <c r="IJ66" s="314"/>
      <c r="IK66" s="314"/>
      <c r="IL66" s="314"/>
      <c r="IM66" s="314"/>
      <c r="IN66" s="314"/>
      <c r="IO66" s="314"/>
      <c r="IP66" s="314"/>
      <c r="IQ66" s="314"/>
      <c r="IR66" s="314"/>
      <c r="IS66" s="314"/>
      <c r="IT66" s="314"/>
      <c r="IU66" s="314"/>
      <c r="IV66" s="314"/>
      <c r="IW66" s="314"/>
      <c r="IX66" s="314"/>
      <c r="IY66" s="314"/>
      <c r="IZ66" s="314"/>
      <c r="JA66" s="314"/>
      <c r="JB66" s="314"/>
      <c r="JC66" s="314"/>
      <c r="JD66" s="314"/>
      <c r="JE66" s="314"/>
      <c r="JF66" s="314"/>
      <c r="JG66" s="314"/>
      <c r="JH66" s="314"/>
      <c r="JI66" s="314"/>
    </row>
    <row r="67" spans="1:276" x14ac:dyDescent="0.25">
      <c r="B67" s="266" t="s">
        <v>2544</v>
      </c>
      <c r="C67" s="314"/>
      <c r="D67" s="314"/>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314"/>
      <c r="AE67" s="314"/>
      <c r="AF67" s="314"/>
      <c r="AG67" s="314"/>
      <c r="AH67" s="314"/>
      <c r="AI67" s="314"/>
      <c r="AJ67" s="314"/>
      <c r="AK67" s="314"/>
      <c r="AL67" s="314"/>
      <c r="AM67" s="314"/>
      <c r="AN67" s="314"/>
      <c r="AO67" s="314"/>
      <c r="AP67" s="314"/>
      <c r="AQ67" s="314"/>
      <c r="AR67" s="314"/>
      <c r="AS67" s="314"/>
      <c r="AT67" s="314"/>
      <c r="AU67" s="314"/>
      <c r="AV67" s="314"/>
      <c r="AW67" s="314"/>
      <c r="AX67" s="314"/>
      <c r="AY67" s="314"/>
      <c r="AZ67" s="314"/>
      <c r="BA67" s="314"/>
      <c r="BB67" s="314"/>
      <c r="BC67" s="314"/>
      <c r="BD67" s="314"/>
      <c r="BE67" s="314"/>
      <c r="BF67" s="314"/>
      <c r="BG67" s="314"/>
      <c r="BH67" s="314"/>
      <c r="BI67" s="314"/>
      <c r="BJ67" s="314"/>
      <c r="BK67" s="314"/>
      <c r="BL67" s="314"/>
      <c r="BM67" s="314"/>
      <c r="BN67" s="314"/>
      <c r="BO67" s="314"/>
      <c r="BP67" s="314"/>
      <c r="BQ67" s="314"/>
      <c r="BR67" s="314"/>
      <c r="BS67" s="314"/>
      <c r="BT67" s="314"/>
      <c r="BU67" s="314"/>
      <c r="BV67" s="314"/>
      <c r="BW67" s="314"/>
      <c r="BX67" s="314"/>
      <c r="BY67" s="314"/>
      <c r="BZ67" s="314"/>
      <c r="CA67" s="314"/>
      <c r="CB67" s="314"/>
      <c r="CC67" s="314"/>
      <c r="CD67" s="314"/>
      <c r="CE67" s="314"/>
      <c r="CF67" s="314"/>
      <c r="CG67" s="314"/>
      <c r="CH67" s="314"/>
      <c r="CI67" s="314"/>
      <c r="CJ67" s="314"/>
      <c r="CK67" s="314"/>
      <c r="CL67" s="314"/>
      <c r="CM67" s="314"/>
      <c r="CN67" s="314"/>
      <c r="CO67" s="314"/>
      <c r="CP67" s="314"/>
      <c r="CQ67" s="314"/>
      <c r="CR67" s="314"/>
      <c r="CS67" s="314"/>
      <c r="CT67" s="314"/>
      <c r="CU67" s="314"/>
      <c r="CV67" s="314"/>
      <c r="CW67" s="314"/>
      <c r="CX67" s="314"/>
      <c r="CY67" s="314"/>
      <c r="CZ67" s="314"/>
      <c r="DA67" s="314"/>
      <c r="DB67" s="314"/>
      <c r="DC67" s="314"/>
      <c r="DD67" s="314"/>
      <c r="DE67" s="314"/>
      <c r="DF67" s="314"/>
      <c r="DG67" s="314"/>
      <c r="DH67" s="314"/>
      <c r="DI67" s="314"/>
      <c r="DJ67" s="314"/>
      <c r="DK67" s="314"/>
      <c r="DL67" s="314"/>
      <c r="DM67" s="314"/>
      <c r="DN67" s="314"/>
      <c r="DO67" s="314"/>
      <c r="DP67" s="314"/>
      <c r="DQ67" s="314"/>
      <c r="DR67" s="314"/>
      <c r="DS67" s="314"/>
      <c r="DT67" s="314"/>
      <c r="DU67" s="314"/>
      <c r="DV67" s="314"/>
      <c r="DW67" s="314"/>
      <c r="DX67" s="314"/>
      <c r="DY67" s="314"/>
      <c r="DZ67" s="314"/>
      <c r="EA67" s="314"/>
      <c r="EB67" s="314"/>
      <c r="EC67" s="314"/>
      <c r="ED67" s="314"/>
      <c r="EE67" s="314"/>
      <c r="EF67" s="314"/>
      <c r="EG67" s="314"/>
      <c r="EH67" s="314"/>
      <c r="EI67" s="314"/>
      <c r="EJ67" s="314"/>
      <c r="EK67" s="314"/>
      <c r="EL67" s="314"/>
      <c r="EM67" s="314"/>
      <c r="EN67" s="314"/>
      <c r="EO67" s="314"/>
      <c r="EP67" s="314"/>
      <c r="EQ67" s="314"/>
      <c r="ER67" s="314"/>
      <c r="ES67" s="314"/>
      <c r="ET67" s="314"/>
      <c r="EU67" s="314"/>
      <c r="EV67" s="314"/>
      <c r="EW67" s="314"/>
      <c r="EX67" s="314"/>
      <c r="EY67" s="314"/>
      <c r="EZ67" s="314"/>
      <c r="FA67" s="314"/>
      <c r="FB67" s="314"/>
      <c r="FC67" s="314"/>
      <c r="FD67" s="314"/>
      <c r="FE67" s="314"/>
      <c r="FF67" s="314"/>
      <c r="FG67" s="314"/>
      <c r="FH67" s="314"/>
      <c r="FI67" s="314"/>
      <c r="FJ67" s="314"/>
      <c r="FK67" s="314"/>
      <c r="FL67" s="314"/>
      <c r="FM67" s="314"/>
      <c r="FN67" s="314"/>
      <c r="FO67" s="314"/>
      <c r="FP67" s="314"/>
      <c r="FQ67" s="314"/>
      <c r="FR67" s="314"/>
      <c r="FS67" s="314"/>
      <c r="FT67" s="314"/>
      <c r="FU67" s="314"/>
      <c r="FV67" s="314"/>
      <c r="FW67" s="314"/>
      <c r="FX67" s="314"/>
      <c r="FY67" s="314"/>
      <c r="FZ67" s="314"/>
      <c r="GA67" s="314"/>
      <c r="GB67" s="314"/>
      <c r="GC67" s="314"/>
      <c r="GD67" s="314"/>
      <c r="GE67" s="314"/>
      <c r="GF67" s="314"/>
      <c r="GG67" s="314"/>
      <c r="GH67" s="314"/>
      <c r="GI67" s="314"/>
      <c r="GJ67" s="314"/>
      <c r="GK67" s="314"/>
      <c r="GL67" s="314"/>
      <c r="GM67" s="314"/>
      <c r="GN67" s="314"/>
      <c r="GO67" s="314"/>
      <c r="GP67" s="314"/>
      <c r="GQ67" s="314"/>
      <c r="GR67" s="314"/>
      <c r="GS67" s="314"/>
      <c r="GT67" s="314"/>
      <c r="GU67" s="314"/>
      <c r="GV67" s="314"/>
      <c r="GW67" s="314"/>
      <c r="GX67" s="314"/>
      <c r="GY67" s="314"/>
      <c r="GZ67" s="314"/>
      <c r="HA67" s="314"/>
      <c r="HB67" s="314"/>
      <c r="HC67" s="314"/>
      <c r="HD67" s="314"/>
      <c r="HE67" s="314"/>
      <c r="HF67" s="314"/>
      <c r="HG67" s="314"/>
      <c r="HH67" s="314"/>
      <c r="HI67" s="314"/>
      <c r="HJ67" s="314"/>
      <c r="HK67" s="314"/>
      <c r="HL67" s="314"/>
      <c r="HM67" s="314"/>
      <c r="HN67" s="314"/>
      <c r="HO67" s="314"/>
      <c r="HP67" s="314"/>
      <c r="HQ67" s="314"/>
      <c r="HR67" s="314"/>
      <c r="HS67" s="314"/>
      <c r="HT67" s="314"/>
      <c r="HU67" s="314"/>
      <c r="HV67" s="314"/>
      <c r="HW67" s="314"/>
      <c r="HX67" s="314"/>
      <c r="HY67" s="314"/>
      <c r="HZ67" s="314"/>
      <c r="IA67" s="314"/>
      <c r="IB67" s="314"/>
      <c r="IC67" s="314"/>
      <c r="ID67" s="314"/>
      <c r="IE67" s="314"/>
      <c r="IF67" s="314"/>
      <c r="IG67" s="314"/>
      <c r="IH67" s="314"/>
      <c r="II67" s="314"/>
      <c r="IJ67" s="314"/>
      <c r="IK67" s="314"/>
      <c r="IL67" s="314"/>
      <c r="IM67" s="314"/>
      <c r="IN67" s="314"/>
      <c r="IO67" s="314"/>
      <c r="IP67" s="314"/>
      <c r="IQ67" s="314"/>
      <c r="IR67" s="314"/>
      <c r="IS67" s="314"/>
      <c r="IT67" s="314"/>
      <c r="IU67" s="314"/>
      <c r="IV67" s="314"/>
      <c r="IW67" s="314"/>
      <c r="IX67" s="314"/>
      <c r="IY67" s="314"/>
      <c r="IZ67" s="314"/>
      <c r="JA67" s="314"/>
      <c r="JB67" s="314"/>
      <c r="JC67" s="314"/>
      <c r="JD67" s="314"/>
      <c r="JE67" s="314"/>
      <c r="JF67" s="314"/>
      <c r="JG67" s="314"/>
      <c r="JH67" s="314"/>
      <c r="JI67" s="314"/>
    </row>
    <row r="68" spans="1:276" x14ac:dyDescent="0.25">
      <c r="B68" s="313" t="s">
        <v>2785</v>
      </c>
      <c r="C68" s="314"/>
      <c r="JI68" s="314"/>
      <c r="JL68" s="307"/>
      <c r="JM68" s="307"/>
      <c r="JN68" s="307"/>
      <c r="JO68" s="307"/>
      <c r="JP68" s="307"/>
    </row>
    <row r="69" spans="1:276" x14ac:dyDescent="0.25">
      <c r="C69" s="314"/>
      <c r="JI69" s="314"/>
      <c r="JL69" s="307"/>
      <c r="JM69" s="307"/>
      <c r="JN69" s="307"/>
      <c r="JO69" s="307"/>
      <c r="JP69" s="307"/>
    </row>
    <row r="70" spans="1:276" x14ac:dyDescent="0.25">
      <c r="C70" s="314"/>
      <c r="JI70" s="314"/>
      <c r="JL70" s="307"/>
      <c r="JM70" s="307"/>
      <c r="JN70" s="307"/>
      <c r="JO70" s="307"/>
      <c r="JP70" s="307"/>
    </row>
    <row r="71" spans="1:276" x14ac:dyDescent="0.25">
      <c r="C71" s="314"/>
      <c r="JI71" s="314"/>
      <c r="JL71" s="307"/>
      <c r="JM71" s="307"/>
      <c r="JN71" s="307"/>
      <c r="JO71" s="307"/>
      <c r="JP71" s="307"/>
    </row>
    <row r="72" spans="1:276" x14ac:dyDescent="0.25">
      <c r="C72" s="314"/>
      <c r="DV72" s="353"/>
      <c r="JI72" s="314"/>
      <c r="JL72" s="307"/>
      <c r="JM72" s="307"/>
      <c r="JN72" s="307"/>
      <c r="JO72" s="307"/>
      <c r="JP72" s="307"/>
    </row>
    <row r="73" spans="1:276" x14ac:dyDescent="0.25">
      <c r="B73" s="313" t="str">
        <f t="shared" ref="B73:BN73" si="420">B36</f>
        <v>Obce 2019</v>
      </c>
      <c r="C73" s="314">
        <f t="shared" si="420"/>
        <v>50000</v>
      </c>
      <c r="D73" s="314">
        <f t="shared" si="420"/>
        <v>300000</v>
      </c>
      <c r="E73" s="314">
        <f t="shared" si="420"/>
        <v>180000</v>
      </c>
      <c r="F73" s="314">
        <f t="shared" si="420"/>
        <v>362000</v>
      </c>
      <c r="G73" s="314">
        <f t="shared" si="420"/>
        <v>1426500</v>
      </c>
      <c r="H73" s="314">
        <f t="shared" si="420"/>
        <v>700000</v>
      </c>
      <c r="I73" s="314">
        <f t="shared" si="420"/>
        <v>719500</v>
      </c>
      <c r="J73" s="314">
        <f t="shared" si="420"/>
        <v>99900</v>
      </c>
      <c r="K73" s="314">
        <f t="shared" si="420"/>
        <v>20000</v>
      </c>
      <c r="L73" s="314">
        <f t="shared" si="420"/>
        <v>281750</v>
      </c>
      <c r="M73" s="314">
        <f t="shared" si="420"/>
        <v>316500</v>
      </c>
      <c r="N73" s="314">
        <f t="shared" si="420"/>
        <v>549000</v>
      </c>
      <c r="O73" s="314">
        <f t="shared" si="420"/>
        <v>307500</v>
      </c>
      <c r="P73" s="314">
        <f t="shared" si="420"/>
        <v>428000</v>
      </c>
      <c r="Q73" s="314">
        <f t="shared" si="420"/>
        <v>169000</v>
      </c>
      <c r="R73" s="314">
        <f t="shared" si="420"/>
        <v>456000</v>
      </c>
      <c r="S73" s="314">
        <f t="shared" si="420"/>
        <v>116084</v>
      </c>
      <c r="T73" s="314">
        <f t="shared" si="420"/>
        <v>120000</v>
      </c>
      <c r="U73" s="314">
        <f t="shared" si="420"/>
        <v>165000</v>
      </c>
      <c r="V73" s="314">
        <f t="shared" si="420"/>
        <v>4317000</v>
      </c>
      <c r="W73" s="314">
        <f t="shared" si="420"/>
        <v>934000</v>
      </c>
      <c r="X73" s="314">
        <f t="shared" si="420"/>
        <v>122000</v>
      </c>
      <c r="Y73" s="314">
        <f t="shared" si="420"/>
        <v>100000</v>
      </c>
      <c r="Z73" s="314">
        <f t="shared" si="420"/>
        <v>0</v>
      </c>
      <c r="AA73" s="314">
        <f t="shared" si="420"/>
        <v>295000</v>
      </c>
      <c r="AB73" s="314">
        <f t="shared" si="420"/>
        <v>154334.58000000002</v>
      </c>
      <c r="AC73" s="314">
        <f t="shared" ref="AC73" si="421">AC36</f>
        <v>136928.35999999999</v>
      </c>
      <c r="AD73" s="314">
        <f t="shared" si="420"/>
        <v>156800</v>
      </c>
      <c r="AE73" s="314">
        <f t="shared" si="420"/>
        <v>88800</v>
      </c>
      <c r="AF73" s="314">
        <f t="shared" si="420"/>
        <v>88800</v>
      </c>
      <c r="AG73" s="314">
        <f t="shared" si="420"/>
        <v>267500</v>
      </c>
      <c r="AH73" s="314">
        <f t="shared" si="420"/>
        <v>101700</v>
      </c>
      <c r="AI73" s="314">
        <f t="shared" si="420"/>
        <v>117300</v>
      </c>
      <c r="AJ73" s="314">
        <f t="shared" si="420"/>
        <v>123700</v>
      </c>
      <c r="AK73" s="314">
        <f t="shared" si="420"/>
        <v>0</v>
      </c>
      <c r="AL73" s="314">
        <f t="shared" si="420"/>
        <v>204000</v>
      </c>
      <c r="AM73" s="314">
        <f t="shared" si="420"/>
        <v>60116</v>
      </c>
      <c r="AN73" s="314">
        <f t="shared" si="420"/>
        <v>95000</v>
      </c>
      <c r="AO73" s="314">
        <f t="shared" si="420"/>
        <v>2581000</v>
      </c>
      <c r="AP73" s="314">
        <f t="shared" si="420"/>
        <v>0</v>
      </c>
      <c r="AQ73" s="314">
        <f t="shared" si="420"/>
        <v>50000</v>
      </c>
      <c r="AR73" s="314">
        <f t="shared" si="420"/>
        <v>139500</v>
      </c>
      <c r="AS73" s="314">
        <f t="shared" si="420"/>
        <v>37000</v>
      </c>
      <c r="AT73" s="314">
        <f t="shared" si="420"/>
        <v>169000</v>
      </c>
      <c r="AU73" s="314">
        <f t="shared" si="420"/>
        <v>160000</v>
      </c>
      <c r="AV73" s="314">
        <f t="shared" si="420"/>
        <v>117300</v>
      </c>
      <c r="AW73" s="314">
        <f t="shared" si="420"/>
        <v>156400</v>
      </c>
      <c r="AX73" s="314">
        <f t="shared" si="420"/>
        <v>258000</v>
      </c>
      <c r="AY73" s="314">
        <f t="shared" si="420"/>
        <v>238000</v>
      </c>
      <c r="AZ73" s="314">
        <f t="shared" si="420"/>
        <v>156185</v>
      </c>
      <c r="BA73" s="314">
        <f t="shared" si="420"/>
        <v>1120000</v>
      </c>
      <c r="BB73" s="314">
        <f t="shared" si="420"/>
        <v>140000</v>
      </c>
      <c r="BC73" s="314">
        <f t="shared" si="420"/>
        <v>137000</v>
      </c>
      <c r="BD73" s="314">
        <f t="shared" si="420"/>
        <v>304000</v>
      </c>
      <c r="BE73" s="314">
        <f t="shared" si="420"/>
        <v>176000</v>
      </c>
      <c r="BF73" s="314">
        <f t="shared" si="420"/>
        <v>376000</v>
      </c>
      <c r="BG73" s="314">
        <f t="shared" si="420"/>
        <v>490000</v>
      </c>
      <c r="BH73" s="314">
        <f t="shared" si="420"/>
        <v>397000</v>
      </c>
      <c r="BI73" s="314">
        <f t="shared" si="420"/>
        <v>100000</v>
      </c>
      <c r="BJ73" s="314">
        <f t="shared" si="420"/>
        <v>219000</v>
      </c>
      <c r="BK73" s="314">
        <f t="shared" si="420"/>
        <v>48000</v>
      </c>
      <c r="BL73" s="314">
        <f t="shared" si="420"/>
        <v>0</v>
      </c>
      <c r="BM73" s="314">
        <f t="shared" si="420"/>
        <v>50000</v>
      </c>
      <c r="BN73" s="314">
        <f t="shared" si="420"/>
        <v>326000</v>
      </c>
      <c r="BO73" s="314">
        <f t="shared" ref="BO73:DZ73" si="422">BO36</f>
        <v>222000</v>
      </c>
      <c r="BP73" s="314">
        <f t="shared" si="422"/>
        <v>777000</v>
      </c>
      <c r="BQ73" s="314">
        <f t="shared" si="422"/>
        <v>0</v>
      </c>
      <c r="BR73" s="314">
        <f t="shared" si="422"/>
        <v>80000</v>
      </c>
      <c r="BS73" s="314">
        <f t="shared" si="422"/>
        <v>230000</v>
      </c>
      <c r="BT73" s="314">
        <f t="shared" si="422"/>
        <v>200000</v>
      </c>
      <c r="BU73" s="314">
        <f t="shared" si="422"/>
        <v>1150000</v>
      </c>
      <c r="BV73" s="314">
        <f t="shared" si="422"/>
        <v>0</v>
      </c>
      <c r="BW73" s="314">
        <f t="shared" si="422"/>
        <v>0</v>
      </c>
      <c r="BX73" s="314">
        <f t="shared" si="422"/>
        <v>1309761</v>
      </c>
      <c r="BY73" s="314">
        <f t="shared" si="422"/>
        <v>730000</v>
      </c>
      <c r="BZ73" s="314">
        <f t="shared" si="422"/>
        <v>150000</v>
      </c>
      <c r="CA73" s="314">
        <f t="shared" si="422"/>
        <v>0</v>
      </c>
      <c r="CB73" s="314">
        <f t="shared" si="422"/>
        <v>0</v>
      </c>
      <c r="CC73" s="314">
        <f t="shared" si="422"/>
        <v>404000</v>
      </c>
      <c r="CD73" s="314">
        <f t="shared" si="422"/>
        <v>156000</v>
      </c>
      <c r="CE73" s="314">
        <f t="shared" si="422"/>
        <v>4381300</v>
      </c>
      <c r="CF73" s="314">
        <f t="shared" si="422"/>
        <v>366900</v>
      </c>
      <c r="CG73" s="314">
        <f t="shared" si="422"/>
        <v>1830000</v>
      </c>
      <c r="CH73" s="314">
        <f t="shared" si="422"/>
        <v>890000</v>
      </c>
      <c r="CI73" s="314">
        <f t="shared" si="422"/>
        <v>200000</v>
      </c>
      <c r="CJ73" s="314">
        <f t="shared" si="422"/>
        <v>812000</v>
      </c>
      <c r="CK73" s="314">
        <f t="shared" si="422"/>
        <v>599000</v>
      </c>
      <c r="CL73" s="314">
        <f t="shared" si="422"/>
        <v>521000</v>
      </c>
      <c r="CM73" s="314">
        <f t="shared" si="422"/>
        <v>939500</v>
      </c>
      <c r="CN73" s="314">
        <f t="shared" si="422"/>
        <v>165000</v>
      </c>
      <c r="CO73" s="314">
        <f t="shared" si="422"/>
        <v>250000</v>
      </c>
      <c r="CP73" s="314">
        <f t="shared" si="422"/>
        <v>215000</v>
      </c>
      <c r="CQ73" s="314">
        <f t="shared" si="422"/>
        <v>740000</v>
      </c>
      <c r="CR73" s="314">
        <f t="shared" si="422"/>
        <v>50000</v>
      </c>
      <c r="CS73" s="314">
        <f t="shared" si="422"/>
        <v>0</v>
      </c>
      <c r="CT73" s="314">
        <f t="shared" si="422"/>
        <v>600000</v>
      </c>
      <c r="CU73" s="314">
        <f t="shared" si="422"/>
        <v>91500</v>
      </c>
      <c r="CV73" s="314">
        <f t="shared" si="422"/>
        <v>128500</v>
      </c>
      <c r="CW73" s="314">
        <f t="shared" si="422"/>
        <v>0</v>
      </c>
      <c r="CX73" s="314">
        <f t="shared" si="422"/>
        <v>373468</v>
      </c>
      <c r="CY73" s="314">
        <f t="shared" si="422"/>
        <v>277673</v>
      </c>
      <c r="CZ73" s="314">
        <f t="shared" si="422"/>
        <v>50000</v>
      </c>
      <c r="DA73" s="314">
        <f t="shared" si="422"/>
        <v>0</v>
      </c>
      <c r="DB73" s="314">
        <f t="shared" si="422"/>
        <v>200000</v>
      </c>
      <c r="DC73" s="314">
        <f t="shared" si="422"/>
        <v>265000</v>
      </c>
      <c r="DD73" s="314">
        <f t="shared" si="422"/>
        <v>215000</v>
      </c>
      <c r="DE73" s="314">
        <f t="shared" si="422"/>
        <v>235000</v>
      </c>
      <c r="DF73" s="314">
        <f t="shared" si="422"/>
        <v>450000</v>
      </c>
      <c r="DG73" s="314">
        <f t="shared" si="422"/>
        <v>0</v>
      </c>
      <c r="DH73" s="314">
        <f t="shared" si="422"/>
        <v>105200</v>
      </c>
      <c r="DI73" s="314">
        <f t="shared" si="422"/>
        <v>33480</v>
      </c>
      <c r="DJ73" s="314">
        <f t="shared" si="422"/>
        <v>90000</v>
      </c>
      <c r="DK73" s="314">
        <f t="shared" si="422"/>
        <v>42480</v>
      </c>
      <c r="DL73" s="314">
        <f t="shared" si="422"/>
        <v>1452000</v>
      </c>
      <c r="DM73" s="314">
        <f t="shared" si="422"/>
        <v>508000</v>
      </c>
      <c r="DN73" s="314">
        <f t="shared" si="422"/>
        <v>554000</v>
      </c>
      <c r="DO73" s="314">
        <f t="shared" si="422"/>
        <v>0</v>
      </c>
      <c r="DP73" s="314">
        <f t="shared" si="422"/>
        <v>415000</v>
      </c>
      <c r="DQ73" s="314">
        <f t="shared" si="422"/>
        <v>330000</v>
      </c>
      <c r="DR73" s="314">
        <f t="shared" si="422"/>
        <v>54000</v>
      </c>
      <c r="DS73" s="314">
        <f t="shared" si="422"/>
        <v>0</v>
      </c>
      <c r="DT73" s="314">
        <f t="shared" si="422"/>
        <v>50000</v>
      </c>
      <c r="DU73" s="314">
        <f t="shared" si="422"/>
        <v>260000</v>
      </c>
      <c r="DV73" s="314">
        <f t="shared" si="422"/>
        <v>600000</v>
      </c>
      <c r="DW73" s="314">
        <f t="shared" si="422"/>
        <v>165000</v>
      </c>
      <c r="DX73" s="314">
        <f t="shared" si="422"/>
        <v>455000</v>
      </c>
      <c r="DY73" s="314">
        <f t="shared" si="422"/>
        <v>150000</v>
      </c>
      <c r="DZ73" s="314">
        <f t="shared" si="422"/>
        <v>0</v>
      </c>
      <c r="EA73" s="314">
        <f t="shared" ref="EA73:GL73" si="423">EA36</f>
        <v>130000</v>
      </c>
      <c r="EB73" s="314">
        <f t="shared" si="423"/>
        <v>225000</v>
      </c>
      <c r="EC73" s="314">
        <f t="shared" si="423"/>
        <v>121000</v>
      </c>
      <c r="ED73" s="314">
        <f t="shared" si="423"/>
        <v>391000</v>
      </c>
      <c r="EE73" s="314">
        <f t="shared" si="423"/>
        <v>110000</v>
      </c>
      <c r="EF73" s="314">
        <f t="shared" si="423"/>
        <v>115000</v>
      </c>
      <c r="EG73" s="314">
        <f t="shared" si="423"/>
        <v>10000</v>
      </c>
      <c r="EH73" s="314">
        <f t="shared" si="423"/>
        <v>80000</v>
      </c>
      <c r="EI73" s="314">
        <f t="shared" si="423"/>
        <v>122000</v>
      </c>
      <c r="EJ73" s="314">
        <f t="shared" si="423"/>
        <v>78000</v>
      </c>
      <c r="EK73" s="314">
        <f t="shared" si="423"/>
        <v>659000</v>
      </c>
      <c r="EL73" s="314">
        <f t="shared" si="423"/>
        <v>3015000</v>
      </c>
      <c r="EM73" s="314">
        <f t="shared" si="423"/>
        <v>581000</v>
      </c>
      <c r="EN73" s="314">
        <f t="shared" si="423"/>
        <v>0</v>
      </c>
      <c r="EO73" s="314">
        <f t="shared" si="423"/>
        <v>15000</v>
      </c>
      <c r="EP73" s="314">
        <f t="shared" si="423"/>
        <v>202000</v>
      </c>
      <c r="EQ73" s="314">
        <f t="shared" si="423"/>
        <v>40000</v>
      </c>
      <c r="ER73" s="314">
        <f t="shared" si="423"/>
        <v>4235000</v>
      </c>
      <c r="ES73" s="314">
        <f t="shared" si="423"/>
        <v>1619100</v>
      </c>
      <c r="ET73" s="314">
        <f t="shared" si="423"/>
        <v>0</v>
      </c>
      <c r="EU73" s="314">
        <f t="shared" si="423"/>
        <v>12000</v>
      </c>
      <c r="EV73" s="314">
        <f t="shared" si="423"/>
        <v>265000</v>
      </c>
      <c r="EW73" s="314">
        <f t="shared" si="423"/>
        <v>2210000</v>
      </c>
      <c r="EX73" s="314">
        <f t="shared" si="423"/>
        <v>3600000</v>
      </c>
      <c r="EY73" s="314">
        <f t="shared" si="423"/>
        <v>1460000</v>
      </c>
      <c r="EZ73" s="314">
        <f t="shared" si="423"/>
        <v>1761805</v>
      </c>
      <c r="FA73" s="314">
        <f t="shared" si="423"/>
        <v>996261</v>
      </c>
      <c r="FB73" s="314">
        <f t="shared" si="423"/>
        <v>0</v>
      </c>
      <c r="FC73" s="314">
        <f t="shared" si="423"/>
        <v>5962000</v>
      </c>
      <c r="FD73" s="314">
        <f t="shared" si="423"/>
        <v>1552100</v>
      </c>
      <c r="FE73" s="314">
        <f t="shared" si="423"/>
        <v>832200</v>
      </c>
      <c r="FF73" s="314">
        <f t="shared" si="423"/>
        <v>1000000</v>
      </c>
      <c r="FG73" s="314">
        <f t="shared" si="423"/>
        <v>2431500</v>
      </c>
      <c r="FH73" s="314">
        <f t="shared" si="423"/>
        <v>1641500</v>
      </c>
      <c r="FI73" s="314">
        <f t="shared" si="423"/>
        <v>1800000</v>
      </c>
      <c r="FJ73" s="314">
        <f t="shared" si="423"/>
        <v>1177383</v>
      </c>
      <c r="FK73" s="314">
        <f t="shared" si="423"/>
        <v>633403</v>
      </c>
      <c r="FL73" s="314">
        <f t="shared" si="423"/>
        <v>500000</v>
      </c>
      <c r="FM73" s="314">
        <f t="shared" si="423"/>
        <v>1813013</v>
      </c>
      <c r="FN73" s="314">
        <f t="shared" si="423"/>
        <v>1288895</v>
      </c>
      <c r="FO73" s="314">
        <f t="shared" si="423"/>
        <v>1078183</v>
      </c>
      <c r="FP73" s="314">
        <f t="shared" si="423"/>
        <v>4524544</v>
      </c>
      <c r="FQ73" s="314">
        <f t="shared" si="423"/>
        <v>118200</v>
      </c>
      <c r="FR73" s="314">
        <f t="shared" si="423"/>
        <v>0</v>
      </c>
      <c r="FS73" s="314">
        <f t="shared" si="423"/>
        <v>207067</v>
      </c>
      <c r="FT73" s="314">
        <f t="shared" si="423"/>
        <v>2240223.16</v>
      </c>
      <c r="FU73" s="314">
        <f t="shared" si="423"/>
        <v>204301</v>
      </c>
      <c r="FV73" s="314">
        <f t="shared" si="423"/>
        <v>1668344</v>
      </c>
      <c r="FW73" s="314">
        <f t="shared" si="423"/>
        <v>621321</v>
      </c>
      <c r="FX73" s="314">
        <f t="shared" si="423"/>
        <v>402204.18</v>
      </c>
      <c r="FY73" s="314">
        <f t="shared" si="423"/>
        <v>147190</v>
      </c>
      <c r="FZ73" s="314">
        <f t="shared" si="423"/>
        <v>5408290</v>
      </c>
      <c r="GA73" s="314">
        <f t="shared" si="423"/>
        <v>1110750</v>
      </c>
      <c r="GB73" s="314">
        <f t="shared" si="423"/>
        <v>4161580</v>
      </c>
      <c r="GC73" s="314">
        <f t="shared" si="423"/>
        <v>1427000</v>
      </c>
      <c r="GD73" s="314">
        <f t="shared" si="423"/>
        <v>3850000</v>
      </c>
      <c r="GE73" s="314">
        <f t="shared" si="423"/>
        <v>867259</v>
      </c>
      <c r="GF73" s="314">
        <f t="shared" si="423"/>
        <v>1561000</v>
      </c>
      <c r="GG73" s="314">
        <f t="shared" si="423"/>
        <v>900000</v>
      </c>
      <c r="GH73" s="314">
        <f t="shared" si="423"/>
        <v>480000</v>
      </c>
      <c r="GI73" s="314">
        <f t="shared" si="423"/>
        <v>7145000</v>
      </c>
      <c r="GJ73" s="314">
        <f t="shared" si="423"/>
        <v>991270</v>
      </c>
      <c r="GK73" s="314">
        <f t="shared" si="423"/>
        <v>742000</v>
      </c>
      <c r="GL73" s="314">
        <f t="shared" si="423"/>
        <v>653000</v>
      </c>
      <c r="GM73" s="314">
        <f t="shared" ref="GM73:IX73" si="424">GM36</f>
        <v>595000</v>
      </c>
      <c r="GN73" s="314">
        <f t="shared" si="424"/>
        <v>206397.66</v>
      </c>
      <c r="GO73" s="314">
        <f t="shared" si="424"/>
        <v>1504000</v>
      </c>
      <c r="GP73" s="314">
        <f t="shared" si="424"/>
        <v>1078336</v>
      </c>
      <c r="GQ73" s="314">
        <f t="shared" si="424"/>
        <v>1066404</v>
      </c>
      <c r="GR73" s="314">
        <f t="shared" si="424"/>
        <v>1293990</v>
      </c>
      <c r="GS73" s="314">
        <f t="shared" si="424"/>
        <v>849738.18</v>
      </c>
      <c r="GT73" s="314">
        <f t="shared" si="424"/>
        <v>5804362</v>
      </c>
      <c r="GU73" s="314">
        <f t="shared" si="424"/>
        <v>480000</v>
      </c>
      <c r="GV73" s="314">
        <f t="shared" si="424"/>
        <v>2636744.54</v>
      </c>
      <c r="GW73" s="314">
        <f t="shared" si="424"/>
        <v>1188833</v>
      </c>
      <c r="GX73" s="314">
        <f t="shared" si="424"/>
        <v>503673.85</v>
      </c>
      <c r="GY73" s="314">
        <f t="shared" si="424"/>
        <v>12590000</v>
      </c>
      <c r="GZ73" s="314">
        <f t="shared" si="424"/>
        <v>0</v>
      </c>
      <c r="HA73" s="314">
        <f t="shared" si="424"/>
        <v>7000000</v>
      </c>
      <c r="HB73" s="314">
        <f t="shared" si="424"/>
        <v>9050000</v>
      </c>
      <c r="HC73" s="314">
        <f t="shared" si="424"/>
        <v>6686000</v>
      </c>
      <c r="HD73" s="314">
        <f t="shared" si="424"/>
        <v>1897307</v>
      </c>
      <c r="HE73" s="314">
        <f t="shared" si="424"/>
        <v>2971345</v>
      </c>
      <c r="HF73" s="314">
        <f t="shared" si="424"/>
        <v>1230257</v>
      </c>
      <c r="HG73" s="314">
        <f t="shared" si="424"/>
        <v>405927.64</v>
      </c>
      <c r="HH73" s="314">
        <f t="shared" si="424"/>
        <v>1476086.36</v>
      </c>
      <c r="HI73" s="314">
        <f t="shared" si="424"/>
        <v>2590000</v>
      </c>
      <c r="HJ73" s="314">
        <f t="shared" si="424"/>
        <v>391200</v>
      </c>
      <c r="HK73" s="314">
        <f t="shared" si="424"/>
        <v>992500</v>
      </c>
      <c r="HL73" s="314">
        <f t="shared" si="424"/>
        <v>0</v>
      </c>
      <c r="HM73" s="314">
        <f t="shared" si="424"/>
        <v>0</v>
      </c>
      <c r="HN73" s="314">
        <f t="shared" si="424"/>
        <v>0</v>
      </c>
      <c r="HO73" s="314">
        <f t="shared" si="424"/>
        <v>0</v>
      </c>
      <c r="HP73" s="314">
        <f t="shared" si="424"/>
        <v>0</v>
      </c>
      <c r="HQ73" s="314">
        <f t="shared" si="424"/>
        <v>0</v>
      </c>
      <c r="HR73" s="314">
        <f t="shared" si="424"/>
        <v>0</v>
      </c>
      <c r="HS73" s="314">
        <f t="shared" si="424"/>
        <v>0</v>
      </c>
      <c r="HT73" s="314">
        <f t="shared" si="424"/>
        <v>0</v>
      </c>
      <c r="HU73" s="314">
        <f t="shared" si="424"/>
        <v>48866</v>
      </c>
      <c r="HV73" s="314">
        <f t="shared" si="424"/>
        <v>0</v>
      </c>
      <c r="HW73" s="314">
        <f t="shared" si="424"/>
        <v>0</v>
      </c>
      <c r="HX73" s="314">
        <f t="shared" si="424"/>
        <v>0</v>
      </c>
      <c r="HY73" s="314">
        <f t="shared" si="424"/>
        <v>10000</v>
      </c>
      <c r="HZ73" s="314">
        <f t="shared" si="424"/>
        <v>0</v>
      </c>
      <c r="IA73" s="314">
        <f t="shared" si="424"/>
        <v>0</v>
      </c>
      <c r="IB73" s="314">
        <f t="shared" si="424"/>
        <v>0</v>
      </c>
      <c r="IC73" s="314">
        <f t="shared" si="424"/>
        <v>0</v>
      </c>
      <c r="ID73" s="314">
        <f t="shared" si="424"/>
        <v>0</v>
      </c>
      <c r="IE73" s="314">
        <f t="shared" si="424"/>
        <v>0</v>
      </c>
      <c r="IF73" s="314">
        <f t="shared" si="424"/>
        <v>0</v>
      </c>
      <c r="IG73" s="314">
        <f t="shared" si="424"/>
        <v>0</v>
      </c>
      <c r="IH73" s="314">
        <f t="shared" si="424"/>
        <v>0</v>
      </c>
      <c r="II73" s="314">
        <f t="shared" si="424"/>
        <v>0</v>
      </c>
      <c r="IJ73" s="314">
        <f t="shared" si="424"/>
        <v>0</v>
      </c>
      <c r="IK73" s="314">
        <f t="shared" si="424"/>
        <v>0</v>
      </c>
      <c r="IL73" s="314">
        <f t="shared" si="424"/>
        <v>0</v>
      </c>
      <c r="IM73" s="314">
        <f t="shared" si="424"/>
        <v>0</v>
      </c>
      <c r="IN73" s="314">
        <f t="shared" si="424"/>
        <v>0</v>
      </c>
      <c r="IO73" s="314">
        <f t="shared" si="424"/>
        <v>0</v>
      </c>
      <c r="IP73" s="314">
        <f t="shared" si="424"/>
        <v>0</v>
      </c>
      <c r="IQ73" s="314">
        <f t="shared" si="424"/>
        <v>0</v>
      </c>
      <c r="IR73" s="314">
        <f t="shared" si="424"/>
        <v>0</v>
      </c>
      <c r="IS73" s="314">
        <f t="shared" si="424"/>
        <v>0</v>
      </c>
      <c r="IT73" s="314">
        <f t="shared" si="424"/>
        <v>0</v>
      </c>
      <c r="IU73" s="314">
        <f t="shared" si="424"/>
        <v>0</v>
      </c>
      <c r="IV73" s="314">
        <f t="shared" si="424"/>
        <v>0</v>
      </c>
      <c r="IW73" s="314">
        <f t="shared" si="424"/>
        <v>0</v>
      </c>
      <c r="IX73" s="314">
        <f t="shared" si="424"/>
        <v>0</v>
      </c>
      <c r="IY73" s="314">
        <f t="shared" ref="IY73:JH73" si="425">IY36</f>
        <v>0</v>
      </c>
      <c r="IZ73" s="314">
        <f t="shared" si="425"/>
        <v>0</v>
      </c>
      <c r="JA73" s="314">
        <f t="shared" si="425"/>
        <v>78000</v>
      </c>
      <c r="JB73" s="314">
        <f t="shared" si="425"/>
        <v>160000</v>
      </c>
      <c r="JC73" s="314">
        <f t="shared" si="425"/>
        <v>80000</v>
      </c>
      <c r="JD73" s="314">
        <f t="shared" si="425"/>
        <v>101900</v>
      </c>
      <c r="JE73" s="314">
        <f t="shared" si="425"/>
        <v>0</v>
      </c>
      <c r="JF73" s="314">
        <f t="shared" si="425"/>
        <v>0</v>
      </c>
      <c r="JG73" s="314">
        <f t="shared" si="425"/>
        <v>21000</v>
      </c>
      <c r="JH73" s="314">
        <f t="shared" si="425"/>
        <v>0</v>
      </c>
      <c r="JI73" s="314">
        <f t="shared" si="327"/>
        <v>195775614.50999999</v>
      </c>
      <c r="JL73" s="307">
        <f t="shared" ref="JL73:JO78" si="426">SUMIFS($C73:$JH73,$C$5:$JH$5,JL$5)</f>
        <v>530000</v>
      </c>
      <c r="JM73" s="307">
        <f t="shared" si="426"/>
        <v>58811959.939999998</v>
      </c>
      <c r="JN73" s="307">
        <f t="shared" si="426"/>
        <v>135933888.56999999</v>
      </c>
      <c r="JO73" s="307">
        <f t="shared" si="426"/>
        <v>499766</v>
      </c>
      <c r="JP73" s="307">
        <f t="shared" ref="JP73:JP78" si="427">SUM(JL73:JO73)</f>
        <v>195775614.50999999</v>
      </c>
    </row>
    <row r="74" spans="1:276" x14ac:dyDescent="0.25">
      <c r="B74" s="313" t="str">
        <f>B37</f>
        <v>IP 2019</v>
      </c>
      <c r="C74" s="314">
        <f>IFERROR(VLOOKUP(C$1,'IP 2019'!$N$2:$O$51,2,FALSE),0)</f>
        <v>0</v>
      </c>
      <c r="D74" s="314">
        <f>IFERROR(VLOOKUP(D$1,'IP 2019'!$N$2:$O$51,2,FALSE),0)</f>
        <v>0</v>
      </c>
      <c r="E74" s="314">
        <f>IFERROR(VLOOKUP(E$1,'IP 2019'!$N$2:$O$51,2,FALSE),0)</f>
        <v>0</v>
      </c>
      <c r="F74" s="314">
        <f>IFERROR(VLOOKUP(F$1,'IP 2019'!$N$2:$O$51,2,FALSE),0)</f>
        <v>0</v>
      </c>
      <c r="G74" s="314">
        <f>IFERROR(VLOOKUP(G$1,'IP 2019'!$N$2:$O$51,2,FALSE),0)</f>
        <v>0</v>
      </c>
      <c r="H74" s="314">
        <f>IFERROR(VLOOKUP(H$1,'IP 2019'!$N$2:$O$51,2,FALSE),0)</f>
        <v>0</v>
      </c>
      <c r="I74" s="314">
        <f>IFERROR(VLOOKUP(I$1,'IP 2019'!$N$2:$O$51,2,FALSE),0)</f>
        <v>599462</v>
      </c>
      <c r="J74" s="314">
        <f>IFERROR(VLOOKUP(J$1,'IP 2019'!$N$2:$O$51,2,FALSE),0)</f>
        <v>1125716</v>
      </c>
      <c r="K74" s="314">
        <f>IFERROR(VLOOKUP(K$1,'IP 2019'!$N$2:$O$51,2,FALSE),0)</f>
        <v>2261112</v>
      </c>
      <c r="L74" s="314">
        <f>IFERROR(VLOOKUP(L$1,'IP 2019'!$N$2:$O$51,2,FALSE),0)</f>
        <v>0</v>
      </c>
      <c r="M74" s="314">
        <f>IFERROR(VLOOKUP(M$1,'IP 2019'!$N$2:$O$51,2,FALSE),0)</f>
        <v>0</v>
      </c>
      <c r="N74" s="314">
        <f>IFERROR(VLOOKUP(N$1,'IP 2019'!$N$2:$O$51,2,FALSE),0)</f>
        <v>0</v>
      </c>
      <c r="O74" s="314">
        <f>IFERROR(VLOOKUP(O$1,'IP 2019'!$N$2:$O$51,2,FALSE),0)</f>
        <v>0</v>
      </c>
      <c r="P74" s="314">
        <f>IFERROR(VLOOKUP(P$1,'IP 2019'!$N$2:$O$51,2,FALSE),0)</f>
        <v>0</v>
      </c>
      <c r="Q74" s="314">
        <f>IFERROR(VLOOKUP(Q$1,'IP 2019'!$N$2:$O$51,2,FALSE),0)</f>
        <v>0</v>
      </c>
      <c r="R74" s="314">
        <f>IFERROR(VLOOKUP(R$1,'IP 2019'!$N$2:$O$51,2,FALSE),0)</f>
        <v>0</v>
      </c>
      <c r="S74" s="314">
        <f>IFERROR(VLOOKUP(S$1,'IP 2019'!$N$2:$O$51,2,FALSE),0)</f>
        <v>0</v>
      </c>
      <c r="T74" s="314">
        <f>IFERROR(VLOOKUP(T$1,'IP 2019'!$N$2:$O$51,2,FALSE),0)</f>
        <v>0</v>
      </c>
      <c r="U74" s="314">
        <f>IFERROR(VLOOKUP(U$1,'IP 2019'!$N$2:$O$51,2,FALSE),0)</f>
        <v>0</v>
      </c>
      <c r="V74" s="314">
        <f>IFERROR(VLOOKUP(V$1,'IP 2019'!$N$2:$O$51,2,FALSE),0)</f>
        <v>0</v>
      </c>
      <c r="W74" s="314">
        <f>IFERROR(VLOOKUP(W$1,'IP 2019'!$N$2:$O$51,2,FALSE),0)</f>
        <v>0</v>
      </c>
      <c r="X74" s="314">
        <f>IFERROR(VLOOKUP(X$1,'IP 2019'!$N$2:$O$51,2,FALSE),0)</f>
        <v>0</v>
      </c>
      <c r="Y74" s="314">
        <f>IFERROR(VLOOKUP(Y$1,'IP 2019'!$N$2:$O$51,2,FALSE),0)</f>
        <v>0</v>
      </c>
      <c r="Z74" s="314">
        <f>IFERROR(VLOOKUP(Z$1,'IP 2019'!$N$2:$O$51,2,FALSE),0)</f>
        <v>0</v>
      </c>
      <c r="AA74" s="314">
        <f>IFERROR(VLOOKUP(AA$1,'IP 2019'!$N$2:$O$51,2,FALSE),0)</f>
        <v>1105710</v>
      </c>
      <c r="AB74" s="314">
        <f>IFERROR(VLOOKUP(AB$1,'IP 2019'!$N$2:$O$51,2,FALSE),0)</f>
        <v>0</v>
      </c>
      <c r="AC74" s="314">
        <f>IFERROR(VLOOKUP(AC$1,'IP 2019'!$N$2:$O$51,2,FALSE),0)</f>
        <v>0</v>
      </c>
      <c r="AD74" s="314">
        <f>IFERROR(VLOOKUP(AD$1,'IP 2019'!$N$2:$O$51,2,FALSE),0)</f>
        <v>0</v>
      </c>
      <c r="AE74" s="314">
        <f>IFERROR(VLOOKUP(AE$1,'IP 2019'!$N$2:$O$51,2,FALSE),0)</f>
        <v>1029711</v>
      </c>
      <c r="AF74" s="314">
        <f>IFERROR(VLOOKUP(AF$1,'IP 2019'!$N$2:$O$51,2,FALSE),0)</f>
        <v>2104207</v>
      </c>
      <c r="AG74" s="314">
        <f>IFERROR(VLOOKUP(AG$1,'IP 2019'!$N$2:$O$51,2,FALSE),0)</f>
        <v>0</v>
      </c>
      <c r="AH74" s="314">
        <f>IFERROR(VLOOKUP(AH$1,'IP 2019'!$N$2:$O$51,2,FALSE),0)</f>
        <v>0</v>
      </c>
      <c r="AI74" s="314">
        <f>IFERROR(VLOOKUP(AI$1,'IP 2019'!$N$2:$O$51,2,FALSE),0)</f>
        <v>0</v>
      </c>
      <c r="AJ74" s="314">
        <f>IFERROR(VLOOKUP(AJ$1,'IP 2019'!$N$2:$O$51,2,FALSE),0)</f>
        <v>0</v>
      </c>
      <c r="AK74" s="314">
        <f>IFERROR(VLOOKUP(AK$1,'IP 2019'!$N$2:$O$51,2,FALSE),0)</f>
        <v>0</v>
      </c>
      <c r="AL74" s="314">
        <f>IFERROR(VLOOKUP(AL$1,'IP 2019'!$N$2:$O$51,2,FALSE),0)</f>
        <v>814208</v>
      </c>
      <c r="AM74" s="314">
        <f>IFERROR(VLOOKUP(AM$1,'IP 2019'!$N$2:$O$51,2,FALSE),0)</f>
        <v>0</v>
      </c>
      <c r="AN74" s="314">
        <f>IFERROR(VLOOKUP(AN$1,'IP 2019'!$N$2:$O$51,2,FALSE),0)</f>
        <v>0</v>
      </c>
      <c r="AO74" s="314">
        <f>IFERROR(VLOOKUP(AO$1,'IP 2019'!$N$2:$O$51,2,FALSE),0)</f>
        <v>0</v>
      </c>
      <c r="AP74" s="314">
        <f>IFERROR(VLOOKUP(AP$1,'IP 2019'!$N$2:$O$51,2,FALSE),0)</f>
        <v>0</v>
      </c>
      <c r="AQ74" s="314">
        <f>IFERROR(VLOOKUP(AQ$1,'IP 2019'!$N$2:$O$51,2,FALSE),0)</f>
        <v>0</v>
      </c>
      <c r="AR74" s="314">
        <f>IFERROR(VLOOKUP(AR$1,'IP 2019'!$N$2:$O$51,2,FALSE),0)</f>
        <v>0</v>
      </c>
      <c r="AS74" s="314">
        <f>IFERROR(VLOOKUP(AS$1,'IP 2019'!$N$2:$O$51,2,FALSE),0)</f>
        <v>0</v>
      </c>
      <c r="AT74" s="314">
        <f>IFERROR(VLOOKUP(AT$1,'IP 2019'!$N$2:$O$51,2,FALSE),0)</f>
        <v>0</v>
      </c>
      <c r="AU74" s="314">
        <f>IFERROR(VLOOKUP(AU$1,'IP 2019'!$N$2:$O$51,2,FALSE),0)</f>
        <v>0</v>
      </c>
      <c r="AV74" s="314">
        <f>IFERROR(VLOOKUP(AV$1,'IP 2019'!$N$2:$O$51,2,FALSE),0)</f>
        <v>815468</v>
      </c>
      <c r="AW74" s="314">
        <f>IFERROR(VLOOKUP(AW$1,'IP 2019'!$N$2:$O$51,2,FALSE),0)</f>
        <v>1382185</v>
      </c>
      <c r="AX74" s="314">
        <f>IFERROR(VLOOKUP(AX$1,'IP 2019'!$N$2:$O$51,2,FALSE),0)</f>
        <v>0</v>
      </c>
      <c r="AY74" s="314">
        <f>IFERROR(VLOOKUP(AY$1,'IP 2019'!$N$2:$O$51,2,FALSE),0)</f>
        <v>0</v>
      </c>
      <c r="AZ74" s="314">
        <f>IFERROR(VLOOKUP(AZ$1,'IP 2019'!$N$2:$O$51,2,FALSE),0)</f>
        <v>0</v>
      </c>
      <c r="BA74" s="314">
        <f>IFERROR(VLOOKUP(BA$1,'IP 2019'!$N$2:$O$51,2,FALSE),0)</f>
        <v>0</v>
      </c>
      <c r="BB74" s="314">
        <f>IFERROR(VLOOKUP(BB$1,'IP 2019'!$N$2:$O$51,2,FALSE),0)</f>
        <v>0</v>
      </c>
      <c r="BC74" s="314">
        <f>IFERROR(VLOOKUP(BC$1,'IP 2019'!$N$2:$O$51,2,FALSE),0)</f>
        <v>0</v>
      </c>
      <c r="BD74" s="314">
        <f>IFERROR(VLOOKUP(BD$1,'IP 2019'!$N$2:$O$51,2,FALSE),0)</f>
        <v>0</v>
      </c>
      <c r="BE74" s="314">
        <f>IFERROR(VLOOKUP(BE$1,'IP 2019'!$N$2:$O$51,2,FALSE),0)</f>
        <v>0</v>
      </c>
      <c r="BF74" s="314">
        <f>IFERROR(VLOOKUP(BF$1,'IP 2019'!$N$2:$O$51,2,FALSE),0)</f>
        <v>0</v>
      </c>
      <c r="BG74" s="314">
        <f>IFERROR(VLOOKUP(BG$1,'IP 2019'!$N$2:$O$51,2,FALSE),0)</f>
        <v>0</v>
      </c>
      <c r="BH74" s="314">
        <f>IFERROR(VLOOKUP(BH$1,'IP 2019'!$N$2:$O$51,2,FALSE),0)</f>
        <v>0</v>
      </c>
      <c r="BI74" s="314">
        <f>IFERROR(VLOOKUP(BI$1,'IP 2019'!$N$2:$O$51,2,FALSE),0)</f>
        <v>0</v>
      </c>
      <c r="BJ74" s="314">
        <f>IFERROR(VLOOKUP(BJ$1,'IP 2019'!$N$2:$O$51,2,FALSE),0)</f>
        <v>0</v>
      </c>
      <c r="BK74" s="314">
        <f>IFERROR(VLOOKUP(BK$1,'IP 2019'!$N$2:$O$51,2,FALSE),0)</f>
        <v>852000</v>
      </c>
      <c r="BL74" s="314">
        <f>IFERROR(VLOOKUP(BL$1,'IP 2019'!$N$2:$O$51,2,FALSE),0)</f>
        <v>0</v>
      </c>
      <c r="BM74" s="314">
        <f>IFERROR(VLOOKUP(BM$1,'IP 2019'!$N$2:$O$51,2,FALSE),0)</f>
        <v>0</v>
      </c>
      <c r="BN74" s="314">
        <f>IFERROR(VLOOKUP(BN$1,'IP 2019'!$N$2:$O$51,2,FALSE),0)</f>
        <v>0</v>
      </c>
      <c r="BO74" s="314">
        <f>IFERROR(VLOOKUP(BO$1,'IP 2019'!$N$2:$O$51,2,FALSE),0)</f>
        <v>0</v>
      </c>
      <c r="BP74" s="314">
        <f>IFERROR(VLOOKUP(BP$1,'IP 2019'!$N$2:$O$51,2,FALSE),0)</f>
        <v>0</v>
      </c>
      <c r="BQ74" s="314">
        <f>IFERROR(VLOOKUP(BQ$1,'IP 2019'!$N$2:$O$51,2,FALSE),0)</f>
        <v>323681</v>
      </c>
      <c r="BR74" s="314">
        <f>IFERROR(VLOOKUP(BR$1,'IP 2019'!$N$2:$O$51,2,FALSE),0)</f>
        <v>0</v>
      </c>
      <c r="BS74" s="314">
        <f>IFERROR(VLOOKUP(BS$1,'IP 2019'!$N$2:$O$51,2,FALSE),0)</f>
        <v>0</v>
      </c>
      <c r="BT74" s="314">
        <f>IFERROR(VLOOKUP(BT$1,'IP 2019'!$N$2:$O$51,2,FALSE),0)</f>
        <v>0</v>
      </c>
      <c r="BU74" s="314">
        <f>IFERROR(VLOOKUP(BU$1,'IP 2019'!$N$2:$O$51,2,FALSE),0)</f>
        <v>0</v>
      </c>
      <c r="BV74" s="314">
        <f>IFERROR(VLOOKUP(BV$1,'IP 2019'!$N$2:$O$51,2,FALSE),0)</f>
        <v>0</v>
      </c>
      <c r="BW74" s="314">
        <f>IFERROR(VLOOKUP(BW$1,'IP 2019'!$N$2:$O$51,2,FALSE),0)</f>
        <v>0</v>
      </c>
      <c r="BX74" s="314">
        <f>IFERROR(VLOOKUP(BX$1,'IP 2019'!$N$2:$O$51,2,FALSE),0)</f>
        <v>0</v>
      </c>
      <c r="BY74" s="314">
        <f>IFERROR(VLOOKUP(BY$1,'IP 2019'!$N$2:$O$51,2,FALSE),0)</f>
        <v>0</v>
      </c>
      <c r="BZ74" s="314">
        <f>IFERROR(VLOOKUP(BZ$1,'IP 2019'!$N$2:$O$51,2,FALSE),0)</f>
        <v>0</v>
      </c>
      <c r="CA74" s="314">
        <f>IFERROR(VLOOKUP(CA$1,'IP 2019'!$N$2:$O$51,2,FALSE),0)</f>
        <v>0</v>
      </c>
      <c r="CB74" s="314">
        <f>IFERROR(VLOOKUP(CB$1,'IP 2019'!$N$2:$O$51,2,FALSE),0)</f>
        <v>0</v>
      </c>
      <c r="CC74" s="314">
        <f>IFERROR(VLOOKUP(CC$1,'IP 2019'!$N$2:$O$51,2,FALSE),0)</f>
        <v>0</v>
      </c>
      <c r="CD74" s="314">
        <f>IFERROR(VLOOKUP(CD$1,'IP 2019'!$N$2:$O$51,2,FALSE),0)</f>
        <v>0</v>
      </c>
      <c r="CE74" s="314">
        <f>IFERROR(VLOOKUP(CE$1,'IP 2019'!$N$2:$O$51,2,FALSE),0)</f>
        <v>0</v>
      </c>
      <c r="CF74" s="314">
        <f>IFERROR(VLOOKUP(CF$1,'IP 2019'!$N$2:$O$51,2,FALSE),0)</f>
        <v>0</v>
      </c>
      <c r="CG74" s="314">
        <f>IFERROR(VLOOKUP(CG$1,'IP 2019'!$N$2:$O$51,2,FALSE),0)</f>
        <v>7324486</v>
      </c>
      <c r="CH74" s="314">
        <f>IFERROR(VLOOKUP(CH$1,'IP 2019'!$N$2:$O$51,2,FALSE),0)</f>
        <v>1334896</v>
      </c>
      <c r="CI74" s="314">
        <f>IFERROR(VLOOKUP(CI$1,'IP 2019'!$N$2:$O$51,2,FALSE),0)</f>
        <v>1144916</v>
      </c>
      <c r="CJ74" s="314">
        <f>IFERROR(VLOOKUP(CJ$1,'IP 2019'!$N$2:$O$51,2,FALSE),0)</f>
        <v>1102190</v>
      </c>
      <c r="CK74" s="314">
        <f>IFERROR(VLOOKUP(CK$1,'IP 2019'!$N$2:$O$51,2,FALSE),0)</f>
        <v>0</v>
      </c>
      <c r="CL74" s="314">
        <f>IFERROR(VLOOKUP(CL$1,'IP 2019'!$N$2:$O$51,2,FALSE),0)</f>
        <v>987598</v>
      </c>
      <c r="CM74" s="314">
        <f>IFERROR(VLOOKUP(CM$1,'IP 2019'!$N$2:$O$51,2,FALSE),0)</f>
        <v>0</v>
      </c>
      <c r="CN74" s="314">
        <f>IFERROR(VLOOKUP(CN$1,'IP 2019'!$N$2:$O$51,2,FALSE),0)</f>
        <v>0</v>
      </c>
      <c r="CO74" s="314">
        <f>IFERROR(VLOOKUP(CO$1,'IP 2019'!$N$2:$O$51,2,FALSE),0)</f>
        <v>0</v>
      </c>
      <c r="CP74" s="314">
        <f>IFERROR(VLOOKUP(CP$1,'IP 2019'!$N$2:$O$51,2,FALSE),0)</f>
        <v>0</v>
      </c>
      <c r="CQ74" s="314">
        <f>IFERROR(VLOOKUP(CQ$1,'IP 2019'!$N$2:$O$51,2,FALSE),0)</f>
        <v>1821286</v>
      </c>
      <c r="CR74" s="314">
        <f>IFERROR(VLOOKUP(CR$1,'IP 2019'!$N$2:$O$51,2,FALSE),0)</f>
        <v>0</v>
      </c>
      <c r="CS74" s="314">
        <f>IFERROR(VLOOKUP(CS$1,'IP 2019'!$N$2:$O$51,2,FALSE),0)</f>
        <v>0</v>
      </c>
      <c r="CT74" s="314">
        <f>IFERROR(VLOOKUP(CT$1,'IP 2019'!$N$2:$O$51,2,FALSE),0)</f>
        <v>2207412</v>
      </c>
      <c r="CU74" s="314">
        <f>IFERROR(VLOOKUP(CU$1,'IP 2019'!$N$2:$O$51,2,FALSE),0)</f>
        <v>0</v>
      </c>
      <c r="CV74" s="314">
        <f>IFERROR(VLOOKUP(CV$1,'IP 2019'!$N$2:$O$51,2,FALSE),0)</f>
        <v>0</v>
      </c>
      <c r="CW74" s="314">
        <f>IFERROR(VLOOKUP(CW$1,'IP 2019'!$N$2:$O$51,2,FALSE),0)</f>
        <v>0</v>
      </c>
      <c r="CX74" s="314">
        <f>IFERROR(VLOOKUP(CX$1,'IP 2019'!$N$2:$O$51,2,FALSE),0)</f>
        <v>0</v>
      </c>
      <c r="CY74" s="314">
        <f>IFERROR(VLOOKUP(CY$1,'IP 2019'!$N$2:$O$51,2,FALSE),0)</f>
        <v>0</v>
      </c>
      <c r="CZ74" s="314">
        <f>IFERROR(VLOOKUP(CZ$1,'IP 2019'!$N$2:$O$51,2,FALSE),0)</f>
        <v>1006700</v>
      </c>
      <c r="DA74" s="314">
        <f>IFERROR(VLOOKUP(DA$1,'IP 2019'!$N$2:$O$51,2,FALSE),0)</f>
        <v>0</v>
      </c>
      <c r="DB74" s="314">
        <f>IFERROR(VLOOKUP(DB$1,'IP 2019'!$N$2:$O$51,2,FALSE),0)</f>
        <v>0</v>
      </c>
      <c r="DC74" s="314">
        <f>IFERROR(VLOOKUP(DC$1,'IP 2019'!$N$2:$O$51,2,FALSE),0)</f>
        <v>0</v>
      </c>
      <c r="DD74" s="314">
        <f>IFERROR(VLOOKUP(DD$1,'IP 2019'!$N$2:$O$51,2,FALSE),0)</f>
        <v>2172273</v>
      </c>
      <c r="DE74" s="314">
        <f>IFERROR(VLOOKUP(DE$1,'IP 2019'!$N$2:$O$51,2,FALSE),0)</f>
        <v>6197056</v>
      </c>
      <c r="DF74" s="314">
        <f>IFERROR(VLOOKUP(DF$1,'IP 2019'!$N$2:$O$51,2,FALSE),0)</f>
        <v>2503432</v>
      </c>
      <c r="DG74" s="314">
        <f>IFERROR(VLOOKUP(DG$1,'IP 2019'!$N$2:$O$51,2,FALSE),0)</f>
        <v>0</v>
      </c>
      <c r="DH74" s="314">
        <f>IFERROR(VLOOKUP(DH$1,'IP 2019'!$N$2:$O$51,2,FALSE),0)</f>
        <v>688392.64</v>
      </c>
      <c r="DI74" s="314">
        <f>IFERROR(VLOOKUP(DI$1,'IP 2019'!$N$2:$O$51,2,FALSE),0)</f>
        <v>447816</v>
      </c>
      <c r="DJ74" s="314">
        <f>IFERROR(VLOOKUP(DJ$1,'IP 2019'!$N$2:$O$51,2,FALSE),0)</f>
        <v>972918</v>
      </c>
      <c r="DK74" s="314">
        <f>IFERROR(VLOOKUP(DK$1,'IP 2019'!$N$2:$O$51,2,FALSE),0)</f>
        <v>393535</v>
      </c>
      <c r="DL74" s="314">
        <f>IFERROR(VLOOKUP(DL$1,'IP 2019'!$N$2:$O$51,2,FALSE),0)</f>
        <v>0</v>
      </c>
      <c r="DM74" s="314">
        <f>IFERROR(VLOOKUP(DM$1,'IP 2019'!$N$2:$O$51,2,FALSE),0)</f>
        <v>0</v>
      </c>
      <c r="DN74" s="314">
        <f>IFERROR(VLOOKUP(DN$1,'IP 2019'!$N$2:$O$51,2,FALSE),0)</f>
        <v>0</v>
      </c>
      <c r="DO74" s="314">
        <f>IFERROR(VLOOKUP(DO$1,'IP 2019'!$N$2:$O$51,2,FALSE),0)</f>
        <v>0</v>
      </c>
      <c r="DP74" s="314">
        <f>IFERROR(VLOOKUP(DP$1,'IP 2019'!$N$2:$O$51,2,FALSE),0)</f>
        <v>0</v>
      </c>
      <c r="DQ74" s="314">
        <f>IFERROR(VLOOKUP(DQ$1,'IP 2019'!$N$2:$O$51,2,FALSE),0)</f>
        <v>1603289</v>
      </c>
      <c r="DR74" s="314">
        <f>IFERROR(VLOOKUP(DR$1,'IP 2019'!$N$2:$O$51,2,FALSE),0)</f>
        <v>1525738</v>
      </c>
      <c r="DS74" s="314">
        <f>IFERROR(VLOOKUP(DS$1,'IP 2019'!$N$2:$O$51,2,FALSE),0)</f>
        <v>0</v>
      </c>
      <c r="DT74" s="314">
        <f>IFERROR(VLOOKUP(DT$1,'IP 2019'!$N$2:$O$51,2,FALSE),0)</f>
        <v>0</v>
      </c>
      <c r="DU74" s="314">
        <f>IFERROR(VLOOKUP(DU$1,'IP 2019'!$N$2:$O$51,2,FALSE),0)</f>
        <v>512809</v>
      </c>
      <c r="DV74" s="314">
        <f>IFERROR(VLOOKUP(DV$1,'IP 2019'!$N$2:$O$51,2,FALSE),0)</f>
        <v>0</v>
      </c>
      <c r="DW74" s="314">
        <f>IFERROR(VLOOKUP(DW$1,'IP 2019'!$N$2:$O$51,2,FALSE),0)</f>
        <v>0</v>
      </c>
      <c r="DX74" s="314">
        <f>IFERROR(VLOOKUP(DX$1,'IP 2019'!$N$2:$O$51,2,FALSE),0)</f>
        <v>1520357</v>
      </c>
      <c r="DY74" s="314">
        <f>IFERROR(VLOOKUP(DY$1,'IP 2019'!$N$2:$O$51,2,FALSE),0)</f>
        <v>0</v>
      </c>
      <c r="DZ74" s="314">
        <f>IFERROR(VLOOKUP(DZ$1,'IP 2019'!$N$2:$O$51,2,FALSE),0)</f>
        <v>0</v>
      </c>
      <c r="EA74" s="314">
        <f>IFERROR(VLOOKUP(EA$1,'IP 2019'!$N$2:$O$51,2,FALSE),0)</f>
        <v>0</v>
      </c>
      <c r="EB74" s="314">
        <f>IFERROR(VLOOKUP(EB$1,'IP 2019'!$N$2:$O$51,2,FALSE),0)</f>
        <v>0</v>
      </c>
      <c r="EC74" s="314">
        <f>IFERROR(VLOOKUP(EC$1,'IP 2019'!$N$2:$O$51,2,FALSE),0)</f>
        <v>0</v>
      </c>
      <c r="ED74" s="314">
        <f>IFERROR(VLOOKUP(ED$1,'IP 2019'!$N$2:$O$51,2,FALSE),0)</f>
        <v>0</v>
      </c>
      <c r="EE74" s="314">
        <f>IFERROR(VLOOKUP(EE$1,'IP 2019'!$N$2:$O$51,2,FALSE),0)</f>
        <v>0</v>
      </c>
      <c r="EF74" s="314">
        <f>IFERROR(VLOOKUP(EF$1,'IP 2019'!$N$2:$O$51,2,FALSE),0)</f>
        <v>0</v>
      </c>
      <c r="EG74" s="314">
        <f>IFERROR(VLOOKUP(EG$1,'IP 2019'!$N$2:$O$51,2,FALSE),0)</f>
        <v>0</v>
      </c>
      <c r="EH74" s="314">
        <f>IFERROR(VLOOKUP(EH$1,'IP 2019'!$N$2:$O$51,2,FALSE),0)</f>
        <v>0</v>
      </c>
      <c r="EI74" s="314">
        <f>IFERROR(VLOOKUP(EI$1,'IP 2019'!$N$2:$O$51,2,FALSE),0)</f>
        <v>0</v>
      </c>
      <c r="EJ74" s="314">
        <f>IFERROR(VLOOKUP(EJ$1,'IP 2019'!$N$2:$O$51,2,FALSE),0)</f>
        <v>458374</v>
      </c>
      <c r="EK74" s="314">
        <f>IFERROR(VLOOKUP(EK$1,'IP 2019'!$N$2:$O$51,2,FALSE),0)</f>
        <v>0</v>
      </c>
      <c r="EL74" s="314">
        <f>IFERROR(VLOOKUP(EL$1,'IP 2019'!$N$2:$O$51,2,FALSE),0)</f>
        <v>0</v>
      </c>
      <c r="EM74" s="314">
        <f>IFERROR(VLOOKUP(EM$1,'IP 2019'!$N$2:$O$51,2,FALSE),0)</f>
        <v>0</v>
      </c>
      <c r="EN74" s="314">
        <f>IFERROR(VLOOKUP(EN$1,'IP 2019'!$N$2:$O$51,2,FALSE),0)</f>
        <v>967498</v>
      </c>
      <c r="EO74" s="314">
        <f>IFERROR(VLOOKUP(EO$1,'IP 2019'!$N$2:$O$51,2,FALSE),0)</f>
        <v>0</v>
      </c>
      <c r="EP74" s="314">
        <f>IFERROR(VLOOKUP(EP$1,'IP 2019'!$N$2:$O$51,2,FALSE),0)</f>
        <v>0</v>
      </c>
      <c r="EQ74" s="314">
        <f>IFERROR(VLOOKUP(EQ$1,'IP 2019'!$N$2:$O$51,2,FALSE),0)</f>
        <v>653384</v>
      </c>
      <c r="ER74" s="314">
        <f>IFERROR(VLOOKUP(ER$1,'IP 2019'!$N$2:$O$51,2,FALSE),0)</f>
        <v>0</v>
      </c>
      <c r="ES74" s="314">
        <f>IFERROR(VLOOKUP(ES$1,'IP 2019'!$N$2:$O$51,2,FALSE),0)</f>
        <v>0</v>
      </c>
      <c r="ET74" s="314">
        <f>IFERROR(VLOOKUP(ET$1,'IP 2019'!$N$2:$O$51,2,FALSE),0)</f>
        <v>0</v>
      </c>
      <c r="EU74" s="314">
        <f>IFERROR(VLOOKUP(EU$1,'IP 2019'!$N$2:$O$51,2,FALSE),0)</f>
        <v>0</v>
      </c>
      <c r="EV74" s="314">
        <f>IFERROR(VLOOKUP(EV$1,'IP 2019'!$N$2:$O$51,2,FALSE),0)</f>
        <v>0</v>
      </c>
      <c r="EW74" s="314">
        <f>IFERROR(VLOOKUP(EW$1,'IP 2019'!$N$2:$O$51,2,FALSE),0)</f>
        <v>0</v>
      </c>
      <c r="EX74" s="314">
        <f>IFERROR(VLOOKUP(EX$1,'IP 2019'!$N$2:$O$51,2,FALSE),0)</f>
        <v>0</v>
      </c>
      <c r="EY74" s="314">
        <f>IFERROR(VLOOKUP(EY$1,'IP 2019'!$N$2:$O$51,2,FALSE),0)</f>
        <v>1020025</v>
      </c>
      <c r="EZ74" s="314">
        <f>IFERROR(VLOOKUP(EZ$1,'IP 2019'!$N$2:$O$51,2,FALSE),0)</f>
        <v>0</v>
      </c>
      <c r="FA74" s="314">
        <f>IFERROR(VLOOKUP(FA$1,'IP 2019'!$N$2:$O$51,2,FALSE),0)</f>
        <v>0</v>
      </c>
      <c r="FB74" s="314">
        <f>IFERROR(VLOOKUP(FB$1,'IP 2019'!$N$2:$O$51,2,FALSE),0)</f>
        <v>0</v>
      </c>
      <c r="FC74" s="314">
        <f>IFERROR(VLOOKUP(FC$1,'IP 2019'!$N$2:$O$51,2,FALSE),0)</f>
        <v>0</v>
      </c>
      <c r="FD74" s="314">
        <f>IFERROR(VLOOKUP(FD$1,'IP 2019'!$N$2:$O$51,2,FALSE),0)</f>
        <v>402081</v>
      </c>
      <c r="FE74" s="314">
        <f>IFERROR(VLOOKUP(FE$1,'IP 2019'!$N$2:$O$51,2,FALSE),0)</f>
        <v>0</v>
      </c>
      <c r="FF74" s="314">
        <f>IFERROR(VLOOKUP(FF$1,'IP 2019'!$N$2:$O$51,2,FALSE),0)</f>
        <v>0</v>
      </c>
      <c r="FG74" s="314">
        <f>IFERROR(VLOOKUP(FG$1,'IP 2019'!$N$2:$O$51,2,FALSE),0)</f>
        <v>0</v>
      </c>
      <c r="FH74" s="314">
        <f>IFERROR(VLOOKUP(FH$1,'IP 2019'!$N$2:$O$51,2,FALSE),0)</f>
        <v>0</v>
      </c>
      <c r="FI74" s="314">
        <f>IFERROR(VLOOKUP(FI$1,'IP 2019'!$N$2:$O$51,2,FALSE),0)</f>
        <v>0</v>
      </c>
      <c r="FJ74" s="314">
        <f>IFERROR(VLOOKUP(FJ$1,'IP 2019'!$N$2:$O$51,2,FALSE),0)</f>
        <v>0</v>
      </c>
      <c r="FK74" s="314">
        <f>IFERROR(VLOOKUP(FK$1,'IP 2019'!$N$2:$O$51,2,FALSE),0)</f>
        <v>0</v>
      </c>
      <c r="FL74" s="314">
        <f>IFERROR(VLOOKUP(FL$1,'IP 2019'!$N$2:$O$51,2,FALSE),0)</f>
        <v>0</v>
      </c>
      <c r="FM74" s="314">
        <f>IFERROR(VLOOKUP(FM$1,'IP 2019'!$N$2:$O$51,2,FALSE),0)</f>
        <v>0</v>
      </c>
      <c r="FN74" s="314">
        <f>IFERROR(VLOOKUP(FN$1,'IP 2019'!$N$2:$O$51,2,FALSE),0)</f>
        <v>0</v>
      </c>
      <c r="FO74" s="314">
        <f>IFERROR(VLOOKUP(FO$1,'IP 2019'!$N$2:$O$51,2,FALSE),0)</f>
        <v>0</v>
      </c>
      <c r="FP74" s="314">
        <f>IFERROR(VLOOKUP(FP$1,'IP 2019'!$N$2:$O$51,2,FALSE),0)</f>
        <v>0</v>
      </c>
      <c r="FQ74" s="314">
        <f>IFERROR(VLOOKUP(FQ$1,'IP 2019'!$N$2:$O$51,2,FALSE),0)</f>
        <v>0</v>
      </c>
      <c r="FR74" s="314">
        <f>IFERROR(VLOOKUP(FR$1,'IP 2019'!$N$2:$O$51,2,FALSE),0)</f>
        <v>0</v>
      </c>
      <c r="FS74" s="314">
        <f>IFERROR(VLOOKUP(FS$1,'IP 2019'!$N$2:$O$51,2,FALSE),0)</f>
        <v>0</v>
      </c>
      <c r="FT74" s="314">
        <f>IFERROR(VLOOKUP(FT$1,'IP 2019'!$N$2:$O$51,2,FALSE),0)</f>
        <v>0</v>
      </c>
      <c r="FU74" s="314">
        <f>IFERROR(VLOOKUP(FU$1,'IP 2019'!$N$2:$O$51,2,FALSE),0)</f>
        <v>0</v>
      </c>
      <c r="FV74" s="314">
        <f>IFERROR(VLOOKUP(FV$1,'IP 2019'!$N$2:$O$51,2,FALSE),0)</f>
        <v>0</v>
      </c>
      <c r="FW74" s="314">
        <f>IFERROR(VLOOKUP(FW$1,'IP 2019'!$N$2:$O$51,2,FALSE),0)</f>
        <v>0</v>
      </c>
      <c r="FX74" s="314">
        <f>IFERROR(VLOOKUP(FX$1,'IP 2019'!$N$2:$O$51,2,FALSE),0)</f>
        <v>0</v>
      </c>
      <c r="FY74" s="314">
        <f>IFERROR(VLOOKUP(FY$1,'IP 2019'!$N$2:$O$51,2,FALSE),0)</f>
        <v>0</v>
      </c>
      <c r="FZ74" s="314">
        <f>IFERROR(VLOOKUP(FZ$1,'IP 2019'!$N$2:$O$51,2,FALSE),0)</f>
        <v>0</v>
      </c>
      <c r="GA74" s="314">
        <f>IFERROR(VLOOKUP(GA$1,'IP 2019'!$N$2:$O$51,2,FALSE),0)</f>
        <v>0</v>
      </c>
      <c r="GB74" s="314">
        <f>IFERROR(VLOOKUP(GB$1,'IP 2019'!$N$2:$O$51,2,FALSE),0)</f>
        <v>0</v>
      </c>
      <c r="GC74" s="314">
        <f>IFERROR(VLOOKUP(GC$1,'IP 2019'!$N$2:$O$51,2,FALSE),0)</f>
        <v>0</v>
      </c>
      <c r="GD74" s="314">
        <f>IFERROR(VLOOKUP(GD$1,'IP 2019'!$N$2:$O$51,2,FALSE),0)</f>
        <v>0</v>
      </c>
      <c r="GE74" s="314">
        <f>IFERROR(VLOOKUP(GE$1,'IP 2019'!$N$2:$O$51,2,FALSE),0)</f>
        <v>564655</v>
      </c>
      <c r="GF74" s="314">
        <f>IFERROR(VLOOKUP(GF$1,'IP 2019'!$N$2:$O$51,2,FALSE),0)</f>
        <v>0</v>
      </c>
      <c r="GG74" s="314">
        <f>IFERROR(VLOOKUP(GG$1,'IP 2019'!$N$2:$O$51,2,FALSE),0)</f>
        <v>0</v>
      </c>
      <c r="GH74" s="314">
        <f>IFERROR(VLOOKUP(GH$1,'IP 2019'!$N$2:$O$51,2,FALSE),0)</f>
        <v>0</v>
      </c>
      <c r="GI74" s="314">
        <f>IFERROR(VLOOKUP(GI$1,'IP 2019'!$N$2:$O$51,2,FALSE),0)</f>
        <v>0</v>
      </c>
      <c r="GJ74" s="314">
        <f>IFERROR(VLOOKUP(GJ$1,'IP 2019'!$N$2:$O$51,2,FALSE),0)</f>
        <v>0</v>
      </c>
      <c r="GK74" s="314">
        <f>IFERROR(VLOOKUP(GK$1,'IP 2019'!$N$2:$O$51,2,FALSE),0)</f>
        <v>0</v>
      </c>
      <c r="GL74" s="314">
        <f>IFERROR(VLOOKUP(GL$1,'IP 2019'!$N$2:$O$51,2,FALSE),0)</f>
        <v>0</v>
      </c>
      <c r="GM74" s="314">
        <f>IFERROR(VLOOKUP(GM$1,'IP 2019'!$N$2:$O$51,2,FALSE),0)</f>
        <v>0</v>
      </c>
      <c r="GN74" s="314">
        <f>IFERROR(VLOOKUP(GN$1,'IP 2019'!$N$2:$O$51,2,FALSE),0)</f>
        <v>402076</v>
      </c>
      <c r="GO74" s="314">
        <f>IFERROR(VLOOKUP(GO$1,'IP 2019'!$N$2:$O$51,2,FALSE),0)</f>
        <v>0</v>
      </c>
      <c r="GP74" s="314">
        <f>IFERROR(VLOOKUP(GP$1,'IP 2019'!$N$2:$O$51,2,FALSE),0)</f>
        <v>0</v>
      </c>
      <c r="GQ74" s="314">
        <f>IFERROR(VLOOKUP(GQ$1,'IP 2019'!$N$2:$O$51,2,FALSE),0)</f>
        <v>0</v>
      </c>
      <c r="GR74" s="314">
        <f>IFERROR(VLOOKUP(GR$1,'IP 2019'!$N$2:$O$51,2,FALSE),0)</f>
        <v>0</v>
      </c>
      <c r="GS74" s="314">
        <f>IFERROR(VLOOKUP(GS$1,'IP 2019'!$N$2:$O$51,2,FALSE),0)</f>
        <v>0</v>
      </c>
      <c r="GT74" s="314">
        <f>IFERROR(VLOOKUP(GT$1,'IP 2019'!$N$2:$O$51,2,FALSE),0)</f>
        <v>0</v>
      </c>
      <c r="GU74" s="314">
        <f>IFERROR(VLOOKUP(GU$1,'IP 2019'!$N$2:$O$51,2,FALSE),0)</f>
        <v>0</v>
      </c>
      <c r="GV74" s="314">
        <f>IFERROR(VLOOKUP(GV$1,'IP 2019'!$N$2:$O$51,2,FALSE),0)</f>
        <v>0</v>
      </c>
      <c r="GW74" s="314">
        <f>IFERROR(VLOOKUP(GW$1,'IP 2019'!$N$2:$O$51,2,FALSE),0)</f>
        <v>0</v>
      </c>
      <c r="GX74" s="314">
        <f>IFERROR(VLOOKUP(GX$1,'IP 2019'!$N$2:$O$51,2,FALSE),0)</f>
        <v>0</v>
      </c>
      <c r="GY74" s="314">
        <f>IFERROR(VLOOKUP(GY$1,'IP 2019'!$N$2:$O$51,2,FALSE),0)</f>
        <v>0</v>
      </c>
      <c r="GZ74" s="314">
        <f>IFERROR(VLOOKUP(GZ$1,'IP 2019'!$N$2:$O$51,2,FALSE),0)</f>
        <v>0</v>
      </c>
      <c r="HA74" s="314">
        <f>IFERROR(VLOOKUP(HA$1,'IP 2019'!$N$2:$O$51,2,FALSE),0)</f>
        <v>0</v>
      </c>
      <c r="HB74" s="314">
        <f>IFERROR(VLOOKUP(HB$1,'IP 2019'!$N$2:$O$51,2,FALSE),0)</f>
        <v>0</v>
      </c>
      <c r="HC74" s="314">
        <f>IFERROR(VLOOKUP(HC$1,'IP 2019'!$N$2:$O$51,2,FALSE),0)</f>
        <v>0</v>
      </c>
      <c r="HD74" s="314">
        <f>IFERROR(VLOOKUP(HD$1,'IP 2019'!$N$2:$O$51,2,FALSE),0)</f>
        <v>0</v>
      </c>
      <c r="HE74" s="314">
        <f>IFERROR(VLOOKUP(HE$1,'IP 2019'!$N$2:$O$51,2,FALSE),0)</f>
        <v>0</v>
      </c>
      <c r="HF74" s="314">
        <f>IFERROR(VLOOKUP(HF$1,'IP 2019'!$N$2:$O$51,2,FALSE),0)</f>
        <v>0</v>
      </c>
      <c r="HG74" s="314">
        <f>IFERROR(VLOOKUP(HG$1,'IP 2019'!$N$2:$O$51,2,FALSE),0)</f>
        <v>0</v>
      </c>
      <c r="HH74" s="314">
        <f>IFERROR(VLOOKUP(HH$1,'IP 2019'!$N$2:$O$51,2,FALSE),0)</f>
        <v>0</v>
      </c>
      <c r="HI74" s="314">
        <f>IFERROR(VLOOKUP(HI$1,'IP 2019'!$N$2:$O$51,2,FALSE),0)</f>
        <v>0</v>
      </c>
      <c r="HJ74" s="314">
        <f>IFERROR(VLOOKUP(HJ$1,'IP 2019'!$N$2:$O$51,2,FALSE),0)</f>
        <v>251307</v>
      </c>
      <c r="HK74" s="314">
        <f>IFERROR(VLOOKUP(HK$1,'IP 2019'!$N$2:$O$51,2,FALSE),0)</f>
        <v>0</v>
      </c>
      <c r="HL74" s="314">
        <f>IFERROR(VLOOKUP(HL$1,'IP 2019'!$N$2:$O$51,2,FALSE),0)</f>
        <v>0</v>
      </c>
      <c r="HM74" s="314">
        <f>IFERROR(VLOOKUP(HM$1,'IP 2019'!$N$2:$O$51,2,FALSE),0)</f>
        <v>0</v>
      </c>
      <c r="HN74" s="314">
        <f>IFERROR(VLOOKUP(HN$1,'IP 2019'!$N$2:$O$51,2,FALSE),0)</f>
        <v>0</v>
      </c>
      <c r="HO74" s="314">
        <f>IFERROR(VLOOKUP(HO$1,'IP 2019'!$N$2:$O$51,2,FALSE),0)</f>
        <v>2080800</v>
      </c>
      <c r="HP74" s="314">
        <f>IFERROR(VLOOKUP(HP$1,'IP 2019'!$N$2:$O$51,2,FALSE),0)</f>
        <v>0</v>
      </c>
      <c r="HQ74" s="314">
        <f>IFERROR(VLOOKUP(HQ$1,'IP 2019'!$N$2:$O$51,2,FALSE),0)</f>
        <v>0</v>
      </c>
      <c r="HR74" s="314">
        <f>IFERROR(VLOOKUP(HR$1,'IP 2019'!$N$2:$O$51,2,FALSE),0)</f>
        <v>0</v>
      </c>
      <c r="HS74" s="314">
        <f>IFERROR(VLOOKUP(HS$1,'IP 2019'!$N$2:$O$51,2,FALSE),0)</f>
        <v>0</v>
      </c>
      <c r="HT74" s="314">
        <f>IFERROR(VLOOKUP(HT$1,'IP 2019'!$N$2:$O$51,2,FALSE),0)</f>
        <v>0</v>
      </c>
      <c r="HU74" s="314">
        <f>IFERROR(VLOOKUP(HU$1,'IP 2019'!$N$2:$O$51,2,FALSE),0)</f>
        <v>0</v>
      </c>
      <c r="HV74" s="314">
        <f>IFERROR(VLOOKUP(HV$1,'IP 2019'!$N$2:$O$51,2,FALSE),0)</f>
        <v>0</v>
      </c>
      <c r="HW74" s="314">
        <f>IFERROR(VLOOKUP(HW$1,'IP 2019'!$N$2:$O$51,2,FALSE),0)</f>
        <v>0</v>
      </c>
      <c r="HX74" s="314">
        <f>IFERROR(VLOOKUP(HX$1,'IP 2019'!$N$2:$O$51,2,FALSE),0)</f>
        <v>0</v>
      </c>
      <c r="HY74" s="314">
        <f>IFERROR(VLOOKUP(HY$1,'IP 2019'!$N$2:$O$51,2,FALSE),0)</f>
        <v>0</v>
      </c>
      <c r="HZ74" s="314">
        <f>IFERROR(VLOOKUP(HZ$1,'IP 2019'!$N$2:$O$51,2,FALSE),0)</f>
        <v>0</v>
      </c>
      <c r="IA74" s="314">
        <f>IFERROR(VLOOKUP(IA$1,'IP 2019'!$N$2:$O$51,2,FALSE),0)</f>
        <v>0</v>
      </c>
      <c r="IB74" s="314">
        <f>IFERROR(VLOOKUP(IB$1,'IP 2019'!$N$2:$O$51,2,FALSE),0)</f>
        <v>0</v>
      </c>
      <c r="IC74" s="314">
        <f>IFERROR(VLOOKUP(IC$1,'IP 2019'!$N$2:$O$51,2,FALSE),0)</f>
        <v>0</v>
      </c>
      <c r="ID74" s="314">
        <f>IFERROR(VLOOKUP(ID$1,'IP 2019'!$N$2:$O$51,2,FALSE),0)</f>
        <v>0</v>
      </c>
      <c r="IE74" s="314">
        <f>IFERROR(VLOOKUP(IE$1,'IP 2019'!$N$2:$O$51,2,FALSE),0)</f>
        <v>0</v>
      </c>
      <c r="IF74" s="314">
        <f>IFERROR(VLOOKUP(IF$1,'IP 2019'!$N$2:$O$51,2,FALSE),0)</f>
        <v>0</v>
      </c>
      <c r="IG74" s="314">
        <f>IFERROR(VLOOKUP(IG$1,'IP 2019'!$N$2:$O$51,2,FALSE),0)</f>
        <v>0</v>
      </c>
      <c r="IH74" s="314">
        <f>IFERROR(VLOOKUP(IH$1,'IP 2019'!$N$2:$O$51,2,FALSE),0)</f>
        <v>0</v>
      </c>
      <c r="II74" s="314">
        <f>IFERROR(VLOOKUP(II$1,'IP 2019'!$N$2:$O$51,2,FALSE),0)</f>
        <v>0</v>
      </c>
      <c r="IJ74" s="314">
        <f>IFERROR(VLOOKUP(IJ$1,'IP 2019'!$N$2:$O$51,2,FALSE),0)</f>
        <v>0</v>
      </c>
      <c r="IK74" s="314">
        <f>IFERROR(VLOOKUP(IK$1,'IP 2019'!$N$2:$O$51,2,FALSE),0)</f>
        <v>2393172</v>
      </c>
      <c r="IL74" s="314">
        <f>IFERROR(VLOOKUP(IL$1,'IP 2019'!$N$2:$O$51,2,FALSE),0)</f>
        <v>0</v>
      </c>
      <c r="IM74" s="314">
        <f>IFERROR(VLOOKUP(IM$1,'IP 2019'!$N$2:$O$51,2,FALSE),0)</f>
        <v>0</v>
      </c>
      <c r="IN74" s="314">
        <f>IFERROR(VLOOKUP(IN$1,'IP 2019'!$N$2:$O$51,2,FALSE),0)</f>
        <v>0</v>
      </c>
      <c r="IO74" s="314">
        <f>IFERROR(VLOOKUP(IO$1,'IP 2019'!$N$2:$O$51,2,FALSE),0)</f>
        <v>0</v>
      </c>
      <c r="IP74" s="314">
        <f>IFERROR(VLOOKUP(IP$1,'IP 2019'!$N$2:$O$51,2,FALSE),0)</f>
        <v>0</v>
      </c>
      <c r="IQ74" s="314">
        <f>IFERROR(VLOOKUP(IQ$1,'IP 2019'!$N$2:$O$51,2,FALSE),0)</f>
        <v>0</v>
      </c>
      <c r="IR74" s="314">
        <f>IFERROR(VLOOKUP(IR$1,'IP 2019'!$N$2:$O$51,2,FALSE),0)</f>
        <v>0</v>
      </c>
      <c r="IS74" s="314">
        <f>IFERROR(VLOOKUP(IS$1,'IP 2019'!$N$2:$O$51,2,FALSE),0)</f>
        <v>0</v>
      </c>
      <c r="IT74" s="314">
        <f>IFERROR(VLOOKUP(IT$1,'IP 2019'!$N$2:$O$51,2,FALSE),0)</f>
        <v>0</v>
      </c>
      <c r="IU74" s="314">
        <f>IFERROR(VLOOKUP(IU$1,'IP 2019'!$N$2:$O$51,2,FALSE),0)</f>
        <v>0</v>
      </c>
      <c r="IV74" s="314">
        <f>IFERROR(VLOOKUP(IV$1,'IP 2019'!$N$2:$O$51,2,FALSE),0)</f>
        <v>0</v>
      </c>
      <c r="IW74" s="314">
        <f>IFERROR(VLOOKUP(IW$1,'IP 2019'!$N$2:$O$51,2,FALSE),0)</f>
        <v>0</v>
      </c>
      <c r="IX74" s="314">
        <f>IFERROR(VLOOKUP(IX$1,'IP 2019'!$N$2:$O$51,2,FALSE),0)</f>
        <v>0</v>
      </c>
      <c r="IY74" s="314">
        <f>IFERROR(VLOOKUP(IY$1,'IP 2019'!$N$2:$O$51,2,FALSE),0)</f>
        <v>0</v>
      </c>
      <c r="IZ74" s="314">
        <f>IFERROR(VLOOKUP(IZ$1,'IP 2019'!$N$2:$O$51,2,FALSE),0)</f>
        <v>0</v>
      </c>
      <c r="JA74" s="314">
        <f>IFERROR(VLOOKUP(JA$1,'IP 2019'!$N$2:$O$51,2,FALSE),0)</f>
        <v>0</v>
      </c>
      <c r="JB74" s="314">
        <f>IFERROR(VLOOKUP(JB$1,'IP 2019'!$N$2:$O$51,2,FALSE),0)</f>
        <v>0</v>
      </c>
      <c r="JC74" s="314">
        <f>IFERROR(VLOOKUP(JC$1,'IP 2019'!$N$2:$O$51,2,FALSE),0)</f>
        <v>0</v>
      </c>
      <c r="JD74" s="314">
        <f>IFERROR(VLOOKUP(JD$1,'IP 2019'!$N$2:$O$51,2,FALSE),0)</f>
        <v>1410292</v>
      </c>
      <c r="JE74" s="314">
        <f>IFERROR(VLOOKUP(JE$1,'IP 2019'!$N$2:$O$51,2,FALSE),0)</f>
        <v>0</v>
      </c>
      <c r="JF74" s="314">
        <f>IFERROR(VLOOKUP(JF$1,'IP 2019'!$N$2:$O$51,2,FALSE),0)</f>
        <v>0</v>
      </c>
      <c r="JG74" s="314">
        <f>IFERROR(VLOOKUP(JG$1,'IP 2019'!$N$2:$O$51,2,FALSE),0)</f>
        <v>0</v>
      </c>
      <c r="JH74" s="314">
        <f>IFERROR(VLOOKUP(JH$1,'IP 2019'!$N$2:$O$51,2,FALSE),0)</f>
        <v>0</v>
      </c>
      <c r="JI74" s="314">
        <f t="shared" si="327"/>
        <v>58484223.640000001</v>
      </c>
      <c r="JL74" s="307">
        <f t="shared" si="426"/>
        <v>0</v>
      </c>
      <c r="JM74" s="307">
        <f t="shared" si="426"/>
        <v>49959815.640000001</v>
      </c>
      <c r="JN74" s="307">
        <f t="shared" si="426"/>
        <v>2640144</v>
      </c>
      <c r="JO74" s="307">
        <f t="shared" si="426"/>
        <v>5884264</v>
      </c>
      <c r="JP74" s="307">
        <f t="shared" si="427"/>
        <v>58484223.640000001</v>
      </c>
    </row>
    <row r="75" spans="1:276" x14ac:dyDescent="0.25">
      <c r="A75" s="338">
        <v>8</v>
      </c>
      <c r="B75" s="313" t="s">
        <v>2524</v>
      </c>
      <c r="C75" s="314">
        <f>IFERROR(VLOOKUP(C$1,PnaPr2019!$Q$82:$R$155,2,FALSE),0)</f>
        <v>0</v>
      </c>
      <c r="D75" s="314">
        <f>IFERROR(VLOOKUP(D$1,PnaPr2019!$Q$82:$R$155,2,FALSE),0)</f>
        <v>0</v>
      </c>
      <c r="E75" s="314">
        <f>IFERROR(VLOOKUP(E$1,PnaPr2019!$Q$82:$R$155,2,FALSE),0)</f>
        <v>0</v>
      </c>
      <c r="F75" s="314">
        <f>IFERROR(VLOOKUP(F$1,PnaPr2019!$Q$82:$R$155,2,FALSE),0)</f>
        <v>0</v>
      </c>
      <c r="G75" s="314">
        <f>IFERROR(VLOOKUP(G$1,PnaPr2019!$Q$82:$R$155,2,FALSE),0)</f>
        <v>0</v>
      </c>
      <c r="H75" s="314">
        <f>IFERROR(VLOOKUP(H$1,PnaPr2019!$Q$82:$R$155,2,FALSE),0)</f>
        <v>0</v>
      </c>
      <c r="I75" s="314">
        <f>IFERROR(VLOOKUP(I$1,PnaPr2019!$Q$82:$R$155,2,FALSE),0)</f>
        <v>0</v>
      </c>
      <c r="J75" s="314">
        <f>IFERROR(VLOOKUP(J$1,PnaPr2019!$Q$82:$R$155,2,FALSE),0)</f>
        <v>0</v>
      </c>
      <c r="K75" s="314">
        <f>IFERROR(VLOOKUP(K$1,PnaPr2019!$Q$82:$R$155,2,FALSE),0)</f>
        <v>0</v>
      </c>
      <c r="L75" s="314">
        <f>IFERROR(VLOOKUP(L$1,PnaPr2019!$Q$82:$R$155,2,FALSE),0)</f>
        <v>0</v>
      </c>
      <c r="M75" s="314">
        <f>IFERROR(VLOOKUP(M$1,PnaPr2019!$Q$82:$R$155,2,FALSE),0)</f>
        <v>0</v>
      </c>
      <c r="N75" s="314">
        <f>IFERROR(VLOOKUP(N$1,PnaPr2019!$Q$82:$R$155,2,FALSE),0)</f>
        <v>0</v>
      </c>
      <c r="O75" s="314">
        <f>IFERROR(VLOOKUP(O$1,PnaPr2019!$Q$82:$R$155,2,FALSE),0)</f>
        <v>0</v>
      </c>
      <c r="P75" s="314">
        <f>IFERROR(VLOOKUP(P$1,PnaPr2019!$Q$82:$R$155,2,FALSE),0)</f>
        <v>0</v>
      </c>
      <c r="Q75" s="314">
        <f>IFERROR(VLOOKUP(Q$1,PnaPr2019!$Q$82:$R$155,2,FALSE),0)</f>
        <v>0</v>
      </c>
      <c r="R75" s="314">
        <f>IFERROR(VLOOKUP(R$1,PnaPr2019!$Q$82:$R$155,2,FALSE),0)</f>
        <v>0</v>
      </c>
      <c r="S75" s="314">
        <f>IFERROR(VLOOKUP(S$1,PnaPr2019!$Q$82:$R$155,2,FALSE),0)</f>
        <v>0</v>
      </c>
      <c r="T75" s="314">
        <f>IFERROR(VLOOKUP(T$1,PnaPr2019!$Q$82:$R$155,2,FALSE),0)</f>
        <v>0</v>
      </c>
      <c r="U75" s="314">
        <f>IFERROR(VLOOKUP(U$1,PnaPr2019!$Q$82:$R$155,2,FALSE),0)</f>
        <v>0</v>
      </c>
      <c r="V75" s="314">
        <f>IFERROR(VLOOKUP(V$1,PnaPr2019!$Q$82:$R$155,2,FALSE),0)</f>
        <v>0</v>
      </c>
      <c r="W75" s="314">
        <f>IFERROR(VLOOKUP(W$1,PnaPr2019!$Q$82:$R$155,2,FALSE),0)</f>
        <v>0</v>
      </c>
      <c r="X75" s="314">
        <f>IFERROR(VLOOKUP(X$1,PnaPr2019!$Q$82:$R$155,2,FALSE),0)</f>
        <v>0</v>
      </c>
      <c r="Y75" s="314">
        <f>IFERROR(VLOOKUP(Y$1,PnaPr2019!$Q$82:$R$155,2,FALSE),0)</f>
        <v>0</v>
      </c>
      <c r="Z75" s="314">
        <f>IFERROR(VLOOKUP(Z$1,PnaPr2019!$Q$82:$R$155,2,FALSE),0)</f>
        <v>0</v>
      </c>
      <c r="AA75" s="314">
        <f>IFERROR(VLOOKUP(AA$1,PnaPr2019!$Q$82:$R$155,2,FALSE),0)</f>
        <v>0</v>
      </c>
      <c r="AB75" s="314">
        <f>IFERROR(VLOOKUP(AB$1,PnaPr2019!$Q$82:$R$155,2,FALSE),0)</f>
        <v>0</v>
      </c>
      <c r="AC75" s="314">
        <f>IFERROR(VLOOKUP(AC$1,PnaPr2019!$Q$82:$R$155,2,FALSE),0)</f>
        <v>0</v>
      </c>
      <c r="AD75" s="314">
        <f>IFERROR(VLOOKUP(AD$1,PnaPr2019!$Q$82:$R$155,2,FALSE),0)</f>
        <v>0</v>
      </c>
      <c r="AE75" s="314">
        <f>IFERROR(VLOOKUP(AE$1,PnaPr2019!$Q$82:$R$155,2,FALSE),0)</f>
        <v>0</v>
      </c>
      <c r="AF75" s="314">
        <f>IFERROR(VLOOKUP(AF$1,PnaPr2019!$Q$82:$R$155,2,FALSE),0)</f>
        <v>0</v>
      </c>
      <c r="AG75" s="314">
        <f>IFERROR(VLOOKUP(AG$1,PnaPr2019!$Q$82:$R$155,2,FALSE),0)</f>
        <v>0</v>
      </c>
      <c r="AH75" s="314">
        <f>IFERROR(VLOOKUP(AH$1,PnaPr2019!$Q$82:$R$155,2,FALSE),0)</f>
        <v>0</v>
      </c>
      <c r="AI75" s="314">
        <f>IFERROR(VLOOKUP(AI$1,PnaPr2019!$Q$82:$R$155,2,FALSE),0)</f>
        <v>0</v>
      </c>
      <c r="AJ75" s="314">
        <f>IFERROR(VLOOKUP(AJ$1,PnaPr2019!$Q$82:$R$155,2,FALSE),0)</f>
        <v>0</v>
      </c>
      <c r="AK75" s="314">
        <f>IFERROR(VLOOKUP(AK$1,PnaPr2019!$Q$82:$R$155,2,FALSE),0)</f>
        <v>0</v>
      </c>
      <c r="AL75" s="314">
        <f>IFERROR(VLOOKUP(AL$1,PnaPr2019!$Q$82:$R$155,2,FALSE),0)</f>
        <v>0</v>
      </c>
      <c r="AM75" s="314">
        <f>IFERROR(VLOOKUP(AM$1,PnaPr2019!$Q$82:$R$155,2,FALSE),0)</f>
        <v>0</v>
      </c>
      <c r="AN75" s="314">
        <f>IFERROR(VLOOKUP(AN$1,PnaPr2019!$Q$82:$R$155,2,FALSE),0)</f>
        <v>0</v>
      </c>
      <c r="AO75" s="314">
        <f>IFERROR(VLOOKUP(AO$1,PnaPr2019!$Q$82:$R$155,2,FALSE),0)</f>
        <v>0</v>
      </c>
      <c r="AP75" s="314">
        <f>IFERROR(VLOOKUP(AP$1,PnaPr2019!$Q$82:$R$155,2,FALSE),0)</f>
        <v>0</v>
      </c>
      <c r="AQ75" s="314">
        <f>IFERROR(VLOOKUP(AQ$1,PnaPr2019!$Q$82:$R$155,2,FALSE),0)</f>
        <v>0</v>
      </c>
      <c r="AR75" s="314">
        <f>IFERROR(VLOOKUP(AR$1,PnaPr2019!$Q$82:$R$155,2,FALSE),0)</f>
        <v>0</v>
      </c>
      <c r="AS75" s="314">
        <f>IFERROR(VLOOKUP(AS$1,PnaPr2019!$Q$82:$R$155,2,FALSE),0)</f>
        <v>0</v>
      </c>
      <c r="AT75" s="314">
        <f>IFERROR(VLOOKUP(AT$1,PnaPr2019!$Q$82:$R$155,2,FALSE),0)</f>
        <v>0</v>
      </c>
      <c r="AU75" s="314">
        <f>IFERROR(VLOOKUP(AU$1,PnaPr2019!$Q$82:$R$155,2,FALSE),0)</f>
        <v>0</v>
      </c>
      <c r="AV75" s="314">
        <f>IFERROR(VLOOKUP(AV$1,PnaPr2019!$Q$82:$R$155,2,FALSE),0)</f>
        <v>0</v>
      </c>
      <c r="AW75" s="314">
        <f>IFERROR(VLOOKUP(AW$1,PnaPr2019!$Q$82:$R$155,2,FALSE),0)</f>
        <v>0</v>
      </c>
      <c r="AX75" s="314">
        <f>IFERROR(VLOOKUP(AX$1,PnaPr2019!$Q$82:$R$155,2,FALSE),0)</f>
        <v>0</v>
      </c>
      <c r="AY75" s="314">
        <f>IFERROR(VLOOKUP(AY$1,PnaPr2019!$Q$82:$R$155,2,FALSE),0)</f>
        <v>0</v>
      </c>
      <c r="AZ75" s="314">
        <f>IFERROR(VLOOKUP(AZ$1,PnaPr2019!$Q$82:$R$155,2,FALSE),0)</f>
        <v>0</v>
      </c>
      <c r="BA75" s="314">
        <f>IFERROR(VLOOKUP(BA$1,PnaPr2019!$Q$82:$R$155,2,FALSE),0)</f>
        <v>0</v>
      </c>
      <c r="BB75" s="314">
        <f>IFERROR(VLOOKUP(BB$1,PnaPr2019!$Q$82:$R$155,2,FALSE),0)</f>
        <v>0</v>
      </c>
      <c r="BC75" s="314">
        <f>IFERROR(VLOOKUP(BC$1,PnaPr2019!$Q$82:$R$155,2,FALSE),0)</f>
        <v>0</v>
      </c>
      <c r="BD75" s="314">
        <f>IFERROR(VLOOKUP(BD$1,PnaPr2019!$Q$82:$R$155,2,FALSE),0)</f>
        <v>0</v>
      </c>
      <c r="BE75" s="314">
        <f>IFERROR(VLOOKUP(BE$1,PnaPr2019!$Q$82:$R$155,2,FALSE),0)</f>
        <v>0</v>
      </c>
      <c r="BF75" s="314">
        <f>IFERROR(VLOOKUP(BF$1,PnaPr2019!$Q$82:$R$155,2,FALSE),0)</f>
        <v>0</v>
      </c>
      <c r="BG75" s="314">
        <f>IFERROR(VLOOKUP(BG$1,PnaPr2019!$Q$82:$R$155,2,FALSE),0)</f>
        <v>0</v>
      </c>
      <c r="BH75" s="314">
        <f>IFERROR(VLOOKUP(BH$1,PnaPr2019!$Q$82:$R$155,2,FALSE),0)</f>
        <v>0</v>
      </c>
      <c r="BI75" s="314">
        <f>IFERROR(VLOOKUP(BI$1,PnaPr2019!$Q$82:$R$155,2,FALSE),0)</f>
        <v>0</v>
      </c>
      <c r="BJ75" s="314">
        <f>IFERROR(VLOOKUP(BJ$1,PnaPr2019!$Q$82:$R$155,2,FALSE),0)</f>
        <v>0</v>
      </c>
      <c r="BK75" s="314">
        <f>IFERROR(VLOOKUP(BK$1,PnaPr2019!$Q$82:$R$155,2,FALSE),0)</f>
        <v>0</v>
      </c>
      <c r="BL75" s="314">
        <f>IFERROR(VLOOKUP(BL$1,PnaPr2019!$Q$82:$R$155,2,FALSE),0)</f>
        <v>0</v>
      </c>
      <c r="BM75" s="314">
        <f>IFERROR(VLOOKUP(BM$1,PnaPr2019!$Q$82:$R$155,2,FALSE),0)</f>
        <v>0</v>
      </c>
      <c r="BN75" s="314">
        <f>IFERROR(VLOOKUP(BN$1,PnaPr2019!$Q$82:$R$155,2,FALSE),0)</f>
        <v>0</v>
      </c>
      <c r="BO75" s="314">
        <f>IFERROR(VLOOKUP(BO$1,PnaPr2019!$Q$82:$R$155,2,FALSE),0)</f>
        <v>0</v>
      </c>
      <c r="BP75" s="314">
        <f>IFERROR(VLOOKUP(BP$1,PnaPr2019!$Q$82:$R$155,2,FALSE),0)</f>
        <v>0</v>
      </c>
      <c r="BQ75" s="314">
        <f>IFERROR(VLOOKUP(BQ$1,PnaPr2019!$Q$82:$R$155,2,FALSE),0)</f>
        <v>0</v>
      </c>
      <c r="BR75" s="314">
        <f>IFERROR(VLOOKUP(BR$1,PnaPr2019!$Q$82:$R$155,2,FALSE),0)</f>
        <v>0</v>
      </c>
      <c r="BS75" s="314">
        <f>IFERROR(VLOOKUP(BS$1,PnaPr2019!$Q$82:$R$155,2,FALSE),0)</f>
        <v>0</v>
      </c>
      <c r="BT75" s="314">
        <f>IFERROR(VLOOKUP(BT$1,PnaPr2019!$Q$82:$R$155,2,FALSE),0)</f>
        <v>0</v>
      </c>
      <c r="BU75" s="314">
        <f>IFERROR(VLOOKUP(BU$1,PnaPr2019!$Q$82:$R$155,2,FALSE),0)</f>
        <v>0</v>
      </c>
      <c r="BV75" s="314">
        <f>IFERROR(VLOOKUP(BV$1,PnaPr2019!$Q$82:$R$155,2,FALSE),0)</f>
        <v>0</v>
      </c>
      <c r="BW75" s="314">
        <f>IFERROR(VLOOKUP(BW$1,PnaPr2019!$Q$82:$R$155,2,FALSE),0)</f>
        <v>0</v>
      </c>
      <c r="BX75" s="314">
        <f>IFERROR(VLOOKUP(BX$1,PnaPr2019!$Q$82:$R$155,2,FALSE),0)</f>
        <v>0</v>
      </c>
      <c r="BY75" s="314">
        <f>IFERROR(VLOOKUP(BY$1,PnaPr2019!$Q$82:$R$155,2,FALSE),0)</f>
        <v>0</v>
      </c>
      <c r="BZ75" s="314">
        <f>IFERROR(VLOOKUP(BZ$1,PnaPr2019!$Q$82:$R$155,2,FALSE),0)</f>
        <v>0</v>
      </c>
      <c r="CA75" s="314">
        <f>IFERROR(VLOOKUP(CA$1,PnaPr2019!$Q$82:$R$155,2,FALSE),0)</f>
        <v>0</v>
      </c>
      <c r="CB75" s="314">
        <f>IFERROR(VLOOKUP(CB$1,PnaPr2019!$Q$82:$R$155,2,FALSE),0)</f>
        <v>0</v>
      </c>
      <c r="CC75" s="314">
        <f>IFERROR(VLOOKUP(CC$1,PnaPr2019!$Q$82:$R$155,2,FALSE),0)</f>
        <v>0</v>
      </c>
      <c r="CD75" s="314">
        <f>IFERROR(VLOOKUP(CD$1,PnaPr2019!$Q$82:$R$155,2,FALSE),0)</f>
        <v>0</v>
      </c>
      <c r="CE75" s="314">
        <f>IFERROR(VLOOKUP(CE$1,PnaPr2019!$Q$82:$R$155,2,FALSE),0)</f>
        <v>0</v>
      </c>
      <c r="CF75" s="314">
        <f>IFERROR(VLOOKUP(CF$1,PnaPr2019!$Q$82:$R$155,2,FALSE),0)</f>
        <v>0</v>
      </c>
      <c r="CG75" s="314">
        <f>IFERROR(VLOOKUP(CG$1,PnaPr2019!$Q$82:$R$155,2,FALSE),0)</f>
        <v>0</v>
      </c>
      <c r="CH75" s="314">
        <f>IFERROR(VLOOKUP(CH$1,PnaPr2019!$Q$82:$R$155,2,FALSE),0)</f>
        <v>0</v>
      </c>
      <c r="CI75" s="314">
        <f>IFERROR(VLOOKUP(CI$1,PnaPr2019!$Q$82:$R$155,2,FALSE),0)</f>
        <v>0</v>
      </c>
      <c r="CJ75" s="314">
        <f>IFERROR(VLOOKUP(CJ$1,PnaPr2019!$Q$82:$R$155,2,FALSE),0)</f>
        <v>0</v>
      </c>
      <c r="CK75" s="314">
        <f>IFERROR(VLOOKUP(CK$1,PnaPr2019!$Q$82:$R$155,2,FALSE),0)</f>
        <v>0</v>
      </c>
      <c r="CL75" s="314">
        <f>IFERROR(VLOOKUP(CL$1,PnaPr2019!$Q$82:$R$155,2,FALSE),0)</f>
        <v>0</v>
      </c>
      <c r="CM75" s="314">
        <f>IFERROR(VLOOKUP(CM$1,PnaPr2019!$Q$82:$R$155,2,FALSE),0)</f>
        <v>0</v>
      </c>
      <c r="CN75" s="314">
        <f>IFERROR(VLOOKUP(CN$1,PnaPr2019!$Q$82:$R$155,2,FALSE),0)</f>
        <v>0</v>
      </c>
      <c r="CO75" s="314">
        <f>IFERROR(VLOOKUP(CO$1,PnaPr2019!$Q$82:$R$155,2,FALSE),0)</f>
        <v>0</v>
      </c>
      <c r="CP75" s="314">
        <f>IFERROR(VLOOKUP(CP$1,PnaPr2019!$Q$82:$R$155,2,FALSE),0)</f>
        <v>0</v>
      </c>
      <c r="CQ75" s="314">
        <f>IFERROR(VLOOKUP(CQ$1,PnaPr2019!$Q$82:$R$155,2,FALSE),0)</f>
        <v>0</v>
      </c>
      <c r="CR75" s="314">
        <f>IFERROR(VLOOKUP(CR$1,PnaPr2019!$Q$82:$R$155,2,FALSE),0)</f>
        <v>0</v>
      </c>
      <c r="CS75" s="314">
        <f>IFERROR(VLOOKUP(CS$1,PnaPr2019!$Q$82:$R$155,2,FALSE),0)</f>
        <v>0</v>
      </c>
      <c r="CT75" s="314">
        <f>IFERROR(VLOOKUP(CT$1,PnaPr2019!$Q$82:$R$155,2,FALSE),0)</f>
        <v>0</v>
      </c>
      <c r="CU75" s="314">
        <f>IFERROR(VLOOKUP(CU$1,PnaPr2019!$Q$82:$R$155,2,FALSE),0)</f>
        <v>0</v>
      </c>
      <c r="CV75" s="314">
        <f>IFERROR(VLOOKUP(CV$1,PnaPr2019!$Q$82:$R$155,2,FALSE),0)</f>
        <v>0</v>
      </c>
      <c r="CW75" s="314">
        <f>IFERROR(VLOOKUP(CW$1,PnaPr2019!$Q$82:$R$155,2,FALSE),0)</f>
        <v>0</v>
      </c>
      <c r="CX75" s="314">
        <f>IFERROR(VLOOKUP(CX$1,PnaPr2019!$Q$82:$R$155,2,FALSE),0)</f>
        <v>0</v>
      </c>
      <c r="CY75" s="314">
        <f>IFERROR(VLOOKUP(CY$1,PnaPr2019!$Q$82:$R$155,2,FALSE),0)</f>
        <v>0</v>
      </c>
      <c r="CZ75" s="314">
        <f>IFERROR(VLOOKUP(CZ$1,PnaPr2019!$Q$82:$R$155,2,FALSE),0)</f>
        <v>0</v>
      </c>
      <c r="DA75" s="314">
        <f>IFERROR(VLOOKUP(DA$1,PnaPr2019!$Q$82:$R$155,2,FALSE),0)</f>
        <v>0</v>
      </c>
      <c r="DB75" s="314">
        <f>IFERROR(VLOOKUP(DB$1,PnaPr2019!$Q$82:$R$155,2,FALSE),0)</f>
        <v>0</v>
      </c>
      <c r="DC75" s="314">
        <f>IFERROR(VLOOKUP(DC$1,PnaPr2019!$Q$82:$R$155,2,FALSE),0)</f>
        <v>0</v>
      </c>
      <c r="DD75" s="314">
        <f>IFERROR(VLOOKUP(DD$1,PnaPr2019!$Q$82:$R$155,2,FALSE),0)</f>
        <v>0</v>
      </c>
      <c r="DE75" s="314">
        <f>IFERROR(VLOOKUP(DE$1,PnaPr2019!$Q$82:$R$155,2,FALSE),0)</f>
        <v>0</v>
      </c>
      <c r="DF75" s="314">
        <f>IFERROR(VLOOKUP(DF$1,PnaPr2019!$Q$82:$R$155,2,FALSE),0)</f>
        <v>0</v>
      </c>
      <c r="DG75" s="314">
        <f>IFERROR(VLOOKUP(DG$1,PnaPr2019!$Q$82:$R$155,2,FALSE),0)</f>
        <v>0</v>
      </c>
      <c r="DH75" s="314">
        <f>IFERROR(VLOOKUP(DH$1,PnaPr2019!$Q$82:$R$155,2,FALSE),0)</f>
        <v>0</v>
      </c>
      <c r="DI75" s="314">
        <f>IFERROR(VLOOKUP(DI$1,PnaPr2019!$Q$82:$R$155,2,FALSE),0)</f>
        <v>0</v>
      </c>
      <c r="DJ75" s="314">
        <f>IFERROR(VLOOKUP(DJ$1,PnaPr2019!$Q$82:$R$155,2,FALSE),0)</f>
        <v>0</v>
      </c>
      <c r="DK75" s="314">
        <f>IFERROR(VLOOKUP(DK$1,PnaPr2019!$Q$82:$R$155,2,FALSE),0)</f>
        <v>0</v>
      </c>
      <c r="DL75" s="314">
        <f>IFERROR(VLOOKUP(DL$1,PnaPr2019!$Q$82:$R$155,2,FALSE),0)</f>
        <v>0</v>
      </c>
      <c r="DM75" s="314">
        <f>IFERROR(VLOOKUP(DM$1,PnaPr2019!$Q$82:$R$155,2,FALSE),0)</f>
        <v>0</v>
      </c>
      <c r="DN75" s="314">
        <f>IFERROR(VLOOKUP(DN$1,PnaPr2019!$Q$82:$R$155,2,FALSE),0)</f>
        <v>0</v>
      </c>
      <c r="DO75" s="314">
        <f>IFERROR(VLOOKUP(DO$1,PnaPr2019!$Q$82:$R$155,2,FALSE),0)</f>
        <v>0</v>
      </c>
      <c r="DP75" s="314">
        <f>IFERROR(VLOOKUP(DP$1,PnaPr2019!$Q$82:$R$155,2,FALSE),0)</f>
        <v>0</v>
      </c>
      <c r="DQ75" s="314">
        <f>IFERROR(VLOOKUP(DQ$1,PnaPr2019!$Q$82:$R$155,2,FALSE),0)</f>
        <v>0</v>
      </c>
      <c r="DR75" s="314">
        <f>IFERROR(VLOOKUP(DR$1,PnaPr2019!$Q$82:$R$155,2,FALSE),0)</f>
        <v>0</v>
      </c>
      <c r="DS75" s="314">
        <f>IFERROR(VLOOKUP(DS$1,PnaPr2019!$Q$82:$R$155,2,FALSE),0)</f>
        <v>0</v>
      </c>
      <c r="DT75" s="314">
        <f>IFERROR(VLOOKUP(DT$1,PnaPr2019!$Q$82:$R$155,2,FALSE),0)</f>
        <v>0</v>
      </c>
      <c r="DU75" s="314">
        <f>IFERROR(VLOOKUP(DU$1,PnaPr2019!$Q$82:$R$155,2,FALSE),0)</f>
        <v>0</v>
      </c>
      <c r="DV75" s="314">
        <f>IFERROR(VLOOKUP(DV$1,PnaPr2019!$Q$82:$R$155,2,FALSE),0)</f>
        <v>0</v>
      </c>
      <c r="DW75" s="314">
        <f>IFERROR(VLOOKUP(DW$1,PnaPr2019!$Q$82:$R$155,2,FALSE),0)</f>
        <v>0</v>
      </c>
      <c r="DX75" s="314">
        <f>IFERROR(VLOOKUP(DX$1,PnaPr2019!$Q$82:$R$155,2,FALSE),0)</f>
        <v>0</v>
      </c>
      <c r="DY75" s="314">
        <f>IFERROR(VLOOKUP(DY$1,PnaPr2019!$Q$82:$R$155,2,FALSE),0)</f>
        <v>0</v>
      </c>
      <c r="DZ75" s="314">
        <f>IFERROR(VLOOKUP(DZ$1,PnaPr2019!$Q$82:$R$155,2,FALSE),0)</f>
        <v>0</v>
      </c>
      <c r="EA75" s="314">
        <f>IFERROR(VLOOKUP(EA$1,PnaPr2019!$Q$82:$R$155,2,FALSE),0)</f>
        <v>0</v>
      </c>
      <c r="EB75" s="314">
        <f>IFERROR(VLOOKUP(EB$1,PnaPr2019!$Q$82:$R$155,2,FALSE),0)</f>
        <v>0</v>
      </c>
      <c r="EC75" s="314">
        <f>IFERROR(VLOOKUP(EC$1,PnaPr2019!$Q$82:$R$155,2,FALSE),0)</f>
        <v>0</v>
      </c>
      <c r="ED75" s="314">
        <f>IFERROR(VLOOKUP(ED$1,PnaPr2019!$Q$82:$R$155,2,FALSE),0)</f>
        <v>0</v>
      </c>
      <c r="EE75" s="314">
        <f>IFERROR(VLOOKUP(EE$1,PnaPr2019!$Q$82:$R$155,2,FALSE),0)</f>
        <v>0</v>
      </c>
      <c r="EF75" s="314">
        <f>IFERROR(VLOOKUP(EF$1,PnaPr2019!$Q$82:$R$155,2,FALSE),0)</f>
        <v>0</v>
      </c>
      <c r="EG75" s="314">
        <f>IFERROR(VLOOKUP(EG$1,PnaPr2019!$Q$82:$R$155,2,FALSE),0)</f>
        <v>0</v>
      </c>
      <c r="EH75" s="314">
        <f>IFERROR(VLOOKUP(EH$1,PnaPr2019!$Q$82:$R$155,2,FALSE),0)</f>
        <v>0</v>
      </c>
      <c r="EI75" s="314">
        <f>IFERROR(VLOOKUP(EI$1,PnaPr2019!$Q$82:$R$155,2,FALSE),0)</f>
        <v>0</v>
      </c>
      <c r="EJ75" s="314">
        <f>IFERROR(VLOOKUP(EJ$1,PnaPr2019!$Q$82:$R$155,2,FALSE),0)</f>
        <v>0</v>
      </c>
      <c r="EK75" s="314">
        <f>IFERROR(VLOOKUP(EK$1,PnaPr2019!$Q$82:$R$155,2,FALSE),0)</f>
        <v>0</v>
      </c>
      <c r="EL75" s="314">
        <f>IFERROR(VLOOKUP(EL$1,PnaPr2019!$Q$82:$R$155,2,FALSE),0)</f>
        <v>0</v>
      </c>
      <c r="EM75" s="314">
        <f>IFERROR(VLOOKUP(EM$1,PnaPr2019!$Q$82:$R$155,2,FALSE),0)</f>
        <v>0</v>
      </c>
      <c r="EN75" s="314">
        <f>IFERROR(VLOOKUP(EN$1,PnaPr2019!$Q$82:$R$155,2,FALSE),0)</f>
        <v>0</v>
      </c>
      <c r="EO75" s="314">
        <f>IFERROR(VLOOKUP(EO$1,PnaPr2019!$Q$82:$R$155,2,FALSE),0)</f>
        <v>0</v>
      </c>
      <c r="EP75" s="314">
        <f>IFERROR(VLOOKUP(EP$1,PnaPr2019!$Q$82:$R$155,2,FALSE),0)</f>
        <v>0</v>
      </c>
      <c r="EQ75" s="314">
        <f>IFERROR(VLOOKUP(EQ$1,PnaPr2019!$Q$82:$R$155,2,FALSE),0)</f>
        <v>0</v>
      </c>
      <c r="ER75" s="314">
        <f>IFERROR(VLOOKUP(ER$1,PnaPr2019!$Q$82:$R$155,2,FALSE),0)</f>
        <v>0</v>
      </c>
      <c r="ES75" s="314">
        <f>IFERROR(VLOOKUP(ES$1,PnaPr2019!$Q$82:$R$155,2,FALSE),0)</f>
        <v>0</v>
      </c>
      <c r="ET75" s="314">
        <f>IFERROR(VLOOKUP(ET$1,PnaPr2019!$Q$82:$R$155,2,FALSE),0)</f>
        <v>0</v>
      </c>
      <c r="EU75" s="314">
        <f>IFERROR(VLOOKUP(EU$1,PnaPr2019!$Q$82:$R$155,2,FALSE),0)</f>
        <v>0</v>
      </c>
      <c r="EV75" s="314">
        <f>IFERROR(VLOOKUP(EV$1,PnaPr2019!$Q$82:$R$155,2,FALSE),0)</f>
        <v>0</v>
      </c>
      <c r="EW75" s="314">
        <f>IFERROR(VLOOKUP(EW$1,PnaPr2019!$Q$82:$R$155,2,FALSE),0)</f>
        <v>0</v>
      </c>
      <c r="EX75" s="314">
        <f>IFERROR(VLOOKUP(EX$1,PnaPr2019!$Q$82:$R$155,2,FALSE),0)</f>
        <v>0</v>
      </c>
      <c r="EY75" s="314">
        <f>IFERROR(VLOOKUP(EY$1,PnaPr2019!$Q$82:$R$155,2,FALSE),0)</f>
        <v>0</v>
      </c>
      <c r="EZ75" s="314">
        <f>IFERROR(VLOOKUP(EZ$1,PnaPr2019!$Q$82:$R$155,2,FALSE),0)</f>
        <v>0</v>
      </c>
      <c r="FA75" s="314">
        <f>IFERROR(VLOOKUP(FA$1,PnaPr2019!$Q$82:$R$155,2,FALSE),0)</f>
        <v>0</v>
      </c>
      <c r="FB75" s="314">
        <f>IFERROR(VLOOKUP(FB$1,PnaPr2019!$Q$82:$R$155,2,FALSE),0)</f>
        <v>0</v>
      </c>
      <c r="FC75" s="314">
        <f>IFERROR(VLOOKUP(FC$1,PnaPr2019!$Q$82:$R$155,2,FALSE),0)</f>
        <v>0</v>
      </c>
      <c r="FD75" s="314">
        <f>IFERROR(VLOOKUP(FD$1,PnaPr2019!$Q$82:$R$155,2,FALSE),0)</f>
        <v>0</v>
      </c>
      <c r="FE75" s="314">
        <f>IFERROR(VLOOKUP(FE$1,PnaPr2019!$Q$82:$R$155,2,FALSE),0)</f>
        <v>0</v>
      </c>
      <c r="FF75" s="314">
        <f>IFERROR(VLOOKUP(FF$1,PnaPr2019!$Q$82:$R$155,2,FALSE),0)</f>
        <v>0</v>
      </c>
      <c r="FG75" s="314">
        <f>IFERROR(VLOOKUP(FG$1,PnaPr2019!$Q$82:$R$155,2,FALSE),0)</f>
        <v>0</v>
      </c>
      <c r="FH75" s="314">
        <f>IFERROR(VLOOKUP(FH$1,PnaPr2019!$Q$82:$R$155,2,FALSE),0)</f>
        <v>0</v>
      </c>
      <c r="FI75" s="314">
        <f>IFERROR(VLOOKUP(FI$1,PnaPr2019!$Q$82:$R$155,2,FALSE),0)</f>
        <v>0</v>
      </c>
      <c r="FJ75" s="314">
        <f>IFERROR(VLOOKUP(FJ$1,PnaPr2019!$Q$82:$R$155,2,FALSE),0)</f>
        <v>0</v>
      </c>
      <c r="FK75" s="314">
        <f>IFERROR(VLOOKUP(FK$1,PnaPr2019!$Q$82:$R$155,2,FALSE),0)</f>
        <v>0</v>
      </c>
      <c r="FL75" s="314">
        <f>IFERROR(VLOOKUP(FL$1,PnaPr2019!$Q$82:$R$155,2,FALSE),0)</f>
        <v>0</v>
      </c>
      <c r="FM75" s="314">
        <f>IFERROR(VLOOKUP(FM$1,PnaPr2019!$Q$82:$R$155,2,FALSE),0)</f>
        <v>0</v>
      </c>
      <c r="FN75" s="314">
        <f>IFERROR(VLOOKUP(FN$1,PnaPr2019!$Q$82:$R$155,2,FALSE),0)</f>
        <v>0</v>
      </c>
      <c r="FO75" s="314">
        <f>IFERROR(VLOOKUP(FO$1,PnaPr2019!$Q$82:$R$155,2,FALSE),0)</f>
        <v>0</v>
      </c>
      <c r="FP75" s="314">
        <f>IFERROR(VLOOKUP(FP$1,PnaPr2019!$Q$82:$R$155,2,FALSE),0)</f>
        <v>0</v>
      </c>
      <c r="FQ75" s="314">
        <f>IFERROR(VLOOKUP(FQ$1,PnaPr2019!$Q$82:$R$155,2,FALSE),0)</f>
        <v>0</v>
      </c>
      <c r="FR75" s="314">
        <f>IFERROR(VLOOKUP(FR$1,PnaPr2019!$Q$82:$R$155,2,FALSE),0)</f>
        <v>0</v>
      </c>
      <c r="FS75" s="314">
        <f>IFERROR(VLOOKUP(FS$1,PnaPr2019!$Q$82:$R$155,2,FALSE),0)</f>
        <v>0</v>
      </c>
      <c r="FT75" s="314">
        <f>IFERROR(VLOOKUP(FT$1,PnaPr2019!$Q$82:$R$155,2,FALSE),0)</f>
        <v>0</v>
      </c>
      <c r="FU75" s="314">
        <f>IFERROR(VLOOKUP(FU$1,PnaPr2019!$Q$82:$R$155,2,FALSE),0)</f>
        <v>0</v>
      </c>
      <c r="FV75" s="314">
        <f>IFERROR(VLOOKUP(FV$1,PnaPr2019!$Q$82:$R$155,2,FALSE),0)</f>
        <v>0</v>
      </c>
      <c r="FW75" s="314">
        <f>IFERROR(VLOOKUP(FW$1,PnaPr2019!$Q$82:$R$155,2,FALSE),0)</f>
        <v>0</v>
      </c>
      <c r="FX75" s="314">
        <f>IFERROR(VLOOKUP(FX$1,PnaPr2019!$Q$82:$R$155,2,FALSE),0)</f>
        <v>0</v>
      </c>
      <c r="FY75" s="314">
        <f>IFERROR(VLOOKUP(FY$1,PnaPr2019!$Q$82:$R$155,2,FALSE),0)</f>
        <v>0</v>
      </c>
      <c r="FZ75" s="314">
        <f>IFERROR(VLOOKUP(FZ$1,PnaPr2019!$Q$82:$R$155,2,FALSE),0)</f>
        <v>0</v>
      </c>
      <c r="GA75" s="314">
        <f>IFERROR(VLOOKUP(GA$1,PnaPr2019!$Q$82:$R$155,2,FALSE),0)</f>
        <v>0</v>
      </c>
      <c r="GB75" s="314">
        <f>IFERROR(VLOOKUP(GB$1,PnaPr2019!$Q$82:$R$155,2,FALSE),0)</f>
        <v>0</v>
      </c>
      <c r="GC75" s="314">
        <f>IFERROR(VLOOKUP(GC$1,PnaPr2019!$Q$82:$R$155,2,FALSE),0)</f>
        <v>0</v>
      </c>
      <c r="GD75" s="314">
        <f>IFERROR(VLOOKUP(GD$1,PnaPr2019!$Q$82:$R$155,2,FALSE),0)</f>
        <v>0</v>
      </c>
      <c r="GE75" s="314">
        <f>IFERROR(VLOOKUP(GE$1,PnaPr2019!$Q$82:$R$155,2,FALSE),0)</f>
        <v>0</v>
      </c>
      <c r="GF75" s="314">
        <f>IFERROR(VLOOKUP(GF$1,PnaPr2019!$Q$82:$R$155,2,FALSE),0)</f>
        <v>0</v>
      </c>
      <c r="GG75" s="314">
        <f>IFERROR(VLOOKUP(GG$1,PnaPr2019!$Q$82:$R$155,2,FALSE),0)</f>
        <v>0</v>
      </c>
      <c r="GH75" s="314">
        <f>IFERROR(VLOOKUP(GH$1,PnaPr2019!$Q$82:$R$155,2,FALSE),0)</f>
        <v>0</v>
      </c>
      <c r="GI75" s="314">
        <f>IFERROR(VLOOKUP(GI$1,PnaPr2019!$Q$82:$R$155,2,FALSE),0)</f>
        <v>0</v>
      </c>
      <c r="GJ75" s="314">
        <f>IFERROR(VLOOKUP(GJ$1,PnaPr2019!$Q$82:$R$155,2,FALSE),0)</f>
        <v>0</v>
      </c>
      <c r="GK75" s="314">
        <f>IFERROR(VLOOKUP(GK$1,PnaPr2019!$Q$82:$R$155,2,FALSE),0)</f>
        <v>0</v>
      </c>
      <c r="GL75" s="314">
        <f>IFERROR(VLOOKUP(GL$1,PnaPr2019!$Q$82:$R$155,2,FALSE),0)</f>
        <v>0</v>
      </c>
      <c r="GM75" s="314">
        <f>IFERROR(VLOOKUP(GM$1,PnaPr2019!$Q$82:$R$155,2,FALSE),0)</f>
        <v>0</v>
      </c>
      <c r="GN75" s="314">
        <f>IFERROR(VLOOKUP(GN$1,PnaPr2019!$Q$82:$R$155,2,FALSE),0)</f>
        <v>0</v>
      </c>
      <c r="GO75" s="314">
        <f>IFERROR(VLOOKUP(GO$1,PnaPr2019!$Q$82:$R$155,2,FALSE),0)</f>
        <v>0</v>
      </c>
      <c r="GP75" s="314">
        <f>IFERROR(VLOOKUP(GP$1,PnaPr2019!$Q$82:$R$155,2,FALSE),0)</f>
        <v>0</v>
      </c>
      <c r="GQ75" s="314">
        <f>IFERROR(VLOOKUP(GQ$1,PnaPr2019!$Q$82:$R$155,2,FALSE),0)</f>
        <v>0</v>
      </c>
      <c r="GR75" s="314">
        <f>IFERROR(VLOOKUP(GR$1,PnaPr2019!$Q$82:$R$155,2,FALSE),0)</f>
        <v>0</v>
      </c>
      <c r="GS75" s="314">
        <f>IFERROR(VLOOKUP(GS$1,PnaPr2019!$Q$82:$R$155,2,FALSE),0)</f>
        <v>0</v>
      </c>
      <c r="GT75" s="314">
        <f>IFERROR(VLOOKUP(GT$1,PnaPr2019!$Q$82:$R$155,2,FALSE),0)</f>
        <v>0</v>
      </c>
      <c r="GU75" s="314">
        <f>IFERROR(VLOOKUP(GU$1,PnaPr2019!$Q$82:$R$155,2,FALSE),0)</f>
        <v>0</v>
      </c>
      <c r="GV75" s="314">
        <f>IFERROR(VLOOKUP(GV$1,PnaPr2019!$Q$82:$R$155,2,FALSE),0)</f>
        <v>0</v>
      </c>
      <c r="GW75" s="314">
        <f>IFERROR(VLOOKUP(GW$1,PnaPr2019!$Q$82:$R$155,2,FALSE),0)</f>
        <v>0</v>
      </c>
      <c r="GX75" s="314">
        <f>IFERROR(VLOOKUP(GX$1,PnaPr2019!$Q$82:$R$155,2,FALSE),0)</f>
        <v>0</v>
      </c>
      <c r="GY75" s="314">
        <f>IFERROR(VLOOKUP(GY$1,PnaPr2019!$Q$82:$R$155,2,FALSE),0)</f>
        <v>0</v>
      </c>
      <c r="GZ75" s="314">
        <f>IFERROR(VLOOKUP(GZ$1,PnaPr2019!$Q$82:$R$155,2,FALSE),0)</f>
        <v>0</v>
      </c>
      <c r="HA75" s="314">
        <f>IFERROR(VLOOKUP(HA$1,PnaPr2019!$Q$82:$R$155,2,FALSE),0)</f>
        <v>0</v>
      </c>
      <c r="HB75" s="314">
        <f>IFERROR(VLOOKUP(HB$1,PnaPr2019!$Q$82:$R$155,2,FALSE),0)</f>
        <v>0</v>
      </c>
      <c r="HC75" s="314">
        <f>IFERROR(VLOOKUP(HC$1,PnaPr2019!$Q$82:$R$155,2,FALSE),0)</f>
        <v>0</v>
      </c>
      <c r="HD75" s="314">
        <f>IFERROR(VLOOKUP(HD$1,PnaPr2019!$Q$82:$R$155,2,FALSE),0)</f>
        <v>0</v>
      </c>
      <c r="HE75" s="314">
        <f>IFERROR(VLOOKUP(HE$1,PnaPr2019!$Q$82:$R$155,2,FALSE),0)</f>
        <v>0</v>
      </c>
      <c r="HF75" s="314">
        <f>IFERROR(VLOOKUP(HF$1,PnaPr2019!$Q$82:$R$155,2,FALSE),0)</f>
        <v>0</v>
      </c>
      <c r="HG75" s="314">
        <f>IFERROR(VLOOKUP(HG$1,PnaPr2019!$Q$82:$R$155,2,FALSE),0)</f>
        <v>0</v>
      </c>
      <c r="HH75" s="314">
        <f>IFERROR(VLOOKUP(HH$1,PnaPr2019!$Q$82:$R$155,2,FALSE),0)</f>
        <v>0</v>
      </c>
      <c r="HI75" s="314">
        <f>IFERROR(VLOOKUP(HI$1,PnaPr2019!$Q$82:$R$155,2,FALSE),0)</f>
        <v>0</v>
      </c>
      <c r="HJ75" s="314">
        <f>IFERROR(VLOOKUP(HJ$1,PnaPr2019!$Q$82:$R$155,2,FALSE),0)</f>
        <v>0</v>
      </c>
      <c r="HK75" s="314">
        <f>IFERROR(VLOOKUP(HK$1,PnaPr2019!$Q$82:$R$155,2,FALSE),0)</f>
        <v>0</v>
      </c>
      <c r="HL75" s="314">
        <f>IFERROR(VLOOKUP(HL$1,PnaPr2019!$Q$82:$R$155,2,FALSE),0)</f>
        <v>12500994.243574739</v>
      </c>
      <c r="HM75" s="314">
        <f>IFERROR(VLOOKUP(HM$1,PnaPr2019!$Q$82:$R$155,2,FALSE),0)</f>
        <v>7210414.5415793229</v>
      </c>
      <c r="HN75" s="314">
        <f>IFERROR(VLOOKUP(HN$1,PnaPr2019!$Q$82:$R$155,2,FALSE),0)</f>
        <v>229621.41538817159</v>
      </c>
      <c r="HO75" s="314">
        <f>IFERROR(VLOOKUP(HO$1,PnaPr2019!$Q$82:$R$155,2,FALSE),0)</f>
        <v>795969.79945776786</v>
      </c>
      <c r="HP75" s="314">
        <f>IFERROR(VLOOKUP(HP$1,PnaPr2019!$Q$82:$R$155,2,FALSE),0)</f>
        <v>8998000</v>
      </c>
      <c r="HQ75" s="314">
        <f>IFERROR(VLOOKUP(HQ$1,PnaPr2019!$Q$82:$R$155,2,FALSE),0)</f>
        <v>328043.38080963405</v>
      </c>
      <c r="HR75" s="314">
        <f>IFERROR(VLOOKUP(HR$1,PnaPr2019!$Q$82:$R$155,2,FALSE),0)</f>
        <v>11118099.281565275</v>
      </c>
      <c r="HS75" s="314">
        <f>IFERROR(VLOOKUP(HS$1,PnaPr2019!$Q$82:$R$155,2,FALSE),0)</f>
        <v>1942857.3376250905</v>
      </c>
      <c r="HT75" s="314">
        <f>IFERROR(VLOOKUP(HT$1,PnaPr2019!$Q$82:$R$155,2,FALSE),0)</f>
        <v>7066000</v>
      </c>
      <c r="HU75" s="314">
        <f>IFERROR(VLOOKUP(HU$1,PnaPr2019!$Q$82:$R$155,2,FALSE),0)</f>
        <v>6399000</v>
      </c>
      <c r="HV75" s="314">
        <f>IFERROR(VLOOKUP(HV$1,PnaPr2019!$Q$82:$R$155,2,FALSE),0)</f>
        <v>5593000</v>
      </c>
      <c r="HW75" s="314">
        <f>IFERROR(VLOOKUP(HW$1,PnaPr2019!$Q$82:$R$155,2,FALSE),0)</f>
        <v>2439562.9659980796</v>
      </c>
      <c r="HX75" s="314">
        <f>IFERROR(VLOOKUP(HX$1,PnaPr2019!$Q$82:$R$155,2,FALSE),0)</f>
        <v>6989437.0340019213</v>
      </c>
      <c r="HY75" s="314">
        <f>IFERROR(VLOOKUP(HY$1,PnaPr2019!$Q$82:$R$155,2,FALSE),0)</f>
        <v>7106000</v>
      </c>
      <c r="HZ75" s="314">
        <f>IFERROR(VLOOKUP(HZ$1,PnaPr2019!$Q$82:$R$155,2,FALSE),0)</f>
        <v>2936000</v>
      </c>
      <c r="IA75" s="314">
        <f>IFERROR(VLOOKUP(IA$1,PnaPr2019!$Q$82:$R$155,2,FALSE),0)</f>
        <v>2840000</v>
      </c>
      <c r="IB75" s="314">
        <f>IFERROR(VLOOKUP(IB$1,PnaPr2019!$Q$82:$R$155,2,FALSE),0)</f>
        <v>2938000</v>
      </c>
      <c r="IC75" s="314">
        <f>IFERROR(VLOOKUP(IC$1,PnaPr2019!$Q$82:$R$155,2,FALSE),0)</f>
        <v>4047972.8227466298</v>
      </c>
      <c r="ID75" s="314">
        <f>IFERROR(VLOOKUP(ID$1,PnaPr2019!$Q$82:$R$155,2,FALSE),0)</f>
        <v>2725027.1772533702</v>
      </c>
      <c r="IE75" s="314">
        <f>IFERROR(VLOOKUP(IE$1,PnaPr2019!$Q$82:$R$155,2,FALSE),0)</f>
        <v>4207000</v>
      </c>
      <c r="IF75" s="314">
        <f>IFERROR(VLOOKUP(IF$1,PnaPr2019!$Q$82:$R$155,2,FALSE),0)</f>
        <v>8637597.1987946387</v>
      </c>
      <c r="IG75" s="314">
        <f>IFERROR(VLOOKUP(IG$1,PnaPr2019!$Q$82:$R$155,2,FALSE),0)</f>
        <v>2788402.8012053594</v>
      </c>
      <c r="IH75" s="314">
        <f>IFERROR(VLOOKUP(IH$1,PnaPr2019!$Q$82:$R$155,2,FALSE),0)</f>
        <v>1411646.589095501</v>
      </c>
      <c r="II75" s="314">
        <f>IFERROR(VLOOKUP(II$1,PnaPr2019!$Q$82:$R$155,2,FALSE),0)</f>
        <v>6931748.0492442045</v>
      </c>
      <c r="IJ75" s="314">
        <f>IFERROR(VLOOKUP(IJ$1,PnaPr2019!$Q$82:$R$155,2,FALSE),0)</f>
        <v>767218.5338407224</v>
      </c>
      <c r="IK75" s="314">
        <f>IFERROR(VLOOKUP(IK$1,PnaPr2019!$Q$82:$R$155,2,FALSE),0)</f>
        <v>1184386.8278195728</v>
      </c>
      <c r="IL75" s="314">
        <f>IFERROR(VLOOKUP(IL$1,PnaPr2019!$Q$82:$R$155,2,FALSE),0)</f>
        <v>2984000</v>
      </c>
      <c r="IM75" s="314">
        <f>IFERROR(VLOOKUP(IM$1,PnaPr2019!$Q$82:$R$155,2,FALSE),0)</f>
        <v>166387.84282009516</v>
      </c>
      <c r="IN75" s="314">
        <f>IFERROR(VLOOKUP(IN$1,PnaPr2019!$Q$82:$R$155,2,FALSE),0)</f>
        <v>3166528.5048106513</v>
      </c>
      <c r="IO75" s="314">
        <f>IFERROR(VLOOKUP(IO$1,PnaPr2019!$Q$82:$R$155,2,FALSE),0)</f>
        <v>1216083.6523692533</v>
      </c>
      <c r="IP75" s="314">
        <f>IFERROR(VLOOKUP(IP$1,PnaPr2019!$Q$82:$R$155,2,FALSE),0)</f>
        <v>6999000</v>
      </c>
      <c r="IQ75" s="314">
        <f>IFERROR(VLOOKUP(IQ$1,PnaPr2019!$Q$82:$R$155,2,FALSE),0)</f>
        <v>7640813.6661687279</v>
      </c>
      <c r="IR75" s="314">
        <f>IFERROR(VLOOKUP(IR$1,PnaPr2019!$Q$82:$R$155,2,FALSE),0)</f>
        <v>368186.33383127127</v>
      </c>
      <c r="IS75" s="314">
        <f>IFERROR(VLOOKUP(IS$1,PnaPr2019!$Q$82:$R$155,2,FALSE),0)</f>
        <v>17317440.509968996</v>
      </c>
      <c r="IT75" s="314">
        <f>IFERROR(VLOOKUP(IT$1,PnaPr2019!$Q$82:$R$155,2,FALSE),0)</f>
        <v>4376559.490031003</v>
      </c>
      <c r="IU75" s="314">
        <f>IFERROR(VLOOKUP(IU$1,PnaPr2019!$Q$82:$R$155,2,FALSE),0)</f>
        <v>1315360.0362361365</v>
      </c>
      <c r="IV75" s="314">
        <f>IFERROR(VLOOKUP(IV$1,PnaPr2019!$Q$82:$R$155,2,FALSE),0)</f>
        <v>3157592.8188311569</v>
      </c>
      <c r="IW75" s="314">
        <f>IFERROR(VLOOKUP(IW$1,PnaPr2019!$Q$82:$R$155,2,FALSE),0)</f>
        <v>5030210.711101328</v>
      </c>
      <c r="IX75" s="314">
        <f>IFERROR(VLOOKUP(IX$1,PnaPr2019!$Q$82:$R$155,2,FALSE),0)</f>
        <v>773836.43383137882</v>
      </c>
      <c r="IY75" s="314">
        <f>IFERROR(VLOOKUP(IY$1,PnaPr2019!$Q$82:$R$155,2,FALSE),0)</f>
        <v>2915486.4471565667</v>
      </c>
      <c r="IZ75" s="314">
        <f>IFERROR(VLOOKUP(IZ$1,PnaPr2019!$Q$82:$R$155,2,FALSE),0)</f>
        <v>4776513.5528434329</v>
      </c>
      <c r="JA75" s="341">
        <f>IFERROR(VLOOKUP(JA$1,'PZ 2019'!$C$3:$T$288,$A75,FALSE),0)</f>
        <v>738641.73</v>
      </c>
      <c r="JB75" s="341">
        <f>IFERROR(VLOOKUP(JB$1,'PZ 2019'!$C$3:$T$288,$A75,FALSE),0)</f>
        <v>828174.04</v>
      </c>
      <c r="JC75" s="341">
        <f>IFERROR(VLOOKUP(JC$1,'PZ 2019'!$C$3:$T$288,$A75,FALSE),0)</f>
        <v>643778.09</v>
      </c>
      <c r="JD75" s="341">
        <f>IFERROR(VLOOKUP(JD$1,'PZ 2019'!$C$3:$T$288,$A75,FALSE),0)</f>
        <v>876588.7</v>
      </c>
      <c r="JE75" s="314">
        <f>IFERROR(VLOOKUP(JE$1,PnaPr2019!$Q$82:$R$155,2,FALSE),0)</f>
        <v>829094.14505924715</v>
      </c>
      <c r="JF75" s="314">
        <f>IFERROR(VLOOKUP(JF$1,PnaPr2019!$Q$82:$R$155,2,FALSE),0)</f>
        <v>8444905.8549407516</v>
      </c>
      <c r="JG75" s="314">
        <f>IFERROR(VLOOKUP(JG$1,PnaPr2019!$Q$82:$R$155,2,FALSE),0)</f>
        <v>9910000</v>
      </c>
      <c r="JH75" s="341">
        <f>IFERROR(VLOOKUP(JH$1,'PZ 2019'!$C$3:$T$288,$A75,FALSE),0)</f>
        <v>0</v>
      </c>
      <c r="JI75" s="314">
        <f t="shared" si="327"/>
        <v>204607182.55999997</v>
      </c>
      <c r="JL75" s="307">
        <f t="shared" si="426"/>
        <v>0</v>
      </c>
      <c r="JM75" s="307">
        <f t="shared" si="426"/>
        <v>0</v>
      </c>
      <c r="JN75" s="307">
        <f t="shared" si="426"/>
        <v>0</v>
      </c>
      <c r="JO75" s="307">
        <f t="shared" si="426"/>
        <v>204607182.55999997</v>
      </c>
      <c r="JP75" s="307">
        <f t="shared" si="427"/>
        <v>204607182.55999997</v>
      </c>
    </row>
    <row r="76" spans="1:276" x14ac:dyDescent="0.25">
      <c r="B76" s="313" t="str">
        <f>B38</f>
        <v>MPSV 2019</v>
      </c>
      <c r="C76" s="314">
        <f>IFERROR(VLOOKUP(C$1,'MPSV 2019'!$A$2:$EV$256,11,FALSE),0)</f>
        <v>7348000</v>
      </c>
      <c r="D76" s="314">
        <f>IFERROR(VLOOKUP(D$1,'MPSV 2019'!$A$2:$EV$256,11,FALSE),0)</f>
        <v>6200000</v>
      </c>
      <c r="E76" s="314">
        <f>IFERROR(VLOOKUP(E$1,'MPSV 2019'!$A$2:$EV$256,11,FALSE),0)</f>
        <v>7900000</v>
      </c>
      <c r="F76" s="314">
        <f>IFERROR(VLOOKUP(F$1,'MPSV 2019'!$A$2:$EV$256,11,FALSE),0)</f>
        <v>3484600</v>
      </c>
      <c r="G76" s="314">
        <f>IFERROR(VLOOKUP(G$1,'MPSV 2019'!$A$2:$EV$256,11,FALSE),0)</f>
        <v>8898350</v>
      </c>
      <c r="H76" s="314">
        <f>IFERROR(VLOOKUP(H$1,'MPSV 2019'!$A$2:$EV$256,11,FALSE),0)</f>
        <v>851000</v>
      </c>
      <c r="I76" s="314">
        <f>IFERROR(VLOOKUP(I$1,'MPSV 2019'!$A$2:$EV$256,11,FALSE),0)</f>
        <v>1621440</v>
      </c>
      <c r="J76" s="314">
        <f>IFERROR(VLOOKUP(J$1,'MPSV 2019'!$A$2:$EV$256,11,FALSE),0)</f>
        <v>1417490</v>
      </c>
      <c r="K76" s="314">
        <f>IFERROR(VLOOKUP(K$1,'MPSV 2019'!$A$2:$EV$256,11,FALSE),0)</f>
        <v>3108430</v>
      </c>
      <c r="L76" s="314">
        <f>IFERROR(VLOOKUP(L$1,'MPSV 2019'!$A$2:$EV$256,11,FALSE),0)</f>
        <v>3599970</v>
      </c>
      <c r="M76" s="314">
        <f>IFERROR(VLOOKUP(M$1,'MPSV 2019'!$A$2:$EV$256,11,FALSE),0)</f>
        <v>3452100</v>
      </c>
      <c r="N76" s="314">
        <f>IFERROR(VLOOKUP(N$1,'MPSV 2019'!$A$2:$EV$256,11,FALSE),0)</f>
        <v>4935000</v>
      </c>
      <c r="O76" s="314">
        <f>IFERROR(VLOOKUP(O$1,'MPSV 2019'!$A$2:$EV$256,11,FALSE),0)</f>
        <v>3938706</v>
      </c>
      <c r="P76" s="314">
        <f>IFERROR(VLOOKUP(P$1,'MPSV 2019'!$A$2:$EV$256,11,FALSE),0)</f>
        <v>2208380</v>
      </c>
      <c r="Q76" s="314">
        <f>IFERROR(VLOOKUP(Q$1,'MPSV 2019'!$A$2:$EV$256,11,FALSE),0)</f>
        <v>1372267</v>
      </c>
      <c r="R76" s="314">
        <f>IFERROR(VLOOKUP(R$1,'MPSV 2019'!$A$2:$EV$256,11,FALSE),0)</f>
        <v>1903000</v>
      </c>
      <c r="S76" s="314">
        <f>IFERROR(VLOOKUP(S$1,'MPSV 2019'!$A$2:$EV$256,11,FALSE),0)</f>
        <v>1487500</v>
      </c>
      <c r="T76" s="314">
        <f>IFERROR(VLOOKUP(T$1,'MPSV 2019'!$A$2:$EV$256,11,FALSE),0)</f>
        <v>527000</v>
      </c>
      <c r="U76" s="314">
        <f>IFERROR(VLOOKUP(U$1,'MPSV 2019'!$A$2:$EV$256,11,FALSE),0)</f>
        <v>991200</v>
      </c>
      <c r="V76" s="314">
        <f>IFERROR(VLOOKUP(V$1,'MPSV 2019'!$A$2:$EV$256,11,FALSE),0)</f>
        <v>9165000</v>
      </c>
      <c r="W76" s="314">
        <f>IFERROR(VLOOKUP(W$1,'MPSV 2019'!$A$2:$EV$256,11,FALSE),0)</f>
        <v>1794000</v>
      </c>
      <c r="X76" s="314">
        <f>IFERROR(VLOOKUP(X$1,'MPSV 2019'!$A$2:$EV$256,11,FALSE),0)</f>
        <v>1309890</v>
      </c>
      <c r="Y76" s="314">
        <f>IFERROR(VLOOKUP(Y$1,'MPSV 2019'!$A$2:$EV$256,11,FALSE),0)</f>
        <v>1635000</v>
      </c>
      <c r="Z76" s="314">
        <f>IFERROR(VLOOKUP(Z$1,'MPSV 2019'!$A$2:$EV$256,11,FALSE),0)</f>
        <v>6656000</v>
      </c>
      <c r="AA76" s="314">
        <f>IFERROR(VLOOKUP(AA$1,'MPSV 2019'!$A$2:$EV$256,11,FALSE),0)</f>
        <v>2744110</v>
      </c>
      <c r="AB76" s="314">
        <f>IFERROR(VLOOKUP(AB$1,'MPSV 2019'!$A$2:$EV$256,11,FALSE),0)</f>
        <v>2917940</v>
      </c>
      <c r="AC76" s="314">
        <f>IFERROR(VLOOKUP(AC$1,'MPSV 2019'!$A$2:$EV$256,11,FALSE),0)</f>
        <v>1859500</v>
      </c>
      <c r="AD76" s="314">
        <f>IFERROR(VLOOKUP(AD$1,'MPSV 2019'!$A$2:$EV$256,11,FALSE),0)</f>
        <v>1711240</v>
      </c>
      <c r="AE76" s="314">
        <f>IFERROR(VLOOKUP(AE$1,'MPSV 2019'!$A$2:$EV$256,11,FALSE),0)</f>
        <v>0</v>
      </c>
      <c r="AF76" s="314">
        <f>IFERROR(VLOOKUP(AF$1,'MPSV 2019'!$A$2:$EV$256,11,FALSE),0)</f>
        <v>0</v>
      </c>
      <c r="AG76" s="314">
        <f>IFERROR(VLOOKUP(AG$1,'MPSV 2019'!$A$2:$EV$256,11,FALSE),0)</f>
        <v>3101900</v>
      </c>
      <c r="AH76" s="314">
        <f>IFERROR(VLOOKUP(AH$1,'MPSV 2019'!$A$2:$EV$256,11,FALSE),0)</f>
        <v>699300</v>
      </c>
      <c r="AI76" s="314">
        <f>IFERROR(VLOOKUP(AI$1,'MPSV 2019'!$A$2:$EV$256,11,FALSE),0)</f>
        <v>2546700</v>
      </c>
      <c r="AJ76" s="314">
        <f>IFERROR(VLOOKUP(AJ$1,'MPSV 2019'!$A$2:$EV$256,11,FALSE),0)</f>
        <v>2332000</v>
      </c>
      <c r="AK76" s="314">
        <f>IFERROR(VLOOKUP(AK$1,'MPSV 2019'!$A$2:$EV$256,11,FALSE),0)</f>
        <v>1089000</v>
      </c>
      <c r="AL76" s="314">
        <f>IFERROR(VLOOKUP(AL$1,'MPSV 2019'!$A$2:$EV$256,11,FALSE),0)</f>
        <v>1024200</v>
      </c>
      <c r="AM76" s="314">
        <f>IFERROR(VLOOKUP(AM$1,'MPSV 2019'!$A$2:$EV$256,11,FALSE),0)</f>
        <v>1224492</v>
      </c>
      <c r="AN76" s="314">
        <f>IFERROR(VLOOKUP(AN$1,'MPSV 2019'!$A$2:$EV$256,11,FALSE),0)</f>
        <v>1027900</v>
      </c>
      <c r="AO76" s="314">
        <f>IFERROR(VLOOKUP(AO$1,'MPSV 2019'!$A$2:$EV$256,11,FALSE),0)</f>
        <v>3503800</v>
      </c>
      <c r="AP76" s="314">
        <f>IFERROR(VLOOKUP(AP$1,'MPSV 2019'!$A$2:$EV$256,11,FALSE),0)</f>
        <v>2080820</v>
      </c>
      <c r="AQ76" s="314">
        <f>IFERROR(VLOOKUP(AQ$1,'MPSV 2019'!$A$2:$EV$256,11,FALSE),0)</f>
        <v>275460</v>
      </c>
      <c r="AR76" s="314">
        <f>IFERROR(VLOOKUP(AR$1,'MPSV 2019'!$A$2:$EV$256,11,FALSE),0)</f>
        <v>1090591</v>
      </c>
      <c r="AS76" s="314">
        <f>IFERROR(VLOOKUP(AS$1,'MPSV 2019'!$A$2:$EV$256,11,FALSE),0)</f>
        <v>418240</v>
      </c>
      <c r="AT76" s="314">
        <f>IFERROR(VLOOKUP(AT$1,'MPSV 2019'!$A$2:$EV$256,11,FALSE),0)</f>
        <v>2175746</v>
      </c>
      <c r="AU76" s="314">
        <f>IFERROR(VLOOKUP(AU$1,'MPSV 2019'!$A$2:$EV$256,11,FALSE),0)</f>
        <v>860440</v>
      </c>
      <c r="AV76" s="314">
        <f>IFERROR(VLOOKUP(AV$1,'MPSV 2019'!$A$2:$EV$256,11,FALSE),0)</f>
        <v>1051150</v>
      </c>
      <c r="AW76" s="314">
        <f>IFERROR(VLOOKUP(AW$1,'MPSV 2019'!$A$2:$EV$256,11,FALSE),0)</f>
        <v>1688690</v>
      </c>
      <c r="AX76" s="314">
        <f>IFERROR(VLOOKUP(AX$1,'MPSV 2019'!$A$2:$EV$256,11,FALSE),0)</f>
        <v>2743810</v>
      </c>
      <c r="AY76" s="314">
        <f>IFERROR(VLOOKUP(AY$1,'MPSV 2019'!$A$2:$EV$256,11,FALSE),0)</f>
        <v>2906893</v>
      </c>
      <c r="AZ76" s="314">
        <f>IFERROR(VLOOKUP(AZ$1,'MPSV 2019'!$A$2:$EV$256,11,FALSE),0)</f>
        <v>2790235</v>
      </c>
      <c r="BA76" s="314">
        <f>IFERROR(VLOOKUP(BA$1,'MPSV 2019'!$A$2:$EV$256,11,FALSE),0)</f>
        <v>7415268</v>
      </c>
      <c r="BB76" s="314">
        <f>IFERROR(VLOOKUP(BB$1,'MPSV 2019'!$A$2:$EV$256,11,FALSE),0)</f>
        <v>1020124</v>
      </c>
      <c r="BC76" s="314">
        <f>IFERROR(VLOOKUP(BC$1,'MPSV 2019'!$A$2:$EV$256,11,FALSE),0)</f>
        <v>971960</v>
      </c>
      <c r="BD76" s="314">
        <f>IFERROR(VLOOKUP(BD$1,'MPSV 2019'!$A$2:$EV$256,11,FALSE),0)</f>
        <v>1165820</v>
      </c>
      <c r="BE76" s="314">
        <f>IFERROR(VLOOKUP(BE$1,'MPSV 2019'!$A$2:$EV$256,11,FALSE),0)</f>
        <v>1091150</v>
      </c>
      <c r="BF76" s="314">
        <f>IFERROR(VLOOKUP(BF$1,'MPSV 2019'!$A$2:$EV$256,11,FALSE),0)</f>
        <v>1782000</v>
      </c>
      <c r="BG76" s="314">
        <f>IFERROR(VLOOKUP(BG$1,'MPSV 2019'!$A$2:$EV$256,11,FALSE),0)</f>
        <v>2244870</v>
      </c>
      <c r="BH76" s="314">
        <f>IFERROR(VLOOKUP(BH$1,'MPSV 2019'!$A$2:$EV$256,11,FALSE),0)</f>
        <v>2712120</v>
      </c>
      <c r="BI76" s="314">
        <f>IFERROR(VLOOKUP(BI$1,'MPSV 2019'!$A$2:$EV$256,11,FALSE),0)</f>
        <v>1249077</v>
      </c>
      <c r="BJ76" s="314">
        <f>IFERROR(VLOOKUP(BJ$1,'MPSV 2019'!$A$2:$EV$256,11,FALSE),0)</f>
        <v>2652621</v>
      </c>
      <c r="BK76" s="314">
        <f>IFERROR(VLOOKUP(BK$1,'MPSV 2019'!$A$2:$EV$256,11,FALSE),0)</f>
        <v>0</v>
      </c>
      <c r="BL76" s="314">
        <f>IFERROR(VLOOKUP(BL$1,'MPSV 2019'!$A$2:$EV$256,11,FALSE),0)</f>
        <v>0</v>
      </c>
      <c r="BM76" s="314">
        <f>IFERROR(VLOOKUP(BM$1,'MPSV 2019'!$A$2:$EV$256,11,FALSE),0)</f>
        <v>465100</v>
      </c>
      <c r="BN76" s="314">
        <f>IFERROR(VLOOKUP(BN$1,'MPSV 2019'!$A$2:$EV$256,11,FALSE),0)</f>
        <v>1582000</v>
      </c>
      <c r="BO76" s="314">
        <f>IFERROR(VLOOKUP(BO$1,'MPSV 2019'!$A$2:$EV$256,11,FALSE),0)</f>
        <v>762010</v>
      </c>
      <c r="BP76" s="314">
        <f>IFERROR(VLOOKUP(BP$1,'MPSV 2019'!$A$2:$EV$256,11,FALSE),0)</f>
        <v>3460591</v>
      </c>
      <c r="BQ76" s="314">
        <f>IFERROR(VLOOKUP(BQ$1,'MPSV 2019'!$A$2:$EV$256,11,FALSE),0)</f>
        <v>491755</v>
      </c>
      <c r="BR76" s="314">
        <f>IFERROR(VLOOKUP(BR$1,'MPSV 2019'!$A$2:$EV$256,11,FALSE),0)</f>
        <v>809340</v>
      </c>
      <c r="BS76" s="314">
        <f>IFERROR(VLOOKUP(BS$1,'MPSV 2019'!$A$2:$EV$256,11,FALSE),0)</f>
        <v>1197900</v>
      </c>
      <c r="BT76" s="314">
        <f>IFERROR(VLOOKUP(BT$1,'MPSV 2019'!$A$2:$EV$256,11,FALSE),0)</f>
        <v>781100</v>
      </c>
      <c r="BU76" s="314">
        <f>IFERROR(VLOOKUP(BU$1,'MPSV 2019'!$A$2:$EV$256,11,FALSE),0)</f>
        <v>3450082</v>
      </c>
      <c r="BV76" s="314">
        <f>IFERROR(VLOOKUP(BV$1,'MPSV 2019'!$A$2:$EV$256,11,FALSE),0)</f>
        <v>138910</v>
      </c>
      <c r="BW76" s="314">
        <f>IFERROR(VLOOKUP(BW$1,'MPSV 2019'!$A$2:$EV$256,11,FALSE),0)</f>
        <v>522000</v>
      </c>
      <c r="BX76" s="314">
        <f>IFERROR(VLOOKUP(BX$1,'MPSV 2019'!$A$2:$EV$256,11,FALSE),0)</f>
        <v>3898282</v>
      </c>
      <c r="BY76" s="314">
        <f>IFERROR(VLOOKUP(BY$1,'MPSV 2019'!$A$2:$EV$256,11,FALSE),0)</f>
        <v>1419144</v>
      </c>
      <c r="BZ76" s="314">
        <f>IFERROR(VLOOKUP(BZ$1,'MPSV 2019'!$A$2:$EV$256,11,FALSE),0)</f>
        <v>288150</v>
      </c>
      <c r="CA76" s="314">
        <f>IFERROR(VLOOKUP(CA$1,'MPSV 2019'!$A$2:$EV$256,11,FALSE),0)</f>
        <v>0</v>
      </c>
      <c r="CB76" s="314">
        <f>IFERROR(VLOOKUP(CB$1,'MPSV 2019'!$A$2:$EV$256,11,FALSE),0)</f>
        <v>532263</v>
      </c>
      <c r="CC76" s="314">
        <f>IFERROR(VLOOKUP(CC$1,'MPSV 2019'!$A$2:$EV$256,11,FALSE),0)</f>
        <v>2120418</v>
      </c>
      <c r="CD76" s="314">
        <f>IFERROR(VLOOKUP(CD$1,'MPSV 2019'!$A$2:$EV$256,11,FALSE),0)</f>
        <v>647336</v>
      </c>
      <c r="CE76" s="314">
        <f>IFERROR(VLOOKUP(CE$1,'MPSV 2019'!$A$2:$EV$256,11,FALSE),0)</f>
        <v>8268855</v>
      </c>
      <c r="CF76" s="314">
        <f>IFERROR(VLOOKUP(CF$1,'MPSV 2019'!$A$2:$EV$256,11,FALSE),0)</f>
        <v>4326000</v>
      </c>
      <c r="CG76" s="314">
        <f>IFERROR(VLOOKUP(CG$1,'MPSV 2019'!$A$2:$EV$256,11,FALSE),0)</f>
        <v>900000</v>
      </c>
      <c r="CH76" s="314">
        <f>IFERROR(VLOOKUP(CH$1,'MPSV 2019'!$A$2:$EV$256,11,FALSE),0)</f>
        <v>2319450</v>
      </c>
      <c r="CI76" s="314">
        <f>IFERROR(VLOOKUP(CI$1,'MPSV 2019'!$A$2:$EV$256,11,FALSE),0)</f>
        <v>1690000</v>
      </c>
      <c r="CJ76" s="314">
        <f>IFERROR(VLOOKUP(CJ$1,'MPSV 2019'!$A$2:$EV$256,11,FALSE),0)</f>
        <v>2357340</v>
      </c>
      <c r="CK76" s="314">
        <f>IFERROR(VLOOKUP(CK$1,'MPSV 2019'!$A$2:$EV$256,11,FALSE),0)</f>
        <v>4176623</v>
      </c>
      <c r="CL76" s="314">
        <f>IFERROR(VLOOKUP(CL$1,'MPSV 2019'!$A$2:$EV$256,11,FALSE),0)</f>
        <v>1397371</v>
      </c>
      <c r="CM76" s="314">
        <f>IFERROR(VLOOKUP(CM$1,'MPSV 2019'!$A$2:$EV$256,11,FALSE),0)</f>
        <v>5320660</v>
      </c>
      <c r="CN76" s="314">
        <f>IFERROR(VLOOKUP(CN$1,'MPSV 2019'!$A$2:$EV$256,11,FALSE),0)</f>
        <v>1229970</v>
      </c>
      <c r="CO76" s="314">
        <f>IFERROR(VLOOKUP(CO$1,'MPSV 2019'!$A$2:$EV$256,11,FALSE),0)</f>
        <v>1214500</v>
      </c>
      <c r="CP76" s="314">
        <f>IFERROR(VLOOKUP(CP$1,'MPSV 2019'!$A$2:$EV$256,11,FALSE),0)</f>
        <v>1182600</v>
      </c>
      <c r="CQ76" s="314">
        <f>IFERROR(VLOOKUP(CQ$1,'MPSV 2019'!$A$2:$EV$256,11,FALSE),0)</f>
        <v>2784980</v>
      </c>
      <c r="CR76" s="314">
        <f>IFERROR(VLOOKUP(CR$1,'MPSV 2019'!$A$2:$EV$256,11,FALSE),0)</f>
        <v>1492330</v>
      </c>
      <c r="CS76" s="314">
        <f>IFERROR(VLOOKUP(CS$1,'MPSV 2019'!$A$2:$EV$256,11,FALSE),0)</f>
        <v>0</v>
      </c>
      <c r="CT76" s="314">
        <f>IFERROR(VLOOKUP(CT$1,'MPSV 2019'!$A$2:$EV$256,11,FALSE),0)</f>
        <v>2665670</v>
      </c>
      <c r="CU76" s="314">
        <f>IFERROR(VLOOKUP(CU$1,'MPSV 2019'!$A$2:$EV$256,11,FALSE),0)</f>
        <v>1100000</v>
      </c>
      <c r="CV76" s="314">
        <f>IFERROR(VLOOKUP(CV$1,'MPSV 2019'!$A$2:$EV$256,11,FALSE),0)</f>
        <v>3600000</v>
      </c>
      <c r="CW76" s="314">
        <f>IFERROR(VLOOKUP(CW$1,'MPSV 2019'!$A$2:$EV$256,11,FALSE),0)</f>
        <v>0</v>
      </c>
      <c r="CX76" s="314">
        <f>IFERROR(VLOOKUP(CX$1,'MPSV 2019'!$A$2:$EV$256,11,FALSE),0)</f>
        <v>2778000</v>
      </c>
      <c r="CY76" s="314">
        <f>IFERROR(VLOOKUP(CY$1,'MPSV 2019'!$A$2:$EV$256,11,FALSE),0)</f>
        <v>2748954</v>
      </c>
      <c r="CZ76" s="314">
        <f>IFERROR(VLOOKUP(CZ$1,'MPSV 2019'!$A$2:$EV$256,11,FALSE),0)</f>
        <v>0</v>
      </c>
      <c r="DA76" s="314">
        <f>IFERROR(VLOOKUP(DA$1,'MPSV 2019'!$A$2:$EV$256,11,FALSE),0)</f>
        <v>5580860</v>
      </c>
      <c r="DB76" s="314">
        <f>IFERROR(VLOOKUP(DB$1,'MPSV 2019'!$A$2:$EV$256,11,FALSE),0)</f>
        <v>665328</v>
      </c>
      <c r="DC76" s="314">
        <f>IFERROR(VLOOKUP(DC$1,'MPSV 2019'!$A$2:$EV$256,11,FALSE),0)</f>
        <v>1623500</v>
      </c>
      <c r="DD76" s="314">
        <f>IFERROR(VLOOKUP(DD$1,'MPSV 2019'!$A$2:$EV$256,11,FALSE),0)</f>
        <v>2508240</v>
      </c>
      <c r="DE76" s="314">
        <f>IFERROR(VLOOKUP(DE$1,'MPSV 2019'!$A$2:$EV$256,11,FALSE),0)</f>
        <v>0</v>
      </c>
      <c r="DF76" s="314">
        <f>IFERROR(VLOOKUP(DF$1,'MPSV 2019'!$A$2:$EV$256,11,FALSE),0)</f>
        <v>2713420</v>
      </c>
      <c r="DG76" s="314">
        <f>IFERROR(VLOOKUP(DG$1,'MPSV 2019'!$A$2:$EV$256,11,FALSE),0)</f>
        <v>605740</v>
      </c>
      <c r="DH76" s="314">
        <f>IFERROR(VLOOKUP(DH$1,'MPSV 2019'!$A$2:$EV$256,11,FALSE),0)</f>
        <v>541897</v>
      </c>
      <c r="DI76" s="314">
        <f>IFERROR(VLOOKUP(DI$1,'MPSV 2019'!$A$2:$EV$256,11,FALSE),0)</f>
        <v>626030</v>
      </c>
      <c r="DJ76" s="314">
        <f>IFERROR(VLOOKUP(DJ$1,'MPSV 2019'!$A$2:$EV$256,11,FALSE),0)</f>
        <v>844040</v>
      </c>
      <c r="DK76" s="314">
        <f>IFERROR(VLOOKUP(DK$1,'MPSV 2019'!$A$2:$EV$256,11,FALSE),0)</f>
        <v>506700</v>
      </c>
      <c r="DL76" s="314">
        <f>IFERROR(VLOOKUP(DL$1,'MPSV 2019'!$A$2:$EV$256,11,FALSE),0)</f>
        <v>3817224</v>
      </c>
      <c r="DM76" s="314">
        <f>IFERROR(VLOOKUP(DM$1,'MPSV 2019'!$A$2:$EV$256,11,FALSE),0)</f>
        <v>1734348</v>
      </c>
      <c r="DN76" s="314">
        <f>IFERROR(VLOOKUP(DN$1,'MPSV 2019'!$A$2:$EV$256,11,FALSE),0)</f>
        <v>2728440</v>
      </c>
      <c r="DO76" s="314">
        <f>IFERROR(VLOOKUP(DO$1,'MPSV 2019'!$A$2:$EV$256,11,FALSE),0)</f>
        <v>1205810</v>
      </c>
      <c r="DP76" s="314">
        <f>IFERROR(VLOOKUP(DP$1,'MPSV 2019'!$A$2:$EV$256,11,FALSE),0)</f>
        <v>3871189</v>
      </c>
      <c r="DQ76" s="314">
        <f>IFERROR(VLOOKUP(DQ$1,'MPSV 2019'!$A$2:$EV$256,11,FALSE),0)</f>
        <v>2167520</v>
      </c>
      <c r="DR76" s="314">
        <f>IFERROR(VLOOKUP(DR$1,'MPSV 2019'!$A$2:$EV$256,11,FALSE),0)</f>
        <v>2348410</v>
      </c>
      <c r="DS76" s="314">
        <f>IFERROR(VLOOKUP(DS$1,'MPSV 2019'!$A$2:$EV$256,11,FALSE),0)</f>
        <v>0</v>
      </c>
      <c r="DT76" s="314">
        <f>IFERROR(VLOOKUP(DT$1,'MPSV 2019'!$A$2:$EV$256,11,FALSE),0)</f>
        <v>2825000</v>
      </c>
      <c r="DU76" s="314">
        <f>IFERROR(VLOOKUP(DU$1,'MPSV 2019'!$A$2:$EV$256,11,FALSE),0)</f>
        <v>1546867</v>
      </c>
      <c r="DV76" s="314">
        <f>IFERROR(VLOOKUP(DV$1,'MPSV 2019'!$A$2:$EV$256,11,FALSE),0)</f>
        <v>3016720</v>
      </c>
      <c r="DW76" s="314">
        <f>IFERROR(VLOOKUP(DW$1,'MPSV 2019'!$A$2:$EV$256,11,FALSE),0)</f>
        <v>1211410</v>
      </c>
      <c r="DX76" s="314">
        <f>IFERROR(VLOOKUP(DX$1,'MPSV 2019'!$A$2:$EV$256,11,FALSE),0)</f>
        <v>2510561</v>
      </c>
      <c r="DY76" s="314">
        <f>IFERROR(VLOOKUP(DY$1,'MPSV 2019'!$A$2:$EV$256,11,FALSE),0)</f>
        <v>3597150</v>
      </c>
      <c r="DZ76" s="314">
        <f>IFERROR(VLOOKUP(DZ$1,'MPSV 2019'!$A$2:$EV$256,11,FALSE),0)</f>
        <v>716300</v>
      </c>
      <c r="EA76" s="314">
        <f>IFERROR(VLOOKUP(EA$1,'MPSV 2019'!$A$2:$EV$256,11,FALSE),0)</f>
        <v>3633000</v>
      </c>
      <c r="EB76" s="314">
        <f>IFERROR(VLOOKUP(EB$1,'MPSV 2019'!$A$2:$EV$256,11,FALSE),0)</f>
        <v>3882690</v>
      </c>
      <c r="EC76" s="314">
        <f>IFERROR(VLOOKUP(EC$1,'MPSV 2019'!$A$2:$EV$256,11,FALSE),0)</f>
        <v>3345254</v>
      </c>
      <c r="ED76" s="314">
        <f>IFERROR(VLOOKUP(ED$1,'MPSV 2019'!$A$2:$EV$256,11,FALSE),0)</f>
        <v>3457000</v>
      </c>
      <c r="EE76" s="314">
        <f>IFERROR(VLOOKUP(EE$1,'MPSV 2019'!$A$2:$EV$256,11,FALSE),0)</f>
        <v>563624</v>
      </c>
      <c r="EF76" s="314">
        <f>IFERROR(VLOOKUP(EF$1,'MPSV 2019'!$A$2:$EV$256,11,FALSE),0)</f>
        <v>640486</v>
      </c>
      <c r="EG76" s="314">
        <f>IFERROR(VLOOKUP(EG$1,'MPSV 2019'!$A$2:$EV$256,11,FALSE),0)</f>
        <v>392240</v>
      </c>
      <c r="EH76" s="314">
        <f>IFERROR(VLOOKUP(EH$1,'MPSV 2019'!$A$2:$EV$256,11,FALSE),0)</f>
        <v>537670</v>
      </c>
      <c r="EI76" s="314">
        <f>IFERROR(VLOOKUP(EI$1,'MPSV 2019'!$A$2:$EV$256,11,FALSE),0)</f>
        <v>880000</v>
      </c>
      <c r="EJ76" s="314">
        <f>IFERROR(VLOOKUP(EJ$1,'MPSV 2019'!$A$2:$EV$256,11,FALSE),0)</f>
        <v>531000</v>
      </c>
      <c r="EK76" s="314">
        <f>IFERROR(VLOOKUP(EK$1,'MPSV 2019'!$A$2:$EV$256,11,FALSE),0)</f>
        <v>3593030</v>
      </c>
      <c r="EL76" s="314">
        <f>IFERROR(VLOOKUP(EL$1,'MPSV 2019'!$A$2:$EV$256,11,FALSE),0)</f>
        <v>7973026</v>
      </c>
      <c r="EM76" s="314">
        <f>IFERROR(VLOOKUP(EM$1,'MPSV 2019'!$A$2:$EV$256,11,FALSE),0)</f>
        <v>2488808</v>
      </c>
      <c r="EN76" s="314">
        <f>IFERROR(VLOOKUP(EN$1,'MPSV 2019'!$A$2:$EV$256,11,FALSE),0)</f>
        <v>1368920</v>
      </c>
      <c r="EO76" s="314">
        <f>IFERROR(VLOOKUP(EO$1,'MPSV 2019'!$A$2:$EV$256,11,FALSE),0)</f>
        <v>236418</v>
      </c>
      <c r="EP76" s="314">
        <f>IFERROR(VLOOKUP(EP$1,'MPSV 2019'!$A$2:$EV$256,11,FALSE),0)</f>
        <v>2171123</v>
      </c>
      <c r="EQ76" s="314">
        <f>IFERROR(VLOOKUP(EQ$1,'MPSV 2019'!$A$2:$EV$256,11,FALSE),0)</f>
        <v>1190738</v>
      </c>
      <c r="ER76" s="314">
        <f>IFERROR(VLOOKUP(ER$1,'MPSV 2019'!$A$2:$EV$256,11,FALSE),0)</f>
        <v>5251868</v>
      </c>
      <c r="ES76" s="314">
        <f>IFERROR(VLOOKUP(ES$1,'MPSV 2019'!$A$2:$EV$256,11,FALSE),0)</f>
        <v>2770560</v>
      </c>
      <c r="ET76" s="314">
        <f>IFERROR(VLOOKUP(ET$1,'MPSV 2019'!$A$2:$EV$256,11,FALSE),0)</f>
        <v>0</v>
      </c>
      <c r="EU76" s="314">
        <f>IFERROR(VLOOKUP(EU$1,'MPSV 2019'!$A$2:$EV$256,11,FALSE),0)</f>
        <v>0</v>
      </c>
      <c r="EV76" s="314">
        <f>IFERROR(VLOOKUP(EV$1,'MPSV 2019'!$A$2:$EV$256,11,FALSE),0)</f>
        <v>225535</v>
      </c>
      <c r="EW76" s="314">
        <f>IFERROR(VLOOKUP(EW$1,'MPSV 2019'!$A$2:$EV$256,11,FALSE),0)</f>
        <v>2356313</v>
      </c>
      <c r="EX76" s="314">
        <f>IFERROR(VLOOKUP(EX$1,'MPSV 2019'!$A$2:$EV$256,11,FALSE),0)</f>
        <v>5404290</v>
      </c>
      <c r="EY76" s="314">
        <f>IFERROR(VLOOKUP(EY$1,'MPSV 2019'!$A$2:$EV$256,11,FALSE),0)</f>
        <v>1024820</v>
      </c>
      <c r="EZ76" s="314">
        <f>IFERROR(VLOOKUP(EZ$1,'MPSV 2019'!$A$2:$EV$256,11,FALSE),0)</f>
        <v>111326</v>
      </c>
      <c r="FA76" s="314">
        <f>IFERROR(VLOOKUP(FA$1,'MPSV 2019'!$A$2:$EV$256,11,FALSE),0)</f>
        <v>685740</v>
      </c>
      <c r="FB76" s="314">
        <f>IFERROR(VLOOKUP(FB$1,'MPSV 2019'!$A$2:$EV$256,11,FALSE),0)</f>
        <v>93750</v>
      </c>
      <c r="FC76" s="314">
        <f>IFERROR(VLOOKUP(FC$1,'MPSV 2019'!$A$2:$EV$256,11,FALSE),0)</f>
        <v>3000000</v>
      </c>
      <c r="FD76" s="314">
        <f>IFERROR(VLOOKUP(FD$1,'MPSV 2019'!$A$2:$EV$256,11,FALSE),0)</f>
        <v>370380</v>
      </c>
      <c r="FE76" s="314">
        <f>IFERROR(VLOOKUP(FE$1,'MPSV 2019'!$A$2:$EV$256,11,FALSE),0)</f>
        <v>262500</v>
      </c>
      <c r="FF76" s="314">
        <f>IFERROR(VLOOKUP(FF$1,'MPSV 2019'!$A$2:$EV$256,11,FALSE),0)</f>
        <v>1117120</v>
      </c>
      <c r="FG76" s="314">
        <f>IFERROR(VLOOKUP(FG$1,'MPSV 2019'!$A$2:$EV$256,11,FALSE),0)</f>
        <v>4683650</v>
      </c>
      <c r="FH76" s="314">
        <f>IFERROR(VLOOKUP(FH$1,'MPSV 2019'!$A$2:$EV$256,11,FALSE),0)</f>
        <v>5519580</v>
      </c>
      <c r="FI76" s="314">
        <f>IFERROR(VLOOKUP(FI$1,'MPSV 2019'!$A$2:$EV$256,11,FALSE),0)</f>
        <v>5568487</v>
      </c>
      <c r="FJ76" s="314">
        <f>IFERROR(VLOOKUP(FJ$1,'MPSV 2019'!$A$2:$EV$256,11,FALSE),0)</f>
        <v>1579046</v>
      </c>
      <c r="FK76" s="314">
        <f>IFERROR(VLOOKUP(FK$1,'MPSV 2019'!$A$2:$EV$256,11,FALSE),0)</f>
        <v>281852</v>
      </c>
      <c r="FL76" s="314">
        <f>IFERROR(VLOOKUP(FL$1,'MPSV 2019'!$A$2:$EV$256,11,FALSE),0)</f>
        <v>601762</v>
      </c>
      <c r="FM76" s="314">
        <f>IFERROR(VLOOKUP(FM$1,'MPSV 2019'!$A$2:$EV$256,11,FALSE),0)</f>
        <v>2626403</v>
      </c>
      <c r="FN76" s="314">
        <f>IFERROR(VLOOKUP(FN$1,'MPSV 2019'!$A$2:$EV$256,11,FALSE),0)</f>
        <v>6459380</v>
      </c>
      <c r="FO76" s="314">
        <f>IFERROR(VLOOKUP(FO$1,'MPSV 2019'!$A$2:$EV$256,11,FALSE),0)</f>
        <v>1659657</v>
      </c>
      <c r="FP76" s="314">
        <f>IFERROR(VLOOKUP(FP$1,'MPSV 2019'!$A$2:$EV$256,11,FALSE),0)</f>
        <v>12144452</v>
      </c>
      <c r="FQ76" s="314">
        <f>IFERROR(VLOOKUP(FQ$1,'MPSV 2019'!$A$2:$EV$256,11,FALSE),0)</f>
        <v>1909423</v>
      </c>
      <c r="FR76" s="314">
        <f>IFERROR(VLOOKUP(FR$1,'MPSV 2019'!$A$2:$EV$256,11,FALSE),0)</f>
        <v>0</v>
      </c>
      <c r="FS76" s="314">
        <f>IFERROR(VLOOKUP(FS$1,'MPSV 2019'!$A$2:$EV$256,11,FALSE),0)</f>
        <v>477570</v>
      </c>
      <c r="FT76" s="314">
        <f>IFERROR(VLOOKUP(FT$1,'MPSV 2019'!$A$2:$EV$256,11,FALSE),0)</f>
        <v>2948610</v>
      </c>
      <c r="FU76" s="314">
        <f>IFERROR(VLOOKUP(FU$1,'MPSV 2019'!$A$2:$EV$256,11,FALSE),0)</f>
        <v>426547</v>
      </c>
      <c r="FV76" s="314">
        <f>IFERROR(VLOOKUP(FV$1,'MPSV 2019'!$A$2:$EV$256,11,FALSE),0)</f>
        <v>559074</v>
      </c>
      <c r="FW76" s="314">
        <f>IFERROR(VLOOKUP(FW$1,'MPSV 2019'!$A$2:$EV$256,11,FALSE),0)</f>
        <v>1013735</v>
      </c>
      <c r="FX76" s="314">
        <f>IFERROR(VLOOKUP(FX$1,'MPSV 2019'!$A$2:$EV$256,11,FALSE),0)</f>
        <v>364926</v>
      </c>
      <c r="FY76" s="314">
        <f>IFERROR(VLOOKUP(FY$1,'MPSV 2019'!$A$2:$EV$256,11,FALSE),0)</f>
        <v>150000</v>
      </c>
      <c r="FZ76" s="314">
        <f>IFERROR(VLOOKUP(FZ$1,'MPSV 2019'!$A$2:$EV$256,11,FALSE),0)</f>
        <v>2576210</v>
      </c>
      <c r="GA76" s="314">
        <f>IFERROR(VLOOKUP(GA$1,'MPSV 2019'!$A$2:$EV$256,11,FALSE),0)</f>
        <v>234850</v>
      </c>
      <c r="GB76" s="314">
        <f>IFERROR(VLOOKUP(GB$1,'MPSV 2019'!$A$2:$EV$256,11,FALSE),0)</f>
        <v>1751320</v>
      </c>
      <c r="GC76" s="314">
        <f>IFERROR(VLOOKUP(GC$1,'MPSV 2019'!$A$2:$EV$256,11,FALSE),0)</f>
        <v>2155529</v>
      </c>
      <c r="GD76" s="314">
        <f>IFERROR(VLOOKUP(GD$1,'MPSV 2019'!$A$2:$EV$256,11,FALSE),0)</f>
        <v>4880300</v>
      </c>
      <c r="GE76" s="314">
        <f>IFERROR(VLOOKUP(GE$1,'MPSV 2019'!$A$2:$EV$256,11,FALSE),0)</f>
        <v>774410</v>
      </c>
      <c r="GF76" s="314">
        <f>IFERROR(VLOOKUP(GF$1,'MPSV 2019'!$A$2:$EV$256,11,FALSE),0)</f>
        <v>3590557</v>
      </c>
      <c r="GG76" s="314">
        <f>IFERROR(VLOOKUP(GG$1,'MPSV 2019'!$A$2:$EV$256,11,FALSE),0)</f>
        <v>1234654</v>
      </c>
      <c r="GH76" s="314">
        <f>IFERROR(VLOOKUP(GH$1,'MPSV 2019'!$A$2:$EV$256,11,FALSE),0)</f>
        <v>1026112</v>
      </c>
      <c r="GI76" s="314">
        <f>IFERROR(VLOOKUP(GI$1,'MPSV 2019'!$A$2:$EV$256,11,FALSE),0)</f>
        <v>6898917</v>
      </c>
      <c r="GJ76" s="314">
        <f>IFERROR(VLOOKUP(GJ$1,'MPSV 2019'!$A$2:$EV$256,11,FALSE),0)</f>
        <v>1317750</v>
      </c>
      <c r="GK76" s="314">
        <f>IFERROR(VLOOKUP(GK$1,'MPSV 2019'!$A$2:$EV$256,11,FALSE),0)</f>
        <v>666130</v>
      </c>
      <c r="GL76" s="314">
        <f>IFERROR(VLOOKUP(GL$1,'MPSV 2019'!$A$2:$EV$256,11,FALSE),0)</f>
        <v>529296</v>
      </c>
      <c r="GM76" s="314">
        <f>IFERROR(VLOOKUP(GM$1,'MPSV 2019'!$A$2:$EV$256,11,FALSE),0)</f>
        <v>584410</v>
      </c>
      <c r="GN76" s="314">
        <f>IFERROR(VLOOKUP(GN$1,'MPSV 2019'!$A$2:$EV$256,11,FALSE),0)</f>
        <v>201040</v>
      </c>
      <c r="GO76" s="314">
        <f>IFERROR(VLOOKUP(GO$1,'MPSV 2019'!$A$2:$EV$256,11,FALSE),0)</f>
        <v>3471471</v>
      </c>
      <c r="GP76" s="314">
        <f>IFERROR(VLOOKUP(GP$1,'MPSV 2019'!$A$2:$EV$256,11,FALSE),0)</f>
        <v>470270</v>
      </c>
      <c r="GQ76" s="314">
        <f>IFERROR(VLOOKUP(GQ$1,'MPSV 2019'!$A$2:$EV$256,11,FALSE),0)</f>
        <v>426710</v>
      </c>
      <c r="GR76" s="314">
        <f>IFERROR(VLOOKUP(GR$1,'MPSV 2019'!$A$2:$EV$256,11,FALSE),0)</f>
        <v>516450</v>
      </c>
      <c r="GS76" s="314">
        <f>IFERROR(VLOOKUP(GS$1,'MPSV 2019'!$A$2:$EV$256,11,FALSE),0)</f>
        <v>133500</v>
      </c>
      <c r="GT76" s="314">
        <f>IFERROR(VLOOKUP(GT$1,'MPSV 2019'!$A$2:$EV$256,11,FALSE),0)</f>
        <v>5724000</v>
      </c>
      <c r="GU76" s="314">
        <f>IFERROR(VLOOKUP(GU$1,'MPSV 2019'!$A$2:$EV$256,11,FALSE),0)</f>
        <v>761571</v>
      </c>
      <c r="GV76" s="314">
        <f>IFERROR(VLOOKUP(GV$1,'MPSV 2019'!$A$2:$EV$256,11,FALSE),0)</f>
        <v>4959810</v>
      </c>
      <c r="GW76" s="314">
        <f>IFERROR(VLOOKUP(GW$1,'MPSV 2019'!$A$2:$EV$256,11,FALSE),0)</f>
        <v>1133866</v>
      </c>
      <c r="GX76" s="314">
        <f>IFERROR(VLOOKUP(GX$1,'MPSV 2019'!$A$2:$EV$256,11,FALSE),0)</f>
        <v>97500</v>
      </c>
      <c r="GY76" s="314">
        <f>IFERROR(VLOOKUP(GY$1,'MPSV 2019'!$A$2:$EV$256,11,FALSE),0)</f>
        <v>10521860</v>
      </c>
      <c r="GZ76" s="314">
        <f>IFERROR(VLOOKUP(GZ$1,'MPSV 2019'!$A$2:$EV$256,11,FALSE),0)</f>
        <v>0</v>
      </c>
      <c r="HA76" s="314">
        <f>IFERROR(VLOOKUP(HA$1,'MPSV 2019'!$A$2:$EV$256,11,FALSE),0)</f>
        <v>3864560</v>
      </c>
      <c r="HB76" s="314">
        <f>IFERROR(VLOOKUP(HB$1,'MPSV 2019'!$A$2:$EV$256,11,FALSE),0)</f>
        <v>1991460</v>
      </c>
      <c r="HC76" s="314">
        <f>IFERROR(VLOOKUP(HC$1,'MPSV 2019'!$A$2:$EV$256,11,FALSE),0)</f>
        <v>4360800</v>
      </c>
      <c r="HD76" s="314">
        <f>IFERROR(VLOOKUP(HD$1,'MPSV 2019'!$A$2:$EV$256,11,FALSE),0)</f>
        <v>971100</v>
      </c>
      <c r="HE76" s="314">
        <f>IFERROR(VLOOKUP(HE$1,'MPSV 2019'!$A$2:$EV$256,11,FALSE),0)</f>
        <v>3634850</v>
      </c>
      <c r="HF76" s="314">
        <f>IFERROR(VLOOKUP(HF$1,'MPSV 2019'!$A$2:$EV$256,11,FALSE),0)</f>
        <v>480000</v>
      </c>
      <c r="HG76" s="314">
        <f>IFERROR(VLOOKUP(HG$1,'MPSV 2019'!$A$2:$EV$256,11,FALSE),0)</f>
        <v>375000</v>
      </c>
      <c r="HH76" s="314">
        <f>IFERROR(VLOOKUP(HH$1,'MPSV 2019'!$A$2:$EV$256,11,FALSE),0)</f>
        <v>1689660</v>
      </c>
      <c r="HI76" s="314">
        <f>IFERROR(VLOOKUP(HI$1,'MPSV 2019'!$A$2:$EV$256,11,FALSE),0)</f>
        <v>1069500</v>
      </c>
      <c r="HJ76" s="314">
        <f>IFERROR(VLOOKUP(HJ$1,'MPSV 2019'!$A$2:$EV$256,11,FALSE),0)</f>
        <v>128450</v>
      </c>
      <c r="HK76" s="314">
        <f>IFERROR(VLOOKUP(HK$1,'MPSV 2019'!$A$2:$EV$256,11,FALSE),0)</f>
        <v>144000</v>
      </c>
      <c r="HL76" s="314">
        <f>IFERROR(VLOOKUP(HL$1,'MPSV 2019'!$A$2:$EV$256,11,FALSE),0)</f>
        <v>24865973</v>
      </c>
      <c r="HM76" s="314">
        <f>IFERROR(VLOOKUP(HM$1,'MPSV 2019'!$A$2:$EV$256,11,FALSE),0)</f>
        <v>17791098</v>
      </c>
      <c r="HN76" s="314">
        <f>IFERROR(VLOOKUP(HN$1,'MPSV 2019'!$A$2:$EV$256,11,FALSE),0)</f>
        <v>579155</v>
      </c>
      <c r="HO76" s="314">
        <f>IFERROR(VLOOKUP(HO$1,'MPSV 2019'!$A$2:$EV$256,11,FALSE),0)</f>
        <v>0</v>
      </c>
      <c r="HP76" s="314">
        <f>IFERROR(VLOOKUP(HP$1,'MPSV 2019'!$A$2:$EV$256,11,FALSE),0)</f>
        <v>18789218</v>
      </c>
      <c r="HQ76" s="314">
        <f>IFERROR(VLOOKUP(HQ$1,'MPSV 2019'!$A$2:$EV$256,11,FALSE),0)</f>
        <v>650000</v>
      </c>
      <c r="HR76" s="314">
        <f>IFERROR(VLOOKUP(HR$1,'MPSV 2019'!$A$2:$EV$256,11,FALSE),0)</f>
        <v>22423092</v>
      </c>
      <c r="HS76" s="314">
        <f>IFERROR(VLOOKUP(HS$1,'MPSV 2019'!$A$2:$EV$256,11,FALSE),0)</f>
        <v>3748370</v>
      </c>
      <c r="HT76" s="314">
        <f>IFERROR(VLOOKUP(HT$1,'MPSV 2019'!$A$2:$EV$256,11,FALSE),0)</f>
        <v>15533685</v>
      </c>
      <c r="HU76" s="314">
        <f>IFERROR(VLOOKUP(HU$1,'MPSV 2019'!$A$2:$EV$256,11,FALSE),0)</f>
        <v>15108994</v>
      </c>
      <c r="HV76" s="314">
        <f>IFERROR(VLOOKUP(HV$1,'MPSV 2019'!$A$2:$EV$256,11,FALSE),0)</f>
        <v>11096127</v>
      </c>
      <c r="HW76" s="314">
        <f>IFERROR(VLOOKUP(HW$1,'MPSV 2019'!$A$2:$EV$256,11,FALSE),0)</f>
        <v>4525979</v>
      </c>
      <c r="HX76" s="314">
        <f>IFERROR(VLOOKUP(HX$1,'MPSV 2019'!$A$2:$EV$256,11,FALSE),0)</f>
        <v>10994091</v>
      </c>
      <c r="HY76" s="314">
        <f>IFERROR(VLOOKUP(HY$1,'MPSV 2019'!$A$2:$EV$256,11,FALSE),0)</f>
        <v>13999762</v>
      </c>
      <c r="HZ76" s="314">
        <f>IFERROR(VLOOKUP(HZ$1,'MPSV 2019'!$A$2:$EV$256,11,FALSE),0)</f>
        <v>6629941</v>
      </c>
      <c r="IA76" s="314">
        <f>IFERROR(VLOOKUP(IA$1,'MPSV 2019'!$A$2:$EV$256,11,FALSE),0)</f>
        <v>6267487</v>
      </c>
      <c r="IB76" s="314">
        <f>IFERROR(VLOOKUP(IB$1,'MPSV 2019'!$A$2:$EV$256,11,FALSE),0)</f>
        <v>5637181</v>
      </c>
      <c r="IC76" s="314">
        <f>IFERROR(VLOOKUP(IC$1,'MPSV 2019'!$A$2:$EV$256,11,FALSE),0)</f>
        <v>7185742</v>
      </c>
      <c r="ID76" s="314">
        <f>IFERROR(VLOOKUP(ID$1,'MPSV 2019'!$A$2:$EV$256,11,FALSE),0)</f>
        <v>6530764</v>
      </c>
      <c r="IE76" s="314">
        <f>IFERROR(VLOOKUP(IE$1,'MPSV 2019'!$A$2:$EV$256,11,FALSE),0)</f>
        <v>11981892</v>
      </c>
      <c r="IF76" s="314">
        <f>IFERROR(VLOOKUP(IF$1,'MPSV 2019'!$A$2:$EV$256,11,FALSE),0)</f>
        <v>11622390</v>
      </c>
      <c r="IG76" s="314">
        <f>IFERROR(VLOOKUP(IG$1,'MPSV 2019'!$A$2:$EV$256,11,FALSE),0)</f>
        <v>2657677</v>
      </c>
      <c r="IH76" s="314">
        <f>IFERROR(VLOOKUP(IH$1,'MPSV 2019'!$A$2:$EV$256,11,FALSE),0)</f>
        <v>1601240</v>
      </c>
      <c r="II76" s="314">
        <f>IFERROR(VLOOKUP(II$1,'MPSV 2019'!$A$2:$EV$256,11,FALSE),0)</f>
        <v>13910117</v>
      </c>
      <c r="IJ76" s="314">
        <f>IFERROR(VLOOKUP(IJ$1,'MPSV 2019'!$A$2:$EV$256,11,FALSE),0)</f>
        <v>907690</v>
      </c>
      <c r="IK76" s="314">
        <f>IFERROR(VLOOKUP(IK$1,'MPSV 2019'!$A$2:$EV$256,11,FALSE),0)</f>
        <v>0</v>
      </c>
      <c r="IL76" s="314">
        <f>IFERROR(VLOOKUP(IL$1,'MPSV 2019'!$A$2:$EV$256,11,FALSE),0)</f>
        <v>6220656</v>
      </c>
      <c r="IM76" s="314">
        <f>IFERROR(VLOOKUP(IM$1,'MPSV 2019'!$A$2:$EV$256,11,FALSE),0)</f>
        <v>535450</v>
      </c>
      <c r="IN76" s="314">
        <f>IFERROR(VLOOKUP(IN$1,'MPSV 2019'!$A$2:$EV$256,11,FALSE),0)</f>
        <v>7047423</v>
      </c>
      <c r="IO76" s="314">
        <f>IFERROR(VLOOKUP(IO$1,'MPSV 2019'!$A$2:$EV$256,11,FALSE),0)</f>
        <v>2196410</v>
      </c>
      <c r="IP76" s="314">
        <f>IFERROR(VLOOKUP(IP$1,'MPSV 2019'!$A$2:$EV$256,11,FALSE),0)</f>
        <v>15516867</v>
      </c>
      <c r="IQ76" s="314">
        <f>IFERROR(VLOOKUP(IQ$1,'MPSV 2019'!$A$2:$EV$256,11,FALSE),0)</f>
        <v>14923149</v>
      </c>
      <c r="IR76" s="314">
        <f>IFERROR(VLOOKUP(IR$1,'MPSV 2019'!$A$2:$EV$256,11,FALSE),0)</f>
        <v>634880</v>
      </c>
      <c r="IS76" s="314">
        <f>IFERROR(VLOOKUP(IS$1,'MPSV 2019'!$A$2:$EV$256,11,FALSE),0)</f>
        <v>35748234</v>
      </c>
      <c r="IT76" s="314">
        <f>IFERROR(VLOOKUP(IT$1,'MPSV 2019'!$A$2:$EV$256,11,FALSE),0)</f>
        <v>7833300</v>
      </c>
      <c r="IU76" s="314">
        <f>IFERROR(VLOOKUP(IU$1,'MPSV 2019'!$A$2:$EV$256,11,FALSE),0)</f>
        <v>1867270</v>
      </c>
      <c r="IV76" s="314">
        <f>IFERROR(VLOOKUP(IV$1,'MPSV 2019'!$A$2:$EV$256,11,FALSE),0)</f>
        <v>5364812</v>
      </c>
      <c r="IW76" s="314">
        <f>IFERROR(VLOOKUP(IW$1,'MPSV 2019'!$A$2:$EV$256,11,FALSE),0)</f>
        <v>10608684</v>
      </c>
      <c r="IX76" s="314">
        <f>IFERROR(VLOOKUP(IX$1,'MPSV 2019'!$A$2:$EV$256,11,FALSE),0)</f>
        <v>1039600</v>
      </c>
      <c r="IY76" s="314">
        <f>IFERROR(VLOOKUP(IY$1,'MPSV 2019'!$A$2:$EV$256,11,FALSE),0)</f>
        <v>4689162</v>
      </c>
      <c r="IZ76" s="314">
        <f>IFERROR(VLOOKUP(IZ$1,'MPSV 2019'!$A$2:$EV$256,11,FALSE),0)</f>
        <v>13451430</v>
      </c>
      <c r="JA76" s="314">
        <f>IFERROR(VLOOKUP(JA$1,'MPSV 2019'!$A$2:$EV$256,11,FALSE),0)</f>
        <v>2298510</v>
      </c>
      <c r="JB76" s="314">
        <f>IFERROR(VLOOKUP(JB$1,'MPSV 2019'!$A$2:$EV$256,11,FALSE),0)</f>
        <v>2067000</v>
      </c>
      <c r="JC76" s="314">
        <f>IFERROR(VLOOKUP(JC$1,'MPSV 2019'!$A$2:$EV$256,11,FALSE),0)</f>
        <v>1625000</v>
      </c>
      <c r="JD76" s="314">
        <f>IFERROR(VLOOKUP(JD$1,'MPSV 2019'!$A$2:$EV$256,11,FALSE),0)</f>
        <v>2766100</v>
      </c>
      <c r="JE76" s="314">
        <f>IFERROR(VLOOKUP(JE$1,'MPSV 2019'!$A$2:$EV$256,11,FALSE),0)</f>
        <v>330011</v>
      </c>
      <c r="JF76" s="314">
        <f>IFERROR(VLOOKUP(JF$1,'MPSV 2019'!$A$2:$EV$256,11,FALSE),0)</f>
        <v>21453694</v>
      </c>
      <c r="JG76" s="314">
        <f>IFERROR(VLOOKUP(JG$1,'MPSV 2019'!$A$2:$EV$256,11,FALSE),0)</f>
        <v>20631537</v>
      </c>
      <c r="JH76" s="314">
        <f>IFERROR(VLOOKUP(JH$1,'MPSV 2019'!$A$2:$EV$256,11,FALSE),0)</f>
        <v>868740</v>
      </c>
      <c r="JI76" s="314">
        <f t="shared" si="327"/>
        <v>874242718</v>
      </c>
      <c r="JL76" s="307">
        <f t="shared" si="426"/>
        <v>21448000</v>
      </c>
      <c r="JM76" s="307">
        <f t="shared" si="426"/>
        <v>299065333</v>
      </c>
      <c r="JN76" s="307">
        <f t="shared" si="426"/>
        <v>138973801</v>
      </c>
      <c r="JO76" s="307">
        <f t="shared" si="426"/>
        <v>414755584</v>
      </c>
      <c r="JP76" s="307">
        <f t="shared" si="427"/>
        <v>874242718</v>
      </c>
    </row>
    <row r="77" spans="1:276" x14ac:dyDescent="0.25">
      <c r="B77" s="313" t="str">
        <f>B39</f>
        <v>KHK 2019</v>
      </c>
      <c r="C77" s="314">
        <f>IFERROR(VLOOKUP(C$1,'KHK 2019'!$A$2:$H$190,8,FALSE),0)</f>
        <v>301000</v>
      </c>
      <c r="D77" s="314">
        <f>IFERROR(VLOOKUP(D$1,'KHK 2019'!$A$2:$H$190,8,FALSE),0)</f>
        <v>123100</v>
      </c>
      <c r="E77" s="314">
        <f>IFERROR(VLOOKUP(E$1,'KHK 2019'!$A$2:$H$190,8,FALSE),0)</f>
        <v>296405</v>
      </c>
      <c r="F77" s="314">
        <f>IFERROR(VLOOKUP(F$1,'KHK 2019'!$A$2:$H$190,8,FALSE),0)</f>
        <v>0</v>
      </c>
      <c r="G77" s="314">
        <f>IFERROR(VLOOKUP(G$1,'KHK 2019'!$A$2:$H$190,8,FALSE),0)</f>
        <v>0</v>
      </c>
      <c r="H77" s="314">
        <f>IFERROR(VLOOKUP(H$1,'KHK 2019'!$A$2:$H$190,8,FALSE),0)</f>
        <v>0</v>
      </c>
      <c r="I77" s="314">
        <f>IFERROR(VLOOKUP(I$1,'KHK 2019'!$A$2:$H$190,8,FALSE),0)</f>
        <v>0</v>
      </c>
      <c r="J77" s="314">
        <f>IFERROR(VLOOKUP(J$1,'KHK 2019'!$A$2:$H$190,8,FALSE),0)</f>
        <v>49239</v>
      </c>
      <c r="K77" s="314">
        <f>IFERROR(VLOOKUP(K$1,'KHK 2019'!$A$2:$H$190,8,FALSE),0)</f>
        <v>0</v>
      </c>
      <c r="L77" s="314">
        <f>IFERROR(VLOOKUP(L$1,'KHK 2019'!$A$2:$H$190,8,FALSE),0)</f>
        <v>0</v>
      </c>
      <c r="M77" s="314">
        <f>IFERROR(VLOOKUP(M$1,'KHK 2019'!$A$2:$H$190,8,FALSE),0)</f>
        <v>8189</v>
      </c>
      <c r="N77" s="314">
        <f>IFERROR(VLOOKUP(N$1,'KHK 2019'!$A$2:$H$190,8,FALSE),0)</f>
        <v>310000</v>
      </c>
      <c r="O77" s="314">
        <f>IFERROR(VLOOKUP(O$1,'KHK 2019'!$A$2:$H$190,8,FALSE),0)</f>
        <v>136223</v>
      </c>
      <c r="P77" s="314">
        <f>IFERROR(VLOOKUP(P$1,'KHK 2019'!$A$2:$H$190,8,FALSE),0)</f>
        <v>136636</v>
      </c>
      <c r="Q77" s="314">
        <f>IFERROR(VLOOKUP(Q$1,'KHK 2019'!$A$2:$H$190,8,FALSE),0)</f>
        <v>0</v>
      </c>
      <c r="R77" s="314">
        <f>IFERROR(VLOOKUP(R$1,'KHK 2019'!$A$2:$H$190,8,FALSE),0)</f>
        <v>183425</v>
      </c>
      <c r="S77" s="314">
        <f>IFERROR(VLOOKUP(S$1,'KHK 2019'!$A$2:$H$190,8,FALSE),0)</f>
        <v>116140</v>
      </c>
      <c r="T77" s="314">
        <f>IFERROR(VLOOKUP(T$1,'KHK 2019'!$A$2:$H$190,8,FALSE),0)</f>
        <v>19273</v>
      </c>
      <c r="U77" s="314">
        <f>IFERROR(VLOOKUP(U$1,'KHK 2019'!$A$2:$H$190,8,FALSE),0)</f>
        <v>108004</v>
      </c>
      <c r="V77" s="314">
        <f>IFERROR(VLOOKUP(V$1,'KHK 2019'!$A$2:$H$190,8,FALSE),0)</f>
        <v>68620</v>
      </c>
      <c r="W77" s="314">
        <f>IFERROR(VLOOKUP(W$1,'KHK 2019'!$A$2:$H$190,8,FALSE),0)</f>
        <v>31000</v>
      </c>
      <c r="X77" s="314">
        <f>IFERROR(VLOOKUP(X$1,'KHK 2019'!$A$2:$H$190,8,FALSE),0)</f>
        <v>0</v>
      </c>
      <c r="Y77" s="314">
        <f>IFERROR(VLOOKUP(Y$1,'KHK 2019'!$A$2:$H$190,8,FALSE),0)</f>
        <v>2810</v>
      </c>
      <c r="Z77" s="314">
        <f>IFERROR(VLOOKUP(Z$1,'KHK 2019'!$A$2:$H$190,8,FALSE),0)</f>
        <v>78000</v>
      </c>
      <c r="AA77" s="314">
        <f>IFERROR(VLOOKUP(AA$1,'KHK 2019'!$A$2:$H$190,8,FALSE),0)</f>
        <v>0</v>
      </c>
      <c r="AB77" s="314">
        <f>IFERROR(VLOOKUP(AB$1,'KHK 2019'!$A$2:$H$190,8,FALSE),0)</f>
        <v>0</v>
      </c>
      <c r="AC77" s="314">
        <f>IFERROR(VLOOKUP(AC$1,'KHK 2019'!$A$2:$H$190,8,FALSE),0)</f>
        <v>0</v>
      </c>
      <c r="AD77" s="314">
        <f>IFERROR(VLOOKUP(AD$1,'KHK 2019'!$A$2:$H$190,8,FALSE),0)</f>
        <v>0</v>
      </c>
      <c r="AE77" s="314">
        <f>IFERROR(VLOOKUP(AE$1,'KHK 2019'!$A$2:$H$190,8,FALSE),0)</f>
        <v>26897</v>
      </c>
      <c r="AF77" s="314">
        <f>IFERROR(VLOOKUP(AF$1,'KHK 2019'!$A$2:$H$190,8,FALSE),0)</f>
        <v>0</v>
      </c>
      <c r="AG77" s="314">
        <f>IFERROR(VLOOKUP(AG$1,'KHK 2019'!$A$2:$H$190,8,FALSE),0)</f>
        <v>65852</v>
      </c>
      <c r="AH77" s="314">
        <f>IFERROR(VLOOKUP(AH$1,'KHK 2019'!$A$2:$H$190,8,FALSE),0)</f>
        <v>12471</v>
      </c>
      <c r="AI77" s="314">
        <f>IFERROR(VLOOKUP(AI$1,'KHK 2019'!$A$2:$H$190,8,FALSE),0)</f>
        <v>241000</v>
      </c>
      <c r="AJ77" s="314">
        <f>IFERROR(VLOOKUP(AJ$1,'KHK 2019'!$A$2:$H$190,8,FALSE),0)</f>
        <v>9300</v>
      </c>
      <c r="AK77" s="314">
        <f>IFERROR(VLOOKUP(AK$1,'KHK 2019'!$A$2:$H$190,8,FALSE),0)</f>
        <v>28567</v>
      </c>
      <c r="AL77" s="314">
        <f>IFERROR(VLOOKUP(AL$1,'KHK 2019'!$A$2:$H$190,8,FALSE),0)</f>
        <v>22008</v>
      </c>
      <c r="AM77" s="314">
        <f>IFERROR(VLOOKUP(AM$1,'KHK 2019'!$A$2:$H$190,8,FALSE),0)</f>
        <v>150000</v>
      </c>
      <c r="AN77" s="314">
        <f>IFERROR(VLOOKUP(AN$1,'KHK 2019'!$A$2:$H$190,8,FALSE),0)</f>
        <v>0</v>
      </c>
      <c r="AO77" s="314">
        <f>IFERROR(VLOOKUP(AO$1,'KHK 2019'!$A$2:$H$190,8,FALSE),0)</f>
        <v>225228</v>
      </c>
      <c r="AP77" s="314">
        <f>IFERROR(VLOOKUP(AP$1,'KHK 2019'!$A$2:$H$190,8,FALSE),0)</f>
        <v>0</v>
      </c>
      <c r="AQ77" s="314">
        <f>IFERROR(VLOOKUP(AQ$1,'KHK 2019'!$A$2:$H$190,8,FALSE),0)</f>
        <v>26478</v>
      </c>
      <c r="AR77" s="314">
        <f>IFERROR(VLOOKUP(AR$1,'KHK 2019'!$A$2:$H$190,8,FALSE),0)</f>
        <v>0</v>
      </c>
      <c r="AS77" s="314">
        <f>IFERROR(VLOOKUP(AS$1,'KHK 2019'!$A$2:$H$190,8,FALSE),0)</f>
        <v>14332</v>
      </c>
      <c r="AT77" s="314">
        <f>IFERROR(VLOOKUP(AT$1,'KHK 2019'!$A$2:$H$190,8,FALSE),0)</f>
        <v>0</v>
      </c>
      <c r="AU77" s="314">
        <f>IFERROR(VLOOKUP(AU$1,'KHK 2019'!$A$2:$H$190,8,FALSE),0)</f>
        <v>23832</v>
      </c>
      <c r="AV77" s="314">
        <f>IFERROR(VLOOKUP(AV$1,'KHK 2019'!$A$2:$H$190,8,FALSE),0)</f>
        <v>0</v>
      </c>
      <c r="AW77" s="314">
        <f>IFERROR(VLOOKUP(AW$1,'KHK 2019'!$A$2:$H$190,8,FALSE),0)</f>
        <v>0</v>
      </c>
      <c r="AX77" s="314">
        <f>IFERROR(VLOOKUP(AX$1,'KHK 2019'!$A$2:$H$190,8,FALSE),0)</f>
        <v>54020</v>
      </c>
      <c r="AY77" s="314">
        <f>IFERROR(VLOOKUP(AY$1,'KHK 2019'!$A$2:$H$190,8,FALSE),0)</f>
        <v>0</v>
      </c>
      <c r="AZ77" s="314">
        <f>IFERROR(VLOOKUP(AZ$1,'KHK 2019'!$A$2:$H$190,8,FALSE),0)</f>
        <v>0</v>
      </c>
      <c r="BA77" s="314">
        <f>IFERROR(VLOOKUP(BA$1,'KHK 2019'!$A$2:$H$190,8,FALSE),0)</f>
        <v>0</v>
      </c>
      <c r="BB77" s="314">
        <f>IFERROR(VLOOKUP(BB$1,'KHK 2019'!$A$2:$H$190,8,FALSE),0)</f>
        <v>0</v>
      </c>
      <c r="BC77" s="314">
        <f>IFERROR(VLOOKUP(BC$1,'KHK 2019'!$A$2:$H$190,8,FALSE),0)</f>
        <v>36785</v>
      </c>
      <c r="BD77" s="314">
        <f>IFERROR(VLOOKUP(BD$1,'KHK 2019'!$A$2:$H$190,8,FALSE),0)</f>
        <v>0</v>
      </c>
      <c r="BE77" s="314">
        <f>IFERROR(VLOOKUP(BE$1,'KHK 2019'!$A$2:$H$190,8,FALSE),0)</f>
        <v>0</v>
      </c>
      <c r="BF77" s="314">
        <f>IFERROR(VLOOKUP(BF$1,'KHK 2019'!$A$2:$H$190,8,FALSE),0)</f>
        <v>46960</v>
      </c>
      <c r="BG77" s="314">
        <f>IFERROR(VLOOKUP(BG$1,'KHK 2019'!$A$2:$H$190,8,FALSE),0)</f>
        <v>29346</v>
      </c>
      <c r="BH77" s="314">
        <f>IFERROR(VLOOKUP(BH$1,'KHK 2019'!$A$2:$H$190,8,FALSE),0)</f>
        <v>0</v>
      </c>
      <c r="BI77" s="314">
        <f>IFERROR(VLOOKUP(BI$1,'KHK 2019'!$A$2:$H$190,8,FALSE),0)</f>
        <v>219023</v>
      </c>
      <c r="BJ77" s="314">
        <f>IFERROR(VLOOKUP(BJ$1,'KHK 2019'!$A$2:$H$190,8,FALSE),0)</f>
        <v>0</v>
      </c>
      <c r="BK77" s="314">
        <f>IFERROR(VLOOKUP(BK$1,'KHK 2019'!$A$2:$H$190,8,FALSE),0)</f>
        <v>0</v>
      </c>
      <c r="BL77" s="314">
        <f>IFERROR(VLOOKUP(BL$1,'KHK 2019'!$A$2:$H$190,8,FALSE),0)</f>
        <v>0</v>
      </c>
      <c r="BM77" s="314">
        <f>IFERROR(VLOOKUP(BM$1,'KHK 2019'!$A$2:$H$190,8,FALSE),0)</f>
        <v>150000</v>
      </c>
      <c r="BN77" s="314">
        <f>IFERROR(VLOOKUP(BN$1,'KHK 2019'!$A$2:$H$190,8,FALSE),0)</f>
        <v>0</v>
      </c>
      <c r="BO77" s="314">
        <f>IFERROR(VLOOKUP(BO$1,'KHK 2019'!$A$2:$H$190,8,FALSE),0)</f>
        <v>0</v>
      </c>
      <c r="BP77" s="314">
        <f>IFERROR(VLOOKUP(BP$1,'KHK 2019'!$A$2:$H$190,8,FALSE),0)</f>
        <v>0</v>
      </c>
      <c r="BQ77" s="314">
        <f>IFERROR(VLOOKUP(BQ$1,'KHK 2019'!$A$2:$H$190,8,FALSE),0)</f>
        <v>0</v>
      </c>
      <c r="BR77" s="314">
        <f>IFERROR(VLOOKUP(BR$1,'KHK 2019'!$A$2:$H$190,8,FALSE),0)</f>
        <v>0</v>
      </c>
      <c r="BS77" s="314">
        <f>IFERROR(VLOOKUP(BS$1,'KHK 2019'!$A$2:$H$190,8,FALSE),0)</f>
        <v>0</v>
      </c>
      <c r="BT77" s="314">
        <f>IFERROR(VLOOKUP(BT$1,'KHK 2019'!$A$2:$H$190,8,FALSE),0)</f>
        <v>0</v>
      </c>
      <c r="BU77" s="314">
        <f>IFERROR(VLOOKUP(BU$1,'KHK 2019'!$A$2:$H$190,8,FALSE),0)</f>
        <v>489256</v>
      </c>
      <c r="BV77" s="314">
        <f>IFERROR(VLOOKUP(BV$1,'KHK 2019'!$A$2:$H$190,8,FALSE),0)</f>
        <v>450000</v>
      </c>
      <c r="BW77" s="314">
        <f>IFERROR(VLOOKUP(BW$1,'KHK 2019'!$A$2:$H$190,8,FALSE),0)</f>
        <v>10683</v>
      </c>
      <c r="BX77" s="314">
        <f>IFERROR(VLOOKUP(BX$1,'KHK 2019'!$A$2:$H$190,8,FALSE),0)</f>
        <v>0</v>
      </c>
      <c r="BY77" s="314">
        <f>IFERROR(VLOOKUP(BY$1,'KHK 2019'!$A$2:$H$190,8,FALSE),0)</f>
        <v>0</v>
      </c>
      <c r="BZ77" s="314">
        <f>IFERROR(VLOOKUP(BZ$1,'KHK 2019'!$A$2:$H$190,8,FALSE),0)</f>
        <v>0</v>
      </c>
      <c r="CA77" s="314">
        <f>IFERROR(VLOOKUP(CA$1,'KHK 2019'!$A$2:$H$190,8,FALSE),0)</f>
        <v>0</v>
      </c>
      <c r="CB77" s="314">
        <f>IFERROR(VLOOKUP(CB$1,'KHK 2019'!$A$2:$H$190,8,FALSE),0)</f>
        <v>0</v>
      </c>
      <c r="CC77" s="314">
        <f>IFERROR(VLOOKUP(CC$1,'KHK 2019'!$A$2:$H$190,8,FALSE),0)</f>
        <v>0</v>
      </c>
      <c r="CD77" s="314">
        <f>IFERROR(VLOOKUP(CD$1,'KHK 2019'!$A$2:$H$190,8,FALSE),0)</f>
        <v>0</v>
      </c>
      <c r="CE77" s="314">
        <f>IFERROR(VLOOKUP(CE$1,'KHK 2019'!$A$2:$H$190,8,FALSE),0)</f>
        <v>0</v>
      </c>
      <c r="CF77" s="314">
        <f>IFERROR(VLOOKUP(CF$1,'KHK 2019'!$A$2:$H$190,8,FALSE),0)</f>
        <v>0</v>
      </c>
      <c r="CG77" s="314">
        <f>IFERROR(VLOOKUP(CG$1,'KHK 2019'!$A$2:$H$190,8,FALSE),0)</f>
        <v>0</v>
      </c>
      <c r="CH77" s="314">
        <f>IFERROR(VLOOKUP(CH$1,'KHK 2019'!$A$2:$H$190,8,FALSE),0)</f>
        <v>0</v>
      </c>
      <c r="CI77" s="314">
        <f>IFERROR(VLOOKUP(CI$1,'KHK 2019'!$A$2:$H$190,8,FALSE),0)</f>
        <v>47850</v>
      </c>
      <c r="CJ77" s="314">
        <f>IFERROR(VLOOKUP(CJ$1,'KHK 2019'!$A$2:$H$190,8,FALSE),0)</f>
        <v>0</v>
      </c>
      <c r="CK77" s="314">
        <f>IFERROR(VLOOKUP(CK$1,'KHK 2019'!$A$2:$H$190,8,FALSE),0)</f>
        <v>0</v>
      </c>
      <c r="CL77" s="314">
        <f>IFERROR(VLOOKUP(CL$1,'KHK 2019'!$A$2:$H$190,8,FALSE),0)</f>
        <v>0</v>
      </c>
      <c r="CM77" s="314">
        <f>IFERROR(VLOOKUP(CM$1,'KHK 2019'!$A$2:$H$190,8,FALSE),0)</f>
        <v>0</v>
      </c>
      <c r="CN77" s="314">
        <f>IFERROR(VLOOKUP(CN$1,'KHK 2019'!$A$2:$H$190,8,FALSE),0)</f>
        <v>0</v>
      </c>
      <c r="CO77" s="314">
        <f>IFERROR(VLOOKUP(CO$1,'KHK 2019'!$A$2:$H$190,8,FALSE),0)</f>
        <v>0</v>
      </c>
      <c r="CP77" s="314">
        <f>IFERROR(VLOOKUP(CP$1,'KHK 2019'!$A$2:$H$190,8,FALSE),0)</f>
        <v>0</v>
      </c>
      <c r="CQ77" s="314">
        <f>IFERROR(VLOOKUP(CQ$1,'KHK 2019'!$A$2:$H$190,8,FALSE),0)</f>
        <v>0</v>
      </c>
      <c r="CR77" s="314">
        <f>IFERROR(VLOOKUP(CR$1,'KHK 2019'!$A$2:$H$190,8,FALSE),0)</f>
        <v>124470</v>
      </c>
      <c r="CS77" s="314">
        <f>IFERROR(VLOOKUP(CS$1,'KHK 2019'!$A$2:$H$190,8,FALSE),0)</f>
        <v>0</v>
      </c>
      <c r="CT77" s="314">
        <f>IFERROR(VLOOKUP(CT$1,'KHK 2019'!$A$2:$H$190,8,FALSE),0)</f>
        <v>196918</v>
      </c>
      <c r="CU77" s="314">
        <f>IFERROR(VLOOKUP(CU$1,'KHK 2019'!$A$2:$H$190,8,FALSE),0)</f>
        <v>300500</v>
      </c>
      <c r="CV77" s="314">
        <f>IFERROR(VLOOKUP(CV$1,'KHK 2019'!$A$2:$H$190,8,FALSE),0)</f>
        <v>1431500</v>
      </c>
      <c r="CW77" s="314">
        <f>IFERROR(VLOOKUP(CW$1,'KHK 2019'!$A$2:$H$190,8,FALSE),0)</f>
        <v>271401</v>
      </c>
      <c r="CX77" s="314">
        <f>IFERROR(VLOOKUP(CX$1,'KHK 2019'!$A$2:$H$190,8,FALSE),0)</f>
        <v>350000</v>
      </c>
      <c r="CY77" s="314">
        <f>IFERROR(VLOOKUP(CY$1,'KHK 2019'!$A$2:$H$190,8,FALSE),0)</f>
        <v>0</v>
      </c>
      <c r="CZ77" s="314">
        <f>IFERROR(VLOOKUP(CZ$1,'KHK 2019'!$A$2:$H$190,8,FALSE),0)</f>
        <v>0</v>
      </c>
      <c r="DA77" s="314">
        <f>IFERROR(VLOOKUP(DA$1,'KHK 2019'!$A$2:$H$190,8,FALSE),0)</f>
        <v>0</v>
      </c>
      <c r="DB77" s="314">
        <f>IFERROR(VLOOKUP(DB$1,'KHK 2019'!$A$2:$H$190,8,FALSE),0)</f>
        <v>0</v>
      </c>
      <c r="DC77" s="314">
        <f>IFERROR(VLOOKUP(DC$1,'KHK 2019'!$A$2:$H$190,8,FALSE),0)</f>
        <v>0</v>
      </c>
      <c r="DD77" s="314">
        <f>IFERROR(VLOOKUP(DD$1,'KHK 2019'!$A$2:$H$190,8,FALSE),0)</f>
        <v>0</v>
      </c>
      <c r="DE77" s="314">
        <f>IFERROR(VLOOKUP(DE$1,'KHK 2019'!$A$2:$H$190,8,FALSE),0)</f>
        <v>970550</v>
      </c>
      <c r="DF77" s="314">
        <f>IFERROR(VLOOKUP(DF$1,'KHK 2019'!$A$2:$H$190,8,FALSE),0)</f>
        <v>0</v>
      </c>
      <c r="DG77" s="314">
        <f>IFERROR(VLOOKUP(DG$1,'KHK 2019'!$A$2:$H$190,8,FALSE),0)</f>
        <v>0</v>
      </c>
      <c r="DH77" s="314">
        <f>IFERROR(VLOOKUP(DH$1,'KHK 2019'!$A$2:$H$190,8,FALSE),0)</f>
        <v>376078</v>
      </c>
      <c r="DI77" s="314">
        <f>IFERROR(VLOOKUP(DI$1,'KHK 2019'!$A$2:$H$190,8,FALSE),0)</f>
        <v>20094</v>
      </c>
      <c r="DJ77" s="314">
        <f>IFERROR(VLOOKUP(DJ$1,'KHK 2019'!$A$2:$H$190,8,FALSE),0)</f>
        <v>0</v>
      </c>
      <c r="DK77" s="314">
        <f>IFERROR(VLOOKUP(DK$1,'KHK 2019'!$A$2:$H$190,8,FALSE),0)</f>
        <v>10236</v>
      </c>
      <c r="DL77" s="314">
        <f>IFERROR(VLOOKUP(DL$1,'KHK 2019'!$A$2:$H$190,8,FALSE),0)</f>
        <v>0</v>
      </c>
      <c r="DM77" s="314">
        <f>IFERROR(VLOOKUP(DM$1,'KHK 2019'!$A$2:$H$190,8,FALSE),0)</f>
        <v>0</v>
      </c>
      <c r="DN77" s="314">
        <f>IFERROR(VLOOKUP(DN$1,'KHK 2019'!$A$2:$H$190,8,FALSE),0)</f>
        <v>122325</v>
      </c>
      <c r="DO77" s="314">
        <f>IFERROR(VLOOKUP(DO$1,'KHK 2019'!$A$2:$H$190,8,FALSE),0)</f>
        <v>191965</v>
      </c>
      <c r="DP77" s="314">
        <f>IFERROR(VLOOKUP(DP$1,'KHK 2019'!$A$2:$H$190,8,FALSE),0)</f>
        <v>37728</v>
      </c>
      <c r="DQ77" s="314">
        <f>IFERROR(VLOOKUP(DQ$1,'KHK 2019'!$A$2:$H$190,8,FALSE),0)</f>
        <v>137043</v>
      </c>
      <c r="DR77" s="314">
        <f>IFERROR(VLOOKUP(DR$1,'KHK 2019'!$A$2:$H$190,8,FALSE),0)</f>
        <v>603228</v>
      </c>
      <c r="DS77" s="314">
        <f>IFERROR(VLOOKUP(DS$1,'KHK 2019'!$A$2:$H$190,8,FALSE),0)</f>
        <v>331000</v>
      </c>
      <c r="DT77" s="314">
        <f>IFERROR(VLOOKUP(DT$1,'KHK 2019'!$A$2:$H$190,8,FALSE),0)</f>
        <v>81291</v>
      </c>
      <c r="DU77" s="314">
        <f>IFERROR(VLOOKUP(DU$1,'KHK 2019'!$A$2:$H$190,8,FALSE),0)</f>
        <v>40924</v>
      </c>
      <c r="DV77" s="314">
        <f>IFERROR(VLOOKUP(DV$1,'KHK 2019'!$A$2:$H$190,8,FALSE),0)</f>
        <v>128757</v>
      </c>
      <c r="DW77" s="314">
        <f>IFERROR(VLOOKUP(DW$1,'KHK 2019'!$A$2:$H$190,8,FALSE),0)</f>
        <v>0</v>
      </c>
      <c r="DX77" s="314">
        <f>IFERROR(VLOOKUP(DX$1,'KHK 2019'!$A$2:$H$190,8,FALSE),0)</f>
        <v>0</v>
      </c>
      <c r="DY77" s="314">
        <f>IFERROR(VLOOKUP(DY$1,'KHK 2019'!$A$2:$H$190,8,FALSE),0)</f>
        <v>0</v>
      </c>
      <c r="DZ77" s="314">
        <f>IFERROR(VLOOKUP(DZ$1,'KHK 2019'!$A$2:$H$190,8,FALSE),0)</f>
        <v>0</v>
      </c>
      <c r="EA77" s="314">
        <f>IFERROR(VLOOKUP(EA$1,'KHK 2019'!$A$2:$H$190,8,FALSE),0)</f>
        <v>91188</v>
      </c>
      <c r="EB77" s="314">
        <f>IFERROR(VLOOKUP(EB$1,'KHK 2019'!$A$2:$H$190,8,FALSE),0)</f>
        <v>0</v>
      </c>
      <c r="EC77" s="314">
        <f>IFERROR(VLOOKUP(EC$1,'KHK 2019'!$A$2:$H$190,8,FALSE),0)</f>
        <v>0</v>
      </c>
      <c r="ED77" s="314">
        <f>IFERROR(VLOOKUP(ED$1,'KHK 2019'!$A$2:$H$190,8,FALSE),0)</f>
        <v>15808</v>
      </c>
      <c r="EE77" s="314">
        <f>IFERROR(VLOOKUP(EE$1,'KHK 2019'!$A$2:$H$190,8,FALSE),0)</f>
        <v>0</v>
      </c>
      <c r="EF77" s="314">
        <f>IFERROR(VLOOKUP(EF$1,'KHK 2019'!$A$2:$H$190,8,FALSE),0)</f>
        <v>0</v>
      </c>
      <c r="EG77" s="314">
        <f>IFERROR(VLOOKUP(EG$1,'KHK 2019'!$A$2:$H$190,8,FALSE),0)</f>
        <v>14518</v>
      </c>
      <c r="EH77" s="314">
        <f>IFERROR(VLOOKUP(EH$1,'KHK 2019'!$A$2:$H$190,8,FALSE),0)</f>
        <v>0</v>
      </c>
      <c r="EI77" s="314">
        <f>IFERROR(VLOOKUP(EI$1,'KHK 2019'!$A$2:$H$190,8,FALSE),0)</f>
        <v>30753</v>
      </c>
      <c r="EJ77" s="314">
        <f>IFERROR(VLOOKUP(EJ$1,'KHK 2019'!$A$2:$H$190,8,FALSE),0)</f>
        <v>45000</v>
      </c>
      <c r="EK77" s="314">
        <f>IFERROR(VLOOKUP(EK$1,'KHK 2019'!$A$2:$H$190,8,FALSE),0)</f>
        <v>63012</v>
      </c>
      <c r="EL77" s="314">
        <f>IFERROR(VLOOKUP(EL$1,'KHK 2019'!$A$2:$H$190,8,FALSE),0)</f>
        <v>0</v>
      </c>
      <c r="EM77" s="314">
        <f>IFERROR(VLOOKUP(EM$1,'KHK 2019'!$A$2:$H$190,8,FALSE),0)</f>
        <v>0</v>
      </c>
      <c r="EN77" s="314">
        <f>IFERROR(VLOOKUP(EN$1,'KHK 2019'!$A$2:$H$190,8,FALSE),0)</f>
        <v>58055</v>
      </c>
      <c r="EO77" s="314">
        <f>IFERROR(VLOOKUP(EO$1,'KHK 2019'!$A$2:$H$190,8,FALSE),0)</f>
        <v>0</v>
      </c>
      <c r="EP77" s="314">
        <f>IFERROR(VLOOKUP(EP$1,'KHK 2019'!$A$2:$H$190,8,FALSE),0)</f>
        <v>0</v>
      </c>
      <c r="EQ77" s="314">
        <f>IFERROR(VLOOKUP(EQ$1,'KHK 2019'!$A$2:$H$190,8,FALSE),0)</f>
        <v>0</v>
      </c>
      <c r="ER77" s="314">
        <f>IFERROR(VLOOKUP(ER$1,'KHK 2019'!$A$2:$H$190,8,FALSE),0)</f>
        <v>0</v>
      </c>
      <c r="ES77" s="314">
        <f>IFERROR(VLOOKUP(ES$1,'KHK 2019'!$A$2:$H$190,8,FALSE),0)</f>
        <v>0</v>
      </c>
      <c r="ET77" s="314">
        <f>IFERROR(VLOOKUP(ET$1,'KHK 2019'!$A$2:$H$190,8,FALSE),0)</f>
        <v>0</v>
      </c>
      <c r="EU77" s="314">
        <f>IFERROR(VLOOKUP(EU$1,'KHK 2019'!$A$2:$H$190,8,FALSE),0)</f>
        <v>804000</v>
      </c>
      <c r="EV77" s="314">
        <f>IFERROR(VLOOKUP(EV$1,'KHK 2019'!$A$2:$H$190,8,FALSE),0)</f>
        <v>0</v>
      </c>
      <c r="EW77" s="314">
        <f>IFERROR(VLOOKUP(EW$1,'KHK 2019'!$A$2:$H$190,8,FALSE),0)</f>
        <v>0</v>
      </c>
      <c r="EX77" s="314">
        <f>IFERROR(VLOOKUP(EX$1,'KHK 2019'!$A$2:$H$190,8,FALSE),0)</f>
        <v>0</v>
      </c>
      <c r="EY77" s="314">
        <f>IFERROR(VLOOKUP(EY$1,'KHK 2019'!$A$2:$H$190,8,FALSE),0)</f>
        <v>0</v>
      </c>
      <c r="EZ77" s="314">
        <f>IFERROR(VLOOKUP(EZ$1,'KHK 2019'!$A$2:$H$190,8,FALSE),0)</f>
        <v>0</v>
      </c>
      <c r="FA77" s="314">
        <f>IFERROR(VLOOKUP(FA$1,'KHK 2019'!$A$2:$H$190,8,FALSE),0)</f>
        <v>107952</v>
      </c>
      <c r="FB77" s="314">
        <f>IFERROR(VLOOKUP(FB$1,'KHK 2019'!$A$2:$H$190,8,FALSE),0)</f>
        <v>46011</v>
      </c>
      <c r="FC77" s="314">
        <f>IFERROR(VLOOKUP(FC$1,'KHK 2019'!$A$2:$H$190,8,FALSE),0)</f>
        <v>0</v>
      </c>
      <c r="FD77" s="314">
        <f>IFERROR(VLOOKUP(FD$1,'KHK 2019'!$A$2:$H$190,8,FALSE),0)</f>
        <v>0</v>
      </c>
      <c r="FE77" s="314">
        <f>IFERROR(VLOOKUP(FE$1,'KHK 2019'!$A$2:$H$190,8,FALSE),0)</f>
        <v>0</v>
      </c>
      <c r="FF77" s="314">
        <f>IFERROR(VLOOKUP(FF$1,'KHK 2019'!$A$2:$H$190,8,FALSE),0)</f>
        <v>0</v>
      </c>
      <c r="FG77" s="314">
        <f>IFERROR(VLOOKUP(FG$1,'KHK 2019'!$A$2:$H$190,8,FALSE),0)</f>
        <v>0</v>
      </c>
      <c r="FH77" s="314">
        <f>IFERROR(VLOOKUP(FH$1,'KHK 2019'!$A$2:$H$190,8,FALSE),0)</f>
        <v>0</v>
      </c>
      <c r="FI77" s="314">
        <f>IFERROR(VLOOKUP(FI$1,'KHK 2019'!$A$2:$H$190,8,FALSE),0)</f>
        <v>0</v>
      </c>
      <c r="FJ77" s="314">
        <f>IFERROR(VLOOKUP(FJ$1,'KHK 2019'!$A$2:$H$190,8,FALSE),0)</f>
        <v>0</v>
      </c>
      <c r="FK77" s="314">
        <f>IFERROR(VLOOKUP(FK$1,'KHK 2019'!$A$2:$H$190,8,FALSE),0)</f>
        <v>0</v>
      </c>
      <c r="FL77" s="314">
        <f>IFERROR(VLOOKUP(FL$1,'KHK 2019'!$A$2:$H$190,8,FALSE),0)</f>
        <v>0</v>
      </c>
      <c r="FM77" s="314">
        <f>IFERROR(VLOOKUP(FM$1,'KHK 2019'!$A$2:$H$190,8,FALSE),0)</f>
        <v>0</v>
      </c>
      <c r="FN77" s="314">
        <f>IFERROR(VLOOKUP(FN$1,'KHK 2019'!$A$2:$H$190,8,FALSE),0)</f>
        <v>0</v>
      </c>
      <c r="FO77" s="314">
        <f>IFERROR(VLOOKUP(FO$1,'KHK 2019'!$A$2:$H$190,8,FALSE),0)</f>
        <v>0</v>
      </c>
      <c r="FP77" s="314">
        <f>IFERROR(VLOOKUP(FP$1,'KHK 2019'!$A$2:$H$190,8,FALSE),0)</f>
        <v>0</v>
      </c>
      <c r="FQ77" s="314">
        <f>IFERROR(VLOOKUP(FQ$1,'KHK 2019'!$A$2:$H$190,8,FALSE),0)</f>
        <v>0</v>
      </c>
      <c r="FR77" s="314">
        <f>IFERROR(VLOOKUP(FR$1,'KHK 2019'!$A$2:$H$190,8,FALSE),0)</f>
        <v>0</v>
      </c>
      <c r="FS77" s="314">
        <f>IFERROR(VLOOKUP(FS$1,'KHK 2019'!$A$2:$H$190,8,FALSE),0)</f>
        <v>0</v>
      </c>
      <c r="FT77" s="314">
        <f>IFERROR(VLOOKUP(FT$1,'KHK 2019'!$A$2:$H$190,8,FALSE),0)</f>
        <v>0</v>
      </c>
      <c r="FU77" s="314">
        <f>IFERROR(VLOOKUP(FU$1,'KHK 2019'!$A$2:$H$190,8,FALSE),0)</f>
        <v>0</v>
      </c>
      <c r="FV77" s="314">
        <f>IFERROR(VLOOKUP(FV$1,'KHK 2019'!$A$2:$H$190,8,FALSE),0)</f>
        <v>0</v>
      </c>
      <c r="FW77" s="314">
        <f>IFERROR(VLOOKUP(FW$1,'KHK 2019'!$A$2:$H$190,8,FALSE),0)</f>
        <v>0</v>
      </c>
      <c r="FX77" s="314">
        <f>IFERROR(VLOOKUP(FX$1,'KHK 2019'!$A$2:$H$190,8,FALSE),0)</f>
        <v>0</v>
      </c>
      <c r="FY77" s="314">
        <f>IFERROR(VLOOKUP(FY$1,'KHK 2019'!$A$2:$H$190,8,FALSE),0)</f>
        <v>59591</v>
      </c>
      <c r="FZ77" s="314">
        <f>IFERROR(VLOOKUP(FZ$1,'KHK 2019'!$A$2:$H$190,8,FALSE),0)</f>
        <v>0</v>
      </c>
      <c r="GA77" s="314">
        <f>IFERROR(VLOOKUP(GA$1,'KHK 2019'!$A$2:$H$190,8,FALSE),0)</f>
        <v>0</v>
      </c>
      <c r="GB77" s="314">
        <f>IFERROR(VLOOKUP(GB$1,'KHK 2019'!$A$2:$H$190,8,FALSE),0)</f>
        <v>0</v>
      </c>
      <c r="GC77" s="314">
        <f>IFERROR(VLOOKUP(GC$1,'KHK 2019'!$A$2:$H$190,8,FALSE),0)</f>
        <v>0</v>
      </c>
      <c r="GD77" s="314">
        <f>IFERROR(VLOOKUP(GD$1,'KHK 2019'!$A$2:$H$190,8,FALSE),0)</f>
        <v>2241991</v>
      </c>
      <c r="GE77" s="314">
        <f>IFERROR(VLOOKUP(GE$1,'KHK 2019'!$A$2:$H$190,8,FALSE),0)</f>
        <v>0</v>
      </c>
      <c r="GF77" s="314">
        <f>IFERROR(VLOOKUP(GF$1,'KHK 2019'!$A$2:$H$190,8,FALSE),0)</f>
        <v>0</v>
      </c>
      <c r="GG77" s="314">
        <f>IFERROR(VLOOKUP(GG$1,'KHK 2019'!$A$2:$H$190,8,FALSE),0)</f>
        <v>55327</v>
      </c>
      <c r="GH77" s="314">
        <f>IFERROR(VLOOKUP(GH$1,'KHK 2019'!$A$2:$H$190,8,FALSE),0)</f>
        <v>63470</v>
      </c>
      <c r="GI77" s="314">
        <f>IFERROR(VLOOKUP(GI$1,'KHK 2019'!$A$2:$H$190,8,FALSE),0)</f>
        <v>0</v>
      </c>
      <c r="GJ77" s="314">
        <f>IFERROR(VLOOKUP(GJ$1,'KHK 2019'!$A$2:$H$190,8,FALSE),0)</f>
        <v>349751</v>
      </c>
      <c r="GK77" s="314">
        <f>IFERROR(VLOOKUP(GK$1,'KHK 2019'!$A$2:$H$190,8,FALSE),0)</f>
        <v>0</v>
      </c>
      <c r="GL77" s="314">
        <f>IFERROR(VLOOKUP(GL$1,'KHK 2019'!$A$2:$H$190,8,FALSE),0)</f>
        <v>0</v>
      </c>
      <c r="GM77" s="314">
        <f>IFERROR(VLOOKUP(GM$1,'KHK 2019'!$A$2:$H$190,8,FALSE),0)</f>
        <v>168830</v>
      </c>
      <c r="GN77" s="314">
        <f>IFERROR(VLOOKUP(GN$1,'KHK 2019'!$A$2:$H$190,8,FALSE),0)</f>
        <v>0</v>
      </c>
      <c r="GO77" s="314">
        <f>IFERROR(VLOOKUP(GO$1,'KHK 2019'!$A$2:$H$190,8,FALSE),0)</f>
        <v>110078</v>
      </c>
      <c r="GP77" s="314">
        <f>IFERROR(VLOOKUP(GP$1,'KHK 2019'!$A$2:$H$190,8,FALSE),0)</f>
        <v>50000</v>
      </c>
      <c r="GQ77" s="314">
        <f>IFERROR(VLOOKUP(GQ$1,'KHK 2019'!$A$2:$H$190,8,FALSE),0)</f>
        <v>313520</v>
      </c>
      <c r="GR77" s="314">
        <f>IFERROR(VLOOKUP(GR$1,'KHK 2019'!$A$2:$H$190,8,FALSE),0)</f>
        <v>176702</v>
      </c>
      <c r="GS77" s="314">
        <f>IFERROR(VLOOKUP(GS$1,'KHK 2019'!$A$2:$H$190,8,FALSE),0)</f>
        <v>32386</v>
      </c>
      <c r="GT77" s="314">
        <f>IFERROR(VLOOKUP(GT$1,'KHK 2019'!$A$2:$H$190,8,FALSE),0)</f>
        <v>2621502</v>
      </c>
      <c r="GU77" s="314">
        <f>IFERROR(VLOOKUP(GU$1,'KHK 2019'!$A$2:$H$190,8,FALSE),0)</f>
        <v>0</v>
      </c>
      <c r="GV77" s="314">
        <f>IFERROR(VLOOKUP(GV$1,'KHK 2019'!$A$2:$H$190,8,FALSE),0)</f>
        <v>0</v>
      </c>
      <c r="GW77" s="314">
        <f>IFERROR(VLOOKUP(GW$1,'KHK 2019'!$A$2:$H$190,8,FALSE),0)</f>
        <v>0</v>
      </c>
      <c r="GX77" s="314">
        <f>IFERROR(VLOOKUP(GX$1,'KHK 2019'!$A$2:$H$190,8,FALSE),0)</f>
        <v>56833</v>
      </c>
      <c r="GY77" s="314">
        <f>IFERROR(VLOOKUP(GY$1,'KHK 2019'!$A$2:$H$190,8,FALSE),0)</f>
        <v>200000</v>
      </c>
      <c r="GZ77" s="314">
        <f>IFERROR(VLOOKUP(GZ$1,'KHK 2019'!$A$2:$H$190,8,FALSE),0)</f>
        <v>0</v>
      </c>
      <c r="HA77" s="314">
        <f>IFERROR(VLOOKUP(HA$1,'KHK 2019'!$A$2:$H$190,8,FALSE),0)</f>
        <v>1012000</v>
      </c>
      <c r="HB77" s="314">
        <f>IFERROR(VLOOKUP(HB$1,'KHK 2019'!$A$2:$H$190,8,FALSE),0)</f>
        <v>0</v>
      </c>
      <c r="HC77" s="314">
        <f>IFERROR(VLOOKUP(HC$1,'KHK 2019'!$A$2:$H$190,8,FALSE),0)</f>
        <v>773200</v>
      </c>
      <c r="HD77" s="314">
        <f>IFERROR(VLOOKUP(HD$1,'KHK 2019'!$A$2:$H$190,8,FALSE),0)</f>
        <v>430200</v>
      </c>
      <c r="HE77" s="314">
        <f>IFERROR(VLOOKUP(HE$1,'KHK 2019'!$A$2:$H$190,8,FALSE),0)</f>
        <v>808350</v>
      </c>
      <c r="HF77" s="314">
        <f>IFERROR(VLOOKUP(HF$1,'KHK 2019'!$A$2:$H$190,8,FALSE),0)</f>
        <v>227286</v>
      </c>
      <c r="HG77" s="314">
        <f>IFERROR(VLOOKUP(HG$1,'KHK 2019'!$A$2:$H$190,8,FALSE),0)</f>
        <v>143077</v>
      </c>
      <c r="HH77" s="314">
        <f>IFERROR(VLOOKUP(HH$1,'KHK 2019'!$A$2:$H$190,8,FALSE),0)</f>
        <v>296118</v>
      </c>
      <c r="HI77" s="314">
        <f>IFERROR(VLOOKUP(HI$1,'KHK 2019'!$A$2:$H$190,8,FALSE),0)</f>
        <v>445123</v>
      </c>
      <c r="HJ77" s="314">
        <f>IFERROR(VLOOKUP(HJ$1,'KHK 2019'!$A$2:$H$190,8,FALSE),0)</f>
        <v>115703</v>
      </c>
      <c r="HK77" s="314">
        <f>IFERROR(VLOOKUP(HK$1,'KHK 2019'!$A$2:$H$190,8,FALSE),0)</f>
        <v>0</v>
      </c>
      <c r="HL77" s="314">
        <f>IFERROR(VLOOKUP(HL$1,'KHK 2019'!$A$2:$H$190,8,FALSE),0)</f>
        <v>0</v>
      </c>
      <c r="HM77" s="314">
        <f>IFERROR(VLOOKUP(HM$1,'KHK 2019'!$A$2:$H$190,8,FALSE),0)</f>
        <v>0</v>
      </c>
      <c r="HN77" s="314">
        <f>IFERROR(VLOOKUP(HN$1,'KHK 2019'!$A$2:$H$190,8,FALSE),0)</f>
        <v>0</v>
      </c>
      <c r="HO77" s="314">
        <f>IFERROR(VLOOKUP(HO$1,'KHK 2019'!$A$2:$H$190,8,FALSE),0)</f>
        <v>0</v>
      </c>
      <c r="HP77" s="314">
        <f>IFERROR(VLOOKUP(HP$1,'KHK 2019'!$A$2:$H$190,8,FALSE),0)</f>
        <v>0</v>
      </c>
      <c r="HQ77" s="314">
        <f>IFERROR(VLOOKUP(HQ$1,'KHK 2019'!$A$2:$H$190,8,FALSE),0)</f>
        <v>0</v>
      </c>
      <c r="HR77" s="314">
        <f>IFERROR(VLOOKUP(HR$1,'KHK 2019'!$A$2:$H$190,8,FALSE),0)</f>
        <v>0</v>
      </c>
      <c r="HS77" s="314">
        <f>IFERROR(VLOOKUP(HS$1,'KHK 2019'!$A$2:$H$190,8,FALSE),0)</f>
        <v>0</v>
      </c>
      <c r="HT77" s="314">
        <f>IFERROR(VLOOKUP(HT$1,'KHK 2019'!$A$2:$H$190,8,FALSE),0)</f>
        <v>0</v>
      </c>
      <c r="HU77" s="314">
        <f>IFERROR(VLOOKUP(HU$1,'KHK 2019'!$A$2:$H$190,8,FALSE),0)</f>
        <v>0</v>
      </c>
      <c r="HV77" s="314">
        <f>IFERROR(VLOOKUP(HV$1,'KHK 2019'!$A$2:$H$190,8,FALSE),0)</f>
        <v>0</v>
      </c>
      <c r="HW77" s="314">
        <f>IFERROR(VLOOKUP(HW$1,'KHK 2019'!$A$2:$H$190,8,FALSE),0)</f>
        <v>0</v>
      </c>
      <c r="HX77" s="314">
        <f>IFERROR(VLOOKUP(HX$1,'KHK 2019'!$A$2:$H$190,8,FALSE),0)</f>
        <v>0</v>
      </c>
      <c r="HY77" s="314">
        <f>IFERROR(VLOOKUP(HY$1,'KHK 2019'!$A$2:$H$190,8,FALSE),0)</f>
        <v>0</v>
      </c>
      <c r="HZ77" s="314">
        <f>IFERROR(VLOOKUP(HZ$1,'KHK 2019'!$A$2:$H$190,8,FALSE),0)</f>
        <v>0</v>
      </c>
      <c r="IA77" s="314">
        <f>IFERROR(VLOOKUP(IA$1,'KHK 2019'!$A$2:$H$190,8,FALSE),0)</f>
        <v>0</v>
      </c>
      <c r="IB77" s="314">
        <f>IFERROR(VLOOKUP(IB$1,'KHK 2019'!$A$2:$H$190,8,FALSE),0)</f>
        <v>0</v>
      </c>
      <c r="IC77" s="314">
        <f>IFERROR(VLOOKUP(IC$1,'KHK 2019'!$A$2:$H$190,8,FALSE),0)</f>
        <v>0</v>
      </c>
      <c r="ID77" s="314">
        <f>IFERROR(VLOOKUP(ID$1,'KHK 2019'!$A$2:$H$190,8,FALSE),0)</f>
        <v>0</v>
      </c>
      <c r="IE77" s="314">
        <f>IFERROR(VLOOKUP(IE$1,'KHK 2019'!$A$2:$H$190,8,FALSE),0)</f>
        <v>0</v>
      </c>
      <c r="IF77" s="314">
        <f>IFERROR(VLOOKUP(IF$1,'KHK 2019'!$A$2:$H$190,8,FALSE),0)</f>
        <v>0</v>
      </c>
      <c r="IG77" s="314">
        <f>IFERROR(VLOOKUP(IG$1,'KHK 2019'!$A$2:$H$190,8,FALSE),0)</f>
        <v>0</v>
      </c>
      <c r="IH77" s="314">
        <f>IFERROR(VLOOKUP(IH$1,'KHK 2019'!$A$2:$H$190,8,FALSE),0)</f>
        <v>0</v>
      </c>
      <c r="II77" s="314">
        <f>IFERROR(VLOOKUP(II$1,'KHK 2019'!$A$2:$H$190,8,FALSE),0)</f>
        <v>0</v>
      </c>
      <c r="IJ77" s="314">
        <f>IFERROR(VLOOKUP(IJ$1,'KHK 2019'!$A$2:$H$190,8,FALSE),0)</f>
        <v>0</v>
      </c>
      <c r="IK77" s="314">
        <f>IFERROR(VLOOKUP(IK$1,'KHK 2019'!$A$2:$H$190,8,FALSE),0)</f>
        <v>0</v>
      </c>
      <c r="IL77" s="314">
        <f>IFERROR(VLOOKUP(IL$1,'KHK 2019'!$A$2:$H$190,8,FALSE),0)</f>
        <v>0</v>
      </c>
      <c r="IM77" s="314">
        <f>IFERROR(VLOOKUP(IM$1,'KHK 2019'!$A$2:$H$190,8,FALSE),0)</f>
        <v>0</v>
      </c>
      <c r="IN77" s="314">
        <f>IFERROR(VLOOKUP(IN$1,'KHK 2019'!$A$2:$H$190,8,FALSE),0)</f>
        <v>0</v>
      </c>
      <c r="IO77" s="314">
        <f>IFERROR(VLOOKUP(IO$1,'KHK 2019'!$A$2:$H$190,8,FALSE),0)</f>
        <v>0</v>
      </c>
      <c r="IP77" s="314">
        <f>IFERROR(VLOOKUP(IP$1,'KHK 2019'!$A$2:$H$190,8,FALSE),0)</f>
        <v>0</v>
      </c>
      <c r="IQ77" s="314">
        <f>IFERROR(VLOOKUP(IQ$1,'KHK 2019'!$A$2:$H$190,8,FALSE),0)</f>
        <v>0</v>
      </c>
      <c r="IR77" s="314">
        <f>IFERROR(VLOOKUP(IR$1,'KHK 2019'!$A$2:$H$190,8,FALSE),0)</f>
        <v>0</v>
      </c>
      <c r="IS77" s="314">
        <f>IFERROR(VLOOKUP(IS$1,'KHK 2019'!$A$2:$H$190,8,FALSE),0)</f>
        <v>0</v>
      </c>
      <c r="IT77" s="314">
        <f>IFERROR(VLOOKUP(IT$1,'KHK 2019'!$A$2:$H$190,8,FALSE),0)</f>
        <v>0</v>
      </c>
      <c r="IU77" s="314">
        <f>IFERROR(VLOOKUP(IU$1,'KHK 2019'!$A$2:$H$190,8,FALSE),0)</f>
        <v>0</v>
      </c>
      <c r="IV77" s="314">
        <f>IFERROR(VLOOKUP(IV$1,'KHK 2019'!$A$2:$H$190,8,FALSE),0)</f>
        <v>0</v>
      </c>
      <c r="IW77" s="314">
        <f>IFERROR(VLOOKUP(IW$1,'KHK 2019'!$A$2:$H$190,8,FALSE),0)</f>
        <v>0</v>
      </c>
      <c r="IX77" s="314">
        <f>IFERROR(VLOOKUP(IX$1,'KHK 2019'!$A$2:$H$190,8,FALSE),0)</f>
        <v>0</v>
      </c>
      <c r="IY77" s="314">
        <f>IFERROR(VLOOKUP(IY$1,'KHK 2019'!$A$2:$H$190,8,FALSE),0)</f>
        <v>0</v>
      </c>
      <c r="IZ77" s="314">
        <f>IFERROR(VLOOKUP(IZ$1,'KHK 2019'!$A$2:$H$190,8,FALSE),0)</f>
        <v>0</v>
      </c>
      <c r="JA77" s="314">
        <f>IFERROR(VLOOKUP(JA$1,'KHK 2019'!$A$2:$H$190,8,FALSE),0)</f>
        <v>0</v>
      </c>
      <c r="JB77" s="314">
        <f>IFERROR(VLOOKUP(JB$1,'KHK 2019'!$A$2:$H$190,8,FALSE),0)</f>
        <v>0</v>
      </c>
      <c r="JC77" s="314">
        <f>IFERROR(VLOOKUP(JC$1,'KHK 2019'!$A$2:$H$190,8,FALSE),0)</f>
        <v>0</v>
      </c>
      <c r="JD77" s="314">
        <f>IFERROR(VLOOKUP(JD$1,'KHK 2019'!$A$2:$H$190,8,FALSE),0)</f>
        <v>0</v>
      </c>
      <c r="JE77" s="314">
        <f>IFERROR(VLOOKUP(JE$1,'KHK 2019'!$A$2:$H$190,8,FALSE),0)</f>
        <v>0</v>
      </c>
      <c r="JF77" s="314">
        <f>IFERROR(VLOOKUP(JF$1,'KHK 2019'!$A$2:$H$190,8,FALSE),0)</f>
        <v>0</v>
      </c>
      <c r="JG77" s="314">
        <f>IFERROR(VLOOKUP(JG$1,'KHK 2019'!$A$2:$H$190,8,FALSE),0)</f>
        <v>0</v>
      </c>
      <c r="JH77" s="314">
        <f>IFERROR(VLOOKUP(JH$1,'KHK 2019'!$A$2:$H$190,8,FALSE),0)</f>
        <v>0</v>
      </c>
      <c r="JI77" s="314">
        <f t="shared" si="327"/>
        <v>22101295</v>
      </c>
      <c r="JL77" s="307">
        <f t="shared" si="426"/>
        <v>720505</v>
      </c>
      <c r="JM77" s="307">
        <f t="shared" si="426"/>
        <v>9671789</v>
      </c>
      <c r="JN77" s="307">
        <f t="shared" si="426"/>
        <v>11709001</v>
      </c>
      <c r="JO77" s="307">
        <f t="shared" si="426"/>
        <v>0</v>
      </c>
      <c r="JP77" s="307">
        <f t="shared" si="427"/>
        <v>22101295</v>
      </c>
    </row>
    <row r="78" spans="1:276" x14ac:dyDescent="0.25">
      <c r="A78" s="474"/>
      <c r="B78" s="474" t="s">
        <v>2546</v>
      </c>
      <c r="C78" s="475">
        <f t="shared" ref="C78:BO78" si="428">SUM(C68:C77)</f>
        <v>7699000</v>
      </c>
      <c r="D78" s="475">
        <f t="shared" si="428"/>
        <v>6623100</v>
      </c>
      <c r="E78" s="475">
        <f t="shared" si="428"/>
        <v>8376405</v>
      </c>
      <c r="F78" s="475">
        <f t="shared" si="428"/>
        <v>3846600</v>
      </c>
      <c r="G78" s="475">
        <f t="shared" si="428"/>
        <v>10324850</v>
      </c>
      <c r="H78" s="475">
        <f t="shared" si="428"/>
        <v>1551000</v>
      </c>
      <c r="I78" s="475">
        <f t="shared" si="428"/>
        <v>2940402</v>
      </c>
      <c r="J78" s="475">
        <f t="shared" si="428"/>
        <v>2692345</v>
      </c>
      <c r="K78" s="475">
        <f t="shared" si="428"/>
        <v>5389542</v>
      </c>
      <c r="L78" s="475">
        <f t="shared" si="428"/>
        <v>3881720</v>
      </c>
      <c r="M78" s="475">
        <f t="shared" si="428"/>
        <v>3776789</v>
      </c>
      <c r="N78" s="475">
        <f t="shared" si="428"/>
        <v>5794000</v>
      </c>
      <c r="O78" s="475">
        <f t="shared" si="428"/>
        <v>4382429</v>
      </c>
      <c r="P78" s="475">
        <f t="shared" si="428"/>
        <v>2773016</v>
      </c>
      <c r="Q78" s="475">
        <f t="shared" si="428"/>
        <v>1541267</v>
      </c>
      <c r="R78" s="475">
        <f t="shared" si="428"/>
        <v>2542425</v>
      </c>
      <c r="S78" s="475">
        <f t="shared" si="428"/>
        <v>1719724</v>
      </c>
      <c r="T78" s="475">
        <f t="shared" si="428"/>
        <v>666273</v>
      </c>
      <c r="U78" s="475">
        <f t="shared" si="428"/>
        <v>1264204</v>
      </c>
      <c r="V78" s="475">
        <f t="shared" si="428"/>
        <v>13550620</v>
      </c>
      <c r="W78" s="475">
        <f t="shared" si="428"/>
        <v>2759000</v>
      </c>
      <c r="X78" s="475">
        <f t="shared" si="428"/>
        <v>1431890</v>
      </c>
      <c r="Y78" s="475">
        <f t="shared" si="428"/>
        <v>1737810</v>
      </c>
      <c r="Z78" s="475">
        <f t="shared" si="428"/>
        <v>6734000</v>
      </c>
      <c r="AA78" s="475">
        <f t="shared" si="428"/>
        <v>4144820</v>
      </c>
      <c r="AB78" s="475">
        <f t="shared" si="428"/>
        <v>3072274.58</v>
      </c>
      <c r="AC78" s="475">
        <f t="shared" ref="AC78" si="429">SUM(AC68:AC77)</f>
        <v>1996428.3599999999</v>
      </c>
      <c r="AD78" s="475">
        <f t="shared" si="428"/>
        <v>1868040</v>
      </c>
      <c r="AE78" s="475">
        <f t="shared" si="428"/>
        <v>1145408</v>
      </c>
      <c r="AF78" s="475">
        <f t="shared" si="428"/>
        <v>2193007</v>
      </c>
      <c r="AG78" s="475">
        <f t="shared" si="428"/>
        <v>3435252</v>
      </c>
      <c r="AH78" s="475">
        <f t="shared" si="428"/>
        <v>813471</v>
      </c>
      <c r="AI78" s="475">
        <f t="shared" si="428"/>
        <v>2905000</v>
      </c>
      <c r="AJ78" s="475">
        <f t="shared" si="428"/>
        <v>2465000</v>
      </c>
      <c r="AK78" s="475">
        <f t="shared" si="428"/>
        <v>1117567</v>
      </c>
      <c r="AL78" s="475">
        <f t="shared" si="428"/>
        <v>2064416</v>
      </c>
      <c r="AM78" s="475">
        <f t="shared" si="428"/>
        <v>1434608</v>
      </c>
      <c r="AN78" s="475">
        <f t="shared" si="428"/>
        <v>1122900</v>
      </c>
      <c r="AO78" s="475">
        <f t="shared" si="428"/>
        <v>6310028</v>
      </c>
      <c r="AP78" s="475">
        <f t="shared" si="428"/>
        <v>2080820</v>
      </c>
      <c r="AQ78" s="475">
        <f t="shared" si="428"/>
        <v>351938</v>
      </c>
      <c r="AR78" s="475">
        <f t="shared" si="428"/>
        <v>1230091</v>
      </c>
      <c r="AS78" s="475">
        <f t="shared" si="428"/>
        <v>469572</v>
      </c>
      <c r="AT78" s="475">
        <f t="shared" si="428"/>
        <v>2344746</v>
      </c>
      <c r="AU78" s="475">
        <f t="shared" si="428"/>
        <v>1044272</v>
      </c>
      <c r="AV78" s="475">
        <f t="shared" si="428"/>
        <v>1983918</v>
      </c>
      <c r="AW78" s="475">
        <f t="shared" si="428"/>
        <v>3227275</v>
      </c>
      <c r="AX78" s="475">
        <f t="shared" si="428"/>
        <v>3055830</v>
      </c>
      <c r="AY78" s="475">
        <f t="shared" si="428"/>
        <v>3144893</v>
      </c>
      <c r="AZ78" s="475">
        <f t="shared" si="428"/>
        <v>2946420</v>
      </c>
      <c r="BA78" s="475">
        <f t="shared" si="428"/>
        <v>8535268</v>
      </c>
      <c r="BB78" s="475">
        <f t="shared" si="428"/>
        <v>1160124</v>
      </c>
      <c r="BC78" s="475">
        <f t="shared" si="428"/>
        <v>1145745</v>
      </c>
      <c r="BD78" s="475">
        <f t="shared" si="428"/>
        <v>1469820</v>
      </c>
      <c r="BE78" s="475">
        <f t="shared" si="428"/>
        <v>1267150</v>
      </c>
      <c r="BF78" s="475">
        <f t="shared" si="428"/>
        <v>2204960</v>
      </c>
      <c r="BG78" s="475">
        <f t="shared" si="428"/>
        <v>2764216</v>
      </c>
      <c r="BH78" s="475">
        <f t="shared" si="428"/>
        <v>3109120</v>
      </c>
      <c r="BI78" s="475">
        <f t="shared" si="428"/>
        <v>1568100</v>
      </c>
      <c r="BJ78" s="475">
        <f t="shared" si="428"/>
        <v>2871621</v>
      </c>
      <c r="BK78" s="475">
        <f t="shared" si="428"/>
        <v>900000</v>
      </c>
      <c r="BL78" s="475">
        <f t="shared" si="428"/>
        <v>0</v>
      </c>
      <c r="BM78" s="475">
        <f t="shared" si="428"/>
        <v>665100</v>
      </c>
      <c r="BN78" s="475">
        <f t="shared" si="428"/>
        <v>1908000</v>
      </c>
      <c r="BO78" s="475">
        <f t="shared" si="428"/>
        <v>984010</v>
      </c>
      <c r="BP78" s="475">
        <f t="shared" ref="BP78:EA78" si="430">SUM(BP68:BP77)</f>
        <v>4237591</v>
      </c>
      <c r="BQ78" s="475">
        <f t="shared" si="430"/>
        <v>815436</v>
      </c>
      <c r="BR78" s="475">
        <f t="shared" si="430"/>
        <v>889340</v>
      </c>
      <c r="BS78" s="475">
        <f t="shared" si="430"/>
        <v>1427900</v>
      </c>
      <c r="BT78" s="475">
        <f t="shared" si="430"/>
        <v>981100</v>
      </c>
      <c r="BU78" s="475">
        <f t="shared" si="430"/>
        <v>5089338</v>
      </c>
      <c r="BV78" s="475">
        <f t="shared" si="430"/>
        <v>588910</v>
      </c>
      <c r="BW78" s="475">
        <f t="shared" si="430"/>
        <v>532683</v>
      </c>
      <c r="BX78" s="475">
        <f t="shared" si="430"/>
        <v>5208043</v>
      </c>
      <c r="BY78" s="475">
        <f t="shared" si="430"/>
        <v>2149144</v>
      </c>
      <c r="BZ78" s="475">
        <f t="shared" si="430"/>
        <v>438150</v>
      </c>
      <c r="CA78" s="475">
        <f t="shared" si="430"/>
        <v>0</v>
      </c>
      <c r="CB78" s="475">
        <f t="shared" si="430"/>
        <v>532263</v>
      </c>
      <c r="CC78" s="475">
        <f t="shared" si="430"/>
        <v>2524418</v>
      </c>
      <c r="CD78" s="475">
        <f t="shared" si="430"/>
        <v>803336</v>
      </c>
      <c r="CE78" s="475">
        <f t="shared" si="430"/>
        <v>12650155</v>
      </c>
      <c r="CF78" s="475">
        <f t="shared" si="430"/>
        <v>4692900</v>
      </c>
      <c r="CG78" s="475">
        <f t="shared" si="430"/>
        <v>10054486</v>
      </c>
      <c r="CH78" s="475">
        <f t="shared" si="430"/>
        <v>4544346</v>
      </c>
      <c r="CI78" s="475">
        <f t="shared" si="430"/>
        <v>3082766</v>
      </c>
      <c r="CJ78" s="475">
        <f t="shared" si="430"/>
        <v>4271530</v>
      </c>
      <c r="CK78" s="475">
        <f t="shared" si="430"/>
        <v>4775623</v>
      </c>
      <c r="CL78" s="475">
        <f t="shared" si="430"/>
        <v>2905969</v>
      </c>
      <c r="CM78" s="475">
        <f t="shared" si="430"/>
        <v>6260160</v>
      </c>
      <c r="CN78" s="475">
        <f t="shared" si="430"/>
        <v>1394970</v>
      </c>
      <c r="CO78" s="475">
        <f t="shared" si="430"/>
        <v>1464500</v>
      </c>
      <c r="CP78" s="475">
        <f t="shared" si="430"/>
        <v>1397600</v>
      </c>
      <c r="CQ78" s="475">
        <f t="shared" si="430"/>
        <v>5346266</v>
      </c>
      <c r="CR78" s="475">
        <f t="shared" si="430"/>
        <v>1666800</v>
      </c>
      <c r="CS78" s="475">
        <f t="shared" si="430"/>
        <v>0</v>
      </c>
      <c r="CT78" s="475">
        <f t="shared" si="430"/>
        <v>5670000</v>
      </c>
      <c r="CU78" s="475">
        <f t="shared" si="430"/>
        <v>1492000</v>
      </c>
      <c r="CV78" s="475">
        <f t="shared" si="430"/>
        <v>5160000</v>
      </c>
      <c r="CW78" s="475">
        <f t="shared" si="430"/>
        <v>271401</v>
      </c>
      <c r="CX78" s="475">
        <f t="shared" si="430"/>
        <v>3501468</v>
      </c>
      <c r="CY78" s="475">
        <f t="shared" si="430"/>
        <v>3026627</v>
      </c>
      <c r="CZ78" s="475">
        <f t="shared" si="430"/>
        <v>1056700</v>
      </c>
      <c r="DA78" s="475">
        <f t="shared" si="430"/>
        <v>5580860</v>
      </c>
      <c r="DB78" s="475">
        <f t="shared" si="430"/>
        <v>865328</v>
      </c>
      <c r="DC78" s="475">
        <f t="shared" si="430"/>
        <v>1888500</v>
      </c>
      <c r="DD78" s="475">
        <f t="shared" si="430"/>
        <v>4895513</v>
      </c>
      <c r="DE78" s="475">
        <f t="shared" si="430"/>
        <v>7402606</v>
      </c>
      <c r="DF78" s="475">
        <f t="shared" si="430"/>
        <v>5666852</v>
      </c>
      <c r="DG78" s="475">
        <f t="shared" si="430"/>
        <v>605740</v>
      </c>
      <c r="DH78" s="475">
        <f t="shared" si="430"/>
        <v>1711567.6400000001</v>
      </c>
      <c r="DI78" s="475">
        <f t="shared" si="430"/>
        <v>1127420</v>
      </c>
      <c r="DJ78" s="475">
        <f t="shared" si="430"/>
        <v>1906958</v>
      </c>
      <c r="DK78" s="475">
        <f t="shared" si="430"/>
        <v>952951</v>
      </c>
      <c r="DL78" s="475">
        <f t="shared" si="430"/>
        <v>5269224</v>
      </c>
      <c r="DM78" s="475">
        <f t="shared" si="430"/>
        <v>2242348</v>
      </c>
      <c r="DN78" s="475">
        <f t="shared" si="430"/>
        <v>3404765</v>
      </c>
      <c r="DO78" s="475">
        <f t="shared" si="430"/>
        <v>1397775</v>
      </c>
      <c r="DP78" s="475">
        <f t="shared" si="430"/>
        <v>4323917</v>
      </c>
      <c r="DQ78" s="475">
        <f t="shared" si="430"/>
        <v>4237852</v>
      </c>
      <c r="DR78" s="475">
        <f t="shared" si="430"/>
        <v>4531376</v>
      </c>
      <c r="DS78" s="475">
        <f t="shared" si="430"/>
        <v>331000</v>
      </c>
      <c r="DT78" s="475">
        <f t="shared" si="430"/>
        <v>2956291</v>
      </c>
      <c r="DU78" s="475">
        <f t="shared" si="430"/>
        <v>2360600</v>
      </c>
      <c r="DV78" s="475">
        <f t="shared" si="430"/>
        <v>3745477</v>
      </c>
      <c r="DW78" s="475">
        <f t="shared" si="430"/>
        <v>1376410</v>
      </c>
      <c r="DX78" s="475">
        <f t="shared" si="430"/>
        <v>4485918</v>
      </c>
      <c r="DY78" s="475">
        <f t="shared" si="430"/>
        <v>3747150</v>
      </c>
      <c r="DZ78" s="475">
        <f t="shared" si="430"/>
        <v>716300</v>
      </c>
      <c r="EA78" s="475">
        <f t="shared" si="430"/>
        <v>3854188</v>
      </c>
      <c r="EB78" s="475">
        <f t="shared" ref="EB78:GM78" si="431">SUM(EB68:EB77)</f>
        <v>4107690</v>
      </c>
      <c r="EC78" s="475">
        <f t="shared" si="431"/>
        <v>3466254</v>
      </c>
      <c r="ED78" s="475">
        <f t="shared" si="431"/>
        <v>3863808</v>
      </c>
      <c r="EE78" s="475">
        <f t="shared" si="431"/>
        <v>673624</v>
      </c>
      <c r="EF78" s="475">
        <f t="shared" si="431"/>
        <v>755486</v>
      </c>
      <c r="EG78" s="475">
        <f t="shared" si="431"/>
        <v>416758</v>
      </c>
      <c r="EH78" s="475">
        <f t="shared" si="431"/>
        <v>617670</v>
      </c>
      <c r="EI78" s="475">
        <f t="shared" si="431"/>
        <v>1032753</v>
      </c>
      <c r="EJ78" s="475">
        <f t="shared" si="431"/>
        <v>1112374</v>
      </c>
      <c r="EK78" s="475">
        <f t="shared" si="431"/>
        <v>4315042</v>
      </c>
      <c r="EL78" s="475">
        <f t="shared" si="431"/>
        <v>10988026</v>
      </c>
      <c r="EM78" s="475">
        <f t="shared" si="431"/>
        <v>3069808</v>
      </c>
      <c r="EN78" s="475">
        <f t="shared" si="431"/>
        <v>2394473</v>
      </c>
      <c r="EO78" s="475">
        <f t="shared" si="431"/>
        <v>251418</v>
      </c>
      <c r="EP78" s="475">
        <f t="shared" si="431"/>
        <v>2373123</v>
      </c>
      <c r="EQ78" s="475">
        <f t="shared" si="431"/>
        <v>1884122</v>
      </c>
      <c r="ER78" s="475">
        <f t="shared" si="431"/>
        <v>9486868</v>
      </c>
      <c r="ES78" s="475">
        <f t="shared" si="431"/>
        <v>4389660</v>
      </c>
      <c r="ET78" s="475">
        <f t="shared" si="431"/>
        <v>0</v>
      </c>
      <c r="EU78" s="475">
        <f t="shared" si="431"/>
        <v>816000</v>
      </c>
      <c r="EV78" s="475">
        <f t="shared" si="431"/>
        <v>490535</v>
      </c>
      <c r="EW78" s="475">
        <f t="shared" si="431"/>
        <v>4566313</v>
      </c>
      <c r="EX78" s="475">
        <f t="shared" si="431"/>
        <v>9004290</v>
      </c>
      <c r="EY78" s="475">
        <f t="shared" si="431"/>
        <v>3504845</v>
      </c>
      <c r="EZ78" s="475">
        <f t="shared" si="431"/>
        <v>1873131</v>
      </c>
      <c r="FA78" s="475">
        <f t="shared" si="431"/>
        <v>1789953</v>
      </c>
      <c r="FB78" s="475">
        <f t="shared" si="431"/>
        <v>139761</v>
      </c>
      <c r="FC78" s="475">
        <f t="shared" si="431"/>
        <v>8962000</v>
      </c>
      <c r="FD78" s="475">
        <f t="shared" si="431"/>
        <v>2324561</v>
      </c>
      <c r="FE78" s="475">
        <f t="shared" si="431"/>
        <v>1094700</v>
      </c>
      <c r="FF78" s="475">
        <f t="shared" si="431"/>
        <v>2117120</v>
      </c>
      <c r="FG78" s="475">
        <f t="shared" si="431"/>
        <v>7115150</v>
      </c>
      <c r="FH78" s="475">
        <f t="shared" si="431"/>
        <v>7161080</v>
      </c>
      <c r="FI78" s="475">
        <f t="shared" si="431"/>
        <v>7368487</v>
      </c>
      <c r="FJ78" s="475">
        <f t="shared" si="431"/>
        <v>2756429</v>
      </c>
      <c r="FK78" s="475">
        <f t="shared" si="431"/>
        <v>915255</v>
      </c>
      <c r="FL78" s="475">
        <f t="shared" si="431"/>
        <v>1101762</v>
      </c>
      <c r="FM78" s="475">
        <f t="shared" si="431"/>
        <v>4439416</v>
      </c>
      <c r="FN78" s="475">
        <f t="shared" si="431"/>
        <v>7748275</v>
      </c>
      <c r="FO78" s="475">
        <f t="shared" si="431"/>
        <v>2737840</v>
      </c>
      <c r="FP78" s="475">
        <f t="shared" si="431"/>
        <v>16668996</v>
      </c>
      <c r="FQ78" s="475">
        <f t="shared" si="431"/>
        <v>2027623</v>
      </c>
      <c r="FR78" s="475">
        <f t="shared" si="431"/>
        <v>0</v>
      </c>
      <c r="FS78" s="475">
        <f t="shared" si="431"/>
        <v>684637</v>
      </c>
      <c r="FT78" s="475">
        <f t="shared" si="431"/>
        <v>5188833.16</v>
      </c>
      <c r="FU78" s="475">
        <f t="shared" si="431"/>
        <v>630848</v>
      </c>
      <c r="FV78" s="475">
        <f t="shared" si="431"/>
        <v>2227418</v>
      </c>
      <c r="FW78" s="475">
        <f t="shared" si="431"/>
        <v>1635056</v>
      </c>
      <c r="FX78" s="475">
        <f t="shared" si="431"/>
        <v>767130.17999999993</v>
      </c>
      <c r="FY78" s="475">
        <f t="shared" si="431"/>
        <v>356781</v>
      </c>
      <c r="FZ78" s="475">
        <f t="shared" si="431"/>
        <v>7984500</v>
      </c>
      <c r="GA78" s="475">
        <f t="shared" si="431"/>
        <v>1345600</v>
      </c>
      <c r="GB78" s="475">
        <f t="shared" si="431"/>
        <v>5912900</v>
      </c>
      <c r="GC78" s="475">
        <f t="shared" si="431"/>
        <v>3582529</v>
      </c>
      <c r="GD78" s="475">
        <f t="shared" si="431"/>
        <v>10972291</v>
      </c>
      <c r="GE78" s="475">
        <f t="shared" si="431"/>
        <v>2206324</v>
      </c>
      <c r="GF78" s="475">
        <f t="shared" si="431"/>
        <v>5151557</v>
      </c>
      <c r="GG78" s="475">
        <f t="shared" si="431"/>
        <v>2189981</v>
      </c>
      <c r="GH78" s="475">
        <f t="shared" si="431"/>
        <v>1569582</v>
      </c>
      <c r="GI78" s="475">
        <f t="shared" si="431"/>
        <v>14043917</v>
      </c>
      <c r="GJ78" s="475">
        <f t="shared" si="431"/>
        <v>2658771</v>
      </c>
      <c r="GK78" s="475">
        <f t="shared" si="431"/>
        <v>1408130</v>
      </c>
      <c r="GL78" s="475">
        <f t="shared" si="431"/>
        <v>1182296</v>
      </c>
      <c r="GM78" s="475">
        <f t="shared" si="431"/>
        <v>1348240</v>
      </c>
      <c r="GN78" s="475">
        <f t="shared" ref="GN78:IY78" si="432">SUM(GN68:GN77)</f>
        <v>809513.66</v>
      </c>
      <c r="GO78" s="475">
        <f t="shared" si="432"/>
        <v>5085549</v>
      </c>
      <c r="GP78" s="475">
        <f t="shared" si="432"/>
        <v>1598606</v>
      </c>
      <c r="GQ78" s="475">
        <f t="shared" si="432"/>
        <v>1806634</v>
      </c>
      <c r="GR78" s="475">
        <f t="shared" si="432"/>
        <v>1987142</v>
      </c>
      <c r="GS78" s="475">
        <f t="shared" si="432"/>
        <v>1015624.18</v>
      </c>
      <c r="GT78" s="475">
        <f t="shared" si="432"/>
        <v>14149864</v>
      </c>
      <c r="GU78" s="475">
        <f t="shared" si="432"/>
        <v>1241571</v>
      </c>
      <c r="GV78" s="475">
        <f t="shared" si="432"/>
        <v>7596554.54</v>
      </c>
      <c r="GW78" s="475">
        <f t="shared" si="432"/>
        <v>2322699</v>
      </c>
      <c r="GX78" s="475">
        <f t="shared" si="432"/>
        <v>658006.85</v>
      </c>
      <c r="GY78" s="475">
        <f t="shared" si="432"/>
        <v>23311860</v>
      </c>
      <c r="GZ78" s="475">
        <f t="shared" si="432"/>
        <v>0</v>
      </c>
      <c r="HA78" s="475">
        <f t="shared" si="432"/>
        <v>11876560</v>
      </c>
      <c r="HB78" s="475">
        <f t="shared" si="432"/>
        <v>11041460</v>
      </c>
      <c r="HC78" s="475">
        <f t="shared" si="432"/>
        <v>11820000</v>
      </c>
      <c r="HD78" s="475">
        <f t="shared" si="432"/>
        <v>3298607</v>
      </c>
      <c r="HE78" s="475">
        <f t="shared" si="432"/>
        <v>7414545</v>
      </c>
      <c r="HF78" s="475">
        <f t="shared" si="432"/>
        <v>1937543</v>
      </c>
      <c r="HG78" s="475">
        <f t="shared" si="432"/>
        <v>924004.64</v>
      </c>
      <c r="HH78" s="475">
        <f t="shared" si="432"/>
        <v>3461864.3600000003</v>
      </c>
      <c r="HI78" s="475">
        <f t="shared" si="432"/>
        <v>4104623</v>
      </c>
      <c r="HJ78" s="475">
        <f t="shared" si="432"/>
        <v>886660</v>
      </c>
      <c r="HK78" s="475">
        <f t="shared" si="432"/>
        <v>1136500</v>
      </c>
      <c r="HL78" s="475">
        <f t="shared" si="432"/>
        <v>37366967.243574739</v>
      </c>
      <c r="HM78" s="475">
        <f t="shared" si="432"/>
        <v>25001512.541579321</v>
      </c>
      <c r="HN78" s="475">
        <f t="shared" si="432"/>
        <v>808776.41538817156</v>
      </c>
      <c r="HO78" s="475">
        <f t="shared" si="432"/>
        <v>2876769.799457768</v>
      </c>
      <c r="HP78" s="475">
        <f t="shared" si="432"/>
        <v>27787218</v>
      </c>
      <c r="HQ78" s="475">
        <f t="shared" si="432"/>
        <v>978043.38080963399</v>
      </c>
      <c r="HR78" s="475">
        <f t="shared" si="432"/>
        <v>33541191.281565275</v>
      </c>
      <c r="HS78" s="475">
        <f t="shared" si="432"/>
        <v>5691227.33762509</v>
      </c>
      <c r="HT78" s="475">
        <f t="shared" si="432"/>
        <v>22599685</v>
      </c>
      <c r="HU78" s="475">
        <f t="shared" si="432"/>
        <v>21556860</v>
      </c>
      <c r="HV78" s="475">
        <f t="shared" si="432"/>
        <v>16689127</v>
      </c>
      <c r="HW78" s="475">
        <f t="shared" si="432"/>
        <v>6965541.9659980796</v>
      </c>
      <c r="HX78" s="475">
        <f t="shared" si="432"/>
        <v>17983528.03400192</v>
      </c>
      <c r="HY78" s="475">
        <f t="shared" si="432"/>
        <v>21115762</v>
      </c>
      <c r="HZ78" s="475">
        <f t="shared" si="432"/>
        <v>9565941</v>
      </c>
      <c r="IA78" s="475">
        <f t="shared" si="432"/>
        <v>9107487</v>
      </c>
      <c r="IB78" s="475">
        <f t="shared" si="432"/>
        <v>8575181</v>
      </c>
      <c r="IC78" s="475">
        <f t="shared" si="432"/>
        <v>11233714.822746631</v>
      </c>
      <c r="ID78" s="475">
        <f t="shared" si="432"/>
        <v>9255791.1772533692</v>
      </c>
      <c r="IE78" s="475">
        <f t="shared" si="432"/>
        <v>16188892</v>
      </c>
      <c r="IF78" s="475">
        <f t="shared" si="432"/>
        <v>20259987.198794641</v>
      </c>
      <c r="IG78" s="475">
        <f t="shared" si="432"/>
        <v>5446079.8012053594</v>
      </c>
      <c r="IH78" s="475">
        <f t="shared" si="432"/>
        <v>3012886.5890955012</v>
      </c>
      <c r="II78" s="475">
        <f t="shared" si="432"/>
        <v>20841865.049244203</v>
      </c>
      <c r="IJ78" s="475">
        <f t="shared" si="432"/>
        <v>1674908.5338407224</v>
      </c>
      <c r="IK78" s="475">
        <f t="shared" si="432"/>
        <v>3577558.8278195728</v>
      </c>
      <c r="IL78" s="475">
        <f t="shared" si="432"/>
        <v>9204656</v>
      </c>
      <c r="IM78" s="475">
        <f t="shared" si="432"/>
        <v>701837.84282009513</v>
      </c>
      <c r="IN78" s="475">
        <f t="shared" si="432"/>
        <v>10213951.504810652</v>
      </c>
      <c r="IO78" s="475">
        <f t="shared" si="432"/>
        <v>3412493.6523692533</v>
      </c>
      <c r="IP78" s="475">
        <f t="shared" si="432"/>
        <v>22515867</v>
      </c>
      <c r="IQ78" s="475">
        <f t="shared" si="432"/>
        <v>22563962.666168727</v>
      </c>
      <c r="IR78" s="475">
        <f t="shared" si="432"/>
        <v>1003066.3338312713</v>
      </c>
      <c r="IS78" s="475">
        <f t="shared" si="432"/>
        <v>53065674.509968996</v>
      </c>
      <c r="IT78" s="475">
        <f t="shared" si="432"/>
        <v>12209859.490031004</v>
      </c>
      <c r="IU78" s="475">
        <f t="shared" si="432"/>
        <v>3182630.0362361362</v>
      </c>
      <c r="IV78" s="475">
        <f t="shared" si="432"/>
        <v>8522404.8188311569</v>
      </c>
      <c r="IW78" s="475">
        <f t="shared" si="432"/>
        <v>15638894.711101327</v>
      </c>
      <c r="IX78" s="475">
        <f t="shared" si="432"/>
        <v>1813436.4338313788</v>
      </c>
      <c r="IY78" s="475">
        <f t="shared" si="432"/>
        <v>7604648.4471565671</v>
      </c>
      <c r="IZ78" s="475">
        <f t="shared" ref="IZ78:JH78" si="433">SUM(IZ68:IZ77)</f>
        <v>18227943.552843433</v>
      </c>
      <c r="JA78" s="475">
        <f t="shared" si="433"/>
        <v>3115151.73</v>
      </c>
      <c r="JB78" s="475">
        <f t="shared" si="433"/>
        <v>3055174.04</v>
      </c>
      <c r="JC78" s="475">
        <f t="shared" si="433"/>
        <v>2348778.09</v>
      </c>
      <c r="JD78" s="475">
        <f t="shared" si="433"/>
        <v>5154880.7</v>
      </c>
      <c r="JE78" s="475">
        <f t="shared" si="433"/>
        <v>1159105.145059247</v>
      </c>
      <c r="JF78" s="475">
        <f t="shared" si="433"/>
        <v>29898599.85494075</v>
      </c>
      <c r="JG78" s="475">
        <f t="shared" si="433"/>
        <v>30562537</v>
      </c>
      <c r="JH78" s="475">
        <f t="shared" si="433"/>
        <v>868740</v>
      </c>
      <c r="JI78" s="475">
        <f t="shared" si="327"/>
        <v>1355211033.7099998</v>
      </c>
      <c r="JL78" s="307">
        <f t="shared" si="426"/>
        <v>22698505</v>
      </c>
      <c r="JM78" s="307">
        <f t="shared" si="426"/>
        <v>417508897.57999998</v>
      </c>
      <c r="JN78" s="307">
        <f t="shared" si="426"/>
        <v>289256834.56999999</v>
      </c>
      <c r="JO78" s="307">
        <f t="shared" si="426"/>
        <v>625746796.56000006</v>
      </c>
      <c r="JP78" s="307">
        <f t="shared" si="427"/>
        <v>1355211033.71</v>
      </c>
    </row>
    <row r="79" spans="1:276" x14ac:dyDescent="0.25">
      <c r="C79" s="314"/>
    </row>
    <row r="81" spans="1:276" x14ac:dyDescent="0.25">
      <c r="B81" s="612" t="s">
        <v>2554</v>
      </c>
      <c r="C81" s="556"/>
      <c r="D81" s="556"/>
      <c r="E81" s="556"/>
      <c r="F81" s="470"/>
      <c r="ET81" s="470"/>
      <c r="EU81" s="470"/>
      <c r="EV81" s="470">
        <f>VLOOKUP(EV6,'Výdaje obcí 2018'!$A$2:$F$45,6,FALSE)</f>
        <v>0</v>
      </c>
      <c r="EW81" s="470">
        <f>VLOOKUP(EW6,'Výdaje obcí 2018'!$A$2:$F$45,6,FALSE)</f>
        <v>0</v>
      </c>
      <c r="EX81" s="470">
        <f>VLOOKUP(EX6,'Výdaje obcí 2018'!$A$2:$F$45,6,FALSE)</f>
        <v>0</v>
      </c>
      <c r="EY81" s="470">
        <f>VLOOKUP(EY6,'Výdaje obcí 2018'!$A$2:$F$45,6,FALSE)</f>
        <v>0</v>
      </c>
      <c r="EZ81" s="470">
        <f>VLOOKUP(EZ6,'Výdaje obcí 2018'!$A$2:$F$45,6,FALSE)</f>
        <v>975095.98937416379</v>
      </c>
      <c r="FA81" s="556"/>
      <c r="FB81" s="470">
        <f>VLOOKUP(FB6,'Výdaje obcí 2018'!$A$2:$F$45,6,FALSE)</f>
        <v>226330.27759608647</v>
      </c>
      <c r="FC81" s="470">
        <f>VLOOKUP(FC6,'Výdaje obcí 2018'!$A$2:$F$45,6,FALSE)</f>
        <v>0</v>
      </c>
      <c r="FD81" s="470">
        <f>VLOOKUP(FD6,'Výdaje obcí 2018'!$A$2:$F$45,6,FALSE)</f>
        <v>0</v>
      </c>
      <c r="FE81" s="470">
        <f>VLOOKUP(FE6,'Výdaje obcí 2018'!$A$2:$F$45,6,FALSE)</f>
        <v>0</v>
      </c>
      <c r="FF81" s="470">
        <f>VLOOKUP(FF6,'Výdaje obcí 2018'!$A$2:$F$45,6,FALSE)</f>
        <v>0</v>
      </c>
      <c r="FG81" s="470">
        <f>VLOOKUP(FG6,'Výdaje obcí 2018'!$A$2:$F$45,6,FALSE)</f>
        <v>0</v>
      </c>
      <c r="FH81" s="470">
        <f>VLOOKUP(FH6,'Výdaje obcí 2018'!$A$2:$F$45,6,FALSE)</f>
        <v>0</v>
      </c>
      <c r="FI81" s="470">
        <f>VLOOKUP(FI6,'Výdaje obcí 2018'!$A$2:$F$45,6,FALSE)</f>
        <v>458642.04265304963</v>
      </c>
      <c r="FJ81" s="470">
        <f>VLOOKUP(FJ6,'Výdaje obcí 2018'!$A$2:$F$45,6,FALSE)</f>
        <v>458642.04265304963</v>
      </c>
      <c r="FK81" s="556">
        <f>VLOOKUP(FK6,'Výdaje obcí 2018'!$A$2:$F$45,6,FALSE)-700000</f>
        <v>1051420.333035951</v>
      </c>
      <c r="FL81" s="556">
        <f>VLOOKUP(FL6,'Výdaje obcí 2018'!$A$2:$F$45,6,FALSE)-700000</f>
        <v>1051420.333035951</v>
      </c>
      <c r="FM81" s="470">
        <f>VLOOKUP(FM6,'Výdaje obcí 2018'!$A$2:$F$45,6,FALSE)</f>
        <v>2723162.4367895005</v>
      </c>
      <c r="FN81" s="470">
        <f>VLOOKUP(FN6,'Výdaje obcí 2018'!$A$2:$F$45,6,FALSE)</f>
        <v>0</v>
      </c>
      <c r="FO81" s="470">
        <f>VLOOKUP(FO6,'Výdaje obcí 2018'!$A$2:$F$45,6,FALSE)</f>
        <v>0</v>
      </c>
      <c r="FP81" s="470">
        <f>VLOOKUP(FP6,'Výdaje obcí 2018'!$A$2:$F$45,6,FALSE)</f>
        <v>0</v>
      </c>
      <c r="FQ81" s="470">
        <f>VLOOKUP(FQ6,'Výdaje obcí 2018'!$A$2:$F$45,6,FALSE)</f>
        <v>0</v>
      </c>
      <c r="FR81" s="470">
        <f>VLOOKUP(FR6,'Výdaje obcí 2018'!$A$2:$F$45,6,FALSE)</f>
        <v>0</v>
      </c>
      <c r="FS81" s="470">
        <f>VLOOKUP(FS6,'Výdaje obcí 2018'!$A$2:$F$45,6,FALSE)</f>
        <v>0</v>
      </c>
      <c r="FT81" s="470">
        <f>VLOOKUP(FT6,'Výdaje obcí 2018'!$A$2:$F$45,6,FALSE)</f>
        <v>231419.75888847062</v>
      </c>
      <c r="FU81" s="470">
        <f>VLOOKUP(FU6,'Výdaje obcí 2018'!$A$2:$F$45,6,FALSE)</f>
        <v>231419.75888847062</v>
      </c>
      <c r="FV81" s="470">
        <f>VLOOKUP(FV6,'Výdaje obcí 2018'!$A$2:$F$45,6,FALSE)</f>
        <v>0</v>
      </c>
      <c r="FW81" s="470">
        <f>VLOOKUP(FW6,'Výdaje obcí 2018'!$A$2:$F$45,6,FALSE)-250000</f>
        <v>894437.63914845907</v>
      </c>
      <c r="FX81" s="470">
        <f>VLOOKUP(FX6,'Výdaje obcí 2018'!$A$2:$F$45,6,FALSE)</f>
        <v>465368.1499137978</v>
      </c>
      <c r="FY81" s="470">
        <f>VLOOKUP(FY6,'Výdaje obcí 2018'!$A$2:$F$45,6,FALSE)</f>
        <v>269442.05760418822</v>
      </c>
      <c r="FZ81" s="470">
        <f>VLOOKUP(FZ6,'Výdaje obcí 2018'!$A$2:$F$45,6,FALSE)</f>
        <v>0</v>
      </c>
      <c r="GA81" s="470">
        <f>VLOOKUP(GA6,'Výdaje obcí 2018'!$A$2:$F$45,6,FALSE)</f>
        <v>0</v>
      </c>
      <c r="GB81" s="470">
        <f>VLOOKUP(GB6,'Výdaje obcí 2018'!$A$2:$F$45,6,FALSE)</f>
        <v>0</v>
      </c>
      <c r="GC81" s="470">
        <f>VLOOKUP(GC6,'Výdaje obcí 2018'!$A$2:$F$45,6,FALSE)</f>
        <v>1010161.2203788252</v>
      </c>
      <c r="GD81" s="470">
        <f>VLOOKUP(GD6,'Výdaje obcí 2018'!$A$2:$F$45,6,FALSE)</f>
        <v>1010161.2203788252</v>
      </c>
      <c r="GE81" s="470">
        <f>VLOOKUP(GE6,'Výdaje obcí 2018'!$A$2:$F$45,6,FALSE)</f>
        <v>0</v>
      </c>
      <c r="GF81" s="470">
        <f>VLOOKUP(GF6,'Výdaje obcí 2018'!$A$2:$F$45,6,FALSE)</f>
        <v>0</v>
      </c>
      <c r="GG81" s="470">
        <f>VLOOKUP(GG6,'Výdaje obcí 2018'!$A$2:$F$45,6,FALSE)</f>
        <v>0</v>
      </c>
      <c r="GH81" s="470">
        <f>VLOOKUP(GH6,'Výdaje obcí 2018'!$A$2:$F$45,6,FALSE)</f>
        <v>0</v>
      </c>
      <c r="GI81" s="470">
        <f>VLOOKUP(GI6,'Výdaje obcí 2018'!$A$2:$F$45,6,FALSE)</f>
        <v>0</v>
      </c>
      <c r="GJ81" s="470">
        <f>VLOOKUP(GJ6,'Výdaje obcí 2018'!$A$2:$F$45,6,FALSE)</f>
        <v>1405053.6757184574</v>
      </c>
      <c r="GK81" s="470">
        <f>VLOOKUP(GK6,'Výdaje obcí 2018'!$A$2:$F$45,6,FALSE)</f>
        <v>1405053.6757184574</v>
      </c>
      <c r="GL81" s="470">
        <f>VLOOKUP(GL6,'Výdaje obcí 2018'!$A$2:$F$45,6,FALSE)</f>
        <v>1405053.6757184574</v>
      </c>
      <c r="GM81" s="470">
        <f>VLOOKUP(GM6,'Výdaje obcí 2018'!$A$2:$F$45,6,FALSE)</f>
        <v>1405053.6757184574</v>
      </c>
      <c r="GN81" s="470">
        <f>VLOOKUP(GN6,'Výdaje obcí 2018'!$A$2:$F$45,6,FALSE)</f>
        <v>1405053.6757184574</v>
      </c>
      <c r="GO81" s="470">
        <f>VLOOKUP(GO6,'Výdaje obcí 2018'!$A$2:$F$45,6,FALSE)</f>
        <v>301201.23345211567</v>
      </c>
      <c r="GP81" s="470">
        <f>VLOOKUP(GP6,'Výdaje obcí 2018'!$A$2:$F$45,6,FALSE)</f>
        <v>0</v>
      </c>
      <c r="GQ81" s="470">
        <f>VLOOKUP(GQ6,'Výdaje obcí 2018'!$A$2:$F$45,6,FALSE)-700000</f>
        <v>615443.34256627783</v>
      </c>
      <c r="GR81" s="470">
        <f>VLOOKUP(GR6,'Výdaje obcí 2018'!$A$2:$F$45,6,FALSE)</f>
        <v>0</v>
      </c>
      <c r="GS81" s="470">
        <f>VLOOKUP(GS6,'Výdaje obcí 2018'!$A$2:$F$45,6,FALSE)</f>
        <v>339442.98942998989</v>
      </c>
      <c r="GT81" s="470">
        <f>VLOOKUP(GT6,'Výdaje obcí 2018'!$A$2:$F$45,6,FALSE)</f>
        <v>0</v>
      </c>
      <c r="GU81" s="470">
        <f>VLOOKUP(GU6,'Výdaje obcí 2018'!$A$2:$F$45,6,FALSE)</f>
        <v>0</v>
      </c>
      <c r="GV81" s="470">
        <f>VLOOKUP(GV6,'Výdaje obcí 2018'!$A$2:$F$45,6,FALSE)</f>
        <v>0</v>
      </c>
      <c r="GW81" s="470">
        <f>VLOOKUP(GW6,'Výdaje obcí 2018'!$A$2:$F$45,6,FALSE)-490000</f>
        <v>5912.9885329194367</v>
      </c>
      <c r="GX81" s="470">
        <f>VLOOKUP(GX6,'Výdaje obcí 2018'!$A$2:$F$45,6,FALSE)</f>
        <v>385737.24787211954</v>
      </c>
      <c r="GY81" s="470">
        <f>VLOOKUP(GY6,'Výdaje obcí 2018'!$A$2:$F$45,6,FALSE)</f>
        <v>0</v>
      </c>
      <c r="GZ81" s="470">
        <f>VLOOKUP(GZ6,'Výdaje obcí 2018'!$A$2:$F$45,6,FALSE)</f>
        <v>0</v>
      </c>
      <c r="HA81" s="470">
        <f>VLOOKUP(HA6,'Výdaje obcí 2018'!$A$2:$F$45,6,FALSE)</f>
        <v>0</v>
      </c>
      <c r="HB81" s="470">
        <f>VLOOKUP(HB6,'Výdaje obcí 2018'!$A$2:$F$45,6,FALSE)</f>
        <v>0</v>
      </c>
      <c r="HC81" s="470">
        <f>VLOOKUP(HC6,'Výdaje obcí 2018'!$A$2:$F$45,6,FALSE)</f>
        <v>0</v>
      </c>
      <c r="HD81" s="470">
        <f>VLOOKUP(HD6,'Výdaje obcí 2018'!$A$2:$F$45,6,FALSE)</f>
        <v>0</v>
      </c>
      <c r="HE81" s="470">
        <f>VLOOKUP(HE6,'Výdaje obcí 2018'!$A$2:$F$45,6,FALSE)</f>
        <v>0</v>
      </c>
      <c r="HF81" s="470">
        <f>VLOOKUP(HF6,'Výdaje obcí 2018'!$A$2:$F$45,6,FALSE)</f>
        <v>722787.05046808964</v>
      </c>
      <c r="HG81" s="470">
        <f>VLOOKUP(HG6,'Výdaje obcí 2018'!$A$2:$F$45,6,FALSE)</f>
        <v>722787.05046808964</v>
      </c>
      <c r="HH81" s="470">
        <f>VLOOKUP(HH6,'Výdaje obcí 2018'!$A$2:$F$45,6,FALSE)</f>
        <v>0</v>
      </c>
      <c r="HI81" s="470">
        <f>VLOOKUP(HI6,'Výdaje obcí 2018'!$A$2:$F$45,6,FALSE)</f>
        <v>890312.63844429795</v>
      </c>
      <c r="HJ81" s="470">
        <f>VLOOKUP(HJ6,'Výdaje obcí 2018'!$A$2:$F$45,6,FALSE)</f>
        <v>890312.63844429795</v>
      </c>
      <c r="HK81" s="470">
        <f>VLOOKUP(HK6,'Výdaje obcí 2018'!$A$2:$F$45,6,FALSE)</f>
        <v>651937.29040160892</v>
      </c>
      <c r="JI81" s="314"/>
    </row>
    <row r="82" spans="1:276" x14ac:dyDescent="0.25">
      <c r="C82" s="470">
        <f>SUMIFS($C$65:$JH$65,$C$6:$JH$6,C6)</f>
        <v>9246049.1510793846</v>
      </c>
      <c r="D82" s="470">
        <f>SUMIFS($C$65:$JH$65,$C$6:$JH$6,D6)</f>
        <v>8080000</v>
      </c>
      <c r="E82" s="470">
        <f>SUMIFS($C$65:$JH$65,$C$6:$JH$6,E6)</f>
        <v>8707194.8468445688</v>
      </c>
      <c r="EV82" s="470">
        <f>SUMIFS($C$65:$JH$65,$C$6:$JH$6,EV6)</f>
        <v>11802024.128363466</v>
      </c>
      <c r="EW82" s="470">
        <f>SUMIFS($C$65:$JH$65,$C$6:$JH$6,EW6)</f>
        <v>11802024.128363466</v>
      </c>
      <c r="EX82" s="470">
        <f>SUMIFS($C$65:$JH$65,$C$6:$JH$6,EX6)</f>
        <v>11802024.128363466</v>
      </c>
      <c r="EY82" s="470">
        <f>SUMIFS($C$65:$JH$65,$C$6:$JH$6,EY6)</f>
        <v>11802024.128363466</v>
      </c>
      <c r="EZ82" s="556">
        <f>SUMIFS($C$65:$JH$65,$C$6:$JH$6,EZ6)+0.00000001</f>
        <v>1E-8</v>
      </c>
      <c r="FA82" s="470">
        <f>SUMIFS($C$65:$JH$65,$C$6:$JH$6,FA6)+0.00000001</f>
        <v>1647298.424768036</v>
      </c>
      <c r="FB82" s="470">
        <f t="shared" ref="FB82:GG82" si="434">SUMIFS($C$65:$JH$65,$C$6:$JH$6,FB6)</f>
        <v>265664.49062636285</v>
      </c>
      <c r="FC82" s="470">
        <f t="shared" si="434"/>
        <v>3800856.0103950039</v>
      </c>
      <c r="FD82" s="470">
        <f t="shared" si="434"/>
        <v>3800856.0103950039</v>
      </c>
      <c r="FE82" s="470">
        <f t="shared" si="434"/>
        <v>3800856.0103950039</v>
      </c>
      <c r="FF82" s="470">
        <f t="shared" si="434"/>
        <v>15917725.019552525</v>
      </c>
      <c r="FG82" s="470">
        <f t="shared" si="434"/>
        <v>15917725.019552525</v>
      </c>
      <c r="FH82" s="470">
        <f t="shared" si="434"/>
        <v>15917725.019552525</v>
      </c>
      <c r="FI82" s="470">
        <f t="shared" si="434"/>
        <v>10758857</v>
      </c>
      <c r="FJ82" s="470">
        <f t="shared" si="434"/>
        <v>10758857</v>
      </c>
      <c r="FK82" s="470">
        <f t="shared" si="434"/>
        <v>1033596.0107815034</v>
      </c>
      <c r="FL82" s="470">
        <f t="shared" si="434"/>
        <v>1033596.0107815034</v>
      </c>
      <c r="FM82" s="470">
        <f t="shared" si="434"/>
        <v>3934590.6565853953</v>
      </c>
      <c r="FN82" s="470">
        <f t="shared" si="434"/>
        <v>25652963.678305373</v>
      </c>
      <c r="FO82" s="470">
        <f t="shared" si="434"/>
        <v>25652963.678305373</v>
      </c>
      <c r="FP82" s="470">
        <f t="shared" si="434"/>
        <v>25652963.678305373</v>
      </c>
      <c r="FQ82" s="470">
        <f t="shared" si="434"/>
        <v>25652963.678305373</v>
      </c>
      <c r="FR82" s="470">
        <f t="shared" si="434"/>
        <v>25652963.678305373</v>
      </c>
      <c r="FS82" s="470">
        <f t="shared" si="434"/>
        <v>25652963.678305373</v>
      </c>
      <c r="FT82" s="470">
        <f t="shared" si="434"/>
        <v>4145169.1663162932</v>
      </c>
      <c r="FU82" s="470">
        <f t="shared" si="434"/>
        <v>4145169.1663162932</v>
      </c>
      <c r="FV82" s="470">
        <f t="shared" si="434"/>
        <v>646327.31987489713</v>
      </c>
      <c r="FW82" s="470">
        <f t="shared" si="434"/>
        <v>1483179</v>
      </c>
      <c r="FX82" s="470">
        <f t="shared" si="434"/>
        <v>585795.82000000007</v>
      </c>
      <c r="FY82" s="470">
        <f t="shared" si="434"/>
        <v>336810</v>
      </c>
      <c r="FZ82" s="470">
        <f t="shared" si="434"/>
        <v>6135990.0249453187</v>
      </c>
      <c r="GA82" s="470">
        <f t="shared" si="434"/>
        <v>6135990.0249453187</v>
      </c>
      <c r="GB82" s="470">
        <f t="shared" si="434"/>
        <v>6135990.0249453187</v>
      </c>
      <c r="GC82" s="470">
        <f t="shared" si="434"/>
        <v>12471950.030642729</v>
      </c>
      <c r="GD82" s="470">
        <f t="shared" si="434"/>
        <v>12471950.030642729</v>
      </c>
      <c r="GE82" s="470">
        <f t="shared" si="434"/>
        <v>15721553.992841087</v>
      </c>
      <c r="GF82" s="470">
        <f t="shared" si="434"/>
        <v>15721553.992841087</v>
      </c>
      <c r="GG82" s="470">
        <f t="shared" si="434"/>
        <v>15721553.992841087</v>
      </c>
      <c r="GH82" s="470">
        <f t="shared" ref="GH82:HK82" si="435">SUMIFS($C$65:$JH$65,$C$6:$JH$6,GH6)</f>
        <v>15721553.992841087</v>
      </c>
      <c r="GI82" s="470">
        <f t="shared" si="435"/>
        <v>15721553.992841087</v>
      </c>
      <c r="GJ82" s="470">
        <f t="shared" si="435"/>
        <v>6194945.3399999999</v>
      </c>
      <c r="GK82" s="470">
        <f t="shared" si="435"/>
        <v>6194945.3399999999</v>
      </c>
      <c r="GL82" s="470">
        <f t="shared" si="435"/>
        <v>6194945.3399999999</v>
      </c>
      <c r="GM82" s="470">
        <f t="shared" si="435"/>
        <v>6194945.3399999999</v>
      </c>
      <c r="GN82" s="470">
        <f t="shared" si="435"/>
        <v>6194945.3399999999</v>
      </c>
      <c r="GO82" s="470">
        <f t="shared" si="435"/>
        <v>5215641</v>
      </c>
      <c r="GP82" s="470">
        <f t="shared" si="435"/>
        <v>546320.06174100889</v>
      </c>
      <c r="GQ82" s="470">
        <f t="shared" si="435"/>
        <v>699796</v>
      </c>
      <c r="GR82" s="470">
        <f t="shared" si="435"/>
        <v>727124.60565148341</v>
      </c>
      <c r="GS82" s="470">
        <f t="shared" si="435"/>
        <v>113648.04672073387</v>
      </c>
      <c r="GT82" s="470">
        <f t="shared" si="435"/>
        <v>16325604.177758522</v>
      </c>
      <c r="GU82" s="470">
        <f t="shared" si="435"/>
        <v>16325604.177758522</v>
      </c>
      <c r="GV82" s="470">
        <f t="shared" si="435"/>
        <v>16325604.177758522</v>
      </c>
      <c r="GW82" s="470">
        <f t="shared" si="435"/>
        <v>1048163.6277687103</v>
      </c>
      <c r="GX82" s="470">
        <f t="shared" si="435"/>
        <v>342955.48977144714</v>
      </c>
      <c r="GY82" s="470">
        <f t="shared" si="435"/>
        <v>22012776.832625572</v>
      </c>
      <c r="GZ82" s="470">
        <f t="shared" si="435"/>
        <v>22012776.832625572</v>
      </c>
      <c r="HA82" s="470">
        <f t="shared" si="435"/>
        <v>22012776.832625572</v>
      </c>
      <c r="HB82" s="470">
        <f t="shared" si="435"/>
        <v>22012776.832625572</v>
      </c>
      <c r="HC82" s="470">
        <f t="shared" si="435"/>
        <v>6593000</v>
      </c>
      <c r="HD82" s="470">
        <f t="shared" si="435"/>
        <v>8885348.1421770528</v>
      </c>
      <c r="HE82" s="470">
        <f t="shared" si="435"/>
        <v>8885348.1421770528</v>
      </c>
      <c r="HF82" s="470">
        <f t="shared" si="435"/>
        <v>1785887.3599999999</v>
      </c>
      <c r="HG82" s="470">
        <f t="shared" si="435"/>
        <v>1785887.3599999999</v>
      </c>
      <c r="HH82" s="470">
        <f t="shared" si="435"/>
        <v>2034520.6688166854</v>
      </c>
      <c r="HI82" s="470">
        <f t="shared" si="435"/>
        <v>2365686.3688977864</v>
      </c>
      <c r="HJ82" s="470">
        <f t="shared" si="435"/>
        <v>2365686.3688977864</v>
      </c>
      <c r="HK82" s="470">
        <f t="shared" si="435"/>
        <v>209300</v>
      </c>
    </row>
    <row r="83" spans="1:276" x14ac:dyDescent="0.25">
      <c r="A83" s="554">
        <v>1</v>
      </c>
      <c r="B83" s="313" t="s">
        <v>2590</v>
      </c>
      <c r="C83" s="555">
        <f>C65/C82*C81*$A83</f>
        <v>0</v>
      </c>
      <c r="D83" s="555">
        <f t="shared" ref="D83:E83" si="436">D65/D82*D81*$A83</f>
        <v>0</v>
      </c>
      <c r="E83" s="555">
        <f t="shared" si="436"/>
        <v>0</v>
      </c>
      <c r="EV83" s="555">
        <f>EV65/EV82*EV81*$A83/2</f>
        <v>0</v>
      </c>
      <c r="EW83" s="555">
        <f t="shared" ref="EW83:HH83" si="437">EW65/EW82*EW81*$A83/2</f>
        <v>0</v>
      </c>
      <c r="EX83" s="555">
        <f t="shared" si="437"/>
        <v>0</v>
      </c>
      <c r="EY83" s="555">
        <f t="shared" si="437"/>
        <v>0</v>
      </c>
      <c r="EZ83" s="555">
        <f t="shared" si="437"/>
        <v>0</v>
      </c>
      <c r="FA83" s="555">
        <f t="shared" si="437"/>
        <v>0</v>
      </c>
      <c r="FB83" s="555">
        <f>FB65/FB82*FB81*$A83/3</f>
        <v>75443.425865362151</v>
      </c>
      <c r="FC83" s="555">
        <f t="shared" si="437"/>
        <v>0</v>
      </c>
      <c r="FD83" s="555">
        <f t="shared" si="437"/>
        <v>0</v>
      </c>
      <c r="FE83" s="555">
        <f t="shared" si="437"/>
        <v>0</v>
      </c>
      <c r="FF83" s="555">
        <f t="shared" si="437"/>
        <v>0</v>
      </c>
      <c r="FG83" s="555">
        <f t="shared" si="437"/>
        <v>0</v>
      </c>
      <c r="FH83" s="555">
        <f t="shared" si="437"/>
        <v>0</v>
      </c>
      <c r="FI83" s="555">
        <f t="shared" si="437"/>
        <v>185650.39908551914</v>
      </c>
      <c r="FJ83" s="555">
        <f t="shared" si="437"/>
        <v>43670.62224100568</v>
      </c>
      <c r="FK83" s="555">
        <f>FK65/FK82*FK81*$A83/2</f>
        <v>167836.88719573405</v>
      </c>
      <c r="FL83" s="555">
        <f>FL65/FL82*FL81*$A83/2</f>
        <v>357873.27932224149</v>
      </c>
      <c r="FM83" s="555">
        <f>FM65/FM82*FM81*$A83</f>
        <v>2723162.4367895005</v>
      </c>
      <c r="FN83" s="555">
        <f t="shared" si="437"/>
        <v>0</v>
      </c>
      <c r="FO83" s="555">
        <f t="shared" si="437"/>
        <v>0</v>
      </c>
      <c r="FP83" s="555">
        <f t="shared" si="437"/>
        <v>0</v>
      </c>
      <c r="FQ83" s="555">
        <f t="shared" si="437"/>
        <v>0</v>
      </c>
      <c r="FR83" s="555">
        <f t="shared" si="437"/>
        <v>0</v>
      </c>
      <c r="FS83" s="555">
        <f t="shared" si="437"/>
        <v>0</v>
      </c>
      <c r="FT83" s="555">
        <f t="shared" si="437"/>
        <v>101370.28388716253</v>
      </c>
      <c r="FU83" s="555">
        <f t="shared" si="437"/>
        <v>14339.595557072789</v>
      </c>
      <c r="FV83" s="555">
        <f t="shared" si="437"/>
        <v>0</v>
      </c>
      <c r="FW83" s="555">
        <f t="shared" si="437"/>
        <v>447218.81957422954</v>
      </c>
      <c r="FX83" s="555">
        <f>FX65/FX82*FX81*$A83/3</f>
        <v>155122.71663793261</v>
      </c>
      <c r="FY83" s="555">
        <f>FY65/FY82*FY81*$A83/3</f>
        <v>89814.019201396077</v>
      </c>
      <c r="FZ83" s="555">
        <f t="shared" si="437"/>
        <v>0</v>
      </c>
      <c r="GA83" s="555">
        <f t="shared" si="437"/>
        <v>0</v>
      </c>
      <c r="GB83" s="555">
        <f t="shared" si="437"/>
        <v>0</v>
      </c>
      <c r="GC83" s="555">
        <f>GC65/GC82*GC81*$A83</f>
        <v>207775.5856856975</v>
      </c>
      <c r="GD83" s="555">
        <f>GD65/GD82*GD81*$A83</f>
        <v>802385.63469312771</v>
      </c>
      <c r="GE83" s="555">
        <f t="shared" si="437"/>
        <v>0</v>
      </c>
      <c r="GF83" s="555">
        <f t="shared" si="437"/>
        <v>0</v>
      </c>
      <c r="GG83" s="555">
        <f t="shared" si="437"/>
        <v>0</v>
      </c>
      <c r="GH83" s="555">
        <f t="shared" si="437"/>
        <v>0</v>
      </c>
      <c r="GI83" s="555">
        <f t="shared" si="437"/>
        <v>0</v>
      </c>
      <c r="GJ83" s="555">
        <f t="shared" si="437"/>
        <v>254580.05470933844</v>
      </c>
      <c r="GK83" s="555">
        <f t="shared" si="437"/>
        <v>175316.0702736706</v>
      </c>
      <c r="GL83" s="555">
        <f t="shared" si="437"/>
        <v>67570.863543901753</v>
      </c>
      <c r="GM83" s="555">
        <f t="shared" si="437"/>
        <v>97258.469444471601</v>
      </c>
      <c r="GN83" s="555">
        <f t="shared" si="437"/>
        <v>107801.37988784634</v>
      </c>
      <c r="GO83" s="555">
        <f t="shared" si="437"/>
        <v>150600.61672605784</v>
      </c>
      <c r="GP83" s="555">
        <f t="shared" si="437"/>
        <v>0</v>
      </c>
      <c r="GQ83" s="555">
        <f t="shared" si="437"/>
        <v>307721.67128313892</v>
      </c>
      <c r="GR83" s="555">
        <f t="shared" si="437"/>
        <v>0</v>
      </c>
      <c r="GS83" s="555">
        <f>GS65/GS82*GS81*$A83/3</f>
        <v>113147.66314332996</v>
      </c>
      <c r="GT83" s="555">
        <f t="shared" si="437"/>
        <v>0</v>
      </c>
      <c r="GU83" s="555">
        <f t="shared" si="437"/>
        <v>0</v>
      </c>
      <c r="GV83" s="555">
        <f t="shared" si="437"/>
        <v>0</v>
      </c>
      <c r="GW83" s="555">
        <f>GW65/GW82*GW81*$A83/3</f>
        <v>1970.9961776398122</v>
      </c>
      <c r="GX83" s="555">
        <f>GX65/GX82*GX81*$A83/3</f>
        <v>128579.08262403985</v>
      </c>
      <c r="GY83" s="555">
        <f t="shared" si="437"/>
        <v>0</v>
      </c>
      <c r="GZ83" s="555">
        <f t="shared" si="437"/>
        <v>0</v>
      </c>
      <c r="HA83" s="555">
        <f t="shared" si="437"/>
        <v>0</v>
      </c>
      <c r="HB83" s="555">
        <f t="shared" si="437"/>
        <v>0</v>
      </c>
      <c r="HC83" s="555">
        <f t="shared" si="437"/>
        <v>0</v>
      </c>
      <c r="HD83" s="555">
        <f t="shared" si="437"/>
        <v>0</v>
      </c>
      <c r="HE83" s="555">
        <f t="shared" si="437"/>
        <v>0</v>
      </c>
      <c r="HF83" s="555">
        <f>HF65/HF82*HF81*$A83/2</f>
        <v>227180.3083392675</v>
      </c>
      <c r="HG83" s="555">
        <f>HG65/HG82*HG81*$A83/2</f>
        <v>134213.21689477732</v>
      </c>
      <c r="HH83" s="555">
        <f t="shared" si="437"/>
        <v>0</v>
      </c>
      <c r="HI83" s="555">
        <f>HI65/HI82*HI81*$A83</f>
        <v>890312.63844429795</v>
      </c>
      <c r="HJ83" s="555">
        <f t="shared" ref="HJ83" si="438">HJ65/HJ82*HJ81*$A83/2</f>
        <v>0</v>
      </c>
      <c r="HK83" s="555">
        <f>HK65/HK82*HK81*$A83/2</f>
        <v>325968.64520080446</v>
      </c>
      <c r="JI83" s="314">
        <f t="shared" si="327"/>
        <v>8353885.3824285641</v>
      </c>
      <c r="JL83" s="307">
        <f>SUMIFS($C83:$JH83,$C$5:$JH$5,JL$5)</f>
        <v>0</v>
      </c>
      <c r="JM83" s="307">
        <f>SUMIFS($C83:$JH83,$C$5:$JH$5,JM$5)</f>
        <v>0</v>
      </c>
      <c r="JN83" s="307">
        <f>SUMIFS($C83:$JH83,$C$5:$JH$5,JN$5)</f>
        <v>8353885.3824285641</v>
      </c>
      <c r="JO83" s="307">
        <f>SUMIFS($C83:$JH83,$C$5:$JH$5,JO$5)</f>
        <v>0</v>
      </c>
      <c r="JP83" s="307">
        <f t="shared" ref="JP83" si="439">SUM(JL83:JO83)</f>
        <v>8353885.3824285641</v>
      </c>
    </row>
    <row r="84" spans="1:276" x14ac:dyDescent="0.25">
      <c r="B84" s="313" t="s">
        <v>2567</v>
      </c>
      <c r="FI84" s="313" t="s">
        <v>2604</v>
      </c>
    </row>
    <row r="85" spans="1:276" x14ac:dyDescent="0.25">
      <c r="A85" s="557"/>
      <c r="B85" s="557" t="s">
        <v>2592</v>
      </c>
      <c r="C85" s="558">
        <f>IF(C65-C83&lt;0,0,(C65-C83))</f>
        <v>9246049.1510793846</v>
      </c>
      <c r="D85" s="558">
        <f t="shared" ref="D85:BP85" si="440">IF(D65-D83&lt;0,0,(D65-D83))</f>
        <v>8080000</v>
      </c>
      <c r="E85" s="558">
        <f t="shared" si="440"/>
        <v>8707194.8468445688</v>
      </c>
      <c r="F85" s="558">
        <f t="shared" si="440"/>
        <v>3616884.7088353573</v>
      </c>
      <c r="G85" s="558">
        <f t="shared" si="440"/>
        <v>10328003.127290595</v>
      </c>
      <c r="H85" s="558">
        <f t="shared" si="440"/>
        <v>0</v>
      </c>
      <c r="I85" s="558">
        <f t="shared" si="440"/>
        <v>0</v>
      </c>
      <c r="J85" s="558">
        <f t="shared" si="440"/>
        <v>126485.23608403429</v>
      </c>
      <c r="K85" s="558">
        <f t="shared" si="440"/>
        <v>6393271.2513013156</v>
      </c>
      <c r="L85" s="558">
        <f t="shared" si="440"/>
        <v>3774970</v>
      </c>
      <c r="M85" s="558">
        <f t="shared" si="440"/>
        <v>3667775.238895766</v>
      </c>
      <c r="N85" s="558">
        <f t="shared" si="440"/>
        <v>5360828.6030266704</v>
      </c>
      <c r="O85" s="558">
        <f t="shared" si="440"/>
        <v>4448411.4210138666</v>
      </c>
      <c r="P85" s="558">
        <f t="shared" si="440"/>
        <v>2570026.0021816893</v>
      </c>
      <c r="Q85" s="558">
        <f t="shared" si="440"/>
        <v>1836488.4791010155</v>
      </c>
      <c r="R85" s="558">
        <f t="shared" si="440"/>
        <v>2124718.1</v>
      </c>
      <c r="S85" s="558">
        <f t="shared" si="440"/>
        <v>1637152.8</v>
      </c>
      <c r="T85" s="558">
        <f t="shared" si="440"/>
        <v>622773.51077815378</v>
      </c>
      <c r="U85" s="558">
        <f t="shared" si="440"/>
        <v>1099204</v>
      </c>
      <c r="V85" s="558">
        <f t="shared" si="440"/>
        <v>9233620</v>
      </c>
      <c r="W85" s="558">
        <f t="shared" si="440"/>
        <v>2379600</v>
      </c>
      <c r="X85" s="558">
        <f t="shared" si="440"/>
        <v>2304335.8095085779</v>
      </c>
      <c r="Y85" s="558">
        <f t="shared" si="440"/>
        <v>1969745.4492107111</v>
      </c>
      <c r="Z85" s="558">
        <f t="shared" si="440"/>
        <v>7441924</v>
      </c>
      <c r="AA85" s="558">
        <f t="shared" si="440"/>
        <v>4244705.4490248738</v>
      </c>
      <c r="AB85" s="558">
        <f t="shared" si="440"/>
        <v>3678130.7057224135</v>
      </c>
      <c r="AC85" s="558">
        <f t="shared" ref="AC85" si="441">IF(AC65-AC83&lt;0,0,(AC65-AC83))</f>
        <v>481158.31194833241</v>
      </c>
      <c r="AD85" s="558">
        <f t="shared" si="440"/>
        <v>2590229.1206235653</v>
      </c>
      <c r="AE85" s="558">
        <f t="shared" si="440"/>
        <v>103737.52589894389</v>
      </c>
      <c r="AF85" s="558">
        <f t="shared" si="440"/>
        <v>1219244.9295379582</v>
      </c>
      <c r="AG85" s="558">
        <f t="shared" si="440"/>
        <v>3450812.7548698969</v>
      </c>
      <c r="AH85" s="558">
        <f t="shared" si="440"/>
        <v>807300</v>
      </c>
      <c r="AI85" s="558">
        <f t="shared" si="440"/>
        <v>4368180</v>
      </c>
      <c r="AJ85" s="558">
        <f t="shared" si="440"/>
        <v>2788040</v>
      </c>
      <c r="AK85" s="558">
        <f t="shared" si="440"/>
        <v>1383868</v>
      </c>
      <c r="AL85" s="558">
        <f t="shared" si="440"/>
        <v>1952909.1633510776</v>
      </c>
      <c r="AM85" s="558">
        <f t="shared" si="440"/>
        <v>1499708.3726341231</v>
      </c>
      <c r="AN85" s="558">
        <f t="shared" si="440"/>
        <v>1148955.198498779</v>
      </c>
      <c r="AO85" s="558">
        <f t="shared" si="440"/>
        <v>4903755.5596356187</v>
      </c>
      <c r="AP85" s="558">
        <f t="shared" si="440"/>
        <v>2124765.1162296012</v>
      </c>
      <c r="AQ85" s="558">
        <f t="shared" si="440"/>
        <v>688702.88446015073</v>
      </c>
      <c r="AR85" s="558">
        <f t="shared" si="440"/>
        <v>1531740.3992508459</v>
      </c>
      <c r="AS85" s="558">
        <f t="shared" si="440"/>
        <v>495253.22022333386</v>
      </c>
      <c r="AT85" s="558">
        <f t="shared" si="440"/>
        <v>2498113.4323683418</v>
      </c>
      <c r="AU85" s="558">
        <f t="shared" si="440"/>
        <v>992216.93946642126</v>
      </c>
      <c r="AV85" s="558">
        <f t="shared" si="440"/>
        <v>2003660.6772952261</v>
      </c>
      <c r="AW85" s="558">
        <f t="shared" si="440"/>
        <v>16112.012350120116</v>
      </c>
      <c r="AX85" s="558">
        <f t="shared" si="440"/>
        <v>3240135.311080751</v>
      </c>
      <c r="AY85" s="558">
        <f t="shared" si="440"/>
        <v>3300190.5406568907</v>
      </c>
      <c r="AZ85" s="558">
        <f t="shared" si="440"/>
        <v>3434507</v>
      </c>
      <c r="BA85" s="558">
        <f t="shared" si="440"/>
        <v>9913000</v>
      </c>
      <c r="BB85" s="558">
        <f t="shared" si="440"/>
        <v>1329742.5807072239</v>
      </c>
      <c r="BC85" s="558">
        <f t="shared" si="440"/>
        <v>1223742.4938025323</v>
      </c>
      <c r="BD85" s="558">
        <f t="shared" si="440"/>
        <v>1916258.3325785431</v>
      </c>
      <c r="BE85" s="558">
        <f t="shared" si="440"/>
        <v>0</v>
      </c>
      <c r="BF85" s="558">
        <f t="shared" si="440"/>
        <v>2669371.3941904306</v>
      </c>
      <c r="BG85" s="558">
        <f t="shared" si="440"/>
        <v>3342000</v>
      </c>
      <c r="BH85" s="558">
        <f t="shared" si="440"/>
        <v>3388109.2415605099</v>
      </c>
      <c r="BI85" s="558">
        <f t="shared" si="440"/>
        <v>2370000</v>
      </c>
      <c r="BJ85" s="558">
        <f t="shared" si="440"/>
        <v>2734458.8535647267</v>
      </c>
      <c r="BK85" s="558">
        <f t="shared" si="440"/>
        <v>185490.09231459786</v>
      </c>
      <c r="BL85" s="558">
        <f t="shared" si="440"/>
        <v>455138.49500087276</v>
      </c>
      <c r="BM85" s="558">
        <f t="shared" si="440"/>
        <v>2033799.04</v>
      </c>
      <c r="BN85" s="558">
        <f t="shared" si="440"/>
        <v>1657101.9931537434</v>
      </c>
      <c r="BO85" s="558">
        <f t="shared" si="440"/>
        <v>1051279.6524752458</v>
      </c>
      <c r="BP85" s="558">
        <f t="shared" si="440"/>
        <v>4652080</v>
      </c>
      <c r="BQ85" s="558">
        <f t="shared" ref="BQ85:EB85" si="442">IF(BQ65-BQ83&lt;0,0,(BQ65-BQ83))</f>
        <v>66564.165662464104</v>
      </c>
      <c r="BR85" s="558">
        <f t="shared" si="442"/>
        <v>1288942.0242748552</v>
      </c>
      <c r="BS85" s="558">
        <f t="shared" si="442"/>
        <v>1310282.2989678741</v>
      </c>
      <c r="BT85" s="558">
        <f t="shared" si="442"/>
        <v>914160.26616723067</v>
      </c>
      <c r="BU85" s="558">
        <f t="shared" si="442"/>
        <v>3939338</v>
      </c>
      <c r="BV85" s="558">
        <f t="shared" si="442"/>
        <v>1177908.0353182531</v>
      </c>
      <c r="BW85" s="558">
        <f t="shared" si="442"/>
        <v>532683</v>
      </c>
      <c r="BX85" s="558">
        <f t="shared" si="442"/>
        <v>4708889.1910633538</v>
      </c>
      <c r="BY85" s="558">
        <f t="shared" si="442"/>
        <v>1520144</v>
      </c>
      <c r="BZ85" s="558">
        <f t="shared" si="442"/>
        <v>324150</v>
      </c>
      <c r="CA85" s="558">
        <f t="shared" si="442"/>
        <v>0</v>
      </c>
      <c r="CB85" s="558">
        <f t="shared" si="442"/>
        <v>571519.10142146726</v>
      </c>
      <c r="CC85" s="558">
        <f t="shared" si="442"/>
        <v>2238055.6625416637</v>
      </c>
      <c r="CD85" s="558">
        <f t="shared" si="442"/>
        <v>661848.21685573971</v>
      </c>
      <c r="CE85" s="558">
        <f t="shared" si="442"/>
        <v>9715050.1253167707</v>
      </c>
      <c r="CF85" s="558">
        <f t="shared" si="442"/>
        <v>4453617.8393289512</v>
      </c>
      <c r="CG85" s="558">
        <f t="shared" si="442"/>
        <v>231159.49607044645</v>
      </c>
      <c r="CH85" s="558">
        <f t="shared" si="442"/>
        <v>0</v>
      </c>
      <c r="CI85" s="558">
        <f t="shared" si="442"/>
        <v>21633.155796868727</v>
      </c>
      <c r="CJ85" s="558">
        <f t="shared" si="442"/>
        <v>3854195.0818283353</v>
      </c>
      <c r="CK85" s="558">
        <f t="shared" si="442"/>
        <v>4571780</v>
      </c>
      <c r="CL85" s="558">
        <f t="shared" si="442"/>
        <v>56438.59728209069</v>
      </c>
      <c r="CM85" s="558">
        <f t="shared" si="442"/>
        <v>6012336.4399863137</v>
      </c>
      <c r="CN85" s="558">
        <f t="shared" si="442"/>
        <v>1342009.9127194914</v>
      </c>
      <c r="CO85" s="558">
        <f t="shared" si="442"/>
        <v>1214500</v>
      </c>
      <c r="CP85" s="558">
        <f t="shared" si="442"/>
        <v>1268807.7168003041</v>
      </c>
      <c r="CQ85" s="558">
        <f t="shared" si="442"/>
        <v>5515036.573718125</v>
      </c>
      <c r="CR85" s="558">
        <f t="shared" si="442"/>
        <v>2367817</v>
      </c>
      <c r="CS85" s="558">
        <f t="shared" si="442"/>
        <v>187555.67419309285</v>
      </c>
      <c r="CT85" s="558">
        <f t="shared" si="442"/>
        <v>0</v>
      </c>
      <c r="CU85" s="558">
        <f t="shared" si="442"/>
        <v>1974027.6887355854</v>
      </c>
      <c r="CV85" s="558">
        <f t="shared" si="442"/>
        <v>5829564.9151897766</v>
      </c>
      <c r="CW85" s="558">
        <f t="shared" si="442"/>
        <v>445664.10646689229</v>
      </c>
      <c r="CX85" s="558">
        <f t="shared" si="442"/>
        <v>3686532</v>
      </c>
      <c r="CY85" s="558">
        <f t="shared" si="442"/>
        <v>2881083.2839012085</v>
      </c>
      <c r="CZ85" s="558">
        <f t="shared" si="442"/>
        <v>446100</v>
      </c>
      <c r="DA85" s="558">
        <f t="shared" si="442"/>
        <v>8578781.7210858986</v>
      </c>
      <c r="DB85" s="558">
        <f t="shared" si="442"/>
        <v>801256.55127554876</v>
      </c>
      <c r="DC85" s="558">
        <f t="shared" si="442"/>
        <v>1952214.4635382525</v>
      </c>
      <c r="DD85" s="558">
        <f t="shared" si="442"/>
        <v>428740.05018450413</v>
      </c>
      <c r="DE85" s="558">
        <f t="shared" si="442"/>
        <v>1595404.8713862468</v>
      </c>
      <c r="DF85" s="558">
        <f t="shared" si="442"/>
        <v>7381996.8713862468</v>
      </c>
      <c r="DG85" s="558">
        <f t="shared" si="442"/>
        <v>802938.16515118408</v>
      </c>
      <c r="DH85" s="558">
        <f t="shared" si="442"/>
        <v>908244.44020215096</v>
      </c>
      <c r="DI85" s="558">
        <f t="shared" si="442"/>
        <v>0</v>
      </c>
      <c r="DJ85" s="558">
        <f t="shared" si="442"/>
        <v>65990.976314039901</v>
      </c>
      <c r="DK85" s="558">
        <f t="shared" si="442"/>
        <v>224452.83531246078</v>
      </c>
      <c r="DL85" s="558">
        <f t="shared" si="442"/>
        <v>4094296.2218004535</v>
      </c>
      <c r="DM85" s="558">
        <f t="shared" si="442"/>
        <v>1966503.0838138557</v>
      </c>
      <c r="DN85" s="558">
        <f t="shared" si="442"/>
        <v>4052035.7644601618</v>
      </c>
      <c r="DO85" s="558">
        <f t="shared" si="442"/>
        <v>1402300.3922101089</v>
      </c>
      <c r="DP85" s="558">
        <f t="shared" si="442"/>
        <v>4045363.78</v>
      </c>
      <c r="DQ85" s="558">
        <f t="shared" si="442"/>
        <v>4329795</v>
      </c>
      <c r="DR85" s="558">
        <f t="shared" si="442"/>
        <v>4985313.5</v>
      </c>
      <c r="DS85" s="558">
        <f t="shared" si="442"/>
        <v>1625552.2365860054</v>
      </c>
      <c r="DT85" s="558">
        <f t="shared" si="442"/>
        <v>3379864.0513730422</v>
      </c>
      <c r="DU85" s="558">
        <f t="shared" si="442"/>
        <v>35402.15315866132</v>
      </c>
      <c r="DV85" s="558">
        <f t="shared" si="442"/>
        <v>6440000</v>
      </c>
      <c r="DW85" s="558">
        <f t="shared" si="442"/>
        <v>368896.922364717</v>
      </c>
      <c r="DX85" s="558">
        <f t="shared" si="442"/>
        <v>0</v>
      </c>
      <c r="DY85" s="558">
        <f t="shared" si="442"/>
        <v>4581142.7504826486</v>
      </c>
      <c r="DZ85" s="558">
        <f t="shared" si="442"/>
        <v>723925.6888148766</v>
      </c>
      <c r="EA85" s="558">
        <f t="shared" si="442"/>
        <v>4141440.9263814236</v>
      </c>
      <c r="EB85" s="558">
        <f t="shared" si="442"/>
        <v>5751412.8583436497</v>
      </c>
      <c r="EC85" s="558">
        <f t="shared" ref="EC85:GN85" si="443">IF(EC65-EC83&lt;0,0,(EC65-EC83))</f>
        <v>3507637.7512384658</v>
      </c>
      <c r="ED85" s="558">
        <f t="shared" si="443"/>
        <v>3789855.4215401057</v>
      </c>
      <c r="EE85" s="558">
        <f t="shared" si="443"/>
        <v>750052.03204477963</v>
      </c>
      <c r="EF85" s="558">
        <f t="shared" si="443"/>
        <v>886973.84315981728</v>
      </c>
      <c r="EG85" s="558">
        <f t="shared" si="443"/>
        <v>440614.21022333385</v>
      </c>
      <c r="EH85" s="558">
        <f t="shared" si="443"/>
        <v>766109.30758974701</v>
      </c>
      <c r="EI85" s="558">
        <f t="shared" si="443"/>
        <v>1178000</v>
      </c>
      <c r="EJ85" s="558">
        <f t="shared" si="443"/>
        <v>0</v>
      </c>
      <c r="EK85" s="558">
        <f t="shared" si="443"/>
        <v>3932042</v>
      </c>
      <c r="EL85" s="558">
        <f t="shared" si="443"/>
        <v>8896075.9201217424</v>
      </c>
      <c r="EM85" s="558">
        <f t="shared" si="443"/>
        <v>2817690.3194428757</v>
      </c>
      <c r="EN85" s="558">
        <f t="shared" si="443"/>
        <v>2639613.8452645098</v>
      </c>
      <c r="EO85" s="558">
        <f t="shared" si="443"/>
        <v>326536.14681555587</v>
      </c>
      <c r="EP85" s="558">
        <f t="shared" si="443"/>
        <v>3336103.6776025575</v>
      </c>
      <c r="EQ85" s="558">
        <f t="shared" si="443"/>
        <v>2318152.5044244276</v>
      </c>
      <c r="ER85" s="558">
        <f t="shared" si="443"/>
        <v>6886000</v>
      </c>
      <c r="ES85" s="558">
        <f t="shared" si="443"/>
        <v>2889369.4473401564</v>
      </c>
      <c r="ET85" s="558">
        <f t="shared" si="443"/>
        <v>1009463.051162631</v>
      </c>
      <c r="EU85" s="558">
        <f t="shared" si="443"/>
        <v>2855783.9144364195</v>
      </c>
      <c r="EV85" s="558">
        <f t="shared" si="443"/>
        <v>477773.51077815378</v>
      </c>
      <c r="EW85" s="558">
        <f t="shared" si="443"/>
        <v>2713993.2555374205</v>
      </c>
      <c r="EX85" s="558">
        <f t="shared" si="443"/>
        <v>6400000</v>
      </c>
      <c r="EY85" s="558">
        <f t="shared" si="443"/>
        <v>2210257.3620478925</v>
      </c>
      <c r="EZ85" s="558">
        <f t="shared" si="443"/>
        <v>0</v>
      </c>
      <c r="FA85" s="558">
        <f t="shared" si="443"/>
        <v>1647298.424768026</v>
      </c>
      <c r="FB85" s="558">
        <f t="shared" si="443"/>
        <v>190221.06476100069</v>
      </c>
      <c r="FC85" s="558">
        <f t="shared" si="443"/>
        <v>3419615.4215486925</v>
      </c>
      <c r="FD85" s="558">
        <f t="shared" si="443"/>
        <v>0</v>
      </c>
      <c r="FE85" s="558">
        <f t="shared" si="443"/>
        <v>381240.58884631132</v>
      </c>
      <c r="FF85" s="558">
        <f t="shared" si="443"/>
        <v>1561200</v>
      </c>
      <c r="FG85" s="558">
        <f t="shared" si="443"/>
        <v>7803422.0195525251</v>
      </c>
      <c r="FH85" s="558">
        <f t="shared" si="443"/>
        <v>6553103</v>
      </c>
      <c r="FI85" s="558">
        <f t="shared" si="443"/>
        <v>8524349.6009144802</v>
      </c>
      <c r="FJ85" s="558">
        <f t="shared" si="443"/>
        <v>2005186.3777589942</v>
      </c>
      <c r="FK85" s="558">
        <f t="shared" si="443"/>
        <v>162146.33952499987</v>
      </c>
      <c r="FL85" s="558">
        <f t="shared" si="443"/>
        <v>345739.50473852799</v>
      </c>
      <c r="FM85" s="558">
        <f t="shared" si="443"/>
        <v>1211428.2197958948</v>
      </c>
      <c r="FN85" s="558">
        <f t="shared" si="443"/>
        <v>7374936.4799554544</v>
      </c>
      <c r="FO85" s="558">
        <f t="shared" si="443"/>
        <v>1788495</v>
      </c>
      <c r="FP85" s="558">
        <f t="shared" si="443"/>
        <v>13683456</v>
      </c>
      <c r="FQ85" s="558">
        <f t="shared" si="443"/>
        <v>2074686</v>
      </c>
      <c r="FR85" s="558">
        <f t="shared" si="443"/>
        <v>236957.19834991742</v>
      </c>
      <c r="FS85" s="558">
        <f t="shared" si="443"/>
        <v>494433</v>
      </c>
      <c r="FT85" s="558">
        <f t="shared" si="443"/>
        <v>3530099.8824291308</v>
      </c>
      <c r="FU85" s="558">
        <f t="shared" si="443"/>
        <v>499359.40444292722</v>
      </c>
      <c r="FV85" s="558">
        <f t="shared" si="443"/>
        <v>646327.31987489713</v>
      </c>
      <c r="FW85" s="558">
        <f t="shared" si="443"/>
        <v>1035960.1804257705</v>
      </c>
      <c r="FX85" s="558">
        <f t="shared" si="443"/>
        <v>430673.10336206749</v>
      </c>
      <c r="FY85" s="558">
        <f t="shared" si="443"/>
        <v>246995.98079860391</v>
      </c>
      <c r="FZ85" s="558">
        <f t="shared" si="443"/>
        <v>2937555.0490599889</v>
      </c>
      <c r="GA85" s="558">
        <f t="shared" si="443"/>
        <v>281420.48958755797</v>
      </c>
      <c r="GB85" s="558">
        <f t="shared" si="443"/>
        <v>2917014.4862977713</v>
      </c>
      <c r="GC85" s="558">
        <f t="shared" si="443"/>
        <v>2357524.5564913559</v>
      </c>
      <c r="GD85" s="558">
        <f t="shared" si="443"/>
        <v>9104264.2537725493</v>
      </c>
      <c r="GE85" s="558">
        <f t="shared" si="443"/>
        <v>263290.93400108395</v>
      </c>
      <c r="GF85" s="558">
        <f t="shared" si="443"/>
        <v>4128600.1778761428</v>
      </c>
      <c r="GG85" s="558">
        <f t="shared" si="443"/>
        <v>1235672.3627191633</v>
      </c>
      <c r="GH85" s="558">
        <f t="shared" si="443"/>
        <v>1220741.4312772285</v>
      </c>
      <c r="GI85" s="558">
        <f t="shared" si="443"/>
        <v>8873249.0869674683</v>
      </c>
      <c r="GJ85" s="558">
        <f t="shared" si="443"/>
        <v>1990329.9452906616</v>
      </c>
      <c r="GK85" s="558">
        <f t="shared" si="443"/>
        <v>1370636.9297263294</v>
      </c>
      <c r="GL85" s="558">
        <f t="shared" si="443"/>
        <v>528275.13645609829</v>
      </c>
      <c r="GM85" s="558">
        <f t="shared" si="443"/>
        <v>760375.53055552836</v>
      </c>
      <c r="GN85" s="558">
        <f t="shared" si="443"/>
        <v>842800.96011215367</v>
      </c>
      <c r="GO85" s="558">
        <f t="shared" ref="GO85:IZ85" si="444">IF(GO65-GO83&lt;0,0,(GO65-GO83))</f>
        <v>5065040.3832739424</v>
      </c>
      <c r="GP85" s="558">
        <f t="shared" si="444"/>
        <v>546320.06174100889</v>
      </c>
      <c r="GQ85" s="558">
        <f t="shared" si="444"/>
        <v>392074.32871686108</v>
      </c>
      <c r="GR85" s="558">
        <f t="shared" si="444"/>
        <v>727124.60565148341</v>
      </c>
      <c r="GS85" s="558">
        <f t="shared" si="444"/>
        <v>500.38357740390347</v>
      </c>
      <c r="GT85" s="558">
        <f t="shared" si="444"/>
        <v>9374987.532092277</v>
      </c>
      <c r="GU85" s="558">
        <f t="shared" si="444"/>
        <v>1124440</v>
      </c>
      <c r="GV85" s="558">
        <f t="shared" si="444"/>
        <v>5826176.6456662463</v>
      </c>
      <c r="GW85" s="558">
        <f t="shared" si="444"/>
        <v>1046192.6315910704</v>
      </c>
      <c r="GX85" s="558">
        <f t="shared" si="444"/>
        <v>214376.4071474073</v>
      </c>
      <c r="GY85" s="558">
        <f t="shared" si="444"/>
        <v>13503975</v>
      </c>
      <c r="GZ85" s="558">
        <f t="shared" si="444"/>
        <v>0</v>
      </c>
      <c r="HA85" s="558">
        <f t="shared" si="444"/>
        <v>5787297.7336099232</v>
      </c>
      <c r="HB85" s="558">
        <f t="shared" si="444"/>
        <v>2721504.0990156494</v>
      </c>
      <c r="HC85" s="558">
        <f t="shared" si="444"/>
        <v>6593000</v>
      </c>
      <c r="HD85" s="558">
        <f t="shared" si="444"/>
        <v>2094993.1421770533</v>
      </c>
      <c r="HE85" s="558">
        <f t="shared" si="444"/>
        <v>6790355</v>
      </c>
      <c r="HF85" s="558">
        <f t="shared" si="444"/>
        <v>895469.6916607325</v>
      </c>
      <c r="HG85" s="558">
        <f t="shared" si="444"/>
        <v>529024.14310522261</v>
      </c>
      <c r="HH85" s="558">
        <f t="shared" si="444"/>
        <v>2034520.6688166854</v>
      </c>
      <c r="HI85" s="558">
        <f t="shared" si="444"/>
        <v>1475373.7304534884</v>
      </c>
      <c r="HJ85" s="558">
        <f t="shared" si="444"/>
        <v>0</v>
      </c>
      <c r="HK85" s="558">
        <f t="shared" si="444"/>
        <v>0</v>
      </c>
      <c r="HL85" s="558">
        <f t="shared" si="444"/>
        <v>30761693.812790565</v>
      </c>
      <c r="HM85" s="558">
        <f t="shared" si="444"/>
        <v>17375619.107148226</v>
      </c>
      <c r="HN85" s="558">
        <f t="shared" si="444"/>
        <v>0</v>
      </c>
      <c r="HO85" s="558">
        <f t="shared" si="444"/>
        <v>0</v>
      </c>
      <c r="HP85" s="558">
        <f t="shared" si="444"/>
        <v>24549000</v>
      </c>
      <c r="HQ85" s="558">
        <f t="shared" si="444"/>
        <v>741876.88410925679</v>
      </c>
      <c r="HR85" s="558">
        <f t="shared" si="444"/>
        <v>26307120.308611114</v>
      </c>
      <c r="HS85" s="558">
        <f t="shared" si="444"/>
        <v>5169783.9315081565</v>
      </c>
      <c r="HT85" s="558">
        <f t="shared" si="444"/>
        <v>11933469.590470783</v>
      </c>
      <c r="HU85" s="558">
        <f t="shared" si="444"/>
        <v>21402219.005208258</v>
      </c>
      <c r="HV85" s="558">
        <f t="shared" si="444"/>
        <v>16235000</v>
      </c>
      <c r="HW85" s="558">
        <f t="shared" si="444"/>
        <v>3919370.5898645641</v>
      </c>
      <c r="HX85" s="558">
        <f t="shared" si="444"/>
        <v>18161270.751516331</v>
      </c>
      <c r="HY85" s="558">
        <f t="shared" si="444"/>
        <v>13682282.173444685</v>
      </c>
      <c r="HZ85" s="558">
        <f t="shared" si="444"/>
        <v>8152004.9776938297</v>
      </c>
      <c r="IA85" s="558">
        <f t="shared" si="444"/>
        <v>7301880</v>
      </c>
      <c r="IB85" s="558">
        <f t="shared" si="444"/>
        <v>7053113.9004964307</v>
      </c>
      <c r="IC85" s="558">
        <f t="shared" si="444"/>
        <v>10674008.544329325</v>
      </c>
      <c r="ID85" s="558">
        <f t="shared" si="444"/>
        <v>9245491.4556706771</v>
      </c>
      <c r="IE85" s="558">
        <f t="shared" si="444"/>
        <v>16339059.517665572</v>
      </c>
      <c r="IF85" s="558">
        <f t="shared" si="444"/>
        <v>9536477.0290661398</v>
      </c>
      <c r="IG85" s="558">
        <f t="shared" si="444"/>
        <v>2933375.6317034722</v>
      </c>
      <c r="IH85" s="558">
        <f t="shared" si="444"/>
        <v>2754925.3965619346</v>
      </c>
      <c r="II85" s="558">
        <f t="shared" si="444"/>
        <v>13600590.884602016</v>
      </c>
      <c r="IJ85" s="558">
        <f t="shared" si="444"/>
        <v>1498802.9614382302</v>
      </c>
      <c r="IK85" s="558">
        <f t="shared" si="444"/>
        <v>0</v>
      </c>
      <c r="IL85" s="558">
        <f t="shared" si="444"/>
        <v>7452880.700098794</v>
      </c>
      <c r="IM85" s="558">
        <f t="shared" si="444"/>
        <v>405690.41450255323</v>
      </c>
      <c r="IN85" s="558">
        <f t="shared" si="444"/>
        <v>7727035.4094753135</v>
      </c>
      <c r="IO85" s="558">
        <f t="shared" si="444"/>
        <v>2937234.2027475811</v>
      </c>
      <c r="IP85" s="558">
        <f t="shared" si="444"/>
        <v>15898527.177580558</v>
      </c>
      <c r="IQ85" s="558">
        <f t="shared" si="444"/>
        <v>15277805.971261885</v>
      </c>
      <c r="IR85" s="558">
        <f t="shared" si="444"/>
        <v>724453.92066790513</v>
      </c>
      <c r="IS85" s="558">
        <f t="shared" si="444"/>
        <v>39300970.247079559</v>
      </c>
      <c r="IT85" s="558">
        <f t="shared" si="444"/>
        <v>10200629.752920441</v>
      </c>
      <c r="IU85" s="558">
        <f t="shared" si="444"/>
        <v>2493818.6416824842</v>
      </c>
      <c r="IV85" s="558">
        <f t="shared" si="444"/>
        <v>6028974.6999564655</v>
      </c>
      <c r="IW85" s="558">
        <f t="shared" si="444"/>
        <v>9603217.8554380648</v>
      </c>
      <c r="IX85" s="558">
        <f t="shared" si="444"/>
        <v>1461297.0388339385</v>
      </c>
      <c r="IY85" s="558">
        <f t="shared" si="444"/>
        <v>9038417.5244776495</v>
      </c>
      <c r="IZ85" s="558">
        <f t="shared" si="444"/>
        <v>20084142.981107548</v>
      </c>
      <c r="JA85" s="558">
        <f t="shared" ref="JA85:JH85" si="445">IF(JA65-JA83&lt;0,0,(JA65-JA83))</f>
        <v>2265868.3397293384</v>
      </c>
      <c r="JB85" s="558">
        <f t="shared" si="445"/>
        <v>2813788.9601571974</v>
      </c>
      <c r="JC85" s="558">
        <f t="shared" si="445"/>
        <v>1445737.3693524669</v>
      </c>
      <c r="JD85" s="558">
        <f t="shared" si="445"/>
        <v>5734651.4754739245</v>
      </c>
      <c r="JE85" s="558">
        <f t="shared" si="445"/>
        <v>144589.10100252891</v>
      </c>
      <c r="JF85" s="558">
        <f t="shared" si="445"/>
        <v>32317210.898997471</v>
      </c>
      <c r="JG85" s="558">
        <f t="shared" si="445"/>
        <v>23398546.759965554</v>
      </c>
      <c r="JH85" s="558">
        <f t="shared" si="445"/>
        <v>1432360.5197921393</v>
      </c>
      <c r="JI85" s="558">
        <f t="shared" ref="JI85" si="446">SUM(C85:JH85)</f>
        <v>1070776037.9421675</v>
      </c>
    </row>
    <row r="87" spans="1:276" x14ac:dyDescent="0.25">
      <c r="B87" s="612" t="s">
        <v>2568</v>
      </c>
      <c r="C87" s="313" t="s">
        <v>2570</v>
      </c>
      <c r="D87" s="313" t="s">
        <v>2570</v>
      </c>
      <c r="E87" s="313" t="s">
        <v>2570</v>
      </c>
      <c r="Z87" s="313" t="s">
        <v>2570</v>
      </c>
      <c r="AI87" s="313" t="s">
        <v>2570</v>
      </c>
      <c r="AJ87" s="313" t="s">
        <v>2570</v>
      </c>
      <c r="AZ87" s="313" t="s">
        <v>2570</v>
      </c>
      <c r="BI87" s="313" t="s">
        <v>2570</v>
      </c>
      <c r="CV87" s="313" t="s">
        <v>2570</v>
      </c>
      <c r="DA87" s="313" t="s">
        <v>2570</v>
      </c>
      <c r="EU87" s="313" t="s">
        <v>2570</v>
      </c>
      <c r="EX87" s="313" t="s">
        <v>2570</v>
      </c>
      <c r="FG87" s="313" t="s">
        <v>2570</v>
      </c>
      <c r="FH87" s="313" t="s">
        <v>2570</v>
      </c>
      <c r="FI87" s="313" t="s">
        <v>2570</v>
      </c>
      <c r="FP87" s="313" t="s">
        <v>2570</v>
      </c>
      <c r="GB87" s="313" t="s">
        <v>2570</v>
      </c>
      <c r="GD87" s="313" t="s">
        <v>2570</v>
      </c>
      <c r="GI87" s="313" t="s">
        <v>2570</v>
      </c>
      <c r="GO87" s="313" t="s">
        <v>2570</v>
      </c>
      <c r="GV87" s="313" t="s">
        <v>2570</v>
      </c>
      <c r="GY87" s="313" t="s">
        <v>2570</v>
      </c>
      <c r="HC87" s="313" t="s">
        <v>2570</v>
      </c>
      <c r="HE87" s="313" t="s">
        <v>2570</v>
      </c>
      <c r="HL87" s="313" t="s">
        <v>2570</v>
      </c>
      <c r="HP87" s="313" t="s">
        <v>2570</v>
      </c>
      <c r="HR87" s="313" t="s">
        <v>2570</v>
      </c>
      <c r="HT87" s="313" t="s">
        <v>2570</v>
      </c>
      <c r="HU87" s="313" t="s">
        <v>2570</v>
      </c>
      <c r="HV87" s="313" t="s">
        <v>2570</v>
      </c>
      <c r="HW87" s="313" t="s">
        <v>2570</v>
      </c>
      <c r="HX87" s="313" t="s">
        <v>2570</v>
      </c>
      <c r="HY87" s="313" t="s">
        <v>2570</v>
      </c>
      <c r="HZ87" s="313" t="s">
        <v>2570</v>
      </c>
      <c r="IA87" s="313" t="s">
        <v>2570</v>
      </c>
      <c r="IB87" s="313" t="s">
        <v>2570</v>
      </c>
      <c r="IC87" s="313" t="s">
        <v>2570</v>
      </c>
      <c r="ID87" s="313" t="s">
        <v>2570</v>
      </c>
      <c r="IE87" s="313" t="s">
        <v>2570</v>
      </c>
      <c r="IF87" s="313" t="s">
        <v>2570</v>
      </c>
      <c r="IG87" s="313" t="s">
        <v>2570</v>
      </c>
      <c r="IH87" s="313" t="s">
        <v>2570</v>
      </c>
      <c r="II87" s="313" t="s">
        <v>2570</v>
      </c>
      <c r="IL87" s="313" t="s">
        <v>2570</v>
      </c>
      <c r="IN87" s="313" t="s">
        <v>2570</v>
      </c>
      <c r="IO87" s="313" t="s">
        <v>2570</v>
      </c>
      <c r="IP87" s="313" t="s">
        <v>2570</v>
      </c>
      <c r="IQ87" s="313" t="s">
        <v>2570</v>
      </c>
      <c r="IS87" s="313" t="s">
        <v>2570</v>
      </c>
      <c r="IT87" s="313" t="s">
        <v>2570</v>
      </c>
      <c r="IV87" s="313" t="s">
        <v>2570</v>
      </c>
      <c r="IW87" s="313" t="s">
        <v>2570</v>
      </c>
      <c r="IY87" s="313" t="s">
        <v>2570</v>
      </c>
      <c r="IZ87" s="313" t="s">
        <v>2570</v>
      </c>
      <c r="JF87" s="313" t="s">
        <v>2570</v>
      </c>
      <c r="JG87" s="313" t="s">
        <v>2570</v>
      </c>
      <c r="JL87" s="307">
        <f>SUMIFS($C87:$JH87,$C$5:$JH$5,JL$5)</f>
        <v>0</v>
      </c>
      <c r="JM87" s="307">
        <f>SUMIFS($C87:$JH87,$C$5:$JH$5,JM$5)</f>
        <v>0</v>
      </c>
      <c r="JN87" s="307">
        <f>SUMIFS($C87:$JH87,$C$5:$JH$5,JN$5)</f>
        <v>0</v>
      </c>
      <c r="JO87" s="307">
        <f>SUMIFS($C87:$JH87,$C$5:$JH$5,JO$5)</f>
        <v>0</v>
      </c>
      <c r="JP87" s="307">
        <f t="shared" ref="JP87:JP90" si="447">SUM(JL87:JO87)</f>
        <v>0</v>
      </c>
    </row>
    <row r="88" spans="1:276" x14ac:dyDescent="0.25">
      <c r="B88" s="313" t="s">
        <v>2569</v>
      </c>
      <c r="C88" s="314">
        <f>IFERROR(VLOOKUP(C$1,'Výpočet VP 2020'!$A$324:BK679,35,FALSE),0)</f>
        <v>24108439.683644075</v>
      </c>
      <c r="D88" s="314">
        <f>IFERROR(VLOOKUP(D$1,'Výpočet VP 2020'!$A$324:BL679,35,FALSE),0)</f>
        <v>19310263.850060016</v>
      </c>
      <c r="E88" s="314">
        <f>IFERROR(VLOOKUP(E$1,'Výpočet VP 2020'!$A$324:BM679,35,FALSE),0)</f>
        <v>27200695.868924551</v>
      </c>
      <c r="F88" s="314">
        <f>IFERROR(VLOOKUP(F$1,'Výpočet VP 2020'!$A$324:BN679,35,FALSE),0)</f>
        <v>4928647.8964884933</v>
      </c>
      <c r="G88" s="314">
        <f>IFERROR(VLOOKUP(G$1,'Výpočet VP 2020'!$A$324:BO679,35,FALSE),0)</f>
        <v>13898421.548607839</v>
      </c>
      <c r="H88" s="314">
        <f>IFERROR(VLOOKUP(H$1,'Výpočet VP 2020'!$A$324:BP679,35,FALSE),0)</f>
        <v>1265732.1198156357</v>
      </c>
      <c r="I88" s="314">
        <f>IFERROR(VLOOKUP(I$1,'Výpočet VP 2020'!$A$324:BQ679,35,FALSE),0)</f>
        <v>3505750.9805252724</v>
      </c>
      <c r="J88" s="314">
        <f>IFERROR(VLOOKUP(J$1,'Výpočet VP 2020'!$A$324:BR679,35,FALSE),0)</f>
        <v>2983617.8557661893</v>
      </c>
      <c r="K88" s="314">
        <f>IFERROR(VLOOKUP(K$1,'Výpočet VP 2020'!$A$324:BS679,35,FALSE),0)</f>
        <v>5924518.8128773188</v>
      </c>
      <c r="L88" s="314">
        <f>IFERROR(VLOOKUP(L$1,'Výpočet VP 2020'!$A$324:BT679,35,FALSE),0)</f>
        <v>4031705.8292569402</v>
      </c>
      <c r="M88" s="314">
        <f>IFERROR(VLOOKUP(M$1,'Výpočet VP 2020'!$A$324:BU679,35,FALSE),0)</f>
        <v>4984025.9627411719</v>
      </c>
      <c r="N88" s="314">
        <f>IFERROR(VLOOKUP(N$1,'Výpočet VP 2020'!$A$324:BV679,35,FALSE),0)</f>
        <v>5870446.3470803229</v>
      </c>
      <c r="O88" s="314">
        <f>IFERROR(VLOOKUP(O$1,'Výpočet VP 2020'!$A$324:BW679,35,FALSE),0)</f>
        <v>4508635.2104233941</v>
      </c>
      <c r="P88" s="314">
        <f>IFERROR(VLOOKUP(P$1,'Výpočet VP 2020'!$A$324:BX679,35,FALSE),0)</f>
        <v>2998026.0021816893</v>
      </c>
      <c r="Q88" s="314">
        <f>IFERROR(VLOOKUP(Q$1,'Výpočet VP 2020'!$A$324:BY679,35,FALSE),0)</f>
        <v>2005488.4791010155</v>
      </c>
      <c r="R88" s="314">
        <f>IFERROR(VLOOKUP(R$1,'Výpočet VP 2020'!$A$324:BZ679,35,FALSE),0)</f>
        <v>2451152.5855679074</v>
      </c>
      <c r="S88" s="314">
        <f>IFERROR(VLOOKUP(S$1,'Výpočet VP 2020'!$A$324:CA679,35,FALSE),0)</f>
        <v>1708379.0747897534</v>
      </c>
      <c r="T88" s="314">
        <f>IFERROR(VLOOKUP(T$1,'Výpočet VP 2020'!$A$324:CB679,35,FALSE),0)</f>
        <v>742773.51077815378</v>
      </c>
      <c r="U88" s="314">
        <f>IFERROR(VLOOKUP(U$1,'Výpočet VP 2020'!$A$324:CC679,35,FALSE),0)</f>
        <v>1114160.2661672307</v>
      </c>
      <c r="V88" s="314">
        <f>IFERROR(VLOOKUP(V$1,'Výpočet VP 2020'!$A$324:CD679,35,FALSE),0)</f>
        <v>19326966.06058719</v>
      </c>
      <c r="W88" s="314">
        <f>IFERROR(VLOOKUP(W$1,'Výpočet VP 2020'!$A$324:CE679,35,FALSE),0)</f>
        <v>4944383.7594929244</v>
      </c>
      <c r="X88" s="314">
        <f>IFERROR(VLOOKUP(X$1,'Výpočet VP 2020'!$A$324:CF679,35,FALSE),0)</f>
        <v>2505835.4104714063</v>
      </c>
      <c r="Y88" s="314">
        <f>IFERROR(VLOOKUP(Y$1,'Výpočet VP 2020'!$A$324:CG679,35,FALSE),0)</f>
        <v>2739503.5594187831</v>
      </c>
      <c r="Z88" s="314">
        <f>IFERROR(VLOOKUP(Z$1,'Výpočet VP 2020'!$A$324:CH679,35,FALSE),0)</f>
        <v>13286053.974797865</v>
      </c>
      <c r="AA88" s="314">
        <f>IFERROR(VLOOKUP(AA$1,'Výpočet VP 2020'!$A$324:CI679,35,FALSE),0)</f>
        <v>4313818.3267021552</v>
      </c>
      <c r="AB88" s="314">
        <f>IFERROR(VLOOKUP(AB$1,'Výpočet VP 2020'!$A$324:CJ679,35,FALSE),0)</f>
        <v>3959531.7370665981</v>
      </c>
      <c r="AC88" s="314">
        <f>IFERROR(VLOOKUP(AC$1,'Výpočet VP 2020'!$A$324:CK679,35,FALSE),0)</f>
        <v>0</v>
      </c>
      <c r="AD88" s="314">
        <f>IFERROR(VLOOKUP(AD$1,'Výpočet VP 2020'!$A$324:CK679,35,FALSE),0)</f>
        <v>2497904.6985613657</v>
      </c>
      <c r="AE88" s="314">
        <f>IFERROR(VLOOKUP(AE$1,'Výpočet VP 2020'!$A$324:CL679,35,FALSE),0)</f>
        <v>1222248.5258989439</v>
      </c>
      <c r="AF88" s="314">
        <f>IFERROR(VLOOKUP(AF$1,'Výpočet VP 2020'!$A$324:CM679,35,FALSE),0)</f>
        <v>3535587.1590829343</v>
      </c>
      <c r="AG88" s="314">
        <f>IFERROR(VLOOKUP(AG$1,'Výpočet VP 2020'!$A$324:CN679,35,FALSE),0)</f>
        <v>4343138.4405813916</v>
      </c>
      <c r="AH88" s="314">
        <f>IFERROR(VLOOKUP(AH$1,'Výpočet VP 2020'!$A$324:CO679,35,FALSE),0)</f>
        <v>1598253.5130672678</v>
      </c>
      <c r="AI88" s="314">
        <f>IFERROR(VLOOKUP(AI$1,'Výpočet VP 2020'!$A$324:CP679,35,FALSE),0)</f>
        <v>11723641.127106247</v>
      </c>
      <c r="AJ88" s="314">
        <f>IFERROR(VLOOKUP(AJ$1,'Výpočet VP 2020'!$A$324:CQ679,35,FALSE),0)</f>
        <v>6973979.374882319</v>
      </c>
      <c r="AK88" s="314">
        <f>IFERROR(VLOOKUP(AK$1,'Výpočet VP 2020'!$A$324:CR679,35,FALSE),0)</f>
        <v>1559824.3726341228</v>
      </c>
      <c r="AL88" s="314">
        <f>IFERROR(VLOOKUP(AL$1,'Výpočet VP 2020'!$A$324:CS679,35,FALSE),0)</f>
        <v>2156909.1633510776</v>
      </c>
      <c r="AM88" s="314">
        <f>IFERROR(VLOOKUP(AM$1,'Výpočet VP 2020'!$A$324:CT679,35,FALSE),0)</f>
        <v>1559824.3726341231</v>
      </c>
      <c r="AN88" s="314">
        <f>IFERROR(VLOOKUP(AN$1,'Výpočet VP 2020'!$A$324:CU679,35,FALSE),0)</f>
        <v>995316.50444272615</v>
      </c>
      <c r="AO88" s="314">
        <f>IFERROR(VLOOKUP(AO$1,'Výpočet VP 2020'!$A$324:CV679,35,FALSE),0)</f>
        <v>9086933.9721677359</v>
      </c>
      <c r="AP88" s="314">
        <f>IFERROR(VLOOKUP(AP$1,'Výpočet VP 2020'!$A$324:CW679,35,FALSE),0)</f>
        <v>2935037.5113920239</v>
      </c>
      <c r="AQ88" s="314">
        <f>IFERROR(VLOOKUP(AQ$1,'Výpočet VP 2020'!$A$324:CX679,35,FALSE),0)</f>
        <v>297109.40431126149</v>
      </c>
      <c r="AR88" s="314">
        <f>IFERROR(VLOOKUP(AR$1,'Výpočet VP 2020'!$A$324:CY679,35,FALSE),0)</f>
        <v>1671240.3992508459</v>
      </c>
      <c r="AS88" s="314">
        <f>IFERROR(VLOOKUP(AS$1,'Výpočet VP 2020'!$A$324:CZ679,35,FALSE),0)</f>
        <v>445664.10646689229</v>
      </c>
      <c r="AT88" s="314">
        <f>IFERROR(VLOOKUP(AT$1,'Výpočet VP 2020'!$A$324:DA679,35,FALSE),0)</f>
        <v>2602769.1138759456</v>
      </c>
      <c r="AU88" s="314">
        <f>IFERROR(VLOOKUP(AU$1,'Výpočet VP 2020'!$A$324:DB679,35,FALSE),0)</f>
        <v>1051886.2833224081</v>
      </c>
      <c r="AV88" s="314">
        <f>IFERROR(VLOOKUP(AV$1,'Výpočet VP 2020'!$A$324:DC679,35,FALSE),0)</f>
        <v>2120960.6772952261</v>
      </c>
      <c r="AW88" s="314">
        <f>IFERROR(VLOOKUP(AW$1,'Výpočet VP 2020'!$A$324:DD679,35,FALSE),0)</f>
        <v>3515922.5550434329</v>
      </c>
      <c r="AX88" s="314">
        <f>IFERROR(VLOOKUP(AX$1,'Výpočet VP 2020'!$A$324:DE679,35,FALSE),0)</f>
        <v>4468347.8682345999</v>
      </c>
      <c r="AY88" s="314">
        <f>IFERROR(VLOOKUP(AY$1,'Výpočet VP 2020'!$A$324:DF679,35,FALSE),0)</f>
        <v>3850857.528752787</v>
      </c>
      <c r="AZ88" s="314">
        <f>IFERROR(VLOOKUP(AZ$1,'Výpočet VP 2020'!$A$324:DG679,35,FALSE),0)</f>
        <v>4991888.7779548438</v>
      </c>
      <c r="BA88" s="314">
        <f>IFERROR(VLOOKUP(BA$1,'Výpočet VP 2020'!$A$324:DH679,35,FALSE),0)</f>
        <v>14287541.093191361</v>
      </c>
      <c r="BB88" s="314">
        <f>IFERROR(VLOOKUP(BB$1,'Výpočet VP 2020'!$A$324:DI679,35,FALSE),0)</f>
        <v>1411269.6704784923</v>
      </c>
      <c r="BC88" s="314">
        <f>IFERROR(VLOOKUP(BC$1,'Výpočet VP 2020'!$A$324:DJ679,35,FALSE),0)</f>
        <v>1360742.4938025323</v>
      </c>
      <c r="BD88" s="314">
        <f>IFERROR(VLOOKUP(BD$1,'Výpočet VP 2020'!$A$324:DK679,35,FALSE),0)</f>
        <v>2020343.9493165785</v>
      </c>
      <c r="BE88" s="314">
        <f>IFERROR(VLOOKUP(BE$1,'Výpočet VP 2020'!$A$324:DL679,35,FALSE),0)</f>
        <v>1305332.8118977079</v>
      </c>
      <c r="BF88" s="314">
        <f>IFERROR(VLOOKUP(BF$1,'Výpočet VP 2020'!$A$324:DM679,35,FALSE),0)</f>
        <v>3045371.3941904306</v>
      </c>
      <c r="BG88" s="314">
        <f>IFERROR(VLOOKUP(BG$1,'Výpočet VP 2020'!$A$324:DN679,35,FALSE),0)</f>
        <v>4025254.0656860587</v>
      </c>
      <c r="BH88" s="314">
        <f>IFERROR(VLOOKUP(BH$1,'Výpočet VP 2020'!$A$324:DO679,35,FALSE),0)</f>
        <v>3785109.2415605099</v>
      </c>
      <c r="BI88" s="314">
        <f>IFERROR(VLOOKUP(BI$1,'Výpočet VP 2020'!$A$324:DP679,35,FALSE),0)</f>
        <v>4527540.7129161982</v>
      </c>
      <c r="BJ88" s="314">
        <f>IFERROR(VLOOKUP(BJ$1,'Výpočet VP 2020'!$A$324:DQ679,35,FALSE),0)</f>
        <v>3474510.7524651131</v>
      </c>
      <c r="BK88" s="314">
        <f>IFERROR(VLOOKUP(BK$1,'Výpočet VP 2020'!$A$324:DR679,35,FALSE),0)</f>
        <v>1305332.8118977079</v>
      </c>
      <c r="BL88" s="314">
        <f>IFERROR(VLOOKUP(BL$1,'Výpočet VP 2020'!$A$324:DS679,35,FALSE),0)</f>
        <v>609158.7287794766</v>
      </c>
      <c r="BM88" s="314">
        <f>IFERROR(VLOOKUP(BM$1,'Výpočet VP 2020'!$A$324:DT679,35,FALSE),0)</f>
        <v>2386894.2846129518</v>
      </c>
      <c r="BN88" s="314">
        <f>IFERROR(VLOOKUP(BN$1,'Výpočet VP 2020'!$A$324:DU679,35,FALSE),0)</f>
        <v>1946066.5982387629</v>
      </c>
      <c r="BO88" s="314">
        <f>IFERROR(VLOOKUP(BO$1,'Výpočet VP 2020'!$A$324:DV679,35,FALSE),0)</f>
        <v>1115754.3738330903</v>
      </c>
      <c r="BP88" s="314">
        <f>IFERROR(VLOOKUP(BP$1,'Výpočet VP 2020'!$A$324:DW679,35,FALSE),0)</f>
        <v>6673232.1827065516</v>
      </c>
      <c r="BQ88" s="314">
        <f>IFERROR(VLOOKUP(BQ$1,'Výpočet VP 2020'!$A$324:DX679,35,FALSE),0)</f>
        <v>857790.13353277929</v>
      </c>
      <c r="BR88" s="314">
        <f>IFERROR(VLOOKUP(BR$1,'Výpočet VP 2020'!$A$324:DY679,35,FALSE),0)</f>
        <v>1002744.2395505077</v>
      </c>
      <c r="BS88" s="314">
        <f>IFERROR(VLOOKUP(BS$1,'Výpočet VP 2020'!$A$324:DZ679,35,FALSE),0)</f>
        <v>1336992.3194006768</v>
      </c>
      <c r="BT88" s="314">
        <f>IFERROR(VLOOKUP(BT$1,'Výpočet VP 2020'!$A$324:EA679,35,FALSE),0)</f>
        <v>1114160.2661672307</v>
      </c>
      <c r="BU88" s="314">
        <f>IFERROR(VLOOKUP(BU$1,'Výpočet VP 2020'!$A$324:EB679,35,FALSE),0)</f>
        <v>5521990.3030249123</v>
      </c>
      <c r="BV88" s="314">
        <f>IFERROR(VLOOKUP(BV$1,'Výpočet VP 2020'!$A$324:EC679,35,FALSE),0)</f>
        <v>1416162.3533424151</v>
      </c>
      <c r="BW88" s="314">
        <f>IFERROR(VLOOKUP(BW$1,'Výpočet VP 2020'!$A$324:ED679,35,FALSE),0)</f>
        <v>297109.40431126149</v>
      </c>
      <c r="BX88" s="314">
        <f>IFERROR(VLOOKUP(BX$1,'Výpočet VP 2020'!$A$324:EE679,35,FALSE),0)</f>
        <v>6359595.5737084672</v>
      </c>
      <c r="BY88" s="314">
        <f>IFERROR(VLOOKUP(BY$1,'Výpočet VP 2020'!$A$324:EF679,35,FALSE),0)</f>
        <v>2481793.3946179384</v>
      </c>
      <c r="BZ88" s="314">
        <f>IFERROR(VLOOKUP(BZ$1,'Výpočet VP 2020'!$A$324:EG679,35,FALSE),0)</f>
        <v>283310.58688766911</v>
      </c>
      <c r="CA88" s="314">
        <f>IFERROR(VLOOKUP(CA$1,'Výpočet VP 2020'!$A$324:EH679,35,FALSE),0)</f>
        <v>0</v>
      </c>
      <c r="CB88" s="314">
        <f>IFERROR(VLOOKUP(CB$1,'Výpočet VP 2020'!$A$324:EI679,35,FALSE),0)</f>
        <v>352668.13205666648</v>
      </c>
      <c r="CC88" s="314">
        <f>IFERROR(VLOOKUP(CC$1,'Výpočet VP 2020'!$A$324:EJ679,35,FALSE),0)</f>
        <v>2414013.9100289997</v>
      </c>
      <c r="CD88" s="314">
        <f>IFERROR(VLOOKUP(CD$1,'Výpočet VP 2020'!$A$324:EK679,35,FALSE),0)</f>
        <v>742773.51077815378</v>
      </c>
      <c r="CE88" s="314">
        <f>IFERROR(VLOOKUP(CE$1,'Výpočet VP 2020'!$A$324:EL679,35,FALSE),0)</f>
        <v>17620733.101787359</v>
      </c>
      <c r="CF88" s="314">
        <f>IFERROR(VLOOKUP(CF$1,'Výpočet VP 2020'!$A$324:EM679,35,FALSE),0)</f>
        <v>4820517.8393289512</v>
      </c>
      <c r="CG88" s="314">
        <f>IFERROR(VLOOKUP(CG$1,'Výpočet VP 2020'!$A$324:EN679,35,FALSE),0)</f>
        <v>12053628.962737113</v>
      </c>
      <c r="CH88" s="314">
        <f>IFERROR(VLOOKUP(CH$1,'Výpočet VP 2020'!$A$324:EO679,35,FALSE),0)</f>
        <v>5262027.6099042622</v>
      </c>
      <c r="CI88" s="314">
        <f>IFERROR(VLOOKUP(CI$1,'Výpočet VP 2020'!$A$324:EP679,35,FALSE),0)</f>
        <v>3518851.9671994289</v>
      </c>
      <c r="CJ88" s="314">
        <f>IFERROR(VLOOKUP(CJ$1,'Výpočet VP 2020'!$A$324:EQ679,35,FALSE),0)</f>
        <v>4666195.0818283353</v>
      </c>
      <c r="CK88" s="314">
        <f>IFERROR(VLOOKUP(CK$1,'Výpočet VP 2020'!$A$324:ER679,35,FALSE),0)</f>
        <v>5802365.2291703308</v>
      </c>
      <c r="CL88" s="314">
        <f>IFERROR(VLOOKUP(CL$1,'Výpočet VP 2020'!$A$324:ES679,35,FALSE),0)</f>
        <v>3132798.7485544984</v>
      </c>
      <c r="CM88" s="314">
        <f>IFERROR(VLOOKUP(CM$1,'Výpočet VP 2020'!$A$324:ET679,35,FALSE),0)</f>
        <v>8686276.881162785</v>
      </c>
      <c r="CN88" s="314">
        <f>IFERROR(VLOOKUP(CN$1,'Výpočet VP 2020'!$A$324:EU679,35,FALSE),0)</f>
        <v>1314857.8541530101</v>
      </c>
      <c r="CO88" s="314">
        <f>IFERROR(VLOOKUP(CO$1,'Výpočet VP 2020'!$A$324:EV679,35,FALSE),0)</f>
        <v>1314857.8541530101</v>
      </c>
      <c r="CP88" s="314">
        <f>IFERROR(VLOOKUP(CP$1,'Výpočet VP 2020'!$A$324:EW679,35,FALSE),0)</f>
        <v>1314857.8541530101</v>
      </c>
      <c r="CQ88" s="314">
        <f>IFERROR(VLOOKUP(CQ$1,'Výpočet VP 2020'!$A$324:EX679,35,FALSE),0)</f>
        <v>6255036.573718125</v>
      </c>
      <c r="CR88" s="314">
        <f>IFERROR(VLOOKUP(CR$1,'Výpočet VP 2020'!$A$324:EY679,35,FALSE),0)</f>
        <v>3102241.7432724228</v>
      </c>
      <c r="CS88" s="314">
        <f>IFERROR(VLOOKUP(CS$1,'Výpočet VP 2020'!$A$324:EZ679,35,FALSE),0)</f>
        <v>4506640.0862182556</v>
      </c>
      <c r="CT88" s="314">
        <f>IFERROR(VLOOKUP(CT$1,'Výpočet VP 2020'!$A$324:FA679,35,FALSE),0)</f>
        <v>6460129.0433408245</v>
      </c>
      <c r="CU88" s="314">
        <f>IFERROR(VLOOKUP(CU$1,'Výpočet VP 2020'!$A$324:FB679,35,FALSE),0)</f>
        <v>2481793.3946179384</v>
      </c>
      <c r="CV88" s="314">
        <f>IFERROR(VLOOKUP(CV$1,'Výpočet VP 2020'!$A$324:FC679,35,FALSE),0)</f>
        <v>12304928.617916282</v>
      </c>
      <c r="CW88" s="314">
        <f>IFERROR(VLOOKUP(CW$1,'Výpočet VP 2020'!$A$324:FD679,35,FALSE),0)</f>
        <v>445664.10646689229</v>
      </c>
      <c r="CX88" s="314">
        <f>IFERROR(VLOOKUP(CX$1,'Výpočet VP 2020'!$A$324:FE679,35,FALSE),0)</f>
        <v>6230032.4534264645</v>
      </c>
      <c r="CY88" s="314">
        <f>IFERROR(VLOOKUP(CY$1,'Výpočet VP 2020'!$A$324:FF679,35,FALSE),0)</f>
        <v>4032914.2662541498</v>
      </c>
      <c r="CZ88" s="314">
        <f>IFERROR(VLOOKUP(CZ$1,'Výpočet VP 2020'!$A$324:FG679,35,FALSE),0)</f>
        <v>1617681.872513308</v>
      </c>
      <c r="DA88" s="314">
        <f>IFERROR(VLOOKUP(DA$1,'Výpočet VP 2020'!$A$324:FH679,35,FALSE),0)</f>
        <v>12508980.609974787</v>
      </c>
      <c r="DB88" s="314">
        <f>IFERROR(VLOOKUP(DB$1,'Výpočet VP 2020'!$A$324:FI679,35,FALSE),0)</f>
        <v>854189.53739487671</v>
      </c>
      <c r="DC88" s="314">
        <f>IFERROR(VLOOKUP(DC$1,'Výpočet VP 2020'!$A$324:FJ679,35,FALSE),0)</f>
        <v>1972286.7812295151</v>
      </c>
      <c r="DD88" s="314">
        <f>IFERROR(VLOOKUP(DD$1,'Výpočet VP 2020'!$A$324:FK679,35,FALSE),0)</f>
        <v>5594283.4795616046</v>
      </c>
      <c r="DE88" s="314">
        <f>IFERROR(VLOOKUP(DE$1,'Výpočet VP 2020'!$A$324:FL679,35,FALSE),0)</f>
        <v>7831996.8713862468</v>
      </c>
      <c r="DF88" s="314">
        <f>IFERROR(VLOOKUP(DF$1,'Výpočet VP 2020'!$A$324:FM679,35,FALSE),0)</f>
        <v>7831996.8713862468</v>
      </c>
      <c r="DG88" s="314">
        <f>IFERROR(VLOOKUP(DG$1,'Výpočet VP 2020'!$A$324:FN679,35,FALSE),0)</f>
        <v>854189.53739487671</v>
      </c>
      <c r="DH88" s="314">
        <f>IFERROR(VLOOKUP(DH$1,'Výpočet VP 2020'!$A$324:FO679,35,FALSE),0)</f>
        <v>2810797.9743335126</v>
      </c>
      <c r="DI88" s="314">
        <f>IFERROR(VLOOKUP(DI$1,'Výpočet VP 2020'!$A$324:FP679,35,FALSE),0)</f>
        <v>1139158.9078340724</v>
      </c>
      <c r="DJ88" s="314">
        <f>IFERROR(VLOOKUP(DJ$1,'Výpočet VP 2020'!$A$324:FQ679,35,FALSE),0)</f>
        <v>2237713.3918246417</v>
      </c>
      <c r="DK88" s="314">
        <f>IFERROR(VLOOKUP(DK$1,'Výpočet VP 2020'!$A$324:FR679,35,FALSE),0)</f>
        <v>2610665.6237954157</v>
      </c>
      <c r="DL88" s="314">
        <f>IFERROR(VLOOKUP(DL$1,'Výpočet VP 2020'!$A$324:FS679,35,FALSE),0)</f>
        <v>5584035.1378903612</v>
      </c>
      <c r="DM88" s="314">
        <f>IFERROR(VLOOKUP(DM$1,'Výpočet VP 2020'!$A$324:FT679,35,FALSE),0)</f>
        <v>3045793.643897383</v>
      </c>
      <c r="DN88" s="314">
        <f>IFERROR(VLOOKUP(DN$1,'Výpočet VP 2020'!$A$324:FU679,35,FALSE),0)</f>
        <v>3944573.5624590302</v>
      </c>
      <c r="DO88" s="314">
        <f>IFERROR(VLOOKUP(DO$1,'Výpočet VP 2020'!$A$324:FV679,35,FALSE),0)</f>
        <v>1491808.9278830946</v>
      </c>
      <c r="DP88" s="314">
        <f>IFERROR(VLOOKUP(DP$1,'Výpočet VP 2020'!$A$324:FW679,35,FALSE),0)</f>
        <v>4273288.0259972829</v>
      </c>
      <c r="DQ88" s="314">
        <f>IFERROR(VLOOKUP(DQ$1,'Výpočet VP 2020'!$A$324:FX679,35,FALSE),0)</f>
        <v>4709251.6733165188</v>
      </c>
      <c r="DR88" s="314">
        <f>IFERROR(VLOOKUP(DR$1,'Výpočet VP 2020'!$A$324:FY679,35,FALSE),0)</f>
        <v>5392272.908377694</v>
      </c>
      <c r="DS88" s="314">
        <f>IFERROR(VLOOKUP(DS$1,'Výpočet VP 2020'!$A$324:FZ679,35,FALSE),0)</f>
        <v>2026359.3565512258</v>
      </c>
      <c r="DT88" s="314">
        <f>IFERROR(VLOOKUP(DT$1,'Výpočet VP 2020'!$A$324:GA679,35,FALSE),0)</f>
        <v>6495141.4671929013</v>
      </c>
      <c r="DU88" s="314">
        <f>IFERROR(VLOOKUP(DU$1,'Výpočet VP 2020'!$A$324:GB679,35,FALSE),0)</f>
        <v>2645456.9170197765</v>
      </c>
      <c r="DV88" s="314">
        <f>IFERROR(VLOOKUP(DV$1,'Výpočet VP 2020'!$A$324:GC679,35,FALSE),0)</f>
        <v>9426338.0732647777</v>
      </c>
      <c r="DW88" s="314">
        <f>IFERROR(VLOOKUP(DW$1,'Výpočet VP 2020'!$A$324:GD679,35,FALSE),0)</f>
        <v>1406369.022017373</v>
      </c>
      <c r="DX88" s="314">
        <f>IFERROR(VLOOKUP(DX$1,'Výpočet VP 2020'!$A$324:GE679,35,FALSE),0)</f>
        <v>4475426.7836492835</v>
      </c>
      <c r="DY88" s="314">
        <f>IFERROR(VLOOKUP(DY$1,'Výpočet VP 2020'!$A$324:GF679,35,FALSE),0)</f>
        <v>5980831.1552894069</v>
      </c>
      <c r="DZ88" s="314">
        <f>IFERROR(VLOOKUP(DZ$1,'Výpočet VP 2020'!$A$324:GG679,35,FALSE),0)</f>
        <v>974103.90738754079</v>
      </c>
      <c r="EA88" s="314">
        <f>IFERROR(VLOOKUP(EA$1,'Výpočet VP 2020'!$A$324:GH679,35,FALSE),0)</f>
        <v>4430245.3002143754</v>
      </c>
      <c r="EB88" s="314">
        <f>IFERROR(VLOOKUP(EB$1,'Výpočet VP 2020'!$A$324:GI679,35,FALSE),0)</f>
        <v>7476038.9441117588</v>
      </c>
      <c r="EC88" s="314">
        <f>IFERROR(VLOOKUP(EC$1,'Výpočet VP 2020'!$A$324:GJ679,35,FALSE),0)</f>
        <v>4420118.6039673649</v>
      </c>
      <c r="ED88" s="314">
        <f>IFERROR(VLOOKUP(ED$1,'Výpočet VP 2020'!$A$324:GK679,35,FALSE),0)</f>
        <v>4658289.8122421829</v>
      </c>
      <c r="EE88" s="314">
        <f>IFERROR(VLOOKUP(EE$1,'Výpočet VP 2020'!$A$324:GL679,35,FALSE),0)</f>
        <v>854189.53739487671</v>
      </c>
      <c r="EF88" s="314">
        <f>IFERROR(VLOOKUP(EF$1,'Výpočet VP 2020'!$A$324:GM679,35,FALSE),0)</f>
        <v>928466.88847269223</v>
      </c>
      <c r="EG88" s="314">
        <f>IFERROR(VLOOKUP(EG$1,'Výpočet VP 2020'!$A$324:GN679,35,FALSE),0)</f>
        <v>445664.10646689229</v>
      </c>
      <c r="EH88" s="314">
        <f>IFERROR(VLOOKUP(EH$1,'Výpočet VP 2020'!$A$324:GO679,35,FALSE),0)</f>
        <v>864021.07812823995</v>
      </c>
      <c r="EI88" s="314">
        <f>IFERROR(VLOOKUP(EI$1,'Výpočet VP 2020'!$A$324:GP679,35,FALSE),0)</f>
        <v>1311636.3759544892</v>
      </c>
      <c r="EJ88" s="314">
        <f>IFERROR(VLOOKUP(EJ$1,'Výpočet VP 2020'!$A$324:GQ679,35,FALSE),0)</f>
        <v>1193447.1423064759</v>
      </c>
      <c r="EK88" s="314">
        <f>IFERROR(VLOOKUP(EK$1,'Výpočet VP 2020'!$A$324:GR679,35,FALSE),0)</f>
        <v>4756975.8911051853</v>
      </c>
      <c r="EL88" s="314">
        <f>IFERROR(VLOOKUP(EL$1,'Výpočet VP 2020'!$A$324:GS679,35,FALSE),0)</f>
        <v>14310436.990353666</v>
      </c>
      <c r="EM88" s="314">
        <f>IFERROR(VLOOKUP(EM$1,'Výpočet VP 2020'!$A$324:GT679,35,FALSE),0)</f>
        <v>4305251.9510923605</v>
      </c>
      <c r="EN88" s="314">
        <f>IFERROR(VLOOKUP(EN$1,'Výpočet VP 2020'!$A$324:GU679,35,FALSE),0)</f>
        <v>2516394.0239095907</v>
      </c>
      <c r="EO88" s="314">
        <f>IFERROR(VLOOKUP(EO$1,'Výpočet VP 2020'!$A$324:GV679,35,FALSE),0)</f>
        <v>297109.40431126149</v>
      </c>
      <c r="EP88" s="314">
        <f>IFERROR(VLOOKUP(EP$1,'Výpočet VP 2020'!$A$324:GW679,35,FALSE),0)</f>
        <v>3824912.0974479797</v>
      </c>
      <c r="EQ88" s="314">
        <f>IFERROR(VLOOKUP(EQ$1,'Výpočet VP 2020'!$A$324:GX679,35,FALSE),0)</f>
        <v>1864761.1598538682</v>
      </c>
      <c r="ER88" s="314">
        <f>IFERROR(VLOOKUP(ER$1,'Výpočet VP 2020'!$A$324:GY679,35,FALSE),0)</f>
        <v>16131657.065016599</v>
      </c>
      <c r="ES88" s="314">
        <f>IFERROR(VLOOKUP(ES$1,'Výpočet VP 2020'!$A$324:GZ679,35,FALSE),0)</f>
        <v>5047401.7716566315</v>
      </c>
      <c r="ET88" s="314">
        <f>IFERROR(VLOOKUP(ET$1,'Výpočet VP 2020'!$A$324:HE679,35,FALSE),0)</f>
        <v>1326574.4562129776</v>
      </c>
      <c r="EU88" s="314">
        <f>IFERROR(VLOOKUP(EU$1,'Výpočet VP 2020'!$A$324:HF679,35,FALSE),0)</f>
        <v>3478487.247769753</v>
      </c>
      <c r="EV88" s="314">
        <f>IFERROR(VLOOKUP(EV$1,'Výpočet VP 2020'!$A$324:HA679,35,FALSE),0)</f>
        <v>742773.51077815378</v>
      </c>
      <c r="EW88" s="314">
        <f>IFERROR(VLOOKUP(EW$1,'Výpočet VP 2020'!$A$324:HB679,35,FALSE),0)</f>
        <v>5584035.1378903612</v>
      </c>
      <c r="EX88" s="314">
        <f>IFERROR(VLOOKUP(EX$1,'Výpočet VP 2020'!$A$324:HC679,35,FALSE),0)</f>
        <v>23912734.310631018</v>
      </c>
      <c r="EY88" s="314">
        <f>IFERROR(VLOOKUP(EY$1,'Výpočet VP 2020'!$A$324:HD679,35,FALSE),0)</f>
        <v>3235363.7450266159</v>
      </c>
      <c r="EZ88" s="314">
        <f>IFERROR(VLOOKUP(EZ$1,'Výpočet VP 2020'!$A$324:HQ679,35,FALSE),0)</f>
        <v>1458053.6193380388</v>
      </c>
      <c r="FA88" s="314">
        <f>IFERROR(VLOOKUP(FA$1,'Výpočet VP 2020'!$A$324:HR679,35,FALSE),0)</f>
        <v>3226331.4130033199</v>
      </c>
      <c r="FB88" s="314">
        <f>IFERROR(VLOOKUP(FB$1,'Výpočet VP 2020'!$A$324:JC679,35,FALSE),0)</f>
        <v>335042.10827342165</v>
      </c>
      <c r="FC88" s="314">
        <f>IFERROR(VLOOKUP(FC$1,'Výpočet VP 2020'!$A$324:IU679,35,FALSE),0)</f>
        <v>10162943.950960457</v>
      </c>
      <c r="FD88" s="314">
        <f>IFERROR(VLOOKUP(FD$1,'Výpočet VP 2020'!$A$324:IV679,35,FALSE),0)</f>
        <v>1914142.2168477664</v>
      </c>
      <c r="FE88" s="314">
        <f>IFERROR(VLOOKUP(FE$1,'Výpočet VP 2020'!$A$324:IW679,35,FALSE),0)</f>
        <v>862384.58884631132</v>
      </c>
      <c r="FF88" s="314">
        <f>IFERROR(VLOOKUP(FF$1,'Výpočet VP 2020'!$A$324:JD679,35,FALSE),0)</f>
        <v>4032914.2662541498</v>
      </c>
      <c r="FG88" s="314">
        <f>IFERROR(VLOOKUP(FG$1,'Výpočet VP 2020'!$A$324:JE679,35,FALSE),0)</f>
        <v>26393893.509623095</v>
      </c>
      <c r="FH88" s="314">
        <f>IFERROR(VLOOKUP(FH$1,'Výpočet VP 2020'!$A$324:JF679,35,FALSE),0)</f>
        <v>25320599.380801447</v>
      </c>
      <c r="FI88" s="314">
        <f>IFERROR(VLOOKUP(FI$1,'Výpočet VP 2020'!$A$324:HH679,35,FALSE),0)</f>
        <v>30076342.391255252</v>
      </c>
      <c r="FJ88" s="314">
        <f>IFERROR(VLOOKUP(FJ$1,'Výpočet VP 2020'!$A$324:HS679,35,FALSE),0)</f>
        <v>4963586.7892358769</v>
      </c>
      <c r="FK88" s="314">
        <f>IFERROR(VLOOKUP(FK$1,'Výpočet VP 2020'!$A$324:JO679,35,FALSE),0)</f>
        <v>1240896.6973089692</v>
      </c>
      <c r="FL88" s="314">
        <f>IFERROR(VLOOKUP(FL$1,'Výpočet VP 2020'!$A$324:JP679,35,FALSE),0)</f>
        <v>1430814.7840607695</v>
      </c>
      <c r="FM88" s="314">
        <f>IFERROR(VLOOKUP(FM$1,'Výpočet VP 2020'!$A$324:HT679,35,FALSE),0)</f>
        <v>7135156.0095265722</v>
      </c>
      <c r="FN88" s="314">
        <f>IFERROR(VLOOKUP(FN$1,'Výpočet VP 2020'!$A$324:JG679,35,FALSE),0)</f>
        <v>10138126.017014278</v>
      </c>
      <c r="FO88" s="314">
        <f>IFERROR(VLOOKUP(FO$1,'Výpočet VP 2020'!$A$324:JH679,35,FALSE),0)</f>
        <v>3806404.4394766116</v>
      </c>
      <c r="FP88" s="314">
        <f>IFERROR(VLOOKUP(FP$1,'Výpočet VP 2020'!$A$324:JI679,35,FALSE),0)</f>
        <v>35865206.076544233</v>
      </c>
      <c r="FQ88" s="314">
        <f>IFERROR(VLOOKUP(FQ$1,'Výpočet VP 2020'!$A$324:JJ679,35,FALSE),0)</f>
        <v>3400427.5978508648</v>
      </c>
      <c r="FR88" s="314">
        <f>IFERROR(VLOOKUP(FR$1,'Výpočet VP 2020'!$A$324:JK679,35,FALSE),0)</f>
        <v>4165494.9229431539</v>
      </c>
      <c r="FS88" s="314">
        <f>IFERROR(VLOOKUP(FS$1,'Výpočet VP 2020'!$A$324:JL679,35,FALSE),0)</f>
        <v>1017465.3697298552</v>
      </c>
      <c r="FT88" s="314">
        <f>IFERROR(VLOOKUP(FT$1,'Výpočet VP 2020'!$A$324:HU679,35,FALSE),0)</f>
        <v>7259245.6792574693</v>
      </c>
      <c r="FU88" s="314">
        <f>IFERROR(VLOOKUP(FU$1,'Výpočet VP 2020'!$A$324:HV679,35,FALSE),0)</f>
        <v>953646.66849283664</v>
      </c>
      <c r="FV88" s="314">
        <f>IFERROR(VLOOKUP(FV$1,'Výpočet VP 2020'!$A$324:IT679,35,FALSE),0)</f>
        <v>2385003.4522278383</v>
      </c>
      <c r="FW88" s="314">
        <f>IFERROR(VLOOKUP(FW$1,'Výpočet VP 2020'!$A$324:HW679,35,FALSE),0)</f>
        <v>3040196.9084069747</v>
      </c>
      <c r="FX88" s="314">
        <f>IFERROR(VLOOKUP(FX$1,'Výpočet VP 2020'!$A$324:HX679,35,FALSE),0)</f>
        <v>1302941.5321744177</v>
      </c>
      <c r="FY88" s="314">
        <f>IFERROR(VLOOKUP(FY$1,'Výpočet VP 2020'!$A$324:HY679,35,FALSE),0)</f>
        <v>744538.01838538144</v>
      </c>
      <c r="FZ88" s="314">
        <f>IFERROR(VLOOKUP(FZ$1,'Výpočet VP 2020'!$A$324:IK679,35,FALSE),0)</f>
        <v>9927173.5784717537</v>
      </c>
      <c r="GA88" s="314">
        <f>IFERROR(VLOOKUP(GA$1,'Výpočet VP 2020'!$A$324:IL679,35,FALSE),0)</f>
        <v>1470858.1178828699</v>
      </c>
      <c r="GB88" s="314">
        <f>IFERROR(VLOOKUP(GB$1,'Výpočet VP 2020'!$A$324:IM679,35,FALSE),0)</f>
        <v>22698933.59336599</v>
      </c>
      <c r="GC88" s="314">
        <f>IFERROR(VLOOKUP(GC$1,'Výpočet VP 2020'!$A$324:JQ679,35,FALSE),0)</f>
        <v>4963586.7892358769</v>
      </c>
      <c r="GD88" s="314">
        <f>IFERROR(VLOOKUP(GD$1,'Výpočet VP 2020'!$A$324:JR679,35,FALSE),0)</f>
        <v>32298740.797580589</v>
      </c>
      <c r="GE88" s="314">
        <f>IFERROR(VLOOKUP(GE$1,'Výpočet VP 2020'!$A$324:HZ679,35,FALSE),0)</f>
        <v>2386894.2846129518</v>
      </c>
      <c r="GF88" s="314">
        <f>IFERROR(VLOOKUP(GF$1,'Výpočet VP 2020'!$A$324:IN679,35,FALSE),0)</f>
        <v>6607774.9131702604</v>
      </c>
      <c r="GG88" s="314">
        <f>IFERROR(VLOOKUP(GG$1,'Výpočet VP 2020'!$A$324:IO679,35,FALSE),0)</f>
        <v>2412810.8533534072</v>
      </c>
      <c r="GH88" s="314">
        <f>IFERROR(VLOOKUP(GH$1,'Výpočet VP 2020'!$A$324:IP679,35,FALSE),0)</f>
        <v>1734759.4912772286</v>
      </c>
      <c r="GI88" s="314">
        <f>IFERROR(VLOOKUP(GI$1,'Výpočet VP 2020'!$A$324:IQ679,35,FALSE),0)</f>
        <v>26898845.321518045</v>
      </c>
      <c r="GJ88" s="314">
        <f>IFERROR(VLOOKUP(GJ$1,'Výpočet VP 2020'!$A$324:HJ679,35,FALSE),0)</f>
        <v>4640953.6479355451</v>
      </c>
      <c r="GK88" s="314">
        <f>IFERROR(VLOOKUP(GK$1,'Výpočet VP 2020'!$A$324:HK679,35,FALSE),0)</f>
        <v>4666586.3538562711</v>
      </c>
      <c r="GL88" s="314">
        <f>IFERROR(VLOOKUP(GL$1,'Výpočet VP 2020'!$A$324:HL679,35,FALSE),0)</f>
        <v>1500042.653704515</v>
      </c>
      <c r="GM88" s="314">
        <f>IFERROR(VLOOKUP(GM$1,'Výpočet VP 2020'!$A$324:HM679,35,FALSE),0)</f>
        <v>1544957.978629787</v>
      </c>
      <c r="GN88" s="314">
        <f>IFERROR(VLOOKUP(GN$1,'Výpočet VP 2020'!$A$324:IA679,35,FALSE),0)</f>
        <v>1437939.4422340516</v>
      </c>
      <c r="GO88" s="314">
        <f>IFERROR(VLOOKUP(GO$1,'Výpočet VP 2020'!$A$324:JM679,35,FALSE),0)</f>
        <v>18829177.495732103</v>
      </c>
      <c r="GP88" s="314">
        <f>IFERROR(VLOOKUP(GP$1,'Výpočet VP 2020'!$A$324:IR679,35,FALSE),0)</f>
        <v>1706232.9587998325</v>
      </c>
      <c r="GQ88" s="314">
        <f>IFERROR(VLOOKUP(GQ$1,'Výpočet VP 2020'!$A$324:IB679,35,FALSE),0)</f>
        <v>3412465.917599665</v>
      </c>
      <c r="GR88" s="314">
        <f>IFERROR(VLOOKUP(GR$1,'Výpočet VP 2020'!$A$324:IC679,35,FALSE),0)</f>
        <v>1991639.1991808952</v>
      </c>
      <c r="GS88" s="314">
        <f>IFERROR(VLOOKUP(GS$1,'Výpočet VP 2020'!$A$324:ID679,35,FALSE),0)</f>
        <v>1240896.6973089692</v>
      </c>
      <c r="GT88" s="314">
        <f>IFERROR(VLOOKUP(GT$1,'Výpočet VP 2020'!$A$324:IZ679,35,FALSE),0)</f>
        <v>18768562.546798158</v>
      </c>
      <c r="GU88" s="314">
        <f>IFERROR(VLOOKUP(GU$1,'Výpočet VP 2020'!$A$324:JA679,35,FALSE),0)</f>
        <v>2608922.9327927795</v>
      </c>
      <c r="GV88" s="314">
        <f>IFERROR(VLOOKUP(GV$1,'Výpočet VP 2020'!$A$324:JB679,35,FALSE),0)</f>
        <v>16392406.930701531</v>
      </c>
      <c r="GW88" s="314">
        <f>IFERROR(VLOOKUP(GW$1,'Výpočet VP 2020'!$A$324:HN679,35,FALSE),0)</f>
        <v>2792017.5689451806</v>
      </c>
      <c r="GX88" s="314">
        <f>IFERROR(VLOOKUP(GX$1,'Výpočet VP 2020'!$A$324:IE679,35,FALSE),0)</f>
        <v>1054762.1927126236</v>
      </c>
      <c r="GY88" s="314">
        <f>IFERROR(VLOOKUP(GY$1,'Výpočet VP 2020'!$A$324:HI679,35,FALSE),0)</f>
        <v>68152379.240539506</v>
      </c>
      <c r="GZ88" s="314">
        <f>IFERROR(VLOOKUP(GZ$1,'Výpočet VP 2020'!$A$324:IS679,35,FALSE),0)</f>
        <v>4743528.0360301649</v>
      </c>
      <c r="HA88" s="314">
        <f>IFERROR(VLOOKUP(HA$1,'Výpočet VP 2020'!$A$324:IX679,35,FALSE),0)</f>
        <v>14890760.367707631</v>
      </c>
      <c r="HB88" s="314">
        <f>IFERROR(VLOOKUP(HB$1,'Výpočet VP 2020'!$A$324:JN679,35,FALSE),0)</f>
        <v>12210902.301630028</v>
      </c>
      <c r="HC88" s="314">
        <f>IFERROR(VLOOKUP(HC$1,'Výpočet VP 2020'!$A$324:HG679,35,FALSE),0)</f>
        <v>29214216.123793915</v>
      </c>
      <c r="HD88" s="314">
        <f>IFERROR(VLOOKUP(HD$1,'Výpočet VP 2020'!$A$324:HO679,35,FALSE),0)</f>
        <v>4963586.7892358769</v>
      </c>
      <c r="HE88" s="314">
        <f>IFERROR(VLOOKUP(HE$1,'Výpočet VP 2020'!$A$324:HP679,35,FALSE),0)</f>
        <v>22927478.619206555</v>
      </c>
      <c r="HF88" s="314">
        <f>IFERROR(VLOOKUP(HF$1,'Výpočet VP 2020'!$A$324:IF679,35,FALSE),0)</f>
        <v>3536555.5873305621</v>
      </c>
      <c r="HG88" s="314">
        <f>IFERROR(VLOOKUP(HG$1,'Výpočet VP 2020'!$A$324:IG679,35,FALSE),0)</f>
        <v>1809578.4877398005</v>
      </c>
      <c r="HH88" s="314">
        <f>IFERROR(VLOOKUP(HH$1,'Výpočet VP 2020'!$A$324:IH679,35,FALSE),0)</f>
        <v>4343138.4405813916</v>
      </c>
      <c r="HI88" s="314">
        <f>IFERROR(VLOOKUP(HI$1,'Výpočet VP 2020'!$A$324:II679,35,FALSE),0)</f>
        <v>6204483.4865448456</v>
      </c>
      <c r="HJ88" s="314">
        <f>IFERROR(VLOOKUP(HJ$1,'Výpočet VP 2020'!$A$324:IJ679,35,FALSE),0)</f>
        <v>1491808.9278830946</v>
      </c>
      <c r="HK88" s="314">
        <f>IFERROR(VLOOKUP(HK$1,'Výpočet VP 2020'!$A$324:IY679,35,FALSE),0)</f>
        <v>1613165.7065016599</v>
      </c>
      <c r="HL88" s="314">
        <f>IFERROR(VLOOKUP(HL$1,'Výpočet VP 2020'!$A$324:JS679,35,FALSE),0)</f>
        <v>56130524.056847081</v>
      </c>
      <c r="HM88" s="314">
        <f>IFERROR(VLOOKUP(HM$1,'Výpočet VP 2020'!$A$324:JT679,35,FALSE),0)</f>
        <v>30182905.047021784</v>
      </c>
      <c r="HN88" s="314">
        <f>IFERROR(VLOOKUP(HN$1,'Výpočet VP 2020'!$A$324:JU679,35,FALSE),0)</f>
        <v>773502.96210955526</v>
      </c>
      <c r="HO88" s="314">
        <f>IFERROR(VLOOKUP(HO$1,'Výpočet VP 2020'!$A$324:JV679,35,FALSE),0)</f>
        <v>2685256.0701895705</v>
      </c>
      <c r="HP88" s="314">
        <f>IFERROR(VLOOKUP(HP$1,'Výpočet VP 2020'!$A$324:JW679,35,FALSE),0)</f>
        <v>51035686.209657252</v>
      </c>
      <c r="HQ88" s="314">
        <f>IFERROR(VLOOKUP(HQ$1,'Výpočet VP 2020'!$A$324:JX679,35,FALSE),0)</f>
        <v>1208204.2898728312</v>
      </c>
      <c r="HR88" s="314">
        <f>IFERROR(VLOOKUP(HR$1,'Výpočet VP 2020'!$A$324:JY679,35,FALSE),0)</f>
        <v>61202480.949702024</v>
      </c>
      <c r="HS88" s="314">
        <f>IFERROR(VLOOKUP(HS$1,'Výpočet VP 2020'!$A$324:JZ679,35,FALSE),0)</f>
        <v>9494800.2016179003</v>
      </c>
      <c r="HT88" s="314">
        <f>IFERROR(VLOOKUP(HT$1,'Výpočet VP 2020'!$A$324:KA679,35,FALSE),0)</f>
        <v>31629150.788444921</v>
      </c>
      <c r="HU88" s="314">
        <f>IFERROR(VLOOKUP(HU$1,'Výpočet VP 2020'!$A$324:KB679,35,FALSE),0)</f>
        <v>49029558.005941018</v>
      </c>
      <c r="HV88" s="314">
        <f>IFERROR(VLOOKUP(HV$1,'Výpočet VP 2020'!$A$324:KC679,35,FALSE),0)</f>
        <v>54515531.002656981</v>
      </c>
      <c r="HW88" s="314">
        <f>IFERROR(VLOOKUP(HW$1,'Výpočet VP 2020'!$A$324:KD679,35,FALSE),0)</f>
        <v>9912963.0045675002</v>
      </c>
      <c r="HX88" s="314">
        <f>IFERROR(VLOOKUP(HX$1,'Výpočet VP 2020'!$A$324:KE679,35,FALSE),0)</f>
        <v>48567161.81129469</v>
      </c>
      <c r="HY88" s="314">
        <f>IFERROR(VLOOKUP(HY$1,'Výpočet VP 2020'!$A$324:KF679,35,FALSE),0)</f>
        <v>41937577.493538782</v>
      </c>
      <c r="HZ88" s="314">
        <f>IFERROR(VLOOKUP(HZ$1,'Výpočet VP 2020'!$A$324:KG679,35,FALSE),0)</f>
        <v>23577865.97824911</v>
      </c>
      <c r="IA88" s="314">
        <f>IFERROR(VLOOKUP(IA$1,'Výpočet VP 2020'!$A$324:KH679,35,FALSE),0)</f>
        <v>25969163.11623653</v>
      </c>
      <c r="IB88" s="314">
        <f>IFERROR(VLOOKUP(IB$1,'Výpočet VP 2020'!$A$324:KI679,35,FALSE),0)</f>
        <v>24096872.050058767</v>
      </c>
      <c r="IC88" s="314">
        <f>IFERROR(VLOOKUP(IC$1,'Výpočet VP 2020'!$A$324:KJ679,35,FALSE),0)</f>
        <v>41590958.823939592</v>
      </c>
      <c r="ID88" s="314">
        <f>IFERROR(VLOOKUP(ID$1,'Výpočet VP 2020'!$A$324:KK679,35,FALSE),0)</f>
        <v>28375800.947989967</v>
      </c>
      <c r="IE88" s="314">
        <f>IFERROR(VLOOKUP(IE$1,'Výpočet VP 2020'!$A$324:KL679,35,FALSE),0)</f>
        <v>37230295.77374085</v>
      </c>
      <c r="IF88" s="314">
        <f>IFERROR(VLOOKUP(IF$1,'Výpočet VP 2020'!$A$324:KM679,35,FALSE),0)</f>
        <v>39821193.67414362</v>
      </c>
      <c r="IG88" s="314">
        <f>IFERROR(VLOOKUP(IG$1,'Výpočet VP 2020'!$A$324:KN679,35,FALSE),0)</f>
        <v>9546114.9741041008</v>
      </c>
      <c r="IH88" s="314">
        <f>IFERROR(VLOOKUP(IH$1,'Výpočet VP 2020'!$A$324:KO679,35,FALSE),0)</f>
        <v>5141380.4000648763</v>
      </c>
      <c r="II88" s="314">
        <f>IFERROR(VLOOKUP(II$1,'Výpočet VP 2020'!$A$324:KP679,35,FALSE),0)</f>
        <v>30453722.883260455</v>
      </c>
      <c r="IJ88" s="314">
        <f>IFERROR(VLOOKUP(IJ$1,'Výpočet VP 2020'!$A$324:KQ679,35,FALSE),0)</f>
        <v>2958935.9404571536</v>
      </c>
      <c r="IK88" s="314">
        <f>IFERROR(VLOOKUP(IK$1,'Výpočet VP 2020'!$A$324:KR679,35,FALSE),0)</f>
        <v>3438619.5787705323</v>
      </c>
      <c r="IL88" s="314">
        <f>IFERROR(VLOOKUP(IL$1,'Výpočet VP 2020'!$A$324:KS679,35,FALSE),0)</f>
        <v>22385109.317651723</v>
      </c>
      <c r="IM88" s="314">
        <f>IFERROR(VLOOKUP(IM$1,'Výpočet VP 2020'!$A$324:KT679,35,FALSE),0)</f>
        <v>893669.57364692003</v>
      </c>
      <c r="IN88" s="314">
        <f>IFERROR(VLOOKUP(IN$1,'Výpočet VP 2020'!$A$324:KU679,35,FALSE),0)</f>
        <v>25796379.637768649</v>
      </c>
      <c r="IO88" s="314">
        <f>IFERROR(VLOOKUP(IO$1,'Výpočet VP 2020'!$A$324:KV679,35,FALSE),0)</f>
        <v>6835216.5014373157</v>
      </c>
      <c r="IP88" s="314">
        <f>IFERROR(VLOOKUP(IP$1,'Výpočet VP 2020'!$A$324:KW679,35,FALSE),0)</f>
        <v>38287776.79471162</v>
      </c>
      <c r="IQ88" s="314">
        <f>IFERROR(VLOOKUP(IQ$1,'Výpočet VP 2020'!$A$324:KX679,35,FALSE),0)</f>
        <v>39179506.878147766</v>
      </c>
      <c r="IR88" s="314">
        <f>IFERROR(VLOOKUP(IR$1,'Výpočet VP 2020'!$A$324:KY679,35,FALSE),0)</f>
        <v>1445810.0699626966</v>
      </c>
      <c r="IS88" s="314">
        <f>IFERROR(VLOOKUP(IS$1,'Výpočet VP 2020'!$A$324:KZ679,35,FALSE),0)</f>
        <v>141714846.86241913</v>
      </c>
      <c r="IT88" s="314">
        <f>IFERROR(VLOOKUP(IT$1,'Výpočet VP 2020'!$A$324:LA679,35,FALSE),0)</f>
        <v>32150187.987063766</v>
      </c>
      <c r="IU88" s="314">
        <f>IFERROR(VLOOKUP(IU$1,'Výpočet VP 2020'!$A$324:LB679,35,FALSE),0)</f>
        <v>5006953.0010567615</v>
      </c>
      <c r="IV88" s="314">
        <f>IFERROR(VLOOKUP(IV$1,'Výpočet VP 2020'!$A$324:LC679,35,FALSE),0)</f>
        <v>21793452.868484437</v>
      </c>
      <c r="IW88" s="314">
        <f>IFERROR(VLOOKUP(IW$1,'Výpočet VP 2020'!$A$324:LD679,35,FALSE),0)</f>
        <v>34338102.013458379</v>
      </c>
      <c r="IX88" s="314">
        <f>IFERROR(VLOOKUP(IX$1,'Výpočet VP 2020'!$A$324:LE679,35,FALSE),0)</f>
        <v>2891620.1399253933</v>
      </c>
      <c r="IY88" s="314">
        <f>IFERROR(VLOOKUP(IY$1,'Výpočet VP 2020'!$A$324:LF679,35,FALSE),0)</f>
        <v>21076689.273638532</v>
      </c>
      <c r="IZ88" s="314">
        <f>IFERROR(VLOOKUP(IZ$1,'Výpočet VP 2020'!$A$324:LG679,35,FALSE),0)</f>
        <v>53020163.721376896</v>
      </c>
      <c r="JA88" s="314">
        <f>IFERROR(VLOOKUP(JA$1,'Výpočet VP 2020'!$A$324:LH679,35,FALSE),0)</f>
        <v>3082510.0697293384</v>
      </c>
      <c r="JB88" s="314">
        <f>IFERROR(VLOOKUP(JB$1,'Výpočet VP 2020'!$A$324:LI679,35,FALSE),0)</f>
        <v>3801963.0001571975</v>
      </c>
      <c r="JC88" s="314">
        <f>IFERROR(VLOOKUP(JC$1,'Výpočet VP 2020'!$A$324:LJ679,35,FALSE),0)</f>
        <v>2169515.4593524667</v>
      </c>
      <c r="JD88" s="314">
        <f>IFERROR(VLOOKUP(JD$1,'Výpočet VP 2020'!$A$324:LK679,35,FALSE),0)</f>
        <v>6713140.1754739247</v>
      </c>
      <c r="JE88" s="314">
        <f>IFERROR(VLOOKUP(JE$1,'Výpočet VP 2020'!$A$324:LL679,35,FALSE),0)</f>
        <v>4834243.7070711059</v>
      </c>
      <c r="JF88" s="314">
        <f>IFERROR(VLOOKUP(JF$1,'Výpočet VP 2020'!$A$324:LM679,35,FALSE),0)</f>
        <v>64831109.612143777</v>
      </c>
      <c r="JG88" s="314">
        <f>IFERROR(VLOOKUP(JG$1,'Výpočet VP 2020'!$A$324:LN679,35,FALSE),0)</f>
        <v>45271843.809430018</v>
      </c>
      <c r="JH88" s="314">
        <f>IFERROR(VLOOKUP(JH$1,'Výpočet VP 2020'!$A$324:LO679,35,FALSE),0)</f>
        <v>1432360.5197921393</v>
      </c>
    </row>
    <row r="89" spans="1:276" x14ac:dyDescent="0.25">
      <c r="A89" s="507">
        <f>0.3*0.05</f>
        <v>1.4999999999999999E-2</v>
      </c>
      <c r="B89" s="313" t="s">
        <v>2607</v>
      </c>
      <c r="C89" s="314">
        <f t="shared" ref="C89:BO89" si="448">IF(C87="POBYT",C88*$A89,0)</f>
        <v>361626.59525466111</v>
      </c>
      <c r="D89" s="314">
        <f t="shared" si="448"/>
        <v>289653.95775090024</v>
      </c>
      <c r="E89" s="314">
        <f t="shared" si="448"/>
        <v>408010.43803386827</v>
      </c>
      <c r="F89" s="314">
        <f t="shared" si="448"/>
        <v>0</v>
      </c>
      <c r="G89" s="314">
        <f t="shared" si="448"/>
        <v>0</v>
      </c>
      <c r="H89" s="314">
        <f t="shared" si="448"/>
        <v>0</v>
      </c>
      <c r="I89" s="314">
        <f t="shared" si="448"/>
        <v>0</v>
      </c>
      <c r="J89" s="314">
        <f t="shared" si="448"/>
        <v>0</v>
      </c>
      <c r="K89" s="314">
        <f t="shared" si="448"/>
        <v>0</v>
      </c>
      <c r="L89" s="314">
        <f t="shared" si="448"/>
        <v>0</v>
      </c>
      <c r="M89" s="314">
        <f t="shared" si="448"/>
        <v>0</v>
      </c>
      <c r="N89" s="314">
        <f t="shared" si="448"/>
        <v>0</v>
      </c>
      <c r="O89" s="314">
        <f t="shared" si="448"/>
        <v>0</v>
      </c>
      <c r="P89" s="314">
        <f t="shared" si="448"/>
        <v>0</v>
      </c>
      <c r="Q89" s="314">
        <f t="shared" si="448"/>
        <v>0</v>
      </c>
      <c r="R89" s="314">
        <f t="shared" si="448"/>
        <v>0</v>
      </c>
      <c r="S89" s="314">
        <f t="shared" si="448"/>
        <v>0</v>
      </c>
      <c r="T89" s="314">
        <f t="shared" si="448"/>
        <v>0</v>
      </c>
      <c r="U89" s="314">
        <f t="shared" si="448"/>
        <v>0</v>
      </c>
      <c r="V89" s="314">
        <f t="shared" si="448"/>
        <v>0</v>
      </c>
      <c r="W89" s="314">
        <f t="shared" si="448"/>
        <v>0</v>
      </c>
      <c r="X89" s="314">
        <f t="shared" si="448"/>
        <v>0</v>
      </c>
      <c r="Y89" s="314">
        <f t="shared" si="448"/>
        <v>0</v>
      </c>
      <c r="Z89" s="314">
        <f t="shared" si="448"/>
        <v>199290.80962196799</v>
      </c>
      <c r="AA89" s="314">
        <f t="shared" si="448"/>
        <v>0</v>
      </c>
      <c r="AB89" s="314">
        <f t="shared" si="448"/>
        <v>0</v>
      </c>
      <c r="AC89" s="314">
        <f t="shared" ref="AC89" si="449">IF(AC87="POBYT",AC88*$A89,0)</f>
        <v>0</v>
      </c>
      <c r="AD89" s="314">
        <f t="shared" si="448"/>
        <v>0</v>
      </c>
      <c r="AE89" s="314">
        <f t="shared" si="448"/>
        <v>0</v>
      </c>
      <c r="AF89" s="314">
        <f t="shared" si="448"/>
        <v>0</v>
      </c>
      <c r="AG89" s="314">
        <f t="shared" si="448"/>
        <v>0</v>
      </c>
      <c r="AH89" s="314">
        <f t="shared" si="448"/>
        <v>0</v>
      </c>
      <c r="AI89" s="314">
        <f t="shared" si="448"/>
        <v>175854.6169065937</v>
      </c>
      <c r="AJ89" s="314">
        <f t="shared" si="448"/>
        <v>104609.69062323478</v>
      </c>
      <c r="AK89" s="314">
        <f t="shared" si="448"/>
        <v>0</v>
      </c>
      <c r="AL89" s="314">
        <f t="shared" si="448"/>
        <v>0</v>
      </c>
      <c r="AM89" s="314">
        <f t="shared" si="448"/>
        <v>0</v>
      </c>
      <c r="AN89" s="314">
        <f t="shared" si="448"/>
        <v>0</v>
      </c>
      <c r="AO89" s="314">
        <f t="shared" si="448"/>
        <v>0</v>
      </c>
      <c r="AP89" s="314">
        <f t="shared" si="448"/>
        <v>0</v>
      </c>
      <c r="AQ89" s="314">
        <f t="shared" si="448"/>
        <v>0</v>
      </c>
      <c r="AR89" s="314">
        <f t="shared" si="448"/>
        <v>0</v>
      </c>
      <c r="AS89" s="314">
        <f t="shared" si="448"/>
        <v>0</v>
      </c>
      <c r="AT89" s="314">
        <f t="shared" si="448"/>
        <v>0</v>
      </c>
      <c r="AU89" s="314">
        <f t="shared" si="448"/>
        <v>0</v>
      </c>
      <c r="AV89" s="314">
        <f t="shared" si="448"/>
        <v>0</v>
      </c>
      <c r="AW89" s="314">
        <f t="shared" si="448"/>
        <v>0</v>
      </c>
      <c r="AX89" s="314">
        <f t="shared" si="448"/>
        <v>0</v>
      </c>
      <c r="AY89" s="314">
        <f t="shared" si="448"/>
        <v>0</v>
      </c>
      <c r="AZ89" s="314">
        <f t="shared" si="448"/>
        <v>74878.331669322652</v>
      </c>
      <c r="BA89" s="314">
        <f t="shared" si="448"/>
        <v>0</v>
      </c>
      <c r="BB89" s="314">
        <f t="shared" si="448"/>
        <v>0</v>
      </c>
      <c r="BC89" s="314">
        <f t="shared" si="448"/>
        <v>0</v>
      </c>
      <c r="BD89" s="314">
        <f t="shared" si="448"/>
        <v>0</v>
      </c>
      <c r="BE89" s="314">
        <f t="shared" si="448"/>
        <v>0</v>
      </c>
      <c r="BF89" s="314">
        <f t="shared" si="448"/>
        <v>0</v>
      </c>
      <c r="BG89" s="314">
        <f t="shared" si="448"/>
        <v>0</v>
      </c>
      <c r="BH89" s="314">
        <f t="shared" si="448"/>
        <v>0</v>
      </c>
      <c r="BI89" s="314">
        <f t="shared" si="448"/>
        <v>67913.110693742972</v>
      </c>
      <c r="BJ89" s="314">
        <f t="shared" si="448"/>
        <v>0</v>
      </c>
      <c r="BK89" s="314">
        <f t="shared" si="448"/>
        <v>0</v>
      </c>
      <c r="BL89" s="314">
        <f t="shared" si="448"/>
        <v>0</v>
      </c>
      <c r="BM89" s="314">
        <f t="shared" si="448"/>
        <v>0</v>
      </c>
      <c r="BN89" s="314">
        <f t="shared" si="448"/>
        <v>0</v>
      </c>
      <c r="BO89" s="314">
        <f t="shared" si="448"/>
        <v>0</v>
      </c>
      <c r="BP89" s="314">
        <f t="shared" ref="BP89:EA89" si="450">IF(BP87="POBYT",BP88*$A89,0)</f>
        <v>0</v>
      </c>
      <c r="BQ89" s="314">
        <f t="shared" si="450"/>
        <v>0</v>
      </c>
      <c r="BR89" s="314">
        <f t="shared" si="450"/>
        <v>0</v>
      </c>
      <c r="BS89" s="314">
        <f t="shared" si="450"/>
        <v>0</v>
      </c>
      <c r="BT89" s="314">
        <f t="shared" si="450"/>
        <v>0</v>
      </c>
      <c r="BU89" s="314">
        <f t="shared" si="450"/>
        <v>0</v>
      </c>
      <c r="BV89" s="314">
        <f t="shared" si="450"/>
        <v>0</v>
      </c>
      <c r="BW89" s="314">
        <f t="shared" si="450"/>
        <v>0</v>
      </c>
      <c r="BX89" s="314">
        <f t="shared" si="450"/>
        <v>0</v>
      </c>
      <c r="BY89" s="314">
        <f t="shared" si="450"/>
        <v>0</v>
      </c>
      <c r="BZ89" s="314">
        <f t="shared" si="450"/>
        <v>0</v>
      </c>
      <c r="CA89" s="314">
        <f t="shared" si="450"/>
        <v>0</v>
      </c>
      <c r="CB89" s="314">
        <f t="shared" si="450"/>
        <v>0</v>
      </c>
      <c r="CC89" s="314">
        <f t="shared" si="450"/>
        <v>0</v>
      </c>
      <c r="CD89" s="314">
        <f t="shared" si="450"/>
        <v>0</v>
      </c>
      <c r="CE89" s="314">
        <f t="shared" si="450"/>
        <v>0</v>
      </c>
      <c r="CF89" s="314">
        <f t="shared" si="450"/>
        <v>0</v>
      </c>
      <c r="CG89" s="314">
        <f t="shared" si="450"/>
        <v>0</v>
      </c>
      <c r="CH89" s="314">
        <f t="shared" si="450"/>
        <v>0</v>
      </c>
      <c r="CI89" s="314">
        <f t="shared" si="450"/>
        <v>0</v>
      </c>
      <c r="CJ89" s="314">
        <f t="shared" si="450"/>
        <v>0</v>
      </c>
      <c r="CK89" s="314">
        <f t="shared" si="450"/>
        <v>0</v>
      </c>
      <c r="CL89" s="314">
        <f t="shared" si="450"/>
        <v>0</v>
      </c>
      <c r="CM89" s="314">
        <f t="shared" si="450"/>
        <v>0</v>
      </c>
      <c r="CN89" s="314">
        <f t="shared" si="450"/>
        <v>0</v>
      </c>
      <c r="CO89" s="314">
        <f t="shared" si="450"/>
        <v>0</v>
      </c>
      <c r="CP89" s="314">
        <f t="shared" si="450"/>
        <v>0</v>
      </c>
      <c r="CQ89" s="314">
        <f t="shared" si="450"/>
        <v>0</v>
      </c>
      <c r="CR89" s="314">
        <f t="shared" si="450"/>
        <v>0</v>
      </c>
      <c r="CS89" s="314">
        <f t="shared" si="450"/>
        <v>0</v>
      </c>
      <c r="CT89" s="314">
        <f t="shared" si="450"/>
        <v>0</v>
      </c>
      <c r="CU89" s="314">
        <f t="shared" si="450"/>
        <v>0</v>
      </c>
      <c r="CV89" s="314">
        <f t="shared" si="450"/>
        <v>184573.92926874422</v>
      </c>
      <c r="CW89" s="314">
        <f t="shared" si="450"/>
        <v>0</v>
      </c>
      <c r="CX89" s="314">
        <f t="shared" si="450"/>
        <v>0</v>
      </c>
      <c r="CY89" s="314">
        <f t="shared" si="450"/>
        <v>0</v>
      </c>
      <c r="CZ89" s="314">
        <f t="shared" si="450"/>
        <v>0</v>
      </c>
      <c r="DA89" s="314">
        <f t="shared" si="450"/>
        <v>187634.70914962181</v>
      </c>
      <c r="DB89" s="314">
        <f t="shared" si="450"/>
        <v>0</v>
      </c>
      <c r="DC89" s="314">
        <f t="shared" si="450"/>
        <v>0</v>
      </c>
      <c r="DD89" s="314">
        <f t="shared" si="450"/>
        <v>0</v>
      </c>
      <c r="DE89" s="314">
        <f t="shared" si="450"/>
        <v>0</v>
      </c>
      <c r="DF89" s="314">
        <f t="shared" si="450"/>
        <v>0</v>
      </c>
      <c r="DG89" s="314">
        <f t="shared" si="450"/>
        <v>0</v>
      </c>
      <c r="DH89" s="314">
        <f t="shared" si="450"/>
        <v>0</v>
      </c>
      <c r="DI89" s="314">
        <f t="shared" si="450"/>
        <v>0</v>
      </c>
      <c r="DJ89" s="314">
        <f t="shared" si="450"/>
        <v>0</v>
      </c>
      <c r="DK89" s="314">
        <f t="shared" si="450"/>
        <v>0</v>
      </c>
      <c r="DL89" s="314">
        <f t="shared" si="450"/>
        <v>0</v>
      </c>
      <c r="DM89" s="314">
        <f t="shared" si="450"/>
        <v>0</v>
      </c>
      <c r="DN89" s="314">
        <f t="shared" si="450"/>
        <v>0</v>
      </c>
      <c r="DO89" s="314">
        <f t="shared" si="450"/>
        <v>0</v>
      </c>
      <c r="DP89" s="314">
        <f t="shared" si="450"/>
        <v>0</v>
      </c>
      <c r="DQ89" s="314">
        <f t="shared" si="450"/>
        <v>0</v>
      </c>
      <c r="DR89" s="314">
        <f t="shared" si="450"/>
        <v>0</v>
      </c>
      <c r="DS89" s="314">
        <f t="shared" si="450"/>
        <v>0</v>
      </c>
      <c r="DT89" s="314">
        <f t="shared" si="450"/>
        <v>0</v>
      </c>
      <c r="DU89" s="314">
        <f t="shared" si="450"/>
        <v>0</v>
      </c>
      <c r="DV89" s="314">
        <f t="shared" si="450"/>
        <v>0</v>
      </c>
      <c r="DW89" s="314">
        <f t="shared" si="450"/>
        <v>0</v>
      </c>
      <c r="DX89" s="314">
        <f t="shared" si="450"/>
        <v>0</v>
      </c>
      <c r="DY89" s="314">
        <f t="shared" si="450"/>
        <v>0</v>
      </c>
      <c r="DZ89" s="314">
        <f t="shared" si="450"/>
        <v>0</v>
      </c>
      <c r="EA89" s="314">
        <f t="shared" si="450"/>
        <v>0</v>
      </c>
      <c r="EB89" s="314">
        <f t="shared" ref="EB89:GM89" si="451">IF(EB87="POBYT",EB88*$A89,0)</f>
        <v>0</v>
      </c>
      <c r="EC89" s="314">
        <f t="shared" si="451"/>
        <v>0</v>
      </c>
      <c r="ED89" s="314">
        <f t="shared" si="451"/>
        <v>0</v>
      </c>
      <c r="EE89" s="314">
        <f t="shared" si="451"/>
        <v>0</v>
      </c>
      <c r="EF89" s="314">
        <f t="shared" si="451"/>
        <v>0</v>
      </c>
      <c r="EG89" s="314">
        <f t="shared" si="451"/>
        <v>0</v>
      </c>
      <c r="EH89" s="314">
        <f t="shared" si="451"/>
        <v>0</v>
      </c>
      <c r="EI89" s="314">
        <f t="shared" si="451"/>
        <v>0</v>
      </c>
      <c r="EJ89" s="314">
        <f t="shared" si="451"/>
        <v>0</v>
      </c>
      <c r="EK89" s="314">
        <f t="shared" si="451"/>
        <v>0</v>
      </c>
      <c r="EL89" s="314">
        <f t="shared" si="451"/>
        <v>0</v>
      </c>
      <c r="EM89" s="314">
        <f t="shared" si="451"/>
        <v>0</v>
      </c>
      <c r="EN89" s="314">
        <f t="shared" si="451"/>
        <v>0</v>
      </c>
      <c r="EO89" s="314">
        <f t="shared" si="451"/>
        <v>0</v>
      </c>
      <c r="EP89" s="314">
        <f t="shared" si="451"/>
        <v>0</v>
      </c>
      <c r="EQ89" s="314">
        <f t="shared" si="451"/>
        <v>0</v>
      </c>
      <c r="ER89" s="314">
        <f t="shared" si="451"/>
        <v>0</v>
      </c>
      <c r="ES89" s="314">
        <f t="shared" si="451"/>
        <v>0</v>
      </c>
      <c r="ET89" s="314">
        <f t="shared" si="451"/>
        <v>0</v>
      </c>
      <c r="EU89" s="314">
        <f t="shared" si="451"/>
        <v>52177.308716546293</v>
      </c>
      <c r="EV89" s="314">
        <f t="shared" si="451"/>
        <v>0</v>
      </c>
      <c r="EW89" s="314">
        <f t="shared" si="451"/>
        <v>0</v>
      </c>
      <c r="EX89" s="314">
        <f t="shared" si="451"/>
        <v>358691.01465946523</v>
      </c>
      <c r="EY89" s="314">
        <f t="shared" si="451"/>
        <v>0</v>
      </c>
      <c r="EZ89" s="314">
        <f t="shared" si="451"/>
        <v>0</v>
      </c>
      <c r="FA89" s="314">
        <f t="shared" si="451"/>
        <v>0</v>
      </c>
      <c r="FB89" s="314">
        <f t="shared" si="451"/>
        <v>0</v>
      </c>
      <c r="FC89" s="314">
        <f t="shared" si="451"/>
        <v>0</v>
      </c>
      <c r="FD89" s="314">
        <f t="shared" si="451"/>
        <v>0</v>
      </c>
      <c r="FE89" s="314">
        <f t="shared" si="451"/>
        <v>0</v>
      </c>
      <c r="FF89" s="314">
        <f t="shared" si="451"/>
        <v>0</v>
      </c>
      <c r="FG89" s="314">
        <f t="shared" si="451"/>
        <v>395908.40264434641</v>
      </c>
      <c r="FH89" s="314">
        <f t="shared" si="451"/>
        <v>379808.99071202171</v>
      </c>
      <c r="FI89" s="314">
        <f t="shared" si="451"/>
        <v>451145.13586882874</v>
      </c>
      <c r="FJ89" s="314">
        <f t="shared" si="451"/>
        <v>0</v>
      </c>
      <c r="FK89" s="314">
        <f t="shared" si="451"/>
        <v>0</v>
      </c>
      <c r="FL89" s="314">
        <f t="shared" si="451"/>
        <v>0</v>
      </c>
      <c r="FM89" s="314">
        <f t="shared" si="451"/>
        <v>0</v>
      </c>
      <c r="FN89" s="314">
        <f t="shared" si="451"/>
        <v>0</v>
      </c>
      <c r="FO89" s="314">
        <f t="shared" si="451"/>
        <v>0</v>
      </c>
      <c r="FP89" s="314">
        <f t="shared" si="451"/>
        <v>537978.09114816342</v>
      </c>
      <c r="FQ89" s="314">
        <f t="shared" si="451"/>
        <v>0</v>
      </c>
      <c r="FR89" s="314">
        <f t="shared" si="451"/>
        <v>0</v>
      </c>
      <c r="FS89" s="314">
        <f t="shared" si="451"/>
        <v>0</v>
      </c>
      <c r="FT89" s="314">
        <f t="shared" si="451"/>
        <v>0</v>
      </c>
      <c r="FU89" s="314">
        <f t="shared" si="451"/>
        <v>0</v>
      </c>
      <c r="FV89" s="314">
        <f t="shared" si="451"/>
        <v>0</v>
      </c>
      <c r="FW89" s="314">
        <f t="shared" si="451"/>
        <v>0</v>
      </c>
      <c r="FX89" s="314">
        <f t="shared" si="451"/>
        <v>0</v>
      </c>
      <c r="FY89" s="314">
        <f t="shared" si="451"/>
        <v>0</v>
      </c>
      <c r="FZ89" s="314">
        <f t="shared" si="451"/>
        <v>0</v>
      </c>
      <c r="GA89" s="314">
        <f t="shared" si="451"/>
        <v>0</v>
      </c>
      <c r="GB89" s="314">
        <f t="shared" si="451"/>
        <v>340484.00390048983</v>
      </c>
      <c r="GC89" s="314">
        <f t="shared" si="451"/>
        <v>0</v>
      </c>
      <c r="GD89" s="314">
        <f t="shared" si="451"/>
        <v>484481.11196370883</v>
      </c>
      <c r="GE89" s="314">
        <f t="shared" si="451"/>
        <v>0</v>
      </c>
      <c r="GF89" s="314">
        <f t="shared" si="451"/>
        <v>0</v>
      </c>
      <c r="GG89" s="314">
        <f t="shared" si="451"/>
        <v>0</v>
      </c>
      <c r="GH89" s="314">
        <f t="shared" si="451"/>
        <v>0</v>
      </c>
      <c r="GI89" s="314">
        <f t="shared" si="451"/>
        <v>403482.67982277065</v>
      </c>
      <c r="GJ89" s="314">
        <f t="shared" si="451"/>
        <v>0</v>
      </c>
      <c r="GK89" s="314">
        <f t="shared" si="451"/>
        <v>0</v>
      </c>
      <c r="GL89" s="314">
        <f t="shared" si="451"/>
        <v>0</v>
      </c>
      <c r="GM89" s="314">
        <f t="shared" si="451"/>
        <v>0</v>
      </c>
      <c r="GN89" s="314">
        <f t="shared" ref="GN89:IY89" si="452">IF(GN87="POBYT",GN88*$A89,0)</f>
        <v>0</v>
      </c>
      <c r="GO89" s="314">
        <f t="shared" si="452"/>
        <v>282437.6624359815</v>
      </c>
      <c r="GP89" s="314">
        <f t="shared" si="452"/>
        <v>0</v>
      </c>
      <c r="GQ89" s="314">
        <f t="shared" si="452"/>
        <v>0</v>
      </c>
      <c r="GR89" s="314">
        <f t="shared" si="452"/>
        <v>0</v>
      </c>
      <c r="GS89" s="314">
        <f t="shared" si="452"/>
        <v>0</v>
      </c>
      <c r="GT89" s="314">
        <f t="shared" si="452"/>
        <v>0</v>
      </c>
      <c r="GU89" s="314">
        <f t="shared" si="452"/>
        <v>0</v>
      </c>
      <c r="GV89" s="314">
        <f t="shared" si="452"/>
        <v>245886.10396052297</v>
      </c>
      <c r="GW89" s="314">
        <f t="shared" si="452"/>
        <v>0</v>
      </c>
      <c r="GX89" s="314">
        <f t="shared" si="452"/>
        <v>0</v>
      </c>
      <c r="GY89" s="314">
        <f t="shared" si="452"/>
        <v>1022285.6886080926</v>
      </c>
      <c r="GZ89" s="314">
        <f t="shared" si="452"/>
        <v>0</v>
      </c>
      <c r="HA89" s="314">
        <f t="shared" si="452"/>
        <v>0</v>
      </c>
      <c r="HB89" s="314">
        <f t="shared" si="452"/>
        <v>0</v>
      </c>
      <c r="HC89" s="314">
        <f t="shared" si="452"/>
        <v>438213.24185690872</v>
      </c>
      <c r="HD89" s="314">
        <f t="shared" si="452"/>
        <v>0</v>
      </c>
      <c r="HE89" s="314">
        <f t="shared" si="452"/>
        <v>343912.1792880983</v>
      </c>
      <c r="HF89" s="314">
        <f t="shared" si="452"/>
        <v>0</v>
      </c>
      <c r="HG89" s="314">
        <f t="shared" si="452"/>
        <v>0</v>
      </c>
      <c r="HH89" s="314">
        <f t="shared" si="452"/>
        <v>0</v>
      </c>
      <c r="HI89" s="314">
        <f t="shared" si="452"/>
        <v>0</v>
      </c>
      <c r="HJ89" s="314">
        <f t="shared" si="452"/>
        <v>0</v>
      </c>
      <c r="HK89" s="314">
        <f t="shared" si="452"/>
        <v>0</v>
      </c>
      <c r="HL89" s="314">
        <f t="shared" si="452"/>
        <v>841957.86085270613</v>
      </c>
      <c r="HM89" s="314">
        <f t="shared" si="452"/>
        <v>0</v>
      </c>
      <c r="HN89" s="314">
        <f t="shared" si="452"/>
        <v>0</v>
      </c>
      <c r="HO89" s="314">
        <f t="shared" si="452"/>
        <v>0</v>
      </c>
      <c r="HP89" s="314">
        <f t="shared" si="452"/>
        <v>765535.29314485879</v>
      </c>
      <c r="HQ89" s="314">
        <f t="shared" si="452"/>
        <v>0</v>
      </c>
      <c r="HR89" s="314">
        <f t="shared" si="452"/>
        <v>918037.21424553031</v>
      </c>
      <c r="HS89" s="314">
        <f t="shared" si="452"/>
        <v>0</v>
      </c>
      <c r="HT89" s="314">
        <f t="shared" si="452"/>
        <v>474437.26182667381</v>
      </c>
      <c r="HU89" s="314">
        <f t="shared" si="452"/>
        <v>735443.37008911523</v>
      </c>
      <c r="HV89" s="314">
        <f t="shared" si="452"/>
        <v>817732.96503985464</v>
      </c>
      <c r="HW89" s="314">
        <f t="shared" si="452"/>
        <v>148694.44506851249</v>
      </c>
      <c r="HX89" s="314">
        <f t="shared" si="452"/>
        <v>728507.42716942029</v>
      </c>
      <c r="HY89" s="314">
        <f t="shared" si="452"/>
        <v>629063.66240308166</v>
      </c>
      <c r="HZ89" s="314">
        <f t="shared" si="452"/>
        <v>353667.98967373662</v>
      </c>
      <c r="IA89" s="314">
        <f t="shared" si="452"/>
        <v>389537.44674354792</v>
      </c>
      <c r="IB89" s="314">
        <f t="shared" si="452"/>
        <v>361453.08075088152</v>
      </c>
      <c r="IC89" s="314">
        <f t="shared" si="452"/>
        <v>623864.38235909387</v>
      </c>
      <c r="ID89" s="314">
        <f t="shared" si="452"/>
        <v>425637.01421984949</v>
      </c>
      <c r="IE89" s="314">
        <f t="shared" si="452"/>
        <v>558454.43660611275</v>
      </c>
      <c r="IF89" s="314">
        <f t="shared" si="452"/>
        <v>597317.90511215432</v>
      </c>
      <c r="IG89" s="314">
        <f t="shared" si="452"/>
        <v>143191.72461156151</v>
      </c>
      <c r="IH89" s="314">
        <f t="shared" si="452"/>
        <v>77120.706000973136</v>
      </c>
      <c r="II89" s="314">
        <f t="shared" si="452"/>
        <v>456805.84324890684</v>
      </c>
      <c r="IJ89" s="314">
        <f t="shared" si="452"/>
        <v>0</v>
      </c>
      <c r="IK89" s="314">
        <f t="shared" si="452"/>
        <v>0</v>
      </c>
      <c r="IL89" s="314">
        <f t="shared" si="452"/>
        <v>335776.63976477581</v>
      </c>
      <c r="IM89" s="314">
        <f t="shared" si="452"/>
        <v>0</v>
      </c>
      <c r="IN89" s="314">
        <f t="shared" si="452"/>
        <v>386945.69456652971</v>
      </c>
      <c r="IO89" s="314">
        <f t="shared" si="452"/>
        <v>102528.24752155974</v>
      </c>
      <c r="IP89" s="314">
        <f t="shared" si="452"/>
        <v>574316.65192067425</v>
      </c>
      <c r="IQ89" s="314">
        <f t="shared" si="452"/>
        <v>587692.60317221645</v>
      </c>
      <c r="IR89" s="314">
        <f t="shared" si="452"/>
        <v>0</v>
      </c>
      <c r="IS89" s="314">
        <f t="shared" si="452"/>
        <v>2125722.702936287</v>
      </c>
      <c r="IT89" s="314">
        <f t="shared" si="452"/>
        <v>482252.81980595645</v>
      </c>
      <c r="IU89" s="314">
        <f t="shared" si="452"/>
        <v>0</v>
      </c>
      <c r="IV89" s="314">
        <f t="shared" si="452"/>
        <v>326901.79302726657</v>
      </c>
      <c r="IW89" s="314">
        <f t="shared" si="452"/>
        <v>515071.53020187566</v>
      </c>
      <c r="IX89" s="314">
        <f t="shared" si="452"/>
        <v>0</v>
      </c>
      <c r="IY89" s="314">
        <f t="shared" si="452"/>
        <v>316150.33910457796</v>
      </c>
      <c r="IZ89" s="314">
        <f t="shared" ref="IZ89:JH89" si="453">IF(IZ87="POBYT",IZ88*$A89,0)</f>
        <v>795302.45582065335</v>
      </c>
      <c r="JA89" s="314">
        <f t="shared" si="453"/>
        <v>0</v>
      </c>
      <c r="JB89" s="314">
        <f t="shared" si="453"/>
        <v>0</v>
      </c>
      <c r="JC89" s="314">
        <f t="shared" si="453"/>
        <v>0</v>
      </c>
      <c r="JD89" s="314">
        <f t="shared" si="453"/>
        <v>0</v>
      </c>
      <c r="JE89" s="314">
        <f t="shared" si="453"/>
        <v>0</v>
      </c>
      <c r="JF89" s="314">
        <f t="shared" si="453"/>
        <v>972466.64418215666</v>
      </c>
      <c r="JG89" s="314">
        <f t="shared" si="453"/>
        <v>679077.65714145021</v>
      </c>
      <c r="JH89" s="314">
        <f t="shared" si="453"/>
        <v>0</v>
      </c>
      <c r="JI89" s="314">
        <f t="shared" ref="JI89:JI94" si="454">SUM(C89:JH89)</f>
        <v>26037603.612891153</v>
      </c>
      <c r="JL89" s="307">
        <f t="shared" ref="JL89:JO90" si="455">SUMIFS($C89:$JH89,$C$5:$JH$5,JL$5)</f>
        <v>1059290.9910394296</v>
      </c>
      <c r="JM89" s="307">
        <f t="shared" si="455"/>
        <v>994755.1979332281</v>
      </c>
      <c r="JN89" s="307">
        <f t="shared" si="455"/>
        <v>5736891.6155859455</v>
      </c>
      <c r="JO89" s="307">
        <f t="shared" si="455"/>
        <v>18246665.808332555</v>
      </c>
      <c r="JP89" s="307">
        <f t="shared" si="447"/>
        <v>26037603.61289116</v>
      </c>
    </row>
    <row r="90" spans="1:276" x14ac:dyDescent="0.25">
      <c r="A90" s="557"/>
      <c r="B90" s="557" t="s">
        <v>2571</v>
      </c>
      <c r="C90" s="558">
        <f t="shared" ref="C90:BO90" si="456">C85-C89</f>
        <v>8884422.5558247231</v>
      </c>
      <c r="D90" s="558">
        <f t="shared" si="456"/>
        <v>7790346.0422490994</v>
      </c>
      <c r="E90" s="558">
        <f t="shared" si="456"/>
        <v>8299184.4088107003</v>
      </c>
      <c r="F90" s="558">
        <f t="shared" si="456"/>
        <v>3616884.7088353573</v>
      </c>
      <c r="G90" s="558">
        <f t="shared" si="456"/>
        <v>10328003.127290595</v>
      </c>
      <c r="H90" s="558">
        <f t="shared" si="456"/>
        <v>0</v>
      </c>
      <c r="I90" s="558">
        <f t="shared" si="456"/>
        <v>0</v>
      </c>
      <c r="J90" s="558">
        <f t="shared" si="456"/>
        <v>126485.23608403429</v>
      </c>
      <c r="K90" s="558">
        <f t="shared" si="456"/>
        <v>6393271.2513013156</v>
      </c>
      <c r="L90" s="558">
        <f t="shared" si="456"/>
        <v>3774970</v>
      </c>
      <c r="M90" s="558">
        <f t="shared" si="456"/>
        <v>3667775.238895766</v>
      </c>
      <c r="N90" s="558">
        <f t="shared" si="456"/>
        <v>5360828.6030266704</v>
      </c>
      <c r="O90" s="558">
        <f t="shared" si="456"/>
        <v>4448411.4210138666</v>
      </c>
      <c r="P90" s="558">
        <f t="shared" si="456"/>
        <v>2570026.0021816893</v>
      </c>
      <c r="Q90" s="558">
        <f t="shared" si="456"/>
        <v>1836488.4791010155</v>
      </c>
      <c r="R90" s="558">
        <f t="shared" si="456"/>
        <v>2124718.1</v>
      </c>
      <c r="S90" s="558">
        <f t="shared" si="456"/>
        <v>1637152.8</v>
      </c>
      <c r="T90" s="558">
        <f t="shared" si="456"/>
        <v>622773.51077815378</v>
      </c>
      <c r="U90" s="558">
        <f t="shared" si="456"/>
        <v>1099204</v>
      </c>
      <c r="V90" s="558">
        <f t="shared" si="456"/>
        <v>9233620</v>
      </c>
      <c r="W90" s="558">
        <f t="shared" si="456"/>
        <v>2379600</v>
      </c>
      <c r="X90" s="558">
        <f t="shared" si="456"/>
        <v>2304335.8095085779</v>
      </c>
      <c r="Y90" s="558">
        <f t="shared" si="456"/>
        <v>1969745.4492107111</v>
      </c>
      <c r="Z90" s="558">
        <f t="shared" si="456"/>
        <v>7242633.1903780317</v>
      </c>
      <c r="AA90" s="558">
        <f t="shared" si="456"/>
        <v>4244705.4490248738</v>
      </c>
      <c r="AB90" s="558">
        <f t="shared" si="456"/>
        <v>3678130.7057224135</v>
      </c>
      <c r="AC90" s="558">
        <f t="shared" ref="AC90" si="457">AC85-AC89</f>
        <v>481158.31194833241</v>
      </c>
      <c r="AD90" s="558">
        <f t="shared" si="456"/>
        <v>2590229.1206235653</v>
      </c>
      <c r="AE90" s="558">
        <f t="shared" si="456"/>
        <v>103737.52589894389</v>
      </c>
      <c r="AF90" s="558">
        <f t="shared" si="456"/>
        <v>1219244.9295379582</v>
      </c>
      <c r="AG90" s="558">
        <f t="shared" si="456"/>
        <v>3450812.7548698969</v>
      </c>
      <c r="AH90" s="558">
        <f t="shared" si="456"/>
        <v>807300</v>
      </c>
      <c r="AI90" s="558">
        <f t="shared" si="456"/>
        <v>4192325.3830934064</v>
      </c>
      <c r="AJ90" s="558">
        <f t="shared" si="456"/>
        <v>2683430.309376765</v>
      </c>
      <c r="AK90" s="558">
        <f t="shared" si="456"/>
        <v>1383868</v>
      </c>
      <c r="AL90" s="558">
        <f t="shared" si="456"/>
        <v>1952909.1633510776</v>
      </c>
      <c r="AM90" s="558">
        <f t="shared" si="456"/>
        <v>1499708.3726341231</v>
      </c>
      <c r="AN90" s="558">
        <f t="shared" si="456"/>
        <v>1148955.198498779</v>
      </c>
      <c r="AO90" s="558">
        <f t="shared" si="456"/>
        <v>4903755.5596356187</v>
      </c>
      <c r="AP90" s="558">
        <f t="shared" si="456"/>
        <v>2124765.1162296012</v>
      </c>
      <c r="AQ90" s="558">
        <f t="shared" si="456"/>
        <v>688702.88446015073</v>
      </c>
      <c r="AR90" s="558">
        <f t="shared" si="456"/>
        <v>1531740.3992508459</v>
      </c>
      <c r="AS90" s="558">
        <f t="shared" si="456"/>
        <v>495253.22022333386</v>
      </c>
      <c r="AT90" s="558">
        <f t="shared" si="456"/>
        <v>2498113.4323683418</v>
      </c>
      <c r="AU90" s="558">
        <f t="shared" si="456"/>
        <v>992216.93946642126</v>
      </c>
      <c r="AV90" s="558">
        <f t="shared" si="456"/>
        <v>2003660.6772952261</v>
      </c>
      <c r="AW90" s="558">
        <f t="shared" si="456"/>
        <v>16112.012350120116</v>
      </c>
      <c r="AX90" s="558">
        <f t="shared" si="456"/>
        <v>3240135.311080751</v>
      </c>
      <c r="AY90" s="558">
        <f t="shared" si="456"/>
        <v>3300190.5406568907</v>
      </c>
      <c r="AZ90" s="558">
        <f t="shared" si="456"/>
        <v>3359628.6683306773</v>
      </c>
      <c r="BA90" s="558">
        <f t="shared" si="456"/>
        <v>9913000</v>
      </c>
      <c r="BB90" s="558">
        <f t="shared" si="456"/>
        <v>1329742.5807072239</v>
      </c>
      <c r="BC90" s="558">
        <f t="shared" si="456"/>
        <v>1223742.4938025323</v>
      </c>
      <c r="BD90" s="558">
        <f t="shared" si="456"/>
        <v>1916258.3325785431</v>
      </c>
      <c r="BE90" s="558">
        <f t="shared" si="456"/>
        <v>0</v>
      </c>
      <c r="BF90" s="558">
        <f t="shared" si="456"/>
        <v>2669371.3941904306</v>
      </c>
      <c r="BG90" s="558">
        <f t="shared" si="456"/>
        <v>3342000</v>
      </c>
      <c r="BH90" s="558">
        <f t="shared" si="456"/>
        <v>3388109.2415605099</v>
      </c>
      <c r="BI90" s="558">
        <f t="shared" si="456"/>
        <v>2302086.889306257</v>
      </c>
      <c r="BJ90" s="558">
        <f t="shared" si="456"/>
        <v>2734458.8535647267</v>
      </c>
      <c r="BK90" s="558">
        <f t="shared" si="456"/>
        <v>185490.09231459786</v>
      </c>
      <c r="BL90" s="558">
        <f t="shared" si="456"/>
        <v>455138.49500087276</v>
      </c>
      <c r="BM90" s="558">
        <f t="shared" si="456"/>
        <v>2033799.04</v>
      </c>
      <c r="BN90" s="558">
        <f t="shared" si="456"/>
        <v>1657101.9931537434</v>
      </c>
      <c r="BO90" s="558">
        <f t="shared" si="456"/>
        <v>1051279.6524752458</v>
      </c>
      <c r="BP90" s="558">
        <f t="shared" ref="BP90:EA90" si="458">BP85-BP89</f>
        <v>4652080</v>
      </c>
      <c r="BQ90" s="558">
        <f t="shared" si="458"/>
        <v>66564.165662464104</v>
      </c>
      <c r="BR90" s="558">
        <f t="shared" si="458"/>
        <v>1288942.0242748552</v>
      </c>
      <c r="BS90" s="558">
        <f t="shared" si="458"/>
        <v>1310282.2989678741</v>
      </c>
      <c r="BT90" s="558">
        <f t="shared" si="458"/>
        <v>914160.26616723067</v>
      </c>
      <c r="BU90" s="558">
        <f t="shared" si="458"/>
        <v>3939338</v>
      </c>
      <c r="BV90" s="558">
        <f t="shared" si="458"/>
        <v>1177908.0353182531</v>
      </c>
      <c r="BW90" s="558">
        <f t="shared" si="458"/>
        <v>532683</v>
      </c>
      <c r="BX90" s="558">
        <f t="shared" si="458"/>
        <v>4708889.1910633538</v>
      </c>
      <c r="BY90" s="558">
        <f t="shared" si="458"/>
        <v>1520144</v>
      </c>
      <c r="BZ90" s="558">
        <f t="shared" si="458"/>
        <v>324150</v>
      </c>
      <c r="CA90" s="558">
        <f t="shared" si="458"/>
        <v>0</v>
      </c>
      <c r="CB90" s="558">
        <f t="shared" si="458"/>
        <v>571519.10142146726</v>
      </c>
      <c r="CC90" s="558">
        <f t="shared" si="458"/>
        <v>2238055.6625416637</v>
      </c>
      <c r="CD90" s="558">
        <f t="shared" si="458"/>
        <v>661848.21685573971</v>
      </c>
      <c r="CE90" s="558">
        <f t="shared" si="458"/>
        <v>9715050.1253167707</v>
      </c>
      <c r="CF90" s="558">
        <f t="shared" si="458"/>
        <v>4453617.8393289512</v>
      </c>
      <c r="CG90" s="558">
        <f t="shared" si="458"/>
        <v>231159.49607044645</v>
      </c>
      <c r="CH90" s="558">
        <f t="shared" si="458"/>
        <v>0</v>
      </c>
      <c r="CI90" s="558">
        <f t="shared" si="458"/>
        <v>21633.155796868727</v>
      </c>
      <c r="CJ90" s="558">
        <f t="shared" si="458"/>
        <v>3854195.0818283353</v>
      </c>
      <c r="CK90" s="558">
        <f t="shared" si="458"/>
        <v>4571780</v>
      </c>
      <c r="CL90" s="558">
        <f t="shared" si="458"/>
        <v>56438.59728209069</v>
      </c>
      <c r="CM90" s="558">
        <f t="shared" si="458"/>
        <v>6012336.4399863137</v>
      </c>
      <c r="CN90" s="558">
        <f t="shared" si="458"/>
        <v>1342009.9127194914</v>
      </c>
      <c r="CO90" s="558">
        <f t="shared" si="458"/>
        <v>1214500</v>
      </c>
      <c r="CP90" s="558">
        <f t="shared" si="458"/>
        <v>1268807.7168003041</v>
      </c>
      <c r="CQ90" s="558">
        <f t="shared" si="458"/>
        <v>5515036.573718125</v>
      </c>
      <c r="CR90" s="558">
        <f t="shared" si="458"/>
        <v>2367817</v>
      </c>
      <c r="CS90" s="558">
        <f t="shared" si="458"/>
        <v>187555.67419309285</v>
      </c>
      <c r="CT90" s="558">
        <f t="shared" si="458"/>
        <v>0</v>
      </c>
      <c r="CU90" s="558">
        <f t="shared" si="458"/>
        <v>1974027.6887355854</v>
      </c>
      <c r="CV90" s="558">
        <f t="shared" si="458"/>
        <v>5644990.9859210327</v>
      </c>
      <c r="CW90" s="558">
        <f t="shared" si="458"/>
        <v>445664.10646689229</v>
      </c>
      <c r="CX90" s="558">
        <f t="shared" si="458"/>
        <v>3686532</v>
      </c>
      <c r="CY90" s="558">
        <f t="shared" si="458"/>
        <v>2881083.2839012085</v>
      </c>
      <c r="CZ90" s="558">
        <f t="shared" si="458"/>
        <v>446100</v>
      </c>
      <c r="DA90" s="558">
        <f t="shared" si="458"/>
        <v>8391147.0119362772</v>
      </c>
      <c r="DB90" s="558">
        <f t="shared" si="458"/>
        <v>801256.55127554876</v>
      </c>
      <c r="DC90" s="558">
        <f t="shared" si="458"/>
        <v>1952214.4635382525</v>
      </c>
      <c r="DD90" s="558">
        <f t="shared" si="458"/>
        <v>428740.05018450413</v>
      </c>
      <c r="DE90" s="558">
        <f t="shared" si="458"/>
        <v>1595404.8713862468</v>
      </c>
      <c r="DF90" s="558">
        <f t="shared" si="458"/>
        <v>7381996.8713862468</v>
      </c>
      <c r="DG90" s="558">
        <f t="shared" si="458"/>
        <v>802938.16515118408</v>
      </c>
      <c r="DH90" s="558">
        <f t="shared" si="458"/>
        <v>908244.44020215096</v>
      </c>
      <c r="DI90" s="558">
        <f t="shared" si="458"/>
        <v>0</v>
      </c>
      <c r="DJ90" s="558">
        <f t="shared" si="458"/>
        <v>65990.976314039901</v>
      </c>
      <c r="DK90" s="558">
        <f t="shared" si="458"/>
        <v>224452.83531246078</v>
      </c>
      <c r="DL90" s="558">
        <f t="shared" si="458"/>
        <v>4094296.2218004535</v>
      </c>
      <c r="DM90" s="558">
        <f t="shared" si="458"/>
        <v>1966503.0838138557</v>
      </c>
      <c r="DN90" s="558">
        <f t="shared" si="458"/>
        <v>4052035.7644601618</v>
      </c>
      <c r="DO90" s="558">
        <f t="shared" si="458"/>
        <v>1402300.3922101089</v>
      </c>
      <c r="DP90" s="558">
        <f t="shared" si="458"/>
        <v>4045363.78</v>
      </c>
      <c r="DQ90" s="558">
        <f t="shared" si="458"/>
        <v>4329795</v>
      </c>
      <c r="DR90" s="558">
        <f t="shared" si="458"/>
        <v>4985313.5</v>
      </c>
      <c r="DS90" s="558">
        <f t="shared" si="458"/>
        <v>1625552.2365860054</v>
      </c>
      <c r="DT90" s="558">
        <f t="shared" si="458"/>
        <v>3379864.0513730422</v>
      </c>
      <c r="DU90" s="558">
        <f t="shared" si="458"/>
        <v>35402.15315866132</v>
      </c>
      <c r="DV90" s="558">
        <f t="shared" si="458"/>
        <v>6440000</v>
      </c>
      <c r="DW90" s="558">
        <f t="shared" si="458"/>
        <v>368896.922364717</v>
      </c>
      <c r="DX90" s="558">
        <f t="shared" si="458"/>
        <v>0</v>
      </c>
      <c r="DY90" s="558">
        <f t="shared" si="458"/>
        <v>4581142.7504826486</v>
      </c>
      <c r="DZ90" s="558">
        <f t="shared" si="458"/>
        <v>723925.6888148766</v>
      </c>
      <c r="EA90" s="558">
        <f t="shared" si="458"/>
        <v>4141440.9263814236</v>
      </c>
      <c r="EB90" s="558">
        <f t="shared" ref="EB90:GM90" si="459">EB85-EB89</f>
        <v>5751412.8583436497</v>
      </c>
      <c r="EC90" s="558">
        <f t="shared" si="459"/>
        <v>3507637.7512384658</v>
      </c>
      <c r="ED90" s="558">
        <f t="shared" si="459"/>
        <v>3789855.4215401057</v>
      </c>
      <c r="EE90" s="558">
        <f t="shared" si="459"/>
        <v>750052.03204477963</v>
      </c>
      <c r="EF90" s="558">
        <f t="shared" si="459"/>
        <v>886973.84315981728</v>
      </c>
      <c r="EG90" s="558">
        <f t="shared" si="459"/>
        <v>440614.21022333385</v>
      </c>
      <c r="EH90" s="558">
        <f t="shared" si="459"/>
        <v>766109.30758974701</v>
      </c>
      <c r="EI90" s="558">
        <f t="shared" si="459"/>
        <v>1178000</v>
      </c>
      <c r="EJ90" s="558">
        <f t="shared" si="459"/>
        <v>0</v>
      </c>
      <c r="EK90" s="558">
        <f t="shared" si="459"/>
        <v>3932042</v>
      </c>
      <c r="EL90" s="558">
        <f t="shared" si="459"/>
        <v>8896075.9201217424</v>
      </c>
      <c r="EM90" s="558">
        <f t="shared" si="459"/>
        <v>2817690.3194428757</v>
      </c>
      <c r="EN90" s="558">
        <f t="shared" si="459"/>
        <v>2639613.8452645098</v>
      </c>
      <c r="EO90" s="558">
        <f t="shared" si="459"/>
        <v>326536.14681555587</v>
      </c>
      <c r="EP90" s="558">
        <f t="shared" si="459"/>
        <v>3336103.6776025575</v>
      </c>
      <c r="EQ90" s="558">
        <f t="shared" si="459"/>
        <v>2318152.5044244276</v>
      </c>
      <c r="ER90" s="558">
        <f t="shared" si="459"/>
        <v>6886000</v>
      </c>
      <c r="ES90" s="558">
        <f t="shared" si="459"/>
        <v>2889369.4473401564</v>
      </c>
      <c r="ET90" s="558">
        <f t="shared" si="459"/>
        <v>1009463.051162631</v>
      </c>
      <c r="EU90" s="558">
        <f t="shared" si="459"/>
        <v>2803606.6057198732</v>
      </c>
      <c r="EV90" s="558">
        <f t="shared" si="459"/>
        <v>477773.51077815378</v>
      </c>
      <c r="EW90" s="558">
        <f t="shared" si="459"/>
        <v>2713993.2555374205</v>
      </c>
      <c r="EX90" s="558">
        <f t="shared" si="459"/>
        <v>6041308.9853405347</v>
      </c>
      <c r="EY90" s="558">
        <f t="shared" si="459"/>
        <v>2210257.3620478925</v>
      </c>
      <c r="EZ90" s="558">
        <f t="shared" si="459"/>
        <v>0</v>
      </c>
      <c r="FA90" s="558">
        <f t="shared" si="459"/>
        <v>1647298.424768026</v>
      </c>
      <c r="FB90" s="558">
        <f t="shared" si="459"/>
        <v>190221.06476100069</v>
      </c>
      <c r="FC90" s="558">
        <f t="shared" si="459"/>
        <v>3419615.4215486925</v>
      </c>
      <c r="FD90" s="558">
        <f t="shared" si="459"/>
        <v>0</v>
      </c>
      <c r="FE90" s="558">
        <f t="shared" si="459"/>
        <v>381240.58884631132</v>
      </c>
      <c r="FF90" s="558">
        <f t="shared" si="459"/>
        <v>1561200</v>
      </c>
      <c r="FG90" s="558">
        <f t="shared" si="459"/>
        <v>7407513.6169081787</v>
      </c>
      <c r="FH90" s="558">
        <f t="shared" si="459"/>
        <v>6173294.0092879785</v>
      </c>
      <c r="FI90" s="558">
        <f t="shared" si="459"/>
        <v>8073204.4650456514</v>
      </c>
      <c r="FJ90" s="558">
        <f t="shared" si="459"/>
        <v>2005186.3777589942</v>
      </c>
      <c r="FK90" s="558">
        <f t="shared" si="459"/>
        <v>162146.33952499987</v>
      </c>
      <c r="FL90" s="558">
        <f t="shared" si="459"/>
        <v>345739.50473852799</v>
      </c>
      <c r="FM90" s="558">
        <f t="shared" si="459"/>
        <v>1211428.2197958948</v>
      </c>
      <c r="FN90" s="558">
        <f t="shared" si="459"/>
        <v>7374936.4799554544</v>
      </c>
      <c r="FO90" s="558">
        <f t="shared" si="459"/>
        <v>1788495</v>
      </c>
      <c r="FP90" s="558">
        <f t="shared" si="459"/>
        <v>13145477.908851836</v>
      </c>
      <c r="FQ90" s="558">
        <f t="shared" si="459"/>
        <v>2074686</v>
      </c>
      <c r="FR90" s="558">
        <f t="shared" si="459"/>
        <v>236957.19834991742</v>
      </c>
      <c r="FS90" s="558">
        <f t="shared" si="459"/>
        <v>494433</v>
      </c>
      <c r="FT90" s="558">
        <f t="shared" si="459"/>
        <v>3530099.8824291308</v>
      </c>
      <c r="FU90" s="558">
        <f t="shared" si="459"/>
        <v>499359.40444292722</v>
      </c>
      <c r="FV90" s="558">
        <f t="shared" si="459"/>
        <v>646327.31987489713</v>
      </c>
      <c r="FW90" s="558">
        <f t="shared" si="459"/>
        <v>1035960.1804257705</v>
      </c>
      <c r="FX90" s="558">
        <f t="shared" si="459"/>
        <v>430673.10336206749</v>
      </c>
      <c r="FY90" s="558">
        <f t="shared" si="459"/>
        <v>246995.98079860391</v>
      </c>
      <c r="FZ90" s="558">
        <f t="shared" si="459"/>
        <v>2937555.0490599889</v>
      </c>
      <c r="GA90" s="558">
        <f t="shared" si="459"/>
        <v>281420.48958755797</v>
      </c>
      <c r="GB90" s="558">
        <f t="shared" si="459"/>
        <v>2576530.4823972816</v>
      </c>
      <c r="GC90" s="558">
        <f t="shared" si="459"/>
        <v>2357524.5564913559</v>
      </c>
      <c r="GD90" s="558">
        <f t="shared" si="459"/>
        <v>8619783.1418088414</v>
      </c>
      <c r="GE90" s="558">
        <f t="shared" si="459"/>
        <v>263290.93400108395</v>
      </c>
      <c r="GF90" s="558">
        <f t="shared" si="459"/>
        <v>4128600.1778761428</v>
      </c>
      <c r="GG90" s="558">
        <f t="shared" si="459"/>
        <v>1235672.3627191633</v>
      </c>
      <c r="GH90" s="558">
        <f t="shared" si="459"/>
        <v>1220741.4312772285</v>
      </c>
      <c r="GI90" s="558">
        <f t="shared" si="459"/>
        <v>8469766.4071446974</v>
      </c>
      <c r="GJ90" s="558">
        <f t="shared" si="459"/>
        <v>1990329.9452906616</v>
      </c>
      <c r="GK90" s="558">
        <f t="shared" si="459"/>
        <v>1370636.9297263294</v>
      </c>
      <c r="GL90" s="558">
        <f t="shared" si="459"/>
        <v>528275.13645609829</v>
      </c>
      <c r="GM90" s="558">
        <f t="shared" si="459"/>
        <v>760375.53055552836</v>
      </c>
      <c r="GN90" s="558">
        <f t="shared" ref="GN90:IY90" si="460">GN85-GN89</f>
        <v>842800.96011215367</v>
      </c>
      <c r="GO90" s="558">
        <f t="shared" si="460"/>
        <v>4782602.720837961</v>
      </c>
      <c r="GP90" s="558">
        <f t="shared" si="460"/>
        <v>546320.06174100889</v>
      </c>
      <c r="GQ90" s="558">
        <f t="shared" si="460"/>
        <v>392074.32871686108</v>
      </c>
      <c r="GR90" s="558">
        <f t="shared" si="460"/>
        <v>727124.60565148341</v>
      </c>
      <c r="GS90" s="558">
        <f t="shared" si="460"/>
        <v>500.38357740390347</v>
      </c>
      <c r="GT90" s="558">
        <f t="shared" si="460"/>
        <v>9374987.532092277</v>
      </c>
      <c r="GU90" s="558">
        <f t="shared" si="460"/>
        <v>1124440</v>
      </c>
      <c r="GV90" s="558">
        <f t="shared" si="460"/>
        <v>5580290.5417057229</v>
      </c>
      <c r="GW90" s="558">
        <f t="shared" si="460"/>
        <v>1046192.6315910704</v>
      </c>
      <c r="GX90" s="558">
        <f t="shared" si="460"/>
        <v>214376.4071474073</v>
      </c>
      <c r="GY90" s="558">
        <f t="shared" si="460"/>
        <v>12481689.311391907</v>
      </c>
      <c r="GZ90" s="558">
        <f t="shared" si="460"/>
        <v>0</v>
      </c>
      <c r="HA90" s="558">
        <f t="shared" si="460"/>
        <v>5787297.7336099232</v>
      </c>
      <c r="HB90" s="558">
        <f t="shared" si="460"/>
        <v>2721504.0990156494</v>
      </c>
      <c r="HC90" s="558">
        <f t="shared" si="460"/>
        <v>6154786.7581430916</v>
      </c>
      <c r="HD90" s="558">
        <f t="shared" si="460"/>
        <v>2094993.1421770533</v>
      </c>
      <c r="HE90" s="558">
        <f t="shared" si="460"/>
        <v>6446442.8207119014</v>
      </c>
      <c r="HF90" s="558">
        <f t="shared" si="460"/>
        <v>895469.6916607325</v>
      </c>
      <c r="HG90" s="558">
        <f t="shared" si="460"/>
        <v>529024.14310522261</v>
      </c>
      <c r="HH90" s="558">
        <f t="shared" si="460"/>
        <v>2034520.6688166854</v>
      </c>
      <c r="HI90" s="558">
        <f t="shared" si="460"/>
        <v>1475373.7304534884</v>
      </c>
      <c r="HJ90" s="558">
        <f t="shared" si="460"/>
        <v>0</v>
      </c>
      <c r="HK90" s="558">
        <f t="shared" si="460"/>
        <v>0</v>
      </c>
      <c r="HL90" s="558">
        <f t="shared" si="460"/>
        <v>29919735.951937858</v>
      </c>
      <c r="HM90" s="558">
        <f t="shared" si="460"/>
        <v>17375619.107148226</v>
      </c>
      <c r="HN90" s="558">
        <f t="shared" si="460"/>
        <v>0</v>
      </c>
      <c r="HO90" s="558">
        <f t="shared" si="460"/>
        <v>0</v>
      </c>
      <c r="HP90" s="558">
        <f t="shared" si="460"/>
        <v>23783464.706855141</v>
      </c>
      <c r="HQ90" s="558">
        <f t="shared" si="460"/>
        <v>741876.88410925679</v>
      </c>
      <c r="HR90" s="558">
        <f t="shared" si="460"/>
        <v>25389083.094365582</v>
      </c>
      <c r="HS90" s="558">
        <f t="shared" si="460"/>
        <v>5169783.9315081565</v>
      </c>
      <c r="HT90" s="558">
        <f t="shared" si="460"/>
        <v>11459032.32864411</v>
      </c>
      <c r="HU90" s="558">
        <f t="shared" si="460"/>
        <v>20666775.635119144</v>
      </c>
      <c r="HV90" s="558">
        <f t="shared" si="460"/>
        <v>15417267.034960145</v>
      </c>
      <c r="HW90" s="558">
        <f t="shared" si="460"/>
        <v>3770676.1447960516</v>
      </c>
      <c r="HX90" s="558">
        <f t="shared" si="460"/>
        <v>17432763.324346911</v>
      </c>
      <c r="HY90" s="558">
        <f t="shared" si="460"/>
        <v>13053218.511041602</v>
      </c>
      <c r="HZ90" s="558">
        <f t="shared" si="460"/>
        <v>7798336.9880200932</v>
      </c>
      <c r="IA90" s="558">
        <f t="shared" si="460"/>
        <v>6912342.5532564521</v>
      </c>
      <c r="IB90" s="558">
        <f t="shared" si="460"/>
        <v>6691660.819745549</v>
      </c>
      <c r="IC90" s="558">
        <f t="shared" si="460"/>
        <v>10050144.161970232</v>
      </c>
      <c r="ID90" s="558">
        <f t="shared" si="460"/>
        <v>8819854.4414508268</v>
      </c>
      <c r="IE90" s="558">
        <f t="shared" si="460"/>
        <v>15780605.08105946</v>
      </c>
      <c r="IF90" s="558">
        <f t="shared" si="460"/>
        <v>8939159.1239539851</v>
      </c>
      <c r="IG90" s="558">
        <f t="shared" si="460"/>
        <v>2790183.907091911</v>
      </c>
      <c r="IH90" s="558">
        <f t="shared" si="460"/>
        <v>2677804.6905609616</v>
      </c>
      <c r="II90" s="558">
        <f t="shared" si="460"/>
        <v>13143785.041353108</v>
      </c>
      <c r="IJ90" s="558">
        <f t="shared" si="460"/>
        <v>1498802.9614382302</v>
      </c>
      <c r="IK90" s="558">
        <f t="shared" si="460"/>
        <v>0</v>
      </c>
      <c r="IL90" s="558">
        <f t="shared" si="460"/>
        <v>7117104.0603340184</v>
      </c>
      <c r="IM90" s="558">
        <f t="shared" si="460"/>
        <v>405690.41450255323</v>
      </c>
      <c r="IN90" s="558">
        <f t="shared" si="460"/>
        <v>7340089.7149087843</v>
      </c>
      <c r="IO90" s="558">
        <f t="shared" si="460"/>
        <v>2834705.9552260214</v>
      </c>
      <c r="IP90" s="558">
        <f t="shared" si="460"/>
        <v>15324210.525659883</v>
      </c>
      <c r="IQ90" s="558">
        <f t="shared" si="460"/>
        <v>14690113.368089668</v>
      </c>
      <c r="IR90" s="558">
        <f t="shared" si="460"/>
        <v>724453.92066790513</v>
      </c>
      <c r="IS90" s="558">
        <f t="shared" si="460"/>
        <v>37175247.544143274</v>
      </c>
      <c r="IT90" s="558">
        <f t="shared" si="460"/>
        <v>9718376.933114484</v>
      </c>
      <c r="IU90" s="558">
        <f t="shared" si="460"/>
        <v>2493818.6416824842</v>
      </c>
      <c r="IV90" s="558">
        <f t="shared" si="460"/>
        <v>5702072.9069291987</v>
      </c>
      <c r="IW90" s="558">
        <f t="shared" si="460"/>
        <v>9088146.3252361882</v>
      </c>
      <c r="IX90" s="558">
        <f t="shared" si="460"/>
        <v>1461297.0388339385</v>
      </c>
      <c r="IY90" s="558">
        <f t="shared" si="460"/>
        <v>8722267.1853730716</v>
      </c>
      <c r="IZ90" s="558">
        <f t="shared" ref="IZ90:JH90" si="461">IZ85-IZ89</f>
        <v>19288840.525286894</v>
      </c>
      <c r="JA90" s="558">
        <f t="shared" si="461"/>
        <v>2265868.3397293384</v>
      </c>
      <c r="JB90" s="558">
        <f t="shared" si="461"/>
        <v>2813788.9601571974</v>
      </c>
      <c r="JC90" s="558">
        <f t="shared" si="461"/>
        <v>1445737.3693524669</v>
      </c>
      <c r="JD90" s="558">
        <f t="shared" si="461"/>
        <v>5734651.4754739245</v>
      </c>
      <c r="JE90" s="558">
        <f t="shared" si="461"/>
        <v>144589.10100252891</v>
      </c>
      <c r="JF90" s="558">
        <f t="shared" si="461"/>
        <v>31344744.254815314</v>
      </c>
      <c r="JG90" s="558">
        <f t="shared" si="461"/>
        <v>22719469.102824103</v>
      </c>
      <c r="JH90" s="558">
        <f t="shared" si="461"/>
        <v>1432360.5197921393</v>
      </c>
      <c r="JI90" s="558">
        <f t="shared" si="454"/>
        <v>1044738434.3292766</v>
      </c>
      <c r="JL90" s="307">
        <f t="shared" si="455"/>
        <v>24973953.006884523</v>
      </c>
      <c r="JM90" s="307">
        <f t="shared" si="455"/>
        <v>359162653.60581142</v>
      </c>
      <c r="JN90" s="307">
        <f t="shared" si="455"/>
        <v>181332207.10871238</v>
      </c>
      <c r="JO90" s="307">
        <f t="shared" si="455"/>
        <v>479269620.60786831</v>
      </c>
      <c r="JP90" s="307">
        <f t="shared" si="447"/>
        <v>1044738434.3292767</v>
      </c>
    </row>
    <row r="92" spans="1:276" x14ac:dyDescent="0.25">
      <c r="A92" s="507">
        <v>4.6699999999999998E-2</v>
      </c>
      <c r="B92" s="612" t="s">
        <v>2624</v>
      </c>
      <c r="C92" s="314"/>
      <c r="D92" s="314"/>
      <c r="E92" s="314"/>
      <c r="F92" s="314"/>
      <c r="G92" s="314"/>
      <c r="H92" s="314"/>
      <c r="I92" s="314"/>
      <c r="J92" s="314"/>
      <c r="K92" s="314"/>
      <c r="L92" s="314"/>
      <c r="M92" s="314"/>
      <c r="N92" s="314"/>
      <c r="O92" s="314"/>
      <c r="P92" s="314"/>
      <c r="Q92" s="314"/>
      <c r="R92" s="314"/>
      <c r="S92" s="314"/>
      <c r="T92" s="314"/>
      <c r="U92" s="314"/>
      <c r="V92" s="314"/>
      <c r="W92" s="314"/>
      <c r="X92" s="314"/>
      <c r="Y92" s="314"/>
      <c r="Z92" s="314"/>
      <c r="AA92" s="314"/>
      <c r="AB92" s="314"/>
      <c r="AC92" s="314"/>
      <c r="AD92" s="314"/>
      <c r="AE92" s="314"/>
      <c r="AF92" s="314"/>
      <c r="AG92" s="314"/>
      <c r="AH92" s="314"/>
      <c r="AI92" s="314"/>
      <c r="AJ92" s="314"/>
      <c r="AK92" s="314"/>
      <c r="AL92" s="314"/>
      <c r="AM92" s="314"/>
      <c r="AN92" s="314"/>
      <c r="AO92" s="314"/>
      <c r="AP92" s="314"/>
      <c r="AQ92" s="314"/>
      <c r="AR92" s="314"/>
      <c r="AS92" s="314"/>
      <c r="AT92" s="314"/>
      <c r="AU92" s="314"/>
      <c r="AV92" s="314"/>
      <c r="AW92" s="314"/>
      <c r="AX92" s="314"/>
      <c r="AY92" s="314"/>
      <c r="AZ92" s="314"/>
      <c r="BA92" s="314"/>
      <c r="BB92" s="314"/>
      <c r="BC92" s="314"/>
      <c r="BD92" s="314"/>
      <c r="BE92" s="314"/>
      <c r="BF92" s="314"/>
      <c r="BG92" s="314"/>
      <c r="BH92" s="314"/>
      <c r="BI92" s="314"/>
      <c r="BJ92" s="314"/>
      <c r="BK92" s="314"/>
      <c r="BL92" s="314"/>
      <c r="BM92" s="314"/>
      <c r="BN92" s="314"/>
      <c r="BO92" s="314"/>
      <c r="BP92" s="314"/>
      <c r="BQ92" s="314"/>
      <c r="BR92" s="314"/>
      <c r="BS92" s="314"/>
      <c r="BT92" s="314"/>
      <c r="BU92" s="314"/>
      <c r="BV92" s="314"/>
      <c r="BW92" s="314"/>
      <c r="BX92" s="314"/>
      <c r="BY92" s="314"/>
      <c r="BZ92" s="314"/>
      <c r="CA92" s="314"/>
      <c r="CB92" s="314"/>
      <c r="CC92" s="314"/>
      <c r="CD92" s="314"/>
      <c r="CE92" s="314"/>
      <c r="CF92" s="314"/>
      <c r="CG92" s="314"/>
      <c r="CH92" s="314"/>
      <c r="CI92" s="314"/>
      <c r="CJ92" s="314"/>
      <c r="CK92" s="314"/>
      <c r="CL92" s="314"/>
      <c r="CM92" s="314"/>
      <c r="CN92" s="314"/>
      <c r="CO92" s="314"/>
      <c r="CP92" s="314"/>
      <c r="CQ92" s="314"/>
      <c r="CR92" s="314"/>
      <c r="CS92" s="314"/>
      <c r="CT92" s="314"/>
      <c r="CU92" s="314"/>
      <c r="CV92" s="314"/>
      <c r="CW92" s="314"/>
      <c r="CX92" s="314"/>
      <c r="CY92" s="314"/>
      <c r="CZ92" s="314"/>
      <c r="DA92" s="314"/>
      <c r="DB92" s="314"/>
      <c r="DC92" s="314"/>
      <c r="DD92" s="314"/>
      <c r="DE92" s="314"/>
      <c r="DF92" s="314"/>
      <c r="DG92" s="314"/>
      <c r="DH92" s="314"/>
      <c r="DI92" s="314"/>
      <c r="DJ92" s="314"/>
      <c r="DK92" s="314"/>
      <c r="DL92" s="314"/>
      <c r="DM92" s="314"/>
      <c r="DN92" s="314"/>
      <c r="DO92" s="314"/>
      <c r="DP92" s="314"/>
      <c r="DQ92" s="314"/>
      <c r="DR92" s="314"/>
      <c r="DS92" s="314"/>
      <c r="DT92" s="314"/>
      <c r="DU92" s="314"/>
      <c r="DV92" s="314"/>
      <c r="DW92" s="314"/>
      <c r="DX92" s="314"/>
      <c r="DY92" s="314"/>
      <c r="DZ92" s="314"/>
      <c r="EA92" s="314"/>
      <c r="EB92" s="314"/>
      <c r="EC92" s="314"/>
      <c r="ED92" s="314"/>
      <c r="EE92" s="314"/>
      <c r="EF92" s="314"/>
      <c r="EG92" s="314"/>
      <c r="EH92" s="314"/>
      <c r="EI92" s="314"/>
      <c r="EJ92" s="314"/>
      <c r="EK92" s="314"/>
      <c r="EL92" s="314"/>
      <c r="EM92" s="314"/>
      <c r="EN92" s="314"/>
      <c r="EO92" s="314"/>
      <c r="EP92" s="314"/>
      <c r="EQ92" s="314"/>
      <c r="ER92" s="314"/>
      <c r="ES92" s="314"/>
      <c r="ET92" s="314">
        <f t="shared" ref="ET92:HE92" si="462">ET46*$A92</f>
        <v>47141.92448929487</v>
      </c>
      <c r="EU92" s="314">
        <f t="shared" si="462"/>
        <v>133925.50880418078</v>
      </c>
      <c r="EV92" s="314">
        <f t="shared" si="462"/>
        <v>34687.52295333978</v>
      </c>
      <c r="EW92" s="314">
        <f t="shared" si="462"/>
        <v>208935.48503359754</v>
      </c>
      <c r="EX92" s="314">
        <f t="shared" si="462"/>
        <v>467000</v>
      </c>
      <c r="EY92" s="314">
        <f t="shared" si="462"/>
        <v>151091.48689274295</v>
      </c>
      <c r="EZ92" s="314">
        <f t="shared" si="462"/>
        <v>55131.365046615829</v>
      </c>
      <c r="FA92" s="314">
        <f t="shared" si="462"/>
        <v>123454.22513666681</v>
      </c>
      <c r="FB92" s="314">
        <f t="shared" si="462"/>
        <v>12406.531712251144</v>
      </c>
      <c r="FC92" s="314">
        <f t="shared" si="462"/>
        <v>377411.44018632395</v>
      </c>
      <c r="FD92" s="314">
        <f t="shared" si="462"/>
        <v>77711.412095124018</v>
      </c>
      <c r="FE92" s="314">
        <f t="shared" si="462"/>
        <v>37987.675499122735</v>
      </c>
      <c r="FF92" s="314">
        <f t="shared" si="462"/>
        <v>119608.04</v>
      </c>
      <c r="FG92" s="314">
        <f t="shared" si="462"/>
        <v>477970.85831310292</v>
      </c>
      <c r="FH92" s="314">
        <f t="shared" si="462"/>
        <v>382687.96009999997</v>
      </c>
      <c r="FI92" s="314">
        <f t="shared" si="462"/>
        <v>490817</v>
      </c>
      <c r="FJ92" s="314">
        <f t="shared" si="462"/>
        <v>150665.408</v>
      </c>
      <c r="FK92" s="314">
        <f t="shared" si="462"/>
        <v>44990.136787858275</v>
      </c>
      <c r="FL92" s="314">
        <f t="shared" si="462"/>
        <v>56208.717015637936</v>
      </c>
      <c r="FM92" s="314">
        <f t="shared" si="462"/>
        <v>268413.09076253796</v>
      </c>
      <c r="FN92" s="314">
        <f t="shared" si="462"/>
        <v>371910.93011391972</v>
      </c>
      <c r="FO92" s="314">
        <f t="shared" si="462"/>
        <v>133873.86259999999</v>
      </c>
      <c r="FP92" s="314">
        <f t="shared" si="462"/>
        <v>794273.6</v>
      </c>
      <c r="FQ92" s="314">
        <f t="shared" si="462"/>
        <v>102407.77619999999</v>
      </c>
      <c r="FR92" s="314">
        <f t="shared" si="462"/>
        <v>179664.3936247786</v>
      </c>
      <c r="FS92" s="314">
        <f t="shared" si="462"/>
        <v>30425.05</v>
      </c>
      <c r="FT92" s="314">
        <f t="shared" si="462"/>
        <v>274208.0783389709</v>
      </c>
      <c r="FU92" s="314">
        <f t="shared" si="462"/>
        <v>33530.6</v>
      </c>
      <c r="FV92" s="314">
        <f t="shared" si="462"/>
        <v>87080.150638157691</v>
      </c>
      <c r="FW92" s="314">
        <f t="shared" si="462"/>
        <v>98280.15</v>
      </c>
      <c r="FX92" s="314">
        <f t="shared" si="462"/>
        <v>46139.6</v>
      </c>
      <c r="FY92" s="314">
        <f t="shared" si="462"/>
        <v>22602.799999999999</v>
      </c>
      <c r="FZ92" s="314">
        <f t="shared" si="462"/>
        <v>366400.96379110147</v>
      </c>
      <c r="GA92" s="314">
        <f t="shared" si="462"/>
        <v>46334.361863738959</v>
      </c>
      <c r="GB92" s="314">
        <f t="shared" si="462"/>
        <v>330570.36251010589</v>
      </c>
      <c r="GC92" s="314">
        <f t="shared" si="462"/>
        <v>186440.41663966837</v>
      </c>
      <c r="GD92" s="314">
        <f t="shared" si="462"/>
        <v>690841.89594519313</v>
      </c>
      <c r="GE92" s="314">
        <f t="shared" si="462"/>
        <v>107410</v>
      </c>
      <c r="GF92" s="314">
        <f t="shared" si="462"/>
        <v>247024.32830681585</v>
      </c>
      <c r="GG92" s="314">
        <f t="shared" si="462"/>
        <v>78253.89933898492</v>
      </c>
      <c r="GH92" s="314">
        <f t="shared" si="462"/>
        <v>70084.624840646575</v>
      </c>
      <c r="GI92" s="314">
        <f t="shared" si="462"/>
        <v>715362.23236138071</v>
      </c>
      <c r="GJ92" s="314">
        <f t="shared" si="462"/>
        <v>151129.606</v>
      </c>
      <c r="GK92" s="314">
        <f t="shared" si="462"/>
        <v>106847.4051</v>
      </c>
      <c r="GL92" s="314">
        <f t="shared" si="462"/>
        <v>58321.108199999995</v>
      </c>
      <c r="GM92" s="314">
        <f t="shared" si="462"/>
        <v>67838.007799999992</v>
      </c>
      <c r="GN92" s="314">
        <f t="shared" si="462"/>
        <v>54031.9</v>
      </c>
      <c r="GO92" s="314">
        <f t="shared" si="462"/>
        <v>313807.23469999997</v>
      </c>
      <c r="GP92" s="314">
        <f t="shared" si="462"/>
        <v>61861.438083305111</v>
      </c>
      <c r="GQ92" s="314">
        <f t="shared" si="462"/>
        <v>82481.539999999994</v>
      </c>
      <c r="GR92" s="314">
        <f t="shared" si="462"/>
        <v>78041.052083924267</v>
      </c>
      <c r="GS92" s="314">
        <f t="shared" si="462"/>
        <v>44990.136787858275</v>
      </c>
      <c r="GT92" s="314">
        <f t="shared" si="462"/>
        <v>690195.6231487093</v>
      </c>
      <c r="GU92" s="314">
        <f t="shared" si="462"/>
        <v>74927.347999999998</v>
      </c>
      <c r="GV92" s="314">
        <f t="shared" si="462"/>
        <v>388213.4193706137</v>
      </c>
      <c r="GW92" s="314">
        <f t="shared" si="462"/>
        <v>104467.74251679877</v>
      </c>
      <c r="GX92" s="314">
        <f t="shared" si="462"/>
        <v>39537.590167326576</v>
      </c>
      <c r="GY92" s="314">
        <f t="shared" si="462"/>
        <v>1311988.6325000001</v>
      </c>
      <c r="GZ92" s="314">
        <f t="shared" si="462"/>
        <v>187547.40093594202</v>
      </c>
      <c r="HA92" s="314">
        <f t="shared" si="462"/>
        <v>552841.38043076987</v>
      </c>
      <c r="HB92" s="314">
        <f t="shared" si="462"/>
        <v>479679.2414240308</v>
      </c>
      <c r="HC92" s="314">
        <f t="shared" si="462"/>
        <v>620129.29999999993</v>
      </c>
      <c r="HD92" s="314">
        <f t="shared" si="462"/>
        <v>186440.41663966837</v>
      </c>
      <c r="HE92" s="314">
        <f t="shared" si="462"/>
        <v>455871.39</v>
      </c>
      <c r="HF92" s="314">
        <f t="shared" ref="HF92:JH92" si="463">HF46*$A92</f>
        <v>114550.75689999999</v>
      </c>
      <c r="HG92" s="314">
        <f t="shared" si="463"/>
        <v>45260.005499999999</v>
      </c>
      <c r="HH92" s="314">
        <f t="shared" si="463"/>
        <v>163945.34824573921</v>
      </c>
      <c r="HI92" s="314">
        <f t="shared" si="463"/>
        <v>231430.55342752661</v>
      </c>
      <c r="HJ92" s="314">
        <f t="shared" si="463"/>
        <v>0</v>
      </c>
      <c r="HK92" s="314">
        <f t="shared" si="463"/>
        <v>56124.06</v>
      </c>
      <c r="HL92" s="314">
        <f t="shared" si="463"/>
        <v>2010303.0432695986</v>
      </c>
      <c r="HM92" s="314">
        <f t="shared" si="463"/>
        <v>1135511.5938144352</v>
      </c>
      <c r="HN92" s="314">
        <f t="shared" si="463"/>
        <v>36122.588330516228</v>
      </c>
      <c r="HO92" s="314">
        <f t="shared" si="463"/>
        <v>0</v>
      </c>
      <c r="HP92" s="314">
        <f t="shared" si="463"/>
        <v>1542641.0999999999</v>
      </c>
      <c r="HQ92" s="314">
        <f t="shared" si="463"/>
        <v>48220.549242541354</v>
      </c>
      <c r="HR92" s="314">
        <f t="shared" si="463"/>
        <v>1709911.4656927667</v>
      </c>
      <c r="HS92" s="314">
        <f t="shared" si="463"/>
        <v>336025.86356616416</v>
      </c>
      <c r="HT92" s="314">
        <f t="shared" si="463"/>
        <v>868408.4298749856</v>
      </c>
      <c r="HU92" s="314">
        <f t="shared" si="463"/>
        <v>1283506.7697432255</v>
      </c>
      <c r="HV92" s="314">
        <f t="shared" si="463"/>
        <v>1004423.6</v>
      </c>
      <c r="HW92" s="314">
        <f t="shared" si="463"/>
        <v>259741.66399999999</v>
      </c>
      <c r="HX92" s="314">
        <f t="shared" si="463"/>
        <v>1199803.3866424877</v>
      </c>
      <c r="HY92" s="314">
        <f t="shared" si="463"/>
        <v>952319.57749986672</v>
      </c>
      <c r="HZ92" s="314">
        <f t="shared" si="463"/>
        <v>509964.23245830182</v>
      </c>
      <c r="IA92" s="314">
        <f t="shared" si="463"/>
        <v>466060.39600000001</v>
      </c>
      <c r="IB92" s="314">
        <f t="shared" si="463"/>
        <v>458739.41915318329</v>
      </c>
      <c r="IC92" s="314">
        <f t="shared" si="463"/>
        <v>676659.65</v>
      </c>
      <c r="ID92" s="314">
        <f t="shared" si="463"/>
        <v>551807.19999999995</v>
      </c>
      <c r="IE92" s="314">
        <f t="shared" si="463"/>
        <v>933722.57947498222</v>
      </c>
      <c r="IF92" s="314">
        <f t="shared" si="463"/>
        <v>803176.18856169318</v>
      </c>
      <c r="IG92" s="314">
        <f t="shared" si="463"/>
        <v>247053.23069624769</v>
      </c>
      <c r="IH92" s="314">
        <f t="shared" si="463"/>
        <v>187430.70346017109</v>
      </c>
      <c r="II92" s="314">
        <f t="shared" si="463"/>
        <v>925313.01216222881</v>
      </c>
      <c r="IJ92" s="314">
        <f t="shared" si="463"/>
        <v>101970.70808564803</v>
      </c>
      <c r="IK92" s="314">
        <f t="shared" si="463"/>
        <v>155086.73050000001</v>
      </c>
      <c r="IL92" s="314">
        <f t="shared" si="463"/>
        <v>479416.62869461364</v>
      </c>
      <c r="IM92" s="314">
        <f t="shared" si="463"/>
        <v>26931.393039439557</v>
      </c>
      <c r="IN92" s="314">
        <f t="shared" si="463"/>
        <v>512952.29121302482</v>
      </c>
      <c r="IO92" s="314">
        <f t="shared" si="463"/>
        <v>194985.64899561403</v>
      </c>
      <c r="IP92" s="314">
        <f t="shared" si="463"/>
        <v>1050634.519193012</v>
      </c>
      <c r="IQ92" s="314">
        <f t="shared" si="463"/>
        <v>1050140.9051111932</v>
      </c>
      <c r="IR92" s="314">
        <f t="shared" si="463"/>
        <v>49796.331841928026</v>
      </c>
      <c r="IS92" s="314">
        <f t="shared" si="463"/>
        <v>2596916.9499999997</v>
      </c>
      <c r="IT92" s="314">
        <f t="shared" si="463"/>
        <v>670009.56999999995</v>
      </c>
      <c r="IU92" s="314">
        <f t="shared" si="463"/>
        <v>171269.29765591683</v>
      </c>
      <c r="IV92" s="314">
        <f t="shared" si="463"/>
        <v>414055.07408918667</v>
      </c>
      <c r="IW92" s="314">
        <f t="shared" si="463"/>
        <v>659525.25570504065</v>
      </c>
      <c r="IX92" s="314">
        <f t="shared" si="463"/>
        <v>100358.26716689731</v>
      </c>
      <c r="IY92" s="314">
        <f t="shared" si="463"/>
        <v>531304.24256233533</v>
      </c>
      <c r="IZ92" s="314">
        <f t="shared" si="463"/>
        <v>1180603.8330484934</v>
      </c>
      <c r="JA92" s="314">
        <f t="shared" si="463"/>
        <v>143953.2202563601</v>
      </c>
      <c r="JB92" s="314">
        <f t="shared" si="463"/>
        <v>177551.67210734112</v>
      </c>
      <c r="JC92" s="314">
        <f t="shared" si="463"/>
        <v>101316.3719517602</v>
      </c>
      <c r="JD92" s="314">
        <f t="shared" si="463"/>
        <v>313503.64619463228</v>
      </c>
      <c r="JE92" s="314">
        <f t="shared" si="463"/>
        <v>39695</v>
      </c>
      <c r="JF92" s="314">
        <f t="shared" si="463"/>
        <v>1890313.26</v>
      </c>
      <c r="JG92" s="314">
        <f t="shared" si="463"/>
        <v>1429462.2100032198</v>
      </c>
      <c r="JH92" s="314">
        <f t="shared" si="463"/>
        <v>66891.236274292896</v>
      </c>
      <c r="JI92" s="314">
        <f t="shared" si="454"/>
        <v>47709376.011237428</v>
      </c>
    </row>
    <row r="93" spans="1:276" ht="15.75" thickBot="1" x14ac:dyDescent="0.3">
      <c r="A93" s="557"/>
      <c r="B93" s="557" t="s">
        <v>2578</v>
      </c>
      <c r="C93" s="558">
        <f>IF(C90-C92&lt;0,0,C90-C92)</f>
        <v>8884422.5558247231</v>
      </c>
      <c r="D93" s="558">
        <f t="shared" ref="D93:BP93" si="464">IF(D90-D92&lt;0,0,D90-D92)</f>
        <v>7790346.0422490994</v>
      </c>
      <c r="E93" s="558">
        <f t="shared" si="464"/>
        <v>8299184.4088107003</v>
      </c>
      <c r="F93" s="558">
        <f t="shared" si="464"/>
        <v>3616884.7088353573</v>
      </c>
      <c r="G93" s="558">
        <f t="shared" si="464"/>
        <v>10328003.127290595</v>
      </c>
      <c r="H93" s="558">
        <f t="shared" si="464"/>
        <v>0</v>
      </c>
      <c r="I93" s="558">
        <f t="shared" si="464"/>
        <v>0</v>
      </c>
      <c r="J93" s="558">
        <f t="shared" si="464"/>
        <v>126485.23608403429</v>
      </c>
      <c r="K93" s="558">
        <f t="shared" si="464"/>
        <v>6393271.2513013156</v>
      </c>
      <c r="L93" s="558">
        <f t="shared" si="464"/>
        <v>3774970</v>
      </c>
      <c r="M93" s="558">
        <f t="shared" si="464"/>
        <v>3667775.238895766</v>
      </c>
      <c r="N93" s="558">
        <f t="shared" si="464"/>
        <v>5360828.6030266704</v>
      </c>
      <c r="O93" s="558">
        <f t="shared" si="464"/>
        <v>4448411.4210138666</v>
      </c>
      <c r="P93" s="558">
        <f t="shared" si="464"/>
        <v>2570026.0021816893</v>
      </c>
      <c r="Q93" s="558">
        <f t="shared" si="464"/>
        <v>1836488.4791010155</v>
      </c>
      <c r="R93" s="558">
        <f t="shared" si="464"/>
        <v>2124718.1</v>
      </c>
      <c r="S93" s="558">
        <f t="shared" si="464"/>
        <v>1637152.8</v>
      </c>
      <c r="T93" s="558">
        <f t="shared" si="464"/>
        <v>622773.51077815378</v>
      </c>
      <c r="U93" s="558">
        <f t="shared" si="464"/>
        <v>1099204</v>
      </c>
      <c r="V93" s="558">
        <f t="shared" si="464"/>
        <v>9233620</v>
      </c>
      <c r="W93" s="558">
        <f t="shared" si="464"/>
        <v>2379600</v>
      </c>
      <c r="X93" s="558">
        <f t="shared" si="464"/>
        <v>2304335.8095085779</v>
      </c>
      <c r="Y93" s="558">
        <f t="shared" si="464"/>
        <v>1969745.4492107111</v>
      </c>
      <c r="Z93" s="558">
        <f t="shared" si="464"/>
        <v>7242633.1903780317</v>
      </c>
      <c r="AA93" s="558">
        <f t="shared" si="464"/>
        <v>4244705.4490248738</v>
      </c>
      <c r="AB93" s="558">
        <f t="shared" si="464"/>
        <v>3678130.7057224135</v>
      </c>
      <c r="AC93" s="558">
        <f t="shared" ref="AC93" si="465">IF(AC90-AC92&lt;0,0,AC90-AC92)</f>
        <v>481158.31194833241</v>
      </c>
      <c r="AD93" s="558">
        <f t="shared" si="464"/>
        <v>2590229.1206235653</v>
      </c>
      <c r="AE93" s="558">
        <f t="shared" si="464"/>
        <v>103737.52589894389</v>
      </c>
      <c r="AF93" s="558">
        <f t="shared" si="464"/>
        <v>1219244.9295379582</v>
      </c>
      <c r="AG93" s="558">
        <f t="shared" si="464"/>
        <v>3450812.7548698969</v>
      </c>
      <c r="AH93" s="558">
        <f t="shared" si="464"/>
        <v>807300</v>
      </c>
      <c r="AI93" s="558">
        <f t="shared" si="464"/>
        <v>4192325.3830934064</v>
      </c>
      <c r="AJ93" s="558">
        <f t="shared" si="464"/>
        <v>2683430.309376765</v>
      </c>
      <c r="AK93" s="558">
        <f t="shared" si="464"/>
        <v>1383868</v>
      </c>
      <c r="AL93" s="558">
        <f t="shared" si="464"/>
        <v>1952909.1633510776</v>
      </c>
      <c r="AM93" s="558">
        <f t="shared" si="464"/>
        <v>1499708.3726341231</v>
      </c>
      <c r="AN93" s="558">
        <f t="shared" si="464"/>
        <v>1148955.198498779</v>
      </c>
      <c r="AO93" s="558">
        <f t="shared" si="464"/>
        <v>4903755.5596356187</v>
      </c>
      <c r="AP93" s="558">
        <f t="shared" si="464"/>
        <v>2124765.1162296012</v>
      </c>
      <c r="AQ93" s="558">
        <f t="shared" si="464"/>
        <v>688702.88446015073</v>
      </c>
      <c r="AR93" s="558">
        <f t="shared" si="464"/>
        <v>1531740.3992508459</v>
      </c>
      <c r="AS93" s="558">
        <f t="shared" si="464"/>
        <v>495253.22022333386</v>
      </c>
      <c r="AT93" s="558">
        <f t="shared" si="464"/>
        <v>2498113.4323683418</v>
      </c>
      <c r="AU93" s="558">
        <f t="shared" si="464"/>
        <v>992216.93946642126</v>
      </c>
      <c r="AV93" s="558">
        <f t="shared" si="464"/>
        <v>2003660.6772952261</v>
      </c>
      <c r="AW93" s="558">
        <f t="shared" si="464"/>
        <v>16112.012350120116</v>
      </c>
      <c r="AX93" s="558">
        <f t="shared" si="464"/>
        <v>3240135.311080751</v>
      </c>
      <c r="AY93" s="558">
        <f t="shared" si="464"/>
        <v>3300190.5406568907</v>
      </c>
      <c r="AZ93" s="558">
        <f t="shared" si="464"/>
        <v>3359628.6683306773</v>
      </c>
      <c r="BA93" s="558">
        <f t="shared" si="464"/>
        <v>9913000</v>
      </c>
      <c r="BB93" s="558">
        <f t="shared" si="464"/>
        <v>1329742.5807072239</v>
      </c>
      <c r="BC93" s="558">
        <f t="shared" si="464"/>
        <v>1223742.4938025323</v>
      </c>
      <c r="BD93" s="558">
        <f t="shared" si="464"/>
        <v>1916258.3325785431</v>
      </c>
      <c r="BE93" s="558">
        <f t="shared" si="464"/>
        <v>0</v>
      </c>
      <c r="BF93" s="558">
        <f t="shared" si="464"/>
        <v>2669371.3941904306</v>
      </c>
      <c r="BG93" s="558">
        <f t="shared" si="464"/>
        <v>3342000</v>
      </c>
      <c r="BH93" s="558">
        <f t="shared" si="464"/>
        <v>3388109.2415605099</v>
      </c>
      <c r="BI93" s="558">
        <f t="shared" si="464"/>
        <v>2302086.889306257</v>
      </c>
      <c r="BJ93" s="558">
        <f t="shared" si="464"/>
        <v>2734458.8535647267</v>
      </c>
      <c r="BK93" s="558">
        <f t="shared" si="464"/>
        <v>185490.09231459786</v>
      </c>
      <c r="BL93" s="558">
        <f t="shared" si="464"/>
        <v>455138.49500087276</v>
      </c>
      <c r="BM93" s="558">
        <f t="shared" si="464"/>
        <v>2033799.04</v>
      </c>
      <c r="BN93" s="558">
        <f t="shared" si="464"/>
        <v>1657101.9931537434</v>
      </c>
      <c r="BO93" s="558">
        <f t="shared" si="464"/>
        <v>1051279.6524752458</v>
      </c>
      <c r="BP93" s="558">
        <f t="shared" si="464"/>
        <v>4652080</v>
      </c>
      <c r="BQ93" s="558">
        <f t="shared" ref="BQ93:EB93" si="466">IF(BQ90-BQ92&lt;0,0,BQ90-BQ92)</f>
        <v>66564.165662464104</v>
      </c>
      <c r="BR93" s="558">
        <f t="shared" si="466"/>
        <v>1288942.0242748552</v>
      </c>
      <c r="BS93" s="558">
        <f t="shared" si="466"/>
        <v>1310282.2989678741</v>
      </c>
      <c r="BT93" s="558">
        <f t="shared" si="466"/>
        <v>914160.26616723067</v>
      </c>
      <c r="BU93" s="558">
        <f t="shared" si="466"/>
        <v>3939338</v>
      </c>
      <c r="BV93" s="558">
        <f t="shared" si="466"/>
        <v>1177908.0353182531</v>
      </c>
      <c r="BW93" s="558">
        <f t="shared" si="466"/>
        <v>532683</v>
      </c>
      <c r="BX93" s="558">
        <f t="shared" si="466"/>
        <v>4708889.1910633538</v>
      </c>
      <c r="BY93" s="558">
        <f t="shared" si="466"/>
        <v>1520144</v>
      </c>
      <c r="BZ93" s="558">
        <f t="shared" si="466"/>
        <v>324150</v>
      </c>
      <c r="CA93" s="558">
        <f t="shared" si="466"/>
        <v>0</v>
      </c>
      <c r="CB93" s="558">
        <f t="shared" si="466"/>
        <v>571519.10142146726</v>
      </c>
      <c r="CC93" s="558">
        <f t="shared" si="466"/>
        <v>2238055.6625416637</v>
      </c>
      <c r="CD93" s="558">
        <f t="shared" si="466"/>
        <v>661848.21685573971</v>
      </c>
      <c r="CE93" s="558">
        <f t="shared" si="466"/>
        <v>9715050.1253167707</v>
      </c>
      <c r="CF93" s="558">
        <f t="shared" si="466"/>
        <v>4453617.8393289512</v>
      </c>
      <c r="CG93" s="558">
        <f t="shared" si="466"/>
        <v>231159.49607044645</v>
      </c>
      <c r="CH93" s="558">
        <f t="shared" si="466"/>
        <v>0</v>
      </c>
      <c r="CI93" s="558">
        <f t="shared" si="466"/>
        <v>21633.155796868727</v>
      </c>
      <c r="CJ93" s="558">
        <f t="shared" si="466"/>
        <v>3854195.0818283353</v>
      </c>
      <c r="CK93" s="558">
        <f t="shared" si="466"/>
        <v>4571780</v>
      </c>
      <c r="CL93" s="558">
        <f t="shared" si="466"/>
        <v>56438.59728209069</v>
      </c>
      <c r="CM93" s="558">
        <f t="shared" si="466"/>
        <v>6012336.4399863137</v>
      </c>
      <c r="CN93" s="558">
        <f t="shared" si="466"/>
        <v>1342009.9127194914</v>
      </c>
      <c r="CO93" s="558">
        <f t="shared" si="466"/>
        <v>1214500</v>
      </c>
      <c r="CP93" s="558">
        <f t="shared" si="466"/>
        <v>1268807.7168003041</v>
      </c>
      <c r="CQ93" s="558">
        <f t="shared" si="466"/>
        <v>5515036.573718125</v>
      </c>
      <c r="CR93" s="558">
        <f t="shared" si="466"/>
        <v>2367817</v>
      </c>
      <c r="CS93" s="558">
        <f t="shared" si="466"/>
        <v>187555.67419309285</v>
      </c>
      <c r="CT93" s="558">
        <f t="shared" si="466"/>
        <v>0</v>
      </c>
      <c r="CU93" s="558">
        <f t="shared" si="466"/>
        <v>1974027.6887355854</v>
      </c>
      <c r="CV93" s="558">
        <f t="shared" si="466"/>
        <v>5644990.9859210327</v>
      </c>
      <c r="CW93" s="558">
        <f t="shared" si="466"/>
        <v>445664.10646689229</v>
      </c>
      <c r="CX93" s="558">
        <f t="shared" si="466"/>
        <v>3686532</v>
      </c>
      <c r="CY93" s="558">
        <f t="shared" si="466"/>
        <v>2881083.2839012085</v>
      </c>
      <c r="CZ93" s="558">
        <f t="shared" si="466"/>
        <v>446100</v>
      </c>
      <c r="DA93" s="558">
        <f t="shared" si="466"/>
        <v>8391147.0119362772</v>
      </c>
      <c r="DB93" s="558">
        <f t="shared" si="466"/>
        <v>801256.55127554876</v>
      </c>
      <c r="DC93" s="558">
        <f t="shared" si="466"/>
        <v>1952214.4635382525</v>
      </c>
      <c r="DD93" s="558">
        <f t="shared" si="466"/>
        <v>428740.05018450413</v>
      </c>
      <c r="DE93" s="558">
        <f t="shared" si="466"/>
        <v>1595404.8713862468</v>
      </c>
      <c r="DF93" s="558">
        <f t="shared" si="466"/>
        <v>7381996.8713862468</v>
      </c>
      <c r="DG93" s="558">
        <f t="shared" si="466"/>
        <v>802938.16515118408</v>
      </c>
      <c r="DH93" s="558">
        <f t="shared" si="466"/>
        <v>908244.44020215096</v>
      </c>
      <c r="DI93" s="558">
        <f t="shared" si="466"/>
        <v>0</v>
      </c>
      <c r="DJ93" s="558">
        <f t="shared" si="466"/>
        <v>65990.976314039901</v>
      </c>
      <c r="DK93" s="558">
        <f t="shared" si="466"/>
        <v>224452.83531246078</v>
      </c>
      <c r="DL93" s="558">
        <f t="shared" si="466"/>
        <v>4094296.2218004535</v>
      </c>
      <c r="DM93" s="558">
        <f t="shared" si="466"/>
        <v>1966503.0838138557</v>
      </c>
      <c r="DN93" s="558">
        <f t="shared" si="466"/>
        <v>4052035.7644601618</v>
      </c>
      <c r="DO93" s="558">
        <f t="shared" si="466"/>
        <v>1402300.3922101089</v>
      </c>
      <c r="DP93" s="558">
        <f t="shared" si="466"/>
        <v>4045363.78</v>
      </c>
      <c r="DQ93" s="558">
        <f t="shared" si="466"/>
        <v>4329795</v>
      </c>
      <c r="DR93" s="558">
        <f t="shared" si="466"/>
        <v>4985313.5</v>
      </c>
      <c r="DS93" s="558">
        <f t="shared" si="466"/>
        <v>1625552.2365860054</v>
      </c>
      <c r="DT93" s="558">
        <f t="shared" si="466"/>
        <v>3379864.0513730422</v>
      </c>
      <c r="DU93" s="558">
        <f t="shared" si="466"/>
        <v>35402.15315866132</v>
      </c>
      <c r="DV93" s="558">
        <f t="shared" si="466"/>
        <v>6440000</v>
      </c>
      <c r="DW93" s="558">
        <f t="shared" si="466"/>
        <v>368896.922364717</v>
      </c>
      <c r="DX93" s="558">
        <f t="shared" si="466"/>
        <v>0</v>
      </c>
      <c r="DY93" s="558">
        <f t="shared" si="466"/>
        <v>4581142.7504826486</v>
      </c>
      <c r="DZ93" s="558">
        <f t="shared" si="466"/>
        <v>723925.6888148766</v>
      </c>
      <c r="EA93" s="558">
        <f t="shared" si="466"/>
        <v>4141440.9263814236</v>
      </c>
      <c r="EB93" s="558">
        <f t="shared" si="466"/>
        <v>5751412.8583436497</v>
      </c>
      <c r="EC93" s="558">
        <f t="shared" ref="EC93:GN93" si="467">IF(EC90-EC92&lt;0,0,EC90-EC92)</f>
        <v>3507637.7512384658</v>
      </c>
      <c r="ED93" s="558">
        <f t="shared" si="467"/>
        <v>3789855.4215401057</v>
      </c>
      <c r="EE93" s="558">
        <f t="shared" si="467"/>
        <v>750052.03204477963</v>
      </c>
      <c r="EF93" s="558">
        <f t="shared" si="467"/>
        <v>886973.84315981728</v>
      </c>
      <c r="EG93" s="558">
        <f t="shared" si="467"/>
        <v>440614.21022333385</v>
      </c>
      <c r="EH93" s="558">
        <f t="shared" si="467"/>
        <v>766109.30758974701</v>
      </c>
      <c r="EI93" s="558">
        <f t="shared" si="467"/>
        <v>1178000</v>
      </c>
      <c r="EJ93" s="558">
        <f t="shared" si="467"/>
        <v>0</v>
      </c>
      <c r="EK93" s="558">
        <f t="shared" si="467"/>
        <v>3932042</v>
      </c>
      <c r="EL93" s="558">
        <f t="shared" si="467"/>
        <v>8896075.9201217424</v>
      </c>
      <c r="EM93" s="558">
        <f t="shared" si="467"/>
        <v>2817690.3194428757</v>
      </c>
      <c r="EN93" s="558">
        <f t="shared" si="467"/>
        <v>2639613.8452645098</v>
      </c>
      <c r="EO93" s="558">
        <f t="shared" si="467"/>
        <v>326536.14681555587</v>
      </c>
      <c r="EP93" s="558">
        <f t="shared" si="467"/>
        <v>3336103.6776025575</v>
      </c>
      <c r="EQ93" s="558">
        <f t="shared" si="467"/>
        <v>2318152.5044244276</v>
      </c>
      <c r="ER93" s="558">
        <f t="shared" si="467"/>
        <v>6886000</v>
      </c>
      <c r="ES93" s="558">
        <f t="shared" si="467"/>
        <v>2889369.4473401564</v>
      </c>
      <c r="ET93" s="558">
        <f t="shared" si="467"/>
        <v>962321.12667333614</v>
      </c>
      <c r="EU93" s="558">
        <f t="shared" si="467"/>
        <v>2669681.0969156926</v>
      </c>
      <c r="EV93" s="558">
        <f t="shared" si="467"/>
        <v>443085.98782481399</v>
      </c>
      <c r="EW93" s="558">
        <f t="shared" si="467"/>
        <v>2505057.7705038232</v>
      </c>
      <c r="EX93" s="558">
        <f t="shared" si="467"/>
        <v>5574308.9853405347</v>
      </c>
      <c r="EY93" s="558">
        <f t="shared" si="467"/>
        <v>2059165.8751551495</v>
      </c>
      <c r="EZ93" s="558">
        <f t="shared" si="467"/>
        <v>0</v>
      </c>
      <c r="FA93" s="558">
        <f t="shared" si="467"/>
        <v>1523844.1996313592</v>
      </c>
      <c r="FB93" s="558">
        <f t="shared" si="467"/>
        <v>177814.53304874955</v>
      </c>
      <c r="FC93" s="558">
        <f t="shared" si="467"/>
        <v>3042203.9813623684</v>
      </c>
      <c r="FD93" s="558">
        <f t="shared" si="467"/>
        <v>0</v>
      </c>
      <c r="FE93" s="558">
        <f t="shared" si="467"/>
        <v>343252.91334718862</v>
      </c>
      <c r="FF93" s="558">
        <f t="shared" si="467"/>
        <v>1441591.96</v>
      </c>
      <c r="FG93" s="558">
        <f t="shared" si="467"/>
        <v>6929542.7585950755</v>
      </c>
      <c r="FH93" s="558">
        <f t="shared" si="467"/>
        <v>5790606.0491879787</v>
      </c>
      <c r="FI93" s="558">
        <f t="shared" si="467"/>
        <v>7582387.4650456514</v>
      </c>
      <c r="FJ93" s="558">
        <f t="shared" si="467"/>
        <v>1854520.9697589942</v>
      </c>
      <c r="FK93" s="558">
        <f t="shared" si="467"/>
        <v>117156.2027371416</v>
      </c>
      <c r="FL93" s="558">
        <f t="shared" si="467"/>
        <v>289530.78772289003</v>
      </c>
      <c r="FM93" s="558">
        <f t="shared" si="467"/>
        <v>943015.1290333569</v>
      </c>
      <c r="FN93" s="558">
        <f t="shared" si="467"/>
        <v>7003025.5498415343</v>
      </c>
      <c r="FO93" s="558">
        <f t="shared" si="467"/>
        <v>1654621.1373999999</v>
      </c>
      <c r="FP93" s="558">
        <f t="shared" si="467"/>
        <v>12351204.308851836</v>
      </c>
      <c r="FQ93" s="558">
        <f t="shared" si="467"/>
        <v>1972278.2238</v>
      </c>
      <c r="FR93" s="558">
        <f t="shared" si="467"/>
        <v>57292.80472513882</v>
      </c>
      <c r="FS93" s="558">
        <f t="shared" si="467"/>
        <v>464007.95</v>
      </c>
      <c r="FT93" s="558">
        <f t="shared" si="467"/>
        <v>3255891.8040901599</v>
      </c>
      <c r="FU93" s="558">
        <f t="shared" si="467"/>
        <v>465828.80444292724</v>
      </c>
      <c r="FV93" s="558">
        <f t="shared" si="467"/>
        <v>559247.1692367394</v>
      </c>
      <c r="FW93" s="558">
        <f t="shared" si="467"/>
        <v>937680.03042577044</v>
      </c>
      <c r="FX93" s="558">
        <f t="shared" si="467"/>
        <v>384533.50336206751</v>
      </c>
      <c r="FY93" s="558">
        <f t="shared" si="467"/>
        <v>224393.18079860392</v>
      </c>
      <c r="FZ93" s="558">
        <f t="shared" si="467"/>
        <v>2571154.0852688877</v>
      </c>
      <c r="GA93" s="558">
        <f t="shared" si="467"/>
        <v>235086.12772381899</v>
      </c>
      <c r="GB93" s="558">
        <f t="shared" si="467"/>
        <v>2245960.1198871755</v>
      </c>
      <c r="GC93" s="558">
        <f t="shared" si="467"/>
        <v>2171084.1398516875</v>
      </c>
      <c r="GD93" s="558">
        <f t="shared" si="467"/>
        <v>7928941.2458636481</v>
      </c>
      <c r="GE93" s="558">
        <f t="shared" si="467"/>
        <v>155880.93400108395</v>
      </c>
      <c r="GF93" s="558">
        <f t="shared" si="467"/>
        <v>3881575.8495693267</v>
      </c>
      <c r="GG93" s="558">
        <f t="shared" si="467"/>
        <v>1157418.4633801784</v>
      </c>
      <c r="GH93" s="558">
        <f t="shared" si="467"/>
        <v>1150656.806436582</v>
      </c>
      <c r="GI93" s="558">
        <f t="shared" si="467"/>
        <v>7754404.1747833164</v>
      </c>
      <c r="GJ93" s="558">
        <f t="shared" si="467"/>
        <v>1839200.3392906617</v>
      </c>
      <c r="GK93" s="558">
        <f t="shared" si="467"/>
        <v>1263789.5246263293</v>
      </c>
      <c r="GL93" s="558">
        <f t="shared" si="467"/>
        <v>469954.02825609827</v>
      </c>
      <c r="GM93" s="558">
        <f t="shared" si="467"/>
        <v>692537.52275552833</v>
      </c>
      <c r="GN93" s="558">
        <f t="shared" si="467"/>
        <v>788769.06011215365</v>
      </c>
      <c r="GO93" s="558">
        <f t="shared" ref="GO93:IZ93" si="468">IF(GO90-GO92&lt;0,0,GO90-GO92)</f>
        <v>4468795.486137961</v>
      </c>
      <c r="GP93" s="558">
        <f t="shared" si="468"/>
        <v>484458.62365770375</v>
      </c>
      <c r="GQ93" s="558">
        <f t="shared" si="468"/>
        <v>309592.78871686111</v>
      </c>
      <c r="GR93" s="558">
        <f t="shared" si="468"/>
        <v>649083.55356755911</v>
      </c>
      <c r="GS93" s="558">
        <f t="shared" si="468"/>
        <v>0</v>
      </c>
      <c r="GT93" s="558">
        <f t="shared" si="468"/>
        <v>8684791.9089435674</v>
      </c>
      <c r="GU93" s="558">
        <f t="shared" si="468"/>
        <v>1049512.652</v>
      </c>
      <c r="GV93" s="558">
        <f t="shared" si="468"/>
        <v>5192077.1223351089</v>
      </c>
      <c r="GW93" s="558">
        <f t="shared" si="468"/>
        <v>941724.88907427166</v>
      </c>
      <c r="GX93" s="558">
        <f t="shared" si="468"/>
        <v>174838.81698008074</v>
      </c>
      <c r="GY93" s="558">
        <f t="shared" si="468"/>
        <v>11169700.678891907</v>
      </c>
      <c r="GZ93" s="558">
        <f t="shared" si="468"/>
        <v>0</v>
      </c>
      <c r="HA93" s="558">
        <f t="shared" si="468"/>
        <v>5234456.3531791531</v>
      </c>
      <c r="HB93" s="558">
        <f t="shared" si="468"/>
        <v>2241824.8575916188</v>
      </c>
      <c r="HC93" s="558">
        <f t="shared" si="468"/>
        <v>5534657.4581430918</v>
      </c>
      <c r="HD93" s="558">
        <f t="shared" si="468"/>
        <v>1908552.7255373849</v>
      </c>
      <c r="HE93" s="558">
        <f t="shared" si="468"/>
        <v>5990571.4307119017</v>
      </c>
      <c r="HF93" s="558">
        <f t="shared" si="468"/>
        <v>780918.93476073246</v>
      </c>
      <c r="HG93" s="558">
        <f t="shared" si="468"/>
        <v>483764.13760522264</v>
      </c>
      <c r="HH93" s="558">
        <f t="shared" si="468"/>
        <v>1870575.3205709462</v>
      </c>
      <c r="HI93" s="558">
        <f t="shared" si="468"/>
        <v>1243943.1770259617</v>
      </c>
      <c r="HJ93" s="558">
        <f t="shared" si="468"/>
        <v>0</v>
      </c>
      <c r="HK93" s="558">
        <f t="shared" si="468"/>
        <v>0</v>
      </c>
      <c r="HL93" s="558">
        <f t="shared" si="468"/>
        <v>27909432.908668261</v>
      </c>
      <c r="HM93" s="558">
        <f t="shared" si="468"/>
        <v>16240107.513333792</v>
      </c>
      <c r="HN93" s="558">
        <f t="shared" si="468"/>
        <v>0</v>
      </c>
      <c r="HO93" s="558">
        <f t="shared" si="468"/>
        <v>0</v>
      </c>
      <c r="HP93" s="558">
        <f t="shared" si="468"/>
        <v>22240823.606855139</v>
      </c>
      <c r="HQ93" s="558">
        <f t="shared" si="468"/>
        <v>693656.33486671548</v>
      </c>
      <c r="HR93" s="558">
        <f t="shared" si="468"/>
        <v>23679171.628672816</v>
      </c>
      <c r="HS93" s="558">
        <f t="shared" si="468"/>
        <v>4833758.0679419925</v>
      </c>
      <c r="HT93" s="558">
        <f t="shared" si="468"/>
        <v>10590623.898769123</v>
      </c>
      <c r="HU93" s="558">
        <f t="shared" si="468"/>
        <v>19383268.865375917</v>
      </c>
      <c r="HV93" s="558">
        <f t="shared" si="468"/>
        <v>14412843.434960146</v>
      </c>
      <c r="HW93" s="558">
        <f t="shared" si="468"/>
        <v>3510934.4807960517</v>
      </c>
      <c r="HX93" s="558">
        <f t="shared" si="468"/>
        <v>16232959.937704423</v>
      </c>
      <c r="HY93" s="558">
        <f t="shared" si="468"/>
        <v>12100898.933541736</v>
      </c>
      <c r="HZ93" s="558">
        <f t="shared" si="468"/>
        <v>7288372.7555617914</v>
      </c>
      <c r="IA93" s="558">
        <f t="shared" si="468"/>
        <v>6446282.1572564524</v>
      </c>
      <c r="IB93" s="558">
        <f t="shared" si="468"/>
        <v>6232921.4005923653</v>
      </c>
      <c r="IC93" s="558">
        <f t="shared" si="468"/>
        <v>9373484.5119702313</v>
      </c>
      <c r="ID93" s="558">
        <f t="shared" si="468"/>
        <v>8268047.2414508266</v>
      </c>
      <c r="IE93" s="558">
        <f t="shared" si="468"/>
        <v>14846882.501584478</v>
      </c>
      <c r="IF93" s="558">
        <f t="shared" si="468"/>
        <v>8135982.9353922922</v>
      </c>
      <c r="IG93" s="558">
        <f t="shared" si="468"/>
        <v>2543130.6763956631</v>
      </c>
      <c r="IH93" s="558">
        <f t="shared" si="468"/>
        <v>2490373.9871007907</v>
      </c>
      <c r="II93" s="558">
        <f t="shared" si="468"/>
        <v>12218472.029190879</v>
      </c>
      <c r="IJ93" s="558">
        <f t="shared" si="468"/>
        <v>1396832.2533525822</v>
      </c>
      <c r="IK93" s="558">
        <f t="shared" si="468"/>
        <v>0</v>
      </c>
      <c r="IL93" s="558">
        <f t="shared" si="468"/>
        <v>6637687.431639405</v>
      </c>
      <c r="IM93" s="558">
        <f t="shared" si="468"/>
        <v>378759.02146311366</v>
      </c>
      <c r="IN93" s="558">
        <f t="shared" si="468"/>
        <v>6827137.4236957598</v>
      </c>
      <c r="IO93" s="558">
        <f t="shared" si="468"/>
        <v>2639720.3062304072</v>
      </c>
      <c r="IP93" s="558">
        <f t="shared" si="468"/>
        <v>14273576.006466871</v>
      </c>
      <c r="IQ93" s="558">
        <f t="shared" si="468"/>
        <v>13639972.462978475</v>
      </c>
      <c r="IR93" s="558">
        <f t="shared" si="468"/>
        <v>674657.58882597706</v>
      </c>
      <c r="IS93" s="558">
        <f t="shared" si="468"/>
        <v>34578330.594143271</v>
      </c>
      <c r="IT93" s="558">
        <f t="shared" si="468"/>
        <v>9048367.3631144837</v>
      </c>
      <c r="IU93" s="558">
        <f t="shared" si="468"/>
        <v>2322549.3440265674</v>
      </c>
      <c r="IV93" s="558">
        <f t="shared" si="468"/>
        <v>5288017.8328400124</v>
      </c>
      <c r="IW93" s="558">
        <f t="shared" si="468"/>
        <v>8428621.0695311483</v>
      </c>
      <c r="IX93" s="558">
        <f t="shared" si="468"/>
        <v>1360938.7716670414</v>
      </c>
      <c r="IY93" s="558">
        <f t="shared" si="468"/>
        <v>8190962.9428107366</v>
      </c>
      <c r="IZ93" s="558">
        <f t="shared" si="468"/>
        <v>18108236.692238402</v>
      </c>
      <c r="JA93" s="558">
        <f t="shared" ref="JA93:JH93" si="469">IF(JA90-JA92&lt;0,0,JA90-JA92)</f>
        <v>2121915.1194729782</v>
      </c>
      <c r="JB93" s="558">
        <f t="shared" si="469"/>
        <v>2636237.2880498562</v>
      </c>
      <c r="JC93" s="558">
        <f t="shared" si="469"/>
        <v>1344420.9974007066</v>
      </c>
      <c r="JD93" s="558">
        <f t="shared" si="469"/>
        <v>5421147.8292792924</v>
      </c>
      <c r="JE93" s="558">
        <f t="shared" si="469"/>
        <v>104894.10100252891</v>
      </c>
      <c r="JF93" s="558">
        <f t="shared" si="469"/>
        <v>29454430.994815312</v>
      </c>
      <c r="JG93" s="558">
        <f t="shared" si="469"/>
        <v>21290006.892820884</v>
      </c>
      <c r="JH93" s="558">
        <f t="shared" si="469"/>
        <v>1365469.2835178464</v>
      </c>
      <c r="JI93" s="558">
        <f t="shared" si="454"/>
        <v>997641271.62815809</v>
      </c>
      <c r="JJ93" s="263">
        <f>'Zdroje 2019 a 2020'!H3</f>
        <v>947856000</v>
      </c>
      <c r="JL93" s="307">
        <f t="shared" ref="JL93:JO96" si="470">SUMIFS($C93:$JH93,$C$5:$JH$5,JL$5)</f>
        <v>24973953.006884523</v>
      </c>
      <c r="JM93" s="307">
        <f t="shared" si="470"/>
        <v>359162653.60581142</v>
      </c>
      <c r="JN93" s="307">
        <f t="shared" si="470"/>
        <v>166299345.5960964</v>
      </c>
      <c r="JO93" s="307">
        <f t="shared" si="470"/>
        <v>447205319.41936553</v>
      </c>
      <c r="JP93" s="307">
        <f t="shared" ref="JP93:JP96" si="471">SUM(JL93:JO93)</f>
        <v>997641271.62815785</v>
      </c>
    </row>
    <row r="94" spans="1:276" ht="15.75" thickBot="1" x14ac:dyDescent="0.3">
      <c r="A94" s="557"/>
      <c r="B94" s="570" t="s">
        <v>2603</v>
      </c>
      <c r="C94" s="571">
        <f>IF(C93&gt;C7,C7,C93)</f>
        <v>8884422.5558247231</v>
      </c>
      <c r="D94" s="571">
        <f t="shared" ref="D94:BP94" si="472">IF(D93&gt;D7,D7,D93)</f>
        <v>7730000</v>
      </c>
      <c r="E94" s="571">
        <f t="shared" si="472"/>
        <v>8299184.4088107003</v>
      </c>
      <c r="F94" s="571">
        <f t="shared" si="472"/>
        <v>3616884.7088353573</v>
      </c>
      <c r="G94" s="571">
        <f t="shared" si="472"/>
        <v>10328003.127290595</v>
      </c>
      <c r="H94" s="571">
        <f t="shared" si="472"/>
        <v>0</v>
      </c>
      <c r="I94" s="571">
        <f t="shared" si="472"/>
        <v>0</v>
      </c>
      <c r="J94" s="571">
        <f t="shared" si="472"/>
        <v>126485.23608403429</v>
      </c>
      <c r="K94" s="571">
        <f t="shared" si="472"/>
        <v>5988080</v>
      </c>
      <c r="L94" s="571">
        <f t="shared" si="472"/>
        <v>3774970</v>
      </c>
      <c r="M94" s="571">
        <f t="shared" si="472"/>
        <v>3667775.238895766</v>
      </c>
      <c r="N94" s="571">
        <f t="shared" si="472"/>
        <v>5360828.6030266704</v>
      </c>
      <c r="O94" s="571">
        <f t="shared" si="472"/>
        <v>4346141</v>
      </c>
      <c r="P94" s="571">
        <f t="shared" si="472"/>
        <v>2570026.0021816893</v>
      </c>
      <c r="Q94" s="571">
        <f t="shared" si="472"/>
        <v>1836488.4791010155</v>
      </c>
      <c r="R94" s="571">
        <f t="shared" si="472"/>
        <v>2091000</v>
      </c>
      <c r="S94" s="571">
        <f t="shared" si="472"/>
        <v>1637152.8</v>
      </c>
      <c r="T94" s="571">
        <f t="shared" si="472"/>
        <v>622773.51077815378</v>
      </c>
      <c r="U94" s="571">
        <f t="shared" si="472"/>
        <v>1087500</v>
      </c>
      <c r="V94" s="571">
        <f t="shared" si="472"/>
        <v>9233620</v>
      </c>
      <c r="W94" s="571">
        <f t="shared" si="472"/>
        <v>2130000</v>
      </c>
      <c r="X94" s="571">
        <f t="shared" si="472"/>
        <v>2304335.8095085779</v>
      </c>
      <c r="Y94" s="571">
        <f t="shared" si="472"/>
        <v>1770700</v>
      </c>
      <c r="Z94" s="571">
        <f t="shared" si="472"/>
        <v>7231924</v>
      </c>
      <c r="AA94" s="571">
        <f t="shared" si="472"/>
        <v>4244705.4490248738</v>
      </c>
      <c r="AB94" s="571">
        <f t="shared" si="472"/>
        <v>3678130.7057224135</v>
      </c>
      <c r="AC94" s="571">
        <f t="shared" ref="AC94" si="473">IF(AC93&gt;AC7,AC7,AC93)</f>
        <v>481158.31194833241</v>
      </c>
      <c r="AD94" s="571">
        <f t="shared" si="472"/>
        <v>2590229.1206235653</v>
      </c>
      <c r="AE94" s="571">
        <f t="shared" si="472"/>
        <v>103737.52589894389</v>
      </c>
      <c r="AF94" s="571">
        <f t="shared" si="472"/>
        <v>1219244.9295379582</v>
      </c>
      <c r="AG94" s="571">
        <f t="shared" si="472"/>
        <v>3450812.7548698969</v>
      </c>
      <c r="AH94" s="571">
        <f t="shared" si="472"/>
        <v>760000</v>
      </c>
      <c r="AI94" s="571">
        <f t="shared" si="472"/>
        <v>3404000</v>
      </c>
      <c r="AJ94" s="571">
        <f t="shared" si="472"/>
        <v>2585000</v>
      </c>
      <c r="AK94" s="571">
        <f t="shared" si="472"/>
        <v>1251400</v>
      </c>
      <c r="AL94" s="571">
        <f t="shared" si="472"/>
        <v>1952909.1633510776</v>
      </c>
      <c r="AM94" s="571">
        <f t="shared" si="472"/>
        <v>1499708.3726341231</v>
      </c>
      <c r="AN94" s="571">
        <f t="shared" si="472"/>
        <v>1148955.198498779</v>
      </c>
      <c r="AO94" s="571">
        <f t="shared" si="472"/>
        <v>4903755.5596356187</v>
      </c>
      <c r="AP94" s="571">
        <f t="shared" si="472"/>
        <v>2124765.1162296012</v>
      </c>
      <c r="AQ94" s="571">
        <f t="shared" si="472"/>
        <v>491000</v>
      </c>
      <c r="AR94" s="571">
        <f t="shared" si="472"/>
        <v>1531740.3992508459</v>
      </c>
      <c r="AS94" s="571">
        <f t="shared" si="472"/>
        <v>495253.22022333386</v>
      </c>
      <c r="AT94" s="571">
        <f t="shared" si="472"/>
        <v>2498113.4323683418</v>
      </c>
      <c r="AU94" s="571">
        <f t="shared" si="472"/>
        <v>992216.93946642126</v>
      </c>
      <c r="AV94" s="571">
        <f t="shared" si="472"/>
        <v>2003660.6772952261</v>
      </c>
      <c r="AW94" s="571">
        <f t="shared" si="472"/>
        <v>16112.012350120116</v>
      </c>
      <c r="AX94" s="571">
        <f t="shared" si="472"/>
        <v>3240135.311080751</v>
      </c>
      <c r="AY94" s="571">
        <f t="shared" si="472"/>
        <v>3300190.5406568907</v>
      </c>
      <c r="AZ94" s="571">
        <f t="shared" si="472"/>
        <v>2981000</v>
      </c>
      <c r="BA94" s="571">
        <f t="shared" si="472"/>
        <v>9230000</v>
      </c>
      <c r="BB94" s="571">
        <f t="shared" si="472"/>
        <v>1312920</v>
      </c>
      <c r="BC94" s="571">
        <f t="shared" si="472"/>
        <v>1223742.4938025323</v>
      </c>
      <c r="BD94" s="571">
        <f t="shared" si="472"/>
        <v>1916258.3325785431</v>
      </c>
      <c r="BE94" s="571">
        <f t="shared" si="472"/>
        <v>0</v>
      </c>
      <c r="BF94" s="571">
        <f t="shared" si="472"/>
        <v>2020000</v>
      </c>
      <c r="BG94" s="571">
        <f t="shared" si="472"/>
        <v>2499000</v>
      </c>
      <c r="BH94" s="571">
        <f t="shared" si="472"/>
        <v>3206000</v>
      </c>
      <c r="BI94" s="571">
        <f t="shared" si="472"/>
        <v>1270000</v>
      </c>
      <c r="BJ94" s="571">
        <f t="shared" si="472"/>
        <v>2734458.8535647267</v>
      </c>
      <c r="BK94" s="571">
        <f t="shared" si="472"/>
        <v>100000</v>
      </c>
      <c r="BL94" s="571">
        <f t="shared" si="472"/>
        <v>455138.49500087276</v>
      </c>
      <c r="BM94" s="571">
        <f t="shared" si="472"/>
        <v>1464826</v>
      </c>
      <c r="BN94" s="571">
        <f t="shared" si="472"/>
        <v>1657101.9931537434</v>
      </c>
      <c r="BO94" s="571">
        <f t="shared" si="472"/>
        <v>1051279.6524752458</v>
      </c>
      <c r="BP94" s="571">
        <f t="shared" si="472"/>
        <v>4652080</v>
      </c>
      <c r="BQ94" s="571">
        <f t="shared" ref="BQ94:EB94" si="474">IF(BQ93&gt;BQ7,BQ7,BQ93)</f>
        <v>66564.165662464104</v>
      </c>
      <c r="BR94" s="571">
        <f t="shared" si="474"/>
        <v>1013021</v>
      </c>
      <c r="BS94" s="571">
        <f t="shared" si="474"/>
        <v>1310282.2989678741</v>
      </c>
      <c r="BT94" s="571">
        <f t="shared" si="474"/>
        <v>914160.26616723067</v>
      </c>
      <c r="BU94" s="571">
        <f t="shared" si="474"/>
        <v>3939338</v>
      </c>
      <c r="BV94" s="571">
        <f t="shared" si="474"/>
        <v>1177908.0353182531</v>
      </c>
      <c r="BW94" s="571">
        <f t="shared" si="474"/>
        <v>532683</v>
      </c>
      <c r="BX94" s="571">
        <f t="shared" si="474"/>
        <v>4708889.1910633538</v>
      </c>
      <c r="BY94" s="571">
        <f t="shared" si="474"/>
        <v>1520144</v>
      </c>
      <c r="BZ94" s="571">
        <f t="shared" si="474"/>
        <v>324150</v>
      </c>
      <c r="CA94" s="571">
        <f t="shared" si="474"/>
        <v>0</v>
      </c>
      <c r="CB94" s="571">
        <f t="shared" si="474"/>
        <v>571519.10142146726</v>
      </c>
      <c r="CC94" s="571">
        <f t="shared" si="474"/>
        <v>2238055.6625416637</v>
      </c>
      <c r="CD94" s="571">
        <f t="shared" si="474"/>
        <v>661848.21685573971</v>
      </c>
      <c r="CE94" s="571">
        <f t="shared" si="474"/>
        <v>9715050.1253167707</v>
      </c>
      <c r="CF94" s="571">
        <f t="shared" si="474"/>
        <v>4453617.8393289512</v>
      </c>
      <c r="CG94" s="571">
        <f t="shared" si="474"/>
        <v>231159.49607044645</v>
      </c>
      <c r="CH94" s="571">
        <f t="shared" si="474"/>
        <v>0</v>
      </c>
      <c r="CI94" s="571">
        <f t="shared" si="474"/>
        <v>21633.155796868727</v>
      </c>
      <c r="CJ94" s="571">
        <f t="shared" si="474"/>
        <v>3854195.0818283353</v>
      </c>
      <c r="CK94" s="571">
        <f t="shared" si="474"/>
        <v>4542000</v>
      </c>
      <c r="CL94" s="571">
        <f t="shared" si="474"/>
        <v>56438.59728209069</v>
      </c>
      <c r="CM94" s="571">
        <f t="shared" si="474"/>
        <v>6012336.4399863137</v>
      </c>
      <c r="CN94" s="571">
        <f t="shared" si="474"/>
        <v>1342009.9127194914</v>
      </c>
      <c r="CO94" s="571">
        <f t="shared" si="474"/>
        <v>1214500</v>
      </c>
      <c r="CP94" s="571">
        <f t="shared" si="474"/>
        <v>1268807.7168003041</v>
      </c>
      <c r="CQ94" s="571">
        <f t="shared" si="474"/>
        <v>5515036.573718125</v>
      </c>
      <c r="CR94" s="571">
        <f t="shared" si="474"/>
        <v>2331094</v>
      </c>
      <c r="CS94" s="571">
        <f t="shared" si="474"/>
        <v>187555.67419309285</v>
      </c>
      <c r="CT94" s="571">
        <f t="shared" si="474"/>
        <v>0</v>
      </c>
      <c r="CU94" s="571">
        <f t="shared" si="474"/>
        <v>1875000</v>
      </c>
      <c r="CV94" s="571">
        <f t="shared" si="474"/>
        <v>5644990.9859210327</v>
      </c>
      <c r="CW94" s="571">
        <f t="shared" si="474"/>
        <v>400000</v>
      </c>
      <c r="CX94" s="571">
        <f t="shared" si="474"/>
        <v>3457000</v>
      </c>
      <c r="CY94" s="571">
        <f t="shared" si="474"/>
        <v>2881083.2839012085</v>
      </c>
      <c r="CZ94" s="571">
        <f t="shared" si="474"/>
        <v>371000</v>
      </c>
      <c r="DA94" s="571">
        <f t="shared" si="474"/>
        <v>7650000</v>
      </c>
      <c r="DB94" s="571">
        <f t="shared" si="474"/>
        <v>760808</v>
      </c>
      <c r="DC94" s="571">
        <f t="shared" si="474"/>
        <v>1952214.4635382525</v>
      </c>
      <c r="DD94" s="571">
        <f t="shared" si="474"/>
        <v>428740.05018450413</v>
      </c>
      <c r="DE94" s="571">
        <f t="shared" si="474"/>
        <v>1595404.8713862468</v>
      </c>
      <c r="DF94" s="571">
        <f t="shared" si="474"/>
        <v>4660760</v>
      </c>
      <c r="DG94" s="571">
        <f t="shared" si="474"/>
        <v>802938.16515118408</v>
      </c>
      <c r="DH94" s="571">
        <f t="shared" si="474"/>
        <v>908244.44020215096</v>
      </c>
      <c r="DI94" s="571">
        <f t="shared" si="474"/>
        <v>0</v>
      </c>
      <c r="DJ94" s="571">
        <f t="shared" si="474"/>
        <v>65990.976314039901</v>
      </c>
      <c r="DK94" s="571">
        <f t="shared" si="474"/>
        <v>224452.83531246078</v>
      </c>
      <c r="DL94" s="571">
        <f t="shared" si="474"/>
        <v>4094296.2218004535</v>
      </c>
      <c r="DM94" s="571">
        <f t="shared" si="474"/>
        <v>1966503.0838138557</v>
      </c>
      <c r="DN94" s="571">
        <f t="shared" si="474"/>
        <v>3689667</v>
      </c>
      <c r="DO94" s="571">
        <f t="shared" si="474"/>
        <v>1402300.3922101089</v>
      </c>
      <c r="DP94" s="571">
        <f t="shared" si="474"/>
        <v>4045363.78</v>
      </c>
      <c r="DQ94" s="571">
        <f t="shared" si="474"/>
        <v>4013645</v>
      </c>
      <c r="DR94" s="571">
        <f t="shared" si="474"/>
        <v>4423025</v>
      </c>
      <c r="DS94" s="571">
        <f t="shared" si="474"/>
        <v>878000</v>
      </c>
      <c r="DT94" s="571">
        <f t="shared" si="474"/>
        <v>3379864.0513730422</v>
      </c>
      <c r="DU94" s="571">
        <f t="shared" si="474"/>
        <v>0</v>
      </c>
      <c r="DV94" s="571">
        <f t="shared" si="474"/>
        <v>4423333</v>
      </c>
      <c r="DW94" s="571">
        <f t="shared" si="474"/>
        <v>0</v>
      </c>
      <c r="DX94" s="571">
        <f t="shared" si="474"/>
        <v>0</v>
      </c>
      <c r="DY94" s="571">
        <f t="shared" si="474"/>
        <v>4581142.7504826486</v>
      </c>
      <c r="DZ94" s="571">
        <f t="shared" si="474"/>
        <v>723925.6888148766</v>
      </c>
      <c r="EA94" s="571">
        <f t="shared" si="474"/>
        <v>3910500</v>
      </c>
      <c r="EB94" s="571">
        <f t="shared" si="474"/>
        <v>5751412.8583436497</v>
      </c>
      <c r="EC94" s="571">
        <f t="shared" ref="EC94:GN94" si="475">IF(EC93&gt;EC7,EC7,EC93)</f>
        <v>3507637.7512384658</v>
      </c>
      <c r="ED94" s="571">
        <f t="shared" si="475"/>
        <v>3789855.4215401057</v>
      </c>
      <c r="EE94" s="571">
        <f t="shared" si="475"/>
        <v>610000</v>
      </c>
      <c r="EF94" s="571">
        <f t="shared" si="475"/>
        <v>666000</v>
      </c>
      <c r="EG94" s="571">
        <f t="shared" si="475"/>
        <v>425000</v>
      </c>
      <c r="EH94" s="571">
        <f t="shared" si="475"/>
        <v>595000</v>
      </c>
      <c r="EI94" s="571">
        <f t="shared" si="475"/>
        <v>1025000</v>
      </c>
      <c r="EJ94" s="571">
        <f t="shared" si="475"/>
        <v>0</v>
      </c>
      <c r="EK94" s="571">
        <f t="shared" si="475"/>
        <v>3932042</v>
      </c>
      <c r="EL94" s="571">
        <f t="shared" si="475"/>
        <v>8896075.9201217424</v>
      </c>
      <c r="EM94" s="571">
        <f t="shared" si="475"/>
        <v>2817690.3194428757</v>
      </c>
      <c r="EN94" s="571">
        <f t="shared" si="475"/>
        <v>2526602</v>
      </c>
      <c r="EO94" s="571">
        <f t="shared" si="475"/>
        <v>326536.14681555587</v>
      </c>
      <c r="EP94" s="571">
        <f t="shared" si="475"/>
        <v>2970065</v>
      </c>
      <c r="EQ94" s="571">
        <f t="shared" si="475"/>
        <v>2318152.5044244276</v>
      </c>
      <c r="ER94" s="571">
        <f t="shared" si="475"/>
        <v>6229000</v>
      </c>
      <c r="ES94" s="571">
        <f t="shared" si="475"/>
        <v>2889369.4473401564</v>
      </c>
      <c r="ET94" s="571">
        <f t="shared" si="475"/>
        <v>901340</v>
      </c>
      <c r="EU94" s="571">
        <f t="shared" si="475"/>
        <v>2056000</v>
      </c>
      <c r="EV94" s="571">
        <f t="shared" si="475"/>
        <v>443085.98782481399</v>
      </c>
      <c r="EW94" s="571">
        <f t="shared" si="475"/>
        <v>2505057.7705038232</v>
      </c>
      <c r="EX94" s="571">
        <f t="shared" si="475"/>
        <v>5574308.9853405347</v>
      </c>
      <c r="EY94" s="571">
        <f t="shared" si="475"/>
        <v>2059165.8751551495</v>
      </c>
      <c r="EZ94" s="571">
        <f t="shared" si="475"/>
        <v>0</v>
      </c>
      <c r="FA94" s="571">
        <f t="shared" si="475"/>
        <v>990000</v>
      </c>
      <c r="FB94" s="571">
        <f t="shared" si="475"/>
        <v>177814.53304874955</v>
      </c>
      <c r="FC94" s="571">
        <f t="shared" si="475"/>
        <v>3042203.9813623684</v>
      </c>
      <c r="FD94" s="571">
        <f t="shared" si="475"/>
        <v>0</v>
      </c>
      <c r="FE94" s="571">
        <f t="shared" si="475"/>
        <v>343252.91334718862</v>
      </c>
      <c r="FF94" s="571">
        <f t="shared" si="475"/>
        <v>1441591.96</v>
      </c>
      <c r="FG94" s="571">
        <f t="shared" si="475"/>
        <v>5703200</v>
      </c>
      <c r="FH94" s="571">
        <f t="shared" si="475"/>
        <v>5790606.0491879787</v>
      </c>
      <c r="FI94" s="571">
        <f t="shared" si="475"/>
        <v>7582387.4650456514</v>
      </c>
      <c r="FJ94" s="571">
        <f t="shared" si="475"/>
        <v>1854520.9697589942</v>
      </c>
      <c r="FK94" s="571">
        <f t="shared" si="475"/>
        <v>117156.2027371416</v>
      </c>
      <c r="FL94" s="571">
        <f t="shared" si="475"/>
        <v>289530.78772289003</v>
      </c>
      <c r="FM94" s="571">
        <f t="shared" si="475"/>
        <v>943015.1290333569</v>
      </c>
      <c r="FN94" s="571">
        <f t="shared" si="475"/>
        <v>7003025.5498415343</v>
      </c>
      <c r="FO94" s="571">
        <f t="shared" si="475"/>
        <v>1654621.1373999999</v>
      </c>
      <c r="FP94" s="571">
        <f t="shared" si="475"/>
        <v>12351204.308851836</v>
      </c>
      <c r="FQ94" s="571">
        <f t="shared" si="475"/>
        <v>1972278.2238</v>
      </c>
      <c r="FR94" s="571">
        <f t="shared" si="475"/>
        <v>57292.80472513882</v>
      </c>
      <c r="FS94" s="571">
        <f t="shared" si="475"/>
        <v>464007.95</v>
      </c>
      <c r="FT94" s="571">
        <f t="shared" si="475"/>
        <v>3255891.8040901599</v>
      </c>
      <c r="FU94" s="571">
        <f t="shared" si="475"/>
        <v>465828.80444292724</v>
      </c>
      <c r="FV94" s="571">
        <f t="shared" si="475"/>
        <v>559247.1692367394</v>
      </c>
      <c r="FW94" s="571">
        <f t="shared" si="475"/>
        <v>937680.03042577044</v>
      </c>
      <c r="FX94" s="571">
        <f t="shared" si="475"/>
        <v>384533.50336206751</v>
      </c>
      <c r="FY94" s="571">
        <f t="shared" si="475"/>
        <v>200000</v>
      </c>
      <c r="FZ94" s="571">
        <f t="shared" si="475"/>
        <v>2571154.0852688877</v>
      </c>
      <c r="GA94" s="571">
        <f t="shared" si="475"/>
        <v>235086.12772381899</v>
      </c>
      <c r="GB94" s="571">
        <f t="shared" si="475"/>
        <v>2245960.1198871755</v>
      </c>
      <c r="GC94" s="571">
        <f t="shared" si="475"/>
        <v>2171084.1398516875</v>
      </c>
      <c r="GD94" s="571">
        <f t="shared" si="475"/>
        <v>7928941.2458636481</v>
      </c>
      <c r="GE94" s="571">
        <f t="shared" si="475"/>
        <v>155880.93400108395</v>
      </c>
      <c r="GF94" s="571">
        <f t="shared" si="475"/>
        <v>3881575.8495693267</v>
      </c>
      <c r="GG94" s="571">
        <f t="shared" si="475"/>
        <v>1157418.4633801784</v>
      </c>
      <c r="GH94" s="571">
        <f t="shared" si="475"/>
        <v>1054717</v>
      </c>
      <c r="GI94" s="571">
        <f t="shared" si="475"/>
        <v>7754404.1747833164</v>
      </c>
      <c r="GJ94" s="571">
        <f t="shared" si="475"/>
        <v>1839200.3392906617</v>
      </c>
      <c r="GK94" s="571">
        <f t="shared" si="475"/>
        <v>1100000</v>
      </c>
      <c r="GL94" s="571">
        <f t="shared" si="475"/>
        <v>469954.02825609827</v>
      </c>
      <c r="GM94" s="571">
        <f t="shared" si="475"/>
        <v>692537.52275552833</v>
      </c>
      <c r="GN94" s="571">
        <f t="shared" si="475"/>
        <v>788769.06011215365</v>
      </c>
      <c r="GO94" s="571">
        <f t="shared" ref="GO94:IZ94" si="476">IF(GO93&gt;GO7,GO7,GO93)</f>
        <v>4468795.486137961</v>
      </c>
      <c r="GP94" s="571">
        <f t="shared" si="476"/>
        <v>484458.62365770375</v>
      </c>
      <c r="GQ94" s="571">
        <f t="shared" si="476"/>
        <v>309592.78871686111</v>
      </c>
      <c r="GR94" s="571">
        <f t="shared" si="476"/>
        <v>610000</v>
      </c>
      <c r="GS94" s="571">
        <f t="shared" si="476"/>
        <v>0</v>
      </c>
      <c r="GT94" s="571">
        <f t="shared" si="476"/>
        <v>8684791.9089435674</v>
      </c>
      <c r="GU94" s="571">
        <f t="shared" si="476"/>
        <v>807440</v>
      </c>
      <c r="GV94" s="571">
        <f t="shared" si="476"/>
        <v>5000000</v>
      </c>
      <c r="GW94" s="571">
        <f t="shared" si="476"/>
        <v>941724.88907427166</v>
      </c>
      <c r="GX94" s="571">
        <f t="shared" si="476"/>
        <v>150000</v>
      </c>
      <c r="GY94" s="571">
        <f t="shared" si="476"/>
        <v>11169700.678891907</v>
      </c>
      <c r="GZ94" s="571">
        <f t="shared" si="476"/>
        <v>0</v>
      </c>
      <c r="HA94" s="571">
        <f t="shared" si="476"/>
        <v>5200000</v>
      </c>
      <c r="HB94" s="571">
        <f t="shared" si="476"/>
        <v>2241824.8575916188</v>
      </c>
      <c r="HC94" s="571">
        <f t="shared" si="476"/>
        <v>5534657.4581430918</v>
      </c>
      <c r="HD94" s="571">
        <f t="shared" si="476"/>
        <v>1908552.7255373849</v>
      </c>
      <c r="HE94" s="571">
        <f t="shared" si="476"/>
        <v>4945200</v>
      </c>
      <c r="HF94" s="571">
        <f t="shared" si="476"/>
        <v>780918.93476073246</v>
      </c>
      <c r="HG94" s="571">
        <f t="shared" si="476"/>
        <v>483764.13760522264</v>
      </c>
      <c r="HH94" s="571">
        <f t="shared" si="476"/>
        <v>1870575.3205709462</v>
      </c>
      <c r="HI94" s="571">
        <f t="shared" si="476"/>
        <v>1243943.1770259617</v>
      </c>
      <c r="HJ94" s="571">
        <f t="shared" si="476"/>
        <v>0</v>
      </c>
      <c r="HK94" s="571">
        <f t="shared" si="476"/>
        <v>0</v>
      </c>
      <c r="HL94" s="571">
        <f t="shared" si="476"/>
        <v>27909432.908668261</v>
      </c>
      <c r="HM94" s="571">
        <f t="shared" si="476"/>
        <v>16240107.513333792</v>
      </c>
      <c r="HN94" s="571">
        <f t="shared" si="476"/>
        <v>0</v>
      </c>
      <c r="HO94" s="571">
        <f t="shared" si="476"/>
        <v>0</v>
      </c>
      <c r="HP94" s="571">
        <f t="shared" si="476"/>
        <v>22240823.606855139</v>
      </c>
      <c r="HQ94" s="571">
        <f t="shared" si="476"/>
        <v>693656.33486671548</v>
      </c>
      <c r="HR94" s="571">
        <f t="shared" si="476"/>
        <v>23679171.628672816</v>
      </c>
      <c r="HS94" s="571">
        <f t="shared" si="476"/>
        <v>4600000</v>
      </c>
      <c r="HT94" s="571">
        <f t="shared" si="476"/>
        <v>10590623.898769123</v>
      </c>
      <c r="HU94" s="571">
        <f t="shared" si="476"/>
        <v>19383268.865375917</v>
      </c>
      <c r="HV94" s="571">
        <f t="shared" si="476"/>
        <v>14412843.434960146</v>
      </c>
      <c r="HW94" s="571">
        <f t="shared" si="476"/>
        <v>3510934.4807960517</v>
      </c>
      <c r="HX94" s="571">
        <f t="shared" si="476"/>
        <v>16232959.937704423</v>
      </c>
      <c r="HY94" s="571">
        <f t="shared" si="476"/>
        <v>12100898.933541736</v>
      </c>
      <c r="HZ94" s="571">
        <f t="shared" si="476"/>
        <v>7288372.7555617914</v>
      </c>
      <c r="IA94" s="571">
        <f t="shared" si="476"/>
        <v>6446282.1572564524</v>
      </c>
      <c r="IB94" s="571">
        <f t="shared" si="476"/>
        <v>6232921.4005923653</v>
      </c>
      <c r="IC94" s="571">
        <f t="shared" si="476"/>
        <v>9373484.5119702313</v>
      </c>
      <c r="ID94" s="571">
        <f t="shared" si="476"/>
        <v>8268047.2414508266</v>
      </c>
      <c r="IE94" s="571">
        <f t="shared" si="476"/>
        <v>14846882.501584478</v>
      </c>
      <c r="IF94" s="571">
        <f t="shared" si="476"/>
        <v>8135982.9353922922</v>
      </c>
      <c r="IG94" s="571">
        <f t="shared" si="476"/>
        <v>2543130.6763956631</v>
      </c>
      <c r="IH94" s="571">
        <f t="shared" si="476"/>
        <v>2490373.9871007907</v>
      </c>
      <c r="II94" s="571">
        <f t="shared" si="476"/>
        <v>12218472.029190879</v>
      </c>
      <c r="IJ94" s="571">
        <f t="shared" si="476"/>
        <v>1396832.2533525822</v>
      </c>
      <c r="IK94" s="571">
        <f t="shared" si="476"/>
        <v>0</v>
      </c>
      <c r="IL94" s="571">
        <f t="shared" si="476"/>
        <v>6637687.431639405</v>
      </c>
      <c r="IM94" s="571">
        <f t="shared" si="476"/>
        <v>378759.02146311366</v>
      </c>
      <c r="IN94" s="571">
        <f t="shared" si="476"/>
        <v>6827137.4236957598</v>
      </c>
      <c r="IO94" s="571">
        <f t="shared" si="476"/>
        <v>2639720.3062304072</v>
      </c>
      <c r="IP94" s="571">
        <f t="shared" si="476"/>
        <v>14273576.006466871</v>
      </c>
      <c r="IQ94" s="571">
        <f t="shared" si="476"/>
        <v>13639972.462978475</v>
      </c>
      <c r="IR94" s="571">
        <f t="shared" si="476"/>
        <v>674657.58882597706</v>
      </c>
      <c r="IS94" s="571">
        <f t="shared" si="476"/>
        <v>34578330.594143271</v>
      </c>
      <c r="IT94" s="571">
        <f t="shared" si="476"/>
        <v>9048367.3631144837</v>
      </c>
      <c r="IU94" s="571">
        <f t="shared" si="476"/>
        <v>2322549.3440265674</v>
      </c>
      <c r="IV94" s="571">
        <f t="shared" si="476"/>
        <v>5288017.8328400124</v>
      </c>
      <c r="IW94" s="571">
        <f t="shared" si="476"/>
        <v>8428621.0695311483</v>
      </c>
      <c r="IX94" s="571">
        <f t="shared" si="476"/>
        <v>1360938.7716670414</v>
      </c>
      <c r="IY94" s="571">
        <f t="shared" si="476"/>
        <v>8190962.9428107366</v>
      </c>
      <c r="IZ94" s="571">
        <f t="shared" si="476"/>
        <v>18108236.692238402</v>
      </c>
      <c r="JA94" s="571">
        <f t="shared" ref="JA94:JH94" si="477">IF(JA93&gt;JA7,JA7,JA93)</f>
        <v>2121915.1194729782</v>
      </c>
      <c r="JB94" s="571">
        <f t="shared" si="477"/>
        <v>2340000</v>
      </c>
      <c r="JC94" s="571">
        <f t="shared" si="477"/>
        <v>1344420.9974007066</v>
      </c>
      <c r="JD94" s="571">
        <f t="shared" si="477"/>
        <v>3000000</v>
      </c>
      <c r="JE94" s="571">
        <f t="shared" si="477"/>
        <v>104894.10100252891</v>
      </c>
      <c r="JF94" s="571">
        <f t="shared" si="477"/>
        <v>29454430.994815312</v>
      </c>
      <c r="JG94" s="571">
        <f t="shared" si="477"/>
        <v>21290006.892820884</v>
      </c>
      <c r="JH94" s="572">
        <f t="shared" si="477"/>
        <v>1365469.2835178464</v>
      </c>
      <c r="JI94" s="558">
        <f t="shared" si="454"/>
        <v>972845317.21003234</v>
      </c>
      <c r="JL94" s="307">
        <f t="shared" si="470"/>
        <v>24913606.964635424</v>
      </c>
      <c r="JM94" s="307">
        <f t="shared" si="470"/>
        <v>341675060.03765637</v>
      </c>
      <c r="JN94" s="307">
        <f t="shared" si="470"/>
        <v>162002473.97364563</v>
      </c>
      <c r="JO94" s="307">
        <f t="shared" si="470"/>
        <v>444254176.23409432</v>
      </c>
      <c r="JP94" s="307">
        <f t="shared" si="471"/>
        <v>972845317.21003175</v>
      </c>
    </row>
    <row r="95" spans="1:276" x14ac:dyDescent="0.25">
      <c r="B95" s="313" t="str">
        <f t="shared" ref="B95:BN95" si="478">B44</f>
        <v>Max. MPSV 2020_žádost</v>
      </c>
      <c r="C95" s="314">
        <f t="shared" si="478"/>
        <v>9150000</v>
      </c>
      <c r="D95" s="314">
        <f t="shared" si="478"/>
        <v>7730000</v>
      </c>
      <c r="E95" s="314">
        <f t="shared" si="478"/>
        <v>9300000</v>
      </c>
      <c r="F95" s="314">
        <f t="shared" si="478"/>
        <v>4618835</v>
      </c>
      <c r="G95" s="314">
        <f t="shared" si="478"/>
        <v>10747751</v>
      </c>
      <c r="H95" s="314">
        <f t="shared" si="478"/>
        <v>1157858</v>
      </c>
      <c r="I95" s="314">
        <f t="shared" si="478"/>
        <v>3164198</v>
      </c>
      <c r="J95" s="314">
        <f t="shared" si="478"/>
        <v>2915400</v>
      </c>
      <c r="K95" s="314">
        <f t="shared" si="478"/>
        <v>5988080</v>
      </c>
      <c r="L95" s="314">
        <f t="shared" si="478"/>
        <v>4702400</v>
      </c>
      <c r="M95" s="314">
        <f t="shared" si="478"/>
        <v>4800000</v>
      </c>
      <c r="N95" s="314">
        <f t="shared" si="478"/>
        <v>6300000</v>
      </c>
      <c r="O95" s="314">
        <f t="shared" si="478"/>
        <v>4346141</v>
      </c>
      <c r="P95" s="314">
        <f t="shared" si="478"/>
        <v>2694928</v>
      </c>
      <c r="Q95" s="314">
        <f t="shared" si="478"/>
        <v>2795000</v>
      </c>
      <c r="R95" s="314">
        <f t="shared" si="478"/>
        <v>2091000</v>
      </c>
      <c r="S95" s="314">
        <f t="shared" si="478"/>
        <v>1735000</v>
      </c>
      <c r="T95" s="314">
        <f t="shared" si="478"/>
        <v>698000</v>
      </c>
      <c r="U95" s="314">
        <f t="shared" si="478"/>
        <v>1087500</v>
      </c>
      <c r="V95" s="314">
        <f t="shared" si="478"/>
        <v>9285000</v>
      </c>
      <c r="W95" s="314">
        <f t="shared" si="478"/>
        <v>2130000</v>
      </c>
      <c r="X95" s="314">
        <f t="shared" si="478"/>
        <v>2988500</v>
      </c>
      <c r="Y95" s="314">
        <f t="shared" si="478"/>
        <v>1770700</v>
      </c>
      <c r="Z95" s="314">
        <f t="shared" si="478"/>
        <v>7231924</v>
      </c>
      <c r="AA95" s="314">
        <f t="shared" si="478"/>
        <v>4621783</v>
      </c>
      <c r="AB95" s="314">
        <f t="shared" si="478"/>
        <v>4630000</v>
      </c>
      <c r="AC95" s="314">
        <f t="shared" ref="AC95" si="479">AC44</f>
        <v>0</v>
      </c>
      <c r="AD95" s="314">
        <f t="shared" si="478"/>
        <v>2672000</v>
      </c>
      <c r="AE95" s="314">
        <f t="shared" si="478"/>
        <v>805640</v>
      </c>
      <c r="AF95" s="314">
        <f t="shared" si="478"/>
        <v>1425292</v>
      </c>
      <c r="AG95" s="314">
        <f t="shared" si="478"/>
        <v>3596000</v>
      </c>
      <c r="AH95" s="314">
        <f t="shared" si="478"/>
        <v>760000</v>
      </c>
      <c r="AI95" s="314">
        <f t="shared" si="478"/>
        <v>3404000</v>
      </c>
      <c r="AJ95" s="314">
        <f t="shared" si="478"/>
        <v>2585000</v>
      </c>
      <c r="AK95" s="314">
        <f t="shared" si="478"/>
        <v>1251400</v>
      </c>
      <c r="AL95" s="314">
        <f t="shared" si="478"/>
        <v>2630000</v>
      </c>
      <c r="AM95" s="314">
        <f t="shared" si="478"/>
        <v>1634492</v>
      </c>
      <c r="AN95" s="314">
        <f t="shared" si="478"/>
        <v>1177000</v>
      </c>
      <c r="AO95" s="314">
        <f t="shared" si="478"/>
        <v>5500000</v>
      </c>
      <c r="AP95" s="314">
        <f t="shared" si="478"/>
        <v>2220000</v>
      </c>
      <c r="AQ95" s="314">
        <f t="shared" si="478"/>
        <v>491000</v>
      </c>
      <c r="AR95" s="314">
        <f t="shared" si="478"/>
        <v>1929000</v>
      </c>
      <c r="AS95" s="314">
        <f t="shared" si="478"/>
        <v>640200</v>
      </c>
      <c r="AT95" s="314">
        <f t="shared" si="478"/>
        <v>2900000</v>
      </c>
      <c r="AU95" s="314">
        <f t="shared" si="478"/>
        <v>1416300</v>
      </c>
      <c r="AV95" s="314">
        <f t="shared" si="478"/>
        <v>2235500</v>
      </c>
      <c r="AW95" s="314">
        <f t="shared" si="478"/>
        <v>3142100</v>
      </c>
      <c r="AX95" s="314">
        <f t="shared" si="478"/>
        <v>3395000</v>
      </c>
      <c r="AY95" s="314">
        <f t="shared" si="478"/>
        <v>3471000</v>
      </c>
      <c r="AZ95" s="314">
        <f t="shared" si="478"/>
        <v>2981000</v>
      </c>
      <c r="BA95" s="314">
        <f t="shared" si="478"/>
        <v>9230000</v>
      </c>
      <c r="BB95" s="314">
        <f t="shared" si="478"/>
        <v>1312920</v>
      </c>
      <c r="BC95" s="314">
        <f t="shared" si="478"/>
        <v>1668800</v>
      </c>
      <c r="BD95" s="314">
        <f t="shared" si="478"/>
        <v>2208600</v>
      </c>
      <c r="BE95" s="314">
        <f t="shared" si="478"/>
        <v>1290900</v>
      </c>
      <c r="BF95" s="314">
        <f t="shared" si="478"/>
        <v>2020000</v>
      </c>
      <c r="BG95" s="314">
        <f t="shared" si="478"/>
        <v>2499000</v>
      </c>
      <c r="BH95" s="314">
        <f t="shared" si="478"/>
        <v>3206000</v>
      </c>
      <c r="BI95" s="314">
        <f t="shared" si="478"/>
        <v>1270000</v>
      </c>
      <c r="BJ95" s="314">
        <f t="shared" si="478"/>
        <v>3539000</v>
      </c>
      <c r="BK95" s="314">
        <f t="shared" si="478"/>
        <v>100000</v>
      </c>
      <c r="BL95" s="314">
        <f t="shared" si="478"/>
        <v>1000000</v>
      </c>
      <c r="BM95" s="314">
        <f t="shared" si="478"/>
        <v>1464826</v>
      </c>
      <c r="BN95" s="314">
        <f t="shared" si="478"/>
        <v>1902000</v>
      </c>
      <c r="BO95" s="314">
        <f t="shared" ref="BO95:DZ95" si="480">BO44</f>
        <v>1072000</v>
      </c>
      <c r="BP95" s="314">
        <f t="shared" si="480"/>
        <v>4739080</v>
      </c>
      <c r="BQ95" s="314">
        <f t="shared" si="480"/>
        <v>112726</v>
      </c>
      <c r="BR95" s="314">
        <f t="shared" si="480"/>
        <v>1013021</v>
      </c>
      <c r="BS95" s="314">
        <f t="shared" si="480"/>
        <v>1408027</v>
      </c>
      <c r="BT95" s="314">
        <f t="shared" si="480"/>
        <v>956642</v>
      </c>
      <c r="BU95" s="314">
        <f t="shared" si="480"/>
        <v>5554950</v>
      </c>
      <c r="BV95" s="314">
        <f t="shared" si="480"/>
        <v>1310620</v>
      </c>
      <c r="BW95" s="314">
        <f t="shared" si="480"/>
        <v>590000</v>
      </c>
      <c r="BX95" s="314">
        <f t="shared" si="480"/>
        <v>5228000</v>
      </c>
      <c r="BY95" s="314">
        <f t="shared" si="480"/>
        <v>1945000</v>
      </c>
      <c r="BZ95" s="314">
        <f t="shared" si="480"/>
        <v>398000</v>
      </c>
      <c r="CA95" s="314">
        <f t="shared" si="480"/>
        <v>0</v>
      </c>
      <c r="CB95" s="314">
        <f t="shared" si="480"/>
        <v>695000</v>
      </c>
      <c r="CC95" s="314">
        <f t="shared" si="480"/>
        <v>2747000</v>
      </c>
      <c r="CD95" s="314">
        <f t="shared" si="480"/>
        <v>991000</v>
      </c>
      <c r="CE95" s="314">
        <f t="shared" si="480"/>
        <v>11492000</v>
      </c>
      <c r="CF95" s="314">
        <f t="shared" si="480"/>
        <v>4720790</v>
      </c>
      <c r="CG95" s="314">
        <f t="shared" si="480"/>
        <v>1390000</v>
      </c>
      <c r="CH95" s="314">
        <f t="shared" si="480"/>
        <v>3703000</v>
      </c>
      <c r="CI95" s="314">
        <f t="shared" si="480"/>
        <v>3270000</v>
      </c>
      <c r="CJ95" s="314">
        <f t="shared" si="480"/>
        <v>4513515</v>
      </c>
      <c r="CK95" s="314">
        <f t="shared" si="480"/>
        <v>4542000</v>
      </c>
      <c r="CL95" s="314">
        <f t="shared" si="480"/>
        <v>3015000</v>
      </c>
      <c r="CM95" s="314">
        <f t="shared" si="480"/>
        <v>7604514</v>
      </c>
      <c r="CN95" s="314">
        <f t="shared" si="480"/>
        <v>1507362</v>
      </c>
      <c r="CO95" s="314">
        <f t="shared" si="480"/>
        <v>1546768</v>
      </c>
      <c r="CP95" s="314">
        <f t="shared" si="480"/>
        <v>1478852</v>
      </c>
      <c r="CQ95" s="314">
        <f t="shared" si="480"/>
        <v>6470764</v>
      </c>
      <c r="CR95" s="314">
        <f t="shared" si="480"/>
        <v>2331094</v>
      </c>
      <c r="CS95" s="314">
        <f t="shared" si="480"/>
        <v>3298929</v>
      </c>
      <c r="CT95" s="314">
        <f t="shared" si="480"/>
        <v>5705918</v>
      </c>
      <c r="CU95" s="314">
        <f t="shared" si="480"/>
        <v>1875000</v>
      </c>
      <c r="CV95" s="314">
        <f t="shared" si="480"/>
        <v>6960000</v>
      </c>
      <c r="CW95" s="314">
        <f t="shared" si="480"/>
        <v>400000</v>
      </c>
      <c r="CX95" s="314">
        <f t="shared" si="480"/>
        <v>3457000</v>
      </c>
      <c r="CY95" s="314">
        <f t="shared" si="480"/>
        <v>3240000</v>
      </c>
      <c r="CZ95" s="314">
        <f t="shared" si="480"/>
        <v>371000</v>
      </c>
      <c r="DA95" s="314">
        <f t="shared" si="480"/>
        <v>7650000</v>
      </c>
      <c r="DB95" s="314">
        <f t="shared" si="480"/>
        <v>760808</v>
      </c>
      <c r="DC95" s="314">
        <f t="shared" si="480"/>
        <v>2030000</v>
      </c>
      <c r="DD95" s="314">
        <f t="shared" si="480"/>
        <v>5300000</v>
      </c>
      <c r="DE95" s="314">
        <f t="shared" si="480"/>
        <v>2810000</v>
      </c>
      <c r="DF95" s="314">
        <f t="shared" si="480"/>
        <v>4660760</v>
      </c>
      <c r="DG95" s="314">
        <f t="shared" si="480"/>
        <v>1865426</v>
      </c>
      <c r="DH95" s="314">
        <f t="shared" si="480"/>
        <v>2425434</v>
      </c>
      <c r="DI95" s="314">
        <f t="shared" si="480"/>
        <v>1393074</v>
      </c>
      <c r="DJ95" s="314">
        <f t="shared" si="480"/>
        <v>1920826</v>
      </c>
      <c r="DK95" s="314">
        <f t="shared" si="480"/>
        <v>2417346</v>
      </c>
      <c r="DL95" s="314">
        <f t="shared" si="480"/>
        <v>7306533</v>
      </c>
      <c r="DM95" s="314">
        <f t="shared" si="480"/>
        <v>2395000</v>
      </c>
      <c r="DN95" s="314">
        <f t="shared" si="480"/>
        <v>3689667</v>
      </c>
      <c r="DO95" s="314">
        <f t="shared" si="480"/>
        <v>1734000</v>
      </c>
      <c r="DP95" s="314">
        <f t="shared" si="480"/>
        <v>4315763</v>
      </c>
      <c r="DQ95" s="314">
        <f t="shared" si="480"/>
        <v>4013645</v>
      </c>
      <c r="DR95" s="314">
        <f t="shared" si="480"/>
        <v>4423025</v>
      </c>
      <c r="DS95" s="314">
        <f t="shared" si="480"/>
        <v>878000</v>
      </c>
      <c r="DT95" s="314">
        <f t="shared" si="480"/>
        <v>3015000</v>
      </c>
      <c r="DU95" s="314">
        <f t="shared" si="480"/>
        <v>0</v>
      </c>
      <c r="DV95" s="314">
        <f t="shared" si="480"/>
        <v>4423333</v>
      </c>
      <c r="DW95" s="314">
        <f t="shared" si="480"/>
        <v>0</v>
      </c>
      <c r="DX95" s="314">
        <f t="shared" si="480"/>
        <v>0</v>
      </c>
      <c r="DY95" s="314">
        <f t="shared" si="480"/>
        <v>6070000</v>
      </c>
      <c r="DZ95" s="314">
        <f t="shared" si="480"/>
        <v>924000</v>
      </c>
      <c r="EA95" s="314">
        <f t="shared" ref="EA95:GL95" si="481">EA44</f>
        <v>3910500</v>
      </c>
      <c r="EB95" s="314">
        <f t="shared" si="481"/>
        <v>5674772</v>
      </c>
      <c r="EC95" s="314">
        <f t="shared" si="481"/>
        <v>4509620</v>
      </c>
      <c r="ED95" s="314">
        <f t="shared" si="481"/>
        <v>3945350</v>
      </c>
      <c r="EE95" s="314">
        <f t="shared" si="481"/>
        <v>610000</v>
      </c>
      <c r="EF95" s="314">
        <f t="shared" si="481"/>
        <v>666000</v>
      </c>
      <c r="EG95" s="314">
        <f t="shared" si="481"/>
        <v>425000</v>
      </c>
      <c r="EH95" s="314">
        <f t="shared" si="481"/>
        <v>595000</v>
      </c>
      <c r="EI95" s="314">
        <f t="shared" si="481"/>
        <v>1025000</v>
      </c>
      <c r="EJ95" s="314">
        <f t="shared" si="481"/>
        <v>1254497</v>
      </c>
      <c r="EK95" s="314">
        <f t="shared" si="481"/>
        <v>5250700</v>
      </c>
      <c r="EL95" s="314">
        <f t="shared" si="481"/>
        <v>10921600</v>
      </c>
      <c r="EM95" s="314">
        <f t="shared" si="481"/>
        <v>4256000</v>
      </c>
      <c r="EN95" s="314">
        <f t="shared" si="481"/>
        <v>2526602</v>
      </c>
      <c r="EO95" s="314">
        <f t="shared" si="481"/>
        <v>413760</v>
      </c>
      <c r="EP95" s="314">
        <f t="shared" si="481"/>
        <v>2970065</v>
      </c>
      <c r="EQ95" s="314">
        <f t="shared" si="481"/>
        <v>2886486</v>
      </c>
      <c r="ER95" s="314">
        <f t="shared" si="481"/>
        <v>6229000</v>
      </c>
      <c r="ES95" s="314">
        <f t="shared" si="481"/>
        <v>3480000</v>
      </c>
      <c r="ET95" s="314">
        <f t="shared" si="481"/>
        <v>901340</v>
      </c>
      <c r="EU95" s="314">
        <f t="shared" si="481"/>
        <v>2056000</v>
      </c>
      <c r="EV95" s="314">
        <f t="shared" si="481"/>
        <v>650000</v>
      </c>
      <c r="EW95" s="314">
        <f t="shared" si="481"/>
        <v>2800000</v>
      </c>
      <c r="EX95" s="314">
        <f t="shared" si="481"/>
        <v>7200000</v>
      </c>
      <c r="EY95" s="314">
        <f t="shared" si="481"/>
        <v>2500000</v>
      </c>
      <c r="EZ95" s="314">
        <f t="shared" si="481"/>
        <v>270000</v>
      </c>
      <c r="FA95" s="314">
        <f t="shared" si="481"/>
        <v>990000</v>
      </c>
      <c r="FB95" s="314">
        <f t="shared" si="481"/>
        <v>233682</v>
      </c>
      <c r="FC95" s="314">
        <f t="shared" si="481"/>
        <v>5000000</v>
      </c>
      <c r="FD95" s="314">
        <f t="shared" si="481"/>
        <v>1200000</v>
      </c>
      <c r="FE95" s="314">
        <f t="shared" si="481"/>
        <v>390000</v>
      </c>
      <c r="FF95" s="314">
        <f t="shared" si="481"/>
        <v>1561200</v>
      </c>
      <c r="FG95" s="314">
        <f t="shared" si="481"/>
        <v>5703200</v>
      </c>
      <c r="FH95" s="314">
        <f t="shared" si="481"/>
        <v>6594603</v>
      </c>
      <c r="FI95" s="314">
        <f t="shared" si="481"/>
        <v>7800000</v>
      </c>
      <c r="FJ95" s="314">
        <f t="shared" si="481"/>
        <v>2200000</v>
      </c>
      <c r="FK95" s="314">
        <f t="shared" si="481"/>
        <v>937000</v>
      </c>
      <c r="FL95" s="314">
        <f t="shared" si="481"/>
        <v>965000</v>
      </c>
      <c r="FM95" s="314">
        <f t="shared" si="481"/>
        <v>4500000</v>
      </c>
      <c r="FN95" s="314">
        <f t="shared" si="481"/>
        <v>8082419</v>
      </c>
      <c r="FO95" s="314">
        <f t="shared" si="481"/>
        <v>2666678</v>
      </c>
      <c r="FP95" s="314">
        <f t="shared" si="481"/>
        <v>16758000</v>
      </c>
      <c r="FQ95" s="314">
        <f t="shared" si="481"/>
        <v>2142886</v>
      </c>
      <c r="FR95" s="314">
        <f t="shared" si="481"/>
        <v>3986708</v>
      </c>
      <c r="FS95" s="314">
        <f t="shared" si="481"/>
        <v>601500</v>
      </c>
      <c r="FT95" s="314">
        <f t="shared" si="481"/>
        <v>4812000</v>
      </c>
      <c r="FU95" s="314">
        <f t="shared" si="481"/>
        <v>552000</v>
      </c>
      <c r="FV95" s="314">
        <f t="shared" si="481"/>
        <v>1105000</v>
      </c>
      <c r="FW95" s="314">
        <f t="shared" si="481"/>
        <v>1800000</v>
      </c>
      <c r="FX95" s="314">
        <f t="shared" si="481"/>
        <v>700000</v>
      </c>
      <c r="FY95" s="314">
        <f t="shared" si="481"/>
        <v>200000</v>
      </c>
      <c r="FZ95" s="314">
        <f t="shared" si="481"/>
        <v>7690000</v>
      </c>
      <c r="GA95" s="314">
        <f t="shared" si="481"/>
        <v>978000</v>
      </c>
      <c r="GB95" s="314">
        <f t="shared" si="481"/>
        <v>4746000</v>
      </c>
      <c r="GC95" s="314">
        <f t="shared" si="481"/>
        <v>2728000</v>
      </c>
      <c r="GD95" s="314">
        <f t="shared" si="481"/>
        <v>11396000</v>
      </c>
      <c r="GE95" s="314">
        <f t="shared" si="481"/>
        <v>1800000</v>
      </c>
      <c r="GF95" s="314">
        <f t="shared" si="481"/>
        <v>5289602</v>
      </c>
      <c r="GG95" s="314">
        <f t="shared" si="481"/>
        <v>1284855</v>
      </c>
      <c r="GH95" s="314">
        <f t="shared" si="481"/>
        <v>1054717</v>
      </c>
      <c r="GI95" s="314">
        <f t="shared" si="481"/>
        <v>10416974</v>
      </c>
      <c r="GJ95" s="314">
        <f t="shared" si="481"/>
        <v>2195910</v>
      </c>
      <c r="GK95" s="314">
        <f t="shared" si="481"/>
        <v>1100000</v>
      </c>
      <c r="GL95" s="314">
        <f t="shared" si="481"/>
        <v>750000</v>
      </c>
      <c r="GM95" s="314">
        <f t="shared" ref="GM95:IX95" si="482">GM44</f>
        <v>930000</v>
      </c>
      <c r="GN95" s="314">
        <f t="shared" si="482"/>
        <v>1018000</v>
      </c>
      <c r="GO95" s="314">
        <f t="shared" si="482"/>
        <v>4777941</v>
      </c>
      <c r="GP95" s="314">
        <f t="shared" si="482"/>
        <v>1889000</v>
      </c>
      <c r="GQ95" s="314">
        <f t="shared" si="482"/>
        <v>1000000</v>
      </c>
      <c r="GR95" s="314">
        <f t="shared" si="482"/>
        <v>610000</v>
      </c>
      <c r="GS95" s="314">
        <f t="shared" si="482"/>
        <v>180000</v>
      </c>
      <c r="GT95" s="314">
        <f t="shared" si="482"/>
        <v>8922000</v>
      </c>
      <c r="GU95" s="314">
        <f t="shared" si="482"/>
        <v>807440</v>
      </c>
      <c r="GV95" s="314">
        <f t="shared" si="482"/>
        <v>5000000</v>
      </c>
      <c r="GW95" s="314">
        <f t="shared" si="482"/>
        <v>1450000</v>
      </c>
      <c r="GX95" s="314">
        <f t="shared" si="482"/>
        <v>150000</v>
      </c>
      <c r="GY95" s="314">
        <f t="shared" si="482"/>
        <v>16000000</v>
      </c>
      <c r="GZ95" s="314">
        <f t="shared" si="482"/>
        <v>2110821</v>
      </c>
      <c r="HA95" s="314">
        <f t="shared" si="482"/>
        <v>5200000</v>
      </c>
      <c r="HB95" s="314">
        <f t="shared" si="482"/>
        <v>5600000</v>
      </c>
      <c r="HC95" s="314">
        <f t="shared" si="482"/>
        <v>11200000</v>
      </c>
      <c r="HD95" s="314">
        <f t="shared" si="482"/>
        <v>2188680</v>
      </c>
      <c r="HE95" s="314">
        <f t="shared" si="482"/>
        <v>4945200</v>
      </c>
      <c r="HF95" s="314">
        <f t="shared" si="482"/>
        <v>900000</v>
      </c>
      <c r="HG95" s="314">
        <f t="shared" si="482"/>
        <v>865000</v>
      </c>
      <c r="HH95" s="314">
        <f t="shared" si="482"/>
        <v>3950000</v>
      </c>
      <c r="HI95" s="314">
        <f t="shared" si="482"/>
        <v>2500000</v>
      </c>
      <c r="HJ95" s="314">
        <f t="shared" si="482"/>
        <v>0</v>
      </c>
      <c r="HK95" s="314">
        <f t="shared" si="482"/>
        <v>209300</v>
      </c>
      <c r="HL95" s="314">
        <f t="shared" si="482"/>
        <v>50500000</v>
      </c>
      <c r="HM95" s="314">
        <f t="shared" si="482"/>
        <v>30959000</v>
      </c>
      <c r="HN95" s="314">
        <f t="shared" si="482"/>
        <v>1010000</v>
      </c>
      <c r="HO95" s="314">
        <f t="shared" si="482"/>
        <v>0</v>
      </c>
      <c r="HP95" s="314">
        <f t="shared" si="482"/>
        <v>27114000</v>
      </c>
      <c r="HQ95" s="314">
        <f t="shared" si="482"/>
        <v>700000</v>
      </c>
      <c r="HR95" s="314">
        <f t="shared" si="482"/>
        <v>27500000</v>
      </c>
      <c r="HS95" s="314">
        <f t="shared" si="482"/>
        <v>4600000</v>
      </c>
      <c r="HT95" s="314">
        <f t="shared" si="482"/>
        <v>21000000</v>
      </c>
      <c r="HU95" s="314">
        <f t="shared" si="482"/>
        <v>24100000</v>
      </c>
      <c r="HV95" s="314">
        <f t="shared" si="482"/>
        <v>17580000</v>
      </c>
      <c r="HW95" s="314">
        <f t="shared" si="482"/>
        <v>4562528</v>
      </c>
      <c r="HX95" s="314">
        <f t="shared" si="482"/>
        <v>23953272</v>
      </c>
      <c r="HY95" s="314">
        <f t="shared" si="482"/>
        <v>17351600</v>
      </c>
      <c r="HZ95" s="314">
        <f t="shared" si="482"/>
        <v>11293100</v>
      </c>
      <c r="IA95" s="314">
        <f t="shared" si="482"/>
        <v>8494730</v>
      </c>
      <c r="IB95" s="314">
        <f t="shared" si="482"/>
        <v>10442250</v>
      </c>
      <c r="IC95" s="314">
        <f t="shared" si="482"/>
        <v>11940000</v>
      </c>
      <c r="ID95" s="314">
        <f t="shared" si="482"/>
        <v>10036000</v>
      </c>
      <c r="IE95" s="314">
        <f t="shared" si="482"/>
        <v>17118000</v>
      </c>
      <c r="IF95" s="314">
        <f t="shared" si="482"/>
        <v>25404400</v>
      </c>
      <c r="IG95" s="314">
        <f t="shared" si="482"/>
        <v>8044600</v>
      </c>
      <c r="IH95" s="314">
        <f t="shared" si="482"/>
        <v>3681744</v>
      </c>
      <c r="II95" s="314">
        <f t="shared" si="482"/>
        <v>22880979</v>
      </c>
      <c r="IJ95" s="314">
        <f t="shared" si="482"/>
        <v>1571800</v>
      </c>
      <c r="IK95" s="314">
        <f t="shared" si="482"/>
        <v>609567</v>
      </c>
      <c r="IL95" s="314">
        <f t="shared" si="482"/>
        <v>9900000</v>
      </c>
      <c r="IM95" s="314">
        <f t="shared" si="482"/>
        <v>775000</v>
      </c>
      <c r="IN95" s="314">
        <f t="shared" si="482"/>
        <v>11165000</v>
      </c>
      <c r="IO95" s="314">
        <f t="shared" si="482"/>
        <v>3560000</v>
      </c>
      <c r="IP95" s="314">
        <f t="shared" si="482"/>
        <v>18876000</v>
      </c>
      <c r="IQ95" s="314">
        <f t="shared" si="482"/>
        <v>19626000</v>
      </c>
      <c r="IR95" s="314">
        <f t="shared" si="482"/>
        <v>835000</v>
      </c>
      <c r="IS95" s="314">
        <f t="shared" si="482"/>
        <v>46709000</v>
      </c>
      <c r="IT95" s="314">
        <f t="shared" si="482"/>
        <v>11542000</v>
      </c>
      <c r="IU95" s="314">
        <f t="shared" si="482"/>
        <v>3964128</v>
      </c>
      <c r="IV95" s="314">
        <f t="shared" si="482"/>
        <v>8599386</v>
      </c>
      <c r="IW95" s="314">
        <f t="shared" si="482"/>
        <v>16499135</v>
      </c>
      <c r="IX95" s="314">
        <f t="shared" si="482"/>
        <v>2238805</v>
      </c>
      <c r="IY95" s="314">
        <f t="shared" ref="IY95:JH95" si="483">IY44</f>
        <v>10538000</v>
      </c>
      <c r="IZ95" s="314">
        <f t="shared" si="483"/>
        <v>23410000</v>
      </c>
      <c r="JA95" s="314">
        <f t="shared" si="483"/>
        <v>2868000</v>
      </c>
      <c r="JB95" s="314">
        <f t="shared" si="483"/>
        <v>2340000</v>
      </c>
      <c r="JC95" s="314">
        <f t="shared" si="483"/>
        <v>2290000</v>
      </c>
      <c r="JD95" s="314">
        <f t="shared" si="483"/>
        <v>3000000</v>
      </c>
      <c r="JE95" s="314">
        <f t="shared" si="483"/>
        <v>722500</v>
      </c>
      <c r="JF95" s="314">
        <f t="shared" si="483"/>
        <v>34067800</v>
      </c>
      <c r="JG95" s="314">
        <f t="shared" si="483"/>
        <v>29138040</v>
      </c>
      <c r="JH95" s="314">
        <f t="shared" si="483"/>
        <v>3377272</v>
      </c>
      <c r="JL95" s="307">
        <f t="shared" si="470"/>
        <v>26180000</v>
      </c>
      <c r="JM95" s="307">
        <f t="shared" si="470"/>
        <v>427100132</v>
      </c>
      <c r="JN95" s="307">
        <f t="shared" si="470"/>
        <v>231692656</v>
      </c>
      <c r="JO95" s="307">
        <f t="shared" si="470"/>
        <v>648488636</v>
      </c>
      <c r="JP95" s="307">
        <f t="shared" si="471"/>
        <v>1333461424</v>
      </c>
    </row>
    <row r="96" spans="1:276" x14ac:dyDescent="0.25">
      <c r="B96" s="313" t="s">
        <v>2594</v>
      </c>
      <c r="C96" s="314">
        <f>C95-C94</f>
        <v>265577.44417527691</v>
      </c>
      <c r="D96" s="314">
        <f t="shared" ref="D96:F96" si="484">D95-D94</f>
        <v>0</v>
      </c>
      <c r="E96" s="314">
        <f t="shared" si="484"/>
        <v>1000815.5911892997</v>
      </c>
      <c r="F96" s="314">
        <f t="shared" si="484"/>
        <v>1001950.2911646427</v>
      </c>
      <c r="G96" s="314">
        <f>G95-G94</f>
        <v>419747.87270940468</v>
      </c>
      <c r="H96" s="314">
        <f t="shared" ref="H96:AY96" si="485">H95-H94</f>
        <v>1157858</v>
      </c>
      <c r="I96" s="314">
        <f t="shared" si="485"/>
        <v>3164198</v>
      </c>
      <c r="J96" s="314">
        <f t="shared" si="485"/>
        <v>2788914.7639159658</v>
      </c>
      <c r="K96" s="314">
        <f t="shared" si="485"/>
        <v>0</v>
      </c>
      <c r="L96" s="314">
        <f t="shared" si="485"/>
        <v>927430</v>
      </c>
      <c r="M96" s="314">
        <f t="shared" si="485"/>
        <v>1132224.761104234</v>
      </c>
      <c r="N96" s="314">
        <f t="shared" si="485"/>
        <v>939171.3969733296</v>
      </c>
      <c r="O96" s="314">
        <f t="shared" si="485"/>
        <v>0</v>
      </c>
      <c r="P96" s="314">
        <f t="shared" si="485"/>
        <v>124901.99781831075</v>
      </c>
      <c r="Q96" s="314">
        <f t="shared" si="485"/>
        <v>958511.52089898451</v>
      </c>
      <c r="R96" s="314">
        <f t="shared" si="485"/>
        <v>0</v>
      </c>
      <c r="S96" s="314">
        <f t="shared" si="485"/>
        <v>97847.199999999953</v>
      </c>
      <c r="T96" s="314">
        <f t="shared" si="485"/>
        <v>75226.489221846219</v>
      </c>
      <c r="U96" s="314">
        <f t="shared" si="485"/>
        <v>0</v>
      </c>
      <c r="V96" s="314">
        <f t="shared" si="485"/>
        <v>51380</v>
      </c>
      <c r="W96" s="314">
        <f t="shared" si="485"/>
        <v>0</v>
      </c>
      <c r="X96" s="314">
        <f t="shared" si="485"/>
        <v>684164.19049142208</v>
      </c>
      <c r="Y96" s="314">
        <f t="shared" si="485"/>
        <v>0</v>
      </c>
      <c r="Z96" s="314">
        <f t="shared" si="485"/>
        <v>0</v>
      </c>
      <c r="AA96" s="314">
        <f t="shared" si="485"/>
        <v>377077.55097512621</v>
      </c>
      <c r="AB96" s="314">
        <f t="shared" si="485"/>
        <v>951869.29427758651</v>
      </c>
      <c r="AC96" s="314">
        <f t="shared" ref="AC96" si="486">AC95-AC94</f>
        <v>-481158.31194833241</v>
      </c>
      <c r="AD96" s="314">
        <f t="shared" si="485"/>
        <v>81770.879376434721</v>
      </c>
      <c r="AE96" s="314">
        <f t="shared" si="485"/>
        <v>701902.47410105611</v>
      </c>
      <c r="AF96" s="314">
        <f t="shared" si="485"/>
        <v>206047.07046204177</v>
      </c>
      <c r="AG96" s="314">
        <f t="shared" si="485"/>
        <v>145187.24513010308</v>
      </c>
      <c r="AH96" s="314">
        <f t="shared" si="485"/>
        <v>0</v>
      </c>
      <c r="AI96" s="314">
        <f t="shared" si="485"/>
        <v>0</v>
      </c>
      <c r="AJ96" s="314">
        <f t="shared" si="485"/>
        <v>0</v>
      </c>
      <c r="AK96" s="314">
        <f t="shared" si="485"/>
        <v>0</v>
      </c>
      <c r="AL96" s="314">
        <f t="shared" si="485"/>
        <v>677090.83664892241</v>
      </c>
      <c r="AM96" s="314">
        <f t="shared" si="485"/>
        <v>134783.62736587692</v>
      </c>
      <c r="AN96" s="314">
        <f t="shared" si="485"/>
        <v>28044.801501221023</v>
      </c>
      <c r="AO96" s="314">
        <f t="shared" si="485"/>
        <v>596244.4403643813</v>
      </c>
      <c r="AP96" s="314">
        <f t="shared" si="485"/>
        <v>95234.883770398796</v>
      </c>
      <c r="AQ96" s="314">
        <f t="shared" si="485"/>
        <v>0</v>
      </c>
      <c r="AR96" s="314">
        <f t="shared" si="485"/>
        <v>397259.60074915411</v>
      </c>
      <c r="AS96" s="314">
        <f t="shared" si="485"/>
        <v>144946.77977666614</v>
      </c>
      <c r="AT96" s="314">
        <f t="shared" si="485"/>
        <v>401886.56763165817</v>
      </c>
      <c r="AU96" s="314">
        <f t="shared" si="485"/>
        <v>424083.06053357874</v>
      </c>
      <c r="AV96" s="314">
        <f t="shared" si="485"/>
        <v>231839.32270477386</v>
      </c>
      <c r="AW96" s="314">
        <f t="shared" si="485"/>
        <v>3125987.9876498799</v>
      </c>
      <c r="AX96" s="314">
        <f t="shared" si="485"/>
        <v>154864.68891924899</v>
      </c>
      <c r="AY96" s="314">
        <f t="shared" si="485"/>
        <v>170809.45934310928</v>
      </c>
      <c r="AZ96" s="314">
        <f>AZ95-AZ94</f>
        <v>0</v>
      </c>
      <c r="BA96" s="314">
        <f t="shared" ref="BA96:BC96" si="487">BA95-BA94</f>
        <v>0</v>
      </c>
      <c r="BB96" s="314">
        <f t="shared" si="487"/>
        <v>0</v>
      </c>
      <c r="BC96" s="314">
        <f t="shared" si="487"/>
        <v>445057.50619746768</v>
      </c>
      <c r="BD96" s="314">
        <f>BD95-BD94</f>
        <v>292341.66742145689</v>
      </c>
      <c r="BE96" s="314">
        <f t="shared" ref="BE96:DP96" si="488">BE95-BE94</f>
        <v>1290900</v>
      </c>
      <c r="BF96" s="314">
        <f t="shared" si="488"/>
        <v>0</v>
      </c>
      <c r="BG96" s="314">
        <f t="shared" si="488"/>
        <v>0</v>
      </c>
      <c r="BH96" s="314">
        <f t="shared" si="488"/>
        <v>0</v>
      </c>
      <c r="BI96" s="314">
        <f t="shared" si="488"/>
        <v>0</v>
      </c>
      <c r="BJ96" s="314">
        <f t="shared" si="488"/>
        <v>804541.14643527335</v>
      </c>
      <c r="BK96" s="314">
        <f t="shared" si="488"/>
        <v>0</v>
      </c>
      <c r="BL96" s="314">
        <f t="shared" si="488"/>
        <v>544861.50499912724</v>
      </c>
      <c r="BM96" s="314">
        <f t="shared" si="488"/>
        <v>0</v>
      </c>
      <c r="BN96" s="314">
        <f t="shared" si="488"/>
        <v>244898.00684625655</v>
      </c>
      <c r="BO96" s="314">
        <f t="shared" si="488"/>
        <v>20720.347524754237</v>
      </c>
      <c r="BP96" s="314">
        <f t="shared" si="488"/>
        <v>87000</v>
      </c>
      <c r="BQ96" s="314">
        <f t="shared" si="488"/>
        <v>46161.834337535896</v>
      </c>
      <c r="BR96" s="314">
        <f t="shared" si="488"/>
        <v>0</v>
      </c>
      <c r="BS96" s="314">
        <f t="shared" si="488"/>
        <v>97744.701032125857</v>
      </c>
      <c r="BT96" s="314">
        <f t="shared" si="488"/>
        <v>42481.733832769329</v>
      </c>
      <c r="BU96" s="314">
        <f t="shared" si="488"/>
        <v>1615612</v>
      </c>
      <c r="BV96" s="314">
        <f t="shared" si="488"/>
        <v>132711.9646817469</v>
      </c>
      <c r="BW96" s="314">
        <f t="shared" si="488"/>
        <v>57317</v>
      </c>
      <c r="BX96" s="314">
        <f t="shared" si="488"/>
        <v>519110.80893664621</v>
      </c>
      <c r="BY96" s="314">
        <f t="shared" si="488"/>
        <v>424856</v>
      </c>
      <c r="BZ96" s="314">
        <f t="shared" si="488"/>
        <v>73850</v>
      </c>
      <c r="CA96" s="314">
        <f t="shared" si="488"/>
        <v>0</v>
      </c>
      <c r="CB96" s="314">
        <f t="shared" si="488"/>
        <v>123480.89857853274</v>
      </c>
      <c r="CC96" s="314">
        <f t="shared" si="488"/>
        <v>508944.33745833626</v>
      </c>
      <c r="CD96" s="314">
        <f t="shared" si="488"/>
        <v>329151.78314426029</v>
      </c>
      <c r="CE96" s="314">
        <f t="shared" si="488"/>
        <v>1776949.8746832293</v>
      </c>
      <c r="CF96" s="314">
        <f t="shared" si="488"/>
        <v>267172.1606710488</v>
      </c>
      <c r="CG96" s="314">
        <f t="shared" si="488"/>
        <v>1158840.5039295536</v>
      </c>
      <c r="CH96" s="314">
        <f t="shared" si="488"/>
        <v>3703000</v>
      </c>
      <c r="CI96" s="314">
        <f t="shared" si="488"/>
        <v>3248366.8442031313</v>
      </c>
      <c r="CJ96" s="314">
        <f t="shared" si="488"/>
        <v>659319.9181716647</v>
      </c>
      <c r="CK96" s="314">
        <f t="shared" si="488"/>
        <v>0</v>
      </c>
      <c r="CL96" s="314">
        <f t="shared" si="488"/>
        <v>2958561.4027179093</v>
      </c>
      <c r="CM96" s="314">
        <f t="shared" si="488"/>
        <v>1592177.5600136863</v>
      </c>
      <c r="CN96" s="314">
        <f t="shared" si="488"/>
        <v>165352.0872805086</v>
      </c>
      <c r="CO96" s="314">
        <f t="shared" si="488"/>
        <v>332268</v>
      </c>
      <c r="CP96" s="314">
        <f t="shared" si="488"/>
        <v>210044.28319969587</v>
      </c>
      <c r="CQ96" s="314">
        <f t="shared" si="488"/>
        <v>955727.426281875</v>
      </c>
      <c r="CR96" s="314">
        <f t="shared" si="488"/>
        <v>0</v>
      </c>
      <c r="CS96" s="314">
        <f t="shared" si="488"/>
        <v>3111373.3258069074</v>
      </c>
      <c r="CT96" s="314">
        <f t="shared" si="488"/>
        <v>5705918</v>
      </c>
      <c r="CU96" s="314">
        <f t="shared" si="488"/>
        <v>0</v>
      </c>
      <c r="CV96" s="314">
        <f t="shared" si="488"/>
        <v>1315009.0140789673</v>
      </c>
      <c r="CW96" s="314">
        <f t="shared" si="488"/>
        <v>0</v>
      </c>
      <c r="CX96" s="314">
        <f t="shared" si="488"/>
        <v>0</v>
      </c>
      <c r="CY96" s="314">
        <f t="shared" si="488"/>
        <v>358916.71609879145</v>
      </c>
      <c r="CZ96" s="314">
        <f t="shared" si="488"/>
        <v>0</v>
      </c>
      <c r="DA96" s="314">
        <f t="shared" si="488"/>
        <v>0</v>
      </c>
      <c r="DB96" s="314">
        <f t="shared" si="488"/>
        <v>0</v>
      </c>
      <c r="DC96" s="314">
        <f t="shared" si="488"/>
        <v>77785.536461747484</v>
      </c>
      <c r="DD96" s="314">
        <f t="shared" si="488"/>
        <v>4871259.9498154959</v>
      </c>
      <c r="DE96" s="314">
        <f t="shared" si="488"/>
        <v>1214595.1286137532</v>
      </c>
      <c r="DF96" s="314">
        <f t="shared" si="488"/>
        <v>0</v>
      </c>
      <c r="DG96" s="314">
        <f t="shared" si="488"/>
        <v>1062487.834848816</v>
      </c>
      <c r="DH96" s="314">
        <f t="shared" si="488"/>
        <v>1517189.559797849</v>
      </c>
      <c r="DI96" s="314">
        <f t="shared" si="488"/>
        <v>1393074</v>
      </c>
      <c r="DJ96" s="314">
        <f t="shared" si="488"/>
        <v>1854835.0236859601</v>
      </c>
      <c r="DK96" s="314">
        <f t="shared" si="488"/>
        <v>2192893.1646875395</v>
      </c>
      <c r="DL96" s="314">
        <f t="shared" si="488"/>
        <v>3212236.7781995465</v>
      </c>
      <c r="DM96" s="314">
        <f t="shared" si="488"/>
        <v>428496.91618614434</v>
      </c>
      <c r="DN96" s="314">
        <f t="shared" si="488"/>
        <v>0</v>
      </c>
      <c r="DO96" s="314">
        <f t="shared" si="488"/>
        <v>331699.60778989107</v>
      </c>
      <c r="DP96" s="314">
        <f t="shared" si="488"/>
        <v>270399.2200000002</v>
      </c>
      <c r="DQ96" s="314">
        <f t="shared" ref="DQ96:GB96" si="489">DQ95-DQ94</f>
        <v>0</v>
      </c>
      <c r="DR96" s="314">
        <f t="shared" si="489"/>
        <v>0</v>
      </c>
      <c r="DS96" s="314">
        <f t="shared" si="489"/>
        <v>0</v>
      </c>
      <c r="DT96" s="314">
        <f t="shared" si="489"/>
        <v>-364864.05137304217</v>
      </c>
      <c r="DU96" s="314">
        <f t="shared" si="489"/>
        <v>0</v>
      </c>
      <c r="DV96" s="314">
        <f t="shared" si="489"/>
        <v>0</v>
      </c>
      <c r="DW96" s="314">
        <f t="shared" si="489"/>
        <v>0</v>
      </c>
      <c r="DX96" s="314">
        <f t="shared" si="489"/>
        <v>0</v>
      </c>
      <c r="DY96" s="314">
        <f t="shared" si="489"/>
        <v>1488857.2495173514</v>
      </c>
      <c r="DZ96" s="314">
        <f t="shared" si="489"/>
        <v>200074.3111851234</v>
      </c>
      <c r="EA96" s="314">
        <f t="shared" si="489"/>
        <v>0</v>
      </c>
      <c r="EB96" s="314">
        <f t="shared" si="489"/>
        <v>-76640.858343649656</v>
      </c>
      <c r="EC96" s="314">
        <f t="shared" si="489"/>
        <v>1001982.2487615342</v>
      </c>
      <c r="ED96" s="314">
        <f t="shared" si="489"/>
        <v>155494.57845989428</v>
      </c>
      <c r="EE96" s="314">
        <f t="shared" si="489"/>
        <v>0</v>
      </c>
      <c r="EF96" s="314">
        <f t="shared" si="489"/>
        <v>0</v>
      </c>
      <c r="EG96" s="314">
        <f t="shared" si="489"/>
        <v>0</v>
      </c>
      <c r="EH96" s="314">
        <f t="shared" si="489"/>
        <v>0</v>
      </c>
      <c r="EI96" s="314">
        <f t="shared" si="489"/>
        <v>0</v>
      </c>
      <c r="EJ96" s="314">
        <f t="shared" si="489"/>
        <v>1254497</v>
      </c>
      <c r="EK96" s="314">
        <f t="shared" si="489"/>
        <v>1318658</v>
      </c>
      <c r="EL96" s="314">
        <f t="shared" si="489"/>
        <v>2025524.0798782576</v>
      </c>
      <c r="EM96" s="314">
        <f t="shared" si="489"/>
        <v>1438309.6805571243</v>
      </c>
      <c r="EN96" s="314">
        <f t="shared" si="489"/>
        <v>0</v>
      </c>
      <c r="EO96" s="314">
        <f t="shared" si="489"/>
        <v>87223.853184444131</v>
      </c>
      <c r="EP96" s="314">
        <f t="shared" si="489"/>
        <v>0</v>
      </c>
      <c r="EQ96" s="314">
        <f t="shared" si="489"/>
        <v>568333.49557557236</v>
      </c>
      <c r="ER96" s="314">
        <f t="shared" si="489"/>
        <v>0</v>
      </c>
      <c r="ES96" s="314">
        <f t="shared" si="489"/>
        <v>590630.55265984358</v>
      </c>
      <c r="ET96" s="314">
        <f t="shared" si="489"/>
        <v>0</v>
      </c>
      <c r="EU96" s="314">
        <f t="shared" si="489"/>
        <v>0</v>
      </c>
      <c r="EV96" s="314">
        <f t="shared" si="489"/>
        <v>206914.01217518601</v>
      </c>
      <c r="EW96" s="314">
        <f t="shared" si="489"/>
        <v>294942.22949617682</v>
      </c>
      <c r="EX96" s="314">
        <f t="shared" si="489"/>
        <v>1625691.0146594653</v>
      </c>
      <c r="EY96" s="314">
        <f t="shared" si="489"/>
        <v>440834.12484485051</v>
      </c>
      <c r="EZ96" s="314">
        <f t="shared" si="489"/>
        <v>270000</v>
      </c>
      <c r="FA96" s="314">
        <f t="shared" si="489"/>
        <v>0</v>
      </c>
      <c r="FB96" s="314">
        <f t="shared" si="489"/>
        <v>55867.466951250448</v>
      </c>
      <c r="FC96" s="314">
        <f t="shared" si="489"/>
        <v>1957796.0186376316</v>
      </c>
      <c r="FD96" s="314">
        <f t="shared" si="489"/>
        <v>1200000</v>
      </c>
      <c r="FE96" s="314">
        <f t="shared" si="489"/>
        <v>46747.086652811384</v>
      </c>
      <c r="FF96" s="314">
        <f t="shared" si="489"/>
        <v>119608.04000000004</v>
      </c>
      <c r="FG96" s="314">
        <f t="shared" si="489"/>
        <v>0</v>
      </c>
      <c r="FH96" s="314">
        <f t="shared" si="489"/>
        <v>803996.95081202127</v>
      </c>
      <c r="FI96" s="314">
        <f t="shared" si="489"/>
        <v>217612.53495434858</v>
      </c>
      <c r="FJ96" s="314">
        <f t="shared" si="489"/>
        <v>345479.03024100582</v>
      </c>
      <c r="FK96" s="314">
        <f t="shared" si="489"/>
        <v>819843.79726285837</v>
      </c>
      <c r="FL96" s="314">
        <f t="shared" si="489"/>
        <v>675469.21227710997</v>
      </c>
      <c r="FM96" s="314">
        <f t="shared" si="489"/>
        <v>3556984.8709666431</v>
      </c>
      <c r="FN96" s="314">
        <f t="shared" si="489"/>
        <v>1079393.4501584657</v>
      </c>
      <c r="FO96" s="314">
        <f t="shared" si="489"/>
        <v>1012056.8626000001</v>
      </c>
      <c r="FP96" s="314">
        <f t="shared" si="489"/>
        <v>4406795.6911481638</v>
      </c>
      <c r="FQ96" s="314">
        <f t="shared" si="489"/>
        <v>170607.77619999996</v>
      </c>
      <c r="FR96" s="314">
        <f t="shared" si="489"/>
        <v>3929415.1952748611</v>
      </c>
      <c r="FS96" s="314">
        <f t="shared" si="489"/>
        <v>137492.04999999999</v>
      </c>
      <c r="FT96" s="314">
        <f t="shared" si="489"/>
        <v>1556108.1959098401</v>
      </c>
      <c r="FU96" s="314">
        <f t="shared" si="489"/>
        <v>86171.195557072759</v>
      </c>
      <c r="FV96" s="314">
        <f t="shared" si="489"/>
        <v>545752.8307632606</v>
      </c>
      <c r="FW96" s="314">
        <f t="shared" si="489"/>
        <v>862319.96957422956</v>
      </c>
      <c r="FX96" s="314">
        <f t="shared" si="489"/>
        <v>315466.49663793249</v>
      </c>
      <c r="FY96" s="314">
        <f t="shared" si="489"/>
        <v>0</v>
      </c>
      <c r="FZ96" s="314">
        <f t="shared" si="489"/>
        <v>5118845.9147311123</v>
      </c>
      <c r="GA96" s="314">
        <f t="shared" si="489"/>
        <v>742913.87227618101</v>
      </c>
      <c r="GB96" s="314">
        <f t="shared" si="489"/>
        <v>2500039.8801128245</v>
      </c>
      <c r="GC96" s="314">
        <f t="shared" ref="GC96:IN96" si="490">GC95-GC94</f>
        <v>556915.86014831252</v>
      </c>
      <c r="GD96" s="314">
        <f t="shared" si="490"/>
        <v>3467058.7541363519</v>
      </c>
      <c r="GE96" s="314">
        <f t="shared" si="490"/>
        <v>1644119.065998916</v>
      </c>
      <c r="GF96" s="314">
        <f t="shared" si="490"/>
        <v>1408026.1504306733</v>
      </c>
      <c r="GG96" s="314">
        <f t="shared" si="490"/>
        <v>127436.53661982156</v>
      </c>
      <c r="GH96" s="314">
        <f t="shared" si="490"/>
        <v>0</v>
      </c>
      <c r="GI96" s="314">
        <f t="shared" si="490"/>
        <v>2662569.8252166836</v>
      </c>
      <c r="GJ96" s="314">
        <f t="shared" si="490"/>
        <v>356709.66070933826</v>
      </c>
      <c r="GK96" s="314">
        <f t="shared" si="490"/>
        <v>0</v>
      </c>
      <c r="GL96" s="314">
        <f t="shared" si="490"/>
        <v>280045.97174390173</v>
      </c>
      <c r="GM96" s="314">
        <f t="shared" si="490"/>
        <v>237462.47724447167</v>
      </c>
      <c r="GN96" s="314">
        <f t="shared" si="490"/>
        <v>229230.93988784635</v>
      </c>
      <c r="GO96" s="314">
        <f t="shared" si="490"/>
        <v>309145.51386203896</v>
      </c>
      <c r="GP96" s="314">
        <f t="shared" si="490"/>
        <v>1404541.3763422961</v>
      </c>
      <c r="GQ96" s="314">
        <f t="shared" si="490"/>
        <v>690407.21128313895</v>
      </c>
      <c r="GR96" s="314">
        <f t="shared" si="490"/>
        <v>0</v>
      </c>
      <c r="GS96" s="314">
        <f t="shared" si="490"/>
        <v>180000</v>
      </c>
      <c r="GT96" s="314">
        <f t="shared" si="490"/>
        <v>237208.09105643257</v>
      </c>
      <c r="GU96" s="314">
        <f t="shared" si="490"/>
        <v>0</v>
      </c>
      <c r="GV96" s="314">
        <f t="shared" si="490"/>
        <v>0</v>
      </c>
      <c r="GW96" s="314">
        <f t="shared" si="490"/>
        <v>508275.11092572834</v>
      </c>
      <c r="GX96" s="314">
        <f t="shared" si="490"/>
        <v>0</v>
      </c>
      <c r="GY96" s="314">
        <f t="shared" si="490"/>
        <v>4830299.3211080935</v>
      </c>
      <c r="GZ96" s="314">
        <f t="shared" si="490"/>
        <v>2110821</v>
      </c>
      <c r="HA96" s="314">
        <f t="shared" si="490"/>
        <v>0</v>
      </c>
      <c r="HB96" s="314">
        <f t="shared" si="490"/>
        <v>3358175.1424083812</v>
      </c>
      <c r="HC96" s="314">
        <f t="shared" si="490"/>
        <v>5665342.5418569082</v>
      </c>
      <c r="HD96" s="314">
        <f t="shared" si="490"/>
        <v>280127.27446261514</v>
      </c>
      <c r="HE96" s="314">
        <f t="shared" si="490"/>
        <v>0</v>
      </c>
      <c r="HF96" s="314">
        <f t="shared" si="490"/>
        <v>119081.06523926754</v>
      </c>
      <c r="HG96" s="314">
        <f t="shared" si="490"/>
        <v>381235.86239477736</v>
      </c>
      <c r="HH96" s="314">
        <f t="shared" si="490"/>
        <v>2079424.6794290538</v>
      </c>
      <c r="HI96" s="314">
        <f t="shared" si="490"/>
        <v>1256056.8229740383</v>
      </c>
      <c r="HJ96" s="314">
        <f t="shared" si="490"/>
        <v>0</v>
      </c>
      <c r="HK96" s="314">
        <f t="shared" si="490"/>
        <v>209300</v>
      </c>
      <c r="HL96" s="314">
        <f t="shared" si="490"/>
        <v>22590567.091331739</v>
      </c>
      <c r="HM96" s="314">
        <f t="shared" si="490"/>
        <v>14718892.486666208</v>
      </c>
      <c r="HN96" s="314">
        <f t="shared" si="490"/>
        <v>1010000</v>
      </c>
      <c r="HO96" s="314">
        <f t="shared" si="490"/>
        <v>0</v>
      </c>
      <c r="HP96" s="314">
        <f t="shared" si="490"/>
        <v>4873176.3931448609</v>
      </c>
      <c r="HQ96" s="314">
        <f t="shared" si="490"/>
        <v>6343.6651332845213</v>
      </c>
      <c r="HR96" s="314">
        <f t="shared" si="490"/>
        <v>3820828.3713271841</v>
      </c>
      <c r="HS96" s="314">
        <f t="shared" si="490"/>
        <v>0</v>
      </c>
      <c r="HT96" s="314">
        <f t="shared" si="490"/>
        <v>10409376.101230877</v>
      </c>
      <c r="HU96" s="314">
        <f t="shared" si="490"/>
        <v>4716731.1346240826</v>
      </c>
      <c r="HV96" s="314">
        <f t="shared" si="490"/>
        <v>3167156.5650398545</v>
      </c>
      <c r="HW96" s="314">
        <f t="shared" si="490"/>
        <v>1051593.5192039483</v>
      </c>
      <c r="HX96" s="314">
        <f t="shared" si="490"/>
        <v>7720312.0622955766</v>
      </c>
      <c r="HY96" s="314">
        <f t="shared" si="490"/>
        <v>5250701.0664582644</v>
      </c>
      <c r="HZ96" s="314">
        <f t="shared" si="490"/>
        <v>4004727.2444382086</v>
      </c>
      <c r="IA96" s="314">
        <f t="shared" si="490"/>
        <v>2048447.8427435476</v>
      </c>
      <c r="IB96" s="314">
        <f t="shared" si="490"/>
        <v>4209328.5994076347</v>
      </c>
      <c r="IC96" s="314">
        <f t="shared" si="490"/>
        <v>2566515.4880297687</v>
      </c>
      <c r="ID96" s="314">
        <f t="shared" si="490"/>
        <v>1767952.7585491734</v>
      </c>
      <c r="IE96" s="314">
        <f t="shared" si="490"/>
        <v>2271117.4984155223</v>
      </c>
      <c r="IF96" s="314">
        <f t="shared" si="490"/>
        <v>17268417.06460771</v>
      </c>
      <c r="IG96" s="314">
        <f t="shared" si="490"/>
        <v>5501469.3236043369</v>
      </c>
      <c r="IH96" s="314">
        <f t="shared" si="490"/>
        <v>1191370.0128992093</v>
      </c>
      <c r="II96" s="314">
        <f t="shared" si="490"/>
        <v>10662506.970809121</v>
      </c>
      <c r="IJ96" s="314">
        <f t="shared" si="490"/>
        <v>174967.74664741778</v>
      </c>
      <c r="IK96" s="314">
        <f t="shared" si="490"/>
        <v>609567</v>
      </c>
      <c r="IL96" s="314">
        <f t="shared" si="490"/>
        <v>3262312.568360595</v>
      </c>
      <c r="IM96" s="314">
        <f t="shared" si="490"/>
        <v>396240.97853688634</v>
      </c>
      <c r="IN96" s="314">
        <f t="shared" si="490"/>
        <v>4337862.5763042402</v>
      </c>
      <c r="IO96" s="314">
        <f t="shared" ref="IO96:JH96" si="491">IO95-IO94</f>
        <v>920279.69376959279</v>
      </c>
      <c r="IP96" s="314">
        <f t="shared" si="491"/>
        <v>4602423.9935331289</v>
      </c>
      <c r="IQ96" s="314">
        <f t="shared" si="491"/>
        <v>5986027.5370215252</v>
      </c>
      <c r="IR96" s="314">
        <f t="shared" si="491"/>
        <v>160342.41117402294</v>
      </c>
      <c r="IS96" s="314">
        <f t="shared" si="491"/>
        <v>12130669.405856729</v>
      </c>
      <c r="IT96" s="314">
        <f t="shared" si="491"/>
        <v>2493632.6368855163</v>
      </c>
      <c r="IU96" s="314">
        <f t="shared" si="491"/>
        <v>1641578.6559734326</v>
      </c>
      <c r="IV96" s="314">
        <f t="shared" si="491"/>
        <v>3311368.1671599876</v>
      </c>
      <c r="IW96" s="314">
        <f t="shared" si="491"/>
        <v>8070513.9304688517</v>
      </c>
      <c r="IX96" s="314">
        <f t="shared" si="491"/>
        <v>877866.22833295865</v>
      </c>
      <c r="IY96" s="314">
        <f t="shared" si="491"/>
        <v>2347037.0571892634</v>
      </c>
      <c r="IZ96" s="314">
        <f t="shared" si="491"/>
        <v>5301763.3077615984</v>
      </c>
      <c r="JA96" s="314">
        <f t="shared" si="491"/>
        <v>746084.88052702183</v>
      </c>
      <c r="JB96" s="314">
        <f t="shared" si="491"/>
        <v>0</v>
      </c>
      <c r="JC96" s="314">
        <f t="shared" si="491"/>
        <v>945579.00259929337</v>
      </c>
      <c r="JD96" s="314">
        <f t="shared" si="491"/>
        <v>0</v>
      </c>
      <c r="JE96" s="314">
        <f t="shared" si="491"/>
        <v>617605.89899747109</v>
      </c>
      <c r="JF96" s="314">
        <f t="shared" si="491"/>
        <v>4613369.0051846877</v>
      </c>
      <c r="JG96" s="314">
        <f t="shared" si="491"/>
        <v>7848033.1071791165</v>
      </c>
      <c r="JH96" s="314">
        <f t="shared" si="491"/>
        <v>2011802.7164821536</v>
      </c>
      <c r="JL96" s="307">
        <f t="shared" si="470"/>
        <v>1266393.0353645766</v>
      </c>
      <c r="JM96" s="307">
        <f t="shared" si="470"/>
        <v>85425071.962343499</v>
      </c>
      <c r="JN96" s="307">
        <f t="shared" si="470"/>
        <v>69690182.026354373</v>
      </c>
      <c r="JO96" s="307">
        <f t="shared" si="470"/>
        <v>204234459.76590556</v>
      </c>
      <c r="JP96" s="307">
        <f t="shared" si="471"/>
        <v>360616106.78996801</v>
      </c>
    </row>
    <row r="98" spans="1:276" s="583" customFormat="1" ht="12.75" x14ac:dyDescent="0.2">
      <c r="A98" s="561"/>
      <c r="B98" s="561" t="s">
        <v>2596</v>
      </c>
      <c r="C98" s="562">
        <f>C7/C13</f>
        <v>0.9842891158700009</v>
      </c>
      <c r="D98" s="562">
        <f>D7/D13</f>
        <v>0.8271303227547554</v>
      </c>
      <c r="E98" s="562">
        <f>E7/E13</f>
        <v>1.0464494320502042</v>
      </c>
      <c r="F98" s="562">
        <f t="shared" ref="F98:BR98" si="492">F7/F13</f>
        <v>1.1608366007046129</v>
      </c>
      <c r="G98" s="562">
        <f t="shared" si="492"/>
        <v>0.9143517921269505</v>
      </c>
      <c r="H98" s="562">
        <f t="shared" si="492"/>
        <v>0.91477334095673535</v>
      </c>
      <c r="I98" s="562">
        <f t="shared" si="492"/>
        <v>0.90257351921952622</v>
      </c>
      <c r="J98" s="562">
        <f t="shared" si="492"/>
        <v>0.97713586019927101</v>
      </c>
      <c r="K98" s="562">
        <f t="shared" si="492"/>
        <v>1.0107284978122657</v>
      </c>
      <c r="L98" s="562">
        <f t="shared" si="492"/>
        <v>1.1663549373756448</v>
      </c>
      <c r="M98" s="562">
        <f t="shared" si="492"/>
        <v>1.2047360466317358</v>
      </c>
      <c r="N98" s="562">
        <f t="shared" si="492"/>
        <v>1.2556547221825873</v>
      </c>
      <c r="O98" s="562">
        <f t="shared" si="492"/>
        <v>0.96395933517803167</v>
      </c>
      <c r="P98" s="562">
        <f t="shared" si="492"/>
        <v>0.89890080941221917</v>
      </c>
      <c r="Q98" s="562">
        <f t="shared" si="492"/>
        <v>1.3936754207896984</v>
      </c>
      <c r="R98" s="562">
        <f t="shared" si="492"/>
        <v>0.85306806777821886</v>
      </c>
      <c r="S98" s="562">
        <f t="shared" si="492"/>
        <v>1.0155825633801578</v>
      </c>
      <c r="T98" s="562">
        <f t="shared" si="492"/>
        <v>0.93972117997147264</v>
      </c>
      <c r="U98" s="562">
        <f t="shared" si="492"/>
        <v>0.97607142618813414</v>
      </c>
      <c r="V98" s="562">
        <f t="shared" si="492"/>
        <v>0.60811970753811806</v>
      </c>
      <c r="W98" s="562">
        <f t="shared" si="492"/>
        <v>0.51609502680945829</v>
      </c>
      <c r="X98" s="562">
        <f t="shared" si="492"/>
        <v>1.363938568425846</v>
      </c>
      <c r="Y98" s="562">
        <f t="shared" si="492"/>
        <v>0.85551583199530612</v>
      </c>
      <c r="Z98" s="562">
        <f t="shared" si="492"/>
        <v>0.7473424682683566</v>
      </c>
      <c r="AA98" s="562">
        <f t="shared" si="492"/>
        <v>1.0713902742244779</v>
      </c>
      <c r="AB98" s="562">
        <f t="shared" si="492"/>
        <v>1.4682179726427802</v>
      </c>
      <c r="AC98" s="562">
        <f t="shared" ref="AC98" si="493">AC7/AC13</f>
        <v>1.5880021116358309</v>
      </c>
      <c r="AD98" s="562">
        <f t="shared" si="492"/>
        <v>1.0696965346752028</v>
      </c>
      <c r="AE98" s="562">
        <f t="shared" si="492"/>
        <v>0.65914581439766096</v>
      </c>
      <c r="AF98" s="562">
        <f t="shared" si="492"/>
        <v>0.40312738333671694</v>
      </c>
      <c r="AG98" s="562">
        <f t="shared" si="492"/>
        <v>1.0243242751132124</v>
      </c>
      <c r="AH98" s="562">
        <f t="shared" si="492"/>
        <v>0.57233186876240549</v>
      </c>
      <c r="AI98" s="562">
        <f t="shared" si="492"/>
        <v>0.61562181340878119</v>
      </c>
      <c r="AJ98" s="562">
        <f t="shared" si="492"/>
        <v>0.59920569619470254</v>
      </c>
      <c r="AK98" s="562">
        <f t="shared" si="492"/>
        <v>0.80226980803404346</v>
      </c>
      <c r="AL98" s="562">
        <f t="shared" si="492"/>
        <v>1.2193373947718344</v>
      </c>
      <c r="AM98" s="562">
        <f t="shared" si="492"/>
        <v>1.0478692528953009</v>
      </c>
      <c r="AN98" s="562">
        <f t="shared" si="492"/>
        <v>1.1825384134054904</v>
      </c>
      <c r="AO98" s="562">
        <f t="shared" si="492"/>
        <v>0.87107549522694505</v>
      </c>
      <c r="AP98" s="562">
        <f t="shared" si="492"/>
        <v>0.93074946699599792</v>
      </c>
      <c r="AQ98" s="562">
        <f t="shared" si="492"/>
        <v>1.6525898974426687</v>
      </c>
      <c r="AR98" s="562">
        <f t="shared" si="492"/>
        <v>1.154232509496957</v>
      </c>
      <c r="AS98" s="562">
        <f t="shared" si="492"/>
        <v>1.4365078782658469</v>
      </c>
      <c r="AT98" s="562">
        <f t="shared" si="492"/>
        <v>1.3749665661618473</v>
      </c>
      <c r="AU98" s="562">
        <f t="shared" si="492"/>
        <v>1.3464383198596168</v>
      </c>
      <c r="AV98" s="562">
        <f t="shared" si="492"/>
        <v>1.0540035107349757</v>
      </c>
      <c r="AW98" s="562">
        <f t="shared" si="492"/>
        <v>0.89367724994192455</v>
      </c>
      <c r="AX98" s="562">
        <f t="shared" si="492"/>
        <v>1.1748153602921463</v>
      </c>
      <c r="AY98" s="562">
        <f t="shared" si="492"/>
        <v>1.0871737856049635</v>
      </c>
      <c r="AZ98" s="562">
        <f t="shared" si="492"/>
        <v>0.7658075724373673</v>
      </c>
      <c r="BA98" s="562">
        <f t="shared" si="492"/>
        <v>0.81766156625327191</v>
      </c>
      <c r="BB98" s="562">
        <f t="shared" si="492"/>
        <v>0.93031121369940106</v>
      </c>
      <c r="BC98" s="562">
        <f t="shared" si="492"/>
        <v>1.2263892746794547</v>
      </c>
      <c r="BD98" s="562">
        <f t="shared" si="492"/>
        <v>1.0931801987216596</v>
      </c>
      <c r="BE98" s="562">
        <f t="shared" si="492"/>
        <v>0.98894319382294138</v>
      </c>
      <c r="BF98" s="562">
        <f t="shared" si="492"/>
        <v>0.66330169248108695</v>
      </c>
      <c r="BG98" s="562">
        <f t="shared" si="492"/>
        <v>0.62083037721845613</v>
      </c>
      <c r="BH98" s="562">
        <f t="shared" si="492"/>
        <v>0.84700329512239991</v>
      </c>
      <c r="BI98" s="562">
        <f t="shared" si="492"/>
        <v>0.40800995991834227</v>
      </c>
      <c r="BJ98" s="562">
        <f t="shared" si="492"/>
        <v>1.2477802142865722</v>
      </c>
      <c r="BK98" s="562">
        <f t="shared" si="492"/>
        <v>7.6608815076531209E-2</v>
      </c>
      <c r="BL98" s="562">
        <f t="shared" si="492"/>
        <v>2.065305418734571</v>
      </c>
      <c r="BM98" s="562">
        <f t="shared" si="492"/>
        <v>0.61369538208833141</v>
      </c>
      <c r="BN98" s="562">
        <f t="shared" si="492"/>
        <v>0.97735606876011116</v>
      </c>
      <c r="BO98" s="562">
        <f t="shared" si="492"/>
        <v>0.96078494079052956</v>
      </c>
      <c r="BP98" s="562">
        <f t="shared" si="492"/>
        <v>0.84431869475976695</v>
      </c>
      <c r="BQ98" s="562">
        <f t="shared" si="492"/>
        <v>0.13141442830047698</v>
      </c>
      <c r="BR98" s="562">
        <f t="shared" si="492"/>
        <v>1.0102486357379614</v>
      </c>
      <c r="BS98" s="562">
        <f t="shared" ref="BS98:ED98" si="494">BS7/BS13</f>
        <v>1.0531302084301917</v>
      </c>
      <c r="BT98" s="562">
        <f t="shared" si="494"/>
        <v>0.85862153681974163</v>
      </c>
      <c r="BU98" s="562">
        <f t="shared" si="494"/>
        <v>1.249247400519391</v>
      </c>
      <c r="BV98" s="562">
        <f t="shared" si="494"/>
        <v>1.1473571950480466</v>
      </c>
      <c r="BW98" s="562">
        <f t="shared" si="494"/>
        <v>1.9858004877620663</v>
      </c>
      <c r="BX98" s="562">
        <f t="shared" si="494"/>
        <v>1.0327455965569006</v>
      </c>
      <c r="BY98" s="562">
        <f t="shared" si="494"/>
        <v>0.94164799174908831</v>
      </c>
      <c r="BZ98" s="562">
        <f t="shared" si="494"/>
        <v>1.5982652794661296</v>
      </c>
      <c r="CA98" s="562" t="e">
        <f t="shared" si="494"/>
        <v>#DIV/0!</v>
      </c>
      <c r="CB98" s="562">
        <f t="shared" si="494"/>
        <v>3.2768081848386252</v>
      </c>
      <c r="CC98" s="562">
        <f t="shared" si="494"/>
        <v>1.1379387619050629</v>
      </c>
      <c r="CD98" s="562">
        <f t="shared" si="494"/>
        <v>1.3341886666930221</v>
      </c>
      <c r="CE98" s="562">
        <f t="shared" si="494"/>
        <v>0.81524649273293737</v>
      </c>
      <c r="CF98" s="562">
        <f t="shared" si="494"/>
        <v>0.97931179955080638</v>
      </c>
      <c r="CG98" s="562">
        <f t="shared" si="494"/>
        <v>0.13114962606225744</v>
      </c>
      <c r="CH98" s="562">
        <f t="shared" si="494"/>
        <v>0.81662737551793063</v>
      </c>
      <c r="CI98" s="562">
        <f t="shared" si="494"/>
        <v>0.92928035350191662</v>
      </c>
      <c r="CJ98" s="562">
        <f t="shared" si="494"/>
        <v>0.96727953307762016</v>
      </c>
      <c r="CK98" s="562">
        <f t="shared" si="494"/>
        <v>0.85153432822498887</v>
      </c>
      <c r="CL98" s="562">
        <f t="shared" si="494"/>
        <v>0.96239823939892344</v>
      </c>
      <c r="CM98" s="562">
        <f t="shared" si="494"/>
        <v>1.0938856323286816</v>
      </c>
      <c r="CN98" s="562">
        <f t="shared" si="494"/>
        <v>1.1464068113819004</v>
      </c>
      <c r="CO98" s="562">
        <f t="shared" si="494"/>
        <v>1.1763765909101855</v>
      </c>
      <c r="CP98" s="562">
        <f t="shared" si="494"/>
        <v>1.1247238591829607</v>
      </c>
      <c r="CQ98" s="562">
        <f t="shared" si="494"/>
        <v>1.0344885955085059</v>
      </c>
      <c r="CR98" s="562">
        <f t="shared" si="494"/>
        <v>0.94077543511635409</v>
      </c>
      <c r="CS98" s="562">
        <f t="shared" si="494"/>
        <v>0.77502344684662916</v>
      </c>
      <c r="CT98" s="562">
        <f t="shared" si="494"/>
        <v>1.1830148529852067</v>
      </c>
      <c r="CU98" s="562">
        <f t="shared" si="494"/>
        <v>0.90775834680182033</v>
      </c>
      <c r="CV98" s="562">
        <f t="shared" si="494"/>
        <v>1.2490973139855994</v>
      </c>
      <c r="CW98" s="562">
        <f t="shared" si="494"/>
        <v>0.89753694362127279</v>
      </c>
      <c r="CX98" s="562">
        <f t="shared" si="494"/>
        <v>0.71199440863088315</v>
      </c>
      <c r="CY98" s="562">
        <f t="shared" si="494"/>
        <v>1.0257201597074312</v>
      </c>
      <c r="CZ98" s="562">
        <f t="shared" si="494"/>
        <v>0.22934051886456305</v>
      </c>
      <c r="DA98" s="562">
        <f t="shared" si="494"/>
        <v>0.89173500955234308</v>
      </c>
      <c r="DB98" s="562">
        <f t="shared" si="494"/>
        <v>0.89067820043819146</v>
      </c>
      <c r="DC98" s="562">
        <f t="shared" si="494"/>
        <v>1.0292620826341019</v>
      </c>
      <c r="DD98" s="562">
        <f t="shared" si="494"/>
        <v>0.94739567977976935</v>
      </c>
      <c r="DE98" s="562">
        <f t="shared" si="494"/>
        <v>0.35878461727508787</v>
      </c>
      <c r="DF98" s="562">
        <f t="shared" si="494"/>
        <v>0.59509216826015598</v>
      </c>
      <c r="DG98" s="562">
        <f t="shared" si="494"/>
        <v>2.1838548920760741</v>
      </c>
      <c r="DH98" s="562">
        <f t="shared" si="494"/>
        <v>0.95394093117484424</v>
      </c>
      <c r="DI98" s="562">
        <f t="shared" si="494"/>
        <v>1.2228969904196303</v>
      </c>
      <c r="DJ98" s="562">
        <f t="shared" si="494"/>
        <v>0.85838785566446008</v>
      </c>
      <c r="DK98" s="562">
        <f t="shared" si="494"/>
        <v>0.92595006344996211</v>
      </c>
      <c r="DL98" s="562">
        <f t="shared" si="494"/>
        <v>1.6331122070773734</v>
      </c>
      <c r="DM98" s="562">
        <f t="shared" si="494"/>
        <v>0.98928129557385958</v>
      </c>
      <c r="DN98" s="562">
        <f t="shared" si="494"/>
        <v>0.93537791641534951</v>
      </c>
      <c r="DO98" s="562">
        <f t="shared" si="494"/>
        <v>1.1623472467486697</v>
      </c>
      <c r="DP98" s="562">
        <f t="shared" si="494"/>
        <v>1.0099396468818187</v>
      </c>
      <c r="DQ98" s="562">
        <f t="shared" si="494"/>
        <v>0.85228933988430611</v>
      </c>
      <c r="DR98" s="562">
        <f t="shared" si="494"/>
        <v>0.82025243810048565</v>
      </c>
      <c r="DS98" s="562">
        <f t="shared" si="494"/>
        <v>0.50771668939617831</v>
      </c>
      <c r="DT98" s="562">
        <f t="shared" si="494"/>
        <v>0.7933446952021278</v>
      </c>
      <c r="DU98" s="562">
        <f t="shared" si="494"/>
        <v>0</v>
      </c>
      <c r="DV98" s="562">
        <f t="shared" si="494"/>
        <v>0.57333696031696368</v>
      </c>
      <c r="DW98" s="562">
        <f t="shared" si="494"/>
        <v>0</v>
      </c>
      <c r="DX98" s="562">
        <f t="shared" si="494"/>
        <v>0</v>
      </c>
      <c r="DY98" s="562">
        <f t="shared" si="494"/>
        <v>1.2829881320703687</v>
      </c>
      <c r="DZ98" s="562">
        <f t="shared" si="494"/>
        <v>1.1997916546129219</v>
      </c>
      <c r="EA98" s="562">
        <f t="shared" si="494"/>
        <v>1.1115776788361305</v>
      </c>
      <c r="EB98" s="562">
        <f t="shared" si="494"/>
        <v>1.0350309034229563</v>
      </c>
      <c r="EC98" s="562">
        <f t="shared" si="494"/>
        <v>1.3615024931084816</v>
      </c>
      <c r="ED98" s="562">
        <f t="shared" si="494"/>
        <v>1.013933405809804</v>
      </c>
      <c r="EE98" s="562">
        <f t="shared" ref="EE98:GP98" si="495">EE7/EE13</f>
        <v>0.71412722035953458</v>
      </c>
      <c r="EF98" s="562">
        <f t="shared" si="495"/>
        <v>0.71731152534212117</v>
      </c>
      <c r="EG98" s="562">
        <f t="shared" si="495"/>
        <v>0.95363300259760231</v>
      </c>
      <c r="EH98" s="562">
        <f t="shared" si="495"/>
        <v>0.74392500035278852</v>
      </c>
      <c r="EI98" s="562">
        <f t="shared" si="495"/>
        <v>0.78146658539726654</v>
      </c>
      <c r="EJ98" s="562">
        <f t="shared" si="495"/>
        <v>1.0511542200147532</v>
      </c>
      <c r="EK98" s="562">
        <f t="shared" si="495"/>
        <v>1.4063818395875916</v>
      </c>
      <c r="EL98" s="562">
        <f t="shared" si="495"/>
        <v>0.92288674172541751</v>
      </c>
      <c r="EM98" s="562">
        <f t="shared" si="495"/>
        <v>1.2522470716595495</v>
      </c>
      <c r="EN98" s="562">
        <f t="shared" si="495"/>
        <v>1.0040565889099313</v>
      </c>
      <c r="EO98" s="562">
        <f t="shared" si="495"/>
        <v>1.392618321722767</v>
      </c>
      <c r="EP98" s="562">
        <f t="shared" si="495"/>
        <v>0.93271294592351395</v>
      </c>
      <c r="EQ98" s="562">
        <f t="shared" si="495"/>
        <v>1.5479119053649739</v>
      </c>
      <c r="ER98" s="562">
        <f t="shared" si="495"/>
        <v>0.48658240929378671</v>
      </c>
      <c r="ES98" s="562">
        <f t="shared" si="495"/>
        <v>0.7949724080148951</v>
      </c>
      <c r="ET98" s="562">
        <f t="shared" si="495"/>
        <v>0.89289053122043227</v>
      </c>
      <c r="EU98" s="562">
        <f t="shared" si="495"/>
        <v>0.71692988779597355</v>
      </c>
      <c r="EV98" s="562">
        <f t="shared" si="495"/>
        <v>0.87509852003074096</v>
      </c>
      <c r="EW98" s="562">
        <f t="shared" si="495"/>
        <v>0.62583911956828853</v>
      </c>
      <c r="EX98" s="562">
        <f t="shared" si="495"/>
        <v>0.57136262586157627</v>
      </c>
      <c r="EY98" s="562">
        <f t="shared" si="495"/>
        <v>0.77271064307467341</v>
      </c>
      <c r="EZ98" s="562">
        <f t="shared" si="495"/>
        <v>0.22870828591562303</v>
      </c>
      <c r="FA98" s="562">
        <f t="shared" si="495"/>
        <v>0.37449508065697185</v>
      </c>
      <c r="FB98" s="562">
        <f t="shared" si="495"/>
        <v>0.87961322737955283</v>
      </c>
      <c r="FC98" s="562">
        <f t="shared" si="495"/>
        <v>0.61868818784275215</v>
      </c>
      <c r="FD98" s="562">
        <f t="shared" si="495"/>
        <v>0.72112960618194988</v>
      </c>
      <c r="FE98" s="562">
        <f t="shared" si="495"/>
        <v>0.47944497157823196</v>
      </c>
      <c r="FF98" s="562">
        <f t="shared" si="495"/>
        <v>0.48781663662832547</v>
      </c>
      <c r="FG98" s="562">
        <f t="shared" si="495"/>
        <v>0.55722945315115813</v>
      </c>
      <c r="FH98" s="562">
        <f t="shared" si="495"/>
        <v>0.54859365403390403</v>
      </c>
      <c r="FI98" s="562">
        <f t="shared" si="495"/>
        <v>0.64826278750637334</v>
      </c>
      <c r="FJ98" s="562">
        <f t="shared" si="495"/>
        <v>0.55106077239982043</v>
      </c>
      <c r="FK98" s="562">
        <f t="shared" si="495"/>
        <v>0.97261095707113243</v>
      </c>
      <c r="FL98" s="562">
        <f t="shared" si="495"/>
        <v>0.80175286668546875</v>
      </c>
      <c r="FM98" s="562">
        <f t="shared" si="495"/>
        <v>0.78293498801784345</v>
      </c>
      <c r="FN98" s="562">
        <f t="shared" si="495"/>
        <v>1.0148907621090457</v>
      </c>
      <c r="FO98" s="562">
        <f t="shared" si="495"/>
        <v>0.84846442608578676</v>
      </c>
      <c r="FP98" s="562">
        <f t="shared" si="495"/>
        <v>0.86217370775886937</v>
      </c>
      <c r="FQ98" s="562">
        <f t="shared" si="495"/>
        <v>0.88823482057123071</v>
      </c>
      <c r="FR98" s="562">
        <f t="shared" si="495"/>
        <v>1.0362613306052584</v>
      </c>
      <c r="FS98" s="562">
        <f t="shared" si="495"/>
        <v>0.61659841747383826</v>
      </c>
      <c r="FT98" s="562">
        <f t="shared" si="495"/>
        <v>0.81952508971017568</v>
      </c>
      <c r="FU98" s="562">
        <f t="shared" si="495"/>
        <v>0.65710713203291415</v>
      </c>
      <c r="FV98" s="562">
        <f t="shared" si="495"/>
        <v>0.59259773463675924</v>
      </c>
      <c r="FW98" s="562">
        <f t="shared" si="495"/>
        <v>0.72429478786805235</v>
      </c>
      <c r="FX98" s="562">
        <f t="shared" si="495"/>
        <v>0.6826397465639561</v>
      </c>
      <c r="FY98" s="562">
        <f t="shared" si="495"/>
        <v>0.33789077050355182</v>
      </c>
      <c r="FZ98" s="562">
        <f t="shared" si="495"/>
        <v>0.98013661395483964</v>
      </c>
      <c r="GA98" s="562">
        <f t="shared" si="495"/>
        <v>0.985717686893259</v>
      </c>
      <c r="GB98" s="562">
        <f t="shared" si="495"/>
        <v>0.67047208442113215</v>
      </c>
      <c r="GC98" s="562">
        <f t="shared" si="495"/>
        <v>0.68331535777577734</v>
      </c>
      <c r="GD98" s="562">
        <f t="shared" si="495"/>
        <v>0.77035455308029077</v>
      </c>
      <c r="GE98" s="562">
        <f t="shared" si="495"/>
        <v>0.75411802340960399</v>
      </c>
      <c r="GF98" s="562">
        <f t="shared" si="495"/>
        <v>1.0000003444728893</v>
      </c>
      <c r="GG98" s="562">
        <f t="shared" si="495"/>
        <v>0.76676982242222314</v>
      </c>
      <c r="GH98" s="562">
        <f t="shared" si="495"/>
        <v>0.70279728274201592</v>
      </c>
      <c r="GI98" s="562">
        <f t="shared" si="495"/>
        <v>0.6800368593602909</v>
      </c>
      <c r="GJ98" s="562">
        <f t="shared" si="495"/>
        <v>0.60066609750766775</v>
      </c>
      <c r="GK98" s="562">
        <f t="shared" si="495"/>
        <v>0.33175783553419019</v>
      </c>
      <c r="GL98" s="562">
        <f t="shared" si="495"/>
        <v>0.57386791287881467</v>
      </c>
      <c r="GM98" s="562">
        <f t="shared" si="495"/>
        <v>0.60195811980906488</v>
      </c>
      <c r="GN98" s="562">
        <f t="shared" si="495"/>
        <v>0.70795749118501572</v>
      </c>
      <c r="GO98" s="562">
        <f t="shared" si="495"/>
        <v>0.50812343968762397</v>
      </c>
      <c r="GP98" s="562">
        <f t="shared" si="495"/>
        <v>1.4260305407256191</v>
      </c>
      <c r="GQ98" s="562">
        <f t="shared" ref="GQ98:JB98" si="496">GQ7/GQ13</f>
        <v>0.34996299430120592</v>
      </c>
      <c r="GR98" s="562">
        <f t="shared" si="496"/>
        <v>0.36502583242170378</v>
      </c>
      <c r="GS98" s="562">
        <f t="shared" si="496"/>
        <v>0.18684095226553238</v>
      </c>
      <c r="GT98" s="562">
        <f t="shared" si="496"/>
        <v>0.60368015389490104</v>
      </c>
      <c r="GU98" s="562">
        <f t="shared" si="496"/>
        <v>0.37335794934214139</v>
      </c>
      <c r="GV98" s="562">
        <f t="shared" si="496"/>
        <v>0.60147328337737282</v>
      </c>
      <c r="GW98" s="562">
        <f t="shared" si="496"/>
        <v>0.64819051669572736</v>
      </c>
      <c r="GX98" s="562">
        <f t="shared" si="496"/>
        <v>0.1771731653435179</v>
      </c>
      <c r="GY98" s="562">
        <f t="shared" si="496"/>
        <v>0.4603366531876969</v>
      </c>
      <c r="GZ98" s="562">
        <f t="shared" si="496"/>
        <v>0.52560227552110417</v>
      </c>
      <c r="HA98" s="562">
        <f t="shared" si="496"/>
        <v>0.43925800165461726</v>
      </c>
      <c r="HB98" s="562">
        <f t="shared" si="496"/>
        <v>0.54519766005220849</v>
      </c>
      <c r="HC98" s="562">
        <f t="shared" si="496"/>
        <v>0.76340343279782563</v>
      </c>
      <c r="HD98" s="562">
        <f t="shared" si="496"/>
        <v>0.54822531424365406</v>
      </c>
      <c r="HE98" s="562">
        <f t="shared" si="496"/>
        <v>0.42571586285984098</v>
      </c>
      <c r="HF98" s="562">
        <f t="shared" si="496"/>
        <v>0.31659157110883235</v>
      </c>
      <c r="HG98" s="562">
        <f t="shared" si="496"/>
        <v>0.53512101688129887</v>
      </c>
      <c r="HH98" s="562">
        <f t="shared" si="496"/>
        <v>1.1251615369013319</v>
      </c>
      <c r="HI98" s="562">
        <f t="shared" si="496"/>
        <v>0.50447098825506076</v>
      </c>
      <c r="HJ98" s="562">
        <f t="shared" si="496"/>
        <v>0</v>
      </c>
      <c r="HK98" s="562">
        <f t="shared" si="496"/>
        <v>0.16528760911572316</v>
      </c>
      <c r="HL98" s="562">
        <f t="shared" si="496"/>
        <v>1.1731315872478263</v>
      </c>
      <c r="HM98" s="562">
        <f t="shared" si="496"/>
        <v>1.2732457404008413</v>
      </c>
      <c r="HN98" s="562">
        <f t="shared" si="496"/>
        <v>1.3057480701113959</v>
      </c>
      <c r="HO98" s="562">
        <f t="shared" si="496"/>
        <v>0</v>
      </c>
      <c r="HP98" s="562">
        <f t="shared" si="496"/>
        <v>0.81631149838414052</v>
      </c>
      <c r="HQ98" s="562">
        <f t="shared" si="496"/>
        <v>0.67792674520513496</v>
      </c>
      <c r="HR98" s="562">
        <f t="shared" si="496"/>
        <v>0.75106227764821087</v>
      </c>
      <c r="HS98" s="562">
        <f t="shared" si="496"/>
        <v>0.63929602834783428</v>
      </c>
      <c r="HT98" s="562">
        <f t="shared" si="496"/>
        <v>1.1293073239065399</v>
      </c>
      <c r="HU98" s="562">
        <f t="shared" si="496"/>
        <v>0.87687110542093827</v>
      </c>
      <c r="HV98" s="562">
        <f t="shared" si="496"/>
        <v>0.74668169494185221</v>
      </c>
      <c r="HW98" s="562">
        <f t="shared" si="496"/>
        <v>0.81416955900805121</v>
      </c>
      <c r="HX98" s="562">
        <f t="shared" si="496"/>
        <v>0.93233425980762041</v>
      </c>
      <c r="HY98" s="562">
        <f t="shared" si="496"/>
        <v>0.85089054047102519</v>
      </c>
      <c r="HZ98" s="562">
        <f t="shared" si="496"/>
        <v>1.0341661952598271</v>
      </c>
      <c r="IA98" s="562">
        <f t="shared" si="496"/>
        <v>0.70998144358722803</v>
      </c>
      <c r="IB98" s="562">
        <f t="shared" si="496"/>
        <v>1.063028496439635</v>
      </c>
      <c r="IC98" s="562">
        <f t="shared" si="496"/>
        <v>0.6478649685575284</v>
      </c>
      <c r="ID98" s="562">
        <f t="shared" si="496"/>
        <v>0.80829940060589123</v>
      </c>
      <c r="IE98" s="562">
        <f t="shared" si="496"/>
        <v>0.85615429847428148</v>
      </c>
      <c r="IF98" s="562">
        <f t="shared" si="496"/>
        <v>1.4771173459767875</v>
      </c>
      <c r="IG98" s="562">
        <f t="shared" si="496"/>
        <v>1.5206553621713312</v>
      </c>
      <c r="IH98" s="562">
        <f t="shared" si="496"/>
        <v>0.91733873706842584</v>
      </c>
      <c r="II98" s="562">
        <f t="shared" si="496"/>
        <v>1.1547894661105877</v>
      </c>
      <c r="IJ98" s="562">
        <f t="shared" si="496"/>
        <v>0.71984456495434679</v>
      </c>
      <c r="IK98" s="562">
        <f t="shared" si="496"/>
        <v>0.17727084547629685</v>
      </c>
      <c r="IL98" s="562">
        <f t="shared" si="496"/>
        <v>0.9643595410089586</v>
      </c>
      <c r="IM98" s="562">
        <f t="shared" si="496"/>
        <v>1.3438777543737919</v>
      </c>
      <c r="IN98" s="562">
        <f t="shared" si="496"/>
        <v>1.0164795224269008</v>
      </c>
      <c r="IO98" s="562">
        <f t="shared" si="496"/>
        <v>0.85263710871223986</v>
      </c>
      <c r="IP98" s="562">
        <f t="shared" si="496"/>
        <v>0.83902554494124515</v>
      </c>
      <c r="IQ98" s="562">
        <f t="shared" si="496"/>
        <v>0.87277259226746684</v>
      </c>
      <c r="IR98" s="562">
        <f t="shared" si="496"/>
        <v>0.78307976828058268</v>
      </c>
      <c r="IS98" s="562">
        <f t="shared" si="496"/>
        <v>0.7102120584132775</v>
      </c>
      <c r="IT98" s="562">
        <f t="shared" si="496"/>
        <v>0.69020510682304592</v>
      </c>
      <c r="IU98" s="562">
        <f t="shared" si="496"/>
        <v>1.0808987958362455</v>
      </c>
      <c r="IV98" s="562">
        <f t="shared" si="496"/>
        <v>0.96989833317076546</v>
      </c>
      <c r="IW98" s="562">
        <f t="shared" si="496"/>
        <v>1.168279149031701</v>
      </c>
      <c r="IX98" s="562">
        <f t="shared" si="496"/>
        <v>1.0417895451116959</v>
      </c>
      <c r="IY98" s="562">
        <f t="shared" si="496"/>
        <v>0.92625761395508044</v>
      </c>
      <c r="IZ98" s="562">
        <f t="shared" si="496"/>
        <v>0.92600664964560953</v>
      </c>
      <c r="JA98" s="562">
        <f t="shared" si="496"/>
        <v>0.93041058589366632</v>
      </c>
      <c r="JB98" s="562">
        <f t="shared" si="496"/>
        <v>0.61547153402156973</v>
      </c>
      <c r="JC98" s="562">
        <f t="shared" ref="JC98:JH98" si="497">JC7/JC13</f>
        <v>1.0555352302875474</v>
      </c>
      <c r="JD98" s="562">
        <f t="shared" si="497"/>
        <v>0.44688475461309884</v>
      </c>
      <c r="JE98" s="562">
        <f t="shared" si="497"/>
        <v>0.19563094986329579</v>
      </c>
      <c r="JF98" s="562">
        <f t="shared" si="497"/>
        <v>0.79737837923162558</v>
      </c>
      <c r="JG98" s="562">
        <f t="shared" si="497"/>
        <v>0.95192895515365539</v>
      </c>
      <c r="JH98" s="562">
        <f t="shared" si="497"/>
        <v>2.3578365595346775</v>
      </c>
      <c r="JI98" s="561"/>
      <c r="JL98" s="584">
        <f>JL7/JL13</f>
        <v>0.95100373670070582</v>
      </c>
      <c r="JM98" s="584">
        <f>JM7/JM13</f>
        <v>0.88380506974547168</v>
      </c>
      <c r="JN98" s="584">
        <f>JN7/JN13</f>
        <v>0.638321488978288</v>
      </c>
      <c r="JO98" s="584">
        <f>JO7/JO13</f>
        <v>0.90079174140682283</v>
      </c>
      <c r="JP98" s="584">
        <f>JP7/JP13</f>
        <v>0.8367868080228702</v>
      </c>
    </row>
    <row r="99" spans="1:276" s="583" customFormat="1" ht="12.75" x14ac:dyDescent="0.2">
      <c r="A99" s="561"/>
      <c r="B99" s="561" t="s">
        <v>2597</v>
      </c>
      <c r="C99" s="562">
        <f>IFERROR(C49/C13,0)</f>
        <v>5.3786290484699505E-3</v>
      </c>
      <c r="D99" s="562">
        <f t="shared" ref="D99:BP99" si="498">IFERROR(D49/D13,0)</f>
        <v>3.2100788722694257E-2</v>
      </c>
      <c r="E99" s="562">
        <f t="shared" si="498"/>
        <v>2.0253859975165243E-2</v>
      </c>
      <c r="F99" s="562">
        <f t="shared" si="498"/>
        <v>9.0980268716044171E-2</v>
      </c>
      <c r="G99" s="562">
        <f t="shared" si="498"/>
        <v>0.1213577455850154</v>
      </c>
      <c r="H99" s="562">
        <f t="shared" si="498"/>
        <v>0.55303961165334159</v>
      </c>
      <c r="I99" s="562">
        <f t="shared" si="498"/>
        <v>0.2052342006026327</v>
      </c>
      <c r="J99" s="577">
        <f t="shared" si="498"/>
        <v>0.06</v>
      </c>
      <c r="K99" s="577">
        <f t="shared" si="498"/>
        <v>5.9999999999999991E-2</v>
      </c>
      <c r="L99" s="562">
        <f t="shared" si="498"/>
        <v>6.9883570858622804E-2</v>
      </c>
      <c r="M99" s="562">
        <f t="shared" si="498"/>
        <v>7.9437283074780082E-2</v>
      </c>
      <c r="N99" s="562">
        <f t="shared" si="498"/>
        <v>0.10942134007591117</v>
      </c>
      <c r="O99" s="562">
        <f t="shared" si="498"/>
        <v>6.8202457206805928E-2</v>
      </c>
      <c r="P99" s="562">
        <f t="shared" si="498"/>
        <v>0.14276060303964699</v>
      </c>
      <c r="Q99" s="562">
        <f t="shared" si="498"/>
        <v>8.4268746373330594E-2</v>
      </c>
      <c r="R99" s="562">
        <f t="shared" si="498"/>
        <v>0.18603493013240927</v>
      </c>
      <c r="S99" s="562">
        <f t="shared" si="498"/>
        <v>6.7949790367390336E-2</v>
      </c>
      <c r="T99" s="562">
        <f t="shared" si="498"/>
        <v>0.1615566498518291</v>
      </c>
      <c r="U99" s="562">
        <f t="shared" si="498"/>
        <v>0.14809359569751002</v>
      </c>
      <c r="V99" s="562">
        <f t="shared" si="498"/>
        <v>0.28274127920754505</v>
      </c>
      <c r="W99" s="562">
        <f t="shared" si="498"/>
        <v>0.22630645776527419</v>
      </c>
      <c r="X99" s="562">
        <f t="shared" si="498"/>
        <v>5.5680276174653917E-2</v>
      </c>
      <c r="Y99" s="562">
        <f t="shared" si="498"/>
        <v>4.8315120121720567E-2</v>
      </c>
      <c r="Z99" s="562">
        <f t="shared" si="498"/>
        <v>0</v>
      </c>
      <c r="AA99" s="562">
        <f t="shared" si="498"/>
        <v>6.8384891912108586E-2</v>
      </c>
      <c r="AB99" s="562">
        <f t="shared" si="498"/>
        <v>4.8940994418201947E-2</v>
      </c>
      <c r="AC99" s="562">
        <f t="shared" ref="AC99" si="499">IFERROR(AC49/AC13,0)</f>
        <v>0</v>
      </c>
      <c r="AD99" s="562">
        <f t="shared" si="498"/>
        <v>6.2772611016868193E-2</v>
      </c>
      <c r="AE99" s="562">
        <f t="shared" si="498"/>
        <v>7.2652981875915165E-2</v>
      </c>
      <c r="AF99" s="577">
        <f t="shared" si="498"/>
        <v>0.06</v>
      </c>
      <c r="AG99" s="562">
        <f t="shared" si="498"/>
        <v>7.6197648385090189E-2</v>
      </c>
      <c r="AH99" s="562">
        <f t="shared" si="498"/>
        <v>7.6587040859390318E-2</v>
      </c>
      <c r="AI99" s="577">
        <f t="shared" si="498"/>
        <v>5.0425286138259799E-2</v>
      </c>
      <c r="AJ99" s="577">
        <f t="shared" si="498"/>
        <v>4.1251313615013253E-2</v>
      </c>
      <c r="AK99" s="577">
        <f t="shared" si="498"/>
        <v>5.6629452359967337E-2</v>
      </c>
      <c r="AL99" s="562">
        <f t="shared" si="498"/>
        <v>9.4579782712340008E-2</v>
      </c>
      <c r="AM99" s="562">
        <f t="shared" si="498"/>
        <v>3.8540236359097452E-2</v>
      </c>
      <c r="AN99" s="562">
        <f t="shared" si="498"/>
        <v>9.5447025720918927E-2</v>
      </c>
      <c r="AO99" s="562">
        <f t="shared" si="498"/>
        <v>0.40877197330559001</v>
      </c>
      <c r="AP99" s="577">
        <f t="shared" si="498"/>
        <v>5.8385662510748955E-2</v>
      </c>
      <c r="AQ99" s="562">
        <f t="shared" si="498"/>
        <v>0.16828817692898865</v>
      </c>
      <c r="AR99" s="562">
        <f t="shared" si="498"/>
        <v>8.3470935756778372E-2</v>
      </c>
      <c r="AS99" s="562">
        <f t="shared" si="498"/>
        <v>8.3022167284967724E-2</v>
      </c>
      <c r="AT99" s="562">
        <f t="shared" si="498"/>
        <v>8.0127361959086971E-2</v>
      </c>
      <c r="AU99" s="562">
        <f t="shared" si="498"/>
        <v>0.15210769694100026</v>
      </c>
      <c r="AV99" s="562">
        <f t="shared" si="498"/>
        <v>5.5305127179249673E-2</v>
      </c>
      <c r="AW99" s="562">
        <f t="shared" si="498"/>
        <v>4.4483346135042491E-2</v>
      </c>
      <c r="AX99" s="562">
        <f t="shared" si="498"/>
        <v>8.9279046525883282E-2</v>
      </c>
      <c r="AY99" s="562">
        <f t="shared" si="498"/>
        <v>7.4545479969455861E-2</v>
      </c>
      <c r="AZ99" s="562">
        <f t="shared" si="498"/>
        <v>4.0123333009436504E-2</v>
      </c>
      <c r="BA99" s="562">
        <f t="shared" si="498"/>
        <v>9.9217871528024318E-2</v>
      </c>
      <c r="BB99" s="562">
        <f t="shared" si="498"/>
        <v>9.9201451663403828E-2</v>
      </c>
      <c r="BC99" s="562">
        <f t="shared" si="498"/>
        <v>0.10068032755937517</v>
      </c>
      <c r="BD99" s="562">
        <f t="shared" si="498"/>
        <v>0.15046942878356631</v>
      </c>
      <c r="BE99" s="562">
        <f t="shared" si="498"/>
        <v>0.13483151453469494</v>
      </c>
      <c r="BF99" s="562">
        <f t="shared" si="498"/>
        <v>0.12346605761034093</v>
      </c>
      <c r="BG99" s="562">
        <f t="shared" si="498"/>
        <v>0.12173144651342277</v>
      </c>
      <c r="BH99" s="562">
        <f t="shared" si="498"/>
        <v>0.10488468751203767</v>
      </c>
      <c r="BI99" s="562">
        <f t="shared" si="498"/>
        <v>3.2126768497507265E-2</v>
      </c>
      <c r="BJ99" s="562">
        <f t="shared" si="498"/>
        <v>7.7214994893687286E-2</v>
      </c>
      <c r="BK99" s="562">
        <f t="shared" si="498"/>
        <v>3.6772231236734981E-2</v>
      </c>
      <c r="BL99" s="577">
        <f t="shared" si="498"/>
        <v>0.06</v>
      </c>
      <c r="BM99" s="577">
        <f t="shared" si="498"/>
        <v>5.438739404457979E-2</v>
      </c>
      <c r="BN99" s="562">
        <f t="shared" si="498"/>
        <v>0.16751739138580243</v>
      </c>
      <c r="BO99" s="562">
        <f t="shared" si="498"/>
        <v>0.19896852318609845</v>
      </c>
      <c r="BP99" s="562">
        <f t="shared" si="498"/>
        <v>0.13843100893598312</v>
      </c>
      <c r="BQ99" s="577">
        <f t="shared" ref="BQ99:EB99" si="500">IFERROR(BQ49/BQ13,0)</f>
        <v>0.06</v>
      </c>
      <c r="BR99" s="562">
        <f t="shared" si="500"/>
        <v>7.9781061655224236E-2</v>
      </c>
      <c r="BS99" s="562">
        <f t="shared" si="500"/>
        <v>0.17202791419407729</v>
      </c>
      <c r="BT99" s="562">
        <f t="shared" si="500"/>
        <v>0.17950738872425456</v>
      </c>
      <c r="BU99" s="562">
        <f t="shared" si="500"/>
        <v>0.25862240174930462</v>
      </c>
      <c r="BV99" s="577">
        <f t="shared" si="500"/>
        <v>6.0000000000000005E-2</v>
      </c>
      <c r="BW99" s="577">
        <f t="shared" si="500"/>
        <v>5.9999999999999991E-2</v>
      </c>
      <c r="BX99" s="562">
        <f t="shared" si="500"/>
        <v>0.2587318104996103</v>
      </c>
      <c r="BY99" s="562">
        <f t="shared" si="500"/>
        <v>0.35342058302150875</v>
      </c>
      <c r="BZ99" s="562">
        <f t="shared" si="500"/>
        <v>0.60236128623095342</v>
      </c>
      <c r="CA99" s="562">
        <f t="shared" si="500"/>
        <v>0</v>
      </c>
      <c r="CB99" s="577">
        <f t="shared" si="500"/>
        <v>0.06</v>
      </c>
      <c r="CC99" s="562">
        <f t="shared" si="500"/>
        <v>0.16735611933368963</v>
      </c>
      <c r="CD99" s="562">
        <f t="shared" si="500"/>
        <v>0.21002364480737784</v>
      </c>
      <c r="CE99" s="562">
        <f t="shared" si="500"/>
        <v>0.31081095184570295</v>
      </c>
      <c r="CF99" s="562">
        <f t="shared" si="500"/>
        <v>7.6112154799343093E-2</v>
      </c>
      <c r="CG99" s="562">
        <f t="shared" si="500"/>
        <v>0.17266461560714469</v>
      </c>
      <c r="CH99" s="562">
        <f t="shared" si="500"/>
        <v>0.19627285017849264</v>
      </c>
      <c r="CI99" s="562">
        <f t="shared" si="500"/>
        <v>5.6836718868618755E-2</v>
      </c>
      <c r="CJ99" s="562">
        <f t="shared" si="500"/>
        <v>0.17401758515459184</v>
      </c>
      <c r="CK99" s="562">
        <f t="shared" si="500"/>
        <v>0.11230054218555005</v>
      </c>
      <c r="CL99" s="562">
        <f t="shared" si="500"/>
        <v>0.1663049693953032</v>
      </c>
      <c r="CM99" s="562">
        <f t="shared" si="500"/>
        <v>0.13514414617065554</v>
      </c>
      <c r="CN99" s="562">
        <f t="shared" si="500"/>
        <v>0.12548884997632523</v>
      </c>
      <c r="CO99" s="562">
        <f t="shared" si="500"/>
        <v>0.19013462117625035</v>
      </c>
      <c r="CP99" s="562">
        <f t="shared" si="500"/>
        <v>0.16351577421157529</v>
      </c>
      <c r="CQ99" s="562">
        <f t="shared" si="500"/>
        <v>0.11830466397419136</v>
      </c>
      <c r="CR99" s="562">
        <f t="shared" si="500"/>
        <v>2.0178839530202431E-2</v>
      </c>
      <c r="CS99" s="577">
        <f t="shared" si="500"/>
        <v>5.3831280094404285E-2</v>
      </c>
      <c r="CT99" s="562">
        <f t="shared" si="500"/>
        <v>0.12439872283322755</v>
      </c>
      <c r="CU99" s="562">
        <f t="shared" si="500"/>
        <v>4.4298607323928832E-2</v>
      </c>
      <c r="CV99" s="577">
        <f t="shared" si="500"/>
        <v>0.06</v>
      </c>
      <c r="CW99" s="577">
        <f t="shared" si="500"/>
        <v>0</v>
      </c>
      <c r="CX99" s="562">
        <f t="shared" si="500"/>
        <v>7.691846335046533E-2</v>
      </c>
      <c r="CY99" s="562">
        <f t="shared" si="500"/>
        <v>8.7905800588407898E-2</v>
      </c>
      <c r="CZ99" s="562">
        <f t="shared" si="500"/>
        <v>3.0908425722986934E-2</v>
      </c>
      <c r="DA99" s="562">
        <f t="shared" si="500"/>
        <v>0</v>
      </c>
      <c r="DB99" s="562">
        <f t="shared" si="500"/>
        <v>0.23414007224902772</v>
      </c>
      <c r="DC99" s="562">
        <f t="shared" si="500"/>
        <v>0.13436179896455025</v>
      </c>
      <c r="DD99" s="562">
        <f t="shared" si="500"/>
        <v>3.8432088896726495E-2</v>
      </c>
      <c r="DE99" s="562">
        <f t="shared" si="500"/>
        <v>3.0005119238308058E-2</v>
      </c>
      <c r="DF99" s="562">
        <f t="shared" si="500"/>
        <v>5.745661130739841E-2</v>
      </c>
      <c r="DG99" s="577">
        <f t="shared" si="500"/>
        <v>6.0000000000000005E-2</v>
      </c>
      <c r="DH99" s="562">
        <f t="shared" si="500"/>
        <v>4.1375929404631757E-2</v>
      </c>
      <c r="DI99" s="562">
        <f t="shared" si="500"/>
        <v>2.9390105076434719E-2</v>
      </c>
      <c r="DJ99" s="562">
        <f t="shared" si="500"/>
        <v>4.0219627915178892E-2</v>
      </c>
      <c r="DK99" s="562">
        <f t="shared" si="500"/>
        <v>1.627171232225523E-2</v>
      </c>
      <c r="DL99" s="562">
        <f t="shared" si="500"/>
        <v>0.32454228629041248</v>
      </c>
      <c r="DM99" s="562">
        <f t="shared" si="500"/>
        <v>0.20983503054343244</v>
      </c>
      <c r="DN99" s="562">
        <f t="shared" si="500"/>
        <v>0.14044610684219025</v>
      </c>
      <c r="DO99" s="577">
        <f t="shared" si="500"/>
        <v>0.06</v>
      </c>
      <c r="DP99" s="562">
        <f t="shared" si="500"/>
        <v>9.7114914200792476E-2</v>
      </c>
      <c r="DQ99" s="562">
        <f t="shared" si="500"/>
        <v>7.007482778417648E-2</v>
      </c>
      <c r="DR99" s="577">
        <f t="shared" si="500"/>
        <v>5.9012499071701537E-2</v>
      </c>
      <c r="DS99" s="577">
        <f t="shared" si="500"/>
        <v>0.06</v>
      </c>
      <c r="DT99" s="577">
        <f t="shared" si="500"/>
        <v>4.8413211129688875E-2</v>
      </c>
      <c r="DU99" s="562">
        <f t="shared" si="500"/>
        <v>0.10243664644281658</v>
      </c>
      <c r="DV99" s="562">
        <f t="shared" si="500"/>
        <v>7.7769902512467001E-2</v>
      </c>
      <c r="DW99" s="577">
        <f t="shared" si="500"/>
        <v>0</v>
      </c>
      <c r="DX99" s="562">
        <f t="shared" si="500"/>
        <v>0.10166628167447997</v>
      </c>
      <c r="DY99" s="562">
        <f t="shared" si="500"/>
        <v>3.1704813807340249E-2</v>
      </c>
      <c r="DZ99" s="577">
        <f t="shared" si="500"/>
        <v>0.06</v>
      </c>
      <c r="EA99" s="562">
        <f t="shared" si="500"/>
        <v>3.6953100178672031E-2</v>
      </c>
      <c r="EB99" s="562">
        <f t="shared" si="500"/>
        <v>3.7648001457241738E-2</v>
      </c>
      <c r="EC99" s="562">
        <f t="shared" ref="EC99:GN99" si="501">IFERROR(EC49/EC13,0)</f>
        <v>3.65311936850835E-2</v>
      </c>
      <c r="ED99" s="562">
        <f t="shared" si="501"/>
        <v>0.10048486488439132</v>
      </c>
      <c r="EE99" s="562">
        <f t="shared" si="501"/>
        <v>0.12877703973696525</v>
      </c>
      <c r="EF99" s="562">
        <f t="shared" si="501"/>
        <v>0.12386009821973565</v>
      </c>
      <c r="EG99" s="577">
        <f t="shared" si="501"/>
        <v>0.06</v>
      </c>
      <c r="EH99" s="562">
        <f t="shared" si="501"/>
        <v>0.10002352945919846</v>
      </c>
      <c r="EI99" s="562">
        <f t="shared" si="501"/>
        <v>9.3013583822894152E-2</v>
      </c>
      <c r="EJ99" s="577">
        <f t="shared" si="501"/>
        <v>0.06</v>
      </c>
      <c r="EK99" s="562">
        <f t="shared" si="501"/>
        <v>0.17651087136728871</v>
      </c>
      <c r="EL99" s="562">
        <f t="shared" si="501"/>
        <v>0.2547706861908634</v>
      </c>
      <c r="EM99" s="562">
        <f t="shared" si="501"/>
        <v>0.17094820221668192</v>
      </c>
      <c r="EN99" s="577">
        <f t="shared" si="501"/>
        <v>0.06</v>
      </c>
      <c r="EO99" s="562">
        <f t="shared" si="501"/>
        <v>5.0486453078696598E-2</v>
      </c>
      <c r="EP99" s="562">
        <f t="shared" si="501"/>
        <v>6.3435653790927068E-2</v>
      </c>
      <c r="EQ99" s="577">
        <f t="shared" si="501"/>
        <v>0.06</v>
      </c>
      <c r="ER99" s="562">
        <f t="shared" si="501"/>
        <v>0.33081979504883396</v>
      </c>
      <c r="ES99" s="562">
        <f t="shared" si="501"/>
        <v>0.3698677660393439</v>
      </c>
      <c r="ET99" s="577">
        <f t="shared" si="501"/>
        <v>0</v>
      </c>
      <c r="EU99" s="577">
        <f t="shared" si="501"/>
        <v>4.184415687525137E-3</v>
      </c>
      <c r="EV99" s="562">
        <f t="shared" si="501"/>
        <v>0.35677093508945595</v>
      </c>
      <c r="EW99" s="562">
        <f t="shared" si="501"/>
        <v>0.3933845894429242</v>
      </c>
      <c r="EX99" s="562">
        <f t="shared" si="501"/>
        <v>0.28568131293078813</v>
      </c>
      <c r="EY99" s="578">
        <f t="shared" si="501"/>
        <v>0.31684424496457669</v>
      </c>
      <c r="EZ99" s="562">
        <f t="shared" si="501"/>
        <v>1.492368154324349</v>
      </c>
      <c r="FA99" s="562">
        <f t="shared" si="501"/>
        <v>0.37686347833373274</v>
      </c>
      <c r="FB99" s="562">
        <f t="shared" si="501"/>
        <v>0</v>
      </c>
      <c r="FC99" s="578">
        <f t="shared" si="501"/>
        <v>0.57686486634458212</v>
      </c>
      <c r="FD99" s="562">
        <f t="shared" si="501"/>
        <v>0.93272105146250361</v>
      </c>
      <c r="FE99" s="578">
        <f t="shared" si="501"/>
        <v>0.53132337619515857</v>
      </c>
      <c r="FF99" s="562">
        <f t="shared" si="501"/>
        <v>0.31246261633892225</v>
      </c>
      <c r="FG99" s="562">
        <f t="shared" si="501"/>
        <v>0.23756898150810787</v>
      </c>
      <c r="FH99" s="562">
        <f t="shared" si="501"/>
        <v>0.13655355494434668</v>
      </c>
      <c r="FI99" s="562">
        <f t="shared" si="501"/>
        <v>0.14959910480916308</v>
      </c>
      <c r="FJ99" s="562">
        <f t="shared" si="501"/>
        <v>0.29491344790473539</v>
      </c>
      <c r="FK99" s="562">
        <f t="shared" si="501"/>
        <v>0.65747566493247223</v>
      </c>
      <c r="FL99" s="562">
        <f t="shared" si="501"/>
        <v>0.41541599310127914</v>
      </c>
      <c r="FM99" s="562">
        <f t="shared" si="501"/>
        <v>0.31543806920693213</v>
      </c>
      <c r="FN99" s="578">
        <f t="shared" si="501"/>
        <v>7.3946190534319792E-2</v>
      </c>
      <c r="FO99" s="562">
        <f t="shared" si="501"/>
        <v>0.34304851216024274</v>
      </c>
      <c r="FP99" s="562">
        <f t="shared" si="501"/>
        <v>0.17104275134786387</v>
      </c>
      <c r="FQ99" s="562">
        <f t="shared" si="501"/>
        <v>4.8994372911820544E-2</v>
      </c>
      <c r="FR99" s="577">
        <f t="shared" si="501"/>
        <v>0.2</v>
      </c>
      <c r="FS99" s="562">
        <f t="shared" si="501"/>
        <v>0.16100958210700475</v>
      </c>
      <c r="FT99" s="562">
        <f t="shared" si="501"/>
        <v>0.38152931965291215</v>
      </c>
      <c r="FU99" s="562">
        <f t="shared" si="501"/>
        <v>0.24320225395191375</v>
      </c>
      <c r="FV99" s="562">
        <f t="shared" si="501"/>
        <v>0.65338270987175373</v>
      </c>
      <c r="FW99" s="562">
        <f t="shared" si="501"/>
        <v>0.25001086771831454</v>
      </c>
      <c r="FX99" s="562">
        <f t="shared" si="501"/>
        <v>0.39222937071737679</v>
      </c>
      <c r="FY99" s="562">
        <f t="shared" si="501"/>
        <v>0.24867071255208895</v>
      </c>
      <c r="FZ99" s="578">
        <f t="shared" si="501"/>
        <v>0.62559099361617676</v>
      </c>
      <c r="GA99" s="578">
        <f t="shared" si="501"/>
        <v>0.71635873819977902</v>
      </c>
      <c r="GB99" s="562">
        <f t="shared" si="501"/>
        <v>0.58791049664671202</v>
      </c>
      <c r="GC99" s="562">
        <f t="shared" si="501"/>
        <v>0.35743805555206537</v>
      </c>
      <c r="GD99" s="577">
        <f t="shared" si="501"/>
        <v>0.33032354796841984</v>
      </c>
      <c r="GE99" s="578">
        <f t="shared" si="501"/>
        <v>0.33820475636645198</v>
      </c>
      <c r="GF99" s="578">
        <f t="shared" si="501"/>
        <v>0.2194872884449576</v>
      </c>
      <c r="GG99" s="578">
        <f t="shared" si="501"/>
        <v>0.26258116430708384</v>
      </c>
      <c r="GH99" s="578">
        <f t="shared" si="501"/>
        <v>0.18657444524717479</v>
      </c>
      <c r="GI99" s="578">
        <f t="shared" si="501"/>
        <v>0.42073999211067192</v>
      </c>
      <c r="GJ99" s="562">
        <f t="shared" si="501"/>
        <v>0.27115058562346628</v>
      </c>
      <c r="GK99" s="562">
        <f t="shared" si="501"/>
        <v>0.22378573996942647</v>
      </c>
      <c r="GL99" s="562">
        <f t="shared" si="501"/>
        <v>0.49964766281315465</v>
      </c>
      <c r="GM99" s="562">
        <f t="shared" si="501"/>
        <v>0.3851237433187028</v>
      </c>
      <c r="GN99" s="562">
        <f t="shared" si="501"/>
        <v>0.14353710172893699</v>
      </c>
      <c r="GO99" s="562">
        <f t="shared" ref="GO99:IZ99" si="502">IFERROR(GO49/GO13,0)</f>
        <v>0.15994706784579099</v>
      </c>
      <c r="GP99" s="562">
        <f t="shared" si="502"/>
        <v>0.58757591685876942</v>
      </c>
      <c r="GQ99" s="562">
        <f t="shared" si="502"/>
        <v>0.37320193697478321</v>
      </c>
      <c r="GR99" s="562">
        <f t="shared" si="502"/>
        <v>0.56488645171764618</v>
      </c>
      <c r="GS99" s="562">
        <f t="shared" si="502"/>
        <v>0.88203272626433538</v>
      </c>
      <c r="GT99" s="578">
        <f t="shared" si="502"/>
        <v>0.36566981437612145</v>
      </c>
      <c r="GU99" s="562">
        <f t="shared" si="502"/>
        <v>0.22195062875783694</v>
      </c>
      <c r="GV99" s="578">
        <f t="shared" si="502"/>
        <v>0.2991420806789109</v>
      </c>
      <c r="GW99" s="562">
        <f t="shared" si="502"/>
        <v>0.53144157002409076</v>
      </c>
      <c r="GX99" s="562">
        <f t="shared" si="502"/>
        <v>0.5949166020350416</v>
      </c>
      <c r="GY99" s="577">
        <f t="shared" si="502"/>
        <v>0.41976948562553112</v>
      </c>
      <c r="GZ99" s="577">
        <f t="shared" si="502"/>
        <v>0.3</v>
      </c>
      <c r="HA99" s="578">
        <f t="shared" si="502"/>
        <v>0.51113137741427106</v>
      </c>
      <c r="HB99" s="578">
        <f t="shared" si="502"/>
        <v>0.73504327382038825</v>
      </c>
      <c r="HC99" s="562">
        <f t="shared" si="502"/>
        <v>0.4557245849719877</v>
      </c>
      <c r="HD99" s="562">
        <f t="shared" si="502"/>
        <v>0.47524157313617554</v>
      </c>
      <c r="HE99" s="562">
        <f t="shared" si="502"/>
        <v>0.25579323394994624</v>
      </c>
      <c r="HF99" s="562">
        <f t="shared" si="502"/>
        <v>0.46794239289835776</v>
      </c>
      <c r="HG99" s="562">
        <f t="shared" si="502"/>
        <v>0.18925816162878142</v>
      </c>
      <c r="HH99" s="562">
        <f t="shared" si="502"/>
        <v>0.42046470820675763</v>
      </c>
      <c r="HI99" s="562">
        <f t="shared" si="502"/>
        <v>0.52263194383224298</v>
      </c>
      <c r="HJ99" s="562">
        <f t="shared" si="502"/>
        <v>0.26223197400696635</v>
      </c>
      <c r="HK99" s="562">
        <f t="shared" si="502"/>
        <v>0.78379336859701498</v>
      </c>
      <c r="HL99" s="562">
        <f t="shared" si="502"/>
        <v>0</v>
      </c>
      <c r="HM99" s="562">
        <f t="shared" si="502"/>
        <v>0</v>
      </c>
      <c r="HN99" s="562">
        <f t="shared" si="502"/>
        <v>0</v>
      </c>
      <c r="HO99" s="562">
        <f t="shared" si="502"/>
        <v>0</v>
      </c>
      <c r="HP99" s="562">
        <f t="shared" si="502"/>
        <v>0</v>
      </c>
      <c r="HQ99" s="562">
        <f t="shared" si="502"/>
        <v>0</v>
      </c>
      <c r="HR99" s="562">
        <f t="shared" si="502"/>
        <v>0</v>
      </c>
      <c r="HS99" s="562">
        <f t="shared" si="502"/>
        <v>0</v>
      </c>
      <c r="HT99" s="562">
        <f t="shared" si="502"/>
        <v>0</v>
      </c>
      <c r="HU99" s="562">
        <f t="shared" si="502"/>
        <v>1.7779744164937582E-3</v>
      </c>
      <c r="HV99" s="562">
        <f t="shared" si="502"/>
        <v>0</v>
      </c>
      <c r="HW99" s="562">
        <f t="shared" si="502"/>
        <v>0</v>
      </c>
      <c r="HX99" s="562">
        <f t="shared" si="502"/>
        <v>0</v>
      </c>
      <c r="HY99" s="562">
        <f t="shared" si="502"/>
        <v>4.903816019681327E-4</v>
      </c>
      <c r="HZ99" s="562">
        <f t="shared" si="502"/>
        <v>0</v>
      </c>
      <c r="IA99" s="562">
        <f t="shared" si="502"/>
        <v>0</v>
      </c>
      <c r="IB99" s="562">
        <f t="shared" si="502"/>
        <v>0</v>
      </c>
      <c r="IC99" s="562">
        <f t="shared" si="502"/>
        <v>0</v>
      </c>
      <c r="ID99" s="562">
        <f t="shared" si="502"/>
        <v>0</v>
      </c>
      <c r="IE99" s="562">
        <f t="shared" si="502"/>
        <v>0</v>
      </c>
      <c r="IF99" s="562">
        <f t="shared" si="502"/>
        <v>0</v>
      </c>
      <c r="IG99" s="562">
        <f t="shared" si="502"/>
        <v>0</v>
      </c>
      <c r="IH99" s="562">
        <f t="shared" si="502"/>
        <v>0</v>
      </c>
      <c r="II99" s="562">
        <f t="shared" si="502"/>
        <v>0</v>
      </c>
      <c r="IJ99" s="562">
        <f t="shared" si="502"/>
        <v>0</v>
      </c>
      <c r="IK99" s="562">
        <f t="shared" si="502"/>
        <v>0</v>
      </c>
      <c r="IL99" s="562">
        <f t="shared" si="502"/>
        <v>0</v>
      </c>
      <c r="IM99" s="562">
        <f t="shared" si="502"/>
        <v>0</v>
      </c>
      <c r="IN99" s="562">
        <f t="shared" si="502"/>
        <v>0</v>
      </c>
      <c r="IO99" s="562">
        <f t="shared" si="502"/>
        <v>0</v>
      </c>
      <c r="IP99" s="562">
        <f t="shared" si="502"/>
        <v>0</v>
      </c>
      <c r="IQ99" s="562">
        <f t="shared" si="502"/>
        <v>0</v>
      </c>
      <c r="IR99" s="562">
        <f t="shared" si="502"/>
        <v>0</v>
      </c>
      <c r="IS99" s="562">
        <f t="shared" si="502"/>
        <v>0</v>
      </c>
      <c r="IT99" s="562">
        <f t="shared" si="502"/>
        <v>0</v>
      </c>
      <c r="IU99" s="562">
        <f t="shared" si="502"/>
        <v>0</v>
      </c>
      <c r="IV99" s="562">
        <f t="shared" si="502"/>
        <v>0</v>
      </c>
      <c r="IW99" s="562">
        <f t="shared" si="502"/>
        <v>0</v>
      </c>
      <c r="IX99" s="562">
        <f t="shared" si="502"/>
        <v>0</v>
      </c>
      <c r="IY99" s="562">
        <f t="shared" si="502"/>
        <v>0</v>
      </c>
      <c r="IZ99" s="562">
        <f t="shared" si="502"/>
        <v>0</v>
      </c>
      <c r="JA99" s="562">
        <f t="shared" ref="JA99:JH99" si="503">IFERROR(JA49/JA13,0)</f>
        <v>2.530405359125034E-2</v>
      </c>
      <c r="JB99" s="562">
        <f t="shared" si="503"/>
        <v>4.208352369378255E-2</v>
      </c>
      <c r="JC99" s="562">
        <f t="shared" si="503"/>
        <v>3.6874593197818245E-2</v>
      </c>
      <c r="JD99" s="562">
        <f t="shared" si="503"/>
        <v>1.5179185498358257E-2</v>
      </c>
      <c r="JE99" s="562">
        <f t="shared" si="503"/>
        <v>0</v>
      </c>
      <c r="JF99" s="562">
        <f t="shared" si="503"/>
        <v>0</v>
      </c>
      <c r="JG99" s="562">
        <f t="shared" si="503"/>
        <v>6.8606220796686268E-4</v>
      </c>
      <c r="JH99" s="562">
        <f t="shared" si="503"/>
        <v>0</v>
      </c>
      <c r="JI99" s="561"/>
      <c r="JJ99" s="585"/>
      <c r="JK99" s="585">
        <f>MEDIAN(C99:ES99)</f>
        <v>7.7769902512467001E-2</v>
      </c>
      <c r="JL99" s="584">
        <f>JL49/JL13</f>
        <v>1.9252558458799619E-2</v>
      </c>
      <c r="JM99" s="584">
        <f>JM49/JM13</f>
        <v>0.12599538188371348</v>
      </c>
      <c r="JN99" s="584">
        <f>JN49/JN13</f>
        <v>0.35702676444196335</v>
      </c>
      <c r="JO99" s="584">
        <f>JO49/JO13</f>
        <v>6.9420659120990704E-4</v>
      </c>
      <c r="JP99" s="584">
        <f>JP49/JP13</f>
        <v>0.12017571905573894</v>
      </c>
    </row>
    <row r="100" spans="1:276" s="583" customFormat="1" ht="12.75" x14ac:dyDescent="0.2">
      <c r="A100" s="561"/>
      <c r="B100" s="561" t="s">
        <v>2598</v>
      </c>
      <c r="C100" s="562">
        <f>C94/C13</f>
        <v>0.95572026475280991</v>
      </c>
      <c r="D100" s="562">
        <f t="shared" ref="D100:BP100" si="504">D94/D13</f>
        <v>0.8271303227547554</v>
      </c>
      <c r="E100" s="562">
        <f t="shared" si="504"/>
        <v>0.9338362162451469</v>
      </c>
      <c r="F100" s="562">
        <f t="shared" si="504"/>
        <v>0.90901973128395586</v>
      </c>
      <c r="G100" s="562">
        <f t="shared" si="504"/>
        <v>0.87864225441498456</v>
      </c>
      <c r="H100" s="562">
        <f t="shared" si="504"/>
        <v>0</v>
      </c>
      <c r="I100" s="562">
        <f t="shared" si="504"/>
        <v>0</v>
      </c>
      <c r="J100" s="562">
        <f t="shared" si="504"/>
        <v>4.2393242767195145E-2</v>
      </c>
      <c r="K100" s="562">
        <f t="shared" si="504"/>
        <v>1.0107284978122657</v>
      </c>
      <c r="L100" s="562">
        <f t="shared" si="504"/>
        <v>0.9363207932002674</v>
      </c>
      <c r="M100" s="562">
        <f t="shared" si="504"/>
        <v>0.92056271692521996</v>
      </c>
      <c r="N100" s="562">
        <f t="shared" si="504"/>
        <v>1.0684682143177653</v>
      </c>
      <c r="O100" s="562">
        <f t="shared" si="504"/>
        <v>0.96395933517803167</v>
      </c>
      <c r="P100" s="562">
        <f t="shared" si="504"/>
        <v>0.85723939696035301</v>
      </c>
      <c r="Q100" s="562">
        <f t="shared" si="504"/>
        <v>0.91573125362666941</v>
      </c>
      <c r="R100" s="562">
        <f t="shared" si="504"/>
        <v>0.85306806777821886</v>
      </c>
      <c r="S100" s="562">
        <f t="shared" si="504"/>
        <v>0.95830768718674508</v>
      </c>
      <c r="T100" s="562">
        <f t="shared" si="504"/>
        <v>0.83844335014817095</v>
      </c>
      <c r="U100" s="562">
        <f t="shared" si="504"/>
        <v>0.97607142618813414</v>
      </c>
      <c r="V100" s="562">
        <f t="shared" si="504"/>
        <v>0.60475458200518228</v>
      </c>
      <c r="W100" s="562">
        <f t="shared" si="504"/>
        <v>0.51609502680945829</v>
      </c>
      <c r="X100" s="562">
        <f t="shared" si="504"/>
        <v>1.0516889694473961</v>
      </c>
      <c r="Y100" s="562">
        <f t="shared" si="504"/>
        <v>0.85551583199530612</v>
      </c>
      <c r="Z100" s="562">
        <f t="shared" si="504"/>
        <v>0.7473424682683566</v>
      </c>
      <c r="AA100" s="562">
        <f t="shared" si="504"/>
        <v>0.98397872315357404</v>
      </c>
      <c r="AB100" s="562">
        <f t="shared" si="504"/>
        <v>1.166370973622229</v>
      </c>
      <c r="AC100" s="562">
        <f t="shared" ref="AC100" si="505">AC94/AC13</f>
        <v>1.0201340659613936</v>
      </c>
      <c r="AD100" s="562">
        <f t="shared" si="504"/>
        <v>1.0369607463869108</v>
      </c>
      <c r="AE100" s="562">
        <f t="shared" si="504"/>
        <v>8.4874330957074889E-2</v>
      </c>
      <c r="AF100" s="562">
        <f t="shared" si="504"/>
        <v>0.34484934882900969</v>
      </c>
      <c r="AG100" s="562">
        <f t="shared" si="504"/>
        <v>0.98296753995648911</v>
      </c>
      <c r="AH100" s="562">
        <f t="shared" si="504"/>
        <v>0.57233186876240549</v>
      </c>
      <c r="AI100" s="562">
        <f t="shared" si="504"/>
        <v>0.61562181340878119</v>
      </c>
      <c r="AJ100" s="562">
        <f t="shared" si="504"/>
        <v>0.59920569619470254</v>
      </c>
      <c r="AK100" s="562">
        <f t="shared" si="504"/>
        <v>0.80226980803404346</v>
      </c>
      <c r="AL100" s="562">
        <f t="shared" si="504"/>
        <v>0.90542021728765998</v>
      </c>
      <c r="AM100" s="562">
        <f t="shared" si="504"/>
        <v>0.96145976364090258</v>
      </c>
      <c r="AN100" s="562">
        <f t="shared" si="504"/>
        <v>1.1543616461399628</v>
      </c>
      <c r="AO100" s="562">
        <f t="shared" si="504"/>
        <v>0.77664387319663297</v>
      </c>
      <c r="AP100" s="562">
        <f t="shared" si="504"/>
        <v>0.89082162136143739</v>
      </c>
      <c r="AQ100" s="562">
        <f t="shared" si="504"/>
        <v>1.6525898974426687</v>
      </c>
      <c r="AR100" s="562">
        <f t="shared" si="504"/>
        <v>0.91652906424322167</v>
      </c>
      <c r="AS100" s="562">
        <f t="shared" si="504"/>
        <v>1.1112701539946104</v>
      </c>
      <c r="AT100" s="562">
        <f t="shared" si="504"/>
        <v>1.1844215337883743</v>
      </c>
      <c r="AU100" s="562">
        <f t="shared" si="504"/>
        <v>0.94327395955053261</v>
      </c>
      <c r="AV100" s="562">
        <f t="shared" si="504"/>
        <v>0.94469487282075038</v>
      </c>
      <c r="AW100" s="562">
        <f t="shared" si="504"/>
        <v>4.5825845415759115E-3</v>
      </c>
      <c r="AX100" s="562">
        <f t="shared" si="504"/>
        <v>1.1212255472408359</v>
      </c>
      <c r="AY100" s="562">
        <f t="shared" si="504"/>
        <v>1.0336734783358235</v>
      </c>
      <c r="AZ100" s="562">
        <f t="shared" si="504"/>
        <v>0.7658075724373673</v>
      </c>
      <c r="BA100" s="562">
        <f t="shared" si="504"/>
        <v>0.81766156625327191</v>
      </c>
      <c r="BB100" s="562">
        <f t="shared" si="504"/>
        <v>0.93031121369940106</v>
      </c>
      <c r="BC100" s="562">
        <f t="shared" si="504"/>
        <v>0.89931967244062483</v>
      </c>
      <c r="BD100" s="562">
        <f t="shared" si="504"/>
        <v>0.94848123916066651</v>
      </c>
      <c r="BE100" s="562">
        <f t="shared" si="504"/>
        <v>0</v>
      </c>
      <c r="BF100" s="562">
        <f t="shared" si="504"/>
        <v>0.66330169248108695</v>
      </c>
      <c r="BG100" s="562">
        <f t="shared" si="504"/>
        <v>0.62083037721845613</v>
      </c>
      <c r="BH100" s="562">
        <f t="shared" si="504"/>
        <v>0.84700329512239991</v>
      </c>
      <c r="BI100" s="562">
        <f t="shared" si="504"/>
        <v>0.40800995991834227</v>
      </c>
      <c r="BJ100" s="562">
        <f t="shared" si="504"/>
        <v>0.96411518910958149</v>
      </c>
      <c r="BK100" s="562">
        <f t="shared" si="504"/>
        <v>7.6608815076531209E-2</v>
      </c>
      <c r="BL100" s="562">
        <f t="shared" si="504"/>
        <v>0.94000000000000006</v>
      </c>
      <c r="BM100" s="562">
        <f t="shared" si="504"/>
        <v>0.61369538208833141</v>
      </c>
      <c r="BN100" s="562">
        <f t="shared" si="504"/>
        <v>0.85151350660530356</v>
      </c>
      <c r="BO100" s="562">
        <f t="shared" si="504"/>
        <v>0.94221423382249758</v>
      </c>
      <c r="BP100" s="562">
        <f t="shared" si="504"/>
        <v>0.82881869762021665</v>
      </c>
      <c r="BQ100" s="562">
        <f t="shared" ref="BQ100:EB100" si="506">BQ94/BQ13</f>
        <v>7.7599593490685029E-2</v>
      </c>
      <c r="BR100" s="562">
        <f t="shared" si="506"/>
        <v>1.0102486357379614</v>
      </c>
      <c r="BS100" s="562">
        <f t="shared" si="506"/>
        <v>0.9800223082472338</v>
      </c>
      <c r="BT100" s="562">
        <f t="shared" si="506"/>
        <v>0.82049261127574546</v>
      </c>
      <c r="BU100" s="562">
        <f t="shared" si="506"/>
        <v>0.88591396074982787</v>
      </c>
      <c r="BV100" s="562">
        <f t="shared" si="506"/>
        <v>1.0311770455412752</v>
      </c>
      <c r="BW100" s="562">
        <f t="shared" si="506"/>
        <v>1.7928850190212893</v>
      </c>
      <c r="BX100" s="562">
        <f t="shared" si="506"/>
        <v>0.93019980427411342</v>
      </c>
      <c r="BY100" s="562">
        <f t="shared" si="506"/>
        <v>0.73595914898171011</v>
      </c>
      <c r="BZ100" s="562">
        <f t="shared" si="506"/>
        <v>1.3017027395450902</v>
      </c>
      <c r="CA100" s="562" t="e">
        <f t="shared" si="506"/>
        <v>#DIV/0!</v>
      </c>
      <c r="CB100" s="562">
        <f t="shared" si="506"/>
        <v>2.6946165026323459</v>
      </c>
      <c r="CC100" s="562">
        <f t="shared" si="506"/>
        <v>0.92710967954396661</v>
      </c>
      <c r="CD100" s="562">
        <f t="shared" si="506"/>
        <v>0.89104983854683495</v>
      </c>
      <c r="CE100" s="562">
        <f t="shared" si="506"/>
        <v>0.68918904815429705</v>
      </c>
      <c r="CF100" s="562">
        <f t="shared" si="506"/>
        <v>0.92388784520065692</v>
      </c>
      <c r="CG100" s="562">
        <f t="shared" si="506"/>
        <v>2.1810418324013609E-2</v>
      </c>
      <c r="CH100" s="562">
        <f t="shared" si="506"/>
        <v>0</v>
      </c>
      <c r="CI100" s="562">
        <f t="shared" si="506"/>
        <v>6.1477879713382894E-3</v>
      </c>
      <c r="CJ100" s="562">
        <f t="shared" si="506"/>
        <v>0.82598241484540813</v>
      </c>
      <c r="CK100" s="562">
        <f t="shared" si="506"/>
        <v>0.85153432822498887</v>
      </c>
      <c r="CL100" s="562">
        <f t="shared" si="506"/>
        <v>1.801539192651043E-2</v>
      </c>
      <c r="CM100" s="562">
        <f t="shared" si="506"/>
        <v>0.86485585382934449</v>
      </c>
      <c r="CN100" s="562">
        <f t="shared" si="506"/>
        <v>1.0206501854787731</v>
      </c>
      <c r="CO100" s="562">
        <f t="shared" si="506"/>
        <v>0.92367398967422421</v>
      </c>
      <c r="CP100" s="562">
        <f t="shared" si="506"/>
        <v>0.96497709831731582</v>
      </c>
      <c r="CQ100" s="562">
        <f t="shared" si="506"/>
        <v>0.88169533602580863</v>
      </c>
      <c r="CR100" s="562">
        <f t="shared" si="506"/>
        <v>0.94077543511635409</v>
      </c>
      <c r="CS100" s="562">
        <f t="shared" si="506"/>
        <v>4.4062798892844979E-2</v>
      </c>
      <c r="CT100" s="562">
        <f t="shared" si="506"/>
        <v>0</v>
      </c>
      <c r="CU100" s="562">
        <f t="shared" si="506"/>
        <v>0.90775834680182033</v>
      </c>
      <c r="CV100" s="562">
        <f t="shared" si="506"/>
        <v>1.0130952698257014</v>
      </c>
      <c r="CW100" s="562">
        <f t="shared" si="506"/>
        <v>0.89753694362127279</v>
      </c>
      <c r="CX100" s="562">
        <f t="shared" si="506"/>
        <v>0.71199440863088315</v>
      </c>
      <c r="CY100" s="562">
        <f t="shared" si="506"/>
        <v>0.91209419941159209</v>
      </c>
      <c r="CZ100" s="562">
        <f t="shared" si="506"/>
        <v>0.22934051886456305</v>
      </c>
      <c r="DA100" s="562">
        <f t="shared" si="506"/>
        <v>0.89173500955234308</v>
      </c>
      <c r="DB100" s="562">
        <f t="shared" si="506"/>
        <v>0.89067820043819146</v>
      </c>
      <c r="DC100" s="562">
        <f t="shared" si="506"/>
        <v>0.98982281994571319</v>
      </c>
      <c r="DD100" s="562">
        <f t="shared" si="506"/>
        <v>7.6638956847803918E-2</v>
      </c>
      <c r="DE100" s="562">
        <f t="shared" si="506"/>
        <v>0.20370346127371008</v>
      </c>
      <c r="DF100" s="562">
        <f t="shared" si="506"/>
        <v>0.59509216826015598</v>
      </c>
      <c r="DG100" s="562">
        <f t="shared" si="506"/>
        <v>0.94</v>
      </c>
      <c r="DH100" s="562">
        <f t="shared" si="506"/>
        <v>0.35721918098815097</v>
      </c>
      <c r="DI100" s="562">
        <f t="shared" si="506"/>
        <v>0</v>
      </c>
      <c r="DJ100" s="562">
        <f t="shared" si="506"/>
        <v>2.9490361256778536E-2</v>
      </c>
      <c r="DK100" s="562">
        <f t="shared" si="506"/>
        <v>8.5975328769277118E-2</v>
      </c>
      <c r="DL100" s="562">
        <f t="shared" si="506"/>
        <v>0.91513240810834495</v>
      </c>
      <c r="DM100" s="562">
        <f t="shared" si="506"/>
        <v>0.81228589499180015</v>
      </c>
      <c r="DN100" s="562">
        <f t="shared" si="506"/>
        <v>0.93537791641534951</v>
      </c>
      <c r="DO100" s="562">
        <f t="shared" si="506"/>
        <v>0.94</v>
      </c>
      <c r="DP100" s="562">
        <f t="shared" si="506"/>
        <v>0.94666302748359887</v>
      </c>
      <c r="DQ100" s="562">
        <f t="shared" si="506"/>
        <v>0.85228933988430611</v>
      </c>
      <c r="DR100" s="562">
        <f t="shared" si="506"/>
        <v>0.82025243810048565</v>
      </c>
      <c r="DS100" s="562">
        <f t="shared" si="506"/>
        <v>0.50771668939617831</v>
      </c>
      <c r="DT100" s="562">
        <f t="shared" si="506"/>
        <v>0.76284415808283779</v>
      </c>
      <c r="DU100" s="562">
        <f t="shared" si="506"/>
        <v>0</v>
      </c>
      <c r="DV100" s="562">
        <f t="shared" si="506"/>
        <v>0.57333696031696368</v>
      </c>
      <c r="DW100" s="562">
        <f t="shared" si="506"/>
        <v>0</v>
      </c>
      <c r="DX100" s="562">
        <f t="shared" si="506"/>
        <v>0</v>
      </c>
      <c r="DY100" s="562">
        <f t="shared" si="506"/>
        <v>0.96829518619265975</v>
      </c>
      <c r="DZ100" s="562">
        <f t="shared" si="506"/>
        <v>0.94</v>
      </c>
      <c r="EA100" s="562">
        <f t="shared" si="506"/>
        <v>1.1115776788361305</v>
      </c>
      <c r="EB100" s="562">
        <f t="shared" si="506"/>
        <v>0.96235199854275821</v>
      </c>
      <c r="EC100" s="562">
        <f t="shared" ref="EC100:GN100" si="507">EC94/EC13</f>
        <v>1.0589933394016788</v>
      </c>
      <c r="ED100" s="562">
        <f t="shared" si="507"/>
        <v>0.97397214824766098</v>
      </c>
      <c r="EE100" s="562">
        <f t="shared" si="507"/>
        <v>0.71412722035953458</v>
      </c>
      <c r="EF100" s="562">
        <f t="shared" si="507"/>
        <v>0.71731152534212117</v>
      </c>
      <c r="EG100" s="562">
        <f t="shared" si="507"/>
        <v>0.95363300259760231</v>
      </c>
      <c r="EH100" s="562">
        <f t="shared" si="507"/>
        <v>0.74392500035278852</v>
      </c>
      <c r="EI100" s="562">
        <f t="shared" si="507"/>
        <v>0.78146658539726654</v>
      </c>
      <c r="EJ100" s="562">
        <f t="shared" si="507"/>
        <v>0</v>
      </c>
      <c r="EK100" s="562">
        <f t="shared" si="507"/>
        <v>1.0531838538281892</v>
      </c>
      <c r="EL100" s="562">
        <f t="shared" si="507"/>
        <v>0.75172781644292963</v>
      </c>
      <c r="EM100" s="562">
        <f t="shared" si="507"/>
        <v>0.82905179778331806</v>
      </c>
      <c r="EN100" s="562">
        <f t="shared" si="507"/>
        <v>1.0040565889099313</v>
      </c>
      <c r="EO100" s="562">
        <f t="shared" si="507"/>
        <v>1.0990434569801297</v>
      </c>
      <c r="EP100" s="562">
        <f t="shared" si="507"/>
        <v>0.93271294592351395</v>
      </c>
      <c r="EQ100" s="562">
        <f t="shared" si="507"/>
        <v>1.2431364157145408</v>
      </c>
      <c r="ER100" s="562">
        <f t="shared" si="507"/>
        <v>0.48658240929378671</v>
      </c>
      <c r="ES100" s="562">
        <f t="shared" si="507"/>
        <v>0.66004855953927322</v>
      </c>
      <c r="ET100" s="562">
        <f t="shared" si="507"/>
        <v>0.89289053122043227</v>
      </c>
      <c r="EU100" s="562">
        <f t="shared" si="507"/>
        <v>0.71692988779597355</v>
      </c>
      <c r="EV100" s="562">
        <f t="shared" si="507"/>
        <v>0.59652906491054403</v>
      </c>
      <c r="EW100" s="562">
        <f t="shared" si="507"/>
        <v>0.55991541055707583</v>
      </c>
      <c r="EX100" s="562">
        <f t="shared" si="507"/>
        <v>0.44235441933721481</v>
      </c>
      <c r="EY100" s="562">
        <f t="shared" si="507"/>
        <v>0.63645575503542329</v>
      </c>
      <c r="EZ100" s="562">
        <f t="shared" si="507"/>
        <v>0</v>
      </c>
      <c r="FA100" s="562">
        <f t="shared" si="507"/>
        <v>0.37449508065697185</v>
      </c>
      <c r="FB100" s="562">
        <f t="shared" si="507"/>
        <v>0.66931991034824578</v>
      </c>
      <c r="FC100" s="562">
        <f t="shared" si="507"/>
        <v>0.37643513365541786</v>
      </c>
      <c r="FD100" s="562">
        <f t="shared" si="507"/>
        <v>0</v>
      </c>
      <c r="FE100" s="562">
        <f t="shared" si="507"/>
        <v>0.42197662380484147</v>
      </c>
      <c r="FF100" s="562">
        <f t="shared" si="507"/>
        <v>0.45044359551475499</v>
      </c>
      <c r="FG100" s="562">
        <f t="shared" si="507"/>
        <v>0.55722945315115813</v>
      </c>
      <c r="FH100" s="562">
        <f t="shared" si="507"/>
        <v>0.48171053384030277</v>
      </c>
      <c r="FI100" s="562">
        <f t="shared" si="507"/>
        <v>0.6301768761594716</v>
      </c>
      <c r="FJ100" s="562">
        <f t="shared" si="507"/>
        <v>0.46452443546684336</v>
      </c>
      <c r="FK100" s="562">
        <f t="shared" si="507"/>
        <v>0.12160875824011838</v>
      </c>
      <c r="FL100" s="562">
        <f t="shared" si="507"/>
        <v>0.24055143943060001</v>
      </c>
      <c r="FM100" s="562">
        <f t="shared" si="507"/>
        <v>0.16407100861119475</v>
      </c>
      <c r="FN100" s="562">
        <f t="shared" si="507"/>
        <v>0.8793538094656802</v>
      </c>
      <c r="FO100" s="562">
        <f t="shared" si="507"/>
        <v>0.52645545271438943</v>
      </c>
      <c r="FP100" s="562">
        <f t="shared" si="507"/>
        <v>0.63545074676274682</v>
      </c>
      <c r="FQ100" s="562">
        <f t="shared" si="507"/>
        <v>0.81751721474382621</v>
      </c>
      <c r="FR100" s="562">
        <f t="shared" si="507"/>
        <v>1.4892065849462661E-2</v>
      </c>
      <c r="FS100" s="562">
        <f t="shared" si="507"/>
        <v>0.47565514158816274</v>
      </c>
      <c r="FT100" s="562">
        <f t="shared" si="507"/>
        <v>0.55450644697290397</v>
      </c>
      <c r="FU100" s="562">
        <f t="shared" si="507"/>
        <v>0.55452795236560348</v>
      </c>
      <c r="FV100" s="562">
        <f t="shared" si="507"/>
        <v>0.29991729012824625</v>
      </c>
      <c r="FW100" s="562">
        <f t="shared" si="507"/>
        <v>0.37730931040296795</v>
      </c>
      <c r="FX100" s="562">
        <f t="shared" si="507"/>
        <v>0.37499693325775985</v>
      </c>
      <c r="FY100" s="562">
        <f t="shared" si="507"/>
        <v>0.33789077050355182</v>
      </c>
      <c r="FZ100" s="562">
        <f t="shared" si="507"/>
        <v>0.32770900638382322</v>
      </c>
      <c r="GA100" s="562">
        <f t="shared" si="507"/>
        <v>0.23694126180022099</v>
      </c>
      <c r="GB100" s="562">
        <f t="shared" si="507"/>
        <v>0.31728899349083239</v>
      </c>
      <c r="GC100" s="562">
        <f t="shared" si="507"/>
        <v>0.54381786502348672</v>
      </c>
      <c r="GD100" s="562">
        <f t="shared" si="507"/>
        <v>0.53598595909592617</v>
      </c>
      <c r="GE100" s="562">
        <f t="shared" si="507"/>
        <v>6.5307012131189085E-2</v>
      </c>
      <c r="GF100" s="562">
        <f t="shared" si="507"/>
        <v>0.73381271155504235</v>
      </c>
      <c r="GG100" s="562">
        <f t="shared" si="507"/>
        <v>0.69071883569291626</v>
      </c>
      <c r="GH100" s="562">
        <f t="shared" si="507"/>
        <v>0.70279728274201592</v>
      </c>
      <c r="GI100" s="562">
        <f t="shared" si="507"/>
        <v>0.50622000796296263</v>
      </c>
      <c r="GJ100" s="562">
        <f t="shared" si="507"/>
        <v>0.50309224437089872</v>
      </c>
      <c r="GK100" s="562">
        <f t="shared" si="507"/>
        <v>0.33175783553419019</v>
      </c>
      <c r="GL100" s="562">
        <f t="shared" si="507"/>
        <v>0.35958871645909146</v>
      </c>
      <c r="GM100" s="562">
        <f t="shared" si="507"/>
        <v>0.44825654311305946</v>
      </c>
      <c r="GN100" s="562">
        <f t="shared" si="507"/>
        <v>0.54854122290900109</v>
      </c>
      <c r="GO100" s="562">
        <f t="shared" ref="GO100:IZ100" si="508">GO94/GO13</f>
        <v>0.47524649920895806</v>
      </c>
      <c r="GP100" s="562">
        <f t="shared" si="508"/>
        <v>0.36572408314123056</v>
      </c>
      <c r="GQ100" s="562">
        <f t="shared" si="508"/>
        <v>0.10834601935341331</v>
      </c>
      <c r="GR100" s="562">
        <f t="shared" si="508"/>
        <v>0.36502583242170378</v>
      </c>
      <c r="GS100" s="562">
        <f t="shared" si="508"/>
        <v>0</v>
      </c>
      <c r="GT100" s="562">
        <f t="shared" si="508"/>
        <v>0.58763018562387859</v>
      </c>
      <c r="GU100" s="562">
        <f t="shared" si="508"/>
        <v>0.37335794934214139</v>
      </c>
      <c r="GV100" s="562">
        <f t="shared" si="508"/>
        <v>0.60147328337737282</v>
      </c>
      <c r="GW100" s="562">
        <f t="shared" si="508"/>
        <v>0.42097733960984735</v>
      </c>
      <c r="GX100" s="562">
        <f t="shared" si="508"/>
        <v>0.1771731653435179</v>
      </c>
      <c r="GY100" s="562">
        <f t="shared" si="508"/>
        <v>0.32136391422684041</v>
      </c>
      <c r="GZ100" s="562">
        <f t="shared" si="508"/>
        <v>0</v>
      </c>
      <c r="HA100" s="562">
        <f t="shared" si="508"/>
        <v>0.43925800165461726</v>
      </c>
      <c r="HB100" s="562">
        <f t="shared" si="508"/>
        <v>0.21825672617961181</v>
      </c>
      <c r="HC100" s="562">
        <f t="shared" si="508"/>
        <v>0.37724790204522535</v>
      </c>
      <c r="HD100" s="562">
        <f t="shared" si="508"/>
        <v>0.47805842686382449</v>
      </c>
      <c r="HE100" s="562">
        <f t="shared" si="508"/>
        <v>0.42571586285984098</v>
      </c>
      <c r="HF100" s="562">
        <f t="shared" si="508"/>
        <v>0.27470261384948447</v>
      </c>
      <c r="HG100" s="562">
        <f t="shared" si="508"/>
        <v>0.29927440144047557</v>
      </c>
      <c r="HH100" s="562">
        <f t="shared" si="508"/>
        <v>0.5328352917932424</v>
      </c>
      <c r="HI100" s="562">
        <f t="shared" si="508"/>
        <v>0.25101329753897078</v>
      </c>
      <c r="HJ100" s="562">
        <f t="shared" si="508"/>
        <v>0</v>
      </c>
      <c r="HK100" s="562">
        <f t="shared" si="508"/>
        <v>0</v>
      </c>
      <c r="HL100" s="562">
        <f t="shared" si="508"/>
        <v>0.64834529361054882</v>
      </c>
      <c r="HM100" s="562">
        <f t="shared" si="508"/>
        <v>0.6679042512679334</v>
      </c>
      <c r="HN100" s="562">
        <f t="shared" si="508"/>
        <v>0</v>
      </c>
      <c r="HO100" s="562">
        <f t="shared" si="508"/>
        <v>0</v>
      </c>
      <c r="HP100" s="562">
        <f t="shared" si="508"/>
        <v>0.66959652001952064</v>
      </c>
      <c r="HQ100" s="562">
        <f t="shared" si="508"/>
        <v>0.67178311626730802</v>
      </c>
      <c r="HR100" s="562">
        <f t="shared" si="508"/>
        <v>0.64671027550014182</v>
      </c>
      <c r="HS100" s="562">
        <f t="shared" si="508"/>
        <v>0.63929602834783428</v>
      </c>
      <c r="HT100" s="562">
        <f t="shared" si="508"/>
        <v>0.56952710160093356</v>
      </c>
      <c r="HU100" s="562">
        <f t="shared" si="508"/>
        <v>0.70525429031757003</v>
      </c>
      <c r="HV100" s="562">
        <f t="shared" si="508"/>
        <v>0.61216190926891856</v>
      </c>
      <c r="HW100" s="562">
        <f t="shared" si="508"/>
        <v>0.62651582147789175</v>
      </c>
      <c r="HX100" s="562">
        <f t="shared" si="508"/>
        <v>0.63183621377515398</v>
      </c>
      <c r="HY100" s="562">
        <f t="shared" si="508"/>
        <v>0.59340582042846657</v>
      </c>
      <c r="HZ100" s="562">
        <f t="shared" si="508"/>
        <v>0.66743309828609676</v>
      </c>
      <c r="IA100" s="562">
        <f t="shared" si="508"/>
        <v>0.53877412369545907</v>
      </c>
      <c r="IB100" s="562">
        <f t="shared" si="508"/>
        <v>0.63451584331902866</v>
      </c>
      <c r="IC100" s="562">
        <f t="shared" si="508"/>
        <v>0.50860571596499782</v>
      </c>
      <c r="ID100" s="562">
        <f t="shared" si="508"/>
        <v>0.66590849237205019</v>
      </c>
      <c r="IE100" s="562">
        <f t="shared" si="508"/>
        <v>0.74256468469880499</v>
      </c>
      <c r="IF100" s="562">
        <f t="shared" si="508"/>
        <v>0.47305984476858715</v>
      </c>
      <c r="IG100" s="562">
        <f t="shared" si="508"/>
        <v>0.48072313101502495</v>
      </c>
      <c r="IH100" s="562">
        <f t="shared" si="508"/>
        <v>0.62049847250517676</v>
      </c>
      <c r="II100" s="562">
        <f t="shared" si="508"/>
        <v>0.61665905078958749</v>
      </c>
      <c r="IJ100" s="562">
        <f t="shared" si="508"/>
        <v>0.63971377129964979</v>
      </c>
      <c r="IK100" s="562">
        <f t="shared" si="508"/>
        <v>0</v>
      </c>
      <c r="IL100" s="562">
        <f t="shared" si="508"/>
        <v>0.64657749544815257</v>
      </c>
      <c r="IM100" s="562">
        <f t="shared" si="508"/>
        <v>0.65678170737117936</v>
      </c>
      <c r="IN100" s="562">
        <f t="shared" si="508"/>
        <v>0.62155355019982872</v>
      </c>
      <c r="IO100" s="562">
        <f t="shared" si="508"/>
        <v>0.63222569935766371</v>
      </c>
      <c r="IP100" s="562">
        <f t="shared" si="508"/>
        <v>0.63445088403719796</v>
      </c>
      <c r="IQ100" s="562">
        <f t="shared" si="508"/>
        <v>0.60657261413281305</v>
      </c>
      <c r="IR100" s="562">
        <f t="shared" si="508"/>
        <v>0.63270743512165595</v>
      </c>
      <c r="IS100" s="562">
        <f t="shared" si="508"/>
        <v>0.52576478511124836</v>
      </c>
      <c r="IT100" s="562">
        <f t="shared" si="508"/>
        <v>0.54108727797891132</v>
      </c>
      <c r="IU100" s="562">
        <f t="shared" si="508"/>
        <v>0.63328953788287823</v>
      </c>
      <c r="IV100" s="562">
        <f t="shared" si="508"/>
        <v>0.59641928875489614</v>
      </c>
      <c r="IW100" s="562">
        <f t="shared" si="508"/>
        <v>0.59681809080430681</v>
      </c>
      <c r="IX100" s="562">
        <f t="shared" si="508"/>
        <v>0.63328953788287823</v>
      </c>
      <c r="IY100" s="562">
        <f t="shared" si="508"/>
        <v>0.71996031423442364</v>
      </c>
      <c r="IZ100" s="562">
        <f t="shared" si="508"/>
        <v>0.7162899440567867</v>
      </c>
      <c r="JA100" s="562">
        <f t="shared" ref="JA100:JH100" si="509">JA94/JA13</f>
        <v>0.68837248588754629</v>
      </c>
      <c r="JB100" s="562">
        <f t="shared" si="509"/>
        <v>0.61547153402156973</v>
      </c>
      <c r="JC100" s="562">
        <f t="shared" si="509"/>
        <v>0.61968721707195151</v>
      </c>
      <c r="JD100" s="562">
        <f t="shared" si="509"/>
        <v>0.44688475461309884</v>
      </c>
      <c r="JE100" s="562">
        <f t="shared" si="509"/>
        <v>2.8402121265302727E-2</v>
      </c>
      <c r="JF100" s="562">
        <f t="shared" si="509"/>
        <v>0.68939956345392395</v>
      </c>
      <c r="JG100" s="562">
        <f t="shared" si="509"/>
        <v>0.69553662554849616</v>
      </c>
      <c r="JH100" s="562">
        <f t="shared" si="509"/>
        <v>0.95330000000000004</v>
      </c>
      <c r="JI100" s="561"/>
      <c r="JL100" s="584">
        <f t="shared" ref="JL100:JP100" si="510">JL94/JL13</f>
        <v>0.90500127265320918</v>
      </c>
      <c r="JM100" s="584">
        <f t="shared" si="510"/>
        <v>0.70413201819111759</v>
      </c>
      <c r="JN100" s="584">
        <f t="shared" si="510"/>
        <v>0.44632256451418911</v>
      </c>
      <c r="JO100" s="584">
        <f t="shared" si="510"/>
        <v>0.61709715609752547</v>
      </c>
      <c r="JP100" s="584">
        <f t="shared" si="510"/>
        <v>0.6096847407147199</v>
      </c>
    </row>
    <row r="101" spans="1:276" x14ac:dyDescent="0.25">
      <c r="B101" s="313" t="str">
        <f>B54</f>
        <v>Celkem 2019 (přes KHK)</v>
      </c>
      <c r="C101" s="314">
        <f>C54</f>
        <v>7649000</v>
      </c>
      <c r="D101" s="314">
        <f t="shared" ref="D101:BP101" si="511">D54</f>
        <v>6323100</v>
      </c>
      <c r="E101" s="314">
        <f t="shared" si="511"/>
        <v>8196405</v>
      </c>
      <c r="F101" s="314">
        <f t="shared" si="511"/>
        <v>3484600</v>
      </c>
      <c r="G101" s="314">
        <f t="shared" si="511"/>
        <v>8898350</v>
      </c>
      <c r="H101" s="314">
        <f t="shared" si="511"/>
        <v>851000</v>
      </c>
      <c r="I101" s="314">
        <f t="shared" si="511"/>
        <v>2220902</v>
      </c>
      <c r="J101" s="314">
        <f t="shared" si="511"/>
        <v>2592445</v>
      </c>
      <c r="K101" s="314">
        <f t="shared" si="511"/>
        <v>5369542</v>
      </c>
      <c r="L101" s="314">
        <f t="shared" si="511"/>
        <v>3774970</v>
      </c>
      <c r="M101" s="314">
        <f t="shared" si="511"/>
        <v>3637289</v>
      </c>
      <c r="N101" s="314">
        <f t="shared" si="511"/>
        <v>5245000</v>
      </c>
      <c r="O101" s="314">
        <f t="shared" si="511"/>
        <v>4154929</v>
      </c>
      <c r="P101" s="314">
        <f t="shared" si="511"/>
        <v>2345016</v>
      </c>
      <c r="Q101" s="314">
        <f t="shared" si="511"/>
        <v>1465267</v>
      </c>
      <c r="R101" s="314">
        <f t="shared" si="511"/>
        <v>2124718.1</v>
      </c>
      <c r="S101" s="314">
        <f t="shared" si="511"/>
        <v>1637152.8</v>
      </c>
      <c r="T101" s="314">
        <f t="shared" si="511"/>
        <v>591336</v>
      </c>
      <c r="U101" s="314">
        <f t="shared" si="511"/>
        <v>1099204</v>
      </c>
      <c r="V101" s="314">
        <f t="shared" si="511"/>
        <v>9233620</v>
      </c>
      <c r="W101" s="314">
        <f t="shared" si="511"/>
        <v>1825000</v>
      </c>
      <c r="X101" s="314">
        <f t="shared" si="511"/>
        <v>1309890</v>
      </c>
      <c r="Y101" s="314">
        <f t="shared" si="511"/>
        <v>1757810</v>
      </c>
      <c r="Z101" s="314">
        <f t="shared" si="511"/>
        <v>6852000</v>
      </c>
      <c r="AA101" s="314">
        <f t="shared" si="511"/>
        <v>3849820</v>
      </c>
      <c r="AB101" s="314">
        <f t="shared" si="511"/>
        <v>3047940</v>
      </c>
      <c r="AC101" s="314">
        <f t="shared" ref="AC101" si="512">AC54</f>
        <v>2007500</v>
      </c>
      <c r="AD101" s="314">
        <f t="shared" si="511"/>
        <v>1845240</v>
      </c>
      <c r="AE101" s="314">
        <f t="shared" si="511"/>
        <v>1056608</v>
      </c>
      <c r="AF101" s="314">
        <f t="shared" si="511"/>
        <v>2104207</v>
      </c>
      <c r="AG101" s="314">
        <f t="shared" si="511"/>
        <v>3325752</v>
      </c>
      <c r="AH101" s="314">
        <f t="shared" si="511"/>
        <v>767266</v>
      </c>
      <c r="AI101" s="314">
        <f t="shared" si="511"/>
        <v>2893700</v>
      </c>
      <c r="AJ101" s="314">
        <f t="shared" si="511"/>
        <v>2450300</v>
      </c>
      <c r="AK101" s="314">
        <f t="shared" si="511"/>
        <v>1197405</v>
      </c>
      <c r="AL101" s="314">
        <f t="shared" si="511"/>
        <v>1860416</v>
      </c>
      <c r="AM101" s="314">
        <f t="shared" si="511"/>
        <v>1374492</v>
      </c>
      <c r="AN101" s="314">
        <f t="shared" si="511"/>
        <v>1027900</v>
      </c>
      <c r="AO101" s="314">
        <f t="shared" si="511"/>
        <v>3729028</v>
      </c>
      <c r="AP101" s="314">
        <f t="shared" si="511"/>
        <v>2259775</v>
      </c>
      <c r="AQ101" s="314">
        <f t="shared" si="511"/>
        <v>327938</v>
      </c>
      <c r="AR101" s="314">
        <f t="shared" si="511"/>
        <v>1130591</v>
      </c>
      <c r="AS101" s="314">
        <f t="shared" si="511"/>
        <v>450572</v>
      </c>
      <c r="AT101" s="314">
        <f t="shared" si="511"/>
        <v>2175746</v>
      </c>
      <c r="AU101" s="314">
        <f t="shared" si="511"/>
        <v>894272</v>
      </c>
      <c r="AV101" s="314">
        <f t="shared" si="511"/>
        <v>1866618</v>
      </c>
      <c r="AW101" s="314">
        <f t="shared" si="511"/>
        <v>3070875</v>
      </c>
      <c r="AX101" s="314">
        <f t="shared" si="511"/>
        <v>2970020</v>
      </c>
      <c r="AY101" s="314">
        <f t="shared" si="511"/>
        <v>3091452</v>
      </c>
      <c r="AZ101" s="314">
        <f t="shared" si="511"/>
        <v>2931235</v>
      </c>
      <c r="BA101" s="314">
        <f t="shared" si="511"/>
        <v>7415268</v>
      </c>
      <c r="BB101" s="314">
        <f t="shared" si="511"/>
        <v>1020124</v>
      </c>
      <c r="BC101" s="314">
        <f t="shared" si="511"/>
        <v>1008745</v>
      </c>
      <c r="BD101" s="314">
        <f t="shared" si="511"/>
        <v>1277820</v>
      </c>
      <c r="BE101" s="314">
        <f t="shared" si="511"/>
        <v>1204150</v>
      </c>
      <c r="BF101" s="314">
        <f t="shared" si="511"/>
        <v>1888960</v>
      </c>
      <c r="BG101" s="314">
        <f t="shared" si="511"/>
        <v>2344216</v>
      </c>
      <c r="BH101" s="314">
        <f t="shared" si="511"/>
        <v>2948068</v>
      </c>
      <c r="BI101" s="314">
        <f t="shared" si="511"/>
        <v>1468100</v>
      </c>
      <c r="BJ101" s="314">
        <f t="shared" si="511"/>
        <v>2652621</v>
      </c>
      <c r="BK101" s="314">
        <f t="shared" si="511"/>
        <v>852000</v>
      </c>
      <c r="BL101" s="314">
        <f t="shared" si="511"/>
        <v>0</v>
      </c>
      <c r="BM101" s="314">
        <f t="shared" si="511"/>
        <v>615100</v>
      </c>
      <c r="BN101" s="314">
        <f t="shared" si="511"/>
        <v>1582000</v>
      </c>
      <c r="BO101" s="314">
        <f t="shared" si="511"/>
        <v>762010</v>
      </c>
      <c r="BP101" s="314">
        <f t="shared" si="511"/>
        <v>3919307</v>
      </c>
      <c r="BQ101" s="314">
        <f t="shared" ref="BQ101:EB101" si="513">BQ54</f>
        <v>815436</v>
      </c>
      <c r="BR101" s="314">
        <f t="shared" si="513"/>
        <v>874340</v>
      </c>
      <c r="BS101" s="314">
        <f t="shared" si="513"/>
        <v>1297900</v>
      </c>
      <c r="BT101" s="314">
        <f t="shared" si="513"/>
        <v>860100</v>
      </c>
      <c r="BU101" s="314">
        <f t="shared" si="513"/>
        <v>3939338</v>
      </c>
      <c r="BV101" s="314">
        <f t="shared" si="513"/>
        <v>588910</v>
      </c>
      <c r="BW101" s="314">
        <f t="shared" si="513"/>
        <v>532683</v>
      </c>
      <c r="BX101" s="314">
        <f t="shared" si="513"/>
        <v>4055253</v>
      </c>
      <c r="BY101" s="314">
        <f t="shared" si="513"/>
        <v>1520144</v>
      </c>
      <c r="BZ101" s="314">
        <f t="shared" si="513"/>
        <v>324150</v>
      </c>
      <c r="CA101" s="314">
        <f t="shared" si="513"/>
        <v>0</v>
      </c>
      <c r="CB101" s="314">
        <f t="shared" si="513"/>
        <v>532263</v>
      </c>
      <c r="CC101" s="314">
        <f t="shared" si="513"/>
        <v>2120418</v>
      </c>
      <c r="CD101" s="314">
        <f t="shared" si="513"/>
        <v>647336</v>
      </c>
      <c r="CE101" s="314">
        <f t="shared" si="513"/>
        <v>8268855</v>
      </c>
      <c r="CF101" s="314">
        <f t="shared" si="513"/>
        <v>4326000</v>
      </c>
      <c r="CG101" s="314">
        <f t="shared" si="513"/>
        <v>8224486</v>
      </c>
      <c r="CH101" s="314">
        <f t="shared" si="513"/>
        <v>3654346</v>
      </c>
      <c r="CI101" s="314">
        <f t="shared" si="513"/>
        <v>2882766</v>
      </c>
      <c r="CJ101" s="314">
        <f t="shared" si="513"/>
        <v>3459530</v>
      </c>
      <c r="CK101" s="314">
        <f t="shared" si="513"/>
        <v>4176623</v>
      </c>
      <c r="CL101" s="314">
        <f t="shared" si="513"/>
        <v>2384969</v>
      </c>
      <c r="CM101" s="314">
        <f t="shared" si="513"/>
        <v>5320660</v>
      </c>
      <c r="CN101" s="314">
        <f t="shared" si="513"/>
        <v>1282575.1399999999</v>
      </c>
      <c r="CO101" s="314">
        <f t="shared" si="513"/>
        <v>1214500</v>
      </c>
      <c r="CP101" s="314">
        <f t="shared" si="513"/>
        <v>1238425.46</v>
      </c>
      <c r="CQ101" s="314">
        <f t="shared" si="513"/>
        <v>4606266</v>
      </c>
      <c r="CR101" s="314">
        <f t="shared" si="513"/>
        <v>1616800</v>
      </c>
      <c r="CS101" s="314">
        <f t="shared" si="513"/>
        <v>0</v>
      </c>
      <c r="CT101" s="314">
        <f t="shared" si="513"/>
        <v>5070000</v>
      </c>
      <c r="CU101" s="314">
        <f t="shared" si="513"/>
        <v>1400500</v>
      </c>
      <c r="CV101" s="314">
        <f t="shared" si="513"/>
        <v>5031500</v>
      </c>
      <c r="CW101" s="314">
        <f t="shared" si="513"/>
        <v>271401</v>
      </c>
      <c r="CX101" s="314">
        <f t="shared" si="513"/>
        <v>3128000</v>
      </c>
      <c r="CY101" s="314">
        <f t="shared" si="513"/>
        <v>2748954</v>
      </c>
      <c r="CZ101" s="314">
        <f t="shared" si="513"/>
        <v>1006700</v>
      </c>
      <c r="DA101" s="314">
        <f t="shared" si="513"/>
        <v>5580860</v>
      </c>
      <c r="DB101" s="314">
        <f t="shared" si="513"/>
        <v>665328</v>
      </c>
      <c r="DC101" s="314">
        <f t="shared" si="513"/>
        <v>1623500</v>
      </c>
      <c r="DD101" s="314">
        <f t="shared" si="513"/>
        <v>4680513</v>
      </c>
      <c r="DE101" s="314">
        <f t="shared" si="513"/>
        <v>7167606</v>
      </c>
      <c r="DF101" s="314">
        <f t="shared" si="513"/>
        <v>5216852</v>
      </c>
      <c r="DG101" s="314">
        <f t="shared" si="513"/>
        <v>605740</v>
      </c>
      <c r="DH101" s="314">
        <f t="shared" si="513"/>
        <v>1606367.6400000001</v>
      </c>
      <c r="DI101" s="314">
        <f t="shared" si="513"/>
        <v>1093940</v>
      </c>
      <c r="DJ101" s="314">
        <f t="shared" si="513"/>
        <v>1816958</v>
      </c>
      <c r="DK101" s="314">
        <f t="shared" si="513"/>
        <v>910471</v>
      </c>
      <c r="DL101" s="314">
        <f t="shared" si="513"/>
        <v>3817224</v>
      </c>
      <c r="DM101" s="314">
        <f t="shared" si="513"/>
        <v>1734348</v>
      </c>
      <c r="DN101" s="314">
        <f t="shared" si="513"/>
        <v>2980765</v>
      </c>
      <c r="DO101" s="314">
        <f t="shared" si="513"/>
        <v>1397775</v>
      </c>
      <c r="DP101" s="314">
        <f t="shared" si="513"/>
        <v>4045363.78</v>
      </c>
      <c r="DQ101" s="314">
        <f t="shared" si="513"/>
        <v>3907852</v>
      </c>
      <c r="DR101" s="314">
        <f t="shared" si="513"/>
        <v>4477376</v>
      </c>
      <c r="DS101" s="314">
        <f t="shared" si="513"/>
        <v>331000</v>
      </c>
      <c r="DT101" s="314">
        <f t="shared" si="513"/>
        <v>2906291</v>
      </c>
      <c r="DU101" s="314">
        <f t="shared" si="513"/>
        <v>2100600</v>
      </c>
      <c r="DV101" s="314">
        <f t="shared" si="513"/>
        <v>3145477</v>
      </c>
      <c r="DW101" s="314">
        <f t="shared" si="513"/>
        <v>1211410</v>
      </c>
      <c r="DX101" s="314">
        <f t="shared" si="513"/>
        <v>4030918</v>
      </c>
      <c r="DY101" s="314">
        <f t="shared" si="513"/>
        <v>3755150</v>
      </c>
      <c r="DZ101" s="314">
        <f t="shared" si="513"/>
        <v>716300</v>
      </c>
      <c r="EA101" s="314">
        <f t="shared" si="513"/>
        <v>3895188</v>
      </c>
      <c r="EB101" s="314">
        <f t="shared" si="513"/>
        <v>3882690</v>
      </c>
      <c r="EC101" s="314">
        <f t="shared" ref="EC101:GN101" si="514">EC54</f>
        <v>3345254</v>
      </c>
      <c r="ED101" s="314">
        <f t="shared" si="514"/>
        <v>3472808</v>
      </c>
      <c r="EE101" s="314">
        <f t="shared" si="514"/>
        <v>563624</v>
      </c>
      <c r="EF101" s="314">
        <f t="shared" si="514"/>
        <v>669087.59</v>
      </c>
      <c r="EG101" s="314">
        <f t="shared" si="514"/>
        <v>427828.99</v>
      </c>
      <c r="EH101" s="314">
        <f t="shared" si="514"/>
        <v>559670</v>
      </c>
      <c r="EI101" s="314">
        <f t="shared" si="514"/>
        <v>910753</v>
      </c>
      <c r="EJ101" s="314">
        <f t="shared" si="514"/>
        <v>1034374</v>
      </c>
      <c r="EK101" s="314">
        <f t="shared" si="514"/>
        <v>3932042</v>
      </c>
      <c r="EL101" s="314">
        <f t="shared" si="514"/>
        <v>8624026</v>
      </c>
      <c r="EM101" s="314">
        <f t="shared" si="514"/>
        <v>2698808</v>
      </c>
      <c r="EN101" s="314">
        <f t="shared" si="514"/>
        <v>2394473</v>
      </c>
      <c r="EO101" s="314">
        <f t="shared" si="514"/>
        <v>236418</v>
      </c>
      <c r="EP101" s="314">
        <f t="shared" si="514"/>
        <v>2171123</v>
      </c>
      <c r="EQ101" s="314">
        <f t="shared" si="514"/>
        <v>1844122</v>
      </c>
      <c r="ER101" s="314">
        <f t="shared" si="514"/>
        <v>5251868</v>
      </c>
      <c r="ES101" s="314">
        <f t="shared" si="514"/>
        <v>2770560</v>
      </c>
      <c r="ET101" s="314">
        <f t="shared" si="514"/>
        <v>0</v>
      </c>
      <c r="EU101" s="314">
        <f t="shared" si="514"/>
        <v>804000</v>
      </c>
      <c r="EV101" s="314">
        <f t="shared" si="514"/>
        <v>225535</v>
      </c>
      <c r="EW101" s="314">
        <f t="shared" si="514"/>
        <v>2356313</v>
      </c>
      <c r="EX101" s="314">
        <f t="shared" si="514"/>
        <v>5404290</v>
      </c>
      <c r="EY101" s="314">
        <f t="shared" si="514"/>
        <v>2044845</v>
      </c>
      <c r="EZ101" s="314">
        <f t="shared" si="514"/>
        <v>111326</v>
      </c>
      <c r="FA101" s="314">
        <f t="shared" si="514"/>
        <v>793692</v>
      </c>
      <c r="FB101" s="314">
        <f t="shared" si="514"/>
        <v>139761</v>
      </c>
      <c r="FC101" s="314">
        <f t="shared" si="514"/>
        <v>3000000</v>
      </c>
      <c r="FD101" s="314">
        <f t="shared" si="514"/>
        <v>772461</v>
      </c>
      <c r="FE101" s="314">
        <f t="shared" si="514"/>
        <v>262500</v>
      </c>
      <c r="FF101" s="314">
        <f t="shared" si="514"/>
        <v>1117120</v>
      </c>
      <c r="FG101" s="314">
        <f t="shared" si="514"/>
        <v>4683650</v>
      </c>
      <c r="FH101" s="314">
        <f t="shared" si="514"/>
        <v>5519580</v>
      </c>
      <c r="FI101" s="314">
        <f t="shared" si="514"/>
        <v>5568487</v>
      </c>
      <c r="FJ101" s="314">
        <f t="shared" si="514"/>
        <v>1579046</v>
      </c>
      <c r="FK101" s="314">
        <f t="shared" si="514"/>
        <v>281852</v>
      </c>
      <c r="FL101" s="314">
        <f t="shared" si="514"/>
        <v>601762</v>
      </c>
      <c r="FM101" s="314">
        <f t="shared" si="514"/>
        <v>2626403</v>
      </c>
      <c r="FN101" s="314">
        <f t="shared" si="514"/>
        <v>6459380</v>
      </c>
      <c r="FO101" s="314">
        <f t="shared" si="514"/>
        <v>1659657</v>
      </c>
      <c r="FP101" s="314">
        <f t="shared" si="514"/>
        <v>12144452</v>
      </c>
      <c r="FQ101" s="314">
        <f t="shared" si="514"/>
        <v>1909423</v>
      </c>
      <c r="FR101" s="341">
        <f t="shared" si="514"/>
        <v>0</v>
      </c>
      <c r="FS101" s="314">
        <f t="shared" si="514"/>
        <v>477570</v>
      </c>
      <c r="FT101" s="314">
        <f t="shared" si="514"/>
        <v>2948610</v>
      </c>
      <c r="FU101" s="314">
        <f t="shared" si="514"/>
        <v>426547</v>
      </c>
      <c r="FV101" s="314">
        <f t="shared" si="514"/>
        <v>559074</v>
      </c>
      <c r="FW101" s="314">
        <f t="shared" si="514"/>
        <v>1013735</v>
      </c>
      <c r="FX101" s="314">
        <f t="shared" si="514"/>
        <v>364926</v>
      </c>
      <c r="FY101" s="314">
        <f t="shared" si="514"/>
        <v>209591</v>
      </c>
      <c r="FZ101" s="314">
        <f t="shared" si="514"/>
        <v>2576210</v>
      </c>
      <c r="GA101" s="314">
        <f t="shared" si="514"/>
        <v>234850</v>
      </c>
      <c r="GB101" s="314">
        <f t="shared" si="514"/>
        <v>1751320</v>
      </c>
      <c r="GC101" s="314">
        <f t="shared" si="514"/>
        <v>2155529</v>
      </c>
      <c r="GD101" s="314">
        <f t="shared" si="514"/>
        <v>7122291</v>
      </c>
      <c r="GE101" s="314">
        <f t="shared" si="514"/>
        <v>1339065</v>
      </c>
      <c r="GF101" s="314">
        <f t="shared" si="514"/>
        <v>3590557</v>
      </c>
      <c r="GG101" s="314">
        <f t="shared" si="514"/>
        <v>1289981</v>
      </c>
      <c r="GH101" s="314">
        <f t="shared" si="514"/>
        <v>1089582</v>
      </c>
      <c r="GI101" s="314">
        <f t="shared" si="514"/>
        <v>6898917</v>
      </c>
      <c r="GJ101" s="314">
        <f t="shared" si="514"/>
        <v>1667501</v>
      </c>
      <c r="GK101" s="314">
        <f t="shared" si="514"/>
        <v>666130</v>
      </c>
      <c r="GL101" s="314">
        <f t="shared" si="514"/>
        <v>529296</v>
      </c>
      <c r="GM101" s="314">
        <f t="shared" si="514"/>
        <v>753240</v>
      </c>
      <c r="GN101" s="314">
        <f t="shared" si="514"/>
        <v>603116</v>
      </c>
      <c r="GO101" s="314">
        <f t="shared" ref="GO101:IZ101" si="515">GO54</f>
        <v>3581549</v>
      </c>
      <c r="GP101" s="314">
        <f t="shared" si="515"/>
        <v>520270</v>
      </c>
      <c r="GQ101" s="314">
        <f t="shared" si="515"/>
        <v>740230</v>
      </c>
      <c r="GR101" s="314">
        <f t="shared" si="515"/>
        <v>693152</v>
      </c>
      <c r="GS101" s="314">
        <f t="shared" si="515"/>
        <v>165886</v>
      </c>
      <c r="GT101" s="314">
        <f t="shared" si="515"/>
        <v>8345502</v>
      </c>
      <c r="GU101" s="314">
        <f t="shared" si="515"/>
        <v>761571</v>
      </c>
      <c r="GV101" s="314">
        <f t="shared" si="515"/>
        <v>4959810</v>
      </c>
      <c r="GW101" s="314">
        <f t="shared" si="515"/>
        <v>1133866</v>
      </c>
      <c r="GX101" s="314">
        <f t="shared" si="515"/>
        <v>154333</v>
      </c>
      <c r="GY101" s="314">
        <f t="shared" si="515"/>
        <v>10721860</v>
      </c>
      <c r="GZ101" s="314">
        <f t="shared" si="515"/>
        <v>0</v>
      </c>
      <c r="HA101" s="314">
        <f t="shared" si="515"/>
        <v>4876560</v>
      </c>
      <c r="HB101" s="314">
        <f t="shared" si="515"/>
        <v>1991460</v>
      </c>
      <c r="HC101" s="314">
        <f t="shared" si="515"/>
        <v>5134000</v>
      </c>
      <c r="HD101" s="314">
        <f t="shared" si="515"/>
        <v>1401300</v>
      </c>
      <c r="HE101" s="314">
        <f t="shared" si="515"/>
        <v>4443200</v>
      </c>
      <c r="HF101" s="314">
        <f t="shared" si="515"/>
        <v>707286</v>
      </c>
      <c r="HG101" s="314">
        <f t="shared" si="515"/>
        <v>518077</v>
      </c>
      <c r="HH101" s="314">
        <f t="shared" si="515"/>
        <v>1985778</v>
      </c>
      <c r="HI101" s="314">
        <f t="shared" si="515"/>
        <v>1514623</v>
      </c>
      <c r="HJ101" s="314">
        <f t="shared" si="515"/>
        <v>495460</v>
      </c>
      <c r="HK101" s="314">
        <f t="shared" si="515"/>
        <v>144000</v>
      </c>
      <c r="HL101" s="314">
        <f t="shared" si="515"/>
        <v>37366967.243574739</v>
      </c>
      <c r="HM101" s="314">
        <f t="shared" si="515"/>
        <v>25001512.541579321</v>
      </c>
      <c r="HN101" s="314">
        <f t="shared" si="515"/>
        <v>808776.41538817156</v>
      </c>
      <c r="HO101" s="314">
        <f t="shared" si="515"/>
        <v>2876769.799457768</v>
      </c>
      <c r="HP101" s="314">
        <f t="shared" si="515"/>
        <v>27787218</v>
      </c>
      <c r="HQ101" s="314">
        <f t="shared" si="515"/>
        <v>978043.38080963399</v>
      </c>
      <c r="HR101" s="314">
        <f t="shared" si="515"/>
        <v>33541191.281565275</v>
      </c>
      <c r="HS101" s="314">
        <f t="shared" si="515"/>
        <v>5691227.33762509</v>
      </c>
      <c r="HT101" s="314">
        <f t="shared" si="515"/>
        <v>22599685</v>
      </c>
      <c r="HU101" s="314">
        <f t="shared" si="515"/>
        <v>21507994</v>
      </c>
      <c r="HV101" s="314">
        <f t="shared" si="515"/>
        <v>16689127</v>
      </c>
      <c r="HW101" s="314">
        <f t="shared" si="515"/>
        <v>6965541.9659980796</v>
      </c>
      <c r="HX101" s="314">
        <f t="shared" si="515"/>
        <v>17983528.03400192</v>
      </c>
      <c r="HY101" s="314">
        <f t="shared" si="515"/>
        <v>21105762</v>
      </c>
      <c r="HZ101" s="314">
        <f t="shared" si="515"/>
        <v>9565941</v>
      </c>
      <c r="IA101" s="314">
        <f t="shared" si="515"/>
        <v>9107487</v>
      </c>
      <c r="IB101" s="314">
        <f t="shared" si="515"/>
        <v>8575181</v>
      </c>
      <c r="IC101" s="314">
        <f t="shared" si="515"/>
        <v>11233714.822746631</v>
      </c>
      <c r="ID101" s="314">
        <f t="shared" si="515"/>
        <v>9255791.1772533692</v>
      </c>
      <c r="IE101" s="314">
        <f t="shared" si="515"/>
        <v>16188892</v>
      </c>
      <c r="IF101" s="314">
        <f t="shared" si="515"/>
        <v>20259987.198794641</v>
      </c>
      <c r="IG101" s="314">
        <f t="shared" si="515"/>
        <v>5446079.8012053594</v>
      </c>
      <c r="IH101" s="314">
        <f t="shared" si="515"/>
        <v>3012886.5890955012</v>
      </c>
      <c r="II101" s="314">
        <f t="shared" si="515"/>
        <v>20841865.049244203</v>
      </c>
      <c r="IJ101" s="314">
        <f t="shared" si="515"/>
        <v>1674908.5338407224</v>
      </c>
      <c r="IK101" s="314">
        <f t="shared" si="515"/>
        <v>3577558.8278195728</v>
      </c>
      <c r="IL101" s="314">
        <f t="shared" si="515"/>
        <v>9204656</v>
      </c>
      <c r="IM101" s="314">
        <f t="shared" si="515"/>
        <v>701837.84282009513</v>
      </c>
      <c r="IN101" s="314">
        <f t="shared" si="515"/>
        <v>10213951.504810652</v>
      </c>
      <c r="IO101" s="314">
        <f t="shared" si="515"/>
        <v>3412493.6523692533</v>
      </c>
      <c r="IP101" s="314">
        <f t="shared" si="515"/>
        <v>22515867</v>
      </c>
      <c r="IQ101" s="314">
        <f t="shared" si="515"/>
        <v>22563962.666168727</v>
      </c>
      <c r="IR101" s="314">
        <f t="shared" si="515"/>
        <v>1003066.3338312713</v>
      </c>
      <c r="IS101" s="314">
        <f t="shared" si="515"/>
        <v>53065674.509968996</v>
      </c>
      <c r="IT101" s="314">
        <f t="shared" si="515"/>
        <v>12209859.490031004</v>
      </c>
      <c r="IU101" s="314">
        <f t="shared" si="515"/>
        <v>3182630.0362361362</v>
      </c>
      <c r="IV101" s="314">
        <f t="shared" si="515"/>
        <v>8522404.8188311569</v>
      </c>
      <c r="IW101" s="314">
        <f t="shared" si="515"/>
        <v>15638894.711101327</v>
      </c>
      <c r="IX101" s="314">
        <f t="shared" si="515"/>
        <v>1813436.4338313788</v>
      </c>
      <c r="IY101" s="314">
        <f t="shared" si="515"/>
        <v>7604648.4471565671</v>
      </c>
      <c r="IZ101" s="314">
        <f t="shared" si="515"/>
        <v>18227943.552843433</v>
      </c>
      <c r="JA101" s="314">
        <f t="shared" ref="JA101:JH101" si="516">JA54</f>
        <v>3037151.73</v>
      </c>
      <c r="JB101" s="314">
        <f t="shared" si="516"/>
        <v>2895174.04</v>
      </c>
      <c r="JC101" s="314">
        <f t="shared" si="516"/>
        <v>2268778.09</v>
      </c>
      <c r="JD101" s="314">
        <f t="shared" si="516"/>
        <v>5052980.7</v>
      </c>
      <c r="JE101" s="314">
        <f t="shared" si="516"/>
        <v>1159105.145059247</v>
      </c>
      <c r="JF101" s="314">
        <f t="shared" si="516"/>
        <v>29898599.85494075</v>
      </c>
      <c r="JG101" s="314">
        <f t="shared" si="516"/>
        <v>30541537</v>
      </c>
      <c r="JH101" s="314">
        <f t="shared" si="516"/>
        <v>868740</v>
      </c>
      <c r="JL101" s="307">
        <f t="shared" ref="JL101:JO105" si="517">SUMIFS($C101:$JH101,$C$5:$JH$5,JL$5)</f>
        <v>22168505</v>
      </c>
      <c r="JM101" s="307">
        <f t="shared" si="517"/>
        <v>364768028.49999994</v>
      </c>
      <c r="JN101" s="307">
        <f t="shared" si="517"/>
        <v>153322946</v>
      </c>
      <c r="JO101" s="307">
        <f t="shared" si="517"/>
        <v>625247030.56000006</v>
      </c>
      <c r="JP101" s="307">
        <f t="shared" ref="JP101:JP105" si="518">SUM(JL101:JO101)</f>
        <v>1165506510.0599999</v>
      </c>
    </row>
    <row r="102" spans="1:276" x14ac:dyDescent="0.25">
      <c r="B102" s="313" t="s">
        <v>2593</v>
      </c>
      <c r="C102" s="314">
        <f>C47+C48+C94</f>
        <v>8884422.5558247231</v>
      </c>
      <c r="D102" s="314">
        <f t="shared" ref="D102:BP102" si="519">D47+D48+D94</f>
        <v>7730000</v>
      </c>
      <c r="E102" s="314">
        <f t="shared" si="519"/>
        <v>8299184.4088107003</v>
      </c>
      <c r="F102" s="314">
        <f t="shared" si="519"/>
        <v>3616884.7088353573</v>
      </c>
      <c r="G102" s="314">
        <f t="shared" si="519"/>
        <v>10328003.127290595</v>
      </c>
      <c r="H102" s="314">
        <f t="shared" si="519"/>
        <v>916710.41611130896</v>
      </c>
      <c r="I102" s="314">
        <f t="shared" si="519"/>
        <v>3162879.4741952131</v>
      </c>
      <c r="J102" s="314">
        <f t="shared" si="519"/>
        <v>2804600.7844202179</v>
      </c>
      <c r="K102" s="314">
        <f t="shared" si="519"/>
        <v>5988080</v>
      </c>
      <c r="L102" s="314">
        <f t="shared" si="519"/>
        <v>3774970</v>
      </c>
      <c r="M102" s="314">
        <f t="shared" si="519"/>
        <v>3667775.238895766</v>
      </c>
      <c r="N102" s="314">
        <f t="shared" si="519"/>
        <v>5360828.6030266704</v>
      </c>
      <c r="O102" s="314">
        <f t="shared" si="519"/>
        <v>4346141</v>
      </c>
      <c r="P102" s="314">
        <f t="shared" si="519"/>
        <v>2570026.0021816893</v>
      </c>
      <c r="Q102" s="314">
        <f t="shared" si="519"/>
        <v>1836488.4791010155</v>
      </c>
      <c r="R102" s="314">
        <f t="shared" si="519"/>
        <v>2091000</v>
      </c>
      <c r="S102" s="314">
        <f t="shared" si="519"/>
        <v>1637152.8</v>
      </c>
      <c r="T102" s="314">
        <f t="shared" si="519"/>
        <v>622773.51077815378</v>
      </c>
      <c r="U102" s="314">
        <f t="shared" si="519"/>
        <v>1087500</v>
      </c>
      <c r="V102" s="314">
        <f t="shared" si="519"/>
        <v>9233620</v>
      </c>
      <c r="W102" s="314">
        <f t="shared" si="519"/>
        <v>2130000</v>
      </c>
      <c r="X102" s="314">
        <f t="shared" si="519"/>
        <v>2304335.8095085779</v>
      </c>
      <c r="Y102" s="314">
        <f t="shared" si="519"/>
        <v>1770700</v>
      </c>
      <c r="Z102" s="314">
        <f t="shared" si="519"/>
        <v>7231924</v>
      </c>
      <c r="AA102" s="314">
        <f t="shared" si="519"/>
        <v>4244705.4490248738</v>
      </c>
      <c r="AB102" s="314">
        <f t="shared" si="519"/>
        <v>3678130.7057224135</v>
      </c>
      <c r="AC102" s="314">
        <f t="shared" ref="AC102" si="520">AC47+AC48+AC94</f>
        <v>481158.31194833241</v>
      </c>
      <c r="AD102" s="314">
        <f t="shared" si="519"/>
        <v>2590229.1206235653</v>
      </c>
      <c r="AE102" s="314">
        <f t="shared" si="519"/>
        <v>1133448.5258989439</v>
      </c>
      <c r="AF102" s="314">
        <f t="shared" si="519"/>
        <v>3323451.9295379585</v>
      </c>
      <c r="AG102" s="314">
        <f t="shared" si="519"/>
        <v>3450812.7548698969</v>
      </c>
      <c r="AH102" s="314">
        <f t="shared" si="519"/>
        <v>760000</v>
      </c>
      <c r="AI102" s="314">
        <f t="shared" si="519"/>
        <v>3404000</v>
      </c>
      <c r="AJ102" s="314">
        <f t="shared" si="519"/>
        <v>2585000</v>
      </c>
      <c r="AK102" s="314">
        <f t="shared" si="519"/>
        <v>1251400</v>
      </c>
      <c r="AL102" s="314">
        <f t="shared" si="519"/>
        <v>1952909.1633510776</v>
      </c>
      <c r="AM102" s="314">
        <f t="shared" si="519"/>
        <v>1499708.3726341231</v>
      </c>
      <c r="AN102" s="314">
        <f t="shared" si="519"/>
        <v>1148955.198498779</v>
      </c>
      <c r="AO102" s="314">
        <f t="shared" si="519"/>
        <v>4903755.5596356187</v>
      </c>
      <c r="AP102" s="314">
        <f t="shared" si="519"/>
        <v>2124765.1162296012</v>
      </c>
      <c r="AQ102" s="314">
        <f t="shared" si="519"/>
        <v>491000</v>
      </c>
      <c r="AR102" s="314">
        <f t="shared" si="519"/>
        <v>1531740.3992508459</v>
      </c>
      <c r="AS102" s="314">
        <f t="shared" si="519"/>
        <v>495253.22022333386</v>
      </c>
      <c r="AT102" s="314">
        <f t="shared" si="519"/>
        <v>2498113.4323683418</v>
      </c>
      <c r="AU102" s="314">
        <f t="shared" si="519"/>
        <v>992216.93946642126</v>
      </c>
      <c r="AV102" s="314">
        <f t="shared" si="519"/>
        <v>2003660.6772952261</v>
      </c>
      <c r="AW102" s="314">
        <f t="shared" si="519"/>
        <v>3359522.5550434329</v>
      </c>
      <c r="AX102" s="314">
        <f t="shared" si="519"/>
        <v>3240135.311080751</v>
      </c>
      <c r="AY102" s="314">
        <f t="shared" si="519"/>
        <v>3300190.5406568907</v>
      </c>
      <c r="AZ102" s="314">
        <f t="shared" si="519"/>
        <v>2981000</v>
      </c>
      <c r="BA102" s="314">
        <f t="shared" si="519"/>
        <v>9230000</v>
      </c>
      <c r="BB102" s="314">
        <f t="shared" si="519"/>
        <v>1312920</v>
      </c>
      <c r="BC102" s="314">
        <f t="shared" si="519"/>
        <v>1223742.4938025323</v>
      </c>
      <c r="BD102" s="314">
        <f t="shared" si="519"/>
        <v>1916258.3325785431</v>
      </c>
      <c r="BE102" s="314">
        <f t="shared" si="519"/>
        <v>1290934.3566507786</v>
      </c>
      <c r="BF102" s="314">
        <f t="shared" si="519"/>
        <v>2020000</v>
      </c>
      <c r="BG102" s="314">
        <f t="shared" si="519"/>
        <v>2499000</v>
      </c>
      <c r="BH102" s="314">
        <f t="shared" si="519"/>
        <v>3206000</v>
      </c>
      <c r="BI102" s="314">
        <f t="shared" si="519"/>
        <v>1270000</v>
      </c>
      <c r="BJ102" s="314">
        <f t="shared" si="519"/>
        <v>2734458.8535647267</v>
      </c>
      <c r="BK102" s="314">
        <f t="shared" si="519"/>
        <v>988000</v>
      </c>
      <c r="BL102" s="314">
        <f t="shared" si="519"/>
        <v>455138.49500087276</v>
      </c>
      <c r="BM102" s="314">
        <f t="shared" si="519"/>
        <v>1464826</v>
      </c>
      <c r="BN102" s="314">
        <f t="shared" si="519"/>
        <v>1657101.9931537434</v>
      </c>
      <c r="BO102" s="314">
        <f t="shared" si="519"/>
        <v>1051279.6524752458</v>
      </c>
      <c r="BP102" s="314">
        <f t="shared" si="519"/>
        <v>4652080</v>
      </c>
      <c r="BQ102" s="314">
        <f t="shared" ref="BQ102:EB102" si="521">BQ47+BQ48+BQ94</f>
        <v>913797.62127129629</v>
      </c>
      <c r="BR102" s="314">
        <f t="shared" si="521"/>
        <v>1013021</v>
      </c>
      <c r="BS102" s="314">
        <f t="shared" si="521"/>
        <v>1310282.2989678741</v>
      </c>
      <c r="BT102" s="314">
        <f t="shared" si="521"/>
        <v>914160.26616723067</v>
      </c>
      <c r="BU102" s="314">
        <f t="shared" si="521"/>
        <v>3939338</v>
      </c>
      <c r="BV102" s="314">
        <f t="shared" si="521"/>
        <v>1177908.0353182531</v>
      </c>
      <c r="BW102" s="314">
        <f t="shared" si="521"/>
        <v>532683</v>
      </c>
      <c r="BX102" s="314">
        <f t="shared" si="521"/>
        <v>4708889.1910633538</v>
      </c>
      <c r="BY102" s="314">
        <f t="shared" si="521"/>
        <v>1520144</v>
      </c>
      <c r="BZ102" s="314">
        <f t="shared" si="521"/>
        <v>324150</v>
      </c>
      <c r="CA102" s="314">
        <f t="shared" si="521"/>
        <v>0</v>
      </c>
      <c r="CB102" s="314">
        <f t="shared" si="521"/>
        <v>571519.10142146726</v>
      </c>
      <c r="CC102" s="314">
        <f t="shared" si="521"/>
        <v>2238055.6625416637</v>
      </c>
      <c r="CD102" s="314">
        <f t="shared" si="521"/>
        <v>661848.21685573971</v>
      </c>
      <c r="CE102" s="314">
        <f t="shared" si="521"/>
        <v>9715050.1253167707</v>
      </c>
      <c r="CF102" s="314">
        <f t="shared" si="521"/>
        <v>4453617.8393289512</v>
      </c>
      <c r="CG102" s="314">
        <f t="shared" si="521"/>
        <v>8768581.4960704464</v>
      </c>
      <c r="CH102" s="314">
        <f t="shared" si="521"/>
        <v>3959479.0792496316</v>
      </c>
      <c r="CI102" s="314">
        <f t="shared" si="521"/>
        <v>3318851.9671994289</v>
      </c>
      <c r="CJ102" s="314">
        <f t="shared" si="521"/>
        <v>3854195.0818283353</v>
      </c>
      <c r="CK102" s="314">
        <f t="shared" si="521"/>
        <v>4542000</v>
      </c>
      <c r="CL102" s="314">
        <f t="shared" si="521"/>
        <v>2611798.7485544984</v>
      </c>
      <c r="CM102" s="314">
        <f t="shared" si="521"/>
        <v>6012336.4399863137</v>
      </c>
      <c r="CN102" s="314">
        <f t="shared" si="521"/>
        <v>1342009.9127194914</v>
      </c>
      <c r="CO102" s="314">
        <f t="shared" si="521"/>
        <v>1214500</v>
      </c>
      <c r="CP102" s="314">
        <f t="shared" si="521"/>
        <v>1268807.7168003041</v>
      </c>
      <c r="CQ102" s="314">
        <f t="shared" si="521"/>
        <v>5515036.573718125</v>
      </c>
      <c r="CR102" s="314">
        <f t="shared" si="521"/>
        <v>2331094</v>
      </c>
      <c r="CS102" s="314">
        <f t="shared" si="521"/>
        <v>3589793.26</v>
      </c>
      <c r="CT102" s="314">
        <f t="shared" si="521"/>
        <v>5929679.8103662794</v>
      </c>
      <c r="CU102" s="314">
        <f t="shared" si="521"/>
        <v>1875000</v>
      </c>
      <c r="CV102" s="314">
        <f t="shared" si="521"/>
        <v>5644990.9859210327</v>
      </c>
      <c r="CW102" s="314">
        <f t="shared" si="521"/>
        <v>400000</v>
      </c>
      <c r="CX102" s="314">
        <f t="shared" si="521"/>
        <v>3457000</v>
      </c>
      <c r="CY102" s="314">
        <f t="shared" si="521"/>
        <v>2881083.2839012085</v>
      </c>
      <c r="CZ102" s="314">
        <f t="shared" si="521"/>
        <v>1374700</v>
      </c>
      <c r="DA102" s="314">
        <f t="shared" si="521"/>
        <v>7650000</v>
      </c>
      <c r="DB102" s="314">
        <f t="shared" si="521"/>
        <v>760808</v>
      </c>
      <c r="DC102" s="314">
        <f t="shared" si="521"/>
        <v>1952214.4635382525</v>
      </c>
      <c r="DD102" s="314">
        <f t="shared" si="521"/>
        <v>5799369.6959123211</v>
      </c>
      <c r="DE102" s="314">
        <f t="shared" si="521"/>
        <v>7596996.8713862468</v>
      </c>
      <c r="DF102" s="314">
        <f t="shared" si="521"/>
        <v>4660760</v>
      </c>
      <c r="DG102" s="314">
        <f t="shared" si="521"/>
        <v>802938.16515118408</v>
      </c>
      <c r="DH102" s="314">
        <f t="shared" si="521"/>
        <v>2437341.0743335127</v>
      </c>
      <c r="DI102" s="314">
        <f t="shared" si="521"/>
        <v>1137805.3840966881</v>
      </c>
      <c r="DJ102" s="314">
        <f t="shared" si="521"/>
        <v>1920826</v>
      </c>
      <c r="DK102" s="314">
        <f t="shared" si="521"/>
        <v>2801780.6534043886</v>
      </c>
      <c r="DL102" s="314">
        <f t="shared" si="521"/>
        <v>4094296.2218004535</v>
      </c>
      <c r="DM102" s="314">
        <f t="shared" si="521"/>
        <v>1966503.0838138557</v>
      </c>
      <c r="DN102" s="314">
        <f t="shared" si="521"/>
        <v>3689667</v>
      </c>
      <c r="DO102" s="314">
        <f t="shared" si="521"/>
        <v>1402300.3922101089</v>
      </c>
      <c r="DP102" s="314">
        <f t="shared" si="521"/>
        <v>4045363.78</v>
      </c>
      <c r="DQ102" s="314">
        <f t="shared" si="521"/>
        <v>4013645</v>
      </c>
      <c r="DR102" s="314">
        <f t="shared" si="521"/>
        <v>4423025</v>
      </c>
      <c r="DS102" s="314">
        <f t="shared" si="521"/>
        <v>878000</v>
      </c>
      <c r="DT102" s="314">
        <f t="shared" si="521"/>
        <v>3379864.0513730422</v>
      </c>
      <c r="DU102" s="314">
        <f t="shared" si="521"/>
        <v>2119508.9633388799</v>
      </c>
      <c r="DV102" s="314">
        <f t="shared" si="521"/>
        <v>4423333</v>
      </c>
      <c r="DW102" s="314">
        <f t="shared" si="521"/>
        <v>1463011.5734570101</v>
      </c>
      <c r="DX102" s="314">
        <f t="shared" si="521"/>
        <v>4464719.1541079516</v>
      </c>
      <c r="DY102" s="314">
        <f t="shared" si="521"/>
        <v>4581142.7504826486</v>
      </c>
      <c r="DZ102" s="314">
        <f t="shared" si="521"/>
        <v>723925.6888148766</v>
      </c>
      <c r="EA102" s="314">
        <f t="shared" si="521"/>
        <v>3910500</v>
      </c>
      <c r="EB102" s="314">
        <f t="shared" si="521"/>
        <v>5751412.8583436497</v>
      </c>
      <c r="EC102" s="314">
        <f t="shared" ref="EC102:GN102" si="522">EC47+EC48+EC94</f>
        <v>3507637.7512384658</v>
      </c>
      <c r="ED102" s="314">
        <f t="shared" si="522"/>
        <v>3789855.4215401057</v>
      </c>
      <c r="EE102" s="314">
        <f t="shared" si="522"/>
        <v>610000</v>
      </c>
      <c r="EF102" s="314">
        <f t="shared" si="522"/>
        <v>666000</v>
      </c>
      <c r="EG102" s="314">
        <f t="shared" si="522"/>
        <v>425000</v>
      </c>
      <c r="EH102" s="314">
        <f t="shared" si="522"/>
        <v>595000</v>
      </c>
      <c r="EI102" s="314">
        <f t="shared" si="522"/>
        <v>1025000</v>
      </c>
      <c r="EJ102" s="314">
        <f t="shared" si="522"/>
        <v>1254497.1182819521</v>
      </c>
      <c r="EK102" s="314">
        <f t="shared" si="522"/>
        <v>3932042</v>
      </c>
      <c r="EL102" s="314">
        <f t="shared" si="522"/>
        <v>8896075.9201217424</v>
      </c>
      <c r="EM102" s="314">
        <f t="shared" si="522"/>
        <v>2817690.3194428757</v>
      </c>
      <c r="EN102" s="314">
        <f t="shared" si="522"/>
        <v>2526602</v>
      </c>
      <c r="EO102" s="314">
        <f t="shared" si="522"/>
        <v>326536.14681555587</v>
      </c>
      <c r="EP102" s="314">
        <f t="shared" si="522"/>
        <v>2970065</v>
      </c>
      <c r="EQ102" s="314">
        <f t="shared" si="522"/>
        <v>2318152.5044244276</v>
      </c>
      <c r="ER102" s="314">
        <f t="shared" si="522"/>
        <v>6229000</v>
      </c>
      <c r="ES102" s="314">
        <f t="shared" si="522"/>
        <v>2889369.4473401564</v>
      </c>
      <c r="ET102" s="314">
        <f t="shared" si="522"/>
        <v>901340</v>
      </c>
      <c r="EU102" s="314">
        <f t="shared" si="522"/>
        <v>2056000</v>
      </c>
      <c r="EV102" s="314">
        <f t="shared" si="522"/>
        <v>443085.98782481399</v>
      </c>
      <c r="EW102" s="314">
        <f t="shared" si="522"/>
        <v>2505057.7705038232</v>
      </c>
      <c r="EX102" s="314">
        <f t="shared" si="522"/>
        <v>5574308.9853405347</v>
      </c>
      <c r="EY102" s="314">
        <f t="shared" si="522"/>
        <v>2059165.8751551495</v>
      </c>
      <c r="EZ102" s="314">
        <f t="shared" si="522"/>
        <v>0</v>
      </c>
      <c r="FA102" s="314">
        <f t="shared" si="522"/>
        <v>990000</v>
      </c>
      <c r="FB102" s="314">
        <f t="shared" si="522"/>
        <v>177814.53304874955</v>
      </c>
      <c r="FC102" s="314">
        <f t="shared" si="522"/>
        <v>3042203.9813623684</v>
      </c>
      <c r="FD102" s="314">
        <f t="shared" si="522"/>
        <v>1059104.6825002881</v>
      </c>
      <c r="FE102" s="314">
        <f t="shared" si="522"/>
        <v>343252.91334718862</v>
      </c>
      <c r="FF102" s="314">
        <f t="shared" si="522"/>
        <v>1441591.96</v>
      </c>
      <c r="FG102" s="314">
        <f t="shared" si="522"/>
        <v>5703200</v>
      </c>
      <c r="FH102" s="314">
        <f t="shared" si="522"/>
        <v>5790606.0491879787</v>
      </c>
      <c r="FI102" s="314">
        <f t="shared" si="522"/>
        <v>7582387.4650456514</v>
      </c>
      <c r="FJ102" s="314">
        <f t="shared" si="522"/>
        <v>1854520.9697589942</v>
      </c>
      <c r="FK102" s="314">
        <f t="shared" si="522"/>
        <v>117156.2027371416</v>
      </c>
      <c r="FL102" s="314">
        <f t="shared" si="522"/>
        <v>289530.78772289003</v>
      </c>
      <c r="FM102" s="314">
        <f t="shared" si="522"/>
        <v>943015.1290333569</v>
      </c>
      <c r="FN102" s="314">
        <f t="shared" si="522"/>
        <v>7003025.5498415343</v>
      </c>
      <c r="FO102" s="314">
        <f t="shared" si="522"/>
        <v>1654621.1373999999</v>
      </c>
      <c r="FP102" s="314">
        <f t="shared" si="522"/>
        <v>12351204.308851836</v>
      </c>
      <c r="FQ102" s="314">
        <f t="shared" si="522"/>
        <v>1972278.2238</v>
      </c>
      <c r="FR102" s="314">
        <f t="shared" si="522"/>
        <v>2898098.2380630779</v>
      </c>
      <c r="FS102" s="314">
        <f t="shared" si="522"/>
        <v>464007.95</v>
      </c>
      <c r="FT102" s="314">
        <f t="shared" si="522"/>
        <v>3255891.8040901599</v>
      </c>
      <c r="FU102" s="314">
        <f t="shared" si="522"/>
        <v>465828.80444292724</v>
      </c>
      <c r="FV102" s="314">
        <f t="shared" si="522"/>
        <v>559247.1692367394</v>
      </c>
      <c r="FW102" s="314">
        <f t="shared" si="522"/>
        <v>937680.03042577044</v>
      </c>
      <c r="FX102" s="314">
        <f t="shared" si="522"/>
        <v>384533.50336206751</v>
      </c>
      <c r="FY102" s="314">
        <f t="shared" si="522"/>
        <v>200000</v>
      </c>
      <c r="FZ102" s="314">
        <f t="shared" si="522"/>
        <v>2571154.0852688877</v>
      </c>
      <c r="GA102" s="314">
        <f t="shared" si="522"/>
        <v>235086.12772381899</v>
      </c>
      <c r="GB102" s="314">
        <f t="shared" si="522"/>
        <v>2245960.1198871755</v>
      </c>
      <c r="GC102" s="314">
        <f t="shared" si="522"/>
        <v>2171084.1398516875</v>
      </c>
      <c r="GD102" s="314">
        <f t="shared" si="522"/>
        <v>7928941.2458636481</v>
      </c>
      <c r="GE102" s="314">
        <f t="shared" si="522"/>
        <v>1385331</v>
      </c>
      <c r="GF102" s="314">
        <f t="shared" si="522"/>
        <v>3881575.8495693267</v>
      </c>
      <c r="GG102" s="314">
        <f t="shared" si="522"/>
        <v>1157418.4633801784</v>
      </c>
      <c r="GH102" s="314">
        <f t="shared" si="522"/>
        <v>1054717</v>
      </c>
      <c r="GI102" s="314">
        <f t="shared" si="522"/>
        <v>7754404.1747833164</v>
      </c>
      <c r="GJ102" s="314">
        <f t="shared" si="522"/>
        <v>1839200.3392906617</v>
      </c>
      <c r="GK102" s="314">
        <f t="shared" si="522"/>
        <v>1100000</v>
      </c>
      <c r="GL102" s="314">
        <f t="shared" si="522"/>
        <v>469954.02825609827</v>
      </c>
      <c r="GM102" s="314">
        <f t="shared" si="522"/>
        <v>692537.52275552833</v>
      </c>
      <c r="GN102" s="314">
        <f t="shared" si="522"/>
        <v>788769.06011215365</v>
      </c>
      <c r="GO102" s="314">
        <f t="shared" ref="GO102:IZ102" si="523">GO47+GO48+GO94</f>
        <v>4468795.486137961</v>
      </c>
      <c r="GP102" s="314">
        <f t="shared" si="523"/>
        <v>484458.62365770375</v>
      </c>
      <c r="GQ102" s="314">
        <f t="shared" si="523"/>
        <v>309592.78871686111</v>
      </c>
      <c r="GR102" s="314">
        <f t="shared" si="523"/>
        <v>610000</v>
      </c>
      <c r="GS102" s="314">
        <f t="shared" si="523"/>
        <v>0</v>
      </c>
      <c r="GT102" s="314">
        <f t="shared" si="523"/>
        <v>8684791.9089435674</v>
      </c>
      <c r="GU102" s="314">
        <f t="shared" si="523"/>
        <v>807440</v>
      </c>
      <c r="GV102" s="314">
        <f t="shared" si="523"/>
        <v>5000000</v>
      </c>
      <c r="GW102" s="314">
        <f t="shared" si="523"/>
        <v>941724.88907427166</v>
      </c>
      <c r="GX102" s="314">
        <f t="shared" si="523"/>
        <v>150000</v>
      </c>
      <c r="GY102" s="314">
        <f t="shared" si="523"/>
        <v>11169700.678891907</v>
      </c>
      <c r="GZ102" s="314">
        <f t="shared" si="523"/>
        <v>3222820.7912944802</v>
      </c>
      <c r="HA102" s="314">
        <f t="shared" si="523"/>
        <v>5200000</v>
      </c>
      <c r="HB102" s="314">
        <f t="shared" si="523"/>
        <v>2241824.8575916188</v>
      </c>
      <c r="HC102" s="314">
        <f t="shared" si="523"/>
        <v>5534657.4581430918</v>
      </c>
      <c r="HD102" s="314">
        <f t="shared" si="523"/>
        <v>1908552.7255373849</v>
      </c>
      <c r="HE102" s="314">
        <f t="shared" si="523"/>
        <v>4945200</v>
      </c>
      <c r="HF102" s="314">
        <f t="shared" si="523"/>
        <v>780918.93476073246</v>
      </c>
      <c r="HG102" s="314">
        <f t="shared" si="523"/>
        <v>483764.13760522264</v>
      </c>
      <c r="HH102" s="314">
        <f t="shared" si="523"/>
        <v>1870575.3205709462</v>
      </c>
      <c r="HI102" s="314">
        <f t="shared" si="523"/>
        <v>1243943.1770259617</v>
      </c>
      <c r="HJ102" s="314">
        <f t="shared" si="523"/>
        <v>997908.83102156827</v>
      </c>
      <c r="HK102" s="314">
        <f t="shared" si="523"/>
        <v>0</v>
      </c>
      <c r="HL102" s="314">
        <f t="shared" si="523"/>
        <v>40194913.469959036</v>
      </c>
      <c r="HM102" s="314">
        <f t="shared" si="523"/>
        <v>23179511.828336213</v>
      </c>
      <c r="HN102" s="314">
        <f t="shared" si="523"/>
        <v>992757.48207886913</v>
      </c>
      <c r="HO102" s="314">
        <f t="shared" si="523"/>
        <v>2847160.6666890793</v>
      </c>
      <c r="HP102" s="314">
        <f t="shared" si="523"/>
        <v>30724823.606855139</v>
      </c>
      <c r="HQ102" s="314">
        <f t="shared" si="523"/>
        <v>984339.39171123505</v>
      </c>
      <c r="HR102" s="314">
        <f t="shared" si="523"/>
        <v>33986857.865945354</v>
      </c>
      <c r="HS102" s="314">
        <f t="shared" si="523"/>
        <v>6625630.7058829395</v>
      </c>
      <c r="HT102" s="314">
        <f t="shared" si="523"/>
        <v>17252623.898769125</v>
      </c>
      <c r="HU102" s="314">
        <f t="shared" si="523"/>
        <v>25416268.865375917</v>
      </c>
      <c r="HV102" s="314">
        <f t="shared" si="523"/>
        <v>19685843.434960146</v>
      </c>
      <c r="HW102" s="314">
        <f t="shared" si="523"/>
        <v>5153483.8909314871</v>
      </c>
      <c r="HX102" s="314">
        <f t="shared" si="523"/>
        <v>23763410.527568989</v>
      </c>
      <c r="HY102" s="314">
        <f t="shared" si="523"/>
        <v>18800898.933541737</v>
      </c>
      <c r="HZ102" s="314">
        <f t="shared" si="523"/>
        <v>10056372.755561791</v>
      </c>
      <c r="IA102" s="314">
        <f t="shared" si="523"/>
        <v>9124282.1572564524</v>
      </c>
      <c r="IB102" s="314">
        <f t="shared" si="523"/>
        <v>9002921.4005923644</v>
      </c>
      <c r="IC102" s="314">
        <f t="shared" si="523"/>
        <v>13188975.967640907</v>
      </c>
      <c r="ID102" s="314">
        <f t="shared" si="523"/>
        <v>10838555.78578015</v>
      </c>
      <c r="IE102" s="314">
        <f t="shared" si="523"/>
        <v>18501882.501584478</v>
      </c>
      <c r="IF102" s="314">
        <f t="shared" si="523"/>
        <v>15798139.494370975</v>
      </c>
      <c r="IG102" s="314">
        <f t="shared" si="523"/>
        <v>4899974.1174169816</v>
      </c>
      <c r="IH102" s="314">
        <f t="shared" si="523"/>
        <v>3748954.0179515136</v>
      </c>
      <c r="II102" s="314">
        <f t="shared" si="523"/>
        <v>18431864.274401046</v>
      </c>
      <c r="IJ102" s="314">
        <f t="shared" si="523"/>
        <v>2081556.2316498561</v>
      </c>
      <c r="IK102" s="314">
        <f t="shared" si="523"/>
        <v>3590263.7456418383</v>
      </c>
      <c r="IL102" s="314">
        <f t="shared" si="523"/>
        <v>9450687.431639405</v>
      </c>
      <c r="IM102" s="314">
        <f t="shared" si="523"/>
        <v>549757.96540680365</v>
      </c>
      <c r="IN102" s="314">
        <f t="shared" si="523"/>
        <v>10084091.119424405</v>
      </c>
      <c r="IO102" s="314">
        <f t="shared" si="523"/>
        <v>3877767.6665580729</v>
      </c>
      <c r="IP102" s="314">
        <f t="shared" si="523"/>
        <v>20872576.006466873</v>
      </c>
      <c r="IQ102" s="314">
        <f t="shared" si="523"/>
        <v>20849123.774611518</v>
      </c>
      <c r="IR102" s="314">
        <f t="shared" si="523"/>
        <v>1016506.2771929334</v>
      </c>
      <c r="IS102" s="314">
        <f t="shared" si="523"/>
        <v>50885860.347063713</v>
      </c>
      <c r="IT102" s="314">
        <f t="shared" si="523"/>
        <v>13194837.610194042</v>
      </c>
      <c r="IU102" s="314">
        <f t="shared" si="523"/>
        <v>3496167.4829847012</v>
      </c>
      <c r="IV102" s="314">
        <f t="shared" si="523"/>
        <v>8125318.8093115278</v>
      </c>
      <c r="IW102" s="314">
        <f t="shared" si="523"/>
        <v>12947999.695999734</v>
      </c>
      <c r="IX102" s="314">
        <f t="shared" si="523"/>
        <v>2048641.0297688055</v>
      </c>
      <c r="IY102" s="314">
        <f t="shared" si="523"/>
        <v>10529509.927162535</v>
      </c>
      <c r="IZ102" s="314">
        <f t="shared" si="523"/>
        <v>23304689.707886603</v>
      </c>
      <c r="JA102" s="314">
        <f t="shared" ref="JA102:JH102" si="524">JA47+JA48+JA94</f>
        <v>2860556.8494729782</v>
      </c>
      <c r="JB102" s="314">
        <f t="shared" si="524"/>
        <v>3168174.04</v>
      </c>
      <c r="JC102" s="314">
        <f t="shared" si="524"/>
        <v>1988199.0874007065</v>
      </c>
      <c r="JD102" s="314">
        <f t="shared" si="524"/>
        <v>3876588.7</v>
      </c>
      <c r="JE102" s="314">
        <f t="shared" si="524"/>
        <v>810305</v>
      </c>
      <c r="JF102" s="314">
        <f t="shared" si="524"/>
        <v>37615020.095817842</v>
      </c>
      <c r="JG102" s="314">
        <f t="shared" si="524"/>
        <v>28479929.297806501</v>
      </c>
      <c r="JH102" s="314">
        <f t="shared" si="524"/>
        <v>1365469.2835178464</v>
      </c>
      <c r="JL102" s="307">
        <f t="shared" si="517"/>
        <v>24913606.964635424</v>
      </c>
      <c r="JM102" s="307">
        <f t="shared" si="517"/>
        <v>414394382.58426923</v>
      </c>
      <c r="JN102" s="307">
        <f t="shared" si="517"/>
        <v>171352563.77779883</v>
      </c>
      <c r="JO102" s="307">
        <f t="shared" si="517"/>
        <v>640270044.22414124</v>
      </c>
      <c r="JP102" s="307">
        <f t="shared" si="518"/>
        <v>1250930597.5508447</v>
      </c>
    </row>
    <row r="103" spans="1:276" x14ac:dyDescent="0.25">
      <c r="B103" s="313" t="s">
        <v>2579</v>
      </c>
      <c r="C103" s="314">
        <f>C102-C101</f>
        <v>1235422.5558247231</v>
      </c>
      <c r="D103" s="314">
        <f t="shared" ref="D103:BP103" si="525">D102-D101</f>
        <v>1406900</v>
      </c>
      <c r="E103" s="314">
        <f t="shared" si="525"/>
        <v>102779.40881070029</v>
      </c>
      <c r="F103" s="314">
        <f t="shared" si="525"/>
        <v>132284.70883535733</v>
      </c>
      <c r="G103" s="314">
        <f t="shared" si="525"/>
        <v>1429653.1272905953</v>
      </c>
      <c r="H103" s="314">
        <f t="shared" si="525"/>
        <v>65710.416111308965</v>
      </c>
      <c r="I103" s="314">
        <f t="shared" si="525"/>
        <v>941977.47419521306</v>
      </c>
      <c r="J103" s="314">
        <f t="shared" si="525"/>
        <v>212155.78442021785</v>
      </c>
      <c r="K103" s="314">
        <f t="shared" si="525"/>
        <v>618538</v>
      </c>
      <c r="L103" s="314">
        <f t="shared" si="525"/>
        <v>0</v>
      </c>
      <c r="M103" s="314">
        <f t="shared" si="525"/>
        <v>30486.238895765971</v>
      </c>
      <c r="N103" s="314">
        <f t="shared" si="525"/>
        <v>115828.6030266704</v>
      </c>
      <c r="O103" s="314">
        <f t="shared" si="525"/>
        <v>191212</v>
      </c>
      <c r="P103" s="314">
        <f t="shared" si="525"/>
        <v>225010.00218168925</v>
      </c>
      <c r="Q103" s="314">
        <f t="shared" si="525"/>
        <v>371221.47910101549</v>
      </c>
      <c r="R103" s="314">
        <f t="shared" si="525"/>
        <v>-33718.100000000093</v>
      </c>
      <c r="S103" s="314">
        <f t="shared" si="525"/>
        <v>0</v>
      </c>
      <c r="T103" s="314">
        <f t="shared" si="525"/>
        <v>31437.510778153781</v>
      </c>
      <c r="U103" s="314">
        <f t="shared" si="525"/>
        <v>-11704</v>
      </c>
      <c r="V103" s="314">
        <f t="shared" si="525"/>
        <v>0</v>
      </c>
      <c r="W103" s="314">
        <f t="shared" si="525"/>
        <v>305000</v>
      </c>
      <c r="X103" s="314">
        <f t="shared" si="525"/>
        <v>994445.80950857792</v>
      </c>
      <c r="Y103" s="314">
        <f t="shared" si="525"/>
        <v>12890</v>
      </c>
      <c r="Z103" s="314">
        <f t="shared" si="525"/>
        <v>379924</v>
      </c>
      <c r="AA103" s="314">
        <f t="shared" si="525"/>
        <v>394885.44902487379</v>
      </c>
      <c r="AB103" s="314">
        <f t="shared" si="525"/>
        <v>630190.70572241349</v>
      </c>
      <c r="AC103" s="314">
        <f t="shared" ref="AC103" si="526">AC102-AC101</f>
        <v>-1526341.6880516675</v>
      </c>
      <c r="AD103" s="314">
        <f t="shared" si="525"/>
        <v>744989.12062356528</v>
      </c>
      <c r="AE103" s="314">
        <f t="shared" si="525"/>
        <v>76840.525898943888</v>
      </c>
      <c r="AF103" s="314">
        <f t="shared" si="525"/>
        <v>1219244.9295379585</v>
      </c>
      <c r="AG103" s="314">
        <f t="shared" si="525"/>
        <v>125060.75486989692</v>
      </c>
      <c r="AH103" s="314">
        <f t="shared" si="525"/>
        <v>-7266</v>
      </c>
      <c r="AI103" s="314">
        <f t="shared" si="525"/>
        <v>510300</v>
      </c>
      <c r="AJ103" s="314">
        <f t="shared" si="525"/>
        <v>134700</v>
      </c>
      <c r="AK103" s="314">
        <f t="shared" si="525"/>
        <v>53995</v>
      </c>
      <c r="AL103" s="314">
        <f t="shared" si="525"/>
        <v>92493.163351077586</v>
      </c>
      <c r="AM103" s="314">
        <f t="shared" si="525"/>
        <v>125216.37263412308</v>
      </c>
      <c r="AN103" s="314">
        <f t="shared" si="525"/>
        <v>121055.19849877898</v>
      </c>
      <c r="AO103" s="314">
        <f t="shared" si="525"/>
        <v>1174727.5596356187</v>
      </c>
      <c r="AP103" s="314">
        <f t="shared" si="525"/>
        <v>-135009.8837703988</v>
      </c>
      <c r="AQ103" s="314">
        <f t="shared" si="525"/>
        <v>163062</v>
      </c>
      <c r="AR103" s="314">
        <f t="shared" si="525"/>
        <v>401149.39925084589</v>
      </c>
      <c r="AS103" s="314">
        <f t="shared" si="525"/>
        <v>44681.220223333861</v>
      </c>
      <c r="AT103" s="314">
        <f t="shared" si="525"/>
        <v>322367.43236834183</v>
      </c>
      <c r="AU103" s="314">
        <f t="shared" si="525"/>
        <v>97944.93946642126</v>
      </c>
      <c r="AV103" s="314">
        <f t="shared" si="525"/>
        <v>137042.67729522614</v>
      </c>
      <c r="AW103" s="314">
        <f t="shared" si="525"/>
        <v>288647.55504343286</v>
      </c>
      <c r="AX103" s="314">
        <f t="shared" si="525"/>
        <v>270115.31108075101</v>
      </c>
      <c r="AY103" s="314">
        <f t="shared" si="525"/>
        <v>208738.54065689072</v>
      </c>
      <c r="AZ103" s="314">
        <f t="shared" si="525"/>
        <v>49765</v>
      </c>
      <c r="BA103" s="314">
        <f t="shared" si="525"/>
        <v>1814732</v>
      </c>
      <c r="BB103" s="314">
        <f t="shared" si="525"/>
        <v>292796</v>
      </c>
      <c r="BC103" s="314">
        <f t="shared" si="525"/>
        <v>214997.49380253232</v>
      </c>
      <c r="BD103" s="314">
        <f t="shared" si="525"/>
        <v>638438.33257854311</v>
      </c>
      <c r="BE103" s="314">
        <f t="shared" si="525"/>
        <v>86784.356650778558</v>
      </c>
      <c r="BF103" s="314">
        <f t="shared" si="525"/>
        <v>131040</v>
      </c>
      <c r="BG103" s="314">
        <f t="shared" si="525"/>
        <v>154784</v>
      </c>
      <c r="BH103" s="314">
        <f t="shared" si="525"/>
        <v>257932</v>
      </c>
      <c r="BI103" s="314">
        <f t="shared" si="525"/>
        <v>-198100</v>
      </c>
      <c r="BJ103" s="314">
        <f t="shared" si="525"/>
        <v>81837.853564726654</v>
      </c>
      <c r="BK103" s="314">
        <f t="shared" si="525"/>
        <v>136000</v>
      </c>
      <c r="BL103" s="314">
        <f t="shared" si="525"/>
        <v>455138.49500087276</v>
      </c>
      <c r="BM103" s="314">
        <f t="shared" si="525"/>
        <v>849726</v>
      </c>
      <c r="BN103" s="314">
        <f t="shared" si="525"/>
        <v>75101.993153743446</v>
      </c>
      <c r="BO103" s="314">
        <f t="shared" si="525"/>
        <v>289269.65247524576</v>
      </c>
      <c r="BP103" s="314">
        <f t="shared" si="525"/>
        <v>732773</v>
      </c>
      <c r="BQ103" s="314">
        <f t="shared" ref="BQ103:EB103" si="527">BQ102-BQ101</f>
        <v>98361.621271296288</v>
      </c>
      <c r="BR103" s="314">
        <f t="shared" si="527"/>
        <v>138681</v>
      </c>
      <c r="BS103" s="314">
        <f t="shared" si="527"/>
        <v>12382.298967874143</v>
      </c>
      <c r="BT103" s="314">
        <f t="shared" si="527"/>
        <v>54060.266167230671</v>
      </c>
      <c r="BU103" s="314">
        <f t="shared" si="527"/>
        <v>0</v>
      </c>
      <c r="BV103" s="314">
        <f t="shared" si="527"/>
        <v>588998.0353182531</v>
      </c>
      <c r="BW103" s="314">
        <f t="shared" si="527"/>
        <v>0</v>
      </c>
      <c r="BX103" s="314">
        <f t="shared" si="527"/>
        <v>653636.19106335379</v>
      </c>
      <c r="BY103" s="314">
        <f t="shared" si="527"/>
        <v>0</v>
      </c>
      <c r="BZ103" s="314">
        <f t="shared" si="527"/>
        <v>0</v>
      </c>
      <c r="CA103" s="314">
        <f t="shared" si="527"/>
        <v>0</v>
      </c>
      <c r="CB103" s="314">
        <f t="shared" si="527"/>
        <v>39256.101421467261</v>
      </c>
      <c r="CC103" s="314">
        <f t="shared" si="527"/>
        <v>117637.66254166374</v>
      </c>
      <c r="CD103" s="314">
        <f t="shared" si="527"/>
        <v>14512.216855739709</v>
      </c>
      <c r="CE103" s="314">
        <f t="shared" si="527"/>
        <v>1446195.1253167707</v>
      </c>
      <c r="CF103" s="314">
        <f t="shared" si="527"/>
        <v>127617.8393289512</v>
      </c>
      <c r="CG103" s="314">
        <f t="shared" si="527"/>
        <v>544095.49607044645</v>
      </c>
      <c r="CH103" s="314">
        <f t="shared" si="527"/>
        <v>305133.07924963161</v>
      </c>
      <c r="CI103" s="314">
        <f t="shared" si="527"/>
        <v>436085.96719942894</v>
      </c>
      <c r="CJ103" s="314">
        <f t="shared" si="527"/>
        <v>394665.0818283353</v>
      </c>
      <c r="CK103" s="314">
        <f t="shared" si="527"/>
        <v>365377</v>
      </c>
      <c r="CL103" s="314">
        <f t="shared" si="527"/>
        <v>226829.74855449842</v>
      </c>
      <c r="CM103" s="314">
        <f t="shared" si="527"/>
        <v>691676.43998631369</v>
      </c>
      <c r="CN103" s="314">
        <f t="shared" si="527"/>
        <v>59434.772719491506</v>
      </c>
      <c r="CO103" s="314">
        <f t="shared" si="527"/>
        <v>0</v>
      </c>
      <c r="CP103" s="314">
        <f t="shared" si="527"/>
        <v>30382.256800304167</v>
      </c>
      <c r="CQ103" s="314">
        <f t="shared" si="527"/>
        <v>908770.573718125</v>
      </c>
      <c r="CR103" s="314">
        <f t="shared" si="527"/>
        <v>714294</v>
      </c>
      <c r="CS103" s="314">
        <f t="shared" si="527"/>
        <v>3589793.26</v>
      </c>
      <c r="CT103" s="314">
        <f t="shared" si="527"/>
        <v>859679.81036627945</v>
      </c>
      <c r="CU103" s="314">
        <f t="shared" si="527"/>
        <v>474500</v>
      </c>
      <c r="CV103" s="314">
        <f t="shared" si="527"/>
        <v>613490.98592103273</v>
      </c>
      <c r="CW103" s="314">
        <f t="shared" si="527"/>
        <v>128599</v>
      </c>
      <c r="CX103" s="314">
        <f t="shared" si="527"/>
        <v>329000</v>
      </c>
      <c r="CY103" s="314">
        <f t="shared" si="527"/>
        <v>132129.28390120855</v>
      </c>
      <c r="CZ103" s="314">
        <f t="shared" si="527"/>
        <v>368000</v>
      </c>
      <c r="DA103" s="314">
        <f t="shared" si="527"/>
        <v>2069140</v>
      </c>
      <c r="DB103" s="314">
        <f t="shared" si="527"/>
        <v>95480</v>
      </c>
      <c r="DC103" s="314">
        <f t="shared" si="527"/>
        <v>328714.46353825252</v>
      </c>
      <c r="DD103" s="314">
        <f t="shared" si="527"/>
        <v>1118856.6959123211</v>
      </c>
      <c r="DE103" s="314">
        <f t="shared" si="527"/>
        <v>429390.87138624676</v>
      </c>
      <c r="DF103" s="314">
        <f t="shared" si="527"/>
        <v>-556092</v>
      </c>
      <c r="DG103" s="314">
        <f t="shared" si="527"/>
        <v>197198.16515118408</v>
      </c>
      <c r="DH103" s="314">
        <f t="shared" si="527"/>
        <v>830973.43433351256</v>
      </c>
      <c r="DI103" s="314">
        <f t="shared" si="527"/>
        <v>43865.384096688125</v>
      </c>
      <c r="DJ103" s="314">
        <f t="shared" si="527"/>
        <v>103868</v>
      </c>
      <c r="DK103" s="314">
        <f t="shared" si="527"/>
        <v>1891309.6534043886</v>
      </c>
      <c r="DL103" s="314">
        <f t="shared" si="527"/>
        <v>277072.2218004535</v>
      </c>
      <c r="DM103" s="314">
        <f t="shared" si="527"/>
        <v>232155.08381385566</v>
      </c>
      <c r="DN103" s="314">
        <f t="shared" si="527"/>
        <v>708902</v>
      </c>
      <c r="DO103" s="314">
        <f t="shared" si="527"/>
        <v>4525.3922101089265</v>
      </c>
      <c r="DP103" s="314">
        <f t="shared" si="527"/>
        <v>0</v>
      </c>
      <c r="DQ103" s="314">
        <f t="shared" si="527"/>
        <v>105793</v>
      </c>
      <c r="DR103" s="314">
        <f t="shared" si="527"/>
        <v>-54351</v>
      </c>
      <c r="DS103" s="314">
        <f t="shared" si="527"/>
        <v>547000</v>
      </c>
      <c r="DT103" s="314">
        <f t="shared" si="527"/>
        <v>473573.05137304217</v>
      </c>
      <c r="DU103" s="314">
        <f t="shared" si="527"/>
        <v>18908.963338879868</v>
      </c>
      <c r="DV103" s="314">
        <f t="shared" si="527"/>
        <v>1277856</v>
      </c>
      <c r="DW103" s="314">
        <f t="shared" si="527"/>
        <v>251601.57345701009</v>
      </c>
      <c r="DX103" s="314">
        <f t="shared" si="527"/>
        <v>433801.15410795156</v>
      </c>
      <c r="DY103" s="314">
        <f t="shared" si="527"/>
        <v>825992.75048264861</v>
      </c>
      <c r="DZ103" s="314">
        <f t="shared" si="527"/>
        <v>7625.6888148766011</v>
      </c>
      <c r="EA103" s="314">
        <f t="shared" si="527"/>
        <v>15312</v>
      </c>
      <c r="EB103" s="314">
        <f t="shared" si="527"/>
        <v>1868722.8583436497</v>
      </c>
      <c r="EC103" s="314">
        <f t="shared" ref="EC103:GN103" si="528">EC102-EC101</f>
        <v>162383.75123846577</v>
      </c>
      <c r="ED103" s="314">
        <f t="shared" si="528"/>
        <v>317047.42154010572</v>
      </c>
      <c r="EE103" s="314">
        <f t="shared" si="528"/>
        <v>46376</v>
      </c>
      <c r="EF103" s="314">
        <f t="shared" si="528"/>
        <v>-3087.5899999999674</v>
      </c>
      <c r="EG103" s="314">
        <f t="shared" si="528"/>
        <v>-2828.9899999999907</v>
      </c>
      <c r="EH103" s="314">
        <f t="shared" si="528"/>
        <v>35330</v>
      </c>
      <c r="EI103" s="314">
        <f t="shared" si="528"/>
        <v>114247</v>
      </c>
      <c r="EJ103" s="314">
        <f t="shared" si="528"/>
        <v>220123.11828195211</v>
      </c>
      <c r="EK103" s="314">
        <f t="shared" si="528"/>
        <v>0</v>
      </c>
      <c r="EL103" s="314">
        <f t="shared" si="528"/>
        <v>272049.92012174241</v>
      </c>
      <c r="EM103" s="314">
        <f t="shared" si="528"/>
        <v>118882.31944287568</v>
      </c>
      <c r="EN103" s="314">
        <f t="shared" si="528"/>
        <v>132129</v>
      </c>
      <c r="EO103" s="314">
        <f t="shared" si="528"/>
        <v>90118.146815555869</v>
      </c>
      <c r="EP103" s="314">
        <f t="shared" si="528"/>
        <v>798942</v>
      </c>
      <c r="EQ103" s="314">
        <f t="shared" si="528"/>
        <v>474030.50442442764</v>
      </c>
      <c r="ER103" s="314">
        <f t="shared" si="528"/>
        <v>977132</v>
      </c>
      <c r="ES103" s="314">
        <f t="shared" si="528"/>
        <v>118809.44734015642</v>
      </c>
      <c r="ET103" s="314">
        <f t="shared" si="528"/>
        <v>901340</v>
      </c>
      <c r="EU103" s="314">
        <f t="shared" si="528"/>
        <v>1252000</v>
      </c>
      <c r="EV103" s="314">
        <f t="shared" si="528"/>
        <v>217550.98782481399</v>
      </c>
      <c r="EW103" s="314">
        <f t="shared" si="528"/>
        <v>148744.77050382318</v>
      </c>
      <c r="EX103" s="314">
        <f t="shared" si="528"/>
        <v>170018.98534053471</v>
      </c>
      <c r="EY103" s="314">
        <f t="shared" si="528"/>
        <v>14320.875155149493</v>
      </c>
      <c r="EZ103" s="314">
        <f t="shared" si="528"/>
        <v>-111326</v>
      </c>
      <c r="FA103" s="314">
        <f t="shared" si="528"/>
        <v>196308</v>
      </c>
      <c r="FB103" s="314">
        <f t="shared" si="528"/>
        <v>38053.533048749552</v>
      </c>
      <c r="FC103" s="314">
        <f t="shared" si="528"/>
        <v>42203.981362368446</v>
      </c>
      <c r="FD103" s="314">
        <f t="shared" si="528"/>
        <v>286643.68250028812</v>
      </c>
      <c r="FE103" s="314">
        <f t="shared" si="528"/>
        <v>80752.913347188616</v>
      </c>
      <c r="FF103" s="314">
        <f t="shared" si="528"/>
        <v>324471.95999999996</v>
      </c>
      <c r="FG103" s="314">
        <f t="shared" si="528"/>
        <v>1019550</v>
      </c>
      <c r="FH103" s="314">
        <f t="shared" si="528"/>
        <v>271026.04918797873</v>
      </c>
      <c r="FI103" s="314">
        <f t="shared" si="528"/>
        <v>2013900.4650456514</v>
      </c>
      <c r="FJ103" s="314">
        <f t="shared" si="528"/>
        <v>275474.96975899418</v>
      </c>
      <c r="FK103" s="314">
        <f t="shared" si="528"/>
        <v>-164695.7972628584</v>
      </c>
      <c r="FL103" s="314">
        <f t="shared" si="528"/>
        <v>-312231.21227710997</v>
      </c>
      <c r="FM103" s="314">
        <f t="shared" si="528"/>
        <v>-1683387.8709666431</v>
      </c>
      <c r="FN103" s="314">
        <f t="shared" si="528"/>
        <v>543645.54984153435</v>
      </c>
      <c r="FO103" s="314">
        <f t="shared" si="528"/>
        <v>-5035.8626000001095</v>
      </c>
      <c r="FP103" s="314">
        <f t="shared" si="528"/>
        <v>206752.30885183625</v>
      </c>
      <c r="FQ103" s="314">
        <f t="shared" si="528"/>
        <v>62855.223800000036</v>
      </c>
      <c r="FR103" s="314">
        <f t="shared" si="528"/>
        <v>2898098.2380630779</v>
      </c>
      <c r="FS103" s="314">
        <f t="shared" si="528"/>
        <v>-13562.049999999988</v>
      </c>
      <c r="FT103" s="314">
        <f t="shared" si="528"/>
        <v>307281.80409015995</v>
      </c>
      <c r="FU103" s="314">
        <f t="shared" si="528"/>
        <v>39281.804442927241</v>
      </c>
      <c r="FV103" s="314">
        <f t="shared" si="528"/>
        <v>173.16923673939891</v>
      </c>
      <c r="FW103" s="314">
        <f t="shared" si="528"/>
        <v>-76054.969574229559</v>
      </c>
      <c r="FX103" s="314">
        <f t="shared" si="528"/>
        <v>19607.503362067509</v>
      </c>
      <c r="FY103" s="314">
        <f t="shared" si="528"/>
        <v>-9591</v>
      </c>
      <c r="FZ103" s="314">
        <f t="shared" si="528"/>
        <v>-5055.9147311123088</v>
      </c>
      <c r="GA103" s="314">
        <f t="shared" si="528"/>
        <v>236.12772381899413</v>
      </c>
      <c r="GB103" s="314">
        <f t="shared" si="528"/>
        <v>494640.1198871755</v>
      </c>
      <c r="GC103" s="314">
        <f t="shared" si="528"/>
        <v>15555.139851687476</v>
      </c>
      <c r="GD103" s="314">
        <f t="shared" si="528"/>
        <v>806650.24586364813</v>
      </c>
      <c r="GE103" s="314">
        <f t="shared" si="528"/>
        <v>46266</v>
      </c>
      <c r="GF103" s="314">
        <f t="shared" si="528"/>
        <v>291018.84956932673</v>
      </c>
      <c r="GG103" s="314">
        <f t="shared" si="528"/>
        <v>-132562.53661982156</v>
      </c>
      <c r="GH103" s="314">
        <f t="shared" si="528"/>
        <v>-34865</v>
      </c>
      <c r="GI103" s="314">
        <f t="shared" si="528"/>
        <v>855487.17478331644</v>
      </c>
      <c r="GJ103" s="314">
        <f t="shared" si="528"/>
        <v>171699.33929066174</v>
      </c>
      <c r="GK103" s="314">
        <f t="shared" si="528"/>
        <v>433870</v>
      </c>
      <c r="GL103" s="314">
        <f t="shared" si="528"/>
        <v>-59341.971743901726</v>
      </c>
      <c r="GM103" s="314">
        <f t="shared" si="528"/>
        <v>-60702.477244471665</v>
      </c>
      <c r="GN103" s="314">
        <f t="shared" si="528"/>
        <v>185653.06011215365</v>
      </c>
      <c r="GO103" s="314">
        <f t="shared" ref="GO103:IZ103" si="529">GO102-GO101</f>
        <v>887246.48613796104</v>
      </c>
      <c r="GP103" s="314">
        <f t="shared" si="529"/>
        <v>-35811.376342296251</v>
      </c>
      <c r="GQ103" s="314">
        <f t="shared" si="529"/>
        <v>-430637.21128313889</v>
      </c>
      <c r="GR103" s="314">
        <f t="shared" si="529"/>
        <v>-83152</v>
      </c>
      <c r="GS103" s="314">
        <f t="shared" si="529"/>
        <v>-165886</v>
      </c>
      <c r="GT103" s="314">
        <f t="shared" si="529"/>
        <v>339289.90894356743</v>
      </c>
      <c r="GU103" s="314">
        <f t="shared" si="529"/>
        <v>45869</v>
      </c>
      <c r="GV103" s="314">
        <f t="shared" si="529"/>
        <v>40190</v>
      </c>
      <c r="GW103" s="314">
        <f t="shared" si="529"/>
        <v>-192141.11092572834</v>
      </c>
      <c r="GX103" s="314">
        <f t="shared" si="529"/>
        <v>-4333</v>
      </c>
      <c r="GY103" s="314">
        <f t="shared" si="529"/>
        <v>447840.67889190651</v>
      </c>
      <c r="GZ103" s="314">
        <f t="shared" si="529"/>
        <v>3222820.7912944802</v>
      </c>
      <c r="HA103" s="314">
        <f t="shared" si="529"/>
        <v>323440</v>
      </c>
      <c r="HB103" s="314">
        <f t="shared" si="529"/>
        <v>250364.85759161878</v>
      </c>
      <c r="HC103" s="314">
        <f t="shared" si="529"/>
        <v>400657.45814309176</v>
      </c>
      <c r="HD103" s="314">
        <f t="shared" si="529"/>
        <v>507252.72553738486</v>
      </c>
      <c r="HE103" s="314">
        <f t="shared" si="529"/>
        <v>502000</v>
      </c>
      <c r="HF103" s="314">
        <f t="shared" si="529"/>
        <v>73632.93476073246</v>
      </c>
      <c r="HG103" s="314">
        <f t="shared" si="529"/>
        <v>-34312.862394777359</v>
      </c>
      <c r="HH103" s="314">
        <f t="shared" si="529"/>
        <v>-115202.67942905379</v>
      </c>
      <c r="HI103" s="314">
        <f t="shared" si="529"/>
        <v>-270679.82297403831</v>
      </c>
      <c r="HJ103" s="314">
        <f t="shared" si="529"/>
        <v>502448.83102156827</v>
      </c>
      <c r="HK103" s="314">
        <f t="shared" si="529"/>
        <v>-144000</v>
      </c>
      <c r="HL103" s="314">
        <f t="shared" si="529"/>
        <v>2827946.226384297</v>
      </c>
      <c r="HM103" s="314">
        <f t="shared" si="529"/>
        <v>-1822000.7132431082</v>
      </c>
      <c r="HN103" s="314">
        <f t="shared" si="529"/>
        <v>183981.06669069757</v>
      </c>
      <c r="HO103" s="314">
        <f t="shared" si="529"/>
        <v>-29609.132768688723</v>
      </c>
      <c r="HP103" s="314">
        <f t="shared" si="529"/>
        <v>2937605.6068551391</v>
      </c>
      <c r="HQ103" s="314">
        <f t="shared" si="529"/>
        <v>6296.0109016010538</v>
      </c>
      <c r="HR103" s="314">
        <f t="shared" si="529"/>
        <v>445666.58438007906</v>
      </c>
      <c r="HS103" s="314">
        <f t="shared" si="529"/>
        <v>934403.36825784948</v>
      </c>
      <c r="HT103" s="314">
        <f t="shared" si="529"/>
        <v>-5347061.1012308747</v>
      </c>
      <c r="HU103" s="314">
        <f t="shared" si="529"/>
        <v>3908274.8653759174</v>
      </c>
      <c r="HV103" s="314">
        <f t="shared" si="529"/>
        <v>2996716.4349601455</v>
      </c>
      <c r="HW103" s="314">
        <f t="shared" si="529"/>
        <v>-1812058.0750665925</v>
      </c>
      <c r="HX103" s="314">
        <f t="shared" si="529"/>
        <v>5779882.4935670681</v>
      </c>
      <c r="HY103" s="314">
        <f t="shared" si="529"/>
        <v>-2304863.0664582625</v>
      </c>
      <c r="HZ103" s="314">
        <f t="shared" si="529"/>
        <v>490431.75556179136</v>
      </c>
      <c r="IA103" s="314">
        <f t="shared" si="529"/>
        <v>16795.157256452367</v>
      </c>
      <c r="IB103" s="314">
        <f t="shared" si="529"/>
        <v>427740.40059236437</v>
      </c>
      <c r="IC103" s="314">
        <f t="shared" si="529"/>
        <v>1955261.1448942758</v>
      </c>
      <c r="ID103" s="314">
        <f t="shared" si="529"/>
        <v>1582764.6085267812</v>
      </c>
      <c r="IE103" s="314">
        <f t="shared" si="529"/>
        <v>2312990.5015844777</v>
      </c>
      <c r="IF103" s="314">
        <f t="shared" si="529"/>
        <v>-4461847.704423666</v>
      </c>
      <c r="IG103" s="314">
        <f t="shared" si="529"/>
        <v>-546105.68378837779</v>
      </c>
      <c r="IH103" s="314">
        <f t="shared" si="529"/>
        <v>736067.42885601241</v>
      </c>
      <c r="II103" s="314">
        <f t="shared" si="529"/>
        <v>-2410000.7748431563</v>
      </c>
      <c r="IJ103" s="314">
        <f t="shared" si="529"/>
        <v>406647.69780913368</v>
      </c>
      <c r="IK103" s="314">
        <f t="shared" si="529"/>
        <v>12704.917822265532</v>
      </c>
      <c r="IL103" s="314">
        <f t="shared" si="529"/>
        <v>246031.43163940497</v>
      </c>
      <c r="IM103" s="314">
        <f t="shared" si="529"/>
        <v>-152079.87741329148</v>
      </c>
      <c r="IN103" s="314">
        <f t="shared" si="529"/>
        <v>-129860.38538624719</v>
      </c>
      <c r="IO103" s="314">
        <f t="shared" si="529"/>
        <v>465274.01418881956</v>
      </c>
      <c r="IP103" s="314">
        <f t="shared" si="529"/>
        <v>-1643290.993533127</v>
      </c>
      <c r="IQ103" s="314">
        <f t="shared" si="529"/>
        <v>-1714838.8915572092</v>
      </c>
      <c r="IR103" s="314">
        <f t="shared" si="529"/>
        <v>13439.943361662095</v>
      </c>
      <c r="IS103" s="314">
        <f t="shared" si="529"/>
        <v>-2179814.1629052833</v>
      </c>
      <c r="IT103" s="314">
        <f t="shared" si="529"/>
        <v>984978.12016303837</v>
      </c>
      <c r="IU103" s="314">
        <f t="shared" si="529"/>
        <v>313537.44674856495</v>
      </c>
      <c r="IV103" s="314">
        <f t="shared" si="529"/>
        <v>-397086.00951962918</v>
      </c>
      <c r="IW103" s="314">
        <f t="shared" si="529"/>
        <v>-2690895.015101593</v>
      </c>
      <c r="IX103" s="314">
        <f t="shared" si="529"/>
        <v>235204.59593742667</v>
      </c>
      <c r="IY103" s="314">
        <f t="shared" si="529"/>
        <v>2924861.4800059684</v>
      </c>
      <c r="IZ103" s="314">
        <f t="shared" si="529"/>
        <v>5076746.1550431699</v>
      </c>
      <c r="JA103" s="314">
        <f t="shared" ref="JA103:JH103" si="530">JA102-JA101</f>
        <v>-176594.88052702183</v>
      </c>
      <c r="JB103" s="314">
        <f t="shared" si="530"/>
        <v>273000</v>
      </c>
      <c r="JC103" s="314">
        <f t="shared" si="530"/>
        <v>-280579.00259929337</v>
      </c>
      <c r="JD103" s="314">
        <f t="shared" si="530"/>
        <v>-1176392</v>
      </c>
      <c r="JE103" s="314">
        <f t="shared" si="530"/>
        <v>-348800.14505924704</v>
      </c>
      <c r="JF103" s="314">
        <f t="shared" si="530"/>
        <v>7716420.2408770919</v>
      </c>
      <c r="JG103" s="314">
        <f t="shared" si="530"/>
        <v>-2061607.7021934986</v>
      </c>
      <c r="JH103" s="314">
        <f t="shared" si="530"/>
        <v>496729.28351784637</v>
      </c>
      <c r="JI103" s="314">
        <f t="shared" ref="JI103" si="531">SUM(C103:JH103)</f>
        <v>85424087.49084492</v>
      </c>
      <c r="JL103" s="307">
        <f t="shared" si="517"/>
        <v>2745101.9646354234</v>
      </c>
      <c r="JM103" s="307">
        <f t="shared" si="517"/>
        <v>49626354.084269494</v>
      </c>
      <c r="JN103" s="307">
        <f t="shared" si="517"/>
        <v>18029617.777798802</v>
      </c>
      <c r="JO103" s="307">
        <f t="shared" si="517"/>
        <v>15023013.664141174</v>
      </c>
      <c r="JP103" s="307">
        <f t="shared" si="518"/>
        <v>85424087.490844905</v>
      </c>
    </row>
    <row r="104" spans="1:276" x14ac:dyDescent="0.25">
      <c r="B104" s="313" t="s">
        <v>2580</v>
      </c>
      <c r="C104" s="314">
        <f>IF(C103&gt;0,C103,0)</f>
        <v>1235422.5558247231</v>
      </c>
      <c r="D104" s="314">
        <f t="shared" ref="D104:BP104" si="532">IF(D103&gt;0,D103,0)</f>
        <v>1406900</v>
      </c>
      <c r="E104" s="314">
        <f t="shared" si="532"/>
        <v>102779.40881070029</v>
      </c>
      <c r="F104" s="314">
        <f t="shared" si="532"/>
        <v>132284.70883535733</v>
      </c>
      <c r="G104" s="314">
        <f t="shared" si="532"/>
        <v>1429653.1272905953</v>
      </c>
      <c r="H104" s="314">
        <f t="shared" si="532"/>
        <v>65710.416111308965</v>
      </c>
      <c r="I104" s="314">
        <f t="shared" si="532"/>
        <v>941977.47419521306</v>
      </c>
      <c r="J104" s="314">
        <f t="shared" si="532"/>
        <v>212155.78442021785</v>
      </c>
      <c r="K104" s="314">
        <f t="shared" si="532"/>
        <v>618538</v>
      </c>
      <c r="L104" s="314">
        <f t="shared" si="532"/>
        <v>0</v>
      </c>
      <c r="M104" s="314">
        <f t="shared" si="532"/>
        <v>30486.238895765971</v>
      </c>
      <c r="N104" s="314">
        <f t="shared" si="532"/>
        <v>115828.6030266704</v>
      </c>
      <c r="O104" s="314">
        <f t="shared" si="532"/>
        <v>191212</v>
      </c>
      <c r="P104" s="314">
        <f t="shared" si="532"/>
        <v>225010.00218168925</v>
      </c>
      <c r="Q104" s="314">
        <f t="shared" si="532"/>
        <v>371221.47910101549</v>
      </c>
      <c r="R104" s="314">
        <f t="shared" si="532"/>
        <v>0</v>
      </c>
      <c r="S104" s="314">
        <f t="shared" si="532"/>
        <v>0</v>
      </c>
      <c r="T104" s="314">
        <f t="shared" si="532"/>
        <v>31437.510778153781</v>
      </c>
      <c r="U104" s="314">
        <f t="shared" si="532"/>
        <v>0</v>
      </c>
      <c r="V104" s="314">
        <f t="shared" si="532"/>
        <v>0</v>
      </c>
      <c r="W104" s="314">
        <f t="shared" si="532"/>
        <v>305000</v>
      </c>
      <c r="X104" s="314">
        <f t="shared" si="532"/>
        <v>994445.80950857792</v>
      </c>
      <c r="Y104" s="314">
        <f t="shared" si="532"/>
        <v>12890</v>
      </c>
      <c r="Z104" s="314">
        <f t="shared" si="532"/>
        <v>379924</v>
      </c>
      <c r="AA104" s="314">
        <f t="shared" si="532"/>
        <v>394885.44902487379</v>
      </c>
      <c r="AB104" s="314">
        <f t="shared" si="532"/>
        <v>630190.70572241349</v>
      </c>
      <c r="AC104" s="314">
        <f t="shared" ref="AC104" si="533">IF(AC103&gt;0,AC103,0)</f>
        <v>0</v>
      </c>
      <c r="AD104" s="314">
        <f t="shared" si="532"/>
        <v>744989.12062356528</v>
      </c>
      <c r="AE104" s="314">
        <f t="shared" si="532"/>
        <v>76840.525898943888</v>
      </c>
      <c r="AF104" s="314">
        <f t="shared" si="532"/>
        <v>1219244.9295379585</v>
      </c>
      <c r="AG104" s="314">
        <f t="shared" si="532"/>
        <v>125060.75486989692</v>
      </c>
      <c r="AH104" s="314">
        <f t="shared" si="532"/>
        <v>0</v>
      </c>
      <c r="AI104" s="314">
        <f t="shared" si="532"/>
        <v>510300</v>
      </c>
      <c r="AJ104" s="314">
        <f t="shared" si="532"/>
        <v>134700</v>
      </c>
      <c r="AK104" s="314">
        <f t="shared" si="532"/>
        <v>53995</v>
      </c>
      <c r="AL104" s="314">
        <f t="shared" si="532"/>
        <v>92493.163351077586</v>
      </c>
      <c r="AM104" s="314">
        <f t="shared" si="532"/>
        <v>125216.37263412308</v>
      </c>
      <c r="AN104" s="314">
        <f t="shared" si="532"/>
        <v>121055.19849877898</v>
      </c>
      <c r="AO104" s="314">
        <f t="shared" si="532"/>
        <v>1174727.5596356187</v>
      </c>
      <c r="AP104" s="314">
        <f t="shared" si="532"/>
        <v>0</v>
      </c>
      <c r="AQ104" s="314">
        <f t="shared" si="532"/>
        <v>163062</v>
      </c>
      <c r="AR104" s="314">
        <f t="shared" si="532"/>
        <v>401149.39925084589</v>
      </c>
      <c r="AS104" s="314">
        <f t="shared" si="532"/>
        <v>44681.220223333861</v>
      </c>
      <c r="AT104" s="314">
        <f t="shared" si="532"/>
        <v>322367.43236834183</v>
      </c>
      <c r="AU104" s="314">
        <f t="shared" si="532"/>
        <v>97944.93946642126</v>
      </c>
      <c r="AV104" s="314">
        <f t="shared" si="532"/>
        <v>137042.67729522614</v>
      </c>
      <c r="AW104" s="314">
        <f t="shared" si="532"/>
        <v>288647.55504343286</v>
      </c>
      <c r="AX104" s="314">
        <f t="shared" si="532"/>
        <v>270115.31108075101</v>
      </c>
      <c r="AY104" s="314">
        <f t="shared" si="532"/>
        <v>208738.54065689072</v>
      </c>
      <c r="AZ104" s="314">
        <f t="shared" si="532"/>
        <v>49765</v>
      </c>
      <c r="BA104" s="314">
        <f t="shared" si="532"/>
        <v>1814732</v>
      </c>
      <c r="BB104" s="314">
        <f t="shared" si="532"/>
        <v>292796</v>
      </c>
      <c r="BC104" s="314">
        <f t="shared" si="532"/>
        <v>214997.49380253232</v>
      </c>
      <c r="BD104" s="314">
        <f t="shared" si="532"/>
        <v>638438.33257854311</v>
      </c>
      <c r="BE104" s="314">
        <f t="shared" si="532"/>
        <v>86784.356650778558</v>
      </c>
      <c r="BF104" s="314">
        <f t="shared" si="532"/>
        <v>131040</v>
      </c>
      <c r="BG104" s="314">
        <f t="shared" si="532"/>
        <v>154784</v>
      </c>
      <c r="BH104" s="314">
        <f t="shared" si="532"/>
        <v>257932</v>
      </c>
      <c r="BI104" s="314">
        <f t="shared" si="532"/>
        <v>0</v>
      </c>
      <c r="BJ104" s="314">
        <f t="shared" si="532"/>
        <v>81837.853564726654</v>
      </c>
      <c r="BK104" s="314">
        <f t="shared" si="532"/>
        <v>136000</v>
      </c>
      <c r="BL104" s="314">
        <f t="shared" si="532"/>
        <v>455138.49500087276</v>
      </c>
      <c r="BM104" s="314">
        <f t="shared" si="532"/>
        <v>849726</v>
      </c>
      <c r="BN104" s="314">
        <f t="shared" si="532"/>
        <v>75101.993153743446</v>
      </c>
      <c r="BO104" s="314">
        <f t="shared" si="532"/>
        <v>289269.65247524576</v>
      </c>
      <c r="BP104" s="314">
        <f t="shared" si="532"/>
        <v>732773</v>
      </c>
      <c r="BQ104" s="314">
        <f t="shared" ref="BQ104:EB104" si="534">IF(BQ103&gt;0,BQ103,0)</f>
        <v>98361.621271296288</v>
      </c>
      <c r="BR104" s="314">
        <f t="shared" si="534"/>
        <v>138681</v>
      </c>
      <c r="BS104" s="314">
        <f t="shared" si="534"/>
        <v>12382.298967874143</v>
      </c>
      <c r="BT104" s="314">
        <f t="shared" si="534"/>
        <v>54060.266167230671</v>
      </c>
      <c r="BU104" s="314">
        <f t="shared" si="534"/>
        <v>0</v>
      </c>
      <c r="BV104" s="314">
        <f t="shared" si="534"/>
        <v>588998.0353182531</v>
      </c>
      <c r="BW104" s="314">
        <f t="shared" si="534"/>
        <v>0</v>
      </c>
      <c r="BX104" s="314">
        <f t="shared" si="534"/>
        <v>653636.19106335379</v>
      </c>
      <c r="BY104" s="314">
        <f t="shared" si="534"/>
        <v>0</v>
      </c>
      <c r="BZ104" s="314">
        <f t="shared" si="534"/>
        <v>0</v>
      </c>
      <c r="CA104" s="314">
        <f t="shared" si="534"/>
        <v>0</v>
      </c>
      <c r="CB104" s="314">
        <f t="shared" si="534"/>
        <v>39256.101421467261</v>
      </c>
      <c r="CC104" s="314">
        <f t="shared" si="534"/>
        <v>117637.66254166374</v>
      </c>
      <c r="CD104" s="314">
        <f t="shared" si="534"/>
        <v>14512.216855739709</v>
      </c>
      <c r="CE104" s="314">
        <f t="shared" si="534"/>
        <v>1446195.1253167707</v>
      </c>
      <c r="CF104" s="314">
        <f t="shared" si="534"/>
        <v>127617.8393289512</v>
      </c>
      <c r="CG104" s="314">
        <f t="shared" si="534"/>
        <v>544095.49607044645</v>
      </c>
      <c r="CH104" s="314">
        <f t="shared" si="534"/>
        <v>305133.07924963161</v>
      </c>
      <c r="CI104" s="314">
        <f t="shared" si="534"/>
        <v>436085.96719942894</v>
      </c>
      <c r="CJ104" s="314">
        <f t="shared" si="534"/>
        <v>394665.0818283353</v>
      </c>
      <c r="CK104" s="314">
        <f t="shared" si="534"/>
        <v>365377</v>
      </c>
      <c r="CL104" s="314">
        <f t="shared" si="534"/>
        <v>226829.74855449842</v>
      </c>
      <c r="CM104" s="314">
        <f t="shared" si="534"/>
        <v>691676.43998631369</v>
      </c>
      <c r="CN104" s="314">
        <f t="shared" si="534"/>
        <v>59434.772719491506</v>
      </c>
      <c r="CO104" s="314">
        <f t="shared" si="534"/>
        <v>0</v>
      </c>
      <c r="CP104" s="314">
        <f t="shared" si="534"/>
        <v>30382.256800304167</v>
      </c>
      <c r="CQ104" s="314">
        <f t="shared" si="534"/>
        <v>908770.573718125</v>
      </c>
      <c r="CR104" s="314">
        <f t="shared" si="534"/>
        <v>714294</v>
      </c>
      <c r="CS104" s="314">
        <f t="shared" si="534"/>
        <v>3589793.26</v>
      </c>
      <c r="CT104" s="314">
        <f t="shared" si="534"/>
        <v>859679.81036627945</v>
      </c>
      <c r="CU104" s="314">
        <f t="shared" si="534"/>
        <v>474500</v>
      </c>
      <c r="CV104" s="314">
        <f t="shared" si="534"/>
        <v>613490.98592103273</v>
      </c>
      <c r="CW104" s="314">
        <f t="shared" si="534"/>
        <v>128599</v>
      </c>
      <c r="CX104" s="314">
        <f t="shared" si="534"/>
        <v>329000</v>
      </c>
      <c r="CY104" s="314">
        <f t="shared" si="534"/>
        <v>132129.28390120855</v>
      </c>
      <c r="CZ104" s="314">
        <f t="shared" si="534"/>
        <v>368000</v>
      </c>
      <c r="DA104" s="314">
        <f t="shared" si="534"/>
        <v>2069140</v>
      </c>
      <c r="DB104" s="314">
        <f t="shared" si="534"/>
        <v>95480</v>
      </c>
      <c r="DC104" s="314">
        <f t="shared" si="534"/>
        <v>328714.46353825252</v>
      </c>
      <c r="DD104" s="314">
        <f t="shared" si="534"/>
        <v>1118856.6959123211</v>
      </c>
      <c r="DE104" s="314">
        <f t="shared" si="534"/>
        <v>429390.87138624676</v>
      </c>
      <c r="DF104" s="314">
        <f t="shared" si="534"/>
        <v>0</v>
      </c>
      <c r="DG104" s="314">
        <f t="shared" si="534"/>
        <v>197198.16515118408</v>
      </c>
      <c r="DH104" s="314">
        <f t="shared" si="534"/>
        <v>830973.43433351256</v>
      </c>
      <c r="DI104" s="314">
        <f t="shared" si="534"/>
        <v>43865.384096688125</v>
      </c>
      <c r="DJ104" s="314">
        <f t="shared" si="534"/>
        <v>103868</v>
      </c>
      <c r="DK104" s="314">
        <f t="shared" si="534"/>
        <v>1891309.6534043886</v>
      </c>
      <c r="DL104" s="314">
        <f t="shared" si="534"/>
        <v>277072.2218004535</v>
      </c>
      <c r="DM104" s="314">
        <f t="shared" si="534"/>
        <v>232155.08381385566</v>
      </c>
      <c r="DN104" s="314">
        <f t="shared" si="534"/>
        <v>708902</v>
      </c>
      <c r="DO104" s="314">
        <f t="shared" si="534"/>
        <v>4525.3922101089265</v>
      </c>
      <c r="DP104" s="314">
        <f t="shared" si="534"/>
        <v>0</v>
      </c>
      <c r="DQ104" s="314">
        <f t="shared" si="534"/>
        <v>105793</v>
      </c>
      <c r="DR104" s="314">
        <f t="shared" si="534"/>
        <v>0</v>
      </c>
      <c r="DS104" s="314">
        <f t="shared" si="534"/>
        <v>547000</v>
      </c>
      <c r="DT104" s="314">
        <f t="shared" si="534"/>
        <v>473573.05137304217</v>
      </c>
      <c r="DU104" s="314">
        <f t="shared" si="534"/>
        <v>18908.963338879868</v>
      </c>
      <c r="DV104" s="314">
        <f t="shared" si="534"/>
        <v>1277856</v>
      </c>
      <c r="DW104" s="314">
        <f t="shared" si="534"/>
        <v>251601.57345701009</v>
      </c>
      <c r="DX104" s="314">
        <f t="shared" si="534"/>
        <v>433801.15410795156</v>
      </c>
      <c r="DY104" s="314">
        <f t="shared" si="534"/>
        <v>825992.75048264861</v>
      </c>
      <c r="DZ104" s="314">
        <f t="shared" si="534"/>
        <v>7625.6888148766011</v>
      </c>
      <c r="EA104" s="314">
        <f t="shared" si="534"/>
        <v>15312</v>
      </c>
      <c r="EB104" s="314">
        <f t="shared" si="534"/>
        <v>1868722.8583436497</v>
      </c>
      <c r="EC104" s="314">
        <f t="shared" ref="EC104:GN104" si="535">IF(EC103&gt;0,EC103,0)</f>
        <v>162383.75123846577</v>
      </c>
      <c r="ED104" s="314">
        <f t="shared" si="535"/>
        <v>317047.42154010572</v>
      </c>
      <c r="EE104" s="314">
        <f t="shared" si="535"/>
        <v>46376</v>
      </c>
      <c r="EF104" s="314">
        <f t="shared" si="535"/>
        <v>0</v>
      </c>
      <c r="EG104" s="314">
        <f t="shared" si="535"/>
        <v>0</v>
      </c>
      <c r="EH104" s="314">
        <f t="shared" si="535"/>
        <v>35330</v>
      </c>
      <c r="EI104" s="314">
        <f t="shared" si="535"/>
        <v>114247</v>
      </c>
      <c r="EJ104" s="314">
        <f t="shared" si="535"/>
        <v>220123.11828195211</v>
      </c>
      <c r="EK104" s="314">
        <f t="shared" si="535"/>
        <v>0</v>
      </c>
      <c r="EL104" s="314">
        <f t="shared" si="535"/>
        <v>272049.92012174241</v>
      </c>
      <c r="EM104" s="314">
        <f t="shared" si="535"/>
        <v>118882.31944287568</v>
      </c>
      <c r="EN104" s="314">
        <f t="shared" si="535"/>
        <v>132129</v>
      </c>
      <c r="EO104" s="314">
        <f t="shared" si="535"/>
        <v>90118.146815555869</v>
      </c>
      <c r="EP104" s="314">
        <f t="shared" si="535"/>
        <v>798942</v>
      </c>
      <c r="EQ104" s="314">
        <f t="shared" si="535"/>
        <v>474030.50442442764</v>
      </c>
      <c r="ER104" s="314">
        <f t="shared" si="535"/>
        <v>977132</v>
      </c>
      <c r="ES104" s="314">
        <f t="shared" si="535"/>
        <v>118809.44734015642</v>
      </c>
      <c r="ET104" s="314">
        <f t="shared" si="535"/>
        <v>901340</v>
      </c>
      <c r="EU104" s="314">
        <f t="shared" si="535"/>
        <v>1252000</v>
      </c>
      <c r="EV104" s="314">
        <f t="shared" si="535"/>
        <v>217550.98782481399</v>
      </c>
      <c r="EW104" s="314">
        <f t="shared" si="535"/>
        <v>148744.77050382318</v>
      </c>
      <c r="EX104" s="314">
        <f t="shared" si="535"/>
        <v>170018.98534053471</v>
      </c>
      <c r="EY104" s="314">
        <f t="shared" si="535"/>
        <v>14320.875155149493</v>
      </c>
      <c r="EZ104" s="314">
        <f t="shared" si="535"/>
        <v>0</v>
      </c>
      <c r="FA104" s="314">
        <f t="shared" si="535"/>
        <v>196308</v>
      </c>
      <c r="FB104" s="314">
        <f t="shared" si="535"/>
        <v>38053.533048749552</v>
      </c>
      <c r="FC104" s="314">
        <f t="shared" si="535"/>
        <v>42203.981362368446</v>
      </c>
      <c r="FD104" s="314">
        <f t="shared" si="535"/>
        <v>286643.68250028812</v>
      </c>
      <c r="FE104" s="314">
        <f t="shared" si="535"/>
        <v>80752.913347188616</v>
      </c>
      <c r="FF104" s="314">
        <f t="shared" si="535"/>
        <v>324471.95999999996</v>
      </c>
      <c r="FG104" s="314">
        <f t="shared" si="535"/>
        <v>1019550</v>
      </c>
      <c r="FH104" s="314">
        <f t="shared" si="535"/>
        <v>271026.04918797873</v>
      </c>
      <c r="FI104" s="314">
        <f t="shared" si="535"/>
        <v>2013900.4650456514</v>
      </c>
      <c r="FJ104" s="314">
        <f t="shared" si="535"/>
        <v>275474.96975899418</v>
      </c>
      <c r="FK104" s="314">
        <f t="shared" si="535"/>
        <v>0</v>
      </c>
      <c r="FL104" s="314">
        <f t="shared" si="535"/>
        <v>0</v>
      </c>
      <c r="FM104" s="314">
        <f t="shared" si="535"/>
        <v>0</v>
      </c>
      <c r="FN104" s="314">
        <f t="shared" si="535"/>
        <v>543645.54984153435</v>
      </c>
      <c r="FO104" s="314">
        <f t="shared" si="535"/>
        <v>0</v>
      </c>
      <c r="FP104" s="314">
        <f t="shared" si="535"/>
        <v>206752.30885183625</v>
      </c>
      <c r="FQ104" s="314">
        <f t="shared" si="535"/>
        <v>62855.223800000036</v>
      </c>
      <c r="FR104" s="314">
        <f t="shared" si="535"/>
        <v>2898098.2380630779</v>
      </c>
      <c r="FS104" s="314">
        <f t="shared" si="535"/>
        <v>0</v>
      </c>
      <c r="FT104" s="314">
        <f t="shared" si="535"/>
        <v>307281.80409015995</v>
      </c>
      <c r="FU104" s="314">
        <f t="shared" si="535"/>
        <v>39281.804442927241</v>
      </c>
      <c r="FV104" s="314">
        <f t="shared" si="535"/>
        <v>173.16923673939891</v>
      </c>
      <c r="FW104" s="314">
        <f t="shared" si="535"/>
        <v>0</v>
      </c>
      <c r="FX104" s="314">
        <f t="shared" si="535"/>
        <v>19607.503362067509</v>
      </c>
      <c r="FY104" s="314">
        <f t="shared" si="535"/>
        <v>0</v>
      </c>
      <c r="FZ104" s="314">
        <f t="shared" si="535"/>
        <v>0</v>
      </c>
      <c r="GA104" s="314">
        <f t="shared" si="535"/>
        <v>236.12772381899413</v>
      </c>
      <c r="GB104" s="314">
        <f t="shared" si="535"/>
        <v>494640.1198871755</v>
      </c>
      <c r="GC104" s="314">
        <f t="shared" si="535"/>
        <v>15555.139851687476</v>
      </c>
      <c r="GD104" s="314">
        <f t="shared" si="535"/>
        <v>806650.24586364813</v>
      </c>
      <c r="GE104" s="314">
        <f t="shared" si="535"/>
        <v>46266</v>
      </c>
      <c r="GF104" s="314">
        <f t="shared" si="535"/>
        <v>291018.84956932673</v>
      </c>
      <c r="GG104" s="314">
        <f t="shared" si="535"/>
        <v>0</v>
      </c>
      <c r="GH104" s="314">
        <f t="shared" si="535"/>
        <v>0</v>
      </c>
      <c r="GI104" s="314">
        <f t="shared" si="535"/>
        <v>855487.17478331644</v>
      </c>
      <c r="GJ104" s="314">
        <f t="shared" si="535"/>
        <v>171699.33929066174</v>
      </c>
      <c r="GK104" s="314">
        <f t="shared" si="535"/>
        <v>433870</v>
      </c>
      <c r="GL104" s="314">
        <f t="shared" si="535"/>
        <v>0</v>
      </c>
      <c r="GM104" s="314">
        <f t="shared" si="535"/>
        <v>0</v>
      </c>
      <c r="GN104" s="314">
        <f t="shared" si="535"/>
        <v>185653.06011215365</v>
      </c>
      <c r="GO104" s="314">
        <f t="shared" ref="GO104:IZ104" si="536">IF(GO103&gt;0,GO103,0)</f>
        <v>887246.48613796104</v>
      </c>
      <c r="GP104" s="314">
        <f t="shared" si="536"/>
        <v>0</v>
      </c>
      <c r="GQ104" s="314">
        <f t="shared" si="536"/>
        <v>0</v>
      </c>
      <c r="GR104" s="314">
        <f t="shared" si="536"/>
        <v>0</v>
      </c>
      <c r="GS104" s="314">
        <f t="shared" si="536"/>
        <v>0</v>
      </c>
      <c r="GT104" s="314">
        <f t="shared" si="536"/>
        <v>339289.90894356743</v>
      </c>
      <c r="GU104" s="314">
        <f t="shared" si="536"/>
        <v>45869</v>
      </c>
      <c r="GV104" s="314">
        <f t="shared" si="536"/>
        <v>40190</v>
      </c>
      <c r="GW104" s="314">
        <f t="shared" si="536"/>
        <v>0</v>
      </c>
      <c r="GX104" s="314">
        <f t="shared" si="536"/>
        <v>0</v>
      </c>
      <c r="GY104" s="314">
        <f t="shared" si="536"/>
        <v>447840.67889190651</v>
      </c>
      <c r="GZ104" s="314">
        <f t="shared" si="536"/>
        <v>3222820.7912944802</v>
      </c>
      <c r="HA104" s="314">
        <f t="shared" si="536"/>
        <v>323440</v>
      </c>
      <c r="HB104" s="314">
        <f t="shared" si="536"/>
        <v>250364.85759161878</v>
      </c>
      <c r="HC104" s="314">
        <f t="shared" si="536"/>
        <v>400657.45814309176</v>
      </c>
      <c r="HD104" s="314">
        <f t="shared" si="536"/>
        <v>507252.72553738486</v>
      </c>
      <c r="HE104" s="314">
        <f t="shared" si="536"/>
        <v>502000</v>
      </c>
      <c r="HF104" s="314">
        <f t="shared" si="536"/>
        <v>73632.93476073246</v>
      </c>
      <c r="HG104" s="314">
        <f t="shared" si="536"/>
        <v>0</v>
      </c>
      <c r="HH104" s="314">
        <f t="shared" si="536"/>
        <v>0</v>
      </c>
      <c r="HI104" s="314">
        <f t="shared" si="536"/>
        <v>0</v>
      </c>
      <c r="HJ104" s="314">
        <f t="shared" si="536"/>
        <v>502448.83102156827</v>
      </c>
      <c r="HK104" s="314">
        <f t="shared" si="536"/>
        <v>0</v>
      </c>
      <c r="HL104" s="314">
        <f t="shared" si="536"/>
        <v>2827946.226384297</v>
      </c>
      <c r="HM104" s="314">
        <f t="shared" si="536"/>
        <v>0</v>
      </c>
      <c r="HN104" s="314">
        <f t="shared" si="536"/>
        <v>183981.06669069757</v>
      </c>
      <c r="HO104" s="314">
        <f t="shared" si="536"/>
        <v>0</v>
      </c>
      <c r="HP104" s="314">
        <f t="shared" si="536"/>
        <v>2937605.6068551391</v>
      </c>
      <c r="HQ104" s="314">
        <f t="shared" si="536"/>
        <v>6296.0109016010538</v>
      </c>
      <c r="HR104" s="314">
        <f t="shared" si="536"/>
        <v>445666.58438007906</v>
      </c>
      <c r="HS104" s="314">
        <f t="shared" si="536"/>
        <v>934403.36825784948</v>
      </c>
      <c r="HT104" s="314">
        <f t="shared" si="536"/>
        <v>0</v>
      </c>
      <c r="HU104" s="314">
        <f t="shared" si="536"/>
        <v>3908274.8653759174</v>
      </c>
      <c r="HV104" s="314">
        <f t="shared" si="536"/>
        <v>2996716.4349601455</v>
      </c>
      <c r="HW104" s="314">
        <f t="shared" si="536"/>
        <v>0</v>
      </c>
      <c r="HX104" s="314">
        <f t="shared" si="536"/>
        <v>5779882.4935670681</v>
      </c>
      <c r="HY104" s="314">
        <f t="shared" si="536"/>
        <v>0</v>
      </c>
      <c r="HZ104" s="314">
        <f t="shared" si="536"/>
        <v>490431.75556179136</v>
      </c>
      <c r="IA104" s="314">
        <f t="shared" si="536"/>
        <v>16795.157256452367</v>
      </c>
      <c r="IB104" s="314">
        <f t="shared" si="536"/>
        <v>427740.40059236437</v>
      </c>
      <c r="IC104" s="314">
        <f t="shared" si="536"/>
        <v>1955261.1448942758</v>
      </c>
      <c r="ID104" s="314">
        <f t="shared" si="536"/>
        <v>1582764.6085267812</v>
      </c>
      <c r="IE104" s="314">
        <f t="shared" si="536"/>
        <v>2312990.5015844777</v>
      </c>
      <c r="IF104" s="314">
        <f t="shared" si="536"/>
        <v>0</v>
      </c>
      <c r="IG104" s="314">
        <f t="shared" si="536"/>
        <v>0</v>
      </c>
      <c r="IH104" s="314">
        <f t="shared" si="536"/>
        <v>736067.42885601241</v>
      </c>
      <c r="II104" s="314">
        <f t="shared" si="536"/>
        <v>0</v>
      </c>
      <c r="IJ104" s="314">
        <f t="shared" si="536"/>
        <v>406647.69780913368</v>
      </c>
      <c r="IK104" s="314">
        <f t="shared" si="536"/>
        <v>12704.917822265532</v>
      </c>
      <c r="IL104" s="314">
        <f t="shared" si="536"/>
        <v>246031.43163940497</v>
      </c>
      <c r="IM104" s="314">
        <f t="shared" si="536"/>
        <v>0</v>
      </c>
      <c r="IN104" s="314">
        <f t="shared" si="536"/>
        <v>0</v>
      </c>
      <c r="IO104" s="314">
        <f t="shared" si="536"/>
        <v>465274.01418881956</v>
      </c>
      <c r="IP104" s="314">
        <f t="shared" si="536"/>
        <v>0</v>
      </c>
      <c r="IQ104" s="314">
        <f t="shared" si="536"/>
        <v>0</v>
      </c>
      <c r="IR104" s="314">
        <f t="shared" si="536"/>
        <v>13439.943361662095</v>
      </c>
      <c r="IS104" s="314">
        <f t="shared" si="536"/>
        <v>0</v>
      </c>
      <c r="IT104" s="314">
        <f t="shared" si="536"/>
        <v>984978.12016303837</v>
      </c>
      <c r="IU104" s="314">
        <f t="shared" si="536"/>
        <v>313537.44674856495</v>
      </c>
      <c r="IV104" s="314">
        <f t="shared" si="536"/>
        <v>0</v>
      </c>
      <c r="IW104" s="314">
        <f t="shared" si="536"/>
        <v>0</v>
      </c>
      <c r="IX104" s="314">
        <f t="shared" si="536"/>
        <v>235204.59593742667</v>
      </c>
      <c r="IY104" s="314">
        <f t="shared" si="536"/>
        <v>2924861.4800059684</v>
      </c>
      <c r="IZ104" s="314">
        <f t="shared" si="536"/>
        <v>5076746.1550431699</v>
      </c>
      <c r="JA104" s="314">
        <f t="shared" ref="JA104:JH104" si="537">IF(JA103&gt;0,JA103,0)</f>
        <v>0</v>
      </c>
      <c r="JB104" s="314">
        <f t="shared" si="537"/>
        <v>273000</v>
      </c>
      <c r="JC104" s="314">
        <f t="shared" si="537"/>
        <v>0</v>
      </c>
      <c r="JD104" s="314">
        <f t="shared" si="537"/>
        <v>0</v>
      </c>
      <c r="JE104" s="314">
        <f t="shared" si="537"/>
        <v>0</v>
      </c>
      <c r="JF104" s="314">
        <f t="shared" si="537"/>
        <v>7716420.2408770919</v>
      </c>
      <c r="JG104" s="314">
        <f t="shared" si="537"/>
        <v>0</v>
      </c>
      <c r="JH104" s="314">
        <f t="shared" si="537"/>
        <v>496729.28351784637</v>
      </c>
      <c r="JI104" s="314">
        <f>SUM(C104:JH104)</f>
        <v>123782540.78665432</v>
      </c>
      <c r="JL104" s="307">
        <f t="shared" si="517"/>
        <v>2745101.9646354234</v>
      </c>
      <c r="JM104" s="307">
        <f t="shared" si="517"/>
        <v>52154853.336091571</v>
      </c>
      <c r="JN104" s="307">
        <f t="shared" si="517"/>
        <v>22174186.504167981</v>
      </c>
      <c r="JO104" s="307">
        <f t="shared" si="517"/>
        <v>46708398.981759347</v>
      </c>
      <c r="JP104" s="307">
        <f t="shared" si="518"/>
        <v>123782540.78665432</v>
      </c>
    </row>
    <row r="105" spans="1:276" x14ac:dyDescent="0.25">
      <c r="B105" s="313" t="s">
        <v>2572</v>
      </c>
      <c r="C105" s="314">
        <f>IF(C103&lt;0,C103,0)</f>
        <v>0</v>
      </c>
      <c r="D105" s="314">
        <f t="shared" ref="D105:BP105" si="538">IF(D103&lt;0,D103,0)</f>
        <v>0</v>
      </c>
      <c r="E105" s="314">
        <f t="shared" si="538"/>
        <v>0</v>
      </c>
      <c r="F105" s="314">
        <f t="shared" si="538"/>
        <v>0</v>
      </c>
      <c r="G105" s="314">
        <f t="shared" si="538"/>
        <v>0</v>
      </c>
      <c r="H105" s="314">
        <f t="shared" si="538"/>
        <v>0</v>
      </c>
      <c r="I105" s="314">
        <f t="shared" si="538"/>
        <v>0</v>
      </c>
      <c r="J105" s="314">
        <f t="shared" si="538"/>
        <v>0</v>
      </c>
      <c r="K105" s="314">
        <f t="shared" si="538"/>
        <v>0</v>
      </c>
      <c r="L105" s="314">
        <f t="shared" si="538"/>
        <v>0</v>
      </c>
      <c r="M105" s="314">
        <f t="shared" si="538"/>
        <v>0</v>
      </c>
      <c r="N105" s="314">
        <f t="shared" si="538"/>
        <v>0</v>
      </c>
      <c r="O105" s="314">
        <f t="shared" si="538"/>
        <v>0</v>
      </c>
      <c r="P105" s="314">
        <f t="shared" si="538"/>
        <v>0</v>
      </c>
      <c r="Q105" s="314">
        <f t="shared" si="538"/>
        <v>0</v>
      </c>
      <c r="R105" s="314">
        <f t="shared" si="538"/>
        <v>-33718.100000000093</v>
      </c>
      <c r="S105" s="314">
        <f t="shared" si="538"/>
        <v>0</v>
      </c>
      <c r="T105" s="314">
        <f t="shared" si="538"/>
        <v>0</v>
      </c>
      <c r="U105" s="314">
        <f t="shared" si="538"/>
        <v>-11704</v>
      </c>
      <c r="V105" s="314">
        <f t="shared" si="538"/>
        <v>0</v>
      </c>
      <c r="W105" s="314">
        <f t="shared" si="538"/>
        <v>0</v>
      </c>
      <c r="X105" s="314">
        <f t="shared" si="538"/>
        <v>0</v>
      </c>
      <c r="Y105" s="314">
        <f t="shared" si="538"/>
        <v>0</v>
      </c>
      <c r="Z105" s="314">
        <f t="shared" si="538"/>
        <v>0</v>
      </c>
      <c r="AA105" s="314">
        <f t="shared" si="538"/>
        <v>0</v>
      </c>
      <c r="AB105" s="314">
        <f t="shared" si="538"/>
        <v>0</v>
      </c>
      <c r="AC105" s="314">
        <f t="shared" ref="AC105" si="539">IF(AC103&lt;0,AC103,0)</f>
        <v>-1526341.6880516675</v>
      </c>
      <c r="AD105" s="314">
        <f t="shared" si="538"/>
        <v>0</v>
      </c>
      <c r="AE105" s="314">
        <f t="shared" si="538"/>
        <v>0</v>
      </c>
      <c r="AF105" s="314">
        <f t="shared" si="538"/>
        <v>0</v>
      </c>
      <c r="AG105" s="314">
        <f t="shared" si="538"/>
        <v>0</v>
      </c>
      <c r="AH105" s="314">
        <f t="shared" si="538"/>
        <v>-7266</v>
      </c>
      <c r="AI105" s="314">
        <f t="shared" si="538"/>
        <v>0</v>
      </c>
      <c r="AJ105" s="314">
        <f t="shared" si="538"/>
        <v>0</v>
      </c>
      <c r="AK105" s="314">
        <f t="shared" si="538"/>
        <v>0</v>
      </c>
      <c r="AL105" s="314">
        <f t="shared" si="538"/>
        <v>0</v>
      </c>
      <c r="AM105" s="314">
        <f t="shared" si="538"/>
        <v>0</v>
      </c>
      <c r="AN105" s="314">
        <f t="shared" si="538"/>
        <v>0</v>
      </c>
      <c r="AO105" s="314">
        <f t="shared" si="538"/>
        <v>0</v>
      </c>
      <c r="AP105" s="314">
        <f t="shared" si="538"/>
        <v>-135009.8837703988</v>
      </c>
      <c r="AQ105" s="314">
        <f t="shared" si="538"/>
        <v>0</v>
      </c>
      <c r="AR105" s="314">
        <f t="shared" si="538"/>
        <v>0</v>
      </c>
      <c r="AS105" s="314">
        <f t="shared" si="538"/>
        <v>0</v>
      </c>
      <c r="AT105" s="314">
        <f t="shared" si="538"/>
        <v>0</v>
      </c>
      <c r="AU105" s="314">
        <f t="shared" si="538"/>
        <v>0</v>
      </c>
      <c r="AV105" s="314">
        <f t="shared" si="538"/>
        <v>0</v>
      </c>
      <c r="AW105" s="314">
        <f t="shared" si="538"/>
        <v>0</v>
      </c>
      <c r="AX105" s="314">
        <f t="shared" si="538"/>
        <v>0</v>
      </c>
      <c r="AY105" s="314">
        <f t="shared" si="538"/>
        <v>0</v>
      </c>
      <c r="AZ105" s="314">
        <f t="shared" si="538"/>
        <v>0</v>
      </c>
      <c r="BA105" s="314">
        <f t="shared" si="538"/>
        <v>0</v>
      </c>
      <c r="BB105" s="314">
        <f t="shared" si="538"/>
        <v>0</v>
      </c>
      <c r="BC105" s="314">
        <f t="shared" si="538"/>
        <v>0</v>
      </c>
      <c r="BD105" s="314">
        <f t="shared" si="538"/>
        <v>0</v>
      </c>
      <c r="BE105" s="314">
        <f t="shared" si="538"/>
        <v>0</v>
      </c>
      <c r="BF105" s="314">
        <f t="shared" si="538"/>
        <v>0</v>
      </c>
      <c r="BG105" s="314">
        <f t="shared" si="538"/>
        <v>0</v>
      </c>
      <c r="BH105" s="314">
        <f t="shared" si="538"/>
        <v>0</v>
      </c>
      <c r="BI105" s="314">
        <f t="shared" si="538"/>
        <v>-198100</v>
      </c>
      <c r="BJ105" s="314">
        <f t="shared" si="538"/>
        <v>0</v>
      </c>
      <c r="BK105" s="314">
        <f t="shared" si="538"/>
        <v>0</v>
      </c>
      <c r="BL105" s="314">
        <f t="shared" si="538"/>
        <v>0</v>
      </c>
      <c r="BM105" s="314">
        <f t="shared" si="538"/>
        <v>0</v>
      </c>
      <c r="BN105" s="314">
        <f t="shared" si="538"/>
        <v>0</v>
      </c>
      <c r="BO105" s="314">
        <f t="shared" si="538"/>
        <v>0</v>
      </c>
      <c r="BP105" s="314">
        <f t="shared" si="538"/>
        <v>0</v>
      </c>
      <c r="BQ105" s="314">
        <f t="shared" ref="BQ105:EB105" si="540">IF(BQ103&lt;0,BQ103,0)</f>
        <v>0</v>
      </c>
      <c r="BR105" s="314">
        <f t="shared" si="540"/>
        <v>0</v>
      </c>
      <c r="BS105" s="314">
        <f t="shared" si="540"/>
        <v>0</v>
      </c>
      <c r="BT105" s="314">
        <f t="shared" si="540"/>
        <v>0</v>
      </c>
      <c r="BU105" s="314">
        <f t="shared" si="540"/>
        <v>0</v>
      </c>
      <c r="BV105" s="314">
        <f t="shared" si="540"/>
        <v>0</v>
      </c>
      <c r="BW105" s="314">
        <f t="shared" si="540"/>
        <v>0</v>
      </c>
      <c r="BX105" s="314">
        <f t="shared" si="540"/>
        <v>0</v>
      </c>
      <c r="BY105" s="314">
        <f t="shared" si="540"/>
        <v>0</v>
      </c>
      <c r="BZ105" s="314">
        <f t="shared" si="540"/>
        <v>0</v>
      </c>
      <c r="CA105" s="314">
        <f t="shared" si="540"/>
        <v>0</v>
      </c>
      <c r="CB105" s="314">
        <f t="shared" si="540"/>
        <v>0</v>
      </c>
      <c r="CC105" s="314">
        <f t="shared" si="540"/>
        <v>0</v>
      </c>
      <c r="CD105" s="314">
        <f t="shared" si="540"/>
        <v>0</v>
      </c>
      <c r="CE105" s="314">
        <f t="shared" si="540"/>
        <v>0</v>
      </c>
      <c r="CF105" s="314">
        <f t="shared" si="540"/>
        <v>0</v>
      </c>
      <c r="CG105" s="314">
        <f t="shared" si="540"/>
        <v>0</v>
      </c>
      <c r="CH105" s="314">
        <f t="shared" si="540"/>
        <v>0</v>
      </c>
      <c r="CI105" s="314">
        <f t="shared" si="540"/>
        <v>0</v>
      </c>
      <c r="CJ105" s="314">
        <f t="shared" si="540"/>
        <v>0</v>
      </c>
      <c r="CK105" s="314">
        <f t="shared" si="540"/>
        <v>0</v>
      </c>
      <c r="CL105" s="314">
        <f t="shared" si="540"/>
        <v>0</v>
      </c>
      <c r="CM105" s="314">
        <f t="shared" si="540"/>
        <v>0</v>
      </c>
      <c r="CN105" s="314">
        <f t="shared" si="540"/>
        <v>0</v>
      </c>
      <c r="CO105" s="314">
        <f t="shared" si="540"/>
        <v>0</v>
      </c>
      <c r="CP105" s="314">
        <f t="shared" si="540"/>
        <v>0</v>
      </c>
      <c r="CQ105" s="314">
        <f t="shared" si="540"/>
        <v>0</v>
      </c>
      <c r="CR105" s="314">
        <f t="shared" si="540"/>
        <v>0</v>
      </c>
      <c r="CS105" s="314">
        <f t="shared" si="540"/>
        <v>0</v>
      </c>
      <c r="CT105" s="314">
        <f t="shared" si="540"/>
        <v>0</v>
      </c>
      <c r="CU105" s="314">
        <f t="shared" si="540"/>
        <v>0</v>
      </c>
      <c r="CV105" s="314">
        <f t="shared" si="540"/>
        <v>0</v>
      </c>
      <c r="CW105" s="314">
        <f t="shared" si="540"/>
        <v>0</v>
      </c>
      <c r="CX105" s="314">
        <f t="shared" si="540"/>
        <v>0</v>
      </c>
      <c r="CY105" s="314">
        <f t="shared" si="540"/>
        <v>0</v>
      </c>
      <c r="CZ105" s="314">
        <f t="shared" si="540"/>
        <v>0</v>
      </c>
      <c r="DA105" s="314">
        <f t="shared" si="540"/>
        <v>0</v>
      </c>
      <c r="DB105" s="314">
        <f t="shared" si="540"/>
        <v>0</v>
      </c>
      <c r="DC105" s="314">
        <f t="shared" si="540"/>
        <v>0</v>
      </c>
      <c r="DD105" s="314">
        <f t="shared" si="540"/>
        <v>0</v>
      </c>
      <c r="DE105" s="314">
        <f t="shared" si="540"/>
        <v>0</v>
      </c>
      <c r="DF105" s="314">
        <f t="shared" si="540"/>
        <v>-556092</v>
      </c>
      <c r="DG105" s="314">
        <f t="shared" si="540"/>
        <v>0</v>
      </c>
      <c r="DH105" s="314">
        <f t="shared" si="540"/>
        <v>0</v>
      </c>
      <c r="DI105" s="314">
        <f t="shared" si="540"/>
        <v>0</v>
      </c>
      <c r="DJ105" s="314">
        <f t="shared" si="540"/>
        <v>0</v>
      </c>
      <c r="DK105" s="314">
        <f t="shared" si="540"/>
        <v>0</v>
      </c>
      <c r="DL105" s="314">
        <f t="shared" si="540"/>
        <v>0</v>
      </c>
      <c r="DM105" s="314">
        <f t="shared" si="540"/>
        <v>0</v>
      </c>
      <c r="DN105" s="314">
        <f t="shared" si="540"/>
        <v>0</v>
      </c>
      <c r="DO105" s="314">
        <f t="shared" si="540"/>
        <v>0</v>
      </c>
      <c r="DP105" s="314">
        <f t="shared" si="540"/>
        <v>0</v>
      </c>
      <c r="DQ105" s="314">
        <f t="shared" si="540"/>
        <v>0</v>
      </c>
      <c r="DR105" s="314">
        <f t="shared" si="540"/>
        <v>-54351</v>
      </c>
      <c r="DS105" s="314">
        <f t="shared" si="540"/>
        <v>0</v>
      </c>
      <c r="DT105" s="314">
        <f t="shared" si="540"/>
        <v>0</v>
      </c>
      <c r="DU105" s="314">
        <f t="shared" si="540"/>
        <v>0</v>
      </c>
      <c r="DV105" s="314">
        <f t="shared" si="540"/>
        <v>0</v>
      </c>
      <c r="DW105" s="314">
        <f t="shared" si="540"/>
        <v>0</v>
      </c>
      <c r="DX105" s="314">
        <f t="shared" si="540"/>
        <v>0</v>
      </c>
      <c r="DY105" s="314">
        <f t="shared" si="540"/>
        <v>0</v>
      </c>
      <c r="DZ105" s="314">
        <f t="shared" si="540"/>
        <v>0</v>
      </c>
      <c r="EA105" s="314">
        <f t="shared" si="540"/>
        <v>0</v>
      </c>
      <c r="EB105" s="314">
        <f t="shared" si="540"/>
        <v>0</v>
      </c>
      <c r="EC105" s="314">
        <f t="shared" ref="EC105:GN105" si="541">IF(EC103&lt;0,EC103,0)</f>
        <v>0</v>
      </c>
      <c r="ED105" s="314">
        <f t="shared" si="541"/>
        <v>0</v>
      </c>
      <c r="EE105" s="314">
        <f t="shared" si="541"/>
        <v>0</v>
      </c>
      <c r="EF105" s="314">
        <f t="shared" si="541"/>
        <v>-3087.5899999999674</v>
      </c>
      <c r="EG105" s="314">
        <f t="shared" si="541"/>
        <v>-2828.9899999999907</v>
      </c>
      <c r="EH105" s="314">
        <f t="shared" si="541"/>
        <v>0</v>
      </c>
      <c r="EI105" s="314">
        <f t="shared" si="541"/>
        <v>0</v>
      </c>
      <c r="EJ105" s="314">
        <f t="shared" si="541"/>
        <v>0</v>
      </c>
      <c r="EK105" s="314">
        <f t="shared" si="541"/>
        <v>0</v>
      </c>
      <c r="EL105" s="314">
        <f t="shared" si="541"/>
        <v>0</v>
      </c>
      <c r="EM105" s="314">
        <f t="shared" si="541"/>
        <v>0</v>
      </c>
      <c r="EN105" s="314">
        <f t="shared" si="541"/>
        <v>0</v>
      </c>
      <c r="EO105" s="314">
        <f t="shared" si="541"/>
        <v>0</v>
      </c>
      <c r="EP105" s="314">
        <f t="shared" si="541"/>
        <v>0</v>
      </c>
      <c r="EQ105" s="314">
        <f t="shared" si="541"/>
        <v>0</v>
      </c>
      <c r="ER105" s="314">
        <f t="shared" si="541"/>
        <v>0</v>
      </c>
      <c r="ES105" s="314">
        <f t="shared" si="541"/>
        <v>0</v>
      </c>
      <c r="ET105" s="314">
        <f t="shared" si="541"/>
        <v>0</v>
      </c>
      <c r="EU105" s="314">
        <f t="shared" si="541"/>
        <v>0</v>
      </c>
      <c r="EV105" s="314">
        <f t="shared" si="541"/>
        <v>0</v>
      </c>
      <c r="EW105" s="314">
        <f t="shared" si="541"/>
        <v>0</v>
      </c>
      <c r="EX105" s="314">
        <f t="shared" si="541"/>
        <v>0</v>
      </c>
      <c r="EY105" s="314">
        <f t="shared" si="541"/>
        <v>0</v>
      </c>
      <c r="EZ105" s="314">
        <f t="shared" si="541"/>
        <v>-111326</v>
      </c>
      <c r="FA105" s="314">
        <f t="shared" si="541"/>
        <v>0</v>
      </c>
      <c r="FB105" s="314">
        <f t="shared" si="541"/>
        <v>0</v>
      </c>
      <c r="FC105" s="314">
        <f t="shared" si="541"/>
        <v>0</v>
      </c>
      <c r="FD105" s="314">
        <f t="shared" si="541"/>
        <v>0</v>
      </c>
      <c r="FE105" s="314">
        <f t="shared" si="541"/>
        <v>0</v>
      </c>
      <c r="FF105" s="314">
        <f t="shared" si="541"/>
        <v>0</v>
      </c>
      <c r="FG105" s="314">
        <f t="shared" si="541"/>
        <v>0</v>
      </c>
      <c r="FH105" s="314">
        <f t="shared" si="541"/>
        <v>0</v>
      </c>
      <c r="FI105" s="314">
        <f t="shared" si="541"/>
        <v>0</v>
      </c>
      <c r="FJ105" s="314">
        <f t="shared" si="541"/>
        <v>0</v>
      </c>
      <c r="FK105" s="314">
        <f t="shared" si="541"/>
        <v>-164695.7972628584</v>
      </c>
      <c r="FL105" s="314">
        <f t="shared" si="541"/>
        <v>-312231.21227710997</v>
      </c>
      <c r="FM105" s="314">
        <f t="shared" si="541"/>
        <v>-1683387.8709666431</v>
      </c>
      <c r="FN105" s="314">
        <f t="shared" si="541"/>
        <v>0</v>
      </c>
      <c r="FO105" s="314">
        <f t="shared" si="541"/>
        <v>-5035.8626000001095</v>
      </c>
      <c r="FP105" s="314">
        <f t="shared" si="541"/>
        <v>0</v>
      </c>
      <c r="FQ105" s="314">
        <f t="shared" si="541"/>
        <v>0</v>
      </c>
      <c r="FR105" s="314">
        <f t="shared" si="541"/>
        <v>0</v>
      </c>
      <c r="FS105" s="314">
        <f t="shared" si="541"/>
        <v>-13562.049999999988</v>
      </c>
      <c r="FT105" s="314">
        <f t="shared" si="541"/>
        <v>0</v>
      </c>
      <c r="FU105" s="314">
        <f t="shared" si="541"/>
        <v>0</v>
      </c>
      <c r="FV105" s="314">
        <f t="shared" si="541"/>
        <v>0</v>
      </c>
      <c r="FW105" s="314">
        <f t="shared" si="541"/>
        <v>-76054.969574229559</v>
      </c>
      <c r="FX105" s="314">
        <f t="shared" si="541"/>
        <v>0</v>
      </c>
      <c r="FY105" s="314">
        <f t="shared" si="541"/>
        <v>-9591</v>
      </c>
      <c r="FZ105" s="314">
        <f t="shared" si="541"/>
        <v>-5055.9147311123088</v>
      </c>
      <c r="GA105" s="314">
        <f t="shared" si="541"/>
        <v>0</v>
      </c>
      <c r="GB105" s="314">
        <f t="shared" si="541"/>
        <v>0</v>
      </c>
      <c r="GC105" s="314">
        <f t="shared" si="541"/>
        <v>0</v>
      </c>
      <c r="GD105" s="314">
        <f t="shared" si="541"/>
        <v>0</v>
      </c>
      <c r="GE105" s="314">
        <f t="shared" si="541"/>
        <v>0</v>
      </c>
      <c r="GF105" s="314">
        <f t="shared" si="541"/>
        <v>0</v>
      </c>
      <c r="GG105" s="314">
        <f t="shared" si="541"/>
        <v>-132562.53661982156</v>
      </c>
      <c r="GH105" s="314">
        <f t="shared" si="541"/>
        <v>-34865</v>
      </c>
      <c r="GI105" s="314">
        <f t="shared" si="541"/>
        <v>0</v>
      </c>
      <c r="GJ105" s="314">
        <f t="shared" si="541"/>
        <v>0</v>
      </c>
      <c r="GK105" s="314">
        <f t="shared" si="541"/>
        <v>0</v>
      </c>
      <c r="GL105" s="314">
        <f t="shared" si="541"/>
        <v>-59341.971743901726</v>
      </c>
      <c r="GM105" s="314">
        <f t="shared" si="541"/>
        <v>-60702.477244471665</v>
      </c>
      <c r="GN105" s="314">
        <f t="shared" si="541"/>
        <v>0</v>
      </c>
      <c r="GO105" s="314">
        <f t="shared" ref="GO105:IZ105" si="542">IF(GO103&lt;0,GO103,0)</f>
        <v>0</v>
      </c>
      <c r="GP105" s="314">
        <f t="shared" si="542"/>
        <v>-35811.376342296251</v>
      </c>
      <c r="GQ105" s="314">
        <f t="shared" si="542"/>
        <v>-430637.21128313889</v>
      </c>
      <c r="GR105" s="314">
        <f t="shared" si="542"/>
        <v>-83152</v>
      </c>
      <c r="GS105" s="314">
        <f t="shared" si="542"/>
        <v>-165886</v>
      </c>
      <c r="GT105" s="314">
        <f t="shared" si="542"/>
        <v>0</v>
      </c>
      <c r="GU105" s="314">
        <f t="shared" si="542"/>
        <v>0</v>
      </c>
      <c r="GV105" s="314">
        <f t="shared" si="542"/>
        <v>0</v>
      </c>
      <c r="GW105" s="314">
        <f t="shared" si="542"/>
        <v>-192141.11092572834</v>
      </c>
      <c r="GX105" s="314">
        <f t="shared" si="542"/>
        <v>-4333</v>
      </c>
      <c r="GY105" s="314">
        <f t="shared" si="542"/>
        <v>0</v>
      </c>
      <c r="GZ105" s="314">
        <f t="shared" si="542"/>
        <v>0</v>
      </c>
      <c r="HA105" s="314">
        <f t="shared" si="542"/>
        <v>0</v>
      </c>
      <c r="HB105" s="314">
        <f t="shared" si="542"/>
        <v>0</v>
      </c>
      <c r="HC105" s="314">
        <f t="shared" si="542"/>
        <v>0</v>
      </c>
      <c r="HD105" s="314">
        <f t="shared" si="542"/>
        <v>0</v>
      </c>
      <c r="HE105" s="314">
        <f t="shared" si="542"/>
        <v>0</v>
      </c>
      <c r="HF105" s="314">
        <f t="shared" si="542"/>
        <v>0</v>
      </c>
      <c r="HG105" s="314">
        <f t="shared" si="542"/>
        <v>-34312.862394777359</v>
      </c>
      <c r="HH105" s="314">
        <f t="shared" si="542"/>
        <v>-115202.67942905379</v>
      </c>
      <c r="HI105" s="314">
        <f t="shared" si="542"/>
        <v>-270679.82297403831</v>
      </c>
      <c r="HJ105" s="314">
        <f t="shared" si="542"/>
        <v>0</v>
      </c>
      <c r="HK105" s="314">
        <f t="shared" si="542"/>
        <v>-144000</v>
      </c>
      <c r="HL105" s="314">
        <f t="shared" si="542"/>
        <v>0</v>
      </c>
      <c r="HM105" s="314">
        <f t="shared" si="542"/>
        <v>-1822000.7132431082</v>
      </c>
      <c r="HN105" s="314">
        <f t="shared" si="542"/>
        <v>0</v>
      </c>
      <c r="HO105" s="314">
        <f t="shared" si="542"/>
        <v>-29609.132768688723</v>
      </c>
      <c r="HP105" s="314">
        <f t="shared" si="542"/>
        <v>0</v>
      </c>
      <c r="HQ105" s="314">
        <f t="shared" si="542"/>
        <v>0</v>
      </c>
      <c r="HR105" s="314">
        <f t="shared" si="542"/>
        <v>0</v>
      </c>
      <c r="HS105" s="314">
        <f t="shared" si="542"/>
        <v>0</v>
      </c>
      <c r="HT105" s="314">
        <f t="shared" si="542"/>
        <v>-5347061.1012308747</v>
      </c>
      <c r="HU105" s="314">
        <f t="shared" si="542"/>
        <v>0</v>
      </c>
      <c r="HV105" s="314">
        <f t="shared" si="542"/>
        <v>0</v>
      </c>
      <c r="HW105" s="314">
        <f t="shared" si="542"/>
        <v>-1812058.0750665925</v>
      </c>
      <c r="HX105" s="314">
        <f t="shared" si="542"/>
        <v>0</v>
      </c>
      <c r="HY105" s="314">
        <f t="shared" si="542"/>
        <v>-2304863.0664582625</v>
      </c>
      <c r="HZ105" s="314">
        <f t="shared" si="542"/>
        <v>0</v>
      </c>
      <c r="IA105" s="314">
        <f t="shared" si="542"/>
        <v>0</v>
      </c>
      <c r="IB105" s="314">
        <f t="shared" si="542"/>
        <v>0</v>
      </c>
      <c r="IC105" s="314">
        <f t="shared" si="542"/>
        <v>0</v>
      </c>
      <c r="ID105" s="314">
        <f t="shared" si="542"/>
        <v>0</v>
      </c>
      <c r="IE105" s="314">
        <f t="shared" si="542"/>
        <v>0</v>
      </c>
      <c r="IF105" s="314">
        <f t="shared" si="542"/>
        <v>-4461847.704423666</v>
      </c>
      <c r="IG105" s="314">
        <f t="shared" si="542"/>
        <v>-546105.68378837779</v>
      </c>
      <c r="IH105" s="314">
        <f t="shared" si="542"/>
        <v>0</v>
      </c>
      <c r="II105" s="314">
        <f t="shared" si="542"/>
        <v>-2410000.7748431563</v>
      </c>
      <c r="IJ105" s="314">
        <f t="shared" si="542"/>
        <v>0</v>
      </c>
      <c r="IK105" s="314">
        <f t="shared" si="542"/>
        <v>0</v>
      </c>
      <c r="IL105" s="314">
        <f t="shared" si="542"/>
        <v>0</v>
      </c>
      <c r="IM105" s="314">
        <f t="shared" si="542"/>
        <v>-152079.87741329148</v>
      </c>
      <c r="IN105" s="314">
        <f t="shared" si="542"/>
        <v>-129860.38538624719</v>
      </c>
      <c r="IO105" s="314">
        <f t="shared" si="542"/>
        <v>0</v>
      </c>
      <c r="IP105" s="314">
        <f t="shared" si="542"/>
        <v>-1643290.993533127</v>
      </c>
      <c r="IQ105" s="314">
        <f t="shared" si="542"/>
        <v>-1714838.8915572092</v>
      </c>
      <c r="IR105" s="314">
        <f t="shared" si="542"/>
        <v>0</v>
      </c>
      <c r="IS105" s="314">
        <f t="shared" si="542"/>
        <v>-2179814.1629052833</v>
      </c>
      <c r="IT105" s="314">
        <f t="shared" si="542"/>
        <v>0</v>
      </c>
      <c r="IU105" s="314">
        <f t="shared" si="542"/>
        <v>0</v>
      </c>
      <c r="IV105" s="314">
        <f t="shared" si="542"/>
        <v>-397086.00951962918</v>
      </c>
      <c r="IW105" s="314">
        <f t="shared" si="542"/>
        <v>-2690895.015101593</v>
      </c>
      <c r="IX105" s="314">
        <f t="shared" si="542"/>
        <v>0</v>
      </c>
      <c r="IY105" s="314">
        <f t="shared" si="542"/>
        <v>0</v>
      </c>
      <c r="IZ105" s="314">
        <f t="shared" si="542"/>
        <v>0</v>
      </c>
      <c r="JA105" s="314">
        <f t="shared" ref="JA105:JH105" si="543">IF(JA103&lt;0,JA103,0)</f>
        <v>-176594.88052702183</v>
      </c>
      <c r="JB105" s="314">
        <f t="shared" si="543"/>
        <v>0</v>
      </c>
      <c r="JC105" s="314">
        <f t="shared" si="543"/>
        <v>-280579.00259929337</v>
      </c>
      <c r="JD105" s="314">
        <f t="shared" si="543"/>
        <v>-1176392</v>
      </c>
      <c r="JE105" s="314">
        <f t="shared" si="543"/>
        <v>-348800.14505924704</v>
      </c>
      <c r="JF105" s="314">
        <f t="shared" si="543"/>
        <v>0</v>
      </c>
      <c r="JG105" s="314">
        <f t="shared" si="543"/>
        <v>-2061607.7021934986</v>
      </c>
      <c r="JH105" s="314">
        <f t="shared" si="543"/>
        <v>0</v>
      </c>
      <c r="JI105" s="314">
        <f>SUM(C105:JH105)</f>
        <v>-38358453.295809418</v>
      </c>
      <c r="JL105" s="307">
        <f t="shared" si="517"/>
        <v>0</v>
      </c>
      <c r="JM105" s="307">
        <f t="shared" si="517"/>
        <v>-2528499.2518220665</v>
      </c>
      <c r="JN105" s="307">
        <f t="shared" si="517"/>
        <v>-4144568.7263691812</v>
      </c>
      <c r="JO105" s="307">
        <f t="shared" si="517"/>
        <v>-31685385.317618165</v>
      </c>
      <c r="JP105" s="307">
        <f t="shared" si="518"/>
        <v>-38358453.295809411</v>
      </c>
    </row>
    <row r="106" spans="1:276" x14ac:dyDescent="0.25">
      <c r="C106" s="559">
        <f>C102/C101-1</f>
        <v>0.16151425752709159</v>
      </c>
      <c r="D106" s="559">
        <f t="shared" ref="D106:BP106" si="544">D102/D101-1</f>
        <v>0.22250162104031257</v>
      </c>
      <c r="E106" s="559">
        <f t="shared" si="544"/>
        <v>1.2539571776980285E-2</v>
      </c>
      <c r="F106" s="559">
        <f t="shared" si="544"/>
        <v>3.7962666829867819E-2</v>
      </c>
      <c r="G106" s="559">
        <f t="shared" si="544"/>
        <v>0.16066496904376604</v>
      </c>
      <c r="H106" s="559">
        <f t="shared" si="544"/>
        <v>7.7215530095545271E-2</v>
      </c>
      <c r="I106" s="559">
        <f t="shared" si="544"/>
        <v>0.42414184605858929</v>
      </c>
      <c r="J106" s="559">
        <f t="shared" si="544"/>
        <v>8.1836175664369959E-2</v>
      </c>
      <c r="K106" s="559">
        <f t="shared" si="544"/>
        <v>0.11519380982586602</v>
      </c>
      <c r="L106" s="559">
        <f t="shared" si="544"/>
        <v>0</v>
      </c>
      <c r="M106" s="559">
        <f t="shared" si="544"/>
        <v>8.381582793054454E-3</v>
      </c>
      <c r="N106" s="559">
        <f t="shared" si="544"/>
        <v>2.2083623074675041E-2</v>
      </c>
      <c r="O106" s="559">
        <f t="shared" si="544"/>
        <v>4.6020521650309787E-2</v>
      </c>
      <c r="P106" s="559">
        <f t="shared" si="544"/>
        <v>9.5952437928649159E-2</v>
      </c>
      <c r="Q106" s="559">
        <f t="shared" si="544"/>
        <v>0.25334732789383474</v>
      </c>
      <c r="R106" s="559">
        <f t="shared" si="544"/>
        <v>-1.5869446398559917E-2</v>
      </c>
      <c r="S106" s="559">
        <f t="shared" si="544"/>
        <v>0</v>
      </c>
      <c r="T106" s="559">
        <f t="shared" si="544"/>
        <v>5.3163532709244565E-2</v>
      </c>
      <c r="U106" s="559">
        <f t="shared" si="544"/>
        <v>-1.0647705066575419E-2</v>
      </c>
      <c r="V106" s="559">
        <f t="shared" si="544"/>
        <v>0</v>
      </c>
      <c r="W106" s="559">
        <f t="shared" si="544"/>
        <v>0.16712328767123297</v>
      </c>
      <c r="X106" s="559">
        <f t="shared" si="544"/>
        <v>0.75918268672070011</v>
      </c>
      <c r="Y106" s="559">
        <f t="shared" si="544"/>
        <v>7.3329882069166352E-3</v>
      </c>
      <c r="Z106" s="559">
        <f t="shared" si="544"/>
        <v>5.5447168709865657E-2</v>
      </c>
      <c r="AA106" s="559">
        <f t="shared" si="544"/>
        <v>0.10257244469218652</v>
      </c>
      <c r="AB106" s="559">
        <f t="shared" si="544"/>
        <v>0.20675955094995757</v>
      </c>
      <c r="AC106" s="559">
        <f t="shared" ref="AC106" si="545">AC102/AC101-1</f>
        <v>-0.7603196453557497</v>
      </c>
      <c r="AD106" s="559">
        <f t="shared" si="544"/>
        <v>0.40373562280438602</v>
      </c>
      <c r="AE106" s="559">
        <f t="shared" si="544"/>
        <v>7.2723778259244476E-2</v>
      </c>
      <c r="AF106" s="559">
        <f t="shared" si="544"/>
        <v>0.57943202809322392</v>
      </c>
      <c r="AG106" s="559">
        <f t="shared" si="544"/>
        <v>3.7603752435508397E-2</v>
      </c>
      <c r="AH106" s="559">
        <f t="shared" si="544"/>
        <v>-9.4699882439727157E-3</v>
      </c>
      <c r="AI106" s="559">
        <f t="shared" si="544"/>
        <v>0.17634861941459024</v>
      </c>
      <c r="AJ106" s="559">
        <f t="shared" si="544"/>
        <v>5.497286046606531E-2</v>
      </c>
      <c r="AK106" s="559">
        <f t="shared" si="544"/>
        <v>4.5093347697729769E-2</v>
      </c>
      <c r="AL106" s="559">
        <f t="shared" si="544"/>
        <v>4.9716387813842466E-2</v>
      </c>
      <c r="AM106" s="559">
        <f t="shared" si="544"/>
        <v>9.1100110174612281E-2</v>
      </c>
      <c r="AN106" s="559">
        <f t="shared" si="544"/>
        <v>0.11776943136373097</v>
      </c>
      <c r="AO106" s="559">
        <f t="shared" si="544"/>
        <v>0.31502245615630087</v>
      </c>
      <c r="AP106" s="559">
        <f t="shared" si="544"/>
        <v>-5.9744834671769942E-2</v>
      </c>
      <c r="AQ106" s="559">
        <f t="shared" si="544"/>
        <v>0.49723423330019689</v>
      </c>
      <c r="AR106" s="559">
        <f t="shared" si="544"/>
        <v>0.35481389755521309</v>
      </c>
      <c r="AS106" s="559">
        <f t="shared" si="544"/>
        <v>9.9165550063772034E-2</v>
      </c>
      <c r="AT106" s="559">
        <f t="shared" si="544"/>
        <v>0.14816409285290733</v>
      </c>
      <c r="AU106" s="559">
        <f t="shared" si="544"/>
        <v>0.10952477486315271</v>
      </c>
      <c r="AV106" s="559">
        <f t="shared" si="544"/>
        <v>7.3417634082188377E-2</v>
      </c>
      <c r="AW106" s="559">
        <f t="shared" si="544"/>
        <v>9.3995214733075372E-2</v>
      </c>
      <c r="AX106" s="559">
        <f t="shared" si="544"/>
        <v>9.0947303749049135E-2</v>
      </c>
      <c r="AY106" s="559">
        <f t="shared" si="544"/>
        <v>6.7521197371620323E-2</v>
      </c>
      <c r="AZ106" s="559">
        <f t="shared" si="544"/>
        <v>1.6977485599073416E-2</v>
      </c>
      <c r="BA106" s="559">
        <f t="shared" si="544"/>
        <v>0.24472911835418487</v>
      </c>
      <c r="BB106" s="559">
        <f t="shared" si="544"/>
        <v>0.28702000933219884</v>
      </c>
      <c r="BC106" s="559">
        <f t="shared" si="544"/>
        <v>0.21313364011968572</v>
      </c>
      <c r="BD106" s="559">
        <f t="shared" si="544"/>
        <v>0.49963088117148202</v>
      </c>
      <c r="BE106" s="559">
        <f t="shared" si="544"/>
        <v>7.2071051489248417E-2</v>
      </c>
      <c r="BF106" s="559">
        <f t="shared" si="544"/>
        <v>6.9371506013891304E-2</v>
      </c>
      <c r="BG106" s="559">
        <f t="shared" si="544"/>
        <v>6.602804519720018E-2</v>
      </c>
      <c r="BH106" s="559">
        <f t="shared" si="544"/>
        <v>8.7491876035423966E-2</v>
      </c>
      <c r="BI106" s="559">
        <f t="shared" si="544"/>
        <v>-0.13493631224031055</v>
      </c>
      <c r="BJ106" s="559">
        <f t="shared" si="544"/>
        <v>3.0851694819850506E-2</v>
      </c>
      <c r="BK106" s="559">
        <f t="shared" si="544"/>
        <v>0.15962441314553999</v>
      </c>
      <c r="BL106" s="559" t="e">
        <f t="shared" si="544"/>
        <v>#DIV/0!</v>
      </c>
      <c r="BM106" s="559">
        <f t="shared" si="544"/>
        <v>1.3814436676963093</v>
      </c>
      <c r="BN106" s="559">
        <f t="shared" si="544"/>
        <v>4.7472814888586345E-2</v>
      </c>
      <c r="BO106" s="559">
        <f t="shared" si="544"/>
        <v>0.37961398469212448</v>
      </c>
      <c r="BP106" s="559">
        <f t="shared" si="544"/>
        <v>0.18696494048565215</v>
      </c>
      <c r="BQ106" s="559">
        <f t="shared" ref="BQ106:EB106" si="546">BQ102/BQ101-1</f>
        <v>0.12062457540664906</v>
      </c>
      <c r="BR106" s="559">
        <f t="shared" si="546"/>
        <v>0.15861221035295192</v>
      </c>
      <c r="BS106" s="559">
        <f t="shared" si="546"/>
        <v>9.5402565435505071E-3</v>
      </c>
      <c r="BT106" s="559">
        <f t="shared" si="546"/>
        <v>6.2853466070492692E-2</v>
      </c>
      <c r="BU106" s="559">
        <f t="shared" si="546"/>
        <v>0</v>
      </c>
      <c r="BV106" s="559">
        <f t="shared" si="546"/>
        <v>1.0001494885776316</v>
      </c>
      <c r="BW106" s="559">
        <f t="shared" si="546"/>
        <v>0</v>
      </c>
      <c r="BX106" s="559">
        <f t="shared" si="546"/>
        <v>0.16118259232244059</v>
      </c>
      <c r="BY106" s="559">
        <f t="shared" si="546"/>
        <v>0</v>
      </c>
      <c r="BZ106" s="559">
        <f t="shared" si="546"/>
        <v>0</v>
      </c>
      <c r="CA106" s="559" t="e">
        <f t="shared" si="546"/>
        <v>#DIV/0!</v>
      </c>
      <c r="CB106" s="559">
        <f t="shared" si="546"/>
        <v>7.375320362577753E-2</v>
      </c>
      <c r="CC106" s="559">
        <f t="shared" si="546"/>
        <v>5.5478524772787141E-2</v>
      </c>
      <c r="CD106" s="559">
        <f t="shared" si="546"/>
        <v>2.2418368290562762E-2</v>
      </c>
      <c r="CE106" s="559">
        <f t="shared" si="546"/>
        <v>0.17489666045864527</v>
      </c>
      <c r="CF106" s="559">
        <f t="shared" si="546"/>
        <v>2.9500194019637327E-2</v>
      </c>
      <c r="CG106" s="559">
        <f t="shared" si="546"/>
        <v>6.615556231361408E-2</v>
      </c>
      <c r="CH106" s="559">
        <f t="shared" si="546"/>
        <v>8.3498683280026409E-2</v>
      </c>
      <c r="CI106" s="559">
        <f t="shared" si="546"/>
        <v>0.15127345306536455</v>
      </c>
      <c r="CJ106" s="559">
        <f t="shared" si="546"/>
        <v>0.1140805490423078</v>
      </c>
      <c r="CK106" s="559">
        <f t="shared" si="546"/>
        <v>8.7481441346274336E-2</v>
      </c>
      <c r="CL106" s="559">
        <f t="shared" si="546"/>
        <v>9.5108049016359608E-2</v>
      </c>
      <c r="CM106" s="559">
        <f t="shared" si="546"/>
        <v>0.12999824081717559</v>
      </c>
      <c r="CN106" s="559">
        <f t="shared" si="546"/>
        <v>4.63401876941818E-2</v>
      </c>
      <c r="CO106" s="559">
        <f t="shared" si="546"/>
        <v>0</v>
      </c>
      <c r="CP106" s="559">
        <f t="shared" si="546"/>
        <v>2.4532971730332642E-2</v>
      </c>
      <c r="CQ106" s="559">
        <f t="shared" si="546"/>
        <v>0.19729007697734446</v>
      </c>
      <c r="CR106" s="559">
        <f t="shared" si="546"/>
        <v>0.44179490351311235</v>
      </c>
      <c r="CS106" s="559" t="e">
        <f t="shared" si="546"/>
        <v>#DIV/0!</v>
      </c>
      <c r="CT106" s="559">
        <f t="shared" si="546"/>
        <v>0.16956209277441414</v>
      </c>
      <c r="CU106" s="559">
        <f t="shared" si="546"/>
        <v>0.33880756872545525</v>
      </c>
      <c r="CV106" s="559">
        <f t="shared" si="546"/>
        <v>0.121930037945152</v>
      </c>
      <c r="CW106" s="559">
        <f t="shared" si="546"/>
        <v>0.47383392102460942</v>
      </c>
      <c r="CX106" s="559">
        <f t="shared" si="546"/>
        <v>0.10517902813299229</v>
      </c>
      <c r="CY106" s="559">
        <f t="shared" si="546"/>
        <v>4.8065294617956056E-2</v>
      </c>
      <c r="CZ106" s="559">
        <f t="shared" si="546"/>
        <v>0.36555080957584196</v>
      </c>
      <c r="DA106" s="559">
        <f t="shared" si="546"/>
        <v>0.37075647839221904</v>
      </c>
      <c r="DB106" s="559">
        <f t="shared" si="546"/>
        <v>0.14350816439410341</v>
      </c>
      <c r="DC106" s="559">
        <f t="shared" si="546"/>
        <v>0.2024727216127209</v>
      </c>
      <c r="DD106" s="559">
        <f t="shared" si="546"/>
        <v>0.23904574048022531</v>
      </c>
      <c r="DE106" s="559">
        <f t="shared" si="546"/>
        <v>5.9907153293058624E-2</v>
      </c>
      <c r="DF106" s="559">
        <f t="shared" si="546"/>
        <v>-0.10659531840274561</v>
      </c>
      <c r="DG106" s="559">
        <f t="shared" si="546"/>
        <v>0.32554918801991617</v>
      </c>
      <c r="DH106" s="559">
        <f t="shared" si="546"/>
        <v>0.51729966020325979</v>
      </c>
      <c r="DI106" s="559">
        <f t="shared" si="546"/>
        <v>4.0098528344048256E-2</v>
      </c>
      <c r="DJ106" s="559">
        <f t="shared" si="546"/>
        <v>5.7165878352719135E-2</v>
      </c>
      <c r="DK106" s="559">
        <f t="shared" si="546"/>
        <v>2.0772870892146904</v>
      </c>
      <c r="DL106" s="559">
        <f t="shared" si="546"/>
        <v>7.258474268223547E-2</v>
      </c>
      <c r="DM106" s="559">
        <f t="shared" si="546"/>
        <v>0.13385726729229419</v>
      </c>
      <c r="DN106" s="559">
        <f t="shared" si="546"/>
        <v>0.23782552465558338</v>
      </c>
      <c r="DO106" s="559">
        <f t="shared" si="546"/>
        <v>3.2375684284731143E-3</v>
      </c>
      <c r="DP106" s="559">
        <f t="shared" si="546"/>
        <v>0</v>
      </c>
      <c r="DQ106" s="559">
        <f t="shared" si="546"/>
        <v>2.7071905486697023E-2</v>
      </c>
      <c r="DR106" s="559">
        <f t="shared" si="546"/>
        <v>-1.2139029645935495E-2</v>
      </c>
      <c r="DS106" s="559">
        <f t="shared" si="546"/>
        <v>1.6525679758308156</v>
      </c>
      <c r="DT106" s="559">
        <f t="shared" si="546"/>
        <v>0.16294756835191038</v>
      </c>
      <c r="DU106" s="559">
        <f t="shared" si="546"/>
        <v>9.0016963433685593E-3</v>
      </c>
      <c r="DV106" s="559">
        <f t="shared" si="546"/>
        <v>0.4062518975659335</v>
      </c>
      <c r="DW106" s="559">
        <f t="shared" si="546"/>
        <v>0.20769316206487498</v>
      </c>
      <c r="DX106" s="559">
        <f t="shared" si="546"/>
        <v>0.10761845170453777</v>
      </c>
      <c r="DY106" s="559">
        <f t="shared" si="546"/>
        <v>0.21996265142075511</v>
      </c>
      <c r="DZ106" s="559">
        <f t="shared" si="546"/>
        <v>1.064594278218145E-2</v>
      </c>
      <c r="EA106" s="559">
        <f t="shared" si="546"/>
        <v>3.9310041004438911E-3</v>
      </c>
      <c r="EB106" s="559">
        <f t="shared" si="546"/>
        <v>0.48129592070024896</v>
      </c>
      <c r="EC106" s="559">
        <f t="shared" ref="EC106:FQ106" si="547">EC102/EC101-1</f>
        <v>4.854153114784876E-2</v>
      </c>
      <c r="ED106" s="559">
        <f t="shared" si="547"/>
        <v>9.129425569743721E-2</v>
      </c>
      <c r="EE106" s="559">
        <f t="shared" si="547"/>
        <v>8.2281804891203958E-2</v>
      </c>
      <c r="EF106" s="559">
        <f t="shared" si="547"/>
        <v>-4.614627510876379E-3</v>
      </c>
      <c r="EG106" s="559">
        <f t="shared" si="547"/>
        <v>-6.6124317569036251E-3</v>
      </c>
      <c r="EH106" s="559">
        <f t="shared" si="547"/>
        <v>6.3126485250236675E-2</v>
      </c>
      <c r="EI106" s="559">
        <f t="shared" si="547"/>
        <v>0.12544235374464874</v>
      </c>
      <c r="EJ106" s="559">
        <f t="shared" si="547"/>
        <v>0.21280805422598803</v>
      </c>
      <c r="EK106" s="559">
        <f t="shared" si="547"/>
        <v>0</v>
      </c>
      <c r="EL106" s="559">
        <f t="shared" si="547"/>
        <v>3.1545582089124391E-2</v>
      </c>
      <c r="EM106" s="559">
        <f t="shared" si="547"/>
        <v>4.4049935913512916E-2</v>
      </c>
      <c r="EN106" s="559">
        <f t="shared" si="547"/>
        <v>5.5180826845823594E-2</v>
      </c>
      <c r="EO106" s="559">
        <f t="shared" si="547"/>
        <v>0.38118141095667779</v>
      </c>
      <c r="EP106" s="559">
        <f t="shared" si="547"/>
        <v>0.36798560007885328</v>
      </c>
      <c r="EQ106" s="559">
        <f t="shared" si="547"/>
        <v>0.25704942754569804</v>
      </c>
      <c r="ER106" s="559">
        <f t="shared" si="547"/>
        <v>0.18605418110280003</v>
      </c>
      <c r="ES106" s="559">
        <f t="shared" si="547"/>
        <v>4.2882827782165567E-2</v>
      </c>
      <c r="ET106" s="559" t="e">
        <f t="shared" si="547"/>
        <v>#DIV/0!</v>
      </c>
      <c r="EU106" s="559">
        <f t="shared" si="547"/>
        <v>1.5572139303482588</v>
      </c>
      <c r="EV106" s="559">
        <f t="shared" si="547"/>
        <v>0.96459967554842474</v>
      </c>
      <c r="EW106" s="559">
        <f t="shared" si="547"/>
        <v>6.3126066233061273E-2</v>
      </c>
      <c r="EX106" s="559">
        <f t="shared" si="547"/>
        <v>3.1460004059836733E-2</v>
      </c>
      <c r="EY106" s="559">
        <f t="shared" si="547"/>
        <v>7.0034037568371676E-3</v>
      </c>
      <c r="EZ106" s="559">
        <f t="shared" si="547"/>
        <v>-1</v>
      </c>
      <c r="FA106" s="559">
        <f t="shared" si="547"/>
        <v>0.24733523835442472</v>
      </c>
      <c r="FB106" s="559">
        <f t="shared" si="547"/>
        <v>0.27227576397385223</v>
      </c>
      <c r="FC106" s="559">
        <f t="shared" si="547"/>
        <v>1.4067993787456157E-2</v>
      </c>
      <c r="FD106" s="559">
        <f t="shared" si="547"/>
        <v>0.37107851723295826</v>
      </c>
      <c r="FE106" s="559">
        <f t="shared" si="547"/>
        <v>0.3076301460845281</v>
      </c>
      <c r="FF106" s="559">
        <f t="shared" si="547"/>
        <v>0.29045398882841589</v>
      </c>
      <c r="FG106" s="559">
        <f t="shared" si="547"/>
        <v>0.21768279013162806</v>
      </c>
      <c r="FH106" s="559">
        <f t="shared" si="547"/>
        <v>4.9102658026150214E-2</v>
      </c>
      <c r="FI106" s="559">
        <f t="shared" si="547"/>
        <v>0.36166026158373921</v>
      </c>
      <c r="FJ106" s="559">
        <f t="shared" si="547"/>
        <v>0.1744565831261371</v>
      </c>
      <c r="FK106" s="559">
        <f t="shared" si="547"/>
        <v>-0.58433432178185152</v>
      </c>
      <c r="FL106" s="559">
        <f t="shared" si="547"/>
        <v>-0.51886163014133491</v>
      </c>
      <c r="FM106" s="559">
        <f t="shared" si="547"/>
        <v>-0.64094804604116096</v>
      </c>
      <c r="FN106" s="559">
        <f t="shared" si="547"/>
        <v>8.4163735504264148E-2</v>
      </c>
      <c r="FO106" s="559">
        <f t="shared" si="547"/>
        <v>-3.0342791311699369E-3</v>
      </c>
      <c r="FP106" s="559">
        <f t="shared" si="547"/>
        <v>1.7024424721003184E-2</v>
      </c>
      <c r="FQ106" s="559">
        <f t="shared" si="547"/>
        <v>3.2918438606846179E-2</v>
      </c>
      <c r="FR106" s="559">
        <v>1</v>
      </c>
      <c r="FS106" s="559">
        <f t="shared" ref="FS106:ID106" si="548">FS102/FS101-1</f>
        <v>-2.8398035890026541E-2</v>
      </c>
      <c r="FT106" s="559">
        <f t="shared" si="548"/>
        <v>0.10421242690289989</v>
      </c>
      <c r="FU106" s="559">
        <f t="shared" si="548"/>
        <v>9.2092558247806711E-2</v>
      </c>
      <c r="FV106" s="559">
        <f t="shared" si="548"/>
        <v>3.0974296200403373E-4</v>
      </c>
      <c r="FW106" s="559">
        <f t="shared" si="548"/>
        <v>-7.5024507957434206E-2</v>
      </c>
      <c r="FX106" s="559">
        <f t="shared" si="548"/>
        <v>5.3730080515138612E-2</v>
      </c>
      <c r="FY106" s="559">
        <f t="shared" si="548"/>
        <v>-4.5760552695487844E-2</v>
      </c>
      <c r="FZ106" s="559">
        <f t="shared" si="548"/>
        <v>-1.9625398283185103E-3</v>
      </c>
      <c r="GA106" s="559">
        <f t="shared" si="548"/>
        <v>1.0054405953545675E-3</v>
      </c>
      <c r="GB106" s="559">
        <f t="shared" si="548"/>
        <v>0.28243845778451426</v>
      </c>
      <c r="GC106" s="559">
        <f t="shared" si="548"/>
        <v>7.2163908960110046E-3</v>
      </c>
      <c r="GD106" s="559">
        <f t="shared" si="548"/>
        <v>0.11325713114834102</v>
      </c>
      <c r="GE106" s="559">
        <f t="shared" si="548"/>
        <v>3.4550974000515211E-2</v>
      </c>
      <c r="GF106" s="559">
        <f t="shared" si="548"/>
        <v>8.1051171049318249E-2</v>
      </c>
      <c r="GG106" s="559">
        <f t="shared" si="548"/>
        <v>-0.10276316986050305</v>
      </c>
      <c r="GH106" s="559">
        <f t="shared" si="548"/>
        <v>-3.1998509520164586E-2</v>
      </c>
      <c r="GI106" s="559">
        <f t="shared" si="548"/>
        <v>0.12400311161640531</v>
      </c>
      <c r="GJ106" s="559">
        <f t="shared" si="548"/>
        <v>0.1029680577646801</v>
      </c>
      <c r="GK106" s="559">
        <f t="shared" si="548"/>
        <v>0.65132932010268263</v>
      </c>
      <c r="GL106" s="559">
        <f t="shared" si="548"/>
        <v>-0.11211490686478209</v>
      </c>
      <c r="GM106" s="559">
        <f t="shared" si="548"/>
        <v>-8.0588494031745062E-2</v>
      </c>
      <c r="GN106" s="559">
        <f t="shared" si="548"/>
        <v>0.30782313868667655</v>
      </c>
      <c r="GO106" s="559">
        <f t="shared" si="548"/>
        <v>0.247727027087431</v>
      </c>
      <c r="GP106" s="559">
        <f t="shared" si="548"/>
        <v>-6.8832291583785787E-2</v>
      </c>
      <c r="GQ106" s="559">
        <f t="shared" si="548"/>
        <v>-0.58176135968974352</v>
      </c>
      <c r="GR106" s="559">
        <f t="shared" si="548"/>
        <v>-0.11996214394533955</v>
      </c>
      <c r="GS106" s="559">
        <f t="shared" si="548"/>
        <v>-1</v>
      </c>
      <c r="GT106" s="559">
        <f t="shared" si="548"/>
        <v>4.0655422399223928E-2</v>
      </c>
      <c r="GU106" s="559">
        <f t="shared" si="548"/>
        <v>6.0229446762022132E-2</v>
      </c>
      <c r="GV106" s="559">
        <f t="shared" si="548"/>
        <v>8.1031329829166499E-3</v>
      </c>
      <c r="GW106" s="559">
        <f t="shared" si="548"/>
        <v>-0.16945662973025766</v>
      </c>
      <c r="GX106" s="559">
        <f t="shared" si="548"/>
        <v>-2.8075654591046662E-2</v>
      </c>
      <c r="GY106" s="559">
        <f t="shared" si="548"/>
        <v>4.1768935510434479E-2</v>
      </c>
      <c r="GZ106" s="559" t="e">
        <f t="shared" si="548"/>
        <v>#DIV/0!</v>
      </c>
      <c r="HA106" s="559">
        <f t="shared" si="548"/>
        <v>6.6325442525058564E-2</v>
      </c>
      <c r="HB106" s="559">
        <f t="shared" si="548"/>
        <v>0.12571924999328066</v>
      </c>
      <c r="HC106" s="559">
        <f t="shared" si="548"/>
        <v>7.804001911630154E-2</v>
      </c>
      <c r="HD106" s="559">
        <f t="shared" si="548"/>
        <v>0.36198724437121599</v>
      </c>
      <c r="HE106" s="559">
        <f t="shared" si="548"/>
        <v>0.11298163485776014</v>
      </c>
      <c r="HF106" s="559">
        <f t="shared" si="548"/>
        <v>0.10410630884922423</v>
      </c>
      <c r="HG106" s="559">
        <f t="shared" si="548"/>
        <v>-6.6231201915501692E-2</v>
      </c>
      <c r="HH106" s="559">
        <f t="shared" si="548"/>
        <v>-5.8013876389532815E-2</v>
      </c>
      <c r="HI106" s="559">
        <f t="shared" si="548"/>
        <v>-0.17871102114125981</v>
      </c>
      <c r="HJ106" s="559">
        <f t="shared" si="548"/>
        <v>1.0141057421821507</v>
      </c>
      <c r="HK106" s="559">
        <f t="shared" si="548"/>
        <v>-1</v>
      </c>
      <c r="HL106" s="559">
        <f t="shared" si="548"/>
        <v>7.5680378553348193E-2</v>
      </c>
      <c r="HM106" s="559">
        <f t="shared" si="548"/>
        <v>-7.2875619433543815E-2</v>
      </c>
      <c r="HN106" s="559">
        <f t="shared" si="548"/>
        <v>0.22748075140444834</v>
      </c>
      <c r="HO106" s="559">
        <f t="shared" si="548"/>
        <v>-1.0292492911413875E-2</v>
      </c>
      <c r="HP106" s="559">
        <f t="shared" si="548"/>
        <v>0.10571787383879672</v>
      </c>
      <c r="HQ106" s="559">
        <f t="shared" si="548"/>
        <v>6.4373534192205817E-3</v>
      </c>
      <c r="HR106" s="559">
        <f t="shared" si="548"/>
        <v>1.3287142386770867E-2</v>
      </c>
      <c r="HS106" s="559">
        <f t="shared" si="548"/>
        <v>0.1641831037183219</v>
      </c>
      <c r="HT106" s="559">
        <f t="shared" si="548"/>
        <v>-0.2365989216766019</v>
      </c>
      <c r="HU106" s="559">
        <f t="shared" si="548"/>
        <v>0.18171266299292799</v>
      </c>
      <c r="HV106" s="559">
        <f t="shared" si="548"/>
        <v>0.17956100609457559</v>
      </c>
      <c r="HW106" s="559">
        <f t="shared" si="548"/>
        <v>-0.26014602796337416</v>
      </c>
      <c r="HX106" s="559">
        <f t="shared" si="548"/>
        <v>0.32139869788836184</v>
      </c>
      <c r="HY106" s="559">
        <f t="shared" si="548"/>
        <v>-0.10920539454857225</v>
      </c>
      <c r="HZ106" s="559">
        <f t="shared" si="548"/>
        <v>5.1268532344260986E-2</v>
      </c>
      <c r="IA106" s="559">
        <f t="shared" si="548"/>
        <v>1.8441044446675381E-3</v>
      </c>
      <c r="IB106" s="559">
        <f t="shared" si="548"/>
        <v>4.9881209573578111E-2</v>
      </c>
      <c r="IC106" s="559">
        <f t="shared" si="548"/>
        <v>0.17405294470669297</v>
      </c>
      <c r="ID106" s="559">
        <f t="shared" si="548"/>
        <v>0.17100262724341864</v>
      </c>
      <c r="IE106" s="559">
        <f t="shared" ref="IE106:JH106" si="549">IE102/IE101-1</f>
        <v>0.14287515795302586</v>
      </c>
      <c r="IF106" s="559">
        <f t="shared" si="549"/>
        <v>-0.22022954213362589</v>
      </c>
      <c r="IG106" s="559">
        <f t="shared" si="549"/>
        <v>-0.10027500582483395</v>
      </c>
      <c r="IH106" s="559">
        <f t="shared" si="549"/>
        <v>0.24430638428942242</v>
      </c>
      <c r="II106" s="559">
        <f t="shared" si="549"/>
        <v>-0.1156326830227965</v>
      </c>
      <c r="IJ106" s="559">
        <f t="shared" si="549"/>
        <v>0.2427880028031455</v>
      </c>
      <c r="IK106" s="559">
        <f t="shared" si="549"/>
        <v>3.551281316038768E-3</v>
      </c>
      <c r="IL106" s="559">
        <f t="shared" si="549"/>
        <v>2.6729019709091251E-2</v>
      </c>
      <c r="IM106" s="559">
        <f t="shared" si="549"/>
        <v>-0.21668805546621783</v>
      </c>
      <c r="IN106" s="559">
        <f t="shared" si="549"/>
        <v>-1.2714020163996698E-2</v>
      </c>
      <c r="IO106" s="559">
        <f t="shared" si="549"/>
        <v>0.13634428707751156</v>
      </c>
      <c r="IP106" s="559">
        <f t="shared" si="549"/>
        <v>-7.2983687171945366E-2</v>
      </c>
      <c r="IQ106" s="559">
        <f t="shared" si="549"/>
        <v>-7.5999012980479397E-2</v>
      </c>
      <c r="IR106" s="559">
        <f t="shared" si="549"/>
        <v>1.3398857990106539E-2</v>
      </c>
      <c r="IS106" s="559">
        <f t="shared" si="549"/>
        <v>-4.1077668060089945E-2</v>
      </c>
      <c r="IT106" s="559">
        <f t="shared" si="549"/>
        <v>8.0670717051841923E-2</v>
      </c>
      <c r="IU106" s="559">
        <f t="shared" si="549"/>
        <v>9.8515203834173226E-2</v>
      </c>
      <c r="IV106" s="559">
        <f t="shared" si="549"/>
        <v>-4.6593187951154968E-2</v>
      </c>
      <c r="IW106" s="559">
        <f t="shared" si="549"/>
        <v>-0.17206427083312037</v>
      </c>
      <c r="IX106" s="559">
        <f t="shared" si="549"/>
        <v>0.12970104247905345</v>
      </c>
      <c r="IY106" s="559">
        <f t="shared" si="549"/>
        <v>0.38461494970219112</v>
      </c>
      <c r="IZ106" s="559">
        <f t="shared" si="549"/>
        <v>0.2785144764315024</v>
      </c>
      <c r="JA106" s="559">
        <f t="shared" si="549"/>
        <v>-5.8144898979749615E-2</v>
      </c>
      <c r="JB106" s="559">
        <f t="shared" si="549"/>
        <v>9.4294849369400913E-2</v>
      </c>
      <c r="JC106" s="559">
        <f t="shared" si="549"/>
        <v>-0.12366965453165735</v>
      </c>
      <c r="JD106" s="559">
        <f t="shared" si="549"/>
        <v>-0.23281149678644131</v>
      </c>
      <c r="JE106" s="559">
        <f t="shared" si="549"/>
        <v>-0.30092191941863766</v>
      </c>
      <c r="JF106" s="559">
        <f t="shared" si="549"/>
        <v>0.25808634111011552</v>
      </c>
      <c r="JG106" s="559">
        <f t="shared" si="549"/>
        <v>-6.7501766600466029E-2</v>
      </c>
      <c r="JH106" s="559">
        <f t="shared" si="549"/>
        <v>0.57178129649589793</v>
      </c>
      <c r="JI106" s="314"/>
      <c r="JL106" s="307"/>
      <c r="JM106" s="307"/>
      <c r="JN106" s="307"/>
      <c r="JO106" s="307"/>
      <c r="JP106" s="307"/>
    </row>
    <row r="107" spans="1:276" x14ac:dyDescent="0.25">
      <c r="B107" s="313" t="s">
        <v>2613</v>
      </c>
      <c r="C107" s="314">
        <f>C13-C12</f>
        <v>609565.15107938461</v>
      </c>
      <c r="D107" s="314">
        <f t="shared" ref="D107:BP107" si="550">D13-D12</f>
        <v>2253406.764516497</v>
      </c>
      <c r="E107" s="314">
        <f t="shared" si="550"/>
        <v>639808.84684456885</v>
      </c>
      <c r="F107" s="314">
        <f t="shared" si="550"/>
        <v>210602.70883535733</v>
      </c>
      <c r="G107" s="314">
        <f t="shared" si="550"/>
        <v>565939.12729059532</v>
      </c>
      <c r="H107" s="314">
        <f t="shared" si="550"/>
        <v>51660.119815635728</v>
      </c>
      <c r="I107" s="314">
        <f t="shared" si="550"/>
        <v>505236.98052527243</v>
      </c>
      <c r="J107" s="314">
        <f t="shared" si="550"/>
        <v>125985.85576618928</v>
      </c>
      <c r="K107" s="314">
        <f t="shared" si="550"/>
        <v>233873.81287731882</v>
      </c>
      <c r="L107" s="314">
        <f t="shared" si="550"/>
        <v>160311.82925694017</v>
      </c>
      <c r="M107" s="314">
        <f t="shared" si="550"/>
        <v>212969.23889576597</v>
      </c>
      <c r="N107" s="314">
        <f t="shared" si="550"/>
        <v>243929.83708032314</v>
      </c>
      <c r="O107" s="314">
        <f t="shared" si="550"/>
        <v>186273.21042339411</v>
      </c>
      <c r="P107" s="314">
        <f t="shared" si="550"/>
        <v>121913.00218168925</v>
      </c>
      <c r="Q107" s="314">
        <f t="shared" si="550"/>
        <v>82856.479101015488</v>
      </c>
      <c r="R107" s="314">
        <f t="shared" si="550"/>
        <v>101268.58556790743</v>
      </c>
      <c r="S107" s="314">
        <f t="shared" si="550"/>
        <v>70581.074789753417</v>
      </c>
      <c r="T107" s="314">
        <f t="shared" si="550"/>
        <v>30687.510778153781</v>
      </c>
      <c r="U107" s="314">
        <f t="shared" si="550"/>
        <v>46031.266167230671</v>
      </c>
      <c r="V107" s="314">
        <f t="shared" si="550"/>
        <v>817680.42823424935</v>
      </c>
      <c r="W107" s="314">
        <f t="shared" si="550"/>
        <v>197886.91937226057</v>
      </c>
      <c r="X107" s="314">
        <f t="shared" si="550"/>
        <v>732939.08618784696</v>
      </c>
      <c r="Y107" s="314">
        <f t="shared" si="550"/>
        <v>115075.44921071106</v>
      </c>
      <c r="Z107" s="314">
        <f t="shared" si="550"/>
        <v>548668.06231076457</v>
      </c>
      <c r="AA107" s="314">
        <f t="shared" si="550"/>
        <v>181969.32670215517</v>
      </c>
      <c r="AB107" s="314">
        <f t="shared" si="550"/>
        <v>597622.71596623911</v>
      </c>
      <c r="AC107" s="314">
        <f t="shared" ref="AC107" si="551">AC13-AC12</f>
        <v>-903512.15867635026</v>
      </c>
      <c r="AD107" s="314">
        <f t="shared" si="550"/>
        <v>940930.69856136572</v>
      </c>
      <c r="AE107" s="314">
        <f t="shared" si="550"/>
        <v>51557.525898943888</v>
      </c>
      <c r="AF107" s="314">
        <f t="shared" si="550"/>
        <v>935142.15908293426</v>
      </c>
      <c r="AG107" s="314">
        <f t="shared" si="550"/>
        <v>183748.02881668555</v>
      </c>
      <c r="AH107" s="314">
        <f t="shared" si="550"/>
        <v>62551.893660530914</v>
      </c>
      <c r="AI107" s="314">
        <f t="shared" si="550"/>
        <v>326061.72257919516</v>
      </c>
      <c r="AJ107" s="314">
        <f t="shared" si="550"/>
        <v>226760.43652025051</v>
      </c>
      <c r="AK107" s="314">
        <f t="shared" si="550"/>
        <v>64443.372634122847</v>
      </c>
      <c r="AL107" s="314">
        <f t="shared" si="550"/>
        <v>90984.163351077586</v>
      </c>
      <c r="AM107" s="314">
        <f t="shared" si="550"/>
        <v>64443.372634123079</v>
      </c>
      <c r="AN107" s="314">
        <f t="shared" si="550"/>
        <v>41121.504442726145</v>
      </c>
      <c r="AO107" s="314">
        <f t="shared" si="550"/>
        <v>371243.66314082965</v>
      </c>
      <c r="AP107" s="314">
        <f t="shared" si="550"/>
        <v>125415.6132770502</v>
      </c>
      <c r="AQ107" s="314">
        <f t="shared" si="550"/>
        <v>12275.404311261489</v>
      </c>
      <c r="AR107" s="314">
        <f t="shared" si="550"/>
        <v>69046.39925084589</v>
      </c>
      <c r="AS107" s="314">
        <f t="shared" si="550"/>
        <v>18412.106466892292</v>
      </c>
      <c r="AT107" s="314">
        <f t="shared" si="550"/>
        <v>111217.19397727586</v>
      </c>
      <c r="AU107" s="314">
        <f t="shared" si="550"/>
        <v>43607.283322408097</v>
      </c>
      <c r="AV107" s="314">
        <f t="shared" si="550"/>
        <v>89467.677295226138</v>
      </c>
      <c r="AW107" s="314">
        <f t="shared" si="550"/>
        <v>143500.55504343286</v>
      </c>
      <c r="AX107" s="314">
        <f t="shared" si="550"/>
        <v>222449.80829497427</v>
      </c>
      <c r="AY107" s="314">
        <f t="shared" si="550"/>
        <v>151551.83795339055</v>
      </c>
      <c r="AZ107" s="314">
        <f t="shared" si="550"/>
        <v>212018.77795484383</v>
      </c>
      <c r="BA107" s="314">
        <f t="shared" si="550"/>
        <v>610511.92165514082</v>
      </c>
      <c r="BB107" s="314">
        <f t="shared" si="550"/>
        <v>58305.670478492277</v>
      </c>
      <c r="BC107" s="314">
        <f t="shared" si="550"/>
        <v>55798.493802532321</v>
      </c>
      <c r="BD107" s="314">
        <f t="shared" si="550"/>
        <v>702984.94931657845</v>
      </c>
      <c r="BE107" s="314">
        <f t="shared" si="550"/>
        <v>269440.81189770787</v>
      </c>
      <c r="BF107" s="314">
        <f t="shared" si="550"/>
        <v>125818.39419043064</v>
      </c>
      <c r="BG107" s="314">
        <f t="shared" si="550"/>
        <v>155555.06568605872</v>
      </c>
      <c r="BH107" s="314">
        <f t="shared" si="550"/>
        <v>149419.24156050989</v>
      </c>
      <c r="BI107" s="314">
        <f t="shared" si="550"/>
        <v>177805.11291619809</v>
      </c>
      <c r="BJ107" s="314">
        <f t="shared" si="550"/>
        <v>146998.67011217214</v>
      </c>
      <c r="BK107" s="314">
        <f t="shared" si="550"/>
        <v>233720.81189770787</v>
      </c>
      <c r="BL107" s="314">
        <f t="shared" si="550"/>
        <v>484189.8882988008</v>
      </c>
      <c r="BM107" s="314">
        <f t="shared" si="550"/>
        <v>100788.2846129518</v>
      </c>
      <c r="BN107" s="314">
        <f t="shared" si="550"/>
        <v>80401.598238762934</v>
      </c>
      <c r="BO107" s="314">
        <f t="shared" si="550"/>
        <v>46391.3738330903</v>
      </c>
      <c r="BP107" s="314">
        <f t="shared" si="550"/>
        <v>845790.26164068934</v>
      </c>
      <c r="BQ107" s="314">
        <f t="shared" ref="BQ107:EB107" si="552">BQ13-BQ12</f>
        <v>36221.133532779291</v>
      </c>
      <c r="BR107" s="314">
        <f t="shared" si="552"/>
        <v>41428.239550507744</v>
      </c>
      <c r="BS107" s="314">
        <f t="shared" si="552"/>
        <v>55237.319400676759</v>
      </c>
      <c r="BT107" s="314">
        <f t="shared" si="552"/>
        <v>46031.266167230671</v>
      </c>
      <c r="BU107" s="314">
        <f t="shared" si="552"/>
        <v>233623.22949550021</v>
      </c>
      <c r="BV107" s="314">
        <f t="shared" si="552"/>
        <v>61964.662600792479</v>
      </c>
      <c r="BW107" s="314">
        <f t="shared" si="552"/>
        <v>12275.404311261489</v>
      </c>
      <c r="BX107" s="314">
        <f t="shared" si="552"/>
        <v>269060.123708467</v>
      </c>
      <c r="BY107" s="314">
        <f t="shared" si="552"/>
        <v>104998.68873558543</v>
      </c>
      <c r="BZ107" s="314">
        <f t="shared" si="552"/>
        <v>11543.987553595856</v>
      </c>
      <c r="CA107" s="314">
        <f t="shared" si="552"/>
        <v>0</v>
      </c>
      <c r="CB107" s="314">
        <f t="shared" si="552"/>
        <v>12381.638190687081</v>
      </c>
      <c r="CC107" s="314">
        <f t="shared" si="552"/>
        <v>99733.910028999671</v>
      </c>
      <c r="CD107" s="314">
        <f t="shared" si="552"/>
        <v>30687.510778153781</v>
      </c>
      <c r="CE107" s="314">
        <f t="shared" si="552"/>
        <v>745494.12531677075</v>
      </c>
      <c r="CF107" s="314">
        <f t="shared" si="552"/>
        <v>191676.8393289512</v>
      </c>
      <c r="CG107" s="314">
        <f t="shared" si="552"/>
        <v>480812.49607044645</v>
      </c>
      <c r="CH107" s="314">
        <f t="shared" si="552"/>
        <v>207895.87657092884</v>
      </c>
      <c r="CI107" s="314">
        <f t="shared" si="552"/>
        <v>148225.96719942894</v>
      </c>
      <c r="CJ107" s="314">
        <f t="shared" si="552"/>
        <v>193414.0818283353</v>
      </c>
      <c r="CK107" s="314">
        <f t="shared" si="552"/>
        <v>222657.2291703308</v>
      </c>
      <c r="CL107" s="314">
        <f t="shared" si="552"/>
        <v>325175.74855449842</v>
      </c>
      <c r="CM107" s="314">
        <f t="shared" si="552"/>
        <v>367497.43998631369</v>
      </c>
      <c r="CN107" s="314">
        <f t="shared" si="552"/>
        <v>54508.854153010063</v>
      </c>
      <c r="CO107" s="314">
        <f t="shared" si="552"/>
        <v>54508.854153010063</v>
      </c>
      <c r="CP107" s="314">
        <f t="shared" si="552"/>
        <v>54508.854153010063</v>
      </c>
      <c r="CQ107" s="314">
        <f t="shared" si="552"/>
        <v>263854.573718125</v>
      </c>
      <c r="CR107" s="314">
        <f t="shared" si="552"/>
        <v>131249.18444889318</v>
      </c>
      <c r="CS107" s="314">
        <f t="shared" si="552"/>
        <v>186144.80288492236</v>
      </c>
      <c r="CT107" s="314">
        <f t="shared" si="552"/>
        <v>239093.64334082417</v>
      </c>
      <c r="CU107" s="314">
        <f t="shared" si="552"/>
        <v>104998.68873558543</v>
      </c>
      <c r="CV107" s="314">
        <f t="shared" si="552"/>
        <v>335603.83038687799</v>
      </c>
      <c r="CW107" s="314">
        <f t="shared" si="552"/>
        <v>18412.106466892292</v>
      </c>
      <c r="CX107" s="314">
        <f t="shared" si="552"/>
        <v>266211.20813903026</v>
      </c>
      <c r="CY107" s="314">
        <f t="shared" si="552"/>
        <v>170623.28390120855</v>
      </c>
      <c r="CZ107" s="314">
        <f t="shared" si="552"/>
        <v>412558.87251330796</v>
      </c>
      <c r="DA107" s="314">
        <f t="shared" si="552"/>
        <v>456302.72108589858</v>
      </c>
      <c r="DB107" s="314">
        <f t="shared" si="552"/>
        <v>35290.537394876708</v>
      </c>
      <c r="DC107" s="314">
        <f t="shared" si="552"/>
        <v>396850.78122951509</v>
      </c>
      <c r="DD107" s="314">
        <f t="shared" si="552"/>
        <v>1665039.4795616046</v>
      </c>
      <c r="DE107" s="314">
        <f t="shared" si="552"/>
        <v>330712.87138624676</v>
      </c>
      <c r="DF107" s="314">
        <f t="shared" si="552"/>
        <v>330712.87138624676</v>
      </c>
      <c r="DG107" s="314">
        <f t="shared" si="552"/>
        <v>35290.537394876708</v>
      </c>
      <c r="DH107" s="314">
        <f t="shared" si="552"/>
        <v>123279.07433351269</v>
      </c>
      <c r="DI107" s="314">
        <f t="shared" si="552"/>
        <v>46493.907834072364</v>
      </c>
      <c r="DJ107" s="314">
        <f t="shared" si="552"/>
        <v>94489.391824641731</v>
      </c>
      <c r="DK107" s="314">
        <f t="shared" si="552"/>
        <v>1646214.6237954157</v>
      </c>
      <c r="DL107" s="314">
        <f t="shared" si="552"/>
        <v>236248.25553742051</v>
      </c>
      <c r="DM107" s="314">
        <f t="shared" si="552"/>
        <v>130147.44149400387</v>
      </c>
      <c r="DN107" s="314">
        <f t="shared" si="552"/>
        <v>793700.56245903019</v>
      </c>
      <c r="DO107" s="314">
        <f t="shared" si="552"/>
        <v>62992.927883094642</v>
      </c>
      <c r="DP107" s="314">
        <f t="shared" si="552"/>
        <v>177154.02599728294</v>
      </c>
      <c r="DQ107" s="314">
        <f t="shared" si="552"/>
        <v>198649.67331651878</v>
      </c>
      <c r="DR107" s="314">
        <f t="shared" si="552"/>
        <v>1053830.908377694</v>
      </c>
      <c r="DS107" s="314">
        <f t="shared" si="552"/>
        <v>-630238.11001488776</v>
      </c>
      <c r="DT107" s="314">
        <f t="shared" si="552"/>
        <v>246558.81513104588</v>
      </c>
      <c r="DU107" s="314">
        <f t="shared" si="552"/>
        <v>116027.15701977629</v>
      </c>
      <c r="DV107" s="314">
        <f t="shared" si="552"/>
        <v>388008.89112560265</v>
      </c>
      <c r="DW107" s="314">
        <f t="shared" si="552"/>
        <v>57400.022017373005</v>
      </c>
      <c r="DX107" s="314">
        <f t="shared" si="552"/>
        <v>188978.78364928346</v>
      </c>
      <c r="DY107" s="314">
        <f t="shared" si="552"/>
        <v>255562.75048264861</v>
      </c>
      <c r="DZ107" s="314">
        <f t="shared" si="552"/>
        <v>41211.711505187908</v>
      </c>
      <c r="EA107" s="314">
        <f t="shared" si="552"/>
        <v>-1677984.2352945581</v>
      </c>
      <c r="EB107" s="314">
        <f t="shared" si="552"/>
        <v>319453.85834364966</v>
      </c>
      <c r="EC107" s="314">
        <f t="shared" ref="EC107:GN107" si="553">EC13-EC12</f>
        <v>187413.78349753143</v>
      </c>
      <c r="ED107" s="314">
        <f t="shared" si="553"/>
        <v>187174.26121151447</v>
      </c>
      <c r="EE107" s="314">
        <f t="shared" si="553"/>
        <v>35290.537394876708</v>
      </c>
      <c r="EF107" s="314">
        <f t="shared" si="553"/>
        <v>38358.888472692226</v>
      </c>
      <c r="EG107" s="314">
        <f t="shared" si="553"/>
        <v>18412.106466892292</v>
      </c>
      <c r="EH107" s="314">
        <f t="shared" si="553"/>
        <v>36172.808606829378</v>
      </c>
      <c r="EI107" s="314">
        <f t="shared" si="553"/>
        <v>53337.375954489224</v>
      </c>
      <c r="EJ107" s="314">
        <f t="shared" si="553"/>
        <v>50394.1423064759</v>
      </c>
      <c r="EK107" s="314">
        <f t="shared" si="553"/>
        <v>203267.08756845072</v>
      </c>
      <c r="EL107" s="314">
        <f t="shared" si="553"/>
        <v>579495.52529584803</v>
      </c>
      <c r="EM107" s="314">
        <f t="shared" si="553"/>
        <v>176844.31944287568</v>
      </c>
      <c r="EN107" s="314">
        <f t="shared" si="553"/>
        <v>106148.02390959067</v>
      </c>
      <c r="EO107" s="314">
        <f t="shared" si="553"/>
        <v>12275.404311261489</v>
      </c>
      <c r="EP107" s="314">
        <f t="shared" si="553"/>
        <v>832638.12610559678</v>
      </c>
      <c r="EQ107" s="314">
        <f t="shared" si="553"/>
        <v>78741.159853868186</v>
      </c>
      <c r="ER107" s="314">
        <f t="shared" si="553"/>
        <v>979593.41795777529</v>
      </c>
      <c r="ES107" s="314">
        <f t="shared" si="553"/>
        <v>420219.42038027104</v>
      </c>
      <c r="ET107" s="314">
        <f t="shared" si="553"/>
        <v>56847.051162631018</v>
      </c>
      <c r="EU107" s="314">
        <f t="shared" si="553"/>
        <v>149356.91443641949</v>
      </c>
      <c r="EV107" s="314">
        <f t="shared" si="553"/>
        <v>244313.51077815378</v>
      </c>
      <c r="EW107" s="314">
        <f t="shared" si="553"/>
        <v>236248.25553742051</v>
      </c>
      <c r="EX107" s="314">
        <f t="shared" si="553"/>
        <v>2008863.2675816193</v>
      </c>
      <c r="EY107" s="314">
        <f t="shared" si="553"/>
        <v>136476.74502661591</v>
      </c>
      <c r="EZ107" s="314">
        <f t="shared" si="553"/>
        <v>61687.148749803659</v>
      </c>
      <c r="FA107" s="314">
        <f t="shared" si="553"/>
        <v>136498.42476802599</v>
      </c>
      <c r="FB107" s="314">
        <f t="shared" si="553"/>
        <v>14174.490626362851</v>
      </c>
      <c r="FC107" s="314">
        <f t="shared" si="553"/>
        <v>1190382.4215486925</v>
      </c>
      <c r="FD107" s="314">
        <f t="shared" si="553"/>
        <v>75940.933514432982</v>
      </c>
      <c r="FE107" s="314">
        <f t="shared" si="553"/>
        <v>101918.58884631132</v>
      </c>
      <c r="FF107" s="314">
        <f t="shared" si="553"/>
        <v>170623.85448944382</v>
      </c>
      <c r="FG107" s="314">
        <f t="shared" si="553"/>
        <v>667129.01955252513</v>
      </c>
      <c r="FH107" s="314">
        <f t="shared" si="553"/>
        <v>710275.68899110146</v>
      </c>
      <c r="FI107" s="314">
        <f t="shared" si="553"/>
        <v>772730.56067644805</v>
      </c>
      <c r="FJ107" s="314">
        <f t="shared" si="553"/>
        <v>209998.14217705326</v>
      </c>
      <c r="FK107" s="314">
        <f t="shared" si="553"/>
        <v>52499.226720733917</v>
      </c>
      <c r="FL107" s="314">
        <f t="shared" si="553"/>
        <v>58755.784060769482</v>
      </c>
      <c r="FM107" s="314">
        <f t="shared" si="553"/>
        <v>301872.65658539534</v>
      </c>
      <c r="FN107" s="314">
        <f t="shared" si="553"/>
        <v>428921.47995545436</v>
      </c>
      <c r="FO107" s="314">
        <f t="shared" si="553"/>
        <v>150501.14837555587</v>
      </c>
      <c r="FP107" s="314">
        <f t="shared" si="553"/>
        <v>1073076.3949724846</v>
      </c>
      <c r="FQ107" s="314">
        <f t="shared" si="553"/>
        <v>132350.94844364841</v>
      </c>
      <c r="FR107" s="314">
        <f t="shared" si="553"/>
        <v>3847203.2896098206</v>
      </c>
      <c r="FS107" s="314">
        <f t="shared" si="553"/>
        <v>40950.369729855214</v>
      </c>
      <c r="FT107" s="314">
        <f t="shared" si="553"/>
        <v>307122.32631629333</v>
      </c>
      <c r="FU107" s="314">
        <f t="shared" si="553"/>
        <v>38849.668492836645</v>
      </c>
      <c r="FV107" s="314">
        <f t="shared" si="553"/>
        <v>100904.31987489713</v>
      </c>
      <c r="FW107" s="314">
        <f t="shared" si="553"/>
        <v>128623.96723050438</v>
      </c>
      <c r="FX107" s="314">
        <f t="shared" si="553"/>
        <v>55124.061586182448</v>
      </c>
      <c r="FY107" s="314">
        <f t="shared" si="553"/>
        <v>31499.25956185197</v>
      </c>
      <c r="FZ107" s="314">
        <f t="shared" si="553"/>
        <v>419996.04905998893</v>
      </c>
      <c r="GA107" s="314">
        <f t="shared" si="553"/>
        <v>59565.489587557968</v>
      </c>
      <c r="GB107" s="314">
        <f t="shared" si="553"/>
        <v>524721.48629777133</v>
      </c>
      <c r="GC107" s="314">
        <f t="shared" si="553"/>
        <v>209998.14217705326</v>
      </c>
      <c r="GD107" s="314">
        <f t="shared" si="553"/>
        <v>885954.35000413656</v>
      </c>
      <c r="GE107" s="314">
        <f t="shared" si="553"/>
        <v>100788.2846129518</v>
      </c>
      <c r="GF107" s="314">
        <f t="shared" si="553"/>
        <v>279560.17787614278</v>
      </c>
      <c r="GG107" s="314">
        <f t="shared" si="553"/>
        <v>98384.362719163299</v>
      </c>
      <c r="GH107" s="314">
        <f t="shared" si="553"/>
        <v>71097.431277228519</v>
      </c>
      <c r="GI107" s="314">
        <f t="shared" si="553"/>
        <v>827284.08696746826</v>
      </c>
      <c r="GJ107" s="314">
        <f t="shared" si="553"/>
        <v>196348.4773473097</v>
      </c>
      <c r="GK107" s="314">
        <f t="shared" si="553"/>
        <v>193405.49945019651</v>
      </c>
      <c r="GL107" s="314">
        <f t="shared" si="553"/>
        <v>61157.953704515006</v>
      </c>
      <c r="GM107" s="314">
        <f t="shared" si="553"/>
        <v>64047.978629786987</v>
      </c>
      <c r="GN107" s="314">
        <f t="shared" si="553"/>
        <v>60656.442234051647</v>
      </c>
      <c r="GO107" s="314">
        <f t="shared" ref="GO107:IZ107" si="554">GO13-GO12</f>
        <v>540574.79319093563</v>
      </c>
      <c r="GP107" s="314">
        <f t="shared" si="554"/>
        <v>72187.061741008889</v>
      </c>
      <c r="GQ107" s="314">
        <f t="shared" si="554"/>
        <v>144373.97642319463</v>
      </c>
      <c r="GR107" s="314">
        <f t="shared" si="554"/>
        <v>84261.605651483405</v>
      </c>
      <c r="GS107" s="314">
        <f t="shared" si="554"/>
        <v>52499.226720733917</v>
      </c>
      <c r="GT107" s="314">
        <f t="shared" si="554"/>
        <v>794055.53209227696</v>
      </c>
      <c r="GU107" s="314">
        <f t="shared" si="554"/>
        <v>100637.11881590681</v>
      </c>
      <c r="GV107" s="314">
        <f t="shared" si="554"/>
        <v>474724.18566624634</v>
      </c>
      <c r="GW107" s="314">
        <f t="shared" si="554"/>
        <v>118123.62776871026</v>
      </c>
      <c r="GX107" s="314">
        <f t="shared" si="554"/>
        <v>44624.339771447121</v>
      </c>
      <c r="GY107" s="314">
        <f t="shared" si="554"/>
        <v>1975751.4943936616</v>
      </c>
      <c r="GZ107" s="314">
        <f t="shared" si="554"/>
        <v>4016004.3026968315</v>
      </c>
      <c r="HA107" s="314">
        <f t="shared" si="554"/>
        <v>1473626.1912370417</v>
      </c>
      <c r="HB107" s="314">
        <f t="shared" si="554"/>
        <v>482469.09901564941</v>
      </c>
      <c r="HC107" s="314">
        <f t="shared" si="554"/>
        <v>839451.78273040242</v>
      </c>
      <c r="HD107" s="314">
        <f t="shared" si="554"/>
        <v>665441.14217705326</v>
      </c>
      <c r="HE107" s="314">
        <f t="shared" si="554"/>
        <v>662783.57615715638</v>
      </c>
      <c r="HF107" s="314">
        <f t="shared" si="554"/>
        <v>149623.4108599741</v>
      </c>
      <c r="HG107" s="314">
        <f t="shared" si="554"/>
        <v>75914.787739800522</v>
      </c>
      <c r="HH107" s="314">
        <f t="shared" si="554"/>
        <v>183748.02881668555</v>
      </c>
      <c r="HI107" s="314">
        <f t="shared" si="554"/>
        <v>262497.36889778636</v>
      </c>
      <c r="HJ107" s="314">
        <f t="shared" si="554"/>
        <v>598798.92788309464</v>
      </c>
      <c r="HK107" s="314">
        <f t="shared" si="554"/>
        <v>68249.618266365957</v>
      </c>
      <c r="HL107" s="314">
        <f t="shared" si="554"/>
        <v>2655042.3740813434</v>
      </c>
      <c r="HM107" s="314">
        <f t="shared" si="554"/>
        <v>1017355.4221506491</v>
      </c>
      <c r="HN107" s="314">
        <f t="shared" si="554"/>
        <v>31569.962109555257</v>
      </c>
      <c r="HO107" s="314">
        <f t="shared" si="554"/>
        <v>113387.07018957054</v>
      </c>
      <c r="HP107" s="314">
        <f t="shared" si="554"/>
        <v>1543471.6417521946</v>
      </c>
      <c r="HQ107" s="314">
        <f t="shared" si="554"/>
        <v>48309.940953776357</v>
      </c>
      <c r="HR107" s="314">
        <f t="shared" si="554"/>
        <v>3256460.5458836555</v>
      </c>
      <c r="HS107" s="314">
        <f t="shared" si="554"/>
        <v>1366135.637391096</v>
      </c>
      <c r="HT107" s="314">
        <f t="shared" si="554"/>
        <v>996361.59047078341</v>
      </c>
      <c r="HU107" s="314">
        <f t="shared" si="554"/>
        <v>1504247.0052082576</v>
      </c>
      <c r="HV107" s="314">
        <f t="shared" si="554"/>
        <v>3410721.9800217226</v>
      </c>
      <c r="HW107" s="314">
        <f t="shared" si="554"/>
        <v>-1849548.0594513193</v>
      </c>
      <c r="HX107" s="314">
        <f t="shared" si="554"/>
        <v>4337308.3413808942</v>
      </c>
      <c r="HY107" s="314">
        <f t="shared" si="554"/>
        <v>1185365.1734446846</v>
      </c>
      <c r="HZ107" s="314">
        <f t="shared" si="554"/>
        <v>651058.97769382969</v>
      </c>
      <c r="IA107" s="314">
        <f t="shared" si="554"/>
        <v>715411.15817536972</v>
      </c>
      <c r="IB107" s="314">
        <f t="shared" si="554"/>
        <v>1436993.9004964307</v>
      </c>
      <c r="IC107" s="314">
        <f t="shared" si="554"/>
        <v>1123928.3548384383</v>
      </c>
      <c r="ID107" s="314">
        <f t="shared" si="554"/>
        <v>766192.31781755388</v>
      </c>
      <c r="IE107" s="314">
        <f t="shared" si="554"/>
        <v>1760923.5176655725</v>
      </c>
      <c r="IF107" s="314">
        <f t="shared" si="554"/>
        <v>1714191.5880448222</v>
      </c>
      <c r="IG107" s="314">
        <f t="shared" si="554"/>
        <v>291507.07272479031</v>
      </c>
      <c r="IH107" s="314">
        <f t="shared" si="554"/>
        <v>343590.42741265753</v>
      </c>
      <c r="II107" s="314">
        <f t="shared" si="554"/>
        <v>1793236.129812181</v>
      </c>
      <c r="IJ107" s="314">
        <f t="shared" si="554"/>
        <v>188957.93973550387</v>
      </c>
      <c r="IK107" s="314">
        <f t="shared" si="554"/>
        <v>359520.57877053227</v>
      </c>
      <c r="IL107" s="314">
        <f t="shared" si="554"/>
        <v>1629302.700098794</v>
      </c>
      <c r="IM107" s="314">
        <f t="shared" si="554"/>
        <v>35508.358446243219</v>
      </c>
      <c r="IN107" s="314">
        <f t="shared" si="554"/>
        <v>684769.10520395823</v>
      </c>
      <c r="IO107" s="314">
        <f t="shared" si="554"/>
        <v>219936.56307524676</v>
      </c>
      <c r="IP107" s="314">
        <f t="shared" si="554"/>
        <v>1518759.1775805578</v>
      </c>
      <c r="IQ107" s="314">
        <f t="shared" si="554"/>
        <v>1548245.282894928</v>
      </c>
      <c r="IR107" s="314">
        <f t="shared" si="554"/>
        <v>57333.609034861438</v>
      </c>
      <c r="IS107" s="314">
        <f t="shared" si="554"/>
        <v>5863221.8590874374</v>
      </c>
      <c r="IT107" s="314">
        <f t="shared" si="554"/>
        <v>1583178.3445637673</v>
      </c>
      <c r="IU107" s="314">
        <f t="shared" si="554"/>
        <v>209496.78064061748</v>
      </c>
      <c r="IV107" s="314">
        <f t="shared" si="554"/>
        <v>565302.67642798088</v>
      </c>
      <c r="IW107" s="314">
        <f t="shared" si="554"/>
        <v>898712.48190665245</v>
      </c>
      <c r="IX107" s="314">
        <f t="shared" si="554"/>
        <v>114666.29693570267</v>
      </c>
      <c r="IY107" s="314">
        <f t="shared" si="554"/>
        <v>-1452747.4911705498</v>
      </c>
      <c r="IZ107" s="314">
        <f t="shared" si="554"/>
        <v>4261360.996755749</v>
      </c>
      <c r="JA107" s="314">
        <f t="shared" ref="JA107:JH107" si="555">JA13-JA12</f>
        <v>127353.0697293384</v>
      </c>
      <c r="JB107" s="314">
        <f t="shared" si="555"/>
        <v>142644.00015719747</v>
      </c>
      <c r="JC107" s="314">
        <f t="shared" si="555"/>
        <v>89939.459352466743</v>
      </c>
      <c r="JD107" s="314">
        <f t="shared" si="555"/>
        <v>283468.17547392473</v>
      </c>
      <c r="JE107" s="314">
        <f t="shared" si="555"/>
        <v>206732.40814489219</v>
      </c>
      <c r="JF107" s="314">
        <f t="shared" si="555"/>
        <v>7212859.1481602937</v>
      </c>
      <c r="JG107" s="314">
        <f t="shared" si="555"/>
        <v>1952842.1649511717</v>
      </c>
      <c r="JH107" s="314">
        <f t="shared" si="555"/>
        <v>-1314890.4802078607</v>
      </c>
      <c r="JI107" s="314">
        <f>SUM(C107:JH107)</f>
        <v>123672375.88643397</v>
      </c>
      <c r="JL107" s="307">
        <f>SUMIFS($C107:$JH107,$C$5:$JH$5,JL$5)</f>
        <v>3502780.7624404505</v>
      </c>
      <c r="JM107" s="307">
        <f>SUMIFS($C107:$JH107,$C$5:$JH$5,JM$5)</f>
        <v>31344792.517337482</v>
      </c>
      <c r="JN107" s="307">
        <f>SUMIFS($C107:$JH107,$C$5:$JH$5,JN$5)</f>
        <v>31625107.330638118</v>
      </c>
      <c r="JO107" s="307">
        <f>SUMIFS($C107:$JH107,$C$5:$JH$5,JO$5)</f>
        <v>57199695.276017919</v>
      </c>
      <c r="JP107" s="307">
        <f t="shared" ref="JP107" si="556">SUM(JL107:JO107)</f>
        <v>123672375.88643396</v>
      </c>
    </row>
    <row r="108" spans="1:276" x14ac:dyDescent="0.25">
      <c r="U108" s="313" t="s">
        <v>2595</v>
      </c>
      <c r="BI108" s="313" t="s">
        <v>2595</v>
      </c>
      <c r="DF108" s="313" t="s">
        <v>2595</v>
      </c>
      <c r="DR108" s="313" t="s">
        <v>2595</v>
      </c>
    </row>
    <row r="109" spans="1:276" s="583" customFormat="1" ht="12.75" x14ac:dyDescent="0.2">
      <c r="A109" s="561"/>
      <c r="B109" s="593" t="s">
        <v>2619</v>
      </c>
      <c r="C109" s="561"/>
      <c r="D109" s="561"/>
      <c r="E109" s="561"/>
      <c r="F109" s="561"/>
      <c r="G109" s="561"/>
      <c r="H109" s="561"/>
      <c r="I109" s="561"/>
      <c r="J109" s="561"/>
      <c r="K109" s="561"/>
      <c r="L109" s="561"/>
      <c r="M109" s="561"/>
      <c r="N109" s="561"/>
      <c r="O109" s="561"/>
      <c r="P109" s="561"/>
      <c r="Q109" s="561"/>
      <c r="R109" s="561"/>
      <c r="S109" s="561"/>
      <c r="T109" s="561"/>
      <c r="U109" s="561"/>
      <c r="V109" s="561"/>
      <c r="W109" s="561"/>
      <c r="X109" s="561"/>
      <c r="Y109" s="561"/>
      <c r="Z109" s="561"/>
      <c r="AA109" s="561"/>
      <c r="AB109" s="561"/>
      <c r="AC109" s="561"/>
      <c r="AD109" s="561"/>
      <c r="AE109" s="561"/>
      <c r="AF109" s="594"/>
      <c r="AG109" s="561"/>
      <c r="AH109" s="561"/>
      <c r="AI109" s="561"/>
      <c r="AJ109" s="561"/>
      <c r="AK109" s="561"/>
      <c r="AL109" s="561"/>
      <c r="AM109" s="561"/>
      <c r="AN109" s="561"/>
      <c r="AO109" s="561"/>
      <c r="AP109" s="561"/>
      <c r="AQ109" s="594" t="s">
        <v>2599</v>
      </c>
      <c r="AR109" s="594" t="s">
        <v>2599</v>
      </c>
      <c r="AS109" s="561"/>
      <c r="AT109" s="561"/>
      <c r="AU109" s="561"/>
      <c r="AV109" s="561"/>
      <c r="AW109" s="561"/>
      <c r="AX109" s="561"/>
      <c r="AY109" s="561"/>
      <c r="AZ109" s="561"/>
      <c r="BA109" s="561"/>
      <c r="BB109" s="561"/>
      <c r="BC109" s="561"/>
      <c r="BD109" s="561"/>
      <c r="BE109" s="561"/>
      <c r="BF109" s="561"/>
      <c r="BG109" s="561"/>
      <c r="BH109" s="561"/>
      <c r="BI109" s="561"/>
      <c r="BJ109" s="561"/>
      <c r="BK109" s="561"/>
      <c r="BL109" s="561"/>
      <c r="BM109" s="561"/>
      <c r="BN109" s="561"/>
      <c r="BO109" s="561"/>
      <c r="BP109" s="561"/>
      <c r="BQ109" s="561"/>
      <c r="BR109" s="561"/>
      <c r="BS109" s="561"/>
      <c r="BT109" s="561"/>
      <c r="BU109" s="561"/>
      <c r="BV109" s="561"/>
      <c r="BW109" s="561"/>
      <c r="BX109" s="561"/>
      <c r="BY109" s="561"/>
      <c r="BZ109" s="561"/>
      <c r="CA109" s="561"/>
      <c r="CB109" s="561"/>
      <c r="CC109" s="561"/>
      <c r="CD109" s="561"/>
      <c r="CE109" s="561"/>
      <c r="CF109" s="561"/>
      <c r="CG109" s="561"/>
      <c r="CH109" s="561"/>
      <c r="CI109" s="561"/>
      <c r="CJ109" s="561"/>
      <c r="CK109" s="561"/>
      <c r="CL109" s="561"/>
      <c r="CM109" s="561"/>
      <c r="CN109" s="561"/>
      <c r="CO109" s="561"/>
      <c r="CP109" s="561"/>
      <c r="CQ109" s="561"/>
      <c r="CR109" s="561"/>
      <c r="CS109" s="561"/>
      <c r="CT109" s="561"/>
      <c r="CU109" s="561"/>
      <c r="CV109" s="561"/>
      <c r="CW109" s="561"/>
      <c r="CX109" s="561"/>
      <c r="CY109" s="561"/>
      <c r="CZ109" s="561"/>
      <c r="DA109" s="561"/>
      <c r="DB109" s="561"/>
      <c r="DC109" s="561"/>
      <c r="DD109" s="561"/>
      <c r="DE109" s="561"/>
      <c r="DF109" s="561"/>
      <c r="DG109" s="561"/>
      <c r="DH109" s="561"/>
      <c r="DI109" s="561"/>
      <c r="DJ109" s="561"/>
      <c r="DK109" s="561"/>
      <c r="DL109" s="561"/>
      <c r="DM109" s="561"/>
      <c r="DN109" s="561"/>
      <c r="DO109" s="561"/>
      <c r="DP109" s="561"/>
      <c r="DQ109" s="561"/>
      <c r="DR109" s="561"/>
      <c r="DS109" s="561"/>
      <c r="DT109" s="561"/>
      <c r="DU109" s="561"/>
      <c r="DV109" s="561"/>
      <c r="DW109" s="561"/>
      <c r="DX109" s="561"/>
      <c r="DY109" s="561"/>
      <c r="DZ109" s="561"/>
      <c r="EA109" s="561"/>
      <c r="EB109" s="561"/>
      <c r="EC109" s="561"/>
      <c r="ED109" s="561"/>
      <c r="EE109" s="561"/>
      <c r="EF109" s="561"/>
      <c r="EG109" s="561"/>
      <c r="EH109" s="561"/>
      <c r="EI109" s="561"/>
      <c r="EJ109" s="561"/>
      <c r="EK109" s="561"/>
      <c r="EL109" s="561"/>
      <c r="EM109" s="561"/>
      <c r="EN109" s="561"/>
      <c r="EO109" s="561"/>
      <c r="EP109" s="561"/>
      <c r="EQ109" s="594"/>
      <c r="ER109" s="561"/>
      <c r="ES109" s="561"/>
      <c r="ET109" s="561"/>
      <c r="EU109" s="561"/>
      <c r="EV109" s="561"/>
      <c r="EW109" s="561"/>
      <c r="EX109" s="561"/>
      <c r="EY109" s="595" t="s">
        <v>2605</v>
      </c>
      <c r="EZ109" s="561"/>
      <c r="FA109" s="561" t="s">
        <v>2609</v>
      </c>
      <c r="FB109" s="561" t="s">
        <v>2609</v>
      </c>
      <c r="FC109" s="595" t="s">
        <v>2605</v>
      </c>
      <c r="FD109" s="561"/>
      <c r="FE109" s="561"/>
      <c r="FF109" s="561"/>
      <c r="FG109" s="561"/>
      <c r="FH109" s="561"/>
      <c r="FI109" s="561"/>
      <c r="FJ109" s="561"/>
      <c r="FK109" s="561"/>
      <c r="FL109" s="561"/>
      <c r="FM109" s="561"/>
      <c r="FN109" s="561"/>
      <c r="FO109" s="561"/>
      <c r="FP109" s="561"/>
      <c r="FQ109" s="561"/>
      <c r="FR109" s="596" t="s">
        <v>2610</v>
      </c>
      <c r="FS109" s="561"/>
      <c r="FT109" s="561"/>
      <c r="FU109" s="561"/>
      <c r="FV109" s="561"/>
      <c r="FW109" s="561"/>
      <c r="FX109" s="561"/>
      <c r="FY109" s="561"/>
      <c r="FZ109" s="595" t="s">
        <v>2605</v>
      </c>
      <c r="GA109" s="595" t="s">
        <v>2605</v>
      </c>
      <c r="GB109" s="561"/>
      <c r="GC109" s="561"/>
      <c r="GD109" s="596" t="s">
        <v>2611</v>
      </c>
      <c r="GE109" s="595" t="s">
        <v>2605</v>
      </c>
      <c r="GF109" s="595" t="s">
        <v>2605</v>
      </c>
      <c r="GG109" s="595" t="s">
        <v>2605</v>
      </c>
      <c r="GH109" s="595" t="s">
        <v>2605</v>
      </c>
      <c r="GI109" s="595" t="s">
        <v>2605</v>
      </c>
      <c r="GJ109" s="561"/>
      <c r="GK109" s="561"/>
      <c r="GL109" s="561"/>
      <c r="GM109" s="561"/>
      <c r="GN109" s="561"/>
      <c r="GO109" s="561"/>
      <c r="GP109" s="561"/>
      <c r="GQ109" s="561"/>
      <c r="GR109" s="561"/>
      <c r="GS109" s="561"/>
      <c r="GT109" s="595" t="s">
        <v>2605</v>
      </c>
      <c r="GU109" s="561"/>
      <c r="GV109" s="595" t="s">
        <v>2605</v>
      </c>
      <c r="GW109" s="561" t="s">
        <v>1907</v>
      </c>
      <c r="GX109" s="561"/>
      <c r="GY109" s="596" t="s">
        <v>2611</v>
      </c>
      <c r="GZ109" s="596" t="s">
        <v>2611</v>
      </c>
      <c r="HA109" s="595" t="s">
        <v>2605</v>
      </c>
      <c r="HB109" s="595" t="s">
        <v>2605</v>
      </c>
      <c r="HC109" s="561"/>
      <c r="HD109" s="561"/>
      <c r="HE109" s="561"/>
      <c r="HF109" s="561"/>
      <c r="HG109" s="561"/>
      <c r="HH109" s="561"/>
      <c r="HI109" s="561"/>
      <c r="HJ109" s="561"/>
      <c r="HK109" s="561"/>
      <c r="HL109" s="599">
        <f t="shared" ref="HL109:JE109" si="557">HL30-HL29</f>
        <v>0.5</v>
      </c>
      <c r="HM109" s="593">
        <f t="shared" si="557"/>
        <v>-0.20000000000000284</v>
      </c>
      <c r="HN109" s="593">
        <f t="shared" si="557"/>
        <v>0.10000000000000009</v>
      </c>
      <c r="HO109" s="593">
        <f t="shared" si="557"/>
        <v>-0.39999999999999991</v>
      </c>
      <c r="HP109" s="593">
        <f t="shared" si="557"/>
        <v>0.29999999999999716</v>
      </c>
      <c r="HQ109" s="593">
        <f t="shared" si="557"/>
        <v>0.39999999999999991</v>
      </c>
      <c r="HR109" s="601">
        <f t="shared" si="557"/>
        <v>1.5850000000000009</v>
      </c>
      <c r="HS109" s="601">
        <f t="shared" si="557"/>
        <v>1.5299999999999994</v>
      </c>
      <c r="HT109" s="593">
        <f t="shared" si="557"/>
        <v>0</v>
      </c>
      <c r="HU109" s="593">
        <f t="shared" si="557"/>
        <v>0</v>
      </c>
      <c r="HV109" s="600">
        <f t="shared" si="557"/>
        <v>3</v>
      </c>
      <c r="HW109" s="600">
        <f t="shared" si="557"/>
        <v>-3.9700000000000006</v>
      </c>
      <c r="HX109" s="600">
        <f t="shared" si="557"/>
        <v>5.57</v>
      </c>
      <c r="HY109" s="593">
        <f t="shared" si="557"/>
        <v>-0.20000000000000284</v>
      </c>
      <c r="HZ109" s="593">
        <f t="shared" si="557"/>
        <v>0</v>
      </c>
      <c r="IA109" s="593">
        <f t="shared" si="557"/>
        <v>0</v>
      </c>
      <c r="IB109" s="593">
        <f t="shared" si="557"/>
        <v>1</v>
      </c>
      <c r="IC109" s="593">
        <f t="shared" si="557"/>
        <v>0.20000000000000284</v>
      </c>
      <c r="ID109" s="593">
        <f t="shared" si="557"/>
        <v>-0.19999999999999929</v>
      </c>
      <c r="IE109" s="593">
        <f t="shared" si="557"/>
        <v>1</v>
      </c>
      <c r="IF109" s="593">
        <f t="shared" si="557"/>
        <v>0.5</v>
      </c>
      <c r="IG109" s="597">
        <v>0</v>
      </c>
      <c r="IH109" s="593">
        <f t="shared" si="557"/>
        <v>0.12999999999999989</v>
      </c>
      <c r="II109" s="593">
        <f t="shared" si="557"/>
        <v>0.85999999999999943</v>
      </c>
      <c r="IJ109" s="602">
        <v>0.2</v>
      </c>
      <c r="IK109" s="602">
        <v>0.3</v>
      </c>
      <c r="IL109" s="593">
        <f t="shared" si="557"/>
        <v>2</v>
      </c>
      <c r="IM109" s="593">
        <f t="shared" si="557"/>
        <v>7.0000000000000062E-2</v>
      </c>
      <c r="IN109" s="593">
        <f t="shared" si="557"/>
        <v>-0.32000000000000028</v>
      </c>
      <c r="IO109" s="593">
        <f t="shared" si="557"/>
        <v>0.29999999999999982</v>
      </c>
      <c r="IP109" s="593">
        <f t="shared" si="557"/>
        <v>0</v>
      </c>
      <c r="IQ109" s="593">
        <f t="shared" si="557"/>
        <v>0.29999999999999716</v>
      </c>
      <c r="IR109" s="593">
        <f t="shared" si="557"/>
        <v>-0.30000000000000004</v>
      </c>
      <c r="IS109" s="593">
        <f t="shared" si="557"/>
        <v>3.1999999999999886</v>
      </c>
      <c r="IT109" s="593">
        <f t="shared" si="557"/>
        <v>0.60000000000000142</v>
      </c>
      <c r="IU109" s="593">
        <f t="shared" si="557"/>
        <v>0.29999999999999982</v>
      </c>
      <c r="IV109" s="593">
        <f t="shared" si="557"/>
        <v>0.30000000000000071</v>
      </c>
      <c r="IW109" s="593">
        <f t="shared" si="557"/>
        <v>0</v>
      </c>
      <c r="IX109" s="593">
        <f t="shared" si="557"/>
        <v>0.39999999999999991</v>
      </c>
      <c r="IY109" s="597">
        <f t="shared" si="557"/>
        <v>-4</v>
      </c>
      <c r="IZ109" s="600">
        <f t="shared" si="557"/>
        <v>5.5</v>
      </c>
      <c r="JA109" s="593">
        <f t="shared" si="557"/>
        <v>0.15000000000000036</v>
      </c>
      <c r="JB109" s="593">
        <f t="shared" si="557"/>
        <v>0.29999999999999982</v>
      </c>
      <c r="JC109" s="593">
        <f t="shared" si="557"/>
        <v>0.29999999999999982</v>
      </c>
      <c r="JD109" s="593">
        <f t="shared" si="557"/>
        <v>0</v>
      </c>
      <c r="JE109" s="593">
        <f t="shared" si="557"/>
        <v>-0.40000000000000036</v>
      </c>
      <c r="JF109" s="597">
        <f>JF30-JF29</f>
        <v>7.3700000000000045</v>
      </c>
      <c r="JG109" s="593">
        <f t="shared" ref="JG109:JH109" si="558">JG30-JG29</f>
        <v>-1</v>
      </c>
      <c r="JH109" s="593">
        <f t="shared" si="558"/>
        <v>-2</v>
      </c>
      <c r="JI109" s="561"/>
    </row>
    <row r="110" spans="1:276" s="583" customFormat="1" ht="12.75" x14ac:dyDescent="0.2">
      <c r="A110" s="594"/>
      <c r="B110" s="749" t="s">
        <v>2805</v>
      </c>
      <c r="C110" s="833">
        <f>IF(C169&lt;0,C169,0)</f>
        <v>0</v>
      </c>
      <c r="D110" s="833">
        <f t="shared" ref="D110:BP110" si="559">IF(D169&lt;0,D169,0)</f>
        <v>0</v>
      </c>
      <c r="E110" s="833">
        <f t="shared" si="559"/>
        <v>0</v>
      </c>
      <c r="F110" s="833">
        <f t="shared" si="559"/>
        <v>0</v>
      </c>
      <c r="G110" s="833">
        <f t="shared" si="559"/>
        <v>0</v>
      </c>
      <c r="H110" s="833">
        <f t="shared" si="559"/>
        <v>-224405.08431410964</v>
      </c>
      <c r="I110" s="833">
        <f t="shared" si="559"/>
        <v>-26053.395617412869</v>
      </c>
      <c r="J110" s="833">
        <f t="shared" si="559"/>
        <v>0</v>
      </c>
      <c r="K110" s="833">
        <f t="shared" si="559"/>
        <v>0</v>
      </c>
      <c r="L110" s="833">
        <f t="shared" si="559"/>
        <v>0</v>
      </c>
      <c r="M110" s="833">
        <f t="shared" si="559"/>
        <v>0</v>
      </c>
      <c r="N110" s="833">
        <f t="shared" si="559"/>
        <v>-274966.87921164371</v>
      </c>
      <c r="O110" s="833">
        <f t="shared" si="559"/>
        <v>0</v>
      </c>
      <c r="P110" s="833">
        <f t="shared" si="559"/>
        <v>0</v>
      </c>
      <c r="Q110" s="833">
        <f t="shared" si="559"/>
        <v>0</v>
      </c>
      <c r="R110" s="833">
        <f t="shared" si="559"/>
        <v>0</v>
      </c>
      <c r="S110" s="833">
        <f t="shared" si="559"/>
        <v>0</v>
      </c>
      <c r="T110" s="833">
        <f t="shared" si="559"/>
        <v>0</v>
      </c>
      <c r="U110" s="833">
        <f t="shared" si="559"/>
        <v>-26923.707216046052</v>
      </c>
      <c r="V110" s="833">
        <f t="shared" si="559"/>
        <v>0</v>
      </c>
      <c r="W110" s="833">
        <f t="shared" si="559"/>
        <v>0</v>
      </c>
      <c r="X110" s="833">
        <f t="shared" si="559"/>
        <v>-16146.614701946266</v>
      </c>
      <c r="Y110" s="833">
        <f t="shared" si="559"/>
        <v>0</v>
      </c>
      <c r="Z110" s="833">
        <f t="shared" si="559"/>
        <v>0</v>
      </c>
      <c r="AA110" s="833">
        <f t="shared" si="559"/>
        <v>0</v>
      </c>
      <c r="AB110" s="833">
        <f t="shared" si="559"/>
        <v>-363634.29815955041</v>
      </c>
      <c r="AC110" s="833">
        <f t="shared" ref="AC110" si="560">IF(AC169&lt;0,AC169,0)</f>
        <v>-121172.28649231768</v>
      </c>
      <c r="AD110" s="833">
        <f t="shared" si="559"/>
        <v>0</v>
      </c>
      <c r="AE110" s="833">
        <f t="shared" si="559"/>
        <v>0</v>
      </c>
      <c r="AF110" s="833">
        <f t="shared" si="559"/>
        <v>0</v>
      </c>
      <c r="AG110" s="833">
        <f t="shared" si="559"/>
        <v>0</v>
      </c>
      <c r="AH110" s="833">
        <f t="shared" si="559"/>
        <v>0</v>
      </c>
      <c r="AI110" s="833">
        <f t="shared" si="559"/>
        <v>0</v>
      </c>
      <c r="AJ110" s="833">
        <f t="shared" si="559"/>
        <v>0</v>
      </c>
      <c r="AK110" s="833">
        <f t="shared" si="559"/>
        <v>0</v>
      </c>
      <c r="AL110" s="833">
        <f t="shared" si="559"/>
        <v>0</v>
      </c>
      <c r="AM110" s="833">
        <f t="shared" si="559"/>
        <v>0</v>
      </c>
      <c r="AN110" s="833">
        <f t="shared" si="559"/>
        <v>-149107.04361178004</v>
      </c>
      <c r="AO110" s="833">
        <f t="shared" si="559"/>
        <v>-539318.53018070571</v>
      </c>
      <c r="AP110" s="833">
        <f t="shared" si="559"/>
        <v>0</v>
      </c>
      <c r="AQ110" s="833">
        <f t="shared" si="559"/>
        <v>-214179.65525761235</v>
      </c>
      <c r="AR110" s="833">
        <f t="shared" si="559"/>
        <v>0</v>
      </c>
      <c r="AS110" s="833">
        <f t="shared" si="559"/>
        <v>-42022.703109752329</v>
      </c>
      <c r="AT110" s="833">
        <f t="shared" si="559"/>
        <v>-347057.0189933381</v>
      </c>
      <c r="AU110" s="833">
        <f t="shared" si="559"/>
        <v>0</v>
      </c>
      <c r="AV110" s="833">
        <f t="shared" si="559"/>
        <v>0</v>
      </c>
      <c r="AW110" s="833">
        <f t="shared" si="559"/>
        <v>0</v>
      </c>
      <c r="AX110" s="833">
        <f t="shared" si="559"/>
        <v>-319337.92195627885</v>
      </c>
      <c r="AY110" s="833">
        <f t="shared" si="559"/>
        <v>-26240.518908160739</v>
      </c>
      <c r="AZ110" s="833">
        <f t="shared" si="559"/>
        <v>0</v>
      </c>
      <c r="BA110" s="833">
        <f t="shared" si="559"/>
        <v>0</v>
      </c>
      <c r="BB110" s="833">
        <f t="shared" si="559"/>
        <v>0</v>
      </c>
      <c r="BC110" s="833">
        <f t="shared" si="559"/>
        <v>0</v>
      </c>
      <c r="BD110" s="833">
        <f t="shared" si="559"/>
        <v>0</v>
      </c>
      <c r="BE110" s="833">
        <f t="shared" si="559"/>
        <v>-31068.263563299784</v>
      </c>
      <c r="BF110" s="833">
        <f t="shared" si="559"/>
        <v>0</v>
      </c>
      <c r="BG110" s="833">
        <f t="shared" si="559"/>
        <v>0</v>
      </c>
      <c r="BH110" s="833">
        <f t="shared" si="559"/>
        <v>0</v>
      </c>
      <c r="BI110" s="833">
        <f t="shared" si="559"/>
        <v>0</v>
      </c>
      <c r="BJ110" s="833">
        <f t="shared" si="559"/>
        <v>0</v>
      </c>
      <c r="BK110" s="833">
        <f t="shared" si="559"/>
        <v>0</v>
      </c>
      <c r="BL110" s="833">
        <f t="shared" si="559"/>
        <v>0</v>
      </c>
      <c r="BM110" s="833">
        <f t="shared" si="559"/>
        <v>0</v>
      </c>
      <c r="BN110" s="833">
        <f t="shared" si="559"/>
        <v>0</v>
      </c>
      <c r="BO110" s="833">
        <f t="shared" si="559"/>
        <v>-45949.841258846223</v>
      </c>
      <c r="BP110" s="833">
        <f t="shared" si="559"/>
        <v>0</v>
      </c>
      <c r="BQ110" s="833">
        <f t="shared" ref="BQ110:EB110" si="561">IF(BQ169&lt;0,BQ169,0)</f>
        <v>0</v>
      </c>
      <c r="BR110" s="833">
        <f t="shared" si="561"/>
        <v>0</v>
      </c>
      <c r="BS110" s="833">
        <f t="shared" si="561"/>
        <v>-59590.747627129545</v>
      </c>
      <c r="BT110" s="833">
        <f t="shared" si="561"/>
        <v>0</v>
      </c>
      <c r="BU110" s="833">
        <f t="shared" si="561"/>
        <v>-198037.0475549493</v>
      </c>
      <c r="BV110" s="833">
        <f t="shared" si="561"/>
        <v>0</v>
      </c>
      <c r="BW110" s="833">
        <f t="shared" si="561"/>
        <v>-223686.21951628802</v>
      </c>
      <c r="BX110" s="833">
        <f t="shared" si="561"/>
        <v>-450192.65498403925</v>
      </c>
      <c r="BY110" s="833">
        <f t="shared" si="561"/>
        <v>0</v>
      </c>
      <c r="BZ110" s="833">
        <f t="shared" si="561"/>
        <v>-200228.01369104453</v>
      </c>
      <c r="CA110" s="833">
        <f t="shared" si="561"/>
        <v>0</v>
      </c>
      <c r="CB110" s="833">
        <f t="shared" si="561"/>
        <v>-350938.59770315269</v>
      </c>
      <c r="CC110" s="833">
        <f t="shared" si="561"/>
        <v>0</v>
      </c>
      <c r="CD110" s="833">
        <f t="shared" si="561"/>
        <v>0</v>
      </c>
      <c r="CE110" s="833">
        <f t="shared" si="561"/>
        <v>0</v>
      </c>
      <c r="CF110" s="833">
        <f t="shared" si="561"/>
        <v>0</v>
      </c>
      <c r="CG110" s="833">
        <f t="shared" si="561"/>
        <v>0</v>
      </c>
      <c r="CH110" s="833">
        <f t="shared" si="561"/>
        <v>0</v>
      </c>
      <c r="CI110" s="833">
        <f t="shared" si="561"/>
        <v>0</v>
      </c>
      <c r="CJ110" s="833">
        <f t="shared" si="561"/>
        <v>0</v>
      </c>
      <c r="CK110" s="833">
        <f t="shared" si="561"/>
        <v>0</v>
      </c>
      <c r="CL110" s="833">
        <f t="shared" si="561"/>
        <v>0</v>
      </c>
      <c r="CM110" s="833">
        <f t="shared" si="561"/>
        <v>0</v>
      </c>
      <c r="CN110" s="833">
        <f t="shared" si="561"/>
        <v>-60666.273151180241</v>
      </c>
      <c r="CO110" s="833">
        <f t="shared" si="561"/>
        <v>-18156.360431688838</v>
      </c>
      <c r="CP110" s="833">
        <f t="shared" si="561"/>
        <v>-37464.077231992967</v>
      </c>
      <c r="CQ110" s="833">
        <f t="shared" si="561"/>
        <v>0</v>
      </c>
      <c r="CR110" s="833">
        <f t="shared" si="561"/>
        <v>0</v>
      </c>
      <c r="CS110" s="833">
        <f t="shared" si="561"/>
        <v>0</v>
      </c>
      <c r="CT110" s="833">
        <f t="shared" si="561"/>
        <v>-1224159.1026913729</v>
      </c>
      <c r="CU110" s="833">
        <f t="shared" si="561"/>
        <v>0</v>
      </c>
      <c r="CV110" s="833">
        <f t="shared" si="561"/>
        <v>0</v>
      </c>
      <c r="CW110" s="833">
        <f t="shared" si="561"/>
        <v>0</v>
      </c>
      <c r="CX110" s="833">
        <f t="shared" si="561"/>
        <v>0</v>
      </c>
      <c r="CY110" s="833">
        <f t="shared" si="561"/>
        <v>0</v>
      </c>
      <c r="CZ110" s="833">
        <f t="shared" si="561"/>
        <v>0</v>
      </c>
      <c r="DA110" s="833">
        <f t="shared" si="561"/>
        <v>0</v>
      </c>
      <c r="DB110" s="833">
        <f t="shared" si="561"/>
        <v>-21199.508865635493</v>
      </c>
      <c r="DC110" s="833">
        <f t="shared" si="561"/>
        <v>-47699.004185785772</v>
      </c>
      <c r="DD110" s="833">
        <f t="shared" si="561"/>
        <v>0</v>
      </c>
      <c r="DE110" s="833">
        <f t="shared" si="561"/>
        <v>0</v>
      </c>
      <c r="DF110" s="833">
        <f t="shared" si="561"/>
        <v>0</v>
      </c>
      <c r="DG110" s="833">
        <f t="shared" si="561"/>
        <v>0</v>
      </c>
      <c r="DH110" s="833">
        <f t="shared" si="561"/>
        <v>0</v>
      </c>
      <c r="DI110" s="833">
        <f t="shared" si="561"/>
        <v>0</v>
      </c>
      <c r="DJ110" s="833">
        <f t="shared" si="561"/>
        <v>0</v>
      </c>
      <c r="DK110" s="833">
        <f t="shared" si="561"/>
        <v>0</v>
      </c>
      <c r="DL110" s="833">
        <f t="shared" si="561"/>
        <v>-624903.64070929075</v>
      </c>
      <c r="DM110" s="833">
        <f t="shared" si="561"/>
        <v>0</v>
      </c>
      <c r="DN110" s="833">
        <f t="shared" si="561"/>
        <v>0</v>
      </c>
      <c r="DO110" s="833">
        <f t="shared" si="561"/>
        <v>0</v>
      </c>
      <c r="DP110" s="833">
        <f t="shared" si="561"/>
        <v>0</v>
      </c>
      <c r="DQ110" s="833">
        <f t="shared" si="561"/>
        <v>0</v>
      </c>
      <c r="DR110" s="833">
        <f t="shared" si="561"/>
        <v>0</v>
      </c>
      <c r="DS110" s="833">
        <f t="shared" si="561"/>
        <v>0</v>
      </c>
      <c r="DT110" s="833">
        <f t="shared" si="561"/>
        <v>0</v>
      </c>
      <c r="DU110" s="833">
        <f t="shared" si="561"/>
        <v>0</v>
      </c>
      <c r="DV110" s="833">
        <f t="shared" si="561"/>
        <v>0</v>
      </c>
      <c r="DW110" s="833">
        <f t="shared" si="561"/>
        <v>0</v>
      </c>
      <c r="DX110" s="833">
        <f t="shared" si="561"/>
        <v>0</v>
      </c>
      <c r="DY110" s="833">
        <f t="shared" si="561"/>
        <v>0</v>
      </c>
      <c r="DZ110" s="833">
        <f t="shared" si="561"/>
        <v>0</v>
      </c>
      <c r="EA110" s="833">
        <f t="shared" si="561"/>
        <v>-170729.95882401383</v>
      </c>
      <c r="EB110" s="833">
        <f t="shared" si="561"/>
        <v>0</v>
      </c>
      <c r="EC110" s="833">
        <f t="shared" ref="EC110:ES110" si="562">IF(EC169&lt;0,EC169,0)</f>
        <v>0</v>
      </c>
      <c r="ED110" s="833">
        <f t="shared" si="562"/>
        <v>0</v>
      </c>
      <c r="EE110" s="833">
        <f t="shared" si="562"/>
        <v>0</v>
      </c>
      <c r="EF110" s="833">
        <f t="shared" si="562"/>
        <v>0</v>
      </c>
      <c r="EG110" s="833">
        <f t="shared" si="562"/>
        <v>0</v>
      </c>
      <c r="EH110" s="833">
        <f t="shared" si="562"/>
        <v>0</v>
      </c>
      <c r="EI110" s="833">
        <f t="shared" si="562"/>
        <v>0</v>
      </c>
      <c r="EJ110" s="833">
        <f t="shared" si="562"/>
        <v>-13312.090283216909</v>
      </c>
      <c r="EK110" s="833">
        <f t="shared" si="562"/>
        <v>-325210.80367470393</v>
      </c>
      <c r="EL110" s="833">
        <f t="shared" si="562"/>
        <v>0</v>
      </c>
      <c r="EM110" s="833">
        <f t="shared" si="562"/>
        <v>0</v>
      </c>
      <c r="EN110" s="833">
        <f t="shared" si="562"/>
        <v>0</v>
      </c>
      <c r="EO110" s="833">
        <f t="shared" si="562"/>
        <v>-14715.802073168219</v>
      </c>
      <c r="EP110" s="833">
        <f t="shared" si="562"/>
        <v>0</v>
      </c>
      <c r="EQ110" s="833">
        <f t="shared" si="562"/>
        <v>-328800.89817640465</v>
      </c>
      <c r="ER110" s="833">
        <f t="shared" si="562"/>
        <v>0</v>
      </c>
      <c r="ES110" s="833">
        <f t="shared" si="562"/>
        <v>0</v>
      </c>
      <c r="ET110" s="707"/>
      <c r="EU110" s="707"/>
      <c r="EV110" s="707"/>
      <c r="EW110" s="707"/>
      <c r="EX110" s="707"/>
      <c r="EY110" s="709"/>
      <c r="EZ110" s="707"/>
      <c r="FA110" s="707"/>
      <c r="FB110" s="707"/>
      <c r="FC110" s="709"/>
      <c r="FD110" s="707"/>
      <c r="FE110" s="707"/>
      <c r="FF110" s="707"/>
      <c r="FG110" s="707"/>
      <c r="FH110" s="707"/>
      <c r="FI110" s="707"/>
      <c r="FJ110" s="707"/>
      <c r="FK110" s="707"/>
      <c r="FL110" s="707"/>
      <c r="FM110" s="707"/>
      <c r="FN110" s="707"/>
      <c r="FO110" s="707"/>
      <c r="FP110" s="707"/>
      <c r="FQ110" s="707"/>
      <c r="FR110" s="710"/>
      <c r="FS110" s="707"/>
      <c r="FT110" s="707"/>
      <c r="FU110" s="707"/>
      <c r="FV110" s="707"/>
      <c r="FW110" s="707"/>
      <c r="FX110" s="707"/>
      <c r="FY110" s="707"/>
      <c r="FZ110" s="709"/>
      <c r="GA110" s="709"/>
      <c r="GB110" s="707"/>
      <c r="GC110" s="707"/>
      <c r="GD110" s="710"/>
      <c r="GE110" s="709"/>
      <c r="GF110" s="709"/>
      <c r="GG110" s="709"/>
      <c r="GH110" s="709"/>
      <c r="GI110" s="709"/>
      <c r="GJ110" s="707"/>
      <c r="GK110" s="707"/>
      <c r="GL110" s="707"/>
      <c r="GM110" s="707"/>
      <c r="GN110" s="707"/>
      <c r="GO110" s="707"/>
      <c r="GP110" s="707"/>
      <c r="GQ110" s="707"/>
      <c r="GR110" s="707"/>
      <c r="GS110" s="707"/>
      <c r="GT110" s="709"/>
      <c r="GU110" s="707"/>
      <c r="GV110" s="709"/>
      <c r="GW110" s="707"/>
      <c r="GX110" s="707"/>
      <c r="GY110" s="710"/>
      <c r="GZ110" s="710"/>
      <c r="HA110" s="709"/>
      <c r="HB110" s="709"/>
      <c r="HC110" s="707"/>
      <c r="HD110" s="707"/>
      <c r="HE110" s="707"/>
      <c r="HF110" s="707"/>
      <c r="HG110" s="707"/>
      <c r="HH110" s="707"/>
      <c r="HI110" s="707"/>
      <c r="HJ110" s="707"/>
      <c r="HK110" s="707"/>
      <c r="HL110" s="711"/>
      <c r="HM110" s="712"/>
      <c r="HN110" s="712"/>
      <c r="HO110" s="712"/>
      <c r="HP110" s="712"/>
      <c r="HQ110" s="712"/>
      <c r="HR110" s="713"/>
      <c r="HS110" s="713"/>
      <c r="HT110" s="712"/>
      <c r="HU110" s="712"/>
      <c r="HV110" s="714"/>
      <c r="HW110" s="714"/>
      <c r="HX110" s="714"/>
      <c r="HY110" s="712"/>
      <c r="HZ110" s="712"/>
      <c r="IA110" s="712"/>
      <c r="IB110" s="712"/>
      <c r="IC110" s="712"/>
      <c r="ID110" s="712"/>
      <c r="IE110" s="712"/>
      <c r="IF110" s="712"/>
      <c r="IG110" s="715"/>
      <c r="IH110" s="712"/>
      <c r="II110" s="712"/>
      <c r="IJ110" s="716"/>
      <c r="IK110" s="716"/>
      <c r="IL110" s="712"/>
      <c r="IM110" s="712"/>
      <c r="IN110" s="712"/>
      <c r="IO110" s="712"/>
      <c r="IP110" s="712"/>
      <c r="IQ110" s="712"/>
      <c r="IR110" s="712"/>
      <c r="IS110" s="712"/>
      <c r="IT110" s="712"/>
      <c r="IU110" s="712"/>
      <c r="IV110" s="712"/>
      <c r="IW110" s="712"/>
      <c r="IX110" s="712"/>
      <c r="IY110" s="715"/>
      <c r="IZ110" s="714"/>
      <c r="JA110" s="712"/>
      <c r="JB110" s="712"/>
      <c r="JC110" s="712"/>
      <c r="JD110" s="712"/>
      <c r="JE110" s="712"/>
      <c r="JF110" s="715"/>
      <c r="JG110" s="712"/>
      <c r="JH110" s="808"/>
      <c r="JI110" s="765"/>
    </row>
    <row r="111" spans="1:276" s="586" customFormat="1" x14ac:dyDescent="0.25">
      <c r="A111" s="569"/>
      <c r="B111" s="613" t="s">
        <v>2600</v>
      </c>
      <c r="C111" s="569"/>
      <c r="D111" s="569"/>
      <c r="E111" s="569"/>
      <c r="F111" s="569"/>
      <c r="G111" s="569"/>
      <c r="H111" s="569"/>
      <c r="I111" s="569"/>
      <c r="J111" s="569"/>
      <c r="K111" s="569"/>
      <c r="L111" s="569"/>
      <c r="M111" s="569"/>
      <c r="N111" s="569"/>
      <c r="O111" s="569">
        <v>-40000</v>
      </c>
      <c r="P111" s="569">
        <v>-117000</v>
      </c>
      <c r="Q111" s="569"/>
      <c r="R111" s="569">
        <v>-61000</v>
      </c>
      <c r="S111" s="569"/>
      <c r="T111" s="569"/>
      <c r="U111" s="569"/>
      <c r="V111" s="569">
        <v>-740000</v>
      </c>
      <c r="W111" s="569"/>
      <c r="X111" s="569"/>
      <c r="Y111" s="569"/>
      <c r="Z111" s="569"/>
      <c r="AA111" s="569"/>
      <c r="AB111" s="569"/>
      <c r="AC111" s="569">
        <f>600000-481158+40000</f>
        <v>158842</v>
      </c>
      <c r="AD111" s="569"/>
      <c r="AE111" s="569"/>
      <c r="AF111" s="569"/>
      <c r="AG111" s="569"/>
      <c r="AH111" s="569"/>
      <c r="AI111" s="569"/>
      <c r="AJ111" s="569"/>
      <c r="AK111" s="569"/>
      <c r="AL111" s="569"/>
      <c r="AM111" s="569"/>
      <c r="AN111" s="569"/>
      <c r="AO111" s="569">
        <v>-20000</v>
      </c>
      <c r="AP111" s="569"/>
      <c r="AQ111" s="569"/>
      <c r="AR111" s="569"/>
      <c r="AS111" s="569"/>
      <c r="AT111" s="569"/>
      <c r="AU111" s="569"/>
      <c r="AV111" s="569"/>
      <c r="AW111" s="569"/>
      <c r="AX111" s="569"/>
      <c r="AY111" s="569"/>
      <c r="AZ111" s="569"/>
      <c r="BA111" s="569"/>
      <c r="BB111" s="569"/>
      <c r="BC111" s="569"/>
      <c r="BD111" s="569"/>
      <c r="BE111" s="569"/>
      <c r="BF111" s="569"/>
      <c r="BG111" s="569"/>
      <c r="BH111" s="569"/>
      <c r="BI111" s="569"/>
      <c r="BJ111" s="569"/>
      <c r="BK111" s="569"/>
      <c r="BL111" s="569"/>
      <c r="BM111" s="569"/>
      <c r="BN111" s="569">
        <v>-16000</v>
      </c>
      <c r="BO111" s="569">
        <v>-26000</v>
      </c>
      <c r="BP111" s="569"/>
      <c r="BQ111" s="569"/>
      <c r="BR111" s="569"/>
      <c r="BS111" s="569">
        <v>-10000</v>
      </c>
      <c r="BT111" s="569"/>
      <c r="BU111" s="569"/>
      <c r="BV111" s="569"/>
      <c r="BW111" s="569"/>
      <c r="BX111" s="569">
        <v>500000</v>
      </c>
      <c r="BY111" s="569"/>
      <c r="BZ111" s="569"/>
      <c r="CA111" s="569"/>
      <c r="CB111" s="569"/>
      <c r="CC111" s="569"/>
      <c r="CD111" s="569">
        <v>-24000</v>
      </c>
      <c r="CE111" s="569"/>
      <c r="CF111" s="569"/>
      <c r="CG111" s="569">
        <v>26000</v>
      </c>
      <c r="CH111" s="569"/>
      <c r="CI111" s="569"/>
      <c r="CJ111" s="569"/>
      <c r="CK111" s="569">
        <v>-76000</v>
      </c>
      <c r="CL111" s="569">
        <f>702093.628093209*0.27</f>
        <v>189565.27958516646</v>
      </c>
      <c r="CM111" s="569"/>
      <c r="CN111" s="569"/>
      <c r="CO111" s="569"/>
      <c r="CP111" s="569"/>
      <c r="CQ111" s="569"/>
      <c r="CR111" s="569"/>
      <c r="CS111" s="569"/>
      <c r="CT111" s="569"/>
      <c r="CU111" s="569"/>
      <c r="CV111" s="569"/>
      <c r="CW111" s="569"/>
      <c r="CX111" s="569"/>
      <c r="CY111" s="569"/>
      <c r="CZ111" s="569"/>
      <c r="DA111" s="569"/>
      <c r="DB111" s="569"/>
      <c r="DC111" s="569"/>
      <c r="DD111" s="569"/>
      <c r="DE111" s="569"/>
      <c r="DF111" s="569"/>
      <c r="DG111" s="569"/>
      <c r="DH111" s="569"/>
      <c r="DI111" s="569"/>
      <c r="DJ111" s="569"/>
      <c r="DK111" s="569"/>
      <c r="DL111" s="569"/>
      <c r="DM111" s="569">
        <v>-61000</v>
      </c>
      <c r="DN111" s="569">
        <v>-85000</v>
      </c>
      <c r="DO111" s="569"/>
      <c r="DP111" s="569"/>
      <c r="DQ111" s="569">
        <v>-74000</v>
      </c>
      <c r="DR111" s="569"/>
      <c r="DS111" s="569"/>
      <c r="DT111" s="569"/>
      <c r="DU111" s="569"/>
      <c r="DV111" s="569"/>
      <c r="DW111" s="569"/>
      <c r="DX111" s="569"/>
      <c r="DY111" s="569"/>
      <c r="DZ111" s="569"/>
      <c r="EA111" s="569"/>
      <c r="EB111" s="569"/>
      <c r="EC111" s="569"/>
      <c r="ED111" s="569"/>
      <c r="EE111" s="569"/>
      <c r="EF111" s="569"/>
      <c r="EG111" s="569"/>
      <c r="EH111" s="569"/>
      <c r="EI111" s="569"/>
      <c r="EJ111" s="569"/>
      <c r="EK111" s="569"/>
      <c r="EL111" s="569"/>
      <c r="EM111" s="569">
        <v>-52000</v>
      </c>
      <c r="EN111" s="569"/>
      <c r="EO111" s="569"/>
      <c r="EP111" s="569"/>
      <c r="EQ111" s="569"/>
      <c r="ER111" s="569"/>
      <c r="ES111" s="569"/>
      <c r="ET111" s="569"/>
      <c r="EU111" s="569"/>
      <c r="EV111" s="569"/>
      <c r="EW111" s="569"/>
      <c r="EX111" s="569"/>
      <c r="EY111" s="569"/>
      <c r="EZ111" s="569"/>
      <c r="FA111" s="569"/>
      <c r="FB111" s="569"/>
      <c r="FC111" s="569"/>
      <c r="FD111" s="569"/>
      <c r="FE111" s="569"/>
      <c r="FF111" s="569"/>
      <c r="FG111" s="569"/>
      <c r="FH111" s="569"/>
      <c r="FI111" s="569"/>
      <c r="FJ111" s="569"/>
      <c r="FK111" s="569"/>
      <c r="FL111" s="569"/>
      <c r="FM111" s="569"/>
      <c r="FN111" s="569"/>
      <c r="FO111" s="569"/>
      <c r="FP111" s="569"/>
      <c r="FQ111" s="569"/>
      <c r="FR111" s="569"/>
      <c r="FS111" s="569"/>
      <c r="FT111" s="569"/>
      <c r="FU111" s="569"/>
      <c r="FV111" s="569"/>
      <c r="FW111" s="569"/>
      <c r="FX111" s="569"/>
      <c r="FY111" s="569"/>
      <c r="FZ111" s="569"/>
      <c r="GA111" s="569"/>
      <c r="GB111" s="569"/>
      <c r="GC111" s="569"/>
      <c r="GD111" s="569"/>
      <c r="GE111" s="569"/>
      <c r="GF111" s="569"/>
      <c r="GG111" s="569"/>
      <c r="GH111" s="569"/>
      <c r="GI111" s="569"/>
      <c r="GJ111" s="569"/>
      <c r="GK111" s="569"/>
      <c r="GL111" s="569"/>
      <c r="GM111" s="569"/>
      <c r="GN111" s="569"/>
      <c r="GO111" s="569"/>
      <c r="GP111" s="569"/>
      <c r="GQ111" s="569"/>
      <c r="GR111" s="569"/>
      <c r="GS111" s="569"/>
      <c r="GT111" s="569"/>
      <c r="GU111" s="569"/>
      <c r="GV111" s="569"/>
      <c r="GW111" s="569"/>
      <c r="GX111" s="569"/>
      <c r="GY111" s="569"/>
      <c r="GZ111" s="569"/>
      <c r="HA111" s="569"/>
      <c r="HB111" s="569"/>
      <c r="HC111" s="569"/>
      <c r="HD111" s="569"/>
      <c r="HE111" s="569"/>
      <c r="HF111" s="569"/>
      <c r="HG111" s="569"/>
      <c r="HH111" s="569"/>
      <c r="HI111" s="569"/>
      <c r="HJ111" s="569"/>
      <c r="HK111" s="569"/>
      <c r="HL111" s="598">
        <f>IF(HL93=0,0,-HL103)+HL109*500000</f>
        <v>-2577946.226384297</v>
      </c>
      <c r="HM111" s="569">
        <f>IF(HM93=0,0,-HM103)</f>
        <v>1822000.7132431082</v>
      </c>
      <c r="HN111" s="569">
        <f t="shared" ref="HN111:JH111" si="563">IF(HN93=0,0,-HN103)</f>
        <v>0</v>
      </c>
      <c r="HO111" s="569">
        <f t="shared" si="563"/>
        <v>0</v>
      </c>
      <c r="HP111" s="569">
        <f t="shared" si="563"/>
        <v>-2937605.6068551391</v>
      </c>
      <c r="HQ111" s="569">
        <f t="shared" si="563"/>
        <v>-6296.0109016010538</v>
      </c>
      <c r="HR111" s="598">
        <f>IF(HR93=0,0,-HR103)+HR109*500000</f>
        <v>346833.4156199214</v>
      </c>
      <c r="HS111" s="598">
        <f>IF(HS93=0,0,-HS103)+HS109*500000</f>
        <v>-169403.36825784983</v>
      </c>
      <c r="HT111" s="569">
        <f t="shared" si="563"/>
        <v>5347061.1012308747</v>
      </c>
      <c r="HU111" s="569">
        <f t="shared" si="563"/>
        <v>-3908274.8653759174</v>
      </c>
      <c r="HV111" s="598">
        <f>IF(HV93=0,0,-HV103)+HV109*500000</f>
        <v>-1496716.4349601455</v>
      </c>
      <c r="HW111" s="598">
        <f>IF(HW93=0,0,-HW103)+HW109*500000</f>
        <v>-172941.92493340769</v>
      </c>
      <c r="HX111" s="598">
        <f>IF(HX93=0,0,-HX103)+HX109*500000</f>
        <v>-2994882.4935670681</v>
      </c>
      <c r="HY111" s="569">
        <f t="shared" si="563"/>
        <v>2304863.0664582625</v>
      </c>
      <c r="HZ111" s="569">
        <f t="shared" si="563"/>
        <v>-490431.75556179136</v>
      </c>
      <c r="IA111" s="569">
        <f t="shared" si="563"/>
        <v>-16795.157256452367</v>
      </c>
      <c r="IB111" s="598">
        <f>IF(IB93=0,0,-IB103)+IB109*500000-40000</f>
        <v>32259.599407635629</v>
      </c>
      <c r="IC111" s="569">
        <f t="shared" si="563"/>
        <v>-1955261.1448942758</v>
      </c>
      <c r="ID111" s="569">
        <f t="shared" si="563"/>
        <v>-1582764.6085267812</v>
      </c>
      <c r="IE111" s="598">
        <f>IF(IE93=0,0,-IE103)+IE109*500000</f>
        <v>-1812990.5015844777</v>
      </c>
      <c r="IF111" s="598">
        <f>IF(IF93=0,0,-IF103)+IF109*500000</f>
        <v>4711847.704423666</v>
      </c>
      <c r="IG111" s="598">
        <f>IF(IG93=0,0,-IG103)+IG109*500000</f>
        <v>546105.68378837779</v>
      </c>
      <c r="IH111" s="569">
        <f t="shared" si="563"/>
        <v>-736067.42885601241</v>
      </c>
      <c r="II111" s="598">
        <f>IF(II93=0,0,-II103)+II109*500000</f>
        <v>2840000.7748431559</v>
      </c>
      <c r="IJ111" s="598">
        <f>IF(IJ93=0,0,-IJ103)+IJ109*500000</f>
        <v>-306647.69780913368</v>
      </c>
      <c r="IK111" s="598">
        <f>IF(IK93=0,0,-IK103)+IK109*500000</f>
        <v>150000</v>
      </c>
      <c r="IL111" s="598">
        <f>IF(IL93=0,0,-IL103)+IL109*500000-100000</f>
        <v>653968.56836059503</v>
      </c>
      <c r="IM111" s="569">
        <f t="shared" si="563"/>
        <v>152079.87741329148</v>
      </c>
      <c r="IN111" s="569">
        <f t="shared" si="563"/>
        <v>129860.38538624719</v>
      </c>
      <c r="IO111" s="569">
        <f t="shared" si="563"/>
        <v>-465274.01418881956</v>
      </c>
      <c r="IP111" s="569">
        <f t="shared" si="563"/>
        <v>1643290.993533127</v>
      </c>
      <c r="IQ111" s="569">
        <f t="shared" si="563"/>
        <v>1714838.8915572092</v>
      </c>
      <c r="IR111" s="569">
        <f t="shared" si="563"/>
        <v>-13439.943361662095</v>
      </c>
      <c r="IS111" s="598">
        <f>IF(IS93=0,0,-IS103)+IS109*500000-200000</f>
        <v>3579814.1629052777</v>
      </c>
      <c r="IT111" s="598">
        <f>IF(IT93=0,0,-IT103)+IT109*500000</f>
        <v>-684978.12016303767</v>
      </c>
      <c r="IU111" s="569">
        <f>IF(IU93=0,0,-IU103)</f>
        <v>-313537.44674856495</v>
      </c>
      <c r="IV111" s="569">
        <f t="shared" si="563"/>
        <v>397086.00951962918</v>
      </c>
      <c r="IW111" s="569">
        <f t="shared" si="563"/>
        <v>2690895.015101593</v>
      </c>
      <c r="IX111" s="569">
        <f t="shared" si="563"/>
        <v>-235204.59593742667</v>
      </c>
      <c r="IY111" s="598">
        <f>IF(IY93=0,0,-IY103)+IY109*500000</f>
        <v>-4924861.4800059684</v>
      </c>
      <c r="IZ111" s="598">
        <f>IF(IZ93=0,0,-IZ103)+IZ109*500000-100000</f>
        <v>-2426746.1550431699</v>
      </c>
      <c r="JA111" s="569">
        <f t="shared" si="563"/>
        <v>176594.88052702183</v>
      </c>
      <c r="JB111" s="569">
        <f t="shared" si="563"/>
        <v>-273000</v>
      </c>
      <c r="JC111" s="569">
        <f t="shared" si="563"/>
        <v>280579.00259929337</v>
      </c>
      <c r="JD111" s="569">
        <f t="shared" si="563"/>
        <v>1176392</v>
      </c>
      <c r="JE111" s="569">
        <f t="shared" si="563"/>
        <v>348800.14505924704</v>
      </c>
      <c r="JF111" s="598">
        <f>IF(JF93=0,0,-JF103)+JF109*500000-200000</f>
        <v>-4231420.24087709</v>
      </c>
      <c r="JG111" s="598">
        <f>IF(JG93=0,0,-JG103)+JG109*500000</f>
        <v>1561607.7021934986</v>
      </c>
      <c r="JH111" s="569">
        <f t="shared" si="563"/>
        <v>-496729.28351784637</v>
      </c>
      <c r="JI111" s="314">
        <f>SUM(C111:JH111)</f>
        <v>-3151029.5328117372</v>
      </c>
      <c r="JO111" s="592"/>
    </row>
    <row r="112" spans="1:276" s="587" customFormat="1" ht="16.899999999999999" customHeight="1" x14ac:dyDescent="0.25">
      <c r="A112" s="567"/>
      <c r="B112" s="560" t="s">
        <v>2602</v>
      </c>
      <c r="C112" s="567"/>
      <c r="D112" s="567"/>
      <c r="E112" s="567"/>
      <c r="F112" s="567"/>
      <c r="G112" s="567"/>
      <c r="H112" s="567"/>
      <c r="I112" s="567"/>
      <c r="J112" s="567"/>
      <c r="K112" s="567"/>
      <c r="L112" s="567"/>
      <c r="M112" s="567"/>
      <c r="N112" s="567"/>
      <c r="O112" s="567"/>
      <c r="P112" s="567"/>
      <c r="Q112" s="567"/>
      <c r="R112" s="567"/>
      <c r="S112" s="567"/>
      <c r="T112" s="567"/>
      <c r="U112" s="567"/>
      <c r="V112" s="567" t="s">
        <v>2797</v>
      </c>
      <c r="W112" s="567"/>
      <c r="X112" s="567"/>
      <c r="Y112" s="567"/>
      <c r="Z112" s="567"/>
      <c r="AA112" s="567"/>
      <c r="AB112" s="567"/>
      <c r="AC112" s="567"/>
      <c r="AD112" s="567"/>
      <c r="AE112" s="567"/>
      <c r="AF112" s="567"/>
      <c r="AG112" s="567"/>
      <c r="AH112" s="567"/>
      <c r="AI112" s="567"/>
      <c r="AJ112" s="567"/>
      <c r="AK112" s="567"/>
      <c r="AL112" s="567"/>
      <c r="AM112" s="567"/>
      <c r="AN112" s="567"/>
      <c r="AO112" s="567"/>
      <c r="AP112" s="567"/>
      <c r="AQ112" s="567"/>
      <c r="AR112" s="567"/>
      <c r="AS112" s="567"/>
      <c r="AT112" s="567"/>
      <c r="AU112" s="567"/>
      <c r="AV112" s="567"/>
      <c r="AW112" s="567"/>
      <c r="AX112" s="567"/>
      <c r="AY112" s="567"/>
      <c r="AZ112" s="567"/>
      <c r="BA112" s="567"/>
      <c r="BB112" s="567"/>
      <c r="BC112" s="567"/>
      <c r="BD112" s="567"/>
      <c r="BE112" s="567"/>
      <c r="BF112" s="567"/>
      <c r="BG112" s="567"/>
      <c r="BH112" s="567"/>
      <c r="BI112" s="567"/>
      <c r="BJ112" s="567"/>
      <c r="BK112" s="567"/>
      <c r="BL112" s="567"/>
      <c r="BM112" s="567"/>
      <c r="BN112" s="567"/>
      <c r="BO112" s="567"/>
      <c r="BP112" s="567"/>
      <c r="BQ112" s="567"/>
      <c r="BR112" s="567"/>
      <c r="BS112" s="567"/>
      <c r="BT112" s="567"/>
      <c r="BU112" s="567"/>
      <c r="BV112" s="567"/>
      <c r="BW112" s="567"/>
      <c r="BX112" s="567"/>
      <c r="BY112" s="567"/>
      <c r="BZ112" s="567"/>
      <c r="CA112" s="567"/>
      <c r="CB112" s="567"/>
      <c r="CC112" s="567"/>
      <c r="CD112" s="567"/>
      <c r="CE112" s="567"/>
      <c r="CF112" s="567"/>
      <c r="CG112" s="567"/>
      <c r="CH112" s="567"/>
      <c r="CI112" s="567"/>
      <c r="CJ112" s="567"/>
      <c r="CK112" s="567"/>
      <c r="CL112" s="567"/>
      <c r="CM112" s="567"/>
      <c r="CN112" s="567"/>
      <c r="CO112" s="567"/>
      <c r="CP112" s="567"/>
      <c r="CQ112" s="567"/>
      <c r="CR112" s="567"/>
      <c r="CS112" s="567"/>
      <c r="CT112" s="567"/>
      <c r="CU112" s="567"/>
      <c r="CV112" s="567"/>
      <c r="CW112" s="567"/>
      <c r="CX112" s="567"/>
      <c r="CY112" s="567"/>
      <c r="CZ112" s="567"/>
      <c r="DA112" s="567"/>
      <c r="DB112" s="567"/>
      <c r="DC112" s="567"/>
      <c r="DD112" s="567"/>
      <c r="DE112" s="567"/>
      <c r="DF112" s="567"/>
      <c r="DG112" s="567"/>
      <c r="DH112" s="567"/>
      <c r="DI112" s="567"/>
      <c r="DJ112" s="567"/>
      <c r="DK112" s="567"/>
      <c r="DL112" s="567"/>
      <c r="DM112" s="567"/>
      <c r="DN112" s="567"/>
      <c r="DO112" s="567"/>
      <c r="DP112" s="567"/>
      <c r="DQ112" s="567"/>
      <c r="DR112" s="567"/>
      <c r="DS112" s="567"/>
      <c r="DT112" s="567"/>
      <c r="DU112" s="567"/>
      <c r="DV112" s="567" t="s">
        <v>2615</v>
      </c>
      <c r="DW112" s="567"/>
      <c r="DX112" s="567"/>
      <c r="DY112" s="567"/>
      <c r="DZ112" s="567"/>
      <c r="EA112" s="567"/>
      <c r="EB112" s="567"/>
      <c r="EC112" s="567"/>
      <c r="ED112" s="567"/>
      <c r="EE112" s="567"/>
      <c r="EF112" s="567"/>
      <c r="EG112" s="567"/>
      <c r="EH112" s="567"/>
      <c r="EI112" s="567"/>
      <c r="EJ112" s="567"/>
      <c r="EK112" s="567"/>
      <c r="EL112" s="567"/>
      <c r="EM112" s="567"/>
      <c r="EN112" s="567"/>
      <c r="EO112" s="567"/>
      <c r="EP112" s="567"/>
      <c r="EQ112" s="567"/>
      <c r="ER112" s="567"/>
      <c r="ES112" s="567"/>
      <c r="ET112" s="567"/>
      <c r="EU112" s="567"/>
      <c r="EV112" s="567"/>
      <c r="EW112" s="567"/>
      <c r="EX112" s="567"/>
      <c r="EY112" s="567"/>
      <c r="EZ112" s="567"/>
      <c r="FA112" s="567"/>
      <c r="FB112" s="567"/>
      <c r="FC112" s="567"/>
      <c r="FD112" s="567"/>
      <c r="FE112" s="567"/>
      <c r="FF112" s="567"/>
      <c r="FG112" s="567"/>
      <c r="FH112" s="567"/>
      <c r="FI112" s="567"/>
      <c r="FJ112" s="567"/>
      <c r="FK112" s="567"/>
      <c r="FL112" s="567"/>
      <c r="FM112" s="567"/>
      <c r="FN112" s="567"/>
      <c r="FO112" s="567"/>
      <c r="FP112" s="567"/>
      <c r="FQ112" s="567"/>
      <c r="FR112" s="567"/>
      <c r="FS112" s="567"/>
      <c r="FT112" s="567"/>
      <c r="FU112" s="567"/>
      <c r="FV112" s="567"/>
      <c r="FW112" s="567"/>
      <c r="FX112" s="567"/>
      <c r="FY112" s="567"/>
      <c r="FZ112" s="567"/>
      <c r="GA112" s="567"/>
      <c r="GB112" s="567"/>
      <c r="GC112" s="567"/>
      <c r="GD112" s="567"/>
      <c r="GE112" s="567"/>
      <c r="GF112" s="567"/>
      <c r="GG112" s="567"/>
      <c r="GH112" s="567"/>
      <c r="GI112" s="567"/>
      <c r="GJ112" s="567"/>
      <c r="GK112" s="567"/>
      <c r="GL112" s="567"/>
      <c r="GM112" s="567"/>
      <c r="GN112" s="567"/>
      <c r="GO112" s="567"/>
      <c r="GP112" s="567"/>
      <c r="GQ112" s="567"/>
      <c r="GR112" s="567"/>
      <c r="GS112" s="567"/>
      <c r="GT112" s="567"/>
      <c r="GU112" s="567"/>
      <c r="GV112" s="567"/>
      <c r="GW112" s="567"/>
      <c r="GX112" s="567"/>
      <c r="GY112" s="567"/>
      <c r="GZ112" s="567"/>
      <c r="HA112" s="567"/>
      <c r="HB112" s="567"/>
      <c r="HC112" s="567"/>
      <c r="HD112" s="567"/>
      <c r="HE112" s="567"/>
      <c r="HF112" s="567"/>
      <c r="HG112" s="567"/>
      <c r="HH112" s="567"/>
      <c r="HI112" s="567"/>
      <c r="HJ112" s="567"/>
      <c r="HK112" s="567"/>
      <c r="HL112" s="567"/>
      <c r="HM112" s="567"/>
      <c r="HN112" s="567"/>
      <c r="HO112" s="567"/>
      <c r="HP112" s="567"/>
      <c r="HQ112" s="567"/>
      <c r="HR112" s="567"/>
      <c r="HS112" s="567"/>
      <c r="HT112" s="567"/>
      <c r="HU112" s="567"/>
      <c r="HV112" s="567"/>
      <c r="HW112" s="567"/>
      <c r="HX112" s="567"/>
      <c r="HY112" s="567"/>
      <c r="HZ112" s="567"/>
      <c r="IA112" s="567"/>
      <c r="IB112" s="567">
        <v>-40000</v>
      </c>
      <c r="IC112" s="567"/>
      <c r="ID112" s="567"/>
      <c r="IE112" s="567"/>
      <c r="IF112" s="567"/>
      <c r="IG112" s="567"/>
      <c r="IH112" s="567"/>
      <c r="II112" s="567"/>
      <c r="IJ112" s="567"/>
      <c r="IK112" s="567"/>
      <c r="IL112" s="567">
        <v>-100000</v>
      </c>
      <c r="IM112" s="567"/>
      <c r="IN112" s="567"/>
      <c r="IO112" s="567"/>
      <c r="IP112" s="567"/>
      <c r="IQ112" s="567"/>
      <c r="IR112" s="567"/>
      <c r="IS112" s="567">
        <v>-200000</v>
      </c>
      <c r="IT112" s="567"/>
      <c r="IU112" s="567"/>
      <c r="IV112" s="567"/>
      <c r="IW112" s="567"/>
      <c r="IX112" s="567"/>
      <c r="IY112" s="567"/>
      <c r="IZ112" s="567">
        <v>-100000</v>
      </c>
      <c r="JA112" s="567"/>
      <c r="JB112" s="567"/>
      <c r="JC112" s="567"/>
      <c r="JD112" s="567"/>
      <c r="JE112" s="567"/>
      <c r="JF112" s="567">
        <v>-200000</v>
      </c>
      <c r="JG112" s="567"/>
      <c r="JH112" s="567"/>
      <c r="JI112" s="567"/>
    </row>
    <row r="113" spans="1:276" x14ac:dyDescent="0.25">
      <c r="A113" s="565"/>
      <c r="B113" s="565" t="s">
        <v>2601</v>
      </c>
      <c r="C113" s="566">
        <f>C94+C111</f>
        <v>8884422.5558247231</v>
      </c>
      <c r="D113" s="566">
        <f t="shared" ref="D113:BP113" si="564">D94+D111</f>
        <v>7730000</v>
      </c>
      <c r="E113" s="566">
        <f t="shared" si="564"/>
        <v>8299184.4088107003</v>
      </c>
      <c r="F113" s="566">
        <f t="shared" si="564"/>
        <v>3616884.7088353573</v>
      </c>
      <c r="G113" s="566">
        <f t="shared" si="564"/>
        <v>10328003.127290595</v>
      </c>
      <c r="H113" s="566">
        <f t="shared" si="564"/>
        <v>0</v>
      </c>
      <c r="I113" s="566">
        <f t="shared" si="564"/>
        <v>0</v>
      </c>
      <c r="J113" s="566">
        <f t="shared" si="564"/>
        <v>126485.23608403429</v>
      </c>
      <c r="K113" s="566">
        <f t="shared" si="564"/>
        <v>5988080</v>
      </c>
      <c r="L113" s="566">
        <f t="shared" si="564"/>
        <v>3774970</v>
      </c>
      <c r="M113" s="566">
        <f t="shared" si="564"/>
        <v>3667775.238895766</v>
      </c>
      <c r="N113" s="566">
        <f t="shared" si="564"/>
        <v>5360828.6030266704</v>
      </c>
      <c r="O113" s="566">
        <f t="shared" si="564"/>
        <v>4306141</v>
      </c>
      <c r="P113" s="566">
        <f t="shared" si="564"/>
        <v>2453026.0021816893</v>
      </c>
      <c r="Q113" s="566">
        <f t="shared" si="564"/>
        <v>1836488.4791010155</v>
      </c>
      <c r="R113" s="566">
        <f t="shared" si="564"/>
        <v>2030000</v>
      </c>
      <c r="S113" s="566">
        <f t="shared" si="564"/>
        <v>1637152.8</v>
      </c>
      <c r="T113" s="566">
        <f t="shared" si="564"/>
        <v>622773.51077815378</v>
      </c>
      <c r="U113" s="566">
        <f t="shared" si="564"/>
        <v>1087500</v>
      </c>
      <c r="V113" s="566">
        <f t="shared" si="564"/>
        <v>8493620</v>
      </c>
      <c r="W113" s="566">
        <f t="shared" si="564"/>
        <v>2130000</v>
      </c>
      <c r="X113" s="566">
        <f t="shared" si="564"/>
        <v>2304335.8095085779</v>
      </c>
      <c r="Y113" s="566">
        <f t="shared" si="564"/>
        <v>1770700</v>
      </c>
      <c r="Z113" s="566">
        <f t="shared" si="564"/>
        <v>7231924</v>
      </c>
      <c r="AA113" s="566">
        <f t="shared" si="564"/>
        <v>4244705.4490248738</v>
      </c>
      <c r="AB113" s="566">
        <f t="shared" si="564"/>
        <v>3678130.7057224135</v>
      </c>
      <c r="AC113" s="566">
        <f t="shared" ref="AC113" si="565">AC94+AC111</f>
        <v>640000.31194833247</v>
      </c>
      <c r="AD113" s="566">
        <f t="shared" si="564"/>
        <v>2590229.1206235653</v>
      </c>
      <c r="AE113" s="566">
        <f t="shared" si="564"/>
        <v>103737.52589894389</v>
      </c>
      <c r="AF113" s="566">
        <f t="shared" si="564"/>
        <v>1219244.9295379582</v>
      </c>
      <c r="AG113" s="566">
        <f t="shared" si="564"/>
        <v>3450812.7548698969</v>
      </c>
      <c r="AH113" s="566">
        <f t="shared" si="564"/>
        <v>760000</v>
      </c>
      <c r="AI113" s="566">
        <f t="shared" si="564"/>
        <v>3404000</v>
      </c>
      <c r="AJ113" s="566">
        <f t="shared" si="564"/>
        <v>2585000</v>
      </c>
      <c r="AK113" s="566">
        <f t="shared" si="564"/>
        <v>1251400</v>
      </c>
      <c r="AL113" s="566">
        <f t="shared" si="564"/>
        <v>1952909.1633510776</v>
      </c>
      <c r="AM113" s="566">
        <f t="shared" si="564"/>
        <v>1499708.3726341231</v>
      </c>
      <c r="AN113" s="566">
        <f t="shared" si="564"/>
        <v>1148955.198498779</v>
      </c>
      <c r="AO113" s="566">
        <f t="shared" si="564"/>
        <v>4883755.5596356187</v>
      </c>
      <c r="AP113" s="566">
        <f t="shared" si="564"/>
        <v>2124765.1162296012</v>
      </c>
      <c r="AQ113" s="566">
        <f t="shared" si="564"/>
        <v>491000</v>
      </c>
      <c r="AR113" s="566">
        <f t="shared" si="564"/>
        <v>1531740.3992508459</v>
      </c>
      <c r="AS113" s="566">
        <f t="shared" si="564"/>
        <v>495253.22022333386</v>
      </c>
      <c r="AT113" s="566">
        <f t="shared" si="564"/>
        <v>2498113.4323683418</v>
      </c>
      <c r="AU113" s="566">
        <f t="shared" si="564"/>
        <v>992216.93946642126</v>
      </c>
      <c r="AV113" s="566">
        <f t="shared" si="564"/>
        <v>2003660.6772952261</v>
      </c>
      <c r="AW113" s="566">
        <f t="shared" si="564"/>
        <v>16112.012350120116</v>
      </c>
      <c r="AX113" s="566">
        <f t="shared" si="564"/>
        <v>3240135.311080751</v>
      </c>
      <c r="AY113" s="566">
        <f t="shared" si="564"/>
        <v>3300190.5406568907</v>
      </c>
      <c r="AZ113" s="566">
        <f t="shared" si="564"/>
        <v>2981000</v>
      </c>
      <c r="BA113" s="566">
        <f t="shared" si="564"/>
        <v>9230000</v>
      </c>
      <c r="BB113" s="566">
        <f t="shared" si="564"/>
        <v>1312920</v>
      </c>
      <c r="BC113" s="566">
        <f t="shared" si="564"/>
        <v>1223742.4938025323</v>
      </c>
      <c r="BD113" s="566">
        <f t="shared" si="564"/>
        <v>1916258.3325785431</v>
      </c>
      <c r="BE113" s="566">
        <f t="shared" si="564"/>
        <v>0</v>
      </c>
      <c r="BF113" s="566">
        <f t="shared" si="564"/>
        <v>2020000</v>
      </c>
      <c r="BG113" s="566">
        <f t="shared" si="564"/>
        <v>2499000</v>
      </c>
      <c r="BH113" s="566">
        <f t="shared" si="564"/>
        <v>3206000</v>
      </c>
      <c r="BI113" s="566">
        <f t="shared" si="564"/>
        <v>1270000</v>
      </c>
      <c r="BJ113" s="566">
        <f t="shared" si="564"/>
        <v>2734458.8535647267</v>
      </c>
      <c r="BK113" s="566">
        <f t="shared" si="564"/>
        <v>100000</v>
      </c>
      <c r="BL113" s="566">
        <f t="shared" si="564"/>
        <v>455138.49500087276</v>
      </c>
      <c r="BM113" s="566">
        <f t="shared" si="564"/>
        <v>1464826</v>
      </c>
      <c r="BN113" s="566">
        <f t="shared" si="564"/>
        <v>1641101.9931537434</v>
      </c>
      <c r="BO113" s="566">
        <f t="shared" si="564"/>
        <v>1025279.6524752458</v>
      </c>
      <c r="BP113" s="566">
        <f t="shared" si="564"/>
        <v>4652080</v>
      </c>
      <c r="BQ113" s="566">
        <f t="shared" ref="BQ113:EB113" si="566">BQ94+BQ111</f>
        <v>66564.165662464104</v>
      </c>
      <c r="BR113" s="566">
        <f t="shared" si="566"/>
        <v>1013021</v>
      </c>
      <c r="BS113" s="566">
        <f t="shared" si="566"/>
        <v>1300282.2989678741</v>
      </c>
      <c r="BT113" s="566">
        <f t="shared" si="566"/>
        <v>914160.26616723067</v>
      </c>
      <c r="BU113" s="566">
        <f t="shared" si="566"/>
        <v>3939338</v>
      </c>
      <c r="BV113" s="566">
        <f t="shared" si="566"/>
        <v>1177908.0353182531</v>
      </c>
      <c r="BW113" s="566">
        <f t="shared" si="566"/>
        <v>532683</v>
      </c>
      <c r="BX113" s="566">
        <f t="shared" si="566"/>
        <v>5208889.1910633538</v>
      </c>
      <c r="BY113" s="566">
        <f t="shared" si="566"/>
        <v>1520144</v>
      </c>
      <c r="BZ113" s="566">
        <f t="shared" si="566"/>
        <v>324150</v>
      </c>
      <c r="CA113" s="566">
        <f t="shared" si="566"/>
        <v>0</v>
      </c>
      <c r="CB113" s="566">
        <f t="shared" si="566"/>
        <v>571519.10142146726</v>
      </c>
      <c r="CC113" s="566">
        <f t="shared" si="566"/>
        <v>2238055.6625416637</v>
      </c>
      <c r="CD113" s="566">
        <f t="shared" si="566"/>
        <v>637848.21685573971</v>
      </c>
      <c r="CE113" s="566">
        <f t="shared" si="566"/>
        <v>9715050.1253167707</v>
      </c>
      <c r="CF113" s="566">
        <f t="shared" si="566"/>
        <v>4453617.8393289512</v>
      </c>
      <c r="CG113" s="566">
        <f t="shared" si="566"/>
        <v>257159.49607044645</v>
      </c>
      <c r="CH113" s="566">
        <f t="shared" si="566"/>
        <v>0</v>
      </c>
      <c r="CI113" s="566">
        <f t="shared" si="566"/>
        <v>21633.155796868727</v>
      </c>
      <c r="CJ113" s="566">
        <f t="shared" si="566"/>
        <v>3854195.0818283353</v>
      </c>
      <c r="CK113" s="566">
        <f t="shared" si="566"/>
        <v>4466000</v>
      </c>
      <c r="CL113" s="566">
        <f t="shared" si="566"/>
        <v>246003.87686725715</v>
      </c>
      <c r="CM113" s="566">
        <f t="shared" si="566"/>
        <v>6012336.4399863137</v>
      </c>
      <c r="CN113" s="566">
        <f t="shared" si="566"/>
        <v>1342009.9127194914</v>
      </c>
      <c r="CO113" s="566">
        <f t="shared" si="566"/>
        <v>1214500</v>
      </c>
      <c r="CP113" s="566">
        <f t="shared" si="566"/>
        <v>1268807.7168003041</v>
      </c>
      <c r="CQ113" s="566">
        <f t="shared" si="566"/>
        <v>5515036.573718125</v>
      </c>
      <c r="CR113" s="566">
        <f t="shared" si="566"/>
        <v>2331094</v>
      </c>
      <c r="CS113" s="566">
        <f t="shared" si="566"/>
        <v>187555.67419309285</v>
      </c>
      <c r="CT113" s="566">
        <f t="shared" si="566"/>
        <v>0</v>
      </c>
      <c r="CU113" s="566">
        <f t="shared" si="566"/>
        <v>1875000</v>
      </c>
      <c r="CV113" s="566">
        <f t="shared" si="566"/>
        <v>5644990.9859210327</v>
      </c>
      <c r="CW113" s="566">
        <f t="shared" si="566"/>
        <v>400000</v>
      </c>
      <c r="CX113" s="566">
        <f t="shared" si="566"/>
        <v>3457000</v>
      </c>
      <c r="CY113" s="566">
        <f t="shared" si="566"/>
        <v>2881083.2839012085</v>
      </c>
      <c r="CZ113" s="566">
        <f t="shared" si="566"/>
        <v>371000</v>
      </c>
      <c r="DA113" s="566">
        <f t="shared" si="566"/>
        <v>7650000</v>
      </c>
      <c r="DB113" s="566">
        <f t="shared" si="566"/>
        <v>760808</v>
      </c>
      <c r="DC113" s="566">
        <f t="shared" si="566"/>
        <v>1952214.4635382525</v>
      </c>
      <c r="DD113" s="566">
        <f t="shared" si="566"/>
        <v>428740.05018450413</v>
      </c>
      <c r="DE113" s="566">
        <f t="shared" si="566"/>
        <v>1595404.8713862468</v>
      </c>
      <c r="DF113" s="566">
        <f t="shared" si="566"/>
        <v>4660760</v>
      </c>
      <c r="DG113" s="566">
        <f t="shared" si="566"/>
        <v>802938.16515118408</v>
      </c>
      <c r="DH113" s="566">
        <f t="shared" si="566"/>
        <v>908244.44020215096</v>
      </c>
      <c r="DI113" s="566">
        <f t="shared" si="566"/>
        <v>0</v>
      </c>
      <c r="DJ113" s="566">
        <f t="shared" si="566"/>
        <v>65990.976314039901</v>
      </c>
      <c r="DK113" s="566">
        <f t="shared" si="566"/>
        <v>224452.83531246078</v>
      </c>
      <c r="DL113" s="566">
        <f t="shared" si="566"/>
        <v>4094296.2218004535</v>
      </c>
      <c r="DM113" s="566">
        <f t="shared" si="566"/>
        <v>1905503.0838138557</v>
      </c>
      <c r="DN113" s="566">
        <f t="shared" si="566"/>
        <v>3604667</v>
      </c>
      <c r="DO113" s="566">
        <f t="shared" si="566"/>
        <v>1402300.3922101089</v>
      </c>
      <c r="DP113" s="566">
        <f t="shared" si="566"/>
        <v>4045363.78</v>
      </c>
      <c r="DQ113" s="566">
        <f t="shared" si="566"/>
        <v>3939645</v>
      </c>
      <c r="DR113" s="566">
        <f t="shared" si="566"/>
        <v>4423025</v>
      </c>
      <c r="DS113" s="566">
        <f t="shared" si="566"/>
        <v>878000</v>
      </c>
      <c r="DT113" s="566">
        <f t="shared" si="566"/>
        <v>3379864.0513730422</v>
      </c>
      <c r="DU113" s="566">
        <f t="shared" si="566"/>
        <v>0</v>
      </c>
      <c r="DV113" s="566">
        <f t="shared" si="566"/>
        <v>4423333</v>
      </c>
      <c r="DW113" s="566">
        <f t="shared" si="566"/>
        <v>0</v>
      </c>
      <c r="DX113" s="566">
        <f t="shared" si="566"/>
        <v>0</v>
      </c>
      <c r="DY113" s="566">
        <f t="shared" si="566"/>
        <v>4581142.7504826486</v>
      </c>
      <c r="DZ113" s="566">
        <f t="shared" si="566"/>
        <v>723925.6888148766</v>
      </c>
      <c r="EA113" s="566">
        <f t="shared" si="566"/>
        <v>3910500</v>
      </c>
      <c r="EB113" s="566">
        <f t="shared" si="566"/>
        <v>5751412.8583436497</v>
      </c>
      <c r="EC113" s="566">
        <f t="shared" ref="EC113:GN113" si="567">EC94+EC111</f>
        <v>3507637.7512384658</v>
      </c>
      <c r="ED113" s="566">
        <f t="shared" si="567"/>
        <v>3789855.4215401057</v>
      </c>
      <c r="EE113" s="566">
        <f t="shared" si="567"/>
        <v>610000</v>
      </c>
      <c r="EF113" s="566">
        <f t="shared" si="567"/>
        <v>666000</v>
      </c>
      <c r="EG113" s="566">
        <f t="shared" si="567"/>
        <v>425000</v>
      </c>
      <c r="EH113" s="566">
        <f t="shared" si="567"/>
        <v>595000</v>
      </c>
      <c r="EI113" s="566">
        <f t="shared" si="567"/>
        <v>1025000</v>
      </c>
      <c r="EJ113" s="566">
        <f t="shared" si="567"/>
        <v>0</v>
      </c>
      <c r="EK113" s="566">
        <f t="shared" si="567"/>
        <v>3932042</v>
      </c>
      <c r="EL113" s="566">
        <f t="shared" si="567"/>
        <v>8896075.9201217424</v>
      </c>
      <c r="EM113" s="566">
        <f t="shared" si="567"/>
        <v>2765690.3194428757</v>
      </c>
      <c r="EN113" s="566">
        <f t="shared" si="567"/>
        <v>2526602</v>
      </c>
      <c r="EO113" s="566">
        <f t="shared" si="567"/>
        <v>326536.14681555587</v>
      </c>
      <c r="EP113" s="566">
        <f t="shared" si="567"/>
        <v>2970065</v>
      </c>
      <c r="EQ113" s="566">
        <f t="shared" si="567"/>
        <v>2318152.5044244276</v>
      </c>
      <c r="ER113" s="566">
        <f t="shared" si="567"/>
        <v>6229000</v>
      </c>
      <c r="ES113" s="566">
        <f t="shared" si="567"/>
        <v>2889369.4473401564</v>
      </c>
      <c r="ET113" s="566">
        <f t="shared" si="567"/>
        <v>901340</v>
      </c>
      <c r="EU113" s="566">
        <f t="shared" si="567"/>
        <v>2056000</v>
      </c>
      <c r="EV113" s="566">
        <f t="shared" si="567"/>
        <v>443085.98782481399</v>
      </c>
      <c r="EW113" s="566">
        <f t="shared" si="567"/>
        <v>2505057.7705038232</v>
      </c>
      <c r="EX113" s="566">
        <f t="shared" si="567"/>
        <v>5574308.9853405347</v>
      </c>
      <c r="EY113" s="566">
        <f t="shared" si="567"/>
        <v>2059165.8751551495</v>
      </c>
      <c r="EZ113" s="566">
        <f t="shared" si="567"/>
        <v>0</v>
      </c>
      <c r="FA113" s="566">
        <f t="shared" si="567"/>
        <v>990000</v>
      </c>
      <c r="FB113" s="566">
        <f t="shared" si="567"/>
        <v>177814.53304874955</v>
      </c>
      <c r="FC113" s="566">
        <f t="shared" si="567"/>
        <v>3042203.9813623684</v>
      </c>
      <c r="FD113" s="566">
        <f t="shared" si="567"/>
        <v>0</v>
      </c>
      <c r="FE113" s="566">
        <f t="shared" si="567"/>
        <v>343252.91334718862</v>
      </c>
      <c r="FF113" s="566">
        <f t="shared" si="567"/>
        <v>1441591.96</v>
      </c>
      <c r="FG113" s="566">
        <f t="shared" si="567"/>
        <v>5703200</v>
      </c>
      <c r="FH113" s="566">
        <f t="shared" si="567"/>
        <v>5790606.0491879787</v>
      </c>
      <c r="FI113" s="566">
        <f t="shared" si="567"/>
        <v>7582387.4650456514</v>
      </c>
      <c r="FJ113" s="566">
        <f t="shared" si="567"/>
        <v>1854520.9697589942</v>
      </c>
      <c r="FK113" s="566">
        <f t="shared" si="567"/>
        <v>117156.2027371416</v>
      </c>
      <c r="FL113" s="566">
        <f t="shared" si="567"/>
        <v>289530.78772289003</v>
      </c>
      <c r="FM113" s="566">
        <f t="shared" si="567"/>
        <v>943015.1290333569</v>
      </c>
      <c r="FN113" s="566">
        <f t="shared" si="567"/>
        <v>7003025.5498415343</v>
      </c>
      <c r="FO113" s="566">
        <f t="shared" si="567"/>
        <v>1654621.1373999999</v>
      </c>
      <c r="FP113" s="566">
        <f t="shared" si="567"/>
        <v>12351204.308851836</v>
      </c>
      <c r="FQ113" s="566">
        <f t="shared" si="567"/>
        <v>1972278.2238</v>
      </c>
      <c r="FR113" s="566">
        <f t="shared" si="567"/>
        <v>57292.80472513882</v>
      </c>
      <c r="FS113" s="566">
        <f t="shared" si="567"/>
        <v>464007.95</v>
      </c>
      <c r="FT113" s="566">
        <f t="shared" si="567"/>
        <v>3255891.8040901599</v>
      </c>
      <c r="FU113" s="566">
        <f t="shared" si="567"/>
        <v>465828.80444292724</v>
      </c>
      <c r="FV113" s="566">
        <f t="shared" si="567"/>
        <v>559247.1692367394</v>
      </c>
      <c r="FW113" s="566">
        <f t="shared" si="567"/>
        <v>937680.03042577044</v>
      </c>
      <c r="FX113" s="566">
        <f t="shared" si="567"/>
        <v>384533.50336206751</v>
      </c>
      <c r="FY113" s="566">
        <f t="shared" si="567"/>
        <v>200000</v>
      </c>
      <c r="FZ113" s="566">
        <f t="shared" si="567"/>
        <v>2571154.0852688877</v>
      </c>
      <c r="GA113" s="566">
        <f t="shared" si="567"/>
        <v>235086.12772381899</v>
      </c>
      <c r="GB113" s="566">
        <f t="shared" si="567"/>
        <v>2245960.1198871755</v>
      </c>
      <c r="GC113" s="566">
        <f t="shared" si="567"/>
        <v>2171084.1398516875</v>
      </c>
      <c r="GD113" s="566">
        <f t="shared" si="567"/>
        <v>7928941.2458636481</v>
      </c>
      <c r="GE113" s="566">
        <f t="shared" si="567"/>
        <v>155880.93400108395</v>
      </c>
      <c r="GF113" s="566">
        <f t="shared" si="567"/>
        <v>3881575.8495693267</v>
      </c>
      <c r="GG113" s="566">
        <f t="shared" si="567"/>
        <v>1157418.4633801784</v>
      </c>
      <c r="GH113" s="566">
        <f t="shared" si="567"/>
        <v>1054717</v>
      </c>
      <c r="GI113" s="566">
        <f t="shared" si="567"/>
        <v>7754404.1747833164</v>
      </c>
      <c r="GJ113" s="566">
        <f t="shared" si="567"/>
        <v>1839200.3392906617</v>
      </c>
      <c r="GK113" s="566">
        <f t="shared" si="567"/>
        <v>1100000</v>
      </c>
      <c r="GL113" s="566">
        <f t="shared" si="567"/>
        <v>469954.02825609827</v>
      </c>
      <c r="GM113" s="566">
        <f t="shared" si="567"/>
        <v>692537.52275552833</v>
      </c>
      <c r="GN113" s="566">
        <f t="shared" si="567"/>
        <v>788769.06011215365</v>
      </c>
      <c r="GO113" s="566">
        <f t="shared" ref="GO113:IZ113" si="568">GO94+GO111</f>
        <v>4468795.486137961</v>
      </c>
      <c r="GP113" s="566">
        <f t="shared" si="568"/>
        <v>484458.62365770375</v>
      </c>
      <c r="GQ113" s="566">
        <f t="shared" si="568"/>
        <v>309592.78871686111</v>
      </c>
      <c r="GR113" s="566">
        <f t="shared" si="568"/>
        <v>610000</v>
      </c>
      <c r="GS113" s="566">
        <f t="shared" si="568"/>
        <v>0</v>
      </c>
      <c r="GT113" s="566">
        <f t="shared" si="568"/>
        <v>8684791.9089435674</v>
      </c>
      <c r="GU113" s="566">
        <f t="shared" si="568"/>
        <v>807440</v>
      </c>
      <c r="GV113" s="566">
        <f t="shared" si="568"/>
        <v>5000000</v>
      </c>
      <c r="GW113" s="566">
        <f t="shared" si="568"/>
        <v>941724.88907427166</v>
      </c>
      <c r="GX113" s="566">
        <f t="shared" si="568"/>
        <v>150000</v>
      </c>
      <c r="GY113" s="566">
        <f t="shared" si="568"/>
        <v>11169700.678891907</v>
      </c>
      <c r="GZ113" s="566">
        <f t="shared" si="568"/>
        <v>0</v>
      </c>
      <c r="HA113" s="566">
        <f t="shared" si="568"/>
        <v>5200000</v>
      </c>
      <c r="HB113" s="566">
        <f t="shared" si="568"/>
        <v>2241824.8575916188</v>
      </c>
      <c r="HC113" s="566">
        <f t="shared" si="568"/>
        <v>5534657.4581430918</v>
      </c>
      <c r="HD113" s="566">
        <f t="shared" si="568"/>
        <v>1908552.7255373849</v>
      </c>
      <c r="HE113" s="566">
        <f t="shared" si="568"/>
        <v>4945200</v>
      </c>
      <c r="HF113" s="566">
        <f t="shared" si="568"/>
        <v>780918.93476073246</v>
      </c>
      <c r="HG113" s="566">
        <f t="shared" si="568"/>
        <v>483764.13760522264</v>
      </c>
      <c r="HH113" s="566">
        <f t="shared" si="568"/>
        <v>1870575.3205709462</v>
      </c>
      <c r="HI113" s="566">
        <f t="shared" si="568"/>
        <v>1243943.1770259617</v>
      </c>
      <c r="HJ113" s="566">
        <f t="shared" si="568"/>
        <v>0</v>
      </c>
      <c r="HK113" s="566">
        <f t="shared" si="568"/>
        <v>0</v>
      </c>
      <c r="HL113" s="566">
        <f t="shared" si="568"/>
        <v>25331486.682283964</v>
      </c>
      <c r="HM113" s="566">
        <f t="shared" si="568"/>
        <v>18062108.226576902</v>
      </c>
      <c r="HN113" s="566">
        <f t="shared" si="568"/>
        <v>0</v>
      </c>
      <c r="HO113" s="566">
        <f t="shared" si="568"/>
        <v>0</v>
      </c>
      <c r="HP113" s="566">
        <f t="shared" si="568"/>
        <v>19303218</v>
      </c>
      <c r="HQ113" s="566">
        <f t="shared" si="568"/>
        <v>687360.32396511442</v>
      </c>
      <c r="HR113" s="566">
        <f t="shared" si="568"/>
        <v>24026005.044292737</v>
      </c>
      <c r="HS113" s="566">
        <f t="shared" si="568"/>
        <v>4430596.6317421505</v>
      </c>
      <c r="HT113" s="566">
        <f t="shared" si="568"/>
        <v>15937684.999999998</v>
      </c>
      <c r="HU113" s="566">
        <f t="shared" si="568"/>
        <v>15474994</v>
      </c>
      <c r="HV113" s="566">
        <f t="shared" si="568"/>
        <v>12916127</v>
      </c>
      <c r="HW113" s="566">
        <f t="shared" si="568"/>
        <v>3337992.5558626438</v>
      </c>
      <c r="HX113" s="566">
        <f t="shared" si="568"/>
        <v>13238077.444137355</v>
      </c>
      <c r="HY113" s="566">
        <f t="shared" si="568"/>
        <v>14405761.999999998</v>
      </c>
      <c r="HZ113" s="566">
        <f t="shared" si="568"/>
        <v>6797941</v>
      </c>
      <c r="IA113" s="566">
        <f t="shared" si="568"/>
        <v>6429487</v>
      </c>
      <c r="IB113" s="566">
        <f t="shared" si="568"/>
        <v>6265181.0000000009</v>
      </c>
      <c r="IC113" s="566">
        <f t="shared" si="568"/>
        <v>7418223.3670759555</v>
      </c>
      <c r="ID113" s="566">
        <f t="shared" si="568"/>
        <v>6685282.6329240454</v>
      </c>
      <c r="IE113" s="566">
        <f t="shared" si="568"/>
        <v>13033892</v>
      </c>
      <c r="IF113" s="566">
        <f t="shared" si="568"/>
        <v>12847830.639815958</v>
      </c>
      <c r="IG113" s="566">
        <f t="shared" si="568"/>
        <v>3089236.3601840409</v>
      </c>
      <c r="IH113" s="566">
        <f t="shared" si="568"/>
        <v>1754306.5582447783</v>
      </c>
      <c r="II113" s="566">
        <f t="shared" si="568"/>
        <v>15058472.804034036</v>
      </c>
      <c r="IJ113" s="566">
        <f t="shared" si="568"/>
        <v>1090184.5555434485</v>
      </c>
      <c r="IK113" s="566">
        <f t="shared" si="568"/>
        <v>150000</v>
      </c>
      <c r="IL113" s="566">
        <f t="shared" si="568"/>
        <v>7291656</v>
      </c>
      <c r="IM113" s="566">
        <f t="shared" si="568"/>
        <v>530838.89887640509</v>
      </c>
      <c r="IN113" s="566">
        <f t="shared" si="568"/>
        <v>6956997.809082007</v>
      </c>
      <c r="IO113" s="566">
        <f t="shared" si="568"/>
        <v>2174446.2920415876</v>
      </c>
      <c r="IP113" s="566">
        <f t="shared" si="568"/>
        <v>15916866.999999998</v>
      </c>
      <c r="IQ113" s="566">
        <f t="shared" si="568"/>
        <v>15354811.354535684</v>
      </c>
      <c r="IR113" s="566">
        <f t="shared" si="568"/>
        <v>661217.64546431496</v>
      </c>
      <c r="IS113" s="566">
        <f t="shared" si="568"/>
        <v>38158144.757048547</v>
      </c>
      <c r="IT113" s="566">
        <f t="shared" si="568"/>
        <v>8363389.2429514462</v>
      </c>
      <c r="IU113" s="566">
        <f t="shared" si="568"/>
        <v>2009011.8972780025</v>
      </c>
      <c r="IV113" s="566">
        <f t="shared" si="568"/>
        <v>5685103.8423596416</v>
      </c>
      <c r="IW113" s="566">
        <f t="shared" si="568"/>
        <v>11119516.084632741</v>
      </c>
      <c r="IX113" s="566">
        <f t="shared" si="568"/>
        <v>1125734.1757296147</v>
      </c>
      <c r="IY113" s="566">
        <f t="shared" si="568"/>
        <v>3266101.4628047682</v>
      </c>
      <c r="IZ113" s="566">
        <f t="shared" si="568"/>
        <v>15681490.537195232</v>
      </c>
      <c r="JA113" s="566">
        <f t="shared" ref="JA113:JH113" si="569">JA94+JA111</f>
        <v>2298510</v>
      </c>
      <c r="JB113" s="566">
        <f t="shared" si="569"/>
        <v>2067000</v>
      </c>
      <c r="JC113" s="566">
        <f t="shared" si="569"/>
        <v>1625000</v>
      </c>
      <c r="JD113" s="566">
        <f t="shared" si="569"/>
        <v>4176392</v>
      </c>
      <c r="JE113" s="566">
        <f t="shared" si="569"/>
        <v>453694.24606177595</v>
      </c>
      <c r="JF113" s="566">
        <f t="shared" si="569"/>
        <v>25223010.75393822</v>
      </c>
      <c r="JG113" s="566">
        <f t="shared" si="569"/>
        <v>22851614.595014382</v>
      </c>
      <c r="JH113" s="566">
        <f t="shared" si="569"/>
        <v>868740</v>
      </c>
      <c r="JI113" s="568">
        <f>SUM(C113:JH113)</f>
        <v>969694287.67721987</v>
      </c>
      <c r="JL113" s="307">
        <f>SUMIFS($C113:$JH113,$C$5:$JH$5,JL$5)</f>
        <v>24913606.964635424</v>
      </c>
      <c r="JM113" s="307">
        <f>SUMIFS($C113:$JH113,$C$5:$JH$5,JM$5)</f>
        <v>341147467.31724161</v>
      </c>
      <c r="JN113" s="307">
        <f>SUMIFS($C113:$JH113,$C$5:$JH$5,JN$5)</f>
        <v>162002473.97364563</v>
      </c>
      <c r="JO113" s="307">
        <f>SUMIFS($C113:$JH113,$C$5:$JH$5,JO$5)</f>
        <v>441630739.42169756</v>
      </c>
      <c r="JP113" s="307">
        <f t="shared" ref="JP113" si="570">SUM(JL113:JO113)</f>
        <v>969694287.67722023</v>
      </c>
    </row>
    <row r="114" spans="1:276" x14ac:dyDescent="0.25">
      <c r="GY114" s="292" t="s">
        <v>2612</v>
      </c>
    </row>
    <row r="115" spans="1:276" x14ac:dyDescent="0.25">
      <c r="B115" s="314" t="str">
        <f>B101</f>
        <v>Celkem 2019 (přes KHK)</v>
      </c>
      <c r="C115" s="314">
        <f t="shared" ref="C115:BO115" si="571">C101</f>
        <v>7649000</v>
      </c>
      <c r="D115" s="314">
        <f t="shared" si="571"/>
        <v>6323100</v>
      </c>
      <c r="E115" s="314">
        <f t="shared" si="571"/>
        <v>8196405</v>
      </c>
      <c r="F115" s="314">
        <f t="shared" si="571"/>
        <v>3484600</v>
      </c>
      <c r="G115" s="314">
        <f t="shared" si="571"/>
        <v>8898350</v>
      </c>
      <c r="H115" s="314">
        <f t="shared" si="571"/>
        <v>851000</v>
      </c>
      <c r="I115" s="314">
        <f t="shared" si="571"/>
        <v>2220902</v>
      </c>
      <c r="J115" s="314">
        <f t="shared" si="571"/>
        <v>2592445</v>
      </c>
      <c r="K115" s="314">
        <f t="shared" si="571"/>
        <v>5369542</v>
      </c>
      <c r="L115" s="314">
        <f t="shared" si="571"/>
        <v>3774970</v>
      </c>
      <c r="M115" s="314">
        <f t="shared" si="571"/>
        <v>3637289</v>
      </c>
      <c r="N115" s="314">
        <f t="shared" si="571"/>
        <v>5245000</v>
      </c>
      <c r="O115" s="314">
        <f t="shared" si="571"/>
        <v>4154929</v>
      </c>
      <c r="P115" s="314">
        <f t="shared" si="571"/>
        <v>2345016</v>
      </c>
      <c r="Q115" s="314">
        <f t="shared" si="571"/>
        <v>1465267</v>
      </c>
      <c r="R115" s="314">
        <f t="shared" si="571"/>
        <v>2124718.1</v>
      </c>
      <c r="S115" s="314">
        <f t="shared" si="571"/>
        <v>1637152.8</v>
      </c>
      <c r="T115" s="314">
        <f t="shared" si="571"/>
        <v>591336</v>
      </c>
      <c r="U115" s="314">
        <f t="shared" si="571"/>
        <v>1099204</v>
      </c>
      <c r="V115" s="314">
        <f t="shared" si="571"/>
        <v>9233620</v>
      </c>
      <c r="W115" s="314">
        <f t="shared" si="571"/>
        <v>1825000</v>
      </c>
      <c r="X115" s="314">
        <f t="shared" si="571"/>
        <v>1309890</v>
      </c>
      <c r="Y115" s="314">
        <f t="shared" si="571"/>
        <v>1757810</v>
      </c>
      <c r="Z115" s="314">
        <f t="shared" si="571"/>
        <v>6852000</v>
      </c>
      <c r="AA115" s="314">
        <f t="shared" si="571"/>
        <v>3849820</v>
      </c>
      <c r="AB115" s="314">
        <f t="shared" si="571"/>
        <v>3047940</v>
      </c>
      <c r="AC115" s="314">
        <f t="shared" ref="AC115" si="572">AC101</f>
        <v>2007500</v>
      </c>
      <c r="AD115" s="314">
        <f t="shared" si="571"/>
        <v>1845240</v>
      </c>
      <c r="AE115" s="314">
        <f t="shared" si="571"/>
        <v>1056608</v>
      </c>
      <c r="AF115" s="314">
        <f t="shared" si="571"/>
        <v>2104207</v>
      </c>
      <c r="AG115" s="314">
        <f t="shared" si="571"/>
        <v>3325752</v>
      </c>
      <c r="AH115" s="314">
        <f t="shared" si="571"/>
        <v>767266</v>
      </c>
      <c r="AI115" s="314">
        <f t="shared" si="571"/>
        <v>2893700</v>
      </c>
      <c r="AJ115" s="314">
        <f t="shared" si="571"/>
        <v>2450300</v>
      </c>
      <c r="AK115" s="314">
        <f t="shared" si="571"/>
        <v>1197405</v>
      </c>
      <c r="AL115" s="314">
        <f t="shared" si="571"/>
        <v>1860416</v>
      </c>
      <c r="AM115" s="314">
        <f t="shared" si="571"/>
        <v>1374492</v>
      </c>
      <c r="AN115" s="314">
        <f t="shared" si="571"/>
        <v>1027900</v>
      </c>
      <c r="AO115" s="314">
        <f t="shared" si="571"/>
        <v>3729028</v>
      </c>
      <c r="AP115" s="314">
        <f t="shared" si="571"/>
        <v>2259775</v>
      </c>
      <c r="AQ115" s="314">
        <f t="shared" si="571"/>
        <v>327938</v>
      </c>
      <c r="AR115" s="314">
        <f t="shared" si="571"/>
        <v>1130591</v>
      </c>
      <c r="AS115" s="314">
        <f t="shared" si="571"/>
        <v>450572</v>
      </c>
      <c r="AT115" s="314">
        <f t="shared" si="571"/>
        <v>2175746</v>
      </c>
      <c r="AU115" s="314">
        <f t="shared" si="571"/>
        <v>894272</v>
      </c>
      <c r="AV115" s="314">
        <f t="shared" si="571"/>
        <v>1866618</v>
      </c>
      <c r="AW115" s="314">
        <f t="shared" si="571"/>
        <v>3070875</v>
      </c>
      <c r="AX115" s="314">
        <f t="shared" si="571"/>
        <v>2970020</v>
      </c>
      <c r="AY115" s="314">
        <f t="shared" si="571"/>
        <v>3091452</v>
      </c>
      <c r="AZ115" s="314">
        <f t="shared" si="571"/>
        <v>2931235</v>
      </c>
      <c r="BA115" s="314">
        <f t="shared" si="571"/>
        <v>7415268</v>
      </c>
      <c r="BB115" s="314">
        <f t="shared" si="571"/>
        <v>1020124</v>
      </c>
      <c r="BC115" s="314">
        <f t="shared" si="571"/>
        <v>1008745</v>
      </c>
      <c r="BD115" s="314">
        <f t="shared" si="571"/>
        <v>1277820</v>
      </c>
      <c r="BE115" s="314">
        <f t="shared" si="571"/>
        <v>1204150</v>
      </c>
      <c r="BF115" s="314">
        <f t="shared" si="571"/>
        <v>1888960</v>
      </c>
      <c r="BG115" s="314">
        <f t="shared" si="571"/>
        <v>2344216</v>
      </c>
      <c r="BH115" s="314">
        <f t="shared" si="571"/>
        <v>2948068</v>
      </c>
      <c r="BI115" s="314">
        <f t="shared" si="571"/>
        <v>1468100</v>
      </c>
      <c r="BJ115" s="314">
        <f t="shared" si="571"/>
        <v>2652621</v>
      </c>
      <c r="BK115" s="314">
        <f t="shared" si="571"/>
        <v>852000</v>
      </c>
      <c r="BL115" s="314">
        <f t="shared" si="571"/>
        <v>0</v>
      </c>
      <c r="BM115" s="314">
        <f t="shared" si="571"/>
        <v>615100</v>
      </c>
      <c r="BN115" s="314">
        <f t="shared" si="571"/>
        <v>1582000</v>
      </c>
      <c r="BO115" s="314">
        <f t="shared" si="571"/>
        <v>762010</v>
      </c>
      <c r="BP115" s="314">
        <f t="shared" ref="BP115:EA115" si="573">BP101</f>
        <v>3919307</v>
      </c>
      <c r="BQ115" s="314">
        <f t="shared" si="573"/>
        <v>815436</v>
      </c>
      <c r="BR115" s="314">
        <f t="shared" si="573"/>
        <v>874340</v>
      </c>
      <c r="BS115" s="314">
        <f t="shared" si="573"/>
        <v>1297900</v>
      </c>
      <c r="BT115" s="314">
        <f t="shared" si="573"/>
        <v>860100</v>
      </c>
      <c r="BU115" s="314">
        <f t="shared" si="573"/>
        <v>3939338</v>
      </c>
      <c r="BV115" s="314">
        <f t="shared" si="573"/>
        <v>588910</v>
      </c>
      <c r="BW115" s="314">
        <f t="shared" si="573"/>
        <v>532683</v>
      </c>
      <c r="BX115" s="314">
        <f t="shared" si="573"/>
        <v>4055253</v>
      </c>
      <c r="BY115" s="314">
        <f t="shared" si="573"/>
        <v>1520144</v>
      </c>
      <c r="BZ115" s="314">
        <f t="shared" si="573"/>
        <v>324150</v>
      </c>
      <c r="CA115" s="314">
        <f t="shared" si="573"/>
        <v>0</v>
      </c>
      <c r="CB115" s="314">
        <f t="shared" si="573"/>
        <v>532263</v>
      </c>
      <c r="CC115" s="314">
        <f t="shared" si="573"/>
        <v>2120418</v>
      </c>
      <c r="CD115" s="314">
        <f t="shared" si="573"/>
        <v>647336</v>
      </c>
      <c r="CE115" s="314">
        <f t="shared" si="573"/>
        <v>8268855</v>
      </c>
      <c r="CF115" s="314">
        <f t="shared" si="573"/>
        <v>4326000</v>
      </c>
      <c r="CG115" s="314">
        <f t="shared" si="573"/>
        <v>8224486</v>
      </c>
      <c r="CH115" s="314">
        <f t="shared" si="573"/>
        <v>3654346</v>
      </c>
      <c r="CI115" s="314">
        <f t="shared" si="573"/>
        <v>2882766</v>
      </c>
      <c r="CJ115" s="314">
        <f t="shared" si="573"/>
        <v>3459530</v>
      </c>
      <c r="CK115" s="314">
        <f t="shared" si="573"/>
        <v>4176623</v>
      </c>
      <c r="CL115" s="314">
        <f t="shared" si="573"/>
        <v>2384969</v>
      </c>
      <c r="CM115" s="314">
        <f t="shared" si="573"/>
        <v>5320660</v>
      </c>
      <c r="CN115" s="314">
        <f t="shared" si="573"/>
        <v>1282575.1399999999</v>
      </c>
      <c r="CO115" s="314">
        <f t="shared" si="573"/>
        <v>1214500</v>
      </c>
      <c r="CP115" s="314">
        <f t="shared" si="573"/>
        <v>1238425.46</v>
      </c>
      <c r="CQ115" s="314">
        <f t="shared" si="573"/>
        <v>4606266</v>
      </c>
      <c r="CR115" s="314">
        <f t="shared" si="573"/>
        <v>1616800</v>
      </c>
      <c r="CS115" s="314">
        <f t="shared" si="573"/>
        <v>0</v>
      </c>
      <c r="CT115" s="314">
        <f t="shared" si="573"/>
        <v>5070000</v>
      </c>
      <c r="CU115" s="314">
        <f t="shared" si="573"/>
        <v>1400500</v>
      </c>
      <c r="CV115" s="314">
        <f t="shared" si="573"/>
        <v>5031500</v>
      </c>
      <c r="CW115" s="314">
        <f t="shared" si="573"/>
        <v>271401</v>
      </c>
      <c r="CX115" s="314">
        <f t="shared" si="573"/>
        <v>3128000</v>
      </c>
      <c r="CY115" s="314">
        <f t="shared" si="573"/>
        <v>2748954</v>
      </c>
      <c r="CZ115" s="314">
        <f t="shared" si="573"/>
        <v>1006700</v>
      </c>
      <c r="DA115" s="314">
        <f t="shared" si="573"/>
        <v>5580860</v>
      </c>
      <c r="DB115" s="314">
        <f t="shared" si="573"/>
        <v>665328</v>
      </c>
      <c r="DC115" s="314">
        <f t="shared" si="573"/>
        <v>1623500</v>
      </c>
      <c r="DD115" s="314">
        <f t="shared" si="573"/>
        <v>4680513</v>
      </c>
      <c r="DE115" s="314">
        <f t="shared" si="573"/>
        <v>7167606</v>
      </c>
      <c r="DF115" s="314">
        <f t="shared" si="573"/>
        <v>5216852</v>
      </c>
      <c r="DG115" s="314">
        <f t="shared" si="573"/>
        <v>605740</v>
      </c>
      <c r="DH115" s="314">
        <f t="shared" si="573"/>
        <v>1606367.6400000001</v>
      </c>
      <c r="DI115" s="314">
        <f t="shared" si="573"/>
        <v>1093940</v>
      </c>
      <c r="DJ115" s="314">
        <f t="shared" si="573"/>
        <v>1816958</v>
      </c>
      <c r="DK115" s="314">
        <f t="shared" si="573"/>
        <v>910471</v>
      </c>
      <c r="DL115" s="314">
        <f t="shared" si="573"/>
        <v>3817224</v>
      </c>
      <c r="DM115" s="314">
        <f t="shared" si="573"/>
        <v>1734348</v>
      </c>
      <c r="DN115" s="314">
        <f t="shared" si="573"/>
        <v>2980765</v>
      </c>
      <c r="DO115" s="314">
        <f t="shared" si="573"/>
        <v>1397775</v>
      </c>
      <c r="DP115" s="314">
        <f t="shared" si="573"/>
        <v>4045363.78</v>
      </c>
      <c r="DQ115" s="314">
        <f t="shared" si="573"/>
        <v>3907852</v>
      </c>
      <c r="DR115" s="314">
        <f t="shared" si="573"/>
        <v>4477376</v>
      </c>
      <c r="DS115" s="314">
        <f t="shared" si="573"/>
        <v>331000</v>
      </c>
      <c r="DT115" s="314">
        <f t="shared" si="573"/>
        <v>2906291</v>
      </c>
      <c r="DU115" s="314">
        <f t="shared" si="573"/>
        <v>2100600</v>
      </c>
      <c r="DV115" s="314">
        <f t="shared" si="573"/>
        <v>3145477</v>
      </c>
      <c r="DW115" s="314">
        <f t="shared" si="573"/>
        <v>1211410</v>
      </c>
      <c r="DX115" s="314">
        <f t="shared" si="573"/>
        <v>4030918</v>
      </c>
      <c r="DY115" s="314">
        <f t="shared" si="573"/>
        <v>3755150</v>
      </c>
      <c r="DZ115" s="314">
        <f t="shared" si="573"/>
        <v>716300</v>
      </c>
      <c r="EA115" s="314">
        <f t="shared" si="573"/>
        <v>3895188</v>
      </c>
      <c r="EB115" s="314">
        <f t="shared" ref="EB115:GM115" si="574">EB101</f>
        <v>3882690</v>
      </c>
      <c r="EC115" s="314">
        <f t="shared" si="574"/>
        <v>3345254</v>
      </c>
      <c r="ED115" s="314">
        <f t="shared" si="574"/>
        <v>3472808</v>
      </c>
      <c r="EE115" s="314">
        <f t="shared" si="574"/>
        <v>563624</v>
      </c>
      <c r="EF115" s="314">
        <f t="shared" si="574"/>
        <v>669087.59</v>
      </c>
      <c r="EG115" s="314">
        <f t="shared" si="574"/>
        <v>427828.99</v>
      </c>
      <c r="EH115" s="314">
        <f t="shared" si="574"/>
        <v>559670</v>
      </c>
      <c r="EI115" s="314">
        <f t="shared" si="574"/>
        <v>910753</v>
      </c>
      <c r="EJ115" s="314">
        <f t="shared" si="574"/>
        <v>1034374</v>
      </c>
      <c r="EK115" s="314">
        <f t="shared" si="574"/>
        <v>3932042</v>
      </c>
      <c r="EL115" s="314">
        <f t="shared" si="574"/>
        <v>8624026</v>
      </c>
      <c r="EM115" s="314">
        <f t="shared" si="574"/>
        <v>2698808</v>
      </c>
      <c r="EN115" s="314">
        <f t="shared" si="574"/>
        <v>2394473</v>
      </c>
      <c r="EO115" s="314">
        <f t="shared" si="574"/>
        <v>236418</v>
      </c>
      <c r="EP115" s="314">
        <f t="shared" si="574"/>
        <v>2171123</v>
      </c>
      <c r="EQ115" s="314">
        <f t="shared" si="574"/>
        <v>1844122</v>
      </c>
      <c r="ER115" s="314">
        <f t="shared" si="574"/>
        <v>5251868</v>
      </c>
      <c r="ES115" s="314">
        <f t="shared" si="574"/>
        <v>2770560</v>
      </c>
      <c r="ET115" s="314">
        <f t="shared" si="574"/>
        <v>0</v>
      </c>
      <c r="EU115" s="314">
        <f t="shared" si="574"/>
        <v>804000</v>
      </c>
      <c r="EV115" s="314">
        <f t="shared" si="574"/>
        <v>225535</v>
      </c>
      <c r="EW115" s="314">
        <f t="shared" si="574"/>
        <v>2356313</v>
      </c>
      <c r="EX115" s="314">
        <f t="shared" si="574"/>
        <v>5404290</v>
      </c>
      <c r="EY115" s="314">
        <f t="shared" si="574"/>
        <v>2044845</v>
      </c>
      <c r="EZ115" s="314">
        <f t="shared" si="574"/>
        <v>111326</v>
      </c>
      <c r="FA115" s="314">
        <f t="shared" si="574"/>
        <v>793692</v>
      </c>
      <c r="FB115" s="314">
        <f t="shared" si="574"/>
        <v>139761</v>
      </c>
      <c r="FC115" s="314">
        <f t="shared" si="574"/>
        <v>3000000</v>
      </c>
      <c r="FD115" s="314">
        <f t="shared" si="574"/>
        <v>772461</v>
      </c>
      <c r="FE115" s="314">
        <f t="shared" si="574"/>
        <v>262500</v>
      </c>
      <c r="FF115" s="314">
        <f t="shared" si="574"/>
        <v>1117120</v>
      </c>
      <c r="FG115" s="314">
        <f t="shared" si="574"/>
        <v>4683650</v>
      </c>
      <c r="FH115" s="314">
        <f t="shared" si="574"/>
        <v>5519580</v>
      </c>
      <c r="FI115" s="314">
        <f t="shared" si="574"/>
        <v>5568487</v>
      </c>
      <c r="FJ115" s="314">
        <f t="shared" si="574"/>
        <v>1579046</v>
      </c>
      <c r="FK115" s="314">
        <f t="shared" si="574"/>
        <v>281852</v>
      </c>
      <c r="FL115" s="314">
        <f t="shared" si="574"/>
        <v>601762</v>
      </c>
      <c r="FM115" s="314">
        <f t="shared" si="574"/>
        <v>2626403</v>
      </c>
      <c r="FN115" s="314">
        <f t="shared" si="574"/>
        <v>6459380</v>
      </c>
      <c r="FO115" s="314">
        <f t="shared" si="574"/>
        <v>1659657</v>
      </c>
      <c r="FP115" s="314">
        <f t="shared" si="574"/>
        <v>12144452</v>
      </c>
      <c r="FQ115" s="314">
        <f t="shared" si="574"/>
        <v>1909423</v>
      </c>
      <c r="FR115" s="314">
        <f t="shared" si="574"/>
        <v>0</v>
      </c>
      <c r="FS115" s="314">
        <f t="shared" si="574"/>
        <v>477570</v>
      </c>
      <c r="FT115" s="314">
        <f t="shared" si="574"/>
        <v>2948610</v>
      </c>
      <c r="FU115" s="314">
        <f t="shared" si="574"/>
        <v>426547</v>
      </c>
      <c r="FV115" s="314">
        <f t="shared" si="574"/>
        <v>559074</v>
      </c>
      <c r="FW115" s="314">
        <f t="shared" si="574"/>
        <v>1013735</v>
      </c>
      <c r="FX115" s="314">
        <f t="shared" si="574"/>
        <v>364926</v>
      </c>
      <c r="FY115" s="314">
        <f t="shared" si="574"/>
        <v>209591</v>
      </c>
      <c r="FZ115" s="314">
        <f t="shared" si="574"/>
        <v>2576210</v>
      </c>
      <c r="GA115" s="314">
        <f t="shared" si="574"/>
        <v>234850</v>
      </c>
      <c r="GB115" s="314">
        <f t="shared" si="574"/>
        <v>1751320</v>
      </c>
      <c r="GC115" s="314">
        <f t="shared" si="574"/>
        <v>2155529</v>
      </c>
      <c r="GD115" s="314">
        <f t="shared" si="574"/>
        <v>7122291</v>
      </c>
      <c r="GE115" s="314">
        <f t="shared" si="574"/>
        <v>1339065</v>
      </c>
      <c r="GF115" s="314">
        <f t="shared" si="574"/>
        <v>3590557</v>
      </c>
      <c r="GG115" s="314">
        <f t="shared" si="574"/>
        <v>1289981</v>
      </c>
      <c r="GH115" s="314">
        <f t="shared" si="574"/>
        <v>1089582</v>
      </c>
      <c r="GI115" s="314">
        <f t="shared" si="574"/>
        <v>6898917</v>
      </c>
      <c r="GJ115" s="314">
        <f t="shared" si="574"/>
        <v>1667501</v>
      </c>
      <c r="GK115" s="314">
        <f t="shared" si="574"/>
        <v>666130</v>
      </c>
      <c r="GL115" s="314">
        <f t="shared" si="574"/>
        <v>529296</v>
      </c>
      <c r="GM115" s="314">
        <f t="shared" si="574"/>
        <v>753240</v>
      </c>
      <c r="GN115" s="314">
        <f t="shared" ref="GN115:HT115" si="575">GN101</f>
        <v>603116</v>
      </c>
      <c r="GO115" s="314">
        <f t="shared" si="575"/>
        <v>3581549</v>
      </c>
      <c r="GP115" s="314">
        <f t="shared" si="575"/>
        <v>520270</v>
      </c>
      <c r="GQ115" s="314">
        <f t="shared" si="575"/>
        <v>740230</v>
      </c>
      <c r="GR115" s="314">
        <f t="shared" si="575"/>
        <v>693152</v>
      </c>
      <c r="GS115" s="314">
        <f t="shared" si="575"/>
        <v>165886</v>
      </c>
      <c r="GT115" s="314">
        <f t="shared" si="575"/>
        <v>8345502</v>
      </c>
      <c r="GU115" s="314">
        <f t="shared" si="575"/>
        <v>761571</v>
      </c>
      <c r="GV115" s="314">
        <f t="shared" si="575"/>
        <v>4959810</v>
      </c>
      <c r="GW115" s="314">
        <f t="shared" si="575"/>
        <v>1133866</v>
      </c>
      <c r="GX115" s="314">
        <f t="shared" si="575"/>
        <v>154333</v>
      </c>
      <c r="GY115" s="314">
        <f t="shared" si="575"/>
        <v>10721860</v>
      </c>
      <c r="GZ115" s="314">
        <f t="shared" si="575"/>
        <v>0</v>
      </c>
      <c r="HA115" s="314">
        <f t="shared" si="575"/>
        <v>4876560</v>
      </c>
      <c r="HB115" s="314">
        <f t="shared" si="575"/>
        <v>1991460</v>
      </c>
      <c r="HC115" s="314">
        <f t="shared" si="575"/>
        <v>5134000</v>
      </c>
      <c r="HD115" s="314">
        <f t="shared" si="575"/>
        <v>1401300</v>
      </c>
      <c r="HE115" s="314">
        <f t="shared" si="575"/>
        <v>4443200</v>
      </c>
      <c r="HF115" s="314">
        <f t="shared" si="575"/>
        <v>707286</v>
      </c>
      <c r="HG115" s="314">
        <f t="shared" si="575"/>
        <v>518077</v>
      </c>
      <c r="HH115" s="314">
        <f t="shared" si="575"/>
        <v>1985778</v>
      </c>
      <c r="HI115" s="314">
        <f t="shared" si="575"/>
        <v>1514623</v>
      </c>
      <c r="HJ115" s="314">
        <f t="shared" si="575"/>
        <v>495460</v>
      </c>
      <c r="HK115" s="314">
        <f t="shared" si="575"/>
        <v>144000</v>
      </c>
      <c r="HL115" s="314">
        <f t="shared" si="575"/>
        <v>37366967.243574739</v>
      </c>
      <c r="HM115" s="314">
        <f t="shared" si="575"/>
        <v>25001512.541579321</v>
      </c>
      <c r="HN115" s="314">
        <f t="shared" si="575"/>
        <v>808776.41538817156</v>
      </c>
      <c r="HO115" s="314">
        <f t="shared" si="575"/>
        <v>2876769.799457768</v>
      </c>
      <c r="HP115" s="314">
        <f t="shared" si="575"/>
        <v>27787218</v>
      </c>
      <c r="HQ115" s="314">
        <f t="shared" si="575"/>
        <v>978043.38080963399</v>
      </c>
      <c r="HR115" s="314">
        <f t="shared" si="575"/>
        <v>33541191.281565275</v>
      </c>
      <c r="HS115" s="314">
        <f t="shared" si="575"/>
        <v>5691227.33762509</v>
      </c>
      <c r="HT115" s="314">
        <f t="shared" si="575"/>
        <v>22599685</v>
      </c>
      <c r="HU115" s="314">
        <f>HU101</f>
        <v>21507994</v>
      </c>
      <c r="HV115" s="314">
        <f t="shared" ref="HV115:JH115" si="576">HV101</f>
        <v>16689127</v>
      </c>
      <c r="HW115" s="314">
        <f t="shared" si="576"/>
        <v>6965541.9659980796</v>
      </c>
      <c r="HX115" s="314">
        <f t="shared" si="576"/>
        <v>17983528.03400192</v>
      </c>
      <c r="HY115" s="314">
        <f t="shared" si="576"/>
        <v>21105762</v>
      </c>
      <c r="HZ115" s="314">
        <f t="shared" si="576"/>
        <v>9565941</v>
      </c>
      <c r="IA115" s="314">
        <f t="shared" si="576"/>
        <v>9107487</v>
      </c>
      <c r="IB115" s="314">
        <f t="shared" si="576"/>
        <v>8575181</v>
      </c>
      <c r="IC115" s="314">
        <f t="shared" si="576"/>
        <v>11233714.822746631</v>
      </c>
      <c r="ID115" s="314">
        <f t="shared" si="576"/>
        <v>9255791.1772533692</v>
      </c>
      <c r="IE115" s="314">
        <f t="shared" si="576"/>
        <v>16188892</v>
      </c>
      <c r="IF115" s="314">
        <f t="shared" si="576"/>
        <v>20259987.198794641</v>
      </c>
      <c r="IG115" s="314">
        <f t="shared" si="576"/>
        <v>5446079.8012053594</v>
      </c>
      <c r="IH115" s="314">
        <f t="shared" si="576"/>
        <v>3012886.5890955012</v>
      </c>
      <c r="II115" s="314">
        <f t="shared" si="576"/>
        <v>20841865.049244203</v>
      </c>
      <c r="IJ115" s="314">
        <f t="shared" si="576"/>
        <v>1674908.5338407224</v>
      </c>
      <c r="IK115" s="314">
        <f t="shared" si="576"/>
        <v>3577558.8278195728</v>
      </c>
      <c r="IL115" s="314">
        <f t="shared" si="576"/>
        <v>9204656</v>
      </c>
      <c r="IM115" s="314">
        <f t="shared" si="576"/>
        <v>701837.84282009513</v>
      </c>
      <c r="IN115" s="314">
        <f t="shared" si="576"/>
        <v>10213951.504810652</v>
      </c>
      <c r="IO115" s="314">
        <f t="shared" si="576"/>
        <v>3412493.6523692533</v>
      </c>
      <c r="IP115" s="314">
        <f t="shared" si="576"/>
        <v>22515867</v>
      </c>
      <c r="IQ115" s="314">
        <f t="shared" si="576"/>
        <v>22563962.666168727</v>
      </c>
      <c r="IR115" s="314">
        <f t="shared" si="576"/>
        <v>1003066.3338312713</v>
      </c>
      <c r="IS115" s="314">
        <f t="shared" si="576"/>
        <v>53065674.509968996</v>
      </c>
      <c r="IT115" s="314">
        <f t="shared" si="576"/>
        <v>12209859.490031004</v>
      </c>
      <c r="IU115" s="314">
        <f t="shared" si="576"/>
        <v>3182630.0362361362</v>
      </c>
      <c r="IV115" s="314">
        <f t="shared" si="576"/>
        <v>8522404.8188311569</v>
      </c>
      <c r="IW115" s="314">
        <f t="shared" si="576"/>
        <v>15638894.711101327</v>
      </c>
      <c r="IX115" s="314">
        <f t="shared" si="576"/>
        <v>1813436.4338313788</v>
      </c>
      <c r="IY115" s="314">
        <f t="shared" si="576"/>
        <v>7604648.4471565671</v>
      </c>
      <c r="IZ115" s="314">
        <f t="shared" si="576"/>
        <v>18227943.552843433</v>
      </c>
      <c r="JA115" s="314">
        <f t="shared" si="576"/>
        <v>3037151.73</v>
      </c>
      <c r="JB115" s="314">
        <f t="shared" si="576"/>
        <v>2895174.04</v>
      </c>
      <c r="JC115" s="314">
        <f t="shared" si="576"/>
        <v>2268778.09</v>
      </c>
      <c r="JD115" s="314">
        <f t="shared" si="576"/>
        <v>5052980.7</v>
      </c>
      <c r="JE115" s="314">
        <f t="shared" si="576"/>
        <v>1159105.145059247</v>
      </c>
      <c r="JF115" s="314">
        <f t="shared" si="576"/>
        <v>29898599.85494075</v>
      </c>
      <c r="JG115" s="314">
        <f t="shared" si="576"/>
        <v>30541537</v>
      </c>
      <c r="JH115" s="314">
        <f t="shared" si="576"/>
        <v>868740</v>
      </c>
      <c r="JI115" s="314">
        <f t="shared" ref="JI115:JI117" si="577">SUM(C115:JH115)</f>
        <v>1165506510.0600002</v>
      </c>
      <c r="JL115" s="307">
        <f t="shared" ref="JL115:JO117" si="578">SUMIFS($C115:$JH115,$C$5:$JH$5,JL$5)</f>
        <v>22168505</v>
      </c>
      <c r="JM115" s="307">
        <f t="shared" si="578"/>
        <v>364768028.49999994</v>
      </c>
      <c r="JN115" s="307">
        <f t="shared" si="578"/>
        <v>153322946</v>
      </c>
      <c r="JO115" s="307">
        <f t="shared" si="578"/>
        <v>625247030.56000006</v>
      </c>
      <c r="JP115" s="307">
        <f t="shared" ref="JP115:JP116" si="579">SUM(JL115:JO115)</f>
        <v>1165506510.0599999</v>
      </c>
    </row>
    <row r="116" spans="1:276" x14ac:dyDescent="0.25">
      <c r="B116" s="314" t="str">
        <f>B102</f>
        <v>Celkem 2020 (přes KHK) po korekcích</v>
      </c>
      <c r="C116" s="314">
        <f t="shared" ref="C116:BO116" si="580">C113+C47+C48</f>
        <v>8884422.5558247231</v>
      </c>
      <c r="D116" s="314">
        <f t="shared" si="580"/>
        <v>7730000</v>
      </c>
      <c r="E116" s="314">
        <f t="shared" si="580"/>
        <v>8299184.4088107003</v>
      </c>
      <c r="F116" s="314">
        <f t="shared" si="580"/>
        <v>3616884.7088353573</v>
      </c>
      <c r="G116" s="314">
        <f t="shared" si="580"/>
        <v>10328003.127290595</v>
      </c>
      <c r="H116" s="314">
        <f t="shared" si="580"/>
        <v>916710.41611130896</v>
      </c>
      <c r="I116" s="314">
        <f t="shared" si="580"/>
        <v>3162879.4741952131</v>
      </c>
      <c r="J116" s="314">
        <f t="shared" si="580"/>
        <v>2804600.7844202179</v>
      </c>
      <c r="K116" s="314">
        <f t="shared" si="580"/>
        <v>5988080</v>
      </c>
      <c r="L116" s="314">
        <f t="shared" si="580"/>
        <v>3774970</v>
      </c>
      <c r="M116" s="314">
        <f t="shared" si="580"/>
        <v>3667775.238895766</v>
      </c>
      <c r="N116" s="314">
        <f t="shared" si="580"/>
        <v>5360828.6030266704</v>
      </c>
      <c r="O116" s="314">
        <f t="shared" si="580"/>
        <v>4306141</v>
      </c>
      <c r="P116" s="314">
        <f t="shared" si="580"/>
        <v>2453026.0021816893</v>
      </c>
      <c r="Q116" s="314">
        <f t="shared" si="580"/>
        <v>1836488.4791010155</v>
      </c>
      <c r="R116" s="314">
        <f t="shared" si="580"/>
        <v>2030000</v>
      </c>
      <c r="S116" s="314">
        <f t="shared" si="580"/>
        <v>1637152.8</v>
      </c>
      <c r="T116" s="314">
        <f t="shared" si="580"/>
        <v>622773.51077815378</v>
      </c>
      <c r="U116" s="314">
        <f t="shared" si="580"/>
        <v>1087500</v>
      </c>
      <c r="V116" s="314">
        <f t="shared" si="580"/>
        <v>8493620</v>
      </c>
      <c r="W116" s="314">
        <f t="shared" si="580"/>
        <v>2130000</v>
      </c>
      <c r="X116" s="314">
        <f t="shared" si="580"/>
        <v>2304335.8095085779</v>
      </c>
      <c r="Y116" s="314">
        <f t="shared" si="580"/>
        <v>1770700</v>
      </c>
      <c r="Z116" s="314">
        <f t="shared" si="580"/>
        <v>7231924</v>
      </c>
      <c r="AA116" s="314">
        <f t="shared" si="580"/>
        <v>4244705.4490248738</v>
      </c>
      <c r="AB116" s="314">
        <f t="shared" si="580"/>
        <v>3678130.7057224135</v>
      </c>
      <c r="AC116" s="314">
        <f t="shared" ref="AC116" si="581">AC113+AC47+AC48</f>
        <v>640000.31194833247</v>
      </c>
      <c r="AD116" s="314">
        <f t="shared" si="580"/>
        <v>2590229.1206235653</v>
      </c>
      <c r="AE116" s="314">
        <f t="shared" si="580"/>
        <v>1133448.5258989439</v>
      </c>
      <c r="AF116" s="314">
        <f t="shared" si="580"/>
        <v>3323451.9295379585</v>
      </c>
      <c r="AG116" s="314">
        <f t="shared" si="580"/>
        <v>3450812.7548698969</v>
      </c>
      <c r="AH116" s="314">
        <f t="shared" si="580"/>
        <v>760000</v>
      </c>
      <c r="AI116" s="314">
        <f t="shared" si="580"/>
        <v>3404000</v>
      </c>
      <c r="AJ116" s="314">
        <f t="shared" si="580"/>
        <v>2585000</v>
      </c>
      <c r="AK116" s="314">
        <f t="shared" si="580"/>
        <v>1251400</v>
      </c>
      <c r="AL116" s="314">
        <f t="shared" si="580"/>
        <v>1952909.1633510776</v>
      </c>
      <c r="AM116" s="314">
        <f t="shared" si="580"/>
        <v>1499708.3726341231</v>
      </c>
      <c r="AN116" s="314">
        <f t="shared" si="580"/>
        <v>1148955.198498779</v>
      </c>
      <c r="AO116" s="314">
        <f t="shared" si="580"/>
        <v>4883755.5596356187</v>
      </c>
      <c r="AP116" s="314">
        <f t="shared" si="580"/>
        <v>2124765.1162296012</v>
      </c>
      <c r="AQ116" s="314">
        <f t="shared" si="580"/>
        <v>491000</v>
      </c>
      <c r="AR116" s="314">
        <f t="shared" si="580"/>
        <v>1531740.3992508459</v>
      </c>
      <c r="AS116" s="314">
        <f t="shared" si="580"/>
        <v>495253.22022333386</v>
      </c>
      <c r="AT116" s="314">
        <f t="shared" si="580"/>
        <v>2498113.4323683418</v>
      </c>
      <c r="AU116" s="314">
        <f t="shared" si="580"/>
        <v>992216.93946642126</v>
      </c>
      <c r="AV116" s="314">
        <f t="shared" si="580"/>
        <v>2003660.6772952261</v>
      </c>
      <c r="AW116" s="314">
        <f t="shared" si="580"/>
        <v>3359522.5550434329</v>
      </c>
      <c r="AX116" s="314">
        <f t="shared" si="580"/>
        <v>3240135.311080751</v>
      </c>
      <c r="AY116" s="314">
        <f t="shared" si="580"/>
        <v>3300190.5406568907</v>
      </c>
      <c r="AZ116" s="314">
        <f t="shared" si="580"/>
        <v>2981000</v>
      </c>
      <c r="BA116" s="314">
        <f t="shared" si="580"/>
        <v>9230000</v>
      </c>
      <c r="BB116" s="314">
        <f t="shared" si="580"/>
        <v>1312920</v>
      </c>
      <c r="BC116" s="314">
        <f t="shared" si="580"/>
        <v>1223742.4938025323</v>
      </c>
      <c r="BD116" s="314">
        <f t="shared" si="580"/>
        <v>1916258.3325785431</v>
      </c>
      <c r="BE116" s="314">
        <f t="shared" si="580"/>
        <v>1290934.3566507786</v>
      </c>
      <c r="BF116" s="314">
        <f t="shared" si="580"/>
        <v>2020000</v>
      </c>
      <c r="BG116" s="314">
        <f t="shared" si="580"/>
        <v>2499000</v>
      </c>
      <c r="BH116" s="314">
        <f t="shared" si="580"/>
        <v>3206000</v>
      </c>
      <c r="BI116" s="314">
        <f t="shared" si="580"/>
        <v>1270000</v>
      </c>
      <c r="BJ116" s="314">
        <f t="shared" si="580"/>
        <v>2734458.8535647267</v>
      </c>
      <c r="BK116" s="314">
        <f t="shared" si="580"/>
        <v>988000</v>
      </c>
      <c r="BL116" s="314">
        <f t="shared" si="580"/>
        <v>455138.49500087276</v>
      </c>
      <c r="BM116" s="314">
        <f t="shared" si="580"/>
        <v>1464826</v>
      </c>
      <c r="BN116" s="314">
        <f t="shared" si="580"/>
        <v>1641101.9931537434</v>
      </c>
      <c r="BO116" s="314">
        <f t="shared" si="580"/>
        <v>1025279.6524752458</v>
      </c>
      <c r="BP116" s="314">
        <f t="shared" ref="BP116:EA116" si="582">BP113+BP47+BP48</f>
        <v>4652080</v>
      </c>
      <c r="BQ116" s="314">
        <f t="shared" si="582"/>
        <v>913797.62127129629</v>
      </c>
      <c r="BR116" s="314">
        <f t="shared" si="582"/>
        <v>1013021</v>
      </c>
      <c r="BS116" s="314">
        <f t="shared" si="582"/>
        <v>1300282.2989678741</v>
      </c>
      <c r="BT116" s="314">
        <f t="shared" si="582"/>
        <v>914160.26616723067</v>
      </c>
      <c r="BU116" s="314">
        <f t="shared" si="582"/>
        <v>3939338</v>
      </c>
      <c r="BV116" s="314">
        <f t="shared" si="582"/>
        <v>1177908.0353182531</v>
      </c>
      <c r="BW116" s="314">
        <f t="shared" si="582"/>
        <v>532683</v>
      </c>
      <c r="BX116" s="314">
        <f t="shared" si="582"/>
        <v>5208889.1910633538</v>
      </c>
      <c r="BY116" s="314">
        <f t="shared" si="582"/>
        <v>1520144</v>
      </c>
      <c r="BZ116" s="314">
        <f t="shared" si="582"/>
        <v>324150</v>
      </c>
      <c r="CA116" s="314">
        <f t="shared" si="582"/>
        <v>0</v>
      </c>
      <c r="CB116" s="314">
        <f t="shared" si="582"/>
        <v>571519.10142146726</v>
      </c>
      <c r="CC116" s="314">
        <f t="shared" si="582"/>
        <v>2238055.6625416637</v>
      </c>
      <c r="CD116" s="314">
        <f t="shared" si="582"/>
        <v>637848.21685573971</v>
      </c>
      <c r="CE116" s="314">
        <f t="shared" si="582"/>
        <v>9715050.1253167707</v>
      </c>
      <c r="CF116" s="314">
        <f t="shared" si="582"/>
        <v>4453617.8393289512</v>
      </c>
      <c r="CG116" s="314">
        <f t="shared" si="582"/>
        <v>8794581.4960704464</v>
      </c>
      <c r="CH116" s="314">
        <f t="shared" si="582"/>
        <v>3959479.0792496316</v>
      </c>
      <c r="CI116" s="314">
        <f t="shared" si="582"/>
        <v>3318851.9671994289</v>
      </c>
      <c r="CJ116" s="314">
        <f t="shared" si="582"/>
        <v>3854195.0818283353</v>
      </c>
      <c r="CK116" s="314">
        <f t="shared" si="582"/>
        <v>4466000</v>
      </c>
      <c r="CL116" s="314">
        <f t="shared" si="582"/>
        <v>2801364.0281396648</v>
      </c>
      <c r="CM116" s="314">
        <f t="shared" si="582"/>
        <v>6012336.4399863137</v>
      </c>
      <c r="CN116" s="314">
        <f t="shared" si="582"/>
        <v>1342009.9127194914</v>
      </c>
      <c r="CO116" s="314">
        <f t="shared" si="582"/>
        <v>1214500</v>
      </c>
      <c r="CP116" s="314">
        <f t="shared" si="582"/>
        <v>1268807.7168003041</v>
      </c>
      <c r="CQ116" s="314">
        <f t="shared" si="582"/>
        <v>5515036.573718125</v>
      </c>
      <c r="CR116" s="314">
        <f t="shared" si="582"/>
        <v>2331094</v>
      </c>
      <c r="CS116" s="314">
        <f t="shared" si="582"/>
        <v>3589793.26</v>
      </c>
      <c r="CT116" s="314">
        <f t="shared" si="582"/>
        <v>5929679.8103662794</v>
      </c>
      <c r="CU116" s="314">
        <f t="shared" si="582"/>
        <v>1875000</v>
      </c>
      <c r="CV116" s="314">
        <f t="shared" si="582"/>
        <v>5644990.9859210327</v>
      </c>
      <c r="CW116" s="314">
        <f t="shared" si="582"/>
        <v>400000</v>
      </c>
      <c r="CX116" s="314">
        <f t="shared" si="582"/>
        <v>3457000</v>
      </c>
      <c r="CY116" s="314">
        <f t="shared" si="582"/>
        <v>2881083.2839012085</v>
      </c>
      <c r="CZ116" s="314">
        <f t="shared" si="582"/>
        <v>1374700</v>
      </c>
      <c r="DA116" s="314">
        <f t="shared" si="582"/>
        <v>7650000</v>
      </c>
      <c r="DB116" s="314">
        <f t="shared" si="582"/>
        <v>760808</v>
      </c>
      <c r="DC116" s="314">
        <f t="shared" si="582"/>
        <v>1952214.4635382525</v>
      </c>
      <c r="DD116" s="314">
        <f t="shared" si="582"/>
        <v>5799369.6959123211</v>
      </c>
      <c r="DE116" s="314">
        <f t="shared" si="582"/>
        <v>7596996.8713862468</v>
      </c>
      <c r="DF116" s="314">
        <f t="shared" si="582"/>
        <v>4660760</v>
      </c>
      <c r="DG116" s="314">
        <f t="shared" si="582"/>
        <v>802938.16515118408</v>
      </c>
      <c r="DH116" s="314">
        <f t="shared" si="582"/>
        <v>2437341.0743335127</v>
      </c>
      <c r="DI116" s="314">
        <f t="shared" si="582"/>
        <v>1137805.3840966881</v>
      </c>
      <c r="DJ116" s="314">
        <f t="shared" si="582"/>
        <v>1920826</v>
      </c>
      <c r="DK116" s="314">
        <f t="shared" si="582"/>
        <v>2801780.6534043886</v>
      </c>
      <c r="DL116" s="314">
        <f t="shared" si="582"/>
        <v>4094296.2218004535</v>
      </c>
      <c r="DM116" s="314">
        <f t="shared" si="582"/>
        <v>1905503.0838138557</v>
      </c>
      <c r="DN116" s="314">
        <f t="shared" si="582"/>
        <v>3604667</v>
      </c>
      <c r="DO116" s="314">
        <f t="shared" si="582"/>
        <v>1402300.3922101089</v>
      </c>
      <c r="DP116" s="314">
        <f t="shared" si="582"/>
        <v>4045363.78</v>
      </c>
      <c r="DQ116" s="314">
        <f t="shared" si="582"/>
        <v>3939645</v>
      </c>
      <c r="DR116" s="314">
        <f t="shared" si="582"/>
        <v>4423025</v>
      </c>
      <c r="DS116" s="314">
        <f t="shared" si="582"/>
        <v>878000</v>
      </c>
      <c r="DT116" s="314">
        <f t="shared" si="582"/>
        <v>3379864.0513730422</v>
      </c>
      <c r="DU116" s="314">
        <f t="shared" si="582"/>
        <v>2119508.9633388799</v>
      </c>
      <c r="DV116" s="314">
        <f t="shared" si="582"/>
        <v>4423333</v>
      </c>
      <c r="DW116" s="314">
        <f t="shared" si="582"/>
        <v>1463011.5734570101</v>
      </c>
      <c r="DX116" s="314">
        <f t="shared" si="582"/>
        <v>4464719.1541079516</v>
      </c>
      <c r="DY116" s="314">
        <f t="shared" si="582"/>
        <v>4581142.7504826486</v>
      </c>
      <c r="DZ116" s="314">
        <f t="shared" si="582"/>
        <v>723925.6888148766</v>
      </c>
      <c r="EA116" s="314">
        <f t="shared" si="582"/>
        <v>3910500</v>
      </c>
      <c r="EB116" s="314">
        <f t="shared" ref="EB116:GM116" si="583">EB113+EB47+EB48</f>
        <v>5751412.8583436497</v>
      </c>
      <c r="EC116" s="314">
        <f t="shared" si="583"/>
        <v>3507637.7512384658</v>
      </c>
      <c r="ED116" s="314">
        <f t="shared" si="583"/>
        <v>3789855.4215401057</v>
      </c>
      <c r="EE116" s="314">
        <f t="shared" si="583"/>
        <v>610000</v>
      </c>
      <c r="EF116" s="314">
        <f t="shared" si="583"/>
        <v>666000</v>
      </c>
      <c r="EG116" s="314">
        <f t="shared" si="583"/>
        <v>425000</v>
      </c>
      <c r="EH116" s="314">
        <f t="shared" si="583"/>
        <v>595000</v>
      </c>
      <c r="EI116" s="314">
        <f t="shared" si="583"/>
        <v>1025000</v>
      </c>
      <c r="EJ116" s="314">
        <f t="shared" si="583"/>
        <v>1254497.1182819521</v>
      </c>
      <c r="EK116" s="314">
        <f t="shared" si="583"/>
        <v>3932042</v>
      </c>
      <c r="EL116" s="314">
        <f t="shared" si="583"/>
        <v>8896075.9201217424</v>
      </c>
      <c r="EM116" s="314">
        <f t="shared" si="583"/>
        <v>2765690.3194428757</v>
      </c>
      <c r="EN116" s="314">
        <f t="shared" si="583"/>
        <v>2526602</v>
      </c>
      <c r="EO116" s="314">
        <f t="shared" si="583"/>
        <v>326536.14681555587</v>
      </c>
      <c r="EP116" s="314">
        <f t="shared" si="583"/>
        <v>2970065</v>
      </c>
      <c r="EQ116" s="314">
        <f t="shared" si="583"/>
        <v>2318152.5044244276</v>
      </c>
      <c r="ER116" s="314">
        <f t="shared" si="583"/>
        <v>6229000</v>
      </c>
      <c r="ES116" s="314">
        <f t="shared" si="583"/>
        <v>2889369.4473401564</v>
      </c>
      <c r="ET116" s="314">
        <f t="shared" si="583"/>
        <v>901340</v>
      </c>
      <c r="EU116" s="314">
        <f t="shared" si="583"/>
        <v>2056000</v>
      </c>
      <c r="EV116" s="314">
        <f t="shared" si="583"/>
        <v>443085.98782481399</v>
      </c>
      <c r="EW116" s="314">
        <f t="shared" si="583"/>
        <v>2505057.7705038232</v>
      </c>
      <c r="EX116" s="314">
        <f t="shared" si="583"/>
        <v>5574308.9853405347</v>
      </c>
      <c r="EY116" s="314">
        <f t="shared" si="583"/>
        <v>2059165.8751551495</v>
      </c>
      <c r="EZ116" s="314">
        <f t="shared" si="583"/>
        <v>0</v>
      </c>
      <c r="FA116" s="314">
        <f t="shared" si="583"/>
        <v>990000</v>
      </c>
      <c r="FB116" s="314">
        <f t="shared" si="583"/>
        <v>177814.53304874955</v>
      </c>
      <c r="FC116" s="314">
        <f t="shared" si="583"/>
        <v>3042203.9813623684</v>
      </c>
      <c r="FD116" s="314">
        <f t="shared" si="583"/>
        <v>1059104.6825002881</v>
      </c>
      <c r="FE116" s="314">
        <f t="shared" si="583"/>
        <v>343252.91334718862</v>
      </c>
      <c r="FF116" s="314">
        <f t="shared" si="583"/>
        <v>1441591.96</v>
      </c>
      <c r="FG116" s="314">
        <f t="shared" si="583"/>
        <v>5703200</v>
      </c>
      <c r="FH116" s="314">
        <f t="shared" si="583"/>
        <v>5790606.0491879787</v>
      </c>
      <c r="FI116" s="314">
        <f t="shared" si="583"/>
        <v>7582387.4650456514</v>
      </c>
      <c r="FJ116" s="314">
        <f t="shared" si="583"/>
        <v>1854520.9697589942</v>
      </c>
      <c r="FK116" s="314">
        <f t="shared" si="583"/>
        <v>117156.2027371416</v>
      </c>
      <c r="FL116" s="314">
        <f t="shared" si="583"/>
        <v>289530.78772289003</v>
      </c>
      <c r="FM116" s="314">
        <f t="shared" si="583"/>
        <v>943015.1290333569</v>
      </c>
      <c r="FN116" s="314">
        <f t="shared" si="583"/>
        <v>7003025.5498415343</v>
      </c>
      <c r="FO116" s="314">
        <f t="shared" si="583"/>
        <v>1654621.1373999999</v>
      </c>
      <c r="FP116" s="314">
        <f t="shared" si="583"/>
        <v>12351204.308851836</v>
      </c>
      <c r="FQ116" s="314">
        <f t="shared" si="583"/>
        <v>1972278.2238</v>
      </c>
      <c r="FR116" s="314">
        <f t="shared" si="583"/>
        <v>2898098.2380630779</v>
      </c>
      <c r="FS116" s="314">
        <f t="shared" si="583"/>
        <v>464007.95</v>
      </c>
      <c r="FT116" s="314">
        <f t="shared" si="583"/>
        <v>3255891.8040901599</v>
      </c>
      <c r="FU116" s="314">
        <f t="shared" si="583"/>
        <v>465828.80444292724</v>
      </c>
      <c r="FV116" s="314">
        <f t="shared" si="583"/>
        <v>559247.1692367394</v>
      </c>
      <c r="FW116" s="314">
        <f t="shared" si="583"/>
        <v>937680.03042577044</v>
      </c>
      <c r="FX116" s="314">
        <f t="shared" si="583"/>
        <v>384533.50336206751</v>
      </c>
      <c r="FY116" s="314">
        <f t="shared" si="583"/>
        <v>200000</v>
      </c>
      <c r="FZ116" s="314">
        <f t="shared" si="583"/>
        <v>2571154.0852688877</v>
      </c>
      <c r="GA116" s="314">
        <f t="shared" si="583"/>
        <v>235086.12772381899</v>
      </c>
      <c r="GB116" s="314">
        <f t="shared" si="583"/>
        <v>2245960.1198871755</v>
      </c>
      <c r="GC116" s="314">
        <f t="shared" si="583"/>
        <v>2171084.1398516875</v>
      </c>
      <c r="GD116" s="314">
        <f t="shared" si="583"/>
        <v>7928941.2458636481</v>
      </c>
      <c r="GE116" s="314">
        <f t="shared" si="583"/>
        <v>1385331</v>
      </c>
      <c r="GF116" s="314">
        <f t="shared" si="583"/>
        <v>3881575.8495693267</v>
      </c>
      <c r="GG116" s="314">
        <f t="shared" si="583"/>
        <v>1157418.4633801784</v>
      </c>
      <c r="GH116" s="314">
        <f t="shared" si="583"/>
        <v>1054717</v>
      </c>
      <c r="GI116" s="314">
        <f t="shared" si="583"/>
        <v>7754404.1747833164</v>
      </c>
      <c r="GJ116" s="314">
        <f t="shared" si="583"/>
        <v>1839200.3392906617</v>
      </c>
      <c r="GK116" s="314">
        <f t="shared" si="583"/>
        <v>1100000</v>
      </c>
      <c r="GL116" s="314">
        <f t="shared" si="583"/>
        <v>469954.02825609827</v>
      </c>
      <c r="GM116" s="314">
        <f t="shared" si="583"/>
        <v>692537.52275552833</v>
      </c>
      <c r="GN116" s="314">
        <f t="shared" ref="GN116:HT116" si="584">GN113+GN47+GN48</f>
        <v>788769.06011215365</v>
      </c>
      <c r="GO116" s="314">
        <f t="shared" si="584"/>
        <v>4468795.486137961</v>
      </c>
      <c r="GP116" s="314">
        <f t="shared" si="584"/>
        <v>484458.62365770375</v>
      </c>
      <c r="GQ116" s="314">
        <f t="shared" si="584"/>
        <v>309592.78871686111</v>
      </c>
      <c r="GR116" s="314">
        <f t="shared" si="584"/>
        <v>610000</v>
      </c>
      <c r="GS116" s="314">
        <f t="shared" si="584"/>
        <v>0</v>
      </c>
      <c r="GT116" s="314">
        <f t="shared" si="584"/>
        <v>8684791.9089435674</v>
      </c>
      <c r="GU116" s="314">
        <f t="shared" si="584"/>
        <v>807440</v>
      </c>
      <c r="GV116" s="314">
        <f t="shared" si="584"/>
        <v>5000000</v>
      </c>
      <c r="GW116" s="314">
        <f t="shared" si="584"/>
        <v>941724.88907427166</v>
      </c>
      <c r="GX116" s="314">
        <f t="shared" si="584"/>
        <v>150000</v>
      </c>
      <c r="GY116" s="314">
        <f t="shared" si="584"/>
        <v>11169700.678891907</v>
      </c>
      <c r="GZ116" s="314">
        <f t="shared" si="584"/>
        <v>3222820.7912944802</v>
      </c>
      <c r="HA116" s="314">
        <f t="shared" si="584"/>
        <v>5200000</v>
      </c>
      <c r="HB116" s="314">
        <f t="shared" si="584"/>
        <v>2241824.8575916188</v>
      </c>
      <c r="HC116" s="314">
        <f t="shared" si="584"/>
        <v>5534657.4581430918</v>
      </c>
      <c r="HD116" s="314">
        <f t="shared" si="584"/>
        <v>1908552.7255373849</v>
      </c>
      <c r="HE116" s="314">
        <f t="shared" si="584"/>
        <v>4945200</v>
      </c>
      <c r="HF116" s="314">
        <f t="shared" si="584"/>
        <v>780918.93476073246</v>
      </c>
      <c r="HG116" s="314">
        <f t="shared" si="584"/>
        <v>483764.13760522264</v>
      </c>
      <c r="HH116" s="314">
        <f t="shared" si="584"/>
        <v>1870575.3205709462</v>
      </c>
      <c r="HI116" s="314">
        <f t="shared" si="584"/>
        <v>1243943.1770259617</v>
      </c>
      <c r="HJ116" s="314">
        <f t="shared" si="584"/>
        <v>997908.83102156827</v>
      </c>
      <c r="HK116" s="314">
        <f t="shared" si="584"/>
        <v>0</v>
      </c>
      <c r="HL116" s="314">
        <f t="shared" si="584"/>
        <v>37616967.243574739</v>
      </c>
      <c r="HM116" s="314">
        <f t="shared" si="584"/>
        <v>25001512.541579325</v>
      </c>
      <c r="HN116" s="314">
        <f t="shared" si="584"/>
        <v>992757.48207886913</v>
      </c>
      <c r="HO116" s="314">
        <f t="shared" si="584"/>
        <v>2847160.6666890793</v>
      </c>
      <c r="HP116" s="314">
        <f t="shared" si="584"/>
        <v>27787218</v>
      </c>
      <c r="HQ116" s="314">
        <f t="shared" si="584"/>
        <v>978043.38080963399</v>
      </c>
      <c r="HR116" s="314">
        <f t="shared" si="584"/>
        <v>34333691.281565279</v>
      </c>
      <c r="HS116" s="314">
        <f t="shared" si="584"/>
        <v>6456227.33762509</v>
      </c>
      <c r="HT116" s="314">
        <f t="shared" si="584"/>
        <v>22599685</v>
      </c>
      <c r="HU116" s="314">
        <f>HU113+HU47+HU48</f>
        <v>21507994</v>
      </c>
      <c r="HV116" s="314">
        <f t="shared" ref="HV116:JH116" si="585">HV113+HV47+HV48</f>
        <v>18189127</v>
      </c>
      <c r="HW116" s="314">
        <f t="shared" si="585"/>
        <v>4980541.9659980796</v>
      </c>
      <c r="HX116" s="314">
        <f t="shared" si="585"/>
        <v>20768528.03400192</v>
      </c>
      <c r="HY116" s="314">
        <f t="shared" si="585"/>
        <v>21105762</v>
      </c>
      <c r="HZ116" s="314">
        <f t="shared" si="585"/>
        <v>9565941</v>
      </c>
      <c r="IA116" s="314">
        <f t="shared" si="585"/>
        <v>9107487</v>
      </c>
      <c r="IB116" s="314">
        <f t="shared" si="585"/>
        <v>9035181</v>
      </c>
      <c r="IC116" s="314">
        <f t="shared" si="585"/>
        <v>11233714.822746631</v>
      </c>
      <c r="ID116" s="314">
        <f t="shared" si="585"/>
        <v>9255791.1772533692</v>
      </c>
      <c r="IE116" s="314">
        <f t="shared" si="585"/>
        <v>16688892</v>
      </c>
      <c r="IF116" s="314">
        <f t="shared" si="585"/>
        <v>20509987.198794641</v>
      </c>
      <c r="IG116" s="314">
        <f t="shared" si="585"/>
        <v>5446079.8012053594</v>
      </c>
      <c r="IH116" s="314">
        <f t="shared" si="585"/>
        <v>3012886.5890955012</v>
      </c>
      <c r="II116" s="314">
        <f t="shared" si="585"/>
        <v>21271865.049244203</v>
      </c>
      <c r="IJ116" s="314">
        <f t="shared" si="585"/>
        <v>1774908.5338407224</v>
      </c>
      <c r="IK116" s="314">
        <f t="shared" si="585"/>
        <v>3740263.7456418383</v>
      </c>
      <c r="IL116" s="314">
        <f t="shared" si="585"/>
        <v>10104656</v>
      </c>
      <c r="IM116" s="314">
        <f t="shared" si="585"/>
        <v>701837.84282009513</v>
      </c>
      <c r="IN116" s="314">
        <f t="shared" si="585"/>
        <v>10213951.504810652</v>
      </c>
      <c r="IO116" s="314">
        <f t="shared" si="585"/>
        <v>3412493.6523692533</v>
      </c>
      <c r="IP116" s="314">
        <f t="shared" si="585"/>
        <v>22515867</v>
      </c>
      <c r="IQ116" s="314">
        <f t="shared" si="585"/>
        <v>22563962.666168727</v>
      </c>
      <c r="IR116" s="314">
        <f t="shared" si="585"/>
        <v>1003066.3338312713</v>
      </c>
      <c r="IS116" s="314">
        <f t="shared" si="585"/>
        <v>54465674.509968989</v>
      </c>
      <c r="IT116" s="314">
        <f t="shared" si="585"/>
        <v>12509859.490031006</v>
      </c>
      <c r="IU116" s="314">
        <f t="shared" si="585"/>
        <v>3182630.0362361362</v>
      </c>
      <c r="IV116" s="314">
        <f t="shared" si="585"/>
        <v>8522404.8188311569</v>
      </c>
      <c r="IW116" s="314">
        <f t="shared" si="585"/>
        <v>15638894.711101327</v>
      </c>
      <c r="IX116" s="314">
        <f t="shared" si="585"/>
        <v>1813436.4338313788</v>
      </c>
      <c r="IY116" s="314">
        <f t="shared" si="585"/>
        <v>5604648.4471565681</v>
      </c>
      <c r="IZ116" s="314">
        <f t="shared" si="585"/>
        <v>20877943.552843433</v>
      </c>
      <c r="JA116" s="314">
        <f t="shared" si="585"/>
        <v>3037151.73</v>
      </c>
      <c r="JB116" s="314">
        <f t="shared" si="585"/>
        <v>2895174.04</v>
      </c>
      <c r="JC116" s="314">
        <f t="shared" si="585"/>
        <v>2268778.09</v>
      </c>
      <c r="JD116" s="314">
        <f t="shared" si="585"/>
        <v>5052980.7</v>
      </c>
      <c r="JE116" s="314">
        <f t="shared" si="585"/>
        <v>1159105.145059247</v>
      </c>
      <c r="JF116" s="314">
        <f t="shared" si="585"/>
        <v>33383599.85494075</v>
      </c>
      <c r="JG116" s="314">
        <f t="shared" si="585"/>
        <v>30041537</v>
      </c>
      <c r="JH116" s="314">
        <f t="shared" si="585"/>
        <v>868740</v>
      </c>
      <c r="JI116" s="314">
        <f t="shared" si="577"/>
        <v>1247779568.0180326</v>
      </c>
      <c r="JL116" s="307">
        <f t="shared" si="578"/>
        <v>24913606.964635424</v>
      </c>
      <c r="JM116" s="307">
        <f t="shared" si="578"/>
        <v>413866789.86385435</v>
      </c>
      <c r="JN116" s="307">
        <f t="shared" si="578"/>
        <v>171352563.77779883</v>
      </c>
      <c r="JO116" s="307">
        <f t="shared" si="578"/>
        <v>637646607.41174436</v>
      </c>
      <c r="JP116" s="307">
        <f t="shared" si="579"/>
        <v>1247779568.018033</v>
      </c>
    </row>
    <row r="117" spans="1:276" x14ac:dyDescent="0.25">
      <c r="B117" s="313" t="s">
        <v>2579</v>
      </c>
      <c r="C117" s="314">
        <f t="shared" ref="C117:BO117" si="586">C116-C115</f>
        <v>1235422.5558247231</v>
      </c>
      <c r="D117" s="314">
        <f t="shared" si="586"/>
        <v>1406900</v>
      </c>
      <c r="E117" s="314">
        <f t="shared" si="586"/>
        <v>102779.40881070029</v>
      </c>
      <c r="F117" s="314">
        <f t="shared" si="586"/>
        <v>132284.70883535733</v>
      </c>
      <c r="G117" s="314">
        <f t="shared" si="586"/>
        <v>1429653.1272905953</v>
      </c>
      <c r="H117" s="314">
        <f t="shared" si="586"/>
        <v>65710.416111308965</v>
      </c>
      <c r="I117" s="314">
        <f t="shared" si="586"/>
        <v>941977.47419521306</v>
      </c>
      <c r="J117" s="314">
        <f t="shared" si="586"/>
        <v>212155.78442021785</v>
      </c>
      <c r="K117" s="314">
        <f t="shared" si="586"/>
        <v>618538</v>
      </c>
      <c r="L117" s="314">
        <f t="shared" si="586"/>
        <v>0</v>
      </c>
      <c r="M117" s="314">
        <f t="shared" si="586"/>
        <v>30486.238895765971</v>
      </c>
      <c r="N117" s="314">
        <f t="shared" si="586"/>
        <v>115828.6030266704</v>
      </c>
      <c r="O117" s="314">
        <f t="shared" si="586"/>
        <v>151212</v>
      </c>
      <c r="P117" s="314">
        <f t="shared" si="586"/>
        <v>108010.00218168925</v>
      </c>
      <c r="Q117" s="314">
        <f t="shared" si="586"/>
        <v>371221.47910101549</v>
      </c>
      <c r="R117" s="314">
        <f t="shared" si="586"/>
        <v>-94718.100000000093</v>
      </c>
      <c r="S117" s="314">
        <f t="shared" si="586"/>
        <v>0</v>
      </c>
      <c r="T117" s="314">
        <f t="shared" si="586"/>
        <v>31437.510778153781</v>
      </c>
      <c r="U117" s="314">
        <f t="shared" si="586"/>
        <v>-11704</v>
      </c>
      <c r="V117" s="314">
        <f t="shared" si="586"/>
        <v>-740000</v>
      </c>
      <c r="W117" s="314">
        <f t="shared" si="586"/>
        <v>305000</v>
      </c>
      <c r="X117" s="314">
        <f t="shared" si="586"/>
        <v>994445.80950857792</v>
      </c>
      <c r="Y117" s="314">
        <f t="shared" si="586"/>
        <v>12890</v>
      </c>
      <c r="Z117" s="314">
        <f t="shared" si="586"/>
        <v>379924</v>
      </c>
      <c r="AA117" s="314">
        <f t="shared" si="586"/>
        <v>394885.44902487379</v>
      </c>
      <c r="AB117" s="314">
        <f t="shared" si="586"/>
        <v>630190.70572241349</v>
      </c>
      <c r="AC117" s="314">
        <f t="shared" ref="AC117" si="587">AC116-AC115</f>
        <v>-1367499.6880516675</v>
      </c>
      <c r="AD117" s="314">
        <f t="shared" si="586"/>
        <v>744989.12062356528</v>
      </c>
      <c r="AE117" s="314">
        <f t="shared" si="586"/>
        <v>76840.525898943888</v>
      </c>
      <c r="AF117" s="314">
        <f t="shared" si="586"/>
        <v>1219244.9295379585</v>
      </c>
      <c r="AG117" s="314">
        <f t="shared" si="586"/>
        <v>125060.75486989692</v>
      </c>
      <c r="AH117" s="314">
        <f t="shared" si="586"/>
        <v>-7266</v>
      </c>
      <c r="AI117" s="314">
        <f t="shared" si="586"/>
        <v>510300</v>
      </c>
      <c r="AJ117" s="314">
        <f t="shared" si="586"/>
        <v>134700</v>
      </c>
      <c r="AK117" s="314">
        <f t="shared" si="586"/>
        <v>53995</v>
      </c>
      <c r="AL117" s="314">
        <f t="shared" si="586"/>
        <v>92493.163351077586</v>
      </c>
      <c r="AM117" s="314">
        <f t="shared" si="586"/>
        <v>125216.37263412308</v>
      </c>
      <c r="AN117" s="314">
        <f t="shared" si="586"/>
        <v>121055.19849877898</v>
      </c>
      <c r="AO117" s="314">
        <f t="shared" si="586"/>
        <v>1154727.5596356187</v>
      </c>
      <c r="AP117" s="314">
        <f t="shared" si="586"/>
        <v>-135009.8837703988</v>
      </c>
      <c r="AQ117" s="314">
        <f t="shared" si="586"/>
        <v>163062</v>
      </c>
      <c r="AR117" s="314">
        <f t="shared" si="586"/>
        <v>401149.39925084589</v>
      </c>
      <c r="AS117" s="314">
        <f t="shared" si="586"/>
        <v>44681.220223333861</v>
      </c>
      <c r="AT117" s="314">
        <f t="shared" si="586"/>
        <v>322367.43236834183</v>
      </c>
      <c r="AU117" s="314">
        <f t="shared" si="586"/>
        <v>97944.93946642126</v>
      </c>
      <c r="AV117" s="314">
        <f t="shared" si="586"/>
        <v>137042.67729522614</v>
      </c>
      <c r="AW117" s="314">
        <f t="shared" si="586"/>
        <v>288647.55504343286</v>
      </c>
      <c r="AX117" s="314">
        <f t="shared" si="586"/>
        <v>270115.31108075101</v>
      </c>
      <c r="AY117" s="314">
        <f t="shared" si="586"/>
        <v>208738.54065689072</v>
      </c>
      <c r="AZ117" s="314">
        <f t="shared" si="586"/>
        <v>49765</v>
      </c>
      <c r="BA117" s="314">
        <f t="shared" si="586"/>
        <v>1814732</v>
      </c>
      <c r="BB117" s="314">
        <f t="shared" si="586"/>
        <v>292796</v>
      </c>
      <c r="BC117" s="314">
        <f t="shared" si="586"/>
        <v>214997.49380253232</v>
      </c>
      <c r="BD117" s="314">
        <f t="shared" si="586"/>
        <v>638438.33257854311</v>
      </c>
      <c r="BE117" s="314">
        <f t="shared" si="586"/>
        <v>86784.356650778558</v>
      </c>
      <c r="BF117" s="314">
        <f t="shared" si="586"/>
        <v>131040</v>
      </c>
      <c r="BG117" s="314">
        <f t="shared" si="586"/>
        <v>154784</v>
      </c>
      <c r="BH117" s="314">
        <f t="shared" si="586"/>
        <v>257932</v>
      </c>
      <c r="BI117" s="314">
        <f t="shared" si="586"/>
        <v>-198100</v>
      </c>
      <c r="BJ117" s="314">
        <f t="shared" si="586"/>
        <v>81837.853564726654</v>
      </c>
      <c r="BK117" s="314">
        <f t="shared" si="586"/>
        <v>136000</v>
      </c>
      <c r="BL117" s="314">
        <f t="shared" si="586"/>
        <v>455138.49500087276</v>
      </c>
      <c r="BM117" s="314">
        <f t="shared" si="586"/>
        <v>849726</v>
      </c>
      <c r="BN117" s="314">
        <f t="shared" si="586"/>
        <v>59101.993153743446</v>
      </c>
      <c r="BO117" s="314">
        <f t="shared" si="586"/>
        <v>263269.65247524576</v>
      </c>
      <c r="BP117" s="314">
        <f t="shared" ref="BP117:EA117" si="588">BP116-BP115</f>
        <v>732773</v>
      </c>
      <c r="BQ117" s="314">
        <f t="shared" si="588"/>
        <v>98361.621271296288</v>
      </c>
      <c r="BR117" s="314">
        <f t="shared" si="588"/>
        <v>138681</v>
      </c>
      <c r="BS117" s="314">
        <f t="shared" si="588"/>
        <v>2382.2989678741433</v>
      </c>
      <c r="BT117" s="314">
        <f t="shared" si="588"/>
        <v>54060.266167230671</v>
      </c>
      <c r="BU117" s="314">
        <f t="shared" si="588"/>
        <v>0</v>
      </c>
      <c r="BV117" s="314">
        <f t="shared" si="588"/>
        <v>588998.0353182531</v>
      </c>
      <c r="BW117" s="314">
        <f t="shared" si="588"/>
        <v>0</v>
      </c>
      <c r="BX117" s="314">
        <f t="shared" si="588"/>
        <v>1153636.1910633538</v>
      </c>
      <c r="BY117" s="314">
        <f t="shared" si="588"/>
        <v>0</v>
      </c>
      <c r="BZ117" s="314">
        <f t="shared" si="588"/>
        <v>0</v>
      </c>
      <c r="CA117" s="314">
        <f t="shared" si="588"/>
        <v>0</v>
      </c>
      <c r="CB117" s="314">
        <f t="shared" si="588"/>
        <v>39256.101421467261</v>
      </c>
      <c r="CC117" s="314">
        <f t="shared" si="588"/>
        <v>117637.66254166374</v>
      </c>
      <c r="CD117" s="314">
        <f t="shared" si="588"/>
        <v>-9487.783144260291</v>
      </c>
      <c r="CE117" s="314">
        <f t="shared" si="588"/>
        <v>1446195.1253167707</v>
      </c>
      <c r="CF117" s="314">
        <f t="shared" si="588"/>
        <v>127617.8393289512</v>
      </c>
      <c r="CG117" s="314">
        <f t="shared" si="588"/>
        <v>570095.49607044645</v>
      </c>
      <c r="CH117" s="314">
        <f t="shared" si="588"/>
        <v>305133.07924963161</v>
      </c>
      <c r="CI117" s="314">
        <f t="shared" si="588"/>
        <v>436085.96719942894</v>
      </c>
      <c r="CJ117" s="314">
        <f t="shared" si="588"/>
        <v>394665.0818283353</v>
      </c>
      <c r="CK117" s="314">
        <f t="shared" si="588"/>
        <v>289377</v>
      </c>
      <c r="CL117" s="314">
        <f t="shared" si="588"/>
        <v>416395.02813966479</v>
      </c>
      <c r="CM117" s="314">
        <f t="shared" si="588"/>
        <v>691676.43998631369</v>
      </c>
      <c r="CN117" s="314">
        <f t="shared" si="588"/>
        <v>59434.772719491506</v>
      </c>
      <c r="CO117" s="314">
        <f t="shared" si="588"/>
        <v>0</v>
      </c>
      <c r="CP117" s="314">
        <f t="shared" si="588"/>
        <v>30382.256800304167</v>
      </c>
      <c r="CQ117" s="314">
        <f t="shared" si="588"/>
        <v>908770.573718125</v>
      </c>
      <c r="CR117" s="314">
        <f t="shared" si="588"/>
        <v>714294</v>
      </c>
      <c r="CS117" s="314">
        <f t="shared" si="588"/>
        <v>3589793.26</v>
      </c>
      <c r="CT117" s="314">
        <f t="shared" si="588"/>
        <v>859679.81036627945</v>
      </c>
      <c r="CU117" s="314">
        <f t="shared" si="588"/>
        <v>474500</v>
      </c>
      <c r="CV117" s="314">
        <f t="shared" si="588"/>
        <v>613490.98592103273</v>
      </c>
      <c r="CW117" s="314">
        <f t="shared" si="588"/>
        <v>128599</v>
      </c>
      <c r="CX117" s="314">
        <f t="shared" si="588"/>
        <v>329000</v>
      </c>
      <c r="CY117" s="314">
        <f t="shared" si="588"/>
        <v>132129.28390120855</v>
      </c>
      <c r="CZ117" s="314">
        <f t="shared" si="588"/>
        <v>368000</v>
      </c>
      <c r="DA117" s="314">
        <f t="shared" si="588"/>
        <v>2069140</v>
      </c>
      <c r="DB117" s="314">
        <f t="shared" si="588"/>
        <v>95480</v>
      </c>
      <c r="DC117" s="314">
        <f t="shared" si="588"/>
        <v>328714.46353825252</v>
      </c>
      <c r="DD117" s="314">
        <f t="shared" si="588"/>
        <v>1118856.6959123211</v>
      </c>
      <c r="DE117" s="314">
        <f t="shared" si="588"/>
        <v>429390.87138624676</v>
      </c>
      <c r="DF117" s="314">
        <f t="shared" si="588"/>
        <v>-556092</v>
      </c>
      <c r="DG117" s="314">
        <f t="shared" si="588"/>
        <v>197198.16515118408</v>
      </c>
      <c r="DH117" s="314">
        <f t="shared" si="588"/>
        <v>830973.43433351256</v>
      </c>
      <c r="DI117" s="314">
        <f t="shared" si="588"/>
        <v>43865.384096688125</v>
      </c>
      <c r="DJ117" s="314">
        <f t="shared" si="588"/>
        <v>103868</v>
      </c>
      <c r="DK117" s="314">
        <f t="shared" si="588"/>
        <v>1891309.6534043886</v>
      </c>
      <c r="DL117" s="314">
        <f t="shared" si="588"/>
        <v>277072.2218004535</v>
      </c>
      <c r="DM117" s="314">
        <f t="shared" si="588"/>
        <v>171155.08381385566</v>
      </c>
      <c r="DN117" s="314">
        <f t="shared" si="588"/>
        <v>623902</v>
      </c>
      <c r="DO117" s="314">
        <f t="shared" si="588"/>
        <v>4525.3922101089265</v>
      </c>
      <c r="DP117" s="314">
        <f t="shared" si="588"/>
        <v>0</v>
      </c>
      <c r="DQ117" s="314">
        <f t="shared" si="588"/>
        <v>31793</v>
      </c>
      <c r="DR117" s="314">
        <f t="shared" si="588"/>
        <v>-54351</v>
      </c>
      <c r="DS117" s="314">
        <f t="shared" si="588"/>
        <v>547000</v>
      </c>
      <c r="DT117" s="314">
        <f t="shared" si="588"/>
        <v>473573.05137304217</v>
      </c>
      <c r="DU117" s="314">
        <f t="shared" si="588"/>
        <v>18908.963338879868</v>
      </c>
      <c r="DV117" s="314">
        <f t="shared" si="588"/>
        <v>1277856</v>
      </c>
      <c r="DW117" s="314">
        <f t="shared" si="588"/>
        <v>251601.57345701009</v>
      </c>
      <c r="DX117" s="314">
        <f t="shared" si="588"/>
        <v>433801.15410795156</v>
      </c>
      <c r="DY117" s="314">
        <f t="shared" si="588"/>
        <v>825992.75048264861</v>
      </c>
      <c r="DZ117" s="314">
        <f t="shared" si="588"/>
        <v>7625.6888148766011</v>
      </c>
      <c r="EA117" s="314">
        <f t="shared" si="588"/>
        <v>15312</v>
      </c>
      <c r="EB117" s="314">
        <f t="shared" ref="EB117:GM117" si="589">EB116-EB115</f>
        <v>1868722.8583436497</v>
      </c>
      <c r="EC117" s="314">
        <f t="shared" si="589"/>
        <v>162383.75123846577</v>
      </c>
      <c r="ED117" s="314">
        <f t="shared" si="589"/>
        <v>317047.42154010572</v>
      </c>
      <c r="EE117" s="314">
        <f t="shared" si="589"/>
        <v>46376</v>
      </c>
      <c r="EF117" s="314">
        <f t="shared" si="589"/>
        <v>-3087.5899999999674</v>
      </c>
      <c r="EG117" s="314">
        <f t="shared" si="589"/>
        <v>-2828.9899999999907</v>
      </c>
      <c r="EH117" s="314">
        <f t="shared" si="589"/>
        <v>35330</v>
      </c>
      <c r="EI117" s="314">
        <f t="shared" si="589"/>
        <v>114247</v>
      </c>
      <c r="EJ117" s="314">
        <f t="shared" si="589"/>
        <v>220123.11828195211</v>
      </c>
      <c r="EK117" s="314">
        <f t="shared" si="589"/>
        <v>0</v>
      </c>
      <c r="EL117" s="314">
        <f t="shared" si="589"/>
        <v>272049.92012174241</v>
      </c>
      <c r="EM117" s="314">
        <f t="shared" si="589"/>
        <v>66882.319442875683</v>
      </c>
      <c r="EN117" s="314">
        <f t="shared" si="589"/>
        <v>132129</v>
      </c>
      <c r="EO117" s="314">
        <f t="shared" si="589"/>
        <v>90118.146815555869</v>
      </c>
      <c r="EP117" s="314">
        <f t="shared" si="589"/>
        <v>798942</v>
      </c>
      <c r="EQ117" s="314">
        <f t="shared" si="589"/>
        <v>474030.50442442764</v>
      </c>
      <c r="ER117" s="314">
        <f t="shared" si="589"/>
        <v>977132</v>
      </c>
      <c r="ES117" s="314">
        <f t="shared" si="589"/>
        <v>118809.44734015642</v>
      </c>
      <c r="ET117" s="314">
        <f t="shared" si="589"/>
        <v>901340</v>
      </c>
      <c r="EU117" s="314">
        <f t="shared" si="589"/>
        <v>1252000</v>
      </c>
      <c r="EV117" s="314">
        <f t="shared" si="589"/>
        <v>217550.98782481399</v>
      </c>
      <c r="EW117" s="314">
        <f t="shared" si="589"/>
        <v>148744.77050382318</v>
      </c>
      <c r="EX117" s="314">
        <f t="shared" si="589"/>
        <v>170018.98534053471</v>
      </c>
      <c r="EY117" s="314">
        <f t="shared" si="589"/>
        <v>14320.875155149493</v>
      </c>
      <c r="EZ117" s="314">
        <f t="shared" si="589"/>
        <v>-111326</v>
      </c>
      <c r="FA117" s="314">
        <f t="shared" si="589"/>
        <v>196308</v>
      </c>
      <c r="FB117" s="314">
        <f t="shared" si="589"/>
        <v>38053.533048749552</v>
      </c>
      <c r="FC117" s="314">
        <f t="shared" si="589"/>
        <v>42203.981362368446</v>
      </c>
      <c r="FD117" s="314">
        <f t="shared" si="589"/>
        <v>286643.68250028812</v>
      </c>
      <c r="FE117" s="314">
        <f t="shared" si="589"/>
        <v>80752.913347188616</v>
      </c>
      <c r="FF117" s="314">
        <f t="shared" si="589"/>
        <v>324471.95999999996</v>
      </c>
      <c r="FG117" s="314">
        <f t="shared" si="589"/>
        <v>1019550</v>
      </c>
      <c r="FH117" s="314">
        <f t="shared" si="589"/>
        <v>271026.04918797873</v>
      </c>
      <c r="FI117" s="314">
        <f t="shared" si="589"/>
        <v>2013900.4650456514</v>
      </c>
      <c r="FJ117" s="314">
        <f t="shared" si="589"/>
        <v>275474.96975899418</v>
      </c>
      <c r="FK117" s="314">
        <f t="shared" si="589"/>
        <v>-164695.7972628584</v>
      </c>
      <c r="FL117" s="314">
        <f t="shared" si="589"/>
        <v>-312231.21227710997</v>
      </c>
      <c r="FM117" s="314">
        <f t="shared" si="589"/>
        <v>-1683387.8709666431</v>
      </c>
      <c r="FN117" s="314">
        <f t="shared" si="589"/>
        <v>543645.54984153435</v>
      </c>
      <c r="FO117" s="314">
        <f t="shared" si="589"/>
        <v>-5035.8626000001095</v>
      </c>
      <c r="FP117" s="314">
        <f t="shared" si="589"/>
        <v>206752.30885183625</v>
      </c>
      <c r="FQ117" s="314">
        <f t="shared" si="589"/>
        <v>62855.223800000036</v>
      </c>
      <c r="FR117" s="314">
        <f t="shared" si="589"/>
        <v>2898098.2380630779</v>
      </c>
      <c r="FS117" s="314">
        <f t="shared" si="589"/>
        <v>-13562.049999999988</v>
      </c>
      <c r="FT117" s="314">
        <f t="shared" si="589"/>
        <v>307281.80409015995</v>
      </c>
      <c r="FU117" s="314">
        <f t="shared" si="589"/>
        <v>39281.804442927241</v>
      </c>
      <c r="FV117" s="314">
        <f t="shared" si="589"/>
        <v>173.16923673939891</v>
      </c>
      <c r="FW117" s="314">
        <f t="shared" si="589"/>
        <v>-76054.969574229559</v>
      </c>
      <c r="FX117" s="314">
        <f t="shared" si="589"/>
        <v>19607.503362067509</v>
      </c>
      <c r="FY117" s="314">
        <f t="shared" si="589"/>
        <v>-9591</v>
      </c>
      <c r="FZ117" s="314">
        <f t="shared" si="589"/>
        <v>-5055.9147311123088</v>
      </c>
      <c r="GA117" s="314">
        <f t="shared" si="589"/>
        <v>236.12772381899413</v>
      </c>
      <c r="GB117" s="314">
        <f t="shared" si="589"/>
        <v>494640.1198871755</v>
      </c>
      <c r="GC117" s="314">
        <f t="shared" si="589"/>
        <v>15555.139851687476</v>
      </c>
      <c r="GD117" s="314">
        <f t="shared" si="589"/>
        <v>806650.24586364813</v>
      </c>
      <c r="GE117" s="314">
        <f t="shared" si="589"/>
        <v>46266</v>
      </c>
      <c r="GF117" s="314">
        <f t="shared" si="589"/>
        <v>291018.84956932673</v>
      </c>
      <c r="GG117" s="314">
        <f t="shared" si="589"/>
        <v>-132562.53661982156</v>
      </c>
      <c r="GH117" s="314">
        <f t="shared" si="589"/>
        <v>-34865</v>
      </c>
      <c r="GI117" s="314">
        <f t="shared" si="589"/>
        <v>855487.17478331644</v>
      </c>
      <c r="GJ117" s="314">
        <f t="shared" si="589"/>
        <v>171699.33929066174</v>
      </c>
      <c r="GK117" s="314">
        <f t="shared" si="589"/>
        <v>433870</v>
      </c>
      <c r="GL117" s="314">
        <f t="shared" si="589"/>
        <v>-59341.971743901726</v>
      </c>
      <c r="GM117" s="314">
        <f t="shared" si="589"/>
        <v>-60702.477244471665</v>
      </c>
      <c r="GN117" s="314">
        <f t="shared" ref="GN117:IY117" si="590">GN116-GN115</f>
        <v>185653.06011215365</v>
      </c>
      <c r="GO117" s="314">
        <f t="shared" si="590"/>
        <v>887246.48613796104</v>
      </c>
      <c r="GP117" s="314">
        <f t="shared" si="590"/>
        <v>-35811.376342296251</v>
      </c>
      <c r="GQ117" s="314">
        <f t="shared" si="590"/>
        <v>-430637.21128313889</v>
      </c>
      <c r="GR117" s="314">
        <f t="shared" si="590"/>
        <v>-83152</v>
      </c>
      <c r="GS117" s="314">
        <f t="shared" si="590"/>
        <v>-165886</v>
      </c>
      <c r="GT117" s="314">
        <f t="shared" si="590"/>
        <v>339289.90894356743</v>
      </c>
      <c r="GU117" s="314">
        <f t="shared" si="590"/>
        <v>45869</v>
      </c>
      <c r="GV117" s="314">
        <f t="shared" si="590"/>
        <v>40190</v>
      </c>
      <c r="GW117" s="314">
        <f t="shared" si="590"/>
        <v>-192141.11092572834</v>
      </c>
      <c r="GX117" s="314">
        <f t="shared" si="590"/>
        <v>-4333</v>
      </c>
      <c r="GY117" s="314">
        <f t="shared" si="590"/>
        <v>447840.67889190651</v>
      </c>
      <c r="GZ117" s="314">
        <f t="shared" si="590"/>
        <v>3222820.7912944802</v>
      </c>
      <c r="HA117" s="314">
        <f t="shared" si="590"/>
        <v>323440</v>
      </c>
      <c r="HB117" s="314">
        <f t="shared" si="590"/>
        <v>250364.85759161878</v>
      </c>
      <c r="HC117" s="314">
        <f t="shared" si="590"/>
        <v>400657.45814309176</v>
      </c>
      <c r="HD117" s="314">
        <f t="shared" si="590"/>
        <v>507252.72553738486</v>
      </c>
      <c r="HE117" s="314">
        <f t="shared" si="590"/>
        <v>502000</v>
      </c>
      <c r="HF117" s="314">
        <f t="shared" si="590"/>
        <v>73632.93476073246</v>
      </c>
      <c r="HG117" s="314">
        <f t="shared" si="590"/>
        <v>-34312.862394777359</v>
      </c>
      <c r="HH117" s="314">
        <f t="shared" si="590"/>
        <v>-115202.67942905379</v>
      </c>
      <c r="HI117" s="314">
        <f t="shared" si="590"/>
        <v>-270679.82297403831</v>
      </c>
      <c r="HJ117" s="314">
        <f t="shared" si="590"/>
        <v>502448.83102156827</v>
      </c>
      <c r="HK117" s="314">
        <f t="shared" si="590"/>
        <v>-144000</v>
      </c>
      <c r="HL117" s="314">
        <f t="shared" si="590"/>
        <v>250000</v>
      </c>
      <c r="HM117" s="314">
        <f t="shared" si="590"/>
        <v>0</v>
      </c>
      <c r="HN117" s="314">
        <f t="shared" si="590"/>
        <v>183981.06669069757</v>
      </c>
      <c r="HO117" s="314">
        <f t="shared" si="590"/>
        <v>-29609.132768688723</v>
      </c>
      <c r="HP117" s="314">
        <f t="shared" si="590"/>
        <v>0</v>
      </c>
      <c r="HQ117" s="314">
        <f t="shared" si="590"/>
        <v>0</v>
      </c>
      <c r="HR117" s="314">
        <f t="shared" si="590"/>
        <v>792500.00000000373</v>
      </c>
      <c r="HS117" s="314">
        <f t="shared" si="590"/>
        <v>765000</v>
      </c>
      <c r="HT117" s="314">
        <f t="shared" si="590"/>
        <v>0</v>
      </c>
      <c r="HU117" s="314">
        <f t="shared" si="590"/>
        <v>0</v>
      </c>
      <c r="HV117" s="314">
        <f t="shared" si="590"/>
        <v>1500000</v>
      </c>
      <c r="HW117" s="314">
        <f t="shared" si="590"/>
        <v>-1985000</v>
      </c>
      <c r="HX117" s="314">
        <f t="shared" si="590"/>
        <v>2785000</v>
      </c>
      <c r="HY117" s="314">
        <f t="shared" si="590"/>
        <v>0</v>
      </c>
      <c r="HZ117" s="314">
        <f t="shared" si="590"/>
        <v>0</v>
      </c>
      <c r="IA117" s="314">
        <f t="shared" si="590"/>
        <v>0</v>
      </c>
      <c r="IB117" s="314">
        <f t="shared" si="590"/>
        <v>460000</v>
      </c>
      <c r="IC117" s="314">
        <f t="shared" si="590"/>
        <v>0</v>
      </c>
      <c r="ID117" s="314">
        <f t="shared" si="590"/>
        <v>0</v>
      </c>
      <c r="IE117" s="314">
        <f t="shared" si="590"/>
        <v>500000</v>
      </c>
      <c r="IF117" s="314">
        <f t="shared" si="590"/>
        <v>250000</v>
      </c>
      <c r="IG117" s="314">
        <f t="shared" si="590"/>
        <v>0</v>
      </c>
      <c r="IH117" s="314">
        <f t="shared" si="590"/>
        <v>0</v>
      </c>
      <c r="II117" s="314">
        <f t="shared" si="590"/>
        <v>430000</v>
      </c>
      <c r="IJ117" s="314">
        <f t="shared" si="590"/>
        <v>100000</v>
      </c>
      <c r="IK117" s="314">
        <f t="shared" si="590"/>
        <v>162704.91782226553</v>
      </c>
      <c r="IL117" s="314">
        <f t="shared" si="590"/>
        <v>900000</v>
      </c>
      <c r="IM117" s="314">
        <f t="shared" si="590"/>
        <v>0</v>
      </c>
      <c r="IN117" s="314">
        <f t="shared" si="590"/>
        <v>0</v>
      </c>
      <c r="IO117" s="314">
        <f t="shared" si="590"/>
        <v>0</v>
      </c>
      <c r="IP117" s="314">
        <f t="shared" si="590"/>
        <v>0</v>
      </c>
      <c r="IQ117" s="314">
        <f t="shared" si="590"/>
        <v>0</v>
      </c>
      <c r="IR117" s="314">
        <f t="shared" si="590"/>
        <v>0</v>
      </c>
      <c r="IS117" s="314">
        <f t="shared" si="590"/>
        <v>1399999.9999999925</v>
      </c>
      <c r="IT117" s="314">
        <f t="shared" si="590"/>
        <v>300000.00000000186</v>
      </c>
      <c r="IU117" s="314">
        <f t="shared" si="590"/>
        <v>0</v>
      </c>
      <c r="IV117" s="314">
        <f t="shared" si="590"/>
        <v>0</v>
      </c>
      <c r="IW117" s="314">
        <f t="shared" si="590"/>
        <v>0</v>
      </c>
      <c r="IX117" s="314">
        <f t="shared" si="590"/>
        <v>0</v>
      </c>
      <c r="IY117" s="314">
        <f t="shared" si="590"/>
        <v>-1999999.9999999991</v>
      </c>
      <c r="IZ117" s="314">
        <f t="shared" ref="IZ117:JH117" si="591">IZ116-IZ115</f>
        <v>2650000</v>
      </c>
      <c r="JA117" s="314">
        <f t="shared" si="591"/>
        <v>0</v>
      </c>
      <c r="JB117" s="314">
        <f t="shared" si="591"/>
        <v>0</v>
      </c>
      <c r="JC117" s="314">
        <f t="shared" si="591"/>
        <v>0</v>
      </c>
      <c r="JD117" s="314">
        <f t="shared" si="591"/>
        <v>0</v>
      </c>
      <c r="JE117" s="314">
        <f t="shared" si="591"/>
        <v>0</v>
      </c>
      <c r="JF117" s="314">
        <f t="shared" si="591"/>
        <v>3485000</v>
      </c>
      <c r="JG117" s="314">
        <f t="shared" si="591"/>
        <v>-500000</v>
      </c>
      <c r="JH117" s="314">
        <f t="shared" si="591"/>
        <v>0</v>
      </c>
      <c r="JI117" s="314">
        <f t="shared" si="577"/>
        <v>82273057.958033174</v>
      </c>
      <c r="JL117" s="307">
        <f t="shared" si="578"/>
        <v>2745101.9646354234</v>
      </c>
      <c r="JM117" s="307">
        <f t="shared" si="578"/>
        <v>49098761.363854662</v>
      </c>
      <c r="JN117" s="307">
        <f t="shared" si="578"/>
        <v>18029617.777798802</v>
      </c>
      <c r="JO117" s="307">
        <f t="shared" si="578"/>
        <v>12399576.851744272</v>
      </c>
      <c r="JP117" s="307">
        <f t="shared" ref="JP117" si="592">SUM(JL117:JO117)</f>
        <v>82273057.958033144</v>
      </c>
    </row>
    <row r="118" spans="1:276" x14ac:dyDescent="0.25">
      <c r="JL118" s="591"/>
      <c r="JM118" s="591"/>
      <c r="JN118" s="591"/>
      <c r="JO118" s="591"/>
      <c r="JP118" s="591"/>
    </row>
    <row r="119" spans="1:276" x14ac:dyDescent="0.25">
      <c r="B119" s="313" t="s">
        <v>2621</v>
      </c>
    </row>
    <row r="120" spans="1:276" s="307" customFormat="1" x14ac:dyDescent="0.25">
      <c r="A120" s="314">
        <v>4</v>
      </c>
      <c r="B120" s="314" t="s">
        <v>1545</v>
      </c>
      <c r="C120" s="314">
        <f>IFERROR(VLOOKUP(C$1,'PZ 2019'!$C$3:$T$288,$A120,FALSE),0)</f>
        <v>0</v>
      </c>
      <c r="D120" s="314">
        <f>IFERROR(VLOOKUP(D$1,'PZ 2019'!$C$3:$T$288,$A120,FALSE),0)</f>
        <v>0</v>
      </c>
      <c r="E120" s="314">
        <f>IFERROR(VLOOKUP(E$1,'PZ 2019'!$C$3:$T$288,$A120,FALSE),0)</f>
        <v>0</v>
      </c>
      <c r="F120" s="314">
        <f>IFERROR(VLOOKUP(F$1,'PZ 2019'!$C$3:$T$288,$A120,FALSE),0)</f>
        <v>0</v>
      </c>
      <c r="G120" s="314">
        <f>IFERROR(VLOOKUP(G$1,'PZ 2019'!$C$3:$T$288,$A120,FALSE),0)</f>
        <v>0</v>
      </c>
      <c r="H120" s="314">
        <f>IFERROR(VLOOKUP(H$1,'PZ 2019'!$C$3:$T$288,$A120,FALSE),0)</f>
        <v>0</v>
      </c>
      <c r="I120" s="314">
        <f>IFERROR(VLOOKUP(I$1,'PZ 2019'!$C$3:$T$288,$A120,FALSE),0)</f>
        <v>0</v>
      </c>
      <c r="J120" s="314">
        <f>IFERROR(VLOOKUP(J$1,'PZ 2019'!$C$3:$T$288,$A120,FALSE),0)</f>
        <v>0</v>
      </c>
      <c r="K120" s="314">
        <f>IFERROR(VLOOKUP(K$1,'PZ 2019'!$C$3:$T$288,$A120,FALSE),0)</f>
        <v>0</v>
      </c>
      <c r="L120" s="314">
        <f>IFERROR(VLOOKUP(L$1,'PZ 2019'!$C$3:$T$288,$A120,FALSE),0)</f>
        <v>175000</v>
      </c>
      <c r="M120" s="314">
        <f>IFERROR(VLOOKUP(M$1,'PZ 2019'!$C$3:$T$288,$A120,FALSE),0)</f>
        <v>177000</v>
      </c>
      <c r="N120" s="314">
        <f>IFERROR(VLOOKUP(N$1,'PZ 2019'!$C$3:$T$288,$A120,FALSE),0)</f>
        <v>0</v>
      </c>
      <c r="O120" s="314">
        <f>IFERROR(VLOOKUP(O$1,'PZ 2019'!$C$3:$T$288,$A120,FALSE),0)</f>
        <v>80000</v>
      </c>
      <c r="P120" s="314">
        <f>IFERROR(VLOOKUP(P$1,'PZ 2019'!$C$3:$T$288,$A120,FALSE),0)</f>
        <v>0</v>
      </c>
      <c r="Q120" s="314">
        <f>IFERROR(VLOOKUP(Q$1,'PZ 2019'!$C$3:$T$288,$A120,FALSE),0)</f>
        <v>93000</v>
      </c>
      <c r="R120" s="314">
        <f>IFERROR(VLOOKUP(R$1,'PZ 2019'!$C$3:$T$288,$A120,FALSE),0)</f>
        <v>38293.1</v>
      </c>
      <c r="S120" s="314">
        <f>IFERROR(VLOOKUP(S$1,'PZ 2019'!$C$3:$T$288,$A120,FALSE),0)</f>
        <v>33512.800000000003</v>
      </c>
      <c r="T120" s="314">
        <f>IFERROR(VLOOKUP(T$1,'PZ 2019'!$C$3:$T$288,$A120,FALSE),0)</f>
        <v>45063</v>
      </c>
      <c r="U120" s="314">
        <f>IFERROR(VLOOKUP(U$1,'PZ 2019'!$C$3:$T$288,$A120,FALSE),0)</f>
        <v>0</v>
      </c>
      <c r="V120" s="314">
        <f>IFERROR(VLOOKUP(V$1,'PZ 2019'!$C$3:$T$288,$A120,FALSE),0)</f>
        <v>0</v>
      </c>
      <c r="W120" s="314">
        <f>IFERROR(VLOOKUP(W$1,'PZ 2019'!$C$3:$T$288,$A120,FALSE),0)</f>
        <v>0</v>
      </c>
      <c r="X120" s="314">
        <f>IFERROR(VLOOKUP(X$1,'PZ 2019'!$C$3:$T$288,$A120,FALSE),0)</f>
        <v>0</v>
      </c>
      <c r="Y120" s="314">
        <f>IFERROR(VLOOKUP(Y$1,'PZ 2019'!$C$3:$T$288,$A120,FALSE),0)</f>
        <v>120000</v>
      </c>
      <c r="Z120" s="314">
        <f>IFERROR(VLOOKUP(Z$1,'PZ 2019'!$C$3:$T$288,$A120,FALSE),0)</f>
        <v>118000</v>
      </c>
      <c r="AA120" s="314">
        <f>IFERROR(VLOOKUP(AA$1,'PZ 2019'!$C$3:$T$288,$A120,FALSE),0)</f>
        <v>0</v>
      </c>
      <c r="AB120" s="314">
        <f>IFERROR(VLOOKUP(AB$1,'PZ 2019'!$C$3:$T$288,$A120,FALSE),0)</f>
        <v>130000</v>
      </c>
      <c r="AC120" s="314">
        <f>IFERROR(VLOOKUP(AC$1,'PZ 2019'!$C$3:$T$288,$A120,FALSE),0)</f>
        <v>148000</v>
      </c>
      <c r="AD120" s="314">
        <f>IFERROR(VLOOKUP(AD$1,'PZ 2019'!$C$3:$T$288,$A120,FALSE),0)</f>
        <v>134000</v>
      </c>
      <c r="AE120" s="314">
        <f>IFERROR(VLOOKUP(AE$1,'PZ 2019'!$C$3:$T$288,$A120,FALSE),0)</f>
        <v>0</v>
      </c>
      <c r="AF120" s="314">
        <f>IFERROR(VLOOKUP(AF$1,'PZ 2019'!$C$3:$T$288,$A120,FALSE),0)</f>
        <v>0</v>
      </c>
      <c r="AG120" s="314">
        <f>IFERROR(VLOOKUP(AG$1,'PZ 2019'!$C$3:$T$288,$A120,FALSE),0)</f>
        <v>158000</v>
      </c>
      <c r="AH120" s="314">
        <f>IFERROR(VLOOKUP(AH$1,'PZ 2019'!$C$3:$T$288,$A120,FALSE),0)</f>
        <v>55495</v>
      </c>
      <c r="AI120" s="314">
        <f>IFERROR(VLOOKUP(AI$1,'PZ 2019'!$C$3:$T$288,$A120,FALSE),0)</f>
        <v>106000</v>
      </c>
      <c r="AJ120" s="314">
        <f>IFERROR(VLOOKUP(AJ$1,'PZ 2019'!$C$3:$T$288,$A120,FALSE),0)</f>
        <v>109000</v>
      </c>
      <c r="AK120" s="314">
        <f>IFERROR(VLOOKUP(AK$1,'PZ 2019'!$C$3:$T$288,$A120,FALSE),0)</f>
        <v>79838</v>
      </c>
      <c r="AL120" s="314">
        <f>IFERROR(VLOOKUP(AL$1,'PZ 2019'!$C$3:$T$288,$A120,FALSE),0)</f>
        <v>0</v>
      </c>
      <c r="AM120" s="314">
        <f>IFERROR(VLOOKUP(AM$1,'PZ 2019'!$C$3:$T$288,$A120,FALSE),0)</f>
        <v>0</v>
      </c>
      <c r="AN120" s="314">
        <f>IFERROR(VLOOKUP(AN$1,'PZ 2019'!$C$3:$T$288,$A120,FALSE),0)</f>
        <v>0</v>
      </c>
      <c r="AO120" s="314">
        <f>IFERROR(VLOOKUP(AO$1,'PZ 2019'!$C$3:$T$288,$A120,FALSE),0)</f>
        <v>0</v>
      </c>
      <c r="AP120" s="314">
        <f>IFERROR(VLOOKUP(AP$1,'PZ 2019'!$C$3:$T$288,$A120,FALSE),0)</f>
        <v>178955</v>
      </c>
      <c r="AQ120" s="314">
        <f>IFERROR(VLOOKUP(AQ$1,'PZ 2019'!$C$3:$T$288,$A120,FALSE),0)</f>
        <v>26000</v>
      </c>
      <c r="AR120" s="314">
        <f>IFERROR(VLOOKUP(AR$1,'PZ 2019'!$C$3:$T$288,$A120,FALSE),0)</f>
        <v>40000</v>
      </c>
      <c r="AS120" s="314">
        <f>IFERROR(VLOOKUP(AS$1,'PZ 2019'!$C$3:$T$288,$A120,FALSE),0)</f>
        <v>18000</v>
      </c>
      <c r="AT120" s="314">
        <f>IFERROR(VLOOKUP(AT$1,'PZ 2019'!$C$3:$T$288,$A120,FALSE),0)</f>
        <v>0</v>
      </c>
      <c r="AU120" s="314">
        <f>IFERROR(VLOOKUP(AU$1,'PZ 2019'!$C$3:$T$288,$A120,FALSE),0)</f>
        <v>10000</v>
      </c>
      <c r="AV120" s="314">
        <f>IFERROR(VLOOKUP(AV$1,'PZ 2019'!$C$3:$T$288,$A120,FALSE),0)</f>
        <v>0</v>
      </c>
      <c r="AW120" s="314">
        <f>IFERROR(VLOOKUP(AW$1,'PZ 2019'!$C$3:$T$288,$A120,FALSE),0)</f>
        <v>0</v>
      </c>
      <c r="AX120" s="314">
        <f>IFERROR(VLOOKUP(AX$1,'PZ 2019'!$C$3:$T$288,$A120,FALSE),0)</f>
        <v>172190</v>
      </c>
      <c r="AY120" s="314">
        <f>IFERROR(VLOOKUP(AY$1,'PZ 2019'!$C$3:$T$288,$A120,FALSE),0)</f>
        <v>184559</v>
      </c>
      <c r="AZ120" s="314">
        <f>IFERROR(VLOOKUP(AZ$1,'PZ 2019'!$C$3:$T$288,$A120,FALSE),0)</f>
        <v>141000</v>
      </c>
      <c r="BA120" s="314">
        <f>IFERROR(VLOOKUP(BA$1,'PZ 2019'!$C$3:$T$288,$A120,FALSE),0)</f>
        <v>0</v>
      </c>
      <c r="BB120" s="314">
        <f>IFERROR(VLOOKUP(BB$1,'PZ 2019'!$C$3:$T$288,$A120,FALSE),0)</f>
        <v>0</v>
      </c>
      <c r="BC120" s="314">
        <f>IFERROR(VLOOKUP(BC$1,'PZ 2019'!$C$3:$T$288,$A120,FALSE),0)</f>
        <v>0</v>
      </c>
      <c r="BD120" s="314">
        <f>IFERROR(VLOOKUP(BD$1,'PZ 2019'!$C$3:$T$288,$A120,FALSE),0)</f>
        <v>112000</v>
      </c>
      <c r="BE120" s="314">
        <f>IFERROR(VLOOKUP(BE$1,'PZ 2019'!$C$3:$T$288,$A120,FALSE),0)</f>
        <v>113000</v>
      </c>
      <c r="BF120" s="314">
        <f>IFERROR(VLOOKUP(BF$1,'PZ 2019'!$C$3:$T$288,$A120,FALSE),0)</f>
        <v>60000</v>
      </c>
      <c r="BG120" s="314">
        <f>IFERROR(VLOOKUP(BG$1,'PZ 2019'!$C$3:$T$288,$A120,FALSE),0)</f>
        <v>70000</v>
      </c>
      <c r="BH120" s="314">
        <f>IFERROR(VLOOKUP(BH$1,'PZ 2019'!$C$3:$T$288,$A120,FALSE),0)</f>
        <v>235948</v>
      </c>
      <c r="BI120" s="314">
        <f>IFERROR(VLOOKUP(BI$1,'PZ 2019'!$C$3:$T$288,$A120,FALSE),0)</f>
        <v>0</v>
      </c>
      <c r="BJ120" s="314">
        <f>IFERROR(VLOOKUP(BJ$1,'PZ 2019'!$C$3:$T$288,$A120,FALSE),0)</f>
        <v>0</v>
      </c>
      <c r="BK120" s="314">
        <f>IFERROR(VLOOKUP(BK$1,'PZ 2019'!$C$3:$T$288,$A120,FALSE),0)</f>
        <v>0</v>
      </c>
      <c r="BL120" s="314">
        <f>IFERROR(VLOOKUP(BL$1,'PZ 2019'!$C$3:$T$288,$A120,FALSE),0)</f>
        <v>0</v>
      </c>
      <c r="BM120" s="314">
        <f>IFERROR(VLOOKUP(BM$1,'PZ 2019'!$C$3:$T$288,$A120,FALSE),0)</f>
        <v>0</v>
      </c>
      <c r="BN120" s="314">
        <f>IFERROR(VLOOKUP(BN$1,'PZ 2019'!$C$3:$T$288,$A120,FALSE),0)</f>
        <v>0</v>
      </c>
      <c r="BO120" s="314">
        <f>IFERROR(VLOOKUP(BO$1,'PZ 2019'!$C$3:$T$288,$A120,FALSE),0)</f>
        <v>0</v>
      </c>
      <c r="BP120" s="314">
        <f>IFERROR(VLOOKUP(BP$1,'PZ 2019'!$C$3:$T$288,$A120,FALSE),0)</f>
        <v>458716</v>
      </c>
      <c r="BQ120" s="314">
        <f>IFERROR(VLOOKUP(BQ$1,'PZ 2019'!$C$3:$T$288,$A120,FALSE),0)</f>
        <v>0</v>
      </c>
      <c r="BR120" s="314">
        <f>IFERROR(VLOOKUP(BR$1,'PZ 2019'!$C$3:$T$288,$A120,FALSE),0)</f>
        <v>65000</v>
      </c>
      <c r="BS120" s="314">
        <f>IFERROR(VLOOKUP(BS$1,'PZ 2019'!$C$3:$T$288,$A120,FALSE),0)</f>
        <v>100000</v>
      </c>
      <c r="BT120" s="314">
        <f>IFERROR(VLOOKUP(BT$1,'PZ 2019'!$C$3:$T$288,$A120,FALSE),0)</f>
        <v>79000</v>
      </c>
      <c r="BU120" s="314">
        <f>IFERROR(VLOOKUP(BU$1,'PZ 2019'!$C$3:$T$288,$A120,FALSE),0)</f>
        <v>0</v>
      </c>
      <c r="BV120" s="314">
        <f>IFERROR(VLOOKUP(BV$1,'PZ 2019'!$C$3:$T$288,$A120,FALSE),0)</f>
        <v>0</v>
      </c>
      <c r="BW120" s="314">
        <f>IFERROR(VLOOKUP(BW$1,'PZ 2019'!$C$3:$T$288,$A120,FALSE),0)</f>
        <v>0</v>
      </c>
      <c r="BX120" s="314">
        <f>IFERROR(VLOOKUP(BX$1,'PZ 2019'!$C$3:$T$288,$A120,FALSE),0)</f>
        <v>156971</v>
      </c>
      <c r="BY120" s="314">
        <f>IFERROR(VLOOKUP(BY$1,'PZ 2019'!$C$3:$T$288,$A120,FALSE),0)</f>
        <v>101000</v>
      </c>
      <c r="BZ120" s="314">
        <f>IFERROR(VLOOKUP(BZ$1,'PZ 2019'!$C$3:$T$288,$A120,FALSE),0)</f>
        <v>36000</v>
      </c>
      <c r="CA120" s="314">
        <f>IFERROR(VLOOKUP(CA$1,'PZ 2019'!$C$3:$T$288,$A120,FALSE),0)</f>
        <v>0</v>
      </c>
      <c r="CB120" s="314">
        <f>IFERROR(VLOOKUP(CB$1,'PZ 2019'!$C$3:$T$288,$A120,FALSE),0)</f>
        <v>0</v>
      </c>
      <c r="CC120" s="314">
        <f>IFERROR(VLOOKUP(CC$1,'PZ 2019'!$C$3:$T$288,$A120,FALSE),0)</f>
        <v>0</v>
      </c>
      <c r="CD120" s="314">
        <f>IFERROR(VLOOKUP(CD$1,'PZ 2019'!$C$3:$T$288,$A120,FALSE),0)</f>
        <v>0</v>
      </c>
      <c r="CE120" s="314">
        <f>IFERROR(VLOOKUP(CE$1,'PZ 2019'!$C$3:$T$288,$A120,FALSE),0)</f>
        <v>0</v>
      </c>
      <c r="CF120" s="314">
        <f>IFERROR(VLOOKUP(CF$1,'PZ 2019'!$C$3:$T$288,$A120,FALSE),0)</f>
        <v>0</v>
      </c>
      <c r="CG120" s="314">
        <f>IFERROR(VLOOKUP(CG$1,'PZ 2019'!$C$3:$T$288,$A120,FALSE),0)</f>
        <v>0</v>
      </c>
      <c r="CH120" s="314">
        <f>IFERROR(VLOOKUP(CH$1,'PZ 2019'!$C$3:$T$288,$A120,FALSE),0)</f>
        <v>0</v>
      </c>
      <c r="CI120" s="314">
        <f>IFERROR(VLOOKUP(CI$1,'PZ 2019'!$C$3:$T$288,$A120,FALSE),0)</f>
        <v>0</v>
      </c>
      <c r="CJ120" s="314">
        <f>IFERROR(VLOOKUP(CJ$1,'PZ 2019'!$C$3:$T$288,$A120,FALSE),0)</f>
        <v>0</v>
      </c>
      <c r="CK120" s="314">
        <f>IFERROR(VLOOKUP(CK$1,'PZ 2019'!$C$3:$T$288,$A120,FALSE),0)</f>
        <v>0</v>
      </c>
      <c r="CL120" s="314">
        <f>IFERROR(VLOOKUP(CL$1,'PZ 2019'!$C$3:$T$288,$A120,FALSE),0)</f>
        <v>0</v>
      </c>
      <c r="CM120" s="314">
        <f>IFERROR(VLOOKUP(CM$1,'PZ 2019'!$C$3:$T$288,$A120,FALSE),0)</f>
        <v>0</v>
      </c>
      <c r="CN120" s="314">
        <f>IFERROR(VLOOKUP(CN$1,'PZ 2019'!$C$3:$T$288,$A120,FALSE),0)</f>
        <v>52605.14</v>
      </c>
      <c r="CO120" s="314">
        <f>IFERROR(VLOOKUP(CO$1,'PZ 2019'!$C$3:$T$288,$A120,FALSE),0)</f>
        <v>0</v>
      </c>
      <c r="CP120" s="314">
        <f>IFERROR(VLOOKUP(CP$1,'PZ 2019'!$C$3:$T$288,$A120,FALSE),0)</f>
        <v>55825.46</v>
      </c>
      <c r="CQ120" s="314">
        <f>IFERROR(VLOOKUP(CQ$1,'PZ 2019'!$C$3:$T$288,$A120,FALSE),0)</f>
        <v>0</v>
      </c>
      <c r="CR120" s="314">
        <f>IFERROR(VLOOKUP(CR$1,'PZ 2019'!$C$3:$T$288,$A120,FALSE),0)</f>
        <v>0</v>
      </c>
      <c r="CS120" s="314">
        <f>IFERROR(VLOOKUP(CS$1,'PZ 2019'!$C$3:$T$288,$A120,FALSE),0)</f>
        <v>0</v>
      </c>
      <c r="CT120" s="314">
        <f>IFERROR(VLOOKUP(CT$1,'PZ 2019'!$C$3:$T$288,$A120,FALSE),0)</f>
        <v>0</v>
      </c>
      <c r="CU120" s="314">
        <f>IFERROR(VLOOKUP(CU$1,'PZ 2019'!$C$3:$T$288,$A120,FALSE),0)</f>
        <v>0</v>
      </c>
      <c r="CV120" s="314">
        <f>IFERROR(VLOOKUP(CV$1,'PZ 2019'!$C$3:$T$288,$A120,FALSE),0)</f>
        <v>0</v>
      </c>
      <c r="CW120" s="314">
        <f>IFERROR(VLOOKUP(CW$1,'PZ 2019'!$C$3:$T$288,$A120,FALSE),0)</f>
        <v>0</v>
      </c>
      <c r="CX120" s="314">
        <f>IFERROR(VLOOKUP(CX$1,'PZ 2019'!$C$3:$T$288,$A120,FALSE),0)</f>
        <v>0</v>
      </c>
      <c r="CY120" s="314">
        <f>IFERROR(VLOOKUP(CY$1,'PZ 2019'!$C$3:$T$288,$A120,FALSE),0)</f>
        <v>0</v>
      </c>
      <c r="CZ120" s="314">
        <f>IFERROR(VLOOKUP(CZ$1,'PZ 2019'!$C$3:$T$288,$A120,FALSE),0)</f>
        <v>0</v>
      </c>
      <c r="DA120" s="314">
        <f>IFERROR(VLOOKUP(DA$1,'PZ 2019'!$C$3:$T$288,$A120,FALSE),0)</f>
        <v>0</v>
      </c>
      <c r="DB120" s="314">
        <f>IFERROR(VLOOKUP(DB$1,'PZ 2019'!$C$3:$T$288,$A120,FALSE),0)</f>
        <v>0</v>
      </c>
      <c r="DC120" s="314">
        <f>IFERROR(VLOOKUP(DC$1,'PZ 2019'!$C$3:$T$288,$A120,FALSE),0)</f>
        <v>0</v>
      </c>
      <c r="DD120" s="314">
        <f>IFERROR(VLOOKUP(DD$1,'PZ 2019'!$C$3:$T$288,$A120,FALSE),0)</f>
        <v>0</v>
      </c>
      <c r="DE120" s="314">
        <f>IFERROR(VLOOKUP(DE$1,'PZ 2019'!$C$3:$T$288,$A120,FALSE),0)</f>
        <v>0</v>
      </c>
      <c r="DF120" s="314">
        <f>IFERROR(VLOOKUP(DF$1,'PZ 2019'!$C$3:$T$288,$A120,FALSE),0)</f>
        <v>0</v>
      </c>
      <c r="DG120" s="314">
        <f>IFERROR(VLOOKUP(DG$1,'PZ 2019'!$C$3:$T$288,$A120,FALSE),0)</f>
        <v>0</v>
      </c>
      <c r="DH120" s="314">
        <f>IFERROR(VLOOKUP(DH$1,'PZ 2019'!$C$3:$T$288,$A120,FALSE),0)</f>
        <v>0</v>
      </c>
      <c r="DI120" s="314">
        <f>IFERROR(VLOOKUP(DI$1,'PZ 2019'!$C$3:$T$288,$A120,FALSE),0)</f>
        <v>0</v>
      </c>
      <c r="DJ120" s="314">
        <f>IFERROR(VLOOKUP(DJ$1,'PZ 2019'!$C$3:$T$288,$A120,FALSE),0)</f>
        <v>0</v>
      </c>
      <c r="DK120" s="314">
        <f>IFERROR(VLOOKUP(DK$1,'PZ 2019'!$C$3:$T$288,$A120,FALSE),0)</f>
        <v>0</v>
      </c>
      <c r="DL120" s="314">
        <f>IFERROR(VLOOKUP(DL$1,'PZ 2019'!$C$3:$T$288,$A120,FALSE),0)</f>
        <v>0</v>
      </c>
      <c r="DM120" s="314">
        <f>IFERROR(VLOOKUP(DM$1,'PZ 2019'!$C$3:$T$288,$A120,FALSE),0)</f>
        <v>0</v>
      </c>
      <c r="DN120" s="314">
        <f>IFERROR(VLOOKUP(DN$1,'PZ 2019'!$C$3:$T$288,$A120,FALSE),0)</f>
        <v>130000</v>
      </c>
      <c r="DO120" s="314">
        <f>IFERROR(VLOOKUP(DO$1,'PZ 2019'!$C$3:$T$288,$A120,FALSE),0)</f>
        <v>0</v>
      </c>
      <c r="DP120" s="314">
        <f>IFERROR(VLOOKUP(DP$1,'PZ 2019'!$C$3:$T$288,$A120,FALSE),0)</f>
        <v>136446.78</v>
      </c>
      <c r="DQ120" s="314">
        <f>IFERROR(VLOOKUP(DQ$1,'PZ 2019'!$C$3:$T$288,$A120,FALSE),0)</f>
        <v>0</v>
      </c>
      <c r="DR120" s="314">
        <f>IFERROR(VLOOKUP(DR$1,'PZ 2019'!$C$3:$T$288,$A120,FALSE),0)</f>
        <v>0</v>
      </c>
      <c r="DS120" s="314">
        <f>IFERROR(VLOOKUP(DS$1,'PZ 2019'!$C$3:$T$288,$A120,FALSE),0)</f>
        <v>0</v>
      </c>
      <c r="DT120" s="314">
        <f>IFERROR(VLOOKUP(DT$1,'PZ 2019'!$C$3:$T$288,$A120,FALSE),0)</f>
        <v>0</v>
      </c>
      <c r="DU120" s="314">
        <f>IFERROR(VLOOKUP(DU$1,'PZ 2019'!$C$3:$T$288,$A120,FALSE),0)</f>
        <v>0</v>
      </c>
      <c r="DV120" s="314">
        <f>IFERROR(VLOOKUP(DV$1,'PZ 2019'!$C$3:$T$288,$A120,FALSE),0)</f>
        <v>0</v>
      </c>
      <c r="DW120" s="314">
        <f>IFERROR(VLOOKUP(DW$1,'PZ 2019'!$C$3:$T$288,$A120,FALSE),0)</f>
        <v>0</v>
      </c>
      <c r="DX120" s="314">
        <f>IFERROR(VLOOKUP(DX$1,'PZ 2019'!$C$3:$T$288,$A120,FALSE),0)</f>
        <v>0</v>
      </c>
      <c r="DY120" s="314">
        <f>IFERROR(VLOOKUP(DY$1,'PZ 2019'!$C$3:$T$288,$A120,FALSE),0)</f>
        <v>158000</v>
      </c>
      <c r="DZ120" s="314">
        <f>IFERROR(VLOOKUP(DZ$1,'PZ 2019'!$C$3:$T$288,$A120,FALSE),0)</f>
        <v>0</v>
      </c>
      <c r="EA120" s="314">
        <f>IFERROR(VLOOKUP(EA$1,'PZ 2019'!$C$3:$T$288,$A120,FALSE),0)</f>
        <v>171000</v>
      </c>
      <c r="EB120" s="314">
        <f>IFERROR(VLOOKUP(EB$1,'PZ 2019'!$C$3:$T$288,$A120,FALSE),0)</f>
        <v>0</v>
      </c>
      <c r="EC120" s="314">
        <f>IFERROR(VLOOKUP(EC$1,'PZ 2019'!$C$3:$T$288,$A120,FALSE),0)</f>
        <v>0</v>
      </c>
      <c r="ED120" s="314">
        <f>IFERROR(VLOOKUP(ED$1,'PZ 2019'!$C$3:$T$288,$A120,FALSE),0)</f>
        <v>0</v>
      </c>
      <c r="EE120" s="314">
        <f>IFERROR(VLOOKUP(EE$1,'PZ 2019'!$C$3:$T$288,$A120,FALSE),0)</f>
        <v>0</v>
      </c>
      <c r="EF120" s="314">
        <f>IFERROR(VLOOKUP(EF$1,'PZ 2019'!$C$3:$T$288,$A120,FALSE),0)</f>
        <v>28601.59</v>
      </c>
      <c r="EG120" s="314">
        <f>IFERROR(VLOOKUP(EG$1,'PZ 2019'!$C$3:$T$288,$A120,FALSE),0)</f>
        <v>21070.99</v>
      </c>
      <c r="EH120" s="314">
        <f>IFERROR(VLOOKUP(EH$1,'PZ 2019'!$C$3:$T$288,$A120,FALSE),0)</f>
        <v>22000</v>
      </c>
      <c r="EI120" s="314">
        <f>IFERROR(VLOOKUP(EI$1,'PZ 2019'!$C$3:$T$288,$A120,FALSE),0)</f>
        <v>0</v>
      </c>
      <c r="EJ120" s="314">
        <f>IFERROR(VLOOKUP(EJ$1,'PZ 2019'!$C$3:$T$288,$A120,FALSE),0)</f>
        <v>0</v>
      </c>
      <c r="EK120" s="314">
        <f>IFERROR(VLOOKUP(EK$1,'PZ 2019'!$C$3:$T$288,$A120,FALSE),0)</f>
        <v>276000</v>
      </c>
      <c r="EL120" s="314">
        <f>IFERROR(VLOOKUP(EL$1,'PZ 2019'!$C$3:$T$288,$A120,FALSE),0)</f>
        <v>651000</v>
      </c>
      <c r="EM120" s="314">
        <f>IFERROR(VLOOKUP(EM$1,'PZ 2019'!$C$3:$T$288,$A120,FALSE),0)</f>
        <v>210000</v>
      </c>
      <c r="EN120" s="314">
        <f>IFERROR(VLOOKUP(EN$1,'PZ 2019'!$C$3:$T$288,$A120,FALSE),0)</f>
        <v>0</v>
      </c>
      <c r="EO120" s="314">
        <f>IFERROR(VLOOKUP(EO$1,'PZ 2019'!$C$3:$T$288,$A120,FALSE),0)</f>
        <v>0</v>
      </c>
      <c r="EP120" s="314">
        <f>IFERROR(VLOOKUP(EP$1,'PZ 2019'!$C$3:$T$288,$A120,FALSE),0)</f>
        <v>0</v>
      </c>
      <c r="EQ120" s="314">
        <f>IFERROR(VLOOKUP(EQ$1,'PZ 2019'!$C$3:$T$288,$A120,FALSE),0)</f>
        <v>0</v>
      </c>
      <c r="ER120" s="314">
        <f>IFERROR(VLOOKUP(ER$1,'PZ 2019'!$C$3:$T$288,$A120,FALSE),0)</f>
        <v>0</v>
      </c>
      <c r="ES120" s="314">
        <f>IFERROR(VLOOKUP(ES$1,'PZ 2019'!$C$3:$T$288,$A120,FALSE),0)</f>
        <v>0</v>
      </c>
      <c r="ET120" s="314">
        <f>IFERROR(VLOOKUP(ET$1,'PZ 2019'!$C$3:$T$288,$A120,FALSE),0)</f>
        <v>0</v>
      </c>
      <c r="EU120" s="314">
        <f>IFERROR(VLOOKUP(EU$1,'PZ 2019'!$C$3:$T$288,$A120,FALSE),0)</f>
        <v>0</v>
      </c>
      <c r="EV120" s="314">
        <f>IFERROR(VLOOKUP(EV$1,'PZ 2019'!$C$3:$T$288,$A120,FALSE),0)</f>
        <v>0</v>
      </c>
      <c r="EW120" s="314">
        <f>IFERROR(VLOOKUP(EW$1,'PZ 2019'!$C$3:$T$288,$A120,FALSE),0)</f>
        <v>0</v>
      </c>
      <c r="EX120" s="314">
        <f>IFERROR(VLOOKUP(EX$1,'PZ 2019'!$C$3:$T$288,$A120,FALSE),0)</f>
        <v>0</v>
      </c>
      <c r="EY120" s="314">
        <f>IFERROR(VLOOKUP(EY$1,'PZ 2019'!$C$3:$T$288,$A120,FALSE),0)</f>
        <v>0</v>
      </c>
      <c r="EZ120" s="314">
        <f>IFERROR(VLOOKUP(EZ$1,'PZ 2019'!$C$3:$T$288,$A120,FALSE),0)</f>
        <v>0</v>
      </c>
      <c r="FA120" s="314">
        <f>IFERROR(VLOOKUP(FA$1,'PZ 2019'!$C$3:$T$288,$A120,FALSE),0)</f>
        <v>0</v>
      </c>
      <c r="FB120" s="314">
        <f>IFERROR(VLOOKUP(FB$1,'PZ 2019'!$C$3:$T$288,$A120,FALSE),0)</f>
        <v>0</v>
      </c>
      <c r="FC120" s="314">
        <f>IFERROR(VLOOKUP(FC$1,'PZ 2019'!$C$3:$T$288,$A120,FALSE),0)</f>
        <v>0</v>
      </c>
      <c r="FD120" s="314">
        <f>IFERROR(VLOOKUP(FD$1,'PZ 2019'!$C$3:$T$288,$A120,FALSE),0)</f>
        <v>0</v>
      </c>
      <c r="FE120" s="314">
        <f>IFERROR(VLOOKUP(FE$1,'PZ 2019'!$C$3:$T$288,$A120,FALSE),0)</f>
        <v>0</v>
      </c>
      <c r="FF120" s="314">
        <f>IFERROR(VLOOKUP(FF$1,'PZ 2019'!$C$3:$T$288,$A120,FALSE),0)</f>
        <v>0</v>
      </c>
      <c r="FG120" s="314">
        <f>IFERROR(VLOOKUP(FG$1,'PZ 2019'!$C$3:$T$288,$A120,FALSE),0)</f>
        <v>0</v>
      </c>
      <c r="FH120" s="314">
        <f>IFERROR(VLOOKUP(FH$1,'PZ 2019'!$C$3:$T$288,$A120,FALSE),0)</f>
        <v>0</v>
      </c>
      <c r="FI120" s="314">
        <f>IFERROR(VLOOKUP(FI$1,'PZ 2019'!$C$3:$T$288,$A120,FALSE),0)</f>
        <v>0</v>
      </c>
      <c r="FJ120" s="314">
        <f>IFERROR(VLOOKUP(FJ$1,'PZ 2019'!$C$3:$T$288,$A120,FALSE),0)</f>
        <v>0</v>
      </c>
      <c r="FK120" s="314">
        <f>IFERROR(VLOOKUP(FK$1,'PZ 2019'!$C$3:$T$288,$A120,FALSE),0)</f>
        <v>0</v>
      </c>
      <c r="FL120" s="314">
        <f>IFERROR(VLOOKUP(FL$1,'PZ 2019'!$C$3:$T$288,$A120,FALSE),0)</f>
        <v>0</v>
      </c>
      <c r="FM120" s="314">
        <f>IFERROR(VLOOKUP(FM$1,'PZ 2019'!$C$3:$T$288,$A120,FALSE),0)</f>
        <v>0</v>
      </c>
      <c r="FN120" s="314">
        <f>IFERROR(VLOOKUP(FN$1,'PZ 2019'!$C$3:$T$288,$A120,FALSE),0)</f>
        <v>0</v>
      </c>
      <c r="FO120" s="314">
        <f>IFERROR(VLOOKUP(FO$1,'PZ 2019'!$C$3:$T$288,$A120,FALSE),0)</f>
        <v>0</v>
      </c>
      <c r="FP120" s="314">
        <f>IFERROR(VLOOKUP(FP$1,'PZ 2019'!$C$3:$T$288,$A120,FALSE),0)</f>
        <v>0</v>
      </c>
      <c r="FQ120" s="314">
        <f>IFERROR(VLOOKUP(FQ$1,'PZ 2019'!$C$3:$T$288,$A120,FALSE),0)</f>
        <v>0</v>
      </c>
      <c r="FR120" s="314">
        <f>IFERROR(VLOOKUP(FR$1,'PZ 2019'!$C$3:$T$288,$A120,FALSE),0)</f>
        <v>0</v>
      </c>
      <c r="FS120" s="314">
        <f>IFERROR(VLOOKUP(FS$1,'PZ 2019'!$C$3:$T$288,$A120,FALSE),0)</f>
        <v>0</v>
      </c>
      <c r="FT120" s="314">
        <f>IFERROR(VLOOKUP(FT$1,'PZ 2019'!$C$3:$T$288,$A120,FALSE),0)</f>
        <v>0</v>
      </c>
      <c r="FU120" s="314">
        <f>IFERROR(VLOOKUP(FU$1,'PZ 2019'!$C$3:$T$288,$A120,FALSE),0)</f>
        <v>0</v>
      </c>
      <c r="FV120" s="314">
        <f>IFERROR(VLOOKUP(FV$1,'PZ 2019'!$C$3:$T$288,$A120,FALSE),0)</f>
        <v>0</v>
      </c>
      <c r="FW120" s="314">
        <f>IFERROR(VLOOKUP(FW$1,'PZ 2019'!$C$3:$T$288,$A120,FALSE),0)</f>
        <v>0</v>
      </c>
      <c r="FX120" s="314">
        <f>IFERROR(VLOOKUP(FX$1,'PZ 2019'!$C$3:$T$288,$A120,FALSE),0)</f>
        <v>0</v>
      </c>
      <c r="FY120" s="314">
        <f>IFERROR(VLOOKUP(FY$1,'PZ 2019'!$C$3:$T$288,$A120,FALSE),0)</f>
        <v>0</v>
      </c>
      <c r="FZ120" s="314">
        <f>IFERROR(VLOOKUP(FZ$1,'PZ 2019'!$C$3:$T$288,$A120,FALSE),0)</f>
        <v>0</v>
      </c>
      <c r="GA120" s="314">
        <f>IFERROR(VLOOKUP(GA$1,'PZ 2019'!$C$3:$T$288,$A120,FALSE),0)</f>
        <v>0</v>
      </c>
      <c r="GB120" s="314">
        <f>IFERROR(VLOOKUP(GB$1,'PZ 2019'!$C$3:$T$288,$A120,FALSE),0)</f>
        <v>0</v>
      </c>
      <c r="GC120" s="314">
        <f>IFERROR(VLOOKUP(GC$1,'PZ 2019'!$C$3:$T$288,$A120,FALSE),0)</f>
        <v>0</v>
      </c>
      <c r="GD120" s="314">
        <f>IFERROR(VLOOKUP(GD$1,'PZ 2019'!$C$3:$T$288,$A120,FALSE),0)</f>
        <v>0</v>
      </c>
      <c r="GE120" s="314">
        <f>IFERROR(VLOOKUP(GE$1,'PZ 2019'!$C$3:$T$288,$A120,FALSE),0)</f>
        <v>0</v>
      </c>
      <c r="GF120" s="314">
        <f>IFERROR(VLOOKUP(GF$1,'PZ 2019'!$C$3:$T$288,$A120,FALSE),0)</f>
        <v>0</v>
      </c>
      <c r="GG120" s="314">
        <f>IFERROR(VLOOKUP(GG$1,'PZ 2019'!$C$3:$T$288,$A120,FALSE),0)</f>
        <v>0</v>
      </c>
      <c r="GH120" s="314">
        <f>IFERROR(VLOOKUP(GH$1,'PZ 2019'!$C$3:$T$288,$A120,FALSE),0)</f>
        <v>0</v>
      </c>
      <c r="GI120" s="314">
        <f>IFERROR(VLOOKUP(GI$1,'PZ 2019'!$C$3:$T$288,$A120,FALSE),0)</f>
        <v>0</v>
      </c>
      <c r="GJ120" s="314">
        <f>IFERROR(VLOOKUP(GJ$1,'PZ 2019'!$C$3:$T$288,$A120,FALSE),0)</f>
        <v>0</v>
      </c>
      <c r="GK120" s="314">
        <f>IFERROR(VLOOKUP(GK$1,'PZ 2019'!$C$3:$T$288,$A120,FALSE),0)</f>
        <v>0</v>
      </c>
      <c r="GL120" s="314">
        <f>IFERROR(VLOOKUP(GL$1,'PZ 2019'!$C$3:$T$288,$A120,FALSE),0)</f>
        <v>0</v>
      </c>
      <c r="GM120" s="314">
        <f>IFERROR(VLOOKUP(GM$1,'PZ 2019'!$C$3:$T$288,$A120,FALSE),0)</f>
        <v>0</v>
      </c>
      <c r="GN120" s="314">
        <f>IFERROR(VLOOKUP(GN$1,'PZ 2019'!$C$3:$T$288,$A120,FALSE),0)</f>
        <v>0</v>
      </c>
      <c r="GO120" s="314">
        <f>IFERROR(VLOOKUP(GO$1,'PZ 2019'!$C$3:$T$288,$A120,FALSE),0)</f>
        <v>0</v>
      </c>
      <c r="GP120" s="314">
        <f>IFERROR(VLOOKUP(GP$1,'PZ 2019'!$C$3:$T$288,$A120,FALSE),0)</f>
        <v>0</v>
      </c>
      <c r="GQ120" s="314">
        <f>IFERROR(VLOOKUP(GQ$1,'PZ 2019'!$C$3:$T$288,$A120,FALSE),0)</f>
        <v>0</v>
      </c>
      <c r="GR120" s="314">
        <f>IFERROR(VLOOKUP(GR$1,'PZ 2019'!$C$3:$T$288,$A120,FALSE),0)</f>
        <v>0</v>
      </c>
      <c r="GS120" s="314">
        <f>IFERROR(VLOOKUP(GS$1,'PZ 2019'!$C$3:$T$288,$A120,FALSE),0)</f>
        <v>0</v>
      </c>
      <c r="GT120" s="314">
        <f>IFERROR(VLOOKUP(GT$1,'PZ 2019'!$C$3:$T$288,$A120,FALSE),0)</f>
        <v>0</v>
      </c>
      <c r="GU120" s="314">
        <f>IFERROR(VLOOKUP(GU$1,'PZ 2019'!$C$3:$T$288,$A120,FALSE),0)</f>
        <v>0</v>
      </c>
      <c r="GV120" s="314">
        <f>IFERROR(VLOOKUP(GV$1,'PZ 2019'!$C$3:$T$288,$A120,FALSE),0)</f>
        <v>0</v>
      </c>
      <c r="GW120" s="314">
        <f>IFERROR(VLOOKUP(GW$1,'PZ 2019'!$C$3:$T$288,$A120,FALSE),0)</f>
        <v>0</v>
      </c>
      <c r="GX120" s="314">
        <f>IFERROR(VLOOKUP(GX$1,'PZ 2019'!$C$3:$T$288,$A120,FALSE),0)</f>
        <v>0</v>
      </c>
      <c r="GY120" s="314">
        <f>IFERROR(VLOOKUP(GY$1,'PZ 2019'!$C$3:$T$288,$A120,FALSE),0)</f>
        <v>0</v>
      </c>
      <c r="GZ120" s="314">
        <f>IFERROR(VLOOKUP(GZ$1,'PZ 2019'!$C$3:$T$288,$A120,FALSE),0)</f>
        <v>0</v>
      </c>
      <c r="HA120" s="314">
        <f>IFERROR(VLOOKUP(HA$1,'PZ 2019'!$C$3:$T$288,$A120,FALSE),0)</f>
        <v>0</v>
      </c>
      <c r="HB120" s="314">
        <f>IFERROR(VLOOKUP(HB$1,'PZ 2019'!$C$3:$T$288,$A120,FALSE),0)</f>
        <v>0</v>
      </c>
      <c r="HC120" s="314">
        <f>IFERROR(VLOOKUP(HC$1,'PZ 2019'!$C$3:$T$288,$A120,FALSE),0)</f>
        <v>0</v>
      </c>
      <c r="HD120" s="314">
        <f>IFERROR(VLOOKUP(HD$1,'PZ 2019'!$C$3:$T$288,$A120,FALSE),0)</f>
        <v>200000</v>
      </c>
      <c r="HE120" s="314">
        <f>IFERROR(VLOOKUP(HE$1,'PZ 2019'!$C$3:$T$288,$A120,FALSE),0)</f>
        <v>200000</v>
      </c>
      <c r="HF120" s="314">
        <f>IFERROR(VLOOKUP(HF$1,'PZ 2019'!$C$3:$T$288,$A120,FALSE),0)</f>
        <v>0</v>
      </c>
      <c r="HG120" s="314">
        <f>IFERROR(VLOOKUP(HG$1,'PZ 2019'!$C$3:$T$288,$A120,FALSE),0)</f>
        <v>0</v>
      </c>
      <c r="HH120" s="314">
        <f>IFERROR(VLOOKUP(HH$1,'PZ 2019'!$C$3:$T$288,$A120,FALSE),0)</f>
        <v>0</v>
      </c>
      <c r="HI120" s="314">
        <f>IFERROR(VLOOKUP(HI$1,'PZ 2019'!$C$3:$T$288,$A120,FALSE),0)</f>
        <v>0</v>
      </c>
      <c r="HJ120" s="314">
        <f>IFERROR(VLOOKUP(HJ$1,'PZ 2019'!$C$3:$T$288,$A120,FALSE),0)</f>
        <v>0</v>
      </c>
      <c r="HK120" s="314">
        <f>IFERROR(VLOOKUP(HK$1,'PZ 2019'!$C$3:$T$288,$A120,FALSE),0)</f>
        <v>0</v>
      </c>
      <c r="HL120" s="314">
        <f>IFERROR(VLOOKUP(HL$1,'PZ 2019'!$C$3:$T$288,$A120,FALSE),0)</f>
        <v>0</v>
      </c>
      <c r="HM120" s="314">
        <f>IFERROR(VLOOKUP(HM$1,'PZ 2019'!$C$3:$T$288,$A120,FALSE),0)</f>
        <v>0</v>
      </c>
      <c r="HN120" s="314">
        <f>IFERROR(VLOOKUP(HN$1,'PZ 2019'!$C$3:$T$288,$A120,FALSE),0)</f>
        <v>0</v>
      </c>
      <c r="HO120" s="314">
        <f>IFERROR(VLOOKUP(HO$1,'PZ 2019'!$C$3:$T$288,$A120,FALSE),0)</f>
        <v>0</v>
      </c>
      <c r="HP120" s="314">
        <f>IFERROR(VLOOKUP(HP$1,'PZ 2019'!$C$3:$T$288,$A120,FALSE),0)</f>
        <v>0</v>
      </c>
      <c r="HQ120" s="314">
        <f>IFERROR(VLOOKUP(HQ$1,'PZ 2019'!$C$3:$T$288,$A120,FALSE),0)</f>
        <v>0</v>
      </c>
      <c r="HR120" s="314">
        <f>IFERROR(VLOOKUP(HR$1,'PZ 2019'!$C$3:$T$288,$A120,FALSE),0)</f>
        <v>0</v>
      </c>
      <c r="HS120" s="314">
        <f>IFERROR(VLOOKUP(HS$1,'PZ 2019'!$C$3:$T$288,$A120,FALSE),0)</f>
        <v>0</v>
      </c>
      <c r="HT120" s="314">
        <f>IFERROR(VLOOKUP(HT$1,'PZ 2019'!$C$3:$T$288,$A120,FALSE),0)</f>
        <v>0</v>
      </c>
      <c r="HU120" s="314">
        <f>IFERROR(VLOOKUP(HU$1,'PZ 2019'!$C$3:$T$288,$A120,FALSE),0)</f>
        <v>0</v>
      </c>
      <c r="HV120" s="314">
        <f>IFERROR(VLOOKUP(HV$1,'PZ 2019'!$C$3:$T$288,$A120,FALSE),0)</f>
        <v>0</v>
      </c>
      <c r="HW120" s="314">
        <f>IFERROR(VLOOKUP(HW$1,'PZ 2019'!$C$3:$T$288,$A120,FALSE),0)</f>
        <v>0</v>
      </c>
      <c r="HX120" s="314">
        <f>IFERROR(VLOOKUP(HX$1,'PZ 2019'!$C$3:$T$288,$A120,FALSE),0)</f>
        <v>0</v>
      </c>
      <c r="HY120" s="314">
        <f>IFERROR(VLOOKUP(HY$1,'PZ 2019'!$C$3:$T$288,$A120,FALSE),0)</f>
        <v>0</v>
      </c>
      <c r="HZ120" s="314">
        <f>IFERROR(VLOOKUP(HZ$1,'PZ 2019'!$C$3:$T$288,$A120,FALSE),0)</f>
        <v>0</v>
      </c>
      <c r="IA120" s="314">
        <f>IFERROR(VLOOKUP(IA$1,'PZ 2019'!$C$3:$T$288,$A120,FALSE),0)</f>
        <v>0</v>
      </c>
      <c r="IB120" s="314">
        <f>IFERROR(VLOOKUP(IB$1,'PZ 2019'!$C$3:$T$288,$A120,FALSE),0)</f>
        <v>0</v>
      </c>
      <c r="IC120" s="314">
        <f>IFERROR(VLOOKUP(IC$1,'PZ 2019'!$C$3:$T$288,$A120,FALSE),0)</f>
        <v>0</v>
      </c>
      <c r="ID120" s="314">
        <f>IFERROR(VLOOKUP(ID$1,'PZ 2019'!$C$3:$T$288,$A120,FALSE),0)</f>
        <v>0</v>
      </c>
      <c r="IE120" s="314">
        <f>IFERROR(VLOOKUP(IE$1,'PZ 2019'!$C$3:$T$288,$A120,FALSE),0)</f>
        <v>0</v>
      </c>
      <c r="IF120" s="314">
        <f>IFERROR(VLOOKUP(IF$1,'PZ 2019'!$C$3:$T$288,$A120,FALSE),0)</f>
        <v>0</v>
      </c>
      <c r="IG120" s="314">
        <f>IFERROR(VLOOKUP(IG$1,'PZ 2019'!$C$3:$T$288,$A120,FALSE),0)</f>
        <v>0</v>
      </c>
      <c r="IH120" s="314">
        <f>IFERROR(VLOOKUP(IH$1,'PZ 2019'!$C$3:$T$288,$A120,FALSE),0)</f>
        <v>0</v>
      </c>
      <c r="II120" s="314">
        <f>IFERROR(VLOOKUP(II$1,'PZ 2019'!$C$3:$T$288,$A120,FALSE),0)</f>
        <v>0</v>
      </c>
      <c r="IJ120" s="314">
        <f>IFERROR(VLOOKUP(IJ$1,'PZ 2019'!$C$3:$T$288,$A120,FALSE),0)</f>
        <v>0</v>
      </c>
      <c r="IK120" s="314">
        <f>IFERROR(VLOOKUP(IK$1,'PZ 2019'!$C$3:$T$288,$A120,FALSE),0)</f>
        <v>0</v>
      </c>
      <c r="IL120" s="314">
        <f>IFERROR(VLOOKUP(IL$1,'PZ 2019'!$C$3:$T$288,$A120,FALSE),0)</f>
        <v>0</v>
      </c>
      <c r="IM120" s="314">
        <f>IFERROR(VLOOKUP(IM$1,'PZ 2019'!$C$3:$T$288,$A120,FALSE),0)</f>
        <v>0</v>
      </c>
      <c r="IN120" s="314">
        <f>IFERROR(VLOOKUP(IN$1,'PZ 2019'!$C$3:$T$288,$A120,FALSE),0)</f>
        <v>0</v>
      </c>
      <c r="IO120" s="314">
        <f>IFERROR(VLOOKUP(IO$1,'PZ 2019'!$C$3:$T$288,$A120,FALSE),0)</f>
        <v>0</v>
      </c>
      <c r="IP120" s="314">
        <f>IFERROR(VLOOKUP(IP$1,'PZ 2019'!$C$3:$T$288,$A120,FALSE),0)</f>
        <v>0</v>
      </c>
      <c r="IQ120" s="314">
        <f>IFERROR(VLOOKUP(IQ$1,'PZ 2019'!$C$3:$T$288,$A120,FALSE),0)</f>
        <v>0</v>
      </c>
      <c r="IR120" s="314">
        <f>IFERROR(VLOOKUP(IR$1,'PZ 2019'!$C$3:$T$288,$A120,FALSE),0)</f>
        <v>0</v>
      </c>
      <c r="IS120" s="314">
        <f>IFERROR(VLOOKUP(IS$1,'PZ 2019'!$C$3:$T$288,$A120,FALSE),0)</f>
        <v>0</v>
      </c>
      <c r="IT120" s="314">
        <f>IFERROR(VLOOKUP(IT$1,'PZ 2019'!$C$3:$T$288,$A120,FALSE),0)</f>
        <v>0</v>
      </c>
      <c r="IU120" s="314">
        <f>IFERROR(VLOOKUP(IU$1,'PZ 2019'!$C$3:$T$288,$A120,FALSE),0)</f>
        <v>0</v>
      </c>
      <c r="IV120" s="314">
        <f>IFERROR(VLOOKUP(IV$1,'PZ 2019'!$C$3:$T$288,$A120,FALSE),0)</f>
        <v>0</v>
      </c>
      <c r="IW120" s="314">
        <f>IFERROR(VLOOKUP(IW$1,'PZ 2019'!$C$3:$T$288,$A120,FALSE),0)</f>
        <v>0</v>
      </c>
      <c r="IX120" s="314">
        <f>IFERROR(VLOOKUP(IX$1,'PZ 2019'!$C$3:$T$288,$A120,FALSE),0)</f>
        <v>0</v>
      </c>
      <c r="IY120" s="314">
        <f>IFERROR(VLOOKUP(IY$1,'PZ 2019'!$C$3:$T$288,$A120,FALSE),0)</f>
        <v>0</v>
      </c>
      <c r="IZ120" s="314">
        <f>IFERROR(VLOOKUP(IZ$1,'PZ 2019'!$C$3:$T$288,$A120,FALSE),0)</f>
        <v>0</v>
      </c>
      <c r="JA120" s="314">
        <f>IFERROR(VLOOKUP(JA$1,'PZ 2019'!$C$3:$T$288,$A120,FALSE),0)</f>
        <v>0</v>
      </c>
      <c r="JB120" s="314">
        <f>IFERROR(VLOOKUP(JB$1,'PZ 2019'!$C$3:$T$288,$A120,FALSE),0)</f>
        <v>0</v>
      </c>
      <c r="JC120" s="314">
        <f>IFERROR(VLOOKUP(JC$1,'PZ 2019'!$C$3:$T$288,$A120,FALSE),0)</f>
        <v>0</v>
      </c>
      <c r="JD120" s="314">
        <f>IFERROR(VLOOKUP(JD$1,'PZ 2019'!$C$3:$T$288,$A120,FALSE),0)</f>
        <v>0</v>
      </c>
      <c r="JE120" s="314">
        <f>IFERROR(VLOOKUP(JE$1,'PZ 2019'!$C$3:$T$288,$A120,FALSE),0)</f>
        <v>0</v>
      </c>
      <c r="JF120" s="314">
        <f>IFERROR(VLOOKUP(JF$1,'PZ 2019'!$C$3:$T$288,$A120,FALSE),0)</f>
        <v>0</v>
      </c>
      <c r="JG120" s="314">
        <f>IFERROR(VLOOKUP(JG$1,'PZ 2019'!$C$3:$T$288,$A120,FALSE),0)</f>
        <v>0</v>
      </c>
      <c r="JH120" s="314">
        <f>IFERROR(VLOOKUP(JH$1,'PZ 2019'!$C$3:$T$288,$A120,FALSE),0)</f>
        <v>0</v>
      </c>
      <c r="JI120" s="314">
        <f t="shared" ref="JI120:JI125" si="593">SUM(C120:JH120)</f>
        <v>6471090.8600000003</v>
      </c>
      <c r="JL120" s="307">
        <f t="shared" ref="JL120:JO125" si="594">SUMIFS($C120:$JH120,$C$5:$JH$5,JL$5)</f>
        <v>0</v>
      </c>
      <c r="JM120" s="307">
        <f t="shared" si="594"/>
        <v>6071090.8600000003</v>
      </c>
      <c r="JN120" s="307">
        <f t="shared" si="594"/>
        <v>400000</v>
      </c>
      <c r="JO120" s="307">
        <f t="shared" si="594"/>
        <v>0</v>
      </c>
      <c r="JP120" s="307">
        <f t="shared" ref="JP120:JP125" si="595">SUM(JL120:JO120)</f>
        <v>6471090.8600000003</v>
      </c>
    </row>
    <row r="121" spans="1:276" s="307" customFormat="1" x14ac:dyDescent="0.25">
      <c r="A121" s="314">
        <v>10</v>
      </c>
      <c r="B121" s="314" t="s">
        <v>1541</v>
      </c>
      <c r="C121" s="314">
        <f>IFERROR(VLOOKUP(C$1,'PZ 2019'!$C$3:$T$288,$A121,FALSE),0)</f>
        <v>0</v>
      </c>
      <c r="D121" s="314">
        <f>IFERROR(VLOOKUP(D$1,'PZ 2019'!$C$3:$T$288,$A121,FALSE),0)</f>
        <v>0</v>
      </c>
      <c r="E121" s="314">
        <f>IFERROR(VLOOKUP(E$1,'PZ 2019'!$C$3:$T$288,$A121,FALSE),0)</f>
        <v>0</v>
      </c>
      <c r="F121" s="314">
        <f>IFERROR(VLOOKUP(F$1,'PZ 2019'!$C$3:$T$288,$A121,FALSE),0)</f>
        <v>0</v>
      </c>
      <c r="G121" s="314">
        <f>IFERROR(VLOOKUP(G$1,'PZ 2019'!$C$3:$T$288,$A121,FALSE),0)</f>
        <v>0</v>
      </c>
      <c r="H121" s="314">
        <f>IFERROR(VLOOKUP(H$1,'PZ 2019'!$C$3:$T$288,$A121,FALSE),0)</f>
        <v>0</v>
      </c>
      <c r="I121" s="314">
        <f>IFERROR(VLOOKUP(I$1,'PZ 2019'!$C$3:$T$288,$A121,FALSE),0)</f>
        <v>0</v>
      </c>
      <c r="J121" s="314">
        <f>IFERROR(VLOOKUP(J$1,'PZ 2019'!$C$3:$T$288,$A121,FALSE),0)</f>
        <v>0</v>
      </c>
      <c r="K121" s="314">
        <f>IFERROR(VLOOKUP(K$1,'PZ 2019'!$C$3:$T$288,$A121,FALSE),0)</f>
        <v>0</v>
      </c>
      <c r="L121" s="314">
        <f>IFERROR(VLOOKUP(L$1,'PZ 2019'!$C$3:$T$288,$A121,FALSE),0)</f>
        <v>0</v>
      </c>
      <c r="M121" s="314">
        <f>IFERROR(VLOOKUP(M$1,'PZ 2019'!$C$3:$T$288,$A121,FALSE),0)</f>
        <v>0</v>
      </c>
      <c r="N121" s="314">
        <f>IFERROR(VLOOKUP(N$1,'PZ 2019'!$C$3:$T$288,$A121,FALSE),0)</f>
        <v>0</v>
      </c>
      <c r="O121" s="314">
        <f>IFERROR(VLOOKUP(O$1,'PZ 2019'!$C$3:$T$288,$A121,FALSE),0)</f>
        <v>0</v>
      </c>
      <c r="P121" s="314">
        <f>IFERROR(VLOOKUP(P$1,'PZ 2019'!$C$3:$T$288,$A121,FALSE),0)</f>
        <v>0</v>
      </c>
      <c r="Q121" s="314">
        <f>IFERROR(VLOOKUP(Q$1,'PZ 2019'!$C$3:$T$288,$A121,FALSE),0)</f>
        <v>0</v>
      </c>
      <c r="R121" s="314">
        <f>IFERROR(VLOOKUP(R$1,'PZ 2019'!$C$3:$T$288,$A121,FALSE),0)</f>
        <v>0</v>
      </c>
      <c r="S121" s="314">
        <f>IFERROR(VLOOKUP(S$1,'PZ 2019'!$C$3:$T$288,$A121,FALSE),0)</f>
        <v>0</v>
      </c>
      <c r="T121" s="314">
        <f>IFERROR(VLOOKUP(T$1,'PZ 2019'!$C$3:$T$288,$A121,FALSE),0)</f>
        <v>0</v>
      </c>
      <c r="U121" s="314">
        <f>IFERROR(VLOOKUP(U$1,'PZ 2019'!$C$3:$T$288,$A121,FALSE),0)</f>
        <v>0</v>
      </c>
      <c r="V121" s="314">
        <f>IFERROR(VLOOKUP(V$1,'PZ 2019'!$C$3:$T$288,$A121,FALSE),0)</f>
        <v>0</v>
      </c>
      <c r="W121" s="314">
        <f>IFERROR(VLOOKUP(W$1,'PZ 2019'!$C$3:$T$288,$A121,FALSE),0)</f>
        <v>0</v>
      </c>
      <c r="X121" s="314">
        <f>IFERROR(VLOOKUP(X$1,'PZ 2019'!$C$3:$T$288,$A121,FALSE),0)</f>
        <v>0</v>
      </c>
      <c r="Y121" s="314">
        <f>IFERROR(VLOOKUP(Y$1,'PZ 2019'!$C$3:$T$288,$A121,FALSE),0)</f>
        <v>0</v>
      </c>
      <c r="Z121" s="314">
        <f>IFERROR(VLOOKUP(Z$1,'PZ 2019'!$C$3:$T$288,$A121,FALSE),0)</f>
        <v>0</v>
      </c>
      <c r="AA121" s="314">
        <f>IFERROR(VLOOKUP(AA$1,'PZ 2019'!$C$3:$T$288,$A121,FALSE),0)</f>
        <v>0</v>
      </c>
      <c r="AB121" s="314">
        <f>IFERROR(VLOOKUP(AB$1,'PZ 2019'!$C$3:$T$288,$A121,FALSE),0)</f>
        <v>0</v>
      </c>
      <c r="AC121" s="314">
        <f>IFERROR(VLOOKUP(AC$1,'PZ 2019'!$C$3:$T$288,$A121,FALSE),0)</f>
        <v>0</v>
      </c>
      <c r="AD121" s="314">
        <f>IFERROR(VLOOKUP(AD$1,'PZ 2019'!$C$3:$T$288,$A121,FALSE),0)</f>
        <v>0</v>
      </c>
      <c r="AE121" s="314">
        <f>IFERROR(VLOOKUP(AE$1,'PZ 2019'!$C$3:$T$288,$A121,FALSE),0)</f>
        <v>0</v>
      </c>
      <c r="AF121" s="314">
        <f>IFERROR(VLOOKUP(AF$1,'PZ 2019'!$C$3:$T$288,$A121,FALSE),0)</f>
        <v>0</v>
      </c>
      <c r="AG121" s="314">
        <f>IFERROR(VLOOKUP(AG$1,'PZ 2019'!$C$3:$T$288,$A121,FALSE),0)</f>
        <v>0</v>
      </c>
      <c r="AH121" s="314">
        <f>IFERROR(VLOOKUP(AH$1,'PZ 2019'!$C$3:$T$288,$A121,FALSE),0)</f>
        <v>0</v>
      </c>
      <c r="AI121" s="314">
        <f>IFERROR(VLOOKUP(AI$1,'PZ 2019'!$C$3:$T$288,$A121,FALSE),0)</f>
        <v>0</v>
      </c>
      <c r="AJ121" s="314">
        <f>IFERROR(VLOOKUP(AJ$1,'PZ 2019'!$C$3:$T$288,$A121,FALSE),0)</f>
        <v>0</v>
      </c>
      <c r="AK121" s="314">
        <f>IFERROR(VLOOKUP(AK$1,'PZ 2019'!$C$3:$T$288,$A121,FALSE),0)</f>
        <v>0</v>
      </c>
      <c r="AL121" s="314">
        <f>IFERROR(VLOOKUP(AL$1,'PZ 2019'!$C$3:$T$288,$A121,FALSE),0)</f>
        <v>0</v>
      </c>
      <c r="AM121" s="314">
        <f>IFERROR(VLOOKUP(AM$1,'PZ 2019'!$C$3:$T$288,$A121,FALSE),0)</f>
        <v>0</v>
      </c>
      <c r="AN121" s="314">
        <f>IFERROR(VLOOKUP(AN$1,'PZ 2019'!$C$3:$T$288,$A121,FALSE),0)</f>
        <v>0</v>
      </c>
      <c r="AO121" s="314">
        <f>IFERROR(VLOOKUP(AO$1,'PZ 2019'!$C$3:$T$288,$A121,FALSE),0)</f>
        <v>0</v>
      </c>
      <c r="AP121" s="314">
        <f>IFERROR(VLOOKUP(AP$1,'PZ 2019'!$C$3:$T$288,$A121,FALSE),0)</f>
        <v>0</v>
      </c>
      <c r="AQ121" s="314">
        <f>IFERROR(VLOOKUP(AQ$1,'PZ 2019'!$C$3:$T$288,$A121,FALSE),0)</f>
        <v>30000</v>
      </c>
      <c r="AR121" s="314">
        <f>IFERROR(VLOOKUP(AR$1,'PZ 2019'!$C$3:$T$288,$A121,FALSE),0)</f>
        <v>90000</v>
      </c>
      <c r="AS121" s="314">
        <f>IFERROR(VLOOKUP(AS$1,'PZ 2019'!$C$3:$T$288,$A121,FALSE),0)</f>
        <v>30000</v>
      </c>
      <c r="AT121" s="314">
        <f>IFERROR(VLOOKUP(AT$1,'PZ 2019'!$C$3:$T$288,$A121,FALSE),0)</f>
        <v>220000</v>
      </c>
      <c r="AU121" s="314">
        <f>IFERROR(VLOOKUP(AU$1,'PZ 2019'!$C$3:$T$288,$A121,FALSE),0)</f>
        <v>132000</v>
      </c>
      <c r="AV121" s="314">
        <f>IFERROR(VLOOKUP(AV$1,'PZ 2019'!$C$3:$T$288,$A121,FALSE),0)</f>
        <v>195000</v>
      </c>
      <c r="AW121" s="314">
        <f>IFERROR(VLOOKUP(AW$1,'PZ 2019'!$C$3:$T$288,$A121,FALSE),0)</f>
        <v>135000</v>
      </c>
      <c r="AX121" s="314">
        <f>IFERROR(VLOOKUP(AX$1,'PZ 2019'!$C$3:$T$288,$A121,FALSE),0)</f>
        <v>0</v>
      </c>
      <c r="AY121" s="314">
        <f>IFERROR(VLOOKUP(AY$1,'PZ 2019'!$C$3:$T$288,$A121,FALSE),0)</f>
        <v>0</v>
      </c>
      <c r="AZ121" s="314">
        <f>IFERROR(VLOOKUP(AZ$1,'PZ 2019'!$C$3:$T$288,$A121,FALSE),0)</f>
        <v>0</v>
      </c>
      <c r="BA121" s="314">
        <f>IFERROR(VLOOKUP(BA$1,'PZ 2019'!$C$3:$T$288,$A121,FALSE),0)</f>
        <v>0</v>
      </c>
      <c r="BB121" s="314">
        <f>IFERROR(VLOOKUP(BB$1,'PZ 2019'!$C$3:$T$288,$A121,FALSE),0)</f>
        <v>0</v>
      </c>
      <c r="BC121" s="314">
        <f>IFERROR(VLOOKUP(BC$1,'PZ 2019'!$C$3:$T$288,$A121,FALSE),0)</f>
        <v>0</v>
      </c>
      <c r="BD121" s="314">
        <f>IFERROR(VLOOKUP(BD$1,'PZ 2019'!$C$3:$T$288,$A121,FALSE),0)</f>
        <v>0</v>
      </c>
      <c r="BE121" s="314">
        <f>IFERROR(VLOOKUP(BE$1,'PZ 2019'!$C$3:$T$288,$A121,FALSE),0)</f>
        <v>0</v>
      </c>
      <c r="BF121" s="314">
        <f>IFERROR(VLOOKUP(BF$1,'PZ 2019'!$C$3:$T$288,$A121,FALSE),0)</f>
        <v>0</v>
      </c>
      <c r="BG121" s="314">
        <f>IFERROR(VLOOKUP(BG$1,'PZ 2019'!$C$3:$T$288,$A121,FALSE),0)</f>
        <v>0</v>
      </c>
      <c r="BH121" s="314">
        <f>IFERROR(VLOOKUP(BH$1,'PZ 2019'!$C$3:$T$288,$A121,FALSE),0)</f>
        <v>0</v>
      </c>
      <c r="BI121" s="314">
        <f>IFERROR(VLOOKUP(BI$1,'PZ 2019'!$C$3:$T$288,$A121,FALSE),0)</f>
        <v>0</v>
      </c>
      <c r="BJ121" s="314">
        <f>IFERROR(VLOOKUP(BJ$1,'PZ 2019'!$C$3:$T$288,$A121,FALSE),0)</f>
        <v>0</v>
      </c>
      <c r="BK121" s="314">
        <f>IFERROR(VLOOKUP(BK$1,'PZ 2019'!$C$3:$T$288,$A121,FALSE),0)</f>
        <v>0</v>
      </c>
      <c r="BL121" s="314">
        <f>IFERROR(VLOOKUP(BL$1,'PZ 2019'!$C$3:$T$288,$A121,FALSE),0)</f>
        <v>0</v>
      </c>
      <c r="BM121" s="314">
        <f>IFERROR(VLOOKUP(BM$1,'PZ 2019'!$C$3:$T$288,$A121,FALSE),0)</f>
        <v>856252</v>
      </c>
      <c r="BN121" s="314">
        <f>IFERROR(VLOOKUP(BN$1,'PZ 2019'!$C$3:$T$288,$A121,FALSE),0)</f>
        <v>0</v>
      </c>
      <c r="BO121" s="314">
        <f>IFERROR(VLOOKUP(BO$1,'PZ 2019'!$C$3:$T$288,$A121,FALSE),0)</f>
        <v>0</v>
      </c>
      <c r="BP121" s="314">
        <f>IFERROR(VLOOKUP(BP$1,'PZ 2019'!$C$3:$T$288,$A121,FALSE),0)</f>
        <v>0</v>
      </c>
      <c r="BQ121" s="314">
        <f>IFERROR(VLOOKUP(BQ$1,'PZ 2019'!$C$3:$T$288,$A121,FALSE),0)</f>
        <v>0</v>
      </c>
      <c r="BR121" s="314">
        <f>IFERROR(VLOOKUP(BR$1,'PZ 2019'!$C$3:$T$288,$A121,FALSE),0)</f>
        <v>0</v>
      </c>
      <c r="BS121" s="314">
        <f>IFERROR(VLOOKUP(BS$1,'PZ 2019'!$C$3:$T$288,$A121,FALSE),0)</f>
        <v>0</v>
      </c>
      <c r="BT121" s="314">
        <f>IFERROR(VLOOKUP(BT$1,'PZ 2019'!$C$3:$T$288,$A121,FALSE),0)</f>
        <v>0</v>
      </c>
      <c r="BU121" s="314">
        <f>IFERROR(VLOOKUP(BU$1,'PZ 2019'!$C$3:$T$288,$A121,FALSE),0)</f>
        <v>0</v>
      </c>
      <c r="BV121" s="314">
        <f>IFERROR(VLOOKUP(BV$1,'PZ 2019'!$C$3:$T$288,$A121,FALSE),0)</f>
        <v>0</v>
      </c>
      <c r="BW121" s="314">
        <f>IFERROR(VLOOKUP(BW$1,'PZ 2019'!$C$3:$T$288,$A121,FALSE),0)</f>
        <v>0</v>
      </c>
      <c r="BX121" s="314">
        <f>IFERROR(VLOOKUP(BX$1,'PZ 2019'!$C$3:$T$288,$A121,FALSE),0)</f>
        <v>0</v>
      </c>
      <c r="BY121" s="314">
        <f>IFERROR(VLOOKUP(BY$1,'PZ 2019'!$C$3:$T$288,$A121,FALSE),0)</f>
        <v>0</v>
      </c>
      <c r="BZ121" s="314">
        <f>IFERROR(VLOOKUP(BZ$1,'PZ 2019'!$C$3:$T$288,$A121,FALSE),0)</f>
        <v>0</v>
      </c>
      <c r="CA121" s="314">
        <f>IFERROR(VLOOKUP(CA$1,'PZ 2019'!$C$3:$T$288,$A121,FALSE),0)</f>
        <v>0</v>
      </c>
      <c r="CB121" s="314">
        <f>IFERROR(VLOOKUP(CB$1,'PZ 2019'!$C$3:$T$288,$A121,FALSE),0)</f>
        <v>0</v>
      </c>
      <c r="CC121" s="314">
        <f>IFERROR(VLOOKUP(CC$1,'PZ 2019'!$C$3:$T$288,$A121,FALSE),0)</f>
        <v>104236</v>
      </c>
      <c r="CD121" s="314">
        <f>IFERROR(VLOOKUP(CD$1,'PZ 2019'!$C$3:$T$288,$A121,FALSE),0)</f>
        <v>26000</v>
      </c>
      <c r="CE121" s="314">
        <f>IFERROR(VLOOKUP(CE$1,'PZ 2019'!$C$3:$T$288,$A121,FALSE),0)</f>
        <v>243056</v>
      </c>
      <c r="CF121" s="314">
        <f>IFERROR(VLOOKUP(CF$1,'PZ 2019'!$C$3:$T$288,$A121,FALSE),0)</f>
        <v>77951</v>
      </c>
      <c r="CG121" s="314">
        <f>IFERROR(VLOOKUP(CG$1,'PZ 2019'!$C$3:$T$288,$A121,FALSE),0)</f>
        <v>123880</v>
      </c>
      <c r="CH121" s="314">
        <f>IFERROR(VLOOKUP(CH$1,'PZ 2019'!$C$3:$T$288,$A121,FALSE),0)</f>
        <v>71641</v>
      </c>
      <c r="CI121" s="314">
        <f>IFERROR(VLOOKUP(CI$1,'PZ 2019'!$C$3:$T$288,$A121,FALSE),0)</f>
        <v>85084</v>
      </c>
      <c r="CJ121" s="314">
        <f>IFERROR(VLOOKUP(CJ$1,'PZ 2019'!$C$3:$T$288,$A121,FALSE),0)</f>
        <v>31241</v>
      </c>
      <c r="CK121" s="314">
        <f>IFERROR(VLOOKUP(CK$1,'PZ 2019'!$C$3:$T$288,$A121,FALSE),0)</f>
        <v>29899</v>
      </c>
      <c r="CL121" s="314">
        <f>IFERROR(VLOOKUP(CL$1,'PZ 2019'!$C$3:$T$288,$A121,FALSE),0)</f>
        <v>54461</v>
      </c>
      <c r="CM121" s="314">
        <f>IFERROR(VLOOKUP(CM$1,'PZ 2019'!$C$3:$T$288,$A121,FALSE),0)</f>
        <v>0</v>
      </c>
      <c r="CN121" s="314">
        <f>IFERROR(VLOOKUP(CN$1,'PZ 2019'!$C$3:$T$288,$A121,FALSE),0)</f>
        <v>0</v>
      </c>
      <c r="CO121" s="314">
        <f>IFERROR(VLOOKUP(CO$1,'PZ 2019'!$C$3:$T$288,$A121,FALSE),0)</f>
        <v>0</v>
      </c>
      <c r="CP121" s="314">
        <f>IFERROR(VLOOKUP(CP$1,'PZ 2019'!$C$3:$T$288,$A121,FALSE),0)</f>
        <v>0</v>
      </c>
      <c r="CQ121" s="314">
        <f>IFERROR(VLOOKUP(CQ$1,'PZ 2019'!$C$3:$T$288,$A121,FALSE),0)</f>
        <v>0</v>
      </c>
      <c r="CR121" s="314">
        <f>IFERROR(VLOOKUP(CR$1,'PZ 2019'!$C$3:$T$288,$A121,FALSE),0)</f>
        <v>0</v>
      </c>
      <c r="CS121" s="314">
        <f>IFERROR(VLOOKUP(CS$1,'PZ 2019'!$C$3:$T$288,$A121,FALSE),0)</f>
        <v>0</v>
      </c>
      <c r="CT121" s="314">
        <f>IFERROR(VLOOKUP(CT$1,'PZ 2019'!$C$3:$T$288,$A121,FALSE),0)</f>
        <v>0</v>
      </c>
      <c r="CU121" s="314">
        <f>IFERROR(VLOOKUP(CU$1,'PZ 2019'!$C$3:$T$288,$A121,FALSE),0)</f>
        <v>0</v>
      </c>
      <c r="CV121" s="314">
        <f>IFERROR(VLOOKUP(CV$1,'PZ 2019'!$C$3:$T$288,$A121,FALSE),0)</f>
        <v>0</v>
      </c>
      <c r="CW121" s="314">
        <f>IFERROR(VLOOKUP(CW$1,'PZ 2019'!$C$3:$T$288,$A121,FALSE),0)</f>
        <v>0</v>
      </c>
      <c r="CX121" s="314">
        <f>IFERROR(VLOOKUP(CX$1,'PZ 2019'!$C$3:$T$288,$A121,FALSE),0)</f>
        <v>0</v>
      </c>
      <c r="CY121" s="314">
        <f>IFERROR(VLOOKUP(CY$1,'PZ 2019'!$C$3:$T$288,$A121,FALSE),0)</f>
        <v>0</v>
      </c>
      <c r="CZ121" s="314">
        <f>IFERROR(VLOOKUP(CZ$1,'PZ 2019'!$C$3:$T$288,$A121,FALSE),0)</f>
        <v>0</v>
      </c>
      <c r="DA121" s="314">
        <f>IFERROR(VLOOKUP(DA$1,'PZ 2019'!$C$3:$T$288,$A121,FALSE),0)</f>
        <v>0</v>
      </c>
      <c r="DB121" s="314">
        <f>IFERROR(VLOOKUP(DB$1,'PZ 2019'!$C$3:$T$288,$A121,FALSE),0)</f>
        <v>0</v>
      </c>
      <c r="DC121" s="314">
        <f>IFERROR(VLOOKUP(DC$1,'PZ 2019'!$C$3:$T$288,$A121,FALSE),0)</f>
        <v>0</v>
      </c>
      <c r="DD121" s="314">
        <f>IFERROR(VLOOKUP(DD$1,'PZ 2019'!$C$3:$T$288,$A121,FALSE),0)</f>
        <v>173277</v>
      </c>
      <c r="DE121" s="314">
        <f>IFERROR(VLOOKUP(DE$1,'PZ 2019'!$C$3:$T$288,$A121,FALSE),0)</f>
        <v>184627</v>
      </c>
      <c r="DF121" s="314">
        <f>IFERROR(VLOOKUP(DF$1,'PZ 2019'!$C$3:$T$288,$A121,FALSE),0)</f>
        <v>193000</v>
      </c>
      <c r="DG121" s="314">
        <f>IFERROR(VLOOKUP(DG$1,'PZ 2019'!$C$3:$T$288,$A121,FALSE),0)</f>
        <v>0</v>
      </c>
      <c r="DH121" s="314">
        <f>IFERROR(VLOOKUP(DH$1,'PZ 2019'!$C$3:$T$288,$A121,FALSE),0)</f>
        <v>0</v>
      </c>
      <c r="DI121" s="314">
        <f>IFERROR(VLOOKUP(DI$1,'PZ 2019'!$C$3:$T$288,$A121,FALSE),0)</f>
        <v>0</v>
      </c>
      <c r="DJ121" s="314">
        <f>IFERROR(VLOOKUP(DJ$1,'PZ 2019'!$C$3:$T$288,$A121,FALSE),0)</f>
        <v>0</v>
      </c>
      <c r="DK121" s="314">
        <f>IFERROR(VLOOKUP(DK$1,'PZ 2019'!$C$3:$T$288,$A121,FALSE),0)</f>
        <v>0</v>
      </c>
      <c r="DL121" s="314">
        <f>IFERROR(VLOOKUP(DL$1,'PZ 2019'!$C$3:$T$288,$A121,FALSE),0)</f>
        <v>0</v>
      </c>
      <c r="DM121" s="314">
        <f>IFERROR(VLOOKUP(DM$1,'PZ 2019'!$C$3:$T$288,$A121,FALSE),0)</f>
        <v>0</v>
      </c>
      <c r="DN121" s="314">
        <f>IFERROR(VLOOKUP(DN$1,'PZ 2019'!$C$3:$T$288,$A121,FALSE),0)</f>
        <v>0</v>
      </c>
      <c r="DO121" s="314">
        <f>IFERROR(VLOOKUP(DO$1,'PZ 2019'!$C$3:$T$288,$A121,FALSE),0)</f>
        <v>0</v>
      </c>
      <c r="DP121" s="314">
        <f>IFERROR(VLOOKUP(DP$1,'PZ 2019'!$C$3:$T$288,$A121,FALSE),0)</f>
        <v>0</v>
      </c>
      <c r="DQ121" s="314">
        <f>IFERROR(VLOOKUP(DQ$1,'PZ 2019'!$C$3:$T$288,$A121,FALSE),0)</f>
        <v>0</v>
      </c>
      <c r="DR121" s="314">
        <f>IFERROR(VLOOKUP(DR$1,'PZ 2019'!$C$3:$T$288,$A121,FALSE),0)</f>
        <v>0</v>
      </c>
      <c r="DS121" s="314">
        <f>IFERROR(VLOOKUP(DS$1,'PZ 2019'!$C$3:$T$288,$A121,FALSE),0)</f>
        <v>0</v>
      </c>
      <c r="DT121" s="314">
        <f>IFERROR(VLOOKUP(DT$1,'PZ 2019'!$C$3:$T$288,$A121,FALSE),0)</f>
        <v>0</v>
      </c>
      <c r="DU121" s="314">
        <f>IFERROR(VLOOKUP(DU$1,'PZ 2019'!$C$3:$T$288,$A121,FALSE),0)</f>
        <v>0</v>
      </c>
      <c r="DV121" s="314">
        <f>IFERROR(VLOOKUP(DV$1,'PZ 2019'!$C$3:$T$288,$A121,FALSE),0)</f>
        <v>0</v>
      </c>
      <c r="DW121" s="314">
        <f>IFERROR(VLOOKUP(DW$1,'PZ 2019'!$C$3:$T$288,$A121,FALSE),0)</f>
        <v>0</v>
      </c>
      <c r="DX121" s="314">
        <f>IFERROR(VLOOKUP(DX$1,'PZ 2019'!$C$3:$T$288,$A121,FALSE),0)</f>
        <v>0</v>
      </c>
      <c r="DY121" s="314">
        <f>IFERROR(VLOOKUP(DY$1,'PZ 2019'!$C$3:$T$288,$A121,FALSE),0)</f>
        <v>0</v>
      </c>
      <c r="DZ121" s="314">
        <f>IFERROR(VLOOKUP(DZ$1,'PZ 2019'!$C$3:$T$288,$A121,FALSE),0)</f>
        <v>0</v>
      </c>
      <c r="EA121" s="314">
        <f>IFERROR(VLOOKUP(EA$1,'PZ 2019'!$C$3:$T$288,$A121,FALSE),0)</f>
        <v>0</v>
      </c>
      <c r="EB121" s="314">
        <f>IFERROR(VLOOKUP(EB$1,'PZ 2019'!$C$3:$T$288,$A121,FALSE),0)</f>
        <v>0</v>
      </c>
      <c r="EC121" s="314">
        <f>IFERROR(VLOOKUP(EC$1,'PZ 2019'!$C$3:$T$288,$A121,FALSE),0)</f>
        <v>0</v>
      </c>
      <c r="ED121" s="314">
        <f>IFERROR(VLOOKUP(ED$1,'PZ 2019'!$C$3:$T$288,$A121,FALSE),0)</f>
        <v>0</v>
      </c>
      <c r="EE121" s="314">
        <f>IFERROR(VLOOKUP(EE$1,'PZ 2019'!$C$3:$T$288,$A121,FALSE),0)</f>
        <v>0</v>
      </c>
      <c r="EF121" s="314">
        <f>IFERROR(VLOOKUP(EF$1,'PZ 2019'!$C$3:$T$288,$A121,FALSE),0)</f>
        <v>0</v>
      </c>
      <c r="EG121" s="314">
        <f>IFERROR(VLOOKUP(EG$1,'PZ 2019'!$C$3:$T$288,$A121,FALSE),0)</f>
        <v>0</v>
      </c>
      <c r="EH121" s="314">
        <f>IFERROR(VLOOKUP(EH$1,'PZ 2019'!$C$3:$T$288,$A121,FALSE),0)</f>
        <v>0</v>
      </c>
      <c r="EI121" s="314">
        <f>IFERROR(VLOOKUP(EI$1,'PZ 2019'!$C$3:$T$288,$A121,FALSE),0)</f>
        <v>0</v>
      </c>
      <c r="EJ121" s="314">
        <f>IFERROR(VLOOKUP(EJ$1,'PZ 2019'!$C$3:$T$288,$A121,FALSE),0)</f>
        <v>0</v>
      </c>
      <c r="EK121" s="314">
        <f>IFERROR(VLOOKUP(EK$1,'PZ 2019'!$C$3:$T$288,$A121,FALSE),0)</f>
        <v>0</v>
      </c>
      <c r="EL121" s="314">
        <f>IFERROR(VLOOKUP(EL$1,'PZ 2019'!$C$3:$T$288,$A121,FALSE),0)</f>
        <v>0</v>
      </c>
      <c r="EM121" s="314">
        <f>IFERROR(VLOOKUP(EM$1,'PZ 2019'!$C$3:$T$288,$A121,FALSE),0)</f>
        <v>0</v>
      </c>
      <c r="EN121" s="314">
        <f>IFERROR(VLOOKUP(EN$1,'PZ 2019'!$C$3:$T$288,$A121,FALSE),0)</f>
        <v>0</v>
      </c>
      <c r="EO121" s="314">
        <f>IFERROR(VLOOKUP(EO$1,'PZ 2019'!$C$3:$T$288,$A121,FALSE),0)</f>
        <v>0</v>
      </c>
      <c r="EP121" s="314">
        <f>IFERROR(VLOOKUP(EP$1,'PZ 2019'!$C$3:$T$288,$A121,FALSE),0)</f>
        <v>0</v>
      </c>
      <c r="EQ121" s="314">
        <f>IFERROR(VLOOKUP(EQ$1,'PZ 2019'!$C$3:$T$288,$A121,FALSE),0)</f>
        <v>0</v>
      </c>
      <c r="ER121" s="314">
        <f>IFERROR(VLOOKUP(ER$1,'PZ 2019'!$C$3:$T$288,$A121,FALSE),0)</f>
        <v>0</v>
      </c>
      <c r="ES121" s="314">
        <f>IFERROR(VLOOKUP(ES$1,'PZ 2019'!$C$3:$T$288,$A121,FALSE),0)</f>
        <v>0</v>
      </c>
      <c r="ET121" s="314">
        <f>IFERROR(VLOOKUP(ET$1,'PZ 2019'!$C$3:$T$288,$A121,FALSE),0)</f>
        <v>0</v>
      </c>
      <c r="EU121" s="314">
        <f>IFERROR(VLOOKUP(EU$1,'PZ 2019'!$C$3:$T$288,$A121,FALSE),0)</f>
        <v>0</v>
      </c>
      <c r="EV121" s="314">
        <f>IFERROR(VLOOKUP(EV$1,'PZ 2019'!$C$3:$T$288,$A121,FALSE),0)</f>
        <v>0</v>
      </c>
      <c r="EW121" s="314">
        <f>IFERROR(VLOOKUP(EW$1,'PZ 2019'!$C$3:$T$288,$A121,FALSE),0)</f>
        <v>0</v>
      </c>
      <c r="EX121" s="314">
        <f>IFERROR(VLOOKUP(EX$1,'PZ 2019'!$C$3:$T$288,$A121,FALSE),0)</f>
        <v>0</v>
      </c>
      <c r="EY121" s="314">
        <f>IFERROR(VLOOKUP(EY$1,'PZ 2019'!$C$3:$T$288,$A121,FALSE),0)</f>
        <v>0</v>
      </c>
      <c r="EZ121" s="314">
        <f>IFERROR(VLOOKUP(EZ$1,'PZ 2019'!$C$3:$T$288,$A121,FALSE),0)</f>
        <v>0</v>
      </c>
      <c r="FA121" s="314">
        <f>IFERROR(VLOOKUP(FA$1,'PZ 2019'!$C$3:$T$288,$A121,FALSE),0)</f>
        <v>0</v>
      </c>
      <c r="FB121" s="314">
        <f>IFERROR(VLOOKUP(FB$1,'PZ 2019'!$C$3:$T$288,$A121,FALSE),0)</f>
        <v>0</v>
      </c>
      <c r="FC121" s="314">
        <f>IFERROR(VLOOKUP(FC$1,'PZ 2019'!$C$3:$T$288,$A121,FALSE),0)</f>
        <v>0</v>
      </c>
      <c r="FD121" s="314">
        <f>IFERROR(VLOOKUP(FD$1,'PZ 2019'!$C$3:$T$288,$A121,FALSE),0)</f>
        <v>0</v>
      </c>
      <c r="FE121" s="314">
        <f>IFERROR(VLOOKUP(FE$1,'PZ 2019'!$C$3:$T$288,$A121,FALSE),0)</f>
        <v>0</v>
      </c>
      <c r="FF121" s="314">
        <f>IFERROR(VLOOKUP(FF$1,'PZ 2019'!$C$3:$T$288,$A121,FALSE),0)</f>
        <v>0</v>
      </c>
      <c r="FG121" s="314">
        <f>IFERROR(VLOOKUP(FG$1,'PZ 2019'!$C$3:$T$288,$A121,FALSE),0)</f>
        <v>0</v>
      </c>
      <c r="FH121" s="314">
        <f>IFERROR(VLOOKUP(FH$1,'PZ 2019'!$C$3:$T$288,$A121,FALSE),0)</f>
        <v>0</v>
      </c>
      <c r="FI121" s="314">
        <f>IFERROR(VLOOKUP(FI$1,'PZ 2019'!$C$3:$T$288,$A121,FALSE),0)</f>
        <v>0</v>
      </c>
      <c r="FJ121" s="314">
        <f>IFERROR(VLOOKUP(FJ$1,'PZ 2019'!$C$3:$T$288,$A121,FALSE),0)</f>
        <v>0</v>
      </c>
      <c r="FK121" s="314">
        <f>IFERROR(VLOOKUP(FK$1,'PZ 2019'!$C$3:$T$288,$A121,FALSE),0)</f>
        <v>0</v>
      </c>
      <c r="FL121" s="314">
        <f>IFERROR(VLOOKUP(FL$1,'PZ 2019'!$C$3:$T$288,$A121,FALSE),0)</f>
        <v>0</v>
      </c>
      <c r="FM121" s="314">
        <f>IFERROR(VLOOKUP(FM$1,'PZ 2019'!$C$3:$T$288,$A121,FALSE),0)</f>
        <v>0</v>
      </c>
      <c r="FN121" s="314">
        <f>IFERROR(VLOOKUP(FN$1,'PZ 2019'!$C$3:$T$288,$A121,FALSE),0)</f>
        <v>0</v>
      </c>
      <c r="FO121" s="314">
        <f>IFERROR(VLOOKUP(FO$1,'PZ 2019'!$C$3:$T$288,$A121,FALSE),0)</f>
        <v>0</v>
      </c>
      <c r="FP121" s="314">
        <f>IFERROR(VLOOKUP(FP$1,'PZ 2019'!$C$3:$T$288,$A121,FALSE),0)</f>
        <v>0</v>
      </c>
      <c r="FQ121" s="314">
        <f>IFERROR(VLOOKUP(FQ$1,'PZ 2019'!$C$3:$T$288,$A121,FALSE),0)</f>
        <v>0</v>
      </c>
      <c r="FR121" s="314">
        <f>IFERROR(VLOOKUP(FR$1,'PZ 2019'!$C$3:$T$288,$A121,FALSE),0)</f>
        <v>0</v>
      </c>
      <c r="FS121" s="314">
        <f>IFERROR(VLOOKUP(FS$1,'PZ 2019'!$C$3:$T$288,$A121,FALSE),0)</f>
        <v>0</v>
      </c>
      <c r="FT121" s="314">
        <f>IFERROR(VLOOKUP(FT$1,'PZ 2019'!$C$3:$T$288,$A121,FALSE),0)</f>
        <v>0</v>
      </c>
      <c r="FU121" s="314">
        <f>IFERROR(VLOOKUP(FU$1,'PZ 2019'!$C$3:$T$288,$A121,FALSE),0)</f>
        <v>0</v>
      </c>
      <c r="FV121" s="314">
        <f>IFERROR(VLOOKUP(FV$1,'PZ 2019'!$C$3:$T$288,$A121,FALSE),0)</f>
        <v>0</v>
      </c>
      <c r="FW121" s="314">
        <f>IFERROR(VLOOKUP(FW$1,'PZ 2019'!$C$3:$T$288,$A121,FALSE),0)</f>
        <v>0</v>
      </c>
      <c r="FX121" s="314">
        <f>IFERROR(VLOOKUP(FX$1,'PZ 2019'!$C$3:$T$288,$A121,FALSE),0)</f>
        <v>0</v>
      </c>
      <c r="FY121" s="314">
        <f>IFERROR(VLOOKUP(FY$1,'PZ 2019'!$C$3:$T$288,$A121,FALSE),0)</f>
        <v>0</v>
      </c>
      <c r="FZ121" s="314">
        <f>IFERROR(VLOOKUP(FZ$1,'PZ 2019'!$C$3:$T$288,$A121,FALSE),0)</f>
        <v>0</v>
      </c>
      <c r="GA121" s="314">
        <f>IFERROR(VLOOKUP(GA$1,'PZ 2019'!$C$3:$T$288,$A121,FALSE),0)</f>
        <v>0</v>
      </c>
      <c r="GB121" s="314">
        <f>IFERROR(VLOOKUP(GB$1,'PZ 2019'!$C$3:$T$288,$A121,FALSE),0)</f>
        <v>0</v>
      </c>
      <c r="GC121" s="314">
        <f>IFERROR(VLOOKUP(GC$1,'PZ 2019'!$C$3:$T$288,$A121,FALSE),0)</f>
        <v>0</v>
      </c>
      <c r="GD121" s="314">
        <f>IFERROR(VLOOKUP(GD$1,'PZ 2019'!$C$3:$T$288,$A121,FALSE),0)</f>
        <v>0</v>
      </c>
      <c r="GE121" s="314">
        <f>IFERROR(VLOOKUP(GE$1,'PZ 2019'!$C$3:$T$288,$A121,FALSE),0)</f>
        <v>0</v>
      </c>
      <c r="GF121" s="314">
        <f>IFERROR(VLOOKUP(GF$1,'PZ 2019'!$C$3:$T$288,$A121,FALSE),0)</f>
        <v>0</v>
      </c>
      <c r="GG121" s="314">
        <f>IFERROR(VLOOKUP(GG$1,'PZ 2019'!$C$3:$T$288,$A121,FALSE),0)</f>
        <v>0</v>
      </c>
      <c r="GH121" s="314">
        <f>IFERROR(VLOOKUP(GH$1,'PZ 2019'!$C$3:$T$288,$A121,FALSE),0)</f>
        <v>0</v>
      </c>
      <c r="GI121" s="314">
        <f>IFERROR(VLOOKUP(GI$1,'PZ 2019'!$C$3:$T$288,$A121,FALSE),0)</f>
        <v>0</v>
      </c>
      <c r="GJ121" s="314">
        <f>IFERROR(VLOOKUP(GJ$1,'PZ 2019'!$C$3:$T$288,$A121,FALSE),0)</f>
        <v>0</v>
      </c>
      <c r="GK121" s="314">
        <f>IFERROR(VLOOKUP(GK$1,'PZ 2019'!$C$3:$T$288,$A121,FALSE),0)</f>
        <v>472000</v>
      </c>
      <c r="GL121" s="314">
        <f>IFERROR(VLOOKUP(GL$1,'PZ 2019'!$C$3:$T$288,$A121,FALSE),0)</f>
        <v>0</v>
      </c>
      <c r="GM121" s="314">
        <f>IFERROR(VLOOKUP(GM$1,'PZ 2019'!$C$3:$T$288,$A121,FALSE),0)</f>
        <v>0</v>
      </c>
      <c r="GN121" s="314">
        <f>IFERROR(VLOOKUP(GN$1,'PZ 2019'!$C$3:$T$288,$A121,FALSE),0)</f>
        <v>0</v>
      </c>
      <c r="GO121" s="314">
        <f>IFERROR(VLOOKUP(GO$1,'PZ 2019'!$C$3:$T$288,$A121,FALSE),0)</f>
        <v>0</v>
      </c>
      <c r="GP121" s="314">
        <f>IFERROR(VLOOKUP(GP$1,'PZ 2019'!$C$3:$T$288,$A121,FALSE),0)</f>
        <v>0</v>
      </c>
      <c r="GQ121" s="314">
        <f>IFERROR(VLOOKUP(GQ$1,'PZ 2019'!$C$3:$T$288,$A121,FALSE),0)</f>
        <v>0</v>
      </c>
      <c r="GR121" s="314">
        <f>IFERROR(VLOOKUP(GR$1,'PZ 2019'!$C$3:$T$288,$A121,FALSE),0)</f>
        <v>0</v>
      </c>
      <c r="GS121" s="314">
        <f>IFERROR(VLOOKUP(GS$1,'PZ 2019'!$C$3:$T$288,$A121,FALSE),0)</f>
        <v>0</v>
      </c>
      <c r="GT121" s="314">
        <f>IFERROR(VLOOKUP(GT$1,'PZ 2019'!$C$3:$T$288,$A121,FALSE),0)</f>
        <v>0</v>
      </c>
      <c r="GU121" s="314">
        <f>IFERROR(VLOOKUP(GU$1,'PZ 2019'!$C$3:$T$288,$A121,FALSE),0)</f>
        <v>0</v>
      </c>
      <c r="GV121" s="314">
        <f>IFERROR(VLOOKUP(GV$1,'PZ 2019'!$C$3:$T$288,$A121,FALSE),0)</f>
        <v>0</v>
      </c>
      <c r="GW121" s="314">
        <f>IFERROR(VLOOKUP(GW$1,'PZ 2019'!$C$3:$T$288,$A121,FALSE),0)</f>
        <v>0</v>
      </c>
      <c r="GX121" s="314">
        <f>IFERROR(VLOOKUP(GX$1,'PZ 2019'!$C$3:$T$288,$A121,FALSE),0)</f>
        <v>0</v>
      </c>
      <c r="GY121" s="314">
        <f>IFERROR(VLOOKUP(GY$1,'PZ 2019'!$C$3:$T$288,$A121,FALSE),0)</f>
        <v>0</v>
      </c>
      <c r="GZ121" s="314">
        <f>IFERROR(VLOOKUP(GZ$1,'PZ 2019'!$C$3:$T$288,$A121,FALSE),0)</f>
        <v>0</v>
      </c>
      <c r="HA121" s="314">
        <f>IFERROR(VLOOKUP(HA$1,'PZ 2019'!$C$3:$T$288,$A121,FALSE),0)</f>
        <v>0</v>
      </c>
      <c r="HB121" s="314">
        <f>IFERROR(VLOOKUP(HB$1,'PZ 2019'!$C$3:$T$288,$A121,FALSE),0)</f>
        <v>0</v>
      </c>
      <c r="HC121" s="314">
        <f>IFERROR(VLOOKUP(HC$1,'PZ 2019'!$C$3:$T$288,$A121,FALSE),0)</f>
        <v>0</v>
      </c>
      <c r="HD121" s="314">
        <f>IFERROR(VLOOKUP(HD$1,'PZ 2019'!$C$3:$T$288,$A121,FALSE),0)</f>
        <v>0</v>
      </c>
      <c r="HE121" s="314">
        <f>IFERROR(VLOOKUP(HE$1,'PZ 2019'!$C$3:$T$288,$A121,FALSE),0)</f>
        <v>0</v>
      </c>
      <c r="HF121" s="314">
        <f>IFERROR(VLOOKUP(HF$1,'PZ 2019'!$C$3:$T$288,$A121,FALSE),0)</f>
        <v>0</v>
      </c>
      <c r="HG121" s="314">
        <f>IFERROR(VLOOKUP(HG$1,'PZ 2019'!$C$3:$T$288,$A121,FALSE),0)</f>
        <v>0</v>
      </c>
      <c r="HH121" s="314">
        <f>IFERROR(VLOOKUP(HH$1,'PZ 2019'!$C$3:$T$288,$A121,FALSE),0)</f>
        <v>0</v>
      </c>
      <c r="HI121" s="314">
        <f>IFERROR(VLOOKUP(HI$1,'PZ 2019'!$C$3:$T$288,$A121,FALSE),0)</f>
        <v>0</v>
      </c>
      <c r="HJ121" s="314">
        <f>IFERROR(VLOOKUP(HJ$1,'PZ 2019'!$C$3:$T$288,$A121,FALSE),0)</f>
        <v>0</v>
      </c>
      <c r="HK121" s="314">
        <f>IFERROR(VLOOKUP(HK$1,'PZ 2019'!$C$3:$T$288,$A121,FALSE),0)</f>
        <v>0</v>
      </c>
      <c r="HL121" s="314">
        <f>IFERROR(VLOOKUP(HL$1,'PZ 2019'!$C$3:$T$288,$A121,FALSE),0)</f>
        <v>0</v>
      </c>
      <c r="HM121" s="314">
        <f>IFERROR(VLOOKUP(HM$1,'PZ 2019'!$C$3:$T$288,$A121,FALSE),0)</f>
        <v>0</v>
      </c>
      <c r="HN121" s="314">
        <f>IFERROR(VLOOKUP(HN$1,'PZ 2019'!$C$3:$T$288,$A121,FALSE),0)</f>
        <v>0</v>
      </c>
      <c r="HO121" s="314">
        <f>IFERROR(VLOOKUP(HO$1,'PZ 2019'!$C$3:$T$288,$A121,FALSE),0)</f>
        <v>0</v>
      </c>
      <c r="HP121" s="314">
        <f>IFERROR(VLOOKUP(HP$1,'PZ 2019'!$C$3:$T$288,$A121,FALSE),0)</f>
        <v>0</v>
      </c>
      <c r="HQ121" s="314">
        <f>IFERROR(VLOOKUP(HQ$1,'PZ 2019'!$C$3:$T$288,$A121,FALSE),0)</f>
        <v>0</v>
      </c>
      <c r="HR121" s="314">
        <f>IFERROR(VLOOKUP(HR$1,'PZ 2019'!$C$3:$T$288,$A121,FALSE),0)</f>
        <v>0</v>
      </c>
      <c r="HS121" s="314">
        <f>IFERROR(VLOOKUP(HS$1,'PZ 2019'!$C$3:$T$288,$A121,FALSE),0)</f>
        <v>0</v>
      </c>
      <c r="HT121" s="314">
        <f>IFERROR(VLOOKUP(HT$1,'PZ 2019'!$C$3:$T$288,$A121,FALSE),0)</f>
        <v>0</v>
      </c>
      <c r="HU121" s="314">
        <f>IFERROR(VLOOKUP(HU$1,'PZ 2019'!$C$3:$T$288,$A121,FALSE),0)</f>
        <v>0</v>
      </c>
      <c r="HV121" s="314">
        <f>IFERROR(VLOOKUP(HV$1,'PZ 2019'!$C$3:$T$288,$A121,FALSE),0)</f>
        <v>0</v>
      </c>
      <c r="HW121" s="314">
        <f>IFERROR(VLOOKUP(HW$1,'PZ 2019'!$C$3:$T$288,$A121,FALSE),0)</f>
        <v>0</v>
      </c>
      <c r="HX121" s="314">
        <f>IFERROR(VLOOKUP(HX$1,'PZ 2019'!$C$3:$T$288,$A121,FALSE),0)</f>
        <v>0</v>
      </c>
      <c r="HY121" s="314">
        <f>IFERROR(VLOOKUP(HY$1,'PZ 2019'!$C$3:$T$288,$A121,FALSE),0)</f>
        <v>0</v>
      </c>
      <c r="HZ121" s="314">
        <f>IFERROR(VLOOKUP(HZ$1,'PZ 2019'!$C$3:$T$288,$A121,FALSE),0)</f>
        <v>0</v>
      </c>
      <c r="IA121" s="314">
        <f>IFERROR(VLOOKUP(IA$1,'PZ 2019'!$C$3:$T$288,$A121,FALSE),0)</f>
        <v>0</v>
      </c>
      <c r="IB121" s="314">
        <f>IFERROR(VLOOKUP(IB$1,'PZ 2019'!$C$3:$T$288,$A121,FALSE),0)</f>
        <v>0</v>
      </c>
      <c r="IC121" s="314">
        <f>IFERROR(VLOOKUP(IC$1,'PZ 2019'!$C$3:$T$288,$A121,FALSE),0)</f>
        <v>0</v>
      </c>
      <c r="ID121" s="314">
        <f>IFERROR(VLOOKUP(ID$1,'PZ 2019'!$C$3:$T$288,$A121,FALSE),0)</f>
        <v>0</v>
      </c>
      <c r="IE121" s="314">
        <f>IFERROR(VLOOKUP(IE$1,'PZ 2019'!$C$3:$T$288,$A121,FALSE),0)</f>
        <v>0</v>
      </c>
      <c r="IF121" s="314">
        <f>IFERROR(VLOOKUP(IF$1,'PZ 2019'!$C$3:$T$288,$A121,FALSE),0)</f>
        <v>0</v>
      </c>
      <c r="IG121" s="314">
        <f>IFERROR(VLOOKUP(IG$1,'PZ 2019'!$C$3:$T$288,$A121,FALSE),0)</f>
        <v>0</v>
      </c>
      <c r="IH121" s="314">
        <f>IFERROR(VLOOKUP(IH$1,'PZ 2019'!$C$3:$T$288,$A121,FALSE),0)</f>
        <v>228390</v>
      </c>
      <c r="II121" s="314">
        <f>IFERROR(VLOOKUP(II$1,'PZ 2019'!$C$3:$T$288,$A121,FALSE),0)</f>
        <v>1213478</v>
      </c>
      <c r="IJ121" s="314">
        <f>IFERROR(VLOOKUP(IJ$1,'PZ 2019'!$C$3:$T$288,$A121,FALSE),0)</f>
        <v>112716</v>
      </c>
      <c r="IK121" s="314">
        <f>IFERROR(VLOOKUP(IK$1,'PZ 2019'!$C$3:$T$288,$A121,FALSE),0)</f>
        <v>202466</v>
      </c>
      <c r="IL121" s="314">
        <f>IFERROR(VLOOKUP(IL$1,'PZ 2019'!$C$3:$T$288,$A121,FALSE),0)</f>
        <v>0</v>
      </c>
      <c r="IM121" s="314">
        <f>IFERROR(VLOOKUP(IM$1,'PZ 2019'!$C$3:$T$288,$A121,FALSE),0)</f>
        <v>0</v>
      </c>
      <c r="IN121" s="314">
        <f>IFERROR(VLOOKUP(IN$1,'PZ 2019'!$C$3:$T$288,$A121,FALSE),0)</f>
        <v>0</v>
      </c>
      <c r="IO121" s="314">
        <f>IFERROR(VLOOKUP(IO$1,'PZ 2019'!$C$3:$T$288,$A121,FALSE),0)</f>
        <v>0</v>
      </c>
      <c r="IP121" s="314">
        <f>IFERROR(VLOOKUP(IP$1,'PZ 2019'!$C$3:$T$288,$A121,FALSE),0)</f>
        <v>0</v>
      </c>
      <c r="IQ121" s="314">
        <f>IFERROR(VLOOKUP(IQ$1,'PZ 2019'!$C$3:$T$288,$A121,FALSE),0)</f>
        <v>0</v>
      </c>
      <c r="IR121" s="314">
        <f>IFERROR(VLOOKUP(IR$1,'PZ 2019'!$C$3:$T$288,$A121,FALSE),0)</f>
        <v>0</v>
      </c>
      <c r="IS121" s="314">
        <f>IFERROR(VLOOKUP(IS$1,'PZ 2019'!$C$3:$T$288,$A121,FALSE),0)</f>
        <v>0</v>
      </c>
      <c r="IT121" s="314">
        <f>IFERROR(VLOOKUP(IT$1,'PZ 2019'!$C$3:$T$288,$A121,FALSE),0)</f>
        <v>0</v>
      </c>
      <c r="IU121" s="314">
        <f>IFERROR(VLOOKUP(IU$1,'PZ 2019'!$C$3:$T$288,$A121,FALSE),0)</f>
        <v>0</v>
      </c>
      <c r="IV121" s="314">
        <f>IFERROR(VLOOKUP(IV$1,'PZ 2019'!$C$3:$T$288,$A121,FALSE),0)</f>
        <v>0</v>
      </c>
      <c r="IW121" s="314">
        <f>IFERROR(VLOOKUP(IW$1,'PZ 2019'!$C$3:$T$288,$A121,FALSE),0)</f>
        <v>0</v>
      </c>
      <c r="IX121" s="314">
        <f>IFERROR(VLOOKUP(IX$1,'PZ 2019'!$C$3:$T$288,$A121,FALSE),0)</f>
        <v>0</v>
      </c>
      <c r="IY121" s="314">
        <f>IFERROR(VLOOKUP(IY$1,'PZ 2019'!$C$3:$T$288,$A121,FALSE),0)</f>
        <v>0</v>
      </c>
      <c r="IZ121" s="314">
        <f>IFERROR(VLOOKUP(IZ$1,'PZ 2019'!$C$3:$T$288,$A121,FALSE),0)</f>
        <v>0</v>
      </c>
      <c r="JA121" s="314">
        <f>IFERROR(VLOOKUP(JA$1,'PZ 2019'!$C$3:$T$288,$A121,FALSE),0)</f>
        <v>0</v>
      </c>
      <c r="JB121" s="314">
        <f>IFERROR(VLOOKUP(JB$1,'PZ 2019'!$C$3:$T$288,$A121,FALSE),0)</f>
        <v>0</v>
      </c>
      <c r="JC121" s="314">
        <f>IFERROR(VLOOKUP(JC$1,'PZ 2019'!$C$3:$T$288,$A121,FALSE),0)</f>
        <v>0</v>
      </c>
      <c r="JD121" s="314">
        <f>IFERROR(VLOOKUP(JD$1,'PZ 2019'!$C$3:$T$288,$A121,FALSE),0)</f>
        <v>0</v>
      </c>
      <c r="JE121" s="314">
        <f>IFERROR(VLOOKUP(JE$1,'PZ 2019'!$C$3:$T$288,$A121,FALSE),0)</f>
        <v>0</v>
      </c>
      <c r="JF121" s="314">
        <f>IFERROR(VLOOKUP(JF$1,'PZ 2019'!$C$3:$T$288,$A121,FALSE),0)</f>
        <v>0</v>
      </c>
      <c r="JG121" s="314">
        <f>IFERROR(VLOOKUP(JG$1,'PZ 2019'!$C$3:$T$288,$A121,FALSE),0)</f>
        <v>0</v>
      </c>
      <c r="JH121" s="314">
        <f>IFERROR(VLOOKUP(JH$1,'PZ 2019'!$C$3:$T$288,$A121,FALSE),0)</f>
        <v>0</v>
      </c>
      <c r="JI121" s="314">
        <f t="shared" si="593"/>
        <v>5315655</v>
      </c>
      <c r="JL121" s="307">
        <f t="shared" si="594"/>
        <v>0</v>
      </c>
      <c r="JM121" s="307">
        <f t="shared" si="594"/>
        <v>3086605</v>
      </c>
      <c r="JN121" s="307">
        <f t="shared" si="594"/>
        <v>472000</v>
      </c>
      <c r="JO121" s="307">
        <f t="shared" si="594"/>
        <v>1757050</v>
      </c>
      <c r="JP121" s="307">
        <f t="shared" si="595"/>
        <v>5315655</v>
      </c>
    </row>
    <row r="122" spans="1:276" s="307" customFormat="1" x14ac:dyDescent="0.25">
      <c r="A122" s="314">
        <v>12</v>
      </c>
      <c r="B122" s="314" t="s">
        <v>2529</v>
      </c>
      <c r="C122" s="314">
        <f>IFERROR(VLOOKUP(C$1,'PZ 2019'!$C$3:$T$288,$A122,FALSE),0)</f>
        <v>0</v>
      </c>
      <c r="D122" s="314">
        <f>IFERROR(VLOOKUP(D$1,'PZ 2019'!$C$3:$T$288,$A122,FALSE),0)</f>
        <v>0</v>
      </c>
      <c r="E122" s="314">
        <f>IFERROR(VLOOKUP(E$1,'PZ 2019'!$C$3:$T$288,$A122,FALSE),0)</f>
        <v>0</v>
      </c>
      <c r="F122" s="314">
        <f>IFERROR(VLOOKUP(F$1,'PZ 2019'!$C$3:$T$288,$A122,FALSE),0)</f>
        <v>0</v>
      </c>
      <c r="G122" s="314">
        <f>IFERROR(VLOOKUP(G$1,'PZ 2019'!$C$3:$T$288,$A122,FALSE),0)</f>
        <v>0</v>
      </c>
      <c r="H122" s="314">
        <f>IFERROR(VLOOKUP(H$1,'PZ 2019'!$C$3:$T$288,$A122,FALSE),0)</f>
        <v>0</v>
      </c>
      <c r="I122" s="314">
        <f>IFERROR(VLOOKUP(I$1,'PZ 2019'!$C$3:$T$288,$A122,FALSE),0)</f>
        <v>0</v>
      </c>
      <c r="J122" s="314">
        <f>IFERROR(VLOOKUP(J$1,'PZ 2019'!$C$3:$T$288,$A122,FALSE),0)</f>
        <v>0</v>
      </c>
      <c r="K122" s="314">
        <f>IFERROR(VLOOKUP(K$1,'PZ 2019'!$C$3:$T$288,$A122,FALSE),0)</f>
        <v>0</v>
      </c>
      <c r="L122" s="314">
        <f>IFERROR(VLOOKUP(L$1,'PZ 2019'!$C$3:$T$288,$A122,FALSE),0)</f>
        <v>0</v>
      </c>
      <c r="M122" s="314">
        <f>IFERROR(VLOOKUP(M$1,'PZ 2019'!$C$3:$T$288,$A122,FALSE),0)</f>
        <v>0</v>
      </c>
      <c r="N122" s="314">
        <f>IFERROR(VLOOKUP(N$1,'PZ 2019'!$C$3:$T$288,$A122,FALSE),0)</f>
        <v>0</v>
      </c>
      <c r="O122" s="314">
        <f>IFERROR(VLOOKUP(O$1,'PZ 2019'!$C$3:$T$288,$A122,FALSE),0)</f>
        <v>0</v>
      </c>
      <c r="P122" s="314">
        <f>IFERROR(VLOOKUP(P$1,'PZ 2019'!$C$3:$T$288,$A122,FALSE),0)</f>
        <v>0</v>
      </c>
      <c r="Q122" s="314">
        <f>IFERROR(VLOOKUP(Q$1,'PZ 2019'!$C$3:$T$288,$A122,FALSE),0)</f>
        <v>0</v>
      </c>
      <c r="R122" s="314">
        <f>IFERROR(VLOOKUP(R$1,'PZ 2019'!$C$3:$T$288,$A122,FALSE),0)</f>
        <v>0</v>
      </c>
      <c r="S122" s="314">
        <f>IFERROR(VLOOKUP(S$1,'PZ 2019'!$C$3:$T$288,$A122,FALSE),0)</f>
        <v>0</v>
      </c>
      <c r="T122" s="314">
        <f>IFERROR(VLOOKUP(T$1,'PZ 2019'!$C$3:$T$288,$A122,FALSE),0)</f>
        <v>0</v>
      </c>
      <c r="U122" s="314">
        <f>IFERROR(VLOOKUP(U$1,'PZ 2019'!$C$3:$T$288,$A122,FALSE),0)</f>
        <v>0</v>
      </c>
      <c r="V122" s="314">
        <f>IFERROR(VLOOKUP(V$1,'PZ 2019'!$C$3:$T$288,$A122,FALSE),0)</f>
        <v>0</v>
      </c>
      <c r="W122" s="314">
        <f>IFERROR(VLOOKUP(W$1,'PZ 2019'!$C$3:$T$288,$A122,FALSE),0)</f>
        <v>0</v>
      </c>
      <c r="X122" s="314">
        <f>IFERROR(VLOOKUP(X$1,'PZ 2019'!$C$3:$T$288,$A122,FALSE),0)</f>
        <v>0</v>
      </c>
      <c r="Y122" s="314">
        <f>IFERROR(VLOOKUP(Y$1,'PZ 2019'!$C$3:$T$288,$A122,FALSE),0)</f>
        <v>0</v>
      </c>
      <c r="Z122" s="314">
        <f>IFERROR(VLOOKUP(Z$1,'PZ 2019'!$C$3:$T$288,$A122,FALSE),0)</f>
        <v>0</v>
      </c>
      <c r="AA122" s="314">
        <f>IFERROR(VLOOKUP(AA$1,'PZ 2019'!$C$3:$T$288,$A122,FALSE),0)</f>
        <v>0</v>
      </c>
      <c r="AB122" s="314">
        <f>IFERROR(VLOOKUP(AB$1,'PZ 2019'!$C$3:$T$288,$A122,FALSE),0)</f>
        <v>0</v>
      </c>
      <c r="AC122" s="314">
        <f>IFERROR(VLOOKUP(AC$1,'PZ 2019'!$C$3:$T$288,$A122,FALSE),0)</f>
        <v>0</v>
      </c>
      <c r="AD122" s="314">
        <f>IFERROR(VLOOKUP(AD$1,'PZ 2019'!$C$3:$T$288,$A122,FALSE),0)</f>
        <v>0</v>
      </c>
      <c r="AE122" s="314">
        <f>IFERROR(VLOOKUP(AE$1,'PZ 2019'!$C$3:$T$288,$A122,FALSE),0)</f>
        <v>0</v>
      </c>
      <c r="AF122" s="314">
        <f>IFERROR(VLOOKUP(AF$1,'PZ 2019'!$C$3:$T$288,$A122,FALSE),0)</f>
        <v>0</v>
      </c>
      <c r="AG122" s="314">
        <f>IFERROR(VLOOKUP(AG$1,'PZ 2019'!$C$3:$T$288,$A122,FALSE),0)</f>
        <v>0</v>
      </c>
      <c r="AH122" s="314">
        <f>IFERROR(VLOOKUP(AH$1,'PZ 2019'!$C$3:$T$288,$A122,FALSE),0)</f>
        <v>0</v>
      </c>
      <c r="AI122" s="314">
        <f>IFERROR(VLOOKUP(AI$1,'PZ 2019'!$C$3:$T$288,$A122,FALSE),0)</f>
        <v>0</v>
      </c>
      <c r="AJ122" s="314">
        <f>IFERROR(VLOOKUP(AJ$1,'PZ 2019'!$C$3:$T$288,$A122,FALSE),0)</f>
        <v>0</v>
      </c>
      <c r="AK122" s="314">
        <f>IFERROR(VLOOKUP(AK$1,'PZ 2019'!$C$3:$T$288,$A122,FALSE),0)</f>
        <v>0</v>
      </c>
      <c r="AL122" s="314">
        <f>IFERROR(VLOOKUP(AL$1,'PZ 2019'!$C$3:$T$288,$A122,FALSE),0)</f>
        <v>0</v>
      </c>
      <c r="AM122" s="314">
        <f>IFERROR(VLOOKUP(AM$1,'PZ 2019'!$C$3:$T$288,$A122,FALSE),0)</f>
        <v>0</v>
      </c>
      <c r="AN122" s="314">
        <f>IFERROR(VLOOKUP(AN$1,'PZ 2019'!$C$3:$T$288,$A122,FALSE),0)</f>
        <v>0</v>
      </c>
      <c r="AO122" s="314">
        <f>IFERROR(VLOOKUP(AO$1,'PZ 2019'!$C$3:$T$288,$A122,FALSE),0)</f>
        <v>0</v>
      </c>
      <c r="AP122" s="314">
        <f>IFERROR(VLOOKUP(AP$1,'PZ 2019'!$C$3:$T$288,$A122,FALSE),0)</f>
        <v>0</v>
      </c>
      <c r="AQ122" s="314">
        <f>IFERROR(VLOOKUP(AQ$1,'PZ 2019'!$C$3:$T$288,$A122,FALSE),0)</f>
        <v>0</v>
      </c>
      <c r="AR122" s="314">
        <f>IFERROR(VLOOKUP(AR$1,'PZ 2019'!$C$3:$T$288,$A122,FALSE),0)</f>
        <v>0</v>
      </c>
      <c r="AS122" s="314">
        <f>IFERROR(VLOOKUP(AS$1,'PZ 2019'!$C$3:$T$288,$A122,FALSE),0)</f>
        <v>0</v>
      </c>
      <c r="AT122" s="314">
        <f>IFERROR(VLOOKUP(AT$1,'PZ 2019'!$C$3:$T$288,$A122,FALSE),0)</f>
        <v>0</v>
      </c>
      <c r="AU122" s="314">
        <f>IFERROR(VLOOKUP(AU$1,'PZ 2019'!$C$3:$T$288,$A122,FALSE),0)</f>
        <v>0</v>
      </c>
      <c r="AV122" s="314">
        <f>IFERROR(VLOOKUP(AV$1,'PZ 2019'!$C$3:$T$288,$A122,FALSE),0)</f>
        <v>0</v>
      </c>
      <c r="AW122" s="314">
        <f>IFERROR(VLOOKUP(AW$1,'PZ 2019'!$C$3:$T$288,$A122,FALSE),0)</f>
        <v>0</v>
      </c>
      <c r="AX122" s="314">
        <f>IFERROR(VLOOKUP(AX$1,'PZ 2019'!$C$3:$T$288,$A122,FALSE),0)</f>
        <v>0</v>
      </c>
      <c r="AY122" s="314">
        <f>IFERROR(VLOOKUP(AY$1,'PZ 2019'!$C$3:$T$288,$A122,FALSE),0)</f>
        <v>0</v>
      </c>
      <c r="AZ122" s="314">
        <f>IFERROR(VLOOKUP(AZ$1,'PZ 2019'!$C$3:$T$288,$A122,FALSE),0)</f>
        <v>0</v>
      </c>
      <c r="BA122" s="314">
        <f>IFERROR(VLOOKUP(BA$1,'PZ 2019'!$C$3:$T$288,$A122,FALSE),0)</f>
        <v>0</v>
      </c>
      <c r="BB122" s="314">
        <f>IFERROR(VLOOKUP(BB$1,'PZ 2019'!$C$3:$T$288,$A122,FALSE),0)</f>
        <v>0</v>
      </c>
      <c r="BC122" s="314">
        <f>IFERROR(VLOOKUP(BC$1,'PZ 2019'!$C$3:$T$288,$A122,FALSE),0)</f>
        <v>0</v>
      </c>
      <c r="BD122" s="314">
        <f>IFERROR(VLOOKUP(BD$1,'PZ 2019'!$C$3:$T$288,$A122,FALSE),0)</f>
        <v>0</v>
      </c>
      <c r="BE122" s="314">
        <f>IFERROR(VLOOKUP(BE$1,'PZ 2019'!$C$3:$T$288,$A122,FALSE),0)</f>
        <v>0</v>
      </c>
      <c r="BF122" s="314">
        <f>IFERROR(VLOOKUP(BF$1,'PZ 2019'!$C$3:$T$288,$A122,FALSE),0)</f>
        <v>0</v>
      </c>
      <c r="BG122" s="314">
        <f>IFERROR(VLOOKUP(BG$1,'PZ 2019'!$C$3:$T$288,$A122,FALSE),0)</f>
        <v>0</v>
      </c>
      <c r="BH122" s="314">
        <f>IFERROR(VLOOKUP(BH$1,'PZ 2019'!$C$3:$T$288,$A122,FALSE),0)</f>
        <v>0</v>
      </c>
      <c r="BI122" s="314">
        <f>IFERROR(VLOOKUP(BI$1,'PZ 2019'!$C$3:$T$288,$A122,FALSE),0)</f>
        <v>0</v>
      </c>
      <c r="BJ122" s="314">
        <f>IFERROR(VLOOKUP(BJ$1,'PZ 2019'!$C$3:$T$288,$A122,FALSE),0)</f>
        <v>0</v>
      </c>
      <c r="BK122" s="314">
        <f>IFERROR(VLOOKUP(BK$1,'PZ 2019'!$C$3:$T$288,$A122,FALSE),0)</f>
        <v>0</v>
      </c>
      <c r="BL122" s="314">
        <f>IFERROR(VLOOKUP(BL$1,'PZ 2019'!$C$3:$T$288,$A122,FALSE),0)</f>
        <v>0</v>
      </c>
      <c r="BM122" s="314">
        <f>IFERROR(VLOOKUP(BM$1,'PZ 2019'!$C$3:$T$288,$A122,FALSE),0)</f>
        <v>0</v>
      </c>
      <c r="BN122" s="314">
        <f>IFERROR(VLOOKUP(BN$1,'PZ 2019'!$C$3:$T$288,$A122,FALSE),0)</f>
        <v>0</v>
      </c>
      <c r="BO122" s="314">
        <f>IFERROR(VLOOKUP(BO$1,'PZ 2019'!$C$3:$T$288,$A122,FALSE),0)</f>
        <v>0</v>
      </c>
      <c r="BP122" s="314">
        <f>IFERROR(VLOOKUP(BP$1,'PZ 2019'!$C$3:$T$288,$A122,FALSE),0)</f>
        <v>0</v>
      </c>
      <c r="BQ122" s="314">
        <f>IFERROR(VLOOKUP(BQ$1,'PZ 2019'!$C$3:$T$288,$A122,FALSE),0)</f>
        <v>0</v>
      </c>
      <c r="BR122" s="314">
        <f>IFERROR(VLOOKUP(BR$1,'PZ 2019'!$C$3:$T$288,$A122,FALSE),0)</f>
        <v>0</v>
      </c>
      <c r="BS122" s="314">
        <f>IFERROR(VLOOKUP(BS$1,'PZ 2019'!$C$3:$T$288,$A122,FALSE),0)</f>
        <v>0</v>
      </c>
      <c r="BT122" s="314">
        <f>IFERROR(VLOOKUP(BT$1,'PZ 2019'!$C$3:$T$288,$A122,FALSE),0)</f>
        <v>0</v>
      </c>
      <c r="BU122" s="314">
        <f>IFERROR(VLOOKUP(BU$1,'PZ 2019'!$C$3:$T$288,$A122,FALSE),0)</f>
        <v>0</v>
      </c>
      <c r="BV122" s="314">
        <f>IFERROR(VLOOKUP(BV$1,'PZ 2019'!$C$3:$T$288,$A122,FALSE),0)</f>
        <v>0</v>
      </c>
      <c r="BW122" s="314">
        <f>IFERROR(VLOOKUP(BW$1,'PZ 2019'!$C$3:$T$288,$A122,FALSE),0)</f>
        <v>0</v>
      </c>
      <c r="BX122" s="314">
        <f>IFERROR(VLOOKUP(BX$1,'PZ 2019'!$C$3:$T$288,$A122,FALSE),0)</f>
        <v>0</v>
      </c>
      <c r="BY122" s="314">
        <f>IFERROR(VLOOKUP(BY$1,'PZ 2019'!$C$3:$T$288,$A122,FALSE),0)</f>
        <v>0</v>
      </c>
      <c r="BZ122" s="314">
        <f>IFERROR(VLOOKUP(BZ$1,'PZ 2019'!$C$3:$T$288,$A122,FALSE),0)</f>
        <v>0</v>
      </c>
      <c r="CA122" s="314">
        <f>IFERROR(VLOOKUP(CA$1,'PZ 2019'!$C$3:$T$288,$A122,FALSE),0)</f>
        <v>0</v>
      </c>
      <c r="CB122" s="314">
        <f>IFERROR(VLOOKUP(CB$1,'PZ 2019'!$C$3:$T$288,$A122,FALSE),0)</f>
        <v>0</v>
      </c>
      <c r="CC122" s="314">
        <f>IFERROR(VLOOKUP(CC$1,'PZ 2019'!$C$3:$T$288,$A122,FALSE),0)</f>
        <v>0</v>
      </c>
      <c r="CD122" s="314">
        <f>IFERROR(VLOOKUP(CD$1,'PZ 2019'!$C$3:$T$288,$A122,FALSE),0)</f>
        <v>0</v>
      </c>
      <c r="CE122" s="314">
        <f>IFERROR(VLOOKUP(CE$1,'PZ 2019'!$C$3:$T$288,$A122,FALSE),0)</f>
        <v>0</v>
      </c>
      <c r="CF122" s="314">
        <f>IFERROR(VLOOKUP(CF$1,'PZ 2019'!$C$3:$T$288,$A122,FALSE),0)</f>
        <v>0</v>
      </c>
      <c r="CG122" s="314">
        <f>IFERROR(VLOOKUP(CG$1,'PZ 2019'!$C$3:$T$288,$A122,FALSE),0)</f>
        <v>0</v>
      </c>
      <c r="CH122" s="314">
        <f>IFERROR(VLOOKUP(CH$1,'PZ 2019'!$C$3:$T$288,$A122,FALSE),0)</f>
        <v>0</v>
      </c>
      <c r="CI122" s="314">
        <f>IFERROR(VLOOKUP(CI$1,'PZ 2019'!$C$3:$T$288,$A122,FALSE),0)</f>
        <v>0</v>
      </c>
      <c r="CJ122" s="314">
        <f>IFERROR(VLOOKUP(CJ$1,'PZ 2019'!$C$3:$T$288,$A122,FALSE),0)</f>
        <v>0</v>
      </c>
      <c r="CK122" s="314">
        <f>IFERROR(VLOOKUP(CK$1,'PZ 2019'!$C$3:$T$288,$A122,FALSE),0)</f>
        <v>0</v>
      </c>
      <c r="CL122" s="314">
        <f>IFERROR(VLOOKUP(CL$1,'PZ 2019'!$C$3:$T$288,$A122,FALSE),0)</f>
        <v>0</v>
      </c>
      <c r="CM122" s="314">
        <f>IFERROR(VLOOKUP(CM$1,'PZ 2019'!$C$3:$T$288,$A122,FALSE),0)</f>
        <v>0</v>
      </c>
      <c r="CN122" s="314">
        <f>IFERROR(VLOOKUP(CN$1,'PZ 2019'!$C$3:$T$288,$A122,FALSE),0)</f>
        <v>0</v>
      </c>
      <c r="CO122" s="314">
        <f>IFERROR(VLOOKUP(CO$1,'PZ 2019'!$C$3:$T$288,$A122,FALSE),0)</f>
        <v>0</v>
      </c>
      <c r="CP122" s="314">
        <f>IFERROR(VLOOKUP(CP$1,'PZ 2019'!$C$3:$T$288,$A122,FALSE),0)</f>
        <v>0</v>
      </c>
      <c r="CQ122" s="314">
        <f>IFERROR(VLOOKUP(CQ$1,'PZ 2019'!$C$3:$T$288,$A122,FALSE),0)</f>
        <v>0</v>
      </c>
      <c r="CR122" s="314">
        <f>IFERROR(VLOOKUP(CR$1,'PZ 2019'!$C$3:$T$288,$A122,FALSE),0)</f>
        <v>0</v>
      </c>
      <c r="CS122" s="314">
        <f>IFERROR(VLOOKUP(CS$1,'PZ 2019'!$C$3:$T$288,$A122,FALSE),0)</f>
        <v>0</v>
      </c>
      <c r="CT122" s="314">
        <f>IFERROR(VLOOKUP(CT$1,'PZ 2019'!$C$3:$T$288,$A122,FALSE),0)</f>
        <v>0</v>
      </c>
      <c r="CU122" s="314">
        <f>IFERROR(VLOOKUP(CU$1,'PZ 2019'!$C$3:$T$288,$A122,FALSE),0)</f>
        <v>0</v>
      </c>
      <c r="CV122" s="314">
        <f>IFERROR(VLOOKUP(CV$1,'PZ 2019'!$C$3:$T$288,$A122,FALSE),0)</f>
        <v>0</v>
      </c>
      <c r="CW122" s="314">
        <f>IFERROR(VLOOKUP(CW$1,'PZ 2019'!$C$3:$T$288,$A122,FALSE),0)</f>
        <v>0</v>
      </c>
      <c r="CX122" s="314">
        <f>IFERROR(VLOOKUP(CX$1,'PZ 2019'!$C$3:$T$288,$A122,FALSE),0)</f>
        <v>0</v>
      </c>
      <c r="CY122" s="314">
        <f>IFERROR(VLOOKUP(CY$1,'PZ 2019'!$C$3:$T$288,$A122,FALSE),0)</f>
        <v>0</v>
      </c>
      <c r="CZ122" s="314">
        <f>IFERROR(VLOOKUP(CZ$1,'PZ 2019'!$C$3:$T$288,$A122,FALSE),0)</f>
        <v>0</v>
      </c>
      <c r="DA122" s="314">
        <f>IFERROR(VLOOKUP(DA$1,'PZ 2019'!$C$3:$T$288,$A122,FALSE),0)</f>
        <v>0</v>
      </c>
      <c r="DB122" s="314">
        <f>IFERROR(VLOOKUP(DB$1,'PZ 2019'!$C$3:$T$288,$A122,FALSE),0)</f>
        <v>0</v>
      </c>
      <c r="DC122" s="314">
        <f>IFERROR(VLOOKUP(DC$1,'PZ 2019'!$C$3:$T$288,$A122,FALSE),0)</f>
        <v>0</v>
      </c>
      <c r="DD122" s="314">
        <f>IFERROR(VLOOKUP(DD$1,'PZ 2019'!$C$3:$T$288,$A122,FALSE),0)</f>
        <v>0</v>
      </c>
      <c r="DE122" s="314">
        <f>IFERROR(VLOOKUP(DE$1,'PZ 2019'!$C$3:$T$288,$A122,FALSE),0)</f>
        <v>0</v>
      </c>
      <c r="DF122" s="314">
        <f>IFERROR(VLOOKUP(DF$1,'PZ 2019'!$C$3:$T$288,$A122,FALSE),0)</f>
        <v>0</v>
      </c>
      <c r="DG122" s="314">
        <f>IFERROR(VLOOKUP(DG$1,'PZ 2019'!$C$3:$T$288,$A122,FALSE),0)</f>
        <v>0</v>
      </c>
      <c r="DH122" s="314">
        <f>IFERROR(VLOOKUP(DH$1,'PZ 2019'!$C$3:$T$288,$A122,FALSE),0)</f>
        <v>0</v>
      </c>
      <c r="DI122" s="314">
        <f>IFERROR(VLOOKUP(DI$1,'PZ 2019'!$C$3:$T$288,$A122,FALSE),0)</f>
        <v>0</v>
      </c>
      <c r="DJ122" s="314">
        <f>IFERROR(VLOOKUP(DJ$1,'PZ 2019'!$C$3:$T$288,$A122,FALSE),0)</f>
        <v>0</v>
      </c>
      <c r="DK122" s="314">
        <f>IFERROR(VLOOKUP(DK$1,'PZ 2019'!$C$3:$T$288,$A122,FALSE),0)</f>
        <v>0</v>
      </c>
      <c r="DL122" s="314">
        <f>IFERROR(VLOOKUP(DL$1,'PZ 2019'!$C$3:$T$288,$A122,FALSE),0)</f>
        <v>0</v>
      </c>
      <c r="DM122" s="314">
        <f>IFERROR(VLOOKUP(DM$1,'PZ 2019'!$C$3:$T$288,$A122,FALSE),0)</f>
        <v>0</v>
      </c>
      <c r="DN122" s="314">
        <f>IFERROR(VLOOKUP(DN$1,'PZ 2019'!$C$3:$T$288,$A122,FALSE),0)</f>
        <v>0</v>
      </c>
      <c r="DO122" s="314">
        <f>IFERROR(VLOOKUP(DO$1,'PZ 2019'!$C$3:$T$288,$A122,FALSE),0)</f>
        <v>0</v>
      </c>
      <c r="DP122" s="314">
        <f>IFERROR(VLOOKUP(DP$1,'PZ 2019'!$C$3:$T$288,$A122,FALSE),0)</f>
        <v>0</v>
      </c>
      <c r="DQ122" s="314">
        <f>IFERROR(VLOOKUP(DQ$1,'PZ 2019'!$C$3:$T$288,$A122,FALSE),0)</f>
        <v>0</v>
      </c>
      <c r="DR122" s="314">
        <f>IFERROR(VLOOKUP(DR$1,'PZ 2019'!$C$3:$T$288,$A122,FALSE),0)</f>
        <v>0</v>
      </c>
      <c r="DS122" s="314">
        <f>IFERROR(VLOOKUP(DS$1,'PZ 2019'!$C$3:$T$288,$A122,FALSE),0)</f>
        <v>0</v>
      </c>
      <c r="DT122" s="314">
        <f>IFERROR(VLOOKUP(DT$1,'PZ 2019'!$C$3:$T$288,$A122,FALSE),0)</f>
        <v>0</v>
      </c>
      <c r="DU122" s="314">
        <f>IFERROR(VLOOKUP(DU$1,'PZ 2019'!$C$3:$T$288,$A122,FALSE),0)</f>
        <v>0</v>
      </c>
      <c r="DV122" s="314">
        <f>IFERROR(VLOOKUP(DV$1,'PZ 2019'!$C$3:$T$288,$A122,FALSE),0)</f>
        <v>0</v>
      </c>
      <c r="DW122" s="314">
        <f>IFERROR(VLOOKUP(DW$1,'PZ 2019'!$C$3:$T$288,$A122,FALSE),0)</f>
        <v>0</v>
      </c>
      <c r="DX122" s="314">
        <f>IFERROR(VLOOKUP(DX$1,'PZ 2019'!$C$3:$T$288,$A122,FALSE),0)</f>
        <v>0</v>
      </c>
      <c r="DY122" s="314">
        <f>IFERROR(VLOOKUP(DY$1,'PZ 2019'!$C$3:$T$288,$A122,FALSE),0)</f>
        <v>0</v>
      </c>
      <c r="DZ122" s="314">
        <f>IFERROR(VLOOKUP(DZ$1,'PZ 2019'!$C$3:$T$288,$A122,FALSE),0)</f>
        <v>0</v>
      </c>
      <c r="EA122" s="314">
        <f>IFERROR(VLOOKUP(EA$1,'PZ 2019'!$C$3:$T$288,$A122,FALSE),0)</f>
        <v>0</v>
      </c>
      <c r="EB122" s="314">
        <f>IFERROR(VLOOKUP(EB$1,'PZ 2019'!$C$3:$T$288,$A122,FALSE),0)</f>
        <v>0</v>
      </c>
      <c r="EC122" s="314">
        <f>IFERROR(VLOOKUP(EC$1,'PZ 2019'!$C$3:$T$288,$A122,FALSE),0)</f>
        <v>0</v>
      </c>
      <c r="ED122" s="314">
        <f>IFERROR(VLOOKUP(ED$1,'PZ 2019'!$C$3:$T$288,$A122,FALSE),0)</f>
        <v>0</v>
      </c>
      <c r="EE122" s="314">
        <f>IFERROR(VLOOKUP(EE$1,'PZ 2019'!$C$3:$T$288,$A122,FALSE),0)</f>
        <v>0</v>
      </c>
      <c r="EF122" s="314">
        <f>IFERROR(VLOOKUP(EF$1,'PZ 2019'!$C$3:$T$288,$A122,FALSE),0)</f>
        <v>0</v>
      </c>
      <c r="EG122" s="314">
        <f>IFERROR(VLOOKUP(EG$1,'PZ 2019'!$C$3:$T$288,$A122,FALSE),0)</f>
        <v>0</v>
      </c>
      <c r="EH122" s="314">
        <f>IFERROR(VLOOKUP(EH$1,'PZ 2019'!$C$3:$T$288,$A122,FALSE),0)</f>
        <v>0</v>
      </c>
      <c r="EI122" s="314">
        <f>IFERROR(VLOOKUP(EI$1,'PZ 2019'!$C$3:$T$288,$A122,FALSE),0)</f>
        <v>0</v>
      </c>
      <c r="EJ122" s="314">
        <f>IFERROR(VLOOKUP(EJ$1,'PZ 2019'!$C$3:$T$288,$A122,FALSE),0)</f>
        <v>0</v>
      </c>
      <c r="EK122" s="314">
        <f>IFERROR(VLOOKUP(EK$1,'PZ 2019'!$C$3:$T$288,$A122,FALSE),0)</f>
        <v>0</v>
      </c>
      <c r="EL122" s="314">
        <f>IFERROR(VLOOKUP(EL$1,'PZ 2019'!$C$3:$T$288,$A122,FALSE),0)</f>
        <v>0</v>
      </c>
      <c r="EM122" s="314">
        <f>IFERROR(VLOOKUP(EM$1,'PZ 2019'!$C$3:$T$288,$A122,FALSE),0)</f>
        <v>0</v>
      </c>
      <c r="EN122" s="314">
        <f>IFERROR(VLOOKUP(EN$1,'PZ 2019'!$C$3:$T$288,$A122,FALSE),0)</f>
        <v>0</v>
      </c>
      <c r="EO122" s="314">
        <f>IFERROR(VLOOKUP(EO$1,'PZ 2019'!$C$3:$T$288,$A122,FALSE),0)</f>
        <v>0</v>
      </c>
      <c r="EP122" s="314">
        <f>IFERROR(VLOOKUP(EP$1,'PZ 2019'!$C$3:$T$288,$A122,FALSE),0)</f>
        <v>0</v>
      </c>
      <c r="EQ122" s="314">
        <f>IFERROR(VLOOKUP(EQ$1,'PZ 2019'!$C$3:$T$288,$A122,FALSE),0)</f>
        <v>0</v>
      </c>
      <c r="ER122" s="314">
        <f>IFERROR(VLOOKUP(ER$1,'PZ 2019'!$C$3:$T$288,$A122,FALSE),0)</f>
        <v>0</v>
      </c>
      <c r="ES122" s="314">
        <f>IFERROR(VLOOKUP(ES$1,'PZ 2019'!$C$3:$T$288,$A122,FALSE),0)</f>
        <v>0</v>
      </c>
      <c r="ET122" s="314">
        <f>IFERROR(VLOOKUP(ET$1,'PZ 2019'!$C$3:$T$288,$A122,FALSE),0)</f>
        <v>0</v>
      </c>
      <c r="EU122" s="314">
        <f>IFERROR(VLOOKUP(EU$1,'PZ 2019'!$C$3:$T$288,$A122,FALSE),0)</f>
        <v>0</v>
      </c>
      <c r="EV122" s="314">
        <f>IFERROR(VLOOKUP(EV$1,'PZ 2019'!$C$3:$T$288,$A122,FALSE),0)</f>
        <v>0</v>
      </c>
      <c r="EW122" s="314">
        <f>IFERROR(VLOOKUP(EW$1,'PZ 2019'!$C$3:$T$288,$A122,FALSE),0)</f>
        <v>0</v>
      </c>
      <c r="EX122" s="314">
        <f>IFERROR(VLOOKUP(EX$1,'PZ 2019'!$C$3:$T$288,$A122,FALSE),0)</f>
        <v>0</v>
      </c>
      <c r="EY122" s="314">
        <f>IFERROR(VLOOKUP(EY$1,'PZ 2019'!$C$3:$T$288,$A122,FALSE),0)</f>
        <v>0</v>
      </c>
      <c r="EZ122" s="314">
        <f>IFERROR(VLOOKUP(EZ$1,'PZ 2019'!$C$3:$T$288,$A122,FALSE),0)</f>
        <v>0</v>
      </c>
      <c r="FA122" s="314">
        <f>IFERROR(VLOOKUP(FA$1,'PZ 2019'!$C$3:$T$288,$A122,FALSE),0)</f>
        <v>0</v>
      </c>
      <c r="FB122" s="314">
        <f>IFERROR(VLOOKUP(FB$1,'PZ 2019'!$C$3:$T$288,$A122,FALSE),0)</f>
        <v>0</v>
      </c>
      <c r="FC122" s="314">
        <f>IFERROR(VLOOKUP(FC$1,'PZ 2019'!$C$3:$T$288,$A122,FALSE),0)</f>
        <v>0</v>
      </c>
      <c r="FD122" s="314">
        <f>IFERROR(VLOOKUP(FD$1,'PZ 2019'!$C$3:$T$288,$A122,FALSE),0)</f>
        <v>0</v>
      </c>
      <c r="FE122" s="314">
        <f>IFERROR(VLOOKUP(FE$1,'PZ 2019'!$C$3:$T$288,$A122,FALSE),0)</f>
        <v>0</v>
      </c>
      <c r="FF122" s="314">
        <f>IFERROR(VLOOKUP(FF$1,'PZ 2019'!$C$3:$T$288,$A122,FALSE),0)</f>
        <v>0</v>
      </c>
      <c r="FG122" s="314">
        <f>IFERROR(VLOOKUP(FG$1,'PZ 2019'!$C$3:$T$288,$A122,FALSE),0)</f>
        <v>0</v>
      </c>
      <c r="FH122" s="314">
        <f>IFERROR(VLOOKUP(FH$1,'PZ 2019'!$C$3:$T$288,$A122,FALSE),0)</f>
        <v>0</v>
      </c>
      <c r="FI122" s="314">
        <f>IFERROR(VLOOKUP(FI$1,'PZ 2019'!$C$3:$T$288,$A122,FALSE),0)</f>
        <v>0</v>
      </c>
      <c r="FJ122" s="314">
        <f>IFERROR(VLOOKUP(FJ$1,'PZ 2019'!$C$3:$T$288,$A122,FALSE),0)</f>
        <v>0</v>
      </c>
      <c r="FK122" s="314">
        <f>IFERROR(VLOOKUP(FK$1,'PZ 2019'!$C$3:$T$288,$A122,FALSE),0)</f>
        <v>0</v>
      </c>
      <c r="FL122" s="314">
        <f>IFERROR(VLOOKUP(FL$1,'PZ 2019'!$C$3:$T$288,$A122,FALSE),0)</f>
        <v>0</v>
      </c>
      <c r="FM122" s="314">
        <f>IFERROR(VLOOKUP(FM$1,'PZ 2019'!$C$3:$T$288,$A122,FALSE),0)</f>
        <v>0</v>
      </c>
      <c r="FN122" s="314">
        <f>IFERROR(VLOOKUP(FN$1,'PZ 2019'!$C$3:$T$288,$A122,FALSE),0)</f>
        <v>0</v>
      </c>
      <c r="FO122" s="314">
        <f>IFERROR(VLOOKUP(FO$1,'PZ 2019'!$C$3:$T$288,$A122,FALSE),0)</f>
        <v>0</v>
      </c>
      <c r="FP122" s="314">
        <f>IFERROR(VLOOKUP(FP$1,'PZ 2019'!$C$3:$T$288,$A122,FALSE),0)</f>
        <v>0</v>
      </c>
      <c r="FQ122" s="314">
        <f>IFERROR(VLOOKUP(FQ$1,'PZ 2019'!$C$3:$T$288,$A122,FALSE),0)</f>
        <v>0</v>
      </c>
      <c r="FR122" s="314">
        <f>IFERROR(VLOOKUP(FR$1,'PZ 2019'!$C$3:$T$288,$A122,FALSE),0)</f>
        <v>0</v>
      </c>
      <c r="FS122" s="314">
        <f>IFERROR(VLOOKUP(FS$1,'PZ 2019'!$C$3:$T$288,$A122,FALSE),0)</f>
        <v>0</v>
      </c>
      <c r="FT122" s="314">
        <f>IFERROR(VLOOKUP(FT$1,'PZ 2019'!$C$3:$T$288,$A122,FALSE),0)</f>
        <v>0</v>
      </c>
      <c r="FU122" s="314">
        <f>IFERROR(VLOOKUP(FU$1,'PZ 2019'!$C$3:$T$288,$A122,FALSE),0)</f>
        <v>0</v>
      </c>
      <c r="FV122" s="314">
        <f>IFERROR(VLOOKUP(FV$1,'PZ 2019'!$C$3:$T$288,$A122,FALSE),0)</f>
        <v>0</v>
      </c>
      <c r="FW122" s="314">
        <f>IFERROR(VLOOKUP(FW$1,'PZ 2019'!$C$3:$T$288,$A122,FALSE),0)</f>
        <v>0</v>
      </c>
      <c r="FX122" s="314">
        <f>IFERROR(VLOOKUP(FX$1,'PZ 2019'!$C$3:$T$288,$A122,FALSE),0)</f>
        <v>0</v>
      </c>
      <c r="FY122" s="314">
        <f>IFERROR(VLOOKUP(FY$1,'PZ 2019'!$C$3:$T$288,$A122,FALSE),0)</f>
        <v>0</v>
      </c>
      <c r="FZ122" s="314">
        <f>IFERROR(VLOOKUP(FZ$1,'PZ 2019'!$C$3:$T$288,$A122,FALSE),0)</f>
        <v>0</v>
      </c>
      <c r="GA122" s="314">
        <f>IFERROR(VLOOKUP(GA$1,'PZ 2019'!$C$3:$T$288,$A122,FALSE),0)</f>
        <v>0</v>
      </c>
      <c r="GB122" s="314">
        <f>IFERROR(VLOOKUP(GB$1,'PZ 2019'!$C$3:$T$288,$A122,FALSE),0)</f>
        <v>0</v>
      </c>
      <c r="GC122" s="314">
        <f>IFERROR(VLOOKUP(GC$1,'PZ 2019'!$C$3:$T$288,$A122,FALSE),0)</f>
        <v>0</v>
      </c>
      <c r="GD122" s="314">
        <f>IFERROR(VLOOKUP(GD$1,'PZ 2019'!$C$3:$T$288,$A122,FALSE),0)</f>
        <v>0</v>
      </c>
      <c r="GE122" s="314">
        <f>IFERROR(VLOOKUP(GE$1,'PZ 2019'!$C$3:$T$288,$A122,FALSE),0)</f>
        <v>0</v>
      </c>
      <c r="GF122" s="314">
        <f>IFERROR(VLOOKUP(GF$1,'PZ 2019'!$C$3:$T$288,$A122,FALSE),0)</f>
        <v>0</v>
      </c>
      <c r="GG122" s="314">
        <f>IFERROR(VLOOKUP(GG$1,'PZ 2019'!$C$3:$T$288,$A122,FALSE),0)</f>
        <v>0</v>
      </c>
      <c r="GH122" s="314">
        <f>IFERROR(VLOOKUP(GH$1,'PZ 2019'!$C$3:$T$288,$A122,FALSE),0)</f>
        <v>0</v>
      </c>
      <c r="GI122" s="314">
        <f>IFERROR(VLOOKUP(GI$1,'PZ 2019'!$C$3:$T$288,$A122,FALSE),0)</f>
        <v>0</v>
      </c>
      <c r="GJ122" s="314">
        <f>IFERROR(VLOOKUP(GJ$1,'PZ 2019'!$C$3:$T$288,$A122,FALSE),0)</f>
        <v>0</v>
      </c>
      <c r="GK122" s="314">
        <f>IFERROR(VLOOKUP(GK$1,'PZ 2019'!$C$3:$T$288,$A122,FALSE),0)</f>
        <v>0</v>
      </c>
      <c r="GL122" s="314">
        <f>IFERROR(VLOOKUP(GL$1,'PZ 2019'!$C$3:$T$288,$A122,FALSE),0)</f>
        <v>0</v>
      </c>
      <c r="GM122" s="314">
        <f>IFERROR(VLOOKUP(GM$1,'PZ 2019'!$C$3:$T$288,$A122,FALSE),0)</f>
        <v>0</v>
      </c>
      <c r="GN122" s="314">
        <f>IFERROR(VLOOKUP(GN$1,'PZ 2019'!$C$3:$T$288,$A122,FALSE),0)</f>
        <v>0</v>
      </c>
      <c r="GO122" s="314">
        <f>IFERROR(VLOOKUP(GO$1,'PZ 2019'!$C$3:$T$288,$A122,FALSE),0)</f>
        <v>0</v>
      </c>
      <c r="GP122" s="314">
        <f>IFERROR(VLOOKUP(GP$1,'PZ 2019'!$C$3:$T$288,$A122,FALSE),0)</f>
        <v>0</v>
      </c>
      <c r="GQ122" s="314">
        <f>IFERROR(VLOOKUP(GQ$1,'PZ 2019'!$C$3:$T$288,$A122,FALSE),0)</f>
        <v>0</v>
      </c>
      <c r="GR122" s="314">
        <f>IFERROR(VLOOKUP(GR$1,'PZ 2019'!$C$3:$T$288,$A122,FALSE),0)</f>
        <v>0</v>
      </c>
      <c r="GS122" s="314">
        <f>IFERROR(VLOOKUP(GS$1,'PZ 2019'!$C$3:$T$288,$A122,FALSE),0)</f>
        <v>0</v>
      </c>
      <c r="GT122" s="314">
        <f>IFERROR(VLOOKUP(GT$1,'PZ 2019'!$C$3:$T$288,$A122,FALSE),0)</f>
        <v>0</v>
      </c>
      <c r="GU122" s="314">
        <f>IFERROR(VLOOKUP(GU$1,'PZ 2019'!$C$3:$T$288,$A122,FALSE),0)</f>
        <v>0</v>
      </c>
      <c r="GV122" s="314">
        <f>IFERROR(VLOOKUP(GV$1,'PZ 2019'!$C$3:$T$288,$A122,FALSE),0)</f>
        <v>0</v>
      </c>
      <c r="GW122" s="314">
        <f>IFERROR(VLOOKUP(GW$1,'PZ 2019'!$C$3:$T$288,$A122,FALSE),0)</f>
        <v>0</v>
      </c>
      <c r="GX122" s="314">
        <f>IFERROR(VLOOKUP(GX$1,'PZ 2019'!$C$3:$T$288,$A122,FALSE),0)</f>
        <v>0</v>
      </c>
      <c r="GY122" s="314">
        <f>IFERROR(VLOOKUP(GY$1,'PZ 2019'!$C$3:$T$288,$A122,FALSE),0)</f>
        <v>0</v>
      </c>
      <c r="GZ122" s="314">
        <f>IFERROR(VLOOKUP(GZ$1,'PZ 2019'!$C$3:$T$288,$A122,FALSE),0)</f>
        <v>0</v>
      </c>
      <c r="HA122" s="314">
        <f>IFERROR(VLOOKUP(HA$1,'PZ 2019'!$C$3:$T$288,$A122,FALSE),0)</f>
        <v>0</v>
      </c>
      <c r="HB122" s="314">
        <f>IFERROR(VLOOKUP(HB$1,'PZ 2019'!$C$3:$T$288,$A122,FALSE),0)</f>
        <v>0</v>
      </c>
      <c r="HC122" s="314">
        <f>IFERROR(VLOOKUP(HC$1,'PZ 2019'!$C$3:$T$288,$A122,FALSE),0)</f>
        <v>0</v>
      </c>
      <c r="HD122" s="314">
        <f>IFERROR(VLOOKUP(HD$1,'PZ 2019'!$C$3:$T$288,$A122,FALSE),0)</f>
        <v>0</v>
      </c>
      <c r="HE122" s="314">
        <f>IFERROR(VLOOKUP(HE$1,'PZ 2019'!$C$3:$T$288,$A122,FALSE),0)</f>
        <v>0</v>
      </c>
      <c r="HF122" s="314">
        <f>IFERROR(VLOOKUP(HF$1,'PZ 2019'!$C$3:$T$288,$A122,FALSE),0)</f>
        <v>0</v>
      </c>
      <c r="HG122" s="314">
        <f>IFERROR(VLOOKUP(HG$1,'PZ 2019'!$C$3:$T$288,$A122,FALSE),0)</f>
        <v>0</v>
      </c>
      <c r="HH122" s="314">
        <f>IFERROR(VLOOKUP(HH$1,'PZ 2019'!$C$3:$T$288,$A122,FALSE),0)</f>
        <v>0</v>
      </c>
      <c r="HI122" s="314">
        <f>IFERROR(VLOOKUP(HI$1,'PZ 2019'!$C$3:$T$288,$A122,FALSE),0)</f>
        <v>0</v>
      </c>
      <c r="HJ122" s="314">
        <f>IFERROR(VLOOKUP(HJ$1,'PZ 2019'!$C$3:$T$288,$A122,FALSE),0)</f>
        <v>0</v>
      </c>
      <c r="HK122" s="314">
        <f>IFERROR(VLOOKUP(HK$1,'PZ 2019'!$C$3:$T$288,$A122,FALSE),0)</f>
        <v>0</v>
      </c>
      <c r="HL122" s="314">
        <f>IFERROR(VLOOKUP(HL$1,'PZ 2019'!$C$3:$T$288,$A122,FALSE),0)</f>
        <v>0</v>
      </c>
      <c r="HM122" s="314">
        <f>IFERROR(VLOOKUP(HM$1,'PZ 2019'!$C$3:$T$288,$A122,FALSE),0)</f>
        <v>0</v>
      </c>
      <c r="HN122" s="314">
        <f>IFERROR(VLOOKUP(HN$1,'PZ 2019'!$C$3:$T$288,$A122,FALSE),0)</f>
        <v>0</v>
      </c>
      <c r="HO122" s="314">
        <f>IFERROR(VLOOKUP(HO$1,'PZ 2019'!$C$3:$T$288,$A122,FALSE),0)</f>
        <v>0</v>
      </c>
      <c r="HP122" s="314">
        <f>IFERROR(VLOOKUP(HP$1,'PZ 2019'!$C$3:$T$288,$A122,FALSE),0)</f>
        <v>989703</v>
      </c>
      <c r="HQ122" s="314">
        <f>IFERROR(VLOOKUP(HQ$1,'PZ 2019'!$C$3:$T$288,$A122,FALSE),0)</f>
        <v>0</v>
      </c>
      <c r="HR122" s="314">
        <f>IFERROR(VLOOKUP(HR$1,'PZ 2019'!$C$3:$T$288,$A122,FALSE),0)</f>
        <v>0</v>
      </c>
      <c r="HS122" s="314">
        <f>IFERROR(VLOOKUP(HS$1,'PZ 2019'!$C$3:$T$288,$A122,FALSE),0)</f>
        <v>0</v>
      </c>
      <c r="HT122" s="314">
        <f>IFERROR(VLOOKUP(HT$1,'PZ 2019'!$C$3:$T$288,$A122,FALSE),0)</f>
        <v>0</v>
      </c>
      <c r="HU122" s="314">
        <f>IFERROR(VLOOKUP(HU$1,'PZ 2019'!$C$3:$T$288,$A122,FALSE),0)</f>
        <v>0</v>
      </c>
      <c r="HV122" s="314">
        <f>IFERROR(VLOOKUP(HV$1,'PZ 2019'!$C$3:$T$288,$A122,FALSE),0)</f>
        <v>0</v>
      </c>
      <c r="HW122" s="314">
        <f>IFERROR(VLOOKUP(HW$1,'PZ 2019'!$C$3:$T$288,$A122,FALSE),0)</f>
        <v>0</v>
      </c>
      <c r="HX122" s="314">
        <f>IFERROR(VLOOKUP(HX$1,'PZ 2019'!$C$3:$T$288,$A122,FALSE),0)</f>
        <v>0</v>
      </c>
      <c r="HY122" s="314">
        <f>IFERROR(VLOOKUP(HY$1,'PZ 2019'!$C$3:$T$288,$A122,FALSE),0)</f>
        <v>0</v>
      </c>
      <c r="HZ122" s="314">
        <f>IFERROR(VLOOKUP(HZ$1,'PZ 2019'!$C$3:$T$288,$A122,FALSE),0)</f>
        <v>0</v>
      </c>
      <c r="IA122" s="314">
        <f>IFERROR(VLOOKUP(IA$1,'PZ 2019'!$C$3:$T$288,$A122,FALSE),0)</f>
        <v>0</v>
      </c>
      <c r="IB122" s="314">
        <f>IFERROR(VLOOKUP(IB$1,'PZ 2019'!$C$3:$T$288,$A122,FALSE),0)</f>
        <v>0</v>
      </c>
      <c r="IC122" s="314">
        <f>IFERROR(VLOOKUP(IC$1,'PZ 2019'!$C$3:$T$288,$A122,FALSE),0)</f>
        <v>0</v>
      </c>
      <c r="ID122" s="314">
        <f>IFERROR(VLOOKUP(ID$1,'PZ 2019'!$C$3:$T$288,$A122,FALSE),0)</f>
        <v>0</v>
      </c>
      <c r="IE122" s="314">
        <f>IFERROR(VLOOKUP(IE$1,'PZ 2019'!$C$3:$T$288,$A122,FALSE),0)</f>
        <v>0</v>
      </c>
      <c r="IF122" s="314">
        <f>IFERROR(VLOOKUP(IF$1,'PZ 2019'!$C$3:$T$288,$A122,FALSE),0)</f>
        <v>0</v>
      </c>
      <c r="IG122" s="314">
        <f>IFERROR(VLOOKUP(IG$1,'PZ 2019'!$C$3:$T$288,$A122,FALSE),0)</f>
        <v>0</v>
      </c>
      <c r="IH122" s="314">
        <f>IFERROR(VLOOKUP(IH$1,'PZ 2019'!$C$3:$T$288,$A122,FALSE),0)</f>
        <v>0</v>
      </c>
      <c r="II122" s="314">
        <f>IFERROR(VLOOKUP(II$1,'PZ 2019'!$C$3:$T$288,$A122,FALSE),0)</f>
        <v>0</v>
      </c>
      <c r="IJ122" s="314">
        <f>IFERROR(VLOOKUP(IJ$1,'PZ 2019'!$C$3:$T$288,$A122,FALSE),0)</f>
        <v>0</v>
      </c>
      <c r="IK122" s="314">
        <f>IFERROR(VLOOKUP(IK$1,'PZ 2019'!$C$3:$T$288,$A122,FALSE),0)</f>
        <v>0</v>
      </c>
      <c r="IL122" s="314">
        <f>IFERROR(VLOOKUP(IL$1,'PZ 2019'!$C$3:$T$288,$A122,FALSE),0)</f>
        <v>0</v>
      </c>
      <c r="IM122" s="314">
        <f>IFERROR(VLOOKUP(IM$1,'PZ 2019'!$C$3:$T$288,$A122,FALSE),0)</f>
        <v>0</v>
      </c>
      <c r="IN122" s="314">
        <f>IFERROR(VLOOKUP(IN$1,'PZ 2019'!$C$3:$T$288,$A122,FALSE),0)</f>
        <v>0</v>
      </c>
      <c r="IO122" s="314">
        <f>IFERROR(VLOOKUP(IO$1,'PZ 2019'!$C$3:$T$288,$A122,FALSE),0)</f>
        <v>0</v>
      </c>
      <c r="IP122" s="314">
        <f>IFERROR(VLOOKUP(IP$1,'PZ 2019'!$C$3:$T$288,$A122,FALSE),0)</f>
        <v>0</v>
      </c>
      <c r="IQ122" s="314">
        <f>IFERROR(VLOOKUP(IQ$1,'PZ 2019'!$C$3:$T$288,$A122,FALSE),0)</f>
        <v>0</v>
      </c>
      <c r="IR122" s="314">
        <f>IFERROR(VLOOKUP(IR$1,'PZ 2019'!$C$3:$T$288,$A122,FALSE),0)</f>
        <v>0</v>
      </c>
      <c r="IS122" s="314">
        <f>IFERROR(VLOOKUP(IS$1,'PZ 2019'!$C$3:$T$288,$A122,FALSE),0)</f>
        <v>0</v>
      </c>
      <c r="IT122" s="314">
        <f>IFERROR(VLOOKUP(IT$1,'PZ 2019'!$C$3:$T$288,$A122,FALSE),0)</f>
        <v>0</v>
      </c>
      <c r="IU122" s="314">
        <f>IFERROR(VLOOKUP(IU$1,'PZ 2019'!$C$3:$T$288,$A122,FALSE),0)</f>
        <v>0</v>
      </c>
      <c r="IV122" s="314">
        <f>IFERROR(VLOOKUP(IV$1,'PZ 2019'!$C$3:$T$288,$A122,FALSE),0)</f>
        <v>0</v>
      </c>
      <c r="IW122" s="314">
        <f>IFERROR(VLOOKUP(IW$1,'PZ 2019'!$C$3:$T$288,$A122,FALSE),0)</f>
        <v>0</v>
      </c>
      <c r="IX122" s="314">
        <f>IFERROR(VLOOKUP(IX$1,'PZ 2019'!$C$3:$T$288,$A122,FALSE),0)</f>
        <v>0</v>
      </c>
      <c r="IY122" s="314">
        <f>IFERROR(VLOOKUP(IY$1,'PZ 2019'!$C$3:$T$288,$A122,FALSE),0)</f>
        <v>0</v>
      </c>
      <c r="IZ122" s="314">
        <f>IFERROR(VLOOKUP(IZ$1,'PZ 2019'!$C$3:$T$288,$A122,FALSE),0)</f>
        <v>0</v>
      </c>
      <c r="JA122" s="314">
        <f>IFERROR(VLOOKUP(JA$1,'PZ 2019'!$C$3:$T$288,$A122,FALSE),0)</f>
        <v>0</v>
      </c>
      <c r="JB122" s="314">
        <f>IFERROR(VLOOKUP(JB$1,'PZ 2019'!$C$3:$T$288,$A122,FALSE),0)</f>
        <v>0</v>
      </c>
      <c r="JC122" s="314">
        <f>IFERROR(VLOOKUP(JC$1,'PZ 2019'!$C$3:$T$288,$A122,FALSE),0)</f>
        <v>0</v>
      </c>
      <c r="JD122" s="314">
        <f>IFERROR(VLOOKUP(JD$1,'PZ 2019'!$C$3:$T$288,$A122,FALSE),0)</f>
        <v>0</v>
      </c>
      <c r="JE122" s="314">
        <f>IFERROR(VLOOKUP(JE$1,'PZ 2019'!$C$3:$T$288,$A122,FALSE),0)</f>
        <v>0</v>
      </c>
      <c r="JF122" s="314">
        <f>IFERROR(VLOOKUP(JF$1,'PZ 2019'!$C$3:$T$288,$A122,FALSE),0)</f>
        <v>0</v>
      </c>
      <c r="JG122" s="314">
        <f>IFERROR(VLOOKUP(JG$1,'PZ 2019'!$C$3:$T$288,$A122,FALSE),0)</f>
        <v>0</v>
      </c>
      <c r="JH122" s="314">
        <f>IFERROR(VLOOKUP(JH$1,'PZ 2019'!$C$3:$T$288,$A122,FALSE),0)</f>
        <v>0</v>
      </c>
      <c r="JI122" s="314">
        <f t="shared" si="593"/>
        <v>989703</v>
      </c>
      <c r="JL122" s="307">
        <f t="shared" si="594"/>
        <v>0</v>
      </c>
      <c r="JM122" s="307">
        <f t="shared" si="594"/>
        <v>0</v>
      </c>
      <c r="JN122" s="307">
        <f t="shared" si="594"/>
        <v>0</v>
      </c>
      <c r="JO122" s="307">
        <f t="shared" si="594"/>
        <v>989703</v>
      </c>
      <c r="JP122" s="307">
        <f t="shared" si="595"/>
        <v>989703</v>
      </c>
    </row>
    <row r="123" spans="1:276" s="307" customFormat="1" x14ac:dyDescent="0.25">
      <c r="A123" s="314">
        <v>16</v>
      </c>
      <c r="B123" s="314" t="s">
        <v>2545</v>
      </c>
      <c r="C123" s="314">
        <f>IFERROR(VLOOKUP(C$1,'PZ 2019'!$C$3:$T$288,$A123,FALSE),0)</f>
        <v>0</v>
      </c>
      <c r="D123" s="314">
        <f>IFERROR(VLOOKUP(D$1,'PZ 2019'!$C$3:$T$288,$A123,FALSE),0)</f>
        <v>0</v>
      </c>
      <c r="E123" s="314">
        <f>IFERROR(VLOOKUP(E$1,'PZ 2019'!$C$3:$T$288,$A123,FALSE),0)</f>
        <v>0</v>
      </c>
      <c r="F123" s="314">
        <f>IFERROR(VLOOKUP(F$1,'PZ 2019'!$C$3:$T$288,$A123,FALSE),0)</f>
        <v>0</v>
      </c>
      <c r="G123" s="314">
        <f>IFERROR(VLOOKUP(G$1,'PZ 2019'!$C$3:$T$288,$A123,FALSE),0)</f>
        <v>0</v>
      </c>
      <c r="H123" s="314">
        <f>IFERROR(VLOOKUP(H$1,'PZ 2019'!$C$3:$T$288,$A123,FALSE),0)</f>
        <v>0</v>
      </c>
      <c r="I123" s="314">
        <f>IFERROR(VLOOKUP(I$1,'PZ 2019'!$C$3:$T$288,$A123,FALSE),0)</f>
        <v>0</v>
      </c>
      <c r="J123" s="314">
        <f>IFERROR(VLOOKUP(J$1,'PZ 2019'!$C$3:$T$288,$A123,FALSE),0)</f>
        <v>0</v>
      </c>
      <c r="K123" s="314">
        <f>IFERROR(VLOOKUP(K$1,'PZ 2019'!$C$3:$T$288,$A123,FALSE),0)</f>
        <v>0</v>
      </c>
      <c r="L123" s="314">
        <f>IFERROR(VLOOKUP(L$1,'PZ 2019'!$C$3:$T$288,$A123,FALSE),0)</f>
        <v>0</v>
      </c>
      <c r="M123" s="314">
        <f>IFERROR(VLOOKUP(M$1,'PZ 2019'!$C$3:$T$288,$A123,FALSE),0)</f>
        <v>0</v>
      </c>
      <c r="N123" s="314">
        <f>IFERROR(VLOOKUP(N$1,'PZ 2019'!$C$3:$T$288,$A123,FALSE),0)</f>
        <v>0</v>
      </c>
      <c r="O123" s="314">
        <f>IFERROR(VLOOKUP(O$1,'PZ 2019'!$C$3:$T$288,$A123,FALSE),0)</f>
        <v>0</v>
      </c>
      <c r="P123" s="314">
        <f>IFERROR(VLOOKUP(P$1,'PZ 2019'!$C$3:$T$288,$A123,FALSE),0)</f>
        <v>0</v>
      </c>
      <c r="Q123" s="314">
        <f>IFERROR(VLOOKUP(Q$1,'PZ 2019'!$C$3:$T$288,$A123,FALSE),0)</f>
        <v>0</v>
      </c>
      <c r="R123" s="314">
        <f>IFERROR(VLOOKUP(R$1,'PZ 2019'!$C$3:$T$288,$A123,FALSE),0)</f>
        <v>0</v>
      </c>
      <c r="S123" s="314">
        <f>IFERROR(VLOOKUP(S$1,'PZ 2019'!$C$3:$T$288,$A123,FALSE),0)</f>
        <v>0</v>
      </c>
      <c r="T123" s="314">
        <f>IFERROR(VLOOKUP(T$1,'PZ 2019'!$C$3:$T$288,$A123,FALSE),0)</f>
        <v>0</v>
      </c>
      <c r="U123" s="314">
        <f>IFERROR(VLOOKUP(U$1,'PZ 2019'!$C$3:$T$288,$A123,FALSE),0)</f>
        <v>0</v>
      </c>
      <c r="V123" s="314">
        <f>IFERROR(VLOOKUP(V$1,'PZ 2019'!$C$3:$T$288,$A123,FALSE),0)</f>
        <v>0</v>
      </c>
      <c r="W123" s="314">
        <f>IFERROR(VLOOKUP(W$1,'PZ 2019'!$C$3:$T$288,$A123,FALSE),0)</f>
        <v>0</v>
      </c>
      <c r="X123" s="314">
        <f>IFERROR(VLOOKUP(X$1,'PZ 2019'!$C$3:$T$288,$A123,FALSE),0)</f>
        <v>0</v>
      </c>
      <c r="Y123" s="314">
        <f>IFERROR(VLOOKUP(Y$1,'PZ 2019'!$C$3:$T$288,$A123,FALSE),0)</f>
        <v>0</v>
      </c>
      <c r="Z123" s="314">
        <f>IFERROR(VLOOKUP(Z$1,'PZ 2019'!$C$3:$T$288,$A123,FALSE),0)</f>
        <v>0</v>
      </c>
      <c r="AA123" s="314">
        <f>IFERROR(VLOOKUP(AA$1,'PZ 2019'!$C$3:$T$288,$A123,FALSE),0)</f>
        <v>0</v>
      </c>
      <c r="AB123" s="314">
        <f>IFERROR(VLOOKUP(AB$1,'PZ 2019'!$C$3:$T$288,$A123,FALSE),0)</f>
        <v>0</v>
      </c>
      <c r="AC123" s="314">
        <f>IFERROR(VLOOKUP(AC$1,'PZ 2019'!$C$3:$T$288,$A123,FALSE),0)</f>
        <v>0</v>
      </c>
      <c r="AD123" s="314">
        <f>IFERROR(VLOOKUP(AD$1,'PZ 2019'!$C$3:$T$288,$A123,FALSE),0)</f>
        <v>0</v>
      </c>
      <c r="AE123" s="314">
        <f>IFERROR(VLOOKUP(AE$1,'PZ 2019'!$C$3:$T$288,$A123,FALSE),0)</f>
        <v>0</v>
      </c>
      <c r="AF123" s="314">
        <f>IFERROR(VLOOKUP(AF$1,'PZ 2019'!$C$3:$T$288,$A123,FALSE),0)</f>
        <v>0</v>
      </c>
      <c r="AG123" s="314">
        <f>IFERROR(VLOOKUP(AG$1,'PZ 2019'!$C$3:$T$288,$A123,FALSE),0)</f>
        <v>0</v>
      </c>
      <c r="AH123" s="314">
        <f>IFERROR(VLOOKUP(AH$1,'PZ 2019'!$C$3:$T$288,$A123,FALSE),0)</f>
        <v>0</v>
      </c>
      <c r="AI123" s="314">
        <f>IFERROR(VLOOKUP(AI$1,'PZ 2019'!$C$3:$T$288,$A123,FALSE),0)</f>
        <v>0</v>
      </c>
      <c r="AJ123" s="314">
        <f>IFERROR(VLOOKUP(AJ$1,'PZ 2019'!$C$3:$T$288,$A123,FALSE),0)</f>
        <v>0</v>
      </c>
      <c r="AK123" s="314">
        <f>IFERROR(VLOOKUP(AK$1,'PZ 2019'!$C$3:$T$288,$A123,FALSE),0)</f>
        <v>41147</v>
      </c>
      <c r="AL123" s="314">
        <f>IFERROR(VLOOKUP(AL$1,'PZ 2019'!$C$3:$T$288,$A123,FALSE),0)</f>
        <v>0</v>
      </c>
      <c r="AM123" s="314">
        <f>IFERROR(VLOOKUP(AM$1,'PZ 2019'!$C$3:$T$288,$A123,FALSE),0)</f>
        <v>0</v>
      </c>
      <c r="AN123" s="314">
        <f>IFERROR(VLOOKUP(AN$1,'PZ 2019'!$C$3:$T$288,$A123,FALSE),0)</f>
        <v>0</v>
      </c>
      <c r="AO123" s="314">
        <f>IFERROR(VLOOKUP(AO$1,'PZ 2019'!$C$3:$T$288,$A123,FALSE),0)</f>
        <v>0</v>
      </c>
      <c r="AP123" s="314">
        <f>IFERROR(VLOOKUP(AP$1,'PZ 2019'!$C$3:$T$288,$A123,FALSE),0)</f>
        <v>0</v>
      </c>
      <c r="AQ123" s="314">
        <f>IFERROR(VLOOKUP(AQ$1,'PZ 2019'!$C$3:$T$288,$A123,FALSE),0)</f>
        <v>0</v>
      </c>
      <c r="AR123" s="314">
        <f>IFERROR(VLOOKUP(AR$1,'PZ 2019'!$C$3:$T$288,$A123,FALSE),0)</f>
        <v>0</v>
      </c>
      <c r="AS123" s="314">
        <f>IFERROR(VLOOKUP(AS$1,'PZ 2019'!$C$3:$T$288,$A123,FALSE),0)</f>
        <v>0</v>
      </c>
      <c r="AT123" s="314">
        <f>IFERROR(VLOOKUP(AT$1,'PZ 2019'!$C$3:$T$288,$A123,FALSE),0)</f>
        <v>0</v>
      </c>
      <c r="AU123" s="314">
        <f>IFERROR(VLOOKUP(AU$1,'PZ 2019'!$C$3:$T$288,$A123,FALSE),0)</f>
        <v>0</v>
      </c>
      <c r="AV123" s="314">
        <f>IFERROR(VLOOKUP(AV$1,'PZ 2019'!$C$3:$T$288,$A123,FALSE),0)</f>
        <v>0</v>
      </c>
      <c r="AW123" s="314">
        <f>IFERROR(VLOOKUP(AW$1,'PZ 2019'!$C$3:$T$288,$A123,FALSE),0)</f>
        <v>0</v>
      </c>
      <c r="AX123" s="314">
        <f>IFERROR(VLOOKUP(AX$1,'PZ 2019'!$C$3:$T$288,$A123,FALSE),0)</f>
        <v>0</v>
      </c>
      <c r="AY123" s="314">
        <f>IFERROR(VLOOKUP(AY$1,'PZ 2019'!$C$3:$T$288,$A123,FALSE),0)</f>
        <v>0</v>
      </c>
      <c r="AZ123" s="314">
        <f>IFERROR(VLOOKUP(AZ$1,'PZ 2019'!$C$3:$T$288,$A123,FALSE),0)</f>
        <v>0</v>
      </c>
      <c r="BA123" s="314">
        <f>IFERROR(VLOOKUP(BA$1,'PZ 2019'!$C$3:$T$288,$A123,FALSE),0)</f>
        <v>0</v>
      </c>
      <c r="BB123" s="314">
        <f>IFERROR(VLOOKUP(BB$1,'PZ 2019'!$C$3:$T$288,$A123,FALSE),0)</f>
        <v>0</v>
      </c>
      <c r="BC123" s="314">
        <f>IFERROR(VLOOKUP(BC$1,'PZ 2019'!$C$3:$T$288,$A123,FALSE),0)</f>
        <v>0</v>
      </c>
      <c r="BD123" s="314">
        <f>IFERROR(VLOOKUP(BD$1,'PZ 2019'!$C$3:$T$288,$A123,FALSE),0)</f>
        <v>0</v>
      </c>
      <c r="BE123" s="314">
        <f>IFERROR(VLOOKUP(BE$1,'PZ 2019'!$C$3:$T$288,$A123,FALSE),0)</f>
        <v>0</v>
      </c>
      <c r="BF123" s="314">
        <f>IFERROR(VLOOKUP(BF$1,'PZ 2019'!$C$3:$T$288,$A123,FALSE),0)</f>
        <v>847190</v>
      </c>
      <c r="BG123" s="314">
        <f>IFERROR(VLOOKUP(BG$1,'PZ 2019'!$C$3:$T$288,$A123,FALSE),0)</f>
        <v>645000</v>
      </c>
      <c r="BH123" s="314">
        <f>IFERROR(VLOOKUP(BH$1,'PZ 2019'!$C$3:$T$288,$A123,FALSE),0)</f>
        <v>667000</v>
      </c>
      <c r="BI123" s="314">
        <f>IFERROR(VLOOKUP(BI$1,'PZ 2019'!$C$3:$T$288,$A123,FALSE),0)</f>
        <v>0</v>
      </c>
      <c r="BJ123" s="314">
        <f>IFERROR(VLOOKUP(BJ$1,'PZ 2019'!$C$3:$T$288,$A123,FALSE),0)</f>
        <v>0</v>
      </c>
      <c r="BK123" s="314">
        <f>IFERROR(VLOOKUP(BK$1,'PZ 2019'!$C$3:$T$288,$A123,FALSE),0)</f>
        <v>0</v>
      </c>
      <c r="BL123" s="314">
        <f>IFERROR(VLOOKUP(BL$1,'PZ 2019'!$C$3:$T$288,$A123,FALSE),0)</f>
        <v>0</v>
      </c>
      <c r="BM123" s="314">
        <f>IFERROR(VLOOKUP(BM$1,'PZ 2019'!$C$3:$T$288,$A123,FALSE),0)</f>
        <v>0</v>
      </c>
      <c r="BN123" s="314">
        <f>IFERROR(VLOOKUP(BN$1,'PZ 2019'!$C$3:$T$288,$A123,FALSE),0)</f>
        <v>0</v>
      </c>
      <c r="BO123" s="314">
        <f>IFERROR(VLOOKUP(BO$1,'PZ 2019'!$C$3:$T$288,$A123,FALSE),0)</f>
        <v>0</v>
      </c>
      <c r="BP123" s="314">
        <f>IFERROR(VLOOKUP(BP$1,'PZ 2019'!$C$3:$T$288,$A123,FALSE),0)</f>
        <v>0</v>
      </c>
      <c r="BQ123" s="314">
        <f>IFERROR(VLOOKUP(BQ$1,'PZ 2019'!$C$3:$T$288,$A123,FALSE),0)</f>
        <v>0</v>
      </c>
      <c r="BR123" s="314">
        <f>IFERROR(VLOOKUP(BR$1,'PZ 2019'!$C$3:$T$288,$A123,FALSE),0)</f>
        <v>0</v>
      </c>
      <c r="BS123" s="314">
        <f>IFERROR(VLOOKUP(BS$1,'PZ 2019'!$C$3:$T$288,$A123,FALSE),0)</f>
        <v>0</v>
      </c>
      <c r="BT123" s="314">
        <f>IFERROR(VLOOKUP(BT$1,'PZ 2019'!$C$3:$T$288,$A123,FALSE),0)</f>
        <v>0</v>
      </c>
      <c r="BU123" s="314">
        <f>IFERROR(VLOOKUP(BU$1,'PZ 2019'!$C$3:$T$288,$A123,FALSE),0)</f>
        <v>0</v>
      </c>
      <c r="BV123" s="314">
        <f>IFERROR(VLOOKUP(BV$1,'PZ 2019'!$C$3:$T$288,$A123,FALSE),0)</f>
        <v>0</v>
      </c>
      <c r="BW123" s="314">
        <f>IFERROR(VLOOKUP(BW$1,'PZ 2019'!$C$3:$T$288,$A123,FALSE),0)</f>
        <v>0</v>
      </c>
      <c r="BX123" s="314">
        <f>IFERROR(VLOOKUP(BX$1,'PZ 2019'!$C$3:$T$288,$A123,FALSE),0)</f>
        <v>0</v>
      </c>
      <c r="BY123" s="314">
        <f>IFERROR(VLOOKUP(BY$1,'PZ 2019'!$C$3:$T$288,$A123,FALSE),0)</f>
        <v>0</v>
      </c>
      <c r="BZ123" s="314">
        <f>IFERROR(VLOOKUP(BZ$1,'PZ 2019'!$C$3:$T$288,$A123,FALSE),0)</f>
        <v>0</v>
      </c>
      <c r="CA123" s="314">
        <f>IFERROR(VLOOKUP(CA$1,'PZ 2019'!$C$3:$T$288,$A123,FALSE),0)</f>
        <v>0</v>
      </c>
      <c r="CB123" s="314">
        <f>IFERROR(VLOOKUP(CB$1,'PZ 2019'!$C$3:$T$288,$A123,FALSE),0)</f>
        <v>0</v>
      </c>
      <c r="CC123" s="314">
        <f>IFERROR(VLOOKUP(CC$1,'PZ 2019'!$C$3:$T$288,$A123,FALSE),0)</f>
        <v>0</v>
      </c>
      <c r="CD123" s="314">
        <f>IFERROR(VLOOKUP(CD$1,'PZ 2019'!$C$3:$T$288,$A123,FALSE),0)</f>
        <v>0</v>
      </c>
      <c r="CE123" s="314">
        <f>IFERROR(VLOOKUP(CE$1,'PZ 2019'!$C$3:$T$288,$A123,FALSE),0)</f>
        <v>0</v>
      </c>
      <c r="CF123" s="314">
        <f>IFERROR(VLOOKUP(CF$1,'PZ 2019'!$C$3:$T$288,$A123,FALSE),0)</f>
        <v>0</v>
      </c>
      <c r="CG123" s="314">
        <f>IFERROR(VLOOKUP(CG$1,'PZ 2019'!$C$3:$T$288,$A123,FALSE),0)</f>
        <v>126000</v>
      </c>
      <c r="CH123" s="314">
        <f>IFERROR(VLOOKUP(CH$1,'PZ 2019'!$C$3:$T$288,$A123,FALSE),0)</f>
        <v>0</v>
      </c>
      <c r="CI123" s="314">
        <f>IFERROR(VLOOKUP(CI$1,'PZ 2019'!$C$3:$T$288,$A123,FALSE),0)</f>
        <v>0</v>
      </c>
      <c r="CJ123" s="314">
        <f>IFERROR(VLOOKUP(CJ$1,'PZ 2019'!$C$3:$T$288,$A123,FALSE),0)</f>
        <v>0</v>
      </c>
      <c r="CK123" s="314">
        <f>IFERROR(VLOOKUP(CK$1,'PZ 2019'!$C$3:$T$288,$A123,FALSE),0)</f>
        <v>0</v>
      </c>
      <c r="CL123" s="314">
        <f>IFERROR(VLOOKUP(CL$1,'PZ 2019'!$C$3:$T$288,$A123,FALSE),0)</f>
        <v>0</v>
      </c>
      <c r="CM123" s="314">
        <f>IFERROR(VLOOKUP(CM$1,'PZ 2019'!$C$3:$T$288,$A123,FALSE),0)</f>
        <v>0</v>
      </c>
      <c r="CN123" s="314">
        <f>IFERROR(VLOOKUP(CN$1,'PZ 2019'!$C$3:$T$288,$A123,FALSE),0)</f>
        <v>0</v>
      </c>
      <c r="CO123" s="314">
        <f>IFERROR(VLOOKUP(CO$1,'PZ 2019'!$C$3:$T$288,$A123,FALSE),0)</f>
        <v>0</v>
      </c>
      <c r="CP123" s="314">
        <f>IFERROR(VLOOKUP(CP$1,'PZ 2019'!$C$3:$T$288,$A123,FALSE),0)</f>
        <v>0</v>
      </c>
      <c r="CQ123" s="314">
        <f>IFERROR(VLOOKUP(CQ$1,'PZ 2019'!$C$3:$T$288,$A123,FALSE),0)</f>
        <v>0</v>
      </c>
      <c r="CR123" s="314">
        <f>IFERROR(VLOOKUP(CR$1,'PZ 2019'!$C$3:$T$288,$A123,FALSE),0)</f>
        <v>0</v>
      </c>
      <c r="CS123" s="314">
        <f>IFERROR(VLOOKUP(CS$1,'PZ 2019'!$C$3:$T$288,$A123,FALSE),0)</f>
        <v>0</v>
      </c>
      <c r="CT123" s="314">
        <f>IFERROR(VLOOKUP(CT$1,'PZ 2019'!$C$3:$T$288,$A123,FALSE),0)</f>
        <v>0</v>
      </c>
      <c r="CU123" s="314">
        <f>IFERROR(VLOOKUP(CU$1,'PZ 2019'!$C$3:$T$288,$A123,FALSE),0)</f>
        <v>0</v>
      </c>
      <c r="CV123" s="314">
        <f>IFERROR(VLOOKUP(CV$1,'PZ 2019'!$C$3:$T$288,$A123,FALSE),0)</f>
        <v>0</v>
      </c>
      <c r="CW123" s="314">
        <f>IFERROR(VLOOKUP(CW$1,'PZ 2019'!$C$3:$T$288,$A123,FALSE),0)</f>
        <v>0</v>
      </c>
      <c r="CX123" s="314">
        <f>IFERROR(VLOOKUP(CX$1,'PZ 2019'!$C$3:$T$288,$A123,FALSE),0)</f>
        <v>0</v>
      </c>
      <c r="CY123" s="314">
        <f>IFERROR(VLOOKUP(CY$1,'PZ 2019'!$C$3:$T$288,$A123,FALSE),0)</f>
        <v>0</v>
      </c>
      <c r="CZ123" s="314">
        <f>IFERROR(VLOOKUP(CZ$1,'PZ 2019'!$C$3:$T$288,$A123,FALSE),0)</f>
        <v>0</v>
      </c>
      <c r="DA123" s="314">
        <f>IFERROR(VLOOKUP(DA$1,'PZ 2019'!$C$3:$T$288,$A123,FALSE),0)</f>
        <v>0</v>
      </c>
      <c r="DB123" s="314">
        <f>IFERROR(VLOOKUP(DB$1,'PZ 2019'!$C$3:$T$288,$A123,FALSE),0)</f>
        <v>0</v>
      </c>
      <c r="DC123" s="314">
        <f>IFERROR(VLOOKUP(DC$1,'PZ 2019'!$C$3:$T$288,$A123,FALSE),0)</f>
        <v>0</v>
      </c>
      <c r="DD123" s="314">
        <f>IFERROR(VLOOKUP(DD$1,'PZ 2019'!$C$3:$T$288,$A123,FALSE),0)</f>
        <v>0</v>
      </c>
      <c r="DE123" s="314">
        <f>IFERROR(VLOOKUP(DE$1,'PZ 2019'!$C$3:$T$288,$A123,FALSE),0)</f>
        <v>0</v>
      </c>
      <c r="DF123" s="314">
        <f>IFERROR(VLOOKUP(DF$1,'PZ 2019'!$C$3:$T$288,$A123,FALSE),0)</f>
        <v>4788066</v>
      </c>
      <c r="DG123" s="314">
        <f>IFERROR(VLOOKUP(DG$1,'PZ 2019'!$C$3:$T$288,$A123,FALSE),0)</f>
        <v>0</v>
      </c>
      <c r="DH123" s="314">
        <f>IFERROR(VLOOKUP(DH$1,'PZ 2019'!$C$3:$T$288,$A123,FALSE),0)</f>
        <v>0</v>
      </c>
      <c r="DI123" s="314">
        <f>IFERROR(VLOOKUP(DI$1,'PZ 2019'!$C$3:$T$288,$A123,FALSE),0)</f>
        <v>0</v>
      </c>
      <c r="DJ123" s="314">
        <f>IFERROR(VLOOKUP(DJ$1,'PZ 2019'!$C$3:$T$288,$A123,FALSE),0)</f>
        <v>0</v>
      </c>
      <c r="DK123" s="314">
        <f>IFERROR(VLOOKUP(DK$1,'PZ 2019'!$C$3:$T$288,$A123,FALSE),0)</f>
        <v>0</v>
      </c>
      <c r="DL123" s="314">
        <f>IFERROR(VLOOKUP(DL$1,'PZ 2019'!$C$3:$T$288,$A123,FALSE),0)</f>
        <v>0</v>
      </c>
      <c r="DM123" s="314">
        <f>IFERROR(VLOOKUP(DM$1,'PZ 2019'!$C$3:$T$288,$A123,FALSE),0)</f>
        <v>0</v>
      </c>
      <c r="DN123" s="314">
        <f>IFERROR(VLOOKUP(DN$1,'PZ 2019'!$C$3:$T$288,$A123,FALSE),0)</f>
        <v>0</v>
      </c>
      <c r="DO123" s="314">
        <f>IFERROR(VLOOKUP(DO$1,'PZ 2019'!$C$3:$T$288,$A123,FALSE),0)</f>
        <v>0</v>
      </c>
      <c r="DP123" s="314">
        <f>IFERROR(VLOOKUP(DP$1,'PZ 2019'!$C$3:$T$288,$A123,FALSE),0)</f>
        <v>0</v>
      </c>
      <c r="DQ123" s="314">
        <f>IFERROR(VLOOKUP(DQ$1,'PZ 2019'!$C$3:$T$288,$A123,FALSE),0)</f>
        <v>0</v>
      </c>
      <c r="DR123" s="314">
        <f>IFERROR(VLOOKUP(DR$1,'PZ 2019'!$C$3:$T$288,$A123,FALSE),0)</f>
        <v>0</v>
      </c>
      <c r="DS123" s="314">
        <f>IFERROR(VLOOKUP(DS$1,'PZ 2019'!$C$3:$T$288,$A123,FALSE),0)</f>
        <v>0</v>
      </c>
      <c r="DT123" s="314">
        <f>IFERROR(VLOOKUP(DT$1,'PZ 2019'!$C$3:$T$288,$A123,FALSE),0)</f>
        <v>0</v>
      </c>
      <c r="DU123" s="314">
        <f>IFERROR(VLOOKUP(DU$1,'PZ 2019'!$C$3:$T$288,$A123,FALSE),0)</f>
        <v>0</v>
      </c>
      <c r="DV123" s="314">
        <f>IFERROR(VLOOKUP(DV$1,'PZ 2019'!$C$3:$T$288,$A123,FALSE),0)</f>
        <v>0</v>
      </c>
      <c r="DW123" s="314">
        <f>IFERROR(VLOOKUP(DW$1,'PZ 2019'!$C$3:$T$288,$A123,FALSE),0)</f>
        <v>0</v>
      </c>
      <c r="DX123" s="314">
        <f>IFERROR(VLOOKUP(DX$1,'PZ 2019'!$C$3:$T$288,$A123,FALSE),0)</f>
        <v>0</v>
      </c>
      <c r="DY123" s="314">
        <f>IFERROR(VLOOKUP(DY$1,'PZ 2019'!$C$3:$T$288,$A123,FALSE),0)</f>
        <v>0</v>
      </c>
      <c r="DZ123" s="314">
        <f>IFERROR(VLOOKUP(DZ$1,'PZ 2019'!$C$3:$T$288,$A123,FALSE),0)</f>
        <v>0</v>
      </c>
      <c r="EA123" s="314">
        <f>IFERROR(VLOOKUP(EA$1,'PZ 2019'!$C$3:$T$288,$A123,FALSE),0)</f>
        <v>0</v>
      </c>
      <c r="EB123" s="314">
        <f>IFERROR(VLOOKUP(EB$1,'PZ 2019'!$C$3:$T$288,$A123,FALSE),0)</f>
        <v>0</v>
      </c>
      <c r="EC123" s="314">
        <f>IFERROR(VLOOKUP(EC$1,'PZ 2019'!$C$3:$T$288,$A123,FALSE),0)</f>
        <v>108000</v>
      </c>
      <c r="ED123" s="314">
        <f>IFERROR(VLOOKUP(ED$1,'PZ 2019'!$C$3:$T$288,$A123,FALSE),0)</f>
        <v>0</v>
      </c>
      <c r="EE123" s="314">
        <f>IFERROR(VLOOKUP(EE$1,'PZ 2019'!$C$3:$T$288,$A123,FALSE),0)</f>
        <v>0</v>
      </c>
      <c r="EF123" s="314">
        <f>IFERROR(VLOOKUP(EF$1,'PZ 2019'!$C$3:$T$288,$A123,FALSE),0)</f>
        <v>0</v>
      </c>
      <c r="EG123" s="314">
        <f>IFERROR(VLOOKUP(EG$1,'PZ 2019'!$C$3:$T$288,$A123,FALSE),0)</f>
        <v>0</v>
      </c>
      <c r="EH123" s="314">
        <f>IFERROR(VLOOKUP(EH$1,'PZ 2019'!$C$3:$T$288,$A123,FALSE),0)</f>
        <v>0</v>
      </c>
      <c r="EI123" s="314">
        <f>IFERROR(VLOOKUP(EI$1,'PZ 2019'!$C$3:$T$288,$A123,FALSE),0)</f>
        <v>0</v>
      </c>
      <c r="EJ123" s="314">
        <f>IFERROR(VLOOKUP(EJ$1,'PZ 2019'!$C$3:$T$288,$A123,FALSE),0)</f>
        <v>72000.5</v>
      </c>
      <c r="EK123" s="314">
        <f>IFERROR(VLOOKUP(EK$1,'PZ 2019'!$C$3:$T$288,$A123,FALSE),0)</f>
        <v>0</v>
      </c>
      <c r="EL123" s="314">
        <f>IFERROR(VLOOKUP(EL$1,'PZ 2019'!$C$3:$T$288,$A123,FALSE),0)</f>
        <v>0</v>
      </c>
      <c r="EM123" s="314">
        <f>IFERROR(VLOOKUP(EM$1,'PZ 2019'!$C$3:$T$288,$A123,FALSE),0)</f>
        <v>0</v>
      </c>
      <c r="EN123" s="314">
        <f>IFERROR(VLOOKUP(EN$1,'PZ 2019'!$C$3:$T$288,$A123,FALSE),0)</f>
        <v>0</v>
      </c>
      <c r="EO123" s="314">
        <f>IFERROR(VLOOKUP(EO$1,'PZ 2019'!$C$3:$T$288,$A123,FALSE),0)</f>
        <v>0</v>
      </c>
      <c r="EP123" s="314">
        <f>IFERROR(VLOOKUP(EP$1,'PZ 2019'!$C$3:$T$288,$A123,FALSE),0)</f>
        <v>0</v>
      </c>
      <c r="EQ123" s="314">
        <f>IFERROR(VLOOKUP(EQ$1,'PZ 2019'!$C$3:$T$288,$A123,FALSE),0)</f>
        <v>0</v>
      </c>
      <c r="ER123" s="314">
        <f>IFERROR(VLOOKUP(ER$1,'PZ 2019'!$C$3:$T$288,$A123,FALSE),0)</f>
        <v>0</v>
      </c>
      <c r="ES123" s="314">
        <f>IFERROR(VLOOKUP(ES$1,'PZ 2019'!$C$3:$T$288,$A123,FALSE),0)</f>
        <v>0</v>
      </c>
      <c r="ET123" s="314">
        <f>IFERROR(VLOOKUP(ET$1,'PZ 2019'!$C$3:$T$288,$A123,FALSE),0)</f>
        <v>0</v>
      </c>
      <c r="EU123" s="314">
        <f>IFERROR(VLOOKUP(EU$1,'PZ 2019'!$C$3:$T$288,$A123,FALSE),0)</f>
        <v>0</v>
      </c>
      <c r="EV123" s="314">
        <f>IFERROR(VLOOKUP(EV$1,'PZ 2019'!$C$3:$T$288,$A123,FALSE),0)</f>
        <v>0</v>
      </c>
      <c r="EW123" s="314">
        <f>IFERROR(VLOOKUP(EW$1,'PZ 2019'!$C$3:$T$288,$A123,FALSE),0)</f>
        <v>0</v>
      </c>
      <c r="EX123" s="314">
        <f>IFERROR(VLOOKUP(EX$1,'PZ 2019'!$C$3:$T$288,$A123,FALSE),0)</f>
        <v>0</v>
      </c>
      <c r="EY123" s="314">
        <f>IFERROR(VLOOKUP(EY$1,'PZ 2019'!$C$3:$T$288,$A123,FALSE),0)</f>
        <v>0</v>
      </c>
      <c r="EZ123" s="314">
        <f>IFERROR(VLOOKUP(EZ$1,'PZ 2019'!$C$3:$T$288,$A123,FALSE),0)</f>
        <v>0</v>
      </c>
      <c r="FA123" s="314">
        <f>IFERROR(VLOOKUP(FA$1,'PZ 2019'!$C$3:$T$288,$A123,FALSE),0)</f>
        <v>0</v>
      </c>
      <c r="FB123" s="314">
        <f>IFERROR(VLOOKUP(FB$1,'PZ 2019'!$C$3:$T$288,$A123,FALSE),0)</f>
        <v>0</v>
      </c>
      <c r="FC123" s="314">
        <f>IFERROR(VLOOKUP(FC$1,'PZ 2019'!$C$3:$T$288,$A123,FALSE),0)</f>
        <v>0</v>
      </c>
      <c r="FD123" s="314">
        <f>IFERROR(VLOOKUP(FD$1,'PZ 2019'!$C$3:$T$288,$A123,FALSE),0)</f>
        <v>0</v>
      </c>
      <c r="FE123" s="314">
        <f>IFERROR(VLOOKUP(FE$1,'PZ 2019'!$C$3:$T$288,$A123,FALSE),0)</f>
        <v>0</v>
      </c>
      <c r="FF123" s="314">
        <f>IFERROR(VLOOKUP(FF$1,'PZ 2019'!$C$3:$T$288,$A123,FALSE),0)</f>
        <v>0</v>
      </c>
      <c r="FG123" s="314">
        <f>IFERROR(VLOOKUP(FG$1,'PZ 2019'!$C$3:$T$288,$A123,FALSE),0)</f>
        <v>0</v>
      </c>
      <c r="FH123" s="314">
        <f>IFERROR(VLOOKUP(FH$1,'PZ 2019'!$C$3:$T$288,$A123,FALSE),0)</f>
        <v>0</v>
      </c>
      <c r="FI123" s="314">
        <f>IFERROR(VLOOKUP(FI$1,'PZ 2019'!$C$3:$T$288,$A123,FALSE),0)</f>
        <v>0</v>
      </c>
      <c r="FJ123" s="314">
        <f>IFERROR(VLOOKUP(FJ$1,'PZ 2019'!$C$3:$T$288,$A123,FALSE),0)</f>
        <v>0</v>
      </c>
      <c r="FK123" s="314">
        <f>IFERROR(VLOOKUP(FK$1,'PZ 2019'!$C$3:$T$288,$A123,FALSE),0)</f>
        <v>0</v>
      </c>
      <c r="FL123" s="314">
        <f>IFERROR(VLOOKUP(FL$1,'PZ 2019'!$C$3:$T$288,$A123,FALSE),0)</f>
        <v>0</v>
      </c>
      <c r="FM123" s="314">
        <f>IFERROR(VLOOKUP(FM$1,'PZ 2019'!$C$3:$T$288,$A123,FALSE),0)</f>
        <v>0</v>
      </c>
      <c r="FN123" s="314">
        <f>IFERROR(VLOOKUP(FN$1,'PZ 2019'!$C$3:$T$288,$A123,FALSE),0)</f>
        <v>0</v>
      </c>
      <c r="FO123" s="314">
        <f>IFERROR(VLOOKUP(FO$1,'PZ 2019'!$C$3:$T$288,$A123,FALSE),0)</f>
        <v>0</v>
      </c>
      <c r="FP123" s="314">
        <f>IFERROR(VLOOKUP(FP$1,'PZ 2019'!$C$3:$T$288,$A123,FALSE),0)</f>
        <v>0</v>
      </c>
      <c r="FQ123" s="314">
        <f>IFERROR(VLOOKUP(FQ$1,'PZ 2019'!$C$3:$T$288,$A123,FALSE),0)</f>
        <v>0</v>
      </c>
      <c r="FR123" s="314">
        <f>IFERROR(VLOOKUP(FR$1,'PZ 2019'!$C$3:$T$288,$A123,FALSE),0)</f>
        <v>0</v>
      </c>
      <c r="FS123" s="314">
        <f>IFERROR(VLOOKUP(FS$1,'PZ 2019'!$C$3:$T$288,$A123,FALSE),0)</f>
        <v>0</v>
      </c>
      <c r="FT123" s="314">
        <f>IFERROR(VLOOKUP(FT$1,'PZ 2019'!$C$3:$T$288,$A123,FALSE),0)</f>
        <v>0</v>
      </c>
      <c r="FU123" s="314">
        <f>IFERROR(VLOOKUP(FU$1,'PZ 2019'!$C$3:$T$288,$A123,FALSE),0)</f>
        <v>0</v>
      </c>
      <c r="FV123" s="314">
        <f>IFERROR(VLOOKUP(FV$1,'PZ 2019'!$C$3:$T$288,$A123,FALSE),0)</f>
        <v>0</v>
      </c>
      <c r="FW123" s="314">
        <f>IFERROR(VLOOKUP(FW$1,'PZ 2019'!$C$3:$T$288,$A123,FALSE),0)</f>
        <v>0</v>
      </c>
      <c r="FX123" s="314">
        <f>IFERROR(VLOOKUP(FX$1,'PZ 2019'!$C$3:$T$288,$A123,FALSE),0)</f>
        <v>0</v>
      </c>
      <c r="FY123" s="314">
        <f>IFERROR(VLOOKUP(FY$1,'PZ 2019'!$C$3:$T$288,$A123,FALSE),0)</f>
        <v>0</v>
      </c>
      <c r="FZ123" s="314">
        <f>IFERROR(VLOOKUP(FZ$1,'PZ 2019'!$C$3:$T$288,$A123,FALSE),0)</f>
        <v>0</v>
      </c>
      <c r="GA123" s="314">
        <f>IFERROR(VLOOKUP(GA$1,'PZ 2019'!$C$3:$T$288,$A123,FALSE),0)</f>
        <v>0</v>
      </c>
      <c r="GB123" s="314">
        <f>IFERROR(VLOOKUP(GB$1,'PZ 2019'!$C$3:$T$288,$A123,FALSE),0)</f>
        <v>0</v>
      </c>
      <c r="GC123" s="314">
        <f>IFERROR(VLOOKUP(GC$1,'PZ 2019'!$C$3:$T$288,$A123,FALSE),0)</f>
        <v>0</v>
      </c>
      <c r="GD123" s="314">
        <f>IFERROR(VLOOKUP(GD$1,'PZ 2019'!$C$3:$T$288,$A123,FALSE),0)</f>
        <v>0</v>
      </c>
      <c r="GE123" s="314">
        <f>IFERROR(VLOOKUP(GE$1,'PZ 2019'!$C$3:$T$288,$A123,FALSE),0)</f>
        <v>0</v>
      </c>
      <c r="GF123" s="314">
        <f>IFERROR(VLOOKUP(GF$1,'PZ 2019'!$C$3:$T$288,$A123,FALSE),0)</f>
        <v>0</v>
      </c>
      <c r="GG123" s="314">
        <f>IFERROR(VLOOKUP(GG$1,'PZ 2019'!$C$3:$T$288,$A123,FALSE),0)</f>
        <v>0</v>
      </c>
      <c r="GH123" s="314">
        <f>IFERROR(VLOOKUP(GH$1,'PZ 2019'!$C$3:$T$288,$A123,FALSE),0)</f>
        <v>0</v>
      </c>
      <c r="GI123" s="314">
        <f>IFERROR(VLOOKUP(GI$1,'PZ 2019'!$C$3:$T$288,$A123,FALSE),0)</f>
        <v>0</v>
      </c>
      <c r="GJ123" s="314">
        <f>IFERROR(VLOOKUP(GJ$1,'PZ 2019'!$C$3:$T$288,$A123,FALSE),0)</f>
        <v>0</v>
      </c>
      <c r="GK123" s="314">
        <f>IFERROR(VLOOKUP(GK$1,'PZ 2019'!$C$3:$T$288,$A123,FALSE),0)</f>
        <v>0</v>
      </c>
      <c r="GL123" s="314">
        <f>IFERROR(VLOOKUP(GL$1,'PZ 2019'!$C$3:$T$288,$A123,FALSE),0)</f>
        <v>0</v>
      </c>
      <c r="GM123" s="314">
        <f>IFERROR(VLOOKUP(GM$1,'PZ 2019'!$C$3:$T$288,$A123,FALSE),0)</f>
        <v>0</v>
      </c>
      <c r="GN123" s="314">
        <f>IFERROR(VLOOKUP(GN$1,'PZ 2019'!$C$3:$T$288,$A123,FALSE),0)</f>
        <v>0</v>
      </c>
      <c r="GO123" s="314">
        <f>IFERROR(VLOOKUP(GO$1,'PZ 2019'!$C$3:$T$288,$A123,FALSE),0)</f>
        <v>0</v>
      </c>
      <c r="GP123" s="314">
        <f>IFERROR(VLOOKUP(GP$1,'PZ 2019'!$C$3:$T$288,$A123,FALSE),0)</f>
        <v>0</v>
      </c>
      <c r="GQ123" s="314">
        <f>IFERROR(VLOOKUP(GQ$1,'PZ 2019'!$C$3:$T$288,$A123,FALSE),0)</f>
        <v>0</v>
      </c>
      <c r="GR123" s="314">
        <f>IFERROR(VLOOKUP(GR$1,'PZ 2019'!$C$3:$T$288,$A123,FALSE),0)</f>
        <v>0</v>
      </c>
      <c r="GS123" s="314">
        <f>IFERROR(VLOOKUP(GS$1,'PZ 2019'!$C$3:$T$288,$A123,FALSE),0)</f>
        <v>0</v>
      </c>
      <c r="GT123" s="314">
        <f>IFERROR(VLOOKUP(GT$1,'PZ 2019'!$C$3:$T$288,$A123,FALSE),0)</f>
        <v>0</v>
      </c>
      <c r="GU123" s="314">
        <f>IFERROR(VLOOKUP(GU$1,'PZ 2019'!$C$3:$T$288,$A123,FALSE),0)</f>
        <v>0</v>
      </c>
      <c r="GV123" s="314">
        <f>IFERROR(VLOOKUP(GV$1,'PZ 2019'!$C$3:$T$288,$A123,FALSE),0)</f>
        <v>0</v>
      </c>
      <c r="GW123" s="314">
        <f>IFERROR(VLOOKUP(GW$1,'PZ 2019'!$C$3:$T$288,$A123,FALSE),0)</f>
        <v>0</v>
      </c>
      <c r="GX123" s="314">
        <f>IFERROR(VLOOKUP(GX$1,'PZ 2019'!$C$3:$T$288,$A123,FALSE),0)</f>
        <v>0</v>
      </c>
      <c r="GY123" s="314">
        <f>IFERROR(VLOOKUP(GY$1,'PZ 2019'!$C$3:$T$288,$A123,FALSE),0)</f>
        <v>0</v>
      </c>
      <c r="GZ123" s="314">
        <f>IFERROR(VLOOKUP(GZ$1,'PZ 2019'!$C$3:$T$288,$A123,FALSE),0)</f>
        <v>0</v>
      </c>
      <c r="HA123" s="314">
        <f>IFERROR(VLOOKUP(HA$1,'PZ 2019'!$C$3:$T$288,$A123,FALSE),0)</f>
        <v>0</v>
      </c>
      <c r="HB123" s="314">
        <f>IFERROR(VLOOKUP(HB$1,'PZ 2019'!$C$3:$T$288,$A123,FALSE),0)</f>
        <v>0</v>
      </c>
      <c r="HC123" s="314">
        <f>IFERROR(VLOOKUP(HC$1,'PZ 2019'!$C$3:$T$288,$A123,FALSE),0)</f>
        <v>0</v>
      </c>
      <c r="HD123" s="314">
        <f>IFERROR(VLOOKUP(HD$1,'PZ 2019'!$C$3:$T$288,$A123,FALSE),0)</f>
        <v>0</v>
      </c>
      <c r="HE123" s="314">
        <f>IFERROR(VLOOKUP(HE$1,'PZ 2019'!$C$3:$T$288,$A123,FALSE),0)</f>
        <v>0</v>
      </c>
      <c r="HF123" s="314">
        <f>IFERROR(VLOOKUP(HF$1,'PZ 2019'!$C$3:$T$288,$A123,FALSE),0)</f>
        <v>0</v>
      </c>
      <c r="HG123" s="314">
        <f>IFERROR(VLOOKUP(HG$1,'PZ 2019'!$C$3:$T$288,$A123,FALSE),0)</f>
        <v>0</v>
      </c>
      <c r="HH123" s="314">
        <f>IFERROR(VLOOKUP(HH$1,'PZ 2019'!$C$3:$T$288,$A123,FALSE),0)</f>
        <v>0</v>
      </c>
      <c r="HI123" s="314">
        <f>IFERROR(VLOOKUP(HI$1,'PZ 2019'!$C$3:$T$288,$A123,FALSE),0)</f>
        <v>0</v>
      </c>
      <c r="HJ123" s="314">
        <f>IFERROR(VLOOKUP(HJ$1,'PZ 2019'!$C$3:$T$288,$A123,FALSE),0)</f>
        <v>0</v>
      </c>
      <c r="HK123" s="314">
        <f>IFERROR(VLOOKUP(HK$1,'PZ 2019'!$C$3:$T$288,$A123,FALSE),0)</f>
        <v>0</v>
      </c>
      <c r="HL123" s="314">
        <f>IFERROR(VLOOKUP(HL$1,'PZ 2019'!$C$3:$T$288,$A123,FALSE),0)</f>
        <v>0</v>
      </c>
      <c r="HM123" s="314">
        <f>IFERROR(VLOOKUP(HM$1,'PZ 2019'!$C$3:$T$288,$A123,FALSE),0)</f>
        <v>0</v>
      </c>
      <c r="HN123" s="314">
        <f>IFERROR(VLOOKUP(HN$1,'PZ 2019'!$C$3:$T$288,$A123,FALSE),0)</f>
        <v>0</v>
      </c>
      <c r="HO123" s="314">
        <f>IFERROR(VLOOKUP(HO$1,'PZ 2019'!$C$3:$T$288,$A123,FALSE),0)</f>
        <v>0</v>
      </c>
      <c r="HP123" s="314">
        <f>IFERROR(VLOOKUP(HP$1,'PZ 2019'!$C$3:$T$288,$A123,FALSE),0)</f>
        <v>0</v>
      </c>
      <c r="HQ123" s="314">
        <f>IFERROR(VLOOKUP(HQ$1,'PZ 2019'!$C$3:$T$288,$A123,FALSE),0)</f>
        <v>0</v>
      </c>
      <c r="HR123" s="314">
        <f>IFERROR(VLOOKUP(HR$1,'PZ 2019'!$C$3:$T$288,$A123,FALSE),0)</f>
        <v>0</v>
      </c>
      <c r="HS123" s="314">
        <f>IFERROR(VLOOKUP(HS$1,'PZ 2019'!$C$3:$T$288,$A123,FALSE),0)</f>
        <v>0</v>
      </c>
      <c r="HT123" s="314">
        <f>IFERROR(VLOOKUP(HT$1,'PZ 2019'!$C$3:$T$288,$A123,FALSE),0)</f>
        <v>0</v>
      </c>
      <c r="HU123" s="314">
        <f>IFERROR(VLOOKUP(HU$1,'PZ 2019'!$C$3:$T$288,$A123,FALSE),0)</f>
        <v>0</v>
      </c>
      <c r="HV123" s="314">
        <f>IFERROR(VLOOKUP(HV$1,'PZ 2019'!$C$3:$T$288,$A123,FALSE),0)</f>
        <v>0</v>
      </c>
      <c r="HW123" s="314">
        <f>IFERROR(VLOOKUP(HW$1,'PZ 2019'!$C$3:$T$288,$A123,FALSE),0)</f>
        <v>0</v>
      </c>
      <c r="HX123" s="314">
        <f>IFERROR(VLOOKUP(HX$1,'PZ 2019'!$C$3:$T$288,$A123,FALSE),0)</f>
        <v>0</v>
      </c>
      <c r="HY123" s="314">
        <f>IFERROR(VLOOKUP(HY$1,'PZ 2019'!$C$3:$T$288,$A123,FALSE),0)</f>
        <v>0</v>
      </c>
      <c r="HZ123" s="314">
        <f>IFERROR(VLOOKUP(HZ$1,'PZ 2019'!$C$3:$T$288,$A123,FALSE),0)</f>
        <v>0</v>
      </c>
      <c r="IA123" s="314">
        <f>IFERROR(VLOOKUP(IA$1,'PZ 2019'!$C$3:$T$288,$A123,FALSE),0)</f>
        <v>0</v>
      </c>
      <c r="IB123" s="314">
        <f>IFERROR(VLOOKUP(IB$1,'PZ 2019'!$C$3:$T$288,$A123,FALSE),0)</f>
        <v>0</v>
      </c>
      <c r="IC123" s="314">
        <f>IFERROR(VLOOKUP(IC$1,'PZ 2019'!$C$3:$T$288,$A123,FALSE),0)</f>
        <v>0</v>
      </c>
      <c r="ID123" s="314">
        <f>IFERROR(VLOOKUP(ID$1,'PZ 2019'!$C$3:$T$288,$A123,FALSE),0)</f>
        <v>0</v>
      </c>
      <c r="IE123" s="314">
        <f>IFERROR(VLOOKUP(IE$1,'PZ 2019'!$C$3:$T$288,$A123,FALSE),0)</f>
        <v>0</v>
      </c>
      <c r="IF123" s="314">
        <f>IFERROR(VLOOKUP(IF$1,'PZ 2019'!$C$3:$T$288,$A123,FALSE),0)</f>
        <v>0</v>
      </c>
      <c r="IG123" s="314">
        <f>IFERROR(VLOOKUP(IG$1,'PZ 2019'!$C$3:$T$288,$A123,FALSE),0)</f>
        <v>0</v>
      </c>
      <c r="IH123" s="314">
        <f>IFERROR(VLOOKUP(IH$1,'PZ 2019'!$C$3:$T$288,$A123,FALSE),0)</f>
        <v>0</v>
      </c>
      <c r="II123" s="314">
        <f>IFERROR(VLOOKUP(II$1,'PZ 2019'!$C$3:$T$288,$A123,FALSE),0)</f>
        <v>0</v>
      </c>
      <c r="IJ123" s="314">
        <f>IFERROR(VLOOKUP(IJ$1,'PZ 2019'!$C$3:$T$288,$A123,FALSE),0)</f>
        <v>0</v>
      </c>
      <c r="IK123" s="314">
        <f>IFERROR(VLOOKUP(IK$1,'PZ 2019'!$C$3:$T$288,$A123,FALSE),0)</f>
        <v>0</v>
      </c>
      <c r="IL123" s="314">
        <f>IFERROR(VLOOKUP(IL$1,'PZ 2019'!$C$3:$T$288,$A123,FALSE),0)</f>
        <v>0</v>
      </c>
      <c r="IM123" s="314">
        <f>IFERROR(VLOOKUP(IM$1,'PZ 2019'!$C$3:$T$288,$A123,FALSE),0)</f>
        <v>0</v>
      </c>
      <c r="IN123" s="314">
        <f>IFERROR(VLOOKUP(IN$1,'PZ 2019'!$C$3:$T$288,$A123,FALSE),0)</f>
        <v>0</v>
      </c>
      <c r="IO123" s="314">
        <f>IFERROR(VLOOKUP(IO$1,'PZ 2019'!$C$3:$T$288,$A123,FALSE),0)</f>
        <v>0</v>
      </c>
      <c r="IP123" s="314">
        <f>IFERROR(VLOOKUP(IP$1,'PZ 2019'!$C$3:$T$288,$A123,FALSE),0)</f>
        <v>0</v>
      </c>
      <c r="IQ123" s="314">
        <f>IFERROR(VLOOKUP(IQ$1,'PZ 2019'!$C$3:$T$288,$A123,FALSE),0)</f>
        <v>0</v>
      </c>
      <c r="IR123" s="314">
        <f>IFERROR(VLOOKUP(IR$1,'PZ 2019'!$C$3:$T$288,$A123,FALSE),0)</f>
        <v>0</v>
      </c>
      <c r="IS123" s="314">
        <f>IFERROR(VLOOKUP(IS$1,'PZ 2019'!$C$3:$T$288,$A123,FALSE),0)</f>
        <v>0</v>
      </c>
      <c r="IT123" s="314">
        <f>IFERROR(VLOOKUP(IT$1,'PZ 2019'!$C$3:$T$288,$A123,FALSE),0)</f>
        <v>0</v>
      </c>
      <c r="IU123" s="314">
        <f>IFERROR(VLOOKUP(IU$1,'PZ 2019'!$C$3:$T$288,$A123,FALSE),0)</f>
        <v>0</v>
      </c>
      <c r="IV123" s="314">
        <f>IFERROR(VLOOKUP(IV$1,'PZ 2019'!$C$3:$T$288,$A123,FALSE),0)</f>
        <v>0</v>
      </c>
      <c r="IW123" s="314">
        <f>IFERROR(VLOOKUP(IW$1,'PZ 2019'!$C$3:$T$288,$A123,FALSE),0)</f>
        <v>0</v>
      </c>
      <c r="IX123" s="314">
        <f>IFERROR(VLOOKUP(IX$1,'PZ 2019'!$C$3:$T$288,$A123,FALSE),0)</f>
        <v>0</v>
      </c>
      <c r="IY123" s="314">
        <f>IFERROR(VLOOKUP(IY$1,'PZ 2019'!$C$3:$T$288,$A123,FALSE),0)</f>
        <v>0</v>
      </c>
      <c r="IZ123" s="314">
        <f>IFERROR(VLOOKUP(IZ$1,'PZ 2019'!$C$3:$T$288,$A123,FALSE),0)</f>
        <v>0</v>
      </c>
      <c r="JA123" s="314">
        <f>IFERROR(VLOOKUP(JA$1,'PZ 2019'!$C$3:$T$288,$A123,FALSE),0)</f>
        <v>0</v>
      </c>
      <c r="JB123" s="314">
        <f>IFERROR(VLOOKUP(JB$1,'PZ 2019'!$C$3:$T$288,$A123,FALSE),0)</f>
        <v>280000</v>
      </c>
      <c r="JC123" s="314">
        <f>IFERROR(VLOOKUP(JC$1,'PZ 2019'!$C$3:$T$288,$A123,FALSE),0)</f>
        <v>0</v>
      </c>
      <c r="JD123" s="314">
        <f>IFERROR(VLOOKUP(JD$1,'PZ 2019'!$C$3:$T$288,$A123,FALSE),0)</f>
        <v>1500000</v>
      </c>
      <c r="JE123" s="314">
        <f>IFERROR(VLOOKUP(JE$1,'PZ 2019'!$C$3:$T$288,$A123,FALSE),0)</f>
        <v>0</v>
      </c>
      <c r="JF123" s="314">
        <f>IFERROR(VLOOKUP(JF$1,'PZ 2019'!$C$3:$T$288,$A123,FALSE),0)</f>
        <v>0</v>
      </c>
      <c r="JG123" s="314">
        <f>IFERROR(VLOOKUP(JG$1,'PZ 2019'!$C$3:$T$288,$A123,FALSE),0)</f>
        <v>0</v>
      </c>
      <c r="JH123" s="314">
        <f>IFERROR(VLOOKUP(JH$1,'PZ 2019'!$C$3:$T$288,$A123,FALSE),0)</f>
        <v>0</v>
      </c>
      <c r="JI123" s="314">
        <f t="shared" si="593"/>
        <v>9074403.5</v>
      </c>
      <c r="JL123" s="307">
        <f t="shared" si="594"/>
        <v>0</v>
      </c>
      <c r="JM123" s="307">
        <f t="shared" si="594"/>
        <v>7294403.5</v>
      </c>
      <c r="JN123" s="307">
        <f t="shared" si="594"/>
        <v>0</v>
      </c>
      <c r="JO123" s="307">
        <f t="shared" si="594"/>
        <v>1780000</v>
      </c>
      <c r="JP123" s="307">
        <f t="shared" si="595"/>
        <v>9074403.5</v>
      </c>
    </row>
    <row r="124" spans="1:276" s="307" customFormat="1" x14ac:dyDescent="0.25">
      <c r="A124" s="314">
        <v>17</v>
      </c>
      <c r="B124" s="314" t="s">
        <v>2532</v>
      </c>
      <c r="C124" s="314">
        <f>IFERROR(VLOOKUP(C$1,'PZ 2019'!$C$3:$T$288,$A124,FALSE),0)</f>
        <v>0</v>
      </c>
      <c r="D124" s="314">
        <f>IFERROR(VLOOKUP(D$1,'PZ 2019'!$C$3:$T$288,$A124,FALSE),0)</f>
        <v>0</v>
      </c>
      <c r="E124" s="314">
        <f>IFERROR(VLOOKUP(E$1,'PZ 2019'!$C$3:$T$288,$A124,FALSE),0)</f>
        <v>0</v>
      </c>
      <c r="F124" s="314">
        <f>IFERROR(VLOOKUP(F$1,'PZ 2019'!$C$3:$T$288,$A124,FALSE),0)</f>
        <v>8000</v>
      </c>
      <c r="G124" s="314">
        <f>IFERROR(VLOOKUP(G$1,'PZ 2019'!$C$3:$T$288,$A124,FALSE),0)</f>
        <v>19000</v>
      </c>
      <c r="H124" s="314">
        <f>IFERROR(VLOOKUP(H$1,'PZ 2019'!$C$3:$T$288,$A124,FALSE),0)</f>
        <v>0</v>
      </c>
      <c r="I124" s="314">
        <f>IFERROR(VLOOKUP(I$1,'PZ 2019'!$C$3:$T$288,$A124,FALSE),0)</f>
        <v>5000</v>
      </c>
      <c r="J124" s="314">
        <f>IFERROR(VLOOKUP(J$1,'PZ 2019'!$C$3:$T$288,$A124,FALSE),0)</f>
        <v>0</v>
      </c>
      <c r="K124" s="314">
        <f>IFERROR(VLOOKUP(K$1,'PZ 2019'!$C$3:$T$288,$A124,FALSE),0)</f>
        <v>0</v>
      </c>
      <c r="L124" s="314">
        <f>IFERROR(VLOOKUP(L$1,'PZ 2019'!$C$3:$T$288,$A124,FALSE),0)</f>
        <v>0</v>
      </c>
      <c r="M124" s="314">
        <f>IFERROR(VLOOKUP(M$1,'PZ 2019'!$C$3:$T$288,$A124,FALSE),0)</f>
        <v>0</v>
      </c>
      <c r="N124" s="314">
        <f>IFERROR(VLOOKUP(N$1,'PZ 2019'!$C$3:$T$288,$A124,FALSE),0)</f>
        <v>10650</v>
      </c>
      <c r="O124" s="314">
        <f>IFERROR(VLOOKUP(O$1,'PZ 2019'!$C$3:$T$288,$A124,FALSE),0)</f>
        <v>0</v>
      </c>
      <c r="P124" s="314">
        <f>IFERROR(VLOOKUP(P$1,'PZ 2019'!$C$3:$T$288,$A124,FALSE),0)</f>
        <v>0</v>
      </c>
      <c r="Q124" s="314">
        <f>IFERROR(VLOOKUP(Q$1,'PZ 2019'!$C$3:$T$288,$A124,FALSE),0)</f>
        <v>11970</v>
      </c>
      <c r="R124" s="314">
        <f>IFERROR(VLOOKUP(R$1,'PZ 2019'!$C$3:$T$288,$A124,FALSE),0)</f>
        <v>0</v>
      </c>
      <c r="S124" s="314">
        <f>IFERROR(VLOOKUP(S$1,'PZ 2019'!$C$3:$T$288,$A124,FALSE),0)</f>
        <v>0</v>
      </c>
      <c r="T124" s="314">
        <f>IFERROR(VLOOKUP(T$1,'PZ 2019'!$C$3:$T$288,$A124,FALSE),0)</f>
        <v>0</v>
      </c>
      <c r="U124" s="314">
        <f>IFERROR(VLOOKUP(U$1,'PZ 2019'!$C$3:$T$288,$A124,FALSE),0)</f>
        <v>0</v>
      </c>
      <c r="V124" s="314">
        <f>IFERROR(VLOOKUP(V$1,'PZ 2019'!$C$3:$T$288,$A124,FALSE),0)</f>
        <v>0</v>
      </c>
      <c r="W124" s="314">
        <f>IFERROR(VLOOKUP(W$1,'PZ 2019'!$C$3:$T$288,$A124,FALSE),0)</f>
        <v>0</v>
      </c>
      <c r="X124" s="314">
        <f>IFERROR(VLOOKUP(X$1,'PZ 2019'!$C$3:$T$288,$A124,FALSE),0)</f>
        <v>0</v>
      </c>
      <c r="Y124" s="314">
        <f>IFERROR(VLOOKUP(Y$1,'PZ 2019'!$C$3:$T$288,$A124,FALSE),0)</f>
        <v>0</v>
      </c>
      <c r="Z124" s="314">
        <f>IFERROR(VLOOKUP(Z$1,'PZ 2019'!$C$3:$T$288,$A124,FALSE),0)</f>
        <v>0</v>
      </c>
      <c r="AA124" s="314">
        <f>IFERROR(VLOOKUP(AA$1,'PZ 2019'!$C$3:$T$288,$A124,FALSE),0)</f>
        <v>0</v>
      </c>
      <c r="AB124" s="314">
        <f>IFERROR(VLOOKUP(AB$1,'PZ 2019'!$C$3:$T$288,$A124,FALSE),0)</f>
        <v>0</v>
      </c>
      <c r="AC124" s="314">
        <f>IFERROR(VLOOKUP(AC$1,'PZ 2019'!$C$3:$T$288,$A124,FALSE),0)</f>
        <v>0</v>
      </c>
      <c r="AD124" s="314">
        <f>IFERROR(VLOOKUP(AD$1,'PZ 2019'!$C$3:$T$288,$A124,FALSE),0)</f>
        <v>10000</v>
      </c>
      <c r="AE124" s="314">
        <f>IFERROR(VLOOKUP(AE$1,'PZ 2019'!$C$3:$T$288,$A124,FALSE),0)</f>
        <v>5000</v>
      </c>
      <c r="AF124" s="314">
        <f>IFERROR(VLOOKUP(AF$1,'PZ 2019'!$C$3:$T$288,$A124,FALSE),0)</f>
        <v>0</v>
      </c>
      <c r="AG124" s="314">
        <f>IFERROR(VLOOKUP(AG$1,'PZ 2019'!$C$3:$T$288,$A124,FALSE),0)</f>
        <v>64000</v>
      </c>
      <c r="AH124" s="314">
        <f>IFERROR(VLOOKUP(AH$1,'PZ 2019'!$C$3:$T$288,$A124,FALSE),0)</f>
        <v>0</v>
      </c>
      <c r="AI124" s="314">
        <f>IFERROR(VLOOKUP(AI$1,'PZ 2019'!$C$3:$T$288,$A124,FALSE),0)</f>
        <v>0</v>
      </c>
      <c r="AJ124" s="314">
        <f>IFERROR(VLOOKUP(AJ$1,'PZ 2019'!$C$3:$T$288,$A124,FALSE),0)</f>
        <v>0</v>
      </c>
      <c r="AK124" s="314">
        <f>IFERROR(VLOOKUP(AK$1,'PZ 2019'!$C$3:$T$288,$A124,FALSE),0)</f>
        <v>0</v>
      </c>
      <c r="AL124" s="314">
        <f>IFERROR(VLOOKUP(AL$1,'PZ 2019'!$C$3:$T$288,$A124,FALSE),0)</f>
        <v>0</v>
      </c>
      <c r="AM124" s="314">
        <f>IFERROR(VLOOKUP(AM$1,'PZ 2019'!$C$3:$T$288,$A124,FALSE),0)</f>
        <v>32951</v>
      </c>
      <c r="AN124" s="314">
        <f>IFERROR(VLOOKUP(AN$1,'PZ 2019'!$C$3:$T$288,$A124,FALSE),0)</f>
        <v>0</v>
      </c>
      <c r="AO124" s="314">
        <f>IFERROR(VLOOKUP(AO$1,'PZ 2019'!$C$3:$T$288,$A124,FALSE),0)</f>
        <v>0</v>
      </c>
      <c r="AP124" s="314">
        <f>IFERROR(VLOOKUP(AP$1,'PZ 2019'!$C$3:$T$288,$A124,FALSE),0)</f>
        <v>0</v>
      </c>
      <c r="AQ124" s="314">
        <f>IFERROR(VLOOKUP(AQ$1,'PZ 2019'!$C$3:$T$288,$A124,FALSE),0)</f>
        <v>6000</v>
      </c>
      <c r="AR124" s="314">
        <f>IFERROR(VLOOKUP(AR$1,'PZ 2019'!$C$3:$T$288,$A124,FALSE),0)</f>
        <v>60000</v>
      </c>
      <c r="AS124" s="314">
        <f>IFERROR(VLOOKUP(AS$1,'PZ 2019'!$C$3:$T$288,$A124,FALSE),0)</f>
        <v>12000</v>
      </c>
      <c r="AT124" s="314">
        <f>IFERROR(VLOOKUP(AT$1,'PZ 2019'!$C$3:$T$288,$A124,FALSE),0)</f>
        <v>0</v>
      </c>
      <c r="AU124" s="314">
        <f>IFERROR(VLOOKUP(AU$1,'PZ 2019'!$C$3:$T$288,$A124,FALSE),0)</f>
        <v>0</v>
      </c>
      <c r="AV124" s="314">
        <f>IFERROR(VLOOKUP(AV$1,'PZ 2019'!$C$3:$T$288,$A124,FALSE),0)</f>
        <v>0</v>
      </c>
      <c r="AW124" s="314">
        <f>IFERROR(VLOOKUP(AW$1,'PZ 2019'!$C$3:$T$288,$A124,FALSE),0)</f>
        <v>0</v>
      </c>
      <c r="AX124" s="314">
        <f>IFERROR(VLOOKUP(AX$1,'PZ 2019'!$C$3:$T$288,$A124,FALSE),0)</f>
        <v>0</v>
      </c>
      <c r="AY124" s="314">
        <f>IFERROR(VLOOKUP(AY$1,'PZ 2019'!$C$3:$T$288,$A124,FALSE),0)</f>
        <v>1500</v>
      </c>
      <c r="AZ124" s="314">
        <f>IFERROR(VLOOKUP(AZ$1,'PZ 2019'!$C$3:$T$288,$A124,FALSE),0)</f>
        <v>4000</v>
      </c>
      <c r="BA124" s="314">
        <f>IFERROR(VLOOKUP(BA$1,'PZ 2019'!$C$3:$T$288,$A124,FALSE),0)</f>
        <v>0</v>
      </c>
      <c r="BB124" s="314">
        <f>IFERROR(VLOOKUP(BB$1,'PZ 2019'!$C$3:$T$288,$A124,FALSE),0)</f>
        <v>0</v>
      </c>
      <c r="BC124" s="314">
        <f>IFERROR(VLOOKUP(BC$1,'PZ 2019'!$C$3:$T$288,$A124,FALSE),0)</f>
        <v>0</v>
      </c>
      <c r="BD124" s="314">
        <f>IFERROR(VLOOKUP(BD$1,'PZ 2019'!$C$3:$T$288,$A124,FALSE),0)</f>
        <v>0</v>
      </c>
      <c r="BE124" s="314">
        <f>IFERROR(VLOOKUP(BE$1,'PZ 2019'!$C$3:$T$288,$A124,FALSE),0)</f>
        <v>0</v>
      </c>
      <c r="BF124" s="314">
        <f>IFERROR(VLOOKUP(BF$1,'PZ 2019'!$C$3:$T$288,$A124,FALSE),0)</f>
        <v>0</v>
      </c>
      <c r="BG124" s="314">
        <f>IFERROR(VLOOKUP(BG$1,'PZ 2019'!$C$3:$T$288,$A124,FALSE),0)</f>
        <v>0</v>
      </c>
      <c r="BH124" s="314">
        <f>IFERROR(VLOOKUP(BH$1,'PZ 2019'!$C$3:$T$288,$A124,FALSE),0)</f>
        <v>0</v>
      </c>
      <c r="BI124" s="314">
        <f>IFERROR(VLOOKUP(BI$1,'PZ 2019'!$C$3:$T$288,$A124,FALSE),0)</f>
        <v>0</v>
      </c>
      <c r="BJ124" s="314">
        <f>IFERROR(VLOOKUP(BJ$1,'PZ 2019'!$C$3:$T$288,$A124,FALSE),0)</f>
        <v>0</v>
      </c>
      <c r="BK124" s="314">
        <f>IFERROR(VLOOKUP(BK$1,'PZ 2019'!$C$3:$T$288,$A124,FALSE),0)</f>
        <v>0</v>
      </c>
      <c r="BL124" s="314">
        <f>IFERROR(VLOOKUP(BL$1,'PZ 2019'!$C$3:$T$288,$A124,FALSE),0)</f>
        <v>0</v>
      </c>
      <c r="BM124" s="314">
        <f>IFERROR(VLOOKUP(BM$1,'PZ 2019'!$C$3:$T$288,$A124,FALSE),0)</f>
        <v>0</v>
      </c>
      <c r="BN124" s="314">
        <f>IFERROR(VLOOKUP(BN$1,'PZ 2019'!$C$3:$T$288,$A124,FALSE),0)</f>
        <v>0</v>
      </c>
      <c r="BO124" s="314">
        <f>IFERROR(VLOOKUP(BO$1,'PZ 2019'!$C$3:$T$288,$A124,FALSE),0)</f>
        <v>0</v>
      </c>
      <c r="BP124" s="314">
        <f>IFERROR(VLOOKUP(BP$1,'PZ 2019'!$C$3:$T$288,$A124,FALSE),0)</f>
        <v>0</v>
      </c>
      <c r="BQ124" s="314">
        <f>IFERROR(VLOOKUP(BQ$1,'PZ 2019'!$C$3:$T$288,$A124,FALSE),0)</f>
        <v>0</v>
      </c>
      <c r="BR124" s="314">
        <f>IFERROR(VLOOKUP(BR$1,'PZ 2019'!$C$3:$T$288,$A124,FALSE),0)</f>
        <v>0</v>
      </c>
      <c r="BS124" s="314">
        <f>IFERROR(VLOOKUP(BS$1,'PZ 2019'!$C$3:$T$288,$A124,FALSE),0)</f>
        <v>0</v>
      </c>
      <c r="BT124" s="314">
        <f>IFERROR(VLOOKUP(BT$1,'PZ 2019'!$C$3:$T$288,$A124,FALSE),0)</f>
        <v>0</v>
      </c>
      <c r="BU124" s="314">
        <f>IFERROR(VLOOKUP(BU$1,'PZ 2019'!$C$3:$T$288,$A124,FALSE),0)</f>
        <v>0</v>
      </c>
      <c r="BV124" s="314">
        <f>IFERROR(VLOOKUP(BV$1,'PZ 2019'!$C$3:$T$288,$A124,FALSE),0)</f>
        <v>0</v>
      </c>
      <c r="BW124" s="314">
        <f>IFERROR(VLOOKUP(BW$1,'PZ 2019'!$C$3:$T$288,$A124,FALSE),0)</f>
        <v>0</v>
      </c>
      <c r="BX124" s="314">
        <f>IFERROR(VLOOKUP(BX$1,'PZ 2019'!$C$3:$T$288,$A124,FALSE),0)</f>
        <v>0</v>
      </c>
      <c r="BY124" s="314">
        <f>IFERROR(VLOOKUP(BY$1,'PZ 2019'!$C$3:$T$288,$A124,FALSE),0)</f>
        <v>0</v>
      </c>
      <c r="BZ124" s="314">
        <f>IFERROR(VLOOKUP(BZ$1,'PZ 2019'!$C$3:$T$288,$A124,FALSE),0)</f>
        <v>0</v>
      </c>
      <c r="CA124" s="314">
        <f>IFERROR(VLOOKUP(CA$1,'PZ 2019'!$C$3:$T$288,$A124,FALSE),0)</f>
        <v>0</v>
      </c>
      <c r="CB124" s="314">
        <f>IFERROR(VLOOKUP(CB$1,'PZ 2019'!$C$3:$T$288,$A124,FALSE),0)</f>
        <v>0</v>
      </c>
      <c r="CC124" s="314">
        <f>IFERROR(VLOOKUP(CC$1,'PZ 2019'!$C$3:$T$288,$A124,FALSE),0)</f>
        <v>0</v>
      </c>
      <c r="CD124" s="314">
        <f>IFERROR(VLOOKUP(CD$1,'PZ 2019'!$C$3:$T$288,$A124,FALSE),0)</f>
        <v>0</v>
      </c>
      <c r="CE124" s="314">
        <f>IFERROR(VLOOKUP(CE$1,'PZ 2019'!$C$3:$T$288,$A124,FALSE),0)</f>
        <v>0</v>
      </c>
      <c r="CF124" s="314">
        <f>IFERROR(VLOOKUP(CF$1,'PZ 2019'!$C$3:$T$288,$A124,FALSE),0)</f>
        <v>0</v>
      </c>
      <c r="CG124" s="314">
        <f>IFERROR(VLOOKUP(CG$1,'PZ 2019'!$C$3:$T$288,$A124,FALSE),0)</f>
        <v>0</v>
      </c>
      <c r="CH124" s="314">
        <f>IFERROR(VLOOKUP(CH$1,'PZ 2019'!$C$3:$T$288,$A124,FALSE),0)</f>
        <v>0</v>
      </c>
      <c r="CI124" s="314">
        <f>IFERROR(VLOOKUP(CI$1,'PZ 2019'!$C$3:$T$288,$A124,FALSE),0)</f>
        <v>0</v>
      </c>
      <c r="CJ124" s="314">
        <f>IFERROR(VLOOKUP(CJ$1,'PZ 2019'!$C$3:$T$288,$A124,FALSE),0)</f>
        <v>0</v>
      </c>
      <c r="CK124" s="314">
        <f>IFERROR(VLOOKUP(CK$1,'PZ 2019'!$C$3:$T$288,$A124,FALSE),0)</f>
        <v>0</v>
      </c>
      <c r="CL124" s="314">
        <f>IFERROR(VLOOKUP(CL$1,'PZ 2019'!$C$3:$T$288,$A124,FALSE),0)</f>
        <v>0</v>
      </c>
      <c r="CM124" s="314">
        <f>IFERROR(VLOOKUP(CM$1,'PZ 2019'!$C$3:$T$288,$A124,FALSE),0)</f>
        <v>0</v>
      </c>
      <c r="CN124" s="314">
        <f>IFERROR(VLOOKUP(CN$1,'PZ 2019'!$C$3:$T$288,$A124,FALSE),0)</f>
        <v>0</v>
      </c>
      <c r="CO124" s="314">
        <f>IFERROR(VLOOKUP(CO$1,'PZ 2019'!$C$3:$T$288,$A124,FALSE),0)</f>
        <v>0</v>
      </c>
      <c r="CP124" s="314">
        <f>IFERROR(VLOOKUP(CP$1,'PZ 2019'!$C$3:$T$288,$A124,FALSE),0)</f>
        <v>0</v>
      </c>
      <c r="CQ124" s="314">
        <f>IFERROR(VLOOKUP(CQ$1,'PZ 2019'!$C$3:$T$288,$A124,FALSE),0)</f>
        <v>0</v>
      </c>
      <c r="CR124" s="314">
        <f>IFERROR(VLOOKUP(CR$1,'PZ 2019'!$C$3:$T$288,$A124,FALSE),0)</f>
        <v>0</v>
      </c>
      <c r="CS124" s="314">
        <f>IFERROR(VLOOKUP(CS$1,'PZ 2019'!$C$3:$T$288,$A124,FALSE),0)</f>
        <v>0</v>
      </c>
      <c r="CT124" s="314">
        <f>IFERROR(VLOOKUP(CT$1,'PZ 2019'!$C$3:$T$288,$A124,FALSE),0)</f>
        <v>0</v>
      </c>
      <c r="CU124" s="314">
        <f>IFERROR(VLOOKUP(CU$1,'PZ 2019'!$C$3:$T$288,$A124,FALSE),0)</f>
        <v>0</v>
      </c>
      <c r="CV124" s="314">
        <f>IFERROR(VLOOKUP(CV$1,'PZ 2019'!$C$3:$T$288,$A124,FALSE),0)</f>
        <v>0</v>
      </c>
      <c r="CW124" s="314">
        <f>IFERROR(VLOOKUP(CW$1,'PZ 2019'!$C$3:$T$288,$A124,FALSE),0)</f>
        <v>0</v>
      </c>
      <c r="CX124" s="314">
        <f>IFERROR(VLOOKUP(CX$1,'PZ 2019'!$C$3:$T$288,$A124,FALSE),0)</f>
        <v>0</v>
      </c>
      <c r="CY124" s="314">
        <f>IFERROR(VLOOKUP(CY$1,'PZ 2019'!$C$3:$T$288,$A124,FALSE),0)</f>
        <v>0</v>
      </c>
      <c r="CZ124" s="314">
        <f>IFERROR(VLOOKUP(CZ$1,'PZ 2019'!$C$3:$T$288,$A124,FALSE),0)</f>
        <v>0</v>
      </c>
      <c r="DA124" s="314">
        <f>IFERROR(VLOOKUP(DA$1,'PZ 2019'!$C$3:$T$288,$A124,FALSE),0)</f>
        <v>0</v>
      </c>
      <c r="DB124" s="314">
        <f>IFERROR(VLOOKUP(DB$1,'PZ 2019'!$C$3:$T$288,$A124,FALSE),0)</f>
        <v>0</v>
      </c>
      <c r="DC124" s="314">
        <f>IFERROR(VLOOKUP(DC$1,'PZ 2019'!$C$3:$T$288,$A124,FALSE),0)</f>
        <v>0</v>
      </c>
      <c r="DD124" s="314">
        <f>IFERROR(VLOOKUP(DD$1,'PZ 2019'!$C$3:$T$288,$A124,FALSE),0)</f>
        <v>0</v>
      </c>
      <c r="DE124" s="314">
        <f>IFERROR(VLOOKUP(DE$1,'PZ 2019'!$C$3:$T$288,$A124,FALSE),0)</f>
        <v>98000</v>
      </c>
      <c r="DF124" s="314">
        <f>IFERROR(VLOOKUP(DF$1,'PZ 2019'!$C$3:$T$288,$A124,FALSE),0)</f>
        <v>0</v>
      </c>
      <c r="DG124" s="314">
        <f>IFERROR(VLOOKUP(DG$1,'PZ 2019'!$C$3:$T$288,$A124,FALSE),0)</f>
        <v>0</v>
      </c>
      <c r="DH124" s="314">
        <f>IFERROR(VLOOKUP(DH$1,'PZ 2019'!$C$3:$T$288,$A124,FALSE),0)</f>
        <v>3370.46</v>
      </c>
      <c r="DI124" s="314">
        <f>IFERROR(VLOOKUP(DI$1,'PZ 2019'!$C$3:$T$288,$A124,FALSE),0)</f>
        <v>54259.41</v>
      </c>
      <c r="DJ124" s="314">
        <f>IFERROR(VLOOKUP(DJ$1,'PZ 2019'!$C$3:$T$288,$A124,FALSE),0)</f>
        <v>113528.74</v>
      </c>
      <c r="DK124" s="314">
        <f>IFERROR(VLOOKUP(DK$1,'PZ 2019'!$C$3:$T$288,$A124,FALSE),0)</f>
        <v>27499.39</v>
      </c>
      <c r="DL124" s="314">
        <f>IFERROR(VLOOKUP(DL$1,'PZ 2019'!$C$3:$T$288,$A124,FALSE),0)</f>
        <v>0</v>
      </c>
      <c r="DM124" s="314">
        <f>IFERROR(VLOOKUP(DM$1,'PZ 2019'!$C$3:$T$288,$A124,FALSE),0)</f>
        <v>0</v>
      </c>
      <c r="DN124" s="314">
        <f>IFERROR(VLOOKUP(DN$1,'PZ 2019'!$C$3:$T$288,$A124,FALSE),0)</f>
        <v>0</v>
      </c>
      <c r="DO124" s="314">
        <f>IFERROR(VLOOKUP(DO$1,'PZ 2019'!$C$3:$T$288,$A124,FALSE),0)</f>
        <v>0</v>
      </c>
      <c r="DP124" s="314">
        <f>IFERROR(VLOOKUP(DP$1,'PZ 2019'!$C$3:$T$288,$A124,FALSE),0)</f>
        <v>0</v>
      </c>
      <c r="DQ124" s="314">
        <f>IFERROR(VLOOKUP(DQ$1,'PZ 2019'!$C$3:$T$288,$A124,FALSE),0)</f>
        <v>0</v>
      </c>
      <c r="DR124" s="314">
        <f>IFERROR(VLOOKUP(DR$1,'PZ 2019'!$C$3:$T$288,$A124,FALSE),0)</f>
        <v>0</v>
      </c>
      <c r="DS124" s="314">
        <f>IFERROR(VLOOKUP(DS$1,'PZ 2019'!$C$3:$T$288,$A124,FALSE),0)</f>
        <v>0</v>
      </c>
      <c r="DT124" s="314">
        <f>IFERROR(VLOOKUP(DT$1,'PZ 2019'!$C$3:$T$288,$A124,FALSE),0)</f>
        <v>0</v>
      </c>
      <c r="DU124" s="314">
        <f>IFERROR(VLOOKUP(DU$1,'PZ 2019'!$C$3:$T$288,$A124,FALSE),0)</f>
        <v>0</v>
      </c>
      <c r="DV124" s="356">
        <f>IFERROR(VLOOKUP(DV$1,'[1]PZ 2019'!$C$3:$T$288,$A124,FALSE),0)</f>
        <v>2200000</v>
      </c>
      <c r="DW124" s="314">
        <f>IFERROR(VLOOKUP(DW$1,'PZ 2019'!$C$3:$T$288,$A124,FALSE),0)</f>
        <v>0</v>
      </c>
      <c r="DX124" s="314">
        <f>IFERROR(VLOOKUP(DX$1,'PZ 2019'!$C$3:$T$288,$A124,FALSE),0)</f>
        <v>0</v>
      </c>
      <c r="DY124" s="314">
        <f>IFERROR(VLOOKUP(DY$1,'PZ 2019'!$C$3:$T$288,$A124,FALSE),0)</f>
        <v>0</v>
      </c>
      <c r="DZ124" s="314">
        <f>IFERROR(VLOOKUP(DZ$1,'PZ 2019'!$C$3:$T$288,$A124,FALSE),0)</f>
        <v>0</v>
      </c>
      <c r="EA124" s="314">
        <f>IFERROR(VLOOKUP(EA$1,'PZ 2019'!$C$3:$T$288,$A124,FALSE),0)</f>
        <v>0</v>
      </c>
      <c r="EB124" s="314">
        <f>IFERROR(VLOOKUP(EB$1,'PZ 2019'!$C$3:$T$288,$A124,FALSE),0)</f>
        <v>0</v>
      </c>
      <c r="EC124" s="314">
        <f>IFERROR(VLOOKUP(EC$1,'PZ 2019'!$C$3:$T$288,$A124,FALSE),0)</f>
        <v>0</v>
      </c>
      <c r="ED124" s="314">
        <f>IFERROR(VLOOKUP(ED$1,'PZ 2019'!$C$3:$T$288,$A124,FALSE),0)</f>
        <v>0</v>
      </c>
      <c r="EE124" s="314">
        <f>IFERROR(VLOOKUP(EE$1,'PZ 2019'!$C$3:$T$288,$A124,FALSE),0)</f>
        <v>0</v>
      </c>
      <c r="EF124" s="314">
        <f>IFERROR(VLOOKUP(EF$1,'PZ 2019'!$C$3:$T$288,$A124,FALSE),0)</f>
        <v>0</v>
      </c>
      <c r="EG124" s="314">
        <f>IFERROR(VLOOKUP(EG$1,'PZ 2019'!$C$3:$T$288,$A124,FALSE),0)</f>
        <v>0</v>
      </c>
      <c r="EH124" s="314">
        <f>IFERROR(VLOOKUP(EH$1,'PZ 2019'!$C$3:$T$288,$A124,FALSE),0)</f>
        <v>0</v>
      </c>
      <c r="EI124" s="314">
        <f>IFERROR(VLOOKUP(EI$1,'PZ 2019'!$C$3:$T$288,$A124,FALSE),0)</f>
        <v>51000</v>
      </c>
      <c r="EJ124" s="314">
        <f>IFERROR(VLOOKUP(EJ$1,'PZ 2019'!$C$3:$T$288,$A124,FALSE),0)</f>
        <v>4136.66</v>
      </c>
      <c r="EK124" s="314">
        <f>IFERROR(VLOOKUP(EK$1,'PZ 2019'!$C$3:$T$288,$A124,FALSE),0)</f>
        <v>0</v>
      </c>
      <c r="EL124" s="314">
        <f>IFERROR(VLOOKUP(EL$1,'PZ 2019'!$C$3:$T$288,$A124,FALSE),0)</f>
        <v>0</v>
      </c>
      <c r="EM124" s="314">
        <f>IFERROR(VLOOKUP(EM$1,'PZ 2019'!$C$3:$T$288,$A124,FALSE),0)</f>
        <v>0</v>
      </c>
      <c r="EN124" s="314">
        <f>IFERROR(VLOOKUP(EN$1,'PZ 2019'!$C$3:$T$288,$A124,FALSE),0)</f>
        <v>0</v>
      </c>
      <c r="EO124" s="314">
        <f>IFERROR(VLOOKUP(EO$1,'PZ 2019'!$C$3:$T$288,$A124,FALSE),0)</f>
        <v>0</v>
      </c>
      <c r="EP124" s="314">
        <f>IFERROR(VLOOKUP(EP$1,'PZ 2019'!$C$3:$T$288,$A124,FALSE),0)</f>
        <v>0</v>
      </c>
      <c r="EQ124" s="314">
        <f>IFERROR(VLOOKUP(EQ$1,'PZ 2019'!$C$3:$T$288,$A124,FALSE),0)</f>
        <v>13000</v>
      </c>
      <c r="ER124" s="314">
        <f>IFERROR(VLOOKUP(ER$1,'PZ 2019'!$C$3:$T$288,$A124,FALSE),0)</f>
        <v>0</v>
      </c>
      <c r="ES124" s="314">
        <f>IFERROR(VLOOKUP(ES$1,'PZ 2019'!$C$3:$T$288,$A124,FALSE),0)</f>
        <v>0</v>
      </c>
      <c r="ET124" s="314">
        <f>IFERROR(VLOOKUP(ET$1,'PZ 2019'!$C$3:$T$288,$A124,FALSE),0)</f>
        <v>0</v>
      </c>
      <c r="EU124" s="314">
        <f>IFERROR(VLOOKUP(EU$1,'PZ 2019'!$C$3:$T$288,$A124,FALSE),0)</f>
        <v>3550000</v>
      </c>
      <c r="EV124" s="314">
        <f>IFERROR(VLOOKUP(EV$1,'PZ 2019'!$C$3:$T$288,$A124,FALSE),0)</f>
        <v>0</v>
      </c>
      <c r="EW124" s="314">
        <f>IFERROR(VLOOKUP(EW$1,'PZ 2019'!$C$3:$T$288,$A124,FALSE),0)</f>
        <v>0</v>
      </c>
      <c r="EX124" s="314">
        <f>IFERROR(VLOOKUP(EX$1,'PZ 2019'!$C$3:$T$288,$A124,FALSE),0)</f>
        <v>0</v>
      </c>
      <c r="EY124" s="314">
        <f>IFERROR(VLOOKUP(EY$1,'PZ 2019'!$C$3:$T$288,$A124,FALSE),0)</f>
        <v>0</v>
      </c>
      <c r="EZ124" s="314">
        <f>IFERROR(VLOOKUP(EZ$1,'PZ 2019'!$C$3:$T$288,$A124,FALSE),0)</f>
        <v>0</v>
      </c>
      <c r="FA124" s="314">
        <f>IFERROR(VLOOKUP(FA$1,'PZ 2019'!$C$3:$T$288,$A124,FALSE),0)</f>
        <v>0</v>
      </c>
      <c r="FB124" s="314">
        <f>IFERROR(VLOOKUP(FB$1,'PZ 2019'!$C$3:$T$288,$A124,FALSE),0)</f>
        <v>0</v>
      </c>
      <c r="FC124" s="314">
        <f>IFERROR(VLOOKUP(FC$1,'PZ 2019'!$C$3:$T$288,$A124,FALSE),0)</f>
        <v>0</v>
      </c>
      <c r="FD124" s="314">
        <f>IFERROR(VLOOKUP(FD$1,'PZ 2019'!$C$3:$T$288,$A124,FALSE),0)</f>
        <v>0</v>
      </c>
      <c r="FE124" s="314">
        <f>IFERROR(VLOOKUP(FE$1,'PZ 2019'!$C$3:$T$288,$A124,FALSE),0)</f>
        <v>0</v>
      </c>
      <c r="FF124" s="314">
        <f>IFERROR(VLOOKUP(FF$1,'PZ 2019'!$C$3:$T$288,$A124,FALSE),0)</f>
        <v>0</v>
      </c>
      <c r="FG124" s="314">
        <f>IFERROR(VLOOKUP(FG$1,'PZ 2019'!$C$3:$T$288,$A124,FALSE),0)</f>
        <v>0</v>
      </c>
      <c r="FH124" s="314">
        <f>IFERROR(VLOOKUP(FH$1,'PZ 2019'!$C$3:$T$288,$A124,FALSE),0)</f>
        <v>0</v>
      </c>
      <c r="FI124" s="314">
        <f>IFERROR(VLOOKUP(FI$1,'PZ 2019'!$C$3:$T$288,$A124,FALSE),0)</f>
        <v>0</v>
      </c>
      <c r="FJ124" s="314">
        <f>IFERROR(VLOOKUP(FJ$1,'PZ 2019'!$C$3:$T$288,$A124,FALSE),0)</f>
        <v>0</v>
      </c>
      <c r="FK124" s="314">
        <f>IFERROR(VLOOKUP(FK$1,'PZ 2019'!$C$3:$T$288,$A124,FALSE),0)</f>
        <v>0</v>
      </c>
      <c r="FL124" s="314">
        <f>IFERROR(VLOOKUP(FL$1,'PZ 2019'!$C$3:$T$288,$A124,FALSE),0)</f>
        <v>0</v>
      </c>
      <c r="FM124" s="314">
        <f>IFERROR(VLOOKUP(FM$1,'PZ 2019'!$C$3:$T$288,$A124,FALSE),0)</f>
        <v>0</v>
      </c>
      <c r="FN124" s="314">
        <f>IFERROR(VLOOKUP(FN$1,'PZ 2019'!$C$3:$T$288,$A124,FALSE),0)</f>
        <v>0</v>
      </c>
      <c r="FO124" s="314">
        <f>IFERROR(VLOOKUP(FO$1,'PZ 2019'!$C$3:$T$288,$A124,FALSE),0)</f>
        <v>0</v>
      </c>
      <c r="FP124" s="314">
        <f>IFERROR(VLOOKUP(FP$1,'PZ 2019'!$C$3:$T$288,$A124,FALSE),0)</f>
        <v>0</v>
      </c>
      <c r="FQ124" s="314">
        <f>IFERROR(VLOOKUP(FQ$1,'PZ 2019'!$C$3:$T$288,$A124,FALSE),0)</f>
        <v>0</v>
      </c>
      <c r="FR124" s="314">
        <f>IFERROR(VLOOKUP(FR$1,'PZ 2019'!$C$3:$T$288,$A124,FALSE),0)</f>
        <v>0</v>
      </c>
      <c r="FS124" s="314">
        <f>IFERROR(VLOOKUP(FS$1,'PZ 2019'!$C$3:$T$288,$A124,FALSE),0)</f>
        <v>0</v>
      </c>
      <c r="FT124" s="314">
        <f>IFERROR(VLOOKUP(FT$1,'PZ 2019'!$C$3:$T$288,$A124,FALSE),0)</f>
        <v>0</v>
      </c>
      <c r="FU124" s="314">
        <f>IFERROR(VLOOKUP(FU$1,'PZ 2019'!$C$3:$T$288,$A124,FALSE),0)</f>
        <v>0</v>
      </c>
      <c r="FV124" s="314">
        <f>IFERROR(VLOOKUP(FV$1,'PZ 2019'!$C$3:$T$288,$A124,FALSE),0)</f>
        <v>0</v>
      </c>
      <c r="FW124" s="314">
        <f>IFERROR(VLOOKUP(FW$1,'PZ 2019'!$C$3:$T$288,$A124,FALSE),0)</f>
        <v>0</v>
      </c>
      <c r="FX124" s="314">
        <f>IFERROR(VLOOKUP(FX$1,'PZ 2019'!$C$3:$T$288,$A124,FALSE),0)</f>
        <v>0</v>
      </c>
      <c r="FY124" s="314">
        <f>IFERROR(VLOOKUP(FY$1,'PZ 2019'!$C$3:$T$288,$A124,FALSE),0)</f>
        <v>0</v>
      </c>
      <c r="FZ124" s="314">
        <f>IFERROR(VLOOKUP(FZ$1,'PZ 2019'!$C$3:$T$288,$A124,FALSE),0)</f>
        <v>0</v>
      </c>
      <c r="GA124" s="314">
        <f>IFERROR(VLOOKUP(GA$1,'PZ 2019'!$C$3:$T$288,$A124,FALSE),0)</f>
        <v>0</v>
      </c>
      <c r="GB124" s="314">
        <f>IFERROR(VLOOKUP(GB$1,'PZ 2019'!$C$3:$T$288,$A124,FALSE),0)</f>
        <v>0</v>
      </c>
      <c r="GC124" s="314">
        <f>IFERROR(VLOOKUP(GC$1,'PZ 2019'!$C$3:$T$288,$A124,FALSE),0)</f>
        <v>0</v>
      </c>
      <c r="GD124" s="314">
        <f>IFERROR(VLOOKUP(GD$1,'PZ 2019'!$C$3:$T$288,$A124,FALSE),0)</f>
        <v>0</v>
      </c>
      <c r="GE124" s="314">
        <f>IFERROR(VLOOKUP(GE$1,'PZ 2019'!$C$3:$T$288,$A124,FALSE),0)</f>
        <v>0</v>
      </c>
      <c r="GF124" s="314">
        <f>IFERROR(VLOOKUP(GF$1,'PZ 2019'!$C$3:$T$288,$A124,FALSE),0)</f>
        <v>0</v>
      </c>
      <c r="GG124" s="314">
        <f>IFERROR(VLOOKUP(GG$1,'PZ 2019'!$C$3:$T$288,$A124,FALSE),0)</f>
        <v>0</v>
      </c>
      <c r="GH124" s="314">
        <f>IFERROR(VLOOKUP(GH$1,'PZ 2019'!$C$3:$T$288,$A124,FALSE),0)</f>
        <v>0</v>
      </c>
      <c r="GI124" s="314">
        <f>IFERROR(VLOOKUP(GI$1,'PZ 2019'!$C$3:$T$288,$A124,FALSE),0)</f>
        <v>0</v>
      </c>
      <c r="GJ124" s="314">
        <f>IFERROR(VLOOKUP(GJ$1,'PZ 2019'!$C$3:$T$288,$A124,FALSE),0)</f>
        <v>0</v>
      </c>
      <c r="GK124" s="314">
        <f>IFERROR(VLOOKUP(GK$1,'PZ 2019'!$C$3:$T$288,$A124,FALSE),0)</f>
        <v>0</v>
      </c>
      <c r="GL124" s="314">
        <f>IFERROR(VLOOKUP(GL$1,'PZ 2019'!$C$3:$T$288,$A124,FALSE),0)</f>
        <v>0</v>
      </c>
      <c r="GM124" s="314">
        <f>IFERROR(VLOOKUP(GM$1,'PZ 2019'!$C$3:$T$288,$A124,FALSE),0)</f>
        <v>0</v>
      </c>
      <c r="GN124" s="314">
        <f>IFERROR(VLOOKUP(GN$1,'PZ 2019'!$C$3:$T$288,$A124,FALSE),0)</f>
        <v>0</v>
      </c>
      <c r="GO124" s="314">
        <f>IFERROR(VLOOKUP(GO$1,'PZ 2019'!$C$3:$T$288,$A124,FALSE),0)</f>
        <v>0</v>
      </c>
      <c r="GP124" s="314">
        <f>IFERROR(VLOOKUP(GP$1,'PZ 2019'!$C$3:$T$288,$A124,FALSE),0)</f>
        <v>0</v>
      </c>
      <c r="GQ124" s="314">
        <f>IFERROR(VLOOKUP(GQ$1,'PZ 2019'!$C$3:$T$288,$A124,FALSE),0)</f>
        <v>0</v>
      </c>
      <c r="GR124" s="314">
        <f>IFERROR(VLOOKUP(GR$1,'PZ 2019'!$C$3:$T$288,$A124,FALSE),0)</f>
        <v>0</v>
      </c>
      <c r="GS124" s="314">
        <f>IFERROR(VLOOKUP(GS$1,'PZ 2019'!$C$3:$T$288,$A124,FALSE),0)</f>
        <v>0</v>
      </c>
      <c r="GT124" s="314">
        <f>IFERROR(VLOOKUP(GT$1,'PZ 2019'!$C$3:$T$288,$A124,FALSE),0)</f>
        <v>0</v>
      </c>
      <c r="GU124" s="314">
        <f>IFERROR(VLOOKUP(GU$1,'PZ 2019'!$C$3:$T$288,$A124,FALSE),0)</f>
        <v>0</v>
      </c>
      <c r="GV124" s="314">
        <f>IFERROR(VLOOKUP(GV$1,'PZ 2019'!$C$3:$T$288,$A124,FALSE),0)</f>
        <v>0</v>
      </c>
      <c r="GW124" s="314">
        <f>IFERROR(VLOOKUP(GW$1,'PZ 2019'!$C$3:$T$288,$A124,FALSE),0)</f>
        <v>0</v>
      </c>
      <c r="GX124" s="314">
        <f>IFERROR(VLOOKUP(GX$1,'PZ 2019'!$C$3:$T$288,$A124,FALSE),0)</f>
        <v>0</v>
      </c>
      <c r="GY124" s="314">
        <f>IFERROR(VLOOKUP(GY$1,'PZ 2019'!$C$3:$T$288,$A124,FALSE),0)</f>
        <v>0</v>
      </c>
      <c r="GZ124" s="314">
        <f>IFERROR(VLOOKUP(GZ$1,'PZ 2019'!$C$3:$T$288,$A124,FALSE),0)</f>
        <v>0</v>
      </c>
      <c r="HA124" s="314">
        <f>IFERROR(VLOOKUP(HA$1,'PZ 2019'!$C$3:$T$288,$A124,FALSE),0)</f>
        <v>0</v>
      </c>
      <c r="HB124" s="314">
        <f>IFERROR(VLOOKUP(HB$1,'PZ 2019'!$C$3:$T$288,$A124,FALSE),0)</f>
        <v>0</v>
      </c>
      <c r="HC124" s="314">
        <f>IFERROR(VLOOKUP(HC$1,'PZ 2019'!$C$3:$T$288,$A124,FALSE),0)</f>
        <v>0</v>
      </c>
      <c r="HD124" s="314">
        <f>IFERROR(VLOOKUP(HD$1,'PZ 2019'!$C$3:$T$288,$A124,FALSE),0)</f>
        <v>0</v>
      </c>
      <c r="HE124" s="314">
        <f>IFERROR(VLOOKUP(HE$1,'PZ 2019'!$C$3:$T$288,$A124,FALSE),0)</f>
        <v>0</v>
      </c>
      <c r="HF124" s="314">
        <f>IFERROR(VLOOKUP(HF$1,'PZ 2019'!$C$3:$T$288,$A124,FALSE),0)</f>
        <v>0</v>
      </c>
      <c r="HG124" s="314">
        <f>IFERROR(VLOOKUP(HG$1,'PZ 2019'!$C$3:$T$288,$A124,FALSE),0)</f>
        <v>0</v>
      </c>
      <c r="HH124" s="314">
        <f>IFERROR(VLOOKUP(HH$1,'PZ 2019'!$C$3:$T$288,$A124,FALSE),0)</f>
        <v>0</v>
      </c>
      <c r="HI124" s="314">
        <f>IFERROR(VLOOKUP(HI$1,'PZ 2019'!$C$3:$T$288,$A124,FALSE),0)</f>
        <v>0</v>
      </c>
      <c r="HJ124" s="314">
        <f>IFERROR(VLOOKUP(HJ$1,'PZ 2019'!$C$3:$T$288,$A124,FALSE),0)</f>
        <v>0</v>
      </c>
      <c r="HK124" s="314">
        <f>IFERROR(VLOOKUP(HK$1,'PZ 2019'!$C$3:$T$288,$A124,FALSE),0)</f>
        <v>0</v>
      </c>
      <c r="HL124" s="314">
        <f>IFERROR(VLOOKUP(HL$1,'PZ 2019'!$C$3:$T$288,$A124,FALSE),0)</f>
        <v>0</v>
      </c>
      <c r="HM124" s="314">
        <f>IFERROR(VLOOKUP(HM$1,'PZ 2019'!$C$3:$T$288,$A124,FALSE),0)</f>
        <v>0</v>
      </c>
      <c r="HN124" s="314">
        <f>IFERROR(VLOOKUP(HN$1,'PZ 2019'!$C$3:$T$288,$A124,FALSE),0)</f>
        <v>0</v>
      </c>
      <c r="HO124" s="314">
        <f>IFERROR(VLOOKUP(HO$1,'PZ 2019'!$C$3:$T$288,$A124,FALSE),0)</f>
        <v>0</v>
      </c>
      <c r="HP124" s="314">
        <f>IFERROR(VLOOKUP(HP$1,'PZ 2019'!$C$3:$T$288,$A124,FALSE),0)</f>
        <v>0</v>
      </c>
      <c r="HQ124" s="314">
        <f>IFERROR(VLOOKUP(HQ$1,'PZ 2019'!$C$3:$T$288,$A124,FALSE),0)</f>
        <v>0</v>
      </c>
      <c r="HR124" s="314">
        <f>IFERROR(VLOOKUP(HR$1,'PZ 2019'!$C$3:$T$288,$A124,FALSE),0)</f>
        <v>0</v>
      </c>
      <c r="HS124" s="314">
        <f>IFERROR(VLOOKUP(HS$1,'PZ 2019'!$C$3:$T$288,$A124,FALSE),0)</f>
        <v>0</v>
      </c>
      <c r="HT124" s="314">
        <f>IFERROR(VLOOKUP(HT$1,'PZ 2019'!$C$3:$T$288,$A124,FALSE),0)</f>
        <v>0</v>
      </c>
      <c r="HU124" s="314">
        <f>IFERROR(VLOOKUP(HU$1,'PZ 2019'!$C$3:$T$288,$A124,FALSE),0)</f>
        <v>0</v>
      </c>
      <c r="HV124" s="314">
        <f>IFERROR(VLOOKUP(HV$1,'PZ 2019'!$C$3:$T$288,$A124,FALSE),0)</f>
        <v>0</v>
      </c>
      <c r="HW124" s="314">
        <f>IFERROR(VLOOKUP(HW$1,'PZ 2019'!$C$3:$T$288,$A124,FALSE),0)</f>
        <v>0</v>
      </c>
      <c r="HX124" s="314">
        <f>IFERROR(VLOOKUP(HX$1,'PZ 2019'!$C$3:$T$288,$A124,FALSE),0)</f>
        <v>0</v>
      </c>
      <c r="HY124" s="314">
        <f>IFERROR(VLOOKUP(HY$1,'PZ 2019'!$C$3:$T$288,$A124,FALSE),0)</f>
        <v>0</v>
      </c>
      <c r="HZ124" s="314">
        <f>IFERROR(VLOOKUP(HZ$1,'PZ 2019'!$C$3:$T$288,$A124,FALSE),0)</f>
        <v>0</v>
      </c>
      <c r="IA124" s="314">
        <f>IFERROR(VLOOKUP(IA$1,'PZ 2019'!$C$3:$T$288,$A124,FALSE),0)</f>
        <v>0</v>
      </c>
      <c r="IB124" s="314">
        <f>IFERROR(VLOOKUP(IB$1,'PZ 2019'!$C$3:$T$288,$A124,FALSE),0)</f>
        <v>0</v>
      </c>
      <c r="IC124" s="314">
        <f>IFERROR(VLOOKUP(IC$1,'PZ 2019'!$C$3:$T$288,$A124,FALSE),0)</f>
        <v>0</v>
      </c>
      <c r="ID124" s="314">
        <f>IFERROR(VLOOKUP(ID$1,'PZ 2019'!$C$3:$T$288,$A124,FALSE),0)</f>
        <v>0</v>
      </c>
      <c r="IE124" s="314">
        <f>IFERROR(VLOOKUP(IE$1,'PZ 2019'!$C$3:$T$288,$A124,FALSE),0)</f>
        <v>0</v>
      </c>
      <c r="IF124" s="314">
        <f>IFERROR(VLOOKUP(IF$1,'PZ 2019'!$C$3:$T$288,$A124,FALSE),0)</f>
        <v>0</v>
      </c>
      <c r="IG124" s="314">
        <f>IFERROR(VLOOKUP(IG$1,'PZ 2019'!$C$3:$T$288,$A124,FALSE),0)</f>
        <v>0</v>
      </c>
      <c r="IH124" s="314">
        <f>IFERROR(VLOOKUP(IH$1,'PZ 2019'!$C$3:$T$288,$A124,FALSE),0)</f>
        <v>0</v>
      </c>
      <c r="II124" s="314">
        <f>IFERROR(VLOOKUP(II$1,'PZ 2019'!$C$3:$T$288,$A124,FALSE),0)</f>
        <v>0</v>
      </c>
      <c r="IJ124" s="314">
        <f>IFERROR(VLOOKUP(IJ$1,'PZ 2019'!$C$3:$T$288,$A124,FALSE),0)</f>
        <v>0</v>
      </c>
      <c r="IK124" s="314">
        <f>IFERROR(VLOOKUP(IK$1,'PZ 2019'!$C$3:$T$288,$A124,FALSE),0)</f>
        <v>0</v>
      </c>
      <c r="IL124" s="314">
        <f>IFERROR(VLOOKUP(IL$1,'PZ 2019'!$C$3:$T$288,$A124,FALSE),0)</f>
        <v>0</v>
      </c>
      <c r="IM124" s="314">
        <f>IFERROR(VLOOKUP(IM$1,'PZ 2019'!$C$3:$T$288,$A124,FALSE),0)</f>
        <v>0</v>
      </c>
      <c r="IN124" s="314">
        <f>IFERROR(VLOOKUP(IN$1,'PZ 2019'!$C$3:$T$288,$A124,FALSE),0)</f>
        <v>0</v>
      </c>
      <c r="IO124" s="314">
        <f>IFERROR(VLOOKUP(IO$1,'PZ 2019'!$C$3:$T$288,$A124,FALSE),0)</f>
        <v>0</v>
      </c>
      <c r="IP124" s="314">
        <f>IFERROR(VLOOKUP(IP$1,'PZ 2019'!$C$3:$T$288,$A124,FALSE),0)</f>
        <v>0</v>
      </c>
      <c r="IQ124" s="314">
        <f>IFERROR(VLOOKUP(IQ$1,'PZ 2019'!$C$3:$T$288,$A124,FALSE),0)</f>
        <v>0</v>
      </c>
      <c r="IR124" s="314">
        <f>IFERROR(VLOOKUP(IR$1,'PZ 2019'!$C$3:$T$288,$A124,FALSE),0)</f>
        <v>0</v>
      </c>
      <c r="IS124" s="314">
        <f>IFERROR(VLOOKUP(IS$1,'PZ 2019'!$C$3:$T$288,$A124,FALSE),0)</f>
        <v>0</v>
      </c>
      <c r="IT124" s="314">
        <f>IFERROR(VLOOKUP(IT$1,'PZ 2019'!$C$3:$T$288,$A124,FALSE),0)</f>
        <v>0</v>
      </c>
      <c r="IU124" s="314">
        <f>IFERROR(VLOOKUP(IU$1,'PZ 2019'!$C$3:$T$288,$A124,FALSE),0)</f>
        <v>0</v>
      </c>
      <c r="IV124" s="314">
        <f>IFERROR(VLOOKUP(IV$1,'PZ 2019'!$C$3:$T$288,$A124,FALSE),0)</f>
        <v>0</v>
      </c>
      <c r="IW124" s="314">
        <f>IFERROR(VLOOKUP(IW$1,'PZ 2019'!$C$3:$T$288,$A124,FALSE),0)</f>
        <v>0</v>
      </c>
      <c r="IX124" s="314">
        <f>IFERROR(VLOOKUP(IX$1,'PZ 2019'!$C$3:$T$288,$A124,FALSE),0)</f>
        <v>0</v>
      </c>
      <c r="IY124" s="314">
        <f>IFERROR(VLOOKUP(IY$1,'PZ 2019'!$C$3:$T$288,$A124,FALSE),0)</f>
        <v>0</v>
      </c>
      <c r="IZ124" s="314">
        <f>IFERROR(VLOOKUP(IZ$1,'PZ 2019'!$C$3:$T$288,$A124,FALSE),0)</f>
        <v>0</v>
      </c>
      <c r="JA124" s="314">
        <f>IFERROR(VLOOKUP(JA$1,'PZ 2019'!$C$3:$T$288,$A124,FALSE),0)</f>
        <v>0</v>
      </c>
      <c r="JB124" s="314">
        <f>IFERROR(VLOOKUP(JB$1,'PZ 2019'!$C$3:$T$288,$A124,FALSE),0)</f>
        <v>0</v>
      </c>
      <c r="JC124" s="314">
        <f>IFERROR(VLOOKUP(JC$1,'PZ 2019'!$C$3:$T$288,$A124,FALSE),0)</f>
        <v>0</v>
      </c>
      <c r="JD124" s="314">
        <f>IFERROR(VLOOKUP(JD$1,'PZ 2019'!$C$3:$T$288,$A124,FALSE),0)</f>
        <v>0</v>
      </c>
      <c r="JE124" s="314">
        <f>IFERROR(VLOOKUP(JE$1,'PZ 2019'!$C$3:$T$288,$A124,FALSE),0)</f>
        <v>0</v>
      </c>
      <c r="JF124" s="314">
        <f>IFERROR(VLOOKUP(JF$1,'PZ 2019'!$C$3:$T$288,$A124,FALSE),0)</f>
        <v>0</v>
      </c>
      <c r="JG124" s="314">
        <f>IFERROR(VLOOKUP(JG$1,'PZ 2019'!$C$3:$T$288,$A124,FALSE),0)</f>
        <v>0</v>
      </c>
      <c r="JH124" s="314">
        <f>IFERROR(VLOOKUP(JH$1,'PZ 2019'!$C$3:$T$288,$A124,FALSE),0)</f>
        <v>0</v>
      </c>
      <c r="JI124" s="314">
        <f t="shared" si="593"/>
        <v>6364865.6600000001</v>
      </c>
      <c r="JL124" s="307">
        <f t="shared" si="594"/>
        <v>0</v>
      </c>
      <c r="JM124" s="307">
        <f t="shared" si="594"/>
        <v>2814865.66</v>
      </c>
      <c r="JN124" s="307">
        <f t="shared" si="594"/>
        <v>3550000</v>
      </c>
      <c r="JO124" s="307">
        <f t="shared" si="594"/>
        <v>0</v>
      </c>
      <c r="JP124" s="307">
        <f t="shared" si="595"/>
        <v>6364865.6600000001</v>
      </c>
    </row>
    <row r="125" spans="1:276" s="307" customFormat="1" x14ac:dyDescent="0.25">
      <c r="A125" s="314"/>
      <c r="B125" s="314" t="s">
        <v>1763</v>
      </c>
      <c r="C125" s="314">
        <f>SUM(C120:C124)</f>
        <v>0</v>
      </c>
      <c r="D125" s="314">
        <f t="shared" ref="D125:BP125" si="596">SUM(D120:D124)</f>
        <v>0</v>
      </c>
      <c r="E125" s="314">
        <f t="shared" si="596"/>
        <v>0</v>
      </c>
      <c r="F125" s="314">
        <f t="shared" si="596"/>
        <v>8000</v>
      </c>
      <c r="G125" s="314">
        <f t="shared" si="596"/>
        <v>19000</v>
      </c>
      <c r="H125" s="314">
        <f t="shared" si="596"/>
        <v>0</v>
      </c>
      <c r="I125" s="314">
        <f t="shared" si="596"/>
        <v>5000</v>
      </c>
      <c r="J125" s="314">
        <f t="shared" si="596"/>
        <v>0</v>
      </c>
      <c r="K125" s="314">
        <f t="shared" si="596"/>
        <v>0</v>
      </c>
      <c r="L125" s="314">
        <f t="shared" si="596"/>
        <v>175000</v>
      </c>
      <c r="M125" s="314">
        <f t="shared" si="596"/>
        <v>177000</v>
      </c>
      <c r="N125" s="314">
        <f t="shared" si="596"/>
        <v>10650</v>
      </c>
      <c r="O125" s="314">
        <f t="shared" si="596"/>
        <v>80000</v>
      </c>
      <c r="P125" s="314">
        <f t="shared" si="596"/>
        <v>0</v>
      </c>
      <c r="Q125" s="314">
        <f t="shared" si="596"/>
        <v>104970</v>
      </c>
      <c r="R125" s="314">
        <f t="shared" si="596"/>
        <v>38293.1</v>
      </c>
      <c r="S125" s="314">
        <f t="shared" si="596"/>
        <v>33512.800000000003</v>
      </c>
      <c r="T125" s="314">
        <f t="shared" si="596"/>
        <v>45063</v>
      </c>
      <c r="U125" s="314">
        <f t="shared" si="596"/>
        <v>0</v>
      </c>
      <c r="V125" s="314">
        <f t="shared" si="596"/>
        <v>0</v>
      </c>
      <c r="W125" s="314">
        <f t="shared" si="596"/>
        <v>0</v>
      </c>
      <c r="X125" s="314">
        <f t="shared" si="596"/>
        <v>0</v>
      </c>
      <c r="Y125" s="314">
        <f t="shared" si="596"/>
        <v>120000</v>
      </c>
      <c r="Z125" s="314">
        <f t="shared" si="596"/>
        <v>118000</v>
      </c>
      <c r="AA125" s="314">
        <f t="shared" si="596"/>
        <v>0</v>
      </c>
      <c r="AB125" s="314">
        <f t="shared" si="596"/>
        <v>130000</v>
      </c>
      <c r="AC125" s="314">
        <f t="shared" ref="AC125" si="597">SUM(AC120:AC124)</f>
        <v>148000</v>
      </c>
      <c r="AD125" s="314">
        <f t="shared" si="596"/>
        <v>144000</v>
      </c>
      <c r="AE125" s="314">
        <f t="shared" si="596"/>
        <v>5000</v>
      </c>
      <c r="AF125" s="314">
        <f t="shared" si="596"/>
        <v>0</v>
      </c>
      <c r="AG125" s="314">
        <f t="shared" si="596"/>
        <v>222000</v>
      </c>
      <c r="AH125" s="314">
        <f t="shared" si="596"/>
        <v>55495</v>
      </c>
      <c r="AI125" s="314">
        <f t="shared" si="596"/>
        <v>106000</v>
      </c>
      <c r="AJ125" s="314">
        <f t="shared" si="596"/>
        <v>109000</v>
      </c>
      <c r="AK125" s="314">
        <f t="shared" si="596"/>
        <v>120985</v>
      </c>
      <c r="AL125" s="314">
        <f t="shared" si="596"/>
        <v>0</v>
      </c>
      <c r="AM125" s="314">
        <f t="shared" si="596"/>
        <v>32951</v>
      </c>
      <c r="AN125" s="314">
        <f t="shared" si="596"/>
        <v>0</v>
      </c>
      <c r="AO125" s="314">
        <f t="shared" si="596"/>
        <v>0</v>
      </c>
      <c r="AP125" s="314">
        <f t="shared" si="596"/>
        <v>178955</v>
      </c>
      <c r="AQ125" s="314">
        <f t="shared" si="596"/>
        <v>62000</v>
      </c>
      <c r="AR125" s="314">
        <f t="shared" si="596"/>
        <v>190000</v>
      </c>
      <c r="AS125" s="314">
        <f t="shared" si="596"/>
        <v>60000</v>
      </c>
      <c r="AT125" s="314">
        <f t="shared" si="596"/>
        <v>220000</v>
      </c>
      <c r="AU125" s="314">
        <f t="shared" si="596"/>
        <v>142000</v>
      </c>
      <c r="AV125" s="314">
        <f t="shared" si="596"/>
        <v>195000</v>
      </c>
      <c r="AW125" s="314">
        <f t="shared" si="596"/>
        <v>135000</v>
      </c>
      <c r="AX125" s="314">
        <f t="shared" si="596"/>
        <v>172190</v>
      </c>
      <c r="AY125" s="314">
        <f t="shared" si="596"/>
        <v>186059</v>
      </c>
      <c r="AZ125" s="314">
        <f t="shared" si="596"/>
        <v>145000</v>
      </c>
      <c r="BA125" s="314">
        <f t="shared" si="596"/>
        <v>0</v>
      </c>
      <c r="BB125" s="314">
        <f t="shared" si="596"/>
        <v>0</v>
      </c>
      <c r="BC125" s="314">
        <f t="shared" si="596"/>
        <v>0</v>
      </c>
      <c r="BD125" s="314">
        <f t="shared" si="596"/>
        <v>112000</v>
      </c>
      <c r="BE125" s="314">
        <f t="shared" si="596"/>
        <v>113000</v>
      </c>
      <c r="BF125" s="314">
        <f t="shared" si="596"/>
        <v>907190</v>
      </c>
      <c r="BG125" s="314">
        <f t="shared" si="596"/>
        <v>715000</v>
      </c>
      <c r="BH125" s="314">
        <f t="shared" si="596"/>
        <v>902948</v>
      </c>
      <c r="BI125" s="314">
        <f t="shared" si="596"/>
        <v>0</v>
      </c>
      <c r="BJ125" s="314">
        <f t="shared" si="596"/>
        <v>0</v>
      </c>
      <c r="BK125" s="314">
        <f t="shared" si="596"/>
        <v>0</v>
      </c>
      <c r="BL125" s="314">
        <f t="shared" si="596"/>
        <v>0</v>
      </c>
      <c r="BM125" s="314">
        <f t="shared" si="596"/>
        <v>856252</v>
      </c>
      <c r="BN125" s="314">
        <f t="shared" si="596"/>
        <v>0</v>
      </c>
      <c r="BO125" s="314">
        <f t="shared" si="596"/>
        <v>0</v>
      </c>
      <c r="BP125" s="314">
        <f t="shared" si="596"/>
        <v>458716</v>
      </c>
      <c r="BQ125" s="314">
        <f t="shared" ref="BQ125:EB125" si="598">SUM(BQ120:BQ124)</f>
        <v>0</v>
      </c>
      <c r="BR125" s="314">
        <f t="shared" si="598"/>
        <v>65000</v>
      </c>
      <c r="BS125" s="314">
        <f t="shared" si="598"/>
        <v>100000</v>
      </c>
      <c r="BT125" s="314">
        <f t="shared" si="598"/>
        <v>79000</v>
      </c>
      <c r="BU125" s="314">
        <f t="shared" si="598"/>
        <v>0</v>
      </c>
      <c r="BV125" s="314">
        <f t="shared" si="598"/>
        <v>0</v>
      </c>
      <c r="BW125" s="314">
        <f t="shared" si="598"/>
        <v>0</v>
      </c>
      <c r="BX125" s="314">
        <f t="shared" si="598"/>
        <v>156971</v>
      </c>
      <c r="BY125" s="314">
        <f t="shared" si="598"/>
        <v>101000</v>
      </c>
      <c r="BZ125" s="314">
        <f t="shared" si="598"/>
        <v>36000</v>
      </c>
      <c r="CA125" s="314">
        <f t="shared" si="598"/>
        <v>0</v>
      </c>
      <c r="CB125" s="314">
        <f t="shared" si="598"/>
        <v>0</v>
      </c>
      <c r="CC125" s="314">
        <f t="shared" si="598"/>
        <v>104236</v>
      </c>
      <c r="CD125" s="314">
        <f t="shared" si="598"/>
        <v>26000</v>
      </c>
      <c r="CE125" s="314">
        <f t="shared" si="598"/>
        <v>243056</v>
      </c>
      <c r="CF125" s="314">
        <f t="shared" si="598"/>
        <v>77951</v>
      </c>
      <c r="CG125" s="314">
        <f t="shared" si="598"/>
        <v>249880</v>
      </c>
      <c r="CH125" s="314">
        <f t="shared" si="598"/>
        <v>71641</v>
      </c>
      <c r="CI125" s="314">
        <f t="shared" si="598"/>
        <v>85084</v>
      </c>
      <c r="CJ125" s="314">
        <f t="shared" si="598"/>
        <v>31241</v>
      </c>
      <c r="CK125" s="314">
        <f t="shared" si="598"/>
        <v>29899</v>
      </c>
      <c r="CL125" s="314">
        <f t="shared" si="598"/>
        <v>54461</v>
      </c>
      <c r="CM125" s="314">
        <f t="shared" si="598"/>
        <v>0</v>
      </c>
      <c r="CN125" s="314">
        <f t="shared" si="598"/>
        <v>52605.14</v>
      </c>
      <c r="CO125" s="314">
        <f t="shared" si="598"/>
        <v>0</v>
      </c>
      <c r="CP125" s="314">
        <f t="shared" si="598"/>
        <v>55825.46</v>
      </c>
      <c r="CQ125" s="314">
        <f t="shared" si="598"/>
        <v>0</v>
      </c>
      <c r="CR125" s="314">
        <f t="shared" si="598"/>
        <v>0</v>
      </c>
      <c r="CS125" s="314">
        <f t="shared" si="598"/>
        <v>0</v>
      </c>
      <c r="CT125" s="314">
        <f t="shared" si="598"/>
        <v>0</v>
      </c>
      <c r="CU125" s="314">
        <f t="shared" si="598"/>
        <v>0</v>
      </c>
      <c r="CV125" s="314">
        <f t="shared" si="598"/>
        <v>0</v>
      </c>
      <c r="CW125" s="314">
        <f t="shared" si="598"/>
        <v>0</v>
      </c>
      <c r="CX125" s="314">
        <f t="shared" si="598"/>
        <v>0</v>
      </c>
      <c r="CY125" s="314">
        <f t="shared" si="598"/>
        <v>0</v>
      </c>
      <c r="CZ125" s="314">
        <f t="shared" si="598"/>
        <v>0</v>
      </c>
      <c r="DA125" s="314">
        <f t="shared" si="598"/>
        <v>0</v>
      </c>
      <c r="DB125" s="314">
        <f t="shared" si="598"/>
        <v>0</v>
      </c>
      <c r="DC125" s="314">
        <f t="shared" si="598"/>
        <v>0</v>
      </c>
      <c r="DD125" s="314">
        <f t="shared" si="598"/>
        <v>173277</v>
      </c>
      <c r="DE125" s="314">
        <f t="shared" si="598"/>
        <v>282627</v>
      </c>
      <c r="DF125" s="314">
        <f t="shared" si="598"/>
        <v>4981066</v>
      </c>
      <c r="DG125" s="314">
        <f t="shared" si="598"/>
        <v>0</v>
      </c>
      <c r="DH125" s="314">
        <f t="shared" si="598"/>
        <v>3370.46</v>
      </c>
      <c r="DI125" s="314">
        <f t="shared" si="598"/>
        <v>54259.41</v>
      </c>
      <c r="DJ125" s="314">
        <f t="shared" si="598"/>
        <v>113528.74</v>
      </c>
      <c r="DK125" s="314">
        <f t="shared" si="598"/>
        <v>27499.39</v>
      </c>
      <c r="DL125" s="314">
        <f t="shared" si="598"/>
        <v>0</v>
      </c>
      <c r="DM125" s="314">
        <f t="shared" si="598"/>
        <v>0</v>
      </c>
      <c r="DN125" s="314">
        <f t="shared" si="598"/>
        <v>130000</v>
      </c>
      <c r="DO125" s="314">
        <f t="shared" si="598"/>
        <v>0</v>
      </c>
      <c r="DP125" s="314">
        <f t="shared" si="598"/>
        <v>136446.78</v>
      </c>
      <c r="DQ125" s="314">
        <f t="shared" si="598"/>
        <v>0</v>
      </c>
      <c r="DR125" s="314">
        <f t="shared" si="598"/>
        <v>0</v>
      </c>
      <c r="DS125" s="314">
        <f t="shared" si="598"/>
        <v>0</v>
      </c>
      <c r="DT125" s="314">
        <f t="shared" si="598"/>
        <v>0</v>
      </c>
      <c r="DU125" s="314">
        <f t="shared" si="598"/>
        <v>0</v>
      </c>
      <c r="DV125" s="314">
        <f t="shared" si="598"/>
        <v>2200000</v>
      </c>
      <c r="DW125" s="314">
        <f t="shared" si="598"/>
        <v>0</v>
      </c>
      <c r="DX125" s="314">
        <f t="shared" si="598"/>
        <v>0</v>
      </c>
      <c r="DY125" s="314">
        <f t="shared" si="598"/>
        <v>158000</v>
      </c>
      <c r="DZ125" s="314">
        <f t="shared" si="598"/>
        <v>0</v>
      </c>
      <c r="EA125" s="314">
        <f t="shared" si="598"/>
        <v>171000</v>
      </c>
      <c r="EB125" s="314">
        <f t="shared" si="598"/>
        <v>0</v>
      </c>
      <c r="EC125" s="314">
        <f t="shared" ref="EC125:GN125" si="599">SUM(EC120:EC124)</f>
        <v>108000</v>
      </c>
      <c r="ED125" s="314">
        <f t="shared" si="599"/>
        <v>0</v>
      </c>
      <c r="EE125" s="314">
        <f t="shared" si="599"/>
        <v>0</v>
      </c>
      <c r="EF125" s="314">
        <f t="shared" si="599"/>
        <v>28601.59</v>
      </c>
      <c r="EG125" s="314">
        <f t="shared" si="599"/>
        <v>21070.99</v>
      </c>
      <c r="EH125" s="314">
        <f t="shared" si="599"/>
        <v>22000</v>
      </c>
      <c r="EI125" s="314">
        <f t="shared" si="599"/>
        <v>51000</v>
      </c>
      <c r="EJ125" s="314">
        <f t="shared" si="599"/>
        <v>76137.16</v>
      </c>
      <c r="EK125" s="314">
        <f t="shared" si="599"/>
        <v>276000</v>
      </c>
      <c r="EL125" s="314">
        <f t="shared" si="599"/>
        <v>651000</v>
      </c>
      <c r="EM125" s="314">
        <f t="shared" si="599"/>
        <v>210000</v>
      </c>
      <c r="EN125" s="314">
        <f t="shared" si="599"/>
        <v>0</v>
      </c>
      <c r="EO125" s="314">
        <f t="shared" si="599"/>
        <v>0</v>
      </c>
      <c r="EP125" s="314">
        <f t="shared" si="599"/>
        <v>0</v>
      </c>
      <c r="EQ125" s="314">
        <f t="shared" si="599"/>
        <v>13000</v>
      </c>
      <c r="ER125" s="314">
        <f t="shared" si="599"/>
        <v>0</v>
      </c>
      <c r="ES125" s="314">
        <f t="shared" si="599"/>
        <v>0</v>
      </c>
      <c r="ET125" s="314">
        <f t="shared" si="599"/>
        <v>0</v>
      </c>
      <c r="EU125" s="314">
        <f t="shared" si="599"/>
        <v>3550000</v>
      </c>
      <c r="EV125" s="314">
        <f t="shared" si="599"/>
        <v>0</v>
      </c>
      <c r="EW125" s="314">
        <f t="shared" si="599"/>
        <v>0</v>
      </c>
      <c r="EX125" s="314">
        <f t="shared" si="599"/>
        <v>0</v>
      </c>
      <c r="EY125" s="314">
        <f t="shared" si="599"/>
        <v>0</v>
      </c>
      <c r="EZ125" s="314">
        <f t="shared" si="599"/>
        <v>0</v>
      </c>
      <c r="FA125" s="314">
        <f t="shared" si="599"/>
        <v>0</v>
      </c>
      <c r="FB125" s="314">
        <f t="shared" si="599"/>
        <v>0</v>
      </c>
      <c r="FC125" s="314">
        <f t="shared" si="599"/>
        <v>0</v>
      </c>
      <c r="FD125" s="314">
        <f t="shared" si="599"/>
        <v>0</v>
      </c>
      <c r="FE125" s="314">
        <f t="shared" si="599"/>
        <v>0</v>
      </c>
      <c r="FF125" s="314">
        <f t="shared" si="599"/>
        <v>0</v>
      </c>
      <c r="FG125" s="314">
        <f t="shared" si="599"/>
        <v>0</v>
      </c>
      <c r="FH125" s="314">
        <f t="shared" si="599"/>
        <v>0</v>
      </c>
      <c r="FI125" s="314">
        <f t="shared" si="599"/>
        <v>0</v>
      </c>
      <c r="FJ125" s="314">
        <f t="shared" si="599"/>
        <v>0</v>
      </c>
      <c r="FK125" s="314">
        <f t="shared" si="599"/>
        <v>0</v>
      </c>
      <c r="FL125" s="314">
        <f t="shared" si="599"/>
        <v>0</v>
      </c>
      <c r="FM125" s="314">
        <f t="shared" si="599"/>
        <v>0</v>
      </c>
      <c r="FN125" s="314">
        <f t="shared" si="599"/>
        <v>0</v>
      </c>
      <c r="FO125" s="314">
        <f t="shared" si="599"/>
        <v>0</v>
      </c>
      <c r="FP125" s="314">
        <f t="shared" si="599"/>
        <v>0</v>
      </c>
      <c r="FQ125" s="314">
        <f t="shared" si="599"/>
        <v>0</v>
      </c>
      <c r="FR125" s="314">
        <f t="shared" si="599"/>
        <v>0</v>
      </c>
      <c r="FS125" s="314">
        <f t="shared" si="599"/>
        <v>0</v>
      </c>
      <c r="FT125" s="314">
        <f t="shared" si="599"/>
        <v>0</v>
      </c>
      <c r="FU125" s="314">
        <f t="shared" si="599"/>
        <v>0</v>
      </c>
      <c r="FV125" s="314">
        <f t="shared" si="599"/>
        <v>0</v>
      </c>
      <c r="FW125" s="314">
        <f t="shared" si="599"/>
        <v>0</v>
      </c>
      <c r="FX125" s="314">
        <f t="shared" si="599"/>
        <v>0</v>
      </c>
      <c r="FY125" s="314">
        <f t="shared" si="599"/>
        <v>0</v>
      </c>
      <c r="FZ125" s="314">
        <f t="shared" si="599"/>
        <v>0</v>
      </c>
      <c r="GA125" s="314">
        <f t="shared" si="599"/>
        <v>0</v>
      </c>
      <c r="GB125" s="314">
        <f t="shared" si="599"/>
        <v>0</v>
      </c>
      <c r="GC125" s="314">
        <f t="shared" si="599"/>
        <v>0</v>
      </c>
      <c r="GD125" s="314">
        <f t="shared" si="599"/>
        <v>0</v>
      </c>
      <c r="GE125" s="314">
        <f t="shared" si="599"/>
        <v>0</v>
      </c>
      <c r="GF125" s="314">
        <f t="shared" si="599"/>
        <v>0</v>
      </c>
      <c r="GG125" s="314">
        <f t="shared" si="599"/>
        <v>0</v>
      </c>
      <c r="GH125" s="314">
        <f t="shared" si="599"/>
        <v>0</v>
      </c>
      <c r="GI125" s="314">
        <f t="shared" si="599"/>
        <v>0</v>
      </c>
      <c r="GJ125" s="314">
        <f t="shared" si="599"/>
        <v>0</v>
      </c>
      <c r="GK125" s="314">
        <f t="shared" si="599"/>
        <v>472000</v>
      </c>
      <c r="GL125" s="314">
        <f t="shared" si="599"/>
        <v>0</v>
      </c>
      <c r="GM125" s="314">
        <f t="shared" si="599"/>
        <v>0</v>
      </c>
      <c r="GN125" s="314">
        <f t="shared" si="599"/>
        <v>0</v>
      </c>
      <c r="GO125" s="314">
        <f t="shared" ref="GO125:IZ125" si="600">SUM(GO120:GO124)</f>
        <v>0</v>
      </c>
      <c r="GP125" s="314">
        <f t="shared" si="600"/>
        <v>0</v>
      </c>
      <c r="GQ125" s="314">
        <f t="shared" si="600"/>
        <v>0</v>
      </c>
      <c r="GR125" s="314">
        <f t="shared" si="600"/>
        <v>0</v>
      </c>
      <c r="GS125" s="314">
        <f t="shared" si="600"/>
        <v>0</v>
      </c>
      <c r="GT125" s="314">
        <f t="shared" si="600"/>
        <v>0</v>
      </c>
      <c r="GU125" s="314">
        <f t="shared" si="600"/>
        <v>0</v>
      </c>
      <c r="GV125" s="314">
        <f t="shared" si="600"/>
        <v>0</v>
      </c>
      <c r="GW125" s="314">
        <f t="shared" si="600"/>
        <v>0</v>
      </c>
      <c r="GX125" s="314">
        <f t="shared" si="600"/>
        <v>0</v>
      </c>
      <c r="GY125" s="314">
        <f t="shared" si="600"/>
        <v>0</v>
      </c>
      <c r="GZ125" s="314">
        <f t="shared" si="600"/>
        <v>0</v>
      </c>
      <c r="HA125" s="314">
        <f t="shared" si="600"/>
        <v>0</v>
      </c>
      <c r="HB125" s="314">
        <f t="shared" si="600"/>
        <v>0</v>
      </c>
      <c r="HC125" s="314">
        <f t="shared" si="600"/>
        <v>0</v>
      </c>
      <c r="HD125" s="314">
        <f t="shared" si="600"/>
        <v>200000</v>
      </c>
      <c r="HE125" s="314">
        <f t="shared" si="600"/>
        <v>200000</v>
      </c>
      <c r="HF125" s="314">
        <f t="shared" si="600"/>
        <v>0</v>
      </c>
      <c r="HG125" s="314">
        <f t="shared" si="600"/>
        <v>0</v>
      </c>
      <c r="HH125" s="314">
        <f t="shared" si="600"/>
        <v>0</v>
      </c>
      <c r="HI125" s="314">
        <f t="shared" si="600"/>
        <v>0</v>
      </c>
      <c r="HJ125" s="314">
        <f t="shared" si="600"/>
        <v>0</v>
      </c>
      <c r="HK125" s="314">
        <f t="shared" si="600"/>
        <v>0</v>
      </c>
      <c r="HL125" s="314">
        <f t="shared" si="600"/>
        <v>0</v>
      </c>
      <c r="HM125" s="314">
        <f t="shared" si="600"/>
        <v>0</v>
      </c>
      <c r="HN125" s="314">
        <f t="shared" si="600"/>
        <v>0</v>
      </c>
      <c r="HO125" s="314">
        <f t="shared" si="600"/>
        <v>0</v>
      </c>
      <c r="HP125" s="314">
        <f t="shared" si="600"/>
        <v>989703</v>
      </c>
      <c r="HQ125" s="314">
        <f t="shared" si="600"/>
        <v>0</v>
      </c>
      <c r="HR125" s="314">
        <f t="shared" si="600"/>
        <v>0</v>
      </c>
      <c r="HS125" s="314">
        <f t="shared" si="600"/>
        <v>0</v>
      </c>
      <c r="HT125" s="314">
        <f t="shared" si="600"/>
        <v>0</v>
      </c>
      <c r="HU125" s="314">
        <f t="shared" si="600"/>
        <v>0</v>
      </c>
      <c r="HV125" s="314">
        <f t="shared" si="600"/>
        <v>0</v>
      </c>
      <c r="HW125" s="314">
        <f t="shared" si="600"/>
        <v>0</v>
      </c>
      <c r="HX125" s="314">
        <f t="shared" si="600"/>
        <v>0</v>
      </c>
      <c r="HY125" s="314">
        <f t="shared" si="600"/>
        <v>0</v>
      </c>
      <c r="HZ125" s="314">
        <f t="shared" si="600"/>
        <v>0</v>
      </c>
      <c r="IA125" s="314">
        <f t="shared" si="600"/>
        <v>0</v>
      </c>
      <c r="IB125" s="314">
        <f t="shared" si="600"/>
        <v>0</v>
      </c>
      <c r="IC125" s="314">
        <f t="shared" si="600"/>
        <v>0</v>
      </c>
      <c r="ID125" s="314">
        <f t="shared" si="600"/>
        <v>0</v>
      </c>
      <c r="IE125" s="314">
        <f t="shared" si="600"/>
        <v>0</v>
      </c>
      <c r="IF125" s="314">
        <f t="shared" si="600"/>
        <v>0</v>
      </c>
      <c r="IG125" s="314">
        <f t="shared" si="600"/>
        <v>0</v>
      </c>
      <c r="IH125" s="314">
        <f t="shared" si="600"/>
        <v>228390</v>
      </c>
      <c r="II125" s="314">
        <f t="shared" si="600"/>
        <v>1213478</v>
      </c>
      <c r="IJ125" s="314">
        <f t="shared" si="600"/>
        <v>112716</v>
      </c>
      <c r="IK125" s="314">
        <f t="shared" si="600"/>
        <v>202466</v>
      </c>
      <c r="IL125" s="314">
        <f t="shared" si="600"/>
        <v>0</v>
      </c>
      <c r="IM125" s="314">
        <f t="shared" si="600"/>
        <v>0</v>
      </c>
      <c r="IN125" s="314">
        <f t="shared" si="600"/>
        <v>0</v>
      </c>
      <c r="IO125" s="314">
        <f t="shared" si="600"/>
        <v>0</v>
      </c>
      <c r="IP125" s="314">
        <f t="shared" si="600"/>
        <v>0</v>
      </c>
      <c r="IQ125" s="314">
        <f t="shared" si="600"/>
        <v>0</v>
      </c>
      <c r="IR125" s="314">
        <f t="shared" si="600"/>
        <v>0</v>
      </c>
      <c r="IS125" s="314">
        <f t="shared" si="600"/>
        <v>0</v>
      </c>
      <c r="IT125" s="314">
        <f t="shared" si="600"/>
        <v>0</v>
      </c>
      <c r="IU125" s="314">
        <f t="shared" si="600"/>
        <v>0</v>
      </c>
      <c r="IV125" s="314">
        <f t="shared" si="600"/>
        <v>0</v>
      </c>
      <c r="IW125" s="314">
        <f t="shared" si="600"/>
        <v>0</v>
      </c>
      <c r="IX125" s="314">
        <f t="shared" si="600"/>
        <v>0</v>
      </c>
      <c r="IY125" s="314">
        <f t="shared" si="600"/>
        <v>0</v>
      </c>
      <c r="IZ125" s="314">
        <f t="shared" si="600"/>
        <v>0</v>
      </c>
      <c r="JA125" s="314">
        <f t="shared" ref="JA125:JH125" si="601">SUM(JA120:JA124)</f>
        <v>0</v>
      </c>
      <c r="JB125" s="314">
        <f t="shared" si="601"/>
        <v>280000</v>
      </c>
      <c r="JC125" s="314">
        <f t="shared" si="601"/>
        <v>0</v>
      </c>
      <c r="JD125" s="314">
        <f t="shared" si="601"/>
        <v>1500000</v>
      </c>
      <c r="JE125" s="314">
        <f t="shared" si="601"/>
        <v>0</v>
      </c>
      <c r="JF125" s="314">
        <f t="shared" si="601"/>
        <v>0</v>
      </c>
      <c r="JG125" s="314">
        <f t="shared" si="601"/>
        <v>0</v>
      </c>
      <c r="JH125" s="314">
        <f t="shared" si="601"/>
        <v>0</v>
      </c>
      <c r="JI125" s="314">
        <f t="shared" si="593"/>
        <v>28215718.02</v>
      </c>
      <c r="JL125" s="307">
        <f t="shared" si="594"/>
        <v>0</v>
      </c>
      <c r="JM125" s="307">
        <f t="shared" si="594"/>
        <v>19266965.02</v>
      </c>
      <c r="JN125" s="307">
        <f t="shared" si="594"/>
        <v>4422000</v>
      </c>
      <c r="JO125" s="307">
        <f t="shared" si="594"/>
        <v>4526753</v>
      </c>
      <c r="JP125" s="307">
        <f t="shared" si="595"/>
        <v>28215718.02</v>
      </c>
    </row>
    <row r="128" spans="1:276" x14ac:dyDescent="0.25">
      <c r="B128" s="314" t="s">
        <v>2616</v>
      </c>
      <c r="C128" s="314">
        <f>C116+C49</f>
        <v>8934422.5558247231</v>
      </c>
      <c r="D128" s="314">
        <f t="shared" ref="D128:BP128" si="602">D116+D49</f>
        <v>8030000</v>
      </c>
      <c r="E128" s="314">
        <f t="shared" si="602"/>
        <v>8479184.4088107012</v>
      </c>
      <c r="F128" s="314">
        <f t="shared" si="602"/>
        <v>3978884.7088353573</v>
      </c>
      <c r="G128" s="314">
        <f t="shared" si="602"/>
        <v>11754503.127290595</v>
      </c>
      <c r="H128" s="314">
        <f t="shared" si="602"/>
        <v>1616710.4161113091</v>
      </c>
      <c r="I128" s="314">
        <f t="shared" si="602"/>
        <v>3882379.4741952131</v>
      </c>
      <c r="J128" s="314">
        <f t="shared" si="602"/>
        <v>2983617.8557661893</v>
      </c>
      <c r="K128" s="314">
        <f t="shared" si="602"/>
        <v>6343551.1287726387</v>
      </c>
      <c r="L128" s="314">
        <f t="shared" si="602"/>
        <v>4056720</v>
      </c>
      <c r="M128" s="314">
        <f t="shared" si="602"/>
        <v>3984275.238895766</v>
      </c>
      <c r="N128" s="314">
        <f t="shared" si="602"/>
        <v>5909828.6030266704</v>
      </c>
      <c r="O128" s="314">
        <f t="shared" si="602"/>
        <v>4613641</v>
      </c>
      <c r="P128" s="314">
        <f t="shared" si="602"/>
        <v>2881026.0021816893</v>
      </c>
      <c r="Q128" s="314">
        <f t="shared" si="602"/>
        <v>2005488.4791010155</v>
      </c>
      <c r="R128" s="314">
        <f t="shared" si="602"/>
        <v>2486000</v>
      </c>
      <c r="S128" s="314">
        <f t="shared" si="602"/>
        <v>1753236.8</v>
      </c>
      <c r="T128" s="314">
        <f t="shared" si="602"/>
        <v>742773.51077815378</v>
      </c>
      <c r="U128" s="314">
        <f t="shared" si="602"/>
        <v>1252500</v>
      </c>
      <c r="V128" s="314">
        <f t="shared" si="602"/>
        <v>12810620</v>
      </c>
      <c r="W128" s="314">
        <f t="shared" si="602"/>
        <v>3064000</v>
      </c>
      <c r="X128" s="314">
        <f t="shared" si="602"/>
        <v>2426335.8095085779</v>
      </c>
      <c r="Y128" s="314">
        <f t="shared" si="602"/>
        <v>1870700</v>
      </c>
      <c r="Z128" s="314">
        <f t="shared" si="602"/>
        <v>7231924</v>
      </c>
      <c r="AA128" s="314">
        <f t="shared" si="602"/>
        <v>4539705.4490248738</v>
      </c>
      <c r="AB128" s="314">
        <f t="shared" si="602"/>
        <v>3832465.2857224136</v>
      </c>
      <c r="AC128" s="314">
        <f t="shared" ref="AC128" si="603">AC116+AC49</f>
        <v>640000.31194833247</v>
      </c>
      <c r="AD128" s="314">
        <f t="shared" si="602"/>
        <v>2747029.1206235653</v>
      </c>
      <c r="AE128" s="314">
        <f t="shared" si="602"/>
        <v>1222248.5258989439</v>
      </c>
      <c r="AF128" s="314">
        <f t="shared" si="602"/>
        <v>3535587.1590829347</v>
      </c>
      <c r="AG128" s="314">
        <f t="shared" si="602"/>
        <v>3718312.7548698969</v>
      </c>
      <c r="AH128" s="314">
        <f t="shared" si="602"/>
        <v>861700</v>
      </c>
      <c r="AI128" s="314">
        <f t="shared" si="602"/>
        <v>3682820</v>
      </c>
      <c r="AJ128" s="314">
        <f t="shared" si="602"/>
        <v>2762960</v>
      </c>
      <c r="AK128" s="314">
        <f t="shared" si="602"/>
        <v>1339732</v>
      </c>
      <c r="AL128" s="314">
        <f t="shared" si="602"/>
        <v>2156909.1633510776</v>
      </c>
      <c r="AM128" s="314">
        <f t="shared" si="602"/>
        <v>1559824.3726341231</v>
      </c>
      <c r="AN128" s="314">
        <f t="shared" si="602"/>
        <v>1243955.198498779</v>
      </c>
      <c r="AO128" s="314">
        <f t="shared" si="602"/>
        <v>7464755.5596356187</v>
      </c>
      <c r="AP128" s="314">
        <f t="shared" si="602"/>
        <v>2264025.1162296012</v>
      </c>
      <c r="AQ128" s="314">
        <f t="shared" si="602"/>
        <v>541000</v>
      </c>
      <c r="AR128" s="314">
        <f t="shared" si="602"/>
        <v>1671240.3992508459</v>
      </c>
      <c r="AS128" s="314">
        <f t="shared" si="602"/>
        <v>532253.22022333392</v>
      </c>
      <c r="AT128" s="314">
        <f t="shared" si="602"/>
        <v>2667113.4323683418</v>
      </c>
      <c r="AU128" s="314">
        <f t="shared" si="602"/>
        <v>1152216.9394664213</v>
      </c>
      <c r="AV128" s="314">
        <f t="shared" si="602"/>
        <v>2120960.6772952261</v>
      </c>
      <c r="AW128" s="314">
        <f t="shared" si="602"/>
        <v>3515922.5550434329</v>
      </c>
      <c r="AX128" s="314">
        <f t="shared" si="602"/>
        <v>3498135.311080751</v>
      </c>
      <c r="AY128" s="314">
        <f t="shared" si="602"/>
        <v>3538190.5406568907</v>
      </c>
      <c r="AZ128" s="314">
        <f t="shared" si="602"/>
        <v>3137185</v>
      </c>
      <c r="BA128" s="314">
        <f t="shared" si="602"/>
        <v>10350000</v>
      </c>
      <c r="BB128" s="314">
        <f t="shared" si="602"/>
        <v>1452920</v>
      </c>
      <c r="BC128" s="314">
        <f t="shared" si="602"/>
        <v>1360742.4938025323</v>
      </c>
      <c r="BD128" s="314">
        <f t="shared" si="602"/>
        <v>2220258.3325785431</v>
      </c>
      <c r="BE128" s="314">
        <f t="shared" si="602"/>
        <v>1466934.3566507786</v>
      </c>
      <c r="BF128" s="314">
        <f t="shared" si="602"/>
        <v>2396000</v>
      </c>
      <c r="BG128" s="314">
        <f t="shared" si="602"/>
        <v>2989000</v>
      </c>
      <c r="BH128" s="314">
        <f t="shared" si="602"/>
        <v>3603000</v>
      </c>
      <c r="BI128" s="314">
        <f t="shared" si="602"/>
        <v>1370000</v>
      </c>
      <c r="BJ128" s="314">
        <f t="shared" si="602"/>
        <v>2953458.8535647267</v>
      </c>
      <c r="BK128" s="314">
        <f t="shared" si="602"/>
        <v>1036000</v>
      </c>
      <c r="BL128" s="314">
        <f t="shared" si="602"/>
        <v>484189.8882988008</v>
      </c>
      <c r="BM128" s="314">
        <f t="shared" si="602"/>
        <v>1594642.96</v>
      </c>
      <c r="BN128" s="314">
        <f t="shared" si="602"/>
        <v>1967101.9931537434</v>
      </c>
      <c r="BO128" s="314">
        <f t="shared" si="602"/>
        <v>1247279.6524752458</v>
      </c>
      <c r="BP128" s="314">
        <f t="shared" si="602"/>
        <v>5429080</v>
      </c>
      <c r="BQ128" s="314">
        <f t="shared" ref="BQ128:EB128" si="604">BQ116+BQ49</f>
        <v>965265.02928326302</v>
      </c>
      <c r="BR128" s="314">
        <f t="shared" si="604"/>
        <v>1093021</v>
      </c>
      <c r="BS128" s="314">
        <f t="shared" si="604"/>
        <v>1530282.2989678741</v>
      </c>
      <c r="BT128" s="314">
        <f t="shared" si="604"/>
        <v>1114160.2661672307</v>
      </c>
      <c r="BU128" s="314">
        <f t="shared" si="604"/>
        <v>5089338</v>
      </c>
      <c r="BV128" s="314">
        <f t="shared" si="604"/>
        <v>1246445.7150743008</v>
      </c>
      <c r="BW128" s="314">
        <f t="shared" si="604"/>
        <v>550509.56425867567</v>
      </c>
      <c r="BX128" s="314">
        <f t="shared" si="604"/>
        <v>6518650.1910633538</v>
      </c>
      <c r="BY128" s="314">
        <f t="shared" si="604"/>
        <v>2250144</v>
      </c>
      <c r="BZ128" s="314">
        <f t="shared" si="604"/>
        <v>474150</v>
      </c>
      <c r="CA128" s="314">
        <f t="shared" si="604"/>
        <v>0</v>
      </c>
      <c r="CB128" s="314">
        <f t="shared" si="604"/>
        <v>584244.89971290843</v>
      </c>
      <c r="CC128" s="314">
        <f t="shared" si="604"/>
        <v>2642055.6625416637</v>
      </c>
      <c r="CD128" s="314">
        <f t="shared" si="604"/>
        <v>793848.21685573971</v>
      </c>
      <c r="CE128" s="314">
        <f t="shared" si="604"/>
        <v>14096350.125316771</v>
      </c>
      <c r="CF128" s="314">
        <f t="shared" si="604"/>
        <v>4820517.8393289512</v>
      </c>
      <c r="CG128" s="314">
        <f t="shared" si="604"/>
        <v>10624581.496070446</v>
      </c>
      <c r="CH128" s="314">
        <f t="shared" si="604"/>
        <v>4849479.0792496316</v>
      </c>
      <c r="CI128" s="314">
        <f t="shared" si="604"/>
        <v>3518851.9671994289</v>
      </c>
      <c r="CJ128" s="314">
        <f t="shared" si="604"/>
        <v>4666195.0818283353</v>
      </c>
      <c r="CK128" s="314">
        <f t="shared" si="604"/>
        <v>5065000</v>
      </c>
      <c r="CL128" s="314">
        <f t="shared" si="604"/>
        <v>3322364.0281396648</v>
      </c>
      <c r="CM128" s="314">
        <f t="shared" si="604"/>
        <v>6951836.4399863137</v>
      </c>
      <c r="CN128" s="314">
        <f t="shared" si="604"/>
        <v>1507009.9127194914</v>
      </c>
      <c r="CO128" s="314">
        <f t="shared" si="604"/>
        <v>1464500</v>
      </c>
      <c r="CP128" s="314">
        <f t="shared" si="604"/>
        <v>1483807.7168003041</v>
      </c>
      <c r="CQ128" s="314">
        <f t="shared" si="604"/>
        <v>6255036.573718125</v>
      </c>
      <c r="CR128" s="314">
        <f t="shared" si="604"/>
        <v>2381094</v>
      </c>
      <c r="CS128" s="314">
        <f t="shared" si="604"/>
        <v>3818929</v>
      </c>
      <c r="CT128" s="314">
        <f t="shared" si="604"/>
        <v>6529679.8103662794</v>
      </c>
      <c r="CU128" s="314">
        <f t="shared" si="604"/>
        <v>1966500</v>
      </c>
      <c r="CV128" s="314">
        <f t="shared" si="604"/>
        <v>5979312.4157442451</v>
      </c>
      <c r="CW128" s="314">
        <f t="shared" si="604"/>
        <v>400000</v>
      </c>
      <c r="CX128" s="314">
        <f t="shared" si="604"/>
        <v>3830468</v>
      </c>
      <c r="CY128" s="314">
        <f t="shared" si="604"/>
        <v>3158756.2839012085</v>
      </c>
      <c r="CZ128" s="314">
        <f t="shared" si="604"/>
        <v>1424700</v>
      </c>
      <c r="DA128" s="314">
        <f t="shared" si="604"/>
        <v>7650000</v>
      </c>
      <c r="DB128" s="314">
        <f t="shared" si="604"/>
        <v>960808</v>
      </c>
      <c r="DC128" s="314">
        <f t="shared" si="604"/>
        <v>2217214.4635382527</v>
      </c>
      <c r="DD128" s="314">
        <f t="shared" si="604"/>
        <v>6014369.6959123211</v>
      </c>
      <c r="DE128" s="314">
        <f t="shared" si="604"/>
        <v>7831996.8713862468</v>
      </c>
      <c r="DF128" s="314">
        <f t="shared" si="604"/>
        <v>5110760</v>
      </c>
      <c r="DG128" s="314">
        <f t="shared" si="604"/>
        <v>854189.53739487671</v>
      </c>
      <c r="DH128" s="314">
        <f t="shared" si="604"/>
        <v>2542541.0743335127</v>
      </c>
      <c r="DI128" s="314">
        <f t="shared" si="604"/>
        <v>1171285.3840966881</v>
      </c>
      <c r="DJ128" s="314">
        <f t="shared" si="604"/>
        <v>2010826</v>
      </c>
      <c r="DK128" s="314">
        <f t="shared" si="604"/>
        <v>2844260.6534043886</v>
      </c>
      <c r="DL128" s="314">
        <f t="shared" si="604"/>
        <v>5546296.221800454</v>
      </c>
      <c r="DM128" s="314">
        <f t="shared" si="604"/>
        <v>2413503.0838138554</v>
      </c>
      <c r="DN128" s="314">
        <f t="shared" si="604"/>
        <v>4158667</v>
      </c>
      <c r="DO128" s="314">
        <f t="shared" si="604"/>
        <v>1491808.9278830946</v>
      </c>
      <c r="DP128" s="314">
        <f t="shared" si="604"/>
        <v>4460363.7799999993</v>
      </c>
      <c r="DQ128" s="314">
        <f t="shared" si="604"/>
        <v>4269645</v>
      </c>
      <c r="DR128" s="314">
        <f t="shared" si="604"/>
        <v>4741236.5</v>
      </c>
      <c r="DS128" s="314">
        <f t="shared" si="604"/>
        <v>981758.6533991067</v>
      </c>
      <c r="DT128" s="314">
        <f t="shared" si="604"/>
        <v>3594364.0513730422</v>
      </c>
      <c r="DU128" s="314">
        <f t="shared" si="604"/>
        <v>2379508.9633388799</v>
      </c>
      <c r="DV128" s="314">
        <f t="shared" si="604"/>
        <v>5023333</v>
      </c>
      <c r="DW128" s="314">
        <f t="shared" si="604"/>
        <v>1463011.5734570101</v>
      </c>
      <c r="DX128" s="314">
        <f t="shared" si="604"/>
        <v>4919719.1541079516</v>
      </c>
      <c r="DY128" s="314">
        <f t="shared" si="604"/>
        <v>4731142.7504826486</v>
      </c>
      <c r="DZ128" s="314">
        <f t="shared" si="604"/>
        <v>770133.71150518791</v>
      </c>
      <c r="EA128" s="314">
        <f t="shared" si="604"/>
        <v>4040500</v>
      </c>
      <c r="EB128" s="314">
        <f t="shared" si="604"/>
        <v>5976412.8583436497</v>
      </c>
      <c r="EC128" s="314">
        <f t="shared" ref="EC128:GN128" si="605">EC116+EC49</f>
        <v>3628637.7512384658</v>
      </c>
      <c r="ED128" s="314">
        <f t="shared" si="605"/>
        <v>4180855.4215401057</v>
      </c>
      <c r="EE128" s="314">
        <f t="shared" si="605"/>
        <v>720000</v>
      </c>
      <c r="EF128" s="314">
        <f t="shared" si="605"/>
        <v>781000</v>
      </c>
      <c r="EG128" s="314">
        <f t="shared" si="605"/>
        <v>451739.84638801351</v>
      </c>
      <c r="EH128" s="314">
        <f t="shared" si="605"/>
        <v>675000</v>
      </c>
      <c r="EI128" s="314">
        <f t="shared" si="605"/>
        <v>1147000</v>
      </c>
      <c r="EJ128" s="314">
        <f t="shared" si="605"/>
        <v>1326103.9468203406</v>
      </c>
      <c r="EK128" s="314">
        <f t="shared" si="605"/>
        <v>4591042</v>
      </c>
      <c r="EL128" s="314">
        <f t="shared" si="605"/>
        <v>11911075.920121742</v>
      </c>
      <c r="EM128" s="314">
        <f t="shared" si="605"/>
        <v>3346690.3194428757</v>
      </c>
      <c r="EN128" s="314">
        <f t="shared" si="605"/>
        <v>2677585.6414345754</v>
      </c>
      <c r="EO128" s="314">
        <f t="shared" si="605"/>
        <v>341536.14681555587</v>
      </c>
      <c r="EP128" s="314">
        <f t="shared" si="605"/>
        <v>3172065</v>
      </c>
      <c r="EQ128" s="314">
        <f t="shared" si="605"/>
        <v>2430038.1740156598</v>
      </c>
      <c r="ER128" s="314">
        <f t="shared" si="605"/>
        <v>10464000</v>
      </c>
      <c r="ES128" s="314">
        <f t="shared" si="605"/>
        <v>4508469.4473401569</v>
      </c>
      <c r="ET128" s="314">
        <f t="shared" si="605"/>
        <v>901340</v>
      </c>
      <c r="EU128" s="314">
        <f t="shared" si="605"/>
        <v>2068000</v>
      </c>
      <c r="EV128" s="314">
        <f t="shared" si="605"/>
        <v>708085.98782481393</v>
      </c>
      <c r="EW128" s="314">
        <f t="shared" si="605"/>
        <v>4265057.7705038227</v>
      </c>
      <c r="EX128" s="314">
        <f t="shared" si="605"/>
        <v>9174308.9853405356</v>
      </c>
      <c r="EY128" s="314">
        <f t="shared" si="605"/>
        <v>3084272.2581338729</v>
      </c>
      <c r="EZ128" s="314">
        <f t="shared" si="605"/>
        <v>1761805</v>
      </c>
      <c r="FA128" s="314">
        <f t="shared" si="605"/>
        <v>1986261</v>
      </c>
      <c r="FB128" s="314">
        <f t="shared" si="605"/>
        <v>177814.53304874955</v>
      </c>
      <c r="FC128" s="314">
        <f t="shared" si="605"/>
        <v>7704203.9813623689</v>
      </c>
      <c r="FD128" s="314">
        <f t="shared" si="605"/>
        <v>2611204.6825002879</v>
      </c>
      <c r="FE128" s="314">
        <f t="shared" si="605"/>
        <v>775452.91334718862</v>
      </c>
      <c r="FF128" s="314">
        <f t="shared" si="605"/>
        <v>2441591.96</v>
      </c>
      <c r="FG128" s="314">
        <f t="shared" si="605"/>
        <v>8134700</v>
      </c>
      <c r="FH128" s="314">
        <f t="shared" si="605"/>
        <v>7432106.0491879787</v>
      </c>
      <c r="FI128" s="314">
        <f t="shared" si="605"/>
        <v>9382387.4650456514</v>
      </c>
      <c r="FJ128" s="314">
        <f t="shared" si="605"/>
        <v>3031903.9697589939</v>
      </c>
      <c r="FK128" s="314">
        <f t="shared" si="605"/>
        <v>750559.20273714163</v>
      </c>
      <c r="FL128" s="314">
        <f t="shared" si="605"/>
        <v>789530.78772289003</v>
      </c>
      <c r="FM128" s="314">
        <f t="shared" si="605"/>
        <v>2756028.1290333569</v>
      </c>
      <c r="FN128" s="314">
        <f t="shared" si="605"/>
        <v>7591920.5498415343</v>
      </c>
      <c r="FO128" s="314">
        <f t="shared" si="605"/>
        <v>2732804.1373999999</v>
      </c>
      <c r="FP128" s="314">
        <f t="shared" si="605"/>
        <v>15675748.308851836</v>
      </c>
      <c r="FQ128" s="314">
        <f t="shared" si="605"/>
        <v>2090478.2238</v>
      </c>
      <c r="FR128" s="314">
        <f t="shared" si="605"/>
        <v>3667538.8959850422</v>
      </c>
      <c r="FS128" s="314">
        <f t="shared" si="605"/>
        <v>621074.94999999995</v>
      </c>
      <c r="FT128" s="314">
        <f t="shared" si="605"/>
        <v>5496114.9640901601</v>
      </c>
      <c r="FU128" s="314">
        <f t="shared" si="605"/>
        <v>670129.80444292724</v>
      </c>
      <c r="FV128" s="314">
        <f t="shared" si="605"/>
        <v>1777591.1692367394</v>
      </c>
      <c r="FW128" s="314">
        <f t="shared" si="605"/>
        <v>1559001.0304257704</v>
      </c>
      <c r="FX128" s="314">
        <f t="shared" si="605"/>
        <v>786737.68336206744</v>
      </c>
      <c r="FY128" s="314">
        <f t="shared" si="605"/>
        <v>347190</v>
      </c>
      <c r="FZ128" s="314">
        <f t="shared" si="605"/>
        <v>7479444.0852688877</v>
      </c>
      <c r="GA128" s="314">
        <f t="shared" si="605"/>
        <v>945836.12772381899</v>
      </c>
      <c r="GB128" s="314">
        <f t="shared" si="605"/>
        <v>6407540.119887175</v>
      </c>
      <c r="GC128" s="314">
        <f t="shared" si="605"/>
        <v>3598084.1398516875</v>
      </c>
      <c r="GD128" s="314">
        <f t="shared" si="605"/>
        <v>12815479.70740211</v>
      </c>
      <c r="GE128" s="314">
        <f t="shared" si="605"/>
        <v>2192590</v>
      </c>
      <c r="GF128" s="314">
        <f t="shared" si="605"/>
        <v>5042575.8495693263</v>
      </c>
      <c r="GG128" s="314">
        <f t="shared" si="605"/>
        <v>1597418.4633801784</v>
      </c>
      <c r="GH128" s="314">
        <f t="shared" si="605"/>
        <v>1334717</v>
      </c>
      <c r="GI128" s="314">
        <f t="shared" si="605"/>
        <v>14199404.174783316</v>
      </c>
      <c r="GJ128" s="314">
        <f t="shared" si="605"/>
        <v>2830470.3392906617</v>
      </c>
      <c r="GK128" s="314">
        <f t="shared" si="605"/>
        <v>1842000</v>
      </c>
      <c r="GL128" s="314">
        <f t="shared" si="605"/>
        <v>1122954.0282560983</v>
      </c>
      <c r="GM128" s="314">
        <f t="shared" si="605"/>
        <v>1287537.5227555283</v>
      </c>
      <c r="GN128" s="314">
        <f t="shared" si="605"/>
        <v>995166.72011215368</v>
      </c>
      <c r="GO128" s="314">
        <f t="shared" ref="GO128:IZ128" si="606">GO116+GO49</f>
        <v>5972795.486137961</v>
      </c>
      <c r="GP128" s="314">
        <f t="shared" si="606"/>
        <v>1262794.6236577039</v>
      </c>
      <c r="GQ128" s="314">
        <f t="shared" si="606"/>
        <v>1375996.788716861</v>
      </c>
      <c r="GR128" s="314">
        <f t="shared" si="606"/>
        <v>1553990</v>
      </c>
      <c r="GS128" s="314">
        <f t="shared" si="606"/>
        <v>849738.18</v>
      </c>
      <c r="GT128" s="314">
        <f t="shared" si="606"/>
        <v>14089153.908943567</v>
      </c>
      <c r="GU128" s="314">
        <f t="shared" si="606"/>
        <v>1287440</v>
      </c>
      <c r="GV128" s="314">
        <f t="shared" si="606"/>
        <v>7486744.54</v>
      </c>
      <c r="GW128" s="314">
        <f t="shared" si="606"/>
        <v>2130557.8890742715</v>
      </c>
      <c r="GX128" s="314">
        <f t="shared" si="606"/>
        <v>653673.85</v>
      </c>
      <c r="GY128" s="314">
        <f t="shared" si="606"/>
        <v>25759700.678891905</v>
      </c>
      <c r="GZ128" s="314">
        <f t="shared" si="606"/>
        <v>4427622.0821035299</v>
      </c>
      <c r="HA128" s="314">
        <f t="shared" si="606"/>
        <v>11250847.457627118</v>
      </c>
      <c r="HB128" s="314">
        <f t="shared" si="606"/>
        <v>9791824.8575916179</v>
      </c>
      <c r="HC128" s="314">
        <f t="shared" si="606"/>
        <v>12220657.458143093</v>
      </c>
      <c r="HD128" s="314">
        <f t="shared" si="606"/>
        <v>3805859.7255373849</v>
      </c>
      <c r="HE128" s="314">
        <f t="shared" si="606"/>
        <v>7916545</v>
      </c>
      <c r="HF128" s="314">
        <f t="shared" si="606"/>
        <v>2111175.9347607326</v>
      </c>
      <c r="HG128" s="314">
        <f t="shared" si="606"/>
        <v>789691.77760522265</v>
      </c>
      <c r="HH128" s="314">
        <f t="shared" si="606"/>
        <v>3346661.6805709461</v>
      </c>
      <c r="HI128" s="314">
        <f t="shared" si="606"/>
        <v>3833943.1770259617</v>
      </c>
      <c r="HJ128" s="314">
        <f t="shared" si="606"/>
        <v>1389108.8310215683</v>
      </c>
      <c r="HK128" s="314">
        <f t="shared" si="606"/>
        <v>992500</v>
      </c>
      <c r="HL128" s="314">
        <f t="shared" si="606"/>
        <v>37616967.243574739</v>
      </c>
      <c r="HM128" s="314">
        <f t="shared" si="606"/>
        <v>25001512.541579325</v>
      </c>
      <c r="HN128" s="314">
        <f t="shared" si="606"/>
        <v>992757.48207886913</v>
      </c>
      <c r="HO128" s="314">
        <f t="shared" si="606"/>
        <v>2847160.6666890793</v>
      </c>
      <c r="HP128" s="314">
        <f t="shared" si="606"/>
        <v>27787218</v>
      </c>
      <c r="HQ128" s="314">
        <f t="shared" si="606"/>
        <v>978043.38080963399</v>
      </c>
      <c r="HR128" s="314">
        <f t="shared" si="606"/>
        <v>34333691.281565279</v>
      </c>
      <c r="HS128" s="314">
        <f t="shared" si="606"/>
        <v>6456227.33762509</v>
      </c>
      <c r="HT128" s="314">
        <f t="shared" si="606"/>
        <v>22599685</v>
      </c>
      <c r="HU128" s="314">
        <f t="shared" si="606"/>
        <v>21556860</v>
      </c>
      <c r="HV128" s="314">
        <f t="shared" si="606"/>
        <v>18189127</v>
      </c>
      <c r="HW128" s="314">
        <f t="shared" si="606"/>
        <v>4980541.9659980796</v>
      </c>
      <c r="HX128" s="314">
        <f t="shared" si="606"/>
        <v>20768528.03400192</v>
      </c>
      <c r="HY128" s="314">
        <f t="shared" si="606"/>
        <v>21115762</v>
      </c>
      <c r="HZ128" s="314">
        <f t="shared" si="606"/>
        <v>9565941</v>
      </c>
      <c r="IA128" s="314">
        <f t="shared" si="606"/>
        <v>9107487</v>
      </c>
      <c r="IB128" s="314">
        <f t="shared" si="606"/>
        <v>9035181</v>
      </c>
      <c r="IC128" s="314">
        <f t="shared" si="606"/>
        <v>11233714.822746631</v>
      </c>
      <c r="ID128" s="314">
        <f t="shared" si="606"/>
        <v>9255791.1772533692</v>
      </c>
      <c r="IE128" s="314">
        <f t="shared" si="606"/>
        <v>16688892</v>
      </c>
      <c r="IF128" s="314">
        <f t="shared" si="606"/>
        <v>20509987.198794641</v>
      </c>
      <c r="IG128" s="314">
        <f t="shared" si="606"/>
        <v>5446079.8012053594</v>
      </c>
      <c r="IH128" s="314">
        <f t="shared" si="606"/>
        <v>3012886.5890955012</v>
      </c>
      <c r="II128" s="314">
        <f t="shared" si="606"/>
        <v>21271865.049244203</v>
      </c>
      <c r="IJ128" s="314">
        <f t="shared" si="606"/>
        <v>1774908.5338407224</v>
      </c>
      <c r="IK128" s="314">
        <f t="shared" si="606"/>
        <v>3740263.7456418383</v>
      </c>
      <c r="IL128" s="314">
        <f t="shared" si="606"/>
        <v>10104656</v>
      </c>
      <c r="IM128" s="314">
        <f t="shared" si="606"/>
        <v>701837.84282009513</v>
      </c>
      <c r="IN128" s="314">
        <f t="shared" si="606"/>
        <v>10213951.504810652</v>
      </c>
      <c r="IO128" s="314">
        <f t="shared" si="606"/>
        <v>3412493.6523692533</v>
      </c>
      <c r="IP128" s="314">
        <f t="shared" si="606"/>
        <v>22515867</v>
      </c>
      <c r="IQ128" s="314">
        <f t="shared" si="606"/>
        <v>22563962.666168727</v>
      </c>
      <c r="IR128" s="314">
        <f t="shared" si="606"/>
        <v>1003066.3338312713</v>
      </c>
      <c r="IS128" s="314">
        <f t="shared" si="606"/>
        <v>54465674.509968989</v>
      </c>
      <c r="IT128" s="314">
        <f t="shared" si="606"/>
        <v>12509859.490031006</v>
      </c>
      <c r="IU128" s="314">
        <f t="shared" si="606"/>
        <v>3182630.0362361362</v>
      </c>
      <c r="IV128" s="314">
        <f t="shared" si="606"/>
        <v>8522404.8188311569</v>
      </c>
      <c r="IW128" s="314">
        <f t="shared" si="606"/>
        <v>15638894.711101327</v>
      </c>
      <c r="IX128" s="314">
        <f t="shared" si="606"/>
        <v>1813436.4338313788</v>
      </c>
      <c r="IY128" s="314">
        <f t="shared" si="606"/>
        <v>5604648.4471565681</v>
      </c>
      <c r="IZ128" s="314">
        <f t="shared" si="606"/>
        <v>20877943.552843433</v>
      </c>
      <c r="JA128" s="314">
        <f t="shared" ref="JA128:JH128" si="607">JA116+JA49</f>
        <v>3115151.73</v>
      </c>
      <c r="JB128" s="314">
        <f t="shared" si="607"/>
        <v>3055174.04</v>
      </c>
      <c r="JC128" s="314">
        <f t="shared" si="607"/>
        <v>2348778.09</v>
      </c>
      <c r="JD128" s="314">
        <f t="shared" si="607"/>
        <v>5154880.7</v>
      </c>
      <c r="JE128" s="314">
        <f t="shared" si="607"/>
        <v>1159105.145059247</v>
      </c>
      <c r="JF128" s="314">
        <f t="shared" si="607"/>
        <v>33383599.85494075</v>
      </c>
      <c r="JG128" s="314">
        <f t="shared" si="607"/>
        <v>30062537</v>
      </c>
      <c r="JH128" s="314">
        <f t="shared" si="607"/>
        <v>868740</v>
      </c>
      <c r="JI128" s="314">
        <f>SUM(C128:JH128)</f>
        <v>1439538320.8919697</v>
      </c>
      <c r="JL128" s="307">
        <f>SUMIFS($C128:$JH128,$C$5:$JH$5,JL$5)</f>
        <v>25443606.964635424</v>
      </c>
      <c r="JM128" s="307">
        <f>SUMIFS($C128:$JH128,$C$5:$JH$5,JM$5)</f>
        <v>475005153.91691548</v>
      </c>
      <c r="JN128" s="307">
        <f>SUMIFS($C128:$JH128,$C$5:$JH$5,JN$5)</f>
        <v>300943186.59867406</v>
      </c>
      <c r="JO128" s="307">
        <f>SUMIFS($C128:$JH128,$C$5:$JH$5,JO$5)</f>
        <v>638146373.41174436</v>
      </c>
      <c r="JP128" s="307">
        <f t="shared" ref="JP128" si="608">SUM(JL128:JO128)</f>
        <v>1439538320.8919692</v>
      </c>
    </row>
    <row r="129" spans="1:276" x14ac:dyDescent="0.25">
      <c r="B129" s="314" t="s">
        <v>2617</v>
      </c>
      <c r="C129" s="507">
        <f>(C48+C49)/C128</f>
        <v>5.5963325763457332E-3</v>
      </c>
      <c r="D129" s="507">
        <f t="shared" ref="D129:BP129" si="609">(D48+D49)/D128</f>
        <v>3.7359900373599E-2</v>
      </c>
      <c r="E129" s="507">
        <f t="shared" si="609"/>
        <v>2.1228456809237739E-2</v>
      </c>
      <c r="F129" s="507">
        <f t="shared" si="609"/>
        <v>9.0980268716044171E-2</v>
      </c>
      <c r="G129" s="507">
        <f t="shared" si="609"/>
        <v>0.1213577455850154</v>
      </c>
      <c r="H129" s="507">
        <f t="shared" si="609"/>
        <v>0.43297797368295399</v>
      </c>
      <c r="I129" s="507">
        <f t="shared" si="609"/>
        <v>0.18532449101955617</v>
      </c>
      <c r="J129" s="507">
        <f t="shared" si="609"/>
        <v>0.06</v>
      </c>
      <c r="K129" s="507">
        <f t="shared" si="609"/>
        <v>5.6036614438294323E-2</v>
      </c>
      <c r="L129" s="507">
        <f t="shared" si="609"/>
        <v>6.94526612632866E-2</v>
      </c>
      <c r="M129" s="507">
        <f t="shared" si="609"/>
        <v>7.9437283074780082E-2</v>
      </c>
      <c r="N129" s="507">
        <f t="shared" si="609"/>
        <v>9.289609511159666E-2</v>
      </c>
      <c r="O129" s="507">
        <f t="shared" si="609"/>
        <v>6.6650179326913389E-2</v>
      </c>
      <c r="P129" s="507">
        <f t="shared" si="609"/>
        <v>0.1485581871444035</v>
      </c>
      <c r="Q129" s="507">
        <f t="shared" si="609"/>
        <v>8.4268746373330594E-2</v>
      </c>
      <c r="R129" s="507">
        <f t="shared" si="609"/>
        <v>0.18342719227674981</v>
      </c>
      <c r="S129" s="507">
        <f t="shared" si="609"/>
        <v>6.6211249957792345E-2</v>
      </c>
      <c r="T129" s="507">
        <f t="shared" si="609"/>
        <v>0.1615566498518291</v>
      </c>
      <c r="U129" s="507">
        <f t="shared" si="609"/>
        <v>0.1317365269461078</v>
      </c>
      <c r="V129" s="507">
        <f t="shared" si="609"/>
        <v>0.3369860319016566</v>
      </c>
      <c r="W129" s="507">
        <f t="shared" si="609"/>
        <v>0.30483028720626631</v>
      </c>
      <c r="X129" s="507">
        <f t="shared" si="609"/>
        <v>5.0281580777851803E-2</v>
      </c>
      <c r="Y129" s="507">
        <f t="shared" si="609"/>
        <v>5.3455925589351583E-2</v>
      </c>
      <c r="Z129" s="507">
        <f t="shared" si="609"/>
        <v>0</v>
      </c>
      <c r="AA129" s="507">
        <f t="shared" si="609"/>
        <v>6.498218955226838E-2</v>
      </c>
      <c r="AB129" s="507">
        <f t="shared" si="609"/>
        <v>4.027031388254524E-2</v>
      </c>
      <c r="AC129" s="507">
        <f t="shared" ref="AC129" si="610">(AC48+AC49)/AC128</f>
        <v>0</v>
      </c>
      <c r="AD129" s="507">
        <f t="shared" si="609"/>
        <v>5.7079846304798905E-2</v>
      </c>
      <c r="AE129" s="507">
        <f t="shared" si="609"/>
        <v>7.2652981875915165E-2</v>
      </c>
      <c r="AF129" s="507">
        <f t="shared" si="609"/>
        <v>5.9999999999999991E-2</v>
      </c>
      <c r="AG129" s="507">
        <f t="shared" si="609"/>
        <v>7.194123185298322E-2</v>
      </c>
      <c r="AH129" s="507">
        <f t="shared" si="609"/>
        <v>0.11802251363583614</v>
      </c>
      <c r="AI129" s="507">
        <f t="shared" si="609"/>
        <v>7.570828875698514E-2</v>
      </c>
      <c r="AJ129" s="507">
        <f t="shared" si="609"/>
        <v>6.4409184353012711E-2</v>
      </c>
      <c r="AK129" s="507">
        <f t="shared" si="609"/>
        <v>6.5932589502975217E-2</v>
      </c>
      <c r="AL129" s="507">
        <f t="shared" si="609"/>
        <v>9.4579782712340008E-2</v>
      </c>
      <c r="AM129" s="507">
        <f t="shared" si="609"/>
        <v>3.8540236359097452E-2</v>
      </c>
      <c r="AN129" s="507">
        <f t="shared" si="609"/>
        <v>7.63693098550874E-2</v>
      </c>
      <c r="AO129" s="507">
        <f t="shared" si="609"/>
        <v>0.34575814028744806</v>
      </c>
      <c r="AP129" s="507">
        <f t="shared" si="609"/>
        <v>6.1509918331611499E-2</v>
      </c>
      <c r="AQ129" s="507">
        <f t="shared" si="609"/>
        <v>9.2421441774491686E-2</v>
      </c>
      <c r="AR129" s="507">
        <f t="shared" si="609"/>
        <v>8.3470935756778372E-2</v>
      </c>
      <c r="AS129" s="507">
        <f t="shared" si="609"/>
        <v>6.9515784206011511E-2</v>
      </c>
      <c r="AT129" s="507">
        <f t="shared" si="609"/>
        <v>6.336438411242655E-2</v>
      </c>
      <c r="AU129" s="507">
        <f t="shared" si="609"/>
        <v>0.13886273888152886</v>
      </c>
      <c r="AV129" s="507">
        <f t="shared" si="609"/>
        <v>5.5305127179249673E-2</v>
      </c>
      <c r="AW129" s="507">
        <f t="shared" si="609"/>
        <v>4.4483346135042491E-2</v>
      </c>
      <c r="AX129" s="507">
        <f t="shared" si="609"/>
        <v>7.3753579280582696E-2</v>
      </c>
      <c r="AY129" s="507">
        <f t="shared" si="609"/>
        <v>6.7266021223326644E-2</v>
      </c>
      <c r="AZ129" s="507">
        <f t="shared" si="609"/>
        <v>4.9785078023769719E-2</v>
      </c>
      <c r="BA129" s="507">
        <f t="shared" si="609"/>
        <v>0.10821256038647344</v>
      </c>
      <c r="BB129" s="507">
        <f t="shared" si="609"/>
        <v>9.6357679707072652E-2</v>
      </c>
      <c r="BC129" s="507">
        <f t="shared" si="609"/>
        <v>0.10068032755937517</v>
      </c>
      <c r="BD129" s="507">
        <f t="shared" si="609"/>
        <v>0.13692100398377666</v>
      </c>
      <c r="BE129" s="507">
        <f t="shared" si="609"/>
        <v>0.11997810208892594</v>
      </c>
      <c r="BF129" s="507">
        <f t="shared" si="609"/>
        <v>0.15692821368948248</v>
      </c>
      <c r="BG129" s="507">
        <f t="shared" si="609"/>
        <v>0.16393442622950818</v>
      </c>
      <c r="BH129" s="507">
        <f t="shared" si="609"/>
        <v>0.11018595614765474</v>
      </c>
      <c r="BI129" s="507">
        <f t="shared" si="609"/>
        <v>7.2992700729927001E-2</v>
      </c>
      <c r="BJ129" s="507">
        <f t="shared" si="609"/>
        <v>7.4150347392066857E-2</v>
      </c>
      <c r="BK129" s="507">
        <f t="shared" si="609"/>
        <v>4.633204633204633E-2</v>
      </c>
      <c r="BL129" s="507">
        <f t="shared" si="609"/>
        <v>0.06</v>
      </c>
      <c r="BM129" s="507">
        <f t="shared" si="609"/>
        <v>8.1408166753515782E-2</v>
      </c>
      <c r="BN129" s="507">
        <f t="shared" si="609"/>
        <v>0.16572602800190478</v>
      </c>
      <c r="BO129" s="507">
        <f t="shared" si="609"/>
        <v>0.17798734995751558</v>
      </c>
      <c r="BP129" s="507">
        <f t="shared" si="609"/>
        <v>0.14311817103450308</v>
      </c>
      <c r="BQ129" s="507">
        <f t="shared" ref="BQ129:EB129" si="611">(BQ48+BQ49)/BQ128</f>
        <v>5.331945781790394E-2</v>
      </c>
      <c r="BR129" s="507">
        <f t="shared" si="611"/>
        <v>7.3191640416789799E-2</v>
      </c>
      <c r="BS129" s="507">
        <f t="shared" si="611"/>
        <v>0.15029906583584451</v>
      </c>
      <c r="BT129" s="507">
        <f t="shared" si="611"/>
        <v>0.17950738872425456</v>
      </c>
      <c r="BU129" s="507">
        <f t="shared" si="611"/>
        <v>0.22596259081240036</v>
      </c>
      <c r="BV129" s="507">
        <f t="shared" si="611"/>
        <v>5.4986493938054909E-2</v>
      </c>
      <c r="BW129" s="507">
        <f t="shared" si="611"/>
        <v>3.2381933786529579E-2</v>
      </c>
      <c r="BX129" s="507">
        <f t="shared" si="611"/>
        <v>0.20092518567656803</v>
      </c>
      <c r="BY129" s="507">
        <f t="shared" si="611"/>
        <v>0.32442368132883942</v>
      </c>
      <c r="BZ129" s="507">
        <f t="shared" si="611"/>
        <v>0.31635558367605188</v>
      </c>
      <c r="CA129" s="507" t="e">
        <f t="shared" si="611"/>
        <v>#DIV/0!</v>
      </c>
      <c r="CB129" s="507">
        <f t="shared" si="611"/>
        <v>2.1781616403830899E-2</v>
      </c>
      <c r="CC129" s="507">
        <f t="shared" si="611"/>
        <v>0.15291123715817215</v>
      </c>
      <c r="CD129" s="507">
        <f t="shared" si="611"/>
        <v>0.19651111722324213</v>
      </c>
      <c r="CE129" s="507">
        <f t="shared" si="611"/>
        <v>0.31081095184570295</v>
      </c>
      <c r="CF129" s="507">
        <f t="shared" si="611"/>
        <v>7.6112154799343093E-2</v>
      </c>
      <c r="CG129" s="507">
        <f t="shared" si="611"/>
        <v>0.17224207849286435</v>
      </c>
      <c r="CH129" s="507">
        <f t="shared" si="611"/>
        <v>0.18352486637342319</v>
      </c>
      <c r="CI129" s="507">
        <f t="shared" si="611"/>
        <v>5.6836718868618755E-2</v>
      </c>
      <c r="CJ129" s="507">
        <f t="shared" si="611"/>
        <v>0.17401758515459184</v>
      </c>
      <c r="CK129" s="507">
        <f t="shared" si="611"/>
        <v>0.11826258637709773</v>
      </c>
      <c r="CL129" s="507">
        <f t="shared" si="611"/>
        <v>0.15681604892999351</v>
      </c>
      <c r="CM129" s="507">
        <f t="shared" si="611"/>
        <v>0.13514414617065554</v>
      </c>
      <c r="CN129" s="507">
        <f t="shared" si="611"/>
        <v>0.10948833090437171</v>
      </c>
      <c r="CO129" s="507">
        <f t="shared" si="611"/>
        <v>0.1707067258449983</v>
      </c>
      <c r="CP129" s="507">
        <f t="shared" si="611"/>
        <v>0.14489748069488942</v>
      </c>
      <c r="CQ129" s="507">
        <f t="shared" si="611"/>
        <v>0.11830466397419136</v>
      </c>
      <c r="CR129" s="507">
        <f t="shared" si="611"/>
        <v>2.0998750994290858E-2</v>
      </c>
      <c r="CS129" s="507">
        <f t="shared" si="611"/>
        <v>0.06</v>
      </c>
      <c r="CT129" s="507">
        <f t="shared" si="611"/>
        <v>9.1888119697303081E-2</v>
      </c>
      <c r="CU129" s="507">
        <f t="shared" si="611"/>
        <v>4.6529366895499621E-2</v>
      </c>
      <c r="CV129" s="507">
        <f t="shared" si="611"/>
        <v>5.5913022531303827E-2</v>
      </c>
      <c r="CW129" s="507">
        <f t="shared" si="611"/>
        <v>0</v>
      </c>
      <c r="CX129" s="507">
        <f t="shared" si="611"/>
        <v>9.7499313399824775E-2</v>
      </c>
      <c r="CY129" s="507">
        <f t="shared" si="611"/>
        <v>8.7905800588407898E-2</v>
      </c>
      <c r="CZ129" s="507">
        <f t="shared" si="611"/>
        <v>3.5095107741980769E-2</v>
      </c>
      <c r="DA129" s="507">
        <f t="shared" si="611"/>
        <v>0</v>
      </c>
      <c r="DB129" s="507">
        <f t="shared" si="611"/>
        <v>0.20815813357091115</v>
      </c>
      <c r="DC129" s="507">
        <f t="shared" si="611"/>
        <v>0.11951933579628124</v>
      </c>
      <c r="DD129" s="507">
        <f t="shared" si="611"/>
        <v>3.5747719357212979E-2</v>
      </c>
      <c r="DE129" s="507">
        <f t="shared" si="611"/>
        <v>3.0005119238308058E-2</v>
      </c>
      <c r="DF129" s="507">
        <f t="shared" si="611"/>
        <v>8.8049526880542225E-2</v>
      </c>
      <c r="DG129" s="507">
        <f t="shared" si="611"/>
        <v>6.0000000000000005E-2</v>
      </c>
      <c r="DH129" s="507">
        <f t="shared" si="611"/>
        <v>4.1375929404631757E-2</v>
      </c>
      <c r="DI129" s="507">
        <f t="shared" si="611"/>
        <v>2.8583981713235711E-2</v>
      </c>
      <c r="DJ129" s="507">
        <f t="shared" si="611"/>
        <v>4.4757726426851455E-2</v>
      </c>
      <c r="DK129" s="507">
        <f t="shared" si="611"/>
        <v>1.4935340032621236E-2</v>
      </c>
      <c r="DL129" s="507">
        <f t="shared" si="611"/>
        <v>0.26179633072837349</v>
      </c>
      <c r="DM129" s="507">
        <f t="shared" si="611"/>
        <v>0.21048243253008422</v>
      </c>
      <c r="DN129" s="507">
        <f t="shared" si="611"/>
        <v>0.13321576360886794</v>
      </c>
      <c r="DO129" s="507">
        <f t="shared" si="611"/>
        <v>0.06</v>
      </c>
      <c r="DP129" s="507">
        <f t="shared" si="611"/>
        <v>9.3041738402781141E-2</v>
      </c>
      <c r="DQ129" s="507">
        <f t="shared" si="611"/>
        <v>7.7289798097968335E-2</v>
      </c>
      <c r="DR129" s="507">
        <f t="shared" si="611"/>
        <v>6.7115719707295768E-2</v>
      </c>
      <c r="DS129" s="507">
        <f t="shared" si="611"/>
        <v>0.10568651780136287</v>
      </c>
      <c r="DT129" s="507">
        <f t="shared" si="611"/>
        <v>5.9676759764515586E-2</v>
      </c>
      <c r="DU129" s="507">
        <f t="shared" si="611"/>
        <v>0.10926624106310284</v>
      </c>
      <c r="DV129" s="507">
        <f t="shared" si="611"/>
        <v>0.11944260912027931</v>
      </c>
      <c r="DW129" s="507">
        <f t="shared" si="611"/>
        <v>0</v>
      </c>
      <c r="DX129" s="507">
        <f t="shared" si="611"/>
        <v>9.2484954068989142E-2</v>
      </c>
      <c r="DY129" s="507">
        <f t="shared" si="611"/>
        <v>3.1704813807340249E-2</v>
      </c>
      <c r="DZ129" s="507">
        <f t="shared" si="611"/>
        <v>0.06</v>
      </c>
      <c r="EA129" s="507">
        <f t="shared" si="611"/>
        <v>3.2174235861898277E-2</v>
      </c>
      <c r="EB129" s="507">
        <f t="shared" si="611"/>
        <v>3.7648001457241738E-2</v>
      </c>
      <c r="EC129" s="507">
        <f t="shared" ref="EC129:GN129" si="612">(EC48+EC49)/EC128</f>
        <v>3.3345847200840675E-2</v>
      </c>
      <c r="ED129" s="507">
        <f t="shared" si="612"/>
        <v>9.3521531021028934E-2</v>
      </c>
      <c r="EE129" s="507">
        <f t="shared" si="612"/>
        <v>0.15277777777777779</v>
      </c>
      <c r="EF129" s="507">
        <f t="shared" si="612"/>
        <v>0.147247119078105</v>
      </c>
      <c r="EG129" s="507">
        <f t="shared" si="612"/>
        <v>5.9193021385688972E-2</v>
      </c>
      <c r="EH129" s="507">
        <f t="shared" si="612"/>
        <v>0.11851851851851852</v>
      </c>
      <c r="EI129" s="507">
        <f t="shared" si="612"/>
        <v>0.10636442894507411</v>
      </c>
      <c r="EJ129" s="507">
        <f t="shared" si="612"/>
        <v>5.399790017221763E-2</v>
      </c>
      <c r="EK129" s="507">
        <f t="shared" si="612"/>
        <v>0.14354039888983808</v>
      </c>
      <c r="EL129" s="507">
        <f t="shared" si="612"/>
        <v>0.25312574785176783</v>
      </c>
      <c r="EM129" s="507">
        <f t="shared" si="612"/>
        <v>0.17360435072962449</v>
      </c>
      <c r="EN129" s="507">
        <f t="shared" si="612"/>
        <v>5.6387978445269306E-2</v>
      </c>
      <c r="EO129" s="507">
        <f t="shared" si="612"/>
        <v>4.391921657446303E-2</v>
      </c>
      <c r="EP129" s="507">
        <f t="shared" si="612"/>
        <v>6.3680914483152148E-2</v>
      </c>
      <c r="EQ129" s="507">
        <f t="shared" si="612"/>
        <v>4.6042762121032865E-2</v>
      </c>
      <c r="ER129" s="507">
        <f t="shared" si="612"/>
        <v>0.40472094801223241</v>
      </c>
      <c r="ES129" s="507">
        <f t="shared" si="612"/>
        <v>0.35912409275729124</v>
      </c>
      <c r="ET129" s="507">
        <f t="shared" si="612"/>
        <v>0</v>
      </c>
      <c r="EU129" s="507">
        <f t="shared" si="612"/>
        <v>5.8027079303675051E-3</v>
      </c>
      <c r="EV129" s="507">
        <f t="shared" si="612"/>
        <v>0.37424833220335252</v>
      </c>
      <c r="EW129" s="507">
        <f t="shared" si="612"/>
        <v>0.41265560625503434</v>
      </c>
      <c r="EX129" s="507">
        <f t="shared" si="612"/>
        <v>0.3924001258026491</v>
      </c>
      <c r="EY129" s="507">
        <f t="shared" si="612"/>
        <v>0.33236572428886679</v>
      </c>
      <c r="EZ129" s="507">
        <f t="shared" si="612"/>
        <v>1</v>
      </c>
      <c r="FA129" s="507">
        <f t="shared" si="612"/>
        <v>0.50157607685998973</v>
      </c>
      <c r="FB129" s="507">
        <f t="shared" si="612"/>
        <v>0</v>
      </c>
      <c r="FC129" s="507">
        <f t="shared" si="612"/>
        <v>0.6051241648427379</v>
      </c>
      <c r="FD129" s="507">
        <f t="shared" si="612"/>
        <v>0.59439997576667525</v>
      </c>
      <c r="FE129" s="507">
        <f t="shared" si="612"/>
        <v>0.55735170061382411</v>
      </c>
      <c r="FF129" s="507">
        <f t="shared" si="612"/>
        <v>0.40956884540199751</v>
      </c>
      <c r="FG129" s="507">
        <f t="shared" si="612"/>
        <v>0.29890469224433597</v>
      </c>
      <c r="FH129" s="507">
        <f t="shared" si="612"/>
        <v>0.22086606261213776</v>
      </c>
      <c r="FI129" s="507">
        <f t="shared" si="612"/>
        <v>0.19184882384211382</v>
      </c>
      <c r="FJ129" s="507">
        <f t="shared" si="612"/>
        <v>0.38833123071955017</v>
      </c>
      <c r="FK129" s="507">
        <f t="shared" si="612"/>
        <v>0.84390811236489272</v>
      </c>
      <c r="FL129" s="507">
        <f t="shared" si="612"/>
        <v>0.63328752693997581</v>
      </c>
      <c r="FM129" s="507">
        <f t="shared" si="612"/>
        <v>0.65783544837617169</v>
      </c>
      <c r="FN129" s="507">
        <f t="shared" si="612"/>
        <v>7.7568646317339549E-2</v>
      </c>
      <c r="FO129" s="507">
        <f t="shared" si="612"/>
        <v>0.39453358008517486</v>
      </c>
      <c r="FP129" s="507">
        <f t="shared" si="612"/>
        <v>0.21208199662932103</v>
      </c>
      <c r="FQ129" s="507">
        <f t="shared" si="612"/>
        <v>5.6542086233809255E-2</v>
      </c>
      <c r="FR129" s="507">
        <f t="shared" si="612"/>
        <v>0.2097975453687192</v>
      </c>
      <c r="FS129" s="507">
        <f t="shared" si="612"/>
        <v>0.25289540336476302</v>
      </c>
      <c r="FT129" s="507">
        <f t="shared" si="612"/>
        <v>0.40760121915878667</v>
      </c>
      <c r="FU129" s="507">
        <f t="shared" si="612"/>
        <v>0.30486780120134122</v>
      </c>
      <c r="FV129" s="507">
        <f t="shared" si="612"/>
        <v>0.68539044358727974</v>
      </c>
      <c r="FW129" s="507">
        <f t="shared" si="612"/>
        <v>0.39853790207586609</v>
      </c>
      <c r="FX129" s="507">
        <f t="shared" si="612"/>
        <v>0.51123034844499771</v>
      </c>
      <c r="FY129" s="507">
        <f t="shared" si="612"/>
        <v>0.42394654223911982</v>
      </c>
      <c r="FZ129" s="507">
        <f t="shared" si="612"/>
        <v>0.65623727432725987</v>
      </c>
      <c r="GA129" s="507">
        <f t="shared" si="612"/>
        <v>0.75145152438873286</v>
      </c>
      <c r="GB129" s="507">
        <f t="shared" si="612"/>
        <v>0.64948169221502705</v>
      </c>
      <c r="GC129" s="507">
        <f t="shared" si="612"/>
        <v>0.39659995279010368</v>
      </c>
      <c r="GD129" s="507">
        <f t="shared" si="612"/>
        <v>0.38129969170924116</v>
      </c>
      <c r="GE129" s="507">
        <f t="shared" si="612"/>
        <v>0.36817599277566715</v>
      </c>
      <c r="GF129" s="507">
        <f t="shared" si="612"/>
        <v>0.23023947177694076</v>
      </c>
      <c r="GG129" s="507">
        <f t="shared" si="612"/>
        <v>0.27544441865843261</v>
      </c>
      <c r="GH129" s="507">
        <f t="shared" si="612"/>
        <v>0.20978229841981483</v>
      </c>
      <c r="GI129" s="507">
        <f t="shared" si="612"/>
        <v>0.45389228454005548</v>
      </c>
      <c r="GJ129" s="507">
        <f t="shared" si="612"/>
        <v>0.35021388008906679</v>
      </c>
      <c r="GK129" s="507">
        <f t="shared" si="612"/>
        <v>0.40282301845819762</v>
      </c>
      <c r="GL129" s="507">
        <f t="shared" si="612"/>
        <v>0.58150198812152831</v>
      </c>
      <c r="GM129" s="507">
        <f t="shared" si="612"/>
        <v>0.46212245428514465</v>
      </c>
      <c r="GN129" s="507">
        <f t="shared" si="612"/>
        <v>0.20740008264820123</v>
      </c>
      <c r="GO129" s="507">
        <f t="shared" ref="GO129:IZ129" si="613">(GO48+GO49)/GO128</f>
        <v>0.25180838746121104</v>
      </c>
      <c r="GP129" s="507">
        <f t="shared" si="613"/>
        <v>0.6163599253737222</v>
      </c>
      <c r="GQ129" s="507">
        <f t="shared" si="613"/>
        <v>0.77500471566829654</v>
      </c>
      <c r="GR129" s="507">
        <f t="shared" si="613"/>
        <v>0.60746208148057579</v>
      </c>
      <c r="GS129" s="507">
        <f t="shared" si="613"/>
        <v>1</v>
      </c>
      <c r="GT129" s="507">
        <f t="shared" si="613"/>
        <v>0.38358314735772731</v>
      </c>
      <c r="GU129" s="507">
        <f t="shared" si="613"/>
        <v>0.37283290871807617</v>
      </c>
      <c r="GV129" s="507">
        <f t="shared" si="613"/>
        <v>0.33215298407924576</v>
      </c>
      <c r="GW129" s="507">
        <f t="shared" si="613"/>
        <v>0.55799140971313788</v>
      </c>
      <c r="GX129" s="507">
        <f t="shared" si="613"/>
        <v>0.77052776396057454</v>
      </c>
      <c r="GY129" s="507">
        <f t="shared" si="613"/>
        <v>0.56638856879091704</v>
      </c>
      <c r="GZ129" s="507">
        <f t="shared" si="613"/>
        <v>0.27211023625500069</v>
      </c>
      <c r="HA129" s="507">
        <f t="shared" si="613"/>
        <v>0.53781259415486593</v>
      </c>
      <c r="HB129" s="507">
        <f t="shared" si="613"/>
        <v>0.77105137293652393</v>
      </c>
      <c r="HC129" s="507">
        <f t="shared" si="613"/>
        <v>0.54710640756441964</v>
      </c>
      <c r="HD129" s="507">
        <f t="shared" si="613"/>
        <v>0.49852257750569129</v>
      </c>
      <c r="HE129" s="507">
        <f t="shared" si="613"/>
        <v>0.375333557757835</v>
      </c>
      <c r="HF129" s="507">
        <f t="shared" si="613"/>
        <v>0.63010238895640069</v>
      </c>
      <c r="HG129" s="507">
        <f t="shared" si="613"/>
        <v>0.38740132375157804</v>
      </c>
      <c r="HH129" s="507">
        <f t="shared" si="613"/>
        <v>0.44106231847976257</v>
      </c>
      <c r="HI129" s="507">
        <f t="shared" si="613"/>
        <v>0.675544701736841</v>
      </c>
      <c r="HJ129" s="507">
        <f t="shared" si="613"/>
        <v>0.28161940322005335</v>
      </c>
      <c r="HK129" s="507">
        <f t="shared" si="613"/>
        <v>1</v>
      </c>
      <c r="HL129" s="507">
        <f t="shared" si="613"/>
        <v>0.32659412657433806</v>
      </c>
      <c r="HM129" s="507">
        <f t="shared" si="613"/>
        <v>0.27755937979598994</v>
      </c>
      <c r="HN129" s="507">
        <f t="shared" si="613"/>
        <v>0.22236493907400254</v>
      </c>
      <c r="HO129" s="507">
        <f t="shared" si="613"/>
        <v>0.26916663876937746</v>
      </c>
      <c r="HP129" s="507">
        <f t="shared" si="613"/>
        <v>0.30532023752791659</v>
      </c>
      <c r="HQ129" s="507">
        <f t="shared" si="613"/>
        <v>0.29720875632723909</v>
      </c>
      <c r="HR129" s="507">
        <f t="shared" si="613"/>
        <v>0.30022074098414891</v>
      </c>
      <c r="HS129" s="507">
        <f t="shared" si="613"/>
        <v>0.31374835487562985</v>
      </c>
      <c r="HT129" s="507">
        <f t="shared" si="613"/>
        <v>0.2947828697612378</v>
      </c>
      <c r="HU129" s="507">
        <f t="shared" si="613"/>
        <v>0.28213134937091949</v>
      </c>
      <c r="HV129" s="507">
        <f t="shared" si="613"/>
        <v>0.28989846516548046</v>
      </c>
      <c r="HW129" s="507">
        <f t="shared" si="613"/>
        <v>0.32979330790685862</v>
      </c>
      <c r="HX129" s="507">
        <f t="shared" si="613"/>
        <v>0.36258951898448577</v>
      </c>
      <c r="HY129" s="507">
        <f t="shared" si="613"/>
        <v>0.31777209839739623</v>
      </c>
      <c r="HZ129" s="507">
        <f t="shared" si="613"/>
        <v>0.28935992810325717</v>
      </c>
      <c r="IA129" s="507">
        <f t="shared" si="613"/>
        <v>0.2940437905648397</v>
      </c>
      <c r="IB129" s="507">
        <f t="shared" si="613"/>
        <v>0.30657935906319972</v>
      </c>
      <c r="IC129" s="507">
        <f t="shared" si="613"/>
        <v>0.33964645852900444</v>
      </c>
      <c r="ID129" s="507">
        <f t="shared" si="613"/>
        <v>0.27771894321108864</v>
      </c>
      <c r="IE129" s="507">
        <f t="shared" si="613"/>
        <v>0.21900794852048899</v>
      </c>
      <c r="IF129" s="507">
        <f t="shared" si="613"/>
        <v>0.37358173287543461</v>
      </c>
      <c r="IG129" s="507">
        <f t="shared" si="613"/>
        <v>0.43275962289419395</v>
      </c>
      <c r="IH129" s="507">
        <f t="shared" si="613"/>
        <v>0.41773229546903101</v>
      </c>
      <c r="II129" s="507">
        <f t="shared" si="613"/>
        <v>0.2920943805738806</v>
      </c>
      <c r="IJ129" s="507">
        <f t="shared" si="613"/>
        <v>0.38577986709861628</v>
      </c>
      <c r="IK129" s="507">
        <f t="shared" si="613"/>
        <v>0.2882961788184803</v>
      </c>
      <c r="IL129" s="507">
        <f t="shared" si="613"/>
        <v>0.27838651805662656</v>
      </c>
      <c r="IM129" s="507">
        <f t="shared" si="613"/>
        <v>0.243644519447098</v>
      </c>
      <c r="IN129" s="507">
        <f t="shared" si="613"/>
        <v>0.31887303304648135</v>
      </c>
      <c r="IO129" s="507">
        <f t="shared" si="613"/>
        <v>0.36279843611375051</v>
      </c>
      <c r="IP129" s="507">
        <f t="shared" si="613"/>
        <v>0.29308220731628942</v>
      </c>
      <c r="IQ129" s="507">
        <f t="shared" si="613"/>
        <v>0.31949845948123656</v>
      </c>
      <c r="IR129" s="507">
        <f t="shared" si="613"/>
        <v>0.34080367054215149</v>
      </c>
      <c r="IS129" s="507">
        <f t="shared" si="613"/>
        <v>0.29940930502817209</v>
      </c>
      <c r="IT129" s="507">
        <f t="shared" si="613"/>
        <v>0.33145618065365517</v>
      </c>
      <c r="IU129" s="507">
        <f t="shared" si="613"/>
        <v>0.36875732510401549</v>
      </c>
      <c r="IV129" s="507">
        <f t="shared" si="613"/>
        <v>0.33292257722869462</v>
      </c>
      <c r="IW129" s="507">
        <f t="shared" si="613"/>
        <v>0.28898325041222311</v>
      </c>
      <c r="IX129" s="507">
        <f t="shared" si="613"/>
        <v>0.37922600719386984</v>
      </c>
      <c r="IY129" s="507">
        <f t="shared" si="613"/>
        <v>0.41725132386103997</v>
      </c>
      <c r="IZ129" s="507">
        <f t="shared" si="613"/>
        <v>0.24889678442206914</v>
      </c>
      <c r="JA129" s="507">
        <f t="shared" ref="JA129:JH129" si="614">(JA48+JA49)/JA128</f>
        <v>0.26215151003254661</v>
      </c>
      <c r="JB129" s="507">
        <f t="shared" si="614"/>
        <v>0.32344279804105697</v>
      </c>
      <c r="JC129" s="507">
        <f t="shared" si="614"/>
        <v>0.30815090326391797</v>
      </c>
      <c r="JD129" s="507">
        <f t="shared" si="614"/>
        <v>0.18981791372979784</v>
      </c>
      <c r="JE129" s="507">
        <f t="shared" si="614"/>
        <v>0.60858232059820117</v>
      </c>
      <c r="JF129" s="507">
        <f t="shared" si="614"/>
        <v>0.2444490449341031</v>
      </c>
      <c r="JG129" s="507">
        <f t="shared" si="614"/>
        <v>0.23986406752649053</v>
      </c>
      <c r="JH129" s="507">
        <f t="shared" si="614"/>
        <v>0</v>
      </c>
      <c r="JI129" s="507">
        <f>(JI48+JI49)/JI128</f>
        <v>0.26564757067527905</v>
      </c>
      <c r="JL129" s="507">
        <f>(JL48+JL49)/JL128</f>
        <v>2.0830379935386424E-2</v>
      </c>
      <c r="JM129" s="507">
        <f>(JM48+JM49)/JM128</f>
        <v>0.12871094881584183</v>
      </c>
      <c r="JN129" s="507">
        <f>(JN48+JN49)/JN128</f>
        <v>0.43061490869933616</v>
      </c>
      <c r="JO129" s="507">
        <f>(JO48+JO49)/JO128</f>
        <v>0.29954079334969658</v>
      </c>
      <c r="JP129" s="507">
        <f>(JP48+JP49)/JP128</f>
        <v>0.26564757067527917</v>
      </c>
    </row>
    <row r="130" spans="1:276" x14ac:dyDescent="0.25">
      <c r="B130" s="314" t="s">
        <v>2618</v>
      </c>
      <c r="JL130" s="591">
        <f>JL113/JL128</f>
        <v>0.97916962006461361</v>
      </c>
      <c r="JM130" s="591">
        <f t="shared" ref="JM130:JP130" si="615">JM113/JM128</f>
        <v>0.71819740165790436</v>
      </c>
      <c r="JN130" s="591">
        <f t="shared" si="615"/>
        <v>0.53831580573274695</v>
      </c>
      <c r="JO130" s="591">
        <f t="shared" si="615"/>
        <v>0.69205241590670119</v>
      </c>
      <c r="JP130" s="591">
        <f t="shared" si="615"/>
        <v>0.67361477885241472</v>
      </c>
    </row>
    <row r="131" spans="1:276" ht="15.75" thickBot="1" x14ac:dyDescent="0.3"/>
    <row r="132" spans="1:276" ht="15.75" thickBot="1" x14ac:dyDescent="0.3">
      <c r="B132" s="608" t="str">
        <f>B13</f>
        <v>Výpočet VP 2020</v>
      </c>
      <c r="C132" s="608">
        <f>C13</f>
        <v>9296049.1510793846</v>
      </c>
      <c r="D132" s="608">
        <f t="shared" ref="D132:BP132" si="616">D13</f>
        <v>9345564.764516497</v>
      </c>
      <c r="E132" s="608">
        <f t="shared" si="616"/>
        <v>8887194.8468445688</v>
      </c>
      <c r="F132" s="608">
        <f t="shared" si="616"/>
        <v>3978884.7088353573</v>
      </c>
      <c r="G132" s="608">
        <f t="shared" si="616"/>
        <v>11754503.127290595</v>
      </c>
      <c r="H132" s="608">
        <f t="shared" si="616"/>
        <v>1265732.1198156357</v>
      </c>
      <c r="I132" s="608">
        <f t="shared" si="616"/>
        <v>3505750.9805252724</v>
      </c>
      <c r="J132" s="608">
        <f t="shared" si="616"/>
        <v>2983617.8557661893</v>
      </c>
      <c r="K132" s="608">
        <f t="shared" si="616"/>
        <v>5924518.8128773188</v>
      </c>
      <c r="L132" s="608">
        <f t="shared" si="616"/>
        <v>4031705.8292569402</v>
      </c>
      <c r="M132" s="608">
        <f t="shared" si="616"/>
        <v>3984275.238895766</v>
      </c>
      <c r="N132" s="608">
        <f t="shared" si="616"/>
        <v>5017302.8370803231</v>
      </c>
      <c r="O132" s="608">
        <f t="shared" si="616"/>
        <v>4508635.2104233941</v>
      </c>
      <c r="P132" s="608">
        <f t="shared" si="616"/>
        <v>2998026.0021816893</v>
      </c>
      <c r="Q132" s="608">
        <f t="shared" si="616"/>
        <v>2005488.4791010155</v>
      </c>
      <c r="R132" s="608">
        <f t="shared" si="616"/>
        <v>2451152.5855679074</v>
      </c>
      <c r="S132" s="608">
        <f t="shared" si="616"/>
        <v>1708379.0747897534</v>
      </c>
      <c r="T132" s="608">
        <f t="shared" si="616"/>
        <v>742773.51077815378</v>
      </c>
      <c r="U132" s="608">
        <f t="shared" si="616"/>
        <v>1114160.2661672307</v>
      </c>
      <c r="V132" s="608">
        <f t="shared" si="616"/>
        <v>15268375.428234249</v>
      </c>
      <c r="W132" s="608">
        <f t="shared" si="616"/>
        <v>4127146.9193722606</v>
      </c>
      <c r="X132" s="608">
        <f t="shared" si="616"/>
        <v>2191081.086187847</v>
      </c>
      <c r="Y132" s="608">
        <f t="shared" si="616"/>
        <v>2069745.4492107111</v>
      </c>
      <c r="Z132" s="608">
        <f t="shared" si="616"/>
        <v>9676854.0623107646</v>
      </c>
      <c r="AA132" s="608">
        <f t="shared" si="616"/>
        <v>4313818.3267021552</v>
      </c>
      <c r="AB132" s="608">
        <f t="shared" si="616"/>
        <v>3153482.7159662391</v>
      </c>
      <c r="AC132" s="608">
        <f t="shared" ref="AC132" si="617">AC13</f>
        <v>471661.84132364974</v>
      </c>
      <c r="AD132" s="608">
        <f t="shared" si="616"/>
        <v>2497904.6985613657</v>
      </c>
      <c r="AE132" s="608">
        <f t="shared" si="616"/>
        <v>1222248.5258989439</v>
      </c>
      <c r="AF132" s="608">
        <f t="shared" si="616"/>
        <v>3535587.1590829343</v>
      </c>
      <c r="AG132" s="608">
        <f t="shared" si="616"/>
        <v>3510607.0288166855</v>
      </c>
      <c r="AH132" s="608">
        <f t="shared" si="616"/>
        <v>1327900.8936605309</v>
      </c>
      <c r="AI132" s="608">
        <f t="shared" si="616"/>
        <v>5529368.7225791952</v>
      </c>
      <c r="AJ132" s="608">
        <f t="shared" si="616"/>
        <v>4314044.4365202505</v>
      </c>
      <c r="AK132" s="608">
        <f t="shared" si="616"/>
        <v>1559824.3726341228</v>
      </c>
      <c r="AL132" s="608">
        <f t="shared" si="616"/>
        <v>2156909.1633510776</v>
      </c>
      <c r="AM132" s="608">
        <f t="shared" si="616"/>
        <v>1559824.3726341231</v>
      </c>
      <c r="AN132" s="608">
        <f t="shared" si="616"/>
        <v>995316.50444272615</v>
      </c>
      <c r="AO132" s="608">
        <f t="shared" si="616"/>
        <v>6314033.6631408297</v>
      </c>
      <c r="AP132" s="608">
        <f t="shared" si="616"/>
        <v>2385174.6132770502</v>
      </c>
      <c r="AQ132" s="608">
        <f t="shared" si="616"/>
        <v>297109.40431126149</v>
      </c>
      <c r="AR132" s="608">
        <f t="shared" si="616"/>
        <v>1671240.3992508459</v>
      </c>
      <c r="AS132" s="608">
        <f t="shared" si="616"/>
        <v>445664.10646689229</v>
      </c>
      <c r="AT132" s="608">
        <f t="shared" si="616"/>
        <v>2109142.1939772759</v>
      </c>
      <c r="AU132" s="608">
        <f t="shared" si="616"/>
        <v>1051886.2833224081</v>
      </c>
      <c r="AV132" s="608">
        <f t="shared" si="616"/>
        <v>2120960.6772952261</v>
      </c>
      <c r="AW132" s="608">
        <f t="shared" si="616"/>
        <v>3515922.5550434329</v>
      </c>
      <c r="AX132" s="608">
        <f t="shared" si="616"/>
        <v>2889815.8082949743</v>
      </c>
      <c r="AY132" s="608">
        <f t="shared" si="616"/>
        <v>3192681.8379533906</v>
      </c>
      <c r="AZ132" s="608">
        <f t="shared" si="616"/>
        <v>3892622.7779548438</v>
      </c>
      <c r="BA132" s="608">
        <f t="shared" si="616"/>
        <v>11288288.921655141</v>
      </c>
      <c r="BB132" s="608">
        <f t="shared" si="616"/>
        <v>1411269.6704784923</v>
      </c>
      <c r="BC132" s="608">
        <f t="shared" si="616"/>
        <v>1360742.4938025323</v>
      </c>
      <c r="BD132" s="608">
        <f t="shared" si="616"/>
        <v>2020343.9493165785</v>
      </c>
      <c r="BE132" s="608">
        <f t="shared" si="616"/>
        <v>1305332.8118977079</v>
      </c>
      <c r="BF132" s="608">
        <f t="shared" si="616"/>
        <v>3045371.3941904306</v>
      </c>
      <c r="BG132" s="608">
        <f t="shared" si="616"/>
        <v>4025254.0656860587</v>
      </c>
      <c r="BH132" s="608">
        <f t="shared" si="616"/>
        <v>3785109.2415605099</v>
      </c>
      <c r="BI132" s="608">
        <f t="shared" si="616"/>
        <v>3112669.1129161981</v>
      </c>
      <c r="BJ132" s="608">
        <f t="shared" si="616"/>
        <v>2836236.6701121721</v>
      </c>
      <c r="BK132" s="608">
        <f t="shared" si="616"/>
        <v>1305332.8118977079</v>
      </c>
      <c r="BL132" s="608">
        <f t="shared" si="616"/>
        <v>484189.8882988008</v>
      </c>
      <c r="BM132" s="608">
        <f t="shared" si="616"/>
        <v>2386894.2846129518</v>
      </c>
      <c r="BN132" s="608">
        <f t="shared" si="616"/>
        <v>1946066.5982387629</v>
      </c>
      <c r="BO132" s="608">
        <f t="shared" si="616"/>
        <v>1115754.3738330903</v>
      </c>
      <c r="BP132" s="608">
        <f t="shared" si="616"/>
        <v>5612904.2616406893</v>
      </c>
      <c r="BQ132" s="608">
        <f t="shared" ref="BQ132:EB132" si="618">BQ13</f>
        <v>857790.13353277929</v>
      </c>
      <c r="BR132" s="608">
        <f t="shared" si="618"/>
        <v>1002744.2395505077</v>
      </c>
      <c r="BS132" s="608">
        <f t="shared" si="618"/>
        <v>1336992.3194006768</v>
      </c>
      <c r="BT132" s="608">
        <f t="shared" si="618"/>
        <v>1114160.2661672307</v>
      </c>
      <c r="BU132" s="608">
        <f t="shared" si="618"/>
        <v>4446637.2294955002</v>
      </c>
      <c r="BV132" s="608">
        <f t="shared" si="618"/>
        <v>1142294.6626007925</v>
      </c>
      <c r="BW132" s="608">
        <f t="shared" si="618"/>
        <v>297109.40431126149</v>
      </c>
      <c r="BX132" s="608">
        <f t="shared" si="618"/>
        <v>5062234.123708467</v>
      </c>
      <c r="BY132" s="608">
        <f t="shared" si="618"/>
        <v>2065527.6887355854</v>
      </c>
      <c r="BZ132" s="608">
        <f t="shared" si="618"/>
        <v>249019.98755359586</v>
      </c>
      <c r="CA132" s="608">
        <f t="shared" si="618"/>
        <v>0</v>
      </c>
      <c r="CB132" s="608">
        <f t="shared" si="618"/>
        <v>212096.63819068708</v>
      </c>
      <c r="CC132" s="608">
        <f t="shared" si="618"/>
        <v>2414013.9100289997</v>
      </c>
      <c r="CD132" s="608">
        <f t="shared" si="618"/>
        <v>742773.51077815378</v>
      </c>
      <c r="CE132" s="608">
        <f t="shared" si="618"/>
        <v>14096350.125316771</v>
      </c>
      <c r="CF132" s="608">
        <f t="shared" si="618"/>
        <v>4820517.8393289512</v>
      </c>
      <c r="CG132" s="608">
        <f t="shared" si="618"/>
        <v>10598581.496070446</v>
      </c>
      <c r="CH132" s="608">
        <f t="shared" si="618"/>
        <v>4534503.8765709288</v>
      </c>
      <c r="CI132" s="608">
        <f t="shared" si="618"/>
        <v>3518851.9671994289</v>
      </c>
      <c r="CJ132" s="608">
        <f t="shared" si="618"/>
        <v>4666195.0818283353</v>
      </c>
      <c r="CK132" s="608">
        <f t="shared" si="618"/>
        <v>5333901.2291703308</v>
      </c>
      <c r="CL132" s="608">
        <f t="shared" si="618"/>
        <v>3132798.7485544984</v>
      </c>
      <c r="CM132" s="608">
        <f t="shared" si="618"/>
        <v>6951836.4399863137</v>
      </c>
      <c r="CN132" s="608">
        <f t="shared" si="618"/>
        <v>1314857.8541530101</v>
      </c>
      <c r="CO132" s="608">
        <f t="shared" si="618"/>
        <v>1314857.8541530101</v>
      </c>
      <c r="CP132" s="608">
        <f t="shared" si="618"/>
        <v>1314857.8541530101</v>
      </c>
      <c r="CQ132" s="608">
        <f t="shared" si="618"/>
        <v>6255036.573718125</v>
      </c>
      <c r="CR132" s="608">
        <f t="shared" si="618"/>
        <v>2477843.1844488932</v>
      </c>
      <c r="CS132" s="608">
        <f t="shared" si="618"/>
        <v>4256553.8028849224</v>
      </c>
      <c r="CT132" s="608">
        <f t="shared" si="618"/>
        <v>4823200.6433408242</v>
      </c>
      <c r="CU132" s="608">
        <f t="shared" si="618"/>
        <v>2065527.6887355854</v>
      </c>
      <c r="CV132" s="608">
        <f t="shared" si="618"/>
        <v>5572023.830386878</v>
      </c>
      <c r="CW132" s="608">
        <f t="shared" si="618"/>
        <v>445664.10646689229</v>
      </c>
      <c r="CX132" s="608">
        <f t="shared" si="618"/>
        <v>4855375.2081390303</v>
      </c>
      <c r="CY132" s="608">
        <f t="shared" si="618"/>
        <v>3158756.2839012085</v>
      </c>
      <c r="CZ132" s="608">
        <f t="shared" si="618"/>
        <v>1617681.872513308</v>
      </c>
      <c r="DA132" s="608">
        <f t="shared" si="618"/>
        <v>8578781.7210858986</v>
      </c>
      <c r="DB132" s="608">
        <f t="shared" si="618"/>
        <v>854189.53739487671</v>
      </c>
      <c r="DC132" s="608">
        <f t="shared" si="618"/>
        <v>1972286.7812295151</v>
      </c>
      <c r="DD132" s="608">
        <f t="shared" si="618"/>
        <v>5594283.4795616046</v>
      </c>
      <c r="DE132" s="608">
        <f t="shared" si="618"/>
        <v>7831996.8713862468</v>
      </c>
      <c r="DF132" s="608">
        <f t="shared" si="618"/>
        <v>7831996.8713862468</v>
      </c>
      <c r="DG132" s="608">
        <f t="shared" si="618"/>
        <v>854189.53739487671</v>
      </c>
      <c r="DH132" s="608">
        <f t="shared" si="618"/>
        <v>2542541.0743335127</v>
      </c>
      <c r="DI132" s="608">
        <f t="shared" si="618"/>
        <v>1139158.9078340724</v>
      </c>
      <c r="DJ132" s="608">
        <f t="shared" si="618"/>
        <v>2237713.3918246417</v>
      </c>
      <c r="DK132" s="608">
        <f t="shared" si="618"/>
        <v>2610665.6237954157</v>
      </c>
      <c r="DL132" s="608">
        <f t="shared" si="618"/>
        <v>4473993.2555374205</v>
      </c>
      <c r="DM132" s="608">
        <f t="shared" si="618"/>
        <v>2420949.4414940039</v>
      </c>
      <c r="DN132" s="608">
        <f t="shared" si="618"/>
        <v>3944573.5624590302</v>
      </c>
      <c r="DO132" s="608">
        <f t="shared" si="618"/>
        <v>1491808.9278830946</v>
      </c>
      <c r="DP132" s="608">
        <f t="shared" si="618"/>
        <v>4273288.0259972829</v>
      </c>
      <c r="DQ132" s="608">
        <f t="shared" si="618"/>
        <v>4709251.6733165188</v>
      </c>
      <c r="DR132" s="608">
        <f t="shared" si="618"/>
        <v>5392272.908377694</v>
      </c>
      <c r="DS132" s="608">
        <f t="shared" si="618"/>
        <v>1729310.8899851122</v>
      </c>
      <c r="DT132" s="608">
        <f t="shared" si="618"/>
        <v>4430608.8151310459</v>
      </c>
      <c r="DU132" s="608">
        <f t="shared" si="618"/>
        <v>2538154.1570197763</v>
      </c>
      <c r="DV132" s="608">
        <f t="shared" si="618"/>
        <v>7715066.8911256026</v>
      </c>
      <c r="DW132" s="608">
        <f t="shared" si="618"/>
        <v>1406369.022017373</v>
      </c>
      <c r="DX132" s="608">
        <f t="shared" si="618"/>
        <v>4475426.7836492835</v>
      </c>
      <c r="DY132" s="608">
        <f t="shared" si="618"/>
        <v>4731142.7504826486</v>
      </c>
      <c r="DZ132" s="608">
        <f t="shared" si="618"/>
        <v>770133.71150518791</v>
      </c>
      <c r="EA132" s="608">
        <f t="shared" si="618"/>
        <v>3517972.7647054419</v>
      </c>
      <c r="EB132" s="608">
        <f t="shared" si="618"/>
        <v>5976412.8583436497</v>
      </c>
      <c r="EC132" s="608">
        <f t="shared" ref="EC132:GN132" si="619">EC13</f>
        <v>3312237.7834975314</v>
      </c>
      <c r="ED132" s="608">
        <f t="shared" si="619"/>
        <v>3891133.2612115145</v>
      </c>
      <c r="EE132" s="608">
        <f t="shared" si="619"/>
        <v>854189.53739487671</v>
      </c>
      <c r="EF132" s="608">
        <f t="shared" si="619"/>
        <v>928466.88847269223</v>
      </c>
      <c r="EG132" s="608">
        <f t="shared" si="619"/>
        <v>445664.10646689229</v>
      </c>
      <c r="EH132" s="608">
        <f t="shared" si="619"/>
        <v>799811.80860682938</v>
      </c>
      <c r="EI132" s="608">
        <f t="shared" si="619"/>
        <v>1311636.3759544892</v>
      </c>
      <c r="EJ132" s="608">
        <f t="shared" si="619"/>
        <v>1193447.1423064759</v>
      </c>
      <c r="EK132" s="608">
        <f t="shared" si="619"/>
        <v>3733481.0875684507</v>
      </c>
      <c r="EL132" s="608">
        <f t="shared" si="619"/>
        <v>11834171.525295848</v>
      </c>
      <c r="EM132" s="608">
        <f t="shared" si="619"/>
        <v>3398690.3194428757</v>
      </c>
      <c r="EN132" s="608">
        <f t="shared" si="619"/>
        <v>2516394.0239095907</v>
      </c>
      <c r="EO132" s="608">
        <f t="shared" si="619"/>
        <v>297109.40431126149</v>
      </c>
      <c r="EP132" s="608">
        <f t="shared" si="619"/>
        <v>3184329.1261055968</v>
      </c>
      <c r="EQ132" s="608">
        <f t="shared" si="619"/>
        <v>1864761.1598538682</v>
      </c>
      <c r="ER132" s="608">
        <f t="shared" si="619"/>
        <v>12801531.417957775</v>
      </c>
      <c r="ES132" s="608">
        <f t="shared" si="619"/>
        <v>4377510.420380271</v>
      </c>
      <c r="ET132" s="608">
        <f t="shared" si="619"/>
        <v>1009463.051162631</v>
      </c>
      <c r="EU132" s="608">
        <f t="shared" si="619"/>
        <v>2867783.9144364195</v>
      </c>
      <c r="EV132" s="608">
        <f t="shared" si="619"/>
        <v>742773.51077815378</v>
      </c>
      <c r="EW132" s="608">
        <f t="shared" si="619"/>
        <v>4473993.2555374205</v>
      </c>
      <c r="EX132" s="608">
        <f t="shared" si="619"/>
        <v>12601454.267581619</v>
      </c>
      <c r="EY132" s="608">
        <f t="shared" si="619"/>
        <v>3235363.7450266159</v>
      </c>
      <c r="EZ132" s="608">
        <f t="shared" si="619"/>
        <v>1180543.1487498037</v>
      </c>
      <c r="FA132" s="608">
        <f t="shared" si="619"/>
        <v>2643559.424768026</v>
      </c>
      <c r="FB132" s="608">
        <f t="shared" si="619"/>
        <v>265664.49062636285</v>
      </c>
      <c r="FC132" s="608">
        <f t="shared" si="619"/>
        <v>8081615.4215486925</v>
      </c>
      <c r="FD132" s="608">
        <f t="shared" si="619"/>
        <v>1664055.933514433</v>
      </c>
      <c r="FE132" s="608">
        <f t="shared" si="619"/>
        <v>813440.58884631132</v>
      </c>
      <c r="FF132" s="608">
        <f t="shared" si="619"/>
        <v>3200382.8544894438</v>
      </c>
      <c r="FG132" s="608">
        <f t="shared" si="619"/>
        <v>10234922.019552525</v>
      </c>
      <c r="FH132" s="608">
        <f t="shared" si="619"/>
        <v>12020924.688991101</v>
      </c>
      <c r="FI132" s="608">
        <f t="shared" si="619"/>
        <v>12032157.560676448</v>
      </c>
      <c r="FJ132" s="608">
        <f t="shared" si="619"/>
        <v>3992300.1421770533</v>
      </c>
      <c r="FK132" s="608">
        <f t="shared" si="619"/>
        <v>963386.22672073392</v>
      </c>
      <c r="FL132" s="608">
        <f t="shared" si="619"/>
        <v>1203612.7840607695</v>
      </c>
      <c r="FM132" s="608">
        <f t="shared" si="619"/>
        <v>5747603.6565853953</v>
      </c>
      <c r="FN132" s="608">
        <f t="shared" si="619"/>
        <v>7963831.4799554544</v>
      </c>
      <c r="FO132" s="608">
        <f t="shared" si="619"/>
        <v>3142946.1483755559</v>
      </c>
      <c r="FP132" s="608">
        <f t="shared" si="619"/>
        <v>19436918.394972485</v>
      </c>
      <c r="FQ132" s="608">
        <f t="shared" si="619"/>
        <v>2412521.9484436484</v>
      </c>
      <c r="FR132" s="608">
        <f t="shared" si="619"/>
        <v>3847203.2896098206</v>
      </c>
      <c r="FS132" s="608">
        <f t="shared" si="619"/>
        <v>975513.36972985521</v>
      </c>
      <c r="FT132" s="608">
        <f t="shared" si="619"/>
        <v>5871693.3263162933</v>
      </c>
      <c r="FU132" s="608">
        <f t="shared" si="619"/>
        <v>840045.66849283664</v>
      </c>
      <c r="FV132" s="608">
        <f t="shared" si="619"/>
        <v>1864671.3198748971</v>
      </c>
      <c r="FW132" s="608">
        <f t="shared" si="619"/>
        <v>2485175.9672305044</v>
      </c>
      <c r="FX132" s="608">
        <f t="shared" si="619"/>
        <v>1025431.0615861824</v>
      </c>
      <c r="FY132" s="608">
        <f t="shared" si="619"/>
        <v>591907.25956185197</v>
      </c>
      <c r="FZ132" s="608">
        <f t="shared" si="619"/>
        <v>7845845.0490599889</v>
      </c>
      <c r="GA132" s="608">
        <f t="shared" si="619"/>
        <v>992170.48958755797</v>
      </c>
      <c r="GB132" s="608">
        <f t="shared" si="619"/>
        <v>7078594.4862977713</v>
      </c>
      <c r="GC132" s="608">
        <f t="shared" si="619"/>
        <v>3992300.1421770533</v>
      </c>
      <c r="GD132" s="608">
        <f t="shared" si="619"/>
        <v>14793188.350004137</v>
      </c>
      <c r="GE132" s="608">
        <f t="shared" si="619"/>
        <v>2386894.2846129518</v>
      </c>
      <c r="GF132" s="608">
        <f t="shared" si="619"/>
        <v>5289600.1778761428</v>
      </c>
      <c r="GG132" s="608">
        <f t="shared" si="619"/>
        <v>1675672.3627191633</v>
      </c>
      <c r="GH132" s="608">
        <f t="shared" si="619"/>
        <v>1500741.4312772285</v>
      </c>
      <c r="GI132" s="608">
        <f t="shared" si="619"/>
        <v>15318249.086967468</v>
      </c>
      <c r="GJ132" s="608">
        <f t="shared" si="619"/>
        <v>3655791.4773473097</v>
      </c>
      <c r="GK132" s="608">
        <f t="shared" si="619"/>
        <v>3315671.4994501965</v>
      </c>
      <c r="GL132" s="608">
        <f t="shared" si="619"/>
        <v>1306920.953704515</v>
      </c>
      <c r="GM132" s="608">
        <f t="shared" si="619"/>
        <v>1544957.978629787</v>
      </c>
      <c r="GN132" s="608">
        <f t="shared" si="619"/>
        <v>1437939.4422340516</v>
      </c>
      <c r="GO132" s="608">
        <f t="shared" ref="GO132:IZ132" si="620">GO13</f>
        <v>9403110.7931909356</v>
      </c>
      <c r="GP132" s="608">
        <f t="shared" si="620"/>
        <v>1324656.0617410089</v>
      </c>
      <c r="GQ132" s="608">
        <f t="shared" si="620"/>
        <v>2857444.9764231946</v>
      </c>
      <c r="GR132" s="608">
        <f t="shared" si="620"/>
        <v>1671114.6056514834</v>
      </c>
      <c r="GS132" s="608">
        <f t="shared" si="620"/>
        <v>963386.22672073392</v>
      </c>
      <c r="GT132" s="608">
        <f t="shared" si="620"/>
        <v>14779349.532092277</v>
      </c>
      <c r="GU132" s="608">
        <f t="shared" si="620"/>
        <v>2162643.1188159068</v>
      </c>
      <c r="GV132" s="608">
        <f t="shared" si="620"/>
        <v>8312921.1856662463</v>
      </c>
      <c r="GW132" s="608">
        <f t="shared" si="620"/>
        <v>2236996.6277687103</v>
      </c>
      <c r="GX132" s="608">
        <f t="shared" si="620"/>
        <v>846629.33977144712</v>
      </c>
      <c r="GY132" s="608">
        <f t="shared" si="620"/>
        <v>34757171.494393662</v>
      </c>
      <c r="GZ132" s="608">
        <f t="shared" si="620"/>
        <v>4016004.3026968315</v>
      </c>
      <c r="HA132" s="608">
        <f t="shared" si="620"/>
        <v>11838145.191237042</v>
      </c>
      <c r="HB132" s="608">
        <f t="shared" si="620"/>
        <v>10271504.099015649</v>
      </c>
      <c r="HC132" s="608">
        <f t="shared" si="620"/>
        <v>14671141.782730402</v>
      </c>
      <c r="HD132" s="608">
        <f t="shared" si="620"/>
        <v>3992300.1421770533</v>
      </c>
      <c r="HE132" s="608">
        <f t="shared" si="620"/>
        <v>11616198.576157156</v>
      </c>
      <c r="HF132" s="608">
        <f t="shared" si="620"/>
        <v>2842779.4108599741</v>
      </c>
      <c r="HG132" s="608">
        <f t="shared" si="620"/>
        <v>1616456.7877398005</v>
      </c>
      <c r="HH132" s="608">
        <f t="shared" si="620"/>
        <v>3510607.0288166855</v>
      </c>
      <c r="HI132" s="608">
        <f t="shared" si="620"/>
        <v>4955686.3688977864</v>
      </c>
      <c r="HJ132" s="608">
        <f t="shared" si="620"/>
        <v>1491808.9278830946</v>
      </c>
      <c r="HK132" s="608">
        <f t="shared" si="620"/>
        <v>1266277.618266366</v>
      </c>
      <c r="HL132" s="608">
        <f t="shared" si="620"/>
        <v>43047174.374081343</v>
      </c>
      <c r="HM132" s="608">
        <f t="shared" si="620"/>
        <v>24315023.422150649</v>
      </c>
      <c r="HN132" s="608">
        <f t="shared" si="620"/>
        <v>773502.96210955526</v>
      </c>
      <c r="HO132" s="608">
        <f t="shared" si="620"/>
        <v>2685256.0701895705</v>
      </c>
      <c r="HP132" s="608">
        <f t="shared" si="620"/>
        <v>33215261.641752195</v>
      </c>
      <c r="HQ132" s="608">
        <f t="shared" si="620"/>
        <v>1032559.9409537764</v>
      </c>
      <c r="HR132" s="608">
        <f t="shared" si="620"/>
        <v>36614806.545883656</v>
      </c>
      <c r="HS132" s="608">
        <f t="shared" si="620"/>
        <v>7195414.637391096</v>
      </c>
      <c r="HT132" s="608">
        <f t="shared" si="620"/>
        <v>18595469.590470783</v>
      </c>
      <c r="HU132" s="608">
        <f t="shared" si="620"/>
        <v>27484085.005208258</v>
      </c>
      <c r="HV132" s="608">
        <f t="shared" si="620"/>
        <v>23544168.980021723</v>
      </c>
      <c r="HW132" s="608">
        <f t="shared" si="620"/>
        <v>5603903.9405486807</v>
      </c>
      <c r="HX132" s="608">
        <f t="shared" si="620"/>
        <v>25691721.341380894</v>
      </c>
      <c r="HY132" s="608">
        <f t="shared" si="620"/>
        <v>20392282.173444685</v>
      </c>
      <c r="HZ132" s="608">
        <f t="shared" si="620"/>
        <v>10920004.97769383</v>
      </c>
      <c r="IA132" s="608">
        <f t="shared" si="620"/>
        <v>11964721.15817537</v>
      </c>
      <c r="IB132" s="608">
        <f t="shared" si="620"/>
        <v>9823113.9004964307</v>
      </c>
      <c r="IC132" s="608">
        <f t="shared" si="620"/>
        <v>18429766.354838438</v>
      </c>
      <c r="ID132" s="608">
        <f t="shared" si="620"/>
        <v>12416191.317817554</v>
      </c>
      <c r="IE132" s="608">
        <f t="shared" si="620"/>
        <v>19994059.517665572</v>
      </c>
      <c r="IF132" s="608">
        <f t="shared" si="620"/>
        <v>17198633.588044822</v>
      </c>
      <c r="IG132" s="608">
        <f t="shared" si="620"/>
        <v>5290219.0727247903</v>
      </c>
      <c r="IH132" s="608">
        <f t="shared" si="620"/>
        <v>4013505.4274126575</v>
      </c>
      <c r="II132" s="608">
        <f t="shared" si="620"/>
        <v>19813983.129812181</v>
      </c>
      <c r="IJ132" s="608">
        <f t="shared" si="620"/>
        <v>2183526.9397355039</v>
      </c>
      <c r="IK132" s="608">
        <f t="shared" si="620"/>
        <v>3438619.5787705323</v>
      </c>
      <c r="IL132" s="608">
        <f t="shared" si="620"/>
        <v>10265880.700098794</v>
      </c>
      <c r="IM132" s="608">
        <f t="shared" si="620"/>
        <v>576689.35844624322</v>
      </c>
      <c r="IN132" s="608">
        <f t="shared" si="620"/>
        <v>10983989.105203958</v>
      </c>
      <c r="IO132" s="608">
        <f t="shared" si="620"/>
        <v>4175281.5630752468</v>
      </c>
      <c r="IP132" s="608">
        <f t="shared" si="620"/>
        <v>22497527.177580558</v>
      </c>
      <c r="IQ132" s="608">
        <f t="shared" si="620"/>
        <v>22486957.282894928</v>
      </c>
      <c r="IR132" s="608">
        <f t="shared" si="620"/>
        <v>1066302.6090348614</v>
      </c>
      <c r="IS132" s="608">
        <f t="shared" si="620"/>
        <v>65767680.859087437</v>
      </c>
      <c r="IT132" s="608">
        <f t="shared" si="620"/>
        <v>16722565.344563767</v>
      </c>
      <c r="IU132" s="608">
        <f t="shared" si="620"/>
        <v>3667436.7806406175</v>
      </c>
      <c r="IV132" s="608">
        <f t="shared" si="620"/>
        <v>8866275.6764279809</v>
      </c>
      <c r="IW132" s="608">
        <f t="shared" si="620"/>
        <v>14122596.481906652</v>
      </c>
      <c r="IX132" s="608">
        <f t="shared" si="620"/>
        <v>2148999.2969357027</v>
      </c>
      <c r="IY132" s="608">
        <f t="shared" si="620"/>
        <v>11376964.50882945</v>
      </c>
      <c r="IZ132" s="608">
        <f t="shared" si="620"/>
        <v>25280595.996755749</v>
      </c>
      <c r="JA132" s="608">
        <f t="shared" ref="JA132:JH132" si="621">JA13</f>
        <v>3082510.0697293384</v>
      </c>
      <c r="JB132" s="608">
        <f t="shared" si="621"/>
        <v>3801963.0001571975</v>
      </c>
      <c r="JC132" s="608">
        <f t="shared" si="621"/>
        <v>2169515.4593524667</v>
      </c>
      <c r="JD132" s="608">
        <f t="shared" si="621"/>
        <v>6713140.1754739247</v>
      </c>
      <c r="JE132" s="608">
        <f t="shared" si="621"/>
        <v>3693178.4081448922</v>
      </c>
      <c r="JF132" s="608">
        <f t="shared" si="621"/>
        <v>42724760.148160294</v>
      </c>
      <c r="JG132" s="608">
        <f t="shared" si="621"/>
        <v>30609469.164951172</v>
      </c>
      <c r="JH132" s="608">
        <f t="shared" si="621"/>
        <v>1432360.5197921393</v>
      </c>
      <c r="JI132" s="314">
        <f>SUM(C132:JH132)</f>
        <v>1595653051.8864341</v>
      </c>
    </row>
    <row r="133" spans="1:276" ht="15.75" thickBot="1" x14ac:dyDescent="0.3">
      <c r="B133" s="490" t="s">
        <v>2620</v>
      </c>
      <c r="C133" s="625">
        <f>C134-C132</f>
        <v>722950.84892061539</v>
      </c>
      <c r="D133" s="625">
        <f t="shared" ref="D133:BP133" si="622">D134-D132</f>
        <v>-965564.76451649703</v>
      </c>
      <c r="E133" s="625">
        <f t="shared" si="622"/>
        <v>1977805.1531554312</v>
      </c>
      <c r="F133" s="625">
        <f t="shared" si="622"/>
        <v>1019973.2911646427</v>
      </c>
      <c r="G133" s="625">
        <f t="shared" si="622"/>
        <v>896747.87270940468</v>
      </c>
      <c r="H133" s="625">
        <f t="shared" si="622"/>
        <v>625844.88018436427</v>
      </c>
      <c r="I133" s="625">
        <f t="shared" si="622"/>
        <v>423464.01947472757</v>
      </c>
      <c r="J133" s="625">
        <f t="shared" si="622"/>
        <v>11782.144233810715</v>
      </c>
      <c r="K133" s="625">
        <f t="shared" si="622"/>
        <v>123561.18712268118</v>
      </c>
      <c r="L133" s="625">
        <f t="shared" si="622"/>
        <v>1059394.1707430598</v>
      </c>
      <c r="M133" s="625">
        <f t="shared" si="622"/>
        <v>1255724.761104234</v>
      </c>
      <c r="N133" s="625">
        <f t="shared" si="622"/>
        <v>1922697.1629196769</v>
      </c>
      <c r="O133" s="625">
        <f t="shared" si="622"/>
        <v>489505.78957660589</v>
      </c>
      <c r="P133" s="625">
        <f t="shared" si="622"/>
        <v>146901.99781831075</v>
      </c>
      <c r="Q133" s="625">
        <f t="shared" si="622"/>
        <v>989011.52089898451</v>
      </c>
      <c r="R133" s="625">
        <f t="shared" si="622"/>
        <v>124447.41443209257</v>
      </c>
      <c r="S133" s="625">
        <f t="shared" si="622"/>
        <v>701980.92521024658</v>
      </c>
      <c r="T133" s="625">
        <f t="shared" si="622"/>
        <v>158926.48922184622</v>
      </c>
      <c r="U133" s="625">
        <f t="shared" si="622"/>
        <v>405639.73383276933</v>
      </c>
      <c r="V133" s="625">
        <f t="shared" si="622"/>
        <v>-1920475.4282342494</v>
      </c>
      <c r="W133" s="625">
        <f t="shared" si="622"/>
        <v>-813546.91937226057</v>
      </c>
      <c r="X133" s="625">
        <f t="shared" si="622"/>
        <v>962418.91381215304</v>
      </c>
      <c r="Y133" s="625">
        <f t="shared" si="622"/>
        <v>294154.55078928894</v>
      </c>
      <c r="Z133" s="625">
        <f t="shared" si="622"/>
        <v>-2234930.0623107646</v>
      </c>
      <c r="AA133" s="625">
        <f t="shared" si="622"/>
        <v>602964.67329784483</v>
      </c>
      <c r="AB133" s="625">
        <f t="shared" si="622"/>
        <v>1566517.2840337609</v>
      </c>
      <c r="AC133" s="625">
        <f t="shared" ref="AC133" si="623">AC134-AC132</f>
        <v>348338.15867635026</v>
      </c>
      <c r="AD133" s="625">
        <f t="shared" si="622"/>
        <v>340095.30143863428</v>
      </c>
      <c r="AE133" s="625">
        <f t="shared" si="622"/>
        <v>663375.47410105611</v>
      </c>
      <c r="AF133" s="625">
        <f t="shared" si="622"/>
        <v>46412.84091706574</v>
      </c>
      <c r="AG133" s="625">
        <f t="shared" si="622"/>
        <v>1190392.9711833145</v>
      </c>
      <c r="AH133" s="625">
        <f t="shared" si="622"/>
        <v>-418900.89366053091</v>
      </c>
      <c r="AI133" s="625">
        <f t="shared" si="622"/>
        <v>-882368.72257919516</v>
      </c>
      <c r="AJ133" s="625">
        <f t="shared" si="622"/>
        <v>-1348044.4365202505</v>
      </c>
      <c r="AK133" s="625">
        <f t="shared" si="622"/>
        <v>-87624.372634122847</v>
      </c>
      <c r="AL133" s="625">
        <f t="shared" si="622"/>
        <v>712090.83664892241</v>
      </c>
      <c r="AM133" s="625">
        <f t="shared" si="622"/>
        <v>159667.62736587692</v>
      </c>
      <c r="AN133" s="625">
        <f t="shared" si="622"/>
        <v>409683.49555727385</v>
      </c>
      <c r="AO133" s="625">
        <f t="shared" si="622"/>
        <v>559986.33685917035</v>
      </c>
      <c r="AP133" s="625">
        <f t="shared" si="622"/>
        <v>-64174.613277050201</v>
      </c>
      <c r="AQ133" s="625">
        <f t="shared" si="622"/>
        <v>280890.59568873851</v>
      </c>
      <c r="AR133" s="625">
        <f t="shared" si="622"/>
        <v>693959.60074915411</v>
      </c>
      <c r="AS133" s="625">
        <f t="shared" si="622"/>
        <v>315335.89353310771</v>
      </c>
      <c r="AT133" s="625">
        <f t="shared" si="622"/>
        <v>1286357.8060227241</v>
      </c>
      <c r="AU133" s="625">
        <f t="shared" si="622"/>
        <v>614613.7166775919</v>
      </c>
      <c r="AV133" s="625">
        <f t="shared" si="622"/>
        <v>510039.32270477386</v>
      </c>
      <c r="AW133" s="625">
        <f t="shared" si="622"/>
        <v>186077.44495656714</v>
      </c>
      <c r="AX133" s="625">
        <f t="shared" si="622"/>
        <v>986285.19170502573</v>
      </c>
      <c r="AY133" s="625">
        <f t="shared" si="622"/>
        <v>797620.16204660945</v>
      </c>
      <c r="AZ133" s="625">
        <f t="shared" si="622"/>
        <v>-301930.77795484383</v>
      </c>
      <c r="BA133" s="625">
        <f t="shared" si="622"/>
        <v>-255288.92165514082</v>
      </c>
      <c r="BB133" s="625">
        <f t="shared" si="622"/>
        <v>219250.32952150772</v>
      </c>
      <c r="BC133" s="625">
        <f t="shared" si="622"/>
        <v>448057.50619746768</v>
      </c>
      <c r="BD133" s="625">
        <f t="shared" si="622"/>
        <v>425116.05068342155</v>
      </c>
      <c r="BE133" s="625">
        <f t="shared" si="622"/>
        <v>257187.18810229213</v>
      </c>
      <c r="BF133" s="625">
        <f t="shared" si="622"/>
        <v>366628.60580956936</v>
      </c>
      <c r="BG133" s="625">
        <f t="shared" si="622"/>
        <v>-193254.06568605872</v>
      </c>
      <c r="BH133" s="625">
        <f t="shared" si="622"/>
        <v>847890.75843949011</v>
      </c>
      <c r="BI133" s="625">
        <f t="shared" si="622"/>
        <v>-642669.11291619809</v>
      </c>
      <c r="BJ133" s="625">
        <f t="shared" si="622"/>
        <v>918763.32988782786</v>
      </c>
      <c r="BK133" s="625">
        <f t="shared" si="622"/>
        <v>-247332.81189770787</v>
      </c>
      <c r="BL133" s="625">
        <f t="shared" si="622"/>
        <v>748910.1117011992</v>
      </c>
      <c r="BM133" s="625">
        <f t="shared" si="622"/>
        <v>-223278.2846129518</v>
      </c>
      <c r="BN133" s="625">
        <f t="shared" si="622"/>
        <v>281933.40176123707</v>
      </c>
      <c r="BO133" s="625">
        <f t="shared" si="622"/>
        <v>178245.6261669097</v>
      </c>
      <c r="BP133" s="625">
        <f t="shared" si="622"/>
        <v>-183824.26164068934</v>
      </c>
      <c r="BQ133" s="625">
        <f t="shared" ref="BQ133:EB133" si="624">BQ134-BQ132</f>
        <v>102169.86646722071</v>
      </c>
      <c r="BR133" s="625">
        <f t="shared" si="624"/>
        <v>110276.76044949226</v>
      </c>
      <c r="BS133" s="625">
        <f t="shared" si="624"/>
        <v>406034.68059932324</v>
      </c>
      <c r="BT133" s="625">
        <f t="shared" si="624"/>
        <v>62481.733832769329</v>
      </c>
      <c r="BU133" s="625">
        <f t="shared" si="624"/>
        <v>3128312.7705044998</v>
      </c>
      <c r="BV133" s="625">
        <f t="shared" si="624"/>
        <v>188325.33739920752</v>
      </c>
      <c r="BW133" s="625">
        <f t="shared" si="624"/>
        <v>325790.59568873851</v>
      </c>
      <c r="BX133" s="625">
        <f t="shared" si="624"/>
        <v>3883265.876291533</v>
      </c>
      <c r="BY133" s="625">
        <f t="shared" si="624"/>
        <v>738472.31126441457</v>
      </c>
      <c r="BZ133" s="625">
        <f t="shared" si="624"/>
        <v>299780.01244640414</v>
      </c>
      <c r="CA133" s="625">
        <f t="shared" si="624"/>
        <v>0</v>
      </c>
      <c r="CB133" s="625">
        <f t="shared" si="624"/>
        <v>861903.36180931295</v>
      </c>
      <c r="CC133" s="625">
        <f t="shared" si="624"/>
        <v>817986.08997100033</v>
      </c>
      <c r="CD133" s="625">
        <f t="shared" si="624"/>
        <v>452226.48922184622</v>
      </c>
      <c r="CE133" s="625">
        <f t="shared" si="624"/>
        <v>1243649.8746832293</v>
      </c>
      <c r="CF133" s="625">
        <f t="shared" si="624"/>
        <v>566002.1606710488</v>
      </c>
      <c r="CG133" s="625">
        <f t="shared" si="624"/>
        <v>1505162.5039295536</v>
      </c>
      <c r="CH133" s="625">
        <f t="shared" si="624"/>
        <v>-1173.8765709288418</v>
      </c>
      <c r="CI133" s="625">
        <f t="shared" si="624"/>
        <v>25148.032800571062</v>
      </c>
      <c r="CJ133" s="625">
        <f t="shared" si="624"/>
        <v>627094.9181716647</v>
      </c>
      <c r="CK133" s="625">
        <f t="shared" si="624"/>
        <v>-163121.2291703308</v>
      </c>
      <c r="CL133" s="625">
        <f t="shared" si="624"/>
        <v>579471.25144550158</v>
      </c>
      <c r="CM133" s="625">
        <f t="shared" si="624"/>
        <v>1501177.5600136863</v>
      </c>
      <c r="CN133" s="625">
        <f t="shared" si="624"/>
        <v>352504.14584698994</v>
      </c>
      <c r="CO133" s="625">
        <f t="shared" si="624"/>
        <v>481910.14584698994</v>
      </c>
      <c r="CP133" s="625">
        <f t="shared" si="624"/>
        <v>378994.14584698994</v>
      </c>
      <c r="CQ133" s="625">
        <f t="shared" si="624"/>
        <v>928335.426281875</v>
      </c>
      <c r="CR133" s="625">
        <f t="shared" si="624"/>
        <v>-60026.184448893182</v>
      </c>
      <c r="CS133" s="625">
        <f t="shared" si="624"/>
        <v>-437624.80288492236</v>
      </c>
      <c r="CT133" s="625">
        <f t="shared" si="624"/>
        <v>1527717.3566591758</v>
      </c>
      <c r="CU133" s="625">
        <f t="shared" si="624"/>
        <v>696472.31126441457</v>
      </c>
      <c r="CV133" s="625">
        <f t="shared" si="624"/>
        <v>4510976.169613122</v>
      </c>
      <c r="CW133" s="625">
        <f t="shared" si="624"/>
        <v>54335.893533107708</v>
      </c>
      <c r="CX133" s="625">
        <f t="shared" si="624"/>
        <v>-795375.20813903026</v>
      </c>
      <c r="CY133" s="625">
        <f t="shared" si="624"/>
        <v>953243.71609879145</v>
      </c>
      <c r="CZ133" s="625">
        <f t="shared" si="624"/>
        <v>-117881.87251330796</v>
      </c>
      <c r="DA133" s="625">
        <f t="shared" si="624"/>
        <v>1584218.2789141014</v>
      </c>
      <c r="DB133" s="625">
        <f t="shared" si="624"/>
        <v>112891.46260512329</v>
      </c>
      <c r="DC133" s="625">
        <f t="shared" si="624"/>
        <v>367713.21877048491</v>
      </c>
      <c r="DD133" s="625">
        <f t="shared" si="624"/>
        <v>82716.520438395441</v>
      </c>
      <c r="DE133" s="625">
        <f t="shared" si="624"/>
        <v>2170453.1286137532</v>
      </c>
      <c r="DF133" s="625">
        <f t="shared" si="624"/>
        <v>1743763.1286137532</v>
      </c>
      <c r="DG133" s="625">
        <f t="shared" si="624"/>
        <v>1210610.4626051234</v>
      </c>
      <c r="DH133" s="625">
        <f t="shared" si="624"/>
        <v>355738.92566648731</v>
      </c>
      <c r="DI133" s="625">
        <f t="shared" si="624"/>
        <v>288715.09216592764</v>
      </c>
      <c r="DJ133" s="625">
        <f t="shared" si="624"/>
        <v>-226887.39182464173</v>
      </c>
      <c r="DK133" s="625">
        <f t="shared" si="624"/>
        <v>-99519.62379541574</v>
      </c>
      <c r="DL133" s="625">
        <f t="shared" si="624"/>
        <v>4832539.7444625795</v>
      </c>
      <c r="DM133" s="625">
        <f t="shared" si="624"/>
        <v>1074050.5585059961</v>
      </c>
      <c r="DN133" s="625">
        <f t="shared" si="624"/>
        <v>517093.43754096981</v>
      </c>
      <c r="DO133" s="625">
        <f t="shared" si="624"/>
        <v>4271191.0721169058</v>
      </c>
      <c r="DP133" s="625">
        <f t="shared" si="624"/>
        <v>464474.97400271706</v>
      </c>
      <c r="DQ133" s="625">
        <f t="shared" si="624"/>
        <v>-49456.673316518776</v>
      </c>
      <c r="DR133" s="625">
        <f t="shared" si="624"/>
        <v>-88747.908377693966</v>
      </c>
      <c r="DS133" s="625">
        <f t="shared" si="624"/>
        <v>426689.11001488776</v>
      </c>
      <c r="DT133" s="625">
        <f t="shared" si="624"/>
        <v>-855608.81513104588</v>
      </c>
      <c r="DU133" s="625">
        <f t="shared" si="624"/>
        <v>-2538154.1570197763</v>
      </c>
      <c r="DV133" s="625">
        <f t="shared" si="624"/>
        <v>-675066.89112560265</v>
      </c>
      <c r="DW133" s="625">
        <f t="shared" si="624"/>
        <v>-1406369.022017373</v>
      </c>
      <c r="DX133" s="625">
        <f t="shared" si="624"/>
        <v>-4475426.7836492835</v>
      </c>
      <c r="DY133" s="625">
        <f t="shared" si="624"/>
        <v>2247857.2495173514</v>
      </c>
      <c r="DZ133" s="625">
        <f t="shared" si="624"/>
        <v>324866.28849481209</v>
      </c>
      <c r="EA133" s="625">
        <f t="shared" si="624"/>
        <v>622527.23529455811</v>
      </c>
      <c r="EB133" s="625">
        <f t="shared" si="624"/>
        <v>539359.14165635034</v>
      </c>
      <c r="EC133" s="625">
        <f t="shared" ref="EC133:GN133" si="625">EC134-EC132</f>
        <v>1197382.2165024686</v>
      </c>
      <c r="ED133" s="625">
        <f t="shared" si="625"/>
        <v>404216.73878848553</v>
      </c>
      <c r="EE133" s="625">
        <f t="shared" si="625"/>
        <v>31810.462605123292</v>
      </c>
      <c r="EF133" s="625">
        <f t="shared" si="625"/>
        <v>21533.111527307774</v>
      </c>
      <c r="EG133" s="625">
        <f t="shared" si="625"/>
        <v>15335.893533107708</v>
      </c>
      <c r="EH133" s="625">
        <f t="shared" si="625"/>
        <v>82188.191393170622</v>
      </c>
      <c r="EI133" s="625">
        <f t="shared" si="625"/>
        <v>-11636.375954489224</v>
      </c>
      <c r="EJ133" s="625">
        <f t="shared" si="625"/>
        <v>250052.8576935241</v>
      </c>
      <c r="EK133" s="625">
        <f t="shared" si="625"/>
        <v>2931118.9124315493</v>
      </c>
      <c r="EL133" s="625">
        <f t="shared" si="625"/>
        <v>4797428.474704152</v>
      </c>
      <c r="EM133" s="625">
        <f t="shared" si="625"/>
        <v>1870809.6805571243</v>
      </c>
      <c r="EN133" s="625">
        <f t="shared" si="625"/>
        <v>99507.976090409327</v>
      </c>
      <c r="EO133" s="625">
        <f t="shared" si="625"/>
        <v>328682.59568873851</v>
      </c>
      <c r="EP133" s="625">
        <f t="shared" si="625"/>
        <v>761242.87389440322</v>
      </c>
      <c r="EQ133" s="625">
        <f t="shared" si="625"/>
        <v>2162261.8401461318</v>
      </c>
      <c r="ER133" s="625">
        <f t="shared" si="625"/>
        <v>-1680531.4179577753</v>
      </c>
      <c r="ES133" s="625">
        <f t="shared" si="625"/>
        <v>-4377510.420380271</v>
      </c>
      <c r="ET133" s="625">
        <f t="shared" si="625"/>
        <v>1741536.948837369</v>
      </c>
      <c r="EU133" s="625">
        <f t="shared" si="625"/>
        <v>1874216.0855635805</v>
      </c>
      <c r="EV133" s="625">
        <f t="shared" si="625"/>
        <v>22226.489221846219</v>
      </c>
      <c r="EW133" s="625">
        <f t="shared" si="625"/>
        <v>684006.74446257949</v>
      </c>
      <c r="EX133" s="625">
        <f t="shared" si="625"/>
        <v>-2601454.2675816193</v>
      </c>
      <c r="EY133" s="625">
        <f t="shared" si="625"/>
        <v>264636.25497338409</v>
      </c>
      <c r="EZ133" s="625">
        <f t="shared" si="625"/>
        <v>558852.85125019634</v>
      </c>
      <c r="FA133" s="625">
        <f t="shared" si="625"/>
        <v>4440.5752319740131</v>
      </c>
      <c r="FB133" s="625">
        <f t="shared" si="625"/>
        <v>79047.509373637149</v>
      </c>
      <c r="FC133" s="625">
        <f t="shared" si="625"/>
        <v>2308384.5784513075</v>
      </c>
      <c r="FD133" s="625">
        <f t="shared" si="625"/>
        <v>535944.06648556702</v>
      </c>
      <c r="FE133" s="625">
        <f t="shared" si="625"/>
        <v>409559.41115368868</v>
      </c>
      <c r="FF133" s="625">
        <f t="shared" si="625"/>
        <v>-639182.85448944382</v>
      </c>
      <c r="FG133" s="625">
        <f t="shared" si="625"/>
        <v>90277.980447474867</v>
      </c>
      <c r="FH133" s="625">
        <f t="shared" si="625"/>
        <v>-3826321.6889911015</v>
      </c>
      <c r="FI133" s="625">
        <f t="shared" si="625"/>
        <v>-1522157.560676448</v>
      </c>
      <c r="FJ133" s="625">
        <f t="shared" si="625"/>
        <v>-766060.14217705326</v>
      </c>
      <c r="FK133" s="625">
        <f t="shared" si="625"/>
        <v>75713.773279266083</v>
      </c>
      <c r="FL133" s="625">
        <f t="shared" si="625"/>
        <v>67287.215939230518</v>
      </c>
      <c r="FM133" s="625">
        <f t="shared" si="625"/>
        <v>356396.34341460466</v>
      </c>
      <c r="FN133" s="625">
        <f t="shared" si="625"/>
        <v>321587.52004454564</v>
      </c>
      <c r="FO133" s="625">
        <f t="shared" si="625"/>
        <v>-276268.14837555587</v>
      </c>
      <c r="FP133" s="625">
        <f t="shared" si="625"/>
        <v>-2428918.3949724846</v>
      </c>
      <c r="FQ133" s="625">
        <f t="shared" si="625"/>
        <v>-219635.94844364841</v>
      </c>
      <c r="FR133" s="625">
        <f t="shared" si="625"/>
        <v>239504.71039017942</v>
      </c>
      <c r="FS133" s="625">
        <f t="shared" si="625"/>
        <v>-324013.36972985521</v>
      </c>
      <c r="FT133" s="625">
        <f t="shared" si="625"/>
        <v>415306.67368370667</v>
      </c>
      <c r="FU133" s="625">
        <f t="shared" si="625"/>
        <v>-122045.66849283664</v>
      </c>
      <c r="FV133" s="625">
        <f t="shared" si="625"/>
        <v>283827.68012510287</v>
      </c>
      <c r="FW133" s="625">
        <f t="shared" si="625"/>
        <v>-380675.96723050438</v>
      </c>
      <c r="FX133" s="625">
        <f t="shared" si="625"/>
        <v>-37431.061586182448</v>
      </c>
      <c r="FY133" s="625">
        <f t="shared" si="625"/>
        <v>-107907.25956185197</v>
      </c>
      <c r="FZ133" s="625">
        <f t="shared" si="625"/>
        <v>1517154.9509400111</v>
      </c>
      <c r="GA133" s="625">
        <f t="shared" si="625"/>
        <v>505829.51041244203</v>
      </c>
      <c r="GB133" s="625">
        <f t="shared" si="625"/>
        <v>3515405.5137022287</v>
      </c>
      <c r="GC133" s="625">
        <f t="shared" si="625"/>
        <v>185699.85782294674</v>
      </c>
      <c r="GD133" s="625">
        <f t="shared" si="625"/>
        <v>652811.64999586344</v>
      </c>
      <c r="GE133" s="625">
        <f t="shared" si="625"/>
        <v>-86894.2846129518</v>
      </c>
      <c r="GF133" s="625">
        <f t="shared" si="625"/>
        <v>355044.82212385722</v>
      </c>
      <c r="GG133" s="625">
        <f t="shared" si="625"/>
        <v>933364.6372808367</v>
      </c>
      <c r="GH133" s="625">
        <f t="shared" si="625"/>
        <v>325844.56872277148</v>
      </c>
      <c r="GI133" s="625">
        <f t="shared" si="625"/>
        <v>376798.91303253174</v>
      </c>
      <c r="GJ133" s="625">
        <f t="shared" si="625"/>
        <v>-419611.4773473097</v>
      </c>
      <c r="GK133" s="625">
        <f t="shared" si="625"/>
        <v>-1027718.4994501965</v>
      </c>
      <c r="GL133" s="625">
        <f t="shared" si="625"/>
        <v>-58074.953704515006</v>
      </c>
      <c r="GM133" s="625">
        <f t="shared" si="625"/>
        <v>-92323.978629786987</v>
      </c>
      <c r="GN133" s="625">
        <f t="shared" si="625"/>
        <v>-280939.44223405165</v>
      </c>
      <c r="GO133" s="625">
        <f t="shared" ref="GO133:IZ133" si="626">GO134-GO132</f>
        <v>-2683469.7931909356</v>
      </c>
      <c r="GP133" s="625">
        <f t="shared" si="626"/>
        <v>851843.93825899111</v>
      </c>
      <c r="GQ133" s="625">
        <f t="shared" si="626"/>
        <v>-1091244.9764231946</v>
      </c>
      <c r="GR133" s="625">
        <f t="shared" si="626"/>
        <v>38085.394348516595</v>
      </c>
      <c r="GS133" s="625">
        <f t="shared" si="626"/>
        <v>174913.77327926608</v>
      </c>
      <c r="GT133" s="625">
        <f t="shared" si="626"/>
        <v>1347650.467907723</v>
      </c>
      <c r="GU133" s="625">
        <f t="shared" si="626"/>
        <v>-558203.11881590681</v>
      </c>
      <c r="GV133" s="625">
        <f t="shared" si="626"/>
        <v>4887078.8143337537</v>
      </c>
      <c r="GW133" s="625">
        <f t="shared" si="626"/>
        <v>736503.37223128974</v>
      </c>
      <c r="GX133" s="625">
        <f t="shared" si="626"/>
        <v>89870.660228552879</v>
      </c>
      <c r="GY133" s="625">
        <f t="shared" si="626"/>
        <v>-6663196.4943936616</v>
      </c>
      <c r="GZ133" s="625">
        <f t="shared" si="626"/>
        <v>1744816.6973031685</v>
      </c>
      <c r="HA133" s="625">
        <f t="shared" si="626"/>
        <v>1890354.8087629583</v>
      </c>
      <c r="HB133" s="625">
        <f t="shared" si="626"/>
        <v>1728495.9009843506</v>
      </c>
      <c r="HC133" s="625">
        <f t="shared" si="626"/>
        <v>-1392141.7827304024</v>
      </c>
      <c r="HD133" s="625">
        <f t="shared" si="626"/>
        <v>394279.85782294674</v>
      </c>
      <c r="HE133" s="625">
        <f t="shared" si="626"/>
        <v>-1854498.5761571564</v>
      </c>
      <c r="HF133" s="625">
        <f t="shared" si="626"/>
        <v>-389872.4108599741</v>
      </c>
      <c r="HG133" s="625">
        <f t="shared" si="626"/>
        <v>-647291.78773980052</v>
      </c>
      <c r="HH133" s="625">
        <f t="shared" si="626"/>
        <v>1016392.9711833145</v>
      </c>
      <c r="HI133" s="625">
        <f t="shared" si="626"/>
        <v>991473.63110221364</v>
      </c>
      <c r="HJ133" s="625">
        <f t="shared" si="626"/>
        <v>-1491808.9278830946</v>
      </c>
      <c r="HK133" s="625">
        <f t="shared" si="626"/>
        <v>-64477.618266365957</v>
      </c>
      <c r="HL133" s="625">
        <f t="shared" si="626"/>
        <v>16368221.625918657</v>
      </c>
      <c r="HM133" s="625">
        <f t="shared" si="626"/>
        <v>12259125.577849351</v>
      </c>
      <c r="HN133" s="625">
        <f t="shared" si="626"/>
        <v>429497.03789044474</v>
      </c>
      <c r="HO133" s="625">
        <f t="shared" si="626"/>
        <v>-2685256.0701895705</v>
      </c>
      <c r="HP133" s="625">
        <f t="shared" si="626"/>
        <v>-182261.64175219461</v>
      </c>
      <c r="HQ133" s="625">
        <f t="shared" si="626"/>
        <v>195505.05904622364</v>
      </c>
      <c r="HR133" s="625">
        <f t="shared" si="626"/>
        <v>2347315.4541163445</v>
      </c>
      <c r="HS133" s="625">
        <f t="shared" si="626"/>
        <v>1735954.362608904</v>
      </c>
      <c r="HT133" s="625">
        <f t="shared" si="626"/>
        <v>8859530.4095292166</v>
      </c>
      <c r="HU133" s="625">
        <f t="shared" si="626"/>
        <v>4446664.9947917424</v>
      </c>
      <c r="HV133" s="625">
        <f t="shared" si="626"/>
        <v>-2036168.9800217226</v>
      </c>
      <c r="HW133" s="625">
        <f t="shared" si="626"/>
        <v>-41983.940548680723</v>
      </c>
      <c r="HX133" s="625">
        <f t="shared" si="626"/>
        <v>3508358.6586191058</v>
      </c>
      <c r="HY133" s="625">
        <f t="shared" si="626"/>
        <v>5040717.8265553154</v>
      </c>
      <c r="HZ133" s="625">
        <f t="shared" si="626"/>
        <v>2720995.0223061703</v>
      </c>
      <c r="IA133" s="625">
        <f t="shared" si="626"/>
        <v>-1984841.1581753697</v>
      </c>
      <c r="IB133" s="625">
        <f t="shared" si="626"/>
        <v>2526886.0995035693</v>
      </c>
      <c r="IC133" s="625">
        <f t="shared" si="626"/>
        <v>-3940266.3548384383</v>
      </c>
      <c r="ID133" s="625">
        <f t="shared" si="626"/>
        <v>-600191.31781755388</v>
      </c>
      <c r="IE133" s="625">
        <f t="shared" si="626"/>
        <v>718940.48233442754</v>
      </c>
      <c r="IF133" s="625">
        <f t="shared" si="626"/>
        <v>13034766.411955178</v>
      </c>
      <c r="IG133" s="625">
        <f t="shared" si="626"/>
        <v>3541380.9272752097</v>
      </c>
      <c r="IH133" s="625">
        <f t="shared" si="626"/>
        <v>89957.572587342467</v>
      </c>
      <c r="II133" s="625">
        <f t="shared" si="626"/>
        <v>10878519.870187819</v>
      </c>
      <c r="IJ133" s="625">
        <f t="shared" si="626"/>
        <v>53923.060264496133</v>
      </c>
      <c r="IK133" s="625">
        <f t="shared" si="626"/>
        <v>-117704.57877053227</v>
      </c>
      <c r="IL133" s="625">
        <f t="shared" si="626"/>
        <v>2962119.299901206</v>
      </c>
      <c r="IM133" s="625">
        <f t="shared" si="626"/>
        <v>353607.64155375678</v>
      </c>
      <c r="IN133" s="625">
        <f t="shared" si="626"/>
        <v>2202725.8947960418</v>
      </c>
      <c r="IO133" s="625">
        <f t="shared" si="626"/>
        <v>295240.43692475324</v>
      </c>
      <c r="IP133" s="625">
        <f t="shared" si="626"/>
        <v>3355472.8224194422</v>
      </c>
      <c r="IQ133" s="625">
        <f t="shared" si="626"/>
        <v>4386342.717105072</v>
      </c>
      <c r="IR133" s="625">
        <f t="shared" si="626"/>
        <v>13697.390965138562</v>
      </c>
      <c r="IS133" s="625">
        <f t="shared" si="626"/>
        <v>-10159180.859087437</v>
      </c>
      <c r="IT133" s="625">
        <f t="shared" si="626"/>
        <v>-2375465.3445637673</v>
      </c>
      <c r="IU133" s="625">
        <f t="shared" si="626"/>
        <v>2221193.2193593825</v>
      </c>
      <c r="IV133" s="625">
        <f t="shared" si="626"/>
        <v>997288.32357201912</v>
      </c>
      <c r="IW133" s="625">
        <f t="shared" si="626"/>
        <v>3578685.5180933475</v>
      </c>
      <c r="IX133" s="625">
        <f t="shared" si="626"/>
        <v>394998.70306429733</v>
      </c>
      <c r="IY133" s="625">
        <f t="shared" si="626"/>
        <v>1272035.4911705498</v>
      </c>
      <c r="IZ133" s="625">
        <f t="shared" si="626"/>
        <v>3461904.003244251</v>
      </c>
      <c r="JA133" s="625">
        <f t="shared" ref="JA133:JH133" si="627">JA134-JA132</f>
        <v>703689.9302706616</v>
      </c>
      <c r="JB133" s="625">
        <f t="shared" si="627"/>
        <v>111951.99984280253</v>
      </c>
      <c r="JC133" s="625">
        <f t="shared" si="627"/>
        <v>1034440.5406475333</v>
      </c>
      <c r="JD133" s="625">
        <f t="shared" si="627"/>
        <v>1398999.8245260753</v>
      </c>
      <c r="JE133" s="625">
        <f t="shared" si="627"/>
        <v>-2843178.4081448922</v>
      </c>
      <c r="JF133" s="625">
        <f t="shared" si="627"/>
        <v>-2246960.1481602937</v>
      </c>
      <c r="JG133" s="625">
        <f t="shared" si="627"/>
        <v>4796571.8350488283</v>
      </c>
      <c r="JH133" s="625">
        <f t="shared" si="627"/>
        <v>1944911.4802078607</v>
      </c>
    </row>
    <row r="134" spans="1:276" ht="15.75" thickBot="1" x14ac:dyDescent="0.3">
      <c r="A134" s="313">
        <v>471</v>
      </c>
      <c r="B134" s="608" t="s">
        <v>2623</v>
      </c>
      <c r="C134" s="608">
        <f>IFERROR(VLOOKUP(C$1,'žádosti MPSV 2020'!$F$8:RT270,$A134,FALSE),0)</f>
        <v>10019000</v>
      </c>
      <c r="D134" s="608">
        <f>IFERROR(VLOOKUP(D$1,'žádosti MPSV 2020'!$F$8:RU270,$A134,FALSE),0)</f>
        <v>8380000</v>
      </c>
      <c r="E134" s="608">
        <f>IFERROR(VLOOKUP(E$1,'žádosti MPSV 2020'!$F$8:RV270,$A134,FALSE),0)</f>
        <v>10865000</v>
      </c>
      <c r="F134" s="608">
        <f>IFERROR(VLOOKUP(F$1,'žádosti MPSV 2020'!$F$8:RW270,$A134,FALSE),0)</f>
        <v>4998858</v>
      </c>
      <c r="G134" s="608">
        <f>IFERROR(VLOOKUP(G$1,'žádosti MPSV 2020'!$F$8:RX270,$A134,FALSE),0)</f>
        <v>12651251</v>
      </c>
      <c r="H134" s="608">
        <f>IFERROR(VLOOKUP(H$1,'žádosti MPSV 2020'!$F$8:RY270,$A134,FALSE),0)</f>
        <v>1891577</v>
      </c>
      <c r="I134" s="608">
        <f>IFERROR(VLOOKUP(I$1,'žádosti MPSV 2020'!$F$8:RZ270,$A134,FALSE),0)</f>
        <v>3929215</v>
      </c>
      <c r="J134" s="608">
        <f>IFERROR(VLOOKUP(J$1,'žádosti MPSV 2020'!$F$8:SA270,$A134,FALSE),0)</f>
        <v>2995400</v>
      </c>
      <c r="K134" s="608">
        <f>IFERROR(VLOOKUP(K$1,'žádosti MPSV 2020'!$F$8:SB270,$A134,FALSE),0)</f>
        <v>6048080</v>
      </c>
      <c r="L134" s="608">
        <f>IFERROR(VLOOKUP(L$1,'žádosti MPSV 2020'!$F$8:SC270,$A134,FALSE),0)</f>
        <v>5091100</v>
      </c>
      <c r="M134" s="608">
        <f>IFERROR(VLOOKUP(M$1,'žádosti MPSV 2020'!$F$8:SD270,$A134,FALSE),0)</f>
        <v>5240000</v>
      </c>
      <c r="N134" s="608">
        <f>IFERROR(VLOOKUP(N$1,'žádosti MPSV 2020'!$F$8:SE270,$A134,FALSE),0)</f>
        <v>6940000</v>
      </c>
      <c r="O134" s="608">
        <f>IFERROR(VLOOKUP(O$1,'žádosti MPSV 2020'!$F$8:SF270,$A134,FALSE),0)</f>
        <v>4998141</v>
      </c>
      <c r="P134" s="608">
        <f>IFERROR(VLOOKUP(P$1,'žádosti MPSV 2020'!$F$8:SG270,$A134,FALSE),0)</f>
        <v>3144928</v>
      </c>
      <c r="Q134" s="608">
        <f>IFERROR(VLOOKUP(Q$1,'žádosti MPSV 2020'!$F$8:SH270,$A134,FALSE),0)</f>
        <v>2994500</v>
      </c>
      <c r="R134" s="608">
        <f>IFERROR(VLOOKUP(R$1,'žádosti MPSV 2020'!$F$8:SI270,$A134,FALSE),0)</f>
        <v>2575600</v>
      </c>
      <c r="S134" s="608">
        <f>IFERROR(VLOOKUP(S$1,'žádosti MPSV 2020'!$F$8:SJ270,$A134,FALSE),0)</f>
        <v>2410360</v>
      </c>
      <c r="T134" s="608">
        <f>IFERROR(VLOOKUP(T$1,'žádosti MPSV 2020'!$F$8:SK270,$A134,FALSE),0)</f>
        <v>901700</v>
      </c>
      <c r="U134" s="608">
        <f>IFERROR(VLOOKUP(U$1,'žádosti MPSV 2020'!$F$8:SL270,$A134,FALSE),0)</f>
        <v>1519800</v>
      </c>
      <c r="V134" s="608">
        <f>IFERROR(VLOOKUP(V$1,'žádosti MPSV 2020'!$F$8:SM270,$A134,FALSE),0)</f>
        <v>13347900</v>
      </c>
      <c r="W134" s="608">
        <f>IFERROR(VLOOKUP(W$1,'žádosti MPSV 2020'!$F$8:SN270,$A134,FALSE),0)</f>
        <v>3313600</v>
      </c>
      <c r="X134" s="608">
        <f>IFERROR(VLOOKUP(X$1,'žádosti MPSV 2020'!$F$8:SO270,$A134,FALSE),0)</f>
        <v>3153500</v>
      </c>
      <c r="Y134" s="608">
        <f>IFERROR(VLOOKUP(Y$1,'žádosti MPSV 2020'!$F$8:SP270,$A134,FALSE),0)</f>
        <v>2363900</v>
      </c>
      <c r="Z134" s="608">
        <f>IFERROR(VLOOKUP(Z$1,'žádosti MPSV 2020'!$F$8:SQ270,$A134,FALSE),0)</f>
        <v>7441924</v>
      </c>
      <c r="AA134" s="608">
        <f>IFERROR(VLOOKUP(AA$1,'žádosti MPSV 2020'!$F$8:SR270,$A134,FALSE),0)</f>
        <v>4916783</v>
      </c>
      <c r="AB134" s="608">
        <f>IFERROR(VLOOKUP(AB$1,'žádosti MPSV 2020'!$F$8:SS270,$A134,FALSE),0)</f>
        <v>4720000</v>
      </c>
      <c r="AC134" s="608">
        <f>IFERROR(VLOOKUP(AC$1,'žádosti MPSV 2020'!$F$8:ST270,$A134,FALSE),0)</f>
        <v>820000</v>
      </c>
      <c r="AD134" s="608">
        <f>IFERROR(VLOOKUP(AD$1,'žádosti MPSV 2020'!$F$8:ST270,$A134,FALSE),0)</f>
        <v>2838000</v>
      </c>
      <c r="AE134" s="608">
        <f>IFERROR(VLOOKUP(AE$1,'žádosti MPSV 2020'!$F$8:SU270,$A134,FALSE),0)</f>
        <v>1885624</v>
      </c>
      <c r="AF134" s="608">
        <f>IFERROR(VLOOKUP(AF$1,'žádosti MPSV 2020'!$F$8:SV270,$A134,FALSE),0)</f>
        <v>3582000</v>
      </c>
      <c r="AG134" s="608">
        <f>IFERROR(VLOOKUP(AG$1,'žádosti MPSV 2020'!$F$8:SW270,$A134,FALSE),0)</f>
        <v>4701000</v>
      </c>
      <c r="AH134" s="608">
        <f>IFERROR(VLOOKUP(AH$1,'žádosti MPSV 2020'!$F$8:SX270,$A134,FALSE),0)</f>
        <v>909000</v>
      </c>
      <c r="AI134" s="608">
        <f>IFERROR(VLOOKUP(AI$1,'žádosti MPSV 2020'!$F$8:SY270,$A134,FALSE),0)</f>
        <v>4647000</v>
      </c>
      <c r="AJ134" s="608">
        <f>IFERROR(VLOOKUP(AJ$1,'žádosti MPSV 2020'!$F$8:SZ270,$A134,FALSE),0)</f>
        <v>2966000</v>
      </c>
      <c r="AK134" s="608">
        <f>IFERROR(VLOOKUP(AK$1,'žádosti MPSV 2020'!$F$8:TA270,$A134,FALSE),0)</f>
        <v>1472200</v>
      </c>
      <c r="AL134" s="608">
        <f>IFERROR(VLOOKUP(AL$1,'žádosti MPSV 2020'!$F$8:TB270,$A134,FALSE),0)</f>
        <v>2869000</v>
      </c>
      <c r="AM134" s="608">
        <f>IFERROR(VLOOKUP(AM$1,'žádosti MPSV 2020'!$F$8:TC270,$A134,FALSE),0)</f>
        <v>1719492</v>
      </c>
      <c r="AN134" s="608">
        <f>IFERROR(VLOOKUP(AN$1,'žádosti MPSV 2020'!$F$8:TD270,$A134,FALSE),0)</f>
        <v>1405000</v>
      </c>
      <c r="AO134" s="608">
        <f>IFERROR(VLOOKUP(AO$1,'žádosti MPSV 2020'!$F$8:TE270,$A134,FALSE),0)</f>
        <v>6874020</v>
      </c>
      <c r="AP134" s="608">
        <f>IFERROR(VLOOKUP(AP$1,'žádosti MPSV 2020'!$F$8:TF270,$A134,FALSE),0)</f>
        <v>2321000</v>
      </c>
      <c r="AQ134" s="608">
        <f>IFERROR(VLOOKUP(AQ$1,'žádosti MPSV 2020'!$F$8:TG270,$A134,FALSE),0)</f>
        <v>578000</v>
      </c>
      <c r="AR134" s="608">
        <f>IFERROR(VLOOKUP(AR$1,'žádosti MPSV 2020'!$F$8:TH270,$A134,FALSE),0)</f>
        <v>2365200</v>
      </c>
      <c r="AS134" s="608">
        <f>IFERROR(VLOOKUP(AS$1,'žádosti MPSV 2020'!$F$8:TI270,$A134,FALSE),0)</f>
        <v>761000</v>
      </c>
      <c r="AT134" s="608">
        <f>IFERROR(VLOOKUP(AT$1,'žádosti MPSV 2020'!$F$8:TJ270,$A134,FALSE),0)</f>
        <v>3395500</v>
      </c>
      <c r="AU134" s="608">
        <f>IFERROR(VLOOKUP(AU$1,'žádosti MPSV 2020'!$F$8:TK270,$A134,FALSE),0)</f>
        <v>1666500</v>
      </c>
      <c r="AV134" s="608">
        <f>IFERROR(VLOOKUP(AV$1,'žádosti MPSV 2020'!$F$8:TL270,$A134,FALSE),0)</f>
        <v>2631000</v>
      </c>
      <c r="AW134" s="608">
        <f>IFERROR(VLOOKUP(AW$1,'žádosti MPSV 2020'!$F$8:TM270,$A134,FALSE),0)</f>
        <v>3702000</v>
      </c>
      <c r="AX134" s="608">
        <f>IFERROR(VLOOKUP(AX$1,'žádosti MPSV 2020'!$F$8:TN270,$A134,FALSE),0)</f>
        <v>3876101</v>
      </c>
      <c r="AY134" s="608">
        <f>IFERROR(VLOOKUP(AY$1,'žádosti MPSV 2020'!$F$8:TO270,$A134,FALSE),0)</f>
        <v>3990302</v>
      </c>
      <c r="AZ134" s="608">
        <f>IFERROR(VLOOKUP(AZ$1,'žádosti MPSV 2020'!$F$8:TP270,$A134,FALSE),0)</f>
        <v>3590692</v>
      </c>
      <c r="BA134" s="608">
        <f>IFERROR(VLOOKUP(BA$1,'žádosti MPSV 2020'!$F$8:TQ270,$A134,FALSE),0)</f>
        <v>11033000</v>
      </c>
      <c r="BB134" s="608">
        <f>IFERROR(VLOOKUP(BB$1,'žádosti MPSV 2020'!$F$8:TR270,$A134,FALSE),0)</f>
        <v>1630520</v>
      </c>
      <c r="BC134" s="608">
        <f>IFERROR(VLOOKUP(BC$1,'žádosti MPSV 2020'!$F$8:TS270,$A134,FALSE),0)</f>
        <v>1808800</v>
      </c>
      <c r="BD134" s="608">
        <f>IFERROR(VLOOKUP(BD$1,'žádosti MPSV 2020'!$F$8:TT270,$A134,FALSE),0)</f>
        <v>2445460</v>
      </c>
      <c r="BE134" s="608">
        <f>IFERROR(VLOOKUP(BE$1,'žádosti MPSV 2020'!$F$8:TU270,$A134,FALSE),0)</f>
        <v>1562520</v>
      </c>
      <c r="BF134" s="608">
        <f>IFERROR(VLOOKUP(BF$1,'žádosti MPSV 2020'!$F$8:TV270,$A134,FALSE),0)</f>
        <v>3412000</v>
      </c>
      <c r="BG134" s="608">
        <f>IFERROR(VLOOKUP(BG$1,'žádosti MPSV 2020'!$F$8:TW270,$A134,FALSE),0)</f>
        <v>3832000</v>
      </c>
      <c r="BH134" s="608">
        <f>IFERROR(VLOOKUP(BH$1,'žádosti MPSV 2020'!$F$8:TX270,$A134,FALSE),0)</f>
        <v>4633000</v>
      </c>
      <c r="BI134" s="608">
        <f>IFERROR(VLOOKUP(BI$1,'žádosti MPSV 2020'!$F$8:TY270,$A134,FALSE),0)</f>
        <v>2470000</v>
      </c>
      <c r="BJ134" s="608">
        <f>IFERROR(VLOOKUP(BJ$1,'žádosti MPSV 2020'!$F$8:TZ270,$A134,FALSE),0)</f>
        <v>3755000</v>
      </c>
      <c r="BK134" s="608">
        <f>IFERROR(VLOOKUP(BK$1,'žádosti MPSV 2020'!$F$8:UA270,$A134,FALSE),0)</f>
        <v>1058000</v>
      </c>
      <c r="BL134" s="608">
        <f>IFERROR(VLOOKUP(BL$1,'žádosti MPSV 2020'!$F$8:UB270,$A134,FALSE),0)</f>
        <v>1233100</v>
      </c>
      <c r="BM134" s="608">
        <f>IFERROR(VLOOKUP(BM$1,'žádosti MPSV 2020'!$F$8:UC270,$A134,FALSE),0)</f>
        <v>2163616</v>
      </c>
      <c r="BN134" s="608">
        <f>IFERROR(VLOOKUP(BN$1,'žádosti MPSV 2020'!$F$8:UD270,$A134,FALSE),0)</f>
        <v>2228000</v>
      </c>
      <c r="BO134" s="608">
        <f>IFERROR(VLOOKUP(BO$1,'žádosti MPSV 2020'!$F$8:UE270,$A134,FALSE),0)</f>
        <v>1294000</v>
      </c>
      <c r="BP134" s="608">
        <f>IFERROR(VLOOKUP(BP$1,'žádosti MPSV 2020'!$F$8:UF270,$A134,FALSE),0)</f>
        <v>5429080</v>
      </c>
      <c r="BQ134" s="608">
        <f>IFERROR(VLOOKUP(BQ$1,'žádosti MPSV 2020'!$F$8:UG270,$A134,FALSE),0)</f>
        <v>959960</v>
      </c>
      <c r="BR134" s="608">
        <f>IFERROR(VLOOKUP(BR$1,'žádosti MPSV 2020'!$F$8:UH270,$A134,FALSE),0)</f>
        <v>1113021</v>
      </c>
      <c r="BS134" s="608">
        <f>IFERROR(VLOOKUP(BS$1,'žádosti MPSV 2020'!$F$8:UI270,$A134,FALSE),0)</f>
        <v>1743027</v>
      </c>
      <c r="BT134" s="608">
        <f>IFERROR(VLOOKUP(BT$1,'žádosti MPSV 2020'!$F$8:UJ270,$A134,FALSE),0)</f>
        <v>1176642</v>
      </c>
      <c r="BU134" s="608">
        <f>IFERROR(VLOOKUP(BU$1,'žádosti MPSV 2020'!$F$8:UK270,$A134,FALSE),0)</f>
        <v>7574950</v>
      </c>
      <c r="BV134" s="608">
        <f>IFERROR(VLOOKUP(BV$1,'žádosti MPSV 2020'!$F$8:UL270,$A134,FALSE),0)</f>
        <v>1330620</v>
      </c>
      <c r="BW134" s="608">
        <f>IFERROR(VLOOKUP(BW$1,'žádosti MPSV 2020'!$F$8:UM270,$A134,FALSE),0)</f>
        <v>622900</v>
      </c>
      <c r="BX134" s="608">
        <f>IFERROR(VLOOKUP(BX$1,'žádosti MPSV 2020'!$F$8:UN270,$A134,FALSE),0)</f>
        <v>8945500</v>
      </c>
      <c r="BY134" s="608">
        <f>IFERROR(VLOOKUP(BY$1,'žádosti MPSV 2020'!$F$8:UO270,$A134,FALSE),0)</f>
        <v>2804000</v>
      </c>
      <c r="BZ134" s="608">
        <f>IFERROR(VLOOKUP(BZ$1,'žádosti MPSV 2020'!$F$8:UP270,$A134,FALSE),0)</f>
        <v>548800</v>
      </c>
      <c r="CA134" s="608">
        <f>IFERROR(VLOOKUP(CA$1,'žádosti MPSV 2020'!$F$8:UQ270,$A134,FALSE),0)</f>
        <v>0</v>
      </c>
      <c r="CB134" s="608">
        <f>IFERROR(VLOOKUP(CB$1,'žádosti MPSV 2020'!$F$8:UR270,$A134,FALSE),0)</f>
        <v>1074000</v>
      </c>
      <c r="CC134" s="608">
        <f>IFERROR(VLOOKUP(CC$1,'žádosti MPSV 2020'!$F$8:US270,$A134,FALSE),0)</f>
        <v>3232000</v>
      </c>
      <c r="CD134" s="608">
        <f>IFERROR(VLOOKUP(CD$1,'žádosti MPSV 2020'!$F$8:UT270,$A134,FALSE),0)</f>
        <v>1195000</v>
      </c>
      <c r="CE134" s="608">
        <f>IFERROR(VLOOKUP(CE$1,'žádosti MPSV 2020'!$F$8:UU270,$A134,FALSE),0)</f>
        <v>15340000</v>
      </c>
      <c r="CF134" s="608">
        <f>IFERROR(VLOOKUP(CF$1,'žádosti MPSV 2020'!$F$8:UV270,$A134,FALSE),0)</f>
        <v>5386520</v>
      </c>
      <c r="CG134" s="608">
        <f>IFERROR(VLOOKUP(CG$1,'žádosti MPSV 2020'!$F$8:UW270,$A134,FALSE),0)</f>
        <v>12103744</v>
      </c>
      <c r="CH134" s="608">
        <f>IFERROR(VLOOKUP(CH$1,'žádosti MPSV 2020'!$F$8:UX270,$A134,FALSE),0)</f>
        <v>4533330</v>
      </c>
      <c r="CI134" s="608">
        <f>IFERROR(VLOOKUP(CI$1,'žádosti MPSV 2020'!$F$8:UY270,$A134,FALSE),0)</f>
        <v>3544000</v>
      </c>
      <c r="CJ134" s="608">
        <f>IFERROR(VLOOKUP(CJ$1,'žádosti MPSV 2020'!$F$8:UZ270,$A134,FALSE),0)</f>
        <v>5293290</v>
      </c>
      <c r="CK134" s="608">
        <f>IFERROR(VLOOKUP(CK$1,'žádosti MPSV 2020'!$F$8:VA270,$A134,FALSE),0)</f>
        <v>5170780</v>
      </c>
      <c r="CL134" s="608">
        <f>IFERROR(VLOOKUP(CL$1,'žádosti MPSV 2020'!$F$8:VB270,$A134,FALSE),0)</f>
        <v>3712270</v>
      </c>
      <c r="CM134" s="608">
        <f>IFERROR(VLOOKUP(CM$1,'žádosti MPSV 2020'!$F$8:VC270,$A134,FALSE),0)</f>
        <v>8453014</v>
      </c>
      <c r="CN134" s="608">
        <f>IFERROR(VLOOKUP(CN$1,'žádosti MPSV 2020'!$F$8:VD270,$A134,FALSE),0)</f>
        <v>1667362</v>
      </c>
      <c r="CO134" s="608">
        <f>IFERROR(VLOOKUP(CO$1,'žádosti MPSV 2020'!$F$8:VE270,$A134,FALSE),0)</f>
        <v>1796768</v>
      </c>
      <c r="CP134" s="608">
        <f>IFERROR(VLOOKUP(CP$1,'žádosti MPSV 2020'!$F$8:VF270,$A134,FALSE),0)</f>
        <v>1693852</v>
      </c>
      <c r="CQ134" s="608">
        <f>IFERROR(VLOOKUP(CQ$1,'žádosti MPSV 2020'!$F$8:VG270,$A134,FALSE),0)</f>
        <v>7183372</v>
      </c>
      <c r="CR134" s="608">
        <f>IFERROR(VLOOKUP(CR$1,'žádosti MPSV 2020'!$F$8:VH270,$A134,FALSE),0)</f>
        <v>2417817</v>
      </c>
      <c r="CS134" s="608">
        <f>IFERROR(VLOOKUP(CS$1,'žádosti MPSV 2020'!$F$8:VI270,$A134,FALSE),0)</f>
        <v>3818929</v>
      </c>
      <c r="CT134" s="608">
        <f>IFERROR(VLOOKUP(CT$1,'žádosti MPSV 2020'!$F$8:VJ270,$A134,FALSE),0)</f>
        <v>6350918</v>
      </c>
      <c r="CU134" s="608">
        <f>IFERROR(VLOOKUP(CU$1,'žádosti MPSV 2020'!$F$8:VK270,$A134,FALSE),0)</f>
        <v>2762000</v>
      </c>
      <c r="CV134" s="608">
        <f>IFERROR(VLOOKUP(CV$1,'žádosti MPSV 2020'!$F$8:VL270,$A134,FALSE),0)</f>
        <v>10083000</v>
      </c>
      <c r="CW134" s="608">
        <f>IFERROR(VLOOKUP(CW$1,'žádosti MPSV 2020'!$F$8:VM270,$A134,FALSE),0)</f>
        <v>500000</v>
      </c>
      <c r="CX134" s="608">
        <f>IFERROR(VLOOKUP(CX$1,'žádosti MPSV 2020'!$F$8:VN270,$A134,FALSE),0)</f>
        <v>4060000</v>
      </c>
      <c r="CY134" s="608">
        <f>IFERROR(VLOOKUP(CY$1,'žádosti MPSV 2020'!$F$8:VO270,$A134,FALSE),0)</f>
        <v>4112000</v>
      </c>
      <c r="CZ134" s="608">
        <f>IFERROR(VLOOKUP(CZ$1,'žádosti MPSV 2020'!$F$8:VP270,$A134,FALSE),0)</f>
        <v>1499800</v>
      </c>
      <c r="DA134" s="608">
        <f>IFERROR(VLOOKUP(DA$1,'žádosti MPSV 2020'!$F$8:VQ270,$A134,FALSE),0)</f>
        <v>10163000</v>
      </c>
      <c r="DB134" s="608">
        <f>IFERROR(VLOOKUP(DB$1,'žádosti MPSV 2020'!$F$8:VR270,$A134,FALSE),0)</f>
        <v>967081</v>
      </c>
      <c r="DC134" s="608">
        <f>IFERROR(VLOOKUP(DC$1,'žádosti MPSV 2020'!$F$8:VS270,$A134,FALSE),0)</f>
        <v>2340000</v>
      </c>
      <c r="DD134" s="608">
        <f>IFERROR(VLOOKUP(DD$1,'žádosti MPSV 2020'!$F$8:VT270,$A134,FALSE),0)</f>
        <v>5677000</v>
      </c>
      <c r="DE134" s="608">
        <f>IFERROR(VLOOKUP(DE$1,'žádosti MPSV 2020'!$F$8:VU270,$A134,FALSE),0)</f>
        <v>10002450</v>
      </c>
      <c r="DF134" s="608">
        <f>IFERROR(VLOOKUP(DF$1,'žádosti MPSV 2020'!$F$8:VV270,$A134,FALSE),0)</f>
        <v>9575760</v>
      </c>
      <c r="DG134" s="608">
        <f>IFERROR(VLOOKUP(DG$1,'žádosti MPSV 2020'!$F$8:VW270,$A134,FALSE),0)</f>
        <v>2064800</v>
      </c>
      <c r="DH134" s="608">
        <f>IFERROR(VLOOKUP(DH$1,'žádosti MPSV 2020'!$F$8:WA270,$A134,FALSE),0)</f>
        <v>2898280</v>
      </c>
      <c r="DI134" s="608">
        <f>IFERROR(VLOOKUP(DI$1,'žádosti MPSV 2020'!$F$8:WB270,$A134,FALSE),0)</f>
        <v>1427874</v>
      </c>
      <c r="DJ134" s="608">
        <f>IFERROR(VLOOKUP(DJ$1,'žádosti MPSV 2020'!$F$8:WC270,$A134,FALSE),0)</f>
        <v>2010826</v>
      </c>
      <c r="DK134" s="608">
        <f>IFERROR(VLOOKUP(DK$1,'žádosti MPSV 2020'!$F$8:WD270,$A134,FALSE),0)</f>
        <v>2511146</v>
      </c>
      <c r="DL134" s="608">
        <f>IFERROR(VLOOKUP(DL$1,'žádosti MPSV 2020'!$F$8:WE270,$A134,FALSE),0)</f>
        <v>9306533</v>
      </c>
      <c r="DM134" s="608">
        <f>IFERROR(VLOOKUP(DM$1,'žádosti MPSV 2020'!$F$8:WF270,$A134,FALSE),0)</f>
        <v>3495000</v>
      </c>
      <c r="DN134" s="608">
        <f>IFERROR(VLOOKUP(DN$1,'žádosti MPSV 2020'!$F$8:WG270,$A134,FALSE),0)</f>
        <v>4461667</v>
      </c>
      <c r="DO134" s="608">
        <f>IFERROR(VLOOKUP(DO$1,'žádosti MPSV 2020'!$F$8:WH270,$A134,FALSE),0)</f>
        <v>5763000</v>
      </c>
      <c r="DP134" s="608">
        <f>IFERROR(VLOOKUP(DP$1,'žádosti MPSV 2020'!$F$8:WI270,$A134,FALSE),0)</f>
        <v>4737763</v>
      </c>
      <c r="DQ134" s="608">
        <f>IFERROR(VLOOKUP(DQ$1,'žádosti MPSV 2020'!$F$8:WJ270,$A134,FALSE),0)</f>
        <v>4659795</v>
      </c>
      <c r="DR134" s="608">
        <f>IFERROR(VLOOKUP(DR$1,'žádosti MPSV 2020'!$F$8:WK270,$A134,FALSE),0)</f>
        <v>5303525</v>
      </c>
      <c r="DS134" s="608">
        <f>IFERROR(VLOOKUP(DS$1,'žádosti MPSV 2020'!$F$8:WL270,$A134,FALSE),0)</f>
        <v>2156000</v>
      </c>
      <c r="DT134" s="608">
        <f>IFERROR(VLOOKUP(DT$1,'žádosti MPSV 2020'!$F$8:WM270,$A134,FALSE),0)</f>
        <v>3575000</v>
      </c>
      <c r="DU134" s="608">
        <f>IFERROR(VLOOKUP(DU$1,'žádosti MPSV 2020'!$F$8:WN270,$A134,FALSE),0)</f>
        <v>0</v>
      </c>
      <c r="DV134" s="608">
        <f>IFERROR(VLOOKUP(DV$1,'žádosti MPSV 2020'!$F$8:WO270,$A134,FALSE),0)</f>
        <v>7040000</v>
      </c>
      <c r="DW134" s="608">
        <f>IFERROR(VLOOKUP(DW$1,'žádosti MPSV 2020'!$F$8:WP270,$A134,FALSE),0)</f>
        <v>0</v>
      </c>
      <c r="DX134" s="608">
        <f>IFERROR(VLOOKUP(DX$1,'žádosti MPSV 2020'!$F$8:WQ270,$A134,FALSE),0)</f>
        <v>0</v>
      </c>
      <c r="DY134" s="608">
        <f>IFERROR(VLOOKUP(DY$1,'žádosti MPSV 2020'!$F$8:WR270,$A134,FALSE),0)</f>
        <v>6979000</v>
      </c>
      <c r="DZ134" s="608">
        <f>IFERROR(VLOOKUP(DZ$1,'žádosti MPSV 2020'!$F$8:WS270,$A134,FALSE),0)</f>
        <v>1095000</v>
      </c>
      <c r="EA134" s="608">
        <f>IFERROR(VLOOKUP(EA$1,'žádosti MPSV 2020'!$F$8:WT270,$A134,FALSE),0)</f>
        <v>4140500</v>
      </c>
      <c r="EB134" s="608">
        <f>IFERROR(VLOOKUP(EB$1,'žádosti MPSV 2020'!$F$8:WU270,$A134,FALSE),0)</f>
        <v>6515772</v>
      </c>
      <c r="EC134" s="608">
        <f>IFERROR(VLOOKUP(EC$1,'žádosti MPSV 2020'!$F$8:WV270,$A134,FALSE),0)</f>
        <v>4509620</v>
      </c>
      <c r="ED134" s="608">
        <f>IFERROR(VLOOKUP(ED$1,'žádosti MPSV 2020'!$F$8:WW270,$A134,FALSE),0)</f>
        <v>4295350</v>
      </c>
      <c r="EE134" s="608">
        <f>IFERROR(VLOOKUP(EE$1,'žádosti MPSV 2020'!$F$8:WX270,$A134,FALSE),0)</f>
        <v>886000</v>
      </c>
      <c r="EF134" s="608">
        <f>IFERROR(VLOOKUP(EF$1,'žádosti MPSV 2020'!$F$8:WY270,$A134,FALSE),0)</f>
        <v>950000</v>
      </c>
      <c r="EG134" s="608">
        <f>IFERROR(VLOOKUP(EG$1,'žádosti MPSV 2020'!$F$8:WZ270,$A134,FALSE),0)</f>
        <v>461000</v>
      </c>
      <c r="EH134" s="608">
        <f>IFERROR(VLOOKUP(EH$1,'žádosti MPSV 2020'!$F$8:XA270,$A134,FALSE),0)</f>
        <v>882000</v>
      </c>
      <c r="EI134" s="608">
        <f>IFERROR(VLOOKUP(EI$1,'žádosti MPSV 2020'!$F$8:XB270,$A134,FALSE),0)</f>
        <v>1300000</v>
      </c>
      <c r="EJ134" s="608">
        <f>IFERROR(VLOOKUP(EJ$1,'žádosti MPSV 2020'!$F$8:XC270,$A134,FALSE),0)</f>
        <v>1443500</v>
      </c>
      <c r="EK134" s="608">
        <f>IFERROR(VLOOKUP(EK$1,'žádosti MPSV 2020'!$F$8:XD270,$A134,FALSE),0)</f>
        <v>6664600</v>
      </c>
      <c r="EL134" s="608">
        <f>IFERROR(VLOOKUP(EL$1,'žádosti MPSV 2020'!$F$8:XE270,$A134,FALSE),0)</f>
        <v>16631600</v>
      </c>
      <c r="EM134" s="608">
        <f>IFERROR(VLOOKUP(EM$1,'žádosti MPSV 2020'!$F$8:XF270,$A134,FALSE),0)</f>
        <v>5269500</v>
      </c>
      <c r="EN134" s="608">
        <f>IFERROR(VLOOKUP(EN$1,'žádosti MPSV 2020'!$F$8:XG270,$A134,FALSE),0)</f>
        <v>2615902</v>
      </c>
      <c r="EO134" s="608">
        <f>IFERROR(VLOOKUP(EO$1,'žádosti MPSV 2020'!$F$8:XH270,$A134,FALSE),0)</f>
        <v>625792</v>
      </c>
      <c r="EP134" s="608">
        <f>IFERROR(VLOOKUP(EP$1,'žádosti MPSV 2020'!$F$8:XI270,$A134,FALSE),0)</f>
        <v>3945572</v>
      </c>
      <c r="EQ134" s="608">
        <f>IFERROR(VLOOKUP(EQ$1,'žádosti MPSV 2020'!$F$8:XJ270,$A134,FALSE),0)</f>
        <v>4027023</v>
      </c>
      <c r="ER134" s="608">
        <f>IFERROR(VLOOKUP(ER$1,'žádosti MPSV 2020'!$F$8:XK270,$A134,FALSE),0)</f>
        <v>11121000</v>
      </c>
      <c r="ES134" s="608">
        <f>IFERROR(VLOOKUP(ES$1,'žádosti MPSV 2020'!$F$8:XL270,$A134,FALSE),0)</f>
        <v>0</v>
      </c>
      <c r="ET134" s="608">
        <f>IFERROR(VLOOKUP(ET$1,'žádosti MPSV 2020'!$F$8:XM270,$A134,FALSE),0)</f>
        <v>2751000</v>
      </c>
      <c r="EU134" s="608">
        <f>IFERROR(VLOOKUP(EU$1,'žádosti MPSV 2020'!$F$8:XN270,$A134,FALSE),0)</f>
        <v>4742000</v>
      </c>
      <c r="EV134" s="608">
        <f>IFERROR(VLOOKUP(EV$1,'žádosti MPSV 2020'!$F$8:XO270,$A134,FALSE),0)</f>
        <v>765000</v>
      </c>
      <c r="EW134" s="608">
        <f>IFERROR(VLOOKUP(EW$1,'žádosti MPSV 2020'!$F$8:XP270,$A134,FALSE),0)</f>
        <v>5158000</v>
      </c>
      <c r="EX134" s="608">
        <f>IFERROR(VLOOKUP(EX$1,'žádosti MPSV 2020'!$F$8:XQ270,$A134,FALSE),0)</f>
        <v>10000000</v>
      </c>
      <c r="EY134" s="608">
        <f>IFERROR(VLOOKUP(EY$1,'žádosti MPSV 2020'!$F$8:XR270,$A134,FALSE),0)</f>
        <v>3500000</v>
      </c>
      <c r="EZ134" s="608">
        <f>IFERROR(VLOOKUP(EZ$1,'žádosti MPSV 2020'!$F$8:XS270,$A134,FALSE),0)</f>
        <v>1739396</v>
      </c>
      <c r="FA134" s="608">
        <f>IFERROR(VLOOKUP(FA$1,'žádosti MPSV 2020'!$F$8:XT270,$A134,FALSE),0)</f>
        <v>2648000</v>
      </c>
      <c r="FB134" s="608">
        <f>IFERROR(VLOOKUP(FB$1,'žádosti MPSV 2020'!$F$8:XU270,$A134,FALSE),0)</f>
        <v>344712</v>
      </c>
      <c r="FC134" s="608">
        <f>IFERROR(VLOOKUP(FC$1,'žádosti MPSV 2020'!$F$8:XV270,$A134,FALSE),0)</f>
        <v>10390000</v>
      </c>
      <c r="FD134" s="608">
        <f>IFERROR(VLOOKUP(FD$1,'žádosti MPSV 2020'!$F$8:XW270,$A134,FALSE),0)</f>
        <v>2200000</v>
      </c>
      <c r="FE134" s="608">
        <f>IFERROR(VLOOKUP(FE$1,'žádosti MPSV 2020'!$F$8:XX270,$A134,FALSE),0)</f>
        <v>1223000</v>
      </c>
      <c r="FF134" s="608">
        <f>IFERROR(VLOOKUP(FF$1,'žádosti MPSV 2020'!$F$8:XY270,$A134,FALSE),0)</f>
        <v>2561200</v>
      </c>
      <c r="FG134" s="608">
        <f>IFERROR(VLOOKUP(FG$1,'žádosti MPSV 2020'!$F$8:XZ270,$A134,FALSE),0)</f>
        <v>10325200</v>
      </c>
      <c r="FH134" s="608">
        <f>IFERROR(VLOOKUP(FH$1,'žádosti MPSV 2020'!$F$8:YA270,$A134,FALSE),0)</f>
        <v>8194603</v>
      </c>
      <c r="FI134" s="608">
        <f>IFERROR(VLOOKUP(FI$1,'žádosti MPSV 2020'!$F$8:YB270,$A134,FALSE),0)</f>
        <v>10510000</v>
      </c>
      <c r="FJ134" s="608">
        <f>IFERROR(VLOOKUP(FJ$1,'žádosti MPSV 2020'!$F$8:YC270,$A134,FALSE),0)</f>
        <v>3226240</v>
      </c>
      <c r="FK134" s="608">
        <f>IFERROR(VLOOKUP(FK$1,'žádosti MPSV 2020'!$F$8:YD270,$A134,FALSE),0)</f>
        <v>1039100</v>
      </c>
      <c r="FL134" s="608">
        <f>IFERROR(VLOOKUP(FL$1,'žádosti MPSV 2020'!$F$8:YE270,$A134,FALSE),0)</f>
        <v>1270900</v>
      </c>
      <c r="FM134" s="608">
        <f>IFERROR(VLOOKUP(FM$1,'žádosti MPSV 2020'!$F$8:YF270,$A134,FALSE),0)</f>
        <v>6104000</v>
      </c>
      <c r="FN134" s="608">
        <f>IFERROR(VLOOKUP(FN$1,'žádosti MPSV 2020'!$F$8:YG270,$A134,FALSE),0)</f>
        <v>8285419</v>
      </c>
      <c r="FO134" s="608">
        <f>IFERROR(VLOOKUP(FO$1,'žádosti MPSV 2020'!$F$8:YH270,$A134,FALSE),0)</f>
        <v>2866678</v>
      </c>
      <c r="FP134" s="608">
        <f>IFERROR(VLOOKUP(FP$1,'žádosti MPSV 2020'!$F$8:YI270,$A134,FALSE),0)</f>
        <v>17008000</v>
      </c>
      <c r="FQ134" s="608">
        <f>IFERROR(VLOOKUP(FQ$1,'žádosti MPSV 2020'!$F$8:YJ270,$A134,FALSE),0)</f>
        <v>2192886</v>
      </c>
      <c r="FR134" s="608">
        <f>IFERROR(VLOOKUP(FR$1,'žádosti MPSV 2020'!$F$8:YK270,$A134,FALSE),0)</f>
        <v>4086708</v>
      </c>
      <c r="FS134" s="608">
        <f>IFERROR(VLOOKUP(FS$1,'žádosti MPSV 2020'!$F$8:YL270,$A134,FALSE),0)</f>
        <v>651500</v>
      </c>
      <c r="FT134" s="608">
        <f>IFERROR(VLOOKUP(FT$1,'žádosti MPSV 2020'!$F$8:YM270,$A134,FALSE),0)</f>
        <v>6287000</v>
      </c>
      <c r="FU134" s="608">
        <f>IFERROR(VLOOKUP(FU$1,'žádosti MPSV 2020'!$F$8:YN270,$A134,FALSE),0)</f>
        <v>718000</v>
      </c>
      <c r="FV134" s="608">
        <f>IFERROR(VLOOKUP(FV$1,'žádosti MPSV 2020'!$F$8:YO270,$A134,FALSE),0)</f>
        <v>2148499</v>
      </c>
      <c r="FW134" s="608">
        <f>IFERROR(VLOOKUP(FW$1,'žádosti MPSV 2020'!$F$8:YP270,$A134,FALSE),0)</f>
        <v>2104500</v>
      </c>
      <c r="FX134" s="608">
        <f>IFERROR(VLOOKUP(FX$1,'žádosti MPSV 2020'!$F$8:YQ270,$A134,FALSE),0)</f>
        <v>988000</v>
      </c>
      <c r="FY134" s="608">
        <f>IFERROR(VLOOKUP(FY$1,'žádosti MPSV 2020'!$F$8:YR270,$A134,FALSE),0)</f>
        <v>484000</v>
      </c>
      <c r="FZ134" s="608">
        <f>IFERROR(VLOOKUP(FZ$1,'žádosti MPSV 2020'!$F$8:YS270,$A134,FALSE),0)</f>
        <v>9363000</v>
      </c>
      <c r="GA134" s="608">
        <f>IFERROR(VLOOKUP(GA$1,'žádosti MPSV 2020'!$F$8:YT270,$A134,FALSE),0)</f>
        <v>1498000</v>
      </c>
      <c r="GB134" s="608">
        <f>IFERROR(VLOOKUP(GB$1,'žádosti MPSV 2020'!$F$8:YU270,$A134,FALSE),0)</f>
        <v>10594000</v>
      </c>
      <c r="GC134" s="608">
        <f>IFERROR(VLOOKUP(GC$1,'žádosti MPSV 2020'!$F$8:YV270,$A134,FALSE),0)</f>
        <v>4178000</v>
      </c>
      <c r="GD134" s="608">
        <f>IFERROR(VLOOKUP(GD$1,'žádosti MPSV 2020'!$F$8:YW270,$A134,FALSE),0)</f>
        <v>15446000</v>
      </c>
      <c r="GE134" s="608">
        <f>IFERROR(VLOOKUP(GE$1,'žádosti MPSV 2020'!$F$8:YX270,$A134,FALSE),0)</f>
        <v>2300000</v>
      </c>
      <c r="GF134" s="608">
        <f>IFERROR(VLOOKUP(GF$1,'žádosti MPSV 2020'!$F$8:YY270,$A134,FALSE),0)</f>
        <v>5644645</v>
      </c>
      <c r="GG134" s="608">
        <f>IFERROR(VLOOKUP(GG$1,'žádosti MPSV 2020'!$F$8:YZ270,$A134,FALSE),0)</f>
        <v>2609037</v>
      </c>
      <c r="GH134" s="608">
        <f>IFERROR(VLOOKUP(GH$1,'žádosti MPSV 2020'!$F$8:ZA270,$A134,FALSE),0)</f>
        <v>1826586</v>
      </c>
      <c r="GI134" s="608">
        <f>IFERROR(VLOOKUP(GI$1,'žádosti MPSV 2020'!$F$8:ZB270,$A134,FALSE),0)</f>
        <v>15695048</v>
      </c>
      <c r="GJ134" s="608">
        <f>IFERROR(VLOOKUP(GJ$1,'žádosti MPSV 2020'!$F$8:ZC270,$A134,FALSE),0)</f>
        <v>3236180</v>
      </c>
      <c r="GK134" s="608">
        <f>IFERROR(VLOOKUP(GK$1,'žádosti MPSV 2020'!$F$8:ZD270,$A134,FALSE),0)</f>
        <v>2287953</v>
      </c>
      <c r="GL134" s="608">
        <f>IFERROR(VLOOKUP(GL$1,'žádosti MPSV 2020'!$F$8:ZE270,$A134,FALSE),0)</f>
        <v>1248846</v>
      </c>
      <c r="GM134" s="608">
        <f>IFERROR(VLOOKUP(GM$1,'žádosti MPSV 2020'!$F$8:ZF270,$A134,FALSE),0)</f>
        <v>1452634</v>
      </c>
      <c r="GN134" s="608">
        <f>IFERROR(VLOOKUP(GN$1,'žádosti MPSV 2020'!$F$8:ZG270,$A134,FALSE),0)</f>
        <v>1157000</v>
      </c>
      <c r="GO134" s="608">
        <f>IFERROR(VLOOKUP(GO$1,'žádosti MPSV 2020'!$F$8:ZH270,$A134,FALSE),0)</f>
        <v>6719641</v>
      </c>
      <c r="GP134" s="608">
        <f>IFERROR(VLOOKUP(GP$1,'žádosti MPSV 2020'!$F$8:ZI270,$A134,FALSE),0)</f>
        <v>2176500</v>
      </c>
      <c r="GQ134" s="608">
        <f>IFERROR(VLOOKUP(GQ$1,'žádosti MPSV 2020'!$F$8:ZJ270,$A134,FALSE),0)</f>
        <v>1766200</v>
      </c>
      <c r="GR134" s="608">
        <f>IFERROR(VLOOKUP(GR$1,'žádosti MPSV 2020'!$F$8:ZK270,$A134,FALSE),0)</f>
        <v>1709200</v>
      </c>
      <c r="GS134" s="608">
        <f>IFERROR(VLOOKUP(GS$1,'žádosti MPSV 2020'!$F$8:ZL270,$A134,FALSE),0)</f>
        <v>1138300</v>
      </c>
      <c r="GT134" s="608">
        <f>IFERROR(VLOOKUP(GT$1,'žádosti MPSV 2020'!$F$8:ZM270,$A134,FALSE),0)</f>
        <v>16127000</v>
      </c>
      <c r="GU134" s="608">
        <f>IFERROR(VLOOKUP(GU$1,'žádosti MPSV 2020'!$F$8:ZN270,$A134,FALSE),0)</f>
        <v>1604440</v>
      </c>
      <c r="GV134" s="608">
        <f>IFERROR(VLOOKUP(GV$1,'žádosti MPSV 2020'!$F$8:ZO270,$A134,FALSE),0)</f>
        <v>13200000</v>
      </c>
      <c r="GW134" s="608">
        <f>IFERROR(VLOOKUP(GW$1,'žádosti MPSV 2020'!$F$8:ZP270,$A134,FALSE),0)</f>
        <v>2973500</v>
      </c>
      <c r="GX134" s="608">
        <f>IFERROR(VLOOKUP(GX$1,'žádosti MPSV 2020'!$F$8:ZQ270,$A134,FALSE),0)</f>
        <v>936500</v>
      </c>
      <c r="GY134" s="608">
        <f>IFERROR(VLOOKUP(GY$1,'žádosti MPSV 2020'!$F$8:ZR270,$A134,FALSE),0)</f>
        <v>28093975</v>
      </c>
      <c r="GZ134" s="608">
        <f>IFERROR(VLOOKUP(GZ$1,'žádosti MPSV 2020'!$F$8:ZS270,$A134,FALSE),0)</f>
        <v>5760821</v>
      </c>
      <c r="HA134" s="608">
        <f>IFERROR(VLOOKUP(HA$1,'žádosti MPSV 2020'!$F$8:ZT270,$A134,FALSE),0)</f>
        <v>13728500</v>
      </c>
      <c r="HB134" s="608">
        <f>IFERROR(VLOOKUP(HB$1,'žádosti MPSV 2020'!$F$8:ZU270,$A134,FALSE),0)</f>
        <v>12000000</v>
      </c>
      <c r="HC134" s="608">
        <f>IFERROR(VLOOKUP(HC$1,'žádosti MPSV 2020'!$F$8:ZV270,$A134,FALSE),0)</f>
        <v>13279000</v>
      </c>
      <c r="HD134" s="608">
        <f>IFERROR(VLOOKUP(HD$1,'žádosti MPSV 2020'!$F$8:ZW270,$A134,FALSE),0)</f>
        <v>4386580</v>
      </c>
      <c r="HE134" s="608">
        <f>IFERROR(VLOOKUP(HE$1,'žádosti MPSV 2020'!$F$8:ZX270,$A134,FALSE),0)</f>
        <v>9761700</v>
      </c>
      <c r="HF134" s="608">
        <f>IFERROR(VLOOKUP(HF$1,'žádosti MPSV 2020'!$F$8:ZY270,$A134,FALSE),0)</f>
        <v>2452907</v>
      </c>
      <c r="HG134" s="608">
        <f>IFERROR(VLOOKUP(HG$1,'žádosti MPSV 2020'!$F$8:ZZ270,$A134,FALSE),0)</f>
        <v>969165</v>
      </c>
      <c r="HH134" s="608">
        <f>IFERROR(VLOOKUP(HH$1,'žádosti MPSV 2020'!$F$8:AAA270,$A134,FALSE),0)</f>
        <v>4527000</v>
      </c>
      <c r="HI134" s="608">
        <f>IFERROR(VLOOKUP(HI$1,'žádosti MPSV 2020'!$F$8:AAB270,$A134,FALSE),0)</f>
        <v>5947160</v>
      </c>
      <c r="HJ134" s="608">
        <f>IFERROR(VLOOKUP(HJ$1,'žádosti MPSV 2020'!$F$8:AAC270,$A134,FALSE),0)</f>
        <v>0</v>
      </c>
      <c r="HK134" s="608">
        <f>IFERROR(VLOOKUP(HK$1,'žádosti MPSV 2020'!$F$8:AAD270,$A134,FALSE),0)</f>
        <v>1201800</v>
      </c>
      <c r="HL134" s="608">
        <f>IFERROR(VLOOKUP(HL$1,'žádosti MPSV 2020'!$F$8:AAE270,$A134,FALSE),0)</f>
        <v>59415396</v>
      </c>
      <c r="HM134" s="608">
        <f>IFERROR(VLOOKUP(HM$1,'žádosti MPSV 2020'!$F$8:AAF270,$A134,FALSE),0)</f>
        <v>36574149</v>
      </c>
      <c r="HN134" s="608">
        <f>IFERROR(VLOOKUP(HN$1,'žádosti MPSV 2020'!$F$8:AAG270,$A134,FALSE),0)</f>
        <v>1203000</v>
      </c>
      <c r="HO134" s="608">
        <f>IFERROR(VLOOKUP(HO$1,'žádosti MPSV 2020'!$F$8:AAH270,$A134,FALSE),0)</f>
        <v>0</v>
      </c>
      <c r="HP134" s="608">
        <f>IFERROR(VLOOKUP(HP$1,'žádosti MPSV 2020'!$F$8:AAI270,$A134,FALSE),0)</f>
        <v>33033000</v>
      </c>
      <c r="HQ134" s="608">
        <f>IFERROR(VLOOKUP(HQ$1,'žádosti MPSV 2020'!$F$8:AAJ270,$A134,FALSE),0)</f>
        <v>1228065</v>
      </c>
      <c r="HR134" s="608">
        <f>IFERROR(VLOOKUP(HR$1,'žádosti MPSV 2020'!$F$8:AAK270,$A134,FALSE),0)</f>
        <v>38962122</v>
      </c>
      <c r="HS134" s="608">
        <f>IFERROR(VLOOKUP(HS$1,'žádosti MPSV 2020'!$F$8:AAL270,$A134,FALSE),0)</f>
        <v>8931369</v>
      </c>
      <c r="HT134" s="608">
        <f>IFERROR(VLOOKUP(HT$1,'žádosti MPSV 2020'!$F$8:AAM270,$A134,FALSE),0)</f>
        <v>27455000</v>
      </c>
      <c r="HU134" s="608">
        <f>IFERROR(VLOOKUP(HU$1,'žádosti MPSV 2020'!$F$8:AAN270,$A134,FALSE),0)</f>
        <v>31930750</v>
      </c>
      <c r="HV134" s="608">
        <f>IFERROR(VLOOKUP(HV$1,'žádosti MPSV 2020'!$F$8:AAO270,$A134,FALSE),0)</f>
        <v>21508000</v>
      </c>
      <c r="HW134" s="608">
        <f>IFERROR(VLOOKUP(HW$1,'žádosti MPSV 2020'!$F$8:AAP270,$A134,FALSE),0)</f>
        <v>5561920</v>
      </c>
      <c r="HX134" s="608">
        <f>IFERROR(VLOOKUP(HX$1,'žádosti MPSV 2020'!$F$8:AAQ270,$A134,FALSE),0)</f>
        <v>29200080</v>
      </c>
      <c r="HY134" s="608">
        <f>IFERROR(VLOOKUP(HY$1,'žádosti MPSV 2020'!$F$8:AAR270,$A134,FALSE),0)</f>
        <v>25433000</v>
      </c>
      <c r="HZ134" s="608">
        <f>IFERROR(VLOOKUP(HZ$1,'žádosti MPSV 2020'!$F$8:AAS270,$A134,FALSE),0)</f>
        <v>13641000</v>
      </c>
      <c r="IA134" s="608">
        <f>IFERROR(VLOOKUP(IA$1,'žádosti MPSV 2020'!$F$8:AAT270,$A134,FALSE),0)</f>
        <v>9979880</v>
      </c>
      <c r="IB134" s="608">
        <f>IFERROR(VLOOKUP(IB$1,'žádosti MPSV 2020'!$F$8:AAU270,$A134,FALSE),0)</f>
        <v>12350000</v>
      </c>
      <c r="IC134" s="608">
        <f>IFERROR(VLOOKUP(IC$1,'žádosti MPSV 2020'!$F$8:AAV270,$A134,FALSE),0)</f>
        <v>14489500</v>
      </c>
      <c r="ID134" s="608">
        <f>IFERROR(VLOOKUP(ID$1,'žádosti MPSV 2020'!$F$8:AAW270,$A134,FALSE),0)</f>
        <v>11816000</v>
      </c>
      <c r="IE134" s="608">
        <f>IFERROR(VLOOKUP(IE$1,'žádosti MPSV 2020'!$F$8:AAX270,$A134,FALSE),0)</f>
        <v>20713000</v>
      </c>
      <c r="IF134" s="608">
        <f>IFERROR(VLOOKUP(IF$1,'žádosti MPSV 2020'!$F$8:AAY270,$A134,FALSE),0)</f>
        <v>30233400</v>
      </c>
      <c r="IG134" s="608">
        <f>IFERROR(VLOOKUP(IG$1,'žádosti MPSV 2020'!$F$8:AAZ270,$A134,FALSE),0)</f>
        <v>8831600</v>
      </c>
      <c r="IH134" s="608">
        <f>IFERROR(VLOOKUP(IH$1,'žádosti MPSV 2020'!$F$8:ABA270,$A134,FALSE),0)</f>
        <v>4103463</v>
      </c>
      <c r="II134" s="608">
        <f>IFERROR(VLOOKUP(II$1,'žádosti MPSV 2020'!$F$8:ABB270,$A134,FALSE),0)</f>
        <v>30692503</v>
      </c>
      <c r="IJ134" s="608">
        <f>IFERROR(VLOOKUP(IJ$1,'žádosti MPSV 2020'!$F$8:ABC270,$A134,FALSE),0)</f>
        <v>2237450</v>
      </c>
      <c r="IK134" s="608">
        <f>IFERROR(VLOOKUP(IK$1,'žádosti MPSV 2020'!$F$8:ABD270,$A134,FALSE),0)</f>
        <v>3320915</v>
      </c>
      <c r="IL134" s="608">
        <f>IFERROR(VLOOKUP(IL$1,'žádosti MPSV 2020'!$F$8:ABE270,$A134,FALSE),0)</f>
        <v>13228000</v>
      </c>
      <c r="IM134" s="608">
        <f>IFERROR(VLOOKUP(IM$1,'žádosti MPSV 2020'!$F$8:ABF270,$A134,FALSE),0)</f>
        <v>930297</v>
      </c>
      <c r="IN134" s="608">
        <f>IFERROR(VLOOKUP(IN$1,'žádosti MPSV 2020'!$F$8:ABG270,$A134,FALSE),0)</f>
        <v>13186715</v>
      </c>
      <c r="IO134" s="608">
        <f>IFERROR(VLOOKUP(IO$1,'žádosti MPSV 2020'!$F$8:ABH270,$A134,FALSE),0)</f>
        <v>4470522</v>
      </c>
      <c r="IP134" s="608">
        <f>IFERROR(VLOOKUP(IP$1,'žádosti MPSV 2020'!$F$8:ABI270,$A134,FALSE),0)</f>
        <v>25853000</v>
      </c>
      <c r="IQ134" s="608">
        <f>IFERROR(VLOOKUP(IQ$1,'žádosti MPSV 2020'!$F$8:ABJ270,$A134,FALSE),0)</f>
        <v>26873300</v>
      </c>
      <c r="IR134" s="608">
        <f>IFERROR(VLOOKUP(IR$1,'žádosti MPSV 2020'!$F$8:ABK270,$A134,FALSE),0)</f>
        <v>1080000</v>
      </c>
      <c r="IS134" s="608">
        <f>IFERROR(VLOOKUP(IS$1,'žádosti MPSV 2020'!$F$8:ABL270,$A134,FALSE),0)</f>
        <v>55608500</v>
      </c>
      <c r="IT134" s="608">
        <f>IFERROR(VLOOKUP(IT$1,'žádosti MPSV 2020'!$F$8:ABM270,$A134,FALSE),0)</f>
        <v>14347100</v>
      </c>
      <c r="IU134" s="608">
        <f>IFERROR(VLOOKUP(IU$1,'žádosti MPSV 2020'!$F$8:ABN270,$A134,FALSE),0)</f>
        <v>5888630</v>
      </c>
      <c r="IV134" s="608">
        <f>IFERROR(VLOOKUP(IV$1,'žádosti MPSV 2020'!$F$8:ABO270,$A134,FALSE),0)</f>
        <v>9863564</v>
      </c>
      <c r="IW134" s="608">
        <f>IFERROR(VLOOKUP(IW$1,'žádosti MPSV 2020'!$F$8:ABP270,$A134,FALSE),0)</f>
        <v>17701282</v>
      </c>
      <c r="IX134" s="608">
        <f>IFERROR(VLOOKUP(IX$1,'žádosti MPSV 2020'!$F$8:ABQ270,$A134,FALSE),0)</f>
        <v>2543998</v>
      </c>
      <c r="IY134" s="608">
        <f>IFERROR(VLOOKUP(IY$1,'žádosti MPSV 2020'!$F$8:ABR270,$A134,FALSE),0)</f>
        <v>12649000</v>
      </c>
      <c r="IZ134" s="608">
        <f>IFERROR(VLOOKUP(IZ$1,'žádosti MPSV 2020'!$F$8:ABS270,$A134,FALSE),0)</f>
        <v>28742500</v>
      </c>
      <c r="JA134" s="608">
        <f>IFERROR(VLOOKUP(JA$1,'žádosti MPSV 2020'!$F$8:ABT270,$A134,FALSE),0)</f>
        <v>3786200</v>
      </c>
      <c r="JB134" s="608">
        <f>IFERROR(VLOOKUP(JB$1,'žádosti MPSV 2020'!$F$8:ABU270,$A134,FALSE),0)</f>
        <v>3913915</v>
      </c>
      <c r="JC134" s="608">
        <f>IFERROR(VLOOKUP(JC$1,'žádosti MPSV 2020'!$F$8:ABV270,$A134,FALSE),0)</f>
        <v>3203956</v>
      </c>
      <c r="JD134" s="608">
        <f>IFERROR(VLOOKUP(JD$1,'žádosti MPSV 2020'!$F$8:ABW270,$A134,FALSE),0)</f>
        <v>8112140</v>
      </c>
      <c r="JE134" s="608">
        <f>IFERROR(VLOOKUP(JE$1,'žádosti MPSV 2020'!$F$8:ABX270,$A134,FALSE),0)</f>
        <v>850000</v>
      </c>
      <c r="JF134" s="608">
        <f>IFERROR(VLOOKUP(JF$1,'žádosti MPSV 2020'!$F$8:ABY270,$A134,FALSE),0)</f>
        <v>40477800</v>
      </c>
      <c r="JG134" s="608">
        <f>IFERROR(VLOOKUP(JG$1,'žádosti MPSV 2020'!$F$8:ABZ270,$A134,FALSE),0)</f>
        <v>35406041</v>
      </c>
      <c r="JH134" s="608">
        <f>IFERROR(VLOOKUP(JH$1,'žádosti MPSV 2020'!$F$8:ACA270,$A134,FALSE),0)</f>
        <v>3377272</v>
      </c>
      <c r="JI134" s="314">
        <f t="shared" ref="JI134:JI137" si="628">SUM(C134:JH134)</f>
        <v>1761152914</v>
      </c>
    </row>
    <row r="135" spans="1:276" s="307" customFormat="1" x14ac:dyDescent="0.25">
      <c r="A135" s="314">
        <v>440</v>
      </c>
      <c r="B135" s="314" t="s">
        <v>59</v>
      </c>
      <c r="C135" s="314">
        <f>IFERROR(VLOOKUP(C$1,'žádosti MPSV 2020'!$F$8:RT271,$A135,FALSE),0)</f>
        <v>0</v>
      </c>
      <c r="D135" s="314">
        <f>IFERROR(VLOOKUP(D$1,'žádosti MPSV 2020'!$F$8:RU271,$A135,FALSE),0)</f>
        <v>0</v>
      </c>
      <c r="E135" s="314">
        <f>IFERROR(VLOOKUP(E$1,'žádosti MPSV 2020'!$F$8:RV271,$A135,FALSE),0)</f>
        <v>0</v>
      </c>
      <c r="F135" s="314">
        <f>IFERROR(VLOOKUP(F$1,'žádosti MPSV 2020'!$F$8:RW271,$A135,FALSE),0)</f>
        <v>0</v>
      </c>
      <c r="G135" s="314">
        <f>IFERROR(VLOOKUP(G$1,'žádosti MPSV 2020'!$F$8:RX271,$A135,FALSE),0)</f>
        <v>0</v>
      </c>
      <c r="H135" s="314">
        <f>IFERROR(VLOOKUP(H$1,'žádosti MPSV 2020'!$F$8:RY271,$A135,FALSE),0)</f>
        <v>0</v>
      </c>
      <c r="I135" s="314">
        <f>IFERROR(VLOOKUP(I$1,'žádosti MPSV 2020'!$F$8:RZ271,$A135,FALSE),0)</f>
        <v>0</v>
      </c>
      <c r="J135" s="314">
        <f>IFERROR(VLOOKUP(J$1,'žádosti MPSV 2020'!$F$8:SA271,$A135,FALSE),0)</f>
        <v>0</v>
      </c>
      <c r="K135" s="314">
        <f>IFERROR(VLOOKUP(K$1,'žádosti MPSV 2020'!$F$8:SB271,$A135,FALSE),0)</f>
        <v>0</v>
      </c>
      <c r="L135" s="314">
        <f>IFERROR(VLOOKUP(L$1,'žádosti MPSV 2020'!$F$8:SC271,$A135,FALSE),0)</f>
        <v>0</v>
      </c>
      <c r="M135" s="314">
        <f>IFERROR(VLOOKUP(M$1,'žádosti MPSV 2020'!$F$8:SD271,$A135,FALSE),0)</f>
        <v>0</v>
      </c>
      <c r="N135" s="314">
        <f>IFERROR(VLOOKUP(N$1,'žádosti MPSV 2020'!$F$8:SE271,$A135,FALSE),0)</f>
        <v>0</v>
      </c>
      <c r="O135" s="314">
        <f>IFERROR(VLOOKUP(O$1,'žádosti MPSV 2020'!$F$8:SF271,$A135,FALSE),0)</f>
        <v>0</v>
      </c>
      <c r="P135" s="314">
        <f>IFERROR(VLOOKUP(P$1,'žádosti MPSV 2020'!$F$8:SG271,$A135,FALSE),0)</f>
        <v>0</v>
      </c>
      <c r="Q135" s="314">
        <f>IFERROR(VLOOKUP(Q$1,'žádosti MPSV 2020'!$F$8:SH271,$A135,FALSE),0)</f>
        <v>0</v>
      </c>
      <c r="R135" s="314">
        <f>IFERROR(VLOOKUP(R$1,'žádosti MPSV 2020'!$F$8:SI271,$A135,FALSE),0)</f>
        <v>0</v>
      </c>
      <c r="S135" s="314">
        <f>IFERROR(VLOOKUP(S$1,'žádosti MPSV 2020'!$F$8:SJ271,$A135,FALSE),0)</f>
        <v>0</v>
      </c>
      <c r="T135" s="314">
        <f>IFERROR(VLOOKUP(T$1,'žádosti MPSV 2020'!$F$8:SK271,$A135,FALSE),0)</f>
        <v>0</v>
      </c>
      <c r="U135" s="314">
        <f>IFERROR(VLOOKUP(U$1,'žádosti MPSV 2020'!$F$8:SL271,$A135,FALSE),0)</f>
        <v>0</v>
      </c>
      <c r="V135" s="314">
        <f>IFERROR(VLOOKUP(V$1,'žádosti MPSV 2020'!$F$8:SM271,$A135,FALSE),0)</f>
        <v>0</v>
      </c>
      <c r="W135" s="314">
        <f>IFERROR(VLOOKUP(W$1,'žádosti MPSV 2020'!$F$8:SN271,$A135,FALSE),0)</f>
        <v>0</v>
      </c>
      <c r="X135" s="314">
        <f>IFERROR(VLOOKUP(X$1,'žádosti MPSV 2020'!$F$8:SO271,$A135,FALSE),0)</f>
        <v>0</v>
      </c>
      <c r="Y135" s="314">
        <f>IFERROR(VLOOKUP(Y$1,'žádosti MPSV 2020'!$F$8:SP271,$A135,FALSE),0)</f>
        <v>0</v>
      </c>
      <c r="Z135" s="314">
        <f>IFERROR(VLOOKUP(Z$1,'žádosti MPSV 2020'!$F$8:SQ271,$A135,FALSE),0)</f>
        <v>0</v>
      </c>
      <c r="AA135" s="314">
        <f>IFERROR(VLOOKUP(AA$1,'žádosti MPSV 2020'!$F$8:SR271,$A135,FALSE),0)</f>
        <v>0</v>
      </c>
      <c r="AB135" s="314">
        <f>IFERROR(VLOOKUP(AB$1,'žádosti MPSV 2020'!$F$8:SS271,$A135,FALSE),0)</f>
        <v>0</v>
      </c>
      <c r="AC135" s="314">
        <f>IFERROR(VLOOKUP(AC$1,'žádosti MPSV 2020'!$F$8:ST271,$A135,FALSE),0)</f>
        <v>0</v>
      </c>
      <c r="AD135" s="314">
        <f>IFERROR(VLOOKUP(AD$1,'žádosti MPSV 2020'!$F$8:ST271,$A135,FALSE),0)</f>
        <v>0</v>
      </c>
      <c r="AE135" s="314">
        <f>IFERROR(VLOOKUP(AE$1,'žádosti MPSV 2020'!$F$8:SU271,$A135,FALSE),0)</f>
        <v>0</v>
      </c>
      <c r="AF135" s="314">
        <f>IFERROR(VLOOKUP(AF$1,'žádosti MPSV 2020'!$F$8:SV271,$A135,FALSE),0)</f>
        <v>0</v>
      </c>
      <c r="AG135" s="314">
        <f>IFERROR(VLOOKUP(AG$1,'žádosti MPSV 2020'!$F$8:SW271,$A135,FALSE),0)</f>
        <v>0</v>
      </c>
      <c r="AH135" s="314">
        <f>IFERROR(VLOOKUP(AH$1,'žádosti MPSV 2020'!$F$8:SX271,$A135,FALSE),0)</f>
        <v>0</v>
      </c>
      <c r="AI135" s="314">
        <f>IFERROR(VLOOKUP(AI$1,'žádosti MPSV 2020'!$F$8:SY271,$A135,FALSE),0)</f>
        <v>0</v>
      </c>
      <c r="AJ135" s="314">
        <f>IFERROR(VLOOKUP(AJ$1,'žádosti MPSV 2020'!$F$8:SZ271,$A135,FALSE),0)</f>
        <v>0</v>
      </c>
      <c r="AK135" s="314">
        <f>IFERROR(VLOOKUP(AK$1,'žádosti MPSV 2020'!$F$8:TA271,$A135,FALSE),0)</f>
        <v>0</v>
      </c>
      <c r="AL135" s="314">
        <f>IFERROR(VLOOKUP(AL$1,'žádosti MPSV 2020'!$F$8:TB271,$A135,FALSE),0)</f>
        <v>0</v>
      </c>
      <c r="AM135" s="314">
        <f>IFERROR(VLOOKUP(AM$1,'žádosti MPSV 2020'!$F$8:TC271,$A135,FALSE),0)</f>
        <v>0</v>
      </c>
      <c r="AN135" s="314">
        <f>IFERROR(VLOOKUP(AN$1,'žádosti MPSV 2020'!$F$8:TD271,$A135,FALSE),0)</f>
        <v>0</v>
      </c>
      <c r="AO135" s="314">
        <f>IFERROR(VLOOKUP(AO$1,'žádosti MPSV 2020'!$F$8:TE271,$A135,FALSE),0)</f>
        <v>0</v>
      </c>
      <c r="AP135" s="314">
        <f>IFERROR(VLOOKUP(AP$1,'žádosti MPSV 2020'!$F$8:TF271,$A135,FALSE),0)</f>
        <v>0</v>
      </c>
      <c r="AQ135" s="314">
        <f>IFERROR(VLOOKUP(AQ$1,'žádosti MPSV 2020'!$F$8:TG271,$A135,FALSE),0)</f>
        <v>0</v>
      </c>
      <c r="AR135" s="314">
        <f>IFERROR(VLOOKUP(AR$1,'žádosti MPSV 2020'!$F$8:TH271,$A135,FALSE),0)</f>
        <v>0</v>
      </c>
      <c r="AS135" s="314">
        <f>IFERROR(VLOOKUP(AS$1,'žádosti MPSV 2020'!$F$8:TI271,$A135,FALSE),0)</f>
        <v>0</v>
      </c>
      <c r="AT135" s="314">
        <f>IFERROR(VLOOKUP(AT$1,'žádosti MPSV 2020'!$F$8:TJ271,$A135,FALSE),0)</f>
        <v>0</v>
      </c>
      <c r="AU135" s="314">
        <f>IFERROR(VLOOKUP(AU$1,'žádosti MPSV 2020'!$F$8:TK271,$A135,FALSE),0)</f>
        <v>0</v>
      </c>
      <c r="AV135" s="314">
        <f>IFERROR(VLOOKUP(AV$1,'žádosti MPSV 2020'!$F$8:TL271,$A135,FALSE),0)</f>
        <v>0</v>
      </c>
      <c r="AW135" s="314">
        <f>IFERROR(VLOOKUP(AW$1,'žádosti MPSV 2020'!$F$8:TM271,$A135,FALSE),0)</f>
        <v>0</v>
      </c>
      <c r="AX135" s="314">
        <f>IFERROR(VLOOKUP(AX$1,'žádosti MPSV 2020'!$F$8:TN271,$A135,FALSE),0)</f>
        <v>0</v>
      </c>
      <c r="AY135" s="314">
        <f>IFERROR(VLOOKUP(AY$1,'žádosti MPSV 2020'!$F$8:TO271,$A135,FALSE),0)</f>
        <v>0</v>
      </c>
      <c r="AZ135" s="314">
        <f>IFERROR(VLOOKUP(AZ$1,'žádosti MPSV 2020'!$F$8:TP271,$A135,FALSE),0)</f>
        <v>0</v>
      </c>
      <c r="BA135" s="314">
        <f>IFERROR(VLOOKUP(BA$1,'žádosti MPSV 2020'!$F$8:TQ271,$A135,FALSE),0)</f>
        <v>0</v>
      </c>
      <c r="BB135" s="314">
        <f>IFERROR(VLOOKUP(BB$1,'žádosti MPSV 2020'!$F$8:TR271,$A135,FALSE),0)</f>
        <v>0</v>
      </c>
      <c r="BC135" s="314">
        <f>IFERROR(VLOOKUP(BC$1,'žádosti MPSV 2020'!$F$8:TS271,$A135,FALSE),0)</f>
        <v>0</v>
      </c>
      <c r="BD135" s="314">
        <f>IFERROR(VLOOKUP(BD$1,'žádosti MPSV 2020'!$F$8:TT271,$A135,FALSE),0)</f>
        <v>0</v>
      </c>
      <c r="BE135" s="314">
        <f>IFERROR(VLOOKUP(BE$1,'žádosti MPSV 2020'!$F$8:TU271,$A135,FALSE),0)</f>
        <v>0</v>
      </c>
      <c r="BF135" s="314">
        <f>IFERROR(VLOOKUP(BF$1,'žádosti MPSV 2020'!$F$8:TV271,$A135,FALSE),0)</f>
        <v>0</v>
      </c>
      <c r="BG135" s="314">
        <f>IFERROR(VLOOKUP(BG$1,'žádosti MPSV 2020'!$F$8:TW271,$A135,FALSE),0)</f>
        <v>0</v>
      </c>
      <c r="BH135" s="314">
        <f>IFERROR(VLOOKUP(BH$1,'žádosti MPSV 2020'!$F$8:TX271,$A135,FALSE),0)</f>
        <v>0</v>
      </c>
      <c r="BI135" s="314">
        <f>IFERROR(VLOOKUP(BI$1,'žádosti MPSV 2020'!$F$8:TY271,$A135,FALSE),0)</f>
        <v>1100000</v>
      </c>
      <c r="BJ135" s="314">
        <f>IFERROR(VLOOKUP(BJ$1,'žádosti MPSV 2020'!$F$8:TZ271,$A135,FALSE),0)</f>
        <v>0</v>
      </c>
      <c r="BK135" s="314">
        <f>IFERROR(VLOOKUP(BK$1,'žádosti MPSV 2020'!$F$8:UA271,$A135,FALSE),0)</f>
        <v>0</v>
      </c>
      <c r="BL135" s="314">
        <f>IFERROR(VLOOKUP(BL$1,'žádosti MPSV 2020'!$F$8:UB271,$A135,FALSE),0)</f>
        <v>0</v>
      </c>
      <c r="BM135" s="314">
        <f>IFERROR(VLOOKUP(BM$1,'žádosti MPSV 2020'!$F$8:UC271,$A135,FALSE),0)</f>
        <v>0</v>
      </c>
      <c r="BN135" s="314">
        <f>IFERROR(VLOOKUP(BN$1,'žádosti MPSV 2020'!$F$8:UD271,$A135,FALSE),0)</f>
        <v>0</v>
      </c>
      <c r="BO135" s="314">
        <f>IFERROR(VLOOKUP(BO$1,'žádosti MPSV 2020'!$F$8:UE271,$A135,FALSE),0)</f>
        <v>0</v>
      </c>
      <c r="BP135" s="314">
        <f>IFERROR(VLOOKUP(BP$1,'žádosti MPSV 2020'!$F$8:UF271,$A135,FALSE),0)</f>
        <v>0</v>
      </c>
      <c r="BQ135" s="314">
        <f>IFERROR(VLOOKUP(BQ$1,'žádosti MPSV 2020'!$F$8:UG271,$A135,FALSE),0)</f>
        <v>0</v>
      </c>
      <c r="BR135" s="314">
        <f>IFERROR(VLOOKUP(BR$1,'žádosti MPSV 2020'!$F$8:UH271,$A135,FALSE),0)</f>
        <v>0</v>
      </c>
      <c r="BS135" s="314">
        <f>IFERROR(VLOOKUP(BS$1,'žádosti MPSV 2020'!$F$8:UI271,$A135,FALSE),0)</f>
        <v>0</v>
      </c>
      <c r="BT135" s="314">
        <f>IFERROR(VLOOKUP(BT$1,'žádosti MPSV 2020'!$F$8:UJ271,$A135,FALSE),0)</f>
        <v>0</v>
      </c>
      <c r="BU135" s="314">
        <f>IFERROR(VLOOKUP(BU$1,'žádosti MPSV 2020'!$F$8:UK271,$A135,FALSE),0)</f>
        <v>0</v>
      </c>
      <c r="BV135" s="314">
        <f>IFERROR(VLOOKUP(BV$1,'žádosti MPSV 2020'!$F$8:UL271,$A135,FALSE),0)</f>
        <v>0</v>
      </c>
      <c r="BW135" s="314">
        <f>IFERROR(VLOOKUP(BW$1,'žádosti MPSV 2020'!$F$8:UM271,$A135,FALSE),0)</f>
        <v>0</v>
      </c>
      <c r="BX135" s="314">
        <f>IFERROR(VLOOKUP(BX$1,'žádosti MPSV 2020'!$F$8:UN271,$A135,FALSE),0)</f>
        <v>0</v>
      </c>
      <c r="BY135" s="314">
        <f>IFERROR(VLOOKUP(BY$1,'žádosti MPSV 2020'!$F$8:UO271,$A135,FALSE),0)</f>
        <v>0</v>
      </c>
      <c r="BZ135" s="314">
        <f>IFERROR(VLOOKUP(BZ$1,'žádosti MPSV 2020'!$F$8:UP271,$A135,FALSE),0)</f>
        <v>0</v>
      </c>
      <c r="CA135" s="314">
        <f>IFERROR(VLOOKUP(CA$1,'žádosti MPSV 2020'!$F$8:UQ271,$A135,FALSE),0)</f>
        <v>0</v>
      </c>
      <c r="CB135" s="314">
        <f>IFERROR(VLOOKUP(CB$1,'žádosti MPSV 2020'!$F$8:UR271,$A135,FALSE),0)</f>
        <v>0</v>
      </c>
      <c r="CC135" s="314">
        <f>IFERROR(VLOOKUP(CC$1,'žádosti MPSV 2020'!$F$8:US271,$A135,FALSE),0)</f>
        <v>0</v>
      </c>
      <c r="CD135" s="314">
        <f>IFERROR(VLOOKUP(CD$1,'žádosti MPSV 2020'!$F$8:UT271,$A135,FALSE),0)</f>
        <v>0</v>
      </c>
      <c r="CE135" s="314">
        <f>IFERROR(VLOOKUP(CE$1,'žádosti MPSV 2020'!$F$8:UU271,$A135,FALSE),0)</f>
        <v>0</v>
      </c>
      <c r="CF135" s="314">
        <f>IFERROR(VLOOKUP(CF$1,'žádosti MPSV 2020'!$F$8:UV271,$A135,FALSE),0)</f>
        <v>0</v>
      </c>
      <c r="CG135" s="314">
        <f>IFERROR(VLOOKUP(CG$1,'žádosti MPSV 2020'!$F$8:UW271,$A135,FALSE),0)</f>
        <v>90000</v>
      </c>
      <c r="CH135" s="314">
        <f>IFERROR(VLOOKUP(CH$1,'žádosti MPSV 2020'!$F$8:UX271,$A135,FALSE),0)</f>
        <v>0</v>
      </c>
      <c r="CI135" s="314">
        <f>IFERROR(VLOOKUP(CI$1,'žádosti MPSV 2020'!$F$8:UY271,$A135,FALSE),0)</f>
        <v>0</v>
      </c>
      <c r="CJ135" s="314">
        <f>IFERROR(VLOOKUP(CJ$1,'žádosti MPSV 2020'!$F$8:UZ271,$A135,FALSE),0)</f>
        <v>0</v>
      </c>
      <c r="CK135" s="314">
        <f>IFERROR(VLOOKUP(CK$1,'žádosti MPSV 2020'!$F$8:VA271,$A135,FALSE),0)</f>
        <v>0</v>
      </c>
      <c r="CL135" s="314">
        <f>IFERROR(VLOOKUP(CL$1,'žádosti MPSV 2020'!$F$8:VB271,$A135,FALSE),0)</f>
        <v>0</v>
      </c>
      <c r="CM135" s="314">
        <f>IFERROR(VLOOKUP(CM$1,'žádosti MPSV 2020'!$F$8:VC271,$A135,FALSE),0)</f>
        <v>0</v>
      </c>
      <c r="CN135" s="314">
        <f>IFERROR(VLOOKUP(CN$1,'žádosti MPSV 2020'!$F$8:VD271,$A135,FALSE),0)</f>
        <v>0</v>
      </c>
      <c r="CO135" s="314">
        <f>IFERROR(VLOOKUP(CO$1,'žádosti MPSV 2020'!$F$8:VE271,$A135,FALSE),0)</f>
        <v>0</v>
      </c>
      <c r="CP135" s="314">
        <f>IFERROR(VLOOKUP(CP$1,'žádosti MPSV 2020'!$F$8:VF271,$A135,FALSE),0)</f>
        <v>0</v>
      </c>
      <c r="CQ135" s="314">
        <f>IFERROR(VLOOKUP(CQ$1,'žádosti MPSV 2020'!$F$8:VG271,$A135,FALSE),0)</f>
        <v>0</v>
      </c>
      <c r="CR135" s="314">
        <f>IFERROR(VLOOKUP(CR$1,'žádosti MPSV 2020'!$F$8:VH271,$A135,FALSE),0)</f>
        <v>0</v>
      </c>
      <c r="CS135" s="314">
        <f>IFERROR(VLOOKUP(CS$1,'žádosti MPSV 2020'!$F$8:VI271,$A135,FALSE),0)</f>
        <v>0</v>
      </c>
      <c r="CT135" s="314">
        <f>IFERROR(VLOOKUP(CT$1,'žádosti MPSV 2020'!$F$8:VJ271,$A135,FALSE),0)</f>
        <v>0</v>
      </c>
      <c r="CU135" s="314">
        <f>IFERROR(VLOOKUP(CU$1,'žádosti MPSV 2020'!$F$8:VK271,$A135,FALSE),0)</f>
        <v>0</v>
      </c>
      <c r="CV135" s="314">
        <f>IFERROR(VLOOKUP(CV$1,'žádosti MPSV 2020'!$F$8:VL271,$A135,FALSE),0)</f>
        <v>0</v>
      </c>
      <c r="CW135" s="314">
        <f>IFERROR(VLOOKUP(CW$1,'žádosti MPSV 2020'!$F$8:VM271,$A135,FALSE),0)</f>
        <v>0</v>
      </c>
      <c r="CX135" s="314">
        <f>IFERROR(VLOOKUP(CX$1,'žádosti MPSV 2020'!$F$8:VN271,$A135,FALSE),0)</f>
        <v>0</v>
      </c>
      <c r="CY135" s="314">
        <f>IFERROR(VLOOKUP(CY$1,'žádosti MPSV 2020'!$F$8:VO271,$A135,FALSE),0)</f>
        <v>0</v>
      </c>
      <c r="CZ135" s="314">
        <f>IFERROR(VLOOKUP(CZ$1,'žádosti MPSV 2020'!$F$8:VP271,$A135,FALSE),0)</f>
        <v>0</v>
      </c>
      <c r="DA135" s="314">
        <f>IFERROR(VLOOKUP(DA$1,'žádosti MPSV 2020'!$F$8:VQ271,$A135,FALSE),0)</f>
        <v>2513000</v>
      </c>
      <c r="DB135" s="314">
        <f>IFERROR(VLOOKUP(DB$1,'žádosti MPSV 2020'!$F$8:VR271,$A135,FALSE),0)</f>
        <v>0</v>
      </c>
      <c r="DC135" s="314">
        <f>IFERROR(VLOOKUP(DC$1,'žádosti MPSV 2020'!$F$8:VS271,$A135,FALSE),0)</f>
        <v>0</v>
      </c>
      <c r="DD135" s="314">
        <f>IFERROR(VLOOKUP(DD$1,'žádosti MPSV 2020'!$F$8:VT271,$A135,FALSE),0)</f>
        <v>0</v>
      </c>
      <c r="DE135" s="314">
        <f>IFERROR(VLOOKUP(DE$1,'žádosti MPSV 2020'!$F$8:VU271,$A135,FALSE),0)</f>
        <v>0</v>
      </c>
      <c r="DF135" s="314">
        <f>IFERROR(VLOOKUP(DF$1,'žádosti MPSV 2020'!$F$8:VV271,$A135,FALSE),0)</f>
        <v>0</v>
      </c>
      <c r="DG135" s="314">
        <f>IFERROR(VLOOKUP(DG$1,'žádosti MPSV 2020'!$F$8:VW271,$A135,FALSE),0)</f>
        <v>0</v>
      </c>
      <c r="DH135" s="314">
        <f>IFERROR(VLOOKUP(DH$1,'žádosti MPSV 2020'!$F$8:WA271,$A135,FALSE),0)</f>
        <v>0</v>
      </c>
      <c r="DI135" s="314">
        <f>IFERROR(VLOOKUP(DI$1,'žádosti MPSV 2020'!$F$8:WB271,$A135,FALSE),0)</f>
        <v>0</v>
      </c>
      <c r="DJ135" s="314">
        <f>IFERROR(VLOOKUP(DJ$1,'žádosti MPSV 2020'!$F$8:WC271,$A135,FALSE),0)</f>
        <v>0</v>
      </c>
      <c r="DK135" s="314">
        <f>IFERROR(VLOOKUP(DK$1,'žádosti MPSV 2020'!$F$8:WD271,$A135,FALSE),0)</f>
        <v>0</v>
      </c>
      <c r="DL135" s="314">
        <f>IFERROR(VLOOKUP(DL$1,'žádosti MPSV 2020'!$F$8:WE271,$A135,FALSE),0)</f>
        <v>0</v>
      </c>
      <c r="DM135" s="314">
        <f>IFERROR(VLOOKUP(DM$1,'žádosti MPSV 2020'!$F$8:WF271,$A135,FALSE),0)</f>
        <v>0</v>
      </c>
      <c r="DN135" s="314">
        <f>IFERROR(VLOOKUP(DN$1,'žádosti MPSV 2020'!$F$8:WG271,$A135,FALSE),0)</f>
        <v>0</v>
      </c>
      <c r="DO135" s="314">
        <f>IFERROR(VLOOKUP(DO$1,'žádosti MPSV 2020'!$F$8:WH271,$A135,FALSE),0)</f>
        <v>0</v>
      </c>
      <c r="DP135" s="314">
        <f>IFERROR(VLOOKUP(DP$1,'žádosti MPSV 2020'!$F$8:WI271,$A135,FALSE),0)</f>
        <v>0</v>
      </c>
      <c r="DQ135" s="314">
        <f>IFERROR(VLOOKUP(DQ$1,'žádosti MPSV 2020'!$F$8:WJ271,$A135,FALSE),0)</f>
        <v>0</v>
      </c>
      <c r="DR135" s="314">
        <f>IFERROR(VLOOKUP(DR$1,'žádosti MPSV 2020'!$F$8:WK271,$A135,FALSE),0)</f>
        <v>0</v>
      </c>
      <c r="DS135" s="314">
        <f>IFERROR(VLOOKUP(DS$1,'žádosti MPSV 2020'!$F$8:WL271,$A135,FALSE),0)</f>
        <v>0</v>
      </c>
      <c r="DT135" s="314">
        <f>IFERROR(VLOOKUP(DT$1,'žádosti MPSV 2020'!$F$8:WM271,$A135,FALSE),0)</f>
        <v>0</v>
      </c>
      <c r="DU135" s="314">
        <f>IFERROR(VLOOKUP(DU$1,'žádosti MPSV 2020'!$F$8:WN271,$A135,FALSE),0)</f>
        <v>0</v>
      </c>
      <c r="DV135" s="314">
        <f>IFERROR(VLOOKUP(DV$1,'žádosti MPSV 2020'!$F$8:WO271,$A135,FALSE),0)</f>
        <v>0</v>
      </c>
      <c r="DW135" s="314">
        <f>IFERROR(VLOOKUP(DW$1,'žádosti MPSV 2020'!$F$8:WP271,$A135,FALSE),0)</f>
        <v>0</v>
      </c>
      <c r="DX135" s="314">
        <f>IFERROR(VLOOKUP(DX$1,'žádosti MPSV 2020'!$F$8:WQ271,$A135,FALSE),0)</f>
        <v>0</v>
      </c>
      <c r="DY135" s="314">
        <f>IFERROR(VLOOKUP(DY$1,'žádosti MPSV 2020'!$F$8:WR271,$A135,FALSE),0)</f>
        <v>0</v>
      </c>
      <c r="DZ135" s="314">
        <f>IFERROR(VLOOKUP(DZ$1,'žádosti MPSV 2020'!$F$8:WS271,$A135,FALSE),0)</f>
        <v>0</v>
      </c>
      <c r="EA135" s="314">
        <f>IFERROR(VLOOKUP(EA$1,'žádosti MPSV 2020'!$F$8:WT271,$A135,FALSE),0)</f>
        <v>0</v>
      </c>
      <c r="EB135" s="314">
        <f>IFERROR(VLOOKUP(EB$1,'žádosti MPSV 2020'!$F$8:WU271,$A135,FALSE),0)</f>
        <v>0</v>
      </c>
      <c r="EC135" s="314">
        <f>IFERROR(VLOOKUP(EC$1,'žádosti MPSV 2020'!$F$8:WV271,$A135,FALSE),0)</f>
        <v>0</v>
      </c>
      <c r="ED135" s="314">
        <f>IFERROR(VLOOKUP(ED$1,'žádosti MPSV 2020'!$F$8:WW271,$A135,FALSE),0)</f>
        <v>0</v>
      </c>
      <c r="EE135" s="314">
        <f>IFERROR(VLOOKUP(EE$1,'žádosti MPSV 2020'!$F$8:WX271,$A135,FALSE),0)</f>
        <v>144000</v>
      </c>
      <c r="EF135" s="314">
        <f>IFERROR(VLOOKUP(EF$1,'žádosti MPSV 2020'!$F$8:WY271,$A135,FALSE),0)</f>
        <v>144000</v>
      </c>
      <c r="EG135" s="314">
        <f>IFERROR(VLOOKUP(EG$1,'žádosti MPSV 2020'!$F$8:WZ271,$A135,FALSE),0)</f>
        <v>0</v>
      </c>
      <c r="EH135" s="314">
        <f>IFERROR(VLOOKUP(EH$1,'žádosti MPSV 2020'!$F$8:XA271,$A135,FALSE),0)</f>
        <v>154000</v>
      </c>
      <c r="EI135" s="314">
        <f>IFERROR(VLOOKUP(EI$1,'žádosti MPSV 2020'!$F$8:XB271,$A135,FALSE),0)</f>
        <v>30000</v>
      </c>
      <c r="EJ135" s="314">
        <f>IFERROR(VLOOKUP(EJ$1,'žádosti MPSV 2020'!$F$8:XC271,$A135,FALSE),0)</f>
        <v>144000</v>
      </c>
      <c r="EK135" s="314">
        <f>IFERROR(VLOOKUP(EK$1,'žádosti MPSV 2020'!$F$8:XD271,$A135,FALSE),0)</f>
        <v>0</v>
      </c>
      <c r="EL135" s="314">
        <f>IFERROR(VLOOKUP(EL$1,'žádosti MPSV 2020'!$F$8:XE271,$A135,FALSE),0)</f>
        <v>0</v>
      </c>
      <c r="EM135" s="314">
        <f>IFERROR(VLOOKUP(EM$1,'žádosti MPSV 2020'!$F$8:XF271,$A135,FALSE),0)</f>
        <v>0</v>
      </c>
      <c r="EN135" s="314">
        <f>IFERROR(VLOOKUP(EN$1,'žádosti MPSV 2020'!$F$8:XG271,$A135,FALSE),0)</f>
        <v>0</v>
      </c>
      <c r="EO135" s="314">
        <f>IFERROR(VLOOKUP(EO$1,'žádosti MPSV 2020'!$F$8:XH271,$A135,FALSE),0)</f>
        <v>0</v>
      </c>
      <c r="EP135" s="314">
        <f>IFERROR(VLOOKUP(EP$1,'žádosti MPSV 2020'!$F$8:XI271,$A135,FALSE),0)</f>
        <v>144000</v>
      </c>
      <c r="EQ135" s="314">
        <f>IFERROR(VLOOKUP(EQ$1,'žádosti MPSV 2020'!$F$8:XJ271,$A135,FALSE),0)</f>
        <v>250000</v>
      </c>
      <c r="ER135" s="314">
        <f>IFERROR(VLOOKUP(ER$1,'žádosti MPSV 2020'!$F$8:XK271,$A135,FALSE),0)</f>
        <v>0</v>
      </c>
      <c r="ES135" s="314">
        <f>IFERROR(VLOOKUP(ES$1,'žádosti MPSV 2020'!$F$8:XL271,$A135,FALSE),0)</f>
        <v>0</v>
      </c>
      <c r="ET135" s="314">
        <f>IFERROR(VLOOKUP(ET$1,'žádosti MPSV 2020'!$F$8:XM271,$A135,FALSE),0)</f>
        <v>0</v>
      </c>
      <c r="EU135" s="314">
        <f>IFERROR(VLOOKUP(EU$1,'žádosti MPSV 2020'!$F$8:XN271,$A135,FALSE),0)</f>
        <v>0</v>
      </c>
      <c r="EV135" s="314">
        <f>IFERROR(VLOOKUP(EV$1,'žádosti MPSV 2020'!$F$8:XO271,$A135,FALSE),0)</f>
        <v>0</v>
      </c>
      <c r="EW135" s="314">
        <f>IFERROR(VLOOKUP(EW$1,'žádosti MPSV 2020'!$F$8:XP271,$A135,FALSE),0)</f>
        <v>0</v>
      </c>
      <c r="EX135" s="314">
        <f>IFERROR(VLOOKUP(EX$1,'žádosti MPSV 2020'!$F$8:XQ271,$A135,FALSE),0)</f>
        <v>0</v>
      </c>
      <c r="EY135" s="314">
        <f>IFERROR(VLOOKUP(EY$1,'žádosti MPSV 2020'!$F$8:XR271,$A135,FALSE),0)</f>
        <v>0</v>
      </c>
      <c r="EZ135" s="314">
        <f>IFERROR(VLOOKUP(EZ$1,'žádosti MPSV 2020'!$F$8:XS271,$A135,FALSE),0)</f>
        <v>0</v>
      </c>
      <c r="FA135" s="314">
        <f>IFERROR(VLOOKUP(FA$1,'žádosti MPSV 2020'!$F$8:XT271,$A135,FALSE),0)</f>
        <v>0</v>
      </c>
      <c r="FB135" s="314">
        <f>IFERROR(VLOOKUP(FB$1,'žádosti MPSV 2020'!$F$8:XU271,$A135,FALSE),0)</f>
        <v>0</v>
      </c>
      <c r="FC135" s="314">
        <f>IFERROR(VLOOKUP(FC$1,'žádosti MPSV 2020'!$F$8:XV271,$A135,FALSE),0)</f>
        <v>0</v>
      </c>
      <c r="FD135" s="314">
        <f>IFERROR(VLOOKUP(FD$1,'žádosti MPSV 2020'!$F$8:XW271,$A135,FALSE),0)</f>
        <v>0</v>
      </c>
      <c r="FE135" s="314">
        <f>IFERROR(VLOOKUP(FE$1,'žádosti MPSV 2020'!$F$8:XX271,$A135,FALSE),0)</f>
        <v>0</v>
      </c>
      <c r="FF135" s="314">
        <f>IFERROR(VLOOKUP(FF$1,'žádosti MPSV 2020'!$F$8:XY271,$A135,FALSE),0)</f>
        <v>0</v>
      </c>
      <c r="FG135" s="314">
        <f>IFERROR(VLOOKUP(FG$1,'žádosti MPSV 2020'!$F$8:XZ271,$A135,FALSE),0)</f>
        <v>0</v>
      </c>
      <c r="FH135" s="314">
        <f>IFERROR(VLOOKUP(FH$1,'žádosti MPSV 2020'!$F$8:YA271,$A135,FALSE),0)</f>
        <v>0</v>
      </c>
      <c r="FI135" s="314">
        <f>IFERROR(VLOOKUP(FI$1,'žádosti MPSV 2020'!$F$8:YB271,$A135,FALSE),0)</f>
        <v>0</v>
      </c>
      <c r="FJ135" s="314">
        <f>IFERROR(VLOOKUP(FJ$1,'žádosti MPSV 2020'!$F$8:YC271,$A135,FALSE),0)</f>
        <v>0</v>
      </c>
      <c r="FK135" s="314">
        <f>IFERROR(VLOOKUP(FK$1,'žádosti MPSV 2020'!$F$8:YD271,$A135,FALSE),0)</f>
        <v>0</v>
      </c>
      <c r="FL135" s="314">
        <f>IFERROR(VLOOKUP(FL$1,'žádosti MPSV 2020'!$F$8:YE271,$A135,FALSE),0)</f>
        <v>0</v>
      </c>
      <c r="FM135" s="314">
        <f>IFERROR(VLOOKUP(FM$1,'žádosti MPSV 2020'!$F$8:YF271,$A135,FALSE),0)</f>
        <v>0</v>
      </c>
      <c r="FN135" s="314">
        <f>IFERROR(VLOOKUP(FN$1,'žádosti MPSV 2020'!$F$8:YG271,$A135,FALSE),0)</f>
        <v>0</v>
      </c>
      <c r="FO135" s="314">
        <f>IFERROR(VLOOKUP(FO$1,'žádosti MPSV 2020'!$F$8:YH271,$A135,FALSE),0)</f>
        <v>0</v>
      </c>
      <c r="FP135" s="314">
        <f>IFERROR(VLOOKUP(FP$1,'žádosti MPSV 2020'!$F$8:YI271,$A135,FALSE),0)</f>
        <v>0</v>
      </c>
      <c r="FQ135" s="314">
        <f>IFERROR(VLOOKUP(FQ$1,'žádosti MPSV 2020'!$F$8:YJ271,$A135,FALSE),0)</f>
        <v>0</v>
      </c>
      <c r="FR135" s="314">
        <f>IFERROR(VLOOKUP(FR$1,'žádosti MPSV 2020'!$F$8:YK271,$A135,FALSE),0)</f>
        <v>0</v>
      </c>
      <c r="FS135" s="314">
        <f>IFERROR(VLOOKUP(FS$1,'žádosti MPSV 2020'!$F$8:YL271,$A135,FALSE),0)</f>
        <v>0</v>
      </c>
      <c r="FT135" s="314">
        <f>IFERROR(VLOOKUP(FT$1,'žádosti MPSV 2020'!$F$8:YM271,$A135,FALSE),0)</f>
        <v>0</v>
      </c>
      <c r="FU135" s="314">
        <f>IFERROR(VLOOKUP(FU$1,'žádosti MPSV 2020'!$F$8:YN271,$A135,FALSE),0)</f>
        <v>0</v>
      </c>
      <c r="FV135" s="314">
        <f>IFERROR(VLOOKUP(FV$1,'žádosti MPSV 2020'!$F$8:YO271,$A135,FALSE),0)</f>
        <v>0</v>
      </c>
      <c r="FW135" s="314">
        <f>IFERROR(VLOOKUP(FW$1,'žádosti MPSV 2020'!$F$8:YP271,$A135,FALSE),0)</f>
        <v>0</v>
      </c>
      <c r="FX135" s="314">
        <f>IFERROR(VLOOKUP(FX$1,'žádosti MPSV 2020'!$F$8:YQ271,$A135,FALSE),0)</f>
        <v>0</v>
      </c>
      <c r="FY135" s="314">
        <f>IFERROR(VLOOKUP(FY$1,'žádosti MPSV 2020'!$F$8:YR271,$A135,FALSE),0)</f>
        <v>0</v>
      </c>
      <c r="FZ135" s="314">
        <f>IFERROR(VLOOKUP(FZ$1,'žádosti MPSV 2020'!$F$8:YS271,$A135,FALSE),0)</f>
        <v>0</v>
      </c>
      <c r="GA135" s="314">
        <f>IFERROR(VLOOKUP(GA$1,'žádosti MPSV 2020'!$F$8:YT271,$A135,FALSE),0)</f>
        <v>0</v>
      </c>
      <c r="GB135" s="314">
        <f>IFERROR(VLOOKUP(GB$1,'žádosti MPSV 2020'!$F$8:YU271,$A135,FALSE),0)</f>
        <v>3520000</v>
      </c>
      <c r="GC135" s="314">
        <f>IFERROR(VLOOKUP(GC$1,'žádosti MPSV 2020'!$F$8:YV271,$A135,FALSE),0)</f>
        <v>0</v>
      </c>
      <c r="GD135" s="314">
        <f>IFERROR(VLOOKUP(GD$1,'žádosti MPSV 2020'!$F$8:YW271,$A135,FALSE),0)</f>
        <v>0</v>
      </c>
      <c r="GE135" s="314">
        <f>IFERROR(VLOOKUP(GE$1,'žádosti MPSV 2020'!$F$8:YX271,$A135,FALSE),0)</f>
        <v>0</v>
      </c>
      <c r="GF135" s="314">
        <f>IFERROR(VLOOKUP(GF$1,'žádosti MPSV 2020'!$F$8:YY271,$A135,FALSE),0)</f>
        <v>0</v>
      </c>
      <c r="GG135" s="314">
        <f>IFERROR(VLOOKUP(GG$1,'žádosti MPSV 2020'!$F$8:YZ271,$A135,FALSE),0)</f>
        <v>0</v>
      </c>
      <c r="GH135" s="314">
        <f>IFERROR(VLOOKUP(GH$1,'žádosti MPSV 2020'!$F$8:ZA271,$A135,FALSE),0)</f>
        <v>0</v>
      </c>
      <c r="GI135" s="314">
        <f>IFERROR(VLOOKUP(GI$1,'žádosti MPSV 2020'!$F$8:ZB271,$A135,FALSE),0)</f>
        <v>0</v>
      </c>
      <c r="GJ135" s="314">
        <f>IFERROR(VLOOKUP(GJ$1,'žádosti MPSV 2020'!$F$8:ZC271,$A135,FALSE),0)</f>
        <v>0</v>
      </c>
      <c r="GK135" s="314">
        <f>IFERROR(VLOOKUP(GK$1,'žádosti MPSV 2020'!$F$8:ZD271,$A135,FALSE),0)</f>
        <v>0</v>
      </c>
      <c r="GL135" s="314">
        <f>IFERROR(VLOOKUP(GL$1,'žádosti MPSV 2020'!$F$8:ZE271,$A135,FALSE),0)</f>
        <v>0</v>
      </c>
      <c r="GM135" s="314">
        <f>IFERROR(VLOOKUP(GM$1,'žádosti MPSV 2020'!$F$8:ZF271,$A135,FALSE),0)</f>
        <v>0</v>
      </c>
      <c r="GN135" s="314">
        <f>IFERROR(VLOOKUP(GN$1,'žádosti MPSV 2020'!$F$8:ZG271,$A135,FALSE),0)</f>
        <v>0</v>
      </c>
      <c r="GO135" s="314">
        <f>IFERROR(VLOOKUP(GO$1,'žádosti MPSV 2020'!$F$8:ZH271,$A135,FALSE),0)</f>
        <v>0</v>
      </c>
      <c r="GP135" s="314">
        <f>IFERROR(VLOOKUP(GP$1,'žádosti MPSV 2020'!$F$8:ZI271,$A135,FALSE),0)</f>
        <v>0</v>
      </c>
      <c r="GQ135" s="314">
        <f>IFERROR(VLOOKUP(GQ$1,'žádosti MPSV 2020'!$F$8:ZJ271,$A135,FALSE),0)</f>
        <v>0</v>
      </c>
      <c r="GR135" s="314">
        <f>IFERROR(VLOOKUP(GR$1,'žádosti MPSV 2020'!$F$8:ZK271,$A135,FALSE),0)</f>
        <v>0</v>
      </c>
      <c r="GS135" s="314">
        <f>IFERROR(VLOOKUP(GS$1,'žádosti MPSV 2020'!$F$8:ZL271,$A135,FALSE),0)</f>
        <v>0</v>
      </c>
      <c r="GT135" s="314">
        <f>IFERROR(VLOOKUP(GT$1,'žádosti MPSV 2020'!$F$8:ZM271,$A135,FALSE),0)</f>
        <v>0</v>
      </c>
      <c r="GU135" s="314">
        <f>IFERROR(VLOOKUP(GU$1,'žádosti MPSV 2020'!$F$8:ZN271,$A135,FALSE),0)</f>
        <v>0</v>
      </c>
      <c r="GV135" s="314">
        <f>IFERROR(VLOOKUP(GV$1,'žádosti MPSV 2020'!$F$8:ZO271,$A135,FALSE),0)</f>
        <v>0</v>
      </c>
      <c r="GW135" s="314">
        <f>IFERROR(VLOOKUP(GW$1,'žádosti MPSV 2020'!$F$8:ZP271,$A135,FALSE),0)</f>
        <v>0</v>
      </c>
      <c r="GX135" s="314">
        <f>IFERROR(VLOOKUP(GX$1,'žádosti MPSV 2020'!$F$8:ZQ271,$A135,FALSE),0)</f>
        <v>0</v>
      </c>
      <c r="GY135" s="314">
        <f>IFERROR(VLOOKUP(GY$1,'žádosti MPSV 2020'!$F$8:ZR271,$A135,FALSE),0)</f>
        <v>0</v>
      </c>
      <c r="GZ135" s="314">
        <f>IFERROR(VLOOKUP(GZ$1,'žádosti MPSV 2020'!$F$8:ZS271,$A135,FALSE),0)</f>
        <v>0</v>
      </c>
      <c r="HA135" s="314">
        <f>IFERROR(VLOOKUP(HA$1,'žádosti MPSV 2020'!$F$8:ZT271,$A135,FALSE),0)</f>
        <v>0</v>
      </c>
      <c r="HB135" s="314">
        <f>IFERROR(VLOOKUP(HB$1,'žádosti MPSV 2020'!$F$8:ZU271,$A135,FALSE),0)</f>
        <v>0</v>
      </c>
      <c r="HC135" s="314">
        <f>IFERROR(VLOOKUP(HC$1,'žádosti MPSV 2020'!$F$8:ZV271,$A135,FALSE),0)</f>
        <v>0</v>
      </c>
      <c r="HD135" s="314">
        <f>IFERROR(VLOOKUP(HD$1,'žádosti MPSV 2020'!$F$8:ZW271,$A135,FALSE),0)</f>
        <v>0</v>
      </c>
      <c r="HE135" s="314">
        <f>IFERROR(VLOOKUP(HE$1,'žádosti MPSV 2020'!$F$8:ZX271,$A135,FALSE),0)</f>
        <v>0</v>
      </c>
      <c r="HF135" s="314">
        <f>IFERROR(VLOOKUP(HF$1,'žádosti MPSV 2020'!$F$8:ZY271,$A135,FALSE),0)</f>
        <v>0</v>
      </c>
      <c r="HG135" s="314">
        <f>IFERROR(VLOOKUP(HG$1,'žádosti MPSV 2020'!$F$8:ZZ271,$A135,FALSE),0)</f>
        <v>0</v>
      </c>
      <c r="HH135" s="314">
        <f>IFERROR(VLOOKUP(HH$1,'žádosti MPSV 2020'!$F$8:AAA271,$A135,FALSE),0)</f>
        <v>0</v>
      </c>
      <c r="HI135" s="314">
        <f>IFERROR(VLOOKUP(HI$1,'žádosti MPSV 2020'!$F$8:AAB271,$A135,FALSE),0)</f>
        <v>0</v>
      </c>
      <c r="HJ135" s="314">
        <f>IFERROR(VLOOKUP(HJ$1,'žádosti MPSV 2020'!$F$8:AAC271,$A135,FALSE),0)</f>
        <v>0</v>
      </c>
      <c r="HK135" s="314">
        <f>IFERROR(VLOOKUP(HK$1,'žádosti MPSV 2020'!$F$8:AAD271,$A135,FALSE),0)</f>
        <v>0</v>
      </c>
      <c r="HL135" s="314">
        <f>IFERROR(VLOOKUP(HL$1,'žádosti MPSV 2020'!$F$8:AAE271,$A135,FALSE),0)</f>
        <v>0</v>
      </c>
      <c r="HM135" s="314">
        <f>IFERROR(VLOOKUP(HM$1,'žádosti MPSV 2020'!$F$8:AAF271,$A135,FALSE),0)</f>
        <v>0</v>
      </c>
      <c r="HN135" s="314">
        <f>IFERROR(VLOOKUP(HN$1,'žádosti MPSV 2020'!$F$8:AAG271,$A135,FALSE),0)</f>
        <v>0</v>
      </c>
      <c r="HO135" s="314">
        <f>IFERROR(VLOOKUP(HO$1,'žádosti MPSV 2020'!$F$8:AAH271,$A135,FALSE),0)</f>
        <v>0</v>
      </c>
      <c r="HP135" s="314">
        <f>IFERROR(VLOOKUP(HP$1,'žádosti MPSV 2020'!$F$8:AAI271,$A135,FALSE),0)</f>
        <v>0</v>
      </c>
      <c r="HQ135" s="314">
        <f>IFERROR(VLOOKUP(HQ$1,'žádosti MPSV 2020'!$F$8:AAJ271,$A135,FALSE),0)</f>
        <v>0</v>
      </c>
      <c r="HR135" s="314">
        <f>IFERROR(VLOOKUP(HR$1,'žádosti MPSV 2020'!$F$8:AAK271,$A135,FALSE),0)</f>
        <v>0</v>
      </c>
      <c r="HS135" s="314">
        <f>IFERROR(VLOOKUP(HS$1,'žádosti MPSV 2020'!$F$8:AAL271,$A135,FALSE),0)</f>
        <v>0</v>
      </c>
      <c r="HT135" s="314">
        <f>IFERROR(VLOOKUP(HT$1,'žádosti MPSV 2020'!$F$8:AAM271,$A135,FALSE),0)</f>
        <v>0</v>
      </c>
      <c r="HU135" s="314">
        <f>IFERROR(VLOOKUP(HU$1,'žádosti MPSV 2020'!$F$8:AAN271,$A135,FALSE),0)</f>
        <v>285750</v>
      </c>
      <c r="HV135" s="314">
        <f>IFERROR(VLOOKUP(HV$1,'žádosti MPSV 2020'!$F$8:AAO271,$A135,FALSE),0)</f>
        <v>0</v>
      </c>
      <c r="HW135" s="314">
        <f>IFERROR(VLOOKUP(HW$1,'žádosti MPSV 2020'!$F$8:AAP271,$A135,FALSE),0)</f>
        <v>0</v>
      </c>
      <c r="HX135" s="314">
        <f>IFERROR(VLOOKUP(HX$1,'žádosti MPSV 2020'!$F$8:AAQ271,$A135,FALSE),0)</f>
        <v>0</v>
      </c>
      <c r="HY135" s="314">
        <f>IFERROR(VLOOKUP(HY$1,'žádosti MPSV 2020'!$F$8:AAR271,$A135,FALSE),0)</f>
        <v>0</v>
      </c>
      <c r="HZ135" s="314">
        <f>IFERROR(VLOOKUP(HZ$1,'žádosti MPSV 2020'!$F$8:AAS271,$A135,FALSE),0)</f>
        <v>0</v>
      </c>
      <c r="IA135" s="314">
        <f>IFERROR(VLOOKUP(IA$1,'žádosti MPSV 2020'!$F$8:AAT271,$A135,FALSE),0)</f>
        <v>0</v>
      </c>
      <c r="IB135" s="314">
        <f>IFERROR(VLOOKUP(IB$1,'žádosti MPSV 2020'!$F$8:AAU271,$A135,FALSE),0)</f>
        <v>0</v>
      </c>
      <c r="IC135" s="314">
        <f>IFERROR(VLOOKUP(IC$1,'žádosti MPSV 2020'!$F$8:AAV271,$A135,FALSE),0)</f>
        <v>0</v>
      </c>
      <c r="ID135" s="314">
        <f>IFERROR(VLOOKUP(ID$1,'žádosti MPSV 2020'!$F$8:AAW271,$A135,FALSE),0)</f>
        <v>0</v>
      </c>
      <c r="IE135" s="314">
        <f>IFERROR(VLOOKUP(IE$1,'žádosti MPSV 2020'!$F$8:AAX271,$A135,FALSE),0)</f>
        <v>0</v>
      </c>
      <c r="IF135" s="314">
        <f>IFERROR(VLOOKUP(IF$1,'žádosti MPSV 2020'!$F$8:AAY271,$A135,FALSE),0)</f>
        <v>0</v>
      </c>
      <c r="IG135" s="314">
        <f>IFERROR(VLOOKUP(IG$1,'žádosti MPSV 2020'!$F$8:AAZ271,$A135,FALSE),0)</f>
        <v>0</v>
      </c>
      <c r="IH135" s="314">
        <f>IFERROR(VLOOKUP(IH$1,'žádosti MPSV 2020'!$F$8:ABA271,$A135,FALSE),0)</f>
        <v>0</v>
      </c>
      <c r="II135" s="314">
        <f>IFERROR(VLOOKUP(II$1,'žádosti MPSV 2020'!$F$8:ABB271,$A135,FALSE),0)</f>
        <v>0</v>
      </c>
      <c r="IJ135" s="314">
        <f>IFERROR(VLOOKUP(IJ$1,'žádosti MPSV 2020'!$F$8:ABC271,$A135,FALSE),0)</f>
        <v>0</v>
      </c>
      <c r="IK135" s="314">
        <f>IFERROR(VLOOKUP(IK$1,'žádosti MPSV 2020'!$F$8:ABD271,$A135,FALSE),0)</f>
        <v>0</v>
      </c>
      <c r="IL135" s="314">
        <f>IFERROR(VLOOKUP(IL$1,'žádosti MPSV 2020'!$F$8:ABE271,$A135,FALSE),0)</f>
        <v>0</v>
      </c>
      <c r="IM135" s="314">
        <f>IFERROR(VLOOKUP(IM$1,'žádosti MPSV 2020'!$F$8:ABF271,$A135,FALSE),0)</f>
        <v>0</v>
      </c>
      <c r="IN135" s="314">
        <f>IFERROR(VLOOKUP(IN$1,'žádosti MPSV 2020'!$F$8:ABG271,$A135,FALSE),0)</f>
        <v>0</v>
      </c>
      <c r="IO135" s="314">
        <f>IFERROR(VLOOKUP(IO$1,'žádosti MPSV 2020'!$F$8:ABH271,$A135,FALSE),0)</f>
        <v>0</v>
      </c>
      <c r="IP135" s="314">
        <f>IFERROR(VLOOKUP(IP$1,'žádosti MPSV 2020'!$F$8:ABI271,$A135,FALSE),0)</f>
        <v>0</v>
      </c>
      <c r="IQ135" s="314">
        <f>IFERROR(VLOOKUP(IQ$1,'žádosti MPSV 2020'!$F$8:ABJ271,$A135,FALSE),0)</f>
        <v>0</v>
      </c>
      <c r="IR135" s="314">
        <f>IFERROR(VLOOKUP(IR$1,'žádosti MPSV 2020'!$F$8:ABK271,$A135,FALSE),0)</f>
        <v>0</v>
      </c>
      <c r="IS135" s="314">
        <f>IFERROR(VLOOKUP(IS$1,'žádosti MPSV 2020'!$F$8:ABL271,$A135,FALSE),0)</f>
        <v>0</v>
      </c>
      <c r="IT135" s="314">
        <f>IFERROR(VLOOKUP(IT$1,'žádosti MPSV 2020'!$F$8:ABM271,$A135,FALSE),0)</f>
        <v>0</v>
      </c>
      <c r="IU135" s="314">
        <f>IFERROR(VLOOKUP(IU$1,'žádosti MPSV 2020'!$F$8:ABN271,$A135,FALSE),0)</f>
        <v>0</v>
      </c>
      <c r="IV135" s="314">
        <f>IFERROR(VLOOKUP(IV$1,'žádosti MPSV 2020'!$F$8:ABO271,$A135,FALSE),0)</f>
        <v>0</v>
      </c>
      <c r="IW135" s="314">
        <f>IFERROR(VLOOKUP(IW$1,'žádosti MPSV 2020'!$F$8:ABP271,$A135,FALSE),0)</f>
        <v>0</v>
      </c>
      <c r="IX135" s="314">
        <f>IFERROR(VLOOKUP(IX$1,'žádosti MPSV 2020'!$F$8:ABQ271,$A135,FALSE),0)</f>
        <v>0</v>
      </c>
      <c r="IY135" s="314">
        <f>IFERROR(VLOOKUP(IY$1,'žádosti MPSV 2020'!$F$8:ABR271,$A135,FALSE),0)</f>
        <v>0</v>
      </c>
      <c r="IZ135" s="314">
        <f>IFERROR(VLOOKUP(IZ$1,'žádosti MPSV 2020'!$F$8:ABS271,$A135,FALSE),0)</f>
        <v>0</v>
      </c>
      <c r="JA135" s="314">
        <f>IFERROR(VLOOKUP(JA$1,'žádosti MPSV 2020'!$F$8:ABT271,$A135,FALSE),0)</f>
        <v>0</v>
      </c>
      <c r="JB135" s="314">
        <f>IFERROR(VLOOKUP(JB$1,'žádosti MPSV 2020'!$F$8:ABU271,$A135,FALSE),0)</f>
        <v>0</v>
      </c>
      <c r="JC135" s="314">
        <f>IFERROR(VLOOKUP(JC$1,'žádosti MPSV 2020'!$F$8:ABV271,$A135,FALSE),0)</f>
        <v>0</v>
      </c>
      <c r="JD135" s="314">
        <f>IFERROR(VLOOKUP(JD$1,'žádosti MPSV 2020'!$F$8:ABW271,$A135,FALSE),0)</f>
        <v>0</v>
      </c>
      <c r="JE135" s="314">
        <f>IFERROR(VLOOKUP(JE$1,'žádosti MPSV 2020'!$F$8:ABX271,$A135,FALSE),0)</f>
        <v>0</v>
      </c>
      <c r="JF135" s="314">
        <f>IFERROR(VLOOKUP(JF$1,'žádosti MPSV 2020'!$F$8:ABY271,$A135,FALSE),0)</f>
        <v>0</v>
      </c>
      <c r="JG135" s="314">
        <f>IFERROR(VLOOKUP(JG$1,'žádosti MPSV 2020'!$F$8:ABZ271,$A135,FALSE),0)</f>
        <v>0</v>
      </c>
      <c r="JH135" s="314">
        <f>IFERROR(VLOOKUP(JH$1,'žádosti MPSV 2020'!$F$8:ACA271,$A135,FALSE),0)</f>
        <v>0</v>
      </c>
      <c r="JI135" s="314">
        <f t="shared" si="628"/>
        <v>8518750</v>
      </c>
    </row>
    <row r="136" spans="1:276" s="307" customFormat="1" x14ac:dyDescent="0.25">
      <c r="A136" s="314">
        <v>457</v>
      </c>
      <c r="B136" s="314" t="s">
        <v>64</v>
      </c>
      <c r="C136" s="314">
        <f>IFERROR(VLOOKUP(C$1,'žádosti MPSV 2020'!$F$8:RT272,$A136,FALSE),0)</f>
        <v>0</v>
      </c>
      <c r="D136" s="314">
        <f>IFERROR(VLOOKUP(D$1,'žádosti MPSV 2020'!$F$8:RU272,$A136,FALSE),0)</f>
        <v>0</v>
      </c>
      <c r="E136" s="314">
        <f>IFERROR(VLOOKUP(E$1,'žádosti MPSV 2020'!$F$8:RV272,$A136,FALSE),0)</f>
        <v>0</v>
      </c>
      <c r="F136" s="314">
        <f>IFERROR(VLOOKUP(F$1,'žádosti MPSV 2020'!$F$8:RW272,$A136,FALSE),0)</f>
        <v>0</v>
      </c>
      <c r="G136" s="314">
        <f>IFERROR(VLOOKUP(G$1,'žádosti MPSV 2020'!$F$8:RX272,$A136,FALSE),0)</f>
        <v>0</v>
      </c>
      <c r="H136" s="314">
        <f>IFERROR(VLOOKUP(H$1,'žádosti MPSV 2020'!$F$8:RY272,$A136,FALSE),0)</f>
        <v>0</v>
      </c>
      <c r="I136" s="314">
        <f>IFERROR(VLOOKUP(I$1,'žádosti MPSV 2020'!$F$8:RZ272,$A136,FALSE),0)</f>
        <v>0</v>
      </c>
      <c r="J136" s="314">
        <f>IFERROR(VLOOKUP(J$1,'žádosti MPSV 2020'!$F$8:SA272,$A136,FALSE),0)</f>
        <v>0</v>
      </c>
      <c r="K136" s="314">
        <f>IFERROR(VLOOKUP(K$1,'žádosti MPSV 2020'!$F$8:SB272,$A136,FALSE),0)</f>
        <v>0</v>
      </c>
      <c r="L136" s="314">
        <f>IFERROR(VLOOKUP(L$1,'žádosti MPSV 2020'!$F$8:SC272,$A136,FALSE),0)</f>
        <v>0</v>
      </c>
      <c r="M136" s="314">
        <f>IFERROR(VLOOKUP(M$1,'žádosti MPSV 2020'!$F$8:SD272,$A136,FALSE),0)</f>
        <v>0</v>
      </c>
      <c r="N136" s="314">
        <f>IFERROR(VLOOKUP(N$1,'žádosti MPSV 2020'!$F$8:SE272,$A136,FALSE),0)</f>
        <v>0</v>
      </c>
      <c r="O136" s="314">
        <f>IFERROR(VLOOKUP(O$1,'žádosti MPSV 2020'!$F$8:SF272,$A136,FALSE),0)</f>
        <v>0</v>
      </c>
      <c r="P136" s="314">
        <f>IFERROR(VLOOKUP(P$1,'žádosti MPSV 2020'!$F$8:SG272,$A136,FALSE),0)</f>
        <v>0</v>
      </c>
      <c r="Q136" s="314">
        <f>IFERROR(VLOOKUP(Q$1,'žádosti MPSV 2020'!$F$8:SH272,$A136,FALSE),0)</f>
        <v>0</v>
      </c>
      <c r="R136" s="314">
        <f>IFERROR(VLOOKUP(R$1,'žádosti MPSV 2020'!$F$8:SI272,$A136,FALSE),0)</f>
        <v>0</v>
      </c>
      <c r="S136" s="314">
        <f>IFERROR(VLOOKUP(S$1,'žádosti MPSV 2020'!$F$8:SJ272,$A136,FALSE),0)</f>
        <v>0</v>
      </c>
      <c r="T136" s="314">
        <f>IFERROR(VLOOKUP(T$1,'žádosti MPSV 2020'!$F$8:SK272,$A136,FALSE),0)</f>
        <v>0</v>
      </c>
      <c r="U136" s="314">
        <f>IFERROR(VLOOKUP(U$1,'žádosti MPSV 2020'!$F$8:SL272,$A136,FALSE),0)</f>
        <v>0</v>
      </c>
      <c r="V136" s="314">
        <f>IFERROR(VLOOKUP(V$1,'žádosti MPSV 2020'!$F$8:SM272,$A136,FALSE),0)</f>
        <v>0</v>
      </c>
      <c r="W136" s="314">
        <f>IFERROR(VLOOKUP(W$1,'žádosti MPSV 2020'!$F$8:SN272,$A136,FALSE),0)</f>
        <v>0</v>
      </c>
      <c r="X136" s="314">
        <f>IFERROR(VLOOKUP(X$1,'žádosti MPSV 2020'!$F$8:SO272,$A136,FALSE),0)</f>
        <v>0</v>
      </c>
      <c r="Y136" s="314">
        <f>IFERROR(VLOOKUP(Y$1,'žádosti MPSV 2020'!$F$8:SP272,$A136,FALSE),0)</f>
        <v>0</v>
      </c>
      <c r="Z136" s="314">
        <f>IFERROR(VLOOKUP(Z$1,'žádosti MPSV 2020'!$F$8:SQ272,$A136,FALSE),0)</f>
        <v>0</v>
      </c>
      <c r="AA136" s="314">
        <f>IFERROR(VLOOKUP(AA$1,'žádosti MPSV 2020'!$F$8:SR272,$A136,FALSE),0)</f>
        <v>0</v>
      </c>
      <c r="AB136" s="314">
        <f>IFERROR(VLOOKUP(AB$1,'žádosti MPSV 2020'!$F$8:SS272,$A136,FALSE),0)</f>
        <v>0</v>
      </c>
      <c r="AC136" s="314">
        <f>IFERROR(VLOOKUP(AC$1,'žádosti MPSV 2020'!$F$8:ST272,$A136,FALSE),0)</f>
        <v>0</v>
      </c>
      <c r="AD136" s="314">
        <f>IFERROR(VLOOKUP(AD$1,'žádosti MPSV 2020'!$F$8:ST272,$A136,FALSE),0)</f>
        <v>0</v>
      </c>
      <c r="AE136" s="314">
        <f>IFERROR(VLOOKUP(AE$1,'žádosti MPSV 2020'!$F$8:SU272,$A136,FALSE),0)</f>
        <v>0</v>
      </c>
      <c r="AF136" s="314">
        <f>IFERROR(VLOOKUP(AF$1,'žádosti MPSV 2020'!$F$8:SV272,$A136,FALSE),0)</f>
        <v>0</v>
      </c>
      <c r="AG136" s="314">
        <f>IFERROR(VLOOKUP(AG$1,'žádosti MPSV 2020'!$F$8:SW272,$A136,FALSE),0)</f>
        <v>0</v>
      </c>
      <c r="AH136" s="314">
        <f>IFERROR(VLOOKUP(AH$1,'žádosti MPSV 2020'!$F$8:SX272,$A136,FALSE),0)</f>
        <v>0</v>
      </c>
      <c r="AI136" s="314">
        <f>IFERROR(VLOOKUP(AI$1,'žádosti MPSV 2020'!$F$8:SY272,$A136,FALSE),0)</f>
        <v>0</v>
      </c>
      <c r="AJ136" s="314">
        <f>IFERROR(VLOOKUP(AJ$1,'žádosti MPSV 2020'!$F$8:SZ272,$A136,FALSE),0)</f>
        <v>0</v>
      </c>
      <c r="AK136" s="314">
        <f>IFERROR(VLOOKUP(AK$1,'žádosti MPSV 2020'!$F$8:TA272,$A136,FALSE),0)</f>
        <v>0</v>
      </c>
      <c r="AL136" s="314">
        <f>IFERROR(VLOOKUP(AL$1,'žádosti MPSV 2020'!$F$8:TB272,$A136,FALSE),0)</f>
        <v>0</v>
      </c>
      <c r="AM136" s="314">
        <f>IFERROR(VLOOKUP(AM$1,'žádosti MPSV 2020'!$F$8:TC272,$A136,FALSE),0)</f>
        <v>0</v>
      </c>
      <c r="AN136" s="314">
        <f>IFERROR(VLOOKUP(AN$1,'žádosti MPSV 2020'!$F$8:TD272,$A136,FALSE),0)</f>
        <v>0</v>
      </c>
      <c r="AO136" s="314">
        <f>IFERROR(VLOOKUP(AO$1,'žádosti MPSV 2020'!$F$8:TE272,$A136,FALSE),0)</f>
        <v>0</v>
      </c>
      <c r="AP136" s="314">
        <f>IFERROR(VLOOKUP(AP$1,'žádosti MPSV 2020'!$F$8:TF272,$A136,FALSE),0)</f>
        <v>0</v>
      </c>
      <c r="AQ136" s="314">
        <f>IFERROR(VLOOKUP(AQ$1,'žádosti MPSV 2020'!$F$8:TG272,$A136,FALSE),0)</f>
        <v>0</v>
      </c>
      <c r="AR136" s="314">
        <f>IFERROR(VLOOKUP(AR$1,'žádosti MPSV 2020'!$F$8:TH272,$A136,FALSE),0)</f>
        <v>0</v>
      </c>
      <c r="AS136" s="314">
        <f>IFERROR(VLOOKUP(AS$1,'žádosti MPSV 2020'!$F$8:TI272,$A136,FALSE),0)</f>
        <v>0</v>
      </c>
      <c r="AT136" s="314">
        <f>IFERROR(VLOOKUP(AT$1,'žádosti MPSV 2020'!$F$8:TJ272,$A136,FALSE),0)</f>
        <v>0</v>
      </c>
      <c r="AU136" s="314">
        <f>IFERROR(VLOOKUP(AU$1,'žádosti MPSV 2020'!$F$8:TK272,$A136,FALSE),0)</f>
        <v>0</v>
      </c>
      <c r="AV136" s="314">
        <f>IFERROR(VLOOKUP(AV$1,'žádosti MPSV 2020'!$F$8:TL272,$A136,FALSE),0)</f>
        <v>0</v>
      </c>
      <c r="AW136" s="314">
        <f>IFERROR(VLOOKUP(AW$1,'žádosti MPSV 2020'!$F$8:TM272,$A136,FALSE),0)</f>
        <v>0</v>
      </c>
      <c r="AX136" s="314">
        <f>IFERROR(VLOOKUP(AX$1,'žádosti MPSV 2020'!$F$8:TN272,$A136,FALSE),0)</f>
        <v>0</v>
      </c>
      <c r="AY136" s="314">
        <f>IFERROR(VLOOKUP(AY$1,'žádosti MPSV 2020'!$F$8:TO272,$A136,FALSE),0)</f>
        <v>0</v>
      </c>
      <c r="AZ136" s="314">
        <f>IFERROR(VLOOKUP(AZ$1,'žádosti MPSV 2020'!$F$8:TP272,$A136,FALSE),0)</f>
        <v>0</v>
      </c>
      <c r="BA136" s="314">
        <f>IFERROR(VLOOKUP(BA$1,'žádosti MPSV 2020'!$F$8:TQ272,$A136,FALSE),0)</f>
        <v>0</v>
      </c>
      <c r="BB136" s="314">
        <f>IFERROR(VLOOKUP(BB$1,'žádosti MPSV 2020'!$F$8:TR272,$A136,FALSE),0)</f>
        <v>0</v>
      </c>
      <c r="BC136" s="314">
        <f>IFERROR(VLOOKUP(BC$1,'žádosti MPSV 2020'!$F$8:TS272,$A136,FALSE),0)</f>
        <v>0</v>
      </c>
      <c r="BD136" s="314">
        <f>IFERROR(VLOOKUP(BD$1,'žádosti MPSV 2020'!$F$8:TT272,$A136,FALSE),0)</f>
        <v>0</v>
      </c>
      <c r="BE136" s="314">
        <f>IFERROR(VLOOKUP(BE$1,'žádosti MPSV 2020'!$F$8:TU272,$A136,FALSE),0)</f>
        <v>0</v>
      </c>
      <c r="BF136" s="314">
        <f>IFERROR(VLOOKUP(BF$1,'žádosti MPSV 2020'!$F$8:TV272,$A136,FALSE),0)</f>
        <v>972000</v>
      </c>
      <c r="BG136" s="314">
        <f>IFERROR(VLOOKUP(BG$1,'žádosti MPSV 2020'!$F$8:TW272,$A136,FALSE),0)</f>
        <v>840000</v>
      </c>
      <c r="BH136" s="314">
        <f>IFERROR(VLOOKUP(BH$1,'žádosti MPSV 2020'!$F$8:TX272,$A136,FALSE),0)</f>
        <v>980000</v>
      </c>
      <c r="BI136" s="314">
        <f>IFERROR(VLOOKUP(BI$1,'žádosti MPSV 2020'!$F$8:TY272,$A136,FALSE),0)</f>
        <v>0</v>
      </c>
      <c r="BJ136" s="314">
        <f>IFERROR(VLOOKUP(BJ$1,'žádosti MPSV 2020'!$F$8:TZ272,$A136,FALSE),0)</f>
        <v>0</v>
      </c>
      <c r="BK136" s="314">
        <f>IFERROR(VLOOKUP(BK$1,'žádosti MPSV 2020'!$F$8:UA272,$A136,FALSE),0)</f>
        <v>0</v>
      </c>
      <c r="BL136" s="314">
        <f>IFERROR(VLOOKUP(BL$1,'žádosti MPSV 2020'!$F$8:UB272,$A136,FALSE),0)</f>
        <v>0</v>
      </c>
      <c r="BM136" s="314">
        <f>IFERROR(VLOOKUP(BM$1,'žádosti MPSV 2020'!$F$8:UC272,$A136,FALSE),0)</f>
        <v>0</v>
      </c>
      <c r="BN136" s="314">
        <f>IFERROR(VLOOKUP(BN$1,'žádosti MPSV 2020'!$F$8:UD272,$A136,FALSE),0)</f>
        <v>0</v>
      </c>
      <c r="BO136" s="314">
        <f>IFERROR(VLOOKUP(BO$1,'žádosti MPSV 2020'!$F$8:UE272,$A136,FALSE),0)</f>
        <v>0</v>
      </c>
      <c r="BP136" s="314">
        <f>IFERROR(VLOOKUP(BP$1,'žádosti MPSV 2020'!$F$8:UF272,$A136,FALSE),0)</f>
        <v>0</v>
      </c>
      <c r="BQ136" s="314">
        <f>IFERROR(VLOOKUP(BQ$1,'žádosti MPSV 2020'!$F$8:UG272,$A136,FALSE),0)</f>
        <v>0</v>
      </c>
      <c r="BR136" s="314">
        <f>IFERROR(VLOOKUP(BR$1,'žádosti MPSV 2020'!$F$8:UH272,$A136,FALSE),0)</f>
        <v>0</v>
      </c>
      <c r="BS136" s="314">
        <f>IFERROR(VLOOKUP(BS$1,'žádosti MPSV 2020'!$F$8:UI272,$A136,FALSE),0)</f>
        <v>0</v>
      </c>
      <c r="BT136" s="314">
        <f>IFERROR(VLOOKUP(BT$1,'žádosti MPSV 2020'!$F$8:UJ272,$A136,FALSE),0)</f>
        <v>0</v>
      </c>
      <c r="BU136" s="314">
        <f>IFERROR(VLOOKUP(BU$1,'žádosti MPSV 2020'!$F$8:UK272,$A136,FALSE),0)</f>
        <v>0</v>
      </c>
      <c r="BV136" s="314">
        <f>IFERROR(VLOOKUP(BV$1,'žádosti MPSV 2020'!$F$8:UL272,$A136,FALSE),0)</f>
        <v>0</v>
      </c>
      <c r="BW136" s="314">
        <f>IFERROR(VLOOKUP(BW$1,'žádosti MPSV 2020'!$F$8:UM272,$A136,FALSE),0)</f>
        <v>0</v>
      </c>
      <c r="BX136" s="314">
        <f>IFERROR(VLOOKUP(BX$1,'žádosti MPSV 2020'!$F$8:UN272,$A136,FALSE),0)</f>
        <v>0</v>
      </c>
      <c r="BY136" s="314">
        <f>IFERROR(VLOOKUP(BY$1,'žádosti MPSV 2020'!$F$8:UO272,$A136,FALSE),0)</f>
        <v>0</v>
      </c>
      <c r="BZ136" s="314">
        <f>IFERROR(VLOOKUP(BZ$1,'žádosti MPSV 2020'!$F$8:UP272,$A136,FALSE),0)</f>
        <v>0</v>
      </c>
      <c r="CA136" s="314">
        <f>IFERROR(VLOOKUP(CA$1,'žádosti MPSV 2020'!$F$8:UQ272,$A136,FALSE),0)</f>
        <v>0</v>
      </c>
      <c r="CB136" s="314">
        <f>IFERROR(VLOOKUP(CB$1,'žádosti MPSV 2020'!$F$8:UR272,$A136,FALSE),0)</f>
        <v>0</v>
      </c>
      <c r="CC136" s="314">
        <f>IFERROR(VLOOKUP(CC$1,'žádosti MPSV 2020'!$F$8:US272,$A136,FALSE),0)</f>
        <v>0</v>
      </c>
      <c r="CD136" s="314">
        <f>IFERROR(VLOOKUP(CD$1,'žádosti MPSV 2020'!$F$8:UT272,$A136,FALSE),0)</f>
        <v>0</v>
      </c>
      <c r="CE136" s="314">
        <f>IFERROR(VLOOKUP(CE$1,'žádosti MPSV 2020'!$F$8:UU272,$A136,FALSE),0)</f>
        <v>0</v>
      </c>
      <c r="CF136" s="314">
        <f>IFERROR(VLOOKUP(CF$1,'žádosti MPSV 2020'!$F$8:UV272,$A136,FALSE),0)</f>
        <v>0</v>
      </c>
      <c r="CG136" s="314">
        <f>IFERROR(VLOOKUP(CG$1,'žádosti MPSV 2020'!$F$8:UW272,$A136,FALSE),0)</f>
        <v>0</v>
      </c>
      <c r="CH136" s="314">
        <f>IFERROR(VLOOKUP(CH$1,'žádosti MPSV 2020'!$F$8:UX272,$A136,FALSE),0)</f>
        <v>0</v>
      </c>
      <c r="CI136" s="314">
        <f>IFERROR(VLOOKUP(CI$1,'žádosti MPSV 2020'!$F$8:UY272,$A136,FALSE),0)</f>
        <v>0</v>
      </c>
      <c r="CJ136" s="314">
        <f>IFERROR(VLOOKUP(CJ$1,'žádosti MPSV 2020'!$F$8:UZ272,$A136,FALSE),0)</f>
        <v>0</v>
      </c>
      <c r="CK136" s="314">
        <f>IFERROR(VLOOKUP(CK$1,'žádosti MPSV 2020'!$F$8:VA272,$A136,FALSE),0)</f>
        <v>0</v>
      </c>
      <c r="CL136" s="314">
        <f>IFERROR(VLOOKUP(CL$1,'žádosti MPSV 2020'!$F$8:VB272,$A136,FALSE),0)</f>
        <v>0</v>
      </c>
      <c r="CM136" s="314">
        <f>IFERROR(VLOOKUP(CM$1,'žádosti MPSV 2020'!$F$8:VC272,$A136,FALSE),0)</f>
        <v>0</v>
      </c>
      <c r="CN136" s="314">
        <f>IFERROR(VLOOKUP(CN$1,'žádosti MPSV 2020'!$F$8:VD272,$A136,FALSE),0)</f>
        <v>0</v>
      </c>
      <c r="CO136" s="314">
        <f>IFERROR(VLOOKUP(CO$1,'žádosti MPSV 2020'!$F$8:VE272,$A136,FALSE),0)</f>
        <v>0</v>
      </c>
      <c r="CP136" s="314">
        <f>IFERROR(VLOOKUP(CP$1,'žádosti MPSV 2020'!$F$8:VF272,$A136,FALSE),0)</f>
        <v>0</v>
      </c>
      <c r="CQ136" s="314">
        <f>IFERROR(VLOOKUP(CQ$1,'žádosti MPSV 2020'!$F$8:VG272,$A136,FALSE),0)</f>
        <v>0</v>
      </c>
      <c r="CR136" s="314">
        <f>IFERROR(VLOOKUP(CR$1,'žádosti MPSV 2020'!$F$8:VH272,$A136,FALSE),0)</f>
        <v>0</v>
      </c>
      <c r="CS136" s="314">
        <f>IFERROR(VLOOKUP(CS$1,'žádosti MPSV 2020'!$F$8:VI272,$A136,FALSE),0)</f>
        <v>0</v>
      </c>
      <c r="CT136" s="314">
        <f>IFERROR(VLOOKUP(CT$1,'žádosti MPSV 2020'!$F$8:VJ272,$A136,FALSE),0)</f>
        <v>0</v>
      </c>
      <c r="CU136" s="314">
        <f>IFERROR(VLOOKUP(CU$1,'žádosti MPSV 2020'!$F$8:VK272,$A136,FALSE),0)</f>
        <v>0</v>
      </c>
      <c r="CV136" s="314">
        <f>IFERROR(VLOOKUP(CV$1,'žádosti MPSV 2020'!$F$8:VL272,$A136,FALSE),0)</f>
        <v>0</v>
      </c>
      <c r="CW136" s="314">
        <f>IFERROR(VLOOKUP(CW$1,'žádosti MPSV 2020'!$F$8:VM272,$A136,FALSE),0)</f>
        <v>0</v>
      </c>
      <c r="CX136" s="314">
        <f>IFERROR(VLOOKUP(CX$1,'žádosti MPSV 2020'!$F$8:VN272,$A136,FALSE),0)</f>
        <v>0</v>
      </c>
      <c r="CY136" s="314">
        <f>IFERROR(VLOOKUP(CY$1,'žádosti MPSV 2020'!$F$8:VO272,$A136,FALSE),0)</f>
        <v>0</v>
      </c>
      <c r="CZ136" s="314">
        <f>IFERROR(VLOOKUP(CZ$1,'žádosti MPSV 2020'!$F$8:VP272,$A136,FALSE),0)</f>
        <v>0</v>
      </c>
      <c r="DA136" s="314">
        <f>IFERROR(VLOOKUP(DA$1,'žádosti MPSV 2020'!$F$8:VQ272,$A136,FALSE),0)</f>
        <v>0</v>
      </c>
      <c r="DB136" s="314">
        <f>IFERROR(VLOOKUP(DB$1,'žádosti MPSV 2020'!$F$8:VR272,$A136,FALSE),0)</f>
        <v>0</v>
      </c>
      <c r="DC136" s="314">
        <f>IFERROR(VLOOKUP(DC$1,'žádosti MPSV 2020'!$F$8:VS272,$A136,FALSE),0)</f>
        <v>0</v>
      </c>
      <c r="DD136" s="314">
        <f>IFERROR(VLOOKUP(DD$1,'žádosti MPSV 2020'!$F$8:VT272,$A136,FALSE),0)</f>
        <v>0</v>
      </c>
      <c r="DE136" s="314">
        <f>IFERROR(VLOOKUP(DE$1,'žádosti MPSV 2020'!$F$8:VU272,$A136,FALSE),0)</f>
        <v>0</v>
      </c>
      <c r="DF136" s="314">
        <f>IFERROR(VLOOKUP(DF$1,'žádosti MPSV 2020'!$F$8:VV272,$A136,FALSE),0)</f>
        <v>3578225</v>
      </c>
      <c r="DG136" s="314">
        <f>IFERROR(VLOOKUP(DG$1,'žádosti MPSV 2020'!$F$8:VW272,$A136,FALSE),0)</f>
        <v>0</v>
      </c>
      <c r="DH136" s="314">
        <f>IFERROR(VLOOKUP(DH$1,'žádosti MPSV 2020'!$F$8:WA272,$A136,FALSE),0)</f>
        <v>0</v>
      </c>
      <c r="DI136" s="314">
        <f>IFERROR(VLOOKUP(DI$1,'žádosti MPSV 2020'!$F$8:WB272,$A136,FALSE),0)</f>
        <v>0</v>
      </c>
      <c r="DJ136" s="314">
        <f>IFERROR(VLOOKUP(DJ$1,'žádosti MPSV 2020'!$F$8:WC272,$A136,FALSE),0)</f>
        <v>0</v>
      </c>
      <c r="DK136" s="314">
        <f>IFERROR(VLOOKUP(DK$1,'žádosti MPSV 2020'!$F$8:WD272,$A136,FALSE),0)</f>
        <v>0</v>
      </c>
      <c r="DL136" s="314">
        <f>IFERROR(VLOOKUP(DL$1,'žádosti MPSV 2020'!$F$8:WE272,$A136,FALSE),0)</f>
        <v>0</v>
      </c>
      <c r="DM136" s="314">
        <f>IFERROR(VLOOKUP(DM$1,'žádosti MPSV 2020'!$F$8:WF272,$A136,FALSE),0)</f>
        <v>0</v>
      </c>
      <c r="DN136" s="314">
        <f>IFERROR(VLOOKUP(DN$1,'žádosti MPSV 2020'!$F$8:WG272,$A136,FALSE),0)</f>
        <v>0</v>
      </c>
      <c r="DO136" s="314">
        <f>IFERROR(VLOOKUP(DO$1,'žádosti MPSV 2020'!$F$8:WH272,$A136,FALSE),0)</f>
        <v>0</v>
      </c>
      <c r="DP136" s="314">
        <f>IFERROR(VLOOKUP(DP$1,'žádosti MPSV 2020'!$F$8:WI272,$A136,FALSE),0)</f>
        <v>0</v>
      </c>
      <c r="DQ136" s="314">
        <f>IFERROR(VLOOKUP(DQ$1,'žádosti MPSV 2020'!$F$8:WJ272,$A136,FALSE),0)</f>
        <v>0</v>
      </c>
      <c r="DR136" s="314">
        <f>IFERROR(VLOOKUP(DR$1,'žádosti MPSV 2020'!$F$8:WK272,$A136,FALSE),0)</f>
        <v>0</v>
      </c>
      <c r="DS136" s="314">
        <f>IFERROR(VLOOKUP(DS$1,'žádosti MPSV 2020'!$F$8:WL272,$A136,FALSE),0)</f>
        <v>0</v>
      </c>
      <c r="DT136" s="314">
        <f>IFERROR(VLOOKUP(DT$1,'žádosti MPSV 2020'!$F$8:WM272,$A136,FALSE),0)</f>
        <v>0</v>
      </c>
      <c r="DU136" s="314">
        <f>IFERROR(VLOOKUP(DU$1,'žádosti MPSV 2020'!$F$8:WN272,$A136,FALSE),0)</f>
        <v>0</v>
      </c>
      <c r="DV136" s="314">
        <f>IFERROR(VLOOKUP(DV$1,'žádosti MPSV 2020'!$F$8:WO272,$A136,FALSE),0)</f>
        <v>0</v>
      </c>
      <c r="DW136" s="314">
        <f>IFERROR(VLOOKUP(DW$1,'žádosti MPSV 2020'!$F$8:WP272,$A136,FALSE),0)</f>
        <v>0</v>
      </c>
      <c r="DX136" s="314">
        <f>IFERROR(VLOOKUP(DX$1,'žádosti MPSV 2020'!$F$8:WQ272,$A136,FALSE),0)</f>
        <v>0</v>
      </c>
      <c r="DY136" s="314">
        <f>IFERROR(VLOOKUP(DY$1,'žádosti MPSV 2020'!$F$8:WR272,$A136,FALSE),0)</f>
        <v>0</v>
      </c>
      <c r="DZ136" s="314">
        <f>IFERROR(VLOOKUP(DZ$1,'žádosti MPSV 2020'!$F$8:WS272,$A136,FALSE),0)</f>
        <v>0</v>
      </c>
      <c r="EA136" s="314">
        <f>IFERROR(VLOOKUP(EA$1,'žádosti MPSV 2020'!$F$8:WT272,$A136,FALSE),0)</f>
        <v>0</v>
      </c>
      <c r="EB136" s="356">
        <v>1400000</v>
      </c>
      <c r="EC136" s="314">
        <f>IFERROR(VLOOKUP(EC$1,'žádosti MPSV 2020'!$F$8:WV272,$A136,FALSE),0)</f>
        <v>0</v>
      </c>
      <c r="ED136" s="314">
        <f>IFERROR(VLOOKUP(ED$1,'žádosti MPSV 2020'!$F$8:WW272,$A136,FALSE),0)</f>
        <v>0</v>
      </c>
      <c r="EE136" s="314">
        <f>IFERROR(VLOOKUP(EE$1,'žádosti MPSV 2020'!$F$8:WX272,$A136,FALSE),0)</f>
        <v>0</v>
      </c>
      <c r="EF136" s="314">
        <f>IFERROR(VLOOKUP(EF$1,'žádosti MPSV 2020'!$F$8:WY272,$A136,FALSE),0)</f>
        <v>0</v>
      </c>
      <c r="EG136" s="314">
        <f>IFERROR(VLOOKUP(EG$1,'žádosti MPSV 2020'!$F$8:WZ272,$A136,FALSE),0)</f>
        <v>0</v>
      </c>
      <c r="EH136" s="314">
        <f>IFERROR(VLOOKUP(EH$1,'žádosti MPSV 2020'!$F$8:XA272,$A136,FALSE),0)</f>
        <v>0</v>
      </c>
      <c r="EI136" s="314">
        <f>IFERROR(VLOOKUP(EI$1,'žádosti MPSV 2020'!$F$8:XB272,$A136,FALSE),0)</f>
        <v>0</v>
      </c>
      <c r="EJ136" s="314">
        <f>IFERROR(VLOOKUP(EJ$1,'žádosti MPSV 2020'!$F$8:XC272,$A136,FALSE),0)</f>
        <v>0</v>
      </c>
      <c r="EK136" s="314">
        <f>IFERROR(VLOOKUP(EK$1,'žádosti MPSV 2020'!$F$8:XD272,$A136,FALSE),0)</f>
        <v>0</v>
      </c>
      <c r="EL136" s="314">
        <f>IFERROR(VLOOKUP(EL$1,'žádosti MPSV 2020'!$F$8:XE272,$A136,FALSE),0)</f>
        <v>0</v>
      </c>
      <c r="EM136" s="314">
        <f>IFERROR(VLOOKUP(EM$1,'žádosti MPSV 2020'!$F$8:XF272,$A136,FALSE),0)</f>
        <v>0</v>
      </c>
      <c r="EN136" s="314">
        <f>IFERROR(VLOOKUP(EN$1,'žádosti MPSV 2020'!$F$8:XG272,$A136,FALSE),0)</f>
        <v>0</v>
      </c>
      <c r="EO136" s="314">
        <f>IFERROR(VLOOKUP(EO$1,'žádosti MPSV 2020'!$F$8:XH272,$A136,FALSE),0)</f>
        <v>0</v>
      </c>
      <c r="EP136" s="314">
        <f>IFERROR(VLOOKUP(EP$1,'žádosti MPSV 2020'!$F$8:XI272,$A136,FALSE),0)</f>
        <v>0</v>
      </c>
      <c r="EQ136" s="314">
        <f>IFERROR(VLOOKUP(EQ$1,'žádosti MPSV 2020'!$F$8:XJ272,$A136,FALSE),0)</f>
        <v>0</v>
      </c>
      <c r="ER136" s="314">
        <f>IFERROR(VLOOKUP(ER$1,'žádosti MPSV 2020'!$F$8:XK272,$A136,FALSE),0)</f>
        <v>0</v>
      </c>
      <c r="ES136" s="314">
        <f>IFERROR(VLOOKUP(ES$1,'žádosti MPSV 2020'!$F$8:XL272,$A136,FALSE),0)</f>
        <v>0</v>
      </c>
      <c r="ET136" s="314">
        <f>IFERROR(VLOOKUP(ET$1,'žádosti MPSV 2020'!$F$8:XM272,$A136,FALSE),0)</f>
        <v>0</v>
      </c>
      <c r="EU136" s="314">
        <f>IFERROR(VLOOKUP(EU$1,'žádosti MPSV 2020'!$F$8:XN272,$A136,FALSE),0)</f>
        <v>0</v>
      </c>
      <c r="EV136" s="314">
        <f>IFERROR(VLOOKUP(EV$1,'žádosti MPSV 2020'!$F$8:XO272,$A136,FALSE),0)</f>
        <v>0</v>
      </c>
      <c r="EW136" s="314">
        <f>IFERROR(VLOOKUP(EW$1,'žádosti MPSV 2020'!$F$8:XP272,$A136,FALSE),0)</f>
        <v>0</v>
      </c>
      <c r="EX136" s="314">
        <f>IFERROR(VLOOKUP(EX$1,'žádosti MPSV 2020'!$F$8:XQ272,$A136,FALSE),0)</f>
        <v>0</v>
      </c>
      <c r="EY136" s="314">
        <f>IFERROR(VLOOKUP(EY$1,'žádosti MPSV 2020'!$F$8:XR272,$A136,FALSE),0)</f>
        <v>0</v>
      </c>
      <c r="EZ136" s="314">
        <f>IFERROR(VLOOKUP(EZ$1,'žádosti MPSV 2020'!$F$8:XS272,$A136,FALSE),0)</f>
        <v>0</v>
      </c>
      <c r="FA136" s="314">
        <f>IFERROR(VLOOKUP(FA$1,'žádosti MPSV 2020'!$F$8:XT272,$A136,FALSE),0)</f>
        <v>0</v>
      </c>
      <c r="FB136" s="314">
        <f>IFERROR(VLOOKUP(FB$1,'žádosti MPSV 2020'!$F$8:XU272,$A136,FALSE),0)</f>
        <v>0</v>
      </c>
      <c r="FC136" s="314">
        <f>IFERROR(VLOOKUP(FC$1,'žádosti MPSV 2020'!$F$8:XV272,$A136,FALSE),0)</f>
        <v>0</v>
      </c>
      <c r="FD136" s="314">
        <f>IFERROR(VLOOKUP(FD$1,'žádosti MPSV 2020'!$F$8:XW272,$A136,FALSE),0)</f>
        <v>0</v>
      </c>
      <c r="FE136" s="314">
        <f>IFERROR(VLOOKUP(FE$1,'žádosti MPSV 2020'!$F$8:XX272,$A136,FALSE),0)</f>
        <v>0</v>
      </c>
      <c r="FF136" s="314">
        <f>IFERROR(VLOOKUP(FF$1,'žádosti MPSV 2020'!$F$8:XY272,$A136,FALSE),0)</f>
        <v>0</v>
      </c>
      <c r="FG136" s="314">
        <f>IFERROR(VLOOKUP(FG$1,'žádosti MPSV 2020'!$F$8:XZ272,$A136,FALSE),0)</f>
        <v>0</v>
      </c>
      <c r="FH136" s="314">
        <f>IFERROR(VLOOKUP(FH$1,'žádosti MPSV 2020'!$F$8:YA272,$A136,FALSE),0)</f>
        <v>0</v>
      </c>
      <c r="FI136" s="314">
        <f>IFERROR(VLOOKUP(FI$1,'žádosti MPSV 2020'!$F$8:YB272,$A136,FALSE),0)</f>
        <v>0</v>
      </c>
      <c r="FJ136" s="314">
        <f>IFERROR(VLOOKUP(FJ$1,'žádosti MPSV 2020'!$F$8:YC272,$A136,FALSE),0)</f>
        <v>0</v>
      </c>
      <c r="FK136" s="314">
        <f>IFERROR(VLOOKUP(FK$1,'žádosti MPSV 2020'!$F$8:YD272,$A136,FALSE),0)</f>
        <v>0</v>
      </c>
      <c r="FL136" s="314">
        <f>IFERROR(VLOOKUP(FL$1,'žádosti MPSV 2020'!$F$8:YE272,$A136,FALSE),0)</f>
        <v>0</v>
      </c>
      <c r="FM136" s="314">
        <f>IFERROR(VLOOKUP(FM$1,'žádosti MPSV 2020'!$F$8:YF272,$A136,FALSE),0)</f>
        <v>0</v>
      </c>
      <c r="FN136" s="314">
        <f>IFERROR(VLOOKUP(FN$1,'žádosti MPSV 2020'!$F$8:YG272,$A136,FALSE),0)</f>
        <v>0</v>
      </c>
      <c r="FO136" s="314">
        <f>IFERROR(VLOOKUP(FO$1,'žádosti MPSV 2020'!$F$8:YH272,$A136,FALSE),0)</f>
        <v>0</v>
      </c>
      <c r="FP136" s="314">
        <f>IFERROR(VLOOKUP(FP$1,'žádosti MPSV 2020'!$F$8:YI272,$A136,FALSE),0)</f>
        <v>0</v>
      </c>
      <c r="FQ136" s="314">
        <f>IFERROR(VLOOKUP(FQ$1,'žádosti MPSV 2020'!$F$8:YJ272,$A136,FALSE),0)</f>
        <v>0</v>
      </c>
      <c r="FR136" s="314">
        <f>IFERROR(VLOOKUP(FR$1,'žádosti MPSV 2020'!$F$8:YK272,$A136,FALSE),0)</f>
        <v>0</v>
      </c>
      <c r="FS136" s="314">
        <f>IFERROR(VLOOKUP(FS$1,'žádosti MPSV 2020'!$F$8:YL272,$A136,FALSE),0)</f>
        <v>0</v>
      </c>
      <c r="FT136" s="314">
        <f>IFERROR(VLOOKUP(FT$1,'žádosti MPSV 2020'!$F$8:YM272,$A136,FALSE),0)</f>
        <v>0</v>
      </c>
      <c r="FU136" s="314">
        <f>IFERROR(VLOOKUP(FU$1,'žádosti MPSV 2020'!$F$8:YN272,$A136,FALSE),0)</f>
        <v>0</v>
      </c>
      <c r="FV136" s="314">
        <f>IFERROR(VLOOKUP(FV$1,'žádosti MPSV 2020'!$F$8:YO272,$A136,FALSE),0)</f>
        <v>0</v>
      </c>
      <c r="FW136" s="314">
        <f>IFERROR(VLOOKUP(FW$1,'žádosti MPSV 2020'!$F$8:YP272,$A136,FALSE),0)</f>
        <v>0</v>
      </c>
      <c r="FX136" s="314">
        <f>IFERROR(VLOOKUP(FX$1,'žádosti MPSV 2020'!$F$8:YQ272,$A136,FALSE),0)</f>
        <v>0</v>
      </c>
      <c r="FY136" s="314">
        <f>IFERROR(VLOOKUP(FY$1,'žádosti MPSV 2020'!$F$8:YR272,$A136,FALSE),0)</f>
        <v>0</v>
      </c>
      <c r="FZ136" s="314">
        <f>IFERROR(VLOOKUP(FZ$1,'žádosti MPSV 2020'!$F$8:YS272,$A136,FALSE),0)</f>
        <v>0</v>
      </c>
      <c r="GA136" s="314">
        <f>IFERROR(VLOOKUP(GA$1,'žádosti MPSV 2020'!$F$8:YT272,$A136,FALSE),0)</f>
        <v>0</v>
      </c>
      <c r="GB136" s="314">
        <f>IFERROR(VLOOKUP(GB$1,'žádosti MPSV 2020'!$F$8:YU272,$A136,FALSE),0)</f>
        <v>0</v>
      </c>
      <c r="GC136" s="314">
        <f>IFERROR(VLOOKUP(GC$1,'žádosti MPSV 2020'!$F$8:YV272,$A136,FALSE),0)</f>
        <v>0</v>
      </c>
      <c r="GD136" s="314">
        <f>IFERROR(VLOOKUP(GD$1,'žádosti MPSV 2020'!$F$8:YW272,$A136,FALSE),0)</f>
        <v>0</v>
      </c>
      <c r="GE136" s="314">
        <f>IFERROR(VLOOKUP(GE$1,'žádosti MPSV 2020'!$F$8:YX272,$A136,FALSE),0)</f>
        <v>0</v>
      </c>
      <c r="GF136" s="314">
        <f>IFERROR(VLOOKUP(GF$1,'žádosti MPSV 2020'!$F$8:YY272,$A136,FALSE),0)</f>
        <v>0</v>
      </c>
      <c r="GG136" s="314">
        <f>IFERROR(VLOOKUP(GG$1,'žádosti MPSV 2020'!$F$8:YZ272,$A136,FALSE),0)</f>
        <v>0</v>
      </c>
      <c r="GH136" s="314">
        <f>IFERROR(VLOOKUP(GH$1,'žádosti MPSV 2020'!$F$8:ZA272,$A136,FALSE),0)</f>
        <v>0</v>
      </c>
      <c r="GI136" s="314">
        <f>IFERROR(VLOOKUP(GI$1,'žádosti MPSV 2020'!$F$8:ZB272,$A136,FALSE),0)</f>
        <v>0</v>
      </c>
      <c r="GJ136" s="314">
        <f>IFERROR(VLOOKUP(GJ$1,'žádosti MPSV 2020'!$F$8:ZC272,$A136,FALSE),0)</f>
        <v>0</v>
      </c>
      <c r="GK136" s="314">
        <f>IFERROR(VLOOKUP(GK$1,'žádosti MPSV 2020'!$F$8:ZD272,$A136,FALSE),0)</f>
        <v>0</v>
      </c>
      <c r="GL136" s="314">
        <f>IFERROR(VLOOKUP(GL$1,'žádosti MPSV 2020'!$F$8:ZE272,$A136,FALSE),0)</f>
        <v>0</v>
      </c>
      <c r="GM136" s="314">
        <f>IFERROR(VLOOKUP(GM$1,'žádosti MPSV 2020'!$F$8:ZF272,$A136,FALSE),0)</f>
        <v>0</v>
      </c>
      <c r="GN136" s="314">
        <f>IFERROR(VLOOKUP(GN$1,'žádosti MPSV 2020'!$F$8:ZG272,$A136,FALSE),0)</f>
        <v>0</v>
      </c>
      <c r="GO136" s="314">
        <f>IFERROR(VLOOKUP(GO$1,'žádosti MPSV 2020'!$F$8:ZH272,$A136,FALSE),0)</f>
        <v>0</v>
      </c>
      <c r="GP136" s="314">
        <f>IFERROR(VLOOKUP(GP$1,'žádosti MPSV 2020'!$F$8:ZI272,$A136,FALSE),0)</f>
        <v>0</v>
      </c>
      <c r="GQ136" s="314">
        <f>IFERROR(VLOOKUP(GQ$1,'žádosti MPSV 2020'!$F$8:ZJ272,$A136,FALSE),0)</f>
        <v>0</v>
      </c>
      <c r="GR136" s="314">
        <f>IFERROR(VLOOKUP(GR$1,'žádosti MPSV 2020'!$F$8:ZK272,$A136,FALSE),0)</f>
        <v>0</v>
      </c>
      <c r="GS136" s="314">
        <f>IFERROR(VLOOKUP(GS$1,'žádosti MPSV 2020'!$F$8:ZL272,$A136,FALSE),0)</f>
        <v>0</v>
      </c>
      <c r="GT136" s="314">
        <f>IFERROR(VLOOKUP(GT$1,'žádosti MPSV 2020'!$F$8:ZM272,$A136,FALSE),0)</f>
        <v>0</v>
      </c>
      <c r="GU136" s="314">
        <f>IFERROR(VLOOKUP(GU$1,'žádosti MPSV 2020'!$F$8:ZN272,$A136,FALSE),0)</f>
        <v>0</v>
      </c>
      <c r="GV136" s="314">
        <f>IFERROR(VLOOKUP(GV$1,'žádosti MPSV 2020'!$F$8:ZO272,$A136,FALSE),0)</f>
        <v>0</v>
      </c>
      <c r="GW136" s="314">
        <f>IFERROR(VLOOKUP(GW$1,'žádosti MPSV 2020'!$F$8:ZP272,$A136,FALSE),0)</f>
        <v>0</v>
      </c>
      <c r="GX136" s="314">
        <f>IFERROR(VLOOKUP(GX$1,'žádosti MPSV 2020'!$F$8:ZQ272,$A136,FALSE),0)</f>
        <v>0</v>
      </c>
      <c r="GY136" s="314">
        <f>IFERROR(VLOOKUP(GY$1,'žádosti MPSV 2020'!$F$8:ZR272,$A136,FALSE),0)</f>
        <v>0</v>
      </c>
      <c r="GZ136" s="314">
        <f>IFERROR(VLOOKUP(GZ$1,'žádosti MPSV 2020'!$F$8:ZS272,$A136,FALSE),0)</f>
        <v>0</v>
      </c>
      <c r="HA136" s="314">
        <f>IFERROR(VLOOKUP(HA$1,'žádosti MPSV 2020'!$F$8:ZT272,$A136,FALSE),0)</f>
        <v>0</v>
      </c>
      <c r="HB136" s="314">
        <f>IFERROR(VLOOKUP(HB$1,'žádosti MPSV 2020'!$F$8:ZU272,$A136,FALSE),0)</f>
        <v>0</v>
      </c>
      <c r="HC136" s="314">
        <f>IFERROR(VLOOKUP(HC$1,'žádosti MPSV 2020'!$F$8:ZV272,$A136,FALSE),0)</f>
        <v>0</v>
      </c>
      <c r="HD136" s="314">
        <f>IFERROR(VLOOKUP(HD$1,'žádosti MPSV 2020'!$F$8:ZW272,$A136,FALSE),0)</f>
        <v>0</v>
      </c>
      <c r="HE136" s="314">
        <f>IFERROR(VLOOKUP(HE$1,'žádosti MPSV 2020'!$F$8:ZX272,$A136,FALSE),0)</f>
        <v>0</v>
      </c>
      <c r="HF136" s="314">
        <f>IFERROR(VLOOKUP(HF$1,'žádosti MPSV 2020'!$F$8:ZY272,$A136,FALSE),0)</f>
        <v>0</v>
      </c>
      <c r="HG136" s="314">
        <f>IFERROR(VLOOKUP(HG$1,'žádosti MPSV 2020'!$F$8:ZZ272,$A136,FALSE),0)</f>
        <v>0</v>
      </c>
      <c r="HH136" s="314">
        <f>IFERROR(VLOOKUP(HH$1,'žádosti MPSV 2020'!$F$8:AAA272,$A136,FALSE),0)</f>
        <v>0</v>
      </c>
      <c r="HI136" s="314">
        <f>IFERROR(VLOOKUP(HI$1,'žádosti MPSV 2020'!$F$8:AAB272,$A136,FALSE),0)</f>
        <v>0</v>
      </c>
      <c r="HJ136" s="314">
        <f>IFERROR(VLOOKUP(HJ$1,'žádosti MPSV 2020'!$F$8:AAC272,$A136,FALSE),0)</f>
        <v>0</v>
      </c>
      <c r="HK136" s="314">
        <f>IFERROR(VLOOKUP(HK$1,'žádosti MPSV 2020'!$F$8:AAD272,$A136,FALSE),0)</f>
        <v>0</v>
      </c>
      <c r="HL136" s="314">
        <f>IFERROR(VLOOKUP(HL$1,'žádosti MPSV 2020'!$F$8:AAE272,$A136,FALSE),0)</f>
        <v>0</v>
      </c>
      <c r="HM136" s="314">
        <f>IFERROR(VLOOKUP(HM$1,'žádosti MPSV 2020'!$F$8:AAF272,$A136,FALSE),0)</f>
        <v>0</v>
      </c>
      <c r="HN136" s="314">
        <f>IFERROR(VLOOKUP(HN$1,'žádosti MPSV 2020'!$F$8:AAG272,$A136,FALSE),0)</f>
        <v>0</v>
      </c>
      <c r="HO136" s="314">
        <f>IFERROR(VLOOKUP(HO$1,'žádosti MPSV 2020'!$F$8:AAH272,$A136,FALSE),0)</f>
        <v>0</v>
      </c>
      <c r="HP136" s="314">
        <f>IFERROR(VLOOKUP(HP$1,'žádosti MPSV 2020'!$F$8:AAI272,$A136,FALSE),0)</f>
        <v>0</v>
      </c>
      <c r="HQ136" s="314">
        <f>IFERROR(VLOOKUP(HQ$1,'žádosti MPSV 2020'!$F$8:AAJ272,$A136,FALSE),0)</f>
        <v>0</v>
      </c>
      <c r="HR136" s="314">
        <f>IFERROR(VLOOKUP(HR$1,'žádosti MPSV 2020'!$F$8:AAK272,$A136,FALSE),0)</f>
        <v>0</v>
      </c>
      <c r="HS136" s="314">
        <f>IFERROR(VLOOKUP(HS$1,'žádosti MPSV 2020'!$F$8:AAL272,$A136,FALSE),0)</f>
        <v>0</v>
      </c>
      <c r="HT136" s="314">
        <f>IFERROR(VLOOKUP(HT$1,'žádosti MPSV 2020'!$F$8:AAM272,$A136,FALSE),0)</f>
        <v>0</v>
      </c>
      <c r="HU136" s="314">
        <f>IFERROR(VLOOKUP(HU$1,'žádosti MPSV 2020'!$F$8:AAN272,$A136,FALSE),0)</f>
        <v>0</v>
      </c>
      <c r="HV136" s="314">
        <f>IFERROR(VLOOKUP(HV$1,'žádosti MPSV 2020'!$F$8:AAO272,$A136,FALSE),0)</f>
        <v>0</v>
      </c>
      <c r="HW136" s="314">
        <f>IFERROR(VLOOKUP(HW$1,'žádosti MPSV 2020'!$F$8:AAP272,$A136,FALSE),0)</f>
        <v>59840</v>
      </c>
      <c r="HX136" s="314">
        <f>IFERROR(VLOOKUP(HX$1,'žádosti MPSV 2020'!$F$8:AAQ272,$A136,FALSE),0)</f>
        <v>314160</v>
      </c>
      <c r="HY136" s="314">
        <f>IFERROR(VLOOKUP(HY$1,'žádosti MPSV 2020'!$F$8:AAR272,$A136,FALSE),0)</f>
        <v>0</v>
      </c>
      <c r="HZ136" s="314">
        <f>IFERROR(VLOOKUP(HZ$1,'žádosti MPSV 2020'!$F$8:AAS272,$A136,FALSE),0)</f>
        <v>0</v>
      </c>
      <c r="IA136" s="314">
        <f>IFERROR(VLOOKUP(IA$1,'žádosti MPSV 2020'!$F$8:AAT272,$A136,FALSE),0)</f>
        <v>0</v>
      </c>
      <c r="IB136" s="314">
        <f>IFERROR(VLOOKUP(IB$1,'žádosti MPSV 2020'!$F$8:AAU272,$A136,FALSE),0)</f>
        <v>0</v>
      </c>
      <c r="IC136" s="314">
        <f>IFERROR(VLOOKUP(IC$1,'žádosti MPSV 2020'!$F$8:AAV272,$A136,FALSE),0)</f>
        <v>0</v>
      </c>
      <c r="ID136" s="314">
        <f>IFERROR(VLOOKUP(ID$1,'žádosti MPSV 2020'!$F$8:AAW272,$A136,FALSE),0)</f>
        <v>0</v>
      </c>
      <c r="IE136" s="314">
        <f>IFERROR(VLOOKUP(IE$1,'žádosti MPSV 2020'!$F$8:AAX272,$A136,FALSE),0)</f>
        <v>0</v>
      </c>
      <c r="IF136" s="314">
        <f>IFERROR(VLOOKUP(IF$1,'žádosti MPSV 2020'!$F$8:AAY272,$A136,FALSE),0)</f>
        <v>0</v>
      </c>
      <c r="IG136" s="314">
        <f>IFERROR(VLOOKUP(IG$1,'žádosti MPSV 2020'!$F$8:AAZ272,$A136,FALSE),0)</f>
        <v>0</v>
      </c>
      <c r="IH136" s="314">
        <f>IFERROR(VLOOKUP(IH$1,'žádosti MPSV 2020'!$F$8:ABA272,$A136,FALSE),0)</f>
        <v>0</v>
      </c>
      <c r="II136" s="314">
        <f>IFERROR(VLOOKUP(II$1,'žádosti MPSV 2020'!$F$8:ABB272,$A136,FALSE),0)</f>
        <v>0</v>
      </c>
      <c r="IJ136" s="314">
        <f>IFERROR(VLOOKUP(IJ$1,'žádosti MPSV 2020'!$F$8:ABC272,$A136,FALSE),0)</f>
        <v>0</v>
      </c>
      <c r="IK136" s="314">
        <f>IFERROR(VLOOKUP(IK$1,'žádosti MPSV 2020'!$F$8:ABD272,$A136,FALSE),0)</f>
        <v>0</v>
      </c>
      <c r="IL136" s="314">
        <f>IFERROR(VLOOKUP(IL$1,'žádosti MPSV 2020'!$F$8:ABE272,$A136,FALSE),0)</f>
        <v>0</v>
      </c>
      <c r="IM136" s="314">
        <f>IFERROR(VLOOKUP(IM$1,'žádosti MPSV 2020'!$F$8:ABF272,$A136,FALSE),0)</f>
        <v>1040</v>
      </c>
      <c r="IN136" s="314">
        <f>IFERROR(VLOOKUP(IN$1,'žádosti MPSV 2020'!$F$8:ABG272,$A136,FALSE),0)</f>
        <v>21060</v>
      </c>
      <c r="IO136" s="314">
        <f>IFERROR(VLOOKUP(IO$1,'žádosti MPSV 2020'!$F$8:ABH272,$A136,FALSE),0)</f>
        <v>3900</v>
      </c>
      <c r="IP136" s="314">
        <f>IFERROR(VLOOKUP(IP$1,'žádosti MPSV 2020'!$F$8:ABI272,$A136,FALSE),0)</f>
        <v>0</v>
      </c>
      <c r="IQ136" s="314">
        <f>IFERROR(VLOOKUP(IQ$1,'žádosti MPSV 2020'!$F$8:ABJ272,$A136,FALSE),0)</f>
        <v>0</v>
      </c>
      <c r="IR136" s="314">
        <f>IFERROR(VLOOKUP(IR$1,'žádosti MPSV 2020'!$F$8:ABK272,$A136,FALSE),0)</f>
        <v>0</v>
      </c>
      <c r="IS136" s="314">
        <f>IFERROR(VLOOKUP(IS$1,'žádosti MPSV 2020'!$F$8:ABL272,$A136,FALSE),0)</f>
        <v>0</v>
      </c>
      <c r="IT136" s="314">
        <f>IFERROR(VLOOKUP(IT$1,'žádosti MPSV 2020'!$F$8:ABM272,$A136,FALSE),0)</f>
        <v>0</v>
      </c>
      <c r="IU136" s="314">
        <f>IFERROR(VLOOKUP(IU$1,'žádosti MPSV 2020'!$F$8:ABN272,$A136,FALSE),0)</f>
        <v>0</v>
      </c>
      <c r="IV136" s="314">
        <f>IFERROR(VLOOKUP(IV$1,'žádosti MPSV 2020'!$F$8:ABO272,$A136,FALSE),0)</f>
        <v>0</v>
      </c>
      <c r="IW136" s="314">
        <f>IFERROR(VLOOKUP(IW$1,'žádosti MPSV 2020'!$F$8:ABP272,$A136,FALSE),0)</f>
        <v>0</v>
      </c>
      <c r="IX136" s="314">
        <f>IFERROR(VLOOKUP(IX$1,'žádosti MPSV 2020'!$F$8:ABQ272,$A136,FALSE),0)</f>
        <v>0</v>
      </c>
      <c r="IY136" s="314">
        <f>IFERROR(VLOOKUP(IY$1,'žádosti MPSV 2020'!$F$8:ABR272,$A136,FALSE),0)</f>
        <v>0</v>
      </c>
      <c r="IZ136" s="314">
        <f>IFERROR(VLOOKUP(IZ$1,'žádosti MPSV 2020'!$F$8:ABS272,$A136,FALSE),0)</f>
        <v>0</v>
      </c>
      <c r="JA136" s="314">
        <f>IFERROR(VLOOKUP(JA$1,'žádosti MPSV 2020'!$F$8:ABT272,$A136,FALSE),0)</f>
        <v>0</v>
      </c>
      <c r="JB136" s="314">
        <f>IFERROR(VLOOKUP(JB$1,'žádosti MPSV 2020'!$F$8:ABU272,$A136,FALSE),0)</f>
        <v>465400</v>
      </c>
      <c r="JC136" s="314">
        <f>IFERROR(VLOOKUP(JC$1,'žádosti MPSV 2020'!$F$8:ABV272,$A136,FALSE),0)</f>
        <v>0</v>
      </c>
      <c r="JD136" s="314">
        <f>IFERROR(VLOOKUP(JD$1,'žádosti MPSV 2020'!$F$8:ABW272,$A136,FALSE),0)</f>
        <v>3908439</v>
      </c>
      <c r="JE136" s="314">
        <f>IFERROR(VLOOKUP(JE$1,'žádosti MPSV 2020'!$F$8:ABX272,$A136,FALSE),0)</f>
        <v>0</v>
      </c>
      <c r="JF136" s="314">
        <f>IFERROR(VLOOKUP(JF$1,'žádosti MPSV 2020'!$F$8:ABY272,$A136,FALSE),0)</f>
        <v>0</v>
      </c>
      <c r="JG136" s="314">
        <f>IFERROR(VLOOKUP(JG$1,'žádosti MPSV 2020'!$F$8:ABZ272,$A136,FALSE),0)</f>
        <v>0</v>
      </c>
      <c r="JH136" s="314">
        <f>IFERROR(VLOOKUP(JH$1,'žádosti MPSV 2020'!$F$8:ACA272,$A136,FALSE),0)</f>
        <v>0</v>
      </c>
      <c r="JI136" s="314">
        <f t="shared" si="628"/>
        <v>12544064</v>
      </c>
    </row>
    <row r="137" spans="1:276" s="307" customFormat="1" x14ac:dyDescent="0.25">
      <c r="A137" s="314">
        <v>466</v>
      </c>
      <c r="B137" s="314" t="s">
        <v>67</v>
      </c>
      <c r="C137" s="314">
        <f>IFERROR(VLOOKUP(C$1,'žádosti MPSV 2020'!$F$8:RT273,$A137,FALSE),0)</f>
        <v>0</v>
      </c>
      <c r="D137" s="314">
        <f>IFERROR(VLOOKUP(D$1,'žádosti MPSV 2020'!$F$8:RU273,$A137,FALSE),0)</f>
        <v>0</v>
      </c>
      <c r="E137" s="314">
        <f>IFERROR(VLOOKUP(E$1,'žádosti MPSV 2020'!$F$8:RV273,$A137,FALSE),0)</f>
        <v>0</v>
      </c>
      <c r="F137" s="314">
        <f>IFERROR(VLOOKUP(F$1,'žádosti MPSV 2020'!$F$8:RW273,$A137,FALSE),0)</f>
        <v>0</v>
      </c>
      <c r="G137" s="314">
        <f>IFERROR(VLOOKUP(G$1,'žádosti MPSV 2020'!$F$8:RX273,$A137,FALSE),0)</f>
        <v>0</v>
      </c>
      <c r="H137" s="314">
        <f>IFERROR(VLOOKUP(H$1,'žádosti MPSV 2020'!$F$8:RY273,$A137,FALSE),0)</f>
        <v>0</v>
      </c>
      <c r="I137" s="314">
        <f>IFERROR(VLOOKUP(I$1,'žádosti MPSV 2020'!$F$8:RZ273,$A137,FALSE),0)</f>
        <v>0</v>
      </c>
      <c r="J137" s="314">
        <f>IFERROR(VLOOKUP(J$1,'žádosti MPSV 2020'!$F$8:SA273,$A137,FALSE),0)</f>
        <v>0</v>
      </c>
      <c r="K137" s="314">
        <f>IFERROR(VLOOKUP(K$1,'žádosti MPSV 2020'!$F$8:SB273,$A137,FALSE),0)</f>
        <v>0</v>
      </c>
      <c r="L137" s="314">
        <f>IFERROR(VLOOKUP(L$1,'žádosti MPSV 2020'!$F$8:SC273,$A137,FALSE),0)</f>
        <v>0</v>
      </c>
      <c r="M137" s="314">
        <f>IFERROR(VLOOKUP(M$1,'žádosti MPSV 2020'!$F$8:SD273,$A137,FALSE),0)</f>
        <v>0</v>
      </c>
      <c r="N137" s="314">
        <f>IFERROR(VLOOKUP(N$1,'žádosti MPSV 2020'!$F$8:SE273,$A137,FALSE),0)</f>
        <v>0</v>
      </c>
      <c r="O137" s="314">
        <f>IFERROR(VLOOKUP(O$1,'žádosti MPSV 2020'!$F$8:SF273,$A137,FALSE),0)</f>
        <v>0</v>
      </c>
      <c r="P137" s="314">
        <f>IFERROR(VLOOKUP(P$1,'žádosti MPSV 2020'!$F$8:SG273,$A137,FALSE),0)</f>
        <v>0</v>
      </c>
      <c r="Q137" s="314">
        <f>IFERROR(VLOOKUP(Q$1,'žádosti MPSV 2020'!$F$8:SH273,$A137,FALSE),0)</f>
        <v>0</v>
      </c>
      <c r="R137" s="314">
        <f>IFERROR(VLOOKUP(R$1,'žádosti MPSV 2020'!$F$8:SI273,$A137,FALSE),0)</f>
        <v>0</v>
      </c>
      <c r="S137" s="314">
        <f>IFERROR(VLOOKUP(S$1,'žádosti MPSV 2020'!$F$8:SJ273,$A137,FALSE),0)</f>
        <v>0</v>
      </c>
      <c r="T137" s="314">
        <f>IFERROR(VLOOKUP(T$1,'žádosti MPSV 2020'!$F$8:SK273,$A137,FALSE),0)</f>
        <v>0</v>
      </c>
      <c r="U137" s="314">
        <f>IFERROR(VLOOKUP(U$1,'žádosti MPSV 2020'!$F$8:SL273,$A137,FALSE),0)</f>
        <v>0</v>
      </c>
      <c r="V137" s="314">
        <f>IFERROR(VLOOKUP(V$1,'žádosti MPSV 2020'!$F$8:SM273,$A137,FALSE),0)</f>
        <v>0</v>
      </c>
      <c r="W137" s="314">
        <f>IFERROR(VLOOKUP(W$1,'žádosti MPSV 2020'!$F$8:SN273,$A137,FALSE),0)</f>
        <v>0</v>
      </c>
      <c r="X137" s="314">
        <f>IFERROR(VLOOKUP(X$1,'žádosti MPSV 2020'!$F$8:SO273,$A137,FALSE),0)</f>
        <v>0</v>
      </c>
      <c r="Y137" s="314">
        <f>IFERROR(VLOOKUP(Y$1,'žádosti MPSV 2020'!$F$8:SP273,$A137,FALSE),0)</f>
        <v>0</v>
      </c>
      <c r="Z137" s="314">
        <f>IFERROR(VLOOKUP(Z$1,'žádosti MPSV 2020'!$F$8:SQ273,$A137,FALSE),0)</f>
        <v>0</v>
      </c>
      <c r="AA137" s="314">
        <f>IFERROR(VLOOKUP(AA$1,'žádosti MPSV 2020'!$F$8:SR273,$A137,FALSE),0)</f>
        <v>0</v>
      </c>
      <c r="AB137" s="314">
        <f>IFERROR(VLOOKUP(AB$1,'žádosti MPSV 2020'!$F$8:SS273,$A137,FALSE),0)</f>
        <v>0</v>
      </c>
      <c r="AC137" s="314">
        <f>IFERROR(VLOOKUP(AC$1,'žádosti MPSV 2020'!$F$8:ST273,$A137,FALSE),0)</f>
        <v>0</v>
      </c>
      <c r="AD137" s="314">
        <f>IFERROR(VLOOKUP(AD$1,'žádosti MPSV 2020'!$F$8:ST273,$A137,FALSE),0)</f>
        <v>0</v>
      </c>
      <c r="AE137" s="314">
        <f>IFERROR(VLOOKUP(AE$1,'žádosti MPSV 2020'!$F$8:SU273,$A137,FALSE),0)</f>
        <v>0</v>
      </c>
      <c r="AF137" s="314">
        <f>IFERROR(VLOOKUP(AF$1,'žádosti MPSV 2020'!$F$8:SV273,$A137,FALSE),0)</f>
        <v>0</v>
      </c>
      <c r="AG137" s="314">
        <f>IFERROR(VLOOKUP(AG$1,'žádosti MPSV 2020'!$F$8:SW273,$A137,FALSE),0)</f>
        <v>0</v>
      </c>
      <c r="AH137" s="314">
        <f>IFERROR(VLOOKUP(AH$1,'žádosti MPSV 2020'!$F$8:SX273,$A137,FALSE),0)</f>
        <v>0</v>
      </c>
      <c r="AI137" s="314">
        <f>IFERROR(VLOOKUP(AI$1,'žádosti MPSV 2020'!$F$8:SY273,$A137,FALSE),0)</f>
        <v>0</v>
      </c>
      <c r="AJ137" s="314">
        <f>IFERROR(VLOOKUP(AJ$1,'žádosti MPSV 2020'!$F$8:SZ273,$A137,FALSE),0)</f>
        <v>0</v>
      </c>
      <c r="AK137" s="314">
        <f>IFERROR(VLOOKUP(AK$1,'žádosti MPSV 2020'!$F$8:TA273,$A137,FALSE),0)</f>
        <v>0</v>
      </c>
      <c r="AL137" s="314">
        <f>IFERROR(VLOOKUP(AL$1,'žádosti MPSV 2020'!$F$8:TB273,$A137,FALSE),0)</f>
        <v>0</v>
      </c>
      <c r="AM137" s="314">
        <f>IFERROR(VLOOKUP(AM$1,'žádosti MPSV 2020'!$F$8:TC273,$A137,FALSE),0)</f>
        <v>0</v>
      </c>
      <c r="AN137" s="314">
        <f>IFERROR(VLOOKUP(AN$1,'žádosti MPSV 2020'!$F$8:TD273,$A137,FALSE),0)</f>
        <v>0</v>
      </c>
      <c r="AO137" s="314">
        <f>IFERROR(VLOOKUP(AO$1,'žádosti MPSV 2020'!$F$8:TE273,$A137,FALSE),0)</f>
        <v>0</v>
      </c>
      <c r="AP137" s="314">
        <f>IFERROR(VLOOKUP(AP$1,'žádosti MPSV 2020'!$F$8:TF273,$A137,FALSE),0)</f>
        <v>0</v>
      </c>
      <c r="AQ137" s="314">
        <f>IFERROR(VLOOKUP(AQ$1,'žádosti MPSV 2020'!$F$8:TG273,$A137,FALSE),0)</f>
        <v>0</v>
      </c>
      <c r="AR137" s="314">
        <f>IFERROR(VLOOKUP(AR$1,'žádosti MPSV 2020'!$F$8:TH273,$A137,FALSE),0)</f>
        <v>0</v>
      </c>
      <c r="AS137" s="314">
        <f>IFERROR(VLOOKUP(AS$1,'žádosti MPSV 2020'!$F$8:TI273,$A137,FALSE),0)</f>
        <v>0</v>
      </c>
      <c r="AT137" s="314">
        <f>IFERROR(VLOOKUP(AT$1,'žádosti MPSV 2020'!$F$8:TJ273,$A137,FALSE),0)</f>
        <v>0</v>
      </c>
      <c r="AU137" s="314">
        <f>IFERROR(VLOOKUP(AU$1,'žádosti MPSV 2020'!$F$8:TK273,$A137,FALSE),0)</f>
        <v>0</v>
      </c>
      <c r="AV137" s="314">
        <f>IFERROR(VLOOKUP(AV$1,'žádosti MPSV 2020'!$F$8:TL273,$A137,FALSE),0)</f>
        <v>0</v>
      </c>
      <c r="AW137" s="314">
        <f>IFERROR(VLOOKUP(AW$1,'žádosti MPSV 2020'!$F$8:TM273,$A137,FALSE),0)</f>
        <v>0</v>
      </c>
      <c r="AX137" s="314">
        <f>IFERROR(VLOOKUP(AX$1,'žádosti MPSV 2020'!$F$8:TN273,$A137,FALSE),0)</f>
        <v>0</v>
      </c>
      <c r="AY137" s="314">
        <f>IFERROR(VLOOKUP(AY$1,'žádosti MPSV 2020'!$F$8:TO273,$A137,FALSE),0)</f>
        <v>0</v>
      </c>
      <c r="AZ137" s="314">
        <f>IFERROR(VLOOKUP(AZ$1,'žádosti MPSV 2020'!$F$8:TP273,$A137,FALSE),0)</f>
        <v>0</v>
      </c>
      <c r="BA137" s="314">
        <f>IFERROR(VLOOKUP(BA$1,'žádosti MPSV 2020'!$F$8:TQ273,$A137,FALSE),0)</f>
        <v>0</v>
      </c>
      <c r="BB137" s="314">
        <f>IFERROR(VLOOKUP(BB$1,'žádosti MPSV 2020'!$F$8:TR273,$A137,FALSE),0)</f>
        <v>0</v>
      </c>
      <c r="BC137" s="314">
        <f>IFERROR(VLOOKUP(BC$1,'žádosti MPSV 2020'!$F$8:TS273,$A137,FALSE),0)</f>
        <v>0</v>
      </c>
      <c r="BD137" s="314">
        <f>IFERROR(VLOOKUP(BD$1,'žádosti MPSV 2020'!$F$8:TT273,$A137,FALSE),0)</f>
        <v>0</v>
      </c>
      <c r="BE137" s="314">
        <f>IFERROR(VLOOKUP(BE$1,'žádosti MPSV 2020'!$F$8:TU273,$A137,FALSE),0)</f>
        <v>0</v>
      </c>
      <c r="BF137" s="314">
        <f>IFERROR(VLOOKUP(BF$1,'žádosti MPSV 2020'!$F$8:TV273,$A137,FALSE),0)</f>
        <v>0</v>
      </c>
      <c r="BG137" s="314">
        <f>IFERROR(VLOOKUP(BG$1,'žádosti MPSV 2020'!$F$8:TW273,$A137,FALSE),0)</f>
        <v>0</v>
      </c>
      <c r="BH137" s="314">
        <f>IFERROR(VLOOKUP(BH$1,'žádosti MPSV 2020'!$F$8:TX273,$A137,FALSE),0)</f>
        <v>0</v>
      </c>
      <c r="BI137" s="314">
        <f>IFERROR(VLOOKUP(BI$1,'žádosti MPSV 2020'!$F$8:TY273,$A137,FALSE),0)</f>
        <v>0</v>
      </c>
      <c r="BJ137" s="314">
        <f>IFERROR(VLOOKUP(BJ$1,'žádosti MPSV 2020'!$F$8:TZ273,$A137,FALSE),0)</f>
        <v>0</v>
      </c>
      <c r="BK137" s="314">
        <f>IFERROR(VLOOKUP(BK$1,'žádosti MPSV 2020'!$F$8:UA273,$A137,FALSE),0)</f>
        <v>0</v>
      </c>
      <c r="BL137" s="314">
        <f>IFERROR(VLOOKUP(BL$1,'žádosti MPSV 2020'!$F$8:UB273,$A137,FALSE),0)</f>
        <v>0</v>
      </c>
      <c r="BM137" s="314">
        <f>IFERROR(VLOOKUP(BM$1,'žádosti MPSV 2020'!$F$8:UC273,$A137,FALSE),0)</f>
        <v>623790</v>
      </c>
      <c r="BN137" s="314">
        <f>IFERROR(VLOOKUP(BN$1,'žádosti MPSV 2020'!$F$8:UD273,$A137,FALSE),0)</f>
        <v>0</v>
      </c>
      <c r="BO137" s="314">
        <f>IFERROR(VLOOKUP(BO$1,'žádosti MPSV 2020'!$F$8:UE273,$A137,FALSE),0)</f>
        <v>0</v>
      </c>
      <c r="BP137" s="314">
        <f>IFERROR(VLOOKUP(BP$1,'žádosti MPSV 2020'!$F$8:UF273,$A137,FALSE),0)</f>
        <v>0</v>
      </c>
      <c r="BQ137" s="314">
        <f>IFERROR(VLOOKUP(BQ$1,'žádosti MPSV 2020'!$F$8:UG273,$A137,FALSE),0)</f>
        <v>805234</v>
      </c>
      <c r="BR137" s="314">
        <f>IFERROR(VLOOKUP(BR$1,'žádosti MPSV 2020'!$F$8:UH273,$A137,FALSE),0)</f>
        <v>0</v>
      </c>
      <c r="BS137" s="314">
        <f>IFERROR(VLOOKUP(BS$1,'žádosti MPSV 2020'!$F$8:UI273,$A137,FALSE),0)</f>
        <v>0</v>
      </c>
      <c r="BT137" s="314">
        <f>IFERROR(VLOOKUP(BT$1,'žádosti MPSV 2020'!$F$8:UJ273,$A137,FALSE),0)</f>
        <v>0</v>
      </c>
      <c r="BU137" s="314">
        <f>IFERROR(VLOOKUP(BU$1,'žádosti MPSV 2020'!$F$8:UK273,$A137,FALSE),0)</f>
        <v>0</v>
      </c>
      <c r="BV137" s="314">
        <f>IFERROR(VLOOKUP(BV$1,'žádosti MPSV 2020'!$F$8:UL273,$A137,FALSE),0)</f>
        <v>0</v>
      </c>
      <c r="BW137" s="314">
        <f>IFERROR(VLOOKUP(BW$1,'žádosti MPSV 2020'!$F$8:UM273,$A137,FALSE),0)</f>
        <v>0</v>
      </c>
      <c r="BX137" s="314">
        <f>IFERROR(VLOOKUP(BX$1,'žádosti MPSV 2020'!$F$8:UN273,$A137,FALSE),0)</f>
        <v>0</v>
      </c>
      <c r="BY137" s="314">
        <f>IFERROR(VLOOKUP(BY$1,'žádosti MPSV 2020'!$F$8:UO273,$A137,FALSE),0)</f>
        <v>0</v>
      </c>
      <c r="BZ137" s="314">
        <f>IFERROR(VLOOKUP(BZ$1,'žádosti MPSV 2020'!$F$8:UP273,$A137,FALSE),0)</f>
        <v>0</v>
      </c>
      <c r="CA137" s="314">
        <f>IFERROR(VLOOKUP(CA$1,'žádosti MPSV 2020'!$F$8:UQ273,$A137,FALSE),0)</f>
        <v>0</v>
      </c>
      <c r="CB137" s="314">
        <f>IFERROR(VLOOKUP(CB$1,'žádosti MPSV 2020'!$F$8:UR273,$A137,FALSE),0)</f>
        <v>0</v>
      </c>
      <c r="CC137" s="314">
        <f>IFERROR(VLOOKUP(CC$1,'žádosti MPSV 2020'!$F$8:US273,$A137,FALSE),0)</f>
        <v>16324</v>
      </c>
      <c r="CD137" s="314">
        <f>IFERROR(VLOOKUP(CD$1,'žádosti MPSV 2020'!$F$8:UT273,$A137,FALSE),0)</f>
        <v>14000</v>
      </c>
      <c r="CE137" s="314">
        <f>IFERROR(VLOOKUP(CE$1,'žádosti MPSV 2020'!$F$8:UU273,$A137,FALSE),0)</f>
        <v>0</v>
      </c>
      <c r="CF137" s="314">
        <f>IFERROR(VLOOKUP(CF$1,'žádosti MPSV 2020'!$F$8:UV273,$A137,FALSE),0)</f>
        <v>0</v>
      </c>
      <c r="CG137" s="314">
        <f>IFERROR(VLOOKUP(CG$1,'žádosti MPSV 2020'!$F$8:UW273,$A137,FALSE),0)</f>
        <v>156324</v>
      </c>
      <c r="CH137" s="314">
        <f>IFERROR(VLOOKUP(CH$1,'žádosti MPSV 2020'!$F$8:UX273,$A137,FALSE),0)</f>
        <v>30330</v>
      </c>
      <c r="CI137" s="314">
        <f>IFERROR(VLOOKUP(CI$1,'žádosti MPSV 2020'!$F$8:UY273,$A137,FALSE),0)</f>
        <v>16324</v>
      </c>
      <c r="CJ137" s="314">
        <f>IFERROR(VLOOKUP(CJ$1,'žádosti MPSV 2020'!$F$8:UZ273,$A137,FALSE),0)</f>
        <v>59775</v>
      </c>
      <c r="CK137" s="314">
        <f>IFERROR(VLOOKUP(CK$1,'žádosti MPSV 2020'!$F$8:VA273,$A137,FALSE),0)</f>
        <v>32000</v>
      </c>
      <c r="CL137" s="314">
        <f>IFERROR(VLOOKUP(CL$1,'žádosti MPSV 2020'!$F$8:VB273,$A137,FALSE),0)</f>
        <v>53270</v>
      </c>
      <c r="CM137" s="314">
        <f>IFERROR(VLOOKUP(CM$1,'žádosti MPSV 2020'!$F$8:VC273,$A137,FALSE),0)</f>
        <v>0</v>
      </c>
      <c r="CN137" s="314">
        <f>IFERROR(VLOOKUP(CN$1,'žádosti MPSV 2020'!$F$8:VD273,$A137,FALSE),0)</f>
        <v>0</v>
      </c>
      <c r="CO137" s="314">
        <f>IFERROR(VLOOKUP(CO$1,'žádosti MPSV 2020'!$F$8:VE273,$A137,FALSE),0)</f>
        <v>0</v>
      </c>
      <c r="CP137" s="314">
        <f>IFERROR(VLOOKUP(CP$1,'žádosti MPSV 2020'!$F$8:VF273,$A137,FALSE),0)</f>
        <v>0</v>
      </c>
      <c r="CQ137" s="314">
        <f>IFERROR(VLOOKUP(CQ$1,'žádosti MPSV 2020'!$F$8:VG273,$A137,FALSE),0)</f>
        <v>0</v>
      </c>
      <c r="CR137" s="314">
        <f>IFERROR(VLOOKUP(CR$1,'žádosti MPSV 2020'!$F$8:VH273,$A137,FALSE),0)</f>
        <v>0</v>
      </c>
      <c r="CS137" s="314">
        <f>IFERROR(VLOOKUP(CS$1,'žádosti MPSV 2020'!$F$8:VI273,$A137,FALSE),0)</f>
        <v>0</v>
      </c>
      <c r="CT137" s="314">
        <f>IFERROR(VLOOKUP(CT$1,'žádosti MPSV 2020'!$F$8:VJ273,$A137,FALSE),0)</f>
        <v>0</v>
      </c>
      <c r="CU137" s="314">
        <f>IFERROR(VLOOKUP(CU$1,'žádosti MPSV 2020'!$F$8:VK273,$A137,FALSE),0)</f>
        <v>0</v>
      </c>
      <c r="CV137" s="314">
        <f>IFERROR(VLOOKUP(CV$1,'žádosti MPSV 2020'!$F$8:VL273,$A137,FALSE),0)</f>
        <v>0</v>
      </c>
      <c r="CW137" s="314">
        <f>IFERROR(VLOOKUP(CW$1,'žádosti MPSV 2020'!$F$8:VM273,$A137,FALSE),0)</f>
        <v>0</v>
      </c>
      <c r="CX137" s="314">
        <f>IFERROR(VLOOKUP(CX$1,'žádosti MPSV 2020'!$F$8:VN273,$A137,FALSE),0)</f>
        <v>0</v>
      </c>
      <c r="CY137" s="314">
        <f>IFERROR(VLOOKUP(CY$1,'žádosti MPSV 2020'!$F$8:VO273,$A137,FALSE),0)</f>
        <v>0</v>
      </c>
      <c r="CZ137" s="314">
        <f>IFERROR(VLOOKUP(CZ$1,'žádosti MPSV 2020'!$F$8:VP273,$A137,FALSE),0)</f>
        <v>0</v>
      </c>
      <c r="DA137" s="314">
        <f>IFERROR(VLOOKUP(DA$1,'žádosti MPSV 2020'!$F$8:VQ273,$A137,FALSE),0)</f>
        <v>0</v>
      </c>
      <c r="DB137" s="314">
        <f>IFERROR(VLOOKUP(DB$1,'žádosti MPSV 2020'!$F$8:VR273,$A137,FALSE),0)</f>
        <v>0</v>
      </c>
      <c r="DC137" s="314">
        <f>IFERROR(VLOOKUP(DC$1,'žádosti MPSV 2020'!$F$8:VS273,$A137,FALSE),0)</f>
        <v>0</v>
      </c>
      <c r="DD137" s="314">
        <f>IFERROR(VLOOKUP(DD$1,'žádosti MPSV 2020'!$F$8:VT273,$A137,FALSE),0)</f>
        <v>0</v>
      </c>
      <c r="DE137" s="314">
        <f>IFERROR(VLOOKUP(DE$1,'žádosti MPSV 2020'!$F$8:VU273,$A137,FALSE),0)</f>
        <v>0</v>
      </c>
      <c r="DF137" s="314">
        <f>IFERROR(VLOOKUP(DF$1,'žádosti MPSV 2020'!$F$8:VV273,$A137,FALSE),0)</f>
        <v>0</v>
      </c>
      <c r="DG137" s="314">
        <f>IFERROR(VLOOKUP(DG$1,'žádosti MPSV 2020'!$F$8:VW273,$A137,FALSE),0)</f>
        <v>0</v>
      </c>
      <c r="DH137" s="314">
        <f>IFERROR(VLOOKUP(DH$1,'žádosti MPSV 2020'!$F$8:WA273,$A137,FALSE),0)</f>
        <v>317574</v>
      </c>
      <c r="DI137" s="314">
        <f>IFERROR(VLOOKUP(DI$1,'žádosti MPSV 2020'!$F$8:WB273,$A137,FALSE),0)</f>
        <v>0</v>
      </c>
      <c r="DJ137" s="314">
        <f>IFERROR(VLOOKUP(DJ$1,'žádosti MPSV 2020'!$F$8:WC273,$A137,FALSE),0)</f>
        <v>0</v>
      </c>
      <c r="DK137" s="314">
        <f>IFERROR(VLOOKUP(DK$1,'žádosti MPSV 2020'!$F$8:WD273,$A137,FALSE),0)</f>
        <v>0</v>
      </c>
      <c r="DL137" s="314">
        <f>IFERROR(VLOOKUP(DL$1,'žádosti MPSV 2020'!$F$8:WE273,$A137,FALSE),0)</f>
        <v>0</v>
      </c>
      <c r="DM137" s="314">
        <f>IFERROR(VLOOKUP(DM$1,'žádosti MPSV 2020'!$F$8:WF273,$A137,FALSE),0)</f>
        <v>0</v>
      </c>
      <c r="DN137" s="314">
        <f>IFERROR(VLOOKUP(DN$1,'žádosti MPSV 2020'!$F$8:WG273,$A137,FALSE),0)</f>
        <v>0</v>
      </c>
      <c r="DO137" s="314">
        <f>IFERROR(VLOOKUP(DO$1,'žádosti MPSV 2020'!$F$8:WH273,$A137,FALSE),0)</f>
        <v>0</v>
      </c>
      <c r="DP137" s="314">
        <f>IFERROR(VLOOKUP(DP$1,'žádosti MPSV 2020'!$F$8:WI273,$A137,FALSE),0)</f>
        <v>0</v>
      </c>
      <c r="DQ137" s="314">
        <f>IFERROR(VLOOKUP(DQ$1,'žádosti MPSV 2020'!$F$8:WJ273,$A137,FALSE),0)</f>
        <v>0</v>
      </c>
      <c r="DR137" s="314">
        <f>IFERROR(VLOOKUP(DR$1,'žádosti MPSV 2020'!$F$8:WK273,$A137,FALSE),0)</f>
        <v>0</v>
      </c>
      <c r="DS137" s="314">
        <f>IFERROR(VLOOKUP(DS$1,'žádosti MPSV 2020'!$F$8:WL273,$A137,FALSE),0)</f>
        <v>0</v>
      </c>
      <c r="DT137" s="314">
        <f>IFERROR(VLOOKUP(DT$1,'žádosti MPSV 2020'!$F$8:WM273,$A137,FALSE),0)</f>
        <v>0</v>
      </c>
      <c r="DU137" s="314">
        <f>IFERROR(VLOOKUP(DU$1,'žádosti MPSV 2020'!$F$8:WN273,$A137,FALSE),0)</f>
        <v>0</v>
      </c>
      <c r="DV137" s="314">
        <f>IFERROR(VLOOKUP(DV$1,'žádosti MPSV 2020'!$F$8:WO273,$A137,FALSE),0)</f>
        <v>0</v>
      </c>
      <c r="DW137" s="314">
        <f>IFERROR(VLOOKUP(DW$1,'žádosti MPSV 2020'!$F$8:WP273,$A137,FALSE),0)</f>
        <v>0</v>
      </c>
      <c r="DX137" s="314">
        <f>IFERROR(VLOOKUP(DX$1,'žádosti MPSV 2020'!$F$8:WQ273,$A137,FALSE),0)</f>
        <v>0</v>
      </c>
      <c r="DY137" s="314">
        <f>IFERROR(VLOOKUP(DY$1,'žádosti MPSV 2020'!$F$8:WR273,$A137,FALSE),0)</f>
        <v>0</v>
      </c>
      <c r="DZ137" s="314">
        <f>IFERROR(VLOOKUP(DZ$1,'žádosti MPSV 2020'!$F$8:WS273,$A137,FALSE),0)</f>
        <v>0</v>
      </c>
      <c r="EA137" s="314">
        <f>IFERROR(VLOOKUP(EA$1,'žádosti MPSV 2020'!$F$8:WT273,$A137,FALSE),0)</f>
        <v>0</v>
      </c>
      <c r="EB137" s="314">
        <f>IFERROR(VLOOKUP(EB$1,'žádosti MPSV 2020'!$F$8:WU273,$A137,FALSE),0)</f>
        <v>0</v>
      </c>
      <c r="EC137" s="314">
        <f>IFERROR(VLOOKUP(EC$1,'žádosti MPSV 2020'!$F$8:WV273,$A137,FALSE),0)</f>
        <v>0</v>
      </c>
      <c r="ED137" s="314">
        <f>IFERROR(VLOOKUP(ED$1,'žádosti MPSV 2020'!$F$8:WW273,$A137,FALSE),0)</f>
        <v>0</v>
      </c>
      <c r="EE137" s="314">
        <f>IFERROR(VLOOKUP(EE$1,'žádosti MPSV 2020'!$F$8:WX273,$A137,FALSE),0)</f>
        <v>0</v>
      </c>
      <c r="EF137" s="314">
        <f>IFERROR(VLOOKUP(EF$1,'žádosti MPSV 2020'!$F$8:WY273,$A137,FALSE),0)</f>
        <v>0</v>
      </c>
      <c r="EG137" s="314">
        <f>IFERROR(VLOOKUP(EG$1,'žádosti MPSV 2020'!$F$8:WZ273,$A137,FALSE),0)</f>
        <v>0</v>
      </c>
      <c r="EH137" s="314">
        <f>IFERROR(VLOOKUP(EH$1,'žádosti MPSV 2020'!$F$8:XA273,$A137,FALSE),0)</f>
        <v>0</v>
      </c>
      <c r="EI137" s="314">
        <f>IFERROR(VLOOKUP(EI$1,'žádosti MPSV 2020'!$F$8:XB273,$A137,FALSE),0)</f>
        <v>0</v>
      </c>
      <c r="EJ137" s="314">
        <f>IFERROR(VLOOKUP(EJ$1,'žádosti MPSV 2020'!$F$8:XC273,$A137,FALSE),0)</f>
        <v>0</v>
      </c>
      <c r="EK137" s="314">
        <f>IFERROR(VLOOKUP(EK$1,'žádosti MPSV 2020'!$F$8:XD273,$A137,FALSE),0)</f>
        <v>0</v>
      </c>
      <c r="EL137" s="314">
        <f>IFERROR(VLOOKUP(EL$1,'žádosti MPSV 2020'!$F$8:XE273,$A137,FALSE),0)</f>
        <v>0</v>
      </c>
      <c r="EM137" s="314">
        <f>IFERROR(VLOOKUP(EM$1,'žádosti MPSV 2020'!$F$8:XF273,$A137,FALSE),0)</f>
        <v>0</v>
      </c>
      <c r="EN137" s="314">
        <f>IFERROR(VLOOKUP(EN$1,'žádosti MPSV 2020'!$F$8:XG273,$A137,FALSE),0)</f>
        <v>0</v>
      </c>
      <c r="EO137" s="314">
        <f>IFERROR(VLOOKUP(EO$1,'žádosti MPSV 2020'!$F$8:XH273,$A137,FALSE),0)</f>
        <v>0</v>
      </c>
      <c r="EP137" s="314">
        <f>IFERROR(VLOOKUP(EP$1,'žádosti MPSV 2020'!$F$8:XI273,$A137,FALSE),0)</f>
        <v>0</v>
      </c>
      <c r="EQ137" s="314">
        <f>IFERROR(VLOOKUP(EQ$1,'žádosti MPSV 2020'!$F$8:XJ273,$A137,FALSE),0)</f>
        <v>0</v>
      </c>
      <c r="ER137" s="314">
        <f>IFERROR(VLOOKUP(ER$1,'žádosti MPSV 2020'!$F$8:XK273,$A137,FALSE),0)</f>
        <v>0</v>
      </c>
      <c r="ES137" s="314">
        <f>IFERROR(VLOOKUP(ES$1,'žádosti MPSV 2020'!$F$8:XL273,$A137,FALSE),0)</f>
        <v>0</v>
      </c>
      <c r="ET137" s="314">
        <f>IFERROR(VLOOKUP(ET$1,'žádosti MPSV 2020'!$F$8:XM273,$A137,FALSE),0)</f>
        <v>0</v>
      </c>
      <c r="EU137" s="314">
        <f>IFERROR(VLOOKUP(EU$1,'žádosti MPSV 2020'!$F$8:XN273,$A137,FALSE),0)</f>
        <v>0</v>
      </c>
      <c r="EV137" s="314">
        <f>IFERROR(VLOOKUP(EV$1,'žádosti MPSV 2020'!$F$8:XO273,$A137,FALSE),0)</f>
        <v>0</v>
      </c>
      <c r="EW137" s="314">
        <f>IFERROR(VLOOKUP(EW$1,'žádosti MPSV 2020'!$F$8:XP273,$A137,FALSE),0)</f>
        <v>0</v>
      </c>
      <c r="EX137" s="314">
        <f>IFERROR(VLOOKUP(EX$1,'žádosti MPSV 2020'!$F$8:XQ273,$A137,FALSE),0)</f>
        <v>0</v>
      </c>
      <c r="EY137" s="314">
        <f>IFERROR(VLOOKUP(EY$1,'žádosti MPSV 2020'!$F$8:XR273,$A137,FALSE),0)</f>
        <v>0</v>
      </c>
      <c r="EZ137" s="314">
        <f>IFERROR(VLOOKUP(EZ$1,'žádosti MPSV 2020'!$F$8:XS273,$A137,FALSE),0)</f>
        <v>0</v>
      </c>
      <c r="FA137" s="314">
        <f>IFERROR(VLOOKUP(FA$1,'žádosti MPSV 2020'!$F$8:XT273,$A137,FALSE),0)</f>
        <v>0</v>
      </c>
      <c r="FB137" s="314">
        <f>IFERROR(VLOOKUP(FB$1,'žádosti MPSV 2020'!$F$8:XU273,$A137,FALSE),0)</f>
        <v>0</v>
      </c>
      <c r="FC137" s="314">
        <f>IFERROR(VLOOKUP(FC$1,'žádosti MPSV 2020'!$F$8:XV273,$A137,FALSE),0)</f>
        <v>0</v>
      </c>
      <c r="FD137" s="314">
        <f>IFERROR(VLOOKUP(FD$1,'žádosti MPSV 2020'!$F$8:XW273,$A137,FALSE),0)</f>
        <v>0</v>
      </c>
      <c r="FE137" s="314">
        <f>IFERROR(VLOOKUP(FE$1,'žádosti MPSV 2020'!$F$8:XX273,$A137,FALSE),0)</f>
        <v>0</v>
      </c>
      <c r="FF137" s="314">
        <f>IFERROR(VLOOKUP(FF$1,'žádosti MPSV 2020'!$F$8:XY273,$A137,FALSE),0)</f>
        <v>0</v>
      </c>
      <c r="FG137" s="314">
        <f>IFERROR(VLOOKUP(FG$1,'žádosti MPSV 2020'!$F$8:XZ273,$A137,FALSE),0)</f>
        <v>0</v>
      </c>
      <c r="FH137" s="314">
        <f>IFERROR(VLOOKUP(FH$1,'žádosti MPSV 2020'!$F$8:YA273,$A137,FALSE),0)</f>
        <v>0</v>
      </c>
      <c r="FI137" s="314">
        <f>IFERROR(VLOOKUP(FI$1,'žádosti MPSV 2020'!$F$8:YB273,$A137,FALSE),0)</f>
        <v>0</v>
      </c>
      <c r="FJ137" s="314">
        <f>IFERROR(VLOOKUP(FJ$1,'žádosti MPSV 2020'!$F$8:YC273,$A137,FALSE),0)</f>
        <v>0</v>
      </c>
      <c r="FK137" s="314">
        <f>IFERROR(VLOOKUP(FK$1,'žádosti MPSV 2020'!$F$8:YD273,$A137,FALSE),0)</f>
        <v>0</v>
      </c>
      <c r="FL137" s="314">
        <f>IFERROR(VLOOKUP(FL$1,'žádosti MPSV 2020'!$F$8:YE273,$A137,FALSE),0)</f>
        <v>0</v>
      </c>
      <c r="FM137" s="314">
        <f>IFERROR(VLOOKUP(FM$1,'žádosti MPSV 2020'!$F$8:YF273,$A137,FALSE),0)</f>
        <v>0</v>
      </c>
      <c r="FN137" s="314">
        <f>IFERROR(VLOOKUP(FN$1,'žádosti MPSV 2020'!$F$8:YG273,$A137,FALSE),0)</f>
        <v>0</v>
      </c>
      <c r="FO137" s="314">
        <f>IFERROR(VLOOKUP(FO$1,'žádosti MPSV 2020'!$F$8:YH273,$A137,FALSE),0)</f>
        <v>0</v>
      </c>
      <c r="FP137" s="314">
        <f>IFERROR(VLOOKUP(FP$1,'žádosti MPSV 2020'!$F$8:YI273,$A137,FALSE),0)</f>
        <v>0</v>
      </c>
      <c r="FQ137" s="314">
        <f>IFERROR(VLOOKUP(FQ$1,'žádosti MPSV 2020'!$F$8:YJ273,$A137,FALSE),0)</f>
        <v>0</v>
      </c>
      <c r="FR137" s="314">
        <f>IFERROR(VLOOKUP(FR$1,'žádosti MPSV 2020'!$F$8:YK273,$A137,FALSE),0)</f>
        <v>0</v>
      </c>
      <c r="FS137" s="314">
        <f>IFERROR(VLOOKUP(FS$1,'žádosti MPSV 2020'!$F$8:YL273,$A137,FALSE),0)</f>
        <v>0</v>
      </c>
      <c r="FT137" s="314">
        <f>IFERROR(VLOOKUP(FT$1,'žádosti MPSV 2020'!$F$8:YM273,$A137,FALSE),0)</f>
        <v>0</v>
      </c>
      <c r="FU137" s="314">
        <f>IFERROR(VLOOKUP(FU$1,'žádosti MPSV 2020'!$F$8:YN273,$A137,FALSE),0)</f>
        <v>0</v>
      </c>
      <c r="FV137" s="314">
        <f>IFERROR(VLOOKUP(FV$1,'žádosti MPSV 2020'!$F$8:YO273,$A137,FALSE),0)</f>
        <v>0</v>
      </c>
      <c r="FW137" s="314">
        <f>IFERROR(VLOOKUP(FW$1,'žádosti MPSV 2020'!$F$8:YP273,$A137,FALSE),0)</f>
        <v>0</v>
      </c>
      <c r="FX137" s="314">
        <f>IFERROR(VLOOKUP(FX$1,'žádosti MPSV 2020'!$F$8:YQ273,$A137,FALSE),0)</f>
        <v>0</v>
      </c>
      <c r="FY137" s="314">
        <f>IFERROR(VLOOKUP(FY$1,'žádosti MPSV 2020'!$F$8:YR273,$A137,FALSE),0)</f>
        <v>0</v>
      </c>
      <c r="FZ137" s="314">
        <f>IFERROR(VLOOKUP(FZ$1,'žádosti MPSV 2020'!$F$8:YS273,$A137,FALSE),0)</f>
        <v>0</v>
      </c>
      <c r="GA137" s="314">
        <f>IFERROR(VLOOKUP(GA$1,'žádosti MPSV 2020'!$F$8:YT273,$A137,FALSE),0)</f>
        <v>0</v>
      </c>
      <c r="GB137" s="314">
        <f>IFERROR(VLOOKUP(GB$1,'žádosti MPSV 2020'!$F$8:YU273,$A137,FALSE),0)</f>
        <v>0</v>
      </c>
      <c r="GC137" s="314">
        <f>IFERROR(VLOOKUP(GC$1,'žádosti MPSV 2020'!$F$8:YV273,$A137,FALSE),0)</f>
        <v>0</v>
      </c>
      <c r="GD137" s="314">
        <f>IFERROR(VLOOKUP(GD$1,'žádosti MPSV 2020'!$F$8:YW273,$A137,FALSE),0)</f>
        <v>0</v>
      </c>
      <c r="GE137" s="314">
        <f>IFERROR(VLOOKUP(GE$1,'žádosti MPSV 2020'!$F$8:YX273,$A137,FALSE),0)</f>
        <v>0</v>
      </c>
      <c r="GF137" s="314">
        <f>IFERROR(VLOOKUP(GF$1,'žádosti MPSV 2020'!$F$8:YY273,$A137,FALSE),0)</f>
        <v>0</v>
      </c>
      <c r="GG137" s="314">
        <f>IFERROR(VLOOKUP(GG$1,'žádosti MPSV 2020'!$F$8:YZ273,$A137,FALSE),0)</f>
        <v>0</v>
      </c>
      <c r="GH137" s="314">
        <f>IFERROR(VLOOKUP(GH$1,'žádosti MPSV 2020'!$F$8:ZA273,$A137,FALSE),0)</f>
        <v>0</v>
      </c>
      <c r="GI137" s="314">
        <f>IFERROR(VLOOKUP(GI$1,'žádosti MPSV 2020'!$F$8:ZB273,$A137,FALSE),0)</f>
        <v>0</v>
      </c>
      <c r="GJ137" s="314">
        <f>IFERROR(VLOOKUP(GJ$1,'žádosti MPSV 2020'!$F$8:ZC273,$A137,FALSE),0)</f>
        <v>0</v>
      </c>
      <c r="GK137" s="314">
        <f>IFERROR(VLOOKUP(GK$1,'žádosti MPSV 2020'!$F$8:ZD273,$A137,FALSE),0)</f>
        <v>500000</v>
      </c>
      <c r="GL137" s="314">
        <f>IFERROR(VLOOKUP(GL$1,'žádosti MPSV 2020'!$F$8:ZE273,$A137,FALSE),0)</f>
        <v>0</v>
      </c>
      <c r="GM137" s="314">
        <f>IFERROR(VLOOKUP(GM$1,'žádosti MPSV 2020'!$F$8:ZF273,$A137,FALSE),0)</f>
        <v>0</v>
      </c>
      <c r="GN137" s="314">
        <f>IFERROR(VLOOKUP(GN$1,'žádosti MPSV 2020'!$F$8:ZG273,$A137,FALSE),0)</f>
        <v>0</v>
      </c>
      <c r="GO137" s="314">
        <f>IFERROR(VLOOKUP(GO$1,'žádosti MPSV 2020'!$F$8:ZH273,$A137,FALSE),0)</f>
        <v>0</v>
      </c>
      <c r="GP137" s="314">
        <f>IFERROR(VLOOKUP(GP$1,'žádosti MPSV 2020'!$F$8:ZI273,$A137,FALSE),0)</f>
        <v>0</v>
      </c>
      <c r="GQ137" s="314">
        <f>IFERROR(VLOOKUP(GQ$1,'žádosti MPSV 2020'!$F$8:ZJ273,$A137,FALSE),0)</f>
        <v>0</v>
      </c>
      <c r="GR137" s="314">
        <f>IFERROR(VLOOKUP(GR$1,'žádosti MPSV 2020'!$F$8:ZK273,$A137,FALSE),0)</f>
        <v>0</v>
      </c>
      <c r="GS137" s="314">
        <f>IFERROR(VLOOKUP(GS$1,'žádosti MPSV 2020'!$F$8:ZL273,$A137,FALSE),0)</f>
        <v>0</v>
      </c>
      <c r="GT137" s="314">
        <f>IFERROR(VLOOKUP(GT$1,'žádosti MPSV 2020'!$F$8:ZM273,$A137,FALSE),0)</f>
        <v>0</v>
      </c>
      <c r="GU137" s="314">
        <f>IFERROR(VLOOKUP(GU$1,'žádosti MPSV 2020'!$F$8:ZN273,$A137,FALSE),0)</f>
        <v>0</v>
      </c>
      <c r="GV137" s="314">
        <f>IFERROR(VLOOKUP(GV$1,'žádosti MPSV 2020'!$F$8:ZO273,$A137,FALSE),0)</f>
        <v>0</v>
      </c>
      <c r="GW137" s="314">
        <f>IFERROR(VLOOKUP(GW$1,'žádosti MPSV 2020'!$F$8:ZP273,$A137,FALSE),0)</f>
        <v>0</v>
      </c>
      <c r="GX137" s="314">
        <f>IFERROR(VLOOKUP(GX$1,'žádosti MPSV 2020'!$F$8:ZQ273,$A137,FALSE),0)</f>
        <v>0</v>
      </c>
      <c r="GY137" s="314">
        <f>IFERROR(VLOOKUP(GY$1,'žádosti MPSV 2020'!$F$8:ZR273,$A137,FALSE),0)</f>
        <v>0</v>
      </c>
      <c r="GZ137" s="314">
        <f>IFERROR(VLOOKUP(GZ$1,'žádosti MPSV 2020'!$F$8:ZS273,$A137,FALSE),0)</f>
        <v>0</v>
      </c>
      <c r="HA137" s="314">
        <f>IFERROR(VLOOKUP(HA$1,'žádosti MPSV 2020'!$F$8:ZT273,$A137,FALSE),0)</f>
        <v>0</v>
      </c>
      <c r="HB137" s="314">
        <f>IFERROR(VLOOKUP(HB$1,'žádosti MPSV 2020'!$F$8:ZU273,$A137,FALSE),0)</f>
        <v>0</v>
      </c>
      <c r="HC137" s="314">
        <f>IFERROR(VLOOKUP(HC$1,'žádosti MPSV 2020'!$F$8:ZV273,$A137,FALSE),0)</f>
        <v>0</v>
      </c>
      <c r="HD137" s="314">
        <f>IFERROR(VLOOKUP(HD$1,'žádosti MPSV 2020'!$F$8:ZW273,$A137,FALSE),0)</f>
        <v>0</v>
      </c>
      <c r="HE137" s="314">
        <f>IFERROR(VLOOKUP(HE$1,'žádosti MPSV 2020'!$F$8:ZX273,$A137,FALSE),0)</f>
        <v>0</v>
      </c>
      <c r="HF137" s="314">
        <f>IFERROR(VLOOKUP(HF$1,'žádosti MPSV 2020'!$F$8:ZY273,$A137,FALSE),0)</f>
        <v>0</v>
      </c>
      <c r="HG137" s="314">
        <f>IFERROR(VLOOKUP(HG$1,'žádosti MPSV 2020'!$F$8:ZZ273,$A137,FALSE),0)</f>
        <v>0</v>
      </c>
      <c r="HH137" s="314">
        <f>IFERROR(VLOOKUP(HH$1,'žádosti MPSV 2020'!$F$8:AAA273,$A137,FALSE),0)</f>
        <v>0</v>
      </c>
      <c r="HI137" s="314">
        <f>IFERROR(VLOOKUP(HI$1,'žádosti MPSV 2020'!$F$8:AAB273,$A137,FALSE),0)</f>
        <v>0</v>
      </c>
      <c r="HJ137" s="314">
        <f>IFERROR(VLOOKUP(HJ$1,'žádosti MPSV 2020'!$F$8:AAC273,$A137,FALSE),0)</f>
        <v>0</v>
      </c>
      <c r="HK137" s="314">
        <f>IFERROR(VLOOKUP(HK$1,'žádosti MPSV 2020'!$F$8:AAD273,$A137,FALSE),0)</f>
        <v>0</v>
      </c>
      <c r="HL137" s="314">
        <f>IFERROR(VLOOKUP(HL$1,'žádosti MPSV 2020'!$F$8:AAE273,$A137,FALSE),0)</f>
        <v>0</v>
      </c>
      <c r="HM137" s="314">
        <f>IFERROR(VLOOKUP(HM$1,'žádosti MPSV 2020'!$F$8:AAF273,$A137,FALSE),0)</f>
        <v>0</v>
      </c>
      <c r="HN137" s="314">
        <f>IFERROR(VLOOKUP(HN$1,'žádosti MPSV 2020'!$F$8:AAG273,$A137,FALSE),0)</f>
        <v>0</v>
      </c>
      <c r="HO137" s="314">
        <f>IFERROR(VLOOKUP(HO$1,'žádosti MPSV 2020'!$F$8:AAH273,$A137,FALSE),0)</f>
        <v>0</v>
      </c>
      <c r="HP137" s="314">
        <f>IFERROR(VLOOKUP(HP$1,'žádosti MPSV 2020'!$F$8:AAI273,$A137,FALSE),0)</f>
        <v>0</v>
      </c>
      <c r="HQ137" s="314">
        <f>IFERROR(VLOOKUP(HQ$1,'žádosti MPSV 2020'!$F$8:AAJ273,$A137,FALSE),0)</f>
        <v>0</v>
      </c>
      <c r="HR137" s="314">
        <f>IFERROR(VLOOKUP(HR$1,'žádosti MPSV 2020'!$F$8:AAK273,$A137,FALSE),0)</f>
        <v>0</v>
      </c>
      <c r="HS137" s="314">
        <f>IFERROR(VLOOKUP(HS$1,'žádosti MPSV 2020'!$F$8:AAL273,$A137,FALSE),0)</f>
        <v>0</v>
      </c>
      <c r="HT137" s="314">
        <f>IFERROR(VLOOKUP(HT$1,'žádosti MPSV 2020'!$F$8:AAM273,$A137,FALSE),0)</f>
        <v>0</v>
      </c>
      <c r="HU137" s="314">
        <f>IFERROR(VLOOKUP(HU$1,'žádosti MPSV 2020'!$F$8:AAN273,$A137,FALSE),0)</f>
        <v>0</v>
      </c>
      <c r="HV137" s="314">
        <f>IFERROR(VLOOKUP(HV$1,'žádosti MPSV 2020'!$F$8:AAO273,$A137,FALSE),0)</f>
        <v>0</v>
      </c>
      <c r="HW137" s="314">
        <f>IFERROR(VLOOKUP(HW$1,'žádosti MPSV 2020'!$F$8:AAP273,$A137,FALSE),0)</f>
        <v>0</v>
      </c>
      <c r="HX137" s="314">
        <f>IFERROR(VLOOKUP(HX$1,'žádosti MPSV 2020'!$F$8:AAQ273,$A137,FALSE),0)</f>
        <v>0</v>
      </c>
      <c r="HY137" s="314">
        <f>IFERROR(VLOOKUP(HY$1,'žádosti MPSV 2020'!$F$8:AAR273,$A137,FALSE),0)</f>
        <v>0</v>
      </c>
      <c r="HZ137" s="314">
        <f>IFERROR(VLOOKUP(HZ$1,'žádosti MPSV 2020'!$F$8:AAS273,$A137,FALSE),0)</f>
        <v>0</v>
      </c>
      <c r="IA137" s="314">
        <f>IFERROR(VLOOKUP(IA$1,'žádosti MPSV 2020'!$F$8:AAT273,$A137,FALSE),0)</f>
        <v>0</v>
      </c>
      <c r="IB137" s="314">
        <f>IFERROR(VLOOKUP(IB$1,'žádosti MPSV 2020'!$F$8:AAU273,$A137,FALSE),0)</f>
        <v>0</v>
      </c>
      <c r="IC137" s="314">
        <f>IFERROR(VLOOKUP(IC$1,'žádosti MPSV 2020'!$F$8:AAV273,$A137,FALSE),0)</f>
        <v>0</v>
      </c>
      <c r="ID137" s="314">
        <f>IFERROR(VLOOKUP(ID$1,'žádosti MPSV 2020'!$F$8:AAW273,$A137,FALSE),0)</f>
        <v>0</v>
      </c>
      <c r="IE137" s="314">
        <f>IFERROR(VLOOKUP(IE$1,'žádosti MPSV 2020'!$F$8:AAX273,$A137,FALSE),0)</f>
        <v>0</v>
      </c>
      <c r="IF137" s="314">
        <f>IFERROR(VLOOKUP(IF$1,'žádosti MPSV 2020'!$F$8:AAY273,$A137,FALSE),0)</f>
        <v>0</v>
      </c>
      <c r="IG137" s="314">
        <f>IFERROR(VLOOKUP(IG$1,'žádosti MPSV 2020'!$F$8:AAZ273,$A137,FALSE),0)</f>
        <v>0</v>
      </c>
      <c r="IH137" s="314">
        <f>IFERROR(VLOOKUP(IH$1,'žádosti MPSV 2020'!$F$8:ABA273,$A137,FALSE),0)</f>
        <v>0</v>
      </c>
      <c r="II137" s="314">
        <f>IFERROR(VLOOKUP(II$1,'žádosti MPSV 2020'!$F$8:ABB273,$A137,FALSE),0)</f>
        <v>0</v>
      </c>
      <c r="IJ137" s="314">
        <f>IFERROR(VLOOKUP(IJ$1,'žádosti MPSV 2020'!$F$8:ABC273,$A137,FALSE),0)</f>
        <v>0</v>
      </c>
      <c r="IK137" s="314">
        <f>IFERROR(VLOOKUP(IK$1,'žádosti MPSV 2020'!$F$8:ABD273,$A137,FALSE),0)</f>
        <v>0</v>
      </c>
      <c r="IL137" s="314">
        <f>IFERROR(VLOOKUP(IL$1,'žádosti MPSV 2020'!$F$8:ABE273,$A137,FALSE),0)</f>
        <v>0</v>
      </c>
      <c r="IM137" s="314">
        <f>IFERROR(VLOOKUP(IM$1,'žádosti MPSV 2020'!$F$8:ABF273,$A137,FALSE),0)</f>
        <v>0</v>
      </c>
      <c r="IN137" s="314">
        <f>IFERROR(VLOOKUP(IN$1,'žádosti MPSV 2020'!$F$8:ABG273,$A137,FALSE),0)</f>
        <v>0</v>
      </c>
      <c r="IO137" s="314">
        <f>IFERROR(VLOOKUP(IO$1,'žádosti MPSV 2020'!$F$8:ABH273,$A137,FALSE),0)</f>
        <v>0</v>
      </c>
      <c r="IP137" s="314">
        <f>IFERROR(VLOOKUP(IP$1,'žádosti MPSV 2020'!$F$8:ABI273,$A137,FALSE),0)</f>
        <v>0</v>
      </c>
      <c r="IQ137" s="314">
        <f>IFERROR(VLOOKUP(IQ$1,'žádosti MPSV 2020'!$F$8:ABJ273,$A137,FALSE),0)</f>
        <v>0</v>
      </c>
      <c r="IR137" s="314">
        <f>IFERROR(VLOOKUP(IR$1,'žádosti MPSV 2020'!$F$8:ABK273,$A137,FALSE),0)</f>
        <v>0</v>
      </c>
      <c r="IS137" s="314">
        <f>IFERROR(VLOOKUP(IS$1,'žádosti MPSV 2020'!$F$8:ABL273,$A137,FALSE),0)</f>
        <v>0</v>
      </c>
      <c r="IT137" s="314">
        <f>IFERROR(VLOOKUP(IT$1,'žádosti MPSV 2020'!$F$8:ABM273,$A137,FALSE),0)</f>
        <v>0</v>
      </c>
      <c r="IU137" s="314">
        <f>IFERROR(VLOOKUP(IU$1,'žádosti MPSV 2020'!$F$8:ABN273,$A137,FALSE),0)</f>
        <v>0</v>
      </c>
      <c r="IV137" s="314">
        <f>IFERROR(VLOOKUP(IV$1,'žádosti MPSV 2020'!$F$8:ABO273,$A137,FALSE),0)</f>
        <v>0</v>
      </c>
      <c r="IW137" s="314">
        <f>IFERROR(VLOOKUP(IW$1,'žádosti MPSV 2020'!$F$8:ABP273,$A137,FALSE),0)</f>
        <v>0</v>
      </c>
      <c r="IX137" s="314">
        <f>IFERROR(VLOOKUP(IX$1,'žádosti MPSV 2020'!$F$8:ABQ273,$A137,FALSE),0)</f>
        <v>0</v>
      </c>
      <c r="IY137" s="314">
        <f>IFERROR(VLOOKUP(IY$1,'žádosti MPSV 2020'!$F$8:ABR273,$A137,FALSE),0)</f>
        <v>0</v>
      </c>
      <c r="IZ137" s="314">
        <f>IFERROR(VLOOKUP(IZ$1,'žádosti MPSV 2020'!$F$8:ABS273,$A137,FALSE),0)</f>
        <v>0</v>
      </c>
      <c r="JA137" s="314">
        <f>IFERROR(VLOOKUP(JA$1,'žádosti MPSV 2020'!$F$8:ABT273,$A137,FALSE),0)</f>
        <v>0</v>
      </c>
      <c r="JB137" s="314">
        <f>IFERROR(VLOOKUP(JB$1,'žádosti MPSV 2020'!$F$8:ABU273,$A137,FALSE),0)</f>
        <v>0</v>
      </c>
      <c r="JC137" s="314">
        <f>IFERROR(VLOOKUP(JC$1,'žádosti MPSV 2020'!$F$8:ABV273,$A137,FALSE),0)</f>
        <v>0</v>
      </c>
      <c r="JD137" s="314">
        <f>IFERROR(VLOOKUP(JD$1,'žádosti MPSV 2020'!$F$8:ABW273,$A137,FALSE),0)</f>
        <v>0</v>
      </c>
      <c r="JE137" s="314">
        <f>IFERROR(VLOOKUP(JE$1,'žádosti MPSV 2020'!$F$8:ABX273,$A137,FALSE),0)</f>
        <v>0</v>
      </c>
      <c r="JF137" s="314">
        <f>IFERROR(VLOOKUP(JF$1,'žádosti MPSV 2020'!$F$8:ABY273,$A137,FALSE),0)</f>
        <v>0</v>
      </c>
      <c r="JG137" s="314">
        <f>IFERROR(VLOOKUP(JG$1,'žádosti MPSV 2020'!$F$8:ABZ273,$A137,FALSE),0)</f>
        <v>0</v>
      </c>
      <c r="JH137" s="314">
        <f>IFERROR(VLOOKUP(JH$1,'žádosti MPSV 2020'!$F$8:ACA273,$A137,FALSE),0)</f>
        <v>0</v>
      </c>
      <c r="JI137" s="314">
        <f t="shared" si="628"/>
        <v>2624945</v>
      </c>
    </row>
    <row r="138" spans="1:276" x14ac:dyDescent="0.25">
      <c r="C138" s="314">
        <f>SUM(C135:C137)</f>
        <v>0</v>
      </c>
      <c r="D138" s="314">
        <f t="shared" ref="D138:BP138" si="629">SUM(D135:D137)</f>
        <v>0</v>
      </c>
      <c r="E138" s="314">
        <f t="shared" si="629"/>
        <v>0</v>
      </c>
      <c r="F138" s="314">
        <f t="shared" si="629"/>
        <v>0</v>
      </c>
      <c r="G138" s="314">
        <f t="shared" si="629"/>
        <v>0</v>
      </c>
      <c r="H138" s="314">
        <f t="shared" si="629"/>
        <v>0</v>
      </c>
      <c r="I138" s="314">
        <f t="shared" si="629"/>
        <v>0</v>
      </c>
      <c r="J138" s="314">
        <f t="shared" si="629"/>
        <v>0</v>
      </c>
      <c r="K138" s="314">
        <f t="shared" si="629"/>
        <v>0</v>
      </c>
      <c r="L138" s="314">
        <f t="shared" si="629"/>
        <v>0</v>
      </c>
      <c r="M138" s="314">
        <f t="shared" si="629"/>
        <v>0</v>
      </c>
      <c r="N138" s="314">
        <f t="shared" si="629"/>
        <v>0</v>
      </c>
      <c r="O138" s="314">
        <f t="shared" si="629"/>
        <v>0</v>
      </c>
      <c r="P138" s="314">
        <f t="shared" si="629"/>
        <v>0</v>
      </c>
      <c r="Q138" s="314">
        <f t="shared" si="629"/>
        <v>0</v>
      </c>
      <c r="R138" s="314">
        <f t="shared" si="629"/>
        <v>0</v>
      </c>
      <c r="S138" s="314">
        <f t="shared" si="629"/>
        <v>0</v>
      </c>
      <c r="T138" s="314">
        <f t="shared" si="629"/>
        <v>0</v>
      </c>
      <c r="U138" s="314">
        <f t="shared" si="629"/>
        <v>0</v>
      </c>
      <c r="V138" s="314">
        <f t="shared" si="629"/>
        <v>0</v>
      </c>
      <c r="W138" s="314">
        <f t="shared" si="629"/>
        <v>0</v>
      </c>
      <c r="X138" s="314">
        <f t="shared" si="629"/>
        <v>0</v>
      </c>
      <c r="Y138" s="314">
        <f t="shared" si="629"/>
        <v>0</v>
      </c>
      <c r="Z138" s="314">
        <f t="shared" si="629"/>
        <v>0</v>
      </c>
      <c r="AA138" s="314">
        <f t="shared" si="629"/>
        <v>0</v>
      </c>
      <c r="AB138" s="314">
        <f t="shared" si="629"/>
        <v>0</v>
      </c>
      <c r="AC138" s="314">
        <f t="shared" ref="AC138" si="630">SUM(AC135:AC137)</f>
        <v>0</v>
      </c>
      <c r="AD138" s="314">
        <f t="shared" si="629"/>
        <v>0</v>
      </c>
      <c r="AE138" s="314">
        <f t="shared" si="629"/>
        <v>0</v>
      </c>
      <c r="AF138" s="314">
        <f t="shared" si="629"/>
        <v>0</v>
      </c>
      <c r="AG138" s="314">
        <f t="shared" si="629"/>
        <v>0</v>
      </c>
      <c r="AH138" s="314">
        <f t="shared" si="629"/>
        <v>0</v>
      </c>
      <c r="AI138" s="314">
        <f t="shared" si="629"/>
        <v>0</v>
      </c>
      <c r="AJ138" s="314">
        <f t="shared" si="629"/>
        <v>0</v>
      </c>
      <c r="AK138" s="314">
        <f t="shared" si="629"/>
        <v>0</v>
      </c>
      <c r="AL138" s="314">
        <f t="shared" si="629"/>
        <v>0</v>
      </c>
      <c r="AM138" s="314">
        <f t="shared" si="629"/>
        <v>0</v>
      </c>
      <c r="AN138" s="314">
        <f t="shared" si="629"/>
        <v>0</v>
      </c>
      <c r="AO138" s="314">
        <f t="shared" si="629"/>
        <v>0</v>
      </c>
      <c r="AP138" s="314">
        <f t="shared" si="629"/>
        <v>0</v>
      </c>
      <c r="AQ138" s="314">
        <f t="shared" si="629"/>
        <v>0</v>
      </c>
      <c r="AR138" s="314">
        <f t="shared" si="629"/>
        <v>0</v>
      </c>
      <c r="AS138" s="314">
        <f t="shared" si="629"/>
        <v>0</v>
      </c>
      <c r="AT138" s="314">
        <f t="shared" si="629"/>
        <v>0</v>
      </c>
      <c r="AU138" s="314">
        <f t="shared" si="629"/>
        <v>0</v>
      </c>
      <c r="AV138" s="314">
        <f t="shared" si="629"/>
        <v>0</v>
      </c>
      <c r="AW138" s="314">
        <f t="shared" si="629"/>
        <v>0</v>
      </c>
      <c r="AX138" s="314">
        <f t="shared" si="629"/>
        <v>0</v>
      </c>
      <c r="AY138" s="314">
        <f t="shared" si="629"/>
        <v>0</v>
      </c>
      <c r="AZ138" s="314">
        <f t="shared" si="629"/>
        <v>0</v>
      </c>
      <c r="BA138" s="314">
        <f t="shared" si="629"/>
        <v>0</v>
      </c>
      <c r="BB138" s="314">
        <f t="shared" si="629"/>
        <v>0</v>
      </c>
      <c r="BC138" s="314">
        <f t="shared" si="629"/>
        <v>0</v>
      </c>
      <c r="BD138" s="314">
        <f t="shared" si="629"/>
        <v>0</v>
      </c>
      <c r="BE138" s="314">
        <f t="shared" si="629"/>
        <v>0</v>
      </c>
      <c r="BF138" s="314">
        <f t="shared" si="629"/>
        <v>972000</v>
      </c>
      <c r="BG138" s="314">
        <f t="shared" si="629"/>
        <v>840000</v>
      </c>
      <c r="BH138" s="314">
        <f t="shared" si="629"/>
        <v>980000</v>
      </c>
      <c r="BI138" s="314">
        <f t="shared" si="629"/>
        <v>1100000</v>
      </c>
      <c r="BJ138" s="314">
        <f t="shared" si="629"/>
        <v>0</v>
      </c>
      <c r="BK138" s="314">
        <f t="shared" si="629"/>
        <v>0</v>
      </c>
      <c r="BL138" s="314">
        <f t="shared" si="629"/>
        <v>0</v>
      </c>
      <c r="BM138" s="314">
        <f t="shared" si="629"/>
        <v>623790</v>
      </c>
      <c r="BN138" s="314">
        <f t="shared" si="629"/>
        <v>0</v>
      </c>
      <c r="BO138" s="314">
        <f t="shared" si="629"/>
        <v>0</v>
      </c>
      <c r="BP138" s="314">
        <f t="shared" si="629"/>
        <v>0</v>
      </c>
      <c r="BQ138" s="314">
        <f t="shared" ref="BQ138:EB138" si="631">SUM(BQ135:BQ137)</f>
        <v>805234</v>
      </c>
      <c r="BR138" s="314">
        <f t="shared" si="631"/>
        <v>0</v>
      </c>
      <c r="BS138" s="314">
        <f t="shared" si="631"/>
        <v>0</v>
      </c>
      <c r="BT138" s="314">
        <f t="shared" si="631"/>
        <v>0</v>
      </c>
      <c r="BU138" s="314">
        <f t="shared" si="631"/>
        <v>0</v>
      </c>
      <c r="BV138" s="314">
        <f t="shared" si="631"/>
        <v>0</v>
      </c>
      <c r="BW138" s="314">
        <f t="shared" si="631"/>
        <v>0</v>
      </c>
      <c r="BX138" s="314">
        <f t="shared" si="631"/>
        <v>0</v>
      </c>
      <c r="BY138" s="314">
        <f t="shared" si="631"/>
        <v>0</v>
      </c>
      <c r="BZ138" s="314">
        <f t="shared" si="631"/>
        <v>0</v>
      </c>
      <c r="CA138" s="314">
        <f t="shared" si="631"/>
        <v>0</v>
      </c>
      <c r="CB138" s="314">
        <f t="shared" si="631"/>
        <v>0</v>
      </c>
      <c r="CC138" s="314">
        <f t="shared" si="631"/>
        <v>16324</v>
      </c>
      <c r="CD138" s="314">
        <f t="shared" si="631"/>
        <v>14000</v>
      </c>
      <c r="CE138" s="314">
        <f t="shared" si="631"/>
        <v>0</v>
      </c>
      <c r="CF138" s="314">
        <f t="shared" si="631"/>
        <v>0</v>
      </c>
      <c r="CG138" s="314">
        <f t="shared" si="631"/>
        <v>246324</v>
      </c>
      <c r="CH138" s="314">
        <f t="shared" si="631"/>
        <v>30330</v>
      </c>
      <c r="CI138" s="314">
        <f t="shared" si="631"/>
        <v>16324</v>
      </c>
      <c r="CJ138" s="314">
        <f t="shared" si="631"/>
        <v>59775</v>
      </c>
      <c r="CK138" s="314">
        <f t="shared" si="631"/>
        <v>32000</v>
      </c>
      <c r="CL138" s="314">
        <f t="shared" si="631"/>
        <v>53270</v>
      </c>
      <c r="CM138" s="314">
        <f t="shared" si="631"/>
        <v>0</v>
      </c>
      <c r="CN138" s="314">
        <f t="shared" si="631"/>
        <v>0</v>
      </c>
      <c r="CO138" s="314">
        <f t="shared" si="631"/>
        <v>0</v>
      </c>
      <c r="CP138" s="314">
        <f t="shared" si="631"/>
        <v>0</v>
      </c>
      <c r="CQ138" s="314">
        <f t="shared" si="631"/>
        <v>0</v>
      </c>
      <c r="CR138" s="314">
        <f t="shared" si="631"/>
        <v>0</v>
      </c>
      <c r="CS138" s="314">
        <f t="shared" si="631"/>
        <v>0</v>
      </c>
      <c r="CT138" s="314">
        <f t="shared" si="631"/>
        <v>0</v>
      </c>
      <c r="CU138" s="314">
        <f t="shared" si="631"/>
        <v>0</v>
      </c>
      <c r="CV138" s="314">
        <f t="shared" si="631"/>
        <v>0</v>
      </c>
      <c r="CW138" s="314">
        <f t="shared" si="631"/>
        <v>0</v>
      </c>
      <c r="CX138" s="314">
        <f t="shared" si="631"/>
        <v>0</v>
      </c>
      <c r="CY138" s="314">
        <f t="shared" si="631"/>
        <v>0</v>
      </c>
      <c r="CZ138" s="314">
        <f t="shared" si="631"/>
        <v>0</v>
      </c>
      <c r="DA138" s="314">
        <f t="shared" si="631"/>
        <v>2513000</v>
      </c>
      <c r="DB138" s="314">
        <f t="shared" si="631"/>
        <v>0</v>
      </c>
      <c r="DC138" s="314">
        <f t="shared" si="631"/>
        <v>0</v>
      </c>
      <c r="DD138" s="314">
        <f t="shared" si="631"/>
        <v>0</v>
      </c>
      <c r="DE138" s="314">
        <f t="shared" si="631"/>
        <v>0</v>
      </c>
      <c r="DF138" s="314">
        <f t="shared" si="631"/>
        <v>3578225</v>
      </c>
      <c r="DG138" s="314">
        <f t="shared" si="631"/>
        <v>0</v>
      </c>
      <c r="DH138" s="314">
        <f t="shared" si="631"/>
        <v>317574</v>
      </c>
      <c r="DI138" s="314">
        <f t="shared" si="631"/>
        <v>0</v>
      </c>
      <c r="DJ138" s="314">
        <f t="shared" si="631"/>
        <v>0</v>
      </c>
      <c r="DK138" s="314">
        <f t="shared" si="631"/>
        <v>0</v>
      </c>
      <c r="DL138" s="314">
        <f t="shared" si="631"/>
        <v>0</v>
      </c>
      <c r="DM138" s="314">
        <f t="shared" si="631"/>
        <v>0</v>
      </c>
      <c r="DN138" s="314">
        <f t="shared" si="631"/>
        <v>0</v>
      </c>
      <c r="DO138" s="314">
        <f t="shared" si="631"/>
        <v>0</v>
      </c>
      <c r="DP138" s="314">
        <f t="shared" si="631"/>
        <v>0</v>
      </c>
      <c r="DQ138" s="314">
        <f t="shared" si="631"/>
        <v>0</v>
      </c>
      <c r="DR138" s="314">
        <f t="shared" si="631"/>
        <v>0</v>
      </c>
      <c r="DS138" s="314">
        <f t="shared" si="631"/>
        <v>0</v>
      </c>
      <c r="DT138" s="314">
        <f t="shared" si="631"/>
        <v>0</v>
      </c>
      <c r="DU138" s="314">
        <f t="shared" si="631"/>
        <v>0</v>
      </c>
      <c r="DV138" s="314">
        <f t="shared" si="631"/>
        <v>0</v>
      </c>
      <c r="DW138" s="314">
        <f t="shared" si="631"/>
        <v>0</v>
      </c>
      <c r="DX138" s="314">
        <f t="shared" si="631"/>
        <v>0</v>
      </c>
      <c r="DY138" s="314">
        <f t="shared" si="631"/>
        <v>0</v>
      </c>
      <c r="DZ138" s="314">
        <f t="shared" si="631"/>
        <v>0</v>
      </c>
      <c r="EA138" s="314">
        <f t="shared" si="631"/>
        <v>0</v>
      </c>
      <c r="EB138" s="314">
        <f t="shared" si="631"/>
        <v>1400000</v>
      </c>
      <c r="EC138" s="314">
        <f t="shared" ref="EC138:GN138" si="632">SUM(EC135:EC137)</f>
        <v>0</v>
      </c>
      <c r="ED138" s="314">
        <f t="shared" si="632"/>
        <v>0</v>
      </c>
      <c r="EE138" s="314">
        <f t="shared" si="632"/>
        <v>144000</v>
      </c>
      <c r="EF138" s="314">
        <f t="shared" si="632"/>
        <v>144000</v>
      </c>
      <c r="EG138" s="314">
        <f t="shared" si="632"/>
        <v>0</v>
      </c>
      <c r="EH138" s="314">
        <f t="shared" si="632"/>
        <v>154000</v>
      </c>
      <c r="EI138" s="314">
        <f t="shared" si="632"/>
        <v>30000</v>
      </c>
      <c r="EJ138" s="314">
        <f t="shared" si="632"/>
        <v>144000</v>
      </c>
      <c r="EK138" s="314">
        <f t="shared" si="632"/>
        <v>0</v>
      </c>
      <c r="EL138" s="314">
        <f t="shared" si="632"/>
        <v>0</v>
      </c>
      <c r="EM138" s="314">
        <f t="shared" si="632"/>
        <v>0</v>
      </c>
      <c r="EN138" s="314">
        <f t="shared" si="632"/>
        <v>0</v>
      </c>
      <c r="EO138" s="314">
        <f t="shared" si="632"/>
        <v>0</v>
      </c>
      <c r="EP138" s="314">
        <f t="shared" si="632"/>
        <v>144000</v>
      </c>
      <c r="EQ138" s="314">
        <f t="shared" si="632"/>
        <v>250000</v>
      </c>
      <c r="ER138" s="314">
        <f t="shared" si="632"/>
        <v>0</v>
      </c>
      <c r="ES138" s="314">
        <f t="shared" si="632"/>
        <v>0</v>
      </c>
      <c r="ET138" s="314">
        <f t="shared" si="632"/>
        <v>0</v>
      </c>
      <c r="EU138" s="314">
        <f t="shared" si="632"/>
        <v>0</v>
      </c>
      <c r="EV138" s="314">
        <f t="shared" si="632"/>
        <v>0</v>
      </c>
      <c r="EW138" s="314">
        <f t="shared" si="632"/>
        <v>0</v>
      </c>
      <c r="EX138" s="314">
        <f t="shared" si="632"/>
        <v>0</v>
      </c>
      <c r="EY138" s="314">
        <f t="shared" si="632"/>
        <v>0</v>
      </c>
      <c r="EZ138" s="314">
        <f t="shared" si="632"/>
        <v>0</v>
      </c>
      <c r="FA138" s="314">
        <f t="shared" si="632"/>
        <v>0</v>
      </c>
      <c r="FB138" s="314">
        <f t="shared" si="632"/>
        <v>0</v>
      </c>
      <c r="FC138" s="314">
        <f t="shared" si="632"/>
        <v>0</v>
      </c>
      <c r="FD138" s="314">
        <f t="shared" si="632"/>
        <v>0</v>
      </c>
      <c r="FE138" s="314">
        <f t="shared" si="632"/>
        <v>0</v>
      </c>
      <c r="FF138" s="314">
        <f t="shared" si="632"/>
        <v>0</v>
      </c>
      <c r="FG138" s="314">
        <f t="shared" si="632"/>
        <v>0</v>
      </c>
      <c r="FH138" s="314">
        <f t="shared" si="632"/>
        <v>0</v>
      </c>
      <c r="FI138" s="314">
        <f t="shared" si="632"/>
        <v>0</v>
      </c>
      <c r="FJ138" s="314">
        <f t="shared" si="632"/>
        <v>0</v>
      </c>
      <c r="FK138" s="314">
        <f t="shared" si="632"/>
        <v>0</v>
      </c>
      <c r="FL138" s="314">
        <f t="shared" si="632"/>
        <v>0</v>
      </c>
      <c r="FM138" s="314">
        <f t="shared" si="632"/>
        <v>0</v>
      </c>
      <c r="FN138" s="314">
        <f t="shared" si="632"/>
        <v>0</v>
      </c>
      <c r="FO138" s="314">
        <f t="shared" si="632"/>
        <v>0</v>
      </c>
      <c r="FP138" s="314">
        <f t="shared" si="632"/>
        <v>0</v>
      </c>
      <c r="FQ138" s="314">
        <f t="shared" si="632"/>
        <v>0</v>
      </c>
      <c r="FR138" s="314">
        <f t="shared" si="632"/>
        <v>0</v>
      </c>
      <c r="FS138" s="314">
        <f t="shared" si="632"/>
        <v>0</v>
      </c>
      <c r="FT138" s="314">
        <f t="shared" si="632"/>
        <v>0</v>
      </c>
      <c r="FU138" s="314">
        <f t="shared" si="632"/>
        <v>0</v>
      </c>
      <c r="FV138" s="314">
        <f t="shared" si="632"/>
        <v>0</v>
      </c>
      <c r="FW138" s="314">
        <f t="shared" si="632"/>
        <v>0</v>
      </c>
      <c r="FX138" s="314">
        <f t="shared" si="632"/>
        <v>0</v>
      </c>
      <c r="FY138" s="314">
        <f t="shared" si="632"/>
        <v>0</v>
      </c>
      <c r="FZ138" s="314">
        <f t="shared" si="632"/>
        <v>0</v>
      </c>
      <c r="GA138" s="314">
        <f t="shared" si="632"/>
        <v>0</v>
      </c>
      <c r="GB138" s="314">
        <f t="shared" si="632"/>
        <v>3520000</v>
      </c>
      <c r="GC138" s="314">
        <f t="shared" si="632"/>
        <v>0</v>
      </c>
      <c r="GD138" s="314">
        <f t="shared" si="632"/>
        <v>0</v>
      </c>
      <c r="GE138" s="314">
        <f t="shared" si="632"/>
        <v>0</v>
      </c>
      <c r="GF138" s="314">
        <f t="shared" si="632"/>
        <v>0</v>
      </c>
      <c r="GG138" s="314">
        <f t="shared" si="632"/>
        <v>0</v>
      </c>
      <c r="GH138" s="314">
        <f t="shared" si="632"/>
        <v>0</v>
      </c>
      <c r="GI138" s="314">
        <f t="shared" si="632"/>
        <v>0</v>
      </c>
      <c r="GJ138" s="314">
        <f t="shared" si="632"/>
        <v>0</v>
      </c>
      <c r="GK138" s="314">
        <f t="shared" si="632"/>
        <v>500000</v>
      </c>
      <c r="GL138" s="314">
        <f t="shared" si="632"/>
        <v>0</v>
      </c>
      <c r="GM138" s="314">
        <f t="shared" si="632"/>
        <v>0</v>
      </c>
      <c r="GN138" s="314">
        <f t="shared" si="632"/>
        <v>0</v>
      </c>
      <c r="GO138" s="314">
        <f t="shared" ref="GO138:IZ138" si="633">SUM(GO135:GO137)</f>
        <v>0</v>
      </c>
      <c r="GP138" s="314">
        <f t="shared" si="633"/>
        <v>0</v>
      </c>
      <c r="GQ138" s="314">
        <f t="shared" si="633"/>
        <v>0</v>
      </c>
      <c r="GR138" s="314">
        <f t="shared" si="633"/>
        <v>0</v>
      </c>
      <c r="GS138" s="314">
        <f t="shared" si="633"/>
        <v>0</v>
      </c>
      <c r="GT138" s="314">
        <f t="shared" si="633"/>
        <v>0</v>
      </c>
      <c r="GU138" s="314">
        <f t="shared" si="633"/>
        <v>0</v>
      </c>
      <c r="GV138" s="314">
        <f t="shared" si="633"/>
        <v>0</v>
      </c>
      <c r="GW138" s="314">
        <f t="shared" si="633"/>
        <v>0</v>
      </c>
      <c r="GX138" s="314">
        <f t="shared" si="633"/>
        <v>0</v>
      </c>
      <c r="GY138" s="314">
        <f t="shared" si="633"/>
        <v>0</v>
      </c>
      <c r="GZ138" s="314">
        <f t="shared" si="633"/>
        <v>0</v>
      </c>
      <c r="HA138" s="314">
        <f t="shared" si="633"/>
        <v>0</v>
      </c>
      <c r="HB138" s="314">
        <f t="shared" si="633"/>
        <v>0</v>
      </c>
      <c r="HC138" s="314">
        <f t="shared" si="633"/>
        <v>0</v>
      </c>
      <c r="HD138" s="314">
        <f t="shared" si="633"/>
        <v>0</v>
      </c>
      <c r="HE138" s="314">
        <f t="shared" si="633"/>
        <v>0</v>
      </c>
      <c r="HF138" s="314">
        <f t="shared" si="633"/>
        <v>0</v>
      </c>
      <c r="HG138" s="314">
        <f t="shared" si="633"/>
        <v>0</v>
      </c>
      <c r="HH138" s="314">
        <f t="shared" si="633"/>
        <v>0</v>
      </c>
      <c r="HI138" s="314">
        <f t="shared" si="633"/>
        <v>0</v>
      </c>
      <c r="HJ138" s="314">
        <f t="shared" si="633"/>
        <v>0</v>
      </c>
      <c r="HK138" s="314">
        <f t="shared" si="633"/>
        <v>0</v>
      </c>
      <c r="HL138" s="314">
        <f t="shared" si="633"/>
        <v>0</v>
      </c>
      <c r="HM138" s="314">
        <f t="shared" si="633"/>
        <v>0</v>
      </c>
      <c r="HN138" s="314">
        <f t="shared" si="633"/>
        <v>0</v>
      </c>
      <c r="HO138" s="314">
        <f t="shared" si="633"/>
        <v>0</v>
      </c>
      <c r="HP138" s="314">
        <f t="shared" si="633"/>
        <v>0</v>
      </c>
      <c r="HQ138" s="314">
        <f t="shared" si="633"/>
        <v>0</v>
      </c>
      <c r="HR138" s="314">
        <f t="shared" si="633"/>
        <v>0</v>
      </c>
      <c r="HS138" s="314">
        <f t="shared" si="633"/>
        <v>0</v>
      </c>
      <c r="HT138" s="314">
        <f t="shared" si="633"/>
        <v>0</v>
      </c>
      <c r="HU138" s="314">
        <f t="shared" si="633"/>
        <v>285750</v>
      </c>
      <c r="HV138" s="314">
        <f t="shared" si="633"/>
        <v>0</v>
      </c>
      <c r="HW138" s="314">
        <f t="shared" si="633"/>
        <v>59840</v>
      </c>
      <c r="HX138" s="314">
        <f t="shared" si="633"/>
        <v>314160</v>
      </c>
      <c r="HY138" s="314">
        <f t="shared" si="633"/>
        <v>0</v>
      </c>
      <c r="HZ138" s="314">
        <f t="shared" si="633"/>
        <v>0</v>
      </c>
      <c r="IA138" s="314">
        <f t="shared" si="633"/>
        <v>0</v>
      </c>
      <c r="IB138" s="314">
        <f t="shared" si="633"/>
        <v>0</v>
      </c>
      <c r="IC138" s="314">
        <f t="shared" si="633"/>
        <v>0</v>
      </c>
      <c r="ID138" s="314">
        <f t="shared" si="633"/>
        <v>0</v>
      </c>
      <c r="IE138" s="314">
        <f t="shared" si="633"/>
        <v>0</v>
      </c>
      <c r="IF138" s="314">
        <f t="shared" si="633"/>
        <v>0</v>
      </c>
      <c r="IG138" s="314">
        <f t="shared" si="633"/>
        <v>0</v>
      </c>
      <c r="IH138" s="314">
        <f t="shared" si="633"/>
        <v>0</v>
      </c>
      <c r="II138" s="314">
        <f t="shared" si="633"/>
        <v>0</v>
      </c>
      <c r="IJ138" s="314">
        <f t="shared" si="633"/>
        <v>0</v>
      </c>
      <c r="IK138" s="314">
        <f t="shared" si="633"/>
        <v>0</v>
      </c>
      <c r="IL138" s="314">
        <f t="shared" si="633"/>
        <v>0</v>
      </c>
      <c r="IM138" s="314">
        <f t="shared" si="633"/>
        <v>1040</v>
      </c>
      <c r="IN138" s="314">
        <f t="shared" si="633"/>
        <v>21060</v>
      </c>
      <c r="IO138" s="314">
        <f t="shared" si="633"/>
        <v>3900</v>
      </c>
      <c r="IP138" s="314">
        <f t="shared" si="633"/>
        <v>0</v>
      </c>
      <c r="IQ138" s="314">
        <f t="shared" si="633"/>
        <v>0</v>
      </c>
      <c r="IR138" s="314">
        <f t="shared" si="633"/>
        <v>0</v>
      </c>
      <c r="IS138" s="314">
        <f t="shared" si="633"/>
        <v>0</v>
      </c>
      <c r="IT138" s="314">
        <f t="shared" si="633"/>
        <v>0</v>
      </c>
      <c r="IU138" s="314">
        <f t="shared" si="633"/>
        <v>0</v>
      </c>
      <c r="IV138" s="314">
        <f t="shared" si="633"/>
        <v>0</v>
      </c>
      <c r="IW138" s="314">
        <f t="shared" si="633"/>
        <v>0</v>
      </c>
      <c r="IX138" s="314">
        <f t="shared" si="633"/>
        <v>0</v>
      </c>
      <c r="IY138" s="314">
        <f t="shared" si="633"/>
        <v>0</v>
      </c>
      <c r="IZ138" s="314">
        <f t="shared" si="633"/>
        <v>0</v>
      </c>
      <c r="JA138" s="314">
        <f t="shared" ref="JA138:JH138" si="634">SUM(JA135:JA137)</f>
        <v>0</v>
      </c>
      <c r="JB138" s="314">
        <f t="shared" si="634"/>
        <v>465400</v>
      </c>
      <c r="JC138" s="314">
        <f t="shared" si="634"/>
        <v>0</v>
      </c>
      <c r="JD138" s="314">
        <f t="shared" si="634"/>
        <v>3908439</v>
      </c>
      <c r="JE138" s="314">
        <f t="shared" si="634"/>
        <v>0</v>
      </c>
      <c r="JF138" s="314">
        <f t="shared" si="634"/>
        <v>0</v>
      </c>
      <c r="JG138" s="314">
        <f t="shared" si="634"/>
        <v>0</v>
      </c>
      <c r="JH138" s="314">
        <f t="shared" si="634"/>
        <v>0</v>
      </c>
      <c r="JI138" s="314">
        <f>SUM(JI135:JI137)</f>
        <v>23687759</v>
      </c>
    </row>
    <row r="139" spans="1:276" ht="15.75" thickBot="1" x14ac:dyDescent="0.3">
      <c r="B139" s="490" t="s">
        <v>2622</v>
      </c>
    </row>
    <row r="140" spans="1:276" x14ac:dyDescent="0.25">
      <c r="A140" s="615">
        <v>439</v>
      </c>
      <c r="B140" s="616" t="s">
        <v>59</v>
      </c>
      <c r="C140" s="616">
        <f>IFERROR(VLOOKUP(C$1,'žádosti MPSV 2020'!$F$8:RT276,$A140,FALSE),0)</f>
        <v>0</v>
      </c>
      <c r="D140" s="616">
        <f>IFERROR(VLOOKUP(D$1,'žádosti MPSV 2020'!$F$8:RU276,$A140,FALSE),0)</f>
        <v>0</v>
      </c>
      <c r="E140" s="616">
        <f>IFERROR(VLOOKUP(E$1,'žádosti MPSV 2020'!$F$8:RV276,$A140,FALSE),0)</f>
        <v>0</v>
      </c>
      <c r="F140" s="616">
        <f>IFERROR(VLOOKUP(F$1,'žádosti MPSV 2020'!$F$8:RW276,$A140,FALSE),0)</f>
        <v>0</v>
      </c>
      <c r="G140" s="616">
        <f>IFERROR(VLOOKUP(G$1,'žádosti MPSV 2020'!$F$8:RX276,$A140,FALSE),0)</f>
        <v>0</v>
      </c>
      <c r="H140" s="616">
        <f>IFERROR(VLOOKUP(H$1,'žádosti MPSV 2020'!$F$8:RY276,$A140,FALSE),0)</f>
        <v>0</v>
      </c>
      <c r="I140" s="616">
        <f>IFERROR(VLOOKUP(I$1,'žádosti MPSV 2020'!$F$8:RZ276,$A140,FALSE),0)</f>
        <v>0</v>
      </c>
      <c r="J140" s="616">
        <f>IFERROR(VLOOKUP(J$1,'žádosti MPSV 2020'!$F$8:SA276,$A140,FALSE),0)</f>
        <v>0</v>
      </c>
      <c r="K140" s="616">
        <f>IFERROR(VLOOKUP(K$1,'žádosti MPSV 2020'!$F$8:SB276,$A140,FALSE),0)</f>
        <v>0</v>
      </c>
      <c r="L140" s="616">
        <f>IFERROR(VLOOKUP(L$1,'žádosti MPSV 2020'!$F$8:SC276,$A140,FALSE),0)</f>
        <v>0</v>
      </c>
      <c r="M140" s="616">
        <f>IFERROR(VLOOKUP(M$1,'žádosti MPSV 2020'!$F$8:SD276,$A140,FALSE),0)</f>
        <v>0</v>
      </c>
      <c r="N140" s="616">
        <f>IFERROR(VLOOKUP(N$1,'žádosti MPSV 2020'!$F$8:SE276,$A140,FALSE),0)</f>
        <v>0</v>
      </c>
      <c r="O140" s="616">
        <f>IFERROR(VLOOKUP(O$1,'žádosti MPSV 2020'!$F$8:SF276,$A140,FALSE),0)</f>
        <v>0</v>
      </c>
      <c r="P140" s="616">
        <f>IFERROR(VLOOKUP(P$1,'žádosti MPSV 2020'!$F$8:SG276,$A140,FALSE),0)</f>
        <v>0</v>
      </c>
      <c r="Q140" s="616">
        <f>IFERROR(VLOOKUP(Q$1,'žádosti MPSV 2020'!$F$8:SH276,$A140,FALSE),0)</f>
        <v>0</v>
      </c>
      <c r="R140" s="616">
        <f>IFERROR(VLOOKUP(R$1,'žádosti MPSV 2020'!$F$8:SI276,$A140,FALSE),0)</f>
        <v>0</v>
      </c>
      <c r="S140" s="616">
        <f>IFERROR(VLOOKUP(S$1,'žádosti MPSV 2020'!$F$8:SJ276,$A140,FALSE),0)</f>
        <v>0</v>
      </c>
      <c r="T140" s="616">
        <f>IFERROR(VLOOKUP(T$1,'žádosti MPSV 2020'!$F$8:SK276,$A140,FALSE),0)</f>
        <v>0</v>
      </c>
      <c r="U140" s="616">
        <f>IFERROR(VLOOKUP(U$1,'žádosti MPSV 2020'!$F$8:SL276,$A140,FALSE),0)</f>
        <v>0</v>
      </c>
      <c r="V140" s="616">
        <f>IFERROR(VLOOKUP(V$1,'žádosti MPSV 2020'!$F$8:SM276,$A140,FALSE),0)</f>
        <v>0</v>
      </c>
      <c r="W140" s="616">
        <f>IFERROR(VLOOKUP(W$1,'žádosti MPSV 2020'!$F$8:SN276,$A140,FALSE),0)</f>
        <v>0</v>
      </c>
      <c r="X140" s="616">
        <f>IFERROR(VLOOKUP(X$1,'žádosti MPSV 2020'!$F$8:SO276,$A140,FALSE),0)</f>
        <v>0</v>
      </c>
      <c r="Y140" s="616">
        <f>IFERROR(VLOOKUP(Y$1,'žádosti MPSV 2020'!$F$8:SP276,$A140,FALSE),0)</f>
        <v>0</v>
      </c>
      <c r="Z140" s="616">
        <f>IFERROR(VLOOKUP(Z$1,'žádosti MPSV 2020'!$F$8:SQ276,$A140,FALSE),0)</f>
        <v>0</v>
      </c>
      <c r="AA140" s="616">
        <f>IFERROR(VLOOKUP(AA$1,'žádosti MPSV 2020'!$F$8:SR276,$A140,FALSE),0)</f>
        <v>0</v>
      </c>
      <c r="AB140" s="616">
        <f>IFERROR(VLOOKUP(AB$1,'žádosti MPSV 2020'!$F$8:SS276,$A140,FALSE),0)</f>
        <v>0</v>
      </c>
      <c r="AC140" s="616">
        <f>IFERROR(VLOOKUP(AC$1,'žádosti MPSV 2020'!$F$8:ST276,$A140,FALSE),0)</f>
        <v>0</v>
      </c>
      <c r="AD140" s="616">
        <f>IFERROR(VLOOKUP(AD$1,'žádosti MPSV 2020'!$F$8:ST276,$A140,FALSE),0)</f>
        <v>0</v>
      </c>
      <c r="AE140" s="616">
        <f>IFERROR(VLOOKUP(AE$1,'žádosti MPSV 2020'!$F$8:SU276,$A140,FALSE),0)</f>
        <v>0</v>
      </c>
      <c r="AF140" s="616">
        <f>IFERROR(VLOOKUP(AF$1,'žádosti MPSV 2020'!$F$8:SV276,$A140,FALSE),0)</f>
        <v>0</v>
      </c>
      <c r="AG140" s="616">
        <f>IFERROR(VLOOKUP(AG$1,'žádosti MPSV 2020'!$F$8:SW276,$A140,FALSE),0)</f>
        <v>0</v>
      </c>
      <c r="AH140" s="616">
        <f>IFERROR(VLOOKUP(AH$1,'žádosti MPSV 2020'!$F$8:SX276,$A140,FALSE),0)</f>
        <v>0</v>
      </c>
      <c r="AI140" s="616">
        <f>IFERROR(VLOOKUP(AI$1,'žádosti MPSV 2020'!$F$8:SY276,$A140,FALSE),0)</f>
        <v>0</v>
      </c>
      <c r="AJ140" s="616">
        <f>IFERROR(VLOOKUP(AJ$1,'žádosti MPSV 2020'!$F$8:SZ276,$A140,FALSE),0)</f>
        <v>0</v>
      </c>
      <c r="AK140" s="616">
        <f>IFERROR(VLOOKUP(AK$1,'žádosti MPSV 2020'!$F$8:TA276,$A140,FALSE),0)</f>
        <v>0</v>
      </c>
      <c r="AL140" s="616">
        <f>IFERROR(VLOOKUP(AL$1,'žádosti MPSV 2020'!$F$8:TB276,$A140,FALSE),0)</f>
        <v>0</v>
      </c>
      <c r="AM140" s="616">
        <f>IFERROR(VLOOKUP(AM$1,'žádosti MPSV 2020'!$F$8:TC276,$A140,FALSE),0)</f>
        <v>0</v>
      </c>
      <c r="AN140" s="616">
        <f>IFERROR(VLOOKUP(AN$1,'žádosti MPSV 2020'!$F$8:TD276,$A140,FALSE),0)</f>
        <v>0</v>
      </c>
      <c r="AO140" s="616">
        <f>IFERROR(VLOOKUP(AO$1,'žádosti MPSV 2020'!$F$8:TE276,$A140,FALSE),0)</f>
        <v>0</v>
      </c>
      <c r="AP140" s="616">
        <f>IFERROR(VLOOKUP(AP$1,'žádosti MPSV 2020'!$F$8:TF276,$A140,FALSE),0)</f>
        <v>42000</v>
      </c>
      <c r="AQ140" s="616">
        <f>IFERROR(VLOOKUP(AQ$1,'žádosti MPSV 2020'!$F$8:TG276,$A140,FALSE),0)</f>
        <v>0</v>
      </c>
      <c r="AR140" s="616">
        <f>IFERROR(VLOOKUP(AR$1,'žádosti MPSV 2020'!$F$8:TH276,$A140,FALSE),0)</f>
        <v>0</v>
      </c>
      <c r="AS140" s="616">
        <f>IFERROR(VLOOKUP(AS$1,'žádosti MPSV 2020'!$F$8:TI276,$A140,FALSE),0)</f>
        <v>0</v>
      </c>
      <c r="AT140" s="616">
        <f>IFERROR(VLOOKUP(AT$1,'žádosti MPSV 2020'!$F$8:TJ276,$A140,FALSE),0)</f>
        <v>0</v>
      </c>
      <c r="AU140" s="616">
        <f>IFERROR(VLOOKUP(AU$1,'žádosti MPSV 2020'!$F$8:TK276,$A140,FALSE),0)</f>
        <v>0</v>
      </c>
      <c r="AV140" s="616">
        <f>IFERROR(VLOOKUP(AV$1,'žádosti MPSV 2020'!$F$8:TL276,$A140,FALSE),0)</f>
        <v>0</v>
      </c>
      <c r="AW140" s="616">
        <f>IFERROR(VLOOKUP(AW$1,'žádosti MPSV 2020'!$F$8:TM276,$A140,FALSE),0)</f>
        <v>0</v>
      </c>
      <c r="AX140" s="616">
        <f>IFERROR(VLOOKUP(AX$1,'žádosti MPSV 2020'!$F$8:TN276,$A140,FALSE),0)</f>
        <v>4875</v>
      </c>
      <c r="AY140" s="616">
        <f>IFERROR(VLOOKUP(AY$1,'žádosti MPSV 2020'!$F$8:TO276,$A140,FALSE),0)</f>
        <v>3700</v>
      </c>
      <c r="AZ140" s="616">
        <f>IFERROR(VLOOKUP(AZ$1,'žádosti MPSV 2020'!$F$8:TP276,$A140,FALSE),0)</f>
        <v>3656</v>
      </c>
      <c r="BA140" s="616">
        <f>IFERROR(VLOOKUP(BA$1,'žádosti MPSV 2020'!$F$8:TQ276,$A140,FALSE),0)</f>
        <v>0</v>
      </c>
      <c r="BB140" s="616">
        <f>IFERROR(VLOOKUP(BB$1,'žádosti MPSV 2020'!$F$8:TR276,$A140,FALSE),0)</f>
        <v>0</v>
      </c>
      <c r="BC140" s="616">
        <f>IFERROR(VLOOKUP(BC$1,'žádosti MPSV 2020'!$F$8:TS276,$A140,FALSE),0)</f>
        <v>0</v>
      </c>
      <c r="BD140" s="616">
        <f>IFERROR(VLOOKUP(BD$1,'žádosti MPSV 2020'!$F$8:TT276,$A140,FALSE),0)</f>
        <v>0</v>
      </c>
      <c r="BE140" s="616">
        <f>IFERROR(VLOOKUP(BE$1,'žádosti MPSV 2020'!$F$8:TU276,$A140,FALSE),0)</f>
        <v>0</v>
      </c>
      <c r="BF140" s="616">
        <f>IFERROR(VLOOKUP(BF$1,'žádosti MPSV 2020'!$F$8:TV276,$A140,FALSE),0)</f>
        <v>0</v>
      </c>
      <c r="BG140" s="616">
        <f>IFERROR(VLOOKUP(BG$1,'žádosti MPSV 2020'!$F$8:TW276,$A140,FALSE),0)</f>
        <v>0</v>
      </c>
      <c r="BH140" s="616">
        <f>IFERROR(VLOOKUP(BH$1,'žádosti MPSV 2020'!$F$8:TX276,$A140,FALSE),0)</f>
        <v>0</v>
      </c>
      <c r="BI140" s="616">
        <f>IFERROR(VLOOKUP(BI$1,'žádosti MPSV 2020'!$F$8:TY276,$A140,FALSE),0)</f>
        <v>1100000</v>
      </c>
      <c r="BJ140" s="616">
        <f>IFERROR(VLOOKUP(BJ$1,'žádosti MPSV 2020'!$F$8:TZ276,$A140,FALSE),0)</f>
        <v>0</v>
      </c>
      <c r="BK140" s="616">
        <f>IFERROR(VLOOKUP(BK$1,'žádosti MPSV 2020'!$F$8:UA276,$A140,FALSE),0)</f>
        <v>0</v>
      </c>
      <c r="BL140" s="616">
        <f>IFERROR(VLOOKUP(BL$1,'žádosti MPSV 2020'!$F$8:UB276,$A140,FALSE),0)</f>
        <v>0</v>
      </c>
      <c r="BM140" s="616">
        <f>IFERROR(VLOOKUP(BM$1,'žádosti MPSV 2020'!$F$8:UC276,$A140,FALSE),0)</f>
        <v>0</v>
      </c>
      <c r="BN140" s="616">
        <f>IFERROR(VLOOKUP(BN$1,'žádosti MPSV 2020'!$F$8:UD276,$A140,FALSE),0)</f>
        <v>0</v>
      </c>
      <c r="BO140" s="616">
        <f>IFERROR(VLOOKUP(BO$1,'žádosti MPSV 2020'!$F$8:UE276,$A140,FALSE),0)</f>
        <v>0</v>
      </c>
      <c r="BP140" s="616">
        <f>IFERROR(VLOOKUP(BP$1,'žádosti MPSV 2020'!$F$8:UF276,$A140,FALSE),0)</f>
        <v>0</v>
      </c>
      <c r="BQ140" s="616">
        <f>IFERROR(VLOOKUP(BQ$1,'žádosti MPSV 2020'!$F$8:UG276,$A140,FALSE),0)</f>
        <v>0</v>
      </c>
      <c r="BR140" s="616">
        <f>IFERROR(VLOOKUP(BR$1,'žádosti MPSV 2020'!$F$8:UH276,$A140,FALSE),0)</f>
        <v>0</v>
      </c>
      <c r="BS140" s="616">
        <f>IFERROR(VLOOKUP(BS$1,'žádosti MPSV 2020'!$F$8:UI276,$A140,FALSE),0)</f>
        <v>0</v>
      </c>
      <c r="BT140" s="616">
        <f>IFERROR(VLOOKUP(BT$1,'žádosti MPSV 2020'!$F$8:UJ276,$A140,FALSE),0)</f>
        <v>0</v>
      </c>
      <c r="BU140" s="616">
        <f>IFERROR(VLOOKUP(BU$1,'žádosti MPSV 2020'!$F$8:UK276,$A140,FALSE),0)</f>
        <v>0</v>
      </c>
      <c r="BV140" s="616">
        <f>IFERROR(VLOOKUP(BV$1,'žádosti MPSV 2020'!$F$8:UL276,$A140,FALSE),0)</f>
        <v>0</v>
      </c>
      <c r="BW140" s="616">
        <f>IFERROR(VLOOKUP(BW$1,'žádosti MPSV 2020'!$F$8:UM276,$A140,FALSE),0)</f>
        <v>0</v>
      </c>
      <c r="BX140" s="616">
        <f>IFERROR(VLOOKUP(BX$1,'žádosti MPSV 2020'!$F$8:UN276,$A140,FALSE),0)</f>
        <v>0</v>
      </c>
      <c r="BY140" s="616">
        <f>IFERROR(VLOOKUP(BY$1,'žádosti MPSV 2020'!$F$8:UO276,$A140,FALSE),0)</f>
        <v>0</v>
      </c>
      <c r="BZ140" s="616">
        <f>IFERROR(VLOOKUP(BZ$1,'žádosti MPSV 2020'!$F$8:UP276,$A140,FALSE),0)</f>
        <v>0</v>
      </c>
      <c r="CA140" s="616">
        <f>IFERROR(VLOOKUP(CA$1,'žádosti MPSV 2020'!$F$8:UQ276,$A140,FALSE),0)</f>
        <v>0</v>
      </c>
      <c r="CB140" s="616">
        <f>IFERROR(VLOOKUP(CB$1,'žádosti MPSV 2020'!$F$8:UR276,$A140,FALSE),0)</f>
        <v>0</v>
      </c>
      <c r="CC140" s="616">
        <f>IFERROR(VLOOKUP(CC$1,'žádosti MPSV 2020'!$F$8:US276,$A140,FALSE),0)</f>
        <v>0</v>
      </c>
      <c r="CD140" s="616">
        <f>IFERROR(VLOOKUP(CD$1,'žádosti MPSV 2020'!$F$8:UT276,$A140,FALSE),0)</f>
        <v>0</v>
      </c>
      <c r="CE140" s="616">
        <f>IFERROR(VLOOKUP(CE$1,'žádosti MPSV 2020'!$F$8:UU276,$A140,FALSE),0)</f>
        <v>0</v>
      </c>
      <c r="CF140" s="616">
        <f>IFERROR(VLOOKUP(CF$1,'žádosti MPSV 2020'!$F$8:UV276,$A140,FALSE),0)</f>
        <v>0</v>
      </c>
      <c r="CG140" s="616">
        <f>IFERROR(VLOOKUP(CG$1,'žádosti MPSV 2020'!$F$8:UW276,$A140,FALSE),0)</f>
        <v>126000</v>
      </c>
      <c r="CH140" s="616">
        <f>IFERROR(VLOOKUP(CH$1,'žádosti MPSV 2020'!$F$8:UX276,$A140,FALSE),0)</f>
        <v>0</v>
      </c>
      <c r="CI140" s="616">
        <f>IFERROR(VLOOKUP(CI$1,'žádosti MPSV 2020'!$F$8:UY276,$A140,FALSE),0)</f>
        <v>0</v>
      </c>
      <c r="CJ140" s="616">
        <f>IFERROR(VLOOKUP(CJ$1,'žádosti MPSV 2020'!$F$8:UZ276,$A140,FALSE),0)</f>
        <v>0</v>
      </c>
      <c r="CK140" s="616">
        <f>IFERROR(VLOOKUP(CK$1,'žádosti MPSV 2020'!$F$8:VA276,$A140,FALSE),0)</f>
        <v>0</v>
      </c>
      <c r="CL140" s="616">
        <f>IFERROR(VLOOKUP(CL$1,'žádosti MPSV 2020'!$F$8:VB276,$A140,FALSE),0)</f>
        <v>0</v>
      </c>
      <c r="CM140" s="616">
        <f>IFERROR(VLOOKUP(CM$1,'žádosti MPSV 2020'!$F$8:VC276,$A140,FALSE),0)</f>
        <v>0</v>
      </c>
      <c r="CN140" s="616">
        <f>IFERROR(VLOOKUP(CN$1,'žádosti MPSV 2020'!$F$8:VD276,$A140,FALSE),0)</f>
        <v>0</v>
      </c>
      <c r="CO140" s="616">
        <f>IFERROR(VLOOKUP(CO$1,'žádosti MPSV 2020'!$F$8:VE276,$A140,FALSE),0)</f>
        <v>0</v>
      </c>
      <c r="CP140" s="616">
        <f>IFERROR(VLOOKUP(CP$1,'žádosti MPSV 2020'!$F$8:VF276,$A140,FALSE),0)</f>
        <v>0</v>
      </c>
      <c r="CQ140" s="616">
        <f>IFERROR(VLOOKUP(CQ$1,'žádosti MPSV 2020'!$F$8:VG276,$A140,FALSE),0)</f>
        <v>0</v>
      </c>
      <c r="CR140" s="616">
        <f>IFERROR(VLOOKUP(CR$1,'žádosti MPSV 2020'!$F$8:VH276,$A140,FALSE),0)</f>
        <v>0</v>
      </c>
      <c r="CS140" s="616">
        <f>IFERROR(VLOOKUP(CS$1,'žádosti MPSV 2020'!$F$8:VI276,$A140,FALSE),0)</f>
        <v>0</v>
      </c>
      <c r="CT140" s="616">
        <f>IFERROR(VLOOKUP(CT$1,'žádosti MPSV 2020'!$F$8:VJ276,$A140,FALSE),0)</f>
        <v>0</v>
      </c>
      <c r="CU140" s="616">
        <f>IFERROR(VLOOKUP(CU$1,'žádosti MPSV 2020'!$F$8:VK276,$A140,FALSE),0)</f>
        <v>0</v>
      </c>
      <c r="CV140" s="616">
        <f>IFERROR(VLOOKUP(CV$1,'žádosti MPSV 2020'!$F$8:VL276,$A140,FALSE),0)</f>
        <v>0</v>
      </c>
      <c r="CW140" s="616">
        <f>IFERROR(VLOOKUP(CW$1,'žádosti MPSV 2020'!$F$8:VM276,$A140,FALSE),0)</f>
        <v>0</v>
      </c>
      <c r="CX140" s="616">
        <f>IFERROR(VLOOKUP(CX$1,'žádosti MPSV 2020'!$F$8:VN276,$A140,FALSE),0)</f>
        <v>0</v>
      </c>
      <c r="CY140" s="616">
        <f>IFERROR(VLOOKUP(CY$1,'žádosti MPSV 2020'!$F$8:VO276,$A140,FALSE),0)</f>
        <v>0</v>
      </c>
      <c r="CZ140" s="616">
        <f>IFERROR(VLOOKUP(CZ$1,'žádosti MPSV 2020'!$F$8:VP276,$A140,FALSE),0)</f>
        <v>0</v>
      </c>
      <c r="DA140" s="616">
        <f>IFERROR(VLOOKUP(DA$1,'žádosti MPSV 2020'!$F$8:VQ276,$A140,FALSE),0)</f>
        <v>2100000</v>
      </c>
      <c r="DB140" s="616">
        <f>IFERROR(VLOOKUP(DB$1,'žádosti MPSV 2020'!$F$8:VR276,$A140,FALSE),0)</f>
        <v>0</v>
      </c>
      <c r="DC140" s="616">
        <f>IFERROR(VLOOKUP(DC$1,'žádosti MPSV 2020'!$F$8:VS276,$A140,FALSE),0)</f>
        <v>120000</v>
      </c>
      <c r="DD140" s="616">
        <f>IFERROR(VLOOKUP(DD$1,'žádosti MPSV 2020'!$F$8:VT276,$A140,FALSE),0)</f>
        <v>0</v>
      </c>
      <c r="DE140" s="616">
        <f>IFERROR(VLOOKUP(DE$1,'žádosti MPSV 2020'!$F$8:VU276,$A140,FALSE),0)</f>
        <v>0</v>
      </c>
      <c r="DF140" s="616">
        <f>IFERROR(VLOOKUP(DF$1,'žádosti MPSV 2020'!$F$8:VV276,$A140,FALSE),0)</f>
        <v>0</v>
      </c>
      <c r="DG140" s="616">
        <f>IFERROR(VLOOKUP(DG$1,'žádosti MPSV 2020'!$F$8:VW276,$A140,FALSE),0)</f>
        <v>0</v>
      </c>
      <c r="DH140" s="616">
        <f>IFERROR(VLOOKUP(DH$1,'žádosti MPSV 2020'!$F$8:WA276,$A140,FALSE),0)</f>
        <v>0</v>
      </c>
      <c r="DI140" s="616">
        <f>IFERROR(VLOOKUP(DI$1,'žádosti MPSV 2020'!$F$8:WB276,$A140,FALSE),0)</f>
        <v>0</v>
      </c>
      <c r="DJ140" s="616">
        <f>IFERROR(VLOOKUP(DJ$1,'žádosti MPSV 2020'!$F$8:WC276,$A140,FALSE),0)</f>
        <v>0</v>
      </c>
      <c r="DK140" s="616">
        <f>IFERROR(VLOOKUP(DK$1,'žádosti MPSV 2020'!$F$8:WD276,$A140,FALSE),0)</f>
        <v>0</v>
      </c>
      <c r="DL140" s="616">
        <f>IFERROR(VLOOKUP(DL$1,'žádosti MPSV 2020'!$F$8:WE276,$A140,FALSE),0)</f>
        <v>0</v>
      </c>
      <c r="DM140" s="616">
        <f>IFERROR(VLOOKUP(DM$1,'žádosti MPSV 2020'!$F$8:WF276,$A140,FALSE),0)</f>
        <v>0</v>
      </c>
      <c r="DN140" s="616">
        <f>IFERROR(VLOOKUP(DN$1,'žádosti MPSV 2020'!$F$8:WG276,$A140,FALSE),0)</f>
        <v>0</v>
      </c>
      <c r="DO140" s="616">
        <f>IFERROR(VLOOKUP(DO$1,'žádosti MPSV 2020'!$F$8:WH276,$A140,FALSE),0)</f>
        <v>0</v>
      </c>
      <c r="DP140" s="616">
        <f>IFERROR(VLOOKUP(DP$1,'žádosti MPSV 2020'!$F$8:WI276,$A140,FALSE),0)</f>
        <v>0</v>
      </c>
      <c r="DQ140" s="616">
        <f>IFERROR(VLOOKUP(DQ$1,'žádosti MPSV 2020'!$F$8:WJ276,$A140,FALSE),0)</f>
        <v>0</v>
      </c>
      <c r="DR140" s="616">
        <f>IFERROR(VLOOKUP(DR$1,'žádosti MPSV 2020'!$F$8:WK276,$A140,FALSE),0)</f>
        <v>0</v>
      </c>
      <c r="DS140" s="616">
        <f>IFERROR(VLOOKUP(DS$1,'žádosti MPSV 2020'!$F$8:WL276,$A140,FALSE),0)</f>
        <v>0</v>
      </c>
      <c r="DT140" s="616">
        <f>IFERROR(VLOOKUP(DT$1,'žádosti MPSV 2020'!$F$8:WM276,$A140,FALSE),0)</f>
        <v>0</v>
      </c>
      <c r="DU140" s="616">
        <f>IFERROR(VLOOKUP(DU$1,'žádosti MPSV 2020'!$F$8:WN276,$A140,FALSE),0)</f>
        <v>0</v>
      </c>
      <c r="DV140" s="616">
        <f>IFERROR(VLOOKUP(DV$1,'žádosti MPSV 2020'!$F$8:WO276,$A140,FALSE),0)</f>
        <v>1000000</v>
      </c>
      <c r="DW140" s="616">
        <f>IFERROR(VLOOKUP(DW$1,'žádosti MPSV 2020'!$F$8:WP276,$A140,FALSE),0)</f>
        <v>0</v>
      </c>
      <c r="DX140" s="616">
        <f>IFERROR(VLOOKUP(DX$1,'žádosti MPSV 2020'!$F$8:WQ276,$A140,FALSE),0)</f>
        <v>0</v>
      </c>
      <c r="DY140" s="616">
        <f>IFERROR(VLOOKUP(DY$1,'žádosti MPSV 2020'!$F$8:WR276,$A140,FALSE),0)</f>
        <v>0</v>
      </c>
      <c r="DZ140" s="616">
        <f>IFERROR(VLOOKUP(DZ$1,'žádosti MPSV 2020'!$F$8:WS276,$A140,FALSE),0)</f>
        <v>0</v>
      </c>
      <c r="EA140" s="616">
        <f>IFERROR(VLOOKUP(EA$1,'žádosti MPSV 2020'!$F$8:WT276,$A140,FALSE),0)</f>
        <v>0</v>
      </c>
      <c r="EB140" s="616">
        <f>IFERROR(VLOOKUP(EB$1,'žádosti MPSV 2020'!$F$8:WU276,$A140,FALSE),0)</f>
        <v>0</v>
      </c>
      <c r="EC140" s="616">
        <f>IFERROR(VLOOKUP(EC$1,'žádosti MPSV 2020'!$F$8:WV276,$A140,FALSE),0)</f>
        <v>108000</v>
      </c>
      <c r="ED140" s="616">
        <f>IFERROR(VLOOKUP(ED$1,'žádosti MPSV 2020'!$F$8:WW276,$A140,FALSE),0)</f>
        <v>0</v>
      </c>
      <c r="EE140" s="616">
        <f>IFERROR(VLOOKUP(EE$1,'žádosti MPSV 2020'!$F$8:WX276,$A140,FALSE),0)</f>
        <v>157376</v>
      </c>
      <c r="EF140" s="616">
        <f>IFERROR(VLOOKUP(EF$1,'žádosti MPSV 2020'!$F$8:WY276,$A140,FALSE),0)</f>
        <v>145000</v>
      </c>
      <c r="EG140" s="616">
        <f>IFERROR(VLOOKUP(EG$1,'žádosti MPSV 2020'!$F$8:WZ276,$A140,FALSE),0)</f>
        <v>0</v>
      </c>
      <c r="EH140" s="616">
        <f>IFERROR(VLOOKUP(EH$1,'žádosti MPSV 2020'!$F$8:XA276,$A140,FALSE),0)</f>
        <v>165000</v>
      </c>
      <c r="EI140" s="616">
        <f>IFERROR(VLOOKUP(EI$1,'žádosti MPSV 2020'!$F$8:XB276,$A140,FALSE),0)</f>
        <v>116247</v>
      </c>
      <c r="EJ140" s="616">
        <f>IFERROR(VLOOKUP(EJ$1,'žádosti MPSV 2020'!$F$8:XC276,$A140,FALSE),0)</f>
        <v>174460</v>
      </c>
      <c r="EK140" s="616">
        <f>IFERROR(VLOOKUP(EK$1,'žádosti MPSV 2020'!$F$8:XD276,$A140,FALSE),0)</f>
        <v>0</v>
      </c>
      <c r="EL140" s="616">
        <f>IFERROR(VLOOKUP(EL$1,'žádosti MPSV 2020'!$F$8:XE276,$A140,FALSE),0)</f>
        <v>0</v>
      </c>
      <c r="EM140" s="616">
        <f>IFERROR(VLOOKUP(EM$1,'žádosti MPSV 2020'!$F$8:XF276,$A140,FALSE),0)</f>
        <v>0</v>
      </c>
      <c r="EN140" s="616">
        <f>IFERROR(VLOOKUP(EN$1,'žádosti MPSV 2020'!$F$8:XG276,$A140,FALSE),0)</f>
        <v>0</v>
      </c>
      <c r="EO140" s="616">
        <f>IFERROR(VLOOKUP(EO$1,'žádosti MPSV 2020'!$F$8:XH276,$A140,FALSE),0)</f>
        <v>0</v>
      </c>
      <c r="EP140" s="616">
        <f>IFERROR(VLOOKUP(EP$1,'žádosti MPSV 2020'!$F$8:XI276,$A140,FALSE),0)</f>
        <v>320000</v>
      </c>
      <c r="EQ140" s="616">
        <f>IFERROR(VLOOKUP(EQ$1,'žádosti MPSV 2020'!$F$8:XJ276,$A140,FALSE),0)</f>
        <v>200000</v>
      </c>
      <c r="ER140" s="616">
        <f>IFERROR(VLOOKUP(ER$1,'žádosti MPSV 2020'!$F$8:XK276,$A140,FALSE),0)</f>
        <v>0</v>
      </c>
      <c r="ES140" s="616">
        <f>IFERROR(VLOOKUP(ES$1,'žádosti MPSV 2020'!$F$8:XL276,$A140,FALSE),0)</f>
        <v>0</v>
      </c>
      <c r="ET140" s="616">
        <f>IFERROR(VLOOKUP(ET$1,'žádosti MPSV 2020'!$F$8:XM276,$A140,FALSE),0)</f>
        <v>0</v>
      </c>
      <c r="EU140" s="616">
        <f>IFERROR(VLOOKUP(EU$1,'žádosti MPSV 2020'!$F$8:XN276,$A140,FALSE),0)</f>
        <v>0</v>
      </c>
      <c r="EV140" s="616">
        <f>IFERROR(VLOOKUP(EV$1,'žádosti MPSV 2020'!$F$8:XO276,$A140,FALSE),0)</f>
        <v>0</v>
      </c>
      <c r="EW140" s="616">
        <f>IFERROR(VLOOKUP(EW$1,'žádosti MPSV 2020'!$F$8:XP276,$A140,FALSE),0)</f>
        <v>0</v>
      </c>
      <c r="EX140" s="616">
        <f>IFERROR(VLOOKUP(EX$1,'žádosti MPSV 2020'!$F$8:XQ276,$A140,FALSE),0)</f>
        <v>0</v>
      </c>
      <c r="EY140" s="616">
        <f>IFERROR(VLOOKUP(EY$1,'žádosti MPSV 2020'!$F$8:XR276,$A140,FALSE),0)</f>
        <v>0</v>
      </c>
      <c r="EZ140" s="616">
        <f>IFERROR(VLOOKUP(EZ$1,'žádosti MPSV 2020'!$F$8:XS276,$A140,FALSE),0)</f>
        <v>0</v>
      </c>
      <c r="FA140" s="616">
        <f>IFERROR(VLOOKUP(FA$1,'žádosti MPSV 2020'!$F$8:XT276,$A140,FALSE),0)</f>
        <v>0</v>
      </c>
      <c r="FB140" s="616">
        <f>IFERROR(VLOOKUP(FB$1,'žádosti MPSV 2020'!$F$8:XU276,$A140,FALSE),0)</f>
        <v>0</v>
      </c>
      <c r="FC140" s="616">
        <f>IFERROR(VLOOKUP(FC$1,'žádosti MPSV 2020'!$F$8:XV276,$A140,FALSE),0)</f>
        <v>0</v>
      </c>
      <c r="FD140" s="616">
        <f>IFERROR(VLOOKUP(FD$1,'žádosti MPSV 2020'!$F$8:XW276,$A140,FALSE),0)</f>
        <v>0</v>
      </c>
      <c r="FE140" s="616">
        <f>IFERROR(VLOOKUP(FE$1,'žádosti MPSV 2020'!$F$8:XX276,$A140,FALSE),0)</f>
        <v>0</v>
      </c>
      <c r="FF140" s="616">
        <f>IFERROR(VLOOKUP(FF$1,'žádosti MPSV 2020'!$F$8:XY276,$A140,FALSE),0)</f>
        <v>0</v>
      </c>
      <c r="FG140" s="616">
        <f>IFERROR(VLOOKUP(FG$1,'žádosti MPSV 2020'!$F$8:XZ276,$A140,FALSE),0)</f>
        <v>0</v>
      </c>
      <c r="FH140" s="616">
        <f>IFERROR(VLOOKUP(FH$1,'žádosti MPSV 2020'!$F$8:YA276,$A140,FALSE),0)</f>
        <v>0</v>
      </c>
      <c r="FI140" s="616">
        <f>IFERROR(VLOOKUP(FI$1,'žádosti MPSV 2020'!$F$8:YB276,$A140,FALSE),0)</f>
        <v>0</v>
      </c>
      <c r="FJ140" s="616">
        <f>IFERROR(VLOOKUP(FJ$1,'žádosti MPSV 2020'!$F$8:YC276,$A140,FALSE),0)</f>
        <v>0</v>
      </c>
      <c r="FK140" s="616">
        <f>IFERROR(VLOOKUP(FK$1,'žádosti MPSV 2020'!$F$8:YD276,$A140,FALSE),0)</f>
        <v>0</v>
      </c>
      <c r="FL140" s="616">
        <f>IFERROR(VLOOKUP(FL$1,'žádosti MPSV 2020'!$F$8:YE276,$A140,FALSE),0)</f>
        <v>0</v>
      </c>
      <c r="FM140" s="616">
        <f>IFERROR(VLOOKUP(FM$1,'žádosti MPSV 2020'!$F$8:YF276,$A140,FALSE),0)</f>
        <v>0</v>
      </c>
      <c r="FN140" s="616">
        <f>IFERROR(VLOOKUP(FN$1,'žádosti MPSV 2020'!$F$8:YG276,$A140,FALSE),0)</f>
        <v>0</v>
      </c>
      <c r="FO140" s="616">
        <f>IFERROR(VLOOKUP(FO$1,'žádosti MPSV 2020'!$F$8:YH276,$A140,FALSE),0)</f>
        <v>0</v>
      </c>
      <c r="FP140" s="616">
        <f>IFERROR(VLOOKUP(FP$1,'žádosti MPSV 2020'!$F$8:YI276,$A140,FALSE),0)</f>
        <v>0</v>
      </c>
      <c r="FQ140" s="616">
        <f>IFERROR(VLOOKUP(FQ$1,'žádosti MPSV 2020'!$F$8:YJ276,$A140,FALSE),0)</f>
        <v>0</v>
      </c>
      <c r="FR140" s="616">
        <f>IFERROR(VLOOKUP(FR$1,'žádosti MPSV 2020'!$F$8:YK276,$A140,FALSE),0)</f>
        <v>0</v>
      </c>
      <c r="FS140" s="616">
        <f>IFERROR(VLOOKUP(FS$1,'žádosti MPSV 2020'!$F$8:YL276,$A140,FALSE),0)</f>
        <v>0</v>
      </c>
      <c r="FT140" s="616">
        <f>IFERROR(VLOOKUP(FT$1,'žádosti MPSV 2020'!$F$8:YM276,$A140,FALSE),0)</f>
        <v>0</v>
      </c>
      <c r="FU140" s="616">
        <f>IFERROR(VLOOKUP(FU$1,'žádosti MPSV 2020'!$F$8:YN276,$A140,FALSE),0)</f>
        <v>0</v>
      </c>
      <c r="FV140" s="616">
        <f>IFERROR(VLOOKUP(FV$1,'žádosti MPSV 2020'!$F$8:YO276,$A140,FALSE),0)</f>
        <v>0</v>
      </c>
      <c r="FW140" s="616">
        <f>IFERROR(VLOOKUP(FW$1,'žádosti MPSV 2020'!$F$8:YP276,$A140,FALSE),0)</f>
        <v>0</v>
      </c>
      <c r="FX140" s="616">
        <f>IFERROR(VLOOKUP(FX$1,'žádosti MPSV 2020'!$F$8:YQ276,$A140,FALSE),0)</f>
        <v>0</v>
      </c>
      <c r="FY140" s="616">
        <f>IFERROR(VLOOKUP(FY$1,'žádosti MPSV 2020'!$F$8:YR276,$A140,FALSE),0)</f>
        <v>0</v>
      </c>
      <c r="FZ140" s="616">
        <f>IFERROR(VLOOKUP(FZ$1,'žádosti MPSV 2020'!$F$8:YS276,$A140,FALSE),0)</f>
        <v>0</v>
      </c>
      <c r="GA140" s="616">
        <f>IFERROR(VLOOKUP(GA$1,'žádosti MPSV 2020'!$F$8:YT276,$A140,FALSE),0)</f>
        <v>0</v>
      </c>
      <c r="GB140" s="616">
        <f>IFERROR(VLOOKUP(GB$1,'žádosti MPSV 2020'!$F$8:YU276,$A140,FALSE),0)</f>
        <v>3520000</v>
      </c>
      <c r="GC140" s="616">
        <f>IFERROR(VLOOKUP(GC$1,'žádosti MPSV 2020'!$F$8:YV276,$A140,FALSE),0)</f>
        <v>0</v>
      </c>
      <c r="GD140" s="616">
        <f>IFERROR(VLOOKUP(GD$1,'žádosti MPSV 2020'!$F$8:YW276,$A140,FALSE),0)</f>
        <v>0</v>
      </c>
      <c r="GE140" s="616">
        <f>IFERROR(VLOOKUP(GE$1,'žádosti MPSV 2020'!$F$8:YX276,$A140,FALSE),0)</f>
        <v>0</v>
      </c>
      <c r="GF140" s="616">
        <f>IFERROR(VLOOKUP(GF$1,'žádosti MPSV 2020'!$F$8:YY276,$A140,FALSE),0)</f>
        <v>0</v>
      </c>
      <c r="GG140" s="616">
        <f>IFERROR(VLOOKUP(GG$1,'žádosti MPSV 2020'!$F$8:YZ276,$A140,FALSE),0)</f>
        <v>0</v>
      </c>
      <c r="GH140" s="616">
        <f>IFERROR(VLOOKUP(GH$1,'žádosti MPSV 2020'!$F$8:ZA276,$A140,FALSE),0)</f>
        <v>0</v>
      </c>
      <c r="GI140" s="616">
        <f>IFERROR(VLOOKUP(GI$1,'žádosti MPSV 2020'!$F$8:ZB276,$A140,FALSE),0)</f>
        <v>0</v>
      </c>
      <c r="GJ140" s="616">
        <f>IFERROR(VLOOKUP(GJ$1,'žádosti MPSV 2020'!$F$8:ZC276,$A140,FALSE),0)</f>
        <v>0</v>
      </c>
      <c r="GK140" s="616">
        <f>IFERROR(VLOOKUP(GK$1,'žádosti MPSV 2020'!$F$8:ZD276,$A140,FALSE),0)</f>
        <v>0</v>
      </c>
      <c r="GL140" s="616">
        <f>IFERROR(VLOOKUP(GL$1,'žádosti MPSV 2020'!$F$8:ZE276,$A140,FALSE),0)</f>
        <v>0</v>
      </c>
      <c r="GM140" s="616">
        <f>IFERROR(VLOOKUP(GM$1,'žádosti MPSV 2020'!$F$8:ZF276,$A140,FALSE),0)</f>
        <v>0</v>
      </c>
      <c r="GN140" s="616">
        <f>IFERROR(VLOOKUP(GN$1,'žádosti MPSV 2020'!$F$8:ZG276,$A140,FALSE),0)</f>
        <v>0</v>
      </c>
      <c r="GO140" s="616">
        <f>IFERROR(VLOOKUP(GO$1,'žádosti MPSV 2020'!$F$8:ZH276,$A140,FALSE),0)</f>
        <v>0</v>
      </c>
      <c r="GP140" s="616">
        <f>IFERROR(VLOOKUP(GP$1,'žádosti MPSV 2020'!$F$8:ZI276,$A140,FALSE),0)</f>
        <v>0</v>
      </c>
      <c r="GQ140" s="616">
        <f>IFERROR(VLOOKUP(GQ$1,'žádosti MPSV 2020'!$F$8:ZJ276,$A140,FALSE),0)</f>
        <v>0</v>
      </c>
      <c r="GR140" s="616">
        <f>IFERROR(VLOOKUP(GR$1,'žádosti MPSV 2020'!$F$8:ZK276,$A140,FALSE),0)</f>
        <v>0</v>
      </c>
      <c r="GS140" s="616">
        <f>IFERROR(VLOOKUP(GS$1,'žádosti MPSV 2020'!$F$8:ZL276,$A140,FALSE),0)</f>
        <v>0</v>
      </c>
      <c r="GT140" s="616">
        <f>IFERROR(VLOOKUP(GT$1,'žádosti MPSV 2020'!$F$8:ZM276,$A140,FALSE),0)</f>
        <v>0</v>
      </c>
      <c r="GU140" s="616">
        <f>IFERROR(VLOOKUP(GU$1,'žádosti MPSV 2020'!$F$8:ZN276,$A140,FALSE),0)</f>
        <v>0</v>
      </c>
      <c r="GV140" s="616">
        <f>IFERROR(VLOOKUP(GV$1,'žádosti MPSV 2020'!$F$8:ZO276,$A140,FALSE),0)</f>
        <v>0</v>
      </c>
      <c r="GW140" s="616">
        <f>IFERROR(VLOOKUP(GW$1,'žádosti MPSV 2020'!$F$8:ZP276,$A140,FALSE),0)</f>
        <v>0</v>
      </c>
      <c r="GX140" s="616">
        <f>IFERROR(VLOOKUP(GX$1,'žádosti MPSV 2020'!$F$8:ZQ276,$A140,FALSE),0)</f>
        <v>0</v>
      </c>
      <c r="GY140" s="616">
        <f>IFERROR(VLOOKUP(GY$1,'žádosti MPSV 2020'!$F$8:ZR276,$A140,FALSE),0)</f>
        <v>0</v>
      </c>
      <c r="GZ140" s="616">
        <f>IFERROR(VLOOKUP(GZ$1,'žádosti MPSV 2020'!$F$8:ZS276,$A140,FALSE),0)</f>
        <v>0</v>
      </c>
      <c r="HA140" s="616">
        <f>IFERROR(VLOOKUP(HA$1,'žádosti MPSV 2020'!$F$8:ZT276,$A140,FALSE),0)</f>
        <v>0</v>
      </c>
      <c r="HB140" s="616">
        <f>IFERROR(VLOOKUP(HB$1,'žádosti MPSV 2020'!$F$8:ZU276,$A140,FALSE),0)</f>
        <v>0</v>
      </c>
      <c r="HC140" s="616">
        <f>IFERROR(VLOOKUP(HC$1,'žádosti MPSV 2020'!$F$8:ZV276,$A140,FALSE),0)</f>
        <v>0</v>
      </c>
      <c r="HD140" s="616">
        <f>IFERROR(VLOOKUP(HD$1,'žádosti MPSV 2020'!$F$8:ZW276,$A140,FALSE),0)</f>
        <v>0</v>
      </c>
      <c r="HE140" s="616">
        <f>IFERROR(VLOOKUP(HE$1,'žádosti MPSV 2020'!$F$8:ZX276,$A140,FALSE),0)</f>
        <v>0</v>
      </c>
      <c r="HF140" s="616">
        <f>IFERROR(VLOOKUP(HF$1,'žádosti MPSV 2020'!$F$8:ZY276,$A140,FALSE),0)</f>
        <v>0</v>
      </c>
      <c r="HG140" s="616">
        <f>IFERROR(VLOOKUP(HG$1,'žádosti MPSV 2020'!$F$8:ZZ276,$A140,FALSE),0)</f>
        <v>0</v>
      </c>
      <c r="HH140" s="616">
        <f>IFERROR(VLOOKUP(HH$1,'žádosti MPSV 2020'!$F$8:AAA276,$A140,FALSE),0)</f>
        <v>0</v>
      </c>
      <c r="HI140" s="616">
        <f>IFERROR(VLOOKUP(HI$1,'žádosti MPSV 2020'!$F$8:AAB276,$A140,FALSE),0)</f>
        <v>0</v>
      </c>
      <c r="HJ140" s="616">
        <f>IFERROR(VLOOKUP(HJ$1,'žádosti MPSV 2020'!$F$8:AAC276,$A140,FALSE),0)</f>
        <v>0</v>
      </c>
      <c r="HK140" s="616">
        <f>IFERROR(VLOOKUP(HK$1,'žádosti MPSV 2020'!$F$8:AAD276,$A140,FALSE),0)</f>
        <v>0</v>
      </c>
      <c r="HL140" s="616">
        <f>IFERROR(VLOOKUP(HL$1,'žádosti MPSV 2020'!$F$8:AAE276,$A140,FALSE),0)</f>
        <v>0</v>
      </c>
      <c r="HM140" s="616">
        <f>IFERROR(VLOOKUP(HM$1,'žádosti MPSV 2020'!$F$8:AAF276,$A140,FALSE),0)</f>
        <v>0</v>
      </c>
      <c r="HN140" s="616">
        <f>IFERROR(VLOOKUP(HN$1,'žádosti MPSV 2020'!$F$8:AAG276,$A140,FALSE),0)</f>
        <v>0</v>
      </c>
      <c r="HO140" s="616">
        <f>IFERROR(VLOOKUP(HO$1,'žádosti MPSV 2020'!$F$8:AAH276,$A140,FALSE),0)</f>
        <v>0</v>
      </c>
      <c r="HP140" s="616">
        <f>IFERROR(VLOOKUP(HP$1,'žádosti MPSV 2020'!$F$8:AAI276,$A140,FALSE),0)</f>
        <v>0</v>
      </c>
      <c r="HQ140" s="616">
        <f>IFERROR(VLOOKUP(HQ$1,'žádosti MPSV 2020'!$F$8:AAJ276,$A140,FALSE),0)</f>
        <v>0</v>
      </c>
      <c r="HR140" s="616">
        <f>IFERROR(VLOOKUP(HR$1,'žádosti MPSV 2020'!$F$8:AAK276,$A140,FALSE),0)</f>
        <v>0</v>
      </c>
      <c r="HS140" s="616">
        <f>IFERROR(VLOOKUP(HS$1,'žádosti MPSV 2020'!$F$8:AAL276,$A140,FALSE),0)</f>
        <v>0</v>
      </c>
      <c r="HT140" s="616">
        <f>IFERROR(VLOOKUP(HT$1,'žádosti MPSV 2020'!$F$8:AAM276,$A140,FALSE),0)</f>
        <v>0</v>
      </c>
      <c r="HU140" s="616">
        <f>IFERROR(VLOOKUP(HU$1,'žádosti MPSV 2020'!$F$8:AAN276,$A140,FALSE),0)</f>
        <v>334115</v>
      </c>
      <c r="HV140" s="616">
        <f>IFERROR(VLOOKUP(HV$1,'žádosti MPSV 2020'!$F$8:AAO276,$A140,FALSE),0)</f>
        <v>0</v>
      </c>
      <c r="HW140" s="616">
        <f>IFERROR(VLOOKUP(HW$1,'žádosti MPSV 2020'!$F$8:AAP276,$A140,FALSE),0)</f>
        <v>0</v>
      </c>
      <c r="HX140" s="616">
        <f>IFERROR(VLOOKUP(HX$1,'žádosti MPSV 2020'!$F$8:AAQ276,$A140,FALSE),0)</f>
        <v>0</v>
      </c>
      <c r="HY140" s="616">
        <f>IFERROR(VLOOKUP(HY$1,'žádosti MPSV 2020'!$F$8:AAR276,$A140,FALSE),0)</f>
        <v>0</v>
      </c>
      <c r="HZ140" s="616">
        <f>IFERROR(VLOOKUP(HZ$1,'žádosti MPSV 2020'!$F$8:AAS276,$A140,FALSE),0)</f>
        <v>0</v>
      </c>
      <c r="IA140" s="616">
        <f>IFERROR(VLOOKUP(IA$1,'žádosti MPSV 2020'!$F$8:AAT276,$A140,FALSE),0)</f>
        <v>0</v>
      </c>
      <c r="IB140" s="616">
        <f>IFERROR(VLOOKUP(IB$1,'žádosti MPSV 2020'!$F$8:AAU276,$A140,FALSE),0)</f>
        <v>0</v>
      </c>
      <c r="IC140" s="616">
        <f>IFERROR(VLOOKUP(IC$1,'žádosti MPSV 2020'!$F$8:AAV276,$A140,FALSE),0)</f>
        <v>0</v>
      </c>
      <c r="ID140" s="616">
        <f>IFERROR(VLOOKUP(ID$1,'žádosti MPSV 2020'!$F$8:AAW276,$A140,FALSE),0)</f>
        <v>0</v>
      </c>
      <c r="IE140" s="616">
        <f>IFERROR(VLOOKUP(IE$1,'žádosti MPSV 2020'!$F$8:AAX276,$A140,FALSE),0)</f>
        <v>0</v>
      </c>
      <c r="IF140" s="616">
        <f>IFERROR(VLOOKUP(IF$1,'žádosti MPSV 2020'!$F$8:AAY276,$A140,FALSE),0)</f>
        <v>0</v>
      </c>
      <c r="IG140" s="616">
        <f>IFERROR(VLOOKUP(IG$1,'žádosti MPSV 2020'!$F$8:AAZ276,$A140,FALSE),0)</f>
        <v>0</v>
      </c>
      <c r="IH140" s="616">
        <f>IFERROR(VLOOKUP(IH$1,'žádosti MPSV 2020'!$F$8:ABA276,$A140,FALSE),0)</f>
        <v>0</v>
      </c>
      <c r="II140" s="616">
        <f>IFERROR(VLOOKUP(II$1,'žádosti MPSV 2020'!$F$8:ABB276,$A140,FALSE),0)</f>
        <v>0</v>
      </c>
      <c r="IJ140" s="616">
        <f>IFERROR(VLOOKUP(IJ$1,'žádosti MPSV 2020'!$F$8:ABC276,$A140,FALSE),0)</f>
        <v>0</v>
      </c>
      <c r="IK140" s="616">
        <f>IFERROR(VLOOKUP(IK$1,'žádosti MPSV 2020'!$F$8:ABD276,$A140,FALSE),0)</f>
        <v>0</v>
      </c>
      <c r="IL140" s="616">
        <f>IFERROR(VLOOKUP(IL$1,'žádosti MPSV 2020'!$F$8:ABE276,$A140,FALSE),0)</f>
        <v>0</v>
      </c>
      <c r="IM140" s="616">
        <f>IFERROR(VLOOKUP(IM$1,'žádosti MPSV 2020'!$F$8:ABF276,$A140,FALSE),0)</f>
        <v>0</v>
      </c>
      <c r="IN140" s="616">
        <f>IFERROR(VLOOKUP(IN$1,'žádosti MPSV 2020'!$F$8:ABG276,$A140,FALSE),0)</f>
        <v>0</v>
      </c>
      <c r="IO140" s="616">
        <f>IFERROR(VLOOKUP(IO$1,'žádosti MPSV 2020'!$F$8:ABH276,$A140,FALSE),0)</f>
        <v>0</v>
      </c>
      <c r="IP140" s="616">
        <f>IFERROR(VLOOKUP(IP$1,'žádosti MPSV 2020'!$F$8:ABI276,$A140,FALSE),0)</f>
        <v>0</v>
      </c>
      <c r="IQ140" s="616">
        <f>IFERROR(VLOOKUP(IQ$1,'žádosti MPSV 2020'!$F$8:ABJ276,$A140,FALSE),0)</f>
        <v>0</v>
      </c>
      <c r="IR140" s="616">
        <f>IFERROR(VLOOKUP(IR$1,'žádosti MPSV 2020'!$F$8:ABK276,$A140,FALSE),0)</f>
        <v>0</v>
      </c>
      <c r="IS140" s="616">
        <f>IFERROR(VLOOKUP(IS$1,'žádosti MPSV 2020'!$F$8:ABL276,$A140,FALSE),0)</f>
        <v>0</v>
      </c>
      <c r="IT140" s="616">
        <f>IFERROR(VLOOKUP(IT$1,'žádosti MPSV 2020'!$F$8:ABM276,$A140,FALSE),0)</f>
        <v>0</v>
      </c>
      <c r="IU140" s="616">
        <f>IFERROR(VLOOKUP(IU$1,'žádosti MPSV 2020'!$F$8:ABN276,$A140,FALSE),0)</f>
        <v>0</v>
      </c>
      <c r="IV140" s="616">
        <f>IFERROR(VLOOKUP(IV$1,'žádosti MPSV 2020'!$F$8:ABO276,$A140,FALSE),0)</f>
        <v>0</v>
      </c>
      <c r="IW140" s="616">
        <f>IFERROR(VLOOKUP(IW$1,'žádosti MPSV 2020'!$F$8:ABP276,$A140,FALSE),0)</f>
        <v>0</v>
      </c>
      <c r="IX140" s="616">
        <f>IFERROR(VLOOKUP(IX$1,'žádosti MPSV 2020'!$F$8:ABQ276,$A140,FALSE),0)</f>
        <v>0</v>
      </c>
      <c r="IY140" s="616">
        <f>IFERROR(VLOOKUP(IY$1,'žádosti MPSV 2020'!$F$8:ABR276,$A140,FALSE),0)</f>
        <v>0</v>
      </c>
      <c r="IZ140" s="616">
        <f>IFERROR(VLOOKUP(IZ$1,'žádosti MPSV 2020'!$F$8:ABS276,$A140,FALSE),0)</f>
        <v>0</v>
      </c>
      <c r="JA140" s="616">
        <f>IFERROR(VLOOKUP(JA$1,'žádosti MPSV 2020'!$F$8:ABT276,$A140,FALSE),0)</f>
        <v>0</v>
      </c>
      <c r="JB140" s="616">
        <f>IFERROR(VLOOKUP(JB$1,'žádosti MPSV 2020'!$F$8:ABU276,$A140,FALSE),0)</f>
        <v>0</v>
      </c>
      <c r="JC140" s="616">
        <f>IFERROR(VLOOKUP(JC$1,'žádosti MPSV 2020'!$F$8:ABV276,$A140,FALSE),0)</f>
        <v>0</v>
      </c>
      <c r="JD140" s="616">
        <f>IFERROR(VLOOKUP(JD$1,'žádosti MPSV 2020'!$F$8:ABW276,$A140,FALSE),0)</f>
        <v>0</v>
      </c>
      <c r="JE140" s="616">
        <f>IFERROR(VLOOKUP(JE$1,'žádosti MPSV 2020'!$F$8:ABX276,$A140,FALSE),0)</f>
        <v>0</v>
      </c>
      <c r="JF140" s="616">
        <f>IFERROR(VLOOKUP(JF$1,'žádosti MPSV 2020'!$F$8:ABY276,$A140,FALSE),0)</f>
        <v>0</v>
      </c>
      <c r="JG140" s="616">
        <f>IFERROR(VLOOKUP(JG$1,'žádosti MPSV 2020'!$F$8:ABZ276,$A140,FALSE),0)</f>
        <v>0</v>
      </c>
      <c r="JH140" s="617">
        <f>IFERROR(VLOOKUP(JH$1,'žádosti MPSV 2020'!$F$8:ACA276,$A140,FALSE),0)</f>
        <v>0</v>
      </c>
      <c r="JI140" s="314">
        <f t="shared" ref="JI140:JI155" si="635">SUM(C140:JH140)</f>
        <v>9740429</v>
      </c>
    </row>
    <row r="141" spans="1:276" x14ac:dyDescent="0.25">
      <c r="A141" s="618">
        <v>456</v>
      </c>
      <c r="B141" s="465" t="s">
        <v>64</v>
      </c>
      <c r="C141" s="465">
        <f>IFERROR(VLOOKUP(C$1,'žádosti MPSV 2020'!$F$8:RT277,$A141,FALSE),0)</f>
        <v>0</v>
      </c>
      <c r="D141" s="465">
        <f>IFERROR(VLOOKUP(D$1,'žádosti MPSV 2020'!$F$8:RU277,$A141,FALSE),0)</f>
        <v>0</v>
      </c>
      <c r="E141" s="465">
        <f>IFERROR(VLOOKUP(E$1,'žádosti MPSV 2020'!$F$8:RV277,$A141,FALSE),0)</f>
        <v>0</v>
      </c>
      <c r="F141" s="465">
        <f>IFERROR(VLOOKUP(F$1,'žádosti MPSV 2020'!$F$8:RW277,$A141,FALSE),0)</f>
        <v>0</v>
      </c>
      <c r="G141" s="465">
        <f>IFERROR(VLOOKUP(G$1,'žádosti MPSV 2020'!$F$8:RX277,$A141,FALSE),0)</f>
        <v>0</v>
      </c>
      <c r="H141" s="465">
        <f>IFERROR(VLOOKUP(H$1,'žádosti MPSV 2020'!$F$8:RY277,$A141,FALSE),0)</f>
        <v>0</v>
      </c>
      <c r="I141" s="465">
        <f>IFERROR(VLOOKUP(I$1,'žádosti MPSV 2020'!$F$8:RZ277,$A141,FALSE),0)</f>
        <v>0</v>
      </c>
      <c r="J141" s="465">
        <f>IFERROR(VLOOKUP(J$1,'žádosti MPSV 2020'!$F$8:SA277,$A141,FALSE),0)</f>
        <v>0</v>
      </c>
      <c r="K141" s="465">
        <f>IFERROR(VLOOKUP(K$1,'žádosti MPSV 2020'!$F$8:SB277,$A141,FALSE),0)</f>
        <v>0</v>
      </c>
      <c r="L141" s="465">
        <f>IFERROR(VLOOKUP(L$1,'žádosti MPSV 2020'!$F$8:SC277,$A141,FALSE),0)</f>
        <v>0</v>
      </c>
      <c r="M141" s="465">
        <f>IFERROR(VLOOKUP(M$1,'žádosti MPSV 2020'!$F$8:SD277,$A141,FALSE),0)</f>
        <v>0</v>
      </c>
      <c r="N141" s="465">
        <f>IFERROR(VLOOKUP(N$1,'žádosti MPSV 2020'!$F$8:SE277,$A141,FALSE),0)</f>
        <v>0</v>
      </c>
      <c r="O141" s="465">
        <f>IFERROR(VLOOKUP(O$1,'žádosti MPSV 2020'!$F$8:SF277,$A141,FALSE),0)</f>
        <v>0</v>
      </c>
      <c r="P141" s="465">
        <f>IFERROR(VLOOKUP(P$1,'žádosti MPSV 2020'!$F$8:SG277,$A141,FALSE),0)</f>
        <v>0</v>
      </c>
      <c r="Q141" s="465">
        <f>IFERROR(VLOOKUP(Q$1,'žádosti MPSV 2020'!$F$8:SH277,$A141,FALSE),0)</f>
        <v>0</v>
      </c>
      <c r="R141" s="465">
        <f>IFERROR(VLOOKUP(R$1,'žádosti MPSV 2020'!$F$8:SI277,$A141,FALSE),0)</f>
        <v>0</v>
      </c>
      <c r="S141" s="465">
        <f>IFERROR(VLOOKUP(S$1,'žádosti MPSV 2020'!$F$8:SJ277,$A141,FALSE),0)</f>
        <v>0</v>
      </c>
      <c r="T141" s="465">
        <f>IFERROR(VLOOKUP(T$1,'žádosti MPSV 2020'!$F$8:SK277,$A141,FALSE),0)</f>
        <v>0</v>
      </c>
      <c r="U141" s="465">
        <f>IFERROR(VLOOKUP(U$1,'žádosti MPSV 2020'!$F$8:SL277,$A141,FALSE),0)</f>
        <v>0</v>
      </c>
      <c r="V141" s="465">
        <f>IFERROR(VLOOKUP(V$1,'žádosti MPSV 2020'!$F$8:SM277,$A141,FALSE),0)</f>
        <v>0</v>
      </c>
      <c r="W141" s="465">
        <f>IFERROR(VLOOKUP(W$1,'žádosti MPSV 2020'!$F$8:SN277,$A141,FALSE),0)</f>
        <v>0</v>
      </c>
      <c r="X141" s="465">
        <f>IFERROR(VLOOKUP(X$1,'žádosti MPSV 2020'!$F$8:SO277,$A141,FALSE),0)</f>
        <v>0</v>
      </c>
      <c r="Y141" s="465">
        <f>IFERROR(VLOOKUP(Y$1,'žádosti MPSV 2020'!$F$8:SP277,$A141,FALSE),0)</f>
        <v>0</v>
      </c>
      <c r="Z141" s="465">
        <f>IFERROR(VLOOKUP(Z$1,'žádosti MPSV 2020'!$F$8:SQ277,$A141,FALSE),0)</f>
        <v>0</v>
      </c>
      <c r="AA141" s="465">
        <f>IFERROR(VLOOKUP(AA$1,'žádosti MPSV 2020'!$F$8:SR277,$A141,FALSE),0)</f>
        <v>0</v>
      </c>
      <c r="AB141" s="465">
        <f>IFERROR(VLOOKUP(AB$1,'žádosti MPSV 2020'!$F$8:SS277,$A141,FALSE),0)</f>
        <v>0</v>
      </c>
      <c r="AC141" s="465">
        <f>IFERROR(VLOOKUP(AC$1,'žádosti MPSV 2020'!$F$8:ST277,$A141,FALSE),0)</f>
        <v>0</v>
      </c>
      <c r="AD141" s="465">
        <f>IFERROR(VLOOKUP(AD$1,'žádosti MPSV 2020'!$F$8:ST277,$A141,FALSE),0)</f>
        <v>0</v>
      </c>
      <c r="AE141" s="465">
        <f>IFERROR(VLOOKUP(AE$1,'žádosti MPSV 2020'!$F$8:SU277,$A141,FALSE),0)</f>
        <v>0</v>
      </c>
      <c r="AF141" s="465">
        <f>IFERROR(VLOOKUP(AF$1,'žádosti MPSV 2020'!$F$8:SV277,$A141,FALSE),0)</f>
        <v>0</v>
      </c>
      <c r="AG141" s="465">
        <f>IFERROR(VLOOKUP(AG$1,'žádosti MPSV 2020'!$F$8:SW277,$A141,FALSE),0)</f>
        <v>0</v>
      </c>
      <c r="AH141" s="465">
        <f>IFERROR(VLOOKUP(AH$1,'žádosti MPSV 2020'!$F$8:SX277,$A141,FALSE),0)</f>
        <v>0</v>
      </c>
      <c r="AI141" s="465">
        <f>IFERROR(VLOOKUP(AI$1,'žádosti MPSV 2020'!$F$8:SY277,$A141,FALSE),0)</f>
        <v>0</v>
      </c>
      <c r="AJ141" s="465">
        <f>IFERROR(VLOOKUP(AJ$1,'žádosti MPSV 2020'!$F$8:SZ277,$A141,FALSE),0)</f>
        <v>0</v>
      </c>
      <c r="AK141" s="465">
        <f>IFERROR(VLOOKUP(AK$1,'žádosti MPSV 2020'!$F$8:TA277,$A141,FALSE),0)</f>
        <v>40000</v>
      </c>
      <c r="AL141" s="465">
        <f>IFERROR(VLOOKUP(AL$1,'žádosti MPSV 2020'!$F$8:TB277,$A141,FALSE),0)</f>
        <v>0</v>
      </c>
      <c r="AM141" s="465">
        <f>IFERROR(VLOOKUP(AM$1,'žádosti MPSV 2020'!$F$8:TC277,$A141,FALSE),0)</f>
        <v>0</v>
      </c>
      <c r="AN141" s="465">
        <f>IFERROR(VLOOKUP(AN$1,'žádosti MPSV 2020'!$F$8:TD277,$A141,FALSE),0)</f>
        <v>0</v>
      </c>
      <c r="AO141" s="465">
        <f>IFERROR(VLOOKUP(AO$1,'žádosti MPSV 2020'!$F$8:TE277,$A141,FALSE),0)</f>
        <v>0</v>
      </c>
      <c r="AP141" s="465">
        <f>IFERROR(VLOOKUP(AP$1,'žádosti MPSV 2020'!$F$8:TF277,$A141,FALSE),0)</f>
        <v>0</v>
      </c>
      <c r="AQ141" s="465">
        <f>IFERROR(VLOOKUP(AQ$1,'žádosti MPSV 2020'!$F$8:TG277,$A141,FALSE),0)</f>
        <v>0</v>
      </c>
      <c r="AR141" s="465">
        <f>IFERROR(VLOOKUP(AR$1,'žádosti MPSV 2020'!$F$8:TH277,$A141,FALSE),0)</f>
        <v>0</v>
      </c>
      <c r="AS141" s="465">
        <f>IFERROR(VLOOKUP(AS$1,'žádosti MPSV 2020'!$F$8:TI277,$A141,FALSE),0)</f>
        <v>0</v>
      </c>
      <c r="AT141" s="465">
        <f>IFERROR(VLOOKUP(AT$1,'žádosti MPSV 2020'!$F$8:TJ277,$A141,FALSE),0)</f>
        <v>0</v>
      </c>
      <c r="AU141" s="465">
        <f>IFERROR(VLOOKUP(AU$1,'žádosti MPSV 2020'!$F$8:TK277,$A141,FALSE),0)</f>
        <v>0</v>
      </c>
      <c r="AV141" s="465">
        <f>IFERROR(VLOOKUP(AV$1,'žádosti MPSV 2020'!$F$8:TL277,$A141,FALSE),0)</f>
        <v>0</v>
      </c>
      <c r="AW141" s="465">
        <f>IFERROR(VLOOKUP(AW$1,'žádosti MPSV 2020'!$F$8:TM277,$A141,FALSE),0)</f>
        <v>0</v>
      </c>
      <c r="AX141" s="465">
        <f>IFERROR(VLOOKUP(AX$1,'žádosti MPSV 2020'!$F$8:TN277,$A141,FALSE),0)</f>
        <v>0</v>
      </c>
      <c r="AY141" s="465">
        <f>IFERROR(VLOOKUP(AY$1,'žádosti MPSV 2020'!$F$8:TO277,$A141,FALSE),0)</f>
        <v>0</v>
      </c>
      <c r="AZ141" s="465">
        <f>IFERROR(VLOOKUP(AZ$1,'žádosti MPSV 2020'!$F$8:TP277,$A141,FALSE),0)</f>
        <v>0</v>
      </c>
      <c r="BA141" s="465">
        <f>IFERROR(VLOOKUP(BA$1,'žádosti MPSV 2020'!$F$8:TQ277,$A141,FALSE),0)</f>
        <v>0</v>
      </c>
      <c r="BB141" s="465">
        <f>IFERROR(VLOOKUP(BB$1,'žádosti MPSV 2020'!$F$8:TR277,$A141,FALSE),0)</f>
        <v>0</v>
      </c>
      <c r="BC141" s="465">
        <f>IFERROR(VLOOKUP(BC$1,'žádosti MPSV 2020'!$F$8:TS277,$A141,FALSE),0)</f>
        <v>0</v>
      </c>
      <c r="BD141" s="465">
        <f>IFERROR(VLOOKUP(BD$1,'žádosti MPSV 2020'!$F$8:TT277,$A141,FALSE),0)</f>
        <v>0</v>
      </c>
      <c r="BE141" s="465">
        <f>IFERROR(VLOOKUP(BE$1,'žádosti MPSV 2020'!$F$8:TU277,$A141,FALSE),0)</f>
        <v>0</v>
      </c>
      <c r="BF141" s="465">
        <f>IFERROR(VLOOKUP(BF$1,'žádosti MPSV 2020'!$F$8:TV277,$A141,FALSE),0)</f>
        <v>847190</v>
      </c>
      <c r="BG141" s="465">
        <f>IFERROR(VLOOKUP(BG$1,'žádosti MPSV 2020'!$F$8:TW277,$A141,FALSE),0)</f>
        <v>645000</v>
      </c>
      <c r="BH141" s="465">
        <f>IFERROR(VLOOKUP(BH$1,'žádosti MPSV 2020'!$F$8:TX277,$A141,FALSE),0)</f>
        <v>667000</v>
      </c>
      <c r="BI141" s="465">
        <f>IFERROR(VLOOKUP(BI$1,'žádosti MPSV 2020'!$F$8:TY277,$A141,FALSE),0)</f>
        <v>0</v>
      </c>
      <c r="BJ141" s="465">
        <f>IFERROR(VLOOKUP(BJ$1,'žádosti MPSV 2020'!$F$8:TZ277,$A141,FALSE),0)</f>
        <v>0</v>
      </c>
      <c r="BK141" s="465">
        <f>IFERROR(VLOOKUP(BK$1,'žádosti MPSV 2020'!$F$8:UA277,$A141,FALSE),0)</f>
        <v>0</v>
      </c>
      <c r="BL141" s="465">
        <f>IFERROR(VLOOKUP(BL$1,'žádosti MPSV 2020'!$F$8:UB277,$A141,FALSE),0)</f>
        <v>0</v>
      </c>
      <c r="BM141" s="465">
        <f>IFERROR(VLOOKUP(BM$1,'žádosti MPSV 2020'!$F$8:UC277,$A141,FALSE),0)</f>
        <v>0</v>
      </c>
      <c r="BN141" s="465">
        <f>IFERROR(VLOOKUP(BN$1,'žádosti MPSV 2020'!$F$8:UD277,$A141,FALSE),0)</f>
        <v>0</v>
      </c>
      <c r="BO141" s="465">
        <f>IFERROR(VLOOKUP(BO$1,'žádosti MPSV 2020'!$F$8:UE277,$A141,FALSE),0)</f>
        <v>0</v>
      </c>
      <c r="BP141" s="465">
        <f>IFERROR(VLOOKUP(BP$1,'žádosti MPSV 2020'!$F$8:UF277,$A141,FALSE),0)</f>
        <v>0</v>
      </c>
      <c r="BQ141" s="465">
        <f>IFERROR(VLOOKUP(BQ$1,'žádosti MPSV 2020'!$F$8:UG277,$A141,FALSE),0)</f>
        <v>0</v>
      </c>
      <c r="BR141" s="465">
        <f>IFERROR(VLOOKUP(BR$1,'žádosti MPSV 2020'!$F$8:UH277,$A141,FALSE),0)</f>
        <v>0</v>
      </c>
      <c r="BS141" s="465">
        <f>IFERROR(VLOOKUP(BS$1,'žádosti MPSV 2020'!$F$8:UI277,$A141,FALSE),0)</f>
        <v>0</v>
      </c>
      <c r="BT141" s="465">
        <f>IFERROR(VLOOKUP(BT$1,'žádosti MPSV 2020'!$F$8:UJ277,$A141,FALSE),0)</f>
        <v>0</v>
      </c>
      <c r="BU141" s="465">
        <f>IFERROR(VLOOKUP(BU$1,'žádosti MPSV 2020'!$F$8:UK277,$A141,FALSE),0)</f>
        <v>0</v>
      </c>
      <c r="BV141" s="465">
        <f>IFERROR(VLOOKUP(BV$1,'žádosti MPSV 2020'!$F$8:UL277,$A141,FALSE),0)</f>
        <v>0</v>
      </c>
      <c r="BW141" s="465">
        <f>IFERROR(VLOOKUP(BW$1,'žádosti MPSV 2020'!$F$8:UM277,$A141,FALSE),0)</f>
        <v>0</v>
      </c>
      <c r="BX141" s="465">
        <f>IFERROR(VLOOKUP(BX$1,'žádosti MPSV 2020'!$F$8:UN277,$A141,FALSE),0)</f>
        <v>0</v>
      </c>
      <c r="BY141" s="465">
        <f>IFERROR(VLOOKUP(BY$1,'žádosti MPSV 2020'!$F$8:UO277,$A141,FALSE),0)</f>
        <v>0</v>
      </c>
      <c r="BZ141" s="465">
        <f>IFERROR(VLOOKUP(BZ$1,'žádosti MPSV 2020'!$F$8:UP277,$A141,FALSE),0)</f>
        <v>0</v>
      </c>
      <c r="CA141" s="465">
        <f>IFERROR(VLOOKUP(CA$1,'žádosti MPSV 2020'!$F$8:UQ277,$A141,FALSE),0)</f>
        <v>0</v>
      </c>
      <c r="CB141" s="465">
        <f>IFERROR(VLOOKUP(CB$1,'žádosti MPSV 2020'!$F$8:UR277,$A141,FALSE),0)</f>
        <v>0</v>
      </c>
      <c r="CC141" s="465">
        <f>IFERROR(VLOOKUP(CC$1,'žádosti MPSV 2020'!$F$8:US277,$A141,FALSE),0)</f>
        <v>0</v>
      </c>
      <c r="CD141" s="465">
        <f>IFERROR(VLOOKUP(CD$1,'žádosti MPSV 2020'!$F$8:UT277,$A141,FALSE),0)</f>
        <v>0</v>
      </c>
      <c r="CE141" s="465">
        <f>IFERROR(VLOOKUP(CE$1,'žádosti MPSV 2020'!$F$8:UU277,$A141,FALSE),0)</f>
        <v>0</v>
      </c>
      <c r="CF141" s="465">
        <f>IFERROR(VLOOKUP(CF$1,'žádosti MPSV 2020'!$F$8:UV277,$A141,FALSE),0)</f>
        <v>0</v>
      </c>
      <c r="CG141" s="465">
        <f>IFERROR(VLOOKUP(CG$1,'žádosti MPSV 2020'!$F$8:UW277,$A141,FALSE),0)</f>
        <v>0</v>
      </c>
      <c r="CH141" s="465">
        <f>IFERROR(VLOOKUP(CH$1,'žádosti MPSV 2020'!$F$8:UX277,$A141,FALSE),0)</f>
        <v>0</v>
      </c>
      <c r="CI141" s="465">
        <f>IFERROR(VLOOKUP(CI$1,'žádosti MPSV 2020'!$F$8:UY277,$A141,FALSE),0)</f>
        <v>0</v>
      </c>
      <c r="CJ141" s="465">
        <f>IFERROR(VLOOKUP(CJ$1,'žádosti MPSV 2020'!$F$8:UZ277,$A141,FALSE),0)</f>
        <v>0</v>
      </c>
      <c r="CK141" s="465">
        <f>IFERROR(VLOOKUP(CK$1,'žádosti MPSV 2020'!$F$8:VA277,$A141,FALSE),0)</f>
        <v>0</v>
      </c>
      <c r="CL141" s="465">
        <f>IFERROR(VLOOKUP(CL$1,'žádosti MPSV 2020'!$F$8:VB277,$A141,FALSE),0)</f>
        <v>0</v>
      </c>
      <c r="CM141" s="465">
        <f>IFERROR(VLOOKUP(CM$1,'žádosti MPSV 2020'!$F$8:VC277,$A141,FALSE),0)</f>
        <v>0</v>
      </c>
      <c r="CN141" s="465">
        <f>IFERROR(VLOOKUP(CN$1,'žádosti MPSV 2020'!$F$8:VD277,$A141,FALSE),0)</f>
        <v>0</v>
      </c>
      <c r="CO141" s="465">
        <f>IFERROR(VLOOKUP(CO$1,'žádosti MPSV 2020'!$F$8:VE277,$A141,FALSE),0)</f>
        <v>0</v>
      </c>
      <c r="CP141" s="465">
        <f>IFERROR(VLOOKUP(CP$1,'žádosti MPSV 2020'!$F$8:VF277,$A141,FALSE),0)</f>
        <v>0</v>
      </c>
      <c r="CQ141" s="465">
        <f>IFERROR(VLOOKUP(CQ$1,'žádosti MPSV 2020'!$F$8:VG277,$A141,FALSE),0)</f>
        <v>0</v>
      </c>
      <c r="CR141" s="465">
        <f>IFERROR(VLOOKUP(CR$1,'žádosti MPSV 2020'!$F$8:VH277,$A141,FALSE),0)</f>
        <v>0</v>
      </c>
      <c r="CS141" s="465">
        <f>IFERROR(VLOOKUP(CS$1,'žádosti MPSV 2020'!$F$8:VI277,$A141,FALSE),0)</f>
        <v>0</v>
      </c>
      <c r="CT141" s="465">
        <f>IFERROR(VLOOKUP(CT$1,'žádosti MPSV 2020'!$F$8:VJ277,$A141,FALSE),0)</f>
        <v>0</v>
      </c>
      <c r="CU141" s="465">
        <f>IFERROR(VLOOKUP(CU$1,'žádosti MPSV 2020'!$F$8:VK277,$A141,FALSE),0)</f>
        <v>0</v>
      </c>
      <c r="CV141" s="465">
        <f>IFERROR(VLOOKUP(CV$1,'žádosti MPSV 2020'!$F$8:VL277,$A141,FALSE),0)</f>
        <v>0</v>
      </c>
      <c r="CW141" s="465">
        <f>IFERROR(VLOOKUP(CW$1,'žádosti MPSV 2020'!$F$8:VM277,$A141,FALSE),0)</f>
        <v>0</v>
      </c>
      <c r="CX141" s="465">
        <f>IFERROR(VLOOKUP(CX$1,'žádosti MPSV 2020'!$F$8:VN277,$A141,FALSE),0)</f>
        <v>0</v>
      </c>
      <c r="CY141" s="465">
        <f>IFERROR(VLOOKUP(CY$1,'žádosti MPSV 2020'!$F$8:VO277,$A141,FALSE),0)</f>
        <v>0</v>
      </c>
      <c r="CZ141" s="465">
        <f>IFERROR(VLOOKUP(CZ$1,'žádosti MPSV 2020'!$F$8:VP277,$A141,FALSE),0)</f>
        <v>0</v>
      </c>
      <c r="DA141" s="465">
        <f>IFERROR(VLOOKUP(DA$1,'žádosti MPSV 2020'!$F$8:VQ277,$A141,FALSE),0)</f>
        <v>0</v>
      </c>
      <c r="DB141" s="465">
        <f>IFERROR(VLOOKUP(DB$1,'žádosti MPSV 2020'!$F$8:VR277,$A141,FALSE),0)</f>
        <v>0</v>
      </c>
      <c r="DC141" s="465">
        <f>IFERROR(VLOOKUP(DC$1,'žádosti MPSV 2020'!$F$8:VS277,$A141,FALSE),0)</f>
        <v>0</v>
      </c>
      <c r="DD141" s="465">
        <f>IFERROR(VLOOKUP(DD$1,'žádosti MPSV 2020'!$F$8:VT277,$A141,FALSE),0)</f>
        <v>0</v>
      </c>
      <c r="DE141" s="465">
        <f>IFERROR(VLOOKUP(DE$1,'žádosti MPSV 2020'!$F$8:VU277,$A141,FALSE),0)</f>
        <v>0</v>
      </c>
      <c r="DF141" s="465">
        <f>IFERROR(VLOOKUP(DF$1,'žádosti MPSV 2020'!$F$8:VV277,$A141,FALSE),0)</f>
        <v>1789112</v>
      </c>
      <c r="DG141" s="465">
        <f>IFERROR(VLOOKUP(DG$1,'žádosti MPSV 2020'!$F$8:VW277,$A141,FALSE),0)</f>
        <v>0</v>
      </c>
      <c r="DH141" s="465">
        <f>IFERROR(VLOOKUP(DH$1,'žádosti MPSV 2020'!$F$8:WA277,$A141,FALSE),0)</f>
        <v>0</v>
      </c>
      <c r="DI141" s="465">
        <f>IFERROR(VLOOKUP(DI$1,'žádosti MPSV 2020'!$F$8:WB277,$A141,FALSE),0)</f>
        <v>0</v>
      </c>
      <c r="DJ141" s="465">
        <f>IFERROR(VLOOKUP(DJ$1,'žádosti MPSV 2020'!$F$8:WC277,$A141,FALSE),0)</f>
        <v>0</v>
      </c>
      <c r="DK141" s="465">
        <f>IFERROR(VLOOKUP(DK$1,'žádosti MPSV 2020'!$F$8:WD277,$A141,FALSE),0)</f>
        <v>0</v>
      </c>
      <c r="DL141" s="465">
        <f>IFERROR(VLOOKUP(DL$1,'žádosti MPSV 2020'!$F$8:WE277,$A141,FALSE),0)</f>
        <v>0</v>
      </c>
      <c r="DM141" s="465">
        <f>IFERROR(VLOOKUP(DM$1,'žádosti MPSV 2020'!$F$8:WF277,$A141,FALSE),0)</f>
        <v>0</v>
      </c>
      <c r="DN141" s="465">
        <f>IFERROR(VLOOKUP(DN$1,'žádosti MPSV 2020'!$F$8:WG277,$A141,FALSE),0)</f>
        <v>0</v>
      </c>
      <c r="DO141" s="465">
        <f>IFERROR(VLOOKUP(DO$1,'žádosti MPSV 2020'!$F$8:WH277,$A141,FALSE),0)</f>
        <v>0</v>
      </c>
      <c r="DP141" s="465">
        <f>IFERROR(VLOOKUP(DP$1,'žádosti MPSV 2020'!$F$8:WI277,$A141,FALSE),0)</f>
        <v>0</v>
      </c>
      <c r="DQ141" s="465">
        <f>IFERROR(VLOOKUP(DQ$1,'žádosti MPSV 2020'!$F$8:WJ277,$A141,FALSE),0)</f>
        <v>0</v>
      </c>
      <c r="DR141" s="465">
        <f>IFERROR(VLOOKUP(DR$1,'žádosti MPSV 2020'!$F$8:WK277,$A141,FALSE),0)</f>
        <v>0</v>
      </c>
      <c r="DS141" s="465">
        <f>IFERROR(VLOOKUP(DS$1,'žádosti MPSV 2020'!$F$8:WL277,$A141,FALSE),0)</f>
        <v>0</v>
      </c>
      <c r="DT141" s="465">
        <f>IFERROR(VLOOKUP(DT$1,'žádosti MPSV 2020'!$F$8:WM277,$A141,FALSE),0)</f>
        <v>0</v>
      </c>
      <c r="DU141" s="465">
        <f>IFERROR(VLOOKUP(DU$1,'žádosti MPSV 2020'!$F$8:WN277,$A141,FALSE),0)</f>
        <v>0</v>
      </c>
      <c r="DV141" s="465">
        <f>IFERROR(VLOOKUP(DV$1,'žádosti MPSV 2020'!$F$8:WO277,$A141,FALSE),0)</f>
        <v>0</v>
      </c>
      <c r="DW141" s="465">
        <f>IFERROR(VLOOKUP(DW$1,'žádosti MPSV 2020'!$F$8:WP277,$A141,FALSE),0)</f>
        <v>0</v>
      </c>
      <c r="DX141" s="465">
        <f>IFERROR(VLOOKUP(DX$1,'žádosti MPSV 2020'!$F$8:WQ277,$A141,FALSE),0)</f>
        <v>0</v>
      </c>
      <c r="DY141" s="465">
        <f>IFERROR(VLOOKUP(DY$1,'žádosti MPSV 2020'!$F$8:WR277,$A141,FALSE),0)</f>
        <v>0</v>
      </c>
      <c r="DZ141" s="465">
        <f>IFERROR(VLOOKUP(DZ$1,'žádosti MPSV 2020'!$F$8:WS277,$A141,FALSE),0)</f>
        <v>0</v>
      </c>
      <c r="EA141" s="465">
        <f>IFERROR(VLOOKUP(EA$1,'žádosti MPSV 2020'!$F$8:WT277,$A141,FALSE),0)</f>
        <v>0</v>
      </c>
      <c r="EB141" s="465">
        <f>IFERROR(VLOOKUP(EB$1,'žádosti MPSV 2020'!$F$8:WU277,$A141,FALSE),0)</f>
        <v>0</v>
      </c>
      <c r="EC141" s="465">
        <f>IFERROR(VLOOKUP(EC$1,'žádosti MPSV 2020'!$F$8:WV277,$A141,FALSE),0)</f>
        <v>0</v>
      </c>
      <c r="ED141" s="465">
        <f>IFERROR(VLOOKUP(ED$1,'žádosti MPSV 2020'!$F$8:WW277,$A141,FALSE),0)</f>
        <v>0</v>
      </c>
      <c r="EE141" s="465">
        <f>IFERROR(VLOOKUP(EE$1,'žádosti MPSV 2020'!$F$8:WX277,$A141,FALSE),0)</f>
        <v>0</v>
      </c>
      <c r="EF141" s="465">
        <f>IFERROR(VLOOKUP(EF$1,'žádosti MPSV 2020'!$F$8:WY277,$A141,FALSE),0)</f>
        <v>0</v>
      </c>
      <c r="EG141" s="465">
        <f>IFERROR(VLOOKUP(EG$1,'žádosti MPSV 2020'!$F$8:WZ277,$A141,FALSE),0)</f>
        <v>0</v>
      </c>
      <c r="EH141" s="465">
        <f>IFERROR(VLOOKUP(EH$1,'žádosti MPSV 2020'!$F$8:XA277,$A141,FALSE),0)</f>
        <v>0</v>
      </c>
      <c r="EI141" s="465">
        <f>IFERROR(VLOOKUP(EI$1,'žádosti MPSV 2020'!$F$8:XB277,$A141,FALSE),0)</f>
        <v>0</v>
      </c>
      <c r="EJ141" s="465">
        <f>IFERROR(VLOOKUP(EJ$1,'žádosti MPSV 2020'!$F$8:XC277,$A141,FALSE),0)</f>
        <v>0</v>
      </c>
      <c r="EK141" s="465">
        <f>IFERROR(VLOOKUP(EK$1,'žádosti MPSV 2020'!$F$8:XD277,$A141,FALSE),0)</f>
        <v>0</v>
      </c>
      <c r="EL141" s="465">
        <f>IFERROR(VLOOKUP(EL$1,'žádosti MPSV 2020'!$F$8:XE277,$A141,FALSE),0)</f>
        <v>0</v>
      </c>
      <c r="EM141" s="465">
        <f>IFERROR(VLOOKUP(EM$1,'žádosti MPSV 2020'!$F$8:XF277,$A141,FALSE),0)</f>
        <v>0</v>
      </c>
      <c r="EN141" s="465">
        <f>IFERROR(VLOOKUP(EN$1,'žádosti MPSV 2020'!$F$8:XG277,$A141,FALSE),0)</f>
        <v>0</v>
      </c>
      <c r="EO141" s="465">
        <f>IFERROR(VLOOKUP(EO$1,'žádosti MPSV 2020'!$F$8:XH277,$A141,FALSE),0)</f>
        <v>0</v>
      </c>
      <c r="EP141" s="465">
        <f>IFERROR(VLOOKUP(EP$1,'žádosti MPSV 2020'!$F$8:XI277,$A141,FALSE),0)</f>
        <v>0</v>
      </c>
      <c r="EQ141" s="465">
        <f>IFERROR(VLOOKUP(EQ$1,'žádosti MPSV 2020'!$F$8:XJ277,$A141,FALSE),0)</f>
        <v>0</v>
      </c>
      <c r="ER141" s="465">
        <f>IFERROR(VLOOKUP(ER$1,'žádosti MPSV 2020'!$F$8:XK277,$A141,FALSE),0)</f>
        <v>0</v>
      </c>
      <c r="ES141" s="465">
        <f>IFERROR(VLOOKUP(ES$1,'žádosti MPSV 2020'!$F$8:XL277,$A141,FALSE),0)</f>
        <v>0</v>
      </c>
      <c r="ET141" s="465">
        <f>IFERROR(VLOOKUP(ET$1,'žádosti MPSV 2020'!$F$8:XM277,$A141,FALSE),0)</f>
        <v>0</v>
      </c>
      <c r="EU141" s="465">
        <f>IFERROR(VLOOKUP(EU$1,'žádosti MPSV 2020'!$F$8:XN277,$A141,FALSE),0)</f>
        <v>0</v>
      </c>
      <c r="EV141" s="465">
        <f>IFERROR(VLOOKUP(EV$1,'žádosti MPSV 2020'!$F$8:XO277,$A141,FALSE),0)</f>
        <v>0</v>
      </c>
      <c r="EW141" s="465">
        <f>IFERROR(VLOOKUP(EW$1,'žádosti MPSV 2020'!$F$8:XP277,$A141,FALSE),0)</f>
        <v>0</v>
      </c>
      <c r="EX141" s="465">
        <f>IFERROR(VLOOKUP(EX$1,'žádosti MPSV 2020'!$F$8:XQ277,$A141,FALSE),0)</f>
        <v>0</v>
      </c>
      <c r="EY141" s="465">
        <f>IFERROR(VLOOKUP(EY$1,'žádosti MPSV 2020'!$F$8:XR277,$A141,FALSE),0)</f>
        <v>0</v>
      </c>
      <c r="EZ141" s="465">
        <f>IFERROR(VLOOKUP(EZ$1,'žádosti MPSV 2020'!$F$8:XS277,$A141,FALSE),0)</f>
        <v>0</v>
      </c>
      <c r="FA141" s="465">
        <f>IFERROR(VLOOKUP(FA$1,'žádosti MPSV 2020'!$F$8:XT277,$A141,FALSE),0)</f>
        <v>0</v>
      </c>
      <c r="FB141" s="465">
        <f>IFERROR(VLOOKUP(FB$1,'žádosti MPSV 2020'!$F$8:XU277,$A141,FALSE),0)</f>
        <v>0</v>
      </c>
      <c r="FC141" s="465">
        <f>IFERROR(VLOOKUP(FC$1,'žádosti MPSV 2020'!$F$8:XV277,$A141,FALSE),0)</f>
        <v>0</v>
      </c>
      <c r="FD141" s="465">
        <f>IFERROR(VLOOKUP(FD$1,'žádosti MPSV 2020'!$F$8:XW277,$A141,FALSE),0)</f>
        <v>0</v>
      </c>
      <c r="FE141" s="465">
        <f>IFERROR(VLOOKUP(FE$1,'žádosti MPSV 2020'!$F$8:XX277,$A141,FALSE),0)</f>
        <v>0</v>
      </c>
      <c r="FF141" s="465">
        <f>IFERROR(VLOOKUP(FF$1,'žádosti MPSV 2020'!$F$8:XY277,$A141,FALSE),0)</f>
        <v>0</v>
      </c>
      <c r="FG141" s="465">
        <f>IFERROR(VLOOKUP(FG$1,'žádosti MPSV 2020'!$F$8:XZ277,$A141,FALSE),0)</f>
        <v>0</v>
      </c>
      <c r="FH141" s="465">
        <f>IFERROR(VLOOKUP(FH$1,'žádosti MPSV 2020'!$F$8:YA277,$A141,FALSE),0)</f>
        <v>0</v>
      </c>
      <c r="FI141" s="465">
        <f>IFERROR(VLOOKUP(FI$1,'žádosti MPSV 2020'!$F$8:YB277,$A141,FALSE),0)</f>
        <v>0</v>
      </c>
      <c r="FJ141" s="465">
        <f>IFERROR(VLOOKUP(FJ$1,'žádosti MPSV 2020'!$F$8:YC277,$A141,FALSE),0)</f>
        <v>0</v>
      </c>
      <c r="FK141" s="465">
        <f>IFERROR(VLOOKUP(FK$1,'žádosti MPSV 2020'!$F$8:YD277,$A141,FALSE),0)</f>
        <v>0</v>
      </c>
      <c r="FL141" s="465">
        <f>IFERROR(VLOOKUP(FL$1,'žádosti MPSV 2020'!$F$8:YE277,$A141,FALSE),0)</f>
        <v>0</v>
      </c>
      <c r="FM141" s="465">
        <f>IFERROR(VLOOKUP(FM$1,'žádosti MPSV 2020'!$F$8:YF277,$A141,FALSE),0)</f>
        <v>0</v>
      </c>
      <c r="FN141" s="465">
        <f>IFERROR(VLOOKUP(FN$1,'žádosti MPSV 2020'!$F$8:YG277,$A141,FALSE),0)</f>
        <v>0</v>
      </c>
      <c r="FO141" s="465">
        <f>IFERROR(VLOOKUP(FO$1,'žádosti MPSV 2020'!$F$8:YH277,$A141,FALSE),0)</f>
        <v>0</v>
      </c>
      <c r="FP141" s="465">
        <f>IFERROR(VLOOKUP(FP$1,'žádosti MPSV 2020'!$F$8:YI277,$A141,FALSE),0)</f>
        <v>0</v>
      </c>
      <c r="FQ141" s="465">
        <f>IFERROR(VLOOKUP(FQ$1,'žádosti MPSV 2020'!$F$8:YJ277,$A141,FALSE),0)</f>
        <v>0</v>
      </c>
      <c r="FR141" s="465">
        <f>IFERROR(VLOOKUP(FR$1,'žádosti MPSV 2020'!$F$8:YK277,$A141,FALSE),0)</f>
        <v>0</v>
      </c>
      <c r="FS141" s="465">
        <f>IFERROR(VLOOKUP(FS$1,'žádosti MPSV 2020'!$F$8:YL277,$A141,FALSE),0)</f>
        <v>0</v>
      </c>
      <c r="FT141" s="465">
        <f>IFERROR(VLOOKUP(FT$1,'žádosti MPSV 2020'!$F$8:YM277,$A141,FALSE),0)</f>
        <v>0</v>
      </c>
      <c r="FU141" s="465">
        <f>IFERROR(VLOOKUP(FU$1,'žádosti MPSV 2020'!$F$8:YN277,$A141,FALSE),0)</f>
        <v>0</v>
      </c>
      <c r="FV141" s="465">
        <f>IFERROR(VLOOKUP(FV$1,'žádosti MPSV 2020'!$F$8:YO277,$A141,FALSE),0)</f>
        <v>0</v>
      </c>
      <c r="FW141" s="465">
        <f>IFERROR(VLOOKUP(FW$1,'žádosti MPSV 2020'!$F$8:YP277,$A141,FALSE),0)</f>
        <v>0</v>
      </c>
      <c r="FX141" s="465">
        <f>IFERROR(VLOOKUP(FX$1,'žádosti MPSV 2020'!$F$8:YQ277,$A141,FALSE),0)</f>
        <v>0</v>
      </c>
      <c r="FY141" s="465">
        <f>IFERROR(VLOOKUP(FY$1,'žádosti MPSV 2020'!$F$8:YR277,$A141,FALSE),0)</f>
        <v>0</v>
      </c>
      <c r="FZ141" s="465">
        <f>IFERROR(VLOOKUP(FZ$1,'žádosti MPSV 2020'!$F$8:YS277,$A141,FALSE),0)</f>
        <v>0</v>
      </c>
      <c r="GA141" s="465">
        <f>IFERROR(VLOOKUP(GA$1,'žádosti MPSV 2020'!$F$8:YT277,$A141,FALSE),0)</f>
        <v>0</v>
      </c>
      <c r="GB141" s="465">
        <f>IFERROR(VLOOKUP(GB$1,'žádosti MPSV 2020'!$F$8:YU277,$A141,FALSE),0)</f>
        <v>0</v>
      </c>
      <c r="GC141" s="465">
        <f>IFERROR(VLOOKUP(GC$1,'žádosti MPSV 2020'!$F$8:YV277,$A141,FALSE),0)</f>
        <v>0</v>
      </c>
      <c r="GD141" s="465">
        <f>IFERROR(VLOOKUP(GD$1,'žádosti MPSV 2020'!$F$8:YW277,$A141,FALSE),0)</f>
        <v>0</v>
      </c>
      <c r="GE141" s="465">
        <f>IFERROR(VLOOKUP(GE$1,'žádosti MPSV 2020'!$F$8:YX277,$A141,FALSE),0)</f>
        <v>0</v>
      </c>
      <c r="GF141" s="465">
        <f>IFERROR(VLOOKUP(GF$1,'žádosti MPSV 2020'!$F$8:YY277,$A141,FALSE),0)</f>
        <v>0</v>
      </c>
      <c r="GG141" s="465">
        <f>IFERROR(VLOOKUP(GG$1,'žádosti MPSV 2020'!$F$8:YZ277,$A141,FALSE),0)</f>
        <v>0</v>
      </c>
      <c r="GH141" s="465">
        <f>IFERROR(VLOOKUP(GH$1,'žádosti MPSV 2020'!$F$8:ZA277,$A141,FALSE),0)</f>
        <v>0</v>
      </c>
      <c r="GI141" s="465">
        <f>IFERROR(VLOOKUP(GI$1,'žádosti MPSV 2020'!$F$8:ZB277,$A141,FALSE),0)</f>
        <v>0</v>
      </c>
      <c r="GJ141" s="465">
        <f>IFERROR(VLOOKUP(GJ$1,'žádosti MPSV 2020'!$F$8:ZC277,$A141,FALSE),0)</f>
        <v>0</v>
      </c>
      <c r="GK141" s="465">
        <f>IFERROR(VLOOKUP(GK$1,'žádosti MPSV 2020'!$F$8:ZD277,$A141,FALSE),0)</f>
        <v>0</v>
      </c>
      <c r="GL141" s="465">
        <f>IFERROR(VLOOKUP(GL$1,'žádosti MPSV 2020'!$F$8:ZE277,$A141,FALSE),0)</f>
        <v>0</v>
      </c>
      <c r="GM141" s="465">
        <f>IFERROR(VLOOKUP(GM$1,'žádosti MPSV 2020'!$F$8:ZF277,$A141,FALSE),0)</f>
        <v>0</v>
      </c>
      <c r="GN141" s="465">
        <f>IFERROR(VLOOKUP(GN$1,'žádosti MPSV 2020'!$F$8:ZG277,$A141,FALSE),0)</f>
        <v>0</v>
      </c>
      <c r="GO141" s="465">
        <f>IFERROR(VLOOKUP(GO$1,'žádosti MPSV 2020'!$F$8:ZH277,$A141,FALSE),0)</f>
        <v>0</v>
      </c>
      <c r="GP141" s="465">
        <f>IFERROR(VLOOKUP(GP$1,'žádosti MPSV 2020'!$F$8:ZI277,$A141,FALSE),0)</f>
        <v>0</v>
      </c>
      <c r="GQ141" s="465">
        <f>IFERROR(VLOOKUP(GQ$1,'žádosti MPSV 2020'!$F$8:ZJ277,$A141,FALSE),0)</f>
        <v>0</v>
      </c>
      <c r="GR141" s="465">
        <f>IFERROR(VLOOKUP(GR$1,'žádosti MPSV 2020'!$F$8:ZK277,$A141,FALSE),0)</f>
        <v>0</v>
      </c>
      <c r="GS141" s="465">
        <f>IFERROR(VLOOKUP(GS$1,'žádosti MPSV 2020'!$F$8:ZL277,$A141,FALSE),0)</f>
        <v>0</v>
      </c>
      <c r="GT141" s="465">
        <f>IFERROR(VLOOKUP(GT$1,'žádosti MPSV 2020'!$F$8:ZM277,$A141,FALSE),0)</f>
        <v>0</v>
      </c>
      <c r="GU141" s="465">
        <f>IFERROR(VLOOKUP(GU$1,'žádosti MPSV 2020'!$F$8:ZN277,$A141,FALSE),0)</f>
        <v>0</v>
      </c>
      <c r="GV141" s="465">
        <f>IFERROR(VLOOKUP(GV$1,'žádosti MPSV 2020'!$F$8:ZO277,$A141,FALSE),0)</f>
        <v>0</v>
      </c>
      <c r="GW141" s="465">
        <f>IFERROR(VLOOKUP(GW$1,'žádosti MPSV 2020'!$F$8:ZP277,$A141,FALSE),0)</f>
        <v>0</v>
      </c>
      <c r="GX141" s="465">
        <f>IFERROR(VLOOKUP(GX$1,'žádosti MPSV 2020'!$F$8:ZQ277,$A141,FALSE),0)</f>
        <v>0</v>
      </c>
      <c r="GY141" s="465">
        <f>IFERROR(VLOOKUP(GY$1,'žádosti MPSV 2020'!$F$8:ZR277,$A141,FALSE),0)</f>
        <v>0</v>
      </c>
      <c r="GZ141" s="465">
        <f>IFERROR(VLOOKUP(GZ$1,'žádosti MPSV 2020'!$F$8:ZS277,$A141,FALSE),0)</f>
        <v>0</v>
      </c>
      <c r="HA141" s="465">
        <f>IFERROR(VLOOKUP(HA$1,'žádosti MPSV 2020'!$F$8:ZT277,$A141,FALSE),0)</f>
        <v>0</v>
      </c>
      <c r="HB141" s="465">
        <f>IFERROR(VLOOKUP(HB$1,'žádosti MPSV 2020'!$F$8:ZU277,$A141,FALSE),0)</f>
        <v>0</v>
      </c>
      <c r="HC141" s="465">
        <f>IFERROR(VLOOKUP(HC$1,'žádosti MPSV 2020'!$F$8:ZV277,$A141,FALSE),0)</f>
        <v>0</v>
      </c>
      <c r="HD141" s="465">
        <f>IFERROR(VLOOKUP(HD$1,'žádosti MPSV 2020'!$F$8:ZW277,$A141,FALSE),0)</f>
        <v>0</v>
      </c>
      <c r="HE141" s="465">
        <f>IFERROR(VLOOKUP(HE$1,'žádosti MPSV 2020'!$F$8:ZX277,$A141,FALSE),0)</f>
        <v>0</v>
      </c>
      <c r="HF141" s="465">
        <f>IFERROR(VLOOKUP(HF$1,'žádosti MPSV 2020'!$F$8:ZY277,$A141,FALSE),0)</f>
        <v>0</v>
      </c>
      <c r="HG141" s="465">
        <f>IFERROR(VLOOKUP(HG$1,'žádosti MPSV 2020'!$F$8:ZZ277,$A141,FALSE),0)</f>
        <v>0</v>
      </c>
      <c r="HH141" s="465">
        <f>IFERROR(VLOOKUP(HH$1,'žádosti MPSV 2020'!$F$8:AAA277,$A141,FALSE),0)</f>
        <v>0</v>
      </c>
      <c r="HI141" s="465">
        <f>IFERROR(VLOOKUP(HI$1,'žádosti MPSV 2020'!$F$8:AAB277,$A141,FALSE),0)</f>
        <v>0</v>
      </c>
      <c r="HJ141" s="465">
        <f>IFERROR(VLOOKUP(HJ$1,'žádosti MPSV 2020'!$F$8:AAC277,$A141,FALSE),0)</f>
        <v>0</v>
      </c>
      <c r="HK141" s="465">
        <f>IFERROR(VLOOKUP(HK$1,'žádosti MPSV 2020'!$F$8:AAD277,$A141,FALSE),0)</f>
        <v>0</v>
      </c>
      <c r="HL141" s="465">
        <f>IFERROR(VLOOKUP(HL$1,'žádosti MPSV 2020'!$F$8:AAE277,$A141,FALSE),0)</f>
        <v>0</v>
      </c>
      <c r="HM141" s="465">
        <f>IFERROR(VLOOKUP(HM$1,'žádosti MPSV 2020'!$F$8:AAF277,$A141,FALSE),0)</f>
        <v>0</v>
      </c>
      <c r="HN141" s="465">
        <f>IFERROR(VLOOKUP(HN$1,'žádosti MPSV 2020'!$F$8:AAG277,$A141,FALSE),0)</f>
        <v>0</v>
      </c>
      <c r="HO141" s="465">
        <f>IFERROR(VLOOKUP(HO$1,'žádosti MPSV 2020'!$F$8:AAH277,$A141,FALSE),0)</f>
        <v>0</v>
      </c>
      <c r="HP141" s="465">
        <f>IFERROR(VLOOKUP(HP$1,'žádosti MPSV 2020'!$F$8:AAI277,$A141,FALSE),0)</f>
        <v>0</v>
      </c>
      <c r="HQ141" s="465">
        <f>IFERROR(VLOOKUP(HQ$1,'žádosti MPSV 2020'!$F$8:AAJ277,$A141,FALSE),0)</f>
        <v>0</v>
      </c>
      <c r="HR141" s="465">
        <f>IFERROR(VLOOKUP(HR$1,'žádosti MPSV 2020'!$F$8:AAK277,$A141,FALSE),0)</f>
        <v>0</v>
      </c>
      <c r="HS141" s="465">
        <f>IFERROR(VLOOKUP(HS$1,'žádosti MPSV 2020'!$F$8:AAL277,$A141,FALSE),0)</f>
        <v>0</v>
      </c>
      <c r="HT141" s="465">
        <f>IFERROR(VLOOKUP(HT$1,'žádosti MPSV 2020'!$F$8:AAM277,$A141,FALSE),0)</f>
        <v>0</v>
      </c>
      <c r="HU141" s="465">
        <f>IFERROR(VLOOKUP(HU$1,'žádosti MPSV 2020'!$F$8:AAN277,$A141,FALSE),0)</f>
        <v>0</v>
      </c>
      <c r="HV141" s="465">
        <f>IFERROR(VLOOKUP(HV$1,'žádosti MPSV 2020'!$F$8:AAO277,$A141,FALSE),0)</f>
        <v>0</v>
      </c>
      <c r="HW141" s="465">
        <f>IFERROR(VLOOKUP(HW$1,'žádosti MPSV 2020'!$F$8:AAP277,$A141,FALSE),0)</f>
        <v>89800</v>
      </c>
      <c r="HX141" s="465">
        <f>IFERROR(VLOOKUP(HX$1,'žádosti MPSV 2020'!$F$8:AAQ277,$A141,FALSE),0)</f>
        <v>284200</v>
      </c>
      <c r="HY141" s="465">
        <f>IFERROR(VLOOKUP(HY$1,'žádosti MPSV 2020'!$F$8:AAR277,$A141,FALSE),0)</f>
        <v>0</v>
      </c>
      <c r="HZ141" s="465">
        <f>IFERROR(VLOOKUP(HZ$1,'žádosti MPSV 2020'!$F$8:AAS277,$A141,FALSE),0)</f>
        <v>0</v>
      </c>
      <c r="IA141" s="465">
        <f>IFERROR(VLOOKUP(IA$1,'žádosti MPSV 2020'!$F$8:AAT277,$A141,FALSE),0)</f>
        <v>0</v>
      </c>
      <c r="IB141" s="465">
        <f>IFERROR(VLOOKUP(IB$1,'žádosti MPSV 2020'!$F$8:AAU277,$A141,FALSE),0)</f>
        <v>0</v>
      </c>
      <c r="IC141" s="465">
        <f>IFERROR(VLOOKUP(IC$1,'žádosti MPSV 2020'!$F$8:AAV277,$A141,FALSE),0)</f>
        <v>0</v>
      </c>
      <c r="ID141" s="465">
        <f>IFERROR(VLOOKUP(ID$1,'žádosti MPSV 2020'!$F$8:AAW277,$A141,FALSE),0)</f>
        <v>0</v>
      </c>
      <c r="IE141" s="465">
        <f>IFERROR(VLOOKUP(IE$1,'žádosti MPSV 2020'!$F$8:AAX277,$A141,FALSE),0)</f>
        <v>0</v>
      </c>
      <c r="IF141" s="465">
        <f>IFERROR(VLOOKUP(IF$1,'žádosti MPSV 2020'!$F$8:AAY277,$A141,FALSE),0)</f>
        <v>0</v>
      </c>
      <c r="IG141" s="465">
        <f>IFERROR(VLOOKUP(IG$1,'žádosti MPSV 2020'!$F$8:AAZ277,$A141,FALSE),0)</f>
        <v>0</v>
      </c>
      <c r="IH141" s="465">
        <f>IFERROR(VLOOKUP(IH$1,'žádosti MPSV 2020'!$F$8:ABA277,$A141,FALSE),0)</f>
        <v>0</v>
      </c>
      <c r="II141" s="465">
        <f>IFERROR(VLOOKUP(II$1,'žádosti MPSV 2020'!$F$8:ABB277,$A141,FALSE),0)</f>
        <v>0</v>
      </c>
      <c r="IJ141" s="465">
        <f>IFERROR(VLOOKUP(IJ$1,'žádosti MPSV 2020'!$F$8:ABC277,$A141,FALSE),0)</f>
        <v>0</v>
      </c>
      <c r="IK141" s="465">
        <f>IFERROR(VLOOKUP(IK$1,'žádosti MPSV 2020'!$F$8:ABD277,$A141,FALSE),0)</f>
        <v>0</v>
      </c>
      <c r="IL141" s="465">
        <f>IFERROR(VLOOKUP(IL$1,'žádosti MPSV 2020'!$F$8:ABE277,$A141,FALSE),0)</f>
        <v>0</v>
      </c>
      <c r="IM141" s="465">
        <f>IFERROR(VLOOKUP(IM$1,'žádosti MPSV 2020'!$F$8:ABF277,$A141,FALSE),0)</f>
        <v>1040</v>
      </c>
      <c r="IN141" s="465">
        <f>IFERROR(VLOOKUP(IN$1,'žádosti MPSV 2020'!$F$8:ABG277,$A141,FALSE),0)</f>
        <v>21199</v>
      </c>
      <c r="IO141" s="465">
        <f>IFERROR(VLOOKUP(IO$1,'žádosti MPSV 2020'!$F$8:ABH277,$A141,FALSE),0)</f>
        <v>3900</v>
      </c>
      <c r="IP141" s="465">
        <f>IFERROR(VLOOKUP(IP$1,'žádosti MPSV 2020'!$F$8:ABI277,$A141,FALSE),0)</f>
        <v>0</v>
      </c>
      <c r="IQ141" s="465">
        <f>IFERROR(VLOOKUP(IQ$1,'žádosti MPSV 2020'!$F$8:ABJ277,$A141,FALSE),0)</f>
        <v>0</v>
      </c>
      <c r="IR141" s="465">
        <f>IFERROR(VLOOKUP(IR$1,'žádosti MPSV 2020'!$F$8:ABK277,$A141,FALSE),0)</f>
        <v>0</v>
      </c>
      <c r="IS141" s="465">
        <f>IFERROR(VLOOKUP(IS$1,'žádosti MPSV 2020'!$F$8:ABL277,$A141,FALSE),0)</f>
        <v>0</v>
      </c>
      <c r="IT141" s="465">
        <f>IFERROR(VLOOKUP(IT$1,'žádosti MPSV 2020'!$F$8:ABM277,$A141,FALSE),0)</f>
        <v>0</v>
      </c>
      <c r="IU141" s="465">
        <f>IFERROR(VLOOKUP(IU$1,'žádosti MPSV 2020'!$F$8:ABN277,$A141,FALSE),0)</f>
        <v>0</v>
      </c>
      <c r="IV141" s="465">
        <f>IFERROR(VLOOKUP(IV$1,'žádosti MPSV 2020'!$F$8:ABO277,$A141,FALSE),0)</f>
        <v>0</v>
      </c>
      <c r="IW141" s="465">
        <f>IFERROR(VLOOKUP(IW$1,'žádosti MPSV 2020'!$F$8:ABP277,$A141,FALSE),0)</f>
        <v>0</v>
      </c>
      <c r="IX141" s="465">
        <f>IFERROR(VLOOKUP(IX$1,'žádosti MPSV 2020'!$F$8:ABQ277,$A141,FALSE),0)</f>
        <v>0</v>
      </c>
      <c r="IY141" s="465">
        <f>IFERROR(VLOOKUP(IY$1,'žádosti MPSV 2020'!$F$8:ABR277,$A141,FALSE),0)</f>
        <v>0</v>
      </c>
      <c r="IZ141" s="465">
        <f>IFERROR(VLOOKUP(IZ$1,'žádosti MPSV 2020'!$F$8:ABS277,$A141,FALSE),0)</f>
        <v>0</v>
      </c>
      <c r="JA141" s="465">
        <f>IFERROR(VLOOKUP(JA$1,'žádosti MPSV 2020'!$F$8:ABT277,$A141,FALSE),0)</f>
        <v>0</v>
      </c>
      <c r="JB141" s="465">
        <f>IFERROR(VLOOKUP(JB$1,'žádosti MPSV 2020'!$F$8:ABU277,$A141,FALSE),0)</f>
        <v>280000</v>
      </c>
      <c r="JC141" s="465">
        <f>IFERROR(VLOOKUP(JC$1,'žádosti MPSV 2020'!$F$8:ABV277,$A141,FALSE),0)</f>
        <v>0</v>
      </c>
      <c r="JD141" s="465">
        <f>IFERROR(VLOOKUP(JD$1,'žádosti MPSV 2020'!$F$8:ABW277,$A141,FALSE),0)</f>
        <v>1600000</v>
      </c>
      <c r="JE141" s="465">
        <f>IFERROR(VLOOKUP(JE$1,'žádosti MPSV 2020'!$F$8:ABX277,$A141,FALSE),0)</f>
        <v>0</v>
      </c>
      <c r="JF141" s="465">
        <f>IFERROR(VLOOKUP(JF$1,'žádosti MPSV 2020'!$F$8:ABY277,$A141,FALSE),0)</f>
        <v>0</v>
      </c>
      <c r="JG141" s="465">
        <f>IFERROR(VLOOKUP(JG$1,'žádosti MPSV 2020'!$F$8:ABZ277,$A141,FALSE),0)</f>
        <v>0</v>
      </c>
      <c r="JH141" s="459">
        <f>IFERROR(VLOOKUP(JH$1,'žádosti MPSV 2020'!$F$8:ACA277,$A141,FALSE),0)</f>
        <v>0</v>
      </c>
      <c r="JI141" s="314">
        <f t="shared" si="635"/>
        <v>6268441</v>
      </c>
    </row>
    <row r="142" spans="1:276" x14ac:dyDescent="0.25">
      <c r="A142" s="618">
        <v>466</v>
      </c>
      <c r="B142" s="465" t="s">
        <v>67</v>
      </c>
      <c r="C142" s="465">
        <f>IFERROR(VLOOKUP(C$1,'žádosti MPSV 2020'!$F$8:RT278,$A142,FALSE),0)</f>
        <v>0</v>
      </c>
      <c r="D142" s="465">
        <f>IFERROR(VLOOKUP(D$1,'žádosti MPSV 2020'!$F$8:RU278,$A142,FALSE),0)</f>
        <v>0</v>
      </c>
      <c r="E142" s="465">
        <f>IFERROR(VLOOKUP(E$1,'žádosti MPSV 2020'!$F$8:RV278,$A142,FALSE),0)</f>
        <v>0</v>
      </c>
      <c r="F142" s="465">
        <f>IFERROR(VLOOKUP(F$1,'žádosti MPSV 2020'!$F$8:RW278,$A142,FALSE),0)</f>
        <v>0</v>
      </c>
      <c r="G142" s="465">
        <f>IFERROR(VLOOKUP(G$1,'žádosti MPSV 2020'!$F$8:RX278,$A142,FALSE),0)</f>
        <v>0</v>
      </c>
      <c r="H142" s="465">
        <f>IFERROR(VLOOKUP(H$1,'žádosti MPSV 2020'!$F$8:RY278,$A142,FALSE),0)</f>
        <v>0</v>
      </c>
      <c r="I142" s="465">
        <f>IFERROR(VLOOKUP(I$1,'žádosti MPSV 2020'!$F$8:RZ278,$A142,FALSE),0)</f>
        <v>0</v>
      </c>
      <c r="J142" s="465">
        <f>IFERROR(VLOOKUP(J$1,'žádosti MPSV 2020'!$F$8:SA278,$A142,FALSE),0)</f>
        <v>0</v>
      </c>
      <c r="K142" s="465">
        <f>IFERROR(VLOOKUP(K$1,'žádosti MPSV 2020'!$F$8:SB278,$A142,FALSE),0)</f>
        <v>0</v>
      </c>
      <c r="L142" s="465">
        <f>IFERROR(VLOOKUP(L$1,'žádosti MPSV 2020'!$F$8:SC278,$A142,FALSE),0)</f>
        <v>0</v>
      </c>
      <c r="M142" s="465">
        <f>IFERROR(VLOOKUP(M$1,'žádosti MPSV 2020'!$F$8:SD278,$A142,FALSE),0)</f>
        <v>0</v>
      </c>
      <c r="N142" s="465">
        <f>IFERROR(VLOOKUP(N$1,'žádosti MPSV 2020'!$F$8:SE278,$A142,FALSE),0)</f>
        <v>0</v>
      </c>
      <c r="O142" s="465">
        <f>IFERROR(VLOOKUP(O$1,'žádosti MPSV 2020'!$F$8:SF278,$A142,FALSE),0)</f>
        <v>0</v>
      </c>
      <c r="P142" s="465">
        <f>IFERROR(VLOOKUP(P$1,'žádosti MPSV 2020'!$F$8:SG278,$A142,FALSE),0)</f>
        <v>0</v>
      </c>
      <c r="Q142" s="465">
        <f>IFERROR(VLOOKUP(Q$1,'žádosti MPSV 2020'!$F$8:SH278,$A142,FALSE),0)</f>
        <v>0</v>
      </c>
      <c r="R142" s="465">
        <f>IFERROR(VLOOKUP(R$1,'žádosti MPSV 2020'!$F$8:SI278,$A142,FALSE),0)</f>
        <v>0</v>
      </c>
      <c r="S142" s="465">
        <f>IFERROR(VLOOKUP(S$1,'žádosti MPSV 2020'!$F$8:SJ278,$A142,FALSE),0)</f>
        <v>0</v>
      </c>
      <c r="T142" s="465">
        <f>IFERROR(VLOOKUP(T$1,'žádosti MPSV 2020'!$F$8:SK278,$A142,FALSE),0)</f>
        <v>0</v>
      </c>
      <c r="U142" s="465">
        <f>IFERROR(VLOOKUP(U$1,'žádosti MPSV 2020'!$F$8:SL278,$A142,FALSE),0)</f>
        <v>0</v>
      </c>
      <c r="V142" s="465">
        <f>IFERROR(VLOOKUP(V$1,'žádosti MPSV 2020'!$F$8:SM278,$A142,FALSE),0)</f>
        <v>0</v>
      </c>
      <c r="W142" s="465">
        <f>IFERROR(VLOOKUP(W$1,'žádosti MPSV 2020'!$F$8:SN278,$A142,FALSE),0)</f>
        <v>0</v>
      </c>
      <c r="X142" s="465">
        <f>IFERROR(VLOOKUP(X$1,'žádosti MPSV 2020'!$F$8:SO278,$A142,FALSE),0)</f>
        <v>0</v>
      </c>
      <c r="Y142" s="465">
        <f>IFERROR(VLOOKUP(Y$1,'žádosti MPSV 2020'!$F$8:SP278,$A142,FALSE),0)</f>
        <v>0</v>
      </c>
      <c r="Z142" s="465">
        <f>IFERROR(VLOOKUP(Z$1,'žádosti MPSV 2020'!$F$8:SQ278,$A142,FALSE),0)</f>
        <v>0</v>
      </c>
      <c r="AA142" s="465">
        <f>IFERROR(VLOOKUP(AA$1,'žádosti MPSV 2020'!$F$8:SR278,$A142,FALSE),0)</f>
        <v>0</v>
      </c>
      <c r="AB142" s="465">
        <f>IFERROR(VLOOKUP(AB$1,'žádosti MPSV 2020'!$F$8:SS278,$A142,FALSE),0)</f>
        <v>0</v>
      </c>
      <c r="AC142" s="465">
        <f>IFERROR(VLOOKUP(AC$1,'žádosti MPSV 2020'!$F$8:ST278,$A142,FALSE),0)</f>
        <v>0</v>
      </c>
      <c r="AD142" s="465">
        <f>IFERROR(VLOOKUP(AD$1,'žádosti MPSV 2020'!$F$8:ST278,$A142,FALSE),0)</f>
        <v>0</v>
      </c>
      <c r="AE142" s="465">
        <f>IFERROR(VLOOKUP(AE$1,'žádosti MPSV 2020'!$F$8:SU278,$A142,FALSE),0)</f>
        <v>0</v>
      </c>
      <c r="AF142" s="465">
        <f>IFERROR(VLOOKUP(AF$1,'žádosti MPSV 2020'!$F$8:SV278,$A142,FALSE),0)</f>
        <v>0</v>
      </c>
      <c r="AG142" s="465">
        <f>IFERROR(VLOOKUP(AG$1,'žádosti MPSV 2020'!$F$8:SW278,$A142,FALSE),0)</f>
        <v>0</v>
      </c>
      <c r="AH142" s="465">
        <f>IFERROR(VLOOKUP(AH$1,'žádosti MPSV 2020'!$F$8:SX278,$A142,FALSE),0)</f>
        <v>0</v>
      </c>
      <c r="AI142" s="465">
        <f>IFERROR(VLOOKUP(AI$1,'žádosti MPSV 2020'!$F$8:SY278,$A142,FALSE),0)</f>
        <v>0</v>
      </c>
      <c r="AJ142" s="465">
        <f>IFERROR(VLOOKUP(AJ$1,'žádosti MPSV 2020'!$F$8:SZ278,$A142,FALSE),0)</f>
        <v>0</v>
      </c>
      <c r="AK142" s="465">
        <f>IFERROR(VLOOKUP(AK$1,'žádosti MPSV 2020'!$F$8:TA278,$A142,FALSE),0)</f>
        <v>0</v>
      </c>
      <c r="AL142" s="465">
        <f>IFERROR(VLOOKUP(AL$1,'žádosti MPSV 2020'!$F$8:TB278,$A142,FALSE),0)</f>
        <v>0</v>
      </c>
      <c r="AM142" s="465">
        <f>IFERROR(VLOOKUP(AM$1,'žádosti MPSV 2020'!$F$8:TC278,$A142,FALSE),0)</f>
        <v>0</v>
      </c>
      <c r="AN142" s="465">
        <f>IFERROR(VLOOKUP(AN$1,'žádosti MPSV 2020'!$F$8:TD278,$A142,FALSE),0)</f>
        <v>0</v>
      </c>
      <c r="AO142" s="465">
        <f>IFERROR(VLOOKUP(AO$1,'žádosti MPSV 2020'!$F$8:TE278,$A142,FALSE),0)</f>
        <v>0</v>
      </c>
      <c r="AP142" s="465">
        <f>IFERROR(VLOOKUP(AP$1,'žádosti MPSV 2020'!$F$8:TF278,$A142,FALSE),0)</f>
        <v>0</v>
      </c>
      <c r="AQ142" s="465">
        <f>IFERROR(VLOOKUP(AQ$1,'žádosti MPSV 2020'!$F$8:TG278,$A142,FALSE),0)</f>
        <v>0</v>
      </c>
      <c r="AR142" s="465">
        <f>IFERROR(VLOOKUP(AR$1,'žádosti MPSV 2020'!$F$8:TH278,$A142,FALSE),0)</f>
        <v>0</v>
      </c>
      <c r="AS142" s="465">
        <f>IFERROR(VLOOKUP(AS$1,'žádosti MPSV 2020'!$F$8:TI278,$A142,FALSE),0)</f>
        <v>0</v>
      </c>
      <c r="AT142" s="465">
        <f>IFERROR(VLOOKUP(AT$1,'žádosti MPSV 2020'!$F$8:TJ278,$A142,FALSE),0)</f>
        <v>0</v>
      </c>
      <c r="AU142" s="465">
        <f>IFERROR(VLOOKUP(AU$1,'žádosti MPSV 2020'!$F$8:TK278,$A142,FALSE),0)</f>
        <v>0</v>
      </c>
      <c r="AV142" s="465">
        <f>IFERROR(VLOOKUP(AV$1,'žádosti MPSV 2020'!$F$8:TL278,$A142,FALSE),0)</f>
        <v>0</v>
      </c>
      <c r="AW142" s="465">
        <f>IFERROR(VLOOKUP(AW$1,'žádosti MPSV 2020'!$F$8:TM278,$A142,FALSE),0)</f>
        <v>0</v>
      </c>
      <c r="AX142" s="465">
        <f>IFERROR(VLOOKUP(AX$1,'žádosti MPSV 2020'!$F$8:TN278,$A142,FALSE),0)</f>
        <v>0</v>
      </c>
      <c r="AY142" s="465">
        <f>IFERROR(VLOOKUP(AY$1,'žádosti MPSV 2020'!$F$8:TO278,$A142,FALSE),0)</f>
        <v>0</v>
      </c>
      <c r="AZ142" s="465">
        <f>IFERROR(VLOOKUP(AZ$1,'žádosti MPSV 2020'!$F$8:TP278,$A142,FALSE),0)</f>
        <v>0</v>
      </c>
      <c r="BA142" s="465">
        <f>IFERROR(VLOOKUP(BA$1,'žádosti MPSV 2020'!$F$8:TQ278,$A142,FALSE),0)</f>
        <v>0</v>
      </c>
      <c r="BB142" s="465">
        <f>IFERROR(VLOOKUP(BB$1,'žádosti MPSV 2020'!$F$8:TR278,$A142,FALSE),0)</f>
        <v>0</v>
      </c>
      <c r="BC142" s="465">
        <f>IFERROR(VLOOKUP(BC$1,'žádosti MPSV 2020'!$F$8:TS278,$A142,FALSE),0)</f>
        <v>0</v>
      </c>
      <c r="BD142" s="465">
        <f>IFERROR(VLOOKUP(BD$1,'žádosti MPSV 2020'!$F$8:TT278,$A142,FALSE),0)</f>
        <v>0</v>
      </c>
      <c r="BE142" s="465">
        <f>IFERROR(VLOOKUP(BE$1,'žádosti MPSV 2020'!$F$8:TU278,$A142,FALSE),0)</f>
        <v>0</v>
      </c>
      <c r="BF142" s="465">
        <f>IFERROR(VLOOKUP(BF$1,'žádosti MPSV 2020'!$F$8:TV278,$A142,FALSE),0)</f>
        <v>0</v>
      </c>
      <c r="BG142" s="465">
        <f>IFERROR(VLOOKUP(BG$1,'žádosti MPSV 2020'!$F$8:TW278,$A142,FALSE),0)</f>
        <v>0</v>
      </c>
      <c r="BH142" s="465">
        <f>IFERROR(VLOOKUP(BH$1,'žádosti MPSV 2020'!$F$8:TX278,$A142,FALSE),0)</f>
        <v>0</v>
      </c>
      <c r="BI142" s="465">
        <f>IFERROR(VLOOKUP(BI$1,'žádosti MPSV 2020'!$F$8:TY278,$A142,FALSE),0)</f>
        <v>0</v>
      </c>
      <c r="BJ142" s="465">
        <f>IFERROR(VLOOKUP(BJ$1,'žádosti MPSV 2020'!$F$8:TZ278,$A142,FALSE),0)</f>
        <v>0</v>
      </c>
      <c r="BK142" s="465">
        <f>IFERROR(VLOOKUP(BK$1,'žádosti MPSV 2020'!$F$8:UA278,$A142,FALSE),0)</f>
        <v>0</v>
      </c>
      <c r="BL142" s="465">
        <f>IFERROR(VLOOKUP(BL$1,'žádosti MPSV 2020'!$F$8:UB278,$A142,FALSE),0)</f>
        <v>0</v>
      </c>
      <c r="BM142" s="465">
        <f>IFERROR(VLOOKUP(BM$1,'žádosti MPSV 2020'!$F$8:UC278,$A142,FALSE),0)</f>
        <v>623790</v>
      </c>
      <c r="BN142" s="465">
        <f>IFERROR(VLOOKUP(BN$1,'žádosti MPSV 2020'!$F$8:UD278,$A142,FALSE),0)</f>
        <v>0</v>
      </c>
      <c r="BO142" s="465">
        <f>IFERROR(VLOOKUP(BO$1,'žádosti MPSV 2020'!$F$8:UE278,$A142,FALSE),0)</f>
        <v>0</v>
      </c>
      <c r="BP142" s="465">
        <f>IFERROR(VLOOKUP(BP$1,'žádosti MPSV 2020'!$F$8:UF278,$A142,FALSE),0)</f>
        <v>0</v>
      </c>
      <c r="BQ142" s="465">
        <f>IFERROR(VLOOKUP(BQ$1,'žádosti MPSV 2020'!$F$8:UG278,$A142,FALSE),0)</f>
        <v>805234</v>
      </c>
      <c r="BR142" s="465">
        <f>IFERROR(VLOOKUP(BR$1,'žádosti MPSV 2020'!$F$8:UH278,$A142,FALSE),0)</f>
        <v>0</v>
      </c>
      <c r="BS142" s="465">
        <f>IFERROR(VLOOKUP(BS$1,'žádosti MPSV 2020'!$F$8:UI278,$A142,FALSE),0)</f>
        <v>0</v>
      </c>
      <c r="BT142" s="465">
        <f>IFERROR(VLOOKUP(BT$1,'žádosti MPSV 2020'!$F$8:UJ278,$A142,FALSE),0)</f>
        <v>0</v>
      </c>
      <c r="BU142" s="465">
        <f>IFERROR(VLOOKUP(BU$1,'žádosti MPSV 2020'!$F$8:UK278,$A142,FALSE),0)</f>
        <v>0</v>
      </c>
      <c r="BV142" s="465">
        <f>IFERROR(VLOOKUP(BV$1,'žádosti MPSV 2020'!$F$8:UL278,$A142,FALSE),0)</f>
        <v>0</v>
      </c>
      <c r="BW142" s="465">
        <f>IFERROR(VLOOKUP(BW$1,'žádosti MPSV 2020'!$F$8:UM278,$A142,FALSE),0)</f>
        <v>0</v>
      </c>
      <c r="BX142" s="465">
        <f>IFERROR(VLOOKUP(BX$1,'žádosti MPSV 2020'!$F$8:UN278,$A142,FALSE),0)</f>
        <v>0</v>
      </c>
      <c r="BY142" s="465">
        <f>IFERROR(VLOOKUP(BY$1,'žádosti MPSV 2020'!$F$8:UO278,$A142,FALSE),0)</f>
        <v>0</v>
      </c>
      <c r="BZ142" s="465">
        <f>IFERROR(VLOOKUP(BZ$1,'žádosti MPSV 2020'!$F$8:UP278,$A142,FALSE),0)</f>
        <v>0</v>
      </c>
      <c r="CA142" s="465">
        <f>IFERROR(VLOOKUP(CA$1,'žádosti MPSV 2020'!$F$8:UQ278,$A142,FALSE),0)</f>
        <v>0</v>
      </c>
      <c r="CB142" s="465">
        <f>IFERROR(VLOOKUP(CB$1,'žádosti MPSV 2020'!$F$8:UR278,$A142,FALSE),0)</f>
        <v>0</v>
      </c>
      <c r="CC142" s="465">
        <f>IFERROR(VLOOKUP(CC$1,'žádosti MPSV 2020'!$F$8:US278,$A142,FALSE),0)</f>
        <v>16324</v>
      </c>
      <c r="CD142" s="465">
        <f>IFERROR(VLOOKUP(CD$1,'žádosti MPSV 2020'!$F$8:UT278,$A142,FALSE),0)</f>
        <v>14000</v>
      </c>
      <c r="CE142" s="465">
        <f>IFERROR(VLOOKUP(CE$1,'žádosti MPSV 2020'!$F$8:UU278,$A142,FALSE),0)</f>
        <v>0</v>
      </c>
      <c r="CF142" s="465">
        <f>IFERROR(VLOOKUP(CF$1,'žádosti MPSV 2020'!$F$8:UV278,$A142,FALSE),0)</f>
        <v>0</v>
      </c>
      <c r="CG142" s="465">
        <f>IFERROR(VLOOKUP(CG$1,'žádosti MPSV 2020'!$F$8:UW278,$A142,FALSE),0)</f>
        <v>156324</v>
      </c>
      <c r="CH142" s="465">
        <f>IFERROR(VLOOKUP(CH$1,'žádosti MPSV 2020'!$F$8:UX278,$A142,FALSE),0)</f>
        <v>30330</v>
      </c>
      <c r="CI142" s="465">
        <f>IFERROR(VLOOKUP(CI$1,'žádosti MPSV 2020'!$F$8:UY278,$A142,FALSE),0)</f>
        <v>16324</v>
      </c>
      <c r="CJ142" s="465">
        <f>IFERROR(VLOOKUP(CJ$1,'žádosti MPSV 2020'!$F$8:UZ278,$A142,FALSE),0)</f>
        <v>59775</v>
      </c>
      <c r="CK142" s="465">
        <f>IFERROR(VLOOKUP(CK$1,'žádosti MPSV 2020'!$F$8:VA278,$A142,FALSE),0)</f>
        <v>32000</v>
      </c>
      <c r="CL142" s="465">
        <f>IFERROR(VLOOKUP(CL$1,'žádosti MPSV 2020'!$F$8:VB278,$A142,FALSE),0)</f>
        <v>53270</v>
      </c>
      <c r="CM142" s="465">
        <f>IFERROR(VLOOKUP(CM$1,'žádosti MPSV 2020'!$F$8:VC278,$A142,FALSE),0)</f>
        <v>0</v>
      </c>
      <c r="CN142" s="465">
        <f>IFERROR(VLOOKUP(CN$1,'žádosti MPSV 2020'!$F$8:VD278,$A142,FALSE),0)</f>
        <v>0</v>
      </c>
      <c r="CO142" s="465">
        <f>IFERROR(VLOOKUP(CO$1,'žádosti MPSV 2020'!$F$8:VE278,$A142,FALSE),0)</f>
        <v>0</v>
      </c>
      <c r="CP142" s="465">
        <f>IFERROR(VLOOKUP(CP$1,'žádosti MPSV 2020'!$F$8:VF278,$A142,FALSE),0)</f>
        <v>0</v>
      </c>
      <c r="CQ142" s="465">
        <f>IFERROR(VLOOKUP(CQ$1,'žádosti MPSV 2020'!$F$8:VG278,$A142,FALSE),0)</f>
        <v>0</v>
      </c>
      <c r="CR142" s="465">
        <f>IFERROR(VLOOKUP(CR$1,'žádosti MPSV 2020'!$F$8:VH278,$A142,FALSE),0)</f>
        <v>0</v>
      </c>
      <c r="CS142" s="465">
        <f>IFERROR(VLOOKUP(CS$1,'žádosti MPSV 2020'!$F$8:VI278,$A142,FALSE),0)</f>
        <v>0</v>
      </c>
      <c r="CT142" s="465">
        <f>IFERROR(VLOOKUP(CT$1,'žádosti MPSV 2020'!$F$8:VJ278,$A142,FALSE),0)</f>
        <v>0</v>
      </c>
      <c r="CU142" s="465">
        <f>IFERROR(VLOOKUP(CU$1,'žádosti MPSV 2020'!$F$8:VK278,$A142,FALSE),0)</f>
        <v>0</v>
      </c>
      <c r="CV142" s="465">
        <f>IFERROR(VLOOKUP(CV$1,'žádosti MPSV 2020'!$F$8:VL278,$A142,FALSE),0)</f>
        <v>0</v>
      </c>
      <c r="CW142" s="465">
        <f>IFERROR(VLOOKUP(CW$1,'žádosti MPSV 2020'!$F$8:VM278,$A142,FALSE),0)</f>
        <v>0</v>
      </c>
      <c r="CX142" s="465">
        <f>IFERROR(VLOOKUP(CX$1,'žádosti MPSV 2020'!$F$8:VN278,$A142,FALSE),0)</f>
        <v>0</v>
      </c>
      <c r="CY142" s="465">
        <f>IFERROR(VLOOKUP(CY$1,'žádosti MPSV 2020'!$F$8:VO278,$A142,FALSE),0)</f>
        <v>0</v>
      </c>
      <c r="CZ142" s="465">
        <f>IFERROR(VLOOKUP(CZ$1,'žádosti MPSV 2020'!$F$8:VP278,$A142,FALSE),0)</f>
        <v>0</v>
      </c>
      <c r="DA142" s="465">
        <f>IFERROR(VLOOKUP(DA$1,'žádosti MPSV 2020'!$F$8:VQ278,$A142,FALSE),0)</f>
        <v>0</v>
      </c>
      <c r="DB142" s="465">
        <f>IFERROR(VLOOKUP(DB$1,'žádosti MPSV 2020'!$F$8:VR278,$A142,FALSE),0)</f>
        <v>0</v>
      </c>
      <c r="DC142" s="465">
        <f>IFERROR(VLOOKUP(DC$1,'žádosti MPSV 2020'!$F$8:VS278,$A142,FALSE),0)</f>
        <v>0</v>
      </c>
      <c r="DD142" s="465">
        <f>IFERROR(VLOOKUP(DD$1,'žádosti MPSV 2020'!$F$8:VT278,$A142,FALSE),0)</f>
        <v>0</v>
      </c>
      <c r="DE142" s="465">
        <f>IFERROR(VLOOKUP(DE$1,'žádosti MPSV 2020'!$F$8:VU278,$A142,FALSE),0)</f>
        <v>0</v>
      </c>
      <c r="DF142" s="465">
        <f>IFERROR(VLOOKUP(DF$1,'žádosti MPSV 2020'!$F$8:VV278,$A142,FALSE),0)</f>
        <v>0</v>
      </c>
      <c r="DG142" s="465">
        <f>IFERROR(VLOOKUP(DG$1,'žádosti MPSV 2020'!$F$8:VW278,$A142,FALSE),0)</f>
        <v>0</v>
      </c>
      <c r="DH142" s="465">
        <f>IFERROR(VLOOKUP(DH$1,'žádosti MPSV 2020'!$F$8:WA278,$A142,FALSE),0)</f>
        <v>317574</v>
      </c>
      <c r="DI142" s="465">
        <f>IFERROR(VLOOKUP(DI$1,'žádosti MPSV 2020'!$F$8:WB278,$A142,FALSE),0)</f>
        <v>0</v>
      </c>
      <c r="DJ142" s="465">
        <f>IFERROR(VLOOKUP(DJ$1,'žádosti MPSV 2020'!$F$8:WC278,$A142,FALSE),0)</f>
        <v>0</v>
      </c>
      <c r="DK142" s="465">
        <f>IFERROR(VLOOKUP(DK$1,'žádosti MPSV 2020'!$F$8:WD278,$A142,FALSE),0)</f>
        <v>0</v>
      </c>
      <c r="DL142" s="465">
        <f>IFERROR(VLOOKUP(DL$1,'žádosti MPSV 2020'!$F$8:WE278,$A142,FALSE),0)</f>
        <v>0</v>
      </c>
      <c r="DM142" s="465">
        <f>IFERROR(VLOOKUP(DM$1,'žádosti MPSV 2020'!$F$8:WF278,$A142,FALSE),0)</f>
        <v>0</v>
      </c>
      <c r="DN142" s="465">
        <f>IFERROR(VLOOKUP(DN$1,'žádosti MPSV 2020'!$F$8:WG278,$A142,FALSE),0)</f>
        <v>0</v>
      </c>
      <c r="DO142" s="465">
        <f>IFERROR(VLOOKUP(DO$1,'žádosti MPSV 2020'!$F$8:WH278,$A142,FALSE),0)</f>
        <v>0</v>
      </c>
      <c r="DP142" s="465">
        <f>IFERROR(VLOOKUP(DP$1,'žádosti MPSV 2020'!$F$8:WI278,$A142,FALSE),0)</f>
        <v>0</v>
      </c>
      <c r="DQ142" s="465">
        <f>IFERROR(VLOOKUP(DQ$1,'žádosti MPSV 2020'!$F$8:WJ278,$A142,FALSE),0)</f>
        <v>0</v>
      </c>
      <c r="DR142" s="465">
        <f>IFERROR(VLOOKUP(DR$1,'žádosti MPSV 2020'!$F$8:WK278,$A142,FALSE),0)</f>
        <v>0</v>
      </c>
      <c r="DS142" s="465">
        <f>IFERROR(VLOOKUP(DS$1,'žádosti MPSV 2020'!$F$8:WL278,$A142,FALSE),0)</f>
        <v>0</v>
      </c>
      <c r="DT142" s="465">
        <f>IFERROR(VLOOKUP(DT$1,'žádosti MPSV 2020'!$F$8:WM278,$A142,FALSE),0)</f>
        <v>0</v>
      </c>
      <c r="DU142" s="465">
        <f>IFERROR(VLOOKUP(DU$1,'žádosti MPSV 2020'!$F$8:WN278,$A142,FALSE),0)</f>
        <v>0</v>
      </c>
      <c r="DV142" s="465">
        <f>IFERROR(VLOOKUP(DV$1,'žádosti MPSV 2020'!$F$8:WO278,$A142,FALSE),0)</f>
        <v>0</v>
      </c>
      <c r="DW142" s="465">
        <f>IFERROR(VLOOKUP(DW$1,'žádosti MPSV 2020'!$F$8:WP278,$A142,FALSE),0)</f>
        <v>0</v>
      </c>
      <c r="DX142" s="465">
        <f>IFERROR(VLOOKUP(DX$1,'žádosti MPSV 2020'!$F$8:WQ278,$A142,FALSE),0)</f>
        <v>0</v>
      </c>
      <c r="DY142" s="465">
        <f>IFERROR(VLOOKUP(DY$1,'žádosti MPSV 2020'!$F$8:WR278,$A142,FALSE),0)</f>
        <v>0</v>
      </c>
      <c r="DZ142" s="465">
        <f>IFERROR(VLOOKUP(DZ$1,'žádosti MPSV 2020'!$F$8:WS278,$A142,FALSE),0)</f>
        <v>0</v>
      </c>
      <c r="EA142" s="465">
        <f>IFERROR(VLOOKUP(EA$1,'žádosti MPSV 2020'!$F$8:WT278,$A142,FALSE),0)</f>
        <v>0</v>
      </c>
      <c r="EB142" s="465">
        <f>IFERROR(VLOOKUP(EB$1,'žádosti MPSV 2020'!$F$8:WU278,$A142,FALSE),0)</f>
        <v>0</v>
      </c>
      <c r="EC142" s="465">
        <f>IFERROR(VLOOKUP(EC$1,'žádosti MPSV 2020'!$F$8:WV278,$A142,FALSE),0)</f>
        <v>0</v>
      </c>
      <c r="ED142" s="465">
        <f>IFERROR(VLOOKUP(ED$1,'žádosti MPSV 2020'!$F$8:WW278,$A142,FALSE),0)</f>
        <v>0</v>
      </c>
      <c r="EE142" s="465">
        <f>IFERROR(VLOOKUP(EE$1,'žádosti MPSV 2020'!$F$8:WX278,$A142,FALSE),0)</f>
        <v>0</v>
      </c>
      <c r="EF142" s="465">
        <f>IFERROR(VLOOKUP(EF$1,'žádosti MPSV 2020'!$F$8:WY278,$A142,FALSE),0)</f>
        <v>0</v>
      </c>
      <c r="EG142" s="465">
        <f>IFERROR(VLOOKUP(EG$1,'žádosti MPSV 2020'!$F$8:WZ278,$A142,FALSE),0)</f>
        <v>0</v>
      </c>
      <c r="EH142" s="465">
        <f>IFERROR(VLOOKUP(EH$1,'žádosti MPSV 2020'!$F$8:XA278,$A142,FALSE),0)</f>
        <v>0</v>
      </c>
      <c r="EI142" s="465">
        <f>IFERROR(VLOOKUP(EI$1,'žádosti MPSV 2020'!$F$8:XB278,$A142,FALSE),0)</f>
        <v>0</v>
      </c>
      <c r="EJ142" s="465">
        <f>IFERROR(VLOOKUP(EJ$1,'žádosti MPSV 2020'!$F$8:XC278,$A142,FALSE),0)</f>
        <v>0</v>
      </c>
      <c r="EK142" s="465">
        <f>IFERROR(VLOOKUP(EK$1,'žádosti MPSV 2020'!$F$8:XD278,$A142,FALSE),0)</f>
        <v>0</v>
      </c>
      <c r="EL142" s="465">
        <f>IFERROR(VLOOKUP(EL$1,'žádosti MPSV 2020'!$F$8:XE278,$A142,FALSE),0)</f>
        <v>0</v>
      </c>
      <c r="EM142" s="465">
        <f>IFERROR(VLOOKUP(EM$1,'žádosti MPSV 2020'!$F$8:XF278,$A142,FALSE),0)</f>
        <v>0</v>
      </c>
      <c r="EN142" s="465">
        <f>IFERROR(VLOOKUP(EN$1,'žádosti MPSV 2020'!$F$8:XG278,$A142,FALSE),0)</f>
        <v>0</v>
      </c>
      <c r="EO142" s="465">
        <f>IFERROR(VLOOKUP(EO$1,'žádosti MPSV 2020'!$F$8:XH278,$A142,FALSE),0)</f>
        <v>0</v>
      </c>
      <c r="EP142" s="465">
        <f>IFERROR(VLOOKUP(EP$1,'žádosti MPSV 2020'!$F$8:XI278,$A142,FALSE),0)</f>
        <v>0</v>
      </c>
      <c r="EQ142" s="465">
        <f>IFERROR(VLOOKUP(EQ$1,'žádosti MPSV 2020'!$F$8:XJ278,$A142,FALSE),0)</f>
        <v>0</v>
      </c>
      <c r="ER142" s="465">
        <f>IFERROR(VLOOKUP(ER$1,'žádosti MPSV 2020'!$F$8:XK278,$A142,FALSE),0)</f>
        <v>0</v>
      </c>
      <c r="ES142" s="465">
        <f>IFERROR(VLOOKUP(ES$1,'žádosti MPSV 2020'!$F$8:XL278,$A142,FALSE),0)</f>
        <v>0</v>
      </c>
      <c r="ET142" s="465">
        <f>IFERROR(VLOOKUP(ET$1,'žádosti MPSV 2020'!$F$8:XM278,$A142,FALSE),0)</f>
        <v>0</v>
      </c>
      <c r="EU142" s="465">
        <f>IFERROR(VLOOKUP(EU$1,'žádosti MPSV 2020'!$F$8:XN278,$A142,FALSE),0)</f>
        <v>0</v>
      </c>
      <c r="EV142" s="465">
        <f>IFERROR(VLOOKUP(EV$1,'žádosti MPSV 2020'!$F$8:XO278,$A142,FALSE),0)</f>
        <v>0</v>
      </c>
      <c r="EW142" s="465">
        <f>IFERROR(VLOOKUP(EW$1,'žádosti MPSV 2020'!$F$8:XP278,$A142,FALSE),0)</f>
        <v>0</v>
      </c>
      <c r="EX142" s="465">
        <f>IFERROR(VLOOKUP(EX$1,'žádosti MPSV 2020'!$F$8:XQ278,$A142,FALSE),0)</f>
        <v>0</v>
      </c>
      <c r="EY142" s="465">
        <f>IFERROR(VLOOKUP(EY$1,'žádosti MPSV 2020'!$F$8:XR278,$A142,FALSE),0)</f>
        <v>0</v>
      </c>
      <c r="EZ142" s="465">
        <f>IFERROR(VLOOKUP(EZ$1,'žádosti MPSV 2020'!$F$8:XS278,$A142,FALSE),0)</f>
        <v>0</v>
      </c>
      <c r="FA142" s="465">
        <f>IFERROR(VLOOKUP(FA$1,'žádosti MPSV 2020'!$F$8:XT278,$A142,FALSE),0)</f>
        <v>0</v>
      </c>
      <c r="FB142" s="465">
        <f>IFERROR(VLOOKUP(FB$1,'žádosti MPSV 2020'!$F$8:XU278,$A142,FALSE),0)</f>
        <v>0</v>
      </c>
      <c r="FC142" s="465">
        <f>IFERROR(VLOOKUP(FC$1,'žádosti MPSV 2020'!$F$8:XV278,$A142,FALSE),0)</f>
        <v>0</v>
      </c>
      <c r="FD142" s="465">
        <f>IFERROR(VLOOKUP(FD$1,'žádosti MPSV 2020'!$F$8:XW278,$A142,FALSE),0)</f>
        <v>0</v>
      </c>
      <c r="FE142" s="465">
        <f>IFERROR(VLOOKUP(FE$1,'žádosti MPSV 2020'!$F$8:XX278,$A142,FALSE),0)</f>
        <v>0</v>
      </c>
      <c r="FF142" s="465">
        <f>IFERROR(VLOOKUP(FF$1,'žádosti MPSV 2020'!$F$8:XY278,$A142,FALSE),0)</f>
        <v>0</v>
      </c>
      <c r="FG142" s="465">
        <f>IFERROR(VLOOKUP(FG$1,'žádosti MPSV 2020'!$F$8:XZ278,$A142,FALSE),0)</f>
        <v>0</v>
      </c>
      <c r="FH142" s="465">
        <f>IFERROR(VLOOKUP(FH$1,'žádosti MPSV 2020'!$F$8:YA278,$A142,FALSE),0)</f>
        <v>0</v>
      </c>
      <c r="FI142" s="465">
        <f>IFERROR(VLOOKUP(FI$1,'žádosti MPSV 2020'!$F$8:YB278,$A142,FALSE),0)</f>
        <v>0</v>
      </c>
      <c r="FJ142" s="465">
        <f>IFERROR(VLOOKUP(FJ$1,'žádosti MPSV 2020'!$F$8:YC278,$A142,FALSE),0)</f>
        <v>0</v>
      </c>
      <c r="FK142" s="465">
        <f>IFERROR(VLOOKUP(FK$1,'žádosti MPSV 2020'!$F$8:YD278,$A142,FALSE),0)</f>
        <v>0</v>
      </c>
      <c r="FL142" s="465">
        <f>IFERROR(VLOOKUP(FL$1,'žádosti MPSV 2020'!$F$8:YE278,$A142,FALSE),0)</f>
        <v>0</v>
      </c>
      <c r="FM142" s="465">
        <f>IFERROR(VLOOKUP(FM$1,'žádosti MPSV 2020'!$F$8:YF278,$A142,FALSE),0)</f>
        <v>0</v>
      </c>
      <c r="FN142" s="465">
        <f>IFERROR(VLOOKUP(FN$1,'žádosti MPSV 2020'!$F$8:YG278,$A142,FALSE),0)</f>
        <v>0</v>
      </c>
      <c r="FO142" s="465">
        <f>IFERROR(VLOOKUP(FO$1,'žádosti MPSV 2020'!$F$8:YH278,$A142,FALSE),0)</f>
        <v>0</v>
      </c>
      <c r="FP142" s="465">
        <f>IFERROR(VLOOKUP(FP$1,'žádosti MPSV 2020'!$F$8:YI278,$A142,FALSE),0)</f>
        <v>0</v>
      </c>
      <c r="FQ142" s="465">
        <f>IFERROR(VLOOKUP(FQ$1,'žádosti MPSV 2020'!$F$8:YJ278,$A142,FALSE),0)</f>
        <v>0</v>
      </c>
      <c r="FR142" s="465">
        <f>IFERROR(VLOOKUP(FR$1,'žádosti MPSV 2020'!$F$8:YK278,$A142,FALSE),0)</f>
        <v>0</v>
      </c>
      <c r="FS142" s="465">
        <f>IFERROR(VLOOKUP(FS$1,'žádosti MPSV 2020'!$F$8:YL278,$A142,FALSE),0)</f>
        <v>0</v>
      </c>
      <c r="FT142" s="465">
        <f>IFERROR(VLOOKUP(FT$1,'žádosti MPSV 2020'!$F$8:YM278,$A142,FALSE),0)</f>
        <v>0</v>
      </c>
      <c r="FU142" s="465">
        <f>IFERROR(VLOOKUP(FU$1,'žádosti MPSV 2020'!$F$8:YN278,$A142,FALSE),0)</f>
        <v>0</v>
      </c>
      <c r="FV142" s="465">
        <f>IFERROR(VLOOKUP(FV$1,'žádosti MPSV 2020'!$F$8:YO278,$A142,FALSE),0)</f>
        <v>0</v>
      </c>
      <c r="FW142" s="465">
        <f>IFERROR(VLOOKUP(FW$1,'žádosti MPSV 2020'!$F$8:YP278,$A142,FALSE),0)</f>
        <v>0</v>
      </c>
      <c r="FX142" s="465">
        <f>IFERROR(VLOOKUP(FX$1,'žádosti MPSV 2020'!$F$8:YQ278,$A142,FALSE),0)</f>
        <v>0</v>
      </c>
      <c r="FY142" s="465">
        <f>IFERROR(VLOOKUP(FY$1,'žádosti MPSV 2020'!$F$8:YR278,$A142,FALSE),0)</f>
        <v>0</v>
      </c>
      <c r="FZ142" s="465">
        <f>IFERROR(VLOOKUP(FZ$1,'žádosti MPSV 2020'!$F$8:YS278,$A142,FALSE),0)</f>
        <v>0</v>
      </c>
      <c r="GA142" s="465">
        <f>IFERROR(VLOOKUP(GA$1,'žádosti MPSV 2020'!$F$8:YT278,$A142,FALSE),0)</f>
        <v>0</v>
      </c>
      <c r="GB142" s="465">
        <f>IFERROR(VLOOKUP(GB$1,'žádosti MPSV 2020'!$F$8:YU278,$A142,FALSE),0)</f>
        <v>0</v>
      </c>
      <c r="GC142" s="465">
        <f>IFERROR(VLOOKUP(GC$1,'žádosti MPSV 2020'!$F$8:YV278,$A142,FALSE),0)</f>
        <v>0</v>
      </c>
      <c r="GD142" s="465">
        <f>IFERROR(VLOOKUP(GD$1,'žádosti MPSV 2020'!$F$8:YW278,$A142,FALSE),0)</f>
        <v>0</v>
      </c>
      <c r="GE142" s="465">
        <f>IFERROR(VLOOKUP(GE$1,'žádosti MPSV 2020'!$F$8:YX278,$A142,FALSE),0)</f>
        <v>0</v>
      </c>
      <c r="GF142" s="465">
        <f>IFERROR(VLOOKUP(GF$1,'žádosti MPSV 2020'!$F$8:YY278,$A142,FALSE),0)</f>
        <v>0</v>
      </c>
      <c r="GG142" s="465">
        <f>IFERROR(VLOOKUP(GG$1,'žádosti MPSV 2020'!$F$8:YZ278,$A142,FALSE),0)</f>
        <v>0</v>
      </c>
      <c r="GH142" s="465">
        <f>IFERROR(VLOOKUP(GH$1,'žádosti MPSV 2020'!$F$8:ZA278,$A142,FALSE),0)</f>
        <v>0</v>
      </c>
      <c r="GI142" s="465">
        <f>IFERROR(VLOOKUP(GI$1,'žádosti MPSV 2020'!$F$8:ZB278,$A142,FALSE),0)</f>
        <v>0</v>
      </c>
      <c r="GJ142" s="465">
        <f>IFERROR(VLOOKUP(GJ$1,'žádosti MPSV 2020'!$F$8:ZC278,$A142,FALSE),0)</f>
        <v>0</v>
      </c>
      <c r="GK142" s="465">
        <f>IFERROR(VLOOKUP(GK$1,'žádosti MPSV 2020'!$F$8:ZD278,$A142,FALSE),0)</f>
        <v>500000</v>
      </c>
      <c r="GL142" s="465">
        <f>IFERROR(VLOOKUP(GL$1,'žádosti MPSV 2020'!$F$8:ZE278,$A142,FALSE),0)</f>
        <v>0</v>
      </c>
      <c r="GM142" s="465">
        <f>IFERROR(VLOOKUP(GM$1,'žádosti MPSV 2020'!$F$8:ZF278,$A142,FALSE),0)</f>
        <v>0</v>
      </c>
      <c r="GN142" s="465">
        <f>IFERROR(VLOOKUP(GN$1,'žádosti MPSV 2020'!$F$8:ZG278,$A142,FALSE),0)</f>
        <v>0</v>
      </c>
      <c r="GO142" s="465">
        <f>IFERROR(VLOOKUP(GO$1,'žádosti MPSV 2020'!$F$8:ZH278,$A142,FALSE),0)</f>
        <v>0</v>
      </c>
      <c r="GP142" s="465">
        <f>IFERROR(VLOOKUP(GP$1,'žádosti MPSV 2020'!$F$8:ZI278,$A142,FALSE),0)</f>
        <v>0</v>
      </c>
      <c r="GQ142" s="465">
        <f>IFERROR(VLOOKUP(GQ$1,'žádosti MPSV 2020'!$F$8:ZJ278,$A142,FALSE),0)</f>
        <v>0</v>
      </c>
      <c r="GR142" s="465">
        <f>IFERROR(VLOOKUP(GR$1,'žádosti MPSV 2020'!$F$8:ZK278,$A142,FALSE),0)</f>
        <v>0</v>
      </c>
      <c r="GS142" s="465">
        <f>IFERROR(VLOOKUP(GS$1,'žádosti MPSV 2020'!$F$8:ZL278,$A142,FALSE),0)</f>
        <v>0</v>
      </c>
      <c r="GT142" s="465">
        <f>IFERROR(VLOOKUP(GT$1,'žádosti MPSV 2020'!$F$8:ZM278,$A142,FALSE),0)</f>
        <v>0</v>
      </c>
      <c r="GU142" s="465">
        <f>IFERROR(VLOOKUP(GU$1,'žádosti MPSV 2020'!$F$8:ZN278,$A142,FALSE),0)</f>
        <v>0</v>
      </c>
      <c r="GV142" s="465">
        <f>IFERROR(VLOOKUP(GV$1,'žádosti MPSV 2020'!$F$8:ZO278,$A142,FALSE),0)</f>
        <v>0</v>
      </c>
      <c r="GW142" s="465">
        <f>IFERROR(VLOOKUP(GW$1,'žádosti MPSV 2020'!$F$8:ZP278,$A142,FALSE),0)</f>
        <v>0</v>
      </c>
      <c r="GX142" s="465">
        <f>IFERROR(VLOOKUP(GX$1,'žádosti MPSV 2020'!$F$8:ZQ278,$A142,FALSE),0)</f>
        <v>0</v>
      </c>
      <c r="GY142" s="465">
        <f>IFERROR(VLOOKUP(GY$1,'žádosti MPSV 2020'!$F$8:ZR278,$A142,FALSE),0)</f>
        <v>0</v>
      </c>
      <c r="GZ142" s="465">
        <f>IFERROR(VLOOKUP(GZ$1,'žádosti MPSV 2020'!$F$8:ZS278,$A142,FALSE),0)</f>
        <v>0</v>
      </c>
      <c r="HA142" s="465">
        <f>IFERROR(VLOOKUP(HA$1,'žádosti MPSV 2020'!$F$8:ZT278,$A142,FALSE),0)</f>
        <v>0</v>
      </c>
      <c r="HB142" s="465">
        <f>IFERROR(VLOOKUP(HB$1,'žádosti MPSV 2020'!$F$8:ZU278,$A142,FALSE),0)</f>
        <v>0</v>
      </c>
      <c r="HC142" s="465">
        <f>IFERROR(VLOOKUP(HC$1,'žádosti MPSV 2020'!$F$8:ZV278,$A142,FALSE),0)</f>
        <v>0</v>
      </c>
      <c r="HD142" s="465">
        <f>IFERROR(VLOOKUP(HD$1,'žádosti MPSV 2020'!$F$8:ZW278,$A142,FALSE),0)</f>
        <v>0</v>
      </c>
      <c r="HE142" s="465">
        <f>IFERROR(VLOOKUP(HE$1,'žádosti MPSV 2020'!$F$8:ZX278,$A142,FALSE),0)</f>
        <v>0</v>
      </c>
      <c r="HF142" s="465">
        <f>IFERROR(VLOOKUP(HF$1,'žádosti MPSV 2020'!$F$8:ZY278,$A142,FALSE),0)</f>
        <v>0</v>
      </c>
      <c r="HG142" s="465">
        <f>IFERROR(VLOOKUP(HG$1,'žádosti MPSV 2020'!$F$8:ZZ278,$A142,FALSE),0)</f>
        <v>0</v>
      </c>
      <c r="HH142" s="465">
        <f>IFERROR(VLOOKUP(HH$1,'žádosti MPSV 2020'!$F$8:AAA278,$A142,FALSE),0)</f>
        <v>0</v>
      </c>
      <c r="HI142" s="465">
        <f>IFERROR(VLOOKUP(HI$1,'žádosti MPSV 2020'!$F$8:AAB278,$A142,FALSE),0)</f>
        <v>0</v>
      </c>
      <c r="HJ142" s="465">
        <f>IFERROR(VLOOKUP(HJ$1,'žádosti MPSV 2020'!$F$8:AAC278,$A142,FALSE),0)</f>
        <v>0</v>
      </c>
      <c r="HK142" s="465">
        <f>IFERROR(VLOOKUP(HK$1,'žádosti MPSV 2020'!$F$8:AAD278,$A142,FALSE),0)</f>
        <v>0</v>
      </c>
      <c r="HL142" s="465">
        <f>IFERROR(VLOOKUP(HL$1,'žádosti MPSV 2020'!$F$8:AAE278,$A142,FALSE),0)</f>
        <v>0</v>
      </c>
      <c r="HM142" s="465">
        <f>IFERROR(VLOOKUP(HM$1,'žádosti MPSV 2020'!$F$8:AAF278,$A142,FALSE),0)</f>
        <v>0</v>
      </c>
      <c r="HN142" s="465">
        <f>IFERROR(VLOOKUP(HN$1,'žádosti MPSV 2020'!$F$8:AAG278,$A142,FALSE),0)</f>
        <v>0</v>
      </c>
      <c r="HO142" s="465">
        <f>IFERROR(VLOOKUP(HO$1,'žádosti MPSV 2020'!$F$8:AAH278,$A142,FALSE),0)</f>
        <v>0</v>
      </c>
      <c r="HP142" s="465">
        <f>IFERROR(VLOOKUP(HP$1,'žádosti MPSV 2020'!$F$8:AAI278,$A142,FALSE),0)</f>
        <v>0</v>
      </c>
      <c r="HQ142" s="465">
        <f>IFERROR(VLOOKUP(HQ$1,'žádosti MPSV 2020'!$F$8:AAJ278,$A142,FALSE),0)</f>
        <v>0</v>
      </c>
      <c r="HR142" s="465">
        <f>IFERROR(VLOOKUP(HR$1,'žádosti MPSV 2020'!$F$8:AAK278,$A142,FALSE),0)</f>
        <v>0</v>
      </c>
      <c r="HS142" s="465">
        <f>IFERROR(VLOOKUP(HS$1,'žádosti MPSV 2020'!$F$8:AAL278,$A142,FALSE),0)</f>
        <v>0</v>
      </c>
      <c r="HT142" s="465">
        <f>IFERROR(VLOOKUP(HT$1,'žádosti MPSV 2020'!$F$8:AAM278,$A142,FALSE),0)</f>
        <v>0</v>
      </c>
      <c r="HU142" s="465">
        <f>IFERROR(VLOOKUP(HU$1,'žádosti MPSV 2020'!$F$8:AAN278,$A142,FALSE),0)</f>
        <v>0</v>
      </c>
      <c r="HV142" s="465">
        <f>IFERROR(VLOOKUP(HV$1,'žádosti MPSV 2020'!$F$8:AAO278,$A142,FALSE),0)</f>
        <v>0</v>
      </c>
      <c r="HW142" s="465">
        <f>IFERROR(VLOOKUP(HW$1,'žádosti MPSV 2020'!$F$8:AAP278,$A142,FALSE),0)</f>
        <v>0</v>
      </c>
      <c r="HX142" s="465">
        <f>IFERROR(VLOOKUP(HX$1,'žádosti MPSV 2020'!$F$8:AAQ278,$A142,FALSE),0)</f>
        <v>0</v>
      </c>
      <c r="HY142" s="465">
        <f>IFERROR(VLOOKUP(HY$1,'žádosti MPSV 2020'!$F$8:AAR278,$A142,FALSE),0)</f>
        <v>0</v>
      </c>
      <c r="HZ142" s="465">
        <f>IFERROR(VLOOKUP(HZ$1,'žádosti MPSV 2020'!$F$8:AAS278,$A142,FALSE),0)</f>
        <v>0</v>
      </c>
      <c r="IA142" s="465">
        <f>IFERROR(VLOOKUP(IA$1,'žádosti MPSV 2020'!$F$8:AAT278,$A142,FALSE),0)</f>
        <v>0</v>
      </c>
      <c r="IB142" s="465">
        <f>IFERROR(VLOOKUP(IB$1,'žádosti MPSV 2020'!$F$8:AAU278,$A142,FALSE),0)</f>
        <v>0</v>
      </c>
      <c r="IC142" s="465">
        <f>IFERROR(VLOOKUP(IC$1,'žádosti MPSV 2020'!$F$8:AAV278,$A142,FALSE),0)</f>
        <v>0</v>
      </c>
      <c r="ID142" s="465">
        <f>IFERROR(VLOOKUP(ID$1,'žádosti MPSV 2020'!$F$8:AAW278,$A142,FALSE),0)</f>
        <v>0</v>
      </c>
      <c r="IE142" s="465">
        <f>IFERROR(VLOOKUP(IE$1,'žádosti MPSV 2020'!$F$8:AAX278,$A142,FALSE),0)</f>
        <v>0</v>
      </c>
      <c r="IF142" s="465">
        <f>IFERROR(VLOOKUP(IF$1,'žádosti MPSV 2020'!$F$8:AAY278,$A142,FALSE),0)</f>
        <v>0</v>
      </c>
      <c r="IG142" s="465">
        <f>IFERROR(VLOOKUP(IG$1,'žádosti MPSV 2020'!$F$8:AAZ278,$A142,FALSE),0)</f>
        <v>0</v>
      </c>
      <c r="IH142" s="465">
        <f>IFERROR(VLOOKUP(IH$1,'žádosti MPSV 2020'!$F$8:ABA278,$A142,FALSE),0)</f>
        <v>0</v>
      </c>
      <c r="II142" s="465">
        <f>IFERROR(VLOOKUP(II$1,'žádosti MPSV 2020'!$F$8:ABB278,$A142,FALSE),0)</f>
        <v>0</v>
      </c>
      <c r="IJ142" s="465">
        <f>IFERROR(VLOOKUP(IJ$1,'žádosti MPSV 2020'!$F$8:ABC278,$A142,FALSE),0)</f>
        <v>0</v>
      </c>
      <c r="IK142" s="465">
        <f>IFERROR(VLOOKUP(IK$1,'žádosti MPSV 2020'!$F$8:ABD278,$A142,FALSE),0)</f>
        <v>0</v>
      </c>
      <c r="IL142" s="465">
        <f>IFERROR(VLOOKUP(IL$1,'žádosti MPSV 2020'!$F$8:ABE278,$A142,FALSE),0)</f>
        <v>0</v>
      </c>
      <c r="IM142" s="465">
        <f>IFERROR(VLOOKUP(IM$1,'žádosti MPSV 2020'!$F$8:ABF278,$A142,FALSE),0)</f>
        <v>0</v>
      </c>
      <c r="IN142" s="465">
        <f>IFERROR(VLOOKUP(IN$1,'žádosti MPSV 2020'!$F$8:ABG278,$A142,FALSE),0)</f>
        <v>0</v>
      </c>
      <c r="IO142" s="465">
        <f>IFERROR(VLOOKUP(IO$1,'žádosti MPSV 2020'!$F$8:ABH278,$A142,FALSE),0)</f>
        <v>0</v>
      </c>
      <c r="IP142" s="465">
        <f>IFERROR(VLOOKUP(IP$1,'žádosti MPSV 2020'!$F$8:ABI278,$A142,FALSE),0)</f>
        <v>0</v>
      </c>
      <c r="IQ142" s="465">
        <f>IFERROR(VLOOKUP(IQ$1,'žádosti MPSV 2020'!$F$8:ABJ278,$A142,FALSE),0)</f>
        <v>0</v>
      </c>
      <c r="IR142" s="465">
        <f>IFERROR(VLOOKUP(IR$1,'žádosti MPSV 2020'!$F$8:ABK278,$A142,FALSE),0)</f>
        <v>0</v>
      </c>
      <c r="IS142" s="465">
        <f>IFERROR(VLOOKUP(IS$1,'žádosti MPSV 2020'!$F$8:ABL278,$A142,FALSE),0)</f>
        <v>0</v>
      </c>
      <c r="IT142" s="465">
        <f>IFERROR(VLOOKUP(IT$1,'žádosti MPSV 2020'!$F$8:ABM278,$A142,FALSE),0)</f>
        <v>0</v>
      </c>
      <c r="IU142" s="465">
        <f>IFERROR(VLOOKUP(IU$1,'žádosti MPSV 2020'!$F$8:ABN278,$A142,FALSE),0)</f>
        <v>0</v>
      </c>
      <c r="IV142" s="465">
        <f>IFERROR(VLOOKUP(IV$1,'žádosti MPSV 2020'!$F$8:ABO278,$A142,FALSE),0)</f>
        <v>0</v>
      </c>
      <c r="IW142" s="465">
        <f>IFERROR(VLOOKUP(IW$1,'žádosti MPSV 2020'!$F$8:ABP278,$A142,FALSE),0)</f>
        <v>0</v>
      </c>
      <c r="IX142" s="465">
        <f>IFERROR(VLOOKUP(IX$1,'žádosti MPSV 2020'!$F$8:ABQ278,$A142,FALSE),0)</f>
        <v>0</v>
      </c>
      <c r="IY142" s="465">
        <f>IFERROR(VLOOKUP(IY$1,'žádosti MPSV 2020'!$F$8:ABR278,$A142,FALSE),0)</f>
        <v>0</v>
      </c>
      <c r="IZ142" s="465">
        <f>IFERROR(VLOOKUP(IZ$1,'žádosti MPSV 2020'!$F$8:ABS278,$A142,FALSE),0)</f>
        <v>0</v>
      </c>
      <c r="JA142" s="465">
        <f>IFERROR(VLOOKUP(JA$1,'žádosti MPSV 2020'!$F$8:ABT278,$A142,FALSE),0)</f>
        <v>0</v>
      </c>
      <c r="JB142" s="465">
        <f>IFERROR(VLOOKUP(JB$1,'žádosti MPSV 2020'!$F$8:ABU278,$A142,FALSE),0)</f>
        <v>0</v>
      </c>
      <c r="JC142" s="465">
        <f>IFERROR(VLOOKUP(JC$1,'žádosti MPSV 2020'!$F$8:ABV278,$A142,FALSE),0)</f>
        <v>0</v>
      </c>
      <c r="JD142" s="465">
        <f>IFERROR(VLOOKUP(JD$1,'žádosti MPSV 2020'!$F$8:ABW278,$A142,FALSE),0)</f>
        <v>0</v>
      </c>
      <c r="JE142" s="465">
        <f>IFERROR(VLOOKUP(JE$1,'žádosti MPSV 2020'!$F$8:ABX278,$A142,FALSE),0)</f>
        <v>0</v>
      </c>
      <c r="JF142" s="465">
        <f>IFERROR(VLOOKUP(JF$1,'žádosti MPSV 2020'!$F$8:ABY278,$A142,FALSE),0)</f>
        <v>0</v>
      </c>
      <c r="JG142" s="465">
        <f>IFERROR(VLOOKUP(JG$1,'žádosti MPSV 2020'!$F$8:ABZ278,$A142,FALSE),0)</f>
        <v>0</v>
      </c>
      <c r="JH142" s="459">
        <f>IFERROR(VLOOKUP(JH$1,'žádosti MPSV 2020'!$F$8:ACA278,$A142,FALSE),0)</f>
        <v>0</v>
      </c>
      <c r="JI142" s="314">
        <f t="shared" si="635"/>
        <v>2624945</v>
      </c>
    </row>
    <row r="143" spans="1:276" x14ac:dyDescent="0.25">
      <c r="A143" s="618"/>
      <c r="B143" s="465"/>
      <c r="C143" s="465">
        <f>SUM(C140:C142)</f>
        <v>0</v>
      </c>
      <c r="D143" s="465">
        <f t="shared" ref="D143:BP143" si="636">SUM(D140:D142)</f>
        <v>0</v>
      </c>
      <c r="E143" s="465">
        <f t="shared" si="636"/>
        <v>0</v>
      </c>
      <c r="F143" s="465">
        <f t="shared" si="636"/>
        <v>0</v>
      </c>
      <c r="G143" s="465">
        <f t="shared" si="636"/>
        <v>0</v>
      </c>
      <c r="H143" s="465">
        <f t="shared" si="636"/>
        <v>0</v>
      </c>
      <c r="I143" s="465">
        <f t="shared" si="636"/>
        <v>0</v>
      </c>
      <c r="J143" s="465">
        <f t="shared" si="636"/>
        <v>0</v>
      </c>
      <c r="K143" s="465">
        <f t="shared" si="636"/>
        <v>0</v>
      </c>
      <c r="L143" s="465">
        <f t="shared" si="636"/>
        <v>0</v>
      </c>
      <c r="M143" s="465">
        <f t="shared" si="636"/>
        <v>0</v>
      </c>
      <c r="N143" s="465">
        <f t="shared" si="636"/>
        <v>0</v>
      </c>
      <c r="O143" s="465">
        <f t="shared" si="636"/>
        <v>0</v>
      </c>
      <c r="P143" s="465">
        <f t="shared" si="636"/>
        <v>0</v>
      </c>
      <c r="Q143" s="465">
        <f t="shared" si="636"/>
        <v>0</v>
      </c>
      <c r="R143" s="465">
        <f t="shared" si="636"/>
        <v>0</v>
      </c>
      <c r="S143" s="465">
        <f t="shared" si="636"/>
        <v>0</v>
      </c>
      <c r="T143" s="465">
        <f t="shared" si="636"/>
        <v>0</v>
      </c>
      <c r="U143" s="465">
        <f t="shared" si="636"/>
        <v>0</v>
      </c>
      <c r="V143" s="465">
        <f t="shared" si="636"/>
        <v>0</v>
      </c>
      <c r="W143" s="465">
        <f t="shared" si="636"/>
        <v>0</v>
      </c>
      <c r="X143" s="465">
        <f t="shared" si="636"/>
        <v>0</v>
      </c>
      <c r="Y143" s="465">
        <f t="shared" si="636"/>
        <v>0</v>
      </c>
      <c r="Z143" s="465">
        <f t="shared" si="636"/>
        <v>0</v>
      </c>
      <c r="AA143" s="465">
        <f t="shared" si="636"/>
        <v>0</v>
      </c>
      <c r="AB143" s="465">
        <f t="shared" si="636"/>
        <v>0</v>
      </c>
      <c r="AC143" s="465">
        <f t="shared" ref="AC143" si="637">SUM(AC140:AC142)</f>
        <v>0</v>
      </c>
      <c r="AD143" s="465">
        <f t="shared" si="636"/>
        <v>0</v>
      </c>
      <c r="AE143" s="465">
        <f t="shared" si="636"/>
        <v>0</v>
      </c>
      <c r="AF143" s="465">
        <f t="shared" si="636"/>
        <v>0</v>
      </c>
      <c r="AG143" s="465">
        <f t="shared" si="636"/>
        <v>0</v>
      </c>
      <c r="AH143" s="465">
        <f t="shared" si="636"/>
        <v>0</v>
      </c>
      <c r="AI143" s="465">
        <f t="shared" si="636"/>
        <v>0</v>
      </c>
      <c r="AJ143" s="465">
        <f t="shared" si="636"/>
        <v>0</v>
      </c>
      <c r="AK143" s="465">
        <f t="shared" si="636"/>
        <v>40000</v>
      </c>
      <c r="AL143" s="465">
        <f t="shared" si="636"/>
        <v>0</v>
      </c>
      <c r="AM143" s="465">
        <f t="shared" si="636"/>
        <v>0</v>
      </c>
      <c r="AN143" s="465">
        <f t="shared" si="636"/>
        <v>0</v>
      </c>
      <c r="AO143" s="465">
        <f t="shared" si="636"/>
        <v>0</v>
      </c>
      <c r="AP143" s="465">
        <f t="shared" si="636"/>
        <v>42000</v>
      </c>
      <c r="AQ143" s="465">
        <f t="shared" si="636"/>
        <v>0</v>
      </c>
      <c r="AR143" s="465">
        <f t="shared" si="636"/>
        <v>0</v>
      </c>
      <c r="AS143" s="465">
        <f t="shared" si="636"/>
        <v>0</v>
      </c>
      <c r="AT143" s="465">
        <f t="shared" si="636"/>
        <v>0</v>
      </c>
      <c r="AU143" s="465">
        <f t="shared" si="636"/>
        <v>0</v>
      </c>
      <c r="AV143" s="465">
        <f t="shared" si="636"/>
        <v>0</v>
      </c>
      <c r="AW143" s="465">
        <f t="shared" si="636"/>
        <v>0</v>
      </c>
      <c r="AX143" s="465">
        <f t="shared" si="636"/>
        <v>4875</v>
      </c>
      <c r="AY143" s="465">
        <f t="shared" si="636"/>
        <v>3700</v>
      </c>
      <c r="AZ143" s="465">
        <f t="shared" si="636"/>
        <v>3656</v>
      </c>
      <c r="BA143" s="465">
        <f t="shared" si="636"/>
        <v>0</v>
      </c>
      <c r="BB143" s="465">
        <f t="shared" si="636"/>
        <v>0</v>
      </c>
      <c r="BC143" s="465">
        <f t="shared" si="636"/>
        <v>0</v>
      </c>
      <c r="BD143" s="465">
        <f t="shared" si="636"/>
        <v>0</v>
      </c>
      <c r="BE143" s="465">
        <f t="shared" si="636"/>
        <v>0</v>
      </c>
      <c r="BF143" s="465">
        <f t="shared" si="636"/>
        <v>847190</v>
      </c>
      <c r="BG143" s="465">
        <f t="shared" si="636"/>
        <v>645000</v>
      </c>
      <c r="BH143" s="465">
        <f t="shared" si="636"/>
        <v>667000</v>
      </c>
      <c r="BI143" s="465">
        <f t="shared" si="636"/>
        <v>1100000</v>
      </c>
      <c r="BJ143" s="465">
        <f t="shared" si="636"/>
        <v>0</v>
      </c>
      <c r="BK143" s="465">
        <f t="shared" si="636"/>
        <v>0</v>
      </c>
      <c r="BL143" s="465">
        <f t="shared" si="636"/>
        <v>0</v>
      </c>
      <c r="BM143" s="465">
        <f t="shared" si="636"/>
        <v>623790</v>
      </c>
      <c r="BN143" s="465">
        <f t="shared" si="636"/>
        <v>0</v>
      </c>
      <c r="BO143" s="465">
        <f t="shared" si="636"/>
        <v>0</v>
      </c>
      <c r="BP143" s="465">
        <f t="shared" si="636"/>
        <v>0</v>
      </c>
      <c r="BQ143" s="465">
        <f t="shared" ref="BQ143:EB143" si="638">SUM(BQ140:BQ142)</f>
        <v>805234</v>
      </c>
      <c r="BR143" s="465">
        <f t="shared" si="638"/>
        <v>0</v>
      </c>
      <c r="BS143" s="465">
        <f t="shared" si="638"/>
        <v>0</v>
      </c>
      <c r="BT143" s="465">
        <f t="shared" si="638"/>
        <v>0</v>
      </c>
      <c r="BU143" s="465">
        <f t="shared" si="638"/>
        <v>0</v>
      </c>
      <c r="BV143" s="465">
        <f t="shared" si="638"/>
        <v>0</v>
      </c>
      <c r="BW143" s="465">
        <f t="shared" si="638"/>
        <v>0</v>
      </c>
      <c r="BX143" s="465">
        <f t="shared" si="638"/>
        <v>0</v>
      </c>
      <c r="BY143" s="465">
        <f t="shared" si="638"/>
        <v>0</v>
      </c>
      <c r="BZ143" s="465">
        <f t="shared" si="638"/>
        <v>0</v>
      </c>
      <c r="CA143" s="465">
        <f t="shared" si="638"/>
        <v>0</v>
      </c>
      <c r="CB143" s="465">
        <f t="shared" si="638"/>
        <v>0</v>
      </c>
      <c r="CC143" s="465">
        <f t="shared" si="638"/>
        <v>16324</v>
      </c>
      <c r="CD143" s="465">
        <f t="shared" si="638"/>
        <v>14000</v>
      </c>
      <c r="CE143" s="465">
        <f t="shared" si="638"/>
        <v>0</v>
      </c>
      <c r="CF143" s="465">
        <f t="shared" si="638"/>
        <v>0</v>
      </c>
      <c r="CG143" s="465">
        <f t="shared" si="638"/>
        <v>282324</v>
      </c>
      <c r="CH143" s="465">
        <f t="shared" si="638"/>
        <v>30330</v>
      </c>
      <c r="CI143" s="465">
        <f t="shared" si="638"/>
        <v>16324</v>
      </c>
      <c r="CJ143" s="465">
        <f t="shared" si="638"/>
        <v>59775</v>
      </c>
      <c r="CK143" s="465">
        <f t="shared" si="638"/>
        <v>32000</v>
      </c>
      <c r="CL143" s="465">
        <f t="shared" si="638"/>
        <v>53270</v>
      </c>
      <c r="CM143" s="465">
        <f t="shared" si="638"/>
        <v>0</v>
      </c>
      <c r="CN143" s="465">
        <f t="shared" si="638"/>
        <v>0</v>
      </c>
      <c r="CO143" s="465">
        <f t="shared" si="638"/>
        <v>0</v>
      </c>
      <c r="CP143" s="465">
        <f t="shared" si="638"/>
        <v>0</v>
      </c>
      <c r="CQ143" s="465">
        <f t="shared" si="638"/>
        <v>0</v>
      </c>
      <c r="CR143" s="465">
        <f t="shared" si="638"/>
        <v>0</v>
      </c>
      <c r="CS143" s="465">
        <f t="shared" si="638"/>
        <v>0</v>
      </c>
      <c r="CT143" s="465">
        <f t="shared" si="638"/>
        <v>0</v>
      </c>
      <c r="CU143" s="465">
        <f t="shared" si="638"/>
        <v>0</v>
      </c>
      <c r="CV143" s="465">
        <f t="shared" si="638"/>
        <v>0</v>
      </c>
      <c r="CW143" s="465">
        <f t="shared" si="638"/>
        <v>0</v>
      </c>
      <c r="CX143" s="465">
        <f t="shared" si="638"/>
        <v>0</v>
      </c>
      <c r="CY143" s="465">
        <f t="shared" si="638"/>
        <v>0</v>
      </c>
      <c r="CZ143" s="465">
        <f t="shared" si="638"/>
        <v>0</v>
      </c>
      <c r="DA143" s="465">
        <f t="shared" si="638"/>
        <v>2100000</v>
      </c>
      <c r="DB143" s="465">
        <f t="shared" si="638"/>
        <v>0</v>
      </c>
      <c r="DC143" s="465">
        <f t="shared" si="638"/>
        <v>120000</v>
      </c>
      <c r="DD143" s="465">
        <f t="shared" si="638"/>
        <v>0</v>
      </c>
      <c r="DE143" s="465">
        <f t="shared" si="638"/>
        <v>0</v>
      </c>
      <c r="DF143" s="465">
        <f t="shared" si="638"/>
        <v>1789112</v>
      </c>
      <c r="DG143" s="465">
        <f t="shared" si="638"/>
        <v>0</v>
      </c>
      <c r="DH143" s="465">
        <f t="shared" si="638"/>
        <v>317574</v>
      </c>
      <c r="DI143" s="465">
        <f t="shared" si="638"/>
        <v>0</v>
      </c>
      <c r="DJ143" s="465">
        <f t="shared" si="638"/>
        <v>0</v>
      </c>
      <c r="DK143" s="465">
        <f t="shared" si="638"/>
        <v>0</v>
      </c>
      <c r="DL143" s="465">
        <f t="shared" si="638"/>
        <v>0</v>
      </c>
      <c r="DM143" s="465">
        <f t="shared" si="638"/>
        <v>0</v>
      </c>
      <c r="DN143" s="465">
        <f t="shared" si="638"/>
        <v>0</v>
      </c>
      <c r="DO143" s="465">
        <f t="shared" si="638"/>
        <v>0</v>
      </c>
      <c r="DP143" s="465">
        <f t="shared" si="638"/>
        <v>0</v>
      </c>
      <c r="DQ143" s="465">
        <f t="shared" si="638"/>
        <v>0</v>
      </c>
      <c r="DR143" s="465">
        <f t="shared" si="638"/>
        <v>0</v>
      </c>
      <c r="DS143" s="465">
        <f t="shared" si="638"/>
        <v>0</v>
      </c>
      <c r="DT143" s="465">
        <f t="shared" si="638"/>
        <v>0</v>
      </c>
      <c r="DU143" s="465">
        <f t="shared" si="638"/>
        <v>0</v>
      </c>
      <c r="DV143" s="465">
        <f t="shared" si="638"/>
        <v>1000000</v>
      </c>
      <c r="DW143" s="465">
        <f t="shared" si="638"/>
        <v>0</v>
      </c>
      <c r="DX143" s="465">
        <f t="shared" si="638"/>
        <v>0</v>
      </c>
      <c r="DY143" s="465">
        <f t="shared" si="638"/>
        <v>0</v>
      </c>
      <c r="DZ143" s="465">
        <f t="shared" si="638"/>
        <v>0</v>
      </c>
      <c r="EA143" s="465">
        <f t="shared" si="638"/>
        <v>0</v>
      </c>
      <c r="EB143" s="465">
        <f t="shared" si="638"/>
        <v>0</v>
      </c>
      <c r="EC143" s="465">
        <f t="shared" ref="EC143:GN143" si="639">SUM(EC140:EC142)</f>
        <v>108000</v>
      </c>
      <c r="ED143" s="465">
        <f t="shared" si="639"/>
        <v>0</v>
      </c>
      <c r="EE143" s="465">
        <f t="shared" si="639"/>
        <v>157376</v>
      </c>
      <c r="EF143" s="465">
        <f t="shared" si="639"/>
        <v>145000</v>
      </c>
      <c r="EG143" s="465">
        <f t="shared" si="639"/>
        <v>0</v>
      </c>
      <c r="EH143" s="465">
        <f t="shared" si="639"/>
        <v>165000</v>
      </c>
      <c r="EI143" s="465">
        <f t="shared" si="639"/>
        <v>116247</v>
      </c>
      <c r="EJ143" s="465">
        <f t="shared" si="639"/>
        <v>174460</v>
      </c>
      <c r="EK143" s="465">
        <f t="shared" si="639"/>
        <v>0</v>
      </c>
      <c r="EL143" s="465">
        <f t="shared" si="639"/>
        <v>0</v>
      </c>
      <c r="EM143" s="465">
        <f t="shared" si="639"/>
        <v>0</v>
      </c>
      <c r="EN143" s="465">
        <f t="shared" si="639"/>
        <v>0</v>
      </c>
      <c r="EO143" s="465">
        <f t="shared" si="639"/>
        <v>0</v>
      </c>
      <c r="EP143" s="465">
        <f t="shared" si="639"/>
        <v>320000</v>
      </c>
      <c r="EQ143" s="465">
        <f t="shared" si="639"/>
        <v>200000</v>
      </c>
      <c r="ER143" s="465">
        <f t="shared" si="639"/>
        <v>0</v>
      </c>
      <c r="ES143" s="465">
        <f t="shared" si="639"/>
        <v>0</v>
      </c>
      <c r="ET143" s="465">
        <f t="shared" si="639"/>
        <v>0</v>
      </c>
      <c r="EU143" s="465">
        <f t="shared" si="639"/>
        <v>0</v>
      </c>
      <c r="EV143" s="465">
        <f t="shared" si="639"/>
        <v>0</v>
      </c>
      <c r="EW143" s="465">
        <f t="shared" si="639"/>
        <v>0</v>
      </c>
      <c r="EX143" s="465">
        <f t="shared" si="639"/>
        <v>0</v>
      </c>
      <c r="EY143" s="465">
        <f t="shared" si="639"/>
        <v>0</v>
      </c>
      <c r="EZ143" s="465">
        <f t="shared" si="639"/>
        <v>0</v>
      </c>
      <c r="FA143" s="465">
        <f t="shared" si="639"/>
        <v>0</v>
      </c>
      <c r="FB143" s="465">
        <f t="shared" si="639"/>
        <v>0</v>
      </c>
      <c r="FC143" s="465">
        <f t="shared" si="639"/>
        <v>0</v>
      </c>
      <c r="FD143" s="465">
        <f t="shared" si="639"/>
        <v>0</v>
      </c>
      <c r="FE143" s="465">
        <f t="shared" si="639"/>
        <v>0</v>
      </c>
      <c r="FF143" s="465">
        <f t="shared" si="639"/>
        <v>0</v>
      </c>
      <c r="FG143" s="465">
        <f t="shared" si="639"/>
        <v>0</v>
      </c>
      <c r="FH143" s="465">
        <f t="shared" si="639"/>
        <v>0</v>
      </c>
      <c r="FI143" s="465">
        <f t="shared" si="639"/>
        <v>0</v>
      </c>
      <c r="FJ143" s="465">
        <f t="shared" si="639"/>
        <v>0</v>
      </c>
      <c r="FK143" s="465">
        <f t="shared" si="639"/>
        <v>0</v>
      </c>
      <c r="FL143" s="465">
        <f t="shared" si="639"/>
        <v>0</v>
      </c>
      <c r="FM143" s="465">
        <f t="shared" si="639"/>
        <v>0</v>
      </c>
      <c r="FN143" s="465">
        <f t="shared" si="639"/>
        <v>0</v>
      </c>
      <c r="FO143" s="465">
        <f t="shared" si="639"/>
        <v>0</v>
      </c>
      <c r="FP143" s="465">
        <f t="shared" si="639"/>
        <v>0</v>
      </c>
      <c r="FQ143" s="465">
        <f t="shared" si="639"/>
        <v>0</v>
      </c>
      <c r="FR143" s="465">
        <f t="shared" si="639"/>
        <v>0</v>
      </c>
      <c r="FS143" s="465">
        <f t="shared" si="639"/>
        <v>0</v>
      </c>
      <c r="FT143" s="465">
        <f t="shared" si="639"/>
        <v>0</v>
      </c>
      <c r="FU143" s="465">
        <f t="shared" si="639"/>
        <v>0</v>
      </c>
      <c r="FV143" s="465">
        <f t="shared" si="639"/>
        <v>0</v>
      </c>
      <c r="FW143" s="465">
        <f t="shared" si="639"/>
        <v>0</v>
      </c>
      <c r="FX143" s="465">
        <f t="shared" si="639"/>
        <v>0</v>
      </c>
      <c r="FY143" s="465">
        <f t="shared" si="639"/>
        <v>0</v>
      </c>
      <c r="FZ143" s="465">
        <f t="shared" si="639"/>
        <v>0</v>
      </c>
      <c r="GA143" s="465">
        <f t="shared" si="639"/>
        <v>0</v>
      </c>
      <c r="GB143" s="465">
        <f t="shared" si="639"/>
        <v>3520000</v>
      </c>
      <c r="GC143" s="465">
        <f t="shared" si="639"/>
        <v>0</v>
      </c>
      <c r="GD143" s="465">
        <f t="shared" si="639"/>
        <v>0</v>
      </c>
      <c r="GE143" s="465">
        <f t="shared" si="639"/>
        <v>0</v>
      </c>
      <c r="GF143" s="465">
        <f t="shared" si="639"/>
        <v>0</v>
      </c>
      <c r="GG143" s="465">
        <f t="shared" si="639"/>
        <v>0</v>
      </c>
      <c r="GH143" s="465">
        <f t="shared" si="639"/>
        <v>0</v>
      </c>
      <c r="GI143" s="465">
        <f t="shared" si="639"/>
        <v>0</v>
      </c>
      <c r="GJ143" s="465">
        <f t="shared" si="639"/>
        <v>0</v>
      </c>
      <c r="GK143" s="465">
        <f t="shared" si="639"/>
        <v>500000</v>
      </c>
      <c r="GL143" s="465">
        <f t="shared" si="639"/>
        <v>0</v>
      </c>
      <c r="GM143" s="465">
        <f t="shared" si="639"/>
        <v>0</v>
      </c>
      <c r="GN143" s="465">
        <f t="shared" si="639"/>
        <v>0</v>
      </c>
      <c r="GO143" s="465">
        <f t="shared" ref="GO143:IZ143" si="640">SUM(GO140:GO142)</f>
        <v>0</v>
      </c>
      <c r="GP143" s="465">
        <f t="shared" si="640"/>
        <v>0</v>
      </c>
      <c r="GQ143" s="465">
        <f t="shared" si="640"/>
        <v>0</v>
      </c>
      <c r="GR143" s="465">
        <f t="shared" si="640"/>
        <v>0</v>
      </c>
      <c r="GS143" s="465">
        <f t="shared" si="640"/>
        <v>0</v>
      </c>
      <c r="GT143" s="465">
        <f t="shared" si="640"/>
        <v>0</v>
      </c>
      <c r="GU143" s="465">
        <f t="shared" si="640"/>
        <v>0</v>
      </c>
      <c r="GV143" s="465">
        <f t="shared" si="640"/>
        <v>0</v>
      </c>
      <c r="GW143" s="465">
        <f t="shared" si="640"/>
        <v>0</v>
      </c>
      <c r="GX143" s="465">
        <f t="shared" si="640"/>
        <v>0</v>
      </c>
      <c r="GY143" s="465">
        <f t="shared" si="640"/>
        <v>0</v>
      </c>
      <c r="GZ143" s="465">
        <f t="shared" si="640"/>
        <v>0</v>
      </c>
      <c r="HA143" s="465">
        <f t="shared" si="640"/>
        <v>0</v>
      </c>
      <c r="HB143" s="465">
        <f t="shared" si="640"/>
        <v>0</v>
      </c>
      <c r="HC143" s="465">
        <f t="shared" si="640"/>
        <v>0</v>
      </c>
      <c r="HD143" s="465">
        <f t="shared" si="640"/>
        <v>0</v>
      </c>
      <c r="HE143" s="465">
        <f t="shared" si="640"/>
        <v>0</v>
      </c>
      <c r="HF143" s="465">
        <f t="shared" si="640"/>
        <v>0</v>
      </c>
      <c r="HG143" s="465">
        <f t="shared" si="640"/>
        <v>0</v>
      </c>
      <c r="HH143" s="465">
        <f t="shared" si="640"/>
        <v>0</v>
      </c>
      <c r="HI143" s="465">
        <f t="shared" si="640"/>
        <v>0</v>
      </c>
      <c r="HJ143" s="465">
        <f t="shared" si="640"/>
        <v>0</v>
      </c>
      <c r="HK143" s="465">
        <f t="shared" si="640"/>
        <v>0</v>
      </c>
      <c r="HL143" s="465">
        <f t="shared" si="640"/>
        <v>0</v>
      </c>
      <c r="HM143" s="465">
        <f t="shared" si="640"/>
        <v>0</v>
      </c>
      <c r="HN143" s="465">
        <f t="shared" si="640"/>
        <v>0</v>
      </c>
      <c r="HO143" s="465">
        <f t="shared" si="640"/>
        <v>0</v>
      </c>
      <c r="HP143" s="465">
        <f t="shared" si="640"/>
        <v>0</v>
      </c>
      <c r="HQ143" s="465">
        <f t="shared" si="640"/>
        <v>0</v>
      </c>
      <c r="HR143" s="465">
        <f t="shared" si="640"/>
        <v>0</v>
      </c>
      <c r="HS143" s="465">
        <f t="shared" si="640"/>
        <v>0</v>
      </c>
      <c r="HT143" s="465">
        <f t="shared" si="640"/>
        <v>0</v>
      </c>
      <c r="HU143" s="465">
        <f t="shared" si="640"/>
        <v>334115</v>
      </c>
      <c r="HV143" s="465">
        <f t="shared" si="640"/>
        <v>0</v>
      </c>
      <c r="HW143" s="465">
        <f t="shared" si="640"/>
        <v>89800</v>
      </c>
      <c r="HX143" s="465">
        <f t="shared" si="640"/>
        <v>284200</v>
      </c>
      <c r="HY143" s="465">
        <f t="shared" si="640"/>
        <v>0</v>
      </c>
      <c r="HZ143" s="465">
        <f t="shared" si="640"/>
        <v>0</v>
      </c>
      <c r="IA143" s="465">
        <f t="shared" si="640"/>
        <v>0</v>
      </c>
      <c r="IB143" s="465">
        <f t="shared" si="640"/>
        <v>0</v>
      </c>
      <c r="IC143" s="465">
        <f t="shared" si="640"/>
        <v>0</v>
      </c>
      <c r="ID143" s="465">
        <f t="shared" si="640"/>
        <v>0</v>
      </c>
      <c r="IE143" s="465">
        <f t="shared" si="640"/>
        <v>0</v>
      </c>
      <c r="IF143" s="465">
        <f t="shared" si="640"/>
        <v>0</v>
      </c>
      <c r="IG143" s="465">
        <f t="shared" si="640"/>
        <v>0</v>
      </c>
      <c r="IH143" s="465">
        <f t="shared" si="640"/>
        <v>0</v>
      </c>
      <c r="II143" s="465">
        <f t="shared" si="640"/>
        <v>0</v>
      </c>
      <c r="IJ143" s="465">
        <f t="shared" si="640"/>
        <v>0</v>
      </c>
      <c r="IK143" s="465">
        <f t="shared" si="640"/>
        <v>0</v>
      </c>
      <c r="IL143" s="465">
        <f t="shared" si="640"/>
        <v>0</v>
      </c>
      <c r="IM143" s="465">
        <f t="shared" si="640"/>
        <v>1040</v>
      </c>
      <c r="IN143" s="465">
        <f t="shared" si="640"/>
        <v>21199</v>
      </c>
      <c r="IO143" s="465">
        <f t="shared" si="640"/>
        <v>3900</v>
      </c>
      <c r="IP143" s="465">
        <f t="shared" si="640"/>
        <v>0</v>
      </c>
      <c r="IQ143" s="465">
        <f t="shared" si="640"/>
        <v>0</v>
      </c>
      <c r="IR143" s="465">
        <f t="shared" si="640"/>
        <v>0</v>
      </c>
      <c r="IS143" s="465">
        <f t="shared" si="640"/>
        <v>0</v>
      </c>
      <c r="IT143" s="465">
        <f t="shared" si="640"/>
        <v>0</v>
      </c>
      <c r="IU143" s="465">
        <f t="shared" si="640"/>
        <v>0</v>
      </c>
      <c r="IV143" s="465">
        <f t="shared" si="640"/>
        <v>0</v>
      </c>
      <c r="IW143" s="465">
        <f t="shared" si="640"/>
        <v>0</v>
      </c>
      <c r="IX143" s="465">
        <f t="shared" si="640"/>
        <v>0</v>
      </c>
      <c r="IY143" s="465">
        <f t="shared" si="640"/>
        <v>0</v>
      </c>
      <c r="IZ143" s="465">
        <f t="shared" si="640"/>
        <v>0</v>
      </c>
      <c r="JA143" s="465">
        <f t="shared" ref="JA143:JH143" si="641">SUM(JA140:JA142)</f>
        <v>0</v>
      </c>
      <c r="JB143" s="465">
        <f t="shared" si="641"/>
        <v>280000</v>
      </c>
      <c r="JC143" s="465">
        <f t="shared" si="641"/>
        <v>0</v>
      </c>
      <c r="JD143" s="465">
        <f t="shared" si="641"/>
        <v>1600000</v>
      </c>
      <c r="JE143" s="465">
        <f t="shared" si="641"/>
        <v>0</v>
      </c>
      <c r="JF143" s="465">
        <f t="shared" si="641"/>
        <v>0</v>
      </c>
      <c r="JG143" s="465">
        <f t="shared" si="641"/>
        <v>0</v>
      </c>
      <c r="JH143" s="459">
        <f t="shared" si="641"/>
        <v>0</v>
      </c>
      <c r="JI143" s="314">
        <f t="shared" si="635"/>
        <v>18633815</v>
      </c>
    </row>
    <row r="144" spans="1:276" x14ac:dyDescent="0.25">
      <c r="A144" s="618"/>
      <c r="B144" s="465" t="s">
        <v>2625</v>
      </c>
      <c r="C144" s="465">
        <f>C138-C143</f>
        <v>0</v>
      </c>
      <c r="D144" s="465">
        <f t="shared" ref="D144:BP144" si="642">D138-D143</f>
        <v>0</v>
      </c>
      <c r="E144" s="465">
        <f t="shared" si="642"/>
        <v>0</v>
      </c>
      <c r="F144" s="465">
        <f t="shared" si="642"/>
        <v>0</v>
      </c>
      <c r="G144" s="465">
        <f t="shared" si="642"/>
        <v>0</v>
      </c>
      <c r="H144" s="465">
        <f t="shared" si="642"/>
        <v>0</v>
      </c>
      <c r="I144" s="465">
        <f t="shared" si="642"/>
        <v>0</v>
      </c>
      <c r="J144" s="465">
        <f t="shared" si="642"/>
        <v>0</v>
      </c>
      <c r="K144" s="465">
        <f t="shared" si="642"/>
        <v>0</v>
      </c>
      <c r="L144" s="465">
        <f t="shared" si="642"/>
        <v>0</v>
      </c>
      <c r="M144" s="465">
        <f t="shared" si="642"/>
        <v>0</v>
      </c>
      <c r="N144" s="465">
        <f t="shared" si="642"/>
        <v>0</v>
      </c>
      <c r="O144" s="465">
        <f t="shared" si="642"/>
        <v>0</v>
      </c>
      <c r="P144" s="465">
        <f t="shared" si="642"/>
        <v>0</v>
      </c>
      <c r="Q144" s="465">
        <f t="shared" si="642"/>
        <v>0</v>
      </c>
      <c r="R144" s="465">
        <f t="shared" si="642"/>
        <v>0</v>
      </c>
      <c r="S144" s="465">
        <f t="shared" si="642"/>
        <v>0</v>
      </c>
      <c r="T144" s="465">
        <f t="shared" si="642"/>
        <v>0</v>
      </c>
      <c r="U144" s="465">
        <f t="shared" si="642"/>
        <v>0</v>
      </c>
      <c r="V144" s="465">
        <f t="shared" si="642"/>
        <v>0</v>
      </c>
      <c r="W144" s="465">
        <f t="shared" si="642"/>
        <v>0</v>
      </c>
      <c r="X144" s="465">
        <f t="shared" si="642"/>
        <v>0</v>
      </c>
      <c r="Y144" s="465">
        <f t="shared" si="642"/>
        <v>0</v>
      </c>
      <c r="Z144" s="465">
        <f t="shared" si="642"/>
        <v>0</v>
      </c>
      <c r="AA144" s="465">
        <f t="shared" si="642"/>
        <v>0</v>
      </c>
      <c r="AB144" s="465">
        <f t="shared" si="642"/>
        <v>0</v>
      </c>
      <c r="AC144" s="465">
        <f t="shared" ref="AC144" si="643">AC138-AC143</f>
        <v>0</v>
      </c>
      <c r="AD144" s="465">
        <f t="shared" si="642"/>
        <v>0</v>
      </c>
      <c r="AE144" s="465">
        <f t="shared" si="642"/>
        <v>0</v>
      </c>
      <c r="AF144" s="465">
        <f t="shared" si="642"/>
        <v>0</v>
      </c>
      <c r="AG144" s="465">
        <f t="shared" si="642"/>
        <v>0</v>
      </c>
      <c r="AH144" s="465">
        <f t="shared" si="642"/>
        <v>0</v>
      </c>
      <c r="AI144" s="465">
        <f t="shared" si="642"/>
        <v>0</v>
      </c>
      <c r="AJ144" s="465">
        <f t="shared" si="642"/>
        <v>0</v>
      </c>
      <c r="AK144" s="465">
        <f t="shared" si="642"/>
        <v>-40000</v>
      </c>
      <c r="AL144" s="465">
        <f t="shared" si="642"/>
        <v>0</v>
      </c>
      <c r="AM144" s="465">
        <f t="shared" si="642"/>
        <v>0</v>
      </c>
      <c r="AN144" s="465">
        <f t="shared" si="642"/>
        <v>0</v>
      </c>
      <c r="AO144" s="465">
        <f t="shared" si="642"/>
        <v>0</v>
      </c>
      <c r="AP144" s="465">
        <f t="shared" si="642"/>
        <v>-42000</v>
      </c>
      <c r="AQ144" s="465">
        <f t="shared" si="642"/>
        <v>0</v>
      </c>
      <c r="AR144" s="465">
        <f t="shared" si="642"/>
        <v>0</v>
      </c>
      <c r="AS144" s="465">
        <f t="shared" si="642"/>
        <v>0</v>
      </c>
      <c r="AT144" s="465">
        <f t="shared" si="642"/>
        <v>0</v>
      </c>
      <c r="AU144" s="465">
        <f t="shared" si="642"/>
        <v>0</v>
      </c>
      <c r="AV144" s="465">
        <f t="shared" si="642"/>
        <v>0</v>
      </c>
      <c r="AW144" s="465">
        <f t="shared" si="642"/>
        <v>0</v>
      </c>
      <c r="AX144" s="465">
        <f t="shared" si="642"/>
        <v>-4875</v>
      </c>
      <c r="AY144" s="465">
        <f t="shared" si="642"/>
        <v>-3700</v>
      </c>
      <c r="AZ144" s="465">
        <f t="shared" si="642"/>
        <v>-3656</v>
      </c>
      <c r="BA144" s="465">
        <f t="shared" si="642"/>
        <v>0</v>
      </c>
      <c r="BB144" s="465">
        <f t="shared" si="642"/>
        <v>0</v>
      </c>
      <c r="BC144" s="465">
        <f t="shared" si="642"/>
        <v>0</v>
      </c>
      <c r="BD144" s="465">
        <f t="shared" si="642"/>
        <v>0</v>
      </c>
      <c r="BE144" s="465">
        <f t="shared" si="642"/>
        <v>0</v>
      </c>
      <c r="BF144" s="465">
        <f t="shared" si="642"/>
        <v>124810</v>
      </c>
      <c r="BG144" s="465">
        <f t="shared" si="642"/>
        <v>195000</v>
      </c>
      <c r="BH144" s="465">
        <f t="shared" si="642"/>
        <v>313000</v>
      </c>
      <c r="BI144" s="465">
        <f t="shared" si="642"/>
        <v>0</v>
      </c>
      <c r="BJ144" s="465">
        <f t="shared" si="642"/>
        <v>0</v>
      </c>
      <c r="BK144" s="465">
        <f t="shared" si="642"/>
        <v>0</v>
      </c>
      <c r="BL144" s="465">
        <f t="shared" si="642"/>
        <v>0</v>
      </c>
      <c r="BM144" s="465">
        <f t="shared" si="642"/>
        <v>0</v>
      </c>
      <c r="BN144" s="465">
        <f t="shared" si="642"/>
        <v>0</v>
      </c>
      <c r="BO144" s="465">
        <f t="shared" si="642"/>
        <v>0</v>
      </c>
      <c r="BP144" s="465">
        <f t="shared" si="642"/>
        <v>0</v>
      </c>
      <c r="BQ144" s="465">
        <f t="shared" ref="BQ144:EA144" si="644">BQ138-BQ143</f>
        <v>0</v>
      </c>
      <c r="BR144" s="465">
        <f t="shared" si="644"/>
        <v>0</v>
      </c>
      <c r="BS144" s="465">
        <f t="shared" si="644"/>
        <v>0</v>
      </c>
      <c r="BT144" s="465">
        <f t="shared" si="644"/>
        <v>0</v>
      </c>
      <c r="BU144" s="465">
        <f t="shared" si="644"/>
        <v>0</v>
      </c>
      <c r="BV144" s="465">
        <f t="shared" si="644"/>
        <v>0</v>
      </c>
      <c r="BW144" s="465">
        <f t="shared" si="644"/>
        <v>0</v>
      </c>
      <c r="BX144" s="465">
        <f t="shared" si="644"/>
        <v>0</v>
      </c>
      <c r="BY144" s="465">
        <f t="shared" si="644"/>
        <v>0</v>
      </c>
      <c r="BZ144" s="465">
        <f t="shared" si="644"/>
        <v>0</v>
      </c>
      <c r="CA144" s="465">
        <f t="shared" si="644"/>
        <v>0</v>
      </c>
      <c r="CB144" s="465">
        <f t="shared" si="644"/>
        <v>0</v>
      </c>
      <c r="CC144" s="465">
        <f t="shared" si="644"/>
        <v>0</v>
      </c>
      <c r="CD144" s="465">
        <f t="shared" si="644"/>
        <v>0</v>
      </c>
      <c r="CE144" s="465">
        <f t="shared" si="644"/>
        <v>0</v>
      </c>
      <c r="CF144" s="465">
        <f t="shared" si="644"/>
        <v>0</v>
      </c>
      <c r="CG144" s="465">
        <f t="shared" si="644"/>
        <v>-36000</v>
      </c>
      <c r="CH144" s="465">
        <f t="shared" si="644"/>
        <v>0</v>
      </c>
      <c r="CI144" s="465">
        <f t="shared" si="644"/>
        <v>0</v>
      </c>
      <c r="CJ144" s="465">
        <f t="shared" si="644"/>
        <v>0</v>
      </c>
      <c r="CK144" s="465">
        <f t="shared" si="644"/>
        <v>0</v>
      </c>
      <c r="CL144" s="465">
        <f t="shared" si="644"/>
        <v>0</v>
      </c>
      <c r="CM144" s="465">
        <f t="shared" si="644"/>
        <v>0</v>
      </c>
      <c r="CN144" s="465">
        <f t="shared" si="644"/>
        <v>0</v>
      </c>
      <c r="CO144" s="465">
        <f t="shared" si="644"/>
        <v>0</v>
      </c>
      <c r="CP144" s="465">
        <f t="shared" si="644"/>
        <v>0</v>
      </c>
      <c r="CQ144" s="465">
        <f t="shared" si="644"/>
        <v>0</v>
      </c>
      <c r="CR144" s="465">
        <f t="shared" si="644"/>
        <v>0</v>
      </c>
      <c r="CS144" s="465">
        <f t="shared" si="644"/>
        <v>0</v>
      </c>
      <c r="CT144" s="465">
        <f t="shared" si="644"/>
        <v>0</v>
      </c>
      <c r="CU144" s="465">
        <f t="shared" si="644"/>
        <v>0</v>
      </c>
      <c r="CV144" s="465">
        <f t="shared" si="644"/>
        <v>0</v>
      </c>
      <c r="CW144" s="465">
        <f t="shared" si="644"/>
        <v>0</v>
      </c>
      <c r="CX144" s="465">
        <f t="shared" si="644"/>
        <v>0</v>
      </c>
      <c r="CY144" s="465">
        <f t="shared" si="644"/>
        <v>0</v>
      </c>
      <c r="CZ144" s="465">
        <f t="shared" si="644"/>
        <v>0</v>
      </c>
      <c r="DA144" s="465">
        <f t="shared" si="644"/>
        <v>413000</v>
      </c>
      <c r="DB144" s="465">
        <f t="shared" si="644"/>
        <v>0</v>
      </c>
      <c r="DC144" s="465">
        <f t="shared" si="644"/>
        <v>-120000</v>
      </c>
      <c r="DD144" s="465">
        <f t="shared" si="644"/>
        <v>0</v>
      </c>
      <c r="DE144" s="465">
        <f t="shared" si="644"/>
        <v>0</v>
      </c>
      <c r="DF144" s="465">
        <f t="shared" si="644"/>
        <v>1789113</v>
      </c>
      <c r="DG144" s="465">
        <f t="shared" si="644"/>
        <v>0</v>
      </c>
      <c r="DH144" s="465">
        <f t="shared" si="644"/>
        <v>0</v>
      </c>
      <c r="DI144" s="465">
        <f t="shared" si="644"/>
        <v>0</v>
      </c>
      <c r="DJ144" s="465">
        <f t="shared" si="644"/>
        <v>0</v>
      </c>
      <c r="DK144" s="465">
        <f t="shared" si="644"/>
        <v>0</v>
      </c>
      <c r="DL144" s="465">
        <f t="shared" si="644"/>
        <v>0</v>
      </c>
      <c r="DM144" s="465">
        <f t="shared" si="644"/>
        <v>0</v>
      </c>
      <c r="DN144" s="465">
        <f t="shared" si="644"/>
        <v>0</v>
      </c>
      <c r="DO144" s="465">
        <f t="shared" si="644"/>
        <v>0</v>
      </c>
      <c r="DP144" s="465">
        <f t="shared" si="644"/>
        <v>0</v>
      </c>
      <c r="DQ144" s="465">
        <f t="shared" si="644"/>
        <v>0</v>
      </c>
      <c r="DR144" s="465">
        <f t="shared" si="644"/>
        <v>0</v>
      </c>
      <c r="DS144" s="465">
        <f t="shared" si="644"/>
        <v>0</v>
      </c>
      <c r="DT144" s="465">
        <f t="shared" si="644"/>
        <v>0</v>
      </c>
      <c r="DU144" s="465">
        <f t="shared" si="644"/>
        <v>0</v>
      </c>
      <c r="DV144" s="465">
        <f t="shared" si="644"/>
        <v>-1000000</v>
      </c>
      <c r="DW144" s="465">
        <f t="shared" si="644"/>
        <v>0</v>
      </c>
      <c r="DX144" s="465">
        <f t="shared" si="644"/>
        <v>0</v>
      </c>
      <c r="DY144" s="465">
        <f t="shared" si="644"/>
        <v>0</v>
      </c>
      <c r="DZ144" s="465">
        <f t="shared" si="644"/>
        <v>0</v>
      </c>
      <c r="EA144" s="465">
        <f t="shared" si="644"/>
        <v>0</v>
      </c>
      <c r="EB144" s="465">
        <v>1679800</v>
      </c>
      <c r="EC144" s="465">
        <f t="shared" ref="EC144:GN144" si="645">EC138-EC143</f>
        <v>-108000</v>
      </c>
      <c r="ED144" s="465">
        <f t="shared" si="645"/>
        <v>0</v>
      </c>
      <c r="EE144" s="465">
        <f t="shared" si="645"/>
        <v>-13376</v>
      </c>
      <c r="EF144" s="465">
        <f t="shared" si="645"/>
        <v>-1000</v>
      </c>
      <c r="EG144" s="465">
        <f t="shared" si="645"/>
        <v>0</v>
      </c>
      <c r="EH144" s="465">
        <f t="shared" si="645"/>
        <v>-11000</v>
      </c>
      <c r="EI144" s="465">
        <f t="shared" si="645"/>
        <v>-86247</v>
      </c>
      <c r="EJ144" s="465">
        <f t="shared" si="645"/>
        <v>-30460</v>
      </c>
      <c r="EK144" s="465">
        <f t="shared" si="645"/>
        <v>0</v>
      </c>
      <c r="EL144" s="465">
        <f t="shared" si="645"/>
        <v>0</v>
      </c>
      <c r="EM144" s="465">
        <f t="shared" si="645"/>
        <v>0</v>
      </c>
      <c r="EN144" s="465">
        <f t="shared" si="645"/>
        <v>0</v>
      </c>
      <c r="EO144" s="465">
        <f t="shared" si="645"/>
        <v>0</v>
      </c>
      <c r="EP144" s="465">
        <f t="shared" si="645"/>
        <v>-176000</v>
      </c>
      <c r="EQ144" s="465">
        <f t="shared" si="645"/>
        <v>50000</v>
      </c>
      <c r="ER144" s="465">
        <f t="shared" si="645"/>
        <v>0</v>
      </c>
      <c r="ES144" s="465">
        <f t="shared" si="645"/>
        <v>0</v>
      </c>
      <c r="ET144" s="465">
        <f t="shared" si="645"/>
        <v>0</v>
      </c>
      <c r="EU144" s="465">
        <f t="shared" si="645"/>
        <v>0</v>
      </c>
      <c r="EV144" s="465">
        <f t="shared" si="645"/>
        <v>0</v>
      </c>
      <c r="EW144" s="465">
        <f t="shared" si="645"/>
        <v>0</v>
      </c>
      <c r="EX144" s="465">
        <f t="shared" si="645"/>
        <v>0</v>
      </c>
      <c r="EY144" s="465">
        <f t="shared" si="645"/>
        <v>0</v>
      </c>
      <c r="EZ144" s="465">
        <f t="shared" si="645"/>
        <v>0</v>
      </c>
      <c r="FA144" s="465">
        <f t="shared" si="645"/>
        <v>0</v>
      </c>
      <c r="FB144" s="465">
        <f t="shared" si="645"/>
        <v>0</v>
      </c>
      <c r="FC144" s="465">
        <f t="shared" si="645"/>
        <v>0</v>
      </c>
      <c r="FD144" s="465">
        <f t="shared" si="645"/>
        <v>0</v>
      </c>
      <c r="FE144" s="465">
        <f t="shared" si="645"/>
        <v>0</v>
      </c>
      <c r="FF144" s="465">
        <f t="shared" si="645"/>
        <v>0</v>
      </c>
      <c r="FG144" s="465">
        <f t="shared" si="645"/>
        <v>0</v>
      </c>
      <c r="FH144" s="465">
        <f t="shared" si="645"/>
        <v>0</v>
      </c>
      <c r="FI144" s="465">
        <f t="shared" si="645"/>
        <v>0</v>
      </c>
      <c r="FJ144" s="465">
        <f t="shared" si="645"/>
        <v>0</v>
      </c>
      <c r="FK144" s="465">
        <f t="shared" si="645"/>
        <v>0</v>
      </c>
      <c r="FL144" s="465">
        <f t="shared" si="645"/>
        <v>0</v>
      </c>
      <c r="FM144" s="465">
        <f t="shared" si="645"/>
        <v>0</v>
      </c>
      <c r="FN144" s="465">
        <f t="shared" si="645"/>
        <v>0</v>
      </c>
      <c r="FO144" s="465">
        <f t="shared" si="645"/>
        <v>0</v>
      </c>
      <c r="FP144" s="465">
        <f t="shared" si="645"/>
        <v>0</v>
      </c>
      <c r="FQ144" s="465">
        <f t="shared" si="645"/>
        <v>0</v>
      </c>
      <c r="FR144" s="465">
        <f t="shared" si="645"/>
        <v>0</v>
      </c>
      <c r="FS144" s="465">
        <f t="shared" si="645"/>
        <v>0</v>
      </c>
      <c r="FT144" s="465">
        <f t="shared" si="645"/>
        <v>0</v>
      </c>
      <c r="FU144" s="465">
        <f t="shared" si="645"/>
        <v>0</v>
      </c>
      <c r="FV144" s="465">
        <f t="shared" si="645"/>
        <v>0</v>
      </c>
      <c r="FW144" s="465">
        <f t="shared" si="645"/>
        <v>0</v>
      </c>
      <c r="FX144" s="465">
        <f t="shared" si="645"/>
        <v>0</v>
      </c>
      <c r="FY144" s="465">
        <f t="shared" si="645"/>
        <v>0</v>
      </c>
      <c r="FZ144" s="465">
        <f t="shared" si="645"/>
        <v>0</v>
      </c>
      <c r="GA144" s="465">
        <f t="shared" si="645"/>
        <v>0</v>
      </c>
      <c r="GB144" s="465">
        <f t="shared" si="645"/>
        <v>0</v>
      </c>
      <c r="GC144" s="465">
        <f t="shared" si="645"/>
        <v>0</v>
      </c>
      <c r="GD144" s="465">
        <f t="shared" si="645"/>
        <v>0</v>
      </c>
      <c r="GE144" s="465">
        <f t="shared" si="645"/>
        <v>0</v>
      </c>
      <c r="GF144" s="465">
        <f t="shared" si="645"/>
        <v>0</v>
      </c>
      <c r="GG144" s="465">
        <f t="shared" si="645"/>
        <v>0</v>
      </c>
      <c r="GH144" s="465">
        <f t="shared" si="645"/>
        <v>0</v>
      </c>
      <c r="GI144" s="465">
        <f t="shared" si="645"/>
        <v>0</v>
      </c>
      <c r="GJ144" s="465">
        <f t="shared" si="645"/>
        <v>0</v>
      </c>
      <c r="GK144" s="465">
        <f t="shared" si="645"/>
        <v>0</v>
      </c>
      <c r="GL144" s="465">
        <f t="shared" si="645"/>
        <v>0</v>
      </c>
      <c r="GM144" s="465">
        <f t="shared" si="645"/>
        <v>0</v>
      </c>
      <c r="GN144" s="465">
        <f t="shared" si="645"/>
        <v>0</v>
      </c>
      <c r="GO144" s="465">
        <f t="shared" ref="GO144:IZ144" si="646">GO138-GO143</f>
        <v>0</v>
      </c>
      <c r="GP144" s="465">
        <f t="shared" si="646"/>
        <v>0</v>
      </c>
      <c r="GQ144" s="465">
        <f t="shared" si="646"/>
        <v>0</v>
      </c>
      <c r="GR144" s="465">
        <f t="shared" si="646"/>
        <v>0</v>
      </c>
      <c r="GS144" s="465">
        <f t="shared" si="646"/>
        <v>0</v>
      </c>
      <c r="GT144" s="465">
        <f t="shared" si="646"/>
        <v>0</v>
      </c>
      <c r="GU144" s="465">
        <f t="shared" si="646"/>
        <v>0</v>
      </c>
      <c r="GV144" s="465">
        <f t="shared" si="646"/>
        <v>0</v>
      </c>
      <c r="GW144" s="465">
        <f t="shared" si="646"/>
        <v>0</v>
      </c>
      <c r="GX144" s="465">
        <f t="shared" si="646"/>
        <v>0</v>
      </c>
      <c r="GY144" s="465">
        <f t="shared" si="646"/>
        <v>0</v>
      </c>
      <c r="GZ144" s="465">
        <f t="shared" si="646"/>
        <v>0</v>
      </c>
      <c r="HA144" s="465">
        <f t="shared" si="646"/>
        <v>0</v>
      </c>
      <c r="HB144" s="465">
        <f t="shared" si="646"/>
        <v>0</v>
      </c>
      <c r="HC144" s="465">
        <f t="shared" si="646"/>
        <v>0</v>
      </c>
      <c r="HD144" s="465">
        <f t="shared" si="646"/>
        <v>0</v>
      </c>
      <c r="HE144" s="465">
        <f t="shared" si="646"/>
        <v>0</v>
      </c>
      <c r="HF144" s="465">
        <f t="shared" si="646"/>
        <v>0</v>
      </c>
      <c r="HG144" s="465">
        <f t="shared" si="646"/>
        <v>0</v>
      </c>
      <c r="HH144" s="465">
        <f t="shared" si="646"/>
        <v>0</v>
      </c>
      <c r="HI144" s="465">
        <f t="shared" si="646"/>
        <v>0</v>
      </c>
      <c r="HJ144" s="465">
        <f t="shared" si="646"/>
        <v>0</v>
      </c>
      <c r="HK144" s="465">
        <f t="shared" si="646"/>
        <v>0</v>
      </c>
      <c r="HL144" s="465">
        <f t="shared" si="646"/>
        <v>0</v>
      </c>
      <c r="HM144" s="465">
        <f t="shared" si="646"/>
        <v>0</v>
      </c>
      <c r="HN144" s="465">
        <f t="shared" si="646"/>
        <v>0</v>
      </c>
      <c r="HO144" s="465">
        <f t="shared" si="646"/>
        <v>0</v>
      </c>
      <c r="HP144" s="465">
        <f t="shared" si="646"/>
        <v>0</v>
      </c>
      <c r="HQ144" s="465">
        <f t="shared" si="646"/>
        <v>0</v>
      </c>
      <c r="HR144" s="465">
        <f t="shared" si="646"/>
        <v>0</v>
      </c>
      <c r="HS144" s="465">
        <f t="shared" si="646"/>
        <v>0</v>
      </c>
      <c r="HT144" s="465">
        <f t="shared" si="646"/>
        <v>0</v>
      </c>
      <c r="HU144" s="465">
        <f t="shared" si="646"/>
        <v>-48365</v>
      </c>
      <c r="HV144" s="465">
        <f t="shared" si="646"/>
        <v>0</v>
      </c>
      <c r="HW144" s="465">
        <f t="shared" si="646"/>
        <v>-29960</v>
      </c>
      <c r="HX144" s="465">
        <f t="shared" si="646"/>
        <v>29960</v>
      </c>
      <c r="HY144" s="465">
        <f t="shared" si="646"/>
        <v>0</v>
      </c>
      <c r="HZ144" s="465">
        <f t="shared" si="646"/>
        <v>0</v>
      </c>
      <c r="IA144" s="465">
        <f t="shared" si="646"/>
        <v>0</v>
      </c>
      <c r="IB144" s="465">
        <f t="shared" si="646"/>
        <v>0</v>
      </c>
      <c r="IC144" s="465">
        <f t="shared" si="646"/>
        <v>0</v>
      </c>
      <c r="ID144" s="465">
        <f t="shared" si="646"/>
        <v>0</v>
      </c>
      <c r="IE144" s="465">
        <f t="shared" si="646"/>
        <v>0</v>
      </c>
      <c r="IF144" s="465">
        <f t="shared" si="646"/>
        <v>0</v>
      </c>
      <c r="IG144" s="465">
        <f t="shared" si="646"/>
        <v>0</v>
      </c>
      <c r="IH144" s="465">
        <f t="shared" si="646"/>
        <v>0</v>
      </c>
      <c r="II144" s="465">
        <f t="shared" si="646"/>
        <v>0</v>
      </c>
      <c r="IJ144" s="465">
        <f t="shared" si="646"/>
        <v>0</v>
      </c>
      <c r="IK144" s="465">
        <f t="shared" si="646"/>
        <v>0</v>
      </c>
      <c r="IL144" s="465">
        <f t="shared" si="646"/>
        <v>0</v>
      </c>
      <c r="IM144" s="465">
        <f t="shared" si="646"/>
        <v>0</v>
      </c>
      <c r="IN144" s="465">
        <f t="shared" si="646"/>
        <v>-139</v>
      </c>
      <c r="IO144" s="465">
        <f t="shared" si="646"/>
        <v>0</v>
      </c>
      <c r="IP144" s="465">
        <f t="shared" si="646"/>
        <v>0</v>
      </c>
      <c r="IQ144" s="465">
        <f t="shared" si="646"/>
        <v>0</v>
      </c>
      <c r="IR144" s="465">
        <f t="shared" si="646"/>
        <v>0</v>
      </c>
      <c r="IS144" s="465">
        <f t="shared" si="646"/>
        <v>0</v>
      </c>
      <c r="IT144" s="465">
        <f t="shared" si="646"/>
        <v>0</v>
      </c>
      <c r="IU144" s="465">
        <f t="shared" si="646"/>
        <v>0</v>
      </c>
      <c r="IV144" s="465">
        <f t="shared" si="646"/>
        <v>0</v>
      </c>
      <c r="IW144" s="465">
        <f t="shared" si="646"/>
        <v>0</v>
      </c>
      <c r="IX144" s="465">
        <f t="shared" si="646"/>
        <v>0</v>
      </c>
      <c r="IY144" s="465">
        <f t="shared" si="646"/>
        <v>0</v>
      </c>
      <c r="IZ144" s="465">
        <f t="shared" si="646"/>
        <v>0</v>
      </c>
      <c r="JA144" s="465">
        <f t="shared" ref="JA144:JH144" si="647">JA138-JA143</f>
        <v>0</v>
      </c>
      <c r="JB144" s="465">
        <f t="shared" si="647"/>
        <v>185400</v>
      </c>
      <c r="JC144" s="465">
        <f t="shared" si="647"/>
        <v>0</v>
      </c>
      <c r="JD144" s="465">
        <f t="shared" si="647"/>
        <v>2308439</v>
      </c>
      <c r="JE144" s="465">
        <f t="shared" si="647"/>
        <v>0</v>
      </c>
      <c r="JF144" s="465">
        <f t="shared" si="647"/>
        <v>0</v>
      </c>
      <c r="JG144" s="465">
        <f t="shared" si="647"/>
        <v>0</v>
      </c>
      <c r="JH144" s="459">
        <f t="shared" si="647"/>
        <v>0</v>
      </c>
      <c r="JI144" s="314">
        <f t="shared" si="635"/>
        <v>5333744</v>
      </c>
    </row>
    <row r="145" spans="1:276" ht="15.75" thickBot="1" x14ac:dyDescent="0.3">
      <c r="A145" s="619"/>
      <c r="B145" s="620" t="s">
        <v>2626</v>
      </c>
      <c r="C145" s="620">
        <f>IF(C144&lt;0,0,C144)</f>
        <v>0</v>
      </c>
      <c r="D145" s="620">
        <f t="shared" ref="D145:BP145" si="648">IF(D144&lt;0,0,D144)</f>
        <v>0</v>
      </c>
      <c r="E145" s="620">
        <f t="shared" si="648"/>
        <v>0</v>
      </c>
      <c r="F145" s="620">
        <f t="shared" si="648"/>
        <v>0</v>
      </c>
      <c r="G145" s="620">
        <f t="shared" si="648"/>
        <v>0</v>
      </c>
      <c r="H145" s="620">
        <f t="shared" si="648"/>
        <v>0</v>
      </c>
      <c r="I145" s="620">
        <f t="shared" si="648"/>
        <v>0</v>
      </c>
      <c r="J145" s="620">
        <f t="shared" si="648"/>
        <v>0</v>
      </c>
      <c r="K145" s="620">
        <f t="shared" si="648"/>
        <v>0</v>
      </c>
      <c r="L145" s="620">
        <f t="shared" si="648"/>
        <v>0</v>
      </c>
      <c r="M145" s="620">
        <f t="shared" si="648"/>
        <v>0</v>
      </c>
      <c r="N145" s="620">
        <f t="shared" si="648"/>
        <v>0</v>
      </c>
      <c r="O145" s="620">
        <f t="shared" si="648"/>
        <v>0</v>
      </c>
      <c r="P145" s="620">
        <f t="shared" si="648"/>
        <v>0</v>
      </c>
      <c r="Q145" s="620">
        <f t="shared" si="648"/>
        <v>0</v>
      </c>
      <c r="R145" s="620">
        <f t="shared" si="648"/>
        <v>0</v>
      </c>
      <c r="S145" s="620">
        <f t="shared" si="648"/>
        <v>0</v>
      </c>
      <c r="T145" s="620">
        <f t="shared" si="648"/>
        <v>0</v>
      </c>
      <c r="U145" s="620">
        <f t="shared" si="648"/>
        <v>0</v>
      </c>
      <c r="V145" s="620">
        <f t="shared" si="648"/>
        <v>0</v>
      </c>
      <c r="W145" s="620">
        <f t="shared" si="648"/>
        <v>0</v>
      </c>
      <c r="X145" s="620">
        <f t="shared" si="648"/>
        <v>0</v>
      </c>
      <c r="Y145" s="620">
        <f t="shared" si="648"/>
        <v>0</v>
      </c>
      <c r="Z145" s="620">
        <f t="shared" si="648"/>
        <v>0</v>
      </c>
      <c r="AA145" s="620">
        <f t="shared" si="648"/>
        <v>0</v>
      </c>
      <c r="AB145" s="620">
        <f t="shared" si="648"/>
        <v>0</v>
      </c>
      <c r="AC145" s="620">
        <f t="shared" ref="AC145" si="649">IF(AC144&lt;0,0,AC144)</f>
        <v>0</v>
      </c>
      <c r="AD145" s="620">
        <f t="shared" si="648"/>
        <v>0</v>
      </c>
      <c r="AE145" s="620">
        <f t="shared" si="648"/>
        <v>0</v>
      </c>
      <c r="AF145" s="620">
        <f t="shared" si="648"/>
        <v>0</v>
      </c>
      <c r="AG145" s="620">
        <f t="shared" si="648"/>
        <v>0</v>
      </c>
      <c r="AH145" s="620">
        <f t="shared" si="648"/>
        <v>0</v>
      </c>
      <c r="AI145" s="620">
        <f t="shared" si="648"/>
        <v>0</v>
      </c>
      <c r="AJ145" s="620">
        <f t="shared" si="648"/>
        <v>0</v>
      </c>
      <c r="AK145" s="620">
        <f t="shared" si="648"/>
        <v>0</v>
      </c>
      <c r="AL145" s="620">
        <f t="shared" si="648"/>
        <v>0</v>
      </c>
      <c r="AM145" s="620">
        <f t="shared" si="648"/>
        <v>0</v>
      </c>
      <c r="AN145" s="620">
        <f t="shared" si="648"/>
        <v>0</v>
      </c>
      <c r="AO145" s="620">
        <f t="shared" si="648"/>
        <v>0</v>
      </c>
      <c r="AP145" s="620">
        <f t="shared" si="648"/>
        <v>0</v>
      </c>
      <c r="AQ145" s="620">
        <f t="shared" si="648"/>
        <v>0</v>
      </c>
      <c r="AR145" s="620">
        <f t="shared" si="648"/>
        <v>0</v>
      </c>
      <c r="AS145" s="620">
        <f t="shared" si="648"/>
        <v>0</v>
      </c>
      <c r="AT145" s="620">
        <f t="shared" si="648"/>
        <v>0</v>
      </c>
      <c r="AU145" s="620">
        <f t="shared" si="648"/>
        <v>0</v>
      </c>
      <c r="AV145" s="620">
        <f t="shared" si="648"/>
        <v>0</v>
      </c>
      <c r="AW145" s="620">
        <f t="shared" si="648"/>
        <v>0</v>
      </c>
      <c r="AX145" s="620">
        <f t="shared" si="648"/>
        <v>0</v>
      </c>
      <c r="AY145" s="620">
        <f t="shared" si="648"/>
        <v>0</v>
      </c>
      <c r="AZ145" s="620">
        <f t="shared" si="648"/>
        <v>0</v>
      </c>
      <c r="BA145" s="620">
        <f t="shared" si="648"/>
        <v>0</v>
      </c>
      <c r="BB145" s="620">
        <f t="shared" si="648"/>
        <v>0</v>
      </c>
      <c r="BC145" s="620">
        <f t="shared" si="648"/>
        <v>0</v>
      </c>
      <c r="BD145" s="620">
        <f t="shared" si="648"/>
        <v>0</v>
      </c>
      <c r="BE145" s="620">
        <f t="shared" si="648"/>
        <v>0</v>
      </c>
      <c r="BF145" s="623">
        <f>IF(IF(BF144&lt;0,0,BF144)&lt;BF146,0,IF(BF144&lt;0,0,BF144)-BF146)</f>
        <v>0</v>
      </c>
      <c r="BG145" s="623">
        <f>IF(IF(BG144&lt;0,0,BG144)&lt;BG146,0,IF(BG144&lt;0,0,BG144)-BG146)</f>
        <v>0</v>
      </c>
      <c r="BH145" s="623">
        <f>IF(IF(BH144&lt;0,0,BH144)&lt;BH146,0,IF(BH144&lt;0,0,BH144)-BH146)</f>
        <v>130890.75843949011</v>
      </c>
      <c r="BI145" s="620">
        <f t="shared" si="648"/>
        <v>0</v>
      </c>
      <c r="BJ145" s="620">
        <f t="shared" si="648"/>
        <v>0</v>
      </c>
      <c r="BK145" s="620">
        <f t="shared" si="648"/>
        <v>0</v>
      </c>
      <c r="BL145" s="620">
        <f t="shared" si="648"/>
        <v>0</v>
      </c>
      <c r="BM145" s="620">
        <f t="shared" si="648"/>
        <v>0</v>
      </c>
      <c r="BN145" s="620">
        <f t="shared" si="648"/>
        <v>0</v>
      </c>
      <c r="BO145" s="620">
        <f t="shared" si="648"/>
        <v>0</v>
      </c>
      <c r="BP145" s="620">
        <f t="shared" si="648"/>
        <v>0</v>
      </c>
      <c r="BQ145" s="620">
        <f t="shared" ref="BQ145:EB145" si="650">IF(BQ144&lt;0,0,BQ144)</f>
        <v>0</v>
      </c>
      <c r="BR145" s="620">
        <f t="shared" si="650"/>
        <v>0</v>
      </c>
      <c r="BS145" s="620">
        <f t="shared" si="650"/>
        <v>0</v>
      </c>
      <c r="BT145" s="620">
        <f t="shared" si="650"/>
        <v>0</v>
      </c>
      <c r="BU145" s="620">
        <f t="shared" si="650"/>
        <v>0</v>
      </c>
      <c r="BV145" s="620">
        <f t="shared" si="650"/>
        <v>0</v>
      </c>
      <c r="BW145" s="620">
        <f t="shared" si="650"/>
        <v>0</v>
      </c>
      <c r="BX145" s="620">
        <f t="shared" si="650"/>
        <v>0</v>
      </c>
      <c r="BY145" s="620">
        <f t="shared" si="650"/>
        <v>0</v>
      </c>
      <c r="BZ145" s="620">
        <f t="shared" si="650"/>
        <v>0</v>
      </c>
      <c r="CA145" s="620">
        <f t="shared" si="650"/>
        <v>0</v>
      </c>
      <c r="CB145" s="620">
        <f t="shared" si="650"/>
        <v>0</v>
      </c>
      <c r="CC145" s="620">
        <f t="shared" si="650"/>
        <v>0</v>
      </c>
      <c r="CD145" s="620">
        <f t="shared" si="650"/>
        <v>0</v>
      </c>
      <c r="CE145" s="620">
        <f t="shared" si="650"/>
        <v>0</v>
      </c>
      <c r="CF145" s="620">
        <f t="shared" si="650"/>
        <v>0</v>
      </c>
      <c r="CG145" s="620">
        <f t="shared" si="650"/>
        <v>0</v>
      </c>
      <c r="CH145" s="620">
        <f t="shared" si="650"/>
        <v>0</v>
      </c>
      <c r="CI145" s="620">
        <f t="shared" si="650"/>
        <v>0</v>
      </c>
      <c r="CJ145" s="620">
        <f t="shared" si="650"/>
        <v>0</v>
      </c>
      <c r="CK145" s="620">
        <f t="shared" si="650"/>
        <v>0</v>
      </c>
      <c r="CL145" s="620">
        <f t="shared" si="650"/>
        <v>0</v>
      </c>
      <c r="CM145" s="620">
        <f t="shared" si="650"/>
        <v>0</v>
      </c>
      <c r="CN145" s="620">
        <f t="shared" si="650"/>
        <v>0</v>
      </c>
      <c r="CO145" s="620">
        <f t="shared" si="650"/>
        <v>0</v>
      </c>
      <c r="CP145" s="620">
        <f t="shared" si="650"/>
        <v>0</v>
      </c>
      <c r="CQ145" s="620">
        <f t="shared" si="650"/>
        <v>0</v>
      </c>
      <c r="CR145" s="620">
        <f t="shared" si="650"/>
        <v>0</v>
      </c>
      <c r="CS145" s="620">
        <f t="shared" si="650"/>
        <v>0</v>
      </c>
      <c r="CT145" s="620">
        <f t="shared" si="650"/>
        <v>0</v>
      </c>
      <c r="CU145" s="620">
        <f t="shared" si="650"/>
        <v>0</v>
      </c>
      <c r="CV145" s="620">
        <f t="shared" si="650"/>
        <v>0</v>
      </c>
      <c r="CW145" s="620">
        <f t="shared" si="650"/>
        <v>0</v>
      </c>
      <c r="CX145" s="620">
        <f t="shared" si="650"/>
        <v>0</v>
      </c>
      <c r="CY145" s="620">
        <f t="shared" si="650"/>
        <v>0</v>
      </c>
      <c r="CZ145" s="620">
        <f t="shared" si="650"/>
        <v>0</v>
      </c>
      <c r="DA145" s="620">
        <f>IF(IF(DA144&lt;0,0,DA144)&lt;DA146,0,IF(DA144&lt;0,0,DA144)-DA146)</f>
        <v>0</v>
      </c>
      <c r="DB145" s="620">
        <f t="shared" si="650"/>
        <v>0</v>
      </c>
      <c r="DC145" s="620">
        <f t="shared" si="650"/>
        <v>0</v>
      </c>
      <c r="DD145" s="620">
        <f t="shared" si="650"/>
        <v>0</v>
      </c>
      <c r="DE145" s="620">
        <f t="shared" si="650"/>
        <v>0</v>
      </c>
      <c r="DF145" s="623">
        <f>IF(IF(DF144&lt;0,0,DF144)&lt;DF146,0,IF(DF144&lt;0,0,DF144)-DF146)</f>
        <v>0</v>
      </c>
      <c r="DG145" s="620">
        <f t="shared" si="650"/>
        <v>0</v>
      </c>
      <c r="DH145" s="620">
        <f t="shared" si="650"/>
        <v>0</v>
      </c>
      <c r="DI145" s="620">
        <f t="shared" si="650"/>
        <v>0</v>
      </c>
      <c r="DJ145" s="620">
        <f t="shared" si="650"/>
        <v>0</v>
      </c>
      <c r="DK145" s="620">
        <f t="shared" si="650"/>
        <v>0</v>
      </c>
      <c r="DL145" s="620">
        <f t="shared" si="650"/>
        <v>0</v>
      </c>
      <c r="DM145" s="620">
        <f t="shared" si="650"/>
        <v>0</v>
      </c>
      <c r="DN145" s="620">
        <f t="shared" si="650"/>
        <v>0</v>
      </c>
      <c r="DO145" s="620">
        <f t="shared" si="650"/>
        <v>0</v>
      </c>
      <c r="DP145" s="620">
        <f t="shared" si="650"/>
        <v>0</v>
      </c>
      <c r="DQ145" s="620">
        <f t="shared" si="650"/>
        <v>0</v>
      </c>
      <c r="DR145" s="620">
        <f t="shared" si="650"/>
        <v>0</v>
      </c>
      <c r="DS145" s="620">
        <f t="shared" si="650"/>
        <v>0</v>
      </c>
      <c r="DT145" s="620">
        <f t="shared" si="650"/>
        <v>0</v>
      </c>
      <c r="DU145" s="620">
        <f t="shared" si="650"/>
        <v>0</v>
      </c>
      <c r="DV145" s="620">
        <f t="shared" si="650"/>
        <v>0</v>
      </c>
      <c r="DW145" s="620">
        <f t="shared" si="650"/>
        <v>0</v>
      </c>
      <c r="DX145" s="620">
        <f t="shared" si="650"/>
        <v>0</v>
      </c>
      <c r="DY145" s="620">
        <f t="shared" si="650"/>
        <v>0</v>
      </c>
      <c r="DZ145" s="620">
        <f t="shared" si="650"/>
        <v>0</v>
      </c>
      <c r="EA145" s="620">
        <f t="shared" si="650"/>
        <v>0</v>
      </c>
      <c r="EB145" s="620">
        <f t="shared" si="650"/>
        <v>1679800</v>
      </c>
      <c r="EC145" s="620">
        <f t="shared" ref="EC145:GN145" si="651">IF(EC144&lt;0,0,EC144)</f>
        <v>0</v>
      </c>
      <c r="ED145" s="620">
        <f t="shared" si="651"/>
        <v>0</v>
      </c>
      <c r="EE145" s="620">
        <f t="shared" si="651"/>
        <v>0</v>
      </c>
      <c r="EF145" s="620">
        <f t="shared" si="651"/>
        <v>0</v>
      </c>
      <c r="EG145" s="620">
        <f t="shared" si="651"/>
        <v>0</v>
      </c>
      <c r="EH145" s="620">
        <f t="shared" si="651"/>
        <v>0</v>
      </c>
      <c r="EI145" s="620">
        <f t="shared" si="651"/>
        <v>0</v>
      </c>
      <c r="EJ145" s="620">
        <f t="shared" si="651"/>
        <v>0</v>
      </c>
      <c r="EK145" s="620">
        <f t="shared" si="651"/>
        <v>0</v>
      </c>
      <c r="EL145" s="620">
        <f t="shared" si="651"/>
        <v>0</v>
      </c>
      <c r="EM145" s="620">
        <f t="shared" si="651"/>
        <v>0</v>
      </c>
      <c r="EN145" s="620">
        <f t="shared" si="651"/>
        <v>0</v>
      </c>
      <c r="EO145" s="620">
        <f t="shared" si="651"/>
        <v>0</v>
      </c>
      <c r="EP145" s="620">
        <f t="shared" si="651"/>
        <v>0</v>
      </c>
      <c r="EQ145" s="620">
        <f t="shared" si="651"/>
        <v>50000</v>
      </c>
      <c r="ER145" s="620">
        <f t="shared" si="651"/>
        <v>0</v>
      </c>
      <c r="ES145" s="620">
        <f t="shared" si="651"/>
        <v>0</v>
      </c>
      <c r="ET145" s="620">
        <f t="shared" si="651"/>
        <v>0</v>
      </c>
      <c r="EU145" s="620">
        <f t="shared" si="651"/>
        <v>0</v>
      </c>
      <c r="EV145" s="620">
        <f t="shared" si="651"/>
        <v>0</v>
      </c>
      <c r="EW145" s="620">
        <f t="shared" si="651"/>
        <v>0</v>
      </c>
      <c r="EX145" s="620">
        <f t="shared" si="651"/>
        <v>0</v>
      </c>
      <c r="EY145" s="620">
        <f t="shared" si="651"/>
        <v>0</v>
      </c>
      <c r="EZ145" s="620">
        <f t="shared" si="651"/>
        <v>0</v>
      </c>
      <c r="FA145" s="620">
        <f t="shared" si="651"/>
        <v>0</v>
      </c>
      <c r="FB145" s="620">
        <f t="shared" si="651"/>
        <v>0</v>
      </c>
      <c r="FC145" s="620">
        <f t="shared" si="651"/>
        <v>0</v>
      </c>
      <c r="FD145" s="620">
        <f t="shared" si="651"/>
        <v>0</v>
      </c>
      <c r="FE145" s="620">
        <f t="shared" si="651"/>
        <v>0</v>
      </c>
      <c r="FF145" s="620">
        <f t="shared" si="651"/>
        <v>0</v>
      </c>
      <c r="FG145" s="620">
        <f t="shared" si="651"/>
        <v>0</v>
      </c>
      <c r="FH145" s="620">
        <f t="shared" si="651"/>
        <v>0</v>
      </c>
      <c r="FI145" s="620">
        <f t="shared" si="651"/>
        <v>0</v>
      </c>
      <c r="FJ145" s="620">
        <f t="shared" si="651"/>
        <v>0</v>
      </c>
      <c r="FK145" s="620">
        <f t="shared" si="651"/>
        <v>0</v>
      </c>
      <c r="FL145" s="620">
        <f t="shared" si="651"/>
        <v>0</v>
      </c>
      <c r="FM145" s="620">
        <f t="shared" si="651"/>
        <v>0</v>
      </c>
      <c r="FN145" s="620">
        <f t="shared" si="651"/>
        <v>0</v>
      </c>
      <c r="FO145" s="620">
        <f t="shared" si="651"/>
        <v>0</v>
      </c>
      <c r="FP145" s="620">
        <f t="shared" si="651"/>
        <v>0</v>
      </c>
      <c r="FQ145" s="620">
        <f t="shared" si="651"/>
        <v>0</v>
      </c>
      <c r="FR145" s="620">
        <f t="shared" si="651"/>
        <v>0</v>
      </c>
      <c r="FS145" s="620">
        <f t="shared" si="651"/>
        <v>0</v>
      </c>
      <c r="FT145" s="620">
        <f t="shared" si="651"/>
        <v>0</v>
      </c>
      <c r="FU145" s="620">
        <f t="shared" si="651"/>
        <v>0</v>
      </c>
      <c r="FV145" s="620">
        <f t="shared" si="651"/>
        <v>0</v>
      </c>
      <c r="FW145" s="620">
        <f t="shared" si="651"/>
        <v>0</v>
      </c>
      <c r="FX145" s="620">
        <f t="shared" si="651"/>
        <v>0</v>
      </c>
      <c r="FY145" s="620">
        <f t="shared" si="651"/>
        <v>0</v>
      </c>
      <c r="FZ145" s="620">
        <f t="shared" si="651"/>
        <v>0</v>
      </c>
      <c r="GA145" s="620">
        <f t="shared" si="651"/>
        <v>0</v>
      </c>
      <c r="GB145" s="620">
        <f t="shared" si="651"/>
        <v>0</v>
      </c>
      <c r="GC145" s="620">
        <f t="shared" si="651"/>
        <v>0</v>
      </c>
      <c r="GD145" s="620">
        <f t="shared" si="651"/>
        <v>0</v>
      </c>
      <c r="GE145" s="620">
        <f t="shared" si="651"/>
        <v>0</v>
      </c>
      <c r="GF145" s="620">
        <f t="shared" si="651"/>
        <v>0</v>
      </c>
      <c r="GG145" s="620">
        <f t="shared" si="651"/>
        <v>0</v>
      </c>
      <c r="GH145" s="620">
        <f t="shared" si="651"/>
        <v>0</v>
      </c>
      <c r="GI145" s="620">
        <f t="shared" si="651"/>
        <v>0</v>
      </c>
      <c r="GJ145" s="620">
        <f t="shared" si="651"/>
        <v>0</v>
      </c>
      <c r="GK145" s="620">
        <f t="shared" si="651"/>
        <v>0</v>
      </c>
      <c r="GL145" s="620">
        <f t="shared" si="651"/>
        <v>0</v>
      </c>
      <c r="GM145" s="620">
        <f t="shared" si="651"/>
        <v>0</v>
      </c>
      <c r="GN145" s="620">
        <f t="shared" si="651"/>
        <v>0</v>
      </c>
      <c r="GO145" s="620">
        <f t="shared" ref="GO145:IZ145" si="652">IF(GO144&lt;0,0,GO144)</f>
        <v>0</v>
      </c>
      <c r="GP145" s="620">
        <f t="shared" si="652"/>
        <v>0</v>
      </c>
      <c r="GQ145" s="620">
        <f t="shared" si="652"/>
        <v>0</v>
      </c>
      <c r="GR145" s="620">
        <f t="shared" si="652"/>
        <v>0</v>
      </c>
      <c r="GS145" s="620">
        <f t="shared" si="652"/>
        <v>0</v>
      </c>
      <c r="GT145" s="620">
        <f t="shared" si="652"/>
        <v>0</v>
      </c>
      <c r="GU145" s="620">
        <f t="shared" si="652"/>
        <v>0</v>
      </c>
      <c r="GV145" s="620">
        <f t="shared" si="652"/>
        <v>0</v>
      </c>
      <c r="GW145" s="620">
        <f t="shared" si="652"/>
        <v>0</v>
      </c>
      <c r="GX145" s="620">
        <f t="shared" si="652"/>
        <v>0</v>
      </c>
      <c r="GY145" s="620">
        <f t="shared" si="652"/>
        <v>0</v>
      </c>
      <c r="GZ145" s="620">
        <f t="shared" si="652"/>
        <v>0</v>
      </c>
      <c r="HA145" s="620">
        <f t="shared" si="652"/>
        <v>0</v>
      </c>
      <c r="HB145" s="620">
        <f t="shared" si="652"/>
        <v>0</v>
      </c>
      <c r="HC145" s="620">
        <f t="shared" si="652"/>
        <v>0</v>
      </c>
      <c r="HD145" s="620">
        <f t="shared" si="652"/>
        <v>0</v>
      </c>
      <c r="HE145" s="620">
        <f t="shared" si="652"/>
        <v>0</v>
      </c>
      <c r="HF145" s="620">
        <f t="shared" si="652"/>
        <v>0</v>
      </c>
      <c r="HG145" s="620">
        <f t="shared" si="652"/>
        <v>0</v>
      </c>
      <c r="HH145" s="620">
        <f t="shared" si="652"/>
        <v>0</v>
      </c>
      <c r="HI145" s="620">
        <f t="shared" si="652"/>
        <v>0</v>
      </c>
      <c r="HJ145" s="620">
        <f t="shared" si="652"/>
        <v>0</v>
      </c>
      <c r="HK145" s="620">
        <f t="shared" si="652"/>
        <v>0</v>
      </c>
      <c r="HL145" s="620">
        <f t="shared" si="652"/>
        <v>0</v>
      </c>
      <c r="HM145" s="620">
        <f t="shared" si="652"/>
        <v>0</v>
      </c>
      <c r="HN145" s="620">
        <f t="shared" si="652"/>
        <v>0</v>
      </c>
      <c r="HO145" s="620">
        <f t="shared" si="652"/>
        <v>0</v>
      </c>
      <c r="HP145" s="620">
        <f t="shared" si="652"/>
        <v>0</v>
      </c>
      <c r="HQ145" s="620">
        <f t="shared" si="652"/>
        <v>0</v>
      </c>
      <c r="HR145" s="620">
        <f t="shared" si="652"/>
        <v>0</v>
      </c>
      <c r="HS145" s="620">
        <f t="shared" si="652"/>
        <v>0</v>
      </c>
      <c r="HT145" s="620">
        <f t="shared" si="652"/>
        <v>0</v>
      </c>
      <c r="HU145" s="620">
        <f t="shared" si="652"/>
        <v>0</v>
      </c>
      <c r="HV145" s="620">
        <f t="shared" si="652"/>
        <v>0</v>
      </c>
      <c r="HW145" s="620">
        <f t="shared" si="652"/>
        <v>0</v>
      </c>
      <c r="HX145" s="620">
        <f t="shared" si="652"/>
        <v>29960</v>
      </c>
      <c r="HY145" s="620">
        <f t="shared" si="652"/>
        <v>0</v>
      </c>
      <c r="HZ145" s="620">
        <f t="shared" si="652"/>
        <v>0</v>
      </c>
      <c r="IA145" s="620">
        <f t="shared" si="652"/>
        <v>0</v>
      </c>
      <c r="IB145" s="620">
        <f t="shared" si="652"/>
        <v>0</v>
      </c>
      <c r="IC145" s="620">
        <f t="shared" si="652"/>
        <v>0</v>
      </c>
      <c r="ID145" s="620">
        <f t="shared" si="652"/>
        <v>0</v>
      </c>
      <c r="IE145" s="620">
        <f t="shared" si="652"/>
        <v>0</v>
      </c>
      <c r="IF145" s="620">
        <f t="shared" si="652"/>
        <v>0</v>
      </c>
      <c r="IG145" s="620">
        <f t="shared" si="652"/>
        <v>0</v>
      </c>
      <c r="IH145" s="620">
        <f t="shared" si="652"/>
        <v>0</v>
      </c>
      <c r="II145" s="620">
        <f t="shared" si="652"/>
        <v>0</v>
      </c>
      <c r="IJ145" s="620">
        <f t="shared" si="652"/>
        <v>0</v>
      </c>
      <c r="IK145" s="620">
        <f t="shared" si="652"/>
        <v>0</v>
      </c>
      <c r="IL145" s="620">
        <f t="shared" si="652"/>
        <v>0</v>
      </c>
      <c r="IM145" s="620">
        <f t="shared" si="652"/>
        <v>0</v>
      </c>
      <c r="IN145" s="620">
        <f t="shared" si="652"/>
        <v>0</v>
      </c>
      <c r="IO145" s="620">
        <f t="shared" si="652"/>
        <v>0</v>
      </c>
      <c r="IP145" s="620">
        <f t="shared" si="652"/>
        <v>0</v>
      </c>
      <c r="IQ145" s="620">
        <f t="shared" si="652"/>
        <v>0</v>
      </c>
      <c r="IR145" s="620">
        <f t="shared" si="652"/>
        <v>0</v>
      </c>
      <c r="IS145" s="620">
        <f t="shared" si="652"/>
        <v>0</v>
      </c>
      <c r="IT145" s="620">
        <f t="shared" si="652"/>
        <v>0</v>
      </c>
      <c r="IU145" s="620">
        <f t="shared" si="652"/>
        <v>0</v>
      </c>
      <c r="IV145" s="620">
        <f t="shared" si="652"/>
        <v>0</v>
      </c>
      <c r="IW145" s="620">
        <f t="shared" si="652"/>
        <v>0</v>
      </c>
      <c r="IX145" s="620">
        <f t="shared" si="652"/>
        <v>0</v>
      </c>
      <c r="IY145" s="620">
        <f t="shared" si="652"/>
        <v>0</v>
      </c>
      <c r="IZ145" s="620">
        <f t="shared" si="652"/>
        <v>0</v>
      </c>
      <c r="JA145" s="620">
        <f t="shared" ref="JA145:JH145" si="653">IF(JA144&lt;0,0,JA144)</f>
        <v>0</v>
      </c>
      <c r="JB145" s="623">
        <f>IF(IF(JB144&lt;0,0,JB144)&lt;JB146,0,IF(JB144&lt;0,0,JB144)-JB146)</f>
        <v>0</v>
      </c>
      <c r="JC145" s="620">
        <f t="shared" si="653"/>
        <v>0</v>
      </c>
      <c r="JD145" s="623">
        <f>IF(IF(JD144&lt;0,0,JD144)&lt;JD146,0,IF(JD144&lt;0,0,JD144)-JD146)</f>
        <v>0</v>
      </c>
      <c r="JE145" s="620">
        <f t="shared" si="653"/>
        <v>0</v>
      </c>
      <c r="JF145" s="620">
        <f t="shared" si="653"/>
        <v>0</v>
      </c>
      <c r="JG145" s="620">
        <f t="shared" si="653"/>
        <v>0</v>
      </c>
      <c r="JH145" s="621">
        <f t="shared" si="653"/>
        <v>0</v>
      </c>
      <c r="JI145" s="575">
        <f t="shared" si="635"/>
        <v>1890650.7584394901</v>
      </c>
    </row>
    <row r="146" spans="1:276" x14ac:dyDescent="0.25">
      <c r="B146" s="622" t="s">
        <v>2634</v>
      </c>
      <c r="C146" s="622">
        <f>C51-C9</f>
        <v>96049.15107938461</v>
      </c>
      <c r="D146" s="622">
        <f t="shared" ref="D146:BP146" si="654">D51-D9</f>
        <v>350000</v>
      </c>
      <c r="E146" s="622">
        <f t="shared" si="654"/>
        <v>-592805.15315543115</v>
      </c>
      <c r="F146" s="622">
        <f t="shared" si="654"/>
        <v>-1001950.2911646427</v>
      </c>
      <c r="G146" s="622">
        <f t="shared" si="654"/>
        <v>-419747.87270940468</v>
      </c>
      <c r="H146" s="622">
        <f t="shared" si="654"/>
        <v>-1157858</v>
      </c>
      <c r="I146" s="622">
        <f t="shared" si="654"/>
        <v>-3164198</v>
      </c>
      <c r="J146" s="622">
        <f t="shared" si="654"/>
        <v>-2788914.7639159658</v>
      </c>
      <c r="K146" s="622">
        <f t="shared" si="654"/>
        <v>-419032.31589531992</v>
      </c>
      <c r="L146" s="622">
        <f t="shared" si="654"/>
        <v>-952444.17074305983</v>
      </c>
      <c r="M146" s="622">
        <f t="shared" si="654"/>
        <v>-1132224.761104234</v>
      </c>
      <c r="N146" s="622">
        <f t="shared" si="654"/>
        <v>-1831697.1629196769</v>
      </c>
      <c r="O146" s="622">
        <f t="shared" si="654"/>
        <v>-145005.78957660589</v>
      </c>
      <c r="P146" s="622">
        <f t="shared" si="654"/>
        <v>-124901.99781831075</v>
      </c>
      <c r="Q146" s="622">
        <f t="shared" si="654"/>
        <v>-958511.52089898451</v>
      </c>
      <c r="R146" s="622">
        <f t="shared" si="654"/>
        <v>-95847.41443209257</v>
      </c>
      <c r="S146" s="622">
        <f t="shared" si="654"/>
        <v>-142704.92521024658</v>
      </c>
      <c r="T146" s="622">
        <f t="shared" si="654"/>
        <v>-75226.489221846219</v>
      </c>
      <c r="U146" s="622">
        <f t="shared" si="654"/>
        <v>-138339.73383276933</v>
      </c>
      <c r="V146" s="622">
        <f t="shared" si="654"/>
        <v>-254100</v>
      </c>
      <c r="W146" s="622">
        <f t="shared" si="654"/>
        <v>249600</v>
      </c>
      <c r="X146" s="622">
        <f t="shared" si="654"/>
        <v>-919418.91381215304</v>
      </c>
      <c r="Y146" s="622">
        <f t="shared" si="654"/>
        <v>199045.44921071106</v>
      </c>
      <c r="Z146" s="622">
        <f t="shared" si="654"/>
        <v>210000</v>
      </c>
      <c r="AA146" s="622">
        <f t="shared" si="654"/>
        <v>-602964.67329784483</v>
      </c>
      <c r="AB146" s="622">
        <f t="shared" si="654"/>
        <v>-1630851.864033761</v>
      </c>
      <c r="AC146" s="622">
        <f t="shared" ref="AC146" si="655">AC51-AC9</f>
        <v>-277338.15867635026</v>
      </c>
      <c r="AD146" s="622">
        <f t="shared" si="654"/>
        <v>-330895.30143863428</v>
      </c>
      <c r="AE146" s="622">
        <f t="shared" si="654"/>
        <v>-701902.47410105611</v>
      </c>
      <c r="AF146" s="622">
        <f t="shared" si="654"/>
        <v>-206047.07046204177</v>
      </c>
      <c r="AG146" s="622">
        <f t="shared" si="654"/>
        <v>-352892.97118331445</v>
      </c>
      <c r="AH146" s="622">
        <f t="shared" si="654"/>
        <v>47300</v>
      </c>
      <c r="AI146" s="622">
        <f t="shared" si="654"/>
        <v>964180</v>
      </c>
      <c r="AJ146" s="622">
        <f t="shared" si="654"/>
        <v>203040</v>
      </c>
      <c r="AK146" s="622">
        <f t="shared" si="654"/>
        <v>132468</v>
      </c>
      <c r="AL146" s="622">
        <f t="shared" si="654"/>
        <v>-677090.83664892241</v>
      </c>
      <c r="AM146" s="622">
        <f t="shared" si="654"/>
        <v>-134783.62736587692</v>
      </c>
      <c r="AN146" s="622">
        <f t="shared" si="654"/>
        <v>-276683.49555727385</v>
      </c>
      <c r="AO146" s="622">
        <f t="shared" si="654"/>
        <v>-1766966.3368591703</v>
      </c>
      <c r="AP146" s="622">
        <f t="shared" si="654"/>
        <v>-38260</v>
      </c>
      <c r="AQ146" s="622">
        <f t="shared" si="654"/>
        <v>-243890.59568873851</v>
      </c>
      <c r="AR146" s="622">
        <f t="shared" si="654"/>
        <v>-397259.60074915411</v>
      </c>
      <c r="AS146" s="622">
        <f t="shared" si="654"/>
        <v>-231535.89353310771</v>
      </c>
      <c r="AT146" s="622">
        <f t="shared" si="654"/>
        <v>-959857.80602272414</v>
      </c>
      <c r="AU146" s="622">
        <f t="shared" si="654"/>
        <v>-524413.7166775919</v>
      </c>
      <c r="AV146" s="622">
        <f t="shared" si="654"/>
        <v>-231839.32270477386</v>
      </c>
      <c r="AW146" s="622">
        <f t="shared" si="654"/>
        <v>-3125987.9876498799</v>
      </c>
      <c r="AX146" s="622">
        <f t="shared" si="654"/>
        <v>-763184.19170502573</v>
      </c>
      <c r="AY146" s="622">
        <f t="shared" si="654"/>
        <v>-516318.16204660945</v>
      </c>
      <c r="AZ146" s="622">
        <f t="shared" si="654"/>
        <v>453507</v>
      </c>
      <c r="BA146" s="622">
        <f t="shared" si="654"/>
        <v>683000</v>
      </c>
      <c r="BB146" s="622">
        <f t="shared" si="654"/>
        <v>-41650.329521507723</v>
      </c>
      <c r="BC146" s="622">
        <f t="shared" si="654"/>
        <v>-445057.50619746768</v>
      </c>
      <c r="BD146" s="622">
        <f t="shared" si="654"/>
        <v>-492256.05068342155</v>
      </c>
      <c r="BE146" s="622">
        <f t="shared" si="654"/>
        <v>-1290900</v>
      </c>
      <c r="BF146" s="622">
        <f t="shared" si="654"/>
        <v>649371.39419043064</v>
      </c>
      <c r="BG146" s="622">
        <f t="shared" si="654"/>
        <v>843000</v>
      </c>
      <c r="BH146" s="622">
        <f t="shared" si="654"/>
        <v>182109.24156050989</v>
      </c>
      <c r="BI146" s="622">
        <f t="shared" si="654"/>
        <v>1100000</v>
      </c>
      <c r="BJ146" s="622">
        <f t="shared" si="654"/>
        <v>-921763.32988782786</v>
      </c>
      <c r="BK146" s="622">
        <f t="shared" si="654"/>
        <v>22000</v>
      </c>
      <c r="BL146" s="622">
        <f t="shared" si="654"/>
        <v>-544861.50499912724</v>
      </c>
      <c r="BM146" s="622">
        <f t="shared" si="654"/>
        <v>568973.04</v>
      </c>
      <c r="BN146" s="622">
        <f t="shared" si="654"/>
        <v>-281933.40176123707</v>
      </c>
      <c r="BO146" s="622">
        <f t="shared" si="654"/>
        <v>-178245.6261669097</v>
      </c>
      <c r="BP146" s="622">
        <f t="shared" si="654"/>
        <v>-87000</v>
      </c>
      <c r="BQ146" s="622">
        <f t="shared" ref="BQ146:EB146" si="656">BQ51-BQ9</f>
        <v>-112726</v>
      </c>
      <c r="BR146" s="622">
        <f t="shared" si="656"/>
        <v>-90276.760449492256</v>
      </c>
      <c r="BS146" s="622">
        <f t="shared" si="656"/>
        <v>-301034.68059932324</v>
      </c>
      <c r="BT146" s="622">
        <f t="shared" si="656"/>
        <v>-42481.733832769329</v>
      </c>
      <c r="BU146" s="622">
        <f t="shared" si="656"/>
        <v>-2258312.7705044998</v>
      </c>
      <c r="BV146" s="622">
        <f t="shared" si="656"/>
        <v>-236863.01715525519</v>
      </c>
      <c r="BW146" s="622">
        <f t="shared" si="656"/>
        <v>-310717.15994741418</v>
      </c>
      <c r="BX146" s="622">
        <f t="shared" si="656"/>
        <v>-1475526.876291533</v>
      </c>
      <c r="BY146" s="622">
        <f t="shared" si="656"/>
        <v>-609472.31126441457</v>
      </c>
      <c r="BZ146" s="622">
        <f t="shared" si="656"/>
        <v>-298980.01244640414</v>
      </c>
      <c r="CA146" s="622">
        <f t="shared" si="656"/>
        <v>0</v>
      </c>
      <c r="CB146" s="622">
        <f t="shared" si="656"/>
        <v>-495629.16010075412</v>
      </c>
      <c r="CC146" s="622">
        <f t="shared" si="656"/>
        <v>-736986.08997100033</v>
      </c>
      <c r="CD146" s="622">
        <f t="shared" si="656"/>
        <v>-404226.48922184622</v>
      </c>
      <c r="CE146" s="622">
        <f t="shared" si="656"/>
        <v>-1776949.8746832293</v>
      </c>
      <c r="CF146" s="622">
        <f t="shared" si="656"/>
        <v>-267172.1606710488</v>
      </c>
      <c r="CG146" s="622">
        <f t="shared" si="656"/>
        <v>-1158840.5039295536</v>
      </c>
      <c r="CH146" s="622">
        <f t="shared" si="656"/>
        <v>-3703000</v>
      </c>
      <c r="CI146" s="622">
        <f t="shared" si="656"/>
        <v>-3248366.8442031313</v>
      </c>
      <c r="CJ146" s="622">
        <f t="shared" si="656"/>
        <v>-659319.9181716647</v>
      </c>
      <c r="CK146" s="622">
        <f t="shared" si="656"/>
        <v>29780</v>
      </c>
      <c r="CL146" s="622">
        <f t="shared" si="656"/>
        <v>-2958561.4027179093</v>
      </c>
      <c r="CM146" s="622">
        <f t="shared" si="656"/>
        <v>-1592177.5600136863</v>
      </c>
      <c r="CN146" s="622">
        <f t="shared" si="656"/>
        <v>-357504.14584698994</v>
      </c>
      <c r="CO146" s="622">
        <f t="shared" si="656"/>
        <v>-481910.14584698994</v>
      </c>
      <c r="CP146" s="622">
        <f t="shared" si="656"/>
        <v>-378994.14584698994</v>
      </c>
      <c r="CQ146" s="622">
        <f t="shared" si="656"/>
        <v>-955727.426281875</v>
      </c>
      <c r="CR146" s="622">
        <f t="shared" si="656"/>
        <v>36723</v>
      </c>
      <c r="CS146" s="622">
        <f t="shared" si="656"/>
        <v>-3111373.3258069074</v>
      </c>
      <c r="CT146" s="622">
        <f t="shared" si="656"/>
        <v>-5705918</v>
      </c>
      <c r="CU146" s="622">
        <f t="shared" si="656"/>
        <v>99027.688735585427</v>
      </c>
      <c r="CV146" s="622">
        <f t="shared" si="656"/>
        <v>-1722297.5994363343</v>
      </c>
      <c r="CW146" s="622">
        <f t="shared" si="656"/>
        <v>45664.106466892292</v>
      </c>
      <c r="CX146" s="622">
        <f t="shared" si="656"/>
        <v>229532</v>
      </c>
      <c r="CY146" s="622">
        <f t="shared" si="656"/>
        <v>-358916.71609879145</v>
      </c>
      <c r="CZ146" s="622">
        <f t="shared" si="656"/>
        <v>75100</v>
      </c>
      <c r="DA146" s="622">
        <f t="shared" si="656"/>
        <v>928781.72108589858</v>
      </c>
      <c r="DB146" s="622">
        <f t="shared" si="656"/>
        <v>-106618.46260512329</v>
      </c>
      <c r="DC146" s="622">
        <f t="shared" si="656"/>
        <v>-322713.21877048491</v>
      </c>
      <c r="DD146" s="622">
        <f t="shared" si="656"/>
        <v>-5291346.1661662124</v>
      </c>
      <c r="DE146" s="622">
        <f t="shared" si="656"/>
        <v>-1214595.1286137532</v>
      </c>
      <c r="DF146" s="622">
        <f t="shared" si="656"/>
        <v>2721236.8713862468</v>
      </c>
      <c r="DG146" s="622">
        <f t="shared" si="656"/>
        <v>-1062487.834848816</v>
      </c>
      <c r="DH146" s="622">
        <f t="shared" si="656"/>
        <v>-1517189.559797849</v>
      </c>
      <c r="DI146" s="622">
        <f t="shared" si="656"/>
        <v>-1393074</v>
      </c>
      <c r="DJ146" s="622">
        <f t="shared" si="656"/>
        <v>-1854835.0236859601</v>
      </c>
      <c r="DK146" s="622">
        <f t="shared" si="656"/>
        <v>-2417346</v>
      </c>
      <c r="DL146" s="622">
        <f t="shared" si="656"/>
        <v>-4284539.7444625795</v>
      </c>
      <c r="DM146" s="622">
        <f t="shared" si="656"/>
        <v>-482050.55850599613</v>
      </c>
      <c r="DN146" s="622">
        <f t="shared" si="656"/>
        <v>-299093.43754096981</v>
      </c>
      <c r="DO146" s="622">
        <f t="shared" si="656"/>
        <v>-331699.60778989107</v>
      </c>
      <c r="DP146" s="622">
        <f t="shared" si="656"/>
        <v>-457474.97400271706</v>
      </c>
      <c r="DQ146" s="622">
        <f t="shared" si="656"/>
        <v>316150</v>
      </c>
      <c r="DR146" s="622">
        <f t="shared" si="656"/>
        <v>562288.5</v>
      </c>
      <c r="DS146" s="622">
        <f t="shared" si="656"/>
        <v>747552.23658600543</v>
      </c>
      <c r="DT146" s="622">
        <f t="shared" si="656"/>
        <v>345500</v>
      </c>
      <c r="DU146" s="622">
        <f t="shared" si="656"/>
        <v>0</v>
      </c>
      <c r="DV146" s="622">
        <f t="shared" si="656"/>
        <v>2016667</v>
      </c>
      <c r="DW146" s="622">
        <f t="shared" si="656"/>
        <v>0</v>
      </c>
      <c r="DX146" s="622">
        <f t="shared" si="656"/>
        <v>0</v>
      </c>
      <c r="DY146" s="622">
        <f t="shared" si="656"/>
        <v>-1488857.2495173514</v>
      </c>
      <c r="DZ146" s="622">
        <f t="shared" si="656"/>
        <v>-200074.3111851234</v>
      </c>
      <c r="EA146" s="622">
        <f t="shared" si="656"/>
        <v>-522527.23529455811</v>
      </c>
      <c r="EB146" s="622">
        <f t="shared" si="656"/>
        <v>76640.858343649656</v>
      </c>
      <c r="EC146" s="622">
        <f t="shared" ref="EC146:ES146" si="657">EC51-EC9</f>
        <v>-1318382.2165024686</v>
      </c>
      <c r="ED146" s="622">
        <f t="shared" si="657"/>
        <v>-445216.73878848553</v>
      </c>
      <c r="EE146" s="622">
        <f t="shared" si="657"/>
        <v>134189.53739487671</v>
      </c>
      <c r="EF146" s="622">
        <f t="shared" si="657"/>
        <v>147466.88847269223</v>
      </c>
      <c r="EG146" s="622">
        <f t="shared" si="657"/>
        <v>-6075.7399211212178</v>
      </c>
      <c r="EH146" s="622">
        <f t="shared" si="657"/>
        <v>124811.80860682938</v>
      </c>
      <c r="EI146" s="622">
        <f t="shared" si="657"/>
        <v>153000</v>
      </c>
      <c r="EJ146" s="622">
        <f t="shared" si="657"/>
        <v>-1254497</v>
      </c>
      <c r="EK146" s="622">
        <f t="shared" si="657"/>
        <v>-2176218.9124315493</v>
      </c>
      <c r="EL146" s="622">
        <f t="shared" si="657"/>
        <v>-2102428.474704152</v>
      </c>
      <c r="EM146" s="622">
        <f t="shared" si="657"/>
        <v>-1438309.6805571243</v>
      </c>
      <c r="EN146" s="622">
        <f t="shared" si="657"/>
        <v>-161191.61752498476</v>
      </c>
      <c r="EO146" s="622">
        <f t="shared" si="657"/>
        <v>-131650.59568873851</v>
      </c>
      <c r="EP146" s="622">
        <f t="shared" si="657"/>
        <v>12264.126105596777</v>
      </c>
      <c r="EQ146" s="622">
        <f t="shared" si="657"/>
        <v>-1133610.509737364</v>
      </c>
      <c r="ER146" s="622">
        <f t="shared" si="657"/>
        <v>657000</v>
      </c>
      <c r="ES146" s="622">
        <f t="shared" si="657"/>
        <v>-3480000</v>
      </c>
      <c r="JB146" s="622">
        <f t="shared" ref="JB146" si="658">JB51-JB9</f>
        <v>473788.96015719743</v>
      </c>
      <c r="JD146" s="622">
        <f>JD51-JD9</f>
        <v>2734651.4754739245</v>
      </c>
    </row>
    <row r="147" spans="1:276" x14ac:dyDescent="0.25">
      <c r="B147" s="614" t="s">
        <v>2627</v>
      </c>
      <c r="C147" s="314">
        <f>-C145</f>
        <v>0</v>
      </c>
      <c r="D147" s="314">
        <f t="shared" ref="D147:BP147" si="659">-D145</f>
        <v>0</v>
      </c>
      <c r="E147" s="314">
        <f t="shared" si="659"/>
        <v>0</v>
      </c>
      <c r="F147" s="314">
        <f t="shared" si="659"/>
        <v>0</v>
      </c>
      <c r="G147" s="314">
        <f t="shared" si="659"/>
        <v>0</v>
      </c>
      <c r="H147" s="314">
        <f t="shared" si="659"/>
        <v>0</v>
      </c>
      <c r="I147" s="314">
        <f t="shared" si="659"/>
        <v>0</v>
      </c>
      <c r="J147" s="314">
        <f t="shared" si="659"/>
        <v>0</v>
      </c>
      <c r="K147" s="314">
        <f t="shared" si="659"/>
        <v>0</v>
      </c>
      <c r="L147" s="314">
        <f t="shared" si="659"/>
        <v>0</v>
      </c>
      <c r="M147" s="314">
        <f t="shared" si="659"/>
        <v>0</v>
      </c>
      <c r="N147" s="314">
        <f t="shared" si="659"/>
        <v>0</v>
      </c>
      <c r="O147" s="314">
        <f t="shared" si="659"/>
        <v>0</v>
      </c>
      <c r="P147" s="314">
        <f t="shared" si="659"/>
        <v>0</v>
      </c>
      <c r="Q147" s="314">
        <f t="shared" si="659"/>
        <v>0</v>
      </c>
      <c r="R147" s="314">
        <f t="shared" si="659"/>
        <v>0</v>
      </c>
      <c r="S147" s="314">
        <f t="shared" si="659"/>
        <v>0</v>
      </c>
      <c r="T147" s="314">
        <f t="shared" si="659"/>
        <v>0</v>
      </c>
      <c r="U147" s="314">
        <f t="shared" si="659"/>
        <v>0</v>
      </c>
      <c r="V147" s="314">
        <f t="shared" si="659"/>
        <v>0</v>
      </c>
      <c r="W147" s="314">
        <f t="shared" si="659"/>
        <v>0</v>
      </c>
      <c r="X147" s="314">
        <f t="shared" si="659"/>
        <v>0</v>
      </c>
      <c r="Y147" s="314">
        <f t="shared" si="659"/>
        <v>0</v>
      </c>
      <c r="Z147" s="314">
        <f t="shared" si="659"/>
        <v>0</v>
      </c>
      <c r="AA147" s="314">
        <f t="shared" si="659"/>
        <v>0</v>
      </c>
      <c r="AB147" s="314">
        <f t="shared" si="659"/>
        <v>0</v>
      </c>
      <c r="AC147" s="314">
        <f t="shared" ref="AC147" si="660">-AC145</f>
        <v>0</v>
      </c>
      <c r="AD147" s="314">
        <f t="shared" si="659"/>
        <v>0</v>
      </c>
      <c r="AE147" s="314">
        <f t="shared" si="659"/>
        <v>0</v>
      </c>
      <c r="AF147" s="314">
        <f t="shared" si="659"/>
        <v>0</v>
      </c>
      <c r="AG147" s="314">
        <f t="shared" si="659"/>
        <v>0</v>
      </c>
      <c r="AH147" s="314">
        <f t="shared" si="659"/>
        <v>0</v>
      </c>
      <c r="AI147" s="314">
        <f t="shared" si="659"/>
        <v>0</v>
      </c>
      <c r="AJ147" s="314">
        <f t="shared" si="659"/>
        <v>0</v>
      </c>
      <c r="AK147" s="314">
        <f t="shared" si="659"/>
        <v>0</v>
      </c>
      <c r="AL147" s="314">
        <f t="shared" si="659"/>
        <v>0</v>
      </c>
      <c r="AM147" s="314">
        <f t="shared" si="659"/>
        <v>0</v>
      </c>
      <c r="AN147" s="314">
        <f t="shared" si="659"/>
        <v>0</v>
      </c>
      <c r="AO147" s="314">
        <f t="shared" si="659"/>
        <v>0</v>
      </c>
      <c r="AP147" s="314">
        <f t="shared" si="659"/>
        <v>0</v>
      </c>
      <c r="AQ147" s="314">
        <f t="shared" si="659"/>
        <v>0</v>
      </c>
      <c r="AR147" s="314">
        <f t="shared" si="659"/>
        <v>0</v>
      </c>
      <c r="AS147" s="314">
        <f t="shared" si="659"/>
        <v>0</v>
      </c>
      <c r="AT147" s="314">
        <f t="shared" si="659"/>
        <v>0</v>
      </c>
      <c r="AU147" s="314">
        <f t="shared" si="659"/>
        <v>0</v>
      </c>
      <c r="AV147" s="314">
        <f t="shared" si="659"/>
        <v>0</v>
      </c>
      <c r="AW147" s="314">
        <f t="shared" si="659"/>
        <v>0</v>
      </c>
      <c r="AX147" s="314">
        <f t="shared" si="659"/>
        <v>0</v>
      </c>
      <c r="AY147" s="314">
        <f t="shared" si="659"/>
        <v>0</v>
      </c>
      <c r="AZ147" s="314">
        <f t="shared" si="659"/>
        <v>0</v>
      </c>
      <c r="BA147" s="314">
        <f t="shared" si="659"/>
        <v>0</v>
      </c>
      <c r="BB147" s="314">
        <f t="shared" si="659"/>
        <v>0</v>
      </c>
      <c r="BC147" s="314">
        <f t="shared" si="659"/>
        <v>0</v>
      </c>
      <c r="BD147" s="314">
        <f t="shared" si="659"/>
        <v>0</v>
      </c>
      <c r="BE147" s="314">
        <f t="shared" si="659"/>
        <v>0</v>
      </c>
      <c r="BF147" s="314">
        <f t="shared" si="659"/>
        <v>0</v>
      </c>
      <c r="BG147" s="314">
        <f t="shared" si="659"/>
        <v>0</v>
      </c>
      <c r="BH147" s="314">
        <f t="shared" si="659"/>
        <v>-130890.75843949011</v>
      </c>
      <c r="BI147" s="314">
        <f t="shared" si="659"/>
        <v>0</v>
      </c>
      <c r="BJ147" s="314">
        <f t="shared" si="659"/>
        <v>0</v>
      </c>
      <c r="BK147" s="314">
        <f t="shared" si="659"/>
        <v>0</v>
      </c>
      <c r="BL147" s="314">
        <f t="shared" si="659"/>
        <v>0</v>
      </c>
      <c r="BM147" s="314">
        <f t="shared" si="659"/>
        <v>0</v>
      </c>
      <c r="BN147" s="314">
        <f t="shared" si="659"/>
        <v>0</v>
      </c>
      <c r="BO147" s="314">
        <f t="shared" si="659"/>
        <v>0</v>
      </c>
      <c r="BP147" s="314">
        <f t="shared" si="659"/>
        <v>0</v>
      </c>
      <c r="BQ147" s="314">
        <f t="shared" ref="BQ147:EB147" si="661">-BQ145</f>
        <v>0</v>
      </c>
      <c r="BR147" s="314">
        <f t="shared" si="661"/>
        <v>0</v>
      </c>
      <c r="BS147" s="314">
        <f t="shared" si="661"/>
        <v>0</v>
      </c>
      <c r="BT147" s="314">
        <f t="shared" si="661"/>
        <v>0</v>
      </c>
      <c r="BU147" s="314">
        <f t="shared" si="661"/>
        <v>0</v>
      </c>
      <c r="BV147" s="314">
        <f t="shared" si="661"/>
        <v>0</v>
      </c>
      <c r="BW147" s="314">
        <f t="shared" si="661"/>
        <v>0</v>
      </c>
      <c r="BX147" s="314">
        <f t="shared" si="661"/>
        <v>0</v>
      </c>
      <c r="BY147" s="314">
        <f t="shared" si="661"/>
        <v>0</v>
      </c>
      <c r="BZ147" s="314">
        <f t="shared" si="661"/>
        <v>0</v>
      </c>
      <c r="CA147" s="314">
        <f t="shared" si="661"/>
        <v>0</v>
      </c>
      <c r="CB147" s="314">
        <f t="shared" si="661"/>
        <v>0</v>
      </c>
      <c r="CC147" s="314">
        <f t="shared" si="661"/>
        <v>0</v>
      </c>
      <c r="CD147" s="314">
        <f t="shared" si="661"/>
        <v>0</v>
      </c>
      <c r="CE147" s="314">
        <f t="shared" si="661"/>
        <v>0</v>
      </c>
      <c r="CF147" s="314">
        <f t="shared" si="661"/>
        <v>0</v>
      </c>
      <c r="CG147" s="314">
        <f t="shared" si="661"/>
        <v>0</v>
      </c>
      <c r="CH147" s="314">
        <f t="shared" si="661"/>
        <v>0</v>
      </c>
      <c r="CI147" s="314">
        <f t="shared" si="661"/>
        <v>0</v>
      </c>
      <c r="CJ147" s="314">
        <f t="shared" si="661"/>
        <v>0</v>
      </c>
      <c r="CK147" s="314">
        <f t="shared" si="661"/>
        <v>0</v>
      </c>
      <c r="CL147" s="314">
        <f t="shared" si="661"/>
        <v>0</v>
      </c>
      <c r="CM147" s="314">
        <f t="shared" si="661"/>
        <v>0</v>
      </c>
      <c r="CN147" s="314">
        <f t="shared" si="661"/>
        <v>0</v>
      </c>
      <c r="CO147" s="314">
        <f t="shared" si="661"/>
        <v>0</v>
      </c>
      <c r="CP147" s="314">
        <f t="shared" si="661"/>
        <v>0</v>
      </c>
      <c r="CQ147" s="314">
        <f t="shared" si="661"/>
        <v>0</v>
      </c>
      <c r="CR147" s="314">
        <f t="shared" si="661"/>
        <v>0</v>
      </c>
      <c r="CS147" s="314">
        <f t="shared" si="661"/>
        <v>0</v>
      </c>
      <c r="CT147" s="314">
        <f t="shared" si="661"/>
        <v>0</v>
      </c>
      <c r="CU147" s="314">
        <f t="shared" si="661"/>
        <v>0</v>
      </c>
      <c r="CV147" s="314">
        <f t="shared" si="661"/>
        <v>0</v>
      </c>
      <c r="CW147" s="314">
        <f t="shared" si="661"/>
        <v>0</v>
      </c>
      <c r="CX147" s="314">
        <f t="shared" si="661"/>
        <v>0</v>
      </c>
      <c r="CY147" s="314">
        <f t="shared" si="661"/>
        <v>0</v>
      </c>
      <c r="CZ147" s="314">
        <f t="shared" si="661"/>
        <v>0</v>
      </c>
      <c r="DA147" s="314">
        <f t="shared" si="661"/>
        <v>0</v>
      </c>
      <c r="DB147" s="314">
        <f t="shared" si="661"/>
        <v>0</v>
      </c>
      <c r="DC147" s="314">
        <f t="shared" si="661"/>
        <v>0</v>
      </c>
      <c r="DD147" s="314">
        <f t="shared" si="661"/>
        <v>0</v>
      </c>
      <c r="DE147" s="314">
        <f t="shared" si="661"/>
        <v>0</v>
      </c>
      <c r="DF147" s="314">
        <f t="shared" si="661"/>
        <v>0</v>
      </c>
      <c r="DG147" s="314">
        <f t="shared" si="661"/>
        <v>0</v>
      </c>
      <c r="DH147" s="314">
        <f t="shared" si="661"/>
        <v>0</v>
      </c>
      <c r="DI147" s="314">
        <f t="shared" si="661"/>
        <v>0</v>
      </c>
      <c r="DJ147" s="314">
        <f t="shared" si="661"/>
        <v>0</v>
      </c>
      <c r="DK147" s="314">
        <f t="shared" si="661"/>
        <v>0</v>
      </c>
      <c r="DL147" s="314">
        <f t="shared" si="661"/>
        <v>0</v>
      </c>
      <c r="DM147" s="314">
        <f t="shared" si="661"/>
        <v>0</v>
      </c>
      <c r="DN147" s="314">
        <f t="shared" si="661"/>
        <v>0</v>
      </c>
      <c r="DO147" s="314">
        <f t="shared" si="661"/>
        <v>0</v>
      </c>
      <c r="DP147" s="314">
        <f t="shared" si="661"/>
        <v>0</v>
      </c>
      <c r="DQ147" s="314">
        <f t="shared" si="661"/>
        <v>0</v>
      </c>
      <c r="DR147" s="314">
        <f t="shared" si="661"/>
        <v>0</v>
      </c>
      <c r="DS147" s="314">
        <f t="shared" si="661"/>
        <v>0</v>
      </c>
      <c r="DT147" s="314">
        <f t="shared" si="661"/>
        <v>0</v>
      </c>
      <c r="DU147" s="314">
        <f t="shared" si="661"/>
        <v>0</v>
      </c>
      <c r="DV147" s="314">
        <f t="shared" si="661"/>
        <v>0</v>
      </c>
      <c r="DW147" s="314">
        <f t="shared" si="661"/>
        <v>0</v>
      </c>
      <c r="DX147" s="314">
        <f t="shared" si="661"/>
        <v>0</v>
      </c>
      <c r="DY147" s="314">
        <f t="shared" si="661"/>
        <v>0</v>
      </c>
      <c r="DZ147" s="314">
        <f t="shared" si="661"/>
        <v>0</v>
      </c>
      <c r="EA147" s="314">
        <f t="shared" si="661"/>
        <v>0</v>
      </c>
      <c r="EB147" s="314">
        <f t="shared" si="661"/>
        <v>-1679800</v>
      </c>
      <c r="EC147" s="314">
        <f t="shared" ref="EC147:GN147" si="662">-EC145</f>
        <v>0</v>
      </c>
      <c r="ED147" s="314">
        <f t="shared" si="662"/>
        <v>0</v>
      </c>
      <c r="EE147" s="314">
        <f t="shared" si="662"/>
        <v>0</v>
      </c>
      <c r="EF147" s="314">
        <f t="shared" si="662"/>
        <v>0</v>
      </c>
      <c r="EG147" s="314">
        <f t="shared" si="662"/>
        <v>0</v>
      </c>
      <c r="EH147" s="314">
        <f t="shared" si="662"/>
        <v>0</v>
      </c>
      <c r="EI147" s="314">
        <f t="shared" si="662"/>
        <v>0</v>
      </c>
      <c r="EJ147" s="314">
        <f t="shared" si="662"/>
        <v>0</v>
      </c>
      <c r="EK147" s="314">
        <f t="shared" si="662"/>
        <v>0</v>
      </c>
      <c r="EL147" s="314">
        <f t="shared" si="662"/>
        <v>0</v>
      </c>
      <c r="EM147" s="314">
        <f t="shared" si="662"/>
        <v>0</v>
      </c>
      <c r="EN147" s="314">
        <f t="shared" si="662"/>
        <v>0</v>
      </c>
      <c r="EO147" s="314">
        <f t="shared" si="662"/>
        <v>0</v>
      </c>
      <c r="EP147" s="314">
        <f t="shared" si="662"/>
        <v>0</v>
      </c>
      <c r="EQ147" s="314">
        <f t="shared" si="662"/>
        <v>-50000</v>
      </c>
      <c r="ER147" s="314">
        <f t="shared" si="662"/>
        <v>0</v>
      </c>
      <c r="ES147" s="314">
        <f t="shared" si="662"/>
        <v>0</v>
      </c>
      <c r="ET147" s="314">
        <f t="shared" si="662"/>
        <v>0</v>
      </c>
      <c r="EU147" s="314">
        <f t="shared" si="662"/>
        <v>0</v>
      </c>
      <c r="EV147" s="314">
        <f t="shared" si="662"/>
        <v>0</v>
      </c>
      <c r="EW147" s="314">
        <f t="shared" si="662"/>
        <v>0</v>
      </c>
      <c r="EX147" s="314">
        <f t="shared" si="662"/>
        <v>0</v>
      </c>
      <c r="EY147" s="314">
        <f t="shared" si="662"/>
        <v>0</v>
      </c>
      <c r="EZ147" s="314">
        <f t="shared" si="662"/>
        <v>0</v>
      </c>
      <c r="FA147" s="314">
        <f t="shared" si="662"/>
        <v>0</v>
      </c>
      <c r="FB147" s="314">
        <f t="shared" si="662"/>
        <v>0</v>
      </c>
      <c r="FC147" s="314">
        <f t="shared" si="662"/>
        <v>0</v>
      </c>
      <c r="FD147" s="314">
        <f t="shared" si="662"/>
        <v>0</v>
      </c>
      <c r="FE147" s="314">
        <f t="shared" si="662"/>
        <v>0</v>
      </c>
      <c r="FF147" s="314">
        <f t="shared" si="662"/>
        <v>0</v>
      </c>
      <c r="FG147" s="314">
        <f t="shared" si="662"/>
        <v>0</v>
      </c>
      <c r="FH147" s="314">
        <f t="shared" si="662"/>
        <v>0</v>
      </c>
      <c r="FI147" s="314">
        <f t="shared" si="662"/>
        <v>0</v>
      </c>
      <c r="FJ147" s="314">
        <f t="shared" si="662"/>
        <v>0</v>
      </c>
      <c r="FK147" s="314">
        <f t="shared" si="662"/>
        <v>0</v>
      </c>
      <c r="FL147" s="314">
        <f t="shared" si="662"/>
        <v>0</v>
      </c>
      <c r="FM147" s="314">
        <f t="shared" si="662"/>
        <v>0</v>
      </c>
      <c r="FN147" s="314">
        <f t="shared" si="662"/>
        <v>0</v>
      </c>
      <c r="FO147" s="314">
        <f t="shared" si="662"/>
        <v>0</v>
      </c>
      <c r="FP147" s="314">
        <f t="shared" si="662"/>
        <v>0</v>
      </c>
      <c r="FQ147" s="314">
        <f t="shared" si="662"/>
        <v>0</v>
      </c>
      <c r="FR147" s="314">
        <f t="shared" si="662"/>
        <v>0</v>
      </c>
      <c r="FS147" s="314">
        <f t="shared" si="662"/>
        <v>0</v>
      </c>
      <c r="FT147" s="314">
        <f t="shared" si="662"/>
        <v>0</v>
      </c>
      <c r="FU147" s="314">
        <f t="shared" si="662"/>
        <v>0</v>
      </c>
      <c r="FV147" s="314">
        <f t="shared" si="662"/>
        <v>0</v>
      </c>
      <c r="FW147" s="314">
        <f t="shared" si="662"/>
        <v>0</v>
      </c>
      <c r="FX147" s="314">
        <f t="shared" si="662"/>
        <v>0</v>
      </c>
      <c r="FY147" s="314">
        <f t="shared" si="662"/>
        <v>0</v>
      </c>
      <c r="FZ147" s="314">
        <f t="shared" si="662"/>
        <v>0</v>
      </c>
      <c r="GA147" s="314">
        <f t="shared" si="662"/>
        <v>0</v>
      </c>
      <c r="GB147" s="314">
        <f t="shared" si="662"/>
        <v>0</v>
      </c>
      <c r="GC147" s="314">
        <f t="shared" si="662"/>
        <v>0</v>
      </c>
      <c r="GD147" s="314">
        <f t="shared" si="662"/>
        <v>0</v>
      </c>
      <c r="GE147" s="314">
        <f t="shared" si="662"/>
        <v>0</v>
      </c>
      <c r="GF147" s="314">
        <f t="shared" si="662"/>
        <v>0</v>
      </c>
      <c r="GG147" s="314">
        <f t="shared" si="662"/>
        <v>0</v>
      </c>
      <c r="GH147" s="314">
        <f t="shared" si="662"/>
        <v>0</v>
      </c>
      <c r="GI147" s="314">
        <f t="shared" si="662"/>
        <v>0</v>
      </c>
      <c r="GJ147" s="314">
        <f t="shared" si="662"/>
        <v>0</v>
      </c>
      <c r="GK147" s="314">
        <f t="shared" si="662"/>
        <v>0</v>
      </c>
      <c r="GL147" s="314">
        <f t="shared" si="662"/>
        <v>0</v>
      </c>
      <c r="GM147" s="314">
        <f t="shared" si="662"/>
        <v>0</v>
      </c>
      <c r="GN147" s="314">
        <f t="shared" si="662"/>
        <v>0</v>
      </c>
      <c r="GO147" s="314">
        <f t="shared" ref="GO147:IZ147" si="663">-GO145</f>
        <v>0</v>
      </c>
      <c r="GP147" s="314">
        <f t="shared" si="663"/>
        <v>0</v>
      </c>
      <c r="GQ147" s="314">
        <f t="shared" si="663"/>
        <v>0</v>
      </c>
      <c r="GR147" s="314">
        <f t="shared" si="663"/>
        <v>0</v>
      </c>
      <c r="GS147" s="314">
        <f t="shared" si="663"/>
        <v>0</v>
      </c>
      <c r="GT147" s="314">
        <f t="shared" si="663"/>
        <v>0</v>
      </c>
      <c r="GU147" s="314">
        <f t="shared" si="663"/>
        <v>0</v>
      </c>
      <c r="GV147" s="314">
        <f t="shared" si="663"/>
        <v>0</v>
      </c>
      <c r="GW147" s="314">
        <f t="shared" si="663"/>
        <v>0</v>
      </c>
      <c r="GX147" s="314">
        <f t="shared" si="663"/>
        <v>0</v>
      </c>
      <c r="GY147" s="314">
        <f t="shared" si="663"/>
        <v>0</v>
      </c>
      <c r="GZ147" s="314">
        <f t="shared" si="663"/>
        <v>0</v>
      </c>
      <c r="HA147" s="314">
        <f t="shared" si="663"/>
        <v>0</v>
      </c>
      <c r="HB147" s="314">
        <f t="shared" si="663"/>
        <v>0</v>
      </c>
      <c r="HC147" s="314">
        <f t="shared" si="663"/>
        <v>0</v>
      </c>
      <c r="HD147" s="314">
        <f t="shared" si="663"/>
        <v>0</v>
      </c>
      <c r="HE147" s="314">
        <f t="shared" si="663"/>
        <v>0</v>
      </c>
      <c r="HF147" s="314">
        <f t="shared" si="663"/>
        <v>0</v>
      </c>
      <c r="HG147" s="314">
        <f t="shared" si="663"/>
        <v>0</v>
      </c>
      <c r="HH147" s="314">
        <f t="shared" si="663"/>
        <v>0</v>
      </c>
      <c r="HI147" s="314">
        <f t="shared" si="663"/>
        <v>0</v>
      </c>
      <c r="HJ147" s="314">
        <f t="shared" si="663"/>
        <v>0</v>
      </c>
      <c r="HK147" s="314">
        <f t="shared" si="663"/>
        <v>0</v>
      </c>
      <c r="HL147" s="314">
        <f t="shared" si="663"/>
        <v>0</v>
      </c>
      <c r="HM147" s="314">
        <f t="shared" si="663"/>
        <v>0</v>
      </c>
      <c r="HN147" s="314">
        <f t="shared" si="663"/>
        <v>0</v>
      </c>
      <c r="HO147" s="314">
        <f t="shared" si="663"/>
        <v>0</v>
      </c>
      <c r="HP147" s="314">
        <f t="shared" si="663"/>
        <v>0</v>
      </c>
      <c r="HQ147" s="314">
        <f t="shared" si="663"/>
        <v>0</v>
      </c>
      <c r="HR147" s="314">
        <f t="shared" si="663"/>
        <v>0</v>
      </c>
      <c r="HS147" s="314">
        <f t="shared" si="663"/>
        <v>0</v>
      </c>
      <c r="HT147" s="314">
        <f t="shared" si="663"/>
        <v>0</v>
      </c>
      <c r="HU147" s="314">
        <f t="shared" si="663"/>
        <v>0</v>
      </c>
      <c r="HV147" s="314">
        <f t="shared" si="663"/>
        <v>0</v>
      </c>
      <c r="HW147" s="314">
        <f t="shared" si="663"/>
        <v>0</v>
      </c>
      <c r="HX147" s="314">
        <f t="shared" si="663"/>
        <v>-29960</v>
      </c>
      <c r="HY147" s="314">
        <f t="shared" si="663"/>
        <v>0</v>
      </c>
      <c r="HZ147" s="314">
        <f t="shared" si="663"/>
        <v>0</v>
      </c>
      <c r="IA147" s="314">
        <f t="shared" si="663"/>
        <v>0</v>
      </c>
      <c r="IB147" s="314">
        <f t="shared" si="663"/>
        <v>0</v>
      </c>
      <c r="IC147" s="314">
        <f t="shared" si="663"/>
        <v>0</v>
      </c>
      <c r="ID147" s="314">
        <f t="shared" si="663"/>
        <v>0</v>
      </c>
      <c r="IE147" s="314">
        <f t="shared" si="663"/>
        <v>0</v>
      </c>
      <c r="IF147" s="314">
        <f t="shared" si="663"/>
        <v>0</v>
      </c>
      <c r="IG147" s="314">
        <f t="shared" si="663"/>
        <v>0</v>
      </c>
      <c r="IH147" s="314">
        <f t="shared" si="663"/>
        <v>0</v>
      </c>
      <c r="II147" s="314">
        <f t="shared" si="663"/>
        <v>0</v>
      </c>
      <c r="IJ147" s="314">
        <f t="shared" si="663"/>
        <v>0</v>
      </c>
      <c r="IK147" s="314">
        <f t="shared" si="663"/>
        <v>0</v>
      </c>
      <c r="IL147" s="314">
        <f t="shared" si="663"/>
        <v>0</v>
      </c>
      <c r="IM147" s="314">
        <f t="shared" si="663"/>
        <v>0</v>
      </c>
      <c r="IN147" s="314">
        <f t="shared" si="663"/>
        <v>0</v>
      </c>
      <c r="IO147" s="314">
        <f t="shared" si="663"/>
        <v>0</v>
      </c>
      <c r="IP147" s="314">
        <f t="shared" si="663"/>
        <v>0</v>
      </c>
      <c r="IQ147" s="314">
        <f t="shared" si="663"/>
        <v>0</v>
      </c>
      <c r="IR147" s="314">
        <f t="shared" si="663"/>
        <v>0</v>
      </c>
      <c r="IS147" s="314">
        <f t="shared" si="663"/>
        <v>0</v>
      </c>
      <c r="IT147" s="314">
        <f t="shared" si="663"/>
        <v>0</v>
      </c>
      <c r="IU147" s="314">
        <f t="shared" si="663"/>
        <v>0</v>
      </c>
      <c r="IV147" s="314">
        <f t="shared" si="663"/>
        <v>0</v>
      </c>
      <c r="IW147" s="314">
        <f t="shared" si="663"/>
        <v>0</v>
      </c>
      <c r="IX147" s="314">
        <f t="shared" si="663"/>
        <v>0</v>
      </c>
      <c r="IY147" s="314">
        <f t="shared" si="663"/>
        <v>0</v>
      </c>
      <c r="IZ147" s="314">
        <f t="shared" si="663"/>
        <v>0</v>
      </c>
      <c r="JA147" s="314">
        <f t="shared" ref="JA147:JH147" si="664">-JA145</f>
        <v>0</v>
      </c>
      <c r="JB147" s="314">
        <f t="shared" si="664"/>
        <v>0</v>
      </c>
      <c r="JC147" s="314">
        <f t="shared" si="664"/>
        <v>0</v>
      </c>
      <c r="JD147" s="314">
        <f t="shared" si="664"/>
        <v>0</v>
      </c>
      <c r="JE147" s="314">
        <f t="shared" si="664"/>
        <v>0</v>
      </c>
      <c r="JF147" s="314">
        <f t="shared" si="664"/>
        <v>0</v>
      </c>
      <c r="JG147" s="314">
        <f t="shared" si="664"/>
        <v>0</v>
      </c>
      <c r="JH147" s="314">
        <f t="shared" si="664"/>
        <v>0</v>
      </c>
      <c r="JI147" s="314">
        <f t="shared" si="635"/>
        <v>-1890650.7584394901</v>
      </c>
    </row>
    <row r="148" spans="1:276" x14ac:dyDescent="0.25">
      <c r="A148" s="565"/>
      <c r="B148" s="565" t="s">
        <v>2635</v>
      </c>
      <c r="C148" s="566">
        <f>IF(C149=1,0,IF(C113+C147&gt;C9,C9,C113+C147))</f>
        <v>8884422.5558247231</v>
      </c>
      <c r="D148" s="566">
        <f t="shared" ref="D148:BP148" si="665">IF(D149=1,0,IF(D113+D147&gt;D9,D9,D113+D147))</f>
        <v>7730000</v>
      </c>
      <c r="E148" s="566">
        <f t="shared" si="665"/>
        <v>8299184.4088107003</v>
      </c>
      <c r="F148" s="566">
        <f t="shared" si="665"/>
        <v>3616884.7088353573</v>
      </c>
      <c r="G148" s="566">
        <f t="shared" si="665"/>
        <v>10328003.127290595</v>
      </c>
      <c r="H148" s="566">
        <f t="shared" si="665"/>
        <v>0</v>
      </c>
      <c r="I148" s="566">
        <f t="shared" si="665"/>
        <v>0</v>
      </c>
      <c r="J148" s="566">
        <f t="shared" si="665"/>
        <v>0</v>
      </c>
      <c r="K148" s="566">
        <f t="shared" si="665"/>
        <v>5988080</v>
      </c>
      <c r="L148" s="566">
        <f t="shared" si="665"/>
        <v>3774970</v>
      </c>
      <c r="M148" s="566">
        <f t="shared" si="665"/>
        <v>3667775.238895766</v>
      </c>
      <c r="N148" s="566">
        <f t="shared" si="665"/>
        <v>5360828.6030266704</v>
      </c>
      <c r="O148" s="566">
        <f t="shared" si="665"/>
        <v>4306141</v>
      </c>
      <c r="P148" s="566">
        <f t="shared" si="665"/>
        <v>2453026.0021816893</v>
      </c>
      <c r="Q148" s="566">
        <f t="shared" si="665"/>
        <v>1836488.4791010155</v>
      </c>
      <c r="R148" s="566">
        <f t="shared" si="665"/>
        <v>2030000</v>
      </c>
      <c r="S148" s="566">
        <f t="shared" si="665"/>
        <v>1637152.8</v>
      </c>
      <c r="T148" s="566">
        <f t="shared" si="665"/>
        <v>622773.51077815378</v>
      </c>
      <c r="U148" s="566">
        <f t="shared" si="665"/>
        <v>1087500</v>
      </c>
      <c r="V148" s="566">
        <f t="shared" si="665"/>
        <v>8493620</v>
      </c>
      <c r="W148" s="566">
        <f t="shared" si="665"/>
        <v>2130000</v>
      </c>
      <c r="X148" s="566">
        <f t="shared" si="665"/>
        <v>2304335.8095085779</v>
      </c>
      <c r="Y148" s="566">
        <f t="shared" si="665"/>
        <v>1770700</v>
      </c>
      <c r="Z148" s="566">
        <f t="shared" si="665"/>
        <v>7231924</v>
      </c>
      <c r="AA148" s="566">
        <f t="shared" si="665"/>
        <v>4244705.4490248738</v>
      </c>
      <c r="AB148" s="566">
        <f t="shared" si="665"/>
        <v>3678130.7057224135</v>
      </c>
      <c r="AC148" s="566">
        <f t="shared" ref="AC148" si="666">IF(AC149=1,0,IF(AC113+AC147&gt;AC9,AC9,AC113+AC147))</f>
        <v>640000.31194833247</v>
      </c>
      <c r="AD148" s="566">
        <f t="shared" si="665"/>
        <v>2590229.1206235653</v>
      </c>
      <c r="AE148" s="566">
        <f t="shared" si="665"/>
        <v>103737.52589894389</v>
      </c>
      <c r="AF148" s="566">
        <f t="shared" si="665"/>
        <v>1219244.9295379582</v>
      </c>
      <c r="AG148" s="566">
        <f t="shared" si="665"/>
        <v>3450812.7548698969</v>
      </c>
      <c r="AH148" s="566">
        <f t="shared" si="665"/>
        <v>760000</v>
      </c>
      <c r="AI148" s="566">
        <f t="shared" si="665"/>
        <v>3404000</v>
      </c>
      <c r="AJ148" s="566">
        <f t="shared" si="665"/>
        <v>2585000</v>
      </c>
      <c r="AK148" s="566">
        <f t="shared" si="665"/>
        <v>1251400</v>
      </c>
      <c r="AL148" s="566">
        <f t="shared" si="665"/>
        <v>1952909.1633510776</v>
      </c>
      <c r="AM148" s="566">
        <f t="shared" si="665"/>
        <v>1499708.3726341231</v>
      </c>
      <c r="AN148" s="566">
        <f t="shared" si="665"/>
        <v>1148955.198498779</v>
      </c>
      <c r="AO148" s="566">
        <f t="shared" si="665"/>
        <v>4883755.5596356187</v>
      </c>
      <c r="AP148" s="566">
        <f t="shared" si="665"/>
        <v>2124765.1162296012</v>
      </c>
      <c r="AQ148" s="566">
        <f t="shared" si="665"/>
        <v>491000</v>
      </c>
      <c r="AR148" s="566">
        <f t="shared" si="665"/>
        <v>1531740.3992508459</v>
      </c>
      <c r="AS148" s="566">
        <f t="shared" si="665"/>
        <v>495253.22022333386</v>
      </c>
      <c r="AT148" s="566">
        <f t="shared" si="665"/>
        <v>2498113.4323683418</v>
      </c>
      <c r="AU148" s="566">
        <f t="shared" si="665"/>
        <v>992216.93946642126</v>
      </c>
      <c r="AV148" s="566">
        <f t="shared" si="665"/>
        <v>2003660.6772952261</v>
      </c>
      <c r="AW148" s="566">
        <f t="shared" si="665"/>
        <v>0</v>
      </c>
      <c r="AX148" s="566">
        <f t="shared" si="665"/>
        <v>3240135.311080751</v>
      </c>
      <c r="AY148" s="566">
        <f t="shared" si="665"/>
        <v>3300190.5406568907</v>
      </c>
      <c r="AZ148" s="566">
        <f t="shared" si="665"/>
        <v>2981000</v>
      </c>
      <c r="BA148" s="566">
        <f t="shared" si="665"/>
        <v>9230000</v>
      </c>
      <c r="BB148" s="566">
        <f t="shared" si="665"/>
        <v>1312920</v>
      </c>
      <c r="BC148" s="566">
        <f t="shared" si="665"/>
        <v>1223742.4938025323</v>
      </c>
      <c r="BD148" s="566">
        <f t="shared" si="665"/>
        <v>1916258.3325785431</v>
      </c>
      <c r="BE148" s="566">
        <f t="shared" si="665"/>
        <v>0</v>
      </c>
      <c r="BF148" s="566">
        <f t="shared" si="665"/>
        <v>2020000</v>
      </c>
      <c r="BG148" s="566">
        <f t="shared" si="665"/>
        <v>2499000</v>
      </c>
      <c r="BH148" s="566">
        <f t="shared" si="665"/>
        <v>3075109.2415605099</v>
      </c>
      <c r="BI148" s="566">
        <f t="shared" si="665"/>
        <v>1270000</v>
      </c>
      <c r="BJ148" s="566">
        <f t="shared" si="665"/>
        <v>2734458.8535647267</v>
      </c>
      <c r="BK148" s="566">
        <f t="shared" si="665"/>
        <v>100000</v>
      </c>
      <c r="BL148" s="566">
        <f t="shared" si="665"/>
        <v>455138.49500087276</v>
      </c>
      <c r="BM148" s="566">
        <f t="shared" si="665"/>
        <v>1464826</v>
      </c>
      <c r="BN148" s="566">
        <f t="shared" si="665"/>
        <v>1641101.9931537434</v>
      </c>
      <c r="BO148" s="566">
        <f t="shared" si="665"/>
        <v>1025279.6524752458</v>
      </c>
      <c r="BP148" s="566">
        <f t="shared" si="665"/>
        <v>4652080</v>
      </c>
      <c r="BQ148" s="566">
        <f t="shared" ref="BQ148:EB148" si="667">IF(BQ149=1,0,IF(BQ113+BQ147&gt;BQ9,BQ9,BQ113+BQ147))</f>
        <v>0</v>
      </c>
      <c r="BR148" s="566">
        <f t="shared" si="667"/>
        <v>1013021</v>
      </c>
      <c r="BS148" s="566">
        <f t="shared" si="667"/>
        <v>1300282.2989678741</v>
      </c>
      <c r="BT148" s="566">
        <f t="shared" si="667"/>
        <v>914160.26616723067</v>
      </c>
      <c r="BU148" s="566">
        <f t="shared" si="667"/>
        <v>3939338</v>
      </c>
      <c r="BV148" s="566">
        <f t="shared" si="667"/>
        <v>1177908.0353182531</v>
      </c>
      <c r="BW148" s="566">
        <f t="shared" si="667"/>
        <v>532683</v>
      </c>
      <c r="BX148" s="566">
        <f t="shared" si="667"/>
        <v>5208889.1910633538</v>
      </c>
      <c r="BY148" s="566">
        <f t="shared" si="667"/>
        <v>1520144</v>
      </c>
      <c r="BZ148" s="566">
        <f t="shared" si="667"/>
        <v>324150</v>
      </c>
      <c r="CA148" s="566">
        <f t="shared" si="667"/>
        <v>0</v>
      </c>
      <c r="CB148" s="566">
        <f t="shared" si="667"/>
        <v>571519.10142146726</v>
      </c>
      <c r="CC148" s="566">
        <f t="shared" si="667"/>
        <v>2238055.6625416637</v>
      </c>
      <c r="CD148" s="566">
        <f t="shared" si="667"/>
        <v>637848.21685573971</v>
      </c>
      <c r="CE148" s="566">
        <f t="shared" si="667"/>
        <v>9715050.1253167707</v>
      </c>
      <c r="CF148" s="566">
        <f t="shared" si="667"/>
        <v>4453617.8393289512</v>
      </c>
      <c r="CG148" s="566">
        <f t="shared" si="667"/>
        <v>257159.49607044645</v>
      </c>
      <c r="CH148" s="566">
        <f t="shared" si="667"/>
        <v>0</v>
      </c>
      <c r="CI148" s="566">
        <f t="shared" si="667"/>
        <v>0</v>
      </c>
      <c r="CJ148" s="566">
        <f t="shared" si="667"/>
        <v>3854195.0818283353</v>
      </c>
      <c r="CK148" s="566">
        <f t="shared" si="667"/>
        <v>4466000</v>
      </c>
      <c r="CL148" s="566">
        <f t="shared" si="667"/>
        <v>0</v>
      </c>
      <c r="CM148" s="566">
        <f t="shared" si="667"/>
        <v>6012336.4399863137</v>
      </c>
      <c r="CN148" s="566">
        <f t="shared" si="667"/>
        <v>1342009.9127194914</v>
      </c>
      <c r="CO148" s="566">
        <f t="shared" si="667"/>
        <v>1214500</v>
      </c>
      <c r="CP148" s="566">
        <f t="shared" si="667"/>
        <v>1268807.7168003041</v>
      </c>
      <c r="CQ148" s="566">
        <f t="shared" si="667"/>
        <v>5515036.573718125</v>
      </c>
      <c r="CR148" s="566">
        <f t="shared" si="667"/>
        <v>2331094</v>
      </c>
      <c r="CS148" s="566">
        <f t="shared" si="667"/>
        <v>0</v>
      </c>
      <c r="CT148" s="566">
        <f t="shared" si="667"/>
        <v>0</v>
      </c>
      <c r="CU148" s="566">
        <f t="shared" si="667"/>
        <v>1875000</v>
      </c>
      <c r="CV148" s="566">
        <f t="shared" si="667"/>
        <v>5644990.9859210327</v>
      </c>
      <c r="CW148" s="566">
        <f t="shared" si="667"/>
        <v>400000</v>
      </c>
      <c r="CX148" s="566">
        <f t="shared" si="667"/>
        <v>3457000</v>
      </c>
      <c r="CY148" s="566">
        <f t="shared" si="667"/>
        <v>2881083.2839012085</v>
      </c>
      <c r="CZ148" s="566">
        <f t="shared" si="667"/>
        <v>371000</v>
      </c>
      <c r="DA148" s="566">
        <f t="shared" si="667"/>
        <v>7650000</v>
      </c>
      <c r="DB148" s="566">
        <f t="shared" si="667"/>
        <v>760808</v>
      </c>
      <c r="DC148" s="566">
        <f t="shared" si="667"/>
        <v>1952214.4635382525</v>
      </c>
      <c r="DD148" s="566">
        <f t="shared" si="667"/>
        <v>0</v>
      </c>
      <c r="DE148" s="566">
        <f t="shared" si="667"/>
        <v>1595404.8713862468</v>
      </c>
      <c r="DF148" s="566">
        <f t="shared" si="667"/>
        <v>4660760</v>
      </c>
      <c r="DG148" s="566">
        <f t="shared" si="667"/>
        <v>802938.16515118408</v>
      </c>
      <c r="DH148" s="566">
        <f t="shared" si="667"/>
        <v>908244.44020215096</v>
      </c>
      <c r="DI148" s="566">
        <f t="shared" si="667"/>
        <v>0</v>
      </c>
      <c r="DJ148" s="566">
        <f t="shared" si="667"/>
        <v>0</v>
      </c>
      <c r="DK148" s="566">
        <f t="shared" si="667"/>
        <v>0</v>
      </c>
      <c r="DL148" s="566">
        <f t="shared" si="667"/>
        <v>4094296.2218004535</v>
      </c>
      <c r="DM148" s="566">
        <f t="shared" si="667"/>
        <v>1905503.0838138557</v>
      </c>
      <c r="DN148" s="566">
        <f t="shared" si="667"/>
        <v>3604667</v>
      </c>
      <c r="DO148" s="566">
        <f t="shared" si="667"/>
        <v>1402300.3922101089</v>
      </c>
      <c r="DP148" s="566">
        <f t="shared" si="667"/>
        <v>4045363.78</v>
      </c>
      <c r="DQ148" s="566">
        <f t="shared" si="667"/>
        <v>3939645</v>
      </c>
      <c r="DR148" s="566">
        <f t="shared" si="667"/>
        <v>4423025</v>
      </c>
      <c r="DS148" s="566">
        <f t="shared" si="667"/>
        <v>878000</v>
      </c>
      <c r="DT148" s="566">
        <f t="shared" si="667"/>
        <v>3015000</v>
      </c>
      <c r="DU148" s="566">
        <f t="shared" si="667"/>
        <v>0</v>
      </c>
      <c r="DV148" s="566">
        <f t="shared" si="667"/>
        <v>4423333</v>
      </c>
      <c r="DW148" s="566">
        <f t="shared" si="667"/>
        <v>0</v>
      </c>
      <c r="DX148" s="566">
        <f t="shared" si="667"/>
        <v>0</v>
      </c>
      <c r="DY148" s="566">
        <f t="shared" si="667"/>
        <v>4581142.7504826486</v>
      </c>
      <c r="DZ148" s="566">
        <f t="shared" si="667"/>
        <v>723925.6888148766</v>
      </c>
      <c r="EA148" s="566">
        <f t="shared" si="667"/>
        <v>3910500</v>
      </c>
      <c r="EB148" s="566">
        <f t="shared" si="667"/>
        <v>4071612.8583436497</v>
      </c>
      <c r="EC148" s="566">
        <f t="shared" ref="EC148:GN148" si="668">IF(EC149=1,0,IF(EC113+EC147&gt;EC9,EC9,EC113+EC147))</f>
        <v>3507637.7512384658</v>
      </c>
      <c r="ED148" s="566">
        <f t="shared" si="668"/>
        <v>3789855.4215401057</v>
      </c>
      <c r="EE148" s="566">
        <f t="shared" si="668"/>
        <v>610000</v>
      </c>
      <c r="EF148" s="566">
        <f t="shared" si="668"/>
        <v>666000</v>
      </c>
      <c r="EG148" s="566">
        <f t="shared" si="668"/>
        <v>425000</v>
      </c>
      <c r="EH148" s="566">
        <f t="shared" si="668"/>
        <v>595000</v>
      </c>
      <c r="EI148" s="566">
        <f t="shared" si="668"/>
        <v>1025000</v>
      </c>
      <c r="EJ148" s="566">
        <f t="shared" si="668"/>
        <v>0</v>
      </c>
      <c r="EK148" s="566">
        <f t="shared" si="668"/>
        <v>3932042</v>
      </c>
      <c r="EL148" s="566">
        <f t="shared" si="668"/>
        <v>8896075.9201217424</v>
      </c>
      <c r="EM148" s="566">
        <f t="shared" si="668"/>
        <v>2765690.3194428757</v>
      </c>
      <c r="EN148" s="566">
        <f t="shared" si="668"/>
        <v>2526602</v>
      </c>
      <c r="EO148" s="566">
        <f t="shared" si="668"/>
        <v>326536.14681555587</v>
      </c>
      <c r="EP148" s="566">
        <f t="shared" si="668"/>
        <v>2970065</v>
      </c>
      <c r="EQ148" s="566">
        <f t="shared" si="668"/>
        <v>2268152.5044244276</v>
      </c>
      <c r="ER148" s="566">
        <f t="shared" si="668"/>
        <v>6229000</v>
      </c>
      <c r="ES148" s="566">
        <f t="shared" si="668"/>
        <v>2889369.4473401564</v>
      </c>
      <c r="ET148" s="566">
        <f t="shared" si="668"/>
        <v>901340</v>
      </c>
      <c r="EU148" s="566">
        <f t="shared" si="668"/>
        <v>2056000</v>
      </c>
      <c r="EV148" s="566">
        <f t="shared" si="668"/>
        <v>443085.98782481399</v>
      </c>
      <c r="EW148" s="566">
        <f t="shared" si="668"/>
        <v>2505057.7705038232</v>
      </c>
      <c r="EX148" s="566">
        <f t="shared" si="668"/>
        <v>5574308.9853405347</v>
      </c>
      <c r="EY148" s="566">
        <f t="shared" si="668"/>
        <v>2059165.8751551495</v>
      </c>
      <c r="EZ148" s="566">
        <f t="shared" si="668"/>
        <v>0</v>
      </c>
      <c r="FA148" s="566">
        <f t="shared" si="668"/>
        <v>990000</v>
      </c>
      <c r="FB148" s="566">
        <f t="shared" si="668"/>
        <v>177814.53304874955</v>
      </c>
      <c r="FC148" s="566">
        <f t="shared" si="668"/>
        <v>3042203.9813623684</v>
      </c>
      <c r="FD148" s="566">
        <f t="shared" si="668"/>
        <v>0</v>
      </c>
      <c r="FE148" s="566">
        <f t="shared" si="668"/>
        <v>343252.91334718862</v>
      </c>
      <c r="FF148" s="566">
        <f t="shared" si="668"/>
        <v>1441591.96</v>
      </c>
      <c r="FG148" s="566">
        <f t="shared" si="668"/>
        <v>5703200</v>
      </c>
      <c r="FH148" s="566">
        <f>IF(FH149=1,0,IF(FH113+FH147&gt;FH9,FH9,FH113+FH147))</f>
        <v>5790606.0491879787</v>
      </c>
      <c r="FI148" s="566">
        <f t="shared" si="668"/>
        <v>7582387.4650456514</v>
      </c>
      <c r="FJ148" s="566">
        <f t="shared" si="668"/>
        <v>1854520.9697589942</v>
      </c>
      <c r="FK148" s="566">
        <f t="shared" si="668"/>
        <v>117156.2027371416</v>
      </c>
      <c r="FL148" s="566">
        <f t="shared" si="668"/>
        <v>289530.78772289003</v>
      </c>
      <c r="FM148" s="566">
        <f t="shared" si="668"/>
        <v>943015.1290333569</v>
      </c>
      <c r="FN148" s="566">
        <f t="shared" si="668"/>
        <v>7003025.5498415343</v>
      </c>
      <c r="FO148" s="566">
        <f t="shared" si="668"/>
        <v>1654621.1373999999</v>
      </c>
      <c r="FP148" s="566">
        <f t="shared" si="668"/>
        <v>12351204.308851836</v>
      </c>
      <c r="FQ148" s="566">
        <f t="shared" si="668"/>
        <v>1972278.2238</v>
      </c>
      <c r="FR148" s="566">
        <f t="shared" si="668"/>
        <v>0</v>
      </c>
      <c r="FS148" s="566">
        <f t="shared" si="668"/>
        <v>464007.95</v>
      </c>
      <c r="FT148" s="566">
        <f t="shared" si="668"/>
        <v>3255891.8040901599</v>
      </c>
      <c r="FU148" s="566">
        <f t="shared" si="668"/>
        <v>465828.80444292724</v>
      </c>
      <c r="FV148" s="566">
        <f t="shared" si="668"/>
        <v>559247.1692367394</v>
      </c>
      <c r="FW148" s="566">
        <f t="shared" si="668"/>
        <v>937680.03042577044</v>
      </c>
      <c r="FX148" s="566">
        <f t="shared" si="668"/>
        <v>384533.50336206751</v>
      </c>
      <c r="FY148" s="566">
        <f t="shared" si="668"/>
        <v>200000</v>
      </c>
      <c r="FZ148" s="566">
        <f t="shared" si="668"/>
        <v>2571154.0852688877</v>
      </c>
      <c r="GA148" s="566">
        <f t="shared" si="668"/>
        <v>235086.12772381899</v>
      </c>
      <c r="GB148" s="566">
        <f t="shared" si="668"/>
        <v>2245960.1198871755</v>
      </c>
      <c r="GC148" s="566">
        <f t="shared" si="668"/>
        <v>2171084.1398516875</v>
      </c>
      <c r="GD148" s="566">
        <f t="shared" si="668"/>
        <v>7928941.2458636481</v>
      </c>
      <c r="GE148" s="566">
        <f t="shared" si="668"/>
        <v>0</v>
      </c>
      <c r="GF148" s="566">
        <f t="shared" si="668"/>
        <v>3881575.8495693267</v>
      </c>
      <c r="GG148" s="566">
        <f t="shared" si="668"/>
        <v>1157418.4633801784</v>
      </c>
      <c r="GH148" s="566">
        <f t="shared" si="668"/>
        <v>1054717</v>
      </c>
      <c r="GI148" s="566">
        <f t="shared" si="668"/>
        <v>7754404.1747833164</v>
      </c>
      <c r="GJ148" s="566">
        <f t="shared" si="668"/>
        <v>1839200.3392906617</v>
      </c>
      <c r="GK148" s="356">
        <f>IF(GK149=1,0,IF(GK113+GK147&gt;GK9,GK9,GK113+GK147))-GK143</f>
        <v>600000</v>
      </c>
      <c r="GL148" s="566">
        <f t="shared" si="668"/>
        <v>469954.02825609827</v>
      </c>
      <c r="GM148" s="566">
        <f t="shared" si="668"/>
        <v>692537.52275552833</v>
      </c>
      <c r="GN148" s="566">
        <f t="shared" si="668"/>
        <v>788769.06011215365</v>
      </c>
      <c r="GO148" s="566">
        <f t="shared" ref="GO148:IZ148" si="669">IF(GO149=1,0,IF(GO113+GO147&gt;GO9,GO9,GO113+GO147))</f>
        <v>4468795.486137961</v>
      </c>
      <c r="GP148" s="566">
        <f t="shared" si="669"/>
        <v>484458.62365770375</v>
      </c>
      <c r="GQ148" s="566">
        <f t="shared" si="669"/>
        <v>309592.78871686111</v>
      </c>
      <c r="GR148" s="566">
        <f t="shared" si="669"/>
        <v>610000</v>
      </c>
      <c r="GS148" s="566">
        <f t="shared" si="669"/>
        <v>0</v>
      </c>
      <c r="GT148" s="566">
        <f t="shared" si="669"/>
        <v>8684791.9089435674</v>
      </c>
      <c r="GU148" s="566">
        <f t="shared" si="669"/>
        <v>807440</v>
      </c>
      <c r="GV148" s="566">
        <f t="shared" si="669"/>
        <v>5000000</v>
      </c>
      <c r="GW148" s="566">
        <f t="shared" si="669"/>
        <v>941724.88907427166</v>
      </c>
      <c r="GX148" s="566">
        <f t="shared" si="669"/>
        <v>150000</v>
      </c>
      <c r="GY148" s="566">
        <f t="shared" si="669"/>
        <v>11169700.678891907</v>
      </c>
      <c r="GZ148" s="566">
        <f t="shared" si="669"/>
        <v>0</v>
      </c>
      <c r="HA148" s="566">
        <f t="shared" si="669"/>
        <v>5200000</v>
      </c>
      <c r="HB148" s="566">
        <f t="shared" si="669"/>
        <v>2241824.8575916188</v>
      </c>
      <c r="HC148" s="566">
        <f t="shared" si="669"/>
        <v>5534657.4581430918</v>
      </c>
      <c r="HD148" s="566">
        <f t="shared" si="669"/>
        <v>1908552.7255373849</v>
      </c>
      <c r="HE148" s="566">
        <f t="shared" si="669"/>
        <v>4945200</v>
      </c>
      <c r="HF148" s="566">
        <f t="shared" si="669"/>
        <v>780918.93476073246</v>
      </c>
      <c r="HG148" s="566">
        <f t="shared" si="669"/>
        <v>483764.13760522264</v>
      </c>
      <c r="HH148" s="566">
        <f t="shared" si="669"/>
        <v>1870575.3205709462</v>
      </c>
      <c r="HI148" s="566">
        <f t="shared" si="669"/>
        <v>1243943.1770259617</v>
      </c>
      <c r="HJ148" s="566">
        <f t="shared" si="669"/>
        <v>0</v>
      </c>
      <c r="HK148" s="566">
        <f t="shared" si="669"/>
        <v>0</v>
      </c>
      <c r="HL148" s="566">
        <f t="shared" si="669"/>
        <v>25331486.682283964</v>
      </c>
      <c r="HM148" s="566">
        <f t="shared" si="669"/>
        <v>18062108.226576902</v>
      </c>
      <c r="HN148" s="566">
        <f t="shared" si="669"/>
        <v>0</v>
      </c>
      <c r="HO148" s="566">
        <f t="shared" si="669"/>
        <v>0</v>
      </c>
      <c r="HP148" s="566">
        <f t="shared" si="669"/>
        <v>19303218</v>
      </c>
      <c r="HQ148" s="566">
        <f t="shared" si="669"/>
        <v>687360.32396511442</v>
      </c>
      <c r="HR148" s="566">
        <f t="shared" si="669"/>
        <v>24026005.044292737</v>
      </c>
      <c r="HS148" s="566">
        <f t="shared" si="669"/>
        <v>4430596.6317421505</v>
      </c>
      <c r="HT148" s="566">
        <f t="shared" si="669"/>
        <v>15937684.999999998</v>
      </c>
      <c r="HU148" s="566">
        <f t="shared" si="669"/>
        <v>15474994</v>
      </c>
      <c r="HV148" s="566">
        <f t="shared" si="669"/>
        <v>12916127</v>
      </c>
      <c r="HW148" s="566">
        <f t="shared" si="669"/>
        <v>3337992.5558626438</v>
      </c>
      <c r="HX148" s="566">
        <f t="shared" si="669"/>
        <v>13208117.444137355</v>
      </c>
      <c r="HY148" s="566">
        <f t="shared" si="669"/>
        <v>14405761.999999998</v>
      </c>
      <c r="HZ148" s="566">
        <f t="shared" si="669"/>
        <v>6797941</v>
      </c>
      <c r="IA148" s="566">
        <f t="shared" si="669"/>
        <v>6429487</v>
      </c>
      <c r="IB148" s="566">
        <f t="shared" si="669"/>
        <v>6265181.0000000009</v>
      </c>
      <c r="IC148" s="566">
        <f t="shared" si="669"/>
        <v>7418223.3670759555</v>
      </c>
      <c r="ID148" s="566">
        <f t="shared" si="669"/>
        <v>6685282.6329240454</v>
      </c>
      <c r="IE148" s="566">
        <f t="shared" si="669"/>
        <v>13033892</v>
      </c>
      <c r="IF148" s="566">
        <f t="shared" si="669"/>
        <v>12847830.639815958</v>
      </c>
      <c r="IG148" s="566">
        <f t="shared" si="669"/>
        <v>3089236.3601840409</v>
      </c>
      <c r="IH148" s="566">
        <f t="shared" si="669"/>
        <v>1754306.5582447783</v>
      </c>
      <c r="II148" s="566">
        <f t="shared" si="669"/>
        <v>15058472.804034036</v>
      </c>
      <c r="IJ148" s="566">
        <f t="shared" si="669"/>
        <v>1090184.5555434485</v>
      </c>
      <c r="IK148" s="566">
        <f t="shared" si="669"/>
        <v>150000</v>
      </c>
      <c r="IL148" s="566">
        <f t="shared" si="669"/>
        <v>7291656</v>
      </c>
      <c r="IM148" s="566">
        <f t="shared" si="669"/>
        <v>530838.89887640509</v>
      </c>
      <c r="IN148" s="566">
        <f t="shared" si="669"/>
        <v>6956997.809082007</v>
      </c>
      <c r="IO148" s="566">
        <f t="shared" si="669"/>
        <v>2174446.2920415876</v>
      </c>
      <c r="IP148" s="566">
        <f t="shared" si="669"/>
        <v>15916866.999999998</v>
      </c>
      <c r="IQ148" s="566">
        <f t="shared" si="669"/>
        <v>15354811.354535684</v>
      </c>
      <c r="IR148" s="566">
        <f t="shared" si="669"/>
        <v>661217.64546431496</v>
      </c>
      <c r="IS148" s="566">
        <f t="shared" si="669"/>
        <v>38158144.757048547</v>
      </c>
      <c r="IT148" s="566">
        <f t="shared" si="669"/>
        <v>8363389.2429514462</v>
      </c>
      <c r="IU148" s="566">
        <f t="shared" si="669"/>
        <v>2009011.8972780025</v>
      </c>
      <c r="IV148" s="566">
        <f t="shared" si="669"/>
        <v>5685103.8423596416</v>
      </c>
      <c r="IW148" s="566">
        <f t="shared" si="669"/>
        <v>11119516.084632741</v>
      </c>
      <c r="IX148" s="566">
        <f t="shared" si="669"/>
        <v>1125734.1757296147</v>
      </c>
      <c r="IY148" s="566">
        <f t="shared" si="669"/>
        <v>3266101.4628047682</v>
      </c>
      <c r="IZ148" s="566">
        <f t="shared" si="669"/>
        <v>15681490.537195232</v>
      </c>
      <c r="JA148" s="566">
        <f t="shared" ref="JA148:JH148" si="670">IF(JA149=1,0,IF(JA113+JA147&gt;JA9,JA9,JA113+JA147))</f>
        <v>2298510</v>
      </c>
      <c r="JB148" s="566">
        <f t="shared" si="670"/>
        <v>2067000</v>
      </c>
      <c r="JC148" s="566">
        <f t="shared" si="670"/>
        <v>1625000</v>
      </c>
      <c r="JD148" s="566">
        <f t="shared" si="670"/>
        <v>3000000</v>
      </c>
      <c r="JE148" s="566">
        <f t="shared" si="670"/>
        <v>453694.24606177595</v>
      </c>
      <c r="JF148" s="566">
        <f t="shared" si="670"/>
        <v>25223010.75393822</v>
      </c>
      <c r="JG148" s="566">
        <f t="shared" si="670"/>
        <v>22851614.595014382</v>
      </c>
      <c r="JH148" s="566">
        <f t="shared" si="670"/>
        <v>868740</v>
      </c>
      <c r="JI148" s="568">
        <f t="shared" si="635"/>
        <v>964165669.14591622</v>
      </c>
      <c r="JL148" s="307"/>
      <c r="JM148" s="307"/>
      <c r="JN148" s="307"/>
      <c r="JO148" s="307"/>
      <c r="JP148" s="307"/>
    </row>
    <row r="149" spans="1:276" s="307" customFormat="1" x14ac:dyDescent="0.25">
      <c r="A149" s="314"/>
      <c r="B149" s="314" t="s">
        <v>2537</v>
      </c>
      <c r="C149" s="314"/>
      <c r="D149" s="314"/>
      <c r="E149" s="314"/>
      <c r="F149" s="314"/>
      <c r="G149" s="314"/>
      <c r="H149" s="314">
        <v>1</v>
      </c>
      <c r="I149" s="314">
        <v>1</v>
      </c>
      <c r="J149" s="314">
        <v>1</v>
      </c>
      <c r="K149" s="314"/>
      <c r="L149" s="314"/>
      <c r="M149" s="314"/>
      <c r="N149" s="314"/>
      <c r="O149" s="314"/>
      <c r="P149" s="314"/>
      <c r="Q149" s="314"/>
      <c r="R149" s="314"/>
      <c r="S149" s="314"/>
      <c r="T149" s="314"/>
      <c r="U149" s="314"/>
      <c r="V149" s="314"/>
      <c r="W149" s="314"/>
      <c r="X149" s="314"/>
      <c r="Y149" s="314"/>
      <c r="Z149" s="314"/>
      <c r="AA149" s="314"/>
      <c r="AB149" s="314"/>
      <c r="AC149" s="314"/>
      <c r="AD149" s="314"/>
      <c r="AE149" s="314"/>
      <c r="AF149" s="314"/>
      <c r="AG149" s="314"/>
      <c r="AH149" s="314"/>
      <c r="AI149" s="314"/>
      <c r="AJ149" s="314"/>
      <c r="AK149" s="314"/>
      <c r="AL149" s="314"/>
      <c r="AM149" s="314"/>
      <c r="AN149" s="314"/>
      <c r="AO149" s="314"/>
      <c r="AP149" s="314"/>
      <c r="AQ149" s="314"/>
      <c r="AR149" s="314"/>
      <c r="AS149" s="314"/>
      <c r="AT149" s="314"/>
      <c r="AU149" s="314"/>
      <c r="AV149" s="314"/>
      <c r="AW149" s="314">
        <v>1</v>
      </c>
      <c r="AX149" s="314"/>
      <c r="AY149" s="314"/>
      <c r="AZ149" s="314"/>
      <c r="BA149" s="314"/>
      <c r="BB149" s="314"/>
      <c r="BC149" s="314"/>
      <c r="BD149" s="314"/>
      <c r="BE149" s="314">
        <v>1</v>
      </c>
      <c r="BF149" s="314"/>
      <c r="BG149" s="314"/>
      <c r="BH149" s="314"/>
      <c r="BI149" s="314"/>
      <c r="BJ149" s="314"/>
      <c r="BK149" s="314"/>
      <c r="BL149" s="314"/>
      <c r="BM149" s="314"/>
      <c r="BN149" s="314"/>
      <c r="BO149" s="314"/>
      <c r="BP149" s="314"/>
      <c r="BQ149" s="314">
        <v>1</v>
      </c>
      <c r="BR149" s="314"/>
      <c r="BS149" s="314"/>
      <c r="BT149" s="314"/>
      <c r="BU149" s="314"/>
      <c r="BV149" s="314"/>
      <c r="BW149" s="314"/>
      <c r="BX149" s="314"/>
      <c r="BY149" s="314"/>
      <c r="BZ149" s="314"/>
      <c r="CA149" s="314"/>
      <c r="CB149" s="314"/>
      <c r="CC149" s="314"/>
      <c r="CD149" s="314"/>
      <c r="CE149" s="314"/>
      <c r="CF149" s="314"/>
      <c r="CG149" s="314"/>
      <c r="CH149" s="314">
        <v>1</v>
      </c>
      <c r="CI149" s="314">
        <v>1</v>
      </c>
      <c r="CJ149" s="314"/>
      <c r="CK149" s="314"/>
      <c r="CL149" s="341">
        <v>1</v>
      </c>
      <c r="CM149" s="314"/>
      <c r="CN149" s="314"/>
      <c r="CO149" s="314"/>
      <c r="CP149" s="314"/>
      <c r="CQ149" s="314"/>
      <c r="CR149" s="314"/>
      <c r="CS149" s="314">
        <v>1</v>
      </c>
      <c r="CT149" s="314">
        <v>1</v>
      </c>
      <c r="CU149" s="314"/>
      <c r="CV149" s="314"/>
      <c r="CW149" s="314"/>
      <c r="CX149" s="314"/>
      <c r="CY149" s="314"/>
      <c r="CZ149" s="314"/>
      <c r="DA149" s="314"/>
      <c r="DB149" s="314"/>
      <c r="DC149" s="314"/>
      <c r="DD149" s="314">
        <v>1</v>
      </c>
      <c r="DE149" s="314"/>
      <c r="DF149" s="314"/>
      <c r="DG149" s="314"/>
      <c r="DH149" s="314">
        <v>2</v>
      </c>
      <c r="DI149" s="314">
        <v>1</v>
      </c>
      <c r="DJ149" s="314">
        <v>1</v>
      </c>
      <c r="DK149" s="314">
        <v>1</v>
      </c>
      <c r="DL149" s="314"/>
      <c r="DM149" s="314"/>
      <c r="DN149" s="314"/>
      <c r="DO149" s="314"/>
      <c r="DP149" s="314"/>
      <c r="DQ149" s="314"/>
      <c r="DR149" s="314"/>
      <c r="DS149" s="314"/>
      <c r="DT149" s="314"/>
      <c r="DU149" s="314">
        <v>1</v>
      </c>
      <c r="DV149" s="314"/>
      <c r="DW149" s="314">
        <v>1</v>
      </c>
      <c r="DX149" s="314">
        <v>1</v>
      </c>
      <c r="DY149" s="314"/>
      <c r="DZ149" s="314"/>
      <c r="EA149" s="314"/>
      <c r="EB149" s="314"/>
      <c r="EC149" s="314"/>
      <c r="ED149" s="314"/>
      <c r="EE149" s="314"/>
      <c r="EF149" s="314"/>
      <c r="EG149" s="314"/>
      <c r="EH149" s="314"/>
      <c r="EI149" s="314"/>
      <c r="EJ149" s="314">
        <v>1</v>
      </c>
      <c r="EK149" s="314"/>
      <c r="EL149" s="314"/>
      <c r="EM149" s="314"/>
      <c r="EN149" s="314"/>
      <c r="EO149" s="314"/>
      <c r="EP149" s="314"/>
      <c r="EQ149" s="314"/>
      <c r="ER149" s="314"/>
      <c r="ES149" s="314"/>
      <c r="ET149" s="314"/>
      <c r="EU149" s="314"/>
      <c r="EV149" s="314"/>
      <c r="EW149" s="314"/>
      <c r="EX149" s="314"/>
      <c r="EY149" s="314"/>
      <c r="EZ149" s="314"/>
      <c r="FA149" s="314"/>
      <c r="FB149" s="314"/>
      <c r="FC149" s="314"/>
      <c r="FD149" s="314">
        <v>1</v>
      </c>
      <c r="FE149" s="314"/>
      <c r="FF149" s="314"/>
      <c r="FG149" s="314"/>
      <c r="FH149" s="314"/>
      <c r="FI149" s="314"/>
      <c r="FJ149" s="314"/>
      <c r="FK149" s="314"/>
      <c r="FL149" s="314"/>
      <c r="FM149" s="314"/>
      <c r="FN149" s="314"/>
      <c r="FO149" s="314"/>
      <c r="FP149" s="314"/>
      <c r="FQ149" s="314"/>
      <c r="FR149" s="314">
        <v>1</v>
      </c>
      <c r="FS149" s="314"/>
      <c r="FT149" s="314"/>
      <c r="FU149" s="314"/>
      <c r="FV149" s="314"/>
      <c r="FW149" s="314"/>
      <c r="FX149" s="314"/>
      <c r="FY149" s="314"/>
      <c r="FZ149" s="314"/>
      <c r="GA149" s="314"/>
      <c r="GB149" s="314"/>
      <c r="GC149" s="314"/>
      <c r="GD149" s="314"/>
      <c r="GE149" s="314">
        <v>1</v>
      </c>
      <c r="GF149" s="314"/>
      <c r="GG149" s="314"/>
      <c r="GH149" s="314"/>
      <c r="GI149" s="314"/>
      <c r="GJ149" s="314"/>
      <c r="GK149" s="314"/>
      <c r="GL149" s="314"/>
      <c r="GM149" s="314"/>
      <c r="GN149" s="314"/>
      <c r="GO149" s="314"/>
      <c r="GP149" s="314"/>
      <c r="GQ149" s="314"/>
      <c r="GR149" s="314"/>
      <c r="GS149" s="314"/>
      <c r="GT149" s="314"/>
      <c r="GU149" s="314"/>
      <c r="GV149" s="314"/>
      <c r="GW149" s="314"/>
      <c r="GX149" s="314"/>
      <c r="GY149" s="314"/>
      <c r="GZ149" s="314">
        <v>1</v>
      </c>
      <c r="HA149" s="314"/>
      <c r="HB149" s="314"/>
      <c r="HC149" s="314"/>
      <c r="HD149" s="314"/>
      <c r="HE149" s="314"/>
      <c r="HF149" s="314"/>
      <c r="HG149" s="314"/>
      <c r="HH149" s="314"/>
      <c r="HI149" s="314"/>
      <c r="HJ149" s="314">
        <v>1</v>
      </c>
      <c r="HK149" s="314"/>
      <c r="HL149" s="314"/>
      <c r="HM149" s="314"/>
      <c r="HN149" s="314"/>
      <c r="HO149" s="314">
        <v>1</v>
      </c>
      <c r="HP149" s="314"/>
      <c r="HQ149" s="314"/>
      <c r="HR149" s="314"/>
      <c r="HS149" s="314"/>
      <c r="HT149" s="314"/>
      <c r="HU149" s="314"/>
      <c r="HV149" s="314"/>
      <c r="HW149" s="314"/>
      <c r="HX149" s="314"/>
      <c r="HY149" s="314"/>
      <c r="HZ149" s="314"/>
      <c r="IA149" s="314"/>
      <c r="IB149" s="314"/>
      <c r="IC149" s="314"/>
      <c r="ID149" s="314"/>
      <c r="IE149" s="314"/>
      <c r="IF149" s="314"/>
      <c r="IG149" s="314"/>
      <c r="IH149" s="314"/>
      <c r="II149" s="314"/>
      <c r="IJ149" s="314"/>
      <c r="IK149" s="314"/>
      <c r="IL149" s="314"/>
      <c r="IM149" s="314"/>
      <c r="IN149" s="314"/>
      <c r="IO149" s="314"/>
      <c r="IP149" s="314"/>
      <c r="IQ149" s="314"/>
      <c r="IR149" s="314"/>
      <c r="IS149" s="314"/>
      <c r="IT149" s="314"/>
      <c r="IU149" s="314"/>
      <c r="IV149" s="314"/>
      <c r="IW149" s="314"/>
      <c r="IX149" s="314"/>
      <c r="IY149" s="314"/>
      <c r="IZ149" s="314"/>
      <c r="JA149" s="314"/>
      <c r="JB149" s="314"/>
      <c r="JC149" s="314"/>
      <c r="JD149" s="314"/>
      <c r="JE149" s="314"/>
      <c r="JF149" s="314"/>
      <c r="JG149" s="314"/>
      <c r="JH149" s="314"/>
      <c r="JI149" s="314"/>
    </row>
    <row r="150" spans="1:276" x14ac:dyDescent="0.25">
      <c r="B150" s="314" t="str">
        <f>B115</f>
        <v>Celkem 2019 (přes KHK)</v>
      </c>
      <c r="C150" s="314">
        <f>C115</f>
        <v>7649000</v>
      </c>
      <c r="D150" s="314">
        <f t="shared" ref="D150:BP150" si="671">D115</f>
        <v>6323100</v>
      </c>
      <c r="E150" s="314">
        <f t="shared" si="671"/>
        <v>8196405</v>
      </c>
      <c r="F150" s="314">
        <f t="shared" si="671"/>
        <v>3484600</v>
      </c>
      <c r="G150" s="314">
        <f t="shared" si="671"/>
        <v>8898350</v>
      </c>
      <c r="H150" s="314">
        <f t="shared" si="671"/>
        <v>851000</v>
      </c>
      <c r="I150" s="314">
        <f t="shared" si="671"/>
        <v>2220902</v>
      </c>
      <c r="J150" s="314">
        <f t="shared" si="671"/>
        <v>2592445</v>
      </c>
      <c r="K150" s="314">
        <f t="shared" si="671"/>
        <v>5369542</v>
      </c>
      <c r="L150" s="314">
        <f t="shared" si="671"/>
        <v>3774970</v>
      </c>
      <c r="M150" s="314">
        <f t="shared" si="671"/>
        <v>3637289</v>
      </c>
      <c r="N150" s="314">
        <f t="shared" si="671"/>
        <v>5245000</v>
      </c>
      <c r="O150" s="314">
        <f t="shared" si="671"/>
        <v>4154929</v>
      </c>
      <c r="P150" s="314">
        <f t="shared" si="671"/>
        <v>2345016</v>
      </c>
      <c r="Q150" s="314">
        <f t="shared" si="671"/>
        <v>1465267</v>
      </c>
      <c r="R150" s="314">
        <f t="shared" si="671"/>
        <v>2124718.1</v>
      </c>
      <c r="S150" s="314">
        <f t="shared" si="671"/>
        <v>1637152.8</v>
      </c>
      <c r="T150" s="314">
        <f t="shared" si="671"/>
        <v>591336</v>
      </c>
      <c r="U150" s="314">
        <f t="shared" si="671"/>
        <v>1099204</v>
      </c>
      <c r="V150" s="314">
        <f t="shared" si="671"/>
        <v>9233620</v>
      </c>
      <c r="W150" s="314">
        <f t="shared" si="671"/>
        <v>1825000</v>
      </c>
      <c r="X150" s="314">
        <f t="shared" si="671"/>
        <v>1309890</v>
      </c>
      <c r="Y150" s="314">
        <f t="shared" si="671"/>
        <v>1757810</v>
      </c>
      <c r="Z150" s="314">
        <f t="shared" si="671"/>
        <v>6852000</v>
      </c>
      <c r="AA150" s="314">
        <f t="shared" si="671"/>
        <v>3849820</v>
      </c>
      <c r="AB150" s="314">
        <f t="shared" si="671"/>
        <v>3047940</v>
      </c>
      <c r="AC150" s="314">
        <f t="shared" ref="AC150" si="672">AC115</f>
        <v>2007500</v>
      </c>
      <c r="AD150" s="314">
        <f t="shared" si="671"/>
        <v>1845240</v>
      </c>
      <c r="AE150" s="314">
        <f t="shared" si="671"/>
        <v>1056608</v>
      </c>
      <c r="AF150" s="314">
        <f t="shared" si="671"/>
        <v>2104207</v>
      </c>
      <c r="AG150" s="314">
        <f t="shared" si="671"/>
        <v>3325752</v>
      </c>
      <c r="AH150" s="314">
        <f t="shared" si="671"/>
        <v>767266</v>
      </c>
      <c r="AI150" s="314">
        <f t="shared" si="671"/>
        <v>2893700</v>
      </c>
      <c r="AJ150" s="314">
        <f t="shared" si="671"/>
        <v>2450300</v>
      </c>
      <c r="AK150" s="314">
        <f t="shared" si="671"/>
        <v>1197405</v>
      </c>
      <c r="AL150" s="314">
        <f t="shared" si="671"/>
        <v>1860416</v>
      </c>
      <c r="AM150" s="314">
        <f t="shared" si="671"/>
        <v>1374492</v>
      </c>
      <c r="AN150" s="314">
        <f t="shared" si="671"/>
        <v>1027900</v>
      </c>
      <c r="AO150" s="314">
        <f t="shared" si="671"/>
        <v>3729028</v>
      </c>
      <c r="AP150" s="314">
        <f t="shared" si="671"/>
        <v>2259775</v>
      </c>
      <c r="AQ150" s="314">
        <f t="shared" si="671"/>
        <v>327938</v>
      </c>
      <c r="AR150" s="314">
        <f t="shared" si="671"/>
        <v>1130591</v>
      </c>
      <c r="AS150" s="314">
        <f t="shared" si="671"/>
        <v>450572</v>
      </c>
      <c r="AT150" s="314">
        <f t="shared" si="671"/>
        <v>2175746</v>
      </c>
      <c r="AU150" s="314">
        <f t="shared" si="671"/>
        <v>894272</v>
      </c>
      <c r="AV150" s="314">
        <f t="shared" si="671"/>
        <v>1866618</v>
      </c>
      <c r="AW150" s="314">
        <f t="shared" si="671"/>
        <v>3070875</v>
      </c>
      <c r="AX150" s="314">
        <f t="shared" si="671"/>
        <v>2970020</v>
      </c>
      <c r="AY150" s="314">
        <f t="shared" si="671"/>
        <v>3091452</v>
      </c>
      <c r="AZ150" s="314">
        <f t="shared" si="671"/>
        <v>2931235</v>
      </c>
      <c r="BA150" s="314">
        <f t="shared" si="671"/>
        <v>7415268</v>
      </c>
      <c r="BB150" s="314">
        <f t="shared" si="671"/>
        <v>1020124</v>
      </c>
      <c r="BC150" s="314">
        <f t="shared" si="671"/>
        <v>1008745</v>
      </c>
      <c r="BD150" s="314">
        <f t="shared" si="671"/>
        <v>1277820</v>
      </c>
      <c r="BE150" s="314">
        <f t="shared" si="671"/>
        <v>1204150</v>
      </c>
      <c r="BF150" s="314">
        <f t="shared" si="671"/>
        <v>1888960</v>
      </c>
      <c r="BG150" s="314">
        <f t="shared" si="671"/>
        <v>2344216</v>
      </c>
      <c r="BH150" s="314">
        <f t="shared" si="671"/>
        <v>2948068</v>
      </c>
      <c r="BI150" s="314">
        <f t="shared" si="671"/>
        <v>1468100</v>
      </c>
      <c r="BJ150" s="314">
        <f t="shared" si="671"/>
        <v>2652621</v>
      </c>
      <c r="BK150" s="314">
        <f t="shared" si="671"/>
        <v>852000</v>
      </c>
      <c r="BL150" s="314">
        <f t="shared" si="671"/>
        <v>0</v>
      </c>
      <c r="BM150" s="314">
        <f t="shared" si="671"/>
        <v>615100</v>
      </c>
      <c r="BN150" s="314">
        <f t="shared" si="671"/>
        <v>1582000</v>
      </c>
      <c r="BO150" s="314">
        <f t="shared" si="671"/>
        <v>762010</v>
      </c>
      <c r="BP150" s="314">
        <f t="shared" si="671"/>
        <v>3919307</v>
      </c>
      <c r="BQ150" s="314">
        <f t="shared" ref="BQ150:EB150" si="673">BQ115</f>
        <v>815436</v>
      </c>
      <c r="BR150" s="314">
        <f t="shared" si="673"/>
        <v>874340</v>
      </c>
      <c r="BS150" s="314">
        <f t="shared" si="673"/>
        <v>1297900</v>
      </c>
      <c r="BT150" s="314">
        <f t="shared" si="673"/>
        <v>860100</v>
      </c>
      <c r="BU150" s="314">
        <f t="shared" si="673"/>
        <v>3939338</v>
      </c>
      <c r="BV150" s="314">
        <f t="shared" si="673"/>
        <v>588910</v>
      </c>
      <c r="BW150" s="314">
        <f t="shared" si="673"/>
        <v>532683</v>
      </c>
      <c r="BX150" s="314">
        <f t="shared" si="673"/>
        <v>4055253</v>
      </c>
      <c r="BY150" s="314">
        <f t="shared" si="673"/>
        <v>1520144</v>
      </c>
      <c r="BZ150" s="314">
        <f t="shared" si="673"/>
        <v>324150</v>
      </c>
      <c r="CA150" s="314">
        <f t="shared" si="673"/>
        <v>0</v>
      </c>
      <c r="CB150" s="314">
        <f t="shared" si="673"/>
        <v>532263</v>
      </c>
      <c r="CC150" s="314">
        <f t="shared" si="673"/>
        <v>2120418</v>
      </c>
      <c r="CD150" s="314">
        <f t="shared" si="673"/>
        <v>647336</v>
      </c>
      <c r="CE150" s="314">
        <f t="shared" si="673"/>
        <v>8268855</v>
      </c>
      <c r="CF150" s="314">
        <f t="shared" si="673"/>
        <v>4326000</v>
      </c>
      <c r="CG150" s="314">
        <f t="shared" si="673"/>
        <v>8224486</v>
      </c>
      <c r="CH150" s="314">
        <f t="shared" si="673"/>
        <v>3654346</v>
      </c>
      <c r="CI150" s="314">
        <f t="shared" si="673"/>
        <v>2882766</v>
      </c>
      <c r="CJ150" s="314">
        <f t="shared" si="673"/>
        <v>3459530</v>
      </c>
      <c r="CK150" s="314">
        <f t="shared" si="673"/>
        <v>4176623</v>
      </c>
      <c r="CL150" s="314">
        <f t="shared" si="673"/>
        <v>2384969</v>
      </c>
      <c r="CM150" s="314">
        <f t="shared" si="673"/>
        <v>5320660</v>
      </c>
      <c r="CN150" s="314">
        <f t="shared" si="673"/>
        <v>1282575.1399999999</v>
      </c>
      <c r="CO150" s="314">
        <f t="shared" si="673"/>
        <v>1214500</v>
      </c>
      <c r="CP150" s="314">
        <f t="shared" si="673"/>
        <v>1238425.46</v>
      </c>
      <c r="CQ150" s="314">
        <f t="shared" si="673"/>
        <v>4606266</v>
      </c>
      <c r="CR150" s="314">
        <f t="shared" si="673"/>
        <v>1616800</v>
      </c>
      <c r="CS150" s="314">
        <f t="shared" si="673"/>
        <v>0</v>
      </c>
      <c r="CT150" s="314">
        <f t="shared" si="673"/>
        <v>5070000</v>
      </c>
      <c r="CU150" s="314">
        <f t="shared" si="673"/>
        <v>1400500</v>
      </c>
      <c r="CV150" s="314">
        <f t="shared" si="673"/>
        <v>5031500</v>
      </c>
      <c r="CW150" s="314">
        <f t="shared" si="673"/>
        <v>271401</v>
      </c>
      <c r="CX150" s="314">
        <f t="shared" si="673"/>
        <v>3128000</v>
      </c>
      <c r="CY150" s="314">
        <f t="shared" si="673"/>
        <v>2748954</v>
      </c>
      <c r="CZ150" s="314">
        <f t="shared" si="673"/>
        <v>1006700</v>
      </c>
      <c r="DA150" s="314">
        <f t="shared" si="673"/>
        <v>5580860</v>
      </c>
      <c r="DB150" s="314">
        <f t="shared" si="673"/>
        <v>665328</v>
      </c>
      <c r="DC150" s="314">
        <f t="shared" si="673"/>
        <v>1623500</v>
      </c>
      <c r="DD150" s="314">
        <f t="shared" si="673"/>
        <v>4680513</v>
      </c>
      <c r="DE150" s="314">
        <f t="shared" si="673"/>
        <v>7167606</v>
      </c>
      <c r="DF150" s="314">
        <f t="shared" si="673"/>
        <v>5216852</v>
      </c>
      <c r="DG150" s="314">
        <f t="shared" si="673"/>
        <v>605740</v>
      </c>
      <c r="DH150" s="314">
        <f t="shared" si="673"/>
        <v>1606367.6400000001</v>
      </c>
      <c r="DI150" s="314">
        <f t="shared" si="673"/>
        <v>1093940</v>
      </c>
      <c r="DJ150" s="314">
        <f t="shared" si="673"/>
        <v>1816958</v>
      </c>
      <c r="DK150" s="314">
        <f t="shared" si="673"/>
        <v>910471</v>
      </c>
      <c r="DL150" s="314">
        <f t="shared" si="673"/>
        <v>3817224</v>
      </c>
      <c r="DM150" s="314">
        <f t="shared" si="673"/>
        <v>1734348</v>
      </c>
      <c r="DN150" s="314">
        <f t="shared" si="673"/>
        <v>2980765</v>
      </c>
      <c r="DO150" s="314">
        <f t="shared" si="673"/>
        <v>1397775</v>
      </c>
      <c r="DP150" s="314">
        <f t="shared" si="673"/>
        <v>4045363.78</v>
      </c>
      <c r="DQ150" s="314">
        <f t="shared" si="673"/>
        <v>3907852</v>
      </c>
      <c r="DR150" s="314">
        <f t="shared" si="673"/>
        <v>4477376</v>
      </c>
      <c r="DS150" s="314">
        <f t="shared" si="673"/>
        <v>331000</v>
      </c>
      <c r="DT150" s="314">
        <f t="shared" si="673"/>
        <v>2906291</v>
      </c>
      <c r="DU150" s="314">
        <f t="shared" si="673"/>
        <v>2100600</v>
      </c>
      <c r="DV150" s="314">
        <f t="shared" si="673"/>
        <v>3145477</v>
      </c>
      <c r="DW150" s="314">
        <f t="shared" si="673"/>
        <v>1211410</v>
      </c>
      <c r="DX150" s="314">
        <f t="shared" si="673"/>
        <v>4030918</v>
      </c>
      <c r="DY150" s="314">
        <f t="shared" si="673"/>
        <v>3755150</v>
      </c>
      <c r="DZ150" s="314">
        <f t="shared" si="673"/>
        <v>716300</v>
      </c>
      <c r="EA150" s="314">
        <f t="shared" si="673"/>
        <v>3895188</v>
      </c>
      <c r="EB150" s="314">
        <f t="shared" si="673"/>
        <v>3882690</v>
      </c>
      <c r="EC150" s="314">
        <f t="shared" ref="EC150:GN150" si="674">EC115</f>
        <v>3345254</v>
      </c>
      <c r="ED150" s="314">
        <f t="shared" si="674"/>
        <v>3472808</v>
      </c>
      <c r="EE150" s="314">
        <f t="shared" si="674"/>
        <v>563624</v>
      </c>
      <c r="EF150" s="314">
        <f t="shared" si="674"/>
        <v>669087.59</v>
      </c>
      <c r="EG150" s="314">
        <f t="shared" si="674"/>
        <v>427828.99</v>
      </c>
      <c r="EH150" s="314">
        <f t="shared" si="674"/>
        <v>559670</v>
      </c>
      <c r="EI150" s="314">
        <f t="shared" si="674"/>
        <v>910753</v>
      </c>
      <c r="EJ150" s="314">
        <f t="shared" si="674"/>
        <v>1034374</v>
      </c>
      <c r="EK150" s="314">
        <f t="shared" si="674"/>
        <v>3932042</v>
      </c>
      <c r="EL150" s="314">
        <f t="shared" si="674"/>
        <v>8624026</v>
      </c>
      <c r="EM150" s="314">
        <f t="shared" si="674"/>
        <v>2698808</v>
      </c>
      <c r="EN150" s="314">
        <f t="shared" si="674"/>
        <v>2394473</v>
      </c>
      <c r="EO150" s="314">
        <f t="shared" si="674"/>
        <v>236418</v>
      </c>
      <c r="EP150" s="314">
        <f t="shared" si="674"/>
        <v>2171123</v>
      </c>
      <c r="EQ150" s="314">
        <f t="shared" si="674"/>
        <v>1844122</v>
      </c>
      <c r="ER150" s="314">
        <f t="shared" si="674"/>
        <v>5251868</v>
      </c>
      <c r="ES150" s="314">
        <f t="shared" si="674"/>
        <v>2770560</v>
      </c>
      <c r="ET150" s="314">
        <f t="shared" si="674"/>
        <v>0</v>
      </c>
      <c r="EU150" s="314">
        <f t="shared" si="674"/>
        <v>804000</v>
      </c>
      <c r="EV150" s="314">
        <f t="shared" si="674"/>
        <v>225535</v>
      </c>
      <c r="EW150" s="314">
        <f t="shared" si="674"/>
        <v>2356313</v>
      </c>
      <c r="EX150" s="314">
        <f t="shared" si="674"/>
        <v>5404290</v>
      </c>
      <c r="EY150" s="314">
        <f t="shared" si="674"/>
        <v>2044845</v>
      </c>
      <c r="EZ150" s="314">
        <f t="shared" si="674"/>
        <v>111326</v>
      </c>
      <c r="FA150" s="314">
        <f t="shared" si="674"/>
        <v>793692</v>
      </c>
      <c r="FB150" s="314">
        <f t="shared" si="674"/>
        <v>139761</v>
      </c>
      <c r="FC150" s="314">
        <f t="shared" si="674"/>
        <v>3000000</v>
      </c>
      <c r="FD150" s="314">
        <f t="shared" si="674"/>
        <v>772461</v>
      </c>
      <c r="FE150" s="314">
        <f t="shared" si="674"/>
        <v>262500</v>
      </c>
      <c r="FF150" s="314">
        <f t="shared" si="674"/>
        <v>1117120</v>
      </c>
      <c r="FG150" s="314">
        <f t="shared" si="674"/>
        <v>4683650</v>
      </c>
      <c r="FH150" s="314">
        <f t="shared" si="674"/>
        <v>5519580</v>
      </c>
      <c r="FI150" s="314">
        <f t="shared" si="674"/>
        <v>5568487</v>
      </c>
      <c r="FJ150" s="314">
        <f t="shared" si="674"/>
        <v>1579046</v>
      </c>
      <c r="FK150" s="314">
        <f t="shared" si="674"/>
        <v>281852</v>
      </c>
      <c r="FL150" s="314">
        <f t="shared" si="674"/>
        <v>601762</v>
      </c>
      <c r="FM150" s="314">
        <f t="shared" si="674"/>
        <v>2626403</v>
      </c>
      <c r="FN150" s="314">
        <f t="shared" si="674"/>
        <v>6459380</v>
      </c>
      <c r="FO150" s="314">
        <f t="shared" si="674"/>
        <v>1659657</v>
      </c>
      <c r="FP150" s="314">
        <f t="shared" si="674"/>
        <v>12144452</v>
      </c>
      <c r="FQ150" s="314">
        <f t="shared" si="674"/>
        <v>1909423</v>
      </c>
      <c r="FR150" s="314">
        <f t="shared" si="674"/>
        <v>0</v>
      </c>
      <c r="FS150" s="314">
        <f t="shared" si="674"/>
        <v>477570</v>
      </c>
      <c r="FT150" s="314">
        <f t="shared" si="674"/>
        <v>2948610</v>
      </c>
      <c r="FU150" s="314">
        <f t="shared" si="674"/>
        <v>426547</v>
      </c>
      <c r="FV150" s="314">
        <f t="shared" si="674"/>
        <v>559074</v>
      </c>
      <c r="FW150" s="314">
        <f t="shared" si="674"/>
        <v>1013735</v>
      </c>
      <c r="FX150" s="314">
        <f t="shared" si="674"/>
        <v>364926</v>
      </c>
      <c r="FY150" s="314">
        <f t="shared" si="674"/>
        <v>209591</v>
      </c>
      <c r="FZ150" s="314">
        <f t="shared" si="674"/>
        <v>2576210</v>
      </c>
      <c r="GA150" s="314">
        <f t="shared" si="674"/>
        <v>234850</v>
      </c>
      <c r="GB150" s="314">
        <f t="shared" si="674"/>
        <v>1751320</v>
      </c>
      <c r="GC150" s="314">
        <f t="shared" si="674"/>
        <v>2155529</v>
      </c>
      <c r="GD150" s="314">
        <f t="shared" si="674"/>
        <v>7122291</v>
      </c>
      <c r="GE150" s="314">
        <f t="shared" si="674"/>
        <v>1339065</v>
      </c>
      <c r="GF150" s="314">
        <f t="shared" si="674"/>
        <v>3590557</v>
      </c>
      <c r="GG150" s="314">
        <f t="shared" si="674"/>
        <v>1289981</v>
      </c>
      <c r="GH150" s="314">
        <f t="shared" si="674"/>
        <v>1089582</v>
      </c>
      <c r="GI150" s="314">
        <f t="shared" si="674"/>
        <v>6898917</v>
      </c>
      <c r="GJ150" s="314">
        <f t="shared" si="674"/>
        <v>1667501</v>
      </c>
      <c r="GK150" s="314">
        <f t="shared" si="674"/>
        <v>666130</v>
      </c>
      <c r="GL150" s="314">
        <f t="shared" si="674"/>
        <v>529296</v>
      </c>
      <c r="GM150" s="314">
        <f t="shared" si="674"/>
        <v>753240</v>
      </c>
      <c r="GN150" s="314">
        <f t="shared" si="674"/>
        <v>603116</v>
      </c>
      <c r="GO150" s="314">
        <f t="shared" ref="GO150:IZ150" si="675">GO115</f>
        <v>3581549</v>
      </c>
      <c r="GP150" s="314">
        <f t="shared" si="675"/>
        <v>520270</v>
      </c>
      <c r="GQ150" s="314">
        <f t="shared" si="675"/>
        <v>740230</v>
      </c>
      <c r="GR150" s="314">
        <f t="shared" si="675"/>
        <v>693152</v>
      </c>
      <c r="GS150" s="314">
        <f t="shared" si="675"/>
        <v>165886</v>
      </c>
      <c r="GT150" s="314">
        <f t="shared" si="675"/>
        <v>8345502</v>
      </c>
      <c r="GU150" s="314">
        <f t="shared" si="675"/>
        <v>761571</v>
      </c>
      <c r="GV150" s="314">
        <f t="shared" si="675"/>
        <v>4959810</v>
      </c>
      <c r="GW150" s="314">
        <f t="shared" si="675"/>
        <v>1133866</v>
      </c>
      <c r="GX150" s="314">
        <f t="shared" si="675"/>
        <v>154333</v>
      </c>
      <c r="GY150" s="314">
        <f t="shared" si="675"/>
        <v>10721860</v>
      </c>
      <c r="GZ150" s="314">
        <f t="shared" si="675"/>
        <v>0</v>
      </c>
      <c r="HA150" s="314">
        <f t="shared" si="675"/>
        <v>4876560</v>
      </c>
      <c r="HB150" s="314">
        <f t="shared" si="675"/>
        <v>1991460</v>
      </c>
      <c r="HC150" s="314">
        <f t="shared" si="675"/>
        <v>5134000</v>
      </c>
      <c r="HD150" s="314">
        <f t="shared" si="675"/>
        <v>1401300</v>
      </c>
      <c r="HE150" s="314">
        <f t="shared" si="675"/>
        <v>4443200</v>
      </c>
      <c r="HF150" s="314">
        <f t="shared" si="675"/>
        <v>707286</v>
      </c>
      <c r="HG150" s="314">
        <f t="shared" si="675"/>
        <v>518077</v>
      </c>
      <c r="HH150" s="314">
        <f t="shared" si="675"/>
        <v>1985778</v>
      </c>
      <c r="HI150" s="314">
        <f t="shared" si="675"/>
        <v>1514623</v>
      </c>
      <c r="HJ150" s="314">
        <f t="shared" si="675"/>
        <v>495460</v>
      </c>
      <c r="HK150" s="314">
        <f t="shared" si="675"/>
        <v>144000</v>
      </c>
      <c r="HL150" s="314">
        <f t="shared" si="675"/>
        <v>37366967.243574739</v>
      </c>
      <c r="HM150" s="314">
        <f t="shared" si="675"/>
        <v>25001512.541579321</v>
      </c>
      <c r="HN150" s="314">
        <f t="shared" si="675"/>
        <v>808776.41538817156</v>
      </c>
      <c r="HO150" s="314">
        <f t="shared" si="675"/>
        <v>2876769.799457768</v>
      </c>
      <c r="HP150" s="314">
        <f t="shared" si="675"/>
        <v>27787218</v>
      </c>
      <c r="HQ150" s="314">
        <f t="shared" si="675"/>
        <v>978043.38080963399</v>
      </c>
      <c r="HR150" s="314">
        <f t="shared" si="675"/>
        <v>33541191.281565275</v>
      </c>
      <c r="HS150" s="314">
        <f t="shared" si="675"/>
        <v>5691227.33762509</v>
      </c>
      <c r="HT150" s="314">
        <f t="shared" si="675"/>
        <v>22599685</v>
      </c>
      <c r="HU150" s="314">
        <f t="shared" si="675"/>
        <v>21507994</v>
      </c>
      <c r="HV150" s="314">
        <f t="shared" si="675"/>
        <v>16689127</v>
      </c>
      <c r="HW150" s="314">
        <f t="shared" si="675"/>
        <v>6965541.9659980796</v>
      </c>
      <c r="HX150" s="314">
        <f t="shared" si="675"/>
        <v>17983528.03400192</v>
      </c>
      <c r="HY150" s="314">
        <f t="shared" si="675"/>
        <v>21105762</v>
      </c>
      <c r="HZ150" s="314">
        <f t="shared" si="675"/>
        <v>9565941</v>
      </c>
      <c r="IA150" s="314">
        <f t="shared" si="675"/>
        <v>9107487</v>
      </c>
      <c r="IB150" s="314">
        <f t="shared" si="675"/>
        <v>8575181</v>
      </c>
      <c r="IC150" s="314">
        <f t="shared" si="675"/>
        <v>11233714.822746631</v>
      </c>
      <c r="ID150" s="314">
        <f t="shared" si="675"/>
        <v>9255791.1772533692</v>
      </c>
      <c r="IE150" s="314">
        <f t="shared" si="675"/>
        <v>16188892</v>
      </c>
      <c r="IF150" s="314">
        <f t="shared" si="675"/>
        <v>20259987.198794641</v>
      </c>
      <c r="IG150" s="314">
        <f t="shared" si="675"/>
        <v>5446079.8012053594</v>
      </c>
      <c r="IH150" s="314">
        <f t="shared" si="675"/>
        <v>3012886.5890955012</v>
      </c>
      <c r="II150" s="314">
        <f t="shared" si="675"/>
        <v>20841865.049244203</v>
      </c>
      <c r="IJ150" s="314">
        <f t="shared" si="675"/>
        <v>1674908.5338407224</v>
      </c>
      <c r="IK150" s="314">
        <f t="shared" si="675"/>
        <v>3577558.8278195728</v>
      </c>
      <c r="IL150" s="314">
        <f t="shared" si="675"/>
        <v>9204656</v>
      </c>
      <c r="IM150" s="314">
        <f t="shared" si="675"/>
        <v>701837.84282009513</v>
      </c>
      <c r="IN150" s="314">
        <f t="shared" si="675"/>
        <v>10213951.504810652</v>
      </c>
      <c r="IO150" s="314">
        <f t="shared" si="675"/>
        <v>3412493.6523692533</v>
      </c>
      <c r="IP150" s="314">
        <f t="shared" si="675"/>
        <v>22515867</v>
      </c>
      <c r="IQ150" s="314">
        <f t="shared" si="675"/>
        <v>22563962.666168727</v>
      </c>
      <c r="IR150" s="314">
        <f t="shared" si="675"/>
        <v>1003066.3338312713</v>
      </c>
      <c r="IS150" s="314">
        <f t="shared" si="675"/>
        <v>53065674.509968996</v>
      </c>
      <c r="IT150" s="314">
        <f t="shared" si="675"/>
        <v>12209859.490031004</v>
      </c>
      <c r="IU150" s="314">
        <f t="shared" si="675"/>
        <v>3182630.0362361362</v>
      </c>
      <c r="IV150" s="314">
        <f t="shared" si="675"/>
        <v>8522404.8188311569</v>
      </c>
      <c r="IW150" s="314">
        <f t="shared" si="675"/>
        <v>15638894.711101327</v>
      </c>
      <c r="IX150" s="314">
        <f t="shared" si="675"/>
        <v>1813436.4338313788</v>
      </c>
      <c r="IY150" s="314">
        <f t="shared" si="675"/>
        <v>7604648.4471565671</v>
      </c>
      <c r="IZ150" s="314">
        <f t="shared" si="675"/>
        <v>18227943.552843433</v>
      </c>
      <c r="JA150" s="314">
        <f t="shared" ref="JA150:JH150" si="676">JA115</f>
        <v>3037151.73</v>
      </c>
      <c r="JB150" s="314">
        <f t="shared" si="676"/>
        <v>2895174.04</v>
      </c>
      <c r="JC150" s="314">
        <f t="shared" si="676"/>
        <v>2268778.09</v>
      </c>
      <c r="JD150" s="314">
        <f t="shared" si="676"/>
        <v>5052980.7</v>
      </c>
      <c r="JE150" s="314">
        <f t="shared" si="676"/>
        <v>1159105.145059247</v>
      </c>
      <c r="JF150" s="314">
        <f t="shared" si="676"/>
        <v>29898599.85494075</v>
      </c>
      <c r="JG150" s="314">
        <f t="shared" si="676"/>
        <v>30541537</v>
      </c>
      <c r="JH150" s="314">
        <f t="shared" si="676"/>
        <v>868740</v>
      </c>
      <c r="JI150" s="314">
        <f t="shared" si="635"/>
        <v>1165506510.0600002</v>
      </c>
    </row>
    <row r="151" spans="1:276" x14ac:dyDescent="0.25">
      <c r="B151" s="314" t="str">
        <f>B116</f>
        <v>Celkem 2020 (přes KHK) po korekcích</v>
      </c>
      <c r="C151" s="314">
        <f>C148+C47+C48</f>
        <v>8884422.5558247231</v>
      </c>
      <c r="D151" s="314">
        <f t="shared" ref="D151:BP151" si="677">D148+D47+D48</f>
        <v>7730000</v>
      </c>
      <c r="E151" s="314">
        <f t="shared" si="677"/>
        <v>8299184.4088107003</v>
      </c>
      <c r="F151" s="314">
        <f t="shared" si="677"/>
        <v>3616884.7088353573</v>
      </c>
      <c r="G151" s="314">
        <f t="shared" si="677"/>
        <v>10328003.127290595</v>
      </c>
      <c r="H151" s="314">
        <f t="shared" si="677"/>
        <v>916710.41611130896</v>
      </c>
      <c r="I151" s="314">
        <f t="shared" si="677"/>
        <v>3162879.4741952131</v>
      </c>
      <c r="J151" s="314">
        <f t="shared" si="677"/>
        <v>2678115.5483361837</v>
      </c>
      <c r="K151" s="314">
        <f t="shared" si="677"/>
        <v>5988080</v>
      </c>
      <c r="L151" s="314">
        <f t="shared" si="677"/>
        <v>3774970</v>
      </c>
      <c r="M151" s="314">
        <f t="shared" si="677"/>
        <v>3667775.238895766</v>
      </c>
      <c r="N151" s="314">
        <f t="shared" si="677"/>
        <v>5360828.6030266704</v>
      </c>
      <c r="O151" s="314">
        <f t="shared" si="677"/>
        <v>4306141</v>
      </c>
      <c r="P151" s="314">
        <f t="shared" si="677"/>
        <v>2453026.0021816893</v>
      </c>
      <c r="Q151" s="314">
        <f t="shared" si="677"/>
        <v>1836488.4791010155</v>
      </c>
      <c r="R151" s="314">
        <f t="shared" si="677"/>
        <v>2030000</v>
      </c>
      <c r="S151" s="314">
        <f t="shared" si="677"/>
        <v>1637152.8</v>
      </c>
      <c r="T151" s="314">
        <f t="shared" si="677"/>
        <v>622773.51077815378</v>
      </c>
      <c r="U151" s="314">
        <f t="shared" si="677"/>
        <v>1087500</v>
      </c>
      <c r="V151" s="314">
        <f t="shared" si="677"/>
        <v>8493620</v>
      </c>
      <c r="W151" s="314">
        <f t="shared" si="677"/>
        <v>2130000</v>
      </c>
      <c r="X151" s="314">
        <f t="shared" si="677"/>
        <v>2304335.8095085779</v>
      </c>
      <c r="Y151" s="314">
        <f t="shared" si="677"/>
        <v>1770700</v>
      </c>
      <c r="Z151" s="314">
        <f t="shared" si="677"/>
        <v>7231924</v>
      </c>
      <c r="AA151" s="314">
        <f t="shared" si="677"/>
        <v>4244705.4490248738</v>
      </c>
      <c r="AB151" s="314">
        <f t="shared" si="677"/>
        <v>3678130.7057224135</v>
      </c>
      <c r="AC151" s="314">
        <f t="shared" ref="AC151" si="678">AC148+AC47+AC48</f>
        <v>640000.31194833247</v>
      </c>
      <c r="AD151" s="314">
        <f t="shared" si="677"/>
        <v>2590229.1206235653</v>
      </c>
      <c r="AE151" s="314">
        <f>AE148+AE47+AE48</f>
        <v>1133448.5258989439</v>
      </c>
      <c r="AF151" s="314">
        <f t="shared" si="677"/>
        <v>3323451.9295379585</v>
      </c>
      <c r="AG151" s="314">
        <f t="shared" si="677"/>
        <v>3450812.7548698969</v>
      </c>
      <c r="AH151" s="314">
        <f t="shared" si="677"/>
        <v>760000</v>
      </c>
      <c r="AI151" s="314">
        <f t="shared" si="677"/>
        <v>3404000</v>
      </c>
      <c r="AJ151" s="314">
        <f t="shared" si="677"/>
        <v>2585000</v>
      </c>
      <c r="AK151" s="314">
        <f t="shared" si="677"/>
        <v>1251400</v>
      </c>
      <c r="AL151" s="314">
        <f t="shared" si="677"/>
        <v>1952909.1633510776</v>
      </c>
      <c r="AM151" s="314">
        <f t="shared" si="677"/>
        <v>1499708.3726341231</v>
      </c>
      <c r="AN151" s="314">
        <f t="shared" si="677"/>
        <v>1148955.198498779</v>
      </c>
      <c r="AO151" s="314">
        <f t="shared" si="677"/>
        <v>4883755.5596356187</v>
      </c>
      <c r="AP151" s="314">
        <f t="shared" si="677"/>
        <v>2124765.1162296012</v>
      </c>
      <c r="AQ151" s="314">
        <f t="shared" si="677"/>
        <v>491000</v>
      </c>
      <c r="AR151" s="314">
        <f t="shared" si="677"/>
        <v>1531740.3992508459</v>
      </c>
      <c r="AS151" s="314">
        <f t="shared" si="677"/>
        <v>495253.22022333386</v>
      </c>
      <c r="AT151" s="314">
        <f t="shared" si="677"/>
        <v>2498113.4323683418</v>
      </c>
      <c r="AU151" s="314">
        <f t="shared" si="677"/>
        <v>992216.93946642126</v>
      </c>
      <c r="AV151" s="314">
        <f t="shared" si="677"/>
        <v>2003660.6772952261</v>
      </c>
      <c r="AW151" s="314">
        <f t="shared" si="677"/>
        <v>3343410.5426933127</v>
      </c>
      <c r="AX151" s="314">
        <f t="shared" si="677"/>
        <v>3240135.311080751</v>
      </c>
      <c r="AY151" s="314">
        <f t="shared" si="677"/>
        <v>3300190.5406568907</v>
      </c>
      <c r="AZ151" s="314">
        <f t="shared" si="677"/>
        <v>2981000</v>
      </c>
      <c r="BA151" s="314">
        <f t="shared" si="677"/>
        <v>9230000</v>
      </c>
      <c r="BB151" s="314">
        <f t="shared" si="677"/>
        <v>1312920</v>
      </c>
      <c r="BC151" s="314">
        <f t="shared" si="677"/>
        <v>1223742.4938025323</v>
      </c>
      <c r="BD151" s="314">
        <f t="shared" si="677"/>
        <v>1916258.3325785431</v>
      </c>
      <c r="BE151" s="314">
        <f t="shared" si="677"/>
        <v>1290934.3566507786</v>
      </c>
      <c r="BF151" s="314">
        <f t="shared" si="677"/>
        <v>2020000</v>
      </c>
      <c r="BG151" s="314">
        <f t="shared" si="677"/>
        <v>2499000</v>
      </c>
      <c r="BH151" s="314">
        <f t="shared" si="677"/>
        <v>3075109.2415605099</v>
      </c>
      <c r="BI151" s="314">
        <f t="shared" si="677"/>
        <v>1270000</v>
      </c>
      <c r="BJ151" s="314">
        <f t="shared" si="677"/>
        <v>2734458.8535647267</v>
      </c>
      <c r="BK151" s="314">
        <f t="shared" si="677"/>
        <v>988000</v>
      </c>
      <c r="BL151" s="314">
        <f t="shared" si="677"/>
        <v>455138.49500087276</v>
      </c>
      <c r="BM151" s="314">
        <f t="shared" si="677"/>
        <v>1464826</v>
      </c>
      <c r="BN151" s="314">
        <f t="shared" si="677"/>
        <v>1641101.9931537434</v>
      </c>
      <c r="BO151" s="314">
        <f t="shared" si="677"/>
        <v>1025279.6524752458</v>
      </c>
      <c r="BP151" s="314">
        <f t="shared" si="677"/>
        <v>4652080</v>
      </c>
      <c r="BQ151" s="314">
        <f t="shared" ref="BQ151:EB151" si="679">BQ148+BQ47+BQ48</f>
        <v>847233.45560883218</v>
      </c>
      <c r="BR151" s="314">
        <f t="shared" si="679"/>
        <v>1013021</v>
      </c>
      <c r="BS151" s="314">
        <f t="shared" si="679"/>
        <v>1300282.2989678741</v>
      </c>
      <c r="BT151" s="314">
        <f t="shared" si="679"/>
        <v>914160.26616723067</v>
      </c>
      <c r="BU151" s="314">
        <f t="shared" si="679"/>
        <v>3939338</v>
      </c>
      <c r="BV151" s="314">
        <f t="shared" si="679"/>
        <v>1177908.0353182531</v>
      </c>
      <c r="BW151" s="314">
        <f t="shared" si="679"/>
        <v>532683</v>
      </c>
      <c r="BX151" s="314">
        <f t="shared" si="679"/>
        <v>5208889.1910633538</v>
      </c>
      <c r="BY151" s="314">
        <f t="shared" si="679"/>
        <v>1520144</v>
      </c>
      <c r="BZ151" s="314">
        <f t="shared" si="679"/>
        <v>324150</v>
      </c>
      <c r="CA151" s="314">
        <f t="shared" si="679"/>
        <v>0</v>
      </c>
      <c r="CB151" s="314">
        <f t="shared" si="679"/>
        <v>571519.10142146726</v>
      </c>
      <c r="CC151" s="314">
        <f t="shared" si="679"/>
        <v>2238055.6625416637</v>
      </c>
      <c r="CD151" s="314">
        <f t="shared" si="679"/>
        <v>637848.21685573971</v>
      </c>
      <c r="CE151" s="314">
        <f t="shared" si="679"/>
        <v>9715050.1253167707</v>
      </c>
      <c r="CF151" s="314">
        <f t="shared" si="679"/>
        <v>4453617.8393289512</v>
      </c>
      <c r="CG151" s="314">
        <f t="shared" si="679"/>
        <v>8794581.4960704464</v>
      </c>
      <c r="CH151" s="314">
        <f t="shared" si="679"/>
        <v>3959479.0792496316</v>
      </c>
      <c r="CI151" s="314">
        <f t="shared" si="679"/>
        <v>3297218.8114025602</v>
      </c>
      <c r="CJ151" s="314">
        <f t="shared" si="679"/>
        <v>3854195.0818283353</v>
      </c>
      <c r="CK151" s="314">
        <f t="shared" si="679"/>
        <v>4466000</v>
      </c>
      <c r="CL151" s="314">
        <f t="shared" si="679"/>
        <v>2555360.1512724077</v>
      </c>
      <c r="CM151" s="314">
        <f t="shared" si="679"/>
        <v>6012336.4399863137</v>
      </c>
      <c r="CN151" s="314">
        <f t="shared" si="679"/>
        <v>1342009.9127194914</v>
      </c>
      <c r="CO151" s="314">
        <f t="shared" si="679"/>
        <v>1214500</v>
      </c>
      <c r="CP151" s="314">
        <f t="shared" si="679"/>
        <v>1268807.7168003041</v>
      </c>
      <c r="CQ151" s="314">
        <f t="shared" si="679"/>
        <v>5515036.573718125</v>
      </c>
      <c r="CR151" s="314">
        <f t="shared" si="679"/>
        <v>2331094</v>
      </c>
      <c r="CS151" s="314">
        <f t="shared" si="679"/>
        <v>3402237.5858069072</v>
      </c>
      <c r="CT151" s="314">
        <f t="shared" si="679"/>
        <v>5929679.8103662794</v>
      </c>
      <c r="CU151" s="314">
        <f t="shared" si="679"/>
        <v>1875000</v>
      </c>
      <c r="CV151" s="314">
        <f t="shared" si="679"/>
        <v>5644990.9859210327</v>
      </c>
      <c r="CW151" s="314">
        <f t="shared" si="679"/>
        <v>400000</v>
      </c>
      <c r="CX151" s="314">
        <f t="shared" si="679"/>
        <v>3457000</v>
      </c>
      <c r="CY151" s="314">
        <f t="shared" si="679"/>
        <v>2881083.2839012085</v>
      </c>
      <c r="CZ151" s="314">
        <f t="shared" si="679"/>
        <v>1374700</v>
      </c>
      <c r="DA151" s="314">
        <f t="shared" si="679"/>
        <v>7650000</v>
      </c>
      <c r="DB151" s="314">
        <f t="shared" si="679"/>
        <v>760808</v>
      </c>
      <c r="DC151" s="314">
        <f t="shared" si="679"/>
        <v>1952214.4635382525</v>
      </c>
      <c r="DD151" s="314">
        <f t="shared" si="679"/>
        <v>5370629.645727817</v>
      </c>
      <c r="DE151" s="314">
        <f t="shared" si="679"/>
        <v>7596996.8713862468</v>
      </c>
      <c r="DF151" s="314">
        <f t="shared" si="679"/>
        <v>4660760</v>
      </c>
      <c r="DG151" s="314">
        <f t="shared" si="679"/>
        <v>802938.16515118408</v>
      </c>
      <c r="DH151" s="314">
        <f t="shared" si="679"/>
        <v>2437341.0743335127</v>
      </c>
      <c r="DI151" s="314">
        <f t="shared" si="679"/>
        <v>1137805.3840966881</v>
      </c>
      <c r="DJ151" s="314">
        <f t="shared" si="679"/>
        <v>1854835.0236859601</v>
      </c>
      <c r="DK151" s="314">
        <f t="shared" si="679"/>
        <v>2577327.818091928</v>
      </c>
      <c r="DL151" s="314">
        <f t="shared" si="679"/>
        <v>4094296.2218004535</v>
      </c>
      <c r="DM151" s="314">
        <f t="shared" si="679"/>
        <v>1905503.0838138557</v>
      </c>
      <c r="DN151" s="314">
        <f t="shared" si="679"/>
        <v>3604667</v>
      </c>
      <c r="DO151" s="314">
        <f t="shared" si="679"/>
        <v>1402300.3922101089</v>
      </c>
      <c r="DP151" s="314">
        <f t="shared" si="679"/>
        <v>4045363.78</v>
      </c>
      <c r="DQ151" s="314">
        <f t="shared" si="679"/>
        <v>3939645</v>
      </c>
      <c r="DR151" s="314">
        <f t="shared" si="679"/>
        <v>4423025</v>
      </c>
      <c r="DS151" s="314">
        <f t="shared" si="679"/>
        <v>878000</v>
      </c>
      <c r="DT151" s="314">
        <f t="shared" si="679"/>
        <v>3015000</v>
      </c>
      <c r="DU151" s="314">
        <f t="shared" si="679"/>
        <v>2119508.9633388799</v>
      </c>
      <c r="DV151" s="314">
        <f t="shared" si="679"/>
        <v>4423333</v>
      </c>
      <c r="DW151" s="314">
        <f t="shared" si="679"/>
        <v>1463011.5734570101</v>
      </c>
      <c r="DX151" s="314">
        <f t="shared" si="679"/>
        <v>4464719.1541079516</v>
      </c>
      <c r="DY151" s="314">
        <f t="shared" si="679"/>
        <v>4581142.7504826486</v>
      </c>
      <c r="DZ151" s="314">
        <f t="shared" si="679"/>
        <v>723925.6888148766</v>
      </c>
      <c r="EA151" s="314">
        <f t="shared" si="679"/>
        <v>3910500</v>
      </c>
      <c r="EB151" s="314">
        <f t="shared" si="679"/>
        <v>4071612.8583436497</v>
      </c>
      <c r="EC151" s="314">
        <f t="shared" ref="EC151:GN151" si="680">EC148+EC47+EC48</f>
        <v>3507637.7512384658</v>
      </c>
      <c r="ED151" s="314">
        <f t="shared" si="680"/>
        <v>3789855.4215401057</v>
      </c>
      <c r="EE151" s="314">
        <f t="shared" si="680"/>
        <v>610000</v>
      </c>
      <c r="EF151" s="314">
        <f t="shared" si="680"/>
        <v>666000</v>
      </c>
      <c r="EG151" s="314">
        <f t="shared" si="680"/>
        <v>425000</v>
      </c>
      <c r="EH151" s="314">
        <f t="shared" si="680"/>
        <v>595000</v>
      </c>
      <c r="EI151" s="314">
        <f t="shared" si="680"/>
        <v>1025000</v>
      </c>
      <c r="EJ151" s="314">
        <f t="shared" si="680"/>
        <v>1254497.1182819521</v>
      </c>
      <c r="EK151" s="314">
        <f t="shared" si="680"/>
        <v>3932042</v>
      </c>
      <c r="EL151" s="314">
        <f t="shared" si="680"/>
        <v>8896075.9201217424</v>
      </c>
      <c r="EM151" s="314">
        <f t="shared" si="680"/>
        <v>2765690.3194428757</v>
      </c>
      <c r="EN151" s="314">
        <f t="shared" si="680"/>
        <v>2526602</v>
      </c>
      <c r="EO151" s="314">
        <f t="shared" si="680"/>
        <v>326536.14681555587</v>
      </c>
      <c r="EP151" s="314">
        <f t="shared" si="680"/>
        <v>2970065</v>
      </c>
      <c r="EQ151" s="314">
        <f t="shared" si="680"/>
        <v>2268152.5044244276</v>
      </c>
      <c r="ER151" s="314">
        <f t="shared" si="680"/>
        <v>6229000</v>
      </c>
      <c r="ES151" s="314">
        <f t="shared" si="680"/>
        <v>2889369.4473401564</v>
      </c>
      <c r="ET151" s="314">
        <f t="shared" si="680"/>
        <v>901340</v>
      </c>
      <c r="EU151" s="314">
        <f t="shared" si="680"/>
        <v>2056000</v>
      </c>
      <c r="EV151" s="314">
        <f t="shared" si="680"/>
        <v>443085.98782481399</v>
      </c>
      <c r="EW151" s="314">
        <f t="shared" si="680"/>
        <v>2505057.7705038232</v>
      </c>
      <c r="EX151" s="314">
        <f t="shared" si="680"/>
        <v>5574308.9853405347</v>
      </c>
      <c r="EY151" s="314">
        <f t="shared" si="680"/>
        <v>2059165.8751551495</v>
      </c>
      <c r="EZ151" s="314">
        <f t="shared" si="680"/>
        <v>0</v>
      </c>
      <c r="FA151" s="314">
        <f t="shared" si="680"/>
        <v>990000</v>
      </c>
      <c r="FB151" s="314">
        <f t="shared" si="680"/>
        <v>177814.53304874955</v>
      </c>
      <c r="FC151" s="314">
        <f t="shared" si="680"/>
        <v>3042203.9813623684</v>
      </c>
      <c r="FD151" s="314">
        <f t="shared" si="680"/>
        <v>1059104.6825002881</v>
      </c>
      <c r="FE151" s="314">
        <f t="shared" si="680"/>
        <v>343252.91334718862</v>
      </c>
      <c r="FF151" s="314">
        <f t="shared" si="680"/>
        <v>1441591.96</v>
      </c>
      <c r="FG151" s="314">
        <f t="shared" si="680"/>
        <v>5703200</v>
      </c>
      <c r="FH151" s="314">
        <f t="shared" si="680"/>
        <v>5790606.0491879787</v>
      </c>
      <c r="FI151" s="314">
        <f t="shared" si="680"/>
        <v>7582387.4650456514</v>
      </c>
      <c r="FJ151" s="314">
        <f t="shared" si="680"/>
        <v>1854520.9697589942</v>
      </c>
      <c r="FK151" s="314">
        <f t="shared" si="680"/>
        <v>117156.2027371416</v>
      </c>
      <c r="FL151" s="314">
        <f t="shared" si="680"/>
        <v>289530.78772289003</v>
      </c>
      <c r="FM151" s="314">
        <f t="shared" si="680"/>
        <v>943015.1290333569</v>
      </c>
      <c r="FN151" s="314">
        <f t="shared" si="680"/>
        <v>7003025.5498415343</v>
      </c>
      <c r="FO151" s="314">
        <f t="shared" si="680"/>
        <v>1654621.1373999999</v>
      </c>
      <c r="FP151" s="314">
        <f t="shared" si="680"/>
        <v>12351204.308851836</v>
      </c>
      <c r="FQ151" s="314">
        <f t="shared" si="680"/>
        <v>1972278.2238</v>
      </c>
      <c r="FR151" s="314">
        <f t="shared" si="680"/>
        <v>2840805.433337939</v>
      </c>
      <c r="FS151" s="314">
        <f t="shared" si="680"/>
        <v>464007.95</v>
      </c>
      <c r="FT151" s="314">
        <f t="shared" si="680"/>
        <v>3255891.8040901599</v>
      </c>
      <c r="FU151" s="314">
        <f t="shared" si="680"/>
        <v>465828.80444292724</v>
      </c>
      <c r="FV151" s="314">
        <f t="shared" si="680"/>
        <v>559247.1692367394</v>
      </c>
      <c r="FW151" s="314">
        <f t="shared" si="680"/>
        <v>937680.03042577044</v>
      </c>
      <c r="FX151" s="314">
        <f t="shared" si="680"/>
        <v>384533.50336206751</v>
      </c>
      <c r="FY151" s="314">
        <f t="shared" si="680"/>
        <v>200000</v>
      </c>
      <c r="FZ151" s="314">
        <f t="shared" si="680"/>
        <v>2571154.0852688877</v>
      </c>
      <c r="GA151" s="314">
        <f t="shared" si="680"/>
        <v>235086.12772381899</v>
      </c>
      <c r="GB151" s="314">
        <f t="shared" si="680"/>
        <v>2245960.1198871755</v>
      </c>
      <c r="GC151" s="314">
        <f t="shared" si="680"/>
        <v>2171084.1398516875</v>
      </c>
      <c r="GD151" s="314">
        <f t="shared" si="680"/>
        <v>7928941.2458636481</v>
      </c>
      <c r="GE151" s="314">
        <f t="shared" si="680"/>
        <v>1229450.065998916</v>
      </c>
      <c r="GF151" s="314">
        <f t="shared" si="680"/>
        <v>3881575.8495693267</v>
      </c>
      <c r="GG151" s="314">
        <f t="shared" si="680"/>
        <v>1157418.4633801784</v>
      </c>
      <c r="GH151" s="314">
        <f t="shared" si="680"/>
        <v>1054717</v>
      </c>
      <c r="GI151" s="314">
        <f t="shared" si="680"/>
        <v>7754404.1747833164</v>
      </c>
      <c r="GJ151" s="314">
        <f t="shared" si="680"/>
        <v>1839200.3392906617</v>
      </c>
      <c r="GK151" s="314">
        <f t="shared" si="680"/>
        <v>600000</v>
      </c>
      <c r="GL151" s="314">
        <f t="shared" si="680"/>
        <v>469954.02825609827</v>
      </c>
      <c r="GM151" s="314">
        <f t="shared" si="680"/>
        <v>692537.52275552833</v>
      </c>
      <c r="GN151" s="314">
        <f t="shared" si="680"/>
        <v>788769.06011215365</v>
      </c>
      <c r="GO151" s="314">
        <f t="shared" ref="GO151:IZ151" si="681">GO148+GO47+GO48</f>
        <v>4468795.486137961</v>
      </c>
      <c r="GP151" s="314">
        <f t="shared" si="681"/>
        <v>484458.62365770375</v>
      </c>
      <c r="GQ151" s="314">
        <f t="shared" si="681"/>
        <v>309592.78871686111</v>
      </c>
      <c r="GR151" s="314">
        <f t="shared" si="681"/>
        <v>610000</v>
      </c>
      <c r="GS151" s="314">
        <f t="shared" si="681"/>
        <v>0</v>
      </c>
      <c r="GT151" s="314">
        <f t="shared" si="681"/>
        <v>8684791.9089435674</v>
      </c>
      <c r="GU151" s="314">
        <f t="shared" si="681"/>
        <v>807440</v>
      </c>
      <c r="GV151" s="314">
        <f t="shared" si="681"/>
        <v>5000000</v>
      </c>
      <c r="GW151" s="314">
        <f t="shared" si="681"/>
        <v>941724.88907427166</v>
      </c>
      <c r="GX151" s="314">
        <f t="shared" si="681"/>
        <v>150000</v>
      </c>
      <c r="GY151" s="314">
        <f t="shared" si="681"/>
        <v>11169700.678891907</v>
      </c>
      <c r="GZ151" s="314">
        <f t="shared" si="681"/>
        <v>3222820.7912944802</v>
      </c>
      <c r="HA151" s="314">
        <f t="shared" si="681"/>
        <v>5200000</v>
      </c>
      <c r="HB151" s="314">
        <f t="shared" si="681"/>
        <v>2241824.8575916188</v>
      </c>
      <c r="HC151" s="314">
        <f t="shared" si="681"/>
        <v>5534657.4581430918</v>
      </c>
      <c r="HD151" s="314">
        <f t="shared" si="681"/>
        <v>1908552.7255373849</v>
      </c>
      <c r="HE151" s="314">
        <f t="shared" si="681"/>
        <v>4945200</v>
      </c>
      <c r="HF151" s="314">
        <f t="shared" si="681"/>
        <v>780918.93476073246</v>
      </c>
      <c r="HG151" s="314">
        <f t="shared" si="681"/>
        <v>483764.13760522264</v>
      </c>
      <c r="HH151" s="314">
        <f t="shared" si="681"/>
        <v>1870575.3205709462</v>
      </c>
      <c r="HI151" s="314">
        <f t="shared" si="681"/>
        <v>1243943.1770259617</v>
      </c>
      <c r="HJ151" s="314">
        <f t="shared" si="681"/>
        <v>997908.83102156827</v>
      </c>
      <c r="HK151" s="314">
        <f t="shared" si="681"/>
        <v>0</v>
      </c>
      <c r="HL151" s="314">
        <f t="shared" si="681"/>
        <v>37616967.243574739</v>
      </c>
      <c r="HM151" s="314">
        <f t="shared" si="681"/>
        <v>25001512.541579325</v>
      </c>
      <c r="HN151" s="314">
        <f t="shared" si="681"/>
        <v>992757.48207886913</v>
      </c>
      <c r="HO151" s="314">
        <f t="shared" si="681"/>
        <v>2847160.6666890793</v>
      </c>
      <c r="HP151" s="314">
        <f t="shared" si="681"/>
        <v>27787218</v>
      </c>
      <c r="HQ151" s="314">
        <f t="shared" si="681"/>
        <v>978043.38080963399</v>
      </c>
      <c r="HR151" s="314">
        <f t="shared" si="681"/>
        <v>34333691.281565279</v>
      </c>
      <c r="HS151" s="314">
        <f t="shared" si="681"/>
        <v>6456227.33762509</v>
      </c>
      <c r="HT151" s="314">
        <f t="shared" si="681"/>
        <v>22599685</v>
      </c>
      <c r="HU151" s="314">
        <f t="shared" si="681"/>
        <v>21507994</v>
      </c>
      <c r="HV151" s="314">
        <f t="shared" si="681"/>
        <v>18189127</v>
      </c>
      <c r="HW151" s="314">
        <f t="shared" si="681"/>
        <v>4980541.9659980796</v>
      </c>
      <c r="HX151" s="314">
        <f t="shared" si="681"/>
        <v>20738568.03400192</v>
      </c>
      <c r="HY151" s="314">
        <f t="shared" si="681"/>
        <v>21105762</v>
      </c>
      <c r="HZ151" s="314">
        <f t="shared" si="681"/>
        <v>9565941</v>
      </c>
      <c r="IA151" s="314">
        <f t="shared" si="681"/>
        <v>9107487</v>
      </c>
      <c r="IB151" s="314">
        <f t="shared" si="681"/>
        <v>9035181</v>
      </c>
      <c r="IC151" s="314">
        <f t="shared" si="681"/>
        <v>11233714.822746631</v>
      </c>
      <c r="ID151" s="314">
        <f t="shared" si="681"/>
        <v>9255791.1772533692</v>
      </c>
      <c r="IE151" s="314">
        <f t="shared" si="681"/>
        <v>16688892</v>
      </c>
      <c r="IF151" s="314">
        <f t="shared" si="681"/>
        <v>20509987.198794641</v>
      </c>
      <c r="IG151" s="314">
        <f t="shared" si="681"/>
        <v>5446079.8012053594</v>
      </c>
      <c r="IH151" s="314">
        <f t="shared" si="681"/>
        <v>3012886.5890955012</v>
      </c>
      <c r="II151" s="314">
        <f t="shared" si="681"/>
        <v>21271865.049244203</v>
      </c>
      <c r="IJ151" s="314">
        <f t="shared" si="681"/>
        <v>1774908.5338407224</v>
      </c>
      <c r="IK151" s="314">
        <f t="shared" si="681"/>
        <v>3740263.7456418383</v>
      </c>
      <c r="IL151" s="314">
        <f t="shared" si="681"/>
        <v>10104656</v>
      </c>
      <c r="IM151" s="314">
        <f t="shared" si="681"/>
        <v>701837.84282009513</v>
      </c>
      <c r="IN151" s="314">
        <f t="shared" si="681"/>
        <v>10213951.504810652</v>
      </c>
      <c r="IO151" s="314">
        <f t="shared" si="681"/>
        <v>3412493.6523692533</v>
      </c>
      <c r="IP151" s="314">
        <f t="shared" si="681"/>
        <v>22515867</v>
      </c>
      <c r="IQ151" s="314">
        <f t="shared" si="681"/>
        <v>22563962.666168727</v>
      </c>
      <c r="IR151" s="314">
        <f t="shared" si="681"/>
        <v>1003066.3338312713</v>
      </c>
      <c r="IS151" s="314">
        <f t="shared" si="681"/>
        <v>54465674.509968989</v>
      </c>
      <c r="IT151" s="314">
        <f t="shared" si="681"/>
        <v>12509859.490031006</v>
      </c>
      <c r="IU151" s="314">
        <f t="shared" si="681"/>
        <v>3182630.0362361362</v>
      </c>
      <c r="IV151" s="314">
        <f t="shared" si="681"/>
        <v>8522404.8188311569</v>
      </c>
      <c r="IW151" s="314">
        <f t="shared" si="681"/>
        <v>15638894.711101327</v>
      </c>
      <c r="IX151" s="314">
        <f t="shared" si="681"/>
        <v>1813436.4338313788</v>
      </c>
      <c r="IY151" s="314">
        <f t="shared" si="681"/>
        <v>5604648.4471565681</v>
      </c>
      <c r="IZ151" s="314">
        <f t="shared" si="681"/>
        <v>20877943.552843433</v>
      </c>
      <c r="JA151" s="314">
        <f t="shared" ref="JA151:JH151" si="682">JA148+JA47+JA48</f>
        <v>3037151.73</v>
      </c>
      <c r="JB151" s="314">
        <f t="shared" si="682"/>
        <v>2895174.04</v>
      </c>
      <c r="JC151" s="314">
        <f t="shared" si="682"/>
        <v>2268778.09</v>
      </c>
      <c r="JD151" s="314">
        <f>JD148+JD47+JD48</f>
        <v>3876588.7</v>
      </c>
      <c r="JE151" s="314">
        <f t="shared" si="682"/>
        <v>1159105.145059247</v>
      </c>
      <c r="JF151" s="314">
        <f t="shared" si="682"/>
        <v>33383599.85494075</v>
      </c>
      <c r="JG151" s="314">
        <f t="shared" si="682"/>
        <v>30041537</v>
      </c>
      <c r="JH151" s="314">
        <f t="shared" si="682"/>
        <v>868740</v>
      </c>
      <c r="JI151" s="314">
        <f t="shared" si="635"/>
        <v>1242250949.4867289</v>
      </c>
    </row>
    <row r="152" spans="1:276" x14ac:dyDescent="0.25">
      <c r="B152" s="313" t="s">
        <v>1828</v>
      </c>
      <c r="C152" s="314">
        <f>C151-C150</f>
        <v>1235422.5558247231</v>
      </c>
      <c r="D152" s="314">
        <f t="shared" ref="D152:BP152" si="683">D151-D150</f>
        <v>1406900</v>
      </c>
      <c r="E152" s="314">
        <f t="shared" si="683"/>
        <v>102779.40881070029</v>
      </c>
      <c r="F152" s="314">
        <f t="shared" si="683"/>
        <v>132284.70883535733</v>
      </c>
      <c r="G152" s="314">
        <f t="shared" si="683"/>
        <v>1429653.1272905953</v>
      </c>
      <c r="H152" s="314">
        <f t="shared" si="683"/>
        <v>65710.416111308965</v>
      </c>
      <c r="I152" s="314">
        <f t="shared" si="683"/>
        <v>941977.47419521306</v>
      </c>
      <c r="J152" s="314">
        <f t="shared" si="683"/>
        <v>85670.548336183652</v>
      </c>
      <c r="K152" s="314">
        <f t="shared" si="683"/>
        <v>618538</v>
      </c>
      <c r="L152" s="314">
        <f t="shared" si="683"/>
        <v>0</v>
      </c>
      <c r="M152" s="314">
        <f t="shared" si="683"/>
        <v>30486.238895765971</v>
      </c>
      <c r="N152" s="314">
        <f t="shared" si="683"/>
        <v>115828.6030266704</v>
      </c>
      <c r="O152" s="314">
        <f t="shared" si="683"/>
        <v>151212</v>
      </c>
      <c r="P152" s="314">
        <f t="shared" si="683"/>
        <v>108010.00218168925</v>
      </c>
      <c r="Q152" s="314">
        <f t="shared" si="683"/>
        <v>371221.47910101549</v>
      </c>
      <c r="R152" s="314">
        <f t="shared" si="683"/>
        <v>-94718.100000000093</v>
      </c>
      <c r="S152" s="314">
        <f t="shared" si="683"/>
        <v>0</v>
      </c>
      <c r="T152" s="314">
        <f t="shared" si="683"/>
        <v>31437.510778153781</v>
      </c>
      <c r="U152" s="314">
        <f t="shared" si="683"/>
        <v>-11704</v>
      </c>
      <c r="V152" s="314">
        <f t="shared" si="683"/>
        <v>-740000</v>
      </c>
      <c r="W152" s="314">
        <f t="shared" si="683"/>
        <v>305000</v>
      </c>
      <c r="X152" s="314">
        <f t="shared" si="683"/>
        <v>994445.80950857792</v>
      </c>
      <c r="Y152" s="314">
        <f t="shared" si="683"/>
        <v>12890</v>
      </c>
      <c r="Z152" s="314">
        <f t="shared" si="683"/>
        <v>379924</v>
      </c>
      <c r="AA152" s="314">
        <f t="shared" si="683"/>
        <v>394885.44902487379</v>
      </c>
      <c r="AB152" s="314">
        <f t="shared" si="683"/>
        <v>630190.70572241349</v>
      </c>
      <c r="AC152" s="314">
        <f t="shared" ref="AC152" si="684">AC151-AC150</f>
        <v>-1367499.6880516675</v>
      </c>
      <c r="AD152" s="314">
        <f t="shared" si="683"/>
        <v>744989.12062356528</v>
      </c>
      <c r="AE152" s="314">
        <f t="shared" si="683"/>
        <v>76840.525898943888</v>
      </c>
      <c r="AF152" s="314">
        <f t="shared" si="683"/>
        <v>1219244.9295379585</v>
      </c>
      <c r="AG152" s="314">
        <f t="shared" si="683"/>
        <v>125060.75486989692</v>
      </c>
      <c r="AH152" s="314">
        <f t="shared" si="683"/>
        <v>-7266</v>
      </c>
      <c r="AI152" s="314">
        <f t="shared" si="683"/>
        <v>510300</v>
      </c>
      <c r="AJ152" s="314">
        <f t="shared" si="683"/>
        <v>134700</v>
      </c>
      <c r="AK152" s="314">
        <f t="shared" si="683"/>
        <v>53995</v>
      </c>
      <c r="AL152" s="314">
        <f t="shared" si="683"/>
        <v>92493.163351077586</v>
      </c>
      <c r="AM152" s="314">
        <f t="shared" si="683"/>
        <v>125216.37263412308</v>
      </c>
      <c r="AN152" s="314">
        <f t="shared" si="683"/>
        <v>121055.19849877898</v>
      </c>
      <c r="AO152" s="314">
        <f t="shared" si="683"/>
        <v>1154727.5596356187</v>
      </c>
      <c r="AP152" s="314">
        <f t="shared" si="683"/>
        <v>-135009.8837703988</v>
      </c>
      <c r="AQ152" s="314">
        <f t="shared" si="683"/>
        <v>163062</v>
      </c>
      <c r="AR152" s="314">
        <f t="shared" si="683"/>
        <v>401149.39925084589</v>
      </c>
      <c r="AS152" s="314">
        <f t="shared" si="683"/>
        <v>44681.220223333861</v>
      </c>
      <c r="AT152" s="314">
        <f t="shared" si="683"/>
        <v>322367.43236834183</v>
      </c>
      <c r="AU152" s="314">
        <f t="shared" si="683"/>
        <v>97944.93946642126</v>
      </c>
      <c r="AV152" s="314">
        <f t="shared" si="683"/>
        <v>137042.67729522614</v>
      </c>
      <c r="AW152" s="314">
        <f t="shared" si="683"/>
        <v>272535.54269331275</v>
      </c>
      <c r="AX152" s="314">
        <f t="shared" si="683"/>
        <v>270115.31108075101</v>
      </c>
      <c r="AY152" s="314">
        <f t="shared" si="683"/>
        <v>208738.54065689072</v>
      </c>
      <c r="AZ152" s="314">
        <f t="shared" si="683"/>
        <v>49765</v>
      </c>
      <c r="BA152" s="314">
        <f t="shared" si="683"/>
        <v>1814732</v>
      </c>
      <c r="BB152" s="314">
        <f t="shared" si="683"/>
        <v>292796</v>
      </c>
      <c r="BC152" s="314">
        <f t="shared" si="683"/>
        <v>214997.49380253232</v>
      </c>
      <c r="BD152" s="314">
        <f t="shared" si="683"/>
        <v>638438.33257854311</v>
      </c>
      <c r="BE152" s="314">
        <f t="shared" si="683"/>
        <v>86784.356650778558</v>
      </c>
      <c r="BF152" s="314">
        <f t="shared" si="683"/>
        <v>131040</v>
      </c>
      <c r="BG152" s="314">
        <f t="shared" si="683"/>
        <v>154784</v>
      </c>
      <c r="BH152" s="314">
        <f t="shared" si="683"/>
        <v>127041.24156050989</v>
      </c>
      <c r="BI152" s="314">
        <f t="shared" si="683"/>
        <v>-198100</v>
      </c>
      <c r="BJ152" s="314">
        <f t="shared" si="683"/>
        <v>81837.853564726654</v>
      </c>
      <c r="BK152" s="314">
        <f t="shared" si="683"/>
        <v>136000</v>
      </c>
      <c r="BL152" s="314">
        <f t="shared" si="683"/>
        <v>455138.49500087276</v>
      </c>
      <c r="BM152" s="314">
        <f t="shared" si="683"/>
        <v>849726</v>
      </c>
      <c r="BN152" s="314">
        <f t="shared" si="683"/>
        <v>59101.993153743446</v>
      </c>
      <c r="BO152" s="314">
        <f t="shared" si="683"/>
        <v>263269.65247524576</v>
      </c>
      <c r="BP152" s="314">
        <f t="shared" si="683"/>
        <v>732773</v>
      </c>
      <c r="BQ152" s="314">
        <f t="shared" ref="BQ152:EB152" si="685">BQ151-BQ150</f>
        <v>31797.455608832184</v>
      </c>
      <c r="BR152" s="314">
        <f t="shared" si="685"/>
        <v>138681</v>
      </c>
      <c r="BS152" s="314">
        <f t="shared" si="685"/>
        <v>2382.2989678741433</v>
      </c>
      <c r="BT152" s="314">
        <f t="shared" si="685"/>
        <v>54060.266167230671</v>
      </c>
      <c r="BU152" s="314">
        <f t="shared" si="685"/>
        <v>0</v>
      </c>
      <c r="BV152" s="314">
        <f t="shared" si="685"/>
        <v>588998.0353182531</v>
      </c>
      <c r="BW152" s="314">
        <f t="shared" si="685"/>
        <v>0</v>
      </c>
      <c r="BX152" s="314">
        <f t="shared" si="685"/>
        <v>1153636.1910633538</v>
      </c>
      <c r="BY152" s="314">
        <f t="shared" si="685"/>
        <v>0</v>
      </c>
      <c r="BZ152" s="314">
        <f t="shared" si="685"/>
        <v>0</v>
      </c>
      <c r="CA152" s="314">
        <f t="shared" si="685"/>
        <v>0</v>
      </c>
      <c r="CB152" s="314">
        <f t="shared" si="685"/>
        <v>39256.101421467261</v>
      </c>
      <c r="CC152" s="314">
        <f t="shared" si="685"/>
        <v>117637.66254166374</v>
      </c>
      <c r="CD152" s="314">
        <f t="shared" si="685"/>
        <v>-9487.783144260291</v>
      </c>
      <c r="CE152" s="314">
        <f t="shared" si="685"/>
        <v>1446195.1253167707</v>
      </c>
      <c r="CF152" s="314">
        <f t="shared" si="685"/>
        <v>127617.8393289512</v>
      </c>
      <c r="CG152" s="314">
        <f t="shared" si="685"/>
        <v>570095.49607044645</v>
      </c>
      <c r="CH152" s="314">
        <f t="shared" si="685"/>
        <v>305133.07924963161</v>
      </c>
      <c r="CI152" s="314">
        <f t="shared" si="685"/>
        <v>414452.81140256021</v>
      </c>
      <c r="CJ152" s="314">
        <f t="shared" si="685"/>
        <v>394665.0818283353</v>
      </c>
      <c r="CK152" s="314">
        <f t="shared" si="685"/>
        <v>289377</v>
      </c>
      <c r="CL152" s="314">
        <f t="shared" si="685"/>
        <v>170391.15127240773</v>
      </c>
      <c r="CM152" s="314">
        <f t="shared" si="685"/>
        <v>691676.43998631369</v>
      </c>
      <c r="CN152" s="314">
        <f t="shared" si="685"/>
        <v>59434.772719491506</v>
      </c>
      <c r="CO152" s="314">
        <f t="shared" si="685"/>
        <v>0</v>
      </c>
      <c r="CP152" s="314">
        <f t="shared" si="685"/>
        <v>30382.256800304167</v>
      </c>
      <c r="CQ152" s="314">
        <f t="shared" si="685"/>
        <v>908770.573718125</v>
      </c>
      <c r="CR152" s="314">
        <f t="shared" si="685"/>
        <v>714294</v>
      </c>
      <c r="CS152" s="314">
        <f t="shared" si="685"/>
        <v>3402237.5858069072</v>
      </c>
      <c r="CT152" s="314">
        <f t="shared" si="685"/>
        <v>859679.81036627945</v>
      </c>
      <c r="CU152" s="314">
        <f t="shared" si="685"/>
        <v>474500</v>
      </c>
      <c r="CV152" s="314">
        <f t="shared" si="685"/>
        <v>613490.98592103273</v>
      </c>
      <c r="CW152" s="314">
        <f t="shared" si="685"/>
        <v>128599</v>
      </c>
      <c r="CX152" s="314">
        <f t="shared" si="685"/>
        <v>329000</v>
      </c>
      <c r="CY152" s="314">
        <f t="shared" si="685"/>
        <v>132129.28390120855</v>
      </c>
      <c r="CZ152" s="314">
        <f t="shared" si="685"/>
        <v>368000</v>
      </c>
      <c r="DA152" s="314">
        <f t="shared" si="685"/>
        <v>2069140</v>
      </c>
      <c r="DB152" s="314">
        <f t="shared" si="685"/>
        <v>95480</v>
      </c>
      <c r="DC152" s="314">
        <f t="shared" si="685"/>
        <v>328714.46353825252</v>
      </c>
      <c r="DD152" s="314">
        <f t="shared" si="685"/>
        <v>690116.64572781697</v>
      </c>
      <c r="DE152" s="314">
        <f t="shared" si="685"/>
        <v>429390.87138624676</v>
      </c>
      <c r="DF152" s="314">
        <f t="shared" si="685"/>
        <v>-556092</v>
      </c>
      <c r="DG152" s="314">
        <f t="shared" si="685"/>
        <v>197198.16515118408</v>
      </c>
      <c r="DH152" s="314">
        <f t="shared" si="685"/>
        <v>830973.43433351256</v>
      </c>
      <c r="DI152" s="314">
        <f t="shared" si="685"/>
        <v>43865.384096688125</v>
      </c>
      <c r="DJ152" s="314">
        <f t="shared" si="685"/>
        <v>37877.023685960099</v>
      </c>
      <c r="DK152" s="314">
        <f t="shared" si="685"/>
        <v>1666856.818091928</v>
      </c>
      <c r="DL152" s="314">
        <f t="shared" si="685"/>
        <v>277072.2218004535</v>
      </c>
      <c r="DM152" s="314">
        <f t="shared" si="685"/>
        <v>171155.08381385566</v>
      </c>
      <c r="DN152" s="314">
        <f t="shared" si="685"/>
        <v>623902</v>
      </c>
      <c r="DO152" s="314">
        <f t="shared" si="685"/>
        <v>4525.3922101089265</v>
      </c>
      <c r="DP152" s="314">
        <f t="shared" si="685"/>
        <v>0</v>
      </c>
      <c r="DQ152" s="314">
        <f t="shared" si="685"/>
        <v>31793</v>
      </c>
      <c r="DR152" s="314">
        <f t="shared" si="685"/>
        <v>-54351</v>
      </c>
      <c r="DS152" s="314">
        <f t="shared" si="685"/>
        <v>547000</v>
      </c>
      <c r="DT152" s="314">
        <f t="shared" si="685"/>
        <v>108709</v>
      </c>
      <c r="DU152" s="314">
        <f t="shared" si="685"/>
        <v>18908.963338879868</v>
      </c>
      <c r="DV152" s="314">
        <f t="shared" si="685"/>
        <v>1277856</v>
      </c>
      <c r="DW152" s="314">
        <f t="shared" si="685"/>
        <v>251601.57345701009</v>
      </c>
      <c r="DX152" s="314">
        <f t="shared" si="685"/>
        <v>433801.15410795156</v>
      </c>
      <c r="DY152" s="314">
        <f t="shared" si="685"/>
        <v>825992.75048264861</v>
      </c>
      <c r="DZ152" s="314">
        <f t="shared" si="685"/>
        <v>7625.6888148766011</v>
      </c>
      <c r="EA152" s="314">
        <f t="shared" si="685"/>
        <v>15312</v>
      </c>
      <c r="EB152" s="314">
        <f t="shared" si="685"/>
        <v>188922.85834364966</v>
      </c>
      <c r="EC152" s="314">
        <f t="shared" ref="EC152:GN152" si="686">EC151-EC150</f>
        <v>162383.75123846577</v>
      </c>
      <c r="ED152" s="314">
        <f t="shared" si="686"/>
        <v>317047.42154010572</v>
      </c>
      <c r="EE152" s="314">
        <f t="shared" si="686"/>
        <v>46376</v>
      </c>
      <c r="EF152" s="314">
        <f t="shared" si="686"/>
        <v>-3087.5899999999674</v>
      </c>
      <c r="EG152" s="314">
        <f t="shared" si="686"/>
        <v>-2828.9899999999907</v>
      </c>
      <c r="EH152" s="314">
        <f t="shared" si="686"/>
        <v>35330</v>
      </c>
      <c r="EI152" s="314">
        <f t="shared" si="686"/>
        <v>114247</v>
      </c>
      <c r="EJ152" s="314">
        <f t="shared" si="686"/>
        <v>220123.11828195211</v>
      </c>
      <c r="EK152" s="314">
        <f t="shared" si="686"/>
        <v>0</v>
      </c>
      <c r="EL152" s="314">
        <f t="shared" si="686"/>
        <v>272049.92012174241</v>
      </c>
      <c r="EM152" s="314">
        <f t="shared" si="686"/>
        <v>66882.319442875683</v>
      </c>
      <c r="EN152" s="314">
        <f t="shared" si="686"/>
        <v>132129</v>
      </c>
      <c r="EO152" s="314">
        <f t="shared" si="686"/>
        <v>90118.146815555869</v>
      </c>
      <c r="EP152" s="314">
        <f t="shared" si="686"/>
        <v>798942</v>
      </c>
      <c r="EQ152" s="314">
        <f t="shared" si="686"/>
        <v>424030.50442442764</v>
      </c>
      <c r="ER152" s="314">
        <f t="shared" si="686"/>
        <v>977132</v>
      </c>
      <c r="ES152" s="314">
        <f t="shared" si="686"/>
        <v>118809.44734015642</v>
      </c>
      <c r="ET152" s="314">
        <f t="shared" si="686"/>
        <v>901340</v>
      </c>
      <c r="EU152" s="314">
        <f t="shared" si="686"/>
        <v>1252000</v>
      </c>
      <c r="EV152" s="314">
        <f t="shared" si="686"/>
        <v>217550.98782481399</v>
      </c>
      <c r="EW152" s="314">
        <f t="shared" si="686"/>
        <v>148744.77050382318</v>
      </c>
      <c r="EX152" s="314">
        <f t="shared" si="686"/>
        <v>170018.98534053471</v>
      </c>
      <c r="EY152" s="314">
        <f t="shared" si="686"/>
        <v>14320.875155149493</v>
      </c>
      <c r="EZ152" s="314">
        <f t="shared" si="686"/>
        <v>-111326</v>
      </c>
      <c r="FA152" s="314">
        <f t="shared" si="686"/>
        <v>196308</v>
      </c>
      <c r="FB152" s="314">
        <f t="shared" si="686"/>
        <v>38053.533048749552</v>
      </c>
      <c r="FC152" s="314">
        <f t="shared" si="686"/>
        <v>42203.981362368446</v>
      </c>
      <c r="FD152" s="314">
        <f t="shared" si="686"/>
        <v>286643.68250028812</v>
      </c>
      <c r="FE152" s="314">
        <f t="shared" si="686"/>
        <v>80752.913347188616</v>
      </c>
      <c r="FF152" s="314">
        <f t="shared" si="686"/>
        <v>324471.95999999996</v>
      </c>
      <c r="FG152" s="314">
        <f t="shared" si="686"/>
        <v>1019550</v>
      </c>
      <c r="FH152" s="314">
        <f t="shared" si="686"/>
        <v>271026.04918797873</v>
      </c>
      <c r="FI152" s="314">
        <f t="shared" si="686"/>
        <v>2013900.4650456514</v>
      </c>
      <c r="FJ152" s="314">
        <f t="shared" si="686"/>
        <v>275474.96975899418</v>
      </c>
      <c r="FK152" s="314">
        <f t="shared" si="686"/>
        <v>-164695.7972628584</v>
      </c>
      <c r="FL152" s="314">
        <f t="shared" si="686"/>
        <v>-312231.21227710997</v>
      </c>
      <c r="FM152" s="314">
        <f t="shared" si="686"/>
        <v>-1683387.8709666431</v>
      </c>
      <c r="FN152" s="314">
        <f t="shared" si="686"/>
        <v>543645.54984153435</v>
      </c>
      <c r="FO152" s="314">
        <f t="shared" si="686"/>
        <v>-5035.8626000001095</v>
      </c>
      <c r="FP152" s="314">
        <f t="shared" si="686"/>
        <v>206752.30885183625</v>
      </c>
      <c r="FQ152" s="314">
        <f t="shared" si="686"/>
        <v>62855.223800000036</v>
      </c>
      <c r="FR152" s="314">
        <f t="shared" si="686"/>
        <v>2840805.433337939</v>
      </c>
      <c r="FS152" s="314">
        <f t="shared" si="686"/>
        <v>-13562.049999999988</v>
      </c>
      <c r="FT152" s="314">
        <f t="shared" si="686"/>
        <v>307281.80409015995</v>
      </c>
      <c r="FU152" s="314">
        <f t="shared" si="686"/>
        <v>39281.804442927241</v>
      </c>
      <c r="FV152" s="314">
        <f t="shared" si="686"/>
        <v>173.16923673939891</v>
      </c>
      <c r="FW152" s="314">
        <f t="shared" si="686"/>
        <v>-76054.969574229559</v>
      </c>
      <c r="FX152" s="314">
        <f t="shared" si="686"/>
        <v>19607.503362067509</v>
      </c>
      <c r="FY152" s="314">
        <f t="shared" si="686"/>
        <v>-9591</v>
      </c>
      <c r="FZ152" s="314">
        <f t="shared" si="686"/>
        <v>-5055.9147311123088</v>
      </c>
      <c r="GA152" s="314">
        <f t="shared" si="686"/>
        <v>236.12772381899413</v>
      </c>
      <c r="GB152" s="314">
        <f t="shared" si="686"/>
        <v>494640.1198871755</v>
      </c>
      <c r="GC152" s="314">
        <f t="shared" si="686"/>
        <v>15555.139851687476</v>
      </c>
      <c r="GD152" s="314">
        <f t="shared" si="686"/>
        <v>806650.24586364813</v>
      </c>
      <c r="GE152" s="314">
        <f t="shared" si="686"/>
        <v>-109614.93400108395</v>
      </c>
      <c r="GF152" s="314">
        <f t="shared" si="686"/>
        <v>291018.84956932673</v>
      </c>
      <c r="GG152" s="314">
        <f t="shared" si="686"/>
        <v>-132562.53661982156</v>
      </c>
      <c r="GH152" s="314">
        <f t="shared" si="686"/>
        <v>-34865</v>
      </c>
      <c r="GI152" s="314">
        <f t="shared" si="686"/>
        <v>855487.17478331644</v>
      </c>
      <c r="GJ152" s="314">
        <f t="shared" si="686"/>
        <v>171699.33929066174</v>
      </c>
      <c r="GK152" s="314">
        <f t="shared" si="686"/>
        <v>-66130</v>
      </c>
      <c r="GL152" s="314">
        <f t="shared" si="686"/>
        <v>-59341.971743901726</v>
      </c>
      <c r="GM152" s="314">
        <f t="shared" si="686"/>
        <v>-60702.477244471665</v>
      </c>
      <c r="GN152" s="314">
        <f t="shared" si="686"/>
        <v>185653.06011215365</v>
      </c>
      <c r="GO152" s="314">
        <f t="shared" ref="GO152:IZ152" si="687">GO151-GO150</f>
        <v>887246.48613796104</v>
      </c>
      <c r="GP152" s="314">
        <f t="shared" si="687"/>
        <v>-35811.376342296251</v>
      </c>
      <c r="GQ152" s="314">
        <f t="shared" si="687"/>
        <v>-430637.21128313889</v>
      </c>
      <c r="GR152" s="314">
        <f t="shared" si="687"/>
        <v>-83152</v>
      </c>
      <c r="GS152" s="314">
        <f t="shared" si="687"/>
        <v>-165886</v>
      </c>
      <c r="GT152" s="314">
        <f t="shared" si="687"/>
        <v>339289.90894356743</v>
      </c>
      <c r="GU152" s="314">
        <f t="shared" si="687"/>
        <v>45869</v>
      </c>
      <c r="GV152" s="314">
        <f t="shared" si="687"/>
        <v>40190</v>
      </c>
      <c r="GW152" s="314">
        <f t="shared" si="687"/>
        <v>-192141.11092572834</v>
      </c>
      <c r="GX152" s="314">
        <f t="shared" si="687"/>
        <v>-4333</v>
      </c>
      <c r="GY152" s="314">
        <f t="shared" si="687"/>
        <v>447840.67889190651</v>
      </c>
      <c r="GZ152" s="314">
        <f t="shared" si="687"/>
        <v>3222820.7912944802</v>
      </c>
      <c r="HA152" s="314">
        <f t="shared" si="687"/>
        <v>323440</v>
      </c>
      <c r="HB152" s="314">
        <f t="shared" si="687"/>
        <v>250364.85759161878</v>
      </c>
      <c r="HC152" s="314">
        <f t="shared" si="687"/>
        <v>400657.45814309176</v>
      </c>
      <c r="HD152" s="314">
        <f t="shared" si="687"/>
        <v>507252.72553738486</v>
      </c>
      <c r="HE152" s="314">
        <f t="shared" si="687"/>
        <v>502000</v>
      </c>
      <c r="HF152" s="314">
        <f t="shared" si="687"/>
        <v>73632.93476073246</v>
      </c>
      <c r="HG152" s="314">
        <f t="shared" si="687"/>
        <v>-34312.862394777359</v>
      </c>
      <c r="HH152" s="314">
        <f t="shared" si="687"/>
        <v>-115202.67942905379</v>
      </c>
      <c r="HI152" s="314">
        <f t="shared" si="687"/>
        <v>-270679.82297403831</v>
      </c>
      <c r="HJ152" s="314">
        <f t="shared" si="687"/>
        <v>502448.83102156827</v>
      </c>
      <c r="HK152" s="314">
        <f t="shared" si="687"/>
        <v>-144000</v>
      </c>
      <c r="HL152" s="314">
        <f t="shared" si="687"/>
        <v>250000</v>
      </c>
      <c r="HM152" s="314">
        <f t="shared" si="687"/>
        <v>0</v>
      </c>
      <c r="HN152" s="314">
        <f t="shared" si="687"/>
        <v>183981.06669069757</v>
      </c>
      <c r="HO152" s="314">
        <f t="shared" si="687"/>
        <v>-29609.132768688723</v>
      </c>
      <c r="HP152" s="314">
        <f t="shared" si="687"/>
        <v>0</v>
      </c>
      <c r="HQ152" s="314">
        <f t="shared" si="687"/>
        <v>0</v>
      </c>
      <c r="HR152" s="314">
        <f t="shared" si="687"/>
        <v>792500.00000000373</v>
      </c>
      <c r="HS152" s="314">
        <f t="shared" si="687"/>
        <v>765000</v>
      </c>
      <c r="HT152" s="314">
        <f t="shared" si="687"/>
        <v>0</v>
      </c>
      <c r="HU152" s="314">
        <f t="shared" si="687"/>
        <v>0</v>
      </c>
      <c r="HV152" s="314">
        <f t="shared" si="687"/>
        <v>1500000</v>
      </c>
      <c r="HW152" s="314">
        <f t="shared" si="687"/>
        <v>-1985000</v>
      </c>
      <c r="HX152" s="314">
        <f t="shared" si="687"/>
        <v>2755040</v>
      </c>
      <c r="HY152" s="314">
        <f t="shared" si="687"/>
        <v>0</v>
      </c>
      <c r="HZ152" s="314">
        <f t="shared" si="687"/>
        <v>0</v>
      </c>
      <c r="IA152" s="314">
        <f t="shared" si="687"/>
        <v>0</v>
      </c>
      <c r="IB152" s="314">
        <f t="shared" si="687"/>
        <v>460000</v>
      </c>
      <c r="IC152" s="314">
        <f t="shared" si="687"/>
        <v>0</v>
      </c>
      <c r="ID152" s="314">
        <f t="shared" si="687"/>
        <v>0</v>
      </c>
      <c r="IE152" s="314">
        <f t="shared" si="687"/>
        <v>500000</v>
      </c>
      <c r="IF152" s="314">
        <f t="shared" si="687"/>
        <v>250000</v>
      </c>
      <c r="IG152" s="314">
        <f t="shared" si="687"/>
        <v>0</v>
      </c>
      <c r="IH152" s="314">
        <f t="shared" si="687"/>
        <v>0</v>
      </c>
      <c r="II152" s="314">
        <f t="shared" si="687"/>
        <v>430000</v>
      </c>
      <c r="IJ152" s="314">
        <f t="shared" si="687"/>
        <v>100000</v>
      </c>
      <c r="IK152" s="314">
        <f t="shared" si="687"/>
        <v>162704.91782226553</v>
      </c>
      <c r="IL152" s="314">
        <f t="shared" si="687"/>
        <v>900000</v>
      </c>
      <c r="IM152" s="314">
        <f t="shared" si="687"/>
        <v>0</v>
      </c>
      <c r="IN152" s="314">
        <f t="shared" si="687"/>
        <v>0</v>
      </c>
      <c r="IO152" s="314">
        <f t="shared" si="687"/>
        <v>0</v>
      </c>
      <c r="IP152" s="314">
        <f t="shared" si="687"/>
        <v>0</v>
      </c>
      <c r="IQ152" s="314">
        <f t="shared" si="687"/>
        <v>0</v>
      </c>
      <c r="IR152" s="314">
        <f t="shared" si="687"/>
        <v>0</v>
      </c>
      <c r="IS152" s="314">
        <f t="shared" si="687"/>
        <v>1399999.9999999925</v>
      </c>
      <c r="IT152" s="314">
        <f t="shared" si="687"/>
        <v>300000.00000000186</v>
      </c>
      <c r="IU152" s="314">
        <f t="shared" si="687"/>
        <v>0</v>
      </c>
      <c r="IV152" s="314">
        <f t="shared" si="687"/>
        <v>0</v>
      </c>
      <c r="IW152" s="314">
        <f t="shared" si="687"/>
        <v>0</v>
      </c>
      <c r="IX152" s="314">
        <f t="shared" si="687"/>
        <v>0</v>
      </c>
      <c r="IY152" s="314">
        <f t="shared" si="687"/>
        <v>-1999999.9999999991</v>
      </c>
      <c r="IZ152" s="314">
        <f t="shared" si="687"/>
        <v>2650000</v>
      </c>
      <c r="JA152" s="314">
        <f t="shared" ref="JA152:JH152" si="688">JA151-JA150</f>
        <v>0</v>
      </c>
      <c r="JB152" s="314">
        <f t="shared" si="688"/>
        <v>0</v>
      </c>
      <c r="JC152" s="314">
        <f t="shared" si="688"/>
        <v>0</v>
      </c>
      <c r="JD152" s="314">
        <f t="shared" si="688"/>
        <v>-1176392</v>
      </c>
      <c r="JE152" s="314">
        <f t="shared" si="688"/>
        <v>0</v>
      </c>
      <c r="JF152" s="314">
        <f t="shared" si="688"/>
        <v>3485000</v>
      </c>
      <c r="JG152" s="314">
        <f t="shared" si="688"/>
        <v>-500000</v>
      </c>
      <c r="JH152" s="314">
        <f t="shared" si="688"/>
        <v>0</v>
      </c>
      <c r="JI152" s="314">
        <f t="shared" si="635"/>
        <v>76744439.42672959</v>
      </c>
      <c r="JL152" s="307"/>
      <c r="JM152" s="307"/>
      <c r="JN152" s="307"/>
      <c r="JO152" s="307"/>
      <c r="JP152" s="307"/>
    </row>
    <row r="153" spans="1:276" x14ac:dyDescent="0.25">
      <c r="C153" s="628">
        <f t="shared" ref="C153:BO153" si="689">ROUND(C155,-1)-C155</f>
        <v>0</v>
      </c>
      <c r="D153" s="628">
        <f t="shared" si="689"/>
        <v>0</v>
      </c>
      <c r="E153" s="628">
        <f t="shared" si="689"/>
        <v>0</v>
      </c>
      <c r="F153" s="628">
        <f t="shared" si="689"/>
        <v>0</v>
      </c>
      <c r="G153" s="628">
        <f t="shared" si="689"/>
        <v>0</v>
      </c>
      <c r="H153" s="628">
        <f t="shared" si="689"/>
        <v>0</v>
      </c>
      <c r="I153" s="628">
        <f t="shared" si="689"/>
        <v>0</v>
      </c>
      <c r="J153" s="628">
        <f t="shared" si="689"/>
        <v>0</v>
      </c>
      <c r="K153" s="628">
        <f t="shared" si="689"/>
        <v>0</v>
      </c>
      <c r="L153" s="628">
        <f t="shared" si="689"/>
        <v>0</v>
      </c>
      <c r="M153" s="628">
        <f t="shared" si="689"/>
        <v>0</v>
      </c>
      <c r="N153" s="628">
        <f t="shared" si="689"/>
        <v>0</v>
      </c>
      <c r="O153" s="628">
        <f t="shared" si="689"/>
        <v>0</v>
      </c>
      <c r="P153" s="628">
        <f t="shared" si="689"/>
        <v>0</v>
      </c>
      <c r="Q153" s="628">
        <f t="shared" si="689"/>
        <v>0</v>
      </c>
      <c r="R153" s="628">
        <f t="shared" si="689"/>
        <v>0</v>
      </c>
      <c r="S153" s="628">
        <f t="shared" si="689"/>
        <v>0</v>
      </c>
      <c r="T153" s="628">
        <f t="shared" si="689"/>
        <v>0</v>
      </c>
      <c r="U153" s="628">
        <f t="shared" si="689"/>
        <v>0</v>
      </c>
      <c r="V153" s="628">
        <f t="shared" si="689"/>
        <v>0</v>
      </c>
      <c r="W153" s="628">
        <f t="shared" si="689"/>
        <v>0</v>
      </c>
      <c r="X153" s="628">
        <f t="shared" si="689"/>
        <v>0</v>
      </c>
      <c r="Y153" s="628">
        <f t="shared" si="689"/>
        <v>0</v>
      </c>
      <c r="Z153" s="628">
        <f t="shared" si="689"/>
        <v>0</v>
      </c>
      <c r="AA153" s="628">
        <f t="shared" si="689"/>
        <v>0</v>
      </c>
      <c r="AB153" s="628">
        <f t="shared" si="689"/>
        <v>0</v>
      </c>
      <c r="AC153" s="628">
        <f t="shared" ref="AC153" si="690">ROUND(AC155,-1)-AC155</f>
        <v>0</v>
      </c>
      <c r="AD153" s="628">
        <f t="shared" si="689"/>
        <v>0</v>
      </c>
      <c r="AE153" s="628">
        <f t="shared" si="689"/>
        <v>0</v>
      </c>
      <c r="AF153" s="628">
        <f t="shared" si="689"/>
        <v>0</v>
      </c>
      <c r="AG153" s="628">
        <f t="shared" si="689"/>
        <v>0</v>
      </c>
      <c r="AH153" s="628">
        <f t="shared" si="689"/>
        <v>0</v>
      </c>
      <c r="AI153" s="628">
        <f t="shared" si="689"/>
        <v>0</v>
      </c>
      <c r="AJ153" s="628">
        <f t="shared" si="689"/>
        <v>0</v>
      </c>
      <c r="AK153" s="628">
        <f t="shared" si="689"/>
        <v>0</v>
      </c>
      <c r="AL153" s="628">
        <f t="shared" si="689"/>
        <v>0</v>
      </c>
      <c r="AM153" s="628">
        <f t="shared" si="689"/>
        <v>0</v>
      </c>
      <c r="AN153" s="628">
        <f t="shared" si="689"/>
        <v>0</v>
      </c>
      <c r="AO153" s="628">
        <f t="shared" si="689"/>
        <v>0</v>
      </c>
      <c r="AP153" s="628">
        <f t="shared" si="689"/>
        <v>0</v>
      </c>
      <c r="AQ153" s="628">
        <f t="shared" si="689"/>
        <v>0</v>
      </c>
      <c r="AR153" s="628">
        <f t="shared" si="689"/>
        <v>0</v>
      </c>
      <c r="AS153" s="628">
        <f t="shared" si="689"/>
        <v>0</v>
      </c>
      <c r="AT153" s="628">
        <f t="shared" si="689"/>
        <v>0</v>
      </c>
      <c r="AU153" s="628">
        <f t="shared" si="689"/>
        <v>0</v>
      </c>
      <c r="AV153" s="628">
        <f t="shared" si="689"/>
        <v>0</v>
      </c>
      <c r="AW153" s="628">
        <f t="shared" si="689"/>
        <v>0</v>
      </c>
      <c r="AX153" s="628">
        <f t="shared" si="689"/>
        <v>0</v>
      </c>
      <c r="AY153" s="628">
        <f t="shared" si="689"/>
        <v>0</v>
      </c>
      <c r="AZ153" s="628">
        <f t="shared" si="689"/>
        <v>0</v>
      </c>
      <c r="BA153" s="628">
        <f t="shared" si="689"/>
        <v>0</v>
      </c>
      <c r="BB153" s="628">
        <f t="shared" si="689"/>
        <v>0</v>
      </c>
      <c r="BC153" s="628">
        <f t="shared" si="689"/>
        <v>0</v>
      </c>
      <c r="BD153" s="628">
        <f t="shared" si="689"/>
        <v>0</v>
      </c>
      <c r="BE153" s="628">
        <f t="shared" si="689"/>
        <v>0</v>
      </c>
      <c r="BF153" s="628">
        <f t="shared" si="689"/>
        <v>0</v>
      </c>
      <c r="BG153" s="628">
        <f t="shared" si="689"/>
        <v>0</v>
      </c>
      <c r="BH153" s="628">
        <f t="shared" si="689"/>
        <v>0</v>
      </c>
      <c r="BI153" s="628">
        <f t="shared" si="689"/>
        <v>0</v>
      </c>
      <c r="BJ153" s="628">
        <f t="shared" si="689"/>
        <v>0</v>
      </c>
      <c r="BK153" s="628">
        <f t="shared" si="689"/>
        <v>0</v>
      </c>
      <c r="BL153" s="628">
        <f t="shared" si="689"/>
        <v>0</v>
      </c>
      <c r="BM153" s="628">
        <f t="shared" si="689"/>
        <v>0</v>
      </c>
      <c r="BN153" s="628">
        <f t="shared" si="689"/>
        <v>0</v>
      </c>
      <c r="BO153" s="628">
        <f t="shared" si="689"/>
        <v>0</v>
      </c>
      <c r="BP153" s="628">
        <f t="shared" ref="BP153:EA153" si="691">ROUND(BP155,-1)-BP155</f>
        <v>0</v>
      </c>
      <c r="BQ153" s="628">
        <f t="shared" si="691"/>
        <v>0</v>
      </c>
      <c r="BR153" s="628">
        <f t="shared" si="691"/>
        <v>0</v>
      </c>
      <c r="BS153" s="628">
        <f t="shared" si="691"/>
        <v>0</v>
      </c>
      <c r="BT153" s="628">
        <f t="shared" si="691"/>
        <v>0</v>
      </c>
      <c r="BU153" s="628">
        <f t="shared" si="691"/>
        <v>0</v>
      </c>
      <c r="BV153" s="628">
        <f t="shared" si="691"/>
        <v>0</v>
      </c>
      <c r="BW153" s="628">
        <f t="shared" si="691"/>
        <v>0</v>
      </c>
      <c r="BX153" s="628">
        <f t="shared" si="691"/>
        <v>0</v>
      </c>
      <c r="BY153" s="628">
        <f t="shared" si="691"/>
        <v>0</v>
      </c>
      <c r="BZ153" s="628">
        <f t="shared" si="691"/>
        <v>0</v>
      </c>
      <c r="CA153" s="628">
        <f t="shared" si="691"/>
        <v>0</v>
      </c>
      <c r="CB153" s="628">
        <f t="shared" si="691"/>
        <v>0</v>
      </c>
      <c r="CC153" s="628">
        <f t="shared" si="691"/>
        <v>0</v>
      </c>
      <c r="CD153" s="628">
        <f t="shared" si="691"/>
        <v>0</v>
      </c>
      <c r="CE153" s="628">
        <f t="shared" si="691"/>
        <v>0</v>
      </c>
      <c r="CF153" s="628">
        <f t="shared" si="691"/>
        <v>0</v>
      </c>
      <c r="CG153" s="628">
        <f t="shared" si="691"/>
        <v>0</v>
      </c>
      <c r="CH153" s="628">
        <f t="shared" si="691"/>
        <v>0</v>
      </c>
      <c r="CI153" s="628">
        <f t="shared" si="691"/>
        <v>0</v>
      </c>
      <c r="CJ153" s="628">
        <f t="shared" si="691"/>
        <v>0</v>
      </c>
      <c r="CK153" s="628">
        <f t="shared" si="691"/>
        <v>0</v>
      </c>
      <c r="CL153" s="628">
        <f t="shared" si="691"/>
        <v>0</v>
      </c>
      <c r="CM153" s="628">
        <f t="shared" si="691"/>
        <v>0</v>
      </c>
      <c r="CN153" s="628">
        <f t="shared" si="691"/>
        <v>0</v>
      </c>
      <c r="CO153" s="628">
        <f t="shared" si="691"/>
        <v>0</v>
      </c>
      <c r="CP153" s="628">
        <f t="shared" si="691"/>
        <v>0</v>
      </c>
      <c r="CQ153" s="628">
        <f t="shared" si="691"/>
        <v>0</v>
      </c>
      <c r="CR153" s="628">
        <f t="shared" si="691"/>
        <v>0</v>
      </c>
      <c r="CS153" s="628">
        <f t="shared" si="691"/>
        <v>0</v>
      </c>
      <c r="CT153" s="628">
        <f t="shared" si="691"/>
        <v>0</v>
      </c>
      <c r="CU153" s="628">
        <f t="shared" si="691"/>
        <v>0</v>
      </c>
      <c r="CV153" s="628">
        <f t="shared" si="691"/>
        <v>0</v>
      </c>
      <c r="CW153" s="628">
        <f t="shared" si="691"/>
        <v>0</v>
      </c>
      <c r="CX153" s="628">
        <f t="shared" si="691"/>
        <v>0</v>
      </c>
      <c r="CY153" s="628">
        <f t="shared" si="691"/>
        <v>0</v>
      </c>
      <c r="CZ153" s="628">
        <f t="shared" si="691"/>
        <v>0</v>
      </c>
      <c r="DA153" s="628">
        <f t="shared" si="691"/>
        <v>0</v>
      </c>
      <c r="DB153" s="628">
        <f t="shared" si="691"/>
        <v>0</v>
      </c>
      <c r="DC153" s="628">
        <f t="shared" si="691"/>
        <v>0</v>
      </c>
      <c r="DD153" s="628">
        <f t="shared" si="691"/>
        <v>0</v>
      </c>
      <c r="DE153" s="628">
        <f t="shared" si="691"/>
        <v>0</v>
      </c>
      <c r="DF153" s="628">
        <f t="shared" si="691"/>
        <v>0</v>
      </c>
      <c r="DG153" s="628">
        <f t="shared" si="691"/>
        <v>0</v>
      </c>
      <c r="DH153" s="628">
        <f t="shared" si="691"/>
        <v>0</v>
      </c>
      <c r="DI153" s="628">
        <f t="shared" si="691"/>
        <v>0</v>
      </c>
      <c r="DJ153" s="628">
        <f t="shared" si="691"/>
        <v>0</v>
      </c>
      <c r="DK153" s="628">
        <f t="shared" si="691"/>
        <v>0</v>
      </c>
      <c r="DL153" s="628">
        <f t="shared" si="691"/>
        <v>0</v>
      </c>
      <c r="DM153" s="628">
        <f t="shared" si="691"/>
        <v>0</v>
      </c>
      <c r="DN153" s="628">
        <f t="shared" si="691"/>
        <v>0</v>
      </c>
      <c r="DO153" s="628">
        <f t="shared" si="691"/>
        <v>0</v>
      </c>
      <c r="DP153" s="628">
        <f t="shared" si="691"/>
        <v>0</v>
      </c>
      <c r="DQ153" s="628">
        <f t="shared" si="691"/>
        <v>0</v>
      </c>
      <c r="DR153" s="628">
        <f t="shared" si="691"/>
        <v>0</v>
      </c>
      <c r="DS153" s="628">
        <f t="shared" si="691"/>
        <v>0</v>
      </c>
      <c r="DT153" s="628">
        <f t="shared" si="691"/>
        <v>0</v>
      </c>
      <c r="DU153" s="628">
        <f t="shared" si="691"/>
        <v>0</v>
      </c>
      <c r="DV153" s="628">
        <f t="shared" si="691"/>
        <v>0</v>
      </c>
      <c r="DW153" s="628">
        <f t="shared" si="691"/>
        <v>0</v>
      </c>
      <c r="DX153" s="628">
        <f t="shared" si="691"/>
        <v>0</v>
      </c>
      <c r="DY153" s="628">
        <f t="shared" si="691"/>
        <v>0</v>
      </c>
      <c r="DZ153" s="628">
        <f t="shared" si="691"/>
        <v>0</v>
      </c>
      <c r="EA153" s="628">
        <f t="shared" si="691"/>
        <v>0</v>
      </c>
      <c r="EB153" s="628">
        <f t="shared" ref="EB153:GM153" si="692">ROUND(EB155,-1)-EB155</f>
        <v>0</v>
      </c>
      <c r="EC153" s="628">
        <f t="shared" si="692"/>
        <v>0</v>
      </c>
      <c r="ED153" s="628">
        <f t="shared" si="692"/>
        <v>0</v>
      </c>
      <c r="EE153" s="628">
        <f t="shared" si="692"/>
        <v>0</v>
      </c>
      <c r="EF153" s="628">
        <f t="shared" si="692"/>
        <v>0</v>
      </c>
      <c r="EG153" s="628">
        <f t="shared" si="692"/>
        <v>0</v>
      </c>
      <c r="EH153" s="628">
        <f t="shared" si="692"/>
        <v>0</v>
      </c>
      <c r="EI153" s="628">
        <f t="shared" si="692"/>
        <v>0</v>
      </c>
      <c r="EJ153" s="628">
        <f t="shared" si="692"/>
        <v>0</v>
      </c>
      <c r="EK153" s="628">
        <f t="shared" si="692"/>
        <v>0</v>
      </c>
      <c r="EL153" s="628">
        <f t="shared" si="692"/>
        <v>0</v>
      </c>
      <c r="EM153" s="628">
        <f t="shared" si="692"/>
        <v>0</v>
      </c>
      <c r="EN153" s="628">
        <f t="shared" si="692"/>
        <v>0</v>
      </c>
      <c r="EO153" s="628">
        <f t="shared" si="692"/>
        <v>0</v>
      </c>
      <c r="EP153" s="628">
        <f t="shared" si="692"/>
        <v>0</v>
      </c>
      <c r="EQ153" s="628">
        <f t="shared" si="692"/>
        <v>0</v>
      </c>
      <c r="ER153" s="628">
        <f t="shared" si="692"/>
        <v>0</v>
      </c>
      <c r="ES153" s="628">
        <f t="shared" si="692"/>
        <v>0</v>
      </c>
      <c r="ET153" s="628">
        <f t="shared" si="692"/>
        <v>0</v>
      </c>
      <c r="EU153" s="628">
        <f t="shared" si="692"/>
        <v>0</v>
      </c>
      <c r="EV153" s="628">
        <f t="shared" si="692"/>
        <v>0</v>
      </c>
      <c r="EW153" s="628">
        <f t="shared" si="692"/>
        <v>0</v>
      </c>
      <c r="EX153" s="628">
        <f t="shared" si="692"/>
        <v>0</v>
      </c>
      <c r="EY153" s="628">
        <f t="shared" si="692"/>
        <v>0</v>
      </c>
      <c r="EZ153" s="628">
        <f t="shared" si="692"/>
        <v>0</v>
      </c>
      <c r="FA153" s="628">
        <f t="shared" si="692"/>
        <v>0</v>
      </c>
      <c r="FB153" s="628">
        <f t="shared" si="692"/>
        <v>0</v>
      </c>
      <c r="FC153" s="628">
        <f t="shared" si="692"/>
        <v>0</v>
      </c>
      <c r="FD153" s="628">
        <f t="shared" si="692"/>
        <v>0</v>
      </c>
      <c r="FE153" s="628">
        <f t="shared" si="692"/>
        <v>0</v>
      </c>
      <c r="FF153" s="628">
        <f t="shared" si="692"/>
        <v>0</v>
      </c>
      <c r="FG153" s="628">
        <f t="shared" si="692"/>
        <v>0</v>
      </c>
      <c r="FH153" s="628">
        <f t="shared" si="692"/>
        <v>0</v>
      </c>
      <c r="FI153" s="628">
        <f t="shared" si="692"/>
        <v>0</v>
      </c>
      <c r="FJ153" s="628">
        <f t="shared" si="692"/>
        <v>0</v>
      </c>
      <c r="FK153" s="628">
        <f t="shared" si="692"/>
        <v>0</v>
      </c>
      <c r="FL153" s="628">
        <f t="shared" si="692"/>
        <v>0</v>
      </c>
      <c r="FM153" s="628">
        <f t="shared" si="692"/>
        <v>0</v>
      </c>
      <c r="FN153" s="628">
        <f t="shared" si="692"/>
        <v>0</v>
      </c>
      <c r="FO153" s="628">
        <f t="shared" si="692"/>
        <v>0</v>
      </c>
      <c r="FP153" s="628">
        <f t="shared" si="692"/>
        <v>0</v>
      </c>
      <c r="FQ153" s="628">
        <f t="shared" si="692"/>
        <v>0</v>
      </c>
      <c r="FR153" s="628">
        <f t="shared" si="692"/>
        <v>0</v>
      </c>
      <c r="FS153" s="628">
        <f t="shared" si="692"/>
        <v>0</v>
      </c>
      <c r="FT153" s="628">
        <f t="shared" si="692"/>
        <v>0</v>
      </c>
      <c r="FU153" s="628">
        <f t="shared" si="692"/>
        <v>0</v>
      </c>
      <c r="FV153" s="628">
        <f t="shared" si="692"/>
        <v>0</v>
      </c>
      <c r="FW153" s="628">
        <f t="shared" si="692"/>
        <v>0</v>
      </c>
      <c r="FX153" s="628">
        <f t="shared" si="692"/>
        <v>0</v>
      </c>
      <c r="FY153" s="628">
        <f t="shared" si="692"/>
        <v>0</v>
      </c>
      <c r="FZ153" s="628">
        <f t="shared" si="692"/>
        <v>0</v>
      </c>
      <c r="GA153" s="628">
        <f t="shared" si="692"/>
        <v>0</v>
      </c>
      <c r="GB153" s="628">
        <f t="shared" si="692"/>
        <v>0</v>
      </c>
      <c r="GC153" s="628">
        <f t="shared" si="692"/>
        <v>0</v>
      </c>
      <c r="GD153" s="628">
        <f t="shared" si="692"/>
        <v>0</v>
      </c>
      <c r="GE153" s="628">
        <f t="shared" si="692"/>
        <v>0</v>
      </c>
      <c r="GF153" s="628">
        <f t="shared" si="692"/>
        <v>0</v>
      </c>
      <c r="GG153" s="628">
        <f t="shared" si="692"/>
        <v>0</v>
      </c>
      <c r="GH153" s="628">
        <f t="shared" si="692"/>
        <v>0</v>
      </c>
      <c r="GI153" s="628">
        <f t="shared" si="692"/>
        <v>0</v>
      </c>
      <c r="GJ153" s="628">
        <f t="shared" si="692"/>
        <v>0</v>
      </c>
      <c r="GK153" s="628">
        <f t="shared" si="692"/>
        <v>0</v>
      </c>
      <c r="GL153" s="628">
        <f t="shared" si="692"/>
        <v>0</v>
      </c>
      <c r="GM153" s="628">
        <f t="shared" si="692"/>
        <v>0</v>
      </c>
      <c r="GN153" s="628">
        <f t="shared" ref="GN153:IY153" si="693">ROUND(GN155,-1)-GN155</f>
        <v>0</v>
      </c>
      <c r="GO153" s="628">
        <f t="shared" si="693"/>
        <v>0</v>
      </c>
      <c r="GP153" s="628">
        <f t="shared" si="693"/>
        <v>0</v>
      </c>
      <c r="GQ153" s="628">
        <f t="shared" si="693"/>
        <v>0</v>
      </c>
      <c r="GR153" s="628">
        <f t="shared" si="693"/>
        <v>0</v>
      </c>
      <c r="GS153" s="628">
        <f t="shared" si="693"/>
        <v>0</v>
      </c>
      <c r="GT153" s="628">
        <f t="shared" si="693"/>
        <v>0</v>
      </c>
      <c r="GU153" s="628">
        <f t="shared" si="693"/>
        <v>0</v>
      </c>
      <c r="GV153" s="628">
        <f t="shared" si="693"/>
        <v>0</v>
      </c>
      <c r="GW153" s="628">
        <f t="shared" si="693"/>
        <v>0</v>
      </c>
      <c r="GX153" s="628">
        <f t="shared" si="693"/>
        <v>0</v>
      </c>
      <c r="GY153" s="628">
        <f t="shared" si="693"/>
        <v>0</v>
      </c>
      <c r="GZ153" s="628">
        <f t="shared" si="693"/>
        <v>0</v>
      </c>
      <c r="HA153" s="628">
        <f t="shared" si="693"/>
        <v>0</v>
      </c>
      <c r="HB153" s="628">
        <f t="shared" si="693"/>
        <v>0</v>
      </c>
      <c r="HC153" s="628">
        <f t="shared" si="693"/>
        <v>0</v>
      </c>
      <c r="HD153" s="628">
        <f t="shared" si="693"/>
        <v>0</v>
      </c>
      <c r="HE153" s="628">
        <f t="shared" si="693"/>
        <v>0</v>
      </c>
      <c r="HF153" s="628">
        <f t="shared" si="693"/>
        <v>0</v>
      </c>
      <c r="HG153" s="628">
        <f t="shared" si="693"/>
        <v>0</v>
      </c>
      <c r="HH153" s="628">
        <f t="shared" si="693"/>
        <v>0</v>
      </c>
      <c r="HI153" s="628">
        <f t="shared" si="693"/>
        <v>0</v>
      </c>
      <c r="HJ153" s="628">
        <f t="shared" si="693"/>
        <v>0</v>
      </c>
      <c r="HK153" s="628">
        <f t="shared" si="693"/>
        <v>0</v>
      </c>
      <c r="HL153" s="628">
        <f t="shared" si="693"/>
        <v>0</v>
      </c>
      <c r="HM153" s="628">
        <f t="shared" si="693"/>
        <v>0</v>
      </c>
      <c r="HN153" s="628">
        <f t="shared" si="693"/>
        <v>0</v>
      </c>
      <c r="HO153" s="628">
        <f t="shared" si="693"/>
        <v>0</v>
      </c>
      <c r="HP153" s="628">
        <f t="shared" si="693"/>
        <v>0</v>
      </c>
      <c r="HQ153" s="628">
        <f t="shared" si="693"/>
        <v>0</v>
      </c>
      <c r="HR153" s="628">
        <f t="shared" si="693"/>
        <v>0</v>
      </c>
      <c r="HS153" s="628">
        <f t="shared" si="693"/>
        <v>0</v>
      </c>
      <c r="HT153" s="628">
        <f t="shared" si="693"/>
        <v>0</v>
      </c>
      <c r="HU153" s="628">
        <f t="shared" si="693"/>
        <v>0</v>
      </c>
      <c r="HV153" s="628">
        <f t="shared" si="693"/>
        <v>0</v>
      </c>
      <c r="HW153" s="628">
        <f t="shared" si="693"/>
        <v>0</v>
      </c>
      <c r="HX153" s="628">
        <f t="shared" si="693"/>
        <v>0</v>
      </c>
      <c r="HY153" s="628">
        <f t="shared" si="693"/>
        <v>0</v>
      </c>
      <c r="HZ153" s="628">
        <f t="shared" si="693"/>
        <v>0</v>
      </c>
      <c r="IA153" s="628">
        <f t="shared" si="693"/>
        <v>0</v>
      </c>
      <c r="IB153" s="628">
        <f t="shared" si="693"/>
        <v>0</v>
      </c>
      <c r="IC153" s="628">
        <f t="shared" si="693"/>
        <v>0</v>
      </c>
      <c r="ID153" s="628">
        <f t="shared" si="693"/>
        <v>0</v>
      </c>
      <c r="IE153" s="628">
        <f t="shared" si="693"/>
        <v>0</v>
      </c>
      <c r="IF153" s="628">
        <f t="shared" si="693"/>
        <v>0</v>
      </c>
      <c r="IG153" s="628">
        <f t="shared" si="693"/>
        <v>0</v>
      </c>
      <c r="IH153" s="628">
        <f t="shared" si="693"/>
        <v>0</v>
      </c>
      <c r="II153" s="628">
        <f t="shared" si="693"/>
        <v>0</v>
      </c>
      <c r="IJ153" s="628">
        <f t="shared" si="693"/>
        <v>0</v>
      </c>
      <c r="IK153" s="628">
        <f t="shared" si="693"/>
        <v>0</v>
      </c>
      <c r="IL153" s="628">
        <f t="shared" si="693"/>
        <v>0</v>
      </c>
      <c r="IM153" s="628">
        <f t="shared" si="693"/>
        <v>0</v>
      </c>
      <c r="IN153" s="628">
        <f t="shared" si="693"/>
        <v>0</v>
      </c>
      <c r="IO153" s="628">
        <f t="shared" si="693"/>
        <v>0</v>
      </c>
      <c r="IP153" s="628">
        <f t="shared" si="693"/>
        <v>0</v>
      </c>
      <c r="IQ153" s="628">
        <f t="shared" si="693"/>
        <v>0</v>
      </c>
      <c r="IR153" s="628">
        <f t="shared" si="693"/>
        <v>0</v>
      </c>
      <c r="IS153" s="628">
        <f t="shared" si="693"/>
        <v>0</v>
      </c>
      <c r="IT153" s="628">
        <f t="shared" si="693"/>
        <v>0</v>
      </c>
      <c r="IU153" s="628">
        <f t="shared" si="693"/>
        <v>0</v>
      </c>
      <c r="IV153" s="628">
        <f t="shared" si="693"/>
        <v>0</v>
      </c>
      <c r="IW153" s="628">
        <f t="shared" si="693"/>
        <v>0</v>
      </c>
      <c r="IX153" s="628">
        <f t="shared" si="693"/>
        <v>0</v>
      </c>
      <c r="IY153" s="628">
        <f t="shared" si="693"/>
        <v>0</v>
      </c>
      <c r="IZ153" s="628">
        <f t="shared" ref="IZ153:JH153" si="694">ROUND(IZ155,-1)-IZ155</f>
        <v>0</v>
      </c>
      <c r="JA153" s="628">
        <f t="shared" si="694"/>
        <v>0</v>
      </c>
      <c r="JB153" s="628">
        <f t="shared" si="694"/>
        <v>0</v>
      </c>
      <c r="JC153" s="628">
        <f t="shared" si="694"/>
        <v>0</v>
      </c>
      <c r="JD153" s="628">
        <f t="shared" si="694"/>
        <v>0</v>
      </c>
      <c r="JE153" s="628">
        <f t="shared" si="694"/>
        <v>0</v>
      </c>
      <c r="JF153" s="628">
        <f t="shared" si="694"/>
        <v>0</v>
      </c>
      <c r="JG153" s="628">
        <f t="shared" si="694"/>
        <v>1</v>
      </c>
      <c r="JH153" s="628">
        <f t="shared" si="694"/>
        <v>0</v>
      </c>
      <c r="JI153" s="628">
        <f>SUM(C153:JH153)</f>
        <v>1</v>
      </c>
    </row>
    <row r="154" spans="1:276" ht="16.5" x14ac:dyDescent="0.3">
      <c r="A154" s="624"/>
      <c r="B154" s="612" t="s">
        <v>2628</v>
      </c>
      <c r="C154" s="314">
        <f>(C148*$A154)</f>
        <v>0</v>
      </c>
      <c r="D154" s="314">
        <f t="shared" ref="D154:BP154" si="695">(D148*$A154)</f>
        <v>0</v>
      </c>
      <c r="E154" s="314">
        <f t="shared" si="695"/>
        <v>0</v>
      </c>
      <c r="F154" s="314">
        <f t="shared" si="695"/>
        <v>0</v>
      </c>
      <c r="G154" s="314">
        <f t="shared" si="695"/>
        <v>0</v>
      </c>
      <c r="H154" s="314">
        <f t="shared" si="695"/>
        <v>0</v>
      </c>
      <c r="I154" s="314">
        <f t="shared" si="695"/>
        <v>0</v>
      </c>
      <c r="J154" s="314">
        <f t="shared" si="695"/>
        <v>0</v>
      </c>
      <c r="K154" s="314">
        <f t="shared" si="695"/>
        <v>0</v>
      </c>
      <c r="L154" s="314">
        <f t="shared" si="695"/>
        <v>0</v>
      </c>
      <c r="M154" s="314">
        <f t="shared" si="695"/>
        <v>0</v>
      </c>
      <c r="N154" s="314">
        <f t="shared" si="695"/>
        <v>0</v>
      </c>
      <c r="O154" s="314">
        <f t="shared" si="695"/>
        <v>0</v>
      </c>
      <c r="P154" s="314">
        <f t="shared" si="695"/>
        <v>0</v>
      </c>
      <c r="Q154" s="314">
        <f t="shared" si="695"/>
        <v>0</v>
      </c>
      <c r="R154" s="314">
        <f t="shared" si="695"/>
        <v>0</v>
      </c>
      <c r="S154" s="314">
        <f t="shared" si="695"/>
        <v>0</v>
      </c>
      <c r="T154" s="314">
        <f t="shared" si="695"/>
        <v>0</v>
      </c>
      <c r="U154" s="314">
        <f t="shared" si="695"/>
        <v>0</v>
      </c>
      <c r="V154" s="314">
        <f t="shared" si="695"/>
        <v>0</v>
      </c>
      <c r="W154" s="314">
        <f t="shared" si="695"/>
        <v>0</v>
      </c>
      <c r="X154" s="314">
        <f t="shared" si="695"/>
        <v>0</v>
      </c>
      <c r="Y154" s="314">
        <f t="shared" si="695"/>
        <v>0</v>
      </c>
      <c r="Z154" s="314">
        <f t="shared" si="695"/>
        <v>0</v>
      </c>
      <c r="AA154" s="314">
        <f t="shared" si="695"/>
        <v>0</v>
      </c>
      <c r="AB154" s="314">
        <f t="shared" si="695"/>
        <v>0</v>
      </c>
      <c r="AC154" s="314">
        <f t="shared" ref="AC154" si="696">(AC148*$A154)</f>
        <v>0</v>
      </c>
      <c r="AD154" s="314">
        <f t="shared" si="695"/>
        <v>0</v>
      </c>
      <c r="AE154" s="314">
        <f t="shared" si="695"/>
        <v>0</v>
      </c>
      <c r="AF154" s="314">
        <f t="shared" si="695"/>
        <v>0</v>
      </c>
      <c r="AG154" s="314">
        <f t="shared" si="695"/>
        <v>0</v>
      </c>
      <c r="AH154" s="314">
        <f t="shared" si="695"/>
        <v>0</v>
      </c>
      <c r="AI154" s="314">
        <f t="shared" si="695"/>
        <v>0</v>
      </c>
      <c r="AJ154" s="314">
        <f t="shared" si="695"/>
        <v>0</v>
      </c>
      <c r="AK154" s="314">
        <f t="shared" si="695"/>
        <v>0</v>
      </c>
      <c r="AL154" s="314">
        <f t="shared" si="695"/>
        <v>0</v>
      </c>
      <c r="AM154" s="314">
        <f t="shared" si="695"/>
        <v>0</v>
      </c>
      <c r="AN154" s="314">
        <f t="shared" si="695"/>
        <v>0</v>
      </c>
      <c r="AO154" s="314">
        <f t="shared" si="695"/>
        <v>0</v>
      </c>
      <c r="AP154" s="314">
        <f t="shared" si="695"/>
        <v>0</v>
      </c>
      <c r="AQ154" s="314">
        <f t="shared" si="695"/>
        <v>0</v>
      </c>
      <c r="AR154" s="314">
        <f t="shared" si="695"/>
        <v>0</v>
      </c>
      <c r="AS154" s="314">
        <f t="shared" si="695"/>
        <v>0</v>
      </c>
      <c r="AT154" s="314">
        <f t="shared" si="695"/>
        <v>0</v>
      </c>
      <c r="AU154" s="314">
        <f t="shared" si="695"/>
        <v>0</v>
      </c>
      <c r="AV154" s="314">
        <f t="shared" si="695"/>
        <v>0</v>
      </c>
      <c r="AW154" s="314">
        <f t="shared" si="695"/>
        <v>0</v>
      </c>
      <c r="AX154" s="314">
        <f t="shared" si="695"/>
        <v>0</v>
      </c>
      <c r="AY154" s="314">
        <f t="shared" si="695"/>
        <v>0</v>
      </c>
      <c r="AZ154" s="314">
        <f t="shared" si="695"/>
        <v>0</v>
      </c>
      <c r="BA154" s="314">
        <f t="shared" si="695"/>
        <v>0</v>
      </c>
      <c r="BB154" s="314">
        <f t="shared" si="695"/>
        <v>0</v>
      </c>
      <c r="BC154" s="314">
        <f t="shared" si="695"/>
        <v>0</v>
      </c>
      <c r="BD154" s="314">
        <f t="shared" si="695"/>
        <v>0</v>
      </c>
      <c r="BE154" s="314">
        <f t="shared" si="695"/>
        <v>0</v>
      </c>
      <c r="BF154" s="314">
        <f t="shared" si="695"/>
        <v>0</v>
      </c>
      <c r="BG154" s="314">
        <f t="shared" si="695"/>
        <v>0</v>
      </c>
      <c r="BH154" s="314">
        <f t="shared" si="695"/>
        <v>0</v>
      </c>
      <c r="BI154" s="314">
        <f t="shared" si="695"/>
        <v>0</v>
      </c>
      <c r="BJ154" s="314">
        <f t="shared" si="695"/>
        <v>0</v>
      </c>
      <c r="BK154" s="314">
        <f t="shared" si="695"/>
        <v>0</v>
      </c>
      <c r="BL154" s="314">
        <f t="shared" si="695"/>
        <v>0</v>
      </c>
      <c r="BM154" s="314">
        <f t="shared" si="695"/>
        <v>0</v>
      </c>
      <c r="BN154" s="314">
        <f t="shared" si="695"/>
        <v>0</v>
      </c>
      <c r="BO154" s="314">
        <f t="shared" si="695"/>
        <v>0</v>
      </c>
      <c r="BP154" s="314">
        <f t="shared" si="695"/>
        <v>0</v>
      </c>
      <c r="BQ154" s="314">
        <f t="shared" ref="BQ154:EB154" si="697">(BQ148*$A154)</f>
        <v>0</v>
      </c>
      <c r="BR154" s="314">
        <f t="shared" si="697"/>
        <v>0</v>
      </c>
      <c r="BS154" s="314">
        <f t="shared" si="697"/>
        <v>0</v>
      </c>
      <c r="BT154" s="314">
        <f t="shared" si="697"/>
        <v>0</v>
      </c>
      <c r="BU154" s="314">
        <f t="shared" si="697"/>
        <v>0</v>
      </c>
      <c r="BV154" s="314">
        <f t="shared" si="697"/>
        <v>0</v>
      </c>
      <c r="BW154" s="314">
        <f t="shared" si="697"/>
        <v>0</v>
      </c>
      <c r="BX154" s="314">
        <f t="shared" si="697"/>
        <v>0</v>
      </c>
      <c r="BY154" s="314">
        <f t="shared" si="697"/>
        <v>0</v>
      </c>
      <c r="BZ154" s="314">
        <f t="shared" si="697"/>
        <v>0</v>
      </c>
      <c r="CA154" s="314">
        <f t="shared" si="697"/>
        <v>0</v>
      </c>
      <c r="CB154" s="314">
        <f t="shared" si="697"/>
        <v>0</v>
      </c>
      <c r="CC154" s="314">
        <f t="shared" si="697"/>
        <v>0</v>
      </c>
      <c r="CD154" s="314">
        <f t="shared" si="697"/>
        <v>0</v>
      </c>
      <c r="CE154" s="314">
        <f t="shared" si="697"/>
        <v>0</v>
      </c>
      <c r="CF154" s="314">
        <f t="shared" si="697"/>
        <v>0</v>
      </c>
      <c r="CG154" s="314">
        <f t="shared" si="697"/>
        <v>0</v>
      </c>
      <c r="CH154" s="314">
        <f t="shared" si="697"/>
        <v>0</v>
      </c>
      <c r="CI154" s="314">
        <f t="shared" si="697"/>
        <v>0</v>
      </c>
      <c r="CJ154" s="314">
        <f t="shared" si="697"/>
        <v>0</v>
      </c>
      <c r="CK154" s="314">
        <f t="shared" si="697"/>
        <v>0</v>
      </c>
      <c r="CL154" s="314">
        <f t="shared" si="697"/>
        <v>0</v>
      </c>
      <c r="CM154" s="314">
        <f t="shared" si="697"/>
        <v>0</v>
      </c>
      <c r="CN154" s="314">
        <f t="shared" si="697"/>
        <v>0</v>
      </c>
      <c r="CO154" s="314">
        <f t="shared" si="697"/>
        <v>0</v>
      </c>
      <c r="CP154" s="314">
        <f t="shared" si="697"/>
        <v>0</v>
      </c>
      <c r="CQ154" s="314">
        <f t="shared" si="697"/>
        <v>0</v>
      </c>
      <c r="CR154" s="314">
        <f t="shared" si="697"/>
        <v>0</v>
      </c>
      <c r="CS154" s="314">
        <f t="shared" si="697"/>
        <v>0</v>
      </c>
      <c r="CT154" s="314">
        <f t="shared" si="697"/>
        <v>0</v>
      </c>
      <c r="CU154" s="314">
        <f t="shared" si="697"/>
        <v>0</v>
      </c>
      <c r="CV154" s="314">
        <f t="shared" si="697"/>
        <v>0</v>
      </c>
      <c r="CW154" s="314">
        <f t="shared" si="697"/>
        <v>0</v>
      </c>
      <c r="CX154" s="314">
        <f t="shared" si="697"/>
        <v>0</v>
      </c>
      <c r="CY154" s="314">
        <f t="shared" si="697"/>
        <v>0</v>
      </c>
      <c r="CZ154" s="314">
        <f t="shared" si="697"/>
        <v>0</v>
      </c>
      <c r="DA154" s="314">
        <f t="shared" si="697"/>
        <v>0</v>
      </c>
      <c r="DB154" s="314">
        <f t="shared" si="697"/>
        <v>0</v>
      </c>
      <c r="DC154" s="314">
        <f t="shared" si="697"/>
        <v>0</v>
      </c>
      <c r="DD154" s="314">
        <f t="shared" si="697"/>
        <v>0</v>
      </c>
      <c r="DE154" s="314">
        <f t="shared" si="697"/>
        <v>0</v>
      </c>
      <c r="DF154" s="314">
        <f t="shared" si="697"/>
        <v>0</v>
      </c>
      <c r="DG154" s="314">
        <f t="shared" si="697"/>
        <v>0</v>
      </c>
      <c r="DH154" s="314">
        <f t="shared" si="697"/>
        <v>0</v>
      </c>
      <c r="DI154" s="314">
        <f t="shared" si="697"/>
        <v>0</v>
      </c>
      <c r="DJ154" s="314">
        <f t="shared" si="697"/>
        <v>0</v>
      </c>
      <c r="DK154" s="314">
        <f t="shared" si="697"/>
        <v>0</v>
      </c>
      <c r="DL154" s="314">
        <f t="shared" si="697"/>
        <v>0</v>
      </c>
      <c r="DM154" s="314">
        <f t="shared" si="697"/>
        <v>0</v>
      </c>
      <c r="DN154" s="314">
        <f t="shared" si="697"/>
        <v>0</v>
      </c>
      <c r="DO154" s="314">
        <f t="shared" si="697"/>
        <v>0</v>
      </c>
      <c r="DP154" s="314">
        <f t="shared" si="697"/>
        <v>0</v>
      </c>
      <c r="DQ154" s="314">
        <f t="shared" si="697"/>
        <v>0</v>
      </c>
      <c r="DR154" s="314">
        <f t="shared" si="697"/>
        <v>0</v>
      </c>
      <c r="DS154" s="314">
        <f t="shared" si="697"/>
        <v>0</v>
      </c>
      <c r="DT154" s="314">
        <f t="shared" si="697"/>
        <v>0</v>
      </c>
      <c r="DU154" s="314">
        <f t="shared" si="697"/>
        <v>0</v>
      </c>
      <c r="DV154" s="314">
        <f t="shared" si="697"/>
        <v>0</v>
      </c>
      <c r="DW154" s="314">
        <f t="shared" si="697"/>
        <v>0</v>
      </c>
      <c r="DX154" s="314">
        <f t="shared" si="697"/>
        <v>0</v>
      </c>
      <c r="DY154" s="314">
        <f t="shared" si="697"/>
        <v>0</v>
      </c>
      <c r="DZ154" s="314">
        <f t="shared" si="697"/>
        <v>0</v>
      </c>
      <c r="EA154" s="314">
        <f t="shared" si="697"/>
        <v>0</v>
      </c>
      <c r="EB154" s="314">
        <f t="shared" si="697"/>
        <v>0</v>
      </c>
      <c r="EC154" s="314">
        <f t="shared" ref="EC154:GN154" si="698">(EC148*$A154)</f>
        <v>0</v>
      </c>
      <c r="ED154" s="314">
        <f t="shared" si="698"/>
        <v>0</v>
      </c>
      <c r="EE154" s="314">
        <f t="shared" si="698"/>
        <v>0</v>
      </c>
      <c r="EF154" s="314">
        <f t="shared" si="698"/>
        <v>0</v>
      </c>
      <c r="EG154" s="314">
        <f t="shared" si="698"/>
        <v>0</v>
      </c>
      <c r="EH154" s="314">
        <f t="shared" si="698"/>
        <v>0</v>
      </c>
      <c r="EI154" s="314">
        <f t="shared" si="698"/>
        <v>0</v>
      </c>
      <c r="EJ154" s="314">
        <f t="shared" si="698"/>
        <v>0</v>
      </c>
      <c r="EK154" s="314">
        <f t="shared" si="698"/>
        <v>0</v>
      </c>
      <c r="EL154" s="314">
        <f t="shared" si="698"/>
        <v>0</v>
      </c>
      <c r="EM154" s="314">
        <f t="shared" si="698"/>
        <v>0</v>
      </c>
      <c r="EN154" s="314">
        <f t="shared" si="698"/>
        <v>0</v>
      </c>
      <c r="EO154" s="314">
        <f t="shared" si="698"/>
        <v>0</v>
      </c>
      <c r="EP154" s="314">
        <f t="shared" si="698"/>
        <v>0</v>
      </c>
      <c r="EQ154" s="314">
        <f t="shared" si="698"/>
        <v>0</v>
      </c>
      <c r="ER154" s="314">
        <f t="shared" si="698"/>
        <v>0</v>
      </c>
      <c r="ES154" s="314">
        <f t="shared" si="698"/>
        <v>0</v>
      </c>
      <c r="ET154" s="314">
        <f t="shared" si="698"/>
        <v>0</v>
      </c>
      <c r="EU154" s="314">
        <f t="shared" si="698"/>
        <v>0</v>
      </c>
      <c r="EV154" s="314">
        <f t="shared" si="698"/>
        <v>0</v>
      </c>
      <c r="EW154" s="314">
        <f t="shared" si="698"/>
        <v>0</v>
      </c>
      <c r="EX154" s="314">
        <f t="shared" si="698"/>
        <v>0</v>
      </c>
      <c r="EY154" s="314">
        <f t="shared" si="698"/>
        <v>0</v>
      </c>
      <c r="EZ154" s="314">
        <f t="shared" si="698"/>
        <v>0</v>
      </c>
      <c r="FA154" s="314">
        <f t="shared" si="698"/>
        <v>0</v>
      </c>
      <c r="FB154" s="314">
        <f t="shared" si="698"/>
        <v>0</v>
      </c>
      <c r="FC154" s="314">
        <f t="shared" si="698"/>
        <v>0</v>
      </c>
      <c r="FD154" s="314">
        <f t="shared" si="698"/>
        <v>0</v>
      </c>
      <c r="FE154" s="314">
        <f t="shared" si="698"/>
        <v>0</v>
      </c>
      <c r="FF154" s="314">
        <f t="shared" si="698"/>
        <v>0</v>
      </c>
      <c r="FG154" s="314">
        <f t="shared" si="698"/>
        <v>0</v>
      </c>
      <c r="FH154" s="314">
        <f t="shared" si="698"/>
        <v>0</v>
      </c>
      <c r="FI154" s="314">
        <f t="shared" si="698"/>
        <v>0</v>
      </c>
      <c r="FJ154" s="314">
        <f t="shared" si="698"/>
        <v>0</v>
      </c>
      <c r="FK154" s="314">
        <f t="shared" si="698"/>
        <v>0</v>
      </c>
      <c r="FL154" s="314">
        <f t="shared" si="698"/>
        <v>0</v>
      </c>
      <c r="FM154" s="314">
        <f t="shared" si="698"/>
        <v>0</v>
      </c>
      <c r="FN154" s="314">
        <f t="shared" si="698"/>
        <v>0</v>
      </c>
      <c r="FO154" s="314">
        <f t="shared" si="698"/>
        <v>0</v>
      </c>
      <c r="FP154" s="314">
        <f t="shared" si="698"/>
        <v>0</v>
      </c>
      <c r="FQ154" s="314">
        <f t="shared" si="698"/>
        <v>0</v>
      </c>
      <c r="FR154" s="314">
        <f t="shared" si="698"/>
        <v>0</v>
      </c>
      <c r="FS154" s="314">
        <f t="shared" si="698"/>
        <v>0</v>
      </c>
      <c r="FT154" s="314">
        <f t="shared" si="698"/>
        <v>0</v>
      </c>
      <c r="FU154" s="314">
        <f t="shared" si="698"/>
        <v>0</v>
      </c>
      <c r="FV154" s="314">
        <f t="shared" si="698"/>
        <v>0</v>
      </c>
      <c r="FW154" s="314">
        <f t="shared" si="698"/>
        <v>0</v>
      </c>
      <c r="FX154" s="314">
        <f t="shared" si="698"/>
        <v>0</v>
      </c>
      <c r="FY154" s="314">
        <f t="shared" si="698"/>
        <v>0</v>
      </c>
      <c r="FZ154" s="314">
        <f t="shared" si="698"/>
        <v>0</v>
      </c>
      <c r="GA154" s="314">
        <f t="shared" si="698"/>
        <v>0</v>
      </c>
      <c r="GB154" s="314">
        <f t="shared" si="698"/>
        <v>0</v>
      </c>
      <c r="GC154" s="314">
        <f t="shared" si="698"/>
        <v>0</v>
      </c>
      <c r="GD154" s="314">
        <f t="shared" si="698"/>
        <v>0</v>
      </c>
      <c r="GE154" s="314">
        <f t="shared" si="698"/>
        <v>0</v>
      </c>
      <c r="GF154" s="314">
        <f t="shared" si="698"/>
        <v>0</v>
      </c>
      <c r="GG154" s="314">
        <f t="shared" si="698"/>
        <v>0</v>
      </c>
      <c r="GH154" s="314">
        <f t="shared" si="698"/>
        <v>0</v>
      </c>
      <c r="GI154" s="314">
        <f t="shared" si="698"/>
        <v>0</v>
      </c>
      <c r="GJ154" s="314">
        <f t="shared" si="698"/>
        <v>0</v>
      </c>
      <c r="GK154" s="314">
        <f t="shared" si="698"/>
        <v>0</v>
      </c>
      <c r="GL154" s="314">
        <f t="shared" si="698"/>
        <v>0</v>
      </c>
      <c r="GM154" s="314">
        <f t="shared" si="698"/>
        <v>0</v>
      </c>
      <c r="GN154" s="314">
        <f t="shared" si="698"/>
        <v>0</v>
      </c>
      <c r="GO154" s="314">
        <f t="shared" ref="GO154:IZ154" si="699">(GO148*$A154)</f>
        <v>0</v>
      </c>
      <c r="GP154" s="314">
        <f t="shared" si="699"/>
        <v>0</v>
      </c>
      <c r="GQ154" s="314">
        <f t="shared" si="699"/>
        <v>0</v>
      </c>
      <c r="GR154" s="314">
        <f t="shared" si="699"/>
        <v>0</v>
      </c>
      <c r="GS154" s="314">
        <f t="shared" si="699"/>
        <v>0</v>
      </c>
      <c r="GT154" s="314">
        <f t="shared" si="699"/>
        <v>0</v>
      </c>
      <c r="GU154" s="314">
        <f t="shared" si="699"/>
        <v>0</v>
      </c>
      <c r="GV154" s="314">
        <f t="shared" si="699"/>
        <v>0</v>
      </c>
      <c r="GW154" s="314">
        <f t="shared" si="699"/>
        <v>0</v>
      </c>
      <c r="GX154" s="314">
        <f t="shared" si="699"/>
        <v>0</v>
      </c>
      <c r="GY154" s="314">
        <f t="shared" si="699"/>
        <v>0</v>
      </c>
      <c r="GZ154" s="314">
        <f t="shared" si="699"/>
        <v>0</v>
      </c>
      <c r="HA154" s="314">
        <f t="shared" si="699"/>
        <v>0</v>
      </c>
      <c r="HB154" s="314">
        <f t="shared" si="699"/>
        <v>0</v>
      </c>
      <c r="HC154" s="314">
        <f t="shared" si="699"/>
        <v>0</v>
      </c>
      <c r="HD154" s="314">
        <f t="shared" si="699"/>
        <v>0</v>
      </c>
      <c r="HE154" s="314">
        <f t="shared" si="699"/>
        <v>0</v>
      </c>
      <c r="HF154" s="314">
        <f t="shared" si="699"/>
        <v>0</v>
      </c>
      <c r="HG154" s="314">
        <f t="shared" si="699"/>
        <v>0</v>
      </c>
      <c r="HH154" s="314">
        <f t="shared" si="699"/>
        <v>0</v>
      </c>
      <c r="HI154" s="314">
        <f t="shared" si="699"/>
        <v>0</v>
      </c>
      <c r="HJ154" s="314">
        <f t="shared" si="699"/>
        <v>0</v>
      </c>
      <c r="HK154" s="314">
        <f t="shared" si="699"/>
        <v>0</v>
      </c>
      <c r="HL154" s="314">
        <f t="shared" si="699"/>
        <v>0</v>
      </c>
      <c r="HM154" s="314">
        <f t="shared" si="699"/>
        <v>0</v>
      </c>
      <c r="HN154" s="314">
        <f t="shared" si="699"/>
        <v>0</v>
      </c>
      <c r="HO154" s="314">
        <f t="shared" si="699"/>
        <v>0</v>
      </c>
      <c r="HP154" s="314">
        <f t="shared" si="699"/>
        <v>0</v>
      </c>
      <c r="HQ154" s="314">
        <f t="shared" si="699"/>
        <v>0</v>
      </c>
      <c r="HR154" s="314">
        <f t="shared" si="699"/>
        <v>0</v>
      </c>
      <c r="HS154" s="314">
        <f t="shared" si="699"/>
        <v>0</v>
      </c>
      <c r="HT154" s="314">
        <f t="shared" si="699"/>
        <v>0</v>
      </c>
      <c r="HU154" s="314">
        <f t="shared" si="699"/>
        <v>0</v>
      </c>
      <c r="HV154" s="314">
        <f t="shared" si="699"/>
        <v>0</v>
      </c>
      <c r="HW154" s="314">
        <f t="shared" si="699"/>
        <v>0</v>
      </c>
      <c r="HX154" s="314">
        <f t="shared" si="699"/>
        <v>0</v>
      </c>
      <c r="HY154" s="314">
        <f t="shared" si="699"/>
        <v>0</v>
      </c>
      <c r="HZ154" s="314">
        <f t="shared" si="699"/>
        <v>0</v>
      </c>
      <c r="IA154" s="314">
        <f t="shared" si="699"/>
        <v>0</v>
      </c>
      <c r="IB154" s="314">
        <f t="shared" si="699"/>
        <v>0</v>
      </c>
      <c r="IC154" s="314">
        <f t="shared" si="699"/>
        <v>0</v>
      </c>
      <c r="ID154" s="314">
        <f t="shared" si="699"/>
        <v>0</v>
      </c>
      <c r="IE154" s="314">
        <f t="shared" si="699"/>
        <v>0</v>
      </c>
      <c r="IF154" s="314">
        <f t="shared" si="699"/>
        <v>0</v>
      </c>
      <c r="IG154" s="314">
        <f t="shared" si="699"/>
        <v>0</v>
      </c>
      <c r="IH154" s="314">
        <f t="shared" si="699"/>
        <v>0</v>
      </c>
      <c r="II154" s="314">
        <f t="shared" si="699"/>
        <v>0</v>
      </c>
      <c r="IJ154" s="314">
        <f t="shared" si="699"/>
        <v>0</v>
      </c>
      <c r="IK154" s="314">
        <f t="shared" si="699"/>
        <v>0</v>
      </c>
      <c r="IL154" s="314">
        <f t="shared" si="699"/>
        <v>0</v>
      </c>
      <c r="IM154" s="314">
        <f t="shared" si="699"/>
        <v>0</v>
      </c>
      <c r="IN154" s="314">
        <f t="shared" si="699"/>
        <v>0</v>
      </c>
      <c r="IO154" s="314">
        <f t="shared" si="699"/>
        <v>0</v>
      </c>
      <c r="IP154" s="314">
        <f t="shared" si="699"/>
        <v>0</v>
      </c>
      <c r="IQ154" s="314">
        <f t="shared" si="699"/>
        <v>0</v>
      </c>
      <c r="IR154" s="314">
        <f t="shared" si="699"/>
        <v>0</v>
      </c>
      <c r="IS154" s="314">
        <f t="shared" si="699"/>
        <v>0</v>
      </c>
      <c r="IT154" s="314">
        <f t="shared" si="699"/>
        <v>0</v>
      </c>
      <c r="IU154" s="314">
        <f t="shared" si="699"/>
        <v>0</v>
      </c>
      <c r="IV154" s="314">
        <f t="shared" si="699"/>
        <v>0</v>
      </c>
      <c r="IW154" s="314">
        <f t="shared" si="699"/>
        <v>0</v>
      </c>
      <c r="IX154" s="314">
        <f t="shared" si="699"/>
        <v>0</v>
      </c>
      <c r="IY154" s="314">
        <f t="shared" si="699"/>
        <v>0</v>
      </c>
      <c r="IZ154" s="314">
        <f t="shared" si="699"/>
        <v>0</v>
      </c>
      <c r="JA154" s="314">
        <f t="shared" ref="JA154:JH154" si="700">(JA148*$A154)</f>
        <v>0</v>
      </c>
      <c r="JB154" s="314">
        <f t="shared" si="700"/>
        <v>0</v>
      </c>
      <c r="JC154" s="314">
        <f t="shared" si="700"/>
        <v>0</v>
      </c>
      <c r="JD154" s="314">
        <f t="shared" si="700"/>
        <v>0</v>
      </c>
      <c r="JE154" s="314">
        <f t="shared" si="700"/>
        <v>0</v>
      </c>
      <c r="JF154" s="314">
        <f t="shared" si="700"/>
        <v>0</v>
      </c>
      <c r="JG154" s="314">
        <f t="shared" si="700"/>
        <v>0</v>
      </c>
      <c r="JH154" s="314">
        <f t="shared" si="700"/>
        <v>0</v>
      </c>
      <c r="JI154" s="678">
        <v>960818679</v>
      </c>
      <c r="JL154" s="307"/>
      <c r="JM154" s="307"/>
      <c r="JN154" s="307"/>
      <c r="JO154" s="307"/>
      <c r="JP154" s="307"/>
    </row>
    <row r="155" spans="1:276" x14ac:dyDescent="0.25">
      <c r="A155" s="565"/>
      <c r="B155" s="565" t="s">
        <v>2629</v>
      </c>
      <c r="C155" s="566">
        <f>ROUND(C148-C154,-1)</f>
        <v>8884420</v>
      </c>
      <c r="D155" s="566">
        <f t="shared" ref="D155:BP155" si="701">ROUND(D148-D154,-1)</f>
        <v>7730000</v>
      </c>
      <c r="E155" s="566">
        <f t="shared" si="701"/>
        <v>8299180</v>
      </c>
      <c r="F155" s="566">
        <f t="shared" si="701"/>
        <v>3616880</v>
      </c>
      <c r="G155" s="566">
        <f t="shared" si="701"/>
        <v>10328000</v>
      </c>
      <c r="H155" s="566">
        <f t="shared" si="701"/>
        <v>0</v>
      </c>
      <c r="I155" s="566">
        <f t="shared" si="701"/>
        <v>0</v>
      </c>
      <c r="J155" s="566">
        <f t="shared" si="701"/>
        <v>0</v>
      </c>
      <c r="K155" s="566">
        <f t="shared" si="701"/>
        <v>5988080</v>
      </c>
      <c r="L155" s="566">
        <f t="shared" si="701"/>
        <v>3774970</v>
      </c>
      <c r="M155" s="566">
        <f t="shared" si="701"/>
        <v>3667780</v>
      </c>
      <c r="N155" s="356">
        <f>N170</f>
        <v>5245000</v>
      </c>
      <c r="O155" s="566">
        <f t="shared" si="701"/>
        <v>4306140</v>
      </c>
      <c r="P155" s="566">
        <f t="shared" si="701"/>
        <v>2453030</v>
      </c>
      <c r="Q155" s="566">
        <f t="shared" si="701"/>
        <v>1836490</v>
      </c>
      <c r="R155" s="676">
        <f t="shared" si="701"/>
        <v>2030000</v>
      </c>
      <c r="S155" s="566">
        <f t="shared" si="701"/>
        <v>1637150</v>
      </c>
      <c r="T155" s="566">
        <f t="shared" si="701"/>
        <v>622770</v>
      </c>
      <c r="U155" s="566">
        <f t="shared" si="701"/>
        <v>1087500</v>
      </c>
      <c r="V155" s="676">
        <f t="shared" si="701"/>
        <v>8493620</v>
      </c>
      <c r="W155" s="566">
        <f t="shared" si="701"/>
        <v>2130000</v>
      </c>
      <c r="X155" s="356">
        <f>ROUND(X170,-1)</f>
        <v>2288190</v>
      </c>
      <c r="Y155" s="566">
        <f t="shared" si="701"/>
        <v>1770700</v>
      </c>
      <c r="Z155" s="566">
        <f t="shared" si="701"/>
        <v>7231920</v>
      </c>
      <c r="AA155" s="566">
        <f t="shared" si="701"/>
        <v>4244710</v>
      </c>
      <c r="AB155" s="356">
        <f>ROUND(AB170,-1)</f>
        <v>3314500</v>
      </c>
      <c r="AC155" s="566">
        <f t="shared" si="701"/>
        <v>640000</v>
      </c>
      <c r="AD155" s="566">
        <f t="shared" si="701"/>
        <v>2590230</v>
      </c>
      <c r="AE155" s="566">
        <f t="shared" si="701"/>
        <v>103740</v>
      </c>
      <c r="AF155" s="566">
        <f t="shared" si="701"/>
        <v>1219240</v>
      </c>
      <c r="AG155" s="566">
        <f t="shared" si="701"/>
        <v>3450810</v>
      </c>
      <c r="AH155" s="566">
        <f t="shared" si="701"/>
        <v>760000</v>
      </c>
      <c r="AI155" s="566">
        <f t="shared" si="701"/>
        <v>3404000</v>
      </c>
      <c r="AJ155" s="566">
        <f t="shared" si="701"/>
        <v>2585000</v>
      </c>
      <c r="AK155" s="566">
        <f t="shared" si="701"/>
        <v>1251400</v>
      </c>
      <c r="AL155" s="566">
        <f t="shared" si="701"/>
        <v>1952910</v>
      </c>
      <c r="AM155" s="566">
        <f t="shared" si="701"/>
        <v>1499710</v>
      </c>
      <c r="AN155" s="356">
        <f>AN170</f>
        <v>1027900</v>
      </c>
      <c r="AO155" s="356">
        <f>ROUND(AO170,-1)</f>
        <v>4344440</v>
      </c>
      <c r="AP155" s="356">
        <f>AP157-39775</f>
        <v>2220000</v>
      </c>
      <c r="AQ155" s="356">
        <f>AQ170+2</f>
        <v>327940</v>
      </c>
      <c r="AR155" s="566">
        <f t="shared" si="701"/>
        <v>1531740</v>
      </c>
      <c r="AS155" s="356">
        <f>ROUND(AS170,-1)</f>
        <v>453230</v>
      </c>
      <c r="AT155" s="356">
        <f>AT170+4</f>
        <v>2175750</v>
      </c>
      <c r="AU155" s="566">
        <f t="shared" si="701"/>
        <v>992220</v>
      </c>
      <c r="AV155" s="566">
        <f>ROUND(AV148-AV154,-1)</f>
        <v>2003660</v>
      </c>
      <c r="AW155" s="566">
        <f t="shared" si="701"/>
        <v>0</v>
      </c>
      <c r="AX155" s="356">
        <f>AX157</f>
        <v>2970020</v>
      </c>
      <c r="AY155" s="356">
        <f>ROUND(AY170,-1)</f>
        <v>3273950</v>
      </c>
      <c r="AZ155" s="566">
        <f t="shared" si="701"/>
        <v>2981000</v>
      </c>
      <c r="BA155" s="566">
        <f t="shared" si="701"/>
        <v>9230000</v>
      </c>
      <c r="BB155" s="566">
        <f t="shared" si="701"/>
        <v>1312920</v>
      </c>
      <c r="BC155" s="566">
        <f t="shared" si="701"/>
        <v>1223740</v>
      </c>
      <c r="BD155" s="566">
        <f t="shared" si="701"/>
        <v>1916260</v>
      </c>
      <c r="BE155" s="566">
        <f t="shared" si="701"/>
        <v>0</v>
      </c>
      <c r="BF155" s="566">
        <f t="shared" si="701"/>
        <v>2020000</v>
      </c>
      <c r="BG155" s="566">
        <f t="shared" si="701"/>
        <v>2499000</v>
      </c>
      <c r="BH155" s="566">
        <f t="shared" si="701"/>
        <v>3075110</v>
      </c>
      <c r="BI155" s="566">
        <f t="shared" si="701"/>
        <v>1270000</v>
      </c>
      <c r="BJ155" s="566">
        <f t="shared" si="701"/>
        <v>2734460</v>
      </c>
      <c r="BK155" s="566">
        <f t="shared" si="701"/>
        <v>100000</v>
      </c>
      <c r="BL155" s="566">
        <f t="shared" si="701"/>
        <v>455140</v>
      </c>
      <c r="BM155" s="566">
        <f>ROUND(BM148-BM154,-1)-10</f>
        <v>1464820</v>
      </c>
      <c r="BN155" s="566">
        <f t="shared" si="701"/>
        <v>1641100</v>
      </c>
      <c r="BO155" s="356">
        <f>ROUND(BO170,-1)</f>
        <v>979330</v>
      </c>
      <c r="BP155" s="566">
        <f t="shared" si="701"/>
        <v>4652080</v>
      </c>
      <c r="BQ155" s="566">
        <f t="shared" ref="BQ155:EB155" si="702">ROUND(BQ148-BQ154,-1)</f>
        <v>0</v>
      </c>
      <c r="BR155" s="566">
        <f t="shared" si="702"/>
        <v>1013020</v>
      </c>
      <c r="BS155" s="676">
        <f>BS157-BS172</f>
        <v>1287900</v>
      </c>
      <c r="BT155" s="566">
        <f t="shared" si="702"/>
        <v>914160</v>
      </c>
      <c r="BU155" s="356">
        <f>BU170+2</f>
        <v>3939340</v>
      </c>
      <c r="BV155" s="566">
        <f t="shared" si="702"/>
        <v>1177910</v>
      </c>
      <c r="BW155" s="566">
        <f t="shared" si="702"/>
        <v>532680</v>
      </c>
      <c r="BX155" s="356">
        <f>ROUND(BX170,-1)</f>
        <v>4758700</v>
      </c>
      <c r="BY155" s="566">
        <f t="shared" si="702"/>
        <v>1520140</v>
      </c>
      <c r="BZ155" s="566">
        <f t="shared" si="702"/>
        <v>324150</v>
      </c>
      <c r="CA155" s="566">
        <f t="shared" si="702"/>
        <v>0</v>
      </c>
      <c r="CB155" s="356">
        <f>CB170-3</f>
        <v>532260</v>
      </c>
      <c r="CC155" s="566">
        <f t="shared" si="702"/>
        <v>2238060</v>
      </c>
      <c r="CD155" s="676">
        <f>ROUND(CD148,-1)</f>
        <v>637850</v>
      </c>
      <c r="CE155" s="566">
        <f t="shared" si="702"/>
        <v>9715050</v>
      </c>
      <c r="CF155" s="566">
        <f t="shared" si="702"/>
        <v>4453620</v>
      </c>
      <c r="CG155" s="566">
        <f t="shared" si="702"/>
        <v>257160</v>
      </c>
      <c r="CH155" s="566">
        <f t="shared" si="702"/>
        <v>0</v>
      </c>
      <c r="CI155" s="566">
        <f t="shared" si="702"/>
        <v>0</v>
      </c>
      <c r="CJ155" s="566">
        <f t="shared" si="702"/>
        <v>3854200</v>
      </c>
      <c r="CK155" s="566">
        <f t="shared" si="702"/>
        <v>4466000</v>
      </c>
      <c r="CL155" s="566">
        <f t="shared" si="702"/>
        <v>0</v>
      </c>
      <c r="CM155" s="566">
        <f t="shared" si="702"/>
        <v>6012340</v>
      </c>
      <c r="CN155" s="356">
        <f>ROUND(CN157,-1)</f>
        <v>1282580</v>
      </c>
      <c r="CO155" s="566">
        <f t="shared" si="702"/>
        <v>1214500</v>
      </c>
      <c r="CP155" s="356">
        <f>ROUND(CP157,-1)</f>
        <v>1238430</v>
      </c>
      <c r="CQ155" s="566">
        <f t="shared" si="702"/>
        <v>5515040</v>
      </c>
      <c r="CR155" s="566">
        <f t="shared" si="702"/>
        <v>2331090</v>
      </c>
      <c r="CS155" s="566">
        <f t="shared" si="702"/>
        <v>0</v>
      </c>
      <c r="CT155" s="566">
        <f t="shared" si="702"/>
        <v>0</v>
      </c>
      <c r="CU155" s="566">
        <f t="shared" si="702"/>
        <v>1875000</v>
      </c>
      <c r="CV155" s="566">
        <f>ROUND(CV148-CV154,-1)</f>
        <v>5644990</v>
      </c>
      <c r="CW155" s="566">
        <f t="shared" si="702"/>
        <v>400000</v>
      </c>
      <c r="CX155" s="566">
        <f t="shared" si="702"/>
        <v>3457000</v>
      </c>
      <c r="CY155" s="566">
        <f t="shared" si="702"/>
        <v>2881080</v>
      </c>
      <c r="CZ155" s="566">
        <f t="shared" si="702"/>
        <v>371000</v>
      </c>
      <c r="DA155" s="566">
        <f t="shared" si="702"/>
        <v>7650000</v>
      </c>
      <c r="DB155" s="356">
        <f>ROUND(DB170,-1)</f>
        <v>739610</v>
      </c>
      <c r="DC155" s="356">
        <f>ROUND(DC170,-1)</f>
        <v>1904520</v>
      </c>
      <c r="DD155" s="566">
        <f t="shared" si="702"/>
        <v>0</v>
      </c>
      <c r="DE155" s="566">
        <f t="shared" si="702"/>
        <v>1595400</v>
      </c>
      <c r="DF155" s="566">
        <f t="shared" si="702"/>
        <v>4660760</v>
      </c>
      <c r="DG155" s="566">
        <f t="shared" si="702"/>
        <v>802940</v>
      </c>
      <c r="DH155" s="566">
        <f t="shared" si="702"/>
        <v>908240</v>
      </c>
      <c r="DI155" s="566">
        <f t="shared" si="702"/>
        <v>0</v>
      </c>
      <c r="DJ155" s="566">
        <f t="shared" si="702"/>
        <v>0</v>
      </c>
      <c r="DK155" s="566">
        <f t="shared" si="702"/>
        <v>0</v>
      </c>
      <c r="DL155" s="356">
        <f>DL170-4</f>
        <v>3817220</v>
      </c>
      <c r="DM155" s="566">
        <f t="shared" si="702"/>
        <v>1905500</v>
      </c>
      <c r="DN155" s="566">
        <f t="shared" si="702"/>
        <v>3604670</v>
      </c>
      <c r="DO155" s="566">
        <f t="shared" si="702"/>
        <v>1402300</v>
      </c>
      <c r="DP155" s="566">
        <f t="shared" si="702"/>
        <v>4045360</v>
      </c>
      <c r="DQ155" s="566">
        <f t="shared" si="702"/>
        <v>3939650</v>
      </c>
      <c r="DR155" s="566">
        <f>ROUND(DR148-DR154,-1)-10</f>
        <v>4423020</v>
      </c>
      <c r="DS155" s="566">
        <f t="shared" si="702"/>
        <v>878000</v>
      </c>
      <c r="DT155" s="566">
        <f t="shared" si="702"/>
        <v>3015000</v>
      </c>
      <c r="DU155" s="566">
        <f t="shared" si="702"/>
        <v>0</v>
      </c>
      <c r="DV155" s="566">
        <f t="shared" si="702"/>
        <v>4423330</v>
      </c>
      <c r="DW155" s="566">
        <f t="shared" si="702"/>
        <v>0</v>
      </c>
      <c r="DX155" s="566">
        <f t="shared" si="702"/>
        <v>0</v>
      </c>
      <c r="DY155" s="566">
        <f t="shared" si="702"/>
        <v>4581140</v>
      </c>
      <c r="DZ155" s="566">
        <f t="shared" si="702"/>
        <v>723930</v>
      </c>
      <c r="EA155" s="356">
        <f>EA157+2</f>
        <v>3895190</v>
      </c>
      <c r="EB155" s="566">
        <f t="shared" si="702"/>
        <v>4071610</v>
      </c>
      <c r="EC155" s="566">
        <f t="shared" ref="EC155:GN155" si="703">ROUND(EC148-EC154,-1)</f>
        <v>3507640</v>
      </c>
      <c r="ED155" s="566">
        <f t="shared" si="703"/>
        <v>3789860</v>
      </c>
      <c r="EE155" s="566">
        <f t="shared" si="703"/>
        <v>610000</v>
      </c>
      <c r="EF155" s="566">
        <f t="shared" si="703"/>
        <v>666000</v>
      </c>
      <c r="EG155" s="566">
        <f t="shared" si="703"/>
        <v>425000</v>
      </c>
      <c r="EH155" s="566">
        <f t="shared" si="703"/>
        <v>595000</v>
      </c>
      <c r="EI155" s="566">
        <f t="shared" si="703"/>
        <v>1025000</v>
      </c>
      <c r="EJ155" s="566">
        <f t="shared" si="703"/>
        <v>0</v>
      </c>
      <c r="EK155" s="676">
        <f>EK157-EK172-2</f>
        <v>3773040</v>
      </c>
      <c r="EL155" s="566">
        <f t="shared" si="703"/>
        <v>8896080</v>
      </c>
      <c r="EM155" s="566">
        <f t="shared" si="703"/>
        <v>2765690</v>
      </c>
      <c r="EN155" s="566">
        <f t="shared" si="703"/>
        <v>2526600</v>
      </c>
      <c r="EO155" s="356">
        <f>ROUND(EO170,-1)</f>
        <v>311820</v>
      </c>
      <c r="EP155" s="566">
        <f>ROUND(EP148-EP154,-1)-10</f>
        <v>2970060</v>
      </c>
      <c r="EQ155" s="356">
        <f>ROUND(EQ170,-1)</f>
        <v>1939350</v>
      </c>
      <c r="ER155" s="566">
        <f t="shared" si="703"/>
        <v>6229000</v>
      </c>
      <c r="ES155" s="566">
        <f t="shared" si="703"/>
        <v>2889370</v>
      </c>
      <c r="ET155" s="566">
        <f t="shared" si="703"/>
        <v>901340</v>
      </c>
      <c r="EU155" s="566">
        <f t="shared" si="703"/>
        <v>2056000</v>
      </c>
      <c r="EV155" s="566">
        <f t="shared" si="703"/>
        <v>443090</v>
      </c>
      <c r="EW155" s="566">
        <f t="shared" si="703"/>
        <v>2505060</v>
      </c>
      <c r="EX155" s="566">
        <f t="shared" si="703"/>
        <v>5574310</v>
      </c>
      <c r="EY155" s="566">
        <f t="shared" si="703"/>
        <v>2059170</v>
      </c>
      <c r="EZ155" s="566">
        <f t="shared" si="703"/>
        <v>0</v>
      </c>
      <c r="FA155" s="566">
        <f t="shared" si="703"/>
        <v>990000</v>
      </c>
      <c r="FB155" s="566">
        <f t="shared" si="703"/>
        <v>177810</v>
      </c>
      <c r="FC155" s="566">
        <f t="shared" si="703"/>
        <v>3042200</v>
      </c>
      <c r="FD155" s="566">
        <f t="shared" si="703"/>
        <v>0</v>
      </c>
      <c r="FE155" s="566">
        <f t="shared" si="703"/>
        <v>343250</v>
      </c>
      <c r="FF155" s="566">
        <f t="shared" si="703"/>
        <v>1441590</v>
      </c>
      <c r="FG155" s="566">
        <f t="shared" si="703"/>
        <v>5703200</v>
      </c>
      <c r="FH155" s="566">
        <f t="shared" si="703"/>
        <v>5790610</v>
      </c>
      <c r="FI155" s="566">
        <f t="shared" si="703"/>
        <v>7582390</v>
      </c>
      <c r="FJ155" s="566">
        <f t="shared" si="703"/>
        <v>1854520</v>
      </c>
      <c r="FK155" s="566">
        <f t="shared" si="703"/>
        <v>117160</v>
      </c>
      <c r="FL155" s="566">
        <f t="shared" si="703"/>
        <v>289530</v>
      </c>
      <c r="FM155" s="566">
        <f t="shared" si="703"/>
        <v>943020</v>
      </c>
      <c r="FN155" s="566">
        <f t="shared" si="703"/>
        <v>7003030</v>
      </c>
      <c r="FO155" s="566">
        <f t="shared" si="703"/>
        <v>1654620</v>
      </c>
      <c r="FP155" s="566">
        <f t="shared" si="703"/>
        <v>12351200</v>
      </c>
      <c r="FQ155" s="566">
        <f t="shared" si="703"/>
        <v>1972280</v>
      </c>
      <c r="FR155" s="566">
        <f t="shared" si="703"/>
        <v>0</v>
      </c>
      <c r="FS155" s="566">
        <f t="shared" si="703"/>
        <v>464010</v>
      </c>
      <c r="FT155" s="566">
        <f t="shared" si="703"/>
        <v>3255890</v>
      </c>
      <c r="FU155" s="566">
        <f t="shared" si="703"/>
        <v>465830</v>
      </c>
      <c r="FV155" s="566">
        <f t="shared" si="703"/>
        <v>559250</v>
      </c>
      <c r="FW155" s="566">
        <f t="shared" si="703"/>
        <v>937680</v>
      </c>
      <c r="FX155" s="566">
        <f t="shared" si="703"/>
        <v>384530</v>
      </c>
      <c r="FY155" s="566">
        <f t="shared" si="703"/>
        <v>200000</v>
      </c>
      <c r="FZ155" s="566">
        <f t="shared" si="703"/>
        <v>2571150</v>
      </c>
      <c r="GA155" s="566">
        <f t="shared" si="703"/>
        <v>235090</v>
      </c>
      <c r="GB155" s="566">
        <f t="shared" si="703"/>
        <v>2245960</v>
      </c>
      <c r="GC155" s="566">
        <f t="shared" si="703"/>
        <v>2171080</v>
      </c>
      <c r="GD155" s="566">
        <f t="shared" si="703"/>
        <v>7928940</v>
      </c>
      <c r="GE155" s="566">
        <f t="shared" si="703"/>
        <v>0</v>
      </c>
      <c r="GF155" s="566">
        <f t="shared" si="703"/>
        <v>3881580</v>
      </c>
      <c r="GG155" s="566">
        <f t="shared" si="703"/>
        <v>1157420</v>
      </c>
      <c r="GH155" s="566">
        <f>ROUND(GH148-GH154,-1)-10</f>
        <v>1054710</v>
      </c>
      <c r="GI155" s="566">
        <f t="shared" si="703"/>
        <v>7754400</v>
      </c>
      <c r="GJ155" s="566">
        <f t="shared" si="703"/>
        <v>1839200</v>
      </c>
      <c r="GK155" s="566">
        <f>ROUND(GK148-GK154,-1)</f>
        <v>600000</v>
      </c>
      <c r="GL155" s="566">
        <f t="shared" si="703"/>
        <v>469950</v>
      </c>
      <c r="GM155" s="566">
        <f t="shared" si="703"/>
        <v>692540</v>
      </c>
      <c r="GN155" s="566">
        <f t="shared" si="703"/>
        <v>788770</v>
      </c>
      <c r="GO155" s="566">
        <f t="shared" ref="GO155:IZ155" si="704">ROUND(GO148-GO154,-1)</f>
        <v>4468800</v>
      </c>
      <c r="GP155" s="566">
        <f t="shared" si="704"/>
        <v>484460</v>
      </c>
      <c r="GQ155" s="566">
        <f t="shared" si="704"/>
        <v>309590</v>
      </c>
      <c r="GR155" s="566">
        <f t="shared" si="704"/>
        <v>610000</v>
      </c>
      <c r="GS155" s="566">
        <f t="shared" si="704"/>
        <v>0</v>
      </c>
      <c r="GT155" s="566">
        <f t="shared" si="704"/>
        <v>8684790</v>
      </c>
      <c r="GU155" s="566">
        <f t="shared" si="704"/>
        <v>807440</v>
      </c>
      <c r="GV155" s="566">
        <f t="shared" si="704"/>
        <v>5000000</v>
      </c>
      <c r="GW155" s="566">
        <f t="shared" si="704"/>
        <v>941720</v>
      </c>
      <c r="GX155" s="566">
        <f t="shared" si="704"/>
        <v>150000</v>
      </c>
      <c r="GY155" s="566">
        <f t="shared" si="704"/>
        <v>11169700</v>
      </c>
      <c r="GZ155" s="566">
        <f t="shared" si="704"/>
        <v>0</v>
      </c>
      <c r="HA155" s="566">
        <f t="shared" si="704"/>
        <v>5200000</v>
      </c>
      <c r="HB155" s="566">
        <f t="shared" si="704"/>
        <v>2241820</v>
      </c>
      <c r="HC155" s="566">
        <f t="shared" si="704"/>
        <v>5534660</v>
      </c>
      <c r="HD155" s="566">
        <f t="shared" si="704"/>
        <v>1908550</v>
      </c>
      <c r="HE155" s="566">
        <f t="shared" si="704"/>
        <v>4945200</v>
      </c>
      <c r="HF155" s="566">
        <f t="shared" si="704"/>
        <v>780920</v>
      </c>
      <c r="HG155" s="566">
        <f t="shared" si="704"/>
        <v>483760</v>
      </c>
      <c r="HH155" s="566">
        <f t="shared" si="704"/>
        <v>1870580</v>
      </c>
      <c r="HI155" s="566">
        <f t="shared" si="704"/>
        <v>1243940</v>
      </c>
      <c r="HJ155" s="566">
        <f t="shared" si="704"/>
        <v>0</v>
      </c>
      <c r="HK155" s="566">
        <f t="shared" si="704"/>
        <v>0</v>
      </c>
      <c r="HL155" s="566">
        <f t="shared" si="704"/>
        <v>25331490</v>
      </c>
      <c r="HM155" s="566">
        <f t="shared" si="704"/>
        <v>18062110</v>
      </c>
      <c r="HN155" s="566">
        <f t="shared" si="704"/>
        <v>0</v>
      </c>
      <c r="HO155" s="566">
        <f t="shared" si="704"/>
        <v>0</v>
      </c>
      <c r="HP155" s="566">
        <f t="shared" si="704"/>
        <v>19303220</v>
      </c>
      <c r="HQ155" s="566">
        <f t="shared" si="704"/>
        <v>687360</v>
      </c>
      <c r="HR155" s="566">
        <f t="shared" si="704"/>
        <v>24026010</v>
      </c>
      <c r="HS155" s="566">
        <f t="shared" si="704"/>
        <v>4430600</v>
      </c>
      <c r="HT155" s="566">
        <f t="shared" si="704"/>
        <v>15937690</v>
      </c>
      <c r="HU155" s="566">
        <f t="shared" si="704"/>
        <v>15474990</v>
      </c>
      <c r="HV155" s="566">
        <f t="shared" si="704"/>
        <v>12916130</v>
      </c>
      <c r="HW155" s="566">
        <f t="shared" si="704"/>
        <v>3337990</v>
      </c>
      <c r="HX155" s="566">
        <f t="shared" si="704"/>
        <v>13208120</v>
      </c>
      <c r="HY155" s="566">
        <f t="shared" si="704"/>
        <v>14405760</v>
      </c>
      <c r="HZ155" s="566">
        <f t="shared" si="704"/>
        <v>6797940</v>
      </c>
      <c r="IA155" s="566">
        <f t="shared" si="704"/>
        <v>6429490</v>
      </c>
      <c r="IB155" s="566">
        <f t="shared" si="704"/>
        <v>6265180</v>
      </c>
      <c r="IC155" s="566">
        <f t="shared" si="704"/>
        <v>7418220</v>
      </c>
      <c r="ID155" s="566">
        <f t="shared" si="704"/>
        <v>6685280</v>
      </c>
      <c r="IE155" s="566">
        <f t="shared" si="704"/>
        <v>13033890</v>
      </c>
      <c r="IF155" s="566">
        <f t="shared" si="704"/>
        <v>12847830</v>
      </c>
      <c r="IG155" s="566">
        <f t="shared" si="704"/>
        <v>3089240</v>
      </c>
      <c r="IH155" s="566">
        <f t="shared" si="704"/>
        <v>1754310</v>
      </c>
      <c r="II155" s="566">
        <f t="shared" si="704"/>
        <v>15058470</v>
      </c>
      <c r="IJ155" s="566">
        <f t="shared" si="704"/>
        <v>1090180</v>
      </c>
      <c r="IK155" s="566">
        <f t="shared" si="704"/>
        <v>150000</v>
      </c>
      <c r="IL155" s="566">
        <f t="shared" si="704"/>
        <v>7291660</v>
      </c>
      <c r="IM155" s="566">
        <f t="shared" si="704"/>
        <v>530840</v>
      </c>
      <c r="IN155" s="566">
        <f t="shared" si="704"/>
        <v>6957000</v>
      </c>
      <c r="IO155" s="566">
        <f t="shared" si="704"/>
        <v>2174450</v>
      </c>
      <c r="IP155" s="566">
        <f t="shared" si="704"/>
        <v>15916870</v>
      </c>
      <c r="IQ155" s="566">
        <f t="shared" si="704"/>
        <v>15354810</v>
      </c>
      <c r="IR155" s="566">
        <f t="shared" si="704"/>
        <v>661220</v>
      </c>
      <c r="IS155" s="566">
        <f t="shared" si="704"/>
        <v>38158140</v>
      </c>
      <c r="IT155" s="566">
        <f t="shared" si="704"/>
        <v>8363390</v>
      </c>
      <c r="IU155" s="566">
        <f t="shared" si="704"/>
        <v>2009010</v>
      </c>
      <c r="IV155" s="566">
        <f t="shared" si="704"/>
        <v>5685100</v>
      </c>
      <c r="IW155" s="566">
        <f t="shared" si="704"/>
        <v>11119520</v>
      </c>
      <c r="IX155" s="566">
        <f t="shared" si="704"/>
        <v>1125730</v>
      </c>
      <c r="IY155" s="566">
        <f t="shared" si="704"/>
        <v>3266100</v>
      </c>
      <c r="IZ155" s="566">
        <f t="shared" si="704"/>
        <v>15681490</v>
      </c>
      <c r="JA155" s="566">
        <f t="shared" ref="JA155:JH155" si="705">ROUND(JA148-JA154,-1)</f>
        <v>2298510</v>
      </c>
      <c r="JB155" s="566">
        <f t="shared" si="705"/>
        <v>2067000</v>
      </c>
      <c r="JC155" s="566">
        <f t="shared" si="705"/>
        <v>1625000</v>
      </c>
      <c r="JD155" s="566">
        <f t="shared" si="705"/>
        <v>3000000</v>
      </c>
      <c r="JE155" s="566">
        <f t="shared" si="705"/>
        <v>453690</v>
      </c>
      <c r="JF155" s="566">
        <f t="shared" si="705"/>
        <v>25223010</v>
      </c>
      <c r="JG155" s="566">
        <f>ROUND(JG148-JG154,-1)+38973-18+6+5+7-1-3</f>
        <v>22890579</v>
      </c>
      <c r="JH155" s="566">
        <f t="shared" si="705"/>
        <v>868740</v>
      </c>
      <c r="JI155" s="314">
        <f t="shared" si="635"/>
        <v>960818679</v>
      </c>
      <c r="JL155" s="307">
        <f>SUMIFS($C155:$JH155,$C$5:$JH$5,JL$5)</f>
        <v>24913600</v>
      </c>
      <c r="JM155" s="307">
        <f>SUMIFS($C155:$JH155,$C$5:$JH$5,JM$5)</f>
        <v>334152430</v>
      </c>
      <c r="JN155" s="307">
        <f>SUMIFS($C155:$JH155,$C$5:$JH$5,JN$5)</f>
        <v>161289290</v>
      </c>
      <c r="JO155" s="307">
        <f>SUMIFS($C155:$JH155,$C$5:$JH$5,JO$5)</f>
        <v>440463359</v>
      </c>
      <c r="JP155" s="307">
        <f t="shared" ref="JP155" si="706">SUM(JL155:JO155)</f>
        <v>960818679</v>
      </c>
    </row>
    <row r="156" spans="1:276" x14ac:dyDescent="0.25">
      <c r="C156" s="626">
        <f>C9-C155</f>
        <v>265580</v>
      </c>
      <c r="D156" s="626">
        <f t="shared" ref="D156:F156" si="707">D9-D155</f>
        <v>0</v>
      </c>
      <c r="E156" s="626">
        <f t="shared" si="707"/>
        <v>1000820</v>
      </c>
      <c r="F156" s="626">
        <f t="shared" si="707"/>
        <v>1001955</v>
      </c>
      <c r="G156" s="626">
        <f t="shared" ref="G156" si="708">G9-G155</f>
        <v>419751</v>
      </c>
      <c r="H156" s="626">
        <f t="shared" ref="H156:I156" si="709">H9-H155</f>
        <v>1157858</v>
      </c>
      <c r="I156" s="626">
        <f t="shared" si="709"/>
        <v>3164198</v>
      </c>
      <c r="J156" s="626">
        <f t="shared" ref="J156" si="710">J9-J155</f>
        <v>2915400</v>
      </c>
      <c r="K156" s="626">
        <f t="shared" ref="K156:L156" si="711">K9-K155</f>
        <v>0</v>
      </c>
      <c r="L156" s="626">
        <f t="shared" si="711"/>
        <v>927430</v>
      </c>
      <c r="M156" s="626">
        <f t="shared" ref="M156" si="712">M9-M155</f>
        <v>1132220</v>
      </c>
      <c r="N156" s="626">
        <f t="shared" ref="N156:O156" si="713">N9-N155</f>
        <v>1055000</v>
      </c>
      <c r="O156" s="626">
        <f t="shared" si="713"/>
        <v>40001</v>
      </c>
      <c r="P156" s="626">
        <f t="shared" ref="P156" si="714">P9-P155</f>
        <v>241898</v>
      </c>
      <c r="Q156" s="626">
        <f t="shared" ref="Q156:R156" si="715">Q9-Q155</f>
        <v>958510</v>
      </c>
      <c r="R156" s="626">
        <f t="shared" si="715"/>
        <v>61000</v>
      </c>
      <c r="S156" s="626">
        <f t="shared" ref="S156" si="716">S9-S155</f>
        <v>97850</v>
      </c>
      <c r="T156" s="626">
        <f t="shared" ref="T156:U156" si="717">T9-T155</f>
        <v>75230</v>
      </c>
      <c r="U156" s="626">
        <f t="shared" si="717"/>
        <v>0</v>
      </c>
      <c r="V156" s="626">
        <f t="shared" ref="V156" si="718">V9-V155</f>
        <v>791380</v>
      </c>
      <c r="W156" s="626">
        <f t="shared" ref="W156:X156" si="719">W9-W155</f>
        <v>0</v>
      </c>
      <c r="X156" s="626">
        <f t="shared" si="719"/>
        <v>700310</v>
      </c>
      <c r="Y156" s="626">
        <f t="shared" ref="Y156" si="720">Y9-Y155</f>
        <v>0</v>
      </c>
      <c r="Z156" s="626">
        <f t="shared" ref="Z156:AA156" si="721">Z9-Z155</f>
        <v>4</v>
      </c>
      <c r="AA156" s="626">
        <f t="shared" si="721"/>
        <v>377073</v>
      </c>
      <c r="AB156" s="626">
        <f t="shared" ref="AB156:AC156" si="722">AB9-AB155</f>
        <v>1315500</v>
      </c>
      <c r="AC156" s="626">
        <f t="shared" si="722"/>
        <v>109000</v>
      </c>
      <c r="AD156" s="626">
        <f t="shared" ref="AD156:AE156" si="723">AD9-AD155</f>
        <v>81770</v>
      </c>
      <c r="AE156" s="626">
        <f t="shared" si="723"/>
        <v>701900</v>
      </c>
      <c r="AF156" s="626">
        <f t="shared" ref="AF156" si="724">AF9-AF155</f>
        <v>206052</v>
      </c>
      <c r="AG156" s="626">
        <f t="shared" ref="AG156:AH156" si="725">AG9-AG155</f>
        <v>145190</v>
      </c>
      <c r="AH156" s="626">
        <f t="shared" si="725"/>
        <v>0</v>
      </c>
      <c r="AI156" s="626">
        <f t="shared" ref="AI156" si="726">AI9-AI155</f>
        <v>0</v>
      </c>
      <c r="AJ156" s="626">
        <f t="shared" ref="AJ156:AK156" si="727">AJ9-AJ155</f>
        <v>0</v>
      </c>
      <c r="AK156" s="626">
        <f t="shared" si="727"/>
        <v>0</v>
      </c>
      <c r="AL156" s="626">
        <f t="shared" ref="AL156" si="728">AL9-AL155</f>
        <v>677090</v>
      </c>
      <c r="AM156" s="626">
        <f t="shared" ref="AM156:AN156" si="729">AM9-AM155</f>
        <v>134782</v>
      </c>
      <c r="AN156" s="626">
        <f t="shared" si="729"/>
        <v>149100</v>
      </c>
      <c r="AO156" s="626">
        <f t="shared" ref="AO156" si="730">AO9-AO155</f>
        <v>1155560</v>
      </c>
      <c r="AP156" s="626">
        <f t="shared" ref="AP156:AQ156" si="731">AP9-AP155</f>
        <v>0</v>
      </c>
      <c r="AQ156" s="626">
        <f t="shared" si="731"/>
        <v>163060</v>
      </c>
      <c r="AR156" s="626">
        <f t="shared" ref="AR156" si="732">AR9-AR155</f>
        <v>397260</v>
      </c>
      <c r="AS156" s="626">
        <f t="shared" ref="AS156:AT156" si="733">AS9-AS155</f>
        <v>186970</v>
      </c>
      <c r="AT156" s="626">
        <f t="shared" si="733"/>
        <v>724250</v>
      </c>
      <c r="AU156" s="626">
        <f t="shared" ref="AU156" si="734">AU9-AU155</f>
        <v>424080</v>
      </c>
      <c r="AV156" s="626">
        <f t="shared" ref="AV156:AW156" si="735">AV9-AV155</f>
        <v>231840</v>
      </c>
      <c r="AW156" s="626">
        <f t="shared" si="735"/>
        <v>3142100</v>
      </c>
      <c r="AX156" s="626">
        <f t="shared" ref="AX156" si="736">AX9-AX155</f>
        <v>424980</v>
      </c>
      <c r="AY156" s="626">
        <f t="shared" ref="AY156:AZ156" si="737">AY9-AY155</f>
        <v>197050</v>
      </c>
      <c r="AZ156" s="626">
        <f t="shared" si="737"/>
        <v>0</v>
      </c>
      <c r="BA156" s="626">
        <f t="shared" ref="BA156" si="738">BA9-BA155</f>
        <v>0</v>
      </c>
      <c r="BB156" s="626">
        <f t="shared" ref="BB156:BC156" si="739">BB9-BB155</f>
        <v>0</v>
      </c>
      <c r="BC156" s="626">
        <f t="shared" si="739"/>
        <v>445060</v>
      </c>
      <c r="BD156" s="626">
        <f t="shared" ref="BD156" si="740">BD9-BD155</f>
        <v>292340</v>
      </c>
      <c r="BE156" s="626">
        <f t="shared" ref="BE156:BF156" si="741">BE9-BE155</f>
        <v>1290900</v>
      </c>
      <c r="BF156" s="626">
        <f t="shared" si="741"/>
        <v>0</v>
      </c>
      <c r="BG156" s="626">
        <f t="shared" ref="BG156" si="742">BG9-BG155</f>
        <v>0</v>
      </c>
      <c r="BH156" s="626">
        <f t="shared" ref="BH156:BI156" si="743">BH9-BH155</f>
        <v>130890</v>
      </c>
      <c r="BI156" s="626">
        <f t="shared" si="743"/>
        <v>0</v>
      </c>
      <c r="BJ156" s="626">
        <f t="shared" ref="BJ156" si="744">BJ9-BJ155</f>
        <v>804540</v>
      </c>
      <c r="BK156" s="626">
        <f t="shared" ref="BK156:BL156" si="745">BK9-BK155</f>
        <v>0</v>
      </c>
      <c r="BL156" s="626">
        <f t="shared" si="745"/>
        <v>544860</v>
      </c>
      <c r="BM156" s="626">
        <f t="shared" ref="BM156" si="746">BM9-BM155</f>
        <v>6</v>
      </c>
      <c r="BN156" s="626">
        <f t="shared" ref="BN156:BO156" si="747">BN9-BN155</f>
        <v>260900</v>
      </c>
      <c r="BO156" s="626">
        <f t="shared" si="747"/>
        <v>92670</v>
      </c>
      <c r="BP156" s="626">
        <f t="shared" ref="BP156" si="748">BP9-BP155</f>
        <v>87000</v>
      </c>
      <c r="BQ156" s="626">
        <f t="shared" ref="BQ156:BR156" si="749">BQ9-BQ155</f>
        <v>112726</v>
      </c>
      <c r="BR156" s="626">
        <f t="shared" si="749"/>
        <v>1</v>
      </c>
      <c r="BS156" s="626">
        <f t="shared" ref="BS156" si="750">BS9-BS155</f>
        <v>120127</v>
      </c>
      <c r="BT156" s="626">
        <f t="shared" ref="BT156:BU156" si="751">BT9-BT155</f>
        <v>42482</v>
      </c>
      <c r="BU156" s="626">
        <f t="shared" si="751"/>
        <v>1615610</v>
      </c>
      <c r="BV156" s="626">
        <f t="shared" ref="BV156" si="752">BV9-BV155</f>
        <v>132710</v>
      </c>
      <c r="BW156" s="626">
        <f t="shared" ref="BW156:BX156" si="753">BW9-BW155</f>
        <v>57320</v>
      </c>
      <c r="BX156" s="626">
        <f t="shared" si="753"/>
        <v>469300</v>
      </c>
      <c r="BY156" s="626">
        <f t="shared" ref="BY156" si="754">BY9-BY155</f>
        <v>424860</v>
      </c>
      <c r="BZ156" s="626">
        <f t="shared" ref="BZ156:CA156" si="755">BZ9-BZ155</f>
        <v>73850</v>
      </c>
      <c r="CA156" s="626">
        <f t="shared" si="755"/>
        <v>0</v>
      </c>
      <c r="CB156" s="626">
        <f t="shared" ref="CB156" si="756">CB9-CB155</f>
        <v>162740</v>
      </c>
      <c r="CC156" s="626">
        <f t="shared" ref="CC156:CD156" si="757">CC9-CC155</f>
        <v>508940</v>
      </c>
      <c r="CD156" s="626">
        <f t="shared" si="757"/>
        <v>353150</v>
      </c>
      <c r="CE156" s="626">
        <f t="shared" ref="CE156" si="758">CE9-CE155</f>
        <v>1776950</v>
      </c>
      <c r="CF156" s="626">
        <f t="shared" ref="CF156:CG156" si="759">CF9-CF155</f>
        <v>267170</v>
      </c>
      <c r="CG156" s="626">
        <f t="shared" si="759"/>
        <v>1132840</v>
      </c>
      <c r="CH156" s="626">
        <f t="shared" ref="CH156" si="760">CH9-CH155</f>
        <v>3703000</v>
      </c>
      <c r="CI156" s="626">
        <f t="shared" ref="CI156:CJ156" si="761">CI9-CI155</f>
        <v>3270000</v>
      </c>
      <c r="CJ156" s="626">
        <f t="shared" si="761"/>
        <v>659315</v>
      </c>
      <c r="CK156" s="626">
        <f t="shared" ref="CK156" si="762">CK9-CK155</f>
        <v>76000</v>
      </c>
      <c r="CL156" s="626">
        <f t="shared" ref="CL156:CM156" si="763">CL9-CL155</f>
        <v>3015000</v>
      </c>
      <c r="CM156" s="626">
        <f t="shared" si="763"/>
        <v>1592174</v>
      </c>
      <c r="CN156" s="626">
        <f t="shared" ref="CN156" si="764">CN9-CN155</f>
        <v>224782</v>
      </c>
      <c r="CO156" s="626">
        <f t="shared" ref="CO156:CP156" si="765">CO9-CO155</f>
        <v>332268</v>
      </c>
      <c r="CP156" s="626">
        <f t="shared" si="765"/>
        <v>240422</v>
      </c>
      <c r="CQ156" s="626">
        <f t="shared" ref="CQ156" si="766">CQ9-CQ155</f>
        <v>955724</v>
      </c>
      <c r="CR156" s="626">
        <f t="shared" ref="CR156:CS156" si="767">CR9-CR155</f>
        <v>4</v>
      </c>
      <c r="CS156" s="626">
        <f t="shared" si="767"/>
        <v>3298929</v>
      </c>
      <c r="CT156" s="626">
        <f t="shared" ref="CT156" si="768">CT9-CT155</f>
        <v>5705918</v>
      </c>
      <c r="CU156" s="626">
        <f t="shared" ref="CU156:CV156" si="769">CU9-CU155</f>
        <v>0</v>
      </c>
      <c r="CV156" s="626">
        <f t="shared" si="769"/>
        <v>1315010</v>
      </c>
      <c r="CW156" s="626">
        <f t="shared" ref="CW156" si="770">CW9-CW155</f>
        <v>0</v>
      </c>
      <c r="CX156" s="626">
        <f t="shared" ref="CX156:CY156" si="771">CX9-CX155</f>
        <v>0</v>
      </c>
      <c r="CY156" s="626">
        <f t="shared" si="771"/>
        <v>358920</v>
      </c>
      <c r="CZ156" s="626">
        <f t="shared" ref="CZ156" si="772">CZ9-CZ155</f>
        <v>0</v>
      </c>
      <c r="DA156" s="626">
        <f t="shared" ref="DA156:DB156" si="773">DA9-DA155</f>
        <v>0</v>
      </c>
      <c r="DB156" s="626">
        <f t="shared" si="773"/>
        <v>21198</v>
      </c>
      <c r="DC156" s="626">
        <f t="shared" ref="DC156" si="774">DC9-DC155</f>
        <v>125480</v>
      </c>
      <c r="DD156" s="626">
        <f t="shared" ref="DD156:DE156" si="775">DD9-DD155</f>
        <v>5300000</v>
      </c>
      <c r="DE156" s="626">
        <f t="shared" si="775"/>
        <v>1214600</v>
      </c>
      <c r="DF156" s="626">
        <f t="shared" ref="DF156" si="776">DF9-DF155</f>
        <v>0</v>
      </c>
      <c r="DG156" s="626">
        <f t="shared" ref="DG156:DH156" si="777">DG9-DG155</f>
        <v>1062486</v>
      </c>
      <c r="DH156" s="626">
        <f t="shared" si="777"/>
        <v>1517194</v>
      </c>
      <c r="DI156" s="626">
        <f t="shared" ref="DI156" si="778">DI9-DI155</f>
        <v>1393074</v>
      </c>
      <c r="DJ156" s="626">
        <f t="shared" ref="DJ156:DK156" si="779">DJ9-DJ155</f>
        <v>1920826</v>
      </c>
      <c r="DK156" s="626">
        <f t="shared" si="779"/>
        <v>2417346</v>
      </c>
      <c r="DL156" s="626">
        <f t="shared" ref="DL156" si="780">DL9-DL155</f>
        <v>3489313</v>
      </c>
      <c r="DM156" s="626">
        <f t="shared" ref="DM156:DN156" si="781">DM9-DM155</f>
        <v>489500</v>
      </c>
      <c r="DN156" s="626">
        <f t="shared" si="781"/>
        <v>84997</v>
      </c>
      <c r="DO156" s="626">
        <f t="shared" ref="DO156" si="782">DO9-DO155</f>
        <v>331700</v>
      </c>
      <c r="DP156" s="626">
        <f t="shared" ref="DP156:DQ156" si="783">DP9-DP155</f>
        <v>270403</v>
      </c>
      <c r="DQ156" s="626">
        <f t="shared" si="783"/>
        <v>73995</v>
      </c>
      <c r="DR156" s="626">
        <f t="shared" ref="DR156" si="784">DR9-DR155</f>
        <v>5</v>
      </c>
      <c r="DS156" s="626">
        <f t="shared" ref="DS156:DT156" si="785">DS9-DS155</f>
        <v>0</v>
      </c>
      <c r="DT156" s="626">
        <f t="shared" si="785"/>
        <v>0</v>
      </c>
      <c r="DU156" s="626">
        <f t="shared" ref="DU156" si="786">DU9-DU155</f>
        <v>0</v>
      </c>
      <c r="DV156" s="626">
        <f t="shared" ref="DV156:DW156" si="787">DV9-DV155</f>
        <v>3</v>
      </c>
      <c r="DW156" s="626">
        <f t="shared" si="787"/>
        <v>0</v>
      </c>
      <c r="DX156" s="626">
        <f t="shared" ref="DX156" si="788">DX9-DX155</f>
        <v>0</v>
      </c>
      <c r="DY156" s="626">
        <f t="shared" ref="DY156:DZ156" si="789">DY9-DY155</f>
        <v>1488860</v>
      </c>
      <c r="DZ156" s="626">
        <f t="shared" si="789"/>
        <v>200070</v>
      </c>
      <c r="EA156" s="626">
        <f t="shared" ref="EA156" si="790">EA9-EA155</f>
        <v>15310</v>
      </c>
      <c r="EB156" s="626">
        <f t="shared" ref="EB156:EC156" si="791">EB9-EB155</f>
        <v>1603162</v>
      </c>
      <c r="EC156" s="626">
        <f t="shared" si="791"/>
        <v>1001980</v>
      </c>
      <c r="ED156" s="626">
        <f t="shared" ref="ED156" si="792">ED9-ED155</f>
        <v>155490</v>
      </c>
      <c r="EE156" s="626">
        <f t="shared" ref="EE156:EF156" si="793">EE9-EE155</f>
        <v>0</v>
      </c>
      <c r="EF156" s="626">
        <f t="shared" si="793"/>
        <v>0</v>
      </c>
      <c r="EG156" s="626">
        <f t="shared" ref="EG156" si="794">EG9-EG155</f>
        <v>0</v>
      </c>
      <c r="EH156" s="626">
        <f t="shared" ref="EH156:EI156" si="795">EH9-EH155</f>
        <v>0</v>
      </c>
      <c r="EI156" s="626">
        <f t="shared" si="795"/>
        <v>0</v>
      </c>
      <c r="EJ156" s="626">
        <f t="shared" ref="EJ156" si="796">EJ9-EJ155</f>
        <v>1254497</v>
      </c>
      <c r="EK156" s="626">
        <f t="shared" ref="EK156:EL156" si="797">EK9-EK155</f>
        <v>1477660</v>
      </c>
      <c r="EL156" s="626">
        <f t="shared" si="797"/>
        <v>2025520</v>
      </c>
      <c r="EM156" s="626">
        <f t="shared" ref="EM156" si="798">EM9-EM155</f>
        <v>1490310</v>
      </c>
      <c r="EN156" s="626">
        <f t="shared" ref="EN156:EO156" si="799">EN9-EN155</f>
        <v>2</v>
      </c>
      <c r="EO156" s="626">
        <f t="shared" si="799"/>
        <v>101940</v>
      </c>
      <c r="EP156" s="626">
        <f t="shared" ref="EP156" si="800">EP9-EP155</f>
        <v>5</v>
      </c>
      <c r="EQ156" s="626">
        <f t="shared" ref="EQ156:ER156" si="801">EQ9-EQ155</f>
        <v>947136</v>
      </c>
      <c r="ER156" s="626">
        <f t="shared" si="801"/>
        <v>0</v>
      </c>
      <c r="ES156" s="626">
        <f t="shared" ref="ES156" si="802">ES9-ES155</f>
        <v>590630</v>
      </c>
      <c r="ET156" s="626">
        <f t="shared" ref="ET156:EU156" si="803">ET9-ET155</f>
        <v>0</v>
      </c>
      <c r="EU156" s="626">
        <f t="shared" si="803"/>
        <v>0</v>
      </c>
      <c r="EV156" s="626">
        <f t="shared" ref="EV156" si="804">EV9-EV155</f>
        <v>206910</v>
      </c>
      <c r="EW156" s="626">
        <f t="shared" ref="EW156:EX156" si="805">EW9-EW155</f>
        <v>294940</v>
      </c>
      <c r="EX156" s="626">
        <f t="shared" si="805"/>
        <v>1625690</v>
      </c>
      <c r="EY156" s="626">
        <f t="shared" ref="EY156" si="806">EY9-EY155</f>
        <v>440830</v>
      </c>
      <c r="EZ156" s="626">
        <f t="shared" ref="EZ156:FA156" si="807">EZ9-EZ155</f>
        <v>270000</v>
      </c>
      <c r="FA156" s="626">
        <f t="shared" si="807"/>
        <v>0</v>
      </c>
      <c r="FB156" s="626">
        <f t="shared" ref="FB156" si="808">FB9-FB155</f>
        <v>55872</v>
      </c>
      <c r="FC156" s="626">
        <f t="shared" ref="FC156:FD156" si="809">FC9-FC155</f>
        <v>1957800</v>
      </c>
      <c r="FD156" s="626">
        <f t="shared" si="809"/>
        <v>1200000</v>
      </c>
      <c r="FE156" s="626">
        <f t="shared" ref="FE156" si="810">FE9-FE155</f>
        <v>46750</v>
      </c>
      <c r="FF156" s="626">
        <f t="shared" ref="FF156:FG156" si="811">FF9-FF155</f>
        <v>119610</v>
      </c>
      <c r="FG156" s="626">
        <f t="shared" si="811"/>
        <v>0</v>
      </c>
      <c r="FH156" s="626">
        <f t="shared" ref="FH156" si="812">FH9-FH155</f>
        <v>803993</v>
      </c>
      <c r="FI156" s="626">
        <f t="shared" ref="FI156:FJ156" si="813">FI9-FI155</f>
        <v>217610</v>
      </c>
      <c r="FJ156" s="626">
        <f t="shared" si="813"/>
        <v>345480</v>
      </c>
      <c r="FK156" s="626">
        <f t="shared" ref="FK156" si="814">FK9-FK155</f>
        <v>819840</v>
      </c>
      <c r="FL156" s="626">
        <f t="shared" ref="FL156:FM156" si="815">FL9-FL155</f>
        <v>675470</v>
      </c>
      <c r="FM156" s="626">
        <f t="shared" si="815"/>
        <v>3556980</v>
      </c>
      <c r="FN156" s="626">
        <f t="shared" ref="FN156" si="816">FN9-FN155</f>
        <v>1079389</v>
      </c>
      <c r="FO156" s="626">
        <f t="shared" ref="FO156:FP156" si="817">FO9-FO155</f>
        <v>1012058</v>
      </c>
      <c r="FP156" s="626">
        <f t="shared" si="817"/>
        <v>4406800</v>
      </c>
      <c r="FQ156" s="626">
        <f t="shared" ref="FQ156" si="818">FQ9-FQ155</f>
        <v>170606</v>
      </c>
      <c r="FR156" s="626">
        <f t="shared" ref="FR156:FS156" si="819">FR9-FR155</f>
        <v>3986708</v>
      </c>
      <c r="FS156" s="626">
        <f t="shared" si="819"/>
        <v>137490</v>
      </c>
      <c r="FT156" s="626">
        <f t="shared" ref="FT156" si="820">FT9-FT155</f>
        <v>1556110</v>
      </c>
      <c r="FU156" s="626">
        <f t="shared" ref="FU156:FV156" si="821">FU9-FU155</f>
        <v>86170</v>
      </c>
      <c r="FV156" s="626">
        <f t="shared" si="821"/>
        <v>545750</v>
      </c>
      <c r="FW156" s="626">
        <f t="shared" ref="FW156" si="822">FW9-FW155</f>
        <v>862320</v>
      </c>
      <c r="FX156" s="626">
        <f t="shared" ref="FX156:FY156" si="823">FX9-FX155</f>
        <v>315470</v>
      </c>
      <c r="FY156" s="626">
        <f t="shared" si="823"/>
        <v>0</v>
      </c>
      <c r="FZ156" s="626">
        <f t="shared" ref="FZ156" si="824">FZ9-FZ155</f>
        <v>5118850</v>
      </c>
      <c r="GA156" s="626">
        <f t="shared" ref="GA156:GB156" si="825">GA9-GA155</f>
        <v>742910</v>
      </c>
      <c r="GB156" s="626">
        <f t="shared" si="825"/>
        <v>2500040</v>
      </c>
      <c r="GC156" s="626">
        <f t="shared" ref="GC156" si="826">GC9-GC155</f>
        <v>556920</v>
      </c>
      <c r="GD156" s="626">
        <f t="shared" ref="GD156:GE156" si="827">GD9-GD155</f>
        <v>3467060</v>
      </c>
      <c r="GE156" s="626">
        <f t="shared" si="827"/>
        <v>1800000</v>
      </c>
      <c r="GF156" s="626">
        <f t="shared" ref="GF156" si="828">GF9-GF155</f>
        <v>1408022</v>
      </c>
      <c r="GG156" s="626">
        <f t="shared" ref="GG156:GH156" si="829">GG9-GG155</f>
        <v>127435</v>
      </c>
      <c r="GH156" s="626">
        <f t="shared" si="829"/>
        <v>7</v>
      </c>
      <c r="GI156" s="626">
        <f t="shared" ref="GI156" si="830">GI9-GI155</f>
        <v>2662574</v>
      </c>
      <c r="GJ156" s="626">
        <f t="shared" ref="GJ156:GK156" si="831">GJ9-GJ155</f>
        <v>356710</v>
      </c>
      <c r="GK156" s="626">
        <f t="shared" si="831"/>
        <v>500000</v>
      </c>
      <c r="GL156" s="626">
        <f t="shared" ref="GL156" si="832">GL9-GL155</f>
        <v>280050</v>
      </c>
      <c r="GM156" s="626">
        <f t="shared" ref="GM156:GN156" si="833">GM9-GM155</f>
        <v>237460</v>
      </c>
      <c r="GN156" s="626">
        <f t="shared" si="833"/>
        <v>229230</v>
      </c>
      <c r="GO156" s="626">
        <f t="shared" ref="GO156" si="834">GO9-GO155</f>
        <v>309141</v>
      </c>
      <c r="GP156" s="626">
        <f t="shared" ref="GP156:GQ156" si="835">GP9-GP155</f>
        <v>1404540</v>
      </c>
      <c r="GQ156" s="626">
        <f t="shared" si="835"/>
        <v>690410</v>
      </c>
      <c r="GR156" s="626">
        <f t="shared" ref="GR156" si="836">GR9-GR155</f>
        <v>0</v>
      </c>
      <c r="GS156" s="626">
        <f t="shared" ref="GS156:GT156" si="837">GS9-GS155</f>
        <v>180000</v>
      </c>
      <c r="GT156" s="626">
        <f t="shared" si="837"/>
        <v>237210</v>
      </c>
      <c r="GU156" s="626">
        <f t="shared" ref="GU156" si="838">GU9-GU155</f>
        <v>0</v>
      </c>
      <c r="GV156" s="626">
        <f t="shared" ref="GV156:GW156" si="839">GV9-GV155</f>
        <v>0</v>
      </c>
      <c r="GW156" s="626">
        <f t="shared" si="839"/>
        <v>508280</v>
      </c>
      <c r="GX156" s="626">
        <f t="shared" ref="GX156" si="840">GX9-GX155</f>
        <v>0</v>
      </c>
      <c r="GY156" s="626">
        <f t="shared" ref="GY156:GZ156" si="841">GY9-GY155</f>
        <v>4830300</v>
      </c>
      <c r="GZ156" s="626">
        <f t="shared" si="841"/>
        <v>2110821</v>
      </c>
      <c r="HA156" s="626">
        <f t="shared" ref="HA156" si="842">HA9-HA155</f>
        <v>0</v>
      </c>
      <c r="HB156" s="626">
        <f t="shared" ref="HB156:HC156" si="843">HB9-HB155</f>
        <v>3358180</v>
      </c>
      <c r="HC156" s="626">
        <f t="shared" si="843"/>
        <v>5665340</v>
      </c>
      <c r="HD156" s="626">
        <f t="shared" ref="HD156" si="844">HD9-HD155</f>
        <v>280130</v>
      </c>
      <c r="HE156" s="626">
        <f t="shared" ref="HE156:HF156" si="845">HE9-HE155</f>
        <v>0</v>
      </c>
      <c r="HF156" s="626">
        <f t="shared" si="845"/>
        <v>119080</v>
      </c>
      <c r="HG156" s="626">
        <f t="shared" ref="HG156" si="846">HG9-HG155</f>
        <v>381240</v>
      </c>
      <c r="HH156" s="626">
        <f t="shared" ref="HH156:HI156" si="847">HH9-HH155</f>
        <v>2079420</v>
      </c>
      <c r="HI156" s="626">
        <f t="shared" si="847"/>
        <v>1256060</v>
      </c>
      <c r="HJ156" s="626">
        <f t="shared" ref="HJ156" si="848">HJ9-HJ155</f>
        <v>0</v>
      </c>
      <c r="HK156" s="626">
        <f t="shared" ref="HK156:HL156" si="849">HK9-HK155</f>
        <v>209300</v>
      </c>
      <c r="HL156" s="626">
        <f t="shared" si="849"/>
        <v>25168510</v>
      </c>
      <c r="HM156" s="626">
        <f t="shared" ref="HM156" si="850">HM9-HM155</f>
        <v>12896890</v>
      </c>
      <c r="HN156" s="626">
        <f t="shared" ref="HN156:HO156" si="851">HN9-HN155</f>
        <v>1010000</v>
      </c>
      <c r="HO156" s="626">
        <f t="shared" si="851"/>
        <v>0</v>
      </c>
      <c r="HP156" s="626">
        <f t="shared" ref="HP156" si="852">HP9-HP155</f>
        <v>7810780</v>
      </c>
      <c r="HQ156" s="626">
        <f t="shared" ref="HQ156:HR156" si="853">HQ9-HQ155</f>
        <v>12640</v>
      </c>
      <c r="HR156" s="626">
        <f t="shared" si="853"/>
        <v>3473990</v>
      </c>
      <c r="HS156" s="626">
        <f t="shared" ref="HS156" si="854">HS9-HS155</f>
        <v>169400</v>
      </c>
      <c r="HT156" s="626">
        <f t="shared" ref="HT156:HU156" si="855">HT9-HT155</f>
        <v>5062310</v>
      </c>
      <c r="HU156" s="626">
        <f t="shared" si="855"/>
        <v>8625010</v>
      </c>
      <c r="HV156" s="626">
        <f t="shared" ref="HV156" si="856">HV9-HV155</f>
        <v>4663870</v>
      </c>
      <c r="HW156" s="626">
        <f t="shared" ref="HW156:HX156" si="857">HW9-HW155</f>
        <v>1224538</v>
      </c>
      <c r="HX156" s="626">
        <f t="shared" si="857"/>
        <v>10745152</v>
      </c>
      <c r="HY156" s="626">
        <f t="shared" ref="HY156" si="858">HY9-HY155</f>
        <v>2945840</v>
      </c>
      <c r="HZ156" s="626">
        <f t="shared" ref="HZ156:IA156" si="859">HZ9-HZ155</f>
        <v>4495160</v>
      </c>
      <c r="IA156" s="626">
        <f t="shared" si="859"/>
        <v>2065240</v>
      </c>
      <c r="IB156" s="626">
        <f t="shared" ref="IB156" si="860">IB9-IB155</f>
        <v>4177070</v>
      </c>
      <c r="IC156" s="626">
        <f t="shared" ref="IC156:ID156" si="861">IC9-IC155</f>
        <v>4521780</v>
      </c>
      <c r="ID156" s="626">
        <f t="shared" si="861"/>
        <v>3350720</v>
      </c>
      <c r="IE156" s="626">
        <f t="shared" ref="IE156" si="862">IE9-IE155</f>
        <v>4084110</v>
      </c>
      <c r="IF156" s="626">
        <f t="shared" ref="IF156:IG156" si="863">IF9-IF155</f>
        <v>12556570</v>
      </c>
      <c r="IG156" s="626">
        <f t="shared" si="863"/>
        <v>4955360</v>
      </c>
      <c r="IH156" s="626">
        <f t="shared" ref="IH156" si="864">IH9-IH155</f>
        <v>1927434</v>
      </c>
      <c r="II156" s="626">
        <f t="shared" ref="II156:IJ156" si="865">II9-II155</f>
        <v>7822509</v>
      </c>
      <c r="IJ156" s="626">
        <f t="shared" si="865"/>
        <v>481620</v>
      </c>
      <c r="IK156" s="626">
        <f t="shared" ref="IK156" si="866">IK9-IK155</f>
        <v>459567</v>
      </c>
      <c r="IL156" s="626">
        <f t="shared" ref="IL156:IM156" si="867">IL9-IL155</f>
        <v>2608340</v>
      </c>
      <c r="IM156" s="626">
        <f t="shared" si="867"/>
        <v>244160</v>
      </c>
      <c r="IN156" s="626">
        <f t="shared" ref="IN156" si="868">IN9-IN155</f>
        <v>4208000</v>
      </c>
      <c r="IO156" s="626">
        <f t="shared" ref="IO156:IP156" si="869">IO9-IO155</f>
        <v>1385550</v>
      </c>
      <c r="IP156" s="626">
        <f t="shared" si="869"/>
        <v>2959130</v>
      </c>
      <c r="IQ156" s="626">
        <f t="shared" ref="IQ156" si="870">IQ9-IQ155</f>
        <v>4271190</v>
      </c>
      <c r="IR156" s="626">
        <f t="shared" ref="IR156:IS156" si="871">IR9-IR155</f>
        <v>173780</v>
      </c>
      <c r="IS156" s="626">
        <f t="shared" si="871"/>
        <v>8550860</v>
      </c>
      <c r="IT156" s="626">
        <f t="shared" ref="IT156" si="872">IT9-IT155</f>
        <v>3178610</v>
      </c>
      <c r="IU156" s="626">
        <f t="shared" ref="IU156:IV156" si="873">IU9-IU155</f>
        <v>1955118</v>
      </c>
      <c r="IV156" s="626">
        <f t="shared" si="873"/>
        <v>2914286</v>
      </c>
      <c r="IW156" s="626">
        <f t="shared" ref="IW156" si="874">IW9-IW155</f>
        <v>5379615</v>
      </c>
      <c r="IX156" s="626">
        <f t="shared" ref="IX156:IY156" si="875">IX9-IX155</f>
        <v>1113075</v>
      </c>
      <c r="IY156" s="626">
        <f t="shared" si="875"/>
        <v>7271900</v>
      </c>
      <c r="IZ156" s="626">
        <f t="shared" ref="IZ156" si="876">IZ9-IZ155</f>
        <v>7728510</v>
      </c>
      <c r="JA156" s="626">
        <f t="shared" ref="JA156:JB156" si="877">JA9-JA155</f>
        <v>569490</v>
      </c>
      <c r="JB156" s="626">
        <f t="shared" si="877"/>
        <v>273000</v>
      </c>
      <c r="JC156" s="626">
        <f t="shared" ref="JC156" si="878">JC9-JC155</f>
        <v>665000</v>
      </c>
      <c r="JD156" s="626">
        <f t="shared" ref="JD156:JE156" si="879">JD9-JD155</f>
        <v>0</v>
      </c>
      <c r="JE156" s="626">
        <f t="shared" si="879"/>
        <v>268810</v>
      </c>
      <c r="JF156" s="626">
        <f t="shared" ref="JF156" si="880">JF9-JF155</f>
        <v>8844790</v>
      </c>
      <c r="JG156" s="626">
        <f t="shared" ref="JG156:JH156" si="881">JG9-JG155</f>
        <v>6247461</v>
      </c>
      <c r="JH156" s="626">
        <f t="shared" si="881"/>
        <v>2508532</v>
      </c>
      <c r="JI156" s="626">
        <f t="shared" ref="JI156" si="882">JI9-JI155</f>
        <v>373391745</v>
      </c>
      <c r="JJ156" s="679">
        <f>JJ155-JI155</f>
        <v>-960818679</v>
      </c>
      <c r="JL156" s="626"/>
      <c r="JM156" s="626"/>
      <c r="JN156" s="626"/>
      <c r="JO156" s="626"/>
      <c r="JP156" s="626"/>
    </row>
    <row r="157" spans="1:276" x14ac:dyDescent="0.25">
      <c r="B157" s="465" t="str">
        <f>B150</f>
        <v>Celkem 2019 (přes KHK)</v>
      </c>
      <c r="C157" s="465">
        <f>C150</f>
        <v>7649000</v>
      </c>
      <c r="D157" s="465">
        <f t="shared" ref="D157:BP157" si="883">D150</f>
        <v>6323100</v>
      </c>
      <c r="E157" s="465">
        <f t="shared" si="883"/>
        <v>8196405</v>
      </c>
      <c r="F157" s="465">
        <f t="shared" si="883"/>
        <v>3484600</v>
      </c>
      <c r="G157" s="465">
        <f t="shared" si="883"/>
        <v>8898350</v>
      </c>
      <c r="H157" s="465">
        <f t="shared" si="883"/>
        <v>851000</v>
      </c>
      <c r="I157" s="465">
        <f t="shared" si="883"/>
        <v>2220902</v>
      </c>
      <c r="J157" s="465">
        <f t="shared" si="883"/>
        <v>2592445</v>
      </c>
      <c r="K157" s="465">
        <f t="shared" si="883"/>
        <v>5369542</v>
      </c>
      <c r="L157" s="465">
        <f t="shared" si="883"/>
        <v>3774970</v>
      </c>
      <c r="M157" s="465">
        <f t="shared" si="883"/>
        <v>3637289</v>
      </c>
      <c r="N157" s="465">
        <f>N150</f>
        <v>5245000</v>
      </c>
      <c r="O157" s="465">
        <f t="shared" si="883"/>
        <v>4154929</v>
      </c>
      <c r="P157" s="465">
        <f t="shared" si="883"/>
        <v>2345016</v>
      </c>
      <c r="Q157" s="465">
        <f t="shared" si="883"/>
        <v>1465267</v>
      </c>
      <c r="R157" s="465">
        <f t="shared" si="883"/>
        <v>2124718.1</v>
      </c>
      <c r="S157" s="465">
        <f t="shared" si="883"/>
        <v>1637152.8</v>
      </c>
      <c r="T157" s="465">
        <f t="shared" si="883"/>
        <v>591336</v>
      </c>
      <c r="U157" s="465">
        <f t="shared" si="883"/>
        <v>1099204</v>
      </c>
      <c r="V157" s="465">
        <f t="shared" si="883"/>
        <v>9233620</v>
      </c>
      <c r="W157" s="465">
        <f t="shared" si="883"/>
        <v>1825000</v>
      </c>
      <c r="X157" s="465">
        <f t="shared" si="883"/>
        <v>1309890</v>
      </c>
      <c r="Y157" s="465">
        <f t="shared" si="883"/>
        <v>1757810</v>
      </c>
      <c r="Z157" s="465">
        <f t="shared" si="883"/>
        <v>6852000</v>
      </c>
      <c r="AA157" s="465">
        <f t="shared" si="883"/>
        <v>3849820</v>
      </c>
      <c r="AB157" s="465">
        <f t="shared" si="883"/>
        <v>3047940</v>
      </c>
      <c r="AC157" s="465">
        <f t="shared" ref="AC157" si="884">AC150</f>
        <v>2007500</v>
      </c>
      <c r="AD157" s="465">
        <f t="shared" si="883"/>
        <v>1845240</v>
      </c>
      <c r="AE157" s="465">
        <f t="shared" si="883"/>
        <v>1056608</v>
      </c>
      <c r="AF157" s="465">
        <f t="shared" si="883"/>
        <v>2104207</v>
      </c>
      <c r="AG157" s="465">
        <f t="shared" si="883"/>
        <v>3325752</v>
      </c>
      <c r="AH157" s="465">
        <f t="shared" si="883"/>
        <v>767266</v>
      </c>
      <c r="AI157" s="465">
        <f t="shared" si="883"/>
        <v>2893700</v>
      </c>
      <c r="AJ157" s="465">
        <f t="shared" si="883"/>
        <v>2450300</v>
      </c>
      <c r="AK157" s="465">
        <f t="shared" si="883"/>
        <v>1197405</v>
      </c>
      <c r="AL157" s="465">
        <f t="shared" si="883"/>
        <v>1860416</v>
      </c>
      <c r="AM157" s="465">
        <f t="shared" si="883"/>
        <v>1374492</v>
      </c>
      <c r="AN157" s="465">
        <f t="shared" si="883"/>
        <v>1027900</v>
      </c>
      <c r="AO157" s="465">
        <f t="shared" si="883"/>
        <v>3729028</v>
      </c>
      <c r="AP157" s="465">
        <f t="shared" si="883"/>
        <v>2259775</v>
      </c>
      <c r="AQ157" s="465">
        <f t="shared" si="883"/>
        <v>327938</v>
      </c>
      <c r="AR157" s="465">
        <f t="shared" si="883"/>
        <v>1130591</v>
      </c>
      <c r="AS157" s="465">
        <f t="shared" si="883"/>
        <v>450572</v>
      </c>
      <c r="AT157" s="465">
        <f t="shared" si="883"/>
        <v>2175746</v>
      </c>
      <c r="AU157" s="465">
        <f t="shared" si="883"/>
        <v>894272</v>
      </c>
      <c r="AV157" s="465">
        <f t="shared" si="883"/>
        <v>1866618</v>
      </c>
      <c r="AW157" s="465">
        <f t="shared" si="883"/>
        <v>3070875</v>
      </c>
      <c r="AX157" s="465">
        <f>AX150</f>
        <v>2970020</v>
      </c>
      <c r="AY157" s="465">
        <f t="shared" si="883"/>
        <v>3091452</v>
      </c>
      <c r="AZ157" s="465">
        <f t="shared" si="883"/>
        <v>2931235</v>
      </c>
      <c r="BA157" s="465">
        <f t="shared" si="883"/>
        <v>7415268</v>
      </c>
      <c r="BB157" s="465">
        <f t="shared" si="883"/>
        <v>1020124</v>
      </c>
      <c r="BC157" s="465">
        <f t="shared" si="883"/>
        <v>1008745</v>
      </c>
      <c r="BD157" s="465">
        <f t="shared" si="883"/>
        <v>1277820</v>
      </c>
      <c r="BE157" s="465">
        <f t="shared" si="883"/>
        <v>1204150</v>
      </c>
      <c r="BF157" s="465">
        <f t="shared" si="883"/>
        <v>1888960</v>
      </c>
      <c r="BG157" s="465">
        <f t="shared" si="883"/>
        <v>2344216</v>
      </c>
      <c r="BH157" s="465">
        <f t="shared" si="883"/>
        <v>2948068</v>
      </c>
      <c r="BI157" s="465">
        <f t="shared" si="883"/>
        <v>1468100</v>
      </c>
      <c r="BJ157" s="465">
        <f t="shared" si="883"/>
        <v>2652621</v>
      </c>
      <c r="BK157" s="465">
        <f t="shared" si="883"/>
        <v>852000</v>
      </c>
      <c r="BL157" s="465">
        <f t="shared" si="883"/>
        <v>0</v>
      </c>
      <c r="BM157" s="465">
        <f t="shared" si="883"/>
        <v>615100</v>
      </c>
      <c r="BN157" s="465">
        <f t="shared" si="883"/>
        <v>1582000</v>
      </c>
      <c r="BO157" s="465">
        <f t="shared" si="883"/>
        <v>762010</v>
      </c>
      <c r="BP157" s="465">
        <f t="shared" si="883"/>
        <v>3919307</v>
      </c>
      <c r="BQ157" s="465">
        <f t="shared" ref="BQ157:EB157" si="885">BQ150</f>
        <v>815436</v>
      </c>
      <c r="BR157" s="465">
        <f t="shared" si="885"/>
        <v>874340</v>
      </c>
      <c r="BS157" s="465">
        <f t="shared" si="885"/>
        <v>1297900</v>
      </c>
      <c r="BT157" s="465">
        <f t="shared" si="885"/>
        <v>860100</v>
      </c>
      <c r="BU157" s="465">
        <f t="shared" si="885"/>
        <v>3939338</v>
      </c>
      <c r="BV157" s="465">
        <f t="shared" si="885"/>
        <v>588910</v>
      </c>
      <c r="BW157" s="465">
        <f t="shared" si="885"/>
        <v>532683</v>
      </c>
      <c r="BX157" s="465">
        <f t="shared" si="885"/>
        <v>4055253</v>
      </c>
      <c r="BY157" s="465">
        <f t="shared" si="885"/>
        <v>1520144</v>
      </c>
      <c r="BZ157" s="465">
        <f t="shared" si="885"/>
        <v>324150</v>
      </c>
      <c r="CA157" s="465">
        <f t="shared" si="885"/>
        <v>0</v>
      </c>
      <c r="CB157" s="465">
        <f t="shared" si="885"/>
        <v>532263</v>
      </c>
      <c r="CC157" s="465">
        <f t="shared" si="885"/>
        <v>2120418</v>
      </c>
      <c r="CD157" s="465">
        <f t="shared" si="885"/>
        <v>647336</v>
      </c>
      <c r="CE157" s="465">
        <f t="shared" si="885"/>
        <v>8268855</v>
      </c>
      <c r="CF157" s="465">
        <f t="shared" si="885"/>
        <v>4326000</v>
      </c>
      <c r="CG157" s="465">
        <f t="shared" si="885"/>
        <v>8224486</v>
      </c>
      <c r="CH157" s="465">
        <f t="shared" si="885"/>
        <v>3654346</v>
      </c>
      <c r="CI157" s="465">
        <f t="shared" si="885"/>
        <v>2882766</v>
      </c>
      <c r="CJ157" s="465">
        <f t="shared" si="885"/>
        <v>3459530</v>
      </c>
      <c r="CK157" s="465">
        <f t="shared" si="885"/>
        <v>4176623</v>
      </c>
      <c r="CL157" s="465">
        <f t="shared" si="885"/>
        <v>2384969</v>
      </c>
      <c r="CM157" s="465">
        <f t="shared" si="885"/>
        <v>5320660</v>
      </c>
      <c r="CN157" s="465">
        <f t="shared" si="885"/>
        <v>1282575.1399999999</v>
      </c>
      <c r="CO157" s="465">
        <f t="shared" si="885"/>
        <v>1214500</v>
      </c>
      <c r="CP157" s="465">
        <f t="shared" si="885"/>
        <v>1238425.46</v>
      </c>
      <c r="CQ157" s="465">
        <f t="shared" si="885"/>
        <v>4606266</v>
      </c>
      <c r="CR157" s="465">
        <f t="shared" si="885"/>
        <v>1616800</v>
      </c>
      <c r="CS157" s="465">
        <f t="shared" si="885"/>
        <v>0</v>
      </c>
      <c r="CT157" s="465">
        <f t="shared" si="885"/>
        <v>5070000</v>
      </c>
      <c r="CU157" s="465">
        <f t="shared" si="885"/>
        <v>1400500</v>
      </c>
      <c r="CV157" s="465">
        <f t="shared" si="885"/>
        <v>5031500</v>
      </c>
      <c r="CW157" s="465">
        <f t="shared" si="885"/>
        <v>271401</v>
      </c>
      <c r="CX157" s="465">
        <f t="shared" si="885"/>
        <v>3128000</v>
      </c>
      <c r="CY157" s="465">
        <f t="shared" si="885"/>
        <v>2748954</v>
      </c>
      <c r="CZ157" s="465">
        <f t="shared" si="885"/>
        <v>1006700</v>
      </c>
      <c r="DA157" s="465">
        <f t="shared" si="885"/>
        <v>5580860</v>
      </c>
      <c r="DB157" s="465">
        <f t="shared" si="885"/>
        <v>665328</v>
      </c>
      <c r="DC157" s="465">
        <f t="shared" si="885"/>
        <v>1623500</v>
      </c>
      <c r="DD157" s="465">
        <f t="shared" si="885"/>
        <v>4680513</v>
      </c>
      <c r="DE157" s="465">
        <f t="shared" si="885"/>
        <v>7167606</v>
      </c>
      <c r="DF157" s="465">
        <f t="shared" si="885"/>
        <v>5216852</v>
      </c>
      <c r="DG157" s="465">
        <f t="shared" si="885"/>
        <v>605740</v>
      </c>
      <c r="DH157" s="465">
        <f t="shared" si="885"/>
        <v>1606367.6400000001</v>
      </c>
      <c r="DI157" s="465">
        <f t="shared" si="885"/>
        <v>1093940</v>
      </c>
      <c r="DJ157" s="465">
        <f t="shared" si="885"/>
        <v>1816958</v>
      </c>
      <c r="DK157" s="465">
        <f t="shared" si="885"/>
        <v>910471</v>
      </c>
      <c r="DL157" s="465">
        <f t="shared" si="885"/>
        <v>3817224</v>
      </c>
      <c r="DM157" s="465">
        <f t="shared" si="885"/>
        <v>1734348</v>
      </c>
      <c r="DN157" s="465">
        <f t="shared" si="885"/>
        <v>2980765</v>
      </c>
      <c r="DO157" s="465">
        <f t="shared" si="885"/>
        <v>1397775</v>
      </c>
      <c r="DP157" s="465">
        <f t="shared" si="885"/>
        <v>4045363.78</v>
      </c>
      <c r="DQ157" s="465">
        <f t="shared" si="885"/>
        <v>3907852</v>
      </c>
      <c r="DR157" s="465">
        <f t="shared" si="885"/>
        <v>4477376</v>
      </c>
      <c r="DS157" s="465">
        <f t="shared" si="885"/>
        <v>331000</v>
      </c>
      <c r="DT157" s="465">
        <f t="shared" si="885"/>
        <v>2906291</v>
      </c>
      <c r="DU157" s="465">
        <f t="shared" si="885"/>
        <v>2100600</v>
      </c>
      <c r="DV157" s="465">
        <f t="shared" si="885"/>
        <v>3145477</v>
      </c>
      <c r="DW157" s="465">
        <f t="shared" si="885"/>
        <v>1211410</v>
      </c>
      <c r="DX157" s="465">
        <f t="shared" si="885"/>
        <v>4030918</v>
      </c>
      <c r="DY157" s="465">
        <f t="shared" si="885"/>
        <v>3755150</v>
      </c>
      <c r="DZ157" s="465">
        <f t="shared" si="885"/>
        <v>716300</v>
      </c>
      <c r="EA157" s="465">
        <f t="shared" si="885"/>
        <v>3895188</v>
      </c>
      <c r="EB157" s="465">
        <f t="shared" si="885"/>
        <v>3882690</v>
      </c>
      <c r="EC157" s="465">
        <f t="shared" ref="EC157:GN157" si="886">EC150</f>
        <v>3345254</v>
      </c>
      <c r="ED157" s="465">
        <f t="shared" si="886"/>
        <v>3472808</v>
      </c>
      <c r="EE157" s="465">
        <f t="shared" si="886"/>
        <v>563624</v>
      </c>
      <c r="EF157" s="465">
        <f t="shared" si="886"/>
        <v>669087.59</v>
      </c>
      <c r="EG157" s="465">
        <f t="shared" si="886"/>
        <v>427828.99</v>
      </c>
      <c r="EH157" s="465">
        <f t="shared" si="886"/>
        <v>559670</v>
      </c>
      <c r="EI157" s="465">
        <f t="shared" si="886"/>
        <v>910753</v>
      </c>
      <c r="EJ157" s="465">
        <f t="shared" si="886"/>
        <v>1034374</v>
      </c>
      <c r="EK157" s="465">
        <f t="shared" si="886"/>
        <v>3932042</v>
      </c>
      <c r="EL157" s="465">
        <f t="shared" si="886"/>
        <v>8624026</v>
      </c>
      <c r="EM157" s="465">
        <f t="shared" si="886"/>
        <v>2698808</v>
      </c>
      <c r="EN157" s="465">
        <f t="shared" si="886"/>
        <v>2394473</v>
      </c>
      <c r="EO157" s="465">
        <f t="shared" si="886"/>
        <v>236418</v>
      </c>
      <c r="EP157" s="465">
        <f t="shared" si="886"/>
        <v>2171123</v>
      </c>
      <c r="EQ157" s="465">
        <f t="shared" si="886"/>
        <v>1844122</v>
      </c>
      <c r="ER157" s="465">
        <f t="shared" si="886"/>
        <v>5251868</v>
      </c>
      <c r="ES157" s="465">
        <f t="shared" si="886"/>
        <v>2770560</v>
      </c>
      <c r="ET157" s="465">
        <f t="shared" si="886"/>
        <v>0</v>
      </c>
      <c r="EU157" s="465">
        <f t="shared" si="886"/>
        <v>804000</v>
      </c>
      <c r="EV157" s="465">
        <f t="shared" si="886"/>
        <v>225535</v>
      </c>
      <c r="EW157" s="465">
        <f t="shared" si="886"/>
        <v>2356313</v>
      </c>
      <c r="EX157" s="465">
        <f t="shared" si="886"/>
        <v>5404290</v>
      </c>
      <c r="EY157" s="465">
        <f t="shared" si="886"/>
        <v>2044845</v>
      </c>
      <c r="EZ157" s="465">
        <f t="shared" si="886"/>
        <v>111326</v>
      </c>
      <c r="FA157" s="465">
        <f t="shared" si="886"/>
        <v>793692</v>
      </c>
      <c r="FB157" s="465">
        <f t="shared" si="886"/>
        <v>139761</v>
      </c>
      <c r="FC157" s="465">
        <f t="shared" si="886"/>
        <v>3000000</v>
      </c>
      <c r="FD157" s="465">
        <f t="shared" si="886"/>
        <v>772461</v>
      </c>
      <c r="FE157" s="465">
        <f t="shared" si="886"/>
        <v>262500</v>
      </c>
      <c r="FF157" s="465">
        <f t="shared" si="886"/>
        <v>1117120</v>
      </c>
      <c r="FG157" s="465">
        <f t="shared" si="886"/>
        <v>4683650</v>
      </c>
      <c r="FH157" s="465">
        <f t="shared" si="886"/>
        <v>5519580</v>
      </c>
      <c r="FI157" s="465">
        <f t="shared" si="886"/>
        <v>5568487</v>
      </c>
      <c r="FJ157" s="465">
        <f t="shared" si="886"/>
        <v>1579046</v>
      </c>
      <c r="FK157" s="465">
        <f t="shared" si="886"/>
        <v>281852</v>
      </c>
      <c r="FL157" s="465">
        <f t="shared" si="886"/>
        <v>601762</v>
      </c>
      <c r="FM157" s="465">
        <f t="shared" si="886"/>
        <v>2626403</v>
      </c>
      <c r="FN157" s="465">
        <f t="shared" si="886"/>
        <v>6459380</v>
      </c>
      <c r="FO157" s="465">
        <f t="shared" si="886"/>
        <v>1659657</v>
      </c>
      <c r="FP157" s="465">
        <f t="shared" si="886"/>
        <v>12144452</v>
      </c>
      <c r="FQ157" s="465">
        <f t="shared" si="886"/>
        <v>1909423</v>
      </c>
      <c r="FR157" s="465">
        <f t="shared" si="886"/>
        <v>0</v>
      </c>
      <c r="FS157" s="465">
        <f t="shared" si="886"/>
        <v>477570</v>
      </c>
      <c r="FT157" s="465">
        <f t="shared" si="886"/>
        <v>2948610</v>
      </c>
      <c r="FU157" s="465">
        <f t="shared" si="886"/>
        <v>426547</v>
      </c>
      <c r="FV157" s="465">
        <f t="shared" si="886"/>
        <v>559074</v>
      </c>
      <c r="FW157" s="465">
        <f t="shared" si="886"/>
        <v>1013735</v>
      </c>
      <c r="FX157" s="465">
        <f t="shared" si="886"/>
        <v>364926</v>
      </c>
      <c r="FY157" s="465">
        <f t="shared" si="886"/>
        <v>209591</v>
      </c>
      <c r="FZ157" s="465">
        <f t="shared" si="886"/>
        <v>2576210</v>
      </c>
      <c r="GA157" s="465">
        <f t="shared" si="886"/>
        <v>234850</v>
      </c>
      <c r="GB157" s="465">
        <f t="shared" si="886"/>
        <v>1751320</v>
      </c>
      <c r="GC157" s="465">
        <f t="shared" si="886"/>
        <v>2155529</v>
      </c>
      <c r="GD157" s="465">
        <f t="shared" si="886"/>
        <v>7122291</v>
      </c>
      <c r="GE157" s="465">
        <f t="shared" si="886"/>
        <v>1339065</v>
      </c>
      <c r="GF157" s="465">
        <f t="shared" si="886"/>
        <v>3590557</v>
      </c>
      <c r="GG157" s="465">
        <f t="shared" si="886"/>
        <v>1289981</v>
      </c>
      <c r="GH157" s="465">
        <f t="shared" si="886"/>
        <v>1089582</v>
      </c>
      <c r="GI157" s="465">
        <f t="shared" si="886"/>
        <v>6898917</v>
      </c>
      <c r="GJ157" s="465">
        <f t="shared" si="886"/>
        <v>1667501</v>
      </c>
      <c r="GK157" s="465">
        <f t="shared" si="886"/>
        <v>666130</v>
      </c>
      <c r="GL157" s="465">
        <f t="shared" si="886"/>
        <v>529296</v>
      </c>
      <c r="GM157" s="465">
        <f t="shared" si="886"/>
        <v>753240</v>
      </c>
      <c r="GN157" s="465">
        <f t="shared" si="886"/>
        <v>603116</v>
      </c>
      <c r="GO157" s="465">
        <f t="shared" ref="GO157:IZ157" si="887">GO150</f>
        <v>3581549</v>
      </c>
      <c r="GP157" s="465">
        <f t="shared" si="887"/>
        <v>520270</v>
      </c>
      <c r="GQ157" s="465">
        <f t="shared" si="887"/>
        <v>740230</v>
      </c>
      <c r="GR157" s="465">
        <f t="shared" si="887"/>
        <v>693152</v>
      </c>
      <c r="GS157" s="465">
        <f t="shared" si="887"/>
        <v>165886</v>
      </c>
      <c r="GT157" s="465">
        <f t="shared" si="887"/>
        <v>8345502</v>
      </c>
      <c r="GU157" s="465">
        <f t="shared" si="887"/>
        <v>761571</v>
      </c>
      <c r="GV157" s="465">
        <f t="shared" si="887"/>
        <v>4959810</v>
      </c>
      <c r="GW157" s="465">
        <f t="shared" si="887"/>
        <v>1133866</v>
      </c>
      <c r="GX157" s="465">
        <f t="shared" si="887"/>
        <v>154333</v>
      </c>
      <c r="GY157" s="465">
        <f t="shared" si="887"/>
        <v>10721860</v>
      </c>
      <c r="GZ157" s="465">
        <f t="shared" si="887"/>
        <v>0</v>
      </c>
      <c r="HA157" s="465">
        <f t="shared" si="887"/>
        <v>4876560</v>
      </c>
      <c r="HB157" s="465">
        <f t="shared" si="887"/>
        <v>1991460</v>
      </c>
      <c r="HC157" s="465">
        <f t="shared" si="887"/>
        <v>5134000</v>
      </c>
      <c r="HD157" s="465">
        <f t="shared" si="887"/>
        <v>1401300</v>
      </c>
      <c r="HE157" s="465">
        <f t="shared" si="887"/>
        <v>4443200</v>
      </c>
      <c r="HF157" s="465">
        <f t="shared" si="887"/>
        <v>707286</v>
      </c>
      <c r="HG157" s="465">
        <f t="shared" si="887"/>
        <v>518077</v>
      </c>
      <c r="HH157" s="465">
        <f t="shared" si="887"/>
        <v>1985778</v>
      </c>
      <c r="HI157" s="465">
        <f t="shared" si="887"/>
        <v>1514623</v>
      </c>
      <c r="HJ157" s="465">
        <f t="shared" si="887"/>
        <v>495460</v>
      </c>
      <c r="HK157" s="465">
        <f t="shared" si="887"/>
        <v>144000</v>
      </c>
      <c r="HL157" s="465">
        <f t="shared" si="887"/>
        <v>37366967.243574739</v>
      </c>
      <c r="HM157" s="465">
        <f t="shared" si="887"/>
        <v>25001512.541579321</v>
      </c>
      <c r="HN157" s="465">
        <f t="shared" si="887"/>
        <v>808776.41538817156</v>
      </c>
      <c r="HO157" s="465">
        <f t="shared" si="887"/>
        <v>2876769.799457768</v>
      </c>
      <c r="HP157" s="465">
        <f t="shared" si="887"/>
        <v>27787218</v>
      </c>
      <c r="HQ157" s="465">
        <f t="shared" si="887"/>
        <v>978043.38080963399</v>
      </c>
      <c r="HR157" s="465">
        <f t="shared" si="887"/>
        <v>33541191.281565275</v>
      </c>
      <c r="HS157" s="465">
        <f t="shared" si="887"/>
        <v>5691227.33762509</v>
      </c>
      <c r="HT157" s="465">
        <f t="shared" si="887"/>
        <v>22599685</v>
      </c>
      <c r="HU157" s="465">
        <f t="shared" si="887"/>
        <v>21507994</v>
      </c>
      <c r="HV157" s="465">
        <f t="shared" si="887"/>
        <v>16689127</v>
      </c>
      <c r="HW157" s="465">
        <f t="shared" si="887"/>
        <v>6965541.9659980796</v>
      </c>
      <c r="HX157" s="465">
        <f t="shared" si="887"/>
        <v>17983528.03400192</v>
      </c>
      <c r="HY157" s="465">
        <f t="shared" si="887"/>
        <v>21105762</v>
      </c>
      <c r="HZ157" s="465">
        <f t="shared" si="887"/>
        <v>9565941</v>
      </c>
      <c r="IA157" s="465">
        <f t="shared" si="887"/>
        <v>9107487</v>
      </c>
      <c r="IB157" s="465">
        <f t="shared" si="887"/>
        <v>8575181</v>
      </c>
      <c r="IC157" s="465">
        <f t="shared" si="887"/>
        <v>11233714.822746631</v>
      </c>
      <c r="ID157" s="465">
        <f t="shared" si="887"/>
        <v>9255791.1772533692</v>
      </c>
      <c r="IE157" s="465">
        <f t="shared" si="887"/>
        <v>16188892</v>
      </c>
      <c r="IF157" s="465">
        <f t="shared" si="887"/>
        <v>20259987.198794641</v>
      </c>
      <c r="IG157" s="465">
        <f t="shared" si="887"/>
        <v>5446079.8012053594</v>
      </c>
      <c r="IH157" s="465">
        <f t="shared" si="887"/>
        <v>3012886.5890955012</v>
      </c>
      <c r="II157" s="465">
        <f t="shared" si="887"/>
        <v>20841865.049244203</v>
      </c>
      <c r="IJ157" s="465">
        <f t="shared" si="887"/>
        <v>1674908.5338407224</v>
      </c>
      <c r="IK157" s="465">
        <f t="shared" si="887"/>
        <v>3577558.8278195728</v>
      </c>
      <c r="IL157" s="465">
        <f t="shared" si="887"/>
        <v>9204656</v>
      </c>
      <c r="IM157" s="465">
        <f t="shared" si="887"/>
        <v>701837.84282009513</v>
      </c>
      <c r="IN157" s="465">
        <f t="shared" si="887"/>
        <v>10213951.504810652</v>
      </c>
      <c r="IO157" s="465">
        <f t="shared" si="887"/>
        <v>3412493.6523692533</v>
      </c>
      <c r="IP157" s="465">
        <f t="shared" si="887"/>
        <v>22515867</v>
      </c>
      <c r="IQ157" s="465">
        <f t="shared" si="887"/>
        <v>22563962.666168727</v>
      </c>
      <c r="IR157" s="465">
        <f t="shared" si="887"/>
        <v>1003066.3338312713</v>
      </c>
      <c r="IS157" s="465">
        <f t="shared" si="887"/>
        <v>53065674.509968996</v>
      </c>
      <c r="IT157" s="465">
        <f t="shared" si="887"/>
        <v>12209859.490031004</v>
      </c>
      <c r="IU157" s="465">
        <f t="shared" si="887"/>
        <v>3182630.0362361362</v>
      </c>
      <c r="IV157" s="465">
        <f t="shared" si="887"/>
        <v>8522404.8188311569</v>
      </c>
      <c r="IW157" s="465">
        <f t="shared" si="887"/>
        <v>15638894.711101327</v>
      </c>
      <c r="IX157" s="465">
        <f t="shared" si="887"/>
        <v>1813436.4338313788</v>
      </c>
      <c r="IY157" s="465">
        <f t="shared" si="887"/>
        <v>7604648.4471565671</v>
      </c>
      <c r="IZ157" s="465">
        <f t="shared" si="887"/>
        <v>18227943.552843433</v>
      </c>
      <c r="JA157" s="465">
        <f t="shared" ref="JA157:JH157" si="888">JA150</f>
        <v>3037151.73</v>
      </c>
      <c r="JB157" s="465">
        <f t="shared" si="888"/>
        <v>2895174.04</v>
      </c>
      <c r="JC157" s="465">
        <f t="shared" si="888"/>
        <v>2268778.09</v>
      </c>
      <c r="JD157" s="465">
        <f t="shared" si="888"/>
        <v>5052980.7</v>
      </c>
      <c r="JE157" s="465">
        <f t="shared" si="888"/>
        <v>1159105.145059247</v>
      </c>
      <c r="JF157" s="465">
        <f t="shared" si="888"/>
        <v>29898599.85494075</v>
      </c>
      <c r="JG157" s="465">
        <f t="shared" si="888"/>
        <v>30541537</v>
      </c>
      <c r="JH157" s="465">
        <f t="shared" si="888"/>
        <v>868740</v>
      </c>
      <c r="JI157" s="465">
        <f t="shared" ref="JI157:JI165" si="889">SUM(C157:JH157)</f>
        <v>1165506510.0600002</v>
      </c>
      <c r="JL157" s="307">
        <f t="shared" ref="JL157:JO161" si="890">SUMIFS($C157:$JH157,$C$5:$JH$5,JL$5)</f>
        <v>22168505</v>
      </c>
      <c r="JM157" s="307">
        <f t="shared" si="890"/>
        <v>364768028.49999994</v>
      </c>
      <c r="JN157" s="307">
        <f t="shared" si="890"/>
        <v>153322946</v>
      </c>
      <c r="JO157" s="307">
        <f t="shared" si="890"/>
        <v>625247030.56000006</v>
      </c>
      <c r="JP157" s="307">
        <f t="shared" ref="JP157:JP161" si="891">SUM(JL157:JO157)</f>
        <v>1165506510.0599999</v>
      </c>
    </row>
    <row r="158" spans="1:276" x14ac:dyDescent="0.25">
      <c r="B158" s="465" t="s">
        <v>2631</v>
      </c>
      <c r="C158" s="465">
        <f t="shared" ref="C158:AD158" si="892">C155+C47+C48</f>
        <v>8884420</v>
      </c>
      <c r="D158" s="465">
        <f t="shared" si="892"/>
        <v>7730000</v>
      </c>
      <c r="E158" s="465">
        <f t="shared" si="892"/>
        <v>8299180</v>
      </c>
      <c r="F158" s="465">
        <f t="shared" si="892"/>
        <v>3616880</v>
      </c>
      <c r="G158" s="465">
        <f t="shared" si="892"/>
        <v>10328000</v>
      </c>
      <c r="H158" s="465">
        <f t="shared" si="892"/>
        <v>916710.41611130896</v>
      </c>
      <c r="I158" s="465">
        <f t="shared" si="892"/>
        <v>3162879.4741952131</v>
      </c>
      <c r="J158" s="465">
        <f t="shared" si="892"/>
        <v>2678115.5483361837</v>
      </c>
      <c r="K158" s="465">
        <f t="shared" si="892"/>
        <v>5988080</v>
      </c>
      <c r="L158" s="465">
        <f t="shared" si="892"/>
        <v>3774970</v>
      </c>
      <c r="M158" s="465">
        <f t="shared" si="892"/>
        <v>3667780</v>
      </c>
      <c r="N158" s="465">
        <f t="shared" si="892"/>
        <v>5245000</v>
      </c>
      <c r="O158" s="465">
        <f t="shared" si="892"/>
        <v>4306140</v>
      </c>
      <c r="P158" s="465">
        <f t="shared" si="892"/>
        <v>2453030</v>
      </c>
      <c r="Q158" s="465">
        <f t="shared" si="892"/>
        <v>1836490</v>
      </c>
      <c r="R158" s="465">
        <f t="shared" si="892"/>
        <v>2030000</v>
      </c>
      <c r="S158" s="465">
        <f t="shared" si="892"/>
        <v>1637150</v>
      </c>
      <c r="T158" s="465">
        <f t="shared" si="892"/>
        <v>622770</v>
      </c>
      <c r="U158" s="465">
        <f t="shared" si="892"/>
        <v>1087500</v>
      </c>
      <c r="V158" s="465">
        <f t="shared" si="892"/>
        <v>8493620</v>
      </c>
      <c r="W158" s="465">
        <f t="shared" si="892"/>
        <v>2130000</v>
      </c>
      <c r="X158" s="465">
        <f t="shared" si="892"/>
        <v>2288190</v>
      </c>
      <c r="Y158" s="465">
        <f t="shared" si="892"/>
        <v>1770700</v>
      </c>
      <c r="Z158" s="465">
        <f t="shared" si="892"/>
        <v>7231920</v>
      </c>
      <c r="AA158" s="465">
        <f t="shared" si="892"/>
        <v>4244710</v>
      </c>
      <c r="AB158" s="465">
        <f t="shared" si="892"/>
        <v>3314500</v>
      </c>
      <c r="AC158" s="465">
        <f t="shared" ref="AC158" si="893">AC155+AC47+AC48</f>
        <v>640000</v>
      </c>
      <c r="AD158" s="465">
        <f t="shared" si="892"/>
        <v>2590230</v>
      </c>
      <c r="AE158" s="465">
        <f>AE155+AE47+AE48</f>
        <v>1133451</v>
      </c>
      <c r="AF158" s="465">
        <f t="shared" ref="AF158:CS158" si="894">AF155+AF47+AF48</f>
        <v>3323447</v>
      </c>
      <c r="AG158" s="465">
        <f t="shared" si="894"/>
        <v>3450810</v>
      </c>
      <c r="AH158" s="465">
        <f t="shared" si="894"/>
        <v>760000</v>
      </c>
      <c r="AI158" s="465">
        <f t="shared" si="894"/>
        <v>3404000</v>
      </c>
      <c r="AJ158" s="465">
        <f t="shared" si="894"/>
        <v>2585000</v>
      </c>
      <c r="AK158" s="465">
        <f t="shared" si="894"/>
        <v>1251400</v>
      </c>
      <c r="AL158" s="465">
        <f t="shared" si="894"/>
        <v>1952910</v>
      </c>
      <c r="AM158" s="465">
        <f t="shared" si="894"/>
        <v>1499710</v>
      </c>
      <c r="AN158" s="465">
        <f t="shared" si="894"/>
        <v>1027900</v>
      </c>
      <c r="AO158" s="465">
        <f t="shared" si="894"/>
        <v>4344440</v>
      </c>
      <c r="AP158" s="465">
        <f>AP155+AP47+AP48</f>
        <v>2220000</v>
      </c>
      <c r="AQ158" s="465">
        <f t="shared" si="894"/>
        <v>327940</v>
      </c>
      <c r="AR158" s="465">
        <f t="shared" si="894"/>
        <v>1531740</v>
      </c>
      <c r="AS158" s="465">
        <f t="shared" si="894"/>
        <v>453230</v>
      </c>
      <c r="AT158" s="465">
        <f t="shared" si="894"/>
        <v>2175750</v>
      </c>
      <c r="AU158" s="465">
        <f t="shared" si="894"/>
        <v>992220</v>
      </c>
      <c r="AV158" s="465">
        <f t="shared" si="894"/>
        <v>2003660</v>
      </c>
      <c r="AW158" s="465">
        <f t="shared" si="894"/>
        <v>3343410.5426933127</v>
      </c>
      <c r="AX158" s="465">
        <f t="shared" si="894"/>
        <v>2970020</v>
      </c>
      <c r="AY158" s="465">
        <f t="shared" si="894"/>
        <v>3273950</v>
      </c>
      <c r="AZ158" s="465">
        <f t="shared" si="894"/>
        <v>2981000</v>
      </c>
      <c r="BA158" s="465">
        <f t="shared" si="894"/>
        <v>9230000</v>
      </c>
      <c r="BB158" s="465">
        <f t="shared" si="894"/>
        <v>1312920</v>
      </c>
      <c r="BC158" s="465">
        <f t="shared" si="894"/>
        <v>1223740</v>
      </c>
      <c r="BD158" s="465">
        <f t="shared" si="894"/>
        <v>1916260</v>
      </c>
      <c r="BE158" s="465">
        <f t="shared" si="894"/>
        <v>1290934.3566507786</v>
      </c>
      <c r="BF158" s="465">
        <f t="shared" si="894"/>
        <v>2020000</v>
      </c>
      <c r="BG158" s="465">
        <f t="shared" si="894"/>
        <v>2499000</v>
      </c>
      <c r="BH158" s="465">
        <f t="shared" si="894"/>
        <v>3075110</v>
      </c>
      <c r="BI158" s="465">
        <f t="shared" si="894"/>
        <v>1270000</v>
      </c>
      <c r="BJ158" s="465">
        <f t="shared" si="894"/>
        <v>2734460</v>
      </c>
      <c r="BK158" s="465">
        <f t="shared" si="894"/>
        <v>988000</v>
      </c>
      <c r="BL158" s="465">
        <f t="shared" si="894"/>
        <v>455140</v>
      </c>
      <c r="BM158" s="465">
        <f t="shared" si="894"/>
        <v>1464820</v>
      </c>
      <c r="BN158" s="465">
        <f t="shared" si="894"/>
        <v>1641100</v>
      </c>
      <c r="BO158" s="465">
        <f t="shared" si="894"/>
        <v>979330</v>
      </c>
      <c r="BP158" s="465">
        <f t="shared" si="894"/>
        <v>4652080</v>
      </c>
      <c r="BQ158" s="465">
        <f t="shared" si="894"/>
        <v>847233.45560883218</v>
      </c>
      <c r="BR158" s="465">
        <f t="shared" si="894"/>
        <v>1013020</v>
      </c>
      <c r="BS158" s="465">
        <f t="shared" si="894"/>
        <v>1287900</v>
      </c>
      <c r="BT158" s="465">
        <f t="shared" si="894"/>
        <v>914160</v>
      </c>
      <c r="BU158" s="465">
        <f t="shared" si="894"/>
        <v>3939340</v>
      </c>
      <c r="BV158" s="465">
        <f t="shared" si="894"/>
        <v>1177910</v>
      </c>
      <c r="BW158" s="465">
        <f t="shared" si="894"/>
        <v>532680</v>
      </c>
      <c r="BX158" s="465">
        <f t="shared" si="894"/>
        <v>4758700</v>
      </c>
      <c r="BY158" s="465">
        <f t="shared" si="894"/>
        <v>1520140</v>
      </c>
      <c r="BZ158" s="465">
        <f t="shared" si="894"/>
        <v>324150</v>
      </c>
      <c r="CA158" s="465">
        <f t="shared" si="894"/>
        <v>0</v>
      </c>
      <c r="CB158" s="465">
        <f t="shared" si="894"/>
        <v>532260</v>
      </c>
      <c r="CC158" s="465">
        <f t="shared" si="894"/>
        <v>2238060</v>
      </c>
      <c r="CD158" s="465">
        <f t="shared" si="894"/>
        <v>637850</v>
      </c>
      <c r="CE158" s="465">
        <f t="shared" si="894"/>
        <v>9715050</v>
      </c>
      <c r="CF158" s="465">
        <f t="shared" si="894"/>
        <v>4453620</v>
      </c>
      <c r="CG158" s="465">
        <f t="shared" si="894"/>
        <v>8794582</v>
      </c>
      <c r="CH158" s="465">
        <f t="shared" si="894"/>
        <v>3959479.0792496316</v>
      </c>
      <c r="CI158" s="465">
        <f t="shared" si="894"/>
        <v>3297218.8114025602</v>
      </c>
      <c r="CJ158" s="465">
        <f t="shared" si="894"/>
        <v>3854200</v>
      </c>
      <c r="CK158" s="465">
        <f t="shared" si="894"/>
        <v>4466000</v>
      </c>
      <c r="CL158" s="465">
        <f t="shared" si="894"/>
        <v>2555360.1512724077</v>
      </c>
      <c r="CM158" s="465">
        <f t="shared" si="894"/>
        <v>6012340</v>
      </c>
      <c r="CN158" s="465">
        <f t="shared" si="894"/>
        <v>1282580</v>
      </c>
      <c r="CO158" s="465">
        <f t="shared" si="894"/>
        <v>1214500</v>
      </c>
      <c r="CP158" s="465">
        <f t="shared" si="894"/>
        <v>1238430</v>
      </c>
      <c r="CQ158" s="465">
        <f t="shared" si="894"/>
        <v>5515040</v>
      </c>
      <c r="CR158" s="465">
        <f t="shared" si="894"/>
        <v>2331090</v>
      </c>
      <c r="CS158" s="465">
        <f t="shared" si="894"/>
        <v>3402237.5858069072</v>
      </c>
      <c r="CT158" s="465">
        <f t="shared" ref="CT158:FE158" si="895">CT155+CT47+CT48</f>
        <v>5929679.8103662794</v>
      </c>
      <c r="CU158" s="465">
        <f t="shared" si="895"/>
        <v>1875000</v>
      </c>
      <c r="CV158" s="465">
        <f t="shared" si="895"/>
        <v>5644990</v>
      </c>
      <c r="CW158" s="465">
        <f t="shared" si="895"/>
        <v>400000</v>
      </c>
      <c r="CX158" s="465">
        <f t="shared" si="895"/>
        <v>3457000</v>
      </c>
      <c r="CY158" s="465">
        <f t="shared" si="895"/>
        <v>2881080</v>
      </c>
      <c r="CZ158" s="465">
        <f t="shared" si="895"/>
        <v>1374700</v>
      </c>
      <c r="DA158" s="465">
        <f t="shared" si="895"/>
        <v>7650000</v>
      </c>
      <c r="DB158" s="465">
        <f t="shared" si="895"/>
        <v>739610</v>
      </c>
      <c r="DC158" s="465">
        <f t="shared" si="895"/>
        <v>1904520</v>
      </c>
      <c r="DD158" s="465">
        <f t="shared" si="895"/>
        <v>5370629.645727817</v>
      </c>
      <c r="DE158" s="465">
        <f t="shared" si="895"/>
        <v>7596992</v>
      </c>
      <c r="DF158" s="465">
        <f t="shared" si="895"/>
        <v>4660760</v>
      </c>
      <c r="DG158" s="465">
        <f t="shared" si="895"/>
        <v>802940</v>
      </c>
      <c r="DH158" s="465">
        <f t="shared" si="895"/>
        <v>2437336.6341313617</v>
      </c>
      <c r="DI158" s="465">
        <f t="shared" si="895"/>
        <v>1137805.3840966881</v>
      </c>
      <c r="DJ158" s="465">
        <f t="shared" si="895"/>
        <v>1854835.0236859601</v>
      </c>
      <c r="DK158" s="465">
        <f t="shared" si="895"/>
        <v>2577327.818091928</v>
      </c>
      <c r="DL158" s="465">
        <f t="shared" si="895"/>
        <v>3817220</v>
      </c>
      <c r="DM158" s="465">
        <f t="shared" si="895"/>
        <v>1905500</v>
      </c>
      <c r="DN158" s="465">
        <f t="shared" si="895"/>
        <v>3604670</v>
      </c>
      <c r="DO158" s="465">
        <f t="shared" si="895"/>
        <v>1402300</v>
      </c>
      <c r="DP158" s="465">
        <f t="shared" si="895"/>
        <v>4045360</v>
      </c>
      <c r="DQ158" s="465">
        <f t="shared" si="895"/>
        <v>3939650</v>
      </c>
      <c r="DR158" s="465">
        <f t="shared" si="895"/>
        <v>4423020</v>
      </c>
      <c r="DS158" s="465">
        <f t="shared" si="895"/>
        <v>878000</v>
      </c>
      <c r="DT158" s="465">
        <f t="shared" si="895"/>
        <v>3015000</v>
      </c>
      <c r="DU158" s="465">
        <f t="shared" si="895"/>
        <v>2119508.9633388799</v>
      </c>
      <c r="DV158" s="465">
        <f t="shared" si="895"/>
        <v>4423330</v>
      </c>
      <c r="DW158" s="465">
        <f t="shared" si="895"/>
        <v>1463011.5734570101</v>
      </c>
      <c r="DX158" s="465">
        <f t="shared" si="895"/>
        <v>4464719.1541079516</v>
      </c>
      <c r="DY158" s="465">
        <f t="shared" si="895"/>
        <v>4581140</v>
      </c>
      <c r="DZ158" s="465">
        <f t="shared" si="895"/>
        <v>723930</v>
      </c>
      <c r="EA158" s="465">
        <f t="shared" si="895"/>
        <v>3895190</v>
      </c>
      <c r="EB158" s="465">
        <f t="shared" si="895"/>
        <v>4071610</v>
      </c>
      <c r="EC158" s="465">
        <f t="shared" si="895"/>
        <v>3507640</v>
      </c>
      <c r="ED158" s="465">
        <f t="shared" si="895"/>
        <v>3789860</v>
      </c>
      <c r="EE158" s="465">
        <f t="shared" si="895"/>
        <v>610000</v>
      </c>
      <c r="EF158" s="465">
        <f t="shared" si="895"/>
        <v>666000</v>
      </c>
      <c r="EG158" s="465">
        <f t="shared" si="895"/>
        <v>425000</v>
      </c>
      <c r="EH158" s="465">
        <f t="shared" si="895"/>
        <v>595000</v>
      </c>
      <c r="EI158" s="465">
        <f t="shared" si="895"/>
        <v>1025000</v>
      </c>
      <c r="EJ158" s="465">
        <f t="shared" si="895"/>
        <v>1254497.1182819521</v>
      </c>
      <c r="EK158" s="465">
        <f t="shared" si="895"/>
        <v>3773040</v>
      </c>
      <c r="EL158" s="465">
        <f t="shared" si="895"/>
        <v>8896080</v>
      </c>
      <c r="EM158" s="465">
        <f t="shared" si="895"/>
        <v>2765690</v>
      </c>
      <c r="EN158" s="465">
        <f t="shared" si="895"/>
        <v>2526600</v>
      </c>
      <c r="EO158" s="465">
        <f t="shared" si="895"/>
        <v>311820</v>
      </c>
      <c r="EP158" s="465">
        <f t="shared" si="895"/>
        <v>2970060</v>
      </c>
      <c r="EQ158" s="465">
        <f t="shared" si="895"/>
        <v>1939350</v>
      </c>
      <c r="ER158" s="465">
        <f t="shared" si="895"/>
        <v>6229000</v>
      </c>
      <c r="ES158" s="465">
        <f t="shared" si="895"/>
        <v>2889370</v>
      </c>
      <c r="ET158" s="465">
        <f t="shared" si="895"/>
        <v>901340</v>
      </c>
      <c r="EU158" s="465">
        <f t="shared" si="895"/>
        <v>2056000</v>
      </c>
      <c r="EV158" s="465">
        <f t="shared" si="895"/>
        <v>443090</v>
      </c>
      <c r="EW158" s="465">
        <f t="shared" si="895"/>
        <v>2505060</v>
      </c>
      <c r="EX158" s="465">
        <f t="shared" si="895"/>
        <v>5574310</v>
      </c>
      <c r="EY158" s="465">
        <f t="shared" si="895"/>
        <v>2059170</v>
      </c>
      <c r="EZ158" s="465">
        <f t="shared" si="895"/>
        <v>0</v>
      </c>
      <c r="FA158" s="465">
        <f t="shared" si="895"/>
        <v>990000</v>
      </c>
      <c r="FB158" s="465">
        <f t="shared" si="895"/>
        <v>177810</v>
      </c>
      <c r="FC158" s="465">
        <f t="shared" si="895"/>
        <v>3042200</v>
      </c>
      <c r="FD158" s="465">
        <f t="shared" si="895"/>
        <v>1059104.6825002881</v>
      </c>
      <c r="FE158" s="465">
        <f t="shared" si="895"/>
        <v>343250</v>
      </c>
      <c r="FF158" s="465">
        <f t="shared" ref="FF158:HQ158" si="896">FF155+FF47+FF48</f>
        <v>1441590</v>
      </c>
      <c r="FG158" s="465">
        <f t="shared" si="896"/>
        <v>5703200</v>
      </c>
      <c r="FH158" s="465">
        <f t="shared" si="896"/>
        <v>5790610</v>
      </c>
      <c r="FI158" s="465">
        <f t="shared" si="896"/>
        <v>7582390</v>
      </c>
      <c r="FJ158" s="465">
        <f t="shared" si="896"/>
        <v>1854520</v>
      </c>
      <c r="FK158" s="465">
        <f t="shared" si="896"/>
        <v>117160</v>
      </c>
      <c r="FL158" s="465">
        <f t="shared" si="896"/>
        <v>289530</v>
      </c>
      <c r="FM158" s="465">
        <f t="shared" si="896"/>
        <v>943020</v>
      </c>
      <c r="FN158" s="465">
        <f t="shared" si="896"/>
        <v>7003030</v>
      </c>
      <c r="FO158" s="465">
        <f t="shared" si="896"/>
        <v>1654620</v>
      </c>
      <c r="FP158" s="465">
        <f t="shared" si="896"/>
        <v>12351200</v>
      </c>
      <c r="FQ158" s="465">
        <f t="shared" si="896"/>
        <v>1972280</v>
      </c>
      <c r="FR158" s="465">
        <f t="shared" si="896"/>
        <v>2840805.433337939</v>
      </c>
      <c r="FS158" s="465">
        <f t="shared" si="896"/>
        <v>464010</v>
      </c>
      <c r="FT158" s="465">
        <f t="shared" si="896"/>
        <v>3255890</v>
      </c>
      <c r="FU158" s="465">
        <f t="shared" si="896"/>
        <v>465830</v>
      </c>
      <c r="FV158" s="465">
        <f t="shared" si="896"/>
        <v>559250</v>
      </c>
      <c r="FW158" s="465">
        <f t="shared" si="896"/>
        <v>937680</v>
      </c>
      <c r="FX158" s="465">
        <f t="shared" si="896"/>
        <v>384530</v>
      </c>
      <c r="FY158" s="465">
        <f t="shared" si="896"/>
        <v>200000</v>
      </c>
      <c r="FZ158" s="465">
        <f t="shared" si="896"/>
        <v>2571150</v>
      </c>
      <c r="GA158" s="465">
        <f t="shared" si="896"/>
        <v>235090</v>
      </c>
      <c r="GB158" s="465">
        <f t="shared" si="896"/>
        <v>2245960</v>
      </c>
      <c r="GC158" s="465">
        <f t="shared" si="896"/>
        <v>2171080</v>
      </c>
      <c r="GD158" s="465">
        <f t="shared" si="896"/>
        <v>7928940</v>
      </c>
      <c r="GE158" s="465">
        <f t="shared" si="896"/>
        <v>1229450.065998916</v>
      </c>
      <c r="GF158" s="465">
        <f t="shared" si="896"/>
        <v>3881580</v>
      </c>
      <c r="GG158" s="465">
        <f t="shared" si="896"/>
        <v>1157420</v>
      </c>
      <c r="GH158" s="465">
        <f>GH155+GH47+GH48</f>
        <v>1054710</v>
      </c>
      <c r="GI158" s="465">
        <f t="shared" si="896"/>
        <v>7754400</v>
      </c>
      <c r="GJ158" s="465">
        <f t="shared" si="896"/>
        <v>1839200</v>
      </c>
      <c r="GK158" s="465">
        <f t="shared" si="896"/>
        <v>600000</v>
      </c>
      <c r="GL158" s="465">
        <f t="shared" si="896"/>
        <v>469950</v>
      </c>
      <c r="GM158" s="465">
        <f t="shared" si="896"/>
        <v>692540</v>
      </c>
      <c r="GN158" s="465">
        <f t="shared" si="896"/>
        <v>788770</v>
      </c>
      <c r="GO158" s="465">
        <f t="shared" si="896"/>
        <v>4468800</v>
      </c>
      <c r="GP158" s="465">
        <f t="shared" si="896"/>
        <v>484460</v>
      </c>
      <c r="GQ158" s="465">
        <f t="shared" si="896"/>
        <v>309590</v>
      </c>
      <c r="GR158" s="465">
        <f t="shared" si="896"/>
        <v>610000</v>
      </c>
      <c r="GS158" s="465">
        <f t="shared" si="896"/>
        <v>0</v>
      </c>
      <c r="GT158" s="465">
        <f t="shared" si="896"/>
        <v>8684790</v>
      </c>
      <c r="GU158" s="465">
        <f t="shared" si="896"/>
        <v>807440</v>
      </c>
      <c r="GV158" s="465">
        <f t="shared" si="896"/>
        <v>5000000</v>
      </c>
      <c r="GW158" s="465">
        <f t="shared" si="896"/>
        <v>941720</v>
      </c>
      <c r="GX158" s="465">
        <f t="shared" si="896"/>
        <v>150000</v>
      </c>
      <c r="GY158" s="465">
        <f t="shared" si="896"/>
        <v>11169700</v>
      </c>
      <c r="GZ158" s="465">
        <f t="shared" si="896"/>
        <v>3222820.7912944802</v>
      </c>
      <c r="HA158" s="465">
        <f t="shared" si="896"/>
        <v>5200000</v>
      </c>
      <c r="HB158" s="465">
        <f t="shared" si="896"/>
        <v>2241820</v>
      </c>
      <c r="HC158" s="465">
        <f t="shared" si="896"/>
        <v>5534660</v>
      </c>
      <c r="HD158" s="465">
        <f t="shared" si="896"/>
        <v>1908550</v>
      </c>
      <c r="HE158" s="465">
        <f t="shared" si="896"/>
        <v>4945200</v>
      </c>
      <c r="HF158" s="465">
        <f t="shared" si="896"/>
        <v>780920</v>
      </c>
      <c r="HG158" s="465">
        <f t="shared" si="896"/>
        <v>483760</v>
      </c>
      <c r="HH158" s="465">
        <f t="shared" si="896"/>
        <v>1870580</v>
      </c>
      <c r="HI158" s="465">
        <f t="shared" si="896"/>
        <v>1243940</v>
      </c>
      <c r="HJ158" s="465">
        <f t="shared" si="896"/>
        <v>997908.83102156827</v>
      </c>
      <c r="HK158" s="465">
        <f t="shared" si="896"/>
        <v>0</v>
      </c>
      <c r="HL158" s="465">
        <f t="shared" si="896"/>
        <v>37616970.561290778</v>
      </c>
      <c r="HM158" s="465">
        <f t="shared" si="896"/>
        <v>25001514.315002423</v>
      </c>
      <c r="HN158" s="465">
        <f t="shared" si="896"/>
        <v>992757.48207886913</v>
      </c>
      <c r="HO158" s="465">
        <f t="shared" si="896"/>
        <v>2847160.6666890793</v>
      </c>
      <c r="HP158" s="465">
        <f t="shared" si="896"/>
        <v>27787220</v>
      </c>
      <c r="HQ158" s="465">
        <f t="shared" si="896"/>
        <v>978043.05684451968</v>
      </c>
      <c r="HR158" s="465">
        <f t="shared" ref="HR158:JH158" si="897">HR155+HR47+HR48</f>
        <v>34333696.237272546</v>
      </c>
      <c r="HS158" s="465">
        <f t="shared" si="897"/>
        <v>6456230.7058829395</v>
      </c>
      <c r="HT158" s="465">
        <f t="shared" si="897"/>
        <v>22599690</v>
      </c>
      <c r="HU158" s="465">
        <f t="shared" si="897"/>
        <v>21507990</v>
      </c>
      <c r="HV158" s="465">
        <f t="shared" si="897"/>
        <v>18189130</v>
      </c>
      <c r="HW158" s="465">
        <f t="shared" si="897"/>
        <v>4980539.4101354359</v>
      </c>
      <c r="HX158" s="465">
        <f t="shared" si="897"/>
        <v>20738570.589864563</v>
      </c>
      <c r="HY158" s="465">
        <f t="shared" si="897"/>
        <v>21105760</v>
      </c>
      <c r="HZ158" s="465">
        <f t="shared" si="897"/>
        <v>9565940</v>
      </c>
      <c r="IA158" s="465">
        <f t="shared" si="897"/>
        <v>9107490</v>
      </c>
      <c r="IB158" s="465">
        <f t="shared" si="897"/>
        <v>9035180</v>
      </c>
      <c r="IC158" s="465">
        <f t="shared" si="897"/>
        <v>11233711.455670675</v>
      </c>
      <c r="ID158" s="465">
        <f t="shared" si="897"/>
        <v>9255788.5443293229</v>
      </c>
      <c r="IE158" s="465">
        <f t="shared" si="897"/>
        <v>16688890</v>
      </c>
      <c r="IF158" s="465">
        <f t="shared" si="897"/>
        <v>20509986.558978684</v>
      </c>
      <c r="IG158" s="465">
        <f t="shared" si="897"/>
        <v>5446083.4410213176</v>
      </c>
      <c r="IH158" s="465">
        <f t="shared" si="897"/>
        <v>3012890.0308507229</v>
      </c>
      <c r="II158" s="465">
        <f t="shared" si="897"/>
        <v>21271862.245210163</v>
      </c>
      <c r="IJ158" s="465">
        <f t="shared" si="897"/>
        <v>1774903.9782972736</v>
      </c>
      <c r="IK158" s="465">
        <f t="shared" si="897"/>
        <v>3740263.7456418383</v>
      </c>
      <c r="IL158" s="465">
        <f t="shared" si="897"/>
        <v>10104660</v>
      </c>
      <c r="IM158" s="465">
        <f t="shared" si="897"/>
        <v>701838.94394369004</v>
      </c>
      <c r="IN158" s="465">
        <f t="shared" si="897"/>
        <v>10213953.695728645</v>
      </c>
      <c r="IO158" s="465">
        <f t="shared" si="897"/>
        <v>3412497.3603276657</v>
      </c>
      <c r="IP158" s="465">
        <f t="shared" si="897"/>
        <v>22515870</v>
      </c>
      <c r="IQ158" s="465">
        <f t="shared" si="897"/>
        <v>22563961.311633043</v>
      </c>
      <c r="IR158" s="465">
        <f t="shared" si="897"/>
        <v>1003068.6883669563</v>
      </c>
      <c r="IS158" s="465">
        <f t="shared" si="897"/>
        <v>54465669.752920441</v>
      </c>
      <c r="IT158" s="465">
        <f t="shared" si="897"/>
        <v>12509860.247079559</v>
      </c>
      <c r="IU158" s="465">
        <f t="shared" si="897"/>
        <v>3182628.1389581338</v>
      </c>
      <c r="IV158" s="465">
        <f t="shared" si="897"/>
        <v>8522400.9764715154</v>
      </c>
      <c r="IW158" s="465">
        <f t="shared" si="897"/>
        <v>15638898.626468588</v>
      </c>
      <c r="IX158" s="465">
        <f t="shared" si="897"/>
        <v>1813432.2581017641</v>
      </c>
      <c r="IY158" s="465">
        <f t="shared" si="897"/>
        <v>5604646.9843517998</v>
      </c>
      <c r="IZ158" s="465">
        <f>IZ155+IZ47+IZ48</f>
        <v>20877943.015648201</v>
      </c>
      <c r="JA158" s="465">
        <f t="shared" si="897"/>
        <v>3037151.73</v>
      </c>
      <c r="JB158" s="465">
        <f t="shared" si="897"/>
        <v>2895174.04</v>
      </c>
      <c r="JC158" s="465">
        <f t="shared" si="897"/>
        <v>2268778.09</v>
      </c>
      <c r="JD158" s="465">
        <f t="shared" si="897"/>
        <v>3876588.7</v>
      </c>
      <c r="JE158" s="465">
        <f t="shared" si="897"/>
        <v>1159100.8989974712</v>
      </c>
      <c r="JF158" s="465">
        <f t="shared" si="897"/>
        <v>33383599.101002529</v>
      </c>
      <c r="JG158" s="465">
        <f t="shared" si="897"/>
        <v>30080501.404985622</v>
      </c>
      <c r="JH158" s="465">
        <f t="shared" si="897"/>
        <v>868740</v>
      </c>
      <c r="JI158" s="465">
        <f t="shared" si="889"/>
        <v>1238903959.3408129</v>
      </c>
      <c r="JL158" s="307">
        <f t="shared" si="890"/>
        <v>24913600</v>
      </c>
      <c r="JM158" s="307">
        <f t="shared" si="890"/>
        <v>406871752.54661286</v>
      </c>
      <c r="JN158" s="307">
        <f t="shared" si="890"/>
        <v>170639379.8041532</v>
      </c>
      <c r="JO158" s="307">
        <f t="shared" si="890"/>
        <v>636479226.99004698</v>
      </c>
      <c r="JP158" s="307">
        <f t="shared" si="891"/>
        <v>1238903959.3408132</v>
      </c>
    </row>
    <row r="159" spans="1:276" x14ac:dyDescent="0.25">
      <c r="B159" s="428" t="s">
        <v>1828</v>
      </c>
      <c r="C159" s="465">
        <f>C158-C157</f>
        <v>1235420</v>
      </c>
      <c r="D159" s="465">
        <f t="shared" ref="D159:BP159" si="898">D158-D157</f>
        <v>1406900</v>
      </c>
      <c r="E159" s="465">
        <f t="shared" si="898"/>
        <v>102775</v>
      </c>
      <c r="F159" s="465">
        <f t="shared" si="898"/>
        <v>132280</v>
      </c>
      <c r="G159" s="465">
        <f t="shared" si="898"/>
        <v>1429650</v>
      </c>
      <c r="H159" s="465">
        <f t="shared" si="898"/>
        <v>65710.416111308965</v>
      </c>
      <c r="I159" s="465">
        <f t="shared" si="898"/>
        <v>941977.47419521306</v>
      </c>
      <c r="J159" s="465">
        <f t="shared" si="898"/>
        <v>85670.548336183652</v>
      </c>
      <c r="K159" s="465">
        <f t="shared" si="898"/>
        <v>618538</v>
      </c>
      <c r="L159" s="465">
        <f t="shared" si="898"/>
        <v>0</v>
      </c>
      <c r="M159" s="465">
        <f t="shared" si="898"/>
        <v>30491</v>
      </c>
      <c r="N159" s="465">
        <f t="shared" si="898"/>
        <v>0</v>
      </c>
      <c r="O159" s="465">
        <f t="shared" si="898"/>
        <v>151211</v>
      </c>
      <c r="P159" s="465">
        <f t="shared" si="898"/>
        <v>108014</v>
      </c>
      <c r="Q159" s="465">
        <f t="shared" si="898"/>
        <v>371223</v>
      </c>
      <c r="R159" s="465">
        <f t="shared" si="898"/>
        <v>-94718.100000000093</v>
      </c>
      <c r="S159" s="465">
        <f t="shared" si="898"/>
        <v>-2.8000000000465661</v>
      </c>
      <c r="T159" s="465">
        <f t="shared" si="898"/>
        <v>31434</v>
      </c>
      <c r="U159" s="465">
        <f t="shared" si="898"/>
        <v>-11704</v>
      </c>
      <c r="V159" s="465">
        <f t="shared" si="898"/>
        <v>-740000</v>
      </c>
      <c r="W159" s="465">
        <f t="shared" si="898"/>
        <v>305000</v>
      </c>
      <c r="X159" s="465">
        <f>X158-X157</f>
        <v>978300</v>
      </c>
      <c r="Y159" s="465">
        <f t="shared" si="898"/>
        <v>12890</v>
      </c>
      <c r="Z159" s="465">
        <f t="shared" si="898"/>
        <v>379920</v>
      </c>
      <c r="AA159" s="465">
        <f t="shared" si="898"/>
        <v>394890</v>
      </c>
      <c r="AB159" s="465">
        <f t="shared" si="898"/>
        <v>266560</v>
      </c>
      <c r="AC159" s="465">
        <f t="shared" ref="AC159" si="899">AC158-AC157</f>
        <v>-1367500</v>
      </c>
      <c r="AD159" s="465">
        <f t="shared" si="898"/>
        <v>744990</v>
      </c>
      <c r="AE159" s="465">
        <f t="shared" si="898"/>
        <v>76843</v>
      </c>
      <c r="AF159" s="465">
        <f t="shared" si="898"/>
        <v>1219240</v>
      </c>
      <c r="AG159" s="465">
        <f t="shared" si="898"/>
        <v>125058</v>
      </c>
      <c r="AH159" s="465">
        <f t="shared" si="898"/>
        <v>-7266</v>
      </c>
      <c r="AI159" s="465">
        <f t="shared" si="898"/>
        <v>510300</v>
      </c>
      <c r="AJ159" s="465">
        <f t="shared" si="898"/>
        <v>134700</v>
      </c>
      <c r="AK159" s="465">
        <f t="shared" si="898"/>
        <v>53995</v>
      </c>
      <c r="AL159" s="465">
        <f t="shared" si="898"/>
        <v>92494</v>
      </c>
      <c r="AM159" s="465">
        <f t="shared" si="898"/>
        <v>125218</v>
      </c>
      <c r="AN159" s="465">
        <f t="shared" si="898"/>
        <v>0</v>
      </c>
      <c r="AO159" s="465">
        <f t="shared" si="898"/>
        <v>615412</v>
      </c>
      <c r="AP159" s="465">
        <f t="shared" si="898"/>
        <v>-39775</v>
      </c>
      <c r="AQ159" s="465">
        <f t="shared" si="898"/>
        <v>2</v>
      </c>
      <c r="AR159" s="465">
        <f t="shared" si="898"/>
        <v>401149</v>
      </c>
      <c r="AS159" s="465">
        <f t="shared" si="898"/>
        <v>2658</v>
      </c>
      <c r="AT159" s="465">
        <f t="shared" si="898"/>
        <v>4</v>
      </c>
      <c r="AU159" s="465">
        <f t="shared" si="898"/>
        <v>97948</v>
      </c>
      <c r="AV159" s="465">
        <f t="shared" si="898"/>
        <v>137042</v>
      </c>
      <c r="AW159" s="465">
        <f t="shared" si="898"/>
        <v>272535.54269331275</v>
      </c>
      <c r="AX159" s="465">
        <f t="shared" si="898"/>
        <v>0</v>
      </c>
      <c r="AY159" s="465">
        <f t="shared" si="898"/>
        <v>182498</v>
      </c>
      <c r="AZ159" s="465">
        <f t="shared" si="898"/>
        <v>49765</v>
      </c>
      <c r="BA159" s="465">
        <f t="shared" si="898"/>
        <v>1814732</v>
      </c>
      <c r="BB159" s="465">
        <f t="shared" si="898"/>
        <v>292796</v>
      </c>
      <c r="BC159" s="465">
        <f t="shared" si="898"/>
        <v>214995</v>
      </c>
      <c r="BD159" s="465">
        <f t="shared" si="898"/>
        <v>638440</v>
      </c>
      <c r="BE159" s="465">
        <f t="shared" si="898"/>
        <v>86784.356650778558</v>
      </c>
      <c r="BF159" s="465">
        <f t="shared" si="898"/>
        <v>131040</v>
      </c>
      <c r="BG159" s="465">
        <f t="shared" si="898"/>
        <v>154784</v>
      </c>
      <c r="BH159" s="465">
        <f t="shared" si="898"/>
        <v>127042</v>
      </c>
      <c r="BI159" s="465">
        <f t="shared" si="898"/>
        <v>-198100</v>
      </c>
      <c r="BJ159" s="465">
        <f t="shared" si="898"/>
        <v>81839</v>
      </c>
      <c r="BK159" s="465">
        <f t="shared" si="898"/>
        <v>136000</v>
      </c>
      <c r="BL159" s="465">
        <f t="shared" si="898"/>
        <v>455140</v>
      </c>
      <c r="BM159" s="465">
        <f t="shared" si="898"/>
        <v>849720</v>
      </c>
      <c r="BN159" s="465">
        <f t="shared" si="898"/>
        <v>59100</v>
      </c>
      <c r="BO159" s="465">
        <f t="shared" si="898"/>
        <v>217320</v>
      </c>
      <c r="BP159" s="465">
        <f t="shared" si="898"/>
        <v>732773</v>
      </c>
      <c r="BQ159" s="465">
        <f t="shared" ref="BQ159:EB159" si="900">BQ158-BQ157</f>
        <v>31797.455608832184</v>
      </c>
      <c r="BR159" s="465">
        <f t="shared" si="900"/>
        <v>138680</v>
      </c>
      <c r="BS159" s="465">
        <f t="shared" si="900"/>
        <v>-10000</v>
      </c>
      <c r="BT159" s="465">
        <f t="shared" si="900"/>
        <v>54060</v>
      </c>
      <c r="BU159" s="465">
        <f t="shared" si="900"/>
        <v>2</v>
      </c>
      <c r="BV159" s="465">
        <f t="shared" si="900"/>
        <v>589000</v>
      </c>
      <c r="BW159" s="465">
        <f t="shared" si="900"/>
        <v>-3</v>
      </c>
      <c r="BX159" s="465">
        <f t="shared" si="900"/>
        <v>703447</v>
      </c>
      <c r="BY159" s="465">
        <f t="shared" si="900"/>
        <v>-4</v>
      </c>
      <c r="BZ159" s="465">
        <f t="shared" si="900"/>
        <v>0</v>
      </c>
      <c r="CA159" s="465">
        <f t="shared" si="900"/>
        <v>0</v>
      </c>
      <c r="CB159" s="465">
        <f t="shared" si="900"/>
        <v>-3</v>
      </c>
      <c r="CC159" s="465">
        <f t="shared" si="900"/>
        <v>117642</v>
      </c>
      <c r="CD159" s="465">
        <f t="shared" si="900"/>
        <v>-9486</v>
      </c>
      <c r="CE159" s="465">
        <f t="shared" si="900"/>
        <v>1446195</v>
      </c>
      <c r="CF159" s="465">
        <f t="shared" si="900"/>
        <v>127620</v>
      </c>
      <c r="CG159" s="465">
        <f t="shared" si="900"/>
        <v>570096</v>
      </c>
      <c r="CH159" s="465">
        <f t="shared" si="900"/>
        <v>305133.07924963161</v>
      </c>
      <c r="CI159" s="465">
        <f t="shared" si="900"/>
        <v>414452.81140256021</v>
      </c>
      <c r="CJ159" s="465">
        <f t="shared" si="900"/>
        <v>394670</v>
      </c>
      <c r="CK159" s="465">
        <f t="shared" si="900"/>
        <v>289377</v>
      </c>
      <c r="CL159" s="465">
        <f t="shared" si="900"/>
        <v>170391.15127240773</v>
      </c>
      <c r="CM159" s="465">
        <f t="shared" si="900"/>
        <v>691680</v>
      </c>
      <c r="CN159" s="465">
        <f t="shared" si="900"/>
        <v>4.8600000001024455</v>
      </c>
      <c r="CO159" s="465">
        <f t="shared" si="900"/>
        <v>0</v>
      </c>
      <c r="CP159" s="465">
        <f t="shared" si="900"/>
        <v>4.5400000000372529</v>
      </c>
      <c r="CQ159" s="465">
        <f t="shared" si="900"/>
        <v>908774</v>
      </c>
      <c r="CR159" s="465">
        <f t="shared" si="900"/>
        <v>714290</v>
      </c>
      <c r="CS159" s="465">
        <f t="shared" si="900"/>
        <v>3402237.5858069072</v>
      </c>
      <c r="CT159" s="465">
        <f t="shared" si="900"/>
        <v>859679.81036627945</v>
      </c>
      <c r="CU159" s="465">
        <f t="shared" si="900"/>
        <v>474500</v>
      </c>
      <c r="CV159" s="465">
        <f t="shared" si="900"/>
        <v>613490</v>
      </c>
      <c r="CW159" s="465">
        <f t="shared" si="900"/>
        <v>128599</v>
      </c>
      <c r="CX159" s="465">
        <f t="shared" si="900"/>
        <v>329000</v>
      </c>
      <c r="CY159" s="465">
        <f t="shared" si="900"/>
        <v>132126</v>
      </c>
      <c r="CZ159" s="465">
        <f t="shared" si="900"/>
        <v>368000</v>
      </c>
      <c r="DA159" s="465">
        <f t="shared" si="900"/>
        <v>2069140</v>
      </c>
      <c r="DB159" s="465">
        <f t="shared" si="900"/>
        <v>74282</v>
      </c>
      <c r="DC159" s="465">
        <f t="shared" si="900"/>
        <v>281020</v>
      </c>
      <c r="DD159" s="465">
        <f t="shared" si="900"/>
        <v>690116.64572781697</v>
      </c>
      <c r="DE159" s="465">
        <f t="shared" si="900"/>
        <v>429386</v>
      </c>
      <c r="DF159" s="465">
        <f t="shared" si="900"/>
        <v>-556092</v>
      </c>
      <c r="DG159" s="465">
        <f t="shared" si="900"/>
        <v>197200</v>
      </c>
      <c r="DH159" s="465">
        <f t="shared" si="900"/>
        <v>830968.9941313616</v>
      </c>
      <c r="DI159" s="465">
        <f t="shared" si="900"/>
        <v>43865.384096688125</v>
      </c>
      <c r="DJ159" s="465">
        <f t="shared" si="900"/>
        <v>37877.023685960099</v>
      </c>
      <c r="DK159" s="465">
        <f t="shared" si="900"/>
        <v>1666856.818091928</v>
      </c>
      <c r="DL159" s="465">
        <f t="shared" si="900"/>
        <v>-4</v>
      </c>
      <c r="DM159" s="465">
        <f t="shared" si="900"/>
        <v>171152</v>
      </c>
      <c r="DN159" s="465">
        <f t="shared" si="900"/>
        <v>623905</v>
      </c>
      <c r="DO159" s="465">
        <f t="shared" si="900"/>
        <v>4525</v>
      </c>
      <c r="DP159" s="465">
        <f t="shared" si="900"/>
        <v>-3.779999999795109</v>
      </c>
      <c r="DQ159" s="465">
        <f t="shared" si="900"/>
        <v>31798</v>
      </c>
      <c r="DR159" s="465">
        <f t="shared" si="900"/>
        <v>-54356</v>
      </c>
      <c r="DS159" s="465">
        <f t="shared" si="900"/>
        <v>547000</v>
      </c>
      <c r="DT159" s="465">
        <f t="shared" si="900"/>
        <v>108709</v>
      </c>
      <c r="DU159" s="465">
        <f t="shared" si="900"/>
        <v>18908.963338879868</v>
      </c>
      <c r="DV159" s="465">
        <f t="shared" si="900"/>
        <v>1277853</v>
      </c>
      <c r="DW159" s="465">
        <f t="shared" si="900"/>
        <v>251601.57345701009</v>
      </c>
      <c r="DX159" s="465">
        <f t="shared" si="900"/>
        <v>433801.15410795156</v>
      </c>
      <c r="DY159" s="465">
        <f t="shared" si="900"/>
        <v>825990</v>
      </c>
      <c r="DZ159" s="465">
        <f t="shared" si="900"/>
        <v>7630</v>
      </c>
      <c r="EA159" s="465">
        <f t="shared" si="900"/>
        <v>2</v>
      </c>
      <c r="EB159" s="465">
        <f t="shared" si="900"/>
        <v>188920</v>
      </c>
      <c r="EC159" s="465">
        <f t="shared" ref="EC159:GN159" si="901">EC158-EC157</f>
        <v>162386</v>
      </c>
      <c r="ED159" s="465">
        <f t="shared" si="901"/>
        <v>317052</v>
      </c>
      <c r="EE159" s="465">
        <f t="shared" si="901"/>
        <v>46376</v>
      </c>
      <c r="EF159" s="465">
        <f t="shared" si="901"/>
        <v>-3087.5899999999674</v>
      </c>
      <c r="EG159" s="465">
        <f t="shared" si="901"/>
        <v>-2828.9899999999907</v>
      </c>
      <c r="EH159" s="465">
        <f t="shared" si="901"/>
        <v>35330</v>
      </c>
      <c r="EI159" s="465">
        <f t="shared" si="901"/>
        <v>114247</v>
      </c>
      <c r="EJ159" s="465">
        <f t="shared" si="901"/>
        <v>220123.11828195211</v>
      </c>
      <c r="EK159" s="465">
        <f t="shared" si="901"/>
        <v>-159002</v>
      </c>
      <c r="EL159" s="465">
        <f t="shared" si="901"/>
        <v>272054</v>
      </c>
      <c r="EM159" s="465">
        <f t="shared" si="901"/>
        <v>66882</v>
      </c>
      <c r="EN159" s="465">
        <f t="shared" si="901"/>
        <v>132127</v>
      </c>
      <c r="EO159" s="465">
        <f t="shared" si="901"/>
        <v>75402</v>
      </c>
      <c r="EP159" s="465">
        <f t="shared" si="901"/>
        <v>798937</v>
      </c>
      <c r="EQ159" s="465">
        <f t="shared" si="901"/>
        <v>95228</v>
      </c>
      <c r="ER159" s="465">
        <f t="shared" si="901"/>
        <v>977132</v>
      </c>
      <c r="ES159" s="465">
        <f t="shared" si="901"/>
        <v>118810</v>
      </c>
      <c r="ET159" s="465">
        <f t="shared" si="901"/>
        <v>901340</v>
      </c>
      <c r="EU159" s="465">
        <f t="shared" si="901"/>
        <v>1252000</v>
      </c>
      <c r="EV159" s="465">
        <f t="shared" si="901"/>
        <v>217555</v>
      </c>
      <c r="EW159" s="465">
        <f t="shared" si="901"/>
        <v>148747</v>
      </c>
      <c r="EX159" s="465">
        <f t="shared" si="901"/>
        <v>170020</v>
      </c>
      <c r="EY159" s="465">
        <f t="shared" si="901"/>
        <v>14325</v>
      </c>
      <c r="EZ159" s="465">
        <f t="shared" si="901"/>
        <v>-111326</v>
      </c>
      <c r="FA159" s="465">
        <f t="shared" si="901"/>
        <v>196308</v>
      </c>
      <c r="FB159" s="465">
        <f t="shared" si="901"/>
        <v>38049</v>
      </c>
      <c r="FC159" s="465">
        <f t="shared" si="901"/>
        <v>42200</v>
      </c>
      <c r="FD159" s="465">
        <f t="shared" si="901"/>
        <v>286643.68250028812</v>
      </c>
      <c r="FE159" s="465">
        <f t="shared" si="901"/>
        <v>80750</v>
      </c>
      <c r="FF159" s="465">
        <f t="shared" si="901"/>
        <v>324470</v>
      </c>
      <c r="FG159" s="465">
        <f t="shared" si="901"/>
        <v>1019550</v>
      </c>
      <c r="FH159" s="465">
        <f t="shared" si="901"/>
        <v>271030</v>
      </c>
      <c r="FI159" s="465">
        <f t="shared" si="901"/>
        <v>2013903</v>
      </c>
      <c r="FJ159" s="465">
        <f t="shared" si="901"/>
        <v>275474</v>
      </c>
      <c r="FK159" s="465">
        <f t="shared" si="901"/>
        <v>-164692</v>
      </c>
      <c r="FL159" s="465">
        <f t="shared" si="901"/>
        <v>-312232</v>
      </c>
      <c r="FM159" s="465">
        <f t="shared" si="901"/>
        <v>-1683383</v>
      </c>
      <c r="FN159" s="465">
        <f t="shared" si="901"/>
        <v>543650</v>
      </c>
      <c r="FO159" s="465">
        <f t="shared" si="901"/>
        <v>-5037</v>
      </c>
      <c r="FP159" s="465">
        <f t="shared" si="901"/>
        <v>206748</v>
      </c>
      <c r="FQ159" s="465">
        <f t="shared" si="901"/>
        <v>62857</v>
      </c>
      <c r="FR159" s="465"/>
      <c r="FS159" s="465">
        <f t="shared" si="901"/>
        <v>-13560</v>
      </c>
      <c r="FT159" s="465">
        <f t="shared" si="901"/>
        <v>307280</v>
      </c>
      <c r="FU159" s="465">
        <f t="shared" si="901"/>
        <v>39283</v>
      </c>
      <c r="FV159" s="465">
        <f t="shared" si="901"/>
        <v>176</v>
      </c>
      <c r="FW159" s="465">
        <f t="shared" si="901"/>
        <v>-76055</v>
      </c>
      <c r="FX159" s="465">
        <f t="shared" si="901"/>
        <v>19604</v>
      </c>
      <c r="FY159" s="465">
        <f t="shared" si="901"/>
        <v>-9591</v>
      </c>
      <c r="FZ159" s="465">
        <f t="shared" si="901"/>
        <v>-5060</v>
      </c>
      <c r="GA159" s="465">
        <f t="shared" si="901"/>
        <v>240</v>
      </c>
      <c r="GB159" s="465">
        <f t="shared" si="901"/>
        <v>494640</v>
      </c>
      <c r="GC159" s="465">
        <f t="shared" si="901"/>
        <v>15551</v>
      </c>
      <c r="GD159" s="465">
        <f t="shared" si="901"/>
        <v>806649</v>
      </c>
      <c r="GE159" s="465">
        <f t="shared" si="901"/>
        <v>-109614.93400108395</v>
      </c>
      <c r="GF159" s="465">
        <f t="shared" si="901"/>
        <v>291023</v>
      </c>
      <c r="GG159" s="465">
        <f t="shared" si="901"/>
        <v>-132561</v>
      </c>
      <c r="GH159" s="465">
        <f t="shared" si="901"/>
        <v>-34872</v>
      </c>
      <c r="GI159" s="465">
        <f t="shared" si="901"/>
        <v>855483</v>
      </c>
      <c r="GJ159" s="465">
        <f t="shared" si="901"/>
        <v>171699</v>
      </c>
      <c r="GK159" s="465">
        <f t="shared" si="901"/>
        <v>-66130</v>
      </c>
      <c r="GL159" s="465">
        <f t="shared" si="901"/>
        <v>-59346</v>
      </c>
      <c r="GM159" s="465">
        <f t="shared" si="901"/>
        <v>-60700</v>
      </c>
      <c r="GN159" s="465">
        <f t="shared" si="901"/>
        <v>185654</v>
      </c>
      <c r="GO159" s="465">
        <f t="shared" ref="GO159:IY159" si="902">GO158-GO157</f>
        <v>887251</v>
      </c>
      <c r="GP159" s="465">
        <f t="shared" si="902"/>
        <v>-35810</v>
      </c>
      <c r="GQ159" s="465">
        <f t="shared" si="902"/>
        <v>-430640</v>
      </c>
      <c r="GR159" s="465">
        <f t="shared" si="902"/>
        <v>-83152</v>
      </c>
      <c r="GS159" s="465">
        <f t="shared" si="902"/>
        <v>-165886</v>
      </c>
      <c r="GT159" s="465">
        <f t="shared" si="902"/>
        <v>339288</v>
      </c>
      <c r="GU159" s="465">
        <f t="shared" si="902"/>
        <v>45869</v>
      </c>
      <c r="GV159" s="465">
        <f t="shared" si="902"/>
        <v>40190</v>
      </c>
      <c r="GW159" s="465">
        <f t="shared" si="902"/>
        <v>-192146</v>
      </c>
      <c r="GX159" s="465">
        <f t="shared" si="902"/>
        <v>-4333</v>
      </c>
      <c r="GY159" s="465">
        <f t="shared" si="902"/>
        <v>447840</v>
      </c>
      <c r="GZ159" s="465">
        <f t="shared" si="902"/>
        <v>3222820.7912944802</v>
      </c>
      <c r="HA159" s="465">
        <f t="shared" si="902"/>
        <v>323440</v>
      </c>
      <c r="HB159" s="465">
        <f t="shared" si="902"/>
        <v>250360</v>
      </c>
      <c r="HC159" s="465">
        <f t="shared" si="902"/>
        <v>400660</v>
      </c>
      <c r="HD159" s="465">
        <f t="shared" si="902"/>
        <v>507250</v>
      </c>
      <c r="HE159" s="465">
        <f t="shared" si="902"/>
        <v>502000</v>
      </c>
      <c r="HF159" s="465">
        <f t="shared" si="902"/>
        <v>73634</v>
      </c>
      <c r="HG159" s="465">
        <f t="shared" si="902"/>
        <v>-34317</v>
      </c>
      <c r="HH159" s="465">
        <f t="shared" si="902"/>
        <v>-115198</v>
      </c>
      <c r="HI159" s="465">
        <f t="shared" si="902"/>
        <v>-270683</v>
      </c>
      <c r="HJ159" s="465">
        <f t="shared" si="902"/>
        <v>502448.83102156827</v>
      </c>
      <c r="HK159" s="465">
        <f t="shared" si="902"/>
        <v>-144000</v>
      </c>
      <c r="HL159" s="465">
        <f t="shared" si="902"/>
        <v>250003.31771603972</v>
      </c>
      <c r="HM159" s="465">
        <f t="shared" si="902"/>
        <v>1.7734231017529964</v>
      </c>
      <c r="HN159" s="465">
        <f t="shared" si="902"/>
        <v>183981.06669069757</v>
      </c>
      <c r="HO159" s="465">
        <f t="shared" si="902"/>
        <v>-29609.132768688723</v>
      </c>
      <c r="HP159" s="465">
        <f t="shared" si="902"/>
        <v>2</v>
      </c>
      <c r="HQ159" s="465">
        <f t="shared" si="902"/>
        <v>-0.32396511430852115</v>
      </c>
      <c r="HR159" s="465">
        <f t="shared" si="902"/>
        <v>792504.95570727065</v>
      </c>
      <c r="HS159" s="465">
        <f t="shared" si="902"/>
        <v>765003.36825784948</v>
      </c>
      <c r="HT159" s="465">
        <f t="shared" si="902"/>
        <v>5</v>
      </c>
      <c r="HU159" s="465">
        <f t="shared" si="902"/>
        <v>-4</v>
      </c>
      <c r="HV159" s="465">
        <f t="shared" si="902"/>
        <v>1500003</v>
      </c>
      <c r="HW159" s="465">
        <f t="shared" si="902"/>
        <v>-1985002.5558626438</v>
      </c>
      <c r="HX159" s="465">
        <f t="shared" si="902"/>
        <v>2755042.5558626428</v>
      </c>
      <c r="HY159" s="465">
        <f t="shared" si="902"/>
        <v>-2</v>
      </c>
      <c r="HZ159" s="465">
        <f t="shared" si="902"/>
        <v>-1</v>
      </c>
      <c r="IA159" s="465">
        <f t="shared" si="902"/>
        <v>3</v>
      </c>
      <c r="IB159" s="465">
        <f t="shared" si="902"/>
        <v>459999</v>
      </c>
      <c r="IC159" s="465">
        <f t="shared" si="902"/>
        <v>-3.3670759554952383</v>
      </c>
      <c r="ID159" s="465">
        <f t="shared" si="902"/>
        <v>-2.6329240463674068</v>
      </c>
      <c r="IE159" s="465">
        <f t="shared" si="902"/>
        <v>499998</v>
      </c>
      <c r="IF159" s="465">
        <f t="shared" si="902"/>
        <v>249999.36018404365</v>
      </c>
      <c r="IG159" s="465">
        <f t="shared" si="902"/>
        <v>3.6398159582167864</v>
      </c>
      <c r="IH159" s="465">
        <f t="shared" si="902"/>
        <v>3.4417552216909826</v>
      </c>
      <c r="II159" s="465">
        <f t="shared" si="902"/>
        <v>429997.19596596062</v>
      </c>
      <c r="IJ159" s="465">
        <f t="shared" si="902"/>
        <v>99995.444456551224</v>
      </c>
      <c r="IK159" s="465">
        <f t="shared" si="902"/>
        <v>162704.91782226553</v>
      </c>
      <c r="IL159" s="465">
        <f t="shared" si="902"/>
        <v>900004</v>
      </c>
      <c r="IM159" s="465">
        <f t="shared" si="902"/>
        <v>1.101123594911769</v>
      </c>
      <c r="IN159" s="465">
        <f t="shared" si="902"/>
        <v>2.1909179929643869</v>
      </c>
      <c r="IO159" s="465">
        <f t="shared" si="902"/>
        <v>3.7079584123566747</v>
      </c>
      <c r="IP159" s="465">
        <f t="shared" si="902"/>
        <v>3</v>
      </c>
      <c r="IQ159" s="465">
        <f t="shared" si="902"/>
        <v>-1.3545356839895248</v>
      </c>
      <c r="IR159" s="465">
        <f t="shared" si="902"/>
        <v>2.3545356850372627</v>
      </c>
      <c r="IS159" s="465">
        <f t="shared" si="902"/>
        <v>1399995.2429514453</v>
      </c>
      <c r="IT159" s="465">
        <f t="shared" si="902"/>
        <v>300000.75704855472</v>
      </c>
      <c r="IU159" s="465">
        <f t="shared" si="902"/>
        <v>-1.8972780024632812</v>
      </c>
      <c r="IV159" s="465">
        <f t="shared" si="902"/>
        <v>-3.8423596415668726</v>
      </c>
      <c r="IW159" s="465">
        <f t="shared" si="902"/>
        <v>3.9153672605752945</v>
      </c>
      <c r="IX159" s="465">
        <f t="shared" si="902"/>
        <v>-4.1757296146824956</v>
      </c>
      <c r="IY159" s="465">
        <f t="shared" si="902"/>
        <v>-2000001.4628047673</v>
      </c>
      <c r="IZ159" s="465">
        <f>IZ158-IZ157</f>
        <v>2649999.4628047682</v>
      </c>
      <c r="JA159" s="465">
        <f t="shared" ref="JA159:JH159" si="903">JA158-JA157</f>
        <v>0</v>
      </c>
      <c r="JB159" s="465">
        <f t="shared" si="903"/>
        <v>0</v>
      </c>
      <c r="JC159" s="465">
        <f t="shared" si="903"/>
        <v>0</v>
      </c>
      <c r="JD159" s="465">
        <f t="shared" si="903"/>
        <v>-1176392</v>
      </c>
      <c r="JE159" s="465">
        <f t="shared" si="903"/>
        <v>-4.2460617758333683</v>
      </c>
      <c r="JF159" s="465">
        <f t="shared" si="903"/>
        <v>3484999.2460617796</v>
      </c>
      <c r="JG159" s="465">
        <f t="shared" si="903"/>
        <v>-461035.59501437843</v>
      </c>
      <c r="JH159" s="465">
        <f t="shared" si="903"/>
        <v>0</v>
      </c>
      <c r="JI159" s="465">
        <f t="shared" si="889"/>
        <v>70556643.847474977</v>
      </c>
      <c r="JL159" s="307">
        <f t="shared" si="890"/>
        <v>2745095</v>
      </c>
      <c r="JM159" s="307">
        <f t="shared" si="890"/>
        <v>42103724.046612956</v>
      </c>
      <c r="JN159" s="307">
        <f t="shared" si="890"/>
        <v>14475628.370815251</v>
      </c>
      <c r="JO159" s="307">
        <f t="shared" si="890"/>
        <v>11232196.430046782</v>
      </c>
      <c r="JP159" s="307">
        <f t="shared" si="891"/>
        <v>70556643.847474992</v>
      </c>
    </row>
    <row r="160" spans="1:276" x14ac:dyDescent="0.25">
      <c r="B160" s="629" t="s">
        <v>2580</v>
      </c>
      <c r="C160" s="491">
        <f>IF(C159&gt;0,C159,0)</f>
        <v>1235420</v>
      </c>
      <c r="D160" s="491">
        <f t="shared" ref="D160:BP160" si="904">IF(D159&gt;0,D159,0)</f>
        <v>1406900</v>
      </c>
      <c r="E160" s="491">
        <f t="shared" si="904"/>
        <v>102775</v>
      </c>
      <c r="F160" s="491">
        <f t="shared" si="904"/>
        <v>132280</v>
      </c>
      <c r="G160" s="491">
        <f t="shared" si="904"/>
        <v>1429650</v>
      </c>
      <c r="H160" s="491">
        <f t="shared" si="904"/>
        <v>65710.416111308965</v>
      </c>
      <c r="I160" s="491">
        <f t="shared" si="904"/>
        <v>941977.47419521306</v>
      </c>
      <c r="J160" s="491">
        <f t="shared" si="904"/>
        <v>85670.548336183652</v>
      </c>
      <c r="K160" s="491">
        <f t="shared" si="904"/>
        <v>618538</v>
      </c>
      <c r="L160" s="491">
        <f t="shared" si="904"/>
        <v>0</v>
      </c>
      <c r="M160" s="491">
        <f t="shared" si="904"/>
        <v>30491</v>
      </c>
      <c r="N160" s="491">
        <f t="shared" si="904"/>
        <v>0</v>
      </c>
      <c r="O160" s="491">
        <f t="shared" si="904"/>
        <v>151211</v>
      </c>
      <c r="P160" s="491">
        <f t="shared" si="904"/>
        <v>108014</v>
      </c>
      <c r="Q160" s="491">
        <f t="shared" si="904"/>
        <v>371223</v>
      </c>
      <c r="R160" s="491">
        <f t="shared" si="904"/>
        <v>0</v>
      </c>
      <c r="S160" s="491">
        <f t="shared" si="904"/>
        <v>0</v>
      </c>
      <c r="T160" s="491">
        <f t="shared" si="904"/>
        <v>31434</v>
      </c>
      <c r="U160" s="491">
        <f t="shared" si="904"/>
        <v>0</v>
      </c>
      <c r="V160" s="491">
        <f t="shared" si="904"/>
        <v>0</v>
      </c>
      <c r="W160" s="491">
        <f t="shared" si="904"/>
        <v>305000</v>
      </c>
      <c r="X160" s="491">
        <f t="shared" si="904"/>
        <v>978300</v>
      </c>
      <c r="Y160" s="491">
        <f t="shared" si="904"/>
        <v>12890</v>
      </c>
      <c r="Z160" s="491">
        <f t="shared" si="904"/>
        <v>379920</v>
      </c>
      <c r="AA160" s="491">
        <f t="shared" si="904"/>
        <v>394890</v>
      </c>
      <c r="AB160" s="491">
        <f t="shared" si="904"/>
        <v>266560</v>
      </c>
      <c r="AC160" s="491">
        <f t="shared" ref="AC160" si="905">IF(AC159&gt;0,AC159,0)</f>
        <v>0</v>
      </c>
      <c r="AD160" s="491">
        <f t="shared" si="904"/>
        <v>744990</v>
      </c>
      <c r="AE160" s="491">
        <f t="shared" si="904"/>
        <v>76843</v>
      </c>
      <c r="AF160" s="491">
        <f t="shared" si="904"/>
        <v>1219240</v>
      </c>
      <c r="AG160" s="491">
        <f t="shared" si="904"/>
        <v>125058</v>
      </c>
      <c r="AH160" s="491">
        <f t="shared" si="904"/>
        <v>0</v>
      </c>
      <c r="AI160" s="491">
        <f t="shared" si="904"/>
        <v>510300</v>
      </c>
      <c r="AJ160" s="491">
        <f t="shared" si="904"/>
        <v>134700</v>
      </c>
      <c r="AK160" s="491">
        <f t="shared" si="904"/>
        <v>53995</v>
      </c>
      <c r="AL160" s="491">
        <f t="shared" si="904"/>
        <v>92494</v>
      </c>
      <c r="AM160" s="491">
        <f t="shared" si="904"/>
        <v>125218</v>
      </c>
      <c r="AN160" s="491">
        <f t="shared" si="904"/>
        <v>0</v>
      </c>
      <c r="AO160" s="491">
        <f t="shared" si="904"/>
        <v>615412</v>
      </c>
      <c r="AP160" s="491">
        <f t="shared" si="904"/>
        <v>0</v>
      </c>
      <c r="AQ160" s="491">
        <f t="shared" si="904"/>
        <v>2</v>
      </c>
      <c r="AR160" s="491">
        <f t="shared" si="904"/>
        <v>401149</v>
      </c>
      <c r="AS160" s="491">
        <f t="shared" si="904"/>
        <v>2658</v>
      </c>
      <c r="AT160" s="491">
        <f t="shared" si="904"/>
        <v>4</v>
      </c>
      <c r="AU160" s="491">
        <f t="shared" si="904"/>
        <v>97948</v>
      </c>
      <c r="AV160" s="491">
        <f t="shared" si="904"/>
        <v>137042</v>
      </c>
      <c r="AW160" s="491">
        <f t="shared" si="904"/>
        <v>272535.54269331275</v>
      </c>
      <c r="AX160" s="491">
        <f t="shared" si="904"/>
        <v>0</v>
      </c>
      <c r="AY160" s="491">
        <f t="shared" si="904"/>
        <v>182498</v>
      </c>
      <c r="AZ160" s="491">
        <f t="shared" si="904"/>
        <v>49765</v>
      </c>
      <c r="BA160" s="491">
        <f t="shared" si="904"/>
        <v>1814732</v>
      </c>
      <c r="BB160" s="491">
        <f t="shared" si="904"/>
        <v>292796</v>
      </c>
      <c r="BC160" s="491">
        <f t="shared" si="904"/>
        <v>214995</v>
      </c>
      <c r="BD160" s="491">
        <f t="shared" si="904"/>
        <v>638440</v>
      </c>
      <c r="BE160" s="491">
        <f t="shared" si="904"/>
        <v>86784.356650778558</v>
      </c>
      <c r="BF160" s="491">
        <f t="shared" si="904"/>
        <v>131040</v>
      </c>
      <c r="BG160" s="491">
        <f t="shared" si="904"/>
        <v>154784</v>
      </c>
      <c r="BH160" s="491">
        <f t="shared" si="904"/>
        <v>127042</v>
      </c>
      <c r="BI160" s="491">
        <f t="shared" si="904"/>
        <v>0</v>
      </c>
      <c r="BJ160" s="491">
        <f t="shared" si="904"/>
        <v>81839</v>
      </c>
      <c r="BK160" s="491">
        <f t="shared" si="904"/>
        <v>136000</v>
      </c>
      <c r="BL160" s="491">
        <f t="shared" si="904"/>
        <v>455140</v>
      </c>
      <c r="BM160" s="491">
        <f t="shared" si="904"/>
        <v>849720</v>
      </c>
      <c r="BN160" s="491">
        <f t="shared" si="904"/>
        <v>59100</v>
      </c>
      <c r="BO160" s="491">
        <f t="shared" si="904"/>
        <v>217320</v>
      </c>
      <c r="BP160" s="491">
        <f t="shared" si="904"/>
        <v>732773</v>
      </c>
      <c r="BQ160" s="491">
        <f t="shared" ref="BQ160:EB160" si="906">IF(BQ159&gt;0,BQ159,0)</f>
        <v>31797.455608832184</v>
      </c>
      <c r="BR160" s="491">
        <f t="shared" si="906"/>
        <v>138680</v>
      </c>
      <c r="BS160" s="491">
        <f t="shared" si="906"/>
        <v>0</v>
      </c>
      <c r="BT160" s="491">
        <f t="shared" si="906"/>
        <v>54060</v>
      </c>
      <c r="BU160" s="491">
        <f t="shared" si="906"/>
        <v>2</v>
      </c>
      <c r="BV160" s="491">
        <f t="shared" si="906"/>
        <v>589000</v>
      </c>
      <c r="BW160" s="491">
        <f t="shared" si="906"/>
        <v>0</v>
      </c>
      <c r="BX160" s="491">
        <f t="shared" si="906"/>
        <v>703447</v>
      </c>
      <c r="BY160" s="491">
        <f t="shared" si="906"/>
        <v>0</v>
      </c>
      <c r="BZ160" s="491">
        <f t="shared" si="906"/>
        <v>0</v>
      </c>
      <c r="CA160" s="491">
        <f t="shared" si="906"/>
        <v>0</v>
      </c>
      <c r="CB160" s="491">
        <f t="shared" si="906"/>
        <v>0</v>
      </c>
      <c r="CC160" s="491">
        <f t="shared" si="906"/>
        <v>117642</v>
      </c>
      <c r="CD160" s="491">
        <f t="shared" si="906"/>
        <v>0</v>
      </c>
      <c r="CE160" s="491">
        <f t="shared" si="906"/>
        <v>1446195</v>
      </c>
      <c r="CF160" s="491">
        <f t="shared" si="906"/>
        <v>127620</v>
      </c>
      <c r="CG160" s="491">
        <f t="shared" si="906"/>
        <v>570096</v>
      </c>
      <c r="CH160" s="491">
        <f t="shared" si="906"/>
        <v>305133.07924963161</v>
      </c>
      <c r="CI160" s="491">
        <f t="shared" si="906"/>
        <v>414452.81140256021</v>
      </c>
      <c r="CJ160" s="491">
        <f t="shared" si="906"/>
        <v>394670</v>
      </c>
      <c r="CK160" s="491">
        <f t="shared" si="906"/>
        <v>289377</v>
      </c>
      <c r="CL160" s="491">
        <f t="shared" si="906"/>
        <v>170391.15127240773</v>
      </c>
      <c r="CM160" s="491">
        <f t="shared" si="906"/>
        <v>691680</v>
      </c>
      <c r="CN160" s="491">
        <f t="shared" si="906"/>
        <v>4.8600000001024455</v>
      </c>
      <c r="CO160" s="491">
        <f t="shared" si="906"/>
        <v>0</v>
      </c>
      <c r="CP160" s="491">
        <f t="shared" si="906"/>
        <v>4.5400000000372529</v>
      </c>
      <c r="CQ160" s="491">
        <f t="shared" si="906"/>
        <v>908774</v>
      </c>
      <c r="CR160" s="491">
        <f t="shared" si="906"/>
        <v>714290</v>
      </c>
      <c r="CS160" s="491">
        <f t="shared" si="906"/>
        <v>3402237.5858069072</v>
      </c>
      <c r="CT160" s="491">
        <f t="shared" si="906"/>
        <v>859679.81036627945</v>
      </c>
      <c r="CU160" s="491">
        <f t="shared" si="906"/>
        <v>474500</v>
      </c>
      <c r="CV160" s="491">
        <f t="shared" si="906"/>
        <v>613490</v>
      </c>
      <c r="CW160" s="491">
        <f t="shared" si="906"/>
        <v>128599</v>
      </c>
      <c r="CX160" s="491">
        <f t="shared" si="906"/>
        <v>329000</v>
      </c>
      <c r="CY160" s="491">
        <f t="shared" si="906"/>
        <v>132126</v>
      </c>
      <c r="CZ160" s="491">
        <f t="shared" si="906"/>
        <v>368000</v>
      </c>
      <c r="DA160" s="491">
        <f t="shared" si="906"/>
        <v>2069140</v>
      </c>
      <c r="DB160" s="491">
        <f t="shared" si="906"/>
        <v>74282</v>
      </c>
      <c r="DC160" s="491">
        <f t="shared" si="906"/>
        <v>281020</v>
      </c>
      <c r="DD160" s="491">
        <f t="shared" si="906"/>
        <v>690116.64572781697</v>
      </c>
      <c r="DE160" s="491">
        <f t="shared" si="906"/>
        <v>429386</v>
      </c>
      <c r="DF160" s="491">
        <f t="shared" si="906"/>
        <v>0</v>
      </c>
      <c r="DG160" s="491">
        <f t="shared" si="906"/>
        <v>197200</v>
      </c>
      <c r="DH160" s="491">
        <f t="shared" si="906"/>
        <v>830968.9941313616</v>
      </c>
      <c r="DI160" s="491">
        <f t="shared" si="906"/>
        <v>43865.384096688125</v>
      </c>
      <c r="DJ160" s="491">
        <f t="shared" si="906"/>
        <v>37877.023685960099</v>
      </c>
      <c r="DK160" s="491">
        <f t="shared" si="906"/>
        <v>1666856.818091928</v>
      </c>
      <c r="DL160" s="491">
        <f t="shared" si="906"/>
        <v>0</v>
      </c>
      <c r="DM160" s="491">
        <f t="shared" si="906"/>
        <v>171152</v>
      </c>
      <c r="DN160" s="491">
        <f t="shared" si="906"/>
        <v>623905</v>
      </c>
      <c r="DO160" s="491">
        <f t="shared" si="906"/>
        <v>4525</v>
      </c>
      <c r="DP160" s="491">
        <f t="shared" si="906"/>
        <v>0</v>
      </c>
      <c r="DQ160" s="491">
        <f t="shared" si="906"/>
        <v>31798</v>
      </c>
      <c r="DR160" s="491">
        <f t="shared" si="906"/>
        <v>0</v>
      </c>
      <c r="DS160" s="491">
        <f t="shared" si="906"/>
        <v>547000</v>
      </c>
      <c r="DT160" s="491">
        <f t="shared" si="906"/>
        <v>108709</v>
      </c>
      <c r="DU160" s="491">
        <f t="shared" si="906"/>
        <v>18908.963338879868</v>
      </c>
      <c r="DV160" s="491">
        <f t="shared" si="906"/>
        <v>1277853</v>
      </c>
      <c r="DW160" s="491">
        <f t="shared" si="906"/>
        <v>251601.57345701009</v>
      </c>
      <c r="DX160" s="491">
        <f t="shared" si="906"/>
        <v>433801.15410795156</v>
      </c>
      <c r="DY160" s="491">
        <f t="shared" si="906"/>
        <v>825990</v>
      </c>
      <c r="DZ160" s="491">
        <f t="shared" si="906"/>
        <v>7630</v>
      </c>
      <c r="EA160" s="491">
        <f t="shared" si="906"/>
        <v>2</v>
      </c>
      <c r="EB160" s="491">
        <f t="shared" si="906"/>
        <v>188920</v>
      </c>
      <c r="EC160" s="491">
        <f t="shared" ref="EC160:GN160" si="907">IF(EC159&gt;0,EC159,0)</f>
        <v>162386</v>
      </c>
      <c r="ED160" s="491">
        <f t="shared" si="907"/>
        <v>317052</v>
      </c>
      <c r="EE160" s="491">
        <f t="shared" si="907"/>
        <v>46376</v>
      </c>
      <c r="EF160" s="491">
        <f t="shared" si="907"/>
        <v>0</v>
      </c>
      <c r="EG160" s="491">
        <f t="shared" si="907"/>
        <v>0</v>
      </c>
      <c r="EH160" s="491">
        <f t="shared" si="907"/>
        <v>35330</v>
      </c>
      <c r="EI160" s="491">
        <f t="shared" si="907"/>
        <v>114247</v>
      </c>
      <c r="EJ160" s="491">
        <f t="shared" si="907"/>
        <v>220123.11828195211</v>
      </c>
      <c r="EK160" s="491">
        <f t="shared" si="907"/>
        <v>0</v>
      </c>
      <c r="EL160" s="491">
        <f t="shared" si="907"/>
        <v>272054</v>
      </c>
      <c r="EM160" s="491">
        <f t="shared" si="907"/>
        <v>66882</v>
      </c>
      <c r="EN160" s="491">
        <f t="shared" si="907"/>
        <v>132127</v>
      </c>
      <c r="EO160" s="491">
        <f t="shared" si="907"/>
        <v>75402</v>
      </c>
      <c r="EP160" s="491">
        <f t="shared" si="907"/>
        <v>798937</v>
      </c>
      <c r="EQ160" s="491">
        <f t="shared" si="907"/>
        <v>95228</v>
      </c>
      <c r="ER160" s="491">
        <f t="shared" si="907"/>
        <v>977132</v>
      </c>
      <c r="ES160" s="491">
        <f t="shared" si="907"/>
        <v>118810</v>
      </c>
      <c r="ET160" s="491">
        <f t="shared" si="907"/>
        <v>901340</v>
      </c>
      <c r="EU160" s="491">
        <f t="shared" si="907"/>
        <v>1252000</v>
      </c>
      <c r="EV160" s="491">
        <f t="shared" si="907"/>
        <v>217555</v>
      </c>
      <c r="EW160" s="491">
        <f t="shared" si="907"/>
        <v>148747</v>
      </c>
      <c r="EX160" s="491">
        <f t="shared" si="907"/>
        <v>170020</v>
      </c>
      <c r="EY160" s="491">
        <f t="shared" si="907"/>
        <v>14325</v>
      </c>
      <c r="EZ160" s="491">
        <f t="shared" si="907"/>
        <v>0</v>
      </c>
      <c r="FA160" s="491">
        <f t="shared" si="907"/>
        <v>196308</v>
      </c>
      <c r="FB160" s="491">
        <f t="shared" si="907"/>
        <v>38049</v>
      </c>
      <c r="FC160" s="491">
        <f t="shared" si="907"/>
        <v>42200</v>
      </c>
      <c r="FD160" s="491">
        <f t="shared" si="907"/>
        <v>286643.68250028812</v>
      </c>
      <c r="FE160" s="491">
        <f t="shared" si="907"/>
        <v>80750</v>
      </c>
      <c r="FF160" s="491">
        <f t="shared" si="907"/>
        <v>324470</v>
      </c>
      <c r="FG160" s="491">
        <f t="shared" si="907"/>
        <v>1019550</v>
      </c>
      <c r="FH160" s="491">
        <f t="shared" si="907"/>
        <v>271030</v>
      </c>
      <c r="FI160" s="491">
        <f t="shared" si="907"/>
        <v>2013903</v>
      </c>
      <c r="FJ160" s="491">
        <f t="shared" si="907"/>
        <v>275474</v>
      </c>
      <c r="FK160" s="491">
        <f t="shared" si="907"/>
        <v>0</v>
      </c>
      <c r="FL160" s="491">
        <f t="shared" si="907"/>
        <v>0</v>
      </c>
      <c r="FM160" s="491">
        <f t="shared" si="907"/>
        <v>0</v>
      </c>
      <c r="FN160" s="491">
        <f t="shared" si="907"/>
        <v>543650</v>
      </c>
      <c r="FO160" s="491">
        <f t="shared" si="907"/>
        <v>0</v>
      </c>
      <c r="FP160" s="491">
        <f t="shared" si="907"/>
        <v>206748</v>
      </c>
      <c r="FQ160" s="491">
        <f t="shared" si="907"/>
        <v>62857</v>
      </c>
      <c r="FR160" s="491">
        <f t="shared" si="907"/>
        <v>0</v>
      </c>
      <c r="FS160" s="491">
        <f t="shared" si="907"/>
        <v>0</v>
      </c>
      <c r="FT160" s="491">
        <f t="shared" si="907"/>
        <v>307280</v>
      </c>
      <c r="FU160" s="491">
        <f t="shared" si="907"/>
        <v>39283</v>
      </c>
      <c r="FV160" s="491">
        <f t="shared" si="907"/>
        <v>176</v>
      </c>
      <c r="FW160" s="491">
        <f t="shared" si="907"/>
        <v>0</v>
      </c>
      <c r="FX160" s="491">
        <f t="shared" si="907"/>
        <v>19604</v>
      </c>
      <c r="FY160" s="491">
        <f t="shared" si="907"/>
        <v>0</v>
      </c>
      <c r="FZ160" s="491">
        <f t="shared" si="907"/>
        <v>0</v>
      </c>
      <c r="GA160" s="491">
        <f t="shared" si="907"/>
        <v>240</v>
      </c>
      <c r="GB160" s="491">
        <f t="shared" si="907"/>
        <v>494640</v>
      </c>
      <c r="GC160" s="491">
        <f t="shared" si="907"/>
        <v>15551</v>
      </c>
      <c r="GD160" s="491">
        <f t="shared" si="907"/>
        <v>806649</v>
      </c>
      <c r="GE160" s="491">
        <f t="shared" si="907"/>
        <v>0</v>
      </c>
      <c r="GF160" s="491">
        <f t="shared" si="907"/>
        <v>291023</v>
      </c>
      <c r="GG160" s="491">
        <f t="shared" si="907"/>
        <v>0</v>
      </c>
      <c r="GH160" s="491">
        <f t="shared" si="907"/>
        <v>0</v>
      </c>
      <c r="GI160" s="491">
        <f t="shared" si="907"/>
        <v>855483</v>
      </c>
      <c r="GJ160" s="491">
        <f t="shared" si="907"/>
        <v>171699</v>
      </c>
      <c r="GK160" s="491">
        <f t="shared" si="907"/>
        <v>0</v>
      </c>
      <c r="GL160" s="491">
        <f t="shared" si="907"/>
        <v>0</v>
      </c>
      <c r="GM160" s="491">
        <f t="shared" si="907"/>
        <v>0</v>
      </c>
      <c r="GN160" s="491">
        <f t="shared" si="907"/>
        <v>185654</v>
      </c>
      <c r="GO160" s="491">
        <f t="shared" ref="GO160:IZ160" si="908">IF(GO159&gt;0,GO159,0)</f>
        <v>887251</v>
      </c>
      <c r="GP160" s="491">
        <f t="shared" si="908"/>
        <v>0</v>
      </c>
      <c r="GQ160" s="491">
        <f t="shared" si="908"/>
        <v>0</v>
      </c>
      <c r="GR160" s="491">
        <f t="shared" si="908"/>
        <v>0</v>
      </c>
      <c r="GS160" s="491">
        <f t="shared" si="908"/>
        <v>0</v>
      </c>
      <c r="GT160" s="491">
        <f t="shared" si="908"/>
        <v>339288</v>
      </c>
      <c r="GU160" s="491">
        <f t="shared" si="908"/>
        <v>45869</v>
      </c>
      <c r="GV160" s="491">
        <f t="shared" si="908"/>
        <v>40190</v>
      </c>
      <c r="GW160" s="491">
        <f t="shared" si="908"/>
        <v>0</v>
      </c>
      <c r="GX160" s="491">
        <f t="shared" si="908"/>
        <v>0</v>
      </c>
      <c r="GY160" s="491">
        <f t="shared" si="908"/>
        <v>447840</v>
      </c>
      <c r="GZ160" s="491">
        <f t="shared" si="908"/>
        <v>3222820.7912944802</v>
      </c>
      <c r="HA160" s="491">
        <f t="shared" si="908"/>
        <v>323440</v>
      </c>
      <c r="HB160" s="491">
        <f t="shared" si="908"/>
        <v>250360</v>
      </c>
      <c r="HC160" s="491">
        <f t="shared" si="908"/>
        <v>400660</v>
      </c>
      <c r="HD160" s="491">
        <f t="shared" si="908"/>
        <v>507250</v>
      </c>
      <c r="HE160" s="491">
        <f t="shared" si="908"/>
        <v>502000</v>
      </c>
      <c r="HF160" s="491">
        <f t="shared" si="908"/>
        <v>73634</v>
      </c>
      <c r="HG160" s="491">
        <f t="shared" si="908"/>
        <v>0</v>
      </c>
      <c r="HH160" s="491">
        <f t="shared" si="908"/>
        <v>0</v>
      </c>
      <c r="HI160" s="491">
        <f t="shared" si="908"/>
        <v>0</v>
      </c>
      <c r="HJ160" s="491">
        <f t="shared" si="908"/>
        <v>502448.83102156827</v>
      </c>
      <c r="HK160" s="491">
        <f t="shared" si="908"/>
        <v>0</v>
      </c>
      <c r="HL160" s="491">
        <f t="shared" si="908"/>
        <v>250003.31771603972</v>
      </c>
      <c r="HM160" s="491">
        <f t="shared" si="908"/>
        <v>1.7734231017529964</v>
      </c>
      <c r="HN160" s="491">
        <f t="shared" si="908"/>
        <v>183981.06669069757</v>
      </c>
      <c r="HO160" s="491">
        <f t="shared" si="908"/>
        <v>0</v>
      </c>
      <c r="HP160" s="491">
        <f t="shared" si="908"/>
        <v>2</v>
      </c>
      <c r="HQ160" s="491">
        <f t="shared" si="908"/>
        <v>0</v>
      </c>
      <c r="HR160" s="491">
        <f t="shared" si="908"/>
        <v>792504.95570727065</v>
      </c>
      <c r="HS160" s="491">
        <f t="shared" si="908"/>
        <v>765003.36825784948</v>
      </c>
      <c r="HT160" s="491">
        <f t="shared" si="908"/>
        <v>5</v>
      </c>
      <c r="HU160" s="491">
        <f t="shared" si="908"/>
        <v>0</v>
      </c>
      <c r="HV160" s="491">
        <f t="shared" si="908"/>
        <v>1500003</v>
      </c>
      <c r="HW160" s="491">
        <f t="shared" si="908"/>
        <v>0</v>
      </c>
      <c r="HX160" s="491">
        <f t="shared" si="908"/>
        <v>2755042.5558626428</v>
      </c>
      <c r="HY160" s="491">
        <f t="shared" si="908"/>
        <v>0</v>
      </c>
      <c r="HZ160" s="491">
        <f t="shared" si="908"/>
        <v>0</v>
      </c>
      <c r="IA160" s="491">
        <f t="shared" si="908"/>
        <v>3</v>
      </c>
      <c r="IB160" s="491">
        <f t="shared" si="908"/>
        <v>459999</v>
      </c>
      <c r="IC160" s="491">
        <f t="shared" si="908"/>
        <v>0</v>
      </c>
      <c r="ID160" s="491">
        <f t="shared" si="908"/>
        <v>0</v>
      </c>
      <c r="IE160" s="491">
        <f t="shared" si="908"/>
        <v>499998</v>
      </c>
      <c r="IF160" s="491">
        <f t="shared" si="908"/>
        <v>249999.36018404365</v>
      </c>
      <c r="IG160" s="491">
        <f t="shared" si="908"/>
        <v>3.6398159582167864</v>
      </c>
      <c r="IH160" s="491">
        <f t="shared" si="908"/>
        <v>3.4417552216909826</v>
      </c>
      <c r="II160" s="491">
        <f t="shared" si="908"/>
        <v>429997.19596596062</v>
      </c>
      <c r="IJ160" s="491">
        <f t="shared" si="908"/>
        <v>99995.444456551224</v>
      </c>
      <c r="IK160" s="491">
        <f t="shared" si="908"/>
        <v>162704.91782226553</v>
      </c>
      <c r="IL160" s="491">
        <f t="shared" si="908"/>
        <v>900004</v>
      </c>
      <c r="IM160" s="491">
        <f t="shared" si="908"/>
        <v>1.101123594911769</v>
      </c>
      <c r="IN160" s="491">
        <f t="shared" si="908"/>
        <v>2.1909179929643869</v>
      </c>
      <c r="IO160" s="491">
        <f t="shared" si="908"/>
        <v>3.7079584123566747</v>
      </c>
      <c r="IP160" s="491">
        <f t="shared" si="908"/>
        <v>3</v>
      </c>
      <c r="IQ160" s="491">
        <f t="shared" si="908"/>
        <v>0</v>
      </c>
      <c r="IR160" s="491">
        <f t="shared" si="908"/>
        <v>2.3545356850372627</v>
      </c>
      <c r="IS160" s="491">
        <f t="shared" si="908"/>
        <v>1399995.2429514453</v>
      </c>
      <c r="IT160" s="491">
        <f t="shared" si="908"/>
        <v>300000.75704855472</v>
      </c>
      <c r="IU160" s="491">
        <f t="shared" si="908"/>
        <v>0</v>
      </c>
      <c r="IV160" s="491">
        <f t="shared" si="908"/>
        <v>0</v>
      </c>
      <c r="IW160" s="491">
        <f t="shared" si="908"/>
        <v>3.9153672605752945</v>
      </c>
      <c r="IX160" s="491">
        <f t="shared" si="908"/>
        <v>0</v>
      </c>
      <c r="IY160" s="491">
        <f t="shared" si="908"/>
        <v>0</v>
      </c>
      <c r="IZ160" s="491">
        <f t="shared" si="908"/>
        <v>2649999.4628047682</v>
      </c>
      <c r="JA160" s="491">
        <f t="shared" ref="JA160:JH160" si="909">IF(JA159&gt;0,JA159,0)</f>
        <v>0</v>
      </c>
      <c r="JB160" s="491">
        <f t="shared" si="909"/>
        <v>0</v>
      </c>
      <c r="JC160" s="491">
        <f t="shared" si="909"/>
        <v>0</v>
      </c>
      <c r="JD160" s="491">
        <f t="shared" si="909"/>
        <v>0</v>
      </c>
      <c r="JE160" s="491">
        <f t="shared" si="909"/>
        <v>0</v>
      </c>
      <c r="JF160" s="491">
        <f t="shared" si="909"/>
        <v>3484999.2460617796</v>
      </c>
      <c r="JG160" s="491">
        <f t="shared" si="909"/>
        <v>0</v>
      </c>
      <c r="JH160" s="491">
        <f t="shared" si="909"/>
        <v>0</v>
      </c>
      <c r="JI160" s="491">
        <f>SUM(C160:JH160)</f>
        <v>83782974.627856433</v>
      </c>
      <c r="JL160" s="307">
        <f t="shared" si="890"/>
        <v>2745095</v>
      </c>
      <c r="JM160" s="307">
        <f t="shared" si="890"/>
        <v>45357660.306612976</v>
      </c>
      <c r="JN160" s="307">
        <f t="shared" si="890"/>
        <v>18795953.304816335</v>
      </c>
      <c r="JO160" s="307">
        <f t="shared" si="890"/>
        <v>16884266.0164271</v>
      </c>
      <c r="JP160" s="307">
        <f t="shared" si="891"/>
        <v>83782974.627856404</v>
      </c>
    </row>
    <row r="161" spans="2:276" x14ac:dyDescent="0.25">
      <c r="B161" s="629" t="s">
        <v>2572</v>
      </c>
      <c r="C161" s="491">
        <f>IF(C159&lt;0,C159,0)</f>
        <v>0</v>
      </c>
      <c r="D161" s="491">
        <f t="shared" ref="D161:BP161" si="910">IF(D159&lt;0,D159,0)</f>
        <v>0</v>
      </c>
      <c r="E161" s="491">
        <f t="shared" si="910"/>
        <v>0</v>
      </c>
      <c r="F161" s="491">
        <f t="shared" si="910"/>
        <v>0</v>
      </c>
      <c r="G161" s="491">
        <f t="shared" si="910"/>
        <v>0</v>
      </c>
      <c r="H161" s="491">
        <f t="shared" si="910"/>
        <v>0</v>
      </c>
      <c r="I161" s="491">
        <f t="shared" si="910"/>
        <v>0</v>
      </c>
      <c r="J161" s="491">
        <f t="shared" si="910"/>
        <v>0</v>
      </c>
      <c r="K161" s="491">
        <f t="shared" si="910"/>
        <v>0</v>
      </c>
      <c r="L161" s="491">
        <f t="shared" si="910"/>
        <v>0</v>
      </c>
      <c r="M161" s="491">
        <f t="shared" si="910"/>
        <v>0</v>
      </c>
      <c r="N161" s="491">
        <f t="shared" si="910"/>
        <v>0</v>
      </c>
      <c r="O161" s="491">
        <f t="shared" si="910"/>
        <v>0</v>
      </c>
      <c r="P161" s="491">
        <f t="shared" si="910"/>
        <v>0</v>
      </c>
      <c r="Q161" s="491">
        <f t="shared" si="910"/>
        <v>0</v>
      </c>
      <c r="R161" s="491">
        <f t="shared" si="910"/>
        <v>-94718.100000000093</v>
      </c>
      <c r="S161" s="491">
        <f t="shared" si="910"/>
        <v>-2.8000000000465661</v>
      </c>
      <c r="T161" s="491">
        <f t="shared" si="910"/>
        <v>0</v>
      </c>
      <c r="U161" s="491">
        <f t="shared" si="910"/>
        <v>-11704</v>
      </c>
      <c r="V161" s="491">
        <f t="shared" si="910"/>
        <v>-740000</v>
      </c>
      <c r="W161" s="491">
        <f t="shared" si="910"/>
        <v>0</v>
      </c>
      <c r="X161" s="491">
        <f t="shared" si="910"/>
        <v>0</v>
      </c>
      <c r="Y161" s="491">
        <f t="shared" si="910"/>
        <v>0</v>
      </c>
      <c r="Z161" s="491">
        <f t="shared" si="910"/>
        <v>0</v>
      </c>
      <c r="AA161" s="491">
        <f t="shared" si="910"/>
        <v>0</v>
      </c>
      <c r="AB161" s="491">
        <f t="shared" si="910"/>
        <v>0</v>
      </c>
      <c r="AC161" s="491">
        <f t="shared" ref="AC161" si="911">IF(AC159&lt;0,AC159,0)</f>
        <v>-1367500</v>
      </c>
      <c r="AD161" s="491">
        <f t="shared" si="910"/>
        <v>0</v>
      </c>
      <c r="AE161" s="491">
        <f t="shared" si="910"/>
        <v>0</v>
      </c>
      <c r="AF161" s="491">
        <f t="shared" si="910"/>
        <v>0</v>
      </c>
      <c r="AG161" s="491">
        <f t="shared" si="910"/>
        <v>0</v>
      </c>
      <c r="AH161" s="491">
        <f t="shared" si="910"/>
        <v>-7266</v>
      </c>
      <c r="AI161" s="491">
        <f t="shared" si="910"/>
        <v>0</v>
      </c>
      <c r="AJ161" s="491">
        <f t="shared" si="910"/>
        <v>0</v>
      </c>
      <c r="AK161" s="491">
        <f t="shared" si="910"/>
        <v>0</v>
      </c>
      <c r="AL161" s="491">
        <f t="shared" si="910"/>
        <v>0</v>
      </c>
      <c r="AM161" s="491">
        <f t="shared" si="910"/>
        <v>0</v>
      </c>
      <c r="AN161" s="491">
        <f t="shared" si="910"/>
        <v>0</v>
      </c>
      <c r="AO161" s="491">
        <f t="shared" si="910"/>
        <v>0</v>
      </c>
      <c r="AP161" s="491">
        <f t="shared" si="910"/>
        <v>-39775</v>
      </c>
      <c r="AQ161" s="491">
        <f t="shared" si="910"/>
        <v>0</v>
      </c>
      <c r="AR161" s="491">
        <f t="shared" si="910"/>
        <v>0</v>
      </c>
      <c r="AS161" s="491">
        <f t="shared" si="910"/>
        <v>0</v>
      </c>
      <c r="AT161" s="491">
        <f t="shared" si="910"/>
        <v>0</v>
      </c>
      <c r="AU161" s="491">
        <f t="shared" si="910"/>
        <v>0</v>
      </c>
      <c r="AV161" s="491">
        <f t="shared" si="910"/>
        <v>0</v>
      </c>
      <c r="AW161" s="491">
        <f t="shared" si="910"/>
        <v>0</v>
      </c>
      <c r="AX161" s="491">
        <f t="shared" si="910"/>
        <v>0</v>
      </c>
      <c r="AY161" s="491">
        <f t="shared" si="910"/>
        <v>0</v>
      </c>
      <c r="AZ161" s="491">
        <f t="shared" si="910"/>
        <v>0</v>
      </c>
      <c r="BA161" s="491">
        <f t="shared" si="910"/>
        <v>0</v>
      </c>
      <c r="BB161" s="491">
        <f t="shared" si="910"/>
        <v>0</v>
      </c>
      <c r="BC161" s="491">
        <f t="shared" si="910"/>
        <v>0</v>
      </c>
      <c r="BD161" s="491">
        <f t="shared" si="910"/>
        <v>0</v>
      </c>
      <c r="BE161" s="491">
        <f t="shared" si="910"/>
        <v>0</v>
      </c>
      <c r="BF161" s="491">
        <f t="shared" si="910"/>
        <v>0</v>
      </c>
      <c r="BG161" s="491">
        <f t="shared" si="910"/>
        <v>0</v>
      </c>
      <c r="BH161" s="491">
        <f t="shared" si="910"/>
        <v>0</v>
      </c>
      <c r="BI161" s="491">
        <f t="shared" si="910"/>
        <v>-198100</v>
      </c>
      <c r="BJ161" s="491">
        <f t="shared" si="910"/>
        <v>0</v>
      </c>
      <c r="BK161" s="491">
        <f t="shared" si="910"/>
        <v>0</v>
      </c>
      <c r="BL161" s="491">
        <f t="shared" si="910"/>
        <v>0</v>
      </c>
      <c r="BM161" s="491">
        <f t="shared" si="910"/>
        <v>0</v>
      </c>
      <c r="BN161" s="491">
        <f t="shared" si="910"/>
        <v>0</v>
      </c>
      <c r="BO161" s="491">
        <f t="shared" si="910"/>
        <v>0</v>
      </c>
      <c r="BP161" s="491">
        <f t="shared" si="910"/>
        <v>0</v>
      </c>
      <c r="BQ161" s="491">
        <f t="shared" ref="BQ161:EB161" si="912">IF(BQ159&lt;0,BQ159,0)</f>
        <v>0</v>
      </c>
      <c r="BR161" s="491">
        <f t="shared" si="912"/>
        <v>0</v>
      </c>
      <c r="BS161" s="491">
        <f t="shared" si="912"/>
        <v>-10000</v>
      </c>
      <c r="BT161" s="491">
        <f t="shared" si="912"/>
        <v>0</v>
      </c>
      <c r="BU161" s="491">
        <f t="shared" si="912"/>
        <v>0</v>
      </c>
      <c r="BV161" s="491">
        <f t="shared" si="912"/>
        <v>0</v>
      </c>
      <c r="BW161" s="491">
        <f t="shared" si="912"/>
        <v>-3</v>
      </c>
      <c r="BX161" s="491">
        <f t="shared" si="912"/>
        <v>0</v>
      </c>
      <c r="BY161" s="491">
        <f t="shared" si="912"/>
        <v>-4</v>
      </c>
      <c r="BZ161" s="491">
        <f t="shared" si="912"/>
        <v>0</v>
      </c>
      <c r="CA161" s="491">
        <f t="shared" si="912"/>
        <v>0</v>
      </c>
      <c r="CB161" s="491">
        <f t="shared" si="912"/>
        <v>-3</v>
      </c>
      <c r="CC161" s="491">
        <f t="shared" si="912"/>
        <v>0</v>
      </c>
      <c r="CD161" s="491">
        <f t="shared" si="912"/>
        <v>-9486</v>
      </c>
      <c r="CE161" s="491">
        <f t="shared" si="912"/>
        <v>0</v>
      </c>
      <c r="CF161" s="491">
        <f t="shared" si="912"/>
        <v>0</v>
      </c>
      <c r="CG161" s="491">
        <f t="shared" si="912"/>
        <v>0</v>
      </c>
      <c r="CH161" s="491">
        <f t="shared" si="912"/>
        <v>0</v>
      </c>
      <c r="CI161" s="491">
        <f t="shared" si="912"/>
        <v>0</v>
      </c>
      <c r="CJ161" s="491">
        <f t="shared" si="912"/>
        <v>0</v>
      </c>
      <c r="CK161" s="491">
        <f t="shared" si="912"/>
        <v>0</v>
      </c>
      <c r="CL161" s="491">
        <f t="shared" si="912"/>
        <v>0</v>
      </c>
      <c r="CM161" s="491">
        <f t="shared" si="912"/>
        <v>0</v>
      </c>
      <c r="CN161" s="491">
        <f t="shared" si="912"/>
        <v>0</v>
      </c>
      <c r="CO161" s="491">
        <f t="shared" si="912"/>
        <v>0</v>
      </c>
      <c r="CP161" s="491">
        <f t="shared" si="912"/>
        <v>0</v>
      </c>
      <c r="CQ161" s="491">
        <f t="shared" si="912"/>
        <v>0</v>
      </c>
      <c r="CR161" s="491">
        <f t="shared" si="912"/>
        <v>0</v>
      </c>
      <c r="CS161" s="491">
        <f t="shared" si="912"/>
        <v>0</v>
      </c>
      <c r="CT161" s="491">
        <f t="shared" si="912"/>
        <v>0</v>
      </c>
      <c r="CU161" s="491">
        <f t="shared" si="912"/>
        <v>0</v>
      </c>
      <c r="CV161" s="491">
        <f t="shared" si="912"/>
        <v>0</v>
      </c>
      <c r="CW161" s="491">
        <f t="shared" si="912"/>
        <v>0</v>
      </c>
      <c r="CX161" s="491">
        <f t="shared" si="912"/>
        <v>0</v>
      </c>
      <c r="CY161" s="491">
        <f t="shared" si="912"/>
        <v>0</v>
      </c>
      <c r="CZ161" s="491">
        <f t="shared" si="912"/>
        <v>0</v>
      </c>
      <c r="DA161" s="491">
        <f t="shared" si="912"/>
        <v>0</v>
      </c>
      <c r="DB161" s="491">
        <f t="shared" si="912"/>
        <v>0</v>
      </c>
      <c r="DC161" s="491">
        <f t="shared" si="912"/>
        <v>0</v>
      </c>
      <c r="DD161" s="491">
        <f t="shared" si="912"/>
        <v>0</v>
      </c>
      <c r="DE161" s="491">
        <f t="shared" si="912"/>
        <v>0</v>
      </c>
      <c r="DF161" s="491">
        <f t="shared" si="912"/>
        <v>-556092</v>
      </c>
      <c r="DG161" s="491">
        <f t="shared" si="912"/>
        <v>0</v>
      </c>
      <c r="DH161" s="491">
        <f t="shared" si="912"/>
        <v>0</v>
      </c>
      <c r="DI161" s="491">
        <f t="shared" si="912"/>
        <v>0</v>
      </c>
      <c r="DJ161" s="491">
        <f t="shared" si="912"/>
        <v>0</v>
      </c>
      <c r="DK161" s="491">
        <f t="shared" si="912"/>
        <v>0</v>
      </c>
      <c r="DL161" s="491">
        <f t="shared" si="912"/>
        <v>-4</v>
      </c>
      <c r="DM161" s="491">
        <f t="shared" si="912"/>
        <v>0</v>
      </c>
      <c r="DN161" s="491">
        <f t="shared" si="912"/>
        <v>0</v>
      </c>
      <c r="DO161" s="491">
        <f t="shared" si="912"/>
        <v>0</v>
      </c>
      <c r="DP161" s="491">
        <f t="shared" si="912"/>
        <v>-3.779999999795109</v>
      </c>
      <c r="DQ161" s="491">
        <f t="shared" si="912"/>
        <v>0</v>
      </c>
      <c r="DR161" s="491">
        <f t="shared" si="912"/>
        <v>-54356</v>
      </c>
      <c r="DS161" s="491">
        <f t="shared" si="912"/>
        <v>0</v>
      </c>
      <c r="DT161" s="491">
        <f t="shared" si="912"/>
        <v>0</v>
      </c>
      <c r="DU161" s="491">
        <f t="shared" si="912"/>
        <v>0</v>
      </c>
      <c r="DV161" s="491">
        <f t="shared" si="912"/>
        <v>0</v>
      </c>
      <c r="DW161" s="491">
        <f t="shared" si="912"/>
        <v>0</v>
      </c>
      <c r="DX161" s="491">
        <f t="shared" si="912"/>
        <v>0</v>
      </c>
      <c r="DY161" s="491">
        <f t="shared" si="912"/>
        <v>0</v>
      </c>
      <c r="DZ161" s="491">
        <f t="shared" si="912"/>
        <v>0</v>
      </c>
      <c r="EA161" s="491">
        <f t="shared" si="912"/>
        <v>0</v>
      </c>
      <c r="EB161" s="491">
        <f t="shared" si="912"/>
        <v>0</v>
      </c>
      <c r="EC161" s="491">
        <f t="shared" ref="EC161:GN161" si="913">IF(EC159&lt;0,EC159,0)</f>
        <v>0</v>
      </c>
      <c r="ED161" s="491">
        <f t="shared" si="913"/>
        <v>0</v>
      </c>
      <c r="EE161" s="491">
        <f t="shared" si="913"/>
        <v>0</v>
      </c>
      <c r="EF161" s="491">
        <f t="shared" si="913"/>
        <v>-3087.5899999999674</v>
      </c>
      <c r="EG161" s="491">
        <f t="shared" si="913"/>
        <v>-2828.9899999999907</v>
      </c>
      <c r="EH161" s="491">
        <f t="shared" si="913"/>
        <v>0</v>
      </c>
      <c r="EI161" s="491">
        <f t="shared" si="913"/>
        <v>0</v>
      </c>
      <c r="EJ161" s="491">
        <f t="shared" si="913"/>
        <v>0</v>
      </c>
      <c r="EK161" s="491">
        <f t="shared" si="913"/>
        <v>-159002</v>
      </c>
      <c r="EL161" s="491">
        <f t="shared" si="913"/>
        <v>0</v>
      </c>
      <c r="EM161" s="491">
        <f t="shared" si="913"/>
        <v>0</v>
      </c>
      <c r="EN161" s="491">
        <f t="shared" si="913"/>
        <v>0</v>
      </c>
      <c r="EO161" s="491">
        <f t="shared" si="913"/>
        <v>0</v>
      </c>
      <c r="EP161" s="491">
        <f t="shared" si="913"/>
        <v>0</v>
      </c>
      <c r="EQ161" s="491">
        <f t="shared" si="913"/>
        <v>0</v>
      </c>
      <c r="ER161" s="491">
        <f t="shared" si="913"/>
        <v>0</v>
      </c>
      <c r="ES161" s="491">
        <f t="shared" si="913"/>
        <v>0</v>
      </c>
      <c r="ET161" s="491">
        <f t="shared" si="913"/>
        <v>0</v>
      </c>
      <c r="EU161" s="491">
        <f t="shared" si="913"/>
        <v>0</v>
      </c>
      <c r="EV161" s="491">
        <f t="shared" si="913"/>
        <v>0</v>
      </c>
      <c r="EW161" s="491">
        <f t="shared" si="913"/>
        <v>0</v>
      </c>
      <c r="EX161" s="491">
        <f t="shared" si="913"/>
        <v>0</v>
      </c>
      <c r="EY161" s="491">
        <f t="shared" si="913"/>
        <v>0</v>
      </c>
      <c r="EZ161" s="491">
        <f t="shared" si="913"/>
        <v>-111326</v>
      </c>
      <c r="FA161" s="491">
        <f t="shared" si="913"/>
        <v>0</v>
      </c>
      <c r="FB161" s="491">
        <f t="shared" si="913"/>
        <v>0</v>
      </c>
      <c r="FC161" s="491">
        <f t="shared" si="913"/>
        <v>0</v>
      </c>
      <c r="FD161" s="491">
        <f t="shared" si="913"/>
        <v>0</v>
      </c>
      <c r="FE161" s="491">
        <f t="shared" si="913"/>
        <v>0</v>
      </c>
      <c r="FF161" s="491">
        <f t="shared" si="913"/>
        <v>0</v>
      </c>
      <c r="FG161" s="491">
        <f t="shared" si="913"/>
        <v>0</v>
      </c>
      <c r="FH161" s="491">
        <f t="shared" si="913"/>
        <v>0</v>
      </c>
      <c r="FI161" s="491">
        <f t="shared" si="913"/>
        <v>0</v>
      </c>
      <c r="FJ161" s="491">
        <f t="shared" si="913"/>
        <v>0</v>
      </c>
      <c r="FK161" s="491">
        <f t="shared" si="913"/>
        <v>-164692</v>
      </c>
      <c r="FL161" s="491">
        <f t="shared" si="913"/>
        <v>-312232</v>
      </c>
      <c r="FM161" s="491">
        <f t="shared" si="913"/>
        <v>-1683383</v>
      </c>
      <c r="FN161" s="491">
        <f t="shared" si="913"/>
        <v>0</v>
      </c>
      <c r="FO161" s="491">
        <f t="shared" si="913"/>
        <v>-5037</v>
      </c>
      <c r="FP161" s="491">
        <f t="shared" si="913"/>
        <v>0</v>
      </c>
      <c r="FQ161" s="491">
        <f t="shared" si="913"/>
        <v>0</v>
      </c>
      <c r="FR161" s="491">
        <f t="shared" si="913"/>
        <v>0</v>
      </c>
      <c r="FS161" s="491">
        <f t="shared" si="913"/>
        <v>-13560</v>
      </c>
      <c r="FT161" s="491">
        <f t="shared" si="913"/>
        <v>0</v>
      </c>
      <c r="FU161" s="491">
        <f t="shared" si="913"/>
        <v>0</v>
      </c>
      <c r="FV161" s="491">
        <f t="shared" si="913"/>
        <v>0</v>
      </c>
      <c r="FW161" s="491">
        <f t="shared" si="913"/>
        <v>-76055</v>
      </c>
      <c r="FX161" s="491">
        <f t="shared" si="913"/>
        <v>0</v>
      </c>
      <c r="FY161" s="491">
        <f t="shared" si="913"/>
        <v>-9591</v>
      </c>
      <c r="FZ161" s="491">
        <f t="shared" si="913"/>
        <v>-5060</v>
      </c>
      <c r="GA161" s="491">
        <f t="shared" si="913"/>
        <v>0</v>
      </c>
      <c r="GB161" s="491">
        <f t="shared" si="913"/>
        <v>0</v>
      </c>
      <c r="GC161" s="491">
        <f t="shared" si="913"/>
        <v>0</v>
      </c>
      <c r="GD161" s="491">
        <f t="shared" si="913"/>
        <v>0</v>
      </c>
      <c r="GE161" s="491">
        <f t="shared" si="913"/>
        <v>-109614.93400108395</v>
      </c>
      <c r="GF161" s="491">
        <f t="shared" si="913"/>
        <v>0</v>
      </c>
      <c r="GG161" s="491">
        <f t="shared" si="913"/>
        <v>-132561</v>
      </c>
      <c r="GH161" s="491">
        <f t="shared" si="913"/>
        <v>-34872</v>
      </c>
      <c r="GI161" s="491">
        <f t="shared" si="913"/>
        <v>0</v>
      </c>
      <c r="GJ161" s="491">
        <f t="shared" si="913"/>
        <v>0</v>
      </c>
      <c r="GK161" s="491">
        <f t="shared" si="913"/>
        <v>-66130</v>
      </c>
      <c r="GL161" s="491">
        <f t="shared" si="913"/>
        <v>-59346</v>
      </c>
      <c r="GM161" s="491">
        <f t="shared" si="913"/>
        <v>-60700</v>
      </c>
      <c r="GN161" s="491">
        <f t="shared" si="913"/>
        <v>0</v>
      </c>
      <c r="GO161" s="491">
        <f t="shared" ref="GO161:IZ161" si="914">IF(GO159&lt;0,GO159,0)</f>
        <v>0</v>
      </c>
      <c r="GP161" s="491">
        <f t="shared" si="914"/>
        <v>-35810</v>
      </c>
      <c r="GQ161" s="491">
        <f t="shared" si="914"/>
        <v>-430640</v>
      </c>
      <c r="GR161" s="491">
        <f t="shared" si="914"/>
        <v>-83152</v>
      </c>
      <c r="GS161" s="491">
        <f t="shared" si="914"/>
        <v>-165886</v>
      </c>
      <c r="GT161" s="491">
        <f t="shared" si="914"/>
        <v>0</v>
      </c>
      <c r="GU161" s="491">
        <f t="shared" si="914"/>
        <v>0</v>
      </c>
      <c r="GV161" s="491">
        <f t="shared" si="914"/>
        <v>0</v>
      </c>
      <c r="GW161" s="491">
        <f t="shared" si="914"/>
        <v>-192146</v>
      </c>
      <c r="GX161" s="491">
        <f t="shared" si="914"/>
        <v>-4333</v>
      </c>
      <c r="GY161" s="491">
        <f t="shared" si="914"/>
        <v>0</v>
      </c>
      <c r="GZ161" s="491">
        <f t="shared" si="914"/>
        <v>0</v>
      </c>
      <c r="HA161" s="491">
        <f t="shared" si="914"/>
        <v>0</v>
      </c>
      <c r="HB161" s="491">
        <f t="shared" si="914"/>
        <v>0</v>
      </c>
      <c r="HC161" s="491">
        <f t="shared" si="914"/>
        <v>0</v>
      </c>
      <c r="HD161" s="491">
        <f t="shared" si="914"/>
        <v>0</v>
      </c>
      <c r="HE161" s="491">
        <f t="shared" si="914"/>
        <v>0</v>
      </c>
      <c r="HF161" s="491">
        <f t="shared" si="914"/>
        <v>0</v>
      </c>
      <c r="HG161" s="491">
        <f t="shared" si="914"/>
        <v>-34317</v>
      </c>
      <c r="HH161" s="491">
        <f t="shared" si="914"/>
        <v>-115198</v>
      </c>
      <c r="HI161" s="491">
        <f t="shared" si="914"/>
        <v>-270683</v>
      </c>
      <c r="HJ161" s="491">
        <f t="shared" si="914"/>
        <v>0</v>
      </c>
      <c r="HK161" s="491">
        <f t="shared" si="914"/>
        <v>-144000</v>
      </c>
      <c r="HL161" s="491">
        <f t="shared" si="914"/>
        <v>0</v>
      </c>
      <c r="HM161" s="491">
        <f t="shared" si="914"/>
        <v>0</v>
      </c>
      <c r="HN161" s="491">
        <f t="shared" si="914"/>
        <v>0</v>
      </c>
      <c r="HO161" s="491">
        <f t="shared" si="914"/>
        <v>-29609.132768688723</v>
      </c>
      <c r="HP161" s="491">
        <f t="shared" si="914"/>
        <v>0</v>
      </c>
      <c r="HQ161" s="491">
        <f t="shared" si="914"/>
        <v>-0.32396511430852115</v>
      </c>
      <c r="HR161" s="491">
        <f t="shared" si="914"/>
        <v>0</v>
      </c>
      <c r="HS161" s="491">
        <f t="shared" si="914"/>
        <v>0</v>
      </c>
      <c r="HT161" s="491">
        <f t="shared" si="914"/>
        <v>0</v>
      </c>
      <c r="HU161" s="491">
        <f t="shared" si="914"/>
        <v>-4</v>
      </c>
      <c r="HV161" s="491">
        <f t="shared" si="914"/>
        <v>0</v>
      </c>
      <c r="HW161" s="491">
        <f t="shared" si="914"/>
        <v>-1985002.5558626438</v>
      </c>
      <c r="HX161" s="491">
        <f t="shared" si="914"/>
        <v>0</v>
      </c>
      <c r="HY161" s="491">
        <f t="shared" si="914"/>
        <v>-2</v>
      </c>
      <c r="HZ161" s="491">
        <f t="shared" si="914"/>
        <v>-1</v>
      </c>
      <c r="IA161" s="491">
        <f t="shared" si="914"/>
        <v>0</v>
      </c>
      <c r="IB161" s="491">
        <f t="shared" si="914"/>
        <v>0</v>
      </c>
      <c r="IC161" s="491">
        <f t="shared" si="914"/>
        <v>-3.3670759554952383</v>
      </c>
      <c r="ID161" s="491">
        <f t="shared" si="914"/>
        <v>-2.6329240463674068</v>
      </c>
      <c r="IE161" s="491">
        <f t="shared" si="914"/>
        <v>0</v>
      </c>
      <c r="IF161" s="491">
        <f t="shared" si="914"/>
        <v>0</v>
      </c>
      <c r="IG161" s="491">
        <f t="shared" si="914"/>
        <v>0</v>
      </c>
      <c r="IH161" s="491">
        <f t="shared" si="914"/>
        <v>0</v>
      </c>
      <c r="II161" s="491">
        <f t="shared" si="914"/>
        <v>0</v>
      </c>
      <c r="IJ161" s="491">
        <f t="shared" si="914"/>
        <v>0</v>
      </c>
      <c r="IK161" s="491">
        <f t="shared" si="914"/>
        <v>0</v>
      </c>
      <c r="IL161" s="491">
        <f t="shared" si="914"/>
        <v>0</v>
      </c>
      <c r="IM161" s="491">
        <f t="shared" si="914"/>
        <v>0</v>
      </c>
      <c r="IN161" s="491">
        <f t="shared" si="914"/>
        <v>0</v>
      </c>
      <c r="IO161" s="491">
        <f t="shared" si="914"/>
        <v>0</v>
      </c>
      <c r="IP161" s="491">
        <f t="shared" si="914"/>
        <v>0</v>
      </c>
      <c r="IQ161" s="491">
        <f t="shared" si="914"/>
        <v>-1.3545356839895248</v>
      </c>
      <c r="IR161" s="491">
        <f t="shared" si="914"/>
        <v>0</v>
      </c>
      <c r="IS161" s="491">
        <f t="shared" si="914"/>
        <v>0</v>
      </c>
      <c r="IT161" s="491">
        <f t="shared" si="914"/>
        <v>0</v>
      </c>
      <c r="IU161" s="491">
        <f t="shared" si="914"/>
        <v>-1.8972780024632812</v>
      </c>
      <c r="IV161" s="491">
        <f t="shared" si="914"/>
        <v>-3.8423596415668726</v>
      </c>
      <c r="IW161" s="491">
        <f t="shared" si="914"/>
        <v>0</v>
      </c>
      <c r="IX161" s="491">
        <f t="shared" si="914"/>
        <v>-4.1757296146824956</v>
      </c>
      <c r="IY161" s="491">
        <f t="shared" si="914"/>
        <v>-2000001.4628047673</v>
      </c>
      <c r="IZ161" s="491">
        <f t="shared" si="914"/>
        <v>0</v>
      </c>
      <c r="JA161" s="491">
        <f t="shared" ref="JA161:JH161" si="915">IF(JA159&lt;0,JA159,0)</f>
        <v>0</v>
      </c>
      <c r="JB161" s="491">
        <f t="shared" si="915"/>
        <v>0</v>
      </c>
      <c r="JC161" s="491">
        <f t="shared" si="915"/>
        <v>0</v>
      </c>
      <c r="JD161" s="491">
        <f t="shared" si="915"/>
        <v>-1176392</v>
      </c>
      <c r="JE161" s="491">
        <f t="shared" si="915"/>
        <v>-4.2460617758333683</v>
      </c>
      <c r="JF161" s="491">
        <f t="shared" si="915"/>
        <v>0</v>
      </c>
      <c r="JG161" s="491">
        <f t="shared" si="915"/>
        <v>-461035.59501437843</v>
      </c>
      <c r="JH161" s="491">
        <f t="shared" si="915"/>
        <v>0</v>
      </c>
      <c r="JI161" s="491">
        <f>SUM(C161:JH161)</f>
        <v>-13226330.7803814</v>
      </c>
      <c r="JL161" s="307">
        <f t="shared" si="890"/>
        <v>0</v>
      </c>
      <c r="JM161" s="307">
        <f t="shared" si="890"/>
        <v>-3253936.26</v>
      </c>
      <c r="JN161" s="307">
        <f t="shared" si="890"/>
        <v>-4320324.9340010844</v>
      </c>
      <c r="JO161" s="307">
        <f t="shared" si="890"/>
        <v>-5652069.5863803132</v>
      </c>
      <c r="JP161" s="307">
        <f t="shared" si="891"/>
        <v>-13226330.780381396</v>
      </c>
    </row>
    <row r="162" spans="2:276" x14ac:dyDescent="0.25">
      <c r="B162" s="313" t="s">
        <v>2637</v>
      </c>
      <c r="JL162" s="307">
        <f t="shared" ref="JL162:JN162" si="916">JL14-JL160-JL161</f>
        <v>757685.76244045049</v>
      </c>
      <c r="JM162" s="307">
        <f>JM14-JM160-JM161</f>
        <v>-10758931.529275654</v>
      </c>
      <c r="JN162" s="307">
        <f t="shared" si="916"/>
        <v>17149478.9598228</v>
      </c>
      <c r="JO162" s="307">
        <f>JO14-JO160-JO161</f>
        <v>45967498.845971115</v>
      </c>
      <c r="JP162" s="307">
        <f>JO162+JN162+JL162</f>
        <v>63874663.568234362</v>
      </c>
    </row>
    <row r="163" spans="2:276" x14ac:dyDescent="0.25">
      <c r="B163" s="313" t="s">
        <v>2632</v>
      </c>
      <c r="C163" s="307">
        <f>C46-C47-C48-C49-C148-C145</f>
        <v>361626.59525466152</v>
      </c>
      <c r="D163" s="307">
        <f t="shared" ref="D163:BP163" si="917">D46-D47-D48-D49-D148-D145</f>
        <v>350000</v>
      </c>
      <c r="E163" s="307">
        <f t="shared" si="917"/>
        <v>408010.43803386856</v>
      </c>
      <c r="F163" s="307">
        <f t="shared" si="917"/>
        <v>0</v>
      </c>
      <c r="G163" s="307">
        <f t="shared" si="917"/>
        <v>0</v>
      </c>
      <c r="H163" s="307">
        <f t="shared" si="917"/>
        <v>-350978.29629567324</v>
      </c>
      <c r="I163" s="307">
        <f t="shared" si="917"/>
        <v>-376628.49366994062</v>
      </c>
      <c r="J163" s="307">
        <f t="shared" si="917"/>
        <v>126485.23608403429</v>
      </c>
      <c r="K163" s="307">
        <f t="shared" si="917"/>
        <v>-419032.31589531992</v>
      </c>
      <c r="L163" s="307">
        <f t="shared" si="917"/>
        <v>-25014.170743059833</v>
      </c>
      <c r="M163" s="307">
        <f t="shared" si="917"/>
        <v>0</v>
      </c>
      <c r="N163" s="307">
        <f t="shared" si="917"/>
        <v>-892525.76594634727</v>
      </c>
      <c r="O163" s="307">
        <f t="shared" si="917"/>
        <v>-105005.78957660589</v>
      </c>
      <c r="P163" s="307">
        <f t="shared" si="917"/>
        <v>117000</v>
      </c>
      <c r="Q163" s="307">
        <f t="shared" si="917"/>
        <v>0</v>
      </c>
      <c r="R163" s="307">
        <f t="shared" si="917"/>
        <v>-34847.41443209257</v>
      </c>
      <c r="S163" s="307">
        <f t="shared" si="917"/>
        <v>-44857.72521024663</v>
      </c>
      <c r="T163" s="307">
        <f t="shared" si="917"/>
        <v>0</v>
      </c>
      <c r="U163" s="307">
        <f t="shared" si="917"/>
        <v>-138339.73383276933</v>
      </c>
      <c r="V163" s="307">
        <f t="shared" si="917"/>
        <v>537280</v>
      </c>
      <c r="W163" s="307">
        <f t="shared" si="917"/>
        <v>249600</v>
      </c>
      <c r="X163" s="307">
        <f t="shared" si="917"/>
        <v>-235254.72332073096</v>
      </c>
      <c r="Y163" s="307">
        <f t="shared" si="917"/>
        <v>199045.44921071106</v>
      </c>
      <c r="Z163" s="307">
        <f t="shared" si="917"/>
        <v>210000</v>
      </c>
      <c r="AA163" s="307">
        <f t="shared" si="917"/>
        <v>-225887.12232271861</v>
      </c>
      <c r="AB163" s="307">
        <f t="shared" si="917"/>
        <v>-678982.56975617446</v>
      </c>
      <c r="AC163" s="307">
        <f t="shared" ref="AC163" si="918">AC46-AC47-AC48-AC49-AC148-AC145</f>
        <v>-168338.47062468273</v>
      </c>
      <c r="AD163" s="307">
        <f t="shared" si="917"/>
        <v>-249124.42206219956</v>
      </c>
      <c r="AE163" s="307">
        <f t="shared" si="917"/>
        <v>0</v>
      </c>
      <c r="AF163" s="307">
        <f t="shared" si="917"/>
        <v>0</v>
      </c>
      <c r="AG163" s="307">
        <f t="shared" si="917"/>
        <v>-207705.72605321137</v>
      </c>
      <c r="AH163" s="307">
        <f t="shared" si="917"/>
        <v>47300</v>
      </c>
      <c r="AI163" s="307">
        <f t="shared" si="917"/>
        <v>964180</v>
      </c>
      <c r="AJ163" s="307">
        <f t="shared" si="917"/>
        <v>203040</v>
      </c>
      <c r="AK163" s="307">
        <f t="shared" si="917"/>
        <v>132468</v>
      </c>
      <c r="AL163" s="307">
        <f t="shared" si="917"/>
        <v>0</v>
      </c>
      <c r="AM163" s="307">
        <f t="shared" si="917"/>
        <v>0</v>
      </c>
      <c r="AN163" s="307">
        <f t="shared" si="917"/>
        <v>-248638.69405605283</v>
      </c>
      <c r="AO163" s="307">
        <f t="shared" si="917"/>
        <v>-1150721.896494789</v>
      </c>
      <c r="AP163" s="307">
        <f t="shared" si="917"/>
        <v>56974.883770398796</v>
      </c>
      <c r="AQ163" s="307">
        <f t="shared" si="917"/>
        <v>-243890.59568873851</v>
      </c>
      <c r="AR163" s="307">
        <f t="shared" si="917"/>
        <v>0</v>
      </c>
      <c r="AS163" s="307">
        <f t="shared" si="917"/>
        <v>-86589.113756441569</v>
      </c>
      <c r="AT163" s="307">
        <f t="shared" si="917"/>
        <v>-557971.23839106597</v>
      </c>
      <c r="AU163" s="307">
        <f t="shared" si="917"/>
        <v>-100330.65614401316</v>
      </c>
      <c r="AV163" s="307">
        <f t="shared" si="917"/>
        <v>0</v>
      </c>
      <c r="AW163" s="307">
        <f t="shared" si="917"/>
        <v>16112.012350120116</v>
      </c>
      <c r="AX163" s="307">
        <f t="shared" si="917"/>
        <v>-608319.50278577674</v>
      </c>
      <c r="AY163" s="307">
        <f t="shared" si="917"/>
        <v>-345508.70270350017</v>
      </c>
      <c r="AZ163" s="307">
        <f t="shared" si="917"/>
        <v>453507</v>
      </c>
      <c r="BA163" s="307">
        <f t="shared" si="917"/>
        <v>683000</v>
      </c>
      <c r="BB163" s="307">
        <f t="shared" si="917"/>
        <v>-41650.329521507723</v>
      </c>
      <c r="BC163" s="307">
        <f t="shared" si="917"/>
        <v>0</v>
      </c>
      <c r="BD163" s="307">
        <f t="shared" si="917"/>
        <v>-199914.38326196466</v>
      </c>
      <c r="BE163" s="307">
        <f t="shared" si="917"/>
        <v>-161601.54475307069</v>
      </c>
      <c r="BF163" s="307">
        <f t="shared" si="917"/>
        <v>649371.39419043064</v>
      </c>
      <c r="BG163" s="307">
        <f t="shared" si="917"/>
        <v>843000</v>
      </c>
      <c r="BH163" s="307">
        <f t="shared" si="917"/>
        <v>182109.24156050989</v>
      </c>
      <c r="BI163" s="307">
        <f t="shared" si="917"/>
        <v>1100000</v>
      </c>
      <c r="BJ163" s="307">
        <f t="shared" si="917"/>
        <v>-117222.18345255451</v>
      </c>
      <c r="BK163" s="307">
        <f t="shared" si="917"/>
        <v>22000</v>
      </c>
      <c r="BL163" s="307">
        <f t="shared" si="917"/>
        <v>0</v>
      </c>
      <c r="BM163" s="307">
        <f t="shared" si="917"/>
        <v>568973.04</v>
      </c>
      <c r="BN163" s="307">
        <f t="shared" si="917"/>
        <v>-21035.394914980512</v>
      </c>
      <c r="BO163" s="307">
        <f t="shared" si="917"/>
        <v>-131525.27864215546</v>
      </c>
      <c r="BP163" s="307">
        <f t="shared" si="917"/>
        <v>0</v>
      </c>
      <c r="BQ163" s="307">
        <f t="shared" ref="BQ163:EB163" si="919">BQ46-BQ47-BQ48-BQ49-BQ148-BQ145</f>
        <v>-40910.730088019649</v>
      </c>
      <c r="BR163" s="307">
        <f t="shared" si="919"/>
        <v>-90276.760449492256</v>
      </c>
      <c r="BS163" s="307">
        <f t="shared" si="919"/>
        <v>-193289.97956719738</v>
      </c>
      <c r="BT163" s="307">
        <f t="shared" si="919"/>
        <v>0</v>
      </c>
      <c r="BU163" s="307">
        <f t="shared" si="919"/>
        <v>-642700.77050449979</v>
      </c>
      <c r="BV163" s="307">
        <f t="shared" si="919"/>
        <v>-104151.05247350829</v>
      </c>
      <c r="BW163" s="307">
        <f t="shared" si="919"/>
        <v>-253400.15994741418</v>
      </c>
      <c r="BX163" s="307">
        <f t="shared" si="919"/>
        <v>-1456416.0673548868</v>
      </c>
      <c r="BY163" s="307">
        <f t="shared" si="919"/>
        <v>-184616.31126441457</v>
      </c>
      <c r="BZ163" s="307">
        <f t="shared" si="919"/>
        <v>-225130.01244640414</v>
      </c>
      <c r="CA163" s="307">
        <f t="shared" si="919"/>
        <v>0</v>
      </c>
      <c r="CB163" s="307">
        <f t="shared" si="919"/>
        <v>-372148.26152222138</v>
      </c>
      <c r="CC163" s="307">
        <f t="shared" si="919"/>
        <v>-228041.75251266407</v>
      </c>
      <c r="CD163" s="307">
        <f t="shared" si="919"/>
        <v>-51074.706077585928</v>
      </c>
      <c r="CE163" s="307">
        <f t="shared" si="919"/>
        <v>0</v>
      </c>
      <c r="CF163" s="307">
        <f t="shared" si="919"/>
        <v>0</v>
      </c>
      <c r="CG163" s="307">
        <f t="shared" si="919"/>
        <v>-26000</v>
      </c>
      <c r="CH163" s="307">
        <f t="shared" si="919"/>
        <v>-316149.07924963161</v>
      </c>
      <c r="CI163" s="307">
        <f t="shared" si="919"/>
        <v>21633.155796868727</v>
      </c>
      <c r="CJ163" s="307">
        <f t="shared" si="919"/>
        <v>0</v>
      </c>
      <c r="CK163" s="307">
        <f t="shared" si="919"/>
        <v>105780</v>
      </c>
      <c r="CL163" s="307">
        <f t="shared" si="919"/>
        <v>56438.59728209069</v>
      </c>
      <c r="CM163" s="307">
        <f t="shared" si="919"/>
        <v>0</v>
      </c>
      <c r="CN163" s="307">
        <f t="shared" si="919"/>
        <v>-192152.05856648134</v>
      </c>
      <c r="CO163" s="307">
        <f t="shared" si="919"/>
        <v>-149642.14584698994</v>
      </c>
      <c r="CP163" s="307">
        <f t="shared" si="919"/>
        <v>-168949.86264729407</v>
      </c>
      <c r="CQ163" s="307">
        <f t="shared" si="919"/>
        <v>0</v>
      </c>
      <c r="CR163" s="307">
        <f t="shared" si="919"/>
        <v>36723</v>
      </c>
      <c r="CS163" s="307">
        <f t="shared" si="919"/>
        <v>187555.67419309285</v>
      </c>
      <c r="CT163" s="307">
        <f t="shared" si="919"/>
        <v>-1706479.1670254553</v>
      </c>
      <c r="CU163" s="307">
        <f t="shared" si="919"/>
        <v>99027.688735585427</v>
      </c>
      <c r="CV163" s="307">
        <f t="shared" si="919"/>
        <v>-407288.58535736706</v>
      </c>
      <c r="CW163" s="307">
        <f t="shared" si="919"/>
        <v>45664.106466892292</v>
      </c>
      <c r="CX163" s="307">
        <f t="shared" si="919"/>
        <v>229532</v>
      </c>
      <c r="CY163" s="307">
        <f t="shared" si="919"/>
        <v>0</v>
      </c>
      <c r="CZ163" s="307">
        <f t="shared" si="919"/>
        <v>75100</v>
      </c>
      <c r="DA163" s="307">
        <f t="shared" si="919"/>
        <v>928781.72108589858</v>
      </c>
      <c r="DB163" s="307">
        <f t="shared" si="919"/>
        <v>-106618.46260512329</v>
      </c>
      <c r="DC163" s="307">
        <f t="shared" si="919"/>
        <v>-244927.68230873742</v>
      </c>
      <c r="DD163" s="307">
        <f t="shared" si="919"/>
        <v>8653.8338337875903</v>
      </c>
      <c r="DE163" s="307">
        <f t="shared" si="919"/>
        <v>0</v>
      </c>
      <c r="DF163" s="307">
        <f t="shared" si="919"/>
        <v>2721236.8713862468</v>
      </c>
      <c r="DG163" s="307">
        <f t="shared" si="919"/>
        <v>0</v>
      </c>
      <c r="DH163" s="307">
        <f t="shared" si="919"/>
        <v>0</v>
      </c>
      <c r="DI163" s="307">
        <f t="shared" si="919"/>
        <v>-32126.476262615761</v>
      </c>
      <c r="DJ163" s="307">
        <f t="shared" si="919"/>
        <v>65990.976314039901</v>
      </c>
      <c r="DK163" s="307">
        <f t="shared" si="919"/>
        <v>-108661.81809192803</v>
      </c>
      <c r="DL163" s="307">
        <f t="shared" si="919"/>
        <v>-1072302.966263033</v>
      </c>
      <c r="DM163" s="307">
        <f t="shared" si="919"/>
        <v>7446.3576801482122</v>
      </c>
      <c r="DN163" s="307">
        <f t="shared" si="919"/>
        <v>-214093.43754096981</v>
      </c>
      <c r="DO163" s="307">
        <f t="shared" si="919"/>
        <v>0</v>
      </c>
      <c r="DP163" s="307">
        <f t="shared" si="919"/>
        <v>-187075.75400271686</v>
      </c>
      <c r="DQ163" s="307">
        <f t="shared" si="919"/>
        <v>390150</v>
      </c>
      <c r="DR163" s="307">
        <f t="shared" si="919"/>
        <v>562288.5</v>
      </c>
      <c r="DS163" s="307">
        <f t="shared" si="919"/>
        <v>747552.23658600543</v>
      </c>
      <c r="DT163" s="307">
        <f t="shared" si="919"/>
        <v>345500</v>
      </c>
      <c r="DU163" s="307">
        <f t="shared" si="919"/>
        <v>-2379508.9633388799</v>
      </c>
      <c r="DV163" s="307">
        <f t="shared" si="919"/>
        <v>2016667</v>
      </c>
      <c r="DW163" s="307">
        <f t="shared" si="919"/>
        <v>-1463011.5734570101</v>
      </c>
      <c r="DX163" s="307">
        <f t="shared" si="919"/>
        <v>-4919719.1541079516</v>
      </c>
      <c r="DY163" s="307">
        <f t="shared" si="919"/>
        <v>0</v>
      </c>
      <c r="DZ163" s="307">
        <f t="shared" si="919"/>
        <v>0</v>
      </c>
      <c r="EA163" s="307">
        <f t="shared" si="919"/>
        <v>-522527.23529455811</v>
      </c>
      <c r="EB163" s="307">
        <f t="shared" si="919"/>
        <v>0</v>
      </c>
      <c r="EC163" s="307">
        <f t="shared" ref="EC163:GN163" si="920">EC46-EC47-EC48-EC49-EC148-EC145</f>
        <v>-316399.96774093434</v>
      </c>
      <c r="ED163" s="307">
        <f t="shared" si="920"/>
        <v>-289722.16032859124</v>
      </c>
      <c r="EE163" s="307">
        <f t="shared" si="920"/>
        <v>134189.53739487671</v>
      </c>
      <c r="EF163" s="307">
        <f t="shared" si="920"/>
        <v>147466.88847269223</v>
      </c>
      <c r="EG163" s="307">
        <f t="shared" si="920"/>
        <v>-6075.7399211212178</v>
      </c>
      <c r="EH163" s="307">
        <f t="shared" si="920"/>
        <v>124811.80860682938</v>
      </c>
      <c r="EI163" s="307">
        <f t="shared" si="920"/>
        <v>153000</v>
      </c>
      <c r="EJ163" s="307">
        <f t="shared" si="920"/>
        <v>-132656.80451386474</v>
      </c>
      <c r="EK163" s="307">
        <f t="shared" si="920"/>
        <v>-857560.91243154928</v>
      </c>
      <c r="EL163" s="307">
        <f t="shared" si="920"/>
        <v>-76904.394825894386</v>
      </c>
      <c r="EM163" s="307">
        <f t="shared" si="920"/>
        <v>52000</v>
      </c>
      <c r="EN163" s="307">
        <f t="shared" si="920"/>
        <v>-161191.61752498476</v>
      </c>
      <c r="EO163" s="307">
        <f t="shared" si="920"/>
        <v>-44426.74250429438</v>
      </c>
      <c r="EP163" s="307">
        <f t="shared" si="920"/>
        <v>12264.126105596777</v>
      </c>
      <c r="EQ163" s="307">
        <f t="shared" si="920"/>
        <v>-565277.01416179165</v>
      </c>
      <c r="ER163" s="307">
        <f t="shared" si="920"/>
        <v>657000</v>
      </c>
      <c r="ES163" s="307">
        <f t="shared" si="920"/>
        <v>-4508469.4473401569</v>
      </c>
      <c r="ET163" s="307">
        <f t="shared" si="920"/>
        <v>108123.05116263102</v>
      </c>
      <c r="EU163" s="307">
        <f t="shared" si="920"/>
        <v>799783.91443641949</v>
      </c>
      <c r="EV163" s="307">
        <f t="shared" si="920"/>
        <v>34687.522953339794</v>
      </c>
      <c r="EW163" s="307">
        <f t="shared" si="920"/>
        <v>208935.48503359733</v>
      </c>
      <c r="EX163" s="307">
        <f t="shared" si="920"/>
        <v>825691.01465946529</v>
      </c>
      <c r="EY163" s="307">
        <f t="shared" si="920"/>
        <v>151091.48689274304</v>
      </c>
      <c r="EZ163" s="307">
        <f t="shared" si="920"/>
        <v>-581261.85125019634</v>
      </c>
      <c r="FA163" s="307">
        <f t="shared" si="920"/>
        <v>657298.42476802599</v>
      </c>
      <c r="FB163" s="307">
        <f t="shared" si="920"/>
        <v>87849.957577613299</v>
      </c>
      <c r="FC163" s="307">
        <f t="shared" si="920"/>
        <v>377411.44018632406</v>
      </c>
      <c r="FD163" s="307">
        <f t="shared" si="920"/>
        <v>-947148.74898585514</v>
      </c>
      <c r="FE163" s="307">
        <f t="shared" si="920"/>
        <v>37987.675499122706</v>
      </c>
      <c r="FF163" s="307">
        <f t="shared" si="920"/>
        <v>119608.04000000004</v>
      </c>
      <c r="FG163" s="307">
        <f t="shared" si="920"/>
        <v>2100222.0195525251</v>
      </c>
      <c r="FH163" s="307">
        <f t="shared" si="920"/>
        <v>762496.95081202127</v>
      </c>
      <c r="FI163" s="307">
        <f t="shared" si="920"/>
        <v>1127612.5349543486</v>
      </c>
      <c r="FJ163" s="307">
        <f t="shared" si="920"/>
        <v>194336.03024100582</v>
      </c>
      <c r="FK163" s="307">
        <f t="shared" si="920"/>
        <v>212827.02398359231</v>
      </c>
      <c r="FL163" s="307">
        <f t="shared" si="920"/>
        <v>414081.99633787945</v>
      </c>
      <c r="FM163" s="307">
        <f t="shared" si="920"/>
        <v>2991575.5275520384</v>
      </c>
      <c r="FN163" s="307">
        <f t="shared" si="920"/>
        <v>371910.93011392001</v>
      </c>
      <c r="FO163" s="307">
        <f t="shared" si="920"/>
        <v>133873.86260000011</v>
      </c>
      <c r="FP163" s="307">
        <f t="shared" si="920"/>
        <v>1332251.6911481638</v>
      </c>
      <c r="FQ163" s="307">
        <f t="shared" si="920"/>
        <v>102407.77619999996</v>
      </c>
      <c r="FR163" s="307">
        <f t="shared" si="920"/>
        <v>236957.19834991742</v>
      </c>
      <c r="FS163" s="307">
        <f t="shared" si="920"/>
        <v>30425.049999999988</v>
      </c>
      <c r="FT163" s="307">
        <f t="shared" si="920"/>
        <v>375578.36222613323</v>
      </c>
      <c r="FU163" s="307">
        <f t="shared" si="920"/>
        <v>47870.195557072759</v>
      </c>
      <c r="FV163" s="307">
        <f t="shared" si="920"/>
        <v>87080.150638157735</v>
      </c>
      <c r="FW163" s="307">
        <f t="shared" si="920"/>
        <v>545498.96957422956</v>
      </c>
      <c r="FX163" s="307">
        <f t="shared" si="920"/>
        <v>201262.31663793256</v>
      </c>
      <c r="FY163" s="307">
        <f t="shared" si="920"/>
        <v>136810</v>
      </c>
      <c r="FZ163" s="307">
        <f t="shared" si="920"/>
        <v>366400.96379110124</v>
      </c>
      <c r="GA163" s="307">
        <f t="shared" si="920"/>
        <v>46334.361863738974</v>
      </c>
      <c r="GB163" s="307">
        <f t="shared" si="920"/>
        <v>671054.36641059583</v>
      </c>
      <c r="GC163" s="307">
        <f t="shared" si="920"/>
        <v>394216.00232536579</v>
      </c>
      <c r="GD163" s="307">
        <f t="shared" si="920"/>
        <v>1977708.6426020283</v>
      </c>
      <c r="GE163" s="307">
        <f t="shared" si="920"/>
        <v>263290.93400108395</v>
      </c>
      <c r="GF163" s="307">
        <f t="shared" si="920"/>
        <v>247024.32830681605</v>
      </c>
      <c r="GG163" s="307">
        <f t="shared" si="920"/>
        <v>78253.899338984862</v>
      </c>
      <c r="GH163" s="307">
        <f t="shared" si="920"/>
        <v>166024.43127722852</v>
      </c>
      <c r="GI163" s="307">
        <f t="shared" si="920"/>
        <v>1118844.9121841518</v>
      </c>
      <c r="GJ163" s="307">
        <f t="shared" si="920"/>
        <v>405709.66070933826</v>
      </c>
      <c r="GK163" s="307">
        <f t="shared" si="920"/>
        <v>945953</v>
      </c>
      <c r="GL163" s="307">
        <f t="shared" si="920"/>
        <v>125891.97174390173</v>
      </c>
      <c r="GM163" s="307">
        <f t="shared" si="920"/>
        <v>165096.47724447167</v>
      </c>
      <c r="GN163" s="307">
        <f t="shared" si="920"/>
        <v>161833.27988784632</v>
      </c>
      <c r="GO163" s="307">
        <f t="shared" ref="GO163:IZ163" si="921">GO46-GO47-GO48-GO49-GO148-GO145</f>
        <v>746845.51386203896</v>
      </c>
      <c r="GP163" s="307">
        <f t="shared" si="921"/>
        <v>61861.43808330514</v>
      </c>
      <c r="GQ163" s="307">
        <f t="shared" si="921"/>
        <v>390203.21128313889</v>
      </c>
      <c r="GR163" s="307">
        <f t="shared" si="921"/>
        <v>117124.60565148341</v>
      </c>
      <c r="GS163" s="307">
        <f t="shared" si="921"/>
        <v>113648.04672073387</v>
      </c>
      <c r="GT163" s="307">
        <f t="shared" si="921"/>
        <v>690195.62314870954</v>
      </c>
      <c r="GU163" s="307">
        <f t="shared" si="921"/>
        <v>317000</v>
      </c>
      <c r="GV163" s="307">
        <f t="shared" si="921"/>
        <v>826176.6456662463</v>
      </c>
      <c r="GW163" s="307">
        <f t="shared" si="921"/>
        <v>106438.73869443859</v>
      </c>
      <c r="GX163" s="307">
        <f t="shared" si="921"/>
        <v>192955.48977144714</v>
      </c>
      <c r="GY163" s="307">
        <f t="shared" si="921"/>
        <v>2334274.3211080935</v>
      </c>
      <c r="GZ163" s="307">
        <f t="shared" si="921"/>
        <v>-411617.77940669819</v>
      </c>
      <c r="HA163" s="307">
        <f t="shared" si="921"/>
        <v>587297.73360992316</v>
      </c>
      <c r="HB163" s="307">
        <f t="shared" si="921"/>
        <v>479679.24142403062</v>
      </c>
      <c r="HC163" s="307">
        <f t="shared" si="921"/>
        <v>1058342.5418569082</v>
      </c>
      <c r="HD163" s="307">
        <f t="shared" si="921"/>
        <v>186440.4166396684</v>
      </c>
      <c r="HE163" s="307">
        <f t="shared" si="921"/>
        <v>1845155</v>
      </c>
      <c r="HF163" s="307">
        <f t="shared" si="921"/>
        <v>341731.06523926754</v>
      </c>
      <c r="HG163" s="307">
        <f t="shared" si="921"/>
        <v>179473.22239477735</v>
      </c>
      <c r="HH163" s="307">
        <f t="shared" si="921"/>
        <v>163945.34824573924</v>
      </c>
      <c r="HI163" s="307">
        <f t="shared" si="921"/>
        <v>1121743.1918718247</v>
      </c>
      <c r="HJ163" s="307">
        <f t="shared" si="921"/>
        <v>-1389108.8310215683</v>
      </c>
      <c r="HK163" s="307">
        <f t="shared" si="921"/>
        <v>209300</v>
      </c>
      <c r="HL163" s="307">
        <f t="shared" si="921"/>
        <v>5430207.1305066012</v>
      </c>
      <c r="HM163" s="307">
        <f t="shared" si="921"/>
        <v>-686489.11942867562</v>
      </c>
      <c r="HN163" s="307">
        <f t="shared" si="921"/>
        <v>-219254.51996931387</v>
      </c>
      <c r="HO163" s="307">
        <f t="shared" si="921"/>
        <v>-2847160.6666890793</v>
      </c>
      <c r="HP163" s="307">
        <f t="shared" si="921"/>
        <v>5245782</v>
      </c>
      <c r="HQ163" s="307">
        <f t="shared" si="921"/>
        <v>54516.560144142364</v>
      </c>
      <c r="HR163" s="307">
        <f t="shared" si="921"/>
        <v>2281115.2643183768</v>
      </c>
      <c r="HS163" s="307">
        <f t="shared" si="921"/>
        <v>739187.29976600595</v>
      </c>
      <c r="HT163" s="307">
        <f t="shared" si="921"/>
        <v>-4004215.4095292147</v>
      </c>
      <c r="HU163" s="307">
        <f t="shared" si="921"/>
        <v>5927225.0052082576</v>
      </c>
      <c r="HV163" s="307">
        <f t="shared" si="921"/>
        <v>3318873</v>
      </c>
      <c r="HW163" s="307">
        <f t="shared" si="921"/>
        <v>581378.03400192037</v>
      </c>
      <c r="HX163" s="307">
        <f t="shared" si="921"/>
        <v>4923193.3073789757</v>
      </c>
      <c r="HY163" s="307">
        <f t="shared" si="921"/>
        <v>-723479.82655531354</v>
      </c>
      <c r="HZ163" s="307">
        <f t="shared" si="921"/>
        <v>1354063.9776938297</v>
      </c>
      <c r="IA163" s="307">
        <f t="shared" si="921"/>
        <v>872393</v>
      </c>
      <c r="IB163" s="307">
        <f t="shared" si="921"/>
        <v>787932.90049642976</v>
      </c>
      <c r="IC163" s="307">
        <f t="shared" si="921"/>
        <v>3255785.1772533692</v>
      </c>
      <c r="ID163" s="307">
        <f t="shared" si="921"/>
        <v>2560208.8227466317</v>
      </c>
      <c r="IE163" s="307">
        <f t="shared" si="921"/>
        <v>3305167.5176655725</v>
      </c>
      <c r="IF163" s="307">
        <f t="shared" si="921"/>
        <v>-3311353.6107498184</v>
      </c>
      <c r="IG163" s="307">
        <f t="shared" si="921"/>
        <v>-155860.72848056862</v>
      </c>
      <c r="IH163" s="307">
        <f t="shared" si="921"/>
        <v>1000618.8383171563</v>
      </c>
      <c r="II163" s="307">
        <f t="shared" si="921"/>
        <v>-1457881.9194320198</v>
      </c>
      <c r="IJ163" s="307">
        <f t="shared" si="921"/>
        <v>408618.4058947817</v>
      </c>
      <c r="IK163" s="307">
        <f t="shared" si="921"/>
        <v>-419348.74564183829</v>
      </c>
      <c r="IL163" s="307">
        <f t="shared" si="921"/>
        <v>161224.70009879395</v>
      </c>
      <c r="IM163" s="307">
        <f t="shared" si="921"/>
        <v>-125148.48437385185</v>
      </c>
      <c r="IN163" s="307">
        <f t="shared" si="921"/>
        <v>770037.60039330646</v>
      </c>
      <c r="IO163" s="307">
        <f t="shared" si="921"/>
        <v>762787.91070599342</v>
      </c>
      <c r="IP163" s="307">
        <f t="shared" si="921"/>
        <v>-18339.822419440374</v>
      </c>
      <c r="IQ163" s="307">
        <f t="shared" si="921"/>
        <v>-77005.383273798972</v>
      </c>
      <c r="IR163" s="307">
        <f t="shared" si="921"/>
        <v>63236.275203590165</v>
      </c>
      <c r="IS163" s="307">
        <f t="shared" si="921"/>
        <v>1142825.4900310114</v>
      </c>
      <c r="IT163" s="307">
        <f t="shared" si="921"/>
        <v>1837240.5099689951</v>
      </c>
      <c r="IU163" s="307">
        <f t="shared" si="921"/>
        <v>484806.74440448172</v>
      </c>
      <c r="IV163" s="307">
        <f t="shared" si="921"/>
        <v>343870.85759682395</v>
      </c>
      <c r="IW163" s="307">
        <f t="shared" si="921"/>
        <v>-1516298.2291946765</v>
      </c>
      <c r="IX163" s="307">
        <f t="shared" si="921"/>
        <v>335562.86310432386</v>
      </c>
      <c r="IY163" s="307">
        <f t="shared" si="921"/>
        <v>5772316.0616728812</v>
      </c>
      <c r="IZ163" s="307">
        <f t="shared" si="921"/>
        <v>4402652.4439123161</v>
      </c>
      <c r="JA163" s="307">
        <f t="shared" ref="JA163:JH163" si="922">JA46-JA47-JA48-JA49-JA148-JA145</f>
        <v>-32641.660270661581</v>
      </c>
      <c r="JB163" s="307">
        <f t="shared" si="922"/>
        <v>746788.96015719743</v>
      </c>
      <c r="JC163" s="307">
        <f t="shared" si="922"/>
        <v>-179262.63064753311</v>
      </c>
      <c r="JD163" s="307">
        <f>JD46-JD47-JD48-JD49-JD148-JD145</f>
        <v>2734651.4754739245</v>
      </c>
      <c r="JE163" s="307">
        <f t="shared" si="922"/>
        <v>-309105.14505924704</v>
      </c>
      <c r="JF163" s="307">
        <f t="shared" si="922"/>
        <v>7094200.1450592503</v>
      </c>
      <c r="JG163" s="307">
        <f t="shared" si="922"/>
        <v>546932.16495117173</v>
      </c>
      <c r="JH163" s="307">
        <f t="shared" si="922"/>
        <v>563620.5197921393</v>
      </c>
      <c r="JI163" s="314">
        <f t="shared" si="889"/>
        <v>69642072.406764299</v>
      </c>
      <c r="JL163" s="307">
        <f>JL13-JL158</f>
        <v>2615208.7624404505</v>
      </c>
      <c r="JM163" s="307">
        <f>JM13-JM158</f>
        <v>78371143.970724463</v>
      </c>
      <c r="JN163" s="307">
        <f t="shared" ref="JN163:JO163" si="923">JN13-JN158</f>
        <v>192332351.52648485</v>
      </c>
      <c r="JO163" s="307">
        <f t="shared" si="923"/>
        <v>83430388.285970926</v>
      </c>
      <c r="JP163" s="307">
        <f>JP13-JP158</f>
        <v>356749092.54562044</v>
      </c>
    </row>
    <row r="164" spans="2:276" x14ac:dyDescent="0.25">
      <c r="B164" s="313" t="s">
        <v>2633</v>
      </c>
      <c r="C164" s="314">
        <f>C89+C92+C154+C81</f>
        <v>361626.59525466111</v>
      </c>
      <c r="D164" s="314">
        <f t="shared" ref="D164:BP164" si="924">D89+D92+D154+D81</f>
        <v>289653.95775090024</v>
      </c>
      <c r="E164" s="314">
        <f t="shared" si="924"/>
        <v>408010.43803386827</v>
      </c>
      <c r="F164" s="314">
        <f t="shared" si="924"/>
        <v>0</v>
      </c>
      <c r="G164" s="314">
        <f t="shared" si="924"/>
        <v>0</v>
      </c>
      <c r="H164" s="314">
        <f t="shared" si="924"/>
        <v>0</v>
      </c>
      <c r="I164" s="314">
        <f t="shared" si="924"/>
        <v>0</v>
      </c>
      <c r="J164" s="314">
        <f t="shared" si="924"/>
        <v>0</v>
      </c>
      <c r="K164" s="314">
        <f t="shared" si="924"/>
        <v>0</v>
      </c>
      <c r="L164" s="314">
        <f t="shared" si="924"/>
        <v>0</v>
      </c>
      <c r="M164" s="314">
        <f t="shared" si="924"/>
        <v>0</v>
      </c>
      <c r="N164" s="314">
        <f t="shared" si="924"/>
        <v>0</v>
      </c>
      <c r="O164" s="314">
        <f t="shared" si="924"/>
        <v>0</v>
      </c>
      <c r="P164" s="314">
        <f t="shared" si="924"/>
        <v>0</v>
      </c>
      <c r="Q164" s="314">
        <f t="shared" si="924"/>
        <v>0</v>
      </c>
      <c r="R164" s="314">
        <f t="shared" si="924"/>
        <v>0</v>
      </c>
      <c r="S164" s="314">
        <f t="shared" si="924"/>
        <v>0</v>
      </c>
      <c r="T164" s="314">
        <f t="shared" si="924"/>
        <v>0</v>
      </c>
      <c r="U164" s="314">
        <f t="shared" si="924"/>
        <v>0</v>
      </c>
      <c r="V164" s="314">
        <f t="shared" si="924"/>
        <v>0</v>
      </c>
      <c r="W164" s="314">
        <f t="shared" si="924"/>
        <v>0</v>
      </c>
      <c r="X164" s="314">
        <f t="shared" si="924"/>
        <v>0</v>
      </c>
      <c r="Y164" s="314">
        <f t="shared" si="924"/>
        <v>0</v>
      </c>
      <c r="Z164" s="314">
        <f t="shared" si="924"/>
        <v>199290.80962196799</v>
      </c>
      <c r="AA164" s="314">
        <f t="shared" si="924"/>
        <v>0</v>
      </c>
      <c r="AB164" s="314">
        <f t="shared" si="924"/>
        <v>0</v>
      </c>
      <c r="AC164" s="314">
        <f t="shared" ref="AC164" si="925">AC89+AC92+AC154+AC81</f>
        <v>0</v>
      </c>
      <c r="AD164" s="314">
        <f t="shared" si="924"/>
        <v>0</v>
      </c>
      <c r="AE164" s="314">
        <f t="shared" si="924"/>
        <v>0</v>
      </c>
      <c r="AF164" s="314">
        <f t="shared" si="924"/>
        <v>0</v>
      </c>
      <c r="AG164" s="314">
        <f t="shared" si="924"/>
        <v>0</v>
      </c>
      <c r="AH164" s="314">
        <f t="shared" si="924"/>
        <v>0</v>
      </c>
      <c r="AI164" s="314">
        <f t="shared" si="924"/>
        <v>175854.6169065937</v>
      </c>
      <c r="AJ164" s="314">
        <f t="shared" si="924"/>
        <v>104609.69062323478</v>
      </c>
      <c r="AK164" s="314">
        <f t="shared" si="924"/>
        <v>0</v>
      </c>
      <c r="AL164" s="314">
        <f t="shared" si="924"/>
        <v>0</v>
      </c>
      <c r="AM164" s="314">
        <f t="shared" si="924"/>
        <v>0</v>
      </c>
      <c r="AN164" s="314">
        <f t="shared" si="924"/>
        <v>0</v>
      </c>
      <c r="AO164" s="314">
        <f t="shared" si="924"/>
        <v>0</v>
      </c>
      <c r="AP164" s="314">
        <f t="shared" si="924"/>
        <v>0</v>
      </c>
      <c r="AQ164" s="314">
        <f t="shared" si="924"/>
        <v>0</v>
      </c>
      <c r="AR164" s="314">
        <f t="shared" si="924"/>
        <v>0</v>
      </c>
      <c r="AS164" s="314">
        <f t="shared" si="924"/>
        <v>0</v>
      </c>
      <c r="AT164" s="314">
        <f t="shared" si="924"/>
        <v>0</v>
      </c>
      <c r="AU164" s="314">
        <f t="shared" si="924"/>
        <v>0</v>
      </c>
      <c r="AV164" s="314">
        <f t="shared" si="924"/>
        <v>0</v>
      </c>
      <c r="AW164" s="314">
        <f t="shared" si="924"/>
        <v>0</v>
      </c>
      <c r="AX164" s="314">
        <f t="shared" si="924"/>
        <v>0</v>
      </c>
      <c r="AY164" s="314">
        <f t="shared" si="924"/>
        <v>0</v>
      </c>
      <c r="AZ164" s="314">
        <f t="shared" si="924"/>
        <v>74878.331669322652</v>
      </c>
      <c r="BA164" s="314">
        <f t="shared" si="924"/>
        <v>0</v>
      </c>
      <c r="BB164" s="314">
        <f t="shared" si="924"/>
        <v>0</v>
      </c>
      <c r="BC164" s="314">
        <f t="shared" si="924"/>
        <v>0</v>
      </c>
      <c r="BD164" s="314">
        <f t="shared" si="924"/>
        <v>0</v>
      </c>
      <c r="BE164" s="314">
        <f t="shared" si="924"/>
        <v>0</v>
      </c>
      <c r="BF164" s="314">
        <f t="shared" si="924"/>
        <v>0</v>
      </c>
      <c r="BG164" s="314">
        <f t="shared" si="924"/>
        <v>0</v>
      </c>
      <c r="BH164" s="314">
        <f t="shared" si="924"/>
        <v>0</v>
      </c>
      <c r="BI164" s="314">
        <f t="shared" si="924"/>
        <v>67913.110693742972</v>
      </c>
      <c r="BJ164" s="314">
        <f t="shared" si="924"/>
        <v>0</v>
      </c>
      <c r="BK164" s="314">
        <f t="shared" si="924"/>
        <v>0</v>
      </c>
      <c r="BL164" s="314">
        <f t="shared" si="924"/>
        <v>0</v>
      </c>
      <c r="BM164" s="314">
        <f t="shared" si="924"/>
        <v>0</v>
      </c>
      <c r="BN164" s="314">
        <f t="shared" si="924"/>
        <v>0</v>
      </c>
      <c r="BO164" s="314">
        <f t="shared" si="924"/>
        <v>0</v>
      </c>
      <c r="BP164" s="314">
        <f t="shared" si="924"/>
        <v>0</v>
      </c>
      <c r="BQ164" s="314">
        <f t="shared" ref="BQ164:EB164" si="926">BQ89+BQ92+BQ154+BQ81</f>
        <v>0</v>
      </c>
      <c r="BR164" s="314">
        <f t="shared" si="926"/>
        <v>0</v>
      </c>
      <c r="BS164" s="314">
        <f t="shared" si="926"/>
        <v>0</v>
      </c>
      <c r="BT164" s="314">
        <f t="shared" si="926"/>
        <v>0</v>
      </c>
      <c r="BU164" s="314">
        <f t="shared" si="926"/>
        <v>0</v>
      </c>
      <c r="BV164" s="314">
        <f t="shared" si="926"/>
        <v>0</v>
      </c>
      <c r="BW164" s="314">
        <f t="shared" si="926"/>
        <v>0</v>
      </c>
      <c r="BX164" s="314">
        <f t="shared" si="926"/>
        <v>0</v>
      </c>
      <c r="BY164" s="314">
        <f t="shared" si="926"/>
        <v>0</v>
      </c>
      <c r="BZ164" s="314">
        <f t="shared" si="926"/>
        <v>0</v>
      </c>
      <c r="CA164" s="314">
        <f t="shared" si="926"/>
        <v>0</v>
      </c>
      <c r="CB164" s="314">
        <f t="shared" si="926"/>
        <v>0</v>
      </c>
      <c r="CC164" s="314">
        <f t="shared" si="926"/>
        <v>0</v>
      </c>
      <c r="CD164" s="314">
        <f t="shared" si="926"/>
        <v>0</v>
      </c>
      <c r="CE164" s="314">
        <f t="shared" si="926"/>
        <v>0</v>
      </c>
      <c r="CF164" s="314">
        <f t="shared" si="926"/>
        <v>0</v>
      </c>
      <c r="CG164" s="314">
        <f t="shared" si="926"/>
        <v>0</v>
      </c>
      <c r="CH164" s="314">
        <f t="shared" si="926"/>
        <v>0</v>
      </c>
      <c r="CI164" s="314">
        <f t="shared" si="926"/>
        <v>0</v>
      </c>
      <c r="CJ164" s="314">
        <f t="shared" si="926"/>
        <v>0</v>
      </c>
      <c r="CK164" s="314">
        <f t="shared" si="926"/>
        <v>0</v>
      </c>
      <c r="CL164" s="314">
        <f t="shared" si="926"/>
        <v>0</v>
      </c>
      <c r="CM164" s="314">
        <f t="shared" si="926"/>
        <v>0</v>
      </c>
      <c r="CN164" s="314">
        <f t="shared" si="926"/>
        <v>0</v>
      </c>
      <c r="CO164" s="314">
        <f t="shared" si="926"/>
        <v>0</v>
      </c>
      <c r="CP164" s="314">
        <f t="shared" si="926"/>
        <v>0</v>
      </c>
      <c r="CQ164" s="314">
        <f t="shared" si="926"/>
        <v>0</v>
      </c>
      <c r="CR164" s="314">
        <f t="shared" si="926"/>
        <v>0</v>
      </c>
      <c r="CS164" s="314">
        <f t="shared" si="926"/>
        <v>0</v>
      </c>
      <c r="CT164" s="314">
        <f t="shared" si="926"/>
        <v>0</v>
      </c>
      <c r="CU164" s="314">
        <f t="shared" si="926"/>
        <v>0</v>
      </c>
      <c r="CV164" s="314">
        <f t="shared" si="926"/>
        <v>184573.92926874422</v>
      </c>
      <c r="CW164" s="314">
        <f t="shared" si="926"/>
        <v>0</v>
      </c>
      <c r="CX164" s="314">
        <f t="shared" si="926"/>
        <v>0</v>
      </c>
      <c r="CY164" s="314">
        <f t="shared" si="926"/>
        <v>0</v>
      </c>
      <c r="CZ164" s="314">
        <f t="shared" si="926"/>
        <v>0</v>
      </c>
      <c r="DA164" s="314">
        <f t="shared" si="926"/>
        <v>187634.70914962181</v>
      </c>
      <c r="DB164" s="314">
        <f t="shared" si="926"/>
        <v>0</v>
      </c>
      <c r="DC164" s="314">
        <f t="shared" si="926"/>
        <v>0</v>
      </c>
      <c r="DD164" s="314">
        <f t="shared" si="926"/>
        <v>0</v>
      </c>
      <c r="DE164" s="314">
        <f t="shared" si="926"/>
        <v>0</v>
      </c>
      <c r="DF164" s="314">
        <f t="shared" si="926"/>
        <v>0</v>
      </c>
      <c r="DG164" s="314">
        <f t="shared" si="926"/>
        <v>0</v>
      </c>
      <c r="DH164" s="314">
        <f t="shared" si="926"/>
        <v>0</v>
      </c>
      <c r="DI164" s="314">
        <f t="shared" si="926"/>
        <v>0</v>
      </c>
      <c r="DJ164" s="314">
        <f t="shared" si="926"/>
        <v>0</v>
      </c>
      <c r="DK164" s="314">
        <f t="shared" si="926"/>
        <v>0</v>
      </c>
      <c r="DL164" s="314">
        <f t="shared" si="926"/>
        <v>0</v>
      </c>
      <c r="DM164" s="314">
        <f t="shared" si="926"/>
        <v>0</v>
      </c>
      <c r="DN164" s="314">
        <f t="shared" si="926"/>
        <v>0</v>
      </c>
      <c r="DO164" s="314">
        <f t="shared" si="926"/>
        <v>0</v>
      </c>
      <c r="DP164" s="314">
        <f t="shared" si="926"/>
        <v>0</v>
      </c>
      <c r="DQ164" s="314">
        <f t="shared" si="926"/>
        <v>0</v>
      </c>
      <c r="DR164" s="314">
        <f t="shared" si="926"/>
        <v>0</v>
      </c>
      <c r="DS164" s="314">
        <f t="shared" si="926"/>
        <v>0</v>
      </c>
      <c r="DT164" s="314">
        <f t="shared" si="926"/>
        <v>0</v>
      </c>
      <c r="DU164" s="314">
        <f t="shared" si="926"/>
        <v>0</v>
      </c>
      <c r="DV164" s="314">
        <f t="shared" si="926"/>
        <v>0</v>
      </c>
      <c r="DW164" s="314">
        <f t="shared" si="926"/>
        <v>0</v>
      </c>
      <c r="DX164" s="314">
        <f t="shared" si="926"/>
        <v>0</v>
      </c>
      <c r="DY164" s="314">
        <f t="shared" si="926"/>
        <v>0</v>
      </c>
      <c r="DZ164" s="314">
        <f t="shared" si="926"/>
        <v>0</v>
      </c>
      <c r="EA164" s="314">
        <f t="shared" si="926"/>
        <v>0</v>
      </c>
      <c r="EB164" s="314">
        <f t="shared" si="926"/>
        <v>0</v>
      </c>
      <c r="EC164" s="314">
        <f t="shared" ref="EC164:GN164" si="927">EC89+EC92+EC154+EC81</f>
        <v>0</v>
      </c>
      <c r="ED164" s="314">
        <f t="shared" si="927"/>
        <v>0</v>
      </c>
      <c r="EE164" s="314">
        <f t="shared" si="927"/>
        <v>0</v>
      </c>
      <c r="EF164" s="314">
        <f t="shared" si="927"/>
        <v>0</v>
      </c>
      <c r="EG164" s="314">
        <f t="shared" si="927"/>
        <v>0</v>
      </c>
      <c r="EH164" s="314">
        <f t="shared" si="927"/>
        <v>0</v>
      </c>
      <c r="EI164" s="314">
        <f t="shared" si="927"/>
        <v>0</v>
      </c>
      <c r="EJ164" s="314">
        <f t="shared" si="927"/>
        <v>0</v>
      </c>
      <c r="EK164" s="314">
        <f t="shared" si="927"/>
        <v>0</v>
      </c>
      <c r="EL164" s="314">
        <f t="shared" si="927"/>
        <v>0</v>
      </c>
      <c r="EM164" s="314">
        <f t="shared" si="927"/>
        <v>0</v>
      </c>
      <c r="EN164" s="314">
        <f t="shared" si="927"/>
        <v>0</v>
      </c>
      <c r="EO164" s="314">
        <f t="shared" si="927"/>
        <v>0</v>
      </c>
      <c r="EP164" s="314">
        <f t="shared" si="927"/>
        <v>0</v>
      </c>
      <c r="EQ164" s="314">
        <f t="shared" si="927"/>
        <v>0</v>
      </c>
      <c r="ER164" s="314">
        <f t="shared" si="927"/>
        <v>0</v>
      </c>
      <c r="ES164" s="314">
        <f t="shared" si="927"/>
        <v>0</v>
      </c>
      <c r="ET164" s="314">
        <f t="shared" si="927"/>
        <v>47141.92448929487</v>
      </c>
      <c r="EU164" s="314">
        <f t="shared" si="927"/>
        <v>186102.81752072705</v>
      </c>
      <c r="EV164" s="314">
        <f t="shared" si="927"/>
        <v>34687.52295333978</v>
      </c>
      <c r="EW164" s="314">
        <f t="shared" si="927"/>
        <v>208935.48503359754</v>
      </c>
      <c r="EX164" s="314">
        <f t="shared" si="927"/>
        <v>825691.01465946529</v>
      </c>
      <c r="EY164" s="314">
        <f t="shared" si="927"/>
        <v>151091.48689274295</v>
      </c>
      <c r="EZ164" s="314">
        <f t="shared" si="927"/>
        <v>1030227.3544207796</v>
      </c>
      <c r="FA164" s="314">
        <f t="shared" si="927"/>
        <v>123454.22513666681</v>
      </c>
      <c r="FB164" s="314">
        <f t="shared" si="927"/>
        <v>238736.8093083376</v>
      </c>
      <c r="FC164" s="314">
        <f t="shared" si="927"/>
        <v>377411.44018632395</v>
      </c>
      <c r="FD164" s="314">
        <f t="shared" si="927"/>
        <v>77711.412095124018</v>
      </c>
      <c r="FE164" s="314">
        <f t="shared" si="927"/>
        <v>37987.675499122735</v>
      </c>
      <c r="FF164" s="314">
        <f t="shared" si="927"/>
        <v>119608.04</v>
      </c>
      <c r="FG164" s="314">
        <f t="shared" si="927"/>
        <v>873879.26095744933</v>
      </c>
      <c r="FH164" s="314">
        <f t="shared" si="927"/>
        <v>762496.95081202174</v>
      </c>
      <c r="FI164" s="314">
        <f t="shared" si="927"/>
        <v>1400604.1785218783</v>
      </c>
      <c r="FJ164" s="314">
        <f t="shared" si="927"/>
        <v>609307.45065304963</v>
      </c>
      <c r="FK164" s="314">
        <f t="shared" si="927"/>
        <v>1096410.4698238093</v>
      </c>
      <c r="FL164" s="314">
        <f t="shared" si="927"/>
        <v>1107629.050051589</v>
      </c>
      <c r="FM164" s="314">
        <f t="shared" si="927"/>
        <v>2991575.5275520384</v>
      </c>
      <c r="FN164" s="314">
        <f t="shared" si="927"/>
        <v>371910.93011391972</v>
      </c>
      <c r="FO164" s="314">
        <f t="shared" si="927"/>
        <v>133873.86259999999</v>
      </c>
      <c r="FP164" s="314">
        <f t="shared" si="927"/>
        <v>1332251.6911481633</v>
      </c>
      <c r="FQ164" s="314">
        <f t="shared" si="927"/>
        <v>102407.77619999999</v>
      </c>
      <c r="FR164" s="314">
        <f t="shared" si="927"/>
        <v>179664.3936247786</v>
      </c>
      <c r="FS164" s="314">
        <f t="shared" si="927"/>
        <v>30425.05</v>
      </c>
      <c r="FT164" s="314">
        <f t="shared" si="927"/>
        <v>505627.83722744149</v>
      </c>
      <c r="FU164" s="314">
        <f t="shared" si="927"/>
        <v>264950.35888847063</v>
      </c>
      <c r="FV164" s="314">
        <f t="shared" si="927"/>
        <v>87080.150638157691</v>
      </c>
      <c r="FW164" s="314">
        <f t="shared" si="927"/>
        <v>992717.78914845909</v>
      </c>
      <c r="FX164" s="314">
        <f t="shared" si="927"/>
        <v>511507.74991379777</v>
      </c>
      <c r="FY164" s="314">
        <f t="shared" si="927"/>
        <v>292044.8576041882</v>
      </c>
      <c r="FZ164" s="314">
        <f t="shared" si="927"/>
        <v>366400.96379110147</v>
      </c>
      <c r="GA164" s="314">
        <f t="shared" si="927"/>
        <v>46334.361863738959</v>
      </c>
      <c r="GB164" s="314">
        <f t="shared" si="927"/>
        <v>671054.36641059571</v>
      </c>
      <c r="GC164" s="314">
        <f t="shared" si="927"/>
        <v>1196601.6370184936</v>
      </c>
      <c r="GD164" s="314">
        <f t="shared" si="927"/>
        <v>2185484.2282877271</v>
      </c>
      <c r="GE164" s="314">
        <f t="shared" si="927"/>
        <v>107410</v>
      </c>
      <c r="GF164" s="314">
        <f t="shared" si="927"/>
        <v>247024.32830681585</v>
      </c>
      <c r="GG164" s="314">
        <f t="shared" si="927"/>
        <v>78253.89933898492</v>
      </c>
      <c r="GH164" s="314">
        <f t="shared" si="927"/>
        <v>70084.624840646575</v>
      </c>
      <c r="GI164" s="314">
        <f t="shared" si="927"/>
        <v>1118844.9121841514</v>
      </c>
      <c r="GJ164" s="314">
        <f t="shared" si="927"/>
        <v>1556183.2817184574</v>
      </c>
      <c r="GK164" s="314">
        <f t="shared" si="927"/>
        <v>1511901.0808184575</v>
      </c>
      <c r="GL164" s="314">
        <f t="shared" si="927"/>
        <v>1463374.7839184573</v>
      </c>
      <c r="GM164" s="314">
        <f t="shared" si="927"/>
        <v>1472891.6835184575</v>
      </c>
      <c r="GN164" s="314">
        <f t="shared" si="927"/>
        <v>1459085.5757184573</v>
      </c>
      <c r="GO164" s="314">
        <f t="shared" ref="GO164:IZ164" si="928">GO89+GO92+GO154+GO81</f>
        <v>897446.13058809715</v>
      </c>
      <c r="GP164" s="314">
        <f t="shared" si="928"/>
        <v>61861.438083305111</v>
      </c>
      <c r="GQ164" s="314">
        <f t="shared" si="928"/>
        <v>697924.88256627787</v>
      </c>
      <c r="GR164" s="314">
        <f t="shared" si="928"/>
        <v>78041.052083924267</v>
      </c>
      <c r="GS164" s="314">
        <f t="shared" si="928"/>
        <v>384433.12621784816</v>
      </c>
      <c r="GT164" s="314">
        <f t="shared" si="928"/>
        <v>690195.6231487093</v>
      </c>
      <c r="GU164" s="314">
        <f t="shared" si="928"/>
        <v>74927.347999999998</v>
      </c>
      <c r="GV164" s="314">
        <f t="shared" si="928"/>
        <v>634099.52333113668</v>
      </c>
      <c r="GW164" s="314">
        <f t="shared" si="928"/>
        <v>110380.7310497182</v>
      </c>
      <c r="GX164" s="314">
        <f t="shared" si="928"/>
        <v>425274.8380394461</v>
      </c>
      <c r="GY164" s="314">
        <f t="shared" si="928"/>
        <v>2334274.3211080926</v>
      </c>
      <c r="GZ164" s="314">
        <f t="shared" si="928"/>
        <v>187547.40093594202</v>
      </c>
      <c r="HA164" s="314">
        <f t="shared" si="928"/>
        <v>552841.38043076987</v>
      </c>
      <c r="HB164" s="314">
        <f t="shared" si="928"/>
        <v>479679.2414240308</v>
      </c>
      <c r="HC164" s="314">
        <f t="shared" si="928"/>
        <v>1058342.5418569087</v>
      </c>
      <c r="HD164" s="314">
        <f t="shared" si="928"/>
        <v>186440.41663966837</v>
      </c>
      <c r="HE164" s="314">
        <f t="shared" si="928"/>
        <v>799783.56928809825</v>
      </c>
      <c r="HF164" s="314">
        <f t="shared" si="928"/>
        <v>837337.80736808968</v>
      </c>
      <c r="HG164" s="314">
        <f t="shared" si="928"/>
        <v>768047.05596808961</v>
      </c>
      <c r="HH164" s="314">
        <f t="shared" si="928"/>
        <v>163945.34824573921</v>
      </c>
      <c r="HI164" s="314">
        <f t="shared" si="928"/>
        <v>1121743.1918718247</v>
      </c>
      <c r="HJ164" s="314">
        <f t="shared" si="928"/>
        <v>890312.63844429795</v>
      </c>
      <c r="HK164" s="314">
        <f t="shared" si="928"/>
        <v>708061.35040160897</v>
      </c>
      <c r="HL164" s="314">
        <f t="shared" si="928"/>
        <v>2852260.9041223046</v>
      </c>
      <c r="HM164" s="314">
        <f t="shared" si="928"/>
        <v>1135511.5938144352</v>
      </c>
      <c r="HN164" s="314">
        <f t="shared" si="928"/>
        <v>36122.588330516228</v>
      </c>
      <c r="HO164" s="314">
        <f t="shared" si="928"/>
        <v>0</v>
      </c>
      <c r="HP164" s="314">
        <f t="shared" si="928"/>
        <v>2308176.3931448585</v>
      </c>
      <c r="HQ164" s="314">
        <f t="shared" si="928"/>
        <v>48220.549242541354</v>
      </c>
      <c r="HR164" s="314">
        <f t="shared" si="928"/>
        <v>2627948.6799382968</v>
      </c>
      <c r="HS164" s="314">
        <f t="shared" si="928"/>
        <v>336025.86356616416</v>
      </c>
      <c r="HT164" s="314">
        <f t="shared" si="928"/>
        <v>1342845.6917016595</v>
      </c>
      <c r="HU164" s="314">
        <f t="shared" si="928"/>
        <v>2018950.1398323406</v>
      </c>
      <c r="HV164" s="314">
        <f t="shared" si="928"/>
        <v>1822156.5650398545</v>
      </c>
      <c r="HW164" s="314">
        <f t="shared" si="928"/>
        <v>408436.10906851245</v>
      </c>
      <c r="HX164" s="314">
        <f t="shared" si="928"/>
        <v>1928310.813811908</v>
      </c>
      <c r="HY164" s="314">
        <f t="shared" si="928"/>
        <v>1581383.2399029485</v>
      </c>
      <c r="HZ164" s="314">
        <f t="shared" si="928"/>
        <v>863632.22213203844</v>
      </c>
      <c r="IA164" s="314">
        <f t="shared" si="928"/>
        <v>855597.84274354787</v>
      </c>
      <c r="IB164" s="314">
        <f t="shared" si="928"/>
        <v>820192.49990406481</v>
      </c>
      <c r="IC164" s="314">
        <f t="shared" si="928"/>
        <v>1300524.0323590939</v>
      </c>
      <c r="ID164" s="314">
        <f t="shared" si="928"/>
        <v>977444.21421984944</v>
      </c>
      <c r="IE164" s="314">
        <f t="shared" si="928"/>
        <v>1492177.016081095</v>
      </c>
      <c r="IF164" s="314">
        <f t="shared" si="928"/>
        <v>1400494.0936738476</v>
      </c>
      <c r="IG164" s="314">
        <f t="shared" si="928"/>
        <v>390244.95530780917</v>
      </c>
      <c r="IH164" s="314">
        <f t="shared" si="928"/>
        <v>264551.40946114424</v>
      </c>
      <c r="II164" s="314">
        <f t="shared" si="928"/>
        <v>1382118.8554111356</v>
      </c>
      <c r="IJ164" s="314">
        <f t="shared" si="928"/>
        <v>101970.70808564803</v>
      </c>
      <c r="IK164" s="314">
        <f t="shared" si="928"/>
        <v>155086.73050000001</v>
      </c>
      <c r="IL164" s="314">
        <f t="shared" si="928"/>
        <v>815193.26845938945</v>
      </c>
      <c r="IM164" s="314">
        <f t="shared" si="928"/>
        <v>26931.393039439557</v>
      </c>
      <c r="IN164" s="314">
        <f t="shared" si="928"/>
        <v>899897.98577955458</v>
      </c>
      <c r="IO164" s="314">
        <f t="shared" si="928"/>
        <v>297513.89651717374</v>
      </c>
      <c r="IP164" s="314">
        <f t="shared" si="928"/>
        <v>1624951.1711136862</v>
      </c>
      <c r="IQ164" s="314">
        <f t="shared" si="928"/>
        <v>1637833.5082834098</v>
      </c>
      <c r="IR164" s="314">
        <f t="shared" si="928"/>
        <v>49796.331841928026</v>
      </c>
      <c r="IS164" s="314">
        <f t="shared" si="928"/>
        <v>4722639.6529362872</v>
      </c>
      <c r="IT164" s="314">
        <f t="shared" si="928"/>
        <v>1152262.3898059563</v>
      </c>
      <c r="IU164" s="314">
        <f t="shared" si="928"/>
        <v>171269.29765591683</v>
      </c>
      <c r="IV164" s="314">
        <f t="shared" si="928"/>
        <v>740956.86711645324</v>
      </c>
      <c r="IW164" s="314">
        <f t="shared" si="928"/>
        <v>1174596.7859069163</v>
      </c>
      <c r="IX164" s="314">
        <f t="shared" si="928"/>
        <v>100358.26716689731</v>
      </c>
      <c r="IY164" s="314">
        <f t="shared" si="928"/>
        <v>847454.58166691335</v>
      </c>
      <c r="IZ164" s="314">
        <f t="shared" si="928"/>
        <v>1975906.2888691467</v>
      </c>
      <c r="JA164" s="314">
        <f t="shared" ref="JA164:JH164" si="929">JA89+JA92+JA154+JA81</f>
        <v>143953.2202563601</v>
      </c>
      <c r="JB164" s="314">
        <f t="shared" si="929"/>
        <v>177551.67210734112</v>
      </c>
      <c r="JC164" s="314">
        <f t="shared" si="929"/>
        <v>101316.3719517602</v>
      </c>
      <c r="JD164" s="314">
        <f t="shared" si="929"/>
        <v>313503.64619463228</v>
      </c>
      <c r="JE164" s="314">
        <f t="shared" si="929"/>
        <v>39695</v>
      </c>
      <c r="JF164" s="314">
        <f t="shared" si="929"/>
        <v>2862779.9041821565</v>
      </c>
      <c r="JG164" s="314">
        <f t="shared" si="929"/>
        <v>2108539.8671446699</v>
      </c>
      <c r="JH164" s="314">
        <f t="shared" si="929"/>
        <v>66891.236274292896</v>
      </c>
      <c r="JI164" s="314">
        <f t="shared" si="889"/>
        <v>97355245.733139426</v>
      </c>
    </row>
    <row r="165" spans="2:276" x14ac:dyDescent="0.25">
      <c r="C165" s="314">
        <f>C163-C164</f>
        <v>0</v>
      </c>
      <c r="D165" s="314">
        <f t="shared" ref="D165:BP165" si="930">D163-D164</f>
        <v>60346.042249099759</v>
      </c>
      <c r="E165" s="314">
        <f t="shared" si="930"/>
        <v>0</v>
      </c>
      <c r="F165" s="314">
        <f t="shared" si="930"/>
        <v>0</v>
      </c>
      <c r="G165" s="314">
        <f t="shared" si="930"/>
        <v>0</v>
      </c>
      <c r="H165" s="314">
        <f t="shared" si="930"/>
        <v>-350978.29629567324</v>
      </c>
      <c r="I165" s="314">
        <f t="shared" si="930"/>
        <v>-376628.49366994062</v>
      </c>
      <c r="J165" s="314">
        <f t="shared" si="930"/>
        <v>126485.23608403429</v>
      </c>
      <c r="K165" s="314">
        <f t="shared" si="930"/>
        <v>-419032.31589531992</v>
      </c>
      <c r="L165" s="314">
        <f t="shared" si="930"/>
        <v>-25014.170743059833</v>
      </c>
      <c r="M165" s="314">
        <f t="shared" si="930"/>
        <v>0</v>
      </c>
      <c r="N165" s="314">
        <f t="shared" si="930"/>
        <v>-892525.76594634727</v>
      </c>
      <c r="O165" s="314">
        <f t="shared" si="930"/>
        <v>-105005.78957660589</v>
      </c>
      <c r="P165" s="314">
        <f t="shared" si="930"/>
        <v>117000</v>
      </c>
      <c r="Q165" s="314">
        <f t="shared" si="930"/>
        <v>0</v>
      </c>
      <c r="R165" s="314">
        <f t="shared" si="930"/>
        <v>-34847.41443209257</v>
      </c>
      <c r="S165" s="314">
        <f t="shared" si="930"/>
        <v>-44857.72521024663</v>
      </c>
      <c r="T165" s="314">
        <f t="shared" si="930"/>
        <v>0</v>
      </c>
      <c r="U165" s="314">
        <f t="shared" si="930"/>
        <v>-138339.73383276933</v>
      </c>
      <c r="V165" s="314">
        <f t="shared" si="930"/>
        <v>537280</v>
      </c>
      <c r="W165" s="314">
        <f t="shared" si="930"/>
        <v>249600</v>
      </c>
      <c r="X165" s="314">
        <f t="shared" si="930"/>
        <v>-235254.72332073096</v>
      </c>
      <c r="Y165" s="314">
        <f t="shared" si="930"/>
        <v>199045.44921071106</v>
      </c>
      <c r="Z165" s="314">
        <f t="shared" si="930"/>
        <v>10709.190378032014</v>
      </c>
      <c r="AA165" s="314">
        <f t="shared" si="930"/>
        <v>-225887.12232271861</v>
      </c>
      <c r="AB165" s="314">
        <f t="shared" si="930"/>
        <v>-678982.56975617446</v>
      </c>
      <c r="AC165" s="314">
        <f t="shared" ref="AC165" si="931">AC163-AC164</f>
        <v>-168338.47062468273</v>
      </c>
      <c r="AD165" s="314">
        <f t="shared" si="930"/>
        <v>-249124.42206219956</v>
      </c>
      <c r="AE165" s="314">
        <f t="shared" si="930"/>
        <v>0</v>
      </c>
      <c r="AF165" s="314">
        <f t="shared" si="930"/>
        <v>0</v>
      </c>
      <c r="AG165" s="314">
        <f t="shared" si="930"/>
        <v>-207705.72605321137</v>
      </c>
      <c r="AH165" s="314">
        <f t="shared" si="930"/>
        <v>47300</v>
      </c>
      <c r="AI165" s="314">
        <f t="shared" si="930"/>
        <v>788325.38309340633</v>
      </c>
      <c r="AJ165" s="314">
        <f t="shared" si="930"/>
        <v>98430.309376765217</v>
      </c>
      <c r="AK165" s="314">
        <f t="shared" si="930"/>
        <v>132468</v>
      </c>
      <c r="AL165" s="314">
        <f t="shared" si="930"/>
        <v>0</v>
      </c>
      <c r="AM165" s="314">
        <f t="shared" si="930"/>
        <v>0</v>
      </c>
      <c r="AN165" s="314">
        <f t="shared" si="930"/>
        <v>-248638.69405605283</v>
      </c>
      <c r="AO165" s="314">
        <f t="shared" si="930"/>
        <v>-1150721.896494789</v>
      </c>
      <c r="AP165" s="314">
        <f t="shared" si="930"/>
        <v>56974.883770398796</v>
      </c>
      <c r="AQ165" s="314">
        <f t="shared" si="930"/>
        <v>-243890.59568873851</v>
      </c>
      <c r="AR165" s="314">
        <f t="shared" si="930"/>
        <v>0</v>
      </c>
      <c r="AS165" s="314">
        <f t="shared" si="930"/>
        <v>-86589.113756441569</v>
      </c>
      <c r="AT165" s="314">
        <f t="shared" si="930"/>
        <v>-557971.23839106597</v>
      </c>
      <c r="AU165" s="314">
        <f t="shared" si="930"/>
        <v>-100330.65614401316</v>
      </c>
      <c r="AV165" s="314">
        <f t="shared" si="930"/>
        <v>0</v>
      </c>
      <c r="AW165" s="314">
        <f t="shared" si="930"/>
        <v>16112.012350120116</v>
      </c>
      <c r="AX165" s="314">
        <f t="shared" si="930"/>
        <v>-608319.50278577674</v>
      </c>
      <c r="AY165" s="314">
        <f t="shared" si="930"/>
        <v>-345508.70270350017</v>
      </c>
      <c r="AZ165" s="314">
        <f t="shared" si="930"/>
        <v>378628.66833067732</v>
      </c>
      <c r="BA165" s="314">
        <f t="shared" si="930"/>
        <v>683000</v>
      </c>
      <c r="BB165" s="314">
        <f t="shared" si="930"/>
        <v>-41650.329521507723</v>
      </c>
      <c r="BC165" s="314">
        <f t="shared" si="930"/>
        <v>0</v>
      </c>
      <c r="BD165" s="314">
        <f t="shared" si="930"/>
        <v>-199914.38326196466</v>
      </c>
      <c r="BE165" s="314">
        <f t="shared" si="930"/>
        <v>-161601.54475307069</v>
      </c>
      <c r="BF165" s="314">
        <f t="shared" si="930"/>
        <v>649371.39419043064</v>
      </c>
      <c r="BG165" s="314">
        <f t="shared" si="930"/>
        <v>843000</v>
      </c>
      <c r="BH165" s="314">
        <f t="shared" si="930"/>
        <v>182109.24156050989</v>
      </c>
      <c r="BI165" s="314">
        <f t="shared" si="930"/>
        <v>1032086.889306257</v>
      </c>
      <c r="BJ165" s="314">
        <f t="shared" si="930"/>
        <v>-117222.18345255451</v>
      </c>
      <c r="BK165" s="314">
        <f t="shared" si="930"/>
        <v>22000</v>
      </c>
      <c r="BL165" s="314">
        <f t="shared" si="930"/>
        <v>0</v>
      </c>
      <c r="BM165" s="314">
        <f t="shared" si="930"/>
        <v>568973.04</v>
      </c>
      <c r="BN165" s="314">
        <f t="shared" si="930"/>
        <v>-21035.394914980512</v>
      </c>
      <c r="BO165" s="314">
        <f t="shared" si="930"/>
        <v>-131525.27864215546</v>
      </c>
      <c r="BP165" s="314">
        <f t="shared" si="930"/>
        <v>0</v>
      </c>
      <c r="BQ165" s="314">
        <f t="shared" ref="BQ165:EB165" si="932">BQ163-BQ164</f>
        <v>-40910.730088019649</v>
      </c>
      <c r="BR165" s="314">
        <f t="shared" si="932"/>
        <v>-90276.760449492256</v>
      </c>
      <c r="BS165" s="314">
        <f t="shared" si="932"/>
        <v>-193289.97956719738</v>
      </c>
      <c r="BT165" s="314">
        <f t="shared" si="932"/>
        <v>0</v>
      </c>
      <c r="BU165" s="314">
        <f t="shared" si="932"/>
        <v>-642700.77050449979</v>
      </c>
      <c r="BV165" s="314">
        <f t="shared" si="932"/>
        <v>-104151.05247350829</v>
      </c>
      <c r="BW165" s="314">
        <f t="shared" si="932"/>
        <v>-253400.15994741418</v>
      </c>
      <c r="BX165" s="314">
        <f t="shared" si="932"/>
        <v>-1456416.0673548868</v>
      </c>
      <c r="BY165" s="314">
        <f t="shared" si="932"/>
        <v>-184616.31126441457</v>
      </c>
      <c r="BZ165" s="314">
        <f t="shared" si="932"/>
        <v>-225130.01244640414</v>
      </c>
      <c r="CA165" s="314">
        <f t="shared" si="932"/>
        <v>0</v>
      </c>
      <c r="CB165" s="314">
        <f t="shared" si="932"/>
        <v>-372148.26152222138</v>
      </c>
      <c r="CC165" s="314">
        <f t="shared" si="932"/>
        <v>-228041.75251266407</v>
      </c>
      <c r="CD165" s="314">
        <f t="shared" si="932"/>
        <v>-51074.706077585928</v>
      </c>
      <c r="CE165" s="314">
        <f t="shared" si="932"/>
        <v>0</v>
      </c>
      <c r="CF165" s="314">
        <f t="shared" si="932"/>
        <v>0</v>
      </c>
      <c r="CG165" s="314">
        <f t="shared" si="932"/>
        <v>-26000</v>
      </c>
      <c r="CH165" s="314">
        <f t="shared" si="932"/>
        <v>-316149.07924963161</v>
      </c>
      <c r="CI165" s="314">
        <f t="shared" si="932"/>
        <v>21633.155796868727</v>
      </c>
      <c r="CJ165" s="314">
        <f t="shared" si="932"/>
        <v>0</v>
      </c>
      <c r="CK165" s="314">
        <f t="shared" si="932"/>
        <v>105780</v>
      </c>
      <c r="CL165" s="314">
        <f t="shared" si="932"/>
        <v>56438.59728209069</v>
      </c>
      <c r="CM165" s="314">
        <f t="shared" si="932"/>
        <v>0</v>
      </c>
      <c r="CN165" s="314">
        <f t="shared" si="932"/>
        <v>-192152.05856648134</v>
      </c>
      <c r="CO165" s="314">
        <f t="shared" si="932"/>
        <v>-149642.14584698994</v>
      </c>
      <c r="CP165" s="314">
        <f t="shared" si="932"/>
        <v>-168949.86264729407</v>
      </c>
      <c r="CQ165" s="314">
        <f t="shared" si="932"/>
        <v>0</v>
      </c>
      <c r="CR165" s="314">
        <f t="shared" si="932"/>
        <v>36723</v>
      </c>
      <c r="CS165" s="314">
        <f t="shared" si="932"/>
        <v>187555.67419309285</v>
      </c>
      <c r="CT165" s="314">
        <f t="shared" si="932"/>
        <v>-1706479.1670254553</v>
      </c>
      <c r="CU165" s="314">
        <f t="shared" si="932"/>
        <v>99027.688735585427</v>
      </c>
      <c r="CV165" s="314">
        <f t="shared" si="932"/>
        <v>-591862.51462611125</v>
      </c>
      <c r="CW165" s="314">
        <f t="shared" si="932"/>
        <v>45664.106466892292</v>
      </c>
      <c r="CX165" s="314">
        <f t="shared" si="932"/>
        <v>229532</v>
      </c>
      <c r="CY165" s="314">
        <f t="shared" si="932"/>
        <v>0</v>
      </c>
      <c r="CZ165" s="314">
        <f t="shared" si="932"/>
        <v>75100</v>
      </c>
      <c r="DA165" s="314">
        <f t="shared" si="932"/>
        <v>741147.0119362768</v>
      </c>
      <c r="DB165" s="314">
        <f t="shared" si="932"/>
        <v>-106618.46260512329</v>
      </c>
      <c r="DC165" s="314">
        <f t="shared" si="932"/>
        <v>-244927.68230873742</v>
      </c>
      <c r="DD165" s="314">
        <f t="shared" si="932"/>
        <v>8653.8338337875903</v>
      </c>
      <c r="DE165" s="314">
        <f t="shared" si="932"/>
        <v>0</v>
      </c>
      <c r="DF165" s="314">
        <f t="shared" si="932"/>
        <v>2721236.8713862468</v>
      </c>
      <c r="DG165" s="314">
        <f t="shared" si="932"/>
        <v>0</v>
      </c>
      <c r="DH165" s="314">
        <f t="shared" si="932"/>
        <v>0</v>
      </c>
      <c r="DI165" s="314">
        <f t="shared" si="932"/>
        <v>-32126.476262615761</v>
      </c>
      <c r="DJ165" s="314">
        <f t="shared" si="932"/>
        <v>65990.976314039901</v>
      </c>
      <c r="DK165" s="314">
        <f t="shared" si="932"/>
        <v>-108661.81809192803</v>
      </c>
      <c r="DL165" s="314">
        <f t="shared" si="932"/>
        <v>-1072302.966263033</v>
      </c>
      <c r="DM165" s="314">
        <f t="shared" si="932"/>
        <v>7446.3576801482122</v>
      </c>
      <c r="DN165" s="314">
        <f t="shared" si="932"/>
        <v>-214093.43754096981</v>
      </c>
      <c r="DO165" s="314">
        <f t="shared" si="932"/>
        <v>0</v>
      </c>
      <c r="DP165" s="314">
        <f t="shared" si="932"/>
        <v>-187075.75400271686</v>
      </c>
      <c r="DQ165" s="314">
        <f t="shared" si="932"/>
        <v>390150</v>
      </c>
      <c r="DR165" s="314">
        <f t="shared" si="932"/>
        <v>562288.5</v>
      </c>
      <c r="DS165" s="314">
        <f t="shared" si="932"/>
        <v>747552.23658600543</v>
      </c>
      <c r="DT165" s="314">
        <f t="shared" si="932"/>
        <v>345500</v>
      </c>
      <c r="DU165" s="314">
        <f t="shared" si="932"/>
        <v>-2379508.9633388799</v>
      </c>
      <c r="DV165" s="314">
        <f t="shared" si="932"/>
        <v>2016667</v>
      </c>
      <c r="DW165" s="314">
        <f t="shared" si="932"/>
        <v>-1463011.5734570101</v>
      </c>
      <c r="DX165" s="314">
        <f t="shared" si="932"/>
        <v>-4919719.1541079516</v>
      </c>
      <c r="DY165" s="314">
        <f t="shared" si="932"/>
        <v>0</v>
      </c>
      <c r="DZ165" s="314">
        <f t="shared" si="932"/>
        <v>0</v>
      </c>
      <c r="EA165" s="314">
        <f t="shared" si="932"/>
        <v>-522527.23529455811</v>
      </c>
      <c r="EB165" s="314">
        <f t="shared" si="932"/>
        <v>0</v>
      </c>
      <c r="EC165" s="314">
        <f t="shared" ref="EC165:GN165" si="933">EC163-EC164</f>
        <v>-316399.96774093434</v>
      </c>
      <c r="ED165" s="314">
        <f t="shared" si="933"/>
        <v>-289722.16032859124</v>
      </c>
      <c r="EE165" s="314">
        <f t="shared" si="933"/>
        <v>134189.53739487671</v>
      </c>
      <c r="EF165" s="314">
        <f t="shared" si="933"/>
        <v>147466.88847269223</v>
      </c>
      <c r="EG165" s="314">
        <f t="shared" si="933"/>
        <v>-6075.7399211212178</v>
      </c>
      <c r="EH165" s="314">
        <f t="shared" si="933"/>
        <v>124811.80860682938</v>
      </c>
      <c r="EI165" s="314">
        <f t="shared" si="933"/>
        <v>153000</v>
      </c>
      <c r="EJ165" s="314">
        <f t="shared" si="933"/>
        <v>-132656.80451386474</v>
      </c>
      <c r="EK165" s="314">
        <f t="shared" si="933"/>
        <v>-857560.91243154928</v>
      </c>
      <c r="EL165" s="314">
        <f t="shared" si="933"/>
        <v>-76904.394825894386</v>
      </c>
      <c r="EM165" s="314">
        <f t="shared" si="933"/>
        <v>52000</v>
      </c>
      <c r="EN165" s="314">
        <f t="shared" si="933"/>
        <v>-161191.61752498476</v>
      </c>
      <c r="EO165" s="314">
        <f t="shared" si="933"/>
        <v>-44426.74250429438</v>
      </c>
      <c r="EP165" s="314">
        <f t="shared" si="933"/>
        <v>12264.126105596777</v>
      </c>
      <c r="EQ165" s="314">
        <f t="shared" si="933"/>
        <v>-565277.01416179165</v>
      </c>
      <c r="ER165" s="314">
        <f t="shared" si="933"/>
        <v>657000</v>
      </c>
      <c r="ES165" s="314">
        <f t="shared" si="933"/>
        <v>-4508469.4473401569</v>
      </c>
      <c r="ET165" s="314">
        <f t="shared" si="933"/>
        <v>60981.126673336148</v>
      </c>
      <c r="EU165" s="314">
        <f t="shared" si="933"/>
        <v>613681.09691569244</v>
      </c>
      <c r="EV165" s="314">
        <f t="shared" si="933"/>
        <v>0</v>
      </c>
      <c r="EW165" s="314">
        <f t="shared" si="933"/>
        <v>0</v>
      </c>
      <c r="EX165" s="314">
        <f t="shared" si="933"/>
        <v>0</v>
      </c>
      <c r="EY165" s="314">
        <f t="shared" si="933"/>
        <v>0</v>
      </c>
      <c r="EZ165" s="314">
        <f t="shared" si="933"/>
        <v>-1611489.2056709761</v>
      </c>
      <c r="FA165" s="314">
        <f t="shared" si="933"/>
        <v>533844.1996313592</v>
      </c>
      <c r="FB165" s="314">
        <f t="shared" si="933"/>
        <v>-150886.8517307243</v>
      </c>
      <c r="FC165" s="314">
        <f t="shared" si="933"/>
        <v>0</v>
      </c>
      <c r="FD165" s="314">
        <f t="shared" si="933"/>
        <v>-1024860.1610809792</v>
      </c>
      <c r="FE165" s="314">
        <f t="shared" si="933"/>
        <v>0</v>
      </c>
      <c r="FF165" s="314">
        <f t="shared" si="933"/>
        <v>0</v>
      </c>
      <c r="FG165" s="314">
        <f t="shared" si="933"/>
        <v>1226342.7585950759</v>
      </c>
      <c r="FH165" s="314">
        <f t="shared" si="933"/>
        <v>0</v>
      </c>
      <c r="FI165" s="314">
        <f t="shared" si="933"/>
        <v>-272991.64356752974</v>
      </c>
      <c r="FJ165" s="314">
        <f t="shared" si="933"/>
        <v>-414971.42041204381</v>
      </c>
      <c r="FK165" s="314">
        <f t="shared" si="933"/>
        <v>-883583.44584021706</v>
      </c>
      <c r="FL165" s="314">
        <f t="shared" si="933"/>
        <v>-693547.05371370958</v>
      </c>
      <c r="FM165" s="314">
        <f t="shared" si="933"/>
        <v>0</v>
      </c>
      <c r="FN165" s="314">
        <f t="shared" si="933"/>
        <v>0</v>
      </c>
      <c r="FO165" s="314">
        <f t="shared" si="933"/>
        <v>0</v>
      </c>
      <c r="FP165" s="314">
        <f t="shared" si="933"/>
        <v>0</v>
      </c>
      <c r="FQ165" s="314">
        <f t="shared" si="933"/>
        <v>0</v>
      </c>
      <c r="FR165" s="314">
        <f t="shared" si="933"/>
        <v>57292.80472513882</v>
      </c>
      <c r="FS165" s="314">
        <f t="shared" si="933"/>
        <v>0</v>
      </c>
      <c r="FT165" s="314">
        <f t="shared" si="933"/>
        <v>-130049.47500130825</v>
      </c>
      <c r="FU165" s="314">
        <f t="shared" si="933"/>
        <v>-217080.16333139787</v>
      </c>
      <c r="FV165" s="314">
        <f t="shared" si="933"/>
        <v>0</v>
      </c>
      <c r="FW165" s="314">
        <f t="shared" si="933"/>
        <v>-447218.81957422954</v>
      </c>
      <c r="FX165" s="314">
        <f t="shared" si="933"/>
        <v>-310245.43327586522</v>
      </c>
      <c r="FY165" s="314">
        <f t="shared" si="933"/>
        <v>-155234.8576041882</v>
      </c>
      <c r="FZ165" s="314">
        <f t="shared" si="933"/>
        <v>0</v>
      </c>
      <c r="GA165" s="314">
        <f t="shared" si="933"/>
        <v>0</v>
      </c>
      <c r="GB165" s="314">
        <f t="shared" si="933"/>
        <v>0</v>
      </c>
      <c r="GC165" s="314">
        <f t="shared" si="933"/>
        <v>-802385.63469312782</v>
      </c>
      <c r="GD165" s="314">
        <f t="shared" si="933"/>
        <v>-207775.58568569878</v>
      </c>
      <c r="GE165" s="314">
        <f t="shared" si="933"/>
        <v>155880.93400108395</v>
      </c>
      <c r="GF165" s="314">
        <f t="shared" si="933"/>
        <v>0</v>
      </c>
      <c r="GG165" s="314">
        <f t="shared" si="933"/>
        <v>0</v>
      </c>
      <c r="GH165" s="314">
        <f t="shared" si="933"/>
        <v>95939.806436581945</v>
      </c>
      <c r="GI165" s="314">
        <f t="shared" si="933"/>
        <v>0</v>
      </c>
      <c r="GJ165" s="314">
        <f t="shared" si="933"/>
        <v>-1150473.6210091191</v>
      </c>
      <c r="GK165" s="314">
        <f t="shared" si="933"/>
        <v>-565948.08081845753</v>
      </c>
      <c r="GL165" s="314">
        <f t="shared" si="933"/>
        <v>-1337482.8121745556</v>
      </c>
      <c r="GM165" s="314">
        <f t="shared" si="933"/>
        <v>-1307795.2062739858</v>
      </c>
      <c r="GN165" s="314">
        <f t="shared" si="933"/>
        <v>-1297252.2958306111</v>
      </c>
      <c r="GO165" s="314">
        <f t="shared" ref="GO165:IZ165" si="934">GO163-GO164</f>
        <v>-150600.61672605819</v>
      </c>
      <c r="GP165" s="314">
        <f t="shared" si="934"/>
        <v>0</v>
      </c>
      <c r="GQ165" s="314">
        <f t="shared" si="934"/>
        <v>-307721.67128313897</v>
      </c>
      <c r="GR165" s="314">
        <f t="shared" si="934"/>
        <v>39083.553567559138</v>
      </c>
      <c r="GS165" s="314">
        <f t="shared" si="934"/>
        <v>-270785.07949711429</v>
      </c>
      <c r="GT165" s="314">
        <f t="shared" si="934"/>
        <v>0</v>
      </c>
      <c r="GU165" s="314">
        <f t="shared" si="934"/>
        <v>242072.652</v>
      </c>
      <c r="GV165" s="314">
        <f t="shared" si="934"/>
        <v>192077.12233510963</v>
      </c>
      <c r="GW165" s="314">
        <f t="shared" si="934"/>
        <v>-3941.9923552796099</v>
      </c>
      <c r="GX165" s="314">
        <f t="shared" si="934"/>
        <v>-232319.34826799895</v>
      </c>
      <c r="GY165" s="314">
        <f t="shared" si="934"/>
        <v>0</v>
      </c>
      <c r="GZ165" s="314">
        <f t="shared" si="934"/>
        <v>-599165.18034264026</v>
      </c>
      <c r="HA165" s="314">
        <f t="shared" si="934"/>
        <v>34456.353179153288</v>
      </c>
      <c r="HB165" s="314">
        <f t="shared" si="934"/>
        <v>0</v>
      </c>
      <c r="HC165" s="314">
        <f t="shared" si="934"/>
        <v>0</v>
      </c>
      <c r="HD165" s="314">
        <f t="shared" si="934"/>
        <v>0</v>
      </c>
      <c r="HE165" s="314">
        <f t="shared" si="934"/>
        <v>1045371.4307119017</v>
      </c>
      <c r="HF165" s="314">
        <f t="shared" si="934"/>
        <v>-495606.74212882214</v>
      </c>
      <c r="HG165" s="314">
        <f t="shared" si="934"/>
        <v>-588573.83357331227</v>
      </c>
      <c r="HH165" s="314">
        <f t="shared" si="934"/>
        <v>0</v>
      </c>
      <c r="HI165" s="314">
        <f t="shared" si="934"/>
        <v>0</v>
      </c>
      <c r="HJ165" s="314">
        <f t="shared" si="934"/>
        <v>-2279421.4694658662</v>
      </c>
      <c r="HK165" s="314">
        <f t="shared" si="934"/>
        <v>-498761.35040160897</v>
      </c>
      <c r="HL165" s="314">
        <f t="shared" si="934"/>
        <v>2577946.2263842965</v>
      </c>
      <c r="HM165" s="314">
        <f t="shared" si="934"/>
        <v>-1822000.7132431108</v>
      </c>
      <c r="HN165" s="314">
        <f t="shared" si="934"/>
        <v>-255377.10829983011</v>
      </c>
      <c r="HO165" s="314">
        <f t="shared" si="934"/>
        <v>-2847160.6666890793</v>
      </c>
      <c r="HP165" s="314">
        <f t="shared" si="934"/>
        <v>2937605.6068551415</v>
      </c>
      <c r="HQ165" s="314">
        <f t="shared" si="934"/>
        <v>6296.0109016010101</v>
      </c>
      <c r="HR165" s="314">
        <f t="shared" si="934"/>
        <v>-346833.41561992001</v>
      </c>
      <c r="HS165" s="314">
        <f t="shared" si="934"/>
        <v>403161.43619984179</v>
      </c>
      <c r="HT165" s="314">
        <f t="shared" si="934"/>
        <v>-5347061.1012308747</v>
      </c>
      <c r="HU165" s="314">
        <f t="shared" si="934"/>
        <v>3908274.8653759169</v>
      </c>
      <c r="HV165" s="314">
        <f t="shared" si="934"/>
        <v>1496716.4349601455</v>
      </c>
      <c r="HW165" s="314">
        <f t="shared" si="934"/>
        <v>172941.92493340792</v>
      </c>
      <c r="HX165" s="314">
        <f t="shared" si="934"/>
        <v>2994882.4935670677</v>
      </c>
      <c r="HY165" s="314">
        <f t="shared" si="934"/>
        <v>-2304863.066458262</v>
      </c>
      <c r="HZ165" s="314">
        <f t="shared" si="934"/>
        <v>490431.75556179124</v>
      </c>
      <c r="IA165" s="314">
        <f t="shared" si="934"/>
        <v>16795.157256452134</v>
      </c>
      <c r="IB165" s="314">
        <f t="shared" si="934"/>
        <v>-32259.599407635047</v>
      </c>
      <c r="IC165" s="314">
        <f t="shared" si="934"/>
        <v>1955261.1448942753</v>
      </c>
      <c r="ID165" s="314">
        <f t="shared" si="934"/>
        <v>1582764.6085267821</v>
      </c>
      <c r="IE165" s="314">
        <f t="shared" si="934"/>
        <v>1812990.5015844775</v>
      </c>
      <c r="IF165" s="314">
        <f t="shared" si="934"/>
        <v>-4711847.704423666</v>
      </c>
      <c r="IG165" s="314">
        <f t="shared" si="934"/>
        <v>-546105.68378837779</v>
      </c>
      <c r="IH165" s="314">
        <f t="shared" si="934"/>
        <v>736067.42885601206</v>
      </c>
      <c r="II165" s="314">
        <f t="shared" si="934"/>
        <v>-2840000.7748431554</v>
      </c>
      <c r="IJ165" s="314">
        <f t="shared" si="934"/>
        <v>306647.69780913368</v>
      </c>
      <c r="IK165" s="314">
        <f t="shared" si="934"/>
        <v>-574435.47614183836</v>
      </c>
      <c r="IL165" s="314">
        <f t="shared" si="934"/>
        <v>-653968.5683605955</v>
      </c>
      <c r="IM165" s="314">
        <f t="shared" si="934"/>
        <v>-152079.87741329143</v>
      </c>
      <c r="IN165" s="314">
        <f t="shared" si="934"/>
        <v>-129860.38538624812</v>
      </c>
      <c r="IO165" s="314">
        <f t="shared" si="934"/>
        <v>465274.01418881968</v>
      </c>
      <c r="IP165" s="314">
        <f t="shared" si="934"/>
        <v>-1643290.9935331265</v>
      </c>
      <c r="IQ165" s="314">
        <f t="shared" si="934"/>
        <v>-1714838.8915572087</v>
      </c>
      <c r="IR165" s="314">
        <f t="shared" si="934"/>
        <v>13439.943361662139</v>
      </c>
      <c r="IS165" s="314">
        <f t="shared" si="934"/>
        <v>-3579814.1629052758</v>
      </c>
      <c r="IT165" s="314">
        <f t="shared" si="934"/>
        <v>684978.12016303884</v>
      </c>
      <c r="IU165" s="314">
        <f t="shared" si="934"/>
        <v>313537.44674856489</v>
      </c>
      <c r="IV165" s="314">
        <f t="shared" si="934"/>
        <v>-397086.0095196293</v>
      </c>
      <c r="IW165" s="314">
        <f t="shared" si="934"/>
        <v>-2690895.015101593</v>
      </c>
      <c r="IX165" s="314">
        <f t="shared" si="934"/>
        <v>235204.59593742655</v>
      </c>
      <c r="IY165" s="314">
        <f t="shared" si="934"/>
        <v>4924861.4800059684</v>
      </c>
      <c r="IZ165" s="314">
        <f t="shared" si="934"/>
        <v>2426746.1550431694</v>
      </c>
      <c r="JA165" s="314">
        <f t="shared" ref="JA165:JH165" si="935">JA163-JA164</f>
        <v>-176594.88052702168</v>
      </c>
      <c r="JB165" s="314">
        <f t="shared" si="935"/>
        <v>569237.28804985632</v>
      </c>
      <c r="JC165" s="314">
        <f t="shared" si="935"/>
        <v>-280579.00259929331</v>
      </c>
      <c r="JD165" s="314">
        <f t="shared" si="935"/>
        <v>2421147.8292792924</v>
      </c>
      <c r="JE165" s="314">
        <f t="shared" si="935"/>
        <v>-348800.14505924704</v>
      </c>
      <c r="JF165" s="314">
        <f t="shared" si="935"/>
        <v>4231420.2408770937</v>
      </c>
      <c r="JG165" s="314">
        <f t="shared" si="935"/>
        <v>-1561607.7021934981</v>
      </c>
      <c r="JH165" s="314">
        <f t="shared" si="935"/>
        <v>496729.28351784637</v>
      </c>
      <c r="JI165" s="314">
        <f t="shared" si="889"/>
        <v>-27713173.326375164</v>
      </c>
    </row>
    <row r="166" spans="2:276" x14ac:dyDescent="0.25">
      <c r="B166" s="266" t="s">
        <v>2639</v>
      </c>
      <c r="H166" s="632">
        <v>1</v>
      </c>
      <c r="I166" s="632">
        <v>1</v>
      </c>
      <c r="J166" s="632">
        <v>1</v>
      </c>
      <c r="AW166" s="632">
        <v>1</v>
      </c>
      <c r="BD166" s="633"/>
      <c r="BE166" s="632">
        <v>1</v>
      </c>
      <c r="BF166" s="263"/>
      <c r="BQ166" s="632">
        <v>1</v>
      </c>
      <c r="CH166" s="632">
        <v>1</v>
      </c>
      <c r="CI166" s="632">
        <v>1</v>
      </c>
      <c r="CL166" s="353">
        <v>2</v>
      </c>
      <c r="CS166" s="632">
        <v>1</v>
      </c>
      <c r="CT166" s="632">
        <v>1</v>
      </c>
      <c r="DD166" s="632">
        <v>1</v>
      </c>
      <c r="DF166" s="263"/>
      <c r="DH166" s="353">
        <v>2</v>
      </c>
      <c r="DI166" s="632">
        <v>1</v>
      </c>
      <c r="DJ166" s="632">
        <v>1</v>
      </c>
      <c r="DK166" s="632">
        <v>1</v>
      </c>
      <c r="DU166" s="632">
        <v>1</v>
      </c>
      <c r="DW166" s="632">
        <v>1</v>
      </c>
      <c r="DX166" s="632">
        <v>1</v>
      </c>
      <c r="EA166" s="313" t="s">
        <v>2789</v>
      </c>
      <c r="EB166" s="263"/>
      <c r="EJ166" s="632">
        <v>1</v>
      </c>
      <c r="FA166" s="263"/>
      <c r="FD166" s="632">
        <v>1</v>
      </c>
      <c r="FR166" s="632">
        <v>1</v>
      </c>
      <c r="GE166" s="632">
        <v>1</v>
      </c>
      <c r="GK166" s="263"/>
      <c r="GZ166" s="632">
        <v>1</v>
      </c>
      <c r="HJ166" s="632">
        <v>1</v>
      </c>
      <c r="HO166" s="632">
        <v>1</v>
      </c>
      <c r="JG166" s="632"/>
    </row>
    <row r="167" spans="2:276" x14ac:dyDescent="0.25">
      <c r="C167" s="314">
        <f>C159/1.34/12/C30</f>
        <v>3841.4800995024875</v>
      </c>
      <c r="D167" s="314">
        <f t="shared" ref="D167:BP167" si="936">D159/1.34/12/D30</f>
        <v>4860.7656163626307</v>
      </c>
      <c r="E167" s="314">
        <f t="shared" si="936"/>
        <v>300.77553409423473</v>
      </c>
      <c r="F167" s="314">
        <f t="shared" si="936"/>
        <v>924.31102912404253</v>
      </c>
      <c r="G167" s="314">
        <f t="shared" si="936"/>
        <v>5154.1207008436077</v>
      </c>
      <c r="H167" s="314">
        <f t="shared" si="936"/>
        <v>2270.2603686881207</v>
      </c>
      <c r="I167" s="314">
        <f t="shared" si="936"/>
        <v>12463.97631781535</v>
      </c>
      <c r="J167" s="314">
        <f t="shared" si="936"/>
        <v>1331.9426047292234</v>
      </c>
      <c r="K167" s="314">
        <f t="shared" si="936"/>
        <v>4274.032614704256</v>
      </c>
      <c r="L167" s="314">
        <f t="shared" si="936"/>
        <v>0</v>
      </c>
      <c r="M167" s="314">
        <f t="shared" si="936"/>
        <v>210.6896075179657</v>
      </c>
      <c r="N167" s="314">
        <f t="shared" si="936"/>
        <v>0</v>
      </c>
      <c r="O167" s="314">
        <f t="shared" si="936"/>
        <v>1549.2041440245227</v>
      </c>
      <c r="P167" s="314">
        <f t="shared" si="936"/>
        <v>1679.3221393034826</v>
      </c>
      <c r="Q167" s="314">
        <f t="shared" si="936"/>
        <v>8550.373134328358</v>
      </c>
      <c r="R167" s="314">
        <f t="shared" si="936"/>
        <v>-1784.978516508369</v>
      </c>
      <c r="S167" s="314">
        <f t="shared" si="936"/>
        <v>-7.5708414450750758E-2</v>
      </c>
      <c r="T167" s="314">
        <f t="shared" si="936"/>
        <v>1954.8507462686566</v>
      </c>
      <c r="U167" s="314">
        <f t="shared" si="936"/>
        <v>-485.24046434494198</v>
      </c>
      <c r="V167" s="314">
        <f t="shared" si="936"/>
        <v>-1477.3643819426143</v>
      </c>
      <c r="W167" s="314">
        <f t="shared" si="936"/>
        <v>3298.723772442137</v>
      </c>
      <c r="X167" s="314">
        <f t="shared" si="936"/>
        <v>20212.475826845839</v>
      </c>
      <c r="Y167" s="314">
        <f t="shared" si="936"/>
        <v>197.93010257355201</v>
      </c>
      <c r="Z167" s="314">
        <f t="shared" si="936"/>
        <v>1693.6821269994116</v>
      </c>
      <c r="AA167" s="314">
        <f t="shared" si="936"/>
        <v>4092.9726368159204</v>
      </c>
      <c r="AB167" s="314">
        <f t="shared" si="936"/>
        <v>2318.4775423581391</v>
      </c>
      <c r="AC167" s="314">
        <f t="shared" ref="AC167" si="937">AC159/1.34/12/AC30</f>
        <v>-102052.23880597013</v>
      </c>
      <c r="AD167" s="314">
        <f t="shared" si="936"/>
        <v>16256.218905472635</v>
      </c>
      <c r="AE167" s="314">
        <f t="shared" si="936"/>
        <v>2811.0550190225345</v>
      </c>
      <c r="AF167" s="314">
        <f t="shared" si="936"/>
        <v>15996.494321640741</v>
      </c>
      <c r="AG167" s="314">
        <f t="shared" si="936"/>
        <v>1111.0341151385926</v>
      </c>
      <c r="AH167" s="314">
        <f t="shared" si="936"/>
        <v>-265.80333625987709</v>
      </c>
      <c r="AI167" s="314">
        <f t="shared" si="936"/>
        <v>2945.2505454167672</v>
      </c>
      <c r="AJ167" s="314">
        <f t="shared" si="936"/>
        <v>1163.4535655058041</v>
      </c>
      <c r="AK167" s="314">
        <f t="shared" si="936"/>
        <v>1598.999052357261</v>
      </c>
      <c r="AL167" s="314">
        <f t="shared" si="936"/>
        <v>1917.3714759535653</v>
      </c>
      <c r="AM167" s="314">
        <f t="shared" si="936"/>
        <v>3708.1852641554128</v>
      </c>
      <c r="AN167" s="314">
        <f t="shared" si="936"/>
        <v>0</v>
      </c>
      <c r="AO167" s="314">
        <f t="shared" si="936"/>
        <v>3152.5445261337459</v>
      </c>
      <c r="AP167" s="314">
        <f t="shared" si="936"/>
        <v>-466.71125504552708</v>
      </c>
      <c r="AQ167" s="314">
        <f t="shared" si="936"/>
        <v>0.31094527363184077</v>
      </c>
      <c r="AR167" s="314">
        <f t="shared" si="936"/>
        <v>11087.589828634604</v>
      </c>
      <c r="AS167" s="314">
        <f t="shared" si="936"/>
        <v>275.49751243781094</v>
      </c>
      <c r="AT167" s="314">
        <f t="shared" si="936"/>
        <v>5.292685508627077E-2</v>
      </c>
      <c r="AU167" s="314">
        <f t="shared" si="936"/>
        <v>3807.0584577114428</v>
      </c>
      <c r="AV167" s="314">
        <f t="shared" si="936"/>
        <v>2888.9872670545574</v>
      </c>
      <c r="AW167" s="314">
        <f t="shared" si="936"/>
        <v>3389.7455558869742</v>
      </c>
      <c r="AX167" s="314">
        <f t="shared" si="936"/>
        <v>0</v>
      </c>
      <c r="AY167" s="314">
        <f t="shared" si="936"/>
        <v>2708.6821263610354</v>
      </c>
      <c r="AZ167" s="314">
        <f t="shared" si="936"/>
        <v>680.18424361707946</v>
      </c>
      <c r="BA167" s="314">
        <f t="shared" si="936"/>
        <v>4374.2816923136252</v>
      </c>
      <c r="BB167" s="314">
        <f t="shared" si="936"/>
        <v>9583.5297198219432</v>
      </c>
      <c r="BC167" s="314">
        <f t="shared" si="936"/>
        <v>7037.0188531029071</v>
      </c>
      <c r="BD167" s="314">
        <f t="shared" si="936"/>
        <v>14597.05150717003</v>
      </c>
      <c r="BE167" s="314">
        <f t="shared" si="936"/>
        <v>3084.0212029416689</v>
      </c>
      <c r="BF167" s="314">
        <f t="shared" si="936"/>
        <v>1987.6228613032399</v>
      </c>
      <c r="BG167" s="314">
        <f t="shared" si="936"/>
        <v>2406.4676616915422</v>
      </c>
      <c r="BH167" s="314">
        <f t="shared" si="936"/>
        <v>1374.0211983560457</v>
      </c>
      <c r="BI167" s="314">
        <f t="shared" si="936"/>
        <v>-1817.0577789518479</v>
      </c>
      <c r="BJ167" s="314">
        <f t="shared" si="936"/>
        <v>908.83750888415068</v>
      </c>
      <c r="BK167" s="314">
        <f t="shared" si="936"/>
        <v>4832.9779673063249</v>
      </c>
      <c r="BL167" s="314">
        <f>BL159/1.34/12/BL30</f>
        <v>25731.569425599271</v>
      </c>
      <c r="BM167" s="314">
        <f t="shared" si="936"/>
        <v>16513.526119402984</v>
      </c>
      <c r="BN167" s="314">
        <f t="shared" si="936"/>
        <v>1402.8141734077701</v>
      </c>
      <c r="BO167" s="314">
        <f t="shared" si="936"/>
        <v>10011.055831951353</v>
      </c>
      <c r="BP167" s="314">
        <f t="shared" si="936"/>
        <v>5805.1541654783405</v>
      </c>
      <c r="BQ167" s="314">
        <f t="shared" ref="BQ167:EB167" si="938">BQ159/1.34/12/BQ30</f>
        <v>1719.5249626234149</v>
      </c>
      <c r="BR167" s="314">
        <f t="shared" si="938"/>
        <v>6388.4282292242478</v>
      </c>
      <c r="BS167" s="314">
        <f t="shared" si="938"/>
        <v>-345.4947484798231</v>
      </c>
      <c r="BT167" s="314">
        <f t="shared" si="938"/>
        <v>2241.2935323383085</v>
      </c>
      <c r="BU167" s="314">
        <f t="shared" si="938"/>
        <v>1.397506847783554E-2</v>
      </c>
      <c r="BV167" s="314">
        <f t="shared" si="938"/>
        <v>15262.230514096185</v>
      </c>
      <c r="BW167" s="314">
        <f t="shared" si="938"/>
        <v>-0.46641791044776115</v>
      </c>
      <c r="BX167" s="314">
        <f>(BX155-BX157)/1.34/12/BX30</f>
        <v>4267.9711200097072</v>
      </c>
      <c r="BY167" s="314">
        <f t="shared" si="938"/>
        <v>-6.2189054726368154E-2</v>
      </c>
      <c r="BZ167" s="314">
        <f t="shared" si="938"/>
        <v>0</v>
      </c>
      <c r="CA167" s="314" t="e">
        <f t="shared" si="938"/>
        <v>#DIV/0!</v>
      </c>
      <c r="CB167" s="314">
        <f t="shared" si="938"/>
        <v>-0.62189054726368154</v>
      </c>
      <c r="CC167" s="314">
        <f t="shared" si="938"/>
        <v>2251.0907003444313</v>
      </c>
      <c r="CD167" s="314">
        <f t="shared" si="938"/>
        <v>-589.92537313432831</v>
      </c>
      <c r="CE167" s="314">
        <f t="shared" si="938"/>
        <v>3166.8133802816901</v>
      </c>
      <c r="CF167" s="314">
        <f t="shared" si="938"/>
        <v>1443.0122116689281</v>
      </c>
      <c r="CG167" s="314">
        <f t="shared" si="938"/>
        <v>2221.4117383009761</v>
      </c>
      <c r="CH167" s="314">
        <f t="shared" si="938"/>
        <v>2790.5790829824373</v>
      </c>
      <c r="CI167" s="314">
        <f t="shared" si="938"/>
        <v>6443.607142452739</v>
      </c>
      <c r="CJ167" s="314">
        <f t="shared" si="938"/>
        <v>3562.2865353927027</v>
      </c>
      <c r="CK167" s="314">
        <f t="shared" si="938"/>
        <v>2945.3489508268799</v>
      </c>
      <c r="CL167" s="314">
        <f t="shared" si="938"/>
        <v>2522.9677693734852</v>
      </c>
      <c r="CM167" s="314">
        <f t="shared" si="938"/>
        <v>3072.4946695095946</v>
      </c>
      <c r="CN167" s="314">
        <f t="shared" si="938"/>
        <v>0.15111940298826013</v>
      </c>
      <c r="CO167" s="314">
        <f t="shared" si="938"/>
        <v>0</v>
      </c>
      <c r="CP167" s="314">
        <f t="shared" si="938"/>
        <v>0.14116915423001408</v>
      </c>
      <c r="CQ167" s="314">
        <f t="shared" si="938"/>
        <v>6496.0685080345402</v>
      </c>
      <c r="CR167" s="314">
        <f t="shared" si="938"/>
        <v>8884.2039800995008</v>
      </c>
      <c r="CS167" s="314">
        <f t="shared" si="938"/>
        <v>32551.067602438834</v>
      </c>
      <c r="CT167" s="314">
        <f t="shared" si="938"/>
        <v>7637.5249677174779</v>
      </c>
      <c r="CU167" s="314">
        <f t="shared" si="938"/>
        <v>7377.1766169154225</v>
      </c>
      <c r="CV167" s="314">
        <f t="shared" si="938"/>
        <v>3468.3966530981456</v>
      </c>
      <c r="CW167" s="314">
        <f t="shared" si="938"/>
        <v>13329.08374792703</v>
      </c>
      <c r="CX167" s="314">
        <f t="shared" si="938"/>
        <v>1818.6843559977885</v>
      </c>
      <c r="CY167" s="314">
        <f t="shared" si="938"/>
        <v>1264.1216991963258</v>
      </c>
      <c r="CZ167" s="314">
        <f t="shared" si="938"/>
        <v>10171.365395245992</v>
      </c>
      <c r="DA167" s="314">
        <f t="shared" si="938"/>
        <v>6127.5171760246376</v>
      </c>
      <c r="DB167" s="314">
        <f t="shared" si="938"/>
        <v>4016.9803158122431</v>
      </c>
      <c r="DC167" s="314">
        <f t="shared" si="938"/>
        <v>5825.4560530679928</v>
      </c>
      <c r="DD167" s="314">
        <f t="shared" si="938"/>
        <v>5722.360246499311</v>
      </c>
      <c r="DE167" s="314">
        <f t="shared" si="938"/>
        <v>2543.1532812129826</v>
      </c>
      <c r="DF167" s="314">
        <f t="shared" si="938"/>
        <v>-3293.6034115138596</v>
      </c>
      <c r="DG167" s="314">
        <f t="shared" si="938"/>
        <v>10664.070949599827</v>
      </c>
      <c r="DH167" s="314">
        <f t="shared" si="938"/>
        <v>12159.335588694199</v>
      </c>
      <c r="DI167" s="314">
        <f t="shared" si="938"/>
        <v>1683.9177606062326</v>
      </c>
      <c r="DJ167" s="314">
        <f t="shared" si="938"/>
        <v>785.17876629270529</v>
      </c>
      <c r="DK167" s="314">
        <f t="shared" si="938"/>
        <v>29617.214251811085</v>
      </c>
      <c r="DL167" s="314">
        <f t="shared" si="938"/>
        <v>-2.7639579878385848E-2</v>
      </c>
      <c r="DM167" s="314">
        <f t="shared" si="938"/>
        <v>1935.2329262777021</v>
      </c>
      <c r="DN167" s="314">
        <f t="shared" si="938"/>
        <v>6466.6770315091208</v>
      </c>
      <c r="DO167" s="314">
        <f t="shared" si="938"/>
        <v>140.70273631840794</v>
      </c>
      <c r="DP167" s="314">
        <f t="shared" si="938"/>
        <v>-3.6165327208143021E-2</v>
      </c>
      <c r="DQ167" s="314">
        <f t="shared" si="938"/>
        <v>301.90649804413044</v>
      </c>
      <c r="DR167" s="314">
        <f t="shared" si="938"/>
        <v>-450.71310116086238</v>
      </c>
      <c r="DS167" s="314">
        <f t="shared" si="938"/>
        <v>13606.965174129353</v>
      </c>
      <c r="DT167" s="314">
        <f t="shared" si="938"/>
        <v>986.93575916040243</v>
      </c>
      <c r="DU167" s="314">
        <f t="shared" si="938"/>
        <v>293.98263897512231</v>
      </c>
      <c r="DV167" s="314">
        <f t="shared" si="938"/>
        <v>6567.6421610953494</v>
      </c>
      <c r="DW167" s="314">
        <f t="shared" si="938"/>
        <v>7823.4320104791695</v>
      </c>
      <c r="DX167" s="314">
        <f t="shared" si="938"/>
        <v>4496.2806188635104</v>
      </c>
      <c r="DY167" s="314">
        <f t="shared" si="938"/>
        <v>4756.253454947484</v>
      </c>
      <c r="DZ167" s="314">
        <f t="shared" si="938"/>
        <v>302.23088379757263</v>
      </c>
      <c r="EA167" s="314">
        <f t="shared" si="938"/>
        <v>1.5547263681592038E-2</v>
      </c>
      <c r="EB167" s="314">
        <f t="shared" si="938"/>
        <v>870.27823843744238</v>
      </c>
      <c r="EC167" s="314">
        <f t="shared" ref="EC167:GN167" si="939">EC159/1.34/12/EC30</f>
        <v>1496.0936060438546</v>
      </c>
      <c r="ED167" s="314">
        <f t="shared" si="939"/>
        <v>3584.9389416553599</v>
      </c>
      <c r="EE167" s="314">
        <f t="shared" si="939"/>
        <v>2507.8953060783042</v>
      </c>
      <c r="EF167" s="314">
        <f t="shared" si="939"/>
        <v>-153.61144278606801</v>
      </c>
      <c r="EG167" s="314">
        <f t="shared" si="939"/>
        <v>-293.22035655057948</v>
      </c>
      <c r="EH167" s="314">
        <f t="shared" si="939"/>
        <v>1757.7114427860695</v>
      </c>
      <c r="EI167" s="314">
        <f t="shared" si="939"/>
        <v>4059.950248756219</v>
      </c>
      <c r="EJ167" s="314">
        <f t="shared" si="939"/>
        <v>8555.7804058594556</v>
      </c>
      <c r="EK167" s="314">
        <f t="shared" si="939"/>
        <v>-1151.1273666591374</v>
      </c>
      <c r="EL167" s="314">
        <f>EL159/1.34/12/EL30</f>
        <v>972.34374106479106</v>
      </c>
      <c r="EM167" s="314">
        <f t="shared" si="939"/>
        <v>756.24151967435546</v>
      </c>
      <c r="EN167" s="314">
        <f t="shared" si="939"/>
        <v>2347.6723525230987</v>
      </c>
      <c r="EO167" s="314">
        <f t="shared" si="939"/>
        <v>11722.947761194029</v>
      </c>
      <c r="EP167" s="314">
        <f t="shared" si="939"/>
        <v>11829.794479981045</v>
      </c>
      <c r="EQ167" s="314">
        <f t="shared" si="939"/>
        <v>2368.8557213930344</v>
      </c>
      <c r="ER167" s="314">
        <f t="shared" si="939"/>
        <v>2337.1890547263679</v>
      </c>
      <c r="ES167" s="314">
        <f t="shared" si="939"/>
        <v>1091.3857595332054</v>
      </c>
      <c r="ET167" s="314">
        <f t="shared" si="939"/>
        <v>26692.134565268891</v>
      </c>
      <c r="EU167" s="314">
        <f t="shared" si="939"/>
        <v>26848.516040487219</v>
      </c>
      <c r="EV167" s="314">
        <f t="shared" si="939"/>
        <v>13529.539800995024</v>
      </c>
      <c r="EW167" s="314">
        <f t="shared" si="939"/>
        <v>1027.826147042565</v>
      </c>
      <c r="EX167" s="314">
        <f t="shared" si="939"/>
        <v>459.71230802509189</v>
      </c>
      <c r="EY167" s="314">
        <f t="shared" si="939"/>
        <v>197.96849087893864</v>
      </c>
      <c r="EZ167" s="314">
        <f t="shared" si="939"/>
        <v>-2946.0675346670901</v>
      </c>
      <c r="FA167" s="314">
        <f t="shared" si="939"/>
        <v>2347.732491389208</v>
      </c>
      <c r="FB167" s="314">
        <f t="shared" si="939"/>
        <v>4381.9098949695963</v>
      </c>
      <c r="FC167" s="314">
        <f t="shared" si="939"/>
        <v>160.21844380053335</v>
      </c>
      <c r="FD167" s="314">
        <f t="shared" si="939"/>
        <v>7130.4398631912463</v>
      </c>
      <c r="FE167" s="314">
        <f t="shared" si="939"/>
        <v>5021.766169154228</v>
      </c>
      <c r="FF167" s="314">
        <f t="shared" si="939"/>
        <v>3104.3819364714882</v>
      </c>
      <c r="FG167" s="314">
        <f t="shared" si="939"/>
        <v>2793.1652311131566</v>
      </c>
      <c r="FH167" s="314">
        <f t="shared" si="939"/>
        <v>687.96324499949242</v>
      </c>
      <c r="FI167" s="314">
        <f t="shared" si="939"/>
        <v>4892.2939015858201</v>
      </c>
      <c r="FJ167" s="314">
        <f t="shared" si="939"/>
        <v>2141.4334577114428</v>
      </c>
      <c r="FK167" s="314">
        <f t="shared" si="939"/>
        <v>-5121.019900497512</v>
      </c>
      <c r="FL167" s="314">
        <f t="shared" si="939"/>
        <v>-9708.7064676616919</v>
      </c>
      <c r="FM167" s="314">
        <f t="shared" si="939"/>
        <v>-9103.3041315163318</v>
      </c>
      <c r="FN167" s="314">
        <f t="shared" si="939"/>
        <v>2069.0991188488406</v>
      </c>
      <c r="FO167" s="314">
        <f t="shared" si="939"/>
        <v>-74.228973615335633</v>
      </c>
      <c r="FP167" s="314">
        <f t="shared" si="939"/>
        <v>367.35607675906175</v>
      </c>
      <c r="FQ167" s="314">
        <f t="shared" si="939"/>
        <v>1023.3029876794041</v>
      </c>
      <c r="FR167" s="314">
        <f t="shared" si="939"/>
        <v>0</v>
      </c>
      <c r="FS167" s="314">
        <f t="shared" si="939"/>
        <v>-674.62686567164178</v>
      </c>
      <c r="FT167" s="314">
        <f t="shared" si="939"/>
        <v>1633.2865586596929</v>
      </c>
      <c r="FU167" s="314">
        <f t="shared" si="939"/>
        <v>1879.209720627631</v>
      </c>
      <c r="FV167" s="314">
        <f t="shared" si="939"/>
        <v>2.8473656690532771</v>
      </c>
      <c r="FW167" s="314">
        <f t="shared" si="939"/>
        <v>-965.26297085998567</v>
      </c>
      <c r="FX167" s="314">
        <f t="shared" si="939"/>
        <v>580.54963278843877</v>
      </c>
      <c r="FY167" s="314">
        <f t="shared" si="939"/>
        <v>-497.04601990049747</v>
      </c>
      <c r="FZ167" s="314">
        <f t="shared" si="939"/>
        <v>-19.667288557213929</v>
      </c>
      <c r="GA167" s="314">
        <f t="shared" si="939"/>
        <v>7.855459544383347</v>
      </c>
      <c r="GB167" s="314">
        <f t="shared" si="939"/>
        <v>1798.9002356637859</v>
      </c>
      <c r="GC167" s="314">
        <f t="shared" si="939"/>
        <v>120.8877487562189</v>
      </c>
      <c r="GD167" s="314">
        <f t="shared" si="939"/>
        <v>1729.8185795162119</v>
      </c>
      <c r="GE167" s="314">
        <f t="shared" si="939"/>
        <v>-2130.2653529439508</v>
      </c>
      <c r="GF167" s="314">
        <f t="shared" si="939"/>
        <v>1699.3845327353838</v>
      </c>
      <c r="GG167" s="314">
        <f t="shared" si="939"/>
        <v>-2576.2010261194027</v>
      </c>
      <c r="GH167" s="314">
        <f t="shared" si="939"/>
        <v>-899.85755867963064</v>
      </c>
      <c r="GI167" s="314">
        <f t="shared" si="939"/>
        <v>1989.5915895466571</v>
      </c>
      <c r="GJ167" s="314">
        <f t="shared" si="939"/>
        <v>1427.5131694468832</v>
      </c>
      <c r="GK167" s="314">
        <f t="shared" si="939"/>
        <v>-625.4847435824679</v>
      </c>
      <c r="GL167" s="314">
        <f t="shared" si="939"/>
        <v>-1800.3276301419733</v>
      </c>
      <c r="GM167" s="314">
        <f t="shared" si="939"/>
        <v>-1606.3300518683179</v>
      </c>
      <c r="GN167" s="314">
        <f t="shared" si="939"/>
        <v>5772.8233830845775</v>
      </c>
      <c r="GO167" s="314">
        <f t="shared" ref="GO167:IZ167" si="940">GO159/1.34/12/GO30</f>
        <v>3198.6841156536161</v>
      </c>
      <c r="GP167" s="314">
        <f t="shared" si="940"/>
        <v>-809.81456354590671</v>
      </c>
      <c r="GQ167" s="314">
        <f t="shared" si="940"/>
        <v>-4869.2899140660329</v>
      </c>
      <c r="GR167" s="314">
        <f t="shared" si="940"/>
        <v>-1610.9483733978084</v>
      </c>
      <c r="GS167" s="314">
        <f t="shared" si="940"/>
        <v>-5158.146766169154</v>
      </c>
      <c r="GT167" s="314">
        <f t="shared" si="940"/>
        <v>697.52066115702462</v>
      </c>
      <c r="GU167" s="314">
        <f t="shared" si="940"/>
        <v>1092.9309391738625</v>
      </c>
      <c r="GV167" s="314">
        <f t="shared" si="940"/>
        <v>166.62520729684908</v>
      </c>
      <c r="GW167" s="314">
        <f t="shared" si="940"/>
        <v>-2655.4173576561639</v>
      </c>
      <c r="GX167" s="314">
        <f t="shared" si="940"/>
        <v>-158.50892595844306</v>
      </c>
      <c r="GY167" s="314">
        <f t="shared" si="940"/>
        <v>435.16791044776119</v>
      </c>
      <c r="GZ167" s="314">
        <f t="shared" si="940"/>
        <v>33404.029760514924</v>
      </c>
      <c r="HA167" s="314">
        <f t="shared" si="940"/>
        <v>838.10116086235485</v>
      </c>
      <c r="HB167" s="314">
        <f t="shared" si="940"/>
        <v>1153.3075363921134</v>
      </c>
      <c r="HC167" s="314">
        <f t="shared" si="940"/>
        <v>906.06060606060612</v>
      </c>
      <c r="HD167" s="314">
        <f t="shared" si="940"/>
        <v>3943.174751243781</v>
      </c>
      <c r="HE167" s="314">
        <f t="shared" si="940"/>
        <v>1464.9885252293204</v>
      </c>
      <c r="HF167" s="314">
        <f t="shared" si="940"/>
        <v>803.37348345989358</v>
      </c>
      <c r="HG167" s="314">
        <f t="shared" si="940"/>
        <v>-790.42288557213908</v>
      </c>
      <c r="HH167" s="314">
        <f t="shared" si="940"/>
        <v>-1023.4363894811655</v>
      </c>
      <c r="HI167" s="314">
        <f t="shared" si="940"/>
        <v>-1683.3519900497511</v>
      </c>
      <c r="HJ167" s="314">
        <f t="shared" si="940"/>
        <v>15623.408924800007</v>
      </c>
      <c r="HK167" s="314">
        <f t="shared" si="940"/>
        <v>-3444.3168771526975</v>
      </c>
      <c r="HL167" s="314">
        <f t="shared" si="940"/>
        <v>233.79654146190074</v>
      </c>
      <c r="HM167" s="314">
        <f t="shared" si="940"/>
        <v>2.7710428725608708E-3</v>
      </c>
      <c r="HN167" s="314">
        <f t="shared" si="940"/>
        <v>10401.462386403073</v>
      </c>
      <c r="HO167" s="314">
        <f t="shared" si="940"/>
        <v>-511.48999393118987</v>
      </c>
      <c r="HP167" s="314">
        <f t="shared" si="940"/>
        <v>2.3335480197511503E-3</v>
      </c>
      <c r="HQ167" s="314">
        <f t="shared" si="940"/>
        <v>-1.43907744451191E-2</v>
      </c>
      <c r="HR167" s="314">
        <f t="shared" si="940"/>
        <v>800.27821809527359</v>
      </c>
      <c r="HS167" s="314">
        <f t="shared" si="940"/>
        <v>4126.1783464391474</v>
      </c>
      <c r="HT167" s="314">
        <f t="shared" si="940"/>
        <v>9.4225840494497198E-3</v>
      </c>
      <c r="HU167" s="314">
        <f t="shared" si="940"/>
        <v>-4.9751243781094526E-3</v>
      </c>
      <c r="HV167" s="314">
        <f t="shared" si="940"/>
        <v>1984.7610352492852</v>
      </c>
      <c r="HW167" s="314">
        <f t="shared" si="940"/>
        <v>-12307.620396662274</v>
      </c>
      <c r="HX167" s="314">
        <f t="shared" si="940"/>
        <v>3527.5580045298557</v>
      </c>
      <c r="HY167" s="314">
        <f t="shared" si="940"/>
        <v>-3.2056213776478432E-3</v>
      </c>
      <c r="HZ167" s="314">
        <f t="shared" si="940"/>
        <v>-2.9613835583984834E-3</v>
      </c>
      <c r="IA167" s="314">
        <f t="shared" si="940"/>
        <v>8.1116158338741078E-3</v>
      </c>
      <c r="IB167" s="314">
        <f t="shared" si="940"/>
        <v>1430.3451492537313</v>
      </c>
      <c r="IC167" s="314">
        <f t="shared" si="940"/>
        <v>-5.7843997476279474E-3</v>
      </c>
      <c r="ID167" s="314">
        <f t="shared" si="940"/>
        <v>-6.3464751011594314E-3</v>
      </c>
      <c r="IE167" s="314">
        <f t="shared" si="940"/>
        <v>863.73341625207297</v>
      </c>
      <c r="IF167" s="314">
        <f t="shared" si="940"/>
        <v>450.64417078384105</v>
      </c>
      <c r="IG167" s="314">
        <f t="shared" si="940"/>
        <v>2.3827022507310724E-2</v>
      </c>
      <c r="IH167" s="314">
        <f t="shared" si="940"/>
        <v>3.4916721669902749E-2</v>
      </c>
      <c r="II167" s="314">
        <f t="shared" si="940"/>
        <v>789.75543863295854</v>
      </c>
      <c r="IJ167" s="314">
        <f t="shared" si="940"/>
        <v>1776.7491907702774</v>
      </c>
      <c r="IK167" s="314">
        <f t="shared" si="940"/>
        <v>2194.8948023206303</v>
      </c>
      <c r="IL167" s="314">
        <f t="shared" si="940"/>
        <v>2798.519900497512</v>
      </c>
      <c r="IM167" s="314">
        <f t="shared" si="940"/>
        <v>6.3997977106974996E-2</v>
      </c>
      <c r="IN167" s="314">
        <f t="shared" si="940"/>
        <v>6.2846457087383277E-3</v>
      </c>
      <c r="IO167" s="314">
        <f t="shared" si="940"/>
        <v>3.1588277894403625E-2</v>
      </c>
      <c r="IP167" s="314">
        <f t="shared" si="940"/>
        <v>5.0423557886244445E-3</v>
      </c>
      <c r="IQ167" s="314">
        <f t="shared" si="940"/>
        <v>-2.2583724874113429E-3</v>
      </c>
      <c r="IR167" s="314">
        <f t="shared" si="940"/>
        <v>8.6133146218805343E-2</v>
      </c>
      <c r="IS167" s="314">
        <f t="shared" si="940"/>
        <v>668.69724101814529</v>
      </c>
      <c r="IT167" s="314">
        <f t="shared" si="940"/>
        <v>572.29335883571912</v>
      </c>
      <c r="IU167" s="314">
        <f t="shared" si="940"/>
        <v>-1.6163003496756635E-2</v>
      </c>
      <c r="IV167" s="314">
        <f t="shared" si="940"/>
        <v>-1.3057525356709867E-2</v>
      </c>
      <c r="IW167" s="314">
        <f t="shared" si="940"/>
        <v>7.8546125432821662E-3</v>
      </c>
      <c r="IX167" s="314">
        <f t="shared" si="940"/>
        <v>-7.6377846332354699E-2</v>
      </c>
      <c r="IY167" s="314">
        <f t="shared" si="940"/>
        <v>-6546.2210749043179</v>
      </c>
      <c r="IZ167" s="314">
        <f t="shared" si="940"/>
        <v>3397.9579714889064</v>
      </c>
      <c r="JA167" s="314">
        <f t="shared" ref="JA167:JH167" si="941">JA159/1.34/12/JA30</f>
        <v>0</v>
      </c>
      <c r="JB167" s="314">
        <f t="shared" si="941"/>
        <v>0</v>
      </c>
      <c r="JC167" s="314">
        <f t="shared" si="941"/>
        <v>0</v>
      </c>
      <c r="JD167" s="314">
        <f t="shared" si="941"/>
        <v>-8128.7451630735204</v>
      </c>
      <c r="JE167" s="314">
        <f t="shared" si="941"/>
        <v>-3.4744548440637013E-2</v>
      </c>
      <c r="JF167" s="314">
        <f t="shared" si="941"/>
        <v>3124.2440368269822</v>
      </c>
      <c r="JG167" s="314">
        <f t="shared" si="941"/>
        <v>-585.12995610516089</v>
      </c>
      <c r="JH167" s="314">
        <f t="shared" si="941"/>
        <v>0</v>
      </c>
      <c r="JI167" s="314"/>
    </row>
    <row r="168" spans="2:276" x14ac:dyDescent="0.25">
      <c r="C168" s="324">
        <f>C30-C29</f>
        <v>0</v>
      </c>
      <c r="D168" s="324">
        <f t="shared" ref="D168:BP168" si="942">D30-D29</f>
        <v>2</v>
      </c>
      <c r="E168" s="324">
        <f t="shared" si="942"/>
        <v>0.25</v>
      </c>
      <c r="F168" s="324">
        <f t="shared" si="942"/>
        <v>-9.9999999999999645E-2</v>
      </c>
      <c r="G168" s="324">
        <f t="shared" si="942"/>
        <v>0.25</v>
      </c>
      <c r="H168" s="324">
        <f t="shared" si="942"/>
        <v>-0.19999999999999996</v>
      </c>
      <c r="I168" s="324">
        <f t="shared" si="942"/>
        <v>0.70000000000000018</v>
      </c>
      <c r="J168" s="324">
        <f t="shared" si="942"/>
        <v>0</v>
      </c>
      <c r="K168" s="324">
        <f t="shared" si="942"/>
        <v>0</v>
      </c>
      <c r="L168" s="324">
        <f t="shared" si="942"/>
        <v>-0.40000000000000036</v>
      </c>
      <c r="M168" s="324">
        <f t="shared" si="942"/>
        <v>0</v>
      </c>
      <c r="N168" s="324">
        <f t="shared" si="942"/>
        <v>-0.49000000000000021</v>
      </c>
      <c r="O168" s="324">
        <f t="shared" si="942"/>
        <v>7.0000000000001172E-2</v>
      </c>
      <c r="P168" s="324">
        <f t="shared" si="942"/>
        <v>0</v>
      </c>
      <c r="Q168" s="324">
        <f t="shared" si="942"/>
        <v>-0.29999999999999982</v>
      </c>
      <c r="R168" s="324">
        <f t="shared" si="942"/>
        <v>0.29999999999999982</v>
      </c>
      <c r="S168" s="324">
        <f t="shared" si="942"/>
        <v>0.29999999999999982</v>
      </c>
      <c r="T168" s="324">
        <f t="shared" si="942"/>
        <v>0</v>
      </c>
      <c r="U168" s="324">
        <f t="shared" si="942"/>
        <v>-0.5</v>
      </c>
      <c r="V168" s="324">
        <f t="shared" si="942"/>
        <v>0.14999999999999858</v>
      </c>
      <c r="W168" s="324">
        <f t="shared" si="942"/>
        <v>-0.25</v>
      </c>
      <c r="X168" s="324">
        <f t="shared" si="942"/>
        <v>1.0099999999999998</v>
      </c>
      <c r="Y168" s="324">
        <f t="shared" si="942"/>
        <v>4.9999999999999822E-2</v>
      </c>
      <c r="Z168" s="324">
        <f t="shared" si="942"/>
        <v>-5.0000000000000711E-2</v>
      </c>
      <c r="AA168" s="324">
        <f t="shared" si="942"/>
        <v>0</v>
      </c>
      <c r="AB168" s="324">
        <f t="shared" si="942"/>
        <v>1.1500000000000004</v>
      </c>
      <c r="AC168" s="324">
        <f t="shared" ref="AC168" si="943">AC30-AC29</f>
        <v>-2.1666666666666665</v>
      </c>
      <c r="AD168" s="324">
        <f t="shared" si="942"/>
        <v>0.85000000000000009</v>
      </c>
      <c r="AE168" s="324">
        <f t="shared" si="942"/>
        <v>-0.30000000000000004</v>
      </c>
      <c r="AF168" s="324">
        <f t="shared" si="942"/>
        <v>0.74000000000000021</v>
      </c>
      <c r="AG168" s="324">
        <f t="shared" si="942"/>
        <v>0</v>
      </c>
      <c r="AH168" s="324">
        <f t="shared" si="942"/>
        <v>-0.30000000000000004</v>
      </c>
      <c r="AI168" s="324">
        <f t="shared" si="942"/>
        <v>-0.22499999999999964</v>
      </c>
      <c r="AJ168" s="324">
        <f t="shared" si="942"/>
        <v>0.20000000000000018</v>
      </c>
      <c r="AK168" s="324">
        <f t="shared" si="942"/>
        <v>0.10000000000000009</v>
      </c>
      <c r="AL168" s="324">
        <f t="shared" si="942"/>
        <v>0</v>
      </c>
      <c r="AM168" s="324">
        <f t="shared" si="942"/>
        <v>0.10000000000000009</v>
      </c>
      <c r="AN168" s="324">
        <f t="shared" si="942"/>
        <v>0.34000000000000008</v>
      </c>
      <c r="AO168" s="324">
        <f t="shared" si="942"/>
        <v>0.14000000000000057</v>
      </c>
      <c r="AP168" s="324">
        <f t="shared" si="942"/>
        <v>0.29999999999999982</v>
      </c>
      <c r="AQ168" s="324">
        <f t="shared" si="942"/>
        <v>0.4</v>
      </c>
      <c r="AR168" s="324">
        <f t="shared" si="942"/>
        <v>0.25</v>
      </c>
      <c r="AS168" s="324">
        <f t="shared" si="942"/>
        <v>-0.4</v>
      </c>
      <c r="AT168" s="324">
        <f t="shared" si="942"/>
        <v>-0.29999999999999982</v>
      </c>
      <c r="AU168" s="324">
        <f t="shared" si="942"/>
        <v>-0.39999999999999991</v>
      </c>
      <c r="AV168" s="324">
        <f t="shared" si="942"/>
        <v>-4.9999999999999822E-2</v>
      </c>
      <c r="AW168" s="324">
        <f t="shared" si="942"/>
        <v>0</v>
      </c>
      <c r="AX168" s="324">
        <f t="shared" si="942"/>
        <v>0.34999999999999964</v>
      </c>
      <c r="AY168" s="324">
        <f t="shared" si="942"/>
        <v>0.1899999999999995</v>
      </c>
      <c r="AZ168" s="324">
        <f t="shared" si="942"/>
        <v>-0.45000000000000018</v>
      </c>
      <c r="BA168" s="324">
        <f t="shared" si="942"/>
        <v>-0.19999999999999929</v>
      </c>
      <c r="BB168" s="324">
        <f t="shared" si="942"/>
        <v>-0.10000000000000009</v>
      </c>
      <c r="BC168" s="324">
        <f t="shared" si="942"/>
        <v>-0.10000000000000009</v>
      </c>
      <c r="BD168" s="324">
        <f t="shared" si="942"/>
        <v>0.7200000000000002</v>
      </c>
      <c r="BE168" s="324">
        <f t="shared" si="942"/>
        <v>0.75</v>
      </c>
      <c r="BF168" s="324">
        <f t="shared" si="942"/>
        <v>9.9999999999999645E-2</v>
      </c>
      <c r="BG168" s="324">
        <f t="shared" si="942"/>
        <v>0</v>
      </c>
      <c r="BH168" s="324">
        <f t="shared" si="942"/>
        <v>-0.25</v>
      </c>
      <c r="BI168" s="324">
        <f t="shared" si="942"/>
        <v>-0.21999999999999975</v>
      </c>
      <c r="BJ168" s="324">
        <f t="shared" si="942"/>
        <v>-0.40000000000000036</v>
      </c>
      <c r="BK168" s="324">
        <f t="shared" si="942"/>
        <v>-0.25</v>
      </c>
      <c r="BL168" s="324">
        <f t="shared" si="942"/>
        <v>1.1000000000000001</v>
      </c>
      <c r="BM168" s="324">
        <f t="shared" si="942"/>
        <v>0.20000000000000018</v>
      </c>
      <c r="BN168" s="324">
        <f t="shared" si="942"/>
        <v>-0.37999999999999989</v>
      </c>
      <c r="BO168" s="324">
        <f t="shared" si="942"/>
        <v>0.35000000000000009</v>
      </c>
      <c r="BP168" s="324">
        <f t="shared" si="942"/>
        <v>0.84999999999999964</v>
      </c>
      <c r="BQ168" s="324">
        <f t="shared" ref="BQ168:EB168" si="944">BQ30-BQ29</f>
        <v>0.14999999999999991</v>
      </c>
      <c r="BR168" s="324">
        <f t="shared" si="944"/>
        <v>0.35000000000000009</v>
      </c>
      <c r="BS168" s="324">
        <f t="shared" si="944"/>
        <v>-0.19999999999999996</v>
      </c>
      <c r="BT168" s="324">
        <f t="shared" si="944"/>
        <v>-0.5</v>
      </c>
      <c r="BU168" s="324">
        <f t="shared" si="944"/>
        <v>-9.9999999999999645E-2</v>
      </c>
      <c r="BV168" s="324">
        <f t="shared" si="944"/>
        <v>0.39999999999999991</v>
      </c>
      <c r="BW168" s="324">
        <f t="shared" si="944"/>
        <v>0.4</v>
      </c>
      <c r="BX168" s="324">
        <f t="shared" si="944"/>
        <v>0.25</v>
      </c>
      <c r="BY168" s="324">
        <f t="shared" si="944"/>
        <v>0</v>
      </c>
      <c r="BZ168" s="324">
        <f t="shared" si="944"/>
        <v>0.38</v>
      </c>
      <c r="CA168" s="324">
        <f t="shared" si="944"/>
        <v>0</v>
      </c>
      <c r="CB168" s="324">
        <f t="shared" si="944"/>
        <v>0.3</v>
      </c>
      <c r="CC168" s="324">
        <f t="shared" si="944"/>
        <v>0.25</v>
      </c>
      <c r="CD168" s="324">
        <f t="shared" si="944"/>
        <v>0</v>
      </c>
      <c r="CE168" s="324">
        <f t="shared" si="944"/>
        <v>0.39999999999999858</v>
      </c>
      <c r="CF168" s="324">
        <f t="shared" si="944"/>
        <v>-0.5</v>
      </c>
      <c r="CG168" s="324">
        <f t="shared" si="944"/>
        <v>-3.9999999999999147E-2</v>
      </c>
      <c r="CH168" s="324">
        <f t="shared" si="944"/>
        <v>-0.20000000000000018</v>
      </c>
      <c r="CI168" s="324">
        <f t="shared" si="944"/>
        <v>0</v>
      </c>
      <c r="CJ168" s="324">
        <f t="shared" si="944"/>
        <v>-0.11000000000000032</v>
      </c>
      <c r="CK168" s="324">
        <f t="shared" si="944"/>
        <v>0.11000000000000032</v>
      </c>
      <c r="CL168" s="324">
        <f t="shared" si="944"/>
        <v>0.20000000000000018</v>
      </c>
      <c r="CM168" s="324">
        <f t="shared" si="944"/>
        <v>0</v>
      </c>
      <c r="CN168" s="324">
        <f t="shared" si="944"/>
        <v>0</v>
      </c>
      <c r="CO168" s="324">
        <f t="shared" si="944"/>
        <v>0</v>
      </c>
      <c r="CP168" s="324">
        <f t="shared" si="944"/>
        <v>0</v>
      </c>
      <c r="CQ168" s="324">
        <f t="shared" si="944"/>
        <v>-0.30000000000000071</v>
      </c>
      <c r="CR168" s="324">
        <f t="shared" si="944"/>
        <v>0</v>
      </c>
      <c r="CS168" s="324">
        <f t="shared" si="944"/>
        <v>-0.5</v>
      </c>
      <c r="CT168" s="324">
        <f t="shared" si="944"/>
        <v>0</v>
      </c>
      <c r="CU168" s="324">
        <f t="shared" si="944"/>
        <v>0</v>
      </c>
      <c r="CV168" s="324">
        <f t="shared" si="944"/>
        <v>0</v>
      </c>
      <c r="CW168" s="324">
        <f t="shared" si="944"/>
        <v>-0.4</v>
      </c>
      <c r="CX168" s="324">
        <f t="shared" si="944"/>
        <v>0.25</v>
      </c>
      <c r="CY168" s="324">
        <f t="shared" si="944"/>
        <v>-0.49999999999999911</v>
      </c>
      <c r="CZ168" s="324">
        <f t="shared" si="944"/>
        <v>0.25</v>
      </c>
      <c r="DA168" s="324">
        <f t="shared" si="944"/>
        <v>0</v>
      </c>
      <c r="DB168" s="324">
        <f t="shared" si="944"/>
        <v>0.14999999999999991</v>
      </c>
      <c r="DC168" s="324">
        <f t="shared" si="944"/>
        <v>0.5</v>
      </c>
      <c r="DD168" s="324">
        <f t="shared" si="944"/>
        <v>1.5</v>
      </c>
      <c r="DE168" s="324">
        <f t="shared" si="944"/>
        <v>-0.5</v>
      </c>
      <c r="DF168" s="324">
        <f t="shared" si="944"/>
        <v>-0.5</v>
      </c>
      <c r="DG168" s="324">
        <f t="shared" si="944"/>
        <v>0.14999999999999991</v>
      </c>
      <c r="DH168" s="324">
        <f t="shared" si="944"/>
        <v>0.25</v>
      </c>
      <c r="DI168" s="324">
        <f t="shared" si="944"/>
        <v>-0.37999999999999989</v>
      </c>
      <c r="DJ168" s="324">
        <f t="shared" si="944"/>
        <v>0</v>
      </c>
      <c r="DK168" s="324">
        <f t="shared" si="944"/>
        <v>2.5</v>
      </c>
      <c r="DL168" s="324">
        <f t="shared" si="944"/>
        <v>0</v>
      </c>
      <c r="DM168" s="324">
        <f t="shared" si="944"/>
        <v>-0.5</v>
      </c>
      <c r="DN168" s="324">
        <f t="shared" si="944"/>
        <v>1</v>
      </c>
      <c r="DO168" s="324">
        <f t="shared" si="944"/>
        <v>0</v>
      </c>
      <c r="DP168" s="324">
        <f t="shared" si="944"/>
        <v>-0.5</v>
      </c>
      <c r="DQ168" s="324">
        <f t="shared" si="944"/>
        <v>-0.45000000000000018</v>
      </c>
      <c r="DR168" s="324">
        <f t="shared" si="944"/>
        <v>1.5</v>
      </c>
      <c r="DS168" s="324">
        <f t="shared" si="944"/>
        <v>-1.5</v>
      </c>
      <c r="DT168" s="324">
        <f t="shared" si="944"/>
        <v>-0.15000000000000036</v>
      </c>
      <c r="DU168" s="324">
        <f t="shared" si="944"/>
        <v>0</v>
      </c>
      <c r="DV168" s="324">
        <f t="shared" si="944"/>
        <v>9.9999999999999645E-2</v>
      </c>
      <c r="DW168" s="324">
        <f t="shared" si="944"/>
        <v>0</v>
      </c>
      <c r="DX168" s="324">
        <f t="shared" si="944"/>
        <v>0</v>
      </c>
      <c r="DY168" s="324">
        <f t="shared" si="944"/>
        <v>-0.19999999999999929</v>
      </c>
      <c r="DZ168" s="324">
        <f t="shared" si="944"/>
        <v>-0.42999999999999994</v>
      </c>
      <c r="EA168" s="324">
        <f t="shared" si="944"/>
        <v>-4</v>
      </c>
      <c r="EB168" s="324">
        <f t="shared" si="944"/>
        <v>-0.5</v>
      </c>
      <c r="EC168" s="324">
        <f t="shared" ref="EC168:GN168" si="945">EC30-EC29</f>
        <v>-0.25</v>
      </c>
      <c r="ED168" s="324">
        <f t="shared" si="945"/>
        <v>-0.5</v>
      </c>
      <c r="EE168" s="324">
        <f t="shared" si="945"/>
        <v>0.14999999999999991</v>
      </c>
      <c r="EF168" s="324">
        <f t="shared" si="945"/>
        <v>0.25</v>
      </c>
      <c r="EG168" s="324">
        <f t="shared" si="945"/>
        <v>-0.4</v>
      </c>
      <c r="EH168" s="324">
        <f t="shared" si="945"/>
        <v>0.25</v>
      </c>
      <c r="EI168" s="324">
        <f t="shared" si="945"/>
        <v>-0.25</v>
      </c>
      <c r="EJ168" s="324">
        <f t="shared" si="945"/>
        <v>-0.39999999999999991</v>
      </c>
      <c r="EK168" s="324">
        <f t="shared" si="945"/>
        <v>-0.41000000000000014</v>
      </c>
      <c r="EL168" s="324">
        <f t="shared" si="945"/>
        <v>0.39999999999999858</v>
      </c>
      <c r="EM168" s="324">
        <f t="shared" si="945"/>
        <v>-0.5</v>
      </c>
      <c r="EN168" s="324">
        <f t="shared" si="945"/>
        <v>-0.5</v>
      </c>
      <c r="EO168" s="324">
        <f t="shared" si="945"/>
        <v>0.4</v>
      </c>
      <c r="EP168" s="324">
        <f t="shared" si="945"/>
        <v>1.2000000000000002</v>
      </c>
      <c r="EQ168" s="324">
        <f t="shared" si="945"/>
        <v>-0.5</v>
      </c>
      <c r="ER168" s="324">
        <f t="shared" si="945"/>
        <v>0</v>
      </c>
      <c r="ES168" s="324">
        <f t="shared" si="945"/>
        <v>0.77000000000000046</v>
      </c>
      <c r="ET168" s="324">
        <f t="shared" si="945"/>
        <v>0.10000000000000009</v>
      </c>
      <c r="EU168" s="324">
        <f t="shared" si="945"/>
        <v>-0.10000000000000009</v>
      </c>
      <c r="EV168" s="324">
        <f t="shared" si="945"/>
        <v>0</v>
      </c>
      <c r="EW168" s="324">
        <f t="shared" si="945"/>
        <v>0</v>
      </c>
      <c r="EX168" s="324">
        <f t="shared" si="945"/>
        <v>2</v>
      </c>
      <c r="EY168" s="324">
        <f t="shared" si="945"/>
        <v>-0.5</v>
      </c>
      <c r="EZ168" s="324">
        <f t="shared" si="945"/>
        <v>0.35000000000000009</v>
      </c>
      <c r="FA168" s="324">
        <f t="shared" si="945"/>
        <v>0.20000000000000018</v>
      </c>
      <c r="FB168" s="324">
        <f t="shared" si="945"/>
        <v>-0.45999999999999996</v>
      </c>
      <c r="FC168" s="324">
        <f t="shared" si="945"/>
        <v>1.379999999999999</v>
      </c>
      <c r="FD168" s="324">
        <f t="shared" si="945"/>
        <v>-0.5</v>
      </c>
      <c r="FE168" s="324">
        <f t="shared" si="945"/>
        <v>0</v>
      </c>
      <c r="FF168" s="324">
        <f t="shared" si="945"/>
        <v>-0.5</v>
      </c>
      <c r="FG168" s="324">
        <f t="shared" si="945"/>
        <v>-0.30000000000000071</v>
      </c>
      <c r="FH168" s="324">
        <f t="shared" si="945"/>
        <v>-0.5</v>
      </c>
      <c r="FI168" s="324">
        <f t="shared" si="945"/>
        <v>-0.39999999999999858</v>
      </c>
      <c r="FJ168" s="324">
        <f t="shared" si="945"/>
        <v>0</v>
      </c>
      <c r="FK168" s="324">
        <f t="shared" si="945"/>
        <v>0</v>
      </c>
      <c r="FL168" s="324">
        <f t="shared" si="945"/>
        <v>0</v>
      </c>
      <c r="FM168" s="324">
        <f t="shared" si="945"/>
        <v>-0.5</v>
      </c>
      <c r="FN168" s="324">
        <f t="shared" si="945"/>
        <v>0.33999999999999986</v>
      </c>
      <c r="FO168" s="324">
        <f t="shared" si="945"/>
        <v>0.21999999999999975</v>
      </c>
      <c r="FP168" s="324">
        <f t="shared" si="945"/>
        <v>0</v>
      </c>
      <c r="FQ168" s="324">
        <f t="shared" si="945"/>
        <v>-0.18000000000000016</v>
      </c>
      <c r="FR168" s="324">
        <f t="shared" si="945"/>
        <v>5.85</v>
      </c>
      <c r="FS168" s="324">
        <f t="shared" si="945"/>
        <v>0.25</v>
      </c>
      <c r="FT168" s="324">
        <f t="shared" si="945"/>
        <v>-0.30000000000000071</v>
      </c>
      <c r="FU168" s="324">
        <f t="shared" si="945"/>
        <v>0.30000000000000004</v>
      </c>
      <c r="FV168" s="324">
        <f t="shared" si="945"/>
        <v>-0.15600000000000014</v>
      </c>
      <c r="FW168" s="324">
        <f t="shared" si="945"/>
        <v>-9.9999999999999645E-2</v>
      </c>
      <c r="FX168" s="324">
        <f t="shared" si="945"/>
        <v>0.10000000000000009</v>
      </c>
      <c r="FY168" s="324">
        <f t="shared" si="945"/>
        <v>0.19999999999999996</v>
      </c>
      <c r="FZ168" s="324">
        <f t="shared" si="945"/>
        <v>0</v>
      </c>
      <c r="GA168" s="324">
        <f t="shared" si="945"/>
        <v>-0.10000000000000009</v>
      </c>
      <c r="GB168" s="324">
        <f t="shared" si="945"/>
        <v>0.10000000000000142</v>
      </c>
      <c r="GC168" s="324">
        <f t="shared" si="945"/>
        <v>0</v>
      </c>
      <c r="GD168" s="324">
        <f t="shared" si="945"/>
        <v>0</v>
      </c>
      <c r="GE168" s="324">
        <f t="shared" si="945"/>
        <v>0.20000000000000018</v>
      </c>
      <c r="GF168" s="324">
        <f t="shared" si="945"/>
        <v>-0.34999999999999964</v>
      </c>
      <c r="GG168" s="324">
        <f t="shared" si="945"/>
        <v>0.20000000000000018</v>
      </c>
      <c r="GH168" s="324">
        <f t="shared" si="945"/>
        <v>0.41000000000000014</v>
      </c>
      <c r="GI168" s="324">
        <f t="shared" si="945"/>
        <v>-0.26000000000000156</v>
      </c>
      <c r="GJ168" s="324">
        <f t="shared" si="945"/>
        <v>0.48000000000000043</v>
      </c>
      <c r="GK168" s="324">
        <f t="shared" si="945"/>
        <v>-0.42499999999999982</v>
      </c>
      <c r="GL168" s="324">
        <f t="shared" si="945"/>
        <v>4.9999999999999822E-2</v>
      </c>
      <c r="GM168" s="324">
        <f t="shared" si="945"/>
        <v>0.35000000000000009</v>
      </c>
      <c r="GN168" s="324">
        <f t="shared" si="945"/>
        <v>0</v>
      </c>
      <c r="GO168" s="324">
        <f t="shared" ref="GO168:IZ168" si="946">GO30-GO29</f>
        <v>0.25</v>
      </c>
      <c r="GP168" s="324">
        <f t="shared" si="946"/>
        <v>-0.25</v>
      </c>
      <c r="GQ168" s="324">
        <f t="shared" si="946"/>
        <v>-0.5</v>
      </c>
      <c r="GR168" s="324">
        <f t="shared" si="946"/>
        <v>0.20999999999999996</v>
      </c>
      <c r="GS168" s="324">
        <f t="shared" si="946"/>
        <v>0</v>
      </c>
      <c r="GT168" s="324">
        <f t="shared" si="946"/>
        <v>0.25</v>
      </c>
      <c r="GU168" s="324">
        <f t="shared" si="946"/>
        <v>-0.39000000000000012</v>
      </c>
      <c r="GV168" s="324">
        <f t="shared" si="946"/>
        <v>0</v>
      </c>
      <c r="GW168" s="324">
        <f t="shared" si="946"/>
        <v>-0.5</v>
      </c>
      <c r="GX168" s="324">
        <f t="shared" si="946"/>
        <v>-0.30000000000000004</v>
      </c>
      <c r="GY168" s="324">
        <f t="shared" si="946"/>
        <v>0</v>
      </c>
      <c r="GZ168" s="324">
        <f t="shared" si="946"/>
        <v>6</v>
      </c>
      <c r="HA168" s="324">
        <f t="shared" si="946"/>
        <v>2</v>
      </c>
      <c r="HB168" s="324">
        <f t="shared" si="946"/>
        <v>-0.5</v>
      </c>
      <c r="HC168" s="324">
        <f t="shared" si="946"/>
        <v>-0.5</v>
      </c>
      <c r="HD168" s="324">
        <f t="shared" si="946"/>
        <v>1</v>
      </c>
      <c r="HE168" s="324">
        <f t="shared" si="946"/>
        <v>0.30999999999999872</v>
      </c>
      <c r="HF168" s="324">
        <f t="shared" si="946"/>
        <v>-0.29999999999999982</v>
      </c>
      <c r="HG168" s="324">
        <f t="shared" si="946"/>
        <v>-0.29999999999999982</v>
      </c>
      <c r="HH168" s="324">
        <f t="shared" si="946"/>
        <v>0</v>
      </c>
      <c r="HI168" s="324">
        <f t="shared" si="946"/>
        <v>0</v>
      </c>
      <c r="HJ168" s="324">
        <f t="shared" si="946"/>
        <v>1</v>
      </c>
      <c r="HK168" s="324">
        <f t="shared" si="946"/>
        <v>-0.39999999999999991</v>
      </c>
      <c r="HL168" s="324">
        <f t="shared" si="946"/>
        <v>0.5</v>
      </c>
      <c r="HM168" s="324">
        <f t="shared" si="946"/>
        <v>-0.20000000000000284</v>
      </c>
      <c r="HN168" s="324">
        <f t="shared" si="946"/>
        <v>0.10000000000000009</v>
      </c>
      <c r="HO168" s="324">
        <f t="shared" si="946"/>
        <v>-0.39999999999999991</v>
      </c>
      <c r="HP168" s="324">
        <f t="shared" si="946"/>
        <v>0.29999999999999716</v>
      </c>
      <c r="HQ168" s="324">
        <f t="shared" si="946"/>
        <v>0.39999999999999991</v>
      </c>
      <c r="HR168" s="324">
        <f t="shared" si="946"/>
        <v>1.5850000000000009</v>
      </c>
      <c r="HS168" s="324">
        <f t="shared" si="946"/>
        <v>1.5299999999999994</v>
      </c>
      <c r="HT168" s="324">
        <f t="shared" si="946"/>
        <v>0</v>
      </c>
      <c r="HU168" s="324">
        <f t="shared" si="946"/>
        <v>0</v>
      </c>
      <c r="HV168" s="324">
        <f t="shared" si="946"/>
        <v>3</v>
      </c>
      <c r="HW168" s="324">
        <f t="shared" si="946"/>
        <v>-3.9700000000000006</v>
      </c>
      <c r="HX168" s="324">
        <f t="shared" si="946"/>
        <v>5.57</v>
      </c>
      <c r="HY168" s="324">
        <f t="shared" si="946"/>
        <v>-0.20000000000000284</v>
      </c>
      <c r="HZ168" s="324">
        <f t="shared" si="946"/>
        <v>0</v>
      </c>
      <c r="IA168" s="324">
        <f t="shared" si="946"/>
        <v>0</v>
      </c>
      <c r="IB168" s="324">
        <f t="shared" si="946"/>
        <v>1</v>
      </c>
      <c r="IC168" s="324">
        <f t="shared" si="946"/>
        <v>0.20000000000000284</v>
      </c>
      <c r="ID168" s="324">
        <f t="shared" si="946"/>
        <v>-0.19999999999999929</v>
      </c>
      <c r="IE168" s="324">
        <f t="shared" si="946"/>
        <v>1</v>
      </c>
      <c r="IF168" s="324">
        <f t="shared" si="946"/>
        <v>0.5</v>
      </c>
      <c r="IG168" s="324">
        <f t="shared" si="946"/>
        <v>-0.5</v>
      </c>
      <c r="IH168" s="324">
        <f t="shared" si="946"/>
        <v>0.12999999999999989</v>
      </c>
      <c r="II168" s="324">
        <f t="shared" si="946"/>
        <v>0.85999999999999943</v>
      </c>
      <c r="IJ168" s="324">
        <f t="shared" si="946"/>
        <v>0.5</v>
      </c>
      <c r="IK168" s="324">
        <f t="shared" si="946"/>
        <v>0.60999999999999943</v>
      </c>
      <c r="IL168" s="324">
        <f t="shared" si="946"/>
        <v>2</v>
      </c>
      <c r="IM168" s="324">
        <f t="shared" si="946"/>
        <v>7.0000000000000062E-2</v>
      </c>
      <c r="IN168" s="324">
        <f t="shared" si="946"/>
        <v>-0.32000000000000028</v>
      </c>
      <c r="IO168" s="324">
        <f t="shared" si="946"/>
        <v>0.29999999999999982</v>
      </c>
      <c r="IP168" s="324">
        <f t="shared" si="946"/>
        <v>0</v>
      </c>
      <c r="IQ168" s="324">
        <f t="shared" si="946"/>
        <v>0.29999999999999716</v>
      </c>
      <c r="IR168" s="324">
        <f t="shared" si="946"/>
        <v>-0.30000000000000004</v>
      </c>
      <c r="IS168" s="324">
        <f t="shared" si="946"/>
        <v>3.1999999999999886</v>
      </c>
      <c r="IT168" s="324">
        <f t="shared" si="946"/>
        <v>0.60000000000000142</v>
      </c>
      <c r="IU168" s="324">
        <f t="shared" si="946"/>
        <v>0.29999999999999982</v>
      </c>
      <c r="IV168" s="324">
        <f t="shared" si="946"/>
        <v>0.30000000000000071</v>
      </c>
      <c r="IW168" s="324">
        <f t="shared" si="946"/>
        <v>0</v>
      </c>
      <c r="IX168" s="324">
        <f t="shared" si="946"/>
        <v>0.39999999999999991</v>
      </c>
      <c r="IY168" s="324">
        <f t="shared" si="946"/>
        <v>-4</v>
      </c>
      <c r="IZ168" s="324">
        <f t="shared" si="946"/>
        <v>5.5</v>
      </c>
      <c r="JA168" s="324">
        <f t="shared" ref="JA168:JH168" si="947">JA30-JA29</f>
        <v>0.15000000000000036</v>
      </c>
      <c r="JB168" s="324">
        <f t="shared" si="947"/>
        <v>0.29999999999999982</v>
      </c>
      <c r="JC168" s="324">
        <f t="shared" si="947"/>
        <v>0.29999999999999982</v>
      </c>
      <c r="JD168" s="324">
        <f t="shared" si="947"/>
        <v>0</v>
      </c>
      <c r="JE168" s="324">
        <f t="shared" si="947"/>
        <v>-0.40000000000000036</v>
      </c>
      <c r="JF168" s="324">
        <f t="shared" si="947"/>
        <v>7.3700000000000045</v>
      </c>
      <c r="JG168" s="324">
        <f t="shared" si="947"/>
        <v>-1</v>
      </c>
      <c r="JH168" s="324">
        <f t="shared" si="947"/>
        <v>-2</v>
      </c>
    </row>
    <row r="169" spans="2:276" x14ac:dyDescent="0.25">
      <c r="B169" s="313" t="s">
        <v>2782</v>
      </c>
      <c r="C169" s="314">
        <f>(C$13*1.1-C$49)-C$158</f>
        <v>1291234.066187324</v>
      </c>
      <c r="D169" s="314">
        <f t="shared" ref="D169:BP169" si="948">(D13*1.1-D49)-D158</f>
        <v>2250121.2409681473</v>
      </c>
      <c r="E169" s="314">
        <f t="shared" si="948"/>
        <v>1296734.3315290269</v>
      </c>
      <c r="F169" s="314">
        <f t="shared" si="948"/>
        <v>397893.17971889302</v>
      </c>
      <c r="G169" s="314">
        <f t="shared" si="948"/>
        <v>1175453.440019656</v>
      </c>
      <c r="H169" s="314">
        <f t="shared" si="948"/>
        <v>-224405.08431410964</v>
      </c>
      <c r="I169" s="314">
        <f t="shared" si="948"/>
        <v>-26053.395617412869</v>
      </c>
      <c r="J169" s="314">
        <f t="shared" si="948"/>
        <v>424847.02166065341</v>
      </c>
      <c r="K169" s="314">
        <f t="shared" si="948"/>
        <v>173419.56539241225</v>
      </c>
      <c r="L169" s="314">
        <f t="shared" si="948"/>
        <v>378156.4121826347</v>
      </c>
      <c r="M169" s="314">
        <f t="shared" si="948"/>
        <v>398422.76278534252</v>
      </c>
      <c r="N169" s="314">
        <f t="shared" si="948"/>
        <v>-274966.87921164371</v>
      </c>
      <c r="O169" s="314">
        <f t="shared" si="948"/>
        <v>345858.73146573361</v>
      </c>
      <c r="P169" s="314">
        <f t="shared" si="948"/>
        <v>416798.60239985865</v>
      </c>
      <c r="Q169" s="314">
        <f t="shared" si="948"/>
        <v>200547.32701111725</v>
      </c>
      <c r="R169" s="314">
        <f t="shared" si="948"/>
        <v>210267.84412469855</v>
      </c>
      <c r="S169" s="314">
        <f t="shared" si="948"/>
        <v>125982.98226872901</v>
      </c>
      <c r="T169" s="314">
        <f t="shared" si="948"/>
        <v>74280.861855969182</v>
      </c>
      <c r="U169" s="314">
        <f t="shared" si="948"/>
        <v>-26923.707216046052</v>
      </c>
      <c r="V169" s="314">
        <f t="shared" si="948"/>
        <v>3984592.9710576758</v>
      </c>
      <c r="W169" s="314">
        <f t="shared" si="948"/>
        <v>1475861.6113094874</v>
      </c>
      <c r="X169" s="314">
        <f>(X13*1.1-X49)-X148</f>
        <v>-16146.614701946266</v>
      </c>
      <c r="Y169" s="314">
        <f t="shared" si="948"/>
        <v>406019.99413178256</v>
      </c>
      <c r="Z169" s="314">
        <f t="shared" si="948"/>
        <v>3412619.468541842</v>
      </c>
      <c r="AA169" s="314">
        <f t="shared" si="948"/>
        <v>205490.15937237069</v>
      </c>
      <c r="AB169" s="314">
        <f>(AB13*1.1-AB49)-AB148</f>
        <v>-363634.29815955041</v>
      </c>
      <c r="AC169" s="314">
        <f>(AC13*1.1-AC49)-AC148</f>
        <v>-121172.28649231768</v>
      </c>
      <c r="AD169" s="314">
        <f t="shared" si="948"/>
        <v>665.1684175026603</v>
      </c>
      <c r="AE169" s="314">
        <f t="shared" si="948"/>
        <v>122222.37848883844</v>
      </c>
      <c r="AF169" s="314">
        <f t="shared" si="948"/>
        <v>353563.64544625161</v>
      </c>
      <c r="AG169" s="314">
        <f t="shared" si="948"/>
        <v>143357.73169835424</v>
      </c>
      <c r="AH169" s="314">
        <f t="shared" si="948"/>
        <v>598990.98302658414</v>
      </c>
      <c r="AI169" s="314">
        <f t="shared" si="948"/>
        <v>2399485.5948371151</v>
      </c>
      <c r="AJ169" s="314">
        <f t="shared" si="948"/>
        <v>1982488.8801722759</v>
      </c>
      <c r="AK169" s="314">
        <f t="shared" si="948"/>
        <v>376074.80989753525</v>
      </c>
      <c r="AL169" s="314">
        <f t="shared" si="948"/>
        <v>215690.07968618535</v>
      </c>
      <c r="AM169" s="314">
        <f t="shared" si="948"/>
        <v>155980.80989753548</v>
      </c>
      <c r="AN169" s="314">
        <f>(AN13*1.1-AN49)-AN148</f>
        <v>-149107.04361178004</v>
      </c>
      <c r="AO169" s="314">
        <f>AO13*1.1-AO49-AO148-(-AO111)</f>
        <v>-539318.53018070571</v>
      </c>
      <c r="AP169" s="314">
        <f>(AP13*1.1-AP49)-AP148</f>
        <v>359666.95837515406</v>
      </c>
      <c r="AQ169" s="314">
        <f>(AQ13*1.1-AQ49)-AQ148</f>
        <v>-214179.65525761235</v>
      </c>
      <c r="AR169" s="314">
        <f>(AR13*1.1-AR49)-AR148</f>
        <v>167124.03992508468</v>
      </c>
      <c r="AS169" s="314">
        <f>(AS13*1.1-AS49)-AS148</f>
        <v>-42022.703109752329</v>
      </c>
      <c r="AT169" s="314">
        <f>(AT13*1.1-AT49)-AT148</f>
        <v>-347057.0189933381</v>
      </c>
      <c r="AU169" s="314">
        <f t="shared" si="948"/>
        <v>4854.9116546490695</v>
      </c>
      <c r="AV169" s="314">
        <f t="shared" si="948"/>
        <v>212096.74502474908</v>
      </c>
      <c r="AW169" s="314">
        <f t="shared" si="948"/>
        <v>367704.26785446377</v>
      </c>
      <c r="AX169" s="314">
        <f>(AX13*1.1-AX49)-AX148</f>
        <v>-319337.92195627885</v>
      </c>
      <c r="AY169" s="314">
        <f>(AY13*1.1-AY49)-AY148</f>
        <v>-26240.518908160739</v>
      </c>
      <c r="AZ169" s="314">
        <f>(AZ13*1.1-AZ49)-AZ158</f>
        <v>1144700.0557503281</v>
      </c>
      <c r="BA169" s="314">
        <f t="shared" si="948"/>
        <v>2067117.8138206564</v>
      </c>
      <c r="BB169" s="314">
        <f t="shared" si="948"/>
        <v>99476.637526341714</v>
      </c>
      <c r="BC169" s="314">
        <f t="shared" si="948"/>
        <v>136076.74318278558</v>
      </c>
      <c r="BD169" s="314">
        <f t="shared" si="948"/>
        <v>2118.3442482366227</v>
      </c>
      <c r="BE169" s="314">
        <f t="shared" si="948"/>
        <v>-31068.263563299784</v>
      </c>
      <c r="BF169" s="314">
        <f t="shared" si="948"/>
        <v>953908.53360947408</v>
      </c>
      <c r="BG169" s="314">
        <f t="shared" si="948"/>
        <v>1438779.4722546646</v>
      </c>
      <c r="BH169" s="314">
        <f t="shared" si="948"/>
        <v>691510.16571656102</v>
      </c>
      <c r="BI169" s="314">
        <f t="shared" si="948"/>
        <v>2053936.0242078183</v>
      </c>
      <c r="BJ169" s="314">
        <f t="shared" si="948"/>
        <v>166400.33712338982</v>
      </c>
      <c r="BK169" s="314">
        <f t="shared" si="948"/>
        <v>399866.09308747877</v>
      </c>
      <c r="BL169" s="314">
        <f t="shared" si="948"/>
        <v>48417.483830752899</v>
      </c>
      <c r="BM169" s="314">
        <f t="shared" si="948"/>
        <v>1030946.7530742474</v>
      </c>
      <c r="BN169" s="314">
        <f t="shared" si="948"/>
        <v>173573.25806263927</v>
      </c>
      <c r="BO169" s="314">
        <f>BO13*1.1-BO49-BO148-(-BO111)</f>
        <v>-45949.841258846223</v>
      </c>
      <c r="BP169" s="314">
        <f t="shared" si="948"/>
        <v>745114.68780475855</v>
      </c>
      <c r="BQ169" s="314">
        <f t="shared" ref="BQ169:EB169" si="949">(BQ13*1.1-BQ49)-BQ158</f>
        <v>44868.283265258418</v>
      </c>
      <c r="BR169" s="314">
        <f t="shared" si="949"/>
        <v>9998.663505558623</v>
      </c>
      <c r="BS169" s="314">
        <f>(BS13*1.1-BS49)-BS148</f>
        <v>-59590.747627129545</v>
      </c>
      <c r="BT169" s="314">
        <f t="shared" si="949"/>
        <v>111416.29278395395</v>
      </c>
      <c r="BU169" s="314">
        <f>(BU13*1.1-BU49)-BU148</f>
        <v>-198037.0475549493</v>
      </c>
      <c r="BV169" s="314">
        <f t="shared" si="949"/>
        <v>10076.449104824103</v>
      </c>
      <c r="BW169" s="314">
        <f t="shared" si="949"/>
        <v>-223686.21951628802</v>
      </c>
      <c r="BX169" s="314">
        <f>(BX13*1.1-BX49+500000)-BX148</f>
        <v>-450192.65498403925</v>
      </c>
      <c r="BY169" s="314">
        <f t="shared" si="949"/>
        <v>21940.457609144039</v>
      </c>
      <c r="BZ169" s="314">
        <f t="shared" si="949"/>
        <v>-200228.01369104453</v>
      </c>
      <c r="CA169" s="314">
        <f t="shared" si="949"/>
        <v>0</v>
      </c>
      <c r="CB169" s="314">
        <f>(CB13*1.1-CB49)-CB148</f>
        <v>-350938.59770315269</v>
      </c>
      <c r="CC169" s="314">
        <f t="shared" si="949"/>
        <v>13355.301031899638</v>
      </c>
      <c r="CD169" s="314">
        <f>(CD13*1.1-CD49)-CD148</f>
        <v>23202.645000229473</v>
      </c>
      <c r="CE169" s="314">
        <f t="shared" si="949"/>
        <v>1409635.1378484499</v>
      </c>
      <c r="CF169" s="314">
        <f t="shared" si="949"/>
        <v>482049.6232618466</v>
      </c>
      <c r="CG169" s="314">
        <f t="shared" si="949"/>
        <v>1033857.645677492</v>
      </c>
      <c r="CH169" s="314">
        <f t="shared" si="949"/>
        <v>138475.18497839011</v>
      </c>
      <c r="CI169" s="314">
        <f t="shared" si="949"/>
        <v>373518.35251681181</v>
      </c>
      <c r="CJ169" s="314">
        <f t="shared" si="949"/>
        <v>466614.5900111692</v>
      </c>
      <c r="CK169" s="314">
        <f t="shared" si="949"/>
        <v>802291.35208736453</v>
      </c>
      <c r="CL169" s="314">
        <f t="shared" si="949"/>
        <v>369718.47213754058</v>
      </c>
      <c r="CM169" s="314">
        <f t="shared" si="949"/>
        <v>695180.0839849459</v>
      </c>
      <c r="CN169" s="314">
        <f>(CN13*1.1-CN49)-CN148</f>
        <v>-60666.273151180241</v>
      </c>
      <c r="CO169" s="314">
        <f>(CO13*1.1-CO49)-CO148</f>
        <v>-18156.360431688838</v>
      </c>
      <c r="CP169" s="314">
        <f>(CP13*1.1-CP49)-CP148</f>
        <v>-37464.077231992967</v>
      </c>
      <c r="CQ169" s="314">
        <f t="shared" si="949"/>
        <v>625500.23108993843</v>
      </c>
      <c r="CR169" s="314">
        <f t="shared" si="949"/>
        <v>344537.50289378269</v>
      </c>
      <c r="CS169" s="314">
        <f t="shared" si="949"/>
        <v>1050835.8573665079</v>
      </c>
      <c r="CT169" s="314">
        <f t="shared" si="949"/>
        <v>-1224159.1026913729</v>
      </c>
      <c r="CU169" s="314">
        <f t="shared" si="949"/>
        <v>305580.45760914404</v>
      </c>
      <c r="CV169" s="314">
        <f t="shared" si="949"/>
        <v>149914.78360235412</v>
      </c>
      <c r="CW169" s="314">
        <f t="shared" si="949"/>
        <v>90230.517113581533</v>
      </c>
      <c r="CX169" s="314">
        <f t="shared" si="949"/>
        <v>1510444.728952934</v>
      </c>
      <c r="CY169" s="314">
        <f t="shared" si="949"/>
        <v>315878.91229132982</v>
      </c>
      <c r="CZ169" s="314">
        <f t="shared" si="949"/>
        <v>354750.05976463901</v>
      </c>
      <c r="DA169" s="314">
        <f t="shared" si="949"/>
        <v>1786659.8931944892</v>
      </c>
      <c r="DB169" s="314">
        <f>(DB13*1.1-DB49)-DB148</f>
        <v>-21199.508865635493</v>
      </c>
      <c r="DC169" s="314">
        <f>(DC13*1.1-DC49)-DC148</f>
        <v>-47699.004185785772</v>
      </c>
      <c r="DD169" s="314">
        <f t="shared" si="949"/>
        <v>568082.18178994861</v>
      </c>
      <c r="DE169" s="314">
        <f t="shared" si="949"/>
        <v>783204.55852487125</v>
      </c>
      <c r="DF169" s="314">
        <f t="shared" si="949"/>
        <v>3504436.5585248712</v>
      </c>
      <c r="DG169" s="314">
        <f t="shared" si="949"/>
        <v>85417.118890671874</v>
      </c>
      <c r="DH169" s="314">
        <f t="shared" si="949"/>
        <v>254258.54763550265</v>
      </c>
      <c r="DI169" s="314">
        <f t="shared" si="949"/>
        <v>81789.414520791499</v>
      </c>
      <c r="DJ169" s="314">
        <f t="shared" si="949"/>
        <v>516649.70732114604</v>
      </c>
      <c r="DK169" s="314">
        <f t="shared" si="949"/>
        <v>251924.36808302952</v>
      </c>
      <c r="DL169" s="314">
        <f>(DL13*1.1-DL49)-DL148</f>
        <v>-624903.64070929075</v>
      </c>
      <c r="DM169" s="314">
        <f t="shared" si="949"/>
        <v>249544.38564340444</v>
      </c>
      <c r="DN169" s="314">
        <f t="shared" si="949"/>
        <v>180360.91870493349</v>
      </c>
      <c r="DO169" s="314">
        <f t="shared" si="949"/>
        <v>149181.28499841853</v>
      </c>
      <c r="DP169" s="314">
        <f t="shared" si="949"/>
        <v>240256.82859701198</v>
      </c>
      <c r="DQ169" s="314">
        <f t="shared" si="949"/>
        <v>910526.84064817149</v>
      </c>
      <c r="DR169" s="314">
        <f t="shared" si="949"/>
        <v>1190268.6992154643</v>
      </c>
      <c r="DS169" s="314">
        <f t="shared" si="949"/>
        <v>920483.32558451686</v>
      </c>
      <c r="DT169" s="314">
        <f t="shared" si="949"/>
        <v>1644169.6966441507</v>
      </c>
      <c r="DU169" s="314">
        <f t="shared" si="949"/>
        <v>412460.60938287433</v>
      </c>
      <c r="DV169" s="314">
        <f t="shared" si="949"/>
        <v>3463243.5802381635</v>
      </c>
      <c r="DW169" s="314">
        <f t="shared" si="949"/>
        <v>83994.350762100425</v>
      </c>
      <c r="DX169" s="314">
        <f t="shared" si="949"/>
        <v>3250.3079062607139</v>
      </c>
      <c r="DY169" s="314">
        <f t="shared" si="949"/>
        <v>473117.02553091384</v>
      </c>
      <c r="DZ169" s="314">
        <f t="shared" si="949"/>
        <v>77009.059965395485</v>
      </c>
      <c r="EA169" s="314">
        <f>(EA13*1.1-EA49)-EA148</f>
        <v>-170729.95882401383</v>
      </c>
      <c r="EB169" s="314">
        <f t="shared" si="949"/>
        <v>2277444.1441780152</v>
      </c>
      <c r="EC169" s="314">
        <f t="shared" ref="EC169:GN169" si="950">(EC13*1.1-EC49)-EC158</f>
        <v>14821.561847284902</v>
      </c>
      <c r="ED169" s="314">
        <f t="shared" si="950"/>
        <v>99386.58733266592</v>
      </c>
      <c r="EE169" s="314">
        <f t="shared" si="950"/>
        <v>219608.49113436451</v>
      </c>
      <c r="EF169" s="314">
        <f t="shared" si="950"/>
        <v>240313.57731996151</v>
      </c>
      <c r="EG169" s="314">
        <f t="shared" si="950"/>
        <v>38490.670725568023</v>
      </c>
      <c r="EH169" s="314">
        <f t="shared" si="950"/>
        <v>204792.98946751235</v>
      </c>
      <c r="EI169" s="314">
        <f t="shared" si="950"/>
        <v>295800.01354993833</v>
      </c>
      <c r="EJ169" s="314">
        <f t="shared" si="950"/>
        <v>-13312.090283216909</v>
      </c>
      <c r="EK169" s="314">
        <f t="shared" si="950"/>
        <v>-325210.80367470393</v>
      </c>
      <c r="EL169" s="314">
        <f t="shared" si="950"/>
        <v>1106508.6778254341</v>
      </c>
      <c r="EM169" s="314">
        <f t="shared" si="950"/>
        <v>391869.35138716362</v>
      </c>
      <c r="EN169" s="314">
        <f t="shared" si="950"/>
        <v>90449.784865974449</v>
      </c>
      <c r="EO169" s="314">
        <f>(EO13*1.1-EO49)-EO148</f>
        <v>-14715.802073168219</v>
      </c>
      <c r="EP169" s="314">
        <f t="shared" si="950"/>
        <v>330702.03871615697</v>
      </c>
      <c r="EQ169" s="314">
        <f>(EQ13*1.1-EQ49)-EQ148</f>
        <v>-328800.89817640465</v>
      </c>
      <c r="ER169" s="314">
        <f t="shared" si="950"/>
        <v>3617684.5597535539</v>
      </c>
      <c r="ES169" s="314">
        <f t="shared" si="950"/>
        <v>306791.46241829824</v>
      </c>
      <c r="ET169" s="314">
        <f t="shared" si="950"/>
        <v>209069.35627889424</v>
      </c>
      <c r="EU169" s="314">
        <f t="shared" si="950"/>
        <v>1086562.3058800618</v>
      </c>
      <c r="EV169" s="314">
        <f t="shared" si="950"/>
        <v>108960.86185596918</v>
      </c>
      <c r="EW169" s="314">
        <f t="shared" si="950"/>
        <v>656332.58109116275</v>
      </c>
      <c r="EX169" s="314">
        <f t="shared" si="950"/>
        <v>4687289.694339782</v>
      </c>
      <c r="EY169" s="314">
        <f t="shared" si="950"/>
        <v>474623.73655055463</v>
      </c>
      <c r="EZ169" s="314">
        <f t="shared" si="950"/>
        <v>-463207.53637521598</v>
      </c>
      <c r="FA169" s="314">
        <f t="shared" si="950"/>
        <v>921654.36724482896</v>
      </c>
      <c r="FB169" s="314">
        <f t="shared" si="950"/>
        <v>114420.93968899915</v>
      </c>
      <c r="FC169" s="314">
        <f t="shared" si="950"/>
        <v>1185576.9637035616</v>
      </c>
      <c r="FD169" s="314">
        <f t="shared" si="950"/>
        <v>-780743.15563441161</v>
      </c>
      <c r="FE169" s="314">
        <f t="shared" si="950"/>
        <v>119334.64773094258</v>
      </c>
      <c r="FF169" s="314">
        <f t="shared" si="950"/>
        <v>1078831.1399383885</v>
      </c>
      <c r="FG169" s="314">
        <f t="shared" si="950"/>
        <v>3123714.2215077784</v>
      </c>
      <c r="FH169" s="314">
        <f t="shared" si="950"/>
        <v>5790907.1578902118</v>
      </c>
      <c r="FI169" s="314">
        <f t="shared" si="950"/>
        <v>3852983.3167440947</v>
      </c>
      <c r="FJ169" s="314">
        <f t="shared" si="950"/>
        <v>1359627.1563947592</v>
      </c>
      <c r="FK169" s="314">
        <f t="shared" si="950"/>
        <v>309161.84939280734</v>
      </c>
      <c r="FL169" s="314">
        <f t="shared" si="950"/>
        <v>534444.06246684655</v>
      </c>
      <c r="FM169" s="314">
        <f t="shared" si="950"/>
        <v>3566331.0222439356</v>
      </c>
      <c r="FN169" s="314">
        <f t="shared" si="950"/>
        <v>1168289.6279509999</v>
      </c>
      <c r="FO169" s="314">
        <f t="shared" si="950"/>
        <v>724437.76321311155</v>
      </c>
      <c r="FP169" s="314">
        <f t="shared" si="950"/>
        <v>5704866.2344697341</v>
      </c>
      <c r="FQ169" s="314">
        <f t="shared" si="950"/>
        <v>563294.14328801353</v>
      </c>
      <c r="FR169" s="314">
        <f t="shared" si="950"/>
        <v>621677.52731089946</v>
      </c>
      <c r="FS169" s="314">
        <f t="shared" si="950"/>
        <v>451987.70670284075</v>
      </c>
      <c r="FT169" s="314">
        <f t="shared" si="950"/>
        <v>962749.49894792307</v>
      </c>
      <c r="FU169" s="314">
        <f t="shared" si="950"/>
        <v>253919.2353421204</v>
      </c>
      <c r="FV169" s="314">
        <f t="shared" si="950"/>
        <v>273544.45186238713</v>
      </c>
      <c r="FW169" s="314">
        <f t="shared" si="950"/>
        <v>1174692.5639535552</v>
      </c>
      <c r="FX169" s="314">
        <f t="shared" si="950"/>
        <v>341239.98774480075</v>
      </c>
      <c r="FY169" s="314">
        <f t="shared" si="950"/>
        <v>303907.98551803723</v>
      </c>
      <c r="FZ169" s="314">
        <f t="shared" si="950"/>
        <v>1150989.5539659876</v>
      </c>
      <c r="GA169" s="314">
        <f t="shared" si="950"/>
        <v>145547.53854631376</v>
      </c>
      <c r="GB169" s="314">
        <f t="shared" si="950"/>
        <v>1378913.9349275492</v>
      </c>
      <c r="GC169" s="314">
        <f t="shared" si="950"/>
        <v>793450.15639475919</v>
      </c>
      <c r="GD169" s="314">
        <f t="shared" si="950"/>
        <v>3457028.7234660909</v>
      </c>
      <c r="GE169" s="314">
        <f t="shared" si="950"/>
        <v>588874.6470753313</v>
      </c>
      <c r="GF169" s="314">
        <f t="shared" si="950"/>
        <v>775980.19566375762</v>
      </c>
      <c r="GG169" s="314">
        <f t="shared" si="950"/>
        <v>245819.59899107972</v>
      </c>
      <c r="GH169" s="314">
        <f t="shared" si="950"/>
        <v>316105.57440495142</v>
      </c>
      <c r="GI169" s="314">
        <f t="shared" si="950"/>
        <v>2650673.9956642166</v>
      </c>
      <c r="GJ169" s="314">
        <f t="shared" si="950"/>
        <v>1190900.6250820411</v>
      </c>
      <c r="GK169" s="314">
        <f t="shared" si="950"/>
        <v>2305238.6493952163</v>
      </c>
      <c r="GL169" s="314">
        <f t="shared" si="950"/>
        <v>314663.04907496669</v>
      </c>
      <c r="GM169" s="314">
        <f t="shared" si="950"/>
        <v>411913.77649276587</v>
      </c>
      <c r="GN169" s="314">
        <f t="shared" si="950"/>
        <v>586565.72645745706</v>
      </c>
      <c r="GO169" s="314">
        <f t="shared" ref="GO169:IZ169" si="951">(GO13*1.1-GO49)-GO158</f>
        <v>4370621.8725100309</v>
      </c>
      <c r="GP169" s="314">
        <f t="shared" si="951"/>
        <v>194325.66791511001</v>
      </c>
      <c r="GQ169" s="314">
        <f t="shared" si="951"/>
        <v>1767195.4740655143</v>
      </c>
      <c r="GR169" s="314">
        <f t="shared" si="951"/>
        <v>284236.06621663179</v>
      </c>
      <c r="GS169" s="314">
        <f t="shared" si="951"/>
        <v>209986.66939280729</v>
      </c>
      <c r="GT169" s="314">
        <f t="shared" si="951"/>
        <v>2168132.4853015058</v>
      </c>
      <c r="GU169" s="314">
        <f t="shared" si="951"/>
        <v>1091467.4306974979</v>
      </c>
      <c r="GV169" s="314">
        <f t="shared" si="951"/>
        <v>1657468.7642328711</v>
      </c>
      <c r="GW169" s="314">
        <f t="shared" si="951"/>
        <v>330143.29054558137</v>
      </c>
      <c r="GX169" s="314">
        <f t="shared" si="951"/>
        <v>277618.42374859191</v>
      </c>
      <c r="GY169" s="314">
        <f t="shared" si="951"/>
        <v>12473188.643833034</v>
      </c>
      <c r="GZ169" s="314">
        <f t="shared" si="951"/>
        <v>-10017.349137014244</v>
      </c>
      <c r="HA169" s="314">
        <f t="shared" si="951"/>
        <v>1771112.2527336283</v>
      </c>
      <c r="HB169" s="314">
        <f t="shared" si="951"/>
        <v>1506834.5089172143</v>
      </c>
      <c r="HC169" s="314">
        <f t="shared" si="951"/>
        <v>3917595.9610034432</v>
      </c>
      <c r="HD169" s="314">
        <f t="shared" si="951"/>
        <v>585673.15639475919</v>
      </c>
      <c r="HE169" s="314">
        <f t="shared" si="951"/>
        <v>4861273.4337728731</v>
      </c>
      <c r="HF169" s="314">
        <f t="shared" si="951"/>
        <v>1015880.3519459716</v>
      </c>
      <c r="HG169" s="314">
        <f t="shared" si="951"/>
        <v>988414.82651378075</v>
      </c>
      <c r="HH169" s="314">
        <f t="shared" si="951"/>
        <v>515001.37169835437</v>
      </c>
      <c r="HI169" s="314">
        <f t="shared" si="951"/>
        <v>1617315.0057875654</v>
      </c>
      <c r="HJ169" s="314">
        <f t="shared" si="951"/>
        <v>251880.98964983597</v>
      </c>
      <c r="HK169" s="314">
        <f t="shared" si="951"/>
        <v>400405.38009300269</v>
      </c>
      <c r="HL169" s="314">
        <f t="shared" si="951"/>
        <v>9734921.250198707</v>
      </c>
      <c r="HM169" s="314">
        <f t="shared" si="951"/>
        <v>1745011.449363295</v>
      </c>
      <c r="HN169" s="314">
        <f t="shared" si="951"/>
        <v>-141904.22375835828</v>
      </c>
      <c r="HO169" s="314">
        <f t="shared" si="951"/>
        <v>106621.01051944867</v>
      </c>
      <c r="HP169" s="314">
        <f t="shared" si="951"/>
        <v>8749567.8059274182</v>
      </c>
      <c r="HQ169" s="314">
        <f t="shared" si="951"/>
        <v>157772.87820463441</v>
      </c>
      <c r="HR169" s="314">
        <f t="shared" si="951"/>
        <v>5942590.9631994814</v>
      </c>
      <c r="HS169" s="314">
        <f t="shared" si="951"/>
        <v>1458725.3952472666</v>
      </c>
      <c r="HT169" s="314">
        <f t="shared" si="951"/>
        <v>-2144673.4504821375</v>
      </c>
      <c r="HU169" s="314">
        <f t="shared" si="951"/>
        <v>8675637.5057290867</v>
      </c>
      <c r="HV169" s="314">
        <f t="shared" si="951"/>
        <v>7709455.8780238964</v>
      </c>
      <c r="HW169" s="314">
        <f t="shared" si="951"/>
        <v>1183754.9244681131</v>
      </c>
      <c r="HX169" s="314">
        <f t="shared" si="951"/>
        <v>7522322.8856544234</v>
      </c>
      <c r="HY169" s="314">
        <f t="shared" si="951"/>
        <v>1315750.3907891549</v>
      </c>
      <c r="HZ169" s="314">
        <f t="shared" si="951"/>
        <v>2446065.4754632134</v>
      </c>
      <c r="IA169" s="314">
        <f t="shared" si="951"/>
        <v>4053703.2739929073</v>
      </c>
      <c r="IB169" s="314">
        <f t="shared" si="951"/>
        <v>1770245.2905460745</v>
      </c>
      <c r="IC169" s="314">
        <f t="shared" si="951"/>
        <v>9039031.5346516091</v>
      </c>
      <c r="ID169" s="314">
        <f t="shared" si="951"/>
        <v>4402021.9052699879</v>
      </c>
      <c r="IE169" s="314">
        <f t="shared" si="951"/>
        <v>5304575.4694321305</v>
      </c>
      <c r="IF169" s="314">
        <f t="shared" si="951"/>
        <v>-1591489.6121293791</v>
      </c>
      <c r="IG169" s="314">
        <f t="shared" si="951"/>
        <v>373157.53897595219</v>
      </c>
      <c r="IH169" s="314">
        <f t="shared" si="951"/>
        <v>1401965.9393032012</v>
      </c>
      <c r="II169" s="314">
        <f t="shared" si="951"/>
        <v>523519.1975832358</v>
      </c>
      <c r="IJ169" s="314">
        <f t="shared" si="951"/>
        <v>626975.65541178081</v>
      </c>
      <c r="IK169" s="314">
        <f t="shared" si="951"/>
        <v>42217.791005747393</v>
      </c>
      <c r="IL169" s="314">
        <f t="shared" si="951"/>
        <v>1187808.7701086737</v>
      </c>
      <c r="IM169" s="314">
        <f t="shared" si="951"/>
        <v>-67480.649652822409</v>
      </c>
      <c r="IN169" s="314">
        <f t="shared" si="951"/>
        <v>1868434.3199957106</v>
      </c>
      <c r="IO169" s="314">
        <f t="shared" si="951"/>
        <v>1180312.3590551065</v>
      </c>
      <c r="IP169" s="314">
        <f t="shared" si="951"/>
        <v>2231409.8953386173</v>
      </c>
      <c r="IQ169" s="314">
        <f t="shared" si="951"/>
        <v>2171691.6995513812</v>
      </c>
      <c r="IR169" s="314">
        <f t="shared" si="951"/>
        <v>169864.18157139141</v>
      </c>
      <c r="IS169" s="314">
        <f t="shared" si="951"/>
        <v>17878779.192075752</v>
      </c>
      <c r="IT169" s="314">
        <f t="shared" si="951"/>
        <v>5884961.6319405884</v>
      </c>
      <c r="IU169" s="314">
        <f t="shared" si="951"/>
        <v>851552.31974654598</v>
      </c>
      <c r="IV169" s="314">
        <f t="shared" si="951"/>
        <v>1230502.2675992642</v>
      </c>
      <c r="IW169" s="314">
        <f t="shared" si="951"/>
        <v>-104042.49637126923</v>
      </c>
      <c r="IX169" s="314">
        <f t="shared" si="951"/>
        <v>550466.9685275089</v>
      </c>
      <c r="IY169" s="314">
        <f t="shared" si="951"/>
        <v>6910013.9753605956</v>
      </c>
      <c r="IZ169" s="314">
        <f t="shared" si="951"/>
        <v>6930712.580783125</v>
      </c>
      <c r="JA169" s="314">
        <f t="shared" ref="JA169:JH169" si="952">(JA13*1.1-JA49)-JA158</f>
        <v>275609.34670227254</v>
      </c>
      <c r="JB169" s="314">
        <f t="shared" si="952"/>
        <v>1126985.2601729175</v>
      </c>
      <c r="JC169" s="314">
        <f t="shared" si="952"/>
        <v>37688.915287713986</v>
      </c>
      <c r="JD169" s="314">
        <f t="shared" si="952"/>
        <v>3405965.4930213178</v>
      </c>
      <c r="JE169" s="314">
        <f t="shared" si="952"/>
        <v>2903395.3499619104</v>
      </c>
      <c r="JF169" s="314">
        <f t="shared" si="952"/>
        <v>13613637.061973795</v>
      </c>
      <c r="JG169" s="314">
        <f t="shared" si="952"/>
        <v>3568914.6764606684</v>
      </c>
      <c r="JH169" s="314">
        <f t="shared" si="952"/>
        <v>706856.57177135325</v>
      </c>
    </row>
    <row r="170" spans="2:276" x14ac:dyDescent="0.25">
      <c r="B170" s="314" t="s">
        <v>2786</v>
      </c>
      <c r="C170" s="314"/>
      <c r="D170" s="314"/>
      <c r="E170" s="314"/>
      <c r="F170" s="314"/>
      <c r="G170" s="314"/>
      <c r="H170" s="314"/>
      <c r="I170" s="314"/>
      <c r="N170" s="314">
        <f>N157</f>
        <v>5245000</v>
      </c>
      <c r="R170" s="632"/>
      <c r="U170" s="314">
        <f>U158</f>
        <v>1087500</v>
      </c>
      <c r="V170" s="632"/>
      <c r="X170" s="314">
        <f>X148+X169</f>
        <v>2288189.1948066317</v>
      </c>
      <c r="AB170" s="314">
        <f>AB148+AB169</f>
        <v>3314496.4075628631</v>
      </c>
      <c r="AC170" s="314">
        <f>AC148+AC169</f>
        <v>518828.02545601479</v>
      </c>
      <c r="AN170" s="314">
        <f>AN157</f>
        <v>1027900</v>
      </c>
      <c r="AO170" s="314">
        <f>AO148+AO169</f>
        <v>4344437.029454913</v>
      </c>
      <c r="AQ170" s="314">
        <f>AQ157</f>
        <v>327938</v>
      </c>
      <c r="AS170" s="314">
        <f>AS148+AS169</f>
        <v>453230.51711358153</v>
      </c>
      <c r="AT170" s="314">
        <f>AT157</f>
        <v>2175746</v>
      </c>
      <c r="AX170" s="314">
        <f>AX148+AX169</f>
        <v>2920797.3891244722</v>
      </c>
      <c r="AY170" s="314">
        <f>AY148+AY169</f>
        <v>3273950.02174873</v>
      </c>
      <c r="BE170" s="314">
        <f>BE158+BE169</f>
        <v>1259866.0930874788</v>
      </c>
      <c r="BO170" s="314">
        <f>BO148+BO169</f>
        <v>979329.81121639954</v>
      </c>
      <c r="BS170" s="314">
        <f>BS148+BS169</f>
        <v>1240691.5513407446</v>
      </c>
      <c r="BU170" s="314">
        <f>BU157</f>
        <v>3939338</v>
      </c>
      <c r="BW170" s="314">
        <f>BW157</f>
        <v>532683</v>
      </c>
      <c r="BX170" s="314">
        <f>BX148+BX169</f>
        <v>4758696.5360793145</v>
      </c>
      <c r="CB170" s="314">
        <f>CB157</f>
        <v>532263</v>
      </c>
      <c r="CD170" s="314">
        <f>CD157</f>
        <v>647336</v>
      </c>
      <c r="CN170" s="314">
        <f>CN148+CN169</f>
        <v>1281343.6395683112</v>
      </c>
      <c r="CO170" s="314">
        <f>CO157</f>
        <v>1214500</v>
      </c>
      <c r="CP170" s="314">
        <f>CP157</f>
        <v>1238425.46</v>
      </c>
      <c r="DB170" s="314">
        <f>DB148+DB169</f>
        <v>739608.49113436451</v>
      </c>
      <c r="DC170" s="314">
        <f>DC148+DC169</f>
        <v>1904515.4593524667</v>
      </c>
      <c r="DL170" s="314">
        <f>DL157</f>
        <v>3817224</v>
      </c>
      <c r="EA170" s="314">
        <f>EA148+EA169</f>
        <v>3739770.0411759862</v>
      </c>
      <c r="EK170" s="314">
        <f>EK157</f>
        <v>3932042</v>
      </c>
      <c r="EO170" s="314">
        <f>EO148+EO169</f>
        <v>311820.34474238765</v>
      </c>
      <c r="EQ170" s="314">
        <f>EQ148+EQ169</f>
        <v>1939351.606248023</v>
      </c>
      <c r="FV170" s="314"/>
      <c r="FY170" s="314"/>
    </row>
    <row r="171" spans="2:276" x14ac:dyDescent="0.25">
      <c r="B171" s="314"/>
      <c r="C171" s="314"/>
      <c r="D171" s="314"/>
      <c r="E171" s="314"/>
      <c r="F171" s="314"/>
      <c r="G171" s="314"/>
      <c r="H171" s="314"/>
      <c r="I171" s="314"/>
      <c r="N171" s="313" t="s">
        <v>2787</v>
      </c>
      <c r="R171" s="313" t="s">
        <v>2792</v>
      </c>
      <c r="U171" s="313" t="s">
        <v>2788</v>
      </c>
      <c r="V171" s="313" t="s">
        <v>2798</v>
      </c>
      <c r="AN171" s="313" t="s">
        <v>2789</v>
      </c>
      <c r="AQ171" s="313" t="s">
        <v>2789</v>
      </c>
      <c r="AT171" s="313" t="s">
        <v>2789</v>
      </c>
      <c r="BS171" s="313" t="s">
        <v>2789</v>
      </c>
      <c r="BU171" s="313" t="s">
        <v>2789</v>
      </c>
      <c r="BW171" s="313" t="s">
        <v>2789</v>
      </c>
      <c r="BX171" s="313" t="s">
        <v>2790</v>
      </c>
      <c r="CB171" s="313" t="s">
        <v>2789</v>
      </c>
      <c r="CD171" s="313" t="s">
        <v>2792</v>
      </c>
      <c r="CN171" s="313" t="s">
        <v>2789</v>
      </c>
      <c r="CO171" s="313" t="s">
        <v>2789</v>
      </c>
      <c r="CP171" s="313" t="s">
        <v>2801</v>
      </c>
      <c r="DL171" s="313" t="s">
        <v>2789</v>
      </c>
      <c r="EK171" s="313" t="s">
        <v>2789</v>
      </c>
      <c r="EO171" s="314"/>
      <c r="EQ171" s="314"/>
      <c r="ES171" s="313" t="s">
        <v>2</v>
      </c>
      <c r="ET171" s="314">
        <f t="shared" ref="ET171:EW171" si="953">ET83</f>
        <v>0</v>
      </c>
      <c r="EU171" s="314">
        <f t="shared" si="953"/>
        <v>0</v>
      </c>
      <c r="EV171" s="314">
        <f t="shared" si="953"/>
        <v>0</v>
      </c>
      <c r="EW171" s="314">
        <f t="shared" si="953"/>
        <v>0</v>
      </c>
      <c r="EX171" s="314">
        <f>EX83</f>
        <v>0</v>
      </c>
      <c r="EY171" s="314">
        <f t="shared" ref="EY171:HJ171" si="954">EY83</f>
        <v>0</v>
      </c>
      <c r="EZ171" s="314">
        <f t="shared" si="954"/>
        <v>0</v>
      </c>
      <c r="FA171" s="314">
        <f t="shared" si="954"/>
        <v>0</v>
      </c>
      <c r="FB171" s="314">
        <f t="shared" si="954"/>
        <v>75443.425865362151</v>
      </c>
      <c r="FC171" s="314">
        <f t="shared" si="954"/>
        <v>0</v>
      </c>
      <c r="FD171" s="314">
        <f t="shared" si="954"/>
        <v>0</v>
      </c>
      <c r="FE171" s="314">
        <f t="shared" si="954"/>
        <v>0</v>
      </c>
      <c r="FF171" s="314">
        <f t="shared" si="954"/>
        <v>0</v>
      </c>
      <c r="FG171" s="314">
        <f t="shared" si="954"/>
        <v>0</v>
      </c>
      <c r="FH171" s="314">
        <f t="shared" si="954"/>
        <v>0</v>
      </c>
      <c r="FI171" s="314">
        <f t="shared" si="954"/>
        <v>185650.39908551914</v>
      </c>
      <c r="FJ171" s="314">
        <f t="shared" si="954"/>
        <v>43670.62224100568</v>
      </c>
      <c r="FK171" s="314">
        <f t="shared" si="954"/>
        <v>167836.88719573405</v>
      </c>
      <c r="FL171" s="314">
        <f t="shared" si="954"/>
        <v>357873.27932224149</v>
      </c>
      <c r="FM171" s="314">
        <f t="shared" si="954"/>
        <v>2723162.4367895005</v>
      </c>
      <c r="FN171" s="314">
        <f t="shared" si="954"/>
        <v>0</v>
      </c>
      <c r="FO171" s="314">
        <f t="shared" si="954"/>
        <v>0</v>
      </c>
      <c r="FP171" s="314">
        <f t="shared" si="954"/>
        <v>0</v>
      </c>
      <c r="FQ171" s="314">
        <f t="shared" si="954"/>
        <v>0</v>
      </c>
      <c r="FR171" s="314">
        <f t="shared" si="954"/>
        <v>0</v>
      </c>
      <c r="FS171" s="314">
        <f t="shared" si="954"/>
        <v>0</v>
      </c>
      <c r="FT171" s="314">
        <f t="shared" si="954"/>
        <v>101370.28388716253</v>
      </c>
      <c r="FU171" s="314">
        <f t="shared" si="954"/>
        <v>14339.595557072789</v>
      </c>
      <c r="FV171" s="314">
        <f t="shared" si="954"/>
        <v>0</v>
      </c>
      <c r="FW171" s="314">
        <f t="shared" si="954"/>
        <v>447218.81957422954</v>
      </c>
      <c r="FX171" s="314">
        <f t="shared" si="954"/>
        <v>155122.71663793261</v>
      </c>
      <c r="FY171" s="314">
        <f t="shared" si="954"/>
        <v>89814.019201396077</v>
      </c>
      <c r="FZ171" s="314">
        <f t="shared" si="954"/>
        <v>0</v>
      </c>
      <c r="GA171" s="314">
        <f t="shared" si="954"/>
        <v>0</v>
      </c>
      <c r="GB171" s="314">
        <f t="shared" si="954"/>
        <v>0</v>
      </c>
      <c r="GC171" s="314">
        <f t="shared" si="954"/>
        <v>207775.5856856975</v>
      </c>
      <c r="GD171" s="314">
        <f t="shared" si="954"/>
        <v>802385.63469312771</v>
      </c>
      <c r="GE171" s="314">
        <f t="shared" si="954"/>
        <v>0</v>
      </c>
      <c r="GF171" s="314">
        <f t="shared" si="954"/>
        <v>0</v>
      </c>
      <c r="GG171" s="314">
        <f t="shared" si="954"/>
        <v>0</v>
      </c>
      <c r="GH171" s="314">
        <f t="shared" si="954"/>
        <v>0</v>
      </c>
      <c r="GI171" s="314">
        <f t="shared" si="954"/>
        <v>0</v>
      </c>
      <c r="GJ171" s="314">
        <f t="shared" si="954"/>
        <v>254580.05470933844</v>
      </c>
      <c r="GK171" s="314">
        <f t="shared" si="954"/>
        <v>175316.0702736706</v>
      </c>
      <c r="GL171" s="314">
        <f t="shared" si="954"/>
        <v>67570.863543901753</v>
      </c>
      <c r="GM171" s="314">
        <f t="shared" si="954"/>
        <v>97258.469444471601</v>
      </c>
      <c r="GN171" s="314">
        <f t="shared" si="954"/>
        <v>107801.37988784634</v>
      </c>
      <c r="GO171" s="314">
        <f t="shared" si="954"/>
        <v>150600.61672605784</v>
      </c>
      <c r="GP171" s="314">
        <f t="shared" si="954"/>
        <v>0</v>
      </c>
      <c r="GQ171" s="314">
        <f t="shared" si="954"/>
        <v>307721.67128313892</v>
      </c>
      <c r="GR171" s="314">
        <f t="shared" si="954"/>
        <v>0</v>
      </c>
      <c r="GS171" s="314">
        <f t="shared" si="954"/>
        <v>113147.66314332996</v>
      </c>
      <c r="GT171" s="314">
        <f t="shared" si="954"/>
        <v>0</v>
      </c>
      <c r="GU171" s="314">
        <f t="shared" si="954"/>
        <v>0</v>
      </c>
      <c r="GV171" s="314">
        <f t="shared" si="954"/>
        <v>0</v>
      </c>
      <c r="GW171" s="314">
        <f t="shared" si="954"/>
        <v>1970.9961776398122</v>
      </c>
      <c r="GX171" s="314">
        <f t="shared" si="954"/>
        <v>128579.08262403985</v>
      </c>
      <c r="GY171" s="314">
        <f t="shared" si="954"/>
        <v>0</v>
      </c>
      <c r="GZ171" s="314">
        <f t="shared" si="954"/>
        <v>0</v>
      </c>
      <c r="HA171" s="314">
        <f t="shared" si="954"/>
        <v>0</v>
      </c>
      <c r="HB171" s="314">
        <f t="shared" si="954"/>
        <v>0</v>
      </c>
      <c r="HC171" s="314">
        <f t="shared" si="954"/>
        <v>0</v>
      </c>
      <c r="HD171" s="314">
        <f t="shared" si="954"/>
        <v>0</v>
      </c>
      <c r="HE171" s="314">
        <f t="shared" si="954"/>
        <v>0</v>
      </c>
      <c r="HF171" s="314">
        <f t="shared" si="954"/>
        <v>227180.3083392675</v>
      </c>
      <c r="HG171" s="314">
        <f t="shared" si="954"/>
        <v>134213.21689477732</v>
      </c>
      <c r="HH171" s="314">
        <f t="shared" si="954"/>
        <v>0</v>
      </c>
      <c r="HI171" s="314">
        <f t="shared" si="954"/>
        <v>890312.63844429795</v>
      </c>
      <c r="HJ171" s="314">
        <f t="shared" si="954"/>
        <v>0</v>
      </c>
      <c r="HK171" s="314">
        <f t="shared" ref="HK171" si="955">HK83</f>
        <v>325968.64520080446</v>
      </c>
    </row>
    <row r="172" spans="2:276" x14ac:dyDescent="0.25">
      <c r="B172" s="313" t="s">
        <v>2791</v>
      </c>
      <c r="N172" s="314">
        <f>N170-N155</f>
        <v>0</v>
      </c>
      <c r="U172" s="314">
        <f>U170-U155</f>
        <v>0</v>
      </c>
      <c r="X172" s="314">
        <f>X170-X155</f>
        <v>-0.80519336834549904</v>
      </c>
      <c r="AB172" s="314">
        <f>AB170-AB155</f>
        <v>-3.5924371369183064</v>
      </c>
      <c r="AC172" s="314">
        <f>AC170-AC155</f>
        <v>-121171.97454398521</v>
      </c>
      <c r="AN172" s="314">
        <f>AN170-AN155</f>
        <v>0</v>
      </c>
      <c r="AO172" s="314">
        <f>AO170-AO155</f>
        <v>-2.9705450870096684</v>
      </c>
      <c r="AQ172" s="314">
        <f>AQ170-AQ155</f>
        <v>-2</v>
      </c>
      <c r="AS172" s="314">
        <f>AS170-AS155</f>
        <v>0.51711358153261244</v>
      </c>
      <c r="AT172" s="314">
        <f>AT170-AT155</f>
        <v>-4</v>
      </c>
      <c r="AX172" s="314">
        <f>AX170-AX155</f>
        <v>-49222.61087552784</v>
      </c>
      <c r="BE172" s="314"/>
      <c r="BO172" s="314">
        <f>BO170-BO155</f>
        <v>-0.18878360046073794</v>
      </c>
      <c r="BR172" s="313" t="s">
        <v>2800</v>
      </c>
      <c r="BS172" s="632">
        <v>10000</v>
      </c>
      <c r="BU172" s="314">
        <f>BU170-BU155</f>
        <v>-2</v>
      </c>
      <c r="BW172" s="314">
        <f>BW170-BW155</f>
        <v>3</v>
      </c>
      <c r="BX172" s="314">
        <f>BX170-BX155</f>
        <v>-3.4639206854626536</v>
      </c>
      <c r="BZ172" s="314">
        <f>BZ170-BZ155</f>
        <v>-324150</v>
      </c>
      <c r="CB172" s="314">
        <f>CB170-CB155</f>
        <v>3</v>
      </c>
      <c r="CD172" s="675">
        <f>CD170-CD155</f>
        <v>9486</v>
      </c>
      <c r="CN172" s="314">
        <f>CN170-CN155</f>
        <v>-1236.3604316888377</v>
      </c>
      <c r="CO172" s="314">
        <f>CO170-CO155</f>
        <v>0</v>
      </c>
      <c r="DB172" s="314">
        <f>DB170-DB155</f>
        <v>-1.5088656354928389</v>
      </c>
      <c r="DL172" s="314">
        <f>DL170-DL155</f>
        <v>4</v>
      </c>
      <c r="EA172" s="314">
        <f>EA170-EA155</f>
        <v>-155419.95882401383</v>
      </c>
      <c r="EJ172" s="313" t="s">
        <v>2795</v>
      </c>
      <c r="EK172" s="675">
        <v>159000</v>
      </c>
      <c r="EO172" s="314">
        <f>EO170-EO155</f>
        <v>0.34474238764960319</v>
      </c>
      <c r="EQ172" s="314">
        <f>EQ170-EQ155</f>
        <v>1.6062480229884386</v>
      </c>
    </row>
    <row r="173" spans="2:276" x14ac:dyDescent="0.25">
      <c r="B173" s="313" t="s">
        <v>2793</v>
      </c>
      <c r="C173" s="314">
        <v>8884420</v>
      </c>
      <c r="D173" s="314">
        <v>7730000</v>
      </c>
      <c r="E173" s="314">
        <v>8299180</v>
      </c>
      <c r="F173" s="314">
        <v>3616880</v>
      </c>
      <c r="G173" s="314">
        <v>10328000</v>
      </c>
      <c r="H173" s="314">
        <v>0</v>
      </c>
      <c r="I173" s="314">
        <v>0</v>
      </c>
      <c r="J173" s="314">
        <v>0</v>
      </c>
      <c r="K173" s="314">
        <v>5569050</v>
      </c>
      <c r="L173" s="314">
        <v>3749960</v>
      </c>
      <c r="M173" s="314">
        <v>3667780</v>
      </c>
      <c r="N173" s="314">
        <v>5360830</v>
      </c>
      <c r="O173" s="314">
        <v>4201140</v>
      </c>
      <c r="P173" s="314">
        <v>2570030</v>
      </c>
      <c r="Q173" s="314">
        <v>1836490</v>
      </c>
      <c r="R173" s="314">
        <v>2086430</v>
      </c>
      <c r="S173" s="314">
        <v>1603640</v>
      </c>
      <c r="T173" s="314">
        <v>622770</v>
      </c>
      <c r="U173" s="314">
        <v>1087500</v>
      </c>
      <c r="V173" s="314">
        <v>9233620</v>
      </c>
      <c r="W173" s="314">
        <v>2130000</v>
      </c>
      <c r="X173" s="314">
        <v>2069080</v>
      </c>
      <c r="Y173" s="314">
        <v>1770700</v>
      </c>
      <c r="Z173" s="314">
        <v>7231920</v>
      </c>
      <c r="AA173" s="314">
        <v>4018820</v>
      </c>
      <c r="AB173" s="314">
        <v>2999150</v>
      </c>
      <c r="AC173" s="314">
        <v>2999150</v>
      </c>
      <c r="AD173" s="314">
        <v>2341100</v>
      </c>
      <c r="AE173" s="314">
        <v>103740</v>
      </c>
      <c r="AF173" s="314">
        <v>1219240</v>
      </c>
      <c r="AG173" s="314">
        <v>3243110</v>
      </c>
      <c r="AH173" s="314">
        <v>760000</v>
      </c>
      <c r="AI173" s="314">
        <v>3404000</v>
      </c>
      <c r="AJ173" s="314">
        <v>2585000</v>
      </c>
      <c r="AK173" s="314">
        <v>1251400</v>
      </c>
      <c r="AL173" s="314">
        <v>1952910</v>
      </c>
      <c r="AM173" s="314">
        <v>1499710</v>
      </c>
      <c r="AN173" s="314">
        <v>1148960</v>
      </c>
      <c r="AO173" s="314">
        <v>3733030</v>
      </c>
      <c r="AP173" s="314">
        <v>2181740</v>
      </c>
      <c r="AQ173" s="314">
        <v>365590</v>
      </c>
      <c r="AR173" s="314">
        <v>1531740</v>
      </c>
      <c r="AS173" s="314">
        <v>477250</v>
      </c>
      <c r="AT173" s="314">
        <v>2498110</v>
      </c>
      <c r="AU173" s="314">
        <v>891890</v>
      </c>
      <c r="AV173" s="314">
        <v>2003660</v>
      </c>
      <c r="AW173" s="314">
        <v>0</v>
      </c>
      <c r="AX173" s="314">
        <v>3067950</v>
      </c>
      <c r="AY173" s="314">
        <v>2954680</v>
      </c>
      <c r="AZ173" s="314">
        <v>2981000</v>
      </c>
      <c r="BA173" s="314">
        <v>9230000</v>
      </c>
      <c r="BB173" s="314">
        <v>1271270</v>
      </c>
      <c r="BC173" s="314">
        <v>1223740</v>
      </c>
      <c r="BD173" s="314">
        <v>1716340</v>
      </c>
      <c r="BE173" s="314">
        <v>0</v>
      </c>
      <c r="BF173" s="314">
        <v>2020000</v>
      </c>
      <c r="BG173" s="314">
        <v>2499000</v>
      </c>
      <c r="BH173" s="314">
        <v>3075110</v>
      </c>
      <c r="BI173" s="314">
        <v>1270000</v>
      </c>
      <c r="BJ173" s="314">
        <v>2734460</v>
      </c>
      <c r="BK173" s="314">
        <v>100000</v>
      </c>
      <c r="BL173" s="314">
        <v>455140</v>
      </c>
      <c r="BM173" s="314">
        <v>1464830</v>
      </c>
      <c r="BN173" s="314">
        <v>1620070</v>
      </c>
      <c r="BO173" s="314">
        <v>893750</v>
      </c>
      <c r="BP173" s="314">
        <v>4652080</v>
      </c>
      <c r="BQ173" s="314">
        <v>0</v>
      </c>
      <c r="BR173" s="314">
        <v>922740</v>
      </c>
      <c r="BS173" s="314">
        <v>1210280</v>
      </c>
      <c r="BT173" s="314">
        <v>914160</v>
      </c>
      <c r="BU173" s="314">
        <v>3939340</v>
      </c>
      <c r="BV173" s="314">
        <v>1073760</v>
      </c>
      <c r="BW173" s="314">
        <v>532680</v>
      </c>
      <c r="BX173" s="314">
        <v>5051920</v>
      </c>
      <c r="BY173" s="314">
        <v>1419140</v>
      </c>
      <c r="BZ173" s="314">
        <v>288150</v>
      </c>
      <c r="CA173" s="314">
        <v>0</v>
      </c>
      <c r="CB173" s="314">
        <v>571520</v>
      </c>
      <c r="CC173" s="314">
        <v>2238060</v>
      </c>
      <c r="CD173" s="314">
        <v>661850</v>
      </c>
      <c r="CE173" s="314">
        <v>9715050</v>
      </c>
      <c r="CF173" s="314">
        <v>4453620</v>
      </c>
      <c r="CG173" s="314">
        <v>231160</v>
      </c>
      <c r="CH173" s="314">
        <v>0</v>
      </c>
      <c r="CI173" s="314">
        <v>0</v>
      </c>
      <c r="CJ173" s="314">
        <v>3854200</v>
      </c>
      <c r="CK173" s="314">
        <v>4542000</v>
      </c>
      <c r="CL173" s="314">
        <v>0</v>
      </c>
      <c r="CM173" s="314">
        <v>6012340</v>
      </c>
      <c r="CN173" s="314">
        <v>1289400</v>
      </c>
      <c r="CO173" s="314">
        <v>1214500</v>
      </c>
      <c r="CP173" s="314">
        <v>1212980</v>
      </c>
      <c r="CQ173" s="314">
        <v>5515040</v>
      </c>
      <c r="CR173" s="314">
        <v>2331090</v>
      </c>
      <c r="CS173" s="314">
        <v>0</v>
      </c>
      <c r="CT173" s="314">
        <v>0</v>
      </c>
      <c r="CU173" s="314">
        <v>1875000</v>
      </c>
      <c r="CV173" s="314">
        <v>5053130</v>
      </c>
      <c r="CW173" s="314">
        <v>400000</v>
      </c>
      <c r="CX173" s="314">
        <v>3457000</v>
      </c>
      <c r="CY173" s="314">
        <v>2881080</v>
      </c>
      <c r="CZ173" s="314">
        <v>371000</v>
      </c>
      <c r="DA173" s="314">
        <v>7650000</v>
      </c>
      <c r="DB173" s="314">
        <v>689840</v>
      </c>
      <c r="DC173" s="314">
        <v>1707290</v>
      </c>
      <c r="DD173" s="314">
        <v>0</v>
      </c>
      <c r="DE173" s="314">
        <v>1595400</v>
      </c>
      <c r="DF173" s="314">
        <v>4660760</v>
      </c>
      <c r="DG173" s="314">
        <v>802940</v>
      </c>
      <c r="DH173" s="314">
        <v>908240</v>
      </c>
      <c r="DI173" s="314">
        <v>0</v>
      </c>
      <c r="DJ173" s="314">
        <v>0</v>
      </c>
      <c r="DK173" s="314">
        <v>0</v>
      </c>
      <c r="DL173" s="314">
        <v>4094300</v>
      </c>
      <c r="DM173" s="314">
        <v>1912950</v>
      </c>
      <c r="DN173" s="314">
        <v>3390570</v>
      </c>
      <c r="DO173" s="314">
        <v>1402300</v>
      </c>
      <c r="DP173" s="314">
        <v>3908920</v>
      </c>
      <c r="DQ173" s="314">
        <v>4013650</v>
      </c>
      <c r="DR173" s="314">
        <v>4423030</v>
      </c>
      <c r="DS173" s="314">
        <v>878000</v>
      </c>
      <c r="DT173" s="314">
        <v>3015000</v>
      </c>
      <c r="DU173" s="314">
        <v>0</v>
      </c>
      <c r="DV173" s="314">
        <v>4423330</v>
      </c>
      <c r="DW173" s="314">
        <v>0</v>
      </c>
      <c r="DX173" s="314">
        <v>0</v>
      </c>
      <c r="DY173" s="314">
        <v>4581140</v>
      </c>
      <c r="DZ173" s="314">
        <v>723930</v>
      </c>
      <c r="EA173" s="314">
        <v>3910500</v>
      </c>
      <c r="EB173" s="314">
        <v>4351410</v>
      </c>
      <c r="EC173" s="314">
        <v>3507640</v>
      </c>
      <c r="ED173" s="314">
        <v>3500130</v>
      </c>
      <c r="EE173" s="314">
        <v>610000</v>
      </c>
      <c r="EF173" s="314">
        <v>666000</v>
      </c>
      <c r="EG173" s="314">
        <v>418920</v>
      </c>
      <c r="EH173" s="314">
        <v>595000</v>
      </c>
      <c r="EI173" s="314">
        <v>1025000</v>
      </c>
      <c r="EJ173" s="314">
        <v>0</v>
      </c>
      <c r="EK173" s="314">
        <v>3656040</v>
      </c>
      <c r="EL173" s="314">
        <v>8819170</v>
      </c>
      <c r="EM173" s="314">
        <v>2817690</v>
      </c>
      <c r="EN173" s="314">
        <v>2526600</v>
      </c>
      <c r="EO173" s="314">
        <v>282110</v>
      </c>
      <c r="EP173" s="314">
        <v>2970070</v>
      </c>
      <c r="EQ173" s="314">
        <v>2268150</v>
      </c>
      <c r="ER173" s="314">
        <v>6229000</v>
      </c>
      <c r="ES173" s="314">
        <v>2889370</v>
      </c>
    </row>
    <row r="174" spans="2:276" x14ac:dyDescent="0.25">
      <c r="B174" s="313" t="s">
        <v>2794</v>
      </c>
      <c r="C174" s="314">
        <f>C155-C173</f>
        <v>0</v>
      </c>
      <c r="D174" s="314">
        <f t="shared" ref="D174:BP174" si="956">D155-D173</f>
        <v>0</v>
      </c>
      <c r="E174" s="314">
        <f t="shared" si="956"/>
        <v>0</v>
      </c>
      <c r="F174" s="314">
        <f t="shared" si="956"/>
        <v>0</v>
      </c>
      <c r="G174" s="314">
        <f t="shared" si="956"/>
        <v>0</v>
      </c>
      <c r="H174" s="314">
        <f t="shared" si="956"/>
        <v>0</v>
      </c>
      <c r="I174" s="314">
        <f t="shared" si="956"/>
        <v>0</v>
      </c>
      <c r="J174" s="314">
        <f t="shared" si="956"/>
        <v>0</v>
      </c>
      <c r="K174" s="314">
        <f t="shared" si="956"/>
        <v>419030</v>
      </c>
      <c r="L174" s="314">
        <f t="shared" si="956"/>
        <v>25010</v>
      </c>
      <c r="M174" s="314">
        <f t="shared" si="956"/>
        <v>0</v>
      </c>
      <c r="N174" s="314">
        <f t="shared" si="956"/>
        <v>-115830</v>
      </c>
      <c r="O174" s="314">
        <f t="shared" si="956"/>
        <v>105000</v>
      </c>
      <c r="P174" s="314">
        <f t="shared" si="956"/>
        <v>-117000</v>
      </c>
      <c r="Q174" s="314">
        <f t="shared" si="956"/>
        <v>0</v>
      </c>
      <c r="R174" s="314">
        <f t="shared" si="956"/>
        <v>-56430</v>
      </c>
      <c r="S174" s="314">
        <f t="shared" si="956"/>
        <v>33510</v>
      </c>
      <c r="T174" s="314">
        <f t="shared" si="956"/>
        <v>0</v>
      </c>
      <c r="U174" s="314">
        <f t="shared" si="956"/>
        <v>0</v>
      </c>
      <c r="V174" s="314">
        <f t="shared" si="956"/>
        <v>-740000</v>
      </c>
      <c r="W174" s="314">
        <f t="shared" si="956"/>
        <v>0</v>
      </c>
      <c r="X174" s="314">
        <f t="shared" si="956"/>
        <v>219110</v>
      </c>
      <c r="Y174" s="314">
        <f t="shared" si="956"/>
        <v>0</v>
      </c>
      <c r="Z174" s="314">
        <f t="shared" si="956"/>
        <v>0</v>
      </c>
      <c r="AA174" s="314">
        <f t="shared" si="956"/>
        <v>225890</v>
      </c>
      <c r="AB174" s="314">
        <f t="shared" si="956"/>
        <v>315350</v>
      </c>
      <c r="AC174" s="314">
        <f t="shared" ref="AC174" si="957">AC155-AC173</f>
        <v>-2359150</v>
      </c>
      <c r="AD174" s="314">
        <f t="shared" si="956"/>
        <v>249130</v>
      </c>
      <c r="AE174" s="314">
        <f t="shared" si="956"/>
        <v>0</v>
      </c>
      <c r="AF174" s="314">
        <f t="shared" si="956"/>
        <v>0</v>
      </c>
      <c r="AG174" s="314">
        <f t="shared" si="956"/>
        <v>207700</v>
      </c>
      <c r="AH174" s="314">
        <f t="shared" si="956"/>
        <v>0</v>
      </c>
      <c r="AI174" s="314">
        <f t="shared" si="956"/>
        <v>0</v>
      </c>
      <c r="AJ174" s="314">
        <f t="shared" si="956"/>
        <v>0</v>
      </c>
      <c r="AK174" s="314">
        <f t="shared" si="956"/>
        <v>0</v>
      </c>
      <c r="AL174" s="314">
        <f t="shared" si="956"/>
        <v>0</v>
      </c>
      <c r="AM174" s="314">
        <f t="shared" si="956"/>
        <v>0</v>
      </c>
      <c r="AN174" s="314">
        <f t="shared" si="956"/>
        <v>-121060</v>
      </c>
      <c r="AO174" s="314">
        <f t="shared" si="956"/>
        <v>611410</v>
      </c>
      <c r="AP174" s="314">
        <f t="shared" si="956"/>
        <v>38260</v>
      </c>
      <c r="AQ174" s="314">
        <f t="shared" si="956"/>
        <v>-37650</v>
      </c>
      <c r="AR174" s="314">
        <f t="shared" si="956"/>
        <v>0</v>
      </c>
      <c r="AS174" s="314">
        <f t="shared" si="956"/>
        <v>-24020</v>
      </c>
      <c r="AT174" s="314">
        <f t="shared" si="956"/>
        <v>-322360</v>
      </c>
      <c r="AU174" s="314">
        <f t="shared" si="956"/>
        <v>100330</v>
      </c>
      <c r="AV174" s="314">
        <f t="shared" si="956"/>
        <v>0</v>
      </c>
      <c r="AW174" s="314">
        <f t="shared" si="956"/>
        <v>0</v>
      </c>
      <c r="AX174" s="314">
        <f t="shared" si="956"/>
        <v>-97930</v>
      </c>
      <c r="AY174" s="314">
        <f t="shared" si="956"/>
        <v>319270</v>
      </c>
      <c r="AZ174" s="314">
        <f t="shared" si="956"/>
        <v>0</v>
      </c>
      <c r="BA174" s="314">
        <f t="shared" si="956"/>
        <v>0</v>
      </c>
      <c r="BB174" s="314">
        <f t="shared" si="956"/>
        <v>41650</v>
      </c>
      <c r="BC174" s="314">
        <f t="shared" si="956"/>
        <v>0</v>
      </c>
      <c r="BD174" s="314">
        <f t="shared" si="956"/>
        <v>199920</v>
      </c>
      <c r="BE174" s="314">
        <f t="shared" si="956"/>
        <v>0</v>
      </c>
      <c r="BF174" s="314">
        <f t="shared" si="956"/>
        <v>0</v>
      </c>
      <c r="BG174" s="314">
        <f t="shared" si="956"/>
        <v>0</v>
      </c>
      <c r="BH174" s="314">
        <f t="shared" si="956"/>
        <v>0</v>
      </c>
      <c r="BI174" s="314">
        <f t="shared" si="956"/>
        <v>0</v>
      </c>
      <c r="BJ174" s="314">
        <f t="shared" si="956"/>
        <v>0</v>
      </c>
      <c r="BK174" s="314">
        <f t="shared" si="956"/>
        <v>0</v>
      </c>
      <c r="BL174" s="314">
        <f t="shared" si="956"/>
        <v>0</v>
      </c>
      <c r="BM174" s="314">
        <f t="shared" si="956"/>
        <v>-10</v>
      </c>
      <c r="BN174" s="314">
        <f t="shared" si="956"/>
        <v>21030</v>
      </c>
      <c r="BO174" s="314">
        <f t="shared" si="956"/>
        <v>85580</v>
      </c>
      <c r="BP174" s="314">
        <f t="shared" si="956"/>
        <v>0</v>
      </c>
      <c r="BQ174" s="314">
        <f t="shared" ref="BQ174:EB174" si="958">BQ155-BQ173</f>
        <v>0</v>
      </c>
      <c r="BR174" s="314">
        <f t="shared" si="958"/>
        <v>90280</v>
      </c>
      <c r="BS174" s="314">
        <f t="shared" si="958"/>
        <v>77620</v>
      </c>
      <c r="BT174" s="314">
        <f t="shared" si="958"/>
        <v>0</v>
      </c>
      <c r="BU174" s="314">
        <f t="shared" si="958"/>
        <v>0</v>
      </c>
      <c r="BV174" s="314">
        <f t="shared" si="958"/>
        <v>104150</v>
      </c>
      <c r="BW174" s="314">
        <f t="shared" si="958"/>
        <v>0</v>
      </c>
      <c r="BX174" s="314">
        <f t="shared" si="958"/>
        <v>-293220</v>
      </c>
      <c r="BY174" s="314">
        <f t="shared" si="958"/>
        <v>101000</v>
      </c>
      <c r="BZ174" s="314">
        <f t="shared" si="958"/>
        <v>36000</v>
      </c>
      <c r="CA174" s="314">
        <f t="shared" si="958"/>
        <v>0</v>
      </c>
      <c r="CB174" s="314">
        <f t="shared" si="958"/>
        <v>-39260</v>
      </c>
      <c r="CC174" s="314">
        <f t="shared" si="958"/>
        <v>0</v>
      </c>
      <c r="CD174" s="314">
        <f t="shared" si="958"/>
        <v>-24000</v>
      </c>
      <c r="CE174" s="314">
        <f t="shared" si="958"/>
        <v>0</v>
      </c>
      <c r="CF174" s="314">
        <f t="shared" si="958"/>
        <v>0</v>
      </c>
      <c r="CG174" s="314">
        <f t="shared" si="958"/>
        <v>26000</v>
      </c>
      <c r="CH174" s="314">
        <f t="shared" si="958"/>
        <v>0</v>
      </c>
      <c r="CI174" s="314">
        <f t="shared" si="958"/>
        <v>0</v>
      </c>
      <c r="CJ174" s="314">
        <f t="shared" si="958"/>
        <v>0</v>
      </c>
      <c r="CK174" s="314">
        <f t="shared" si="958"/>
        <v>-76000</v>
      </c>
      <c r="CL174" s="314">
        <f t="shared" si="958"/>
        <v>0</v>
      </c>
      <c r="CM174" s="314">
        <f t="shared" si="958"/>
        <v>0</v>
      </c>
      <c r="CN174" s="314">
        <f t="shared" si="958"/>
        <v>-6820</v>
      </c>
      <c r="CO174" s="314">
        <f t="shared" si="958"/>
        <v>0</v>
      </c>
      <c r="CP174" s="314">
        <f t="shared" si="958"/>
        <v>25450</v>
      </c>
      <c r="CQ174" s="314">
        <f t="shared" si="958"/>
        <v>0</v>
      </c>
      <c r="CR174" s="314">
        <f t="shared" si="958"/>
        <v>0</v>
      </c>
      <c r="CS174" s="314">
        <f t="shared" si="958"/>
        <v>0</v>
      </c>
      <c r="CT174" s="314">
        <f t="shared" si="958"/>
        <v>0</v>
      </c>
      <c r="CU174" s="314">
        <f t="shared" si="958"/>
        <v>0</v>
      </c>
      <c r="CV174" s="314">
        <f t="shared" si="958"/>
        <v>591860</v>
      </c>
      <c r="CW174" s="314">
        <f t="shared" si="958"/>
        <v>0</v>
      </c>
      <c r="CX174" s="314">
        <f t="shared" si="958"/>
        <v>0</v>
      </c>
      <c r="CY174" s="314">
        <f t="shared" si="958"/>
        <v>0</v>
      </c>
      <c r="CZ174" s="314">
        <f t="shared" si="958"/>
        <v>0</v>
      </c>
      <c r="DA174" s="314">
        <f t="shared" si="958"/>
        <v>0</v>
      </c>
      <c r="DB174" s="314">
        <f t="shared" si="958"/>
        <v>49770</v>
      </c>
      <c r="DC174" s="314">
        <f t="shared" si="958"/>
        <v>197230</v>
      </c>
      <c r="DD174" s="314">
        <f t="shared" si="958"/>
        <v>0</v>
      </c>
      <c r="DE174" s="314">
        <f t="shared" si="958"/>
        <v>0</v>
      </c>
      <c r="DF174" s="314">
        <f t="shared" si="958"/>
        <v>0</v>
      </c>
      <c r="DG174" s="314">
        <f t="shared" si="958"/>
        <v>0</v>
      </c>
      <c r="DH174" s="314">
        <f t="shared" si="958"/>
        <v>0</v>
      </c>
      <c r="DI174" s="314">
        <f t="shared" si="958"/>
        <v>0</v>
      </c>
      <c r="DJ174" s="314">
        <f t="shared" si="958"/>
        <v>0</v>
      </c>
      <c r="DK174" s="314">
        <f t="shared" si="958"/>
        <v>0</v>
      </c>
      <c r="DL174" s="314">
        <f t="shared" si="958"/>
        <v>-277080</v>
      </c>
      <c r="DM174" s="314">
        <f t="shared" si="958"/>
        <v>-7450</v>
      </c>
      <c r="DN174" s="314">
        <f t="shared" si="958"/>
        <v>214100</v>
      </c>
      <c r="DO174" s="314">
        <f t="shared" si="958"/>
        <v>0</v>
      </c>
      <c r="DP174" s="314">
        <f t="shared" si="958"/>
        <v>136440</v>
      </c>
      <c r="DQ174" s="314">
        <f t="shared" si="958"/>
        <v>-74000</v>
      </c>
      <c r="DR174" s="314">
        <f t="shared" si="958"/>
        <v>-10</v>
      </c>
      <c r="DS174" s="314">
        <f t="shared" si="958"/>
        <v>0</v>
      </c>
      <c r="DT174" s="314">
        <f t="shared" si="958"/>
        <v>0</v>
      </c>
      <c r="DU174" s="314">
        <f t="shared" si="958"/>
        <v>0</v>
      </c>
      <c r="DV174" s="314">
        <f t="shared" si="958"/>
        <v>0</v>
      </c>
      <c r="DW174" s="314">
        <f t="shared" si="958"/>
        <v>0</v>
      </c>
      <c r="DX174" s="314">
        <f t="shared" si="958"/>
        <v>0</v>
      </c>
      <c r="DY174" s="314">
        <f t="shared" si="958"/>
        <v>0</v>
      </c>
      <c r="DZ174" s="314">
        <f t="shared" si="958"/>
        <v>0</v>
      </c>
      <c r="EA174" s="314">
        <f t="shared" si="958"/>
        <v>-15310</v>
      </c>
      <c r="EB174" s="314">
        <f t="shared" si="958"/>
        <v>-279800</v>
      </c>
      <c r="EC174" s="314">
        <f t="shared" ref="EC174:ES174" si="959">EC155-EC173</f>
        <v>0</v>
      </c>
      <c r="ED174" s="314">
        <f t="shared" si="959"/>
        <v>289730</v>
      </c>
      <c r="EE174" s="314">
        <f t="shared" si="959"/>
        <v>0</v>
      </c>
      <c r="EF174" s="314">
        <f t="shared" si="959"/>
        <v>0</v>
      </c>
      <c r="EG174" s="314">
        <f t="shared" si="959"/>
        <v>6080</v>
      </c>
      <c r="EH174" s="314">
        <f t="shared" si="959"/>
        <v>0</v>
      </c>
      <c r="EI174" s="314">
        <f t="shared" si="959"/>
        <v>0</v>
      </c>
      <c r="EJ174" s="314">
        <f t="shared" si="959"/>
        <v>0</v>
      </c>
      <c r="EK174" s="314">
        <f t="shared" si="959"/>
        <v>117000</v>
      </c>
      <c r="EL174" s="314">
        <f t="shared" si="959"/>
        <v>76910</v>
      </c>
      <c r="EM174" s="314">
        <f t="shared" si="959"/>
        <v>-52000</v>
      </c>
      <c r="EN174" s="314">
        <f t="shared" si="959"/>
        <v>0</v>
      </c>
      <c r="EO174" s="314">
        <f t="shared" si="959"/>
        <v>29710</v>
      </c>
      <c r="EP174" s="314">
        <f t="shared" si="959"/>
        <v>-10</v>
      </c>
      <c r="EQ174" s="314">
        <f t="shared" si="959"/>
        <v>-328800</v>
      </c>
      <c r="ER174" s="314">
        <f t="shared" si="959"/>
        <v>0</v>
      </c>
      <c r="ES174" s="314">
        <f t="shared" si="959"/>
        <v>0</v>
      </c>
    </row>
    <row r="176" spans="2:276" x14ac:dyDescent="0.25">
      <c r="C176" s="314">
        <f t="shared" ref="C176:AX176" si="960">C120</f>
        <v>0</v>
      </c>
      <c r="D176" s="314">
        <f t="shared" si="960"/>
        <v>0</v>
      </c>
      <c r="E176" s="314">
        <f t="shared" si="960"/>
        <v>0</v>
      </c>
      <c r="F176" s="314">
        <f t="shared" si="960"/>
        <v>0</v>
      </c>
      <c r="G176" s="314">
        <f t="shared" si="960"/>
        <v>0</v>
      </c>
      <c r="H176" s="314">
        <f t="shared" si="960"/>
        <v>0</v>
      </c>
      <c r="I176" s="314">
        <f t="shared" si="960"/>
        <v>0</v>
      </c>
      <c r="J176" s="314">
        <f t="shared" si="960"/>
        <v>0</v>
      </c>
      <c r="K176" s="314">
        <f t="shared" si="960"/>
        <v>0</v>
      </c>
      <c r="L176" s="314">
        <f t="shared" si="960"/>
        <v>175000</v>
      </c>
      <c r="M176" s="314">
        <f t="shared" si="960"/>
        <v>177000</v>
      </c>
      <c r="N176" s="314">
        <f t="shared" si="960"/>
        <v>0</v>
      </c>
      <c r="O176" s="314">
        <f t="shared" si="960"/>
        <v>80000</v>
      </c>
      <c r="P176" s="314">
        <f t="shared" si="960"/>
        <v>0</v>
      </c>
      <c r="Q176" s="314">
        <f t="shared" si="960"/>
        <v>93000</v>
      </c>
      <c r="R176" s="314">
        <f t="shared" si="960"/>
        <v>38293.1</v>
      </c>
      <c r="S176" s="314">
        <f t="shared" si="960"/>
        <v>33512.800000000003</v>
      </c>
      <c r="T176" s="314">
        <f t="shared" si="960"/>
        <v>45063</v>
      </c>
      <c r="U176" s="314">
        <f t="shared" si="960"/>
        <v>0</v>
      </c>
      <c r="V176" s="314">
        <f t="shared" si="960"/>
        <v>0</v>
      </c>
      <c r="W176" s="314">
        <f t="shared" si="960"/>
        <v>0</v>
      </c>
      <c r="X176" s="314">
        <f t="shared" si="960"/>
        <v>0</v>
      </c>
      <c r="Y176" s="314">
        <f t="shared" si="960"/>
        <v>120000</v>
      </c>
      <c r="Z176" s="314">
        <f t="shared" si="960"/>
        <v>118000</v>
      </c>
      <c r="AA176" s="314">
        <f t="shared" si="960"/>
        <v>0</v>
      </c>
      <c r="AB176" s="314">
        <f t="shared" si="960"/>
        <v>130000</v>
      </c>
      <c r="AC176" s="314">
        <f t="shared" ref="AC176" si="961">AC120</f>
        <v>148000</v>
      </c>
      <c r="AD176" s="314">
        <f t="shared" si="960"/>
        <v>134000</v>
      </c>
      <c r="AE176" s="314">
        <f t="shared" si="960"/>
        <v>0</v>
      </c>
      <c r="AF176" s="314">
        <f t="shared" si="960"/>
        <v>0</v>
      </c>
      <c r="AG176" s="314">
        <f t="shared" si="960"/>
        <v>158000</v>
      </c>
      <c r="AH176" s="314">
        <f t="shared" si="960"/>
        <v>55495</v>
      </c>
      <c r="AI176" s="314">
        <f t="shared" si="960"/>
        <v>106000</v>
      </c>
      <c r="AJ176" s="314">
        <f t="shared" si="960"/>
        <v>109000</v>
      </c>
      <c r="AK176" s="314">
        <f t="shared" si="960"/>
        <v>79838</v>
      </c>
      <c r="AL176" s="314">
        <f t="shared" si="960"/>
        <v>0</v>
      </c>
      <c r="AM176" s="314">
        <f t="shared" si="960"/>
        <v>0</v>
      </c>
      <c r="AN176" s="314">
        <f t="shared" si="960"/>
        <v>0</v>
      </c>
      <c r="AO176" s="314">
        <f t="shared" si="960"/>
        <v>0</v>
      </c>
      <c r="AP176" s="314">
        <f t="shared" si="960"/>
        <v>178955</v>
      </c>
      <c r="AQ176" s="314">
        <f t="shared" si="960"/>
        <v>26000</v>
      </c>
      <c r="AR176" s="314">
        <f t="shared" si="960"/>
        <v>40000</v>
      </c>
      <c r="AS176" s="314">
        <f t="shared" si="960"/>
        <v>18000</v>
      </c>
      <c r="AT176" s="314">
        <f t="shared" si="960"/>
        <v>0</v>
      </c>
      <c r="AU176" s="314">
        <f t="shared" si="960"/>
        <v>10000</v>
      </c>
      <c r="AV176" s="314">
        <f t="shared" si="960"/>
        <v>0</v>
      </c>
      <c r="AW176" s="314">
        <f t="shared" si="960"/>
        <v>0</v>
      </c>
      <c r="AX176" s="314">
        <f t="shared" si="960"/>
        <v>172190</v>
      </c>
      <c r="AY176" s="314">
        <f>AY120</f>
        <v>184559</v>
      </c>
      <c r="AZ176" s="314">
        <f t="shared" ref="AZ176:DK176" si="962">AZ120</f>
        <v>141000</v>
      </c>
      <c r="BA176" s="314">
        <f t="shared" si="962"/>
        <v>0</v>
      </c>
      <c r="BB176" s="314">
        <f t="shared" si="962"/>
        <v>0</v>
      </c>
      <c r="BC176" s="314">
        <f t="shared" si="962"/>
        <v>0</v>
      </c>
      <c r="BD176" s="314">
        <f t="shared" si="962"/>
        <v>112000</v>
      </c>
      <c r="BE176" s="314">
        <f t="shared" si="962"/>
        <v>113000</v>
      </c>
      <c r="BF176" s="314">
        <f t="shared" si="962"/>
        <v>60000</v>
      </c>
      <c r="BG176" s="314">
        <f t="shared" si="962"/>
        <v>70000</v>
      </c>
      <c r="BH176" s="314">
        <f t="shared" si="962"/>
        <v>235948</v>
      </c>
      <c r="BI176" s="314">
        <f t="shared" si="962"/>
        <v>0</v>
      </c>
      <c r="BJ176" s="314">
        <f t="shared" si="962"/>
        <v>0</v>
      </c>
      <c r="BK176" s="314">
        <f t="shared" si="962"/>
        <v>0</v>
      </c>
      <c r="BL176" s="314">
        <f t="shared" si="962"/>
        <v>0</v>
      </c>
      <c r="BM176" s="314">
        <f t="shared" si="962"/>
        <v>0</v>
      </c>
      <c r="BN176" s="314">
        <f t="shared" si="962"/>
        <v>0</v>
      </c>
      <c r="BO176" s="314">
        <f t="shared" si="962"/>
        <v>0</v>
      </c>
      <c r="BP176" s="314">
        <f t="shared" si="962"/>
        <v>458716</v>
      </c>
      <c r="BQ176" s="314">
        <f t="shared" si="962"/>
        <v>0</v>
      </c>
      <c r="BR176" s="314">
        <f t="shared" si="962"/>
        <v>65000</v>
      </c>
      <c r="BS176" s="314">
        <f>BS120</f>
        <v>100000</v>
      </c>
      <c r="BT176" s="314">
        <f t="shared" si="962"/>
        <v>79000</v>
      </c>
      <c r="BU176" s="314">
        <f t="shared" si="962"/>
        <v>0</v>
      </c>
      <c r="BV176" s="314">
        <f t="shared" si="962"/>
        <v>0</v>
      </c>
      <c r="BW176" s="314">
        <f t="shared" si="962"/>
        <v>0</v>
      </c>
      <c r="BX176" s="314">
        <f t="shared" si="962"/>
        <v>156971</v>
      </c>
      <c r="BY176" s="314">
        <f t="shared" si="962"/>
        <v>101000</v>
      </c>
      <c r="BZ176" s="314">
        <f t="shared" si="962"/>
        <v>36000</v>
      </c>
      <c r="CA176" s="314">
        <f t="shared" si="962"/>
        <v>0</v>
      </c>
      <c r="CB176" s="314">
        <f t="shared" si="962"/>
        <v>0</v>
      </c>
      <c r="CC176" s="314">
        <f t="shared" si="962"/>
        <v>0</v>
      </c>
      <c r="CD176" s="314">
        <f t="shared" si="962"/>
        <v>0</v>
      </c>
      <c r="CE176" s="314">
        <f t="shared" si="962"/>
        <v>0</v>
      </c>
      <c r="CF176" s="314">
        <f t="shared" si="962"/>
        <v>0</v>
      </c>
      <c r="CG176" s="314">
        <f t="shared" si="962"/>
        <v>0</v>
      </c>
      <c r="CH176" s="314">
        <f t="shared" si="962"/>
        <v>0</v>
      </c>
      <c r="CI176" s="314">
        <f t="shared" si="962"/>
        <v>0</v>
      </c>
      <c r="CJ176" s="314">
        <f t="shared" si="962"/>
        <v>0</v>
      </c>
      <c r="CK176" s="314">
        <f t="shared" si="962"/>
        <v>0</v>
      </c>
      <c r="CL176" s="314">
        <f t="shared" si="962"/>
        <v>0</v>
      </c>
      <c r="CM176" s="314">
        <f t="shared" si="962"/>
        <v>0</v>
      </c>
      <c r="CN176" s="314">
        <f t="shared" si="962"/>
        <v>52605.14</v>
      </c>
      <c r="CO176" s="314">
        <f t="shared" si="962"/>
        <v>0</v>
      </c>
      <c r="CP176" s="314">
        <f t="shared" si="962"/>
        <v>55825.46</v>
      </c>
      <c r="CQ176" s="314">
        <f t="shared" si="962"/>
        <v>0</v>
      </c>
      <c r="CR176" s="314">
        <f t="shared" si="962"/>
        <v>0</v>
      </c>
      <c r="CS176" s="314">
        <f t="shared" si="962"/>
        <v>0</v>
      </c>
      <c r="CT176" s="314">
        <f t="shared" si="962"/>
        <v>0</v>
      </c>
      <c r="CU176" s="314">
        <f t="shared" si="962"/>
        <v>0</v>
      </c>
      <c r="CV176" s="314">
        <f t="shared" si="962"/>
        <v>0</v>
      </c>
      <c r="CW176" s="314">
        <f t="shared" si="962"/>
        <v>0</v>
      </c>
      <c r="CX176" s="314">
        <f t="shared" si="962"/>
        <v>0</v>
      </c>
      <c r="CY176" s="314">
        <f t="shared" si="962"/>
        <v>0</v>
      </c>
      <c r="CZ176" s="314">
        <f t="shared" si="962"/>
        <v>0</v>
      </c>
      <c r="DA176" s="314">
        <f t="shared" si="962"/>
        <v>0</v>
      </c>
      <c r="DB176" s="314">
        <f t="shared" si="962"/>
        <v>0</v>
      </c>
      <c r="DC176" s="314">
        <f t="shared" si="962"/>
        <v>0</v>
      </c>
      <c r="DD176" s="314">
        <f t="shared" si="962"/>
        <v>0</v>
      </c>
      <c r="DE176" s="314">
        <f t="shared" si="962"/>
        <v>0</v>
      </c>
      <c r="DF176" s="314">
        <f t="shared" si="962"/>
        <v>0</v>
      </c>
      <c r="DG176" s="314">
        <f t="shared" si="962"/>
        <v>0</v>
      </c>
      <c r="DH176" s="314">
        <f t="shared" si="962"/>
        <v>0</v>
      </c>
      <c r="DI176" s="314">
        <f t="shared" si="962"/>
        <v>0</v>
      </c>
      <c r="DJ176" s="314">
        <f t="shared" si="962"/>
        <v>0</v>
      </c>
      <c r="DK176" s="314">
        <f t="shared" si="962"/>
        <v>0</v>
      </c>
      <c r="DL176" s="314">
        <f t="shared" ref="DL176:ES176" si="963">DL120</f>
        <v>0</v>
      </c>
      <c r="DM176" s="314">
        <f t="shared" si="963"/>
        <v>0</v>
      </c>
      <c r="DN176" s="314">
        <f t="shared" si="963"/>
        <v>130000</v>
      </c>
      <c r="DO176" s="314">
        <f t="shared" si="963"/>
        <v>0</v>
      </c>
      <c r="DP176" s="314">
        <f t="shared" si="963"/>
        <v>136446.78</v>
      </c>
      <c r="DQ176" s="314">
        <f t="shared" si="963"/>
        <v>0</v>
      </c>
      <c r="DR176" s="314">
        <f t="shared" si="963"/>
        <v>0</v>
      </c>
      <c r="DS176" s="314">
        <f t="shared" si="963"/>
        <v>0</v>
      </c>
      <c r="DT176" s="314">
        <f t="shared" si="963"/>
        <v>0</v>
      </c>
      <c r="DU176" s="314">
        <f t="shared" si="963"/>
        <v>0</v>
      </c>
      <c r="DV176" s="314">
        <f t="shared" si="963"/>
        <v>0</v>
      </c>
      <c r="DW176" s="314">
        <f t="shared" si="963"/>
        <v>0</v>
      </c>
      <c r="DX176" s="314">
        <f t="shared" si="963"/>
        <v>0</v>
      </c>
      <c r="DY176" s="314">
        <f t="shared" si="963"/>
        <v>158000</v>
      </c>
      <c r="DZ176" s="314">
        <f t="shared" si="963"/>
        <v>0</v>
      </c>
      <c r="EA176" s="314">
        <f t="shared" si="963"/>
        <v>171000</v>
      </c>
      <c r="EB176" s="314">
        <f t="shared" si="963"/>
        <v>0</v>
      </c>
      <c r="EC176" s="314">
        <f t="shared" si="963"/>
        <v>0</v>
      </c>
      <c r="ED176" s="314">
        <f t="shared" si="963"/>
        <v>0</v>
      </c>
      <c r="EE176" s="314">
        <f t="shared" si="963"/>
        <v>0</v>
      </c>
      <c r="EF176" s="314">
        <f t="shared" si="963"/>
        <v>28601.59</v>
      </c>
      <c r="EG176" s="314">
        <f t="shared" si="963"/>
        <v>21070.99</v>
      </c>
      <c r="EH176" s="314">
        <f t="shared" si="963"/>
        <v>22000</v>
      </c>
      <c r="EI176" s="314">
        <f t="shared" si="963"/>
        <v>0</v>
      </c>
      <c r="EJ176" s="314">
        <f t="shared" si="963"/>
        <v>0</v>
      </c>
      <c r="EK176" s="314">
        <f t="shared" si="963"/>
        <v>276000</v>
      </c>
      <c r="EL176" s="314">
        <f t="shared" si="963"/>
        <v>651000</v>
      </c>
      <c r="EM176" s="314">
        <f t="shared" si="963"/>
        <v>210000</v>
      </c>
      <c r="EN176" s="314">
        <f t="shared" si="963"/>
        <v>0</v>
      </c>
      <c r="EO176" s="314">
        <f t="shared" si="963"/>
        <v>0</v>
      </c>
      <c r="EP176" s="314">
        <f t="shared" si="963"/>
        <v>0</v>
      </c>
      <c r="EQ176" s="314">
        <f t="shared" si="963"/>
        <v>0</v>
      </c>
      <c r="ER176" s="314">
        <f t="shared" si="963"/>
        <v>0</v>
      </c>
      <c r="ES176" s="314">
        <f t="shared" si="963"/>
        <v>0</v>
      </c>
    </row>
    <row r="177" spans="1:276" x14ac:dyDescent="0.25">
      <c r="AX177" s="313">
        <v>50000</v>
      </c>
      <c r="AY177" s="314">
        <f>AY155-AY178+AY169</f>
        <v>132079.48109183926</v>
      </c>
      <c r="AZ177" s="314">
        <f>AZ155-AZ178</f>
        <v>0</v>
      </c>
    </row>
    <row r="178" spans="1:276" x14ac:dyDescent="0.25">
      <c r="AX178" s="314">
        <v>2920797.3891244722</v>
      </c>
      <c r="AY178" s="314">
        <v>3115630</v>
      </c>
      <c r="AZ178" s="314">
        <v>2981000</v>
      </c>
    </row>
    <row r="179" spans="1:276" s="307" customFormat="1" x14ac:dyDescent="0.25">
      <c r="A179" s="314"/>
      <c r="B179" s="314" t="s">
        <v>2629</v>
      </c>
      <c r="C179" s="314">
        <v>8884420</v>
      </c>
      <c r="D179" s="314">
        <v>7730000</v>
      </c>
      <c r="E179" s="314">
        <v>8299180</v>
      </c>
      <c r="F179" s="314">
        <v>3616880</v>
      </c>
      <c r="G179" s="314">
        <v>10328000</v>
      </c>
      <c r="H179" s="314">
        <v>0</v>
      </c>
      <c r="I179" s="314">
        <v>0</v>
      </c>
      <c r="J179" s="314">
        <v>0</v>
      </c>
      <c r="K179" s="314">
        <v>5569050</v>
      </c>
      <c r="L179" s="314">
        <v>3749960</v>
      </c>
      <c r="M179" s="314">
        <v>3667780</v>
      </c>
      <c r="N179" s="314">
        <v>5245000</v>
      </c>
      <c r="O179" s="314">
        <v>4306140</v>
      </c>
      <c r="P179" s="314">
        <v>2453030</v>
      </c>
      <c r="Q179" s="314">
        <v>1836490</v>
      </c>
      <c r="R179" s="314">
        <v>2025430</v>
      </c>
      <c r="S179" s="314">
        <v>1603640</v>
      </c>
      <c r="T179" s="314">
        <v>622770</v>
      </c>
      <c r="U179" s="314">
        <v>1087500</v>
      </c>
      <c r="V179" s="314">
        <v>9233620</v>
      </c>
      <c r="W179" s="314">
        <v>2130000</v>
      </c>
      <c r="X179" s="314">
        <v>2288189.1948066317</v>
      </c>
      <c r="Y179" s="314">
        <v>1770700</v>
      </c>
      <c r="Z179" s="314">
        <v>7231920</v>
      </c>
      <c r="AA179" s="314">
        <v>4244710</v>
      </c>
      <c r="AB179" s="314">
        <v>3314496.4075628631</v>
      </c>
      <c r="AC179" s="314">
        <v>3314496.4075628631</v>
      </c>
      <c r="AD179" s="314">
        <v>2387000</v>
      </c>
      <c r="AE179" s="314">
        <v>103740</v>
      </c>
      <c r="AF179" s="314">
        <v>1219240</v>
      </c>
      <c r="AG179" s="314">
        <v>3292810</v>
      </c>
      <c r="AH179" s="314">
        <v>760000</v>
      </c>
      <c r="AI179" s="314">
        <v>3404000</v>
      </c>
      <c r="AJ179" s="314">
        <v>2585000</v>
      </c>
      <c r="AK179" s="314">
        <v>1251400</v>
      </c>
      <c r="AL179" s="314">
        <v>1952910</v>
      </c>
      <c r="AM179" s="314">
        <v>1499710</v>
      </c>
      <c r="AN179" s="314">
        <v>1027900</v>
      </c>
      <c r="AO179" s="314">
        <v>4344437.029454913</v>
      </c>
      <c r="AP179" s="314">
        <v>2181740</v>
      </c>
      <c r="AQ179" s="314">
        <v>301938</v>
      </c>
      <c r="AR179" s="314">
        <v>1531740</v>
      </c>
      <c r="AS179" s="314">
        <v>453230.51711358153</v>
      </c>
      <c r="AT179" s="314">
        <v>2175746</v>
      </c>
      <c r="AU179" s="314">
        <v>982220</v>
      </c>
      <c r="AV179" s="314">
        <v>2003660</v>
      </c>
      <c r="AW179" s="314">
        <v>0</v>
      </c>
      <c r="AX179" s="314">
        <v>2920797</v>
      </c>
      <c r="AY179" s="314">
        <v>3115630</v>
      </c>
      <c r="AZ179" s="314">
        <v>2981000</v>
      </c>
      <c r="BA179" s="314">
        <v>9230000</v>
      </c>
      <c r="BB179" s="314">
        <v>1312920</v>
      </c>
      <c r="BC179" s="314">
        <v>1223740</v>
      </c>
      <c r="BD179" s="314">
        <v>1804260</v>
      </c>
      <c r="BE179" s="314">
        <v>0</v>
      </c>
      <c r="BF179" s="314">
        <v>2020000</v>
      </c>
      <c r="BG179" s="314">
        <v>2499000</v>
      </c>
      <c r="BH179" s="314">
        <v>3075110</v>
      </c>
      <c r="BI179" s="314">
        <v>1270000</v>
      </c>
      <c r="BJ179" s="314">
        <v>2734460</v>
      </c>
      <c r="BK179" s="314">
        <v>100000</v>
      </c>
      <c r="BL179" s="314">
        <v>455140</v>
      </c>
      <c r="BM179" s="314">
        <v>1464830</v>
      </c>
      <c r="BN179" s="314">
        <v>1641100</v>
      </c>
      <c r="BO179" s="314">
        <v>979329.81121639954</v>
      </c>
      <c r="BP179" s="314">
        <v>4652080</v>
      </c>
      <c r="BQ179" s="314">
        <v>0</v>
      </c>
      <c r="BR179" s="314">
        <v>1013020</v>
      </c>
      <c r="BS179" s="314">
        <v>1200280</v>
      </c>
      <c r="BT179" s="314">
        <v>914160</v>
      </c>
      <c r="BU179" s="314">
        <v>3939338</v>
      </c>
      <c r="BV179" s="314">
        <v>1177910</v>
      </c>
      <c r="BW179" s="314">
        <v>532680</v>
      </c>
      <c r="BX179" s="314">
        <v>4408000</v>
      </c>
      <c r="BY179" s="314">
        <v>1419140</v>
      </c>
      <c r="BZ179" s="314">
        <v>288150</v>
      </c>
      <c r="CA179" s="314">
        <v>0</v>
      </c>
      <c r="CB179" s="314">
        <v>532263</v>
      </c>
      <c r="CC179" s="314">
        <v>2238060</v>
      </c>
      <c r="CD179" s="314">
        <v>637848.21685573971</v>
      </c>
      <c r="CE179" s="314">
        <v>9715050</v>
      </c>
      <c r="CF179" s="314">
        <v>4453620</v>
      </c>
      <c r="CG179" s="314">
        <v>257160</v>
      </c>
      <c r="CH179" s="314">
        <v>0</v>
      </c>
      <c r="CI179" s="314">
        <v>0</v>
      </c>
      <c r="CJ179" s="314">
        <v>3854200</v>
      </c>
      <c r="CK179" s="314">
        <v>4466000</v>
      </c>
      <c r="CL179" s="314">
        <v>0</v>
      </c>
      <c r="CM179" s="314">
        <v>6012340</v>
      </c>
      <c r="CN179" s="314">
        <v>1281343.6395683112</v>
      </c>
      <c r="CO179" s="314">
        <v>1214500</v>
      </c>
      <c r="CP179" s="314">
        <v>1212980</v>
      </c>
      <c r="CQ179" s="314">
        <v>5515040</v>
      </c>
      <c r="CR179" s="314">
        <v>2331090</v>
      </c>
      <c r="CS179" s="314">
        <v>0</v>
      </c>
      <c r="CT179" s="314">
        <v>0</v>
      </c>
      <c r="CU179" s="314">
        <v>1875000</v>
      </c>
      <c r="CV179" s="314">
        <v>5644990</v>
      </c>
      <c r="CW179" s="314">
        <v>400000</v>
      </c>
      <c r="CX179" s="314">
        <v>3457000</v>
      </c>
      <c r="CY179" s="314">
        <v>2881080</v>
      </c>
      <c r="CZ179" s="314">
        <v>371000</v>
      </c>
      <c r="DA179" s="314">
        <v>7650000</v>
      </c>
      <c r="DB179" s="314">
        <v>739608.49113436451</v>
      </c>
      <c r="DC179" s="314">
        <v>1707290</v>
      </c>
      <c r="DD179" s="314">
        <v>0</v>
      </c>
      <c r="DE179" s="314">
        <v>1595400</v>
      </c>
      <c r="DF179" s="314">
        <v>4660760</v>
      </c>
      <c r="DG179" s="314">
        <v>802940</v>
      </c>
      <c r="DH179" s="314">
        <v>908240</v>
      </c>
      <c r="DI179" s="314">
        <v>0</v>
      </c>
      <c r="DJ179" s="314">
        <v>0</v>
      </c>
      <c r="DK179" s="314">
        <v>0</v>
      </c>
      <c r="DL179" s="314">
        <v>3817224</v>
      </c>
      <c r="DM179" s="314">
        <v>1905500</v>
      </c>
      <c r="DN179" s="314">
        <v>3604670</v>
      </c>
      <c r="DO179" s="314">
        <v>1402300</v>
      </c>
      <c r="DP179" s="314">
        <v>3908920</v>
      </c>
      <c r="DQ179" s="314">
        <v>3939650</v>
      </c>
      <c r="DR179" s="314">
        <v>4423030</v>
      </c>
      <c r="DS179" s="314">
        <v>878000</v>
      </c>
      <c r="DT179" s="314">
        <v>3015000</v>
      </c>
      <c r="DU179" s="314">
        <v>0</v>
      </c>
      <c r="DV179" s="314">
        <v>4423330</v>
      </c>
      <c r="DW179" s="314">
        <v>0</v>
      </c>
      <c r="DX179" s="314">
        <v>0</v>
      </c>
      <c r="DY179" s="314">
        <v>4581140</v>
      </c>
      <c r="DZ179" s="314">
        <v>723930</v>
      </c>
      <c r="EA179" s="314">
        <v>3739770.0411759862</v>
      </c>
      <c r="EB179" s="314">
        <v>4351410</v>
      </c>
      <c r="EC179" s="314">
        <v>3507640</v>
      </c>
      <c r="ED179" s="314">
        <v>3789860</v>
      </c>
      <c r="EE179" s="314">
        <v>610000</v>
      </c>
      <c r="EF179" s="314">
        <v>666000</v>
      </c>
      <c r="EG179" s="314">
        <v>419540</v>
      </c>
      <c r="EH179" s="314">
        <v>595000</v>
      </c>
      <c r="EI179" s="314">
        <v>1025000</v>
      </c>
      <c r="EJ179" s="314">
        <v>0</v>
      </c>
      <c r="EK179" s="314">
        <v>3497042</v>
      </c>
      <c r="EL179" s="314">
        <v>8819170</v>
      </c>
      <c r="EM179" s="314">
        <v>2765690</v>
      </c>
      <c r="EN179" s="314">
        <v>2526600</v>
      </c>
      <c r="EO179" s="314">
        <v>311820.34474238765</v>
      </c>
      <c r="EP179" s="314">
        <v>2970070</v>
      </c>
      <c r="EQ179" s="314">
        <v>1939351.606248023</v>
      </c>
      <c r="ER179" s="314">
        <v>6229000</v>
      </c>
      <c r="ES179" s="314">
        <v>2889370</v>
      </c>
      <c r="ET179" s="314">
        <v>901340</v>
      </c>
      <c r="EU179" s="314">
        <v>2056000</v>
      </c>
      <c r="EV179" s="314">
        <v>437890</v>
      </c>
      <c r="EW179" s="314">
        <v>2023740</v>
      </c>
      <c r="EX179" s="314">
        <v>5504310</v>
      </c>
      <c r="EY179" s="314">
        <v>2036520</v>
      </c>
      <c r="EZ179" s="314">
        <v>0</v>
      </c>
      <c r="FA179" s="314">
        <v>990000</v>
      </c>
      <c r="FB179" s="314">
        <v>25070</v>
      </c>
      <c r="FC179" s="314">
        <v>3485630</v>
      </c>
      <c r="FD179" s="314">
        <v>0</v>
      </c>
      <c r="FE179" s="314">
        <v>337560</v>
      </c>
      <c r="FF179" s="314">
        <v>1423660</v>
      </c>
      <c r="FG179" s="314">
        <v>5703200</v>
      </c>
      <c r="FH179" s="314">
        <v>5733240</v>
      </c>
      <c r="FI179" s="314">
        <v>7323170</v>
      </c>
      <c r="FJ179" s="314">
        <v>1788270</v>
      </c>
      <c r="FK179" s="314">
        <v>0</v>
      </c>
      <c r="FL179" s="314">
        <v>0</v>
      </c>
      <c r="FM179" s="314">
        <v>902780</v>
      </c>
      <c r="FN179" s="314">
        <v>6847280</v>
      </c>
      <c r="FO179" s="314">
        <v>1634550</v>
      </c>
      <c r="FP179" s="314">
        <v>11032150</v>
      </c>
      <c r="FQ179" s="314">
        <v>1956930</v>
      </c>
      <c r="FR179" s="314">
        <v>0</v>
      </c>
      <c r="FS179" s="314">
        <v>409450</v>
      </c>
      <c r="FT179" s="314">
        <v>3113420</v>
      </c>
      <c r="FU179" s="314">
        <v>446460</v>
      </c>
      <c r="FV179" s="314">
        <v>96190</v>
      </c>
      <c r="FW179" s="314">
        <v>225730</v>
      </c>
      <c r="FX179" s="314">
        <v>67370</v>
      </c>
      <c r="FY179" s="314">
        <v>41380</v>
      </c>
      <c r="FZ179" s="314">
        <v>2940230</v>
      </c>
      <c r="GA179" s="314">
        <v>343850</v>
      </c>
      <c r="GB179" s="314">
        <v>2196410</v>
      </c>
      <c r="GC179" s="314">
        <v>2143140</v>
      </c>
      <c r="GD179" s="314">
        <v>7825390</v>
      </c>
      <c r="GE179" s="314">
        <v>0</v>
      </c>
      <c r="GF179" s="314">
        <v>3844550</v>
      </c>
      <c r="GG179" s="314">
        <v>1085690</v>
      </c>
      <c r="GH179" s="314">
        <v>1054720</v>
      </c>
      <c r="GI179" s="314">
        <v>7647180</v>
      </c>
      <c r="GJ179" s="314">
        <v>1561970</v>
      </c>
      <c r="GK179" s="314">
        <v>572460</v>
      </c>
      <c r="GL179" s="314">
        <v>393640</v>
      </c>
      <c r="GM179" s="314">
        <v>585110</v>
      </c>
      <c r="GN179" s="314">
        <v>672870</v>
      </c>
      <c r="GO179" s="314">
        <v>4271160</v>
      </c>
      <c r="GP179" s="314">
        <v>175190</v>
      </c>
      <c r="GQ179" s="314">
        <v>0</v>
      </c>
      <c r="GR179" s="314">
        <v>287390</v>
      </c>
      <c r="GS179" s="314">
        <v>0</v>
      </c>
      <c r="GT179" s="314">
        <v>8922000</v>
      </c>
      <c r="GU179" s="314">
        <v>807440</v>
      </c>
      <c r="GV179" s="314">
        <v>5000000</v>
      </c>
      <c r="GW179" s="314">
        <v>432120</v>
      </c>
      <c r="GX179" s="314">
        <v>0</v>
      </c>
      <c r="GY179" s="314">
        <v>6973040</v>
      </c>
      <c r="GZ179" s="314">
        <v>0</v>
      </c>
      <c r="HA179" s="314">
        <v>5200000</v>
      </c>
      <c r="HB179" s="314">
        <v>2469920</v>
      </c>
      <c r="HC179" s="314">
        <v>5441700</v>
      </c>
      <c r="HD179" s="314">
        <v>1880610</v>
      </c>
      <c r="HE179" s="314">
        <v>4945200</v>
      </c>
      <c r="HF179" s="314">
        <v>596100</v>
      </c>
      <c r="HG179" s="314">
        <v>283240</v>
      </c>
      <c r="HH179" s="314">
        <v>1846000</v>
      </c>
      <c r="HI179" s="314">
        <v>1209250</v>
      </c>
      <c r="HJ179" s="314">
        <v>0</v>
      </c>
      <c r="HK179" s="314">
        <v>0</v>
      </c>
      <c r="HL179" s="314">
        <v>25331490</v>
      </c>
      <c r="HM179" s="314">
        <v>18062110</v>
      </c>
      <c r="HN179" s="314">
        <v>0</v>
      </c>
      <c r="HO179" s="314">
        <v>0</v>
      </c>
      <c r="HP179" s="314">
        <v>19303220</v>
      </c>
      <c r="HQ179" s="314">
        <v>687360</v>
      </c>
      <c r="HR179" s="314">
        <v>24026010</v>
      </c>
      <c r="HS179" s="314">
        <v>4430600</v>
      </c>
      <c r="HT179" s="314">
        <v>15937690</v>
      </c>
      <c r="HU179" s="314">
        <v>15474990</v>
      </c>
      <c r="HV179" s="314">
        <v>12916130</v>
      </c>
      <c r="HW179" s="314">
        <v>3337990</v>
      </c>
      <c r="HX179" s="314">
        <v>13208120</v>
      </c>
      <c r="HY179" s="314">
        <v>14405760</v>
      </c>
      <c r="HZ179" s="314">
        <v>6797940</v>
      </c>
      <c r="IA179" s="314">
        <v>6429490</v>
      </c>
      <c r="IB179" s="314">
        <v>6305180</v>
      </c>
      <c r="IC179" s="314">
        <v>7418220</v>
      </c>
      <c r="ID179" s="314">
        <v>6685280</v>
      </c>
      <c r="IE179" s="314">
        <v>13033890</v>
      </c>
      <c r="IF179" s="314">
        <v>12847830</v>
      </c>
      <c r="IG179" s="314">
        <v>3089240</v>
      </c>
      <c r="IH179" s="314">
        <v>1754310</v>
      </c>
      <c r="II179" s="314">
        <v>15058470</v>
      </c>
      <c r="IJ179" s="314">
        <v>1090180</v>
      </c>
      <c r="IK179" s="314">
        <v>150000</v>
      </c>
      <c r="IL179" s="314">
        <v>7391660</v>
      </c>
      <c r="IM179" s="314">
        <v>530840</v>
      </c>
      <c r="IN179" s="314">
        <v>6957000</v>
      </c>
      <c r="IO179" s="314">
        <v>2174450</v>
      </c>
      <c r="IP179" s="314">
        <v>15916870</v>
      </c>
      <c r="IQ179" s="314">
        <v>15354810</v>
      </c>
      <c r="IR179" s="314">
        <v>661220</v>
      </c>
      <c r="IS179" s="314">
        <v>38358140</v>
      </c>
      <c r="IT179" s="314">
        <v>8363390</v>
      </c>
      <c r="IU179" s="314">
        <v>2009010</v>
      </c>
      <c r="IV179" s="314">
        <v>5685100</v>
      </c>
      <c r="IW179" s="314">
        <v>11119520</v>
      </c>
      <c r="IX179" s="314">
        <v>1125730</v>
      </c>
      <c r="IY179" s="314">
        <v>3266100</v>
      </c>
      <c r="IZ179" s="314">
        <v>15781490</v>
      </c>
      <c r="JA179" s="314">
        <v>2298510</v>
      </c>
      <c r="JB179" s="314">
        <v>2067000</v>
      </c>
      <c r="JC179" s="314">
        <v>1625000</v>
      </c>
      <c r="JD179" s="314">
        <v>3000000</v>
      </c>
      <c r="JE179" s="314">
        <v>453690</v>
      </c>
      <c r="JF179" s="314">
        <v>25423010</v>
      </c>
      <c r="JG179" s="314">
        <v>22851610</v>
      </c>
      <c r="JH179" s="314">
        <v>868740</v>
      </c>
      <c r="JI179" s="314">
        <v>948868191.0154978</v>
      </c>
      <c r="JL179" s="307">
        <v>24913600</v>
      </c>
      <c r="JM179" s="307">
        <v>332739341.01549774</v>
      </c>
      <c r="JN179" s="307">
        <v>150150860</v>
      </c>
      <c r="JO179" s="307">
        <v>441064390</v>
      </c>
      <c r="JP179" s="307">
        <v>948868191.01549768</v>
      </c>
    </row>
    <row r="180" spans="1:276" x14ac:dyDescent="0.25">
      <c r="C180" s="314">
        <f>C155-C179</f>
        <v>0</v>
      </c>
      <c r="D180" s="314">
        <f t="shared" ref="D180:BP180" si="964">D155-D179</f>
        <v>0</v>
      </c>
      <c r="E180" s="314">
        <f t="shared" si="964"/>
        <v>0</v>
      </c>
      <c r="F180" s="314">
        <f t="shared" si="964"/>
        <v>0</v>
      </c>
      <c r="G180" s="314">
        <f t="shared" si="964"/>
        <v>0</v>
      </c>
      <c r="H180" s="314">
        <f t="shared" si="964"/>
        <v>0</v>
      </c>
      <c r="I180" s="314">
        <f t="shared" si="964"/>
        <v>0</v>
      </c>
      <c r="J180" s="314">
        <f t="shared" si="964"/>
        <v>0</v>
      </c>
      <c r="K180" s="314">
        <f t="shared" si="964"/>
        <v>419030</v>
      </c>
      <c r="L180" s="314">
        <f t="shared" si="964"/>
        <v>25010</v>
      </c>
      <c r="M180" s="314">
        <f t="shared" si="964"/>
        <v>0</v>
      </c>
      <c r="N180" s="314">
        <f t="shared" si="964"/>
        <v>0</v>
      </c>
      <c r="O180" s="314">
        <f t="shared" si="964"/>
        <v>0</v>
      </c>
      <c r="P180" s="314">
        <f t="shared" si="964"/>
        <v>0</v>
      </c>
      <c r="Q180" s="314">
        <f t="shared" si="964"/>
        <v>0</v>
      </c>
      <c r="R180" s="314">
        <f t="shared" si="964"/>
        <v>4570</v>
      </c>
      <c r="S180" s="314">
        <f t="shared" si="964"/>
        <v>33510</v>
      </c>
      <c r="T180" s="314">
        <f t="shared" si="964"/>
        <v>0</v>
      </c>
      <c r="U180" s="314">
        <f t="shared" si="964"/>
        <v>0</v>
      </c>
      <c r="V180" s="314">
        <f t="shared" si="964"/>
        <v>-740000</v>
      </c>
      <c r="W180" s="314">
        <f t="shared" si="964"/>
        <v>0</v>
      </c>
      <c r="X180" s="314">
        <f t="shared" si="964"/>
        <v>0.80519336834549904</v>
      </c>
      <c r="Y180" s="314">
        <f t="shared" si="964"/>
        <v>0</v>
      </c>
      <c r="Z180" s="314">
        <f t="shared" si="964"/>
        <v>0</v>
      </c>
      <c r="AA180" s="314">
        <f t="shared" si="964"/>
        <v>0</v>
      </c>
      <c r="AB180" s="314">
        <f t="shared" si="964"/>
        <v>3.5924371369183064</v>
      </c>
      <c r="AC180" s="314">
        <f t="shared" ref="AC180" si="965">AC155-AC179</f>
        <v>-2674496.4075628631</v>
      </c>
      <c r="AD180" s="314">
        <f t="shared" si="964"/>
        <v>203230</v>
      </c>
      <c r="AE180" s="314">
        <f t="shared" si="964"/>
        <v>0</v>
      </c>
      <c r="AF180" s="314">
        <f t="shared" si="964"/>
        <v>0</v>
      </c>
      <c r="AG180" s="314">
        <f t="shared" si="964"/>
        <v>158000</v>
      </c>
      <c r="AH180" s="314">
        <f t="shared" si="964"/>
        <v>0</v>
      </c>
      <c r="AI180" s="314">
        <f t="shared" si="964"/>
        <v>0</v>
      </c>
      <c r="AJ180" s="314">
        <f t="shared" si="964"/>
        <v>0</v>
      </c>
      <c r="AK180" s="314">
        <f t="shared" si="964"/>
        <v>0</v>
      </c>
      <c r="AL180" s="314">
        <f t="shared" si="964"/>
        <v>0</v>
      </c>
      <c r="AM180" s="314">
        <f t="shared" si="964"/>
        <v>0</v>
      </c>
      <c r="AN180" s="314">
        <f t="shared" si="964"/>
        <v>0</v>
      </c>
      <c r="AO180" s="314">
        <f t="shared" si="964"/>
        <v>2.9705450870096684</v>
      </c>
      <c r="AP180" s="314">
        <f t="shared" si="964"/>
        <v>38260</v>
      </c>
      <c r="AQ180" s="314">
        <f t="shared" si="964"/>
        <v>26002</v>
      </c>
      <c r="AR180" s="314">
        <f t="shared" si="964"/>
        <v>0</v>
      </c>
      <c r="AS180" s="314">
        <f t="shared" si="964"/>
        <v>-0.51711358153261244</v>
      </c>
      <c r="AT180" s="314">
        <f t="shared" si="964"/>
        <v>4</v>
      </c>
      <c r="AU180" s="314">
        <f t="shared" si="964"/>
        <v>10000</v>
      </c>
      <c r="AV180" s="314">
        <f t="shared" si="964"/>
        <v>0</v>
      </c>
      <c r="AW180" s="314">
        <f t="shared" si="964"/>
        <v>0</v>
      </c>
      <c r="AX180" s="314">
        <f t="shared" si="964"/>
        <v>49223</v>
      </c>
      <c r="AY180" s="314">
        <f t="shared" si="964"/>
        <v>158320</v>
      </c>
      <c r="AZ180" s="314">
        <f t="shared" si="964"/>
        <v>0</v>
      </c>
      <c r="BA180" s="314">
        <f t="shared" si="964"/>
        <v>0</v>
      </c>
      <c r="BB180" s="314">
        <f t="shared" si="964"/>
        <v>0</v>
      </c>
      <c r="BC180" s="314">
        <f t="shared" si="964"/>
        <v>0</v>
      </c>
      <c r="BD180" s="314">
        <f t="shared" si="964"/>
        <v>112000</v>
      </c>
      <c r="BE180" s="314">
        <f t="shared" si="964"/>
        <v>0</v>
      </c>
      <c r="BF180" s="314">
        <f t="shared" si="964"/>
        <v>0</v>
      </c>
      <c r="BG180" s="314">
        <f t="shared" si="964"/>
        <v>0</v>
      </c>
      <c r="BH180" s="314">
        <f t="shared" si="964"/>
        <v>0</v>
      </c>
      <c r="BI180" s="314">
        <f t="shared" si="964"/>
        <v>0</v>
      </c>
      <c r="BJ180" s="314">
        <f t="shared" si="964"/>
        <v>0</v>
      </c>
      <c r="BK180" s="314">
        <f t="shared" si="964"/>
        <v>0</v>
      </c>
      <c r="BL180" s="314">
        <f t="shared" si="964"/>
        <v>0</v>
      </c>
      <c r="BM180" s="314">
        <f t="shared" si="964"/>
        <v>-10</v>
      </c>
      <c r="BN180" s="314">
        <f t="shared" si="964"/>
        <v>0</v>
      </c>
      <c r="BO180" s="314">
        <f t="shared" si="964"/>
        <v>0.18878360046073794</v>
      </c>
      <c r="BP180" s="314">
        <f t="shared" si="964"/>
        <v>0</v>
      </c>
      <c r="BQ180" s="314">
        <f t="shared" ref="BQ180:EB180" si="966">BQ155-BQ179</f>
        <v>0</v>
      </c>
      <c r="BR180" s="314">
        <f t="shared" si="966"/>
        <v>0</v>
      </c>
      <c r="BS180" s="314">
        <f t="shared" si="966"/>
        <v>87620</v>
      </c>
      <c r="BT180" s="314">
        <f t="shared" si="966"/>
        <v>0</v>
      </c>
      <c r="BU180" s="314">
        <f t="shared" si="966"/>
        <v>2</v>
      </c>
      <c r="BV180" s="314">
        <f t="shared" si="966"/>
        <v>0</v>
      </c>
      <c r="BW180" s="314">
        <f t="shared" si="966"/>
        <v>0</v>
      </c>
      <c r="BX180" s="314">
        <f t="shared" si="966"/>
        <v>350700</v>
      </c>
      <c r="BY180" s="314">
        <f t="shared" si="966"/>
        <v>101000</v>
      </c>
      <c r="BZ180" s="314">
        <f t="shared" si="966"/>
        <v>36000</v>
      </c>
      <c r="CA180" s="314">
        <f t="shared" si="966"/>
        <v>0</v>
      </c>
      <c r="CB180" s="314">
        <f t="shared" si="966"/>
        <v>-3</v>
      </c>
      <c r="CC180" s="314">
        <f t="shared" si="966"/>
        <v>0</v>
      </c>
      <c r="CD180" s="314">
        <f t="shared" si="966"/>
        <v>1.7831442602910101</v>
      </c>
      <c r="CE180" s="314">
        <f t="shared" si="966"/>
        <v>0</v>
      </c>
      <c r="CF180" s="314">
        <f t="shared" si="966"/>
        <v>0</v>
      </c>
      <c r="CG180" s="314">
        <f t="shared" si="966"/>
        <v>0</v>
      </c>
      <c r="CH180" s="314">
        <f t="shared" si="966"/>
        <v>0</v>
      </c>
      <c r="CI180" s="314">
        <f t="shared" si="966"/>
        <v>0</v>
      </c>
      <c r="CJ180" s="314">
        <f t="shared" si="966"/>
        <v>0</v>
      </c>
      <c r="CK180" s="314">
        <f t="shared" si="966"/>
        <v>0</v>
      </c>
      <c r="CL180" s="314">
        <f t="shared" si="966"/>
        <v>0</v>
      </c>
      <c r="CM180" s="314">
        <f t="shared" si="966"/>
        <v>0</v>
      </c>
      <c r="CN180" s="314">
        <f t="shared" si="966"/>
        <v>1236.3604316888377</v>
      </c>
      <c r="CO180" s="314">
        <f t="shared" si="966"/>
        <v>0</v>
      </c>
      <c r="CP180" s="314">
        <f t="shared" si="966"/>
        <v>25450</v>
      </c>
      <c r="CQ180" s="314">
        <f t="shared" si="966"/>
        <v>0</v>
      </c>
      <c r="CR180" s="314">
        <f t="shared" si="966"/>
        <v>0</v>
      </c>
      <c r="CS180" s="314">
        <f t="shared" si="966"/>
        <v>0</v>
      </c>
      <c r="CT180" s="314">
        <f t="shared" si="966"/>
        <v>0</v>
      </c>
      <c r="CU180" s="314">
        <f t="shared" si="966"/>
        <v>0</v>
      </c>
      <c r="CV180" s="314">
        <f t="shared" si="966"/>
        <v>0</v>
      </c>
      <c r="CW180" s="314">
        <f t="shared" si="966"/>
        <v>0</v>
      </c>
      <c r="CX180" s="314">
        <f t="shared" si="966"/>
        <v>0</v>
      </c>
      <c r="CY180" s="314">
        <f t="shared" si="966"/>
        <v>0</v>
      </c>
      <c r="CZ180" s="314">
        <f t="shared" si="966"/>
        <v>0</v>
      </c>
      <c r="DA180" s="314">
        <f t="shared" si="966"/>
        <v>0</v>
      </c>
      <c r="DB180" s="314">
        <f t="shared" si="966"/>
        <v>1.5088656354928389</v>
      </c>
      <c r="DC180" s="314">
        <f t="shared" si="966"/>
        <v>197230</v>
      </c>
      <c r="DD180" s="314">
        <f t="shared" si="966"/>
        <v>0</v>
      </c>
      <c r="DE180" s="314">
        <f t="shared" si="966"/>
        <v>0</v>
      </c>
      <c r="DF180" s="314">
        <f t="shared" si="966"/>
        <v>0</v>
      </c>
      <c r="DG180" s="314">
        <f t="shared" si="966"/>
        <v>0</v>
      </c>
      <c r="DH180" s="314">
        <f t="shared" si="966"/>
        <v>0</v>
      </c>
      <c r="DI180" s="314">
        <f t="shared" si="966"/>
        <v>0</v>
      </c>
      <c r="DJ180" s="314">
        <f t="shared" si="966"/>
        <v>0</v>
      </c>
      <c r="DK180" s="314">
        <f t="shared" si="966"/>
        <v>0</v>
      </c>
      <c r="DL180" s="314">
        <f t="shared" si="966"/>
        <v>-4</v>
      </c>
      <c r="DM180" s="314">
        <f t="shared" si="966"/>
        <v>0</v>
      </c>
      <c r="DN180" s="314">
        <f t="shared" si="966"/>
        <v>0</v>
      </c>
      <c r="DO180" s="314">
        <f t="shared" si="966"/>
        <v>0</v>
      </c>
      <c r="DP180" s="314">
        <f t="shared" si="966"/>
        <v>136440</v>
      </c>
      <c r="DQ180" s="314">
        <f t="shared" si="966"/>
        <v>0</v>
      </c>
      <c r="DR180" s="314">
        <f t="shared" si="966"/>
        <v>-10</v>
      </c>
      <c r="DS180" s="314">
        <f t="shared" si="966"/>
        <v>0</v>
      </c>
      <c r="DT180" s="314">
        <f t="shared" si="966"/>
        <v>0</v>
      </c>
      <c r="DU180" s="314">
        <f t="shared" si="966"/>
        <v>0</v>
      </c>
      <c r="DV180" s="314">
        <f t="shared" si="966"/>
        <v>0</v>
      </c>
      <c r="DW180" s="314">
        <f t="shared" si="966"/>
        <v>0</v>
      </c>
      <c r="DX180" s="314">
        <f t="shared" si="966"/>
        <v>0</v>
      </c>
      <c r="DY180" s="314">
        <f t="shared" si="966"/>
        <v>0</v>
      </c>
      <c r="DZ180" s="314">
        <f t="shared" si="966"/>
        <v>0</v>
      </c>
      <c r="EA180" s="314">
        <f t="shared" si="966"/>
        <v>155419.95882401383</v>
      </c>
      <c r="EB180" s="314">
        <f t="shared" si="966"/>
        <v>-279800</v>
      </c>
      <c r="EC180" s="314">
        <f t="shared" ref="EC180:ES180" si="967">EC155-EC179</f>
        <v>0</v>
      </c>
      <c r="ED180" s="314">
        <f t="shared" si="967"/>
        <v>0</v>
      </c>
      <c r="EE180" s="314">
        <f t="shared" si="967"/>
        <v>0</v>
      </c>
      <c r="EF180" s="314">
        <f t="shared" si="967"/>
        <v>0</v>
      </c>
      <c r="EG180" s="314">
        <f t="shared" si="967"/>
        <v>5460</v>
      </c>
      <c r="EH180" s="314">
        <f t="shared" si="967"/>
        <v>0</v>
      </c>
      <c r="EI180" s="314">
        <f t="shared" si="967"/>
        <v>0</v>
      </c>
      <c r="EJ180" s="314">
        <f t="shared" si="967"/>
        <v>0</v>
      </c>
      <c r="EK180" s="314" t="s">
        <v>2796</v>
      </c>
      <c r="EL180" s="314">
        <f>EL155-EL179</f>
        <v>76910</v>
      </c>
      <c r="EM180" s="314">
        <f t="shared" si="967"/>
        <v>0</v>
      </c>
      <c r="EN180" s="314">
        <f t="shared" si="967"/>
        <v>0</v>
      </c>
      <c r="EO180" s="314">
        <f t="shared" si="967"/>
        <v>-0.34474238764960319</v>
      </c>
      <c r="EP180" s="314">
        <f t="shared" si="967"/>
        <v>-10</v>
      </c>
      <c r="EQ180" s="314">
        <f t="shared" si="967"/>
        <v>-1.6062480229884386</v>
      </c>
      <c r="ER180" s="314">
        <f t="shared" si="967"/>
        <v>0</v>
      </c>
      <c r="ES180" s="314">
        <f t="shared" si="967"/>
        <v>0</v>
      </c>
    </row>
    <row r="181" spans="1:276" x14ac:dyDescent="0.25">
      <c r="C181" s="677">
        <f>(C155+C49)/(C$13*1)</f>
        <v>0.96109861886461789</v>
      </c>
      <c r="D181" s="677">
        <f t="shared" ref="D181:BP181" si="968">(D155+D49)/(D$13*1)</f>
        <v>0.85923111147744968</v>
      </c>
      <c r="E181" s="677">
        <f t="shared" si="968"/>
        <v>0.95408958013456446</v>
      </c>
      <c r="F181" s="677">
        <f t="shared" si="968"/>
        <v>0.99999881654390566</v>
      </c>
      <c r="G181" s="677">
        <f t="shared" si="968"/>
        <v>0.99999973394957142</v>
      </c>
      <c r="H181" s="677">
        <f t="shared" si="968"/>
        <v>0.55303961165334159</v>
      </c>
      <c r="I181" s="677">
        <f t="shared" si="968"/>
        <v>0.2052342006026327</v>
      </c>
      <c r="J181" s="677">
        <f t="shared" si="968"/>
        <v>0.06</v>
      </c>
      <c r="K181" s="677">
        <f t="shared" si="968"/>
        <v>1.0707284978122655</v>
      </c>
      <c r="L181" s="677">
        <f t="shared" si="968"/>
        <v>1.0062043640588902</v>
      </c>
      <c r="M181" s="677">
        <f t="shared" si="968"/>
        <v>1.0000011949737275</v>
      </c>
      <c r="N181" s="677">
        <f t="shared" si="968"/>
        <v>1.1548037238612556</v>
      </c>
      <c r="O181" s="677">
        <f t="shared" si="968"/>
        <v>1.0232897062361239</v>
      </c>
      <c r="P181" s="677">
        <f t="shared" si="968"/>
        <v>0.96097565461522005</v>
      </c>
      <c r="Q181" s="677">
        <f t="shared" si="968"/>
        <v>1.0000007583683479</v>
      </c>
      <c r="R181" s="677">
        <f t="shared" si="968"/>
        <v>1.0142167462920382</v>
      </c>
      <c r="S181" s="677">
        <f t="shared" si="968"/>
        <v>1.0262558385736296</v>
      </c>
      <c r="T181" s="677">
        <f t="shared" si="968"/>
        <v>0.99999527342035921</v>
      </c>
      <c r="U181" s="677">
        <f t="shared" si="968"/>
        <v>1.1241650218856443</v>
      </c>
      <c r="V181" s="677">
        <f t="shared" si="968"/>
        <v>0.83902967019730379</v>
      </c>
      <c r="W181" s="677">
        <f t="shared" si="968"/>
        <v>0.74240148457473254</v>
      </c>
      <c r="X181" s="677">
        <f t="shared" si="968"/>
        <v>1.1000003674867962</v>
      </c>
      <c r="Y181" s="677">
        <f t="shared" si="968"/>
        <v>0.90383095211702669</v>
      </c>
      <c r="Z181" s="677">
        <f t="shared" si="968"/>
        <v>0.74734205491087757</v>
      </c>
      <c r="AA181" s="677">
        <f t="shared" si="968"/>
        <v>1.0523646700417575</v>
      </c>
      <c r="AB181" s="677">
        <f t="shared" si="968"/>
        <v>1.1000011391967106</v>
      </c>
      <c r="AC181" s="677">
        <f t="shared" ref="AC181" si="969">(AC155+AC49)/(AC$13*1)</f>
        <v>1.3569043410506432</v>
      </c>
      <c r="AD181" s="677">
        <f t="shared" si="968"/>
        <v>1.0997337094494095</v>
      </c>
      <c r="AE181" s="677">
        <f t="shared" si="968"/>
        <v>0.15752933705392688</v>
      </c>
      <c r="AF181" s="677">
        <f t="shared" si="968"/>
        <v>0.4048479545661231</v>
      </c>
      <c r="AG181" s="677">
        <f t="shared" si="968"/>
        <v>1.0591644036140737</v>
      </c>
      <c r="AH181" s="677">
        <f t="shared" si="968"/>
        <v>0.64891890962179588</v>
      </c>
      <c r="AI181" s="677">
        <f t="shared" si="968"/>
        <v>0.666047099547041</v>
      </c>
      <c r="AJ181" s="677">
        <f t="shared" si="968"/>
        <v>0.64045700980971576</v>
      </c>
      <c r="AK181" s="677">
        <f t="shared" si="968"/>
        <v>0.85889926039401077</v>
      </c>
      <c r="AL181" s="677">
        <f t="shared" si="968"/>
        <v>1.0000003878925161</v>
      </c>
      <c r="AM181" s="677">
        <f t="shared" si="968"/>
        <v>1.0000010433007109</v>
      </c>
      <c r="AN181" s="677">
        <f t="shared" si="968"/>
        <v>1.1281838440212617</v>
      </c>
      <c r="AO181" s="677">
        <f t="shared" si="968"/>
        <v>1.0968329232117262</v>
      </c>
      <c r="AP181" s="677">
        <f t="shared" si="968"/>
        <v>0.98913512950674687</v>
      </c>
      <c r="AQ181" s="677">
        <f t="shared" si="968"/>
        <v>1.2720566717708395</v>
      </c>
      <c r="AR181" s="677">
        <f t="shared" si="968"/>
        <v>0.99999976110507738</v>
      </c>
      <c r="AS181" s="677">
        <f t="shared" si="968"/>
        <v>1.0999988396786413</v>
      </c>
      <c r="AT181" s="677">
        <f t="shared" si="968"/>
        <v>1.111707881382066</v>
      </c>
      <c r="AU181" s="677">
        <f t="shared" si="968"/>
        <v>1.0953845660584958</v>
      </c>
      <c r="AV181" s="677">
        <f t="shared" si="968"/>
        <v>0.9999996806658259</v>
      </c>
      <c r="AW181" s="677">
        <f t="shared" si="968"/>
        <v>4.4483346135042491E-2</v>
      </c>
      <c r="AX181" s="677">
        <f t="shared" si="968"/>
        <v>1.1170331308778363</v>
      </c>
      <c r="AY181" s="677">
        <f t="shared" si="968"/>
        <v>1.0999999931879434</v>
      </c>
      <c r="AZ181" s="677">
        <f t="shared" si="968"/>
        <v>0.80593090544680379</v>
      </c>
      <c r="BA181" s="677">
        <f t="shared" si="968"/>
        <v>0.91687943778129621</v>
      </c>
      <c r="BB181" s="677">
        <f t="shared" si="968"/>
        <v>1.0295126653628048</v>
      </c>
      <c r="BC181" s="677">
        <f t="shared" si="968"/>
        <v>0.99999816732222024</v>
      </c>
      <c r="BD181" s="677">
        <f t="shared" si="968"/>
        <v>1.0989514932598714</v>
      </c>
      <c r="BE181" s="677">
        <f t="shared" si="968"/>
        <v>0.13483151453469494</v>
      </c>
      <c r="BF181" s="677">
        <f t="shared" si="968"/>
        <v>0.78676775009142785</v>
      </c>
      <c r="BG181" s="677">
        <f t="shared" si="968"/>
        <v>0.74256182373187885</v>
      </c>
      <c r="BH181" s="677">
        <f t="shared" si="968"/>
        <v>0.91730773893556961</v>
      </c>
      <c r="BI181" s="677">
        <f t="shared" si="968"/>
        <v>0.44013672841584955</v>
      </c>
      <c r="BJ181" s="677">
        <f t="shared" si="968"/>
        <v>1.0413305882132862</v>
      </c>
      <c r="BK181" s="677">
        <f t="shared" si="968"/>
        <v>0.11338104631326619</v>
      </c>
      <c r="BL181" s="677">
        <f t="shared" si="968"/>
        <v>1.0000031082828527</v>
      </c>
      <c r="BM181" s="677">
        <f t="shared" si="968"/>
        <v>0.66808026240616647</v>
      </c>
      <c r="BN181" s="677">
        <f t="shared" si="968"/>
        <v>1.0108081613343927</v>
      </c>
      <c r="BO181" s="677">
        <f t="shared" si="968"/>
        <v>1.0766975493655662</v>
      </c>
      <c r="BP181" s="677">
        <f t="shared" si="968"/>
        <v>0.9672497065561998</v>
      </c>
      <c r="BQ181" s="677">
        <f t="shared" ref="BQ181:EB181" si="970">(BQ155+BQ49)/(BQ$13*1)</f>
        <v>0.06</v>
      </c>
      <c r="BR181" s="677">
        <f t="shared" si="970"/>
        <v>1.0900287001299149</v>
      </c>
      <c r="BS181" s="677">
        <f t="shared" si="970"/>
        <v>1.1353094389356084</v>
      </c>
      <c r="BT181" s="677">
        <f t="shared" si="970"/>
        <v>0.99999976110507727</v>
      </c>
      <c r="BU181" s="677">
        <f t="shared" si="970"/>
        <v>1.1445368122772226</v>
      </c>
      <c r="BV181" s="677">
        <f t="shared" si="970"/>
        <v>1.0911787654843088</v>
      </c>
      <c r="BW181" s="677">
        <f t="shared" si="970"/>
        <v>1.8528749217306735</v>
      </c>
      <c r="BX181" s="677">
        <f t="shared" si="970"/>
        <v>1.1987713036777516</v>
      </c>
      <c r="BY181" s="677">
        <f t="shared" si="970"/>
        <v>1.0893777954520789</v>
      </c>
      <c r="BZ181" s="677">
        <f t="shared" si="970"/>
        <v>1.9040640257760437</v>
      </c>
      <c r="CA181" s="677" t="e">
        <f t="shared" si="970"/>
        <v>#DIV/0!</v>
      </c>
      <c r="CB181" s="677">
        <f t="shared" si="970"/>
        <v>2.5695164380751172</v>
      </c>
      <c r="CC181" s="677">
        <f t="shared" si="970"/>
        <v>1.0944675956603169</v>
      </c>
      <c r="CD181" s="677">
        <f t="shared" si="970"/>
        <v>1.0687645540406212</v>
      </c>
      <c r="CE181" s="677">
        <f t="shared" si="970"/>
        <v>0.9999999911099845</v>
      </c>
      <c r="CF181" s="677">
        <f t="shared" si="970"/>
        <v>1.0000004482238467</v>
      </c>
      <c r="CG181" s="677">
        <f t="shared" si="970"/>
        <v>0.19692823995115197</v>
      </c>
      <c r="CH181" s="677">
        <f t="shared" si="970"/>
        <v>0.19627285017849264</v>
      </c>
      <c r="CI181" s="677">
        <f t="shared" si="970"/>
        <v>5.6836718868618755E-2</v>
      </c>
      <c r="CJ181" s="677">
        <f t="shared" si="970"/>
        <v>1.0000010540004389</v>
      </c>
      <c r="CK181" s="677">
        <f t="shared" si="970"/>
        <v>0.94958638759567782</v>
      </c>
      <c r="CL181" s="677">
        <f t="shared" si="970"/>
        <v>0.1663049693953032</v>
      </c>
      <c r="CM181" s="677">
        <f t="shared" si="970"/>
        <v>1.0000005120968707</v>
      </c>
      <c r="CN181" s="677">
        <f t="shared" si="970"/>
        <v>1.1009402996892659</v>
      </c>
      <c r="CO181" s="677">
        <f t="shared" si="970"/>
        <v>1.1138086108504746</v>
      </c>
      <c r="CP181" s="677">
        <f t="shared" si="970"/>
        <v>1.1053894498247903</v>
      </c>
      <c r="CQ181" s="677">
        <f t="shared" si="970"/>
        <v>1.0000005477636837</v>
      </c>
      <c r="CR181" s="677">
        <f t="shared" si="970"/>
        <v>0.96095266033939419</v>
      </c>
      <c r="CS181" s="677">
        <f t="shared" si="970"/>
        <v>5.3831280094404285E-2</v>
      </c>
      <c r="CT181" s="677">
        <f t="shared" si="970"/>
        <v>0.12439872283322755</v>
      </c>
      <c r="CU181" s="677">
        <f t="shared" si="970"/>
        <v>0.9520569541257492</v>
      </c>
      <c r="CV181" s="677">
        <f t="shared" si="970"/>
        <v>1.0730950928844207</v>
      </c>
      <c r="CW181" s="677">
        <f t="shared" si="970"/>
        <v>0.89753694362127279</v>
      </c>
      <c r="CX181" s="677">
        <f t="shared" si="970"/>
        <v>0.78891287198134852</v>
      </c>
      <c r="CY181" s="677">
        <f t="shared" si="970"/>
        <v>0.99999896038158265</v>
      </c>
      <c r="CZ181" s="677">
        <f t="shared" si="970"/>
        <v>0.26024894458754999</v>
      </c>
      <c r="DA181" s="677">
        <f t="shared" si="970"/>
        <v>0.89173500955234308</v>
      </c>
      <c r="DB181" s="677">
        <f t="shared" si="970"/>
        <v>1.1000017664295447</v>
      </c>
      <c r="DC181" s="677">
        <f t="shared" si="970"/>
        <v>1.1000023022247964</v>
      </c>
      <c r="DD181" s="677">
        <f t="shared" si="970"/>
        <v>3.8432088896726495E-2</v>
      </c>
      <c r="DE181" s="677">
        <f t="shared" si="970"/>
        <v>0.23370795852680457</v>
      </c>
      <c r="DF181" s="677">
        <f t="shared" si="970"/>
        <v>0.65254877956755442</v>
      </c>
      <c r="DG181" s="677">
        <f t="shared" si="970"/>
        <v>1.0000021480581716</v>
      </c>
      <c r="DH181" s="677">
        <f t="shared" si="970"/>
        <v>0.39859336402880235</v>
      </c>
      <c r="DI181" s="677">
        <f t="shared" si="970"/>
        <v>2.9390105076434719E-2</v>
      </c>
      <c r="DJ181" s="677">
        <f t="shared" si="970"/>
        <v>4.0219627915178892E-2</v>
      </c>
      <c r="DK181" s="677">
        <f t="shared" si="970"/>
        <v>1.627171232225523E-2</v>
      </c>
      <c r="DL181" s="677">
        <f t="shared" si="970"/>
        <v>1.1777442877184348</v>
      </c>
      <c r="DM181" s="677">
        <f t="shared" si="970"/>
        <v>0.99692292562317752</v>
      </c>
      <c r="DN181" s="677">
        <f t="shared" si="970"/>
        <v>1.0542761933960494</v>
      </c>
      <c r="DO181" s="677">
        <f t="shared" si="970"/>
        <v>0.9999997370909226</v>
      </c>
      <c r="DP181" s="677">
        <f t="shared" si="970"/>
        <v>1.0437770571196308</v>
      </c>
      <c r="DQ181" s="677">
        <f t="shared" si="970"/>
        <v>0.90665148014760344</v>
      </c>
      <c r="DR181" s="677">
        <f t="shared" si="970"/>
        <v>0.87926400991941545</v>
      </c>
      <c r="DS181" s="677">
        <f t="shared" si="970"/>
        <v>0.56771668939617836</v>
      </c>
      <c r="DT181" s="677">
        <f t="shared" si="970"/>
        <v>0.72890659833720384</v>
      </c>
      <c r="DU181" s="677">
        <f t="shared" si="970"/>
        <v>0.10243664644281658</v>
      </c>
      <c r="DV181" s="677">
        <f t="shared" si="970"/>
        <v>0.65110647397991817</v>
      </c>
      <c r="DW181" s="677">
        <f t="shared" si="970"/>
        <v>0</v>
      </c>
      <c r="DX181" s="677">
        <f t="shared" si="970"/>
        <v>0.10166628167447997</v>
      </c>
      <c r="DY181" s="677">
        <f t="shared" si="970"/>
        <v>0.99999941864306496</v>
      </c>
      <c r="DZ181" s="677">
        <f t="shared" si="970"/>
        <v>1.0000055979696241</v>
      </c>
      <c r="EA181" s="677">
        <f t="shared" si="970"/>
        <v>1.144178840832222</v>
      </c>
      <c r="EB181" s="677">
        <f t="shared" si="970"/>
        <v>0.71892790907199744</v>
      </c>
      <c r="EC181" s="677">
        <f t="shared" ref="EC181:ES181" si="971">(EC155+EC49)/(EC$13*1)</f>
        <v>1.0955252120119123</v>
      </c>
      <c r="ED181" s="677">
        <f t="shared" si="971"/>
        <v>1.0744581897712437</v>
      </c>
      <c r="EE181" s="677">
        <f t="shared" si="971"/>
        <v>0.84290426009649977</v>
      </c>
      <c r="EF181" s="677">
        <f t="shared" si="971"/>
        <v>0.84117162356185682</v>
      </c>
      <c r="EG181" s="677">
        <f t="shared" si="971"/>
        <v>1.0136330025976021</v>
      </c>
      <c r="EH181" s="677">
        <f t="shared" si="971"/>
        <v>0.84394852981198698</v>
      </c>
      <c r="EI181" s="677">
        <f t="shared" si="971"/>
        <v>0.8744801692201607</v>
      </c>
      <c r="EJ181" s="677">
        <f t="shared" si="971"/>
        <v>0.06</v>
      </c>
      <c r="EK181" s="677">
        <f t="shared" si="971"/>
        <v>1.1871065892787227</v>
      </c>
      <c r="EL181" s="677">
        <f t="shared" si="971"/>
        <v>1.0064988473878174</v>
      </c>
      <c r="EM181" s="677">
        <f t="shared" si="971"/>
        <v>0.98469989479612263</v>
      </c>
      <c r="EN181" s="677">
        <f t="shared" si="971"/>
        <v>1.0640557941218414</v>
      </c>
      <c r="EO181" s="677">
        <f t="shared" si="971"/>
        <v>1.0999988396786415</v>
      </c>
      <c r="EP181" s="677">
        <f t="shared" si="971"/>
        <v>0.99614702952499079</v>
      </c>
      <c r="EQ181" s="677">
        <f t="shared" si="971"/>
        <v>1.0999991386306958</v>
      </c>
      <c r="ER181" s="677">
        <f t="shared" si="971"/>
        <v>0.81740220434262068</v>
      </c>
      <c r="ES181" s="677">
        <f t="shared" si="971"/>
        <v>1.0299164518284236</v>
      </c>
    </row>
    <row r="182" spans="1:276" x14ac:dyDescent="0.25">
      <c r="B182" s="313" t="s">
        <v>2799</v>
      </c>
      <c r="C182" s="314">
        <v>8884420</v>
      </c>
      <c r="D182" s="313">
        <v>7730000</v>
      </c>
      <c r="E182" s="313">
        <v>8299180</v>
      </c>
      <c r="F182" s="313">
        <v>3616880</v>
      </c>
      <c r="G182" s="313">
        <v>10328000</v>
      </c>
      <c r="H182" s="313">
        <v>0</v>
      </c>
      <c r="I182" s="313">
        <v>0</v>
      </c>
      <c r="J182" s="313">
        <v>0</v>
      </c>
      <c r="K182" s="313">
        <v>5988080</v>
      </c>
      <c r="L182" s="313">
        <v>3774970</v>
      </c>
      <c r="M182" s="313">
        <v>3667780</v>
      </c>
      <c r="N182" s="313">
        <v>5245000</v>
      </c>
      <c r="O182" s="313">
        <v>4306140</v>
      </c>
      <c r="P182" s="313">
        <v>2453030</v>
      </c>
      <c r="Q182" s="313">
        <v>1836490</v>
      </c>
      <c r="R182" s="313">
        <v>2030000</v>
      </c>
      <c r="S182" s="313">
        <v>1637150</v>
      </c>
      <c r="T182" s="313">
        <v>622770</v>
      </c>
      <c r="U182" s="313">
        <v>1087500</v>
      </c>
      <c r="V182" s="313">
        <v>8493620</v>
      </c>
      <c r="W182" s="313">
        <v>2130000</v>
      </c>
      <c r="X182" s="313">
        <v>2288189.1948066317</v>
      </c>
      <c r="Y182" s="313">
        <v>1770700</v>
      </c>
      <c r="Z182" s="313">
        <v>7231920</v>
      </c>
      <c r="AA182" s="313">
        <v>4244710</v>
      </c>
      <c r="AB182" s="313">
        <v>3314496.4075628631</v>
      </c>
      <c r="AC182" s="313">
        <v>3314496.4075628631</v>
      </c>
      <c r="AD182" s="313">
        <v>2590230</v>
      </c>
      <c r="AE182" s="313">
        <v>103740</v>
      </c>
      <c r="AF182" s="313">
        <v>1219240</v>
      </c>
      <c r="AG182" s="313">
        <v>3450810</v>
      </c>
      <c r="AH182" s="313">
        <v>760000</v>
      </c>
      <c r="AI182" s="313">
        <v>3404000</v>
      </c>
      <c r="AJ182" s="313">
        <v>2585000</v>
      </c>
      <c r="AK182" s="313">
        <v>1251400</v>
      </c>
      <c r="AL182" s="313">
        <v>1952910</v>
      </c>
      <c r="AM182" s="313">
        <v>1499710</v>
      </c>
      <c r="AN182" s="313">
        <v>1027900</v>
      </c>
      <c r="AO182" s="313">
        <v>4344437.029454913</v>
      </c>
      <c r="AP182" s="313">
        <v>2259775</v>
      </c>
      <c r="AQ182" s="313">
        <v>327938</v>
      </c>
      <c r="AR182" s="313">
        <v>1531740</v>
      </c>
      <c r="AS182" s="313">
        <v>453230.51711358153</v>
      </c>
      <c r="AT182" s="313">
        <v>2175746</v>
      </c>
      <c r="AU182" s="313">
        <v>992220</v>
      </c>
      <c r="AV182" s="313">
        <v>2003660</v>
      </c>
      <c r="AW182" s="313">
        <v>0</v>
      </c>
      <c r="AX182" s="313">
        <v>2970020</v>
      </c>
      <c r="AY182" s="313">
        <v>3273950.02174873</v>
      </c>
      <c r="AZ182" s="313">
        <v>2981000</v>
      </c>
      <c r="BA182" s="313">
        <v>9230000</v>
      </c>
      <c r="BB182" s="313">
        <v>1312920</v>
      </c>
      <c r="BC182" s="313">
        <v>1223740</v>
      </c>
      <c r="BD182" s="313">
        <v>1916260</v>
      </c>
      <c r="BE182" s="313">
        <v>0</v>
      </c>
      <c r="BF182" s="313">
        <v>2020000</v>
      </c>
      <c r="BG182" s="313">
        <v>2499000</v>
      </c>
      <c r="BH182" s="313">
        <v>3075110</v>
      </c>
      <c r="BI182" s="313">
        <v>1270000</v>
      </c>
      <c r="BJ182" s="313">
        <v>2734460</v>
      </c>
      <c r="BK182" s="313">
        <v>100000</v>
      </c>
      <c r="BL182" s="313">
        <v>455140</v>
      </c>
      <c r="BM182" s="313">
        <v>1464830</v>
      </c>
      <c r="BN182" s="313">
        <v>1641100</v>
      </c>
      <c r="BO182" s="313">
        <v>979329.81121639954</v>
      </c>
      <c r="BP182" s="313">
        <v>4652080</v>
      </c>
      <c r="BQ182" s="313">
        <v>0</v>
      </c>
      <c r="BR182" s="313">
        <v>1013020</v>
      </c>
      <c r="BS182" s="313">
        <v>1240691.5513407446</v>
      </c>
      <c r="BT182" s="313">
        <v>914160</v>
      </c>
      <c r="BU182" s="313">
        <v>3939338</v>
      </c>
      <c r="BV182" s="313">
        <v>1177910</v>
      </c>
      <c r="BW182" s="313">
        <v>532680</v>
      </c>
      <c r="BX182" s="313">
        <v>4758696.5360793145</v>
      </c>
      <c r="BY182" s="313">
        <v>1520140</v>
      </c>
      <c r="BZ182" s="313">
        <v>324150</v>
      </c>
      <c r="CA182" s="313">
        <v>0</v>
      </c>
      <c r="CB182" s="313">
        <v>532263</v>
      </c>
      <c r="CC182" s="313">
        <v>2238060</v>
      </c>
      <c r="CD182" s="313">
        <v>637848.21685573971</v>
      </c>
      <c r="CE182" s="313">
        <v>9715050</v>
      </c>
      <c r="CF182" s="313">
        <v>4453620</v>
      </c>
      <c r="CG182" s="313">
        <v>257160</v>
      </c>
      <c r="CH182" s="313">
        <v>0</v>
      </c>
      <c r="CI182" s="313">
        <v>0</v>
      </c>
      <c r="CJ182" s="313">
        <v>3854200</v>
      </c>
      <c r="CK182" s="313">
        <v>4466000</v>
      </c>
      <c r="CL182" s="313">
        <v>0</v>
      </c>
      <c r="CM182" s="313">
        <v>6012340</v>
      </c>
      <c r="CN182" s="313">
        <v>1281343.6395683112</v>
      </c>
      <c r="CO182" s="313">
        <v>1214500</v>
      </c>
      <c r="CP182" s="313">
        <v>1238425.46</v>
      </c>
      <c r="CQ182" s="313">
        <v>5515040</v>
      </c>
      <c r="CR182" s="313">
        <v>2331090</v>
      </c>
      <c r="CS182" s="313">
        <v>0</v>
      </c>
      <c r="CT182" s="313">
        <v>0</v>
      </c>
      <c r="CU182" s="313">
        <v>1875000</v>
      </c>
      <c r="CV182" s="313">
        <v>5644990</v>
      </c>
      <c r="CW182" s="313">
        <v>400000</v>
      </c>
      <c r="CX182" s="313">
        <v>3457000</v>
      </c>
      <c r="CY182" s="313">
        <v>2881080</v>
      </c>
      <c r="CZ182" s="313">
        <v>371000</v>
      </c>
      <c r="DA182" s="313">
        <v>7650000</v>
      </c>
      <c r="DB182" s="313">
        <v>739608.49113436451</v>
      </c>
      <c r="DC182" s="313">
        <v>1707290</v>
      </c>
      <c r="DD182" s="313">
        <v>0</v>
      </c>
      <c r="DE182" s="313">
        <v>1595400</v>
      </c>
      <c r="DF182" s="313">
        <v>4660760</v>
      </c>
      <c r="DG182" s="313">
        <v>802940</v>
      </c>
      <c r="DH182" s="313">
        <v>908240</v>
      </c>
      <c r="DI182" s="313">
        <v>0</v>
      </c>
      <c r="DJ182" s="313">
        <v>0</v>
      </c>
      <c r="DK182" s="313">
        <v>0</v>
      </c>
      <c r="DL182" s="313">
        <v>3817224</v>
      </c>
      <c r="DM182" s="313">
        <v>1905500</v>
      </c>
      <c r="DN182" s="313">
        <v>3604670</v>
      </c>
      <c r="DO182" s="313">
        <v>1402300</v>
      </c>
      <c r="DP182" s="313">
        <v>4045360</v>
      </c>
      <c r="DQ182" s="313">
        <v>3939650</v>
      </c>
      <c r="DR182" s="313">
        <v>4423030</v>
      </c>
      <c r="DS182" s="313">
        <v>878000</v>
      </c>
      <c r="DT182" s="313">
        <v>3015000</v>
      </c>
      <c r="DU182" s="313">
        <v>0</v>
      </c>
      <c r="DV182" s="313">
        <v>4423330</v>
      </c>
      <c r="DW182" s="313">
        <v>0</v>
      </c>
      <c r="DX182" s="313">
        <v>0</v>
      </c>
      <c r="DY182" s="313">
        <v>4581140</v>
      </c>
      <c r="DZ182" s="313">
        <v>723930</v>
      </c>
      <c r="EA182" s="313">
        <v>3739770.0411759862</v>
      </c>
      <c r="EB182" s="313">
        <v>4071610</v>
      </c>
      <c r="EC182" s="313">
        <v>3507640</v>
      </c>
      <c r="ED182" s="313">
        <v>3789860</v>
      </c>
      <c r="EE182" s="313">
        <v>610000</v>
      </c>
      <c r="EF182" s="313">
        <v>666000</v>
      </c>
      <c r="EG182" s="313">
        <v>425000</v>
      </c>
      <c r="EH182" s="313">
        <v>595000</v>
      </c>
      <c r="EI182" s="313">
        <v>1025000</v>
      </c>
      <c r="EJ182" s="313">
        <v>0</v>
      </c>
      <c r="EK182" s="313">
        <v>3773042</v>
      </c>
      <c r="EL182" s="313">
        <v>8896080</v>
      </c>
      <c r="EM182" s="313">
        <v>2765690</v>
      </c>
      <c r="EN182" s="313">
        <v>2526600</v>
      </c>
      <c r="EO182" s="313">
        <v>311820.34474238765</v>
      </c>
      <c r="EP182" s="313">
        <v>2970070</v>
      </c>
      <c r="EQ182" s="313">
        <v>1939351.606248023</v>
      </c>
      <c r="ER182" s="313">
        <v>6229000</v>
      </c>
      <c r="ES182" s="313">
        <v>2889370</v>
      </c>
      <c r="ET182" s="313">
        <v>901340</v>
      </c>
      <c r="EU182" s="313">
        <v>2056000</v>
      </c>
      <c r="EV182" s="313">
        <v>422810</v>
      </c>
      <c r="EW182" s="313">
        <v>2382920</v>
      </c>
      <c r="EX182" s="313">
        <v>5301310</v>
      </c>
      <c r="EY182" s="313">
        <v>1970840</v>
      </c>
      <c r="EZ182" s="313">
        <v>0</v>
      </c>
      <c r="FA182" s="313">
        <v>990000</v>
      </c>
      <c r="FB182" s="313">
        <v>19680</v>
      </c>
      <c r="FC182" s="313">
        <v>2871580</v>
      </c>
      <c r="FD182" s="313">
        <v>0</v>
      </c>
      <c r="FE182" s="313">
        <v>321050</v>
      </c>
      <c r="FF182" s="313">
        <v>1371670</v>
      </c>
      <c r="FG182" s="313">
        <v>5703200</v>
      </c>
      <c r="FH182" s="313">
        <v>5566890</v>
      </c>
      <c r="FI182" s="313">
        <v>7109810</v>
      </c>
      <c r="FJ182" s="313">
        <v>1722770</v>
      </c>
      <c r="FK182" s="313">
        <v>0</v>
      </c>
      <c r="FL182" s="313">
        <v>0</v>
      </c>
      <c r="FM182" s="313">
        <v>786110</v>
      </c>
      <c r="FN182" s="313">
        <v>6785610</v>
      </c>
      <c r="FO182" s="313">
        <v>1576360</v>
      </c>
      <c r="FP182" s="313">
        <v>11886890</v>
      </c>
      <c r="FQ182" s="313">
        <v>1912410</v>
      </c>
      <c r="FR182" s="313">
        <v>0</v>
      </c>
      <c r="FS182" s="313">
        <v>446220</v>
      </c>
      <c r="FT182" s="313">
        <v>2994220</v>
      </c>
      <c r="FU182" s="313">
        <v>431890</v>
      </c>
      <c r="FV182" s="313">
        <v>58340</v>
      </c>
      <c r="FW182" s="313">
        <v>183010</v>
      </c>
      <c r="FX182" s="313">
        <v>47320</v>
      </c>
      <c r="FY182" s="313">
        <v>31550</v>
      </c>
      <c r="FZ182" s="313">
        <v>2356960</v>
      </c>
      <c r="GA182" s="313">
        <v>208000</v>
      </c>
      <c r="GB182" s="313">
        <v>2052710</v>
      </c>
      <c r="GC182" s="313">
        <v>2062090</v>
      </c>
      <c r="GD182" s="313">
        <v>7525090</v>
      </c>
      <c r="GE182" s="313">
        <v>0</v>
      </c>
      <c r="GF182" s="313">
        <v>3737170</v>
      </c>
      <c r="GG182" s="313">
        <v>1051670</v>
      </c>
      <c r="GH182" s="313">
        <v>1054720</v>
      </c>
      <c r="GI182" s="313">
        <v>7336220</v>
      </c>
      <c r="GJ182" s="313">
        <v>1496270</v>
      </c>
      <c r="GK182" s="313">
        <v>526010</v>
      </c>
      <c r="GL182" s="313">
        <v>368290</v>
      </c>
      <c r="GM182" s="313">
        <v>555620</v>
      </c>
      <c r="GN182" s="313">
        <v>649380</v>
      </c>
      <c r="GO182" s="313">
        <v>4134750</v>
      </c>
      <c r="GP182" s="313">
        <v>148300</v>
      </c>
      <c r="GQ182" s="313">
        <v>0</v>
      </c>
      <c r="GR182" s="313">
        <v>253460</v>
      </c>
      <c r="GS182" s="313">
        <v>0</v>
      </c>
      <c r="GT182" s="313">
        <v>8281320</v>
      </c>
      <c r="GU182" s="313">
        <v>807440</v>
      </c>
      <c r="GV182" s="313">
        <v>4965130</v>
      </c>
      <c r="GW182" s="313">
        <v>386710</v>
      </c>
      <c r="GX182" s="313">
        <v>0</v>
      </c>
      <c r="GY182" s="313">
        <v>10402740</v>
      </c>
      <c r="GZ182" s="313">
        <v>0</v>
      </c>
      <c r="HA182" s="313">
        <v>4911270</v>
      </c>
      <c r="HB182" s="313">
        <v>1961410</v>
      </c>
      <c r="HC182" s="313">
        <v>5172140</v>
      </c>
      <c r="HD182" s="313">
        <v>1799560</v>
      </c>
      <c r="HE182" s="313">
        <v>4945200</v>
      </c>
      <c r="HF182" s="313">
        <v>546300</v>
      </c>
      <c r="HG182" s="313">
        <v>263560</v>
      </c>
      <c r="HH182" s="313">
        <v>1774740</v>
      </c>
      <c r="HI182" s="313">
        <v>1108650</v>
      </c>
      <c r="HJ182" s="313">
        <v>0</v>
      </c>
      <c r="HK182" s="313">
        <v>0</v>
      </c>
      <c r="HL182" s="313">
        <v>25331490</v>
      </c>
      <c r="HM182" s="313">
        <v>18062110</v>
      </c>
      <c r="HN182" s="313">
        <v>0</v>
      </c>
      <c r="HO182" s="313">
        <v>0</v>
      </c>
      <c r="HP182" s="313">
        <v>19303220</v>
      </c>
      <c r="HQ182" s="313">
        <v>687360</v>
      </c>
      <c r="HR182" s="313">
        <v>24026010</v>
      </c>
      <c r="HS182" s="313">
        <v>4430600</v>
      </c>
      <c r="HT182" s="313">
        <v>15937690</v>
      </c>
      <c r="HU182" s="313">
        <v>15474990</v>
      </c>
      <c r="HV182" s="313">
        <v>12916130</v>
      </c>
      <c r="HW182" s="313">
        <v>3337990</v>
      </c>
      <c r="HX182" s="313">
        <v>13208120</v>
      </c>
      <c r="HY182" s="313">
        <v>14405760</v>
      </c>
      <c r="HZ182" s="313">
        <v>6797940</v>
      </c>
      <c r="IA182" s="313">
        <v>6429490</v>
      </c>
      <c r="IB182" s="313">
        <v>6305180</v>
      </c>
      <c r="IC182" s="313">
        <v>7418220</v>
      </c>
      <c r="ID182" s="313">
        <v>6685280</v>
      </c>
      <c r="IE182" s="313">
        <v>13033890</v>
      </c>
      <c r="IF182" s="313">
        <v>12847830</v>
      </c>
      <c r="IG182" s="313">
        <v>3089240</v>
      </c>
      <c r="IH182" s="313">
        <v>1754310</v>
      </c>
      <c r="II182" s="313">
        <v>15058470</v>
      </c>
      <c r="IJ182" s="313">
        <v>1090180</v>
      </c>
      <c r="IK182" s="313">
        <v>150000</v>
      </c>
      <c r="IL182" s="313">
        <v>7391660</v>
      </c>
      <c r="IM182" s="313">
        <v>530840</v>
      </c>
      <c r="IN182" s="313">
        <v>6957000</v>
      </c>
      <c r="IO182" s="313">
        <v>2174450</v>
      </c>
      <c r="IP182" s="313">
        <v>15916870</v>
      </c>
      <c r="IQ182" s="313">
        <v>15354810</v>
      </c>
      <c r="IR182" s="313">
        <v>661220</v>
      </c>
      <c r="IS182" s="313">
        <v>38358140</v>
      </c>
      <c r="IT182" s="313">
        <v>8363390</v>
      </c>
      <c r="IU182" s="313">
        <v>2009010</v>
      </c>
      <c r="IV182" s="313">
        <v>5685100</v>
      </c>
      <c r="IW182" s="313">
        <v>11119520</v>
      </c>
      <c r="IX182" s="313">
        <v>1125730</v>
      </c>
      <c r="IY182" s="313">
        <v>3266100</v>
      </c>
      <c r="IZ182" s="313">
        <v>15781490</v>
      </c>
      <c r="JA182" s="313">
        <v>2298510</v>
      </c>
      <c r="JB182" s="313">
        <v>2067000</v>
      </c>
      <c r="JC182" s="313">
        <v>1625000</v>
      </c>
      <c r="JD182" s="313">
        <v>3000000</v>
      </c>
      <c r="JE182" s="313">
        <v>453690</v>
      </c>
      <c r="JF182" s="313">
        <v>25423010</v>
      </c>
      <c r="JG182" s="313">
        <v>22851610</v>
      </c>
      <c r="JH182" s="313">
        <v>868740</v>
      </c>
      <c r="JI182" s="313">
        <v>947823794.869048</v>
      </c>
      <c r="JL182" s="263">
        <v>24913600</v>
      </c>
      <c r="JM182" s="263">
        <v>333151124.869048</v>
      </c>
      <c r="JN182" s="263">
        <v>148694680</v>
      </c>
      <c r="JO182" s="263">
        <v>441064390</v>
      </c>
      <c r="JP182" s="263">
        <v>947823794.869048</v>
      </c>
    </row>
    <row r="183" spans="1:276" x14ac:dyDescent="0.25">
      <c r="C183" s="314">
        <f>C155-C182</f>
        <v>0</v>
      </c>
      <c r="D183" s="314">
        <f t="shared" ref="D183:BP183" si="972">D155-D182</f>
        <v>0</v>
      </c>
      <c r="E183" s="314">
        <f t="shared" si="972"/>
        <v>0</v>
      </c>
      <c r="F183" s="314">
        <f t="shared" si="972"/>
        <v>0</v>
      </c>
      <c r="G183" s="314">
        <f t="shared" si="972"/>
        <v>0</v>
      </c>
      <c r="H183" s="314">
        <f t="shared" si="972"/>
        <v>0</v>
      </c>
      <c r="I183" s="314">
        <f t="shared" si="972"/>
        <v>0</v>
      </c>
      <c r="J183" s="314">
        <f t="shared" si="972"/>
        <v>0</v>
      </c>
      <c r="K183" s="314">
        <f t="shared" si="972"/>
        <v>0</v>
      </c>
      <c r="L183" s="314">
        <f t="shared" si="972"/>
        <v>0</v>
      </c>
      <c r="M183" s="314">
        <f t="shared" si="972"/>
        <v>0</v>
      </c>
      <c r="N183" s="314">
        <f t="shared" si="972"/>
        <v>0</v>
      </c>
      <c r="O183" s="314">
        <f t="shared" si="972"/>
        <v>0</v>
      </c>
      <c r="P183" s="314">
        <f t="shared" si="972"/>
        <v>0</v>
      </c>
      <c r="Q183" s="314">
        <f t="shared" si="972"/>
        <v>0</v>
      </c>
      <c r="R183" s="314">
        <f t="shared" si="972"/>
        <v>0</v>
      </c>
      <c r="S183" s="314">
        <f t="shared" si="972"/>
        <v>0</v>
      </c>
      <c r="T183" s="314">
        <f t="shared" si="972"/>
        <v>0</v>
      </c>
      <c r="U183" s="314">
        <f t="shared" si="972"/>
        <v>0</v>
      </c>
      <c r="V183" s="314">
        <f t="shared" si="972"/>
        <v>0</v>
      </c>
      <c r="W183" s="314">
        <f t="shared" si="972"/>
        <v>0</v>
      </c>
      <c r="X183" s="314">
        <f t="shared" si="972"/>
        <v>0.80519336834549904</v>
      </c>
      <c r="Y183" s="314">
        <f t="shared" si="972"/>
        <v>0</v>
      </c>
      <c r="Z183" s="314">
        <f t="shared" si="972"/>
        <v>0</v>
      </c>
      <c r="AA183" s="314">
        <f t="shared" si="972"/>
        <v>0</v>
      </c>
      <c r="AB183" s="314">
        <f t="shared" si="972"/>
        <v>3.5924371369183064</v>
      </c>
      <c r="AC183" s="314">
        <f t="shared" ref="AC183" si="973">AC155-AC182</f>
        <v>-2674496.4075628631</v>
      </c>
      <c r="AD183" s="314">
        <f t="shared" si="972"/>
        <v>0</v>
      </c>
      <c r="AE183" s="314">
        <f t="shared" si="972"/>
        <v>0</v>
      </c>
      <c r="AF183" s="314">
        <f t="shared" si="972"/>
        <v>0</v>
      </c>
      <c r="AG183" s="314">
        <f t="shared" si="972"/>
        <v>0</v>
      </c>
      <c r="AH183" s="314">
        <f t="shared" si="972"/>
        <v>0</v>
      </c>
      <c r="AI183" s="314">
        <f t="shared" si="972"/>
        <v>0</v>
      </c>
      <c r="AJ183" s="314">
        <f t="shared" si="972"/>
        <v>0</v>
      </c>
      <c r="AK183" s="314">
        <f t="shared" si="972"/>
        <v>0</v>
      </c>
      <c r="AL183" s="314">
        <f t="shared" si="972"/>
        <v>0</v>
      </c>
      <c r="AM183" s="314">
        <f t="shared" si="972"/>
        <v>0</v>
      </c>
      <c r="AN183" s="314">
        <f t="shared" si="972"/>
        <v>0</v>
      </c>
      <c r="AO183" s="314">
        <f t="shared" si="972"/>
        <v>2.9705450870096684</v>
      </c>
      <c r="AP183" s="314">
        <f t="shared" si="972"/>
        <v>-39775</v>
      </c>
      <c r="AQ183" s="314">
        <f t="shared" si="972"/>
        <v>2</v>
      </c>
      <c r="AR183" s="314">
        <f t="shared" si="972"/>
        <v>0</v>
      </c>
      <c r="AS183" s="314">
        <f t="shared" si="972"/>
        <v>-0.51711358153261244</v>
      </c>
      <c r="AT183" s="314">
        <f t="shared" si="972"/>
        <v>4</v>
      </c>
      <c r="AU183" s="314">
        <f t="shared" si="972"/>
        <v>0</v>
      </c>
      <c r="AV183" s="314">
        <f t="shared" si="972"/>
        <v>0</v>
      </c>
      <c r="AW183" s="314">
        <f t="shared" si="972"/>
        <v>0</v>
      </c>
      <c r="AX183" s="314">
        <f t="shared" si="972"/>
        <v>0</v>
      </c>
      <c r="AY183" s="314">
        <f t="shared" si="972"/>
        <v>-2.1748729981482029E-2</v>
      </c>
      <c r="AZ183" s="314">
        <f t="shared" si="972"/>
        <v>0</v>
      </c>
      <c r="BA183" s="314">
        <f t="shared" si="972"/>
        <v>0</v>
      </c>
      <c r="BB183" s="314">
        <f t="shared" si="972"/>
        <v>0</v>
      </c>
      <c r="BC183" s="314">
        <f t="shared" si="972"/>
        <v>0</v>
      </c>
      <c r="BD183" s="314">
        <f t="shared" si="972"/>
        <v>0</v>
      </c>
      <c r="BE183" s="314">
        <f t="shared" si="972"/>
        <v>0</v>
      </c>
      <c r="BF183" s="314">
        <f t="shared" si="972"/>
        <v>0</v>
      </c>
      <c r="BG183" s="314">
        <f t="shared" si="972"/>
        <v>0</v>
      </c>
      <c r="BH183" s="314">
        <f t="shared" si="972"/>
        <v>0</v>
      </c>
      <c r="BI183" s="314">
        <f t="shared" si="972"/>
        <v>0</v>
      </c>
      <c r="BJ183" s="314">
        <f t="shared" si="972"/>
        <v>0</v>
      </c>
      <c r="BK183" s="314">
        <f t="shared" si="972"/>
        <v>0</v>
      </c>
      <c r="BL183" s="314">
        <f t="shared" si="972"/>
        <v>0</v>
      </c>
      <c r="BM183" s="314">
        <f t="shared" si="972"/>
        <v>-10</v>
      </c>
      <c r="BN183" s="314">
        <f t="shared" si="972"/>
        <v>0</v>
      </c>
      <c r="BO183" s="314">
        <f t="shared" si="972"/>
        <v>0.18878360046073794</v>
      </c>
      <c r="BP183" s="314">
        <f t="shared" si="972"/>
        <v>0</v>
      </c>
      <c r="BQ183" s="314">
        <f t="shared" ref="BQ183:EB183" si="974">BQ155-BQ182</f>
        <v>0</v>
      </c>
      <c r="BR183" s="314">
        <f t="shared" si="974"/>
        <v>0</v>
      </c>
      <c r="BS183" s="314">
        <f t="shared" si="974"/>
        <v>47208.448659255402</v>
      </c>
      <c r="BT183" s="314">
        <f t="shared" si="974"/>
        <v>0</v>
      </c>
      <c r="BU183" s="314">
        <f t="shared" si="974"/>
        <v>2</v>
      </c>
      <c r="BV183" s="314">
        <f t="shared" si="974"/>
        <v>0</v>
      </c>
      <c r="BW183" s="314">
        <f t="shared" si="974"/>
        <v>0</v>
      </c>
      <c r="BX183" s="314">
        <f t="shared" si="974"/>
        <v>3.4639206854626536</v>
      </c>
      <c r="BY183" s="314">
        <f t="shared" si="974"/>
        <v>0</v>
      </c>
      <c r="BZ183" s="314">
        <f t="shared" si="974"/>
        <v>0</v>
      </c>
      <c r="CA183" s="314">
        <f t="shared" si="974"/>
        <v>0</v>
      </c>
      <c r="CB183" s="314">
        <f t="shared" si="974"/>
        <v>-3</v>
      </c>
      <c r="CC183" s="314">
        <f t="shared" si="974"/>
        <v>0</v>
      </c>
      <c r="CD183" s="314">
        <f t="shared" si="974"/>
        <v>1.7831442602910101</v>
      </c>
      <c r="CE183" s="314">
        <f t="shared" si="974"/>
        <v>0</v>
      </c>
      <c r="CF183" s="314">
        <f t="shared" si="974"/>
        <v>0</v>
      </c>
      <c r="CG183" s="314">
        <f t="shared" si="974"/>
        <v>0</v>
      </c>
      <c r="CH183" s="314">
        <f t="shared" si="974"/>
        <v>0</v>
      </c>
      <c r="CI183" s="314">
        <f t="shared" si="974"/>
        <v>0</v>
      </c>
      <c r="CJ183" s="314">
        <f t="shared" si="974"/>
        <v>0</v>
      </c>
      <c r="CK183" s="314">
        <f t="shared" si="974"/>
        <v>0</v>
      </c>
      <c r="CL183" s="314">
        <f t="shared" si="974"/>
        <v>0</v>
      </c>
      <c r="CM183" s="314">
        <f t="shared" si="974"/>
        <v>0</v>
      </c>
      <c r="CN183" s="314">
        <f t="shared" si="974"/>
        <v>1236.3604316888377</v>
      </c>
      <c r="CO183" s="314">
        <f t="shared" si="974"/>
        <v>0</v>
      </c>
      <c r="CP183" s="314">
        <f t="shared" si="974"/>
        <v>4.5400000000372529</v>
      </c>
      <c r="CQ183" s="314">
        <f t="shared" si="974"/>
        <v>0</v>
      </c>
      <c r="CR183" s="314">
        <f t="shared" si="974"/>
        <v>0</v>
      </c>
      <c r="CS183" s="314">
        <f t="shared" si="974"/>
        <v>0</v>
      </c>
      <c r="CT183" s="314">
        <f t="shared" si="974"/>
        <v>0</v>
      </c>
      <c r="CU183" s="314">
        <f t="shared" si="974"/>
        <v>0</v>
      </c>
      <c r="CV183" s="314">
        <f t="shared" si="974"/>
        <v>0</v>
      </c>
      <c r="CW183" s="314">
        <f t="shared" si="974"/>
        <v>0</v>
      </c>
      <c r="CX183" s="314">
        <f t="shared" si="974"/>
        <v>0</v>
      </c>
      <c r="CY183" s="314">
        <f t="shared" si="974"/>
        <v>0</v>
      </c>
      <c r="CZ183" s="314">
        <f t="shared" si="974"/>
        <v>0</v>
      </c>
      <c r="DA183" s="314">
        <f t="shared" si="974"/>
        <v>0</v>
      </c>
      <c r="DB183" s="314">
        <f t="shared" si="974"/>
        <v>1.5088656354928389</v>
      </c>
      <c r="DC183" s="314">
        <f t="shared" si="974"/>
        <v>197230</v>
      </c>
      <c r="DD183" s="314">
        <f t="shared" si="974"/>
        <v>0</v>
      </c>
      <c r="DE183" s="314">
        <f t="shared" si="974"/>
        <v>0</v>
      </c>
      <c r="DF183" s="314">
        <f t="shared" si="974"/>
        <v>0</v>
      </c>
      <c r="DG183" s="314">
        <f t="shared" si="974"/>
        <v>0</v>
      </c>
      <c r="DH183" s="314">
        <f t="shared" si="974"/>
        <v>0</v>
      </c>
      <c r="DI183" s="314">
        <f t="shared" si="974"/>
        <v>0</v>
      </c>
      <c r="DJ183" s="314">
        <f t="shared" si="974"/>
        <v>0</v>
      </c>
      <c r="DK183" s="314">
        <f t="shared" si="974"/>
        <v>0</v>
      </c>
      <c r="DL183" s="314">
        <f t="shared" si="974"/>
        <v>-4</v>
      </c>
      <c r="DM183" s="314">
        <f t="shared" si="974"/>
        <v>0</v>
      </c>
      <c r="DN183" s="314">
        <f t="shared" si="974"/>
        <v>0</v>
      </c>
      <c r="DO183" s="314">
        <f t="shared" si="974"/>
        <v>0</v>
      </c>
      <c r="DP183" s="314">
        <f t="shared" si="974"/>
        <v>0</v>
      </c>
      <c r="DQ183" s="314">
        <f t="shared" si="974"/>
        <v>0</v>
      </c>
      <c r="DR183" s="314">
        <f t="shared" si="974"/>
        <v>-10</v>
      </c>
      <c r="DS183" s="314">
        <f t="shared" si="974"/>
        <v>0</v>
      </c>
      <c r="DT183" s="314">
        <f t="shared" si="974"/>
        <v>0</v>
      </c>
      <c r="DU183" s="314">
        <f t="shared" si="974"/>
        <v>0</v>
      </c>
      <c r="DV183" s="314">
        <f t="shared" si="974"/>
        <v>0</v>
      </c>
      <c r="DW183" s="314">
        <f t="shared" si="974"/>
        <v>0</v>
      </c>
      <c r="DX183" s="314">
        <f t="shared" si="974"/>
        <v>0</v>
      </c>
      <c r="DY183" s="314">
        <f t="shared" si="974"/>
        <v>0</v>
      </c>
      <c r="DZ183" s="314">
        <f t="shared" si="974"/>
        <v>0</v>
      </c>
      <c r="EA183" s="314">
        <f t="shared" si="974"/>
        <v>155419.95882401383</v>
      </c>
      <c r="EB183" s="314">
        <f t="shared" si="974"/>
        <v>0</v>
      </c>
      <c r="EC183" s="314">
        <f t="shared" ref="EC183:GN183" si="975">EC155-EC182</f>
        <v>0</v>
      </c>
      <c r="ED183" s="314">
        <f t="shared" si="975"/>
        <v>0</v>
      </c>
      <c r="EE183" s="314">
        <f t="shared" si="975"/>
        <v>0</v>
      </c>
      <c r="EF183" s="314">
        <f t="shared" si="975"/>
        <v>0</v>
      </c>
      <c r="EG183" s="314">
        <f t="shared" si="975"/>
        <v>0</v>
      </c>
      <c r="EH183" s="314">
        <f t="shared" si="975"/>
        <v>0</v>
      </c>
      <c r="EI183" s="314">
        <f t="shared" si="975"/>
        <v>0</v>
      </c>
      <c r="EJ183" s="314">
        <f t="shared" si="975"/>
        <v>0</v>
      </c>
      <c r="EK183" s="314">
        <f t="shared" si="975"/>
        <v>-2</v>
      </c>
      <c r="EL183" s="314">
        <f t="shared" si="975"/>
        <v>0</v>
      </c>
      <c r="EM183" s="314">
        <f t="shared" si="975"/>
        <v>0</v>
      </c>
      <c r="EN183" s="314">
        <f t="shared" si="975"/>
        <v>0</v>
      </c>
      <c r="EO183" s="314">
        <f t="shared" si="975"/>
        <v>-0.34474238764960319</v>
      </c>
      <c r="EP183" s="314">
        <f t="shared" si="975"/>
        <v>-10</v>
      </c>
      <c r="EQ183" s="314">
        <f t="shared" si="975"/>
        <v>-1.6062480229884386</v>
      </c>
      <c r="ER183" s="314">
        <f t="shared" si="975"/>
        <v>0</v>
      </c>
      <c r="ES183" s="314">
        <f t="shared" si="975"/>
        <v>0</v>
      </c>
      <c r="ET183" s="314">
        <f t="shared" si="975"/>
        <v>0</v>
      </c>
      <c r="EU183" s="314">
        <f t="shared" si="975"/>
        <v>0</v>
      </c>
      <c r="EV183" s="314">
        <f t="shared" si="975"/>
        <v>20280</v>
      </c>
      <c r="EW183" s="314">
        <f t="shared" si="975"/>
        <v>122140</v>
      </c>
      <c r="EX183" s="314">
        <f t="shared" si="975"/>
        <v>273000</v>
      </c>
      <c r="EY183" s="314">
        <f t="shared" si="975"/>
        <v>88330</v>
      </c>
      <c r="EZ183" s="314">
        <f t="shared" si="975"/>
        <v>0</v>
      </c>
      <c r="FA183" s="314">
        <f t="shared" si="975"/>
        <v>0</v>
      </c>
      <c r="FB183" s="314">
        <f t="shared" si="975"/>
        <v>158130</v>
      </c>
      <c r="FC183" s="314">
        <f t="shared" si="975"/>
        <v>170620</v>
      </c>
      <c r="FD183" s="314">
        <f t="shared" si="975"/>
        <v>0</v>
      </c>
      <c r="FE183" s="314">
        <f t="shared" si="975"/>
        <v>22200</v>
      </c>
      <c r="FF183" s="314">
        <f t="shared" si="975"/>
        <v>69920</v>
      </c>
      <c r="FG183" s="314">
        <f t="shared" si="975"/>
        <v>0</v>
      </c>
      <c r="FH183" s="314">
        <f t="shared" si="975"/>
        <v>223720</v>
      </c>
      <c r="FI183" s="314">
        <f t="shared" si="975"/>
        <v>472580</v>
      </c>
      <c r="FJ183" s="314">
        <f t="shared" si="975"/>
        <v>131750</v>
      </c>
      <c r="FK183" s="314">
        <f t="shared" si="975"/>
        <v>117160</v>
      </c>
      <c r="FL183" s="314">
        <f t="shared" si="975"/>
        <v>289530</v>
      </c>
      <c r="FM183" s="314">
        <f t="shared" si="975"/>
        <v>156910</v>
      </c>
      <c r="FN183" s="314">
        <f t="shared" si="975"/>
        <v>217420</v>
      </c>
      <c r="FO183" s="314">
        <f t="shared" si="975"/>
        <v>78260</v>
      </c>
      <c r="FP183" s="314">
        <f t="shared" si="975"/>
        <v>464310</v>
      </c>
      <c r="FQ183" s="314">
        <f t="shared" si="975"/>
        <v>59870</v>
      </c>
      <c r="FR183" s="314">
        <f t="shared" si="975"/>
        <v>0</v>
      </c>
      <c r="FS183" s="314">
        <f t="shared" si="975"/>
        <v>17790</v>
      </c>
      <c r="FT183" s="314">
        <f t="shared" si="975"/>
        <v>261670</v>
      </c>
      <c r="FU183" s="314">
        <f t="shared" si="975"/>
        <v>33940</v>
      </c>
      <c r="FV183" s="314">
        <f t="shared" si="975"/>
        <v>500910</v>
      </c>
      <c r="FW183" s="314">
        <f t="shared" si="975"/>
        <v>754670</v>
      </c>
      <c r="FX183" s="314">
        <f t="shared" si="975"/>
        <v>337210</v>
      </c>
      <c r="FY183" s="314">
        <f t="shared" si="975"/>
        <v>168450</v>
      </c>
      <c r="FZ183" s="314">
        <f t="shared" si="975"/>
        <v>214190</v>
      </c>
      <c r="GA183" s="314">
        <f t="shared" si="975"/>
        <v>27090</v>
      </c>
      <c r="GB183" s="314">
        <f t="shared" si="975"/>
        <v>193250</v>
      </c>
      <c r="GC183" s="314">
        <f t="shared" si="975"/>
        <v>108990</v>
      </c>
      <c r="GD183" s="314">
        <f t="shared" si="975"/>
        <v>403850</v>
      </c>
      <c r="GE183" s="314">
        <f t="shared" si="975"/>
        <v>0</v>
      </c>
      <c r="GF183" s="314">
        <f t="shared" si="975"/>
        <v>144410</v>
      </c>
      <c r="GG183" s="314">
        <f t="shared" si="975"/>
        <v>105750</v>
      </c>
      <c r="GH183" s="314">
        <f t="shared" si="975"/>
        <v>-10</v>
      </c>
      <c r="GI183" s="314">
        <f t="shared" si="975"/>
        <v>418180</v>
      </c>
      <c r="GJ183" s="314">
        <f t="shared" si="975"/>
        <v>342930</v>
      </c>
      <c r="GK183" s="314">
        <f t="shared" si="975"/>
        <v>73990</v>
      </c>
      <c r="GL183" s="314">
        <f t="shared" si="975"/>
        <v>101660</v>
      </c>
      <c r="GM183" s="314">
        <f t="shared" si="975"/>
        <v>136920</v>
      </c>
      <c r="GN183" s="314">
        <f t="shared" si="975"/>
        <v>139390</v>
      </c>
      <c r="GO183" s="314">
        <f t="shared" ref="GO183:IZ183" si="976">GO155-GO182</f>
        <v>334050</v>
      </c>
      <c r="GP183" s="314">
        <f t="shared" si="976"/>
        <v>336160</v>
      </c>
      <c r="GQ183" s="314">
        <f t="shared" si="976"/>
        <v>309590</v>
      </c>
      <c r="GR183" s="314">
        <f t="shared" si="976"/>
        <v>356540</v>
      </c>
      <c r="GS183" s="314">
        <f t="shared" si="976"/>
        <v>0</v>
      </c>
      <c r="GT183" s="314">
        <f t="shared" si="976"/>
        <v>403470</v>
      </c>
      <c r="GU183" s="314">
        <f t="shared" si="976"/>
        <v>0</v>
      </c>
      <c r="GV183" s="314">
        <f t="shared" si="976"/>
        <v>34870</v>
      </c>
      <c r="GW183" s="314">
        <f t="shared" si="976"/>
        <v>555010</v>
      </c>
      <c r="GX183" s="314">
        <f t="shared" si="976"/>
        <v>150000</v>
      </c>
      <c r="GY183" s="314">
        <f t="shared" si="976"/>
        <v>766960</v>
      </c>
      <c r="GZ183" s="314">
        <f t="shared" si="976"/>
        <v>0</v>
      </c>
      <c r="HA183" s="314">
        <f t="shared" si="976"/>
        <v>288730</v>
      </c>
      <c r="HB183" s="314">
        <f t="shared" si="976"/>
        <v>280410</v>
      </c>
      <c r="HC183" s="314">
        <f t="shared" si="976"/>
        <v>362520</v>
      </c>
      <c r="HD183" s="314">
        <f t="shared" si="976"/>
        <v>108990</v>
      </c>
      <c r="HE183" s="314">
        <f t="shared" si="976"/>
        <v>0</v>
      </c>
      <c r="HF183" s="314">
        <f t="shared" si="976"/>
        <v>234620</v>
      </c>
      <c r="HG183" s="314">
        <f t="shared" si="976"/>
        <v>220200</v>
      </c>
      <c r="HH183" s="314">
        <f t="shared" si="976"/>
        <v>95840</v>
      </c>
      <c r="HI183" s="314">
        <f t="shared" si="976"/>
        <v>135290</v>
      </c>
      <c r="HJ183" s="314">
        <f t="shared" si="976"/>
        <v>0</v>
      </c>
      <c r="HK183" s="314">
        <f t="shared" si="976"/>
        <v>0</v>
      </c>
      <c r="HL183" s="314">
        <f t="shared" si="976"/>
        <v>0</v>
      </c>
      <c r="HM183" s="314">
        <f t="shared" si="976"/>
        <v>0</v>
      </c>
      <c r="HN183" s="314">
        <f t="shared" si="976"/>
        <v>0</v>
      </c>
      <c r="HO183" s="314">
        <f t="shared" si="976"/>
        <v>0</v>
      </c>
      <c r="HP183" s="314">
        <f t="shared" si="976"/>
        <v>0</v>
      </c>
      <c r="HQ183" s="314">
        <f t="shared" si="976"/>
        <v>0</v>
      </c>
      <c r="HR183" s="314">
        <f t="shared" si="976"/>
        <v>0</v>
      </c>
      <c r="HS183" s="314">
        <f t="shared" si="976"/>
        <v>0</v>
      </c>
      <c r="HT183" s="314">
        <f t="shared" si="976"/>
        <v>0</v>
      </c>
      <c r="HU183" s="314">
        <f t="shared" si="976"/>
        <v>0</v>
      </c>
      <c r="HV183" s="314">
        <f t="shared" si="976"/>
        <v>0</v>
      </c>
      <c r="HW183" s="314">
        <f t="shared" si="976"/>
        <v>0</v>
      </c>
      <c r="HX183" s="314">
        <f t="shared" si="976"/>
        <v>0</v>
      </c>
      <c r="HY183" s="314">
        <f t="shared" si="976"/>
        <v>0</v>
      </c>
      <c r="HZ183" s="314">
        <f t="shared" si="976"/>
        <v>0</v>
      </c>
      <c r="IA183" s="314">
        <f t="shared" si="976"/>
        <v>0</v>
      </c>
      <c r="IB183" s="314">
        <f t="shared" si="976"/>
        <v>-40000</v>
      </c>
      <c r="IC183" s="314">
        <f t="shared" si="976"/>
        <v>0</v>
      </c>
      <c r="ID183" s="314">
        <f t="shared" si="976"/>
        <v>0</v>
      </c>
      <c r="IE183" s="314">
        <f t="shared" si="976"/>
        <v>0</v>
      </c>
      <c r="IF183" s="314">
        <f t="shared" si="976"/>
        <v>0</v>
      </c>
      <c r="IG183" s="314">
        <f t="shared" si="976"/>
        <v>0</v>
      </c>
      <c r="IH183" s="314">
        <f t="shared" si="976"/>
        <v>0</v>
      </c>
      <c r="II183" s="314">
        <f t="shared" si="976"/>
        <v>0</v>
      </c>
      <c r="IJ183" s="314">
        <f t="shared" si="976"/>
        <v>0</v>
      </c>
      <c r="IK183" s="314">
        <f t="shared" si="976"/>
        <v>0</v>
      </c>
      <c r="IL183" s="314">
        <f t="shared" si="976"/>
        <v>-100000</v>
      </c>
      <c r="IM183" s="314">
        <f t="shared" si="976"/>
        <v>0</v>
      </c>
      <c r="IN183" s="314">
        <f t="shared" si="976"/>
        <v>0</v>
      </c>
      <c r="IO183" s="314">
        <f t="shared" si="976"/>
        <v>0</v>
      </c>
      <c r="IP183" s="314">
        <f t="shared" si="976"/>
        <v>0</v>
      </c>
      <c r="IQ183" s="314">
        <f t="shared" si="976"/>
        <v>0</v>
      </c>
      <c r="IR183" s="314">
        <f t="shared" si="976"/>
        <v>0</v>
      </c>
      <c r="IS183" s="314">
        <f t="shared" si="976"/>
        <v>-200000</v>
      </c>
      <c r="IT183" s="314">
        <f t="shared" si="976"/>
        <v>0</v>
      </c>
      <c r="IU183" s="314">
        <f t="shared" si="976"/>
        <v>0</v>
      </c>
      <c r="IV183" s="314">
        <f t="shared" si="976"/>
        <v>0</v>
      </c>
      <c r="IW183" s="314">
        <f t="shared" si="976"/>
        <v>0</v>
      </c>
      <c r="IX183" s="314">
        <f t="shared" si="976"/>
        <v>0</v>
      </c>
      <c r="IY183" s="314">
        <f t="shared" si="976"/>
        <v>0</v>
      </c>
      <c r="IZ183" s="314">
        <f t="shared" si="976"/>
        <v>-100000</v>
      </c>
      <c r="JA183" s="314">
        <f t="shared" ref="JA183:JH183" si="977">JA155-JA182</f>
        <v>0</v>
      </c>
      <c r="JB183" s="314">
        <f t="shared" si="977"/>
        <v>0</v>
      </c>
      <c r="JC183" s="314">
        <f t="shared" si="977"/>
        <v>0</v>
      </c>
      <c r="JD183" s="314">
        <f t="shared" si="977"/>
        <v>0</v>
      </c>
      <c r="JE183" s="314">
        <f t="shared" si="977"/>
        <v>0</v>
      </c>
      <c r="JF183" s="314">
        <f t="shared" si="977"/>
        <v>-200000</v>
      </c>
      <c r="JG183" s="314">
        <f t="shared" si="977"/>
        <v>38969</v>
      </c>
      <c r="JH183" s="314">
        <f t="shared" si="977"/>
        <v>0</v>
      </c>
    </row>
    <row r="185" spans="1:276" x14ac:dyDescent="0.25">
      <c r="EW185" s="314">
        <f>EW101+(EW19*1600*1.34*12)</f>
        <v>2615754.1519999998</v>
      </c>
      <c r="EX185" s="314">
        <f>EX101+(EX19*1600*1.34*12)</f>
        <v>5828673.3600000003</v>
      </c>
      <c r="EY185" s="314">
        <f t="shared" ref="EY185:HI185" si="978">EY101+(EY19*1600*1.34*12)</f>
        <v>2151873.48</v>
      </c>
      <c r="EZ185" s="314">
        <f t="shared" si="978"/>
        <v>169214</v>
      </c>
      <c r="FA185" s="314">
        <f t="shared" si="978"/>
        <v>871905.12</v>
      </c>
      <c r="FB185" s="314">
        <f t="shared" si="978"/>
        <v>149023.07999999999</v>
      </c>
      <c r="FC185" s="314">
        <f t="shared" si="978"/>
        <v>3326043.2256</v>
      </c>
      <c r="FD185" s="314"/>
      <c r="FE185" s="314">
        <f t="shared" si="978"/>
        <v>292223.55839999998</v>
      </c>
      <c r="FF185" s="314">
        <f t="shared" si="978"/>
        <v>1225177.6000000001</v>
      </c>
      <c r="FG185" s="314">
        <f t="shared" si="978"/>
        <v>5198210</v>
      </c>
      <c r="FH185" s="314">
        <f t="shared" si="978"/>
        <v>6115749.216</v>
      </c>
      <c r="FI185" s="314">
        <f t="shared" si="978"/>
        <v>6087369.3039999995</v>
      </c>
      <c r="FJ185" s="314">
        <f t="shared" si="978"/>
        <v>1779724.4</v>
      </c>
      <c r="FK185" s="314">
        <f t="shared" si="978"/>
        <v>333308</v>
      </c>
      <c r="FL185" s="314">
        <f t="shared" si="978"/>
        <v>653218</v>
      </c>
      <c r="FM185" s="314">
        <f t="shared" si="978"/>
        <v>2924847.8</v>
      </c>
      <c r="FN185" s="314">
        <f t="shared" si="978"/>
        <v>6884324.2303999998</v>
      </c>
      <c r="FO185" s="314">
        <f t="shared" si="978"/>
        <v>1777789.6847999999</v>
      </c>
      <c r="FP185" s="314">
        <f t="shared" si="978"/>
        <v>12819657.631999999</v>
      </c>
      <c r="FQ185" s="314">
        <f t="shared" si="978"/>
        <v>1994325.4</v>
      </c>
      <c r="FR185" s="314">
        <f t="shared" si="978"/>
        <v>0</v>
      </c>
      <c r="FS185" s="314">
        <f t="shared" si="978"/>
        <v>486924.70079999999</v>
      </c>
      <c r="FT185" s="314">
        <f t="shared" si="978"/>
        <v>3180162</v>
      </c>
      <c r="FU185" s="314">
        <f t="shared" si="978"/>
        <v>457420.6</v>
      </c>
      <c r="FV185" s="314">
        <f t="shared" si="978"/>
        <v>695432.4</v>
      </c>
      <c r="FW185" s="314">
        <f t="shared" si="978"/>
        <v>1108928.6000000001</v>
      </c>
      <c r="FX185" s="314">
        <f t="shared" si="978"/>
        <v>416382</v>
      </c>
      <c r="FY185" s="314">
        <f t="shared" si="978"/>
        <v>240464.6</v>
      </c>
      <c r="FZ185" s="314">
        <f t="shared" si="978"/>
        <v>2972729.9359999998</v>
      </c>
      <c r="GA185" s="314">
        <f t="shared" si="978"/>
        <v>265116.4192</v>
      </c>
      <c r="GB185" s="314">
        <f t="shared" si="978"/>
        <v>2012201.92</v>
      </c>
      <c r="GC185" s="314">
        <f t="shared" si="978"/>
        <v>2359294.7599999998</v>
      </c>
      <c r="GD185" s="314">
        <f>GD101+(GD19*1600*1.34*12)</f>
        <v>7661241.1440000003</v>
      </c>
      <c r="GE185" s="314">
        <f t="shared" si="978"/>
        <v>1420982.952</v>
      </c>
      <c r="GF185" s="314">
        <f t="shared" si="978"/>
        <v>4022375.7519999999</v>
      </c>
      <c r="GG185" s="314">
        <f t="shared" si="978"/>
        <v>1353763.2848</v>
      </c>
      <c r="GH185" s="314">
        <f t="shared" si="978"/>
        <v>1140273.8784</v>
      </c>
      <c r="GI185" s="314">
        <f t="shared" si="978"/>
        <v>7460399.7264</v>
      </c>
      <c r="GJ185" s="314">
        <f t="shared" si="978"/>
        <v>1826371.4</v>
      </c>
      <c r="GK185" s="314">
        <f t="shared" si="978"/>
        <v>825000.4</v>
      </c>
      <c r="GL185" s="314">
        <f t="shared" si="978"/>
        <v>564672</v>
      </c>
      <c r="GM185" s="314">
        <f t="shared" si="978"/>
        <v>814344</v>
      </c>
      <c r="GN185" s="314">
        <f t="shared" si="978"/>
        <v>657144.80000000005</v>
      </c>
      <c r="GO185" s="314">
        <f t="shared" si="978"/>
        <v>3825965</v>
      </c>
      <c r="GP185" s="314">
        <f t="shared" si="978"/>
        <v>571726</v>
      </c>
      <c r="GQ185" s="314">
        <f t="shared" si="978"/>
        <v>823846</v>
      </c>
      <c r="GR185" s="314">
        <f t="shared" si="978"/>
        <v>780627.2</v>
      </c>
      <c r="GS185" s="314">
        <f t="shared" si="978"/>
        <v>217342</v>
      </c>
      <c r="GT185" s="314">
        <f t="shared" si="978"/>
        <v>9097171.2479999997</v>
      </c>
      <c r="GU185" s="314">
        <f t="shared" si="978"/>
        <v>820400.64480000001</v>
      </c>
      <c r="GV185" s="314">
        <f t="shared" si="978"/>
        <v>4959810</v>
      </c>
      <c r="GW185" s="314">
        <f t="shared" si="978"/>
        <v>1239556.6240000001</v>
      </c>
      <c r="GX185" s="314">
        <f t="shared" si="978"/>
        <v>182633.80000000002</v>
      </c>
      <c r="GY185" s="314">
        <f t="shared" si="978"/>
        <v>11754911.238399999</v>
      </c>
      <c r="GZ185" s="314">
        <f t="shared" si="978"/>
        <v>0</v>
      </c>
      <c r="HA185" s="314">
        <f t="shared" si="978"/>
        <v>5442498.8159999996</v>
      </c>
      <c r="HB185" s="314">
        <f t="shared" si="978"/>
        <v>2252959.392</v>
      </c>
      <c r="HC185" s="314">
        <f t="shared" si="978"/>
        <v>5580236.7231999999</v>
      </c>
      <c r="HD185" s="314">
        <f t="shared" si="978"/>
        <v>1584637.7280000001</v>
      </c>
      <c r="HE185" s="314">
        <f t="shared" si="978"/>
        <v>4804884.2240000004</v>
      </c>
      <c r="HF185" s="314">
        <f t="shared" si="978"/>
        <v>850909.98719999997</v>
      </c>
      <c r="HG185" s="314">
        <f t="shared" si="978"/>
        <v>569533</v>
      </c>
      <c r="HH185" s="314">
        <f t="shared" si="978"/>
        <v>1985778</v>
      </c>
      <c r="HI185" s="314">
        <f t="shared" si="978"/>
        <v>1741029.4000000001</v>
      </c>
      <c r="HJ185" s="314"/>
      <c r="HK185" s="314"/>
      <c r="HL185" s="314">
        <f t="shared" ref="HL185:JH185" si="979">HL101+(HL19*1600*1.34*12)</f>
        <v>38837065.16357474</v>
      </c>
      <c r="HM185" s="314">
        <f t="shared" si="979"/>
        <v>25917120.60557932</v>
      </c>
      <c r="HN185" s="314">
        <f t="shared" si="979"/>
        <v>862805.21538817161</v>
      </c>
      <c r="HO185" s="314">
        <f t="shared" si="979"/>
        <v>2953953.799457768</v>
      </c>
      <c r="HP185" s="314">
        <f t="shared" si="979"/>
        <v>28868874.576000001</v>
      </c>
      <c r="HQ185" s="314">
        <f t="shared" si="979"/>
        <v>1011489.780809634</v>
      </c>
      <c r="HR185" s="314">
        <f t="shared" si="979"/>
        <v>34840146.545565277</v>
      </c>
      <c r="HS185" s="314">
        <f t="shared" si="979"/>
        <v>5938216.1376250898</v>
      </c>
      <c r="HT185" s="314">
        <f t="shared" si="979"/>
        <v>23242885</v>
      </c>
      <c r="HU185" s="314">
        <f t="shared" si="979"/>
        <v>22417375.888</v>
      </c>
      <c r="HV185" s="314">
        <f t="shared" si="979"/>
        <v>17470949.464000002</v>
      </c>
      <c r="HW185" s="314">
        <f t="shared" si="979"/>
        <v>7257256.3211980797</v>
      </c>
      <c r="HX185" s="314">
        <f t="shared" si="979"/>
        <v>18875862.549201921</v>
      </c>
      <c r="HY185" s="314">
        <f t="shared" si="979"/>
        <v>21772353.897599999</v>
      </c>
      <c r="HZ185" s="314">
        <f t="shared" si="979"/>
        <v>9843803.4000000004</v>
      </c>
      <c r="IA185" s="314">
        <f t="shared" si="979"/>
        <v>9452242.1999999993</v>
      </c>
      <c r="IB185" s="314">
        <f t="shared" si="979"/>
        <v>8837606.5999999996</v>
      </c>
      <c r="IC185" s="314">
        <f t="shared" si="979"/>
        <v>11838425.734746631</v>
      </c>
      <c r="ID185" s="314">
        <f t="shared" si="979"/>
        <v>9751569.7372533698</v>
      </c>
      <c r="IE185" s="314">
        <f t="shared" si="979"/>
        <v>16716367.456</v>
      </c>
      <c r="IF185" s="314">
        <f t="shared" si="979"/>
        <v>20924224.98439464</v>
      </c>
      <c r="IG185" s="314">
        <f t="shared" si="979"/>
        <v>5446079.8012053594</v>
      </c>
      <c r="IH185" s="314">
        <f t="shared" si="979"/>
        <v>3121201.4690955011</v>
      </c>
      <c r="II185" s="314">
        <f t="shared" si="979"/>
        <v>21576540.953244202</v>
      </c>
      <c r="IJ185" s="314">
        <f t="shared" si="979"/>
        <v>1714684.0218407223</v>
      </c>
      <c r="IK185" s="314">
        <f t="shared" si="979"/>
        <v>3675839.7878195727</v>
      </c>
      <c r="IL185" s="314">
        <f t="shared" si="979"/>
        <v>9508246.4000000004</v>
      </c>
      <c r="IM185" s="314">
        <f t="shared" si="979"/>
        <v>718046.48282009515</v>
      </c>
      <c r="IN185" s="314">
        <f t="shared" si="979"/>
        <v>10517799.184810651</v>
      </c>
      <c r="IO185" s="314">
        <f t="shared" si="979"/>
        <v>3591303.2523692534</v>
      </c>
      <c r="IP185" s="314">
        <f t="shared" si="979"/>
        <v>23285237.112</v>
      </c>
      <c r="IQ185" s="314">
        <f t="shared" si="979"/>
        <v>23297828.138168726</v>
      </c>
      <c r="IR185" s="314">
        <f t="shared" si="979"/>
        <v>1041658.3338312713</v>
      </c>
      <c r="IS185" s="314">
        <f t="shared" si="979"/>
        <v>55417759.143568993</v>
      </c>
      <c r="IT185" s="314">
        <f t="shared" si="979"/>
        <v>12841759.752431003</v>
      </c>
      <c r="IU185" s="314">
        <f t="shared" si="979"/>
        <v>3280736.0458361362</v>
      </c>
      <c r="IV185" s="314">
        <f t="shared" si="979"/>
        <v>8833713.6188311577</v>
      </c>
      <c r="IW185" s="314">
        <f t="shared" si="979"/>
        <v>16411537.424701327</v>
      </c>
      <c r="IX185" s="314">
        <f t="shared" si="979"/>
        <v>1906057.2338313789</v>
      </c>
      <c r="IY185" s="314">
        <f t="shared" si="979"/>
        <v>8031321.5991565669</v>
      </c>
      <c r="IZ185" s="314">
        <f t="shared" si="979"/>
        <v>18991859.328843433</v>
      </c>
      <c r="JA185" s="314">
        <f t="shared" si="979"/>
        <v>3167078.13</v>
      </c>
      <c r="JB185" s="314">
        <f t="shared" si="979"/>
        <v>2974930.84</v>
      </c>
      <c r="JC185" s="314">
        <f t="shared" si="979"/>
        <v>2359340.65</v>
      </c>
      <c r="JD185" s="314"/>
      <c r="JE185" s="314">
        <f t="shared" si="979"/>
        <v>1183883.781859247</v>
      </c>
      <c r="JF185" s="314">
        <f t="shared" si="979"/>
        <v>31396044.066140749</v>
      </c>
      <c r="JG185" s="314">
        <f t="shared" si="979"/>
        <v>31601324.776000001</v>
      </c>
      <c r="JH185" s="314">
        <f t="shared" si="979"/>
        <v>921430.94400000002</v>
      </c>
    </row>
    <row r="186" spans="1:276" x14ac:dyDescent="0.25">
      <c r="EW186" s="314">
        <f>EW185-EW155</f>
        <v>110694.15199999977</v>
      </c>
      <c r="EX186" s="314">
        <f>EX185-EX155</f>
        <v>254363.36000000034</v>
      </c>
      <c r="EY186" s="314">
        <f t="shared" ref="EY186:HI186" si="980">EY185-EY155</f>
        <v>92703.479999999981</v>
      </c>
      <c r="EZ186" s="314">
        <f t="shared" si="980"/>
        <v>169214</v>
      </c>
      <c r="FA186" s="314"/>
      <c r="FB186" s="314">
        <f t="shared" si="980"/>
        <v>-28786.920000000013</v>
      </c>
      <c r="FC186" s="314">
        <f t="shared" si="980"/>
        <v>283843.22560000001</v>
      </c>
      <c r="FD186" s="314"/>
      <c r="FE186" s="314"/>
      <c r="FF186" s="314"/>
      <c r="FG186" s="314"/>
      <c r="FH186" s="314">
        <f t="shared" si="980"/>
        <v>325139.21600000001</v>
      </c>
      <c r="FI186" s="314"/>
      <c r="FJ186" s="314">
        <f t="shared" si="980"/>
        <v>-74795.600000000093</v>
      </c>
      <c r="FK186" s="314">
        <f t="shared" si="980"/>
        <v>216148</v>
      </c>
      <c r="FL186" s="314">
        <f t="shared" si="980"/>
        <v>363688</v>
      </c>
      <c r="FM186" s="314">
        <f t="shared" si="980"/>
        <v>1981827.7999999998</v>
      </c>
      <c r="FN186" s="314">
        <f t="shared" si="980"/>
        <v>-118705.76960000023</v>
      </c>
      <c r="FO186" s="314">
        <f t="shared" si="980"/>
        <v>123169.68479999993</v>
      </c>
      <c r="FP186" s="314">
        <f t="shared" si="980"/>
        <v>468457.63199999928</v>
      </c>
      <c r="FQ186" s="314">
        <f t="shared" si="980"/>
        <v>22045.399999999907</v>
      </c>
      <c r="FR186" s="314">
        <f t="shared" si="980"/>
        <v>0</v>
      </c>
      <c r="FS186" s="314">
        <f t="shared" si="980"/>
        <v>22914.700799999991</v>
      </c>
      <c r="FT186" s="314">
        <f t="shared" si="980"/>
        <v>-75728</v>
      </c>
      <c r="FU186" s="314">
        <f t="shared" si="980"/>
        <v>-8409.4000000000233</v>
      </c>
      <c r="FV186" s="314">
        <f t="shared" si="980"/>
        <v>136182.40000000002</v>
      </c>
      <c r="FW186" s="314">
        <f t="shared" si="980"/>
        <v>171248.60000000009</v>
      </c>
      <c r="FX186" s="314">
        <f t="shared" si="980"/>
        <v>31852</v>
      </c>
      <c r="FY186" s="314">
        <f t="shared" si="980"/>
        <v>40464.600000000006</v>
      </c>
      <c r="FZ186" s="314">
        <f t="shared" si="980"/>
        <v>401579.93599999975</v>
      </c>
      <c r="GA186" s="314">
        <f t="shared" si="980"/>
        <v>30026.419200000004</v>
      </c>
      <c r="GB186" s="314"/>
      <c r="GC186" s="314">
        <f t="shared" si="980"/>
        <v>188214.75999999978</v>
      </c>
      <c r="GD186" s="314">
        <f>GD185-GD155</f>
        <v>-267698.85599999968</v>
      </c>
      <c r="GE186" s="314"/>
      <c r="GF186" s="314">
        <f t="shared" si="980"/>
        <v>140795.75199999986</v>
      </c>
      <c r="GG186" s="314">
        <f t="shared" si="980"/>
        <v>196343.28480000002</v>
      </c>
      <c r="GH186" s="314">
        <f t="shared" si="980"/>
        <v>85563.878400000045</v>
      </c>
      <c r="GI186" s="314">
        <f t="shared" si="980"/>
        <v>-294000.27359999996</v>
      </c>
      <c r="GJ186" s="314">
        <f t="shared" si="980"/>
        <v>-12828.600000000093</v>
      </c>
      <c r="GK186" s="314">
        <f t="shared" si="980"/>
        <v>225000.40000000002</v>
      </c>
      <c r="GL186" s="314">
        <f t="shared" si="980"/>
        <v>94722</v>
      </c>
      <c r="GM186" s="314">
        <f t="shared" si="980"/>
        <v>121804</v>
      </c>
      <c r="GN186" s="314">
        <f t="shared" si="980"/>
        <v>-131625.19999999995</v>
      </c>
      <c r="GO186" s="314"/>
      <c r="GP186" s="314">
        <f t="shared" si="980"/>
        <v>87266</v>
      </c>
      <c r="GQ186" s="314">
        <f t="shared" si="980"/>
        <v>514256</v>
      </c>
      <c r="GR186" s="314">
        <f t="shared" si="980"/>
        <v>170627.19999999995</v>
      </c>
      <c r="GS186" s="314">
        <f t="shared" si="980"/>
        <v>217342</v>
      </c>
      <c r="GT186" s="314">
        <f t="shared" si="980"/>
        <v>412381.24799999967</v>
      </c>
      <c r="GU186" s="314">
        <f t="shared" si="980"/>
        <v>12960.644800000009</v>
      </c>
      <c r="GV186" s="314"/>
      <c r="GW186" s="314">
        <f t="shared" si="980"/>
        <v>297836.62400000007</v>
      </c>
      <c r="GX186" s="314">
        <f t="shared" si="980"/>
        <v>32633.800000000017</v>
      </c>
      <c r="GY186" s="314">
        <f t="shared" si="980"/>
        <v>585211.23839999922</v>
      </c>
      <c r="GZ186" s="314">
        <f t="shared" si="980"/>
        <v>0</v>
      </c>
      <c r="HA186" s="314">
        <f t="shared" si="980"/>
        <v>242498.81599999964</v>
      </c>
      <c r="HB186" s="314">
        <f t="shared" si="980"/>
        <v>11139.391999999993</v>
      </c>
      <c r="HC186" s="314">
        <f t="shared" si="980"/>
        <v>45576.723199999891</v>
      </c>
      <c r="HD186" s="314"/>
      <c r="HE186" s="314"/>
      <c r="HF186" s="314">
        <f t="shared" si="980"/>
        <v>69989.987199999974</v>
      </c>
      <c r="HG186" s="314">
        <f t="shared" si="980"/>
        <v>85773</v>
      </c>
      <c r="HH186" s="314">
        <f t="shared" si="980"/>
        <v>115198</v>
      </c>
      <c r="HI186" s="314">
        <f t="shared" si="980"/>
        <v>497089.40000000014</v>
      </c>
      <c r="HJ186" s="314"/>
      <c r="HK186" s="314"/>
      <c r="HL186" s="314">
        <f>HL185-(HL155+HL48)</f>
        <v>1220094.6022839621</v>
      </c>
      <c r="HM186" s="314">
        <f t="shared" ref="HM186:JH186" si="981">HM185-(HM155+HM48)</f>
        <v>915606.29057689756</v>
      </c>
      <c r="HN186" s="314">
        <f t="shared" si="981"/>
        <v>642050.75837044371</v>
      </c>
      <c r="HO186" s="314">
        <f t="shared" si="981"/>
        <v>2187593.1327686887</v>
      </c>
      <c r="HP186" s="314">
        <f t="shared" si="981"/>
        <v>1081654.5760000013</v>
      </c>
      <c r="HQ186" s="314">
        <f t="shared" si="981"/>
        <v>33446.723965114332</v>
      </c>
      <c r="HR186" s="314">
        <f t="shared" si="981"/>
        <v>506450.30829273164</v>
      </c>
      <c r="HS186" s="314"/>
      <c r="HT186" s="314">
        <f t="shared" si="981"/>
        <v>643195</v>
      </c>
      <c r="HU186" s="314">
        <f t="shared" si="981"/>
        <v>909385.88800000027</v>
      </c>
      <c r="HV186" s="314"/>
      <c r="HW186" s="314">
        <f t="shared" si="981"/>
        <v>2276716.9110626439</v>
      </c>
      <c r="HX186" s="314">
        <f t="shared" si="981"/>
        <v>-1862708.0406626426</v>
      </c>
      <c r="HY186" s="314">
        <f t="shared" si="981"/>
        <v>666593.89759999886</v>
      </c>
      <c r="HZ186" s="314">
        <f t="shared" si="981"/>
        <v>277863.40000000037</v>
      </c>
      <c r="IA186" s="314">
        <f t="shared" si="981"/>
        <v>344752.19999999925</v>
      </c>
      <c r="IB186" s="314"/>
      <c r="IC186" s="314">
        <f t="shared" si="981"/>
        <v>604714.27907595597</v>
      </c>
      <c r="ID186" s="314">
        <f t="shared" si="981"/>
        <v>495781.19292404689</v>
      </c>
      <c r="IE186" s="314">
        <f t="shared" si="981"/>
        <v>27477.456000000238</v>
      </c>
      <c r="IF186" s="314">
        <f t="shared" si="981"/>
        <v>414238.42541595548</v>
      </c>
      <c r="IG186" s="314"/>
      <c r="IH186" s="314">
        <f t="shared" si="981"/>
        <v>108311.4382447782</v>
      </c>
      <c r="II186" s="314">
        <f t="shared" si="981"/>
        <v>304678.70803403854</v>
      </c>
      <c r="IJ186" s="314"/>
      <c r="IK186" s="314">
        <f t="shared" si="981"/>
        <v>2447536.0421777344</v>
      </c>
      <c r="IL186" s="314"/>
      <c r="IM186" s="314">
        <f t="shared" si="981"/>
        <v>16207.538876405102</v>
      </c>
      <c r="IN186" s="314">
        <f t="shared" si="981"/>
        <v>303845.48908200674</v>
      </c>
      <c r="IO186" s="314">
        <f t="shared" si="981"/>
        <v>178805.89204158774</v>
      </c>
      <c r="IP186" s="314">
        <f t="shared" si="981"/>
        <v>769367.11199999973</v>
      </c>
      <c r="IQ186" s="314">
        <f t="shared" si="981"/>
        <v>733866.82653568313</v>
      </c>
      <c r="IR186" s="314">
        <f t="shared" si="981"/>
        <v>38589.645464314963</v>
      </c>
      <c r="IS186" s="314">
        <f t="shared" si="981"/>
        <v>952089.39064855129</v>
      </c>
      <c r="IT186" s="314">
        <f t="shared" si="981"/>
        <v>331899.50535144471</v>
      </c>
      <c r="IU186" s="314">
        <f t="shared" si="981"/>
        <v>98107.906878002454</v>
      </c>
      <c r="IV186" s="314">
        <f t="shared" si="981"/>
        <v>311312.64235964231</v>
      </c>
      <c r="IW186" s="314">
        <f t="shared" si="981"/>
        <v>772638.79823273979</v>
      </c>
      <c r="IX186" s="314">
        <f t="shared" si="981"/>
        <v>92624.975729614729</v>
      </c>
      <c r="IY186" s="314">
        <f t="shared" si="981"/>
        <v>2426674.6148047671</v>
      </c>
      <c r="IZ186" s="314">
        <f t="shared" si="981"/>
        <v>-1886083.6868047677</v>
      </c>
      <c r="JA186" s="314">
        <f t="shared" si="981"/>
        <v>129926.39999999991</v>
      </c>
      <c r="JB186" s="314">
        <f t="shared" si="981"/>
        <v>79756.799999999814</v>
      </c>
      <c r="JC186" s="314">
        <f t="shared" si="981"/>
        <v>90562.560000000056</v>
      </c>
      <c r="JD186" s="314"/>
      <c r="JE186" s="314">
        <f t="shared" si="981"/>
        <v>24782.882861775812</v>
      </c>
      <c r="JF186" s="314"/>
      <c r="JG186" s="314">
        <f t="shared" si="981"/>
        <v>1520823.371014379</v>
      </c>
      <c r="JH186" s="314">
        <f t="shared" si="981"/>
        <v>52690.944000000018</v>
      </c>
    </row>
    <row r="187" spans="1:276" x14ac:dyDescent="0.25">
      <c r="C187" s="314">
        <f t="shared" ref="C187:BO187" si="982">C9-C155</f>
        <v>265580</v>
      </c>
      <c r="D187" s="314">
        <f t="shared" si="982"/>
        <v>0</v>
      </c>
      <c r="E187" s="314">
        <f t="shared" si="982"/>
        <v>1000820</v>
      </c>
      <c r="F187" s="314">
        <f t="shared" si="982"/>
        <v>1001955</v>
      </c>
      <c r="G187" s="314">
        <f t="shared" si="982"/>
        <v>419751</v>
      </c>
      <c r="H187" s="314">
        <f t="shared" si="982"/>
        <v>1157858</v>
      </c>
      <c r="I187" s="314">
        <f t="shared" si="982"/>
        <v>3164198</v>
      </c>
      <c r="J187" s="314">
        <f t="shared" si="982"/>
        <v>2915400</v>
      </c>
      <c r="K187" s="314">
        <f t="shared" si="982"/>
        <v>0</v>
      </c>
      <c r="L187" s="314">
        <f t="shared" si="982"/>
        <v>927430</v>
      </c>
      <c r="M187" s="314">
        <f t="shared" si="982"/>
        <v>1132220</v>
      </c>
      <c r="N187" s="314">
        <f t="shared" si="982"/>
        <v>1055000</v>
      </c>
      <c r="O187" s="314">
        <f t="shared" si="982"/>
        <v>40001</v>
      </c>
      <c r="P187" s="314">
        <f t="shared" si="982"/>
        <v>241898</v>
      </c>
      <c r="Q187" s="314">
        <f t="shared" si="982"/>
        <v>958510</v>
      </c>
      <c r="R187" s="314">
        <f t="shared" si="982"/>
        <v>61000</v>
      </c>
      <c r="S187" s="314">
        <f t="shared" si="982"/>
        <v>97850</v>
      </c>
      <c r="T187" s="314">
        <f t="shared" si="982"/>
        <v>75230</v>
      </c>
      <c r="U187" s="314">
        <f t="shared" si="982"/>
        <v>0</v>
      </c>
      <c r="V187" s="314">
        <f t="shared" si="982"/>
        <v>791380</v>
      </c>
      <c r="W187" s="314">
        <f t="shared" si="982"/>
        <v>0</v>
      </c>
      <c r="X187" s="314">
        <f t="shared" si="982"/>
        <v>700310</v>
      </c>
      <c r="Y187" s="314">
        <f t="shared" si="982"/>
        <v>0</v>
      </c>
      <c r="Z187" s="314">
        <f t="shared" si="982"/>
        <v>4</v>
      </c>
      <c r="AA187" s="314">
        <f t="shared" si="982"/>
        <v>377073</v>
      </c>
      <c r="AB187" s="314">
        <f t="shared" si="982"/>
        <v>1315500</v>
      </c>
      <c r="AC187" s="314">
        <f t="shared" ref="AC187" si="983">AC9-AC155</f>
        <v>109000</v>
      </c>
      <c r="AD187" s="314">
        <f t="shared" si="982"/>
        <v>81770</v>
      </c>
      <c r="AE187" s="314">
        <f t="shared" si="982"/>
        <v>701900</v>
      </c>
      <c r="AF187" s="314">
        <f t="shared" si="982"/>
        <v>206052</v>
      </c>
      <c r="AG187" s="314">
        <f t="shared" si="982"/>
        <v>145190</v>
      </c>
      <c r="AH187" s="314">
        <f t="shared" si="982"/>
        <v>0</v>
      </c>
      <c r="AI187" s="314">
        <f t="shared" si="982"/>
        <v>0</v>
      </c>
      <c r="AJ187" s="314">
        <f t="shared" si="982"/>
        <v>0</v>
      </c>
      <c r="AK187" s="314">
        <f t="shared" si="982"/>
        <v>0</v>
      </c>
      <c r="AL187" s="314">
        <f t="shared" si="982"/>
        <v>677090</v>
      </c>
      <c r="AM187" s="314">
        <f t="shared" si="982"/>
        <v>134782</v>
      </c>
      <c r="AN187" s="314">
        <f t="shared" si="982"/>
        <v>149100</v>
      </c>
      <c r="AO187" s="314">
        <f t="shared" si="982"/>
        <v>1155560</v>
      </c>
      <c r="AP187" s="314">
        <f t="shared" si="982"/>
        <v>0</v>
      </c>
      <c r="AQ187" s="314">
        <f t="shared" si="982"/>
        <v>163060</v>
      </c>
      <c r="AR187" s="314">
        <f t="shared" si="982"/>
        <v>397260</v>
      </c>
      <c r="AS187" s="314">
        <f t="shared" si="982"/>
        <v>186970</v>
      </c>
      <c r="AT187" s="314">
        <f t="shared" si="982"/>
        <v>724250</v>
      </c>
      <c r="AU187" s="314">
        <f t="shared" si="982"/>
        <v>424080</v>
      </c>
      <c r="AV187" s="314">
        <f t="shared" si="982"/>
        <v>231840</v>
      </c>
      <c r="AW187" s="314">
        <f t="shared" si="982"/>
        <v>3142100</v>
      </c>
      <c r="AX187" s="314">
        <f t="shared" si="982"/>
        <v>424980</v>
      </c>
      <c r="AY187" s="314">
        <f t="shared" si="982"/>
        <v>197050</v>
      </c>
      <c r="AZ187" s="314">
        <f t="shared" si="982"/>
        <v>0</v>
      </c>
      <c r="BA187" s="314">
        <f t="shared" si="982"/>
        <v>0</v>
      </c>
      <c r="BB187" s="314">
        <f t="shared" si="982"/>
        <v>0</v>
      </c>
      <c r="BC187" s="314">
        <f t="shared" si="982"/>
        <v>445060</v>
      </c>
      <c r="BD187" s="314">
        <f t="shared" si="982"/>
        <v>292340</v>
      </c>
      <c r="BE187" s="314">
        <f t="shared" si="982"/>
        <v>1290900</v>
      </c>
      <c r="BF187" s="314">
        <f t="shared" si="982"/>
        <v>0</v>
      </c>
      <c r="BG187" s="314">
        <f t="shared" si="982"/>
        <v>0</v>
      </c>
      <c r="BH187" s="314">
        <f t="shared" si="982"/>
        <v>130890</v>
      </c>
      <c r="BI187" s="314">
        <f t="shared" si="982"/>
        <v>0</v>
      </c>
      <c r="BJ187" s="314">
        <f t="shared" si="982"/>
        <v>804540</v>
      </c>
      <c r="BK187" s="314">
        <f t="shared" si="982"/>
        <v>0</v>
      </c>
      <c r="BL187" s="314">
        <f t="shared" si="982"/>
        <v>544860</v>
      </c>
      <c r="BM187" s="314">
        <f t="shared" si="982"/>
        <v>6</v>
      </c>
      <c r="BN187" s="314">
        <f t="shared" si="982"/>
        <v>260900</v>
      </c>
      <c r="BO187" s="314">
        <f t="shared" si="982"/>
        <v>92670</v>
      </c>
      <c r="BP187" s="314">
        <f t="shared" ref="BP187:EA187" si="984">BP9-BP155</f>
        <v>87000</v>
      </c>
      <c r="BQ187" s="314">
        <f t="shared" si="984"/>
        <v>112726</v>
      </c>
      <c r="BR187" s="314">
        <f t="shared" si="984"/>
        <v>1</v>
      </c>
      <c r="BS187" s="314">
        <f t="shared" si="984"/>
        <v>120127</v>
      </c>
      <c r="BT187" s="314">
        <f t="shared" si="984"/>
        <v>42482</v>
      </c>
      <c r="BU187" s="314">
        <f t="shared" si="984"/>
        <v>1615610</v>
      </c>
      <c r="BV187" s="314">
        <f t="shared" si="984"/>
        <v>132710</v>
      </c>
      <c r="BW187" s="314">
        <f t="shared" si="984"/>
        <v>57320</v>
      </c>
      <c r="BX187" s="314">
        <f t="shared" si="984"/>
        <v>469300</v>
      </c>
      <c r="BY187" s="314">
        <f t="shared" si="984"/>
        <v>424860</v>
      </c>
      <c r="BZ187" s="314">
        <f t="shared" si="984"/>
        <v>73850</v>
      </c>
      <c r="CA187" s="314">
        <f t="shared" si="984"/>
        <v>0</v>
      </c>
      <c r="CB187" s="314">
        <f t="shared" si="984"/>
        <v>162740</v>
      </c>
      <c r="CC187" s="314">
        <f t="shared" si="984"/>
        <v>508940</v>
      </c>
      <c r="CD187" s="314">
        <f t="shared" si="984"/>
        <v>353150</v>
      </c>
      <c r="CE187" s="314">
        <f t="shared" si="984"/>
        <v>1776950</v>
      </c>
      <c r="CF187" s="314">
        <f t="shared" si="984"/>
        <v>267170</v>
      </c>
      <c r="CG187" s="314">
        <f t="shared" si="984"/>
        <v>1132840</v>
      </c>
      <c r="CH187" s="314">
        <f t="shared" si="984"/>
        <v>3703000</v>
      </c>
      <c r="CI187" s="314">
        <f t="shared" si="984"/>
        <v>3270000</v>
      </c>
      <c r="CJ187" s="314">
        <f t="shared" si="984"/>
        <v>659315</v>
      </c>
      <c r="CK187" s="314">
        <f t="shared" si="984"/>
        <v>76000</v>
      </c>
      <c r="CL187" s="314">
        <f t="shared" si="984"/>
        <v>3015000</v>
      </c>
      <c r="CM187" s="314">
        <f t="shared" si="984"/>
        <v>1592174</v>
      </c>
      <c r="CN187" s="314">
        <f t="shared" si="984"/>
        <v>224782</v>
      </c>
      <c r="CO187" s="314">
        <f t="shared" si="984"/>
        <v>332268</v>
      </c>
      <c r="CP187" s="314">
        <f t="shared" si="984"/>
        <v>240422</v>
      </c>
      <c r="CQ187" s="314">
        <f t="shared" si="984"/>
        <v>955724</v>
      </c>
      <c r="CR187" s="314">
        <f t="shared" si="984"/>
        <v>4</v>
      </c>
      <c r="CS187" s="314">
        <f t="shared" si="984"/>
        <v>3298929</v>
      </c>
      <c r="CT187" s="314">
        <f t="shared" si="984"/>
        <v>5705918</v>
      </c>
      <c r="CU187" s="314">
        <f t="shared" si="984"/>
        <v>0</v>
      </c>
      <c r="CV187" s="314">
        <f t="shared" si="984"/>
        <v>1315010</v>
      </c>
      <c r="CW187" s="314">
        <f t="shared" si="984"/>
        <v>0</v>
      </c>
      <c r="CX187" s="314">
        <f t="shared" si="984"/>
        <v>0</v>
      </c>
      <c r="CY187" s="314">
        <f t="shared" si="984"/>
        <v>358920</v>
      </c>
      <c r="CZ187" s="314">
        <f t="shared" si="984"/>
        <v>0</v>
      </c>
      <c r="DA187" s="314">
        <f t="shared" si="984"/>
        <v>0</v>
      </c>
      <c r="DB187" s="314">
        <f t="shared" si="984"/>
        <v>21198</v>
      </c>
      <c r="DC187" s="314">
        <f t="shared" si="984"/>
        <v>125480</v>
      </c>
      <c r="DD187" s="314">
        <f t="shared" si="984"/>
        <v>5300000</v>
      </c>
      <c r="DE187" s="314">
        <f t="shared" si="984"/>
        <v>1214600</v>
      </c>
      <c r="DF187" s="314">
        <f t="shared" si="984"/>
        <v>0</v>
      </c>
      <c r="DG187" s="314">
        <f t="shared" si="984"/>
        <v>1062486</v>
      </c>
      <c r="DH187" s="314">
        <f t="shared" si="984"/>
        <v>1517194</v>
      </c>
      <c r="DI187" s="314">
        <f t="shared" si="984"/>
        <v>1393074</v>
      </c>
      <c r="DJ187" s="314">
        <f t="shared" si="984"/>
        <v>1920826</v>
      </c>
      <c r="DK187" s="314">
        <f t="shared" si="984"/>
        <v>2417346</v>
      </c>
      <c r="DL187" s="314">
        <f t="shared" si="984"/>
        <v>3489313</v>
      </c>
      <c r="DM187" s="314">
        <f t="shared" si="984"/>
        <v>489500</v>
      </c>
      <c r="DN187" s="314">
        <f t="shared" si="984"/>
        <v>84997</v>
      </c>
      <c r="DO187" s="314">
        <f t="shared" si="984"/>
        <v>331700</v>
      </c>
      <c r="DP187" s="314">
        <f t="shared" si="984"/>
        <v>270403</v>
      </c>
      <c r="DQ187" s="314">
        <f t="shared" si="984"/>
        <v>73995</v>
      </c>
      <c r="DR187" s="314">
        <f t="shared" si="984"/>
        <v>5</v>
      </c>
      <c r="DS187" s="314">
        <f t="shared" si="984"/>
        <v>0</v>
      </c>
      <c r="DT187" s="314">
        <f t="shared" si="984"/>
        <v>0</v>
      </c>
      <c r="DU187" s="314">
        <f t="shared" si="984"/>
        <v>0</v>
      </c>
      <c r="DV187" s="314">
        <f t="shared" si="984"/>
        <v>3</v>
      </c>
      <c r="DW187" s="314">
        <f t="shared" si="984"/>
        <v>0</v>
      </c>
      <c r="DX187" s="314">
        <f t="shared" si="984"/>
        <v>0</v>
      </c>
      <c r="DY187" s="314">
        <f t="shared" si="984"/>
        <v>1488860</v>
      </c>
      <c r="DZ187" s="314">
        <f t="shared" si="984"/>
        <v>200070</v>
      </c>
      <c r="EA187" s="314">
        <f t="shared" si="984"/>
        <v>15310</v>
      </c>
      <c r="EB187" s="314">
        <f t="shared" ref="EB187:GM187" si="985">EB9-EB155</f>
        <v>1603162</v>
      </c>
      <c r="EC187" s="314">
        <f t="shared" si="985"/>
        <v>1001980</v>
      </c>
      <c r="ED187" s="314">
        <f t="shared" si="985"/>
        <v>155490</v>
      </c>
      <c r="EE187" s="314">
        <f t="shared" si="985"/>
        <v>0</v>
      </c>
      <c r="EF187" s="314">
        <f t="shared" si="985"/>
        <v>0</v>
      </c>
      <c r="EG187" s="314">
        <f t="shared" si="985"/>
        <v>0</v>
      </c>
      <c r="EH187" s="314">
        <f t="shared" si="985"/>
        <v>0</v>
      </c>
      <c r="EI187" s="314">
        <f t="shared" si="985"/>
        <v>0</v>
      </c>
      <c r="EJ187" s="314">
        <f t="shared" si="985"/>
        <v>1254497</v>
      </c>
      <c r="EK187" s="314">
        <f t="shared" si="985"/>
        <v>1477660</v>
      </c>
      <c r="EL187" s="314">
        <f t="shared" si="985"/>
        <v>2025520</v>
      </c>
      <c r="EM187" s="314">
        <f t="shared" si="985"/>
        <v>1490310</v>
      </c>
      <c r="EN187" s="314">
        <f t="shared" si="985"/>
        <v>2</v>
      </c>
      <c r="EO187" s="314">
        <f t="shared" si="985"/>
        <v>101940</v>
      </c>
      <c r="EP187" s="314">
        <f t="shared" si="985"/>
        <v>5</v>
      </c>
      <c r="EQ187" s="314">
        <f t="shared" si="985"/>
        <v>947136</v>
      </c>
      <c r="ER187" s="314">
        <f t="shared" si="985"/>
        <v>0</v>
      </c>
      <c r="ES187" s="314">
        <f t="shared" si="985"/>
        <v>590630</v>
      </c>
      <c r="ET187" s="314">
        <f t="shared" si="985"/>
        <v>0</v>
      </c>
      <c r="EU187" s="314">
        <f t="shared" si="985"/>
        <v>0</v>
      </c>
      <c r="EV187" s="314">
        <f t="shared" si="985"/>
        <v>206910</v>
      </c>
      <c r="EW187" s="314">
        <f t="shared" si="985"/>
        <v>294940</v>
      </c>
      <c r="EX187" s="314">
        <f t="shared" si="985"/>
        <v>1625690</v>
      </c>
      <c r="EY187" s="314">
        <f t="shared" si="985"/>
        <v>440830</v>
      </c>
      <c r="EZ187" s="314">
        <f t="shared" si="985"/>
        <v>270000</v>
      </c>
      <c r="FA187" s="314">
        <f t="shared" si="985"/>
        <v>0</v>
      </c>
      <c r="FB187" s="314">
        <f t="shared" si="985"/>
        <v>55872</v>
      </c>
      <c r="FC187" s="314">
        <f t="shared" si="985"/>
        <v>1957800</v>
      </c>
      <c r="FD187" s="314">
        <f t="shared" si="985"/>
        <v>1200000</v>
      </c>
      <c r="FE187" s="314">
        <f t="shared" si="985"/>
        <v>46750</v>
      </c>
      <c r="FF187" s="314">
        <f t="shared" si="985"/>
        <v>119610</v>
      </c>
      <c r="FG187" s="314">
        <f t="shared" si="985"/>
        <v>0</v>
      </c>
      <c r="FH187" s="314">
        <f t="shared" si="985"/>
        <v>803993</v>
      </c>
      <c r="FI187" s="314">
        <f t="shared" si="985"/>
        <v>217610</v>
      </c>
      <c r="FJ187" s="314">
        <f t="shared" si="985"/>
        <v>345480</v>
      </c>
      <c r="FK187" s="314">
        <f t="shared" si="985"/>
        <v>819840</v>
      </c>
      <c r="FL187" s="314">
        <f t="shared" si="985"/>
        <v>675470</v>
      </c>
      <c r="FM187" s="314">
        <f t="shared" si="985"/>
        <v>3556980</v>
      </c>
      <c r="FN187" s="314">
        <f t="shared" si="985"/>
        <v>1079389</v>
      </c>
      <c r="FO187" s="314">
        <f t="shared" si="985"/>
        <v>1012058</v>
      </c>
      <c r="FP187" s="314">
        <f t="shared" si="985"/>
        <v>4406800</v>
      </c>
      <c r="FQ187" s="314">
        <f t="shared" si="985"/>
        <v>170606</v>
      </c>
      <c r="FR187" s="314">
        <f t="shared" si="985"/>
        <v>3986708</v>
      </c>
      <c r="FS187" s="314">
        <f t="shared" si="985"/>
        <v>137490</v>
      </c>
      <c r="FT187" s="314">
        <f t="shared" si="985"/>
        <v>1556110</v>
      </c>
      <c r="FU187" s="314">
        <f t="shared" si="985"/>
        <v>86170</v>
      </c>
      <c r="FV187" s="314">
        <f t="shared" si="985"/>
        <v>545750</v>
      </c>
      <c r="FW187" s="314">
        <f t="shared" si="985"/>
        <v>862320</v>
      </c>
      <c r="FX187" s="314">
        <f t="shared" si="985"/>
        <v>315470</v>
      </c>
      <c r="FY187" s="314">
        <f t="shared" si="985"/>
        <v>0</v>
      </c>
      <c r="FZ187" s="314">
        <f t="shared" si="985"/>
        <v>5118850</v>
      </c>
      <c r="GA187" s="314">
        <f t="shared" si="985"/>
        <v>742910</v>
      </c>
      <c r="GB187" s="314">
        <f t="shared" si="985"/>
        <v>2500040</v>
      </c>
      <c r="GC187" s="314">
        <f t="shared" si="985"/>
        <v>556920</v>
      </c>
      <c r="GD187" s="314">
        <f t="shared" si="985"/>
        <v>3467060</v>
      </c>
      <c r="GE187" s="314">
        <f t="shared" si="985"/>
        <v>1800000</v>
      </c>
      <c r="GF187" s="314">
        <f t="shared" si="985"/>
        <v>1408022</v>
      </c>
      <c r="GG187" s="314">
        <f t="shared" si="985"/>
        <v>127435</v>
      </c>
      <c r="GH187" s="314">
        <f t="shared" si="985"/>
        <v>7</v>
      </c>
      <c r="GI187" s="314">
        <f t="shared" si="985"/>
        <v>2662574</v>
      </c>
      <c r="GJ187" s="314">
        <f t="shared" si="985"/>
        <v>356710</v>
      </c>
      <c r="GK187" s="314">
        <f t="shared" si="985"/>
        <v>500000</v>
      </c>
      <c r="GL187" s="314">
        <f t="shared" si="985"/>
        <v>280050</v>
      </c>
      <c r="GM187" s="314">
        <f t="shared" si="985"/>
        <v>237460</v>
      </c>
      <c r="GN187" s="314">
        <f>GN9-GN155</f>
        <v>229230</v>
      </c>
      <c r="GO187" s="314">
        <f t="shared" ref="GO187:IY187" si="986">GO9-GO155</f>
        <v>309141</v>
      </c>
      <c r="GP187" s="314">
        <f t="shared" si="986"/>
        <v>1404540</v>
      </c>
      <c r="GQ187" s="314">
        <f t="shared" si="986"/>
        <v>690410</v>
      </c>
      <c r="GR187" s="314">
        <f t="shared" si="986"/>
        <v>0</v>
      </c>
      <c r="GS187" s="314">
        <f t="shared" si="986"/>
        <v>180000</v>
      </c>
      <c r="GT187" s="314">
        <f t="shared" si="986"/>
        <v>237210</v>
      </c>
      <c r="GU187" s="314">
        <f t="shared" si="986"/>
        <v>0</v>
      </c>
      <c r="GV187" s="314">
        <f t="shared" si="986"/>
        <v>0</v>
      </c>
      <c r="GW187" s="314">
        <f t="shared" si="986"/>
        <v>508280</v>
      </c>
      <c r="GX187" s="314">
        <f t="shared" si="986"/>
        <v>0</v>
      </c>
      <c r="GY187" s="314">
        <f t="shared" si="986"/>
        <v>4830300</v>
      </c>
      <c r="GZ187" s="314">
        <f t="shared" si="986"/>
        <v>2110821</v>
      </c>
      <c r="HA187" s="314">
        <f t="shared" si="986"/>
        <v>0</v>
      </c>
      <c r="HB187" s="314">
        <f t="shared" si="986"/>
        <v>3358180</v>
      </c>
      <c r="HC187" s="314">
        <f t="shared" si="986"/>
        <v>5665340</v>
      </c>
      <c r="HD187" s="314">
        <f t="shared" si="986"/>
        <v>280130</v>
      </c>
      <c r="HE187" s="314">
        <f t="shared" si="986"/>
        <v>0</v>
      </c>
      <c r="HF187" s="314">
        <f t="shared" si="986"/>
        <v>119080</v>
      </c>
      <c r="HG187" s="314">
        <f t="shared" si="986"/>
        <v>381240</v>
      </c>
      <c r="HH187" s="314">
        <f t="shared" si="986"/>
        <v>2079420</v>
      </c>
      <c r="HI187" s="314">
        <f t="shared" si="986"/>
        <v>1256060</v>
      </c>
      <c r="HJ187" s="314">
        <f t="shared" si="986"/>
        <v>0</v>
      </c>
      <c r="HK187" s="314">
        <f t="shared" si="986"/>
        <v>209300</v>
      </c>
      <c r="HL187" s="314">
        <f t="shared" si="986"/>
        <v>25168510</v>
      </c>
      <c r="HM187" s="314">
        <f t="shared" si="986"/>
        <v>12896890</v>
      </c>
      <c r="HN187" s="314">
        <f t="shared" si="986"/>
        <v>1010000</v>
      </c>
      <c r="HO187" s="314">
        <f t="shared" si="986"/>
        <v>0</v>
      </c>
      <c r="HP187" s="314">
        <f t="shared" si="986"/>
        <v>7810780</v>
      </c>
      <c r="HQ187" s="314">
        <f t="shared" si="986"/>
        <v>12640</v>
      </c>
      <c r="HR187" s="314">
        <f t="shared" si="986"/>
        <v>3473990</v>
      </c>
      <c r="HS187" s="314">
        <f t="shared" si="986"/>
        <v>169400</v>
      </c>
      <c r="HT187" s="314">
        <f t="shared" si="986"/>
        <v>5062310</v>
      </c>
      <c r="HU187" s="314">
        <f t="shared" si="986"/>
        <v>8625010</v>
      </c>
      <c r="HV187" s="314">
        <f t="shared" si="986"/>
        <v>4663870</v>
      </c>
      <c r="HW187" s="314">
        <f t="shared" si="986"/>
        <v>1224538</v>
      </c>
      <c r="HX187" s="314">
        <f t="shared" si="986"/>
        <v>10745152</v>
      </c>
      <c r="HY187" s="314">
        <f t="shared" si="986"/>
        <v>2945840</v>
      </c>
      <c r="HZ187" s="314">
        <f>HZ9-HZ155</f>
        <v>4495160</v>
      </c>
      <c r="IA187" s="314">
        <f t="shared" si="986"/>
        <v>2065240</v>
      </c>
      <c r="IB187" s="314">
        <f t="shared" si="986"/>
        <v>4177070</v>
      </c>
      <c r="IC187" s="314">
        <f t="shared" si="986"/>
        <v>4521780</v>
      </c>
      <c r="ID187" s="314">
        <f t="shared" si="986"/>
        <v>3350720</v>
      </c>
      <c r="IE187" s="314">
        <f t="shared" si="986"/>
        <v>4084110</v>
      </c>
      <c r="IF187" s="314">
        <f t="shared" si="986"/>
        <v>12556570</v>
      </c>
      <c r="IG187" s="314">
        <f t="shared" si="986"/>
        <v>4955360</v>
      </c>
      <c r="IH187" s="314">
        <f t="shared" si="986"/>
        <v>1927434</v>
      </c>
      <c r="II187" s="314">
        <f t="shared" si="986"/>
        <v>7822509</v>
      </c>
      <c r="IJ187" s="314">
        <f t="shared" si="986"/>
        <v>481620</v>
      </c>
      <c r="IK187" s="314">
        <f t="shared" si="986"/>
        <v>459567</v>
      </c>
      <c r="IL187" s="314">
        <f t="shared" si="986"/>
        <v>2608340</v>
      </c>
      <c r="IM187" s="314">
        <f t="shared" si="986"/>
        <v>244160</v>
      </c>
      <c r="IN187" s="314">
        <f t="shared" si="986"/>
        <v>4208000</v>
      </c>
      <c r="IO187" s="314">
        <f t="shared" si="986"/>
        <v>1385550</v>
      </c>
      <c r="IP187" s="314">
        <f t="shared" si="986"/>
        <v>2959130</v>
      </c>
      <c r="IQ187" s="314">
        <f t="shared" si="986"/>
        <v>4271190</v>
      </c>
      <c r="IR187" s="314">
        <f t="shared" si="986"/>
        <v>173780</v>
      </c>
      <c r="IS187" s="314">
        <f t="shared" si="986"/>
        <v>8550860</v>
      </c>
      <c r="IT187" s="314">
        <f t="shared" si="986"/>
        <v>3178610</v>
      </c>
      <c r="IU187" s="314">
        <f t="shared" si="986"/>
        <v>1955118</v>
      </c>
      <c r="IV187" s="314">
        <f t="shared" si="986"/>
        <v>2914286</v>
      </c>
      <c r="IW187" s="314">
        <f t="shared" si="986"/>
        <v>5379615</v>
      </c>
      <c r="IX187" s="314">
        <f t="shared" si="986"/>
        <v>1113075</v>
      </c>
      <c r="IY187" s="314">
        <f t="shared" si="986"/>
        <v>7271900</v>
      </c>
      <c r="IZ187" s="314">
        <f t="shared" ref="IZ187:JG187" si="987">IZ9-IZ155</f>
        <v>7728510</v>
      </c>
      <c r="JA187" s="314">
        <f t="shared" si="987"/>
        <v>569490</v>
      </c>
      <c r="JB187" s="314">
        <f t="shared" si="987"/>
        <v>273000</v>
      </c>
      <c r="JC187" s="314">
        <f t="shared" si="987"/>
        <v>665000</v>
      </c>
      <c r="JD187" s="314">
        <f t="shared" si="987"/>
        <v>0</v>
      </c>
      <c r="JE187" s="314">
        <f t="shared" si="987"/>
        <v>268810</v>
      </c>
      <c r="JF187" s="314">
        <f t="shared" si="987"/>
        <v>8844790</v>
      </c>
      <c r="JG187" s="314">
        <f t="shared" si="987"/>
        <v>6247461</v>
      </c>
      <c r="JH187" s="314">
        <f>JH9-JH155</f>
        <v>2508532</v>
      </c>
    </row>
  </sheetData>
  <conditionalFormatting sqref="C7:JH8">
    <cfRule type="cellIs" dxfId="361" priority="163" operator="equal">
      <formula>0</formula>
    </cfRule>
  </conditionalFormatting>
  <conditionalFormatting sqref="C12:JH13">
    <cfRule type="cellIs" dxfId="360" priority="162" operator="equal">
      <formula>0</formula>
    </cfRule>
  </conditionalFormatting>
  <conditionalFormatting sqref="C29:AB30 AD29:JH30">
    <cfRule type="cellIs" dxfId="359" priority="161" operator="equal">
      <formula>0</formula>
    </cfRule>
  </conditionalFormatting>
  <conditionalFormatting sqref="C66:AB67 C51:JH53 C54:AB58 AD54:JH58 AD66:JH67">
    <cfRule type="cellIs" dxfId="358" priority="160" operator="lessThan">
      <formula>0</formula>
    </cfRule>
  </conditionalFormatting>
  <conditionalFormatting sqref="C10:JH11">
    <cfRule type="cellIs" dxfId="357" priority="159" operator="equal">
      <formula>0</formula>
    </cfRule>
  </conditionalFormatting>
  <conditionalFormatting sqref="C27:AB27 AD27:JH27">
    <cfRule type="cellIs" dxfId="356" priority="158" operator="equal">
      <formula>0</formula>
    </cfRule>
  </conditionalFormatting>
  <conditionalFormatting sqref="C28:AB28 AD28:JH28">
    <cfRule type="cellIs" dxfId="355" priority="157" operator="equal">
      <formula>0</formula>
    </cfRule>
  </conditionalFormatting>
  <conditionalFormatting sqref="C20:AB22 AD20:JH22">
    <cfRule type="cellIs" dxfId="354" priority="156" operator="equal">
      <formula>0</formula>
    </cfRule>
  </conditionalFormatting>
  <conditionalFormatting sqref="C19:AB19 AD19:JH19">
    <cfRule type="cellIs" dxfId="353" priority="155" operator="equal">
      <formula>0</formula>
    </cfRule>
  </conditionalFormatting>
  <conditionalFormatting sqref="C16:JH16">
    <cfRule type="cellIs" dxfId="352" priority="154" operator="lessThan">
      <formula>0</formula>
    </cfRule>
  </conditionalFormatting>
  <conditionalFormatting sqref="C15:JH15">
    <cfRule type="cellIs" dxfId="351" priority="153" operator="lessThan">
      <formula>0</formula>
    </cfRule>
  </conditionalFormatting>
  <conditionalFormatting sqref="C48:JH48">
    <cfRule type="cellIs" dxfId="350" priority="152" operator="lessThan">
      <formula>0</formula>
    </cfRule>
  </conditionalFormatting>
  <conditionalFormatting sqref="C85:AB85 AD85:JH85">
    <cfRule type="cellIs" dxfId="349" priority="151" operator="lessThan">
      <formula>0</formula>
    </cfRule>
  </conditionalFormatting>
  <conditionalFormatting sqref="C46:JH46">
    <cfRule type="cellIs" dxfId="348" priority="150" operator="equal">
      <formula>0</formula>
    </cfRule>
  </conditionalFormatting>
  <conditionalFormatting sqref="C88:AB88 AD88:JH88">
    <cfRule type="cellIs" dxfId="347" priority="149" operator="equal">
      <formula>0</formula>
    </cfRule>
  </conditionalFormatting>
  <conditionalFormatting sqref="C89:AB89 AD89:JH89">
    <cfRule type="cellIs" dxfId="346" priority="148" operator="equal">
      <formula>0</formula>
    </cfRule>
  </conditionalFormatting>
  <conditionalFormatting sqref="C90:AB90 AD90:JH90">
    <cfRule type="cellIs" dxfId="345" priority="147" operator="equal">
      <formula>0</formula>
    </cfRule>
  </conditionalFormatting>
  <conditionalFormatting sqref="C92:AB92 AD92:JH92">
    <cfRule type="cellIs" dxfId="344" priority="146" operator="equal">
      <formula>0</formula>
    </cfRule>
  </conditionalFormatting>
  <conditionalFormatting sqref="C105:AB105 AD105:JH105">
    <cfRule type="cellIs" dxfId="343" priority="145" operator="lessThan">
      <formula>0</formula>
    </cfRule>
  </conditionalFormatting>
  <conditionalFormatting sqref="C104:AB104 AD104:JH104">
    <cfRule type="cellIs" dxfId="342" priority="144" operator="lessThan">
      <formula>0</formula>
    </cfRule>
  </conditionalFormatting>
  <conditionalFormatting sqref="B56">
    <cfRule type="cellIs" dxfId="341" priority="143" operator="lessThan">
      <formula>0</formula>
    </cfRule>
  </conditionalFormatting>
  <conditionalFormatting sqref="B96:AB96 JQ96:XFD96 AD96:JK96">
    <cfRule type="cellIs" dxfId="340" priority="141" operator="lessThan">
      <formula>0</formula>
    </cfRule>
    <cfRule type="cellIs" dxfId="339" priority="142" operator="equal">
      <formula>0</formula>
    </cfRule>
  </conditionalFormatting>
  <conditionalFormatting sqref="A100 C100:AB100 JQ100:XFD100 AD100:JK100">
    <cfRule type="cellIs" dxfId="338" priority="140" operator="greaterThan">
      <formula>1</formula>
    </cfRule>
  </conditionalFormatting>
  <conditionalFormatting sqref="C93:AB94 AD93:JH94">
    <cfRule type="cellIs" dxfId="337" priority="139" operator="equal">
      <formula>0</formula>
    </cfRule>
  </conditionalFormatting>
  <conditionalFormatting sqref="A85:AB85 AD85:JI85">
    <cfRule type="cellIs" dxfId="336" priority="138" operator="equal">
      <formula>0</formula>
    </cfRule>
  </conditionalFormatting>
  <conditionalFormatting sqref="GQ113">
    <cfRule type="cellIs" dxfId="335" priority="137" operator="equal">
      <formula>0</formula>
    </cfRule>
  </conditionalFormatting>
  <conditionalFormatting sqref="A113:AB113 AD113:JI113">
    <cfRule type="cellIs" dxfId="334" priority="136" operator="equal">
      <formula>0</formula>
    </cfRule>
  </conditionalFormatting>
  <conditionalFormatting sqref="JL7:JO7">
    <cfRule type="cellIs" dxfId="333" priority="135" operator="lessThan">
      <formula>0</formula>
    </cfRule>
  </conditionalFormatting>
  <conditionalFormatting sqref="JL8:JO8 JL10:JO16">
    <cfRule type="cellIs" dxfId="332" priority="134" operator="lessThan">
      <formula>0</formula>
    </cfRule>
  </conditionalFormatting>
  <conditionalFormatting sqref="JL24:JO24">
    <cfRule type="cellIs" dxfId="331" priority="133" operator="lessThan">
      <formula>0</formula>
    </cfRule>
  </conditionalFormatting>
  <conditionalFormatting sqref="JL33:JO33">
    <cfRule type="cellIs" dxfId="330" priority="132" operator="lessThan">
      <formula>0</formula>
    </cfRule>
  </conditionalFormatting>
  <conditionalFormatting sqref="JL34:JO34">
    <cfRule type="cellIs" dxfId="329" priority="131" operator="lessThan">
      <formula>0</formula>
    </cfRule>
  </conditionalFormatting>
  <conditionalFormatting sqref="JL36:JO40">
    <cfRule type="cellIs" dxfId="328" priority="130" operator="lessThan">
      <formula>0</formula>
    </cfRule>
  </conditionalFormatting>
  <conditionalFormatting sqref="JL42:JO42">
    <cfRule type="cellIs" dxfId="327" priority="129" operator="lessThan">
      <formula>0</formula>
    </cfRule>
  </conditionalFormatting>
  <conditionalFormatting sqref="JL46:JO49 JQ47:JQ49">
    <cfRule type="cellIs" dxfId="326" priority="128" operator="lessThan">
      <formula>0</formula>
    </cfRule>
  </conditionalFormatting>
  <conditionalFormatting sqref="JL54:JO58">
    <cfRule type="cellIs" dxfId="325" priority="127" operator="lessThan">
      <formula>0</formula>
    </cfRule>
  </conditionalFormatting>
  <conditionalFormatting sqref="JL68:JO78">
    <cfRule type="cellIs" dxfId="324" priority="126" operator="lessThan">
      <formula>0</formula>
    </cfRule>
  </conditionalFormatting>
  <conditionalFormatting sqref="JL65:JO65">
    <cfRule type="cellIs" dxfId="323" priority="125" operator="lessThan">
      <formula>0</formula>
    </cfRule>
  </conditionalFormatting>
  <conditionalFormatting sqref="JL64:JO64">
    <cfRule type="cellIs" dxfId="322" priority="124" operator="lessThan">
      <formula>0</formula>
    </cfRule>
  </conditionalFormatting>
  <conditionalFormatting sqref="JL83:JO83">
    <cfRule type="cellIs" dxfId="321" priority="123" operator="lessThan">
      <formula>0</formula>
    </cfRule>
  </conditionalFormatting>
  <conditionalFormatting sqref="JL87:JO87">
    <cfRule type="cellIs" dxfId="320" priority="122" operator="lessThan">
      <formula>0</formula>
    </cfRule>
  </conditionalFormatting>
  <conditionalFormatting sqref="JL89:JO89">
    <cfRule type="cellIs" dxfId="319" priority="121" operator="lessThan">
      <formula>0</formula>
    </cfRule>
  </conditionalFormatting>
  <conditionalFormatting sqref="JL90:JO90">
    <cfRule type="cellIs" dxfId="318" priority="120" operator="lessThan">
      <formula>0</formula>
    </cfRule>
  </conditionalFormatting>
  <conditionalFormatting sqref="JL93:JO93">
    <cfRule type="cellIs" dxfId="317" priority="119" operator="lessThan">
      <formula>0</formula>
    </cfRule>
  </conditionalFormatting>
  <conditionalFormatting sqref="JL94:JO94">
    <cfRule type="cellIs" dxfId="316" priority="118" operator="lessThan">
      <formula>0</formula>
    </cfRule>
  </conditionalFormatting>
  <conditionalFormatting sqref="JL95:JO95">
    <cfRule type="cellIs" dxfId="315" priority="117" operator="lessThan">
      <formula>0</formula>
    </cfRule>
  </conditionalFormatting>
  <conditionalFormatting sqref="JL96:JO96">
    <cfRule type="cellIs" dxfId="314" priority="116" operator="lessThan">
      <formula>0</formula>
    </cfRule>
  </conditionalFormatting>
  <conditionalFormatting sqref="JL101:JO101">
    <cfRule type="cellIs" dxfId="313" priority="115" operator="lessThan">
      <formula>0</formula>
    </cfRule>
  </conditionalFormatting>
  <conditionalFormatting sqref="JL102:JO102">
    <cfRule type="cellIs" dxfId="312" priority="114" operator="lessThan">
      <formula>0</formula>
    </cfRule>
  </conditionalFormatting>
  <conditionalFormatting sqref="JL103:JO103">
    <cfRule type="cellIs" dxfId="311" priority="113" operator="lessThan">
      <formula>0</formula>
    </cfRule>
  </conditionalFormatting>
  <conditionalFormatting sqref="JL104:JO104">
    <cfRule type="cellIs" dxfId="310" priority="112" operator="lessThan">
      <formula>0</formula>
    </cfRule>
  </conditionalFormatting>
  <conditionalFormatting sqref="JL105:JO106">
    <cfRule type="cellIs" dxfId="309" priority="111" operator="lessThan">
      <formula>0</formula>
    </cfRule>
  </conditionalFormatting>
  <conditionalFormatting sqref="JL100">
    <cfRule type="cellIs" dxfId="308" priority="110" operator="greaterThan">
      <formula>1</formula>
    </cfRule>
  </conditionalFormatting>
  <conditionalFormatting sqref="JM100">
    <cfRule type="cellIs" dxfId="307" priority="109" operator="greaterThan">
      <formula>1</formula>
    </cfRule>
  </conditionalFormatting>
  <conditionalFormatting sqref="JN100">
    <cfRule type="cellIs" dxfId="306" priority="108" operator="greaterThan">
      <formula>1</formula>
    </cfRule>
  </conditionalFormatting>
  <conditionalFormatting sqref="JO100">
    <cfRule type="cellIs" dxfId="305" priority="107" operator="greaterThan">
      <formula>1</formula>
    </cfRule>
  </conditionalFormatting>
  <conditionalFormatting sqref="JP100">
    <cfRule type="cellIs" dxfId="304" priority="106" operator="greaterThan">
      <formula>1</formula>
    </cfRule>
  </conditionalFormatting>
  <conditionalFormatting sqref="C106:AB106 AD106:JH106">
    <cfRule type="colorScale" priority="105">
      <colorScale>
        <cfvo type="min"/>
        <cfvo type="max"/>
        <color theme="7" tint="0.79998168889431442"/>
        <color theme="7" tint="-0.499984740745262"/>
      </colorScale>
    </cfRule>
  </conditionalFormatting>
  <conditionalFormatting sqref="A103:AB103 AD103:XFD103">
    <cfRule type="cellIs" dxfId="303" priority="104" operator="lessThan">
      <formula>0</formula>
    </cfRule>
  </conditionalFormatting>
  <conditionalFormatting sqref="JL117:JO117">
    <cfRule type="cellIs" dxfId="302" priority="103" operator="lessThan">
      <formula>0</formula>
    </cfRule>
  </conditionalFormatting>
  <conditionalFormatting sqref="A117:B117 JI115:JI116 D117:AB117 AD117:XFD117">
    <cfRule type="cellIs" dxfId="301" priority="102" operator="lessThan">
      <formula>0</formula>
    </cfRule>
  </conditionalFormatting>
  <conditionalFormatting sqref="JL120:JO125">
    <cfRule type="cellIs" dxfId="300" priority="101" operator="lessThan">
      <formula>0</formula>
    </cfRule>
  </conditionalFormatting>
  <conditionalFormatting sqref="C107:AB107 AD107:JH107">
    <cfRule type="cellIs" dxfId="299" priority="100" operator="equal">
      <formula>0</formula>
    </cfRule>
  </conditionalFormatting>
  <conditionalFormatting sqref="JL107:JO107">
    <cfRule type="cellIs" dxfId="298" priority="99" operator="lessThan">
      <formula>0</formula>
    </cfRule>
  </conditionalFormatting>
  <conditionalFormatting sqref="JL115:JO115">
    <cfRule type="cellIs" dxfId="297" priority="98" operator="lessThan">
      <formula>0</formula>
    </cfRule>
  </conditionalFormatting>
  <conditionalFormatting sqref="JL115:JP115">
    <cfRule type="cellIs" dxfId="296" priority="97" operator="lessThan">
      <formula>0</formula>
    </cfRule>
  </conditionalFormatting>
  <conditionalFormatting sqref="JL116:JO116">
    <cfRule type="cellIs" dxfId="295" priority="96" operator="lessThan">
      <formula>0</formula>
    </cfRule>
  </conditionalFormatting>
  <conditionalFormatting sqref="JL116:JP116">
    <cfRule type="cellIs" dxfId="294" priority="95" operator="lessThan">
      <formula>0</formula>
    </cfRule>
  </conditionalFormatting>
  <conditionalFormatting sqref="C117:AB117 AD117:HL117">
    <cfRule type="cellIs" dxfId="293" priority="94" operator="lessThan">
      <formula>0</formula>
    </cfRule>
  </conditionalFormatting>
  <conditionalFormatting sqref="JL128:JO128">
    <cfRule type="cellIs" dxfId="292" priority="93" operator="lessThan">
      <formula>0</formula>
    </cfRule>
  </conditionalFormatting>
  <conditionalFormatting sqref="JL128:JP128">
    <cfRule type="cellIs" dxfId="291" priority="92" operator="lessThan">
      <formula>0</formula>
    </cfRule>
  </conditionalFormatting>
  <conditionalFormatting sqref="JL113:JO113">
    <cfRule type="cellIs" dxfId="290" priority="91" operator="lessThan">
      <formula>0</formula>
    </cfRule>
  </conditionalFormatting>
  <conditionalFormatting sqref="JL113:JP113">
    <cfRule type="cellIs" dxfId="289" priority="90" operator="lessThan">
      <formula>0</formula>
    </cfRule>
  </conditionalFormatting>
  <conditionalFormatting sqref="JL30:JO30">
    <cfRule type="cellIs" dxfId="288" priority="89" operator="lessThan">
      <formula>0</formula>
    </cfRule>
  </conditionalFormatting>
  <conditionalFormatting sqref="JL152:JO152">
    <cfRule type="cellIs" dxfId="287" priority="88" operator="lessThan">
      <formula>0</formula>
    </cfRule>
  </conditionalFormatting>
  <conditionalFormatting sqref="A152:AB152 AD152:XFD152">
    <cfRule type="cellIs" dxfId="286" priority="87" operator="lessThan">
      <formula>0</formula>
    </cfRule>
  </conditionalFormatting>
  <conditionalFormatting sqref="JL154:JO154">
    <cfRule type="cellIs" dxfId="285" priority="86" operator="lessThan">
      <formula>0</formula>
    </cfRule>
  </conditionalFormatting>
  <conditionalFormatting sqref="A154:AB154 JI155 JJ154:XFD154 AD154:JH154">
    <cfRule type="cellIs" dxfId="284" priority="85" operator="lessThan">
      <formula>0</formula>
    </cfRule>
  </conditionalFormatting>
  <conditionalFormatting sqref="GQ148">
    <cfRule type="cellIs" dxfId="283" priority="84" operator="equal">
      <formula>0</formula>
    </cfRule>
  </conditionalFormatting>
  <conditionalFormatting sqref="A148:AB148 AD148:JI148">
    <cfRule type="cellIs" dxfId="282" priority="83" operator="equal">
      <formula>0</formula>
    </cfRule>
  </conditionalFormatting>
  <conditionalFormatting sqref="JL148:JO148">
    <cfRule type="cellIs" dxfId="281" priority="82" operator="lessThan">
      <formula>0</formula>
    </cfRule>
  </conditionalFormatting>
  <conditionalFormatting sqref="JL148:JP148">
    <cfRule type="cellIs" dxfId="280" priority="81" operator="lessThan">
      <formula>0</formula>
    </cfRule>
  </conditionalFormatting>
  <conditionalFormatting sqref="GQ155">
    <cfRule type="cellIs" dxfId="279" priority="80" operator="equal">
      <formula>0</formula>
    </cfRule>
  </conditionalFormatting>
  <conditionalFormatting sqref="A155:JH155">
    <cfRule type="cellIs" dxfId="278" priority="79" operator="equal">
      <formula>0</formula>
    </cfRule>
  </conditionalFormatting>
  <conditionalFormatting sqref="C9:JH9">
    <cfRule type="cellIs" dxfId="277" priority="78" operator="lessThan">
      <formula>0</formula>
    </cfRule>
  </conditionalFormatting>
  <conditionalFormatting sqref="JI157:JI158 JQ159:XFD159 A159:AB159 AD159:JK159">
    <cfRule type="cellIs" dxfId="276" priority="77" operator="lessThan">
      <formula>0</formula>
    </cfRule>
  </conditionalFormatting>
  <conditionalFormatting sqref="JL157:JO157">
    <cfRule type="cellIs" dxfId="275" priority="76" operator="lessThan">
      <formula>0</formula>
    </cfRule>
  </conditionalFormatting>
  <conditionalFormatting sqref="JL157:JP157">
    <cfRule type="cellIs" dxfId="274" priority="75" operator="lessThan">
      <formula>0</formula>
    </cfRule>
  </conditionalFormatting>
  <conditionalFormatting sqref="JL158:JO158">
    <cfRule type="cellIs" dxfId="273" priority="74" operator="lessThan">
      <formula>0</formula>
    </cfRule>
  </conditionalFormatting>
  <conditionalFormatting sqref="JL158:JP158">
    <cfRule type="cellIs" dxfId="272" priority="73" operator="lessThan">
      <formula>0</formula>
    </cfRule>
  </conditionalFormatting>
  <conditionalFormatting sqref="JL159:JO159">
    <cfRule type="cellIs" dxfId="271" priority="72" operator="lessThan">
      <formula>0</formula>
    </cfRule>
  </conditionalFormatting>
  <conditionalFormatting sqref="JL159:JP159">
    <cfRule type="cellIs" dxfId="270" priority="71" operator="lessThan">
      <formula>0</formula>
    </cfRule>
  </conditionalFormatting>
  <conditionalFormatting sqref="JI163:JI165">
    <cfRule type="cellIs" dxfId="269" priority="70" operator="lessThan">
      <formula>0</formula>
    </cfRule>
  </conditionalFormatting>
  <conditionalFormatting sqref="C133:AB133 AD133:JH133">
    <cfRule type="cellIs" dxfId="268" priority="69" operator="lessThan">
      <formula>0</formula>
    </cfRule>
  </conditionalFormatting>
  <conditionalFormatting sqref="JL155:JO155">
    <cfRule type="cellIs" dxfId="267" priority="68" operator="lessThan">
      <formula>0</formula>
    </cfRule>
  </conditionalFormatting>
  <conditionalFormatting sqref="JL155:JP155">
    <cfRule type="cellIs" dxfId="266" priority="67" operator="lessThan">
      <formula>0</formula>
    </cfRule>
  </conditionalFormatting>
  <conditionalFormatting sqref="A156:AB156 AD156:XFD156">
    <cfRule type="cellIs" dxfId="265" priority="45" operator="lessThan">
      <formula>0</formula>
    </cfRule>
    <cfRule type="cellIs" dxfId="264" priority="66" operator="lessThan">
      <formula>0</formula>
    </cfRule>
  </conditionalFormatting>
  <conditionalFormatting sqref="C161:AB161 AD161:JH161">
    <cfRule type="cellIs" dxfId="263" priority="64" operator="lessThan">
      <formula>0</formula>
    </cfRule>
  </conditionalFormatting>
  <conditionalFormatting sqref="C160:AB160 AD160:JH160">
    <cfRule type="cellIs" dxfId="262" priority="63" operator="lessThan">
      <formula>0</formula>
    </cfRule>
  </conditionalFormatting>
  <conditionalFormatting sqref="JL160:JO160">
    <cfRule type="cellIs" dxfId="261" priority="62" operator="lessThan">
      <formula>0</formula>
    </cfRule>
  </conditionalFormatting>
  <conditionalFormatting sqref="JL161:JO161">
    <cfRule type="cellIs" dxfId="260" priority="61" operator="lessThan">
      <formula>0</formula>
    </cfRule>
  </conditionalFormatting>
  <conditionalFormatting sqref="A169:V169 X169:AB169 AD169:XFD169">
    <cfRule type="cellIs" dxfId="259" priority="60" operator="lessThan">
      <formula>0</formula>
    </cfRule>
  </conditionalFormatting>
  <conditionalFormatting sqref="A59:AB59 AD59:XFD59">
    <cfRule type="cellIs" dxfId="258" priority="57" operator="greaterThan">
      <formula>0.01</formula>
    </cfRule>
  </conditionalFormatting>
  <conditionalFormatting sqref="A63:AB63 AD63:XFD63">
    <cfRule type="cellIs" dxfId="257" priority="56" operator="greaterThan">
      <formula>0</formula>
    </cfRule>
  </conditionalFormatting>
  <conditionalFormatting sqref="A174:AB174 AD174:XFD174">
    <cfRule type="cellIs" dxfId="256" priority="54" operator="lessThan">
      <formula>0</formula>
    </cfRule>
    <cfRule type="cellIs" dxfId="255" priority="55" operator="greaterThan">
      <formula>0</formula>
    </cfRule>
  </conditionalFormatting>
  <conditionalFormatting sqref="C181:AB181 AD181:ES181">
    <cfRule type="cellIs" dxfId="254" priority="53" operator="lessThan">
      <formula>0</formula>
    </cfRule>
  </conditionalFormatting>
  <conditionalFormatting sqref="W169">
    <cfRule type="cellIs" dxfId="253" priority="52" operator="lessThan">
      <formula>0</formula>
    </cfRule>
  </conditionalFormatting>
  <conditionalFormatting sqref="JO9">
    <cfRule type="cellIs" dxfId="252" priority="51" operator="lessThan">
      <formula>0</formula>
    </cfRule>
  </conditionalFormatting>
  <conditionalFormatting sqref="EW186:HK186">
    <cfRule type="cellIs" dxfId="251" priority="50" operator="lessThan">
      <formula>0</formula>
    </cfRule>
  </conditionalFormatting>
  <conditionalFormatting sqref="HL186:JH186">
    <cfRule type="cellIs" dxfId="250" priority="49" operator="lessThan">
      <formula>0</formula>
    </cfRule>
  </conditionalFormatting>
  <conditionalFormatting sqref="C187:AB187 AD187:JH187">
    <cfRule type="cellIs" dxfId="249" priority="46" operator="lessThan">
      <formula>0</formula>
    </cfRule>
  </conditionalFormatting>
  <conditionalFormatting sqref="JJ155">
    <cfRule type="cellIs" dxfId="248" priority="44" operator="lessThan">
      <formula>0</formula>
    </cfRule>
  </conditionalFormatting>
  <conditionalFormatting sqref="A153:AB153 AD153:XFD153">
    <cfRule type="cellIs" dxfId="247" priority="43" operator="equal">
      <formula>0</formula>
    </cfRule>
  </conditionalFormatting>
  <conditionalFormatting sqref="AC20:AC22">
    <cfRule type="cellIs" dxfId="246" priority="42" operator="equal">
      <formula>0</formula>
    </cfRule>
  </conditionalFormatting>
  <conditionalFormatting sqref="AC19">
    <cfRule type="cellIs" dxfId="245" priority="41" operator="equal">
      <formula>0</formula>
    </cfRule>
  </conditionalFormatting>
  <conditionalFormatting sqref="AC29:AC30">
    <cfRule type="cellIs" dxfId="244" priority="40" operator="equal">
      <formula>0</formula>
    </cfRule>
  </conditionalFormatting>
  <conditionalFormatting sqref="AC27">
    <cfRule type="cellIs" dxfId="243" priority="39" operator="equal">
      <formula>0</formula>
    </cfRule>
  </conditionalFormatting>
  <conditionalFormatting sqref="AC28">
    <cfRule type="cellIs" dxfId="242" priority="38" operator="equal">
      <formula>0</formula>
    </cfRule>
  </conditionalFormatting>
  <conditionalFormatting sqref="AC66:AC67 AC54:AC58">
    <cfRule type="cellIs" dxfId="241" priority="37" operator="lessThan">
      <formula>0</formula>
    </cfRule>
  </conditionalFormatting>
  <conditionalFormatting sqref="AC85">
    <cfRule type="cellIs" dxfId="240" priority="36" operator="lessThan">
      <formula>0</formula>
    </cfRule>
  </conditionalFormatting>
  <conditionalFormatting sqref="AC88">
    <cfRule type="cellIs" dxfId="239" priority="35" operator="equal">
      <formula>0</formula>
    </cfRule>
  </conditionalFormatting>
  <conditionalFormatting sqref="AC89">
    <cfRule type="cellIs" dxfId="238" priority="34" operator="equal">
      <formula>0</formula>
    </cfRule>
  </conditionalFormatting>
  <conditionalFormatting sqref="AC90">
    <cfRule type="cellIs" dxfId="237" priority="33" operator="equal">
      <formula>0</formula>
    </cfRule>
  </conditionalFormatting>
  <conditionalFormatting sqref="AC92">
    <cfRule type="cellIs" dxfId="236" priority="32" operator="equal">
      <formula>0</formula>
    </cfRule>
  </conditionalFormatting>
  <conditionalFormatting sqref="AC105">
    <cfRule type="cellIs" dxfId="235" priority="31" operator="lessThan">
      <formula>0</formula>
    </cfRule>
  </conditionalFormatting>
  <conditionalFormatting sqref="AC104">
    <cfRule type="cellIs" dxfId="234" priority="30" operator="lessThan">
      <formula>0</formula>
    </cfRule>
  </conditionalFormatting>
  <conditionalFormatting sqref="AC96">
    <cfRule type="cellIs" dxfId="233" priority="28" operator="lessThan">
      <formula>0</formula>
    </cfRule>
    <cfRule type="cellIs" dxfId="232" priority="29" operator="equal">
      <formula>0</formula>
    </cfRule>
  </conditionalFormatting>
  <conditionalFormatting sqref="AC100">
    <cfRule type="cellIs" dxfId="231" priority="27" operator="greaterThan">
      <formula>1</formula>
    </cfRule>
  </conditionalFormatting>
  <conditionalFormatting sqref="AC93:AC94">
    <cfRule type="cellIs" dxfId="230" priority="26" operator="equal">
      <formula>0</formula>
    </cfRule>
  </conditionalFormatting>
  <conditionalFormatting sqref="AC85">
    <cfRule type="cellIs" dxfId="229" priority="25" operator="equal">
      <formula>0</formula>
    </cfRule>
  </conditionalFormatting>
  <conditionalFormatting sqref="AC113">
    <cfRule type="cellIs" dxfId="228" priority="24" operator="equal">
      <formula>0</formula>
    </cfRule>
  </conditionalFormatting>
  <conditionalFormatting sqref="AC106">
    <cfRule type="colorScale" priority="23">
      <colorScale>
        <cfvo type="min"/>
        <cfvo type="max"/>
        <color theme="7" tint="0.79998168889431442"/>
        <color theme="7" tint="-0.499984740745262"/>
      </colorScale>
    </cfRule>
  </conditionalFormatting>
  <conditionalFormatting sqref="AC103">
    <cfRule type="cellIs" dxfId="227" priority="22" operator="lessThan">
      <formula>0</formula>
    </cfRule>
  </conditionalFormatting>
  <conditionalFormatting sqref="AC117">
    <cfRule type="cellIs" dxfId="226" priority="21" operator="lessThan">
      <formula>0</formula>
    </cfRule>
  </conditionalFormatting>
  <conditionalFormatting sqref="AC107">
    <cfRule type="cellIs" dxfId="225" priority="20" operator="equal">
      <formula>0</formula>
    </cfRule>
  </conditionalFormatting>
  <conditionalFormatting sqref="AC117">
    <cfRule type="cellIs" dxfId="224" priority="19" operator="lessThan">
      <formula>0</formula>
    </cfRule>
  </conditionalFormatting>
  <conditionalFormatting sqref="AC152">
    <cfRule type="cellIs" dxfId="223" priority="18" operator="lessThan">
      <formula>0</formula>
    </cfRule>
  </conditionalFormatting>
  <conditionalFormatting sqref="AC154">
    <cfRule type="cellIs" dxfId="222" priority="17" operator="lessThan">
      <formula>0</formula>
    </cfRule>
  </conditionalFormatting>
  <conditionalFormatting sqref="AC148">
    <cfRule type="cellIs" dxfId="221" priority="16" operator="equal">
      <formula>0</formula>
    </cfRule>
  </conditionalFormatting>
  <conditionalFormatting sqref="AC159">
    <cfRule type="cellIs" dxfId="220" priority="14" operator="lessThan">
      <formula>0</formula>
    </cfRule>
  </conditionalFormatting>
  <conditionalFormatting sqref="AC133">
    <cfRule type="cellIs" dxfId="219" priority="13" operator="lessThan">
      <formula>0</formula>
    </cfRule>
  </conditionalFormatting>
  <conditionalFormatting sqref="AC156">
    <cfRule type="cellIs" dxfId="218" priority="2" operator="lessThan">
      <formula>0</formula>
    </cfRule>
    <cfRule type="cellIs" dxfId="217" priority="12" operator="lessThan">
      <formula>0</formula>
    </cfRule>
  </conditionalFormatting>
  <conditionalFormatting sqref="AC161">
    <cfRule type="cellIs" dxfId="216" priority="11" operator="lessThan">
      <formula>0</formula>
    </cfRule>
  </conditionalFormatting>
  <conditionalFormatting sqref="AC160">
    <cfRule type="cellIs" dxfId="215" priority="10" operator="lessThan">
      <formula>0</formula>
    </cfRule>
  </conditionalFormatting>
  <conditionalFormatting sqref="AC169">
    <cfRule type="cellIs" dxfId="214" priority="9" operator="lessThan">
      <formula>0</formula>
    </cfRule>
  </conditionalFormatting>
  <conditionalFormatting sqref="AC59">
    <cfRule type="cellIs" dxfId="213" priority="8" operator="greaterThan">
      <formula>0.01</formula>
    </cfRule>
  </conditionalFormatting>
  <conditionalFormatting sqref="AC63">
    <cfRule type="cellIs" dxfId="212" priority="7" operator="greaterThan">
      <formula>0</formula>
    </cfRule>
  </conditionalFormatting>
  <conditionalFormatting sqref="AC174">
    <cfRule type="cellIs" dxfId="211" priority="5" operator="lessThan">
      <formula>0</formula>
    </cfRule>
    <cfRule type="cellIs" dxfId="210" priority="6" operator="greaterThan">
      <formula>0</formula>
    </cfRule>
  </conditionalFormatting>
  <conditionalFormatting sqref="AC181">
    <cfRule type="cellIs" dxfId="209" priority="4" operator="lessThan">
      <formula>0</formula>
    </cfRule>
  </conditionalFormatting>
  <conditionalFormatting sqref="AC187">
    <cfRule type="cellIs" dxfId="208" priority="3" operator="lessThan">
      <formula>0</formula>
    </cfRule>
  </conditionalFormatting>
  <conditionalFormatting sqref="AC153">
    <cfRule type="cellIs" dxfId="207" priority="1" operator="equal">
      <formula>0</formula>
    </cfRule>
  </conditionalFormatting>
  <pageMargins left="0.7" right="0.7" top="0.78740157499999996" bottom="0.78740157499999996"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1"/>
  <sheetViews>
    <sheetView workbookViewId="0">
      <pane xSplit="2" ySplit="2" topLeftCell="C283" activePane="bottomRight" state="frozen"/>
      <selection pane="topRight" activeCell="C1" sqref="C1"/>
      <selection pane="bottomLeft" activeCell="A2" sqref="A2"/>
      <selection pane="bottomRight" activeCell="E279" sqref="E279"/>
    </sheetView>
  </sheetViews>
  <sheetFormatPr defaultColWidth="9.28515625" defaultRowHeight="15" x14ac:dyDescent="0.25"/>
  <cols>
    <col min="1" max="1" width="22.28515625" style="313" customWidth="1"/>
    <col min="2" max="2" width="30.5703125" style="313" customWidth="1"/>
    <col min="3" max="3" width="12.28515625" style="313" customWidth="1"/>
    <col min="4" max="4" width="8" style="313" customWidth="1"/>
    <col min="5" max="5" width="10.85546875" style="313" customWidth="1"/>
    <col min="6" max="7" width="9.28515625" style="313"/>
    <col min="8" max="8" width="10.28515625" style="313" customWidth="1"/>
    <col min="9" max="9" width="9.28515625" style="313"/>
    <col min="10" max="10" width="11.5703125" style="313" customWidth="1"/>
    <col min="11" max="13" width="9.28515625" style="313"/>
    <col min="14" max="14" width="10.28515625" style="313" customWidth="1"/>
    <col min="15" max="15" width="12" style="313" customWidth="1"/>
    <col min="16" max="16" width="12.140625" style="313" customWidth="1"/>
    <col min="17" max="17" width="10.28515625" style="313" customWidth="1"/>
    <col min="18" max="18" width="9.28515625" style="313"/>
    <col min="19" max="19" width="13.85546875" style="313" customWidth="1"/>
    <col min="20" max="16384" width="9.28515625" style="313"/>
  </cols>
  <sheetData>
    <row r="1" spans="1:19" x14ac:dyDescent="0.25">
      <c r="C1" s="203">
        <v>1</v>
      </c>
      <c r="D1" s="203">
        <v>2</v>
      </c>
      <c r="E1" s="203">
        <v>3</v>
      </c>
      <c r="F1" s="203">
        <v>4</v>
      </c>
      <c r="G1" s="203">
        <v>5</v>
      </c>
      <c r="H1" s="203">
        <v>6</v>
      </c>
      <c r="I1" s="203">
        <v>7</v>
      </c>
      <c r="J1" s="203">
        <v>8</v>
      </c>
      <c r="K1" s="203">
        <v>9</v>
      </c>
      <c r="L1" s="203">
        <v>10</v>
      </c>
      <c r="M1" s="203">
        <v>11</v>
      </c>
      <c r="N1" s="203">
        <v>12</v>
      </c>
      <c r="O1" s="203">
        <v>13</v>
      </c>
      <c r="P1" s="203">
        <v>14</v>
      </c>
      <c r="Q1" s="203">
        <v>15</v>
      </c>
      <c r="R1" s="203">
        <v>16</v>
      </c>
      <c r="S1" s="203">
        <v>17</v>
      </c>
    </row>
    <row r="2" spans="1:19" ht="60" x14ac:dyDescent="0.25">
      <c r="A2" s="204" t="s">
        <v>40</v>
      </c>
      <c r="B2" s="204" t="s">
        <v>1040</v>
      </c>
      <c r="C2" s="204" t="s">
        <v>1039</v>
      </c>
      <c r="D2" s="204" t="s">
        <v>1538</v>
      </c>
      <c r="E2" s="476" t="s">
        <v>1544</v>
      </c>
      <c r="F2" s="476" t="s">
        <v>2533</v>
      </c>
      <c r="G2" s="476" t="s">
        <v>2527</v>
      </c>
      <c r="H2" s="476" t="s">
        <v>1539</v>
      </c>
      <c r="I2" s="476" t="s">
        <v>1540</v>
      </c>
      <c r="J2" s="476" t="s">
        <v>1543</v>
      </c>
      <c r="K2" s="476" t="s">
        <v>1542</v>
      </c>
      <c r="L2" s="476" t="s">
        <v>1541</v>
      </c>
      <c r="M2" s="476" t="s">
        <v>2528</v>
      </c>
      <c r="N2" s="476" t="s">
        <v>2530</v>
      </c>
      <c r="O2" s="476" t="s">
        <v>1156</v>
      </c>
      <c r="P2" s="476" t="s">
        <v>1835</v>
      </c>
      <c r="Q2" s="476" t="s">
        <v>2531</v>
      </c>
      <c r="R2" s="476" t="s">
        <v>2532</v>
      </c>
      <c r="S2" s="476" t="s">
        <v>1763</v>
      </c>
    </row>
    <row r="3" spans="1:19" x14ac:dyDescent="0.25">
      <c r="A3" s="313" t="s">
        <v>390</v>
      </c>
      <c r="B3" s="313" t="s">
        <v>1003</v>
      </c>
      <c r="C3" s="313">
        <v>1109434</v>
      </c>
      <c r="D3" s="313">
        <v>2018</v>
      </c>
      <c r="E3" s="314">
        <v>200000</v>
      </c>
      <c r="F3" s="314">
        <v>0</v>
      </c>
      <c r="G3" s="314">
        <v>0</v>
      </c>
      <c r="H3" s="314">
        <v>6058100</v>
      </c>
      <c r="I3" s="314">
        <v>0</v>
      </c>
      <c r="J3" s="314">
        <v>0</v>
      </c>
      <c r="K3" s="314">
        <v>0</v>
      </c>
      <c r="L3" s="314">
        <v>0</v>
      </c>
      <c r="M3" s="314">
        <v>0</v>
      </c>
      <c r="N3" s="314">
        <v>0</v>
      </c>
      <c r="O3" s="314">
        <v>2877384</v>
      </c>
      <c r="P3" s="314">
        <f>SUM(N3:O3)</f>
        <v>2877384</v>
      </c>
      <c r="Q3" s="314">
        <v>0</v>
      </c>
      <c r="R3" s="314">
        <v>0</v>
      </c>
      <c r="S3" s="314">
        <v>9135484</v>
      </c>
    </row>
    <row r="4" spans="1:19" x14ac:dyDescent="0.25">
      <c r="A4" s="313" t="s">
        <v>647</v>
      </c>
      <c r="B4" s="313" t="s">
        <v>647</v>
      </c>
      <c r="C4" s="313">
        <v>1272659</v>
      </c>
      <c r="D4" s="313">
        <v>2018</v>
      </c>
      <c r="E4" s="314">
        <v>0</v>
      </c>
      <c r="F4" s="314">
        <v>0</v>
      </c>
      <c r="G4" s="314">
        <v>0</v>
      </c>
      <c r="H4" s="314">
        <v>0</v>
      </c>
      <c r="I4" s="314">
        <v>0</v>
      </c>
      <c r="J4" s="314">
        <v>0</v>
      </c>
      <c r="K4" s="314">
        <v>804152</v>
      </c>
      <c r="L4" s="314">
        <v>0</v>
      </c>
      <c r="M4" s="314">
        <v>0</v>
      </c>
      <c r="N4" s="314">
        <v>0</v>
      </c>
      <c r="O4" s="314">
        <v>206397.66</v>
      </c>
      <c r="P4" s="314">
        <f t="shared" ref="P4:P67" si="0">SUM(N4:O4)</f>
        <v>206397.66</v>
      </c>
      <c r="Q4" s="314">
        <v>0</v>
      </c>
      <c r="R4" s="314">
        <v>0</v>
      </c>
      <c r="S4" s="314">
        <v>1010549.66</v>
      </c>
    </row>
    <row r="5" spans="1:19" x14ac:dyDescent="0.25">
      <c r="A5" s="313" t="s">
        <v>684</v>
      </c>
      <c r="B5" s="313" t="s">
        <v>969</v>
      </c>
      <c r="C5" s="313">
        <v>1622964</v>
      </c>
      <c r="D5" s="313">
        <v>2018</v>
      </c>
      <c r="E5" s="314">
        <v>409430</v>
      </c>
      <c r="F5" s="314">
        <v>0</v>
      </c>
      <c r="G5" s="314">
        <v>0</v>
      </c>
      <c r="H5" s="314">
        <v>2664270</v>
      </c>
      <c r="I5" s="314">
        <v>0</v>
      </c>
      <c r="J5" s="314">
        <v>0</v>
      </c>
      <c r="K5" s="314">
        <v>0</v>
      </c>
      <c r="L5" s="314">
        <v>0</v>
      </c>
      <c r="M5" s="314">
        <v>0</v>
      </c>
      <c r="N5" s="314">
        <v>0</v>
      </c>
      <c r="O5" s="314">
        <v>121000</v>
      </c>
      <c r="P5" s="314">
        <f t="shared" si="0"/>
        <v>121000</v>
      </c>
      <c r="Q5" s="314">
        <v>108000</v>
      </c>
      <c r="R5" s="314">
        <v>0</v>
      </c>
      <c r="S5" s="314">
        <v>3302700</v>
      </c>
    </row>
    <row r="6" spans="1:19" x14ac:dyDescent="0.25">
      <c r="A6" s="313" t="s">
        <v>828</v>
      </c>
      <c r="B6" s="313" t="s">
        <v>826</v>
      </c>
      <c r="C6" s="313">
        <v>2788586</v>
      </c>
      <c r="D6" s="313">
        <v>2018</v>
      </c>
      <c r="E6" s="314">
        <v>0</v>
      </c>
      <c r="F6" s="314">
        <v>0</v>
      </c>
      <c r="G6" s="314">
        <v>0</v>
      </c>
      <c r="H6" s="314">
        <v>260604</v>
      </c>
      <c r="I6" s="314">
        <v>0</v>
      </c>
      <c r="J6" s="314">
        <v>0</v>
      </c>
      <c r="K6" s="314">
        <v>650050</v>
      </c>
      <c r="L6" s="314">
        <v>0</v>
      </c>
      <c r="M6" s="314">
        <v>0</v>
      </c>
      <c r="N6" s="314">
        <v>0</v>
      </c>
      <c r="O6" s="314">
        <v>50000</v>
      </c>
      <c r="P6" s="314">
        <f t="shared" si="0"/>
        <v>50000</v>
      </c>
      <c r="Q6" s="314">
        <v>0</v>
      </c>
      <c r="R6" s="314">
        <v>0</v>
      </c>
      <c r="S6" s="314">
        <v>960654</v>
      </c>
    </row>
    <row r="7" spans="1:19" x14ac:dyDescent="0.25">
      <c r="A7" s="313" t="s">
        <v>496</v>
      </c>
      <c r="B7" s="313" t="s">
        <v>496</v>
      </c>
      <c r="C7" s="313">
        <v>1872907</v>
      </c>
      <c r="D7" s="313">
        <v>2018</v>
      </c>
      <c r="E7" s="314">
        <v>0</v>
      </c>
      <c r="F7" s="314">
        <v>0</v>
      </c>
      <c r="G7" s="314">
        <v>0</v>
      </c>
      <c r="H7" s="314">
        <v>6153800</v>
      </c>
      <c r="I7" s="314">
        <v>0</v>
      </c>
      <c r="J7" s="314">
        <v>3062000</v>
      </c>
      <c r="K7" s="314">
        <v>0</v>
      </c>
      <c r="L7" s="314">
        <v>0</v>
      </c>
      <c r="M7" s="314">
        <v>0</v>
      </c>
      <c r="N7" s="314">
        <v>0</v>
      </c>
      <c r="O7" s="314">
        <v>0</v>
      </c>
      <c r="P7" s="314">
        <f t="shared" si="0"/>
        <v>0</v>
      </c>
      <c r="Q7" s="314">
        <v>0</v>
      </c>
      <c r="R7" s="314">
        <v>0</v>
      </c>
      <c r="S7" s="314">
        <v>9215800</v>
      </c>
    </row>
    <row r="8" spans="1:19" x14ac:dyDescent="0.25">
      <c r="A8" s="313" t="s">
        <v>386</v>
      </c>
      <c r="B8" s="313" t="s">
        <v>384</v>
      </c>
      <c r="C8" s="313">
        <v>1008575</v>
      </c>
      <c r="D8" s="313">
        <v>2018</v>
      </c>
      <c r="E8" s="314">
        <v>458300</v>
      </c>
      <c r="F8" s="314">
        <v>0</v>
      </c>
      <c r="G8" s="314">
        <v>0</v>
      </c>
      <c r="H8" s="314">
        <v>2658000</v>
      </c>
      <c r="I8" s="314">
        <v>0</v>
      </c>
      <c r="J8" s="314">
        <v>0</v>
      </c>
      <c r="K8" s="314">
        <v>0</v>
      </c>
      <c r="L8" s="314">
        <v>0</v>
      </c>
      <c r="M8" s="314">
        <v>0</v>
      </c>
      <c r="N8" s="314">
        <v>107500</v>
      </c>
      <c r="O8" s="314">
        <v>160000</v>
      </c>
      <c r="P8" s="314">
        <f t="shared" si="0"/>
        <v>267500</v>
      </c>
      <c r="Q8" s="314">
        <v>0</v>
      </c>
      <c r="R8" s="314">
        <v>0</v>
      </c>
      <c r="S8" s="314">
        <v>3383800</v>
      </c>
    </row>
    <row r="9" spans="1:19" x14ac:dyDescent="0.25">
      <c r="A9" s="313" t="s">
        <v>1169</v>
      </c>
      <c r="B9" s="313" t="s">
        <v>652</v>
      </c>
      <c r="C9" s="313">
        <v>1514566</v>
      </c>
      <c r="D9" s="313">
        <v>2018</v>
      </c>
      <c r="E9" s="314">
        <v>0</v>
      </c>
      <c r="F9" s="314">
        <v>0</v>
      </c>
      <c r="G9" s="314">
        <v>0</v>
      </c>
      <c r="H9" s="314">
        <v>412000</v>
      </c>
      <c r="I9" s="314">
        <v>0</v>
      </c>
      <c r="J9" s="314">
        <v>0</v>
      </c>
      <c r="K9" s="314">
        <v>0</v>
      </c>
      <c r="L9" s="314">
        <v>0</v>
      </c>
      <c r="M9" s="314">
        <v>0</v>
      </c>
      <c r="N9" s="314">
        <v>0</v>
      </c>
      <c r="O9" s="314">
        <v>1066404</v>
      </c>
      <c r="P9" s="314">
        <f t="shared" si="0"/>
        <v>1066404</v>
      </c>
      <c r="Q9" s="314">
        <v>0</v>
      </c>
      <c r="R9" s="314">
        <v>0</v>
      </c>
      <c r="S9" s="314">
        <v>1478404</v>
      </c>
    </row>
    <row r="10" spans="1:19" x14ac:dyDescent="0.25">
      <c r="A10" s="313" t="s">
        <v>1020</v>
      </c>
      <c r="B10" s="313" t="s">
        <v>1018</v>
      </c>
      <c r="C10" s="313">
        <v>5369609</v>
      </c>
      <c r="D10" s="313">
        <v>2018</v>
      </c>
      <c r="E10" s="314">
        <v>121801</v>
      </c>
      <c r="F10" s="314">
        <v>0</v>
      </c>
      <c r="G10" s="314">
        <v>0</v>
      </c>
      <c r="H10" s="314">
        <v>242004</v>
      </c>
      <c r="I10" s="314">
        <v>0</v>
      </c>
      <c r="J10" s="314">
        <v>0</v>
      </c>
      <c r="K10" s="314">
        <v>1934992</v>
      </c>
      <c r="L10" s="314">
        <v>0</v>
      </c>
      <c r="M10" s="314">
        <v>0</v>
      </c>
      <c r="N10" s="314">
        <v>0</v>
      </c>
      <c r="O10" s="314">
        <v>0</v>
      </c>
      <c r="P10" s="314">
        <f t="shared" si="0"/>
        <v>0</v>
      </c>
      <c r="Q10" s="314">
        <v>0</v>
      </c>
      <c r="R10" s="314">
        <v>0</v>
      </c>
      <c r="S10" s="314">
        <v>2298797</v>
      </c>
    </row>
    <row r="11" spans="1:19" x14ac:dyDescent="0.25">
      <c r="A11" s="313" t="s">
        <v>499</v>
      </c>
      <c r="B11" s="313" t="s">
        <v>499</v>
      </c>
      <c r="C11" s="313">
        <v>9688838</v>
      </c>
      <c r="D11" s="313">
        <v>2018</v>
      </c>
      <c r="E11" s="314">
        <v>0</v>
      </c>
      <c r="F11" s="314">
        <v>0</v>
      </c>
      <c r="G11" s="314">
        <v>0</v>
      </c>
      <c r="H11" s="314">
        <v>11140008</v>
      </c>
      <c r="I11" s="314">
        <v>0</v>
      </c>
      <c r="J11" s="314">
        <v>0</v>
      </c>
      <c r="K11" s="314">
        <v>0</v>
      </c>
      <c r="L11" s="314">
        <v>0</v>
      </c>
      <c r="M11" s="314">
        <v>0</v>
      </c>
      <c r="N11" s="314">
        <v>0</v>
      </c>
      <c r="O11" s="314">
        <v>12590000</v>
      </c>
      <c r="P11" s="314">
        <f t="shared" si="0"/>
        <v>12590000</v>
      </c>
      <c r="Q11" s="314">
        <v>0</v>
      </c>
      <c r="R11" s="314">
        <v>0</v>
      </c>
      <c r="S11" s="314">
        <v>23730008</v>
      </c>
    </row>
    <row r="12" spans="1:19" x14ac:dyDescent="0.25">
      <c r="A12" s="313" t="s">
        <v>1357</v>
      </c>
      <c r="B12" s="313" t="s">
        <v>922</v>
      </c>
      <c r="C12" s="313">
        <v>8051895</v>
      </c>
      <c r="D12" s="313">
        <v>2018</v>
      </c>
      <c r="E12" s="314">
        <v>695040</v>
      </c>
      <c r="F12" s="314">
        <v>0</v>
      </c>
      <c r="G12" s="314">
        <v>0</v>
      </c>
      <c r="H12" s="314">
        <v>2024000</v>
      </c>
      <c r="I12" s="314">
        <v>0</v>
      </c>
      <c r="J12" s="314">
        <v>0</v>
      </c>
      <c r="K12" s="314">
        <v>0</v>
      </c>
      <c r="L12" s="314">
        <v>0</v>
      </c>
      <c r="M12" s="314">
        <v>0</v>
      </c>
      <c r="N12" s="314">
        <v>0</v>
      </c>
      <c r="O12" s="314">
        <v>0</v>
      </c>
      <c r="P12" s="314">
        <f t="shared" si="0"/>
        <v>0</v>
      </c>
      <c r="Q12" s="314">
        <v>0</v>
      </c>
      <c r="R12" s="314">
        <v>0</v>
      </c>
      <c r="S12" s="314">
        <v>2719040</v>
      </c>
    </row>
    <row r="13" spans="1:19" x14ac:dyDescent="0.25">
      <c r="A13" s="313" t="s">
        <v>453</v>
      </c>
      <c r="B13" s="313" t="s">
        <v>453</v>
      </c>
      <c r="C13" s="313">
        <v>4753225</v>
      </c>
      <c r="D13" s="313">
        <v>2018</v>
      </c>
      <c r="E13" s="314">
        <v>0</v>
      </c>
      <c r="F13" s="314">
        <v>0</v>
      </c>
      <c r="G13" s="314">
        <v>0</v>
      </c>
      <c r="H13" s="314">
        <v>13094790</v>
      </c>
      <c r="I13" s="314">
        <v>0</v>
      </c>
      <c r="J13" s="314">
        <v>6141000</v>
      </c>
      <c r="K13" s="314">
        <v>0</v>
      </c>
      <c r="L13" s="314">
        <v>0</v>
      </c>
      <c r="M13" s="314">
        <v>0</v>
      </c>
      <c r="N13" s="314">
        <v>0</v>
      </c>
      <c r="O13" s="314">
        <v>10000</v>
      </c>
      <c r="P13" s="314">
        <f t="shared" si="0"/>
        <v>10000</v>
      </c>
      <c r="Q13" s="314">
        <v>0</v>
      </c>
      <c r="R13" s="314">
        <v>0</v>
      </c>
      <c r="S13" s="314">
        <v>19245790</v>
      </c>
    </row>
    <row r="14" spans="1:19" x14ac:dyDescent="0.25">
      <c r="A14" s="313" t="s">
        <v>420</v>
      </c>
      <c r="B14" s="313" t="s">
        <v>420</v>
      </c>
      <c r="C14" s="313">
        <v>4721932</v>
      </c>
      <c r="D14" s="313">
        <v>2018</v>
      </c>
      <c r="E14" s="314">
        <v>0</v>
      </c>
      <c r="F14" s="314">
        <v>0</v>
      </c>
      <c r="G14" s="314">
        <v>916586</v>
      </c>
      <c r="H14" s="314">
        <v>17421500</v>
      </c>
      <c r="I14" s="314">
        <v>0</v>
      </c>
      <c r="J14" s="314">
        <v>8244000</v>
      </c>
      <c r="K14" s="314">
        <v>0</v>
      </c>
      <c r="L14" s="314">
        <v>0</v>
      </c>
      <c r="M14" s="314">
        <v>0</v>
      </c>
      <c r="N14" s="314">
        <v>0</v>
      </c>
      <c r="O14" s="314">
        <v>0</v>
      </c>
      <c r="P14" s="314">
        <f t="shared" si="0"/>
        <v>0</v>
      </c>
      <c r="Q14" s="314">
        <v>0</v>
      </c>
      <c r="R14" s="314">
        <v>0</v>
      </c>
      <c r="S14" s="314">
        <v>26582086</v>
      </c>
    </row>
    <row r="15" spans="1:19" x14ac:dyDescent="0.25">
      <c r="A15" s="313" t="s">
        <v>1210</v>
      </c>
      <c r="B15" s="313" t="s">
        <v>613</v>
      </c>
      <c r="C15" s="313">
        <v>6428468</v>
      </c>
      <c r="D15" s="313">
        <v>2018</v>
      </c>
      <c r="E15" s="314">
        <v>0</v>
      </c>
      <c r="F15" s="314">
        <v>0</v>
      </c>
      <c r="G15" s="314">
        <v>0</v>
      </c>
      <c r="H15" s="314">
        <v>2581040</v>
      </c>
      <c r="I15" s="314">
        <v>0</v>
      </c>
      <c r="J15" s="314">
        <v>0</v>
      </c>
      <c r="K15" s="314">
        <v>0</v>
      </c>
      <c r="L15" s="314">
        <v>0</v>
      </c>
      <c r="M15" s="314">
        <v>0</v>
      </c>
      <c r="N15" s="314">
        <v>0</v>
      </c>
      <c r="O15" s="314">
        <v>1813013</v>
      </c>
      <c r="P15" s="314">
        <f t="shared" si="0"/>
        <v>1813013</v>
      </c>
      <c r="Q15" s="314">
        <v>0</v>
      </c>
      <c r="R15" s="314">
        <v>0</v>
      </c>
      <c r="S15" s="314">
        <v>4394053</v>
      </c>
    </row>
    <row r="16" spans="1:19" x14ac:dyDescent="0.25">
      <c r="A16" s="313" t="s">
        <v>1208</v>
      </c>
      <c r="B16" s="313" t="s">
        <v>610</v>
      </c>
      <c r="C16" s="313">
        <v>6232669</v>
      </c>
      <c r="D16" s="313">
        <v>2018</v>
      </c>
      <c r="E16" s="314">
        <v>0</v>
      </c>
      <c r="F16" s="314">
        <v>0</v>
      </c>
      <c r="G16" s="314">
        <v>0</v>
      </c>
      <c r="H16" s="314">
        <v>1204392</v>
      </c>
      <c r="I16" s="314">
        <v>0</v>
      </c>
      <c r="J16" s="314">
        <v>0</v>
      </c>
      <c r="K16" s="314">
        <v>0</v>
      </c>
      <c r="L16" s="314">
        <v>0</v>
      </c>
      <c r="M16" s="314">
        <v>0</v>
      </c>
      <c r="N16" s="314">
        <v>60042</v>
      </c>
      <c r="O16" s="314">
        <v>1117341</v>
      </c>
      <c r="P16" s="314">
        <f t="shared" si="0"/>
        <v>1177383</v>
      </c>
      <c r="Q16" s="314">
        <v>0</v>
      </c>
      <c r="R16" s="314">
        <v>0</v>
      </c>
      <c r="S16" s="314">
        <v>2381775</v>
      </c>
    </row>
    <row r="17" spans="1:19" x14ac:dyDescent="0.25">
      <c r="A17" s="313" t="s">
        <v>1832</v>
      </c>
      <c r="B17" s="313" t="s">
        <v>1833</v>
      </c>
      <c r="C17" s="313">
        <v>6311728</v>
      </c>
      <c r="D17" s="313">
        <v>2018</v>
      </c>
      <c r="E17" s="314">
        <v>0</v>
      </c>
      <c r="F17" s="314">
        <v>0</v>
      </c>
      <c r="G17" s="314">
        <v>0</v>
      </c>
      <c r="H17" s="314">
        <v>0</v>
      </c>
      <c r="I17" s="314">
        <v>0</v>
      </c>
      <c r="J17" s="314">
        <v>0</v>
      </c>
      <c r="K17" s="314">
        <v>0</v>
      </c>
      <c r="L17" s="314">
        <v>0</v>
      </c>
      <c r="M17" s="314">
        <v>0</v>
      </c>
      <c r="N17" s="314">
        <v>0</v>
      </c>
      <c r="O17" s="314">
        <v>0</v>
      </c>
      <c r="P17" s="314">
        <f t="shared" si="0"/>
        <v>0</v>
      </c>
      <c r="Q17" s="314">
        <v>0</v>
      </c>
      <c r="R17" s="314">
        <v>0</v>
      </c>
      <c r="S17" s="314">
        <v>0</v>
      </c>
    </row>
    <row r="18" spans="1:19" x14ac:dyDescent="0.25">
      <c r="A18" s="313" t="s">
        <v>1264</v>
      </c>
      <c r="B18" s="313" t="s">
        <v>531</v>
      </c>
      <c r="C18" s="313">
        <v>6749255</v>
      </c>
      <c r="D18" s="313">
        <v>2018</v>
      </c>
      <c r="E18" s="314">
        <v>0</v>
      </c>
      <c r="F18" s="314">
        <v>0</v>
      </c>
      <c r="G18" s="314">
        <v>0</v>
      </c>
      <c r="H18" s="314">
        <v>888168</v>
      </c>
      <c r="I18" s="314">
        <v>0</v>
      </c>
      <c r="J18" s="314">
        <v>0</v>
      </c>
      <c r="K18" s="314">
        <v>0</v>
      </c>
      <c r="L18" s="314">
        <v>389927</v>
      </c>
      <c r="M18" s="314">
        <v>0</v>
      </c>
      <c r="N18" s="314">
        <v>0</v>
      </c>
      <c r="O18" s="314">
        <v>583000</v>
      </c>
      <c r="P18" s="314">
        <f t="shared" si="0"/>
        <v>583000</v>
      </c>
      <c r="Q18" s="314">
        <v>18000</v>
      </c>
      <c r="R18" s="314">
        <v>0</v>
      </c>
      <c r="S18" s="314">
        <v>1879095</v>
      </c>
    </row>
    <row r="19" spans="1:19" x14ac:dyDescent="0.25">
      <c r="A19" s="313" t="s">
        <v>314</v>
      </c>
      <c r="B19" s="313" t="s">
        <v>312</v>
      </c>
      <c r="C19" s="313">
        <v>4309907</v>
      </c>
      <c r="D19" s="313">
        <v>2018</v>
      </c>
      <c r="E19" s="314">
        <v>247274</v>
      </c>
      <c r="F19" s="314">
        <v>0</v>
      </c>
      <c r="G19" s="314">
        <v>0</v>
      </c>
      <c r="H19" s="314">
        <v>1726120</v>
      </c>
      <c r="I19" s="314">
        <v>0</v>
      </c>
      <c r="J19" s="314">
        <v>0</v>
      </c>
      <c r="K19" s="314">
        <v>0</v>
      </c>
      <c r="L19" s="314">
        <v>0</v>
      </c>
      <c r="M19" s="314">
        <v>0</v>
      </c>
      <c r="N19" s="314">
        <v>7480</v>
      </c>
      <c r="O19" s="314">
        <v>353636</v>
      </c>
      <c r="P19" s="314">
        <f t="shared" si="0"/>
        <v>361116</v>
      </c>
      <c r="Q19" s="314">
        <v>0</v>
      </c>
      <c r="R19" s="314">
        <v>0</v>
      </c>
      <c r="S19" s="314">
        <v>2334510</v>
      </c>
    </row>
    <row r="20" spans="1:19" x14ac:dyDescent="0.25">
      <c r="A20" s="313" t="s">
        <v>1535</v>
      </c>
      <c r="B20" s="313" t="s">
        <v>1533</v>
      </c>
      <c r="C20" s="313">
        <v>4385424</v>
      </c>
      <c r="D20" s="313">
        <v>2018</v>
      </c>
      <c r="E20" s="314">
        <v>0</v>
      </c>
      <c r="F20" s="314">
        <v>0</v>
      </c>
      <c r="G20" s="314">
        <v>0</v>
      </c>
      <c r="H20" s="314">
        <v>0</v>
      </c>
      <c r="I20" s="314">
        <v>1929432</v>
      </c>
      <c r="J20" s="314">
        <v>0</v>
      </c>
      <c r="K20" s="314">
        <v>0</v>
      </c>
      <c r="L20" s="314">
        <v>0</v>
      </c>
      <c r="M20" s="314">
        <v>0</v>
      </c>
      <c r="N20" s="314">
        <v>0</v>
      </c>
      <c r="O20" s="314">
        <v>52000</v>
      </c>
      <c r="P20" s="314">
        <f t="shared" si="0"/>
        <v>52000</v>
      </c>
      <c r="Q20" s="314">
        <v>0</v>
      </c>
      <c r="R20" s="314">
        <v>0</v>
      </c>
      <c r="S20" s="314">
        <v>1981432</v>
      </c>
    </row>
    <row r="21" spans="1:19" x14ac:dyDescent="0.25">
      <c r="A21" s="313" t="s">
        <v>1516</v>
      </c>
      <c r="B21" s="313" t="s">
        <v>1515</v>
      </c>
      <c r="C21" s="313">
        <v>8098643</v>
      </c>
      <c r="D21" s="313">
        <v>2018</v>
      </c>
      <c r="E21" s="314">
        <v>341130</v>
      </c>
      <c r="F21" s="314">
        <v>0</v>
      </c>
      <c r="G21" s="314">
        <v>0</v>
      </c>
      <c r="H21" s="314">
        <v>0</v>
      </c>
      <c r="I21" s="314">
        <v>0</v>
      </c>
      <c r="J21" s="314">
        <v>0</v>
      </c>
      <c r="K21" s="314">
        <v>1306744</v>
      </c>
      <c r="L21" s="314">
        <v>0</v>
      </c>
      <c r="M21" s="314">
        <v>0</v>
      </c>
      <c r="N21" s="314">
        <v>0</v>
      </c>
      <c r="O21" s="314">
        <v>0</v>
      </c>
      <c r="P21" s="314">
        <f t="shared" si="0"/>
        <v>0</v>
      </c>
      <c r="Q21" s="314">
        <v>0</v>
      </c>
      <c r="R21" s="314">
        <v>0</v>
      </c>
      <c r="S21" s="314">
        <v>1647874</v>
      </c>
    </row>
    <row r="22" spans="1:19" x14ac:dyDescent="0.25">
      <c r="A22" s="313" t="s">
        <v>1296</v>
      </c>
      <c r="B22" s="313" t="s">
        <v>1297</v>
      </c>
      <c r="C22" s="313">
        <v>6684022</v>
      </c>
      <c r="D22" s="313">
        <v>2018</v>
      </c>
      <c r="E22" s="314">
        <v>1588056</v>
      </c>
      <c r="F22" s="314">
        <v>0</v>
      </c>
      <c r="G22" s="314">
        <v>0</v>
      </c>
      <c r="H22" s="314">
        <v>2044000</v>
      </c>
      <c r="I22" s="314">
        <v>0</v>
      </c>
      <c r="J22" s="314">
        <v>0</v>
      </c>
      <c r="K22" s="314">
        <v>0</v>
      </c>
      <c r="L22" s="314">
        <v>0</v>
      </c>
      <c r="M22" s="314">
        <v>0</v>
      </c>
      <c r="N22" s="314">
        <v>26500</v>
      </c>
      <c r="O22" s="314">
        <v>750500</v>
      </c>
      <c r="P22" s="314">
        <f t="shared" si="0"/>
        <v>777000</v>
      </c>
      <c r="Q22" s="314">
        <v>0</v>
      </c>
      <c r="R22" s="314">
        <v>0</v>
      </c>
      <c r="S22" s="314">
        <v>4409056</v>
      </c>
    </row>
    <row r="23" spans="1:19" x14ac:dyDescent="0.25">
      <c r="A23" s="313" t="s">
        <v>1176</v>
      </c>
      <c r="B23" s="313" t="s">
        <v>1176</v>
      </c>
      <c r="C23" s="313">
        <v>1826777</v>
      </c>
      <c r="D23" s="313">
        <v>2018</v>
      </c>
      <c r="E23" s="314">
        <v>200000</v>
      </c>
      <c r="F23" s="314">
        <v>0</v>
      </c>
      <c r="G23" s="314">
        <v>0</v>
      </c>
      <c r="H23" s="314">
        <v>2891200</v>
      </c>
      <c r="I23" s="314">
        <v>0</v>
      </c>
      <c r="J23" s="314">
        <v>0</v>
      </c>
      <c r="K23" s="314">
        <v>0</v>
      </c>
      <c r="L23" s="314">
        <v>0</v>
      </c>
      <c r="M23" s="314">
        <v>0</v>
      </c>
      <c r="N23" s="314">
        <v>0</v>
      </c>
      <c r="O23" s="314">
        <v>370000</v>
      </c>
      <c r="P23" s="314">
        <f t="shared" si="0"/>
        <v>370000</v>
      </c>
      <c r="Q23" s="314">
        <v>0</v>
      </c>
      <c r="R23" s="314">
        <v>0</v>
      </c>
      <c r="S23" s="314">
        <v>3461200</v>
      </c>
    </row>
    <row r="24" spans="1:19" x14ac:dyDescent="0.25">
      <c r="A24" s="313" t="s">
        <v>1251</v>
      </c>
      <c r="B24" s="313" t="s">
        <v>568</v>
      </c>
      <c r="C24" s="313">
        <v>1441233</v>
      </c>
      <c r="D24" s="313">
        <v>2018</v>
      </c>
      <c r="E24" s="314">
        <v>172190</v>
      </c>
      <c r="F24" s="314">
        <v>0</v>
      </c>
      <c r="G24" s="314">
        <v>0</v>
      </c>
      <c r="H24" s="314">
        <v>2656810</v>
      </c>
      <c r="I24" s="314">
        <v>0</v>
      </c>
      <c r="J24" s="314">
        <v>0</v>
      </c>
      <c r="K24" s="314">
        <v>0</v>
      </c>
      <c r="L24" s="314">
        <v>0</v>
      </c>
      <c r="M24" s="314">
        <v>0</v>
      </c>
      <c r="N24" s="314">
        <v>38000</v>
      </c>
      <c r="O24" s="314">
        <v>145950</v>
      </c>
      <c r="P24" s="314">
        <f t="shared" si="0"/>
        <v>183950</v>
      </c>
      <c r="Q24" s="314">
        <v>0</v>
      </c>
      <c r="R24" s="314">
        <v>0</v>
      </c>
      <c r="S24" s="314">
        <v>3012950</v>
      </c>
    </row>
    <row r="25" spans="1:19" x14ac:dyDescent="0.25">
      <c r="A25" s="313" t="s">
        <v>447</v>
      </c>
      <c r="B25" s="313" t="s">
        <v>447</v>
      </c>
      <c r="C25" s="313">
        <v>2837121</v>
      </c>
      <c r="D25" s="313">
        <v>2018</v>
      </c>
      <c r="E25" s="314">
        <v>0</v>
      </c>
      <c r="F25" s="314">
        <v>0</v>
      </c>
      <c r="G25" s="314">
        <v>0</v>
      </c>
      <c r="H25" s="314">
        <v>4591000</v>
      </c>
      <c r="I25" s="314">
        <v>0</v>
      </c>
      <c r="J25" s="314">
        <v>2007447</v>
      </c>
      <c r="K25" s="314">
        <v>0</v>
      </c>
      <c r="L25" s="314">
        <v>0</v>
      </c>
      <c r="M25" s="314">
        <v>0</v>
      </c>
      <c r="N25" s="314">
        <v>0</v>
      </c>
      <c r="O25" s="314">
        <v>0</v>
      </c>
      <c r="P25" s="314">
        <f t="shared" si="0"/>
        <v>0</v>
      </c>
      <c r="Q25" s="314">
        <v>0</v>
      </c>
      <c r="R25" s="314">
        <v>0</v>
      </c>
      <c r="S25" s="314">
        <v>6598447</v>
      </c>
    </row>
    <row r="26" spans="1:19" x14ac:dyDescent="0.25">
      <c r="A26" s="313" t="s">
        <v>1251</v>
      </c>
      <c r="B26" s="313" t="s">
        <v>568</v>
      </c>
      <c r="C26" s="313">
        <v>1961902</v>
      </c>
      <c r="D26" s="313">
        <v>2018</v>
      </c>
      <c r="E26" s="314">
        <v>816115</v>
      </c>
      <c r="F26" s="314">
        <v>0</v>
      </c>
      <c r="G26" s="314">
        <v>0</v>
      </c>
      <c r="H26" s="314">
        <v>2079300</v>
      </c>
      <c r="I26" s="314">
        <v>0</v>
      </c>
      <c r="J26" s="314">
        <v>0</v>
      </c>
      <c r="K26" s="314">
        <v>0</v>
      </c>
      <c r="L26" s="314">
        <v>0</v>
      </c>
      <c r="M26" s="314">
        <v>0</v>
      </c>
      <c r="N26" s="314">
        <v>28000</v>
      </c>
      <c r="O26" s="314">
        <v>210000</v>
      </c>
      <c r="P26" s="314">
        <f t="shared" si="0"/>
        <v>238000</v>
      </c>
      <c r="Q26" s="314">
        <v>0</v>
      </c>
      <c r="R26" s="314">
        <v>0</v>
      </c>
      <c r="S26" s="314">
        <v>3133415</v>
      </c>
    </row>
    <row r="27" spans="1:19" x14ac:dyDescent="0.25">
      <c r="A27" s="313" t="s">
        <v>1448</v>
      </c>
      <c r="B27" s="313" t="s">
        <v>1067</v>
      </c>
      <c r="C27" s="313">
        <v>1792038</v>
      </c>
      <c r="D27" s="313">
        <v>2018</v>
      </c>
      <c r="E27" s="314">
        <v>0</v>
      </c>
      <c r="F27" s="314">
        <v>0</v>
      </c>
      <c r="G27" s="314">
        <v>0</v>
      </c>
      <c r="H27" s="314">
        <v>847644</v>
      </c>
      <c r="I27" s="314">
        <v>0</v>
      </c>
      <c r="J27" s="314">
        <v>0</v>
      </c>
      <c r="K27" s="314">
        <v>0</v>
      </c>
      <c r="L27" s="314">
        <v>0</v>
      </c>
      <c r="M27" s="314">
        <v>0</v>
      </c>
      <c r="N27" s="314">
        <v>0</v>
      </c>
      <c r="O27" s="314">
        <v>110000</v>
      </c>
      <c r="P27" s="314">
        <f t="shared" si="0"/>
        <v>110000</v>
      </c>
      <c r="Q27" s="314">
        <v>118790</v>
      </c>
      <c r="R27" s="314">
        <v>66271.09</v>
      </c>
      <c r="S27" s="314">
        <v>1142705.0900000001</v>
      </c>
    </row>
    <row r="28" spans="1:19" x14ac:dyDescent="0.25">
      <c r="A28" s="313" t="s">
        <v>1355</v>
      </c>
      <c r="B28" s="313" t="s">
        <v>760</v>
      </c>
      <c r="C28" s="313">
        <v>6627771</v>
      </c>
      <c r="D28" s="313">
        <v>2018</v>
      </c>
      <c r="E28" s="314">
        <v>56763</v>
      </c>
      <c r="F28" s="314">
        <v>0</v>
      </c>
      <c r="G28" s="314">
        <v>0</v>
      </c>
      <c r="H28" s="314">
        <v>467300</v>
      </c>
      <c r="I28" s="314">
        <v>0</v>
      </c>
      <c r="J28" s="314">
        <v>0</v>
      </c>
      <c r="K28" s="314">
        <v>0</v>
      </c>
      <c r="L28" s="314">
        <v>0</v>
      </c>
      <c r="M28" s="314">
        <v>0</v>
      </c>
      <c r="N28" s="314">
        <v>0</v>
      </c>
      <c r="O28" s="314">
        <v>0</v>
      </c>
      <c r="P28" s="314">
        <f t="shared" si="0"/>
        <v>0</v>
      </c>
      <c r="Q28" s="314">
        <v>0</v>
      </c>
      <c r="R28" s="314">
        <v>0</v>
      </c>
      <c r="S28" s="314">
        <v>524063</v>
      </c>
    </row>
    <row r="29" spans="1:19" x14ac:dyDescent="0.25">
      <c r="A29" s="313" t="s">
        <v>464</v>
      </c>
      <c r="B29" s="313" t="s">
        <v>464</v>
      </c>
      <c r="C29" s="313">
        <v>3943362</v>
      </c>
      <c r="D29" s="313">
        <v>2018</v>
      </c>
      <c r="E29" s="314">
        <v>0</v>
      </c>
      <c r="F29" s="314">
        <v>0</v>
      </c>
      <c r="G29" s="314">
        <v>0</v>
      </c>
      <c r="H29" s="314">
        <v>6039606</v>
      </c>
      <c r="I29" s="314">
        <v>0</v>
      </c>
      <c r="J29" s="314">
        <v>2471000</v>
      </c>
      <c r="K29" s="314">
        <v>0</v>
      </c>
      <c r="L29" s="314">
        <v>0</v>
      </c>
      <c r="M29" s="314">
        <v>0</v>
      </c>
      <c r="N29" s="314">
        <v>0</v>
      </c>
      <c r="O29" s="314">
        <v>0</v>
      </c>
      <c r="P29" s="314">
        <f t="shared" si="0"/>
        <v>0</v>
      </c>
      <c r="Q29" s="314">
        <v>0</v>
      </c>
      <c r="R29" s="314">
        <v>0</v>
      </c>
      <c r="S29" s="314">
        <v>8510606</v>
      </c>
    </row>
    <row r="30" spans="1:19" x14ac:dyDescent="0.25">
      <c r="A30" s="313" t="s">
        <v>386</v>
      </c>
      <c r="B30" s="313" t="s">
        <v>1175</v>
      </c>
      <c r="C30" s="313">
        <v>1686476</v>
      </c>
      <c r="D30" s="313">
        <v>2018</v>
      </c>
      <c r="E30" s="314">
        <v>255000</v>
      </c>
      <c r="F30" s="314">
        <v>0</v>
      </c>
      <c r="G30" s="314">
        <v>0</v>
      </c>
      <c r="H30" s="314">
        <v>4722300</v>
      </c>
      <c r="I30" s="314">
        <v>0</v>
      </c>
      <c r="J30" s="314">
        <v>0</v>
      </c>
      <c r="K30" s="314">
        <v>0</v>
      </c>
      <c r="L30" s="314">
        <v>0</v>
      </c>
      <c r="M30" s="314">
        <v>0</v>
      </c>
      <c r="N30" s="314">
        <v>0</v>
      </c>
      <c r="O30" s="314">
        <v>3375000</v>
      </c>
      <c r="P30" s="314">
        <f t="shared" si="0"/>
        <v>3375000</v>
      </c>
      <c r="Q30" s="314">
        <v>0</v>
      </c>
      <c r="R30" s="314">
        <v>0</v>
      </c>
      <c r="S30" s="314">
        <v>8352300</v>
      </c>
    </row>
    <row r="31" spans="1:19" x14ac:dyDescent="0.25">
      <c r="A31" s="313" t="s">
        <v>1343</v>
      </c>
      <c r="B31" s="313" t="s">
        <v>515</v>
      </c>
      <c r="C31" s="313">
        <v>5804478</v>
      </c>
      <c r="D31" s="313">
        <v>2018</v>
      </c>
      <c r="E31" s="314">
        <v>0</v>
      </c>
      <c r="F31" s="314">
        <v>0</v>
      </c>
      <c r="G31" s="314">
        <v>0</v>
      </c>
      <c r="H31" s="314">
        <v>9289293</v>
      </c>
      <c r="I31" s="314">
        <v>0</v>
      </c>
      <c r="J31" s="314">
        <v>2177720</v>
      </c>
      <c r="K31" s="314">
        <v>0</v>
      </c>
      <c r="L31" s="314">
        <v>0</v>
      </c>
      <c r="M31" s="314">
        <v>0</v>
      </c>
      <c r="N31" s="314">
        <v>0</v>
      </c>
      <c r="O31" s="314">
        <v>0</v>
      </c>
      <c r="P31" s="314">
        <f t="shared" si="0"/>
        <v>0</v>
      </c>
      <c r="Q31" s="314">
        <v>0</v>
      </c>
      <c r="R31" s="314">
        <v>10000</v>
      </c>
      <c r="S31" s="314">
        <v>11477013</v>
      </c>
    </row>
    <row r="32" spans="1:19" x14ac:dyDescent="0.25">
      <c r="A32" s="313" t="s">
        <v>506</v>
      </c>
      <c r="B32" s="313" t="s">
        <v>506</v>
      </c>
      <c r="C32" s="313">
        <v>9445282</v>
      </c>
      <c r="D32" s="313">
        <v>2018</v>
      </c>
      <c r="E32" s="314">
        <v>0</v>
      </c>
      <c r="F32" s="314">
        <v>0</v>
      </c>
      <c r="G32" s="314">
        <v>0</v>
      </c>
      <c r="H32" s="314">
        <v>14790692</v>
      </c>
      <c r="I32" s="314">
        <v>0</v>
      </c>
      <c r="J32" s="314">
        <v>6314000</v>
      </c>
      <c r="K32" s="314">
        <v>0</v>
      </c>
      <c r="L32" s="314">
        <v>0</v>
      </c>
      <c r="M32" s="314">
        <v>0</v>
      </c>
      <c r="N32" s="314">
        <v>0</v>
      </c>
      <c r="O32" s="314">
        <v>0</v>
      </c>
      <c r="P32" s="314">
        <f t="shared" si="0"/>
        <v>0</v>
      </c>
      <c r="Q32" s="314">
        <v>0</v>
      </c>
      <c r="R32" s="314">
        <v>0</v>
      </c>
      <c r="S32" s="314">
        <v>21104692</v>
      </c>
    </row>
    <row r="33" spans="1:19" x14ac:dyDescent="0.25">
      <c r="A33" s="313" t="s">
        <v>472</v>
      </c>
      <c r="B33" s="313" t="s">
        <v>472</v>
      </c>
      <c r="C33" s="313">
        <v>1991772</v>
      </c>
      <c r="D33" s="313">
        <v>2018</v>
      </c>
      <c r="E33" s="314">
        <v>0</v>
      </c>
      <c r="F33" s="314">
        <v>0</v>
      </c>
      <c r="G33" s="314">
        <v>0</v>
      </c>
      <c r="H33" s="314">
        <v>6225000</v>
      </c>
      <c r="I33" s="314">
        <v>0</v>
      </c>
      <c r="J33" s="314">
        <v>2399500</v>
      </c>
      <c r="K33" s="314">
        <v>0</v>
      </c>
      <c r="L33" s="314">
        <v>0</v>
      </c>
      <c r="M33" s="314">
        <v>0</v>
      </c>
      <c r="N33" s="314">
        <v>0</v>
      </c>
      <c r="O33" s="314">
        <v>0</v>
      </c>
      <c r="P33" s="314">
        <f t="shared" si="0"/>
        <v>0</v>
      </c>
      <c r="Q33" s="314">
        <v>0</v>
      </c>
      <c r="R33" s="314">
        <v>0</v>
      </c>
      <c r="S33" s="314">
        <v>8624500</v>
      </c>
    </row>
    <row r="34" spans="1:19" x14ac:dyDescent="0.25">
      <c r="A34" s="313" t="s">
        <v>585</v>
      </c>
      <c r="B34" s="313" t="s">
        <v>585</v>
      </c>
      <c r="C34" s="313">
        <v>5943218</v>
      </c>
      <c r="D34" s="313">
        <v>2018</v>
      </c>
      <c r="E34" s="314">
        <v>134870</v>
      </c>
      <c r="F34" s="314">
        <v>0</v>
      </c>
      <c r="G34" s="314">
        <v>0</v>
      </c>
      <c r="H34" s="314">
        <v>1161520</v>
      </c>
      <c r="I34" s="314">
        <v>0</v>
      </c>
      <c r="J34" s="314">
        <v>0</v>
      </c>
      <c r="K34" s="314">
        <v>0</v>
      </c>
      <c r="L34" s="314">
        <v>0</v>
      </c>
      <c r="M34" s="314">
        <v>0</v>
      </c>
      <c r="N34" s="314">
        <v>0</v>
      </c>
      <c r="O34" s="314">
        <v>176000</v>
      </c>
      <c r="P34" s="314">
        <f t="shared" si="0"/>
        <v>176000</v>
      </c>
      <c r="Q34" s="314">
        <v>0</v>
      </c>
      <c r="R34" s="314">
        <v>0</v>
      </c>
      <c r="S34" s="314">
        <v>1472390</v>
      </c>
    </row>
    <row r="35" spans="1:19" x14ac:dyDescent="0.25">
      <c r="A35" s="313" t="s">
        <v>1108</v>
      </c>
      <c r="B35" s="313" t="s">
        <v>585</v>
      </c>
      <c r="C35" s="313">
        <v>8299792</v>
      </c>
      <c r="D35" s="313">
        <v>2018</v>
      </c>
      <c r="E35" s="314">
        <v>112000</v>
      </c>
      <c r="F35" s="314">
        <v>0</v>
      </c>
      <c r="G35" s="314">
        <v>0</v>
      </c>
      <c r="H35" s="314">
        <v>1044820</v>
      </c>
      <c r="I35" s="314">
        <v>0</v>
      </c>
      <c r="J35" s="314">
        <v>0</v>
      </c>
      <c r="K35" s="314">
        <v>0</v>
      </c>
      <c r="L35" s="314">
        <v>0</v>
      </c>
      <c r="M35" s="314">
        <v>0</v>
      </c>
      <c r="N35" s="314">
        <v>0</v>
      </c>
      <c r="O35" s="314">
        <v>304000</v>
      </c>
      <c r="P35" s="314">
        <f t="shared" si="0"/>
        <v>304000</v>
      </c>
      <c r="Q35" s="314">
        <v>0</v>
      </c>
      <c r="R35" s="314">
        <v>0</v>
      </c>
      <c r="S35" s="314">
        <v>1460820</v>
      </c>
    </row>
    <row r="36" spans="1:19" x14ac:dyDescent="0.25">
      <c r="A36" s="313" t="s">
        <v>372</v>
      </c>
      <c r="B36" s="313" t="s">
        <v>367</v>
      </c>
      <c r="C36" s="313">
        <v>8946698</v>
      </c>
      <c r="D36" s="313">
        <v>2018</v>
      </c>
      <c r="E36" s="314">
        <v>0</v>
      </c>
      <c r="F36" s="314">
        <v>0</v>
      </c>
      <c r="G36" s="314">
        <v>0</v>
      </c>
      <c r="H36" s="314">
        <v>1518400</v>
      </c>
      <c r="I36" s="314">
        <v>0</v>
      </c>
      <c r="J36" s="314">
        <v>0</v>
      </c>
      <c r="K36" s="314">
        <v>2211420</v>
      </c>
      <c r="L36" s="314">
        <v>0</v>
      </c>
      <c r="M36" s="314">
        <v>0</v>
      </c>
      <c r="N36" s="314">
        <v>0</v>
      </c>
      <c r="O36" s="314">
        <v>180000</v>
      </c>
      <c r="P36" s="314">
        <f t="shared" si="0"/>
        <v>180000</v>
      </c>
      <c r="Q36" s="314">
        <v>0</v>
      </c>
      <c r="R36" s="314">
        <v>0</v>
      </c>
      <c r="S36" s="314">
        <v>3909820</v>
      </c>
    </row>
    <row r="37" spans="1:19" x14ac:dyDescent="0.25">
      <c r="A37" s="313" t="s">
        <v>425</v>
      </c>
      <c r="B37" s="313" t="s">
        <v>425</v>
      </c>
      <c r="C37" s="313">
        <v>3446957</v>
      </c>
      <c r="D37" s="313">
        <v>2018</v>
      </c>
      <c r="E37" s="314">
        <v>0</v>
      </c>
      <c r="F37" s="314">
        <v>0</v>
      </c>
      <c r="G37" s="314">
        <v>0</v>
      </c>
      <c r="H37" s="314">
        <v>491776</v>
      </c>
      <c r="I37" s="314">
        <v>0</v>
      </c>
      <c r="J37" s="314">
        <v>579013.87</v>
      </c>
      <c r="K37" s="314">
        <v>0</v>
      </c>
      <c r="L37" s="314">
        <v>0</v>
      </c>
      <c r="M37" s="314">
        <v>0</v>
      </c>
      <c r="N37" s="314">
        <v>0</v>
      </c>
      <c r="O37" s="314">
        <v>0</v>
      </c>
      <c r="P37" s="314">
        <f t="shared" si="0"/>
        <v>0</v>
      </c>
      <c r="Q37" s="314">
        <v>0</v>
      </c>
      <c r="R37" s="314">
        <v>0</v>
      </c>
      <c r="S37" s="314">
        <v>1070789.8700000001</v>
      </c>
    </row>
    <row r="38" spans="1:19" x14ac:dyDescent="0.25">
      <c r="A38" s="313" t="s">
        <v>415</v>
      </c>
      <c r="B38" s="313" t="s">
        <v>415</v>
      </c>
      <c r="C38" s="313">
        <v>1905494</v>
      </c>
      <c r="D38" s="313">
        <v>2018</v>
      </c>
      <c r="E38" s="314">
        <v>0</v>
      </c>
      <c r="F38" s="314">
        <v>0</v>
      </c>
      <c r="G38" s="314">
        <v>0</v>
      </c>
      <c r="H38" s="314">
        <v>3258000</v>
      </c>
      <c r="I38" s="314">
        <v>0</v>
      </c>
      <c r="J38" s="314">
        <v>0</v>
      </c>
      <c r="K38" s="314">
        <v>0</v>
      </c>
      <c r="L38" s="314">
        <v>0</v>
      </c>
      <c r="M38" s="314">
        <v>0</v>
      </c>
      <c r="N38" s="314">
        <v>0</v>
      </c>
      <c r="O38" s="314">
        <v>2303000</v>
      </c>
      <c r="P38" s="314">
        <f t="shared" si="0"/>
        <v>2303000</v>
      </c>
      <c r="Q38" s="314">
        <v>0</v>
      </c>
      <c r="R38" s="314">
        <v>0</v>
      </c>
      <c r="S38" s="314">
        <v>5561000</v>
      </c>
    </row>
    <row r="39" spans="1:19" x14ac:dyDescent="0.25">
      <c r="A39" s="313" t="s">
        <v>1219</v>
      </c>
      <c r="B39" s="313" t="s">
        <v>753</v>
      </c>
      <c r="C39" s="313">
        <v>9097155</v>
      </c>
      <c r="D39" s="313">
        <v>2018</v>
      </c>
      <c r="E39" s="314">
        <v>613048</v>
      </c>
      <c r="F39" s="314">
        <v>0</v>
      </c>
      <c r="G39" s="314">
        <v>0</v>
      </c>
      <c r="H39" s="314">
        <v>2918000</v>
      </c>
      <c r="I39" s="314">
        <v>0</v>
      </c>
      <c r="J39" s="314">
        <v>0</v>
      </c>
      <c r="K39" s="314">
        <v>0</v>
      </c>
      <c r="L39" s="314">
        <v>0</v>
      </c>
      <c r="M39" s="314">
        <v>0</v>
      </c>
      <c r="N39" s="314">
        <v>280000</v>
      </c>
      <c r="O39" s="314">
        <v>870000</v>
      </c>
      <c r="P39" s="314">
        <f t="shared" si="0"/>
        <v>1150000</v>
      </c>
      <c r="Q39" s="314">
        <v>0</v>
      </c>
      <c r="R39" s="314">
        <v>0</v>
      </c>
      <c r="S39" s="314">
        <v>4681048</v>
      </c>
    </row>
    <row r="40" spans="1:19" x14ac:dyDescent="0.25">
      <c r="A40" s="313" t="s">
        <v>477</v>
      </c>
      <c r="B40" s="313" t="s">
        <v>477</v>
      </c>
      <c r="C40" s="313">
        <v>2801353</v>
      </c>
      <c r="D40" s="313">
        <v>2018</v>
      </c>
      <c r="E40" s="314">
        <v>0</v>
      </c>
      <c r="F40" s="314">
        <v>0</v>
      </c>
      <c r="G40" s="314">
        <v>0</v>
      </c>
      <c r="H40" s="314">
        <v>8509770</v>
      </c>
      <c r="I40" s="314">
        <v>0</v>
      </c>
      <c r="J40" s="314">
        <v>3154000</v>
      </c>
      <c r="K40" s="314">
        <v>0</v>
      </c>
      <c r="L40" s="314">
        <v>0</v>
      </c>
      <c r="M40" s="314">
        <v>0</v>
      </c>
      <c r="N40" s="314">
        <v>0</v>
      </c>
      <c r="O40" s="314">
        <v>0</v>
      </c>
      <c r="P40" s="314">
        <f t="shared" si="0"/>
        <v>0</v>
      </c>
      <c r="Q40" s="314">
        <v>0</v>
      </c>
      <c r="R40" s="314">
        <v>0</v>
      </c>
      <c r="S40" s="314">
        <v>11663770</v>
      </c>
    </row>
    <row r="41" spans="1:19" x14ac:dyDescent="0.25">
      <c r="A41" s="313" t="s">
        <v>467</v>
      </c>
      <c r="B41" s="313" t="s">
        <v>467</v>
      </c>
      <c r="C41" s="313">
        <v>2749776</v>
      </c>
      <c r="D41" s="313">
        <v>2018</v>
      </c>
      <c r="E41" s="314">
        <v>0</v>
      </c>
      <c r="F41" s="314">
        <v>0</v>
      </c>
      <c r="G41" s="314">
        <v>0</v>
      </c>
      <c r="H41" s="314">
        <v>5149347</v>
      </c>
      <c r="I41" s="314">
        <v>0</v>
      </c>
      <c r="J41" s="314">
        <v>2905000</v>
      </c>
      <c r="K41" s="314">
        <v>0</v>
      </c>
      <c r="L41" s="314">
        <v>0</v>
      </c>
      <c r="M41" s="314">
        <v>0</v>
      </c>
      <c r="N41" s="314">
        <v>0</v>
      </c>
      <c r="O41" s="314">
        <v>0</v>
      </c>
      <c r="P41" s="314">
        <f t="shared" si="0"/>
        <v>0</v>
      </c>
      <c r="Q41" s="314">
        <v>0</v>
      </c>
      <c r="R41" s="314">
        <v>0</v>
      </c>
      <c r="S41" s="314">
        <v>8054347</v>
      </c>
    </row>
    <row r="42" spans="1:19" x14ac:dyDescent="0.25">
      <c r="A42" s="313" t="s">
        <v>692</v>
      </c>
      <c r="B42" s="313" t="s">
        <v>690</v>
      </c>
      <c r="C42" s="313">
        <v>9949795</v>
      </c>
      <c r="D42" s="313">
        <v>2018</v>
      </c>
      <c r="E42" s="314">
        <v>0</v>
      </c>
      <c r="F42" s="314">
        <v>0</v>
      </c>
      <c r="G42" s="314">
        <v>0</v>
      </c>
      <c r="H42" s="314">
        <v>553690</v>
      </c>
      <c r="I42" s="314">
        <v>0</v>
      </c>
      <c r="J42" s="314">
        <v>0</v>
      </c>
      <c r="K42" s="314">
        <v>0</v>
      </c>
      <c r="L42" s="314">
        <v>0</v>
      </c>
      <c r="M42" s="314">
        <v>0</v>
      </c>
      <c r="N42" s="314">
        <v>1078336</v>
      </c>
      <c r="O42" s="314">
        <v>0</v>
      </c>
      <c r="P42" s="314">
        <f t="shared" si="0"/>
        <v>1078336</v>
      </c>
      <c r="Q42" s="314">
        <v>0</v>
      </c>
      <c r="R42" s="314">
        <v>0</v>
      </c>
      <c r="S42" s="314">
        <v>1632026</v>
      </c>
    </row>
    <row r="43" spans="1:19" x14ac:dyDescent="0.25">
      <c r="A43" s="313" t="s">
        <v>1413</v>
      </c>
      <c r="B43" s="313" t="s">
        <v>928</v>
      </c>
      <c r="C43" s="313">
        <v>5922905</v>
      </c>
      <c r="D43" s="313">
        <v>2018</v>
      </c>
      <c r="E43" s="314">
        <v>0</v>
      </c>
      <c r="F43" s="314">
        <v>0</v>
      </c>
      <c r="G43" s="314">
        <v>0</v>
      </c>
      <c r="H43" s="314">
        <v>1465046</v>
      </c>
      <c r="I43" s="314">
        <v>0</v>
      </c>
      <c r="J43" s="314">
        <v>678023.46</v>
      </c>
      <c r="K43" s="314">
        <v>0</v>
      </c>
      <c r="L43" s="314">
        <v>0</v>
      </c>
      <c r="M43" s="314">
        <v>0</v>
      </c>
      <c r="N43" s="314">
        <v>0</v>
      </c>
      <c r="O43" s="314">
        <v>80000</v>
      </c>
      <c r="P43" s="314">
        <f t="shared" si="0"/>
        <v>80000</v>
      </c>
      <c r="Q43" s="314">
        <v>0</v>
      </c>
      <c r="R43" s="314">
        <v>0</v>
      </c>
      <c r="S43" s="314">
        <v>2223069.46</v>
      </c>
    </row>
    <row r="44" spans="1:19" x14ac:dyDescent="0.25">
      <c r="A44" s="313" t="s">
        <v>470</v>
      </c>
      <c r="B44" s="313" t="s">
        <v>470</v>
      </c>
      <c r="C44" s="313">
        <v>1665958</v>
      </c>
      <c r="D44" s="313">
        <v>2018</v>
      </c>
      <c r="E44" s="314">
        <v>600000</v>
      </c>
      <c r="F44" s="314">
        <v>0</v>
      </c>
      <c r="G44" s="314">
        <v>0</v>
      </c>
      <c r="H44" s="314">
        <v>6279000</v>
      </c>
      <c r="I44" s="314">
        <v>0</v>
      </c>
      <c r="J44" s="314">
        <v>0</v>
      </c>
      <c r="K44" s="314">
        <v>0</v>
      </c>
      <c r="L44" s="314">
        <v>0</v>
      </c>
      <c r="M44" s="314">
        <v>0</v>
      </c>
      <c r="N44" s="314">
        <v>0</v>
      </c>
      <c r="O44" s="314">
        <v>0</v>
      </c>
      <c r="P44" s="314">
        <f t="shared" si="0"/>
        <v>0</v>
      </c>
      <c r="Q44" s="314">
        <v>0</v>
      </c>
      <c r="R44" s="314">
        <v>0</v>
      </c>
      <c r="S44" s="314">
        <v>6879000</v>
      </c>
    </row>
    <row r="45" spans="1:19" x14ac:dyDescent="0.25">
      <c r="A45" s="313" t="s">
        <v>219</v>
      </c>
      <c r="B45" s="313" t="s">
        <v>1145</v>
      </c>
      <c r="C45" s="313">
        <v>3673053</v>
      </c>
      <c r="D45" s="313">
        <v>2018</v>
      </c>
      <c r="E45" s="314">
        <v>300000</v>
      </c>
      <c r="F45" s="314">
        <v>0</v>
      </c>
      <c r="G45" s="314">
        <v>0</v>
      </c>
      <c r="H45" s="314">
        <v>7940076</v>
      </c>
      <c r="I45" s="314">
        <v>0</v>
      </c>
      <c r="J45" s="314">
        <v>0</v>
      </c>
      <c r="K45" s="314">
        <v>0</v>
      </c>
      <c r="L45" s="314">
        <v>260666.61</v>
      </c>
      <c r="M45" s="314">
        <v>0</v>
      </c>
      <c r="N45" s="314">
        <v>74500</v>
      </c>
      <c r="O45" s="314">
        <v>1341000</v>
      </c>
      <c r="P45" s="314">
        <f t="shared" si="0"/>
        <v>1415500</v>
      </c>
      <c r="Q45" s="314">
        <v>0</v>
      </c>
      <c r="R45" s="314">
        <v>16000</v>
      </c>
      <c r="S45" s="314">
        <v>9932242.6099999994</v>
      </c>
    </row>
    <row r="46" spans="1:19" x14ac:dyDescent="0.25">
      <c r="A46" s="313" t="s">
        <v>377</v>
      </c>
      <c r="B46" s="313" t="s">
        <v>887</v>
      </c>
      <c r="C46" s="313">
        <v>5991938</v>
      </c>
      <c r="D46" s="313">
        <v>2018</v>
      </c>
      <c r="E46" s="314">
        <v>92000</v>
      </c>
      <c r="F46" s="314">
        <v>0</v>
      </c>
      <c r="G46" s="314">
        <v>0</v>
      </c>
      <c r="H46" s="314">
        <v>1351000</v>
      </c>
      <c r="I46" s="314">
        <v>0</v>
      </c>
      <c r="J46" s="314">
        <v>0</v>
      </c>
      <c r="K46" s="314">
        <v>0</v>
      </c>
      <c r="L46" s="314">
        <v>0</v>
      </c>
      <c r="M46" s="314">
        <v>0</v>
      </c>
      <c r="N46" s="314">
        <v>0</v>
      </c>
      <c r="O46" s="314">
        <v>508000</v>
      </c>
      <c r="P46" s="314">
        <f t="shared" si="0"/>
        <v>508000</v>
      </c>
      <c r="Q46" s="314">
        <v>0</v>
      </c>
      <c r="R46" s="314">
        <v>0</v>
      </c>
      <c r="S46" s="314">
        <v>1951000</v>
      </c>
    </row>
    <row r="47" spans="1:19" x14ac:dyDescent="0.25">
      <c r="A47" s="313" t="s">
        <v>605</v>
      </c>
      <c r="B47" s="313" t="s">
        <v>602</v>
      </c>
      <c r="C47" s="313">
        <v>6181040</v>
      </c>
      <c r="D47" s="313">
        <v>2018</v>
      </c>
      <c r="E47" s="314">
        <v>0</v>
      </c>
      <c r="F47" s="314">
        <v>0</v>
      </c>
      <c r="G47" s="314">
        <v>0</v>
      </c>
      <c r="H47" s="314">
        <v>70000</v>
      </c>
      <c r="I47" s="314">
        <v>0</v>
      </c>
      <c r="J47" s="314">
        <v>0</v>
      </c>
      <c r="K47" s="314">
        <v>0</v>
      </c>
      <c r="L47" s="314">
        <v>0</v>
      </c>
      <c r="M47" s="314">
        <v>0</v>
      </c>
      <c r="N47" s="314">
        <v>0</v>
      </c>
      <c r="O47" s="314">
        <v>1578567</v>
      </c>
      <c r="P47" s="314">
        <f t="shared" si="0"/>
        <v>1578567</v>
      </c>
      <c r="Q47" s="314">
        <v>0</v>
      </c>
      <c r="R47" s="314">
        <v>0</v>
      </c>
      <c r="S47" s="314">
        <v>1648567</v>
      </c>
    </row>
    <row r="48" spans="1:19" x14ac:dyDescent="0.25">
      <c r="A48" s="313" t="s">
        <v>608</v>
      </c>
      <c r="B48" s="313" t="s">
        <v>606</v>
      </c>
      <c r="C48" s="313">
        <v>1647194</v>
      </c>
      <c r="D48" s="313">
        <v>2018</v>
      </c>
      <c r="E48" s="314">
        <v>14316</v>
      </c>
      <c r="F48" s="314">
        <v>0</v>
      </c>
      <c r="G48" s="314">
        <v>0</v>
      </c>
      <c r="H48" s="314">
        <v>900000</v>
      </c>
      <c r="I48" s="314">
        <v>0</v>
      </c>
      <c r="J48" s="314">
        <v>0</v>
      </c>
      <c r="K48" s="314">
        <v>0</v>
      </c>
      <c r="L48" s="314">
        <v>0</v>
      </c>
      <c r="M48" s="314">
        <v>0</v>
      </c>
      <c r="N48" s="314">
        <v>0</v>
      </c>
      <c r="O48" s="314">
        <v>996261</v>
      </c>
      <c r="P48" s="314">
        <f t="shared" si="0"/>
        <v>996261</v>
      </c>
      <c r="Q48" s="314">
        <v>0</v>
      </c>
      <c r="R48" s="314">
        <v>0</v>
      </c>
      <c r="S48" s="314">
        <v>1910577</v>
      </c>
    </row>
    <row r="49" spans="1:19" x14ac:dyDescent="0.25">
      <c r="A49" s="313" t="s">
        <v>868</v>
      </c>
      <c r="B49" s="313" t="s">
        <v>868</v>
      </c>
      <c r="C49" s="313">
        <v>9583114</v>
      </c>
      <c r="D49" s="313">
        <v>2018</v>
      </c>
      <c r="E49" s="314">
        <v>0</v>
      </c>
      <c r="F49" s="314">
        <v>0</v>
      </c>
      <c r="G49" s="314">
        <v>0</v>
      </c>
      <c r="H49" s="314">
        <v>192000</v>
      </c>
      <c r="I49" s="314">
        <v>0</v>
      </c>
      <c r="J49" s="314">
        <v>0</v>
      </c>
      <c r="K49" s="314">
        <v>0</v>
      </c>
      <c r="L49" s="314">
        <v>0</v>
      </c>
      <c r="M49" s="314">
        <v>0</v>
      </c>
      <c r="N49" s="314">
        <v>0</v>
      </c>
      <c r="O49" s="314">
        <v>700000</v>
      </c>
      <c r="P49" s="314">
        <f t="shared" si="0"/>
        <v>700000</v>
      </c>
      <c r="Q49" s="314">
        <v>0</v>
      </c>
      <c r="R49" s="314">
        <v>0</v>
      </c>
      <c r="S49" s="314">
        <v>892000</v>
      </c>
    </row>
    <row r="50" spans="1:19" x14ac:dyDescent="0.25">
      <c r="A50" s="313" t="s">
        <v>1378</v>
      </c>
      <c r="B50" s="313" t="s">
        <v>1118</v>
      </c>
      <c r="C50" s="313">
        <v>8365172</v>
      </c>
      <c r="D50" s="313">
        <v>2018</v>
      </c>
      <c r="E50" s="314">
        <v>0</v>
      </c>
      <c r="F50" s="314">
        <v>0</v>
      </c>
      <c r="G50" s="314">
        <v>0</v>
      </c>
      <c r="H50" s="314">
        <v>963955</v>
      </c>
      <c r="I50" s="314">
        <v>0</v>
      </c>
      <c r="J50" s="314">
        <v>0</v>
      </c>
      <c r="K50" s="314">
        <v>0</v>
      </c>
      <c r="L50" s="314">
        <v>0</v>
      </c>
      <c r="M50" s="314">
        <v>0</v>
      </c>
      <c r="N50" s="314">
        <v>3500</v>
      </c>
      <c r="O50" s="314">
        <v>65000</v>
      </c>
      <c r="P50" s="314">
        <f t="shared" si="0"/>
        <v>68500</v>
      </c>
      <c r="Q50" s="314">
        <v>0</v>
      </c>
      <c r="R50" s="314">
        <v>14352</v>
      </c>
      <c r="S50" s="314">
        <v>1046807</v>
      </c>
    </row>
    <row r="51" spans="1:19" x14ac:dyDescent="0.25">
      <c r="A51" s="313" t="s">
        <v>1531</v>
      </c>
      <c r="B51" s="313" t="s">
        <v>708</v>
      </c>
      <c r="C51" s="313">
        <v>3523407</v>
      </c>
      <c r="D51" s="313">
        <v>2018</v>
      </c>
      <c r="E51" s="314">
        <v>170000</v>
      </c>
      <c r="F51" s="314">
        <v>0</v>
      </c>
      <c r="G51" s="314">
        <v>0</v>
      </c>
      <c r="H51" s="314">
        <v>0</v>
      </c>
      <c r="I51" s="314">
        <v>1153732</v>
      </c>
      <c r="J51" s="314">
        <v>0</v>
      </c>
      <c r="K51" s="314">
        <v>0</v>
      </c>
      <c r="L51" s="314">
        <v>0</v>
      </c>
      <c r="M51" s="314">
        <v>0</v>
      </c>
      <c r="N51" s="314">
        <v>0</v>
      </c>
      <c r="O51" s="314">
        <v>0</v>
      </c>
      <c r="P51" s="314">
        <f t="shared" si="0"/>
        <v>0</v>
      </c>
      <c r="Q51" s="314">
        <v>0</v>
      </c>
      <c r="R51" s="314">
        <v>0</v>
      </c>
      <c r="S51" s="314">
        <v>1323732</v>
      </c>
    </row>
    <row r="52" spans="1:19" x14ac:dyDescent="0.25">
      <c r="A52" s="313" t="s">
        <v>940</v>
      </c>
      <c r="B52" s="313" t="s">
        <v>940</v>
      </c>
      <c r="C52" s="313">
        <v>9478716</v>
      </c>
      <c r="D52" s="313">
        <v>2018</v>
      </c>
      <c r="E52" s="314">
        <v>0</v>
      </c>
      <c r="F52" s="314">
        <v>0</v>
      </c>
      <c r="G52" s="314">
        <v>0</v>
      </c>
      <c r="H52" s="314">
        <v>125000</v>
      </c>
      <c r="I52" s="314">
        <v>0</v>
      </c>
      <c r="J52" s="314">
        <v>0</v>
      </c>
      <c r="K52" s="314">
        <v>0</v>
      </c>
      <c r="L52" s="314">
        <v>0</v>
      </c>
      <c r="M52" s="314">
        <v>0</v>
      </c>
      <c r="N52" s="314">
        <v>0</v>
      </c>
      <c r="O52" s="314">
        <v>0</v>
      </c>
      <c r="P52" s="314">
        <f t="shared" si="0"/>
        <v>0</v>
      </c>
      <c r="Q52" s="314">
        <v>0</v>
      </c>
      <c r="R52" s="314">
        <v>75000</v>
      </c>
      <c r="S52" s="314">
        <v>200000</v>
      </c>
    </row>
    <row r="53" spans="1:19" x14ac:dyDescent="0.25">
      <c r="A53" s="313" t="s">
        <v>753</v>
      </c>
      <c r="B53" s="313" t="s">
        <v>753</v>
      </c>
      <c r="C53" s="313">
        <v>2189349</v>
      </c>
      <c r="D53" s="313">
        <v>2018</v>
      </c>
      <c r="E53" s="314">
        <v>0</v>
      </c>
      <c r="F53" s="314">
        <v>0</v>
      </c>
      <c r="G53" s="314">
        <v>0</v>
      </c>
      <c r="H53" s="314">
        <v>0</v>
      </c>
      <c r="I53" s="314">
        <v>0</v>
      </c>
      <c r="J53" s="314">
        <v>0</v>
      </c>
      <c r="K53" s="314">
        <v>779314</v>
      </c>
      <c r="L53" s="314">
        <v>0</v>
      </c>
      <c r="M53" s="314">
        <v>0</v>
      </c>
      <c r="N53" s="314">
        <v>0</v>
      </c>
      <c r="O53" s="314">
        <v>0</v>
      </c>
      <c r="P53" s="314">
        <f t="shared" si="0"/>
        <v>0</v>
      </c>
      <c r="Q53" s="314">
        <v>0</v>
      </c>
      <c r="R53" s="314">
        <v>0</v>
      </c>
      <c r="S53" s="314">
        <v>779314</v>
      </c>
    </row>
    <row r="54" spans="1:19" x14ac:dyDescent="0.25">
      <c r="A54" s="313" t="s">
        <v>1130</v>
      </c>
      <c r="B54" s="313" t="s">
        <v>281</v>
      </c>
      <c r="C54" s="313">
        <v>2039109</v>
      </c>
      <c r="D54" s="313">
        <v>2018</v>
      </c>
      <c r="E54" s="314">
        <v>177000</v>
      </c>
      <c r="F54" s="314">
        <v>0</v>
      </c>
      <c r="G54" s="314">
        <v>0</v>
      </c>
      <c r="H54" s="314">
        <v>3272100</v>
      </c>
      <c r="I54" s="314">
        <v>0</v>
      </c>
      <c r="J54" s="314">
        <v>0</v>
      </c>
      <c r="K54" s="314">
        <v>0</v>
      </c>
      <c r="L54" s="314">
        <v>0</v>
      </c>
      <c r="M54" s="314">
        <v>0</v>
      </c>
      <c r="N54" s="314">
        <v>88500</v>
      </c>
      <c r="O54" s="314">
        <v>160000</v>
      </c>
      <c r="P54" s="314">
        <f t="shared" si="0"/>
        <v>248500</v>
      </c>
      <c r="Q54" s="314">
        <v>0</v>
      </c>
      <c r="R54" s="314">
        <v>165</v>
      </c>
      <c r="S54" s="314">
        <v>3697765</v>
      </c>
    </row>
    <row r="55" spans="1:19" x14ac:dyDescent="0.25">
      <c r="A55" s="313" t="s">
        <v>480</v>
      </c>
      <c r="B55" s="313" t="s">
        <v>480</v>
      </c>
      <c r="C55" s="313">
        <v>9593192</v>
      </c>
      <c r="D55" s="313">
        <v>2018</v>
      </c>
      <c r="E55" s="314">
        <v>0</v>
      </c>
      <c r="F55" s="314">
        <v>0</v>
      </c>
      <c r="G55" s="314">
        <v>0</v>
      </c>
      <c r="H55" s="314">
        <v>16560010</v>
      </c>
      <c r="I55" s="314">
        <v>0</v>
      </c>
      <c r="J55" s="314">
        <v>8700000</v>
      </c>
      <c r="K55" s="314">
        <v>0</v>
      </c>
      <c r="L55" s="314">
        <v>0</v>
      </c>
      <c r="M55" s="314">
        <v>0</v>
      </c>
      <c r="N55" s="314">
        <v>0</v>
      </c>
      <c r="O55" s="314">
        <v>0</v>
      </c>
      <c r="P55" s="314">
        <f t="shared" si="0"/>
        <v>0</v>
      </c>
      <c r="Q55" s="314">
        <v>0</v>
      </c>
      <c r="R55" s="314">
        <v>0</v>
      </c>
      <c r="S55" s="314">
        <v>25260010</v>
      </c>
    </row>
    <row r="56" spans="1:19" x14ac:dyDescent="0.25">
      <c r="A56" s="313" t="s">
        <v>444</v>
      </c>
      <c r="B56" s="313" t="s">
        <v>444</v>
      </c>
      <c r="C56" s="313">
        <v>6581899</v>
      </c>
      <c r="D56" s="313">
        <v>2018</v>
      </c>
      <c r="E56" s="314">
        <v>0</v>
      </c>
      <c r="F56" s="314">
        <v>0</v>
      </c>
      <c r="G56" s="314">
        <v>0</v>
      </c>
      <c r="H56" s="314">
        <v>9808000</v>
      </c>
      <c r="I56" s="314">
        <v>0</v>
      </c>
      <c r="J56" s="314">
        <v>4865000</v>
      </c>
      <c r="K56" s="314">
        <v>0</v>
      </c>
      <c r="L56" s="314">
        <v>0</v>
      </c>
      <c r="M56" s="314">
        <v>0</v>
      </c>
      <c r="N56" s="314">
        <v>0</v>
      </c>
      <c r="O56" s="314">
        <v>0</v>
      </c>
      <c r="P56" s="314">
        <f t="shared" si="0"/>
        <v>0</v>
      </c>
      <c r="Q56" s="314">
        <v>0</v>
      </c>
      <c r="R56" s="314">
        <v>0</v>
      </c>
      <c r="S56" s="314">
        <v>14673000</v>
      </c>
    </row>
    <row r="57" spans="1:19" x14ac:dyDescent="0.25">
      <c r="A57" s="313" t="s">
        <v>750</v>
      </c>
      <c r="B57" s="313" t="s">
        <v>748</v>
      </c>
      <c r="C57" s="313">
        <v>9196018</v>
      </c>
      <c r="D57" s="313">
        <v>2018</v>
      </c>
      <c r="E57" s="314">
        <v>0</v>
      </c>
      <c r="F57" s="314">
        <v>0</v>
      </c>
      <c r="G57" s="314">
        <v>0</v>
      </c>
      <c r="H57" s="314">
        <v>442166</v>
      </c>
      <c r="I57" s="314">
        <v>0</v>
      </c>
      <c r="J57" s="314">
        <v>0</v>
      </c>
      <c r="K57" s="314">
        <v>0</v>
      </c>
      <c r="L57" s="314">
        <v>0</v>
      </c>
      <c r="M57" s="314">
        <v>0</v>
      </c>
      <c r="N57" s="314">
        <v>1195099.6000000001</v>
      </c>
      <c r="O57" s="314">
        <v>0</v>
      </c>
      <c r="P57" s="314">
        <f t="shared" si="0"/>
        <v>1195099.6000000001</v>
      </c>
      <c r="Q57" s="314">
        <v>0</v>
      </c>
      <c r="R57" s="314">
        <v>0</v>
      </c>
      <c r="S57" s="314">
        <v>1637265.6</v>
      </c>
    </row>
    <row r="58" spans="1:19" x14ac:dyDescent="0.25">
      <c r="A58" s="313" t="s">
        <v>1460</v>
      </c>
      <c r="B58" s="313" t="s">
        <v>1056</v>
      </c>
      <c r="C58" s="313">
        <v>1537615</v>
      </c>
      <c r="D58" s="313">
        <v>2018</v>
      </c>
      <c r="E58" s="314">
        <v>235948</v>
      </c>
      <c r="F58" s="314">
        <v>0</v>
      </c>
      <c r="G58" s="314">
        <v>0</v>
      </c>
      <c r="H58" s="314">
        <v>2562116</v>
      </c>
      <c r="I58" s="314">
        <v>0</v>
      </c>
      <c r="J58" s="314">
        <v>0</v>
      </c>
      <c r="K58" s="314">
        <v>0</v>
      </c>
      <c r="L58" s="314">
        <v>0</v>
      </c>
      <c r="M58" s="314">
        <v>0</v>
      </c>
      <c r="N58" s="314">
        <v>3000</v>
      </c>
      <c r="O58" s="314">
        <v>262998</v>
      </c>
      <c r="P58" s="314">
        <f t="shared" si="0"/>
        <v>265998</v>
      </c>
      <c r="Q58" s="314">
        <v>824000</v>
      </c>
      <c r="R58" s="314">
        <v>0</v>
      </c>
      <c r="S58" s="314">
        <v>3888062</v>
      </c>
    </row>
    <row r="59" spans="1:19" x14ac:dyDescent="0.25">
      <c r="A59" s="313" t="s">
        <v>642</v>
      </c>
      <c r="B59" s="313" t="s">
        <v>640</v>
      </c>
      <c r="C59" s="313">
        <v>3994122</v>
      </c>
      <c r="D59" s="313">
        <v>2018</v>
      </c>
      <c r="E59" s="314">
        <v>0</v>
      </c>
      <c r="F59" s="314">
        <v>0</v>
      </c>
      <c r="G59" s="314">
        <v>0</v>
      </c>
      <c r="H59" s="314">
        <v>118348</v>
      </c>
      <c r="I59" s="314">
        <v>0</v>
      </c>
      <c r="J59" s="314">
        <v>0</v>
      </c>
      <c r="K59" s="314">
        <v>1286640</v>
      </c>
      <c r="L59" s="314">
        <v>0</v>
      </c>
      <c r="M59" s="314">
        <v>0</v>
      </c>
      <c r="N59" s="314">
        <v>0</v>
      </c>
      <c r="O59" s="314">
        <v>760629</v>
      </c>
      <c r="P59" s="314">
        <f t="shared" si="0"/>
        <v>760629</v>
      </c>
      <c r="Q59" s="314">
        <v>0</v>
      </c>
      <c r="R59" s="314">
        <v>0</v>
      </c>
      <c r="S59" s="314">
        <v>2165617</v>
      </c>
    </row>
    <row r="60" spans="1:19" x14ac:dyDescent="0.25">
      <c r="A60" s="313" t="s">
        <v>294</v>
      </c>
      <c r="B60" s="313" t="s">
        <v>290</v>
      </c>
      <c r="C60" s="313">
        <v>6565086</v>
      </c>
      <c r="D60" s="313">
        <v>2018</v>
      </c>
      <c r="E60" s="314">
        <v>237536</v>
      </c>
      <c r="F60" s="314">
        <v>0</v>
      </c>
      <c r="G60" s="314">
        <v>0</v>
      </c>
      <c r="H60" s="314">
        <v>3714964</v>
      </c>
      <c r="I60" s="314">
        <v>0</v>
      </c>
      <c r="J60" s="314">
        <v>0</v>
      </c>
      <c r="K60" s="314">
        <v>0</v>
      </c>
      <c r="L60" s="314">
        <v>0</v>
      </c>
      <c r="M60" s="314">
        <v>0</v>
      </c>
      <c r="N60" s="314">
        <v>3000</v>
      </c>
      <c r="O60" s="314">
        <v>304500</v>
      </c>
      <c r="P60" s="314">
        <f t="shared" si="0"/>
        <v>307500</v>
      </c>
      <c r="Q60" s="314">
        <v>0</v>
      </c>
      <c r="R60" s="314">
        <v>0</v>
      </c>
      <c r="S60" s="314">
        <v>4260000</v>
      </c>
    </row>
    <row r="61" spans="1:19" x14ac:dyDescent="0.25">
      <c r="A61" s="313" t="s">
        <v>294</v>
      </c>
      <c r="B61" s="313" t="s">
        <v>290</v>
      </c>
      <c r="C61" s="313">
        <v>6630553</v>
      </c>
      <c r="D61" s="313">
        <v>2018</v>
      </c>
      <c r="E61" s="314">
        <v>0</v>
      </c>
      <c r="F61" s="314">
        <v>0</v>
      </c>
      <c r="G61" s="314">
        <v>0</v>
      </c>
      <c r="H61" s="314">
        <v>2107672</v>
      </c>
      <c r="I61" s="314">
        <v>0</v>
      </c>
      <c r="J61" s="314">
        <v>0</v>
      </c>
      <c r="K61" s="314">
        <v>0</v>
      </c>
      <c r="L61" s="314">
        <v>0</v>
      </c>
      <c r="M61" s="314">
        <v>0</v>
      </c>
      <c r="N61" s="314">
        <v>0</v>
      </c>
      <c r="O61" s="314">
        <v>428000</v>
      </c>
      <c r="P61" s="314">
        <f t="shared" si="0"/>
        <v>428000</v>
      </c>
      <c r="Q61" s="314">
        <v>0</v>
      </c>
      <c r="R61" s="314">
        <v>0</v>
      </c>
      <c r="S61" s="314">
        <v>2535672</v>
      </c>
    </row>
    <row r="62" spans="1:19" x14ac:dyDescent="0.25">
      <c r="A62" s="313" t="s">
        <v>1526</v>
      </c>
      <c r="B62" s="313" t="s">
        <v>1364</v>
      </c>
      <c r="C62" s="313">
        <v>9328941</v>
      </c>
      <c r="D62" s="313">
        <v>2018</v>
      </c>
      <c r="E62" s="314">
        <v>150000</v>
      </c>
      <c r="F62" s="314">
        <v>0</v>
      </c>
      <c r="G62" s="314">
        <v>0</v>
      </c>
      <c r="H62" s="314">
        <v>1160000</v>
      </c>
      <c r="I62" s="314">
        <v>0</v>
      </c>
      <c r="J62" s="314">
        <v>0</v>
      </c>
      <c r="K62" s="314">
        <v>0</v>
      </c>
      <c r="L62" s="314">
        <v>0</v>
      </c>
      <c r="M62" s="314">
        <v>0</v>
      </c>
      <c r="N62" s="314">
        <v>0</v>
      </c>
      <c r="O62" s="314">
        <v>100000</v>
      </c>
      <c r="P62" s="314">
        <f t="shared" si="0"/>
        <v>100000</v>
      </c>
      <c r="Q62" s="314">
        <v>0</v>
      </c>
      <c r="R62" s="314">
        <v>0</v>
      </c>
      <c r="S62" s="314">
        <v>1410000</v>
      </c>
    </row>
    <row r="63" spans="1:19" x14ac:dyDescent="0.25">
      <c r="A63" s="313" t="s">
        <v>456</v>
      </c>
      <c r="B63" s="313" t="s">
        <v>456</v>
      </c>
      <c r="C63" s="313">
        <v>5040302</v>
      </c>
      <c r="D63" s="313">
        <v>2018</v>
      </c>
      <c r="E63" s="314">
        <v>0</v>
      </c>
      <c r="F63" s="314">
        <v>0</v>
      </c>
      <c r="G63" s="314">
        <v>0</v>
      </c>
      <c r="H63" s="314">
        <v>6443000</v>
      </c>
      <c r="I63" s="314">
        <v>0</v>
      </c>
      <c r="J63" s="314">
        <v>2545000</v>
      </c>
      <c r="K63" s="314">
        <v>0</v>
      </c>
      <c r="L63" s="314">
        <v>0</v>
      </c>
      <c r="M63" s="314">
        <v>0</v>
      </c>
      <c r="N63" s="314">
        <v>0</v>
      </c>
      <c r="O63" s="314">
        <v>0</v>
      </c>
      <c r="P63" s="314">
        <f t="shared" si="0"/>
        <v>0</v>
      </c>
      <c r="Q63" s="314">
        <v>0</v>
      </c>
      <c r="R63" s="314">
        <v>0</v>
      </c>
      <c r="S63" s="314">
        <v>8988000</v>
      </c>
    </row>
    <row r="64" spans="1:19" x14ac:dyDescent="0.25">
      <c r="A64" s="313" t="s">
        <v>435</v>
      </c>
      <c r="B64" s="313" t="s">
        <v>435</v>
      </c>
      <c r="C64" s="313">
        <v>5651221</v>
      </c>
      <c r="D64" s="313">
        <v>2018</v>
      </c>
      <c r="E64" s="314">
        <v>0</v>
      </c>
      <c r="F64" s="314">
        <v>0</v>
      </c>
      <c r="G64" s="314">
        <v>0</v>
      </c>
      <c r="H64" s="314">
        <v>19140837</v>
      </c>
      <c r="I64" s="314">
        <v>0</v>
      </c>
      <c r="J64" s="314">
        <v>1959000</v>
      </c>
      <c r="K64" s="314">
        <v>0</v>
      </c>
      <c r="L64" s="314">
        <v>0</v>
      </c>
      <c r="M64" s="314">
        <v>0</v>
      </c>
      <c r="N64" s="314">
        <v>0</v>
      </c>
      <c r="O64" s="314">
        <v>0</v>
      </c>
      <c r="P64" s="314">
        <f t="shared" si="0"/>
        <v>0</v>
      </c>
      <c r="Q64" s="314">
        <v>0</v>
      </c>
      <c r="R64" s="314">
        <v>0</v>
      </c>
      <c r="S64" s="314">
        <v>21099837</v>
      </c>
    </row>
    <row r="65" spans="1:19" x14ac:dyDescent="0.25">
      <c r="A65" s="313" t="s">
        <v>390</v>
      </c>
      <c r="B65" s="313" t="s">
        <v>332</v>
      </c>
      <c r="C65" s="313">
        <v>7916274</v>
      </c>
      <c r="D65" s="313">
        <v>2018</v>
      </c>
      <c r="E65" s="314">
        <v>469600</v>
      </c>
      <c r="F65" s="314">
        <v>0</v>
      </c>
      <c r="G65" s="314">
        <v>0</v>
      </c>
      <c r="H65" s="314">
        <v>5000000</v>
      </c>
      <c r="I65" s="314">
        <v>0</v>
      </c>
      <c r="J65" s="314">
        <v>0</v>
      </c>
      <c r="K65" s="314">
        <v>0</v>
      </c>
      <c r="L65" s="314">
        <v>0</v>
      </c>
      <c r="M65" s="314">
        <v>0</v>
      </c>
      <c r="N65" s="314">
        <v>0</v>
      </c>
      <c r="O65" s="314">
        <v>2560000</v>
      </c>
      <c r="P65" s="314">
        <f t="shared" si="0"/>
        <v>2560000</v>
      </c>
      <c r="Q65" s="314">
        <v>0</v>
      </c>
      <c r="R65" s="314">
        <v>0</v>
      </c>
      <c r="S65" s="314">
        <v>8029600</v>
      </c>
    </row>
    <row r="66" spans="1:19" x14ac:dyDescent="0.25">
      <c r="A66" s="313" t="s">
        <v>997</v>
      </c>
      <c r="B66" s="313" t="s">
        <v>997</v>
      </c>
      <c r="C66" s="313">
        <v>1546097</v>
      </c>
      <c r="D66" s="313">
        <v>2018</v>
      </c>
      <c r="E66" s="314">
        <v>0</v>
      </c>
      <c r="F66" s="314">
        <v>0</v>
      </c>
      <c r="G66" s="314">
        <v>0</v>
      </c>
      <c r="H66" s="314">
        <v>19462395</v>
      </c>
      <c r="I66" s="314">
        <v>0</v>
      </c>
      <c r="J66" s="314">
        <v>8166000</v>
      </c>
      <c r="K66" s="314">
        <v>0</v>
      </c>
      <c r="L66" s="314">
        <v>0</v>
      </c>
      <c r="M66" s="314">
        <v>0</v>
      </c>
      <c r="N66" s="314">
        <v>0</v>
      </c>
      <c r="O66" s="314">
        <v>0</v>
      </c>
      <c r="P66" s="314">
        <f t="shared" si="0"/>
        <v>0</v>
      </c>
      <c r="Q66" s="314">
        <v>0</v>
      </c>
      <c r="R66" s="314">
        <v>0</v>
      </c>
      <c r="S66" s="314">
        <v>27628395</v>
      </c>
    </row>
    <row r="67" spans="1:19" x14ac:dyDescent="0.25">
      <c r="A67" s="313" t="s">
        <v>965</v>
      </c>
      <c r="B67" s="313" t="s">
        <v>965</v>
      </c>
      <c r="C67" s="313">
        <v>3198258</v>
      </c>
      <c r="D67" s="313">
        <v>2018</v>
      </c>
      <c r="E67" s="314">
        <v>171000</v>
      </c>
      <c r="F67" s="314">
        <v>0</v>
      </c>
      <c r="G67" s="314">
        <v>0</v>
      </c>
      <c r="H67" s="314">
        <v>3515500</v>
      </c>
      <c r="I67" s="314">
        <v>0</v>
      </c>
      <c r="J67" s="314">
        <v>0</v>
      </c>
      <c r="K67" s="314">
        <v>0</v>
      </c>
      <c r="L67" s="314">
        <v>0</v>
      </c>
      <c r="M67" s="314">
        <v>0</v>
      </c>
      <c r="N67" s="314">
        <v>0</v>
      </c>
      <c r="O67" s="314">
        <v>120000</v>
      </c>
      <c r="P67" s="314">
        <f t="shared" si="0"/>
        <v>120000</v>
      </c>
      <c r="Q67" s="314">
        <v>0</v>
      </c>
      <c r="R67" s="314">
        <v>0</v>
      </c>
      <c r="S67" s="314">
        <v>3806500</v>
      </c>
    </row>
    <row r="68" spans="1:19" x14ac:dyDescent="0.25">
      <c r="A68" s="313" t="s">
        <v>1035</v>
      </c>
      <c r="B68" s="313" t="s">
        <v>1175</v>
      </c>
      <c r="C68" s="313">
        <v>9577077</v>
      </c>
      <c r="D68" s="313">
        <v>2018</v>
      </c>
      <c r="E68" s="314">
        <v>143000</v>
      </c>
      <c r="F68" s="314">
        <v>0</v>
      </c>
      <c r="G68" s="314">
        <v>0</v>
      </c>
      <c r="H68" s="314">
        <v>2449000</v>
      </c>
      <c r="I68" s="314">
        <v>0</v>
      </c>
      <c r="J68" s="314">
        <v>0</v>
      </c>
      <c r="K68" s="314">
        <v>0</v>
      </c>
      <c r="L68" s="314">
        <v>0</v>
      </c>
      <c r="M68" s="314">
        <v>0</v>
      </c>
      <c r="N68" s="314">
        <v>0</v>
      </c>
      <c r="O68" s="314">
        <v>1068000</v>
      </c>
      <c r="P68" s="314">
        <f t="shared" ref="P68:P131" si="1">SUM(N68:O68)</f>
        <v>1068000</v>
      </c>
      <c r="Q68" s="314">
        <v>0</v>
      </c>
      <c r="R68" s="314">
        <v>0</v>
      </c>
      <c r="S68" s="314">
        <v>3660000</v>
      </c>
    </row>
    <row r="69" spans="1:19" x14ac:dyDescent="0.25">
      <c r="A69" s="313" t="s">
        <v>576</v>
      </c>
      <c r="B69" s="313" t="s">
        <v>576</v>
      </c>
      <c r="C69" s="313">
        <v>7399132</v>
      </c>
      <c r="D69" s="313">
        <v>2018</v>
      </c>
      <c r="E69" s="314">
        <v>200000</v>
      </c>
      <c r="F69" s="314">
        <v>0</v>
      </c>
      <c r="G69" s="314">
        <v>0</v>
      </c>
      <c r="H69" s="314">
        <v>1174800</v>
      </c>
      <c r="I69" s="314">
        <v>0</v>
      </c>
      <c r="J69" s="314">
        <v>0</v>
      </c>
      <c r="K69" s="314">
        <v>0</v>
      </c>
      <c r="L69" s="314">
        <v>0</v>
      </c>
      <c r="M69" s="314">
        <v>0</v>
      </c>
      <c r="N69" s="314">
        <v>81152</v>
      </c>
      <c r="O69" s="314">
        <v>1816155</v>
      </c>
      <c r="P69" s="314">
        <f t="shared" si="1"/>
        <v>1897307</v>
      </c>
      <c r="Q69" s="314">
        <v>0</v>
      </c>
      <c r="R69" s="314">
        <v>0</v>
      </c>
      <c r="S69" s="314">
        <v>3272107</v>
      </c>
    </row>
    <row r="70" spans="1:19" x14ac:dyDescent="0.25">
      <c r="A70" s="313" t="s">
        <v>665</v>
      </c>
      <c r="B70" s="313" t="s">
        <v>663</v>
      </c>
      <c r="C70" s="313">
        <v>6697882</v>
      </c>
      <c r="D70" s="313">
        <v>2018</v>
      </c>
      <c r="E70" s="314">
        <v>30000</v>
      </c>
      <c r="F70" s="314">
        <v>0</v>
      </c>
      <c r="G70" s="314">
        <v>0</v>
      </c>
      <c r="H70" s="314">
        <v>100000</v>
      </c>
      <c r="I70" s="314">
        <v>0</v>
      </c>
      <c r="J70" s="314">
        <v>0</v>
      </c>
      <c r="K70" s="314">
        <v>0</v>
      </c>
      <c r="L70" s="314">
        <v>0</v>
      </c>
      <c r="M70" s="314">
        <v>0</v>
      </c>
      <c r="N70" s="314">
        <v>0</v>
      </c>
      <c r="O70" s="314">
        <v>503673.85</v>
      </c>
      <c r="P70" s="314">
        <f t="shared" si="1"/>
        <v>503673.85</v>
      </c>
      <c r="Q70" s="314">
        <v>0</v>
      </c>
      <c r="R70" s="314">
        <v>0</v>
      </c>
      <c r="S70" s="314">
        <v>633673.85</v>
      </c>
    </row>
    <row r="71" spans="1:19" x14ac:dyDescent="0.25">
      <c r="A71" s="313" t="s">
        <v>1401</v>
      </c>
      <c r="B71" s="313" t="s">
        <v>776</v>
      </c>
      <c r="C71" s="313">
        <v>6585534</v>
      </c>
      <c r="D71" s="313">
        <v>2018</v>
      </c>
      <c r="E71" s="314">
        <v>136866</v>
      </c>
      <c r="F71" s="314">
        <v>0</v>
      </c>
      <c r="G71" s="314">
        <v>0</v>
      </c>
      <c r="H71" s="314">
        <v>469816</v>
      </c>
      <c r="I71" s="314">
        <v>0</v>
      </c>
      <c r="J71" s="314">
        <v>0</v>
      </c>
      <c r="K71" s="314">
        <v>2289824</v>
      </c>
      <c r="L71" s="314">
        <v>34696</v>
      </c>
      <c r="M71" s="314">
        <v>0</v>
      </c>
      <c r="N71" s="314">
        <v>0</v>
      </c>
      <c r="O71" s="314">
        <v>112000</v>
      </c>
      <c r="P71" s="314">
        <f t="shared" si="1"/>
        <v>112000</v>
      </c>
      <c r="Q71" s="314">
        <v>0</v>
      </c>
      <c r="R71" s="314">
        <v>0</v>
      </c>
      <c r="S71" s="314">
        <v>3043202</v>
      </c>
    </row>
    <row r="72" spans="1:19" x14ac:dyDescent="0.25">
      <c r="A72" s="313" t="s">
        <v>760</v>
      </c>
      <c r="B72" s="313" t="s">
        <v>760</v>
      </c>
      <c r="C72" s="313">
        <v>4461551</v>
      </c>
      <c r="D72" s="313">
        <v>2018</v>
      </c>
      <c r="E72" s="314">
        <v>1000000</v>
      </c>
      <c r="F72" s="314">
        <v>0</v>
      </c>
      <c r="G72" s="314">
        <v>0</v>
      </c>
      <c r="H72" s="314">
        <v>11243516</v>
      </c>
      <c r="I72" s="314">
        <v>0</v>
      </c>
      <c r="J72" s="314">
        <v>0</v>
      </c>
      <c r="K72" s="314">
        <v>0</v>
      </c>
      <c r="L72" s="314">
        <v>0</v>
      </c>
      <c r="M72" s="314">
        <v>0</v>
      </c>
      <c r="N72" s="314">
        <v>379784</v>
      </c>
      <c r="O72" s="314">
        <v>620000</v>
      </c>
      <c r="P72" s="314">
        <f t="shared" si="1"/>
        <v>999784</v>
      </c>
      <c r="Q72" s="314">
        <v>0</v>
      </c>
      <c r="R72" s="314">
        <v>495000</v>
      </c>
      <c r="S72" s="314">
        <v>13738300</v>
      </c>
    </row>
    <row r="73" spans="1:19" x14ac:dyDescent="0.25">
      <c r="A73" s="313" t="s">
        <v>1383</v>
      </c>
      <c r="B73" s="313" t="s">
        <v>776</v>
      </c>
      <c r="C73" s="313">
        <v>1236570</v>
      </c>
      <c r="D73" s="313">
        <v>2018</v>
      </c>
      <c r="E73" s="314">
        <v>0</v>
      </c>
      <c r="F73" s="314">
        <v>0</v>
      </c>
      <c r="G73" s="314">
        <v>0</v>
      </c>
      <c r="H73" s="314">
        <v>1899448</v>
      </c>
      <c r="I73" s="314">
        <v>0</v>
      </c>
      <c r="J73" s="314">
        <v>0</v>
      </c>
      <c r="K73" s="314">
        <v>6111552</v>
      </c>
      <c r="L73" s="314">
        <v>53640</v>
      </c>
      <c r="M73" s="314">
        <v>0</v>
      </c>
      <c r="N73" s="314">
        <v>0</v>
      </c>
      <c r="O73" s="314">
        <v>1703000</v>
      </c>
      <c r="P73" s="314">
        <f t="shared" si="1"/>
        <v>1703000</v>
      </c>
      <c r="Q73" s="314">
        <v>0</v>
      </c>
      <c r="R73" s="314">
        <v>0</v>
      </c>
      <c r="S73" s="314">
        <v>9767640</v>
      </c>
    </row>
    <row r="74" spans="1:19" x14ac:dyDescent="0.25">
      <c r="A74" s="313" t="s">
        <v>440</v>
      </c>
      <c r="B74" s="313" t="s">
        <v>440</v>
      </c>
      <c r="C74" s="313">
        <v>1450637</v>
      </c>
      <c r="D74" s="313">
        <v>2018</v>
      </c>
      <c r="E74" s="314">
        <v>0</v>
      </c>
      <c r="F74" s="314">
        <v>0</v>
      </c>
      <c r="G74" s="314">
        <v>0</v>
      </c>
      <c r="H74" s="314">
        <v>13060440</v>
      </c>
      <c r="I74" s="314">
        <v>0</v>
      </c>
      <c r="J74" s="314">
        <v>5132000</v>
      </c>
      <c r="K74" s="314">
        <v>0</v>
      </c>
      <c r="L74" s="314">
        <v>0</v>
      </c>
      <c r="M74" s="314">
        <v>0</v>
      </c>
      <c r="N74" s="314">
        <v>48866</v>
      </c>
      <c r="O74" s="314">
        <v>0</v>
      </c>
      <c r="P74" s="314">
        <f t="shared" si="1"/>
        <v>48866</v>
      </c>
      <c r="Q74" s="314">
        <v>0</v>
      </c>
      <c r="R74" s="314">
        <v>0</v>
      </c>
      <c r="S74" s="314">
        <v>18241306</v>
      </c>
    </row>
    <row r="75" spans="1:19" x14ac:dyDescent="0.25">
      <c r="A75" s="313" t="s">
        <v>877</v>
      </c>
      <c r="B75" s="313" t="s">
        <v>874</v>
      </c>
      <c r="C75" s="313">
        <v>1378201</v>
      </c>
      <c r="D75" s="313">
        <v>2018</v>
      </c>
      <c r="E75" s="314">
        <v>0</v>
      </c>
      <c r="F75" s="314">
        <v>0</v>
      </c>
      <c r="G75" s="314">
        <v>0</v>
      </c>
      <c r="H75" s="314">
        <v>357790</v>
      </c>
      <c r="I75" s="314">
        <v>0</v>
      </c>
      <c r="J75" s="314">
        <v>0</v>
      </c>
      <c r="K75" s="314">
        <v>791404.49</v>
      </c>
      <c r="L75" s="314">
        <v>0</v>
      </c>
      <c r="M75" s="314">
        <v>0</v>
      </c>
      <c r="N75" s="314">
        <v>15000</v>
      </c>
      <c r="O75" s="314">
        <v>85000</v>
      </c>
      <c r="P75" s="314">
        <f t="shared" si="1"/>
        <v>100000</v>
      </c>
      <c r="Q75" s="314">
        <v>0</v>
      </c>
      <c r="R75" s="314">
        <v>51050</v>
      </c>
      <c r="S75" s="314">
        <v>1300244.49</v>
      </c>
    </row>
    <row r="76" spans="1:19" x14ac:dyDescent="0.25">
      <c r="A76" s="313" t="s">
        <v>620</v>
      </c>
      <c r="B76" s="313" t="s">
        <v>618</v>
      </c>
      <c r="C76" s="313">
        <v>1172890</v>
      </c>
      <c r="D76" s="313">
        <v>2018</v>
      </c>
      <c r="E76" s="314">
        <v>0</v>
      </c>
      <c r="F76" s="314">
        <v>0</v>
      </c>
      <c r="G76" s="314">
        <v>0</v>
      </c>
      <c r="H76" s="314">
        <v>3007800</v>
      </c>
      <c r="I76" s="314">
        <v>0</v>
      </c>
      <c r="J76" s="314">
        <v>0</v>
      </c>
      <c r="K76" s="314">
        <v>0</v>
      </c>
      <c r="L76" s="314">
        <v>0</v>
      </c>
      <c r="M76" s="314">
        <v>0</v>
      </c>
      <c r="N76" s="314">
        <v>135602</v>
      </c>
      <c r="O76" s="314">
        <v>2104621.16</v>
      </c>
      <c r="P76" s="314">
        <f t="shared" si="1"/>
        <v>2240223.16</v>
      </c>
      <c r="Q76" s="314">
        <v>0</v>
      </c>
      <c r="R76" s="314">
        <v>0</v>
      </c>
      <c r="S76" s="314">
        <v>5248023.16</v>
      </c>
    </row>
    <row r="77" spans="1:19" x14ac:dyDescent="0.25">
      <c r="A77" s="313" t="s">
        <v>859</v>
      </c>
      <c r="B77" s="313" t="s">
        <v>857</v>
      </c>
      <c r="C77" s="313">
        <v>1696009</v>
      </c>
      <c r="D77" s="313">
        <v>2018</v>
      </c>
      <c r="E77" s="314">
        <v>0</v>
      </c>
      <c r="F77" s="314">
        <v>0</v>
      </c>
      <c r="G77" s="314">
        <v>0</v>
      </c>
      <c r="H77" s="314">
        <v>326000</v>
      </c>
      <c r="I77" s="314">
        <v>0</v>
      </c>
      <c r="J77" s="314">
        <v>0</v>
      </c>
      <c r="K77" s="314">
        <v>0</v>
      </c>
      <c r="L77" s="314">
        <v>0</v>
      </c>
      <c r="M77" s="314">
        <v>0</v>
      </c>
      <c r="N77" s="314">
        <v>0</v>
      </c>
      <c r="O77" s="314">
        <v>668000</v>
      </c>
      <c r="P77" s="314">
        <f t="shared" si="1"/>
        <v>668000</v>
      </c>
      <c r="Q77" s="314">
        <v>0</v>
      </c>
      <c r="R77" s="314">
        <v>0</v>
      </c>
      <c r="S77" s="314">
        <v>994000</v>
      </c>
    </row>
    <row r="78" spans="1:19" x14ac:dyDescent="0.25">
      <c r="A78" s="313" t="s">
        <v>962</v>
      </c>
      <c r="B78" s="313" t="s">
        <v>962</v>
      </c>
      <c r="C78" s="313">
        <v>1715626</v>
      </c>
      <c r="D78" s="313">
        <v>2018</v>
      </c>
      <c r="E78" s="314">
        <v>158000</v>
      </c>
      <c r="F78" s="314">
        <v>0</v>
      </c>
      <c r="G78" s="314">
        <v>0</v>
      </c>
      <c r="H78" s="314">
        <v>3098820</v>
      </c>
      <c r="I78" s="314">
        <v>0</v>
      </c>
      <c r="J78" s="314">
        <v>0</v>
      </c>
      <c r="K78" s="314">
        <v>0</v>
      </c>
      <c r="L78" s="314">
        <v>0</v>
      </c>
      <c r="M78" s="314">
        <v>0</v>
      </c>
      <c r="N78" s="314">
        <v>0</v>
      </c>
      <c r="O78" s="314">
        <v>100000</v>
      </c>
      <c r="P78" s="314">
        <f t="shared" si="1"/>
        <v>100000</v>
      </c>
      <c r="Q78" s="314">
        <v>0</v>
      </c>
      <c r="R78" s="314">
        <v>0</v>
      </c>
      <c r="S78" s="314">
        <v>3356820</v>
      </c>
    </row>
    <row r="79" spans="1:19" x14ac:dyDescent="0.25">
      <c r="A79" s="313" t="s">
        <v>493</v>
      </c>
      <c r="B79" s="313" t="s">
        <v>493</v>
      </c>
      <c r="C79" s="313">
        <v>8635813</v>
      </c>
      <c r="D79" s="313">
        <v>2018</v>
      </c>
      <c r="E79" s="314">
        <v>0</v>
      </c>
      <c r="F79" s="314">
        <v>0</v>
      </c>
      <c r="G79" s="314">
        <v>0</v>
      </c>
      <c r="H79" s="314">
        <v>5561790</v>
      </c>
      <c r="I79" s="314">
        <v>0</v>
      </c>
      <c r="J79" s="314">
        <v>0</v>
      </c>
      <c r="K79" s="314">
        <v>0</v>
      </c>
      <c r="L79" s="314">
        <v>0</v>
      </c>
      <c r="M79" s="314">
        <v>0</v>
      </c>
      <c r="N79" s="314">
        <v>0</v>
      </c>
      <c r="O79" s="314">
        <v>1200000</v>
      </c>
      <c r="P79" s="314">
        <f t="shared" si="1"/>
        <v>1200000</v>
      </c>
      <c r="Q79" s="314">
        <v>0</v>
      </c>
      <c r="R79" s="314">
        <v>0</v>
      </c>
      <c r="S79" s="314">
        <v>6761790</v>
      </c>
    </row>
    <row r="80" spans="1:19" x14ac:dyDescent="0.25">
      <c r="A80" s="313" t="s">
        <v>974</v>
      </c>
      <c r="B80" s="313" t="s">
        <v>974</v>
      </c>
      <c r="C80" s="313">
        <v>5173305</v>
      </c>
      <c r="D80" s="313">
        <v>2018</v>
      </c>
      <c r="E80" s="314">
        <v>0</v>
      </c>
      <c r="F80" s="314">
        <v>0</v>
      </c>
      <c r="G80" s="314">
        <v>0</v>
      </c>
      <c r="H80" s="314">
        <v>2295284</v>
      </c>
      <c r="I80" s="314">
        <v>0</v>
      </c>
      <c r="J80" s="314">
        <v>0</v>
      </c>
      <c r="K80" s="314">
        <v>0</v>
      </c>
      <c r="L80" s="314">
        <v>0</v>
      </c>
      <c r="M80" s="314">
        <v>0</v>
      </c>
      <c r="N80" s="314">
        <v>0</v>
      </c>
      <c r="O80" s="314">
        <v>9050000</v>
      </c>
      <c r="P80" s="314">
        <f t="shared" si="1"/>
        <v>9050000</v>
      </c>
      <c r="Q80" s="314">
        <v>0</v>
      </c>
      <c r="R80" s="314">
        <v>0</v>
      </c>
      <c r="S80" s="314">
        <v>11345284</v>
      </c>
    </row>
    <row r="81" spans="1:19" x14ac:dyDescent="0.25">
      <c r="A81" s="313" t="s">
        <v>1259</v>
      </c>
      <c r="B81" s="313" t="s">
        <v>678</v>
      </c>
      <c r="C81" s="313">
        <v>3357963</v>
      </c>
      <c r="D81" s="313">
        <v>2018</v>
      </c>
      <c r="E81" s="314">
        <v>0</v>
      </c>
      <c r="F81" s="314">
        <v>0</v>
      </c>
      <c r="G81" s="314">
        <v>0</v>
      </c>
      <c r="H81" s="314">
        <v>262468</v>
      </c>
      <c r="I81" s="314">
        <v>0</v>
      </c>
      <c r="J81" s="314">
        <v>0</v>
      </c>
      <c r="K81" s="314">
        <v>0</v>
      </c>
      <c r="L81" s="314">
        <v>0</v>
      </c>
      <c r="M81" s="314">
        <v>0</v>
      </c>
      <c r="N81" s="314">
        <v>0</v>
      </c>
      <c r="O81" s="314">
        <v>1067400</v>
      </c>
      <c r="P81" s="314">
        <f t="shared" si="1"/>
        <v>1067400</v>
      </c>
      <c r="Q81" s="314">
        <v>0</v>
      </c>
      <c r="R81" s="314">
        <v>0</v>
      </c>
      <c r="S81" s="314">
        <v>1329868</v>
      </c>
    </row>
    <row r="82" spans="1:19" x14ac:dyDescent="0.25">
      <c r="A82" s="313" t="s">
        <v>810</v>
      </c>
      <c r="B82" s="313" t="s">
        <v>805</v>
      </c>
      <c r="C82" s="313">
        <v>6607461</v>
      </c>
      <c r="D82" s="313">
        <v>2018</v>
      </c>
      <c r="E82" s="314">
        <v>86393</v>
      </c>
      <c r="F82" s="314">
        <v>0</v>
      </c>
      <c r="G82" s="314">
        <v>0</v>
      </c>
      <c r="H82" s="314">
        <v>1142600</v>
      </c>
      <c r="I82" s="314">
        <v>0</v>
      </c>
      <c r="J82" s="314">
        <v>0</v>
      </c>
      <c r="K82" s="314">
        <v>0</v>
      </c>
      <c r="L82" s="314">
        <v>0</v>
      </c>
      <c r="M82" s="314">
        <v>0</v>
      </c>
      <c r="N82" s="314">
        <v>15000</v>
      </c>
      <c r="O82" s="314">
        <v>200000</v>
      </c>
      <c r="P82" s="314">
        <f t="shared" si="1"/>
        <v>215000</v>
      </c>
      <c r="Q82" s="314">
        <v>0</v>
      </c>
      <c r="R82" s="314">
        <v>0</v>
      </c>
      <c r="S82" s="314">
        <v>1443993</v>
      </c>
    </row>
    <row r="83" spans="1:19" x14ac:dyDescent="0.25">
      <c r="A83" s="313" t="s">
        <v>1457</v>
      </c>
      <c r="B83" s="313" t="s">
        <v>553</v>
      </c>
      <c r="C83" s="313">
        <v>7653065</v>
      </c>
      <c r="D83" s="313">
        <v>2018</v>
      </c>
      <c r="E83" s="314">
        <v>0</v>
      </c>
      <c r="F83" s="314">
        <v>0</v>
      </c>
      <c r="G83" s="314">
        <v>0</v>
      </c>
      <c r="H83" s="314">
        <v>315000</v>
      </c>
      <c r="I83" s="314">
        <v>0</v>
      </c>
      <c r="J83" s="314">
        <v>0</v>
      </c>
      <c r="K83" s="314">
        <v>2764272</v>
      </c>
      <c r="L83" s="314">
        <v>137444.79999999999</v>
      </c>
      <c r="M83" s="314">
        <v>0</v>
      </c>
      <c r="N83" s="314">
        <v>4000</v>
      </c>
      <c r="O83" s="314">
        <v>48000</v>
      </c>
      <c r="P83" s="314">
        <f t="shared" si="1"/>
        <v>52000</v>
      </c>
      <c r="Q83" s="314">
        <v>0</v>
      </c>
      <c r="R83" s="314">
        <v>0</v>
      </c>
      <c r="S83" s="314">
        <v>3268716.8</v>
      </c>
    </row>
    <row r="84" spans="1:19" x14ac:dyDescent="0.25">
      <c r="A84" s="313" t="s">
        <v>386</v>
      </c>
      <c r="B84" s="313" t="s">
        <v>671</v>
      </c>
      <c r="C84" s="313">
        <v>9666094</v>
      </c>
      <c r="D84" s="313">
        <v>2018</v>
      </c>
      <c r="E84" s="314">
        <v>0</v>
      </c>
      <c r="F84" s="314">
        <v>0</v>
      </c>
      <c r="G84" s="314">
        <v>0</v>
      </c>
      <c r="H84" s="314">
        <v>1294210</v>
      </c>
      <c r="I84" s="314">
        <v>0</v>
      </c>
      <c r="J84" s="314">
        <v>0</v>
      </c>
      <c r="K84" s="314">
        <v>0</v>
      </c>
      <c r="L84" s="314">
        <v>0</v>
      </c>
      <c r="M84" s="314">
        <v>0</v>
      </c>
      <c r="N84" s="314">
        <v>120000</v>
      </c>
      <c r="O84" s="314">
        <v>1356086.36</v>
      </c>
      <c r="P84" s="314">
        <f t="shared" si="1"/>
        <v>1476086.36</v>
      </c>
      <c r="Q84" s="314">
        <v>0</v>
      </c>
      <c r="R84" s="314">
        <v>0</v>
      </c>
      <c r="S84" s="314">
        <v>2770296.3600000003</v>
      </c>
    </row>
    <row r="85" spans="1:19" x14ac:dyDescent="0.25">
      <c r="A85" s="313" t="s">
        <v>528</v>
      </c>
      <c r="B85" s="313" t="s">
        <v>523</v>
      </c>
      <c r="C85" s="313">
        <v>6945387</v>
      </c>
      <c r="D85" s="313">
        <v>2018</v>
      </c>
      <c r="E85" s="314">
        <v>0</v>
      </c>
      <c r="F85" s="314">
        <v>0</v>
      </c>
      <c r="G85" s="314">
        <v>0</v>
      </c>
      <c r="H85" s="314">
        <v>4710750</v>
      </c>
      <c r="I85" s="314">
        <v>0</v>
      </c>
      <c r="J85" s="314">
        <v>1973250</v>
      </c>
      <c r="K85" s="314">
        <v>0</v>
      </c>
      <c r="L85" s="314">
        <v>0</v>
      </c>
      <c r="M85" s="314">
        <v>0</v>
      </c>
      <c r="N85" s="314">
        <v>0</v>
      </c>
      <c r="O85" s="314">
        <v>0</v>
      </c>
      <c r="P85" s="314">
        <f t="shared" si="1"/>
        <v>0</v>
      </c>
      <c r="Q85" s="314">
        <v>0</v>
      </c>
      <c r="R85" s="314">
        <v>0</v>
      </c>
      <c r="S85" s="314">
        <v>6684000</v>
      </c>
    </row>
    <row r="86" spans="1:19" x14ac:dyDescent="0.25">
      <c r="A86" s="313" t="s">
        <v>1082</v>
      </c>
      <c r="B86" s="313" t="s">
        <v>332</v>
      </c>
      <c r="C86" s="313">
        <v>4382191</v>
      </c>
      <c r="D86" s="313">
        <v>2018</v>
      </c>
      <c r="E86" s="314">
        <v>0</v>
      </c>
      <c r="F86" s="314">
        <v>0</v>
      </c>
      <c r="G86" s="314">
        <v>0</v>
      </c>
      <c r="H86" s="314">
        <v>206400</v>
      </c>
      <c r="I86" s="314">
        <v>0</v>
      </c>
      <c r="J86" s="314">
        <v>0</v>
      </c>
      <c r="K86" s="314">
        <v>0</v>
      </c>
      <c r="L86" s="314">
        <v>0</v>
      </c>
      <c r="M86" s="314">
        <v>0</v>
      </c>
      <c r="N86" s="314">
        <v>0</v>
      </c>
      <c r="O86" s="314">
        <v>265000</v>
      </c>
      <c r="P86" s="314">
        <f t="shared" si="1"/>
        <v>265000</v>
      </c>
      <c r="Q86" s="314">
        <v>0</v>
      </c>
      <c r="R86" s="314">
        <v>0</v>
      </c>
      <c r="S86" s="314">
        <v>471400</v>
      </c>
    </row>
    <row r="87" spans="1:19" x14ac:dyDescent="0.25">
      <c r="A87" s="313" t="s">
        <v>864</v>
      </c>
      <c r="B87" s="313" t="s">
        <v>864</v>
      </c>
      <c r="C87" s="313">
        <v>4383860</v>
      </c>
      <c r="D87" s="313">
        <v>2018</v>
      </c>
      <c r="E87" s="314">
        <v>0</v>
      </c>
      <c r="F87" s="314">
        <v>0</v>
      </c>
      <c r="G87" s="314">
        <v>0</v>
      </c>
      <c r="H87" s="314">
        <v>4424742</v>
      </c>
      <c r="I87" s="314">
        <v>0</v>
      </c>
      <c r="J87" s="314">
        <v>0</v>
      </c>
      <c r="K87" s="314">
        <v>0</v>
      </c>
      <c r="L87" s="314">
        <v>0</v>
      </c>
      <c r="M87" s="314">
        <v>0</v>
      </c>
      <c r="N87" s="314">
        <v>0</v>
      </c>
      <c r="O87" s="314">
        <v>7000000</v>
      </c>
      <c r="P87" s="314">
        <f t="shared" si="1"/>
        <v>7000000</v>
      </c>
      <c r="Q87" s="314">
        <v>0</v>
      </c>
      <c r="R87" s="314">
        <v>0</v>
      </c>
      <c r="S87" s="314">
        <v>11424742</v>
      </c>
    </row>
    <row r="88" spans="1:19" x14ac:dyDescent="0.25">
      <c r="A88" s="313" t="s">
        <v>1355</v>
      </c>
      <c r="B88" s="313" t="s">
        <v>760</v>
      </c>
      <c r="C88" s="313">
        <v>3854293</v>
      </c>
      <c r="D88" s="313">
        <v>2018</v>
      </c>
      <c r="E88" s="314">
        <v>2400000</v>
      </c>
      <c r="F88" s="314">
        <v>0</v>
      </c>
      <c r="G88" s="314">
        <v>0</v>
      </c>
      <c r="H88" s="314">
        <v>0</v>
      </c>
      <c r="I88" s="314">
        <v>6780000</v>
      </c>
      <c r="J88" s="314">
        <v>0</v>
      </c>
      <c r="K88" s="314">
        <v>0</v>
      </c>
      <c r="L88" s="314">
        <v>0</v>
      </c>
      <c r="M88" s="314">
        <v>0</v>
      </c>
      <c r="N88" s="314">
        <v>0</v>
      </c>
      <c r="O88" s="314">
        <v>146000</v>
      </c>
      <c r="P88" s="314">
        <f t="shared" si="1"/>
        <v>146000</v>
      </c>
      <c r="Q88" s="314">
        <v>0</v>
      </c>
      <c r="R88" s="314">
        <v>409980</v>
      </c>
      <c r="S88" s="314">
        <v>9735980</v>
      </c>
    </row>
    <row r="89" spans="1:19" x14ac:dyDescent="0.25">
      <c r="A89" s="313" t="s">
        <v>1411</v>
      </c>
      <c r="B89" s="313" t="s">
        <v>805</v>
      </c>
      <c r="C89" s="313">
        <v>2315315</v>
      </c>
      <c r="D89" s="313">
        <v>2018</v>
      </c>
      <c r="E89" s="314">
        <v>0</v>
      </c>
      <c r="F89" s="314">
        <v>0</v>
      </c>
      <c r="G89" s="314">
        <v>0</v>
      </c>
      <c r="H89" s="314">
        <v>1174500</v>
      </c>
      <c r="I89" s="314">
        <v>0</v>
      </c>
      <c r="J89" s="314">
        <v>0</v>
      </c>
      <c r="K89" s="314">
        <v>0</v>
      </c>
      <c r="L89" s="314">
        <v>0</v>
      </c>
      <c r="M89" s="314">
        <v>0</v>
      </c>
      <c r="N89" s="314">
        <v>0</v>
      </c>
      <c r="O89" s="314">
        <v>250000</v>
      </c>
      <c r="P89" s="314">
        <f t="shared" si="1"/>
        <v>250000</v>
      </c>
      <c r="Q89" s="314">
        <v>0</v>
      </c>
      <c r="R89" s="314">
        <v>0</v>
      </c>
      <c r="S89" s="314">
        <v>1424500</v>
      </c>
    </row>
    <row r="90" spans="1:19" x14ac:dyDescent="0.25">
      <c r="A90" s="313" t="s">
        <v>1166</v>
      </c>
      <c r="B90" s="313" t="s">
        <v>821</v>
      </c>
      <c r="C90" s="313">
        <v>1356155</v>
      </c>
      <c r="D90" s="313">
        <v>2018</v>
      </c>
      <c r="E90" s="314">
        <v>350000</v>
      </c>
      <c r="F90" s="314">
        <v>0</v>
      </c>
      <c r="G90" s="314">
        <v>0</v>
      </c>
      <c r="H90" s="314">
        <v>1100000</v>
      </c>
      <c r="I90" s="314">
        <v>0</v>
      </c>
      <c r="J90" s="314">
        <v>0</v>
      </c>
      <c r="K90" s="314">
        <v>0</v>
      </c>
      <c r="L90" s="314">
        <v>0</v>
      </c>
      <c r="M90" s="314">
        <v>0</v>
      </c>
      <c r="N90" s="314">
        <v>16500</v>
      </c>
      <c r="O90" s="314">
        <v>75000</v>
      </c>
      <c r="P90" s="314">
        <f t="shared" si="1"/>
        <v>91500</v>
      </c>
      <c r="Q90" s="314">
        <v>0</v>
      </c>
      <c r="R90" s="314">
        <v>0</v>
      </c>
      <c r="S90" s="314">
        <v>1541500</v>
      </c>
    </row>
    <row r="91" spans="1:19" x14ac:dyDescent="0.25">
      <c r="A91" s="313" t="s">
        <v>1117</v>
      </c>
      <c r="B91" s="313" t="s">
        <v>1118</v>
      </c>
      <c r="C91" s="313">
        <v>9608144</v>
      </c>
      <c r="D91" s="313">
        <v>2018</v>
      </c>
      <c r="E91" s="314">
        <v>0</v>
      </c>
      <c r="F91" s="314">
        <v>0</v>
      </c>
      <c r="G91" s="314">
        <v>0</v>
      </c>
      <c r="H91" s="314">
        <v>915538</v>
      </c>
      <c r="I91" s="314">
        <v>0</v>
      </c>
      <c r="J91" s="314">
        <v>0</v>
      </c>
      <c r="K91" s="314">
        <v>0</v>
      </c>
      <c r="L91" s="314">
        <v>0</v>
      </c>
      <c r="M91" s="314">
        <v>0</v>
      </c>
      <c r="N91" s="314">
        <v>5000</v>
      </c>
      <c r="O91" s="314">
        <v>106000</v>
      </c>
      <c r="P91" s="314">
        <f t="shared" si="1"/>
        <v>111000</v>
      </c>
      <c r="Q91" s="314">
        <v>0</v>
      </c>
      <c r="R91" s="314">
        <v>81648</v>
      </c>
      <c r="S91" s="314">
        <v>1108186</v>
      </c>
    </row>
    <row r="92" spans="1:19" x14ac:dyDescent="0.25">
      <c r="A92" s="313" t="s">
        <v>459</v>
      </c>
      <c r="B92" s="313" t="s">
        <v>459</v>
      </c>
      <c r="C92" s="313">
        <v>2125600</v>
      </c>
      <c r="D92" s="313">
        <v>2018</v>
      </c>
      <c r="E92" s="314">
        <v>0</v>
      </c>
      <c r="F92" s="314">
        <v>0</v>
      </c>
      <c r="G92" s="314">
        <v>0</v>
      </c>
      <c r="H92" s="314">
        <v>4881060</v>
      </c>
      <c r="I92" s="314">
        <v>0</v>
      </c>
      <c r="J92" s="314">
        <v>0</v>
      </c>
      <c r="K92" s="314">
        <v>0</v>
      </c>
      <c r="L92" s="314">
        <v>0</v>
      </c>
      <c r="M92" s="314">
        <v>0</v>
      </c>
      <c r="N92" s="314">
        <v>0</v>
      </c>
      <c r="O92" s="314">
        <v>4550967</v>
      </c>
      <c r="P92" s="314">
        <f t="shared" si="1"/>
        <v>4550967</v>
      </c>
      <c r="Q92" s="314">
        <v>0</v>
      </c>
      <c r="R92" s="314">
        <v>0</v>
      </c>
      <c r="S92" s="314">
        <v>9432027</v>
      </c>
    </row>
    <row r="93" spans="1:19" x14ac:dyDescent="0.25">
      <c r="A93" s="313" t="s">
        <v>386</v>
      </c>
      <c r="B93" s="313" t="s">
        <v>332</v>
      </c>
      <c r="C93" s="313">
        <v>3597628</v>
      </c>
      <c r="D93" s="313">
        <v>2018</v>
      </c>
      <c r="E93" s="314">
        <v>0</v>
      </c>
      <c r="F93" s="314">
        <v>0</v>
      </c>
      <c r="G93" s="314">
        <v>0</v>
      </c>
      <c r="H93" s="314">
        <v>2027150</v>
      </c>
      <c r="I93" s="314">
        <v>0</v>
      </c>
      <c r="J93" s="314">
        <v>0</v>
      </c>
      <c r="K93" s="314">
        <v>0</v>
      </c>
      <c r="L93" s="314">
        <v>0</v>
      </c>
      <c r="M93" s="314">
        <v>0</v>
      </c>
      <c r="N93" s="314">
        <v>0</v>
      </c>
      <c r="O93" s="314">
        <v>2210000</v>
      </c>
      <c r="P93" s="314">
        <f t="shared" si="1"/>
        <v>2210000</v>
      </c>
      <c r="Q93" s="314">
        <v>0</v>
      </c>
      <c r="R93" s="314">
        <v>0</v>
      </c>
      <c r="S93" s="314">
        <v>4237150</v>
      </c>
    </row>
    <row r="94" spans="1:19" x14ac:dyDescent="0.25">
      <c r="A94" s="313" t="s">
        <v>509</v>
      </c>
      <c r="B94" s="313" t="s">
        <v>509</v>
      </c>
      <c r="C94" s="313">
        <v>3713907</v>
      </c>
      <c r="D94" s="313">
        <v>2018</v>
      </c>
      <c r="E94" s="314">
        <v>0</v>
      </c>
      <c r="F94" s="314">
        <v>0</v>
      </c>
      <c r="G94" s="314">
        <v>0</v>
      </c>
      <c r="H94" s="314">
        <v>13972332</v>
      </c>
      <c r="I94" s="314">
        <v>0</v>
      </c>
      <c r="J94" s="314">
        <v>7021000</v>
      </c>
      <c r="K94" s="314">
        <v>0</v>
      </c>
      <c r="L94" s="314">
        <v>0</v>
      </c>
      <c r="M94" s="314">
        <v>0</v>
      </c>
      <c r="N94" s="314">
        <v>0</v>
      </c>
      <c r="O94" s="314">
        <v>0</v>
      </c>
      <c r="P94" s="314">
        <f t="shared" si="1"/>
        <v>0</v>
      </c>
      <c r="Q94" s="314">
        <v>0</v>
      </c>
      <c r="R94" s="314">
        <v>0</v>
      </c>
      <c r="S94" s="314">
        <v>20993332</v>
      </c>
    </row>
    <row r="95" spans="1:19" x14ac:dyDescent="0.25">
      <c r="A95" s="313" t="s">
        <v>931</v>
      </c>
      <c r="B95" s="313" t="s">
        <v>306</v>
      </c>
      <c r="C95" s="313">
        <v>8615860</v>
      </c>
      <c r="D95" s="313">
        <v>2018</v>
      </c>
      <c r="E95" s="314">
        <v>93000</v>
      </c>
      <c r="F95" s="314">
        <v>0</v>
      </c>
      <c r="G95" s="314">
        <v>0</v>
      </c>
      <c r="H95" s="314">
        <v>1164160</v>
      </c>
      <c r="I95" s="314">
        <v>0</v>
      </c>
      <c r="J95" s="314">
        <v>0</v>
      </c>
      <c r="K95" s="314">
        <v>0</v>
      </c>
      <c r="L95" s="314">
        <v>0</v>
      </c>
      <c r="M95" s="314">
        <v>0</v>
      </c>
      <c r="N95" s="314">
        <v>14000</v>
      </c>
      <c r="O95" s="314">
        <v>155000</v>
      </c>
      <c r="P95" s="314">
        <f t="shared" si="1"/>
        <v>169000</v>
      </c>
      <c r="Q95" s="314">
        <v>0</v>
      </c>
      <c r="R95" s="314">
        <v>3800</v>
      </c>
      <c r="S95" s="314">
        <v>1429960</v>
      </c>
    </row>
    <row r="96" spans="1:19" x14ac:dyDescent="0.25">
      <c r="A96" s="313" t="s">
        <v>769</v>
      </c>
      <c r="B96" s="313" t="s">
        <v>947</v>
      </c>
      <c r="C96" s="313">
        <v>5703553</v>
      </c>
      <c r="D96" s="313">
        <v>2018</v>
      </c>
      <c r="E96" s="314">
        <v>0</v>
      </c>
      <c r="F96" s="314">
        <v>0</v>
      </c>
      <c r="G96" s="314">
        <v>0</v>
      </c>
      <c r="H96" s="314">
        <v>1805000</v>
      </c>
      <c r="I96" s="314">
        <v>0</v>
      </c>
      <c r="J96" s="314">
        <v>0</v>
      </c>
      <c r="K96" s="314">
        <v>0</v>
      </c>
      <c r="L96" s="314">
        <v>0</v>
      </c>
      <c r="M96" s="314">
        <v>0</v>
      </c>
      <c r="N96" s="314">
        <v>0</v>
      </c>
      <c r="O96" s="314">
        <v>118200</v>
      </c>
      <c r="P96" s="314">
        <f t="shared" si="1"/>
        <v>118200</v>
      </c>
      <c r="Q96" s="314">
        <v>0</v>
      </c>
      <c r="R96" s="314">
        <v>0</v>
      </c>
      <c r="S96" s="314">
        <v>1923200</v>
      </c>
    </row>
    <row r="97" spans="1:19" x14ac:dyDescent="0.25">
      <c r="A97" s="313" t="s">
        <v>525</v>
      </c>
      <c r="B97" s="313" t="s">
        <v>523</v>
      </c>
      <c r="C97" s="313">
        <v>5869239</v>
      </c>
      <c r="D97" s="313">
        <v>2018</v>
      </c>
      <c r="E97" s="314">
        <v>0</v>
      </c>
      <c r="F97" s="314">
        <v>0</v>
      </c>
      <c r="G97" s="314">
        <v>0</v>
      </c>
      <c r="H97" s="314">
        <v>10825250</v>
      </c>
      <c r="I97" s="314">
        <v>0</v>
      </c>
      <c r="J97" s="314">
        <v>4859750</v>
      </c>
      <c r="K97" s="314">
        <v>0</v>
      </c>
      <c r="L97" s="314">
        <v>0</v>
      </c>
      <c r="M97" s="314">
        <v>0</v>
      </c>
      <c r="N97" s="314">
        <v>0</v>
      </c>
      <c r="O97" s="314">
        <v>0</v>
      </c>
      <c r="P97" s="314">
        <f t="shared" si="1"/>
        <v>0</v>
      </c>
      <c r="Q97" s="314">
        <v>0</v>
      </c>
      <c r="R97" s="314">
        <v>0</v>
      </c>
      <c r="S97" s="314">
        <v>15685000</v>
      </c>
    </row>
    <row r="98" spans="1:19" x14ac:dyDescent="0.25">
      <c r="A98" s="313" t="s">
        <v>676</v>
      </c>
      <c r="B98" s="313" t="s">
        <v>674</v>
      </c>
      <c r="C98" s="313">
        <v>3810187</v>
      </c>
      <c r="D98" s="313">
        <v>2018</v>
      </c>
      <c r="E98" s="314">
        <v>0</v>
      </c>
      <c r="F98" s="314">
        <v>0</v>
      </c>
      <c r="G98" s="314">
        <v>0</v>
      </c>
      <c r="H98" s="314">
        <v>1426000</v>
      </c>
      <c r="I98" s="314">
        <v>0</v>
      </c>
      <c r="J98" s="314">
        <v>0</v>
      </c>
      <c r="K98" s="314">
        <v>0</v>
      </c>
      <c r="L98" s="314">
        <v>0</v>
      </c>
      <c r="M98" s="314">
        <v>0</v>
      </c>
      <c r="N98" s="314">
        <v>0</v>
      </c>
      <c r="O98" s="314">
        <v>2109180.7599999998</v>
      </c>
      <c r="P98" s="314">
        <f t="shared" si="1"/>
        <v>2109180.7599999998</v>
      </c>
      <c r="Q98" s="314">
        <v>0</v>
      </c>
      <c r="R98" s="314">
        <v>0</v>
      </c>
      <c r="S98" s="314">
        <v>3535180.76</v>
      </c>
    </row>
    <row r="99" spans="1:19" x14ac:dyDescent="0.25">
      <c r="A99" s="313" t="s">
        <v>327</v>
      </c>
      <c r="B99" s="313" t="s">
        <v>312</v>
      </c>
      <c r="C99" s="313">
        <v>9684449</v>
      </c>
      <c r="D99" s="313">
        <v>2018</v>
      </c>
      <c r="E99" s="314">
        <v>94000</v>
      </c>
      <c r="F99" s="314">
        <v>0</v>
      </c>
      <c r="G99" s="314">
        <v>0</v>
      </c>
      <c r="H99" s="314">
        <v>964200</v>
      </c>
      <c r="I99" s="314">
        <v>0</v>
      </c>
      <c r="J99" s="314">
        <v>0</v>
      </c>
      <c r="K99" s="314">
        <v>0</v>
      </c>
      <c r="L99" s="314">
        <v>0</v>
      </c>
      <c r="M99" s="314">
        <v>0</v>
      </c>
      <c r="N99" s="314">
        <v>0</v>
      </c>
      <c r="O99" s="314">
        <v>165000</v>
      </c>
      <c r="P99" s="314">
        <f t="shared" si="1"/>
        <v>165000</v>
      </c>
      <c r="Q99" s="314">
        <v>0</v>
      </c>
      <c r="R99" s="314">
        <v>0</v>
      </c>
      <c r="S99" s="314">
        <v>1223200</v>
      </c>
    </row>
    <row r="100" spans="1:19" x14ac:dyDescent="0.25">
      <c r="A100" s="313" t="s">
        <v>1436</v>
      </c>
      <c r="B100" s="313" t="s">
        <v>332</v>
      </c>
      <c r="C100" s="313">
        <v>4987165</v>
      </c>
      <c r="D100" s="313">
        <v>2018</v>
      </c>
      <c r="E100" s="314">
        <v>0</v>
      </c>
      <c r="F100" s="314">
        <v>0</v>
      </c>
      <c r="G100" s="314">
        <v>0</v>
      </c>
      <c r="H100" s="314">
        <v>166428</v>
      </c>
      <c r="I100" s="314">
        <v>0</v>
      </c>
      <c r="J100" s="314">
        <v>0</v>
      </c>
      <c r="K100" s="314">
        <v>2040032</v>
      </c>
      <c r="L100" s="314">
        <v>0</v>
      </c>
      <c r="M100" s="314">
        <v>0</v>
      </c>
      <c r="N100" s="314">
        <v>0</v>
      </c>
      <c r="O100" s="314">
        <v>720000</v>
      </c>
      <c r="P100" s="314">
        <f t="shared" si="1"/>
        <v>720000</v>
      </c>
      <c r="Q100" s="314">
        <v>0</v>
      </c>
      <c r="R100" s="314">
        <v>0</v>
      </c>
      <c r="S100" s="314">
        <v>2926460</v>
      </c>
    </row>
    <row r="101" spans="1:19" x14ac:dyDescent="0.25">
      <c r="A101" s="313" t="s">
        <v>769</v>
      </c>
      <c r="B101" s="313" t="s">
        <v>257</v>
      </c>
      <c r="C101" s="313">
        <v>8504548</v>
      </c>
      <c r="D101" s="313">
        <v>2018</v>
      </c>
      <c r="E101" s="314">
        <v>0</v>
      </c>
      <c r="F101" s="314">
        <v>0</v>
      </c>
      <c r="G101" s="314">
        <v>0</v>
      </c>
      <c r="H101" s="314">
        <v>15497762</v>
      </c>
      <c r="I101" s="314">
        <v>0</v>
      </c>
      <c r="J101" s="314">
        <v>8032310.6900000004</v>
      </c>
      <c r="K101" s="314">
        <v>0</v>
      </c>
      <c r="L101" s="314">
        <v>0</v>
      </c>
      <c r="M101" s="314">
        <v>0</v>
      </c>
      <c r="N101" s="314">
        <v>0</v>
      </c>
      <c r="O101" s="314">
        <v>0</v>
      </c>
      <c r="P101" s="314">
        <f t="shared" si="1"/>
        <v>0</v>
      </c>
      <c r="Q101" s="314">
        <v>0</v>
      </c>
      <c r="R101" s="314">
        <v>0</v>
      </c>
      <c r="S101" s="314">
        <v>23530072.690000001</v>
      </c>
    </row>
    <row r="102" spans="1:19" x14ac:dyDescent="0.25">
      <c r="A102" s="313" t="s">
        <v>1438</v>
      </c>
      <c r="B102" s="313" t="s">
        <v>375</v>
      </c>
      <c r="C102" s="313">
        <v>6361701</v>
      </c>
      <c r="D102" s="313">
        <v>2018</v>
      </c>
      <c r="E102" s="314">
        <v>0</v>
      </c>
      <c r="F102" s="314">
        <v>0</v>
      </c>
      <c r="G102" s="314">
        <v>0</v>
      </c>
      <c r="H102" s="314">
        <v>402960</v>
      </c>
      <c r="I102" s="314">
        <v>0</v>
      </c>
      <c r="J102" s="314">
        <v>0</v>
      </c>
      <c r="K102" s="314">
        <v>697283</v>
      </c>
      <c r="L102" s="314">
        <v>0</v>
      </c>
      <c r="M102" s="314">
        <v>0</v>
      </c>
      <c r="N102" s="314">
        <v>0</v>
      </c>
      <c r="O102" s="314">
        <v>3694.84</v>
      </c>
      <c r="P102" s="314">
        <f t="shared" si="1"/>
        <v>3694.84</v>
      </c>
      <c r="Q102" s="314">
        <v>0</v>
      </c>
      <c r="R102" s="314">
        <v>0</v>
      </c>
      <c r="S102" s="314">
        <v>1103937.8400000001</v>
      </c>
    </row>
    <row r="103" spans="1:19" x14ac:dyDescent="0.25">
      <c r="A103" s="313" t="s">
        <v>1482</v>
      </c>
      <c r="B103" s="313" t="s">
        <v>849</v>
      </c>
      <c r="C103" s="313">
        <v>3741470</v>
      </c>
      <c r="D103" s="313">
        <v>2018</v>
      </c>
      <c r="E103" s="314">
        <v>6240</v>
      </c>
      <c r="F103" s="314">
        <v>0</v>
      </c>
      <c r="G103" s="314">
        <v>0</v>
      </c>
      <c r="H103" s="314">
        <v>554760</v>
      </c>
      <c r="I103" s="314">
        <v>0</v>
      </c>
      <c r="J103" s="314">
        <v>0</v>
      </c>
      <c r="K103" s="314">
        <v>4344512</v>
      </c>
      <c r="L103" s="314">
        <v>41974</v>
      </c>
      <c r="M103" s="314">
        <v>0</v>
      </c>
      <c r="N103" s="314">
        <v>0</v>
      </c>
      <c r="O103" s="314">
        <v>90000</v>
      </c>
      <c r="P103" s="314">
        <f t="shared" si="1"/>
        <v>90000</v>
      </c>
      <c r="Q103" s="314">
        <v>0</v>
      </c>
      <c r="R103" s="314">
        <v>0</v>
      </c>
      <c r="S103" s="314">
        <v>5037486</v>
      </c>
    </row>
    <row r="104" spans="1:19" x14ac:dyDescent="0.25">
      <c r="A104" s="313" t="s">
        <v>1433</v>
      </c>
      <c r="B104" s="313" t="s">
        <v>553</v>
      </c>
      <c r="C104" s="313">
        <v>4526227</v>
      </c>
      <c r="D104" s="313">
        <v>2018</v>
      </c>
      <c r="E104" s="314">
        <v>0</v>
      </c>
      <c r="F104" s="314">
        <v>0</v>
      </c>
      <c r="G104" s="314">
        <v>0</v>
      </c>
      <c r="H104" s="314">
        <v>242000</v>
      </c>
      <c r="I104" s="314">
        <v>0</v>
      </c>
      <c r="J104" s="314">
        <v>0</v>
      </c>
      <c r="K104" s="314">
        <v>1630920</v>
      </c>
      <c r="L104" s="314">
        <v>85617.600000000006</v>
      </c>
      <c r="M104" s="314">
        <v>0</v>
      </c>
      <c r="N104" s="314">
        <v>5000</v>
      </c>
      <c r="O104" s="314">
        <v>52000</v>
      </c>
      <c r="P104" s="314">
        <f t="shared" si="1"/>
        <v>57000</v>
      </c>
      <c r="Q104" s="314">
        <v>0</v>
      </c>
      <c r="R104" s="314">
        <v>0</v>
      </c>
      <c r="S104" s="314">
        <v>2015537.6</v>
      </c>
    </row>
    <row r="105" spans="1:19" x14ac:dyDescent="0.25">
      <c r="A105" s="313" t="s">
        <v>1549</v>
      </c>
      <c r="B105" s="313" t="s">
        <v>909</v>
      </c>
      <c r="C105" s="313">
        <v>3588592</v>
      </c>
      <c r="D105" s="313">
        <v>2018</v>
      </c>
      <c r="E105" s="314">
        <v>0</v>
      </c>
      <c r="F105" s="314">
        <v>0</v>
      </c>
      <c r="G105" s="314">
        <v>0</v>
      </c>
      <c r="H105" s="314">
        <v>59148</v>
      </c>
      <c r="I105" s="314">
        <v>0</v>
      </c>
      <c r="J105" s="314">
        <v>0</v>
      </c>
      <c r="K105" s="314">
        <v>1270000</v>
      </c>
      <c r="L105" s="314">
        <v>0</v>
      </c>
      <c r="M105" s="314">
        <v>0</v>
      </c>
      <c r="N105" s="314">
        <v>0</v>
      </c>
      <c r="O105" s="314">
        <v>5000</v>
      </c>
      <c r="P105" s="314">
        <f t="shared" si="1"/>
        <v>5000</v>
      </c>
      <c r="Q105" s="314">
        <v>0</v>
      </c>
      <c r="R105" s="314">
        <v>0</v>
      </c>
      <c r="S105" s="314">
        <v>1334148</v>
      </c>
    </row>
    <row r="106" spans="1:19" x14ac:dyDescent="0.25">
      <c r="A106" s="313" t="s">
        <v>1351</v>
      </c>
      <c r="B106" s="313" t="s">
        <v>1247</v>
      </c>
      <c r="C106" s="313">
        <v>5871375</v>
      </c>
      <c r="D106" s="313">
        <v>2018</v>
      </c>
      <c r="E106" s="314">
        <v>0</v>
      </c>
      <c r="F106" s="314">
        <v>0</v>
      </c>
      <c r="G106" s="314">
        <v>0</v>
      </c>
      <c r="H106" s="314">
        <v>2814712</v>
      </c>
      <c r="I106" s="314">
        <v>0</v>
      </c>
      <c r="J106" s="314">
        <v>0</v>
      </c>
      <c r="K106" s="314">
        <v>0</v>
      </c>
      <c r="L106" s="314">
        <v>0</v>
      </c>
      <c r="M106" s="314">
        <v>0</v>
      </c>
      <c r="N106" s="314">
        <v>0</v>
      </c>
      <c r="O106" s="314">
        <v>300000</v>
      </c>
      <c r="P106" s="314">
        <f t="shared" si="1"/>
        <v>300000</v>
      </c>
      <c r="Q106" s="314">
        <v>1198850</v>
      </c>
      <c r="R106" s="314">
        <v>0</v>
      </c>
      <c r="S106" s="314">
        <v>4313562</v>
      </c>
    </row>
    <row r="107" spans="1:19" x14ac:dyDescent="0.25">
      <c r="A107" s="313" t="s">
        <v>674</v>
      </c>
      <c r="B107" s="313" t="s">
        <v>674</v>
      </c>
      <c r="C107" s="313">
        <v>5945407</v>
      </c>
      <c r="D107" s="313">
        <v>2018</v>
      </c>
      <c r="E107" s="314">
        <v>0</v>
      </c>
      <c r="F107" s="314">
        <v>0</v>
      </c>
      <c r="G107" s="314">
        <v>0</v>
      </c>
      <c r="H107" s="314">
        <v>45408</v>
      </c>
      <c r="I107" s="314">
        <v>0</v>
      </c>
      <c r="J107" s="314">
        <v>0</v>
      </c>
      <c r="K107" s="314">
        <v>460941</v>
      </c>
      <c r="L107" s="314">
        <v>0</v>
      </c>
      <c r="M107" s="314">
        <v>0</v>
      </c>
      <c r="N107" s="314">
        <v>0</v>
      </c>
      <c r="O107" s="314">
        <v>161984.95999999999</v>
      </c>
      <c r="P107" s="314">
        <f t="shared" si="1"/>
        <v>161984.95999999999</v>
      </c>
      <c r="Q107" s="314">
        <v>0</v>
      </c>
      <c r="R107" s="314">
        <v>0</v>
      </c>
      <c r="S107" s="314">
        <v>668333.96</v>
      </c>
    </row>
    <row r="108" spans="1:19" x14ac:dyDescent="0.25">
      <c r="A108" s="313" t="s">
        <v>860</v>
      </c>
      <c r="B108" s="313" t="s">
        <v>857</v>
      </c>
      <c r="C108" s="313">
        <v>2514714</v>
      </c>
      <c r="D108" s="313">
        <v>2018</v>
      </c>
      <c r="E108" s="314">
        <v>0</v>
      </c>
      <c r="F108" s="314">
        <v>0</v>
      </c>
      <c r="G108" s="314">
        <v>0</v>
      </c>
      <c r="H108" s="314">
        <v>92460</v>
      </c>
      <c r="I108" s="314">
        <v>0</v>
      </c>
      <c r="J108" s="314">
        <v>0</v>
      </c>
      <c r="K108" s="314">
        <v>804148</v>
      </c>
      <c r="L108" s="314">
        <v>0</v>
      </c>
      <c r="M108" s="314">
        <v>0</v>
      </c>
      <c r="N108" s="314">
        <v>0</v>
      </c>
      <c r="O108" s="314">
        <v>1162000</v>
      </c>
      <c r="P108" s="314">
        <f t="shared" si="1"/>
        <v>1162000</v>
      </c>
      <c r="Q108" s="314">
        <v>0</v>
      </c>
      <c r="R108" s="314">
        <v>0</v>
      </c>
      <c r="S108" s="314">
        <v>2058608</v>
      </c>
    </row>
    <row r="109" spans="1:19" x14ac:dyDescent="0.25">
      <c r="A109" s="313" t="s">
        <v>1075</v>
      </c>
      <c r="B109" s="313" t="s">
        <v>776</v>
      </c>
      <c r="C109" s="313">
        <v>2886510</v>
      </c>
      <c r="D109" s="313">
        <v>2018</v>
      </c>
      <c r="E109" s="314">
        <v>145000</v>
      </c>
      <c r="F109" s="314">
        <v>0</v>
      </c>
      <c r="G109" s="314">
        <v>0</v>
      </c>
      <c r="H109" s="314">
        <v>1984812</v>
      </c>
      <c r="I109" s="314">
        <v>0</v>
      </c>
      <c r="J109" s="314">
        <v>0</v>
      </c>
      <c r="K109" s="314">
        <v>0</v>
      </c>
      <c r="L109" s="314">
        <v>41896</v>
      </c>
      <c r="M109" s="314">
        <v>0</v>
      </c>
      <c r="N109" s="314">
        <v>0</v>
      </c>
      <c r="O109" s="314">
        <v>296000</v>
      </c>
      <c r="P109" s="314">
        <f t="shared" si="1"/>
        <v>296000</v>
      </c>
      <c r="Q109" s="314">
        <v>0</v>
      </c>
      <c r="R109" s="314">
        <v>0</v>
      </c>
      <c r="S109" s="314">
        <v>2467708</v>
      </c>
    </row>
    <row r="110" spans="1:19" x14ac:dyDescent="0.25">
      <c r="A110" s="313" t="s">
        <v>1010</v>
      </c>
      <c r="B110" s="313" t="s">
        <v>1010</v>
      </c>
      <c r="C110" s="313">
        <v>9268423</v>
      </c>
      <c r="D110" s="313">
        <v>2018</v>
      </c>
      <c r="E110" s="314">
        <v>651000</v>
      </c>
      <c r="F110" s="314">
        <v>0</v>
      </c>
      <c r="G110" s="314">
        <v>0</v>
      </c>
      <c r="H110" s="314">
        <v>7613380</v>
      </c>
      <c r="I110" s="314">
        <v>0</v>
      </c>
      <c r="J110" s="314">
        <v>0</v>
      </c>
      <c r="K110" s="314">
        <v>0</v>
      </c>
      <c r="L110" s="314">
        <v>0</v>
      </c>
      <c r="M110" s="314">
        <v>0</v>
      </c>
      <c r="N110" s="314">
        <v>20000</v>
      </c>
      <c r="O110" s="314">
        <v>2879000</v>
      </c>
      <c r="P110" s="314">
        <f t="shared" si="1"/>
        <v>2899000</v>
      </c>
      <c r="Q110" s="314">
        <v>0</v>
      </c>
      <c r="R110" s="314">
        <v>0</v>
      </c>
      <c r="S110" s="314">
        <v>11163380</v>
      </c>
    </row>
    <row r="111" spans="1:19" x14ac:dyDescent="0.25">
      <c r="A111" s="313" t="s">
        <v>1485</v>
      </c>
      <c r="B111" s="313" t="s">
        <v>1067</v>
      </c>
      <c r="C111" s="313">
        <v>4373225</v>
      </c>
      <c r="D111" s="313">
        <v>2018</v>
      </c>
      <c r="E111" s="314">
        <v>10000</v>
      </c>
      <c r="F111" s="314">
        <v>0</v>
      </c>
      <c r="G111" s="314">
        <v>0</v>
      </c>
      <c r="H111" s="314">
        <v>85000</v>
      </c>
      <c r="I111" s="314">
        <v>0</v>
      </c>
      <c r="J111" s="314">
        <v>0</v>
      </c>
      <c r="K111" s="314">
        <v>916732</v>
      </c>
      <c r="L111" s="314">
        <v>0</v>
      </c>
      <c r="M111" s="314">
        <v>0</v>
      </c>
      <c r="N111" s="314">
        <v>0</v>
      </c>
      <c r="O111" s="314">
        <v>25000</v>
      </c>
      <c r="P111" s="314">
        <f t="shared" si="1"/>
        <v>25000</v>
      </c>
      <c r="Q111" s="314">
        <v>144004.25</v>
      </c>
      <c r="R111" s="314">
        <v>377.21</v>
      </c>
      <c r="S111" s="314">
        <v>1181113.46</v>
      </c>
    </row>
    <row r="112" spans="1:19" x14ac:dyDescent="0.25">
      <c r="A112" s="313" t="s">
        <v>859</v>
      </c>
      <c r="B112" s="313" t="s">
        <v>947</v>
      </c>
      <c r="C112" s="313">
        <v>4720531</v>
      </c>
      <c r="D112" s="313">
        <v>2018</v>
      </c>
      <c r="E112" s="314">
        <v>0</v>
      </c>
      <c r="F112" s="314">
        <v>0</v>
      </c>
      <c r="G112" s="314">
        <v>0</v>
      </c>
      <c r="H112" s="314">
        <v>443400</v>
      </c>
      <c r="I112" s="314">
        <v>0</v>
      </c>
      <c r="J112" s="314">
        <v>0</v>
      </c>
      <c r="K112" s="314">
        <v>0</v>
      </c>
      <c r="L112" s="314">
        <v>0</v>
      </c>
      <c r="M112" s="314">
        <v>0</v>
      </c>
      <c r="N112" s="314">
        <v>0</v>
      </c>
      <c r="O112" s="314">
        <v>205800</v>
      </c>
      <c r="P112" s="314">
        <f t="shared" si="1"/>
        <v>205800</v>
      </c>
      <c r="Q112" s="314">
        <v>0</v>
      </c>
      <c r="R112" s="314">
        <v>0</v>
      </c>
      <c r="S112" s="314">
        <v>649200</v>
      </c>
    </row>
    <row r="113" spans="1:19" x14ac:dyDescent="0.25">
      <c r="A113" s="313" t="s">
        <v>1537</v>
      </c>
      <c r="B113" s="313" t="s">
        <v>1536</v>
      </c>
      <c r="C113" s="313">
        <v>7175172</v>
      </c>
      <c r="D113" s="313">
        <v>2018</v>
      </c>
      <c r="E113" s="314">
        <v>34084</v>
      </c>
      <c r="F113" s="314">
        <v>0</v>
      </c>
      <c r="G113" s="314">
        <v>0</v>
      </c>
      <c r="H113" s="314">
        <v>0</v>
      </c>
      <c r="I113" s="314">
        <v>0</v>
      </c>
      <c r="J113" s="314">
        <v>0</v>
      </c>
      <c r="K113" s="314">
        <v>1145916</v>
      </c>
      <c r="L113" s="314">
        <v>0</v>
      </c>
      <c r="M113" s="314">
        <v>0</v>
      </c>
      <c r="N113" s="314">
        <v>0</v>
      </c>
      <c r="O113" s="314">
        <v>66000</v>
      </c>
      <c r="P113" s="314">
        <f t="shared" si="1"/>
        <v>66000</v>
      </c>
      <c r="Q113" s="314">
        <v>0</v>
      </c>
      <c r="R113" s="314">
        <v>0</v>
      </c>
      <c r="S113" s="314">
        <v>1246000</v>
      </c>
    </row>
    <row r="114" spans="1:19" x14ac:dyDescent="0.25">
      <c r="A114" s="313" t="s">
        <v>977</v>
      </c>
      <c r="B114" s="313" t="s">
        <v>977</v>
      </c>
      <c r="C114" s="313">
        <v>5175408</v>
      </c>
      <c r="D114" s="313">
        <v>2018</v>
      </c>
      <c r="E114" s="314">
        <v>0</v>
      </c>
      <c r="F114" s="314">
        <v>0</v>
      </c>
      <c r="G114" s="314">
        <v>0</v>
      </c>
      <c r="H114" s="314">
        <v>260780</v>
      </c>
      <c r="I114" s="314">
        <v>0</v>
      </c>
      <c r="J114" s="314">
        <v>0</v>
      </c>
      <c r="K114" s="314">
        <v>0</v>
      </c>
      <c r="L114" s="314">
        <v>0</v>
      </c>
      <c r="M114" s="314">
        <v>0</v>
      </c>
      <c r="N114" s="314">
        <v>87500</v>
      </c>
      <c r="O114" s="314">
        <v>545903</v>
      </c>
      <c r="P114" s="314">
        <f t="shared" si="1"/>
        <v>633403</v>
      </c>
      <c r="Q114" s="314">
        <v>0</v>
      </c>
      <c r="R114" s="314">
        <v>0</v>
      </c>
      <c r="S114" s="314">
        <v>894183</v>
      </c>
    </row>
    <row r="115" spans="1:19" x14ac:dyDescent="0.25">
      <c r="A115" s="313" t="s">
        <v>1066</v>
      </c>
      <c r="B115" s="313" t="s">
        <v>1067</v>
      </c>
      <c r="C115" s="313">
        <v>6811251</v>
      </c>
      <c r="D115" s="313">
        <v>2018</v>
      </c>
      <c r="E115" s="314">
        <v>40240</v>
      </c>
      <c r="F115" s="314">
        <v>0</v>
      </c>
      <c r="G115" s="314">
        <v>0</v>
      </c>
      <c r="H115" s="314">
        <v>370000</v>
      </c>
      <c r="I115" s="314">
        <v>0</v>
      </c>
      <c r="J115" s="314">
        <v>0</v>
      </c>
      <c r="K115" s="314">
        <v>0</v>
      </c>
      <c r="L115" s="314">
        <v>0</v>
      </c>
      <c r="M115" s="314">
        <v>0</v>
      </c>
      <c r="N115" s="314">
        <v>0</v>
      </c>
      <c r="O115" s="314">
        <v>10000</v>
      </c>
      <c r="P115" s="314">
        <f t="shared" si="1"/>
        <v>10000</v>
      </c>
      <c r="Q115" s="314">
        <v>0</v>
      </c>
      <c r="R115" s="314">
        <v>1188.2</v>
      </c>
      <c r="S115" s="314">
        <v>421428.2</v>
      </c>
    </row>
    <row r="116" spans="1:19" x14ac:dyDescent="0.25">
      <c r="A116" s="313" t="s">
        <v>942</v>
      </c>
      <c r="B116" s="313" t="s">
        <v>942</v>
      </c>
      <c r="C116" s="313">
        <v>1642854</v>
      </c>
      <c r="D116" s="313">
        <v>2018</v>
      </c>
      <c r="E116" s="314">
        <v>0</v>
      </c>
      <c r="F116" s="314">
        <v>0</v>
      </c>
      <c r="G116" s="314">
        <v>0</v>
      </c>
      <c r="H116" s="314">
        <v>5106108</v>
      </c>
      <c r="I116" s="314">
        <v>0</v>
      </c>
      <c r="J116" s="314">
        <v>0</v>
      </c>
      <c r="K116" s="314">
        <v>0</v>
      </c>
      <c r="L116" s="314">
        <v>0</v>
      </c>
      <c r="M116" s="314">
        <v>0</v>
      </c>
      <c r="N116" s="314">
        <v>41500</v>
      </c>
      <c r="O116" s="314">
        <v>1600000</v>
      </c>
      <c r="P116" s="314">
        <f t="shared" si="1"/>
        <v>1641500</v>
      </c>
      <c r="Q116" s="314">
        <v>0</v>
      </c>
      <c r="R116" s="314">
        <v>0</v>
      </c>
      <c r="S116" s="314">
        <v>6747608</v>
      </c>
    </row>
    <row r="117" spans="1:19" x14ac:dyDescent="0.25">
      <c r="A117" s="313" t="s">
        <v>1331</v>
      </c>
      <c r="B117" s="313" t="s">
        <v>515</v>
      </c>
      <c r="C117" s="313">
        <v>7630615</v>
      </c>
      <c r="D117" s="313">
        <v>2018</v>
      </c>
      <c r="E117" s="314">
        <v>0</v>
      </c>
      <c r="F117" s="314">
        <v>0</v>
      </c>
      <c r="G117" s="314">
        <v>0</v>
      </c>
      <c r="H117" s="314">
        <v>33104299</v>
      </c>
      <c r="I117" s="314">
        <v>0</v>
      </c>
      <c r="J117" s="314">
        <v>17328280</v>
      </c>
      <c r="K117" s="314">
        <v>0</v>
      </c>
      <c r="L117" s="314">
        <v>0</v>
      </c>
      <c r="M117" s="314">
        <v>0</v>
      </c>
      <c r="N117" s="314">
        <v>0</v>
      </c>
      <c r="O117" s="314">
        <v>0</v>
      </c>
      <c r="P117" s="314">
        <f t="shared" si="1"/>
        <v>0</v>
      </c>
      <c r="Q117" s="314">
        <v>0</v>
      </c>
      <c r="R117" s="314">
        <v>0</v>
      </c>
      <c r="S117" s="314">
        <v>50432579</v>
      </c>
    </row>
    <row r="118" spans="1:19" x14ac:dyDescent="0.25">
      <c r="A118" s="313" t="s">
        <v>519</v>
      </c>
      <c r="B118" s="313" t="s">
        <v>519</v>
      </c>
      <c r="C118" s="313">
        <v>1576566</v>
      </c>
      <c r="D118" s="313">
        <v>2018</v>
      </c>
      <c r="E118" s="314">
        <v>0</v>
      </c>
      <c r="F118" s="314">
        <v>0</v>
      </c>
      <c r="G118" s="314">
        <v>0</v>
      </c>
      <c r="H118" s="314">
        <v>956992</v>
      </c>
      <c r="I118" s="314">
        <v>0</v>
      </c>
      <c r="J118" s="314">
        <v>1059484</v>
      </c>
      <c r="K118" s="314">
        <v>0</v>
      </c>
      <c r="L118" s="314">
        <v>0</v>
      </c>
      <c r="M118" s="314">
        <v>0</v>
      </c>
      <c r="N118" s="314">
        <v>0</v>
      </c>
      <c r="O118" s="314">
        <v>0</v>
      </c>
      <c r="P118" s="314">
        <f t="shared" si="1"/>
        <v>0</v>
      </c>
      <c r="Q118" s="314">
        <v>0</v>
      </c>
      <c r="R118" s="314">
        <v>0</v>
      </c>
      <c r="S118" s="314">
        <v>2016476</v>
      </c>
    </row>
    <row r="119" spans="1:19" x14ac:dyDescent="0.25">
      <c r="A119" s="313" t="s">
        <v>1251</v>
      </c>
      <c r="B119" s="313" t="s">
        <v>568</v>
      </c>
      <c r="C119" s="313">
        <v>2499134</v>
      </c>
      <c r="D119" s="313">
        <v>2018</v>
      </c>
      <c r="E119" s="314">
        <v>141000</v>
      </c>
      <c r="F119" s="314">
        <v>0</v>
      </c>
      <c r="G119" s="314">
        <v>0</v>
      </c>
      <c r="H119" s="314">
        <v>2626020</v>
      </c>
      <c r="I119" s="314">
        <v>0</v>
      </c>
      <c r="J119" s="314">
        <v>0</v>
      </c>
      <c r="K119" s="314">
        <v>0</v>
      </c>
      <c r="L119" s="314">
        <v>0</v>
      </c>
      <c r="M119" s="314">
        <v>0</v>
      </c>
      <c r="N119" s="314">
        <v>0</v>
      </c>
      <c r="O119" s="314">
        <v>141490</v>
      </c>
      <c r="P119" s="314">
        <f t="shared" si="1"/>
        <v>141490</v>
      </c>
      <c r="Q119" s="314">
        <v>0</v>
      </c>
      <c r="R119" s="314">
        <v>0</v>
      </c>
      <c r="S119" s="314">
        <v>2908510</v>
      </c>
    </row>
    <row r="120" spans="1:19" x14ac:dyDescent="0.25">
      <c r="A120" s="313" t="s">
        <v>792</v>
      </c>
      <c r="B120" s="313" t="s">
        <v>805</v>
      </c>
      <c r="C120" s="313">
        <v>9554713</v>
      </c>
      <c r="D120" s="313">
        <v>2018</v>
      </c>
      <c r="E120" s="314">
        <v>829100</v>
      </c>
      <c r="F120" s="314">
        <v>0</v>
      </c>
      <c r="G120" s="314">
        <v>0</v>
      </c>
      <c r="H120" s="314">
        <v>3851513</v>
      </c>
      <c r="I120" s="314">
        <v>0</v>
      </c>
      <c r="J120" s="314">
        <v>0</v>
      </c>
      <c r="K120" s="314">
        <v>0</v>
      </c>
      <c r="L120" s="314">
        <v>0</v>
      </c>
      <c r="M120" s="314">
        <v>0</v>
      </c>
      <c r="N120" s="314">
        <v>631000</v>
      </c>
      <c r="O120" s="314">
        <v>308500</v>
      </c>
      <c r="P120" s="314">
        <f t="shared" si="1"/>
        <v>939500</v>
      </c>
      <c r="Q120" s="314">
        <v>0</v>
      </c>
      <c r="R120" s="314">
        <v>0</v>
      </c>
      <c r="S120" s="314">
        <v>5620113</v>
      </c>
    </row>
    <row r="121" spans="1:19" x14ac:dyDescent="0.25">
      <c r="A121" s="313" t="s">
        <v>377</v>
      </c>
      <c r="B121" s="313" t="s">
        <v>826</v>
      </c>
      <c r="C121" s="313">
        <v>7459230</v>
      </c>
      <c r="D121" s="313">
        <v>2018</v>
      </c>
      <c r="E121" s="314">
        <v>50000</v>
      </c>
      <c r="F121" s="314">
        <v>0</v>
      </c>
      <c r="G121" s="314">
        <v>0</v>
      </c>
      <c r="H121" s="314">
        <v>2543000</v>
      </c>
      <c r="I121" s="314">
        <v>0</v>
      </c>
      <c r="J121" s="314">
        <v>0</v>
      </c>
      <c r="K121" s="314">
        <v>0</v>
      </c>
      <c r="L121" s="314">
        <v>0</v>
      </c>
      <c r="M121" s="314">
        <v>0</v>
      </c>
      <c r="N121" s="314">
        <v>111491</v>
      </c>
      <c r="O121" s="314">
        <v>261977</v>
      </c>
      <c r="P121" s="314">
        <f t="shared" si="1"/>
        <v>373468</v>
      </c>
      <c r="Q121" s="314">
        <v>0</v>
      </c>
      <c r="R121" s="314">
        <v>0</v>
      </c>
      <c r="S121" s="314">
        <v>2966468</v>
      </c>
    </row>
    <row r="122" spans="1:19" x14ac:dyDescent="0.25">
      <c r="A122" s="313" t="s">
        <v>1418</v>
      </c>
      <c r="B122" s="313" t="s">
        <v>553</v>
      </c>
      <c r="C122" s="313">
        <v>8102124</v>
      </c>
      <c r="D122" s="313">
        <v>2018</v>
      </c>
      <c r="E122" s="314">
        <v>144095</v>
      </c>
      <c r="F122" s="314">
        <v>0</v>
      </c>
      <c r="G122" s="314">
        <v>0</v>
      </c>
      <c r="H122" s="314">
        <v>824840</v>
      </c>
      <c r="I122" s="314">
        <v>0</v>
      </c>
      <c r="J122" s="314">
        <v>0</v>
      </c>
      <c r="K122" s="314">
        <v>0</v>
      </c>
      <c r="L122" s="314">
        <v>122077.7</v>
      </c>
      <c r="M122" s="314">
        <v>0</v>
      </c>
      <c r="N122" s="314">
        <v>0</v>
      </c>
      <c r="O122" s="314">
        <v>160000</v>
      </c>
      <c r="P122" s="314">
        <f t="shared" si="1"/>
        <v>160000</v>
      </c>
      <c r="Q122" s="314">
        <v>0</v>
      </c>
      <c r="R122" s="314">
        <v>0</v>
      </c>
      <c r="S122" s="314">
        <v>1251012.7</v>
      </c>
    </row>
    <row r="123" spans="1:19" x14ac:dyDescent="0.25">
      <c r="A123" s="313" t="s">
        <v>519</v>
      </c>
      <c r="B123" s="313" t="s">
        <v>519</v>
      </c>
      <c r="C123" s="313">
        <v>5638901</v>
      </c>
      <c r="D123" s="313">
        <v>2018</v>
      </c>
      <c r="E123" s="314">
        <v>0</v>
      </c>
      <c r="F123" s="314">
        <v>0</v>
      </c>
      <c r="G123" s="314">
        <v>0</v>
      </c>
      <c r="H123" s="314">
        <v>10540498</v>
      </c>
      <c r="I123" s="314">
        <v>0</v>
      </c>
      <c r="J123" s="314">
        <v>3767173</v>
      </c>
      <c r="K123" s="314">
        <v>0</v>
      </c>
      <c r="L123" s="314">
        <v>0</v>
      </c>
      <c r="M123" s="314">
        <v>0</v>
      </c>
      <c r="N123" s="314">
        <v>0</v>
      </c>
      <c r="O123" s="314">
        <v>0</v>
      </c>
      <c r="P123" s="314">
        <f t="shared" si="1"/>
        <v>0</v>
      </c>
      <c r="Q123" s="314">
        <v>0</v>
      </c>
      <c r="R123" s="314">
        <v>0</v>
      </c>
      <c r="S123" s="314">
        <v>14307671</v>
      </c>
    </row>
    <row r="124" spans="1:19" x14ac:dyDescent="0.25">
      <c r="A124" s="313" t="s">
        <v>1421</v>
      </c>
      <c r="B124" s="313" t="s">
        <v>909</v>
      </c>
      <c r="C124" s="313">
        <v>8411392</v>
      </c>
      <c r="D124" s="313">
        <v>2018</v>
      </c>
      <c r="E124" s="314">
        <v>172000</v>
      </c>
      <c r="F124" s="314">
        <v>0</v>
      </c>
      <c r="G124" s="314">
        <v>0</v>
      </c>
      <c r="H124" s="314">
        <v>3608180</v>
      </c>
      <c r="I124" s="314">
        <v>0</v>
      </c>
      <c r="J124" s="314">
        <v>0</v>
      </c>
      <c r="K124" s="314">
        <v>0</v>
      </c>
      <c r="L124" s="314">
        <v>0</v>
      </c>
      <c r="M124" s="314">
        <v>0</v>
      </c>
      <c r="N124" s="314">
        <v>0</v>
      </c>
      <c r="O124" s="314">
        <v>383000</v>
      </c>
      <c r="P124" s="314">
        <f t="shared" si="1"/>
        <v>383000</v>
      </c>
      <c r="Q124" s="314">
        <v>0</v>
      </c>
      <c r="R124" s="314">
        <v>0</v>
      </c>
      <c r="S124" s="314">
        <v>4163180</v>
      </c>
    </row>
    <row r="125" spans="1:19" x14ac:dyDescent="0.25">
      <c r="A125" s="313" t="s">
        <v>1517</v>
      </c>
      <c r="B125" s="313" t="s">
        <v>1517</v>
      </c>
      <c r="C125" s="313">
        <v>3028344</v>
      </c>
      <c r="D125" s="313">
        <v>2018</v>
      </c>
      <c r="E125" s="314">
        <v>588248</v>
      </c>
      <c r="F125" s="314">
        <v>0</v>
      </c>
      <c r="G125" s="314">
        <v>0</v>
      </c>
      <c r="H125" s="314">
        <v>564152</v>
      </c>
      <c r="I125" s="314">
        <v>0</v>
      </c>
      <c r="J125" s="314">
        <v>0</v>
      </c>
      <c r="K125" s="314">
        <v>2026464</v>
      </c>
      <c r="L125" s="314">
        <v>0</v>
      </c>
      <c r="M125" s="314">
        <v>0</v>
      </c>
      <c r="N125" s="314">
        <v>0</v>
      </c>
      <c r="O125" s="314">
        <v>1420000</v>
      </c>
      <c r="P125" s="314">
        <f t="shared" si="1"/>
        <v>1420000</v>
      </c>
      <c r="Q125" s="314">
        <v>0</v>
      </c>
      <c r="R125" s="314">
        <v>0</v>
      </c>
      <c r="S125" s="314">
        <v>4598864</v>
      </c>
    </row>
    <row r="126" spans="1:19" x14ac:dyDescent="0.25">
      <c r="A126" s="313" t="s">
        <v>1283</v>
      </c>
      <c r="B126" s="313" t="s">
        <v>384</v>
      </c>
      <c r="C126" s="313">
        <v>1567065</v>
      </c>
      <c r="D126" s="313">
        <v>2018</v>
      </c>
      <c r="E126" s="314">
        <v>55495</v>
      </c>
      <c r="F126" s="314">
        <v>0</v>
      </c>
      <c r="G126" s="314">
        <v>0</v>
      </c>
      <c r="H126" s="314">
        <v>571000</v>
      </c>
      <c r="I126" s="314">
        <v>0</v>
      </c>
      <c r="J126" s="314">
        <v>0</v>
      </c>
      <c r="K126" s="314">
        <v>0</v>
      </c>
      <c r="L126" s="314">
        <v>0</v>
      </c>
      <c r="M126" s="314">
        <v>0</v>
      </c>
      <c r="N126" s="314">
        <v>0</v>
      </c>
      <c r="O126" s="314">
        <v>96000</v>
      </c>
      <c r="P126" s="314">
        <f t="shared" si="1"/>
        <v>96000</v>
      </c>
      <c r="Q126" s="314">
        <v>0</v>
      </c>
      <c r="R126" s="314">
        <v>0</v>
      </c>
      <c r="S126" s="314">
        <v>722495</v>
      </c>
    </row>
    <row r="127" spans="1:19" x14ac:dyDescent="0.25">
      <c r="A127" s="313" t="s">
        <v>857</v>
      </c>
      <c r="B127" s="313" t="s">
        <v>857</v>
      </c>
      <c r="C127" s="313">
        <v>9924639</v>
      </c>
      <c r="D127" s="313">
        <v>2018</v>
      </c>
      <c r="E127" s="314">
        <v>101500</v>
      </c>
      <c r="F127" s="314">
        <v>0</v>
      </c>
      <c r="G127" s="314">
        <v>0</v>
      </c>
      <c r="H127" s="314">
        <v>2200000</v>
      </c>
      <c r="I127" s="314">
        <v>0</v>
      </c>
      <c r="J127" s="314">
        <v>0</v>
      </c>
      <c r="K127" s="314">
        <v>0</v>
      </c>
      <c r="L127" s="314">
        <v>0</v>
      </c>
      <c r="M127" s="314">
        <v>0</v>
      </c>
      <c r="N127" s="314">
        <v>59500</v>
      </c>
      <c r="O127" s="314">
        <v>5405000</v>
      </c>
      <c r="P127" s="314">
        <f t="shared" si="1"/>
        <v>5464500</v>
      </c>
      <c r="Q127" s="314">
        <v>0</v>
      </c>
      <c r="R127" s="314">
        <v>0</v>
      </c>
      <c r="S127" s="314">
        <v>7766000</v>
      </c>
    </row>
    <row r="128" spans="1:19" x14ac:dyDescent="0.25">
      <c r="A128" s="313" t="s">
        <v>1453</v>
      </c>
      <c r="B128" s="313" t="s">
        <v>257</v>
      </c>
      <c r="C128" s="313">
        <v>6163071</v>
      </c>
      <c r="D128" s="313">
        <v>2018</v>
      </c>
      <c r="E128" s="314">
        <v>0</v>
      </c>
      <c r="F128" s="314">
        <v>0</v>
      </c>
      <c r="G128" s="314">
        <v>0</v>
      </c>
      <c r="H128" s="314">
        <v>570900</v>
      </c>
      <c r="I128" s="314">
        <v>0</v>
      </c>
      <c r="J128" s="314">
        <v>139488.29</v>
      </c>
      <c r="K128" s="314">
        <v>0</v>
      </c>
      <c r="L128" s="314">
        <v>0</v>
      </c>
      <c r="M128" s="314">
        <v>0</v>
      </c>
      <c r="N128" s="314">
        <v>0</v>
      </c>
      <c r="O128" s="314">
        <v>0</v>
      </c>
      <c r="P128" s="314">
        <f t="shared" si="1"/>
        <v>0</v>
      </c>
      <c r="Q128" s="314">
        <v>0</v>
      </c>
      <c r="R128" s="314">
        <v>0</v>
      </c>
      <c r="S128" s="314">
        <v>710388.29</v>
      </c>
    </row>
    <row r="129" spans="1:19" x14ac:dyDescent="0.25">
      <c r="A129" s="313" t="s">
        <v>1115</v>
      </c>
      <c r="B129" s="313" t="s">
        <v>553</v>
      </c>
      <c r="C129" s="313">
        <v>9503685</v>
      </c>
      <c r="D129" s="313">
        <v>2018</v>
      </c>
      <c r="E129" s="314">
        <v>53931</v>
      </c>
      <c r="F129" s="314">
        <v>0</v>
      </c>
      <c r="G129" s="314">
        <v>0</v>
      </c>
      <c r="H129" s="314">
        <v>406240</v>
      </c>
      <c r="I129" s="314">
        <v>0</v>
      </c>
      <c r="J129" s="314">
        <v>0</v>
      </c>
      <c r="K129" s="314">
        <v>0</v>
      </c>
      <c r="L129" s="314">
        <v>27396.2</v>
      </c>
      <c r="M129" s="314">
        <v>0</v>
      </c>
      <c r="N129" s="314">
        <v>2000</v>
      </c>
      <c r="O129" s="314">
        <v>35000</v>
      </c>
      <c r="P129" s="314">
        <f t="shared" si="1"/>
        <v>37000</v>
      </c>
      <c r="Q129" s="314">
        <v>0</v>
      </c>
      <c r="R129" s="314">
        <v>0</v>
      </c>
      <c r="S129" s="314">
        <v>524567.19999999995</v>
      </c>
    </row>
    <row r="130" spans="1:19" x14ac:dyDescent="0.25">
      <c r="A130" s="313" t="s">
        <v>1001</v>
      </c>
      <c r="B130" s="313" t="s">
        <v>1001</v>
      </c>
      <c r="C130" s="313">
        <v>2089762</v>
      </c>
      <c r="D130" s="313">
        <v>2018</v>
      </c>
      <c r="E130" s="314">
        <v>0</v>
      </c>
      <c r="F130" s="314">
        <v>0</v>
      </c>
      <c r="G130" s="314">
        <v>0</v>
      </c>
      <c r="H130" s="314">
        <v>18388190</v>
      </c>
      <c r="I130" s="314">
        <v>0</v>
      </c>
      <c r="J130" s="314">
        <v>9120000</v>
      </c>
      <c r="K130" s="314">
        <v>0</v>
      </c>
      <c r="L130" s="314">
        <v>0</v>
      </c>
      <c r="M130" s="314">
        <v>0</v>
      </c>
      <c r="N130" s="314">
        <v>21000</v>
      </c>
      <c r="O130" s="314">
        <v>0</v>
      </c>
      <c r="P130" s="314">
        <f t="shared" si="1"/>
        <v>21000</v>
      </c>
      <c r="Q130" s="314">
        <v>0</v>
      </c>
      <c r="R130" s="314">
        <v>0</v>
      </c>
      <c r="S130" s="314">
        <v>27529190</v>
      </c>
    </row>
    <row r="131" spans="1:19" x14ac:dyDescent="0.25">
      <c r="A131" s="313" t="s">
        <v>1293</v>
      </c>
      <c r="B131" s="313" t="s">
        <v>1213</v>
      </c>
      <c r="C131" s="313">
        <v>5599785</v>
      </c>
      <c r="D131" s="313">
        <v>2018</v>
      </c>
      <c r="E131" s="314">
        <v>140925</v>
      </c>
      <c r="F131" s="314">
        <v>0</v>
      </c>
      <c r="G131" s="314">
        <v>0</v>
      </c>
      <c r="H131" s="314">
        <v>549300</v>
      </c>
      <c r="I131" s="314">
        <v>0</v>
      </c>
      <c r="J131" s="314">
        <v>0</v>
      </c>
      <c r="K131" s="314">
        <v>0</v>
      </c>
      <c r="L131" s="314">
        <v>0</v>
      </c>
      <c r="M131" s="314">
        <v>0</v>
      </c>
      <c r="N131" s="314">
        <v>0</v>
      </c>
      <c r="O131" s="314">
        <v>384000</v>
      </c>
      <c r="P131" s="314">
        <f t="shared" si="1"/>
        <v>384000</v>
      </c>
      <c r="Q131" s="314">
        <v>1081208.83</v>
      </c>
      <c r="R131" s="314">
        <v>0</v>
      </c>
      <c r="S131" s="314">
        <v>2155433.83</v>
      </c>
    </row>
    <row r="132" spans="1:19" x14ac:dyDescent="0.25">
      <c r="A132" s="313" t="s">
        <v>760</v>
      </c>
      <c r="B132" s="313" t="s">
        <v>760</v>
      </c>
      <c r="C132" s="313">
        <v>5947102</v>
      </c>
      <c r="D132" s="313">
        <v>2018</v>
      </c>
      <c r="E132" s="314">
        <v>36000</v>
      </c>
      <c r="F132" s="314">
        <v>0</v>
      </c>
      <c r="G132" s="314">
        <v>0</v>
      </c>
      <c r="H132" s="314">
        <v>280552</v>
      </c>
      <c r="I132" s="314">
        <v>0</v>
      </c>
      <c r="J132" s="314">
        <v>0</v>
      </c>
      <c r="K132" s="314">
        <v>0</v>
      </c>
      <c r="L132" s="314">
        <v>0</v>
      </c>
      <c r="M132" s="314">
        <v>0</v>
      </c>
      <c r="N132" s="314">
        <v>0</v>
      </c>
      <c r="O132" s="314">
        <v>150000</v>
      </c>
      <c r="P132" s="314">
        <f t="shared" ref="P132:P195" si="2">SUM(N132:O132)</f>
        <v>150000</v>
      </c>
      <c r="Q132" s="314">
        <v>0</v>
      </c>
      <c r="R132" s="314">
        <v>0</v>
      </c>
      <c r="S132" s="314">
        <v>466552</v>
      </c>
    </row>
    <row r="133" spans="1:19" x14ac:dyDescent="0.25">
      <c r="A133" s="313" t="s">
        <v>379</v>
      </c>
      <c r="B133" s="313" t="s">
        <v>1529</v>
      </c>
      <c r="C133" s="313">
        <v>8535980</v>
      </c>
      <c r="D133" s="313">
        <v>2018</v>
      </c>
      <c r="E133" s="314">
        <v>39000</v>
      </c>
      <c r="F133" s="314">
        <v>0</v>
      </c>
      <c r="G133" s="314">
        <v>0</v>
      </c>
      <c r="H133" s="314">
        <v>0</v>
      </c>
      <c r="I133" s="314">
        <v>278710</v>
      </c>
      <c r="J133" s="314">
        <v>0</v>
      </c>
      <c r="K133" s="314">
        <v>0</v>
      </c>
      <c r="L133" s="314">
        <v>0</v>
      </c>
      <c r="M133" s="314">
        <v>0</v>
      </c>
      <c r="N133" s="314">
        <v>0</v>
      </c>
      <c r="O133" s="314">
        <v>0</v>
      </c>
      <c r="P133" s="314">
        <f t="shared" si="2"/>
        <v>0</v>
      </c>
      <c r="Q133" s="314">
        <v>0</v>
      </c>
      <c r="R133" s="314">
        <v>0</v>
      </c>
      <c r="S133" s="314">
        <v>317710</v>
      </c>
    </row>
    <row r="134" spans="1:19" x14ac:dyDescent="0.25">
      <c r="A134" s="313" t="s">
        <v>502</v>
      </c>
      <c r="B134" s="313" t="s">
        <v>502</v>
      </c>
      <c r="C134" s="313">
        <v>6565956</v>
      </c>
      <c r="D134" s="313">
        <v>2018</v>
      </c>
      <c r="E134" s="314">
        <v>0</v>
      </c>
      <c r="F134" s="314">
        <v>0</v>
      </c>
      <c r="G134" s="314">
        <v>0</v>
      </c>
      <c r="H134" s="314">
        <v>6868092</v>
      </c>
      <c r="I134" s="314">
        <v>0</v>
      </c>
      <c r="J134" s="314">
        <v>1953244</v>
      </c>
      <c r="K134" s="314">
        <v>0</v>
      </c>
      <c r="L134" s="314">
        <v>0</v>
      </c>
      <c r="M134" s="314">
        <v>0</v>
      </c>
      <c r="N134" s="314">
        <v>0</v>
      </c>
      <c r="O134" s="314">
        <v>0</v>
      </c>
      <c r="P134" s="314">
        <f t="shared" si="2"/>
        <v>0</v>
      </c>
      <c r="Q134" s="314">
        <v>0</v>
      </c>
      <c r="R134" s="314">
        <v>0</v>
      </c>
      <c r="S134" s="314">
        <v>8821336</v>
      </c>
    </row>
    <row r="135" spans="1:19" x14ac:dyDescent="0.25">
      <c r="A135" s="313" t="s">
        <v>1416</v>
      </c>
      <c r="B135" s="313" t="s">
        <v>531</v>
      </c>
      <c r="C135" s="313">
        <v>6989404</v>
      </c>
      <c r="D135" s="313">
        <v>2018</v>
      </c>
      <c r="E135" s="314">
        <v>0</v>
      </c>
      <c r="F135" s="314">
        <v>0</v>
      </c>
      <c r="G135" s="314">
        <v>0</v>
      </c>
      <c r="H135" s="314">
        <v>779212</v>
      </c>
      <c r="I135" s="314">
        <v>0</v>
      </c>
      <c r="J135" s="314">
        <v>0</v>
      </c>
      <c r="K135" s="314">
        <v>0</v>
      </c>
      <c r="L135" s="314">
        <v>0</v>
      </c>
      <c r="M135" s="314">
        <v>0</v>
      </c>
      <c r="N135" s="314">
        <v>0</v>
      </c>
      <c r="O135" s="314">
        <v>495000</v>
      </c>
      <c r="P135" s="314">
        <f t="shared" si="2"/>
        <v>495000</v>
      </c>
      <c r="Q135" s="314">
        <v>0</v>
      </c>
      <c r="R135" s="314">
        <v>0</v>
      </c>
      <c r="S135" s="314">
        <v>1274212</v>
      </c>
    </row>
    <row r="136" spans="1:19" x14ac:dyDescent="0.25">
      <c r="A136" s="313" t="s">
        <v>1523</v>
      </c>
      <c r="B136" s="313" t="s">
        <v>874</v>
      </c>
      <c r="C136" s="313">
        <v>7805491</v>
      </c>
      <c r="D136" s="313">
        <v>2018</v>
      </c>
      <c r="E136" s="314">
        <v>0</v>
      </c>
      <c r="F136" s="314">
        <v>0</v>
      </c>
      <c r="G136" s="314">
        <v>0</v>
      </c>
      <c r="H136" s="314">
        <v>129000</v>
      </c>
      <c r="I136" s="314">
        <v>0</v>
      </c>
      <c r="J136" s="314">
        <v>0</v>
      </c>
      <c r="K136" s="314">
        <v>781594.81</v>
      </c>
      <c r="L136" s="314">
        <v>0</v>
      </c>
      <c r="M136" s="314">
        <v>0</v>
      </c>
      <c r="N136" s="314">
        <v>0</v>
      </c>
      <c r="O136" s="314">
        <v>42480</v>
      </c>
      <c r="P136" s="314">
        <f t="shared" si="2"/>
        <v>42480</v>
      </c>
      <c r="Q136" s="314">
        <v>0</v>
      </c>
      <c r="R136" s="314">
        <v>30825.42</v>
      </c>
      <c r="S136" s="314">
        <v>983900.2300000001</v>
      </c>
    </row>
    <row r="137" spans="1:19" x14ac:dyDescent="0.25">
      <c r="A137" s="313" t="s">
        <v>668</v>
      </c>
      <c r="B137" s="313" t="s">
        <v>666</v>
      </c>
      <c r="C137" s="313">
        <v>2813433</v>
      </c>
      <c r="D137" s="313">
        <v>2018</v>
      </c>
      <c r="E137" s="314">
        <v>0</v>
      </c>
      <c r="F137" s="314">
        <v>0</v>
      </c>
      <c r="G137" s="314">
        <v>0</v>
      </c>
      <c r="H137" s="314">
        <v>500000</v>
      </c>
      <c r="I137" s="314">
        <v>0</v>
      </c>
      <c r="J137" s="314">
        <v>0</v>
      </c>
      <c r="K137" s="314">
        <v>0</v>
      </c>
      <c r="L137" s="314">
        <v>0</v>
      </c>
      <c r="M137" s="314">
        <v>0</v>
      </c>
      <c r="N137" s="314">
        <v>0</v>
      </c>
      <c r="O137" s="314">
        <v>405927.64</v>
      </c>
      <c r="P137" s="314">
        <f t="shared" si="2"/>
        <v>405927.64</v>
      </c>
      <c r="Q137" s="314">
        <v>0</v>
      </c>
      <c r="R137" s="314">
        <v>0</v>
      </c>
      <c r="S137" s="314">
        <v>905927.64</v>
      </c>
    </row>
    <row r="138" spans="1:19" x14ac:dyDescent="0.25">
      <c r="A138" s="313" t="s">
        <v>377</v>
      </c>
      <c r="B138" s="313" t="s">
        <v>550</v>
      </c>
      <c r="C138" s="313">
        <v>8902089</v>
      </c>
      <c r="D138" s="313">
        <v>2018</v>
      </c>
      <c r="E138" s="314">
        <v>178955</v>
      </c>
      <c r="F138" s="314">
        <v>0</v>
      </c>
      <c r="G138" s="314">
        <v>0</v>
      </c>
      <c r="H138" s="314">
        <v>1974820</v>
      </c>
      <c r="I138" s="314">
        <v>0</v>
      </c>
      <c r="J138" s="314">
        <v>0</v>
      </c>
      <c r="K138" s="314">
        <v>0</v>
      </c>
      <c r="L138" s="314">
        <v>0</v>
      </c>
      <c r="M138" s="314">
        <v>0</v>
      </c>
      <c r="N138" s="314">
        <v>0</v>
      </c>
      <c r="O138" s="314">
        <v>0</v>
      </c>
      <c r="P138" s="314">
        <f t="shared" si="2"/>
        <v>0</v>
      </c>
      <c r="Q138" s="314">
        <v>0</v>
      </c>
      <c r="R138" s="314">
        <v>0</v>
      </c>
      <c r="S138" s="314">
        <v>2153775</v>
      </c>
    </row>
    <row r="139" spans="1:19" x14ac:dyDescent="0.25">
      <c r="A139" s="313" t="s">
        <v>1176</v>
      </c>
      <c r="B139" s="313" t="s">
        <v>1176</v>
      </c>
      <c r="C139" s="313">
        <v>5060032</v>
      </c>
      <c r="D139" s="313">
        <v>2018</v>
      </c>
      <c r="E139" s="314">
        <v>0</v>
      </c>
      <c r="F139" s="314">
        <v>0</v>
      </c>
      <c r="G139" s="314">
        <v>0</v>
      </c>
      <c r="H139" s="314">
        <v>0</v>
      </c>
      <c r="I139" s="314">
        <v>0</v>
      </c>
      <c r="J139" s="314">
        <v>0</v>
      </c>
      <c r="K139" s="314">
        <v>0</v>
      </c>
      <c r="L139" s="314">
        <v>0</v>
      </c>
      <c r="M139" s="314">
        <v>0</v>
      </c>
      <c r="N139" s="314">
        <v>0</v>
      </c>
      <c r="O139" s="314">
        <v>0</v>
      </c>
      <c r="P139" s="314">
        <f t="shared" si="2"/>
        <v>0</v>
      </c>
      <c r="Q139" s="314">
        <v>0</v>
      </c>
      <c r="R139" s="314">
        <v>0</v>
      </c>
      <c r="S139" s="314">
        <v>0</v>
      </c>
    </row>
    <row r="140" spans="1:19" x14ac:dyDescent="0.25">
      <c r="A140" s="313" t="s">
        <v>519</v>
      </c>
      <c r="B140" s="313" t="s">
        <v>519</v>
      </c>
      <c r="C140" s="313">
        <v>7071797</v>
      </c>
      <c r="D140" s="313">
        <v>2018</v>
      </c>
      <c r="E140" s="314">
        <v>0</v>
      </c>
      <c r="F140" s="314">
        <v>0</v>
      </c>
      <c r="G140" s="314">
        <v>0</v>
      </c>
      <c r="H140" s="314">
        <v>2090678</v>
      </c>
      <c r="I140" s="314">
        <v>0</v>
      </c>
      <c r="J140" s="314">
        <v>1066478</v>
      </c>
      <c r="K140" s="314">
        <v>0</v>
      </c>
      <c r="L140" s="314">
        <v>0</v>
      </c>
      <c r="M140" s="314">
        <v>0</v>
      </c>
      <c r="N140" s="314">
        <v>0</v>
      </c>
      <c r="O140" s="314">
        <v>0</v>
      </c>
      <c r="P140" s="314">
        <f t="shared" si="2"/>
        <v>0</v>
      </c>
      <c r="Q140" s="314">
        <v>0</v>
      </c>
      <c r="R140" s="314">
        <v>0</v>
      </c>
      <c r="S140" s="314">
        <v>3157156</v>
      </c>
    </row>
    <row r="141" spans="1:19" x14ac:dyDescent="0.25">
      <c r="A141" s="313" t="s">
        <v>905</v>
      </c>
      <c r="B141" s="313" t="s">
        <v>902</v>
      </c>
      <c r="C141" s="313">
        <v>4659873</v>
      </c>
      <c r="D141" s="313">
        <v>2018</v>
      </c>
      <c r="E141" s="314">
        <v>177293</v>
      </c>
      <c r="F141" s="314">
        <v>0</v>
      </c>
      <c r="G141" s="314">
        <v>0</v>
      </c>
      <c r="H141" s="314">
        <v>1165810</v>
      </c>
      <c r="I141" s="314">
        <v>0</v>
      </c>
      <c r="J141" s="314">
        <v>0</v>
      </c>
      <c r="K141" s="314">
        <v>0</v>
      </c>
      <c r="L141" s="314">
        <v>0</v>
      </c>
      <c r="M141" s="314">
        <v>0</v>
      </c>
      <c r="N141" s="314">
        <v>0</v>
      </c>
      <c r="O141" s="314">
        <v>0</v>
      </c>
      <c r="P141" s="314">
        <f t="shared" si="2"/>
        <v>0</v>
      </c>
      <c r="Q141" s="314">
        <v>0</v>
      </c>
      <c r="R141" s="314">
        <v>0</v>
      </c>
      <c r="S141" s="314">
        <v>1343103</v>
      </c>
    </row>
    <row r="142" spans="1:19" x14ac:dyDescent="0.25">
      <c r="A142" s="313" t="s">
        <v>1066</v>
      </c>
      <c r="B142" s="313" t="s">
        <v>1067</v>
      </c>
      <c r="C142" s="313">
        <v>5700178</v>
      </c>
      <c r="D142" s="313">
        <v>2018</v>
      </c>
      <c r="E142" s="314">
        <v>32500</v>
      </c>
      <c r="F142" s="314">
        <v>0</v>
      </c>
      <c r="G142" s="314">
        <v>0</v>
      </c>
      <c r="H142" s="314">
        <v>600000</v>
      </c>
      <c r="I142" s="314">
        <v>0</v>
      </c>
      <c r="J142" s="314">
        <v>0</v>
      </c>
      <c r="K142" s="314">
        <v>0</v>
      </c>
      <c r="L142" s="314">
        <v>0</v>
      </c>
      <c r="M142" s="314">
        <v>0</v>
      </c>
      <c r="N142" s="314">
        <v>0</v>
      </c>
      <c r="O142" s="314">
        <v>100000</v>
      </c>
      <c r="P142" s="314">
        <f t="shared" si="2"/>
        <v>100000</v>
      </c>
      <c r="Q142" s="314">
        <v>141384.5</v>
      </c>
      <c r="R142" s="314">
        <v>2418.36</v>
      </c>
      <c r="S142" s="314">
        <v>876302.86</v>
      </c>
    </row>
    <row r="143" spans="1:19" x14ac:dyDescent="0.25">
      <c r="A143" s="313" t="s">
        <v>261</v>
      </c>
      <c r="B143" s="313" t="s">
        <v>257</v>
      </c>
      <c r="C143" s="313">
        <v>5000179</v>
      </c>
      <c r="D143" s="313">
        <v>2018</v>
      </c>
      <c r="E143" s="314">
        <v>0</v>
      </c>
      <c r="F143" s="314">
        <v>0</v>
      </c>
      <c r="G143" s="314">
        <v>0</v>
      </c>
      <c r="H143" s="314">
        <v>25175385</v>
      </c>
      <c r="I143" s="314">
        <v>0</v>
      </c>
      <c r="J143" s="314">
        <v>11041836.859999999</v>
      </c>
      <c r="K143" s="314">
        <v>0</v>
      </c>
      <c r="L143" s="314">
        <v>0</v>
      </c>
      <c r="M143" s="314">
        <v>0</v>
      </c>
      <c r="N143" s="314">
        <v>0</v>
      </c>
      <c r="O143" s="314">
        <v>0</v>
      </c>
      <c r="P143" s="314">
        <f t="shared" si="2"/>
        <v>0</v>
      </c>
      <c r="Q143" s="314">
        <v>0</v>
      </c>
      <c r="R143" s="314">
        <v>0</v>
      </c>
      <c r="S143" s="314">
        <v>36217221.859999999</v>
      </c>
    </row>
    <row r="144" spans="1:19" x14ac:dyDescent="0.25">
      <c r="A144" s="313" t="s">
        <v>1553</v>
      </c>
      <c r="B144" s="313" t="s">
        <v>909</v>
      </c>
      <c r="C144" s="313">
        <v>4467429</v>
      </c>
      <c r="D144" s="313">
        <v>2018</v>
      </c>
      <c r="E144" s="314">
        <v>0</v>
      </c>
      <c r="F144" s="314">
        <v>0</v>
      </c>
      <c r="G144" s="314">
        <v>0</v>
      </c>
      <c r="H144" s="314">
        <v>0</v>
      </c>
      <c r="I144" s="314">
        <v>0</v>
      </c>
      <c r="J144" s="314">
        <v>0</v>
      </c>
      <c r="K144" s="314">
        <v>2782045.45</v>
      </c>
      <c r="L144" s="314">
        <v>0</v>
      </c>
      <c r="M144" s="314">
        <v>0</v>
      </c>
      <c r="N144" s="314">
        <v>0</v>
      </c>
      <c r="O144" s="314">
        <v>334000</v>
      </c>
      <c r="P144" s="314">
        <f t="shared" si="2"/>
        <v>334000</v>
      </c>
      <c r="Q144" s="314">
        <v>0</v>
      </c>
      <c r="R144" s="314">
        <v>0</v>
      </c>
      <c r="S144" s="314">
        <v>3116045.45</v>
      </c>
    </row>
    <row r="145" spans="1:19" x14ac:dyDescent="0.25">
      <c r="A145" s="313" t="s">
        <v>386</v>
      </c>
      <c r="B145" s="313" t="s">
        <v>682</v>
      </c>
      <c r="C145" s="313">
        <v>9940787</v>
      </c>
      <c r="D145" s="313">
        <v>2018</v>
      </c>
      <c r="E145" s="314">
        <v>0</v>
      </c>
      <c r="F145" s="314">
        <v>0</v>
      </c>
      <c r="G145" s="314">
        <v>0</v>
      </c>
      <c r="H145" s="314">
        <v>3027756</v>
      </c>
      <c r="I145" s="314">
        <v>0</v>
      </c>
      <c r="J145" s="314">
        <v>0</v>
      </c>
      <c r="K145" s="314">
        <v>0</v>
      </c>
      <c r="L145" s="314">
        <v>0</v>
      </c>
      <c r="M145" s="314">
        <v>0</v>
      </c>
      <c r="N145" s="314">
        <v>44762</v>
      </c>
      <c r="O145" s="314">
        <v>1345000</v>
      </c>
      <c r="P145" s="314">
        <f t="shared" si="2"/>
        <v>1389762</v>
      </c>
      <c r="Q145" s="314">
        <v>0</v>
      </c>
      <c r="R145" s="314">
        <v>0</v>
      </c>
      <c r="S145" s="314">
        <v>4417518</v>
      </c>
    </row>
    <row r="146" spans="1:19" x14ac:dyDescent="0.25">
      <c r="A146" s="313" t="s">
        <v>447</v>
      </c>
      <c r="B146" s="313" t="s">
        <v>447</v>
      </c>
      <c r="C146" s="313">
        <v>3754207</v>
      </c>
      <c r="D146" s="313">
        <v>2018</v>
      </c>
      <c r="E146" s="314">
        <v>0</v>
      </c>
      <c r="F146" s="314">
        <v>0</v>
      </c>
      <c r="G146" s="314">
        <v>0</v>
      </c>
      <c r="H146" s="314">
        <v>10571000</v>
      </c>
      <c r="I146" s="314">
        <v>0</v>
      </c>
      <c r="J146" s="314">
        <v>5827553</v>
      </c>
      <c r="K146" s="314">
        <v>0</v>
      </c>
      <c r="L146" s="314">
        <v>0</v>
      </c>
      <c r="M146" s="314">
        <v>0</v>
      </c>
      <c r="N146" s="314">
        <v>0</v>
      </c>
      <c r="O146" s="314">
        <v>0</v>
      </c>
      <c r="P146" s="314">
        <f t="shared" si="2"/>
        <v>0</v>
      </c>
      <c r="Q146" s="314">
        <v>0</v>
      </c>
      <c r="R146" s="314">
        <v>0</v>
      </c>
      <c r="S146" s="314">
        <v>16398553</v>
      </c>
    </row>
    <row r="147" spans="1:19" x14ac:dyDescent="0.25">
      <c r="A147" s="313" t="s">
        <v>1287</v>
      </c>
      <c r="B147" s="313" t="s">
        <v>353</v>
      </c>
      <c r="C147" s="313">
        <v>2333254</v>
      </c>
      <c r="D147" s="313">
        <v>2018</v>
      </c>
      <c r="E147" s="314">
        <v>88000</v>
      </c>
      <c r="F147" s="314">
        <v>0</v>
      </c>
      <c r="G147" s="314">
        <v>0</v>
      </c>
      <c r="H147" s="314">
        <v>955200</v>
      </c>
      <c r="I147" s="314">
        <v>0</v>
      </c>
      <c r="J147" s="314">
        <v>0</v>
      </c>
      <c r="K147" s="314">
        <v>0</v>
      </c>
      <c r="L147" s="314">
        <v>0</v>
      </c>
      <c r="M147" s="314">
        <v>0</v>
      </c>
      <c r="N147" s="314">
        <v>0</v>
      </c>
      <c r="O147" s="314">
        <v>75000</v>
      </c>
      <c r="P147" s="314">
        <f t="shared" si="2"/>
        <v>75000</v>
      </c>
      <c r="Q147" s="314">
        <v>0</v>
      </c>
      <c r="R147" s="314">
        <v>0</v>
      </c>
      <c r="S147" s="314">
        <v>1118200</v>
      </c>
    </row>
    <row r="148" spans="1:19" x14ac:dyDescent="0.25">
      <c r="A148" s="313" t="s">
        <v>287</v>
      </c>
      <c r="B148" s="313" t="s">
        <v>682</v>
      </c>
      <c r="C148" s="313">
        <v>2506443</v>
      </c>
      <c r="D148" s="313">
        <v>2018</v>
      </c>
      <c r="E148" s="314">
        <v>0</v>
      </c>
      <c r="F148" s="314">
        <v>0</v>
      </c>
      <c r="G148" s="314">
        <v>0</v>
      </c>
      <c r="H148" s="314">
        <v>955386</v>
      </c>
      <c r="I148" s="314">
        <v>0</v>
      </c>
      <c r="J148" s="314">
        <v>0</v>
      </c>
      <c r="K148" s="314">
        <v>0</v>
      </c>
      <c r="L148" s="314">
        <v>0</v>
      </c>
      <c r="M148" s="314">
        <v>0</v>
      </c>
      <c r="N148" s="314">
        <v>0</v>
      </c>
      <c r="O148" s="314">
        <v>480000</v>
      </c>
      <c r="P148" s="314">
        <f t="shared" si="2"/>
        <v>480000</v>
      </c>
      <c r="Q148" s="314">
        <v>0</v>
      </c>
      <c r="R148" s="314">
        <v>0</v>
      </c>
      <c r="S148" s="314">
        <v>1435386</v>
      </c>
    </row>
    <row r="149" spans="1:19" x14ac:dyDescent="0.25">
      <c r="A149" s="313" t="s">
        <v>1388</v>
      </c>
      <c r="B149" s="313" t="s">
        <v>776</v>
      </c>
      <c r="C149" s="313">
        <v>7832444</v>
      </c>
      <c r="D149" s="313">
        <v>2018</v>
      </c>
      <c r="E149" s="314">
        <v>0</v>
      </c>
      <c r="F149" s="314">
        <v>0</v>
      </c>
      <c r="G149" s="314">
        <v>0</v>
      </c>
      <c r="H149" s="314">
        <v>828800</v>
      </c>
      <c r="I149" s="314">
        <v>0</v>
      </c>
      <c r="J149" s="314">
        <v>0</v>
      </c>
      <c r="K149" s="314">
        <v>2204380</v>
      </c>
      <c r="L149" s="314">
        <v>39946</v>
      </c>
      <c r="M149" s="314">
        <v>0</v>
      </c>
      <c r="N149" s="314">
        <v>0</v>
      </c>
      <c r="O149" s="314">
        <v>661000</v>
      </c>
      <c r="P149" s="314">
        <f t="shared" si="2"/>
        <v>661000</v>
      </c>
      <c r="Q149" s="314">
        <v>0</v>
      </c>
      <c r="R149" s="314">
        <v>0</v>
      </c>
      <c r="S149" s="314">
        <v>3734126</v>
      </c>
    </row>
    <row r="150" spans="1:19" x14ac:dyDescent="0.25">
      <c r="A150" s="313" t="s">
        <v>694</v>
      </c>
      <c r="B150" s="313" t="s">
        <v>694</v>
      </c>
      <c r="C150" s="313">
        <v>2540162</v>
      </c>
      <c r="D150" s="313">
        <v>2018</v>
      </c>
      <c r="E150" s="314">
        <v>450540</v>
      </c>
      <c r="F150" s="314">
        <v>0</v>
      </c>
      <c r="G150" s="314">
        <v>0</v>
      </c>
      <c r="H150" s="314">
        <v>1900000</v>
      </c>
      <c r="I150" s="314">
        <v>0</v>
      </c>
      <c r="J150" s="314">
        <v>0</v>
      </c>
      <c r="K150" s="314">
        <v>0</v>
      </c>
      <c r="L150" s="314">
        <v>0</v>
      </c>
      <c r="M150" s="314">
        <v>0</v>
      </c>
      <c r="N150" s="314">
        <v>84000</v>
      </c>
      <c r="O150" s="314">
        <v>135000</v>
      </c>
      <c r="P150" s="314">
        <f t="shared" si="2"/>
        <v>219000</v>
      </c>
      <c r="Q150" s="314">
        <v>0</v>
      </c>
      <c r="R150" s="314">
        <v>0</v>
      </c>
      <c r="S150" s="314">
        <v>2569540</v>
      </c>
    </row>
    <row r="151" spans="1:19" x14ac:dyDescent="0.25">
      <c r="A151" s="313" t="s">
        <v>287</v>
      </c>
      <c r="B151" s="313" t="s">
        <v>375</v>
      </c>
      <c r="C151" s="313">
        <v>8090757</v>
      </c>
      <c r="D151" s="313">
        <v>2018</v>
      </c>
      <c r="E151" s="314">
        <v>0</v>
      </c>
      <c r="F151" s="314">
        <v>0</v>
      </c>
      <c r="G151" s="314">
        <v>0</v>
      </c>
      <c r="H151" s="314">
        <v>1809500</v>
      </c>
      <c r="I151" s="314">
        <v>0</v>
      </c>
      <c r="J151" s="314">
        <v>0</v>
      </c>
      <c r="K151" s="314">
        <v>0</v>
      </c>
      <c r="L151" s="314">
        <v>0</v>
      </c>
      <c r="M151" s="314">
        <v>0</v>
      </c>
      <c r="N151" s="314">
        <v>927</v>
      </c>
      <c r="O151" s="314">
        <v>136001.35999999999</v>
      </c>
      <c r="P151" s="314">
        <f t="shared" si="2"/>
        <v>136928.35999999999</v>
      </c>
      <c r="Q151" s="314">
        <v>0</v>
      </c>
      <c r="R151" s="314">
        <v>0</v>
      </c>
      <c r="S151" s="314">
        <v>1946428.3599999999</v>
      </c>
    </row>
    <row r="152" spans="1:19" x14ac:dyDescent="0.25">
      <c r="A152" s="313" t="s">
        <v>236</v>
      </c>
      <c r="B152" s="313" t="s">
        <v>1145</v>
      </c>
      <c r="C152" s="313">
        <v>9767213</v>
      </c>
      <c r="D152" s="313">
        <v>2018</v>
      </c>
      <c r="E152" s="314">
        <v>52000</v>
      </c>
      <c r="F152" s="314">
        <v>0</v>
      </c>
      <c r="G152" s="314">
        <v>0</v>
      </c>
      <c r="H152" s="314">
        <v>52000</v>
      </c>
      <c r="I152" s="314">
        <v>0</v>
      </c>
      <c r="J152" s="314">
        <v>0</v>
      </c>
      <c r="K152" s="314">
        <v>1198916</v>
      </c>
      <c r="L152" s="314">
        <v>48511.92</v>
      </c>
      <c r="M152" s="314">
        <v>0</v>
      </c>
      <c r="N152" s="314">
        <v>11500</v>
      </c>
      <c r="O152" s="314">
        <v>401000</v>
      </c>
      <c r="P152" s="314">
        <f t="shared" si="2"/>
        <v>412500</v>
      </c>
      <c r="Q152" s="314">
        <v>0</v>
      </c>
      <c r="R152" s="314">
        <v>9000</v>
      </c>
      <c r="S152" s="314">
        <v>1772927.92</v>
      </c>
    </row>
    <row r="153" spans="1:19" x14ac:dyDescent="0.25">
      <c r="A153" s="313" t="s">
        <v>1495</v>
      </c>
      <c r="B153" s="313" t="s">
        <v>849</v>
      </c>
      <c r="C153" s="313">
        <v>6948137</v>
      </c>
      <c r="D153" s="313">
        <v>2018</v>
      </c>
      <c r="E153" s="314">
        <v>1090000</v>
      </c>
      <c r="F153" s="314">
        <v>0</v>
      </c>
      <c r="G153" s="314">
        <v>0</v>
      </c>
      <c r="H153" s="314">
        <v>0</v>
      </c>
      <c r="I153" s="314">
        <v>0</v>
      </c>
      <c r="J153" s="314">
        <v>0</v>
      </c>
      <c r="K153" s="314">
        <v>6184936</v>
      </c>
      <c r="L153" s="314">
        <v>119256</v>
      </c>
      <c r="M153" s="314">
        <v>0</v>
      </c>
      <c r="N153" s="314">
        <v>0</v>
      </c>
      <c r="O153" s="314">
        <v>201800</v>
      </c>
      <c r="P153" s="314">
        <f t="shared" si="2"/>
        <v>201800</v>
      </c>
      <c r="Q153" s="314">
        <v>0</v>
      </c>
      <c r="R153" s="314">
        <v>0</v>
      </c>
      <c r="S153" s="314">
        <v>7595992</v>
      </c>
    </row>
    <row r="154" spans="1:19" x14ac:dyDescent="0.25">
      <c r="A154" s="313" t="s">
        <v>959</v>
      </c>
      <c r="B154" s="313" t="s">
        <v>959</v>
      </c>
      <c r="C154" s="313">
        <v>8982230</v>
      </c>
      <c r="D154" s="313">
        <v>2018</v>
      </c>
      <c r="E154" s="314">
        <v>330000</v>
      </c>
      <c r="F154" s="314">
        <v>0</v>
      </c>
      <c r="G154" s="314">
        <v>0</v>
      </c>
      <c r="H154" s="314">
        <v>5370000</v>
      </c>
      <c r="I154" s="314">
        <v>0</v>
      </c>
      <c r="J154" s="314">
        <v>0</v>
      </c>
      <c r="K154" s="314">
        <v>0</v>
      </c>
      <c r="L154" s="314">
        <v>0</v>
      </c>
      <c r="M154" s="314">
        <v>0</v>
      </c>
      <c r="N154" s="314">
        <v>0</v>
      </c>
      <c r="O154" s="314">
        <v>200000</v>
      </c>
      <c r="P154" s="314">
        <f t="shared" si="2"/>
        <v>200000</v>
      </c>
      <c r="Q154" s="314">
        <v>0</v>
      </c>
      <c r="R154" s="314">
        <v>0</v>
      </c>
      <c r="S154" s="314">
        <v>5900000</v>
      </c>
    </row>
    <row r="155" spans="1:19" x14ac:dyDescent="0.25">
      <c r="A155" s="313" t="s">
        <v>485</v>
      </c>
      <c r="B155" s="313" t="s">
        <v>485</v>
      </c>
      <c r="C155" s="313">
        <v>7384495</v>
      </c>
      <c r="D155" s="313">
        <v>2018</v>
      </c>
      <c r="E155" s="314">
        <v>0</v>
      </c>
      <c r="F155" s="314">
        <v>0</v>
      </c>
      <c r="G155" s="314">
        <v>0</v>
      </c>
      <c r="H155" s="314">
        <v>624140</v>
      </c>
      <c r="I155" s="314">
        <v>0</v>
      </c>
      <c r="J155" s="314">
        <v>983741.95</v>
      </c>
      <c r="K155" s="314">
        <v>1141136</v>
      </c>
      <c r="L155" s="314">
        <v>130234.96</v>
      </c>
      <c r="M155" s="314">
        <v>0</v>
      </c>
      <c r="N155" s="314">
        <v>0</v>
      </c>
      <c r="O155" s="314">
        <v>0</v>
      </c>
      <c r="P155" s="314">
        <f t="shared" si="2"/>
        <v>0</v>
      </c>
      <c r="Q155" s="314">
        <v>0</v>
      </c>
      <c r="R155" s="314">
        <v>0</v>
      </c>
      <c r="S155" s="314">
        <v>2879252.91</v>
      </c>
    </row>
    <row r="156" spans="1:19" x14ac:dyDescent="0.25">
      <c r="A156" s="313" t="s">
        <v>931</v>
      </c>
      <c r="B156" s="313" t="s">
        <v>928</v>
      </c>
      <c r="C156" s="313">
        <v>8314639</v>
      </c>
      <c r="D156" s="313">
        <v>2018</v>
      </c>
      <c r="E156" s="314">
        <v>0</v>
      </c>
      <c r="F156" s="314">
        <v>0</v>
      </c>
      <c r="G156" s="314">
        <v>0</v>
      </c>
      <c r="H156" s="314">
        <v>1297702</v>
      </c>
      <c r="I156" s="314">
        <v>0</v>
      </c>
      <c r="J156" s="314">
        <v>1905232.38</v>
      </c>
      <c r="K156" s="314">
        <v>0</v>
      </c>
      <c r="L156" s="314">
        <v>0</v>
      </c>
      <c r="M156" s="314">
        <v>0</v>
      </c>
      <c r="N156" s="314">
        <v>0</v>
      </c>
      <c r="O156" s="314">
        <v>78000</v>
      </c>
      <c r="P156" s="314">
        <f t="shared" si="2"/>
        <v>78000</v>
      </c>
      <c r="Q156" s="314">
        <v>0</v>
      </c>
      <c r="R156" s="314">
        <v>0</v>
      </c>
      <c r="S156" s="314">
        <v>3280934.38</v>
      </c>
    </row>
    <row r="157" spans="1:19" x14ac:dyDescent="0.25">
      <c r="A157" s="313" t="s">
        <v>721</v>
      </c>
      <c r="B157" s="313" t="s">
        <v>718</v>
      </c>
      <c r="C157" s="313">
        <v>2757263</v>
      </c>
      <c r="D157" s="313">
        <v>2018</v>
      </c>
      <c r="E157" s="314">
        <v>0</v>
      </c>
      <c r="F157" s="314">
        <v>0</v>
      </c>
      <c r="G157" s="314">
        <v>0</v>
      </c>
      <c r="H157" s="314">
        <v>616752</v>
      </c>
      <c r="I157" s="314">
        <v>0</v>
      </c>
      <c r="J157" s="314">
        <v>0</v>
      </c>
      <c r="K157" s="314">
        <v>0</v>
      </c>
      <c r="L157" s="314">
        <v>0</v>
      </c>
      <c r="M157" s="314">
        <v>0</v>
      </c>
      <c r="N157" s="314">
        <v>0</v>
      </c>
      <c r="O157" s="314">
        <v>151000</v>
      </c>
      <c r="P157" s="314">
        <f t="shared" si="2"/>
        <v>151000</v>
      </c>
      <c r="Q157" s="314">
        <v>0</v>
      </c>
      <c r="R157" s="314">
        <v>0</v>
      </c>
      <c r="S157" s="314">
        <v>767752</v>
      </c>
    </row>
    <row r="158" spans="1:19" x14ac:dyDescent="0.25">
      <c r="A158" s="313" t="s">
        <v>390</v>
      </c>
      <c r="B158" s="313" t="s">
        <v>682</v>
      </c>
      <c r="C158" s="313">
        <v>4782003</v>
      </c>
      <c r="D158" s="313">
        <v>2018</v>
      </c>
      <c r="E158" s="314">
        <v>0</v>
      </c>
      <c r="F158" s="314">
        <v>0</v>
      </c>
      <c r="G158" s="314">
        <v>0</v>
      </c>
      <c r="H158" s="314">
        <v>6510061</v>
      </c>
      <c r="I158" s="314">
        <v>0</v>
      </c>
      <c r="J158" s="314">
        <v>0</v>
      </c>
      <c r="K158" s="314">
        <v>0</v>
      </c>
      <c r="L158" s="314">
        <v>0</v>
      </c>
      <c r="M158" s="314">
        <v>0</v>
      </c>
      <c r="N158" s="314">
        <v>0</v>
      </c>
      <c r="O158" s="314">
        <v>7145000</v>
      </c>
      <c r="P158" s="314">
        <f t="shared" si="2"/>
        <v>7145000</v>
      </c>
      <c r="Q158" s="314">
        <v>0</v>
      </c>
      <c r="R158" s="314">
        <v>0</v>
      </c>
      <c r="S158" s="314">
        <v>13655061</v>
      </c>
    </row>
    <row r="159" spans="1:19" x14ac:dyDescent="0.25">
      <c r="A159" s="313" t="s">
        <v>760</v>
      </c>
      <c r="B159" s="313" t="s">
        <v>760</v>
      </c>
      <c r="C159" s="313">
        <v>6466112</v>
      </c>
      <c r="D159" s="313">
        <v>2018</v>
      </c>
      <c r="E159" s="314">
        <v>206740</v>
      </c>
      <c r="F159" s="314">
        <v>0</v>
      </c>
      <c r="G159" s="314">
        <v>0</v>
      </c>
      <c r="H159" s="314">
        <v>315000</v>
      </c>
      <c r="I159" s="314">
        <v>0</v>
      </c>
      <c r="J159" s="314">
        <v>0</v>
      </c>
      <c r="K159" s="314">
        <v>0</v>
      </c>
      <c r="L159" s="314">
        <v>0</v>
      </c>
      <c r="M159" s="314">
        <v>0</v>
      </c>
      <c r="N159" s="314">
        <v>0</v>
      </c>
      <c r="O159" s="314">
        <v>0</v>
      </c>
      <c r="P159" s="314">
        <f t="shared" si="2"/>
        <v>0</v>
      </c>
      <c r="Q159" s="314">
        <v>0</v>
      </c>
      <c r="R159" s="314">
        <v>0</v>
      </c>
      <c r="S159" s="314">
        <v>521740</v>
      </c>
    </row>
    <row r="160" spans="1:19" x14ac:dyDescent="0.25">
      <c r="A160" s="313" t="s">
        <v>1488</v>
      </c>
      <c r="B160" s="313" t="s">
        <v>240</v>
      </c>
      <c r="C160" s="313">
        <v>4885366</v>
      </c>
      <c r="D160" s="313">
        <v>2018</v>
      </c>
      <c r="E160" s="314">
        <v>0</v>
      </c>
      <c r="F160" s="314">
        <v>0</v>
      </c>
      <c r="G160" s="314">
        <v>0</v>
      </c>
      <c r="H160" s="314">
        <v>216400</v>
      </c>
      <c r="I160" s="314">
        <v>0</v>
      </c>
      <c r="J160" s="314">
        <v>0</v>
      </c>
      <c r="K160" s="314">
        <v>2246801</v>
      </c>
      <c r="L160" s="314">
        <v>0</v>
      </c>
      <c r="M160" s="314">
        <v>0</v>
      </c>
      <c r="N160" s="314">
        <v>0</v>
      </c>
      <c r="O160" s="314">
        <v>99900</v>
      </c>
      <c r="P160" s="314">
        <f t="shared" si="2"/>
        <v>99900</v>
      </c>
      <c r="Q160" s="314">
        <v>0</v>
      </c>
      <c r="R160" s="314">
        <v>0</v>
      </c>
      <c r="S160" s="314">
        <v>2563101</v>
      </c>
    </row>
    <row r="161" spans="1:19" x14ac:dyDescent="0.25">
      <c r="A161" s="313" t="s">
        <v>772</v>
      </c>
      <c r="B161" s="313" t="s">
        <v>760</v>
      </c>
      <c r="C161" s="313">
        <v>7741294</v>
      </c>
      <c r="D161" s="313">
        <v>2018</v>
      </c>
      <c r="E161" s="314">
        <v>180800</v>
      </c>
      <c r="F161" s="314">
        <v>0</v>
      </c>
      <c r="G161" s="314">
        <v>0</v>
      </c>
      <c r="H161" s="314">
        <v>1250000</v>
      </c>
      <c r="I161" s="314">
        <v>0</v>
      </c>
      <c r="J161" s="314">
        <v>0</v>
      </c>
      <c r="K161" s="314">
        <v>0</v>
      </c>
      <c r="L161" s="314">
        <v>0</v>
      </c>
      <c r="M161" s="314">
        <v>0</v>
      </c>
      <c r="N161" s="314">
        <v>10000</v>
      </c>
      <c r="O161" s="314">
        <v>700000</v>
      </c>
      <c r="P161" s="314">
        <f t="shared" si="2"/>
        <v>710000</v>
      </c>
      <c r="Q161" s="314">
        <v>0</v>
      </c>
      <c r="R161" s="314">
        <v>0</v>
      </c>
      <c r="S161" s="314">
        <v>2140800</v>
      </c>
    </row>
    <row r="162" spans="1:19" x14ac:dyDescent="0.25">
      <c r="A162" s="313" t="s">
        <v>1239</v>
      </c>
      <c r="B162" s="313" t="s">
        <v>1067</v>
      </c>
      <c r="C162" s="313">
        <v>3736692</v>
      </c>
      <c r="D162" s="313">
        <v>2018</v>
      </c>
      <c r="E162" s="314">
        <v>22000</v>
      </c>
      <c r="F162" s="314">
        <v>0</v>
      </c>
      <c r="G162" s="314">
        <v>0</v>
      </c>
      <c r="H162" s="314">
        <v>513500</v>
      </c>
      <c r="I162" s="314">
        <v>0</v>
      </c>
      <c r="J162" s="314">
        <v>0</v>
      </c>
      <c r="K162" s="314">
        <v>0</v>
      </c>
      <c r="L162" s="314">
        <v>0</v>
      </c>
      <c r="M162" s="314">
        <v>0</v>
      </c>
      <c r="N162" s="314">
        <v>0</v>
      </c>
      <c r="O162" s="314">
        <v>70000</v>
      </c>
      <c r="P162" s="314">
        <f t="shared" si="2"/>
        <v>70000</v>
      </c>
      <c r="Q162" s="314">
        <v>155795.75</v>
      </c>
      <c r="R162" s="314">
        <v>0</v>
      </c>
      <c r="S162" s="314">
        <v>761295.75</v>
      </c>
    </row>
    <row r="163" spans="1:19" x14ac:dyDescent="0.25">
      <c r="A163" s="313" t="s">
        <v>1010</v>
      </c>
      <c r="B163" s="313" t="s">
        <v>1010</v>
      </c>
      <c r="C163" s="313">
        <v>4497017</v>
      </c>
      <c r="D163" s="313">
        <v>2018</v>
      </c>
      <c r="E163" s="314">
        <v>210000</v>
      </c>
      <c r="F163" s="314">
        <v>0</v>
      </c>
      <c r="G163" s="314">
        <v>0</v>
      </c>
      <c r="H163" s="314">
        <v>2217460</v>
      </c>
      <c r="I163" s="314">
        <v>0</v>
      </c>
      <c r="J163" s="314">
        <v>0</v>
      </c>
      <c r="K163" s="314">
        <v>0</v>
      </c>
      <c r="L163" s="314">
        <v>0</v>
      </c>
      <c r="M163" s="314">
        <v>0</v>
      </c>
      <c r="N163" s="314">
        <v>0</v>
      </c>
      <c r="O163" s="314">
        <v>581000</v>
      </c>
      <c r="P163" s="314">
        <f t="shared" si="2"/>
        <v>581000</v>
      </c>
      <c r="Q163" s="314">
        <v>0</v>
      </c>
      <c r="R163" s="314">
        <v>0</v>
      </c>
      <c r="S163" s="314">
        <v>3008460</v>
      </c>
    </row>
    <row r="164" spans="1:19" x14ac:dyDescent="0.25">
      <c r="A164" s="313" t="s">
        <v>1551</v>
      </c>
      <c r="B164" s="313" t="s">
        <v>1552</v>
      </c>
      <c r="C164" s="313">
        <v>4441304</v>
      </c>
      <c r="D164" s="313">
        <v>2018</v>
      </c>
      <c r="E164" s="314">
        <v>0</v>
      </c>
      <c r="F164" s="314">
        <v>0</v>
      </c>
      <c r="G164" s="314">
        <v>0</v>
      </c>
      <c r="H164" s="314">
        <v>0</v>
      </c>
      <c r="I164" s="314">
        <v>0</v>
      </c>
      <c r="J164" s="314">
        <v>0</v>
      </c>
      <c r="K164" s="314">
        <v>0</v>
      </c>
      <c r="L164" s="314">
        <v>0</v>
      </c>
      <c r="M164" s="314">
        <v>0</v>
      </c>
      <c r="N164" s="314">
        <v>0</v>
      </c>
      <c r="O164" s="314">
        <v>0</v>
      </c>
      <c r="P164" s="314">
        <f t="shared" si="2"/>
        <v>0</v>
      </c>
      <c r="Q164" s="314">
        <v>0</v>
      </c>
      <c r="R164" s="314">
        <v>0</v>
      </c>
      <c r="S164" s="314">
        <v>0</v>
      </c>
    </row>
    <row r="165" spans="1:19" x14ac:dyDescent="0.25">
      <c r="A165" s="313" t="s">
        <v>1440</v>
      </c>
      <c r="B165" s="313" t="s">
        <v>402</v>
      </c>
      <c r="C165" s="313">
        <v>8382823</v>
      </c>
      <c r="D165" s="313">
        <v>2018</v>
      </c>
      <c r="E165" s="314">
        <v>0</v>
      </c>
      <c r="F165" s="314">
        <v>0</v>
      </c>
      <c r="G165" s="314">
        <v>0</v>
      </c>
      <c r="H165" s="314">
        <v>150000</v>
      </c>
      <c r="I165" s="314">
        <v>0</v>
      </c>
      <c r="J165" s="314">
        <v>0</v>
      </c>
      <c r="K165" s="314">
        <v>1628408</v>
      </c>
      <c r="L165" s="314">
        <v>0</v>
      </c>
      <c r="M165" s="314">
        <v>0</v>
      </c>
      <c r="N165" s="314">
        <v>0</v>
      </c>
      <c r="O165" s="314">
        <v>204000</v>
      </c>
      <c r="P165" s="314">
        <f t="shared" si="2"/>
        <v>204000</v>
      </c>
      <c r="Q165" s="314">
        <v>0</v>
      </c>
      <c r="R165" s="314">
        <v>0</v>
      </c>
      <c r="S165" s="314">
        <v>1982408</v>
      </c>
    </row>
    <row r="166" spans="1:19" x14ac:dyDescent="0.25">
      <c r="A166" s="313" t="s">
        <v>684</v>
      </c>
      <c r="B166" s="313" t="s">
        <v>682</v>
      </c>
      <c r="C166" s="313">
        <v>4075651</v>
      </c>
      <c r="D166" s="313">
        <v>2018</v>
      </c>
      <c r="E166" s="314">
        <v>0</v>
      </c>
      <c r="F166" s="314">
        <v>0</v>
      </c>
      <c r="G166" s="314">
        <v>0</v>
      </c>
      <c r="H166" s="314">
        <v>1101341</v>
      </c>
      <c r="I166" s="314">
        <v>0</v>
      </c>
      <c r="J166" s="314">
        <v>0</v>
      </c>
      <c r="K166" s="314">
        <v>0</v>
      </c>
      <c r="L166" s="314">
        <v>0</v>
      </c>
      <c r="M166" s="314">
        <v>0</v>
      </c>
      <c r="N166" s="314">
        <v>0</v>
      </c>
      <c r="O166" s="314">
        <v>830000</v>
      </c>
      <c r="P166" s="314">
        <f t="shared" si="2"/>
        <v>830000</v>
      </c>
      <c r="Q166" s="314">
        <v>0</v>
      </c>
      <c r="R166" s="314">
        <v>0</v>
      </c>
      <c r="S166" s="314">
        <v>1931341</v>
      </c>
    </row>
    <row r="167" spans="1:19" x14ac:dyDescent="0.25">
      <c r="A167" s="313" t="s">
        <v>997</v>
      </c>
      <c r="B167" s="313" t="s">
        <v>997</v>
      </c>
      <c r="C167" s="313">
        <v>6375207</v>
      </c>
      <c r="D167" s="313">
        <v>2018</v>
      </c>
      <c r="E167" s="314">
        <v>0</v>
      </c>
      <c r="F167" s="314">
        <v>0</v>
      </c>
      <c r="G167" s="314">
        <v>0</v>
      </c>
      <c r="H167" s="314">
        <v>600000</v>
      </c>
      <c r="I167" s="314">
        <v>0</v>
      </c>
      <c r="J167" s="314">
        <v>320000</v>
      </c>
      <c r="K167" s="314">
        <v>0</v>
      </c>
      <c r="L167" s="314">
        <v>0</v>
      </c>
      <c r="M167" s="314">
        <v>0</v>
      </c>
      <c r="N167" s="314">
        <v>0</v>
      </c>
      <c r="O167" s="314">
        <v>0</v>
      </c>
      <c r="P167" s="314">
        <f t="shared" si="2"/>
        <v>0</v>
      </c>
      <c r="Q167" s="314">
        <v>0</v>
      </c>
      <c r="R167" s="314">
        <v>0</v>
      </c>
      <c r="S167" s="314">
        <v>920000</v>
      </c>
    </row>
    <row r="168" spans="1:19" x14ac:dyDescent="0.25">
      <c r="A168" s="313" t="s">
        <v>700</v>
      </c>
      <c r="B168" s="313" t="s">
        <v>375</v>
      </c>
      <c r="C168" s="313">
        <v>7790627</v>
      </c>
      <c r="D168" s="313">
        <v>2018</v>
      </c>
      <c r="E168" s="314">
        <v>0</v>
      </c>
      <c r="F168" s="314">
        <v>0</v>
      </c>
      <c r="G168" s="314">
        <v>0</v>
      </c>
      <c r="H168" s="314">
        <v>902716</v>
      </c>
      <c r="I168" s="314">
        <v>0</v>
      </c>
      <c r="J168" s="314">
        <v>0</v>
      </c>
      <c r="K168" s="314">
        <v>947103</v>
      </c>
      <c r="L168" s="314">
        <v>0</v>
      </c>
      <c r="M168" s="314">
        <v>0</v>
      </c>
      <c r="N168" s="314">
        <v>5000</v>
      </c>
      <c r="O168" s="314">
        <v>1850</v>
      </c>
      <c r="P168" s="314">
        <f t="shared" si="2"/>
        <v>6850</v>
      </c>
      <c r="Q168" s="314">
        <v>0</v>
      </c>
      <c r="R168" s="314">
        <v>0</v>
      </c>
      <c r="S168" s="314">
        <v>1856669</v>
      </c>
    </row>
    <row r="169" spans="1:19" x14ac:dyDescent="0.25">
      <c r="A169" s="313" t="s">
        <v>1522</v>
      </c>
      <c r="B169" s="313" t="s">
        <v>874</v>
      </c>
      <c r="C169" s="313">
        <v>9818505</v>
      </c>
      <c r="D169" s="313">
        <v>2018</v>
      </c>
      <c r="E169" s="314">
        <v>0</v>
      </c>
      <c r="F169" s="314">
        <v>0</v>
      </c>
      <c r="G169" s="314">
        <v>0</v>
      </c>
      <c r="H169" s="314">
        <v>0</v>
      </c>
      <c r="I169" s="314">
        <v>0</v>
      </c>
      <c r="J169" s="314">
        <v>0</v>
      </c>
      <c r="K169" s="314">
        <v>1859086</v>
      </c>
      <c r="L169" s="314">
        <v>0</v>
      </c>
      <c r="M169" s="314">
        <v>0</v>
      </c>
      <c r="N169" s="314">
        <v>10000</v>
      </c>
      <c r="O169" s="314">
        <v>43000</v>
      </c>
      <c r="P169" s="314">
        <f t="shared" si="2"/>
        <v>53000</v>
      </c>
      <c r="Q169" s="314">
        <v>0</v>
      </c>
      <c r="R169" s="314">
        <v>40405</v>
      </c>
      <c r="S169" s="314">
        <v>1952491</v>
      </c>
    </row>
    <row r="170" spans="1:19" x14ac:dyDescent="0.25">
      <c r="A170" s="313" t="s">
        <v>780</v>
      </c>
      <c r="B170" s="313" t="s">
        <v>776</v>
      </c>
      <c r="C170" s="313">
        <v>1840658</v>
      </c>
      <c r="D170" s="313">
        <v>2018</v>
      </c>
      <c r="E170" s="314">
        <v>196000</v>
      </c>
      <c r="F170" s="314">
        <v>0</v>
      </c>
      <c r="G170" s="314">
        <v>0</v>
      </c>
      <c r="H170" s="314">
        <v>3543470</v>
      </c>
      <c r="I170" s="314">
        <v>0</v>
      </c>
      <c r="J170" s="314">
        <v>0</v>
      </c>
      <c r="K170" s="314">
        <v>0</v>
      </c>
      <c r="L170" s="314">
        <v>49951</v>
      </c>
      <c r="M170" s="314">
        <v>0</v>
      </c>
      <c r="N170" s="314">
        <v>0</v>
      </c>
      <c r="O170" s="314">
        <v>354000</v>
      </c>
      <c r="P170" s="314">
        <f t="shared" si="2"/>
        <v>354000</v>
      </c>
      <c r="Q170" s="314">
        <v>0</v>
      </c>
      <c r="R170" s="314">
        <v>0</v>
      </c>
      <c r="S170" s="314">
        <v>4143421</v>
      </c>
    </row>
    <row r="171" spans="1:19" x14ac:dyDescent="0.25">
      <c r="A171" s="313" t="s">
        <v>879</v>
      </c>
      <c r="B171" s="313" t="s">
        <v>874</v>
      </c>
      <c r="C171" s="313">
        <v>6473703</v>
      </c>
      <c r="D171" s="313">
        <v>2018</v>
      </c>
      <c r="E171" s="314">
        <v>0</v>
      </c>
      <c r="F171" s="314">
        <v>0</v>
      </c>
      <c r="G171" s="314">
        <v>0</v>
      </c>
      <c r="H171" s="314">
        <v>0</v>
      </c>
      <c r="I171" s="314">
        <v>0</v>
      </c>
      <c r="J171" s="314">
        <v>0</v>
      </c>
      <c r="K171" s="314">
        <v>1635567</v>
      </c>
      <c r="L171" s="314">
        <v>0</v>
      </c>
      <c r="M171" s="314">
        <v>0</v>
      </c>
      <c r="N171" s="314">
        <v>0</v>
      </c>
      <c r="O171" s="314">
        <v>90000</v>
      </c>
      <c r="P171" s="314">
        <f t="shared" si="2"/>
        <v>90000</v>
      </c>
      <c r="Q171" s="314">
        <v>0</v>
      </c>
      <c r="R171" s="314">
        <v>87584</v>
      </c>
      <c r="S171" s="314">
        <v>1813151</v>
      </c>
    </row>
    <row r="172" spans="1:19" x14ac:dyDescent="0.25">
      <c r="A172" s="313" t="s">
        <v>1140</v>
      </c>
      <c r="B172" s="313" t="s">
        <v>1141</v>
      </c>
      <c r="C172" s="313">
        <v>4271738</v>
      </c>
      <c r="D172" s="313">
        <v>2018</v>
      </c>
      <c r="E172" s="314">
        <v>0</v>
      </c>
      <c r="F172" s="314">
        <v>0</v>
      </c>
      <c r="G172" s="314">
        <v>0</v>
      </c>
      <c r="H172" s="314">
        <v>2890154</v>
      </c>
      <c r="I172" s="314">
        <v>0</v>
      </c>
      <c r="J172" s="314">
        <v>0</v>
      </c>
      <c r="K172" s="314">
        <v>0</v>
      </c>
      <c r="L172" s="314">
        <v>0</v>
      </c>
      <c r="M172" s="314">
        <v>1299272</v>
      </c>
      <c r="N172" s="314">
        <v>40000</v>
      </c>
      <c r="O172" s="314">
        <v>185000</v>
      </c>
      <c r="P172" s="314">
        <f t="shared" si="2"/>
        <v>225000</v>
      </c>
      <c r="Q172" s="314">
        <v>0</v>
      </c>
      <c r="R172" s="314">
        <v>0</v>
      </c>
      <c r="S172" s="314">
        <v>4414426</v>
      </c>
    </row>
    <row r="173" spans="1:19" x14ac:dyDescent="0.25">
      <c r="A173" s="313" t="s">
        <v>1066</v>
      </c>
      <c r="B173" s="313" t="s">
        <v>1067</v>
      </c>
      <c r="C173" s="313">
        <v>2093343</v>
      </c>
      <c r="D173" s="313">
        <v>2018</v>
      </c>
      <c r="E173" s="314">
        <v>0</v>
      </c>
      <c r="F173" s="314">
        <v>0</v>
      </c>
      <c r="G173" s="314">
        <v>0</v>
      </c>
      <c r="H173" s="314">
        <v>570000</v>
      </c>
      <c r="I173" s="314">
        <v>0</v>
      </c>
      <c r="J173" s="314">
        <v>0</v>
      </c>
      <c r="K173" s="314">
        <v>0</v>
      </c>
      <c r="L173" s="314">
        <v>0</v>
      </c>
      <c r="M173" s="314">
        <v>0</v>
      </c>
      <c r="N173" s="314">
        <v>0</v>
      </c>
      <c r="O173" s="314">
        <v>70000</v>
      </c>
      <c r="P173" s="314">
        <f t="shared" si="2"/>
        <v>70000</v>
      </c>
      <c r="Q173" s="314">
        <v>134112.04999999999</v>
      </c>
      <c r="R173" s="314">
        <v>2188.0300000000002</v>
      </c>
      <c r="S173" s="314">
        <v>776300.08000000007</v>
      </c>
    </row>
    <row r="174" spans="1:19" x14ac:dyDescent="0.25">
      <c r="A174" s="313" t="s">
        <v>846</v>
      </c>
      <c r="B174" s="313" t="s">
        <v>842</v>
      </c>
      <c r="C174" s="313">
        <v>8350990</v>
      </c>
      <c r="D174" s="313">
        <v>2018</v>
      </c>
      <c r="E174" s="314">
        <v>148000</v>
      </c>
      <c r="F174" s="314">
        <v>0</v>
      </c>
      <c r="G174" s="314">
        <v>0</v>
      </c>
      <c r="H174" s="314">
        <v>1449000</v>
      </c>
      <c r="I174" s="314">
        <v>0</v>
      </c>
      <c r="J174" s="314">
        <v>0</v>
      </c>
      <c r="K174" s="314">
        <v>0</v>
      </c>
      <c r="L174" s="314">
        <v>0</v>
      </c>
      <c r="M174" s="314">
        <v>0</v>
      </c>
      <c r="N174" s="314">
        <v>0</v>
      </c>
      <c r="O174" s="314">
        <v>265000</v>
      </c>
      <c r="P174" s="314">
        <f t="shared" si="2"/>
        <v>265000</v>
      </c>
      <c r="Q174" s="314">
        <v>0</v>
      </c>
      <c r="R174" s="314">
        <v>0</v>
      </c>
      <c r="S174" s="314">
        <v>1862000</v>
      </c>
    </row>
    <row r="175" spans="1:19" x14ac:dyDescent="0.25">
      <c r="A175" s="313" t="s">
        <v>1375</v>
      </c>
      <c r="B175" s="313" t="s">
        <v>375</v>
      </c>
      <c r="C175" s="313">
        <v>6447139</v>
      </c>
      <c r="D175" s="313">
        <v>2018</v>
      </c>
      <c r="E175" s="314">
        <v>0</v>
      </c>
      <c r="F175" s="314">
        <v>0</v>
      </c>
      <c r="G175" s="314">
        <v>0</v>
      </c>
      <c r="H175" s="314">
        <v>1546000</v>
      </c>
      <c r="I175" s="314">
        <v>0</v>
      </c>
      <c r="J175" s="314">
        <v>0</v>
      </c>
      <c r="K175" s="314">
        <v>0</v>
      </c>
      <c r="L175" s="314">
        <v>0</v>
      </c>
      <c r="M175" s="314">
        <v>0</v>
      </c>
      <c r="N175" s="314">
        <v>0</v>
      </c>
      <c r="O175" s="314">
        <v>106192.22</v>
      </c>
      <c r="P175" s="314">
        <f t="shared" si="2"/>
        <v>106192.22</v>
      </c>
      <c r="Q175" s="314">
        <v>0</v>
      </c>
      <c r="R175" s="314">
        <v>0</v>
      </c>
      <c r="S175" s="314">
        <v>1652192.22</v>
      </c>
    </row>
    <row r="176" spans="1:19" x14ac:dyDescent="0.25">
      <c r="A176" s="313" t="s">
        <v>1112</v>
      </c>
      <c r="B176" s="313" t="s">
        <v>1113</v>
      </c>
      <c r="C176" s="313">
        <v>9223303</v>
      </c>
      <c r="D176" s="313">
        <v>2018</v>
      </c>
      <c r="E176" s="314">
        <v>42000</v>
      </c>
      <c r="F176" s="314">
        <v>0</v>
      </c>
      <c r="G176" s="314">
        <v>0</v>
      </c>
      <c r="H176" s="314">
        <v>214328</v>
      </c>
      <c r="I176" s="314">
        <v>0</v>
      </c>
      <c r="J176" s="314">
        <v>0</v>
      </c>
      <c r="K176" s="314">
        <v>0</v>
      </c>
      <c r="L176" s="314">
        <v>0</v>
      </c>
      <c r="M176" s="314">
        <v>0</v>
      </c>
      <c r="N176" s="314">
        <v>0</v>
      </c>
      <c r="O176" s="314">
        <v>15000</v>
      </c>
      <c r="P176" s="314">
        <f t="shared" si="2"/>
        <v>15000</v>
      </c>
      <c r="Q176" s="314">
        <v>0</v>
      </c>
      <c r="R176" s="314">
        <v>0</v>
      </c>
      <c r="S176" s="314">
        <v>271328</v>
      </c>
    </row>
    <row r="177" spans="1:19" x14ac:dyDescent="0.25">
      <c r="A177" s="313" t="s">
        <v>735</v>
      </c>
      <c r="B177" s="313" t="s">
        <v>733</v>
      </c>
      <c r="C177" s="313">
        <v>3040542</v>
      </c>
      <c r="D177" s="313">
        <v>2018</v>
      </c>
      <c r="E177" s="314">
        <v>65000</v>
      </c>
      <c r="F177" s="314">
        <v>0</v>
      </c>
      <c r="G177" s="314">
        <v>0</v>
      </c>
      <c r="H177" s="314">
        <v>782340</v>
      </c>
      <c r="I177" s="314">
        <v>0</v>
      </c>
      <c r="J177" s="314">
        <v>0</v>
      </c>
      <c r="K177" s="314">
        <v>0</v>
      </c>
      <c r="L177" s="314">
        <v>0</v>
      </c>
      <c r="M177" s="314">
        <v>0</v>
      </c>
      <c r="N177" s="314">
        <v>0</v>
      </c>
      <c r="O177" s="314">
        <v>80000</v>
      </c>
      <c r="P177" s="314">
        <f t="shared" si="2"/>
        <v>80000</v>
      </c>
      <c r="Q177" s="314">
        <v>0</v>
      </c>
      <c r="R177" s="314">
        <v>0</v>
      </c>
      <c r="S177" s="314">
        <v>927340</v>
      </c>
    </row>
    <row r="178" spans="1:19" x14ac:dyDescent="0.25">
      <c r="A178" s="313" t="s">
        <v>502</v>
      </c>
      <c r="B178" s="313" t="s">
        <v>502</v>
      </c>
      <c r="C178" s="313">
        <v>9924037</v>
      </c>
      <c r="D178" s="313">
        <v>2018</v>
      </c>
      <c r="E178" s="314">
        <v>0</v>
      </c>
      <c r="F178" s="314">
        <v>0</v>
      </c>
      <c r="G178" s="314">
        <v>0</v>
      </c>
      <c r="H178" s="314">
        <v>1762082</v>
      </c>
      <c r="I178" s="314">
        <v>0</v>
      </c>
      <c r="J178" s="314">
        <v>1695788</v>
      </c>
      <c r="K178" s="314">
        <v>0</v>
      </c>
      <c r="L178" s="314">
        <v>0</v>
      </c>
      <c r="M178" s="314">
        <v>0</v>
      </c>
      <c r="N178" s="314">
        <v>0</v>
      </c>
      <c r="O178" s="314">
        <v>0</v>
      </c>
      <c r="P178" s="314">
        <f t="shared" si="2"/>
        <v>0</v>
      </c>
      <c r="Q178" s="314">
        <v>0</v>
      </c>
      <c r="R178" s="314">
        <v>0</v>
      </c>
      <c r="S178" s="314">
        <v>3457870</v>
      </c>
    </row>
    <row r="179" spans="1:19" x14ac:dyDescent="0.25">
      <c r="A179" s="313" t="s">
        <v>509</v>
      </c>
      <c r="B179" s="313" t="s">
        <v>509</v>
      </c>
      <c r="C179" s="313">
        <v>4007320</v>
      </c>
      <c r="D179" s="313">
        <v>2018</v>
      </c>
      <c r="E179" s="314">
        <v>0</v>
      </c>
      <c r="F179" s="314">
        <v>0</v>
      </c>
      <c r="G179" s="314">
        <v>0</v>
      </c>
      <c r="H179" s="314">
        <v>588559</v>
      </c>
      <c r="I179" s="314">
        <v>0</v>
      </c>
      <c r="J179" s="314">
        <v>509000</v>
      </c>
      <c r="K179" s="314">
        <v>0</v>
      </c>
      <c r="L179" s="314">
        <v>0</v>
      </c>
      <c r="M179" s="314">
        <v>0</v>
      </c>
      <c r="N179" s="314">
        <v>0</v>
      </c>
      <c r="O179" s="314">
        <v>0</v>
      </c>
      <c r="P179" s="314">
        <f t="shared" si="2"/>
        <v>0</v>
      </c>
      <c r="Q179" s="314">
        <v>0</v>
      </c>
      <c r="R179" s="314">
        <v>0</v>
      </c>
      <c r="S179" s="314">
        <v>1097559</v>
      </c>
    </row>
    <row r="180" spans="1:19" x14ac:dyDescent="0.25">
      <c r="A180" s="313" t="s">
        <v>390</v>
      </c>
      <c r="B180" s="313" t="s">
        <v>947</v>
      </c>
      <c r="C180" s="313">
        <v>4381530</v>
      </c>
      <c r="D180" s="313">
        <v>2018</v>
      </c>
      <c r="E180" s="314">
        <v>0</v>
      </c>
      <c r="F180" s="314">
        <v>0</v>
      </c>
      <c r="G180" s="314">
        <v>0</v>
      </c>
      <c r="H180" s="314">
        <v>10672100</v>
      </c>
      <c r="I180" s="314">
        <v>0</v>
      </c>
      <c r="J180" s="314">
        <v>0</v>
      </c>
      <c r="K180" s="314">
        <v>0</v>
      </c>
      <c r="L180" s="314">
        <v>0</v>
      </c>
      <c r="M180" s="314">
        <v>0</v>
      </c>
      <c r="N180" s="314">
        <v>0</v>
      </c>
      <c r="O180" s="314">
        <v>4118200</v>
      </c>
      <c r="P180" s="314">
        <f t="shared" si="2"/>
        <v>4118200</v>
      </c>
      <c r="Q180" s="314">
        <v>0</v>
      </c>
      <c r="R180" s="314">
        <v>0</v>
      </c>
      <c r="S180" s="314">
        <v>14790300</v>
      </c>
    </row>
    <row r="181" spans="1:19" x14ac:dyDescent="0.25">
      <c r="A181" s="313" t="s">
        <v>1504</v>
      </c>
      <c r="B181" s="313" t="s">
        <v>849</v>
      </c>
      <c r="C181" s="313">
        <v>8172268</v>
      </c>
      <c r="D181" s="313">
        <v>2018</v>
      </c>
      <c r="E181" s="314">
        <v>740000</v>
      </c>
      <c r="F181" s="314">
        <v>0</v>
      </c>
      <c r="G181" s="314">
        <v>0</v>
      </c>
      <c r="H181" s="314">
        <v>0</v>
      </c>
      <c r="I181" s="314">
        <v>0</v>
      </c>
      <c r="J181" s="314">
        <v>0</v>
      </c>
      <c r="K181" s="314">
        <v>5006856</v>
      </c>
      <c r="L181" s="314">
        <v>60381</v>
      </c>
      <c r="M181" s="314">
        <v>0</v>
      </c>
      <c r="N181" s="314">
        <v>0</v>
      </c>
      <c r="O181" s="314">
        <v>250000</v>
      </c>
      <c r="P181" s="314">
        <f t="shared" si="2"/>
        <v>250000</v>
      </c>
      <c r="Q181" s="314">
        <v>0</v>
      </c>
      <c r="R181" s="314">
        <v>0</v>
      </c>
      <c r="S181" s="314">
        <v>6057237</v>
      </c>
    </row>
    <row r="182" spans="1:19" x14ac:dyDescent="0.25">
      <c r="A182" s="313" t="s">
        <v>1479</v>
      </c>
      <c r="B182" s="313" t="s">
        <v>1247</v>
      </c>
      <c r="C182" s="313">
        <v>3595008</v>
      </c>
      <c r="D182" s="313">
        <v>2018</v>
      </c>
      <c r="E182" s="314">
        <v>0</v>
      </c>
      <c r="F182" s="314">
        <v>0</v>
      </c>
      <c r="G182" s="314">
        <v>0</v>
      </c>
      <c r="H182" s="314">
        <v>826202</v>
      </c>
      <c r="I182" s="314">
        <v>0</v>
      </c>
      <c r="J182" s="314">
        <v>0</v>
      </c>
      <c r="K182" s="314">
        <v>3040700</v>
      </c>
      <c r="L182" s="314">
        <v>0</v>
      </c>
      <c r="M182" s="314">
        <v>0</v>
      </c>
      <c r="N182" s="314">
        <v>0</v>
      </c>
      <c r="O182" s="314">
        <v>300000</v>
      </c>
      <c r="P182" s="314">
        <f t="shared" si="2"/>
        <v>300000</v>
      </c>
      <c r="Q182" s="314">
        <v>431716</v>
      </c>
      <c r="R182" s="314">
        <v>0</v>
      </c>
      <c r="S182" s="314">
        <v>4598618</v>
      </c>
    </row>
    <row r="183" spans="1:19" x14ac:dyDescent="0.25">
      <c r="A183" s="313" t="s">
        <v>1406</v>
      </c>
      <c r="B183" s="313" t="s">
        <v>805</v>
      </c>
      <c r="C183" s="313">
        <v>1738957</v>
      </c>
      <c r="D183" s="313">
        <v>2018</v>
      </c>
      <c r="E183" s="314">
        <v>83356</v>
      </c>
      <c r="F183" s="314">
        <v>0</v>
      </c>
      <c r="G183" s="314">
        <v>0</v>
      </c>
      <c r="H183" s="314">
        <v>1189970</v>
      </c>
      <c r="I183" s="314">
        <v>0</v>
      </c>
      <c r="J183" s="314">
        <v>0</v>
      </c>
      <c r="K183" s="314">
        <v>0</v>
      </c>
      <c r="L183" s="314">
        <v>0</v>
      </c>
      <c r="M183" s="314">
        <v>0</v>
      </c>
      <c r="N183" s="314">
        <v>0</v>
      </c>
      <c r="O183" s="314">
        <v>165000</v>
      </c>
      <c r="P183" s="314">
        <f t="shared" si="2"/>
        <v>165000</v>
      </c>
      <c r="Q183" s="314">
        <v>0</v>
      </c>
      <c r="R183" s="314">
        <v>0</v>
      </c>
      <c r="S183" s="314">
        <v>1438326</v>
      </c>
    </row>
    <row r="184" spans="1:19" x14ac:dyDescent="0.25">
      <c r="A184" s="313" t="s">
        <v>1834</v>
      </c>
      <c r="B184" s="313" t="s">
        <v>897</v>
      </c>
      <c r="C184" s="313">
        <v>7947229</v>
      </c>
      <c r="D184" s="313">
        <v>2018</v>
      </c>
      <c r="E184" s="314">
        <v>0</v>
      </c>
      <c r="F184" s="314">
        <v>0</v>
      </c>
      <c r="G184" s="314">
        <v>0</v>
      </c>
      <c r="H184" s="314">
        <v>447879</v>
      </c>
      <c r="I184" s="314">
        <v>0</v>
      </c>
      <c r="J184" s="314">
        <v>0</v>
      </c>
      <c r="K184" s="314">
        <v>0</v>
      </c>
      <c r="L184" s="314">
        <v>0</v>
      </c>
      <c r="M184" s="314">
        <v>0</v>
      </c>
      <c r="N184" s="314">
        <v>0</v>
      </c>
      <c r="O184" s="314">
        <v>94495</v>
      </c>
      <c r="P184" s="314">
        <f t="shared" si="2"/>
        <v>94495</v>
      </c>
      <c r="Q184" s="314">
        <v>0</v>
      </c>
      <c r="R184" s="314">
        <v>0</v>
      </c>
      <c r="S184" s="314">
        <v>542374</v>
      </c>
    </row>
    <row r="185" spans="1:19" x14ac:dyDescent="0.25">
      <c r="A185" s="313" t="s">
        <v>740</v>
      </c>
      <c r="B185" s="313" t="s">
        <v>733</v>
      </c>
      <c r="C185" s="313">
        <v>8849001</v>
      </c>
      <c r="D185" s="313">
        <v>2018</v>
      </c>
      <c r="E185" s="314">
        <v>100000</v>
      </c>
      <c r="F185" s="314">
        <v>0</v>
      </c>
      <c r="G185" s="314">
        <v>0</v>
      </c>
      <c r="H185" s="314">
        <v>1177900</v>
      </c>
      <c r="I185" s="314">
        <v>0</v>
      </c>
      <c r="J185" s="314">
        <v>0</v>
      </c>
      <c r="K185" s="314">
        <v>0</v>
      </c>
      <c r="L185" s="314">
        <v>0</v>
      </c>
      <c r="M185" s="314">
        <v>0</v>
      </c>
      <c r="N185" s="314">
        <v>0</v>
      </c>
      <c r="O185" s="314">
        <v>169000</v>
      </c>
      <c r="P185" s="314">
        <f t="shared" si="2"/>
        <v>169000</v>
      </c>
      <c r="Q185" s="314">
        <v>0</v>
      </c>
      <c r="R185" s="314">
        <v>0</v>
      </c>
      <c r="S185" s="314">
        <v>1446900</v>
      </c>
    </row>
    <row r="186" spans="1:19" x14ac:dyDescent="0.25">
      <c r="A186" s="313" t="s">
        <v>1304</v>
      </c>
      <c r="B186" s="313" t="s">
        <v>947</v>
      </c>
      <c r="C186" s="313">
        <v>9459250</v>
      </c>
      <c r="D186" s="313">
        <v>2018</v>
      </c>
      <c r="E186" s="314">
        <v>0</v>
      </c>
      <c r="F186" s="314">
        <v>0</v>
      </c>
      <c r="G186" s="314">
        <v>0</v>
      </c>
      <c r="H186" s="314">
        <v>1544300</v>
      </c>
      <c r="I186" s="314">
        <v>0</v>
      </c>
      <c r="J186" s="314">
        <v>0</v>
      </c>
      <c r="K186" s="314">
        <v>0</v>
      </c>
      <c r="L186" s="314">
        <v>0</v>
      </c>
      <c r="M186" s="314">
        <v>0</v>
      </c>
      <c r="N186" s="314">
        <v>0</v>
      </c>
      <c r="O186" s="314">
        <v>775300</v>
      </c>
      <c r="P186" s="314">
        <f t="shared" si="2"/>
        <v>775300</v>
      </c>
      <c r="Q186" s="314">
        <v>0</v>
      </c>
      <c r="R186" s="314">
        <v>0</v>
      </c>
      <c r="S186" s="314">
        <v>2319600</v>
      </c>
    </row>
    <row r="187" spans="1:19" x14ac:dyDescent="0.25">
      <c r="A187" s="313" t="s">
        <v>1373</v>
      </c>
      <c r="B187" s="313" t="s">
        <v>1373</v>
      </c>
      <c r="C187" s="313">
        <v>3346325</v>
      </c>
      <c r="D187" s="313">
        <v>2018</v>
      </c>
      <c r="E187" s="314">
        <v>175000</v>
      </c>
      <c r="F187" s="314">
        <v>0</v>
      </c>
      <c r="G187" s="314">
        <v>0</v>
      </c>
      <c r="H187" s="314">
        <v>3176021</v>
      </c>
      <c r="I187" s="314">
        <v>0</v>
      </c>
      <c r="J187" s="314">
        <v>0</v>
      </c>
      <c r="K187" s="314">
        <v>0</v>
      </c>
      <c r="L187" s="314">
        <v>0</v>
      </c>
      <c r="M187" s="314">
        <v>0</v>
      </c>
      <c r="N187" s="314">
        <v>34500</v>
      </c>
      <c r="O187" s="314">
        <v>113500</v>
      </c>
      <c r="P187" s="314">
        <f t="shared" si="2"/>
        <v>148000</v>
      </c>
      <c r="Q187" s="314">
        <v>0</v>
      </c>
      <c r="R187" s="314">
        <v>0</v>
      </c>
      <c r="S187" s="314">
        <v>3499021</v>
      </c>
    </row>
    <row r="188" spans="1:19" x14ac:dyDescent="0.25">
      <c r="A188" s="313" t="s">
        <v>1007</v>
      </c>
      <c r="B188" s="313" t="s">
        <v>1007</v>
      </c>
      <c r="C188" s="313">
        <v>3135426</v>
      </c>
      <c r="D188" s="313">
        <v>2018</v>
      </c>
      <c r="E188" s="314">
        <v>739000</v>
      </c>
      <c r="F188" s="314">
        <v>0</v>
      </c>
      <c r="G188" s="314">
        <v>0</v>
      </c>
      <c r="H188" s="314">
        <v>6600000</v>
      </c>
      <c r="I188" s="314">
        <v>0</v>
      </c>
      <c r="J188" s="314">
        <v>0</v>
      </c>
      <c r="K188" s="314">
        <v>0</v>
      </c>
      <c r="L188" s="314">
        <v>0</v>
      </c>
      <c r="M188" s="314">
        <v>0</v>
      </c>
      <c r="N188" s="314">
        <v>0</v>
      </c>
      <c r="O188" s="314">
        <v>170000</v>
      </c>
      <c r="P188" s="314">
        <f t="shared" si="2"/>
        <v>170000</v>
      </c>
      <c r="Q188" s="314">
        <v>0</v>
      </c>
      <c r="R188" s="314">
        <v>0</v>
      </c>
      <c r="S188" s="314">
        <v>7509000</v>
      </c>
    </row>
    <row r="189" spans="1:19" x14ac:dyDescent="0.25">
      <c r="A189" s="313" t="s">
        <v>1104</v>
      </c>
      <c r="B189" s="313" t="s">
        <v>553</v>
      </c>
      <c r="C189" s="313">
        <v>7634996</v>
      </c>
      <c r="D189" s="313">
        <v>2018</v>
      </c>
      <c r="E189" s="314">
        <v>83504</v>
      </c>
      <c r="F189" s="314">
        <v>0</v>
      </c>
      <c r="G189" s="314">
        <v>0</v>
      </c>
      <c r="H189" s="314">
        <v>234000</v>
      </c>
      <c r="I189" s="314">
        <v>0</v>
      </c>
      <c r="J189" s="314">
        <v>0</v>
      </c>
      <c r="K189" s="314">
        <v>0</v>
      </c>
      <c r="L189" s="314">
        <v>27332.2</v>
      </c>
      <c r="M189" s="314">
        <v>0</v>
      </c>
      <c r="N189" s="314">
        <v>10000</v>
      </c>
      <c r="O189" s="314">
        <v>40000</v>
      </c>
      <c r="P189" s="314">
        <f t="shared" si="2"/>
        <v>50000</v>
      </c>
      <c r="Q189" s="314">
        <v>0</v>
      </c>
      <c r="R189" s="314">
        <v>0</v>
      </c>
      <c r="S189" s="314">
        <v>394836.2</v>
      </c>
    </row>
    <row r="190" spans="1:19" x14ac:dyDescent="0.25">
      <c r="A190" s="313" t="s">
        <v>1519</v>
      </c>
      <c r="B190" s="313" t="s">
        <v>812</v>
      </c>
      <c r="C190" s="313">
        <v>3961063</v>
      </c>
      <c r="D190" s="313">
        <v>2018</v>
      </c>
      <c r="E190" s="314">
        <v>427000</v>
      </c>
      <c r="F190" s="314">
        <v>0</v>
      </c>
      <c r="G190" s="314">
        <v>0</v>
      </c>
      <c r="H190" s="314">
        <v>0</v>
      </c>
      <c r="I190" s="314">
        <v>0</v>
      </c>
      <c r="J190" s="314">
        <v>0</v>
      </c>
      <c r="K190" s="314">
        <v>2642648</v>
      </c>
      <c r="L190" s="314">
        <v>0</v>
      </c>
      <c r="M190" s="314">
        <v>0</v>
      </c>
      <c r="N190" s="314">
        <v>0</v>
      </c>
      <c r="O190" s="314">
        <v>150000</v>
      </c>
      <c r="P190" s="314">
        <f t="shared" si="2"/>
        <v>150000</v>
      </c>
      <c r="Q190" s="314">
        <v>0</v>
      </c>
      <c r="R190" s="314">
        <v>0</v>
      </c>
      <c r="S190" s="314">
        <v>3219648</v>
      </c>
    </row>
    <row r="191" spans="1:19" x14ac:dyDescent="0.25">
      <c r="A191" s="313" t="s">
        <v>1328</v>
      </c>
      <c r="B191" s="313" t="s">
        <v>821</v>
      </c>
      <c r="C191" s="313">
        <v>5894253</v>
      </c>
      <c r="D191" s="313">
        <v>2018</v>
      </c>
      <c r="E191" s="314">
        <v>1500000</v>
      </c>
      <c r="F191" s="314">
        <v>0</v>
      </c>
      <c r="G191" s="314">
        <v>0</v>
      </c>
      <c r="H191" s="314">
        <v>3600000</v>
      </c>
      <c r="I191" s="314">
        <v>0</v>
      </c>
      <c r="J191" s="314">
        <v>0</v>
      </c>
      <c r="K191" s="314">
        <v>0</v>
      </c>
      <c r="L191" s="314">
        <v>0</v>
      </c>
      <c r="M191" s="314">
        <v>0</v>
      </c>
      <c r="N191" s="314">
        <v>62500</v>
      </c>
      <c r="O191" s="314">
        <v>65000</v>
      </c>
      <c r="P191" s="314">
        <f t="shared" si="2"/>
        <v>127500</v>
      </c>
      <c r="Q191" s="314">
        <v>0</v>
      </c>
      <c r="R191" s="314">
        <v>0</v>
      </c>
      <c r="S191" s="314">
        <v>5227500</v>
      </c>
    </row>
    <row r="192" spans="1:19" x14ac:dyDescent="0.25">
      <c r="A192" s="313" t="s">
        <v>933</v>
      </c>
      <c r="B192" s="313" t="s">
        <v>928</v>
      </c>
      <c r="C192" s="313">
        <v>9379121</v>
      </c>
      <c r="D192" s="313">
        <v>2018</v>
      </c>
      <c r="E192" s="314">
        <v>0</v>
      </c>
      <c r="F192" s="314">
        <v>0</v>
      </c>
      <c r="G192" s="314">
        <v>0</v>
      </c>
      <c r="H192" s="314">
        <v>1424000</v>
      </c>
      <c r="I192" s="314">
        <v>0</v>
      </c>
      <c r="J192" s="314">
        <v>1000588.05</v>
      </c>
      <c r="K192" s="314">
        <v>2820564</v>
      </c>
      <c r="L192" s="314">
        <v>0</v>
      </c>
      <c r="M192" s="314">
        <v>0</v>
      </c>
      <c r="N192" s="314">
        <v>0</v>
      </c>
      <c r="O192" s="314">
        <v>90000</v>
      </c>
      <c r="P192" s="314">
        <f t="shared" si="2"/>
        <v>90000</v>
      </c>
      <c r="Q192" s="314">
        <v>0</v>
      </c>
      <c r="R192" s="314">
        <v>0</v>
      </c>
      <c r="S192" s="314">
        <v>5335152.05</v>
      </c>
    </row>
    <row r="193" spans="1:19" x14ac:dyDescent="0.25">
      <c r="A193" s="313" t="s">
        <v>878</v>
      </c>
      <c r="B193" s="313" t="s">
        <v>874</v>
      </c>
      <c r="C193" s="313">
        <v>1552469</v>
      </c>
      <c r="D193" s="313">
        <v>2018</v>
      </c>
      <c r="E193" s="314">
        <v>0</v>
      </c>
      <c r="F193" s="314">
        <v>0</v>
      </c>
      <c r="G193" s="314">
        <v>0</v>
      </c>
      <c r="H193" s="314">
        <v>145826</v>
      </c>
      <c r="I193" s="314">
        <v>0</v>
      </c>
      <c r="J193" s="314">
        <v>0</v>
      </c>
      <c r="K193" s="314">
        <v>895624</v>
      </c>
      <c r="L193" s="314">
        <v>0</v>
      </c>
      <c r="M193" s="314">
        <v>0</v>
      </c>
      <c r="N193" s="314">
        <v>2000</v>
      </c>
      <c r="O193" s="314">
        <v>31480</v>
      </c>
      <c r="P193" s="314">
        <f t="shared" si="2"/>
        <v>33480</v>
      </c>
      <c r="Q193" s="314">
        <v>0</v>
      </c>
      <c r="R193" s="314">
        <v>141993.94</v>
      </c>
      <c r="S193" s="314">
        <v>1216923.94</v>
      </c>
    </row>
    <row r="194" spans="1:19" x14ac:dyDescent="0.25">
      <c r="A194" s="313" t="s">
        <v>379</v>
      </c>
      <c r="B194" s="313" t="s">
        <v>805</v>
      </c>
      <c r="C194" s="313">
        <v>1907533</v>
      </c>
      <c r="D194" s="313">
        <v>2018</v>
      </c>
      <c r="E194" s="314">
        <v>0</v>
      </c>
      <c r="F194" s="314">
        <v>0</v>
      </c>
      <c r="G194" s="314">
        <v>0</v>
      </c>
      <c r="H194" s="314">
        <v>336818</v>
      </c>
      <c r="I194" s="314">
        <v>0</v>
      </c>
      <c r="J194" s="314">
        <v>0</v>
      </c>
      <c r="K194" s="314">
        <v>3706068.51</v>
      </c>
      <c r="L194" s="314">
        <v>0</v>
      </c>
      <c r="M194" s="314">
        <v>0</v>
      </c>
      <c r="N194" s="314">
        <v>52705</v>
      </c>
      <c r="O194" s="314">
        <v>500000</v>
      </c>
      <c r="P194" s="314">
        <f t="shared" si="2"/>
        <v>552705</v>
      </c>
      <c r="Q194" s="314">
        <v>30000</v>
      </c>
      <c r="R194" s="314">
        <v>0</v>
      </c>
      <c r="S194" s="314">
        <v>4625591.51</v>
      </c>
    </row>
    <row r="195" spans="1:19" x14ac:dyDescent="0.25">
      <c r="A195" s="313" t="s">
        <v>918</v>
      </c>
      <c r="B195" s="313" t="s">
        <v>909</v>
      </c>
      <c r="C195" s="313">
        <v>9659243</v>
      </c>
      <c r="D195" s="313">
        <v>2018</v>
      </c>
      <c r="E195" s="314">
        <v>0</v>
      </c>
      <c r="F195" s="314">
        <v>0</v>
      </c>
      <c r="G195" s="314">
        <v>0</v>
      </c>
      <c r="H195" s="314">
        <v>396000</v>
      </c>
      <c r="I195" s="314">
        <v>0</v>
      </c>
      <c r="J195" s="314">
        <v>0</v>
      </c>
      <c r="K195" s="314">
        <v>3480000</v>
      </c>
      <c r="L195" s="314">
        <v>0</v>
      </c>
      <c r="M195" s="314">
        <v>0</v>
      </c>
      <c r="N195" s="314">
        <v>0</v>
      </c>
      <c r="O195" s="314">
        <v>46000</v>
      </c>
      <c r="P195" s="314">
        <f t="shared" si="2"/>
        <v>46000</v>
      </c>
      <c r="Q195" s="314">
        <v>0</v>
      </c>
      <c r="R195" s="314">
        <v>0</v>
      </c>
      <c r="S195" s="314">
        <v>3922000</v>
      </c>
    </row>
    <row r="196" spans="1:19" x14ac:dyDescent="0.25">
      <c r="A196" s="313" t="s">
        <v>1259</v>
      </c>
      <c r="B196" s="313" t="s">
        <v>678</v>
      </c>
      <c r="C196" s="313">
        <v>1817339</v>
      </c>
      <c r="D196" s="313">
        <v>2018</v>
      </c>
      <c r="E196" s="314">
        <v>0</v>
      </c>
      <c r="F196" s="314">
        <v>0</v>
      </c>
      <c r="G196" s="314">
        <v>0</v>
      </c>
      <c r="H196" s="314">
        <v>1752426</v>
      </c>
      <c r="I196" s="314">
        <v>0</v>
      </c>
      <c r="J196" s="314">
        <v>0</v>
      </c>
      <c r="K196" s="314">
        <v>0</v>
      </c>
      <c r="L196" s="314">
        <v>0</v>
      </c>
      <c r="M196" s="314">
        <v>0</v>
      </c>
      <c r="N196" s="314">
        <v>0</v>
      </c>
      <c r="O196" s="314">
        <v>1862794</v>
      </c>
      <c r="P196" s="314">
        <f t="shared" ref="P196:P259" si="3">SUM(N196:O196)</f>
        <v>1862794</v>
      </c>
      <c r="Q196" s="314">
        <v>0</v>
      </c>
      <c r="R196" s="314">
        <v>0</v>
      </c>
      <c r="S196" s="314">
        <v>3615220</v>
      </c>
    </row>
    <row r="197" spans="1:19" x14ac:dyDescent="0.25">
      <c r="A197" s="313" t="s">
        <v>725</v>
      </c>
      <c r="B197" s="313" t="s">
        <v>718</v>
      </c>
      <c r="C197" s="313">
        <v>5133257</v>
      </c>
      <c r="D197" s="313">
        <v>2018</v>
      </c>
      <c r="E197" s="314">
        <v>0</v>
      </c>
      <c r="F197" s="314">
        <v>0</v>
      </c>
      <c r="G197" s="314">
        <v>0</v>
      </c>
      <c r="H197" s="314">
        <v>1089240</v>
      </c>
      <c r="I197" s="314">
        <v>0</v>
      </c>
      <c r="J197" s="314">
        <v>0</v>
      </c>
      <c r="K197" s="314">
        <v>0</v>
      </c>
      <c r="L197" s="314">
        <v>0</v>
      </c>
      <c r="M197" s="314">
        <v>0</v>
      </c>
      <c r="N197" s="314">
        <v>0</v>
      </c>
      <c r="O197" s="314">
        <v>166000</v>
      </c>
      <c r="P197" s="314">
        <f t="shared" si="3"/>
        <v>166000</v>
      </c>
      <c r="Q197" s="314">
        <v>0</v>
      </c>
      <c r="R197" s="314">
        <v>0</v>
      </c>
      <c r="S197" s="314">
        <v>1255240</v>
      </c>
    </row>
    <row r="198" spans="1:19" x14ac:dyDescent="0.25">
      <c r="A198" s="313" t="s">
        <v>632</v>
      </c>
      <c r="B198" s="313" t="s">
        <v>630</v>
      </c>
      <c r="C198" s="313">
        <v>1671513</v>
      </c>
      <c r="D198" s="313">
        <v>2018</v>
      </c>
      <c r="E198" s="314">
        <v>48000</v>
      </c>
      <c r="F198" s="314">
        <v>0</v>
      </c>
      <c r="G198" s="314">
        <v>0</v>
      </c>
      <c r="H198" s="314">
        <v>300000</v>
      </c>
      <c r="I198" s="314">
        <v>0</v>
      </c>
      <c r="J198" s="314">
        <v>0</v>
      </c>
      <c r="K198" s="314">
        <v>0</v>
      </c>
      <c r="L198" s="314">
        <v>0</v>
      </c>
      <c r="M198" s="314">
        <v>0</v>
      </c>
      <c r="N198" s="314">
        <v>402204.18</v>
      </c>
      <c r="O198" s="314">
        <v>0</v>
      </c>
      <c r="P198" s="314">
        <f t="shared" si="3"/>
        <v>402204.18</v>
      </c>
      <c r="Q198" s="314">
        <v>0</v>
      </c>
      <c r="R198" s="314">
        <v>0</v>
      </c>
      <c r="S198" s="314">
        <v>750204.17999999993</v>
      </c>
    </row>
    <row r="199" spans="1:19" x14ac:dyDescent="0.25">
      <c r="A199" s="313" t="s">
        <v>1279</v>
      </c>
      <c r="B199" s="313" t="s">
        <v>531</v>
      </c>
      <c r="C199" s="313">
        <v>4547815</v>
      </c>
      <c r="D199" s="313">
        <v>2018</v>
      </c>
      <c r="E199" s="314">
        <v>0</v>
      </c>
      <c r="F199" s="314">
        <v>0</v>
      </c>
      <c r="G199" s="314">
        <v>0</v>
      </c>
      <c r="H199" s="314">
        <v>525816</v>
      </c>
      <c r="I199" s="314">
        <v>0</v>
      </c>
      <c r="J199" s="314">
        <v>0</v>
      </c>
      <c r="K199" s="314">
        <v>0</v>
      </c>
      <c r="L199" s="314">
        <v>0</v>
      </c>
      <c r="M199" s="314">
        <v>0</v>
      </c>
      <c r="N199" s="314">
        <v>0</v>
      </c>
      <c r="O199" s="314">
        <v>485000</v>
      </c>
      <c r="P199" s="314">
        <f t="shared" si="3"/>
        <v>485000</v>
      </c>
      <c r="Q199" s="314">
        <v>9000</v>
      </c>
      <c r="R199" s="314">
        <v>0</v>
      </c>
      <c r="S199" s="314">
        <v>1019816</v>
      </c>
    </row>
    <row r="200" spans="1:19" x14ac:dyDescent="0.25">
      <c r="A200" s="313" t="s">
        <v>962</v>
      </c>
      <c r="B200" s="313" t="s">
        <v>962</v>
      </c>
      <c r="C200" s="313">
        <v>3921078</v>
      </c>
      <c r="D200" s="313">
        <v>2018</v>
      </c>
      <c r="E200" s="314">
        <v>0</v>
      </c>
      <c r="F200" s="314">
        <v>0</v>
      </c>
      <c r="G200" s="314">
        <v>0</v>
      </c>
      <c r="H200" s="314">
        <v>432300</v>
      </c>
      <c r="I200" s="314">
        <v>0</v>
      </c>
      <c r="J200" s="314">
        <v>0</v>
      </c>
      <c r="K200" s="314">
        <v>0</v>
      </c>
      <c r="L200" s="314">
        <v>0</v>
      </c>
      <c r="M200" s="314">
        <v>0</v>
      </c>
      <c r="N200" s="314">
        <v>0</v>
      </c>
      <c r="O200" s="314">
        <v>0</v>
      </c>
      <c r="P200" s="314">
        <f t="shared" si="3"/>
        <v>0</v>
      </c>
      <c r="Q200" s="314">
        <v>0</v>
      </c>
      <c r="R200" s="314">
        <v>0</v>
      </c>
      <c r="S200" s="314">
        <v>432300</v>
      </c>
    </row>
    <row r="201" spans="1:19" x14ac:dyDescent="0.25">
      <c r="A201" s="313" t="s">
        <v>1147</v>
      </c>
      <c r="B201" s="313" t="s">
        <v>580</v>
      </c>
      <c r="C201" s="313">
        <v>7566271</v>
      </c>
      <c r="D201" s="313">
        <v>2018</v>
      </c>
      <c r="E201" s="314">
        <v>150000</v>
      </c>
      <c r="F201" s="314">
        <v>0</v>
      </c>
      <c r="G201" s="314">
        <v>0</v>
      </c>
      <c r="H201" s="314">
        <v>6750000</v>
      </c>
      <c r="I201" s="314">
        <v>0</v>
      </c>
      <c r="J201" s="314">
        <v>0</v>
      </c>
      <c r="K201" s="314">
        <v>0</v>
      </c>
      <c r="L201" s="314">
        <v>0</v>
      </c>
      <c r="M201" s="314">
        <v>0</v>
      </c>
      <c r="N201" s="314">
        <v>0</v>
      </c>
      <c r="O201" s="314">
        <v>930000</v>
      </c>
      <c r="P201" s="314">
        <f t="shared" si="3"/>
        <v>930000</v>
      </c>
      <c r="Q201" s="314">
        <v>0</v>
      </c>
      <c r="R201" s="314">
        <v>0</v>
      </c>
      <c r="S201" s="314">
        <v>7830000</v>
      </c>
    </row>
    <row r="202" spans="1:19" x14ac:dyDescent="0.25">
      <c r="A202" s="313" t="s">
        <v>358</v>
      </c>
      <c r="B202" s="313" t="s">
        <v>358</v>
      </c>
      <c r="C202" s="313">
        <v>9264829</v>
      </c>
      <c r="D202" s="313">
        <v>2018</v>
      </c>
      <c r="E202" s="314">
        <v>118000</v>
      </c>
      <c r="F202" s="314">
        <v>0</v>
      </c>
      <c r="G202" s="314">
        <v>0</v>
      </c>
      <c r="H202" s="314">
        <v>6305000</v>
      </c>
      <c r="I202" s="314">
        <v>0</v>
      </c>
      <c r="J202" s="314">
        <v>0</v>
      </c>
      <c r="K202" s="314">
        <v>0</v>
      </c>
      <c r="L202" s="314">
        <v>0</v>
      </c>
      <c r="M202" s="314">
        <v>0</v>
      </c>
      <c r="N202" s="314">
        <v>0</v>
      </c>
      <c r="O202" s="314">
        <v>0</v>
      </c>
      <c r="P202" s="314">
        <f t="shared" si="3"/>
        <v>0</v>
      </c>
      <c r="Q202" s="314">
        <v>0</v>
      </c>
      <c r="R202" s="314">
        <v>0</v>
      </c>
      <c r="S202" s="314">
        <v>6423000</v>
      </c>
    </row>
    <row r="203" spans="1:19" x14ac:dyDescent="0.25">
      <c r="A203" s="313" t="s">
        <v>818</v>
      </c>
      <c r="B203" s="313" t="s">
        <v>812</v>
      </c>
      <c r="C203" s="313">
        <v>9064643</v>
      </c>
      <c r="D203" s="313">
        <v>2018</v>
      </c>
      <c r="E203" s="314">
        <v>383086</v>
      </c>
      <c r="F203" s="314">
        <v>0</v>
      </c>
      <c r="G203" s="314">
        <v>0</v>
      </c>
      <c r="H203" s="314">
        <v>0</v>
      </c>
      <c r="I203" s="314">
        <v>0</v>
      </c>
      <c r="J203" s="314">
        <v>0</v>
      </c>
      <c r="K203" s="314">
        <v>4414824</v>
      </c>
      <c r="L203" s="314">
        <v>0</v>
      </c>
      <c r="M203" s="314">
        <v>0</v>
      </c>
      <c r="N203" s="314">
        <v>0</v>
      </c>
      <c r="O203" s="314">
        <v>600000</v>
      </c>
      <c r="P203" s="314">
        <f t="shared" si="3"/>
        <v>600000</v>
      </c>
      <c r="Q203" s="314">
        <v>0</v>
      </c>
      <c r="R203" s="314">
        <v>0</v>
      </c>
      <c r="S203" s="314">
        <v>5397910</v>
      </c>
    </row>
    <row r="204" spans="1:19" x14ac:dyDescent="0.25">
      <c r="A204" s="313" t="s">
        <v>485</v>
      </c>
      <c r="B204" s="313" t="s">
        <v>485</v>
      </c>
      <c r="C204" s="313">
        <v>8338145</v>
      </c>
      <c r="D204" s="313">
        <v>2018</v>
      </c>
      <c r="E204" s="314">
        <v>0</v>
      </c>
      <c r="F204" s="314">
        <v>0</v>
      </c>
      <c r="G204" s="314">
        <v>0</v>
      </c>
      <c r="H204" s="314">
        <v>2042694</v>
      </c>
      <c r="I204" s="314">
        <v>0</v>
      </c>
      <c r="J204" s="314">
        <v>964654.47</v>
      </c>
      <c r="K204" s="314">
        <v>0</v>
      </c>
      <c r="L204" s="314">
        <v>193844.2</v>
      </c>
      <c r="M204" s="314">
        <v>0</v>
      </c>
      <c r="N204" s="314">
        <v>0</v>
      </c>
      <c r="O204" s="314">
        <v>0</v>
      </c>
      <c r="P204" s="314">
        <f t="shared" si="3"/>
        <v>0</v>
      </c>
      <c r="Q204" s="314">
        <v>0</v>
      </c>
      <c r="R204" s="314">
        <v>0</v>
      </c>
      <c r="S204" s="314">
        <v>3201192.67</v>
      </c>
    </row>
    <row r="205" spans="1:19" x14ac:dyDescent="0.25">
      <c r="A205" s="313" t="s">
        <v>977</v>
      </c>
      <c r="B205" s="313" t="s">
        <v>977</v>
      </c>
      <c r="C205" s="313">
        <v>2015983</v>
      </c>
      <c r="D205" s="313">
        <v>2018</v>
      </c>
      <c r="E205" s="314">
        <v>0</v>
      </c>
      <c r="F205" s="314">
        <v>0</v>
      </c>
      <c r="G205" s="314">
        <v>0</v>
      </c>
      <c r="H205" s="314">
        <v>604800</v>
      </c>
      <c r="I205" s="314">
        <v>0</v>
      </c>
      <c r="J205" s="314">
        <v>0</v>
      </c>
      <c r="K205" s="314">
        <v>0</v>
      </c>
      <c r="L205" s="314">
        <v>0</v>
      </c>
      <c r="M205" s="314">
        <v>0</v>
      </c>
      <c r="N205" s="314">
        <v>20000</v>
      </c>
      <c r="O205" s="314">
        <v>431804</v>
      </c>
      <c r="P205" s="314">
        <f t="shared" si="3"/>
        <v>451804</v>
      </c>
      <c r="Q205" s="314">
        <v>0</v>
      </c>
      <c r="R205" s="314">
        <v>0</v>
      </c>
      <c r="S205" s="314">
        <v>1056604</v>
      </c>
    </row>
    <row r="206" spans="1:19" x14ac:dyDescent="0.25">
      <c r="A206" s="313" t="s">
        <v>1163</v>
      </c>
      <c r="B206" s="313" t="s">
        <v>947</v>
      </c>
      <c r="C206" s="313">
        <v>1225073</v>
      </c>
      <c r="D206" s="313">
        <v>2018</v>
      </c>
      <c r="E206" s="314">
        <v>0</v>
      </c>
      <c r="F206" s="314">
        <v>0</v>
      </c>
      <c r="G206" s="314">
        <v>0</v>
      </c>
      <c r="H206" s="314">
        <v>6012710</v>
      </c>
      <c r="I206" s="314">
        <v>0</v>
      </c>
      <c r="J206" s="314">
        <v>0</v>
      </c>
      <c r="K206" s="314">
        <v>0</v>
      </c>
      <c r="L206" s="314">
        <v>0</v>
      </c>
      <c r="M206" s="314">
        <v>0</v>
      </c>
      <c r="N206" s="314">
        <v>4000</v>
      </c>
      <c r="O206" s="314">
        <v>575850</v>
      </c>
      <c r="P206" s="314">
        <f t="shared" si="3"/>
        <v>579850</v>
      </c>
      <c r="Q206" s="314">
        <v>0</v>
      </c>
      <c r="R206" s="314">
        <v>0</v>
      </c>
      <c r="S206" s="314">
        <v>6592560</v>
      </c>
    </row>
    <row r="207" spans="1:19" x14ac:dyDescent="0.25">
      <c r="A207" s="313" t="s">
        <v>1465</v>
      </c>
      <c r="B207" s="313" t="s">
        <v>249</v>
      </c>
      <c r="C207" s="313">
        <v>1758706</v>
      </c>
      <c r="D207" s="313">
        <v>2018</v>
      </c>
      <c r="E207" s="314">
        <v>0</v>
      </c>
      <c r="F207" s="314">
        <v>0</v>
      </c>
      <c r="G207" s="314">
        <v>0</v>
      </c>
      <c r="H207" s="314">
        <v>647316</v>
      </c>
      <c r="I207" s="314">
        <v>0</v>
      </c>
      <c r="J207" s="314">
        <v>0</v>
      </c>
      <c r="K207" s="314">
        <v>4522224</v>
      </c>
      <c r="L207" s="314">
        <v>0</v>
      </c>
      <c r="M207" s="314">
        <v>0</v>
      </c>
      <c r="N207" s="314">
        <v>0</v>
      </c>
      <c r="O207" s="314">
        <v>20000</v>
      </c>
      <c r="P207" s="314">
        <f t="shared" si="3"/>
        <v>20000</v>
      </c>
      <c r="Q207" s="314">
        <v>0</v>
      </c>
      <c r="R207" s="314">
        <v>0</v>
      </c>
      <c r="S207" s="314">
        <v>5189540</v>
      </c>
    </row>
    <row r="208" spans="1:19" x14ac:dyDescent="0.25">
      <c r="A208" s="313" t="s">
        <v>576</v>
      </c>
      <c r="B208" s="313" t="s">
        <v>576</v>
      </c>
      <c r="C208" s="313">
        <v>8877013</v>
      </c>
      <c r="D208" s="313">
        <v>2018</v>
      </c>
      <c r="E208" s="314">
        <v>200000</v>
      </c>
      <c r="F208" s="314">
        <v>0</v>
      </c>
      <c r="G208" s="314">
        <v>0</v>
      </c>
      <c r="H208" s="314">
        <v>4099800</v>
      </c>
      <c r="I208" s="314">
        <v>0</v>
      </c>
      <c r="J208" s="314">
        <v>0</v>
      </c>
      <c r="K208" s="314">
        <v>0</v>
      </c>
      <c r="L208" s="314">
        <v>0</v>
      </c>
      <c r="M208" s="314">
        <v>0</v>
      </c>
      <c r="N208" s="314">
        <v>0</v>
      </c>
      <c r="O208" s="314">
        <v>2971345</v>
      </c>
      <c r="P208" s="314">
        <f t="shared" si="3"/>
        <v>2971345</v>
      </c>
      <c r="Q208" s="314">
        <v>201941</v>
      </c>
      <c r="R208" s="314">
        <v>0</v>
      </c>
      <c r="S208" s="314">
        <v>7473086</v>
      </c>
    </row>
    <row r="209" spans="1:19" x14ac:dyDescent="0.25">
      <c r="A209" s="313" t="s">
        <v>844</v>
      </c>
      <c r="B209" s="313" t="s">
        <v>842</v>
      </c>
      <c r="C209" s="313">
        <v>6698987</v>
      </c>
      <c r="D209" s="313">
        <v>2018</v>
      </c>
      <c r="E209" s="314">
        <v>0</v>
      </c>
      <c r="F209" s="314">
        <v>0</v>
      </c>
      <c r="G209" s="314">
        <v>0</v>
      </c>
      <c r="H209" s="314">
        <v>621400</v>
      </c>
      <c r="I209" s="314">
        <v>0</v>
      </c>
      <c r="J209" s="314">
        <v>0</v>
      </c>
      <c r="K209" s="314">
        <v>0</v>
      </c>
      <c r="L209" s="314">
        <v>0</v>
      </c>
      <c r="M209" s="314">
        <v>0</v>
      </c>
      <c r="N209" s="314">
        <v>0</v>
      </c>
      <c r="O209" s="314">
        <v>200000</v>
      </c>
      <c r="P209" s="314">
        <f t="shared" si="3"/>
        <v>200000</v>
      </c>
      <c r="Q209" s="314">
        <v>0</v>
      </c>
      <c r="R209" s="314">
        <v>0</v>
      </c>
      <c r="S209" s="314">
        <v>821400</v>
      </c>
    </row>
    <row r="210" spans="1:19" x14ac:dyDescent="0.25">
      <c r="A210" s="313" t="s">
        <v>1010</v>
      </c>
      <c r="B210" s="313" t="s">
        <v>1010</v>
      </c>
      <c r="C210" s="313">
        <v>2495303</v>
      </c>
      <c r="D210" s="313">
        <v>2018</v>
      </c>
      <c r="E210" s="314">
        <v>276000</v>
      </c>
      <c r="F210" s="314">
        <v>0</v>
      </c>
      <c r="G210" s="314">
        <v>0</v>
      </c>
      <c r="H210" s="314">
        <v>3305226</v>
      </c>
      <c r="I210" s="314">
        <v>0</v>
      </c>
      <c r="J210" s="314">
        <v>0</v>
      </c>
      <c r="K210" s="314">
        <v>0</v>
      </c>
      <c r="L210" s="314">
        <v>0</v>
      </c>
      <c r="M210" s="314">
        <v>0</v>
      </c>
      <c r="N210" s="314">
        <v>0</v>
      </c>
      <c r="O210" s="314">
        <v>616000</v>
      </c>
      <c r="P210" s="314">
        <f t="shared" si="3"/>
        <v>616000</v>
      </c>
      <c r="Q210" s="314">
        <v>0</v>
      </c>
      <c r="R210" s="314">
        <v>0</v>
      </c>
      <c r="S210" s="314">
        <v>4197226</v>
      </c>
    </row>
    <row r="211" spans="1:19" x14ac:dyDescent="0.25">
      <c r="A211" s="313" t="s">
        <v>1388</v>
      </c>
      <c r="B211" s="313" t="s">
        <v>776</v>
      </c>
      <c r="C211" s="313">
        <v>2813024</v>
      </c>
      <c r="D211" s="313">
        <v>2018</v>
      </c>
      <c r="E211" s="314">
        <v>0</v>
      </c>
      <c r="F211" s="314">
        <v>0</v>
      </c>
      <c r="G211" s="314">
        <v>0</v>
      </c>
      <c r="H211" s="314">
        <v>244804</v>
      </c>
      <c r="I211" s="314">
        <v>0</v>
      </c>
      <c r="J211" s="314">
        <v>0</v>
      </c>
      <c r="K211" s="314">
        <v>1975196</v>
      </c>
      <c r="L211" s="314">
        <v>45196</v>
      </c>
      <c r="M211" s="314">
        <v>0</v>
      </c>
      <c r="N211" s="314">
        <v>0</v>
      </c>
      <c r="O211" s="314">
        <v>521000</v>
      </c>
      <c r="P211" s="314">
        <f t="shared" si="3"/>
        <v>521000</v>
      </c>
      <c r="Q211" s="314">
        <v>0</v>
      </c>
      <c r="R211" s="314">
        <v>0</v>
      </c>
      <c r="S211" s="314">
        <v>2786196</v>
      </c>
    </row>
    <row r="212" spans="1:19" x14ac:dyDescent="0.25">
      <c r="A212" s="313" t="s">
        <v>1130</v>
      </c>
      <c r="B212" s="313" t="s">
        <v>281</v>
      </c>
      <c r="C212" s="313">
        <v>5020855</v>
      </c>
      <c r="D212" s="313">
        <v>2018</v>
      </c>
      <c r="E212" s="314">
        <v>865000</v>
      </c>
      <c r="F212" s="314">
        <v>0</v>
      </c>
      <c r="G212" s="314">
        <v>0</v>
      </c>
      <c r="H212" s="314">
        <v>3960746</v>
      </c>
      <c r="I212" s="314">
        <v>0</v>
      </c>
      <c r="J212" s="314">
        <v>0</v>
      </c>
      <c r="K212" s="314">
        <v>0</v>
      </c>
      <c r="L212" s="314">
        <v>0</v>
      </c>
      <c r="M212" s="314">
        <v>0</v>
      </c>
      <c r="N212" s="314">
        <v>87000</v>
      </c>
      <c r="O212" s="314">
        <v>462000</v>
      </c>
      <c r="P212" s="314">
        <f t="shared" si="3"/>
        <v>549000</v>
      </c>
      <c r="Q212" s="314">
        <v>0</v>
      </c>
      <c r="R212" s="314">
        <v>250054</v>
      </c>
      <c r="S212" s="314">
        <v>5624800</v>
      </c>
    </row>
    <row r="213" spans="1:19" x14ac:dyDescent="0.25">
      <c r="A213" s="313" t="s">
        <v>225</v>
      </c>
      <c r="B213" s="313" t="s">
        <v>375</v>
      </c>
      <c r="C213" s="313">
        <v>1806042</v>
      </c>
      <c r="D213" s="313">
        <v>2018</v>
      </c>
      <c r="E213" s="314">
        <v>0</v>
      </c>
      <c r="F213" s="314">
        <v>0</v>
      </c>
      <c r="G213" s="314">
        <v>0</v>
      </c>
      <c r="H213" s="314">
        <v>2688390</v>
      </c>
      <c r="I213" s="314">
        <v>0</v>
      </c>
      <c r="J213" s="314">
        <v>0</v>
      </c>
      <c r="K213" s="314">
        <v>0</v>
      </c>
      <c r="L213" s="314">
        <v>0</v>
      </c>
      <c r="M213" s="314">
        <v>0</v>
      </c>
      <c r="N213" s="314">
        <v>39073</v>
      </c>
      <c r="O213" s="314">
        <v>115261.58</v>
      </c>
      <c r="P213" s="314">
        <f t="shared" si="3"/>
        <v>154334.58000000002</v>
      </c>
      <c r="Q213" s="314">
        <v>0</v>
      </c>
      <c r="R213" s="314">
        <v>0</v>
      </c>
      <c r="S213" s="314">
        <v>2842724.58</v>
      </c>
    </row>
    <row r="214" spans="1:19" x14ac:dyDescent="0.25">
      <c r="A214" s="313" t="s">
        <v>594</v>
      </c>
      <c r="B214" s="313" t="s">
        <v>1056</v>
      </c>
      <c r="C214" s="313">
        <v>3454870</v>
      </c>
      <c r="D214" s="313">
        <v>2018</v>
      </c>
      <c r="E214" s="314">
        <v>0</v>
      </c>
      <c r="F214" s="314">
        <v>0</v>
      </c>
      <c r="G214" s="314">
        <v>0</v>
      </c>
      <c r="H214" s="314">
        <v>0</v>
      </c>
      <c r="I214" s="314">
        <v>0</v>
      </c>
      <c r="J214" s="314">
        <v>0</v>
      </c>
      <c r="K214" s="314">
        <v>726137</v>
      </c>
      <c r="L214" s="314">
        <v>0</v>
      </c>
      <c r="M214" s="314">
        <v>0</v>
      </c>
      <c r="N214" s="314">
        <v>0</v>
      </c>
      <c r="O214" s="314">
        <v>0</v>
      </c>
      <c r="P214" s="314">
        <f t="shared" si="3"/>
        <v>0</v>
      </c>
      <c r="Q214" s="314">
        <v>0</v>
      </c>
      <c r="R214" s="314">
        <v>0</v>
      </c>
      <c r="S214" s="314">
        <v>726137</v>
      </c>
    </row>
    <row r="215" spans="1:19" x14ac:dyDescent="0.25">
      <c r="A215" s="313" t="s">
        <v>1473</v>
      </c>
      <c r="B215" s="313" t="s">
        <v>698</v>
      </c>
      <c r="C215" s="313">
        <v>2390992</v>
      </c>
      <c r="D215" s="313">
        <v>2018</v>
      </c>
      <c r="E215" s="314">
        <v>0</v>
      </c>
      <c r="F215" s="314">
        <v>0</v>
      </c>
      <c r="G215" s="314">
        <v>0</v>
      </c>
      <c r="H215" s="314">
        <v>216286</v>
      </c>
      <c r="I215" s="314">
        <v>0</v>
      </c>
      <c r="J215" s="314">
        <v>0</v>
      </c>
      <c r="K215" s="314">
        <v>575712</v>
      </c>
      <c r="L215" s="314">
        <v>0</v>
      </c>
      <c r="M215" s="314">
        <v>0</v>
      </c>
      <c r="N215" s="314">
        <v>0</v>
      </c>
      <c r="O215" s="314">
        <v>48000</v>
      </c>
      <c r="P215" s="314">
        <f t="shared" si="3"/>
        <v>48000</v>
      </c>
      <c r="Q215" s="314">
        <v>0</v>
      </c>
      <c r="R215" s="314">
        <v>0</v>
      </c>
      <c r="S215" s="314">
        <v>839998</v>
      </c>
    </row>
    <row r="216" spans="1:19" x14ac:dyDescent="0.25">
      <c r="A216" s="313" t="s">
        <v>899</v>
      </c>
      <c r="B216" s="313" t="s">
        <v>897</v>
      </c>
      <c r="C216" s="313">
        <v>2174839</v>
      </c>
      <c r="D216" s="313">
        <v>2018</v>
      </c>
      <c r="E216" s="314">
        <v>141000</v>
      </c>
      <c r="F216" s="314">
        <v>0</v>
      </c>
      <c r="G216" s="314">
        <v>0</v>
      </c>
      <c r="H216" s="314">
        <v>2408085</v>
      </c>
      <c r="I216" s="314">
        <v>0</v>
      </c>
      <c r="J216" s="314">
        <v>0</v>
      </c>
      <c r="K216" s="314">
        <v>0</v>
      </c>
      <c r="L216" s="314">
        <v>0</v>
      </c>
      <c r="M216" s="314">
        <v>0</v>
      </c>
      <c r="N216" s="314">
        <v>0</v>
      </c>
      <c r="O216" s="314">
        <v>455000</v>
      </c>
      <c r="P216" s="314">
        <f t="shared" si="3"/>
        <v>455000</v>
      </c>
      <c r="Q216" s="314">
        <v>0</v>
      </c>
      <c r="R216" s="314">
        <v>0</v>
      </c>
      <c r="S216" s="314">
        <v>3004085</v>
      </c>
    </row>
    <row r="217" spans="1:19" x14ac:dyDescent="0.25">
      <c r="A217" s="313" t="s">
        <v>1532</v>
      </c>
      <c r="B217" s="313" t="s">
        <v>760</v>
      </c>
      <c r="C217" s="313">
        <v>4167967</v>
      </c>
      <c r="D217" s="313">
        <v>2018</v>
      </c>
      <c r="E217" s="314">
        <v>2200000</v>
      </c>
      <c r="F217" s="314">
        <v>0</v>
      </c>
      <c r="G217" s="314">
        <v>0</v>
      </c>
      <c r="H217" s="314">
        <v>0</v>
      </c>
      <c r="I217" s="314">
        <v>12830000</v>
      </c>
      <c r="J217" s="314">
        <v>0</v>
      </c>
      <c r="K217" s="314">
        <v>0</v>
      </c>
      <c r="L217" s="314">
        <v>0</v>
      </c>
      <c r="M217" s="314">
        <v>0</v>
      </c>
      <c r="N217" s="314">
        <v>0</v>
      </c>
      <c r="O217" s="314">
        <v>152000</v>
      </c>
      <c r="P217" s="314">
        <f t="shared" si="3"/>
        <v>152000</v>
      </c>
      <c r="Q217" s="314">
        <v>56984</v>
      </c>
      <c r="R217" s="314">
        <v>482110</v>
      </c>
      <c r="S217" s="314">
        <v>15721094</v>
      </c>
    </row>
    <row r="218" spans="1:19" x14ac:dyDescent="0.25">
      <c r="A218" s="313" t="s">
        <v>407</v>
      </c>
      <c r="B218" s="313" t="s">
        <v>1071</v>
      </c>
      <c r="C218" s="313">
        <v>2583952</v>
      </c>
      <c r="D218" s="313">
        <v>2018</v>
      </c>
      <c r="E218" s="314">
        <v>140000</v>
      </c>
      <c r="F218" s="314">
        <v>0</v>
      </c>
      <c r="G218" s="314">
        <v>0</v>
      </c>
      <c r="H218" s="314">
        <v>1094892</v>
      </c>
      <c r="I218" s="314">
        <v>0</v>
      </c>
      <c r="J218" s="314">
        <v>0</v>
      </c>
      <c r="K218" s="314">
        <v>0</v>
      </c>
      <c r="L218" s="314">
        <v>0</v>
      </c>
      <c r="M218" s="314">
        <v>0</v>
      </c>
      <c r="N218" s="314">
        <v>116</v>
      </c>
      <c r="O218" s="314">
        <v>60000</v>
      </c>
      <c r="P218" s="314">
        <f t="shared" si="3"/>
        <v>60116</v>
      </c>
      <c r="Q218" s="314">
        <v>0</v>
      </c>
      <c r="R218" s="314">
        <v>173289.1</v>
      </c>
      <c r="S218" s="314">
        <v>1468297.1</v>
      </c>
    </row>
    <row r="219" spans="1:19" x14ac:dyDescent="0.25">
      <c r="A219" s="313" t="s">
        <v>1332</v>
      </c>
      <c r="B219" s="313" t="s">
        <v>384</v>
      </c>
      <c r="C219" s="313">
        <v>8936486</v>
      </c>
      <c r="D219" s="313">
        <v>2018</v>
      </c>
      <c r="E219" s="314">
        <v>109000</v>
      </c>
      <c r="F219" s="314">
        <v>0</v>
      </c>
      <c r="G219" s="314">
        <v>0</v>
      </c>
      <c r="H219" s="314">
        <v>2131000</v>
      </c>
      <c r="I219" s="314">
        <v>0</v>
      </c>
      <c r="J219" s="314">
        <v>0</v>
      </c>
      <c r="K219" s="314">
        <v>0</v>
      </c>
      <c r="L219" s="314">
        <v>0</v>
      </c>
      <c r="M219" s="314">
        <v>0</v>
      </c>
      <c r="N219" s="314">
        <v>6000</v>
      </c>
      <c r="O219" s="314">
        <v>116000</v>
      </c>
      <c r="P219" s="314">
        <f t="shared" si="3"/>
        <v>122000</v>
      </c>
      <c r="Q219" s="314">
        <v>0</v>
      </c>
      <c r="R219" s="314">
        <v>0</v>
      </c>
      <c r="S219" s="314">
        <v>2362000</v>
      </c>
    </row>
    <row r="220" spans="1:19" x14ac:dyDescent="0.25">
      <c r="A220" s="313" t="s">
        <v>1179</v>
      </c>
      <c r="B220" s="313" t="s">
        <v>760</v>
      </c>
      <c r="C220" s="313">
        <v>2028356</v>
      </c>
      <c r="D220" s="313">
        <v>2018</v>
      </c>
      <c r="E220" s="314">
        <v>649224</v>
      </c>
      <c r="F220" s="314">
        <v>0</v>
      </c>
      <c r="G220" s="314">
        <v>0</v>
      </c>
      <c r="H220" s="314">
        <v>3050000</v>
      </c>
      <c r="I220" s="314">
        <v>0</v>
      </c>
      <c r="J220" s="314">
        <v>0</v>
      </c>
      <c r="K220" s="314">
        <v>0</v>
      </c>
      <c r="L220" s="314">
        <v>0</v>
      </c>
      <c r="M220" s="314">
        <v>0</v>
      </c>
      <c r="N220" s="314">
        <v>0</v>
      </c>
      <c r="O220" s="314">
        <v>1250000</v>
      </c>
      <c r="P220" s="314">
        <f t="shared" si="3"/>
        <v>1250000</v>
      </c>
      <c r="Q220" s="314">
        <v>0</v>
      </c>
      <c r="R220" s="314">
        <v>135596</v>
      </c>
      <c r="S220" s="314">
        <v>5084820</v>
      </c>
    </row>
    <row r="221" spans="1:19" x14ac:dyDescent="0.25">
      <c r="A221" s="313" t="s">
        <v>670</v>
      </c>
      <c r="B221" s="313" t="s">
        <v>666</v>
      </c>
      <c r="C221" s="313">
        <v>5204562</v>
      </c>
      <c r="D221" s="313">
        <v>2018</v>
      </c>
      <c r="E221" s="314">
        <v>0</v>
      </c>
      <c r="F221" s="314">
        <v>0</v>
      </c>
      <c r="G221" s="314">
        <v>0</v>
      </c>
      <c r="H221" s="314">
        <v>640000</v>
      </c>
      <c r="I221" s="314">
        <v>0</v>
      </c>
      <c r="J221" s="314">
        <v>0</v>
      </c>
      <c r="K221" s="314">
        <v>0</v>
      </c>
      <c r="L221" s="314">
        <v>0</v>
      </c>
      <c r="M221" s="314">
        <v>0</v>
      </c>
      <c r="N221" s="314">
        <v>29748</v>
      </c>
      <c r="O221" s="314">
        <v>1200509</v>
      </c>
      <c r="P221" s="314">
        <f t="shared" si="3"/>
        <v>1230257</v>
      </c>
      <c r="Q221" s="314">
        <v>0</v>
      </c>
      <c r="R221" s="314">
        <v>0</v>
      </c>
      <c r="S221" s="314">
        <v>1870257</v>
      </c>
    </row>
    <row r="222" spans="1:19" x14ac:dyDescent="0.25">
      <c r="A222" s="313" t="s">
        <v>1092</v>
      </c>
      <c r="B222" s="313" t="s">
        <v>776</v>
      </c>
      <c r="C222" s="313">
        <v>5903063</v>
      </c>
      <c r="D222" s="313">
        <v>2018</v>
      </c>
      <c r="E222" s="314">
        <v>48000</v>
      </c>
      <c r="F222" s="314">
        <v>0</v>
      </c>
      <c r="G222" s="314">
        <v>0</v>
      </c>
      <c r="H222" s="314">
        <v>572000</v>
      </c>
      <c r="I222" s="314">
        <v>0</v>
      </c>
      <c r="J222" s="314">
        <v>0</v>
      </c>
      <c r="K222" s="314">
        <v>0</v>
      </c>
      <c r="L222" s="314">
        <v>36385</v>
      </c>
      <c r="M222" s="314">
        <v>0</v>
      </c>
      <c r="N222" s="314">
        <v>0</v>
      </c>
      <c r="O222" s="314">
        <v>156000</v>
      </c>
      <c r="P222" s="314">
        <f t="shared" si="3"/>
        <v>156000</v>
      </c>
      <c r="Q222" s="314">
        <v>0</v>
      </c>
      <c r="R222" s="314">
        <v>0</v>
      </c>
      <c r="S222" s="314">
        <v>812385</v>
      </c>
    </row>
    <row r="223" spans="1:19" x14ac:dyDescent="0.25">
      <c r="A223" s="313" t="s">
        <v>425</v>
      </c>
      <c r="B223" s="313" t="s">
        <v>425</v>
      </c>
      <c r="C223" s="313">
        <v>3473171</v>
      </c>
      <c r="D223" s="313">
        <v>2018</v>
      </c>
      <c r="E223" s="314">
        <v>0</v>
      </c>
      <c r="F223" s="314">
        <v>0</v>
      </c>
      <c r="G223" s="314">
        <v>0</v>
      </c>
      <c r="H223" s="314">
        <v>20570506</v>
      </c>
      <c r="I223" s="314">
        <v>0</v>
      </c>
      <c r="J223" s="314">
        <v>9391963.1500000004</v>
      </c>
      <c r="K223" s="314">
        <v>0</v>
      </c>
      <c r="L223" s="314">
        <v>0</v>
      </c>
      <c r="M223" s="314">
        <v>0</v>
      </c>
      <c r="N223" s="314">
        <v>0</v>
      </c>
      <c r="O223" s="314">
        <v>0</v>
      </c>
      <c r="P223" s="314">
        <f t="shared" si="3"/>
        <v>0</v>
      </c>
      <c r="Q223" s="314">
        <v>0</v>
      </c>
      <c r="R223" s="314">
        <v>0</v>
      </c>
      <c r="S223" s="314">
        <v>29962469.149999999</v>
      </c>
    </row>
    <row r="224" spans="1:19" x14ac:dyDescent="0.25">
      <c r="A224" s="313" t="s">
        <v>318</v>
      </c>
      <c r="B224" s="313" t="s">
        <v>312</v>
      </c>
      <c r="C224" s="313">
        <v>5792625</v>
      </c>
      <c r="D224" s="313">
        <v>2018</v>
      </c>
      <c r="E224" s="314">
        <v>131000</v>
      </c>
      <c r="F224" s="314">
        <v>0</v>
      </c>
      <c r="G224" s="314">
        <v>0</v>
      </c>
      <c r="H224" s="314">
        <v>1443280</v>
      </c>
      <c r="I224" s="314">
        <v>0</v>
      </c>
      <c r="J224" s="314">
        <v>0</v>
      </c>
      <c r="K224" s="314">
        <v>0</v>
      </c>
      <c r="L224" s="314">
        <v>0</v>
      </c>
      <c r="M224" s="314">
        <v>0</v>
      </c>
      <c r="N224" s="314">
        <v>4520</v>
      </c>
      <c r="O224" s="314">
        <v>111564</v>
      </c>
      <c r="P224" s="314">
        <f t="shared" si="3"/>
        <v>116084</v>
      </c>
      <c r="Q224" s="314">
        <v>0</v>
      </c>
      <c r="R224" s="314">
        <v>0</v>
      </c>
      <c r="S224" s="314">
        <v>1690364</v>
      </c>
    </row>
    <row r="225" spans="1:19" x14ac:dyDescent="0.25">
      <c r="A225" s="313" t="s">
        <v>594</v>
      </c>
      <c r="B225" s="313" t="s">
        <v>1056</v>
      </c>
      <c r="C225" s="313">
        <v>1201932</v>
      </c>
      <c r="D225" s="313">
        <v>2018</v>
      </c>
      <c r="E225" s="314">
        <v>60000</v>
      </c>
      <c r="F225" s="314">
        <v>0</v>
      </c>
      <c r="G225" s="314">
        <v>0</v>
      </c>
      <c r="H225" s="314">
        <v>1236960</v>
      </c>
      <c r="I225" s="314">
        <v>0</v>
      </c>
      <c r="J225" s="314">
        <v>0</v>
      </c>
      <c r="K225" s="314">
        <v>0</v>
      </c>
      <c r="L225" s="314">
        <v>0</v>
      </c>
      <c r="M225" s="314">
        <v>0</v>
      </c>
      <c r="N225" s="314">
        <v>0</v>
      </c>
      <c r="O225" s="314">
        <v>194000</v>
      </c>
      <c r="P225" s="314">
        <f t="shared" si="3"/>
        <v>194000</v>
      </c>
      <c r="Q225" s="314">
        <v>1049064</v>
      </c>
      <c r="R225" s="314">
        <v>0</v>
      </c>
      <c r="S225" s="314">
        <v>2540024</v>
      </c>
    </row>
    <row r="226" spans="1:19" x14ac:dyDescent="0.25">
      <c r="A226" s="313" t="s">
        <v>502</v>
      </c>
      <c r="B226" s="313" t="s">
        <v>502</v>
      </c>
      <c r="C226" s="313">
        <v>1878615</v>
      </c>
      <c r="D226" s="313">
        <v>2018</v>
      </c>
      <c r="E226" s="314">
        <v>0</v>
      </c>
      <c r="F226" s="314">
        <v>0</v>
      </c>
      <c r="G226" s="314">
        <v>0</v>
      </c>
      <c r="H226" s="314">
        <v>357572</v>
      </c>
      <c r="I226" s="314">
        <v>0</v>
      </c>
      <c r="J226" s="314">
        <v>435968</v>
      </c>
      <c r="K226" s="314">
        <v>0</v>
      </c>
      <c r="L226" s="314">
        <v>0</v>
      </c>
      <c r="M226" s="314">
        <v>0</v>
      </c>
      <c r="N226" s="314">
        <v>0</v>
      </c>
      <c r="O226" s="314">
        <v>0</v>
      </c>
      <c r="P226" s="314">
        <f t="shared" si="3"/>
        <v>0</v>
      </c>
      <c r="Q226" s="314">
        <v>0</v>
      </c>
      <c r="R226" s="314">
        <v>0</v>
      </c>
      <c r="S226" s="314">
        <v>793540</v>
      </c>
    </row>
    <row r="227" spans="1:19" x14ac:dyDescent="0.25">
      <c r="A227" s="313" t="s">
        <v>769</v>
      </c>
      <c r="B227" s="313" t="s">
        <v>425</v>
      </c>
      <c r="C227" s="313">
        <v>6514817</v>
      </c>
      <c r="D227" s="313">
        <v>2018</v>
      </c>
      <c r="E227" s="314">
        <v>0</v>
      </c>
      <c r="F227" s="314">
        <v>0</v>
      </c>
      <c r="G227" s="314">
        <v>0</v>
      </c>
      <c r="H227" s="314">
        <v>2862822</v>
      </c>
      <c r="I227" s="314">
        <v>0</v>
      </c>
      <c r="J227" s="314">
        <v>2281022.98</v>
      </c>
      <c r="K227" s="314">
        <v>0</v>
      </c>
      <c r="L227" s="314">
        <v>0</v>
      </c>
      <c r="M227" s="314">
        <v>0</v>
      </c>
      <c r="N227" s="314">
        <v>0</v>
      </c>
      <c r="O227" s="314">
        <v>0</v>
      </c>
      <c r="P227" s="314">
        <f t="shared" si="3"/>
        <v>0</v>
      </c>
      <c r="Q227" s="314">
        <v>0</v>
      </c>
      <c r="R227" s="314">
        <v>0</v>
      </c>
      <c r="S227" s="314">
        <v>5143844.9800000004</v>
      </c>
    </row>
    <row r="228" spans="1:19" x14ac:dyDescent="0.25">
      <c r="A228" s="313" t="s">
        <v>1197</v>
      </c>
      <c r="B228" s="313" t="s">
        <v>636</v>
      </c>
      <c r="C228" s="313">
        <v>5141443</v>
      </c>
      <c r="D228" s="313">
        <v>2018</v>
      </c>
      <c r="E228" s="314">
        <v>100000</v>
      </c>
      <c r="F228" s="314">
        <v>0</v>
      </c>
      <c r="G228" s="314">
        <v>0</v>
      </c>
      <c r="H228" s="314">
        <v>100000</v>
      </c>
      <c r="I228" s="314">
        <v>0</v>
      </c>
      <c r="J228" s="314">
        <v>0</v>
      </c>
      <c r="K228" s="314">
        <v>0</v>
      </c>
      <c r="L228" s="314">
        <v>0</v>
      </c>
      <c r="M228" s="314">
        <v>0</v>
      </c>
      <c r="N228" s="314">
        <v>147190</v>
      </c>
      <c r="O228" s="314">
        <v>0</v>
      </c>
      <c r="P228" s="314">
        <f t="shared" si="3"/>
        <v>147190</v>
      </c>
      <c r="Q228" s="314">
        <v>0</v>
      </c>
      <c r="R228" s="314">
        <v>0</v>
      </c>
      <c r="S228" s="314">
        <v>347190</v>
      </c>
    </row>
    <row r="229" spans="1:19" x14ac:dyDescent="0.25">
      <c r="A229" s="313" t="s">
        <v>1112</v>
      </c>
      <c r="B229" s="313" t="s">
        <v>1113</v>
      </c>
      <c r="C229" s="313">
        <v>7218817</v>
      </c>
      <c r="D229" s="313">
        <v>2018</v>
      </c>
      <c r="E229" s="314">
        <v>0</v>
      </c>
      <c r="F229" s="314">
        <v>0</v>
      </c>
      <c r="G229" s="314">
        <v>0</v>
      </c>
      <c r="H229" s="314">
        <v>475921</v>
      </c>
      <c r="I229" s="314">
        <v>0</v>
      </c>
      <c r="J229" s="314">
        <v>0</v>
      </c>
      <c r="K229" s="314">
        <v>1292861</v>
      </c>
      <c r="L229" s="314">
        <v>0</v>
      </c>
      <c r="M229" s="314">
        <v>0</v>
      </c>
      <c r="N229" s="314">
        <v>0</v>
      </c>
      <c r="O229" s="314">
        <v>30000</v>
      </c>
      <c r="P229" s="314">
        <f t="shared" si="3"/>
        <v>30000</v>
      </c>
      <c r="Q229" s="314">
        <v>0</v>
      </c>
      <c r="R229" s="314">
        <v>30000</v>
      </c>
      <c r="S229" s="314">
        <v>1828782</v>
      </c>
    </row>
    <row r="230" spans="1:19" x14ac:dyDescent="0.25">
      <c r="A230" s="313" t="s">
        <v>358</v>
      </c>
      <c r="B230" s="313" t="s">
        <v>358</v>
      </c>
      <c r="C230" s="313">
        <v>9223411</v>
      </c>
      <c r="D230" s="313">
        <v>2018</v>
      </c>
      <c r="E230" s="314">
        <v>120000</v>
      </c>
      <c r="F230" s="314">
        <v>0</v>
      </c>
      <c r="G230" s="314">
        <v>0</v>
      </c>
      <c r="H230" s="314">
        <v>1475000</v>
      </c>
      <c r="I230" s="314">
        <v>0</v>
      </c>
      <c r="J230" s="314">
        <v>0</v>
      </c>
      <c r="K230" s="314">
        <v>0</v>
      </c>
      <c r="L230" s="314">
        <v>0</v>
      </c>
      <c r="M230" s="314">
        <v>0</v>
      </c>
      <c r="N230" s="314">
        <v>0</v>
      </c>
      <c r="O230" s="314">
        <v>100000</v>
      </c>
      <c r="P230" s="314">
        <f t="shared" si="3"/>
        <v>100000</v>
      </c>
      <c r="Q230" s="314">
        <v>0</v>
      </c>
      <c r="R230" s="314">
        <v>0</v>
      </c>
      <c r="S230" s="314">
        <v>1695000</v>
      </c>
    </row>
    <row r="231" spans="1:19" x14ac:dyDescent="0.25">
      <c r="A231" s="313" t="s">
        <v>829</v>
      </c>
      <c r="B231" s="313" t="s">
        <v>826</v>
      </c>
      <c r="C231" s="313">
        <v>3110951</v>
      </c>
      <c r="D231" s="313">
        <v>2018</v>
      </c>
      <c r="E231" s="314">
        <v>99205</v>
      </c>
      <c r="F231" s="314">
        <v>0</v>
      </c>
      <c r="G231" s="314">
        <v>0</v>
      </c>
      <c r="H231" s="314">
        <v>2297000</v>
      </c>
      <c r="I231" s="314">
        <v>0</v>
      </c>
      <c r="J231" s="314">
        <v>0</v>
      </c>
      <c r="K231" s="314">
        <v>0</v>
      </c>
      <c r="L231" s="314">
        <v>0</v>
      </c>
      <c r="M231" s="314">
        <v>0</v>
      </c>
      <c r="N231" s="314">
        <v>127673</v>
      </c>
      <c r="O231" s="314">
        <v>150000</v>
      </c>
      <c r="P231" s="314">
        <f t="shared" si="3"/>
        <v>277673</v>
      </c>
      <c r="Q231" s="314">
        <v>0</v>
      </c>
      <c r="R231" s="314">
        <v>0</v>
      </c>
      <c r="S231" s="314">
        <v>2673878</v>
      </c>
    </row>
    <row r="232" spans="1:19" x14ac:dyDescent="0.25">
      <c r="A232" s="313" t="s">
        <v>657</v>
      </c>
      <c r="B232" s="313" t="s">
        <v>655</v>
      </c>
      <c r="C232" s="313">
        <v>4936413</v>
      </c>
      <c r="D232" s="313">
        <v>2018</v>
      </c>
      <c r="E232" s="314">
        <v>0</v>
      </c>
      <c r="F232" s="314">
        <v>0</v>
      </c>
      <c r="G232" s="314">
        <v>0</v>
      </c>
      <c r="H232" s="314">
        <v>603000</v>
      </c>
      <c r="I232" s="314">
        <v>0</v>
      </c>
      <c r="J232" s="314">
        <v>0</v>
      </c>
      <c r="K232" s="314">
        <v>453750</v>
      </c>
      <c r="L232" s="314">
        <v>0</v>
      </c>
      <c r="M232" s="314">
        <v>0</v>
      </c>
      <c r="N232" s="314">
        <v>0</v>
      </c>
      <c r="O232" s="314">
        <v>1194960.3</v>
      </c>
      <c r="P232" s="314">
        <f t="shared" si="3"/>
        <v>1194960.3</v>
      </c>
      <c r="Q232" s="314">
        <v>0</v>
      </c>
      <c r="R232" s="314">
        <v>0</v>
      </c>
      <c r="S232" s="314">
        <v>2251710.2999999998</v>
      </c>
    </row>
    <row r="233" spans="1:19" x14ac:dyDescent="0.25">
      <c r="A233" s="313" t="s">
        <v>386</v>
      </c>
      <c r="B233" s="313" t="s">
        <v>661</v>
      </c>
      <c r="C233" s="313">
        <v>8522302</v>
      </c>
      <c r="D233" s="313">
        <v>2018</v>
      </c>
      <c r="E233" s="314">
        <v>28000</v>
      </c>
      <c r="F233" s="314">
        <v>0</v>
      </c>
      <c r="G233" s="314">
        <v>0</v>
      </c>
      <c r="H233" s="314">
        <v>150000</v>
      </c>
      <c r="I233" s="314">
        <v>0</v>
      </c>
      <c r="J233" s="314">
        <v>0</v>
      </c>
      <c r="K233" s="314">
        <v>0</v>
      </c>
      <c r="L233" s="314">
        <v>0</v>
      </c>
      <c r="M233" s="314">
        <v>0</v>
      </c>
      <c r="N233" s="314">
        <v>849738.18</v>
      </c>
      <c r="O233" s="314">
        <v>0</v>
      </c>
      <c r="P233" s="314">
        <f t="shared" si="3"/>
        <v>849738.18</v>
      </c>
      <c r="Q233" s="314">
        <v>0</v>
      </c>
      <c r="R233" s="314">
        <v>0</v>
      </c>
      <c r="S233" s="314">
        <v>1027738.18</v>
      </c>
    </row>
    <row r="234" spans="1:19" x14ac:dyDescent="0.25">
      <c r="A234" s="313" t="s">
        <v>472</v>
      </c>
      <c r="B234" s="313" t="s">
        <v>472</v>
      </c>
      <c r="C234" s="313">
        <v>8508078</v>
      </c>
      <c r="D234" s="313">
        <v>2018</v>
      </c>
      <c r="E234" s="314">
        <v>0</v>
      </c>
      <c r="F234" s="314">
        <v>0</v>
      </c>
      <c r="G234" s="314">
        <v>0</v>
      </c>
      <c r="H234" s="314">
        <v>7441102</v>
      </c>
      <c r="I234" s="314">
        <v>0</v>
      </c>
      <c r="J234" s="314">
        <v>4122500</v>
      </c>
      <c r="K234" s="314">
        <v>0</v>
      </c>
      <c r="L234" s="314">
        <v>0</v>
      </c>
      <c r="M234" s="314">
        <v>0</v>
      </c>
      <c r="N234" s="314">
        <v>0</v>
      </c>
      <c r="O234" s="314">
        <v>0</v>
      </c>
      <c r="P234" s="314">
        <f t="shared" si="3"/>
        <v>0</v>
      </c>
      <c r="Q234" s="314">
        <v>0</v>
      </c>
      <c r="R234" s="314">
        <v>0</v>
      </c>
      <c r="S234" s="314">
        <v>11563602</v>
      </c>
    </row>
    <row r="235" spans="1:19" x14ac:dyDescent="0.25">
      <c r="A235" s="313" t="s">
        <v>623</v>
      </c>
      <c r="B235" s="313" t="s">
        <v>618</v>
      </c>
      <c r="C235" s="313">
        <v>4531517</v>
      </c>
      <c r="D235" s="313">
        <v>2018</v>
      </c>
      <c r="E235" s="314">
        <v>0</v>
      </c>
      <c r="F235" s="314">
        <v>0</v>
      </c>
      <c r="G235" s="314">
        <v>0</v>
      </c>
      <c r="H235" s="314">
        <v>401020</v>
      </c>
      <c r="I235" s="314">
        <v>0</v>
      </c>
      <c r="J235" s="314">
        <v>0</v>
      </c>
      <c r="K235" s="314">
        <v>0</v>
      </c>
      <c r="L235" s="314">
        <v>0</v>
      </c>
      <c r="M235" s="314">
        <v>0</v>
      </c>
      <c r="N235" s="314">
        <v>0</v>
      </c>
      <c r="O235" s="314">
        <v>204301</v>
      </c>
      <c r="P235" s="314">
        <f t="shared" si="3"/>
        <v>204301</v>
      </c>
      <c r="Q235" s="314">
        <v>0</v>
      </c>
      <c r="R235" s="314">
        <v>0</v>
      </c>
      <c r="S235" s="314">
        <v>605321</v>
      </c>
    </row>
    <row r="236" spans="1:19" x14ac:dyDescent="0.25">
      <c r="A236" s="313" t="s">
        <v>731</v>
      </c>
      <c r="B236" s="313" t="s">
        <v>1297</v>
      </c>
      <c r="C236" s="313">
        <v>7381195</v>
      </c>
      <c r="D236" s="313">
        <v>2018</v>
      </c>
      <c r="E236" s="314">
        <v>0</v>
      </c>
      <c r="F236" s="314">
        <v>0</v>
      </c>
      <c r="G236" s="314">
        <v>0</v>
      </c>
      <c r="H236" s="314">
        <v>136600</v>
      </c>
      <c r="I236" s="314">
        <v>0</v>
      </c>
      <c r="J236" s="314">
        <v>0</v>
      </c>
      <c r="K236" s="314">
        <v>647340</v>
      </c>
      <c r="L236" s="314">
        <v>0</v>
      </c>
      <c r="M236" s="314">
        <v>0</v>
      </c>
      <c r="N236" s="314">
        <v>0</v>
      </c>
      <c r="O236" s="314">
        <v>0</v>
      </c>
      <c r="P236" s="314">
        <f t="shared" si="3"/>
        <v>0</v>
      </c>
      <c r="Q236" s="314">
        <v>0</v>
      </c>
      <c r="R236" s="314">
        <v>0</v>
      </c>
      <c r="S236" s="314">
        <v>783940</v>
      </c>
    </row>
    <row r="237" spans="1:19" x14ac:dyDescent="0.25">
      <c r="A237" s="313" t="s">
        <v>519</v>
      </c>
      <c r="B237" s="313" t="s">
        <v>519</v>
      </c>
      <c r="C237" s="313">
        <v>3529182</v>
      </c>
      <c r="D237" s="313">
        <v>2018</v>
      </c>
      <c r="E237" s="314">
        <v>0</v>
      </c>
      <c r="F237" s="314">
        <v>0</v>
      </c>
      <c r="G237" s="314">
        <v>0</v>
      </c>
      <c r="H237" s="314">
        <v>4994548</v>
      </c>
      <c r="I237" s="314">
        <v>0</v>
      </c>
      <c r="J237" s="314">
        <v>3687865</v>
      </c>
      <c r="K237" s="314">
        <v>0</v>
      </c>
      <c r="L237" s="314">
        <v>0</v>
      </c>
      <c r="M237" s="314">
        <v>0</v>
      </c>
      <c r="N237" s="314">
        <v>0</v>
      </c>
      <c r="O237" s="314">
        <v>0</v>
      </c>
      <c r="P237" s="314">
        <f t="shared" si="3"/>
        <v>0</v>
      </c>
      <c r="Q237" s="314">
        <v>0</v>
      </c>
      <c r="R237" s="314">
        <v>0</v>
      </c>
      <c r="S237" s="314">
        <v>8682413</v>
      </c>
    </row>
    <row r="238" spans="1:19" x14ac:dyDescent="0.25">
      <c r="A238" s="313" t="s">
        <v>1212</v>
      </c>
      <c r="B238" s="313" t="s">
        <v>1213</v>
      </c>
      <c r="C238" s="313">
        <v>7201840</v>
      </c>
      <c r="D238" s="313">
        <v>2018</v>
      </c>
      <c r="E238" s="314">
        <v>1041400</v>
      </c>
      <c r="F238" s="314">
        <v>0</v>
      </c>
      <c r="G238" s="314">
        <v>0</v>
      </c>
      <c r="H238" s="314">
        <v>6450600</v>
      </c>
      <c r="I238" s="314">
        <v>0</v>
      </c>
      <c r="J238" s="314">
        <v>0</v>
      </c>
      <c r="K238" s="314">
        <v>0</v>
      </c>
      <c r="L238" s="314">
        <v>0</v>
      </c>
      <c r="M238" s="314">
        <v>0</v>
      </c>
      <c r="N238" s="314">
        <v>831603</v>
      </c>
      <c r="O238" s="314">
        <v>4028000</v>
      </c>
      <c r="P238" s="314">
        <f t="shared" si="3"/>
        <v>4859603</v>
      </c>
      <c r="Q238" s="314">
        <v>0</v>
      </c>
      <c r="R238" s="314">
        <v>0</v>
      </c>
      <c r="S238" s="314">
        <v>12351603</v>
      </c>
    </row>
    <row r="239" spans="1:19" x14ac:dyDescent="0.25">
      <c r="A239" s="313" t="s">
        <v>485</v>
      </c>
      <c r="B239" s="313" t="s">
        <v>485</v>
      </c>
      <c r="C239" s="313">
        <v>5220717</v>
      </c>
      <c r="D239" s="313">
        <v>2018</v>
      </c>
      <c r="E239" s="314">
        <v>0</v>
      </c>
      <c r="F239" s="314">
        <v>0</v>
      </c>
      <c r="G239" s="314">
        <v>0</v>
      </c>
      <c r="H239" s="314">
        <v>13648697</v>
      </c>
      <c r="I239" s="314">
        <v>0</v>
      </c>
      <c r="J239" s="314">
        <v>6704285.4900000002</v>
      </c>
      <c r="K239" s="314">
        <v>0</v>
      </c>
      <c r="L239" s="314">
        <v>1028444.16</v>
      </c>
      <c r="M239" s="314">
        <v>0</v>
      </c>
      <c r="N239" s="314">
        <v>0</v>
      </c>
      <c r="O239" s="314">
        <v>0</v>
      </c>
      <c r="P239" s="314">
        <f t="shared" si="3"/>
        <v>0</v>
      </c>
      <c r="Q239" s="314">
        <v>0</v>
      </c>
      <c r="R239" s="314">
        <v>0</v>
      </c>
      <c r="S239" s="314">
        <v>21381426.650000002</v>
      </c>
    </row>
    <row r="240" spans="1:19" x14ac:dyDescent="0.25">
      <c r="A240" s="313" t="s">
        <v>1530</v>
      </c>
      <c r="B240" s="313" t="s">
        <v>1529</v>
      </c>
      <c r="C240" s="313">
        <v>5002625</v>
      </c>
      <c r="D240" s="313">
        <v>2018</v>
      </c>
      <c r="E240" s="314">
        <v>60300</v>
      </c>
      <c r="F240" s="314">
        <v>0</v>
      </c>
      <c r="G240" s="314">
        <v>0</v>
      </c>
      <c r="H240" s="314">
        <v>0</v>
      </c>
      <c r="I240" s="314">
        <v>675836</v>
      </c>
      <c r="J240" s="314">
        <v>0</v>
      </c>
      <c r="K240" s="314">
        <v>0</v>
      </c>
      <c r="L240" s="314">
        <v>0</v>
      </c>
      <c r="M240" s="314">
        <v>0</v>
      </c>
      <c r="N240" s="314">
        <v>0</v>
      </c>
      <c r="O240" s="314">
        <v>0</v>
      </c>
      <c r="P240" s="314">
        <f t="shared" si="3"/>
        <v>0</v>
      </c>
      <c r="Q240" s="314">
        <v>0</v>
      </c>
      <c r="R240" s="314">
        <v>0</v>
      </c>
      <c r="S240" s="314">
        <v>736136</v>
      </c>
    </row>
    <row r="241" spans="1:19" x14ac:dyDescent="0.25">
      <c r="A241" s="313" t="s">
        <v>386</v>
      </c>
      <c r="B241" s="313" t="s">
        <v>626</v>
      </c>
      <c r="C241" s="313">
        <v>7702105</v>
      </c>
      <c r="D241" s="313">
        <v>2018</v>
      </c>
      <c r="E241" s="314">
        <v>0</v>
      </c>
      <c r="F241" s="314">
        <v>0</v>
      </c>
      <c r="G241" s="314">
        <v>0</v>
      </c>
      <c r="H241" s="314">
        <v>857530</v>
      </c>
      <c r="I241" s="314">
        <v>0</v>
      </c>
      <c r="J241" s="314">
        <v>0</v>
      </c>
      <c r="K241" s="314">
        <v>0</v>
      </c>
      <c r="L241" s="314">
        <v>0</v>
      </c>
      <c r="M241" s="314">
        <v>0</v>
      </c>
      <c r="N241" s="314">
        <v>0</v>
      </c>
      <c r="O241" s="314">
        <v>621321</v>
      </c>
      <c r="P241" s="314">
        <f t="shared" si="3"/>
        <v>621321</v>
      </c>
      <c r="Q241" s="314">
        <v>0</v>
      </c>
      <c r="R241" s="314">
        <v>0</v>
      </c>
      <c r="S241" s="314">
        <v>1478851</v>
      </c>
    </row>
    <row r="242" spans="1:19" x14ac:dyDescent="0.25">
      <c r="A242" s="313" t="s">
        <v>398</v>
      </c>
      <c r="B242" s="313" t="s">
        <v>396</v>
      </c>
      <c r="C242" s="313">
        <v>5646573</v>
      </c>
      <c r="D242" s="313">
        <v>2018</v>
      </c>
      <c r="E242" s="314">
        <v>93000</v>
      </c>
      <c r="F242" s="314">
        <v>0</v>
      </c>
      <c r="G242" s="314">
        <v>0</v>
      </c>
      <c r="H242" s="314">
        <v>1047000</v>
      </c>
      <c r="I242" s="314">
        <v>0</v>
      </c>
      <c r="J242" s="314">
        <v>0</v>
      </c>
      <c r="K242" s="314">
        <v>0</v>
      </c>
      <c r="L242" s="314">
        <v>0</v>
      </c>
      <c r="M242" s="314">
        <v>0</v>
      </c>
      <c r="N242" s="314">
        <v>0</v>
      </c>
      <c r="O242" s="314">
        <v>0</v>
      </c>
      <c r="P242" s="314">
        <f t="shared" si="3"/>
        <v>0</v>
      </c>
      <c r="Q242" s="314">
        <v>75014</v>
      </c>
      <c r="R242" s="314">
        <v>0</v>
      </c>
      <c r="S242" s="314">
        <v>1215014</v>
      </c>
    </row>
    <row r="243" spans="1:19" x14ac:dyDescent="0.25">
      <c r="A243" s="313" t="s">
        <v>257</v>
      </c>
      <c r="B243" s="313" t="s">
        <v>257</v>
      </c>
      <c r="C243" s="313">
        <v>3650770</v>
      </c>
      <c r="D243" s="313">
        <v>2018</v>
      </c>
      <c r="E243" s="314">
        <v>0</v>
      </c>
      <c r="F243" s="314">
        <v>0</v>
      </c>
      <c r="G243" s="314">
        <v>0</v>
      </c>
      <c r="H243" s="314">
        <v>616700</v>
      </c>
      <c r="I243" s="314">
        <v>0</v>
      </c>
      <c r="J243" s="314">
        <v>458364.15999999997</v>
      </c>
      <c r="K243" s="314">
        <v>1040400</v>
      </c>
      <c r="L243" s="314">
        <v>0</v>
      </c>
      <c r="M243" s="314">
        <v>0</v>
      </c>
      <c r="N243" s="314">
        <v>0</v>
      </c>
      <c r="O243" s="314">
        <v>0</v>
      </c>
      <c r="P243" s="314">
        <f t="shared" si="3"/>
        <v>0</v>
      </c>
      <c r="Q243" s="314">
        <v>0</v>
      </c>
      <c r="R243" s="314">
        <v>0</v>
      </c>
      <c r="S243" s="314">
        <v>2115464.16</v>
      </c>
    </row>
    <row r="244" spans="1:19" x14ac:dyDescent="0.25">
      <c r="A244" s="313" t="s">
        <v>1222</v>
      </c>
      <c r="B244" s="313" t="s">
        <v>531</v>
      </c>
      <c r="C244" s="313">
        <v>9199716</v>
      </c>
      <c r="D244" s="313">
        <v>2018</v>
      </c>
      <c r="E244" s="314">
        <v>0</v>
      </c>
      <c r="F244" s="314">
        <v>0</v>
      </c>
      <c r="G244" s="314">
        <v>0</v>
      </c>
      <c r="H244" s="314">
        <v>1757000</v>
      </c>
      <c r="I244" s="314">
        <v>0</v>
      </c>
      <c r="J244" s="314">
        <v>0</v>
      </c>
      <c r="K244" s="314">
        <v>0</v>
      </c>
      <c r="L244" s="314">
        <v>0</v>
      </c>
      <c r="M244" s="314">
        <v>0</v>
      </c>
      <c r="N244" s="314">
        <v>350780</v>
      </c>
      <c r="O244" s="314">
        <v>160000</v>
      </c>
      <c r="P244" s="314">
        <f t="shared" si="3"/>
        <v>510780</v>
      </c>
      <c r="Q244" s="314">
        <v>18000</v>
      </c>
      <c r="R244" s="314">
        <v>0</v>
      </c>
      <c r="S244" s="314">
        <v>2285780</v>
      </c>
    </row>
    <row r="245" spans="1:19" x14ac:dyDescent="0.25">
      <c r="A245" s="313" t="s">
        <v>1391</v>
      </c>
      <c r="B245" s="313" t="s">
        <v>1521</v>
      </c>
      <c r="C245" s="313">
        <v>2438469</v>
      </c>
      <c r="D245" s="313">
        <v>2018</v>
      </c>
      <c r="E245" s="314">
        <v>0</v>
      </c>
      <c r="F245" s="314">
        <v>0</v>
      </c>
      <c r="G245" s="314">
        <v>0</v>
      </c>
      <c r="H245" s="314">
        <v>649012</v>
      </c>
      <c r="I245" s="314">
        <v>0</v>
      </c>
      <c r="J245" s="314">
        <v>0</v>
      </c>
      <c r="K245" s="314">
        <v>1829448</v>
      </c>
      <c r="L245" s="314">
        <v>0</v>
      </c>
      <c r="M245" s="314">
        <v>0</v>
      </c>
      <c r="N245" s="314">
        <v>0</v>
      </c>
      <c r="O245" s="314">
        <v>385000</v>
      </c>
      <c r="P245" s="314">
        <f t="shared" si="3"/>
        <v>385000</v>
      </c>
      <c r="Q245" s="314">
        <v>0</v>
      </c>
      <c r="R245" s="314">
        <v>0</v>
      </c>
      <c r="S245" s="314">
        <v>2863460</v>
      </c>
    </row>
    <row r="246" spans="1:19" x14ac:dyDescent="0.25">
      <c r="A246" s="313" t="s">
        <v>413</v>
      </c>
      <c r="B246" s="313" t="s">
        <v>411</v>
      </c>
      <c r="C246" s="313">
        <v>1494293</v>
      </c>
      <c r="D246" s="313">
        <v>2018</v>
      </c>
      <c r="E246" s="314">
        <v>109240</v>
      </c>
      <c r="F246" s="314">
        <v>0</v>
      </c>
      <c r="G246" s="314">
        <v>0</v>
      </c>
      <c r="H246" s="314">
        <v>960000</v>
      </c>
      <c r="I246" s="314">
        <v>0</v>
      </c>
      <c r="J246" s="314">
        <v>0</v>
      </c>
      <c r="K246" s="314">
        <v>0</v>
      </c>
      <c r="L246" s="314">
        <v>0</v>
      </c>
      <c r="M246" s="314">
        <v>0</v>
      </c>
      <c r="N246" s="314">
        <v>0</v>
      </c>
      <c r="O246" s="314">
        <v>90000</v>
      </c>
      <c r="P246" s="314">
        <f t="shared" si="3"/>
        <v>90000</v>
      </c>
      <c r="Q246" s="314">
        <v>0</v>
      </c>
      <c r="R246" s="314">
        <v>0</v>
      </c>
      <c r="S246" s="314">
        <v>1159240</v>
      </c>
    </row>
    <row r="247" spans="1:19" x14ac:dyDescent="0.25">
      <c r="A247" s="313" t="s">
        <v>1095</v>
      </c>
      <c r="B247" s="313" t="s">
        <v>312</v>
      </c>
      <c r="C247" s="313">
        <v>6191102</v>
      </c>
      <c r="D247" s="313">
        <v>2018</v>
      </c>
      <c r="E247" s="314">
        <v>57000</v>
      </c>
      <c r="F247" s="314">
        <v>0</v>
      </c>
      <c r="G247" s="314">
        <v>0</v>
      </c>
      <c r="H247" s="314">
        <v>507000</v>
      </c>
      <c r="I247" s="314">
        <v>0</v>
      </c>
      <c r="J247" s="314">
        <v>0</v>
      </c>
      <c r="K247" s="314">
        <v>0</v>
      </c>
      <c r="L247" s="314">
        <v>0</v>
      </c>
      <c r="M247" s="314">
        <v>0</v>
      </c>
      <c r="N247" s="314">
        <v>0</v>
      </c>
      <c r="O247" s="314">
        <v>120000</v>
      </c>
      <c r="P247" s="314">
        <f t="shared" si="3"/>
        <v>120000</v>
      </c>
      <c r="Q247" s="314">
        <v>0</v>
      </c>
      <c r="R247" s="314">
        <v>0</v>
      </c>
      <c r="S247" s="314">
        <v>684000</v>
      </c>
    </row>
    <row r="248" spans="1:19" x14ac:dyDescent="0.25">
      <c r="A248" s="313" t="s">
        <v>485</v>
      </c>
      <c r="B248" s="313" t="s">
        <v>485</v>
      </c>
      <c r="C248" s="313">
        <v>4382500</v>
      </c>
      <c r="D248" s="313">
        <v>2018</v>
      </c>
      <c r="E248" s="314">
        <v>0</v>
      </c>
      <c r="F248" s="314">
        <v>0</v>
      </c>
      <c r="G248" s="314">
        <v>0</v>
      </c>
      <c r="H248" s="314">
        <v>598170</v>
      </c>
      <c r="I248" s="314">
        <v>0</v>
      </c>
      <c r="J248" s="314">
        <v>433318.09</v>
      </c>
      <c r="K248" s="314">
        <v>0</v>
      </c>
      <c r="L248" s="314">
        <v>56353.43</v>
      </c>
      <c r="M248" s="314">
        <v>0</v>
      </c>
      <c r="N248" s="314">
        <v>0</v>
      </c>
      <c r="O248" s="314">
        <v>0</v>
      </c>
      <c r="P248" s="314">
        <f t="shared" si="3"/>
        <v>0</v>
      </c>
      <c r="Q248" s="314">
        <v>0</v>
      </c>
      <c r="R248" s="314">
        <v>0</v>
      </c>
      <c r="S248" s="314">
        <v>1087841.52</v>
      </c>
    </row>
    <row r="249" spans="1:19" x14ac:dyDescent="0.25">
      <c r="A249" s="313" t="s">
        <v>935</v>
      </c>
      <c r="B249" s="313" t="s">
        <v>928</v>
      </c>
      <c r="C249" s="313">
        <v>9870958</v>
      </c>
      <c r="D249" s="313">
        <v>2018</v>
      </c>
      <c r="E249" s="314">
        <v>0</v>
      </c>
      <c r="F249" s="314">
        <v>0</v>
      </c>
      <c r="G249" s="314">
        <v>0</v>
      </c>
      <c r="H249" s="314">
        <v>1006056</v>
      </c>
      <c r="I249" s="314">
        <v>0</v>
      </c>
      <c r="J249" s="314">
        <v>2186033.4500000002</v>
      </c>
      <c r="K249" s="314">
        <v>0</v>
      </c>
      <c r="L249" s="314">
        <v>0</v>
      </c>
      <c r="M249" s="314">
        <v>0</v>
      </c>
      <c r="N249" s="314">
        <v>0</v>
      </c>
      <c r="O249" s="314">
        <v>160000</v>
      </c>
      <c r="P249" s="314">
        <f t="shared" si="3"/>
        <v>160000</v>
      </c>
      <c r="Q249" s="314">
        <v>296000</v>
      </c>
      <c r="R249" s="314">
        <v>0</v>
      </c>
      <c r="S249" s="314">
        <v>3648089.45</v>
      </c>
    </row>
    <row r="250" spans="1:19" x14ac:dyDescent="0.25">
      <c r="A250" s="313" t="s">
        <v>377</v>
      </c>
      <c r="B250" s="313" t="s">
        <v>553</v>
      </c>
      <c r="C250" s="313">
        <v>2392006</v>
      </c>
      <c r="D250" s="313">
        <v>2018</v>
      </c>
      <c r="E250" s="314">
        <v>390280</v>
      </c>
      <c r="F250" s="314">
        <v>0</v>
      </c>
      <c r="G250" s="314">
        <v>0</v>
      </c>
      <c r="H250" s="314">
        <v>1821500</v>
      </c>
      <c r="I250" s="314">
        <v>0</v>
      </c>
      <c r="J250" s="314">
        <v>0</v>
      </c>
      <c r="K250" s="314">
        <v>0</v>
      </c>
      <c r="L250" s="314">
        <v>105718.2</v>
      </c>
      <c r="M250" s="314">
        <v>0</v>
      </c>
      <c r="N250" s="314">
        <v>9000</v>
      </c>
      <c r="O250" s="314">
        <v>160000</v>
      </c>
      <c r="P250" s="314">
        <f t="shared" si="3"/>
        <v>169000</v>
      </c>
      <c r="Q250" s="314">
        <v>0</v>
      </c>
      <c r="R250" s="314">
        <v>0</v>
      </c>
      <c r="S250" s="314">
        <v>2486498.2000000002</v>
      </c>
    </row>
    <row r="251" spans="1:19" x14ac:dyDescent="0.25">
      <c r="A251" s="313" t="s">
        <v>957</v>
      </c>
      <c r="B251" s="313" t="s">
        <v>955</v>
      </c>
      <c r="C251" s="313">
        <v>3619533</v>
      </c>
      <c r="D251" s="313">
        <v>2018</v>
      </c>
      <c r="E251" s="314">
        <v>40000</v>
      </c>
      <c r="F251" s="314">
        <v>0</v>
      </c>
      <c r="G251" s="314">
        <v>0</v>
      </c>
      <c r="H251" s="314">
        <v>2880000</v>
      </c>
      <c r="I251" s="314">
        <v>0</v>
      </c>
      <c r="J251" s="314">
        <v>0</v>
      </c>
      <c r="K251" s="314">
        <v>0</v>
      </c>
      <c r="L251" s="314">
        <v>0</v>
      </c>
      <c r="M251" s="314">
        <v>0</v>
      </c>
      <c r="N251" s="314">
        <v>0</v>
      </c>
      <c r="O251" s="314">
        <v>1367400</v>
      </c>
      <c r="P251" s="314">
        <f t="shared" si="3"/>
        <v>1367400</v>
      </c>
      <c r="Q251" s="314">
        <v>15000</v>
      </c>
      <c r="R251" s="314">
        <v>0</v>
      </c>
      <c r="S251" s="314">
        <v>4302400</v>
      </c>
    </row>
    <row r="252" spans="1:19" x14ac:dyDescent="0.25">
      <c r="A252" s="313" t="s">
        <v>1299</v>
      </c>
      <c r="B252" s="313" t="s">
        <v>312</v>
      </c>
      <c r="C252" s="313">
        <v>7268793</v>
      </c>
      <c r="D252" s="313">
        <v>2018</v>
      </c>
      <c r="E252" s="314">
        <v>128000</v>
      </c>
      <c r="F252" s="314">
        <v>0</v>
      </c>
      <c r="G252" s="314">
        <v>0</v>
      </c>
      <c r="H252" s="314">
        <v>1755000</v>
      </c>
      <c r="I252" s="314">
        <v>0</v>
      </c>
      <c r="J252" s="314">
        <v>0</v>
      </c>
      <c r="K252" s="314">
        <v>0</v>
      </c>
      <c r="L252" s="314">
        <v>0</v>
      </c>
      <c r="M252" s="314">
        <v>0</v>
      </c>
      <c r="N252" s="314">
        <v>0</v>
      </c>
      <c r="O252" s="314">
        <v>820000</v>
      </c>
      <c r="P252" s="314">
        <f t="shared" si="3"/>
        <v>820000</v>
      </c>
      <c r="Q252" s="314">
        <v>0</v>
      </c>
      <c r="R252" s="314">
        <v>0</v>
      </c>
      <c r="S252" s="314">
        <v>2703000</v>
      </c>
    </row>
    <row r="253" spans="1:19" x14ac:dyDescent="0.25">
      <c r="A253" s="313" t="s">
        <v>1332</v>
      </c>
      <c r="B253" s="313" t="s">
        <v>384</v>
      </c>
      <c r="C253" s="313">
        <v>7857005</v>
      </c>
      <c r="D253" s="313">
        <v>2018</v>
      </c>
      <c r="E253" s="314">
        <v>106000</v>
      </c>
      <c r="F253" s="314">
        <v>0</v>
      </c>
      <c r="G253" s="314">
        <v>0</v>
      </c>
      <c r="H253" s="314">
        <v>2379000</v>
      </c>
      <c r="I253" s="314">
        <v>0</v>
      </c>
      <c r="J253" s="314">
        <v>0</v>
      </c>
      <c r="K253" s="314">
        <v>0</v>
      </c>
      <c r="L253" s="314">
        <v>0</v>
      </c>
      <c r="M253" s="314">
        <v>0</v>
      </c>
      <c r="N253" s="314">
        <v>0</v>
      </c>
      <c r="O253" s="314">
        <v>105000</v>
      </c>
      <c r="P253" s="314">
        <f t="shared" si="3"/>
        <v>105000</v>
      </c>
      <c r="Q253" s="314">
        <v>0</v>
      </c>
      <c r="R253" s="314">
        <v>0</v>
      </c>
      <c r="S253" s="314">
        <v>2590000</v>
      </c>
    </row>
    <row r="254" spans="1:19" x14ac:dyDescent="0.25">
      <c r="A254" s="313" t="s">
        <v>942</v>
      </c>
      <c r="B254" s="313" t="s">
        <v>942</v>
      </c>
      <c r="C254" s="313">
        <v>4878719</v>
      </c>
      <c r="D254" s="313">
        <v>2018</v>
      </c>
      <c r="E254" s="314">
        <v>0</v>
      </c>
      <c r="F254" s="314">
        <v>0</v>
      </c>
      <c r="G254" s="314">
        <v>0</v>
      </c>
      <c r="H254" s="314">
        <v>826428</v>
      </c>
      <c r="I254" s="314">
        <v>0</v>
      </c>
      <c r="J254" s="314">
        <v>0</v>
      </c>
      <c r="K254" s="314">
        <v>0</v>
      </c>
      <c r="L254" s="314">
        <v>0</v>
      </c>
      <c r="M254" s="314">
        <v>0</v>
      </c>
      <c r="N254" s="314">
        <v>0</v>
      </c>
      <c r="O254" s="314">
        <v>1000000</v>
      </c>
      <c r="P254" s="314">
        <f t="shared" si="3"/>
        <v>1000000</v>
      </c>
      <c r="Q254" s="314">
        <v>0</v>
      </c>
      <c r="R254" s="314">
        <v>0</v>
      </c>
      <c r="S254" s="314">
        <v>1826428</v>
      </c>
    </row>
    <row r="255" spans="1:19" x14ac:dyDescent="0.25">
      <c r="A255" s="313" t="s">
        <v>1395</v>
      </c>
      <c r="B255" s="313" t="s">
        <v>1056</v>
      </c>
      <c r="C255" s="313">
        <v>5814347</v>
      </c>
      <c r="D255" s="313">
        <v>2018</v>
      </c>
      <c r="E255" s="314">
        <v>70000</v>
      </c>
      <c r="F255" s="314">
        <v>0</v>
      </c>
      <c r="G255" s="314">
        <v>0</v>
      </c>
      <c r="H255" s="314">
        <v>2172872</v>
      </c>
      <c r="I255" s="314">
        <v>0</v>
      </c>
      <c r="J255" s="314">
        <v>0</v>
      </c>
      <c r="K255" s="314">
        <v>0</v>
      </c>
      <c r="L255" s="314">
        <v>0</v>
      </c>
      <c r="M255" s="314">
        <v>0</v>
      </c>
      <c r="N255" s="314">
        <v>0</v>
      </c>
      <c r="O255" s="314">
        <v>412000</v>
      </c>
      <c r="P255" s="314">
        <f t="shared" si="3"/>
        <v>412000</v>
      </c>
      <c r="Q255" s="314">
        <v>860000</v>
      </c>
      <c r="R255" s="314">
        <v>0</v>
      </c>
      <c r="S255" s="314">
        <v>3514872</v>
      </c>
    </row>
    <row r="256" spans="1:19" x14ac:dyDescent="0.25">
      <c r="A256" s="313" t="s">
        <v>1246</v>
      </c>
      <c r="B256" s="313" t="s">
        <v>1247</v>
      </c>
      <c r="C256" s="313">
        <v>7846871</v>
      </c>
      <c r="D256" s="313">
        <v>2018</v>
      </c>
      <c r="E256" s="314">
        <v>25778</v>
      </c>
      <c r="F256" s="314">
        <v>0</v>
      </c>
      <c r="G256" s="314">
        <v>0</v>
      </c>
      <c r="H256" s="314">
        <v>498790</v>
      </c>
      <c r="I256" s="314">
        <v>0</v>
      </c>
      <c r="J256" s="314">
        <v>0</v>
      </c>
      <c r="K256" s="314">
        <v>1207768</v>
      </c>
      <c r="L256" s="314">
        <v>0</v>
      </c>
      <c r="M256" s="314">
        <v>0</v>
      </c>
      <c r="N256" s="314">
        <v>0</v>
      </c>
      <c r="O256" s="314">
        <v>160000</v>
      </c>
      <c r="P256" s="314">
        <f t="shared" si="3"/>
        <v>160000</v>
      </c>
      <c r="Q256" s="314">
        <v>36000</v>
      </c>
      <c r="R256" s="314">
        <v>0</v>
      </c>
      <c r="S256" s="314">
        <v>1928336</v>
      </c>
    </row>
    <row r="257" spans="1:19" x14ac:dyDescent="0.25">
      <c r="A257" s="313" t="s">
        <v>386</v>
      </c>
      <c r="B257" s="313" t="s">
        <v>678</v>
      </c>
      <c r="C257" s="313">
        <v>7259548</v>
      </c>
      <c r="D257" s="313">
        <v>2018</v>
      </c>
      <c r="E257" s="314">
        <v>0</v>
      </c>
      <c r="F257" s="314">
        <v>0</v>
      </c>
      <c r="G257" s="314">
        <v>0</v>
      </c>
      <c r="H257" s="314">
        <v>2874944</v>
      </c>
      <c r="I257" s="314">
        <v>0</v>
      </c>
      <c r="J257" s="314">
        <v>0</v>
      </c>
      <c r="K257" s="314">
        <v>0</v>
      </c>
      <c r="L257" s="314">
        <v>0</v>
      </c>
      <c r="M257" s="314">
        <v>0</v>
      </c>
      <c r="N257" s="314">
        <v>0</v>
      </c>
      <c r="O257" s="314">
        <v>4108306</v>
      </c>
      <c r="P257" s="314">
        <f t="shared" si="3"/>
        <v>4108306</v>
      </c>
      <c r="Q257" s="314">
        <v>0</v>
      </c>
      <c r="R257" s="314">
        <v>0</v>
      </c>
      <c r="S257" s="314">
        <v>6983250</v>
      </c>
    </row>
    <row r="258" spans="1:19" x14ac:dyDescent="0.25">
      <c r="A258" s="313" t="s">
        <v>226</v>
      </c>
      <c r="B258" s="313" t="s">
        <v>1145</v>
      </c>
      <c r="C258" s="313">
        <v>6152074</v>
      </c>
      <c r="D258" s="313">
        <v>2018</v>
      </c>
      <c r="E258" s="314">
        <v>104721</v>
      </c>
      <c r="F258" s="314">
        <v>0</v>
      </c>
      <c r="G258" s="314">
        <v>0</v>
      </c>
      <c r="H258" s="314">
        <v>3142589</v>
      </c>
      <c r="I258" s="314">
        <v>0</v>
      </c>
      <c r="J258" s="314">
        <v>0</v>
      </c>
      <c r="K258" s="314">
        <v>0</v>
      </c>
      <c r="L258" s="314">
        <v>77877.13</v>
      </c>
      <c r="M258" s="314">
        <v>0</v>
      </c>
      <c r="N258" s="314">
        <v>37000</v>
      </c>
      <c r="O258" s="314">
        <v>322000</v>
      </c>
      <c r="P258" s="314">
        <f t="shared" si="3"/>
        <v>359000</v>
      </c>
      <c r="Q258" s="314">
        <v>0</v>
      </c>
      <c r="R258" s="314">
        <v>5000</v>
      </c>
      <c r="S258" s="314">
        <v>3689187.13</v>
      </c>
    </row>
    <row r="259" spans="1:19" x14ac:dyDescent="0.25">
      <c r="A259" s="313" t="s">
        <v>389</v>
      </c>
      <c r="B259" s="313" t="s">
        <v>969</v>
      </c>
      <c r="C259" s="313">
        <v>8979890</v>
      </c>
      <c r="D259" s="313">
        <v>2018</v>
      </c>
      <c r="E259" s="314">
        <v>519250</v>
      </c>
      <c r="F259" s="314">
        <v>0</v>
      </c>
      <c r="G259" s="314">
        <v>0</v>
      </c>
      <c r="H259" s="314">
        <v>2762210</v>
      </c>
      <c r="I259" s="314">
        <v>0</v>
      </c>
      <c r="J259" s="314">
        <v>0</v>
      </c>
      <c r="K259" s="314">
        <v>0</v>
      </c>
      <c r="L259" s="314">
        <v>0</v>
      </c>
      <c r="M259" s="314">
        <v>0</v>
      </c>
      <c r="N259" s="314">
        <v>10000</v>
      </c>
      <c r="O259" s="314">
        <v>381000</v>
      </c>
      <c r="P259" s="314">
        <f t="shared" si="3"/>
        <v>391000</v>
      </c>
      <c r="Q259" s="314">
        <v>0</v>
      </c>
      <c r="R259" s="314">
        <v>0</v>
      </c>
      <c r="S259" s="314">
        <v>3672460</v>
      </c>
    </row>
    <row r="260" spans="1:19" x14ac:dyDescent="0.25">
      <c r="A260" s="313" t="s">
        <v>386</v>
      </c>
      <c r="B260" s="313" t="s">
        <v>1003</v>
      </c>
      <c r="C260" s="313">
        <v>3095940</v>
      </c>
      <c r="D260" s="313">
        <v>2018</v>
      </c>
      <c r="E260" s="314">
        <v>0</v>
      </c>
      <c r="F260" s="314">
        <v>0</v>
      </c>
      <c r="G260" s="314">
        <v>0</v>
      </c>
      <c r="H260" s="314">
        <v>1793000</v>
      </c>
      <c r="I260" s="314">
        <v>0</v>
      </c>
      <c r="J260" s="314">
        <v>0</v>
      </c>
      <c r="K260" s="314">
        <v>0</v>
      </c>
      <c r="L260" s="314">
        <v>0</v>
      </c>
      <c r="M260" s="314">
        <v>0</v>
      </c>
      <c r="N260" s="314">
        <v>0</v>
      </c>
      <c r="O260" s="314">
        <v>1119616</v>
      </c>
      <c r="P260" s="314">
        <f t="shared" ref="P260:P279" si="4">SUM(N260:O260)</f>
        <v>1119616</v>
      </c>
      <c r="Q260" s="314">
        <v>0</v>
      </c>
      <c r="R260" s="314">
        <v>0</v>
      </c>
      <c r="S260" s="314">
        <v>2912616</v>
      </c>
    </row>
    <row r="261" spans="1:19" x14ac:dyDescent="0.25">
      <c r="A261" s="313" t="s">
        <v>546</v>
      </c>
      <c r="B261" s="313" t="s">
        <v>546</v>
      </c>
      <c r="C261" s="313">
        <v>2946425</v>
      </c>
      <c r="D261" s="313">
        <v>2018</v>
      </c>
      <c r="E261" s="314">
        <v>0</v>
      </c>
      <c r="F261" s="314">
        <v>0</v>
      </c>
      <c r="G261" s="314">
        <v>0</v>
      </c>
      <c r="H261" s="314">
        <v>1312603</v>
      </c>
      <c r="I261" s="314">
        <v>0</v>
      </c>
      <c r="J261" s="314">
        <v>0</v>
      </c>
      <c r="K261" s="314">
        <v>0</v>
      </c>
      <c r="L261" s="314">
        <v>0</v>
      </c>
      <c r="M261" s="314">
        <v>0</v>
      </c>
      <c r="N261" s="314">
        <v>544749</v>
      </c>
      <c r="O261" s="314">
        <v>644084</v>
      </c>
      <c r="P261" s="314">
        <f t="shared" si="4"/>
        <v>1188833</v>
      </c>
      <c r="Q261" s="314">
        <v>0</v>
      </c>
      <c r="R261" s="314">
        <v>0</v>
      </c>
      <c r="S261" s="314">
        <v>2501436</v>
      </c>
    </row>
    <row r="262" spans="1:19" x14ac:dyDescent="0.25">
      <c r="A262" s="313" t="s">
        <v>1106</v>
      </c>
      <c r="B262" s="313" t="s">
        <v>553</v>
      </c>
      <c r="C262" s="313">
        <v>8289298</v>
      </c>
      <c r="D262" s="313">
        <v>2018</v>
      </c>
      <c r="E262" s="314">
        <v>149745</v>
      </c>
      <c r="F262" s="314">
        <v>0</v>
      </c>
      <c r="G262" s="314">
        <v>0</v>
      </c>
      <c r="H262" s="314">
        <v>822940</v>
      </c>
      <c r="I262" s="314">
        <v>0</v>
      </c>
      <c r="J262" s="314">
        <v>0</v>
      </c>
      <c r="K262" s="314">
        <v>0</v>
      </c>
      <c r="L262" s="314">
        <v>81900.600000000006</v>
      </c>
      <c r="M262" s="314">
        <v>0</v>
      </c>
      <c r="N262" s="314">
        <v>32500</v>
      </c>
      <c r="O262" s="314">
        <v>107000</v>
      </c>
      <c r="P262" s="314">
        <f t="shared" si="4"/>
        <v>139500</v>
      </c>
      <c r="Q262" s="314">
        <v>108000</v>
      </c>
      <c r="R262" s="314">
        <v>0</v>
      </c>
      <c r="S262" s="314">
        <v>1302085.6000000001</v>
      </c>
    </row>
    <row r="263" spans="1:19" x14ac:dyDescent="0.25">
      <c r="A263" s="313" t="s">
        <v>1388</v>
      </c>
      <c r="B263" s="313" t="s">
        <v>776</v>
      </c>
      <c r="C263" s="313">
        <v>4699567</v>
      </c>
      <c r="D263" s="313">
        <v>2018</v>
      </c>
      <c r="E263" s="314">
        <v>0</v>
      </c>
      <c r="F263" s="314">
        <v>0</v>
      </c>
      <c r="G263" s="314">
        <v>0</v>
      </c>
      <c r="H263" s="314">
        <v>974569</v>
      </c>
      <c r="I263" s="314">
        <v>0</v>
      </c>
      <c r="J263" s="314">
        <v>0</v>
      </c>
      <c r="K263" s="314">
        <v>2669792</v>
      </c>
      <c r="L263" s="314">
        <v>34695</v>
      </c>
      <c r="M263" s="314">
        <v>0</v>
      </c>
      <c r="N263" s="314">
        <v>0</v>
      </c>
      <c r="O263" s="314">
        <v>764000</v>
      </c>
      <c r="P263" s="314">
        <f t="shared" si="4"/>
        <v>764000</v>
      </c>
      <c r="Q263" s="314">
        <v>0</v>
      </c>
      <c r="R263" s="314">
        <v>0</v>
      </c>
      <c r="S263" s="314">
        <v>4443056</v>
      </c>
    </row>
    <row r="264" spans="1:19" x14ac:dyDescent="0.25">
      <c r="A264" s="313" t="s">
        <v>386</v>
      </c>
      <c r="B264" s="313" t="s">
        <v>312</v>
      </c>
      <c r="C264" s="313">
        <v>9735411</v>
      </c>
      <c r="D264" s="313">
        <v>2018</v>
      </c>
      <c r="E264" s="314">
        <v>625000</v>
      </c>
      <c r="F264" s="314">
        <v>0</v>
      </c>
      <c r="G264" s="314">
        <v>0</v>
      </c>
      <c r="H264" s="314">
        <v>9088800</v>
      </c>
      <c r="I264" s="314">
        <v>0</v>
      </c>
      <c r="J264" s="314">
        <v>0</v>
      </c>
      <c r="K264" s="314">
        <v>0</v>
      </c>
      <c r="L264" s="314">
        <v>0</v>
      </c>
      <c r="M264" s="314">
        <v>0</v>
      </c>
      <c r="N264" s="314">
        <v>0</v>
      </c>
      <c r="O264" s="314">
        <v>3500000</v>
      </c>
      <c r="P264" s="314">
        <f t="shared" si="4"/>
        <v>3500000</v>
      </c>
      <c r="Q264" s="314">
        <v>0</v>
      </c>
      <c r="R264" s="314">
        <v>0</v>
      </c>
      <c r="S264" s="314">
        <v>13213800</v>
      </c>
    </row>
    <row r="265" spans="1:19" x14ac:dyDescent="0.25">
      <c r="A265" s="313" t="s">
        <v>1524</v>
      </c>
      <c r="B265" s="313" t="s">
        <v>909</v>
      </c>
      <c r="C265" s="313">
        <v>4533728</v>
      </c>
      <c r="D265" s="313">
        <v>2018</v>
      </c>
      <c r="E265" s="314">
        <v>0</v>
      </c>
      <c r="F265" s="314">
        <v>0</v>
      </c>
      <c r="G265" s="314">
        <v>0</v>
      </c>
      <c r="H265" s="314">
        <v>435108</v>
      </c>
      <c r="I265" s="314">
        <v>0</v>
      </c>
      <c r="J265" s="314">
        <v>0</v>
      </c>
      <c r="K265" s="314">
        <v>3105000</v>
      </c>
      <c r="L265" s="314">
        <v>0</v>
      </c>
      <c r="M265" s="314">
        <v>0</v>
      </c>
      <c r="N265" s="314">
        <v>0</v>
      </c>
      <c r="O265" s="314">
        <v>274000</v>
      </c>
      <c r="P265" s="314">
        <f t="shared" si="4"/>
        <v>274000</v>
      </c>
      <c r="Q265" s="314">
        <v>0</v>
      </c>
      <c r="R265" s="314">
        <v>0</v>
      </c>
      <c r="S265" s="314">
        <v>3814108</v>
      </c>
    </row>
    <row r="266" spans="1:19" x14ac:dyDescent="0.25">
      <c r="A266" s="313" t="s">
        <v>1388</v>
      </c>
      <c r="B266" s="313" t="s">
        <v>776</v>
      </c>
      <c r="C266" s="313">
        <v>1968420</v>
      </c>
      <c r="D266" s="313">
        <v>2018</v>
      </c>
      <c r="E266" s="314">
        <v>230000</v>
      </c>
      <c r="F266" s="314">
        <v>0</v>
      </c>
      <c r="G266" s="314">
        <v>0</v>
      </c>
      <c r="H266" s="314">
        <v>4057000</v>
      </c>
      <c r="I266" s="314">
        <v>0</v>
      </c>
      <c r="J266" s="314">
        <v>0</v>
      </c>
      <c r="K266" s="314">
        <v>0</v>
      </c>
      <c r="L266" s="314">
        <v>39946</v>
      </c>
      <c r="M266" s="314">
        <v>0</v>
      </c>
      <c r="N266" s="314">
        <v>0</v>
      </c>
      <c r="O266" s="314">
        <v>575000</v>
      </c>
      <c r="P266" s="314">
        <f t="shared" si="4"/>
        <v>575000</v>
      </c>
      <c r="Q266" s="314">
        <v>0</v>
      </c>
      <c r="R266" s="314">
        <v>0</v>
      </c>
      <c r="S266" s="314">
        <v>4901946</v>
      </c>
    </row>
    <row r="267" spans="1:19" x14ac:dyDescent="0.25">
      <c r="A267" s="313" t="s">
        <v>942</v>
      </c>
      <c r="B267" s="313" t="s">
        <v>942</v>
      </c>
      <c r="C267" s="313">
        <v>5344327</v>
      </c>
      <c r="D267" s="313">
        <v>2018</v>
      </c>
      <c r="E267" s="314">
        <v>500936</v>
      </c>
      <c r="F267" s="314">
        <v>0</v>
      </c>
      <c r="G267" s="314">
        <v>0</v>
      </c>
      <c r="H267" s="314">
        <v>3938600</v>
      </c>
      <c r="I267" s="314">
        <v>0</v>
      </c>
      <c r="J267" s="314">
        <v>0</v>
      </c>
      <c r="K267" s="314">
        <v>0</v>
      </c>
      <c r="L267" s="314">
        <v>0</v>
      </c>
      <c r="M267" s="314">
        <v>0</v>
      </c>
      <c r="N267" s="314">
        <v>31500</v>
      </c>
      <c r="O267" s="314">
        <v>2400000</v>
      </c>
      <c r="P267" s="314">
        <f t="shared" si="4"/>
        <v>2431500</v>
      </c>
      <c r="Q267" s="314">
        <v>0</v>
      </c>
      <c r="R267" s="314">
        <v>0</v>
      </c>
      <c r="S267" s="314">
        <v>6871036</v>
      </c>
    </row>
    <row r="268" spans="1:19" x14ac:dyDescent="0.25">
      <c r="A268" s="313" t="s">
        <v>1113</v>
      </c>
      <c r="B268" s="313" t="s">
        <v>1113</v>
      </c>
      <c r="C268" s="313">
        <v>5539112</v>
      </c>
      <c r="D268" s="313">
        <v>2018</v>
      </c>
      <c r="E268" s="314">
        <v>135000</v>
      </c>
      <c r="F268" s="314">
        <v>0</v>
      </c>
      <c r="G268" s="314">
        <v>0</v>
      </c>
      <c r="H268" s="314">
        <v>1958870</v>
      </c>
      <c r="I268" s="314">
        <v>0</v>
      </c>
      <c r="J268" s="314">
        <v>0</v>
      </c>
      <c r="K268" s="314">
        <v>0</v>
      </c>
      <c r="L268" s="314">
        <v>0</v>
      </c>
      <c r="M268" s="314">
        <v>0</v>
      </c>
      <c r="N268" s="314">
        <v>20000</v>
      </c>
      <c r="O268" s="314">
        <v>169045</v>
      </c>
      <c r="P268" s="314">
        <f t="shared" si="4"/>
        <v>189045</v>
      </c>
      <c r="Q268" s="314">
        <v>0</v>
      </c>
      <c r="R268" s="314">
        <v>0</v>
      </c>
      <c r="S268" s="314">
        <v>2282915</v>
      </c>
    </row>
    <row r="269" spans="1:19" x14ac:dyDescent="0.25">
      <c r="A269" s="313" t="s">
        <v>744</v>
      </c>
      <c r="B269" s="313" t="s">
        <v>733</v>
      </c>
      <c r="C269" s="313">
        <v>8984742</v>
      </c>
      <c r="D269" s="313">
        <v>2018</v>
      </c>
      <c r="E269" s="314">
        <v>79000</v>
      </c>
      <c r="F269" s="314">
        <v>0</v>
      </c>
      <c r="G269" s="314">
        <v>0</v>
      </c>
      <c r="H269" s="314">
        <v>801100</v>
      </c>
      <c r="I269" s="314">
        <v>0</v>
      </c>
      <c r="J269" s="314">
        <v>0</v>
      </c>
      <c r="K269" s="314">
        <v>0</v>
      </c>
      <c r="L269" s="314">
        <v>0</v>
      </c>
      <c r="M269" s="314">
        <v>0</v>
      </c>
      <c r="N269" s="314">
        <v>0</v>
      </c>
      <c r="O269" s="314">
        <v>156000</v>
      </c>
      <c r="P269" s="314">
        <f t="shared" si="4"/>
        <v>156000</v>
      </c>
      <c r="Q269" s="314">
        <v>0</v>
      </c>
      <c r="R269" s="314">
        <v>0</v>
      </c>
      <c r="S269" s="314">
        <v>1036100</v>
      </c>
    </row>
    <row r="270" spans="1:19" x14ac:dyDescent="0.25">
      <c r="A270" s="313" t="s">
        <v>1200</v>
      </c>
      <c r="B270" s="313" t="s">
        <v>776</v>
      </c>
      <c r="C270" s="313">
        <v>5376966</v>
      </c>
      <c r="D270" s="313">
        <v>2018</v>
      </c>
      <c r="E270" s="314">
        <v>800000</v>
      </c>
      <c r="F270" s="314">
        <v>0</v>
      </c>
      <c r="G270" s="314">
        <v>0</v>
      </c>
      <c r="H270" s="314">
        <v>7529531</v>
      </c>
      <c r="I270" s="314">
        <v>0</v>
      </c>
      <c r="J270" s="314">
        <v>0</v>
      </c>
      <c r="K270" s="314">
        <v>0</v>
      </c>
      <c r="L270" s="314">
        <v>64290</v>
      </c>
      <c r="M270" s="314">
        <v>0</v>
      </c>
      <c r="N270" s="314">
        <v>81706</v>
      </c>
      <c r="O270" s="314">
        <v>3680000</v>
      </c>
      <c r="P270" s="314">
        <f t="shared" si="4"/>
        <v>3761706</v>
      </c>
      <c r="Q270" s="314">
        <v>0</v>
      </c>
      <c r="R270" s="314">
        <v>25632</v>
      </c>
      <c r="S270" s="314">
        <v>12181159</v>
      </c>
    </row>
    <row r="271" spans="1:19" x14ac:dyDescent="0.25">
      <c r="A271" s="313" t="s">
        <v>1554</v>
      </c>
      <c r="B271" s="313" t="s">
        <v>1071</v>
      </c>
      <c r="C271" s="313">
        <v>9000001</v>
      </c>
      <c r="D271" s="313">
        <v>2018</v>
      </c>
      <c r="E271" s="314">
        <v>913000</v>
      </c>
      <c r="F271" s="314">
        <v>0</v>
      </c>
      <c r="G271" s="314">
        <v>0</v>
      </c>
      <c r="H271" s="314">
        <v>0</v>
      </c>
      <c r="I271" s="314">
        <v>0</v>
      </c>
      <c r="J271" s="314">
        <v>0</v>
      </c>
      <c r="K271" s="314">
        <v>0</v>
      </c>
      <c r="L271" s="314">
        <v>0</v>
      </c>
      <c r="M271" s="314">
        <v>0</v>
      </c>
      <c r="N271" s="314">
        <v>109884</v>
      </c>
      <c r="O271" s="314">
        <v>40000</v>
      </c>
      <c r="P271" s="314">
        <f t="shared" si="4"/>
        <v>149884</v>
      </c>
      <c r="Q271" s="314">
        <v>0</v>
      </c>
      <c r="R271" s="314">
        <v>9000</v>
      </c>
      <c r="S271" s="314">
        <v>1071884</v>
      </c>
    </row>
    <row r="272" spans="1:19" x14ac:dyDescent="0.25">
      <c r="A272" s="313" t="s">
        <v>1546</v>
      </c>
      <c r="B272" s="313" t="s">
        <v>411</v>
      </c>
      <c r="C272" s="313">
        <v>9000002</v>
      </c>
      <c r="D272" s="313">
        <v>2018</v>
      </c>
      <c r="E272" s="314">
        <v>208976</v>
      </c>
      <c r="F272" s="314">
        <v>0</v>
      </c>
      <c r="G272" s="314">
        <v>0</v>
      </c>
      <c r="H272" s="314">
        <v>0</v>
      </c>
      <c r="I272" s="314">
        <v>0</v>
      </c>
      <c r="J272" s="314">
        <v>0</v>
      </c>
      <c r="K272" s="314">
        <v>0</v>
      </c>
      <c r="L272" s="314">
        <v>0</v>
      </c>
      <c r="M272" s="314">
        <v>0</v>
      </c>
      <c r="N272" s="314">
        <v>104000</v>
      </c>
      <c r="O272" s="314">
        <v>75000</v>
      </c>
      <c r="P272" s="314">
        <f t="shared" si="4"/>
        <v>179000</v>
      </c>
      <c r="Q272" s="314">
        <v>0</v>
      </c>
      <c r="R272" s="314">
        <v>0</v>
      </c>
      <c r="S272" s="314">
        <v>387976</v>
      </c>
    </row>
    <row r="273" spans="1:19" x14ac:dyDescent="0.25">
      <c r="A273" s="313" t="s">
        <v>1547</v>
      </c>
      <c r="B273" s="313" t="s">
        <v>776</v>
      </c>
      <c r="C273" s="313">
        <v>9000003</v>
      </c>
      <c r="D273" s="313">
        <v>2018</v>
      </c>
      <c r="E273" s="314">
        <v>1132000</v>
      </c>
      <c r="F273" s="314">
        <v>0</v>
      </c>
      <c r="G273" s="314">
        <v>0</v>
      </c>
      <c r="H273" s="314">
        <v>0</v>
      </c>
      <c r="I273" s="314">
        <v>0</v>
      </c>
      <c r="J273" s="314">
        <v>0</v>
      </c>
      <c r="K273" s="314">
        <v>0</v>
      </c>
      <c r="L273" s="314">
        <v>0</v>
      </c>
      <c r="M273" s="314">
        <v>0</v>
      </c>
      <c r="N273" s="314">
        <v>35000</v>
      </c>
      <c r="O273" s="314">
        <v>10000</v>
      </c>
      <c r="P273" s="314">
        <f t="shared" si="4"/>
        <v>45000</v>
      </c>
      <c r="Q273" s="314">
        <v>126630</v>
      </c>
      <c r="R273" s="314">
        <v>0</v>
      </c>
      <c r="S273" s="314">
        <v>1303630</v>
      </c>
    </row>
    <row r="274" spans="1:19" x14ac:dyDescent="0.25">
      <c r="A274" s="313" t="s">
        <v>1548</v>
      </c>
      <c r="B274" s="313" t="s">
        <v>760</v>
      </c>
      <c r="C274" s="313">
        <v>9000004</v>
      </c>
      <c r="D274" s="313">
        <v>2018</v>
      </c>
      <c r="E274" s="314">
        <v>1438529</v>
      </c>
      <c r="F274" s="314">
        <v>0</v>
      </c>
      <c r="G274" s="314">
        <v>0</v>
      </c>
      <c r="H274" s="314">
        <v>0</v>
      </c>
      <c r="I274" s="314">
        <v>0</v>
      </c>
      <c r="J274" s="314">
        <v>0</v>
      </c>
      <c r="K274" s="314">
        <v>0</v>
      </c>
      <c r="L274" s="314">
        <v>0</v>
      </c>
      <c r="M274" s="314">
        <v>0</v>
      </c>
      <c r="N274" s="314">
        <v>0</v>
      </c>
      <c r="O274" s="314">
        <v>0</v>
      </c>
      <c r="P274" s="314">
        <f t="shared" si="4"/>
        <v>0</v>
      </c>
      <c r="Q274" s="314">
        <v>212000</v>
      </c>
      <c r="R274" s="314">
        <v>0</v>
      </c>
      <c r="S274" s="314">
        <v>1650529</v>
      </c>
    </row>
    <row r="275" spans="1:19" x14ac:dyDescent="0.25">
      <c r="A275" s="313" t="s">
        <v>1550</v>
      </c>
      <c r="B275" s="313" t="s">
        <v>760</v>
      </c>
      <c r="C275" s="313">
        <v>9000005</v>
      </c>
      <c r="D275" s="313">
        <v>2018</v>
      </c>
      <c r="E275" s="314">
        <v>0</v>
      </c>
      <c r="F275" s="314">
        <v>0</v>
      </c>
      <c r="G275" s="314">
        <v>0</v>
      </c>
      <c r="H275" s="314">
        <v>0</v>
      </c>
      <c r="I275" s="314">
        <v>0</v>
      </c>
      <c r="J275" s="314">
        <v>0</v>
      </c>
      <c r="K275" s="314">
        <v>0</v>
      </c>
      <c r="L275" s="314">
        <v>0</v>
      </c>
      <c r="M275" s="314">
        <v>0</v>
      </c>
      <c r="N275" s="314">
        <v>0</v>
      </c>
      <c r="O275" s="314">
        <v>0</v>
      </c>
      <c r="P275" s="314">
        <f t="shared" si="4"/>
        <v>0</v>
      </c>
      <c r="Q275" s="314">
        <v>0</v>
      </c>
      <c r="R275" s="314">
        <v>0</v>
      </c>
      <c r="S275" s="314">
        <v>0</v>
      </c>
    </row>
    <row r="276" spans="1:19" x14ac:dyDescent="0.25">
      <c r="A276" s="313" t="s">
        <v>1379</v>
      </c>
      <c r="B276" s="313" t="s">
        <v>1380</v>
      </c>
      <c r="C276" s="313">
        <v>8430922</v>
      </c>
      <c r="D276" s="313">
        <v>2018</v>
      </c>
      <c r="E276" s="314">
        <v>0</v>
      </c>
      <c r="F276" s="314">
        <v>0</v>
      </c>
      <c r="G276" s="314">
        <v>0</v>
      </c>
      <c r="H276" s="314">
        <v>623492</v>
      </c>
      <c r="I276" s="314">
        <v>0</v>
      </c>
      <c r="J276" s="314">
        <v>0</v>
      </c>
      <c r="K276" s="314">
        <v>0</v>
      </c>
      <c r="L276" s="314">
        <v>0</v>
      </c>
      <c r="M276" s="314">
        <v>0</v>
      </c>
      <c r="N276" s="314">
        <v>0</v>
      </c>
      <c r="O276" s="314">
        <v>0</v>
      </c>
      <c r="P276" s="314">
        <f t="shared" si="4"/>
        <v>0</v>
      </c>
      <c r="Q276" s="314">
        <v>0</v>
      </c>
      <c r="R276" s="314">
        <v>0</v>
      </c>
      <c r="S276" s="314">
        <v>623492</v>
      </c>
    </row>
    <row r="277" spans="1:19" x14ac:dyDescent="0.25">
      <c r="A277" s="313" t="s">
        <v>1476</v>
      </c>
      <c r="B277" s="313" t="s">
        <v>713</v>
      </c>
      <c r="C277" s="313">
        <v>3054253</v>
      </c>
      <c r="D277" s="313">
        <v>2018</v>
      </c>
      <c r="E277" s="314">
        <v>0</v>
      </c>
      <c r="F277" s="314">
        <v>0</v>
      </c>
      <c r="G277" s="314">
        <v>0</v>
      </c>
      <c r="H277" s="314">
        <v>0</v>
      </c>
      <c r="I277" s="314">
        <v>0</v>
      </c>
      <c r="J277" s="314">
        <v>0</v>
      </c>
      <c r="K277" s="314">
        <v>0</v>
      </c>
      <c r="L277" s="314">
        <v>310033</v>
      </c>
      <c r="M277" s="314">
        <v>0</v>
      </c>
      <c r="N277" s="314">
        <v>0</v>
      </c>
      <c r="O277" s="314">
        <v>50000</v>
      </c>
      <c r="P277" s="314">
        <f t="shared" si="4"/>
        <v>50000</v>
      </c>
      <c r="Q277" s="314">
        <v>0</v>
      </c>
      <c r="R277" s="314">
        <v>0</v>
      </c>
      <c r="S277" s="314">
        <v>360033</v>
      </c>
    </row>
    <row r="278" spans="1:19" x14ac:dyDescent="0.25">
      <c r="A278" s="313" t="s">
        <v>1362</v>
      </c>
      <c r="B278" s="313" t="s">
        <v>1362</v>
      </c>
      <c r="C278" s="313">
        <v>9142033</v>
      </c>
      <c r="D278" s="313">
        <v>2018</v>
      </c>
      <c r="E278" s="314">
        <v>231308</v>
      </c>
      <c r="F278" s="314">
        <v>0</v>
      </c>
      <c r="G278" s="314">
        <v>0</v>
      </c>
      <c r="H278" s="314">
        <v>0</v>
      </c>
      <c r="I278" s="314">
        <v>0</v>
      </c>
      <c r="J278" s="314">
        <v>0</v>
      </c>
      <c r="K278" s="314">
        <v>0</v>
      </c>
      <c r="L278" s="314">
        <v>0</v>
      </c>
      <c r="M278" s="314">
        <v>0</v>
      </c>
      <c r="N278" s="314">
        <v>0</v>
      </c>
      <c r="O278" s="314">
        <v>0</v>
      </c>
      <c r="P278" s="314">
        <f t="shared" si="4"/>
        <v>0</v>
      </c>
      <c r="Q278" s="314">
        <v>0</v>
      </c>
      <c r="R278" s="314">
        <v>0</v>
      </c>
      <c r="S278" s="314">
        <v>231308</v>
      </c>
    </row>
    <row r="279" spans="1:19" x14ac:dyDescent="0.25">
      <c r="E279" s="314">
        <v>39339200</v>
      </c>
      <c r="F279" s="314">
        <v>0</v>
      </c>
      <c r="G279" s="314">
        <v>916586</v>
      </c>
      <c r="H279" s="314">
        <v>782123740</v>
      </c>
      <c r="I279" s="314">
        <v>23647710</v>
      </c>
      <c r="J279" s="314">
        <v>181769877.34</v>
      </c>
      <c r="K279" s="314">
        <v>104930198.26000001</v>
      </c>
      <c r="L279" s="314">
        <v>3745631.71</v>
      </c>
      <c r="M279" s="314">
        <v>1299272</v>
      </c>
      <c r="N279" s="314">
        <v>9090230.959999999</v>
      </c>
      <c r="O279" s="314">
        <v>161981501.69</v>
      </c>
      <c r="P279" s="314">
        <f t="shared" si="4"/>
        <v>171071732.65000001</v>
      </c>
      <c r="Q279" s="314">
        <v>7449494.3799999999</v>
      </c>
      <c r="R279" s="314">
        <v>2649927.35</v>
      </c>
      <c r="S279" s="314">
        <v>1318943369.6900008</v>
      </c>
    </row>
    <row r="280" spans="1:19" x14ac:dyDescent="0.25">
      <c r="P280" s="314"/>
    </row>
    <row r="281" spans="1:19" x14ac:dyDescent="0.25">
      <c r="P281" s="314"/>
    </row>
    <row r="282" spans="1:19" ht="60" x14ac:dyDescent="0.25">
      <c r="E282" s="476" t="s">
        <v>1544</v>
      </c>
      <c r="F282" s="476" t="s">
        <v>2533</v>
      </c>
      <c r="G282" s="476" t="s">
        <v>2527</v>
      </c>
      <c r="H282" s="476" t="s">
        <v>1539</v>
      </c>
      <c r="I282" s="476" t="s">
        <v>1540</v>
      </c>
      <c r="J282" s="476" t="s">
        <v>1543</v>
      </c>
      <c r="K282" s="476" t="s">
        <v>1542</v>
      </c>
      <c r="L282" s="476" t="s">
        <v>1541</v>
      </c>
      <c r="M282" s="476" t="s">
        <v>2528</v>
      </c>
      <c r="N282" s="476" t="s">
        <v>2530</v>
      </c>
      <c r="O282" s="476" t="s">
        <v>1156</v>
      </c>
      <c r="P282" s="476" t="s">
        <v>1835</v>
      </c>
      <c r="Q282" s="476" t="s">
        <v>2531</v>
      </c>
      <c r="R282" s="476" t="s">
        <v>2532</v>
      </c>
      <c r="S282" s="476" t="s">
        <v>1763</v>
      </c>
    </row>
    <row r="283" spans="1:19" x14ac:dyDescent="0.25">
      <c r="E283" s="313">
        <v>39339200</v>
      </c>
      <c r="F283" s="313">
        <v>0</v>
      </c>
      <c r="G283" s="313">
        <v>916586</v>
      </c>
      <c r="H283" s="313">
        <v>782123740</v>
      </c>
      <c r="I283" s="313">
        <v>23647710</v>
      </c>
      <c r="J283" s="313">
        <v>181769877.34</v>
      </c>
      <c r="K283" s="313">
        <v>104930198.26000001</v>
      </c>
      <c r="L283" s="313">
        <v>3745631.71</v>
      </c>
      <c r="M283" s="313">
        <v>1299272</v>
      </c>
      <c r="N283" s="313">
        <v>9090230.959999999</v>
      </c>
      <c r="O283" s="313">
        <v>161981501.69</v>
      </c>
      <c r="P283" s="314">
        <v>171071732.65000001</v>
      </c>
      <c r="Q283" s="313">
        <v>7449494.3799999999</v>
      </c>
      <c r="R283" s="313">
        <v>2649927.35</v>
      </c>
      <c r="S283" s="313">
        <v>1318943369.6900008</v>
      </c>
    </row>
    <row r="284" spans="1:19" x14ac:dyDescent="0.25">
      <c r="B284" s="313" t="s">
        <v>2583</v>
      </c>
      <c r="C284" s="313" t="s">
        <v>2584</v>
      </c>
      <c r="D284" s="313" t="s">
        <v>2585</v>
      </c>
      <c r="P284" s="314"/>
    </row>
    <row r="285" spans="1:19" ht="15.75" thickBot="1" x14ac:dyDescent="0.3">
      <c r="P285" s="314"/>
    </row>
    <row r="286" spans="1:19" x14ac:dyDescent="0.25">
      <c r="B286" s="546" t="s">
        <v>1544</v>
      </c>
      <c r="C286" s="547">
        <v>40255786</v>
      </c>
      <c r="D286" s="548">
        <f t="shared" ref="D286:D301" si="5">C286/C$301</f>
        <v>3.0521239141193424E-2</v>
      </c>
      <c r="P286" s="314"/>
    </row>
    <row r="287" spans="1:19" x14ac:dyDescent="0.25">
      <c r="B287" s="549" t="s">
        <v>1543</v>
      </c>
      <c r="C287" s="491">
        <v>181769877.34</v>
      </c>
      <c r="D287" s="550">
        <f t="shared" si="5"/>
        <v>0.13781477015402296</v>
      </c>
      <c r="P287" s="314"/>
    </row>
    <row r="288" spans="1:19" ht="15.75" thickBot="1" x14ac:dyDescent="0.3">
      <c r="B288" s="551" t="s">
        <v>2587</v>
      </c>
      <c r="C288" s="552">
        <f>SUM(C286:C287)</f>
        <v>222025663.34</v>
      </c>
      <c r="D288" s="553">
        <f t="shared" si="5"/>
        <v>0.16833600929521639</v>
      </c>
      <c r="P288" s="314"/>
    </row>
    <row r="289" spans="2:16" x14ac:dyDescent="0.25">
      <c r="B289" s="543" t="s">
        <v>1539</v>
      </c>
      <c r="C289" s="544">
        <v>782123740</v>
      </c>
      <c r="D289" s="545">
        <f t="shared" si="5"/>
        <v>0.59299266213668234</v>
      </c>
      <c r="P289" s="314"/>
    </row>
    <row r="290" spans="2:16" x14ac:dyDescent="0.25">
      <c r="B290" s="524" t="s">
        <v>1540</v>
      </c>
      <c r="C290" s="510">
        <v>23647710</v>
      </c>
      <c r="D290" s="511">
        <f t="shared" si="5"/>
        <v>1.792928380659593E-2</v>
      </c>
      <c r="P290" s="314"/>
    </row>
    <row r="291" spans="2:16" x14ac:dyDescent="0.25">
      <c r="B291" s="524" t="s">
        <v>2531</v>
      </c>
      <c r="C291" s="510">
        <v>7449494.3799999999</v>
      </c>
      <c r="D291" s="511">
        <f t="shared" si="5"/>
        <v>5.6480775074906359E-3</v>
      </c>
    </row>
    <row r="292" spans="2:16" ht="15.75" thickBot="1" x14ac:dyDescent="0.3">
      <c r="B292" s="525" t="s">
        <v>2588</v>
      </c>
      <c r="C292" s="526">
        <f>SUM(C289:C291)</f>
        <v>813220944.38</v>
      </c>
      <c r="D292" s="527">
        <f t="shared" si="5"/>
        <v>0.61657002345076894</v>
      </c>
    </row>
    <row r="293" spans="2:16" x14ac:dyDescent="0.25">
      <c r="B293" s="534" t="s">
        <v>1542</v>
      </c>
      <c r="C293" s="528">
        <v>104930198.26000001</v>
      </c>
      <c r="D293" s="529">
        <f t="shared" si="5"/>
        <v>7.9556257434056768E-2</v>
      </c>
    </row>
    <row r="294" spans="2:16" x14ac:dyDescent="0.25">
      <c r="B294" s="535" t="s">
        <v>1541</v>
      </c>
      <c r="C294" s="512">
        <v>3745631.71</v>
      </c>
      <c r="D294" s="530">
        <f t="shared" si="5"/>
        <v>2.8398730347917503E-3</v>
      </c>
    </row>
    <row r="295" spans="2:16" ht="15.75" thickBot="1" x14ac:dyDescent="0.3">
      <c r="B295" s="531" t="s">
        <v>2589</v>
      </c>
      <c r="C295" s="532">
        <f>SUM(C293:C294)</f>
        <v>108675829.97</v>
      </c>
      <c r="D295" s="533">
        <f t="shared" si="5"/>
        <v>8.2396130468848514E-2</v>
      </c>
    </row>
    <row r="296" spans="2:16" x14ac:dyDescent="0.25">
      <c r="B296" s="536" t="s">
        <v>2530</v>
      </c>
      <c r="C296" s="513">
        <v>9090230.959999999</v>
      </c>
      <c r="D296" s="514">
        <f t="shared" si="5"/>
        <v>6.8920555415025366E-3</v>
      </c>
    </row>
    <row r="297" spans="2:16" x14ac:dyDescent="0.25">
      <c r="B297" s="537" t="s">
        <v>1156</v>
      </c>
      <c r="C297" s="515">
        <v>161981501.69</v>
      </c>
      <c r="D297" s="516">
        <f t="shared" si="5"/>
        <v>0.12281156675291638</v>
      </c>
    </row>
    <row r="298" spans="2:16" ht="15.75" thickBot="1" x14ac:dyDescent="0.3">
      <c r="B298" s="517" t="s">
        <v>2586</v>
      </c>
      <c r="C298" s="518">
        <v>171071732.65000001</v>
      </c>
      <c r="D298" s="519">
        <f t="shared" si="5"/>
        <v>0.12970362229441892</v>
      </c>
    </row>
    <row r="299" spans="2:16" x14ac:dyDescent="0.25">
      <c r="B299" s="539" t="s">
        <v>2528</v>
      </c>
      <c r="C299" s="538">
        <v>1299272</v>
      </c>
      <c r="D299" s="540">
        <f t="shared" si="5"/>
        <v>9.8508550848955376E-4</v>
      </c>
    </row>
    <row r="300" spans="2:16" ht="15.75" thickBot="1" x14ac:dyDescent="0.3">
      <c r="B300" s="541" t="s">
        <v>2532</v>
      </c>
      <c r="C300" s="520">
        <v>2649927.35</v>
      </c>
      <c r="D300" s="542">
        <f t="shared" si="5"/>
        <v>2.009128982257084E-3</v>
      </c>
    </row>
    <row r="301" spans="2:16" ht="15.75" thickBot="1" x14ac:dyDescent="0.3">
      <c r="B301" s="521" t="s">
        <v>1763</v>
      </c>
      <c r="C301" s="522">
        <v>1318943369.6900008</v>
      </c>
      <c r="D301" s="523">
        <f t="shared" si="5"/>
        <v>1</v>
      </c>
    </row>
  </sheetData>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6"/>
  <sheetViews>
    <sheetView workbookViewId="0"/>
  </sheetViews>
  <sheetFormatPr defaultRowHeight="15" x14ac:dyDescent="0.25"/>
  <cols>
    <col min="2" max="2" width="12.140625" customWidth="1"/>
    <col min="5" max="5" width="12.7109375" customWidth="1"/>
    <col min="6" max="6" width="12.140625" customWidth="1"/>
    <col min="12" max="12" width="12.7109375" style="314" customWidth="1"/>
    <col min="14" max="14" width="14.7109375" bestFit="1" customWidth="1"/>
    <col min="15" max="15" width="18" style="313" bestFit="1" customWidth="1"/>
    <col min="16" max="19" width="9.28515625" style="313"/>
    <col min="22" max="22" width="9.7109375" style="314" bestFit="1" customWidth="1"/>
    <col min="23" max="23" width="11.7109375" style="314" customWidth="1"/>
  </cols>
  <sheetData>
    <row r="1" spans="1:24" ht="16.5" thickTop="1" thickBot="1" x14ac:dyDescent="0.3">
      <c r="A1" s="313">
        <v>2019</v>
      </c>
      <c r="B1" s="313"/>
      <c r="C1" s="313"/>
      <c r="D1" s="313"/>
      <c r="E1" s="313"/>
      <c r="F1" s="313"/>
      <c r="J1" s="392" t="s">
        <v>2379</v>
      </c>
      <c r="K1" s="395" t="s">
        <v>1654</v>
      </c>
      <c r="L1" s="396" t="s">
        <v>2380</v>
      </c>
      <c r="M1" s="313"/>
      <c r="N1" s="310" t="s">
        <v>1807</v>
      </c>
      <c r="O1" t="s">
        <v>2464</v>
      </c>
      <c r="P1"/>
      <c r="T1" s="313" t="s">
        <v>1651</v>
      </c>
      <c r="U1" s="313" t="s">
        <v>1652</v>
      </c>
      <c r="V1" s="314" t="s">
        <v>2381</v>
      </c>
      <c r="W1" s="314" t="s">
        <v>1653</v>
      </c>
      <c r="X1" s="313" t="s">
        <v>1654</v>
      </c>
    </row>
    <row r="2" spans="1:24" ht="16.5" thickTop="1" thickBot="1" x14ac:dyDescent="0.3">
      <c r="A2" s="313" t="s">
        <v>1819</v>
      </c>
      <c r="B2" s="313"/>
      <c r="C2" s="313"/>
      <c r="D2" s="313"/>
      <c r="E2" s="313"/>
      <c r="F2" s="313"/>
      <c r="J2" s="393" t="s">
        <v>1655</v>
      </c>
      <c r="K2" s="395">
        <v>7846871</v>
      </c>
      <c r="L2" s="396">
        <v>512809</v>
      </c>
      <c r="M2" s="313"/>
      <c r="N2" s="311">
        <v>1236570</v>
      </c>
      <c r="O2" s="345">
        <v>7324486</v>
      </c>
      <c r="P2"/>
      <c r="T2" s="313"/>
      <c r="U2" s="313"/>
      <c r="X2" s="313"/>
    </row>
    <row r="3" spans="1:24" ht="16.5" thickTop="1" thickBot="1" x14ac:dyDescent="0.3">
      <c r="A3" s="313" t="s">
        <v>37</v>
      </c>
      <c r="B3" s="313" t="s">
        <v>48</v>
      </c>
      <c r="C3" s="313"/>
      <c r="D3" s="313"/>
      <c r="E3" s="313" t="s">
        <v>1820</v>
      </c>
      <c r="F3" s="313"/>
      <c r="J3" s="393" t="s">
        <v>1657</v>
      </c>
      <c r="K3" s="395">
        <v>1378201</v>
      </c>
      <c r="L3" s="396">
        <v>251623</v>
      </c>
      <c r="M3" s="313"/>
      <c r="N3" s="311">
        <v>1272659</v>
      </c>
      <c r="O3" s="345">
        <v>402076</v>
      </c>
      <c r="P3"/>
      <c r="T3" s="313" t="s">
        <v>1655</v>
      </c>
      <c r="U3" s="313" t="s">
        <v>1656</v>
      </c>
      <c r="V3" s="314">
        <v>436769.64</v>
      </c>
      <c r="W3" s="314">
        <v>476784</v>
      </c>
      <c r="X3" s="313">
        <v>1378201</v>
      </c>
    </row>
    <row r="4" spans="1:24" ht="16.5" thickTop="1" thickBot="1" x14ac:dyDescent="0.3">
      <c r="A4" s="313">
        <v>1236570</v>
      </c>
      <c r="B4" s="313">
        <v>3055776</v>
      </c>
      <c r="C4" s="313"/>
      <c r="D4" s="313"/>
      <c r="E4" s="327" t="s">
        <v>1821</v>
      </c>
      <c r="F4" s="328" t="s">
        <v>1822</v>
      </c>
      <c r="J4" s="393" t="s">
        <v>1659</v>
      </c>
      <c r="K4" s="395">
        <v>4699567</v>
      </c>
      <c r="L4" s="396">
        <v>1334896</v>
      </c>
      <c r="M4" s="313"/>
      <c r="N4" s="311">
        <v>1378201</v>
      </c>
      <c r="O4" s="345">
        <v>688392.64</v>
      </c>
      <c r="P4"/>
      <c r="T4" s="313" t="s">
        <v>1657</v>
      </c>
      <c r="U4" s="313" t="s">
        <v>1658</v>
      </c>
      <c r="V4" s="314">
        <v>852000</v>
      </c>
      <c r="W4" s="314">
        <v>888000</v>
      </c>
      <c r="X4" s="313">
        <v>2390992</v>
      </c>
    </row>
    <row r="5" spans="1:24" ht="16.5" thickTop="1" thickBot="1" x14ac:dyDescent="0.3">
      <c r="A5" s="313">
        <v>1272659</v>
      </c>
      <c r="B5" s="313">
        <v>402076</v>
      </c>
      <c r="C5" s="313"/>
      <c r="D5" s="313"/>
      <c r="E5" s="329" t="s">
        <v>37</v>
      </c>
      <c r="F5" s="330">
        <v>24550621</v>
      </c>
      <c r="J5" s="393" t="s">
        <v>1661</v>
      </c>
      <c r="K5" s="395">
        <v>1236570</v>
      </c>
      <c r="L5" s="396">
        <v>3055776</v>
      </c>
      <c r="M5" s="313"/>
      <c r="N5" s="311">
        <v>1552469</v>
      </c>
      <c r="O5" s="345">
        <v>447816</v>
      </c>
      <c r="P5"/>
      <c r="T5" s="313" t="s">
        <v>1659</v>
      </c>
      <c r="U5" s="313" t="s">
        <v>1660</v>
      </c>
      <c r="V5" s="314">
        <v>1029711</v>
      </c>
      <c r="W5" s="314">
        <v>1029711</v>
      </c>
      <c r="X5" s="313">
        <v>6361701</v>
      </c>
    </row>
    <row r="6" spans="1:24" ht="16.5" thickTop="1" thickBot="1" x14ac:dyDescent="0.3">
      <c r="A6" s="331">
        <v>1378201</v>
      </c>
      <c r="B6" s="331">
        <v>728407</v>
      </c>
      <c r="C6" s="313"/>
      <c r="D6" s="313"/>
      <c r="E6" s="332"/>
      <c r="F6" s="333">
        <v>476784</v>
      </c>
      <c r="J6" s="393" t="s">
        <v>1663</v>
      </c>
      <c r="K6" s="395">
        <v>2438469</v>
      </c>
      <c r="L6" s="396">
        <v>914731</v>
      </c>
      <c r="M6" s="313"/>
      <c r="N6" s="311">
        <v>1758706</v>
      </c>
      <c r="O6" s="345">
        <v>2261112</v>
      </c>
      <c r="P6"/>
      <c r="T6" s="313" t="s">
        <v>1661</v>
      </c>
      <c r="U6" s="313" t="s">
        <v>1662</v>
      </c>
      <c r="V6" s="314">
        <v>1006700</v>
      </c>
      <c r="W6" s="314">
        <v>1003700</v>
      </c>
      <c r="X6" s="313">
        <v>2788586</v>
      </c>
    </row>
    <row r="7" spans="1:24" ht="16.5" thickTop="1" thickBot="1" x14ac:dyDescent="0.3">
      <c r="A7" s="313">
        <v>1552469</v>
      </c>
      <c r="B7" s="313">
        <v>447816</v>
      </c>
      <c r="C7" s="313"/>
      <c r="D7" s="313"/>
      <c r="E7" s="334">
        <v>9818505</v>
      </c>
      <c r="F7" s="335">
        <v>476784</v>
      </c>
      <c r="J7" s="393" t="s">
        <v>1665</v>
      </c>
      <c r="K7" s="395">
        <v>9064643</v>
      </c>
      <c r="L7" s="396">
        <v>2207412</v>
      </c>
      <c r="M7" s="313"/>
      <c r="N7" s="311">
        <v>1907533</v>
      </c>
      <c r="O7" s="345">
        <v>1821286</v>
      </c>
      <c r="P7"/>
      <c r="T7" s="313" t="s">
        <v>1663</v>
      </c>
      <c r="U7" s="313" t="s">
        <v>1664</v>
      </c>
      <c r="V7" s="314">
        <v>2080800</v>
      </c>
      <c r="W7" s="314">
        <v>2080800</v>
      </c>
      <c r="X7" s="313">
        <v>3650770</v>
      </c>
    </row>
    <row r="8" spans="1:24" ht="16.5" thickTop="1" thickBot="1" x14ac:dyDescent="0.3">
      <c r="A8" s="313">
        <v>1758706</v>
      </c>
      <c r="B8" s="313">
        <v>2261112</v>
      </c>
      <c r="C8" s="313"/>
      <c r="D8" s="313"/>
      <c r="E8" s="332"/>
      <c r="F8" s="333">
        <v>8537421</v>
      </c>
      <c r="J8" s="393" t="s">
        <v>1667</v>
      </c>
      <c r="K8" s="395">
        <v>2514714</v>
      </c>
      <c r="L8" s="396">
        <v>402081</v>
      </c>
      <c r="M8" s="313"/>
      <c r="N8" s="311">
        <v>2390992</v>
      </c>
      <c r="O8" s="345">
        <v>852000</v>
      </c>
      <c r="P8"/>
      <c r="T8" s="313" t="s">
        <v>1665</v>
      </c>
      <c r="U8" s="313" t="s">
        <v>1666</v>
      </c>
      <c r="V8" s="314">
        <v>2104207</v>
      </c>
      <c r="W8" s="314">
        <v>2104207</v>
      </c>
      <c r="X8" s="313">
        <v>7790627</v>
      </c>
    </row>
    <row r="9" spans="1:24" ht="16.5" thickTop="1" thickBot="1" x14ac:dyDescent="0.3">
      <c r="A9" s="313">
        <v>1907533</v>
      </c>
      <c r="B9" s="313">
        <v>1877211</v>
      </c>
      <c r="C9" s="313"/>
      <c r="D9" s="313"/>
      <c r="E9" s="336" t="s">
        <v>1823</v>
      </c>
      <c r="F9" s="337">
        <v>8537421</v>
      </c>
      <c r="J9" s="393" t="s">
        <v>1669</v>
      </c>
      <c r="K9" s="395">
        <v>3028344</v>
      </c>
      <c r="L9" s="396">
        <v>1013232</v>
      </c>
      <c r="M9" s="313"/>
      <c r="N9" s="311">
        <v>2438469</v>
      </c>
      <c r="O9" s="345">
        <v>914731</v>
      </c>
      <c r="P9"/>
      <c r="T9" s="313" t="s">
        <v>1667</v>
      </c>
      <c r="U9" s="313" t="s">
        <v>1668</v>
      </c>
      <c r="V9" s="314">
        <v>2393172</v>
      </c>
      <c r="W9" s="314">
        <v>2511960</v>
      </c>
      <c r="X9" s="313">
        <v>7384495</v>
      </c>
    </row>
    <row r="10" spans="1:24" ht="16.5" thickTop="1" thickBot="1" x14ac:dyDescent="0.3">
      <c r="A10" s="313">
        <v>2438469</v>
      </c>
      <c r="B10" s="313">
        <v>914731</v>
      </c>
      <c r="C10" s="313"/>
      <c r="D10" s="313"/>
      <c r="E10" s="332"/>
      <c r="F10" s="333">
        <v>2036411</v>
      </c>
      <c r="J10" s="393" t="s">
        <v>1671</v>
      </c>
      <c r="K10" s="395">
        <v>3961063</v>
      </c>
      <c r="L10" s="396">
        <v>1321335</v>
      </c>
      <c r="M10" s="313"/>
      <c r="N10" s="311">
        <v>2514714</v>
      </c>
      <c r="O10" s="345">
        <v>402081</v>
      </c>
      <c r="P10"/>
      <c r="T10" s="313" t="s">
        <v>1669</v>
      </c>
      <c r="U10" s="313" t="s">
        <v>1670</v>
      </c>
      <c r="V10" s="314">
        <v>1521900</v>
      </c>
      <c r="W10" s="314">
        <v>2827275</v>
      </c>
      <c r="X10" s="313">
        <v>6948137</v>
      </c>
    </row>
    <row r="11" spans="1:24" ht="16.5" thickTop="1" thickBot="1" x14ac:dyDescent="0.3">
      <c r="A11" s="313">
        <v>2514714</v>
      </c>
      <c r="B11" s="313">
        <v>402081</v>
      </c>
      <c r="C11" s="313"/>
      <c r="D11" s="313"/>
      <c r="E11" s="334">
        <v>6361701</v>
      </c>
      <c r="F11" s="335">
        <v>1029711</v>
      </c>
      <c r="J11" s="393" t="s">
        <v>1673</v>
      </c>
      <c r="K11" s="395">
        <v>7832444</v>
      </c>
      <c r="L11" s="396">
        <v>1102190</v>
      </c>
      <c r="M11" s="313"/>
      <c r="N11" s="311">
        <v>2788586</v>
      </c>
      <c r="O11" s="345">
        <v>1006700</v>
      </c>
      <c r="P11"/>
      <c r="T11" s="313" t="s">
        <v>1671</v>
      </c>
      <c r="U11" s="313" t="s">
        <v>1672</v>
      </c>
      <c r="V11" s="314">
        <v>1582670</v>
      </c>
      <c r="W11" s="314">
        <v>3174317</v>
      </c>
      <c r="X11" s="313">
        <v>6948137</v>
      </c>
    </row>
    <row r="12" spans="1:24" ht="16.5" thickTop="1" thickBot="1" x14ac:dyDescent="0.3">
      <c r="A12" s="313">
        <v>2813024</v>
      </c>
      <c r="B12" s="313">
        <v>987606</v>
      </c>
      <c r="C12" s="313"/>
      <c r="D12" s="313"/>
      <c r="E12" s="334">
        <v>2788586</v>
      </c>
      <c r="F12" s="335">
        <v>1006700</v>
      </c>
      <c r="J12" s="393" t="s">
        <v>2382</v>
      </c>
      <c r="K12" s="395">
        <v>3454870</v>
      </c>
      <c r="L12" s="396">
        <v>351675</v>
      </c>
      <c r="M12" s="313"/>
      <c r="N12" s="311">
        <v>2813024</v>
      </c>
      <c r="O12" s="345">
        <v>987598</v>
      </c>
      <c r="P12"/>
      <c r="T12" s="313" t="s">
        <v>1673</v>
      </c>
      <c r="U12" s="313" t="s">
        <v>1674</v>
      </c>
      <c r="V12" s="314">
        <v>4268710</v>
      </c>
      <c r="W12" s="314">
        <v>8537422</v>
      </c>
      <c r="X12" s="313">
        <v>1236570</v>
      </c>
    </row>
    <row r="13" spans="1:24" ht="16.5" thickTop="1" thickBot="1" x14ac:dyDescent="0.3">
      <c r="A13" s="313">
        <v>3028344</v>
      </c>
      <c r="B13" s="313">
        <v>1013232</v>
      </c>
      <c r="C13" s="313"/>
      <c r="D13" s="313"/>
      <c r="E13" s="332"/>
      <c r="F13" s="333">
        <v>13500005</v>
      </c>
      <c r="J13" s="393" t="s">
        <v>2383</v>
      </c>
      <c r="K13" s="395">
        <v>5369609</v>
      </c>
      <c r="L13" s="396">
        <v>967498</v>
      </c>
      <c r="M13" s="313"/>
      <c r="N13" s="311">
        <v>3028344</v>
      </c>
      <c r="O13" s="345">
        <v>1013232</v>
      </c>
      <c r="P13"/>
      <c r="T13" s="313"/>
      <c r="U13" s="313"/>
      <c r="V13" s="314">
        <f>SUM(V3:V12)</f>
        <v>17276639.640000001</v>
      </c>
      <c r="W13" s="314">
        <f>SUM(W3:W12)</f>
        <v>24634176</v>
      </c>
      <c r="X13" s="313"/>
    </row>
    <row r="14" spans="1:24" ht="16.5" thickTop="1" thickBot="1" x14ac:dyDescent="0.3">
      <c r="A14" s="313">
        <v>3454870</v>
      </c>
      <c r="B14" s="313">
        <v>351675</v>
      </c>
      <c r="C14" s="313"/>
      <c r="D14" s="313"/>
      <c r="E14" s="334">
        <v>2390992</v>
      </c>
      <c r="F14" s="335">
        <v>852000</v>
      </c>
      <c r="J14" s="393" t="s">
        <v>2384</v>
      </c>
      <c r="K14" s="395">
        <v>4987165</v>
      </c>
      <c r="L14" s="396">
        <v>1020025</v>
      </c>
      <c r="M14" s="313"/>
      <c r="N14" s="311">
        <v>3454870</v>
      </c>
      <c r="O14" s="345">
        <v>351675</v>
      </c>
      <c r="P14"/>
      <c r="T14" s="313"/>
      <c r="U14" s="313"/>
      <c r="X14" s="313"/>
    </row>
    <row r="15" spans="1:24" ht="16.5" thickTop="1" thickBot="1" x14ac:dyDescent="0.3">
      <c r="A15" s="313">
        <v>3588592</v>
      </c>
      <c r="B15" s="313">
        <v>663426</v>
      </c>
      <c r="C15" s="313"/>
      <c r="D15" s="313"/>
      <c r="E15" s="334">
        <v>3650770</v>
      </c>
      <c r="F15" s="335">
        <v>2080800</v>
      </c>
      <c r="J15" s="393" t="s">
        <v>2385</v>
      </c>
      <c r="K15" s="395">
        <v>4526227</v>
      </c>
      <c r="L15" s="396">
        <v>815468</v>
      </c>
      <c r="M15" s="313"/>
      <c r="N15" s="311">
        <v>3588592</v>
      </c>
      <c r="O15" s="345">
        <v>528658</v>
      </c>
      <c r="P15"/>
      <c r="T15" s="313"/>
      <c r="U15" s="313"/>
      <c r="X15" s="313"/>
    </row>
    <row r="16" spans="1:24" ht="16.5" thickTop="1" thickBot="1" x14ac:dyDescent="0.3">
      <c r="A16" s="313">
        <v>3595008</v>
      </c>
      <c r="B16" s="313">
        <v>1520357</v>
      </c>
      <c r="C16" s="313"/>
      <c r="D16" s="313"/>
      <c r="E16" s="334">
        <v>7790627</v>
      </c>
      <c r="F16" s="335">
        <v>2104207</v>
      </c>
      <c r="J16" s="393" t="s">
        <v>2386</v>
      </c>
      <c r="K16" s="395">
        <v>4533728</v>
      </c>
      <c r="L16" s="396">
        <v>1603289</v>
      </c>
      <c r="M16" s="313"/>
      <c r="N16" s="311">
        <v>3595008</v>
      </c>
      <c r="O16" s="345">
        <v>1520357</v>
      </c>
      <c r="P16"/>
      <c r="T16" s="313"/>
      <c r="U16" s="313"/>
      <c r="X16" s="313"/>
    </row>
    <row r="17" spans="1:24" ht="16.5" thickTop="1" thickBot="1" x14ac:dyDescent="0.3">
      <c r="A17" s="313">
        <v>3741470</v>
      </c>
      <c r="B17" s="313">
        <v>2172273</v>
      </c>
      <c r="C17" s="313"/>
      <c r="D17" s="313"/>
      <c r="E17" s="334">
        <v>7384495</v>
      </c>
      <c r="F17" s="335">
        <v>2393172</v>
      </c>
      <c r="J17" s="393" t="s">
        <v>2387</v>
      </c>
      <c r="K17" s="395">
        <v>4467429</v>
      </c>
      <c r="L17" s="396">
        <v>386616.62</v>
      </c>
      <c r="M17" s="313"/>
      <c r="N17" s="311">
        <v>3650770</v>
      </c>
      <c r="O17" s="345">
        <v>2080800</v>
      </c>
      <c r="P17"/>
      <c r="T17" s="313"/>
      <c r="U17" s="313"/>
      <c r="X17" s="313"/>
    </row>
    <row r="18" spans="1:24" ht="16.5" thickTop="1" thickBot="1" x14ac:dyDescent="0.3">
      <c r="A18" s="313">
        <v>3961063</v>
      </c>
      <c r="B18" s="313">
        <v>1321335</v>
      </c>
      <c r="C18" s="313"/>
      <c r="D18" s="313"/>
      <c r="E18" s="336" t="s">
        <v>1824</v>
      </c>
      <c r="F18" s="337">
        <v>2890393</v>
      </c>
      <c r="J18" s="393" t="s">
        <v>2388</v>
      </c>
      <c r="K18" s="395">
        <v>8946698</v>
      </c>
      <c r="L18" s="396">
        <v>1105710</v>
      </c>
      <c r="M18" s="313"/>
      <c r="N18" s="311">
        <v>3741470</v>
      </c>
      <c r="O18" s="345">
        <v>2172273</v>
      </c>
      <c r="P18"/>
      <c r="T18" s="313"/>
      <c r="U18" s="313"/>
      <c r="X18" s="313"/>
    </row>
    <row r="19" spans="1:24" ht="16.5" thickTop="1" thickBot="1" x14ac:dyDescent="0.3">
      <c r="A19" s="313">
        <v>3994122</v>
      </c>
      <c r="B19" s="313">
        <v>643331</v>
      </c>
      <c r="C19" s="313"/>
      <c r="D19" s="313"/>
      <c r="E19" s="336" t="s">
        <v>1825</v>
      </c>
      <c r="F19" s="337">
        <v>3179433</v>
      </c>
      <c r="J19" s="393" t="s">
        <v>2389</v>
      </c>
      <c r="K19" s="395">
        <v>1907533</v>
      </c>
      <c r="L19" s="396">
        <v>1334402</v>
      </c>
      <c r="M19" s="313"/>
      <c r="N19" s="311">
        <v>3961063</v>
      </c>
      <c r="O19" s="345">
        <v>1321335</v>
      </c>
      <c r="T19" s="313"/>
      <c r="U19" s="313"/>
      <c r="X19" s="313"/>
    </row>
    <row r="20" spans="1:24" ht="16.5" thickTop="1" thickBot="1" x14ac:dyDescent="0.3">
      <c r="A20" s="313">
        <v>4373225</v>
      </c>
      <c r="B20" s="313">
        <v>458374</v>
      </c>
      <c r="C20" s="313"/>
      <c r="D20" s="313"/>
      <c r="E20" s="313"/>
      <c r="F20" s="313"/>
      <c r="J20" s="393" t="s">
        <v>2390</v>
      </c>
      <c r="K20" s="395">
        <v>1907533</v>
      </c>
      <c r="L20" s="396">
        <v>486884</v>
      </c>
      <c r="M20" s="313"/>
      <c r="N20" s="311">
        <v>3994122</v>
      </c>
      <c r="O20" s="345">
        <v>564655</v>
      </c>
      <c r="T20" s="313"/>
      <c r="U20" s="313"/>
      <c r="X20" s="313"/>
    </row>
    <row r="21" spans="1:24" ht="16.5" thickTop="1" thickBot="1" x14ac:dyDescent="0.3">
      <c r="A21" s="313">
        <v>4467429</v>
      </c>
      <c r="B21" s="313">
        <v>1589459</v>
      </c>
      <c r="C21" s="313"/>
      <c r="D21" s="313"/>
      <c r="E21" s="313"/>
      <c r="F21" s="312">
        <v>6069826</v>
      </c>
      <c r="J21" s="393" t="s">
        <v>2391</v>
      </c>
      <c r="K21" s="395">
        <v>8382823</v>
      </c>
      <c r="L21" s="396">
        <v>814208</v>
      </c>
      <c r="M21" s="313"/>
      <c r="N21" s="311">
        <v>4373225</v>
      </c>
      <c r="O21" s="345">
        <v>458374</v>
      </c>
      <c r="T21" s="313"/>
      <c r="U21" s="313"/>
      <c r="X21" s="313"/>
    </row>
    <row r="22" spans="1:24" ht="16.5" thickTop="1" thickBot="1" x14ac:dyDescent="0.3">
      <c r="A22" s="313">
        <v>4526227</v>
      </c>
      <c r="B22" s="313">
        <v>815468</v>
      </c>
      <c r="C22" s="313"/>
      <c r="D22" s="313"/>
      <c r="E22" s="313"/>
      <c r="F22" s="313">
        <v>3034913</v>
      </c>
      <c r="J22" s="393" t="s">
        <v>2392</v>
      </c>
      <c r="K22" s="395">
        <v>1272659</v>
      </c>
      <c r="L22" s="396">
        <v>402076</v>
      </c>
      <c r="M22" s="313"/>
      <c r="N22" s="311">
        <v>4467429</v>
      </c>
      <c r="O22" s="345">
        <v>386616.62</v>
      </c>
      <c r="T22" s="313"/>
      <c r="U22" s="313"/>
      <c r="X22" s="313"/>
    </row>
    <row r="23" spans="1:24" ht="16.5" thickTop="1" thickBot="1" x14ac:dyDescent="0.3">
      <c r="A23" s="313">
        <v>4533728</v>
      </c>
      <c r="B23" s="313">
        <v>1603289</v>
      </c>
      <c r="C23" s="313"/>
      <c r="D23" s="313"/>
      <c r="E23" s="313"/>
      <c r="F23" s="313"/>
      <c r="J23" s="393" t="s">
        <v>2393</v>
      </c>
      <c r="K23" s="395">
        <v>3588592</v>
      </c>
      <c r="L23" s="396">
        <v>528658</v>
      </c>
      <c r="M23" s="313"/>
      <c r="N23" s="311">
        <v>4526227</v>
      </c>
      <c r="O23" s="345">
        <v>815468</v>
      </c>
      <c r="T23" s="313"/>
      <c r="U23" s="313"/>
      <c r="X23" s="313"/>
    </row>
    <row r="24" spans="1:24" ht="16.5" thickTop="1" thickBot="1" x14ac:dyDescent="0.3">
      <c r="A24" s="313">
        <v>4699567</v>
      </c>
      <c r="B24" s="313">
        <v>1334908</v>
      </c>
      <c r="C24" s="313"/>
      <c r="D24" s="313"/>
      <c r="E24" s="313"/>
      <c r="F24" s="313"/>
      <c r="J24" s="393" t="s">
        <v>2394</v>
      </c>
      <c r="K24" s="395">
        <v>9659243</v>
      </c>
      <c r="L24" s="396">
        <v>1525738</v>
      </c>
      <c r="M24" s="313"/>
      <c r="N24" s="311">
        <v>4533728</v>
      </c>
      <c r="O24" s="345">
        <v>1603289</v>
      </c>
      <c r="T24" s="313"/>
      <c r="U24" s="313"/>
      <c r="X24" s="313"/>
    </row>
    <row r="25" spans="1:24" ht="16.5" thickTop="1" thickBot="1" x14ac:dyDescent="0.3">
      <c r="A25" s="313">
        <v>4885366</v>
      </c>
      <c r="B25" s="313">
        <v>1125716</v>
      </c>
      <c r="C25" s="313"/>
      <c r="D25" s="313"/>
      <c r="E25" s="313"/>
      <c r="F25" s="313"/>
      <c r="J25" s="393" t="s">
        <v>2395</v>
      </c>
      <c r="K25" s="395">
        <v>7653065</v>
      </c>
      <c r="L25" s="396">
        <v>1382185</v>
      </c>
      <c r="M25" s="313"/>
      <c r="N25" s="311">
        <v>4699567</v>
      </c>
      <c r="O25" s="345">
        <v>1334896</v>
      </c>
      <c r="T25" s="313"/>
      <c r="U25" s="313"/>
      <c r="X25" s="313"/>
    </row>
    <row r="26" spans="1:24" ht="16.5" thickTop="1" thickBot="1" x14ac:dyDescent="0.3">
      <c r="A26" s="313">
        <v>4987165</v>
      </c>
      <c r="B26" s="313">
        <v>1020025</v>
      </c>
      <c r="C26" s="313"/>
      <c r="D26" s="313"/>
      <c r="E26" s="313"/>
      <c r="F26" s="313"/>
      <c r="J26" s="393" t="s">
        <v>2396</v>
      </c>
      <c r="K26" s="395">
        <v>1552469</v>
      </c>
      <c r="L26" s="396">
        <v>447816</v>
      </c>
      <c r="M26" s="313"/>
      <c r="N26" s="311">
        <v>4885366</v>
      </c>
      <c r="O26" s="345">
        <v>1125716</v>
      </c>
      <c r="T26" s="313"/>
      <c r="U26" s="313"/>
      <c r="X26" s="313"/>
    </row>
    <row r="27" spans="1:24" ht="16.5" thickTop="1" thickBot="1" x14ac:dyDescent="0.3">
      <c r="A27" s="313">
        <v>5369609</v>
      </c>
      <c r="B27" s="313">
        <v>967498</v>
      </c>
      <c r="C27" s="313"/>
      <c r="D27" s="313"/>
      <c r="E27" s="313"/>
      <c r="F27" s="313"/>
      <c r="J27" s="393" t="s">
        <v>2397</v>
      </c>
      <c r="K27" s="395">
        <v>1758706</v>
      </c>
      <c r="L27" s="396">
        <v>2261112</v>
      </c>
      <c r="M27" s="313"/>
      <c r="N27" s="311">
        <v>4987165</v>
      </c>
      <c r="O27" s="345">
        <v>1020025</v>
      </c>
      <c r="T27" s="313"/>
      <c r="U27" s="313"/>
      <c r="X27" s="313"/>
    </row>
    <row r="28" spans="1:24" ht="16.5" thickTop="1" thickBot="1" x14ac:dyDescent="0.3">
      <c r="A28" s="313">
        <v>5945407</v>
      </c>
      <c r="B28" s="313">
        <v>251307</v>
      </c>
      <c r="C28" s="313"/>
      <c r="D28" s="313"/>
      <c r="E28" s="313"/>
      <c r="F28" s="313"/>
      <c r="J28" s="393" t="s">
        <v>2398</v>
      </c>
      <c r="K28" s="395">
        <v>6585534</v>
      </c>
      <c r="L28" s="396">
        <v>1144916</v>
      </c>
      <c r="M28" s="313"/>
      <c r="N28" s="311">
        <v>5369609</v>
      </c>
      <c r="O28" s="345">
        <v>967498</v>
      </c>
      <c r="T28" s="313"/>
      <c r="U28" s="313"/>
      <c r="X28" s="313"/>
    </row>
    <row r="29" spans="1:24" ht="16.5" thickTop="1" thickBot="1" x14ac:dyDescent="0.3">
      <c r="A29" s="313">
        <v>6473703</v>
      </c>
      <c r="B29" s="313">
        <v>784052</v>
      </c>
      <c r="C29" s="313"/>
      <c r="D29" s="313"/>
      <c r="E29" s="313"/>
      <c r="F29" s="313"/>
      <c r="J29" s="393" t="s">
        <v>2399</v>
      </c>
      <c r="K29" s="395">
        <v>8172268</v>
      </c>
      <c r="L29" s="396">
        <v>2503432</v>
      </c>
      <c r="M29" s="313"/>
      <c r="N29" s="311">
        <v>5945407</v>
      </c>
      <c r="O29" s="345">
        <v>251307</v>
      </c>
      <c r="T29" s="313"/>
      <c r="U29" s="313"/>
      <c r="X29" s="313"/>
    </row>
    <row r="30" spans="1:24" ht="16.5" thickTop="1" thickBot="1" x14ac:dyDescent="0.3">
      <c r="A30" s="313">
        <v>6585534</v>
      </c>
      <c r="B30" s="313">
        <v>1144916</v>
      </c>
      <c r="C30" s="313"/>
      <c r="D30" s="313"/>
      <c r="E30" s="313"/>
      <c r="F30" s="313"/>
      <c r="J30" s="393" t="s">
        <v>2400</v>
      </c>
      <c r="K30" s="395">
        <v>3595008</v>
      </c>
      <c r="L30" s="396">
        <v>1520357</v>
      </c>
      <c r="M30" s="313"/>
      <c r="N30" s="311">
        <v>6361701</v>
      </c>
      <c r="O30" s="345">
        <v>1029711</v>
      </c>
      <c r="T30" s="313"/>
      <c r="U30" s="313"/>
      <c r="X30" s="313"/>
    </row>
    <row r="31" spans="1:24" ht="16.5" thickTop="1" thickBot="1" x14ac:dyDescent="0.3">
      <c r="A31" s="313">
        <v>6948137</v>
      </c>
      <c r="B31" s="313">
        <v>3092486</v>
      </c>
      <c r="C31" s="313"/>
      <c r="D31" s="313"/>
      <c r="E31" s="313"/>
      <c r="F31" s="313"/>
      <c r="J31" s="393" t="s">
        <v>2401</v>
      </c>
      <c r="K31" s="395">
        <v>2813024</v>
      </c>
      <c r="L31" s="396">
        <v>987598</v>
      </c>
      <c r="M31" s="313"/>
      <c r="N31" s="311">
        <v>6473703</v>
      </c>
      <c r="O31" s="345">
        <v>972918</v>
      </c>
      <c r="T31" s="313"/>
      <c r="U31" s="313"/>
      <c r="X31" s="313"/>
    </row>
    <row r="32" spans="1:24" ht="16.5" thickTop="1" thickBot="1" x14ac:dyDescent="0.3">
      <c r="A32" s="313">
        <v>7175172</v>
      </c>
      <c r="B32" s="313">
        <v>572965</v>
      </c>
      <c r="C32" s="313"/>
      <c r="D32" s="313"/>
      <c r="E32" s="313"/>
      <c r="F32" s="313"/>
      <c r="J32" s="393" t="s">
        <v>2402</v>
      </c>
      <c r="K32" s="395">
        <v>3741470</v>
      </c>
      <c r="L32" s="396">
        <v>1619875</v>
      </c>
      <c r="M32" s="313"/>
      <c r="N32" s="311">
        <v>6585534</v>
      </c>
      <c r="O32" s="345">
        <v>1144916</v>
      </c>
      <c r="T32" s="313"/>
      <c r="U32" s="313"/>
      <c r="X32" s="313"/>
    </row>
    <row r="33" spans="1:24" ht="16.5" thickTop="1" thickBot="1" x14ac:dyDescent="0.3">
      <c r="A33" s="313">
        <v>7218817</v>
      </c>
      <c r="B33" s="313">
        <v>653384</v>
      </c>
      <c r="C33" s="313"/>
      <c r="D33" s="313"/>
      <c r="E33" s="313"/>
      <c r="F33" s="313"/>
      <c r="J33" s="393" t="s">
        <v>2403</v>
      </c>
      <c r="K33" s="395">
        <v>3741470</v>
      </c>
      <c r="L33" s="396">
        <v>552398</v>
      </c>
      <c r="M33" s="313"/>
      <c r="N33" s="311">
        <v>6948137</v>
      </c>
      <c r="O33" s="345">
        <v>6197056</v>
      </c>
      <c r="T33" s="313"/>
      <c r="U33" s="313"/>
      <c r="X33" s="313"/>
    </row>
    <row r="34" spans="1:24" ht="16.5" thickTop="1" thickBot="1" x14ac:dyDescent="0.3">
      <c r="A34" s="313">
        <v>7381195</v>
      </c>
      <c r="B34" s="313">
        <v>323681</v>
      </c>
      <c r="C34" s="313"/>
      <c r="D34" s="313"/>
      <c r="E34" s="313"/>
      <c r="F34" s="313"/>
      <c r="J34" s="393" t="s">
        <v>2404</v>
      </c>
      <c r="K34" s="395">
        <v>8098643</v>
      </c>
      <c r="L34" s="396">
        <v>653372</v>
      </c>
      <c r="M34" s="313"/>
      <c r="N34" s="311">
        <v>7175172</v>
      </c>
      <c r="O34" s="345">
        <v>549826</v>
      </c>
      <c r="T34" s="313"/>
      <c r="U34" s="313"/>
      <c r="X34" s="313"/>
    </row>
    <row r="35" spans="1:24" ht="16.5" thickTop="1" thickBot="1" x14ac:dyDescent="0.3">
      <c r="A35" s="313">
        <v>7653065</v>
      </c>
      <c r="B35" s="313">
        <v>1382185</v>
      </c>
      <c r="C35" s="313"/>
      <c r="D35" s="313"/>
      <c r="E35" s="313"/>
      <c r="F35" s="313"/>
      <c r="J35" s="393" t="s">
        <v>2405</v>
      </c>
      <c r="K35" s="395">
        <v>9767213</v>
      </c>
      <c r="L35" s="396">
        <v>599462</v>
      </c>
      <c r="M35" s="313"/>
      <c r="N35" s="311">
        <v>7218817</v>
      </c>
      <c r="O35" s="345">
        <v>653384</v>
      </c>
      <c r="T35" s="313"/>
      <c r="U35" s="313"/>
      <c r="X35" s="313"/>
    </row>
    <row r="36" spans="1:24" ht="16.5" thickTop="1" thickBot="1" x14ac:dyDescent="0.3">
      <c r="A36" s="313">
        <v>7805491</v>
      </c>
      <c r="B36" s="313">
        <v>393535</v>
      </c>
      <c r="C36" s="313"/>
      <c r="D36" s="313"/>
      <c r="E36" s="313"/>
      <c r="F36" s="313"/>
      <c r="J36" s="393" t="s">
        <v>2406</v>
      </c>
      <c r="K36" s="395">
        <v>7175172</v>
      </c>
      <c r="L36" s="396">
        <v>549826</v>
      </c>
      <c r="M36" s="313"/>
      <c r="N36" s="311">
        <v>7381195</v>
      </c>
      <c r="O36" s="345">
        <v>323681</v>
      </c>
      <c r="T36" s="313"/>
      <c r="U36" s="313"/>
      <c r="X36" s="313"/>
    </row>
    <row r="37" spans="1:24" ht="16.5" thickTop="1" thickBot="1" x14ac:dyDescent="0.3">
      <c r="A37" s="313">
        <v>7832444</v>
      </c>
      <c r="B37" s="313">
        <v>1102201</v>
      </c>
      <c r="C37" s="313"/>
      <c r="D37" s="313"/>
      <c r="E37" s="313"/>
      <c r="F37" s="313"/>
      <c r="J37" s="393" t="s">
        <v>2407</v>
      </c>
      <c r="K37" s="395">
        <v>4373225</v>
      </c>
      <c r="L37" s="396">
        <v>458374</v>
      </c>
      <c r="M37" s="313"/>
      <c r="N37" s="311">
        <v>7384495</v>
      </c>
      <c r="O37" s="345">
        <v>2393172</v>
      </c>
      <c r="T37" s="313"/>
      <c r="U37" s="313"/>
      <c r="X37" s="313"/>
    </row>
    <row r="38" spans="1:24" ht="16.5" thickTop="1" thickBot="1" x14ac:dyDescent="0.3">
      <c r="A38" s="313">
        <v>7846871</v>
      </c>
      <c r="B38" s="313">
        <v>603889</v>
      </c>
      <c r="C38" s="313"/>
      <c r="D38" s="313"/>
      <c r="E38" s="313"/>
      <c r="F38" s="313"/>
      <c r="J38" s="393" t="s">
        <v>2408</v>
      </c>
      <c r="K38" s="395">
        <v>6948137</v>
      </c>
      <c r="L38" s="396">
        <v>1472611</v>
      </c>
      <c r="M38" s="313"/>
      <c r="N38" s="311">
        <v>7653065</v>
      </c>
      <c r="O38" s="345">
        <v>1382185</v>
      </c>
      <c r="T38" s="313"/>
      <c r="U38" s="313"/>
      <c r="X38" s="313"/>
    </row>
    <row r="39" spans="1:24" ht="16.5" thickTop="1" thickBot="1" x14ac:dyDescent="0.3">
      <c r="A39" s="313">
        <v>8098643</v>
      </c>
      <c r="B39" s="313">
        <v>653372</v>
      </c>
      <c r="C39" s="313"/>
      <c r="D39" s="313"/>
      <c r="E39" s="313"/>
      <c r="F39" s="313"/>
      <c r="J39" s="393" t="s">
        <v>2409</v>
      </c>
      <c r="K39" s="395">
        <v>6473703</v>
      </c>
      <c r="L39" s="396">
        <v>972918</v>
      </c>
      <c r="M39" s="313"/>
      <c r="N39" s="311">
        <v>7790627</v>
      </c>
      <c r="O39" s="345">
        <v>2104207</v>
      </c>
      <c r="T39" s="313"/>
      <c r="U39" s="313"/>
      <c r="X39" s="313"/>
    </row>
    <row r="40" spans="1:24" ht="16.5" thickTop="1" thickBot="1" x14ac:dyDescent="0.3">
      <c r="A40" s="313">
        <v>8172268</v>
      </c>
      <c r="B40" s="313">
        <v>2503432</v>
      </c>
      <c r="C40" s="313"/>
      <c r="D40" s="313"/>
      <c r="E40" s="313"/>
      <c r="F40" s="313"/>
      <c r="J40" s="393" t="s">
        <v>2410</v>
      </c>
      <c r="K40" s="395">
        <v>7218817</v>
      </c>
      <c r="L40" s="396">
        <v>653384</v>
      </c>
      <c r="M40" s="313"/>
      <c r="N40" s="311">
        <v>7805491</v>
      </c>
      <c r="O40" s="345">
        <v>393535</v>
      </c>
      <c r="T40" s="313"/>
      <c r="U40" s="313"/>
      <c r="X40" s="313"/>
    </row>
    <row r="41" spans="1:24" ht="16.5" thickTop="1" thickBot="1" x14ac:dyDescent="0.3">
      <c r="A41" s="313">
        <v>8382823</v>
      </c>
      <c r="B41" s="313">
        <v>814208</v>
      </c>
      <c r="C41" s="313"/>
      <c r="D41" s="313"/>
      <c r="E41" s="313"/>
      <c r="F41" s="313"/>
      <c r="J41" s="393" t="s">
        <v>2411</v>
      </c>
      <c r="K41" s="395">
        <v>7381195</v>
      </c>
      <c r="L41" s="396">
        <v>323681</v>
      </c>
      <c r="M41" s="313"/>
      <c r="N41" s="311">
        <v>7832444</v>
      </c>
      <c r="O41" s="345">
        <v>1102190</v>
      </c>
      <c r="T41" s="313"/>
      <c r="U41" s="313"/>
      <c r="X41" s="313"/>
    </row>
    <row r="42" spans="1:24" ht="16.5" thickTop="1" thickBot="1" x14ac:dyDescent="0.3">
      <c r="A42" s="313">
        <v>8946698</v>
      </c>
      <c r="B42" s="313">
        <v>1105710</v>
      </c>
      <c r="C42" s="313"/>
      <c r="D42" s="313"/>
      <c r="E42" s="313"/>
      <c r="F42" s="313"/>
      <c r="J42" s="393" t="s">
        <v>2412</v>
      </c>
      <c r="K42" s="395">
        <v>3994122</v>
      </c>
      <c r="L42" s="396">
        <v>564655</v>
      </c>
      <c r="M42" s="313"/>
      <c r="N42" s="311">
        <v>7846871</v>
      </c>
      <c r="O42" s="345">
        <v>512809</v>
      </c>
      <c r="T42" s="313"/>
      <c r="U42" s="313"/>
      <c r="X42" s="313"/>
    </row>
    <row r="43" spans="1:24" ht="16.5" thickTop="1" thickBot="1" x14ac:dyDescent="0.3">
      <c r="A43" s="313">
        <v>9064643</v>
      </c>
      <c r="B43" s="313">
        <v>2207412</v>
      </c>
      <c r="C43" s="313"/>
      <c r="D43" s="313"/>
      <c r="E43" s="313"/>
      <c r="F43" s="313"/>
      <c r="J43" s="393" t="s">
        <v>2413</v>
      </c>
      <c r="K43" s="395">
        <v>6948137</v>
      </c>
      <c r="L43" s="396">
        <v>1619875</v>
      </c>
      <c r="M43" s="313"/>
      <c r="N43" s="311">
        <v>8098643</v>
      </c>
      <c r="O43" s="345">
        <v>653372</v>
      </c>
      <c r="T43" s="313"/>
      <c r="U43" s="313"/>
      <c r="X43" s="313"/>
    </row>
    <row r="44" spans="1:24" ht="16.5" thickTop="1" thickBot="1" x14ac:dyDescent="0.3">
      <c r="A44" s="313">
        <v>9379121</v>
      </c>
      <c r="B44" s="313">
        <v>1410292</v>
      </c>
      <c r="C44" s="313"/>
      <c r="D44" s="313"/>
      <c r="E44" s="313"/>
      <c r="F44" s="313"/>
      <c r="J44" s="393" t="s">
        <v>2414</v>
      </c>
      <c r="K44" s="395">
        <v>4885366</v>
      </c>
      <c r="L44" s="396">
        <v>1125716</v>
      </c>
      <c r="M44" s="313"/>
      <c r="N44" s="311">
        <v>8172268</v>
      </c>
      <c r="O44" s="345">
        <v>2503432</v>
      </c>
      <c r="T44" s="313"/>
      <c r="U44" s="313"/>
      <c r="X44" s="313"/>
    </row>
    <row r="45" spans="1:24" ht="16.5" thickTop="1" thickBot="1" x14ac:dyDescent="0.3">
      <c r="A45" s="313">
        <v>9659243</v>
      </c>
      <c r="B45" s="313">
        <v>1824431</v>
      </c>
      <c r="C45" s="313"/>
      <c r="D45" s="313"/>
      <c r="E45" s="313"/>
      <c r="F45" s="313"/>
      <c r="J45" s="393" t="s">
        <v>2415</v>
      </c>
      <c r="K45" s="395">
        <v>9818505</v>
      </c>
      <c r="L45" s="396">
        <v>1045225</v>
      </c>
      <c r="M45" s="313"/>
      <c r="N45" s="311">
        <v>8382823</v>
      </c>
      <c r="O45" s="345">
        <v>814208</v>
      </c>
      <c r="T45" s="313"/>
      <c r="U45" s="313"/>
      <c r="X45" s="313"/>
    </row>
    <row r="46" spans="1:24" ht="16.5" thickTop="1" thickBot="1" x14ac:dyDescent="0.3">
      <c r="A46" s="313">
        <v>9767213</v>
      </c>
      <c r="B46" s="313">
        <v>599462</v>
      </c>
      <c r="C46" s="313"/>
      <c r="D46" s="313"/>
      <c r="E46" s="313"/>
      <c r="F46" s="313"/>
      <c r="J46" s="393" t="s">
        <v>2416</v>
      </c>
      <c r="K46" s="395">
        <v>7805491</v>
      </c>
      <c r="L46" s="396">
        <v>393535</v>
      </c>
      <c r="M46" s="313"/>
      <c r="N46" s="311">
        <v>8946698</v>
      </c>
      <c r="O46" s="345">
        <v>1105710</v>
      </c>
      <c r="T46" s="313"/>
      <c r="U46" s="313"/>
      <c r="X46" s="313"/>
    </row>
    <row r="47" spans="1:24" ht="16.5" thickTop="1" thickBot="1" x14ac:dyDescent="0.3">
      <c r="A47" s="338">
        <v>9818505</v>
      </c>
      <c r="B47" s="338">
        <v>1391515</v>
      </c>
      <c r="C47" s="313"/>
      <c r="D47" s="313"/>
      <c r="E47" s="313"/>
      <c r="F47" s="313"/>
      <c r="J47" s="393" t="s">
        <v>2417</v>
      </c>
      <c r="K47" s="395">
        <v>9379121</v>
      </c>
      <c r="L47" s="396">
        <v>1410292</v>
      </c>
      <c r="M47" s="313"/>
      <c r="N47" s="311">
        <v>9064643</v>
      </c>
      <c r="O47" s="345">
        <v>2207412</v>
      </c>
      <c r="T47" s="313"/>
      <c r="U47" s="313"/>
      <c r="X47" s="313"/>
    </row>
    <row r="48" spans="1:24" ht="16.5" thickTop="1" thickBot="1" x14ac:dyDescent="0.3">
      <c r="A48" s="313" t="s">
        <v>1808</v>
      </c>
      <c r="B48" s="313">
        <v>50491617</v>
      </c>
      <c r="C48" s="313"/>
      <c r="D48" s="313"/>
      <c r="E48" s="313"/>
      <c r="F48" s="313"/>
      <c r="J48" s="394" t="s">
        <v>2418</v>
      </c>
      <c r="K48" s="395">
        <v>5945407</v>
      </c>
      <c r="L48" s="396">
        <v>251307</v>
      </c>
      <c r="M48" s="313"/>
      <c r="N48" s="311">
        <v>9379121</v>
      </c>
      <c r="O48" s="345">
        <v>1410292</v>
      </c>
      <c r="T48" s="313"/>
      <c r="U48" s="313"/>
      <c r="X48" s="313"/>
    </row>
    <row r="49" spans="1:24" ht="16.5" thickTop="1" thickBot="1" x14ac:dyDescent="0.3">
      <c r="A49" s="313"/>
      <c r="B49" s="313"/>
      <c r="C49" s="313"/>
      <c r="D49" s="313"/>
      <c r="E49" s="313"/>
      <c r="F49" s="313"/>
      <c r="J49" s="313"/>
      <c r="K49" s="395">
        <v>1378201</v>
      </c>
      <c r="L49" s="396">
        <v>436769.64</v>
      </c>
      <c r="M49" s="313"/>
      <c r="N49" s="311">
        <v>9659243</v>
      </c>
      <c r="O49" s="345">
        <v>1525738</v>
      </c>
      <c r="T49" s="313"/>
      <c r="U49" s="313"/>
      <c r="X49" s="313"/>
    </row>
    <row r="50" spans="1:24" ht="16.5" thickTop="1" thickBot="1" x14ac:dyDescent="0.3">
      <c r="A50" s="313"/>
      <c r="B50" s="313"/>
      <c r="C50" s="313"/>
      <c r="D50" s="313"/>
      <c r="E50" s="313"/>
      <c r="F50" s="313"/>
      <c r="J50" s="313"/>
      <c r="K50" s="395">
        <v>2390992</v>
      </c>
      <c r="L50" s="396">
        <v>852000</v>
      </c>
      <c r="M50" s="313"/>
      <c r="N50" s="311">
        <v>9767213</v>
      </c>
      <c r="O50" s="345">
        <v>599462</v>
      </c>
      <c r="T50" s="313"/>
      <c r="U50" s="313"/>
      <c r="X50" s="313"/>
    </row>
    <row r="51" spans="1:24" ht="16.5" thickTop="1" thickBot="1" x14ac:dyDescent="0.3">
      <c r="A51" s="313"/>
      <c r="B51" s="313"/>
      <c r="C51" s="313"/>
      <c r="D51" s="313"/>
      <c r="E51" s="313"/>
      <c r="F51" s="313"/>
      <c r="J51" s="313"/>
      <c r="K51" s="395">
        <v>6361701</v>
      </c>
      <c r="L51" s="396">
        <v>1029711</v>
      </c>
      <c r="M51" s="313"/>
      <c r="N51" s="311">
        <v>9818505</v>
      </c>
      <c r="O51" s="345">
        <v>1045225</v>
      </c>
      <c r="T51" s="313"/>
      <c r="U51" s="313"/>
      <c r="X51" s="313"/>
    </row>
    <row r="52" spans="1:24" ht="16.5" thickTop="1" thickBot="1" x14ac:dyDescent="0.3">
      <c r="A52" s="313" t="s">
        <v>37</v>
      </c>
      <c r="B52" s="313"/>
      <c r="C52" s="313" t="s">
        <v>1826</v>
      </c>
      <c r="D52" s="313"/>
      <c r="E52" s="313"/>
      <c r="F52" s="313"/>
      <c r="J52" s="313"/>
      <c r="K52" s="395">
        <v>2788586</v>
      </c>
      <c r="L52" s="396">
        <v>1006700</v>
      </c>
      <c r="M52" s="313"/>
      <c r="N52" s="311" t="s">
        <v>1808</v>
      </c>
      <c r="O52" s="345">
        <v>65248894.260000005</v>
      </c>
      <c r="T52" s="313"/>
      <c r="U52" s="313"/>
      <c r="X52" s="313"/>
    </row>
    <row r="53" spans="1:24" ht="16.5" thickTop="1" thickBot="1" x14ac:dyDescent="0.3">
      <c r="A53" s="331">
        <v>1378201</v>
      </c>
      <c r="B53" s="313"/>
      <c r="C53" s="313"/>
      <c r="D53" s="313">
        <v>1</v>
      </c>
      <c r="E53" s="313" t="s">
        <v>1827</v>
      </c>
      <c r="F53" s="313"/>
      <c r="J53" s="313"/>
      <c r="K53" s="395">
        <v>3650770</v>
      </c>
      <c r="L53" s="396">
        <v>2080800</v>
      </c>
      <c r="M53" s="313"/>
      <c r="N53" s="313"/>
      <c r="T53" s="313"/>
      <c r="U53" s="313"/>
      <c r="X53" s="313"/>
    </row>
    <row r="54" spans="1:24" ht="16.5" thickTop="1" thickBot="1" x14ac:dyDescent="0.3">
      <c r="A54" s="313">
        <v>6361701</v>
      </c>
      <c r="B54" s="313">
        <v>1029711</v>
      </c>
      <c r="C54" s="313" t="s">
        <v>375</v>
      </c>
      <c r="D54" s="313">
        <v>1</v>
      </c>
      <c r="E54" s="313" t="s">
        <v>1827</v>
      </c>
      <c r="F54" s="313"/>
      <c r="J54" s="313"/>
      <c r="K54" s="395">
        <v>7790627</v>
      </c>
      <c r="L54" s="396">
        <v>2104207</v>
      </c>
      <c r="M54" s="313"/>
      <c r="N54" s="313"/>
      <c r="T54" s="313"/>
      <c r="U54" s="313"/>
      <c r="X54" s="313"/>
    </row>
    <row r="55" spans="1:24" ht="16.5" thickTop="1" thickBot="1" x14ac:dyDescent="0.3">
      <c r="A55" s="313">
        <v>2788586</v>
      </c>
      <c r="B55" s="313">
        <v>1006700</v>
      </c>
      <c r="C55" s="313" t="s">
        <v>826</v>
      </c>
      <c r="D55" s="313">
        <v>1</v>
      </c>
      <c r="E55" s="313" t="s">
        <v>1827</v>
      </c>
      <c r="F55" s="313"/>
      <c r="J55" s="313"/>
      <c r="K55" s="395">
        <v>7384495</v>
      </c>
      <c r="L55" s="396">
        <v>2393172</v>
      </c>
      <c r="M55" s="313"/>
      <c r="N55" s="313"/>
      <c r="T55" s="313"/>
      <c r="U55" s="313"/>
      <c r="X55" s="313"/>
    </row>
    <row r="56" spans="1:24" ht="16.5" thickTop="1" thickBot="1" x14ac:dyDescent="0.3">
      <c r="A56" s="313">
        <v>2390992</v>
      </c>
      <c r="B56" s="313">
        <v>852000</v>
      </c>
      <c r="C56" s="313" t="s">
        <v>698</v>
      </c>
      <c r="D56" s="313">
        <v>1</v>
      </c>
      <c r="E56" s="313" t="s">
        <v>1827</v>
      </c>
      <c r="F56" s="313"/>
      <c r="J56" s="313"/>
      <c r="K56" s="395">
        <v>6948137</v>
      </c>
      <c r="L56" s="396">
        <v>1521900</v>
      </c>
      <c r="M56" s="313"/>
      <c r="N56" s="313"/>
      <c r="T56" s="313"/>
      <c r="U56" s="313"/>
      <c r="X56" s="313"/>
    </row>
    <row r="57" spans="1:24" ht="16.5" thickTop="1" thickBot="1" x14ac:dyDescent="0.3">
      <c r="A57" s="313">
        <v>3650770</v>
      </c>
      <c r="B57" s="313">
        <v>2080800</v>
      </c>
      <c r="C57" s="313" t="s">
        <v>257</v>
      </c>
      <c r="D57" s="313">
        <v>1</v>
      </c>
      <c r="E57" s="313" t="s">
        <v>1827</v>
      </c>
      <c r="F57" s="313"/>
      <c r="J57" s="313"/>
      <c r="K57" s="395">
        <v>6948137</v>
      </c>
      <c r="L57" s="396">
        <v>1582670</v>
      </c>
      <c r="M57" s="313"/>
      <c r="N57" s="313"/>
      <c r="T57" s="313"/>
      <c r="U57" s="313"/>
      <c r="X57" s="313"/>
    </row>
    <row r="58" spans="1:24" ht="16.5" thickTop="1" thickBot="1" x14ac:dyDescent="0.3">
      <c r="A58" s="313">
        <v>7790627</v>
      </c>
      <c r="B58" s="313">
        <v>2104207</v>
      </c>
      <c r="C58" s="313" t="s">
        <v>375</v>
      </c>
      <c r="D58" s="313">
        <v>1</v>
      </c>
      <c r="E58" s="313" t="s">
        <v>1827</v>
      </c>
      <c r="F58" s="313"/>
      <c r="J58" s="313"/>
      <c r="K58" s="395">
        <v>1236570</v>
      </c>
      <c r="L58" s="396">
        <v>4268710</v>
      </c>
      <c r="M58" s="313"/>
      <c r="N58" s="313"/>
      <c r="T58" s="313"/>
      <c r="U58" s="313"/>
      <c r="X58" s="313"/>
    </row>
    <row r="59" spans="1:24" ht="15.75" thickTop="1" x14ac:dyDescent="0.25">
      <c r="A59" s="313">
        <v>7384495</v>
      </c>
      <c r="B59" s="313">
        <v>2393172</v>
      </c>
      <c r="C59" s="313" t="s">
        <v>485</v>
      </c>
      <c r="D59" s="313">
        <v>1</v>
      </c>
      <c r="E59" s="313" t="s">
        <v>1827</v>
      </c>
      <c r="F59" s="313"/>
      <c r="J59" s="313"/>
      <c r="K59" s="313"/>
      <c r="L59" s="314">
        <f>SUM(L2:L58)</f>
        <v>65248894.260000005</v>
      </c>
      <c r="M59" s="313"/>
      <c r="N59" s="313"/>
      <c r="T59" s="313"/>
      <c r="U59" s="313"/>
      <c r="X59" s="313"/>
    </row>
    <row r="60" spans="1:24" ht="15.75" thickBot="1" x14ac:dyDescent="0.3">
      <c r="A60" s="313"/>
      <c r="B60" s="313">
        <v>9466590</v>
      </c>
      <c r="C60" s="313"/>
      <c r="D60" s="313">
        <v>1</v>
      </c>
      <c r="E60" s="313" t="s">
        <v>1827</v>
      </c>
      <c r="F60" s="313"/>
      <c r="J60" s="313"/>
      <c r="K60" s="313"/>
      <c r="M60" s="313"/>
      <c r="N60" s="313"/>
      <c r="T60" s="313"/>
      <c r="U60" s="313"/>
      <c r="X60" s="313"/>
    </row>
    <row r="61" spans="1:24" ht="15.75" thickBot="1" x14ac:dyDescent="0.3">
      <c r="A61" s="339"/>
      <c r="B61" s="340">
        <v>59958207</v>
      </c>
      <c r="C61" s="313"/>
      <c r="D61" s="313">
        <v>1</v>
      </c>
      <c r="E61" s="313" t="s">
        <v>1827</v>
      </c>
      <c r="F61" s="313"/>
      <c r="J61" s="313"/>
      <c r="K61" s="313"/>
      <c r="M61" s="313"/>
      <c r="N61" s="313"/>
      <c r="T61" s="313"/>
      <c r="U61" s="313"/>
      <c r="X61" s="313"/>
    </row>
    <row r="62" spans="1:24" x14ac:dyDescent="0.25">
      <c r="A62" s="313" t="s">
        <v>1828</v>
      </c>
      <c r="B62" s="314">
        <v>44695869.00333333</v>
      </c>
      <c r="C62" s="313"/>
      <c r="D62" s="313">
        <v>1</v>
      </c>
      <c r="E62" s="313" t="s">
        <v>1827</v>
      </c>
      <c r="F62" s="313"/>
      <c r="J62" s="313"/>
      <c r="K62" s="313"/>
      <c r="M62" s="313"/>
      <c r="N62" s="313"/>
      <c r="T62" s="313"/>
      <c r="U62" s="313"/>
      <c r="X62" s="313"/>
    </row>
    <row r="63" spans="1:24" x14ac:dyDescent="0.25">
      <c r="A63" s="313"/>
      <c r="B63" s="313"/>
      <c r="C63" s="313"/>
      <c r="D63" s="313">
        <v>1</v>
      </c>
      <c r="E63" s="313" t="s">
        <v>1827</v>
      </c>
      <c r="F63" s="313"/>
      <c r="J63" s="313"/>
      <c r="K63" s="313"/>
      <c r="M63" s="313"/>
      <c r="N63" s="313"/>
      <c r="T63" s="313"/>
      <c r="U63" s="313"/>
      <c r="X63" s="313"/>
    </row>
    <row r="64" spans="1:24" x14ac:dyDescent="0.25">
      <c r="A64" s="313"/>
      <c r="B64" s="313"/>
      <c r="C64" s="313"/>
      <c r="D64" s="313">
        <v>1</v>
      </c>
      <c r="E64" s="313" t="s">
        <v>1827</v>
      </c>
      <c r="F64" s="313"/>
      <c r="J64" s="313"/>
      <c r="K64" s="313"/>
      <c r="M64" s="313"/>
      <c r="N64" s="313"/>
      <c r="T64" s="313"/>
      <c r="U64" s="313"/>
      <c r="X64" s="313"/>
    </row>
    <row r="65" spans="1:24" x14ac:dyDescent="0.25">
      <c r="A65" s="338"/>
      <c r="B65" s="338"/>
      <c r="C65" s="313"/>
      <c r="D65" s="313">
        <v>1</v>
      </c>
      <c r="E65" s="313" t="s">
        <v>1827</v>
      </c>
      <c r="F65" s="313"/>
      <c r="J65" s="313"/>
      <c r="K65" s="313"/>
      <c r="M65" s="313"/>
      <c r="N65" s="313"/>
      <c r="T65" s="313"/>
      <c r="U65" s="313"/>
      <c r="X65" s="313"/>
    </row>
    <row r="66" spans="1:24" x14ac:dyDescent="0.25">
      <c r="A66" s="331">
        <v>1378201</v>
      </c>
      <c r="B66" s="338">
        <v>476784</v>
      </c>
      <c r="C66" s="313"/>
      <c r="D66" s="313">
        <v>1</v>
      </c>
      <c r="E66" s="313" t="s">
        <v>1827</v>
      </c>
      <c r="F66" s="313"/>
      <c r="J66" s="313"/>
      <c r="K66" s="313"/>
      <c r="M66" s="313"/>
      <c r="N66" s="313"/>
      <c r="T66" s="313"/>
      <c r="U66" s="313"/>
      <c r="X66" s="313"/>
    </row>
    <row r="67" spans="1:24" x14ac:dyDescent="0.25">
      <c r="A67" s="313"/>
      <c r="B67" s="313"/>
      <c r="C67" s="313"/>
      <c r="D67" s="313"/>
      <c r="E67" s="313"/>
      <c r="F67" s="313"/>
      <c r="J67" s="313"/>
      <c r="K67" s="313"/>
      <c r="M67" s="313"/>
      <c r="N67" s="313"/>
      <c r="T67" s="313"/>
      <c r="U67" s="313"/>
      <c r="X67" s="313"/>
    </row>
    <row r="68" spans="1:24" x14ac:dyDescent="0.25">
      <c r="A68" s="313"/>
      <c r="B68" s="313"/>
      <c r="C68" s="313"/>
      <c r="D68" s="313"/>
      <c r="E68" s="313"/>
      <c r="F68" s="313"/>
      <c r="J68" s="313"/>
      <c r="K68" s="313"/>
      <c r="M68" s="313"/>
      <c r="N68" s="313"/>
      <c r="T68" s="313"/>
      <c r="U68" s="313"/>
      <c r="X68" s="313"/>
    </row>
    <row r="69" spans="1:24" x14ac:dyDescent="0.25">
      <c r="A69" s="313"/>
      <c r="B69" s="313"/>
      <c r="C69" s="313"/>
      <c r="D69" s="313"/>
      <c r="E69" s="313"/>
      <c r="F69" s="313"/>
      <c r="J69" s="313"/>
      <c r="K69" s="313"/>
      <c r="M69" s="313"/>
      <c r="N69" s="313"/>
      <c r="T69" s="313"/>
      <c r="U69" s="313"/>
      <c r="X69" s="313"/>
    </row>
    <row r="70" spans="1:24" x14ac:dyDescent="0.25">
      <c r="A70" s="313"/>
      <c r="B70" s="313"/>
      <c r="C70" s="313"/>
      <c r="D70" s="313"/>
      <c r="E70" s="313"/>
      <c r="F70" s="313"/>
      <c r="J70" s="313"/>
      <c r="K70" s="313"/>
      <c r="M70" s="313"/>
      <c r="N70" s="313"/>
      <c r="T70" s="313"/>
      <c r="U70" s="313"/>
      <c r="X70" s="313"/>
    </row>
    <row r="71" spans="1:24" x14ac:dyDescent="0.25">
      <c r="J71" s="313"/>
      <c r="K71" s="313"/>
      <c r="M71" s="313"/>
      <c r="N71" s="313"/>
      <c r="T71" s="313"/>
      <c r="U71" s="313"/>
      <c r="X71" s="313"/>
    </row>
    <row r="72" spans="1:24" x14ac:dyDescent="0.25">
      <c r="J72" s="313"/>
      <c r="K72" s="313"/>
      <c r="M72" s="313"/>
      <c r="N72" s="313"/>
      <c r="T72" s="313"/>
      <c r="U72" s="313"/>
      <c r="X72" s="313"/>
    </row>
    <row r="73" spans="1:24" x14ac:dyDescent="0.25">
      <c r="J73" s="313"/>
      <c r="K73" s="313"/>
      <c r="M73" s="313"/>
      <c r="N73" s="313"/>
      <c r="T73" s="313"/>
      <c r="U73" s="313"/>
      <c r="X73" s="313"/>
    </row>
    <row r="74" spans="1:24" x14ac:dyDescent="0.25">
      <c r="J74" s="313"/>
      <c r="K74" s="313"/>
      <c r="M74" s="313"/>
      <c r="N74" s="313"/>
      <c r="T74" s="313"/>
      <c r="U74" s="313"/>
      <c r="X74" s="313"/>
    </row>
    <row r="75" spans="1:24" x14ac:dyDescent="0.25">
      <c r="J75" s="313"/>
      <c r="K75" s="313"/>
      <c r="M75" s="313"/>
      <c r="N75" s="313"/>
      <c r="T75" s="313"/>
      <c r="U75" s="313"/>
      <c r="X75" s="313"/>
    </row>
    <row r="76" spans="1:24" x14ac:dyDescent="0.25">
      <c r="J76" s="313"/>
      <c r="K76" s="313"/>
      <c r="M76" s="313"/>
      <c r="N76" s="313"/>
      <c r="T76" s="313"/>
      <c r="U76" s="313"/>
      <c r="X76" s="313"/>
    </row>
  </sheetData>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08"/>
  <sheetViews>
    <sheetView topLeftCell="A51" workbookViewId="0">
      <selection activeCell="D59" sqref="D59"/>
    </sheetView>
  </sheetViews>
  <sheetFormatPr defaultRowHeight="15" x14ac:dyDescent="0.25"/>
  <cols>
    <col min="2" max="2" width="9.5703125" customWidth="1"/>
    <col min="4" max="4" width="14.7109375" customWidth="1"/>
    <col min="5" max="5" width="21.28515625" style="313" customWidth="1"/>
    <col min="6" max="6" width="15.7109375" customWidth="1"/>
    <col min="18" max="18" width="12.28515625" customWidth="1"/>
  </cols>
  <sheetData>
    <row r="1" spans="1:18" ht="24" thickBot="1" x14ac:dyDescent="0.4">
      <c r="A1" s="205"/>
      <c r="B1" s="206"/>
      <c r="C1" s="206"/>
      <c r="D1" s="206">
        <v>1</v>
      </c>
      <c r="E1" s="206"/>
      <c r="F1" s="206">
        <v>2</v>
      </c>
      <c r="G1" s="206">
        <v>3</v>
      </c>
      <c r="H1" s="206">
        <v>4</v>
      </c>
      <c r="I1" s="206">
        <v>5</v>
      </c>
      <c r="J1" s="206">
        <v>6</v>
      </c>
      <c r="K1" s="206">
        <v>7</v>
      </c>
      <c r="L1" s="206">
        <v>8</v>
      </c>
      <c r="M1" s="206">
        <v>9</v>
      </c>
      <c r="N1" s="206">
        <v>10</v>
      </c>
      <c r="O1" s="206">
        <v>11</v>
      </c>
      <c r="P1" s="206">
        <v>12</v>
      </c>
      <c r="Q1" s="206">
        <v>13</v>
      </c>
      <c r="R1" s="206">
        <v>14</v>
      </c>
    </row>
    <row r="2" spans="1:18" ht="59.1" customHeight="1" thickTop="1" thickBot="1" x14ac:dyDescent="0.45">
      <c r="A2" s="210" t="s">
        <v>1555</v>
      </c>
      <c r="B2" s="211" t="s">
        <v>38</v>
      </c>
      <c r="C2" s="211" t="s">
        <v>1556</v>
      </c>
      <c r="D2" s="212" t="s">
        <v>37</v>
      </c>
      <c r="E2" s="212" t="s">
        <v>1829</v>
      </c>
      <c r="F2" s="212" t="s">
        <v>40</v>
      </c>
      <c r="G2" s="213" t="s">
        <v>1040</v>
      </c>
      <c r="H2" s="214" t="s">
        <v>1557</v>
      </c>
      <c r="I2" s="215" t="s">
        <v>1558</v>
      </c>
      <c r="J2" s="214" t="s">
        <v>1043</v>
      </c>
      <c r="K2" s="214" t="s">
        <v>1559</v>
      </c>
      <c r="L2" s="214" t="s">
        <v>1560</v>
      </c>
      <c r="M2" s="214" t="s">
        <v>1561</v>
      </c>
      <c r="N2" s="216" t="s">
        <v>1562</v>
      </c>
      <c r="O2" s="214" t="s">
        <v>1563</v>
      </c>
      <c r="P2" s="217" t="s">
        <v>1564</v>
      </c>
      <c r="Q2" s="216" t="s">
        <v>1565</v>
      </c>
      <c r="R2" s="218" t="s">
        <v>1566</v>
      </c>
    </row>
    <row r="3" spans="1:18" ht="65.099999999999994" customHeight="1" thickTop="1" x14ac:dyDescent="0.25">
      <c r="A3" s="219" t="s">
        <v>1567</v>
      </c>
      <c r="B3" s="220" t="s">
        <v>1568</v>
      </c>
      <c r="C3" s="220" t="s">
        <v>1569</v>
      </c>
      <c r="D3" s="221">
        <v>1378201</v>
      </c>
      <c r="E3" s="343">
        <v>1052312.6341313617</v>
      </c>
      <c r="F3" s="221" t="s">
        <v>877</v>
      </c>
      <c r="G3" s="222" t="s">
        <v>874</v>
      </c>
      <c r="H3" s="220" t="s">
        <v>45</v>
      </c>
      <c r="I3" s="223" t="s">
        <v>1570</v>
      </c>
      <c r="J3" s="220" t="s">
        <v>1571</v>
      </c>
      <c r="K3" s="224">
        <v>2</v>
      </c>
      <c r="L3" s="225"/>
      <c r="M3" s="225" t="s">
        <v>1572</v>
      </c>
      <c r="N3" s="226">
        <f>((P3/O3)*12)/K3</f>
        <v>526156.31706568087</v>
      </c>
      <c r="O3" s="225">
        <v>30</v>
      </c>
      <c r="P3" s="226">
        <v>2630781.5853284043</v>
      </c>
      <c r="Q3" s="226">
        <v>3008406.5853284043</v>
      </c>
      <c r="R3" s="227">
        <f>P3/O3*12</f>
        <v>1052312.6341313617</v>
      </c>
    </row>
    <row r="4" spans="1:18" ht="132.75" x14ac:dyDescent="0.25">
      <c r="A4" s="219" t="s">
        <v>1573</v>
      </c>
      <c r="B4" s="220" t="s">
        <v>1568</v>
      </c>
      <c r="C4" s="220" t="s">
        <v>1574</v>
      </c>
      <c r="D4" s="228">
        <v>7846871</v>
      </c>
      <c r="E4" s="343">
        <v>2119508.9633388799</v>
      </c>
      <c r="F4" s="228" t="s">
        <v>1246</v>
      </c>
      <c r="G4" s="229" t="s">
        <v>1247</v>
      </c>
      <c r="H4" s="220" t="s">
        <v>45</v>
      </c>
      <c r="I4" s="223" t="s">
        <v>1575</v>
      </c>
      <c r="J4" s="220" t="s">
        <v>1571</v>
      </c>
      <c r="K4" s="230">
        <v>4</v>
      </c>
      <c r="L4" s="225"/>
      <c r="M4" s="225" t="s">
        <v>1572</v>
      </c>
      <c r="N4" s="226">
        <f t="shared" ref="N4:N29" si="0">((P4/O4)*12)/K4</f>
        <v>529877.24083471997</v>
      </c>
      <c r="O4" s="225">
        <v>30</v>
      </c>
      <c r="P4" s="226">
        <v>5298772.4083471997</v>
      </c>
      <c r="Q4" s="226">
        <v>5698772.4083472006</v>
      </c>
      <c r="R4" s="227">
        <f t="shared" ref="R4:R29" si="1">P4/O4*12</f>
        <v>2119508.9633388799</v>
      </c>
    </row>
    <row r="5" spans="1:18" ht="96.75" x14ac:dyDescent="0.25">
      <c r="A5" s="219" t="s">
        <v>1576</v>
      </c>
      <c r="B5" s="231" t="s">
        <v>1577</v>
      </c>
      <c r="C5" s="220" t="s">
        <v>1578</v>
      </c>
      <c r="D5" s="232">
        <v>2438469</v>
      </c>
      <c r="E5" s="343">
        <v>2840805.433337939</v>
      </c>
      <c r="F5" s="228" t="s">
        <v>1391</v>
      </c>
      <c r="G5" s="233" t="s">
        <v>947</v>
      </c>
      <c r="H5" s="234" t="s">
        <v>1579</v>
      </c>
      <c r="I5" s="225" t="s">
        <v>1580</v>
      </c>
      <c r="J5" s="220" t="s">
        <v>1581</v>
      </c>
      <c r="K5" s="235">
        <v>5.85</v>
      </c>
      <c r="L5" s="225">
        <v>14</v>
      </c>
      <c r="M5" s="225" t="s">
        <v>1582</v>
      </c>
      <c r="N5" s="226">
        <f>((P5/O5)*12)/L5</f>
        <v>202914.67380985277</v>
      </c>
      <c r="O5" s="225">
        <v>30</v>
      </c>
      <c r="P5" s="226">
        <v>7102013.583344847</v>
      </c>
      <c r="Q5" s="226">
        <v>8064513.583344847</v>
      </c>
      <c r="R5" s="227">
        <f t="shared" si="1"/>
        <v>2840805.433337939</v>
      </c>
    </row>
    <row r="6" spans="1:18" ht="120" x14ac:dyDescent="0.25">
      <c r="A6" s="219" t="s">
        <v>1583</v>
      </c>
      <c r="B6" s="220" t="s">
        <v>1577</v>
      </c>
      <c r="C6" s="220" t="s">
        <v>1584</v>
      </c>
      <c r="D6" s="228">
        <v>2514714</v>
      </c>
      <c r="E6" s="343">
        <v>1059104.6825002881</v>
      </c>
      <c r="F6" s="228" t="s">
        <v>860</v>
      </c>
      <c r="G6" s="229" t="s">
        <v>857</v>
      </c>
      <c r="H6" s="234" t="s">
        <v>1579</v>
      </c>
      <c r="I6" s="223" t="s">
        <v>1585</v>
      </c>
      <c r="J6" s="220" t="s">
        <v>1586</v>
      </c>
      <c r="K6" s="230">
        <v>2.5</v>
      </c>
      <c r="L6" s="225">
        <v>11</v>
      </c>
      <c r="M6" s="225" t="s">
        <v>1582</v>
      </c>
      <c r="N6" s="226">
        <f t="shared" ref="N6:N10" si="2">((P6/O6)*12)/L6</f>
        <v>96282.243863662559</v>
      </c>
      <c r="O6" s="225">
        <v>30</v>
      </c>
      <c r="P6" s="226">
        <v>2647761.7062507202</v>
      </c>
      <c r="Q6" s="226">
        <v>5552761.7062507207</v>
      </c>
      <c r="R6" s="227">
        <f t="shared" si="1"/>
        <v>1059104.6825002881</v>
      </c>
    </row>
    <row r="7" spans="1:18" ht="144.75" x14ac:dyDescent="0.25">
      <c r="A7" s="219" t="s">
        <v>1587</v>
      </c>
      <c r="B7" s="231" t="s">
        <v>1577</v>
      </c>
      <c r="C7" s="220" t="s">
        <v>1588</v>
      </c>
      <c r="D7" s="232">
        <v>3028344</v>
      </c>
      <c r="E7" s="343">
        <v>3222820.7912944802</v>
      </c>
      <c r="F7" s="228" t="s">
        <v>1517</v>
      </c>
      <c r="G7" s="229" t="s">
        <v>1517</v>
      </c>
      <c r="H7" s="234" t="s">
        <v>1579</v>
      </c>
      <c r="I7" s="225" t="s">
        <v>1589</v>
      </c>
      <c r="J7" s="220" t="s">
        <v>1590</v>
      </c>
      <c r="K7" s="235">
        <v>6</v>
      </c>
      <c r="L7" s="225">
        <v>32</v>
      </c>
      <c r="M7" s="225" t="s">
        <v>1582</v>
      </c>
      <c r="N7" s="226">
        <f t="shared" si="2"/>
        <v>100713.14972795251</v>
      </c>
      <c r="O7" s="225">
        <v>30</v>
      </c>
      <c r="P7" s="226">
        <v>8057051.9782362003</v>
      </c>
      <c r="Q7" s="226">
        <v>12707051.9782362</v>
      </c>
      <c r="R7" s="227">
        <f t="shared" si="1"/>
        <v>3222820.7912944802</v>
      </c>
    </row>
    <row r="8" spans="1:18" ht="108.75" x14ac:dyDescent="0.25">
      <c r="A8" s="219" t="s">
        <v>1591</v>
      </c>
      <c r="B8" s="231" t="s">
        <v>1577</v>
      </c>
      <c r="C8" s="220" t="s">
        <v>1592</v>
      </c>
      <c r="D8" s="232">
        <v>4699567</v>
      </c>
      <c r="E8" s="343">
        <v>3959479.0792496316</v>
      </c>
      <c r="F8" s="228" t="s">
        <v>1388</v>
      </c>
      <c r="G8" s="229" t="s">
        <v>776</v>
      </c>
      <c r="H8" s="234" t="s">
        <v>1579</v>
      </c>
      <c r="I8" s="225" t="s">
        <v>1575</v>
      </c>
      <c r="J8" s="220" t="s">
        <v>1586</v>
      </c>
      <c r="K8" s="235">
        <v>6.8</v>
      </c>
      <c r="L8" s="225">
        <v>32</v>
      </c>
      <c r="M8" s="225" t="s">
        <v>1582</v>
      </c>
      <c r="N8" s="226">
        <f t="shared" si="2"/>
        <v>123733.72122655099</v>
      </c>
      <c r="O8" s="225">
        <v>30</v>
      </c>
      <c r="P8" s="226">
        <v>9898697.698124079</v>
      </c>
      <c r="Q8" s="226">
        <v>11808697.698124077</v>
      </c>
      <c r="R8" s="227">
        <f t="shared" si="1"/>
        <v>3959479.0792496316</v>
      </c>
    </row>
    <row r="9" spans="1:18" ht="96.75" x14ac:dyDescent="0.25">
      <c r="A9" s="219" t="s">
        <v>1593</v>
      </c>
      <c r="B9" s="231" t="s">
        <v>1577</v>
      </c>
      <c r="C9" s="220" t="s">
        <v>1594</v>
      </c>
      <c r="D9" s="228">
        <v>9064643</v>
      </c>
      <c r="E9" s="343">
        <v>5929679.8103662794</v>
      </c>
      <c r="F9" s="228" t="s">
        <v>818</v>
      </c>
      <c r="G9" s="229" t="s">
        <v>812</v>
      </c>
      <c r="H9" s="234" t="s">
        <v>1579</v>
      </c>
      <c r="I9" s="225" t="s">
        <v>1595</v>
      </c>
      <c r="J9" s="220" t="s">
        <v>1581</v>
      </c>
      <c r="K9" s="235">
        <v>7</v>
      </c>
      <c r="L9" s="225">
        <v>72</v>
      </c>
      <c r="M9" s="225" t="s">
        <v>1582</v>
      </c>
      <c r="N9" s="226">
        <f t="shared" si="2"/>
        <v>82356.664032864996</v>
      </c>
      <c r="O9" s="225">
        <v>30</v>
      </c>
      <c r="P9" s="226">
        <v>14824199.525915699</v>
      </c>
      <c r="Q9" s="226">
        <v>16324199.52591572</v>
      </c>
      <c r="R9" s="227">
        <f t="shared" si="1"/>
        <v>5929679.8103662794</v>
      </c>
    </row>
    <row r="10" spans="1:18" ht="108.75" x14ac:dyDescent="0.25">
      <c r="A10" s="219" t="s">
        <v>1596</v>
      </c>
      <c r="B10" s="231" t="s">
        <v>1577</v>
      </c>
      <c r="C10" s="220" t="s">
        <v>1597</v>
      </c>
      <c r="D10" s="236">
        <v>3961063</v>
      </c>
      <c r="E10" s="343">
        <v>3402237.5858069072</v>
      </c>
      <c r="F10" s="237" t="s">
        <v>1519</v>
      </c>
      <c r="G10" s="238" t="s">
        <v>812</v>
      </c>
      <c r="H10" s="234" t="s">
        <v>1579</v>
      </c>
      <c r="I10" s="225" t="s">
        <v>1595</v>
      </c>
      <c r="J10" s="220" t="s">
        <v>1586</v>
      </c>
      <c r="K10" s="235">
        <v>5.5</v>
      </c>
      <c r="L10" s="225">
        <v>11</v>
      </c>
      <c r="M10" s="225" t="s">
        <v>1582</v>
      </c>
      <c r="N10" s="226">
        <f t="shared" si="2"/>
        <v>309294.32598244608</v>
      </c>
      <c r="O10" s="225">
        <v>30</v>
      </c>
      <c r="P10" s="226">
        <v>8505593.9645172674</v>
      </c>
      <c r="Q10" s="226">
        <v>8880593.9645172674</v>
      </c>
      <c r="R10" s="227">
        <f t="shared" si="1"/>
        <v>3402237.5858069072</v>
      </c>
    </row>
    <row r="11" spans="1:18" ht="108.75" x14ac:dyDescent="0.25">
      <c r="A11" s="219" t="s">
        <v>1598</v>
      </c>
      <c r="B11" s="231" t="s">
        <v>1599</v>
      </c>
      <c r="C11" s="220" t="s">
        <v>1600</v>
      </c>
      <c r="D11" s="232">
        <v>6585534</v>
      </c>
      <c r="E11" s="343">
        <v>3297218.8114025602</v>
      </c>
      <c r="F11" s="228" t="s">
        <v>1401</v>
      </c>
      <c r="G11" s="229" t="s">
        <v>776</v>
      </c>
      <c r="H11" s="220" t="s">
        <v>1601</v>
      </c>
      <c r="I11" s="231" t="s">
        <v>1602</v>
      </c>
      <c r="J11" s="220" t="s">
        <v>1603</v>
      </c>
      <c r="K11" s="235">
        <v>4</v>
      </c>
      <c r="L11" s="225"/>
      <c r="M11" s="225" t="s">
        <v>1572</v>
      </c>
      <c r="N11" s="226">
        <f t="shared" si="0"/>
        <v>824304.70285064005</v>
      </c>
      <c r="O11" s="225">
        <v>30</v>
      </c>
      <c r="P11" s="226">
        <v>8243047.0285064001</v>
      </c>
      <c r="Q11" s="226">
        <v>8523047.0285064001</v>
      </c>
      <c r="R11" s="227">
        <f t="shared" si="1"/>
        <v>3297218.8114025602</v>
      </c>
    </row>
    <row r="12" spans="1:18" ht="156.75" x14ac:dyDescent="0.25">
      <c r="A12" s="219" t="s">
        <v>1604</v>
      </c>
      <c r="B12" s="231" t="s">
        <v>1605</v>
      </c>
      <c r="C12" s="220" t="s">
        <v>1606</v>
      </c>
      <c r="D12" s="232">
        <v>1552469</v>
      </c>
      <c r="E12" s="343">
        <v>1137805.3840966881</v>
      </c>
      <c r="F12" s="228" t="s">
        <v>878</v>
      </c>
      <c r="G12" s="239" t="s">
        <v>874</v>
      </c>
      <c r="H12" s="220" t="s">
        <v>1607</v>
      </c>
      <c r="I12" s="225" t="s">
        <v>1570</v>
      </c>
      <c r="J12" s="220" t="s">
        <v>1571</v>
      </c>
      <c r="K12" s="235">
        <v>1.62</v>
      </c>
      <c r="L12" s="225"/>
      <c r="M12" s="225" t="s">
        <v>1572</v>
      </c>
      <c r="N12" s="226">
        <f t="shared" si="0"/>
        <v>702349.00252881984</v>
      </c>
      <c r="O12" s="225">
        <v>30</v>
      </c>
      <c r="P12" s="226">
        <v>2844513.4602417201</v>
      </c>
      <c r="Q12" s="226">
        <v>3283198.3102417202</v>
      </c>
      <c r="R12" s="227">
        <f t="shared" si="1"/>
        <v>1137805.3840966881</v>
      </c>
    </row>
    <row r="13" spans="1:18" ht="120.75" x14ac:dyDescent="0.25">
      <c r="A13" s="219" t="s">
        <v>1608</v>
      </c>
      <c r="B13" s="231" t="s">
        <v>1605</v>
      </c>
      <c r="C13" s="220" t="s">
        <v>1609</v>
      </c>
      <c r="D13" s="232">
        <v>7653065</v>
      </c>
      <c r="E13" s="343">
        <v>3343410.5426933127</v>
      </c>
      <c r="F13" s="240" t="s">
        <v>1457</v>
      </c>
      <c r="G13" s="229" t="s">
        <v>553</v>
      </c>
      <c r="H13" s="220" t="s">
        <v>1607</v>
      </c>
      <c r="I13" s="225" t="s">
        <v>1585</v>
      </c>
      <c r="J13" s="220" t="s">
        <v>1571</v>
      </c>
      <c r="K13" s="235">
        <v>5</v>
      </c>
      <c r="L13" s="225"/>
      <c r="M13" s="225" t="s">
        <v>1572</v>
      </c>
      <c r="N13" s="226">
        <f t="shared" si="0"/>
        <v>668682.10853866255</v>
      </c>
      <c r="O13" s="225">
        <v>30</v>
      </c>
      <c r="P13" s="226">
        <v>8358526.3567332812</v>
      </c>
      <c r="Q13" s="226">
        <v>8488526.3567332812</v>
      </c>
      <c r="R13" s="227">
        <f t="shared" si="1"/>
        <v>3343410.5426933127</v>
      </c>
    </row>
    <row r="14" spans="1:18" ht="144.75" x14ac:dyDescent="0.25">
      <c r="A14" s="219" t="s">
        <v>1610</v>
      </c>
      <c r="B14" s="231" t="s">
        <v>1605</v>
      </c>
      <c r="C14" s="220" t="s">
        <v>1611</v>
      </c>
      <c r="D14" s="232">
        <v>6163071</v>
      </c>
      <c r="E14" s="343">
        <v>772003.02506114123</v>
      </c>
      <c r="F14" s="241" t="s">
        <v>1453</v>
      </c>
      <c r="G14" s="229" t="s">
        <v>257</v>
      </c>
      <c r="H14" s="220" t="s">
        <v>1607</v>
      </c>
      <c r="I14" s="225" t="s">
        <v>1585</v>
      </c>
      <c r="J14" s="220" t="s">
        <v>1571</v>
      </c>
      <c r="K14" s="235">
        <v>1.1000000000000001</v>
      </c>
      <c r="L14" s="225"/>
      <c r="M14" s="225" t="s">
        <v>1572</v>
      </c>
      <c r="N14" s="226">
        <f t="shared" si="0"/>
        <v>701820.93187376473</v>
      </c>
      <c r="O14" s="225">
        <v>30</v>
      </c>
      <c r="P14" s="226">
        <v>1930007.5626528533</v>
      </c>
      <c r="Q14" s="226">
        <v>1930007.5626528533</v>
      </c>
      <c r="R14" s="227">
        <f t="shared" si="1"/>
        <v>772003.02506114123</v>
      </c>
    </row>
    <row r="15" spans="1:18" ht="120.75" x14ac:dyDescent="0.25">
      <c r="A15" s="219" t="s">
        <v>1612</v>
      </c>
      <c r="B15" s="231" t="s">
        <v>1605</v>
      </c>
      <c r="C15" s="220" t="s">
        <v>1613</v>
      </c>
      <c r="D15" s="232">
        <v>7263765</v>
      </c>
      <c r="E15" s="343">
        <v>1463011.5734570101</v>
      </c>
      <c r="F15" s="241" t="s">
        <v>1614</v>
      </c>
      <c r="G15" s="229" t="s">
        <v>1247</v>
      </c>
      <c r="H15" s="220" t="s">
        <v>1607</v>
      </c>
      <c r="I15" s="225" t="s">
        <v>1575</v>
      </c>
      <c r="J15" s="220" t="s">
        <v>1571</v>
      </c>
      <c r="K15" s="235">
        <v>2</v>
      </c>
      <c r="L15" s="225"/>
      <c r="M15" s="225" t="s">
        <v>1572</v>
      </c>
      <c r="N15" s="226">
        <f t="shared" si="0"/>
        <v>731505.78672850505</v>
      </c>
      <c r="O15" s="225">
        <v>30</v>
      </c>
      <c r="P15" s="226">
        <v>3657528.9336425252</v>
      </c>
      <c r="Q15" s="226">
        <v>3657528.9336425252</v>
      </c>
      <c r="R15" s="227">
        <f t="shared" si="1"/>
        <v>1463011.5734570101</v>
      </c>
    </row>
    <row r="16" spans="1:18" ht="168.75" x14ac:dyDescent="0.25">
      <c r="A16" s="219" t="s">
        <v>1615</v>
      </c>
      <c r="B16" s="231" t="s">
        <v>1605</v>
      </c>
      <c r="C16" s="220" t="s">
        <v>1616</v>
      </c>
      <c r="D16" s="232">
        <v>7365832</v>
      </c>
      <c r="E16" s="343">
        <v>916710.41611130896</v>
      </c>
      <c r="F16" s="241" t="s">
        <v>1617</v>
      </c>
      <c r="G16" s="229" t="s">
        <v>214</v>
      </c>
      <c r="H16" s="220" t="s">
        <v>1607</v>
      </c>
      <c r="I16" s="225" t="s">
        <v>1580</v>
      </c>
      <c r="J16" s="220" t="s">
        <v>1571</v>
      </c>
      <c r="K16" s="235">
        <v>1.8</v>
      </c>
      <c r="L16" s="225"/>
      <c r="M16" s="225" t="s">
        <v>1572</v>
      </c>
      <c r="N16" s="226">
        <f t="shared" si="0"/>
        <v>509283.56450628274</v>
      </c>
      <c r="O16" s="225">
        <v>30</v>
      </c>
      <c r="P16" s="226">
        <v>2291776.0402782722</v>
      </c>
      <c r="Q16" s="226">
        <v>3291776.0402782722</v>
      </c>
      <c r="R16" s="227">
        <f t="shared" si="1"/>
        <v>916710.41611130896</v>
      </c>
    </row>
    <row r="17" spans="1:18" ht="192.75" x14ac:dyDescent="0.25">
      <c r="A17" s="219" t="s">
        <v>1618</v>
      </c>
      <c r="B17" s="231" t="s">
        <v>1619</v>
      </c>
      <c r="C17" s="220" t="s">
        <v>1620</v>
      </c>
      <c r="D17" s="232">
        <v>2813024</v>
      </c>
      <c r="E17" s="343">
        <v>2555360.1512724077</v>
      </c>
      <c r="F17" s="228" t="s">
        <v>1388</v>
      </c>
      <c r="G17" s="229" t="s">
        <v>776</v>
      </c>
      <c r="H17" s="220" t="s">
        <v>1607</v>
      </c>
      <c r="I17" s="225" t="s">
        <v>1575</v>
      </c>
      <c r="J17" s="220" t="s">
        <v>1621</v>
      </c>
      <c r="K17" s="235">
        <v>3.93</v>
      </c>
      <c r="L17" s="225"/>
      <c r="M17" s="225" t="s">
        <v>1572</v>
      </c>
      <c r="N17" s="226">
        <f t="shared" si="0"/>
        <v>650218.86800824618</v>
      </c>
      <c r="O17" s="225">
        <v>30</v>
      </c>
      <c r="P17" s="226">
        <v>6388400.3781810189</v>
      </c>
      <c r="Q17" s="226">
        <v>7690900.3781810189</v>
      </c>
      <c r="R17" s="227">
        <f t="shared" si="1"/>
        <v>2555360.1512724077</v>
      </c>
    </row>
    <row r="18" spans="1:18" ht="120.75" x14ac:dyDescent="0.25">
      <c r="A18" s="219" t="s">
        <v>1622</v>
      </c>
      <c r="B18" s="231" t="s">
        <v>1619</v>
      </c>
      <c r="C18" s="220" t="s">
        <v>1623</v>
      </c>
      <c r="D18" s="232">
        <v>3595008</v>
      </c>
      <c r="E18" s="343">
        <v>4464719.1541079516</v>
      </c>
      <c r="F18" s="228" t="s">
        <v>1479</v>
      </c>
      <c r="G18" s="229" t="s">
        <v>1247</v>
      </c>
      <c r="H18" s="220" t="s">
        <v>1601</v>
      </c>
      <c r="I18" s="225" t="s">
        <v>1575</v>
      </c>
      <c r="J18" s="220" t="s">
        <v>1571</v>
      </c>
      <c r="K18" s="235">
        <v>6</v>
      </c>
      <c r="L18" s="225"/>
      <c r="M18" s="225" t="s">
        <v>1572</v>
      </c>
      <c r="N18" s="226">
        <f t="shared" si="0"/>
        <v>744119.85901799193</v>
      </c>
      <c r="O18" s="225">
        <v>30</v>
      </c>
      <c r="P18" s="226">
        <v>11161797.885269878</v>
      </c>
      <c r="Q18" s="226">
        <v>11911797.885269878</v>
      </c>
      <c r="R18" s="227">
        <f t="shared" si="1"/>
        <v>4464719.1541079516</v>
      </c>
    </row>
    <row r="19" spans="1:18" ht="120.75" x14ac:dyDescent="0.25">
      <c r="A19" s="219" t="s">
        <v>1624</v>
      </c>
      <c r="B19" s="231" t="s">
        <v>1619</v>
      </c>
      <c r="C19" s="242" t="s">
        <v>1625</v>
      </c>
      <c r="D19" s="232">
        <v>3741470</v>
      </c>
      <c r="E19" s="343">
        <v>5370629.645727817</v>
      </c>
      <c r="F19" s="228" t="s">
        <v>1482</v>
      </c>
      <c r="G19" s="229" t="s">
        <v>849</v>
      </c>
      <c r="H19" s="220" t="s">
        <v>1601</v>
      </c>
      <c r="I19" s="225" t="s">
        <v>1580</v>
      </c>
      <c r="J19" s="220" t="s">
        <v>1571</v>
      </c>
      <c r="K19" s="235">
        <v>7.5</v>
      </c>
      <c r="L19" s="225"/>
      <c r="M19" s="225" t="s">
        <v>1572</v>
      </c>
      <c r="N19" s="226">
        <f t="shared" si="0"/>
        <v>716083.95276370889</v>
      </c>
      <c r="O19" s="225">
        <v>30</v>
      </c>
      <c r="P19" s="226">
        <v>13426574.114319542</v>
      </c>
      <c r="Q19" s="226">
        <v>13651574.114319542</v>
      </c>
      <c r="R19" s="227">
        <f t="shared" si="1"/>
        <v>5370629.645727817</v>
      </c>
    </row>
    <row r="20" spans="1:18" ht="192" x14ac:dyDescent="0.25">
      <c r="A20" s="219" t="s">
        <v>1626</v>
      </c>
      <c r="B20" s="231" t="s">
        <v>1619</v>
      </c>
      <c r="C20" s="242" t="s">
        <v>1627</v>
      </c>
      <c r="D20" s="243">
        <v>3994122</v>
      </c>
      <c r="E20" s="343">
        <v>1229450.065998916</v>
      </c>
      <c r="F20" s="228" t="s">
        <v>642</v>
      </c>
      <c r="G20" s="229" t="s">
        <v>640</v>
      </c>
      <c r="H20" s="220" t="s">
        <v>1601</v>
      </c>
      <c r="I20" s="225" t="s">
        <v>1628</v>
      </c>
      <c r="J20" s="220" t="s">
        <v>1621</v>
      </c>
      <c r="K20" s="235">
        <v>2.2000000000000002</v>
      </c>
      <c r="L20" s="225"/>
      <c r="M20" s="225" t="s">
        <v>1572</v>
      </c>
      <c r="N20" s="226">
        <f t="shared" si="0"/>
        <v>558840.9390904163</v>
      </c>
      <c r="O20" s="225">
        <v>30</v>
      </c>
      <c r="P20" s="226">
        <v>3073625.1649972899</v>
      </c>
      <c r="Q20" s="226">
        <v>4725197.6649972899</v>
      </c>
      <c r="R20" s="227">
        <f t="shared" si="1"/>
        <v>1229450.065998916</v>
      </c>
    </row>
    <row r="21" spans="1:18" ht="120.75" x14ac:dyDescent="0.25">
      <c r="A21" s="219" t="s">
        <v>1629</v>
      </c>
      <c r="B21" s="231" t="s">
        <v>1619</v>
      </c>
      <c r="C21" s="220" t="s">
        <v>1630</v>
      </c>
      <c r="D21" s="232">
        <v>4373225</v>
      </c>
      <c r="E21" s="343">
        <v>1254497.1182819521</v>
      </c>
      <c r="F21" s="240" t="s">
        <v>1485</v>
      </c>
      <c r="G21" s="229" t="s">
        <v>1067</v>
      </c>
      <c r="H21" s="220" t="s">
        <v>1601</v>
      </c>
      <c r="I21" s="231" t="s">
        <v>1631</v>
      </c>
      <c r="J21" s="220" t="s">
        <v>1571</v>
      </c>
      <c r="K21" s="235">
        <v>1.6</v>
      </c>
      <c r="L21" s="225"/>
      <c r="M21" s="225" t="s">
        <v>1572</v>
      </c>
      <c r="N21" s="226">
        <f t="shared" si="0"/>
        <v>784060.69892622007</v>
      </c>
      <c r="O21" s="225">
        <v>30</v>
      </c>
      <c r="P21" s="226">
        <v>3136242.7957048807</v>
      </c>
      <c r="Q21" s="226">
        <v>3199685.8207048806</v>
      </c>
      <c r="R21" s="227">
        <f t="shared" si="1"/>
        <v>1254497.1182819521</v>
      </c>
    </row>
    <row r="22" spans="1:18" ht="120.75" x14ac:dyDescent="0.25">
      <c r="A22" s="219" t="s">
        <v>1632</v>
      </c>
      <c r="B22" s="231" t="s">
        <v>1619</v>
      </c>
      <c r="C22" s="220" t="s">
        <v>1633</v>
      </c>
      <c r="D22" s="243">
        <v>4885366</v>
      </c>
      <c r="E22" s="343">
        <v>2678115.5483361837</v>
      </c>
      <c r="F22" s="228" t="s">
        <v>1488</v>
      </c>
      <c r="G22" s="229" t="s">
        <v>240</v>
      </c>
      <c r="H22" s="220" t="s">
        <v>1601</v>
      </c>
      <c r="I22" s="225" t="s">
        <v>1595</v>
      </c>
      <c r="J22" s="220" t="s">
        <v>1571</v>
      </c>
      <c r="K22" s="235">
        <v>2</v>
      </c>
      <c r="L22" s="225"/>
      <c r="M22" s="225" t="s">
        <v>1572</v>
      </c>
      <c r="N22" s="226">
        <f t="shared" si="0"/>
        <v>669528.88708404591</v>
      </c>
      <c r="O22" s="225">
        <v>30</v>
      </c>
      <c r="P22" s="226">
        <v>3347644.43542023</v>
      </c>
      <c r="Q22" s="226">
        <v>3472519.43542023</v>
      </c>
      <c r="R22" s="227">
        <f>(P22/O22*12)+1339057.77416809</f>
        <v>2678115.5483361818</v>
      </c>
    </row>
    <row r="23" spans="1:18" ht="120.75" x14ac:dyDescent="0.25">
      <c r="A23" s="219" t="s">
        <v>1634</v>
      </c>
      <c r="B23" s="231" t="s">
        <v>1619</v>
      </c>
      <c r="C23" s="220" t="s">
        <v>1635</v>
      </c>
      <c r="D23" s="243">
        <v>4885366</v>
      </c>
      <c r="E23" s="343">
        <v>0</v>
      </c>
      <c r="F23" s="228" t="s">
        <v>1488</v>
      </c>
      <c r="G23" s="229" t="s">
        <v>240</v>
      </c>
      <c r="H23" s="220" t="s">
        <v>1601</v>
      </c>
      <c r="I23" s="225" t="s">
        <v>1570</v>
      </c>
      <c r="J23" s="220" t="s">
        <v>1571</v>
      </c>
      <c r="K23" s="235">
        <v>2</v>
      </c>
      <c r="L23" s="225"/>
      <c r="M23" s="225" t="s">
        <v>1572</v>
      </c>
      <c r="N23" s="226">
        <f t="shared" si="0"/>
        <v>669528.88708404591</v>
      </c>
      <c r="O23" s="225">
        <v>30</v>
      </c>
      <c r="P23" s="226">
        <v>3347644.43542023</v>
      </c>
      <c r="Q23" s="226">
        <v>3472519.43542023</v>
      </c>
      <c r="R23" s="227"/>
    </row>
    <row r="24" spans="1:18" ht="120.75" x14ac:dyDescent="0.25">
      <c r="A24" s="219" t="s">
        <v>1636</v>
      </c>
      <c r="B24" s="231" t="s">
        <v>1619</v>
      </c>
      <c r="C24" s="220" t="s">
        <v>1637</v>
      </c>
      <c r="D24" s="232">
        <v>5943218</v>
      </c>
      <c r="E24" s="343">
        <v>1290934.3566507786</v>
      </c>
      <c r="F24" s="241" t="s">
        <v>585</v>
      </c>
      <c r="G24" s="229" t="s">
        <v>1108</v>
      </c>
      <c r="H24" s="220" t="s">
        <v>1601</v>
      </c>
      <c r="I24" s="225" t="s">
        <v>1575</v>
      </c>
      <c r="J24" s="220" t="s">
        <v>1571</v>
      </c>
      <c r="K24" s="235">
        <v>1.45</v>
      </c>
      <c r="L24" s="225"/>
      <c r="M24" s="225" t="s">
        <v>1572</v>
      </c>
      <c r="N24" s="226">
        <f t="shared" si="0"/>
        <v>890299.55631088174</v>
      </c>
      <c r="O24" s="225">
        <v>30</v>
      </c>
      <c r="P24" s="226">
        <v>3227335.8916269466</v>
      </c>
      <c r="Q24" s="226">
        <v>3667335.8916269466</v>
      </c>
      <c r="R24" s="227">
        <f t="shared" si="1"/>
        <v>1290934.3566507786</v>
      </c>
    </row>
    <row r="25" spans="1:18" ht="228.75" x14ac:dyDescent="0.25">
      <c r="A25" s="219" t="s">
        <v>1638</v>
      </c>
      <c r="B25" s="231" t="s">
        <v>1619</v>
      </c>
      <c r="C25" s="220" t="s">
        <v>1639</v>
      </c>
      <c r="D25" s="232">
        <v>5945407</v>
      </c>
      <c r="E25" s="343">
        <v>997908.83102156827</v>
      </c>
      <c r="F25" s="240" t="s">
        <v>674</v>
      </c>
      <c r="G25" s="229" t="s">
        <v>674</v>
      </c>
      <c r="H25" s="220" t="s">
        <v>1601</v>
      </c>
      <c r="I25" s="225" t="s">
        <v>1640</v>
      </c>
      <c r="J25" s="220" t="s">
        <v>1641</v>
      </c>
      <c r="K25" s="235">
        <v>2</v>
      </c>
      <c r="L25" s="225"/>
      <c r="M25" s="225" t="s">
        <v>1572</v>
      </c>
      <c r="N25" s="226">
        <f t="shared" si="0"/>
        <v>498954.41551078414</v>
      </c>
      <c r="O25" s="225">
        <v>30</v>
      </c>
      <c r="P25" s="226">
        <v>2494772.0775539204</v>
      </c>
      <c r="Q25" s="226">
        <v>2914111.9775539199</v>
      </c>
      <c r="R25" s="227">
        <f t="shared" si="1"/>
        <v>997908.83102156827</v>
      </c>
    </row>
    <row r="26" spans="1:18" ht="156.75" x14ac:dyDescent="0.25">
      <c r="A26" s="219" t="s">
        <v>1642</v>
      </c>
      <c r="B26" s="231" t="s">
        <v>1619</v>
      </c>
      <c r="C26" s="220" t="s">
        <v>1643</v>
      </c>
      <c r="D26" s="232">
        <v>6473703</v>
      </c>
      <c r="E26" s="343">
        <v>1854835.0236859601</v>
      </c>
      <c r="F26" s="228" t="s">
        <v>879</v>
      </c>
      <c r="G26" s="239" t="s">
        <v>874</v>
      </c>
      <c r="H26" s="220" t="s">
        <v>1644</v>
      </c>
      <c r="I26" s="225" t="s">
        <v>1595</v>
      </c>
      <c r="J26" s="220" t="s">
        <v>1571</v>
      </c>
      <c r="K26" s="235">
        <v>3</v>
      </c>
      <c r="L26" s="225"/>
      <c r="M26" s="225" t="s">
        <v>1572</v>
      </c>
      <c r="N26" s="226">
        <f t="shared" si="0"/>
        <v>618278.34122865333</v>
      </c>
      <c r="O26" s="225">
        <v>30</v>
      </c>
      <c r="P26" s="226">
        <v>4637087.5592149002</v>
      </c>
      <c r="Q26" s="226">
        <v>5081047.5592149002</v>
      </c>
      <c r="R26" s="227">
        <f t="shared" si="1"/>
        <v>1854835.0236859601</v>
      </c>
    </row>
    <row r="27" spans="1:18" ht="168.75" x14ac:dyDescent="0.25">
      <c r="A27" s="219" t="s">
        <v>1645</v>
      </c>
      <c r="B27" s="231" t="s">
        <v>1619</v>
      </c>
      <c r="C27" s="220" t="s">
        <v>1646</v>
      </c>
      <c r="D27" s="232">
        <v>7381195</v>
      </c>
      <c r="E27" s="343">
        <v>847233.45560883218</v>
      </c>
      <c r="F27" s="228" t="s">
        <v>731</v>
      </c>
      <c r="G27" s="229" t="s">
        <v>728</v>
      </c>
      <c r="H27" s="220" t="s">
        <v>1644</v>
      </c>
      <c r="I27" s="225" t="s">
        <v>1628</v>
      </c>
      <c r="J27" s="220" t="s">
        <v>1571</v>
      </c>
      <c r="K27" s="235">
        <v>1.1499999999999999</v>
      </c>
      <c r="L27" s="225"/>
      <c r="M27" s="225" t="s">
        <v>1572</v>
      </c>
      <c r="N27" s="226">
        <f t="shared" si="0"/>
        <v>736724.74400768022</v>
      </c>
      <c r="O27" s="225">
        <v>30</v>
      </c>
      <c r="P27" s="226">
        <v>2118083.6390220802</v>
      </c>
      <c r="Q27" s="226">
        <v>2168083.6390220802</v>
      </c>
      <c r="R27" s="227">
        <f t="shared" si="1"/>
        <v>847233.45560883218</v>
      </c>
    </row>
    <row r="28" spans="1:18" ht="156.75" x14ac:dyDescent="0.25">
      <c r="A28" s="219" t="s">
        <v>1647</v>
      </c>
      <c r="B28" s="231" t="s">
        <v>1619</v>
      </c>
      <c r="C28" s="220" t="s">
        <v>1648</v>
      </c>
      <c r="D28" s="232">
        <v>7805491</v>
      </c>
      <c r="E28" s="343">
        <v>2577327.818091928</v>
      </c>
      <c r="F28" s="241" t="s">
        <v>1523</v>
      </c>
      <c r="G28" s="229" t="s">
        <v>874</v>
      </c>
      <c r="H28" s="220" t="s">
        <v>1601</v>
      </c>
      <c r="I28" s="225" t="s">
        <v>1570</v>
      </c>
      <c r="J28" s="220" t="s">
        <v>1571</v>
      </c>
      <c r="K28" s="235">
        <v>3.5</v>
      </c>
      <c r="L28" s="225"/>
      <c r="M28" s="225" t="s">
        <v>1572</v>
      </c>
      <c r="N28" s="226">
        <f t="shared" si="0"/>
        <v>736379.37659769377</v>
      </c>
      <c r="O28" s="225">
        <v>30</v>
      </c>
      <c r="P28" s="226">
        <v>6443319.5452298196</v>
      </c>
      <c r="Q28" s="226">
        <v>6676833.0452298224</v>
      </c>
      <c r="R28" s="227">
        <f t="shared" si="1"/>
        <v>2577327.818091928</v>
      </c>
    </row>
    <row r="29" spans="1:18" ht="168.75" x14ac:dyDescent="0.25">
      <c r="A29" s="219" t="s">
        <v>1649</v>
      </c>
      <c r="B29" s="231" t="s">
        <v>1619</v>
      </c>
      <c r="C29" s="220" t="s">
        <v>1650</v>
      </c>
      <c r="D29" s="232">
        <v>9767213</v>
      </c>
      <c r="E29" s="343">
        <v>3162879.4741952131</v>
      </c>
      <c r="F29" s="228" t="s">
        <v>236</v>
      </c>
      <c r="G29" s="229" t="s">
        <v>1145</v>
      </c>
      <c r="H29" s="220" t="s">
        <v>1601</v>
      </c>
      <c r="I29" s="225" t="s">
        <v>1580</v>
      </c>
      <c r="J29" s="220" t="s">
        <v>1571</v>
      </c>
      <c r="K29" s="235">
        <v>4.7</v>
      </c>
      <c r="L29" s="225"/>
      <c r="M29" s="225" t="s">
        <v>1572</v>
      </c>
      <c r="N29" s="226">
        <f t="shared" si="0"/>
        <v>672953.07961600274</v>
      </c>
      <c r="O29" s="225">
        <v>30</v>
      </c>
      <c r="P29" s="226">
        <v>7907198.685488034</v>
      </c>
      <c r="Q29" s="226">
        <v>8835948.685488034</v>
      </c>
      <c r="R29" s="227">
        <f t="shared" si="1"/>
        <v>3162879.4741952131</v>
      </c>
    </row>
    <row r="30" spans="1:18" x14ac:dyDescent="0.25">
      <c r="A30" s="244"/>
      <c r="B30" s="207"/>
      <c r="C30" s="245"/>
      <c r="D30" s="245"/>
      <c r="E30" s="344">
        <v>62799999.37582729</v>
      </c>
      <c r="F30" s="245"/>
      <c r="G30" s="245"/>
      <c r="H30" s="207"/>
      <c r="I30" s="245"/>
      <c r="J30" s="207"/>
      <c r="K30" s="207"/>
      <c r="L30" s="207"/>
      <c r="M30" s="207"/>
      <c r="N30" s="208"/>
      <c r="O30" s="207"/>
      <c r="P30" s="208"/>
      <c r="Q30" s="208"/>
      <c r="R30" s="209"/>
    </row>
    <row r="31" spans="1:18" x14ac:dyDescent="0.25">
      <c r="A31" s="244"/>
      <c r="B31" s="207"/>
      <c r="C31" s="245"/>
      <c r="D31" s="245"/>
      <c r="E31" s="245"/>
      <c r="F31" s="245"/>
      <c r="G31" s="245"/>
      <c r="H31" s="207"/>
      <c r="I31" s="245"/>
      <c r="J31" s="207"/>
      <c r="K31" s="207"/>
      <c r="L31" s="207"/>
      <c r="M31" s="207"/>
      <c r="N31" s="208"/>
      <c r="O31" s="207"/>
      <c r="P31" s="208">
        <f>SUM(P3:P30)</f>
        <v>156999998.43956828</v>
      </c>
      <c r="Q31" s="208"/>
      <c r="R31" s="342">
        <f>SUM(R3:R30)</f>
        <v>62799999.375827283</v>
      </c>
    </row>
    <row r="32" spans="1:18" x14ac:dyDescent="0.25">
      <c r="D32" s="310" t="s">
        <v>1807</v>
      </c>
      <c r="E32" t="s">
        <v>1830</v>
      </c>
    </row>
    <row r="33" spans="3:10" x14ac:dyDescent="0.25">
      <c r="C33" t="s">
        <v>2536</v>
      </c>
      <c r="D33" s="311">
        <v>1378201</v>
      </c>
      <c r="E33" s="345">
        <v>1052312.6341313617</v>
      </c>
      <c r="F33" t="e">
        <f>HLOOKUP(D33,#REF!,2,FALSE)</f>
        <v>#REF!</v>
      </c>
    </row>
    <row r="34" spans="3:10" x14ac:dyDescent="0.25">
      <c r="C34" s="313" t="s">
        <v>2536</v>
      </c>
      <c r="D34" s="311">
        <v>1552469</v>
      </c>
      <c r="E34" s="345">
        <v>1137805.3840966881</v>
      </c>
      <c r="F34" s="313" t="e">
        <f>HLOOKUP(D34,#REF!,2,FALSE)</f>
        <v>#REF!</v>
      </c>
    </row>
    <row r="35" spans="3:10" x14ac:dyDescent="0.25">
      <c r="C35" s="313" t="s">
        <v>2536</v>
      </c>
      <c r="D35" s="354">
        <v>7190506</v>
      </c>
      <c r="E35" s="345">
        <v>2840805.433337939</v>
      </c>
      <c r="F35" s="313" t="e">
        <f>HLOOKUP(D35,#REF!,2,FALSE)</f>
        <v>#REF!</v>
      </c>
      <c r="G35" s="347" t="s">
        <v>1391</v>
      </c>
      <c r="H35" s="347" t="s">
        <v>1521</v>
      </c>
      <c r="I35" s="347" t="s">
        <v>1390</v>
      </c>
      <c r="J35" s="347">
        <v>2438469</v>
      </c>
    </row>
    <row r="36" spans="3:10" x14ac:dyDescent="0.25">
      <c r="C36" s="313" t="s">
        <v>2536</v>
      </c>
      <c r="D36" s="311">
        <v>2514714</v>
      </c>
      <c r="E36" s="345">
        <v>1059104.6825002881</v>
      </c>
      <c r="F36" s="313" t="e">
        <f>HLOOKUP(D36,#REF!,2,FALSE)</f>
        <v>#REF!</v>
      </c>
    </row>
    <row r="37" spans="3:10" x14ac:dyDescent="0.25">
      <c r="C37" s="313" t="s">
        <v>2536</v>
      </c>
      <c r="D37" s="311">
        <v>2813024</v>
      </c>
      <c r="E37" s="345">
        <v>2555360.1512724077</v>
      </c>
      <c r="F37" s="313" t="e">
        <f>HLOOKUP(D37,#REF!,2,FALSE)</f>
        <v>#REF!</v>
      </c>
    </row>
    <row r="38" spans="3:10" x14ac:dyDescent="0.25">
      <c r="C38" s="313" t="s">
        <v>2536</v>
      </c>
      <c r="D38" s="354">
        <v>5755112</v>
      </c>
      <c r="E38" s="345">
        <v>3222820.7912944802</v>
      </c>
      <c r="F38" s="313" t="e">
        <f>HLOOKUP(D38,#REF!,2,FALSE)</f>
        <v>#REF!</v>
      </c>
      <c r="G38" s="347" t="s">
        <v>1517</v>
      </c>
      <c r="H38" s="347" t="s">
        <v>1517</v>
      </c>
      <c r="I38" s="347" t="s">
        <v>1389</v>
      </c>
      <c r="J38" s="347">
        <v>3028344</v>
      </c>
    </row>
    <row r="39" spans="3:10" x14ac:dyDescent="0.25">
      <c r="C39" s="313" t="s">
        <v>2536</v>
      </c>
      <c r="D39" s="311">
        <v>3595008</v>
      </c>
      <c r="E39" s="345">
        <v>4464719.1541079516</v>
      </c>
      <c r="F39" s="313" t="e">
        <f>HLOOKUP(D39,#REF!,2,FALSE)</f>
        <v>#REF!</v>
      </c>
    </row>
    <row r="40" spans="3:10" x14ac:dyDescent="0.25">
      <c r="C40" s="313" t="s">
        <v>2536</v>
      </c>
      <c r="D40" s="311">
        <v>3741470</v>
      </c>
      <c r="E40" s="345">
        <v>5370629.645727817</v>
      </c>
      <c r="F40" s="313" t="e">
        <f>HLOOKUP(D40,#REF!,2,FALSE)</f>
        <v>#REF!</v>
      </c>
    </row>
    <row r="41" spans="3:10" x14ac:dyDescent="0.25">
      <c r="C41" s="313" t="s">
        <v>2536</v>
      </c>
      <c r="D41" s="354">
        <v>8891712</v>
      </c>
      <c r="E41" s="345">
        <v>3402237.5858069072</v>
      </c>
      <c r="F41" s="313" t="e">
        <f>HLOOKUP(D41,#REF!,2,FALSE)</f>
        <v>#REF!</v>
      </c>
      <c r="G41" s="347" t="s">
        <v>1519</v>
      </c>
      <c r="H41" s="347" t="s">
        <v>812</v>
      </c>
      <c r="I41" s="313"/>
      <c r="J41" s="347">
        <v>3961063</v>
      </c>
    </row>
    <row r="42" spans="3:10" x14ac:dyDescent="0.25">
      <c r="C42" s="313" t="s">
        <v>2536</v>
      </c>
      <c r="D42" s="311">
        <v>3994122</v>
      </c>
      <c r="E42" s="345">
        <v>1229450.065998916</v>
      </c>
      <c r="F42" s="313" t="e">
        <f>HLOOKUP(D42,#REF!,2,FALSE)</f>
        <v>#REF!</v>
      </c>
    </row>
    <row r="43" spans="3:10" x14ac:dyDescent="0.25">
      <c r="C43" s="313" t="s">
        <v>2536</v>
      </c>
      <c r="D43" s="311">
        <v>4373225</v>
      </c>
      <c r="E43" s="345">
        <v>1254497.1182819521</v>
      </c>
      <c r="F43" s="313" t="e">
        <f>HLOOKUP(D43,#REF!,2,FALSE)</f>
        <v>#REF!</v>
      </c>
    </row>
    <row r="44" spans="3:10" x14ac:dyDescent="0.25">
      <c r="C44" s="313" t="s">
        <v>2536</v>
      </c>
      <c r="D44" s="311">
        <v>4699567</v>
      </c>
      <c r="E44" s="345">
        <v>3959479.0792496316</v>
      </c>
      <c r="F44" s="313" t="e">
        <f>HLOOKUP(D44,#REF!,2,FALSE)</f>
        <v>#REF!</v>
      </c>
    </row>
    <row r="45" spans="3:10" x14ac:dyDescent="0.25">
      <c r="C45" s="313" t="s">
        <v>2536</v>
      </c>
      <c r="D45" s="311">
        <v>4885366</v>
      </c>
      <c r="E45" s="345">
        <v>2678115.5483361837</v>
      </c>
      <c r="F45" s="313" t="e">
        <f>HLOOKUP(D45,#REF!,2,FALSE)</f>
        <v>#REF!</v>
      </c>
    </row>
    <row r="46" spans="3:10" x14ac:dyDescent="0.25">
      <c r="C46" s="313" t="s">
        <v>2536</v>
      </c>
      <c r="D46" s="311">
        <v>5943218</v>
      </c>
      <c r="E46" s="345">
        <v>1290934.3566507786</v>
      </c>
      <c r="F46" s="313" t="e">
        <f>HLOOKUP(D46,#REF!,2,FALSE)</f>
        <v>#REF!</v>
      </c>
    </row>
    <row r="47" spans="3:10" x14ac:dyDescent="0.25">
      <c r="C47" s="313" t="s">
        <v>2536</v>
      </c>
      <c r="D47" s="311">
        <v>5945407</v>
      </c>
      <c r="E47" s="345">
        <v>997908.83102156827</v>
      </c>
      <c r="F47" s="313" t="e">
        <f>HLOOKUP(D47,#REF!,2,FALSE)</f>
        <v>#REF!</v>
      </c>
    </row>
    <row r="48" spans="3:10" x14ac:dyDescent="0.25">
      <c r="C48" s="313" t="s">
        <v>2536</v>
      </c>
      <c r="D48" s="311">
        <v>6163071</v>
      </c>
      <c r="E48" s="345">
        <v>772003.02506114123</v>
      </c>
      <c r="F48" s="313" t="e">
        <f>HLOOKUP(D48,#REF!,2,FALSE)</f>
        <v>#REF!</v>
      </c>
    </row>
    <row r="49" spans="3:6" x14ac:dyDescent="0.25">
      <c r="C49" s="313" t="s">
        <v>2536</v>
      </c>
      <c r="D49" s="311">
        <v>6473703</v>
      </c>
      <c r="E49" s="345">
        <v>1854835.0236859601</v>
      </c>
      <c r="F49" s="313" t="e">
        <f>HLOOKUP(D49,#REF!,2,FALSE)</f>
        <v>#REF!</v>
      </c>
    </row>
    <row r="50" spans="3:6" x14ac:dyDescent="0.25">
      <c r="C50" s="313" t="s">
        <v>2536</v>
      </c>
      <c r="D50" s="311">
        <v>6585534</v>
      </c>
      <c r="E50" s="345">
        <v>3297218.8114025602</v>
      </c>
      <c r="F50" s="313" t="e">
        <f>HLOOKUP(D50,#REF!,2,FALSE)</f>
        <v>#REF!</v>
      </c>
    </row>
    <row r="51" spans="3:6" x14ac:dyDescent="0.25">
      <c r="C51" s="313" t="s">
        <v>2536</v>
      </c>
      <c r="D51" s="311">
        <v>7263765</v>
      </c>
      <c r="E51" s="345">
        <v>1463011.5734570101</v>
      </c>
      <c r="F51" s="313" t="e">
        <f>HLOOKUP(D51,#REF!,2,FALSE)</f>
        <v>#REF!</v>
      </c>
    </row>
    <row r="52" spans="3:6" x14ac:dyDescent="0.25">
      <c r="C52" s="313" t="s">
        <v>2536</v>
      </c>
      <c r="D52" s="311">
        <v>7365832</v>
      </c>
      <c r="E52" s="345">
        <v>916710.41611130896</v>
      </c>
      <c r="F52" s="313" t="e">
        <f>HLOOKUP(D52,#REF!,2,FALSE)</f>
        <v>#REF!</v>
      </c>
    </row>
    <row r="53" spans="3:6" x14ac:dyDescent="0.25">
      <c r="C53" s="313" t="s">
        <v>2536</v>
      </c>
      <c r="D53" s="311">
        <v>7381195</v>
      </c>
      <c r="E53" s="345">
        <v>847233.45560883218</v>
      </c>
      <c r="F53" s="313" t="e">
        <f>HLOOKUP(D53,#REF!,2,FALSE)</f>
        <v>#REF!</v>
      </c>
    </row>
    <row r="54" spans="3:6" x14ac:dyDescent="0.25">
      <c r="C54" s="313" t="s">
        <v>2536</v>
      </c>
      <c r="D54" s="311">
        <v>7653065</v>
      </c>
      <c r="E54" s="345">
        <v>3343410.5426933127</v>
      </c>
      <c r="F54" s="313" t="e">
        <f>HLOOKUP(D54,#REF!,2,FALSE)</f>
        <v>#REF!</v>
      </c>
    </row>
    <row r="55" spans="3:6" x14ac:dyDescent="0.25">
      <c r="C55" s="313" t="s">
        <v>2536</v>
      </c>
      <c r="D55" s="311">
        <v>7805491</v>
      </c>
      <c r="E55" s="345">
        <v>2577327.818091928</v>
      </c>
      <c r="F55" s="313" t="e">
        <f>HLOOKUP(D55,#REF!,2,FALSE)</f>
        <v>#REF!</v>
      </c>
    </row>
    <row r="56" spans="3:6" x14ac:dyDescent="0.25">
      <c r="C56" s="313" t="s">
        <v>2536</v>
      </c>
      <c r="D56" s="311">
        <v>7846871</v>
      </c>
      <c r="E56" s="345">
        <v>2119508.9633388799</v>
      </c>
      <c r="F56" s="313" t="e">
        <f>HLOOKUP(D56,#REF!,2,FALSE)</f>
        <v>#REF!</v>
      </c>
    </row>
    <row r="57" spans="3:6" x14ac:dyDescent="0.25">
      <c r="C57" s="313" t="s">
        <v>2536</v>
      </c>
      <c r="D57" s="311">
        <v>9064643</v>
      </c>
      <c r="E57" s="345">
        <v>5929679.8103662794</v>
      </c>
      <c r="F57" s="313" t="e">
        <f>HLOOKUP(D57,#REF!,2,FALSE)</f>
        <v>#REF!</v>
      </c>
    </row>
    <row r="58" spans="3:6" x14ac:dyDescent="0.25">
      <c r="C58" s="313" t="s">
        <v>2536</v>
      </c>
      <c r="D58" s="311">
        <v>9767213</v>
      </c>
      <c r="E58" s="345">
        <v>3162879.4741952131</v>
      </c>
      <c r="F58" s="313" t="e">
        <f>HLOOKUP(D58,#REF!,2,FALSE)</f>
        <v>#REF!</v>
      </c>
    </row>
    <row r="59" spans="3:6" x14ac:dyDescent="0.25">
      <c r="C59" t="s">
        <v>2537</v>
      </c>
      <c r="D59">
        <v>1236570</v>
      </c>
      <c r="E59" s="313">
        <v>8537422</v>
      </c>
    </row>
    <row r="60" spans="3:6" x14ac:dyDescent="0.25">
      <c r="C60" t="s">
        <v>2537</v>
      </c>
      <c r="D60">
        <v>1378201</v>
      </c>
      <c r="E60" s="313">
        <v>476784</v>
      </c>
      <c r="F60" s="313"/>
    </row>
    <row r="61" spans="3:6" x14ac:dyDescent="0.25">
      <c r="C61" s="313" t="s">
        <v>2537</v>
      </c>
      <c r="D61">
        <v>2390992</v>
      </c>
      <c r="E61" s="313">
        <v>888000</v>
      </c>
      <c r="F61" s="313"/>
    </row>
    <row r="62" spans="3:6" x14ac:dyDescent="0.25">
      <c r="C62" s="313" t="s">
        <v>2537</v>
      </c>
      <c r="D62">
        <v>2788586</v>
      </c>
      <c r="E62" s="313">
        <v>1003700</v>
      </c>
      <c r="F62" s="313"/>
    </row>
    <row r="63" spans="3:6" x14ac:dyDescent="0.25">
      <c r="C63" s="313" t="s">
        <v>2537</v>
      </c>
      <c r="D63">
        <v>3650770</v>
      </c>
      <c r="E63" s="313">
        <v>2080800</v>
      </c>
      <c r="F63" s="313"/>
    </row>
    <row r="64" spans="3:6" x14ac:dyDescent="0.25">
      <c r="C64" s="313" t="s">
        <v>2537</v>
      </c>
      <c r="D64">
        <v>6361701</v>
      </c>
      <c r="E64" s="313">
        <v>1029711</v>
      </c>
      <c r="F64" s="313"/>
    </row>
    <row r="65" spans="3:6" x14ac:dyDescent="0.25">
      <c r="C65" s="313" t="s">
        <v>2537</v>
      </c>
      <c r="D65">
        <v>6948137</v>
      </c>
      <c r="E65" s="313">
        <v>6001592</v>
      </c>
      <c r="F65" s="313"/>
    </row>
    <row r="66" spans="3:6" x14ac:dyDescent="0.25">
      <c r="C66" s="313" t="s">
        <v>2537</v>
      </c>
      <c r="D66">
        <v>7384495</v>
      </c>
      <c r="E66" s="313">
        <v>2511960</v>
      </c>
      <c r="F66" s="313"/>
    </row>
    <row r="67" spans="3:6" x14ac:dyDescent="0.25">
      <c r="C67" s="313" t="s">
        <v>2537</v>
      </c>
      <c r="D67">
        <v>7790627</v>
      </c>
      <c r="E67" s="313">
        <v>2104207</v>
      </c>
      <c r="F67" s="313"/>
    </row>
    <row r="68" spans="3:6" x14ac:dyDescent="0.25">
      <c r="E68" s="313">
        <f>SUM(E33:E67)</f>
        <v>87434175.375827283</v>
      </c>
    </row>
    <row r="73" spans="3:6" x14ac:dyDescent="0.25">
      <c r="D73" s="310" t="s">
        <v>1807</v>
      </c>
      <c r="E73" t="s">
        <v>2538</v>
      </c>
    </row>
    <row r="74" spans="3:6" x14ac:dyDescent="0.25">
      <c r="D74" s="311">
        <v>1236570</v>
      </c>
      <c r="E74" s="314">
        <v>8537422</v>
      </c>
    </row>
    <row r="75" spans="3:6" x14ac:dyDescent="0.25">
      <c r="D75" s="311">
        <v>1378201</v>
      </c>
      <c r="E75" s="314">
        <v>1529096.6341313617</v>
      </c>
    </row>
    <row r="76" spans="3:6" x14ac:dyDescent="0.25">
      <c r="D76" s="311">
        <v>1552469</v>
      </c>
      <c r="E76" s="314">
        <v>1137805.3840966881</v>
      </c>
    </row>
    <row r="77" spans="3:6" x14ac:dyDescent="0.25">
      <c r="D77" s="311">
        <v>2390992</v>
      </c>
      <c r="E77" s="314">
        <v>888000</v>
      </c>
    </row>
    <row r="78" spans="3:6" x14ac:dyDescent="0.25">
      <c r="D78" s="311">
        <v>2514714</v>
      </c>
      <c r="E78" s="314">
        <v>1059104.6825002881</v>
      </c>
    </row>
    <row r="79" spans="3:6" x14ac:dyDescent="0.25">
      <c r="D79" s="311">
        <v>2788586</v>
      </c>
      <c r="E79" s="314">
        <v>1003700</v>
      </c>
    </row>
    <row r="80" spans="3:6" x14ac:dyDescent="0.25">
      <c r="D80" s="311">
        <v>2813024</v>
      </c>
      <c r="E80" s="314">
        <v>2555360.1512724077</v>
      </c>
    </row>
    <row r="81" spans="4:5" x14ac:dyDescent="0.25">
      <c r="D81" s="311">
        <v>3595008</v>
      </c>
      <c r="E81" s="314">
        <v>4464719.1541079516</v>
      </c>
    </row>
    <row r="82" spans="4:5" x14ac:dyDescent="0.25">
      <c r="D82" s="311">
        <v>3650770</v>
      </c>
      <c r="E82" s="314">
        <v>2080800</v>
      </c>
    </row>
    <row r="83" spans="4:5" x14ac:dyDescent="0.25">
      <c r="D83" s="311">
        <v>3741470</v>
      </c>
      <c r="E83" s="314">
        <v>5370629.645727817</v>
      </c>
    </row>
    <row r="84" spans="4:5" x14ac:dyDescent="0.25">
      <c r="D84" s="311">
        <v>3994122</v>
      </c>
      <c r="E84" s="314">
        <v>1229450.065998916</v>
      </c>
    </row>
    <row r="85" spans="4:5" x14ac:dyDescent="0.25">
      <c r="D85" s="311">
        <v>4373225</v>
      </c>
      <c r="E85" s="314">
        <v>1254497.1182819521</v>
      </c>
    </row>
    <row r="86" spans="4:5" x14ac:dyDescent="0.25">
      <c r="D86" s="311">
        <v>4699567</v>
      </c>
      <c r="E86" s="314">
        <v>3959479.0792496316</v>
      </c>
    </row>
    <row r="87" spans="4:5" x14ac:dyDescent="0.25">
      <c r="D87" s="311">
        <v>4885366</v>
      </c>
      <c r="E87" s="314">
        <v>2678115.5483361837</v>
      </c>
    </row>
    <row r="88" spans="4:5" x14ac:dyDescent="0.25">
      <c r="D88" s="311">
        <v>5755112</v>
      </c>
      <c r="E88" s="314">
        <v>3222820.7912944802</v>
      </c>
    </row>
    <row r="89" spans="4:5" x14ac:dyDescent="0.25">
      <c r="D89" s="311">
        <v>5943218</v>
      </c>
      <c r="E89" s="314">
        <v>1290934.3566507786</v>
      </c>
    </row>
    <row r="90" spans="4:5" x14ac:dyDescent="0.25">
      <c r="D90" s="311">
        <v>5945407</v>
      </c>
      <c r="E90" s="314">
        <v>997908.83102156827</v>
      </c>
    </row>
    <row r="91" spans="4:5" x14ac:dyDescent="0.25">
      <c r="D91" s="311">
        <v>6163071</v>
      </c>
      <c r="E91" s="314">
        <v>772003.02506114123</v>
      </c>
    </row>
    <row r="92" spans="4:5" x14ac:dyDescent="0.25">
      <c r="D92" s="311">
        <v>6361701</v>
      </c>
      <c r="E92" s="314">
        <v>1029711</v>
      </c>
    </row>
    <row r="93" spans="4:5" x14ac:dyDescent="0.25">
      <c r="D93" s="311">
        <v>6473703</v>
      </c>
      <c r="E93" s="314">
        <v>1854835.0236859601</v>
      </c>
    </row>
    <row r="94" spans="4:5" x14ac:dyDescent="0.25">
      <c r="D94" s="311">
        <v>6585534</v>
      </c>
      <c r="E94" s="314">
        <v>3297218.8114025602</v>
      </c>
    </row>
    <row r="95" spans="4:5" x14ac:dyDescent="0.25">
      <c r="D95" s="311">
        <v>6948137</v>
      </c>
      <c r="E95" s="314">
        <v>6001592</v>
      </c>
    </row>
    <row r="96" spans="4:5" x14ac:dyDescent="0.25">
      <c r="D96" s="311">
        <v>7190506</v>
      </c>
      <c r="E96" s="314">
        <v>2840805.433337939</v>
      </c>
    </row>
    <row r="97" spans="4:5" x14ac:dyDescent="0.25">
      <c r="D97" s="311">
        <v>7263765</v>
      </c>
      <c r="E97" s="314">
        <v>1463011.5734570101</v>
      </c>
    </row>
    <row r="98" spans="4:5" x14ac:dyDescent="0.25">
      <c r="D98" s="311">
        <v>7365832</v>
      </c>
      <c r="E98" s="314">
        <v>916710.41611130896</v>
      </c>
    </row>
    <row r="99" spans="4:5" x14ac:dyDescent="0.25">
      <c r="D99" s="311">
        <v>7381195</v>
      </c>
      <c r="E99" s="314">
        <v>847233.45560883218</v>
      </c>
    </row>
    <row r="100" spans="4:5" x14ac:dyDescent="0.25">
      <c r="D100" s="311">
        <v>7384495</v>
      </c>
      <c r="E100" s="314">
        <v>2511960</v>
      </c>
    </row>
    <row r="101" spans="4:5" x14ac:dyDescent="0.25">
      <c r="D101" s="311">
        <v>7653065</v>
      </c>
      <c r="E101" s="314">
        <v>3343410.5426933127</v>
      </c>
    </row>
    <row r="102" spans="4:5" x14ac:dyDescent="0.25">
      <c r="D102" s="311">
        <v>7790627</v>
      </c>
      <c r="E102" s="314">
        <v>2104207</v>
      </c>
    </row>
    <row r="103" spans="4:5" x14ac:dyDescent="0.25">
      <c r="D103" s="311">
        <v>7805491</v>
      </c>
      <c r="E103" s="314">
        <v>2577327.818091928</v>
      </c>
    </row>
    <row r="104" spans="4:5" x14ac:dyDescent="0.25">
      <c r="D104" s="311">
        <v>7846871</v>
      </c>
      <c r="E104" s="314">
        <v>2119508.9633388799</v>
      </c>
    </row>
    <row r="105" spans="4:5" x14ac:dyDescent="0.25">
      <c r="D105" s="311">
        <v>8891712</v>
      </c>
      <c r="E105" s="314">
        <v>3402237.5858069072</v>
      </c>
    </row>
    <row r="106" spans="4:5" x14ac:dyDescent="0.25">
      <c r="D106" s="311">
        <v>9064643</v>
      </c>
      <c r="E106" s="314">
        <v>5929679.8103662794</v>
      </c>
    </row>
    <row r="107" spans="4:5" x14ac:dyDescent="0.25">
      <c r="D107" s="311">
        <v>9767213</v>
      </c>
      <c r="E107" s="314">
        <v>3162879.4741952131</v>
      </c>
    </row>
    <row r="108" spans="4:5" x14ac:dyDescent="0.25">
      <c r="D108" s="311" t="s">
        <v>1808</v>
      </c>
      <c r="E108" s="314">
        <v>87434175.375827283</v>
      </c>
    </row>
  </sheetData>
  <pageMargins left="0.7" right="0.7" top="0.78740157499999996" bottom="0.78740157499999996" header="0.3" footer="0.3"/>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topLeftCell="A8" workbookViewId="0">
      <selection activeCell="F10" sqref="F10"/>
    </sheetView>
  </sheetViews>
  <sheetFormatPr defaultRowHeight="15" x14ac:dyDescent="0.25"/>
  <cols>
    <col min="2" max="2" width="28.140625" customWidth="1"/>
    <col min="4" max="4" width="14.7109375" bestFit="1" customWidth="1"/>
    <col min="5" max="5" width="15.85546875" style="314" bestFit="1" customWidth="1"/>
  </cols>
  <sheetData>
    <row r="1" spans="1:11" x14ac:dyDescent="0.25">
      <c r="A1" t="s">
        <v>1651</v>
      </c>
      <c r="B1" t="s">
        <v>1652</v>
      </c>
      <c r="D1" t="s">
        <v>1654</v>
      </c>
      <c r="E1" s="346" t="s">
        <v>1653</v>
      </c>
    </row>
    <row r="2" spans="1:11" x14ac:dyDescent="0.25">
      <c r="D2" s="313" t="s">
        <v>1654</v>
      </c>
      <c r="E2" s="346" t="s">
        <v>1653</v>
      </c>
    </row>
    <row r="3" spans="1:11" ht="60" x14ac:dyDescent="0.25">
      <c r="A3" t="s">
        <v>1655</v>
      </c>
      <c r="B3" s="246" t="s">
        <v>1656</v>
      </c>
      <c r="D3">
        <v>1378201</v>
      </c>
      <c r="E3" s="314">
        <v>476784</v>
      </c>
      <c r="F3" s="313" t="e">
        <f>HLOOKUP(D3,#REF!,2,FALSE)</f>
        <v>#REF!</v>
      </c>
    </row>
    <row r="4" spans="1:11" ht="105" x14ac:dyDescent="0.25">
      <c r="A4" t="s">
        <v>1657</v>
      </c>
      <c r="B4" s="246" t="s">
        <v>1658</v>
      </c>
      <c r="D4">
        <v>2390992</v>
      </c>
      <c r="E4" s="314">
        <v>888000</v>
      </c>
      <c r="F4" s="313" t="e">
        <f>HLOOKUP(D4,#REF!,2,FALSE)</f>
        <v>#REF!</v>
      </c>
    </row>
    <row r="5" spans="1:11" ht="30" x14ac:dyDescent="0.25">
      <c r="A5" t="s">
        <v>1659</v>
      </c>
      <c r="B5" s="246" t="s">
        <v>1660</v>
      </c>
      <c r="D5" s="354">
        <v>6361701</v>
      </c>
      <c r="E5" s="341">
        <v>1029711</v>
      </c>
      <c r="F5" s="338" t="e">
        <f>HLOOKUP(D5,#REF!,2,FALSE)</f>
        <v>#REF!</v>
      </c>
    </row>
    <row r="6" spans="1:11" ht="30" x14ac:dyDescent="0.25">
      <c r="A6" t="s">
        <v>1661</v>
      </c>
      <c r="B6" s="246" t="s">
        <v>1662</v>
      </c>
      <c r="D6">
        <v>2788586</v>
      </c>
      <c r="E6" s="314">
        <v>1003700</v>
      </c>
      <c r="F6" s="313" t="e">
        <f>HLOOKUP(D6,#REF!,2,FALSE)</f>
        <v>#REF!</v>
      </c>
    </row>
    <row r="7" spans="1:11" ht="45" x14ac:dyDescent="0.25">
      <c r="A7" t="s">
        <v>1663</v>
      </c>
      <c r="B7" s="246" t="s">
        <v>1664</v>
      </c>
      <c r="D7">
        <v>3650770</v>
      </c>
      <c r="E7" s="314">
        <v>2080800</v>
      </c>
      <c r="F7" s="313" t="e">
        <f>HLOOKUP(D7,#REF!,2,FALSE)</f>
        <v>#REF!</v>
      </c>
    </row>
    <row r="8" spans="1:11" ht="45" x14ac:dyDescent="0.25">
      <c r="A8" t="s">
        <v>1665</v>
      </c>
      <c r="B8" s="246" t="s">
        <v>1666</v>
      </c>
      <c r="D8">
        <v>7790627</v>
      </c>
      <c r="E8" s="314">
        <v>2104207</v>
      </c>
      <c r="F8" s="313" t="e">
        <f>HLOOKUP(D8,#REF!,2,FALSE)</f>
        <v>#REF!</v>
      </c>
    </row>
    <row r="9" spans="1:11" ht="45" x14ac:dyDescent="0.25">
      <c r="A9" t="s">
        <v>1667</v>
      </c>
      <c r="B9" s="246" t="s">
        <v>1668</v>
      </c>
      <c r="D9">
        <v>7384495</v>
      </c>
      <c r="E9" s="314">
        <v>2511960</v>
      </c>
      <c r="F9" s="313" t="e">
        <f>HLOOKUP(D9,#REF!,2,FALSE)</f>
        <v>#REF!</v>
      </c>
    </row>
    <row r="10" spans="1:11" ht="30" x14ac:dyDescent="0.25">
      <c r="A10" t="s">
        <v>1669</v>
      </c>
      <c r="B10" s="246" t="s">
        <v>1670</v>
      </c>
      <c r="D10">
        <v>6948137</v>
      </c>
      <c r="E10" s="314">
        <v>6001592</v>
      </c>
      <c r="F10" s="313" t="e">
        <f>HLOOKUP(D10,#REF!,2,FALSE)</f>
        <v>#REF!</v>
      </c>
    </row>
    <row r="11" spans="1:11" ht="30" x14ac:dyDescent="0.25">
      <c r="A11" s="353" t="s">
        <v>1671</v>
      </c>
      <c r="B11" s="355" t="s">
        <v>1672</v>
      </c>
      <c r="C11" s="353"/>
      <c r="D11" s="353">
        <v>6948137</v>
      </c>
      <c r="E11" s="356"/>
      <c r="F11" s="353" t="e">
        <f>HLOOKUP(D11,#REF!,2,FALSE)</f>
        <v>#REF!</v>
      </c>
      <c r="G11" s="353"/>
      <c r="H11" s="353"/>
      <c r="I11" s="353"/>
      <c r="J11" s="353"/>
      <c r="K11" s="353"/>
    </row>
    <row r="12" spans="1:11" ht="30" x14ac:dyDescent="0.25">
      <c r="A12" t="s">
        <v>1673</v>
      </c>
      <c r="B12" s="246" t="s">
        <v>1674</v>
      </c>
      <c r="D12">
        <v>1236570</v>
      </c>
      <c r="E12" s="314">
        <v>8537422</v>
      </c>
      <c r="F12" s="313" t="e">
        <f>HLOOKUP(D12,#REF!,2,FALSE)</f>
        <v>#REF!</v>
      </c>
    </row>
    <row r="13" spans="1:11" x14ac:dyDescent="0.25">
      <c r="E13" s="314">
        <f>SUM(E3:E12)</f>
        <v>24634176</v>
      </c>
    </row>
    <row r="14" spans="1:11" x14ac:dyDescent="0.25">
      <c r="E14" s="314" t="e">
        <f>#REF!</f>
        <v>#REF!</v>
      </c>
    </row>
    <row r="15" spans="1:11" x14ac:dyDescent="0.25">
      <c r="E15" s="341" t="e">
        <f>E13-E14</f>
        <v>#REF!</v>
      </c>
    </row>
    <row r="18" spans="4:5" x14ac:dyDescent="0.25">
      <c r="D18" s="310" t="s">
        <v>1807</v>
      </c>
      <c r="E18" t="s">
        <v>2535</v>
      </c>
    </row>
    <row r="19" spans="4:5" x14ac:dyDescent="0.25">
      <c r="D19" s="311">
        <v>1236570</v>
      </c>
      <c r="E19" s="345">
        <v>8537422</v>
      </c>
    </row>
    <row r="20" spans="4:5" x14ac:dyDescent="0.25">
      <c r="D20" s="311">
        <v>1378201</v>
      </c>
      <c r="E20" s="345">
        <v>476784</v>
      </c>
    </row>
    <row r="21" spans="4:5" x14ac:dyDescent="0.25">
      <c r="D21" s="311">
        <v>2390992</v>
      </c>
      <c r="E21" s="345">
        <v>888000</v>
      </c>
    </row>
    <row r="22" spans="4:5" x14ac:dyDescent="0.25">
      <c r="D22" s="311">
        <v>2788586</v>
      </c>
      <c r="E22" s="345">
        <v>1003700</v>
      </c>
    </row>
    <row r="23" spans="4:5" x14ac:dyDescent="0.25">
      <c r="D23" s="311">
        <v>3650770</v>
      </c>
      <c r="E23" s="345">
        <v>2080800</v>
      </c>
    </row>
    <row r="24" spans="4:5" x14ac:dyDescent="0.25">
      <c r="D24" s="311">
        <v>6361701</v>
      </c>
      <c r="E24" s="345">
        <v>1029711</v>
      </c>
    </row>
    <row r="25" spans="4:5" x14ac:dyDescent="0.25">
      <c r="D25" s="311">
        <v>6948137</v>
      </c>
      <c r="E25" s="345">
        <v>6001592</v>
      </c>
    </row>
    <row r="26" spans="4:5" x14ac:dyDescent="0.25">
      <c r="D26" s="311">
        <v>7384495</v>
      </c>
      <c r="E26" s="345">
        <v>2511960</v>
      </c>
    </row>
    <row r="27" spans="4:5" x14ac:dyDescent="0.25">
      <c r="D27" s="311">
        <v>7790627</v>
      </c>
      <c r="E27" s="345">
        <v>2104207</v>
      </c>
    </row>
    <row r="28" spans="4:5" x14ac:dyDescent="0.25">
      <c r="D28" s="311" t="s">
        <v>1808</v>
      </c>
      <c r="E28" s="345">
        <v>24634176</v>
      </c>
    </row>
    <row r="29" spans="4:5" x14ac:dyDescent="0.25">
      <c r="E29"/>
    </row>
    <row r="30" spans="4:5" x14ac:dyDescent="0.25">
      <c r="E30"/>
    </row>
    <row r="31" spans="4:5" x14ac:dyDescent="0.25">
      <c r="E31"/>
    </row>
    <row r="32" spans="4:5" x14ac:dyDescent="0.25">
      <c r="E32"/>
    </row>
    <row r="33" spans="5:5" x14ac:dyDescent="0.25">
      <c r="E33"/>
    </row>
    <row r="34" spans="5:5" x14ac:dyDescent="0.25">
      <c r="E34"/>
    </row>
    <row r="35" spans="5:5" x14ac:dyDescent="0.25">
      <c r="E35"/>
    </row>
  </sheetData>
  <pageMargins left="0.7" right="0.7" top="0.78740157499999996" bottom="0.78740157499999996" header="0.3" footer="0.3"/>
  <pageSetup paperSize="9"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Q192"/>
  <sheetViews>
    <sheetView tabSelected="1" zoomScale="90" zoomScaleNormal="90" workbookViewId="0">
      <pane xSplit="2" ySplit="9" topLeftCell="C10" activePane="bottomRight" state="frozen"/>
      <selection pane="topRight" activeCell="C1" sqref="C1"/>
      <selection pane="bottomLeft" activeCell="A10" sqref="A10"/>
      <selection pane="bottomRight" activeCell="JI173" sqref="B1:JI173"/>
    </sheetView>
  </sheetViews>
  <sheetFormatPr defaultColWidth="9.28515625" defaultRowHeight="15" x14ac:dyDescent="0.25"/>
  <cols>
    <col min="1" max="1" width="6.140625" style="313" customWidth="1"/>
    <col min="2" max="2" width="34.5703125" style="313" customWidth="1"/>
    <col min="3" max="11" width="11.140625" style="313" customWidth="1"/>
    <col min="12" max="12" width="10.7109375" style="313" customWidth="1"/>
    <col min="13" max="107" width="11.140625" style="313" customWidth="1"/>
    <col min="108" max="108" width="12.5703125" style="313" customWidth="1"/>
    <col min="109" max="114" width="11.140625" style="313" customWidth="1"/>
    <col min="115" max="115" width="12.140625" style="313" customWidth="1"/>
    <col min="116" max="121" width="11.140625" style="313" customWidth="1"/>
    <col min="122" max="122" width="12.5703125" style="313" customWidth="1"/>
    <col min="123" max="152" width="11.140625" style="313" customWidth="1"/>
    <col min="153" max="153" width="13.85546875" style="313" customWidth="1"/>
    <col min="154" max="242" width="11.140625" style="313" customWidth="1"/>
    <col min="243" max="243" width="11.85546875" style="313" customWidth="1"/>
    <col min="244" max="264" width="11.140625" style="313" customWidth="1"/>
    <col min="265" max="265" width="13.85546875" style="313" customWidth="1"/>
    <col min="266" max="266" width="14.28515625" style="313" customWidth="1"/>
    <col min="267" max="267" width="13.140625" style="313" customWidth="1"/>
    <col min="268" max="268" width="11.140625" style="313" customWidth="1"/>
    <col min="269" max="269" width="15.28515625" style="313" customWidth="1"/>
    <col min="270" max="270" width="15.7109375" style="263" customWidth="1"/>
    <col min="271" max="271" width="2.28515625" style="263" customWidth="1"/>
    <col min="272" max="275" width="13.7109375" style="263" customWidth="1"/>
    <col min="276" max="276" width="16.5703125" style="263" customWidth="1"/>
    <col min="277" max="16384" width="9.28515625" style="263"/>
  </cols>
  <sheetData>
    <row r="1" spans="1:276" x14ac:dyDescent="0.25">
      <c r="B1" s="729">
        <f>JI159</f>
        <v>960818679</v>
      </c>
      <c r="C1" s="770">
        <v>1665958</v>
      </c>
      <c r="D1" s="770">
        <v>8982230</v>
      </c>
      <c r="E1" s="770">
        <v>3135426</v>
      </c>
      <c r="F1" s="770">
        <v>6152074</v>
      </c>
      <c r="G1" s="770">
        <v>3673053</v>
      </c>
      <c r="H1" s="770">
        <v>7365832</v>
      </c>
      <c r="I1" s="770">
        <v>9767213</v>
      </c>
      <c r="J1" s="770">
        <v>4885366</v>
      </c>
      <c r="K1" s="770">
        <v>1758706</v>
      </c>
      <c r="L1" s="770">
        <v>3346325</v>
      </c>
      <c r="M1" s="770">
        <v>2039109</v>
      </c>
      <c r="N1" s="770">
        <v>5020855</v>
      </c>
      <c r="O1" s="770">
        <v>6565086</v>
      </c>
      <c r="P1" s="770">
        <v>6630553</v>
      </c>
      <c r="Q1" s="770">
        <v>8615860</v>
      </c>
      <c r="R1" s="770">
        <v>4309907</v>
      </c>
      <c r="S1" s="770">
        <v>5792625</v>
      </c>
      <c r="T1" s="770">
        <v>6191102</v>
      </c>
      <c r="U1" s="770">
        <v>9684449</v>
      </c>
      <c r="V1" s="770">
        <v>9735411</v>
      </c>
      <c r="W1" s="770">
        <v>7268793</v>
      </c>
      <c r="X1" s="770">
        <v>2333254</v>
      </c>
      <c r="Y1" s="770">
        <v>9223411</v>
      </c>
      <c r="Z1" s="770">
        <v>9264829</v>
      </c>
      <c r="AA1" s="770">
        <v>8946698</v>
      </c>
      <c r="AB1" s="770">
        <v>1806042</v>
      </c>
      <c r="AC1" s="770">
        <v>8090757</v>
      </c>
      <c r="AD1" s="770">
        <v>6447139</v>
      </c>
      <c r="AE1" s="770">
        <v>6361701</v>
      </c>
      <c r="AF1" s="770">
        <v>7790627</v>
      </c>
      <c r="AG1" s="770">
        <v>1008575</v>
      </c>
      <c r="AH1" s="770">
        <v>1567065</v>
      </c>
      <c r="AI1" s="770">
        <v>7857005</v>
      </c>
      <c r="AJ1" s="770">
        <v>8936486</v>
      </c>
      <c r="AK1" s="770">
        <v>5646573</v>
      </c>
      <c r="AL1" s="770">
        <v>8382823</v>
      </c>
      <c r="AM1" s="770">
        <v>2583952</v>
      </c>
      <c r="AN1" s="770">
        <v>1494293</v>
      </c>
      <c r="AO1" s="770">
        <v>1905494</v>
      </c>
      <c r="AP1" s="770">
        <v>8902089</v>
      </c>
      <c r="AQ1" s="770">
        <v>7634996</v>
      </c>
      <c r="AR1" s="770">
        <v>8289298</v>
      </c>
      <c r="AS1" s="770">
        <v>9503685</v>
      </c>
      <c r="AT1" s="770">
        <v>2392006</v>
      </c>
      <c r="AU1" s="770">
        <v>8102124</v>
      </c>
      <c r="AV1" s="770">
        <v>4526227</v>
      </c>
      <c r="AW1" s="770">
        <v>7653065</v>
      </c>
      <c r="AX1" s="770">
        <v>1441233</v>
      </c>
      <c r="AY1" s="770">
        <v>1961902</v>
      </c>
      <c r="AZ1" s="770">
        <v>2499134</v>
      </c>
      <c r="BA1" s="770">
        <v>7566271</v>
      </c>
      <c r="BB1" s="770">
        <v>9608144</v>
      </c>
      <c r="BC1" s="770">
        <v>8365172</v>
      </c>
      <c r="BD1" s="770">
        <v>8299792</v>
      </c>
      <c r="BE1" s="770">
        <v>5943218</v>
      </c>
      <c r="BF1" s="770">
        <v>1201932</v>
      </c>
      <c r="BG1" s="770">
        <v>5814347</v>
      </c>
      <c r="BH1" s="770">
        <v>1537615</v>
      </c>
      <c r="BI1" s="770">
        <v>9328941</v>
      </c>
      <c r="BJ1" s="770">
        <v>2540162</v>
      </c>
      <c r="BK1" s="770">
        <v>2390992</v>
      </c>
      <c r="BL1" s="770">
        <v>4335979</v>
      </c>
      <c r="BM1" s="770">
        <v>3054253</v>
      </c>
      <c r="BN1" s="770">
        <v>5133257</v>
      </c>
      <c r="BO1" s="770">
        <v>2757263</v>
      </c>
      <c r="BP1" s="770">
        <v>6684022</v>
      </c>
      <c r="BQ1" s="770">
        <v>7381195</v>
      </c>
      <c r="BR1" s="770">
        <v>3040542</v>
      </c>
      <c r="BS1" s="770">
        <v>8849001</v>
      </c>
      <c r="BT1" s="770">
        <v>8984742</v>
      </c>
      <c r="BU1" s="770">
        <v>9097155</v>
      </c>
      <c r="BV1" s="770">
        <v>2189349</v>
      </c>
      <c r="BW1" s="770">
        <v>6466112</v>
      </c>
      <c r="BX1" s="770">
        <v>2028356</v>
      </c>
      <c r="BY1" s="770">
        <v>7741294</v>
      </c>
      <c r="BZ1" s="770">
        <v>5947102</v>
      </c>
      <c r="CA1" s="770" t="s">
        <v>2581</v>
      </c>
      <c r="CB1" s="770">
        <v>6627771</v>
      </c>
      <c r="CC1" s="770">
        <v>2886510</v>
      </c>
      <c r="CD1" s="770">
        <v>5903063</v>
      </c>
      <c r="CE1" s="770">
        <v>5376966</v>
      </c>
      <c r="CF1" s="770">
        <v>1840658</v>
      </c>
      <c r="CG1" s="770">
        <v>1236570</v>
      </c>
      <c r="CH1" s="770">
        <v>4699567</v>
      </c>
      <c r="CI1" s="770">
        <v>6585534</v>
      </c>
      <c r="CJ1" s="770">
        <v>7832444</v>
      </c>
      <c r="CK1" s="770">
        <v>1968420</v>
      </c>
      <c r="CL1" s="770">
        <v>2813024</v>
      </c>
      <c r="CM1" s="770">
        <v>9554713</v>
      </c>
      <c r="CN1" s="770">
        <v>1738957</v>
      </c>
      <c r="CO1" s="770">
        <v>2315315</v>
      </c>
      <c r="CP1" s="770">
        <v>6607461</v>
      </c>
      <c r="CQ1" s="770">
        <v>1907533</v>
      </c>
      <c r="CR1" s="770">
        <v>6161785</v>
      </c>
      <c r="CS1" s="770">
        <v>8891712</v>
      </c>
      <c r="CT1" s="770">
        <v>9064643</v>
      </c>
      <c r="CU1" s="770">
        <v>1356155</v>
      </c>
      <c r="CV1" s="770">
        <v>5894253</v>
      </c>
      <c r="CW1" s="770">
        <v>7235281</v>
      </c>
      <c r="CX1" s="770">
        <v>7459230</v>
      </c>
      <c r="CY1" s="770">
        <v>3110951</v>
      </c>
      <c r="CZ1" s="770">
        <v>2788586</v>
      </c>
      <c r="DA1" s="770">
        <v>9142033</v>
      </c>
      <c r="DB1" s="770">
        <v>6698987</v>
      </c>
      <c r="DC1" s="770">
        <v>8350990</v>
      </c>
      <c r="DD1" s="770">
        <v>3741470</v>
      </c>
      <c r="DE1" s="770">
        <v>6948137</v>
      </c>
      <c r="DF1" s="770">
        <v>8172268</v>
      </c>
      <c r="DG1" s="770">
        <v>9775815</v>
      </c>
      <c r="DH1" s="770">
        <v>1378201</v>
      </c>
      <c r="DI1" s="770">
        <v>1552469</v>
      </c>
      <c r="DJ1" s="770">
        <v>6473703</v>
      </c>
      <c r="DK1" s="770">
        <v>7805491</v>
      </c>
      <c r="DL1" s="770">
        <v>1826777</v>
      </c>
      <c r="DM1" s="770">
        <v>5991938</v>
      </c>
      <c r="DN1" s="770">
        <v>2174839</v>
      </c>
      <c r="DO1" s="770">
        <v>4659873</v>
      </c>
      <c r="DP1" s="770">
        <v>8411392</v>
      </c>
      <c r="DQ1" s="770">
        <v>4533728</v>
      </c>
      <c r="DR1" s="770">
        <v>9659243</v>
      </c>
      <c r="DS1" s="770">
        <v>6041962</v>
      </c>
      <c r="DT1" s="770">
        <v>8051895</v>
      </c>
      <c r="DU1" s="770">
        <v>7846871</v>
      </c>
      <c r="DV1" s="770">
        <v>5871375</v>
      </c>
      <c r="DW1" s="770">
        <v>7263765</v>
      </c>
      <c r="DX1" s="770">
        <v>3595008</v>
      </c>
      <c r="DY1" s="770">
        <v>1715626</v>
      </c>
      <c r="DZ1" s="770">
        <v>3921078</v>
      </c>
      <c r="EA1" s="770">
        <v>3198258</v>
      </c>
      <c r="EB1" s="770">
        <v>4271738</v>
      </c>
      <c r="EC1" s="770">
        <v>1622964</v>
      </c>
      <c r="ED1" s="770">
        <v>8979890</v>
      </c>
      <c r="EE1" s="770">
        <v>2093343</v>
      </c>
      <c r="EF1" s="770">
        <v>5700178</v>
      </c>
      <c r="EG1" s="770">
        <v>6811251</v>
      </c>
      <c r="EH1" s="770">
        <v>3736692</v>
      </c>
      <c r="EI1" s="770">
        <v>1792038</v>
      </c>
      <c r="EJ1" s="770">
        <v>4373225</v>
      </c>
      <c r="EK1" s="770">
        <v>2495303</v>
      </c>
      <c r="EL1" s="770">
        <v>9268423</v>
      </c>
      <c r="EM1" s="770">
        <v>4497017</v>
      </c>
      <c r="EN1" s="770">
        <v>5369609</v>
      </c>
      <c r="EO1" s="770">
        <v>9223303</v>
      </c>
      <c r="EP1" s="770">
        <v>5539112</v>
      </c>
      <c r="EQ1" s="770">
        <v>7218817</v>
      </c>
      <c r="ER1" s="770">
        <v>1686476</v>
      </c>
      <c r="ES1" s="770">
        <v>9577077</v>
      </c>
      <c r="ET1" s="770">
        <v>6907978</v>
      </c>
      <c r="EU1" s="770">
        <v>5312119</v>
      </c>
      <c r="EV1" s="770">
        <v>4382191</v>
      </c>
      <c r="EW1" s="770">
        <v>3597628</v>
      </c>
      <c r="EX1" s="770">
        <v>7916274</v>
      </c>
      <c r="EY1" s="770">
        <v>4987165</v>
      </c>
      <c r="EZ1" s="770">
        <v>6181040</v>
      </c>
      <c r="FA1" s="770">
        <v>1647194</v>
      </c>
      <c r="FB1" s="770">
        <v>9478716</v>
      </c>
      <c r="FC1" s="770">
        <v>9924639</v>
      </c>
      <c r="FD1" s="770">
        <v>2514714</v>
      </c>
      <c r="FE1" s="770">
        <v>1696009</v>
      </c>
      <c r="FF1" s="770">
        <v>4878719</v>
      </c>
      <c r="FG1" s="770">
        <v>5344327</v>
      </c>
      <c r="FH1" s="770">
        <v>1642854</v>
      </c>
      <c r="FI1" s="770">
        <v>8635813</v>
      </c>
      <c r="FJ1" s="770">
        <v>6232669</v>
      </c>
      <c r="FK1" s="770">
        <v>5175408</v>
      </c>
      <c r="FL1" s="770">
        <v>2015983</v>
      </c>
      <c r="FM1" s="770">
        <v>6428468</v>
      </c>
      <c r="FN1" s="770">
        <v>1225073</v>
      </c>
      <c r="FO1" s="770">
        <v>9459250</v>
      </c>
      <c r="FP1" s="770">
        <v>4381530</v>
      </c>
      <c r="FQ1" s="770">
        <v>5703553</v>
      </c>
      <c r="FR1" s="770">
        <v>7190506</v>
      </c>
      <c r="FS1" s="770">
        <v>4720531</v>
      </c>
      <c r="FT1" s="770">
        <v>1172890</v>
      </c>
      <c r="FU1" s="770">
        <v>4531517</v>
      </c>
      <c r="FV1" s="770">
        <v>9196018</v>
      </c>
      <c r="FW1" s="770">
        <v>7702105</v>
      </c>
      <c r="FX1" s="770">
        <v>1671513</v>
      </c>
      <c r="FY1" s="770">
        <v>5141443</v>
      </c>
      <c r="FZ1" s="770">
        <v>7259548</v>
      </c>
      <c r="GA1" s="770">
        <v>3357963</v>
      </c>
      <c r="GB1" s="770">
        <v>1817339</v>
      </c>
      <c r="GC1" s="770">
        <v>3095940</v>
      </c>
      <c r="GD1" s="770">
        <v>1109434</v>
      </c>
      <c r="GE1" s="770">
        <v>3994122</v>
      </c>
      <c r="GF1" s="770">
        <v>9940787</v>
      </c>
      <c r="GG1" s="770">
        <v>4075651</v>
      </c>
      <c r="GH1" s="770">
        <v>2506443</v>
      </c>
      <c r="GI1" s="770">
        <v>4782003</v>
      </c>
      <c r="GJ1" s="770">
        <v>9199716</v>
      </c>
      <c r="GK1" s="770">
        <v>6749255</v>
      </c>
      <c r="GL1" s="770">
        <v>4547815</v>
      </c>
      <c r="GM1" s="770">
        <v>6989404</v>
      </c>
      <c r="GN1" s="770">
        <v>1272659</v>
      </c>
      <c r="GO1" s="770">
        <v>3619533</v>
      </c>
      <c r="GP1" s="770">
        <v>9949795</v>
      </c>
      <c r="GQ1" s="770">
        <v>1514566</v>
      </c>
      <c r="GR1" s="770">
        <v>4936413</v>
      </c>
      <c r="GS1" s="770">
        <v>8522302</v>
      </c>
      <c r="GT1" s="770">
        <v>7201840</v>
      </c>
      <c r="GU1" s="770">
        <v>5599785</v>
      </c>
      <c r="GV1" s="770">
        <v>4396482</v>
      </c>
      <c r="GW1" s="770">
        <v>2946425</v>
      </c>
      <c r="GX1" s="770">
        <v>6697882</v>
      </c>
      <c r="GY1" s="770">
        <v>9688838</v>
      </c>
      <c r="GZ1" s="770">
        <v>5755112</v>
      </c>
      <c r="HA1" s="770">
        <v>4383860</v>
      </c>
      <c r="HB1" s="770">
        <v>5173305</v>
      </c>
      <c r="HC1" s="770">
        <v>2125600</v>
      </c>
      <c r="HD1" s="770">
        <v>7399132</v>
      </c>
      <c r="HE1" s="770">
        <v>8877013</v>
      </c>
      <c r="HF1" s="770">
        <v>5204562</v>
      </c>
      <c r="HG1" s="770">
        <v>2813433</v>
      </c>
      <c r="HH1" s="770">
        <v>9666094</v>
      </c>
      <c r="HI1" s="770">
        <v>3810187</v>
      </c>
      <c r="HJ1" s="770">
        <v>5945407</v>
      </c>
      <c r="HK1" s="770">
        <v>9583114</v>
      </c>
      <c r="HL1" s="770">
        <v>5000179</v>
      </c>
      <c r="HM1" s="770">
        <v>8504548</v>
      </c>
      <c r="HN1" s="770">
        <v>6163071</v>
      </c>
      <c r="HO1" s="770">
        <v>3650770</v>
      </c>
      <c r="HP1" s="770">
        <v>4721932</v>
      </c>
      <c r="HQ1" s="770">
        <v>3446957</v>
      </c>
      <c r="HR1" s="770">
        <v>3473171</v>
      </c>
      <c r="HS1" s="770">
        <v>6514817</v>
      </c>
      <c r="HT1" s="770">
        <v>5651221</v>
      </c>
      <c r="HU1" s="770">
        <v>1450637</v>
      </c>
      <c r="HV1" s="770">
        <v>6581899</v>
      </c>
      <c r="HW1" s="770">
        <v>2837121</v>
      </c>
      <c r="HX1" s="770">
        <v>3754207</v>
      </c>
      <c r="HY1" s="770">
        <v>4753225</v>
      </c>
      <c r="HZ1" s="770">
        <v>5040302</v>
      </c>
      <c r="IA1" s="770">
        <v>3943362</v>
      </c>
      <c r="IB1" s="770">
        <v>2749776</v>
      </c>
      <c r="IC1" s="770">
        <v>8508078</v>
      </c>
      <c r="ID1" s="770">
        <v>1991772</v>
      </c>
      <c r="IE1" s="770">
        <v>2801353</v>
      </c>
      <c r="IF1" s="770">
        <v>9593192</v>
      </c>
      <c r="IG1" s="770">
        <v>7663376</v>
      </c>
      <c r="IH1" s="770">
        <v>8338145</v>
      </c>
      <c r="II1" s="770">
        <v>5220717</v>
      </c>
      <c r="IJ1" s="770">
        <v>4382500</v>
      </c>
      <c r="IK1" s="770">
        <v>7384495</v>
      </c>
      <c r="IL1" s="770">
        <v>1872907</v>
      </c>
      <c r="IM1" s="770">
        <v>1878615</v>
      </c>
      <c r="IN1" s="770">
        <v>6565956</v>
      </c>
      <c r="IO1" s="770">
        <v>9924037</v>
      </c>
      <c r="IP1" s="770">
        <v>9445282</v>
      </c>
      <c r="IQ1" s="770">
        <v>3713907</v>
      </c>
      <c r="IR1" s="770">
        <v>4007320</v>
      </c>
      <c r="IS1" s="770">
        <v>7630615</v>
      </c>
      <c r="IT1" s="770">
        <v>5804478</v>
      </c>
      <c r="IU1" s="770">
        <v>7071797</v>
      </c>
      <c r="IV1" s="770">
        <v>3529182</v>
      </c>
      <c r="IW1" s="770">
        <v>5638901</v>
      </c>
      <c r="IX1" s="770">
        <v>1576566</v>
      </c>
      <c r="IY1" s="770">
        <v>6945387</v>
      </c>
      <c r="IZ1" s="770">
        <v>5869239</v>
      </c>
      <c r="JA1" s="770">
        <v>8314639</v>
      </c>
      <c r="JB1" s="770">
        <v>9870958</v>
      </c>
      <c r="JC1" s="770">
        <v>5922905</v>
      </c>
      <c r="JD1" s="770">
        <v>9379121</v>
      </c>
      <c r="JE1" s="770">
        <v>6375207</v>
      </c>
      <c r="JF1" s="770">
        <v>1546097</v>
      </c>
      <c r="JG1" s="770">
        <v>2089762</v>
      </c>
      <c r="JH1" s="771">
        <v>8430922</v>
      </c>
      <c r="JI1" s="263" t="s">
        <v>2802</v>
      </c>
    </row>
    <row r="2" spans="1:276" x14ac:dyDescent="0.25">
      <c r="B2" s="730">
        <f>JI158</f>
        <v>960818679</v>
      </c>
      <c r="C2" s="360" t="s">
        <v>470</v>
      </c>
      <c r="D2" s="360" t="s">
        <v>959</v>
      </c>
      <c r="E2" s="360" t="s">
        <v>1007</v>
      </c>
      <c r="F2" s="360" t="s">
        <v>226</v>
      </c>
      <c r="G2" s="360" t="s">
        <v>219</v>
      </c>
      <c r="H2" s="360" t="s">
        <v>231</v>
      </c>
      <c r="I2" s="360" t="s">
        <v>236</v>
      </c>
      <c r="J2" s="360" t="s">
        <v>1488</v>
      </c>
      <c r="K2" s="360" t="s">
        <v>1465</v>
      </c>
      <c r="L2" s="360" t="s">
        <v>1373</v>
      </c>
      <c r="M2" s="360" t="s">
        <v>1130</v>
      </c>
      <c r="N2" s="360" t="s">
        <v>1130</v>
      </c>
      <c r="O2" s="360" t="s">
        <v>294</v>
      </c>
      <c r="P2" s="360" t="s">
        <v>294</v>
      </c>
      <c r="Q2" s="360" t="s">
        <v>931</v>
      </c>
      <c r="R2" s="360" t="s">
        <v>314</v>
      </c>
      <c r="S2" s="360" t="s">
        <v>318</v>
      </c>
      <c r="T2" s="360" t="s">
        <v>1095</v>
      </c>
      <c r="U2" s="360" t="s">
        <v>327</v>
      </c>
      <c r="V2" s="360" t="s">
        <v>386</v>
      </c>
      <c r="W2" s="360" t="s">
        <v>1299</v>
      </c>
      <c r="X2" s="360" t="s">
        <v>1287</v>
      </c>
      <c r="Y2" s="360" t="s">
        <v>358</v>
      </c>
      <c r="Z2" s="360" t="s">
        <v>358</v>
      </c>
      <c r="AA2" s="360" t="s">
        <v>372</v>
      </c>
      <c r="AB2" s="360" t="s">
        <v>225</v>
      </c>
      <c r="AC2" s="360" t="str">
        <f>'žádosti MPSV 2020'!I44</f>
        <v>Centrum denních služeb</v>
      </c>
      <c r="AD2" s="360" t="s">
        <v>1375</v>
      </c>
      <c r="AE2" s="360" t="s">
        <v>1438</v>
      </c>
      <c r="AF2" s="360" t="s">
        <v>700</v>
      </c>
      <c r="AG2" s="360" t="s">
        <v>386</v>
      </c>
      <c r="AH2" s="360" t="s">
        <v>1283</v>
      </c>
      <c r="AI2" s="360" t="s">
        <v>1332</v>
      </c>
      <c r="AJ2" s="360" t="s">
        <v>1332</v>
      </c>
      <c r="AK2" s="360" t="s">
        <v>398</v>
      </c>
      <c r="AL2" s="360" t="s">
        <v>1440</v>
      </c>
      <c r="AM2" s="360" t="s">
        <v>407</v>
      </c>
      <c r="AN2" s="360" t="s">
        <v>413</v>
      </c>
      <c r="AO2" s="360" t="s">
        <v>415</v>
      </c>
      <c r="AP2" s="360" t="s">
        <v>377</v>
      </c>
      <c r="AQ2" s="360" t="s">
        <v>1104</v>
      </c>
      <c r="AR2" s="360" t="s">
        <v>1106</v>
      </c>
      <c r="AS2" s="360" t="s">
        <v>1115</v>
      </c>
      <c r="AT2" s="360" t="s">
        <v>377</v>
      </c>
      <c r="AU2" s="360" t="s">
        <v>1418</v>
      </c>
      <c r="AV2" s="360" t="s">
        <v>1433</v>
      </c>
      <c r="AW2" s="360" t="s">
        <v>1457</v>
      </c>
      <c r="AX2" s="360" t="s">
        <v>1251</v>
      </c>
      <c r="AY2" s="360" t="s">
        <v>1251</v>
      </c>
      <c r="AZ2" s="360" t="s">
        <v>1251</v>
      </c>
      <c r="BA2" s="360" t="s">
        <v>1147</v>
      </c>
      <c r="BB2" s="360" t="s">
        <v>1117</v>
      </c>
      <c r="BC2" s="360" t="s">
        <v>1378</v>
      </c>
      <c r="BD2" s="360" t="s">
        <v>1108</v>
      </c>
      <c r="BE2" s="360" t="s">
        <v>585</v>
      </c>
      <c r="BF2" s="360" t="s">
        <v>594</v>
      </c>
      <c r="BG2" s="360" t="s">
        <v>1395</v>
      </c>
      <c r="BH2" s="360" t="s">
        <v>1460</v>
      </c>
      <c r="BI2" s="360" t="s">
        <v>1364</v>
      </c>
      <c r="BJ2" s="360" t="s">
        <v>694</v>
      </c>
      <c r="BK2" s="360" t="s">
        <v>1473</v>
      </c>
      <c r="BL2" s="360" t="s">
        <v>710</v>
      </c>
      <c r="BM2" s="360" t="s">
        <v>1476</v>
      </c>
      <c r="BN2" s="360" t="s">
        <v>725</v>
      </c>
      <c r="BO2" s="360" t="s">
        <v>721</v>
      </c>
      <c r="BP2" s="360" t="s">
        <v>1296</v>
      </c>
      <c r="BQ2" s="360" t="s">
        <v>731</v>
      </c>
      <c r="BR2" s="360" t="s">
        <v>735</v>
      </c>
      <c r="BS2" s="360" t="s">
        <v>740</v>
      </c>
      <c r="BT2" s="360" t="s">
        <v>744</v>
      </c>
      <c r="BU2" s="360" t="s">
        <v>1219</v>
      </c>
      <c r="BV2" s="360" t="s">
        <v>753</v>
      </c>
      <c r="BW2" s="360" t="s">
        <v>760</v>
      </c>
      <c r="BX2" s="360" t="s">
        <v>1179</v>
      </c>
      <c r="BY2" s="360" t="s">
        <v>772</v>
      </c>
      <c r="BZ2" s="360" t="s">
        <v>760</v>
      </c>
      <c r="CA2" s="360" t="s">
        <v>389</v>
      </c>
      <c r="CB2" s="360" t="s">
        <v>1355</v>
      </c>
      <c r="CC2" s="360" t="s">
        <v>1075</v>
      </c>
      <c r="CD2" s="360" t="s">
        <v>1092</v>
      </c>
      <c r="CE2" s="360" t="s">
        <v>1200</v>
      </c>
      <c r="CF2" s="360" t="s">
        <v>780</v>
      </c>
      <c r="CG2" s="360" t="s">
        <v>1383</v>
      </c>
      <c r="CH2" s="360" t="s">
        <v>1388</v>
      </c>
      <c r="CI2" s="360" t="s">
        <v>1401</v>
      </c>
      <c r="CJ2" s="360" t="s">
        <v>1388</v>
      </c>
      <c r="CK2" s="360" t="s">
        <v>1388</v>
      </c>
      <c r="CL2" s="360" t="s">
        <v>1388</v>
      </c>
      <c r="CM2" s="360" t="s">
        <v>792</v>
      </c>
      <c r="CN2" s="360" t="s">
        <v>1406</v>
      </c>
      <c r="CO2" s="360" t="s">
        <v>1411</v>
      </c>
      <c r="CP2" s="360" t="s">
        <v>810</v>
      </c>
      <c r="CQ2" s="360" t="s">
        <v>379</v>
      </c>
      <c r="CR2" s="360" t="s">
        <v>1204</v>
      </c>
      <c r="CS2" s="360" t="s">
        <v>814</v>
      </c>
      <c r="CT2" s="360" t="s">
        <v>818</v>
      </c>
      <c r="CU2" s="360" t="s">
        <v>1166</v>
      </c>
      <c r="CV2" s="360" t="s">
        <v>1328</v>
      </c>
      <c r="CW2" s="360" t="s">
        <v>831</v>
      </c>
      <c r="CX2" s="360" t="s">
        <v>377</v>
      </c>
      <c r="CY2" s="360" t="s">
        <v>829</v>
      </c>
      <c r="CZ2" s="360" t="s">
        <v>828</v>
      </c>
      <c r="DA2" s="360" t="s">
        <v>1362</v>
      </c>
      <c r="DB2" s="360" t="s">
        <v>844</v>
      </c>
      <c r="DC2" s="360" t="s">
        <v>846</v>
      </c>
      <c r="DD2" s="360" t="s">
        <v>1482</v>
      </c>
      <c r="DE2" s="360" t="s">
        <v>1495</v>
      </c>
      <c r="DF2" s="360" t="s">
        <v>1504</v>
      </c>
      <c r="DG2" s="360" t="s">
        <v>873</v>
      </c>
      <c r="DH2" s="360" t="s">
        <v>877</v>
      </c>
      <c r="DI2" s="360" t="s">
        <v>878</v>
      </c>
      <c r="DJ2" s="360" t="s">
        <v>1493</v>
      </c>
      <c r="DK2" s="360" t="s">
        <v>881</v>
      </c>
      <c r="DL2" s="360" t="s">
        <v>1176</v>
      </c>
      <c r="DM2" s="360" t="s">
        <v>377</v>
      </c>
      <c r="DN2" s="360" t="s">
        <v>899</v>
      </c>
      <c r="DO2" s="360" t="s">
        <v>905</v>
      </c>
      <c r="DP2" s="360" t="s">
        <v>1421</v>
      </c>
      <c r="DQ2" s="360" t="s">
        <v>911</v>
      </c>
      <c r="DR2" s="360" t="s">
        <v>918</v>
      </c>
      <c r="DS2" s="360" t="s">
        <v>1294</v>
      </c>
      <c r="DT2" s="360" t="s">
        <v>1357</v>
      </c>
      <c r="DU2" s="360" t="s">
        <v>1246</v>
      </c>
      <c r="DV2" s="360" t="s">
        <v>1351</v>
      </c>
      <c r="DW2" s="360" t="s">
        <v>1455</v>
      </c>
      <c r="DX2" s="360" t="s">
        <v>1479</v>
      </c>
      <c r="DY2" s="360" t="s">
        <v>962</v>
      </c>
      <c r="DZ2" s="360" t="s">
        <v>962</v>
      </c>
      <c r="EA2" s="360" t="s">
        <v>965</v>
      </c>
      <c r="EB2" s="360" t="s">
        <v>1140</v>
      </c>
      <c r="EC2" s="360" t="s">
        <v>684</v>
      </c>
      <c r="ED2" s="360" t="s">
        <v>389</v>
      </c>
      <c r="EE2" s="360" t="s">
        <v>1066</v>
      </c>
      <c r="EF2" s="360" t="s">
        <v>1066</v>
      </c>
      <c r="EG2" s="360" t="s">
        <v>1066</v>
      </c>
      <c r="EH2" s="360" t="s">
        <v>1239</v>
      </c>
      <c r="EI2" s="360" t="s">
        <v>1448</v>
      </c>
      <c r="EJ2" s="360" t="s">
        <v>1485</v>
      </c>
      <c r="EK2" s="360" t="s">
        <v>1010</v>
      </c>
      <c r="EL2" s="360" t="s">
        <v>1010</v>
      </c>
      <c r="EM2" s="360" t="s">
        <v>1010</v>
      </c>
      <c r="EN2" s="360" t="s">
        <v>1020</v>
      </c>
      <c r="EO2" s="360" t="s">
        <v>1112</v>
      </c>
      <c r="EP2" s="360" t="s">
        <v>1113</v>
      </c>
      <c r="EQ2" s="360" t="s">
        <v>1112</v>
      </c>
      <c r="ER2" s="360" t="s">
        <v>386</v>
      </c>
      <c r="ES2" s="360" t="s">
        <v>1035</v>
      </c>
      <c r="ET2" s="360" t="s">
        <v>1267</v>
      </c>
      <c r="EU2" s="360" t="s">
        <v>1309</v>
      </c>
      <c r="EV2" s="360" t="s">
        <v>1082</v>
      </c>
      <c r="EW2" s="360" t="s">
        <v>386</v>
      </c>
      <c r="EX2" s="360" t="s">
        <v>390</v>
      </c>
      <c r="EY2" s="360" t="s">
        <v>1436</v>
      </c>
      <c r="EZ2" s="360" t="s">
        <v>605</v>
      </c>
      <c r="FA2" s="360" t="s">
        <v>608</v>
      </c>
      <c r="FB2" s="360" t="s">
        <v>940</v>
      </c>
      <c r="FC2" s="360" t="s">
        <v>857</v>
      </c>
      <c r="FD2" s="360" t="s">
        <v>860</v>
      </c>
      <c r="FE2" s="360" t="s">
        <v>859</v>
      </c>
      <c r="FF2" s="360" t="s">
        <v>942</v>
      </c>
      <c r="FG2" s="360" t="s">
        <v>942</v>
      </c>
      <c r="FH2" s="360" t="s">
        <v>942</v>
      </c>
      <c r="FI2" s="360" t="s">
        <v>493</v>
      </c>
      <c r="FJ2" s="360" t="s">
        <v>1208</v>
      </c>
      <c r="FK2" s="360" t="s">
        <v>977</v>
      </c>
      <c r="FL2" s="360" t="s">
        <v>977</v>
      </c>
      <c r="FM2" s="360" t="s">
        <v>1210</v>
      </c>
      <c r="FN2" s="360" t="s">
        <v>1163</v>
      </c>
      <c r="FO2" s="360" t="s">
        <v>1304</v>
      </c>
      <c r="FP2" s="360" t="s">
        <v>390</v>
      </c>
      <c r="FQ2" s="360" t="s">
        <v>769</v>
      </c>
      <c r="FR2" s="360" t="s">
        <v>1391</v>
      </c>
      <c r="FS2" s="360" t="s">
        <v>859</v>
      </c>
      <c r="FT2" s="360" t="s">
        <v>620</v>
      </c>
      <c r="FU2" s="360" t="s">
        <v>623</v>
      </c>
      <c r="FV2" s="360" t="s">
        <v>750</v>
      </c>
      <c r="FW2" s="360" t="s">
        <v>386</v>
      </c>
      <c r="FX2" s="360" t="s">
        <v>632</v>
      </c>
      <c r="FY2" s="360" t="s">
        <v>1197</v>
      </c>
      <c r="FZ2" s="360" t="s">
        <v>386</v>
      </c>
      <c r="GA2" s="360" t="s">
        <v>1259</v>
      </c>
      <c r="GB2" s="360" t="s">
        <v>1259</v>
      </c>
      <c r="GC2" s="360" t="s">
        <v>386</v>
      </c>
      <c r="GD2" s="360" t="s">
        <v>390</v>
      </c>
      <c r="GE2" s="360" t="s">
        <v>642</v>
      </c>
      <c r="GF2" s="360" t="s">
        <v>386</v>
      </c>
      <c r="GG2" s="360" t="s">
        <v>684</v>
      </c>
      <c r="GH2" s="360" t="s">
        <v>287</v>
      </c>
      <c r="GI2" s="360" t="s">
        <v>390</v>
      </c>
      <c r="GJ2" s="360" t="s">
        <v>1222</v>
      </c>
      <c r="GK2" s="360" t="s">
        <v>1264</v>
      </c>
      <c r="GL2" s="360" t="s">
        <v>1279</v>
      </c>
      <c r="GM2" s="360" t="s">
        <v>1416</v>
      </c>
      <c r="GN2" s="360" t="s">
        <v>647</v>
      </c>
      <c r="GO2" s="360" t="s">
        <v>957</v>
      </c>
      <c r="GP2" s="360" t="s">
        <v>692</v>
      </c>
      <c r="GQ2" s="360" t="s">
        <v>1169</v>
      </c>
      <c r="GR2" s="360" t="s">
        <v>657</v>
      </c>
      <c r="GS2" s="360" t="s">
        <v>386</v>
      </c>
      <c r="GT2" s="360" t="s">
        <v>1212</v>
      </c>
      <c r="GU2" s="360" t="s">
        <v>1293</v>
      </c>
      <c r="GV2" s="360" t="s">
        <v>390</v>
      </c>
      <c r="GW2" s="360" t="s">
        <v>546</v>
      </c>
      <c r="GX2" s="360" t="s">
        <v>665</v>
      </c>
      <c r="GY2" s="360" t="s">
        <v>499</v>
      </c>
      <c r="GZ2" s="360" t="s">
        <v>703</v>
      </c>
      <c r="HA2" s="360" t="s">
        <v>864</v>
      </c>
      <c r="HB2" s="360" t="s">
        <v>974</v>
      </c>
      <c r="HC2" s="360" t="s">
        <v>459</v>
      </c>
      <c r="HD2" s="360" t="s">
        <v>576</v>
      </c>
      <c r="HE2" s="360" t="s">
        <v>576</v>
      </c>
      <c r="HF2" s="360" t="s">
        <v>670</v>
      </c>
      <c r="HG2" s="360" t="s">
        <v>668</v>
      </c>
      <c r="HH2" s="360" t="s">
        <v>386</v>
      </c>
      <c r="HI2" s="360" t="s">
        <v>676</v>
      </c>
      <c r="HJ2" s="360" t="s">
        <v>674</v>
      </c>
      <c r="HK2" s="360" t="s">
        <v>868</v>
      </c>
      <c r="HL2" s="360" t="s">
        <v>261</v>
      </c>
      <c r="HM2" s="360" t="s">
        <v>769</v>
      </c>
      <c r="HN2" s="360" t="s">
        <v>1453</v>
      </c>
      <c r="HO2" s="360" t="s">
        <v>257</v>
      </c>
      <c r="HP2" s="360" t="s">
        <v>420</v>
      </c>
      <c r="HQ2" s="360" t="s">
        <v>425</v>
      </c>
      <c r="HR2" s="360" t="s">
        <v>425</v>
      </c>
      <c r="HS2" s="360" t="s">
        <v>769</v>
      </c>
      <c r="HT2" s="360" t="s">
        <v>435</v>
      </c>
      <c r="HU2" s="360" t="s">
        <v>440</v>
      </c>
      <c r="HV2" s="360" t="s">
        <v>444</v>
      </c>
      <c r="HW2" s="360" t="s">
        <v>447</v>
      </c>
      <c r="HX2" s="360" t="s">
        <v>447</v>
      </c>
      <c r="HY2" s="360" t="s">
        <v>453</v>
      </c>
      <c r="HZ2" s="360" t="s">
        <v>456</v>
      </c>
      <c r="IA2" s="360" t="s">
        <v>464</v>
      </c>
      <c r="IB2" s="360" t="s">
        <v>467</v>
      </c>
      <c r="IC2" s="360" t="s">
        <v>472</v>
      </c>
      <c r="ID2" s="360" t="s">
        <v>472</v>
      </c>
      <c r="IE2" s="360" t="s">
        <v>477</v>
      </c>
      <c r="IF2" s="360" t="s">
        <v>480</v>
      </c>
      <c r="IG2" s="360" t="s">
        <v>393</v>
      </c>
      <c r="IH2" s="360" t="s">
        <v>485</v>
      </c>
      <c r="II2" s="360" t="s">
        <v>485</v>
      </c>
      <c r="IJ2" s="360" t="s">
        <v>485</v>
      </c>
      <c r="IK2" s="360" t="s">
        <v>485</v>
      </c>
      <c r="IL2" s="360" t="s">
        <v>496</v>
      </c>
      <c r="IM2" s="360" t="s">
        <v>502</v>
      </c>
      <c r="IN2" s="360" t="s">
        <v>502</v>
      </c>
      <c r="IO2" s="360" t="s">
        <v>502</v>
      </c>
      <c r="IP2" s="360" t="s">
        <v>506</v>
      </c>
      <c r="IQ2" s="360" t="s">
        <v>509</v>
      </c>
      <c r="IR2" s="360" t="s">
        <v>509</v>
      </c>
      <c r="IS2" s="360" t="s">
        <v>1331</v>
      </c>
      <c r="IT2" s="360" t="s">
        <v>1343</v>
      </c>
      <c r="IU2" s="360" t="s">
        <v>519</v>
      </c>
      <c r="IV2" s="360" t="s">
        <v>519</v>
      </c>
      <c r="IW2" s="360" t="s">
        <v>519</v>
      </c>
      <c r="IX2" s="360" t="s">
        <v>519</v>
      </c>
      <c r="IY2" s="360" t="s">
        <v>528</v>
      </c>
      <c r="IZ2" s="360" t="s">
        <v>525</v>
      </c>
      <c r="JA2" s="360" t="s">
        <v>931</v>
      </c>
      <c r="JB2" s="360" t="s">
        <v>935</v>
      </c>
      <c r="JC2" s="360" t="s">
        <v>1413</v>
      </c>
      <c r="JD2" s="360" t="s">
        <v>933</v>
      </c>
      <c r="JE2" s="360" t="s">
        <v>997</v>
      </c>
      <c r="JF2" s="360" t="s">
        <v>997</v>
      </c>
      <c r="JG2" s="360" t="s">
        <v>1001</v>
      </c>
      <c r="JH2" s="772" t="s">
        <v>1379</v>
      </c>
      <c r="JI2" s="702" t="s">
        <v>2802</v>
      </c>
    </row>
    <row r="3" spans="1:276" s="581" customFormat="1" ht="75.75" customHeight="1" x14ac:dyDescent="0.2">
      <c r="A3" s="508"/>
      <c r="B3" s="731">
        <f>B2-B1</f>
        <v>0</v>
      </c>
      <c r="C3" s="773" t="s">
        <v>470</v>
      </c>
      <c r="D3" s="773" t="s">
        <v>959</v>
      </c>
      <c r="E3" s="773" t="s">
        <v>1007</v>
      </c>
      <c r="F3" s="773" t="s">
        <v>1145</v>
      </c>
      <c r="G3" s="773" t="s">
        <v>1145</v>
      </c>
      <c r="H3" s="773" t="s">
        <v>1145</v>
      </c>
      <c r="I3" s="773" t="s">
        <v>1145</v>
      </c>
      <c r="J3" s="873" t="s">
        <v>240</v>
      </c>
      <c r="K3" s="773" t="s">
        <v>249</v>
      </c>
      <c r="L3" s="773" t="s">
        <v>1373</v>
      </c>
      <c r="M3" s="773" t="s">
        <v>281</v>
      </c>
      <c r="N3" s="773" t="s">
        <v>281</v>
      </c>
      <c r="O3" s="773" t="s">
        <v>290</v>
      </c>
      <c r="P3" s="773" t="s">
        <v>290</v>
      </c>
      <c r="Q3" s="773" t="s">
        <v>306</v>
      </c>
      <c r="R3" s="773" t="s">
        <v>312</v>
      </c>
      <c r="S3" s="773" t="s">
        <v>312</v>
      </c>
      <c r="T3" s="773" t="s">
        <v>312</v>
      </c>
      <c r="U3" s="773" t="s">
        <v>312</v>
      </c>
      <c r="V3" s="773" t="s">
        <v>312</v>
      </c>
      <c r="W3" s="773" t="s">
        <v>312</v>
      </c>
      <c r="X3" s="773" t="s">
        <v>353</v>
      </c>
      <c r="Y3" s="773" t="s">
        <v>358</v>
      </c>
      <c r="Z3" s="773" t="s">
        <v>358</v>
      </c>
      <c r="AA3" s="773" t="s">
        <v>367</v>
      </c>
      <c r="AB3" s="773" t="s">
        <v>375</v>
      </c>
      <c r="AC3" s="773" t="s">
        <v>375</v>
      </c>
      <c r="AD3" s="773" t="s">
        <v>375</v>
      </c>
      <c r="AE3" s="773" t="s">
        <v>375</v>
      </c>
      <c r="AF3" s="773" t="s">
        <v>375</v>
      </c>
      <c r="AG3" s="773" t="s">
        <v>384</v>
      </c>
      <c r="AH3" s="773" t="s">
        <v>384</v>
      </c>
      <c r="AI3" s="773" t="s">
        <v>384</v>
      </c>
      <c r="AJ3" s="773" t="s">
        <v>384</v>
      </c>
      <c r="AK3" s="773" t="s">
        <v>396</v>
      </c>
      <c r="AL3" s="773" t="s">
        <v>402</v>
      </c>
      <c r="AM3" s="773" t="s">
        <v>1071</v>
      </c>
      <c r="AN3" s="773" t="s">
        <v>411</v>
      </c>
      <c r="AO3" s="773" t="s">
        <v>415</v>
      </c>
      <c r="AP3" s="773" t="s">
        <v>550</v>
      </c>
      <c r="AQ3" s="773" t="s">
        <v>553</v>
      </c>
      <c r="AR3" s="773" t="s">
        <v>553</v>
      </c>
      <c r="AS3" s="773" t="s">
        <v>553</v>
      </c>
      <c r="AT3" s="773" t="s">
        <v>553</v>
      </c>
      <c r="AU3" s="773" t="s">
        <v>553</v>
      </c>
      <c r="AV3" s="773" t="s">
        <v>553</v>
      </c>
      <c r="AW3" s="773" t="s">
        <v>553</v>
      </c>
      <c r="AX3" s="773" t="s">
        <v>568</v>
      </c>
      <c r="AY3" s="773" t="s">
        <v>568</v>
      </c>
      <c r="AZ3" s="773" t="s">
        <v>568</v>
      </c>
      <c r="BA3" s="773" t="s">
        <v>580</v>
      </c>
      <c r="BB3" s="773" t="s">
        <v>1118</v>
      </c>
      <c r="BC3" s="773" t="s">
        <v>1118</v>
      </c>
      <c r="BD3" s="773" t="s">
        <v>585</v>
      </c>
      <c r="BE3" s="773" t="s">
        <v>585</v>
      </c>
      <c r="BF3" s="773" t="s">
        <v>1056</v>
      </c>
      <c r="BG3" s="773" t="s">
        <v>1056</v>
      </c>
      <c r="BH3" s="773" t="s">
        <v>1056</v>
      </c>
      <c r="BI3" s="773" t="s">
        <v>1364</v>
      </c>
      <c r="BJ3" s="773" t="s">
        <v>694</v>
      </c>
      <c r="BK3" s="773" t="s">
        <v>698</v>
      </c>
      <c r="BL3" s="773" t="s">
        <v>708</v>
      </c>
      <c r="BM3" s="773" t="s">
        <v>713</v>
      </c>
      <c r="BN3" s="773" t="s">
        <v>718</v>
      </c>
      <c r="BO3" s="773" t="s">
        <v>718</v>
      </c>
      <c r="BP3" s="773" t="s">
        <v>1297</v>
      </c>
      <c r="BQ3" s="773" t="s">
        <v>1297</v>
      </c>
      <c r="BR3" s="773" t="s">
        <v>733</v>
      </c>
      <c r="BS3" s="773" t="s">
        <v>733</v>
      </c>
      <c r="BT3" s="773" t="s">
        <v>733</v>
      </c>
      <c r="BU3" s="773" t="s">
        <v>753</v>
      </c>
      <c r="BV3" s="773" t="s">
        <v>753</v>
      </c>
      <c r="BW3" s="773" t="s">
        <v>760</v>
      </c>
      <c r="BX3" s="773" t="s">
        <v>760</v>
      </c>
      <c r="BY3" s="773" t="s">
        <v>760</v>
      </c>
      <c r="BZ3" s="773" t="s">
        <v>760</v>
      </c>
      <c r="CA3" s="773" t="s">
        <v>760</v>
      </c>
      <c r="CB3" s="773" t="s">
        <v>760</v>
      </c>
      <c r="CC3" s="773" t="s">
        <v>776</v>
      </c>
      <c r="CD3" s="773" t="s">
        <v>776</v>
      </c>
      <c r="CE3" s="773" t="s">
        <v>776</v>
      </c>
      <c r="CF3" s="773" t="s">
        <v>776</v>
      </c>
      <c r="CG3" s="773" t="s">
        <v>776</v>
      </c>
      <c r="CH3" s="773" t="s">
        <v>776</v>
      </c>
      <c r="CI3" s="773" t="s">
        <v>776</v>
      </c>
      <c r="CJ3" s="773" t="s">
        <v>776</v>
      </c>
      <c r="CK3" s="773" t="s">
        <v>776</v>
      </c>
      <c r="CL3" s="773" t="s">
        <v>776</v>
      </c>
      <c r="CM3" s="773" t="s">
        <v>805</v>
      </c>
      <c r="CN3" s="773" t="s">
        <v>805</v>
      </c>
      <c r="CO3" s="773" t="s">
        <v>805</v>
      </c>
      <c r="CP3" s="773" t="s">
        <v>805</v>
      </c>
      <c r="CQ3" s="773" t="s">
        <v>805</v>
      </c>
      <c r="CR3" s="773" t="s">
        <v>812</v>
      </c>
      <c r="CS3" s="773" t="s">
        <v>812</v>
      </c>
      <c r="CT3" s="773" t="s">
        <v>812</v>
      </c>
      <c r="CU3" s="773" t="s">
        <v>821</v>
      </c>
      <c r="CV3" s="773" t="s">
        <v>821</v>
      </c>
      <c r="CW3" s="773" t="s">
        <v>826</v>
      </c>
      <c r="CX3" s="773" t="s">
        <v>826</v>
      </c>
      <c r="CY3" s="773" t="s">
        <v>826</v>
      </c>
      <c r="CZ3" s="773" t="s">
        <v>826</v>
      </c>
      <c r="DA3" s="773" t="s">
        <v>1362</v>
      </c>
      <c r="DB3" s="773" t="s">
        <v>842</v>
      </c>
      <c r="DC3" s="773" t="s">
        <v>842</v>
      </c>
      <c r="DD3" s="773" t="s">
        <v>849</v>
      </c>
      <c r="DE3" s="773" t="s">
        <v>849</v>
      </c>
      <c r="DF3" s="773" t="s">
        <v>849</v>
      </c>
      <c r="DG3" s="773" t="s">
        <v>871</v>
      </c>
      <c r="DH3" s="773" t="s">
        <v>874</v>
      </c>
      <c r="DI3" s="773" t="s">
        <v>874</v>
      </c>
      <c r="DJ3" s="773" t="s">
        <v>874</v>
      </c>
      <c r="DK3" s="773" t="s">
        <v>874</v>
      </c>
      <c r="DL3" s="773" t="s">
        <v>1176</v>
      </c>
      <c r="DM3" s="773" t="s">
        <v>887</v>
      </c>
      <c r="DN3" s="773" t="s">
        <v>897</v>
      </c>
      <c r="DO3" s="773" t="s">
        <v>902</v>
      </c>
      <c r="DP3" s="773" t="s">
        <v>909</v>
      </c>
      <c r="DQ3" s="773" t="s">
        <v>909</v>
      </c>
      <c r="DR3" s="773" t="s">
        <v>909</v>
      </c>
      <c r="DS3" s="773" t="s">
        <v>922</v>
      </c>
      <c r="DT3" s="773" t="s">
        <v>922</v>
      </c>
      <c r="DU3" s="773" t="s">
        <v>1247</v>
      </c>
      <c r="DV3" s="773" t="s">
        <v>1247</v>
      </c>
      <c r="DW3" s="773" t="s">
        <v>1247</v>
      </c>
      <c r="DX3" s="773" t="s">
        <v>1247</v>
      </c>
      <c r="DY3" s="773" t="s">
        <v>962</v>
      </c>
      <c r="DZ3" s="773" t="s">
        <v>962</v>
      </c>
      <c r="EA3" s="773" t="s">
        <v>965</v>
      </c>
      <c r="EB3" s="773" t="s">
        <v>1141</v>
      </c>
      <c r="EC3" s="773" t="s">
        <v>969</v>
      </c>
      <c r="ED3" s="773" t="s">
        <v>969</v>
      </c>
      <c r="EE3" s="773" t="s">
        <v>1067</v>
      </c>
      <c r="EF3" s="773" t="s">
        <v>1067</v>
      </c>
      <c r="EG3" s="773" t="s">
        <v>1067</v>
      </c>
      <c r="EH3" s="773" t="s">
        <v>1067</v>
      </c>
      <c r="EI3" s="773" t="s">
        <v>1067</v>
      </c>
      <c r="EJ3" s="773" t="s">
        <v>1067</v>
      </c>
      <c r="EK3" s="773" t="s">
        <v>1010</v>
      </c>
      <c r="EL3" s="773" t="s">
        <v>1010</v>
      </c>
      <c r="EM3" s="773" t="s">
        <v>1010</v>
      </c>
      <c r="EN3" s="773" t="s">
        <v>1018</v>
      </c>
      <c r="EO3" s="773" t="s">
        <v>1113</v>
      </c>
      <c r="EP3" s="773" t="s">
        <v>1113</v>
      </c>
      <c r="EQ3" s="773" t="s">
        <v>1113</v>
      </c>
      <c r="ER3" s="773" t="s">
        <v>1175</v>
      </c>
      <c r="ES3" s="773" t="s">
        <v>1175</v>
      </c>
      <c r="ET3" s="773" t="s">
        <v>1268</v>
      </c>
      <c r="EU3" s="773" t="s">
        <v>1268</v>
      </c>
      <c r="EV3" s="773" t="s">
        <v>332</v>
      </c>
      <c r="EW3" s="773" t="s">
        <v>332</v>
      </c>
      <c r="EX3" s="773" t="s">
        <v>332</v>
      </c>
      <c r="EY3" s="773" t="s">
        <v>332</v>
      </c>
      <c r="EZ3" s="773" t="s">
        <v>602</v>
      </c>
      <c r="FA3" s="773" t="s">
        <v>606</v>
      </c>
      <c r="FB3" s="773" t="s">
        <v>940</v>
      </c>
      <c r="FC3" s="773" t="s">
        <v>857</v>
      </c>
      <c r="FD3" s="773" t="s">
        <v>857</v>
      </c>
      <c r="FE3" s="773" t="s">
        <v>857</v>
      </c>
      <c r="FF3" s="773" t="s">
        <v>942</v>
      </c>
      <c r="FG3" s="773" t="s">
        <v>942</v>
      </c>
      <c r="FH3" s="773" t="s">
        <v>942</v>
      </c>
      <c r="FI3" s="773" t="s">
        <v>493</v>
      </c>
      <c r="FJ3" s="773" t="s">
        <v>610</v>
      </c>
      <c r="FK3" s="773" t="s">
        <v>977</v>
      </c>
      <c r="FL3" s="773" t="s">
        <v>977</v>
      </c>
      <c r="FM3" s="773" t="s">
        <v>613</v>
      </c>
      <c r="FN3" s="773" t="s">
        <v>947</v>
      </c>
      <c r="FO3" s="773" t="s">
        <v>947</v>
      </c>
      <c r="FP3" s="773" t="s">
        <v>947</v>
      </c>
      <c r="FQ3" s="773" t="s">
        <v>947</v>
      </c>
      <c r="FR3" s="773" t="s">
        <v>947</v>
      </c>
      <c r="FS3" s="773" t="s">
        <v>947</v>
      </c>
      <c r="FT3" s="773" t="s">
        <v>618</v>
      </c>
      <c r="FU3" s="773" t="s">
        <v>618</v>
      </c>
      <c r="FV3" s="773" t="s">
        <v>748</v>
      </c>
      <c r="FW3" s="773" t="s">
        <v>626</v>
      </c>
      <c r="FX3" s="773" t="s">
        <v>630</v>
      </c>
      <c r="FY3" s="773" t="s">
        <v>636</v>
      </c>
      <c r="FZ3" s="773" t="s">
        <v>678</v>
      </c>
      <c r="GA3" s="773" t="s">
        <v>678</v>
      </c>
      <c r="GB3" s="773" t="s">
        <v>678</v>
      </c>
      <c r="GC3" s="773" t="s">
        <v>1003</v>
      </c>
      <c r="GD3" s="773" t="s">
        <v>1003</v>
      </c>
      <c r="GE3" s="773" t="s">
        <v>640</v>
      </c>
      <c r="GF3" s="773" t="s">
        <v>682</v>
      </c>
      <c r="GG3" s="773" t="s">
        <v>682</v>
      </c>
      <c r="GH3" s="773" t="s">
        <v>682</v>
      </c>
      <c r="GI3" s="773" t="s">
        <v>682</v>
      </c>
      <c r="GJ3" s="773" t="s">
        <v>531</v>
      </c>
      <c r="GK3" s="773" t="s">
        <v>531</v>
      </c>
      <c r="GL3" s="773" t="s">
        <v>531</v>
      </c>
      <c r="GM3" s="773" t="s">
        <v>531</v>
      </c>
      <c r="GN3" s="773" t="s">
        <v>647</v>
      </c>
      <c r="GO3" s="773" t="s">
        <v>955</v>
      </c>
      <c r="GP3" s="773" t="s">
        <v>690</v>
      </c>
      <c r="GQ3" s="773" t="s">
        <v>652</v>
      </c>
      <c r="GR3" s="773" t="s">
        <v>655</v>
      </c>
      <c r="GS3" s="773" t="s">
        <v>661</v>
      </c>
      <c r="GT3" s="773" t="s">
        <v>1213</v>
      </c>
      <c r="GU3" s="773" t="s">
        <v>1213</v>
      </c>
      <c r="GV3" s="773" t="s">
        <v>1213</v>
      </c>
      <c r="GW3" s="773" t="s">
        <v>546</v>
      </c>
      <c r="GX3" s="773" t="s">
        <v>663</v>
      </c>
      <c r="GY3" s="773" t="s">
        <v>499</v>
      </c>
      <c r="GZ3" s="773" t="s">
        <v>703</v>
      </c>
      <c r="HA3" s="773" t="s">
        <v>864</v>
      </c>
      <c r="HB3" s="773" t="s">
        <v>974</v>
      </c>
      <c r="HC3" s="773" t="s">
        <v>459</v>
      </c>
      <c r="HD3" s="773" t="s">
        <v>576</v>
      </c>
      <c r="HE3" s="773" t="s">
        <v>576</v>
      </c>
      <c r="HF3" s="773" t="s">
        <v>666</v>
      </c>
      <c r="HG3" s="773" t="s">
        <v>666</v>
      </c>
      <c r="HH3" s="773" t="s">
        <v>671</v>
      </c>
      <c r="HI3" s="773" t="s">
        <v>674</v>
      </c>
      <c r="HJ3" s="773" t="s">
        <v>674</v>
      </c>
      <c r="HK3" s="773" t="s">
        <v>868</v>
      </c>
      <c r="HL3" s="870" t="s">
        <v>257</v>
      </c>
      <c r="HM3" s="870" t="s">
        <v>257</v>
      </c>
      <c r="HN3" s="870" t="s">
        <v>257</v>
      </c>
      <c r="HO3" s="870" t="s">
        <v>257</v>
      </c>
      <c r="HP3" s="870" t="s">
        <v>420</v>
      </c>
      <c r="HQ3" s="870" t="s">
        <v>425</v>
      </c>
      <c r="HR3" s="870" t="s">
        <v>425</v>
      </c>
      <c r="HS3" s="870" t="s">
        <v>425</v>
      </c>
      <c r="HT3" s="870" t="s">
        <v>435</v>
      </c>
      <c r="HU3" s="870" t="s">
        <v>440</v>
      </c>
      <c r="HV3" s="870" t="s">
        <v>444</v>
      </c>
      <c r="HW3" s="870" t="s">
        <v>447</v>
      </c>
      <c r="HX3" s="870" t="s">
        <v>447</v>
      </c>
      <c r="HY3" s="870" t="s">
        <v>453</v>
      </c>
      <c r="HZ3" s="870" t="s">
        <v>456</v>
      </c>
      <c r="IA3" s="870" t="s">
        <v>464</v>
      </c>
      <c r="IB3" s="870" t="s">
        <v>467</v>
      </c>
      <c r="IC3" s="870" t="s">
        <v>472</v>
      </c>
      <c r="ID3" s="870" t="s">
        <v>472</v>
      </c>
      <c r="IE3" s="870" t="s">
        <v>477</v>
      </c>
      <c r="IF3" s="870" t="s">
        <v>480</v>
      </c>
      <c r="IG3" s="870" t="s">
        <v>480</v>
      </c>
      <c r="IH3" s="870" t="s">
        <v>485</v>
      </c>
      <c r="II3" s="870" t="s">
        <v>485</v>
      </c>
      <c r="IJ3" s="870" t="s">
        <v>485</v>
      </c>
      <c r="IK3" s="870" t="s">
        <v>485</v>
      </c>
      <c r="IL3" s="870" t="s">
        <v>496</v>
      </c>
      <c r="IM3" s="870" t="s">
        <v>502</v>
      </c>
      <c r="IN3" s="870" t="s">
        <v>502</v>
      </c>
      <c r="IO3" s="870" t="s">
        <v>502</v>
      </c>
      <c r="IP3" s="870" t="s">
        <v>506</v>
      </c>
      <c r="IQ3" s="870" t="s">
        <v>509</v>
      </c>
      <c r="IR3" s="870" t="s">
        <v>509</v>
      </c>
      <c r="IS3" s="870" t="s">
        <v>515</v>
      </c>
      <c r="IT3" s="870" t="s">
        <v>515</v>
      </c>
      <c r="IU3" s="870" t="s">
        <v>519</v>
      </c>
      <c r="IV3" s="870" t="s">
        <v>519</v>
      </c>
      <c r="IW3" s="870" t="s">
        <v>519</v>
      </c>
      <c r="IX3" s="870" t="s">
        <v>519</v>
      </c>
      <c r="IY3" s="870" t="s">
        <v>523</v>
      </c>
      <c r="IZ3" s="870" t="s">
        <v>523</v>
      </c>
      <c r="JA3" s="773" t="s">
        <v>928</v>
      </c>
      <c r="JB3" s="773" t="s">
        <v>928</v>
      </c>
      <c r="JC3" s="773" t="s">
        <v>928</v>
      </c>
      <c r="JD3" s="773" t="s">
        <v>928</v>
      </c>
      <c r="JE3" s="870" t="s">
        <v>997</v>
      </c>
      <c r="JF3" s="870" t="s">
        <v>997</v>
      </c>
      <c r="JG3" s="870" t="s">
        <v>1001</v>
      </c>
      <c r="JH3" s="774" t="s">
        <v>1380</v>
      </c>
      <c r="JI3" s="509" t="s">
        <v>1763</v>
      </c>
    </row>
    <row r="4" spans="1:276" x14ac:dyDescent="0.25">
      <c r="B4" s="732"/>
      <c r="C4" s="360" t="s">
        <v>1316</v>
      </c>
      <c r="D4" s="360" t="s">
        <v>1316</v>
      </c>
      <c r="E4" s="360" t="s">
        <v>1316</v>
      </c>
      <c r="F4" s="360" t="s">
        <v>1124</v>
      </c>
      <c r="G4" s="360" t="s">
        <v>1282</v>
      </c>
      <c r="H4" s="360" t="s">
        <v>1451</v>
      </c>
      <c r="I4" s="360" t="s">
        <v>1472</v>
      </c>
      <c r="J4" s="360" t="s">
        <v>1472</v>
      </c>
      <c r="K4" s="360" t="s">
        <v>1459</v>
      </c>
      <c r="L4" s="360" t="s">
        <v>1366</v>
      </c>
      <c r="M4" s="360" t="s">
        <v>1124</v>
      </c>
      <c r="N4" s="360" t="s">
        <v>1273</v>
      </c>
      <c r="O4" s="360" t="s">
        <v>1055</v>
      </c>
      <c r="P4" s="360" t="s">
        <v>1447</v>
      </c>
      <c r="Q4" s="360" t="s">
        <v>1055</v>
      </c>
      <c r="R4" s="360" t="s">
        <v>1055</v>
      </c>
      <c r="S4" s="360" t="s">
        <v>1055</v>
      </c>
      <c r="T4" s="360" t="s">
        <v>1055</v>
      </c>
      <c r="U4" s="360" t="s">
        <v>1055</v>
      </c>
      <c r="V4" s="360" t="s">
        <v>1155</v>
      </c>
      <c r="W4" s="360" t="s">
        <v>1282</v>
      </c>
      <c r="X4" s="360" t="s">
        <v>1282</v>
      </c>
      <c r="Y4" s="360" t="s">
        <v>1250</v>
      </c>
      <c r="Z4" s="360" t="s">
        <v>1311</v>
      </c>
      <c r="AA4" s="360" t="s">
        <v>1427</v>
      </c>
      <c r="AB4" s="360" t="s">
        <v>1124</v>
      </c>
      <c r="AC4" s="360" t="s">
        <v>1273</v>
      </c>
      <c r="AD4" s="360" t="s">
        <v>1366</v>
      </c>
      <c r="AE4" s="360" t="s">
        <v>1427</v>
      </c>
      <c r="AF4" s="360" t="s">
        <v>1472</v>
      </c>
      <c r="AG4" s="360" t="s">
        <v>1155</v>
      </c>
      <c r="AH4" s="360" t="s">
        <v>1282</v>
      </c>
      <c r="AI4" s="360" t="s">
        <v>1316</v>
      </c>
      <c r="AJ4" s="360" t="s">
        <v>1336</v>
      </c>
      <c r="AK4" s="360" t="s">
        <v>1055</v>
      </c>
      <c r="AL4" s="360" t="s">
        <v>1427</v>
      </c>
      <c r="AM4" s="360" t="s">
        <v>1055</v>
      </c>
      <c r="AN4" s="360" t="s">
        <v>1055</v>
      </c>
      <c r="AO4" s="360" t="s">
        <v>1250</v>
      </c>
      <c r="AP4" s="360" t="s">
        <v>1124</v>
      </c>
      <c r="AQ4" s="360" t="s">
        <v>1055</v>
      </c>
      <c r="AR4" s="360" t="s">
        <v>1055</v>
      </c>
      <c r="AS4" s="360" t="s">
        <v>1055</v>
      </c>
      <c r="AT4" s="360" t="s">
        <v>1124</v>
      </c>
      <c r="AU4" s="360" t="s">
        <v>1405</v>
      </c>
      <c r="AV4" s="360" t="s">
        <v>1427</v>
      </c>
      <c r="AW4" s="360" t="s">
        <v>1451</v>
      </c>
      <c r="AX4" s="360" t="s">
        <v>1250</v>
      </c>
      <c r="AY4" s="360" t="s">
        <v>1282</v>
      </c>
      <c r="AZ4" s="360" t="s">
        <v>1307</v>
      </c>
      <c r="BA4" s="360" t="s">
        <v>1124</v>
      </c>
      <c r="BB4" s="360" t="s">
        <v>1055</v>
      </c>
      <c r="BC4" s="360" t="s">
        <v>1377</v>
      </c>
      <c r="BD4" s="360" t="s">
        <v>1055</v>
      </c>
      <c r="BE4" s="360" t="s">
        <v>1472</v>
      </c>
      <c r="BF4" s="360" t="s">
        <v>1055</v>
      </c>
      <c r="BG4" s="360" t="s">
        <v>1394</v>
      </c>
      <c r="BH4" s="360" t="s">
        <v>1459</v>
      </c>
      <c r="BI4" s="360" t="s">
        <v>1361</v>
      </c>
      <c r="BJ4" s="360" t="s">
        <v>1155</v>
      </c>
      <c r="BK4" s="360" t="s">
        <v>1472</v>
      </c>
      <c r="BL4" s="360" t="s">
        <v>1124</v>
      </c>
      <c r="BM4" s="360" t="s">
        <v>1472</v>
      </c>
      <c r="BN4" s="360" t="s">
        <v>1055</v>
      </c>
      <c r="BO4" s="360" t="s">
        <v>1398</v>
      </c>
      <c r="BP4" s="360" t="s">
        <v>1282</v>
      </c>
      <c r="BQ4" s="360" t="s">
        <v>1472</v>
      </c>
      <c r="BR4" s="360" t="s">
        <v>1055</v>
      </c>
      <c r="BS4" s="360" t="s">
        <v>1055</v>
      </c>
      <c r="BT4" s="360" t="s">
        <v>1055</v>
      </c>
      <c r="BU4" s="360" t="s">
        <v>1155</v>
      </c>
      <c r="BV4" s="360" t="s">
        <v>1250</v>
      </c>
      <c r="BW4" s="360" t="s">
        <v>1055</v>
      </c>
      <c r="BX4" s="360" t="s">
        <v>1155</v>
      </c>
      <c r="BY4" s="360" t="s">
        <v>1155</v>
      </c>
      <c r="BZ4" s="360" t="s">
        <v>1232</v>
      </c>
      <c r="CA4" s="360" t="s">
        <v>1282</v>
      </c>
      <c r="CB4" s="360" t="s">
        <v>1346</v>
      </c>
      <c r="CC4" s="360" t="s">
        <v>1055</v>
      </c>
      <c r="CD4" s="360" t="s">
        <v>1055</v>
      </c>
      <c r="CE4" s="360" t="s">
        <v>1155</v>
      </c>
      <c r="CF4" s="360" t="s">
        <v>1366</v>
      </c>
      <c r="CG4" s="360" t="s">
        <v>1382</v>
      </c>
      <c r="CH4" s="360" t="s">
        <v>1382</v>
      </c>
      <c r="CI4" s="360" t="s">
        <v>1400</v>
      </c>
      <c r="CJ4" s="360" t="s">
        <v>1403</v>
      </c>
      <c r="CK4" s="360" t="s">
        <v>1423</v>
      </c>
      <c r="CL4" s="360" t="s">
        <v>1472</v>
      </c>
      <c r="CM4" s="360" t="s">
        <v>1155</v>
      </c>
      <c r="CN4" s="360" t="s">
        <v>1405</v>
      </c>
      <c r="CO4" s="360" t="s">
        <v>1405</v>
      </c>
      <c r="CP4" s="360" t="s">
        <v>1405</v>
      </c>
      <c r="CQ4" s="360" t="s">
        <v>1427</v>
      </c>
      <c r="CR4" s="360" t="s">
        <v>1155</v>
      </c>
      <c r="CS4" s="360" t="s">
        <v>1382</v>
      </c>
      <c r="CT4" s="360" t="s">
        <v>1382</v>
      </c>
      <c r="CU4" s="360" t="s">
        <v>1155</v>
      </c>
      <c r="CV4" s="360" t="s">
        <v>1316</v>
      </c>
      <c r="CW4" s="360" t="s">
        <v>1055</v>
      </c>
      <c r="CX4" s="360" t="s">
        <v>1124</v>
      </c>
      <c r="CY4" s="360" t="s">
        <v>1155</v>
      </c>
      <c r="CZ4" s="360" t="s">
        <v>1427</v>
      </c>
      <c r="DA4" s="360" t="s">
        <v>1361</v>
      </c>
      <c r="DB4" s="360" t="s">
        <v>1055</v>
      </c>
      <c r="DC4" s="360" t="s">
        <v>1405</v>
      </c>
      <c r="DD4" s="360" t="s">
        <v>1472</v>
      </c>
      <c r="DE4" s="360" t="s">
        <v>1472</v>
      </c>
      <c r="DF4" s="360" t="s">
        <v>1472</v>
      </c>
      <c r="DG4" s="360" t="s">
        <v>1055</v>
      </c>
      <c r="DH4" s="360" t="s">
        <v>1241</v>
      </c>
      <c r="DI4" s="360" t="s">
        <v>1451</v>
      </c>
      <c r="DJ4" s="360" t="s">
        <v>1472</v>
      </c>
      <c r="DK4" s="360" t="s">
        <v>1472</v>
      </c>
      <c r="DL4" s="360" t="s">
        <v>1155</v>
      </c>
      <c r="DM4" s="360" t="s">
        <v>1124</v>
      </c>
      <c r="DN4" s="360" t="s">
        <v>1405</v>
      </c>
      <c r="DO4" s="360" t="s">
        <v>1472</v>
      </c>
      <c r="DP4" s="360" t="s">
        <v>1405</v>
      </c>
      <c r="DQ4" s="360" t="s">
        <v>1427</v>
      </c>
      <c r="DR4" s="360" t="s">
        <v>1427</v>
      </c>
      <c r="DS4" s="360" t="s">
        <v>1282</v>
      </c>
      <c r="DT4" s="360" t="s">
        <v>1346</v>
      </c>
      <c r="DU4" s="360" t="s">
        <v>1241</v>
      </c>
      <c r="DV4" s="360" t="s">
        <v>1346</v>
      </c>
      <c r="DW4" s="360" t="s">
        <v>1451</v>
      </c>
      <c r="DX4" s="360" t="s">
        <v>1472</v>
      </c>
      <c r="DY4" s="360" t="s">
        <v>1124</v>
      </c>
      <c r="DZ4" s="360" t="s">
        <v>1155</v>
      </c>
      <c r="EA4" s="360" t="s">
        <v>1124</v>
      </c>
      <c r="EB4" s="360" t="s">
        <v>1124</v>
      </c>
      <c r="EC4" s="360" t="s">
        <v>1250</v>
      </c>
      <c r="ED4" s="360" t="s">
        <v>1282</v>
      </c>
      <c r="EE4" s="360" t="s">
        <v>1055</v>
      </c>
      <c r="EF4" s="360" t="s">
        <v>1055</v>
      </c>
      <c r="EG4" s="360" t="s">
        <v>1055</v>
      </c>
      <c r="EH4" s="360" t="s">
        <v>1238</v>
      </c>
      <c r="EI4" s="360" t="s">
        <v>1447</v>
      </c>
      <c r="EJ4" s="360" t="s">
        <v>1472</v>
      </c>
      <c r="EK4" s="360" t="s">
        <v>1124</v>
      </c>
      <c r="EL4" s="360" t="s">
        <v>1282</v>
      </c>
      <c r="EM4" s="360" t="s">
        <v>1346</v>
      </c>
      <c r="EN4" s="360" t="s">
        <v>1427</v>
      </c>
      <c r="EO4" s="360" t="s">
        <v>1055</v>
      </c>
      <c r="EP4" s="360" t="s">
        <v>1282</v>
      </c>
      <c r="EQ4" s="360" t="s">
        <v>1472</v>
      </c>
      <c r="ER4" s="360" t="s">
        <v>1155</v>
      </c>
      <c r="ES4" s="360" t="s">
        <v>1232</v>
      </c>
      <c r="ET4" s="360" t="s">
        <v>1250</v>
      </c>
      <c r="EU4" s="360" t="s">
        <v>1307</v>
      </c>
      <c r="EV4" s="360" t="s">
        <v>1055</v>
      </c>
      <c r="EW4" s="360" t="s">
        <v>1155</v>
      </c>
      <c r="EX4" s="360" t="s">
        <v>1316</v>
      </c>
      <c r="EY4" s="360" t="s">
        <v>1427</v>
      </c>
      <c r="EZ4" s="360" t="s">
        <v>1155</v>
      </c>
      <c r="FA4" s="360" t="s">
        <v>1155</v>
      </c>
      <c r="FB4" s="360" t="s">
        <v>1155</v>
      </c>
      <c r="FC4" s="360" t="s">
        <v>1155</v>
      </c>
      <c r="FD4" s="360" t="s">
        <v>1382</v>
      </c>
      <c r="FE4" s="360" t="s">
        <v>1423</v>
      </c>
      <c r="FF4" s="360" t="s">
        <v>1155</v>
      </c>
      <c r="FG4" s="360" t="s">
        <v>1316</v>
      </c>
      <c r="FH4" s="360" t="s">
        <v>1336</v>
      </c>
      <c r="FI4" s="360" t="s">
        <v>1316</v>
      </c>
      <c r="FJ4" s="360" t="s">
        <v>1155</v>
      </c>
      <c r="FK4" s="360" t="s">
        <v>1155</v>
      </c>
      <c r="FL4" s="360" t="s">
        <v>1273</v>
      </c>
      <c r="FM4" s="360" t="s">
        <v>1155</v>
      </c>
      <c r="FN4" s="360" t="s">
        <v>1155</v>
      </c>
      <c r="FO4" s="360" t="s">
        <v>1282</v>
      </c>
      <c r="FP4" s="360" t="s">
        <v>1316</v>
      </c>
      <c r="FQ4" s="360" t="s">
        <v>1346</v>
      </c>
      <c r="FR4" s="360" t="s">
        <v>1382</v>
      </c>
      <c r="FS4" s="360" t="s">
        <v>1423</v>
      </c>
      <c r="FT4" s="360" t="s">
        <v>1155</v>
      </c>
      <c r="FU4" s="360" t="s">
        <v>1273</v>
      </c>
      <c r="FV4" s="360" t="s">
        <v>1155</v>
      </c>
      <c r="FW4" s="360" t="s">
        <v>1155</v>
      </c>
      <c r="FX4" s="360" t="s">
        <v>1155</v>
      </c>
      <c r="FY4" s="360" t="s">
        <v>1155</v>
      </c>
      <c r="FZ4" s="360" t="s">
        <v>1155</v>
      </c>
      <c r="GA4" s="360" t="s">
        <v>1250</v>
      </c>
      <c r="GB4" s="360" t="s">
        <v>1316</v>
      </c>
      <c r="GC4" s="360" t="s">
        <v>1155</v>
      </c>
      <c r="GD4" s="360" t="s">
        <v>1316</v>
      </c>
      <c r="GE4" s="360" t="s">
        <v>1472</v>
      </c>
      <c r="GF4" s="360" t="s">
        <v>1155</v>
      </c>
      <c r="GG4" s="360" t="s">
        <v>1250</v>
      </c>
      <c r="GH4" s="360" t="s">
        <v>1273</v>
      </c>
      <c r="GI4" s="360" t="s">
        <v>1316</v>
      </c>
      <c r="GJ4" s="360" t="s">
        <v>1155</v>
      </c>
      <c r="GK4" s="360" t="s">
        <v>1250</v>
      </c>
      <c r="GL4" s="360" t="s">
        <v>1273</v>
      </c>
      <c r="GM4" s="360" t="s">
        <v>1405</v>
      </c>
      <c r="GN4" s="360" t="s">
        <v>1427</v>
      </c>
      <c r="GO4" s="360" t="s">
        <v>1316</v>
      </c>
      <c r="GP4" s="360" t="s">
        <v>1155</v>
      </c>
      <c r="GQ4" s="360" t="s">
        <v>1155</v>
      </c>
      <c r="GR4" s="360" t="s">
        <v>1155</v>
      </c>
      <c r="GS4" s="360" t="s">
        <v>1155</v>
      </c>
      <c r="GT4" s="360" t="s">
        <v>1155</v>
      </c>
      <c r="GU4" s="360" t="s">
        <v>1282</v>
      </c>
      <c r="GV4" s="360" t="s">
        <v>1316</v>
      </c>
      <c r="GW4" s="360" t="s">
        <v>1155</v>
      </c>
      <c r="GX4" s="360" t="s">
        <v>1155</v>
      </c>
      <c r="GY4" s="360" t="s">
        <v>1316</v>
      </c>
      <c r="GZ4" s="360" t="s">
        <v>1382</v>
      </c>
      <c r="HA4" s="360" t="s">
        <v>1155</v>
      </c>
      <c r="HB4" s="360" t="s">
        <v>1282</v>
      </c>
      <c r="HC4" s="360" t="s">
        <v>1316</v>
      </c>
      <c r="HD4" s="360" t="s">
        <v>1155</v>
      </c>
      <c r="HE4" s="360" t="s">
        <v>1316</v>
      </c>
      <c r="HF4" s="360" t="s">
        <v>1155</v>
      </c>
      <c r="HG4" s="360" t="s">
        <v>1273</v>
      </c>
      <c r="HH4" s="360" t="s">
        <v>1155</v>
      </c>
      <c r="HI4" s="360" t="s">
        <v>1155</v>
      </c>
      <c r="HJ4" s="360" t="s">
        <v>1472</v>
      </c>
      <c r="HK4" s="360" t="s">
        <v>1155</v>
      </c>
      <c r="HL4" s="360" t="s">
        <v>1311</v>
      </c>
      <c r="HM4" s="360" t="s">
        <v>1346</v>
      </c>
      <c r="HN4" s="360" t="s">
        <v>1451</v>
      </c>
      <c r="HO4" s="360" t="s">
        <v>1472</v>
      </c>
      <c r="HP4" s="360" t="s">
        <v>1311</v>
      </c>
      <c r="HQ4" s="360" t="s">
        <v>1282</v>
      </c>
      <c r="HR4" s="360" t="s">
        <v>1311</v>
      </c>
      <c r="HS4" s="360" t="s">
        <v>1346</v>
      </c>
      <c r="HT4" s="360" t="s">
        <v>1336</v>
      </c>
      <c r="HU4" s="360" t="s">
        <v>1336</v>
      </c>
      <c r="HV4" s="360" t="s">
        <v>1316</v>
      </c>
      <c r="HW4" s="360" t="s">
        <v>1316</v>
      </c>
      <c r="HX4" s="360" t="s">
        <v>1336</v>
      </c>
      <c r="HY4" s="360" t="s">
        <v>1316</v>
      </c>
      <c r="HZ4" s="360" t="s">
        <v>1316</v>
      </c>
      <c r="IA4" s="360" t="s">
        <v>1316</v>
      </c>
      <c r="IB4" s="360" t="s">
        <v>1316</v>
      </c>
      <c r="IC4" s="360" t="s">
        <v>1316</v>
      </c>
      <c r="ID4" s="360" t="s">
        <v>1336</v>
      </c>
      <c r="IE4" s="360" t="s">
        <v>1316</v>
      </c>
      <c r="IF4" s="360" t="s">
        <v>1316</v>
      </c>
      <c r="IG4" s="360" t="s">
        <v>1336</v>
      </c>
      <c r="IH4" s="360" t="s">
        <v>1311</v>
      </c>
      <c r="II4" s="360" t="s">
        <v>1336</v>
      </c>
      <c r="IJ4" s="360" t="s">
        <v>1346</v>
      </c>
      <c r="IK4" s="360" t="s">
        <v>1472</v>
      </c>
      <c r="IL4" s="360" t="s">
        <v>1316</v>
      </c>
      <c r="IM4" s="360" t="s">
        <v>1250</v>
      </c>
      <c r="IN4" s="360" t="s">
        <v>1316</v>
      </c>
      <c r="IO4" s="360" t="s">
        <v>1336</v>
      </c>
      <c r="IP4" s="360" t="s">
        <v>1311</v>
      </c>
      <c r="IQ4" s="360" t="s">
        <v>1311</v>
      </c>
      <c r="IR4" s="360" t="s">
        <v>1346</v>
      </c>
      <c r="IS4" s="360" t="s">
        <v>1316</v>
      </c>
      <c r="IT4" s="360" t="s">
        <v>1336</v>
      </c>
      <c r="IU4" s="360" t="s">
        <v>1250</v>
      </c>
      <c r="IV4" s="360" t="s">
        <v>1316</v>
      </c>
      <c r="IW4" s="360" t="s">
        <v>1336</v>
      </c>
      <c r="IX4" s="360" t="s">
        <v>1346</v>
      </c>
      <c r="IY4" s="360" t="s">
        <v>1311</v>
      </c>
      <c r="IZ4" s="360" t="s">
        <v>1316</v>
      </c>
      <c r="JA4" s="360" t="s">
        <v>1055</v>
      </c>
      <c r="JB4" s="360" t="s">
        <v>1394</v>
      </c>
      <c r="JC4" s="360" t="s">
        <v>1405</v>
      </c>
      <c r="JD4" s="360" t="s">
        <v>1472</v>
      </c>
      <c r="JE4" s="360" t="s">
        <v>1250</v>
      </c>
      <c r="JF4" s="360" t="s">
        <v>1311</v>
      </c>
      <c r="JG4" s="360" t="s">
        <v>1311</v>
      </c>
      <c r="JH4" s="772" t="s">
        <v>1377</v>
      </c>
      <c r="JI4" s="702" t="s">
        <v>2802</v>
      </c>
    </row>
    <row r="5" spans="1:276" s="582" customFormat="1" ht="18.75" customHeight="1" x14ac:dyDescent="0.2">
      <c r="A5" s="472"/>
      <c r="B5" s="732"/>
      <c r="C5" s="775" t="str">
        <f>VLOOKUP(C1,'Výpočet VP 2020'!$A$4:$B$318,2,FALSE)</f>
        <v>KHK</v>
      </c>
      <c r="D5" s="681" t="str">
        <f>VLOOKUP(D1,'Výpočet VP 2020'!$A$4:$B$318,2,FALSE)</f>
        <v>KHK</v>
      </c>
      <c r="E5" s="681" t="str">
        <f>VLOOKUP(E1,'Výpočet VP 2020'!$A$4:$B$318,2,FALSE)</f>
        <v>KHK</v>
      </c>
      <c r="F5" s="682" t="str">
        <f>VLOOKUP(F1,'Výpočet VP 2020'!$A$4:$B$318,2,FALSE)</f>
        <v>NZO</v>
      </c>
      <c r="G5" s="682" t="str">
        <f>VLOOKUP(G1,'Výpočet VP 2020'!$A$4:$B$318,2,FALSE)</f>
        <v>NZO</v>
      </c>
      <c r="H5" s="682" t="str">
        <f>VLOOKUP(H1,'Výpočet VP 2020'!$A$4:$B$318,2,FALSE)</f>
        <v>NZO</v>
      </c>
      <c r="I5" s="682" t="str">
        <f>VLOOKUP(I1,'Výpočet VP 2020'!$A$4:$B$318,2,FALSE)</f>
        <v>NZO</v>
      </c>
      <c r="J5" s="682" t="str">
        <f>VLOOKUP(J1,'Výpočet VP 2020'!$A$4:$B$318,2,FALSE)</f>
        <v>NZO</v>
      </c>
      <c r="K5" s="682" t="str">
        <f>VLOOKUP(K1,'Výpočet VP 2020'!$A$4:$B$318,2,FALSE)</f>
        <v>NZO</v>
      </c>
      <c r="L5" s="682" t="str">
        <f>VLOOKUP(L1,'Výpočet VP 2020'!$A$4:$B$318,2,FALSE)</f>
        <v>NZO</v>
      </c>
      <c r="M5" s="682" t="str">
        <f>VLOOKUP(M1,'Výpočet VP 2020'!$A$4:$B$318,2,FALSE)</f>
        <v>NZO</v>
      </c>
      <c r="N5" s="682" t="str">
        <f>VLOOKUP(N1,'Výpočet VP 2020'!$A$4:$B$318,2,FALSE)</f>
        <v>NZO</v>
      </c>
      <c r="O5" s="682" t="str">
        <f>VLOOKUP(O1,'Výpočet VP 2020'!$A$4:$B$318,2,FALSE)</f>
        <v>NZO</v>
      </c>
      <c r="P5" s="682" t="str">
        <f>VLOOKUP(P1,'Výpočet VP 2020'!$A$4:$B$318,2,FALSE)</f>
        <v>NZO</v>
      </c>
      <c r="Q5" s="682" t="str">
        <f>VLOOKUP(Q1,'Výpočet VP 2020'!$A$4:$B$318,2,FALSE)</f>
        <v>NZO</v>
      </c>
      <c r="R5" s="682" t="str">
        <f>VLOOKUP(R1,'Výpočet VP 2020'!$A$4:$B$318,2,FALSE)</f>
        <v>NZO</v>
      </c>
      <c r="S5" s="682" t="str">
        <f>VLOOKUP(S1,'Výpočet VP 2020'!$A$4:$B$318,2,FALSE)</f>
        <v>NZO</v>
      </c>
      <c r="T5" s="682" t="str">
        <f>VLOOKUP(T1,'Výpočet VP 2020'!$A$4:$B$318,2,FALSE)</f>
        <v>NZO</v>
      </c>
      <c r="U5" s="682" t="str">
        <f>VLOOKUP(U1,'Výpočet VP 2020'!$A$4:$B$318,2,FALSE)</f>
        <v>NZO</v>
      </c>
      <c r="V5" s="682" t="str">
        <f>VLOOKUP(V1,'Výpočet VP 2020'!$A$4:$B$318,2,FALSE)</f>
        <v>NZO</v>
      </c>
      <c r="W5" s="682" t="str">
        <f>VLOOKUP(W1,'Výpočet VP 2020'!$A$4:$B$318,2,FALSE)</f>
        <v>NZO</v>
      </c>
      <c r="X5" s="682" t="str">
        <f>VLOOKUP(X1,'Výpočet VP 2020'!$A$4:$B$318,2,FALSE)</f>
        <v>NZO</v>
      </c>
      <c r="Y5" s="682" t="str">
        <f>VLOOKUP(Y1,'Výpočet VP 2020'!$A$4:$B$318,2,FALSE)</f>
        <v>NZO</v>
      </c>
      <c r="Z5" s="682" t="str">
        <f>VLOOKUP(Z1,'Výpočet VP 2020'!$A$4:$B$318,2,FALSE)</f>
        <v>NZO</v>
      </c>
      <c r="AA5" s="682" t="str">
        <f>VLOOKUP(AA1,'Výpočet VP 2020'!$A$4:$B$318,2,FALSE)</f>
        <v>NZO</v>
      </c>
      <c r="AB5" s="682" t="str">
        <f>VLOOKUP(AB1,'Výpočet VP 2020'!$A$4:$B$318,2,FALSE)</f>
        <v>NZO</v>
      </c>
      <c r="AC5" s="682" t="s">
        <v>1770</v>
      </c>
      <c r="AD5" s="682" t="str">
        <f>VLOOKUP(AD1,'Výpočet VP 2020'!$A$4:$B$318,2,FALSE)</f>
        <v>NZO</v>
      </c>
      <c r="AE5" s="682" t="str">
        <f>VLOOKUP(AE1,'Výpočet VP 2020'!$A$4:$B$318,2,FALSE)</f>
        <v>NZO</v>
      </c>
      <c r="AF5" s="682" t="str">
        <f>VLOOKUP(AF1,'Výpočet VP 2020'!$A$4:$B$318,2,FALSE)</f>
        <v>NZO</v>
      </c>
      <c r="AG5" s="682" t="str">
        <f>VLOOKUP(AG1,'Výpočet VP 2020'!$A$4:$B$318,2,FALSE)</f>
        <v>NZO</v>
      </c>
      <c r="AH5" s="682" t="str">
        <f>VLOOKUP(AH1,'Výpočet VP 2020'!$A$4:$B$318,2,FALSE)</f>
        <v>NZO</v>
      </c>
      <c r="AI5" s="682" t="str">
        <f>VLOOKUP(AI1,'Výpočet VP 2020'!$A$4:$B$318,2,FALSE)</f>
        <v>NZO</v>
      </c>
      <c r="AJ5" s="682" t="str">
        <f>VLOOKUP(AJ1,'Výpočet VP 2020'!$A$4:$B$318,2,FALSE)</f>
        <v>NZO</v>
      </c>
      <c r="AK5" s="682" t="str">
        <f>VLOOKUP(AK1,'Výpočet VP 2020'!$A$4:$B$318,2,FALSE)</f>
        <v>NZO</v>
      </c>
      <c r="AL5" s="682" t="str">
        <f>VLOOKUP(AL1,'Výpočet VP 2020'!$A$4:$B$318,2,FALSE)</f>
        <v>NZO</v>
      </c>
      <c r="AM5" s="682" t="str">
        <f>VLOOKUP(AM1,'Výpočet VP 2020'!$A$4:$B$318,2,FALSE)</f>
        <v>NZO</v>
      </c>
      <c r="AN5" s="682" t="str">
        <f>VLOOKUP(AN1,'Výpočet VP 2020'!$A$4:$B$318,2,FALSE)</f>
        <v>NZO</v>
      </c>
      <c r="AO5" s="682" t="str">
        <f>VLOOKUP(AO1,'Výpočet VP 2020'!$A$4:$B$318,2,FALSE)</f>
        <v>NZO</v>
      </c>
      <c r="AP5" s="682" t="str">
        <f>VLOOKUP(AP1,'Výpočet VP 2020'!$A$4:$B$318,2,FALSE)</f>
        <v>NZO</v>
      </c>
      <c r="AQ5" s="682" t="str">
        <f>VLOOKUP(AQ1,'Výpočet VP 2020'!$A$4:$B$318,2,FALSE)</f>
        <v>NZO</v>
      </c>
      <c r="AR5" s="682" t="str">
        <f>VLOOKUP(AR1,'Výpočet VP 2020'!$A$4:$B$318,2,FALSE)</f>
        <v>NZO</v>
      </c>
      <c r="AS5" s="682" t="str">
        <f>VLOOKUP(AS1,'Výpočet VP 2020'!$A$4:$B$318,2,FALSE)</f>
        <v>NZO</v>
      </c>
      <c r="AT5" s="682" t="str">
        <f>VLOOKUP(AT1,'Výpočet VP 2020'!$A$4:$B$318,2,FALSE)</f>
        <v>NZO</v>
      </c>
      <c r="AU5" s="682" t="str">
        <f>VLOOKUP(AU1,'Výpočet VP 2020'!$A$4:$B$318,2,FALSE)</f>
        <v>NZO</v>
      </c>
      <c r="AV5" s="682" t="str">
        <f>VLOOKUP(AV1,'Výpočet VP 2020'!$A$4:$B$318,2,FALSE)</f>
        <v>NZO</v>
      </c>
      <c r="AW5" s="682" t="str">
        <f>VLOOKUP(AW1,'Výpočet VP 2020'!$A$4:$B$318,2,FALSE)</f>
        <v>NZO</v>
      </c>
      <c r="AX5" s="682" t="str">
        <f>VLOOKUP(AX1,'Výpočet VP 2020'!$A$4:$B$318,2,FALSE)</f>
        <v>NZO</v>
      </c>
      <c r="AY5" s="682" t="str">
        <f>VLOOKUP(AY1,'Výpočet VP 2020'!$A$4:$B$318,2,FALSE)</f>
        <v>NZO</v>
      </c>
      <c r="AZ5" s="682" t="str">
        <f>VLOOKUP(AZ1,'Výpočet VP 2020'!$A$4:$B$318,2,FALSE)</f>
        <v>NZO</v>
      </c>
      <c r="BA5" s="682" t="str">
        <f>VLOOKUP(BA1,'Výpočet VP 2020'!$A$4:$B$318,2,FALSE)</f>
        <v>NZO</v>
      </c>
      <c r="BB5" s="682" t="str">
        <f>VLOOKUP(BB1,'Výpočet VP 2020'!$A$4:$B$318,2,FALSE)</f>
        <v>NZO</v>
      </c>
      <c r="BC5" s="682" t="str">
        <f>VLOOKUP(BC1,'Výpočet VP 2020'!$A$4:$B$318,2,FALSE)</f>
        <v>NZO</v>
      </c>
      <c r="BD5" s="682" t="str">
        <f>VLOOKUP(BD1,'Výpočet VP 2020'!$A$4:$B$318,2,FALSE)</f>
        <v>NZO</v>
      </c>
      <c r="BE5" s="682" t="str">
        <f>VLOOKUP(BE1,'Výpočet VP 2020'!$A$4:$B$318,2,FALSE)</f>
        <v>NZO</v>
      </c>
      <c r="BF5" s="682" t="str">
        <f>VLOOKUP(BF1,'Výpočet VP 2020'!$A$4:$B$318,2,FALSE)</f>
        <v>NZO</v>
      </c>
      <c r="BG5" s="682" t="str">
        <f>VLOOKUP(BG1,'Výpočet VP 2020'!$A$4:$B$318,2,FALSE)</f>
        <v>NZO</v>
      </c>
      <c r="BH5" s="682" t="str">
        <f>VLOOKUP(BH1,'Výpočet VP 2020'!$A$4:$B$318,2,FALSE)</f>
        <v>NZO</v>
      </c>
      <c r="BI5" s="682" t="str">
        <f>VLOOKUP(BI1,'Výpočet VP 2020'!$A$4:$B$318,2,FALSE)</f>
        <v>NZO</v>
      </c>
      <c r="BJ5" s="682" t="str">
        <f>VLOOKUP(BJ1,'Výpočet VP 2020'!$A$4:$B$318,2,FALSE)</f>
        <v>NZO</v>
      </c>
      <c r="BK5" s="682" t="str">
        <f>VLOOKUP(BK1,'Výpočet VP 2020'!$A$4:$B$318,2,FALSE)</f>
        <v>NZO</v>
      </c>
      <c r="BL5" s="682" t="str">
        <f>VLOOKUP(BL1,'Výpočet VP 2020'!$A$4:$B$318,2,FALSE)</f>
        <v>NZO</v>
      </c>
      <c r="BM5" s="682" t="str">
        <f>VLOOKUP(BM1,'Výpočet VP 2020'!$A$4:$B$318,2,FALSE)</f>
        <v>NZO</v>
      </c>
      <c r="BN5" s="682" t="str">
        <f>VLOOKUP(BN1,'Výpočet VP 2020'!$A$4:$B$318,2,FALSE)</f>
        <v>NZO</v>
      </c>
      <c r="BO5" s="682" t="str">
        <f>VLOOKUP(BO1,'Výpočet VP 2020'!$A$4:$B$318,2,FALSE)</f>
        <v>NZO</v>
      </c>
      <c r="BP5" s="682" t="str">
        <f>VLOOKUP(BP1,'Výpočet VP 2020'!$A$4:$B$318,2,FALSE)</f>
        <v>NZO</v>
      </c>
      <c r="BQ5" s="682" t="str">
        <f>VLOOKUP(BQ1,'Výpočet VP 2020'!$A$4:$B$318,2,FALSE)</f>
        <v>NZO</v>
      </c>
      <c r="BR5" s="682" t="str">
        <f>VLOOKUP(BR1,'Výpočet VP 2020'!$A$4:$B$318,2,FALSE)</f>
        <v>NZO</v>
      </c>
      <c r="BS5" s="682" t="str">
        <f>VLOOKUP(BS1,'Výpočet VP 2020'!$A$4:$B$318,2,FALSE)</f>
        <v>NZO</v>
      </c>
      <c r="BT5" s="682" t="str">
        <f>VLOOKUP(BT1,'Výpočet VP 2020'!$A$4:$B$318,2,FALSE)</f>
        <v>NZO</v>
      </c>
      <c r="BU5" s="682" t="str">
        <f>VLOOKUP(BU1,'Výpočet VP 2020'!$A$4:$B$318,2,FALSE)</f>
        <v>NZO</v>
      </c>
      <c r="BV5" s="682" t="str">
        <f>VLOOKUP(BV1,'Výpočet VP 2020'!$A$4:$B$318,2,FALSE)</f>
        <v>NZO</v>
      </c>
      <c r="BW5" s="682" t="str">
        <f>VLOOKUP(BW1,'Výpočet VP 2020'!$A$4:$B$318,2,FALSE)</f>
        <v>NZO</v>
      </c>
      <c r="BX5" s="682" t="str">
        <f>VLOOKUP(BX1,'Výpočet VP 2020'!$A$4:$B$318,2,FALSE)</f>
        <v>NZO</v>
      </c>
      <c r="BY5" s="682" t="str">
        <f>VLOOKUP(BY1,'Výpočet VP 2020'!$A$4:$B$318,2,FALSE)</f>
        <v>NZO</v>
      </c>
      <c r="BZ5" s="682" t="str">
        <f>VLOOKUP(BZ1,'Výpočet VP 2020'!$A$4:$B$318,2,FALSE)</f>
        <v>NZO</v>
      </c>
      <c r="CA5" s="682" t="e">
        <f>VLOOKUP(CA1,'Výpočet VP 2020'!$A$4:$B$318,2,FALSE)</f>
        <v>#N/A</v>
      </c>
      <c r="CB5" s="682" t="str">
        <f>VLOOKUP(CB1,'Výpočet VP 2020'!$A$4:$B$318,2,FALSE)</f>
        <v>NZO</v>
      </c>
      <c r="CC5" s="682" t="str">
        <f>VLOOKUP(CC1,'Výpočet VP 2020'!$A$4:$B$318,2,FALSE)</f>
        <v>NZO</v>
      </c>
      <c r="CD5" s="682" t="str">
        <f>VLOOKUP(CD1,'Výpočet VP 2020'!$A$4:$B$318,2,FALSE)</f>
        <v>NZO</v>
      </c>
      <c r="CE5" s="682" t="str">
        <f>VLOOKUP(CE1,'Výpočet VP 2020'!$A$4:$B$318,2,FALSE)</f>
        <v>NZO</v>
      </c>
      <c r="CF5" s="682" t="str">
        <f>VLOOKUP(CF1,'Výpočet VP 2020'!$A$4:$B$318,2,FALSE)</f>
        <v>NZO</v>
      </c>
      <c r="CG5" s="682" t="str">
        <f>VLOOKUP(CG1,'Výpočet VP 2020'!$A$4:$B$318,2,FALSE)</f>
        <v>NZO</v>
      </c>
      <c r="CH5" s="682" t="str">
        <f>VLOOKUP(CH1,'Výpočet VP 2020'!$A$4:$B$318,2,FALSE)</f>
        <v>NZO</v>
      </c>
      <c r="CI5" s="682" t="str">
        <f>VLOOKUP(CI1,'Výpočet VP 2020'!$A$4:$B$318,2,FALSE)</f>
        <v>NZO</v>
      </c>
      <c r="CJ5" s="682" t="str">
        <f>VLOOKUP(CJ1,'Výpočet VP 2020'!$A$4:$B$318,2,FALSE)</f>
        <v>NZO</v>
      </c>
      <c r="CK5" s="682" t="str">
        <f>VLOOKUP(CK1,'Výpočet VP 2020'!$A$4:$B$318,2,FALSE)</f>
        <v>NZO</v>
      </c>
      <c r="CL5" s="682" t="str">
        <f>VLOOKUP(CL1,'Výpočet VP 2020'!$A$4:$B$318,2,FALSE)</f>
        <v>NZO</v>
      </c>
      <c r="CM5" s="682" t="str">
        <f>VLOOKUP(CM1,'Výpočet VP 2020'!$A$4:$B$318,2,FALSE)</f>
        <v>NZO</v>
      </c>
      <c r="CN5" s="682" t="str">
        <f>VLOOKUP(CN1,'Výpočet VP 2020'!$A$4:$B$318,2,FALSE)</f>
        <v>NZO</v>
      </c>
      <c r="CO5" s="682" t="str">
        <f>VLOOKUP(CO1,'Výpočet VP 2020'!$A$4:$B$318,2,FALSE)</f>
        <v>NZO</v>
      </c>
      <c r="CP5" s="682" t="str">
        <f>VLOOKUP(CP1,'Výpočet VP 2020'!$A$4:$B$318,2,FALSE)</f>
        <v>NZO</v>
      </c>
      <c r="CQ5" s="682" t="str">
        <f>VLOOKUP(CQ1,'Výpočet VP 2020'!$A$4:$B$318,2,FALSE)</f>
        <v>NZO</v>
      </c>
      <c r="CR5" s="682" t="str">
        <f>VLOOKUP(CR1,'Výpočet VP 2020'!$A$4:$B$318,2,FALSE)</f>
        <v>NZO</v>
      </c>
      <c r="CS5" s="682" t="str">
        <f>VLOOKUP(CS1,'Výpočet VP 2020'!$A$4:$B$318,2,FALSE)</f>
        <v>NZO</v>
      </c>
      <c r="CT5" s="682" t="str">
        <f>VLOOKUP(CT1,'Výpočet VP 2020'!$A$4:$B$318,2,FALSE)</f>
        <v>NZO</v>
      </c>
      <c r="CU5" s="682" t="str">
        <f>VLOOKUP(CU1,'Výpočet VP 2020'!$A$4:$B$318,2,FALSE)</f>
        <v>NZO</v>
      </c>
      <c r="CV5" s="682" t="str">
        <f>VLOOKUP(CV1,'Výpočet VP 2020'!$A$4:$B$318,2,FALSE)</f>
        <v>NZO</v>
      </c>
      <c r="CW5" s="682" t="str">
        <f>VLOOKUP(CW1,'Výpočet VP 2020'!$A$4:$B$318,2,FALSE)</f>
        <v>NZO</v>
      </c>
      <c r="CX5" s="682" t="str">
        <f>VLOOKUP(CX1,'Výpočet VP 2020'!$A$4:$B$318,2,FALSE)</f>
        <v>NZO</v>
      </c>
      <c r="CY5" s="682" t="str">
        <f>VLOOKUP(CY1,'Výpočet VP 2020'!$A$4:$B$318,2,FALSE)</f>
        <v>NZO</v>
      </c>
      <c r="CZ5" s="682" t="str">
        <f>VLOOKUP(CZ1,'Výpočet VP 2020'!$A$4:$B$318,2,FALSE)</f>
        <v>NZO</v>
      </c>
      <c r="DA5" s="682" t="str">
        <f>VLOOKUP(DA1,'Výpočet VP 2020'!$A$4:$B$318,2,FALSE)</f>
        <v>NZO</v>
      </c>
      <c r="DB5" s="682" t="str">
        <f>VLOOKUP(DB1,'Výpočet VP 2020'!$A$4:$B$318,2,FALSE)</f>
        <v>NZO</v>
      </c>
      <c r="DC5" s="682" t="str">
        <f>VLOOKUP(DC1,'Výpočet VP 2020'!$A$4:$B$318,2,FALSE)</f>
        <v>NZO</v>
      </c>
      <c r="DD5" s="682" t="str">
        <f>VLOOKUP(DD1,'Výpočet VP 2020'!$A$4:$B$318,2,FALSE)</f>
        <v>NZO</v>
      </c>
      <c r="DE5" s="682" t="str">
        <f>VLOOKUP(DE1,'Výpočet VP 2020'!$A$4:$B$318,2,FALSE)</f>
        <v>NZO</v>
      </c>
      <c r="DF5" s="682" t="str">
        <f>VLOOKUP(DF1,'Výpočet VP 2020'!$A$4:$B$318,2,FALSE)</f>
        <v>NZO</v>
      </c>
      <c r="DG5" s="682" t="str">
        <f>VLOOKUP(DG1,'Výpočet VP 2020'!$A$4:$B$318,2,FALSE)</f>
        <v>NZO</v>
      </c>
      <c r="DH5" s="682" t="str">
        <f>VLOOKUP(DH1,'Výpočet VP 2020'!$A$4:$B$318,2,FALSE)</f>
        <v>NZO</v>
      </c>
      <c r="DI5" s="682" t="str">
        <f>VLOOKUP(DI1,'Výpočet VP 2020'!$A$4:$B$318,2,FALSE)</f>
        <v>NZO</v>
      </c>
      <c r="DJ5" s="682" t="str">
        <f>VLOOKUP(DJ1,'Výpočet VP 2020'!$A$4:$B$318,2,FALSE)</f>
        <v>NZO</v>
      </c>
      <c r="DK5" s="682" t="str">
        <f>VLOOKUP(DK1,'Výpočet VP 2020'!$A$4:$B$318,2,FALSE)</f>
        <v>NZO</v>
      </c>
      <c r="DL5" s="682" t="str">
        <f>VLOOKUP(DL1,'Výpočet VP 2020'!$A$4:$B$318,2,FALSE)</f>
        <v>NZO</v>
      </c>
      <c r="DM5" s="682" t="str">
        <f>VLOOKUP(DM1,'Výpočet VP 2020'!$A$4:$B$318,2,FALSE)</f>
        <v>NZO</v>
      </c>
      <c r="DN5" s="682" t="str">
        <f>VLOOKUP(DN1,'Výpočet VP 2020'!$A$4:$B$318,2,FALSE)</f>
        <v>NZO</v>
      </c>
      <c r="DO5" s="682" t="str">
        <f>VLOOKUP(DO1,'Výpočet VP 2020'!$A$4:$B$318,2,FALSE)</f>
        <v>NZO</v>
      </c>
      <c r="DP5" s="682" t="str">
        <f>VLOOKUP(DP1,'Výpočet VP 2020'!$A$4:$B$318,2,FALSE)</f>
        <v>NZO</v>
      </c>
      <c r="DQ5" s="682" t="str">
        <f>VLOOKUP(DQ1,'Výpočet VP 2020'!$A$4:$B$318,2,FALSE)</f>
        <v>NZO</v>
      </c>
      <c r="DR5" s="682" t="str">
        <f>VLOOKUP(DR1,'Výpočet VP 2020'!$A$4:$B$318,2,FALSE)</f>
        <v>NZO</v>
      </c>
      <c r="DS5" s="682" t="str">
        <f>VLOOKUP(DS1,'Výpočet VP 2020'!$A$4:$B$318,2,FALSE)</f>
        <v>NZO</v>
      </c>
      <c r="DT5" s="682" t="str">
        <f>VLOOKUP(DT1,'Výpočet VP 2020'!$A$4:$B$318,2,FALSE)</f>
        <v>NZO</v>
      </c>
      <c r="DU5" s="682" t="str">
        <f>VLOOKUP(DU1,'Výpočet VP 2020'!$A$4:$B$318,2,FALSE)</f>
        <v>NZO</v>
      </c>
      <c r="DV5" s="682" t="str">
        <f>VLOOKUP(DV1,'Výpočet VP 2020'!$A$4:$B$318,2,FALSE)</f>
        <v>NZO</v>
      </c>
      <c r="DW5" s="682" t="str">
        <f>VLOOKUP(DW1,'Výpočet VP 2020'!$A$4:$B$318,2,FALSE)</f>
        <v>NZO</v>
      </c>
      <c r="DX5" s="682" t="str">
        <f>VLOOKUP(DX1,'Výpočet VP 2020'!$A$4:$B$318,2,FALSE)</f>
        <v>NZO</v>
      </c>
      <c r="DY5" s="682" t="str">
        <f>VLOOKUP(DY1,'Výpočet VP 2020'!$A$4:$B$318,2,FALSE)</f>
        <v>NZO</v>
      </c>
      <c r="DZ5" s="682" t="str">
        <f>VLOOKUP(DZ1,'Výpočet VP 2020'!$A$4:$B$318,2,FALSE)</f>
        <v>NZO</v>
      </c>
      <c r="EA5" s="682" t="str">
        <f>VLOOKUP(EA1,'Výpočet VP 2020'!$A$4:$B$318,2,FALSE)</f>
        <v>NZO</v>
      </c>
      <c r="EB5" s="682" t="str">
        <f>VLOOKUP(EB1,'Výpočet VP 2020'!$A$4:$B$318,2,FALSE)</f>
        <v>NZO</v>
      </c>
      <c r="EC5" s="682" t="str">
        <f>VLOOKUP(EC1,'Výpočet VP 2020'!$A$4:$B$318,2,FALSE)</f>
        <v>NZO</v>
      </c>
      <c r="ED5" s="682" t="str">
        <f>VLOOKUP(ED1,'Výpočet VP 2020'!$A$4:$B$318,2,FALSE)</f>
        <v>NZO</v>
      </c>
      <c r="EE5" s="682" t="str">
        <f>VLOOKUP(EE1,'Výpočet VP 2020'!$A$4:$B$318,2,FALSE)</f>
        <v>NZO</v>
      </c>
      <c r="EF5" s="682" t="str">
        <f>VLOOKUP(EF1,'Výpočet VP 2020'!$A$4:$B$318,2,FALSE)</f>
        <v>NZO</v>
      </c>
      <c r="EG5" s="682" t="str">
        <f>VLOOKUP(EG1,'Výpočet VP 2020'!$A$4:$B$318,2,FALSE)</f>
        <v>NZO</v>
      </c>
      <c r="EH5" s="682" t="str">
        <f>VLOOKUP(EH1,'Výpočet VP 2020'!$A$4:$B$318,2,FALSE)</f>
        <v>NZO</v>
      </c>
      <c r="EI5" s="682" t="str">
        <f>VLOOKUP(EI1,'Výpočet VP 2020'!$A$4:$B$318,2,FALSE)</f>
        <v>NZO</v>
      </c>
      <c r="EJ5" s="682" t="str">
        <f>VLOOKUP(EJ1,'Výpočet VP 2020'!$A$4:$B$318,2,FALSE)</f>
        <v>NZO</v>
      </c>
      <c r="EK5" s="682" t="str">
        <f>VLOOKUP(EK1,'Výpočet VP 2020'!$A$4:$B$318,2,FALSE)</f>
        <v>NZO</v>
      </c>
      <c r="EL5" s="682" t="str">
        <f>VLOOKUP(EL1,'Výpočet VP 2020'!$A$4:$B$318,2,FALSE)</f>
        <v>NZO</v>
      </c>
      <c r="EM5" s="682" t="str">
        <f>VLOOKUP(EM1,'Výpočet VP 2020'!$A$4:$B$318,2,FALSE)</f>
        <v>NZO</v>
      </c>
      <c r="EN5" s="682" t="str">
        <f>VLOOKUP(EN1,'Výpočet VP 2020'!$A$4:$B$318,2,FALSE)</f>
        <v>NZO</v>
      </c>
      <c r="EO5" s="682" t="str">
        <f>VLOOKUP(EO1,'Výpočet VP 2020'!$A$4:$B$318,2,FALSE)</f>
        <v>NZO</v>
      </c>
      <c r="EP5" s="682" t="str">
        <f>VLOOKUP(EP1,'Výpočet VP 2020'!$A$4:$B$318,2,FALSE)</f>
        <v>NZO</v>
      </c>
      <c r="EQ5" s="682" t="str">
        <f>VLOOKUP(EQ1,'Výpočet VP 2020'!$A$4:$B$318,2,FALSE)</f>
        <v>NZO</v>
      </c>
      <c r="ER5" s="682" t="str">
        <f>VLOOKUP(ER1,'Výpočet VP 2020'!$A$4:$B$318,2,FALSE)</f>
        <v>NZO</v>
      </c>
      <c r="ES5" s="682" t="str">
        <f>VLOOKUP(ES1,'Výpočet VP 2020'!$A$4:$B$318,2,FALSE)</f>
        <v>NZO</v>
      </c>
      <c r="ET5" s="683" t="str">
        <f>VLOOKUP(ET1,'Výpočet VP 2020'!$A$4:$B$318,2,FALSE)</f>
        <v>Obce</v>
      </c>
      <c r="EU5" s="683" t="str">
        <f>VLOOKUP(EU1,'Výpočet VP 2020'!$A$4:$B$318,2,FALSE)</f>
        <v>Obce</v>
      </c>
      <c r="EV5" s="683" t="str">
        <f>VLOOKUP(EV1,'Výpočet VP 2020'!$A$4:$B$318,2,FALSE)</f>
        <v>Obce</v>
      </c>
      <c r="EW5" s="683" t="str">
        <f>VLOOKUP(EW1,'Výpočet VP 2020'!$A$4:$B$318,2,FALSE)</f>
        <v>Obce</v>
      </c>
      <c r="EX5" s="683" t="str">
        <f>VLOOKUP(EX1,'Výpočet VP 2020'!$A$4:$B$318,2,FALSE)</f>
        <v>Obce</v>
      </c>
      <c r="EY5" s="683" t="str">
        <f>VLOOKUP(EY1,'Výpočet VP 2020'!$A$4:$B$318,2,FALSE)</f>
        <v>Obce</v>
      </c>
      <c r="EZ5" s="683" t="str">
        <f>VLOOKUP(EZ1,'Výpočet VP 2020'!$A$4:$B$318,2,FALSE)</f>
        <v>Obce</v>
      </c>
      <c r="FA5" s="683" t="str">
        <f>VLOOKUP(FA1,'Výpočet VP 2020'!$A$4:$B$318,2,FALSE)</f>
        <v>Obce</v>
      </c>
      <c r="FB5" s="683" t="str">
        <f>VLOOKUP(FB1,'Výpočet VP 2020'!$A$4:$B$318,2,FALSE)</f>
        <v>Obce</v>
      </c>
      <c r="FC5" s="683" t="str">
        <f>VLOOKUP(FC1,'Výpočet VP 2020'!$A$4:$B$318,2,FALSE)</f>
        <v>Obce</v>
      </c>
      <c r="FD5" s="683" t="str">
        <f>VLOOKUP(FD1,'Výpočet VP 2020'!$A$4:$B$318,2,FALSE)</f>
        <v>Obce</v>
      </c>
      <c r="FE5" s="683" t="str">
        <f>VLOOKUP(FE1,'Výpočet VP 2020'!$A$4:$B$318,2,FALSE)</f>
        <v>Obce</v>
      </c>
      <c r="FF5" s="683" t="str">
        <f>VLOOKUP(FF1,'Výpočet VP 2020'!$A$4:$B$318,2,FALSE)</f>
        <v>Obce</v>
      </c>
      <c r="FG5" s="683" t="str">
        <f>VLOOKUP(FG1,'Výpočet VP 2020'!$A$4:$B$318,2,FALSE)</f>
        <v>Obce</v>
      </c>
      <c r="FH5" s="683" t="str">
        <f>VLOOKUP(FH1,'Výpočet VP 2020'!$A$4:$B$318,2,FALSE)</f>
        <v>Obce</v>
      </c>
      <c r="FI5" s="683" t="str">
        <f>VLOOKUP(FI1,'Výpočet VP 2020'!$A$4:$B$318,2,FALSE)</f>
        <v>Obce</v>
      </c>
      <c r="FJ5" s="683" t="str">
        <f>VLOOKUP(FJ1,'Výpočet VP 2020'!$A$4:$B$318,2,FALSE)</f>
        <v>Obce</v>
      </c>
      <c r="FK5" s="683" t="str">
        <f>VLOOKUP(FK1,'Výpočet VP 2020'!$A$4:$B$318,2,FALSE)</f>
        <v>Obce</v>
      </c>
      <c r="FL5" s="683" t="str">
        <f>VLOOKUP(FL1,'Výpočet VP 2020'!$A$4:$B$318,2,FALSE)</f>
        <v>Obce</v>
      </c>
      <c r="FM5" s="683" t="str">
        <f>VLOOKUP(FM1,'Výpočet VP 2020'!$A$4:$B$318,2,FALSE)</f>
        <v>Obce</v>
      </c>
      <c r="FN5" s="683" t="str">
        <f>VLOOKUP(FN1,'Výpočet VP 2020'!$A$4:$B$318,2,FALSE)</f>
        <v>Obce</v>
      </c>
      <c r="FO5" s="683" t="str">
        <f>VLOOKUP(FO1,'Výpočet VP 2020'!$A$4:$B$318,2,FALSE)</f>
        <v>Obce</v>
      </c>
      <c r="FP5" s="683" t="str">
        <f>VLOOKUP(FP1,'Výpočet VP 2020'!$A$4:$B$318,2,FALSE)</f>
        <v>Obce</v>
      </c>
      <c r="FQ5" s="683" t="str">
        <f>VLOOKUP(FQ1,'Výpočet VP 2020'!$A$4:$B$318,2,FALSE)</f>
        <v>Obce</v>
      </c>
      <c r="FR5" s="683" t="str">
        <f>VLOOKUP(FR1,'Výpočet VP 2020'!$A$4:$B$318,2,FALSE)</f>
        <v>Obce</v>
      </c>
      <c r="FS5" s="683" t="str">
        <f>VLOOKUP(FS1,'Výpočet VP 2020'!$A$4:$B$318,2,FALSE)</f>
        <v>Obce</v>
      </c>
      <c r="FT5" s="683" t="str">
        <f>VLOOKUP(FT1,'Výpočet VP 2020'!$A$4:$B$318,2,FALSE)</f>
        <v>Obce</v>
      </c>
      <c r="FU5" s="683" t="str">
        <f>VLOOKUP(FU1,'Výpočet VP 2020'!$A$4:$B$318,2,FALSE)</f>
        <v>Obce</v>
      </c>
      <c r="FV5" s="683" t="str">
        <f>VLOOKUP(FV1,'Výpočet VP 2020'!$A$4:$B$318,2,FALSE)</f>
        <v>Obce</v>
      </c>
      <c r="FW5" s="683" t="str">
        <f>VLOOKUP(FW1,'Výpočet VP 2020'!$A$4:$B$318,2,FALSE)</f>
        <v>Obce</v>
      </c>
      <c r="FX5" s="683" t="str">
        <f>VLOOKUP(FX1,'Výpočet VP 2020'!$A$4:$B$318,2,FALSE)</f>
        <v>Obce</v>
      </c>
      <c r="FY5" s="683" t="str">
        <f>VLOOKUP(FY1,'Výpočet VP 2020'!$A$4:$B$318,2,FALSE)</f>
        <v>Obce</v>
      </c>
      <c r="FZ5" s="683" t="str">
        <f>VLOOKUP(FZ1,'Výpočet VP 2020'!$A$4:$B$318,2,FALSE)</f>
        <v>Obce</v>
      </c>
      <c r="GA5" s="683" t="str">
        <f>VLOOKUP(GA1,'Výpočet VP 2020'!$A$4:$B$318,2,FALSE)</f>
        <v>Obce</v>
      </c>
      <c r="GB5" s="683" t="str">
        <f>VLOOKUP(GB1,'Výpočet VP 2020'!$A$4:$B$318,2,FALSE)</f>
        <v>Obce</v>
      </c>
      <c r="GC5" s="683" t="str">
        <f>VLOOKUP(GC1,'Výpočet VP 2020'!$A$4:$B$318,2,FALSE)</f>
        <v>Obce</v>
      </c>
      <c r="GD5" s="683" t="str">
        <f>VLOOKUP(GD1,'Výpočet VP 2020'!$A$4:$B$318,2,FALSE)</f>
        <v>Obce</v>
      </c>
      <c r="GE5" s="683" t="str">
        <f>VLOOKUP(GE1,'Výpočet VP 2020'!$A$4:$B$318,2,FALSE)</f>
        <v>Obce</v>
      </c>
      <c r="GF5" s="683" t="str">
        <f>VLOOKUP(GF1,'Výpočet VP 2020'!$A$4:$B$318,2,FALSE)</f>
        <v>Obce</v>
      </c>
      <c r="GG5" s="683" t="str">
        <f>VLOOKUP(GG1,'Výpočet VP 2020'!$A$4:$B$318,2,FALSE)</f>
        <v>Obce</v>
      </c>
      <c r="GH5" s="683" t="str">
        <f>VLOOKUP(GH1,'Výpočet VP 2020'!$A$4:$B$318,2,FALSE)</f>
        <v>Obce</v>
      </c>
      <c r="GI5" s="683" t="str">
        <f>VLOOKUP(GI1,'Výpočet VP 2020'!$A$4:$B$318,2,FALSE)</f>
        <v>Obce</v>
      </c>
      <c r="GJ5" s="683" t="str">
        <f>VLOOKUP(GJ1,'Výpočet VP 2020'!$A$4:$B$318,2,FALSE)</f>
        <v>Obce</v>
      </c>
      <c r="GK5" s="683" t="str">
        <f>VLOOKUP(GK1,'Výpočet VP 2020'!$A$4:$B$318,2,FALSE)</f>
        <v>Obce</v>
      </c>
      <c r="GL5" s="683" t="str">
        <f>VLOOKUP(GL1,'Výpočet VP 2020'!$A$4:$B$318,2,FALSE)</f>
        <v>Obce</v>
      </c>
      <c r="GM5" s="683" t="str">
        <f>VLOOKUP(GM1,'Výpočet VP 2020'!$A$4:$B$318,2,FALSE)</f>
        <v>Obce</v>
      </c>
      <c r="GN5" s="683" t="str">
        <f>VLOOKUP(GN1,'Výpočet VP 2020'!$A$4:$B$318,2,FALSE)</f>
        <v>Obce</v>
      </c>
      <c r="GO5" s="683" t="str">
        <f>VLOOKUP(GO1,'Výpočet VP 2020'!$A$4:$B$318,2,FALSE)</f>
        <v>Obce</v>
      </c>
      <c r="GP5" s="683" t="str">
        <f>VLOOKUP(GP1,'Výpočet VP 2020'!$A$4:$B$318,2,FALSE)</f>
        <v>Obce</v>
      </c>
      <c r="GQ5" s="683" t="str">
        <f>VLOOKUP(GQ1,'Výpočet VP 2020'!$A$4:$B$318,2,FALSE)</f>
        <v>Obce</v>
      </c>
      <c r="GR5" s="683" t="str">
        <f>VLOOKUP(GR1,'Výpočet VP 2020'!$A$4:$B$318,2,FALSE)</f>
        <v>Obce</v>
      </c>
      <c r="GS5" s="683" t="str">
        <f>VLOOKUP(GS1,'Výpočet VP 2020'!$A$4:$B$318,2,FALSE)</f>
        <v>Obce</v>
      </c>
      <c r="GT5" s="683" t="str">
        <f>VLOOKUP(GT1,'Výpočet VP 2020'!$A$4:$B$318,2,FALSE)</f>
        <v>Obce</v>
      </c>
      <c r="GU5" s="683" t="str">
        <f>VLOOKUP(GU1,'Výpočet VP 2020'!$A$4:$B$318,2,FALSE)</f>
        <v>Obce</v>
      </c>
      <c r="GV5" s="683" t="str">
        <f>VLOOKUP(GV1,'Výpočet VP 2020'!$A$4:$B$318,2,FALSE)</f>
        <v>Obce</v>
      </c>
      <c r="GW5" s="683" t="str">
        <f>VLOOKUP(GW1,'Výpočet VP 2020'!$A$4:$B$318,2,FALSE)</f>
        <v>Obce</v>
      </c>
      <c r="GX5" s="683" t="str">
        <f>VLOOKUP(GX1,'Výpočet VP 2020'!$A$4:$B$318,2,FALSE)</f>
        <v>Obce</v>
      </c>
      <c r="GY5" s="683" t="str">
        <f>VLOOKUP(GY1,'Výpočet VP 2020'!$A$4:$B$318,2,FALSE)</f>
        <v>Obce</v>
      </c>
      <c r="GZ5" s="683" t="str">
        <f>VLOOKUP(GZ1,'Výpočet VP 2020'!$A$4:$B$318,2,FALSE)</f>
        <v>Obce</v>
      </c>
      <c r="HA5" s="683" t="str">
        <f>VLOOKUP(HA1,'Výpočet VP 2020'!$A$4:$B$318,2,FALSE)</f>
        <v>Obce</v>
      </c>
      <c r="HB5" s="683" t="str">
        <f>VLOOKUP(HB1,'Výpočet VP 2020'!$A$4:$B$318,2,FALSE)</f>
        <v>Obce</v>
      </c>
      <c r="HC5" s="683" t="str">
        <f>VLOOKUP(HC1,'Výpočet VP 2020'!$A$4:$B$318,2,FALSE)</f>
        <v>Obce</v>
      </c>
      <c r="HD5" s="683" t="str">
        <f>VLOOKUP(HD1,'Výpočet VP 2020'!$A$4:$B$318,2,FALSE)</f>
        <v>Obce</v>
      </c>
      <c r="HE5" s="683" t="str">
        <f>VLOOKUP(HE1,'Výpočet VP 2020'!$A$4:$B$318,2,FALSE)</f>
        <v>Obce</v>
      </c>
      <c r="HF5" s="683" t="str">
        <f>VLOOKUP(HF1,'Výpočet VP 2020'!$A$4:$B$318,2,FALSE)</f>
        <v>Obce</v>
      </c>
      <c r="HG5" s="683" t="str">
        <f>VLOOKUP(HG1,'Výpočet VP 2020'!$A$4:$B$318,2,FALSE)</f>
        <v>Obce</v>
      </c>
      <c r="HH5" s="683" t="str">
        <f>VLOOKUP(HH1,'Výpočet VP 2020'!$A$4:$B$318,2,FALSE)</f>
        <v>Obce</v>
      </c>
      <c r="HI5" s="683" t="str">
        <f>VLOOKUP(HI1,'Výpočet VP 2020'!$A$4:$B$318,2,FALSE)</f>
        <v>Obce</v>
      </c>
      <c r="HJ5" s="683" t="str">
        <f>VLOOKUP(HJ1,'Výpočet VP 2020'!$A$4:$B$318,2,FALSE)</f>
        <v>Obce</v>
      </c>
      <c r="HK5" s="683" t="str">
        <f>VLOOKUP(HK1,'Výpočet VP 2020'!$A$4:$B$318,2,FALSE)</f>
        <v>Obce</v>
      </c>
      <c r="HL5" s="684" t="str">
        <f>VLOOKUP(HL1,'Výpočet VP 2020'!$A$4:$B$318,2,FALSE)</f>
        <v>PO KHK</v>
      </c>
      <c r="HM5" s="684" t="str">
        <f>VLOOKUP(HM1,'Výpočet VP 2020'!$A$4:$B$318,2,FALSE)</f>
        <v>PO KHK</v>
      </c>
      <c r="HN5" s="684" t="str">
        <f>VLOOKUP(HN1,'Výpočet VP 2020'!$A$4:$B$318,2,FALSE)</f>
        <v>PO KHK</v>
      </c>
      <c r="HO5" s="684" t="str">
        <f>VLOOKUP(HO1,'Výpočet VP 2020'!$A$4:$B$318,2,FALSE)</f>
        <v>PO KHK</v>
      </c>
      <c r="HP5" s="684" t="str">
        <f>VLOOKUP(HP1,'Výpočet VP 2020'!$A$4:$B$318,2,FALSE)</f>
        <v>PO KHK</v>
      </c>
      <c r="HQ5" s="684" t="str">
        <f>VLOOKUP(HQ1,'Výpočet VP 2020'!$A$4:$B$318,2,FALSE)</f>
        <v>PO KHK</v>
      </c>
      <c r="HR5" s="684" t="str">
        <f>VLOOKUP(HR1,'Výpočet VP 2020'!$A$4:$B$318,2,FALSE)</f>
        <v>PO KHK</v>
      </c>
      <c r="HS5" s="684" t="str">
        <f>VLOOKUP(HS1,'Výpočet VP 2020'!$A$4:$B$318,2,FALSE)</f>
        <v>PO KHK</v>
      </c>
      <c r="HT5" s="684" t="str">
        <f>VLOOKUP(HT1,'Výpočet VP 2020'!$A$4:$B$318,2,FALSE)</f>
        <v>PO KHK</v>
      </c>
      <c r="HU5" s="684" t="str">
        <f>VLOOKUP(HU1,'Výpočet VP 2020'!$A$4:$B$318,2,FALSE)</f>
        <v>PO KHK</v>
      </c>
      <c r="HV5" s="684" t="str">
        <f>VLOOKUP(HV1,'Výpočet VP 2020'!$A$4:$B$318,2,FALSE)</f>
        <v>PO KHK</v>
      </c>
      <c r="HW5" s="684" t="str">
        <f>VLOOKUP(HW1,'Výpočet VP 2020'!$A$4:$B$318,2,FALSE)</f>
        <v>PO KHK</v>
      </c>
      <c r="HX5" s="684" t="str">
        <f>VLOOKUP(HX1,'Výpočet VP 2020'!$A$4:$B$318,2,FALSE)</f>
        <v>PO KHK</v>
      </c>
      <c r="HY5" s="684" t="str">
        <f>VLOOKUP(HY1,'Výpočet VP 2020'!$A$4:$B$318,2,FALSE)</f>
        <v>PO KHK</v>
      </c>
      <c r="HZ5" s="684" t="str">
        <f>VLOOKUP(HZ1,'Výpočet VP 2020'!$A$4:$B$318,2,FALSE)</f>
        <v>PO KHK</v>
      </c>
      <c r="IA5" s="684" t="str">
        <f>VLOOKUP(IA1,'Výpočet VP 2020'!$A$4:$B$318,2,FALSE)</f>
        <v>PO KHK</v>
      </c>
      <c r="IB5" s="684" t="str">
        <f>VLOOKUP(IB1,'Výpočet VP 2020'!$A$4:$B$318,2,FALSE)</f>
        <v>PO KHK</v>
      </c>
      <c r="IC5" s="684" t="str">
        <f>VLOOKUP(IC1,'Výpočet VP 2020'!$A$4:$B$318,2,FALSE)</f>
        <v>PO KHK</v>
      </c>
      <c r="ID5" s="684" t="str">
        <f>VLOOKUP(ID1,'Výpočet VP 2020'!$A$4:$B$318,2,FALSE)</f>
        <v>PO KHK</v>
      </c>
      <c r="IE5" s="684" t="str">
        <f>VLOOKUP(IE1,'Výpočet VP 2020'!$A$4:$B$318,2,FALSE)</f>
        <v>PO KHK</v>
      </c>
      <c r="IF5" s="684" t="str">
        <f>VLOOKUP(IF1,'Výpočet VP 2020'!$A$4:$B$318,2,FALSE)</f>
        <v>PO KHK</v>
      </c>
      <c r="IG5" s="684" t="str">
        <f>VLOOKUP(IG1,'Výpočet VP 2020'!$A$4:$B$318,2,FALSE)</f>
        <v>PO KHK</v>
      </c>
      <c r="IH5" s="684" t="str">
        <f>VLOOKUP(IH1,'Výpočet VP 2020'!$A$4:$B$318,2,FALSE)</f>
        <v>PO KHK</v>
      </c>
      <c r="II5" s="684" t="str">
        <f>VLOOKUP(II1,'Výpočet VP 2020'!$A$4:$B$318,2,FALSE)</f>
        <v>PO KHK</v>
      </c>
      <c r="IJ5" s="684" t="str">
        <f>VLOOKUP(IJ1,'Výpočet VP 2020'!$A$4:$B$318,2,FALSE)</f>
        <v>PO KHK</v>
      </c>
      <c r="IK5" s="684" t="str">
        <f>VLOOKUP(IK1,'Výpočet VP 2020'!$A$4:$B$318,2,FALSE)</f>
        <v>PO KHK</v>
      </c>
      <c r="IL5" s="684" t="str">
        <f>VLOOKUP(IL1,'Výpočet VP 2020'!$A$4:$B$318,2,FALSE)</f>
        <v>PO KHK</v>
      </c>
      <c r="IM5" s="684" t="str">
        <f>VLOOKUP(IM1,'Výpočet VP 2020'!$A$4:$B$318,2,FALSE)</f>
        <v>PO KHK</v>
      </c>
      <c r="IN5" s="684" t="str">
        <f>VLOOKUP(IN1,'Výpočet VP 2020'!$A$4:$B$318,2,FALSE)</f>
        <v>PO KHK</v>
      </c>
      <c r="IO5" s="684" t="str">
        <f>VLOOKUP(IO1,'Výpočet VP 2020'!$A$4:$B$318,2,FALSE)</f>
        <v>PO KHK</v>
      </c>
      <c r="IP5" s="684" t="str">
        <f>VLOOKUP(IP1,'Výpočet VP 2020'!$A$4:$B$318,2,FALSE)</f>
        <v>PO KHK</v>
      </c>
      <c r="IQ5" s="684" t="str">
        <f>VLOOKUP(IQ1,'Výpočet VP 2020'!$A$4:$B$318,2,FALSE)</f>
        <v>PO KHK</v>
      </c>
      <c r="IR5" s="684" t="str">
        <f>VLOOKUP(IR1,'Výpočet VP 2020'!$A$4:$B$318,2,FALSE)</f>
        <v>PO KHK</v>
      </c>
      <c r="IS5" s="684" t="str">
        <f>VLOOKUP(IS1,'Výpočet VP 2020'!$A$4:$B$318,2,FALSE)</f>
        <v>PO KHK</v>
      </c>
      <c r="IT5" s="684" t="str">
        <f>VLOOKUP(IT1,'Výpočet VP 2020'!$A$4:$B$318,2,FALSE)</f>
        <v>PO KHK</v>
      </c>
      <c r="IU5" s="684" t="str">
        <f>VLOOKUP(IU1,'Výpočet VP 2020'!$A$4:$B$318,2,FALSE)</f>
        <v>PO KHK</v>
      </c>
      <c r="IV5" s="684" t="str">
        <f>VLOOKUP(IV1,'Výpočet VP 2020'!$A$4:$B$318,2,FALSE)</f>
        <v>PO KHK</v>
      </c>
      <c r="IW5" s="684" t="str">
        <f>VLOOKUP(IW1,'Výpočet VP 2020'!$A$4:$B$318,2,FALSE)</f>
        <v>PO KHK</v>
      </c>
      <c r="IX5" s="684" t="str">
        <f>VLOOKUP(IX1,'Výpočet VP 2020'!$A$4:$B$318,2,FALSE)</f>
        <v>PO KHK</v>
      </c>
      <c r="IY5" s="684" t="str">
        <f>VLOOKUP(IY1,'Výpočet VP 2020'!$A$4:$B$318,2,FALSE)</f>
        <v>PO KHK</v>
      </c>
      <c r="IZ5" s="684" t="str">
        <f>VLOOKUP(IZ1,'Výpočet VP 2020'!$A$4:$B$318,2,FALSE)</f>
        <v>PO KHK</v>
      </c>
      <c r="JA5" s="684" t="str">
        <f>VLOOKUP(JA1,'Výpočet VP 2020'!$A$4:$B$318,2,FALSE)</f>
        <v>PO KHK</v>
      </c>
      <c r="JB5" s="684" t="str">
        <f>VLOOKUP(JB1,'Výpočet VP 2020'!$A$4:$B$318,2,FALSE)</f>
        <v>PO KHK</v>
      </c>
      <c r="JC5" s="684" t="str">
        <f>VLOOKUP(JC1,'Výpočet VP 2020'!$A$4:$B$318,2,FALSE)</f>
        <v>PO KHK</v>
      </c>
      <c r="JD5" s="684" t="str">
        <f>VLOOKUP(JD1,'Výpočet VP 2020'!$A$4:$B$318,2,FALSE)</f>
        <v>PO KHK</v>
      </c>
      <c r="JE5" s="684" t="str">
        <f>VLOOKUP(JE1,'Výpočet VP 2020'!$A$4:$B$318,2,FALSE)</f>
        <v>PO KHK</v>
      </c>
      <c r="JF5" s="684" t="str">
        <f>VLOOKUP(JF1,'Výpočet VP 2020'!$A$4:$B$318,2,FALSE)</f>
        <v>PO KHK</v>
      </c>
      <c r="JG5" s="684" t="str">
        <f>VLOOKUP(JG1,'Výpočet VP 2020'!$A$4:$B$318,2,FALSE)</f>
        <v>PO KHK</v>
      </c>
      <c r="JH5" s="776" t="str">
        <f>VLOOKUP(JH1,'Výpočet VP 2020'!$A$4:$B$318,2,FALSE)</f>
        <v>PO KHK</v>
      </c>
      <c r="JI5" s="473"/>
      <c r="JL5" s="582" t="s">
        <v>1086</v>
      </c>
      <c r="JM5" s="582" t="s">
        <v>1770</v>
      </c>
      <c r="JN5" s="582" t="s">
        <v>1771</v>
      </c>
      <c r="JO5" s="582" t="s">
        <v>1806</v>
      </c>
    </row>
    <row r="6" spans="1:276" s="582" customFormat="1" ht="10.15" hidden="1" customHeight="1" x14ac:dyDescent="0.2">
      <c r="A6" s="472"/>
      <c r="B6" s="732"/>
      <c r="C6" s="777" t="str">
        <f>VLOOKUP(C1,'Výdaje obcí 2018'!$L$3:O287,4,FALSE)</f>
        <v>Mlázovice</v>
      </c>
      <c r="D6" s="683" t="str">
        <f>VLOOKUP(D1,'Výdaje obcí 2018'!$L$3:P287,4,FALSE)</f>
        <v>Chomutice</v>
      </c>
      <c r="E6" s="683" t="str">
        <f>VLOOKUP(E1,'Výdaje obcí 2018'!$L$3:Q287,4,FALSE)</f>
        <v>Slatiny</v>
      </c>
      <c r="F6" s="683"/>
      <c r="G6" s="683"/>
      <c r="H6" s="683"/>
      <c r="I6" s="683"/>
      <c r="J6" s="685">
        <f t="shared" ref="J6:K6" si="0">J103</f>
        <v>0.06</v>
      </c>
      <c r="K6" s="685">
        <f t="shared" si="0"/>
        <v>5.9999999999999991E-2</v>
      </c>
      <c r="L6" s="683"/>
      <c r="M6" s="683"/>
      <c r="N6" s="686" t="s">
        <v>2614</v>
      </c>
      <c r="O6" s="683"/>
      <c r="P6" s="683"/>
      <c r="Q6" s="683"/>
      <c r="R6" s="683"/>
      <c r="S6" s="683"/>
      <c r="T6" s="683"/>
      <c r="U6" s="683"/>
      <c r="V6" s="683"/>
      <c r="W6" s="683"/>
      <c r="X6" s="683"/>
      <c r="Y6" s="683"/>
      <c r="Z6" s="683"/>
      <c r="AA6" s="683"/>
      <c r="AB6" s="683"/>
      <c r="AC6" s="683"/>
      <c r="AD6" s="683"/>
      <c r="AE6" s="683"/>
      <c r="AF6" s="685">
        <f t="shared" ref="AF6" si="1">AF103</f>
        <v>0.06</v>
      </c>
      <c r="AG6" s="683"/>
      <c r="AH6" s="683"/>
      <c r="AI6" s="685">
        <f>AI103</f>
        <v>5.0425286138259799E-2</v>
      </c>
      <c r="AJ6" s="685">
        <f t="shared" ref="AJ6:AK6" si="2">AJ103</f>
        <v>4.1251313615013253E-2</v>
      </c>
      <c r="AK6" s="685">
        <f t="shared" si="2"/>
        <v>5.6629452359967337E-2</v>
      </c>
      <c r="AL6" s="683"/>
      <c r="AM6" s="683"/>
      <c r="AN6" s="683"/>
      <c r="AO6" s="683"/>
      <c r="AP6" s="685">
        <f t="shared" ref="AP6" si="3">AP103</f>
        <v>5.8385662510748955E-2</v>
      </c>
      <c r="AQ6" s="683"/>
      <c r="AR6" s="683"/>
      <c r="AS6" s="683"/>
      <c r="AT6" s="683"/>
      <c r="AU6" s="683"/>
      <c r="AV6" s="683"/>
      <c r="AW6" s="683"/>
      <c r="AX6" s="683"/>
      <c r="AY6" s="683"/>
      <c r="AZ6" s="683"/>
      <c r="BA6" s="683"/>
      <c r="BB6" s="683"/>
      <c r="BC6" s="683"/>
      <c r="BD6" s="683"/>
      <c r="BE6" s="683"/>
      <c r="BF6" s="683"/>
      <c r="BG6" s="683"/>
      <c r="BH6" s="683"/>
      <c r="BI6" s="683"/>
      <c r="BJ6" s="683"/>
      <c r="BK6" s="683"/>
      <c r="BL6" s="685">
        <f t="shared" ref="BL6:BM6" si="4">BL103</f>
        <v>0.06</v>
      </c>
      <c r="BM6" s="685">
        <f t="shared" si="4"/>
        <v>5.438739404457979E-2</v>
      </c>
      <c r="BN6" s="683"/>
      <c r="BO6" s="683"/>
      <c r="BP6" s="683"/>
      <c r="BQ6" s="685">
        <f t="shared" ref="BQ6" si="5">BQ103</f>
        <v>0.06</v>
      </c>
      <c r="BR6" s="683"/>
      <c r="BS6" s="683"/>
      <c r="BT6" s="683"/>
      <c r="BU6" s="683"/>
      <c r="BV6" s="685">
        <f t="shared" ref="BV6:BW6" si="6">BV103</f>
        <v>6.0000000000000005E-2</v>
      </c>
      <c r="BW6" s="685">
        <f t="shared" si="6"/>
        <v>5.9999999999999991E-2</v>
      </c>
      <c r="BX6" s="683"/>
      <c r="BY6" s="683"/>
      <c r="BZ6" s="683"/>
      <c r="CA6" s="683"/>
      <c r="CB6" s="685">
        <f t="shared" ref="CB6" si="7">CB103</f>
        <v>0.06</v>
      </c>
      <c r="CC6" s="683"/>
      <c r="CD6" s="683"/>
      <c r="CE6" s="683"/>
      <c r="CF6" s="683"/>
      <c r="CG6" s="683"/>
      <c r="CH6" s="683"/>
      <c r="CI6" s="683"/>
      <c r="CJ6" s="683"/>
      <c r="CK6" s="683"/>
      <c r="CL6" s="683"/>
      <c r="CM6" s="683"/>
      <c r="CN6" s="683"/>
      <c r="CO6" s="683"/>
      <c r="CP6" s="683"/>
      <c r="CQ6" s="683"/>
      <c r="CR6" s="683"/>
      <c r="CS6" s="685">
        <f t="shared" ref="CS6" si="8">CS103</f>
        <v>5.3831280094404285E-2</v>
      </c>
      <c r="CT6" s="683"/>
      <c r="CU6" s="683"/>
      <c r="CV6" s="685">
        <f t="shared" ref="CV6" si="9">CV103</f>
        <v>0.06</v>
      </c>
      <c r="CW6" s="683"/>
      <c r="CX6" s="683"/>
      <c r="CY6" s="683"/>
      <c r="CZ6" s="683"/>
      <c r="DA6" s="683"/>
      <c r="DB6" s="683"/>
      <c r="DC6" s="683"/>
      <c r="DD6" s="683"/>
      <c r="DE6" s="683"/>
      <c r="DF6" s="683"/>
      <c r="DG6" s="685">
        <f t="shared" ref="DG6" si="10">DG103</f>
        <v>6.0000000000000005E-2</v>
      </c>
      <c r="DH6" s="683"/>
      <c r="DI6" s="683"/>
      <c r="DJ6" s="683"/>
      <c r="DK6" s="683"/>
      <c r="DL6" s="683"/>
      <c r="DM6" s="683"/>
      <c r="DN6" s="683"/>
      <c r="DO6" s="685">
        <f t="shared" ref="DO6" si="11">DO103</f>
        <v>0.06</v>
      </c>
      <c r="DP6" s="683"/>
      <c r="DQ6" s="683"/>
      <c r="DR6" s="685">
        <f t="shared" ref="DR6:DT6" si="12">DR103</f>
        <v>5.9012499071701537E-2</v>
      </c>
      <c r="DS6" s="685">
        <f t="shared" si="12"/>
        <v>0.06</v>
      </c>
      <c r="DT6" s="685">
        <f t="shared" si="12"/>
        <v>4.8413211129688875E-2</v>
      </c>
      <c r="DU6" s="683"/>
      <c r="DV6" s="683"/>
      <c r="DW6" s="685">
        <f t="shared" ref="DW6" si="13">DW103</f>
        <v>0</v>
      </c>
      <c r="DX6" s="683"/>
      <c r="DY6" s="683"/>
      <c r="DZ6" s="685">
        <f t="shared" ref="DZ6" si="14">DZ103</f>
        <v>0.06</v>
      </c>
      <c r="EA6" s="683"/>
      <c r="EB6" s="683"/>
      <c r="EC6" s="683"/>
      <c r="ED6" s="683"/>
      <c r="EE6" s="683"/>
      <c r="EF6" s="683"/>
      <c r="EG6" s="685">
        <f t="shared" ref="EG6" si="15">EG103</f>
        <v>0.06</v>
      </c>
      <c r="EH6" s="683"/>
      <c r="EI6" s="683"/>
      <c r="EJ6" s="685">
        <f t="shared" ref="EJ6" si="16">EJ103</f>
        <v>0.06</v>
      </c>
      <c r="EK6" s="683"/>
      <c r="EL6" s="683"/>
      <c r="EM6" s="683"/>
      <c r="EN6" s="685">
        <f t="shared" ref="EN6" si="17">EN103</f>
        <v>0.06</v>
      </c>
      <c r="EO6" s="683"/>
      <c r="EP6" s="683"/>
      <c r="EQ6" s="685">
        <f t="shared" ref="EQ6" si="18">EQ103</f>
        <v>0.06</v>
      </c>
      <c r="ER6" s="683"/>
      <c r="ES6" s="683"/>
      <c r="ET6" s="685">
        <f t="shared" ref="ET6:EU6" si="19">ET103</f>
        <v>0</v>
      </c>
      <c r="EU6" s="685">
        <f t="shared" si="19"/>
        <v>4.184415687525137E-3</v>
      </c>
      <c r="EV6" s="683" t="str">
        <f>VLOOKUP(EV1,'Výdaje obcí 2018'!$L$3:FE287,4,FALSE)</f>
        <v>Broumov</v>
      </c>
      <c r="EW6" s="683" t="str">
        <f>VLOOKUP(EW1,'Výdaje obcí 2018'!$L$3:FF287,4,FALSE)</f>
        <v>Broumov</v>
      </c>
      <c r="EX6" s="683" t="str">
        <f>VLOOKUP(EX1,'Výdaje obcí 2018'!$L$3:FG287,4,FALSE)</f>
        <v>Broumov</v>
      </c>
      <c r="EY6" s="683" t="str">
        <f>VLOOKUP(EY1,'Výdaje obcí 2018'!$L$3:FH287,4,FALSE)</f>
        <v>Broumov</v>
      </c>
      <c r="EZ6" s="683" t="str">
        <f>VLOOKUP(EZ1,'Výdaje obcí 2018'!$L$3:FU287,4,FALSE)</f>
        <v>Česká Skalice</v>
      </c>
      <c r="FA6" s="683" t="str">
        <f>VLOOKUP(FA1,'Výdaje obcí 2018'!$L$3:FV287,4,FALSE)</f>
        <v>Dobruška</v>
      </c>
      <c r="FB6" s="683" t="str">
        <f>VLOOKUP(FB1,'Výdaje obcí 2018'!$L$3:HG287,4,FALSE)</f>
        <v>Dolní Kalná</v>
      </c>
      <c r="FC6" s="683" t="str">
        <f>VLOOKUP(FC1,'Výdaje obcí 2018'!$L$3:GY287,4,FALSE)</f>
        <v>Dvůr Králové nad Labem</v>
      </c>
      <c r="FD6" s="683" t="str">
        <f>VLOOKUP(FD1,'Výdaje obcí 2018'!$L$3:GZ287,4,FALSE)</f>
        <v>Dvůr Králové nad Labem</v>
      </c>
      <c r="FE6" s="683" t="str">
        <f>VLOOKUP(FE1,'Výdaje obcí 2018'!$L$3:HA287,4,FALSE)</f>
        <v>Dvůr Králové nad Labem</v>
      </c>
      <c r="FF6" s="683" t="str">
        <f>VLOOKUP(FF1,'Výdaje obcí 2018'!$L$3:HH287,4,FALSE)</f>
        <v>Hořice</v>
      </c>
      <c r="FG6" s="683" t="str">
        <f>VLOOKUP(FG1,'Výdaje obcí 2018'!$L$3:HI287,4,FALSE)</f>
        <v>Hořice</v>
      </c>
      <c r="FH6" s="683" t="str">
        <f>VLOOKUP(FH1,'Výdaje obcí 2018'!$L$3:HJ287,4,FALSE)</f>
        <v>Hořice</v>
      </c>
      <c r="FI6" s="683" t="str">
        <f>VLOOKUP(FI1,'Výdaje obcí 2018'!$L$3:FL287,4,FALSE)</f>
        <v>Hronov</v>
      </c>
      <c r="FJ6" s="683" t="str">
        <f>VLOOKUP(FJ1,'Výdaje obcí 2018'!$L$3:FW287,4,FALSE)</f>
        <v>Hronov</v>
      </c>
      <c r="FK6" s="683" t="str">
        <f>VLOOKUP(FK1,'Výdaje obcí 2018'!$L$3:HS287,4,FALSE)</f>
        <v>Chlumec nad Cidlinou</v>
      </c>
      <c r="FL6" s="683" t="str">
        <f>VLOOKUP(FL1,'Výdaje obcí 2018'!$L$3:HT287,4,FALSE)</f>
        <v>Chlumec nad Cidlinou</v>
      </c>
      <c r="FM6" s="683" t="str">
        <f>VLOOKUP(FM1,'Výdaje obcí 2018'!$L$3:FX287,4,FALSE)</f>
        <v>Jaroměř</v>
      </c>
      <c r="FN6" s="683" t="str">
        <f>VLOOKUP(FN1,'Výdaje obcí 2018'!$L$3:HK287,4,FALSE)</f>
        <v>Jičín</v>
      </c>
      <c r="FO6" s="683" t="str">
        <f>VLOOKUP(FO1,'Výdaje obcí 2018'!$L$3:HL287,4,FALSE)</f>
        <v>Jičín</v>
      </c>
      <c r="FP6" s="683" t="str">
        <f>VLOOKUP(FP1,'Výdaje obcí 2018'!$L$3:HM287,4,FALSE)</f>
        <v>Jičín</v>
      </c>
      <c r="FQ6" s="683" t="str">
        <f>VLOOKUP(FQ1,'Výdaje obcí 2018'!$L$3:HN287,4,FALSE)</f>
        <v>Jičín</v>
      </c>
      <c r="FR6" s="683" t="s">
        <v>1781</v>
      </c>
      <c r="FS6" s="683" t="str">
        <f>VLOOKUP(FS1,'Výdaje obcí 2018'!$L$3:HP287,4,FALSE)</f>
        <v>Jičín</v>
      </c>
      <c r="FT6" s="683" t="str">
        <f>VLOOKUP(FT1,'Výdaje obcí 2018'!$L$3:FY287,4,FALSE)</f>
        <v>Kostelec nad Orlicí</v>
      </c>
      <c r="FU6" s="683" t="str">
        <f>VLOOKUP(FU1,'Výdaje obcí 2018'!$L$3:FZ287,4,FALSE)</f>
        <v>Kostelec nad Orlicí</v>
      </c>
      <c r="FV6" s="683" t="str">
        <f>VLOOKUP(FV1,'Výdaje obcí 2018'!$L$3:GX287,4,FALSE)</f>
        <v>Kvasiny</v>
      </c>
      <c r="FW6" s="683" t="str">
        <f>VLOOKUP(FW1,'Výdaje obcí 2018'!$L$3:GA287,4,FALSE)</f>
        <v>Lázně Bělohrad</v>
      </c>
      <c r="FX6" s="683" t="str">
        <f>VLOOKUP(FX1,'Výdaje obcí 2018'!$L$3:GB287,4,FALSE)</f>
        <v>Meziměstí</v>
      </c>
      <c r="FY6" s="683" t="str">
        <f>VLOOKUP(FY1,'Výdaje obcí 2018'!$L$3:GC287,4,FALSE)</f>
        <v>Miletín</v>
      </c>
      <c r="FZ6" s="683" t="str">
        <f>VLOOKUP(FZ1,'Výdaje obcí 2018'!$L$3:GO287,4,FALSE)</f>
        <v>Náchod</v>
      </c>
      <c r="GA6" s="683" t="str">
        <f>VLOOKUP(GA1,'Výdaje obcí 2018'!$L$3:GP287,4,FALSE)</f>
        <v>Náchod</v>
      </c>
      <c r="GB6" s="683" t="str">
        <f>VLOOKUP(GB1,'Výdaje obcí 2018'!$L$3:GQ287,4,FALSE)</f>
        <v>Náchod</v>
      </c>
      <c r="GC6" s="683" t="str">
        <f>VLOOKUP(GC1,'Výdaje obcí 2018'!$L$3:HU287,4,FALSE)</f>
        <v>Nová Paka</v>
      </c>
      <c r="GD6" s="683" t="str">
        <f>VLOOKUP(GD1,'Výdaje obcí 2018'!$L$3:HV287,4,FALSE)</f>
        <v>Nová Paka</v>
      </c>
      <c r="GE6" s="683" t="str">
        <f>VLOOKUP(GE1,'Výdaje obcí 2018'!$L$3:GD287,4,FALSE)</f>
        <v>Nové Město nad Metují</v>
      </c>
      <c r="GF6" s="683" t="str">
        <f>VLOOKUP(GF1,'Výdaje obcí 2018'!$L$3:GR287,4,FALSE)</f>
        <v>Nové Město nad Metují</v>
      </c>
      <c r="GG6" s="683" t="str">
        <f>VLOOKUP(GG1,'Výdaje obcí 2018'!$L$3:GS287,4,FALSE)</f>
        <v>Nové Město nad Metují</v>
      </c>
      <c r="GH6" s="683" t="str">
        <f>VLOOKUP(GH1,'Výdaje obcí 2018'!$L$3:GT287,4,FALSE)</f>
        <v>Nové Město nad Metují</v>
      </c>
      <c r="GI6" s="683" t="str">
        <f>VLOOKUP(GI1,'Výdaje obcí 2018'!$L$3:GU287,4,FALSE)</f>
        <v>Nové Město nad Metují</v>
      </c>
      <c r="GJ6" s="683" t="str">
        <f>VLOOKUP(GJ1,'Výdaje obcí 2018'!$L$3:FN287,4,FALSE)</f>
        <v>Nový Bydžov</v>
      </c>
      <c r="GK6" s="683" t="str">
        <f>VLOOKUP(GK1,'Výdaje obcí 2018'!$L$3:FO287,4,FALSE)</f>
        <v>Nový Bydžov</v>
      </c>
      <c r="GL6" s="683" t="str">
        <f>VLOOKUP(GL1,'Výdaje obcí 2018'!$L$3:FP287,4,FALSE)</f>
        <v>Nový Bydžov</v>
      </c>
      <c r="GM6" s="683" t="str">
        <f>VLOOKUP(GM1,'Výdaje obcí 2018'!$L$3:FQ287,4,FALSE)</f>
        <v>Nový Bydžov</v>
      </c>
      <c r="GN6" s="683" t="str">
        <f>VLOOKUP(GN1,'Výdaje obcí 2018'!$L$3:GE287,4,FALSE)</f>
        <v>Nový Bydžov</v>
      </c>
      <c r="GO6" s="683" t="str">
        <f>VLOOKUP(GO1,'Výdaje obcí 2018'!$L$3:HQ287,4,FALSE)</f>
        <v>Opočno</v>
      </c>
      <c r="GP6" s="683" t="str">
        <f>VLOOKUP(GP1,'Výdaje obcí 2018'!$L$3:GV287,4,FALSE)</f>
        <v>Pecka</v>
      </c>
      <c r="GQ6" s="683" t="str">
        <f>VLOOKUP(GQ1,'Výdaje obcí 2018'!$L$3:GF287,4,FALSE)</f>
        <v>Police nad Metují</v>
      </c>
      <c r="GR6" s="683" t="str">
        <f>VLOOKUP(GR1,'Výdaje obcí 2018'!$L$3:GG287,4,FALSE)</f>
        <v>Rokytnice v Orlických horách</v>
      </c>
      <c r="GS6" s="683" t="str">
        <f>VLOOKUP(GS1,'Výdaje obcí 2018'!$L$3:GH287,4,FALSE)</f>
        <v>Rtyně v Podkrkonoší</v>
      </c>
      <c r="GT6" s="683" t="str">
        <f>VLOOKUP(GT1,'Výdaje obcí 2018'!$L$3:HD287,4,FALSE)</f>
        <v>Rychnov nad Kněžnou</v>
      </c>
      <c r="GU6" s="683" t="str">
        <f>VLOOKUP(GU1,'Výdaje obcí 2018'!$L$3:HE287,4,FALSE)</f>
        <v>Rychnov nad Kněžnou</v>
      </c>
      <c r="GV6" s="683" t="str">
        <f>VLOOKUP(GV1,'Výdaje obcí 2018'!$L$3:HF287,4,FALSE)</f>
        <v>Rychnov nad Kněžnou</v>
      </c>
      <c r="GW6" s="683" t="str">
        <f>VLOOKUP(GW1,'Výdaje obcí 2018'!$L$3:FR287,4,FALSE)</f>
        <v>Svoboda nad Úpou</v>
      </c>
      <c r="GX6" s="683" t="str">
        <f>VLOOKUP(GX1,'Výdaje obcí 2018'!$L$3:GI287,4,FALSE)</f>
        <v>Teplice nad Metují</v>
      </c>
      <c r="GY6" s="683" t="str">
        <f>VLOOKUP(GY1,'Výdaje obcí 2018'!$L$3:FM287,4,FALSE)</f>
        <v>Trutnov</v>
      </c>
      <c r="GZ6" s="683" t="s">
        <v>1799</v>
      </c>
      <c r="HA6" s="683" t="str">
        <f>VLOOKUP(HA1,'Výdaje obcí 2018'!$L$3:HB287,4,FALSE)</f>
        <v>Trutnov</v>
      </c>
      <c r="HB6" s="683" t="str">
        <f>VLOOKUP(HB1,'Výdaje obcí 2018'!$L$3:HR287,4,FALSE)</f>
        <v>Trutnov</v>
      </c>
      <c r="HC6" s="683" t="str">
        <f>VLOOKUP(HC1,'Výdaje obcí 2018'!$L$3:FK287,4,FALSE)</f>
        <v>Třebechovice pod Orebem</v>
      </c>
      <c r="HD6" s="683" t="str">
        <f>VLOOKUP(HD1,'Výdaje obcí 2018'!$L$3:FS287,4,FALSE)</f>
        <v>Týniště nad Orlicí</v>
      </c>
      <c r="HE6" s="683" t="str">
        <f>VLOOKUP(HE1,'Výdaje obcí 2018'!$L$3:FT287,4,FALSE)</f>
        <v>Týniště nad Orlicí</v>
      </c>
      <c r="HF6" s="683" t="str">
        <f>VLOOKUP(HF1,'Výdaje obcí 2018'!$L$3:GJ287,4,FALSE)</f>
        <v>Úpice</v>
      </c>
      <c r="HG6" s="683" t="str">
        <f>VLOOKUP(HG1,'Výdaje obcí 2018'!$L$3:GK287,4,FALSE)</f>
        <v>Úpice</v>
      </c>
      <c r="HH6" s="683" t="str">
        <f>VLOOKUP(HH1,'Výdaje obcí 2018'!$L$3:GL287,4,FALSE)</f>
        <v>Vamberk</v>
      </c>
      <c r="HI6" s="683" t="str">
        <f>VLOOKUP(HI1,'Výdaje obcí 2018'!$L$3:GM287,4,FALSE)</f>
        <v>Vrchlabí</v>
      </c>
      <c r="HJ6" s="683" t="str">
        <f>VLOOKUP(HJ1,'Výdaje obcí 2018'!$L$3:GN287,4,FALSE)</f>
        <v>Vrchlabí</v>
      </c>
      <c r="HK6" s="683" t="str">
        <f>VLOOKUP(HK1,'Výdaje obcí 2018'!$L$3:HC287,4,FALSE)</f>
        <v>Žacléř</v>
      </c>
      <c r="HL6" s="683">
        <f>VLOOKUP(HL1,'Výdaje obcí 2018'!$L$3:HW287,4,FALSE)</f>
        <v>0</v>
      </c>
      <c r="HM6" s="683">
        <f>VLOOKUP(HM1,'Výdaje obcí 2018'!$L$3:HX287,4,FALSE)</f>
        <v>0</v>
      </c>
      <c r="HN6" s="683">
        <f>VLOOKUP(HN1,'Výdaje obcí 2018'!$L$3:HY287,4,FALSE)</f>
        <v>0</v>
      </c>
      <c r="HO6" s="683">
        <f>VLOOKUP(HO1,'Výdaje obcí 2018'!$L$3:HZ287,4,FALSE)</f>
        <v>0</v>
      </c>
      <c r="HP6" s="683">
        <f>VLOOKUP(HP1,'Výdaje obcí 2018'!$L$3:IA287,4,FALSE)</f>
        <v>0</v>
      </c>
      <c r="HQ6" s="683">
        <f>VLOOKUP(HQ1,'Výdaje obcí 2018'!$L$3:IB287,4,FALSE)</f>
        <v>0</v>
      </c>
      <c r="HR6" s="683">
        <f>VLOOKUP(HR1,'Výdaje obcí 2018'!$L$3:IC287,4,FALSE)</f>
        <v>0</v>
      </c>
      <c r="HS6" s="683">
        <f>VLOOKUP(HS1,'Výdaje obcí 2018'!$L$3:ID287,4,FALSE)</f>
        <v>0</v>
      </c>
      <c r="HT6" s="683">
        <f>VLOOKUP(HT1,'Výdaje obcí 2018'!$L$3:IE287,4,FALSE)</f>
        <v>0</v>
      </c>
      <c r="HU6" s="683">
        <f>VLOOKUP(HU1,'Výdaje obcí 2018'!$L$3:IF287,4,FALSE)</f>
        <v>0</v>
      </c>
      <c r="HV6" s="683">
        <f>VLOOKUP(HV1,'Výdaje obcí 2018'!$L$3:IG287,4,FALSE)</f>
        <v>0</v>
      </c>
      <c r="HW6" s="683">
        <f>VLOOKUP(HW1,'Výdaje obcí 2018'!$L$3:IH287,4,FALSE)</f>
        <v>0</v>
      </c>
      <c r="HX6" s="683">
        <f>VLOOKUP(HX1,'Výdaje obcí 2018'!$L$3:II287,4,FALSE)</f>
        <v>0</v>
      </c>
      <c r="HY6" s="683">
        <f>VLOOKUP(HY1,'Výdaje obcí 2018'!$L$3:IJ287,4,FALSE)</f>
        <v>0</v>
      </c>
      <c r="HZ6" s="683">
        <f>VLOOKUP(HZ1,'Výdaje obcí 2018'!$L$3:IK287,4,FALSE)</f>
        <v>0</v>
      </c>
      <c r="IA6" s="683">
        <f>VLOOKUP(IA1,'Výdaje obcí 2018'!$L$3:IL287,4,FALSE)</f>
        <v>0</v>
      </c>
      <c r="IB6" s="683">
        <f>VLOOKUP(IB1,'Výdaje obcí 2018'!$L$3:IM287,4,FALSE)</f>
        <v>0</v>
      </c>
      <c r="IC6" s="683">
        <f>VLOOKUP(IC1,'Výdaje obcí 2018'!$L$3:IN287,4,FALSE)</f>
        <v>0</v>
      </c>
      <c r="ID6" s="683">
        <f>VLOOKUP(ID1,'Výdaje obcí 2018'!$L$3:IO287,4,FALSE)</f>
        <v>0</v>
      </c>
      <c r="IE6" s="683">
        <f>VLOOKUP(IE1,'Výdaje obcí 2018'!$L$3:IP287,4,FALSE)</f>
        <v>0</v>
      </c>
      <c r="IF6" s="683">
        <f>VLOOKUP(IF1,'Výdaje obcí 2018'!$L$3:IQ287,4,FALSE)</f>
        <v>0</v>
      </c>
      <c r="IG6" s="683">
        <f>VLOOKUP(IG1,'Výdaje obcí 2018'!$L$3:IR287,4,FALSE)</f>
        <v>0</v>
      </c>
      <c r="IH6" s="683">
        <f>VLOOKUP(IH1,'Výdaje obcí 2018'!$L$3:IS287,4,FALSE)</f>
        <v>0</v>
      </c>
      <c r="II6" s="683">
        <f>VLOOKUP(II1,'Výdaje obcí 2018'!$L$3:IT287,4,FALSE)</f>
        <v>0</v>
      </c>
      <c r="IJ6" s="683">
        <f>VLOOKUP(IJ1,'Výdaje obcí 2018'!$L$3:IU287,4,FALSE)</f>
        <v>0</v>
      </c>
      <c r="IK6" s="683">
        <f>VLOOKUP(IK1,'Výdaje obcí 2018'!$L$3:IV287,4,FALSE)</f>
        <v>0</v>
      </c>
      <c r="IL6" s="683">
        <f>VLOOKUP(IL1,'Výdaje obcí 2018'!$L$3:IW287,4,FALSE)</f>
        <v>0</v>
      </c>
      <c r="IM6" s="683">
        <f>VLOOKUP(IM1,'Výdaje obcí 2018'!$L$3:IX287,4,FALSE)</f>
        <v>0</v>
      </c>
      <c r="IN6" s="683">
        <f>VLOOKUP(IN1,'Výdaje obcí 2018'!$L$3:IY287,4,FALSE)</f>
        <v>0</v>
      </c>
      <c r="IO6" s="683">
        <f>VLOOKUP(IO1,'Výdaje obcí 2018'!$L$3:IZ287,4,FALSE)</f>
        <v>0</v>
      </c>
      <c r="IP6" s="683">
        <f>VLOOKUP(IP1,'Výdaje obcí 2018'!$L$3:JA287,4,FALSE)</f>
        <v>0</v>
      </c>
      <c r="IQ6" s="683">
        <f>VLOOKUP(IQ1,'Výdaje obcí 2018'!$L$3:JB287,4,FALSE)</f>
        <v>0</v>
      </c>
      <c r="IR6" s="683">
        <f>VLOOKUP(IR1,'Výdaje obcí 2018'!$L$3:JC287,4,FALSE)</f>
        <v>0</v>
      </c>
      <c r="IS6" s="683">
        <f>VLOOKUP(IS1,'Výdaje obcí 2018'!$L$3:JD287,4,FALSE)</f>
        <v>0</v>
      </c>
      <c r="IT6" s="683">
        <f>VLOOKUP(IT1,'Výdaje obcí 2018'!$L$3:JE287,4,FALSE)</f>
        <v>0</v>
      </c>
      <c r="IU6" s="683">
        <f>VLOOKUP(IU1,'Výdaje obcí 2018'!$L$3:JF287,4,FALSE)</f>
        <v>0</v>
      </c>
      <c r="IV6" s="683">
        <f>VLOOKUP(IV1,'Výdaje obcí 2018'!$L$3:JG287,4,FALSE)</f>
        <v>0</v>
      </c>
      <c r="IW6" s="683">
        <f>VLOOKUP(IW1,'Výdaje obcí 2018'!$L$3:JH287,4,FALSE)</f>
        <v>0</v>
      </c>
      <c r="IX6" s="683">
        <f>VLOOKUP(IX1,'Výdaje obcí 2018'!$L$3:JI287,4,FALSE)</f>
        <v>0</v>
      </c>
      <c r="IY6" s="683">
        <f>VLOOKUP(IY1,'Výdaje obcí 2018'!$L$3:JJ287,4,FALSE)</f>
        <v>0</v>
      </c>
      <c r="IZ6" s="683">
        <f>VLOOKUP(IZ1,'Výdaje obcí 2018'!$L$3:JK287,4,FALSE)</f>
        <v>0</v>
      </c>
      <c r="JA6" s="683">
        <f>VLOOKUP(JA1,'Výdaje obcí 2018'!$L$3:JL287,4,FALSE)</f>
        <v>0</v>
      </c>
      <c r="JB6" s="683">
        <f>VLOOKUP(JB1,'Výdaje obcí 2018'!$L$3:JM287,4,FALSE)</f>
        <v>0</v>
      </c>
      <c r="JC6" s="683">
        <f>VLOOKUP(JC1,'Výdaje obcí 2018'!$L$3:JN287,4,FALSE)</f>
        <v>0</v>
      </c>
      <c r="JD6" s="683">
        <f>VLOOKUP(JD1,'Výdaje obcí 2018'!$L$3:JO287,4,FALSE)</f>
        <v>0</v>
      </c>
      <c r="JE6" s="683">
        <f>VLOOKUP(JE1,'Výdaje obcí 2018'!$L$3:JP287,4,FALSE)</f>
        <v>0</v>
      </c>
      <c r="JF6" s="683">
        <f>VLOOKUP(JF1,'Výdaje obcí 2018'!$L$3:JQ287,4,FALSE)</f>
        <v>0</v>
      </c>
      <c r="JG6" s="683">
        <f>VLOOKUP(JG1,'Výdaje obcí 2018'!$L$3:JR287,4,FALSE)</f>
        <v>0</v>
      </c>
      <c r="JH6" s="778">
        <f>VLOOKUP(JH1,'Výdaje obcí 2018'!$L$3:JS287,4,FALSE)</f>
        <v>0</v>
      </c>
      <c r="JI6" s="473"/>
    </row>
    <row r="7" spans="1:276" hidden="1" x14ac:dyDescent="0.25">
      <c r="B7" s="733" t="s">
        <v>1813</v>
      </c>
      <c r="C7" s="779">
        <f>IFERROR(VLOOKUP(C$1,'žádosti MPSV 2020'!$SF$8:$VN$276,60,FALSE),0)</f>
        <v>9150000</v>
      </c>
      <c r="D7" s="479">
        <f>IFERROR(VLOOKUP(D$1,'žádosti MPSV 2020'!$SF$8:$VN$276,60,FALSE),0)</f>
        <v>7730000</v>
      </c>
      <c r="E7" s="479">
        <f>IFERROR(VLOOKUP(E$1,'žádosti MPSV 2020'!$SF$8:$VN$276,60,FALSE),0)</f>
        <v>9300000</v>
      </c>
      <c r="F7" s="479">
        <f>IFERROR(VLOOKUP(F$1,'žádosti MPSV 2020'!$SF$8:$VN$276,60,FALSE),0)</f>
        <v>4618835</v>
      </c>
      <c r="G7" s="479">
        <f>IFERROR(VLOOKUP(G$1,'žádosti MPSV 2020'!$SF$8:$VN$276,60,FALSE),0)</f>
        <v>10747751</v>
      </c>
      <c r="H7" s="479">
        <f>IFERROR(VLOOKUP(H$1,'žádosti MPSV 2020'!$SF$8:$VN$276,60,FALSE),0)</f>
        <v>1157858</v>
      </c>
      <c r="I7" s="479">
        <f>IFERROR(VLOOKUP(I$1,'žádosti MPSV 2020'!$SF$8:$VN$276,60,FALSE),0)</f>
        <v>3164198</v>
      </c>
      <c r="J7" s="479">
        <f>IFERROR(VLOOKUP(J$1,'žádosti MPSV 2020'!$SF$8:$VN$276,60,FALSE),0)</f>
        <v>2915400</v>
      </c>
      <c r="K7" s="479">
        <f>IFERROR(VLOOKUP(K$1,'žádosti MPSV 2020'!$SF$8:$VN$276,60,FALSE),0)</f>
        <v>5988080</v>
      </c>
      <c r="L7" s="479">
        <f>IFERROR(VLOOKUP(L$1,'žádosti MPSV 2020'!$SF$8:$VN$276,60,FALSE),0)</f>
        <v>4702400</v>
      </c>
      <c r="M7" s="479">
        <f>IFERROR(VLOOKUP(M$1,'žádosti MPSV 2020'!$SF$8:$VN$276,60,FALSE),0)</f>
        <v>4800000</v>
      </c>
      <c r="N7" s="479">
        <f>IFERROR(VLOOKUP(N$1,'žádosti MPSV 2020'!$SF$8:$VN$276,60,FALSE),0)</f>
        <v>6300000</v>
      </c>
      <c r="O7" s="479">
        <f>IFERROR(VLOOKUP(O$1,'žádosti MPSV 2020'!$SF$8:$VN$276,60,FALSE),0)</f>
        <v>4346141</v>
      </c>
      <c r="P7" s="479">
        <f>IFERROR(VLOOKUP(P$1,'žádosti MPSV 2020'!$SF$8:$VN$276,60,FALSE),0)</f>
        <v>2694928</v>
      </c>
      <c r="Q7" s="479">
        <f>IFERROR(VLOOKUP(Q$1,'žádosti MPSV 2020'!$SF$8:$VN$276,60,FALSE),0)</f>
        <v>2795000</v>
      </c>
      <c r="R7" s="479">
        <f>IFERROR(VLOOKUP(R$1,'žádosti MPSV 2020'!$SF$8:$VN$276,60,FALSE),0)</f>
        <v>2091000</v>
      </c>
      <c r="S7" s="479">
        <f>IFERROR(VLOOKUP(S$1,'žádosti MPSV 2020'!$SF$8:$VN$276,60,FALSE),0)</f>
        <v>1735000</v>
      </c>
      <c r="T7" s="479">
        <f>IFERROR(VLOOKUP(T$1,'žádosti MPSV 2020'!$SF$8:$VN$276,60,FALSE),0)</f>
        <v>698000</v>
      </c>
      <c r="U7" s="479">
        <f>IFERROR(VLOOKUP(U$1,'žádosti MPSV 2020'!$SF$8:$VN$276,60,FALSE),0)</f>
        <v>1087500</v>
      </c>
      <c r="V7" s="479">
        <f>IFERROR(VLOOKUP(V$1,'žádosti MPSV 2020'!$SF$8:$VN$276,60,FALSE),0)</f>
        <v>9285000</v>
      </c>
      <c r="W7" s="479">
        <f>IFERROR(VLOOKUP(W$1,'žádosti MPSV 2020'!$SF$8:$VN$276,60,FALSE),0)</f>
        <v>2130000</v>
      </c>
      <c r="X7" s="479">
        <f>IFERROR(VLOOKUP(X$1,'žádosti MPSV 2020'!$SF$8:$VN$276,60,FALSE),0)</f>
        <v>2988500</v>
      </c>
      <c r="Y7" s="479">
        <f>IFERROR(VLOOKUP(Y$1,'žádosti MPSV 2020'!$SF$8:$VN$276,60,FALSE),0)</f>
        <v>1770700</v>
      </c>
      <c r="Z7" s="479">
        <f>IFERROR(VLOOKUP(Z$1,'žádosti MPSV 2020'!$SF$8:$VN$276,60,FALSE),0)</f>
        <v>7231924</v>
      </c>
      <c r="AA7" s="479">
        <f>IFERROR(VLOOKUP(AA$1,'žádosti MPSV 2020'!$SF$8:$VN$276,60,FALSE),0)</f>
        <v>4621783</v>
      </c>
      <c r="AB7" s="479">
        <f>IFERROR(VLOOKUP(AB$1,'žádosti MPSV 2020'!$SF$8:$VN$276,60,FALSE),0)</f>
        <v>4630000</v>
      </c>
      <c r="AC7" s="479"/>
      <c r="AD7" s="479">
        <f>IFERROR(VLOOKUP(AD$1,'žádosti MPSV 2020'!$SF$8:$VN$276,60,FALSE),0)</f>
        <v>2672000</v>
      </c>
      <c r="AE7" s="479">
        <f>IFERROR(VLOOKUP(AE$1,'žádosti MPSV 2020'!$SF$8:$VN$276,60,FALSE),0)</f>
        <v>805640</v>
      </c>
      <c r="AF7" s="479">
        <f>IFERROR(VLOOKUP(AF$1,'žádosti MPSV 2020'!$SF$8:$VN$276,60,FALSE),0)</f>
        <v>1425292</v>
      </c>
      <c r="AG7" s="479">
        <f>IFERROR(VLOOKUP(AG$1,'žádosti MPSV 2020'!$SF$8:$VN$276,60,FALSE),0)</f>
        <v>3596000</v>
      </c>
      <c r="AH7" s="479">
        <f>IFERROR(VLOOKUP(AH$1,'žádosti MPSV 2020'!$SF$8:$VN$276,60,FALSE),0)</f>
        <v>760000</v>
      </c>
      <c r="AI7" s="479">
        <f>IFERROR(VLOOKUP(AI$1,'žádosti MPSV 2020'!$SF$8:$VN$276,60,FALSE),0)</f>
        <v>3404000</v>
      </c>
      <c r="AJ7" s="479">
        <f>IFERROR(VLOOKUP(AJ$1,'žádosti MPSV 2020'!$SF$8:$VN$276,60,FALSE),0)</f>
        <v>2585000</v>
      </c>
      <c r="AK7" s="479">
        <f>IFERROR(VLOOKUP(AK$1,'žádosti MPSV 2020'!$SF$8:$VN$276,60,FALSE),0)</f>
        <v>1251400</v>
      </c>
      <c r="AL7" s="479">
        <f>IFERROR(VLOOKUP(AL$1,'žádosti MPSV 2020'!$SF$8:$VN$276,60,FALSE),0)</f>
        <v>2630000</v>
      </c>
      <c r="AM7" s="479">
        <f>IFERROR(VLOOKUP(AM$1,'žádosti MPSV 2020'!$SF$8:$VN$276,60,FALSE),0)</f>
        <v>1634492</v>
      </c>
      <c r="AN7" s="479">
        <f>IFERROR(VLOOKUP(AN$1,'žádosti MPSV 2020'!$SF$8:$VN$276,60,FALSE),0)</f>
        <v>1177000</v>
      </c>
      <c r="AO7" s="479">
        <f>IFERROR(VLOOKUP(AO$1,'žádosti MPSV 2020'!$SF$8:$VN$276,60,FALSE),0)</f>
        <v>5500000</v>
      </c>
      <c r="AP7" s="479">
        <f>IFERROR(VLOOKUP(AP$1,'žádosti MPSV 2020'!$SF$8:$VN$276,60,FALSE),0)</f>
        <v>2220000</v>
      </c>
      <c r="AQ7" s="479">
        <f>IFERROR(VLOOKUP(AQ$1,'žádosti MPSV 2020'!$SF$8:$VN$276,60,FALSE),0)</f>
        <v>491000</v>
      </c>
      <c r="AR7" s="479">
        <f>IFERROR(VLOOKUP(AR$1,'žádosti MPSV 2020'!$SF$8:$VN$276,60,FALSE),0)</f>
        <v>1929000</v>
      </c>
      <c r="AS7" s="479">
        <f>IFERROR(VLOOKUP(AS$1,'žádosti MPSV 2020'!$SF$8:$VN$276,60,FALSE),0)</f>
        <v>640200</v>
      </c>
      <c r="AT7" s="479">
        <f>IFERROR(VLOOKUP(AT$1,'žádosti MPSV 2020'!$SF$8:$VN$276,60,FALSE),0)</f>
        <v>2900000</v>
      </c>
      <c r="AU7" s="479">
        <f>IFERROR(VLOOKUP(AU$1,'žádosti MPSV 2020'!$SF$8:$VN$276,60,FALSE),0)</f>
        <v>1416300</v>
      </c>
      <c r="AV7" s="479">
        <f>IFERROR(VLOOKUP(AV$1,'žádosti MPSV 2020'!$SF$8:$VN$276,60,FALSE),0)</f>
        <v>2235500</v>
      </c>
      <c r="AW7" s="479">
        <f>IFERROR(VLOOKUP(AW$1,'žádosti MPSV 2020'!$SF$8:$VN$276,60,FALSE),0)</f>
        <v>3142100</v>
      </c>
      <c r="AX7" s="479">
        <f>IFERROR(VLOOKUP(AX$1,'žádosti MPSV 2020'!$SF$8:$VN$276,60,FALSE),0)</f>
        <v>3395000</v>
      </c>
      <c r="AY7" s="479">
        <f>IFERROR(VLOOKUP(AY$1,'žádosti MPSV 2020'!$SF$8:$VN$276,60,FALSE),0)</f>
        <v>3471000</v>
      </c>
      <c r="AZ7" s="479">
        <f>IFERROR(VLOOKUP(AZ$1,'žádosti MPSV 2020'!$SF$8:$VN$276,60,FALSE),0)</f>
        <v>2981000</v>
      </c>
      <c r="BA7" s="479">
        <f>IFERROR(VLOOKUP(BA$1,'žádosti MPSV 2020'!$SF$8:$VN$276,60,FALSE),0)</f>
        <v>9230000</v>
      </c>
      <c r="BB7" s="479">
        <f>IFERROR(VLOOKUP(BB$1,'žádosti MPSV 2020'!$SF$8:$VN$276,60,FALSE),0)</f>
        <v>1312920</v>
      </c>
      <c r="BC7" s="479">
        <f>IFERROR(VLOOKUP(BC$1,'žádosti MPSV 2020'!$SF$8:$VN$276,60,FALSE),0)</f>
        <v>1668800</v>
      </c>
      <c r="BD7" s="479">
        <f>IFERROR(VLOOKUP(BD$1,'žádosti MPSV 2020'!$SF$8:$VN$276,60,FALSE),0)</f>
        <v>2208600</v>
      </c>
      <c r="BE7" s="479">
        <f>IFERROR(VLOOKUP(BE$1,'žádosti MPSV 2020'!$SF$8:$VN$276,60,FALSE),0)</f>
        <v>1290900</v>
      </c>
      <c r="BF7" s="479">
        <f>IFERROR(VLOOKUP(BF$1,'žádosti MPSV 2020'!$SF$8:$VN$276,60,FALSE),0)</f>
        <v>2020000</v>
      </c>
      <c r="BG7" s="479">
        <f>IFERROR(VLOOKUP(BG$1,'žádosti MPSV 2020'!$SF$8:$VN$276,60,FALSE),0)</f>
        <v>2499000</v>
      </c>
      <c r="BH7" s="479">
        <f>IFERROR(VLOOKUP(BH$1,'žádosti MPSV 2020'!$SF$8:$VN$276,60,FALSE),0)</f>
        <v>3206000</v>
      </c>
      <c r="BI7" s="479">
        <f>IFERROR(VLOOKUP(BI$1,'žádosti MPSV 2020'!$SF$8:$VN$276,60,FALSE),0)</f>
        <v>1270000</v>
      </c>
      <c r="BJ7" s="479">
        <f>IFERROR(VLOOKUP(BJ$1,'žádosti MPSV 2020'!$SF$8:$VN$276,60,FALSE),0)</f>
        <v>3539000</v>
      </c>
      <c r="BK7" s="479">
        <f>IFERROR(VLOOKUP(BK$1,'žádosti MPSV 2020'!$SF$8:$VN$276,60,FALSE),0)</f>
        <v>100000</v>
      </c>
      <c r="BL7" s="479">
        <f>IFERROR(VLOOKUP(BL$1,'žádosti MPSV 2020'!$SF$8:$VN$276,60,FALSE),0)</f>
        <v>1000000</v>
      </c>
      <c r="BM7" s="479">
        <f>IFERROR(VLOOKUP(BM$1,'žádosti MPSV 2020'!$SF$8:$VN$276,60,FALSE),0)</f>
        <v>1464826</v>
      </c>
      <c r="BN7" s="479">
        <f>IFERROR(VLOOKUP(BN$1,'žádosti MPSV 2020'!$SF$8:$VN$276,60,FALSE),0)</f>
        <v>1902000</v>
      </c>
      <c r="BO7" s="479">
        <f>IFERROR(VLOOKUP(BO$1,'žádosti MPSV 2020'!$SF$8:$VN$276,60,FALSE),0)</f>
        <v>1072000</v>
      </c>
      <c r="BP7" s="479">
        <f>IFERROR(VLOOKUP(BP$1,'žádosti MPSV 2020'!$SF$8:$VN$276,60,FALSE),0)</f>
        <v>4739080</v>
      </c>
      <c r="BQ7" s="479">
        <f>IFERROR(VLOOKUP(BQ$1,'žádosti MPSV 2020'!$SF$8:$VN$276,60,FALSE),0)</f>
        <v>112726</v>
      </c>
      <c r="BR7" s="479">
        <f>IFERROR(VLOOKUP(BR$1,'žádosti MPSV 2020'!$SF$8:$VN$276,60,FALSE),0)</f>
        <v>1013021</v>
      </c>
      <c r="BS7" s="479">
        <f>IFERROR(VLOOKUP(BS$1,'žádosti MPSV 2020'!$SF$8:$VN$276,60,FALSE),0)</f>
        <v>1408027</v>
      </c>
      <c r="BT7" s="479">
        <f>IFERROR(VLOOKUP(BT$1,'žádosti MPSV 2020'!$SF$8:$VN$276,60,FALSE),0)</f>
        <v>956642</v>
      </c>
      <c r="BU7" s="479">
        <f>IFERROR(VLOOKUP(BU$1,'žádosti MPSV 2020'!$SF$8:$VN$276,60,FALSE),0)</f>
        <v>5554950</v>
      </c>
      <c r="BV7" s="479">
        <f>IFERROR(VLOOKUP(BV$1,'žádosti MPSV 2020'!$SF$8:$VN$276,60,FALSE),0)</f>
        <v>1310620</v>
      </c>
      <c r="BW7" s="479">
        <f>IFERROR(VLOOKUP(BW$1,'žádosti MPSV 2020'!$SF$8:$VN$276,60,FALSE),0)</f>
        <v>590000</v>
      </c>
      <c r="BX7" s="479">
        <f>IFERROR(VLOOKUP(BX$1,'žádosti MPSV 2020'!$SF$8:$VN$276,60,FALSE),0)</f>
        <v>5228000</v>
      </c>
      <c r="BY7" s="479">
        <f>IFERROR(VLOOKUP(BY$1,'žádosti MPSV 2020'!$SF$8:$VN$276,60,FALSE),0)</f>
        <v>1945000</v>
      </c>
      <c r="BZ7" s="479">
        <f>IFERROR(VLOOKUP(BZ$1,'žádosti MPSV 2020'!$SF$8:$VN$276,60,FALSE),0)</f>
        <v>398000</v>
      </c>
      <c r="CA7" s="479">
        <f>IFERROR(VLOOKUP(CA$1,'žádosti MPSV 2020'!$SF$8:$VN$276,60,FALSE),0)</f>
        <v>0</v>
      </c>
      <c r="CB7" s="479">
        <f>IFERROR(VLOOKUP(CB$1,'žádosti MPSV 2020'!$SF$8:$VN$276,60,FALSE),0)</f>
        <v>695000</v>
      </c>
      <c r="CC7" s="479">
        <f>IFERROR(VLOOKUP(CC$1,'žádosti MPSV 2020'!$SF$8:$VN$276,60,FALSE),0)</f>
        <v>2747000</v>
      </c>
      <c r="CD7" s="479">
        <f>IFERROR(VLOOKUP(CD$1,'žádosti MPSV 2020'!$SF$8:$VN$276,60,FALSE),0)</f>
        <v>991000</v>
      </c>
      <c r="CE7" s="479">
        <f>IFERROR(VLOOKUP(CE$1,'žádosti MPSV 2020'!$SF$8:$VN$276,60,FALSE),0)</f>
        <v>11492000</v>
      </c>
      <c r="CF7" s="479">
        <f>IFERROR(VLOOKUP(CF$1,'žádosti MPSV 2020'!$SF$8:$VN$276,60,FALSE),0)</f>
        <v>4720790</v>
      </c>
      <c r="CG7" s="479">
        <f>IFERROR(VLOOKUP(CG$1,'žádosti MPSV 2020'!$SF$8:$VN$276,60,FALSE),0)</f>
        <v>1390000</v>
      </c>
      <c r="CH7" s="479">
        <f>IFERROR(VLOOKUP(CH$1,'žádosti MPSV 2020'!$SF$8:$VN$276,60,FALSE),0)</f>
        <v>3703000</v>
      </c>
      <c r="CI7" s="479">
        <f>IFERROR(VLOOKUP(CI$1,'žádosti MPSV 2020'!$SF$8:$VN$276,60,FALSE),0)</f>
        <v>3270000</v>
      </c>
      <c r="CJ7" s="479">
        <f>IFERROR(VLOOKUP(CJ$1,'žádosti MPSV 2020'!$SF$8:$VN$276,60,FALSE),0)</f>
        <v>4513515</v>
      </c>
      <c r="CK7" s="479">
        <f>IFERROR(VLOOKUP(CK$1,'žádosti MPSV 2020'!$SF$8:$VN$276,60,FALSE),0)</f>
        <v>4542000</v>
      </c>
      <c r="CL7" s="479">
        <f>IFERROR(VLOOKUP(CL$1,'žádosti MPSV 2020'!$SF$8:$VN$276,60,FALSE),0)</f>
        <v>3015000</v>
      </c>
      <c r="CM7" s="479">
        <f>IFERROR(VLOOKUP(CM$1,'žádosti MPSV 2020'!$SF$8:$VN$276,60,FALSE),0)</f>
        <v>7604514</v>
      </c>
      <c r="CN7" s="479">
        <f>IFERROR(VLOOKUP(CN$1,'žádosti MPSV 2020'!$SF$8:$VN$276,60,FALSE),0)</f>
        <v>1507362</v>
      </c>
      <c r="CO7" s="479">
        <f>IFERROR(VLOOKUP(CO$1,'žádosti MPSV 2020'!$SF$8:$VN$276,60,FALSE),0)</f>
        <v>1546768</v>
      </c>
      <c r="CP7" s="479">
        <f>IFERROR(VLOOKUP(CP$1,'žádosti MPSV 2020'!$SF$8:$VN$276,60,FALSE),0)</f>
        <v>1478852</v>
      </c>
      <c r="CQ7" s="479">
        <f>IFERROR(VLOOKUP(CQ$1,'žádosti MPSV 2020'!$SF$8:$VN$276,60,FALSE),0)</f>
        <v>6470764</v>
      </c>
      <c r="CR7" s="479">
        <f>IFERROR(VLOOKUP(CR$1,'žádosti MPSV 2020'!$SF$8:$VN$276,60,FALSE),0)</f>
        <v>2331094</v>
      </c>
      <c r="CS7" s="479">
        <f>IFERROR(VLOOKUP(CS$1,'žádosti MPSV 2020'!$SF$8:$VN$276,60,FALSE),0)</f>
        <v>3298929</v>
      </c>
      <c r="CT7" s="479">
        <f>IFERROR(VLOOKUP(CT$1,'žádosti MPSV 2020'!$SF$8:$VN$276,60,FALSE),0)</f>
        <v>5705918</v>
      </c>
      <c r="CU7" s="479">
        <f>IFERROR(VLOOKUP(CU$1,'žádosti MPSV 2020'!$SF$8:$VN$276,60,FALSE),0)</f>
        <v>1875000</v>
      </c>
      <c r="CV7" s="479">
        <f>IFERROR(VLOOKUP(CV$1,'žádosti MPSV 2020'!$SF$8:$VN$276,60,FALSE),0)</f>
        <v>6960000</v>
      </c>
      <c r="CW7" s="479">
        <f>IFERROR(VLOOKUP(CW$1,'žádosti MPSV 2020'!$SF$8:$VN$276,60,FALSE),0)</f>
        <v>400000</v>
      </c>
      <c r="CX7" s="479">
        <f>IFERROR(VLOOKUP(CX$1,'žádosti MPSV 2020'!$SF$8:$VN$276,60,FALSE),0)</f>
        <v>3457000</v>
      </c>
      <c r="CY7" s="479">
        <f>IFERROR(VLOOKUP(CY$1,'žádosti MPSV 2020'!$SF$8:$VN$276,60,FALSE),0)</f>
        <v>3240000</v>
      </c>
      <c r="CZ7" s="479">
        <f>IFERROR(VLOOKUP(CZ$1,'žádosti MPSV 2020'!$SF$8:$VN$276,60,FALSE),0)</f>
        <v>371000</v>
      </c>
      <c r="DA7" s="479">
        <f>IFERROR(VLOOKUP(DA$1,'žádosti MPSV 2020'!$SF$8:$VN$276,60,FALSE),0)</f>
        <v>7650000</v>
      </c>
      <c r="DB7" s="479">
        <f>IFERROR(VLOOKUP(DB$1,'žádosti MPSV 2020'!$SF$8:$VN$276,60,FALSE),0)</f>
        <v>760808</v>
      </c>
      <c r="DC7" s="479">
        <f>IFERROR(VLOOKUP(DC$1,'žádosti MPSV 2020'!$SF$8:$VN$276,60,FALSE),0)</f>
        <v>2030000</v>
      </c>
      <c r="DD7" s="479">
        <f>IFERROR(VLOOKUP(DD$1,'žádosti MPSV 2020'!$SF$8:$VN$276,60,FALSE),0)</f>
        <v>5300000</v>
      </c>
      <c r="DE7" s="479">
        <f>IFERROR(VLOOKUP(DE$1,'žádosti MPSV 2020'!$SF$8:$VN$276,60,FALSE),0)</f>
        <v>2810000</v>
      </c>
      <c r="DF7" s="479">
        <f>IFERROR(VLOOKUP(DF$1,'žádosti MPSV 2020'!$SF$8:$VN$276,60,FALSE),0)</f>
        <v>4660760</v>
      </c>
      <c r="DG7" s="479">
        <f>IFERROR(VLOOKUP(DG$1,'žádosti MPSV 2020'!$SF$8:$VN$276,60,FALSE),0)</f>
        <v>1865426</v>
      </c>
      <c r="DH7" s="479">
        <f>IFERROR(VLOOKUP(DH$1,'žádosti MPSV 2020'!$SF$8:$VN$276,60,FALSE),0)</f>
        <v>2425434</v>
      </c>
      <c r="DI7" s="479">
        <f>IFERROR(VLOOKUP(DI$1,'žádosti MPSV 2020'!$SF$8:$VN$276,60,FALSE),0)</f>
        <v>1393074</v>
      </c>
      <c r="DJ7" s="479">
        <f>IFERROR(VLOOKUP(DJ$1,'žádosti MPSV 2020'!$SF$8:$VN$276,60,FALSE),0)</f>
        <v>1920826</v>
      </c>
      <c r="DK7" s="479">
        <f>IFERROR(VLOOKUP(DK$1,'žádosti MPSV 2020'!$SF$8:$VN$276,60,FALSE),0)</f>
        <v>2417346</v>
      </c>
      <c r="DL7" s="479">
        <f>IFERROR(VLOOKUP(DL$1,'žádosti MPSV 2020'!$SF$8:$VN$276,60,FALSE),0)</f>
        <v>7306533</v>
      </c>
      <c r="DM7" s="479">
        <f>IFERROR(VLOOKUP(DM$1,'žádosti MPSV 2020'!$SF$8:$VN$276,60,FALSE),0)</f>
        <v>2395000</v>
      </c>
      <c r="DN7" s="479">
        <f>IFERROR(VLOOKUP(DN$1,'žádosti MPSV 2020'!$SF$8:$VN$276,60,FALSE),0)</f>
        <v>3689667</v>
      </c>
      <c r="DO7" s="479">
        <f>IFERROR(VLOOKUP(DO$1,'žádosti MPSV 2020'!$SF$8:$VN$276,60,FALSE),0)</f>
        <v>1734000</v>
      </c>
      <c r="DP7" s="479">
        <f>IFERROR(VLOOKUP(DP$1,'žádosti MPSV 2020'!$SF$8:$VN$276,60,FALSE),0)</f>
        <v>4315763</v>
      </c>
      <c r="DQ7" s="479">
        <f>IFERROR(VLOOKUP(DQ$1,'žádosti MPSV 2020'!$SF$8:$VN$276,60,FALSE),0)</f>
        <v>4013645</v>
      </c>
      <c r="DR7" s="479">
        <f>IFERROR(VLOOKUP(DR$1,'žádosti MPSV 2020'!$SF$8:$VN$276,60,FALSE),0)</f>
        <v>4423025</v>
      </c>
      <c r="DS7" s="479">
        <f>IFERROR(VLOOKUP(DS$1,'žádosti MPSV 2020'!$SF$8:$VN$276,60,FALSE),0)</f>
        <v>878000</v>
      </c>
      <c r="DT7" s="479">
        <f>IFERROR(VLOOKUP(DT$1,'žádosti MPSV 2020'!$SF$8:$VN$276,60,FALSE),0)</f>
        <v>3515000</v>
      </c>
      <c r="DU7" s="479">
        <f>IFERROR(VLOOKUP(DU$1,'žádosti MPSV 2020'!$SF$8:$VN$276,60,FALSE),0)</f>
        <v>0</v>
      </c>
      <c r="DV7" s="479">
        <f>IFERROR(VLOOKUP(DV$1,'žádosti MPSV 2020'!$SF$8:$VN$276,60,FALSE),0)</f>
        <v>4423333</v>
      </c>
      <c r="DW7" s="479">
        <f>IFERROR(VLOOKUP(DW$1,'žádosti MPSV 2020'!$SF$8:$VN$276,60,FALSE),0)</f>
        <v>0</v>
      </c>
      <c r="DX7" s="479">
        <f>IFERROR(VLOOKUP(DX$1,'žádosti MPSV 2020'!$SF$8:$VN$276,60,FALSE),0)</f>
        <v>0</v>
      </c>
      <c r="DY7" s="479">
        <f>IFERROR(VLOOKUP(DY$1,'žádosti MPSV 2020'!$SF$8:$VN$276,60,FALSE),0)</f>
        <v>6070000</v>
      </c>
      <c r="DZ7" s="479">
        <f>IFERROR(VLOOKUP(DZ$1,'žádosti MPSV 2020'!$SF$8:$VN$276,60,FALSE),0)</f>
        <v>924000</v>
      </c>
      <c r="EA7" s="479">
        <f>IFERROR(VLOOKUP(EA$1,'žádosti MPSV 2020'!$SF$8:$VN$276,60,FALSE),0)</f>
        <v>3910500</v>
      </c>
      <c r="EB7" s="479">
        <f>IFERROR(VLOOKUP(EB$1,'žádosti MPSV 2020'!$SF$8:$VN$276,60,FALSE),0)</f>
        <v>6185772</v>
      </c>
      <c r="EC7" s="479">
        <f>IFERROR(VLOOKUP(EC$1,'žádosti MPSV 2020'!$SF$8:$VN$276,60,FALSE),0)</f>
        <v>4509620</v>
      </c>
      <c r="ED7" s="479">
        <f>IFERROR(VLOOKUP(ED$1,'žádosti MPSV 2020'!$SF$8:$VN$276,60,FALSE),0)</f>
        <v>3945350</v>
      </c>
      <c r="EE7" s="479">
        <f>IFERROR(VLOOKUP(EE$1,'žádosti MPSV 2020'!$SF$8:$VN$276,60,FALSE),0)</f>
        <v>610000</v>
      </c>
      <c r="EF7" s="479">
        <f>IFERROR(VLOOKUP(EF$1,'žádosti MPSV 2020'!$SF$8:$VN$276,60,FALSE),0)</f>
        <v>666000</v>
      </c>
      <c r="EG7" s="479">
        <f>IFERROR(VLOOKUP(EG$1,'žádosti MPSV 2020'!$SF$8:$VN$276,60,FALSE),0)</f>
        <v>425000</v>
      </c>
      <c r="EH7" s="479">
        <f>IFERROR(VLOOKUP(EH$1,'žádosti MPSV 2020'!$SF$8:$VN$276,60,FALSE),0)</f>
        <v>595000</v>
      </c>
      <c r="EI7" s="479">
        <f>IFERROR(VLOOKUP(EI$1,'žádosti MPSV 2020'!$SF$8:$VN$276,60,FALSE),0)</f>
        <v>1025000</v>
      </c>
      <c r="EJ7" s="479">
        <f>IFERROR(VLOOKUP(EJ$1,'žádosti MPSV 2020'!$SF$8:$VN$276,60,FALSE),0)</f>
        <v>1254497</v>
      </c>
      <c r="EK7" s="479">
        <f>IFERROR(VLOOKUP(EK$1,'žádosti MPSV 2020'!$SF$8:$VN$276,60,FALSE),0)</f>
        <v>5250700</v>
      </c>
      <c r="EL7" s="479">
        <f>IFERROR(VLOOKUP(EL$1,'žádosti MPSV 2020'!$SF$8:$VN$276,60,FALSE),0)</f>
        <v>10921600</v>
      </c>
      <c r="EM7" s="479">
        <f>IFERROR(VLOOKUP(EM$1,'žádosti MPSV 2020'!$SF$8:$VN$276,60,FALSE),0)</f>
        <v>4256000</v>
      </c>
      <c r="EN7" s="479">
        <f>IFERROR(VLOOKUP(EN$1,'žádosti MPSV 2020'!$SF$8:$VN$276,60,FALSE),0)</f>
        <v>2526602</v>
      </c>
      <c r="EO7" s="479">
        <f>IFERROR(VLOOKUP(EO$1,'žádosti MPSV 2020'!$SF$8:$VN$276,60,FALSE),0)</f>
        <v>413760</v>
      </c>
      <c r="EP7" s="479">
        <f>IFERROR(VLOOKUP(EP$1,'žádosti MPSV 2020'!$SF$8:$VN$276,60,FALSE),0)</f>
        <v>2970065</v>
      </c>
      <c r="EQ7" s="479">
        <f>IFERROR(VLOOKUP(EQ$1,'žádosti MPSV 2020'!$SF$8:$VN$276,60,FALSE),0)</f>
        <v>2886486</v>
      </c>
      <c r="ER7" s="479">
        <f>IFERROR(VLOOKUP(ER$1,'žádosti MPSV 2020'!$SF$8:$VN$276,60,FALSE),0)</f>
        <v>6229000</v>
      </c>
      <c r="ES7" s="479">
        <f>IFERROR(VLOOKUP(ES$1,'žádosti MPSV 2020'!$SF$8:$VN$276,60,FALSE),0)</f>
        <v>3480000</v>
      </c>
      <c r="ET7" s="479">
        <f>IFERROR(VLOOKUP(ET$1,'žádosti MPSV 2020'!$SF$8:$VN$276,60,FALSE),0)</f>
        <v>901340</v>
      </c>
      <c r="EU7" s="479">
        <f>IFERROR(VLOOKUP(EU$1,'žádosti MPSV 2020'!$SF$8:$VN$276,60,FALSE),0)</f>
        <v>2056000</v>
      </c>
      <c r="EV7" s="479">
        <f>IFERROR(VLOOKUP(EV$1,'žádosti MPSV 2020'!$SF$8:$VN$276,60,FALSE),0)</f>
        <v>650000</v>
      </c>
      <c r="EW7" s="479">
        <f>IFERROR(VLOOKUP(EW$1,'žádosti MPSV 2020'!$SF$8:$VN$276,60,FALSE),0)</f>
        <v>2800000</v>
      </c>
      <c r="EX7" s="479">
        <f>IFERROR(VLOOKUP(EX$1,'žádosti MPSV 2020'!$SF$8:$VN$276,60,FALSE),0)</f>
        <v>7200000</v>
      </c>
      <c r="EY7" s="479">
        <f>IFERROR(VLOOKUP(EY$1,'žádosti MPSV 2020'!$SF$8:$VN$276,60,FALSE),0)</f>
        <v>2500000</v>
      </c>
      <c r="EZ7" s="479">
        <f>IFERROR(VLOOKUP(EZ$1,'žádosti MPSV 2020'!$SF$8:$VN$276,60,FALSE),0)</f>
        <v>270000</v>
      </c>
      <c r="FA7" s="479">
        <f>IFERROR(VLOOKUP(FA$1,'žádosti MPSV 2020'!$SF$8:$VN$276,60,FALSE),0)</f>
        <v>990000</v>
      </c>
      <c r="FB7" s="479">
        <f>IFERROR(VLOOKUP(FB$1,'žádosti MPSV 2020'!$SF$8:$VN$276,60,FALSE),0)</f>
        <v>233682</v>
      </c>
      <c r="FC7" s="479">
        <f>IFERROR(VLOOKUP(FC$1,'žádosti MPSV 2020'!$SF$8:$VN$276,60,FALSE),0)</f>
        <v>5000000</v>
      </c>
      <c r="FD7" s="479">
        <f>IFERROR(VLOOKUP(FD$1,'žádosti MPSV 2020'!$SF$8:$VN$276,60,FALSE),0)</f>
        <v>1200000</v>
      </c>
      <c r="FE7" s="479">
        <f>IFERROR(VLOOKUP(FE$1,'žádosti MPSV 2020'!$SF$8:$VN$276,60,FALSE),0)</f>
        <v>390000</v>
      </c>
      <c r="FF7" s="479">
        <f>IFERROR(VLOOKUP(FF$1,'žádosti MPSV 2020'!$SF$8:$VN$276,60,FALSE),0)</f>
        <v>1561200</v>
      </c>
      <c r="FG7" s="479">
        <f>IFERROR(VLOOKUP(FG$1,'žádosti MPSV 2020'!$SF$8:$VN$276,60,FALSE),0)</f>
        <v>5703200</v>
      </c>
      <c r="FH7" s="479">
        <f>IFERROR(VLOOKUP(FH$1,'žádosti MPSV 2020'!$SF$8:$VN$276,60,FALSE),0)</f>
        <v>6594603</v>
      </c>
      <c r="FI7" s="479">
        <f>IFERROR(VLOOKUP(FI$1,'žádosti MPSV 2020'!$SF$8:$VN$276,60,FALSE),0)</f>
        <v>7800000</v>
      </c>
      <c r="FJ7" s="479">
        <f>IFERROR(VLOOKUP(FJ$1,'žádosti MPSV 2020'!$SF$8:$VN$276,60,FALSE),0)</f>
        <v>2200000</v>
      </c>
      <c r="FK7" s="479">
        <f>IFERROR(VLOOKUP(FK$1,'žádosti MPSV 2020'!$SF$8:$VN$276,60,FALSE),0)</f>
        <v>937000</v>
      </c>
      <c r="FL7" s="479">
        <f>IFERROR(VLOOKUP(FL$1,'žádosti MPSV 2020'!$SF$8:$VN$276,60,FALSE),0)</f>
        <v>965000</v>
      </c>
      <c r="FM7" s="479">
        <f>IFERROR(VLOOKUP(FM$1,'žádosti MPSV 2020'!$SF$8:$VN$276,60,FALSE),0)</f>
        <v>4500000</v>
      </c>
      <c r="FN7" s="479">
        <f>IFERROR(VLOOKUP(FN$1,'žádosti MPSV 2020'!$SF$8:$VN$276,60,FALSE),0)</f>
        <v>8082419</v>
      </c>
      <c r="FO7" s="479">
        <f>IFERROR(VLOOKUP(FO$1,'žádosti MPSV 2020'!$SF$8:$VN$276,60,FALSE),0)</f>
        <v>2666678</v>
      </c>
      <c r="FP7" s="479">
        <f>IFERROR(VLOOKUP(FP$1,'žádosti MPSV 2020'!$SF$8:$VN$276,60,FALSE),0)</f>
        <v>16758000</v>
      </c>
      <c r="FQ7" s="479">
        <f>IFERROR(VLOOKUP(FQ$1,'žádosti MPSV 2020'!$SF$8:$VN$276,60,FALSE),0)</f>
        <v>2142886</v>
      </c>
      <c r="FR7" s="479">
        <f>IFERROR(VLOOKUP(FR$1,'žádosti MPSV 2020'!$SF$8:$VN$276,60,FALSE),0)</f>
        <v>3986708</v>
      </c>
      <c r="FS7" s="479">
        <f>IFERROR(VLOOKUP(FS$1,'žádosti MPSV 2020'!$SF$8:$VN$276,60,FALSE),0)</f>
        <v>601500</v>
      </c>
      <c r="FT7" s="479">
        <f>IFERROR(VLOOKUP(FT$1,'žádosti MPSV 2020'!$SF$8:$VN$276,60,FALSE),0)</f>
        <v>4812000</v>
      </c>
      <c r="FU7" s="479">
        <f>IFERROR(VLOOKUP(FU$1,'žádosti MPSV 2020'!$SF$8:$VN$276,60,FALSE),0)</f>
        <v>552000</v>
      </c>
      <c r="FV7" s="479">
        <f>IFERROR(VLOOKUP(FV$1,'žádosti MPSV 2020'!$SF$8:$VN$276,60,FALSE),0)</f>
        <v>1105000</v>
      </c>
      <c r="FW7" s="479">
        <f>IFERROR(VLOOKUP(FW$1,'žádosti MPSV 2020'!$SF$8:$VN$276,60,FALSE),0)</f>
        <v>1800000</v>
      </c>
      <c r="FX7" s="479">
        <f>IFERROR(VLOOKUP(FX$1,'žádosti MPSV 2020'!$SF$8:$VN$276,60,FALSE),0)</f>
        <v>700000</v>
      </c>
      <c r="FY7" s="479">
        <f>IFERROR(VLOOKUP(FY$1,'žádosti MPSV 2020'!$SF$8:$VN$276,60,FALSE),0)</f>
        <v>200000</v>
      </c>
      <c r="FZ7" s="479">
        <f>IFERROR(VLOOKUP(FZ$1,'žádosti MPSV 2020'!$SF$8:$VN$276,60,FALSE),0)</f>
        <v>7690000</v>
      </c>
      <c r="GA7" s="479">
        <f>IFERROR(VLOOKUP(GA$1,'žádosti MPSV 2020'!$SF$8:$VN$276,60,FALSE),0)</f>
        <v>978000</v>
      </c>
      <c r="GB7" s="479">
        <f>IFERROR(VLOOKUP(GB$1,'žádosti MPSV 2020'!$SF$8:$VN$276,60,FALSE),0)</f>
        <v>4746000</v>
      </c>
      <c r="GC7" s="479">
        <f>IFERROR(VLOOKUP(GC$1,'žádosti MPSV 2020'!$SF$8:$VN$276,60,FALSE),0)</f>
        <v>2728000</v>
      </c>
      <c r="GD7" s="479">
        <f>IFERROR(VLOOKUP(GD$1,'žádosti MPSV 2020'!$SF$8:$VN$276,60,FALSE),0)</f>
        <v>11396000</v>
      </c>
      <c r="GE7" s="479">
        <f>IFERROR(VLOOKUP(GE$1,'žádosti MPSV 2020'!$SF$8:$VN$276,60,FALSE),0)</f>
        <v>1800000</v>
      </c>
      <c r="GF7" s="479">
        <f>IFERROR(VLOOKUP(GF$1,'žádosti MPSV 2020'!$SF$8:$VN$276,60,FALSE),0)</f>
        <v>5289602</v>
      </c>
      <c r="GG7" s="479">
        <f>IFERROR(VLOOKUP(GG$1,'žádosti MPSV 2020'!$SF$8:$VN$276,60,FALSE),0)</f>
        <v>1284855</v>
      </c>
      <c r="GH7" s="479">
        <f>IFERROR(VLOOKUP(GH$1,'žádosti MPSV 2020'!$SF$8:$VN$276,60,FALSE),0)</f>
        <v>1054717</v>
      </c>
      <c r="GI7" s="479">
        <f>IFERROR(VLOOKUP(GI$1,'žádosti MPSV 2020'!$SF$8:$VN$276,60,FALSE),0)</f>
        <v>10416974</v>
      </c>
      <c r="GJ7" s="479">
        <f>IFERROR(VLOOKUP(GJ$1,'žádosti MPSV 2020'!$SF$8:$VN$276,60,FALSE),0)</f>
        <v>2195910</v>
      </c>
      <c r="GK7" s="479">
        <f>IFERROR(VLOOKUP(GK$1,'žádosti MPSV 2020'!$SF$8:$VN$276,60,FALSE),0)</f>
        <v>1100000</v>
      </c>
      <c r="GL7" s="479">
        <f>IFERROR(VLOOKUP(GL$1,'žádosti MPSV 2020'!$SF$8:$VN$276,60,FALSE),0)</f>
        <v>750000</v>
      </c>
      <c r="GM7" s="479">
        <f>IFERROR(VLOOKUP(GM$1,'žádosti MPSV 2020'!$SF$8:$VN$276,60,FALSE),0)</f>
        <v>930000</v>
      </c>
      <c r="GN7" s="479">
        <f>IFERROR(VLOOKUP(GN$1,'žádosti MPSV 2020'!$SF$8:$VN$276,60,FALSE),0)</f>
        <v>1018000</v>
      </c>
      <c r="GO7" s="479">
        <f>IFERROR(VLOOKUP(GO$1,'žádosti MPSV 2020'!$SF$8:$VN$276,60,FALSE),0)</f>
        <v>4777941</v>
      </c>
      <c r="GP7" s="479">
        <f>IFERROR(VLOOKUP(GP$1,'žádosti MPSV 2020'!$SF$8:$VN$276,60,FALSE),0)</f>
        <v>1889000</v>
      </c>
      <c r="GQ7" s="479">
        <f>IFERROR(VLOOKUP(GQ$1,'žádosti MPSV 2020'!$SF$8:$VN$276,60,FALSE),0)</f>
        <v>1000000</v>
      </c>
      <c r="GR7" s="479">
        <f>IFERROR(VLOOKUP(GR$1,'žádosti MPSV 2020'!$SF$8:$VN$276,60,FALSE),0)</f>
        <v>610000</v>
      </c>
      <c r="GS7" s="479">
        <f>IFERROR(VLOOKUP(GS$1,'žádosti MPSV 2020'!$SF$8:$VN$276,60,FALSE),0)</f>
        <v>180000</v>
      </c>
      <c r="GT7" s="479">
        <f>IFERROR(VLOOKUP(GT$1,'žádosti MPSV 2020'!$SF$8:$VN$276,60,FALSE),0)</f>
        <v>8922000</v>
      </c>
      <c r="GU7" s="479">
        <f>IFERROR(VLOOKUP(GU$1,'žádosti MPSV 2020'!$SF$8:$VN$276,60,FALSE),0)</f>
        <v>807440</v>
      </c>
      <c r="GV7" s="479">
        <f>IFERROR(VLOOKUP(GV$1,'žádosti MPSV 2020'!$SF$8:$VN$276,60,FALSE),0)</f>
        <v>5000000</v>
      </c>
      <c r="GW7" s="479">
        <f>IFERROR(VLOOKUP(GW$1,'žádosti MPSV 2020'!$SF$8:$VN$276,60,FALSE),0)</f>
        <v>1450000</v>
      </c>
      <c r="GX7" s="479">
        <f>IFERROR(VLOOKUP(GX$1,'žádosti MPSV 2020'!$SF$8:$VN$276,60,FALSE),0)</f>
        <v>150000</v>
      </c>
      <c r="GY7" s="479">
        <f>IFERROR(VLOOKUP(GY$1,'žádosti MPSV 2020'!$SF$8:$VN$276,60,FALSE),0)</f>
        <v>16000000</v>
      </c>
      <c r="GZ7" s="479">
        <f>IFERROR(VLOOKUP(GZ$1,'žádosti MPSV 2020'!$SF$8:$VN$276,60,FALSE),0)</f>
        <v>2110821</v>
      </c>
      <c r="HA7" s="479">
        <f>IFERROR(VLOOKUP(HA$1,'žádosti MPSV 2020'!$SF$8:$VN$276,60,FALSE),0)</f>
        <v>5200000</v>
      </c>
      <c r="HB7" s="479">
        <f>IFERROR(VLOOKUP(HB$1,'žádosti MPSV 2020'!$SF$8:$VN$276,60,FALSE),0)</f>
        <v>5600000</v>
      </c>
      <c r="HC7" s="479">
        <f>IFERROR(VLOOKUP(HC$1,'žádosti MPSV 2020'!$SF$8:$VN$276,60,FALSE),0)</f>
        <v>11200000</v>
      </c>
      <c r="HD7" s="479">
        <f>IFERROR(VLOOKUP(HD$1,'žádosti MPSV 2020'!$SF$8:$VN$276,60,FALSE),0)</f>
        <v>2188680</v>
      </c>
      <c r="HE7" s="479">
        <f>IFERROR(VLOOKUP(HE$1,'žádosti MPSV 2020'!$SF$8:$VN$276,60,FALSE),0)</f>
        <v>4945200</v>
      </c>
      <c r="HF7" s="479">
        <f>IFERROR(VLOOKUP(HF$1,'žádosti MPSV 2020'!$SF$8:$VN$276,60,FALSE),0)</f>
        <v>900000</v>
      </c>
      <c r="HG7" s="479">
        <f>IFERROR(VLOOKUP(HG$1,'žádosti MPSV 2020'!$SF$8:$VN$276,60,FALSE),0)</f>
        <v>865000</v>
      </c>
      <c r="HH7" s="479">
        <f>IFERROR(VLOOKUP(HH$1,'žádosti MPSV 2020'!$SF$8:$VN$276,60,FALSE),0)</f>
        <v>3950000</v>
      </c>
      <c r="HI7" s="479">
        <f>IFERROR(VLOOKUP(HI$1,'žádosti MPSV 2020'!$SF$8:$VN$276,60,FALSE),0)</f>
        <v>2500000</v>
      </c>
      <c r="HJ7" s="479">
        <f>IFERROR(VLOOKUP(HJ$1,'žádosti MPSV 2020'!$SF$8:$VN$276,60,FALSE),0)</f>
        <v>0</v>
      </c>
      <c r="HK7" s="479">
        <f>IFERROR(VLOOKUP(HK$1,'žádosti MPSV 2020'!$SF$8:$VN$276,60,FALSE),0)</f>
        <v>209300</v>
      </c>
      <c r="HL7" s="479">
        <f>IFERROR(VLOOKUP(HL$1,'žádosti MPSV 2020'!$SF$8:$VN$276,60,FALSE),0)</f>
        <v>50500000</v>
      </c>
      <c r="HM7" s="479">
        <f>IFERROR(VLOOKUP(HM$1,'žádosti MPSV 2020'!$SF$8:$VN$276,60,FALSE),0)</f>
        <v>30959000</v>
      </c>
      <c r="HN7" s="479">
        <f>IFERROR(VLOOKUP(HN$1,'žádosti MPSV 2020'!$SF$8:$VN$276,60,FALSE),0)</f>
        <v>1010000</v>
      </c>
      <c r="HO7" s="479">
        <f>IFERROR(VLOOKUP(HO$1,'žádosti MPSV 2020'!$SF$8:$VN$276,60,FALSE),0)</f>
        <v>0</v>
      </c>
      <c r="HP7" s="479">
        <f>IFERROR(VLOOKUP(HP$1,'žádosti MPSV 2020'!$SF$8:$VN$276,60,FALSE),0)</f>
        <v>27114000</v>
      </c>
      <c r="HQ7" s="479">
        <f>IFERROR(VLOOKUP(HQ$1,'žádosti MPSV 2020'!$SF$8:$VN$276,60,FALSE),0)</f>
        <v>700000</v>
      </c>
      <c r="HR7" s="479">
        <f>IFERROR(VLOOKUP(HR$1,'žádosti MPSV 2020'!$SF$8:$VN$276,60,FALSE),0)</f>
        <v>27500000</v>
      </c>
      <c r="HS7" s="479">
        <f>IFERROR(VLOOKUP(HS$1,'žádosti MPSV 2020'!$SF$8:$VN$276,60,FALSE),0)</f>
        <v>4600000</v>
      </c>
      <c r="HT7" s="479">
        <f>IFERROR(VLOOKUP(HT$1,'žádosti MPSV 2020'!$SF$8:$VN$276,60,FALSE),0)</f>
        <v>21000000</v>
      </c>
      <c r="HU7" s="479">
        <f>IFERROR(VLOOKUP(HU$1,'žádosti MPSV 2020'!$SF$8:$VN$276,60,FALSE),0)</f>
        <v>24100000</v>
      </c>
      <c r="HV7" s="479">
        <f>IFERROR(VLOOKUP(HV$1,'žádosti MPSV 2020'!$SF$8:$VN$276,60,FALSE),0)</f>
        <v>17580000</v>
      </c>
      <c r="HW7" s="479">
        <f>IFERROR(VLOOKUP(HW$1,'žádosti MPSV 2020'!$SF$8:$VN$276,60,FALSE),0)</f>
        <v>4562528</v>
      </c>
      <c r="HX7" s="479">
        <f>IFERROR(VLOOKUP(HX$1,'žádosti MPSV 2020'!$SF$8:$VN$276,60,FALSE),0)</f>
        <v>23953272</v>
      </c>
      <c r="HY7" s="479">
        <f>IFERROR(VLOOKUP(HY$1,'žádosti MPSV 2020'!$SF$8:$VN$276,60,FALSE),0)</f>
        <v>17351600</v>
      </c>
      <c r="HZ7" s="479">
        <f>IFERROR(VLOOKUP(HZ$1,'žádosti MPSV 2020'!$SF$8:$VN$276,60,FALSE),0)</f>
        <v>11293100</v>
      </c>
      <c r="IA7" s="479">
        <f>IFERROR(VLOOKUP(IA$1,'žádosti MPSV 2020'!$SF$8:$VN$276,60,FALSE),0)</f>
        <v>8494730</v>
      </c>
      <c r="IB7" s="479">
        <f>IFERROR(VLOOKUP(IB$1,'žádosti MPSV 2020'!$SF$8:$VN$276,60,FALSE),0)</f>
        <v>10442250</v>
      </c>
      <c r="IC7" s="479">
        <f>IFERROR(VLOOKUP(IC$1,'žádosti MPSV 2020'!$SF$8:$VN$276,60,FALSE),0)</f>
        <v>11940000</v>
      </c>
      <c r="ID7" s="479">
        <f>IFERROR(VLOOKUP(ID$1,'žádosti MPSV 2020'!$SF$8:$VN$276,60,FALSE),0)</f>
        <v>10036000</v>
      </c>
      <c r="IE7" s="479">
        <f>IFERROR(VLOOKUP(IE$1,'žádosti MPSV 2020'!$SF$8:$VN$276,60,FALSE),0)</f>
        <v>17118000</v>
      </c>
      <c r="IF7" s="479">
        <f>IFERROR(VLOOKUP(IF$1,'žádosti MPSV 2020'!$SF$8:$VN$276,60,FALSE),0)</f>
        <v>25404400</v>
      </c>
      <c r="IG7" s="479">
        <f>IFERROR(VLOOKUP(IG$1,'žádosti MPSV 2020'!$SF$8:$VN$276,60,FALSE),0)</f>
        <v>8044600</v>
      </c>
      <c r="IH7" s="479">
        <f>IFERROR(VLOOKUP(IH$1,'žádosti MPSV 2020'!$SF$8:$VN$276,60,FALSE),0)</f>
        <v>3681744</v>
      </c>
      <c r="II7" s="479">
        <f>IFERROR(VLOOKUP(II$1,'žádosti MPSV 2020'!$SF$8:$VN$276,60,FALSE),0)</f>
        <v>22880979</v>
      </c>
      <c r="IJ7" s="479">
        <f>IFERROR(VLOOKUP(IJ$1,'žádosti MPSV 2020'!$SF$8:$VN$276,60,FALSE),0)</f>
        <v>1571800</v>
      </c>
      <c r="IK7" s="479">
        <f>IFERROR(VLOOKUP(IK$1,'žádosti MPSV 2020'!$SF$8:$VN$276,60,FALSE),0)</f>
        <v>609567</v>
      </c>
      <c r="IL7" s="479">
        <f>IFERROR(VLOOKUP(IL$1,'žádosti MPSV 2020'!$SF$8:$VN$276,60,FALSE),0)</f>
        <v>9900000</v>
      </c>
      <c r="IM7" s="479">
        <f>IFERROR(VLOOKUP(IM$1,'žádosti MPSV 2020'!$SF$8:$VN$276,60,FALSE),0)</f>
        <v>775000</v>
      </c>
      <c r="IN7" s="479">
        <f>IFERROR(VLOOKUP(IN$1,'žádosti MPSV 2020'!$SF$8:$VN$276,60,FALSE),0)</f>
        <v>11165000</v>
      </c>
      <c r="IO7" s="479">
        <f>IFERROR(VLOOKUP(IO$1,'žádosti MPSV 2020'!$SF$8:$VN$276,60,FALSE),0)</f>
        <v>3560000</v>
      </c>
      <c r="IP7" s="479">
        <f>IFERROR(VLOOKUP(IP$1,'žádosti MPSV 2020'!$SF$8:$VN$276,60,FALSE),0)</f>
        <v>18876000</v>
      </c>
      <c r="IQ7" s="479">
        <f>IFERROR(VLOOKUP(IQ$1,'žádosti MPSV 2020'!$SF$8:$VN$276,60,FALSE),0)</f>
        <v>19626000</v>
      </c>
      <c r="IR7" s="479">
        <f>IFERROR(VLOOKUP(IR$1,'žádosti MPSV 2020'!$SF$8:$VN$276,60,FALSE),0)</f>
        <v>835000</v>
      </c>
      <c r="IS7" s="479">
        <f>IFERROR(VLOOKUP(IS$1,'žádosti MPSV 2020'!$SF$8:$VN$276,60,FALSE),0)</f>
        <v>46709000</v>
      </c>
      <c r="IT7" s="479">
        <f>IFERROR(VLOOKUP(IT$1,'žádosti MPSV 2020'!$SF$8:$VN$276,60,FALSE),0)</f>
        <v>11542000</v>
      </c>
      <c r="IU7" s="479">
        <f>IFERROR(VLOOKUP(IU$1,'žádosti MPSV 2020'!$SF$8:$VN$276,60,FALSE),0)</f>
        <v>3964128</v>
      </c>
      <c r="IV7" s="479">
        <f>IFERROR(VLOOKUP(IV$1,'žádosti MPSV 2020'!$SF$8:$VN$276,60,FALSE),0)</f>
        <v>8599386</v>
      </c>
      <c r="IW7" s="479">
        <f>IFERROR(VLOOKUP(IW$1,'žádosti MPSV 2020'!$SF$8:$VN$276,60,FALSE),0)</f>
        <v>16499135</v>
      </c>
      <c r="IX7" s="479">
        <f>IFERROR(VLOOKUP(IX$1,'žádosti MPSV 2020'!$SF$8:$VN$276,60,FALSE),0)</f>
        <v>2238805</v>
      </c>
      <c r="IY7" s="479">
        <f>IFERROR(VLOOKUP(IY$1,'žádosti MPSV 2020'!$SF$8:$VN$276,60,FALSE),0)</f>
        <v>10538000</v>
      </c>
      <c r="IZ7" s="479">
        <f>IFERROR(VLOOKUP(IZ$1,'žádosti MPSV 2020'!$SF$8:$VN$276,60,FALSE),0)</f>
        <v>23410000</v>
      </c>
      <c r="JA7" s="479">
        <f>IFERROR(VLOOKUP(JA$1,'žádosti MPSV 2020'!$SF$8:$VN$276,60,FALSE),0)</f>
        <v>2868000</v>
      </c>
      <c r="JB7" s="479">
        <f>IFERROR(VLOOKUP(JB$1,'žádosti MPSV 2020'!$SF$8:$VN$276,60,FALSE),0)</f>
        <v>2340000</v>
      </c>
      <c r="JC7" s="479">
        <f>IFERROR(VLOOKUP(JC$1,'žádosti MPSV 2020'!$SF$8:$VN$276,60,FALSE),0)</f>
        <v>2290000</v>
      </c>
      <c r="JD7" s="479">
        <f>IFERROR(VLOOKUP(JD$1,'žádosti MPSV 2020'!$SF$8:$VN$276,60,FALSE),0)</f>
        <v>3000000</v>
      </c>
      <c r="JE7" s="479">
        <f>IFERROR(VLOOKUP(JE$1,'žádosti MPSV 2020'!$SF$8:$VN$276,60,FALSE),0)</f>
        <v>722500</v>
      </c>
      <c r="JF7" s="479">
        <f>IFERROR(VLOOKUP(JF$1,'žádosti MPSV 2020'!$SF$8:$VN$276,60,FALSE),0)</f>
        <v>34067800</v>
      </c>
      <c r="JG7" s="479">
        <f>IFERROR(VLOOKUP(JG$1,'žádosti MPSV 2020'!$SF$8:$VN$276,60,FALSE),0)</f>
        <v>29138040</v>
      </c>
      <c r="JH7" s="780">
        <f>IFERROR(VLOOKUP(JH$1,'žádosti MPSV 2020'!$SF$8:$VN$276,60,FALSE),0)</f>
        <v>3377272</v>
      </c>
      <c r="JI7" s="470">
        <f>SUM(C7:JH7)</f>
        <v>1334472424</v>
      </c>
      <c r="JL7" s="307">
        <f t="shared" ref="JL7:JO13" si="20">SUMIFS($C7:$JH7,$C$5:$JH$5,JL$5)</f>
        <v>26180000</v>
      </c>
      <c r="JM7" s="307">
        <f t="shared" si="20"/>
        <v>428111132</v>
      </c>
      <c r="JN7" s="307">
        <f t="shared" si="20"/>
        <v>231692656</v>
      </c>
      <c r="JO7" s="307">
        <f t="shared" si="20"/>
        <v>648488636</v>
      </c>
      <c r="JP7" s="307">
        <f>SUM(JL7:JO7)</f>
        <v>1334472424</v>
      </c>
    </row>
    <row r="8" spans="1:276" hidden="1" x14ac:dyDescent="0.25">
      <c r="B8" s="733" t="s">
        <v>1814</v>
      </c>
      <c r="C8" s="779">
        <f>IFERROR(VLOOKUP(C$1,'žádosti MPSV 2020'!$SF$8:$VN$276,86,FALSE),0)</f>
        <v>0</v>
      </c>
      <c r="D8" s="479">
        <f>IFERROR(VLOOKUP(D$1,'žádosti MPSV 2020'!$SF$8:$VN$276,86,FALSE),0)</f>
        <v>0</v>
      </c>
      <c r="E8" s="479">
        <f>IFERROR(VLOOKUP(E$1,'žádosti MPSV 2020'!$SF$8:$VN$276,86,FALSE),0)</f>
        <v>0</v>
      </c>
      <c r="F8" s="479">
        <f>IFERROR(VLOOKUP(F$1,'žádosti MPSV 2020'!$SF$8:$VN$276,86,FALSE),0)</f>
        <v>0</v>
      </c>
      <c r="G8" s="479">
        <f>IFERROR(VLOOKUP(G$1,'žádosti MPSV 2020'!$SF$8:$VN$276,86,FALSE),0)</f>
        <v>0</v>
      </c>
      <c r="H8" s="479">
        <f>IFERROR(VLOOKUP(H$1,'žádosti MPSV 2020'!$SF$8:$VN$276,86,FALSE),0)</f>
        <v>0</v>
      </c>
      <c r="I8" s="479">
        <f>IFERROR(VLOOKUP(I$1,'žádosti MPSV 2020'!$SF$8:$VN$276,86,FALSE),0)</f>
        <v>0</v>
      </c>
      <c r="J8" s="479">
        <f>IFERROR(VLOOKUP(J$1,'žádosti MPSV 2020'!$SF$8:$VN$276,86,FALSE),0)</f>
        <v>0</v>
      </c>
      <c r="K8" s="479">
        <f>IFERROR(VLOOKUP(K$1,'žádosti MPSV 2020'!$SF$8:$VN$276,86,FALSE),0)</f>
        <v>0</v>
      </c>
      <c r="L8" s="479">
        <f>IFERROR(VLOOKUP(L$1,'žádosti MPSV 2020'!$SF$8:$VN$276,86,FALSE),0)</f>
        <v>0</v>
      </c>
      <c r="M8" s="479">
        <f>IFERROR(VLOOKUP(M$1,'žádosti MPSV 2020'!$SF$8:$VN$276,86,FALSE),0)</f>
        <v>0</v>
      </c>
      <c r="N8" s="479">
        <f>IFERROR(VLOOKUP(N$1,'žádosti MPSV 2020'!$SF$8:$VN$276,86,FALSE),0)</f>
        <v>0</v>
      </c>
      <c r="O8" s="479">
        <f>IFERROR(VLOOKUP(O$1,'žádosti MPSV 2020'!$SF$8:$VN$276,86,FALSE),0)</f>
        <v>0</v>
      </c>
      <c r="P8" s="479">
        <f>IFERROR(VLOOKUP(P$1,'žádosti MPSV 2020'!$SF$8:$VN$276,86,FALSE),0)</f>
        <v>0</v>
      </c>
      <c r="Q8" s="479">
        <f>IFERROR(VLOOKUP(Q$1,'žádosti MPSV 2020'!$SF$8:$VN$276,86,FALSE),0)</f>
        <v>0</v>
      </c>
      <c r="R8" s="479">
        <f>IFERROR(VLOOKUP(R$1,'žádosti MPSV 2020'!$SF$8:$VN$276,86,FALSE),0)</f>
        <v>0</v>
      </c>
      <c r="S8" s="479">
        <f>IFERROR(VLOOKUP(S$1,'žádosti MPSV 2020'!$SF$8:$VN$276,86,FALSE),0)</f>
        <v>0</v>
      </c>
      <c r="T8" s="479">
        <f>IFERROR(VLOOKUP(T$1,'žádosti MPSV 2020'!$SF$8:$VN$276,86,FALSE),0)</f>
        <v>0</v>
      </c>
      <c r="U8" s="479">
        <f>IFERROR(VLOOKUP(U$1,'žádosti MPSV 2020'!$SF$8:$VN$276,86,FALSE),0)</f>
        <v>0</v>
      </c>
      <c r="V8" s="479">
        <f>IFERROR(VLOOKUP(V$1,'žádosti MPSV 2020'!$SF$8:$VN$276,86,FALSE),0)</f>
        <v>0</v>
      </c>
      <c r="W8" s="479">
        <f>IFERROR(VLOOKUP(W$1,'žádosti MPSV 2020'!$SF$8:$VN$276,86,FALSE),0)</f>
        <v>0</v>
      </c>
      <c r="X8" s="479">
        <f>IFERROR(VLOOKUP(X$1,'žádosti MPSV 2020'!$SF$8:$VN$276,86,FALSE),0)</f>
        <v>0</v>
      </c>
      <c r="Y8" s="479">
        <f>IFERROR(VLOOKUP(Y$1,'žádosti MPSV 2020'!$SF$8:$VN$276,86,FALSE),0)</f>
        <v>0</v>
      </c>
      <c r="Z8" s="479">
        <f>IFERROR(VLOOKUP(Z$1,'žádosti MPSV 2020'!$SF$8:$VN$276,86,FALSE),0)</f>
        <v>0</v>
      </c>
      <c r="AA8" s="479">
        <f>IFERROR(VLOOKUP(AA$1,'žádosti MPSV 2020'!$SF$8:$VN$276,86,FALSE),0)</f>
        <v>0</v>
      </c>
      <c r="AB8" s="479">
        <f>IFERROR(VLOOKUP(AB$1,'žádosti MPSV 2020'!$SF$8:$VN$276,86,FALSE),0)</f>
        <v>0</v>
      </c>
      <c r="AC8" s="479"/>
      <c r="AD8" s="479">
        <f>IFERROR(VLOOKUP(AD$1,'žádosti MPSV 2020'!$SF$8:$VN$276,86,FALSE),0)</f>
        <v>0</v>
      </c>
      <c r="AE8" s="479">
        <f>IFERROR(VLOOKUP(AE$1,'žádosti MPSV 2020'!$SF$8:$VN$276,86,FALSE),0)</f>
        <v>0</v>
      </c>
      <c r="AF8" s="479">
        <f>IFERROR(VLOOKUP(AF$1,'žádosti MPSV 2020'!$SF$8:$VN$276,86,FALSE),0)</f>
        <v>0</v>
      </c>
      <c r="AG8" s="479">
        <f>IFERROR(VLOOKUP(AG$1,'žádosti MPSV 2020'!$SF$8:$VN$276,86,FALSE),0)</f>
        <v>0</v>
      </c>
      <c r="AH8" s="479">
        <f>IFERROR(VLOOKUP(AH$1,'žádosti MPSV 2020'!$SF$8:$VN$276,86,FALSE),0)</f>
        <v>0</v>
      </c>
      <c r="AI8" s="479">
        <f>IFERROR(VLOOKUP(AI$1,'žádosti MPSV 2020'!$SF$8:$VN$276,86,FALSE),0)</f>
        <v>0</v>
      </c>
      <c r="AJ8" s="479">
        <f>IFERROR(VLOOKUP(AJ$1,'žádosti MPSV 2020'!$SF$8:$VN$276,86,FALSE),0)</f>
        <v>0</v>
      </c>
      <c r="AK8" s="479">
        <f>IFERROR(VLOOKUP(AK$1,'žádosti MPSV 2020'!$SF$8:$VN$276,86,FALSE),0)</f>
        <v>0</v>
      </c>
      <c r="AL8" s="479">
        <f>IFERROR(VLOOKUP(AL$1,'žádosti MPSV 2020'!$SF$8:$VN$276,86,FALSE),0)</f>
        <v>0</v>
      </c>
      <c r="AM8" s="479">
        <f>IFERROR(VLOOKUP(AM$1,'žádosti MPSV 2020'!$SF$8:$VN$276,86,FALSE),0)</f>
        <v>0</v>
      </c>
      <c r="AN8" s="479">
        <f>IFERROR(VLOOKUP(AN$1,'žádosti MPSV 2020'!$SF$8:$VN$276,86,FALSE),0)</f>
        <v>0</v>
      </c>
      <c r="AO8" s="479">
        <f>IFERROR(VLOOKUP(AO$1,'žádosti MPSV 2020'!$SF$8:$VN$276,86,FALSE),0)</f>
        <v>0</v>
      </c>
      <c r="AP8" s="479">
        <f>IFERROR(VLOOKUP(AP$1,'žádosti MPSV 2020'!$SF$8:$VN$276,86,FALSE),0)</f>
        <v>0</v>
      </c>
      <c r="AQ8" s="479">
        <f>IFERROR(VLOOKUP(AQ$1,'žádosti MPSV 2020'!$SF$8:$VN$276,86,FALSE),0)</f>
        <v>0</v>
      </c>
      <c r="AR8" s="479">
        <f>IFERROR(VLOOKUP(AR$1,'žádosti MPSV 2020'!$SF$8:$VN$276,86,FALSE),0)</f>
        <v>0</v>
      </c>
      <c r="AS8" s="479">
        <f>IFERROR(VLOOKUP(AS$1,'žádosti MPSV 2020'!$SF$8:$VN$276,86,FALSE),0)</f>
        <v>0</v>
      </c>
      <c r="AT8" s="479">
        <f>IFERROR(VLOOKUP(AT$1,'žádosti MPSV 2020'!$SF$8:$VN$276,86,FALSE),0)</f>
        <v>0</v>
      </c>
      <c r="AU8" s="479">
        <f>IFERROR(VLOOKUP(AU$1,'žádosti MPSV 2020'!$SF$8:$VN$276,86,FALSE),0)</f>
        <v>0</v>
      </c>
      <c r="AV8" s="479">
        <f>IFERROR(VLOOKUP(AV$1,'žádosti MPSV 2020'!$SF$8:$VN$276,86,FALSE),0)</f>
        <v>0</v>
      </c>
      <c r="AW8" s="479">
        <f>IFERROR(VLOOKUP(AW$1,'žádosti MPSV 2020'!$SF$8:$VN$276,86,FALSE),0)</f>
        <v>0</v>
      </c>
      <c r="AX8" s="479">
        <f>IFERROR(VLOOKUP(AX$1,'žádosti MPSV 2020'!$SF$8:$VN$276,86,FALSE),0)</f>
        <v>0</v>
      </c>
      <c r="AY8" s="479">
        <f>IFERROR(VLOOKUP(AY$1,'žádosti MPSV 2020'!$SF$8:$VN$276,86,FALSE),0)</f>
        <v>0</v>
      </c>
      <c r="AZ8" s="479">
        <f>IFERROR(VLOOKUP(AZ$1,'žádosti MPSV 2020'!$SF$8:$VN$276,86,FALSE),0)</f>
        <v>0</v>
      </c>
      <c r="BA8" s="479">
        <f>IFERROR(VLOOKUP(BA$1,'žádosti MPSV 2020'!$SF$8:$VN$276,86,FALSE),0)</f>
        <v>0</v>
      </c>
      <c r="BB8" s="479">
        <f>IFERROR(VLOOKUP(BB$1,'žádosti MPSV 2020'!$SF$8:$VN$276,86,FALSE),0)</f>
        <v>0</v>
      </c>
      <c r="BC8" s="479">
        <f>IFERROR(VLOOKUP(BC$1,'žádosti MPSV 2020'!$SF$8:$VN$276,86,FALSE),0)</f>
        <v>0</v>
      </c>
      <c r="BD8" s="479">
        <f>IFERROR(VLOOKUP(BD$1,'žádosti MPSV 2020'!$SF$8:$VN$276,86,FALSE),0)</f>
        <v>0</v>
      </c>
      <c r="BE8" s="479">
        <f>IFERROR(VLOOKUP(BE$1,'žádosti MPSV 2020'!$SF$8:$VN$276,86,FALSE),0)</f>
        <v>0</v>
      </c>
      <c r="BF8" s="479">
        <f>IFERROR(VLOOKUP(BF$1,'žádosti MPSV 2020'!$SF$8:$VN$276,86,FALSE),0)</f>
        <v>0</v>
      </c>
      <c r="BG8" s="479">
        <f>IFERROR(VLOOKUP(BG$1,'žádosti MPSV 2020'!$SF$8:$VN$276,86,FALSE),0)</f>
        <v>0</v>
      </c>
      <c r="BH8" s="479">
        <f>IFERROR(VLOOKUP(BH$1,'žádosti MPSV 2020'!$SF$8:$VN$276,86,FALSE),0)</f>
        <v>0</v>
      </c>
      <c r="BI8" s="479">
        <f>IFERROR(VLOOKUP(BI$1,'žádosti MPSV 2020'!$SF$8:$VN$276,86,FALSE),0)</f>
        <v>0</v>
      </c>
      <c r="BJ8" s="479">
        <f>IFERROR(VLOOKUP(BJ$1,'žádosti MPSV 2020'!$SF$8:$VN$276,86,FALSE),0)</f>
        <v>0</v>
      </c>
      <c r="BK8" s="479">
        <f>IFERROR(VLOOKUP(BK$1,'žádosti MPSV 2020'!$SF$8:$VN$276,86,FALSE),0)</f>
        <v>0</v>
      </c>
      <c r="BL8" s="479">
        <f>IFERROR(VLOOKUP(BL$1,'žádosti MPSV 2020'!$SF$8:$VN$276,86,FALSE),0)</f>
        <v>0</v>
      </c>
      <c r="BM8" s="479">
        <f>IFERROR(VLOOKUP(BM$1,'žádosti MPSV 2020'!$SF$8:$VN$276,86,FALSE),0)</f>
        <v>0</v>
      </c>
      <c r="BN8" s="479">
        <f>IFERROR(VLOOKUP(BN$1,'žádosti MPSV 2020'!$SF$8:$VN$276,86,FALSE),0)</f>
        <v>0</v>
      </c>
      <c r="BO8" s="479">
        <f>IFERROR(VLOOKUP(BO$1,'žádosti MPSV 2020'!$SF$8:$VN$276,86,FALSE),0)</f>
        <v>0</v>
      </c>
      <c r="BP8" s="479">
        <f>IFERROR(VLOOKUP(BP$1,'žádosti MPSV 2020'!$SF$8:$VN$276,86,FALSE),0)</f>
        <v>0</v>
      </c>
      <c r="BQ8" s="479">
        <f>IFERROR(VLOOKUP(BQ$1,'žádosti MPSV 2020'!$SF$8:$VN$276,86,FALSE),0)</f>
        <v>0</v>
      </c>
      <c r="BR8" s="479">
        <f>IFERROR(VLOOKUP(BR$1,'žádosti MPSV 2020'!$SF$8:$VN$276,86,FALSE),0)</f>
        <v>0</v>
      </c>
      <c r="BS8" s="479">
        <f>IFERROR(VLOOKUP(BS$1,'žádosti MPSV 2020'!$SF$8:$VN$276,86,FALSE),0)</f>
        <v>0</v>
      </c>
      <c r="BT8" s="479">
        <f>IFERROR(VLOOKUP(BT$1,'žádosti MPSV 2020'!$SF$8:$VN$276,86,FALSE),0)</f>
        <v>0</v>
      </c>
      <c r="BU8" s="479">
        <f>IFERROR(VLOOKUP(BU$1,'žádosti MPSV 2020'!$SF$8:$VN$276,86,FALSE),0)</f>
        <v>0</v>
      </c>
      <c r="BV8" s="479">
        <f>IFERROR(VLOOKUP(BV$1,'žádosti MPSV 2020'!$SF$8:$VN$276,86,FALSE),0)</f>
        <v>0</v>
      </c>
      <c r="BW8" s="479">
        <f>IFERROR(VLOOKUP(BW$1,'žádosti MPSV 2020'!$SF$8:$VN$276,86,FALSE),0)</f>
        <v>0</v>
      </c>
      <c r="BX8" s="479">
        <f>IFERROR(VLOOKUP(BX$1,'žádosti MPSV 2020'!$SF$8:$VN$276,86,FALSE),0)</f>
        <v>0</v>
      </c>
      <c r="BY8" s="479">
        <f>IFERROR(VLOOKUP(BY$1,'žádosti MPSV 2020'!$SF$8:$VN$276,86,FALSE),0)</f>
        <v>0</v>
      </c>
      <c r="BZ8" s="479">
        <f>IFERROR(VLOOKUP(BZ$1,'žádosti MPSV 2020'!$SF$8:$VN$276,86,FALSE),0)</f>
        <v>0</v>
      </c>
      <c r="CA8" s="479">
        <f>IFERROR(VLOOKUP(CA$1,'žádosti MPSV 2020'!$SF$8:$VN$276,86,FALSE),0)</f>
        <v>0</v>
      </c>
      <c r="CB8" s="479">
        <f>IFERROR(VLOOKUP(CB$1,'žádosti MPSV 2020'!$SF$8:$VN$276,86,FALSE),0)</f>
        <v>0</v>
      </c>
      <c r="CC8" s="479">
        <f>IFERROR(VLOOKUP(CC$1,'žádosti MPSV 2020'!$SF$8:$VN$276,86,FALSE),0)</f>
        <v>0</v>
      </c>
      <c r="CD8" s="479">
        <f>IFERROR(VLOOKUP(CD$1,'žádosti MPSV 2020'!$SF$8:$VN$276,86,FALSE),0)</f>
        <v>0</v>
      </c>
      <c r="CE8" s="479">
        <f>IFERROR(VLOOKUP(CE$1,'žádosti MPSV 2020'!$SF$8:$VN$276,86,FALSE),0)</f>
        <v>0</v>
      </c>
      <c r="CF8" s="479">
        <f>IFERROR(VLOOKUP(CF$1,'žádosti MPSV 2020'!$SF$8:$VN$276,86,FALSE),0)</f>
        <v>0</v>
      </c>
      <c r="CG8" s="479">
        <f>IFERROR(VLOOKUP(CG$1,'žádosti MPSV 2020'!$SF$8:$VN$276,86,FALSE),0)</f>
        <v>0</v>
      </c>
      <c r="CH8" s="479">
        <f>IFERROR(VLOOKUP(CH$1,'žádosti MPSV 2020'!$SF$8:$VN$276,86,FALSE),0)</f>
        <v>0</v>
      </c>
      <c r="CI8" s="479">
        <f>IFERROR(VLOOKUP(CI$1,'žádosti MPSV 2020'!$SF$8:$VN$276,86,FALSE),0)</f>
        <v>0</v>
      </c>
      <c r="CJ8" s="479">
        <f>IFERROR(VLOOKUP(CJ$1,'žádosti MPSV 2020'!$SF$8:$VN$276,86,FALSE),0)</f>
        <v>0</v>
      </c>
      <c r="CK8" s="479">
        <f>IFERROR(VLOOKUP(CK$1,'žádosti MPSV 2020'!$SF$8:$VN$276,86,FALSE),0)</f>
        <v>0</v>
      </c>
      <c r="CL8" s="479">
        <f>IFERROR(VLOOKUP(CL$1,'žádosti MPSV 2020'!$SF$8:$VN$276,86,FALSE),0)</f>
        <v>0</v>
      </c>
      <c r="CM8" s="479">
        <f>IFERROR(VLOOKUP(CM$1,'žádosti MPSV 2020'!$SF$8:$VN$276,86,FALSE),0)</f>
        <v>0</v>
      </c>
      <c r="CN8" s="479">
        <f>IFERROR(VLOOKUP(CN$1,'žádosti MPSV 2020'!$SF$8:$VN$276,86,FALSE),0)</f>
        <v>0</v>
      </c>
      <c r="CO8" s="479">
        <f>IFERROR(VLOOKUP(CO$1,'žádosti MPSV 2020'!$SF$8:$VN$276,86,FALSE),0)</f>
        <v>0</v>
      </c>
      <c r="CP8" s="479">
        <f>IFERROR(VLOOKUP(CP$1,'žádosti MPSV 2020'!$SF$8:$VN$276,86,FALSE),0)</f>
        <v>0</v>
      </c>
      <c r="CQ8" s="479">
        <f>IFERROR(VLOOKUP(CQ$1,'žádosti MPSV 2020'!$SF$8:$VN$276,86,FALSE),0)</f>
        <v>0</v>
      </c>
      <c r="CR8" s="479">
        <f>IFERROR(VLOOKUP(CR$1,'žádosti MPSV 2020'!$SF$8:$VN$276,86,FALSE),0)</f>
        <v>0</v>
      </c>
      <c r="CS8" s="479">
        <f>IFERROR(VLOOKUP(CS$1,'žádosti MPSV 2020'!$SF$8:$VN$276,86,FALSE),0)</f>
        <v>0</v>
      </c>
      <c r="CT8" s="479">
        <f>IFERROR(VLOOKUP(CT$1,'žádosti MPSV 2020'!$SF$8:$VN$276,86,FALSE),0)</f>
        <v>0</v>
      </c>
      <c r="CU8" s="479">
        <f>IFERROR(VLOOKUP(CU$1,'žádosti MPSV 2020'!$SF$8:$VN$276,86,FALSE),0)</f>
        <v>0</v>
      </c>
      <c r="CV8" s="479">
        <f>IFERROR(VLOOKUP(CV$1,'žádosti MPSV 2020'!$SF$8:$VN$276,86,FALSE),0)</f>
        <v>0</v>
      </c>
      <c r="CW8" s="479">
        <f>IFERROR(VLOOKUP(CW$1,'žádosti MPSV 2020'!$SF$8:$VN$276,86,FALSE),0)</f>
        <v>0</v>
      </c>
      <c r="CX8" s="479">
        <f>IFERROR(VLOOKUP(CX$1,'žádosti MPSV 2020'!$SF$8:$VN$276,86,FALSE),0)</f>
        <v>0</v>
      </c>
      <c r="CY8" s="479">
        <f>IFERROR(VLOOKUP(CY$1,'žádosti MPSV 2020'!$SF$8:$VN$276,86,FALSE),0)</f>
        <v>0</v>
      </c>
      <c r="CZ8" s="479">
        <f>IFERROR(VLOOKUP(CZ$1,'žádosti MPSV 2020'!$SF$8:$VN$276,86,FALSE),0)</f>
        <v>0</v>
      </c>
      <c r="DA8" s="479">
        <f>IFERROR(VLOOKUP(DA$1,'žádosti MPSV 2020'!$SF$8:$VN$276,86,FALSE),0)</f>
        <v>0</v>
      </c>
      <c r="DB8" s="479">
        <f>IFERROR(VLOOKUP(DB$1,'žádosti MPSV 2020'!$SF$8:$VN$276,86,FALSE),0)</f>
        <v>0</v>
      </c>
      <c r="DC8" s="479">
        <f>IFERROR(VLOOKUP(DC$1,'žádosti MPSV 2020'!$SF$8:$VN$276,86,FALSE),0)</f>
        <v>0</v>
      </c>
      <c r="DD8" s="479">
        <f>IFERROR(VLOOKUP(DD$1,'žádosti MPSV 2020'!$SF$8:$VN$276,86,FALSE),0)</f>
        <v>0</v>
      </c>
      <c r="DE8" s="479">
        <f>IFERROR(VLOOKUP(DE$1,'žádosti MPSV 2020'!$SF$8:$VN$276,86,FALSE),0)</f>
        <v>0</v>
      </c>
      <c r="DF8" s="479">
        <f>IFERROR(VLOOKUP(DF$1,'žádosti MPSV 2020'!$SF$8:$VN$276,86,FALSE),0)</f>
        <v>0</v>
      </c>
      <c r="DG8" s="479">
        <f>IFERROR(VLOOKUP(DG$1,'žádosti MPSV 2020'!$SF$8:$VN$276,86,FALSE),0)</f>
        <v>0</v>
      </c>
      <c r="DH8" s="479">
        <f>IFERROR(VLOOKUP(DH$1,'žádosti MPSV 2020'!$SF$8:$VN$276,86,FALSE),0)</f>
        <v>0</v>
      </c>
      <c r="DI8" s="479">
        <f>IFERROR(VLOOKUP(DI$1,'žádosti MPSV 2020'!$SF$8:$VN$276,86,FALSE),0)</f>
        <v>0</v>
      </c>
      <c r="DJ8" s="479">
        <f>IFERROR(VLOOKUP(DJ$1,'žádosti MPSV 2020'!$SF$8:$VN$276,86,FALSE),0)</f>
        <v>0</v>
      </c>
      <c r="DK8" s="479">
        <f>IFERROR(VLOOKUP(DK$1,'žádosti MPSV 2020'!$SF$8:$VN$276,86,FALSE),0)</f>
        <v>0</v>
      </c>
      <c r="DL8" s="479">
        <f>IFERROR(VLOOKUP(DL$1,'žádosti MPSV 2020'!$SF$8:$VN$276,86,FALSE),0)</f>
        <v>0</v>
      </c>
      <c r="DM8" s="479">
        <f>IFERROR(VLOOKUP(DM$1,'žádosti MPSV 2020'!$SF$8:$VN$276,86,FALSE),0)</f>
        <v>0</v>
      </c>
      <c r="DN8" s="479">
        <f>IFERROR(VLOOKUP(DN$1,'žádosti MPSV 2020'!$SF$8:$VN$276,86,FALSE),0)</f>
        <v>0</v>
      </c>
      <c r="DO8" s="479">
        <f>IFERROR(VLOOKUP(DO$1,'žádosti MPSV 2020'!$SF$8:$VN$276,86,FALSE),0)</f>
        <v>0</v>
      </c>
      <c r="DP8" s="479">
        <f>IFERROR(VLOOKUP(DP$1,'žádosti MPSV 2020'!$SF$8:$VN$276,86,FALSE),0)</f>
        <v>0</v>
      </c>
      <c r="DQ8" s="479">
        <f>IFERROR(VLOOKUP(DQ$1,'žádosti MPSV 2020'!$SF$8:$VN$276,86,FALSE),0)</f>
        <v>0</v>
      </c>
      <c r="DR8" s="479">
        <f>IFERROR(VLOOKUP(DR$1,'žádosti MPSV 2020'!$SF$8:$VN$276,86,FALSE),0)</f>
        <v>0</v>
      </c>
      <c r="DS8" s="479">
        <f>IFERROR(VLOOKUP(DS$1,'žádosti MPSV 2020'!$SF$8:$VN$276,86,FALSE),0)</f>
        <v>0</v>
      </c>
      <c r="DT8" s="479">
        <f>IFERROR(VLOOKUP(DT$1,'žádosti MPSV 2020'!$SF$8:$VN$276,86,FALSE),0)</f>
        <v>500000</v>
      </c>
      <c r="DU8" s="479">
        <f>IFERROR(VLOOKUP(DU$1,'žádosti MPSV 2020'!$SF$8:$VN$276,86,FALSE),0)</f>
        <v>0</v>
      </c>
      <c r="DV8" s="479">
        <f>IFERROR(VLOOKUP(DV$1,'žádosti MPSV 2020'!$SF$8:$VN$276,86,FALSE),0)</f>
        <v>0</v>
      </c>
      <c r="DW8" s="479">
        <f>IFERROR(VLOOKUP(DW$1,'žádosti MPSV 2020'!$SF$8:$VN$276,86,FALSE),0)</f>
        <v>0</v>
      </c>
      <c r="DX8" s="479">
        <f>IFERROR(VLOOKUP(DX$1,'žádosti MPSV 2020'!$SF$8:$VN$276,86,FALSE),0)</f>
        <v>0</v>
      </c>
      <c r="DY8" s="479">
        <f>IFERROR(VLOOKUP(DY$1,'žádosti MPSV 2020'!$SF$8:$VN$276,86,FALSE),0)</f>
        <v>0</v>
      </c>
      <c r="DZ8" s="479">
        <f>IFERROR(VLOOKUP(DZ$1,'žádosti MPSV 2020'!$SF$8:$VN$276,86,FALSE),0)</f>
        <v>0</v>
      </c>
      <c r="EA8" s="479">
        <f>IFERROR(VLOOKUP(EA$1,'žádosti MPSV 2020'!$SF$8:$VN$276,86,FALSE),0)</f>
        <v>0</v>
      </c>
      <c r="EB8" s="479">
        <f>IFERROR(VLOOKUP(EB$1,'žádosti MPSV 2020'!$SF$8:$VN$276,86,FALSE),0)</f>
        <v>511000</v>
      </c>
      <c r="EC8" s="479">
        <f>IFERROR(VLOOKUP(EC$1,'žádosti MPSV 2020'!$SF$8:$VN$276,86,FALSE),0)</f>
        <v>0</v>
      </c>
      <c r="ED8" s="479">
        <f>IFERROR(VLOOKUP(ED$1,'žádosti MPSV 2020'!$SF$8:$VN$276,86,FALSE),0)</f>
        <v>0</v>
      </c>
      <c r="EE8" s="479">
        <f>IFERROR(VLOOKUP(EE$1,'žádosti MPSV 2020'!$SF$8:$VN$276,86,FALSE),0)</f>
        <v>0</v>
      </c>
      <c r="EF8" s="479">
        <f>IFERROR(VLOOKUP(EF$1,'žádosti MPSV 2020'!$SF$8:$VN$276,86,FALSE),0)</f>
        <v>0</v>
      </c>
      <c r="EG8" s="479">
        <f>IFERROR(VLOOKUP(EG$1,'žádosti MPSV 2020'!$SF$8:$VN$276,86,FALSE),0)</f>
        <v>0</v>
      </c>
      <c r="EH8" s="479">
        <f>IFERROR(VLOOKUP(EH$1,'žádosti MPSV 2020'!$SF$8:$VN$276,86,FALSE),0)</f>
        <v>0</v>
      </c>
      <c r="EI8" s="479">
        <f>IFERROR(VLOOKUP(EI$1,'žádosti MPSV 2020'!$SF$8:$VN$276,86,FALSE),0)</f>
        <v>0</v>
      </c>
      <c r="EJ8" s="479">
        <f>IFERROR(VLOOKUP(EJ$1,'žádosti MPSV 2020'!$SF$8:$VN$276,86,FALSE),0)</f>
        <v>0</v>
      </c>
      <c r="EK8" s="479">
        <f>IFERROR(VLOOKUP(EK$1,'žádosti MPSV 2020'!$SF$8:$VN$276,86,FALSE),0)</f>
        <v>0</v>
      </c>
      <c r="EL8" s="479">
        <f>IFERROR(VLOOKUP(EL$1,'žádosti MPSV 2020'!$SF$8:$VN$276,86,FALSE),0)</f>
        <v>0</v>
      </c>
      <c r="EM8" s="479">
        <f>IFERROR(VLOOKUP(EM$1,'žádosti MPSV 2020'!$SF$8:$VN$276,86,FALSE),0)</f>
        <v>0</v>
      </c>
      <c r="EN8" s="479">
        <f>IFERROR(VLOOKUP(EN$1,'žádosti MPSV 2020'!$SF$8:$VN$276,86,FALSE),0)</f>
        <v>0</v>
      </c>
      <c r="EO8" s="479">
        <f>IFERROR(VLOOKUP(EO$1,'žádosti MPSV 2020'!$SF$8:$VN$276,86,FALSE),0)</f>
        <v>0</v>
      </c>
      <c r="EP8" s="479">
        <f>IFERROR(VLOOKUP(EP$1,'žádosti MPSV 2020'!$SF$8:$VN$276,86,FALSE),0)</f>
        <v>0</v>
      </c>
      <c r="EQ8" s="479">
        <f>IFERROR(VLOOKUP(EQ$1,'žádosti MPSV 2020'!$SF$8:$VN$276,86,FALSE),0)</f>
        <v>0</v>
      </c>
      <c r="ER8" s="479">
        <f>IFERROR(VLOOKUP(ER$1,'žádosti MPSV 2020'!$SF$8:$VN$276,86,FALSE),0)</f>
        <v>0</v>
      </c>
      <c r="ES8" s="479">
        <f>IFERROR(VLOOKUP(ES$1,'žádosti MPSV 2020'!$SF$8:$VN$276,86,FALSE),0)</f>
        <v>0</v>
      </c>
      <c r="ET8" s="479">
        <f>IFERROR(VLOOKUP(ET$1,'žádosti MPSV 2020'!$SF$8:$VN$276,86,FALSE),0)</f>
        <v>0</v>
      </c>
      <c r="EU8" s="479">
        <f>IFERROR(VLOOKUP(EU$1,'žádosti MPSV 2020'!$SF$8:$VN$276,86,FALSE),0)</f>
        <v>0</v>
      </c>
      <c r="EV8" s="479">
        <f>IFERROR(VLOOKUP(EV$1,'žádosti MPSV 2020'!$SF$8:$VN$276,86,FALSE),0)</f>
        <v>0</v>
      </c>
      <c r="EW8" s="479">
        <f>IFERROR(VLOOKUP(EW$1,'žádosti MPSV 2020'!$SF$8:$VN$276,86,FALSE),0)</f>
        <v>0</v>
      </c>
      <c r="EX8" s="479">
        <f>IFERROR(VLOOKUP(EX$1,'žádosti MPSV 2020'!$SF$8:$VN$276,86,FALSE),0)</f>
        <v>0</v>
      </c>
      <c r="EY8" s="479">
        <f>IFERROR(VLOOKUP(EY$1,'žádosti MPSV 2020'!$SF$8:$VN$276,86,FALSE),0)</f>
        <v>0</v>
      </c>
      <c r="EZ8" s="479">
        <f>IFERROR(VLOOKUP(EZ$1,'žádosti MPSV 2020'!$SF$8:$VN$276,86,FALSE),0)</f>
        <v>0</v>
      </c>
      <c r="FA8" s="479">
        <f>IFERROR(VLOOKUP(FA$1,'žádosti MPSV 2020'!$SF$8:$VN$276,86,FALSE),0)</f>
        <v>0</v>
      </c>
      <c r="FB8" s="479">
        <f>IFERROR(VLOOKUP(FB$1,'žádosti MPSV 2020'!$SF$8:$VN$276,86,FALSE),0)</f>
        <v>0</v>
      </c>
      <c r="FC8" s="479">
        <f>IFERROR(VLOOKUP(FC$1,'žádosti MPSV 2020'!$SF$8:$VN$276,86,FALSE),0)</f>
        <v>0</v>
      </c>
      <c r="FD8" s="479">
        <f>IFERROR(VLOOKUP(FD$1,'žádosti MPSV 2020'!$SF$8:$VN$276,86,FALSE),0)</f>
        <v>0</v>
      </c>
      <c r="FE8" s="479">
        <f>IFERROR(VLOOKUP(FE$1,'žádosti MPSV 2020'!$SF$8:$VN$276,86,FALSE),0)</f>
        <v>0</v>
      </c>
      <c r="FF8" s="479">
        <f>IFERROR(VLOOKUP(FF$1,'žádosti MPSV 2020'!$SF$8:$VN$276,86,FALSE),0)</f>
        <v>0</v>
      </c>
      <c r="FG8" s="479">
        <f>IFERROR(VLOOKUP(FG$1,'žádosti MPSV 2020'!$SF$8:$VN$276,86,FALSE),0)</f>
        <v>0</v>
      </c>
      <c r="FH8" s="479">
        <f>IFERROR(VLOOKUP(FH$1,'žádosti MPSV 2020'!$SF$8:$VN$276,86,FALSE),0)</f>
        <v>0</v>
      </c>
      <c r="FI8" s="479">
        <f>IFERROR(VLOOKUP(FI$1,'žádosti MPSV 2020'!$SF$8:$VN$276,86,FALSE),0)</f>
        <v>0</v>
      </c>
      <c r="FJ8" s="479">
        <f>IFERROR(VLOOKUP(FJ$1,'žádosti MPSV 2020'!$SF$8:$VN$276,86,FALSE),0)</f>
        <v>0</v>
      </c>
      <c r="FK8" s="479">
        <f>IFERROR(VLOOKUP(FK$1,'žádosti MPSV 2020'!$SF$8:$VN$276,86,FALSE),0)</f>
        <v>0</v>
      </c>
      <c r="FL8" s="479">
        <f>IFERROR(VLOOKUP(FL$1,'žádosti MPSV 2020'!$SF$8:$VN$276,86,FALSE),0)</f>
        <v>0</v>
      </c>
      <c r="FM8" s="479">
        <f>IFERROR(VLOOKUP(FM$1,'žádosti MPSV 2020'!$SF$8:$VN$276,86,FALSE),0)</f>
        <v>0</v>
      </c>
      <c r="FN8" s="479">
        <f>IFERROR(VLOOKUP(FN$1,'žádosti MPSV 2020'!$SF$8:$VN$276,86,FALSE),0)</f>
        <v>0</v>
      </c>
      <c r="FO8" s="479">
        <f>IFERROR(VLOOKUP(FO$1,'žádosti MPSV 2020'!$SF$8:$VN$276,86,FALSE),0)</f>
        <v>0</v>
      </c>
      <c r="FP8" s="479">
        <f>IFERROR(VLOOKUP(FP$1,'žádosti MPSV 2020'!$SF$8:$VN$276,86,FALSE),0)</f>
        <v>0</v>
      </c>
      <c r="FQ8" s="479">
        <f>IFERROR(VLOOKUP(FQ$1,'žádosti MPSV 2020'!$SF$8:$VN$276,86,FALSE),0)</f>
        <v>0</v>
      </c>
      <c r="FR8" s="479">
        <f>IFERROR(VLOOKUP(FR$1,'žádosti MPSV 2020'!$SF$8:$VN$276,86,FALSE),0)</f>
        <v>0</v>
      </c>
      <c r="FS8" s="479">
        <f>IFERROR(VLOOKUP(FS$1,'žádosti MPSV 2020'!$SF$8:$VN$276,86,FALSE),0)</f>
        <v>0</v>
      </c>
      <c r="FT8" s="479">
        <f>IFERROR(VLOOKUP(FT$1,'žádosti MPSV 2020'!$SF$8:$VN$276,86,FALSE),0)</f>
        <v>0</v>
      </c>
      <c r="FU8" s="479">
        <f>IFERROR(VLOOKUP(FU$1,'žádosti MPSV 2020'!$SF$8:$VN$276,86,FALSE),0)</f>
        <v>0</v>
      </c>
      <c r="FV8" s="479">
        <f>IFERROR(VLOOKUP(FV$1,'žádosti MPSV 2020'!$SF$8:$VN$276,86,FALSE),0)</f>
        <v>0</v>
      </c>
      <c r="FW8" s="479">
        <f>IFERROR(VLOOKUP(FW$1,'žádosti MPSV 2020'!$SF$8:$VN$276,86,FALSE),0)</f>
        <v>0</v>
      </c>
      <c r="FX8" s="479">
        <f>IFERROR(VLOOKUP(FX$1,'žádosti MPSV 2020'!$SF$8:$VN$276,86,FALSE),0)</f>
        <v>0</v>
      </c>
      <c r="FY8" s="479">
        <f>IFERROR(VLOOKUP(FY$1,'žádosti MPSV 2020'!$SF$8:$VN$276,86,FALSE),0)</f>
        <v>0</v>
      </c>
      <c r="FZ8" s="479">
        <f>IFERROR(VLOOKUP(FZ$1,'žádosti MPSV 2020'!$SF$8:$VN$276,86,FALSE),0)</f>
        <v>0</v>
      </c>
      <c r="GA8" s="479">
        <f>IFERROR(VLOOKUP(GA$1,'žádosti MPSV 2020'!$SF$8:$VN$276,86,FALSE),0)</f>
        <v>0</v>
      </c>
      <c r="GB8" s="479">
        <f>IFERROR(VLOOKUP(GB$1,'žádosti MPSV 2020'!$SF$8:$VN$276,86,FALSE),0)</f>
        <v>0</v>
      </c>
      <c r="GC8" s="479">
        <f>IFERROR(VLOOKUP(GC$1,'žádosti MPSV 2020'!$SF$8:$VN$276,86,FALSE),0)</f>
        <v>0</v>
      </c>
      <c r="GD8" s="479">
        <f>IFERROR(VLOOKUP(GD$1,'žádosti MPSV 2020'!$SF$8:$VN$276,86,FALSE),0)</f>
        <v>0</v>
      </c>
      <c r="GE8" s="479">
        <f>IFERROR(VLOOKUP(GE$1,'žádosti MPSV 2020'!$SF$8:$VN$276,86,FALSE),0)</f>
        <v>0</v>
      </c>
      <c r="GF8" s="479">
        <f>IFERROR(VLOOKUP(GF$1,'žádosti MPSV 2020'!$SF$8:$VN$276,86,FALSE),0)</f>
        <v>0</v>
      </c>
      <c r="GG8" s="479">
        <f>IFERROR(VLOOKUP(GG$1,'žádosti MPSV 2020'!$SF$8:$VN$276,86,FALSE),0)</f>
        <v>0</v>
      </c>
      <c r="GH8" s="479">
        <f>IFERROR(VLOOKUP(GH$1,'žádosti MPSV 2020'!$SF$8:$VN$276,86,FALSE),0)</f>
        <v>0</v>
      </c>
      <c r="GI8" s="479">
        <f>IFERROR(VLOOKUP(GI$1,'žádosti MPSV 2020'!$SF$8:$VN$276,86,FALSE),0)</f>
        <v>0</v>
      </c>
      <c r="GJ8" s="479">
        <f>IFERROR(VLOOKUP(GJ$1,'žádosti MPSV 2020'!$SF$8:$VN$276,86,FALSE),0)</f>
        <v>0</v>
      </c>
      <c r="GK8" s="479">
        <f>IFERROR(VLOOKUP(GK$1,'žádosti MPSV 2020'!$SF$8:$VN$276,86,FALSE),0)</f>
        <v>0</v>
      </c>
      <c r="GL8" s="479">
        <f>IFERROR(VLOOKUP(GL$1,'žádosti MPSV 2020'!$SF$8:$VN$276,86,FALSE),0)</f>
        <v>0</v>
      </c>
      <c r="GM8" s="479">
        <f>IFERROR(VLOOKUP(GM$1,'žádosti MPSV 2020'!$SF$8:$VN$276,86,FALSE),0)</f>
        <v>0</v>
      </c>
      <c r="GN8" s="479">
        <f>IFERROR(VLOOKUP(GN$1,'žádosti MPSV 2020'!$SF$8:$VN$276,86,FALSE),0)</f>
        <v>0</v>
      </c>
      <c r="GO8" s="479">
        <f>IFERROR(VLOOKUP(GO$1,'žádosti MPSV 2020'!$SF$8:$VN$276,86,FALSE),0)</f>
        <v>0</v>
      </c>
      <c r="GP8" s="479">
        <f>IFERROR(VLOOKUP(GP$1,'žádosti MPSV 2020'!$SF$8:$VN$276,86,FALSE),0)</f>
        <v>0</v>
      </c>
      <c r="GQ8" s="479">
        <f>IFERROR(VLOOKUP(GQ$1,'žádosti MPSV 2020'!$SF$8:$VN$276,86,FALSE),0)</f>
        <v>0</v>
      </c>
      <c r="GR8" s="479">
        <f>IFERROR(VLOOKUP(GR$1,'žádosti MPSV 2020'!$SF$8:$VN$276,86,FALSE),0)</f>
        <v>0</v>
      </c>
      <c r="GS8" s="479">
        <f>IFERROR(VLOOKUP(GS$1,'žádosti MPSV 2020'!$SF$8:$VN$276,86,FALSE),0)</f>
        <v>0</v>
      </c>
      <c r="GT8" s="479">
        <f>IFERROR(VLOOKUP(GT$1,'žádosti MPSV 2020'!$SF$8:$VN$276,86,FALSE),0)</f>
        <v>0</v>
      </c>
      <c r="GU8" s="479">
        <f>IFERROR(VLOOKUP(GU$1,'žádosti MPSV 2020'!$SF$8:$VN$276,86,FALSE),0)</f>
        <v>0</v>
      </c>
      <c r="GV8" s="479">
        <f>IFERROR(VLOOKUP(GV$1,'žádosti MPSV 2020'!$SF$8:$VN$276,86,FALSE),0)</f>
        <v>0</v>
      </c>
      <c r="GW8" s="479">
        <f>IFERROR(VLOOKUP(GW$1,'žádosti MPSV 2020'!$SF$8:$VN$276,86,FALSE),0)</f>
        <v>0</v>
      </c>
      <c r="GX8" s="479">
        <f>IFERROR(VLOOKUP(GX$1,'žádosti MPSV 2020'!$SF$8:$VN$276,86,FALSE),0)</f>
        <v>0</v>
      </c>
      <c r="GY8" s="479">
        <f>IFERROR(VLOOKUP(GY$1,'žádosti MPSV 2020'!$SF$8:$VN$276,86,FALSE),0)</f>
        <v>0</v>
      </c>
      <c r="GZ8" s="479">
        <f>IFERROR(VLOOKUP(GZ$1,'žádosti MPSV 2020'!$SF$8:$VN$276,86,FALSE),0)</f>
        <v>0</v>
      </c>
      <c r="HA8" s="479">
        <f>IFERROR(VLOOKUP(HA$1,'žádosti MPSV 2020'!$SF$8:$VN$276,86,FALSE),0)</f>
        <v>0</v>
      </c>
      <c r="HB8" s="479">
        <f>IFERROR(VLOOKUP(HB$1,'žádosti MPSV 2020'!$SF$8:$VN$276,86,FALSE),0)</f>
        <v>0</v>
      </c>
      <c r="HC8" s="479">
        <f>IFERROR(VLOOKUP(HC$1,'žádosti MPSV 2020'!$SF$8:$VN$276,86,FALSE),0)</f>
        <v>0</v>
      </c>
      <c r="HD8" s="479">
        <f>IFERROR(VLOOKUP(HD$1,'žádosti MPSV 2020'!$SF$8:$VN$276,86,FALSE),0)</f>
        <v>0</v>
      </c>
      <c r="HE8" s="479">
        <f>IFERROR(VLOOKUP(HE$1,'žádosti MPSV 2020'!$SF$8:$VN$276,86,FALSE),0)</f>
        <v>0</v>
      </c>
      <c r="HF8" s="479">
        <f>IFERROR(VLOOKUP(HF$1,'žádosti MPSV 2020'!$SF$8:$VN$276,86,FALSE),0)</f>
        <v>0</v>
      </c>
      <c r="HG8" s="479">
        <f>IFERROR(VLOOKUP(HG$1,'žádosti MPSV 2020'!$SF$8:$VN$276,86,FALSE),0)</f>
        <v>0</v>
      </c>
      <c r="HH8" s="479">
        <f>IFERROR(VLOOKUP(HH$1,'žádosti MPSV 2020'!$SF$8:$VN$276,86,FALSE),0)</f>
        <v>0</v>
      </c>
      <c r="HI8" s="479">
        <f>IFERROR(VLOOKUP(HI$1,'žádosti MPSV 2020'!$SF$8:$VN$276,86,FALSE),0)</f>
        <v>0</v>
      </c>
      <c r="HJ8" s="479">
        <f>IFERROR(VLOOKUP(HJ$1,'žádosti MPSV 2020'!$SF$8:$VN$276,86,FALSE),0)</f>
        <v>0</v>
      </c>
      <c r="HK8" s="479">
        <f>IFERROR(VLOOKUP(HK$1,'žádosti MPSV 2020'!$SF$8:$VN$276,86,FALSE),0)</f>
        <v>0</v>
      </c>
      <c r="HL8" s="479">
        <f>IFERROR(VLOOKUP(HL$1,'žádosti MPSV 2020'!$SF$8:$VN$276,86,FALSE),0)</f>
        <v>0</v>
      </c>
      <c r="HM8" s="479">
        <f>IFERROR(VLOOKUP(HM$1,'žádosti MPSV 2020'!$SF$8:$VN$276,86,FALSE),0)</f>
        <v>0</v>
      </c>
      <c r="HN8" s="479">
        <f>IFERROR(VLOOKUP(HN$1,'žádosti MPSV 2020'!$SF$8:$VN$276,86,FALSE),0)</f>
        <v>0</v>
      </c>
      <c r="HO8" s="479">
        <f>IFERROR(VLOOKUP(HO$1,'žádosti MPSV 2020'!$SF$8:$VN$276,86,FALSE),0)</f>
        <v>0</v>
      </c>
      <c r="HP8" s="479">
        <f>IFERROR(VLOOKUP(HP$1,'žádosti MPSV 2020'!$SF$8:$VN$276,86,FALSE),0)</f>
        <v>0</v>
      </c>
      <c r="HQ8" s="479">
        <f>IFERROR(VLOOKUP(HQ$1,'žádosti MPSV 2020'!$SF$8:$VN$276,86,FALSE),0)</f>
        <v>0</v>
      </c>
      <c r="HR8" s="479">
        <f>IFERROR(VLOOKUP(HR$1,'žádosti MPSV 2020'!$SF$8:$VN$276,86,FALSE),0)</f>
        <v>0</v>
      </c>
      <c r="HS8" s="479">
        <f>IFERROR(VLOOKUP(HS$1,'žádosti MPSV 2020'!$SF$8:$VN$276,86,FALSE),0)</f>
        <v>0</v>
      </c>
      <c r="HT8" s="479">
        <f>IFERROR(VLOOKUP(HT$1,'žádosti MPSV 2020'!$SF$8:$VN$276,86,FALSE),0)</f>
        <v>0</v>
      </c>
      <c r="HU8" s="479">
        <f>IFERROR(VLOOKUP(HU$1,'žádosti MPSV 2020'!$SF$8:$VN$276,86,FALSE),0)</f>
        <v>0</v>
      </c>
      <c r="HV8" s="479">
        <f>IFERROR(VLOOKUP(HV$1,'žádosti MPSV 2020'!$SF$8:$VN$276,86,FALSE),0)</f>
        <v>0</v>
      </c>
      <c r="HW8" s="479">
        <f>IFERROR(VLOOKUP(HW$1,'žádosti MPSV 2020'!$SF$8:$VN$276,86,FALSE),0)</f>
        <v>0</v>
      </c>
      <c r="HX8" s="479">
        <f>IFERROR(VLOOKUP(HX$1,'žádosti MPSV 2020'!$SF$8:$VN$276,86,FALSE),0)</f>
        <v>0</v>
      </c>
      <c r="HY8" s="479">
        <f>IFERROR(VLOOKUP(HY$1,'žádosti MPSV 2020'!$SF$8:$VN$276,86,FALSE),0)</f>
        <v>0</v>
      </c>
      <c r="HZ8" s="479">
        <f>IFERROR(VLOOKUP(HZ$1,'žádosti MPSV 2020'!$SF$8:$VN$276,86,FALSE),0)</f>
        <v>0</v>
      </c>
      <c r="IA8" s="479">
        <f>IFERROR(VLOOKUP(IA$1,'žádosti MPSV 2020'!$SF$8:$VN$276,86,FALSE),0)</f>
        <v>0</v>
      </c>
      <c r="IB8" s="479">
        <f>IFERROR(VLOOKUP(IB$1,'žádosti MPSV 2020'!$SF$8:$VN$276,86,FALSE),0)</f>
        <v>0</v>
      </c>
      <c r="IC8" s="479">
        <f>IFERROR(VLOOKUP(IC$1,'žádosti MPSV 2020'!$SF$8:$VN$276,86,FALSE),0)</f>
        <v>0</v>
      </c>
      <c r="ID8" s="479">
        <f>IFERROR(VLOOKUP(ID$1,'žádosti MPSV 2020'!$SF$8:$VN$276,86,FALSE),0)</f>
        <v>0</v>
      </c>
      <c r="IE8" s="479">
        <f>IFERROR(VLOOKUP(IE$1,'žádosti MPSV 2020'!$SF$8:$VN$276,86,FALSE),0)</f>
        <v>0</v>
      </c>
      <c r="IF8" s="479">
        <f>IFERROR(VLOOKUP(IF$1,'žádosti MPSV 2020'!$SF$8:$VN$276,86,FALSE),0)</f>
        <v>0</v>
      </c>
      <c r="IG8" s="479">
        <f>IFERROR(VLOOKUP(IG$1,'žádosti MPSV 2020'!$SF$8:$VN$276,86,FALSE),0)</f>
        <v>0</v>
      </c>
      <c r="IH8" s="479">
        <f>IFERROR(VLOOKUP(IH$1,'žádosti MPSV 2020'!$SF$8:$VN$276,86,FALSE),0)</f>
        <v>0</v>
      </c>
      <c r="II8" s="479">
        <f>IFERROR(VLOOKUP(II$1,'žádosti MPSV 2020'!$SF$8:$VN$276,86,FALSE),0)</f>
        <v>0</v>
      </c>
      <c r="IJ8" s="479">
        <f>IFERROR(VLOOKUP(IJ$1,'žádosti MPSV 2020'!$SF$8:$VN$276,86,FALSE),0)</f>
        <v>0</v>
      </c>
      <c r="IK8" s="479">
        <f>IFERROR(VLOOKUP(IK$1,'žádosti MPSV 2020'!$SF$8:$VN$276,86,FALSE),0)</f>
        <v>0</v>
      </c>
      <c r="IL8" s="479">
        <f>IFERROR(VLOOKUP(IL$1,'žádosti MPSV 2020'!$SF$8:$VN$276,86,FALSE),0)</f>
        <v>0</v>
      </c>
      <c r="IM8" s="479">
        <f>IFERROR(VLOOKUP(IM$1,'žádosti MPSV 2020'!$SF$8:$VN$276,86,FALSE),0)</f>
        <v>0</v>
      </c>
      <c r="IN8" s="479">
        <f>IFERROR(VLOOKUP(IN$1,'žádosti MPSV 2020'!$SF$8:$VN$276,86,FALSE),0)</f>
        <v>0</v>
      </c>
      <c r="IO8" s="479">
        <f>IFERROR(VLOOKUP(IO$1,'žádosti MPSV 2020'!$SF$8:$VN$276,86,FALSE),0)</f>
        <v>0</v>
      </c>
      <c r="IP8" s="479">
        <f>IFERROR(VLOOKUP(IP$1,'žádosti MPSV 2020'!$SF$8:$VN$276,86,FALSE),0)</f>
        <v>0</v>
      </c>
      <c r="IQ8" s="479">
        <f>IFERROR(VLOOKUP(IQ$1,'žádosti MPSV 2020'!$SF$8:$VN$276,86,FALSE),0)</f>
        <v>0</v>
      </c>
      <c r="IR8" s="479">
        <f>IFERROR(VLOOKUP(IR$1,'žádosti MPSV 2020'!$SF$8:$VN$276,86,FALSE),0)</f>
        <v>0</v>
      </c>
      <c r="IS8" s="479">
        <f>IFERROR(VLOOKUP(IS$1,'žádosti MPSV 2020'!$SF$8:$VN$276,86,FALSE),0)</f>
        <v>0</v>
      </c>
      <c r="IT8" s="479">
        <f>IFERROR(VLOOKUP(IT$1,'žádosti MPSV 2020'!$SF$8:$VN$276,86,FALSE),0)</f>
        <v>0</v>
      </c>
      <c r="IU8" s="479">
        <f>IFERROR(VLOOKUP(IU$1,'žádosti MPSV 2020'!$SF$8:$VN$276,86,FALSE),0)</f>
        <v>0</v>
      </c>
      <c r="IV8" s="479">
        <f>IFERROR(VLOOKUP(IV$1,'žádosti MPSV 2020'!$SF$8:$VN$276,86,FALSE),0)</f>
        <v>0</v>
      </c>
      <c r="IW8" s="479">
        <f>IFERROR(VLOOKUP(IW$1,'žádosti MPSV 2020'!$SF$8:$VN$276,86,FALSE),0)</f>
        <v>0</v>
      </c>
      <c r="IX8" s="479">
        <f>IFERROR(VLOOKUP(IX$1,'žádosti MPSV 2020'!$SF$8:$VN$276,86,FALSE),0)</f>
        <v>0</v>
      </c>
      <c r="IY8" s="479">
        <f>IFERROR(VLOOKUP(IY$1,'žádosti MPSV 2020'!$SF$8:$VN$276,86,FALSE),0)</f>
        <v>0</v>
      </c>
      <c r="IZ8" s="479">
        <f>IFERROR(VLOOKUP(IZ$1,'žádosti MPSV 2020'!$SF$8:$VN$276,86,FALSE),0)</f>
        <v>0</v>
      </c>
      <c r="JA8" s="479">
        <f>IFERROR(VLOOKUP(JA$1,'žádosti MPSV 2020'!$SF$8:$VN$276,86,FALSE),0)</f>
        <v>0</v>
      </c>
      <c r="JB8" s="479">
        <f>IFERROR(VLOOKUP(JB$1,'žádosti MPSV 2020'!$SF$8:$VN$276,86,FALSE),0)</f>
        <v>0</v>
      </c>
      <c r="JC8" s="479">
        <f>IFERROR(VLOOKUP(JC$1,'žádosti MPSV 2020'!$SF$8:$VN$276,86,FALSE),0)</f>
        <v>0</v>
      </c>
      <c r="JD8" s="479">
        <f>IFERROR(VLOOKUP(JD$1,'žádosti MPSV 2020'!$SF$8:$VN$276,86,FALSE),0)</f>
        <v>0</v>
      </c>
      <c r="JE8" s="479">
        <f>IFERROR(VLOOKUP(JE$1,'žádosti MPSV 2020'!$SF$8:$VN$276,86,FALSE),0)</f>
        <v>0</v>
      </c>
      <c r="JF8" s="479">
        <f>IFERROR(VLOOKUP(JF$1,'žádosti MPSV 2020'!$SF$8:$VN$276,86,FALSE),0)</f>
        <v>0</v>
      </c>
      <c r="JG8" s="479">
        <f>IFERROR(VLOOKUP(JG$1,'žádosti MPSV 2020'!$SF$8:$VN$276,86,FALSE),0)</f>
        <v>0</v>
      </c>
      <c r="JH8" s="780">
        <f>IFERROR(VLOOKUP(JH$1,'žádosti MPSV 2020'!$SF$8:$VN$276,86,FALSE),0)</f>
        <v>0</v>
      </c>
      <c r="JI8" s="470">
        <f t="shared" ref="JI8" si="21">SUM(C8:JH8)</f>
        <v>1011000</v>
      </c>
      <c r="JL8" s="307">
        <f t="shared" si="20"/>
        <v>0</v>
      </c>
      <c r="JM8" s="307">
        <f t="shared" si="20"/>
        <v>1011000</v>
      </c>
      <c r="JN8" s="307">
        <f t="shared" si="20"/>
        <v>0</v>
      </c>
      <c r="JO8" s="307">
        <f t="shared" si="20"/>
        <v>0</v>
      </c>
      <c r="JP8" s="307">
        <f>SUM(JL8:JO8)</f>
        <v>1011000</v>
      </c>
    </row>
    <row r="9" spans="1:276" ht="15.75" thickBot="1" x14ac:dyDescent="0.3">
      <c r="A9" s="557"/>
      <c r="B9" s="734" t="s">
        <v>2630</v>
      </c>
      <c r="C9" s="781">
        <f>'Hodnocení '!C9</f>
        <v>9150000</v>
      </c>
      <c r="D9" s="687">
        <f>'Hodnocení '!D9</f>
        <v>7730000</v>
      </c>
      <c r="E9" s="687">
        <f>'Hodnocení '!E9</f>
        <v>9300000</v>
      </c>
      <c r="F9" s="687">
        <f>'Hodnocení '!F9</f>
        <v>4618835</v>
      </c>
      <c r="G9" s="687">
        <f>'Hodnocení '!G9</f>
        <v>10747751</v>
      </c>
      <c r="H9" s="687">
        <f>'Hodnocení '!H9</f>
        <v>1157858</v>
      </c>
      <c r="I9" s="687">
        <f>'Hodnocení '!I9</f>
        <v>3164198</v>
      </c>
      <c r="J9" s="687">
        <f>'Hodnocení '!J9</f>
        <v>2915400</v>
      </c>
      <c r="K9" s="687">
        <f>'Hodnocení '!K9</f>
        <v>5988080</v>
      </c>
      <c r="L9" s="687">
        <f>'Hodnocení '!L9</f>
        <v>4702400</v>
      </c>
      <c r="M9" s="687">
        <f>'Hodnocení '!M9</f>
        <v>4800000</v>
      </c>
      <c r="N9" s="687">
        <f>'Hodnocení '!N9</f>
        <v>6300000</v>
      </c>
      <c r="O9" s="687">
        <f>'Hodnocení '!O9</f>
        <v>4346141</v>
      </c>
      <c r="P9" s="687">
        <f>'Hodnocení '!P9</f>
        <v>2694928</v>
      </c>
      <c r="Q9" s="687">
        <f>'Hodnocení '!Q9</f>
        <v>2795000</v>
      </c>
      <c r="R9" s="687">
        <f>'Hodnocení '!R9</f>
        <v>2091000</v>
      </c>
      <c r="S9" s="687">
        <f>'Hodnocení '!S9</f>
        <v>1735000</v>
      </c>
      <c r="T9" s="687">
        <f>'Hodnocení '!T9</f>
        <v>698000</v>
      </c>
      <c r="U9" s="687">
        <f>'Hodnocení '!U9</f>
        <v>1087500</v>
      </c>
      <c r="V9" s="687">
        <f>'Hodnocení '!V9</f>
        <v>9285000</v>
      </c>
      <c r="W9" s="687">
        <f>'Hodnocení '!W9</f>
        <v>2130000</v>
      </c>
      <c r="X9" s="687">
        <f>'Hodnocení '!X9</f>
        <v>2988500</v>
      </c>
      <c r="Y9" s="687">
        <f>'Hodnocení '!Y9</f>
        <v>1770700</v>
      </c>
      <c r="Z9" s="687">
        <f>'Hodnocení '!Z9</f>
        <v>7231924</v>
      </c>
      <c r="AA9" s="687">
        <f>'Hodnocení '!AA9</f>
        <v>4621783</v>
      </c>
      <c r="AB9" s="687">
        <f>'Hodnocení '!AB9</f>
        <v>4630000</v>
      </c>
      <c r="AC9" s="687">
        <f>'Hodnocení '!AC9</f>
        <v>749000</v>
      </c>
      <c r="AD9" s="687">
        <f>'Hodnocení '!AD9</f>
        <v>2672000</v>
      </c>
      <c r="AE9" s="687">
        <f>'Hodnocení '!AE9</f>
        <v>805640</v>
      </c>
      <c r="AF9" s="687">
        <f>'Hodnocení '!AF9</f>
        <v>1425292</v>
      </c>
      <c r="AG9" s="687">
        <f>'Hodnocení '!AG9</f>
        <v>3596000</v>
      </c>
      <c r="AH9" s="687">
        <f>'Hodnocení '!AH9</f>
        <v>760000</v>
      </c>
      <c r="AI9" s="687">
        <f>'Hodnocení '!AI9</f>
        <v>3404000</v>
      </c>
      <c r="AJ9" s="687">
        <f>'Hodnocení '!AJ9</f>
        <v>2585000</v>
      </c>
      <c r="AK9" s="687">
        <f>'Hodnocení '!AK9</f>
        <v>1251400</v>
      </c>
      <c r="AL9" s="687">
        <f>'Hodnocení '!AL9</f>
        <v>2630000</v>
      </c>
      <c r="AM9" s="687">
        <f>'Hodnocení '!AM9</f>
        <v>1634492</v>
      </c>
      <c r="AN9" s="687">
        <f>'Hodnocení '!AN9</f>
        <v>1177000</v>
      </c>
      <c r="AO9" s="687">
        <f>'Hodnocení '!AO9</f>
        <v>5500000</v>
      </c>
      <c r="AP9" s="687">
        <f>'Hodnocení '!AP9</f>
        <v>2220000</v>
      </c>
      <c r="AQ9" s="687">
        <f>'Hodnocení '!AQ9</f>
        <v>491000</v>
      </c>
      <c r="AR9" s="687">
        <f>'Hodnocení '!AR9</f>
        <v>1929000</v>
      </c>
      <c r="AS9" s="687">
        <f>'Hodnocení '!AS9</f>
        <v>640200</v>
      </c>
      <c r="AT9" s="687">
        <f>'Hodnocení '!AT9</f>
        <v>2900000</v>
      </c>
      <c r="AU9" s="687">
        <f>'Hodnocení '!AU9</f>
        <v>1416300</v>
      </c>
      <c r="AV9" s="687">
        <f>'Hodnocení '!AV9</f>
        <v>2235500</v>
      </c>
      <c r="AW9" s="687">
        <f>'Hodnocení '!AW9</f>
        <v>3142100</v>
      </c>
      <c r="AX9" s="687">
        <f>'Hodnocení '!AX9</f>
        <v>3395000</v>
      </c>
      <c r="AY9" s="687">
        <f>'Hodnocení '!AY9</f>
        <v>3471000</v>
      </c>
      <c r="AZ9" s="687">
        <f>'Hodnocení '!AZ9</f>
        <v>2981000</v>
      </c>
      <c r="BA9" s="687">
        <f>'Hodnocení '!BA9</f>
        <v>9230000</v>
      </c>
      <c r="BB9" s="687">
        <f>'Hodnocení '!BB9</f>
        <v>1312920</v>
      </c>
      <c r="BC9" s="687">
        <f>'Hodnocení '!BC9</f>
        <v>1668800</v>
      </c>
      <c r="BD9" s="687">
        <f>'Hodnocení '!BD9</f>
        <v>2208600</v>
      </c>
      <c r="BE9" s="687">
        <f>'Hodnocení '!BE9</f>
        <v>1290900</v>
      </c>
      <c r="BF9" s="687">
        <f>'Hodnocení '!BF9</f>
        <v>2020000</v>
      </c>
      <c r="BG9" s="687">
        <f>'Hodnocení '!BG9</f>
        <v>2499000</v>
      </c>
      <c r="BH9" s="687">
        <f>'Hodnocení '!BH9</f>
        <v>3206000</v>
      </c>
      <c r="BI9" s="687">
        <f>'Hodnocení '!BI9</f>
        <v>1270000</v>
      </c>
      <c r="BJ9" s="687">
        <f>'Hodnocení '!BJ9</f>
        <v>3539000</v>
      </c>
      <c r="BK9" s="687">
        <f>'Hodnocení '!BK9</f>
        <v>100000</v>
      </c>
      <c r="BL9" s="687">
        <f>'Hodnocení '!BL9</f>
        <v>1000000</v>
      </c>
      <c r="BM9" s="687">
        <f>'Hodnocení '!BM9</f>
        <v>1464826</v>
      </c>
      <c r="BN9" s="687">
        <f>'Hodnocení '!BN9</f>
        <v>1902000</v>
      </c>
      <c r="BO9" s="687">
        <f>'Hodnocení '!BO9</f>
        <v>1072000</v>
      </c>
      <c r="BP9" s="687">
        <f>'Hodnocení '!BP9</f>
        <v>4739080</v>
      </c>
      <c r="BQ9" s="687">
        <f>'Hodnocení '!BQ9</f>
        <v>112726</v>
      </c>
      <c r="BR9" s="687">
        <f>'Hodnocení '!BR9</f>
        <v>1013021</v>
      </c>
      <c r="BS9" s="687">
        <f>'Hodnocení '!BS9</f>
        <v>1408027</v>
      </c>
      <c r="BT9" s="687">
        <f>'Hodnocení '!BT9</f>
        <v>956642</v>
      </c>
      <c r="BU9" s="687">
        <f>'Hodnocení '!BU9</f>
        <v>5554950</v>
      </c>
      <c r="BV9" s="687">
        <f>'Hodnocení '!BV9</f>
        <v>1310620</v>
      </c>
      <c r="BW9" s="687">
        <f>'Hodnocení '!BW9</f>
        <v>590000</v>
      </c>
      <c r="BX9" s="687">
        <f>'Hodnocení '!BX9</f>
        <v>5228000</v>
      </c>
      <c r="BY9" s="687">
        <f>'Hodnocení '!BY9</f>
        <v>1945000</v>
      </c>
      <c r="BZ9" s="687">
        <f>'Hodnocení '!BZ9</f>
        <v>398000</v>
      </c>
      <c r="CA9" s="687">
        <f>'Hodnocení '!CA9</f>
        <v>0</v>
      </c>
      <c r="CB9" s="687">
        <f>'Hodnocení '!CB9</f>
        <v>695000</v>
      </c>
      <c r="CC9" s="687">
        <f>'Hodnocení '!CC9</f>
        <v>2747000</v>
      </c>
      <c r="CD9" s="687">
        <f>'Hodnocení '!CD9</f>
        <v>991000</v>
      </c>
      <c r="CE9" s="687">
        <f>'Hodnocení '!CE9</f>
        <v>11492000</v>
      </c>
      <c r="CF9" s="687">
        <f>'Hodnocení '!CF9</f>
        <v>4720790</v>
      </c>
      <c r="CG9" s="687">
        <f>'Hodnocení '!CG9</f>
        <v>1390000</v>
      </c>
      <c r="CH9" s="687">
        <f>'Hodnocení '!CH9</f>
        <v>3703000</v>
      </c>
      <c r="CI9" s="687">
        <f>'Hodnocení '!CI9</f>
        <v>3270000</v>
      </c>
      <c r="CJ9" s="687">
        <f>'Hodnocení '!CJ9</f>
        <v>4513515</v>
      </c>
      <c r="CK9" s="687">
        <f>'Hodnocení '!CK9</f>
        <v>4542000</v>
      </c>
      <c r="CL9" s="687">
        <f>'Hodnocení '!CL9</f>
        <v>3015000</v>
      </c>
      <c r="CM9" s="687">
        <f>'Hodnocení '!CM9</f>
        <v>7604514</v>
      </c>
      <c r="CN9" s="687">
        <f>'Hodnocení '!CN9</f>
        <v>1507362</v>
      </c>
      <c r="CO9" s="687">
        <f>'Hodnocení '!CO9</f>
        <v>1546768</v>
      </c>
      <c r="CP9" s="687">
        <f>'Hodnocení '!CP9</f>
        <v>1478852</v>
      </c>
      <c r="CQ9" s="687">
        <f>'Hodnocení '!CQ9</f>
        <v>6470764</v>
      </c>
      <c r="CR9" s="687">
        <f>'Hodnocení '!CR9</f>
        <v>2331094</v>
      </c>
      <c r="CS9" s="687">
        <f>'Hodnocení '!CS9</f>
        <v>3298929</v>
      </c>
      <c r="CT9" s="687">
        <f>'Hodnocení '!CT9</f>
        <v>5705918</v>
      </c>
      <c r="CU9" s="687">
        <f>'Hodnocení '!CU9</f>
        <v>1875000</v>
      </c>
      <c r="CV9" s="687">
        <f>'Hodnocení '!CV9</f>
        <v>6960000</v>
      </c>
      <c r="CW9" s="687">
        <f>'Hodnocení '!CW9</f>
        <v>400000</v>
      </c>
      <c r="CX9" s="687">
        <f>'Hodnocení '!CX9</f>
        <v>3457000</v>
      </c>
      <c r="CY9" s="687">
        <f>'Hodnocení '!CY9</f>
        <v>3240000</v>
      </c>
      <c r="CZ9" s="687">
        <f>'Hodnocení '!CZ9</f>
        <v>371000</v>
      </c>
      <c r="DA9" s="687">
        <f>'Hodnocení '!DA9</f>
        <v>7650000</v>
      </c>
      <c r="DB9" s="687">
        <f>'Hodnocení '!DB9</f>
        <v>760808</v>
      </c>
      <c r="DC9" s="687">
        <f>'Hodnocení '!DC9</f>
        <v>2030000</v>
      </c>
      <c r="DD9" s="687">
        <f>'Hodnocení '!DD9</f>
        <v>5300000</v>
      </c>
      <c r="DE9" s="687">
        <f>'Hodnocení '!DE9</f>
        <v>2810000</v>
      </c>
      <c r="DF9" s="687">
        <f>'Hodnocení '!DF9</f>
        <v>4660760</v>
      </c>
      <c r="DG9" s="687">
        <f>'Hodnocení '!DG9</f>
        <v>1865426</v>
      </c>
      <c r="DH9" s="687">
        <f>'Hodnocení '!DH9</f>
        <v>2425434</v>
      </c>
      <c r="DI9" s="687">
        <f>'Hodnocení '!DI9</f>
        <v>1393074</v>
      </c>
      <c r="DJ9" s="687">
        <f>'Hodnocení '!DJ9</f>
        <v>1920826</v>
      </c>
      <c r="DK9" s="687">
        <f>'Hodnocení '!DK9</f>
        <v>2417346</v>
      </c>
      <c r="DL9" s="687">
        <f>'Hodnocení '!DL9</f>
        <v>7306533</v>
      </c>
      <c r="DM9" s="687">
        <f>'Hodnocení '!DM9</f>
        <v>2395000</v>
      </c>
      <c r="DN9" s="687">
        <f>'Hodnocení '!DN9</f>
        <v>3689667</v>
      </c>
      <c r="DO9" s="687">
        <f>'Hodnocení '!DO9</f>
        <v>1734000</v>
      </c>
      <c r="DP9" s="687">
        <f>'Hodnocení '!DP9</f>
        <v>4315763</v>
      </c>
      <c r="DQ9" s="687">
        <f>'Hodnocení '!DQ9</f>
        <v>4013645</v>
      </c>
      <c r="DR9" s="687">
        <f>'Hodnocení '!DR9</f>
        <v>4423025</v>
      </c>
      <c r="DS9" s="687">
        <f>'Hodnocení '!DS9</f>
        <v>878000</v>
      </c>
      <c r="DT9" s="687">
        <f>'Hodnocení '!DT9</f>
        <v>3015000</v>
      </c>
      <c r="DU9" s="687">
        <f>'Hodnocení '!DU9</f>
        <v>0</v>
      </c>
      <c r="DV9" s="687">
        <f>'Hodnocení '!DV9</f>
        <v>4423333</v>
      </c>
      <c r="DW9" s="687">
        <f>'Hodnocení '!DW9</f>
        <v>0</v>
      </c>
      <c r="DX9" s="687">
        <f>'Hodnocení '!DX9</f>
        <v>0</v>
      </c>
      <c r="DY9" s="687">
        <f>'Hodnocení '!DY9</f>
        <v>6070000</v>
      </c>
      <c r="DZ9" s="687">
        <f>'Hodnocení '!DZ9</f>
        <v>924000</v>
      </c>
      <c r="EA9" s="687">
        <f>'Hodnocení '!EA9</f>
        <v>3910500</v>
      </c>
      <c r="EB9" s="687">
        <f>'Hodnocení '!EB9</f>
        <v>5674772</v>
      </c>
      <c r="EC9" s="687">
        <f>'Hodnocení '!EC9</f>
        <v>4509620</v>
      </c>
      <c r="ED9" s="687">
        <f>'Hodnocení '!ED9</f>
        <v>3945350</v>
      </c>
      <c r="EE9" s="687">
        <f>'Hodnocení '!EE9</f>
        <v>610000</v>
      </c>
      <c r="EF9" s="687">
        <f>'Hodnocení '!EF9</f>
        <v>666000</v>
      </c>
      <c r="EG9" s="687">
        <f>'Hodnocení '!EG9</f>
        <v>425000</v>
      </c>
      <c r="EH9" s="687">
        <f>'Hodnocení '!EH9</f>
        <v>595000</v>
      </c>
      <c r="EI9" s="687">
        <f>'Hodnocení '!EI9</f>
        <v>1025000</v>
      </c>
      <c r="EJ9" s="687">
        <f>'Hodnocení '!EJ9</f>
        <v>1254497</v>
      </c>
      <c r="EK9" s="687">
        <f>'Hodnocení '!EK9</f>
        <v>5250700</v>
      </c>
      <c r="EL9" s="687">
        <f>'Hodnocení '!EL9</f>
        <v>10921600</v>
      </c>
      <c r="EM9" s="687">
        <f>'Hodnocení '!EM9</f>
        <v>4256000</v>
      </c>
      <c r="EN9" s="687">
        <f>'Hodnocení '!EN9</f>
        <v>2526602</v>
      </c>
      <c r="EO9" s="687">
        <f>'Hodnocení '!EO9</f>
        <v>413760</v>
      </c>
      <c r="EP9" s="687">
        <f>'Hodnocení '!EP9</f>
        <v>2970065</v>
      </c>
      <c r="EQ9" s="687">
        <f>'Hodnocení '!EQ9</f>
        <v>2886486</v>
      </c>
      <c r="ER9" s="687">
        <f>'Hodnocení '!ER9</f>
        <v>6229000</v>
      </c>
      <c r="ES9" s="687">
        <f>'Hodnocení '!ES9</f>
        <v>3480000</v>
      </c>
      <c r="ET9" s="687">
        <f>'Hodnocení '!ET9</f>
        <v>901340</v>
      </c>
      <c r="EU9" s="687">
        <f>'Hodnocení '!EU9</f>
        <v>2056000</v>
      </c>
      <c r="EV9" s="687">
        <f>'Hodnocení '!EV9</f>
        <v>650000</v>
      </c>
      <c r="EW9" s="687">
        <f>'Hodnocení '!EW9</f>
        <v>2800000</v>
      </c>
      <c r="EX9" s="687">
        <f>'Hodnocení '!EX9</f>
        <v>7200000</v>
      </c>
      <c r="EY9" s="687">
        <f>'Hodnocení '!EY9</f>
        <v>2500000</v>
      </c>
      <c r="EZ9" s="687">
        <f>'Hodnocení '!EZ9</f>
        <v>270000</v>
      </c>
      <c r="FA9" s="687">
        <f>'Hodnocení '!FA9</f>
        <v>990000</v>
      </c>
      <c r="FB9" s="687">
        <f>'Hodnocení '!FB9</f>
        <v>233682</v>
      </c>
      <c r="FC9" s="687">
        <f>'Hodnocení '!FC9</f>
        <v>5000000</v>
      </c>
      <c r="FD9" s="687">
        <f>'Hodnocení '!FD9</f>
        <v>1200000</v>
      </c>
      <c r="FE9" s="687">
        <f>'Hodnocení '!FE9</f>
        <v>390000</v>
      </c>
      <c r="FF9" s="687">
        <f>'Hodnocení '!FF9</f>
        <v>1561200</v>
      </c>
      <c r="FG9" s="687">
        <f>'Hodnocení '!FG9</f>
        <v>5703200</v>
      </c>
      <c r="FH9" s="687">
        <f>'Hodnocení '!FH9</f>
        <v>6594603</v>
      </c>
      <c r="FI9" s="687">
        <f>'Hodnocení '!FI9</f>
        <v>7800000</v>
      </c>
      <c r="FJ9" s="687">
        <f>'Hodnocení '!FJ9</f>
        <v>2200000</v>
      </c>
      <c r="FK9" s="687">
        <f>'Hodnocení '!FK9</f>
        <v>937000</v>
      </c>
      <c r="FL9" s="687">
        <f>'Hodnocení '!FL9</f>
        <v>965000</v>
      </c>
      <c r="FM9" s="687">
        <f>'Hodnocení '!FM9</f>
        <v>4500000</v>
      </c>
      <c r="FN9" s="687">
        <f>'Hodnocení '!FN9</f>
        <v>8082419</v>
      </c>
      <c r="FO9" s="687">
        <f>'Hodnocení '!FO9</f>
        <v>2666678</v>
      </c>
      <c r="FP9" s="687">
        <f>'Hodnocení '!FP9</f>
        <v>16758000</v>
      </c>
      <c r="FQ9" s="687">
        <f>'Hodnocení '!FQ9</f>
        <v>2142886</v>
      </c>
      <c r="FR9" s="687">
        <f>'Hodnocení '!FR9</f>
        <v>3986708</v>
      </c>
      <c r="FS9" s="687">
        <f>'Hodnocení '!FS9</f>
        <v>601500</v>
      </c>
      <c r="FT9" s="687">
        <f>'Hodnocení '!FT9</f>
        <v>4812000</v>
      </c>
      <c r="FU9" s="687">
        <f>'Hodnocení '!FU9</f>
        <v>552000</v>
      </c>
      <c r="FV9" s="687">
        <f>'Hodnocení '!FV9</f>
        <v>1105000</v>
      </c>
      <c r="FW9" s="687">
        <f>'Hodnocení '!FW9</f>
        <v>1800000</v>
      </c>
      <c r="FX9" s="687">
        <f>'Hodnocení '!FX9</f>
        <v>700000</v>
      </c>
      <c r="FY9" s="687">
        <f>'Hodnocení '!FY9</f>
        <v>200000</v>
      </c>
      <c r="FZ9" s="687">
        <f>'Hodnocení '!FZ9</f>
        <v>7690000</v>
      </c>
      <c r="GA9" s="687">
        <f>'Hodnocení '!GA9</f>
        <v>978000</v>
      </c>
      <c r="GB9" s="687">
        <f>'Hodnocení '!GB9</f>
        <v>4746000</v>
      </c>
      <c r="GC9" s="687">
        <f>'Hodnocení '!GC9</f>
        <v>2728000</v>
      </c>
      <c r="GD9" s="687">
        <f>'Hodnocení '!GD9</f>
        <v>11396000</v>
      </c>
      <c r="GE9" s="687">
        <f>'Hodnocení '!GE9</f>
        <v>1800000</v>
      </c>
      <c r="GF9" s="687">
        <f>'Hodnocení '!GF9</f>
        <v>5289602</v>
      </c>
      <c r="GG9" s="687">
        <f>'Hodnocení '!GG9</f>
        <v>1284855</v>
      </c>
      <c r="GH9" s="687">
        <f>'Hodnocení '!GH9</f>
        <v>1054717</v>
      </c>
      <c r="GI9" s="687">
        <f>'Hodnocení '!GI9</f>
        <v>10416974</v>
      </c>
      <c r="GJ9" s="687">
        <f>'Hodnocení '!GJ9</f>
        <v>2195910</v>
      </c>
      <c r="GK9" s="687">
        <f>'Hodnocení '!GK9</f>
        <v>1100000</v>
      </c>
      <c r="GL9" s="687">
        <f>'Hodnocení '!GL9</f>
        <v>750000</v>
      </c>
      <c r="GM9" s="687">
        <f>'Hodnocení '!GM9</f>
        <v>930000</v>
      </c>
      <c r="GN9" s="687">
        <f>'Hodnocení '!GN9</f>
        <v>1018000</v>
      </c>
      <c r="GO9" s="687">
        <f>'Hodnocení '!GO9</f>
        <v>4777941</v>
      </c>
      <c r="GP9" s="687">
        <f>'Hodnocení '!GP9</f>
        <v>1889000</v>
      </c>
      <c r="GQ9" s="687">
        <f>'Hodnocení '!GQ9</f>
        <v>1000000</v>
      </c>
      <c r="GR9" s="687">
        <f>'Hodnocení '!GR9</f>
        <v>610000</v>
      </c>
      <c r="GS9" s="687">
        <f>'Hodnocení '!GS9</f>
        <v>180000</v>
      </c>
      <c r="GT9" s="687">
        <f>'Hodnocení '!GT9</f>
        <v>8922000</v>
      </c>
      <c r="GU9" s="687">
        <f>'Hodnocení '!GU9</f>
        <v>807440</v>
      </c>
      <c r="GV9" s="687">
        <f>'Hodnocení '!GV9</f>
        <v>5000000</v>
      </c>
      <c r="GW9" s="687">
        <f>'Hodnocení '!GW9</f>
        <v>1450000</v>
      </c>
      <c r="GX9" s="687">
        <f>'Hodnocení '!GX9</f>
        <v>150000</v>
      </c>
      <c r="GY9" s="687">
        <f>'Hodnocení '!GY9</f>
        <v>16000000</v>
      </c>
      <c r="GZ9" s="687">
        <f>'Hodnocení '!GZ9</f>
        <v>2110821</v>
      </c>
      <c r="HA9" s="687">
        <f>'Hodnocení '!HA9</f>
        <v>5200000</v>
      </c>
      <c r="HB9" s="687">
        <f>'Hodnocení '!HB9</f>
        <v>5600000</v>
      </c>
      <c r="HC9" s="687">
        <f>'Hodnocení '!HC9</f>
        <v>11200000</v>
      </c>
      <c r="HD9" s="687">
        <f>'Hodnocení '!HD9</f>
        <v>2188680</v>
      </c>
      <c r="HE9" s="687">
        <f>'Hodnocení '!HE9</f>
        <v>4945200</v>
      </c>
      <c r="HF9" s="687">
        <f>'Hodnocení '!HF9</f>
        <v>900000</v>
      </c>
      <c r="HG9" s="687">
        <f>'Hodnocení '!HG9</f>
        <v>865000</v>
      </c>
      <c r="HH9" s="687">
        <f>'Hodnocení '!HH9</f>
        <v>3950000</v>
      </c>
      <c r="HI9" s="687">
        <f>'Hodnocení '!HI9</f>
        <v>2500000</v>
      </c>
      <c r="HJ9" s="687">
        <f>'Hodnocení '!HJ9</f>
        <v>0</v>
      </c>
      <c r="HK9" s="687">
        <f>'Hodnocení '!HK9</f>
        <v>209300</v>
      </c>
      <c r="HL9" s="687">
        <f>'Hodnocení '!HL9</f>
        <v>50500000</v>
      </c>
      <c r="HM9" s="687">
        <f>'Hodnocení '!HM9</f>
        <v>30959000</v>
      </c>
      <c r="HN9" s="687">
        <f>'Hodnocení '!HN9</f>
        <v>1010000</v>
      </c>
      <c r="HO9" s="687">
        <f>'Hodnocení '!HO9</f>
        <v>0</v>
      </c>
      <c r="HP9" s="687">
        <f>'Hodnocení '!HP9</f>
        <v>27114000</v>
      </c>
      <c r="HQ9" s="687">
        <f>'Hodnocení '!HQ9</f>
        <v>700000</v>
      </c>
      <c r="HR9" s="687">
        <f>'Hodnocení '!HR9</f>
        <v>27500000</v>
      </c>
      <c r="HS9" s="687">
        <f>'Hodnocení '!HS9</f>
        <v>4600000</v>
      </c>
      <c r="HT9" s="687">
        <f>'Hodnocení '!HT9</f>
        <v>21000000</v>
      </c>
      <c r="HU9" s="687">
        <f>'Hodnocení '!HU9</f>
        <v>24100000</v>
      </c>
      <c r="HV9" s="687">
        <f>'Hodnocení '!HV9</f>
        <v>17580000</v>
      </c>
      <c r="HW9" s="687">
        <f>'Hodnocení '!HW9</f>
        <v>4562528</v>
      </c>
      <c r="HX9" s="687">
        <f>'Hodnocení '!HX9</f>
        <v>23953272</v>
      </c>
      <c r="HY9" s="687">
        <f>'Hodnocení '!HY9</f>
        <v>17351600</v>
      </c>
      <c r="HZ9" s="687">
        <f>'Hodnocení '!HZ9</f>
        <v>11293100</v>
      </c>
      <c r="IA9" s="687">
        <f>'Hodnocení '!IA9</f>
        <v>8494730</v>
      </c>
      <c r="IB9" s="687">
        <f>'Hodnocení '!IB9</f>
        <v>10442250</v>
      </c>
      <c r="IC9" s="687">
        <f>'Hodnocení '!IC9</f>
        <v>11940000</v>
      </c>
      <c r="ID9" s="687">
        <f>'Hodnocení '!ID9</f>
        <v>10036000</v>
      </c>
      <c r="IE9" s="687">
        <f>'Hodnocení '!IE9</f>
        <v>17118000</v>
      </c>
      <c r="IF9" s="687">
        <f>'Hodnocení '!IF9</f>
        <v>25404400</v>
      </c>
      <c r="IG9" s="687">
        <f>'Hodnocení '!IG9</f>
        <v>8044600</v>
      </c>
      <c r="IH9" s="687">
        <f>'Hodnocení '!IH9</f>
        <v>3681744</v>
      </c>
      <c r="II9" s="687">
        <f>'Hodnocení '!II9</f>
        <v>22880979</v>
      </c>
      <c r="IJ9" s="687">
        <f>'Hodnocení '!IJ9</f>
        <v>1571800</v>
      </c>
      <c r="IK9" s="687">
        <f>'Hodnocení '!IK9</f>
        <v>609567</v>
      </c>
      <c r="IL9" s="687">
        <f>'Hodnocení '!IL9</f>
        <v>9900000</v>
      </c>
      <c r="IM9" s="687">
        <f>'Hodnocení '!IM9</f>
        <v>775000</v>
      </c>
      <c r="IN9" s="687">
        <f>'Hodnocení '!IN9</f>
        <v>11165000</v>
      </c>
      <c r="IO9" s="687">
        <f>'Hodnocení '!IO9</f>
        <v>3560000</v>
      </c>
      <c r="IP9" s="687">
        <f>'Hodnocení '!IP9</f>
        <v>18876000</v>
      </c>
      <c r="IQ9" s="687">
        <f>'Hodnocení '!IQ9</f>
        <v>19626000</v>
      </c>
      <c r="IR9" s="687">
        <f>'Hodnocení '!IR9</f>
        <v>835000</v>
      </c>
      <c r="IS9" s="687">
        <f>'Hodnocení '!IS9</f>
        <v>46709000</v>
      </c>
      <c r="IT9" s="687">
        <f>'Hodnocení '!IT9</f>
        <v>11542000</v>
      </c>
      <c r="IU9" s="687">
        <f>'Hodnocení '!IU9</f>
        <v>3964128</v>
      </c>
      <c r="IV9" s="687">
        <f>'Hodnocení '!IV9</f>
        <v>8599386</v>
      </c>
      <c r="IW9" s="687">
        <f>'Hodnocení '!IW9</f>
        <v>16499135</v>
      </c>
      <c r="IX9" s="687">
        <f>'Hodnocení '!IX9</f>
        <v>2238805</v>
      </c>
      <c r="IY9" s="687">
        <f>'Hodnocení '!IY9</f>
        <v>10538000</v>
      </c>
      <c r="IZ9" s="687">
        <f>'Hodnocení '!IZ9</f>
        <v>23410000</v>
      </c>
      <c r="JA9" s="687">
        <f>'Hodnocení '!JA9</f>
        <v>2868000</v>
      </c>
      <c r="JB9" s="687">
        <f>'Hodnocení '!JB9</f>
        <v>2340000</v>
      </c>
      <c r="JC9" s="687">
        <f>'Hodnocení '!JC9</f>
        <v>2290000</v>
      </c>
      <c r="JD9" s="687">
        <f>'Hodnocení '!JD9</f>
        <v>3000000</v>
      </c>
      <c r="JE9" s="687">
        <f>'Hodnocení '!JE9</f>
        <v>722500</v>
      </c>
      <c r="JF9" s="687">
        <f>'Hodnocení '!JF9</f>
        <v>34067800</v>
      </c>
      <c r="JG9" s="687">
        <f>'Hodnocení '!JG9</f>
        <v>29138040</v>
      </c>
      <c r="JH9" s="782">
        <f>'Hodnocení '!JH9</f>
        <v>3377272</v>
      </c>
      <c r="JI9" s="761">
        <f>'Hodnocení '!JI9</f>
        <v>1334210424</v>
      </c>
      <c r="JL9" s="263">
        <f t="shared" si="20"/>
        <v>26180000</v>
      </c>
      <c r="JM9" s="263">
        <f t="shared" si="20"/>
        <v>427849132</v>
      </c>
      <c r="JN9" s="263">
        <f t="shared" si="20"/>
        <v>231692656</v>
      </c>
      <c r="JO9" s="307">
        <f t="shared" si="20"/>
        <v>648488636</v>
      </c>
      <c r="JP9" s="263">
        <f t="shared" ref="JP9:JP13" si="22">SUM(JL9:JO9)</f>
        <v>1334210424</v>
      </c>
    </row>
    <row r="10" spans="1:276" x14ac:dyDescent="0.25">
      <c r="B10" s="735" t="s">
        <v>1887</v>
      </c>
      <c r="C10" s="783">
        <f>'Hodnocení '!C10</f>
        <v>6825516</v>
      </c>
      <c r="D10" s="688">
        <f>'Hodnocení '!D10</f>
        <v>5886145</v>
      </c>
      <c r="E10" s="688">
        <f>'Hodnocení '!E10</f>
        <v>7429558</v>
      </c>
      <c r="F10" s="688">
        <f>'Hodnocení '!F10</f>
        <v>3660207.57</v>
      </c>
      <c r="G10" s="688">
        <f>'Hodnocení '!G10</f>
        <v>9911370.8800000008</v>
      </c>
      <c r="H10" s="688">
        <f>'Hodnocení '!H10</f>
        <v>0</v>
      </c>
      <c r="I10" s="688">
        <f>'Hodnocení '!I10</f>
        <v>1822394.58</v>
      </c>
      <c r="J10" s="688">
        <f>'Hodnocení '!J10</f>
        <v>2527263.92</v>
      </c>
      <c r="K10" s="688">
        <f>'Hodnocení '!K10</f>
        <v>5050913.21</v>
      </c>
      <c r="L10" s="688">
        <f>'Hodnocení '!L10</f>
        <v>3537708.8</v>
      </c>
      <c r="M10" s="688">
        <f>'Hodnocení '!M10</f>
        <v>3499618</v>
      </c>
      <c r="N10" s="688">
        <f>'Hodnocení '!N10</f>
        <v>5631152</v>
      </c>
      <c r="O10" s="688">
        <f>'Hodnocení '!O10</f>
        <v>4181501.89</v>
      </c>
      <c r="P10" s="688">
        <f>'Hodnocení '!P10</f>
        <v>2535672</v>
      </c>
      <c r="Q10" s="688">
        <f>'Hodnocení '!Q10</f>
        <v>1329831.28</v>
      </c>
      <c r="R10" s="688">
        <f>'Hodnocení '!R10</f>
        <v>2353771.0699999998</v>
      </c>
      <c r="S10" s="688">
        <f>'Hodnocení '!S10</f>
        <v>1670140.2</v>
      </c>
      <c r="T10" s="688">
        <f>'Hodnocení '!T10</f>
        <v>642795</v>
      </c>
      <c r="U10" s="688">
        <f>'Hodnocení '!U10</f>
        <v>1254280.73</v>
      </c>
      <c r="V10" s="688">
        <f>'Hodnocení '!V10</f>
        <v>13012414.92</v>
      </c>
      <c r="W10" s="688">
        <f>'Hodnocení '!W10</f>
        <v>2672779.2000000002</v>
      </c>
      <c r="X10" s="688">
        <f>'Hodnocení '!X10</f>
        <v>1031655.95</v>
      </c>
      <c r="Y10" s="688">
        <f>'Hodnocení '!Y10</f>
        <v>1592337</v>
      </c>
      <c r="Z10" s="688">
        <f>'Hodnocení '!Z10</f>
        <v>6244762</v>
      </c>
      <c r="AA10" s="688">
        <f>'Hodnocení '!AA10</f>
        <v>3858834.4</v>
      </c>
      <c r="AB10" s="688">
        <f>'Hodnocení '!AB10</f>
        <v>2596710.08</v>
      </c>
      <c r="AC10" s="688">
        <f>'Hodnocení '!AC10</f>
        <v>1810090.61</v>
      </c>
      <c r="AD10" s="688">
        <f>'Hodnocení '!AD10</f>
        <v>1652192.22</v>
      </c>
      <c r="AE10" s="688">
        <f>'Hodnocení '!AE10</f>
        <v>1103937.8400000001</v>
      </c>
      <c r="AF10" s="688">
        <f>'Hodnocení '!AF10</f>
        <v>1856669</v>
      </c>
      <c r="AG10" s="688">
        <f>'Hodnocení '!AG10</f>
        <v>3205183</v>
      </c>
      <c r="AH10" s="688">
        <f>'Hodnocení '!AH10</f>
        <v>656700</v>
      </c>
      <c r="AI10" s="688">
        <f>'Hodnocení '!AI10</f>
        <v>2396771</v>
      </c>
      <c r="AJ10" s="688">
        <f>'Hodnocení '!AJ10</f>
        <v>2207163</v>
      </c>
      <c r="AK10" s="688">
        <f>'Hodnocení '!AK10</f>
        <v>1151329.82</v>
      </c>
      <c r="AL10" s="688">
        <f>'Hodnocení '!AL10</f>
        <v>2014502.3</v>
      </c>
      <c r="AM10" s="688">
        <f>'Hodnocení '!AM10</f>
        <v>1459957.21</v>
      </c>
      <c r="AN10" s="688">
        <f>'Hodnocení '!AN10</f>
        <v>1159240</v>
      </c>
      <c r="AO10" s="688">
        <f>'Hodnocení '!AO10</f>
        <v>5587114.71</v>
      </c>
      <c r="AP10" s="688">
        <f>'Hodnocení '!AP10</f>
        <v>2104955</v>
      </c>
      <c r="AQ10" s="688">
        <f>'Hodnocení '!AQ10</f>
        <v>395146.94</v>
      </c>
      <c r="AR10" s="688">
        <f>'Hodnocení '!AR10</f>
        <v>1302346.2</v>
      </c>
      <c r="AS10" s="688">
        <f>'Hodnocení '!AS10</f>
        <v>525304.91</v>
      </c>
      <c r="AT10" s="688">
        <f>'Hodnocení '!AT10</f>
        <v>2486904.5299999998</v>
      </c>
      <c r="AU10" s="688">
        <f>'Hodnocení '!AU10</f>
        <v>1251596.83</v>
      </c>
      <c r="AV10" s="688">
        <f>'Hodnocení '!AV10</f>
        <v>1916570.67</v>
      </c>
      <c r="AW10" s="688">
        <f>'Hodnocení '!AW10</f>
        <v>3148278.68</v>
      </c>
      <c r="AX10" s="688">
        <f>'Hodnocení '!AX10</f>
        <v>2854690</v>
      </c>
      <c r="AY10" s="688">
        <f>'Hodnocení '!AY10</f>
        <v>2953665</v>
      </c>
      <c r="AZ10" s="688">
        <f>'Hodnocení '!AZ10</f>
        <v>2873055</v>
      </c>
      <c r="BA10" s="688">
        <f>'Hodnocení '!BA10</f>
        <v>7830000</v>
      </c>
      <c r="BB10" s="688">
        <f>'Hodnocení '!BB10</f>
        <v>1119822</v>
      </c>
      <c r="BC10" s="688">
        <f>'Hodnocení '!BC10</f>
        <v>1046807</v>
      </c>
      <c r="BD10" s="688">
        <f>'Hodnocení '!BD10</f>
        <v>1348820</v>
      </c>
      <c r="BE10" s="688">
        <f>'Hodnocení '!BE10</f>
        <v>1359390</v>
      </c>
      <c r="BF10" s="688">
        <f>'Hodnocení '!BF10</f>
        <v>2480024</v>
      </c>
      <c r="BG10" s="688">
        <f>'Hodnocení '!BG10</f>
        <v>3444872</v>
      </c>
      <c r="BH10" s="688">
        <f>'Hodnocení '!BH10</f>
        <v>3652114</v>
      </c>
      <c r="BI10" s="688">
        <f>'Hodnocení '!BI10</f>
        <v>2149853.39</v>
      </c>
      <c r="BJ10" s="688">
        <f>'Hodnocení '!BJ10</f>
        <v>2601592.0299999998</v>
      </c>
      <c r="BK10" s="688">
        <f>'Hodnocení '!BK10</f>
        <v>764329.89</v>
      </c>
      <c r="BL10" s="688">
        <f>'Hodnocení '!BL10</f>
        <v>0</v>
      </c>
      <c r="BM10" s="688">
        <f>'Hodnocení '!BM10</f>
        <v>341571</v>
      </c>
      <c r="BN10" s="688">
        <f>'Hodnocení '!BN10</f>
        <v>1257522.97</v>
      </c>
      <c r="BO10" s="688">
        <f>'Hodnocení '!BO10</f>
        <v>768453.18</v>
      </c>
      <c r="BP10" s="688">
        <f>'Hodnocení '!BP10</f>
        <v>3946986.68</v>
      </c>
      <c r="BQ10" s="688">
        <f>'Hodnocení '!BQ10</f>
        <v>783360</v>
      </c>
      <c r="BR10" s="688">
        <f>'Hodnocení '!BR10</f>
        <v>862340</v>
      </c>
      <c r="BS10" s="688">
        <f>'Hodnocení '!BS10</f>
        <v>1346900</v>
      </c>
      <c r="BT10" s="688">
        <f>'Hodnocení '!BT10</f>
        <v>957100</v>
      </c>
      <c r="BU10" s="688">
        <f>'Hodnocení '!BU10</f>
        <v>4685764.92</v>
      </c>
      <c r="BV10" s="688">
        <f>'Hodnocení '!BV10</f>
        <v>779315</v>
      </c>
      <c r="BW10" s="688">
        <f>'Hodnocení '!BW10</f>
        <v>521740</v>
      </c>
      <c r="BX10" s="688">
        <f>'Hodnocení '!BX10</f>
        <v>4927849</v>
      </c>
      <c r="BY10" s="688">
        <f>'Hodnocení '!BY10</f>
        <v>2039800</v>
      </c>
      <c r="BZ10" s="688">
        <f>'Hodnocení '!BZ10</f>
        <v>430552</v>
      </c>
      <c r="CA10" s="688">
        <f>'Hodnocení '!CA10</f>
        <v>0</v>
      </c>
      <c r="CB10" s="688">
        <f>'Hodnocení '!CB10</f>
        <v>524063</v>
      </c>
      <c r="CC10" s="688">
        <f>'Hodnocení '!CC10</f>
        <v>2467708</v>
      </c>
      <c r="CD10" s="688">
        <f>'Hodnocení '!CD10</f>
        <v>812385</v>
      </c>
      <c r="CE10" s="688">
        <f>'Hodnocení '!CE10</f>
        <v>12181159</v>
      </c>
      <c r="CF10" s="688">
        <f>'Hodnocení '!CF10</f>
        <v>4143421</v>
      </c>
      <c r="CG10" s="688">
        <f>'Hodnocení '!CG10</f>
        <v>9767640</v>
      </c>
      <c r="CH10" s="688">
        <f>'Hodnocení '!CH10</f>
        <v>4338358</v>
      </c>
      <c r="CI10" s="688">
        <f>'Hodnocení '!CI10</f>
        <v>3154672</v>
      </c>
      <c r="CJ10" s="688">
        <f>'Hodnocení '!CJ10</f>
        <v>3653031</v>
      </c>
      <c r="CK10" s="688">
        <f>'Hodnocení '!CK10</f>
        <v>4901946</v>
      </c>
      <c r="CL10" s="688">
        <f>'Hodnocení '!CL10</f>
        <v>2786196</v>
      </c>
      <c r="CM10" s="688">
        <f>'Hodnocení '!CM10</f>
        <v>5620113</v>
      </c>
      <c r="CN10" s="688">
        <f>'Hodnocení '!CN10</f>
        <v>1385720.86</v>
      </c>
      <c r="CO10" s="688">
        <f>'Hodnocení '!CO10</f>
        <v>1424500</v>
      </c>
      <c r="CP10" s="688">
        <f>'Hodnocení '!CP10</f>
        <v>1388167.54</v>
      </c>
      <c r="CQ10" s="688">
        <f>'Hodnocení '!CQ10</f>
        <v>4625591.51</v>
      </c>
      <c r="CR10" s="688">
        <f>'Hodnocení '!CR10</f>
        <v>0</v>
      </c>
      <c r="CS10" s="688">
        <f>'Hodnocení '!CS10</f>
        <v>0</v>
      </c>
      <c r="CT10" s="688">
        <f>'Hodnocení '!CT10</f>
        <v>5400096.9900000002</v>
      </c>
      <c r="CU10" s="688">
        <f>'Hodnocení '!CU10</f>
        <v>1569675</v>
      </c>
      <c r="CV10" s="688">
        <f>'Hodnocení '!CV10</f>
        <v>4771570</v>
      </c>
      <c r="CW10" s="688">
        <f>'Hodnocení '!CW10</f>
        <v>0</v>
      </c>
      <c r="CX10" s="688">
        <f>'Hodnocení '!CX10</f>
        <v>2712793</v>
      </c>
      <c r="CY10" s="688">
        <f>'Hodnocení '!CY10</f>
        <v>2512862</v>
      </c>
      <c r="CZ10" s="688">
        <f>'Hodnocení '!CZ10</f>
        <v>962295</v>
      </c>
      <c r="DA10" s="688">
        <f>'Hodnocení '!DA10</f>
        <v>299861.58</v>
      </c>
      <c r="DB10" s="688">
        <f>'Hodnocení '!DB10</f>
        <v>860126.52</v>
      </c>
      <c r="DC10" s="688">
        <f>'Hodnocení '!DC10</f>
        <v>1864524.64</v>
      </c>
      <c r="DD10" s="688">
        <f>'Hodnocení '!DD10</f>
        <v>4933837.45</v>
      </c>
      <c r="DE10" s="688">
        <f>'Hodnocení '!DE10</f>
        <v>7556164.0700000003</v>
      </c>
      <c r="DF10" s="688">
        <f>'Hodnocení '!DF10</f>
        <v>6092397.7300000004</v>
      </c>
      <c r="DG10" s="688">
        <f>'Hodnocení '!DG10</f>
        <v>0</v>
      </c>
      <c r="DH10" s="688">
        <f>'Hodnocení '!DH10</f>
        <v>1300244.49</v>
      </c>
      <c r="DI10" s="688">
        <f>'Hodnocení '!DI10</f>
        <v>1216923.94</v>
      </c>
      <c r="DJ10" s="688">
        <f>'Hodnocení '!DJ10</f>
        <v>1813151.53</v>
      </c>
      <c r="DK10" s="688">
        <f>'Hodnocení '!DK10</f>
        <v>983900.23</v>
      </c>
      <c r="DL10" s="688">
        <f>'Hodnocení '!DL10</f>
        <v>3728168</v>
      </c>
      <c r="DM10" s="688">
        <f>'Hodnocení '!DM10</f>
        <v>1951000</v>
      </c>
      <c r="DN10" s="688">
        <f>'Hodnocení '!DN10</f>
        <v>2874085</v>
      </c>
      <c r="DO10" s="688">
        <f>'Hodnocení '!DO10</f>
        <v>1344230.13</v>
      </c>
      <c r="DP10" s="688">
        <f>'Hodnocení '!DP10</f>
        <v>4026924.2</v>
      </c>
      <c r="DQ10" s="688">
        <f>'Hodnocení '!DQ10</f>
        <v>3760807.24</v>
      </c>
      <c r="DR10" s="688">
        <f>'Hodnocení '!DR10</f>
        <v>3878955.96</v>
      </c>
      <c r="DS10" s="688">
        <f>'Hodnocení '!DS10</f>
        <v>0</v>
      </c>
      <c r="DT10" s="688">
        <f>'Hodnocení '!DT10</f>
        <v>2931376.78</v>
      </c>
      <c r="DU10" s="688">
        <f>'Hodnocení '!DU10</f>
        <v>1789468.45</v>
      </c>
      <c r="DV10" s="688">
        <f>'Hodnocení '!DV10</f>
        <v>4326142.42</v>
      </c>
      <c r="DW10" s="688">
        <f>'Hodnocení '!DW10</f>
        <v>0</v>
      </c>
      <c r="DX10" s="688">
        <f>'Hodnocení '!DX10</f>
        <v>4391110.8899999997</v>
      </c>
      <c r="DY10" s="688">
        <f>'Hodnocení '!DY10</f>
        <v>3741424.78</v>
      </c>
      <c r="DZ10" s="688">
        <f>'Hodnocení '!DZ10</f>
        <v>476209.08</v>
      </c>
      <c r="EA10" s="688">
        <f>'Hodnocení '!EA10</f>
        <v>3465013</v>
      </c>
      <c r="EB10" s="688">
        <f>'Hodnocení '!EB10</f>
        <v>4610503</v>
      </c>
      <c r="EC10" s="688">
        <f>'Hodnocení '!EC10</f>
        <v>3302531.22</v>
      </c>
      <c r="ED10" s="688">
        <f>'Hodnocení '!ED10</f>
        <v>3673950.04</v>
      </c>
      <c r="EE10" s="688">
        <f>'Hodnocení '!EE10</f>
        <v>776300.08</v>
      </c>
      <c r="EF10" s="688">
        <f>'Hodnocení '!EF10</f>
        <v>847701.27</v>
      </c>
      <c r="EG10" s="688">
        <f>'Hodnocení '!EG10</f>
        <v>400357.21</v>
      </c>
      <c r="EH10" s="688">
        <f>'Hodnocení '!EH10</f>
        <v>711882.41</v>
      </c>
      <c r="EI10" s="688">
        <f>'Hodnocení '!EI10</f>
        <v>1142705.0900000001</v>
      </c>
      <c r="EJ10" s="688">
        <f>'Hodnocení '!EJ10</f>
        <v>1178269.5900000001</v>
      </c>
      <c r="EK10" s="688">
        <f>'Hodnocení '!EK10</f>
        <v>3921226</v>
      </c>
      <c r="EL10" s="688">
        <f>'Hodnocení '!EL10</f>
        <v>10512380</v>
      </c>
      <c r="EM10" s="688">
        <f>'Hodnocení '!EM10</f>
        <v>2798460</v>
      </c>
      <c r="EN10" s="688">
        <f>'Hodnocení '!EN10</f>
        <v>2294544</v>
      </c>
      <c r="EO10" s="688">
        <f>'Hodnocení '!EO10</f>
        <v>320533</v>
      </c>
      <c r="EP10" s="688">
        <f>'Hodnocení '!EP10</f>
        <v>2219572</v>
      </c>
      <c r="EQ10" s="688">
        <f>'Hodnocení '!EQ10</f>
        <v>2098205</v>
      </c>
      <c r="ER10" s="688">
        <f>'Hodnocení '!ER10</f>
        <v>8138175.3399999999</v>
      </c>
      <c r="ES10" s="688">
        <f>'Hodnocení '!ES10</f>
        <v>3636641.78</v>
      </c>
      <c r="ET10" s="688">
        <f>'Hodnocení '!ET10</f>
        <v>0</v>
      </c>
      <c r="EU10" s="688">
        <f>'Hodnocení '!EU10</f>
        <v>0</v>
      </c>
      <c r="EV10" s="688">
        <f>'Hodnocení '!EV10</f>
        <v>470156</v>
      </c>
      <c r="EW10" s="688">
        <f>'Hodnocení '!EW10</f>
        <v>4188996</v>
      </c>
      <c r="EX10" s="688">
        <f>'Hodnocení '!EX10</f>
        <v>8022683</v>
      </c>
      <c r="EY10" s="688">
        <f>'Hodnocení '!EY10</f>
        <v>2916558</v>
      </c>
      <c r="EZ10" s="688">
        <f>'Hodnocení '!EZ10</f>
        <v>1320527</v>
      </c>
      <c r="FA10" s="688">
        <f>'Hodnocení '!FA10</f>
        <v>1910577</v>
      </c>
      <c r="FB10" s="688">
        <f>'Hodnocení '!FB10</f>
        <v>200000</v>
      </c>
      <c r="FC10" s="688">
        <f>'Hodnocení '!FC10</f>
        <v>7710617</v>
      </c>
      <c r="FD10" s="688">
        <f>'Hodnocení '!FD10</f>
        <v>2054128</v>
      </c>
      <c r="FE10" s="688">
        <f>'Hodnocení '!FE10</f>
        <v>989343</v>
      </c>
      <c r="FF10" s="688">
        <f>'Hodnocení '!FF10</f>
        <v>1826428</v>
      </c>
      <c r="FG10" s="688">
        <f>'Hodnocení '!FG10</f>
        <v>6864271</v>
      </c>
      <c r="FH10" s="688">
        <f>'Hodnocení '!FH10</f>
        <v>6741935</v>
      </c>
      <c r="FI10" s="688">
        <f>'Hodnocení '!FI10</f>
        <v>6742793</v>
      </c>
      <c r="FJ10" s="688">
        <f>'Hodnocení '!FJ10</f>
        <v>2381775</v>
      </c>
      <c r="FK10" s="688">
        <f>'Hodnocení '!FK10</f>
        <v>974998</v>
      </c>
      <c r="FL10" s="688">
        <f>'Hodnocení '!FL10</f>
        <v>1081676</v>
      </c>
      <c r="FM10" s="688">
        <f>'Hodnocení '!FM10</f>
        <v>4394053</v>
      </c>
      <c r="FN10" s="688">
        <f>'Hodnocení '!FN10</f>
        <v>6592113.5300000003</v>
      </c>
      <c r="FO10" s="688">
        <f>'Hodnocení '!FO10</f>
        <v>2319520.9</v>
      </c>
      <c r="FP10" s="688">
        <f>'Hodnocení '!FP10</f>
        <v>14704423.84</v>
      </c>
      <c r="FQ10" s="688">
        <f>'Hodnocení '!FQ10</f>
        <v>1922835.59</v>
      </c>
      <c r="FR10" s="688">
        <f>'Hodnocení '!FR10</f>
        <v>0</v>
      </c>
      <c r="FS10" s="688">
        <f>'Hodnocení '!FS10</f>
        <v>646512.09</v>
      </c>
      <c r="FT10" s="688">
        <f>'Hodnocení '!FT10</f>
        <v>5248023.16</v>
      </c>
      <c r="FU10" s="688">
        <f>'Hodnocení '!FU10</f>
        <v>605321</v>
      </c>
      <c r="FV10" s="688">
        <f>'Hodnocení '!FV10</f>
        <v>1637265.6</v>
      </c>
      <c r="FW10" s="688">
        <f>'Hodnocení '!FW10</f>
        <v>1478851</v>
      </c>
      <c r="FX10" s="688">
        <f>'Hodnocení '!FX10</f>
        <v>750204.18</v>
      </c>
      <c r="FY10" s="688">
        <f>'Hodnocení '!FY10</f>
        <v>347190</v>
      </c>
      <c r="FZ10" s="688">
        <f>'Hodnocení '!FZ10</f>
        <v>6984738.0199999996</v>
      </c>
      <c r="GA10" s="688">
        <f>'Hodnocení '!GA10</f>
        <v>1331038.69</v>
      </c>
      <c r="GB10" s="688">
        <f>'Hodnocení '!GB10</f>
        <v>3612537.44</v>
      </c>
      <c r="GC10" s="688">
        <f>'Hodnocení '!GC10</f>
        <v>2832706</v>
      </c>
      <c r="GD10" s="688">
        <f>'Hodnocení '!GD10</f>
        <v>9050397</v>
      </c>
      <c r="GE10" s="688">
        <f>'Hodnocení '!GE10</f>
        <v>2165617</v>
      </c>
      <c r="GF10" s="688">
        <f>'Hodnocení '!GF10</f>
        <v>4382105</v>
      </c>
      <c r="GG10" s="688">
        <f>'Hodnocení '!GG10</f>
        <v>1904967</v>
      </c>
      <c r="GH10" s="688">
        <f>'Hodnocení '!GH10</f>
        <v>1407679</v>
      </c>
      <c r="GI10" s="688">
        <f>'Hodnocení '!GI10</f>
        <v>13610827</v>
      </c>
      <c r="GJ10" s="688">
        <f>'Hodnocení '!GJ10</f>
        <v>2228489</v>
      </c>
      <c r="GK10" s="688">
        <f>'Hodnocení '!GK10</f>
        <v>1801630</v>
      </c>
      <c r="GL10" s="688">
        <f>'Hodnocení '!GL10</f>
        <v>1019136</v>
      </c>
      <c r="GM10" s="688">
        <f>'Hodnocení '!GM10</f>
        <v>1276974</v>
      </c>
      <c r="GN10" s="688">
        <f>'Hodnocení '!GN10</f>
        <v>1010549.66</v>
      </c>
      <c r="GO10" s="688">
        <f>'Hodnocení '!GO10</f>
        <v>4354251.45</v>
      </c>
      <c r="GP10" s="688">
        <f>'Hodnocení '!GP10</f>
        <v>1632026</v>
      </c>
      <c r="GQ10" s="688">
        <f>'Hodnocení '!GQ10</f>
        <v>1478404</v>
      </c>
      <c r="GR10" s="688">
        <f>'Hodnocení '!GR10</f>
        <v>2251710.2999999998</v>
      </c>
      <c r="GS10" s="688">
        <f>'Hodnocení '!GS10</f>
        <v>1027738.18</v>
      </c>
      <c r="GT10" s="688">
        <f>'Hodnocení '!GT10</f>
        <v>12408014.9</v>
      </c>
      <c r="GU10" s="688">
        <f>'Hodnocení '!GU10</f>
        <v>2162404.8199999998</v>
      </c>
      <c r="GV10" s="688">
        <f>'Hodnocení '!GV10</f>
        <v>0</v>
      </c>
      <c r="GW10" s="688">
        <f>'Hodnocení '!GW10</f>
        <v>2501436</v>
      </c>
      <c r="GX10" s="688">
        <f>'Hodnocení '!GX10</f>
        <v>633673.85</v>
      </c>
      <c r="GY10" s="688">
        <f>'Hodnocení '!GY10</f>
        <v>23707927.82</v>
      </c>
      <c r="GZ10" s="688">
        <f>'Hodnocení '!GZ10</f>
        <v>0</v>
      </c>
      <c r="HA10" s="688">
        <f>'Hodnocení '!HA10</f>
        <v>11424741</v>
      </c>
      <c r="HB10" s="688">
        <f>'Hodnocení '!HB10</f>
        <v>10913750</v>
      </c>
      <c r="HC10" s="688">
        <f>'Hodnocení '!HC10</f>
        <v>9432027</v>
      </c>
      <c r="HD10" s="688">
        <f>'Hodnocení '!HD10</f>
        <v>3072107</v>
      </c>
      <c r="HE10" s="688">
        <f>'Hodnocení '!HE10</f>
        <v>7237876</v>
      </c>
      <c r="HF10" s="688">
        <f>'Hodnocení '!HF10</f>
        <v>1870257.3</v>
      </c>
      <c r="HG10" s="688">
        <f>'Hodnocení '!HG10</f>
        <v>905927.64</v>
      </c>
      <c r="HH10" s="688">
        <f>'Hodnocení '!HH10</f>
        <v>2770296.36</v>
      </c>
      <c r="HI10" s="688">
        <f>'Hodnocení '!HI10</f>
        <v>3535180.76</v>
      </c>
      <c r="HJ10" s="688">
        <f>'Hodnocení '!HJ10</f>
        <v>668333.96</v>
      </c>
      <c r="HK10" s="688">
        <f>'Hodnocení '!HK10</f>
        <v>1059656</v>
      </c>
      <c r="HL10" s="688">
        <f>'Hodnocení '!HL10</f>
        <v>36210907.859999999</v>
      </c>
      <c r="HM10" s="688">
        <f>'Hodnocení '!HM10</f>
        <v>23528116.5</v>
      </c>
      <c r="HN10" s="688">
        <f>'Hodnocení '!HN10</f>
        <v>710388.29</v>
      </c>
      <c r="HO10" s="688">
        <f>'Hodnocení '!HO10</f>
        <v>2115464.16</v>
      </c>
      <c r="HP10" s="688">
        <f>'Hodnocení '!HP10</f>
        <v>26567709</v>
      </c>
      <c r="HQ10" s="688">
        <f>'Hodnocení '!HQ10</f>
        <v>1070789.8700000001</v>
      </c>
      <c r="HR10" s="688">
        <f>'Hodnocení '!HR10</f>
        <v>29901004.600000001</v>
      </c>
      <c r="HS10" s="688">
        <f>'Hodnocení '!HS10</f>
        <v>5143844.9800000004</v>
      </c>
      <c r="HT10" s="688">
        <f>'Hodnocení '!HT10</f>
        <v>21064183</v>
      </c>
      <c r="HU10" s="688">
        <f>'Hodnocení '!HU10</f>
        <v>18200355.210000001</v>
      </c>
      <c r="HV10" s="688">
        <f>'Hodnocení '!HV10</f>
        <v>14643546.77</v>
      </c>
      <c r="HW10" s="688">
        <f>'Hodnocení '!HW10</f>
        <v>6598447</v>
      </c>
      <c r="HX10" s="688">
        <f>'Hodnocení '!HX10</f>
        <v>16398553</v>
      </c>
      <c r="HY10" s="688">
        <f>'Hodnocení '!HY10</f>
        <v>19179790.399999999</v>
      </c>
      <c r="HZ10" s="688">
        <f>'Hodnocení '!HZ10</f>
        <v>8971502</v>
      </c>
      <c r="IA10" s="688">
        <f>'Hodnocení '!IA10</f>
        <v>8428547.6799999997</v>
      </c>
      <c r="IB10" s="688">
        <f>'Hodnocení '!IB10</f>
        <v>8051083.1200000001</v>
      </c>
      <c r="IC10" s="688">
        <f>'Hodnocení '!IC10</f>
        <v>11508678</v>
      </c>
      <c r="ID10" s="688">
        <f>'Hodnocení '!ID10</f>
        <v>8612393</v>
      </c>
      <c r="IE10" s="688">
        <f>'Hodnocení '!IE10</f>
        <v>11610505.59</v>
      </c>
      <c r="IF10" s="688">
        <f>'Hodnocení '!IF10</f>
        <v>25207062</v>
      </c>
      <c r="IG10" s="688">
        <f>'Hodnocení '!IG10</f>
        <v>0</v>
      </c>
      <c r="IH10" s="688">
        <f>'Hodnocení '!IH10</f>
        <v>3140192.66</v>
      </c>
      <c r="II10" s="688">
        <f>'Hodnocení '!II10</f>
        <v>21264277.469999999</v>
      </c>
      <c r="IJ10" s="688">
        <f>'Hodnocení '!IJ10</f>
        <v>1087841.68</v>
      </c>
      <c r="IK10" s="688">
        <f>'Hodnocení '!IK10</f>
        <v>2879252.28</v>
      </c>
      <c r="IL10" s="688">
        <f>'Hodnocení '!IL10</f>
        <v>9206744.6699999999</v>
      </c>
      <c r="IM10" s="688">
        <f>'Hodnocení '!IM10</f>
        <v>793540</v>
      </c>
      <c r="IN10" s="688">
        <f>'Hodnocení '!IN10</f>
        <v>8799446</v>
      </c>
      <c r="IO10" s="688">
        <f>'Hodnocení '!IO10</f>
        <v>3457870</v>
      </c>
      <c r="IP10" s="688">
        <f>'Hodnocení '!IP10</f>
        <v>21096523.559999999</v>
      </c>
      <c r="IQ10" s="688">
        <f>'Hodnocení '!IQ10</f>
        <v>20962175.620000001</v>
      </c>
      <c r="IR10" s="688">
        <f>'Hodnocení '!IR10</f>
        <v>1096930.74</v>
      </c>
      <c r="IS10" s="688">
        <f>'Hodnocení '!IS10</f>
        <v>50345335</v>
      </c>
      <c r="IT10" s="688">
        <f>'Hodnocení '!IT10</f>
        <v>11419548</v>
      </c>
      <c r="IU10" s="688">
        <f>'Hodnocení '!IU10</f>
        <v>3157156</v>
      </c>
      <c r="IV10" s="688">
        <f>'Hodnocení '!IV10</f>
        <v>8682413</v>
      </c>
      <c r="IW10" s="688">
        <f>'Hodnocení '!IW10</f>
        <v>14262592</v>
      </c>
      <c r="IX10" s="688">
        <f>'Hodnocení '!IX10</f>
        <v>2016476</v>
      </c>
      <c r="IY10" s="688">
        <f>'Hodnocení '!IY10</f>
        <v>6664671.7800000003</v>
      </c>
      <c r="IZ10" s="688">
        <f>'Hodnocení '!IZ10</f>
        <v>15562864.1</v>
      </c>
      <c r="JA10" s="688">
        <f>'Hodnocení '!JA10</f>
        <v>3280934.38</v>
      </c>
      <c r="JB10" s="688">
        <f>'Hodnocení '!JB10</f>
        <v>3648089.45</v>
      </c>
      <c r="JC10" s="688">
        <f>'Hodnocení '!JC10</f>
        <v>2223069.46</v>
      </c>
      <c r="JD10" s="688">
        <f>'Hodnocení '!JD10</f>
        <v>5335152.05</v>
      </c>
      <c r="JE10" s="688">
        <f>'Hodnocení '!JE10</f>
        <v>919050.35</v>
      </c>
      <c r="JF10" s="688">
        <f>'Hodnocení '!JF10</f>
        <v>27612922.120000001</v>
      </c>
      <c r="JG10" s="688">
        <f>'Hodnocení '!JG10</f>
        <v>27368139.210000001</v>
      </c>
      <c r="JH10" s="689">
        <f>'Hodnocení '!JH10</f>
        <v>0</v>
      </c>
      <c r="JI10" s="381">
        <f>'Hodnocení '!JI10</f>
        <v>1240290511.8999994</v>
      </c>
      <c r="JL10" s="307">
        <f t="shared" si="20"/>
        <v>20141219</v>
      </c>
      <c r="JM10" s="307">
        <f t="shared" si="20"/>
        <v>383432307.24999982</v>
      </c>
      <c r="JN10" s="307">
        <f t="shared" si="20"/>
        <v>256710906.04000002</v>
      </c>
      <c r="JO10" s="307">
        <f t="shared" si="20"/>
        <v>580006079.61000013</v>
      </c>
      <c r="JP10" s="307">
        <f t="shared" si="22"/>
        <v>1240290511.9000001</v>
      </c>
    </row>
    <row r="11" spans="1:276" ht="15.75" thickBot="1" x14ac:dyDescent="0.3">
      <c r="B11" s="736" t="s">
        <v>1885</v>
      </c>
      <c r="C11" s="784">
        <f>'Hodnocení '!C11</f>
        <v>7253931.1743842196</v>
      </c>
      <c r="D11" s="690">
        <f>'Hodnocení '!D11</f>
        <v>6018141.5183983129</v>
      </c>
      <c r="E11" s="690">
        <f>'Hodnocení '!E11</f>
        <v>6700904.2160280943</v>
      </c>
      <c r="F11" s="690">
        <f>'Hodnocení '!F11</f>
        <v>3356411.8680831888</v>
      </c>
      <c r="G11" s="690">
        <f>'Hodnocení '!G11</f>
        <v>9794078.1840702184</v>
      </c>
      <c r="H11" s="690">
        <f>'Hodnocení '!H11</f>
        <v>0</v>
      </c>
      <c r="I11" s="690">
        <f>'Hodnocení '!I11</f>
        <v>1632806.4534168697</v>
      </c>
      <c r="J11" s="690">
        <f>'Hodnocení '!J11</f>
        <v>2612490.3254669919</v>
      </c>
      <c r="K11" s="690">
        <f>'Hodnocení '!K11</f>
        <v>5832458.0884846486</v>
      </c>
      <c r="L11" s="690">
        <f>'Hodnocení '!L11</f>
        <v>3148947.3769446653</v>
      </c>
      <c r="M11" s="690">
        <f>'Hodnocení '!M11</f>
        <v>3354808.3212812142</v>
      </c>
      <c r="N11" s="690">
        <f>'Hodnocení '!N11</f>
        <v>4302045.340781508</v>
      </c>
      <c r="O11" s="690">
        <f>'Hodnocení '!O11</f>
        <v>3963353.1021134635</v>
      </c>
      <c r="P11" s="690">
        <f>'Hodnocení '!P11</f>
        <v>2642813.293818519</v>
      </c>
      <c r="Q11" s="690">
        <f>'Hodnocení '!Q11</f>
        <v>1305882.4059681923</v>
      </c>
      <c r="R11" s="690">
        <f>'Hodnocení '!R11</f>
        <v>2154705.9698475171</v>
      </c>
      <c r="S11" s="690">
        <f>'Hodnocení '!S11</f>
        <v>1501764.7668634208</v>
      </c>
      <c r="T11" s="690">
        <f>'Hodnocení '!T11</f>
        <v>652941.20298409613</v>
      </c>
      <c r="U11" s="690">
        <f>'Hodnocení '!U11</f>
        <v>979411.80447614403</v>
      </c>
      <c r="V11" s="690">
        <f>'Hodnocení '!V11</f>
        <v>12858336.733326502</v>
      </c>
      <c r="W11" s="690">
        <f>'Hodnocení '!W11</f>
        <v>3553330.6692324439</v>
      </c>
      <c r="X11" s="690">
        <f>'Hodnocení '!X11</f>
        <v>949446.29525559139</v>
      </c>
      <c r="Y11" s="690">
        <f>'Hodnocení '!Y11</f>
        <v>1731260.9143099778</v>
      </c>
      <c r="Z11" s="690">
        <f>'Hodnocení '!Z11</f>
        <v>8070927.7097250205</v>
      </c>
      <c r="AA11" s="690">
        <f>'Hodnocení '!AA11</f>
        <v>3777932.0873793103</v>
      </c>
      <c r="AB11" s="690">
        <f>'Hodnocení '!AB11</f>
        <v>2278195.1610143678</v>
      </c>
      <c r="AC11" s="690">
        <f>'Hodnocení '!AC11</f>
        <v>1238168.979476199</v>
      </c>
      <c r="AD11" s="690">
        <f>'Hodnocení '!AD11</f>
        <v>1318524.7637453033</v>
      </c>
      <c r="AE11" s="690">
        <f>'Hodnocení '!AE11</f>
        <v>1070414.0914241378</v>
      </c>
      <c r="AF11" s="690">
        <f>'Hodnocení '!AF11</f>
        <v>2377366.1961749624</v>
      </c>
      <c r="AG11" s="690">
        <f>'Hodnocení '!AG11</f>
        <v>2969025.2996239332</v>
      </c>
      <c r="AH11" s="690">
        <f>'Hodnocení '!AH11</f>
        <v>1147766.1417678613</v>
      </c>
      <c r="AI11" s="690">
        <f>'Hodnocení '!AI11</f>
        <v>4464267.9845357994</v>
      </c>
      <c r="AJ11" s="690">
        <f>'Hodnocení '!AJ11</f>
        <v>3595772.4861314795</v>
      </c>
      <c r="AK11" s="690">
        <f>'Hodnocení '!AK11</f>
        <v>1371176.5262666019</v>
      </c>
      <c r="AL11" s="690">
        <f>'Hodnocení '!AL11</f>
        <v>1888966.0436896549</v>
      </c>
      <c r="AM11" s="690">
        <f>'Hodnocení '!AM11</f>
        <v>1371176.5262666019</v>
      </c>
      <c r="AN11" s="690">
        <f>'Hodnocení '!AN11</f>
        <v>874941.21199868876</v>
      </c>
      <c r="AO11" s="690">
        <f>'Hodnocení '!AO11</f>
        <v>5230858.2727248725</v>
      </c>
      <c r="AP11" s="690">
        <f>'Hodnocení '!AP11</f>
        <v>2014488.5395707032</v>
      </c>
      <c r="AQ11" s="690">
        <f>'Hodnocení '!AQ11</f>
        <v>261176.48119363846</v>
      </c>
      <c r="AR11" s="690">
        <f>'Hodnocení '!AR11</f>
        <v>881470.62402852974</v>
      </c>
      <c r="AS11" s="690">
        <f>'Hodnocení '!AS11</f>
        <v>391764.72179045767</v>
      </c>
      <c r="AT11" s="690">
        <f>'Hodnocení '!AT11</f>
        <v>1780420.5814452323</v>
      </c>
      <c r="AU11" s="690">
        <f>'Hodnocení '!AU11</f>
        <v>924106.82107958512</v>
      </c>
      <c r="AV11" s="690">
        <f>'Hodnocení '!AV11</f>
        <v>1857483.2762948275</v>
      </c>
      <c r="AW11" s="690">
        <f>'Hodnocení '!AW11</f>
        <v>3097353.9259303808</v>
      </c>
      <c r="AX11" s="690">
        <f>'Hodnocení '!AX11</f>
        <v>2339671.4980174275</v>
      </c>
      <c r="AY11" s="690">
        <f>'Hodnocení '!AY11</f>
        <v>2755493.4536365326</v>
      </c>
      <c r="AZ11" s="690">
        <f>'Hodnocení '!AZ11</f>
        <v>3267030.1242453624</v>
      </c>
      <c r="BA11" s="690">
        <f>'Hodnocení '!BA11</f>
        <v>8766074.9843155295</v>
      </c>
      <c r="BB11" s="690">
        <f>'Hodnocení '!BB11</f>
        <v>1240588.2856697824</v>
      </c>
      <c r="BC11" s="690">
        <f>'Hodnocení '!BC11</f>
        <v>1197762.178977177</v>
      </c>
      <c r="BD11" s="690">
        <f>'Hodnocení '!BD11</f>
        <v>1207941.2255205777</v>
      </c>
      <c r="BE11" s="690">
        <f>'Hodnocení '!BE11</f>
        <v>947027.74298178451</v>
      </c>
      <c r="BF11" s="690">
        <f>'Hodnocení '!BF11</f>
        <v>1567058.8871618307</v>
      </c>
      <c r="BG11" s="690">
        <f>'Hodnocení '!BG11</f>
        <v>3579084.1774242288</v>
      </c>
      <c r="BH11" s="690">
        <f>'Hodnocení '!BH11</f>
        <v>3353663.400878673</v>
      </c>
      <c r="BI11" s="690">
        <f>'Hodnocení '!BI11</f>
        <v>2600084.7090806686</v>
      </c>
      <c r="BJ11" s="690">
        <f>'Hodnocení '!BJ11</f>
        <v>2402971.2867579698</v>
      </c>
      <c r="BK11" s="690">
        <f>'Hodnocení '!BK11</f>
        <v>979683.87205012201</v>
      </c>
      <c r="BL11" s="690">
        <f>'Hodnocení '!BL11</f>
        <v>0</v>
      </c>
      <c r="BM11" s="690">
        <f>'Hodnocení '!BM11</f>
        <v>2089992.2603735935</v>
      </c>
      <c r="BN11" s="690">
        <f>'Hodnocení '!BN11</f>
        <v>1188352.9894310548</v>
      </c>
      <c r="BO11" s="690">
        <f>'Hodnocení '!BO11</f>
        <v>834560.15289268037</v>
      </c>
      <c r="BP11" s="690">
        <f>'Hodnocení '!BP11</f>
        <v>4317419.02728895</v>
      </c>
      <c r="BQ11" s="690">
        <f>'Hodnocení '!BQ11</f>
        <v>751090.96857175999</v>
      </c>
      <c r="BR11" s="690">
        <f>'Hodnocení '!BR11</f>
        <v>881470.62402852974</v>
      </c>
      <c r="BS11" s="690">
        <f>'Hodnocení '!BS11</f>
        <v>1175294.1653713728</v>
      </c>
      <c r="BT11" s="690">
        <f>'Hodnocení '!BT11</f>
        <v>979411.80447614403</v>
      </c>
      <c r="BU11" s="690">
        <f>'Hodnocení '!BU11</f>
        <v>3575511.7419803217</v>
      </c>
      <c r="BV11" s="690">
        <f>'Hodnocení '!BV11</f>
        <v>957945.87881279143</v>
      </c>
      <c r="BW11" s="690">
        <f>'Hodnocení '!BW11</f>
        <v>261176.48119363846</v>
      </c>
      <c r="BX11" s="690">
        <f>'Hodnocení '!BX11</f>
        <v>4269203.734533364</v>
      </c>
      <c r="BY11" s="690">
        <f>'Hodnocení '!BY11</f>
        <v>1756052.4149111549</v>
      </c>
      <c r="BZ11" s="690">
        <f>'Hodnocení '!BZ11</f>
        <v>215364.26264621396</v>
      </c>
      <c r="CA11" s="690">
        <f>'Hodnocení '!CA11</f>
        <v>0</v>
      </c>
      <c r="CB11" s="690">
        <f>'Hodnocení '!CB11</f>
        <v>177723.21287342251</v>
      </c>
      <c r="CC11" s="690">
        <f>'Hodnocení '!CC11</f>
        <v>2122058.9096983122</v>
      </c>
      <c r="CD11" s="690">
        <f>'Hodnocení '!CD11</f>
        <v>652941.20298409613</v>
      </c>
      <c r="CE11" s="690">
        <f>'Hodnocení '!CE11</f>
        <v>11899075.681163318</v>
      </c>
      <c r="CF11" s="690">
        <f>'Hodnocení '!CF11</f>
        <v>3490212.6099140383</v>
      </c>
      <c r="CG11" s="690">
        <f>'Hodnocení '!CG11</f>
        <v>9205780.3046253845</v>
      </c>
      <c r="CH11" s="690">
        <f>'Hodnocení '!CH11</f>
        <v>3934052.0762607008</v>
      </c>
      <c r="CI11" s="690">
        <f>'Hodnocení '!CI11</f>
        <v>3082510.847786963</v>
      </c>
      <c r="CJ11" s="690">
        <f>'Hodnocení '!CJ11</f>
        <v>3688924.5340801133</v>
      </c>
      <c r="CK11" s="690">
        <f>'Hodnocení '!CK11</f>
        <v>5002916.6745204553</v>
      </c>
      <c r="CL11" s="690">
        <f>'Hodnocení '!CL11</f>
        <v>2566771.7447713199</v>
      </c>
      <c r="CM11" s="690">
        <f>'Hodnocení '!CM11</f>
        <v>5464348.686696548</v>
      </c>
      <c r="CN11" s="690">
        <f>'Hodnocení '!CN11</f>
        <v>1155133.5263494812</v>
      </c>
      <c r="CO11" s="690">
        <f>'Hodnocení '!CO11</f>
        <v>1155133.5263494812</v>
      </c>
      <c r="CP11" s="690">
        <f>'Hodnocení '!CP11</f>
        <v>1155133.5263494812</v>
      </c>
      <c r="CQ11" s="690">
        <f>'Hodnocení '!CQ11</f>
        <v>4722415.1092241379</v>
      </c>
      <c r="CR11" s="690">
        <f>'Hodnocení '!CR11</f>
        <v>0</v>
      </c>
      <c r="CS11" s="690">
        <f>'Hodnocení '!CS11</f>
        <v>0</v>
      </c>
      <c r="CT11" s="690">
        <f>'Hodnocení '!CT11</f>
        <v>3296860.2687819041</v>
      </c>
      <c r="CU11" s="690">
        <f>'Hodnocení '!CU11</f>
        <v>1756052.4149111549</v>
      </c>
      <c r="CV11" s="690">
        <f>'Hodnocení '!CV11</f>
        <v>4469978.6406120816</v>
      </c>
      <c r="CW11" s="690">
        <f>'Hodnocení '!CW11</f>
        <v>0</v>
      </c>
      <c r="CX11" s="690">
        <f>'Hodnocení '!CX11</f>
        <v>3350799.4542762777</v>
      </c>
      <c r="CY11" s="690">
        <f>'Hodnocení '!CY11</f>
        <v>2251534.6690322496</v>
      </c>
      <c r="CZ11" s="690">
        <f>'Hodnocení '!CZ11</f>
        <v>1101896.8588189655</v>
      </c>
      <c r="DA11" s="690">
        <f>'Hodnocení '!DA11</f>
        <v>1196457.2349794924</v>
      </c>
      <c r="DB11" s="690">
        <f>'Hodnocení '!DB11</f>
        <v>750882.38343171042</v>
      </c>
      <c r="DC11" s="690">
        <f>'Hodnocení '!DC11</f>
        <v>1443916.9079368515</v>
      </c>
      <c r="DD11" s="690">
        <f>'Hodnocení '!DD11</f>
        <v>4898419.3602506099</v>
      </c>
      <c r="DE11" s="690">
        <f>'Hodnocení '!DE11</f>
        <v>6857787.1043508537</v>
      </c>
      <c r="DF11" s="690">
        <f>'Hodnocení '!DF11</f>
        <v>5551541.9416173585</v>
      </c>
      <c r="DG11" s="690">
        <f>'Hodnocení '!DG11</f>
        <v>0</v>
      </c>
      <c r="DH11" s="690">
        <f>'Hodnocení '!DH11</f>
        <v>1213301.4153860291</v>
      </c>
      <c r="DI11" s="690">
        <f>'Hodnocení '!DI11</f>
        <v>1003542.6720014433</v>
      </c>
      <c r="DJ11" s="690">
        <f>'Hodnocení '!DJ11</f>
        <v>1959367.744100244</v>
      </c>
      <c r="DK11" s="690">
        <f>'Hodnocení '!DK11</f>
        <v>881715.48484510975</v>
      </c>
      <c r="DL11" s="690">
        <f>'Hodnocení '!DL11</f>
        <v>3777673.8894324512</v>
      </c>
      <c r="DM11" s="690">
        <f>'Hodnocení '!DM11</f>
        <v>2036275.2140628891</v>
      </c>
      <c r="DN11" s="690">
        <f>'Hodnocení '!DN11</f>
        <v>2887833.815873703</v>
      </c>
      <c r="DO11" s="690">
        <f>'Hodnocení '!DO11</f>
        <v>1306245.1627334959</v>
      </c>
      <c r="DP11" s="690">
        <f>'Hodnocení '!DP11</f>
        <v>3465400.5790484436</v>
      </c>
      <c r="DQ11" s="690">
        <f>'Hodnocení '!DQ11</f>
        <v>3652001.0177999996</v>
      </c>
      <c r="DR11" s="690">
        <f>'Hodnocení '!DR11</f>
        <v>3463104.4134310344</v>
      </c>
      <c r="DS11" s="690">
        <f>'Hodnocení '!DS11</f>
        <v>0</v>
      </c>
      <c r="DT11" s="690">
        <f>'Hodnocení '!DT11</f>
        <v>3727483.4058488263</v>
      </c>
      <c r="DU11" s="690">
        <f>'Hodnocení '!DU11</f>
        <v>1617735.2205147056</v>
      </c>
      <c r="DV11" s="690">
        <f>'Hodnocení '!DV11</f>
        <v>6580466.9658008739</v>
      </c>
      <c r="DW11" s="690">
        <f>'Hodnocení '!DW11</f>
        <v>0</v>
      </c>
      <c r="DX11" s="690">
        <f>'Hodnocení '!DX11</f>
        <v>3918735.488200488</v>
      </c>
      <c r="DY11" s="690">
        <f>'Hodnocení '!DY11</f>
        <v>3616911.3959229048</v>
      </c>
      <c r="DZ11" s="690">
        <f>'Hodnocení '!DZ11</f>
        <v>397983.60368845816</v>
      </c>
      <c r="EA11" s="690">
        <f>'Hodnocení '!EA11</f>
        <v>2958446.6157147288</v>
      </c>
      <c r="EB11" s="690">
        <f>'Hodnocení '!EB11</f>
        <v>4038266.8695855243</v>
      </c>
      <c r="EC11" s="690">
        <f>'Hodnocení '!EC11</f>
        <v>2759511.876270676</v>
      </c>
      <c r="ED11" s="690">
        <f>'Hodnocení '!ED11</f>
        <v>3347730.9881066624</v>
      </c>
      <c r="EE11" s="690">
        <f>'Hodnocení '!EE11</f>
        <v>750882.38343171042</v>
      </c>
      <c r="EF11" s="690">
        <f>'Hodnocení '!EF11</f>
        <v>816176.50373012014</v>
      </c>
      <c r="EG11" s="690">
        <f>'Hodnocení '!EG11</f>
        <v>391764.72179045767</v>
      </c>
      <c r="EH11" s="690">
        <f>'Hodnocení '!EH11</f>
        <v>693513.68721179385</v>
      </c>
      <c r="EI11" s="690">
        <f>'Hodnocení '!EI11</f>
        <v>1156230.8160456021</v>
      </c>
      <c r="EJ11" s="690">
        <f>'Hodnocení '!EJ11</f>
        <v>1044996.1301867968</v>
      </c>
      <c r="EK11" s="690">
        <f>'Hodnocení '!EK11</f>
        <v>3132689.8850896731</v>
      </c>
      <c r="EL11" s="690">
        <f>'Hodnocení '!EL11</f>
        <v>10147834.972545603</v>
      </c>
      <c r="EM11" s="690">
        <f>'Hodnocení '!EM11</f>
        <v>2881884.4732994391</v>
      </c>
      <c r="EN11" s="690">
        <f>'Hodnocení '!EN11</f>
        <v>2203793.717637931</v>
      </c>
      <c r="EO11" s="690">
        <f>'Hodnocení '!EO11</f>
        <v>261176.48119363846</v>
      </c>
      <c r="EP11" s="690">
        <f>'Hodnocení '!EP11</f>
        <v>2130392.9173067738</v>
      </c>
      <c r="EQ11" s="690">
        <f>'Hodnocení '!EQ11</f>
        <v>1632806.4534168697</v>
      </c>
      <c r="ER11" s="690">
        <f>'Hodnocení '!ER11</f>
        <v>9911915.930643402</v>
      </c>
      <c r="ES11" s="690">
        <f>'Hodnocení '!ES11</f>
        <v>3580811.1671774774</v>
      </c>
      <c r="ET11" s="690">
        <f>'Hodnocení '!ET11</f>
        <v>0</v>
      </c>
      <c r="EU11" s="690">
        <f>'Hodnocení '!EU11</f>
        <v>0</v>
      </c>
      <c r="EV11" s="690">
        <f>'Hodnocení '!EV11</f>
        <v>457058.84208886721</v>
      </c>
      <c r="EW11" s="690">
        <f>'Hodnocení '!EW11</f>
        <v>3777673.8894324512</v>
      </c>
      <c r="EX11" s="690">
        <f>'Hodnocení '!EX11</f>
        <v>9541812.599239897</v>
      </c>
      <c r="EY11" s="690">
        <f>'Hodnocení '!EY11</f>
        <v>2833449.0655344822</v>
      </c>
      <c r="EZ11" s="690">
        <f>'Hodnocení '!EZ11</f>
        <v>998726.42537795065</v>
      </c>
      <c r="FA11" s="690">
        <f>'Hodnocení '!FA11</f>
        <v>2241241.5687962659</v>
      </c>
      <c r="FB11" s="690">
        <f>'Hodnocení '!FB11</f>
        <v>223885.32866006476</v>
      </c>
      <c r="FC11" s="690">
        <f>'Hodnocení '!FC11</f>
        <v>5651441.1695214566</v>
      </c>
      <c r="FD11" s="690">
        <f>'Hodnocení '!FD11</f>
        <v>1444437.3396539793</v>
      </c>
      <c r="FE11" s="690">
        <f>'Hodnocení '!FE11</f>
        <v>652996.20966290007</v>
      </c>
      <c r="FF11" s="690">
        <f>'Hodnocení '!FF11</f>
        <v>1888836.9447162256</v>
      </c>
      <c r="FG11" s="690">
        <f>'Hodnocení '!FG11</f>
        <v>8002345.6251694188</v>
      </c>
      <c r="FH11" s="690">
        <f>'Hodnocení '!FH11</f>
        <v>9694167.1283496041</v>
      </c>
      <c r="FI11" s="690">
        <f>'Hodnocení '!FI11</f>
        <v>9455381.6508325413</v>
      </c>
      <c r="FJ11" s="690">
        <f>'Hodnocení '!FJ11</f>
        <v>2564701.0047196737</v>
      </c>
      <c r="FK11" s="690">
        <f>'Hodnocení '!FK11</f>
        <v>808648.58980851865</v>
      </c>
      <c r="FL11" s="690">
        <f>'Hodnocení '!FL11</f>
        <v>1031922.4512618496</v>
      </c>
      <c r="FM11" s="690">
        <f>'Hodnocení '!FM11</f>
        <v>4857862.244340159</v>
      </c>
      <c r="FN11" s="690">
        <f>'Hodnocení '!FN11</f>
        <v>6699624.9863826567</v>
      </c>
      <c r="FO11" s="690">
        <f>'Hodnocení '!FO11</f>
        <v>2708162.4607558884</v>
      </c>
      <c r="FP11" s="690">
        <f>'Hodnocení '!FP11</f>
        <v>15992776.879912134</v>
      </c>
      <c r="FQ11" s="690">
        <f>'Hodnocení '!FQ11</f>
        <v>2032047.794227205</v>
      </c>
      <c r="FR11" s="690">
        <f>'Hodnocení '!FR11</f>
        <v>0</v>
      </c>
      <c r="FS11" s="690">
        <f>'Hodnocení '!FS11</f>
        <v>856567.17101530614</v>
      </c>
      <c r="FT11" s="690">
        <f>'Hodnocení '!FT11</f>
        <v>4966478.1503798347</v>
      </c>
      <c r="FU11" s="690">
        <f>'Hodnocení '!FU11</f>
        <v>726788.55762446951</v>
      </c>
      <c r="FV11" s="690">
        <f>'Hodnocení '!FV11</f>
        <v>1567265.58172962</v>
      </c>
      <c r="FW11" s="690">
        <f>'Hodnocení '!FW11</f>
        <v>1849598.6563236092</v>
      </c>
      <c r="FX11" s="690">
        <f>'Hodnocení '!FX11</f>
        <v>862956.54282835627</v>
      </c>
      <c r="FY11" s="690">
        <f>'Hodnocení '!FY11</f>
        <v>499064.67741452297</v>
      </c>
      <c r="FZ11" s="690">
        <f>'Hodnocení '!FZ11</f>
        <v>6607943.9537622668</v>
      </c>
      <c r="GA11" s="690">
        <f>'Hodnocení '!GA11</f>
        <v>818831.74016357516</v>
      </c>
      <c r="GB11" s="690">
        <f>'Hodnocení '!GB11</f>
        <v>5275514.7232923917</v>
      </c>
      <c r="GC11" s="690">
        <f>'Hodnocení '!GC11</f>
        <v>2969025.2996239332</v>
      </c>
      <c r="GD11" s="690">
        <f>'Hodnocení '!GD11</f>
        <v>11888053.926946657</v>
      </c>
      <c r="GE11" s="690">
        <f>'Hodnocení '!GE11</f>
        <v>2089992.2603735935</v>
      </c>
      <c r="GF11" s="690">
        <f>'Hodnocení '!GF11</f>
        <v>3656973.6715100789</v>
      </c>
      <c r="GG11" s="690">
        <f>'Hodnocení '!GG11</f>
        <v>1388780.0409474387</v>
      </c>
      <c r="GH11" s="690">
        <f>'Hodnocení '!GH11</f>
        <v>1293108.3027074491</v>
      </c>
      <c r="GI11" s="690">
        <f>'Hodnocení '!GI11</f>
        <v>12679530.755537022</v>
      </c>
      <c r="GJ11" s="690">
        <f>'Hodnocení '!GJ11</f>
        <v>2670033.0227403729</v>
      </c>
      <c r="GK11" s="690">
        <f>'Hodnocení '!GK11</f>
        <v>2748991.7287827348</v>
      </c>
      <c r="GL11" s="690">
        <f>'Hodnocení '!GL11</f>
        <v>1128588.9703077741</v>
      </c>
      <c r="GM11" s="690">
        <f>'Hodnocení '!GM11</f>
        <v>1357281.8934606405</v>
      </c>
      <c r="GN11" s="690">
        <f>'Hodnocení '!GN11</f>
        <v>1259310.6957931034</v>
      </c>
      <c r="GO11" s="690">
        <f>'Hodnocení '!GO11</f>
        <v>6728510.1253123619</v>
      </c>
      <c r="GP11" s="690">
        <f>'Hodnocení '!GP11</f>
        <v>1111891.8109867133</v>
      </c>
      <c r="GQ11" s="690">
        <f>'Hodnocení '!GQ11</f>
        <v>1484512.6498119666</v>
      </c>
      <c r="GR11" s="690">
        <f>'Hodnocení '!GR11</f>
        <v>1422760.6984073783</v>
      </c>
      <c r="GS11" s="690">
        <f>'Hodnocení '!GS11</f>
        <v>808648.58980851865</v>
      </c>
      <c r="GT11" s="690">
        <f>'Hodnocení '!GT11</f>
        <v>12438942.773795024</v>
      </c>
      <c r="GU11" s="690">
        <f>'Hodnocení '!GU11</f>
        <v>1874161.6701880307</v>
      </c>
      <c r="GV11" s="690">
        <f>'Hodnocení '!GV11</f>
        <v>0</v>
      </c>
      <c r="GW11" s="690">
        <f>'Hodnocení '!GW11</f>
        <v>2160376.7098154146</v>
      </c>
      <c r="GX11" s="690">
        <f>'Hodnocení '!GX11</f>
        <v>715102.34839606436</v>
      </c>
      <c r="GY11" s="690">
        <f>'Hodnocení '!GY11</f>
        <v>27177830.707781576</v>
      </c>
      <c r="GZ11" s="690">
        <f>'Hodnocení '!GZ11</f>
        <v>0</v>
      </c>
      <c r="HA11" s="690">
        <f>'Hodnocení '!HA11</f>
        <v>9224564.6293061599</v>
      </c>
      <c r="HB11" s="690">
        <f>'Hodnocení '!HB11</f>
        <v>8877994.3697692696</v>
      </c>
      <c r="HC11" s="690">
        <f>'Hodnocení '!HC11</f>
        <v>11950562.569052694</v>
      </c>
      <c r="HD11" s="690">
        <f>'Hodnocení '!HD11</f>
        <v>2969025.2996239332</v>
      </c>
      <c r="HE11" s="690">
        <f>'Hodnocení '!HE11</f>
        <v>8989030.9852751978</v>
      </c>
      <c r="HF11" s="690">
        <f>'Hodnocení '!HF11</f>
        <v>2401777.145660161</v>
      </c>
      <c r="HG11" s="690">
        <f>'Hodnocení '!HG11</f>
        <v>1393243.2102981168</v>
      </c>
      <c r="HH11" s="690">
        <f>'Hodnocení '!HH11</f>
        <v>1888836.9447162256</v>
      </c>
      <c r="HI11" s="690">
        <f>'Hodnocení '!HI11</f>
        <v>3777673.8894324512</v>
      </c>
      <c r="HJ11" s="690">
        <f>'Hodnocení '!HJ11</f>
        <v>816403.22670843487</v>
      </c>
      <c r="HK11" s="690">
        <f>'Hodnocení '!HK11</f>
        <v>1065118.6902804859</v>
      </c>
      <c r="HL11" s="690">
        <f>'Hodnocení '!HL11</f>
        <v>35906560.047242559</v>
      </c>
      <c r="HM11" s="690">
        <f>'Hodnocení '!HM11</f>
        <v>20836713.109553799</v>
      </c>
      <c r="HN11" s="690">
        <f>'Hodnocení '!HN11</f>
        <v>681417.86370468384</v>
      </c>
      <c r="HO11" s="690">
        <f>'Hodnocení '!HO11</f>
        <v>2351241.2929202928</v>
      </c>
      <c r="HP11" s="690">
        <f>'Hodnocení '!HP11</f>
        <v>27695109.016412284</v>
      </c>
      <c r="HQ11" s="690">
        <f>'Hodnocení '!HQ11</f>
        <v>892513.53926490422</v>
      </c>
      <c r="HR11" s="690">
        <f>'Hodnocení '!HR11</f>
        <v>28798371.784613065</v>
      </c>
      <c r="HS11" s="690">
        <f>'Hodnocení '!HS11</f>
        <v>5211615.6385451872</v>
      </c>
      <c r="HT11" s="690">
        <f>'Hodnocení '!HT11</f>
        <v>15420172.499446899</v>
      </c>
      <c r="HU11" s="690">
        <f>'Hodnocení '!HU11</f>
        <v>22660249.141715292</v>
      </c>
      <c r="HV11" s="690">
        <f>'Hodnocení '!HV11</f>
        <v>16942794.897047374</v>
      </c>
      <c r="HW11" s="690">
        <f>'Hodnocení '!HW11</f>
        <v>5907955.0246689552</v>
      </c>
      <c r="HX11" s="690">
        <f>'Hodnocení '!HX11</f>
        <v>17912695.400721401</v>
      </c>
      <c r="HY11" s="690">
        <f>'Hodnocení '!HY11</f>
        <v>15346956.744452871</v>
      </c>
      <c r="HZ11" s="690">
        <f>'Hodnocení '!HZ11</f>
        <v>7599953.7869180217</v>
      </c>
      <c r="IA11" s="690">
        <f>'Hodnocení '!IA11</f>
        <v>9026168.4377509337</v>
      </c>
      <c r="IB11" s="690">
        <f>'Hodnocení '!IB11</f>
        <v>5814281.5854963101</v>
      </c>
      <c r="IC11" s="690">
        <f>'Hodnocení '!IC11</f>
        <v>13540412.284037963</v>
      </c>
      <c r="ID11" s="690">
        <f>'Hodnocení '!ID11</f>
        <v>9878926.294229731</v>
      </c>
      <c r="IE11" s="690">
        <f>'Hodnocení '!IE11</f>
        <v>13460999.001149824</v>
      </c>
      <c r="IF11" s="690">
        <f>'Hodnocení '!IF11</f>
        <v>16383724.457242023</v>
      </c>
      <c r="IG11" s="690">
        <f>'Hodnocení '!IG11</f>
        <v>0</v>
      </c>
      <c r="IH11" s="690">
        <f>'Hodnocení '!IH11</f>
        <v>3570582.6606337745</v>
      </c>
      <c r="II11" s="690">
        <f>'Hodnocení '!II11</f>
        <v>15627057.02579583</v>
      </c>
      <c r="IJ11" s="690">
        <f>'Hodnocení '!IJ11</f>
        <v>858421.91001958004</v>
      </c>
      <c r="IK11" s="690">
        <f>'Hodnocení '!IK11</f>
        <v>2814958.3256906834</v>
      </c>
      <c r="IL11" s="690">
        <f>'Hodnocení '!IL11</f>
        <v>7361534.7700161897</v>
      </c>
      <c r="IM11" s="690">
        <f>'Hodnocení '!IM11</f>
        <v>473953.55398023129</v>
      </c>
      <c r="IN11" s="690">
        <f>'Hodnocení '!IN11</f>
        <v>7529254.3264304642</v>
      </c>
      <c r="IO11" s="690">
        <f>'Hodnocení '!IO11</f>
        <v>3477918.357343093</v>
      </c>
      <c r="IP11" s="690">
        <f>'Hodnocení '!IP11</f>
        <v>17840666.314485785</v>
      </c>
      <c r="IQ11" s="690">
        <f>'Hodnocení '!IQ11</f>
        <v>18014986.857664142</v>
      </c>
      <c r="IR11" s="690">
        <f>'Hodnocení '!IR11</f>
        <v>900522.41901386355</v>
      </c>
      <c r="IS11" s="690">
        <f>'Hodnocení '!IS11</f>
        <v>48085731.884111404</v>
      </c>
      <c r="IT11" s="690">
        <f>'Hodnocení '!IT11</f>
        <v>13306011.066545848</v>
      </c>
      <c r="IU11" s="690">
        <f>'Hodnocení '!IU11</f>
        <v>3051917.3054351504</v>
      </c>
      <c r="IV11" s="690">
        <f>'Hodnocení '!IV11</f>
        <v>6984653.0494687613</v>
      </c>
      <c r="IW11" s="690">
        <f>'Hodnocení '!IW11</f>
        <v>11123612.661344156</v>
      </c>
      <c r="IX11" s="690">
        <f>'Hodnocení '!IX11</f>
        <v>1817438.9168937064</v>
      </c>
      <c r="IY11" s="690">
        <f>'Hodnocení '!IY11</f>
        <v>10276125.187622359</v>
      </c>
      <c r="IZ11" s="690">
        <f>'Hodnocení '!IZ11</f>
        <v>17411344.248369318</v>
      </c>
      <c r="JA11" s="690">
        <f>'Hodnocení '!JA11</f>
        <v>2709705.9923839988</v>
      </c>
      <c r="JB11" s="690">
        <f>'Hodnocení '!JB11</f>
        <v>3396742.0780731477</v>
      </c>
      <c r="JC11" s="690">
        <f>'Hodnocení '!JC11</f>
        <v>1905970.3184766439</v>
      </c>
      <c r="JD11" s="690">
        <f>'Hodnocení '!JD11</f>
        <v>5290292.9090706585</v>
      </c>
      <c r="JE11" s="690">
        <f>'Hodnocení '!JE11</f>
        <v>3082011.2972244062</v>
      </c>
      <c r="JF11" s="690">
        <f>'Hodnocení '!JF11</f>
        <v>30771450.376357097</v>
      </c>
      <c r="JG11" s="690">
        <f>'Hodnocení '!JG11</f>
        <v>24841932.313909419</v>
      </c>
      <c r="JH11" s="691">
        <f>'Hodnocení '!JH11</f>
        <v>2521604.5873203734</v>
      </c>
      <c r="JI11" s="384">
        <f>'Hodnocení '!JI11</f>
        <v>1225070942.4307156</v>
      </c>
      <c r="JJ11" s="307"/>
      <c r="JK11" s="307"/>
      <c r="JL11" s="307">
        <f t="shared" si="20"/>
        <v>19972976.908810627</v>
      </c>
      <c r="JM11" s="307">
        <f t="shared" si="20"/>
        <v>375785883.39495528</v>
      </c>
      <c r="JN11" s="307">
        <f t="shared" si="20"/>
        <v>271996849.56613517</v>
      </c>
      <c r="JO11" s="307">
        <f t="shared" si="20"/>
        <v>557315232.56081438</v>
      </c>
      <c r="JP11" s="307">
        <f t="shared" si="22"/>
        <v>1225070942.4307156</v>
      </c>
    </row>
    <row r="12" spans="1:276" x14ac:dyDescent="0.25">
      <c r="B12" s="733" t="s">
        <v>1815</v>
      </c>
      <c r="C12" s="779">
        <f>'Hodnocení '!C12</f>
        <v>8686484</v>
      </c>
      <c r="D12" s="479">
        <f>'Hodnocení '!D12</f>
        <v>7092158</v>
      </c>
      <c r="E12" s="479">
        <f>'Hodnocení '!E12</f>
        <v>8247386</v>
      </c>
      <c r="F12" s="479">
        <f>'Hodnocení '!F12</f>
        <v>3768282</v>
      </c>
      <c r="G12" s="479">
        <f>'Hodnocení '!G12</f>
        <v>11188564</v>
      </c>
      <c r="H12" s="479">
        <f>'Hodnocení '!H12</f>
        <v>1214072</v>
      </c>
      <c r="I12" s="479">
        <f>'Hodnocení '!I12</f>
        <v>3000514</v>
      </c>
      <c r="J12" s="479">
        <f>'Hodnocení '!J12</f>
        <v>2857632</v>
      </c>
      <c r="K12" s="479">
        <f>'Hodnocení '!K12</f>
        <v>5690645</v>
      </c>
      <c r="L12" s="479">
        <f>'Hodnocení '!L12</f>
        <v>3871394</v>
      </c>
      <c r="M12" s="479">
        <f>'Hodnocení '!M12</f>
        <v>3771306</v>
      </c>
      <c r="N12" s="479">
        <f>'Hodnocení '!N12</f>
        <v>4773373</v>
      </c>
      <c r="O12" s="479">
        <f>'Hodnocení '!O12</f>
        <v>4322362</v>
      </c>
      <c r="P12" s="479">
        <f>'Hodnocení '!P12</f>
        <v>2876113</v>
      </c>
      <c r="Q12" s="479">
        <f>'Hodnocení '!Q12</f>
        <v>1922632</v>
      </c>
      <c r="R12" s="479">
        <f>'Hodnocení '!R12</f>
        <v>2349884</v>
      </c>
      <c r="S12" s="479">
        <f>'Hodnocení '!S12</f>
        <v>1637798</v>
      </c>
      <c r="T12" s="479">
        <f>'Hodnocení '!T12</f>
        <v>712086</v>
      </c>
      <c r="U12" s="479">
        <f>'Hodnocení '!U12</f>
        <v>1068129</v>
      </c>
      <c r="V12" s="479">
        <f>'Hodnocení '!V12</f>
        <v>14450695</v>
      </c>
      <c r="W12" s="479">
        <f>'Hodnocení '!W12</f>
        <v>3929260</v>
      </c>
      <c r="X12" s="479">
        <f>'Hodnocení '!X12</f>
        <v>1458142</v>
      </c>
      <c r="Y12" s="479">
        <f>'Hodnocení '!Y12</f>
        <v>1954670</v>
      </c>
      <c r="Z12" s="479">
        <f>'Hodnocení '!Z12</f>
        <v>9128186</v>
      </c>
      <c r="AA12" s="479">
        <f>'Hodnocení '!AA12</f>
        <v>4131849</v>
      </c>
      <c r="AB12" s="479">
        <f>'Hodnocení '!AB12</f>
        <v>2555860</v>
      </c>
      <c r="AC12" s="479">
        <f>'Hodnocení '!AC12</f>
        <v>1375174</v>
      </c>
      <c r="AD12" s="479">
        <f>'Hodnocení '!AD12</f>
        <v>1556974</v>
      </c>
      <c r="AE12" s="479">
        <f>'Hodnocení '!AE12</f>
        <v>1170691</v>
      </c>
      <c r="AF12" s="479">
        <f>'Hodnocení '!AF12</f>
        <v>2600445</v>
      </c>
      <c r="AG12" s="479">
        <f>'Hodnocení '!AG12</f>
        <v>3326859</v>
      </c>
      <c r="AH12" s="479">
        <f>'Hodnocení '!AH12</f>
        <v>1265349</v>
      </c>
      <c r="AI12" s="479">
        <f>'Hodnocení '!AI12</f>
        <v>5203307</v>
      </c>
      <c r="AJ12" s="479">
        <f>'Hodnocení '!AJ12</f>
        <v>4087284</v>
      </c>
      <c r="AK12" s="479">
        <f>'Hodnocení '!AK12</f>
        <v>1495381</v>
      </c>
      <c r="AL12" s="479">
        <f>'Hodnocení '!AL12</f>
        <v>2065925</v>
      </c>
      <c r="AM12" s="479">
        <f>'Hodnocení '!AM12</f>
        <v>1495381</v>
      </c>
      <c r="AN12" s="479">
        <f>'Hodnocení '!AN12</f>
        <v>954195</v>
      </c>
      <c r="AO12" s="479">
        <f>'Hodnocení '!AO12</f>
        <v>5942790</v>
      </c>
      <c r="AP12" s="479">
        <f>'Hodnocení '!AP12</f>
        <v>2259759</v>
      </c>
      <c r="AQ12" s="479">
        <f>'Hodnocení '!AQ12</f>
        <v>284834</v>
      </c>
      <c r="AR12" s="479">
        <f>'Hodnocení '!AR12</f>
        <v>1602194</v>
      </c>
      <c r="AS12" s="479">
        <f>'Hodnocení '!AS12</f>
        <v>427252</v>
      </c>
      <c r="AT12" s="479">
        <f>'Hodnocení '!AT12</f>
        <v>1997925</v>
      </c>
      <c r="AU12" s="479">
        <f>'Hodnocení '!AU12</f>
        <v>1008279</v>
      </c>
      <c r="AV12" s="479">
        <f>'Hodnocení '!AV12</f>
        <v>2031493</v>
      </c>
      <c r="AW12" s="479">
        <f>'Hodnocení '!AW12</f>
        <v>3372422</v>
      </c>
      <c r="AX12" s="479">
        <f>'Hodnocení '!AX12</f>
        <v>2667366</v>
      </c>
      <c r="AY12" s="479">
        <f>'Hodnocení '!AY12</f>
        <v>3041130</v>
      </c>
      <c r="AZ12" s="479">
        <f>'Hodnocení '!AZ12</f>
        <v>3680604</v>
      </c>
      <c r="BA12" s="479">
        <f>'Hodnocení '!BA12</f>
        <v>10677777</v>
      </c>
      <c r="BB12" s="479">
        <f>'Hodnocení '!BB12</f>
        <v>1352964</v>
      </c>
      <c r="BC12" s="479">
        <f>'Hodnocení '!BC12</f>
        <v>1304944</v>
      </c>
      <c r="BD12" s="479">
        <f>'Hodnocení '!BD12</f>
        <v>1317359</v>
      </c>
      <c r="BE12" s="479">
        <f>'Hodnocení '!BE12</f>
        <v>1035892</v>
      </c>
      <c r="BF12" s="479">
        <f>'Hodnocení '!BF12</f>
        <v>2919553</v>
      </c>
      <c r="BG12" s="479">
        <f>'Hodnocení '!BG12</f>
        <v>3869699</v>
      </c>
      <c r="BH12" s="479">
        <f>'Hodnocení '!BH12</f>
        <v>3635690</v>
      </c>
      <c r="BI12" s="479">
        <f>'Hodnocení '!BI12</f>
        <v>2934864</v>
      </c>
      <c r="BJ12" s="479">
        <f>'Hodnocení '!BJ12</f>
        <v>2689238</v>
      </c>
      <c r="BK12" s="479">
        <f>'Hodnocení '!BK12</f>
        <v>1071612</v>
      </c>
      <c r="BL12" s="479">
        <f>'Hodnocení '!BL12</f>
        <v>0</v>
      </c>
      <c r="BM12" s="479">
        <f>'Hodnocení '!BM12</f>
        <v>2286106</v>
      </c>
      <c r="BN12" s="479">
        <f>'Hodnocení '!BN12</f>
        <v>1865665</v>
      </c>
      <c r="BO12" s="479">
        <f>'Hodnocení '!BO12</f>
        <v>1069363</v>
      </c>
      <c r="BP12" s="479">
        <f>'Hodnocení '!BP12</f>
        <v>4767114</v>
      </c>
      <c r="BQ12" s="479">
        <f>'Hodnocení '!BQ12</f>
        <v>821569</v>
      </c>
      <c r="BR12" s="479">
        <f>'Hodnocení '!BR12</f>
        <v>961316</v>
      </c>
      <c r="BS12" s="479">
        <f>'Hodnocení '!BS12</f>
        <v>1281755</v>
      </c>
      <c r="BT12" s="479">
        <f>'Hodnocení '!BT12</f>
        <v>1068129</v>
      </c>
      <c r="BU12" s="479">
        <f>'Hodnocení '!BU12</f>
        <v>4213014</v>
      </c>
      <c r="BV12" s="479">
        <f>'Hodnocení '!BV12</f>
        <v>1080330</v>
      </c>
      <c r="BW12" s="479">
        <f>'Hodnocení '!BW12</f>
        <v>284834</v>
      </c>
      <c r="BX12" s="479">
        <f>'Hodnocení '!BX12</f>
        <v>4793174</v>
      </c>
      <c r="BY12" s="479">
        <f>'Hodnocení '!BY12</f>
        <v>1960529</v>
      </c>
      <c r="BZ12" s="479">
        <f>'Hodnocení '!BZ12</f>
        <v>237476</v>
      </c>
      <c r="CA12" s="479">
        <f>'Hodnocení '!CA12</f>
        <v>0</v>
      </c>
      <c r="CB12" s="479">
        <f>'Hodnocení '!CB12</f>
        <v>199715</v>
      </c>
      <c r="CC12" s="479">
        <f>'Hodnocení '!CC12</f>
        <v>2314280</v>
      </c>
      <c r="CD12" s="479">
        <f>'Hodnocení '!CD12</f>
        <v>712086</v>
      </c>
      <c r="CE12" s="479">
        <f>'Hodnocení '!CE12</f>
        <v>13350856</v>
      </c>
      <c r="CF12" s="479">
        <f>'Hodnocení '!CF12</f>
        <v>4628841</v>
      </c>
      <c r="CG12" s="479">
        <f>'Hodnocení '!CG12</f>
        <v>10117769</v>
      </c>
      <c r="CH12" s="479">
        <f>'Hodnocení '!CH12</f>
        <v>4326608</v>
      </c>
      <c r="CI12" s="479">
        <f>'Hodnocení '!CI12</f>
        <v>3370626</v>
      </c>
      <c r="CJ12" s="479">
        <f>'Hodnocení '!CJ12</f>
        <v>4472781</v>
      </c>
      <c r="CK12" s="479">
        <f>'Hodnocení '!CK12</f>
        <v>5111244</v>
      </c>
      <c r="CL12" s="479">
        <f>'Hodnocení '!CL12</f>
        <v>2807623</v>
      </c>
      <c r="CM12" s="479">
        <f>'Hodnocení '!CM12</f>
        <v>6584339</v>
      </c>
      <c r="CN12" s="479">
        <f>'Hodnocení '!CN12</f>
        <v>1260349</v>
      </c>
      <c r="CO12" s="479">
        <f>'Hodnocení '!CO12</f>
        <v>1260349</v>
      </c>
      <c r="CP12" s="479">
        <f>'Hodnocení '!CP12</f>
        <v>1260349</v>
      </c>
      <c r="CQ12" s="479">
        <f>'Hodnocení '!CQ12</f>
        <v>5991182</v>
      </c>
      <c r="CR12" s="479">
        <f>'Hodnocení '!CR12</f>
        <v>2346594</v>
      </c>
      <c r="CS12" s="479">
        <f>'Hodnocení '!CS12</f>
        <v>4070409</v>
      </c>
      <c r="CT12" s="479">
        <f>'Hodnocení '!CT12</f>
        <v>4584107</v>
      </c>
      <c r="CU12" s="479">
        <f>'Hodnocení '!CU12</f>
        <v>1960529</v>
      </c>
      <c r="CV12" s="479">
        <f>'Hodnocení '!CV12</f>
        <v>5236420</v>
      </c>
      <c r="CW12" s="479">
        <f>'Hodnocení '!CW12</f>
        <v>427252</v>
      </c>
      <c r="CX12" s="479">
        <f>'Hodnocení '!CX12</f>
        <v>4589164</v>
      </c>
      <c r="CY12" s="479">
        <f>'Hodnocení '!CY12</f>
        <v>2988133</v>
      </c>
      <c r="CZ12" s="479">
        <f>'Hodnocení '!CZ12</f>
        <v>1205123</v>
      </c>
      <c r="DA12" s="479">
        <f>'Hodnocení '!DA12</f>
        <v>8122479</v>
      </c>
      <c r="DB12" s="479">
        <f>'Hodnocení '!DB12</f>
        <v>818899</v>
      </c>
      <c r="DC12" s="479">
        <f>'Hodnocení '!DC12</f>
        <v>1575436</v>
      </c>
      <c r="DD12" s="479">
        <f>'Hodnocení '!DD12</f>
        <v>3929244</v>
      </c>
      <c r="DE12" s="479">
        <f>'Hodnocení '!DE12</f>
        <v>7501284</v>
      </c>
      <c r="DF12" s="479">
        <f>'Hodnocení '!DF12</f>
        <v>7501284</v>
      </c>
      <c r="DG12" s="479">
        <f>'Hodnocení '!DG12</f>
        <v>818899</v>
      </c>
      <c r="DH12" s="479">
        <f>'Hodnocení '!DH12</f>
        <v>2419262</v>
      </c>
      <c r="DI12" s="479">
        <f>'Hodnocení '!DI12</f>
        <v>1092665</v>
      </c>
      <c r="DJ12" s="479">
        <f>'Hodnocení '!DJ12</f>
        <v>2143224</v>
      </c>
      <c r="DK12" s="479">
        <f>'Hodnocení '!DK12</f>
        <v>964451</v>
      </c>
      <c r="DL12" s="479">
        <f>'Hodnocení '!DL12</f>
        <v>4237745</v>
      </c>
      <c r="DM12" s="479">
        <f>'Hodnocení '!DM12</f>
        <v>2290802</v>
      </c>
      <c r="DN12" s="479">
        <f>'Hodnocení '!DN12</f>
        <v>3150873</v>
      </c>
      <c r="DO12" s="479">
        <f>'Hodnocení '!DO12</f>
        <v>1428816</v>
      </c>
      <c r="DP12" s="479">
        <f>'Hodnocení '!DP12</f>
        <v>4096134</v>
      </c>
      <c r="DQ12" s="479">
        <f>'Hodnocení '!DQ12</f>
        <v>4510602</v>
      </c>
      <c r="DR12" s="479">
        <f>'Hodnocení '!DR12</f>
        <v>4338442</v>
      </c>
      <c r="DS12" s="479">
        <f>'Hodnocení '!DS12</f>
        <v>2359549</v>
      </c>
      <c r="DT12" s="479">
        <f>'Hodnocení '!DT12</f>
        <v>4184050</v>
      </c>
      <c r="DU12" s="479">
        <f>'Hodnocení '!DU12</f>
        <v>2422127</v>
      </c>
      <c r="DV12" s="479">
        <f>'Hodnocení '!DV12</f>
        <v>7327058</v>
      </c>
      <c r="DW12" s="479">
        <f>'Hodnocení '!DW12</f>
        <v>1348969</v>
      </c>
      <c r="DX12" s="479">
        <f>'Hodnocení '!DX12</f>
        <v>4286448</v>
      </c>
      <c r="DY12" s="479">
        <f>'Hodnocení '!DY12</f>
        <v>4475580</v>
      </c>
      <c r="DZ12" s="479">
        <f>'Hodnocení '!DZ12</f>
        <v>728922</v>
      </c>
      <c r="EA12" s="479">
        <f>'Hodnocení '!EA12</f>
        <v>5195957</v>
      </c>
      <c r="EB12" s="479">
        <f>'Hodnocení '!EB12</f>
        <v>5656959</v>
      </c>
      <c r="EC12" s="479">
        <f>'Hodnocení '!EC12</f>
        <v>3124824</v>
      </c>
      <c r="ED12" s="479">
        <f>'Hodnocení '!ED12</f>
        <v>3703959</v>
      </c>
      <c r="EE12" s="479">
        <f>'Hodnocení '!EE12</f>
        <v>818899</v>
      </c>
      <c r="EF12" s="479">
        <f>'Hodnocení '!EF12</f>
        <v>890108</v>
      </c>
      <c r="EG12" s="479">
        <f>'Hodnocení '!EG12</f>
        <v>427252</v>
      </c>
      <c r="EH12" s="479">
        <f>'Hodnocení '!EH12</f>
        <v>763639</v>
      </c>
      <c r="EI12" s="479">
        <f>'Hodnocení '!EI12</f>
        <v>1258299</v>
      </c>
      <c r="EJ12" s="479">
        <f>'Hodnocení '!EJ12</f>
        <v>1143053</v>
      </c>
      <c r="EK12" s="479">
        <f>'Hodnocení '!EK12</f>
        <v>3530214</v>
      </c>
      <c r="EL12" s="479">
        <f>'Hodnocení '!EL12</f>
        <v>11254676</v>
      </c>
      <c r="EM12" s="479">
        <f>'Hodnocení '!EM12</f>
        <v>3221846</v>
      </c>
      <c r="EN12" s="479">
        <f>'Hodnocení '!EN12</f>
        <v>2410246</v>
      </c>
      <c r="EO12" s="479">
        <f>'Hodnocení '!EO12</f>
        <v>284834</v>
      </c>
      <c r="EP12" s="479">
        <f>'Hodnocení '!EP12</f>
        <v>2351691</v>
      </c>
      <c r="EQ12" s="479">
        <f>'Hodnocení '!EQ12</f>
        <v>1786020</v>
      </c>
      <c r="ER12" s="479">
        <f>'Hodnocení '!ER12</f>
        <v>11821938</v>
      </c>
      <c r="ES12" s="479">
        <f>'Hodnocení '!ES12</f>
        <v>3957291</v>
      </c>
      <c r="ET12" s="479">
        <f>'Hodnocení '!ET12</f>
        <v>952616</v>
      </c>
      <c r="EU12" s="479">
        <f>'Hodnocení '!EU12</f>
        <v>2718427</v>
      </c>
      <c r="EV12" s="479">
        <f>'Hodnocení '!EV12</f>
        <v>498460</v>
      </c>
      <c r="EW12" s="479">
        <f>'Hodnocení '!EW12</f>
        <v>4237745</v>
      </c>
      <c r="EX12" s="479">
        <f>'Hodnocení '!EX12</f>
        <v>10592591</v>
      </c>
      <c r="EY12" s="479">
        <f>'Hodnocení '!EY12</f>
        <v>3098887</v>
      </c>
      <c r="EZ12" s="479">
        <f>'Hodnocení '!EZ12</f>
        <v>1118856</v>
      </c>
      <c r="FA12" s="479">
        <f>'Hodnocení '!FA12</f>
        <v>2507061</v>
      </c>
      <c r="FB12" s="479">
        <f>'Hodnocení '!FB12</f>
        <v>251490</v>
      </c>
      <c r="FC12" s="479">
        <f>'Hodnocení '!FC12</f>
        <v>6891233</v>
      </c>
      <c r="FD12" s="479">
        <f>'Hodnocení '!FD12</f>
        <v>1588115</v>
      </c>
      <c r="FE12" s="479">
        <f>'Hodnocení '!FE12</f>
        <v>711522</v>
      </c>
      <c r="FF12" s="479">
        <f>'Hodnocení '!FF12</f>
        <v>3029759</v>
      </c>
      <c r="FG12" s="479">
        <f>'Hodnocení '!FG12</f>
        <v>9567793</v>
      </c>
      <c r="FH12" s="479">
        <f>'Hodnocení '!FH12</f>
        <v>11310649</v>
      </c>
      <c r="FI12" s="479">
        <f>'Hodnocení '!FI12</f>
        <v>11259427</v>
      </c>
      <c r="FJ12" s="479">
        <f>'Hodnocení '!FJ12</f>
        <v>3782302</v>
      </c>
      <c r="FK12" s="479">
        <f>'Hodnocení '!FK12</f>
        <v>910887</v>
      </c>
      <c r="FL12" s="479">
        <f>'Hodnocení '!FL12</f>
        <v>1144857</v>
      </c>
      <c r="FM12" s="479">
        <f>'Hodnocení '!FM12</f>
        <v>5445731</v>
      </c>
      <c r="FN12" s="479">
        <f>'Hodnocení '!FN12</f>
        <v>7534910</v>
      </c>
      <c r="FO12" s="479">
        <f>'Hodnocení '!FO12</f>
        <v>2992445</v>
      </c>
      <c r="FP12" s="479">
        <f>'Hodnocení '!FP12</f>
        <v>18363842</v>
      </c>
      <c r="FQ12" s="479">
        <f>'Hodnocení '!FQ12</f>
        <v>2280171</v>
      </c>
      <c r="FR12" s="479">
        <f>'Hodnocení '!FR12</f>
        <v>0</v>
      </c>
      <c r="FS12" s="479">
        <f>'Hodnocení '!FS12</f>
        <v>934563</v>
      </c>
      <c r="FT12" s="479">
        <f>'Hodnocení '!FT12</f>
        <v>5564571</v>
      </c>
      <c r="FU12" s="479">
        <f>'Hodnocení '!FU12</f>
        <v>801196</v>
      </c>
      <c r="FV12" s="479">
        <f>'Hodnocení '!FV12</f>
        <v>1763767</v>
      </c>
      <c r="FW12" s="479">
        <f>'Hodnocení '!FW12</f>
        <v>2356552</v>
      </c>
      <c r="FX12" s="479">
        <f>'Hodnocení '!FX12</f>
        <v>970307</v>
      </c>
      <c r="FY12" s="479">
        <f>'Hodnocení '!FY12</f>
        <v>560408</v>
      </c>
      <c r="FZ12" s="479">
        <f>'Hodnocení '!FZ12</f>
        <v>7425849</v>
      </c>
      <c r="GA12" s="479">
        <f>'Hodnocení '!GA12</f>
        <v>932605</v>
      </c>
      <c r="GB12" s="479">
        <f>'Hodnocení '!GB12</f>
        <v>6553873</v>
      </c>
      <c r="GC12" s="479">
        <f>'Hodnocení '!GC12</f>
        <v>3782302</v>
      </c>
      <c r="GD12" s="479">
        <f>'Hodnocení '!GD12</f>
        <v>13907234</v>
      </c>
      <c r="GE12" s="479">
        <f>'Hodnocení '!GE12</f>
        <v>2286106</v>
      </c>
      <c r="GF12" s="479">
        <f>'Hodnocení '!GF12</f>
        <v>5010040</v>
      </c>
      <c r="GG12" s="479">
        <f>'Hodnocení '!GG12</f>
        <v>1577288</v>
      </c>
      <c r="GH12" s="479">
        <f>'Hodnocení '!GH12</f>
        <v>1429644</v>
      </c>
      <c r="GI12" s="479">
        <f>'Hodnocení '!GI12</f>
        <v>14490965</v>
      </c>
      <c r="GJ12" s="479">
        <f>'Hodnocení '!GJ12</f>
        <v>3459443</v>
      </c>
      <c r="GK12" s="479">
        <f>'Hodnocení '!GK12</f>
        <v>3122266</v>
      </c>
      <c r="GL12" s="479">
        <f>'Hodnocení '!GL12</f>
        <v>1245763</v>
      </c>
      <c r="GM12" s="479">
        <f>'Hodnocení '!GM12</f>
        <v>1480910</v>
      </c>
      <c r="GN12" s="479">
        <f>'Hodnocení '!GN12</f>
        <v>1377283</v>
      </c>
      <c r="GO12" s="479">
        <f>'Hodnocení '!GO12</f>
        <v>8862536</v>
      </c>
      <c r="GP12" s="479">
        <f>'Hodnocení '!GP12</f>
        <v>1252469</v>
      </c>
      <c r="GQ12" s="479">
        <f>'Hodnocení '!GQ12</f>
        <v>2713071</v>
      </c>
      <c r="GR12" s="479">
        <f>'Hodnocení '!GR12</f>
        <v>1586853</v>
      </c>
      <c r="GS12" s="479">
        <f>'Hodnocení '!GS12</f>
        <v>910887</v>
      </c>
      <c r="GT12" s="479">
        <f>'Hodnocení '!GT12</f>
        <v>13985294</v>
      </c>
      <c r="GU12" s="479">
        <f>'Hodnocení '!GU12</f>
        <v>2062006</v>
      </c>
      <c r="GV12" s="479">
        <f>'Hodnocení '!GV12</f>
        <v>7838197</v>
      </c>
      <c r="GW12" s="479">
        <f>'Hodnocení '!GW12</f>
        <v>2118873</v>
      </c>
      <c r="GX12" s="479">
        <f>'Hodnocení '!GX12</f>
        <v>802005</v>
      </c>
      <c r="GY12" s="479">
        <f>'Hodnocení '!GY12</f>
        <v>32781420</v>
      </c>
      <c r="GZ12" s="479">
        <f>'Hodnocení '!GZ12</f>
        <v>0</v>
      </c>
      <c r="HA12" s="479">
        <f>'Hodnocení '!HA12</f>
        <v>10364519</v>
      </c>
      <c r="HB12" s="479">
        <f>'Hodnocení '!HB12</f>
        <v>9789035</v>
      </c>
      <c r="HC12" s="479">
        <f>'Hodnocení '!HC12</f>
        <v>13831690</v>
      </c>
      <c r="HD12" s="479">
        <f>'Hodnocení '!HD12</f>
        <v>3326859</v>
      </c>
      <c r="HE12" s="479">
        <f>'Hodnocení '!HE12</f>
        <v>10953415</v>
      </c>
      <c r="HF12" s="479">
        <f>'Hodnocení '!HF12</f>
        <v>2693156</v>
      </c>
      <c r="HG12" s="479">
        <f>'Hodnocení '!HG12</f>
        <v>1540542</v>
      </c>
      <c r="HH12" s="479">
        <f>'Hodnocení '!HH12</f>
        <v>3326859</v>
      </c>
      <c r="HI12" s="479">
        <f>'Hodnocení '!HI12</f>
        <v>4693189</v>
      </c>
      <c r="HJ12" s="479">
        <f>'Hodnocení '!HJ12</f>
        <v>893010</v>
      </c>
      <c r="HK12" s="479">
        <f>'Hodnocení '!HK12</f>
        <v>1198028</v>
      </c>
      <c r="HL12" s="479">
        <f>'Hodnocení '!HL12</f>
        <v>40392132</v>
      </c>
      <c r="HM12" s="479">
        <f>'Hodnocení '!HM12</f>
        <v>23297668</v>
      </c>
      <c r="HN12" s="479">
        <f>'Hodnocení '!HN12</f>
        <v>741933</v>
      </c>
      <c r="HO12" s="479">
        <f>'Hodnocení '!HO12</f>
        <v>2571869</v>
      </c>
      <c r="HP12" s="479">
        <f>'Hodnocení '!HP12</f>
        <v>31671790</v>
      </c>
      <c r="HQ12" s="479">
        <f>'Hodnocení '!HQ12</f>
        <v>984250</v>
      </c>
      <c r="HR12" s="479">
        <f>'Hodnocení '!HR12</f>
        <v>33358346</v>
      </c>
      <c r="HS12" s="479">
        <f>'Hodnocení '!HS12</f>
        <v>5829279</v>
      </c>
      <c r="HT12" s="479">
        <f>'Hodnocení '!HT12</f>
        <v>17599108</v>
      </c>
      <c r="HU12" s="479">
        <f>'Hodnocení '!HU12</f>
        <v>25979838</v>
      </c>
      <c r="HV12" s="479">
        <f>'Hodnocení '!HV12</f>
        <v>20133447</v>
      </c>
      <c r="HW12" s="479">
        <f>'Hodnocení '!HW12</f>
        <v>7453452</v>
      </c>
      <c r="HX12" s="479">
        <f>'Hodnocení '!HX12</f>
        <v>21354413</v>
      </c>
      <c r="HY12" s="479">
        <f>'Hodnocení '!HY12</f>
        <v>19206917</v>
      </c>
      <c r="HZ12" s="479">
        <f>'Hodnocení '!HZ12</f>
        <v>10268946</v>
      </c>
      <c r="IA12" s="479">
        <f>'Hodnocení '!IA12</f>
        <v>11249310</v>
      </c>
      <c r="IB12" s="479">
        <f>'Hodnocení '!IB12</f>
        <v>8386120</v>
      </c>
      <c r="IC12" s="479">
        <f>'Hodnocení '!IC12</f>
        <v>17305838</v>
      </c>
      <c r="ID12" s="479">
        <f>'Hodnocení '!ID12</f>
        <v>11649999</v>
      </c>
      <c r="IE12" s="479">
        <f>'Hodnocení '!IE12</f>
        <v>18233136</v>
      </c>
      <c r="IF12" s="479">
        <f>'Hodnocení '!IF12</f>
        <v>15484442</v>
      </c>
      <c r="IG12" s="479">
        <f>'Hodnocení '!IG12</f>
        <v>4998712</v>
      </c>
      <c r="IH12" s="479">
        <f>'Hodnocení '!IH12</f>
        <v>3669915</v>
      </c>
      <c r="II12" s="479">
        <f>'Hodnocení '!II12</f>
        <v>18020747</v>
      </c>
      <c r="IJ12" s="479">
        <f>'Hodnocení '!IJ12</f>
        <v>1994569</v>
      </c>
      <c r="IK12" s="479">
        <f>'Hodnocení '!IK12</f>
        <v>3079099</v>
      </c>
      <c r="IL12" s="479">
        <f>'Hodnocení '!IL12</f>
        <v>8636578</v>
      </c>
      <c r="IM12" s="479">
        <f>'Hodnocení '!IM12</f>
        <v>541181</v>
      </c>
      <c r="IN12" s="479">
        <f>'Hodnocení '!IN12</f>
        <v>10299220</v>
      </c>
      <c r="IO12" s="479">
        <f>'Hodnocení '!IO12</f>
        <v>3955345</v>
      </c>
      <c r="IP12" s="479">
        <f>'Hodnocení '!IP12</f>
        <v>20978768</v>
      </c>
      <c r="IQ12" s="479">
        <f>'Hodnocení '!IQ12</f>
        <v>20938712</v>
      </c>
      <c r="IR12" s="479">
        <f>'Hodnocení '!IR12</f>
        <v>1008969</v>
      </c>
      <c r="IS12" s="479">
        <f>'Hodnocení '!IS12</f>
        <v>59904459</v>
      </c>
      <c r="IT12" s="479">
        <f>'Hodnocení '!IT12</f>
        <v>15139387</v>
      </c>
      <c r="IU12" s="479">
        <f>'Hodnocení '!IU12</f>
        <v>3457940</v>
      </c>
      <c r="IV12" s="479">
        <f>'Hodnocení '!IV12</f>
        <v>8300973</v>
      </c>
      <c r="IW12" s="479">
        <f>'Hodnocení '!IW12</f>
        <v>13223884</v>
      </c>
      <c r="IX12" s="479">
        <f>'Hodnocení '!IX12</f>
        <v>2034333</v>
      </c>
      <c r="IY12" s="479">
        <f>'Hodnocení '!IY12</f>
        <v>12829712</v>
      </c>
      <c r="IZ12" s="479">
        <f>'Hodnocení '!IZ12</f>
        <v>21019235</v>
      </c>
      <c r="JA12" s="479">
        <f>'Hodnocení '!JA12</f>
        <v>2955157</v>
      </c>
      <c r="JB12" s="479">
        <f>'Hodnocení '!JB12</f>
        <v>3659319</v>
      </c>
      <c r="JC12" s="479">
        <f>'Hodnocení '!JC12</f>
        <v>2079576</v>
      </c>
      <c r="JD12" s="479">
        <f>'Hodnocení '!JD12</f>
        <v>6429672</v>
      </c>
      <c r="JE12" s="479">
        <f>'Hodnocení '!JE12</f>
        <v>3486446</v>
      </c>
      <c r="JF12" s="479">
        <f>'Hodnocení '!JF12</f>
        <v>35511901</v>
      </c>
      <c r="JG12" s="479">
        <f>'Hodnocení '!JG12</f>
        <v>28656627</v>
      </c>
      <c r="JH12" s="780">
        <f>'Hodnocení '!JH12</f>
        <v>2747251</v>
      </c>
      <c r="JI12" s="470">
        <f>'Hodnocení '!JI12</f>
        <v>1471980676</v>
      </c>
      <c r="JJ12" s="307"/>
      <c r="JK12" s="307"/>
      <c r="JL12" s="307">
        <f t="shared" si="20"/>
        <v>24026028</v>
      </c>
      <c r="JM12" s="307">
        <f t="shared" si="20"/>
        <v>453898104</v>
      </c>
      <c r="JN12" s="307">
        <f t="shared" si="20"/>
        <v>331346624</v>
      </c>
      <c r="JO12" s="307">
        <f t="shared" si="20"/>
        <v>662709920</v>
      </c>
      <c r="JP12" s="307">
        <f t="shared" si="22"/>
        <v>1471980676</v>
      </c>
    </row>
    <row r="13" spans="1:276" x14ac:dyDescent="0.25">
      <c r="B13" s="733" t="s">
        <v>1816</v>
      </c>
      <c r="C13" s="779">
        <f>'Hodnocení '!C13</f>
        <v>9296049.1510793846</v>
      </c>
      <c r="D13" s="479">
        <f>'Hodnocení '!D13</f>
        <v>9345564.764516497</v>
      </c>
      <c r="E13" s="479">
        <f>'Hodnocení '!E13</f>
        <v>8887194.8468445688</v>
      </c>
      <c r="F13" s="479">
        <f>'Hodnocení '!F13</f>
        <v>3978884.7088353573</v>
      </c>
      <c r="G13" s="479">
        <f>'Hodnocení '!G13</f>
        <v>11754503.127290595</v>
      </c>
      <c r="H13" s="479">
        <f>'Hodnocení '!H13</f>
        <v>1265732.1198156357</v>
      </c>
      <c r="I13" s="479">
        <f>'Hodnocení '!I13</f>
        <v>3505750.9805252724</v>
      </c>
      <c r="J13" s="479">
        <f>'Hodnocení '!J13</f>
        <v>2983617.8557661893</v>
      </c>
      <c r="K13" s="479">
        <f>'Hodnocení '!K13</f>
        <v>5924518.8128773188</v>
      </c>
      <c r="L13" s="479">
        <f>'Hodnocení '!L13</f>
        <v>4031705.8292569402</v>
      </c>
      <c r="M13" s="479">
        <f>'Hodnocení '!M13</f>
        <v>3984275.238895766</v>
      </c>
      <c r="N13" s="479">
        <f>'Hodnocení '!N13</f>
        <v>5017302.8370803231</v>
      </c>
      <c r="O13" s="479">
        <f>'Hodnocení '!O13</f>
        <v>4508635.2104233941</v>
      </c>
      <c r="P13" s="479">
        <f>'Hodnocení '!P13</f>
        <v>2998026.0021816893</v>
      </c>
      <c r="Q13" s="479">
        <f>'Hodnocení '!Q13</f>
        <v>2005488.4791010155</v>
      </c>
      <c r="R13" s="479">
        <f>'Hodnocení '!R13</f>
        <v>2451152.5855679074</v>
      </c>
      <c r="S13" s="479">
        <f>'Hodnocení '!S13</f>
        <v>1708379.0747897534</v>
      </c>
      <c r="T13" s="479">
        <f>'Hodnocení '!T13</f>
        <v>742773.51077815378</v>
      </c>
      <c r="U13" s="479">
        <f>'Hodnocení '!U13</f>
        <v>1114160.2661672307</v>
      </c>
      <c r="V13" s="479">
        <f>'Hodnocení '!V13</f>
        <v>15268375.428234249</v>
      </c>
      <c r="W13" s="479">
        <f>'Hodnocení '!W13</f>
        <v>4127146.9193722606</v>
      </c>
      <c r="X13" s="479">
        <f>'Hodnocení '!X13</f>
        <v>2191081.086187847</v>
      </c>
      <c r="Y13" s="479">
        <f>'Hodnocení '!Y13</f>
        <v>2069745.4492107111</v>
      </c>
      <c r="Z13" s="479">
        <f>'Hodnocení '!Z13</f>
        <v>9676854.0623107646</v>
      </c>
      <c r="AA13" s="479">
        <f>'Hodnocení '!AA13</f>
        <v>4313818.3267021552</v>
      </c>
      <c r="AB13" s="479">
        <f>'Hodnocení '!AB13</f>
        <v>3153482.7159662391</v>
      </c>
      <c r="AC13" s="479">
        <f>'Hodnocení '!AC13</f>
        <v>471661.84132364974</v>
      </c>
      <c r="AD13" s="479">
        <f>'Hodnocení '!AD13</f>
        <v>2497904.6985613657</v>
      </c>
      <c r="AE13" s="479">
        <f>'Hodnocení '!AE13</f>
        <v>1222248.5258989439</v>
      </c>
      <c r="AF13" s="479">
        <f>'Hodnocení '!AF13</f>
        <v>3535587.1590829343</v>
      </c>
      <c r="AG13" s="479">
        <f>'Hodnocení '!AG13</f>
        <v>3510607.0288166855</v>
      </c>
      <c r="AH13" s="479">
        <f>'Hodnocení '!AH13</f>
        <v>1327900.8936605309</v>
      </c>
      <c r="AI13" s="479">
        <f>'Hodnocení '!AI13</f>
        <v>5529368.7225791952</v>
      </c>
      <c r="AJ13" s="479">
        <f>'Hodnocení '!AJ13</f>
        <v>4314044.4365202505</v>
      </c>
      <c r="AK13" s="479">
        <f>'Hodnocení '!AK13</f>
        <v>1559824.3726341228</v>
      </c>
      <c r="AL13" s="479">
        <f>'Hodnocení '!AL13</f>
        <v>2156909.1633510776</v>
      </c>
      <c r="AM13" s="479">
        <f>'Hodnocení '!AM13</f>
        <v>1559824.3726341231</v>
      </c>
      <c r="AN13" s="479">
        <f>'Hodnocení '!AN13</f>
        <v>995316.50444272615</v>
      </c>
      <c r="AO13" s="479">
        <f>'Hodnocení '!AO13</f>
        <v>6314033.6631408297</v>
      </c>
      <c r="AP13" s="479">
        <f>'Hodnocení '!AP13</f>
        <v>2385174.6132770502</v>
      </c>
      <c r="AQ13" s="479">
        <f>'Hodnocení '!AQ13</f>
        <v>297109.40431126149</v>
      </c>
      <c r="AR13" s="479">
        <f>'Hodnocení '!AR13</f>
        <v>1671240.3992508459</v>
      </c>
      <c r="AS13" s="479">
        <f>'Hodnocení '!AS13</f>
        <v>445664.10646689229</v>
      </c>
      <c r="AT13" s="479">
        <f>'Hodnocení '!AT13</f>
        <v>2109142.1939772759</v>
      </c>
      <c r="AU13" s="479">
        <f>'Hodnocení '!AU13</f>
        <v>1051886.2833224081</v>
      </c>
      <c r="AV13" s="479">
        <f>'Hodnocení '!AV13</f>
        <v>2120960.6772952261</v>
      </c>
      <c r="AW13" s="479">
        <f>'Hodnocení '!AW13</f>
        <v>3515922.5550434329</v>
      </c>
      <c r="AX13" s="479">
        <f>'Hodnocení '!AX13</f>
        <v>2889815.8082949743</v>
      </c>
      <c r="AY13" s="479">
        <f>'Hodnocení '!AY13</f>
        <v>3192681.8379533906</v>
      </c>
      <c r="AZ13" s="479">
        <f>'Hodnocení '!AZ13</f>
        <v>3892622.7779548438</v>
      </c>
      <c r="BA13" s="479">
        <f>'Hodnocení '!BA13</f>
        <v>11288288.921655141</v>
      </c>
      <c r="BB13" s="479">
        <f>'Hodnocení '!BB13</f>
        <v>1411269.6704784923</v>
      </c>
      <c r="BC13" s="479">
        <f>'Hodnocení '!BC13</f>
        <v>1360742.4938025323</v>
      </c>
      <c r="BD13" s="479">
        <f>'Hodnocení '!BD13</f>
        <v>2020343.9493165785</v>
      </c>
      <c r="BE13" s="479">
        <f>'Hodnocení '!BE13</f>
        <v>1305332.8118977079</v>
      </c>
      <c r="BF13" s="479">
        <f>'Hodnocení '!BF13</f>
        <v>3045371.3941904306</v>
      </c>
      <c r="BG13" s="479">
        <f>'Hodnocení '!BG13</f>
        <v>4025254.0656860587</v>
      </c>
      <c r="BH13" s="479">
        <f>'Hodnocení '!BH13</f>
        <v>3785109.2415605099</v>
      </c>
      <c r="BI13" s="479">
        <f>'Hodnocení '!BI13</f>
        <v>3112669.1129161981</v>
      </c>
      <c r="BJ13" s="479">
        <f>'Hodnocení '!BJ13</f>
        <v>2836236.6701121721</v>
      </c>
      <c r="BK13" s="479">
        <f>'Hodnocení '!BK13</f>
        <v>1305332.8118977079</v>
      </c>
      <c r="BL13" s="479">
        <f>'Hodnocení '!BL13</f>
        <v>484189.8882988008</v>
      </c>
      <c r="BM13" s="479">
        <f>'Hodnocení '!BM13</f>
        <v>2386894.2846129518</v>
      </c>
      <c r="BN13" s="479">
        <f>'Hodnocení '!BN13</f>
        <v>1946066.5982387629</v>
      </c>
      <c r="BO13" s="479">
        <f>'Hodnocení '!BO13</f>
        <v>1115754.3738330903</v>
      </c>
      <c r="BP13" s="479">
        <f>'Hodnocení '!BP13</f>
        <v>5612904.2616406893</v>
      </c>
      <c r="BQ13" s="479">
        <f>'Hodnocení '!BQ13</f>
        <v>857790.13353277929</v>
      </c>
      <c r="BR13" s="479">
        <f>'Hodnocení '!BR13</f>
        <v>1002744.2395505077</v>
      </c>
      <c r="BS13" s="479">
        <f>'Hodnocení '!BS13</f>
        <v>1336992.3194006768</v>
      </c>
      <c r="BT13" s="479">
        <f>'Hodnocení '!BT13</f>
        <v>1114160.2661672307</v>
      </c>
      <c r="BU13" s="479">
        <f>'Hodnocení '!BU13</f>
        <v>4446637.2294955002</v>
      </c>
      <c r="BV13" s="479">
        <f>'Hodnocení '!BV13</f>
        <v>1142294.6626007925</v>
      </c>
      <c r="BW13" s="479">
        <f>'Hodnocení '!BW13</f>
        <v>297109.40431126149</v>
      </c>
      <c r="BX13" s="479">
        <f>'Hodnocení '!BX13</f>
        <v>5062234.123708467</v>
      </c>
      <c r="BY13" s="479">
        <f>'Hodnocení '!BY13</f>
        <v>2065527.6887355854</v>
      </c>
      <c r="BZ13" s="479">
        <f>'Hodnocení '!BZ13</f>
        <v>249019.98755359586</v>
      </c>
      <c r="CA13" s="479">
        <f>'Hodnocení '!CA13</f>
        <v>0</v>
      </c>
      <c r="CB13" s="479">
        <f>'Hodnocení '!CB13</f>
        <v>212096.63819068708</v>
      </c>
      <c r="CC13" s="479">
        <f>'Hodnocení '!CC13</f>
        <v>2414013.9100289997</v>
      </c>
      <c r="CD13" s="479">
        <f>'Hodnocení '!CD13</f>
        <v>742773.51077815378</v>
      </c>
      <c r="CE13" s="479">
        <f>'Hodnocení '!CE13</f>
        <v>14096350.125316771</v>
      </c>
      <c r="CF13" s="479">
        <f>'Hodnocení '!CF13</f>
        <v>4820517.8393289512</v>
      </c>
      <c r="CG13" s="479">
        <f>'Hodnocení '!CG13</f>
        <v>10598581.496070446</v>
      </c>
      <c r="CH13" s="479">
        <f>'Hodnocení '!CH13</f>
        <v>4534503.8765709288</v>
      </c>
      <c r="CI13" s="479">
        <f>'Hodnocení '!CI13</f>
        <v>3518851.9671994289</v>
      </c>
      <c r="CJ13" s="479">
        <f>'Hodnocení '!CJ13</f>
        <v>4666195.0818283353</v>
      </c>
      <c r="CK13" s="479">
        <f>'Hodnocení '!CK13</f>
        <v>5333901.2291703308</v>
      </c>
      <c r="CL13" s="479">
        <f>'Hodnocení '!CL13</f>
        <v>3132798.7485544984</v>
      </c>
      <c r="CM13" s="479">
        <f>'Hodnocení '!CM13</f>
        <v>6951836.4399863137</v>
      </c>
      <c r="CN13" s="479">
        <f>'Hodnocení '!CN13</f>
        <v>1314857.8541530101</v>
      </c>
      <c r="CO13" s="479">
        <f>'Hodnocení '!CO13</f>
        <v>1314857.8541530101</v>
      </c>
      <c r="CP13" s="479">
        <f>'Hodnocení '!CP13</f>
        <v>1314857.8541530101</v>
      </c>
      <c r="CQ13" s="479">
        <f>'Hodnocení '!CQ13</f>
        <v>6255036.573718125</v>
      </c>
      <c r="CR13" s="479">
        <f>'Hodnocení '!CR13</f>
        <v>2477843.1844488932</v>
      </c>
      <c r="CS13" s="479">
        <f>'Hodnocení '!CS13</f>
        <v>4256553.8028849224</v>
      </c>
      <c r="CT13" s="479">
        <f>'Hodnocení '!CT13</f>
        <v>4823200.6433408242</v>
      </c>
      <c r="CU13" s="479">
        <f>'Hodnocení '!CU13</f>
        <v>2065527.6887355854</v>
      </c>
      <c r="CV13" s="479">
        <f>'Hodnocení '!CV13</f>
        <v>5572023.830386878</v>
      </c>
      <c r="CW13" s="479">
        <f>'Hodnocení '!CW13</f>
        <v>445664.10646689229</v>
      </c>
      <c r="CX13" s="479">
        <f>'Hodnocení '!CX13</f>
        <v>4855375.2081390303</v>
      </c>
      <c r="CY13" s="479">
        <f>'Hodnocení '!CY13</f>
        <v>3158756.2839012085</v>
      </c>
      <c r="CZ13" s="479">
        <f>'Hodnocení '!CZ13</f>
        <v>1617681.872513308</v>
      </c>
      <c r="DA13" s="479">
        <f>'Hodnocení '!DA13</f>
        <v>8578781.7210858986</v>
      </c>
      <c r="DB13" s="479">
        <f>'Hodnocení '!DB13</f>
        <v>854189.53739487671</v>
      </c>
      <c r="DC13" s="479">
        <f>'Hodnocení '!DC13</f>
        <v>1972286.7812295151</v>
      </c>
      <c r="DD13" s="479">
        <f>'Hodnocení '!DD13</f>
        <v>5594283.4795616046</v>
      </c>
      <c r="DE13" s="479">
        <f>'Hodnocení '!DE13</f>
        <v>7831996.8713862468</v>
      </c>
      <c r="DF13" s="479">
        <f>'Hodnocení '!DF13</f>
        <v>7831996.8713862468</v>
      </c>
      <c r="DG13" s="479">
        <f>'Hodnocení '!DG13</f>
        <v>854189.53739487671</v>
      </c>
      <c r="DH13" s="479">
        <f>'Hodnocení '!DH13</f>
        <v>2542541.0743335127</v>
      </c>
      <c r="DI13" s="479">
        <f>'Hodnocení '!DI13</f>
        <v>1139158.9078340724</v>
      </c>
      <c r="DJ13" s="479">
        <f>'Hodnocení '!DJ13</f>
        <v>2237713.3918246417</v>
      </c>
      <c r="DK13" s="479">
        <f>'Hodnocení '!DK13</f>
        <v>2610665.6237954157</v>
      </c>
      <c r="DL13" s="479">
        <f>'Hodnocení '!DL13</f>
        <v>4473993.2555374205</v>
      </c>
      <c r="DM13" s="479">
        <f>'Hodnocení '!DM13</f>
        <v>2420949.4414940039</v>
      </c>
      <c r="DN13" s="479">
        <f>'Hodnocení '!DN13</f>
        <v>3944573.5624590302</v>
      </c>
      <c r="DO13" s="479">
        <f>'Hodnocení '!DO13</f>
        <v>1491808.9278830946</v>
      </c>
      <c r="DP13" s="479">
        <f>'Hodnocení '!DP13</f>
        <v>4273288.0259972829</v>
      </c>
      <c r="DQ13" s="479">
        <f>'Hodnocení '!DQ13</f>
        <v>4709251.6733165188</v>
      </c>
      <c r="DR13" s="479">
        <f>'Hodnocení '!DR13</f>
        <v>5392272.908377694</v>
      </c>
      <c r="DS13" s="479">
        <f>'Hodnocení '!DS13</f>
        <v>1729310.8899851122</v>
      </c>
      <c r="DT13" s="479">
        <f>'Hodnocení '!DT13</f>
        <v>4430608.8151310459</v>
      </c>
      <c r="DU13" s="479">
        <f>'Hodnocení '!DU13</f>
        <v>2538154.1570197763</v>
      </c>
      <c r="DV13" s="479">
        <f>'Hodnocení '!DV13</f>
        <v>7715066.8911256026</v>
      </c>
      <c r="DW13" s="479">
        <f>'Hodnocení '!DW13</f>
        <v>1406369.022017373</v>
      </c>
      <c r="DX13" s="479">
        <f>'Hodnocení '!DX13</f>
        <v>4475426.7836492835</v>
      </c>
      <c r="DY13" s="479">
        <f>'Hodnocení '!DY13</f>
        <v>4731142.7504826486</v>
      </c>
      <c r="DZ13" s="479">
        <f>'Hodnocení '!DZ13</f>
        <v>770133.71150518791</v>
      </c>
      <c r="EA13" s="479">
        <f>'Hodnocení '!EA13</f>
        <v>3517972.7647054419</v>
      </c>
      <c r="EB13" s="479">
        <f>'Hodnocení '!EB13</f>
        <v>5976412.8583436497</v>
      </c>
      <c r="EC13" s="479">
        <f>'Hodnocení '!EC13</f>
        <v>3312237.7834975314</v>
      </c>
      <c r="ED13" s="479">
        <f>'Hodnocení '!ED13</f>
        <v>3891133.2612115145</v>
      </c>
      <c r="EE13" s="479">
        <f>'Hodnocení '!EE13</f>
        <v>854189.53739487671</v>
      </c>
      <c r="EF13" s="479">
        <f>'Hodnocení '!EF13</f>
        <v>928466.88847269223</v>
      </c>
      <c r="EG13" s="479">
        <f>'Hodnocení '!EG13</f>
        <v>445664.10646689229</v>
      </c>
      <c r="EH13" s="479">
        <f>'Hodnocení '!EH13</f>
        <v>799811.80860682938</v>
      </c>
      <c r="EI13" s="479">
        <f>'Hodnocení '!EI13</f>
        <v>1311636.3759544892</v>
      </c>
      <c r="EJ13" s="479">
        <f>'Hodnocení '!EJ13</f>
        <v>1193447.1423064759</v>
      </c>
      <c r="EK13" s="479">
        <f>'Hodnocení '!EK13</f>
        <v>3733481.0875684507</v>
      </c>
      <c r="EL13" s="479">
        <f>'Hodnocení '!EL13</f>
        <v>11834171.525295848</v>
      </c>
      <c r="EM13" s="479">
        <f>'Hodnocení '!EM13</f>
        <v>3398690.3194428757</v>
      </c>
      <c r="EN13" s="479">
        <f>'Hodnocení '!EN13</f>
        <v>2516394.0239095907</v>
      </c>
      <c r="EO13" s="479">
        <f>'Hodnocení '!EO13</f>
        <v>297109.40431126149</v>
      </c>
      <c r="EP13" s="479">
        <f>'Hodnocení '!EP13</f>
        <v>3184329.1261055968</v>
      </c>
      <c r="EQ13" s="479">
        <f>'Hodnocení '!EQ13</f>
        <v>1864761.1598538682</v>
      </c>
      <c r="ER13" s="479">
        <f>'Hodnocení '!ER13</f>
        <v>12801531.417957775</v>
      </c>
      <c r="ES13" s="479">
        <f>'Hodnocení '!ES13</f>
        <v>4377510.420380271</v>
      </c>
      <c r="ET13" s="479">
        <f>'Hodnocení '!ET13</f>
        <v>1009463.051162631</v>
      </c>
      <c r="EU13" s="479">
        <f>'Hodnocení '!EU13</f>
        <v>2867783.9144364195</v>
      </c>
      <c r="EV13" s="479">
        <f>'Hodnocení '!EV13</f>
        <v>742773.51077815378</v>
      </c>
      <c r="EW13" s="479">
        <f>'Hodnocení '!EW13</f>
        <v>4473993.2555374205</v>
      </c>
      <c r="EX13" s="479">
        <f>'Hodnocení '!EX13</f>
        <v>12601454.267581619</v>
      </c>
      <c r="EY13" s="479">
        <f>'Hodnocení '!EY13</f>
        <v>3235363.7450266159</v>
      </c>
      <c r="EZ13" s="479">
        <f>'Hodnocení '!EZ13</f>
        <v>1180543.1487498037</v>
      </c>
      <c r="FA13" s="479">
        <f>'Hodnocení '!FA13</f>
        <v>2643559.424768026</v>
      </c>
      <c r="FB13" s="479">
        <f>'Hodnocení '!FB13</f>
        <v>265664.49062636285</v>
      </c>
      <c r="FC13" s="479">
        <f>'Hodnocení '!FC13</f>
        <v>8081615.4215486925</v>
      </c>
      <c r="FD13" s="479">
        <f>'Hodnocení '!FD13</f>
        <v>1664055.933514433</v>
      </c>
      <c r="FE13" s="479">
        <f>'Hodnocení '!FE13</f>
        <v>813440.58884631132</v>
      </c>
      <c r="FF13" s="479">
        <f>'Hodnocení '!FF13</f>
        <v>3200382.8544894438</v>
      </c>
      <c r="FG13" s="479">
        <f>'Hodnocení '!FG13</f>
        <v>10234922.019552525</v>
      </c>
      <c r="FH13" s="479">
        <f>'Hodnocení '!FH13</f>
        <v>12020924.688991101</v>
      </c>
      <c r="FI13" s="479">
        <f>'Hodnocení '!FI13</f>
        <v>12032157.560676448</v>
      </c>
      <c r="FJ13" s="479">
        <f>'Hodnocení '!FJ13</f>
        <v>3992300.1421770533</v>
      </c>
      <c r="FK13" s="479">
        <f>'Hodnocení '!FK13</f>
        <v>963386.22672073392</v>
      </c>
      <c r="FL13" s="479">
        <f>'Hodnocení '!FL13</f>
        <v>1203612.7840607695</v>
      </c>
      <c r="FM13" s="479">
        <f>'Hodnocení '!FM13</f>
        <v>5747603.6565853953</v>
      </c>
      <c r="FN13" s="479">
        <f>'Hodnocení '!FN13</f>
        <v>7963831.4799554544</v>
      </c>
      <c r="FO13" s="479">
        <f>'Hodnocení '!FO13</f>
        <v>3142946.1483755559</v>
      </c>
      <c r="FP13" s="479">
        <f>'Hodnocení '!FP13</f>
        <v>19436918.394972485</v>
      </c>
      <c r="FQ13" s="479">
        <f>'Hodnocení '!FQ13</f>
        <v>2412521.9484436484</v>
      </c>
      <c r="FR13" s="479">
        <f>'Hodnocení '!FR13</f>
        <v>3847203.2896098206</v>
      </c>
      <c r="FS13" s="479">
        <f>'Hodnocení '!FS13</f>
        <v>975513.36972985521</v>
      </c>
      <c r="FT13" s="479">
        <f>'Hodnocení '!FT13</f>
        <v>5871693.3263162933</v>
      </c>
      <c r="FU13" s="479">
        <f>'Hodnocení '!FU13</f>
        <v>840045.66849283664</v>
      </c>
      <c r="FV13" s="479">
        <f>'Hodnocení '!FV13</f>
        <v>1864671.3198748971</v>
      </c>
      <c r="FW13" s="479">
        <f>'Hodnocení '!FW13</f>
        <v>2485175.9672305044</v>
      </c>
      <c r="FX13" s="479">
        <f>'Hodnocení '!FX13</f>
        <v>1025431.0615861824</v>
      </c>
      <c r="FY13" s="479">
        <f>'Hodnocení '!FY13</f>
        <v>591907.25956185197</v>
      </c>
      <c r="FZ13" s="479">
        <f>'Hodnocení '!FZ13</f>
        <v>7845845.0490599889</v>
      </c>
      <c r="GA13" s="479">
        <f>'Hodnocení '!GA13</f>
        <v>992170.48958755797</v>
      </c>
      <c r="GB13" s="479">
        <f>'Hodnocení '!GB13</f>
        <v>7078594.4862977713</v>
      </c>
      <c r="GC13" s="479">
        <f>'Hodnocení '!GC13</f>
        <v>3992300.1421770533</v>
      </c>
      <c r="GD13" s="479">
        <f>'Hodnocení '!GD13</f>
        <v>14793188.350004137</v>
      </c>
      <c r="GE13" s="479">
        <f>'Hodnocení '!GE13</f>
        <v>2386894.2846129518</v>
      </c>
      <c r="GF13" s="479">
        <f>'Hodnocení '!GF13</f>
        <v>5289600.1778761428</v>
      </c>
      <c r="GG13" s="479">
        <f>'Hodnocení '!GG13</f>
        <v>1675672.3627191633</v>
      </c>
      <c r="GH13" s="479">
        <f>'Hodnocení '!GH13</f>
        <v>1500741.4312772285</v>
      </c>
      <c r="GI13" s="479">
        <f>'Hodnocení '!GI13</f>
        <v>15318249.086967468</v>
      </c>
      <c r="GJ13" s="479">
        <f>'Hodnocení '!GJ13</f>
        <v>3655791.4773473097</v>
      </c>
      <c r="GK13" s="479">
        <f>'Hodnocení '!GK13</f>
        <v>3315671.4994501965</v>
      </c>
      <c r="GL13" s="479">
        <f>'Hodnocení '!GL13</f>
        <v>1306920.953704515</v>
      </c>
      <c r="GM13" s="479">
        <f>'Hodnocení '!GM13</f>
        <v>1544957.978629787</v>
      </c>
      <c r="GN13" s="479">
        <f>'Hodnocení '!GN13</f>
        <v>1437939.4422340516</v>
      </c>
      <c r="GO13" s="479">
        <f>'Hodnocení '!GO13</f>
        <v>9403110.7931909356</v>
      </c>
      <c r="GP13" s="479">
        <f>'Hodnocení '!GP13</f>
        <v>1324656.0617410089</v>
      </c>
      <c r="GQ13" s="479">
        <f>'Hodnocení '!GQ13</f>
        <v>2857444.9764231946</v>
      </c>
      <c r="GR13" s="479">
        <f>'Hodnocení '!GR13</f>
        <v>1671114.6056514834</v>
      </c>
      <c r="GS13" s="479">
        <f>'Hodnocení '!GS13</f>
        <v>963386.22672073392</v>
      </c>
      <c r="GT13" s="479">
        <f>'Hodnocení '!GT13</f>
        <v>14779349.532092277</v>
      </c>
      <c r="GU13" s="479">
        <f>'Hodnocení '!GU13</f>
        <v>2162643.1188159068</v>
      </c>
      <c r="GV13" s="479">
        <f>'Hodnocení '!GV13</f>
        <v>8312921.1856662463</v>
      </c>
      <c r="GW13" s="479">
        <f>'Hodnocení '!GW13</f>
        <v>2236996.6277687103</v>
      </c>
      <c r="GX13" s="479">
        <f>'Hodnocení '!GX13</f>
        <v>846629.33977144712</v>
      </c>
      <c r="GY13" s="479">
        <f>'Hodnocení '!GY13</f>
        <v>34757171.494393662</v>
      </c>
      <c r="GZ13" s="479">
        <f>'Hodnocení '!GZ13</f>
        <v>4016004.3026968315</v>
      </c>
      <c r="HA13" s="479">
        <f>'Hodnocení '!HA13</f>
        <v>11838145.191237042</v>
      </c>
      <c r="HB13" s="479">
        <f>'Hodnocení '!HB13</f>
        <v>10271504.099015649</v>
      </c>
      <c r="HC13" s="479">
        <f>'Hodnocení '!HC13</f>
        <v>14671141.782730402</v>
      </c>
      <c r="HD13" s="479">
        <f>'Hodnocení '!HD13</f>
        <v>3992300.1421770533</v>
      </c>
      <c r="HE13" s="479">
        <f>'Hodnocení '!HE13</f>
        <v>11616198.576157156</v>
      </c>
      <c r="HF13" s="479">
        <f>'Hodnocení '!HF13</f>
        <v>2842779.4108599741</v>
      </c>
      <c r="HG13" s="479">
        <f>'Hodnocení '!HG13</f>
        <v>1616456.7877398005</v>
      </c>
      <c r="HH13" s="479">
        <f>'Hodnocení '!HH13</f>
        <v>3510607.0288166855</v>
      </c>
      <c r="HI13" s="479">
        <f>'Hodnocení '!HI13</f>
        <v>4955686.3688977864</v>
      </c>
      <c r="HJ13" s="479">
        <f>'Hodnocení '!HJ13</f>
        <v>1491808.9278830946</v>
      </c>
      <c r="HK13" s="479">
        <f>'Hodnocení '!HK13</f>
        <v>1266277.618266366</v>
      </c>
      <c r="HL13" s="479">
        <f>'Hodnocení '!HL13</f>
        <v>43047174.374081343</v>
      </c>
      <c r="HM13" s="479">
        <f>'Hodnocení '!HM13</f>
        <v>24315023.422150649</v>
      </c>
      <c r="HN13" s="479">
        <f>'Hodnocení '!HN13</f>
        <v>773502.96210955526</v>
      </c>
      <c r="HO13" s="479">
        <f>'Hodnocení '!HO13</f>
        <v>2685256.0701895705</v>
      </c>
      <c r="HP13" s="479">
        <f>'Hodnocení '!HP13</f>
        <v>33215261.641752195</v>
      </c>
      <c r="HQ13" s="479">
        <f>'Hodnocení '!HQ13</f>
        <v>1032559.9409537764</v>
      </c>
      <c r="HR13" s="479">
        <f>'Hodnocení '!HR13</f>
        <v>36614806.545883656</v>
      </c>
      <c r="HS13" s="479">
        <f>'Hodnocení '!HS13</f>
        <v>7195414.637391096</v>
      </c>
      <c r="HT13" s="479">
        <f>'Hodnocení '!HT13</f>
        <v>18595469.590470783</v>
      </c>
      <c r="HU13" s="479">
        <f>'Hodnocení '!HU13</f>
        <v>27484085.005208258</v>
      </c>
      <c r="HV13" s="479">
        <f>'Hodnocení '!HV13</f>
        <v>23544168.980021723</v>
      </c>
      <c r="HW13" s="479">
        <f>'Hodnocení '!HW13</f>
        <v>5603903.9405486807</v>
      </c>
      <c r="HX13" s="479">
        <f>'Hodnocení '!HX13</f>
        <v>25691721.341380894</v>
      </c>
      <c r="HY13" s="479">
        <f>'Hodnocení '!HY13</f>
        <v>20392282.173444685</v>
      </c>
      <c r="HZ13" s="479">
        <f>'Hodnocení '!HZ13</f>
        <v>10920004.97769383</v>
      </c>
      <c r="IA13" s="479">
        <f>'Hodnocení '!IA13</f>
        <v>11964721.15817537</v>
      </c>
      <c r="IB13" s="479">
        <f>'Hodnocení '!IB13</f>
        <v>9823113.9004964307</v>
      </c>
      <c r="IC13" s="479">
        <f>'Hodnocení '!IC13</f>
        <v>18429766.354838438</v>
      </c>
      <c r="ID13" s="479">
        <f>'Hodnocení '!ID13</f>
        <v>12416191.317817554</v>
      </c>
      <c r="IE13" s="479">
        <f>'Hodnocení '!IE13</f>
        <v>19994059.517665572</v>
      </c>
      <c r="IF13" s="479">
        <f>'Hodnocení '!IF13</f>
        <v>17198633.588044822</v>
      </c>
      <c r="IG13" s="479">
        <f>'Hodnocení '!IG13</f>
        <v>5290219.0727247903</v>
      </c>
      <c r="IH13" s="479">
        <f>'Hodnocení '!IH13</f>
        <v>4013505.4274126575</v>
      </c>
      <c r="II13" s="479">
        <f>'Hodnocení '!II13</f>
        <v>19813983.129812181</v>
      </c>
      <c r="IJ13" s="479">
        <f>'Hodnocení '!IJ13</f>
        <v>2183526.9397355039</v>
      </c>
      <c r="IK13" s="479">
        <f>'Hodnocení '!IK13</f>
        <v>3438619.5787705323</v>
      </c>
      <c r="IL13" s="479">
        <f>'Hodnocení '!IL13</f>
        <v>10265880.700098794</v>
      </c>
      <c r="IM13" s="479">
        <f>'Hodnocení '!IM13</f>
        <v>576689.35844624322</v>
      </c>
      <c r="IN13" s="479">
        <f>'Hodnocení '!IN13</f>
        <v>10983989.105203958</v>
      </c>
      <c r="IO13" s="479">
        <f>'Hodnocení '!IO13</f>
        <v>4175281.5630752468</v>
      </c>
      <c r="IP13" s="479">
        <f>'Hodnocení '!IP13</f>
        <v>22497527.177580558</v>
      </c>
      <c r="IQ13" s="479">
        <f>'Hodnocení '!IQ13</f>
        <v>22486957.282894928</v>
      </c>
      <c r="IR13" s="479">
        <f>'Hodnocení '!IR13</f>
        <v>1066302.6090348614</v>
      </c>
      <c r="IS13" s="479">
        <f>'Hodnocení '!IS13</f>
        <v>65767680.859087437</v>
      </c>
      <c r="IT13" s="479">
        <f>'Hodnocení '!IT13</f>
        <v>16722565.344563767</v>
      </c>
      <c r="IU13" s="479">
        <f>'Hodnocení '!IU13</f>
        <v>3667436.7806406175</v>
      </c>
      <c r="IV13" s="479">
        <f>'Hodnocení '!IV13</f>
        <v>8866275.6764279809</v>
      </c>
      <c r="IW13" s="479">
        <f>'Hodnocení '!IW13</f>
        <v>14122596.481906652</v>
      </c>
      <c r="IX13" s="479">
        <f>'Hodnocení '!IX13</f>
        <v>2148999.2969357027</v>
      </c>
      <c r="IY13" s="479">
        <f>'Hodnocení '!IY13</f>
        <v>11376964.50882945</v>
      </c>
      <c r="IZ13" s="479">
        <f>'Hodnocení '!IZ13</f>
        <v>25280595.996755749</v>
      </c>
      <c r="JA13" s="479">
        <f>'Hodnocení '!JA13</f>
        <v>3082510.0697293384</v>
      </c>
      <c r="JB13" s="479">
        <f>'Hodnocení '!JB13</f>
        <v>3801963.0001571975</v>
      </c>
      <c r="JC13" s="479">
        <f>'Hodnocení '!JC13</f>
        <v>2169515.4593524667</v>
      </c>
      <c r="JD13" s="479">
        <f>'Hodnocení '!JD13</f>
        <v>6713140.1754739247</v>
      </c>
      <c r="JE13" s="479">
        <f>'Hodnocení '!JE13</f>
        <v>3693178.4081448922</v>
      </c>
      <c r="JF13" s="479">
        <f>'Hodnocení '!JF13</f>
        <v>42724760.148160294</v>
      </c>
      <c r="JG13" s="479">
        <f>'Hodnocení '!JG13</f>
        <v>30609469.164951172</v>
      </c>
      <c r="JH13" s="780">
        <f>'Hodnocení '!JH13</f>
        <v>1432360.5197921393</v>
      </c>
      <c r="JI13" s="470">
        <f>'Hodnocení '!JI13</f>
        <v>1595653051.8864341</v>
      </c>
      <c r="JJ13" s="307"/>
      <c r="JK13" s="307"/>
      <c r="JL13" s="307">
        <f t="shared" si="20"/>
        <v>27528808.76244045</v>
      </c>
      <c r="JM13" s="307">
        <f t="shared" si="20"/>
        <v>485242896.51733732</v>
      </c>
      <c r="JN13" s="307">
        <f t="shared" si="20"/>
        <v>362971731.33063805</v>
      </c>
      <c r="JO13" s="307">
        <f t="shared" si="20"/>
        <v>719909615.2760179</v>
      </c>
      <c r="JP13" s="307">
        <f t="shared" si="22"/>
        <v>1595653051.8864336</v>
      </c>
    </row>
    <row r="14" spans="1:276" ht="5.45" hidden="1" customHeight="1" x14ac:dyDescent="0.25">
      <c r="B14" s="737"/>
      <c r="C14" s="360"/>
      <c r="D14" s="357"/>
      <c r="E14" s="357"/>
      <c r="F14" s="357"/>
      <c r="G14" s="357"/>
      <c r="H14" s="357"/>
      <c r="I14" s="357"/>
      <c r="J14" s="357"/>
      <c r="K14" s="357"/>
      <c r="L14" s="357"/>
      <c r="M14" s="357"/>
      <c r="N14" s="357"/>
      <c r="O14" s="357"/>
      <c r="P14" s="357"/>
      <c r="Q14" s="357"/>
      <c r="R14" s="479"/>
      <c r="S14" s="357"/>
      <c r="T14" s="357"/>
      <c r="U14" s="357"/>
      <c r="V14" s="357"/>
      <c r="W14" s="357"/>
      <c r="X14" s="357"/>
      <c r="Y14" s="357"/>
      <c r="Z14" s="357"/>
      <c r="AA14" s="357"/>
      <c r="AB14" s="357"/>
      <c r="AC14" s="357"/>
      <c r="AD14" s="357"/>
      <c r="AE14" s="357"/>
      <c r="AF14" s="357"/>
      <c r="AG14" s="357"/>
      <c r="AH14" s="357"/>
      <c r="AI14" s="357"/>
      <c r="AJ14" s="357"/>
      <c r="AK14" s="479"/>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479"/>
      <c r="BS14" s="357"/>
      <c r="BT14" s="357"/>
      <c r="BU14" s="357"/>
      <c r="BV14" s="357"/>
      <c r="BW14" s="357"/>
      <c r="BX14" s="357"/>
      <c r="BY14" s="357"/>
      <c r="BZ14" s="357"/>
      <c r="CA14" s="357"/>
      <c r="CB14" s="357"/>
      <c r="CC14" s="357"/>
      <c r="CD14" s="357"/>
      <c r="CE14" s="357"/>
      <c r="CF14" s="357"/>
      <c r="CG14" s="357"/>
      <c r="CH14" s="357"/>
      <c r="CI14" s="357"/>
      <c r="CJ14" s="357"/>
      <c r="CK14" s="357"/>
      <c r="CL14" s="357"/>
      <c r="CM14" s="357"/>
      <c r="CN14" s="357"/>
      <c r="CO14" s="357"/>
      <c r="CP14" s="357"/>
      <c r="CQ14" s="357"/>
      <c r="CR14" s="357"/>
      <c r="CS14" s="357"/>
      <c r="CT14" s="357"/>
      <c r="CU14" s="357"/>
      <c r="CV14" s="357"/>
      <c r="CW14" s="357"/>
      <c r="CX14" s="357"/>
      <c r="CY14" s="357"/>
      <c r="CZ14" s="357"/>
      <c r="DA14" s="357"/>
      <c r="DB14" s="357"/>
      <c r="DC14" s="357"/>
      <c r="DD14" s="357"/>
      <c r="DE14" s="357"/>
      <c r="DF14" s="357"/>
      <c r="DG14" s="357"/>
      <c r="DH14" s="357"/>
      <c r="DI14" s="357"/>
      <c r="DJ14" s="357"/>
      <c r="DK14" s="357"/>
      <c r="DL14" s="357"/>
      <c r="DM14" s="357"/>
      <c r="DN14" s="357"/>
      <c r="DO14" s="357"/>
      <c r="DP14" s="357"/>
      <c r="DQ14" s="357"/>
      <c r="DR14" s="357"/>
      <c r="DS14" s="357"/>
      <c r="DT14" s="357"/>
      <c r="DU14" s="357"/>
      <c r="DV14" s="357"/>
      <c r="DW14" s="357"/>
      <c r="DX14" s="357"/>
      <c r="DY14" s="357"/>
      <c r="DZ14" s="357"/>
      <c r="EA14" s="357"/>
      <c r="EB14" s="357"/>
      <c r="EC14" s="357"/>
      <c r="ED14" s="357"/>
      <c r="EE14" s="357"/>
      <c r="EF14" s="357"/>
      <c r="EG14" s="357"/>
      <c r="EH14" s="357"/>
      <c r="EI14" s="357"/>
      <c r="EJ14" s="357"/>
      <c r="EK14" s="357"/>
      <c r="EL14" s="357"/>
      <c r="EM14" s="357"/>
      <c r="EN14" s="357"/>
      <c r="EO14" s="357"/>
      <c r="EP14" s="357"/>
      <c r="EQ14" s="357"/>
      <c r="ER14" s="357"/>
      <c r="ES14" s="357"/>
      <c r="ET14" s="357"/>
      <c r="EU14" s="357"/>
      <c r="EV14" s="479"/>
      <c r="EW14" s="357"/>
      <c r="EX14" s="357"/>
      <c r="EY14" s="357"/>
      <c r="EZ14" s="357"/>
      <c r="FA14" s="357"/>
      <c r="FB14" s="357"/>
      <c r="FC14" s="357"/>
      <c r="FD14" s="357"/>
      <c r="FE14" s="357"/>
      <c r="FF14" s="357"/>
      <c r="FG14" s="357"/>
      <c r="FH14" s="357"/>
      <c r="FI14" s="357"/>
      <c r="FJ14" s="357"/>
      <c r="FK14" s="357"/>
      <c r="FL14" s="357"/>
      <c r="FM14" s="357"/>
      <c r="FN14" s="357"/>
      <c r="FO14" s="357"/>
      <c r="FP14" s="357"/>
      <c r="FQ14" s="357"/>
      <c r="FR14" s="357"/>
      <c r="FS14" s="357"/>
      <c r="FT14" s="357"/>
      <c r="FU14" s="357"/>
      <c r="FV14" s="357"/>
      <c r="FW14" s="357"/>
      <c r="FX14" s="357"/>
      <c r="FY14" s="357"/>
      <c r="FZ14" s="357"/>
      <c r="GA14" s="357"/>
      <c r="GB14" s="357"/>
      <c r="GC14" s="357"/>
      <c r="GD14" s="357"/>
      <c r="GE14" s="357"/>
      <c r="GF14" s="357"/>
      <c r="GG14" s="357"/>
      <c r="GH14" s="357"/>
      <c r="GI14" s="357"/>
      <c r="GJ14" s="357"/>
      <c r="GK14" s="357"/>
      <c r="GL14" s="357"/>
      <c r="GM14" s="357"/>
      <c r="GN14" s="357"/>
      <c r="GO14" s="357"/>
      <c r="GP14" s="357"/>
      <c r="GQ14" s="357"/>
      <c r="GR14" s="357"/>
      <c r="GS14" s="357"/>
      <c r="GT14" s="357"/>
      <c r="GU14" s="357"/>
      <c r="GV14" s="357"/>
      <c r="GW14" s="357"/>
      <c r="GX14" s="357"/>
      <c r="GY14" s="357"/>
      <c r="GZ14" s="357"/>
      <c r="HA14" s="357"/>
      <c r="HB14" s="357"/>
      <c r="HC14" s="357"/>
      <c r="HD14" s="357"/>
      <c r="HE14" s="357"/>
      <c r="HF14" s="357"/>
      <c r="HG14" s="357"/>
      <c r="HH14" s="357"/>
      <c r="HI14" s="357"/>
      <c r="HJ14" s="357"/>
      <c r="HK14" s="357"/>
      <c r="HL14" s="357"/>
      <c r="HM14" s="357"/>
      <c r="HN14" s="357"/>
      <c r="HO14" s="357"/>
      <c r="HP14" s="357"/>
      <c r="HQ14" s="357"/>
      <c r="HR14" s="357"/>
      <c r="HS14" s="357"/>
      <c r="HT14" s="357"/>
      <c r="HU14" s="357"/>
      <c r="HV14" s="357"/>
      <c r="HW14" s="357"/>
      <c r="HX14" s="357"/>
      <c r="HY14" s="357"/>
      <c r="HZ14" s="357"/>
      <c r="IA14" s="357"/>
      <c r="IB14" s="357"/>
      <c r="IC14" s="357"/>
      <c r="ID14" s="357"/>
      <c r="IE14" s="357"/>
      <c r="IF14" s="357"/>
      <c r="IG14" s="357"/>
      <c r="IH14" s="357"/>
      <c r="II14" s="357"/>
      <c r="IJ14" s="357"/>
      <c r="IK14" s="357"/>
      <c r="IL14" s="357"/>
      <c r="IM14" s="357"/>
      <c r="IN14" s="357"/>
      <c r="IO14" s="357"/>
      <c r="IP14" s="357"/>
      <c r="IQ14" s="357"/>
      <c r="IR14" s="357"/>
      <c r="IS14" s="357"/>
      <c r="IT14" s="357"/>
      <c r="IU14" s="357"/>
      <c r="IV14" s="357"/>
      <c r="IW14" s="357"/>
      <c r="IX14" s="357"/>
      <c r="IY14" s="357"/>
      <c r="IZ14" s="357"/>
      <c r="JA14" s="357"/>
      <c r="JB14" s="357"/>
      <c r="JC14" s="357"/>
      <c r="JD14" s="357"/>
      <c r="JE14" s="357"/>
      <c r="JF14" s="357"/>
      <c r="JG14" s="357"/>
      <c r="JH14" s="772"/>
      <c r="JI14" s="315"/>
      <c r="JL14" s="627"/>
      <c r="JM14" s="627"/>
      <c r="JN14" s="627"/>
      <c r="JO14" s="627"/>
      <c r="JP14" s="627"/>
    </row>
    <row r="15" spans="1:276" hidden="1" x14ac:dyDescent="0.25">
      <c r="B15" s="738" t="s">
        <v>2462</v>
      </c>
      <c r="C15" s="779">
        <f>'Hodnocení '!C15</f>
        <v>342265.29123419133</v>
      </c>
      <c r="D15" s="479">
        <f>'Hodnocení '!D15</f>
        <v>1177702.655901304</v>
      </c>
      <c r="E15" s="479">
        <f>'Hodnocení '!E15</f>
        <v>-262240.22052063321</v>
      </c>
      <c r="F15" s="479">
        <f>'Hodnocení '!F15</f>
        <v>367797.81986234616</v>
      </c>
      <c r="G15" s="479">
        <f>'Hodnocení '!G15</f>
        <v>-685985.65886851901</v>
      </c>
      <c r="H15" s="479">
        <f>'Hodnocení '!H15</f>
        <v>0</v>
      </c>
      <c r="I15" s="479">
        <f>'Hodnocení '!I15</f>
        <v>-109065.52006572078</v>
      </c>
      <c r="J15" s="479">
        <f>'Hodnocení '!J15</f>
        <v>1034315.2394402931</v>
      </c>
      <c r="K15" s="479">
        <f>'Hodnocení '!K15</f>
        <v>0</v>
      </c>
      <c r="L15" s="479">
        <f>'Hodnocení '!L15</f>
        <v>0</v>
      </c>
      <c r="M15" s="479">
        <f>'Hodnocení '!M15</f>
        <v>981664.32349824475</v>
      </c>
      <c r="N15" s="479">
        <f>'Hodnocení '!N15</f>
        <v>-115828.60302667005</v>
      </c>
      <c r="O15" s="479">
        <f>'Hodnocení '!O15</f>
        <v>-241488.27525939478</v>
      </c>
      <c r="P15" s="479">
        <f>'Hodnocení '!P15</f>
        <v>177985.8373205743</v>
      </c>
      <c r="Q15" s="479">
        <f>'Hodnocení '!Q15</f>
        <v>-41352.818093055204</v>
      </c>
      <c r="R15" s="479">
        <f>'Hodnocení '!R15</f>
        <v>1078372.0030573779</v>
      </c>
      <c r="S15" s="479">
        <f>'Hodnocení '!S15</f>
        <v>509790.32247722003</v>
      </c>
      <c r="T15" s="479">
        <f>'Hodnocení '!T15</f>
        <v>-489528.7003722231</v>
      </c>
      <c r="U15" s="479">
        <f>'Hodnocení '!U15</f>
        <v>112431.15326332145</v>
      </c>
      <c r="V15" s="479">
        <f>'Hodnocení '!V15</f>
        <v>756878.09248396102</v>
      </c>
      <c r="W15" s="479">
        <f>'Hodnocení '!W15</f>
        <v>281416.12103842251</v>
      </c>
      <c r="X15" s="479">
        <f>'Hodnocení '!X15</f>
        <v>-129185.65847580512</v>
      </c>
      <c r="Y15" s="479">
        <f>'Hodnocení '!Y15</f>
        <v>2415976.4662723579</v>
      </c>
      <c r="Z15" s="479">
        <f>'Hodnocení '!Z15</f>
        <v>2972592.9699721886</v>
      </c>
      <c r="AA15" s="479">
        <f>'Hodnocení '!AA15</f>
        <v>-394885.44902487367</v>
      </c>
      <c r="AB15" s="479">
        <f>'Hodnocení '!AB15</f>
        <v>-103206.0352158928</v>
      </c>
      <c r="AC15" s="479">
        <f>'Hodnocení '!AC15</f>
        <v>0</v>
      </c>
      <c r="AD15" s="479">
        <f>'Hodnocení '!AD15</f>
        <v>41293.768493150739</v>
      </c>
      <c r="AE15" s="479">
        <f>'Hodnocení '!AE15</f>
        <v>140556.34499850788</v>
      </c>
      <c r="AF15" s="479">
        <f>'Hodnocení '!AF15</f>
        <v>38607.965558032993</v>
      </c>
      <c r="AG15" s="479">
        <f>'Hodnocení '!AG15</f>
        <v>-125060.75486989686</v>
      </c>
      <c r="AH15" s="479">
        <f>'Hodnocení '!AH15</f>
        <v>217899.5947568923</v>
      </c>
      <c r="AI15" s="479">
        <f>'Hodnocení '!AI15</f>
        <v>-263647.54924712441</v>
      </c>
      <c r="AJ15" s="479">
        <f>'Hodnocení '!AJ15</f>
        <v>-212665.70674122276</v>
      </c>
      <c r="AK15" s="479">
        <f>'Hodnocení '!AK15</f>
        <v>-109893.2707816687</v>
      </c>
      <c r="AL15" s="479">
        <f>'Hodnocení '!AL15</f>
        <v>251906.8209421084</v>
      </c>
      <c r="AM15" s="479">
        <f>'Hodnocení '!AM15</f>
        <v>763814.72921833163</v>
      </c>
      <c r="AN15" s="479">
        <f>'Hodnocení '!AN15</f>
        <v>-121055.19849877896</v>
      </c>
      <c r="AO15" s="479">
        <f>'Hodnocení '!AO15</f>
        <v>-1101913.3328778169</v>
      </c>
      <c r="AP15" s="479">
        <f>'Hodnocení '!AP15</f>
        <v>591935.48241244187</v>
      </c>
      <c r="AQ15" s="479">
        <f>'Hodnocení '!AQ15</f>
        <v>-63655.480148889263</v>
      </c>
      <c r="AR15" s="479">
        <f>'Hodnocení '!AR15</f>
        <v>-102552.51901347302</v>
      </c>
      <c r="AS15" s="479">
        <f>'Hodnocení '!AS15</f>
        <v>-44681.220223333854</v>
      </c>
      <c r="AT15" s="479">
        <f>'Hodnocení '!AT15</f>
        <v>-322367.43236834195</v>
      </c>
      <c r="AU15" s="479">
        <f>'Hodnocení '!AU15</f>
        <v>-97944.939466421318</v>
      </c>
      <c r="AV15" s="479">
        <f>'Hodnocení '!AV15</f>
        <v>39440.333716616478</v>
      </c>
      <c r="AW15" s="479">
        <f>'Hodnocení '!AW15</f>
        <v>-52124.334792413159</v>
      </c>
      <c r="AX15" s="479">
        <f>'Hodnocení '!AX15</f>
        <v>-270115.31108075107</v>
      </c>
      <c r="AY15" s="479">
        <f>'Hodnocení '!AY15</f>
        <v>-63962.99191914768</v>
      </c>
      <c r="AZ15" s="479">
        <f>'Hodnocení '!AZ15</f>
        <v>0</v>
      </c>
      <c r="BA15" s="479">
        <f>'Hodnocení '!BA15</f>
        <v>0</v>
      </c>
      <c r="BB15" s="479">
        <f>'Hodnocení '!BB15</f>
        <v>-309618.68070722395</v>
      </c>
      <c r="BC15" s="479">
        <f>'Hodnocení '!BC15</f>
        <v>253689.14583333334</v>
      </c>
      <c r="BD15" s="479">
        <f>'Hodnocení '!BD15</f>
        <v>-70491.396659486665</v>
      </c>
      <c r="BE15" s="479">
        <f>'Hodnocení '!BE15</f>
        <v>308739.19184710068</v>
      </c>
      <c r="BF15" s="479">
        <f>'Hodnocení '!BF15</f>
        <v>0</v>
      </c>
      <c r="BG15" s="479">
        <f>'Hodnocení '!BG15</f>
        <v>0</v>
      </c>
      <c r="BH15" s="479">
        <f>'Hodnocení '!BH15</f>
        <v>0</v>
      </c>
      <c r="BI15" s="479">
        <f>'Hodnocení '!BI15</f>
        <v>0</v>
      </c>
      <c r="BJ15" s="479">
        <f>'Hodnocení '!BJ15</f>
        <v>-81837.853564726698</v>
      </c>
      <c r="BK15" s="479">
        <f>'Hodnocení '!BK15</f>
        <v>-189848.86484108385</v>
      </c>
      <c r="BL15" s="479">
        <f>'Hodnocení '!BL15</f>
        <v>0</v>
      </c>
      <c r="BM15" s="479">
        <f>'Hodnocení '!BM15</f>
        <v>-262349.12708161044</v>
      </c>
      <c r="BN15" s="479">
        <f>'Hodnocení '!BN15</f>
        <v>-52170.350816722595</v>
      </c>
      <c r="BO15" s="479">
        <f>'Hodnocení '!BO15</f>
        <v>0</v>
      </c>
      <c r="BP15" s="479">
        <f>'Hodnocení '!BP15</f>
        <v>26879.75092307707</v>
      </c>
      <c r="BQ15" s="479">
        <f>'Hodnocení '!BQ15</f>
        <v>13524.048319935739</v>
      </c>
      <c r="BR15" s="479">
        <f>'Hodnocení '!BR15</f>
        <v>-154631.29550250122</v>
      </c>
      <c r="BS15" s="479">
        <f>'Hodnocení '!BS15</f>
        <v>-12382.298967874071</v>
      </c>
      <c r="BT15" s="479">
        <f>'Hodnocení '!BT15</f>
        <v>186883.94944166532</v>
      </c>
      <c r="BU15" s="479">
        <f>'Hodnocení '!BU15</f>
        <v>272218.5123375121</v>
      </c>
      <c r="BV15" s="479">
        <f>'Hodnocení '!BV15</f>
        <v>-398615.59155145445</v>
      </c>
      <c r="BW15" s="479">
        <f>'Hodnocení '!BW15</f>
        <v>13510.943557435361</v>
      </c>
      <c r="BX15" s="479">
        <f>'Hodnocení '!BX15</f>
        <v>-653636.19106335391</v>
      </c>
      <c r="BY15" s="479">
        <f>'Hodnocení '!BY15</f>
        <v>186475.05697757643</v>
      </c>
      <c r="BZ15" s="479">
        <f>'Hodnocení '!BZ15</f>
        <v>257244.69324837439</v>
      </c>
      <c r="CA15" s="479">
        <f>'Hodnocení '!CA15</f>
        <v>0</v>
      </c>
      <c r="CB15" s="479">
        <f>'Hodnocení '!CB15</f>
        <v>-39256.101421467312</v>
      </c>
      <c r="CC15" s="479">
        <f>'Hodnocení '!CC15</f>
        <v>-117637.66254166378</v>
      </c>
      <c r="CD15" s="479">
        <f>'Hodnocení '!CD15</f>
        <v>-14512.216855739673</v>
      </c>
      <c r="CE15" s="479">
        <f>'Hodnocení '!CE15</f>
        <v>232822.41530055879</v>
      </c>
      <c r="CF15" s="479">
        <f>'Hodnocení '!CF15</f>
        <v>-41247.937451537597</v>
      </c>
      <c r="CG15" s="479">
        <f>'Hodnocení '!CG15</f>
        <v>217967.10329016089</v>
      </c>
      <c r="CH15" s="479">
        <f>'Hodnocení '!CH15</f>
        <v>462257.18816362065</v>
      </c>
      <c r="CI15" s="479">
        <f>'Hodnocení '!CI15</f>
        <v>0</v>
      </c>
      <c r="CJ15" s="479">
        <f>'Hodnocení '!CJ15</f>
        <v>0</v>
      </c>
      <c r="CK15" s="479">
        <f>'Hodnocení '!CK15</f>
        <v>-89427.366467797081</v>
      </c>
      <c r="CL15" s="479">
        <f>'Hodnocení '!CL15</f>
        <v>204427.36518856636</v>
      </c>
      <c r="CM15" s="479">
        <f>'Hodnocení '!CM15</f>
        <v>249848.88755807508</v>
      </c>
      <c r="CN15" s="479">
        <f>'Hodnocení '!CN15</f>
        <v>-59434.772719491637</v>
      </c>
      <c r="CO15" s="479">
        <f>'Hodnocení '!CO15</f>
        <v>53212.999832796828</v>
      </c>
      <c r="CP15" s="479">
        <f>'Hodnocení '!CP15</f>
        <v>-30382.256800304269</v>
      </c>
      <c r="CQ15" s="479">
        <f>'Hodnocení '!CQ15</f>
        <v>-225646.3155760096</v>
      </c>
      <c r="CR15" s="479">
        <f>'Hodnocení '!CR15</f>
        <v>0</v>
      </c>
      <c r="CS15" s="479">
        <f>'Hodnocení '!CS15</f>
        <v>0</v>
      </c>
      <c r="CT15" s="479">
        <f>'Hodnocení '!CT15</f>
        <v>57926.069153157696</v>
      </c>
      <c r="CU15" s="479">
        <f>'Hodnocení '!CU15</f>
        <v>-7260.7861596786424</v>
      </c>
      <c r="CV15" s="479">
        <f>'Hodnocení '!CV15</f>
        <v>-798064.91518977657</v>
      </c>
      <c r="CW15" s="479">
        <f>'Hodnocení '!CW15</f>
        <v>0</v>
      </c>
      <c r="CX15" s="479">
        <f>'Hodnocení '!CX15</f>
        <v>845437.28301452391</v>
      </c>
      <c r="CY15" s="479">
        <f>'Hodnocení '!CY15</f>
        <v>134025.595195056</v>
      </c>
      <c r="CZ15" s="479">
        <f>'Hodnocení '!CZ15</f>
        <v>86791.376387353026</v>
      </c>
      <c r="DA15" s="479">
        <f>'Hodnocení '!DA15</f>
        <v>0</v>
      </c>
      <c r="DB15" s="479">
        <f>'Hodnocení '!DB15</f>
        <v>-24512.524658825827</v>
      </c>
      <c r="DC15" s="479">
        <f>'Hodnocení '!DC15</f>
        <v>401799.88360206643</v>
      </c>
      <c r="DD15" s="479">
        <f>'Hodnocení '!DD15</f>
        <v>0</v>
      </c>
      <c r="DE15" s="479">
        <f>'Hodnocení '!DE15</f>
        <v>0</v>
      </c>
      <c r="DF15" s="479">
        <f>'Hodnocení '!DF15</f>
        <v>0</v>
      </c>
      <c r="DG15" s="479">
        <f>'Hodnocení '!DG15</f>
        <v>0</v>
      </c>
      <c r="DH15" s="479">
        <f>'Hodnocení '!DH15</f>
        <v>35944.309065452908</v>
      </c>
      <c r="DI15" s="479">
        <f>'Hodnocení '!DI15</f>
        <v>212745.35069209331</v>
      </c>
      <c r="DJ15" s="479">
        <f>'Hodnocení '!DJ15</f>
        <v>214287.85183354374</v>
      </c>
      <c r="DK15" s="479">
        <f>'Hodnocení '!DK15</f>
        <v>-10240.133226629352</v>
      </c>
      <c r="DL15" s="479">
        <f>'Hodnocení '!DL15</f>
        <v>-277072.22180045361</v>
      </c>
      <c r="DM15" s="479">
        <f>'Hodnocení '!DM15</f>
        <v>-232155.58381385563</v>
      </c>
      <c r="DN15" s="479">
        <f>'Hodnocení '!DN15</f>
        <v>-344868.19781971403</v>
      </c>
      <c r="DO15" s="479">
        <f>'Hodnocení '!DO15</f>
        <v>0</v>
      </c>
      <c r="DP15" s="479">
        <f>'Hodnocení '!DP15</f>
        <v>363207.59321186109</v>
      </c>
      <c r="DQ15" s="479">
        <f>'Hodnocení '!DQ15</f>
        <v>367712.66614726151</v>
      </c>
      <c r="DR15" s="479">
        <f>'Hodnocení '!DR15</f>
        <v>445560.83637610928</v>
      </c>
      <c r="DS15" s="479">
        <f>'Hodnocení '!DS15</f>
        <v>0</v>
      </c>
      <c r="DT15" s="479">
        <f>'Hodnocení '!DT15</f>
        <v>-473573.20137304225</v>
      </c>
      <c r="DU15" s="479">
        <f>'Hodnocení '!DU15</f>
        <v>-40733.33737315589</v>
      </c>
      <c r="DV15" s="479">
        <f>'Hodnocení '!DV15</f>
        <v>-1530942.3028013087</v>
      </c>
      <c r="DW15" s="479">
        <f>'Hodnocení '!DW15</f>
        <v>0</v>
      </c>
      <c r="DX15" s="479">
        <f>'Hodnocení '!DX15</f>
        <v>290881.24125573988</v>
      </c>
      <c r="DY15" s="479">
        <f>'Hodnocení '!DY15</f>
        <v>0</v>
      </c>
      <c r="DZ15" s="479">
        <f>'Hodnocení '!DZ15</f>
        <v>0</v>
      </c>
      <c r="EA15" s="479">
        <f>'Hodnocení '!EA15</f>
        <v>-246252.92638142372</v>
      </c>
      <c r="EB15" s="479">
        <f>'Hodnocení '!EB15</f>
        <v>-912030.18562109116</v>
      </c>
      <c r="EC15" s="479">
        <f>'Hodnocení '!EC15</f>
        <v>-162383.7512384656</v>
      </c>
      <c r="ED15" s="479">
        <f>'Hodnocení '!ED15</f>
        <v>-317047.92154010548</v>
      </c>
      <c r="EE15" s="479">
        <f>'Hodnocení '!EE15</f>
        <v>-75012.005428056596</v>
      </c>
      <c r="EF15" s="479">
        <f>'Hodnocení '!EF15</f>
        <v>-32192.875465278863</v>
      </c>
      <c r="EG15" s="479">
        <f>'Hodnocení '!EG15</f>
        <v>-12785.220223333856</v>
      </c>
      <c r="EH15" s="479">
        <f>'Hodnocení '!EH15</f>
        <v>0</v>
      </c>
      <c r="EI15" s="479">
        <f>'Hodnocení '!EI15</f>
        <v>-105679.09090909085</v>
      </c>
      <c r="EJ15" s="479">
        <f>'Hodnocení '!EJ15</f>
        <v>83795.534311223368</v>
      </c>
      <c r="EK15" s="479">
        <f>'Hodnocení '!EK15</f>
        <v>0</v>
      </c>
      <c r="EL15" s="479">
        <f>'Hodnocení '!EL15</f>
        <v>0</v>
      </c>
      <c r="EM15" s="479">
        <f>'Hodnocení '!EM15</f>
        <v>0</v>
      </c>
      <c r="EN15" s="479">
        <f>'Hodnocení '!EN15</f>
        <v>-245140.84526450967</v>
      </c>
      <c r="EO15" s="479">
        <f>'Hodnocení '!EO15</f>
        <v>-90118.146815555898</v>
      </c>
      <c r="EP15" s="479">
        <f>'Hodnocení '!EP15</f>
        <v>-200492.56531707928</v>
      </c>
      <c r="EQ15" s="479">
        <f>'Hodnocení '!EQ15</f>
        <v>-474030.50442442781</v>
      </c>
      <c r="ER15" s="479">
        <f>'Hodnocení '!ER15</f>
        <v>-1885718.3433190575</v>
      </c>
      <c r="ES15" s="479">
        <f>'Hodnocení '!ES15</f>
        <v>-113544.62692626475</v>
      </c>
      <c r="ET15" s="479">
        <f>'Hodnocení '!ET15</f>
        <v>0</v>
      </c>
      <c r="EU15" s="479">
        <f>'Hodnocení '!EU15</f>
        <v>0</v>
      </c>
      <c r="EV15" s="479">
        <f>'Hodnocení '!EV15</f>
        <v>56665.638349069442</v>
      </c>
      <c r="EW15" s="479">
        <f>'Hodnocení '!EW15</f>
        <v>-348081.49387502647</v>
      </c>
      <c r="EX15" s="479">
        <f>'Hodnocení '!EX15</f>
        <v>-638432.30795068759</v>
      </c>
      <c r="EY15" s="479">
        <f>'Hodnocení '!EY15</f>
        <v>-128642.93292250138</v>
      </c>
      <c r="EZ15" s="479">
        <f>'Hodnocení '!EZ15</f>
        <v>-95592.548470118243</v>
      </c>
      <c r="FA15" s="479">
        <f>'Hodnocení '!FA15</f>
        <v>1476763.5600357614</v>
      </c>
      <c r="FB15" s="479">
        <f>'Hodnocení '!FB15</f>
        <v>-34229.047308027184</v>
      </c>
      <c r="FC15" s="479">
        <f>'Hodnocení '!FC15</f>
        <v>1052540.2148394908</v>
      </c>
      <c r="FD15" s="479">
        <f>'Hodnocení '!FD15</f>
        <v>348657.65590479999</v>
      </c>
      <c r="FE15" s="479">
        <f>'Hodnocení '!FE15</f>
        <v>5714.6768773479425</v>
      </c>
      <c r="FF15" s="479">
        <f>'Hodnocení '!FF15</f>
        <v>488484.01052834431</v>
      </c>
      <c r="FG15" s="479">
        <f>'Hodnocení '!FG15</f>
        <v>24466.228407951068</v>
      </c>
      <c r="FH15" s="479">
        <f>'Hodnocení '!FH15</f>
        <v>-594400.66413048981</v>
      </c>
      <c r="FI15" s="479">
        <f>'Hodnocení '!FI15</f>
        <v>-954405.65766166802</v>
      </c>
      <c r="FJ15" s="479">
        <f>'Hodnocení '!FJ15</f>
        <v>-188317.87607209737</v>
      </c>
      <c r="FK15" s="479">
        <f>'Hodnocení '!FK15</f>
        <v>-110335.8048445452</v>
      </c>
      <c r="FL15" s="479">
        <f>'Hodnocení '!FL15</f>
        <v>-248265.5884977151</v>
      </c>
      <c r="FM15" s="479">
        <f>'Hodnocení '!FM15</f>
        <v>-201750.51578717009</v>
      </c>
      <c r="FN15" s="479">
        <f>'Hodnocení '!FN15</f>
        <v>-577416.09576689464</v>
      </c>
      <c r="FO15" s="479">
        <f>'Hodnocení '!FO15</f>
        <v>-61105.394861336368</v>
      </c>
      <c r="FP15" s="479">
        <f>'Hodnocení '!FP15</f>
        <v>-277679.66923819995</v>
      </c>
      <c r="FQ15" s="479">
        <f>'Hodnocení '!FQ15</f>
        <v>-210439.108018117</v>
      </c>
      <c r="FR15" s="479">
        <f>'Hodnocení '!FR15</f>
        <v>0</v>
      </c>
      <c r="FS15" s="479">
        <f>'Hodnocení '!FS15</f>
        <v>296437.1629149848</v>
      </c>
      <c r="FT15" s="479">
        <f>'Hodnocení '!FT15</f>
        <v>1919104.0416594108</v>
      </c>
      <c r="FU15" s="479">
        <f>'Hodnocení '!FU15</f>
        <v>-45265.732523514867</v>
      </c>
      <c r="FV15" s="479">
        <f>'Hodnocení '!FV15</f>
        <v>-478055.42113763123</v>
      </c>
      <c r="FW15" s="479">
        <f>'Hodnocení '!FW15</f>
        <v>318944.20336801169</v>
      </c>
      <c r="FX15" s="479">
        <f>'Hodnocení '!FX15</f>
        <v>-33449.645086772507</v>
      </c>
      <c r="FY15" s="479">
        <f>'Hodnocení '!FY15</f>
        <v>-95300.882906727173</v>
      </c>
      <c r="FZ15" s="479">
        <f>'Hodnocení '!FZ15</f>
        <v>327747.96145126916</v>
      </c>
      <c r="GA15" s="479">
        <f>'Hodnocení '!GA15</f>
        <v>24324.036642340197</v>
      </c>
      <c r="GB15" s="479">
        <f>'Hodnocení '!GB15</f>
        <v>636419.94348959508</v>
      </c>
      <c r="GC15" s="479">
        <f>'Hodnocení '!GC15</f>
        <v>-338718.71089530236</v>
      </c>
      <c r="GD15" s="479">
        <f>'Hodnocení '!GD15</f>
        <v>-1494105.2225657108</v>
      </c>
      <c r="GE15" s="479">
        <f>'Hodnocení '!GE15</f>
        <v>-98554.569568508174</v>
      </c>
      <c r="GF15" s="479">
        <f>'Hodnocení '!GF15</f>
        <v>-1194952.5195131919</v>
      </c>
      <c r="GG15" s="479">
        <f>'Hodnocení '!GG15</f>
        <v>117481.93065662136</v>
      </c>
      <c r="GH15" s="479">
        <f>'Hodnocení '!GH15</f>
        <v>129523.87259729829</v>
      </c>
      <c r="GI15" s="479">
        <f>'Hodnocení '!GI15</f>
        <v>386695.97874828178</v>
      </c>
      <c r="GJ15" s="479">
        <f>'Hodnocení '!GJ15</f>
        <v>-123201.05441903298</v>
      </c>
      <c r="GK15" s="479">
        <f>'Hodnocení '!GK15</f>
        <v>-82104.541052660672</v>
      </c>
      <c r="GL15" s="479">
        <f>'Hodnocení '!GL15</f>
        <v>304204.95360802393</v>
      </c>
      <c r="GM15" s="479">
        <f>'Hodnocení '!GM15</f>
        <v>-18224.850808082996</v>
      </c>
      <c r="GN15" s="479">
        <f>'Hodnocení '!GN15</f>
        <v>-8330.3877701960664</v>
      </c>
      <c r="GO15" s="479">
        <f>'Hodnocení '!GO15</f>
        <v>-597882.74445625686</v>
      </c>
      <c r="GP15" s="479">
        <f>'Hodnocení '!GP15</f>
        <v>-111932.98166124962</v>
      </c>
      <c r="GQ15" s="479">
        <f>'Hodnocení '!GQ15</f>
        <v>-137928.73540103107</v>
      </c>
      <c r="GR15" s="479">
        <f>'Hodnocení '!GR15</f>
        <v>224112.1279303873</v>
      </c>
      <c r="GS15" s="479">
        <f>'Hodnocení '!GS15</f>
        <v>285350.19515545462</v>
      </c>
      <c r="GT15" s="479">
        <f>'Hodnocení '!GT15</f>
        <v>622760.91106360126</v>
      </c>
      <c r="GU15" s="479">
        <f>'Hodnocení '!GU15</f>
        <v>-102030.66814880611</v>
      </c>
      <c r="GV15" s="479">
        <f>'Hodnocení '!GV15</f>
        <v>0</v>
      </c>
      <c r="GW15" s="479">
        <f>'Hodnocení '!GW15</f>
        <v>397375.70697334985</v>
      </c>
      <c r="GX15" s="479">
        <f>'Hodnocení '!GX15</f>
        <v>122900.89315486379</v>
      </c>
      <c r="GY15" s="479">
        <f>'Hodnocení '!GY15</f>
        <v>2788618.3666812116</v>
      </c>
      <c r="GZ15" s="479">
        <f>'Hodnocení '!GZ15</f>
        <v>0</v>
      </c>
      <c r="HA15" s="479">
        <f>'Hodnocení '!HA15</f>
        <v>999242.1126110428</v>
      </c>
      <c r="HB15" s="479">
        <f>'Hodnocení '!HB15</f>
        <v>1713796.5364742756</v>
      </c>
      <c r="HC15" s="479">
        <f>'Hodnocení '!HC15</f>
        <v>1446940.1138971357</v>
      </c>
      <c r="HD15" s="479">
        <f>'Hodnocení '!HD15</f>
        <v>122278.24689477871</v>
      </c>
      <c r="HE15" s="479">
        <f>'Hodnocení '!HE15</f>
        <v>679200.89978173666</v>
      </c>
      <c r="HF15" s="479">
        <f>'Hodnocení '!HF15</f>
        <v>-242794.95455501907</v>
      </c>
      <c r="HG15" s="479">
        <f>'Hodnocení '!HG15</f>
        <v>220963.15552808461</v>
      </c>
      <c r="HH15" s="479">
        <f>'Hodnocení '!HH15</f>
        <v>0</v>
      </c>
      <c r="HI15" s="479">
        <f>'Hodnocení '!HI15</f>
        <v>370332.46910863707</v>
      </c>
      <c r="HJ15" s="479">
        <f>'Hodnocení '!HJ15</f>
        <v>680072.41262295097</v>
      </c>
      <c r="HK15" s="479">
        <f>'Hodnocení '!HK15</f>
        <v>358753.20608304348</v>
      </c>
      <c r="HL15" s="479">
        <f>'Hodnocení '!HL15</f>
        <v>295227.86046243913</v>
      </c>
      <c r="HM15" s="479">
        <f>'Hodnocení '!HM15</f>
        <v>3353173.9970160904</v>
      </c>
      <c r="HN15" s="479">
        <f>'Hodnocení '!HN15</f>
        <v>-83113.601273378488</v>
      </c>
      <c r="HO15" s="479">
        <f>'Hodnocení '!HO15</f>
        <v>507519.90220025246</v>
      </c>
      <c r="HP15" s="479">
        <f>'Hodnocení '!HP15</f>
        <v>-1883442.2186719738</v>
      </c>
      <c r="HQ15" s="479">
        <f>'Hodnocení '!HQ15</f>
        <v>134943.55808074438</v>
      </c>
      <c r="HR15" s="479">
        <f>'Hodnocení '!HR15</f>
        <v>2535524.6314871986</v>
      </c>
      <c r="HS15" s="479">
        <f>'Hodnocení '!HS15</f>
        <v>-14211.965151664466</v>
      </c>
      <c r="HT15" s="479">
        <f>'Hodnocení '!HT15</f>
        <v>1085456.5761957499</v>
      </c>
      <c r="HU15" s="479">
        <f>'Hodnocení '!HU15</f>
        <v>3299862.6926048403</v>
      </c>
      <c r="HV15" s="479">
        <f>'Hodnocení '!HV15</f>
        <v>1592402.0288383528</v>
      </c>
      <c r="HW15" s="479">
        <f>'Hodnocení '!HW15</f>
        <v>-565.49077229519594</v>
      </c>
      <c r="HX15" s="479">
        <f>'Hodnocení '!HX15</f>
        <v>-576687.13167294418</v>
      </c>
      <c r="HY15" s="479">
        <f>'Hodnocení '!HY15</f>
        <v>3932289.6220227708</v>
      </c>
      <c r="HZ15" s="479">
        <f>'Hodnocení '!HZ15</f>
        <v>-10332.129412174385</v>
      </c>
      <c r="IA15" s="479">
        <f>'Hodnocení '!IA15</f>
        <v>873489.90351326007</v>
      </c>
      <c r="IB15" s="479">
        <f>'Hodnocení '!IB15</f>
        <v>1417823.4261204912</v>
      </c>
      <c r="IC15" s="479">
        <f>'Hodnocení '!IC15</f>
        <v>-1446013.2149478139</v>
      </c>
      <c r="ID15" s="479">
        <f>'Hodnocení '!ID15</f>
        <v>-155831.97743835318</v>
      </c>
      <c r="IE15" s="479">
        <f>'Hodnocení '!IE15</f>
        <v>-1061335.1819851368</v>
      </c>
      <c r="IF15" s="479">
        <f>'Hodnocení '!IF15</f>
        <v>1570868.2845286781</v>
      </c>
      <c r="IG15" s="479">
        <f>'Hodnocení '!IG15</f>
        <v>0</v>
      </c>
      <c r="IH15" s="479">
        <f>'Hodnocení '!IH15</f>
        <v>599204.91927969828</v>
      </c>
      <c r="II15" s="479">
        <f>'Hodnocení '!II15</f>
        <v>80721.538374304917</v>
      </c>
      <c r="IJ15" s="479">
        <f>'Hodnocení '!IJ15</f>
        <v>-180109.98459361793</v>
      </c>
      <c r="IK15" s="479">
        <f>'Hodnocení '!IK15</f>
        <v>424985.85834536067</v>
      </c>
      <c r="IL15" s="479">
        <f>'Hodnocení '!IL15</f>
        <v>1143606.9776071399</v>
      </c>
      <c r="IM15" s="479">
        <f>'Hodnocení '!IM15</f>
        <v>-16774.870280975832</v>
      </c>
      <c r="IN15" s="479">
        <f>'Hodnocení '!IN15</f>
        <v>570409.39696999406</v>
      </c>
      <c r="IO15" s="479">
        <f>'Hodnocení '!IO15</f>
        <v>-438566.15494357405</v>
      </c>
      <c r="IP15" s="479">
        <f>'Hodnocení '!IP15</f>
        <v>-1530199.0662251285</v>
      </c>
      <c r="IQ15" s="479">
        <f>'Hodnocení '!IQ15</f>
        <v>2188352.1635731496</v>
      </c>
      <c r="IR15" s="479">
        <f>'Hodnocení '!IR15</f>
        <v>-92743.730127053655</v>
      </c>
      <c r="IS15" s="479">
        <f>'Hodnocení '!IS15</f>
        <v>1657273.2798378458</v>
      </c>
      <c r="IT15" s="479">
        <f>'Hodnocení '!IT15</f>
        <v>338271.32882527594</v>
      </c>
      <c r="IU15" s="479">
        <f>'Hodnocení '!IU15</f>
        <v>2591414.5063129491</v>
      </c>
      <c r="IV15" s="479">
        <f>'Hodnocení '!IV15</f>
        <v>664855.45452532906</v>
      </c>
      <c r="IW15" s="479">
        <f>'Hodnocení '!IW15</f>
        <v>-2325006.0519508678</v>
      </c>
      <c r="IX15" s="479">
        <f>'Hodnocení '!IX15</f>
        <v>-308019.68247632933</v>
      </c>
      <c r="IY15" s="479">
        <f>'Hodnocení '!IY15</f>
        <v>-404061.48215839796</v>
      </c>
      <c r="IZ15" s="479">
        <f>'Hodnocení '!IZ15</f>
        <v>1665074.9802205297</v>
      </c>
      <c r="JA15" s="479">
        <f>'Hodnocení '!JA15</f>
        <v>-158761.69070314171</v>
      </c>
      <c r="JB15" s="479">
        <f>'Hodnocení '!JB15</f>
        <v>0</v>
      </c>
      <c r="JC15" s="479">
        <f>'Hodnocení '!JC15</f>
        <v>-132957.65026689382</v>
      </c>
      <c r="JD15" s="479">
        <f>'Hodnocení '!JD15</f>
        <v>-538485.26227670815</v>
      </c>
      <c r="JE15" s="479">
        <f>'Hodnocení '!JE15</f>
        <v>4605944.3083144277</v>
      </c>
      <c r="JF15" s="479">
        <f>'Hodnocení '!JF15</f>
        <v>827739.12653820869</v>
      </c>
      <c r="JG15" s="479">
        <f>'Hodnocení '!JG15</f>
        <v>-742898.69584847975</v>
      </c>
      <c r="JH15" s="780">
        <f>'Hodnocení '!JH15</f>
        <v>-417251.88459429814</v>
      </c>
      <c r="JI15" s="315">
        <f>'Hodnocení '!JI15</f>
        <v>0</v>
      </c>
      <c r="JL15" s="307">
        <f t="shared" ref="JL15:JO16" si="23">SUMIFS($C15:$JH15,$C$5:$JH$5,JL$5)</f>
        <v>1257727.726614862</v>
      </c>
      <c r="JM15" s="307">
        <f t="shared" si="23"/>
        <v>2577346.976735957</v>
      </c>
      <c r="JN15" s="307">
        <f t="shared" si="23"/>
        <v>9074945.0961648673</v>
      </c>
      <c r="JO15" s="307">
        <f t="shared" si="23"/>
        <v>25439067.204023875</v>
      </c>
      <c r="JP15" s="307">
        <f t="shared" ref="JP15:JP16" si="24">SUM(JL15:JO15)</f>
        <v>38349087.003539562</v>
      </c>
    </row>
    <row r="16" spans="1:276" hidden="1" x14ac:dyDescent="0.25">
      <c r="B16" s="738" t="s">
        <v>2457</v>
      </c>
      <c r="C16" s="779">
        <f>'Hodnocení '!C16</f>
        <v>-428415.17438421957</v>
      </c>
      <c r="D16" s="479">
        <f>'Hodnocení '!D16</f>
        <v>-131996.51839831285</v>
      </c>
      <c r="E16" s="479">
        <f>'Hodnocení '!E16</f>
        <v>728653.78397190571</v>
      </c>
      <c r="F16" s="479">
        <f>'Hodnocení '!F16</f>
        <v>303795.70191681106</v>
      </c>
      <c r="G16" s="479">
        <f>'Hodnocení '!G16</f>
        <v>117292.69592978247</v>
      </c>
      <c r="H16" s="479">
        <f>'Hodnocení '!H16</f>
        <v>0</v>
      </c>
      <c r="I16" s="479">
        <f>'Hodnocení '!I16</f>
        <v>189588.12658313033</v>
      </c>
      <c r="J16" s="479">
        <f>'Hodnocení '!J16</f>
        <v>-85226.405466991942</v>
      </c>
      <c r="K16" s="479">
        <f>'Hodnocení '!K16</f>
        <v>-781544.87848464865</v>
      </c>
      <c r="L16" s="479">
        <f>'Hodnocení '!L16</f>
        <v>388761.42305533448</v>
      </c>
      <c r="M16" s="479">
        <f>'Hodnocení '!M16</f>
        <v>144809.67871878576</v>
      </c>
      <c r="N16" s="479">
        <f>'Hodnocení '!N16</f>
        <v>1329106.659218492</v>
      </c>
      <c r="O16" s="479">
        <f>'Hodnocení '!O16</f>
        <v>218148.78788653668</v>
      </c>
      <c r="P16" s="479">
        <f>'Hodnocení '!P16</f>
        <v>-107141.29381851899</v>
      </c>
      <c r="Q16" s="479">
        <f>'Hodnocení '!Q16</f>
        <v>23948.874031807762</v>
      </c>
      <c r="R16" s="479">
        <f>'Hodnocení '!R16</f>
        <v>199065.10015248274</v>
      </c>
      <c r="S16" s="479">
        <f>'Hodnocení '!S16</f>
        <v>168375.43313657911</v>
      </c>
      <c r="T16" s="479">
        <f>'Hodnocení '!T16</f>
        <v>-10146.202984096133</v>
      </c>
      <c r="U16" s="479">
        <f>'Hodnocení '!U16</f>
        <v>274868.92552385596</v>
      </c>
      <c r="V16" s="479">
        <f>'Hodnocení '!V16</f>
        <v>154078.18667349778</v>
      </c>
      <c r="W16" s="479">
        <f>'Hodnocení '!W16</f>
        <v>-880551.46923244372</v>
      </c>
      <c r="X16" s="479">
        <f>'Hodnocení '!X16</f>
        <v>82209.654744408559</v>
      </c>
      <c r="Y16" s="479">
        <f>'Hodnocení '!Y16</f>
        <v>-138923.91430997779</v>
      </c>
      <c r="Z16" s="479">
        <f>'Hodnocení '!Z16</f>
        <v>-1826165.7097250205</v>
      </c>
      <c r="AA16" s="479">
        <f>'Hodnocení '!AA16</f>
        <v>80902.312620689627</v>
      </c>
      <c r="AB16" s="479">
        <f>'Hodnocení '!AB16</f>
        <v>318514.91898563225</v>
      </c>
      <c r="AC16" s="479">
        <f>'Hodnocení '!AC16</f>
        <v>0</v>
      </c>
      <c r="AD16" s="479">
        <f>'Hodnocení '!AD16</f>
        <v>333667.45625469671</v>
      </c>
      <c r="AE16" s="479">
        <f>'Hodnocení '!AE16</f>
        <v>33523.748575862264</v>
      </c>
      <c r="AF16" s="479">
        <f>'Hodnocení '!AF16</f>
        <v>-520697.19617496245</v>
      </c>
      <c r="AG16" s="479">
        <f>'Hodnocení '!AG16</f>
        <v>236157.70037606684</v>
      </c>
      <c r="AH16" s="479">
        <f>'Hodnocení '!AH16</f>
        <v>-491066.14176786132</v>
      </c>
      <c r="AI16" s="479">
        <f>'Hodnocení '!AI16</f>
        <v>-2067496.9845357994</v>
      </c>
      <c r="AJ16" s="479">
        <f>'Hodnocení '!AJ16</f>
        <v>-1388609.4861314795</v>
      </c>
      <c r="AK16" s="479">
        <f>'Hodnocení '!AK16</f>
        <v>-219846.7062666018</v>
      </c>
      <c r="AL16" s="479">
        <f>'Hodnocení '!AL16</f>
        <v>125536.25631034514</v>
      </c>
      <c r="AM16" s="479">
        <f>'Hodnocení '!AM16</f>
        <v>88780.683733398095</v>
      </c>
      <c r="AN16" s="479">
        <f>'Hodnocení '!AN16</f>
        <v>284298.78800131124</v>
      </c>
      <c r="AO16" s="479">
        <f>'Hodnocení '!AO16</f>
        <v>356256.43727512751</v>
      </c>
      <c r="AP16" s="479">
        <f>'Hodnocení '!AP16</f>
        <v>90466.460429296829</v>
      </c>
      <c r="AQ16" s="479">
        <f>'Hodnocení '!AQ16</f>
        <v>133970.45880636154</v>
      </c>
      <c r="AR16" s="479">
        <f>'Hodnocení '!AR16</f>
        <v>420875.57597147021</v>
      </c>
      <c r="AS16" s="479">
        <f>'Hodnocení '!AS16</f>
        <v>133540.18820954236</v>
      </c>
      <c r="AT16" s="479">
        <f>'Hodnocení '!AT16</f>
        <v>706483.94855476753</v>
      </c>
      <c r="AU16" s="479">
        <f>'Hodnocení '!AU16</f>
        <v>327490.00892041496</v>
      </c>
      <c r="AV16" s="479">
        <f>'Hodnocení '!AV16</f>
        <v>59087.393705172464</v>
      </c>
      <c r="AW16" s="479">
        <f>'Hodnocení '!AW16</f>
        <v>50924.754069619346</v>
      </c>
      <c r="AX16" s="479">
        <f>'Hodnocení '!AX16</f>
        <v>515018.50198257249</v>
      </c>
      <c r="AY16" s="479">
        <f>'Hodnocení '!AY16</f>
        <v>198171.54636346735</v>
      </c>
      <c r="AZ16" s="479">
        <f>'Hodnocení '!AZ16</f>
        <v>-393975.12424536236</v>
      </c>
      <c r="BA16" s="479">
        <f>'Hodnocení '!BA16</f>
        <v>-936074.98431552947</v>
      </c>
      <c r="BB16" s="479">
        <f>'Hodnocení '!BB16</f>
        <v>-120766.28566978243</v>
      </c>
      <c r="BC16" s="479">
        <f>'Hodnocení '!BC16</f>
        <v>-150955.17897717701</v>
      </c>
      <c r="BD16" s="479">
        <f>'Hodnocení '!BD16</f>
        <v>140878.77447942225</v>
      </c>
      <c r="BE16" s="479">
        <f>'Hodnocení '!BE16</f>
        <v>412362.25701821549</v>
      </c>
      <c r="BF16" s="479">
        <f>'Hodnocení '!BF16</f>
        <v>912965.11283816933</v>
      </c>
      <c r="BG16" s="479">
        <f>'Hodnocení '!BG16</f>
        <v>-134212.17742422875</v>
      </c>
      <c r="BH16" s="479">
        <f>'Hodnocení '!BH16</f>
        <v>298450.59912132705</v>
      </c>
      <c r="BI16" s="479">
        <f>'Hodnocení '!BI16</f>
        <v>-450231.3190806685</v>
      </c>
      <c r="BJ16" s="479">
        <f>'Hodnocení '!BJ16</f>
        <v>198620.74324203003</v>
      </c>
      <c r="BK16" s="479">
        <f>'Hodnocení '!BK16</f>
        <v>-215353.98205012199</v>
      </c>
      <c r="BL16" s="479">
        <f>'Hodnocení '!BL16</f>
        <v>0</v>
      </c>
      <c r="BM16" s="479">
        <f>'Hodnocení '!BM16</f>
        <v>-1748421.2603735935</v>
      </c>
      <c r="BN16" s="479">
        <f>'Hodnocení '!BN16</f>
        <v>69169.980568945175</v>
      </c>
      <c r="BO16" s="479">
        <f>'Hodnocení '!BO16</f>
        <v>-66106.972892680322</v>
      </c>
      <c r="BP16" s="479">
        <f>'Hodnocení '!BP16</f>
        <v>-370432.34728894988</v>
      </c>
      <c r="BQ16" s="479">
        <f>'Hodnocení '!BQ16</f>
        <v>32269.031428240007</v>
      </c>
      <c r="BR16" s="479">
        <f>'Hodnocení '!BR16</f>
        <v>-19130.624028529739</v>
      </c>
      <c r="BS16" s="479">
        <f>'Hodnocení '!BS16</f>
        <v>171605.83462862717</v>
      </c>
      <c r="BT16" s="479">
        <f>'Hodnocení '!BT16</f>
        <v>-22311.804476144025</v>
      </c>
      <c r="BU16" s="479">
        <f>'Hodnocení '!BU16</f>
        <v>1110253.1780196782</v>
      </c>
      <c r="BV16" s="479">
        <f>'Hodnocení '!BV16</f>
        <v>-178630.87881279143</v>
      </c>
      <c r="BW16" s="479">
        <f>'Hodnocení '!BW16</f>
        <v>260563.51880636154</v>
      </c>
      <c r="BX16" s="479">
        <f>'Hodnocení '!BX16</f>
        <v>658645.26546663605</v>
      </c>
      <c r="BY16" s="479">
        <f>'Hodnocení '!BY16</f>
        <v>283747.58508884511</v>
      </c>
      <c r="BZ16" s="479">
        <f>'Hodnocení '!BZ16</f>
        <v>215187.73735378604</v>
      </c>
      <c r="CA16" s="479">
        <f>'Hodnocení '!CA16</f>
        <v>0</v>
      </c>
      <c r="CB16" s="479">
        <f>'Hodnocení '!CB16</f>
        <v>346339.78712657746</v>
      </c>
      <c r="CC16" s="479">
        <f>'Hodnocení '!CC16</f>
        <v>345649.09030168783</v>
      </c>
      <c r="CD16" s="479">
        <f>'Hodnocení '!CD16</f>
        <v>159443.79701590387</v>
      </c>
      <c r="CE16" s="479">
        <f>'Hodnocení '!CE16</f>
        <v>282083.31883668154</v>
      </c>
      <c r="CF16" s="479">
        <f>'Hodnocení '!CF16</f>
        <v>653208.39008596167</v>
      </c>
      <c r="CG16" s="479">
        <f>'Hodnocení '!CG16</f>
        <v>561859.69537461549</v>
      </c>
      <c r="CH16" s="479">
        <f>'Hodnocení '!CH16</f>
        <v>404305.92373929918</v>
      </c>
      <c r="CI16" s="479">
        <f>'Hodnocení '!CI16</f>
        <v>72161.152213037014</v>
      </c>
      <c r="CJ16" s="479">
        <f>'Hodnocení '!CJ16</f>
        <v>-35893.534080113284</v>
      </c>
      <c r="CK16" s="479">
        <f>'Hodnocení '!CK16</f>
        <v>-100970.6745204553</v>
      </c>
      <c r="CL16" s="479">
        <f>'Hodnocení '!CL16</f>
        <v>219424.25522868009</v>
      </c>
      <c r="CM16" s="479">
        <f>'Hodnocení '!CM16</f>
        <v>155764.31330345199</v>
      </c>
      <c r="CN16" s="479">
        <f>'Hodnocení '!CN16</f>
        <v>230587.33365051891</v>
      </c>
      <c r="CO16" s="479">
        <f>'Hodnocení '!CO16</f>
        <v>269366.4736505188</v>
      </c>
      <c r="CP16" s="479">
        <f>'Hodnocení '!CP16</f>
        <v>233034.01365051884</v>
      </c>
      <c r="CQ16" s="479">
        <f>'Hodnocení '!CQ16</f>
        <v>-96823.599224138074</v>
      </c>
      <c r="CR16" s="479">
        <f>'Hodnocení '!CR16</f>
        <v>0</v>
      </c>
      <c r="CS16" s="479">
        <f>'Hodnocení '!CS16</f>
        <v>0</v>
      </c>
      <c r="CT16" s="479">
        <f>'Hodnocení '!CT16</f>
        <v>2103236.7212180961</v>
      </c>
      <c r="CU16" s="479">
        <f>'Hodnocení '!CU16</f>
        <v>-186377.41491115489</v>
      </c>
      <c r="CV16" s="479">
        <f>'Hodnocení '!CV16</f>
        <v>301591.35938791838</v>
      </c>
      <c r="CW16" s="479">
        <f>'Hodnocení '!CW16</f>
        <v>0</v>
      </c>
      <c r="CX16" s="479">
        <f>'Hodnocení '!CX16</f>
        <v>-638006.45427627768</v>
      </c>
      <c r="CY16" s="479">
        <f>'Hodnocení '!CY16</f>
        <v>261327.3309677504</v>
      </c>
      <c r="CZ16" s="479">
        <f>'Hodnocení '!CZ16</f>
        <v>-139601.8588189655</v>
      </c>
      <c r="DA16" s="479">
        <f>'Hodnocení '!DA16</f>
        <v>-896595.6549794923</v>
      </c>
      <c r="DB16" s="479">
        <f>'Hodnocení '!DB16</f>
        <v>109244.1365682896</v>
      </c>
      <c r="DC16" s="479">
        <f>'Hodnocení '!DC16</f>
        <v>420607.7320631484</v>
      </c>
      <c r="DD16" s="479">
        <f>'Hodnocení '!DD16</f>
        <v>35418.089749390259</v>
      </c>
      <c r="DE16" s="479">
        <f>'Hodnocení '!DE16</f>
        <v>698376.96564914659</v>
      </c>
      <c r="DF16" s="479">
        <f>'Hodnocení '!DF16</f>
        <v>540855.78838264197</v>
      </c>
      <c r="DG16" s="479">
        <f>'Hodnocení '!DG16</f>
        <v>0</v>
      </c>
      <c r="DH16" s="479">
        <f>'Hodnocení '!DH16</f>
        <v>86943.074613970937</v>
      </c>
      <c r="DI16" s="479">
        <f>'Hodnocení '!DI16</f>
        <v>213381.26799855661</v>
      </c>
      <c r="DJ16" s="479">
        <f>'Hodnocení '!DJ16</f>
        <v>-146216.21410024399</v>
      </c>
      <c r="DK16" s="479">
        <f>'Hodnocení '!DK16</f>
        <v>102184.74515489023</v>
      </c>
      <c r="DL16" s="479">
        <f>'Hodnocení '!DL16</f>
        <v>-49505.889432451222</v>
      </c>
      <c r="DM16" s="479">
        <f>'Hodnocení '!DM16</f>
        <v>-85275.214062889107</v>
      </c>
      <c r="DN16" s="479">
        <f>'Hodnocení '!DN16</f>
        <v>-13748.815873702988</v>
      </c>
      <c r="DO16" s="479">
        <f>'Hodnocení '!DO16</f>
        <v>37984.967266503954</v>
      </c>
      <c r="DP16" s="479">
        <f>'Hodnocení '!DP16</f>
        <v>561523.6209515566</v>
      </c>
      <c r="DQ16" s="479">
        <f>'Hodnocení '!DQ16</f>
        <v>108806.22220000066</v>
      </c>
      <c r="DR16" s="479">
        <f>'Hodnocení '!DR16</f>
        <v>415851.54656896554</v>
      </c>
      <c r="DS16" s="479">
        <f>'Hodnocení '!DS16</f>
        <v>0</v>
      </c>
      <c r="DT16" s="479">
        <f>'Hodnocení '!DT16</f>
        <v>-796106.62584882649</v>
      </c>
      <c r="DU16" s="479">
        <f>'Hodnocení '!DU16</f>
        <v>171733.22948529432</v>
      </c>
      <c r="DV16" s="479">
        <f>'Hodnocení '!DV16</f>
        <v>-2254324.545800874</v>
      </c>
      <c r="DW16" s="479">
        <f>'Hodnocení '!DW16</f>
        <v>0</v>
      </c>
      <c r="DX16" s="479">
        <f>'Hodnocení '!DX16</f>
        <v>472375.40179951163</v>
      </c>
      <c r="DY16" s="479">
        <f>'Hodnocení '!DY16</f>
        <v>124513.38407709496</v>
      </c>
      <c r="DZ16" s="479">
        <f>'Hodnocení '!DZ16</f>
        <v>78225.476311541861</v>
      </c>
      <c r="EA16" s="479">
        <f>'Hodnocení '!EA16</f>
        <v>506566.38428527117</v>
      </c>
      <c r="EB16" s="479">
        <f>'Hodnocení '!EB16</f>
        <v>572236.13041447569</v>
      </c>
      <c r="EC16" s="479">
        <f>'Hodnocení '!EC16</f>
        <v>543019.34372932417</v>
      </c>
      <c r="ED16" s="479">
        <f>'Hodnocení '!ED16</f>
        <v>326219.05189333763</v>
      </c>
      <c r="EE16" s="479">
        <f>'Hodnocení '!EE16</f>
        <v>25417.696568289539</v>
      </c>
      <c r="EF16" s="479">
        <f>'Hodnocení '!EF16</f>
        <v>31524.766269879881</v>
      </c>
      <c r="EG16" s="479">
        <f>'Hodnocení '!EG16</f>
        <v>8592.4882095423527</v>
      </c>
      <c r="EH16" s="479">
        <f>'Hodnocení '!EH16</f>
        <v>18368.722788206185</v>
      </c>
      <c r="EI16" s="479">
        <f>'Hodnocení '!EI16</f>
        <v>-13525.726045602001</v>
      </c>
      <c r="EJ16" s="479">
        <f>'Hodnocení '!EJ16</f>
        <v>133273.45981320331</v>
      </c>
      <c r="EK16" s="479">
        <f>'Hodnocení '!EK16</f>
        <v>788536.1149103269</v>
      </c>
      <c r="EL16" s="479">
        <f>'Hodnocení '!EL16</f>
        <v>364545.02745439671</v>
      </c>
      <c r="EM16" s="479">
        <f>'Hodnocení '!EM16</f>
        <v>-83424.473299439065</v>
      </c>
      <c r="EN16" s="479">
        <f>'Hodnocení '!EN16</f>
        <v>90750.282362069003</v>
      </c>
      <c r="EO16" s="479">
        <f>'Hodnocení '!EO16</f>
        <v>59356.518806361535</v>
      </c>
      <c r="EP16" s="479">
        <f>'Hodnocení '!EP16</f>
        <v>89179.08269322617</v>
      </c>
      <c r="EQ16" s="479">
        <f>'Hodnocení '!EQ16</f>
        <v>465398.54658313026</v>
      </c>
      <c r="ER16" s="479">
        <f>'Hodnocení '!ER16</f>
        <v>-1773740.5906434022</v>
      </c>
      <c r="ES16" s="479">
        <f>'Hodnocení '!ES16</f>
        <v>55830.612822522409</v>
      </c>
      <c r="ET16" s="479">
        <f>'Hodnocení '!ET16</f>
        <v>0</v>
      </c>
      <c r="EU16" s="479">
        <f>'Hodnocení '!EU16</f>
        <v>0</v>
      </c>
      <c r="EV16" s="479">
        <f>'Hodnocení '!EV16</f>
        <v>13097.157911132788</v>
      </c>
      <c r="EW16" s="479">
        <f>'Hodnocení '!EW16</f>
        <v>411322.11056754878</v>
      </c>
      <c r="EX16" s="479">
        <f>'Hodnocení '!EX16</f>
        <v>-1519129.599239897</v>
      </c>
      <c r="EY16" s="479">
        <f>'Hodnocení '!EY16</f>
        <v>83108.934465517756</v>
      </c>
      <c r="EZ16" s="479">
        <f>'Hodnocení '!EZ16</f>
        <v>321800.57462204935</v>
      </c>
      <c r="FA16" s="479">
        <f>'Hodnocení '!FA16</f>
        <v>-330664.56879626587</v>
      </c>
      <c r="FB16" s="479">
        <f>'Hodnocení '!FB16</f>
        <v>-23885.328660064755</v>
      </c>
      <c r="FC16" s="479">
        <f>'Hodnocení '!FC16</f>
        <v>2059175.8304785434</v>
      </c>
      <c r="FD16" s="479">
        <f>'Hodnocení '!FD16</f>
        <v>609690.66034602071</v>
      </c>
      <c r="FE16" s="479">
        <f>'Hodnocení '!FE16</f>
        <v>336346.79033709993</v>
      </c>
      <c r="FF16" s="479">
        <f>'Hodnocení '!FF16</f>
        <v>-62408.944716225611</v>
      </c>
      <c r="FG16" s="479">
        <f>'Hodnocení '!FG16</f>
        <v>-1138074.6251694188</v>
      </c>
      <c r="FH16" s="479">
        <f>'Hodnocení '!FH16</f>
        <v>-2952232.1283496041</v>
      </c>
      <c r="FI16" s="479">
        <f>'Hodnocení '!FI16</f>
        <v>-2712588.6508325413</v>
      </c>
      <c r="FJ16" s="479">
        <f>'Hodnocení '!FJ16</f>
        <v>-182926.00471967366</v>
      </c>
      <c r="FK16" s="479">
        <f>'Hodnocení '!FK16</f>
        <v>166349.41019148135</v>
      </c>
      <c r="FL16" s="479">
        <f>'Hodnocení '!FL16</f>
        <v>49753.548738150392</v>
      </c>
      <c r="FM16" s="479">
        <f>'Hodnocení '!FM16</f>
        <v>-463809.244340159</v>
      </c>
      <c r="FN16" s="479">
        <f>'Hodnocení '!FN16</f>
        <v>-107511.45638265647</v>
      </c>
      <c r="FO16" s="479">
        <f>'Hodnocení '!FO16</f>
        <v>-388641.56075588847</v>
      </c>
      <c r="FP16" s="479">
        <f>'Hodnocení '!FP16</f>
        <v>-1288353.0399121344</v>
      </c>
      <c r="FQ16" s="479">
        <f>'Hodnocení '!FQ16</f>
        <v>-109212.2042272049</v>
      </c>
      <c r="FR16" s="479">
        <f>'Hodnocení '!FR16</f>
        <v>0</v>
      </c>
      <c r="FS16" s="479">
        <f>'Hodnocení '!FS16</f>
        <v>-210055.08101530618</v>
      </c>
      <c r="FT16" s="479">
        <f>'Hodnocení '!FT16</f>
        <v>281545.00962016545</v>
      </c>
      <c r="FU16" s="479">
        <f>'Hodnocení '!FU16</f>
        <v>-121467.55762446951</v>
      </c>
      <c r="FV16" s="479">
        <f>'Hodnocení '!FV16</f>
        <v>70000.018270380097</v>
      </c>
      <c r="FW16" s="479">
        <f>'Hodnocení '!FW16</f>
        <v>-370747.65632360918</v>
      </c>
      <c r="FX16" s="479">
        <f>'Hodnocení '!FX16</f>
        <v>-112752.36282835621</v>
      </c>
      <c r="FY16" s="479">
        <f>'Hodnocení '!FY16</f>
        <v>-151874.67741452297</v>
      </c>
      <c r="FZ16" s="479">
        <f>'Hodnocení '!FZ16</f>
        <v>376794.06623773277</v>
      </c>
      <c r="GA16" s="479">
        <f>'Hodnocení '!GA16</f>
        <v>512206.94983642478</v>
      </c>
      <c r="GB16" s="479">
        <f>'Hodnocení '!GB16</f>
        <v>-1662977.2832923918</v>
      </c>
      <c r="GC16" s="479">
        <f>'Hodnocení '!GC16</f>
        <v>-136319.29962393316</v>
      </c>
      <c r="GD16" s="479">
        <f>'Hodnocení '!GD16</f>
        <v>-2837656.9269466568</v>
      </c>
      <c r="GE16" s="479">
        <f>'Hodnocení '!GE16</f>
        <v>75624.739626406459</v>
      </c>
      <c r="GF16" s="479">
        <f>'Hodnocení '!GF16</f>
        <v>725131.32848992106</v>
      </c>
      <c r="GG16" s="479">
        <f>'Hodnocení '!GG16</f>
        <v>516186.95905256132</v>
      </c>
      <c r="GH16" s="479">
        <f>'Hodnocení '!GH16</f>
        <v>114570.69729255093</v>
      </c>
      <c r="GI16" s="479">
        <f>'Hodnocení '!GI16</f>
        <v>931296.24446297809</v>
      </c>
      <c r="GJ16" s="479">
        <f>'Hodnocení '!GJ16</f>
        <v>-441544.02274037292</v>
      </c>
      <c r="GK16" s="479">
        <f>'Hodnocení '!GK16</f>
        <v>-947361.72878273483</v>
      </c>
      <c r="GL16" s="479">
        <f>'Hodnocení '!GL16</f>
        <v>-109452.97030777414</v>
      </c>
      <c r="GM16" s="479">
        <f>'Hodnocení '!GM16</f>
        <v>-80307.893460640451</v>
      </c>
      <c r="GN16" s="479">
        <f>'Hodnocení '!GN16</f>
        <v>-248761.03579310339</v>
      </c>
      <c r="GO16" s="479">
        <f>'Hodnocení '!GO16</f>
        <v>-2374258.6753123617</v>
      </c>
      <c r="GP16" s="479">
        <f>'Hodnocení '!GP16</f>
        <v>520134.18901328673</v>
      </c>
      <c r="GQ16" s="479">
        <f>'Hodnocení '!GQ16</f>
        <v>-6108.6498119665775</v>
      </c>
      <c r="GR16" s="479">
        <f>'Hodnocení '!GR16</f>
        <v>828949.60159262153</v>
      </c>
      <c r="GS16" s="479">
        <f>'Hodnocení '!GS16</f>
        <v>219089.5901914814</v>
      </c>
      <c r="GT16" s="479">
        <f>'Hodnocení '!GT16</f>
        <v>-30927.873795023188</v>
      </c>
      <c r="GU16" s="479">
        <f>'Hodnocení '!GU16</f>
        <v>288243.14981196914</v>
      </c>
      <c r="GV16" s="479">
        <f>'Hodnocení '!GV16</f>
        <v>0</v>
      </c>
      <c r="GW16" s="479">
        <f>'Hodnocení '!GW16</f>
        <v>341059.29018458538</v>
      </c>
      <c r="GX16" s="479">
        <f>'Hodnocení '!GX16</f>
        <v>-81428.498396064388</v>
      </c>
      <c r="GY16" s="479">
        <f>'Hodnocení '!GY16</f>
        <v>-3469902.8877815753</v>
      </c>
      <c r="GZ16" s="479">
        <f>'Hodnocení '!GZ16</f>
        <v>0</v>
      </c>
      <c r="HA16" s="479">
        <f>'Hodnocení '!HA16</f>
        <v>2200176.3706938401</v>
      </c>
      <c r="HB16" s="479">
        <f>'Hodnocení '!HB16</f>
        <v>2035755.6302307304</v>
      </c>
      <c r="HC16" s="479">
        <f>'Hodnocení '!HC16</f>
        <v>-2518535.5690526944</v>
      </c>
      <c r="HD16" s="479">
        <f>'Hodnocení '!HD16</f>
        <v>103081.70037606684</v>
      </c>
      <c r="HE16" s="479">
        <f>'Hodnocení '!HE16</f>
        <v>-1751154.9852751978</v>
      </c>
      <c r="HF16" s="479">
        <f>'Hodnocení '!HF16</f>
        <v>-531519.84566016099</v>
      </c>
      <c r="HG16" s="479">
        <f>'Hodnocení '!HG16</f>
        <v>-487315.57029811677</v>
      </c>
      <c r="HH16" s="479">
        <f>'Hodnocení '!HH16</f>
        <v>881459.41528377426</v>
      </c>
      <c r="HI16" s="479">
        <f>'Hodnocení '!HI16</f>
        <v>-242493.12943245145</v>
      </c>
      <c r="HJ16" s="479">
        <f>'Hodnocení '!HJ16</f>
        <v>-148069.26670843491</v>
      </c>
      <c r="HK16" s="479">
        <f>'Hodnocení '!HK16</f>
        <v>-5462.6902804858983</v>
      </c>
      <c r="HL16" s="479">
        <f>'Hodnocení '!HL16</f>
        <v>304347.81275743991</v>
      </c>
      <c r="HM16" s="479">
        <f>'Hodnocení '!HM16</f>
        <v>2691403.390446201</v>
      </c>
      <c r="HN16" s="479">
        <f>'Hodnocení '!HN16</f>
        <v>28970.426295316196</v>
      </c>
      <c r="HO16" s="479">
        <f>'Hodnocení '!HO16</f>
        <v>-235777.13292029267</v>
      </c>
      <c r="HP16" s="479">
        <f>'Hodnocení '!HP16</f>
        <v>-1127400.0164122842</v>
      </c>
      <c r="HQ16" s="479">
        <f>'Hodnocení '!HQ16</f>
        <v>178276.33073509589</v>
      </c>
      <c r="HR16" s="479">
        <f>'Hodnocení '!HR16</f>
        <v>1102632.8153869361</v>
      </c>
      <c r="HS16" s="479">
        <f>'Hodnocení '!HS16</f>
        <v>-67770.658545186743</v>
      </c>
      <c r="HT16" s="479">
        <f>'Hodnocení '!HT16</f>
        <v>5644010.5005531013</v>
      </c>
      <c r="HU16" s="479">
        <f>'Hodnocení '!HU16</f>
        <v>-4459893.931715291</v>
      </c>
      <c r="HV16" s="479">
        <f>'Hodnocení '!HV16</f>
        <v>-2299248.1270473748</v>
      </c>
      <c r="HW16" s="479">
        <f>'Hodnocení '!HW16</f>
        <v>690491.97533104476</v>
      </c>
      <c r="HX16" s="479">
        <f>'Hodnocení '!HX16</f>
        <v>-1514142.400721401</v>
      </c>
      <c r="HY16" s="479">
        <f>'Hodnocení '!HY16</f>
        <v>3832833.6555471271</v>
      </c>
      <c r="HZ16" s="479">
        <f>'Hodnocení '!HZ16</f>
        <v>1371548.2130819783</v>
      </c>
      <c r="IA16" s="479">
        <f>'Hodnocení '!IA16</f>
        <v>-597620.75775093399</v>
      </c>
      <c r="IB16" s="479">
        <f>'Hodnocení '!IB16</f>
        <v>2236801.53450369</v>
      </c>
      <c r="IC16" s="479">
        <f>'Hodnocení '!IC16</f>
        <v>-2031734.2840379626</v>
      </c>
      <c r="ID16" s="479">
        <f>'Hodnocení '!ID16</f>
        <v>-1266533.294229731</v>
      </c>
      <c r="IE16" s="479">
        <f>'Hodnocení '!IE16</f>
        <v>-1850493.411149824</v>
      </c>
      <c r="IF16" s="479">
        <f>'Hodnocení '!IF16</f>
        <v>8823337.5427579768</v>
      </c>
      <c r="IG16" s="479">
        <f>'Hodnocení '!IG16</f>
        <v>0</v>
      </c>
      <c r="IH16" s="479">
        <f>'Hodnocení '!IH16</f>
        <v>-430390.00063377433</v>
      </c>
      <c r="II16" s="479">
        <f>'Hodnocení '!II16</f>
        <v>5637220.4442041684</v>
      </c>
      <c r="IJ16" s="479">
        <f>'Hodnocení '!IJ16</f>
        <v>229419.76998041989</v>
      </c>
      <c r="IK16" s="479">
        <f>'Hodnocení '!IK16</f>
        <v>64293.954309316352</v>
      </c>
      <c r="IL16" s="479">
        <f>'Hodnocení '!IL16</f>
        <v>1845209.8999838103</v>
      </c>
      <c r="IM16" s="479">
        <f>'Hodnocení '!IM16</f>
        <v>319586.44601976871</v>
      </c>
      <c r="IN16" s="479">
        <f>'Hodnocení '!IN16</f>
        <v>1270191.6735695358</v>
      </c>
      <c r="IO16" s="479">
        <f>'Hodnocení '!IO16</f>
        <v>-20048.357343093026</v>
      </c>
      <c r="IP16" s="479">
        <f>'Hodnocení '!IP16</f>
        <v>3255857.245514214</v>
      </c>
      <c r="IQ16" s="479">
        <f>'Hodnocení '!IQ16</f>
        <v>2947188.7623358592</v>
      </c>
      <c r="IR16" s="479">
        <f>'Hodnocení '!IR16</f>
        <v>196408.32098613644</v>
      </c>
      <c r="IS16" s="479">
        <f>'Hodnocení '!IS16</f>
        <v>2259603.1158885956</v>
      </c>
      <c r="IT16" s="479">
        <f>'Hodnocení '!IT16</f>
        <v>-1886463.0665458478</v>
      </c>
      <c r="IU16" s="479">
        <f>'Hodnocení '!IU16</f>
        <v>105238.6945648496</v>
      </c>
      <c r="IV16" s="479">
        <f>'Hodnocení '!IV16</f>
        <v>1697759.9505312387</v>
      </c>
      <c r="IW16" s="479">
        <f>'Hodnocení '!IW16</f>
        <v>3138979.3386558443</v>
      </c>
      <c r="IX16" s="479">
        <f>'Hodnocení '!IX16</f>
        <v>199037.08310629358</v>
      </c>
      <c r="IY16" s="479">
        <f>'Hodnocení '!IY16</f>
        <v>-3611453.4076223588</v>
      </c>
      <c r="IZ16" s="479">
        <f>'Hodnocení '!IZ16</f>
        <v>-1848480.1483693179</v>
      </c>
      <c r="JA16" s="479">
        <f>'Hodnocení '!JA16</f>
        <v>571228.38761600107</v>
      </c>
      <c r="JB16" s="479">
        <f>'Hodnocení '!JB16</f>
        <v>251347.3719268525</v>
      </c>
      <c r="JC16" s="479">
        <f>'Hodnocení '!JC16</f>
        <v>317099.14152335608</v>
      </c>
      <c r="JD16" s="479">
        <f>'Hodnocení '!JD16</f>
        <v>44859.140929341316</v>
      </c>
      <c r="JE16" s="479">
        <f>'Hodnocení '!JE16</f>
        <v>-2162960.9472244061</v>
      </c>
      <c r="JF16" s="479">
        <f>'Hodnocení '!JF16</f>
        <v>-3158528.2563570961</v>
      </c>
      <c r="JG16" s="479">
        <f>'Hodnocení '!JG16</f>
        <v>2526206.896090582</v>
      </c>
      <c r="JH16" s="780">
        <f>'Hodnocení '!JH16</f>
        <v>-2521604.5873203734</v>
      </c>
      <c r="JI16" s="470">
        <f>'Hodnocení '!JI16</f>
        <v>14647647.838760696</v>
      </c>
      <c r="JL16" s="307">
        <f t="shared" si="23"/>
        <v>168242.09118937328</v>
      </c>
      <c r="JM16" s="307">
        <f t="shared" si="23"/>
        <v>7074502.2245208966</v>
      </c>
      <c r="JN16" s="307">
        <f t="shared" si="23"/>
        <v>-15285943.526135119</v>
      </c>
      <c r="JO16" s="307">
        <f t="shared" si="23"/>
        <v>22690847.049185544</v>
      </c>
      <c r="JP16" s="307">
        <f t="shared" si="24"/>
        <v>14647647.838760696</v>
      </c>
    </row>
    <row r="17" spans="1:276" ht="7.35" hidden="1" customHeight="1" x14ac:dyDescent="0.25">
      <c r="B17" s="733"/>
      <c r="C17" s="360">
        <f>'Hodnocení '!C17</f>
        <v>0</v>
      </c>
      <c r="D17" s="357">
        <f>'Hodnocení '!D17</f>
        <v>0</v>
      </c>
      <c r="E17" s="357">
        <f>'Hodnocení '!E17</f>
        <v>0</v>
      </c>
      <c r="F17" s="357">
        <f>'Hodnocení '!F17</f>
        <v>0</v>
      </c>
      <c r="G17" s="357">
        <f>'Hodnocení '!G17</f>
        <v>0</v>
      </c>
      <c r="H17" s="357">
        <f>'Hodnocení '!H17</f>
        <v>0</v>
      </c>
      <c r="I17" s="357">
        <f>'Hodnocení '!I17</f>
        <v>0</v>
      </c>
      <c r="J17" s="357">
        <f>'Hodnocení '!J17</f>
        <v>0</v>
      </c>
      <c r="K17" s="357">
        <f>'Hodnocení '!K17</f>
        <v>0</v>
      </c>
      <c r="L17" s="357">
        <f>'Hodnocení '!L17</f>
        <v>0</v>
      </c>
      <c r="M17" s="357">
        <f>'Hodnocení '!M17</f>
        <v>0</v>
      </c>
      <c r="N17" s="357">
        <f>'Hodnocení '!N17</f>
        <v>0</v>
      </c>
      <c r="O17" s="357">
        <f>'Hodnocení '!O17</f>
        <v>0</v>
      </c>
      <c r="P17" s="357">
        <f>'Hodnocení '!P17</f>
        <v>0</v>
      </c>
      <c r="Q17" s="357">
        <f>'Hodnocení '!Q17</f>
        <v>0</v>
      </c>
      <c r="R17" s="357">
        <f>'Hodnocení '!R17</f>
        <v>0</v>
      </c>
      <c r="S17" s="357">
        <f>'Hodnocení '!S17</f>
        <v>0</v>
      </c>
      <c r="T17" s="357">
        <f>'Hodnocení '!T17</f>
        <v>0</v>
      </c>
      <c r="U17" s="357">
        <f>'Hodnocení '!U17</f>
        <v>0</v>
      </c>
      <c r="V17" s="357">
        <f>'Hodnocení '!V17</f>
        <v>0</v>
      </c>
      <c r="W17" s="357">
        <f>'Hodnocení '!W17</f>
        <v>0</v>
      </c>
      <c r="X17" s="357">
        <f>'Hodnocení '!X17</f>
        <v>0</v>
      </c>
      <c r="Y17" s="357">
        <f>'Hodnocení '!Y17</f>
        <v>0</v>
      </c>
      <c r="Z17" s="357">
        <f>'Hodnocení '!Z17</f>
        <v>0</v>
      </c>
      <c r="AA17" s="357">
        <f>'Hodnocení '!AA17</f>
        <v>0</v>
      </c>
      <c r="AB17" s="357">
        <f>'Hodnocení '!AB17</f>
        <v>0</v>
      </c>
      <c r="AC17" s="357">
        <f>'Hodnocení '!AC17</f>
        <v>0</v>
      </c>
      <c r="AD17" s="357">
        <f>'Hodnocení '!AD17</f>
        <v>0</v>
      </c>
      <c r="AE17" s="357">
        <f>'Hodnocení '!AE17</f>
        <v>0</v>
      </c>
      <c r="AF17" s="357">
        <f>'Hodnocení '!AF17</f>
        <v>0</v>
      </c>
      <c r="AG17" s="357">
        <f>'Hodnocení '!AG17</f>
        <v>0</v>
      </c>
      <c r="AH17" s="357">
        <f>'Hodnocení '!AH17</f>
        <v>0</v>
      </c>
      <c r="AI17" s="357">
        <f>'Hodnocení '!AI17</f>
        <v>0</v>
      </c>
      <c r="AJ17" s="357">
        <f>'Hodnocení '!AJ17</f>
        <v>0</v>
      </c>
      <c r="AK17" s="357">
        <f>'Hodnocení '!AK17</f>
        <v>0</v>
      </c>
      <c r="AL17" s="357">
        <f>'Hodnocení '!AL17</f>
        <v>0</v>
      </c>
      <c r="AM17" s="357">
        <f>'Hodnocení '!AM17</f>
        <v>0</v>
      </c>
      <c r="AN17" s="357">
        <f>'Hodnocení '!AN17</f>
        <v>0</v>
      </c>
      <c r="AO17" s="357">
        <f>'Hodnocení '!AO17</f>
        <v>0</v>
      </c>
      <c r="AP17" s="357">
        <f>'Hodnocení '!AP17</f>
        <v>0</v>
      </c>
      <c r="AQ17" s="357">
        <f>'Hodnocení '!AQ17</f>
        <v>0</v>
      </c>
      <c r="AR17" s="357">
        <f>'Hodnocení '!AR17</f>
        <v>0</v>
      </c>
      <c r="AS17" s="357">
        <f>'Hodnocení '!AS17</f>
        <v>0</v>
      </c>
      <c r="AT17" s="357">
        <f>'Hodnocení '!AT17</f>
        <v>0</v>
      </c>
      <c r="AU17" s="357">
        <f>'Hodnocení '!AU17</f>
        <v>0</v>
      </c>
      <c r="AV17" s="357">
        <f>'Hodnocení '!AV17</f>
        <v>0</v>
      </c>
      <c r="AW17" s="357">
        <f>'Hodnocení '!AW17</f>
        <v>0</v>
      </c>
      <c r="AX17" s="357">
        <f>'Hodnocení '!AX17</f>
        <v>0</v>
      </c>
      <c r="AY17" s="357">
        <f>'Hodnocení '!AY17</f>
        <v>0</v>
      </c>
      <c r="AZ17" s="357">
        <f>'Hodnocení '!AZ17</f>
        <v>0</v>
      </c>
      <c r="BA17" s="357">
        <f>'Hodnocení '!BA17</f>
        <v>0</v>
      </c>
      <c r="BB17" s="357">
        <f>'Hodnocení '!BB17</f>
        <v>0</v>
      </c>
      <c r="BC17" s="357">
        <f>'Hodnocení '!BC17</f>
        <v>0</v>
      </c>
      <c r="BD17" s="357">
        <f>'Hodnocení '!BD17</f>
        <v>0</v>
      </c>
      <c r="BE17" s="357">
        <f>'Hodnocení '!BE17</f>
        <v>0</v>
      </c>
      <c r="BF17" s="357">
        <f>'Hodnocení '!BF17</f>
        <v>0</v>
      </c>
      <c r="BG17" s="357">
        <f>'Hodnocení '!BG17</f>
        <v>0</v>
      </c>
      <c r="BH17" s="357">
        <f>'Hodnocení '!BH17</f>
        <v>0</v>
      </c>
      <c r="BI17" s="357">
        <f>'Hodnocení '!BI17</f>
        <v>0</v>
      </c>
      <c r="BJ17" s="357">
        <f>'Hodnocení '!BJ17</f>
        <v>0</v>
      </c>
      <c r="BK17" s="357">
        <f>'Hodnocení '!BK17</f>
        <v>0</v>
      </c>
      <c r="BL17" s="357">
        <f>'Hodnocení '!BL17</f>
        <v>0</v>
      </c>
      <c r="BM17" s="357">
        <f>'Hodnocení '!BM17</f>
        <v>0</v>
      </c>
      <c r="BN17" s="357">
        <f>'Hodnocení '!BN17</f>
        <v>0</v>
      </c>
      <c r="BO17" s="357">
        <f>'Hodnocení '!BO17</f>
        <v>0</v>
      </c>
      <c r="BP17" s="357">
        <f>'Hodnocení '!BP17</f>
        <v>0</v>
      </c>
      <c r="BQ17" s="357">
        <f>'Hodnocení '!BQ17</f>
        <v>0</v>
      </c>
      <c r="BR17" s="357">
        <f>'Hodnocení '!BR17</f>
        <v>0</v>
      </c>
      <c r="BS17" s="357">
        <f>'Hodnocení '!BS17</f>
        <v>0</v>
      </c>
      <c r="BT17" s="357">
        <f>'Hodnocení '!BT17</f>
        <v>0</v>
      </c>
      <c r="BU17" s="357">
        <f>'Hodnocení '!BU17</f>
        <v>0</v>
      </c>
      <c r="BV17" s="357">
        <f>'Hodnocení '!BV17</f>
        <v>0</v>
      </c>
      <c r="BW17" s="357">
        <f>'Hodnocení '!BW17</f>
        <v>0</v>
      </c>
      <c r="BX17" s="357">
        <f>'Hodnocení '!BX17</f>
        <v>0</v>
      </c>
      <c r="BY17" s="357">
        <f>'Hodnocení '!BY17</f>
        <v>0</v>
      </c>
      <c r="BZ17" s="357">
        <f>'Hodnocení '!BZ17</f>
        <v>0</v>
      </c>
      <c r="CA17" s="357">
        <f>'Hodnocení '!CA17</f>
        <v>0</v>
      </c>
      <c r="CB17" s="357">
        <f>'Hodnocení '!CB17</f>
        <v>0</v>
      </c>
      <c r="CC17" s="357">
        <f>'Hodnocení '!CC17</f>
        <v>0</v>
      </c>
      <c r="CD17" s="357">
        <f>'Hodnocení '!CD17</f>
        <v>0</v>
      </c>
      <c r="CE17" s="357">
        <f>'Hodnocení '!CE17</f>
        <v>0</v>
      </c>
      <c r="CF17" s="357">
        <f>'Hodnocení '!CF17</f>
        <v>0</v>
      </c>
      <c r="CG17" s="357">
        <f>'Hodnocení '!CG17</f>
        <v>0</v>
      </c>
      <c r="CH17" s="357">
        <f>'Hodnocení '!CH17</f>
        <v>0</v>
      </c>
      <c r="CI17" s="357">
        <f>'Hodnocení '!CI17</f>
        <v>0</v>
      </c>
      <c r="CJ17" s="357">
        <f>'Hodnocení '!CJ17</f>
        <v>0</v>
      </c>
      <c r="CK17" s="357">
        <f>'Hodnocení '!CK17</f>
        <v>0</v>
      </c>
      <c r="CL17" s="357">
        <f>'Hodnocení '!CL17</f>
        <v>0</v>
      </c>
      <c r="CM17" s="357">
        <f>'Hodnocení '!CM17</f>
        <v>0</v>
      </c>
      <c r="CN17" s="357">
        <f>'Hodnocení '!CN17</f>
        <v>0</v>
      </c>
      <c r="CO17" s="357">
        <f>'Hodnocení '!CO17</f>
        <v>0</v>
      </c>
      <c r="CP17" s="357">
        <f>'Hodnocení '!CP17</f>
        <v>0</v>
      </c>
      <c r="CQ17" s="357">
        <f>'Hodnocení '!CQ17</f>
        <v>0</v>
      </c>
      <c r="CR17" s="357">
        <f>'Hodnocení '!CR17</f>
        <v>0</v>
      </c>
      <c r="CS17" s="357">
        <f>'Hodnocení '!CS17</f>
        <v>0</v>
      </c>
      <c r="CT17" s="357">
        <f>'Hodnocení '!CT17</f>
        <v>0</v>
      </c>
      <c r="CU17" s="357">
        <f>'Hodnocení '!CU17</f>
        <v>0</v>
      </c>
      <c r="CV17" s="357">
        <f>'Hodnocení '!CV17</f>
        <v>0</v>
      </c>
      <c r="CW17" s="357">
        <f>'Hodnocení '!CW17</f>
        <v>0</v>
      </c>
      <c r="CX17" s="479" t="e">
        <f>'Hodnocení '!CX17</f>
        <v>#REF!</v>
      </c>
      <c r="CY17" s="357">
        <f>'Hodnocení '!CY17</f>
        <v>0</v>
      </c>
      <c r="CZ17" s="357">
        <f>'Hodnocení '!CZ17</f>
        <v>0</v>
      </c>
      <c r="DA17" s="357">
        <f>'Hodnocení '!DA17</f>
        <v>0</v>
      </c>
      <c r="DB17" s="357">
        <f>'Hodnocení '!DB17</f>
        <v>0</v>
      </c>
      <c r="DC17" s="357">
        <f>'Hodnocení '!DC17</f>
        <v>0</v>
      </c>
      <c r="DD17" s="357">
        <f>'Hodnocení '!DD17</f>
        <v>0</v>
      </c>
      <c r="DE17" s="357">
        <f>'Hodnocení '!DE17</f>
        <v>0</v>
      </c>
      <c r="DF17" s="357">
        <f>'Hodnocení '!DF17</f>
        <v>0</v>
      </c>
      <c r="DG17" s="357">
        <f>'Hodnocení '!DG17</f>
        <v>0</v>
      </c>
      <c r="DH17" s="357">
        <f>'Hodnocení '!DH17</f>
        <v>0</v>
      </c>
      <c r="DI17" s="357">
        <f>'Hodnocení '!DI17</f>
        <v>0</v>
      </c>
      <c r="DJ17" s="357">
        <f>'Hodnocení '!DJ17</f>
        <v>0</v>
      </c>
      <c r="DK17" s="357">
        <f>'Hodnocení '!DK17</f>
        <v>0</v>
      </c>
      <c r="DL17" s="357">
        <f>'Hodnocení '!DL17</f>
        <v>0</v>
      </c>
      <c r="DM17" s="357">
        <f>'Hodnocení '!DM17</f>
        <v>0</v>
      </c>
      <c r="DN17" s="357">
        <f>'Hodnocení '!DN17</f>
        <v>0</v>
      </c>
      <c r="DO17" s="357">
        <f>'Hodnocení '!DO17</f>
        <v>0</v>
      </c>
      <c r="DP17" s="357">
        <f>'Hodnocení '!DP17</f>
        <v>0</v>
      </c>
      <c r="DQ17" s="357">
        <f>'Hodnocení '!DQ17</f>
        <v>0</v>
      </c>
      <c r="DR17" s="357">
        <f>'Hodnocení '!DR17</f>
        <v>0</v>
      </c>
      <c r="DS17" s="357">
        <f>'Hodnocení '!DS17</f>
        <v>0</v>
      </c>
      <c r="DT17" s="357">
        <f>'Hodnocení '!DT17</f>
        <v>0</v>
      </c>
      <c r="DU17" s="357">
        <f>'Hodnocení '!DU17</f>
        <v>0</v>
      </c>
      <c r="DV17" s="357">
        <f>'Hodnocení '!DV17</f>
        <v>0</v>
      </c>
      <c r="DW17" s="357">
        <f>'Hodnocení '!DW17</f>
        <v>0</v>
      </c>
      <c r="DX17" s="357">
        <f>'Hodnocení '!DX17</f>
        <v>0</v>
      </c>
      <c r="DY17" s="357">
        <f>'Hodnocení '!DY17</f>
        <v>0</v>
      </c>
      <c r="DZ17" s="357">
        <f>'Hodnocení '!DZ17</f>
        <v>0</v>
      </c>
      <c r="EA17" s="357">
        <f>'Hodnocení '!EA17</f>
        <v>0</v>
      </c>
      <c r="EB17" s="357">
        <f>'Hodnocení '!EB17</f>
        <v>0</v>
      </c>
      <c r="EC17" s="357">
        <f>'Hodnocení '!EC17</f>
        <v>0</v>
      </c>
      <c r="ED17" s="357">
        <f>'Hodnocení '!ED17</f>
        <v>0</v>
      </c>
      <c r="EE17" s="357">
        <f>'Hodnocení '!EE17</f>
        <v>0</v>
      </c>
      <c r="EF17" s="357">
        <f>'Hodnocení '!EF17</f>
        <v>0</v>
      </c>
      <c r="EG17" s="357">
        <f>'Hodnocení '!EG17</f>
        <v>0</v>
      </c>
      <c r="EH17" s="357">
        <f>'Hodnocení '!EH17</f>
        <v>0</v>
      </c>
      <c r="EI17" s="357">
        <f>'Hodnocení '!EI17</f>
        <v>0</v>
      </c>
      <c r="EJ17" s="357">
        <f>'Hodnocení '!EJ17</f>
        <v>0</v>
      </c>
      <c r="EK17" s="357">
        <f>'Hodnocení '!EK17</f>
        <v>0</v>
      </c>
      <c r="EL17" s="357">
        <f>'Hodnocení '!EL17</f>
        <v>0</v>
      </c>
      <c r="EM17" s="357">
        <f>'Hodnocení '!EM17</f>
        <v>0</v>
      </c>
      <c r="EN17" s="357">
        <f>'Hodnocení '!EN17</f>
        <v>0</v>
      </c>
      <c r="EO17" s="357">
        <f>'Hodnocení '!EO17</f>
        <v>0</v>
      </c>
      <c r="EP17" s="357">
        <f>'Hodnocení '!EP17</f>
        <v>0</v>
      </c>
      <c r="EQ17" s="357">
        <f>'Hodnocení '!EQ17</f>
        <v>0</v>
      </c>
      <c r="ER17" s="357">
        <f>'Hodnocení '!ER17</f>
        <v>0</v>
      </c>
      <c r="ES17" s="357">
        <f>'Hodnocení '!ES17</f>
        <v>0</v>
      </c>
      <c r="ET17" s="357">
        <f>'Hodnocení '!ET17</f>
        <v>0</v>
      </c>
      <c r="EU17" s="357">
        <f>'Hodnocení '!EU17</f>
        <v>0</v>
      </c>
      <c r="EV17" s="357">
        <f>'Hodnocení '!EV17</f>
        <v>0</v>
      </c>
      <c r="EW17" s="357">
        <f>'Hodnocení '!EW17</f>
        <v>0</v>
      </c>
      <c r="EX17" s="357">
        <f>'Hodnocení '!EX17</f>
        <v>0</v>
      </c>
      <c r="EY17" s="357">
        <f>'Hodnocení '!EY17</f>
        <v>0</v>
      </c>
      <c r="EZ17" s="357">
        <f>'Hodnocení '!EZ17</f>
        <v>0</v>
      </c>
      <c r="FA17" s="357">
        <f>'Hodnocení '!FA17</f>
        <v>0</v>
      </c>
      <c r="FB17" s="357">
        <f>'Hodnocení '!FB17</f>
        <v>0</v>
      </c>
      <c r="FC17" s="357">
        <f>'Hodnocení '!FC17</f>
        <v>0</v>
      </c>
      <c r="FD17" s="357">
        <f>'Hodnocení '!FD17</f>
        <v>0</v>
      </c>
      <c r="FE17" s="357">
        <f>'Hodnocení '!FE17</f>
        <v>0</v>
      </c>
      <c r="FF17" s="357">
        <f>'Hodnocení '!FF17</f>
        <v>0</v>
      </c>
      <c r="FG17" s="357">
        <f>'Hodnocení '!FG17</f>
        <v>0</v>
      </c>
      <c r="FH17" s="357">
        <f>'Hodnocení '!FH17</f>
        <v>0</v>
      </c>
      <c r="FI17" s="357">
        <f>'Hodnocení '!FI17</f>
        <v>0</v>
      </c>
      <c r="FJ17" s="357">
        <f>'Hodnocení '!FJ17</f>
        <v>0</v>
      </c>
      <c r="FK17" s="357">
        <f>'Hodnocení '!FK17</f>
        <v>0</v>
      </c>
      <c r="FL17" s="357">
        <f>'Hodnocení '!FL17</f>
        <v>0</v>
      </c>
      <c r="FM17" s="357">
        <f>'Hodnocení '!FM17</f>
        <v>0</v>
      </c>
      <c r="FN17" s="357">
        <f>'Hodnocení '!FN17</f>
        <v>0</v>
      </c>
      <c r="FO17" s="357">
        <f>'Hodnocení '!FO17</f>
        <v>0</v>
      </c>
      <c r="FP17" s="357">
        <f>'Hodnocení '!FP17</f>
        <v>0</v>
      </c>
      <c r="FQ17" s="357">
        <f>'Hodnocení '!FQ17</f>
        <v>0</v>
      </c>
      <c r="FR17" s="357">
        <f>'Hodnocení '!FR17</f>
        <v>0</v>
      </c>
      <c r="FS17" s="357">
        <f>'Hodnocení '!FS17</f>
        <v>0</v>
      </c>
      <c r="FT17" s="357">
        <f>'Hodnocení '!FT17</f>
        <v>0</v>
      </c>
      <c r="FU17" s="357">
        <f>'Hodnocení '!FU17</f>
        <v>0</v>
      </c>
      <c r="FV17" s="357">
        <f>'Hodnocení '!FV17</f>
        <v>0</v>
      </c>
      <c r="FW17" s="357">
        <f>'Hodnocení '!FW17</f>
        <v>0</v>
      </c>
      <c r="FX17" s="357">
        <f>'Hodnocení '!FX17</f>
        <v>0</v>
      </c>
      <c r="FY17" s="357">
        <f>'Hodnocení '!FY17</f>
        <v>0</v>
      </c>
      <c r="FZ17" s="357">
        <f>'Hodnocení '!FZ17</f>
        <v>0</v>
      </c>
      <c r="GA17" s="357">
        <f>'Hodnocení '!GA17</f>
        <v>0</v>
      </c>
      <c r="GB17" s="357">
        <f>'Hodnocení '!GB17</f>
        <v>0</v>
      </c>
      <c r="GC17" s="357">
        <f>'Hodnocení '!GC17</f>
        <v>0</v>
      </c>
      <c r="GD17" s="357">
        <f>'Hodnocení '!GD17</f>
        <v>0</v>
      </c>
      <c r="GE17" s="357">
        <f>'Hodnocení '!GE17</f>
        <v>0</v>
      </c>
      <c r="GF17" s="357">
        <f>'Hodnocení '!GF17</f>
        <v>0</v>
      </c>
      <c r="GG17" s="357">
        <f>'Hodnocení '!GG17</f>
        <v>0</v>
      </c>
      <c r="GH17" s="357">
        <f>'Hodnocení '!GH17</f>
        <v>0</v>
      </c>
      <c r="GI17" s="357">
        <f>'Hodnocení '!GI17</f>
        <v>0</v>
      </c>
      <c r="GJ17" s="357">
        <f>'Hodnocení '!GJ17</f>
        <v>0</v>
      </c>
      <c r="GK17" s="357">
        <f>'Hodnocení '!GK17</f>
        <v>0</v>
      </c>
      <c r="GL17" s="357">
        <f>'Hodnocení '!GL17</f>
        <v>0</v>
      </c>
      <c r="GM17" s="357">
        <f>'Hodnocení '!GM17</f>
        <v>0</v>
      </c>
      <c r="GN17" s="357">
        <f>'Hodnocení '!GN17</f>
        <v>0</v>
      </c>
      <c r="GO17" s="357">
        <f>'Hodnocení '!GO17</f>
        <v>0</v>
      </c>
      <c r="GP17" s="357">
        <f>'Hodnocení '!GP17</f>
        <v>0</v>
      </c>
      <c r="GQ17" s="357">
        <f>'Hodnocení '!GQ17</f>
        <v>0</v>
      </c>
      <c r="GR17" s="357">
        <f>'Hodnocení '!GR17</f>
        <v>0</v>
      </c>
      <c r="GS17" s="357">
        <f>'Hodnocení '!GS17</f>
        <v>0</v>
      </c>
      <c r="GT17" s="357">
        <f>'Hodnocení '!GT17</f>
        <v>0</v>
      </c>
      <c r="GU17" s="357">
        <f>'Hodnocení '!GU17</f>
        <v>0</v>
      </c>
      <c r="GV17" s="357">
        <f>'Hodnocení '!GV17</f>
        <v>0</v>
      </c>
      <c r="GW17" s="357">
        <f>'Hodnocení '!GW17</f>
        <v>0</v>
      </c>
      <c r="GX17" s="357">
        <f>'Hodnocení '!GX17</f>
        <v>0</v>
      </c>
      <c r="GY17" s="357">
        <f>'Hodnocení '!GY17</f>
        <v>0</v>
      </c>
      <c r="GZ17" s="357">
        <f>'Hodnocení '!GZ17</f>
        <v>0</v>
      </c>
      <c r="HA17" s="357">
        <f>'Hodnocení '!HA17</f>
        <v>0</v>
      </c>
      <c r="HB17" s="357">
        <f>'Hodnocení '!HB17</f>
        <v>0</v>
      </c>
      <c r="HC17" s="357">
        <f>'Hodnocení '!HC17</f>
        <v>0</v>
      </c>
      <c r="HD17" s="357">
        <f>'Hodnocení '!HD17</f>
        <v>0</v>
      </c>
      <c r="HE17" s="357">
        <f>'Hodnocení '!HE17</f>
        <v>0</v>
      </c>
      <c r="HF17" s="357">
        <f>'Hodnocení '!HF17</f>
        <v>0</v>
      </c>
      <c r="HG17" s="357">
        <f>'Hodnocení '!HG17</f>
        <v>0</v>
      </c>
      <c r="HH17" s="357">
        <f>'Hodnocení '!HH17</f>
        <v>0</v>
      </c>
      <c r="HI17" s="357">
        <f>'Hodnocení '!HI17</f>
        <v>0</v>
      </c>
      <c r="HJ17" s="357">
        <f>'Hodnocení '!HJ17</f>
        <v>0</v>
      </c>
      <c r="HK17" s="357">
        <f>'Hodnocení '!HK17</f>
        <v>0</v>
      </c>
      <c r="HL17" s="357">
        <f>'Hodnocení '!HL17</f>
        <v>0</v>
      </c>
      <c r="HM17" s="357">
        <f>'Hodnocení '!HM17</f>
        <v>0</v>
      </c>
      <c r="HN17" s="357">
        <f>'Hodnocení '!HN17</f>
        <v>0</v>
      </c>
      <c r="HO17" s="357">
        <f>'Hodnocení '!HO17</f>
        <v>0</v>
      </c>
      <c r="HP17" s="357">
        <f>'Hodnocení '!HP17</f>
        <v>0</v>
      </c>
      <c r="HQ17" s="357">
        <f>'Hodnocení '!HQ17</f>
        <v>0</v>
      </c>
      <c r="HR17" s="357">
        <f>'Hodnocení '!HR17</f>
        <v>0</v>
      </c>
      <c r="HS17" s="357">
        <f>'Hodnocení '!HS17</f>
        <v>0</v>
      </c>
      <c r="HT17" s="357">
        <f>'Hodnocení '!HT17</f>
        <v>0</v>
      </c>
      <c r="HU17" s="357">
        <f>'Hodnocení '!HU17</f>
        <v>0</v>
      </c>
      <c r="HV17" s="357">
        <f>'Hodnocení '!HV17</f>
        <v>0</v>
      </c>
      <c r="HW17" s="357">
        <f>'Hodnocení '!HW17</f>
        <v>0</v>
      </c>
      <c r="HX17" s="357">
        <f>'Hodnocení '!HX17</f>
        <v>0</v>
      </c>
      <c r="HY17" s="357">
        <f>'Hodnocení '!HY17</f>
        <v>0</v>
      </c>
      <c r="HZ17" s="357">
        <f>'Hodnocení '!HZ17</f>
        <v>0</v>
      </c>
      <c r="IA17" s="357">
        <f>'Hodnocení '!IA17</f>
        <v>0</v>
      </c>
      <c r="IB17" s="357">
        <f>'Hodnocení '!IB17</f>
        <v>0</v>
      </c>
      <c r="IC17" s="357">
        <f>'Hodnocení '!IC17</f>
        <v>0</v>
      </c>
      <c r="ID17" s="357">
        <f>'Hodnocení '!ID17</f>
        <v>0</v>
      </c>
      <c r="IE17" s="357">
        <f>'Hodnocení '!IE17</f>
        <v>0</v>
      </c>
      <c r="IF17" s="357">
        <f>'Hodnocení '!IF17</f>
        <v>0</v>
      </c>
      <c r="IG17" s="357">
        <f>'Hodnocení '!IG17</f>
        <v>0</v>
      </c>
      <c r="IH17" s="357">
        <f>'Hodnocení '!IH17</f>
        <v>0</v>
      </c>
      <c r="II17" s="357">
        <f>'Hodnocení '!II17</f>
        <v>0</v>
      </c>
      <c r="IJ17" s="357">
        <f>'Hodnocení '!IJ17</f>
        <v>0</v>
      </c>
      <c r="IK17" s="357">
        <f>'Hodnocení '!IK17</f>
        <v>0</v>
      </c>
      <c r="IL17" s="357">
        <f>'Hodnocení '!IL17</f>
        <v>0</v>
      </c>
      <c r="IM17" s="357">
        <f>'Hodnocení '!IM17</f>
        <v>0</v>
      </c>
      <c r="IN17" s="357">
        <f>'Hodnocení '!IN17</f>
        <v>0</v>
      </c>
      <c r="IO17" s="357">
        <f>'Hodnocení '!IO17</f>
        <v>0</v>
      </c>
      <c r="IP17" s="357">
        <f>'Hodnocení '!IP17</f>
        <v>0</v>
      </c>
      <c r="IQ17" s="357">
        <f>'Hodnocení '!IQ17</f>
        <v>0</v>
      </c>
      <c r="IR17" s="357">
        <f>'Hodnocení '!IR17</f>
        <v>0</v>
      </c>
      <c r="IS17" s="357">
        <f>'Hodnocení '!IS17</f>
        <v>0</v>
      </c>
      <c r="IT17" s="357">
        <f>'Hodnocení '!IT17</f>
        <v>0</v>
      </c>
      <c r="IU17" s="357">
        <f>'Hodnocení '!IU17</f>
        <v>0</v>
      </c>
      <c r="IV17" s="357">
        <f>'Hodnocení '!IV17</f>
        <v>0</v>
      </c>
      <c r="IW17" s="357">
        <f>'Hodnocení '!IW17</f>
        <v>0</v>
      </c>
      <c r="IX17" s="357">
        <f>'Hodnocení '!IX17</f>
        <v>0</v>
      </c>
      <c r="IY17" s="357">
        <f>'Hodnocení '!IY17</f>
        <v>0</v>
      </c>
      <c r="IZ17" s="357">
        <f>'Hodnocení '!IZ17</f>
        <v>0</v>
      </c>
      <c r="JA17" s="357">
        <f>'Hodnocení '!JA17</f>
        <v>0</v>
      </c>
      <c r="JB17" s="357">
        <f>'Hodnocení '!JB17</f>
        <v>0</v>
      </c>
      <c r="JC17" s="357">
        <f>'Hodnocení '!JC17</f>
        <v>0</v>
      </c>
      <c r="JD17" s="357">
        <f>'Hodnocení '!JD17</f>
        <v>0</v>
      </c>
      <c r="JE17" s="357">
        <f>'Hodnocení '!JE17</f>
        <v>0</v>
      </c>
      <c r="JF17" s="357">
        <f>'Hodnocení '!JF17</f>
        <v>0</v>
      </c>
      <c r="JG17" s="357">
        <f>'Hodnocení '!JG17</f>
        <v>0</v>
      </c>
      <c r="JH17" s="772">
        <f>'Hodnocení '!JH17</f>
        <v>0</v>
      </c>
      <c r="JI17" s="315">
        <f>'Hodnocení '!JI17</f>
        <v>0</v>
      </c>
    </row>
    <row r="18" spans="1:276" ht="7.9" hidden="1" customHeight="1" x14ac:dyDescent="0.25">
      <c r="B18" s="733"/>
      <c r="C18" s="779">
        <f>'Hodnocení '!C18</f>
        <v>0</v>
      </c>
      <c r="D18" s="479">
        <f>'Hodnocení '!D18</f>
        <v>0</v>
      </c>
      <c r="E18" s="479">
        <f>'Hodnocení '!E18</f>
        <v>0</v>
      </c>
      <c r="F18" s="479">
        <f>'Hodnocení '!F18</f>
        <v>0</v>
      </c>
      <c r="G18" s="479">
        <f>'Hodnocení '!G18</f>
        <v>0</v>
      </c>
      <c r="H18" s="479">
        <f>'Hodnocení '!H18</f>
        <v>0</v>
      </c>
      <c r="I18" s="479">
        <f>'Hodnocení '!I18</f>
        <v>0</v>
      </c>
      <c r="J18" s="479">
        <f>'Hodnocení '!J18</f>
        <v>0</v>
      </c>
      <c r="K18" s="479">
        <f>'Hodnocení '!K18</f>
        <v>0</v>
      </c>
      <c r="L18" s="479">
        <f>'Hodnocení '!L18</f>
        <v>0</v>
      </c>
      <c r="M18" s="479">
        <f>'Hodnocení '!M18</f>
        <v>0</v>
      </c>
      <c r="N18" s="479">
        <f>'Hodnocení '!N18</f>
        <v>0</v>
      </c>
      <c r="O18" s="479">
        <f>'Hodnocení '!O18</f>
        <v>0</v>
      </c>
      <c r="P18" s="479">
        <f>'Hodnocení '!P18</f>
        <v>0</v>
      </c>
      <c r="Q18" s="479">
        <f>'Hodnocení '!Q18</f>
        <v>0</v>
      </c>
      <c r="R18" s="479">
        <f>'Hodnocení '!R18</f>
        <v>0</v>
      </c>
      <c r="S18" s="479">
        <f>'Hodnocení '!S18</f>
        <v>0</v>
      </c>
      <c r="T18" s="479">
        <f>'Hodnocení '!T18</f>
        <v>0</v>
      </c>
      <c r="U18" s="479">
        <f>'Hodnocení '!U18</f>
        <v>0</v>
      </c>
      <c r="V18" s="479">
        <f>'Hodnocení '!V18</f>
        <v>0</v>
      </c>
      <c r="W18" s="479">
        <f>'Hodnocení '!W18</f>
        <v>0</v>
      </c>
      <c r="X18" s="479">
        <f>'Hodnocení '!X18</f>
        <v>0</v>
      </c>
      <c r="Y18" s="479">
        <f>'Hodnocení '!Y18</f>
        <v>0</v>
      </c>
      <c r="Z18" s="479">
        <f>'Hodnocení '!Z18</f>
        <v>0</v>
      </c>
      <c r="AA18" s="479">
        <f>'Hodnocení '!AA18</f>
        <v>0</v>
      </c>
      <c r="AB18" s="479">
        <f>'Hodnocení '!AB18</f>
        <v>0</v>
      </c>
      <c r="AC18" s="479">
        <f>'Hodnocení '!AC18</f>
        <v>0</v>
      </c>
      <c r="AD18" s="479">
        <f>'Hodnocení '!AD18</f>
        <v>0</v>
      </c>
      <c r="AE18" s="479">
        <f>'Hodnocení '!AE18</f>
        <v>0</v>
      </c>
      <c r="AF18" s="479">
        <f>'Hodnocení '!AF18</f>
        <v>0</v>
      </c>
      <c r="AG18" s="479">
        <f>'Hodnocení '!AG18</f>
        <v>0</v>
      </c>
      <c r="AH18" s="479">
        <f>'Hodnocení '!AH18</f>
        <v>0</v>
      </c>
      <c r="AI18" s="479">
        <f>'Hodnocení '!AI18</f>
        <v>0</v>
      </c>
      <c r="AJ18" s="479">
        <f>'Hodnocení '!AJ18</f>
        <v>0</v>
      </c>
      <c r="AK18" s="479">
        <f>'Hodnocení '!AK18</f>
        <v>0</v>
      </c>
      <c r="AL18" s="479">
        <f>'Hodnocení '!AL18</f>
        <v>0</v>
      </c>
      <c r="AM18" s="479">
        <f>'Hodnocení '!AM18</f>
        <v>0</v>
      </c>
      <c r="AN18" s="479">
        <f>'Hodnocení '!AN18</f>
        <v>0</v>
      </c>
      <c r="AO18" s="479">
        <f>'Hodnocení '!AO18</f>
        <v>0</v>
      </c>
      <c r="AP18" s="479">
        <f>'Hodnocení '!AP18</f>
        <v>0</v>
      </c>
      <c r="AQ18" s="479">
        <f>'Hodnocení '!AQ18</f>
        <v>0</v>
      </c>
      <c r="AR18" s="479">
        <f>'Hodnocení '!AR18</f>
        <v>0</v>
      </c>
      <c r="AS18" s="479">
        <f>'Hodnocení '!AS18</f>
        <v>0</v>
      </c>
      <c r="AT18" s="479">
        <f>'Hodnocení '!AT18</f>
        <v>0</v>
      </c>
      <c r="AU18" s="479">
        <f>'Hodnocení '!AU18</f>
        <v>0</v>
      </c>
      <c r="AV18" s="479">
        <f>'Hodnocení '!AV18</f>
        <v>0</v>
      </c>
      <c r="AW18" s="479">
        <f>'Hodnocení '!AW18</f>
        <v>0</v>
      </c>
      <c r="AX18" s="479">
        <f>'Hodnocení '!AX18</f>
        <v>0</v>
      </c>
      <c r="AY18" s="479">
        <f>'Hodnocení '!AY18</f>
        <v>0</v>
      </c>
      <c r="AZ18" s="479">
        <f>'Hodnocení '!AZ18</f>
        <v>0</v>
      </c>
      <c r="BA18" s="479">
        <f>'Hodnocení '!BA18</f>
        <v>0</v>
      </c>
      <c r="BB18" s="479">
        <f>'Hodnocení '!BB18</f>
        <v>0</v>
      </c>
      <c r="BC18" s="479">
        <f>'Hodnocení '!BC18</f>
        <v>0</v>
      </c>
      <c r="BD18" s="479">
        <f>'Hodnocení '!BD18</f>
        <v>0</v>
      </c>
      <c r="BE18" s="479">
        <f>'Hodnocení '!BE18</f>
        <v>0</v>
      </c>
      <c r="BF18" s="479">
        <f>'Hodnocení '!BF18</f>
        <v>0</v>
      </c>
      <c r="BG18" s="479">
        <f>'Hodnocení '!BG18</f>
        <v>0</v>
      </c>
      <c r="BH18" s="479">
        <f>'Hodnocení '!BH18</f>
        <v>0</v>
      </c>
      <c r="BI18" s="479">
        <f>'Hodnocení '!BI18</f>
        <v>0</v>
      </c>
      <c r="BJ18" s="479">
        <f>'Hodnocení '!BJ18</f>
        <v>0</v>
      </c>
      <c r="BK18" s="479">
        <f>'Hodnocení '!BK18</f>
        <v>0</v>
      </c>
      <c r="BL18" s="479">
        <f>'Hodnocení '!BL18</f>
        <v>0</v>
      </c>
      <c r="BM18" s="479">
        <f>'Hodnocení '!BM18</f>
        <v>0</v>
      </c>
      <c r="BN18" s="479">
        <f>'Hodnocení '!BN18</f>
        <v>0</v>
      </c>
      <c r="BO18" s="479">
        <f>'Hodnocení '!BO18</f>
        <v>0</v>
      </c>
      <c r="BP18" s="479">
        <f>'Hodnocení '!BP18</f>
        <v>0</v>
      </c>
      <c r="BQ18" s="479">
        <f>'Hodnocení '!BQ18</f>
        <v>0</v>
      </c>
      <c r="BR18" s="479">
        <f>'Hodnocení '!BR18</f>
        <v>0</v>
      </c>
      <c r="BS18" s="479">
        <f>'Hodnocení '!BS18</f>
        <v>0</v>
      </c>
      <c r="BT18" s="479">
        <f>'Hodnocení '!BT18</f>
        <v>0</v>
      </c>
      <c r="BU18" s="479">
        <f>'Hodnocení '!BU18</f>
        <v>0</v>
      </c>
      <c r="BV18" s="479">
        <f>'Hodnocení '!BV18</f>
        <v>0</v>
      </c>
      <c r="BW18" s="479">
        <f>'Hodnocení '!BW18</f>
        <v>0</v>
      </c>
      <c r="BX18" s="479">
        <f>'Hodnocení '!BX18</f>
        <v>0</v>
      </c>
      <c r="BY18" s="479">
        <f>'Hodnocení '!BY18</f>
        <v>0</v>
      </c>
      <c r="BZ18" s="479">
        <f>'Hodnocení '!BZ18</f>
        <v>0</v>
      </c>
      <c r="CA18" s="479">
        <f>'Hodnocení '!CA18</f>
        <v>0</v>
      </c>
      <c r="CB18" s="479">
        <f>'Hodnocení '!CB18</f>
        <v>0</v>
      </c>
      <c r="CC18" s="479">
        <f>'Hodnocení '!CC18</f>
        <v>0</v>
      </c>
      <c r="CD18" s="479">
        <f>'Hodnocení '!CD18</f>
        <v>0</v>
      </c>
      <c r="CE18" s="479">
        <f>'Hodnocení '!CE18</f>
        <v>0</v>
      </c>
      <c r="CF18" s="479">
        <f>'Hodnocení '!CF18</f>
        <v>0</v>
      </c>
      <c r="CG18" s="479">
        <f>'Hodnocení '!CG18</f>
        <v>0</v>
      </c>
      <c r="CH18" s="479">
        <f>'Hodnocení '!CH18</f>
        <v>0</v>
      </c>
      <c r="CI18" s="479">
        <f>'Hodnocení '!CI18</f>
        <v>0</v>
      </c>
      <c r="CJ18" s="479">
        <f>'Hodnocení '!CJ18</f>
        <v>0</v>
      </c>
      <c r="CK18" s="479">
        <f>'Hodnocení '!CK18</f>
        <v>0</v>
      </c>
      <c r="CL18" s="479">
        <f>'Hodnocení '!CL18</f>
        <v>0</v>
      </c>
      <c r="CM18" s="479">
        <f>'Hodnocení '!CM18</f>
        <v>0</v>
      </c>
      <c r="CN18" s="479">
        <f>'Hodnocení '!CN18</f>
        <v>0</v>
      </c>
      <c r="CO18" s="479">
        <f>'Hodnocení '!CO18</f>
        <v>0</v>
      </c>
      <c r="CP18" s="479">
        <f>'Hodnocení '!CP18</f>
        <v>0</v>
      </c>
      <c r="CQ18" s="479">
        <f>'Hodnocení '!CQ18</f>
        <v>0</v>
      </c>
      <c r="CR18" s="479">
        <f>'Hodnocení '!CR18</f>
        <v>0</v>
      </c>
      <c r="CS18" s="479">
        <f>'Hodnocení '!CS18</f>
        <v>0</v>
      </c>
      <c r="CT18" s="479">
        <f>'Hodnocení '!CT18</f>
        <v>0</v>
      </c>
      <c r="CU18" s="479">
        <f>'Hodnocení '!CU18</f>
        <v>0</v>
      </c>
      <c r="CV18" s="479">
        <f>'Hodnocení '!CV18</f>
        <v>0</v>
      </c>
      <c r="CW18" s="479">
        <f>'Hodnocení '!CW18</f>
        <v>0</v>
      </c>
      <c r="CX18" s="479">
        <f>'Hodnocení '!CX18</f>
        <v>0</v>
      </c>
      <c r="CY18" s="479">
        <f>'Hodnocení '!CY18</f>
        <v>0</v>
      </c>
      <c r="CZ18" s="479">
        <f>'Hodnocení '!CZ18</f>
        <v>0</v>
      </c>
      <c r="DA18" s="479">
        <f>'Hodnocení '!DA18</f>
        <v>0</v>
      </c>
      <c r="DB18" s="479">
        <f>'Hodnocení '!DB18</f>
        <v>0</v>
      </c>
      <c r="DC18" s="479">
        <f>'Hodnocení '!DC18</f>
        <v>0</v>
      </c>
      <c r="DD18" s="479">
        <f>'Hodnocení '!DD18</f>
        <v>0</v>
      </c>
      <c r="DE18" s="479">
        <f>'Hodnocení '!DE18</f>
        <v>0</v>
      </c>
      <c r="DF18" s="479">
        <f>'Hodnocení '!DF18</f>
        <v>0</v>
      </c>
      <c r="DG18" s="479">
        <f>'Hodnocení '!DG18</f>
        <v>0</v>
      </c>
      <c r="DH18" s="479">
        <f>'Hodnocení '!DH18</f>
        <v>0</v>
      </c>
      <c r="DI18" s="479">
        <f>'Hodnocení '!DI18</f>
        <v>0</v>
      </c>
      <c r="DJ18" s="479">
        <f>'Hodnocení '!DJ18</f>
        <v>0</v>
      </c>
      <c r="DK18" s="479">
        <f>'Hodnocení '!DK18</f>
        <v>0</v>
      </c>
      <c r="DL18" s="479">
        <f>'Hodnocení '!DL18</f>
        <v>0</v>
      </c>
      <c r="DM18" s="479">
        <f>'Hodnocení '!DM18</f>
        <v>0</v>
      </c>
      <c r="DN18" s="479">
        <f>'Hodnocení '!DN18</f>
        <v>0</v>
      </c>
      <c r="DO18" s="479">
        <f>'Hodnocení '!DO18</f>
        <v>0</v>
      </c>
      <c r="DP18" s="479">
        <f>'Hodnocení '!DP18</f>
        <v>0</v>
      </c>
      <c r="DQ18" s="479">
        <f>'Hodnocení '!DQ18</f>
        <v>0</v>
      </c>
      <c r="DR18" s="479">
        <f>'Hodnocení '!DR18</f>
        <v>0</v>
      </c>
      <c r="DS18" s="479">
        <f>'Hodnocení '!DS18</f>
        <v>0</v>
      </c>
      <c r="DT18" s="479">
        <f>'Hodnocení '!DT18</f>
        <v>0</v>
      </c>
      <c r="DU18" s="479">
        <f>'Hodnocení '!DU18</f>
        <v>0</v>
      </c>
      <c r="DV18" s="479">
        <f>'Hodnocení '!DV18</f>
        <v>0</v>
      </c>
      <c r="DW18" s="479">
        <f>'Hodnocení '!DW18</f>
        <v>0</v>
      </c>
      <c r="DX18" s="479">
        <f>'Hodnocení '!DX18</f>
        <v>0</v>
      </c>
      <c r="DY18" s="479">
        <f>'Hodnocení '!DY18</f>
        <v>0</v>
      </c>
      <c r="DZ18" s="479">
        <f>'Hodnocení '!DZ18</f>
        <v>0</v>
      </c>
      <c r="EA18" s="479">
        <f>'Hodnocení '!EA18</f>
        <v>0</v>
      </c>
      <c r="EB18" s="479">
        <f>'Hodnocení '!EB18</f>
        <v>0</v>
      </c>
      <c r="EC18" s="479">
        <f>'Hodnocení '!EC18</f>
        <v>0</v>
      </c>
      <c r="ED18" s="479">
        <f>'Hodnocení '!ED18</f>
        <v>0</v>
      </c>
      <c r="EE18" s="479">
        <f>'Hodnocení '!EE18</f>
        <v>0</v>
      </c>
      <c r="EF18" s="479">
        <f>'Hodnocení '!EF18</f>
        <v>0</v>
      </c>
      <c r="EG18" s="479">
        <f>'Hodnocení '!EG18</f>
        <v>0</v>
      </c>
      <c r="EH18" s="479">
        <f>'Hodnocení '!EH18</f>
        <v>0</v>
      </c>
      <c r="EI18" s="479">
        <f>'Hodnocení '!EI18</f>
        <v>0</v>
      </c>
      <c r="EJ18" s="479">
        <f>'Hodnocení '!EJ18</f>
        <v>0</v>
      </c>
      <c r="EK18" s="479">
        <f>'Hodnocení '!EK18</f>
        <v>0</v>
      </c>
      <c r="EL18" s="479">
        <f>'Hodnocení '!EL18</f>
        <v>0</v>
      </c>
      <c r="EM18" s="479">
        <f>'Hodnocení '!EM18</f>
        <v>0</v>
      </c>
      <c r="EN18" s="479">
        <f>'Hodnocení '!EN18</f>
        <v>0</v>
      </c>
      <c r="EO18" s="479">
        <f>'Hodnocení '!EO18</f>
        <v>0</v>
      </c>
      <c r="EP18" s="479">
        <f>'Hodnocení '!EP18</f>
        <v>0</v>
      </c>
      <c r="EQ18" s="479">
        <f>'Hodnocení '!EQ18</f>
        <v>0</v>
      </c>
      <c r="ER18" s="479">
        <f>'Hodnocení '!ER18</f>
        <v>0</v>
      </c>
      <c r="ES18" s="479">
        <f>'Hodnocení '!ES18</f>
        <v>0</v>
      </c>
      <c r="ET18" s="479">
        <f>'Hodnocení '!ET18</f>
        <v>0</v>
      </c>
      <c r="EU18" s="479">
        <f>'Hodnocení '!EU18</f>
        <v>0</v>
      </c>
      <c r="EV18" s="479">
        <f>'Hodnocení '!EV18</f>
        <v>0</v>
      </c>
      <c r="EW18" s="479">
        <f>'Hodnocení '!EW18</f>
        <v>0</v>
      </c>
      <c r="EX18" s="479">
        <f>'Hodnocení '!EX18</f>
        <v>0</v>
      </c>
      <c r="EY18" s="479">
        <f>'Hodnocení '!EY18</f>
        <v>0</v>
      </c>
      <c r="EZ18" s="479">
        <f>'Hodnocení '!EZ18</f>
        <v>0</v>
      </c>
      <c r="FA18" s="479">
        <f>'Hodnocení '!FA18</f>
        <v>0</v>
      </c>
      <c r="FB18" s="479">
        <f>'Hodnocení '!FB18</f>
        <v>0</v>
      </c>
      <c r="FC18" s="479">
        <f>'Hodnocení '!FC18</f>
        <v>0</v>
      </c>
      <c r="FD18" s="479">
        <f>'Hodnocení '!FD18</f>
        <v>0</v>
      </c>
      <c r="FE18" s="479">
        <f>'Hodnocení '!FE18</f>
        <v>0</v>
      </c>
      <c r="FF18" s="479">
        <f>'Hodnocení '!FF18</f>
        <v>0</v>
      </c>
      <c r="FG18" s="479">
        <f>'Hodnocení '!FG18</f>
        <v>0</v>
      </c>
      <c r="FH18" s="479">
        <f>'Hodnocení '!FH18</f>
        <v>0</v>
      </c>
      <c r="FI18" s="479">
        <f>'Hodnocení '!FI18</f>
        <v>0</v>
      </c>
      <c r="FJ18" s="479">
        <f>'Hodnocení '!FJ18</f>
        <v>0</v>
      </c>
      <c r="FK18" s="479">
        <f>'Hodnocení '!FK18</f>
        <v>0</v>
      </c>
      <c r="FL18" s="479">
        <f>'Hodnocení '!FL18</f>
        <v>0</v>
      </c>
      <c r="FM18" s="479">
        <f>'Hodnocení '!FM18</f>
        <v>0</v>
      </c>
      <c r="FN18" s="479">
        <f>'Hodnocení '!FN18</f>
        <v>0</v>
      </c>
      <c r="FO18" s="479">
        <f>'Hodnocení '!FO18</f>
        <v>0</v>
      </c>
      <c r="FP18" s="479">
        <f>'Hodnocení '!FP18</f>
        <v>0</v>
      </c>
      <c r="FQ18" s="479">
        <f>'Hodnocení '!FQ18</f>
        <v>0</v>
      </c>
      <c r="FR18" s="479">
        <f>'Hodnocení '!FR18</f>
        <v>0</v>
      </c>
      <c r="FS18" s="479">
        <f>'Hodnocení '!FS18</f>
        <v>0</v>
      </c>
      <c r="FT18" s="479">
        <f>'Hodnocení '!FT18</f>
        <v>0</v>
      </c>
      <c r="FU18" s="479">
        <f>'Hodnocení '!FU18</f>
        <v>0</v>
      </c>
      <c r="FV18" s="479">
        <f>'Hodnocení '!FV18</f>
        <v>0</v>
      </c>
      <c r="FW18" s="479">
        <f>'Hodnocení '!FW18</f>
        <v>0</v>
      </c>
      <c r="FX18" s="479">
        <f>'Hodnocení '!FX18</f>
        <v>0</v>
      </c>
      <c r="FY18" s="479">
        <f>'Hodnocení '!FY18</f>
        <v>0</v>
      </c>
      <c r="FZ18" s="479">
        <f>'Hodnocení '!FZ18</f>
        <v>0</v>
      </c>
      <c r="GA18" s="479">
        <f>'Hodnocení '!GA18</f>
        <v>0</v>
      </c>
      <c r="GB18" s="479">
        <f>'Hodnocení '!GB18</f>
        <v>0</v>
      </c>
      <c r="GC18" s="479">
        <f>'Hodnocení '!GC18</f>
        <v>0</v>
      </c>
      <c r="GD18" s="479">
        <f>'Hodnocení '!GD18</f>
        <v>0</v>
      </c>
      <c r="GE18" s="479">
        <f>'Hodnocení '!GE18</f>
        <v>0</v>
      </c>
      <c r="GF18" s="479">
        <f>'Hodnocení '!GF18</f>
        <v>0</v>
      </c>
      <c r="GG18" s="479">
        <f>'Hodnocení '!GG18</f>
        <v>0</v>
      </c>
      <c r="GH18" s="479">
        <f>'Hodnocení '!GH18</f>
        <v>0</v>
      </c>
      <c r="GI18" s="479">
        <f>'Hodnocení '!GI18</f>
        <v>0</v>
      </c>
      <c r="GJ18" s="479">
        <f>'Hodnocení '!GJ18</f>
        <v>0</v>
      </c>
      <c r="GK18" s="479">
        <f>'Hodnocení '!GK18</f>
        <v>0</v>
      </c>
      <c r="GL18" s="479">
        <f>'Hodnocení '!GL18</f>
        <v>0</v>
      </c>
      <c r="GM18" s="479">
        <f>'Hodnocení '!GM18</f>
        <v>0</v>
      </c>
      <c r="GN18" s="479">
        <f>'Hodnocení '!GN18</f>
        <v>0</v>
      </c>
      <c r="GO18" s="479">
        <f>'Hodnocení '!GO18</f>
        <v>0</v>
      </c>
      <c r="GP18" s="479">
        <f>'Hodnocení '!GP18</f>
        <v>0</v>
      </c>
      <c r="GQ18" s="479">
        <f>'Hodnocení '!GQ18</f>
        <v>0</v>
      </c>
      <c r="GR18" s="479">
        <f>'Hodnocení '!GR18</f>
        <v>0</v>
      </c>
      <c r="GS18" s="479">
        <f>'Hodnocení '!GS18</f>
        <v>0</v>
      </c>
      <c r="GT18" s="479">
        <f>'Hodnocení '!GT18</f>
        <v>0</v>
      </c>
      <c r="GU18" s="479">
        <f>'Hodnocení '!GU18</f>
        <v>0</v>
      </c>
      <c r="GV18" s="479">
        <f>'Hodnocení '!GV18</f>
        <v>0</v>
      </c>
      <c r="GW18" s="479">
        <f>'Hodnocení '!GW18</f>
        <v>0</v>
      </c>
      <c r="GX18" s="479">
        <f>'Hodnocení '!GX18</f>
        <v>0</v>
      </c>
      <c r="GY18" s="479">
        <f>'Hodnocení '!GY18</f>
        <v>0</v>
      </c>
      <c r="GZ18" s="479">
        <f>'Hodnocení '!GZ18</f>
        <v>0</v>
      </c>
      <c r="HA18" s="479">
        <f>'Hodnocení '!HA18</f>
        <v>0</v>
      </c>
      <c r="HB18" s="479">
        <f>'Hodnocení '!HB18</f>
        <v>0</v>
      </c>
      <c r="HC18" s="479">
        <f>'Hodnocení '!HC18</f>
        <v>0</v>
      </c>
      <c r="HD18" s="479">
        <f>'Hodnocení '!HD18</f>
        <v>0</v>
      </c>
      <c r="HE18" s="479">
        <f>'Hodnocení '!HE18</f>
        <v>0</v>
      </c>
      <c r="HF18" s="479">
        <f>'Hodnocení '!HF18</f>
        <v>0</v>
      </c>
      <c r="HG18" s="479">
        <f>'Hodnocení '!HG18</f>
        <v>0</v>
      </c>
      <c r="HH18" s="479">
        <f>'Hodnocení '!HH18</f>
        <v>0</v>
      </c>
      <c r="HI18" s="479">
        <f>'Hodnocení '!HI18</f>
        <v>0</v>
      </c>
      <c r="HJ18" s="479">
        <f>'Hodnocení '!HJ18</f>
        <v>0</v>
      </c>
      <c r="HK18" s="479">
        <f>'Hodnocení '!HK18</f>
        <v>0</v>
      </c>
      <c r="HL18" s="479">
        <f>'Hodnocení '!HL18</f>
        <v>0</v>
      </c>
      <c r="HM18" s="479">
        <f>'Hodnocení '!HM18</f>
        <v>0</v>
      </c>
      <c r="HN18" s="479">
        <f>'Hodnocení '!HN18</f>
        <v>0</v>
      </c>
      <c r="HO18" s="479">
        <f>'Hodnocení '!HO18</f>
        <v>0</v>
      </c>
      <c r="HP18" s="479">
        <f>'Hodnocení '!HP18</f>
        <v>0</v>
      </c>
      <c r="HQ18" s="479">
        <f>'Hodnocení '!HQ18</f>
        <v>0</v>
      </c>
      <c r="HR18" s="479">
        <f>'Hodnocení '!HR18</f>
        <v>0</v>
      </c>
      <c r="HS18" s="479">
        <f>'Hodnocení '!HS18</f>
        <v>0</v>
      </c>
      <c r="HT18" s="479">
        <f>'Hodnocení '!HT18</f>
        <v>0</v>
      </c>
      <c r="HU18" s="479">
        <f>'Hodnocení '!HU18</f>
        <v>0</v>
      </c>
      <c r="HV18" s="479">
        <f>'Hodnocení '!HV18</f>
        <v>0</v>
      </c>
      <c r="HW18" s="479">
        <f>'Hodnocení '!HW18</f>
        <v>0</v>
      </c>
      <c r="HX18" s="479">
        <f>'Hodnocení '!HX18</f>
        <v>0</v>
      </c>
      <c r="HY18" s="479">
        <f>'Hodnocení '!HY18</f>
        <v>0</v>
      </c>
      <c r="HZ18" s="479">
        <f>'Hodnocení '!HZ18</f>
        <v>0</v>
      </c>
      <c r="IA18" s="479">
        <f>'Hodnocení '!IA18</f>
        <v>0</v>
      </c>
      <c r="IB18" s="479">
        <f>'Hodnocení '!IB18</f>
        <v>0</v>
      </c>
      <c r="IC18" s="479">
        <f>'Hodnocení '!IC18</f>
        <v>0</v>
      </c>
      <c r="ID18" s="479">
        <f>'Hodnocení '!ID18</f>
        <v>0</v>
      </c>
      <c r="IE18" s="479">
        <f>'Hodnocení '!IE18</f>
        <v>0</v>
      </c>
      <c r="IF18" s="479">
        <f>'Hodnocení '!IF18</f>
        <v>0</v>
      </c>
      <c r="IG18" s="479">
        <f>'Hodnocení '!IG18</f>
        <v>0</v>
      </c>
      <c r="IH18" s="479">
        <f>'Hodnocení '!IH18</f>
        <v>0</v>
      </c>
      <c r="II18" s="479">
        <f>'Hodnocení '!II18</f>
        <v>0</v>
      </c>
      <c r="IJ18" s="479">
        <f>'Hodnocení '!IJ18</f>
        <v>0</v>
      </c>
      <c r="IK18" s="479">
        <f>'Hodnocení '!IK18</f>
        <v>0</v>
      </c>
      <c r="IL18" s="479">
        <f>'Hodnocení '!IL18</f>
        <v>0</v>
      </c>
      <c r="IM18" s="479">
        <f>'Hodnocení '!IM18</f>
        <v>0</v>
      </c>
      <c r="IN18" s="479">
        <f>'Hodnocení '!IN18</f>
        <v>0</v>
      </c>
      <c r="IO18" s="479">
        <f>'Hodnocení '!IO18</f>
        <v>0</v>
      </c>
      <c r="IP18" s="479">
        <f>'Hodnocení '!IP18</f>
        <v>0</v>
      </c>
      <c r="IQ18" s="479">
        <f>'Hodnocení '!IQ18</f>
        <v>0</v>
      </c>
      <c r="IR18" s="479">
        <f>'Hodnocení '!IR18</f>
        <v>0</v>
      </c>
      <c r="IS18" s="479">
        <f>'Hodnocení '!IS18</f>
        <v>0</v>
      </c>
      <c r="IT18" s="479">
        <f>'Hodnocení '!IT18</f>
        <v>0</v>
      </c>
      <c r="IU18" s="479">
        <f>'Hodnocení '!IU18</f>
        <v>0</v>
      </c>
      <c r="IV18" s="479">
        <f>'Hodnocení '!IV18</f>
        <v>0</v>
      </c>
      <c r="IW18" s="479">
        <f>'Hodnocení '!IW18</f>
        <v>0</v>
      </c>
      <c r="IX18" s="479">
        <f>'Hodnocení '!IX18</f>
        <v>0</v>
      </c>
      <c r="IY18" s="479">
        <f>'Hodnocení '!IY18</f>
        <v>0</v>
      </c>
      <c r="IZ18" s="479">
        <f>'Hodnocení '!IZ18</f>
        <v>0</v>
      </c>
      <c r="JA18" s="479">
        <f>'Hodnocení '!JA18</f>
        <v>0</v>
      </c>
      <c r="JB18" s="479">
        <f>'Hodnocení '!JB18</f>
        <v>0</v>
      </c>
      <c r="JC18" s="479">
        <f>'Hodnocení '!JC18</f>
        <v>0</v>
      </c>
      <c r="JD18" s="479">
        <f>'Hodnocení '!JD18</f>
        <v>0</v>
      </c>
      <c r="JE18" s="479">
        <f>'Hodnocení '!JE18</f>
        <v>0</v>
      </c>
      <c r="JF18" s="479">
        <f>'Hodnocení '!JF18</f>
        <v>0</v>
      </c>
      <c r="JG18" s="479">
        <f>'Hodnocení '!JG18</f>
        <v>0</v>
      </c>
      <c r="JH18" s="780">
        <f>'Hodnocení '!JH18</f>
        <v>0</v>
      </c>
      <c r="JI18" s="470">
        <f>'Hodnocení '!JI18</f>
        <v>0</v>
      </c>
    </row>
    <row r="19" spans="1:276" hidden="1" x14ac:dyDescent="0.25">
      <c r="A19" s="313" t="s">
        <v>2444</v>
      </c>
      <c r="B19" s="733" t="s">
        <v>2458</v>
      </c>
      <c r="C19" s="785">
        <f>'Hodnocení '!C19</f>
        <v>14</v>
      </c>
      <c r="D19" s="692">
        <f>'Hodnocení '!D19</f>
        <v>11</v>
      </c>
      <c r="E19" s="692">
        <f>'Hodnocení '!E19</f>
        <v>15.135999999999999</v>
      </c>
      <c r="F19" s="692">
        <f>'Hodnocení '!F19</f>
        <v>7.7271999999999998</v>
      </c>
      <c r="G19" s="692">
        <f>'Hodnocení '!G19</f>
        <v>17.838999999999999</v>
      </c>
      <c r="H19" s="692">
        <f>'Hodnocení '!H19</f>
        <v>0</v>
      </c>
      <c r="I19" s="692">
        <f>'Hodnocení '!I19</f>
        <v>2.7399999999999998</v>
      </c>
      <c r="J19" s="692">
        <f>'Hodnocení '!J19</f>
        <v>2.5722</v>
      </c>
      <c r="K19" s="692">
        <f>'Hodnocení '!K19</f>
        <v>9.4420000000000002</v>
      </c>
      <c r="L19" s="692">
        <f>'Hodnocení '!L19</f>
        <v>0</v>
      </c>
      <c r="M19" s="692">
        <f>'Hodnocení '!M19</f>
        <v>6.0590000000000002</v>
      </c>
      <c r="N19" s="692">
        <f>'Hodnocení '!N19</f>
        <v>7.4580000000000002</v>
      </c>
      <c r="O19" s="692">
        <f>'Hodnocení '!O19</f>
        <v>5</v>
      </c>
      <c r="P19" s="692">
        <f>'Hodnocení '!P19</f>
        <v>3.8</v>
      </c>
      <c r="Q19" s="692">
        <f>'Hodnocení '!Q19</f>
        <v>1.4663999999999999</v>
      </c>
      <c r="R19" s="692">
        <f>'Hodnocení '!R19</f>
        <v>2.1</v>
      </c>
      <c r="S19" s="692">
        <f>'Hodnocení '!S19</f>
        <v>1.8</v>
      </c>
      <c r="T19" s="692">
        <f>'Hodnocení '!T19</f>
        <v>0</v>
      </c>
      <c r="U19" s="692">
        <f>'Hodnocení '!U19</f>
        <v>1.5699999999999998</v>
      </c>
      <c r="V19" s="692">
        <f>'Hodnocení '!V19</f>
        <v>34.380000000000003</v>
      </c>
      <c r="W19" s="692">
        <f>'Hodnocení '!W19</f>
        <v>5.5</v>
      </c>
      <c r="X19" s="692">
        <f>'Hodnocení '!X19</f>
        <v>2.3879999999999999</v>
      </c>
      <c r="Y19" s="692">
        <f>'Hodnocení '!Y19</f>
        <v>1.3992</v>
      </c>
      <c r="Z19" s="692">
        <f>'Hodnocení '!Z19</f>
        <v>8.1568000000000005</v>
      </c>
      <c r="AA19" s="692">
        <f>'Hodnocení '!AA19</f>
        <v>6.2</v>
      </c>
      <c r="AB19" s="692">
        <f>'Hodnocení '!AB19</f>
        <v>5.83</v>
      </c>
      <c r="AC19" s="692">
        <f>'Hodnocení '!AC19</f>
        <v>2.4</v>
      </c>
      <c r="AD19" s="692">
        <f>'Hodnocení '!AD19</f>
        <v>2</v>
      </c>
      <c r="AE19" s="692">
        <f>'Hodnocení '!AE19</f>
        <v>1.62</v>
      </c>
      <c r="AF19" s="692">
        <f>'Hodnocení '!AF19</f>
        <v>2.8000000000000003</v>
      </c>
      <c r="AG19" s="692">
        <f>'Hodnocení '!AG19</f>
        <v>7.1409000000000002</v>
      </c>
      <c r="AH19" s="692">
        <f>'Hodnocení '!AH19</f>
        <v>1.1100000000000001</v>
      </c>
      <c r="AI19" s="692">
        <f>'Hodnocení '!AI19</f>
        <v>6.3194999999999997</v>
      </c>
      <c r="AJ19" s="692">
        <f>'Hodnocení '!AJ19</f>
        <v>3.8699999999999997</v>
      </c>
      <c r="AK19" s="692">
        <f>'Hodnocení '!AK19</f>
        <v>2.1</v>
      </c>
      <c r="AL19" s="692">
        <f>'Hodnocení '!AL19</f>
        <v>2.2000000000000002</v>
      </c>
      <c r="AM19" s="692">
        <f>'Hodnocení '!AM19</f>
        <v>1</v>
      </c>
      <c r="AN19" s="692">
        <f>'Hodnocení '!AN19</f>
        <v>1</v>
      </c>
      <c r="AO19" s="692">
        <f>'Hodnocení '!AO19</f>
        <v>12.068</v>
      </c>
      <c r="AP19" s="692">
        <f>'Hodnocení '!AP19</f>
        <v>3.9</v>
      </c>
      <c r="AQ19" s="692">
        <f>'Hodnocení '!AQ19</f>
        <v>0.4</v>
      </c>
      <c r="AR19" s="692">
        <f>'Hodnocení '!AR19</f>
        <v>1.5312000000000001</v>
      </c>
      <c r="AS19" s="692">
        <f>'Hodnocení '!AS19</f>
        <v>0.6</v>
      </c>
      <c r="AT19" s="692">
        <f>'Hodnocení '!AT19</f>
        <v>6.6315999999999997</v>
      </c>
      <c r="AU19" s="692">
        <f>'Hodnocení '!AU19</f>
        <v>1.6183999999999998</v>
      </c>
      <c r="AV19" s="692">
        <f>'Hodnocení '!AV19</f>
        <v>2.6</v>
      </c>
      <c r="AW19" s="692">
        <f>'Hodnocení '!AW19</f>
        <v>5.25</v>
      </c>
      <c r="AX19" s="692">
        <f>'Hodnocení '!AX19</f>
        <v>4.4420999999999999</v>
      </c>
      <c r="AY19" s="692">
        <f>'Hodnocení '!AY19</f>
        <v>4.79</v>
      </c>
      <c r="AZ19" s="692">
        <f>'Hodnocení '!AZ19</f>
        <v>3.2800000000000002</v>
      </c>
      <c r="BA19" s="692">
        <f>'Hodnocení '!BA19</f>
        <v>0</v>
      </c>
      <c r="BB19" s="692">
        <f>'Hodnocení '!BB19</f>
        <v>2</v>
      </c>
      <c r="BC19" s="692">
        <f>'Hodnocení '!BC19</f>
        <v>1.6</v>
      </c>
      <c r="BD19" s="692">
        <f>'Hodnocení '!BD19</f>
        <v>1.03</v>
      </c>
      <c r="BE19" s="692">
        <f>'Hodnocení '!BE19</f>
        <v>0.72909999999999997</v>
      </c>
      <c r="BF19" s="692">
        <f>'Hodnocení '!BF19</f>
        <v>0</v>
      </c>
      <c r="BG19" s="692">
        <f>'Hodnocení '!BG19</f>
        <v>0</v>
      </c>
      <c r="BH19" s="692">
        <f>'Hodnocení '!BH19</f>
        <v>0</v>
      </c>
      <c r="BI19" s="692">
        <f>'Hodnocení '!BI19</f>
        <v>4.13</v>
      </c>
      <c r="BJ19" s="692">
        <f>'Hodnocení '!BJ19</f>
        <v>6</v>
      </c>
      <c r="BK19" s="692">
        <f>'Hodnocení '!BK19</f>
        <v>1.2984</v>
      </c>
      <c r="BL19" s="692">
        <f>'Hodnocení '!BL19</f>
        <v>0</v>
      </c>
      <c r="BM19" s="692">
        <f>'Hodnocení '!BM19</f>
        <v>0.6704</v>
      </c>
      <c r="BN19" s="692">
        <f>'Hodnocení '!BN19</f>
        <v>1.7634000000000001</v>
      </c>
      <c r="BO19" s="692">
        <f>'Hodnocení '!BO19</f>
        <v>1.06</v>
      </c>
      <c r="BP19" s="692">
        <f>'Hodnocení '!BP19</f>
        <v>5.5667999999999997</v>
      </c>
      <c r="BQ19" s="692">
        <f>'Hodnocení '!BQ19</f>
        <v>1.0876000000000001</v>
      </c>
      <c r="BR19" s="692">
        <f>'Hodnocení '!BR19</f>
        <v>1</v>
      </c>
      <c r="BS19" s="692">
        <f>'Hodnocení '!BS19</f>
        <v>1.4100000000000001</v>
      </c>
      <c r="BT19" s="692">
        <f>'Hodnocení '!BT19</f>
        <v>1</v>
      </c>
      <c r="BU19" s="692">
        <f>'Hodnocení '!BU19</f>
        <v>8.1999999999999993</v>
      </c>
      <c r="BV19" s="692">
        <f>'Hodnocení '!BV19</f>
        <v>2.25</v>
      </c>
      <c r="BW19" s="692">
        <f>'Hodnocení '!BW19</f>
        <v>0.45219999999999999</v>
      </c>
      <c r="BX19" s="692">
        <f>'Hodnocení '!BX19</f>
        <v>12.55</v>
      </c>
      <c r="BY19" s="692">
        <f>'Hodnocení '!BY19</f>
        <v>3</v>
      </c>
      <c r="BZ19" s="692">
        <f>'Hodnocení '!BZ19</f>
        <v>0.37629999999999997</v>
      </c>
      <c r="CA19" s="692">
        <f>'Hodnocení '!CA19</f>
        <v>0</v>
      </c>
      <c r="CB19" s="692">
        <f>'Hodnocení '!CB19</f>
        <v>0.59199999999999997</v>
      </c>
      <c r="CC19" s="692">
        <f>'Hodnocení '!CC19</f>
        <v>3.585</v>
      </c>
      <c r="CD19" s="692">
        <f>'Hodnocení '!CD19</f>
        <v>0.91</v>
      </c>
      <c r="CE19" s="692">
        <f>'Hodnocení '!CE19</f>
        <v>30.4102</v>
      </c>
      <c r="CF19" s="692">
        <f>'Hodnocení '!CF19</f>
        <v>5.3</v>
      </c>
      <c r="CG19" s="692">
        <f>'Hodnocení '!CG19</f>
        <v>14.568</v>
      </c>
      <c r="CH19" s="692">
        <f>'Hodnocení '!CH19</f>
        <v>6</v>
      </c>
      <c r="CI19" s="692">
        <f>'Hodnocení '!CI19</f>
        <v>3.38</v>
      </c>
      <c r="CJ19" s="692">
        <f>'Hodnocení '!CJ19</f>
        <v>5.52</v>
      </c>
      <c r="CK19" s="692">
        <f>'Hodnocení '!CK19</f>
        <v>7.1144999999999996</v>
      </c>
      <c r="CL19" s="692">
        <f>'Hodnocení '!CL19</f>
        <v>3.14</v>
      </c>
      <c r="CM19" s="692">
        <f>'Hodnocení '!CM19</f>
        <v>12.6</v>
      </c>
      <c r="CN19" s="692">
        <f>'Hodnocení '!CN19</f>
        <v>2.2879</v>
      </c>
      <c r="CO19" s="692">
        <f>'Hodnocení '!CO19</f>
        <v>1.9462999999999999</v>
      </c>
      <c r="CP19" s="692">
        <f>'Hodnocení '!CP19</f>
        <v>2.1339999999999999</v>
      </c>
      <c r="CQ19" s="692">
        <f>'Hodnocení '!CQ19</f>
        <v>6.7056000000000004</v>
      </c>
      <c r="CR19" s="692">
        <f>'Hodnocení '!CR19</f>
        <v>2.34</v>
      </c>
      <c r="CS19" s="692">
        <f>'Hodnocení '!CS19</f>
        <v>0</v>
      </c>
      <c r="CT19" s="692">
        <f>'Hodnocení '!CT19</f>
        <v>4.9927999999999999</v>
      </c>
      <c r="CU19" s="692">
        <f>'Hodnocení '!CU19</f>
        <v>3.4</v>
      </c>
      <c r="CV19" s="692">
        <f>'Hodnocení '!CV19</f>
        <v>11.24</v>
      </c>
      <c r="CW19" s="692">
        <f>'Hodnocení '!CW19</f>
        <v>0</v>
      </c>
      <c r="CX19" s="692">
        <f>'Hodnocení '!CX19</f>
        <v>8.1434000000000015</v>
      </c>
      <c r="CY19" s="692">
        <f>'Hodnocení '!CY19</f>
        <v>5.8443999999999994</v>
      </c>
      <c r="CZ19" s="692">
        <f>'Hodnocení '!CZ19</f>
        <v>2.04</v>
      </c>
      <c r="DA19" s="692">
        <f>'Hodnocení '!DA19</f>
        <v>0</v>
      </c>
      <c r="DB19" s="692">
        <f>'Hodnocení '!DB19</f>
        <v>1.04</v>
      </c>
      <c r="DC19" s="692">
        <f>'Hodnocení '!DC19</f>
        <v>1.85</v>
      </c>
      <c r="DD19" s="692">
        <f>'Hodnocení '!DD19</f>
        <v>0</v>
      </c>
      <c r="DE19" s="692">
        <f>'Hodnocení '!DE19</f>
        <v>0</v>
      </c>
      <c r="DF19" s="692">
        <f>'Hodnocení '!DF19</f>
        <v>0</v>
      </c>
      <c r="DG19" s="692">
        <f>'Hodnocení '!DG19</f>
        <v>0</v>
      </c>
      <c r="DH19" s="692">
        <f>'Hodnocení '!DH19</f>
        <v>2.5270000000000001</v>
      </c>
      <c r="DI19" s="692">
        <f>'Hodnocení '!DI19</f>
        <v>1.625</v>
      </c>
      <c r="DJ19" s="692">
        <f>'Hodnocení '!DJ19</f>
        <v>2.5</v>
      </c>
      <c r="DK19" s="692">
        <f>'Hodnocení '!DK19</f>
        <v>1.3919999999999999</v>
      </c>
      <c r="DL19" s="692">
        <f>'Hodnocení '!DL19</f>
        <v>10</v>
      </c>
      <c r="DM19" s="692">
        <f>'Hodnocení '!DM19</f>
        <v>6.1584000000000003</v>
      </c>
      <c r="DN19" s="692">
        <f>'Hodnocení '!DN19</f>
        <v>3.4</v>
      </c>
      <c r="DO19" s="692">
        <f>'Hodnocení '!DO19</f>
        <v>0</v>
      </c>
      <c r="DP19" s="692">
        <f>'Hodnocení '!DP19</f>
        <v>4.9106000000000005</v>
      </c>
      <c r="DQ19" s="692">
        <f>'Hodnocení '!DQ19</f>
        <v>4.3654000000000002</v>
      </c>
      <c r="DR19" s="692">
        <f>'Hodnocení '!DR19</f>
        <v>4.13</v>
      </c>
      <c r="DS19" s="692">
        <f>'Hodnocení '!DS19</f>
        <v>0</v>
      </c>
      <c r="DT19" s="692">
        <f>'Hodnocení '!DT19</f>
        <v>6.2249999999999996</v>
      </c>
      <c r="DU19" s="692">
        <f>'Hodnocení '!DU19</f>
        <v>2.9732000000000003</v>
      </c>
      <c r="DV19" s="692">
        <f>'Hodnocení '!DV19</f>
        <v>12.213999999999999</v>
      </c>
      <c r="DW19" s="692">
        <f>'Hodnocení '!DW19</f>
        <v>0</v>
      </c>
      <c r="DX19" s="692">
        <f>'Hodnocení '!DX19</f>
        <v>5.0760000000000005</v>
      </c>
      <c r="DY19" s="692">
        <f>'Hodnocení '!DY19</f>
        <v>0</v>
      </c>
      <c r="DZ19" s="692">
        <f>'Hodnocení '!DZ19</f>
        <v>0</v>
      </c>
      <c r="EA19" s="692">
        <f>'Hodnocení '!EA19</f>
        <v>7.48</v>
      </c>
      <c r="EB19" s="692">
        <f>'Hodnocení '!EB19</f>
        <v>13</v>
      </c>
      <c r="EC19" s="692">
        <f>'Hodnocení '!EC19</f>
        <v>7.5</v>
      </c>
      <c r="ED19" s="692">
        <f>'Hodnocení '!ED19</f>
        <v>5.5880000000000001</v>
      </c>
      <c r="EE19" s="692">
        <f>'Hodnocení '!EE19</f>
        <v>1.1499999999999999</v>
      </c>
      <c r="EF19" s="692">
        <f>'Hodnocení '!EF19</f>
        <v>1.25</v>
      </c>
      <c r="EG19" s="692">
        <f>'Hodnocení '!EG19</f>
        <v>0.6</v>
      </c>
      <c r="EH19" s="692">
        <f>'Hodnocení '!EH19</f>
        <v>1.458</v>
      </c>
      <c r="EI19" s="692">
        <f>'Hodnocení '!EI19</f>
        <v>2.8</v>
      </c>
      <c r="EJ19" s="692">
        <f>'Hodnocení '!EJ19</f>
        <v>1.6</v>
      </c>
      <c r="EK19" s="692">
        <f>'Hodnocení '!EK19</f>
        <v>0</v>
      </c>
      <c r="EL19" s="692">
        <f>'Hodnocení '!EL19</f>
        <v>0</v>
      </c>
      <c r="EM19" s="692">
        <f>'Hodnocení '!EM19</f>
        <v>0</v>
      </c>
      <c r="EN19" s="692">
        <f>'Hodnocení '!EN19</f>
        <v>4</v>
      </c>
      <c r="EO19" s="692">
        <f>'Hodnocení '!EO19</f>
        <v>0.3</v>
      </c>
      <c r="EP19" s="692">
        <f>'Hodnocení '!EP19</f>
        <v>2.2999999999999998</v>
      </c>
      <c r="EQ19" s="692">
        <f>'Hodnocení '!EQ19</f>
        <v>3.5</v>
      </c>
      <c r="ER19" s="692">
        <f>'Hodnocení '!ER19</f>
        <v>27.613</v>
      </c>
      <c r="ES19" s="692">
        <f>'Hodnocení '!ES19</f>
        <v>15.284000000000001</v>
      </c>
      <c r="ET19" s="692">
        <f>'Hodnocení '!ET19</f>
        <v>0</v>
      </c>
      <c r="EU19" s="692">
        <f>'Hodnocení '!EU19</f>
        <v>0</v>
      </c>
      <c r="EV19" s="692">
        <f>'Hodnocení '!EV19</f>
        <v>0.59840000000000004</v>
      </c>
      <c r="EW19" s="692">
        <f>'Hodnocení '!EW19</f>
        <v>10.084</v>
      </c>
      <c r="EX19" s="692">
        <f>'Hodnocení '!EX19</f>
        <v>16.495000000000001</v>
      </c>
      <c r="EY19" s="692">
        <f>'Hodnocení '!EY19</f>
        <v>4.16</v>
      </c>
      <c r="EZ19" s="692">
        <f>'Hodnocení '!EZ19</f>
        <v>2.25</v>
      </c>
      <c r="FA19" s="692">
        <f>'Hodnocení '!FA19</f>
        <v>3.04</v>
      </c>
      <c r="FB19" s="692">
        <f>'Hodnocení '!FB19</f>
        <v>0.36</v>
      </c>
      <c r="FC19" s="692">
        <f>'Hodnocení '!FC19</f>
        <v>12.672699999999999</v>
      </c>
      <c r="FD19" s="692">
        <f>'Hodnocení '!FD19</f>
        <v>2.08</v>
      </c>
      <c r="FE19" s="692">
        <f>'Hodnocení '!FE19</f>
        <v>1.1553</v>
      </c>
      <c r="FF19" s="692">
        <f>'Hodnocení '!FF19</f>
        <v>4.2</v>
      </c>
      <c r="FG19" s="692">
        <f>'Hodnocení '!FG19</f>
        <v>20</v>
      </c>
      <c r="FH19" s="692">
        <f>'Hodnocení '!FH19</f>
        <v>23.172000000000001</v>
      </c>
      <c r="FI19" s="692">
        <f>'Hodnocení '!FI19</f>
        <v>20.167999999999999</v>
      </c>
      <c r="FJ19" s="692">
        <f>'Hodnocení '!FJ19</f>
        <v>7.8</v>
      </c>
      <c r="FK19" s="692">
        <f>'Hodnocení '!FK19</f>
        <v>2</v>
      </c>
      <c r="FL19" s="692">
        <f>'Hodnocení '!FL19</f>
        <v>2</v>
      </c>
      <c r="FM19" s="692">
        <f>'Hodnocení '!FM19</f>
        <v>11.6</v>
      </c>
      <c r="FN19" s="692">
        <f>'Hodnocení '!FN19</f>
        <v>16.5168</v>
      </c>
      <c r="FO19" s="692">
        <f>'Hodnocení '!FO19</f>
        <v>4.5916000000000006</v>
      </c>
      <c r="FP19" s="692">
        <f>'Hodnocení '!FP19</f>
        <v>26.244</v>
      </c>
      <c r="FQ19" s="692">
        <f>'Hodnocení '!FQ19</f>
        <v>3.3</v>
      </c>
      <c r="FR19" s="692">
        <f>'Hodnocení '!FR19</f>
        <v>0</v>
      </c>
      <c r="FS19" s="692">
        <f>'Hodnocení '!FS19</f>
        <v>0.36360000000000003</v>
      </c>
      <c r="FT19" s="692">
        <f>'Hodnocení '!FT19</f>
        <v>9</v>
      </c>
      <c r="FU19" s="692">
        <f>'Hodnocení '!FU19</f>
        <v>1.2</v>
      </c>
      <c r="FV19" s="692">
        <f>'Hodnocení '!FV19</f>
        <v>5.3000000000000007</v>
      </c>
      <c r="FW19" s="692">
        <f>'Hodnocení '!FW19</f>
        <v>3.7</v>
      </c>
      <c r="FX19" s="692">
        <f>'Hodnocení '!FX19</f>
        <v>2</v>
      </c>
      <c r="FY19" s="692">
        <f>'Hodnocení '!FY19</f>
        <v>1.2000000000000002</v>
      </c>
      <c r="FZ19" s="692">
        <f>'Hodnocení '!FZ19</f>
        <v>15.412000000000001</v>
      </c>
      <c r="GA19" s="692">
        <f>'Hodnocení '!GA19</f>
        <v>1.1764000000000001</v>
      </c>
      <c r="GB19" s="692">
        <f>'Hodnocení '!GB19</f>
        <v>10.14</v>
      </c>
      <c r="GC19" s="692">
        <f>'Hodnocení '!GC19</f>
        <v>7.92</v>
      </c>
      <c r="GD19" s="692">
        <f>'Hodnocení '!GD19</f>
        <v>20.948</v>
      </c>
      <c r="GE19" s="692">
        <f>'Hodnocení '!GE19</f>
        <v>3.1840000000000002</v>
      </c>
      <c r="GF19" s="692">
        <f>'Hodnocení '!GF19</f>
        <v>16.783999999999999</v>
      </c>
      <c r="GG19" s="692">
        <f>'Hodnocení '!GG19</f>
        <v>2.4791000000000003</v>
      </c>
      <c r="GH19" s="692">
        <f>'Hodnocení '!GH19</f>
        <v>1.9703000000000002</v>
      </c>
      <c r="GI19" s="692">
        <f>'Hodnocení '!GI19</f>
        <v>21.823799999999999</v>
      </c>
      <c r="GJ19" s="692">
        <f>'Hodnocení '!GJ19</f>
        <v>6.1749999999999998</v>
      </c>
      <c r="GK19" s="692">
        <f>'Hodnocení '!GK19</f>
        <v>6.1749999999999998</v>
      </c>
      <c r="GL19" s="692">
        <f>'Hodnocení '!GL19</f>
        <v>1.375</v>
      </c>
      <c r="GM19" s="692">
        <f>'Hodnocení '!GM19</f>
        <v>2.375</v>
      </c>
      <c r="GN19" s="692">
        <f>'Hodnocení '!GN19</f>
        <v>2.1</v>
      </c>
      <c r="GO19" s="692">
        <f>'Hodnocení '!GO19</f>
        <v>9.5</v>
      </c>
      <c r="GP19" s="692">
        <f>'Hodnocení '!GP19</f>
        <v>2</v>
      </c>
      <c r="GQ19" s="692">
        <f>'Hodnocení '!GQ19</f>
        <v>3.25</v>
      </c>
      <c r="GR19" s="692">
        <f>'Hodnocení '!GR19</f>
        <v>3.4</v>
      </c>
      <c r="GS19" s="692">
        <f>'Hodnocení '!GS19</f>
        <v>2</v>
      </c>
      <c r="GT19" s="692">
        <f>'Hodnocení '!GT19</f>
        <v>29.216000000000001</v>
      </c>
      <c r="GU19" s="692">
        <f>'Hodnocení '!GU19</f>
        <v>2.2866</v>
      </c>
      <c r="GV19" s="692">
        <f>'Hodnocení '!GV19</f>
        <v>0</v>
      </c>
      <c r="GW19" s="692">
        <f>'Hodnocení '!GW19</f>
        <v>4.1079999999999997</v>
      </c>
      <c r="GX19" s="692">
        <f>'Hodnocení '!GX19</f>
        <v>1.1000000000000001</v>
      </c>
      <c r="GY19" s="692">
        <f>'Hodnocení '!GY19</f>
        <v>40.152799999999999</v>
      </c>
      <c r="GZ19" s="692">
        <f>'Hodnocení '!GZ19</f>
        <v>0</v>
      </c>
      <c r="HA19" s="692">
        <f>'Hodnocení '!HA19</f>
        <v>21.997</v>
      </c>
      <c r="HB19" s="692">
        <f>'Hodnocení '!HB19</f>
        <v>10.164</v>
      </c>
      <c r="HC19" s="692">
        <f>'Hodnocení '!HC19</f>
        <v>17.3444</v>
      </c>
      <c r="HD19" s="692">
        <f>'Hodnocení '!HD19</f>
        <v>7.1260000000000003</v>
      </c>
      <c r="HE19" s="692">
        <f>'Hodnocení '!HE19</f>
        <v>14.058</v>
      </c>
      <c r="HF19" s="692">
        <f>'Hodnocení '!HF19</f>
        <v>5.5823999999999998</v>
      </c>
      <c r="HG19" s="692">
        <f>'Hodnocení '!HG19</f>
        <v>2</v>
      </c>
      <c r="HH19" s="692">
        <f>'Hodnocení '!HH19</f>
        <v>0</v>
      </c>
      <c r="HI19" s="692">
        <f>'Hodnocení '!HI19</f>
        <v>8.8000000000000007</v>
      </c>
      <c r="HJ19" s="692">
        <f>'Hodnocení '!HJ19</f>
        <v>0.52</v>
      </c>
      <c r="HK19" s="692">
        <f>'Hodnocení '!HK19</f>
        <v>2.1</v>
      </c>
      <c r="HL19" s="692">
        <f>'Hodnocení '!HL19</f>
        <v>57.14</v>
      </c>
      <c r="HM19" s="692">
        <f>'Hodnocení '!HM19</f>
        <v>35.588000000000001</v>
      </c>
      <c r="HN19" s="692">
        <f>'Hodnocení '!HN19</f>
        <v>2.1</v>
      </c>
      <c r="HO19" s="692">
        <f>'Hodnocení '!HO19</f>
        <v>3</v>
      </c>
      <c r="HP19" s="692">
        <f>'Hodnocení '!HP19</f>
        <v>42.042000000000002</v>
      </c>
      <c r="HQ19" s="692">
        <f>'Hodnocení '!HQ19</f>
        <v>1.3</v>
      </c>
      <c r="HR19" s="692">
        <f>'Hodnocení '!HR19</f>
        <v>50.488</v>
      </c>
      <c r="HS19" s="692">
        <f>'Hodnocení '!HS19</f>
        <v>9.6</v>
      </c>
      <c r="HT19" s="692">
        <f>'Hodnocení '!HT19</f>
        <v>25</v>
      </c>
      <c r="HU19" s="692">
        <f>'Hodnocení '!HU19</f>
        <v>35.345999999999997</v>
      </c>
      <c r="HV19" s="692">
        <f>'Hodnocení '!HV19</f>
        <v>30.388000000000002</v>
      </c>
      <c r="HW19" s="692">
        <f>'Hodnocení '!HW19</f>
        <v>11.3384</v>
      </c>
      <c r="HX19" s="692">
        <f>'Hodnocení '!HX19</f>
        <v>34.683400000000006</v>
      </c>
      <c r="HY19" s="692">
        <f>'Hodnocení '!HY19</f>
        <v>25.909199999999998</v>
      </c>
      <c r="HZ19" s="692">
        <f>'Hodnocení '!HZ19</f>
        <v>10.8</v>
      </c>
      <c r="IA19" s="692">
        <f>'Hodnocení '!IA19</f>
        <v>13.4</v>
      </c>
      <c r="IB19" s="692">
        <f>'Hodnocení '!IB19</f>
        <v>10.199999999999999</v>
      </c>
      <c r="IC19" s="692">
        <f>'Hodnocení '!IC19</f>
        <v>23.504000000000001</v>
      </c>
      <c r="ID19" s="692">
        <f>'Hodnocení '!ID19</f>
        <v>19.27</v>
      </c>
      <c r="IE19" s="692">
        <f>'Hodnocení '!IE19</f>
        <v>20.501999999999999</v>
      </c>
      <c r="IF19" s="692">
        <f>'Hodnocení '!IF19</f>
        <v>25.817699999999999</v>
      </c>
      <c r="IG19" s="692">
        <f>'Hodnocení '!IG19</f>
        <v>0</v>
      </c>
      <c r="IH19" s="692">
        <f>'Hodnocení '!IH19</f>
        <v>4.21</v>
      </c>
      <c r="II19" s="692">
        <f>'Hodnocení '!II19</f>
        <v>28.555500000000002</v>
      </c>
      <c r="IJ19" s="692">
        <f>'Hodnocení '!IJ19</f>
        <v>1.546</v>
      </c>
      <c r="IK19" s="692">
        <f>'Hodnocení '!IK19</f>
        <v>3.82</v>
      </c>
      <c r="IL19" s="692">
        <f>'Hodnocení '!IL19</f>
        <v>11.8</v>
      </c>
      <c r="IM19" s="692">
        <f>'Hodnocení '!IM19</f>
        <v>0.63</v>
      </c>
      <c r="IN19" s="692">
        <f>'Hodnocení '!IN19</f>
        <v>11.81</v>
      </c>
      <c r="IO19" s="692">
        <f>'Hodnocení '!IO19</f>
        <v>6.95</v>
      </c>
      <c r="IP19" s="692">
        <f>'Hodnocení '!IP19</f>
        <v>29.904</v>
      </c>
      <c r="IQ19" s="692">
        <f>'Hodnocení '!IQ19</f>
        <v>28.524000000000001</v>
      </c>
      <c r="IR19" s="692">
        <f>'Hodnocení '!IR19</f>
        <v>1.5</v>
      </c>
      <c r="IS19" s="692">
        <f>'Hodnocení '!IS19</f>
        <v>91.421199999999999</v>
      </c>
      <c r="IT19" s="692">
        <f>'Hodnocení '!IT19</f>
        <v>24.5608</v>
      </c>
      <c r="IU19" s="692">
        <f>'Hodnocení '!IU19</f>
        <v>3.8132000000000001</v>
      </c>
      <c r="IV19" s="692">
        <f>'Hodnocení '!IV19</f>
        <v>12.1</v>
      </c>
      <c r="IW19" s="692">
        <f>'Hodnocení '!IW19</f>
        <v>30.031199999999998</v>
      </c>
      <c r="IX19" s="692">
        <f>'Hodnocení '!IX19</f>
        <v>3.6</v>
      </c>
      <c r="IY19" s="692">
        <f>'Hodnocení '!IY19</f>
        <v>16.584</v>
      </c>
      <c r="IZ19" s="692">
        <f>'Hodnocení '!IZ19</f>
        <v>29.692</v>
      </c>
      <c r="JA19" s="692">
        <f>'Hodnocení '!JA19</f>
        <v>5.05</v>
      </c>
      <c r="JB19" s="692">
        <f>'Hodnocení '!JB19</f>
        <v>3.1</v>
      </c>
      <c r="JC19" s="692">
        <f>'Hodnocení '!JC19</f>
        <v>3.52</v>
      </c>
      <c r="JD19" s="692">
        <f>'Hodnocení '!JD19</f>
        <v>9.1448</v>
      </c>
      <c r="JE19" s="692">
        <f>'Hodnocení '!JE19</f>
        <v>0.96310000000000007</v>
      </c>
      <c r="JF19" s="692">
        <f>'Hodnocení '!JF19</f>
        <v>58.2029</v>
      </c>
      <c r="JG19" s="692">
        <f>'Hodnocení '!JG19</f>
        <v>41.192</v>
      </c>
      <c r="JH19" s="786">
        <f>'Hodnocení '!JH19</f>
        <v>2.048</v>
      </c>
      <c r="JI19" s="315"/>
      <c r="JO19" s="307"/>
    </row>
    <row r="20" spans="1:276" hidden="1" x14ac:dyDescent="0.25">
      <c r="A20" s="313" t="s">
        <v>2444</v>
      </c>
      <c r="B20" s="733" t="s">
        <v>2459</v>
      </c>
      <c r="C20" s="779">
        <f>'Hodnocení '!C20</f>
        <v>27906.925195451313</v>
      </c>
      <c r="D20" s="479">
        <f>'Hodnocení '!D20</f>
        <v>31567.842605156038</v>
      </c>
      <c r="E20" s="479">
        <f>'Hodnocení '!E20</f>
        <v>26075.209970233398</v>
      </c>
      <c r="F20" s="479">
        <f>'Hodnocení '!F20</f>
        <v>25629.34788991166</v>
      </c>
      <c r="G20" s="479">
        <f>'Hodnocení '!G20</f>
        <v>23789.218602318862</v>
      </c>
      <c r="H20" s="479">
        <f>'Hodnocení '!H20</f>
        <v>0</v>
      </c>
      <c r="I20" s="479">
        <f>'Hodnocení '!I20</f>
        <v>25486.300250571956</v>
      </c>
      <c r="J20" s="479">
        <f>'Hodnocení '!J20</f>
        <v>44280.144646489964</v>
      </c>
      <c r="K20" s="479">
        <f>'Hodnocení '!K20</f>
        <v>19608.000824093891</v>
      </c>
      <c r="L20" s="479">
        <f>'Hodnocení '!L20</f>
        <v>0</v>
      </c>
      <c r="M20" s="479">
        <f>'Hodnocení '!M20</f>
        <v>29842.545401397041</v>
      </c>
      <c r="N20" s="479">
        <f>'Hodnocení '!N20</f>
        <v>27568.029389123036</v>
      </c>
      <c r="O20" s="479">
        <f>'Hodnocení '!O20</f>
        <v>27969.203980099497</v>
      </c>
      <c r="P20" s="479">
        <f>'Hodnocení '!P20</f>
        <v>23093.43087195601</v>
      </c>
      <c r="Q20" s="479">
        <f>'Hodnocení '!Q20</f>
        <v>29157.480803836785</v>
      </c>
      <c r="R20" s="479">
        <f>'Hodnocení '!R20</f>
        <v>50765.428808339253</v>
      </c>
      <c r="S20" s="479">
        <f>'Hodnocení '!S20</f>
        <v>44227.404643449416</v>
      </c>
      <c r="T20" s="479">
        <f>'Hodnocení '!T20</f>
        <v>0</v>
      </c>
      <c r="U20" s="479">
        <f>'Hodnocení '!U20</f>
        <v>35104.651899736986</v>
      </c>
      <c r="V20" s="479">
        <f>'Hodnocení '!V20</f>
        <v>25636.67627540019</v>
      </c>
      <c r="W20" s="479">
        <f>'Hodnocení '!W20</f>
        <v>29395.08141112619</v>
      </c>
      <c r="X20" s="479">
        <f>'Hodnocení '!X20</f>
        <v>20995.472803486755</v>
      </c>
      <c r="Y20" s="479">
        <f>'Hodnocení '!Y20</f>
        <v>64176.375483929689</v>
      </c>
      <c r="Z20" s="479">
        <f>'Hodnocení '!Z20</f>
        <v>44034.719558835866</v>
      </c>
      <c r="AA20" s="479">
        <f>'Hodnocení '!AA20</f>
        <v>22764.303482587064</v>
      </c>
      <c r="AB20" s="479">
        <f>'Hodnocení '!AB20</f>
        <v>21989.633735268766</v>
      </c>
      <c r="AC20" s="479">
        <f>'Hodnocení '!AC20</f>
        <v>26288.401741293532</v>
      </c>
      <c r="AD20" s="479">
        <f>'Hodnocení '!AD20</f>
        <v>30967.101990049749</v>
      </c>
      <c r="AE20" s="479">
        <f>'Hodnocení '!AE20</f>
        <v>31999.032614704251</v>
      </c>
      <c r="AF20" s="479">
        <f>'Hodnocení '!AF20</f>
        <v>28858.986318407955</v>
      </c>
      <c r="AG20" s="479">
        <f>'Hodnocení '!AG20</f>
        <v>23014.557232462786</v>
      </c>
      <c r="AH20" s="479">
        <f>'Hodnocení '!AH20</f>
        <v>34322.587512886013</v>
      </c>
      <c r="AI20" s="479">
        <f>'Hodnocení '!AI20</f>
        <v>25320.997670087731</v>
      </c>
      <c r="AJ20" s="479">
        <f>'Hodnocení '!AJ20</f>
        <v>26082.362734132956</v>
      </c>
      <c r="AK20" s="479">
        <f>'Hodnocení '!AK20</f>
        <v>27188.965884861402</v>
      </c>
      <c r="AL20" s="479">
        <f>'Hodnocení '!AL20</f>
        <v>32079.177973767521</v>
      </c>
      <c r="AM20" s="479">
        <f>'Hodnocení '!AM20</f>
        <v>53062.810945273632</v>
      </c>
      <c r="AN20" s="479">
        <f>'Hodnocení '!AN20</f>
        <v>24825.186567164179</v>
      </c>
      <c r="AO20" s="479">
        <f>'Hodnocení '!AO20</f>
        <v>21433.554591972188</v>
      </c>
      <c r="AP20" s="479">
        <f>'Hodnocení '!AP20</f>
        <v>30004.99107028958</v>
      </c>
      <c r="AQ20" s="479">
        <f>'Hodnocení '!AQ20</f>
        <v>20546.641791044774</v>
      </c>
      <c r="AR20" s="479">
        <f>'Hodnocení '!AR20</f>
        <v>25719.146235905111</v>
      </c>
      <c r="AS20" s="479">
        <f>'Hodnocení '!AS20</f>
        <v>25812.189054726368</v>
      </c>
      <c r="AT20" s="479">
        <f>'Hodnocení '!AT20</f>
        <v>18793.874436251099</v>
      </c>
      <c r="AU20" s="479">
        <f>'Hodnocení '!AU20</f>
        <v>20983.234162848632</v>
      </c>
      <c r="AV20" s="479">
        <f>'Hodnocení '!AV20</f>
        <v>27688.672024492917</v>
      </c>
      <c r="AW20" s="479">
        <f>'Hodnocení '!AW20</f>
        <v>18645.794835347071</v>
      </c>
      <c r="AX20" s="479">
        <f>'Hodnocení '!AX20</f>
        <v>23938.425093863876</v>
      </c>
      <c r="AY20" s="479">
        <f>'Hodnocení '!AY20</f>
        <v>25402.073660922943</v>
      </c>
      <c r="AZ20" s="479">
        <f>'Hodnocení '!AZ20</f>
        <v>32982.761497391082</v>
      </c>
      <c r="BA20" s="479">
        <f>'Hodnocení '!BA20</f>
        <v>0</v>
      </c>
      <c r="BB20" s="479">
        <f>'Hodnocení '!BB20</f>
        <v>20309.172885572138</v>
      </c>
      <c r="BC20" s="479">
        <f>'Hodnocení '!BC20</f>
        <v>28084.071828358206</v>
      </c>
      <c r="BD20" s="479">
        <f>'Hodnocení '!BD20</f>
        <v>28073.7091242815</v>
      </c>
      <c r="BE20" s="479">
        <f>'Hodnocení '!BE20</f>
        <v>41440.889094508253</v>
      </c>
      <c r="BF20" s="479">
        <f>'Hodnocení '!BF20</f>
        <v>0</v>
      </c>
      <c r="BG20" s="479">
        <f>'Hodnocení '!BG20</f>
        <v>0</v>
      </c>
      <c r="BH20" s="479">
        <f>'Hodnocení '!BH20</f>
        <v>0</v>
      </c>
      <c r="BI20" s="479">
        <f>'Hodnocení '!BI20</f>
        <v>65036.485249298297</v>
      </c>
      <c r="BJ20" s="479">
        <f>'Hodnocení '!BJ20</f>
        <v>23216.791044776117</v>
      </c>
      <c r="BK20" s="479">
        <f>'Hodnocení '!BK20</f>
        <v>20328.358592128698</v>
      </c>
      <c r="BL20" s="479">
        <f>'Hodnocení '!BL20</f>
        <v>0</v>
      </c>
      <c r="BM20" s="479">
        <f>'Hodnocení '!BM20</f>
        <v>23100.859069806102</v>
      </c>
      <c r="BN20" s="479">
        <f>'Hodnocení '!BN20</f>
        <v>28660.676147446949</v>
      </c>
      <c r="BO20" s="479">
        <f>'Hodnocení '!BO20</f>
        <v>30825.354360274101</v>
      </c>
      <c r="BP20" s="479">
        <f>'Hodnocení '!BP20</f>
        <v>26595.461830032134</v>
      </c>
      <c r="BQ20" s="479">
        <f>'Hodnocení '!BQ20</f>
        <v>28930.718785623183</v>
      </c>
      <c r="BR20" s="479">
        <f>'Hodnocení '!BR20</f>
        <v>23320.087064676616</v>
      </c>
      <c r="BS20" s="479">
        <f>'Hodnocení '!BS20</f>
        <v>30015.525210825301</v>
      </c>
      <c r="BT20" s="479">
        <f>'Hodnocení '!BT20</f>
        <v>38191.417910447759</v>
      </c>
      <c r="BU20" s="479">
        <f>'Hodnocení '!BU20</f>
        <v>26117.264288314524</v>
      </c>
      <c r="BV20" s="479">
        <f>'Hodnocení '!BV20</f>
        <v>16749.309010503039</v>
      </c>
      <c r="BW20" s="479">
        <f>'Hodnocení '!BW20</f>
        <v>32543.90915832161</v>
      </c>
      <c r="BX20" s="479">
        <f>'Hodnocení '!BX20</f>
        <v>20159.858080117341</v>
      </c>
      <c r="BY20" s="479">
        <f>'Hodnocení '!BY20</f>
        <v>27024.792703150913</v>
      </c>
      <c r="BZ20" s="479">
        <f>'Hodnocení '!BZ20</f>
        <v>54228.426033531519</v>
      </c>
      <c r="CA20" s="479">
        <f>'Hodnocení '!CA20</f>
        <v>0</v>
      </c>
      <c r="CB20" s="479">
        <f>'Hodnocení '!CB20</f>
        <v>23848.557045851823</v>
      </c>
      <c r="CC20" s="479">
        <f>'Hodnocení '!CC20</f>
        <v>28192.319434903584</v>
      </c>
      <c r="CD20" s="479">
        <f>'Hodnocení '!CD20</f>
        <v>29540.826089333546</v>
      </c>
      <c r="CE20" s="479">
        <f>'Hodnocení '!CE20</f>
        <v>24635.439974627523</v>
      </c>
      <c r="CF20" s="479">
        <f>'Hodnocení '!CF20</f>
        <v>28886.46390688069</v>
      </c>
      <c r="CG20" s="479">
        <f>'Hodnocení '!CG20</f>
        <v>29081.203674106127</v>
      </c>
      <c r="CH20" s="479">
        <f>'Hodnocení '!CH20</f>
        <v>32459.432006633499</v>
      </c>
      <c r="CI20" s="479">
        <f>'Hodnocení '!CI20</f>
        <v>34707.564249757132</v>
      </c>
      <c r="CJ20" s="479">
        <f>'Hodnocení '!CJ20</f>
        <v>28005.860642439973</v>
      </c>
      <c r="CK20" s="479">
        <f>'Hodnocení '!CK20</f>
        <v>25967.970954140677</v>
      </c>
      <c r="CL20" s="479">
        <f>'Hodnocení '!CL20</f>
        <v>31434.269734131882</v>
      </c>
      <c r="CM20" s="479">
        <f>'Hodnocení '!CM20</f>
        <v>25320.83629471689</v>
      </c>
      <c r="CN20" s="479">
        <f>'Hodnocení '!CN20</f>
        <v>22942.077496602829</v>
      </c>
      <c r="CO20" s="479">
        <f>'Hodnocení '!CO20</f>
        <v>26444.806742631699</v>
      </c>
      <c r="CP20" s="479">
        <f>'Hodnocení '!CP20</f>
        <v>23845.451747821342</v>
      </c>
      <c r="CQ20" s="479">
        <f>'Hodnocení '!CQ20</f>
        <v>24986.198140174813</v>
      </c>
      <c r="CR20" s="479">
        <f>'Hodnocení '!CR20</f>
        <v>20340.950163711354</v>
      </c>
      <c r="CS20" s="479">
        <f>'Hodnocení '!CS20</f>
        <v>0</v>
      </c>
      <c r="CT20" s="479">
        <f>'Hodnocení '!CT20</f>
        <v>28886.858269938562</v>
      </c>
      <c r="CU20" s="479">
        <f>'Hodnocení '!CU20</f>
        <v>24012.730465320456</v>
      </c>
      <c r="CV20" s="479">
        <f>'Hodnocení '!CV20</f>
        <v>22330.76720490076</v>
      </c>
      <c r="CW20" s="479">
        <f>'Hodnocení '!CW20</f>
        <v>0</v>
      </c>
      <c r="CX20" s="479">
        <f>'Hodnocení '!CX20</f>
        <v>28743.342134527149</v>
      </c>
      <c r="CY20" s="479">
        <f>'Hodnocení '!CY20</f>
        <v>25641.056744884161</v>
      </c>
      <c r="CZ20" s="479">
        <f>'Hodnocení '!CZ20</f>
        <v>29941.499609794166</v>
      </c>
      <c r="DA20" s="479">
        <f>'Hodnocení '!DA20</f>
        <v>0</v>
      </c>
      <c r="DB20" s="479">
        <f>'Hodnocení '!DB20</f>
        <v>29117.752583237656</v>
      </c>
      <c r="DC20" s="479">
        <f>'Hodnocení '!DC20</f>
        <v>34785.195643404593</v>
      </c>
      <c r="DD20" s="479">
        <f>'Hodnocení '!DD20</f>
        <v>0</v>
      </c>
      <c r="DE20" s="479">
        <f>'Hodnocení '!DE20</f>
        <v>0</v>
      </c>
      <c r="DF20" s="479">
        <f>'Hodnocení '!DF20</f>
        <v>0</v>
      </c>
      <c r="DG20" s="479">
        <f>'Hodnocení '!DG20</f>
        <v>0</v>
      </c>
      <c r="DH20" s="479">
        <f>'Hodnocení '!DH20</f>
        <v>27024.651180189278</v>
      </c>
      <c r="DI20" s="479">
        <f>'Hodnocení '!DI20</f>
        <v>27461.040949100647</v>
      </c>
      <c r="DJ20" s="479">
        <f>'Hodnocení '!DJ20</f>
        <v>32641.492537313428</v>
      </c>
      <c r="DK20" s="479">
        <f>'Hodnocení '!DK20</f>
        <v>27727.651255218163</v>
      </c>
      <c r="DL20" s="479">
        <f>'Hodnocení '!DL20</f>
        <v>22211.075870646764</v>
      </c>
      <c r="DM20" s="479">
        <f>'Hodnocení '!DM20</f>
        <v>20434.341429382057</v>
      </c>
      <c r="DN20" s="479">
        <f>'Hodnocení '!DN20</f>
        <v>20500.768217734858</v>
      </c>
      <c r="DO20" s="479">
        <f>'Hodnocení '!DO20</f>
        <v>0</v>
      </c>
      <c r="DP20" s="479">
        <f>'Hodnocení '!DP20</f>
        <v>28554.763145134504</v>
      </c>
      <c r="DQ20" s="479">
        <f>'Hodnocení '!DQ20</f>
        <v>30799.936383506025</v>
      </c>
      <c r="DR20" s="479">
        <f>'Hodnocení '!DR20</f>
        <v>31895.230265139191</v>
      </c>
      <c r="DS20" s="479">
        <f>'Hodnocení '!DS20</f>
        <v>0</v>
      </c>
      <c r="DT20" s="479">
        <f>'Hodnocení '!DT20</f>
        <v>27686.796938999782</v>
      </c>
      <c r="DU20" s="479">
        <f>'Hodnocení '!DU20</f>
        <v>25186.776329572367</v>
      </c>
      <c r="DV20" s="479">
        <f>'Hodnocení '!DV20</f>
        <v>24117.805438176732</v>
      </c>
      <c r="DW20" s="479">
        <f>'Hodnocení '!DW20</f>
        <v>0</v>
      </c>
      <c r="DX20" s="479">
        <f>'Hodnocení '!DX20</f>
        <v>31214.311127577239</v>
      </c>
      <c r="DY20" s="479">
        <f>'Hodnocení '!DY20</f>
        <v>0</v>
      </c>
      <c r="DZ20" s="479">
        <f>'Hodnocení '!DZ20</f>
        <v>0</v>
      </c>
      <c r="EA20" s="479">
        <f>'Hodnocení '!EA20</f>
        <v>21145.068441216372</v>
      </c>
      <c r="EB20" s="479">
        <f>'Hodnocení '!EB20</f>
        <v>17807.654037504784</v>
      </c>
      <c r="EC20" s="479">
        <f>'Hodnocení '!EC20</f>
        <v>25582.205638474294</v>
      </c>
      <c r="ED20" s="479">
        <f>'Hodnocení '!ED20</f>
        <v>22766.535967264608</v>
      </c>
      <c r="EE20" s="479">
        <f>'Hodnocení '!EE20</f>
        <v>26386.8699978369</v>
      </c>
      <c r="EF20" s="479">
        <f>'Hodnocení '!EF20</f>
        <v>28841.691542288558</v>
      </c>
      <c r="EG20" s="479">
        <f>'Hodnocení '!EG20</f>
        <v>29118.1592039801</v>
      </c>
      <c r="EH20" s="479">
        <f>'Hodnocení '!EH20</f>
        <v>22598.555576029317</v>
      </c>
      <c r="EI20" s="479">
        <f>'Hodnocení '!EI20</f>
        <v>16570.762260127933</v>
      </c>
      <c r="EJ20" s="479">
        <f>'Hodnocení '!EJ20</f>
        <v>31456.351057213928</v>
      </c>
      <c r="EK20" s="479">
        <f>'Hodnocení '!EK20</f>
        <v>0</v>
      </c>
      <c r="EL20" s="479">
        <f>'Hodnocení '!EL20</f>
        <v>0</v>
      </c>
      <c r="EM20" s="479">
        <f>'Hodnocení '!EM20</f>
        <v>0</v>
      </c>
      <c r="EN20" s="479">
        <f>'Hodnocení '!EN20</f>
        <v>22501.492537313432</v>
      </c>
      <c r="EO20" s="479">
        <f>'Hodnocení '!EO20</f>
        <v>16432.421227197348</v>
      </c>
      <c r="EP20" s="479">
        <f>'Hodnocení '!EP20</f>
        <v>22573.112697382654</v>
      </c>
      <c r="EQ20" s="479">
        <f>'Hodnocení '!EQ20</f>
        <v>16407.569296375263</v>
      </c>
      <c r="ER20" s="479">
        <f>'Hodnocení '!ER20</f>
        <v>19239.322436814586</v>
      </c>
      <c r="ES20" s="479">
        <f>'Hodnocení '!ES20</f>
        <v>11037.560333636709</v>
      </c>
      <c r="ET20" s="479">
        <f>'Hodnocení '!ET20</f>
        <v>0</v>
      </c>
      <c r="EU20" s="479">
        <f>'Hodnocení '!EU20</f>
        <v>0</v>
      </c>
      <c r="EV20" s="479">
        <f>'Hodnocení '!EV20</f>
        <v>35477.587829568729</v>
      </c>
      <c r="EW20" s="479">
        <f>'Hodnocení '!EW20</f>
        <v>21720.409258743966</v>
      </c>
      <c r="EX20" s="479">
        <f>'Hodnocení '!EX20</f>
        <v>24952.024509160776</v>
      </c>
      <c r="EY20" s="479">
        <f>'Hodnocení '!EY20</f>
        <v>25079.410639112131</v>
      </c>
      <c r="EZ20" s="479">
        <f>'Hodnocení '!EZ20</f>
        <v>21595.909342178002</v>
      </c>
      <c r="FA20" s="479">
        <f>'Hodnocení '!FA20</f>
        <v>41786.871563236447</v>
      </c>
      <c r="FB20" s="479">
        <f>'Hodnocení '!FB20</f>
        <v>20183.630458817028</v>
      </c>
      <c r="FC20" s="479">
        <f>'Hodnocení '!FC20</f>
        <v>28938.592368042133</v>
      </c>
      <c r="FD20" s="479">
        <f>'Hodnocení '!FD20</f>
        <v>36904.958381171062</v>
      </c>
      <c r="FE20" s="479">
        <f>'Hodnocení '!FE20</f>
        <v>27180.702563526178</v>
      </c>
      <c r="FF20" s="479">
        <f>'Hodnocení '!FF20</f>
        <v>30876.362236436857</v>
      </c>
      <c r="FG20" s="479">
        <f>'Hodnocení '!FG20</f>
        <v>26909.695273631842</v>
      </c>
      <c r="FH20" s="479">
        <f>'Hodnocení '!FH20</f>
        <v>26410.450552347873</v>
      </c>
      <c r="FI20" s="479">
        <f>'Hodnocení '!FI20</f>
        <v>24524.168008628025</v>
      </c>
      <c r="FJ20" s="479">
        <f>'Hodnocení '!FJ20</f>
        <v>22173.73070544712</v>
      </c>
      <c r="FK20" s="479">
        <f>'Hodnocení '!FK20</f>
        <v>20694.776119402984</v>
      </c>
      <c r="FL20" s="479">
        <f>'Hodnocení '!FL20</f>
        <v>20694.776119402984</v>
      </c>
      <c r="FM20" s="479">
        <f>'Hodnocení '!FM20</f>
        <v>23034.600703379649</v>
      </c>
      <c r="FN20" s="479">
        <f>'Hodnocení '!FN20</f>
        <v>21928.004978979945</v>
      </c>
      <c r="FO20" s="479">
        <f>'Hodnocení '!FO20</f>
        <v>25450.934304000508</v>
      </c>
      <c r="FP20" s="479">
        <f>'Hodnocení '!FP20</f>
        <v>26349.277844886219</v>
      </c>
      <c r="FQ20" s="479">
        <f>'Hodnocení '!FQ20</f>
        <v>28560.30453791648</v>
      </c>
      <c r="FR20" s="479">
        <f>'Hodnocení '!FR20</f>
        <v>0</v>
      </c>
      <c r="FS20" s="479">
        <f>'Hodnocení '!FS20</f>
        <v>41533.941951409062</v>
      </c>
      <c r="FT20" s="479">
        <f>'Hodnocení '!FT20</f>
        <v>34326.236871199559</v>
      </c>
      <c r="FU20" s="479">
        <f>'Hodnocení '!FU20</f>
        <v>26249.067164179101</v>
      </c>
      <c r="FV20" s="479">
        <f>'Hodnocení '!FV20</f>
        <v>16391.532901530081</v>
      </c>
      <c r="FW20" s="479">
        <f>'Hodnocení '!FW20</f>
        <v>28738.368965980906</v>
      </c>
      <c r="FX20" s="479">
        <f>'Hodnocení '!FX20</f>
        <v>23135.043532338306</v>
      </c>
      <c r="FY20" s="479">
        <f>'Hodnocení '!FY20</f>
        <v>19186.722636815917</v>
      </c>
      <c r="FZ20" s="479">
        <f>'Hodnocení '!FZ20</f>
        <v>25399.51181672742</v>
      </c>
      <c r="GA20" s="479">
        <f>'Hodnocení '!GA20</f>
        <v>27874.430550410136</v>
      </c>
      <c r="GB20" s="479">
        <f>'Hodnocení '!GB20</f>
        <v>29157.19111542877</v>
      </c>
      <c r="GC20" s="479">
        <f>'Hodnocení '!GC20</f>
        <v>21116.3877581788</v>
      </c>
      <c r="GD20" s="479">
        <f>'Hodnocení '!GD20</f>
        <v>23638.633261038703</v>
      </c>
      <c r="GE20" s="479">
        <f>'Hodnocení '!GE20</f>
        <v>26284.055538888468</v>
      </c>
      <c r="GF20" s="479">
        <f>'Hodnocení '!GF20</f>
        <v>15534.52129841735</v>
      </c>
      <c r="GG20" s="479">
        <f>'Hodnocení '!GG20</f>
        <v>29361.431718419717</v>
      </c>
      <c r="GH20" s="479">
        <f>'Hodnocení '!GH20</f>
        <v>31756.787296325554</v>
      </c>
      <c r="GI20" s="479">
        <f>'Hodnocení '!GI20</f>
        <v>27742.00392569726</v>
      </c>
      <c r="GJ20" s="479">
        <f>'Hodnocení '!GJ20</f>
        <v>22942.332870062641</v>
      </c>
      <c r="GK20" s="479">
        <f>'Hodnocení '!GK20</f>
        <v>26301.700002014222</v>
      </c>
      <c r="GL20" s="479">
        <f>'Hodnocení '!GL20</f>
        <v>37642.876526458618</v>
      </c>
      <c r="GM20" s="479">
        <f>'Hodnocení '!GM20</f>
        <v>24307.881644409532</v>
      </c>
      <c r="GN20" s="479">
        <f>'Hodnocení '!GN20</f>
        <v>26598.19947879649</v>
      </c>
      <c r="GO20" s="479">
        <f>'Hodnocení '!GO20</f>
        <v>24518.807279392506</v>
      </c>
      <c r="GP20" s="479">
        <f>'Hodnocení '!GP20</f>
        <v>21594.3407960199</v>
      </c>
      <c r="GQ20" s="479">
        <f>'Hodnocení '!GQ20</f>
        <v>21674.856486796783</v>
      </c>
      <c r="GR20" s="479">
        <f>'Hodnocení '!GR20</f>
        <v>28467.460491659349</v>
      </c>
      <c r="GS20" s="479">
        <f>'Hodnocení '!GS20</f>
        <v>32998.445273631834</v>
      </c>
      <c r="GT20" s="479">
        <f>'Hodnocení '!GT20</f>
        <v>25405.910446398888</v>
      </c>
      <c r="GU20" s="479">
        <f>'Hodnocení '!GU20</f>
        <v>23920.321205134998</v>
      </c>
      <c r="GV20" s="479">
        <f>'Hodnocení '!GV20</f>
        <v>0</v>
      </c>
      <c r="GW20" s="479">
        <f>'Hodnocení '!GW20</f>
        <v>29068.099739859612</v>
      </c>
      <c r="GX20" s="479">
        <f>'Hodnocení '!GX20</f>
        <v>28621.551334237898</v>
      </c>
      <c r="GY20" s="479">
        <f>'Hodnocení '!GY20</f>
        <v>29639.789065471392</v>
      </c>
      <c r="GZ20" s="479">
        <f>'Hodnocení '!GZ20</f>
        <v>0</v>
      </c>
      <c r="HA20" s="479">
        <f>'Hodnocení '!HA20</f>
        <v>26912.249114929058</v>
      </c>
      <c r="HB20" s="479">
        <f>'Hodnocení '!HB20</f>
        <v>34246.19817089288</v>
      </c>
      <c r="HC20" s="479">
        <f>'Hodnocení '!HC20</f>
        <v>30114.807010128206</v>
      </c>
      <c r="HD20" s="479">
        <f>'Hodnocení '!HD20</f>
        <v>25211.954191992598</v>
      </c>
      <c r="HE20" s="479">
        <f>'Hodnocení '!HE20</f>
        <v>28903.099738184872</v>
      </c>
      <c r="HF20" s="479">
        <f>'Hodnocení '!HF20</f>
        <v>21476.635345770432</v>
      </c>
      <c r="HG20" s="479">
        <f>'Hodnocení '!HG20</f>
        <v>33503.917910447759</v>
      </c>
      <c r="HH20" s="479">
        <f>'Hodnocení '!HH20</f>
        <v>0</v>
      </c>
      <c r="HI20" s="479">
        <f>'Hodnocení '!HI20</f>
        <v>26684.574287652642</v>
      </c>
      <c r="HJ20" s="479">
        <f>'Hodnocení '!HJ20</f>
        <v>62033.821278224263</v>
      </c>
      <c r="HK20" s="479">
        <f>'Hodnocení '!HK20</f>
        <v>32706.586117033872</v>
      </c>
      <c r="HL20" s="479">
        <f>'Hodnocení '!HL20</f>
        <v>31061.090678912049</v>
      </c>
      <c r="HM20" s="479">
        <f>'Hodnocení '!HM20</f>
        <v>37160.682761308657</v>
      </c>
      <c r="HN20" s="479">
        <f>'Hodnocení '!HN20</f>
        <v>14595.238095238094</v>
      </c>
      <c r="HO20" s="479">
        <f>'Hodnocení '!HO20</f>
        <v>36966.645936981753</v>
      </c>
      <c r="HP20" s="479">
        <f>'Hodnocení '!HP20</f>
        <v>28585.358316168546</v>
      </c>
      <c r="HQ20" s="479">
        <f>'Hodnocení '!HQ20</f>
        <v>32345.723306544198</v>
      </c>
      <c r="HR20" s="479">
        <f>'Hodnocení '!HR20</f>
        <v>33407.660142482011</v>
      </c>
      <c r="HS20" s="479">
        <f>'Hodnocení '!HS20</f>
        <v>31896.947553897182</v>
      </c>
      <c r="HT20" s="479">
        <f>'Hodnocení '!HT20</f>
        <v>29964.796019900496</v>
      </c>
      <c r="HU20" s="479">
        <f>'Hodnocení '!HU20</f>
        <v>32023.54168725208</v>
      </c>
      <c r="HV20" s="479">
        <f>'Hodnocení '!HV20</f>
        <v>29093.348742662885</v>
      </c>
      <c r="HW20" s="479">
        <f>'Hodnocení '!HW20</f>
        <v>26840.03121694849</v>
      </c>
      <c r="HX20" s="479">
        <f>'Hodnocení '!HX20</f>
        <v>27070.592461153286</v>
      </c>
      <c r="HY20" s="479">
        <f>'Hodnocení '!HY20</f>
        <v>33487.922191030244</v>
      </c>
      <c r="HZ20" s="479">
        <f>'Hodnocení '!HZ20</f>
        <v>26808.849272157728</v>
      </c>
      <c r="IA20" s="479">
        <f>'Hodnocení '!IA20</f>
        <v>29311.827058736166</v>
      </c>
      <c r="IB20" s="479">
        <f>'Hodnocení '!IB20</f>
        <v>32029.320310213636</v>
      </c>
      <c r="IC20" s="479">
        <f>'Hodnocení '!IC20</f>
        <v>24213.246543829522</v>
      </c>
      <c r="ID20" s="479">
        <f>'Hodnocení '!ID20</f>
        <v>27543.613019489992</v>
      </c>
      <c r="IE20" s="479">
        <f>'Hodnocení '!IE20</f>
        <v>24713.524490512031</v>
      </c>
      <c r="IF20" s="479">
        <f>'Hodnocení '!IF20</f>
        <v>29225.370222599999</v>
      </c>
      <c r="IG20" s="479">
        <f>'Hodnocení '!IG20</f>
        <v>0</v>
      </c>
      <c r="IH20" s="479">
        <f>'Hodnocení '!IH20</f>
        <v>36551.328866357049</v>
      </c>
      <c r="II20" s="479">
        <f>'Hodnocení '!II20</f>
        <v>28073.601281470634</v>
      </c>
      <c r="IJ20" s="479">
        <f>'Hodnocení '!IJ20</f>
        <v>24985.679622585645</v>
      </c>
      <c r="IK20" s="479">
        <f>'Hodnocení '!IK20</f>
        <v>34331.500221406059</v>
      </c>
      <c r="IL20" s="479">
        <f>'Hodnocení '!IL20</f>
        <v>30793.769499957834</v>
      </c>
      <c r="IM20" s="479">
        <f>'Hodnocení '!IM20</f>
        <v>26103.312801073993</v>
      </c>
      <c r="IN20" s="479">
        <f>'Hodnocení '!IN20</f>
        <v>28645.168526545935</v>
      </c>
      <c r="IO20" s="479">
        <f>'Hodnocení '!IO20</f>
        <v>24183.068470596652</v>
      </c>
      <c r="IP20" s="479">
        <f>'Hodnocení '!IP20</f>
        <v>28210.973706241395</v>
      </c>
      <c r="IQ20" s="479">
        <f>'Hodnocení '!IQ20</f>
        <v>34431.476836125083</v>
      </c>
      <c r="IR20" s="479">
        <f>'Hodnocení '!IR20</f>
        <v>28593.490878938635</v>
      </c>
      <c r="IS20" s="479">
        <f>'Hodnocení '!IS20</f>
        <v>27686.07382138717</v>
      </c>
      <c r="IT20" s="479">
        <f>'Hodnocení '!IT20</f>
        <v>28580.768634920572</v>
      </c>
      <c r="IU20" s="479">
        <f>'Hodnocení '!IU20</f>
        <v>49154.664629229803</v>
      </c>
      <c r="IV20" s="479">
        <f>'Hodnocení '!IV20</f>
        <v>29102.051724846835</v>
      </c>
      <c r="IW20" s="479">
        <f>'Hodnocení '!IW20</f>
        <v>23255.043610366611</v>
      </c>
      <c r="IX20" s="479">
        <f>'Hodnocení '!IX20</f>
        <v>26352.266445550027</v>
      </c>
      <c r="IY20" s="479">
        <f>'Hodnocení '!IY20</f>
        <v>29667.340306427337</v>
      </c>
      <c r="IZ20" s="479">
        <f>'Hodnocení '!IZ20</f>
        <v>29290.644732018205</v>
      </c>
      <c r="JA20" s="479">
        <f>'Hodnocení '!JA20</f>
        <v>28064.233289000542</v>
      </c>
      <c r="JB20" s="479">
        <f>'Hodnocení '!JB20</f>
        <v>38540.08184882041</v>
      </c>
      <c r="JC20" s="479">
        <f>'Hodnocení '!JC20</f>
        <v>22284.564393939392</v>
      </c>
      <c r="JD20" s="479">
        <f>'Hodnocení '!JD20</f>
        <v>24065.065550125324</v>
      </c>
      <c r="JE20" s="479">
        <f>'Hodnocení '!JE20</f>
        <v>64767.66308629213</v>
      </c>
      <c r="JF20" s="479">
        <f>'Hodnocení '!JF20</f>
        <v>31608.247469914153</v>
      </c>
      <c r="JG20" s="479">
        <f>'Hodnocení '!JG20</f>
        <v>29858.906392972021</v>
      </c>
      <c r="JH20" s="780">
        <f>'Hodnocení '!JH20</f>
        <v>13293.426665500619</v>
      </c>
      <c r="JI20" s="315"/>
    </row>
    <row r="21" spans="1:276" hidden="1" x14ac:dyDescent="0.25">
      <c r="A21" s="313" t="s">
        <v>2444</v>
      </c>
      <c r="B21" s="733" t="s">
        <v>2460</v>
      </c>
      <c r="C21" s="779">
        <f>'Hodnocení '!C21</f>
        <v>26842.66744907634</v>
      </c>
      <c r="D21" s="479">
        <f>'Hodnocení '!D21</f>
        <v>26842.66744907634</v>
      </c>
      <c r="E21" s="479">
        <f>'Hodnocení '!E21</f>
        <v>26842.66744907634</v>
      </c>
      <c r="F21" s="479">
        <f>'Hodnocení '!F21</f>
        <v>23059.348030624205</v>
      </c>
      <c r="G21" s="479">
        <f>'Hodnocení '!G21</f>
        <v>26351.428793362589</v>
      </c>
      <c r="H21" s="479">
        <f>'Hodnocení '!H21</f>
        <v>0</v>
      </c>
      <c r="I21" s="479">
        <f>'Hodnocení '!I21</f>
        <v>28199.372889022721</v>
      </c>
      <c r="J21" s="479">
        <f>'Hodnocení '!J21</f>
        <v>28199.372889022721</v>
      </c>
      <c r="K21" s="479">
        <f>'Hodnocení '!K21</f>
        <v>19608.000824093891</v>
      </c>
      <c r="L21" s="479">
        <f>'Hodnocení '!L21</f>
        <v>0</v>
      </c>
      <c r="M21" s="479">
        <f>'Hodnocení '!M21</f>
        <v>23059.348030624205</v>
      </c>
      <c r="N21" s="479">
        <f>'Hodnocení '!N21</f>
        <v>28414.477254282185</v>
      </c>
      <c r="O21" s="479">
        <f>'Hodnocení '!O21</f>
        <v>30443.327137576063</v>
      </c>
      <c r="P21" s="479">
        <f>'Hodnocení '!P21</f>
        <v>20326.238127544097</v>
      </c>
      <c r="Q21" s="479">
        <f>'Hodnocení '!Q21</f>
        <v>30443.327137576063</v>
      </c>
      <c r="R21" s="479">
        <f>'Hodnocení '!R21</f>
        <v>30443.327137576063</v>
      </c>
      <c r="S21" s="479">
        <f>'Hodnocení '!S21</f>
        <v>30443.327137576063</v>
      </c>
      <c r="T21" s="479">
        <f>'Hodnocení '!T21</f>
        <v>30443.327137576063</v>
      </c>
      <c r="U21" s="479">
        <f>'Hodnocení '!U21</f>
        <v>30443.327137576063</v>
      </c>
      <c r="V21" s="479">
        <f>'Hodnocení '!V21</f>
        <v>24125.615822280633</v>
      </c>
      <c r="W21" s="479">
        <f>'Hodnocení '!W21</f>
        <v>26351.428793362589</v>
      </c>
      <c r="X21" s="479">
        <f>'Hodnocení '!X21</f>
        <v>26351.428793362589</v>
      </c>
      <c r="Y21" s="479">
        <f>'Hodnocení '!Y21</f>
        <v>27078.278526243463</v>
      </c>
      <c r="Z21" s="479">
        <f>'Hodnocení '!Z21</f>
        <v>30782.909746017394</v>
      </c>
      <c r="AA21" s="479">
        <f>'Hodnocení '!AA21</f>
        <v>26857.228949262786</v>
      </c>
      <c r="AB21" s="479">
        <f>'Hodnocení '!AB21</f>
        <v>23059.348030624205</v>
      </c>
      <c r="AC21" s="479">
        <f>'Hodnocení '!AC21</f>
        <v>28414.477254282185</v>
      </c>
      <c r="AD21" s="479">
        <f>'Hodnocení '!AD21</f>
        <v>29456.501737885908</v>
      </c>
      <c r="AE21" s="479">
        <f>'Hodnocení '!AE21</f>
        <v>26857.228949262786</v>
      </c>
      <c r="AF21" s="479">
        <f>'Hodnocení '!AF21</f>
        <v>28199.372889022721</v>
      </c>
      <c r="AG21" s="479">
        <f>'Hodnocení '!AG21</f>
        <v>24125.615822280633</v>
      </c>
      <c r="AH21" s="479">
        <f>'Hodnocení '!AH21</f>
        <v>26351.428793362589</v>
      </c>
      <c r="AI21" s="479">
        <f>'Hodnocení '!AI21</f>
        <v>26842.66744907634</v>
      </c>
      <c r="AJ21" s="479">
        <f>'Hodnocení '!AJ21</f>
        <v>27919.23485565402</v>
      </c>
      <c r="AK21" s="479">
        <f>'Hodnocení '!AK21</f>
        <v>30443.327137576063</v>
      </c>
      <c r="AL21" s="479">
        <f>'Hodnocení '!AL21</f>
        <v>26857.228949262786</v>
      </c>
      <c r="AM21" s="479">
        <f>'Hodnocení '!AM21</f>
        <v>30443.327137576063</v>
      </c>
      <c r="AN21" s="479">
        <f>'Hodnocení '!AN21</f>
        <v>30443.327137576063</v>
      </c>
      <c r="AO21" s="479">
        <f>'Hodnocení '!AO21</f>
        <v>27078.278526243463</v>
      </c>
      <c r="AP21" s="479">
        <f>'Hodnocení '!AP21</f>
        <v>23059.348030624205</v>
      </c>
      <c r="AQ21" s="479">
        <f>'Hodnocení '!AQ21</f>
        <v>30443.327137576063</v>
      </c>
      <c r="AR21" s="479">
        <f>'Hodnocení '!AR21</f>
        <v>30443.327137576063</v>
      </c>
      <c r="AS21" s="479">
        <f>'Hodnocení '!AS21</f>
        <v>30443.327137576063</v>
      </c>
      <c r="AT21" s="479">
        <f>'Hodnocení '!AT21</f>
        <v>23059.348030624205</v>
      </c>
      <c r="AU21" s="479">
        <f>'Hodnocení '!AU21</f>
        <v>24790.173663253689</v>
      </c>
      <c r="AV21" s="479">
        <f>'Hodnocení '!AV21</f>
        <v>26857.228949262786</v>
      </c>
      <c r="AW21" s="479">
        <f>'Hodnocení '!AW21</f>
        <v>19294.107457143255</v>
      </c>
      <c r="AX21" s="479">
        <f>'Hodnocení '!AX21</f>
        <v>27078.278526243463</v>
      </c>
      <c r="AY21" s="479">
        <f>'Hodnocení '!AY21</f>
        <v>26351.428793362589</v>
      </c>
      <c r="AZ21" s="479">
        <f>'Hodnocení '!AZ21</f>
        <v>32982.761497391082</v>
      </c>
      <c r="BA21" s="479">
        <f>'Hodnocení '!BA21</f>
        <v>0</v>
      </c>
      <c r="BB21" s="479">
        <f>'Hodnocení '!BB21</f>
        <v>30443.327137576063</v>
      </c>
      <c r="BC21" s="479">
        <f>'Hodnocení '!BC21</f>
        <v>19780.551736929385</v>
      </c>
      <c r="BD21" s="479">
        <f>'Hodnocení '!BD21</f>
        <v>30443.327137576063</v>
      </c>
      <c r="BE21" s="479">
        <f>'Hodnocení '!BE21</f>
        <v>28199.372889022721</v>
      </c>
      <c r="BF21" s="479">
        <f>'Hodnocení '!BF21</f>
        <v>0</v>
      </c>
      <c r="BG21" s="479">
        <f>'Hodnocení '!BG21</f>
        <v>0</v>
      </c>
      <c r="BH21" s="479">
        <f>'Hodnocení '!BH21</f>
        <v>0</v>
      </c>
      <c r="BI21" s="479">
        <f>'Hodnocení '!BI21</f>
        <v>65036.485249298297</v>
      </c>
      <c r="BJ21" s="479">
        <f>'Hodnocení '!BJ21</f>
        <v>24125.615822280633</v>
      </c>
      <c r="BK21" s="479">
        <f>'Hodnocení '!BK21</f>
        <v>28199.372889022721</v>
      </c>
      <c r="BL21" s="479">
        <f>'Hodnocení '!BL21</f>
        <v>0</v>
      </c>
      <c r="BM21" s="479">
        <f>'Hodnocení '!BM21</f>
        <v>28199.372889022721</v>
      </c>
      <c r="BN21" s="479">
        <f>'Hodnocení '!BN21</f>
        <v>30443.327137576063</v>
      </c>
      <c r="BO21" s="479">
        <f>'Hodnocení '!BO21</f>
        <v>30825.354360274101</v>
      </c>
      <c r="BP21" s="479">
        <f>'Hodnocení '!BP21</f>
        <v>26351.428793362589</v>
      </c>
      <c r="BQ21" s="479">
        <f>'Hodnocení '!BQ21</f>
        <v>28199.372889022721</v>
      </c>
      <c r="BR21" s="479">
        <f>'Hodnocení '!BR21</f>
        <v>30443.327137576063</v>
      </c>
      <c r="BS21" s="479">
        <f>'Hodnocení '!BS21</f>
        <v>30443.327137576063</v>
      </c>
      <c r="BT21" s="479">
        <f>'Hodnocení '!BT21</f>
        <v>30443.327137576063</v>
      </c>
      <c r="BU21" s="479">
        <f>'Hodnocení '!BU21</f>
        <v>24125.615822280633</v>
      </c>
      <c r="BV21" s="479">
        <f>'Hodnocení '!BV21</f>
        <v>27078.278526243463</v>
      </c>
      <c r="BW21" s="479">
        <f>'Hodnocení '!BW21</f>
        <v>30443.327137576063</v>
      </c>
      <c r="BX21" s="479">
        <f>'Hodnocení '!BX21</f>
        <v>24125.615822280633</v>
      </c>
      <c r="BY21" s="479">
        <f>'Hodnocení '!BY21</f>
        <v>24125.615822280633</v>
      </c>
      <c r="BZ21" s="479">
        <f>'Hodnocení '!BZ21</f>
        <v>12128.941016450084</v>
      </c>
      <c r="CA21" s="479">
        <f>'Hodnocení '!CA21</f>
        <v>0</v>
      </c>
      <c r="CB21" s="479">
        <f>'Hodnocení '!CB21</f>
        <v>31986.223177996788</v>
      </c>
      <c r="CC21" s="479">
        <f>'Hodnocení '!CC21</f>
        <v>30443.327137576063</v>
      </c>
      <c r="CD21" s="479">
        <f>'Hodnocení '!CD21</f>
        <v>30443.327137576063</v>
      </c>
      <c r="CE21" s="479">
        <f>'Hodnocení '!CE21</f>
        <v>24125.615822280633</v>
      </c>
      <c r="CF21" s="479">
        <f>'Hodnocení '!CF21</f>
        <v>29456.501737885908</v>
      </c>
      <c r="CG21" s="479">
        <f>'Hodnocení '!CG21</f>
        <v>28231.882363638724</v>
      </c>
      <c r="CH21" s="479">
        <f>'Hodnocení '!CH21</f>
        <v>28231.882363638724</v>
      </c>
      <c r="CI21" s="479">
        <f>'Hodnocení '!CI21</f>
        <v>34707.564249757132</v>
      </c>
      <c r="CJ21" s="479">
        <f>'Hodnocení '!CJ21</f>
        <v>28005.860642439973</v>
      </c>
      <c r="CK21" s="479">
        <f>'Hodnocení '!CK21</f>
        <v>26785.82439344962</v>
      </c>
      <c r="CL21" s="479">
        <f>'Hodnocení '!CL21</f>
        <v>28199.372889022721</v>
      </c>
      <c r="CM21" s="479">
        <f>'Hodnocení '!CM21</f>
        <v>24125.615822280633</v>
      </c>
      <c r="CN21" s="479">
        <f>'Hodnocení '!CN21</f>
        <v>24790.173663253689</v>
      </c>
      <c r="CO21" s="479">
        <f>'Hodnocení '!CO21</f>
        <v>24790.173663253689</v>
      </c>
      <c r="CP21" s="479">
        <f>'Hodnocení '!CP21</f>
        <v>24790.173663253689</v>
      </c>
      <c r="CQ21" s="479">
        <f>'Hodnocení '!CQ21</f>
        <v>26857.228949262786</v>
      </c>
      <c r="CR21" s="479">
        <f>'Hodnocení '!CR21</f>
        <v>24125.615822280633</v>
      </c>
      <c r="CS21" s="479">
        <f>'Hodnocení '!CS21</f>
        <v>0</v>
      </c>
      <c r="CT21" s="479">
        <f>'Hodnocení '!CT21</f>
        <v>28231.882363638724</v>
      </c>
      <c r="CU21" s="479">
        <f>'Hodnocení '!CU21</f>
        <v>24125.615822280633</v>
      </c>
      <c r="CV21" s="479">
        <f>'Hodnocení '!CV21</f>
        <v>26842.66744907634</v>
      </c>
      <c r="CW21" s="479">
        <f>'Hodnocení '!CW21</f>
        <v>0</v>
      </c>
      <c r="CX21" s="479">
        <f>'Hodnocení '!CX21</f>
        <v>23059.348030624205</v>
      </c>
      <c r="CY21" s="479">
        <f>'Hodnocení '!CY21</f>
        <v>24125.615822280633</v>
      </c>
      <c r="CZ21" s="479">
        <f>'Hodnocení '!CZ21</f>
        <v>26857.228949262786</v>
      </c>
      <c r="DA21" s="479">
        <f>'Hodnocení '!DA21</f>
        <v>0</v>
      </c>
      <c r="DB21" s="479">
        <f>'Hodnocení '!DB21</f>
        <v>30443.327137576063</v>
      </c>
      <c r="DC21" s="479">
        <f>'Hodnocení '!DC21</f>
        <v>24790.173663253689</v>
      </c>
      <c r="DD21" s="479">
        <f>'Hodnocení '!DD21</f>
        <v>0</v>
      </c>
      <c r="DE21" s="479">
        <f>'Hodnocení '!DE21</f>
        <v>0</v>
      </c>
      <c r="DF21" s="479">
        <f>'Hodnocení '!DF21</f>
        <v>0</v>
      </c>
      <c r="DG21" s="479">
        <f>'Hodnocení '!DG21</f>
        <v>0</v>
      </c>
      <c r="DH21" s="479">
        <f>'Hodnocení '!DH21</f>
        <v>26031.165578601303</v>
      </c>
      <c r="DI21" s="479">
        <f>'Hodnocení '!DI21</f>
        <v>19294.107457143255</v>
      </c>
      <c r="DJ21" s="479">
        <f>'Hodnocení '!DJ21</f>
        <v>28199.372889022721</v>
      </c>
      <c r="DK21" s="479">
        <f>'Hodnocení '!DK21</f>
        <v>28199.372889022721</v>
      </c>
      <c r="DL21" s="479">
        <f>'Hodnocení '!DL21</f>
        <v>24125.615822280633</v>
      </c>
      <c r="DM21" s="479">
        <f>'Hodnocení '!DM21</f>
        <v>23059.348030624205</v>
      </c>
      <c r="DN21" s="479">
        <f>'Hodnocení '!DN21</f>
        <v>24790.173663253689</v>
      </c>
      <c r="DO21" s="479">
        <f>'Hodnocení '!DO21</f>
        <v>0</v>
      </c>
      <c r="DP21" s="479">
        <f>'Hodnocení '!DP21</f>
        <v>24790.173663253689</v>
      </c>
      <c r="DQ21" s="479">
        <f>'Hodnocení '!DQ21</f>
        <v>26857.228949262786</v>
      </c>
      <c r="DR21" s="479">
        <f>'Hodnocení '!DR21</f>
        <v>26857.228949262786</v>
      </c>
      <c r="DS21" s="479">
        <f>'Hodnocení '!DS21</f>
        <v>0</v>
      </c>
      <c r="DT21" s="479">
        <f>'Hodnocení '!DT21</f>
        <v>31986.223177996788</v>
      </c>
      <c r="DU21" s="479">
        <f>'Hodnocení '!DU21</f>
        <v>26031.165578601303</v>
      </c>
      <c r="DV21" s="479">
        <f>'Hodnocení '!DV21</f>
        <v>31986.223177996788</v>
      </c>
      <c r="DW21" s="479">
        <f>'Hodnocení '!DW21</f>
        <v>19294.107457143255</v>
      </c>
      <c r="DX21" s="479">
        <f>'Hodnocení '!DX21</f>
        <v>28199.372889022721</v>
      </c>
      <c r="DY21" s="479">
        <f>'Hodnocení '!DY21</f>
        <v>0</v>
      </c>
      <c r="DZ21" s="479">
        <f>'Hodnocení '!DZ21</f>
        <v>0</v>
      </c>
      <c r="EA21" s="479">
        <f>'Hodnocení '!EA21</f>
        <v>23059.348030624205</v>
      </c>
      <c r="EB21" s="479">
        <f>'Hodnocení '!EB21</f>
        <v>23059.348030624205</v>
      </c>
      <c r="EC21" s="479">
        <f>'Hodnocení '!EC21</f>
        <v>27078.278526243463</v>
      </c>
      <c r="ED21" s="479">
        <f>'Hodnocení '!ED21</f>
        <v>26351.428793362589</v>
      </c>
      <c r="EE21" s="479">
        <f>'Hodnocení '!EE21</f>
        <v>30443.327137576063</v>
      </c>
      <c r="EF21" s="479">
        <f>'Hodnocení '!EF21</f>
        <v>30443.327137576063</v>
      </c>
      <c r="EG21" s="479">
        <f>'Hodnocení '!EG21</f>
        <v>30443.327137576063</v>
      </c>
      <c r="EH21" s="479">
        <f>'Hodnocení '!EH21</f>
        <v>22598.555576029317</v>
      </c>
      <c r="EI21" s="479">
        <f>'Hodnocení '!EI21</f>
        <v>20326.238127544097</v>
      </c>
      <c r="EJ21" s="479">
        <f>'Hodnocení '!EJ21</f>
        <v>28199.372889022721</v>
      </c>
      <c r="EK21" s="479">
        <f>'Hodnocení '!EK21</f>
        <v>0</v>
      </c>
      <c r="EL21" s="479">
        <f>'Hodnocení '!EL21</f>
        <v>0</v>
      </c>
      <c r="EM21" s="479">
        <f>'Hodnocení '!EM21</f>
        <v>0</v>
      </c>
      <c r="EN21" s="479">
        <f>'Hodnocení '!EN21</f>
        <v>26857.228949262786</v>
      </c>
      <c r="EO21" s="479">
        <f>'Hodnocení '!EO21</f>
        <v>30443.327137576063</v>
      </c>
      <c r="EP21" s="479">
        <f>'Hodnocení '!EP21</f>
        <v>26351.428793362589</v>
      </c>
      <c r="EQ21" s="479">
        <f>'Hodnocení '!EQ21</f>
        <v>28199.372889022721</v>
      </c>
      <c r="ER21" s="479">
        <f>'Hodnocení '!ER21</f>
        <v>24125.615822280633</v>
      </c>
      <c r="ES21" s="479">
        <f>'Hodnocení '!ES21</f>
        <v>12128.941016450084</v>
      </c>
      <c r="ET21" s="479">
        <f>'Hodnocení '!ET21</f>
        <v>0</v>
      </c>
      <c r="EU21" s="479">
        <f>'Hodnocení '!EU21</f>
        <v>0</v>
      </c>
      <c r="EV21" s="479">
        <f>'Hodnocení '!EV21</f>
        <v>30443.327137576063</v>
      </c>
      <c r="EW21" s="479">
        <f>'Hodnocení '!EW21</f>
        <v>24125.615822280633</v>
      </c>
      <c r="EX21" s="479">
        <f>'Hodnocení '!EX21</f>
        <v>26842.66744907634</v>
      </c>
      <c r="EY21" s="479">
        <f>'Hodnocení '!EY21</f>
        <v>26857.228949262786</v>
      </c>
      <c r="EZ21" s="479">
        <f>'Hodnocení '!EZ21</f>
        <v>24125.615822280633</v>
      </c>
      <c r="FA21" s="479">
        <f>'Hodnocení '!FA21</f>
        <v>24125.615822280633</v>
      </c>
      <c r="FB21" s="479">
        <f>'Hodnocení '!FB21</f>
        <v>24125.615822280633</v>
      </c>
      <c r="FC21" s="479">
        <f>'Hodnocení '!FC21</f>
        <v>24125.615822280633</v>
      </c>
      <c r="FD21" s="479">
        <f>'Hodnocení '!FD21</f>
        <v>28231.882363638724</v>
      </c>
      <c r="FE21" s="479">
        <f>'Hodnocení '!FE21</f>
        <v>26785.82439344962</v>
      </c>
      <c r="FF21" s="479">
        <f>'Hodnocení '!FF21</f>
        <v>24125.615822280633</v>
      </c>
      <c r="FG21" s="479">
        <f>'Hodnocení '!FG21</f>
        <v>26842.66744907634</v>
      </c>
      <c r="FH21" s="479">
        <f>'Hodnocení '!FH21</f>
        <v>27919.23485565402</v>
      </c>
      <c r="FI21" s="479">
        <f>'Hodnocení '!FI21</f>
        <v>26842.66744907634</v>
      </c>
      <c r="FJ21" s="479">
        <f>'Hodnocení '!FJ21</f>
        <v>24125.615822280633</v>
      </c>
      <c r="FK21" s="479">
        <f>'Hodnocení '!FK21</f>
        <v>24125.615822280633</v>
      </c>
      <c r="FL21" s="479">
        <f>'Hodnocení '!FL21</f>
        <v>28414.477254282185</v>
      </c>
      <c r="FM21" s="479">
        <f>'Hodnocení '!FM21</f>
        <v>24125.615822280633</v>
      </c>
      <c r="FN21" s="479">
        <f>'Hodnocení '!FN21</f>
        <v>24125.615822280633</v>
      </c>
      <c r="FO21" s="479">
        <f>'Hodnocení '!FO21</f>
        <v>26351.428793362589</v>
      </c>
      <c r="FP21" s="479">
        <f>'Hodnocení '!FP21</f>
        <v>26842.66744907634</v>
      </c>
      <c r="FQ21" s="479">
        <f>'Hodnocení '!FQ21</f>
        <v>31986.223177996788</v>
      </c>
      <c r="FR21" s="479">
        <f>'Hodnocení '!FR21</f>
        <v>0</v>
      </c>
      <c r="FS21" s="479">
        <f>'Hodnocení '!FS21</f>
        <v>26785.82439344962</v>
      </c>
      <c r="FT21" s="479">
        <f>'Hodnocení '!FT21</f>
        <v>24125.615822280633</v>
      </c>
      <c r="FU21" s="479">
        <f>'Hodnocení '!FU21</f>
        <v>28414.477254282185</v>
      </c>
      <c r="FV21" s="479">
        <f>'Hodnocení '!FV21</f>
        <v>24125.615822280633</v>
      </c>
      <c r="FW21" s="479">
        <f>'Hodnocení '!FW21</f>
        <v>24125.615822280633</v>
      </c>
      <c r="FX21" s="479">
        <f>'Hodnocení '!FX21</f>
        <v>24125.615822280633</v>
      </c>
      <c r="FY21" s="479">
        <f>'Hodnocení '!FY21</f>
        <v>24125.615822280633</v>
      </c>
      <c r="FZ21" s="479">
        <f>'Hodnocení '!FZ21</f>
        <v>24125.615822280633</v>
      </c>
      <c r="GA21" s="479">
        <f>'Hodnocení '!GA21</f>
        <v>27078.278526243463</v>
      </c>
      <c r="GB21" s="479">
        <f>'Hodnocení '!GB21</f>
        <v>26842.66744907634</v>
      </c>
      <c r="GC21" s="479">
        <f>'Hodnocení '!GC21</f>
        <v>24125.615822280633</v>
      </c>
      <c r="GD21" s="479">
        <f>'Hodnocení '!GD21</f>
        <v>26842.66744907634</v>
      </c>
      <c r="GE21" s="479">
        <f>'Hodnocení '!GE21</f>
        <v>28199.372889022721</v>
      </c>
      <c r="GF21" s="479">
        <f>'Hodnocení '!GF21</f>
        <v>24125.615822280633</v>
      </c>
      <c r="GG21" s="479">
        <f>'Hodnocení '!GG21</f>
        <v>27078.278526243463</v>
      </c>
      <c r="GH21" s="479">
        <f>'Hodnocení '!GH21</f>
        <v>28414.477254282185</v>
      </c>
      <c r="GI21" s="479">
        <f>'Hodnocení '!GI21</f>
        <v>26842.66744907634</v>
      </c>
      <c r="GJ21" s="479">
        <f>'Hodnocení '!GJ21</f>
        <v>24125.615822280633</v>
      </c>
      <c r="GK21" s="479">
        <f>'Hodnocení '!GK21</f>
        <v>27078.278526243463</v>
      </c>
      <c r="GL21" s="479">
        <f>'Hodnocení '!GL21</f>
        <v>28414.477254282185</v>
      </c>
      <c r="GM21" s="479">
        <f>'Hodnocení '!GM21</f>
        <v>24790.173663253689</v>
      </c>
      <c r="GN21" s="479">
        <f>'Hodnocení '!GN21</f>
        <v>26857.228949262786</v>
      </c>
      <c r="GO21" s="479">
        <f>'Hodnocení '!GO21</f>
        <v>26842.66744907634</v>
      </c>
      <c r="GP21" s="479">
        <f>'Hodnocení '!GP21</f>
        <v>24125.615822280633</v>
      </c>
      <c r="GQ21" s="479">
        <f>'Hodnocení '!GQ21</f>
        <v>24125.615822280633</v>
      </c>
      <c r="GR21" s="479">
        <f>'Hodnocení '!GR21</f>
        <v>24125.615822280633</v>
      </c>
      <c r="GS21" s="479">
        <f>'Hodnocení '!GS21</f>
        <v>24125.615822280633</v>
      </c>
      <c r="GT21" s="479">
        <f>'Hodnocení '!GT21</f>
        <v>24125.615822280633</v>
      </c>
      <c r="GU21" s="479">
        <f>'Hodnocení '!GU21</f>
        <v>26351.428793362589</v>
      </c>
      <c r="GV21" s="479">
        <f>'Hodnocení '!GV21</f>
        <v>0</v>
      </c>
      <c r="GW21" s="479">
        <f>'Hodnocení '!GW21</f>
        <v>24125.615822280633</v>
      </c>
      <c r="GX21" s="479">
        <f>'Hodnocení '!GX21</f>
        <v>24125.615822280633</v>
      </c>
      <c r="GY21" s="479">
        <f>'Hodnocení '!GY21</f>
        <v>26842.66744907634</v>
      </c>
      <c r="GZ21" s="479">
        <f>'Hodnocení '!GZ21</f>
        <v>0</v>
      </c>
      <c r="HA21" s="479">
        <f>'Hodnocení '!HA21</f>
        <v>24125.615822280633</v>
      </c>
      <c r="HB21" s="479">
        <f>'Hodnocení '!HB21</f>
        <v>26351.428793362589</v>
      </c>
      <c r="HC21" s="479">
        <f>'Hodnocení '!HC21</f>
        <v>26842.66744907634</v>
      </c>
      <c r="HD21" s="479">
        <f>'Hodnocení '!HD21</f>
        <v>24125.615822280633</v>
      </c>
      <c r="HE21" s="479">
        <f>'Hodnocení '!HE21</f>
        <v>26842.66744907634</v>
      </c>
      <c r="HF21" s="479">
        <f>'Hodnocení '!HF21</f>
        <v>24125.615822280633</v>
      </c>
      <c r="HG21" s="479">
        <f>'Hodnocení '!HG21</f>
        <v>28414.477254282185</v>
      </c>
      <c r="HH21" s="479">
        <f>'Hodnocení '!HH21</f>
        <v>0</v>
      </c>
      <c r="HI21" s="479">
        <f>'Hodnocení '!HI21</f>
        <v>24125.615822280633</v>
      </c>
      <c r="HJ21" s="479">
        <f>'Hodnocení '!HJ21</f>
        <v>28199.372889022721</v>
      </c>
      <c r="HK21" s="479">
        <f>'Hodnocení '!HK21</f>
        <v>24125.615822280633</v>
      </c>
      <c r="HL21" s="479">
        <f>'Hodnocení '!HL21</f>
        <v>30782.909746017394</v>
      </c>
      <c r="HM21" s="479">
        <f>'Hodnocení '!HM21</f>
        <v>31986.223177996788</v>
      </c>
      <c r="HN21" s="479">
        <f>'Hodnocení '!HN21</f>
        <v>19294.107457143255</v>
      </c>
      <c r="HO21" s="479">
        <f>'Hodnocení '!HO21</f>
        <v>28199.372889022721</v>
      </c>
      <c r="HP21" s="479">
        <f>'Hodnocení '!HP21</f>
        <v>30782.909746017394</v>
      </c>
      <c r="HQ21" s="479">
        <f>'Hodnocení '!HQ21</f>
        <v>26351.428793362589</v>
      </c>
      <c r="HR21" s="479">
        <f>'Hodnocení '!HR21</f>
        <v>30782.909746017394</v>
      </c>
      <c r="HS21" s="479">
        <f>'Hodnocení '!HS21</f>
        <v>31986.223177996788</v>
      </c>
      <c r="HT21" s="479">
        <f>'Hodnocení '!HT21</f>
        <v>27919.23485565402</v>
      </c>
      <c r="HU21" s="479">
        <f>'Hodnocení '!HU21</f>
        <v>27919.23485565402</v>
      </c>
      <c r="HV21" s="479">
        <f>'Hodnocení '!HV21</f>
        <v>26842.66744907634</v>
      </c>
      <c r="HW21" s="479">
        <f>'Hodnocení '!HW21</f>
        <v>26842.66744907634</v>
      </c>
      <c r="HX21" s="479">
        <f>'Hodnocení '!HX21</f>
        <v>27919.23485565402</v>
      </c>
      <c r="HY21" s="479">
        <f>'Hodnocení '!HY21</f>
        <v>26842.66744907634</v>
      </c>
      <c r="HZ21" s="479">
        <f>'Hodnocení '!HZ21</f>
        <v>26842.66744907634</v>
      </c>
      <c r="IA21" s="479">
        <f>'Hodnocení '!IA21</f>
        <v>26842.66744907634</v>
      </c>
      <c r="IB21" s="479">
        <f>'Hodnocení '!IB21</f>
        <v>26842.66744907634</v>
      </c>
      <c r="IC21" s="479">
        <f>'Hodnocení '!IC21</f>
        <v>26842.66744907634</v>
      </c>
      <c r="ID21" s="479">
        <f>'Hodnocení '!ID21</f>
        <v>27919.23485565402</v>
      </c>
      <c r="IE21" s="479">
        <f>'Hodnocení '!IE21</f>
        <v>26842.66744907634</v>
      </c>
      <c r="IF21" s="479">
        <f>'Hodnocení '!IF21</f>
        <v>26842.66744907634</v>
      </c>
      <c r="IG21" s="479">
        <f>'Hodnocení '!IG21</f>
        <v>0</v>
      </c>
      <c r="IH21" s="479">
        <f>'Hodnocení '!IH21</f>
        <v>30782.909746017394</v>
      </c>
      <c r="II21" s="479">
        <f>'Hodnocení '!II21</f>
        <v>27919.23485565402</v>
      </c>
      <c r="IJ21" s="479">
        <f>'Hodnocení '!IJ21</f>
        <v>31986.223177996788</v>
      </c>
      <c r="IK21" s="479">
        <f>'Hodnocení '!IK21</f>
        <v>28199.372889022721</v>
      </c>
      <c r="IL21" s="479">
        <f>'Hodnocení '!IL21</f>
        <v>26842.66744907634</v>
      </c>
      <c r="IM21" s="479">
        <f>'Hodnocení '!IM21</f>
        <v>27078.278526243463</v>
      </c>
      <c r="IN21" s="479">
        <f>'Hodnocení '!IN21</f>
        <v>26842.66744907634</v>
      </c>
      <c r="IO21" s="479">
        <f>'Hodnocení '!IO21</f>
        <v>27919.23485565402</v>
      </c>
      <c r="IP21" s="479">
        <f>'Hodnocení '!IP21</f>
        <v>30782.909746017394</v>
      </c>
      <c r="IQ21" s="479">
        <f>'Hodnocení '!IQ21</f>
        <v>30782.909746017394</v>
      </c>
      <c r="IR21" s="479">
        <f>'Hodnocení '!IR21</f>
        <v>31986.223177996788</v>
      </c>
      <c r="IS21" s="479">
        <f>'Hodnocení '!IS21</f>
        <v>26842.66744907634</v>
      </c>
      <c r="IT21" s="479">
        <f>'Hodnocení '!IT21</f>
        <v>27919.23485565402</v>
      </c>
      <c r="IU21" s="479">
        <f>'Hodnocení '!IU21</f>
        <v>27078.278526243463</v>
      </c>
      <c r="IV21" s="479">
        <f>'Hodnocení '!IV21</f>
        <v>26842.66744907634</v>
      </c>
      <c r="IW21" s="479">
        <f>'Hodnocení '!IW21</f>
        <v>27919.23485565402</v>
      </c>
      <c r="IX21" s="479">
        <f>'Hodnocení '!IX21</f>
        <v>31986.223177996788</v>
      </c>
      <c r="IY21" s="479">
        <f>'Hodnocení '!IY21</f>
        <v>30782.909746017394</v>
      </c>
      <c r="IZ21" s="479">
        <f>'Hodnocení '!IZ21</f>
        <v>26842.66744907634</v>
      </c>
      <c r="JA21" s="479">
        <f>'Hodnocení '!JA21</f>
        <v>30443.327137576063</v>
      </c>
      <c r="JB21" s="479">
        <f>'Hodnocení '!JB21</f>
        <v>38540.08184882041</v>
      </c>
      <c r="JC21" s="479">
        <f>'Hodnocení '!JC21</f>
        <v>24790.173663253689</v>
      </c>
      <c r="JD21" s="479">
        <f>'Hodnocení '!JD21</f>
        <v>28199.372889022721</v>
      </c>
      <c r="JE21" s="479">
        <f>'Hodnocení '!JE21</f>
        <v>27078.278526243463</v>
      </c>
      <c r="JF21" s="479">
        <f>'Hodnocení '!JF21</f>
        <v>30782.909746017394</v>
      </c>
      <c r="JG21" s="479">
        <f>'Hodnocení '!JG21</f>
        <v>30782.909746017394</v>
      </c>
      <c r="JH21" s="780">
        <f>'Hodnocení '!JH21</f>
        <v>19780.551736929385</v>
      </c>
      <c r="JI21" s="315"/>
    </row>
    <row r="22" spans="1:276" hidden="1" x14ac:dyDescent="0.25">
      <c r="A22" s="313" t="s">
        <v>2444</v>
      </c>
      <c r="B22" s="733" t="s">
        <v>2461</v>
      </c>
      <c r="C22" s="779">
        <f>'Hodnocení '!C22</f>
        <v>25494.782664826929</v>
      </c>
      <c r="D22" s="479">
        <f>'Hodnocení '!D22</f>
        <v>25494.782664826929</v>
      </c>
      <c r="E22" s="479">
        <f>'Hodnocení '!E22</f>
        <v>25494.782664826929</v>
      </c>
      <c r="F22" s="479">
        <f>'Hodnocení '!F22</f>
        <v>23004.176189640086</v>
      </c>
      <c r="G22" s="479">
        <f>'Hodnocení '!G22</f>
        <v>26362.049149868351</v>
      </c>
      <c r="H22" s="479">
        <f>'Hodnocení '!H22</f>
        <v>0</v>
      </c>
      <c r="I22" s="479">
        <f>'Hodnocení '!I22</f>
        <v>26837.070867899798</v>
      </c>
      <c r="J22" s="479">
        <f>'Hodnocení '!J22</f>
        <v>26837.070867899798</v>
      </c>
      <c r="K22" s="479">
        <f>'Hodnocení '!K22</f>
        <v>26681.862427889606</v>
      </c>
      <c r="L22" s="479">
        <f>'Hodnocení '!L22</f>
        <v>0</v>
      </c>
      <c r="M22" s="479">
        <f>'Hodnocení '!M22</f>
        <v>23004.176189640086</v>
      </c>
      <c r="N22" s="479">
        <f>'Hodnocení '!N22</f>
        <v>24846.947441386379</v>
      </c>
      <c r="O22" s="479">
        <f>'Hodnocení '!O22</f>
        <v>31127.953171467958</v>
      </c>
      <c r="P22" s="479">
        <f>'Hodnocení '!P22</f>
        <v>25112.661826156243</v>
      </c>
      <c r="Q22" s="479">
        <f>'Hodnocení '!Q22</f>
        <v>31127.953171467958</v>
      </c>
      <c r="R22" s="479">
        <f>'Hodnocení '!R22</f>
        <v>31127.953171467958</v>
      </c>
      <c r="S22" s="479">
        <f>'Hodnocení '!S22</f>
        <v>31127.953171467958</v>
      </c>
      <c r="T22" s="479">
        <f>'Hodnocení '!T22</f>
        <v>31127.953171467958</v>
      </c>
      <c r="U22" s="479">
        <f>'Hodnocení '!U22</f>
        <v>31127.953171467958</v>
      </c>
      <c r="V22" s="479">
        <f>'Hodnocení '!V22</f>
        <v>24448.908771949045</v>
      </c>
      <c r="W22" s="479">
        <f>'Hodnocení '!W22</f>
        <v>26362.049149868351</v>
      </c>
      <c r="X22" s="479">
        <f>'Hodnocení '!X22</f>
        <v>26362.049149868351</v>
      </c>
      <c r="Y22" s="479">
        <f>'Hodnocení '!Y22</f>
        <v>26102.573409149816</v>
      </c>
      <c r="Z22" s="479">
        <f>'Hodnocení '!Z22</f>
        <v>26849.811948652292</v>
      </c>
      <c r="AA22" s="479">
        <f>'Hodnocení '!AA22</f>
        <v>26364.572073040395</v>
      </c>
      <c r="AB22" s="479">
        <f>'Hodnocení '!AB22</f>
        <v>23004.176189640086</v>
      </c>
      <c r="AC22" s="479">
        <f>'Hodnocení '!AC22</f>
        <v>24846.947441386379</v>
      </c>
      <c r="AD22" s="479">
        <f>'Hodnocení '!AD22</f>
        <v>31439.673906348191</v>
      </c>
      <c r="AE22" s="479">
        <f>'Hodnocení '!AE22</f>
        <v>26364.572073040395</v>
      </c>
      <c r="AF22" s="479">
        <f>'Hodnocení '!AF22</f>
        <v>26837.070867899798</v>
      </c>
      <c r="AG22" s="479">
        <f>'Hodnocení '!AG22</f>
        <v>24448.908771949045</v>
      </c>
      <c r="AH22" s="479">
        <f>'Hodnocení '!AH22</f>
        <v>26362.049149868351</v>
      </c>
      <c r="AI22" s="479">
        <f>'Hodnocení '!AI22</f>
        <v>25494.782664826929</v>
      </c>
      <c r="AJ22" s="479">
        <f>'Hodnocení '!AJ22</f>
        <v>24602.206032430611</v>
      </c>
      <c r="AK22" s="479">
        <f>'Hodnocení '!AK22</f>
        <v>31127.953171467958</v>
      </c>
      <c r="AL22" s="479">
        <f>'Hodnocení '!AL22</f>
        <v>26364.572073040395</v>
      </c>
      <c r="AM22" s="479">
        <f>'Hodnocení '!AM22</f>
        <v>31127.953171467958</v>
      </c>
      <c r="AN22" s="479">
        <f>'Hodnocení '!AN22</f>
        <v>31127.953171467958</v>
      </c>
      <c r="AO22" s="479">
        <f>'Hodnocení '!AO22</f>
        <v>26102.573409149816</v>
      </c>
      <c r="AP22" s="479">
        <f>'Hodnocení '!AP22</f>
        <v>23004.176189640086</v>
      </c>
      <c r="AQ22" s="479">
        <f>'Hodnocení '!AQ22</f>
        <v>31127.953171467958</v>
      </c>
      <c r="AR22" s="479">
        <f>'Hodnocení '!AR22</f>
        <v>31127.953171467958</v>
      </c>
      <c r="AS22" s="479">
        <f>'Hodnocení '!AS22</f>
        <v>31127.953171467958</v>
      </c>
      <c r="AT22" s="479">
        <f>'Hodnocení '!AT22</f>
        <v>23004.176189640086</v>
      </c>
      <c r="AU22" s="479">
        <f>'Hodnocení '!AU22</f>
        <v>25287.261406181333</v>
      </c>
      <c r="AV22" s="479">
        <f>'Hodnocení '!AV22</f>
        <v>26364.572073040395</v>
      </c>
      <c r="AW22" s="479">
        <f>'Hodnocení '!AW22</f>
        <v>25293.255114356805</v>
      </c>
      <c r="AX22" s="479">
        <f>'Hodnocení '!AX22</f>
        <v>26102.573409149816</v>
      </c>
      <c r="AY22" s="479">
        <f>'Hodnocení '!AY22</f>
        <v>26362.049149868351</v>
      </c>
      <c r="AZ22" s="479">
        <f>'Hodnocení '!AZ22</f>
        <v>28419.032814348084</v>
      </c>
      <c r="BA22" s="479">
        <f>'Hodnocení '!BA22</f>
        <v>0</v>
      </c>
      <c r="BB22" s="479">
        <f>'Hodnocení '!BB22</f>
        <v>31127.953171467958</v>
      </c>
      <c r="BC22" s="479">
        <f>'Hodnocení '!BC22</f>
        <v>32243.952958531994</v>
      </c>
      <c r="BD22" s="479">
        <f>'Hodnocení '!BD22</f>
        <v>31127.953171467958</v>
      </c>
      <c r="BE22" s="479">
        <f>'Hodnocení '!BE22</f>
        <v>26837.070867899798</v>
      </c>
      <c r="BF22" s="479">
        <f>'Hodnocení '!BF22</f>
        <v>0</v>
      </c>
      <c r="BG22" s="479">
        <f>'Hodnocení '!BG22</f>
        <v>0</v>
      </c>
      <c r="BH22" s="479">
        <f>'Hodnocení '!BH22</f>
        <v>0</v>
      </c>
      <c r="BI22" s="479">
        <f>'Hodnocení '!BI22</f>
        <v>24181.169027937369</v>
      </c>
      <c r="BJ22" s="479">
        <f>'Hodnocení '!BJ22</f>
        <v>24448.908771949045</v>
      </c>
      <c r="BK22" s="479">
        <f>'Hodnocení '!BK22</f>
        <v>26837.070867899798</v>
      </c>
      <c r="BL22" s="479">
        <f>'Hodnocení '!BL22</f>
        <v>0</v>
      </c>
      <c r="BM22" s="479">
        <f>'Hodnocení '!BM22</f>
        <v>26837.070867899798</v>
      </c>
      <c r="BN22" s="479">
        <f>'Hodnocení '!BN22</f>
        <v>31127.953171467958</v>
      </c>
      <c r="BO22" s="479">
        <f>'Hodnocení '!BO22</f>
        <v>32219.561369205225</v>
      </c>
      <c r="BP22" s="479">
        <f>'Hodnocení '!BP22</f>
        <v>26362.049149868351</v>
      </c>
      <c r="BQ22" s="479">
        <f>'Hodnocení '!BQ22</f>
        <v>26837.070867899798</v>
      </c>
      <c r="BR22" s="479">
        <f>'Hodnocení '!BR22</f>
        <v>31127.953171467958</v>
      </c>
      <c r="BS22" s="479">
        <f>'Hodnocení '!BS22</f>
        <v>31127.953171467958</v>
      </c>
      <c r="BT22" s="479">
        <f>'Hodnocení '!BT22</f>
        <v>31127.953171467958</v>
      </c>
      <c r="BU22" s="479">
        <f>'Hodnocení '!BU22</f>
        <v>24448.908771949045</v>
      </c>
      <c r="BV22" s="479">
        <f>'Hodnocení '!BV22</f>
        <v>26102.573409149816</v>
      </c>
      <c r="BW22" s="479">
        <f>'Hodnocení '!BW22</f>
        <v>31127.953171467958</v>
      </c>
      <c r="BX22" s="479">
        <f>'Hodnocení '!BX22</f>
        <v>24448.908771949045</v>
      </c>
      <c r="BY22" s="479">
        <f>'Hodnocení '!BY22</f>
        <v>24448.908771949045</v>
      </c>
      <c r="BZ22" s="479">
        <f>'Hodnocení '!BZ22</f>
        <v>24208.019142085453</v>
      </c>
      <c r="CA22" s="479">
        <f>'Hodnocení '!CA22</f>
        <v>0</v>
      </c>
      <c r="CB22" s="479">
        <f>'Hodnocení '!CB22</f>
        <v>28276.910051176939</v>
      </c>
      <c r="CC22" s="479">
        <f>'Hodnocení '!CC22</f>
        <v>31127.953171467958</v>
      </c>
      <c r="CD22" s="479">
        <f>'Hodnocení '!CD22</f>
        <v>31127.953171467958</v>
      </c>
      <c r="CE22" s="479">
        <f>'Hodnocení '!CE22</f>
        <v>24448.908771949045</v>
      </c>
      <c r="CF22" s="479">
        <f>'Hodnocení '!CF22</f>
        <v>31439.673906348191</v>
      </c>
      <c r="CG22" s="479">
        <f>'Hodnocení '!CG22</f>
        <v>27736.496615082382</v>
      </c>
      <c r="CH22" s="479">
        <f>'Hodnocení '!CH22</f>
        <v>27736.496615082382</v>
      </c>
      <c r="CI22" s="479">
        <f>'Hodnocení '!CI22</f>
        <v>34616.353338856919</v>
      </c>
      <c r="CJ22" s="479">
        <f>'Hodnocení '!CJ22</f>
        <v>28113.406621530874</v>
      </c>
      <c r="CK22" s="479">
        <f>'Hodnocení '!CK22</f>
        <v>29279.931534256906</v>
      </c>
      <c r="CL22" s="479">
        <f>'Hodnocení '!CL22</f>
        <v>26837.070867899798</v>
      </c>
      <c r="CM22" s="479">
        <f>'Hodnocení '!CM22</f>
        <v>24448.908771949045</v>
      </c>
      <c r="CN22" s="479">
        <f>'Hodnocení '!CN22</f>
        <v>25287.261406181333</v>
      </c>
      <c r="CO22" s="479">
        <f>'Hodnocení '!CO22</f>
        <v>25287.261406181333</v>
      </c>
      <c r="CP22" s="479">
        <f>'Hodnocení '!CP22</f>
        <v>25287.261406181333</v>
      </c>
      <c r="CQ22" s="479">
        <f>'Hodnocení '!CQ22</f>
        <v>26364.572073040395</v>
      </c>
      <c r="CR22" s="479">
        <f>'Hodnocení '!CR22</f>
        <v>24448.908771949045</v>
      </c>
      <c r="CS22" s="479">
        <f>'Hodnocení '!CS22</f>
        <v>0</v>
      </c>
      <c r="CT22" s="479">
        <f>'Hodnocení '!CT22</f>
        <v>27736.496615082382</v>
      </c>
      <c r="CU22" s="479">
        <f>'Hodnocení '!CU22</f>
        <v>24448.908771949045</v>
      </c>
      <c r="CV22" s="479">
        <f>'Hodnocení '!CV22</f>
        <v>25494.782664826929</v>
      </c>
      <c r="CW22" s="479">
        <f>'Hodnocení '!CW22</f>
        <v>0</v>
      </c>
      <c r="CX22" s="479">
        <f>'Hodnocení '!CX22</f>
        <v>23004.176189640086</v>
      </c>
      <c r="CY22" s="479">
        <f>'Hodnocení '!CY22</f>
        <v>24448.908771949045</v>
      </c>
      <c r="CZ22" s="479">
        <f>'Hodnocení '!CZ22</f>
        <v>26364.572073040395</v>
      </c>
      <c r="DA22" s="479">
        <f>'Hodnocení '!DA22</f>
        <v>0</v>
      </c>
      <c r="DB22" s="479">
        <f>'Hodnocení '!DB22</f>
        <v>31127.953171467958</v>
      </c>
      <c r="DC22" s="479">
        <f>'Hodnocení '!DC22</f>
        <v>25287.261406181333</v>
      </c>
      <c r="DD22" s="479">
        <f>'Hodnocení '!DD22</f>
        <v>0</v>
      </c>
      <c r="DE22" s="479">
        <f>'Hodnocení '!DE22</f>
        <v>0</v>
      </c>
      <c r="DF22" s="479">
        <f>'Hodnocení '!DF22</f>
        <v>0</v>
      </c>
      <c r="DG22" s="479">
        <f>'Hodnocení '!DG22</f>
        <v>0</v>
      </c>
      <c r="DH22" s="479">
        <f>'Hodnocení '!DH22</f>
        <v>24581.975096862661</v>
      </c>
      <c r="DI22" s="479">
        <f>'Hodnocení '!DI22</f>
        <v>25293.255114356805</v>
      </c>
      <c r="DJ22" s="479">
        <f>'Hodnocení '!DJ22</f>
        <v>26837.070867899798</v>
      </c>
      <c r="DK22" s="479">
        <f>'Hodnocení '!DK22</f>
        <v>26837.070867899798</v>
      </c>
      <c r="DL22" s="479">
        <f>'Hodnocení '!DL22</f>
        <v>24448.908771949045</v>
      </c>
      <c r="DM22" s="479">
        <f>'Hodnocení '!DM22</f>
        <v>23004.176189640086</v>
      </c>
      <c r="DN22" s="479">
        <f>'Hodnocení '!DN22</f>
        <v>25287.261406181333</v>
      </c>
      <c r="DO22" s="479">
        <f>'Hodnocení '!DO22</f>
        <v>0</v>
      </c>
      <c r="DP22" s="479">
        <f>'Hodnocení '!DP22</f>
        <v>25287.261406181333</v>
      </c>
      <c r="DQ22" s="479">
        <f>'Hodnocení '!DQ22</f>
        <v>26364.572073040395</v>
      </c>
      <c r="DR22" s="479">
        <f>'Hodnocení '!DR22</f>
        <v>26364.572073040395</v>
      </c>
      <c r="DS22" s="479">
        <f>'Hodnocení '!DS22</f>
        <v>0</v>
      </c>
      <c r="DT22" s="479">
        <f>'Hodnocení '!DT22</f>
        <v>28276.910051176939</v>
      </c>
      <c r="DU22" s="479">
        <f>'Hodnocení '!DU22</f>
        <v>24581.975096862661</v>
      </c>
      <c r="DV22" s="479">
        <f>'Hodnocení '!DV22</f>
        <v>28276.910051176939</v>
      </c>
      <c r="DW22" s="479">
        <f>'Hodnocení '!DW22</f>
        <v>25293.255114356805</v>
      </c>
      <c r="DX22" s="479">
        <f>'Hodnocení '!DX22</f>
        <v>26837.070867899798</v>
      </c>
      <c r="DY22" s="479">
        <f>'Hodnocení '!DY22</f>
        <v>0</v>
      </c>
      <c r="DZ22" s="479">
        <f>'Hodnocení '!DZ22</f>
        <v>0</v>
      </c>
      <c r="EA22" s="479">
        <f>'Hodnocení '!EA22</f>
        <v>23004.176189640086</v>
      </c>
      <c r="EB22" s="479">
        <f>'Hodnocení '!EB22</f>
        <v>23004.176189640086</v>
      </c>
      <c r="EC22" s="479">
        <f>'Hodnocení '!EC22</f>
        <v>26102.573409149816</v>
      </c>
      <c r="ED22" s="479">
        <f>'Hodnocení '!ED22</f>
        <v>26362.049149868351</v>
      </c>
      <c r="EE22" s="479">
        <f>'Hodnocení '!EE22</f>
        <v>31127.953171467958</v>
      </c>
      <c r="EF22" s="479">
        <f>'Hodnocení '!EF22</f>
        <v>31127.953171467958</v>
      </c>
      <c r="EG22" s="479">
        <f>'Hodnocení '!EG22</f>
        <v>31127.953171467958</v>
      </c>
      <c r="EH22" s="479">
        <f>'Hodnocení '!EH22</f>
        <v>24910.841440127879</v>
      </c>
      <c r="EI22" s="479">
        <f>'Hodnocení '!EI22</f>
        <v>25112.661826156243</v>
      </c>
      <c r="EJ22" s="479">
        <f>'Hodnocení '!EJ22</f>
        <v>26837.070867899798</v>
      </c>
      <c r="EK22" s="479">
        <f>'Hodnocení '!EK22</f>
        <v>0</v>
      </c>
      <c r="EL22" s="479">
        <f>'Hodnocení '!EL22</f>
        <v>0</v>
      </c>
      <c r="EM22" s="479">
        <f>'Hodnocení '!EM22</f>
        <v>0</v>
      </c>
      <c r="EN22" s="479">
        <f>'Hodnocení '!EN22</f>
        <v>26364.572073040395</v>
      </c>
      <c r="EO22" s="479">
        <f>'Hodnocení '!EO22</f>
        <v>31127.953171467958</v>
      </c>
      <c r="EP22" s="479">
        <f>'Hodnocení '!EP22</f>
        <v>26362.049149868351</v>
      </c>
      <c r="EQ22" s="479">
        <f>'Hodnocení '!EQ22</f>
        <v>26837.070867899798</v>
      </c>
      <c r="ER22" s="479">
        <f>'Hodnocení '!ER22</f>
        <v>24448.908771949045</v>
      </c>
      <c r="ES22" s="479">
        <f>'Hodnocení '!ES22</f>
        <v>24208.019142085453</v>
      </c>
      <c r="ET22" s="479">
        <f>'Hodnocení '!ET22</f>
        <v>0</v>
      </c>
      <c r="EU22" s="479">
        <f>'Hodnocení '!EU22</f>
        <v>0</v>
      </c>
      <c r="EV22" s="479">
        <f>'Hodnocení '!EV22</f>
        <v>31127.953171467958</v>
      </c>
      <c r="EW22" s="479">
        <f>'Hodnocení '!EW22</f>
        <v>24448.908771949045</v>
      </c>
      <c r="EX22" s="479">
        <f>'Hodnocení '!EX22</f>
        <v>25494.782664826929</v>
      </c>
      <c r="EY22" s="479">
        <f>'Hodnocení '!EY22</f>
        <v>26364.572073040395</v>
      </c>
      <c r="EZ22" s="479">
        <f>'Hodnocení '!EZ22</f>
        <v>24448.908771949045</v>
      </c>
      <c r="FA22" s="479">
        <f>'Hodnocení '!FA22</f>
        <v>24448.908771949045</v>
      </c>
      <c r="FB22" s="479">
        <f>'Hodnocení '!FB22</f>
        <v>24448.908771949045</v>
      </c>
      <c r="FC22" s="479">
        <f>'Hodnocení '!FC22</f>
        <v>24448.908771949045</v>
      </c>
      <c r="FD22" s="479">
        <f>'Hodnocení '!FD22</f>
        <v>27736.496615082382</v>
      </c>
      <c r="FE22" s="479">
        <f>'Hodnocení '!FE22</f>
        <v>29279.931534256906</v>
      </c>
      <c r="FF22" s="479">
        <f>'Hodnocení '!FF22</f>
        <v>24448.908771949045</v>
      </c>
      <c r="FG22" s="479">
        <f>'Hodnocení '!FG22</f>
        <v>25494.782664826929</v>
      </c>
      <c r="FH22" s="479">
        <f>'Hodnocení '!FH22</f>
        <v>24602.206032430611</v>
      </c>
      <c r="FI22" s="479">
        <f>'Hodnocení '!FI22</f>
        <v>25494.782664826929</v>
      </c>
      <c r="FJ22" s="479">
        <f>'Hodnocení '!FJ22</f>
        <v>24448.908771949045</v>
      </c>
      <c r="FK22" s="479">
        <f>'Hodnocení '!FK22</f>
        <v>24448.908771949045</v>
      </c>
      <c r="FL22" s="479">
        <f>'Hodnocení '!FL22</f>
        <v>24846.947441386379</v>
      </c>
      <c r="FM22" s="479">
        <f>'Hodnocení '!FM22</f>
        <v>24448.908771949045</v>
      </c>
      <c r="FN22" s="479">
        <f>'Hodnocení '!FN22</f>
        <v>24448.908771949045</v>
      </c>
      <c r="FO22" s="479">
        <f>'Hodnocení '!FO22</f>
        <v>26362.049149868351</v>
      </c>
      <c r="FP22" s="479">
        <f>'Hodnocení '!FP22</f>
        <v>25494.782664826929</v>
      </c>
      <c r="FQ22" s="479">
        <f>'Hodnocení '!FQ22</f>
        <v>28276.910051176939</v>
      </c>
      <c r="FR22" s="479">
        <f>'Hodnocení '!FR22</f>
        <v>0</v>
      </c>
      <c r="FS22" s="479">
        <f>'Hodnocení '!FS22</f>
        <v>29279.931534256906</v>
      </c>
      <c r="FT22" s="479">
        <f>'Hodnocení '!FT22</f>
        <v>24448.908771949045</v>
      </c>
      <c r="FU22" s="479">
        <f>'Hodnocení '!FU22</f>
        <v>24846.947441386379</v>
      </c>
      <c r="FV22" s="479">
        <f>'Hodnocení '!FV22</f>
        <v>24448.908771949045</v>
      </c>
      <c r="FW22" s="479">
        <f>'Hodnocení '!FW22</f>
        <v>24448.908771949045</v>
      </c>
      <c r="FX22" s="479">
        <f>'Hodnocení '!FX22</f>
        <v>24448.908771949045</v>
      </c>
      <c r="FY22" s="479">
        <f>'Hodnocení '!FY22</f>
        <v>24448.908771949045</v>
      </c>
      <c r="FZ22" s="479">
        <f>'Hodnocení '!FZ22</f>
        <v>24448.908771949045</v>
      </c>
      <c r="GA22" s="479">
        <f>'Hodnocení '!GA22</f>
        <v>26102.573409149816</v>
      </c>
      <c r="GB22" s="479">
        <f>'Hodnocení '!GB22</f>
        <v>25494.782664826929</v>
      </c>
      <c r="GC22" s="479">
        <f>'Hodnocení '!GC22</f>
        <v>24448.908771949045</v>
      </c>
      <c r="GD22" s="479">
        <f>'Hodnocení '!GD22</f>
        <v>25494.782664826929</v>
      </c>
      <c r="GE22" s="479">
        <f>'Hodnocení '!GE22</f>
        <v>26837.070867899798</v>
      </c>
      <c r="GF22" s="479">
        <f>'Hodnocení '!GF22</f>
        <v>24448.908771949045</v>
      </c>
      <c r="GG22" s="479">
        <f>'Hodnocení '!GG22</f>
        <v>26102.573409149816</v>
      </c>
      <c r="GH22" s="479">
        <f>'Hodnocení '!GH22</f>
        <v>24846.947441386379</v>
      </c>
      <c r="GI22" s="479">
        <f>'Hodnocení '!GI22</f>
        <v>25494.782664826929</v>
      </c>
      <c r="GJ22" s="479">
        <f>'Hodnocení '!GJ22</f>
        <v>24448.908771949045</v>
      </c>
      <c r="GK22" s="479">
        <f>'Hodnocení '!GK22</f>
        <v>26102.573409149816</v>
      </c>
      <c r="GL22" s="479">
        <f>'Hodnocení '!GL22</f>
        <v>24846.947441386379</v>
      </c>
      <c r="GM22" s="479">
        <f>'Hodnocení '!GM22</f>
        <v>25287.261406181333</v>
      </c>
      <c r="GN22" s="479">
        <f>'Hodnocení '!GN22</f>
        <v>26364.572073040395</v>
      </c>
      <c r="GO22" s="479">
        <f>'Hodnocení '!GO22</f>
        <v>25494.782664826929</v>
      </c>
      <c r="GP22" s="479">
        <f>'Hodnocení '!GP22</f>
        <v>24448.908771949045</v>
      </c>
      <c r="GQ22" s="479">
        <f>'Hodnocení '!GQ22</f>
        <v>24448.908771949045</v>
      </c>
      <c r="GR22" s="479">
        <f>'Hodnocení '!GR22</f>
        <v>24448.908771949045</v>
      </c>
      <c r="GS22" s="479">
        <f>'Hodnocení '!GS22</f>
        <v>24448.908771949045</v>
      </c>
      <c r="GT22" s="479">
        <f>'Hodnocení '!GT22</f>
        <v>24448.908771949045</v>
      </c>
      <c r="GU22" s="479">
        <f>'Hodnocení '!GU22</f>
        <v>26362.049149868351</v>
      </c>
      <c r="GV22" s="479">
        <f>'Hodnocení '!GV22</f>
        <v>0</v>
      </c>
      <c r="GW22" s="479">
        <f>'Hodnocení '!GW22</f>
        <v>24448.908771949045</v>
      </c>
      <c r="GX22" s="479">
        <f>'Hodnocení '!GX22</f>
        <v>24448.908771949045</v>
      </c>
      <c r="GY22" s="479">
        <f>'Hodnocení '!GY22</f>
        <v>25494.782664826929</v>
      </c>
      <c r="GZ22" s="479">
        <f>'Hodnocení '!GZ22</f>
        <v>0</v>
      </c>
      <c r="HA22" s="479">
        <f>'Hodnocení '!HA22</f>
        <v>24448.908771949045</v>
      </c>
      <c r="HB22" s="479">
        <f>'Hodnocení '!HB22</f>
        <v>26362.049149868351</v>
      </c>
      <c r="HC22" s="479">
        <f>'Hodnocení '!HC22</f>
        <v>25494.782664826929</v>
      </c>
      <c r="HD22" s="479">
        <f>'Hodnocení '!HD22</f>
        <v>24448.908771949045</v>
      </c>
      <c r="HE22" s="479">
        <f>'Hodnocení '!HE22</f>
        <v>25494.782664826929</v>
      </c>
      <c r="HF22" s="479">
        <f>'Hodnocení '!HF22</f>
        <v>24448.908771949045</v>
      </c>
      <c r="HG22" s="479">
        <f>'Hodnocení '!HG22</f>
        <v>24846.947441386379</v>
      </c>
      <c r="HH22" s="479">
        <f>'Hodnocení '!HH22</f>
        <v>0</v>
      </c>
      <c r="HI22" s="479">
        <f>'Hodnocení '!HI22</f>
        <v>24448.908771949045</v>
      </c>
      <c r="HJ22" s="479">
        <f>'Hodnocení '!HJ22</f>
        <v>26837.070867899798</v>
      </c>
      <c r="HK22" s="479">
        <f>'Hodnocení '!HK22</f>
        <v>24448.908771949045</v>
      </c>
      <c r="HL22" s="479">
        <f>'Hodnocení '!HL22</f>
        <v>26849.811948652292</v>
      </c>
      <c r="HM22" s="479">
        <f>'Hodnocení '!HM22</f>
        <v>28276.910051176939</v>
      </c>
      <c r="HN22" s="479">
        <f>'Hodnocení '!HN22</f>
        <v>25293.255114356805</v>
      </c>
      <c r="HO22" s="479">
        <f>'Hodnocení '!HO22</f>
        <v>26837.070867899798</v>
      </c>
      <c r="HP22" s="479">
        <f>'Hodnocení '!HP22</f>
        <v>26849.811948652292</v>
      </c>
      <c r="HQ22" s="479">
        <f>'Hodnocení '!HQ22</f>
        <v>26362.049149868351</v>
      </c>
      <c r="HR22" s="479">
        <f>'Hodnocení '!HR22</f>
        <v>26849.811948652292</v>
      </c>
      <c r="HS22" s="479">
        <f>'Hodnocení '!HS22</f>
        <v>28276.910051176939</v>
      </c>
      <c r="HT22" s="479">
        <f>'Hodnocení '!HT22</f>
        <v>24602.206032430611</v>
      </c>
      <c r="HU22" s="479">
        <f>'Hodnocení '!HU22</f>
        <v>24602.206032430611</v>
      </c>
      <c r="HV22" s="479">
        <f>'Hodnocení '!HV22</f>
        <v>25494.782664826929</v>
      </c>
      <c r="HW22" s="479">
        <f>'Hodnocení '!HW22</f>
        <v>25494.782664826929</v>
      </c>
      <c r="HX22" s="479">
        <f>'Hodnocení '!HX22</f>
        <v>24602.206032430611</v>
      </c>
      <c r="HY22" s="479">
        <f>'Hodnocení '!HY22</f>
        <v>25494.782664826929</v>
      </c>
      <c r="HZ22" s="479">
        <f>'Hodnocení '!HZ22</f>
        <v>25494.782664826929</v>
      </c>
      <c r="IA22" s="479">
        <f>'Hodnocení '!IA22</f>
        <v>25494.782664826929</v>
      </c>
      <c r="IB22" s="479">
        <f>'Hodnocení '!IB22</f>
        <v>25494.782664826929</v>
      </c>
      <c r="IC22" s="479">
        <f>'Hodnocení '!IC22</f>
        <v>25494.782664826929</v>
      </c>
      <c r="ID22" s="479">
        <f>'Hodnocení '!ID22</f>
        <v>24602.206032430611</v>
      </c>
      <c r="IE22" s="479">
        <f>'Hodnocení '!IE22</f>
        <v>25494.782664826929</v>
      </c>
      <c r="IF22" s="479">
        <f>'Hodnocení '!IF22</f>
        <v>25494.782664826929</v>
      </c>
      <c r="IG22" s="479">
        <f>'Hodnocení '!IG22</f>
        <v>0</v>
      </c>
      <c r="IH22" s="479">
        <f>'Hodnocení '!IH22</f>
        <v>26849.811948652292</v>
      </c>
      <c r="II22" s="479">
        <f>'Hodnocení '!II22</f>
        <v>24602.206032430611</v>
      </c>
      <c r="IJ22" s="479">
        <f>'Hodnocení '!IJ22</f>
        <v>28276.910051176939</v>
      </c>
      <c r="IK22" s="479">
        <f>'Hodnocení '!IK22</f>
        <v>26837.070867899798</v>
      </c>
      <c r="IL22" s="479">
        <f>'Hodnocení '!IL22</f>
        <v>25494.782664826929</v>
      </c>
      <c r="IM22" s="479">
        <f>'Hodnocení '!IM22</f>
        <v>26102.573409149816</v>
      </c>
      <c r="IN22" s="479">
        <f>'Hodnocení '!IN22</f>
        <v>25494.782664826929</v>
      </c>
      <c r="IO22" s="479">
        <f>'Hodnocení '!IO22</f>
        <v>24602.206032430611</v>
      </c>
      <c r="IP22" s="479">
        <f>'Hodnocení '!IP22</f>
        <v>26849.811948652292</v>
      </c>
      <c r="IQ22" s="479">
        <f>'Hodnocení '!IQ22</f>
        <v>26849.811948652292</v>
      </c>
      <c r="IR22" s="479">
        <f>'Hodnocení '!IR22</f>
        <v>28276.910051176939</v>
      </c>
      <c r="IS22" s="479">
        <f>'Hodnocení '!IS22</f>
        <v>25494.782664826929</v>
      </c>
      <c r="IT22" s="479">
        <f>'Hodnocení '!IT22</f>
        <v>24602.206032430611</v>
      </c>
      <c r="IU22" s="479">
        <f>'Hodnocení '!IU22</f>
        <v>26102.573409149816</v>
      </c>
      <c r="IV22" s="479">
        <f>'Hodnocení '!IV22</f>
        <v>25494.782664826929</v>
      </c>
      <c r="IW22" s="479">
        <f>'Hodnocení '!IW22</f>
        <v>24602.206032430611</v>
      </c>
      <c r="IX22" s="479">
        <f>'Hodnocení '!IX22</f>
        <v>28276.910051176939</v>
      </c>
      <c r="IY22" s="479">
        <f>'Hodnocení '!IY22</f>
        <v>26849.811948652292</v>
      </c>
      <c r="IZ22" s="479">
        <f>'Hodnocení '!IZ22</f>
        <v>25494.782664826929</v>
      </c>
      <c r="JA22" s="479">
        <f>'Hodnocení '!JA22</f>
        <v>31127.953171467958</v>
      </c>
      <c r="JB22" s="479">
        <f>'Hodnocení '!JB22</f>
        <v>34478.369790155819</v>
      </c>
      <c r="JC22" s="479">
        <f>'Hodnocení '!JC22</f>
        <v>25287.261406181333</v>
      </c>
      <c r="JD22" s="479">
        <f>'Hodnocení '!JD22</f>
        <v>26837.070867899798</v>
      </c>
      <c r="JE22" s="479">
        <f>'Hodnocení '!JE22</f>
        <v>26102.573409149816</v>
      </c>
      <c r="JF22" s="479">
        <f>'Hodnocení '!JF22</f>
        <v>26849.811948652292</v>
      </c>
      <c r="JG22" s="479">
        <f>'Hodnocení '!JG22</f>
        <v>26849.811948652292</v>
      </c>
      <c r="JH22" s="780">
        <f>'Hodnocení '!JH22</f>
        <v>32243.952958531994</v>
      </c>
      <c r="JI22" s="315"/>
    </row>
    <row r="23" spans="1:276" hidden="1" x14ac:dyDescent="0.25">
      <c r="B23" s="733"/>
      <c r="C23" s="360"/>
      <c r="D23" s="357"/>
      <c r="E23" s="357"/>
      <c r="F23" s="357"/>
      <c r="G23" s="357"/>
      <c r="H23" s="357"/>
      <c r="I23" s="357"/>
      <c r="J23" s="357"/>
      <c r="K23" s="357"/>
      <c r="L23" s="357"/>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c r="AT23" s="357"/>
      <c r="AU23" s="357"/>
      <c r="AV23" s="357"/>
      <c r="AW23" s="357"/>
      <c r="AX23" s="357"/>
      <c r="AY23" s="357"/>
      <c r="AZ23" s="357"/>
      <c r="BA23" s="357"/>
      <c r="BB23" s="357"/>
      <c r="BC23" s="357"/>
      <c r="BD23" s="357"/>
      <c r="BE23" s="357"/>
      <c r="BF23" s="479"/>
      <c r="BG23" s="357"/>
      <c r="BH23" s="357"/>
      <c r="BI23" s="357"/>
      <c r="BJ23" s="357"/>
      <c r="BK23" s="357"/>
      <c r="BL23" s="357"/>
      <c r="BM23" s="357"/>
      <c r="BN23" s="357"/>
      <c r="BO23" s="357"/>
      <c r="BP23" s="357"/>
      <c r="BQ23" s="357"/>
      <c r="BR23" s="357"/>
      <c r="BS23" s="357"/>
      <c r="BT23" s="357"/>
      <c r="BU23" s="357"/>
      <c r="BV23" s="357"/>
      <c r="BW23" s="357"/>
      <c r="BX23" s="357"/>
      <c r="BY23" s="357"/>
      <c r="BZ23" s="357"/>
      <c r="CA23" s="357"/>
      <c r="CB23" s="357"/>
      <c r="CC23" s="357"/>
      <c r="CD23" s="357"/>
      <c r="CE23" s="357"/>
      <c r="CF23" s="357"/>
      <c r="CG23" s="357"/>
      <c r="CH23" s="357"/>
      <c r="CI23" s="357"/>
      <c r="CJ23" s="357"/>
      <c r="CK23" s="357"/>
      <c r="CL23" s="357"/>
      <c r="CM23" s="357"/>
      <c r="CN23" s="357"/>
      <c r="CO23" s="357"/>
      <c r="CP23" s="357"/>
      <c r="CQ23" s="357"/>
      <c r="CR23" s="357"/>
      <c r="CS23" s="357"/>
      <c r="CT23" s="357"/>
      <c r="CU23" s="357"/>
      <c r="CV23" s="357"/>
      <c r="CW23" s="357"/>
      <c r="CX23" s="357"/>
      <c r="CY23" s="357"/>
      <c r="CZ23" s="357"/>
      <c r="DA23" s="357"/>
      <c r="DB23" s="357"/>
      <c r="DC23" s="357"/>
      <c r="DD23" s="357"/>
      <c r="DE23" s="357"/>
      <c r="DF23" s="357"/>
      <c r="DG23" s="357"/>
      <c r="DH23" s="357"/>
      <c r="DI23" s="357"/>
      <c r="DJ23" s="357"/>
      <c r="DK23" s="357"/>
      <c r="DL23" s="357"/>
      <c r="DM23" s="357"/>
      <c r="DN23" s="357"/>
      <c r="DO23" s="357"/>
      <c r="DP23" s="357"/>
      <c r="DQ23" s="357"/>
      <c r="DR23" s="357"/>
      <c r="DS23" s="357"/>
      <c r="DT23" s="357"/>
      <c r="DU23" s="357"/>
      <c r="DV23" s="357"/>
      <c r="DW23" s="357"/>
      <c r="DX23" s="357"/>
      <c r="DY23" s="357"/>
      <c r="DZ23" s="357"/>
      <c r="EA23" s="357"/>
      <c r="EB23" s="357"/>
      <c r="EC23" s="357"/>
      <c r="ED23" s="357"/>
      <c r="EE23" s="357"/>
      <c r="EF23" s="357"/>
      <c r="EG23" s="357"/>
      <c r="EH23" s="357"/>
      <c r="EI23" s="357"/>
      <c r="EJ23" s="357"/>
      <c r="EK23" s="357"/>
      <c r="EL23" s="357"/>
      <c r="EM23" s="357"/>
      <c r="EN23" s="357"/>
      <c r="EO23" s="357"/>
      <c r="EP23" s="357"/>
      <c r="EQ23" s="357"/>
      <c r="ER23" s="357"/>
      <c r="ES23" s="357"/>
      <c r="ET23" s="357"/>
      <c r="EU23" s="357"/>
      <c r="EV23" s="357"/>
      <c r="EW23" s="357"/>
      <c r="EX23" s="357"/>
      <c r="EY23" s="357"/>
      <c r="EZ23" s="357"/>
      <c r="FA23" s="357"/>
      <c r="FB23" s="357"/>
      <c r="FC23" s="357"/>
      <c r="FD23" s="357"/>
      <c r="FE23" s="357"/>
      <c r="FF23" s="357"/>
      <c r="FG23" s="357"/>
      <c r="FH23" s="357"/>
      <c r="FI23" s="357"/>
      <c r="FJ23" s="357"/>
      <c r="FK23" s="357"/>
      <c r="FL23" s="357"/>
      <c r="FM23" s="357"/>
      <c r="FN23" s="357"/>
      <c r="FO23" s="357"/>
      <c r="FP23" s="357"/>
      <c r="FQ23" s="357"/>
      <c r="FR23" s="357"/>
      <c r="FS23" s="357"/>
      <c r="FT23" s="357"/>
      <c r="FU23" s="357"/>
      <c r="FV23" s="357"/>
      <c r="FW23" s="357"/>
      <c r="FX23" s="357"/>
      <c r="FY23" s="357"/>
      <c r="FZ23" s="357"/>
      <c r="GA23" s="357"/>
      <c r="GB23" s="357"/>
      <c r="GC23" s="357"/>
      <c r="GD23" s="357"/>
      <c r="GE23" s="357"/>
      <c r="GF23" s="357"/>
      <c r="GG23" s="357"/>
      <c r="GH23" s="357"/>
      <c r="GI23" s="357"/>
      <c r="GJ23" s="357"/>
      <c r="GK23" s="357"/>
      <c r="GL23" s="357"/>
      <c r="GM23" s="357"/>
      <c r="GN23" s="357"/>
      <c r="GO23" s="357"/>
      <c r="GP23" s="357"/>
      <c r="GQ23" s="357"/>
      <c r="GR23" s="357"/>
      <c r="GS23" s="357"/>
      <c r="GT23" s="357"/>
      <c r="GU23" s="357"/>
      <c r="GV23" s="357"/>
      <c r="GW23" s="357"/>
      <c r="GX23" s="357"/>
      <c r="GY23" s="357"/>
      <c r="GZ23" s="357"/>
      <c r="HA23" s="357"/>
      <c r="HB23" s="357"/>
      <c r="HC23" s="357"/>
      <c r="HD23" s="357"/>
      <c r="HE23" s="357"/>
      <c r="HF23" s="357"/>
      <c r="HG23" s="357"/>
      <c r="HH23" s="357"/>
      <c r="HI23" s="357"/>
      <c r="HJ23" s="357"/>
      <c r="HK23" s="357"/>
      <c r="HL23" s="357"/>
      <c r="HM23" s="357"/>
      <c r="HN23" s="357"/>
      <c r="HO23" s="357"/>
      <c r="HP23" s="357"/>
      <c r="HQ23" s="357"/>
      <c r="HR23" s="357"/>
      <c r="HS23" s="357"/>
      <c r="HT23" s="357"/>
      <c r="HU23" s="357"/>
      <c r="HV23" s="357"/>
      <c r="HW23" s="357"/>
      <c r="HX23" s="357"/>
      <c r="HY23" s="357"/>
      <c r="HZ23" s="357"/>
      <c r="IA23" s="357"/>
      <c r="IB23" s="357"/>
      <c r="IC23" s="357"/>
      <c r="ID23" s="357"/>
      <c r="IE23" s="357"/>
      <c r="IF23" s="357"/>
      <c r="IG23" s="357"/>
      <c r="IH23" s="357"/>
      <c r="II23" s="357"/>
      <c r="IJ23" s="357"/>
      <c r="IK23" s="357"/>
      <c r="IL23" s="357"/>
      <c r="IM23" s="357"/>
      <c r="IN23" s="357"/>
      <c r="IO23" s="357"/>
      <c r="IP23" s="357"/>
      <c r="IQ23" s="357"/>
      <c r="IR23" s="357"/>
      <c r="IS23" s="357"/>
      <c r="IT23" s="357"/>
      <c r="IU23" s="357"/>
      <c r="IV23" s="357"/>
      <c r="IW23" s="357"/>
      <c r="IX23" s="357"/>
      <c r="IY23" s="357"/>
      <c r="IZ23" s="357"/>
      <c r="JA23" s="357"/>
      <c r="JB23" s="357"/>
      <c r="JC23" s="357"/>
      <c r="JD23" s="357"/>
      <c r="JE23" s="357"/>
      <c r="JF23" s="357"/>
      <c r="JG23" s="357"/>
      <c r="JH23" s="772"/>
      <c r="JI23" s="315"/>
    </row>
    <row r="24" spans="1:276" hidden="1" x14ac:dyDescent="0.25">
      <c r="A24" s="313">
        <v>8</v>
      </c>
      <c r="B24" s="733" t="s">
        <v>2454</v>
      </c>
      <c r="C24" s="779">
        <f>'Hodnocení '!C24</f>
        <v>83289.929999999993</v>
      </c>
      <c r="D24" s="479">
        <f>'Hodnocení '!D24</f>
        <v>87311.56</v>
      </c>
      <c r="E24" s="479">
        <f>'Hodnocení '!E24</f>
        <v>138177.89000000001</v>
      </c>
      <c r="F24" s="479">
        <f>'Hodnocení '!F24</f>
        <v>4939.0200000000004</v>
      </c>
      <c r="G24" s="479">
        <f>'Hodnocení '!G24</f>
        <v>56189.67</v>
      </c>
      <c r="H24" s="479" t="e">
        <f>'Hodnocení '!H24</f>
        <v>#N/A</v>
      </c>
      <c r="I24" s="479">
        <f>'Hodnocení '!I24</f>
        <v>42934.82</v>
      </c>
      <c r="J24" s="479">
        <f>'Hodnocení '!J24</f>
        <v>36014.68</v>
      </c>
      <c r="K24" s="479">
        <f>'Hodnocení '!K24</f>
        <v>0</v>
      </c>
      <c r="L24" s="479">
        <f>'Hodnocení '!L24</f>
        <v>113310.71</v>
      </c>
      <c r="M24" s="479">
        <f>'Hodnocení '!M24</f>
        <v>20561.29</v>
      </c>
      <c r="N24" s="479">
        <f>'Hodnocení '!N24</f>
        <v>144292.66</v>
      </c>
      <c r="O24" s="479">
        <f>'Hodnocení '!O24</f>
        <v>12794.76</v>
      </c>
      <c r="P24" s="479">
        <f>'Hodnocení '!P24</f>
        <v>0</v>
      </c>
      <c r="Q24" s="479">
        <f>'Hodnocení '!Q24</f>
        <v>31234.82</v>
      </c>
      <c r="R24" s="479">
        <f>'Hodnocení '!R24</f>
        <v>30388.45</v>
      </c>
      <c r="S24" s="479">
        <f>'Hodnocení '!S24</f>
        <v>22529.64</v>
      </c>
      <c r="T24" s="479">
        <f>'Hodnocení '!T24</f>
        <v>0</v>
      </c>
      <c r="U24" s="479">
        <f>'Hodnocení '!U24</f>
        <v>67581.399999999994</v>
      </c>
      <c r="V24" s="479">
        <f>'Hodnocení '!V24</f>
        <v>22655.69</v>
      </c>
      <c r="W24" s="479">
        <f>'Hodnocení '!W24</f>
        <v>26894.21</v>
      </c>
      <c r="X24" s="479">
        <f>'Hodnocení '!X24</f>
        <v>50907.61</v>
      </c>
      <c r="Y24" s="479">
        <f>'Hodnocení '!Y24</f>
        <v>43284.22</v>
      </c>
      <c r="Z24" s="479">
        <f>'Hodnocení '!Z24</f>
        <v>52465.59</v>
      </c>
      <c r="AA24" s="479">
        <f>'Hodnocení '!AA24</f>
        <v>54749.84</v>
      </c>
      <c r="AB24" s="479">
        <f>'Hodnocení '!AB24</f>
        <v>15668.1</v>
      </c>
      <c r="AC24" s="479">
        <f>'Hodnocení '!AC24</f>
        <v>71614.259999999995</v>
      </c>
      <c r="AD24" s="479">
        <f>'Hodnocení '!AD24</f>
        <v>46622.46</v>
      </c>
      <c r="AE24" s="479">
        <f>'Hodnocení '!AE24</f>
        <v>45309.77</v>
      </c>
      <c r="AF24" s="479">
        <f>'Hodnocení '!AF24</f>
        <v>39367.129999999997</v>
      </c>
      <c r="AG24" s="479">
        <f>'Hodnocení '!AG24</f>
        <v>71109.84</v>
      </c>
      <c r="AH24" s="479">
        <f>'Hodnocení '!AH24</f>
        <v>41134.300000000003</v>
      </c>
      <c r="AI24" s="479">
        <f>'Hodnocení '!AI24</f>
        <v>69038.649999999994</v>
      </c>
      <c r="AJ24" s="479">
        <f>'Hodnocení '!AJ24</f>
        <v>55279.48</v>
      </c>
      <c r="AK24" s="479">
        <f>'Hodnocení '!AK24</f>
        <v>37630.589999999997</v>
      </c>
      <c r="AL24" s="479">
        <f>'Hodnocení '!AL24</f>
        <v>37985.46</v>
      </c>
      <c r="AM24" s="479">
        <f>'Hodnocení '!AM24</f>
        <v>27490.48</v>
      </c>
      <c r="AN24" s="479">
        <f>'Hodnocení '!AN24</f>
        <v>79732.990000000005</v>
      </c>
      <c r="AO24" s="479">
        <f>'Hodnocení '!AO24</f>
        <v>78465.210000000006</v>
      </c>
      <c r="AP24" s="479">
        <f>'Hodnocení '!AP24</f>
        <v>17254.34</v>
      </c>
      <c r="AQ24" s="479">
        <f>'Hodnocení '!AQ24</f>
        <v>8084.25</v>
      </c>
      <c r="AR24" s="479">
        <f>'Hodnocení '!AR24</f>
        <v>57108.87</v>
      </c>
      <c r="AS24" s="479">
        <f>'Hodnocení '!AS24</f>
        <v>38385.5</v>
      </c>
      <c r="AT24" s="479">
        <f>'Hodnocení '!AT24</f>
        <v>23017.26</v>
      </c>
      <c r="AU24" s="479">
        <f>'Hodnocení '!AU24</f>
        <v>64839.29</v>
      </c>
      <c r="AV24" s="479">
        <f>'Hodnocení '!AV24</f>
        <v>30602.15</v>
      </c>
      <c r="AW24" s="479">
        <f>'Hodnocení '!AW24</f>
        <v>64484.36</v>
      </c>
      <c r="AX24" s="479">
        <f>'Hodnocení '!AX24</f>
        <v>107310.08</v>
      </c>
      <c r="AY24" s="479">
        <f>'Hodnocení '!AY24</f>
        <v>48689.16</v>
      </c>
      <c r="AZ24" s="479">
        <f>'Hodnocení '!AZ24</f>
        <v>68578.399999999994</v>
      </c>
      <c r="BA24" s="479">
        <f>'Hodnocení '!BA24</f>
        <v>5321.83</v>
      </c>
      <c r="BB24" s="479">
        <f>'Hodnocení '!BB24</f>
        <v>85074</v>
      </c>
      <c r="BC24" s="479">
        <f>'Hodnocení '!BC24</f>
        <v>36460.67</v>
      </c>
      <c r="BD24" s="479">
        <f>'Hodnocení '!BD24</f>
        <v>31848.06</v>
      </c>
      <c r="BE24" s="479">
        <f>'Hodnocení '!BE24</f>
        <v>25932.47</v>
      </c>
      <c r="BF24" s="479">
        <f>'Hodnocení '!BF24</f>
        <v>55820.67</v>
      </c>
      <c r="BG24" s="479">
        <f>'Hodnocení '!BG24</f>
        <v>30071.26</v>
      </c>
      <c r="BH24" s="479">
        <f>'Hodnocení '!BH24</f>
        <v>18881.38</v>
      </c>
      <c r="BI24" s="479">
        <f>'Hodnocení '!BI24</f>
        <v>38065.74</v>
      </c>
      <c r="BJ24" s="479">
        <f>'Hodnocení '!BJ24</f>
        <v>56974.55</v>
      </c>
      <c r="BK24" s="479">
        <f>'Hodnocení '!BK24</f>
        <v>59007.88</v>
      </c>
      <c r="BL24" s="479" t="e">
        <f>'Hodnocení '!BL24</f>
        <v>#N/A</v>
      </c>
      <c r="BM24" s="479">
        <f>'Hodnocení '!BM24</f>
        <v>7956.5</v>
      </c>
      <c r="BN24" s="479">
        <f>'Hodnocení '!BN24</f>
        <v>54047</v>
      </c>
      <c r="BO24" s="479">
        <f>'Hodnocení '!BO24</f>
        <v>54046.96</v>
      </c>
      <c r="BP24" s="479">
        <f>'Hodnocení '!BP24</f>
        <v>67282.37</v>
      </c>
      <c r="BQ24" s="479">
        <f>'Hodnocení '!BQ24</f>
        <v>47134.52</v>
      </c>
      <c r="BR24" s="479">
        <f>'Hodnocení '!BR24</f>
        <v>59714.06</v>
      </c>
      <c r="BS24" s="479">
        <f>'Hodnocení '!BS24</f>
        <v>124816.39</v>
      </c>
      <c r="BT24" s="479">
        <f>'Hodnocení '!BT24</f>
        <v>11816.02</v>
      </c>
      <c r="BU24" s="479">
        <f>'Hodnocení '!BU24</f>
        <v>37399.22</v>
      </c>
      <c r="BV24" s="479">
        <f>'Hodnocení '!BV24</f>
        <v>4149.78</v>
      </c>
      <c r="BW24" s="479">
        <f>'Hodnocení '!BW24</f>
        <v>15777.78</v>
      </c>
      <c r="BX24" s="479">
        <f>'Hodnocení '!BX24</f>
        <v>24571.55</v>
      </c>
      <c r="BY24" s="479">
        <f>'Hodnocení '!BY24</f>
        <v>51484</v>
      </c>
      <c r="BZ24" s="479">
        <f>'Hodnocení '!BZ24</f>
        <v>92420.51</v>
      </c>
      <c r="CA24" s="479" t="e">
        <f>'Hodnocení '!CA24</f>
        <v>#N/A</v>
      </c>
      <c r="CB24" s="479">
        <f>'Hodnocení '!CB24</f>
        <v>375945.07</v>
      </c>
      <c r="CC24" s="479">
        <f>'Hodnocení '!CC24</f>
        <v>45488.66</v>
      </c>
      <c r="CD24" s="479">
        <f>'Hodnocení '!CD24</f>
        <v>73812.179999999993</v>
      </c>
      <c r="CE24" s="479">
        <f>'Hodnocení '!CE24</f>
        <v>30645.46</v>
      </c>
      <c r="CF24" s="479">
        <f>'Hodnocení '!CF24</f>
        <v>116438.35</v>
      </c>
      <c r="CG24" s="479">
        <f>'Hodnocení '!CG24</f>
        <v>98485.87</v>
      </c>
      <c r="CH24" s="479">
        <f>'Hodnocení '!CH24</f>
        <v>109090.02</v>
      </c>
      <c r="CI24" s="479">
        <f>'Hodnocení '!CI24</f>
        <v>56643.57</v>
      </c>
      <c r="CJ24" s="479">
        <f>'Hodnocení '!CJ24</f>
        <v>73101.59</v>
      </c>
      <c r="CK24" s="479">
        <f>'Hodnocení '!CK24</f>
        <v>122897.47</v>
      </c>
      <c r="CL24" s="479">
        <f>'Hodnocení '!CL24</f>
        <v>124448.09</v>
      </c>
      <c r="CM24" s="479">
        <f>'Hodnocení '!CM24</f>
        <v>37356.39</v>
      </c>
      <c r="CN24" s="479">
        <f>'Hodnocení '!CN24</f>
        <v>48064.14</v>
      </c>
      <c r="CO24" s="479">
        <f>'Hodnocení '!CO24</f>
        <v>60133.64</v>
      </c>
      <c r="CP24" s="479">
        <f>'Hodnocení '!CP24</f>
        <v>55070.99</v>
      </c>
      <c r="CQ24" s="479">
        <f>'Hodnocení '!CQ24</f>
        <v>35574.379999999997</v>
      </c>
      <c r="CR24" s="479" t="e">
        <f>'Hodnocení '!CR24</f>
        <v>#N/A</v>
      </c>
      <c r="CS24" s="479" t="e">
        <f>'Hodnocení '!CS24</f>
        <v>#N/A</v>
      </c>
      <c r="CT24" s="479">
        <f>'Hodnocení '!CT24</f>
        <v>189660.67</v>
      </c>
      <c r="CU24" s="479">
        <f>'Hodnocení '!CU24</f>
        <v>43594.25</v>
      </c>
      <c r="CV24" s="479">
        <f>'Hodnocení '!CV24</f>
        <v>95448.6</v>
      </c>
      <c r="CW24" s="479" t="e">
        <f>'Hodnocení '!CW24</f>
        <v>#N/A</v>
      </c>
      <c r="CX24" s="479">
        <f>'Hodnocení '!CX24</f>
        <v>25046.959999999999</v>
      </c>
      <c r="CY24" s="479">
        <f>'Hodnocení '!CY24</f>
        <v>112605.48</v>
      </c>
      <c r="CZ24" s="479">
        <f>'Hodnocení '!CZ24</f>
        <v>46445.2</v>
      </c>
      <c r="DA24" s="479">
        <f>'Hodnocení '!DA24</f>
        <v>7670.02</v>
      </c>
      <c r="DB24" s="479">
        <f>'Hodnocení '!DB24</f>
        <v>71254.81</v>
      </c>
      <c r="DC24" s="479">
        <f>'Hodnocení '!DC24</f>
        <v>36996.800000000003</v>
      </c>
      <c r="DD24" s="479">
        <f>'Hodnocení '!DD24</f>
        <v>39709.050000000003</v>
      </c>
      <c r="DE24" s="479">
        <f>'Hodnocení '!DE24</f>
        <v>36266.36</v>
      </c>
      <c r="DF24" s="479">
        <f>'Hodnocení '!DF24</f>
        <v>44503.38</v>
      </c>
      <c r="DG24" s="479" t="e">
        <f>'Hodnocení '!DG24</f>
        <v>#N/A</v>
      </c>
      <c r="DH24" s="479">
        <f>'Hodnocení '!DH24</f>
        <v>12817.63</v>
      </c>
      <c r="DI24" s="479">
        <f>'Hodnocení '!DI24</f>
        <v>33593.01</v>
      </c>
      <c r="DJ24" s="479">
        <f>'Hodnocení '!DJ24</f>
        <v>35588.97</v>
      </c>
      <c r="DK24" s="479">
        <f>'Hodnocení '!DK24</f>
        <v>84658.09</v>
      </c>
      <c r="DL24" s="479">
        <f>'Hodnocení '!DL24</f>
        <v>15312.21</v>
      </c>
      <c r="DM24" s="479">
        <f>'Hodnocení '!DM24</f>
        <v>36227.85</v>
      </c>
      <c r="DN24" s="479">
        <f>'Hodnocení '!DN24</f>
        <v>32587.200000000001</v>
      </c>
      <c r="DO24" s="479">
        <f>'Hodnocení '!DO24</f>
        <v>21494.06</v>
      </c>
      <c r="DP24" s="479">
        <f>'Hodnocení '!DP24</f>
        <v>57778.879999999997</v>
      </c>
      <c r="DQ24" s="479">
        <f>'Hodnocení '!DQ24</f>
        <v>29175.48</v>
      </c>
      <c r="DR24" s="479">
        <f>'Hodnocení '!DR24</f>
        <v>50326.37</v>
      </c>
      <c r="DS24" s="479" t="e">
        <f>'Hodnocení '!DS24</f>
        <v>#N/A</v>
      </c>
      <c r="DT24" s="479">
        <f>'Hodnocení '!DT24</f>
        <v>192624.01</v>
      </c>
      <c r="DU24" s="479">
        <f>'Hodnocení '!DU24</f>
        <v>16176.47</v>
      </c>
      <c r="DV24" s="479">
        <f>'Hodnocení '!DV24</f>
        <v>67957.95</v>
      </c>
      <c r="DW24" s="479" t="e">
        <f>'Hodnocení '!DW24</f>
        <v>#N/A</v>
      </c>
      <c r="DX24" s="479">
        <f>'Hodnocení '!DX24</f>
        <v>41566.25</v>
      </c>
      <c r="DY24" s="479">
        <f>'Hodnocení '!DY24</f>
        <v>37144.910000000003</v>
      </c>
      <c r="DZ24" s="479">
        <f>'Hodnocení '!DZ24</f>
        <v>53464.12</v>
      </c>
      <c r="EA24" s="479">
        <f>'Hodnocení '!EA24</f>
        <v>20225.5</v>
      </c>
      <c r="EB24" s="479">
        <f>'Hodnocení '!EB24</f>
        <v>69952.45</v>
      </c>
      <c r="EC24" s="479">
        <f>'Hodnocení '!EC24</f>
        <v>36901.42</v>
      </c>
      <c r="ED24" s="479">
        <f>'Hodnocení '!ED24</f>
        <v>51698.58</v>
      </c>
      <c r="EE24" s="479">
        <f>'Hodnocení '!EE24</f>
        <v>27333.64</v>
      </c>
      <c r="EF24" s="479">
        <f>'Hodnocení '!EF24</f>
        <v>30741.54</v>
      </c>
      <c r="EG24" s="479">
        <f>'Hodnocení '!EG24</f>
        <v>322.52999999999997</v>
      </c>
      <c r="EH24" s="479">
        <f>'Hodnocení '!EH24</f>
        <v>33115.08</v>
      </c>
      <c r="EI24" s="479">
        <f>'Hodnocení '!EI24</f>
        <v>24100.26</v>
      </c>
      <c r="EJ24" s="479">
        <f>'Hodnocení '!EJ24</f>
        <v>24153.24</v>
      </c>
      <c r="EK24" s="479">
        <f>'Hodnocení '!EK24</f>
        <v>35879.360000000001</v>
      </c>
      <c r="EL24" s="479">
        <f>'Hodnocení '!EL24</f>
        <v>62171.68</v>
      </c>
      <c r="EM24" s="479">
        <f>'Hodnocení '!EM24</f>
        <v>66534.759999999995</v>
      </c>
      <c r="EN24" s="479">
        <f>'Hodnocení '!EN24</f>
        <v>57589.71</v>
      </c>
      <c r="EO24" s="479">
        <f>'Hodnocení '!EO24</f>
        <v>384155</v>
      </c>
      <c r="EP24" s="479">
        <f>'Hodnocení '!EP24</f>
        <v>222242.08</v>
      </c>
      <c r="EQ24" s="479">
        <f>'Hodnocení '!EQ24</f>
        <v>183765.63</v>
      </c>
      <c r="ER24" s="479">
        <f>'Hodnocení '!ER24</f>
        <v>25095.15</v>
      </c>
      <c r="ES24" s="479">
        <f>'Hodnocení '!ES24</f>
        <v>13150.39</v>
      </c>
      <c r="ET24" s="479" t="e">
        <f>'Hodnocení '!ET24</f>
        <v>#N/A</v>
      </c>
      <c r="EU24" s="479" t="e">
        <f>'Hodnocení '!EU24</f>
        <v>#N/A</v>
      </c>
      <c r="EV24" s="479">
        <f>'Hodnocení '!EV24</f>
        <v>0</v>
      </c>
      <c r="EW24" s="479">
        <f>'Hodnocení '!EW24</f>
        <v>31685.67</v>
      </c>
      <c r="EX24" s="479">
        <f>'Hodnocení '!EX24</f>
        <v>54406.57</v>
      </c>
      <c r="EY24" s="479">
        <f>'Hodnocení '!EY24</f>
        <v>18394.22</v>
      </c>
      <c r="EZ24" s="479">
        <f>'Hodnocení '!EZ24</f>
        <v>4710.6400000000003</v>
      </c>
      <c r="FA24" s="479">
        <f>'Hodnocení '!FA24</f>
        <v>44626.92</v>
      </c>
      <c r="FB24" s="479">
        <f>'Hodnocení '!FB24</f>
        <v>0</v>
      </c>
      <c r="FC24" s="479">
        <f>'Hodnocení '!FC24</f>
        <v>41524.46</v>
      </c>
      <c r="FD24" s="479">
        <f>'Hodnocení '!FD24</f>
        <v>128099.26</v>
      </c>
      <c r="FE24" s="479">
        <f>'Hodnocení '!FE24</f>
        <v>94007.63</v>
      </c>
      <c r="FF24" s="479">
        <f>'Hodnocení '!FF24</f>
        <v>17633.330000000002</v>
      </c>
      <c r="FG24" s="479">
        <f>'Hodnocení '!FG24</f>
        <v>74375.66</v>
      </c>
      <c r="FH24" s="479">
        <f>'Hodnocení '!FH24</f>
        <v>65589.48</v>
      </c>
      <c r="FI24" s="479">
        <f>'Hodnocení '!FI24</f>
        <v>79882.960000000006</v>
      </c>
      <c r="FJ24" s="479">
        <f>'Hodnocení '!FJ24</f>
        <v>9058.75</v>
      </c>
      <c r="FK24" s="479">
        <f>'Hodnocení '!FK24</f>
        <v>56598.22</v>
      </c>
      <c r="FL24" s="479">
        <f>'Hodnocení '!FL24</f>
        <v>49513.33</v>
      </c>
      <c r="FM24" s="479">
        <f>'Hodnocení '!FM24</f>
        <v>11746</v>
      </c>
      <c r="FN24" s="479">
        <f>'Hodnocení '!FN24</f>
        <v>37209.67</v>
      </c>
      <c r="FO24" s="479">
        <f>'Hodnocení '!FO24</f>
        <v>41514.44</v>
      </c>
      <c r="FP24" s="479">
        <f>'Hodnocení '!FP24</f>
        <v>87721.7</v>
      </c>
      <c r="FQ24" s="479">
        <f>'Hodnocení '!FQ24</f>
        <v>136831.79999999999</v>
      </c>
      <c r="FR24" s="479" t="e">
        <f>'Hodnocení '!FR24</f>
        <v>#N/A</v>
      </c>
      <c r="FS24" s="479">
        <f>'Hodnocení '!FS24</f>
        <v>14898.1</v>
      </c>
      <c r="FT24" s="479">
        <f>'Hodnocení '!FT24</f>
        <v>36891.9</v>
      </c>
      <c r="FU24" s="479">
        <f>'Hodnocení '!FU24</f>
        <v>29642.31</v>
      </c>
      <c r="FV24" s="479">
        <f>'Hodnocení '!FV24</f>
        <v>11894</v>
      </c>
      <c r="FW24" s="479">
        <f>'Hodnocení '!FW24</f>
        <v>5795.39</v>
      </c>
      <c r="FX24" s="479">
        <f>'Hodnocení '!FX24</f>
        <v>7298.22</v>
      </c>
      <c r="FY24" s="479">
        <f>'Hodnocení '!FY24</f>
        <v>1190.83</v>
      </c>
      <c r="FZ24" s="479">
        <f>'Hodnocení '!FZ24</f>
        <v>24116.48</v>
      </c>
      <c r="GA24" s="479">
        <f>'Hodnocení '!GA24</f>
        <v>57894.74</v>
      </c>
      <c r="GB24" s="479">
        <f>'Hodnocení '!GB24</f>
        <v>74365.61</v>
      </c>
      <c r="GC24" s="479">
        <f>'Hodnocení '!GC24</f>
        <v>52428.53</v>
      </c>
      <c r="GD24" s="479">
        <f>'Hodnocení '!GD24</f>
        <v>142518.43</v>
      </c>
      <c r="GE24" s="479">
        <f>'Hodnocení '!GE24</f>
        <v>20611.560000000001</v>
      </c>
      <c r="GF24" s="479">
        <f>'Hodnocení '!GF24</f>
        <v>18208.93</v>
      </c>
      <c r="GG24" s="479">
        <f>'Hodnocení '!GG24</f>
        <v>40656.33</v>
      </c>
      <c r="GH24" s="479">
        <f>'Hodnocení '!GH24</f>
        <v>56457.56</v>
      </c>
      <c r="GI24" s="479">
        <f>'Hodnocení '!GI24</f>
        <v>44562.15</v>
      </c>
      <c r="GJ24" s="479">
        <f>'Hodnocení '!GJ24</f>
        <v>53327.47</v>
      </c>
      <c r="GK24" s="479">
        <f>'Hodnocení '!GK24</f>
        <v>30295.59</v>
      </c>
      <c r="GL24" s="479">
        <f>'Hodnocení '!GL24</f>
        <v>54009.62</v>
      </c>
      <c r="GM24" s="479">
        <f>'Hodnocení '!GM24</f>
        <v>53913.03</v>
      </c>
      <c r="GN24" s="479">
        <f>'Hodnocení '!GN24</f>
        <v>28618.5</v>
      </c>
      <c r="GO24" s="479">
        <f>'Hodnocení '!GO24</f>
        <v>29985.55</v>
      </c>
      <c r="GP24" s="479">
        <f>'Hodnocení '!GP24</f>
        <v>101134.18</v>
      </c>
      <c r="GQ24" s="479">
        <f>'Hodnocení '!GQ24</f>
        <v>6073.14</v>
      </c>
      <c r="GR24" s="479">
        <f>'Hodnocení '!GR24</f>
        <v>22601.4</v>
      </c>
      <c r="GS24" s="479">
        <f>'Hodnocení '!GS24</f>
        <v>84579.21</v>
      </c>
      <c r="GT24" s="479">
        <f>'Hodnocení '!GT24</f>
        <v>45022.3</v>
      </c>
      <c r="GU24" s="479">
        <f>'Hodnocení '!GU24</f>
        <v>24241.18</v>
      </c>
      <c r="GV24" s="479" t="e">
        <f>'Hodnocení '!GV24</f>
        <v>#N/A</v>
      </c>
      <c r="GW24" s="479">
        <f>'Hodnocení '!GW24</f>
        <v>82595.87</v>
      </c>
      <c r="GX24" s="479">
        <f>'Hodnocení '!GX24</f>
        <v>9679.41</v>
      </c>
      <c r="GY24" s="479">
        <f>'Hodnocení '!GY24</f>
        <v>108939.52</v>
      </c>
      <c r="GZ24" s="479" t="e">
        <f>'Hodnocení '!GZ24</f>
        <v>#N/A</v>
      </c>
      <c r="HA24" s="479">
        <f>'Hodnocení '!HA24</f>
        <v>40270.76</v>
      </c>
      <c r="HB24" s="479">
        <f>'Hodnocení '!HB24</f>
        <v>115550</v>
      </c>
      <c r="HC24" s="479">
        <f>'Hodnocení '!HC24</f>
        <v>78094.03</v>
      </c>
      <c r="HD24" s="479">
        <f>'Hodnocení '!HD24</f>
        <v>15626.86</v>
      </c>
      <c r="HE24" s="479">
        <f>'Hodnocení '!HE24</f>
        <v>90411.07</v>
      </c>
      <c r="HF24" s="479">
        <f>'Hodnocení '!HF24</f>
        <v>29787.95</v>
      </c>
      <c r="HG24" s="479">
        <f>'Hodnocení '!HG24</f>
        <v>8239.57</v>
      </c>
      <c r="HH24" s="479">
        <f>'Hodnocení '!HH24</f>
        <v>23200.74</v>
      </c>
      <c r="HI24" s="479">
        <f>'Hodnocení '!HI24</f>
        <v>51645.47</v>
      </c>
      <c r="HJ24" s="479">
        <f>'Hodnocení '!HJ24</f>
        <v>16974.37</v>
      </c>
      <c r="HK24" s="479">
        <f>'Hodnocení '!HK24</f>
        <v>22103.85</v>
      </c>
      <c r="HL24" s="479">
        <f>'Hodnocení '!HL24</f>
        <v>65543.8</v>
      </c>
      <c r="HM24" s="479">
        <f>'Hodnocení '!HM24</f>
        <v>64599.43</v>
      </c>
      <c r="HN24" s="479">
        <f>'Hodnocení '!HN24</f>
        <v>20882.73</v>
      </c>
      <c r="HO24" s="479">
        <f>'Hodnocení '!HO24</f>
        <v>48632.78</v>
      </c>
      <c r="HP24" s="479">
        <f>'Hodnocení '!HP24</f>
        <v>92816.66</v>
      </c>
      <c r="HQ24" s="479">
        <f>'Hodnocení '!HQ24</f>
        <v>31797.14</v>
      </c>
      <c r="HR24" s="479">
        <f>'Hodnocení '!HR24</f>
        <v>79123.06</v>
      </c>
      <c r="HS24" s="479">
        <f>'Hodnocení '!HS24</f>
        <v>73612.92</v>
      </c>
      <c r="HT24" s="479">
        <f>'Hodnocení '!HT24</f>
        <v>116892.82</v>
      </c>
      <c r="HU24" s="479">
        <f>'Hodnocení '!HU24</f>
        <v>68868.42</v>
      </c>
      <c r="HV24" s="479">
        <f>'Hodnocení '!HV24</f>
        <v>67576.179999999993</v>
      </c>
      <c r="HW24" s="479">
        <f>'Hodnocení '!HW24</f>
        <v>89458.42</v>
      </c>
      <c r="HX24" s="479">
        <f>'Hodnocení '!HX24</f>
        <v>94612.93</v>
      </c>
      <c r="HY24" s="479">
        <f>'Hodnocení '!HY24</f>
        <v>170073.33</v>
      </c>
      <c r="HZ24" s="479">
        <f>'Hodnocení '!HZ24</f>
        <v>138935.85999999999</v>
      </c>
      <c r="IA24" s="479">
        <f>'Hodnocení '!IA24</f>
        <v>76793.27</v>
      </c>
      <c r="IB24" s="479">
        <f>'Hodnocení '!IB24</f>
        <v>109471.57</v>
      </c>
      <c r="IC24" s="479">
        <f>'Hodnocení '!IC24</f>
        <v>119898.33</v>
      </c>
      <c r="ID24" s="479">
        <f>'Hodnocení '!ID24</f>
        <v>114272.38</v>
      </c>
      <c r="IE24" s="479">
        <f>'Hodnocení '!IE24</f>
        <v>138385.38</v>
      </c>
      <c r="IF24" s="479">
        <f>'Hodnocení '!IF24</f>
        <v>135401.63</v>
      </c>
      <c r="IG24" s="479" t="e">
        <f>'Hodnocení '!IG24</f>
        <v>#N/A</v>
      </c>
      <c r="IH24" s="479">
        <f>'Hodnocení '!IH24</f>
        <v>67542.25</v>
      </c>
      <c r="II24" s="479">
        <f>'Hodnocení '!II24</f>
        <v>83587.600000000006</v>
      </c>
      <c r="IJ24" s="479">
        <f>'Hodnocení '!IJ24</f>
        <v>131807.74</v>
      </c>
      <c r="IK24" s="479">
        <f>'Hodnocení '!IK24</f>
        <v>32426.48</v>
      </c>
      <c r="IL24" s="479">
        <f>'Hodnocení '!IL24</f>
        <v>74127.58</v>
      </c>
      <c r="IM24" s="479">
        <f>'Hodnocení '!IM24</f>
        <v>163031.25</v>
      </c>
      <c r="IN24" s="479">
        <f>'Hodnocení '!IN24</f>
        <v>177353.41</v>
      </c>
      <c r="IO24" s="479">
        <f>'Hodnocení '!IO24</f>
        <v>84075.8</v>
      </c>
      <c r="IP24" s="479">
        <f>'Hodnocení '!IP24</f>
        <v>155063.12</v>
      </c>
      <c r="IQ24" s="479">
        <f>'Hodnocení '!IQ24</f>
        <v>166105.79</v>
      </c>
      <c r="IR24" s="479">
        <f>'Hodnocení '!IR24</f>
        <v>206668.24</v>
      </c>
      <c r="IS24" s="479">
        <f>'Hodnocení '!IS24</f>
        <v>116505.75</v>
      </c>
      <c r="IT24" s="479">
        <f>'Hodnocení '!IT24</f>
        <v>81993.22</v>
      </c>
      <c r="IU24" s="479">
        <f>'Hodnocení '!IU24</f>
        <v>21921.78</v>
      </c>
      <c r="IV24" s="479">
        <f>'Hodnocení '!IV24</f>
        <v>126413.83</v>
      </c>
      <c r="IW24" s="479">
        <f>'Hodnocení '!IW24</f>
        <v>111150.97</v>
      </c>
      <c r="IX24" s="479">
        <f>'Hodnocení '!IX24</f>
        <v>99785</v>
      </c>
      <c r="IY24" s="479">
        <f>'Hodnocení '!IY24</f>
        <v>105459.28</v>
      </c>
      <c r="IZ24" s="479">
        <f>'Hodnocení '!IZ24</f>
        <v>116676.12</v>
      </c>
      <c r="JA24" s="479">
        <f>'Hodnocení '!JA24</f>
        <v>48323.99</v>
      </c>
      <c r="JB24" s="479">
        <f>'Hodnocení '!JB24</f>
        <v>87439.79</v>
      </c>
      <c r="JC24" s="479">
        <f>'Hodnocení '!JC24</f>
        <v>58585.120000000003</v>
      </c>
      <c r="JD24" s="479">
        <f>'Hodnocení '!JD24</f>
        <v>44493.83</v>
      </c>
      <c r="JE24" s="479">
        <f>'Hodnocení '!JE24</f>
        <v>10821.24</v>
      </c>
      <c r="JF24" s="479">
        <f>'Hodnocení '!JF24</f>
        <v>69373.77</v>
      </c>
      <c r="JG24" s="479">
        <f>'Hodnocení '!JG24</f>
        <v>95872.66</v>
      </c>
      <c r="JH24" s="780">
        <f>'Hodnocení '!JH24</f>
        <v>0</v>
      </c>
      <c r="JI24" s="315">
        <f>'Hodnocení '!JI24</f>
        <v>0</v>
      </c>
      <c r="JL24" s="307"/>
      <c r="JM24" s="307"/>
      <c r="JN24" s="307"/>
      <c r="JO24" s="307"/>
      <c r="JP24" s="307"/>
    </row>
    <row r="25" spans="1:276" hidden="1" x14ac:dyDescent="0.25">
      <c r="A25" s="313">
        <v>9</v>
      </c>
      <c r="B25" s="733" t="s">
        <v>2455</v>
      </c>
      <c r="C25" s="779">
        <f>'Hodnocení '!C25</f>
        <v>167173.34</v>
      </c>
      <c r="D25" s="479">
        <f>'Hodnocení '!D25</f>
        <v>210792.44</v>
      </c>
      <c r="E25" s="479">
        <f>'Hodnocení '!E25</f>
        <v>321469.61</v>
      </c>
      <c r="F25" s="479">
        <f>'Hodnocení '!F25</f>
        <v>37391.18</v>
      </c>
      <c r="G25" s="479">
        <f>'Hodnocení '!G25</f>
        <v>110262.84</v>
      </c>
      <c r="H25" s="479" t="e">
        <f>'Hodnocení '!H25</f>
        <v>#N/A</v>
      </c>
      <c r="I25" s="479">
        <f>'Hodnocení '!I25</f>
        <v>176813.7</v>
      </c>
      <c r="J25" s="479">
        <f>'Hodnocení '!J25</f>
        <v>45178.68</v>
      </c>
      <c r="K25" s="479">
        <f>'Hodnocení '!K25</f>
        <v>118429.92</v>
      </c>
      <c r="L25" s="479">
        <f>'Hodnocení '!L25</f>
        <v>194263.95</v>
      </c>
      <c r="M25" s="479">
        <f>'Hodnocení '!M25</f>
        <v>34189.71</v>
      </c>
      <c r="N25" s="479">
        <f>'Hodnocení '!N25</f>
        <v>53548.61</v>
      </c>
      <c r="O25" s="479">
        <f>'Hodnocení '!O25</f>
        <v>150685.32</v>
      </c>
      <c r="P25" s="479">
        <f>'Hodnocení '!P25</f>
        <v>163699.49</v>
      </c>
      <c r="Q25" s="479">
        <f>'Hodnocení '!Q25</f>
        <v>55461.440000000002</v>
      </c>
      <c r="R25" s="479">
        <f>'Hodnocení '!R25</f>
        <v>149278.75</v>
      </c>
      <c r="S25" s="479">
        <f>'Hodnocení '!S25</f>
        <v>95043.95</v>
      </c>
      <c r="T25" s="479">
        <f>'Hodnocení '!T25</f>
        <v>557895</v>
      </c>
      <c r="U25" s="479">
        <f>'Hodnocení '!U25</f>
        <v>95017.34</v>
      </c>
      <c r="V25" s="479">
        <f>'Hodnocení '!V25</f>
        <v>46124.39</v>
      </c>
      <c r="W25" s="479">
        <f>'Hodnocení '!W25</f>
        <v>114348.92</v>
      </c>
      <c r="X25" s="479">
        <f>'Hodnocení '!X25</f>
        <v>123981.2</v>
      </c>
      <c r="Y25" s="479">
        <f>'Hodnocení '!Y25</f>
        <v>123706.22</v>
      </c>
      <c r="Z25" s="479">
        <f>'Hodnocení '!Z25</f>
        <v>150372.04999999999</v>
      </c>
      <c r="AA25" s="479">
        <f>'Hodnocení '!AA25</f>
        <v>79715.39</v>
      </c>
      <c r="AB25" s="479">
        <f>'Hodnocení '!AB25</f>
        <v>91077.23</v>
      </c>
      <c r="AC25" s="479">
        <f>'Hodnocení '!AC25</f>
        <v>195639.52</v>
      </c>
      <c r="AD25" s="479">
        <f>'Hodnocení '!AD25</f>
        <v>196849.48</v>
      </c>
      <c r="AE25" s="479">
        <f>'Hodnocení '!AE25</f>
        <v>43373.279999999999</v>
      </c>
      <c r="AF25" s="479">
        <f>'Hodnocení '!AF25</f>
        <v>83278.58</v>
      </c>
      <c r="AG25" s="479">
        <f>'Hodnocení '!AG25</f>
        <v>194814.02</v>
      </c>
      <c r="AH25" s="479">
        <f>'Hodnocení '!AH25</f>
        <v>72212.56</v>
      </c>
      <c r="AI25" s="479">
        <f>'Hodnocení '!AI25</f>
        <v>131074.89000000001</v>
      </c>
      <c r="AJ25" s="479">
        <f>'Hodnocení '!AJ25</f>
        <v>89509.78</v>
      </c>
      <c r="AK25" s="479">
        <f>'Hodnocení '!AK25</f>
        <v>54251.09</v>
      </c>
      <c r="AL25" s="479">
        <f>'Hodnocení '!AL25</f>
        <v>80498.960000000006</v>
      </c>
      <c r="AM25" s="479">
        <f>'Hodnocení '!AM25</f>
        <v>183034.4</v>
      </c>
      <c r="AN25" s="479">
        <f>'Hodnocení '!AN25</f>
        <v>101214.34</v>
      </c>
      <c r="AO25" s="479">
        <f>'Hodnocení '!AO25</f>
        <v>107090.8</v>
      </c>
      <c r="AP25" s="479">
        <f>'Hodnocení '!AP25</f>
        <v>62176.98</v>
      </c>
      <c r="AQ25" s="479">
        <f>'Hodnocení '!AQ25</f>
        <v>104545.1</v>
      </c>
      <c r="AR25" s="479">
        <f>'Hodnocení '!AR25</f>
        <v>98549.4</v>
      </c>
      <c r="AS25" s="479">
        <f>'Hodnocení '!AS25</f>
        <v>82997.679999999993</v>
      </c>
      <c r="AT25" s="479">
        <f>'Hodnocení '!AT25</f>
        <v>59416.22</v>
      </c>
      <c r="AU25" s="479">
        <f>'Hodnocení '!AU25</f>
        <v>106219.94</v>
      </c>
      <c r="AV25" s="479">
        <f>'Hodnocení '!AV25</f>
        <v>70412.820000000007</v>
      </c>
      <c r="AW25" s="479">
        <f>'Hodnocení '!AW25</f>
        <v>81120.3</v>
      </c>
      <c r="AX25" s="479">
        <f>'Hodnocení '!AX25</f>
        <v>139800.82999999999</v>
      </c>
      <c r="AY25" s="479">
        <f>'Hodnocení '!AY25</f>
        <v>74902.66</v>
      </c>
      <c r="AZ25" s="479">
        <f>'Hodnocení '!AZ25</f>
        <v>96744</v>
      </c>
      <c r="BA25" s="479">
        <f>'Hodnocení '!BA25</f>
        <v>70012.62</v>
      </c>
      <c r="BB25" s="479">
        <f>'Hodnocení '!BB25</f>
        <v>145246.15</v>
      </c>
      <c r="BC25" s="479">
        <f>'Hodnocení '!BC25</f>
        <v>138665.41</v>
      </c>
      <c r="BD25" s="479">
        <f>'Hodnocení '!BD25</f>
        <v>105481.27</v>
      </c>
      <c r="BE25" s="479">
        <f>'Hodnocení '!BE25</f>
        <v>207387.81</v>
      </c>
      <c r="BF25" s="479">
        <f>'Hodnocení '!BF25</f>
        <v>124471.92</v>
      </c>
      <c r="BG25" s="479">
        <f>'Hodnocení '!BG25</f>
        <v>235147.2</v>
      </c>
      <c r="BH25" s="479">
        <f>'Hodnocení '!BH25</f>
        <v>165986.23000000001</v>
      </c>
      <c r="BI25" s="479">
        <f>'Hodnocení '!BI25</f>
        <v>107495.99</v>
      </c>
      <c r="BJ25" s="479">
        <f>'Hodnocení '!BJ25</f>
        <v>96929.46</v>
      </c>
      <c r="BK25" s="479">
        <f>'Hodnocení '!BK25</f>
        <v>78558.42</v>
      </c>
      <c r="BL25" s="479" t="e">
        <f>'Hodnocení '!BL25</f>
        <v>#N/A</v>
      </c>
      <c r="BM25" s="479">
        <f>'Hodnocení '!BM25</f>
        <v>9059.25</v>
      </c>
      <c r="BN25" s="479">
        <f>'Hodnocení '!BN25</f>
        <v>72010.91</v>
      </c>
      <c r="BO25" s="479">
        <f>'Hodnocení '!BO25</f>
        <v>65107.98</v>
      </c>
      <c r="BP25" s="479">
        <f>'Hodnocení '!BP25</f>
        <v>102662.26</v>
      </c>
      <c r="BQ25" s="479">
        <f>'Hodnocení '!BQ25</f>
        <v>62603.74</v>
      </c>
      <c r="BR25" s="479">
        <f>'Hodnocení '!BR25</f>
        <v>92128.25</v>
      </c>
      <c r="BS25" s="479">
        <f>'Hodnocení '!BS25</f>
        <v>76414.960000000006</v>
      </c>
      <c r="BT25" s="479">
        <f>'Hodnocení '!BT25</f>
        <v>55128.93</v>
      </c>
      <c r="BU25" s="479">
        <f>'Hodnocení '!BU25</f>
        <v>191205.45</v>
      </c>
      <c r="BV25" s="479">
        <f>'Hodnocení '!BV25</f>
        <v>53409.78</v>
      </c>
      <c r="BW25" s="479">
        <f>'Hodnocení '!BW25</f>
        <v>64520</v>
      </c>
      <c r="BX25" s="479">
        <f>'Hodnocení '!BX25</f>
        <v>274988.13</v>
      </c>
      <c r="BY25" s="479">
        <f>'Hodnocení '!BY25</f>
        <v>174960.29</v>
      </c>
      <c r="BZ25" s="479">
        <f>'Hodnocení '!BZ25</f>
        <v>320289.74</v>
      </c>
      <c r="CA25" s="479" t="e">
        <f>'Hodnocení '!CA25</f>
        <v>#N/A</v>
      </c>
      <c r="CB25" s="479">
        <f>'Hodnocení '!CB25</f>
        <v>300532.39</v>
      </c>
      <c r="CC25" s="479">
        <f>'Hodnocení '!CC25</f>
        <v>99856.42</v>
      </c>
      <c r="CD25" s="479">
        <f>'Hodnocení '!CD25</f>
        <v>132019.54999999999</v>
      </c>
      <c r="CE25" s="479">
        <f>'Hodnocení '!CE25</f>
        <v>61539.3</v>
      </c>
      <c r="CF25" s="479">
        <f>'Hodnocení '!CF25</f>
        <v>143778.20000000001</v>
      </c>
      <c r="CG25" s="479">
        <f>'Hodnocení '!CG25</f>
        <v>88209.49</v>
      </c>
      <c r="CH25" s="479">
        <f>'Hodnocení '!CH25</f>
        <v>147129.82999999999</v>
      </c>
      <c r="CI25" s="479">
        <f>'Hodnocení '!CI25</f>
        <v>99191.77</v>
      </c>
      <c r="CJ25" s="479">
        <f>'Hodnocení '!CJ25</f>
        <v>67626.84</v>
      </c>
      <c r="CK25" s="479">
        <f>'Hodnocení '!CK25</f>
        <v>152062.23000000001</v>
      </c>
      <c r="CL25" s="479">
        <f>'Hodnocení '!CL25</f>
        <v>90995.42</v>
      </c>
      <c r="CM25" s="479">
        <f>'Hodnocení '!CM25</f>
        <v>60031.7</v>
      </c>
      <c r="CN25" s="479">
        <f>'Hodnocení '!CN25</f>
        <v>44112.72</v>
      </c>
      <c r="CO25" s="479">
        <f>'Hodnocení '!CO25</f>
        <v>66376.509999999995</v>
      </c>
      <c r="CP25" s="479">
        <f>'Hodnocení '!CP25</f>
        <v>35282.67</v>
      </c>
      <c r="CQ25" s="479">
        <f>'Hodnocení '!CQ25</f>
        <v>64600.89</v>
      </c>
      <c r="CR25" s="479" t="e">
        <f>'Hodnocení '!CR25</f>
        <v>#N/A</v>
      </c>
      <c r="CS25" s="479" t="e">
        <f>'Hodnocení '!CS25</f>
        <v>#N/A</v>
      </c>
      <c r="CT25" s="479">
        <f>'Hodnocení '!CT25</f>
        <v>243476.6</v>
      </c>
      <c r="CU25" s="479">
        <f>'Hodnocení '!CU25</f>
        <v>172424.25</v>
      </c>
      <c r="CV25" s="479">
        <f>'Hodnocení '!CV25</f>
        <v>164711.6</v>
      </c>
      <c r="CW25" s="479" t="e">
        <f>'Hodnocení '!CW25</f>
        <v>#N/A</v>
      </c>
      <c r="CX25" s="479">
        <f>'Hodnocení '!CX25</f>
        <v>15341.61</v>
      </c>
      <c r="CY25" s="479">
        <f>'Hodnocení '!CY25</f>
        <v>60093.39</v>
      </c>
      <c r="CZ25" s="479">
        <f>'Hodnocení '!CZ25</f>
        <v>49863.199999999997</v>
      </c>
      <c r="DA25" s="479">
        <f>'Hodnocení '!DA25</f>
        <v>69154.7</v>
      </c>
      <c r="DB25" s="479">
        <f>'Hodnocení '!DB25</f>
        <v>155565.89000000001</v>
      </c>
      <c r="DC25" s="479">
        <f>'Hodnocení '!DC25</f>
        <v>99926.26</v>
      </c>
      <c r="DD25" s="479">
        <f>'Hodnocení '!DD25</f>
        <v>60220.51</v>
      </c>
      <c r="DE25" s="479">
        <f>'Hodnocení '!DE25</f>
        <v>68620.960000000006</v>
      </c>
      <c r="DF25" s="479">
        <f>'Hodnocení '!DF25</f>
        <v>63800.74</v>
      </c>
      <c r="DG25" s="479" t="e">
        <f>'Hodnocení '!DG25</f>
        <v>#N/A</v>
      </c>
      <c r="DH25" s="479">
        <f>'Hodnocení '!DH25</f>
        <v>56694.46</v>
      </c>
      <c r="DI25" s="479">
        <f>'Hodnocení '!DI25</f>
        <v>149862.78</v>
      </c>
      <c r="DJ25" s="479">
        <f>'Hodnocení '!DJ25</f>
        <v>55371.81</v>
      </c>
      <c r="DK25" s="479">
        <f>'Hodnocení '!DK25</f>
        <v>86574.3</v>
      </c>
      <c r="DL25" s="479">
        <f>'Hodnocení '!DL25</f>
        <v>78306.48</v>
      </c>
      <c r="DM25" s="479">
        <f>'Hodnocení '!DM25</f>
        <v>35837.69</v>
      </c>
      <c r="DN25" s="479">
        <f>'Hodnocení '!DN25</f>
        <v>109510.39999999999</v>
      </c>
      <c r="DO25" s="479">
        <f>'Hodnocení '!DO25</f>
        <v>95968.88</v>
      </c>
      <c r="DP25" s="479">
        <f>'Hodnocení '!DP25</f>
        <v>69363.48</v>
      </c>
      <c r="DQ25" s="479">
        <f>'Hodnocení '!DQ25</f>
        <v>93448.61</v>
      </c>
      <c r="DR25" s="479">
        <f>'Hodnocení '!DR25</f>
        <v>156765.31</v>
      </c>
      <c r="DS25" s="479" t="e">
        <f>'Hodnocení '!DS25</f>
        <v>#N/A</v>
      </c>
      <c r="DT25" s="479">
        <f>'Hodnocení '!DT25</f>
        <v>77419.240000000005</v>
      </c>
      <c r="DU25" s="479">
        <f>'Hodnocení '!DU25</f>
        <v>46963.66</v>
      </c>
      <c r="DV25" s="479">
        <f>'Hodnocení '!DV25</f>
        <v>134687.35999999999</v>
      </c>
      <c r="DW25" s="479" t="e">
        <f>'Hodnocení '!DW25</f>
        <v>#N/A</v>
      </c>
      <c r="DX25" s="479">
        <f>'Hodnocení '!DX25</f>
        <v>99006.61</v>
      </c>
      <c r="DY25" s="479">
        <f>'Hodnocení '!DY25</f>
        <v>81742.429999999993</v>
      </c>
      <c r="DZ25" s="479">
        <f>'Hodnocení '!DZ25</f>
        <v>118647.99</v>
      </c>
      <c r="EA25" s="479">
        <f>'Hodnocení '!EA25</f>
        <v>141794.66</v>
      </c>
      <c r="EB25" s="479">
        <f>'Hodnocení '!EB25</f>
        <v>91619.87</v>
      </c>
      <c r="EC25" s="479">
        <f>'Hodnocení '!EC25</f>
        <v>82305.240000000005</v>
      </c>
      <c r="ED25" s="479">
        <f>'Hodnocení '!ED25</f>
        <v>215102.68</v>
      </c>
      <c r="EE25" s="479">
        <f>'Hodnocení '!EE25</f>
        <v>109422.73</v>
      </c>
      <c r="EF25" s="479">
        <f>'Hodnocení '!EF25</f>
        <v>72224.479999999996</v>
      </c>
      <c r="EG25" s="479">
        <f>'Hodnocení '!EG25</f>
        <v>82650.73</v>
      </c>
      <c r="EH25" s="479">
        <f>'Hodnocení '!EH25</f>
        <v>79611.5</v>
      </c>
      <c r="EI25" s="479">
        <f>'Hodnocení '!EI25</f>
        <v>126395.12</v>
      </c>
      <c r="EJ25" s="479">
        <f>'Hodnocení '!EJ25</f>
        <v>89128.07</v>
      </c>
      <c r="EK25" s="479">
        <f>'Hodnocení '!EK25</f>
        <v>77034.45</v>
      </c>
      <c r="EL25" s="479">
        <f>'Hodnocení '!EL25</f>
        <v>223252.74</v>
      </c>
      <c r="EM25" s="479">
        <f>'Hodnocení '!EM25</f>
        <v>106640.28</v>
      </c>
      <c r="EN25" s="479">
        <f>'Hodnocení '!EN25</f>
        <v>57396</v>
      </c>
      <c r="EO25" s="479">
        <f>'Hodnocení '!EO25</f>
        <v>423520</v>
      </c>
      <c r="EP25" s="479">
        <f>'Hodnocení '!EP25</f>
        <v>216088.76</v>
      </c>
      <c r="EQ25" s="479">
        <f>'Hodnocení '!EQ25</f>
        <v>151231.88</v>
      </c>
      <c r="ER25" s="479">
        <f>'Hodnocení '!ER25</f>
        <v>92632.62</v>
      </c>
      <c r="ES25" s="479">
        <f>'Hodnocení '!ES25</f>
        <v>50879.199999999997</v>
      </c>
      <c r="ET25" s="479" t="e">
        <f>'Hodnocení '!ET25</f>
        <v>#N/A</v>
      </c>
      <c r="EU25" s="479" t="e">
        <f>'Hodnocení '!EU25</f>
        <v>#N/A</v>
      </c>
      <c r="EV25" s="479">
        <f>'Hodnocení '!EV25</f>
        <v>7424.29</v>
      </c>
      <c r="EW25" s="479">
        <f>'Hodnocení '!EW25</f>
        <v>38993</v>
      </c>
      <c r="EX25" s="479">
        <f>'Hodnocení '!EX25</f>
        <v>181102.61</v>
      </c>
      <c r="EY25" s="479">
        <f>'Hodnocení '!EY25</f>
        <v>51664.67</v>
      </c>
      <c r="EZ25" s="479">
        <f>'Hodnocení '!EZ25</f>
        <v>204584.26</v>
      </c>
      <c r="FA25" s="479">
        <f>'Hodnocení '!FA25</f>
        <v>142140.76999999999</v>
      </c>
      <c r="FB25" s="479">
        <f>'Hodnocení '!FB25</f>
        <v>116498.46</v>
      </c>
      <c r="FC25" s="479">
        <f>'Hodnocení '!FC25</f>
        <v>128729.94</v>
      </c>
      <c r="FD25" s="479">
        <f>'Hodnocení '!FD25</f>
        <v>84843.87</v>
      </c>
      <c r="FE25" s="479">
        <f>'Hodnocení '!FE25</f>
        <v>69011.02</v>
      </c>
      <c r="FF25" s="479">
        <f>'Hodnocení '!FF25</f>
        <v>54613.15</v>
      </c>
      <c r="FG25" s="479">
        <f>'Hodnocení '!FG25</f>
        <v>184812.39</v>
      </c>
      <c r="FH25" s="479">
        <f>'Hodnocení '!FH25</f>
        <v>136989.04</v>
      </c>
      <c r="FI25" s="479">
        <f>'Hodnocení '!FI25</f>
        <v>175410.4</v>
      </c>
      <c r="FJ25" s="479">
        <f>'Hodnocení '!FJ25</f>
        <v>28935.38</v>
      </c>
      <c r="FK25" s="479">
        <f>'Hodnocení '!FK25</f>
        <v>379207.11</v>
      </c>
      <c r="FL25" s="479">
        <f>'Hodnocení '!FL25</f>
        <v>61396.89</v>
      </c>
      <c r="FM25" s="479">
        <f>'Hodnocení '!FM25</f>
        <v>85687.57</v>
      </c>
      <c r="FN25" s="479">
        <f>'Hodnocení '!FN25</f>
        <v>65314.26</v>
      </c>
      <c r="FO25" s="479">
        <f>'Hodnocení '!FO25</f>
        <v>50918.67</v>
      </c>
      <c r="FP25" s="479">
        <f>'Hodnocení '!FP25</f>
        <v>171044.44</v>
      </c>
      <c r="FQ25" s="479">
        <f>'Hodnocení '!FQ25</f>
        <v>46343.85</v>
      </c>
      <c r="FR25" s="479" t="e">
        <f>'Hodnocení '!FR25</f>
        <v>#N/A</v>
      </c>
      <c r="FS25" s="479">
        <f>'Hodnocení '!FS25</f>
        <v>21921.51</v>
      </c>
      <c r="FT25" s="479">
        <f>'Hodnocení '!FT25</f>
        <v>54804.84</v>
      </c>
      <c r="FU25" s="479">
        <f>'Hodnocení '!FU25</f>
        <v>23126.15</v>
      </c>
      <c r="FV25" s="479">
        <f>'Hodnocení '!FV25</f>
        <v>41196.199999999997</v>
      </c>
      <c r="FW25" s="479">
        <f>'Hodnocení '!FW25</f>
        <v>142449.74</v>
      </c>
      <c r="FX25" s="479">
        <f>'Hodnocení '!FX25</f>
        <v>55285.41</v>
      </c>
      <c r="FY25" s="479">
        <f>'Hodnocení '!FY25</f>
        <v>35824.17</v>
      </c>
      <c r="FZ25" s="479">
        <f>'Hodnocení '!FZ25</f>
        <v>25467.8</v>
      </c>
      <c r="GA25" s="479">
        <f>'Hodnocení '!GA25</f>
        <v>12401.94</v>
      </c>
      <c r="GB25" s="479">
        <f>'Hodnocení '!GB25</f>
        <v>38100.480000000003</v>
      </c>
      <c r="GC25" s="479">
        <f>'Hodnocení '!GC25</f>
        <v>115334.29</v>
      </c>
      <c r="GD25" s="479">
        <f>'Hodnocení '!GD25</f>
        <v>149327.56</v>
      </c>
      <c r="GE25" s="479">
        <f>'Hodnocení '!GE25</f>
        <v>90597.51</v>
      </c>
      <c r="GF25" s="479">
        <f>'Hodnocení '!GF25</f>
        <v>41754.1</v>
      </c>
      <c r="GG25" s="479">
        <f>'Hodnocení '!GG25</f>
        <v>145905.06</v>
      </c>
      <c r="GH25" s="479">
        <f>'Hodnocení '!GH25</f>
        <v>153576.04999999999</v>
      </c>
      <c r="GI25" s="479">
        <f>'Hodnocení '!GI25</f>
        <v>131737.19</v>
      </c>
      <c r="GJ25" s="479">
        <f>'Hodnocení '!GJ25</f>
        <v>118731.79</v>
      </c>
      <c r="GK25" s="479">
        <f>'Hodnocení '!GK25</f>
        <v>102345.44</v>
      </c>
      <c r="GL25" s="479">
        <f>'Hodnocení '!GL25</f>
        <v>52172.6</v>
      </c>
      <c r="GM25" s="479">
        <f>'Hodnocení '!GM25</f>
        <v>50631.51</v>
      </c>
      <c r="GN25" s="479">
        <f>'Hodnocení '!GN25</f>
        <v>27572.58</v>
      </c>
      <c r="GO25" s="479">
        <f>'Hodnocení '!GO25</f>
        <v>195539.12</v>
      </c>
      <c r="GP25" s="479">
        <f>'Hodnocení '!GP25</f>
        <v>211505.46</v>
      </c>
      <c r="GQ25" s="479">
        <f>'Hodnocení '!GQ25</f>
        <v>64639.14</v>
      </c>
      <c r="GR25" s="479">
        <f>'Hodnocení '!GR25</f>
        <v>319624.24</v>
      </c>
      <c r="GS25" s="479">
        <f>'Hodnocení '!GS25</f>
        <v>203436.46</v>
      </c>
      <c r="GT25" s="479">
        <f>'Hodnocení '!GT25</f>
        <v>71664.19</v>
      </c>
      <c r="GU25" s="479">
        <f>'Hodnocení '!GU25</f>
        <v>499760.25</v>
      </c>
      <c r="GV25" s="479" t="e">
        <f>'Hodnocení '!GV25</f>
        <v>#N/A</v>
      </c>
      <c r="GW25" s="479">
        <f>'Hodnocení '!GW25</f>
        <v>115169.04</v>
      </c>
      <c r="GX25" s="479">
        <f>'Hodnocení '!GX25</f>
        <v>48982.85</v>
      </c>
      <c r="GY25" s="479">
        <f>'Hodnocení '!GY25</f>
        <v>122821.31</v>
      </c>
      <c r="GZ25" s="479" t="e">
        <f>'Hodnocení '!GZ25</f>
        <v>#N/A</v>
      </c>
      <c r="HA25" s="479">
        <f>'Hodnocení '!HA25</f>
        <v>59537.47</v>
      </c>
      <c r="HB25" s="479">
        <f>'Hodnocení '!HB25</f>
        <v>133370.82999999999</v>
      </c>
      <c r="HC25" s="479">
        <f>'Hodnocení '!HC25</f>
        <v>156445.29999999999</v>
      </c>
      <c r="HD25" s="479">
        <f>'Hodnocení '!HD25</f>
        <v>40861.43</v>
      </c>
      <c r="HE25" s="479">
        <f>'Hodnocení '!HE25</f>
        <v>231737.51</v>
      </c>
      <c r="HF25" s="479">
        <f>'Hodnocení '!HF25</f>
        <v>34844.04</v>
      </c>
      <c r="HG25" s="479">
        <f>'Hodnocení '!HG25</f>
        <v>16882.330000000002</v>
      </c>
      <c r="HH25" s="479">
        <f>'Hodnocení '!HH25</f>
        <v>59614.31</v>
      </c>
      <c r="HI25" s="479">
        <f>'Hodnocení '!HI25</f>
        <v>79538.98</v>
      </c>
      <c r="HJ25" s="479">
        <f>'Hodnocení '!HJ25</f>
        <v>28285.89</v>
      </c>
      <c r="HK25" s="479">
        <f>'Hodnocení '!HK25</f>
        <v>41363.08</v>
      </c>
      <c r="HL25" s="479">
        <f>'Hodnocení '!HL25</f>
        <v>119296.8</v>
      </c>
      <c r="HM25" s="479">
        <f>'Hodnocení '!HM25</f>
        <v>89427.07</v>
      </c>
      <c r="HN25" s="479">
        <f>'Hodnocení '!HN25</f>
        <v>27966.25</v>
      </c>
      <c r="HO25" s="479">
        <f>'Hodnocení '!HO25</f>
        <v>67135.42</v>
      </c>
      <c r="HP25" s="479">
        <f>'Hodnocení '!HP25</f>
        <v>95922.13</v>
      </c>
      <c r="HQ25" s="479">
        <f>'Hodnocení '!HQ25</f>
        <v>82184.19</v>
      </c>
      <c r="HR25" s="479">
        <f>'Hodnocení '!HR25</f>
        <v>146162.85999999999</v>
      </c>
      <c r="HS25" s="479">
        <f>'Hodnocení '!HS25</f>
        <v>86091.42</v>
      </c>
      <c r="HT25" s="479">
        <f>'Hodnocení '!HT25</f>
        <v>120987.06</v>
      </c>
      <c r="HU25" s="479">
        <f>'Hodnocení '!HU25</f>
        <v>168485.99</v>
      </c>
      <c r="HV25" s="479">
        <f>'Hodnocení '!HV25</f>
        <v>190060.29</v>
      </c>
      <c r="HW25" s="479">
        <f>'Hodnocení '!HW25</f>
        <v>176804.83</v>
      </c>
      <c r="HX25" s="479">
        <f>'Hodnocení '!HX25</f>
        <v>186998.26</v>
      </c>
      <c r="HY25" s="479">
        <f>'Hodnocení '!HY25</f>
        <v>204528.47</v>
      </c>
      <c r="HZ25" s="479">
        <f>'Hodnocení '!HZ25</f>
        <v>235180.63</v>
      </c>
      <c r="IA25" s="479">
        <f>'Hodnocení '!IA25</f>
        <v>202410.2</v>
      </c>
      <c r="IB25" s="479">
        <f>'Hodnocení '!IB25</f>
        <v>183213.48</v>
      </c>
      <c r="IC25" s="479">
        <f>'Hodnocení '!IC25</f>
        <v>172437.02</v>
      </c>
      <c r="ID25" s="479">
        <f>'Hodnocení '!ID25</f>
        <v>159946.29</v>
      </c>
      <c r="IE25" s="479">
        <f>'Hodnocení '!IE25</f>
        <v>153814.68</v>
      </c>
      <c r="IF25" s="479">
        <f>'Hodnocení '!IF25</f>
        <v>269543.09999999998</v>
      </c>
      <c r="IG25" s="479" t="e">
        <f>'Hodnocení '!IG25</f>
        <v>#N/A</v>
      </c>
      <c r="IH25" s="479">
        <f>'Hodnocení '!IH25</f>
        <v>97802.559999999998</v>
      </c>
      <c r="II25" s="479">
        <f>'Hodnocení '!II25</f>
        <v>106738.17</v>
      </c>
      <c r="IJ25" s="479">
        <f>'Hodnocení '!IJ25</f>
        <v>195705.65</v>
      </c>
      <c r="IK25" s="479">
        <f>'Hodnocení '!IK25</f>
        <v>57047.35</v>
      </c>
      <c r="IL25" s="479">
        <f>'Hodnocení '!IL25</f>
        <v>208425.4</v>
      </c>
      <c r="IM25" s="479">
        <f>'Hodnocení '!IM25</f>
        <v>142535.71</v>
      </c>
      <c r="IN25" s="479">
        <f>'Hodnocení '!IN25</f>
        <v>167447.84</v>
      </c>
      <c r="IO25" s="479">
        <f>'Hodnocení '!IO25</f>
        <v>80282.19</v>
      </c>
      <c r="IP25" s="479">
        <f>'Hodnocení '!IP25</f>
        <v>139581.45000000001</v>
      </c>
      <c r="IQ25" s="479">
        <f>'Hodnocení '!IQ25</f>
        <v>113827.27</v>
      </c>
      <c r="IR25" s="479">
        <f>'Hodnocení '!IR25</f>
        <v>90269.41</v>
      </c>
      <c r="IS25" s="479">
        <f>'Hodnocení '!IS25</f>
        <v>204174.36</v>
      </c>
      <c r="IT25" s="479">
        <f>'Hodnocení '!IT25</f>
        <v>171899.25</v>
      </c>
      <c r="IU25" s="479">
        <f>'Hodnocení '!IU25</f>
        <v>72591.64</v>
      </c>
      <c r="IV25" s="479">
        <f>'Hodnocení '!IV25</f>
        <v>191430.98</v>
      </c>
      <c r="IW25" s="479">
        <f>'Hodnocení '!IW25</f>
        <v>172927.32</v>
      </c>
      <c r="IX25" s="479">
        <f>'Hodnocení '!IX25</f>
        <v>98757.94</v>
      </c>
      <c r="IY25" s="479">
        <f>'Hodnocení '!IY25</f>
        <v>143560.04999999999</v>
      </c>
      <c r="IZ25" s="479">
        <f>'Hodnocení '!IZ25</f>
        <v>164938.12</v>
      </c>
      <c r="JA25" s="479">
        <f>'Hodnocení '!JA25</f>
        <v>118288.15</v>
      </c>
      <c r="JB25" s="479">
        <f>'Hodnocení '!JB25</f>
        <v>297365.96000000002</v>
      </c>
      <c r="JC25" s="479">
        <f>'Hodnocení '!JC25</f>
        <v>136427.79</v>
      </c>
      <c r="JD25" s="479">
        <f>'Hodnocení '!JD25</f>
        <v>108151.79</v>
      </c>
      <c r="JE25" s="479">
        <f>'Hodnocení '!JE25</f>
        <v>19972.189999999999</v>
      </c>
      <c r="JF25" s="479">
        <f>'Hodnocení '!JF25</f>
        <v>88456.62</v>
      </c>
      <c r="JG25" s="479">
        <f>'Hodnocení '!JG25</f>
        <v>117445.63</v>
      </c>
      <c r="JH25" s="780">
        <f>'Hodnocení '!JH25</f>
        <v>0</v>
      </c>
      <c r="JI25" s="315">
        <f>'Hodnocení '!JI25</f>
        <v>0</v>
      </c>
    </row>
    <row r="26" spans="1:276" hidden="1" x14ac:dyDescent="0.25">
      <c r="B26" s="733"/>
      <c r="C26" s="360">
        <f>'Hodnocení '!C26</f>
        <v>0</v>
      </c>
      <c r="D26" s="357">
        <f>'Hodnocení '!D26</f>
        <v>0</v>
      </c>
      <c r="E26" s="357">
        <f>'Hodnocení '!E26</f>
        <v>0</v>
      </c>
      <c r="F26" s="357">
        <f>'Hodnocení '!F26</f>
        <v>0</v>
      </c>
      <c r="G26" s="357">
        <f>'Hodnocení '!G26</f>
        <v>0</v>
      </c>
      <c r="H26" s="357">
        <f>'Hodnocení '!H26</f>
        <v>0</v>
      </c>
      <c r="I26" s="357">
        <f>'Hodnocení '!I26</f>
        <v>0</v>
      </c>
      <c r="J26" s="357">
        <f>'Hodnocení '!J26</f>
        <v>0</v>
      </c>
      <c r="K26" s="357">
        <f>'Hodnocení '!K26</f>
        <v>0</v>
      </c>
      <c r="L26" s="357">
        <f>'Hodnocení '!L26</f>
        <v>0</v>
      </c>
      <c r="M26" s="357">
        <f>'Hodnocení '!M26</f>
        <v>0</v>
      </c>
      <c r="N26" s="357">
        <f>'Hodnocení '!N26</f>
        <v>0</v>
      </c>
      <c r="O26" s="357">
        <f>'Hodnocení '!O26</f>
        <v>0</v>
      </c>
      <c r="P26" s="357">
        <f>'Hodnocení '!P26</f>
        <v>0</v>
      </c>
      <c r="Q26" s="357">
        <f>'Hodnocení '!Q26</f>
        <v>0</v>
      </c>
      <c r="R26" s="357">
        <f>'Hodnocení '!R26</f>
        <v>0</v>
      </c>
      <c r="S26" s="357">
        <f>'Hodnocení '!S26</f>
        <v>0</v>
      </c>
      <c r="T26" s="357">
        <f>'Hodnocení '!T26</f>
        <v>0</v>
      </c>
      <c r="U26" s="357">
        <f>'Hodnocení '!U26</f>
        <v>0</v>
      </c>
      <c r="V26" s="357">
        <f>'Hodnocení '!V26</f>
        <v>0</v>
      </c>
      <c r="W26" s="357">
        <f>'Hodnocení '!W26</f>
        <v>0</v>
      </c>
      <c r="X26" s="357">
        <f>'Hodnocení '!X26</f>
        <v>0</v>
      </c>
      <c r="Y26" s="357">
        <f>'Hodnocení '!Y26</f>
        <v>0</v>
      </c>
      <c r="Z26" s="357">
        <f>'Hodnocení '!Z26</f>
        <v>0</v>
      </c>
      <c r="AA26" s="357">
        <f>'Hodnocení '!AA26</f>
        <v>0</v>
      </c>
      <c r="AB26" s="357">
        <f>'Hodnocení '!AB26</f>
        <v>0</v>
      </c>
      <c r="AC26" s="357">
        <f>'Hodnocení '!AC26</f>
        <v>0</v>
      </c>
      <c r="AD26" s="357">
        <f>'Hodnocení '!AD26</f>
        <v>0</v>
      </c>
      <c r="AE26" s="357">
        <f>'Hodnocení '!AE26</f>
        <v>0</v>
      </c>
      <c r="AF26" s="357">
        <f>'Hodnocení '!AF26</f>
        <v>0</v>
      </c>
      <c r="AG26" s="357">
        <f>'Hodnocení '!AG26</f>
        <v>0</v>
      </c>
      <c r="AH26" s="357">
        <f>'Hodnocení '!AH26</f>
        <v>0</v>
      </c>
      <c r="AI26" s="357">
        <f>'Hodnocení '!AI26</f>
        <v>0</v>
      </c>
      <c r="AJ26" s="357">
        <f>'Hodnocení '!AJ26</f>
        <v>0</v>
      </c>
      <c r="AK26" s="357">
        <f>'Hodnocení '!AK26</f>
        <v>0</v>
      </c>
      <c r="AL26" s="357">
        <f>'Hodnocení '!AL26</f>
        <v>0</v>
      </c>
      <c r="AM26" s="357">
        <f>'Hodnocení '!AM26</f>
        <v>0</v>
      </c>
      <c r="AN26" s="357">
        <f>'Hodnocení '!AN26</f>
        <v>0</v>
      </c>
      <c r="AO26" s="357">
        <f>'Hodnocení '!AO26</f>
        <v>0</v>
      </c>
      <c r="AP26" s="357">
        <f>'Hodnocení '!AP26</f>
        <v>0</v>
      </c>
      <c r="AQ26" s="357">
        <f>'Hodnocení '!AQ26</f>
        <v>0</v>
      </c>
      <c r="AR26" s="357">
        <f>'Hodnocení '!AR26</f>
        <v>0</v>
      </c>
      <c r="AS26" s="357">
        <f>'Hodnocení '!AS26</f>
        <v>0</v>
      </c>
      <c r="AT26" s="357">
        <f>'Hodnocení '!AT26</f>
        <v>0</v>
      </c>
      <c r="AU26" s="357">
        <f>'Hodnocení '!AU26</f>
        <v>0</v>
      </c>
      <c r="AV26" s="357">
        <f>'Hodnocení '!AV26</f>
        <v>0</v>
      </c>
      <c r="AW26" s="357">
        <f>'Hodnocení '!AW26</f>
        <v>0</v>
      </c>
      <c r="AX26" s="357">
        <f>'Hodnocení '!AX26</f>
        <v>0</v>
      </c>
      <c r="AY26" s="357">
        <f>'Hodnocení '!AY26</f>
        <v>0</v>
      </c>
      <c r="AZ26" s="357">
        <f>'Hodnocení '!AZ26</f>
        <v>0</v>
      </c>
      <c r="BA26" s="357">
        <f>'Hodnocení '!BA26</f>
        <v>0</v>
      </c>
      <c r="BB26" s="357">
        <f>'Hodnocení '!BB26</f>
        <v>0</v>
      </c>
      <c r="BC26" s="357">
        <f>'Hodnocení '!BC26</f>
        <v>0</v>
      </c>
      <c r="BD26" s="357">
        <f>'Hodnocení '!BD26</f>
        <v>0</v>
      </c>
      <c r="BE26" s="357">
        <f>'Hodnocení '!BE26</f>
        <v>0</v>
      </c>
      <c r="BF26" s="479">
        <f>'Hodnocení '!BF26</f>
        <v>0</v>
      </c>
      <c r="BG26" s="357">
        <f>'Hodnocení '!BG26</f>
        <v>0</v>
      </c>
      <c r="BH26" s="357">
        <f>'Hodnocení '!BH26</f>
        <v>0</v>
      </c>
      <c r="BI26" s="357">
        <f>'Hodnocení '!BI26</f>
        <v>0</v>
      </c>
      <c r="BJ26" s="357">
        <f>'Hodnocení '!BJ26</f>
        <v>0</v>
      </c>
      <c r="BK26" s="357">
        <f>'Hodnocení '!BK26</f>
        <v>0</v>
      </c>
      <c r="BL26" s="357">
        <f>'Hodnocení '!BL26</f>
        <v>0</v>
      </c>
      <c r="BM26" s="357">
        <f>'Hodnocení '!BM26</f>
        <v>0</v>
      </c>
      <c r="BN26" s="357">
        <f>'Hodnocení '!BN26</f>
        <v>0</v>
      </c>
      <c r="BO26" s="357">
        <f>'Hodnocení '!BO26</f>
        <v>0</v>
      </c>
      <c r="BP26" s="357">
        <f>'Hodnocení '!BP26</f>
        <v>0</v>
      </c>
      <c r="BQ26" s="357">
        <f>'Hodnocení '!BQ26</f>
        <v>0</v>
      </c>
      <c r="BR26" s="357">
        <f>'Hodnocení '!BR26</f>
        <v>0</v>
      </c>
      <c r="BS26" s="357">
        <f>'Hodnocení '!BS26</f>
        <v>0</v>
      </c>
      <c r="BT26" s="357">
        <f>'Hodnocení '!BT26</f>
        <v>0</v>
      </c>
      <c r="BU26" s="357">
        <f>'Hodnocení '!BU26</f>
        <v>0</v>
      </c>
      <c r="BV26" s="357">
        <f>'Hodnocení '!BV26</f>
        <v>0</v>
      </c>
      <c r="BW26" s="357">
        <f>'Hodnocení '!BW26</f>
        <v>0</v>
      </c>
      <c r="BX26" s="357">
        <f>'Hodnocení '!BX26</f>
        <v>0</v>
      </c>
      <c r="BY26" s="357">
        <f>'Hodnocení '!BY26</f>
        <v>0</v>
      </c>
      <c r="BZ26" s="357">
        <f>'Hodnocení '!BZ26</f>
        <v>0</v>
      </c>
      <c r="CA26" s="357">
        <f>'Hodnocení '!CA26</f>
        <v>0</v>
      </c>
      <c r="CB26" s="357">
        <f>'Hodnocení '!CB26</f>
        <v>0</v>
      </c>
      <c r="CC26" s="357">
        <f>'Hodnocení '!CC26</f>
        <v>0</v>
      </c>
      <c r="CD26" s="357">
        <f>'Hodnocení '!CD26</f>
        <v>0</v>
      </c>
      <c r="CE26" s="357">
        <f>'Hodnocení '!CE26</f>
        <v>0</v>
      </c>
      <c r="CF26" s="357">
        <f>'Hodnocení '!CF26</f>
        <v>0</v>
      </c>
      <c r="CG26" s="357">
        <f>'Hodnocení '!CG26</f>
        <v>0</v>
      </c>
      <c r="CH26" s="357">
        <f>'Hodnocení '!CH26</f>
        <v>0</v>
      </c>
      <c r="CI26" s="357">
        <f>'Hodnocení '!CI26</f>
        <v>0</v>
      </c>
      <c r="CJ26" s="357">
        <f>'Hodnocení '!CJ26</f>
        <v>0</v>
      </c>
      <c r="CK26" s="357">
        <f>'Hodnocení '!CK26</f>
        <v>0</v>
      </c>
      <c r="CL26" s="357">
        <f>'Hodnocení '!CL26</f>
        <v>0</v>
      </c>
      <c r="CM26" s="357">
        <f>'Hodnocení '!CM26</f>
        <v>0</v>
      </c>
      <c r="CN26" s="357">
        <f>'Hodnocení '!CN26</f>
        <v>0</v>
      </c>
      <c r="CO26" s="357">
        <f>'Hodnocení '!CO26</f>
        <v>0</v>
      </c>
      <c r="CP26" s="357">
        <f>'Hodnocení '!CP26</f>
        <v>0</v>
      </c>
      <c r="CQ26" s="357">
        <f>'Hodnocení '!CQ26</f>
        <v>0</v>
      </c>
      <c r="CR26" s="357">
        <f>'Hodnocení '!CR26</f>
        <v>0</v>
      </c>
      <c r="CS26" s="357">
        <f>'Hodnocení '!CS26</f>
        <v>0</v>
      </c>
      <c r="CT26" s="357">
        <f>'Hodnocení '!CT26</f>
        <v>0</v>
      </c>
      <c r="CU26" s="357">
        <f>'Hodnocení '!CU26</f>
        <v>0</v>
      </c>
      <c r="CV26" s="357">
        <f>'Hodnocení '!CV26</f>
        <v>0</v>
      </c>
      <c r="CW26" s="357">
        <f>'Hodnocení '!CW26</f>
        <v>0</v>
      </c>
      <c r="CX26" s="357">
        <f>'Hodnocení '!CX26</f>
        <v>0</v>
      </c>
      <c r="CY26" s="357">
        <f>'Hodnocení '!CY26</f>
        <v>0</v>
      </c>
      <c r="CZ26" s="357">
        <f>'Hodnocení '!CZ26</f>
        <v>0</v>
      </c>
      <c r="DA26" s="357">
        <f>'Hodnocení '!DA26</f>
        <v>0</v>
      </c>
      <c r="DB26" s="357">
        <f>'Hodnocení '!DB26</f>
        <v>0</v>
      </c>
      <c r="DC26" s="357">
        <f>'Hodnocení '!DC26</f>
        <v>0</v>
      </c>
      <c r="DD26" s="357">
        <f>'Hodnocení '!DD26</f>
        <v>0</v>
      </c>
      <c r="DE26" s="357">
        <f>'Hodnocení '!DE26</f>
        <v>0</v>
      </c>
      <c r="DF26" s="357">
        <f>'Hodnocení '!DF26</f>
        <v>0</v>
      </c>
      <c r="DG26" s="357">
        <f>'Hodnocení '!DG26</f>
        <v>0</v>
      </c>
      <c r="DH26" s="357">
        <f>'Hodnocení '!DH26</f>
        <v>0</v>
      </c>
      <c r="DI26" s="357">
        <f>'Hodnocení '!DI26</f>
        <v>0</v>
      </c>
      <c r="DJ26" s="357">
        <f>'Hodnocení '!DJ26</f>
        <v>0</v>
      </c>
      <c r="DK26" s="357">
        <f>'Hodnocení '!DK26</f>
        <v>0</v>
      </c>
      <c r="DL26" s="357">
        <f>'Hodnocení '!DL26</f>
        <v>0</v>
      </c>
      <c r="DM26" s="357">
        <f>'Hodnocení '!DM26</f>
        <v>0</v>
      </c>
      <c r="DN26" s="357">
        <f>'Hodnocení '!DN26</f>
        <v>0</v>
      </c>
      <c r="DO26" s="357">
        <f>'Hodnocení '!DO26</f>
        <v>0</v>
      </c>
      <c r="DP26" s="357">
        <f>'Hodnocení '!DP26</f>
        <v>0</v>
      </c>
      <c r="DQ26" s="357">
        <f>'Hodnocení '!DQ26</f>
        <v>0</v>
      </c>
      <c r="DR26" s="357">
        <f>'Hodnocení '!DR26</f>
        <v>0</v>
      </c>
      <c r="DS26" s="357">
        <f>'Hodnocení '!DS26</f>
        <v>0</v>
      </c>
      <c r="DT26" s="357">
        <f>'Hodnocení '!DT26</f>
        <v>0</v>
      </c>
      <c r="DU26" s="357">
        <f>'Hodnocení '!DU26</f>
        <v>0</v>
      </c>
      <c r="DV26" s="357">
        <f>'Hodnocení '!DV26</f>
        <v>0</v>
      </c>
      <c r="DW26" s="357">
        <f>'Hodnocení '!DW26</f>
        <v>0</v>
      </c>
      <c r="DX26" s="357">
        <f>'Hodnocení '!DX26</f>
        <v>0</v>
      </c>
      <c r="DY26" s="357">
        <f>'Hodnocení '!DY26</f>
        <v>0</v>
      </c>
      <c r="DZ26" s="357">
        <f>'Hodnocení '!DZ26</f>
        <v>0</v>
      </c>
      <c r="EA26" s="357">
        <f>'Hodnocení '!EA26</f>
        <v>0</v>
      </c>
      <c r="EB26" s="357">
        <f>'Hodnocení '!EB26</f>
        <v>0</v>
      </c>
      <c r="EC26" s="357">
        <f>'Hodnocení '!EC26</f>
        <v>0</v>
      </c>
      <c r="ED26" s="357">
        <f>'Hodnocení '!ED26</f>
        <v>0</v>
      </c>
      <c r="EE26" s="357">
        <f>'Hodnocení '!EE26</f>
        <v>0</v>
      </c>
      <c r="EF26" s="357">
        <f>'Hodnocení '!EF26</f>
        <v>0</v>
      </c>
      <c r="EG26" s="357">
        <f>'Hodnocení '!EG26</f>
        <v>0</v>
      </c>
      <c r="EH26" s="357">
        <f>'Hodnocení '!EH26</f>
        <v>0</v>
      </c>
      <c r="EI26" s="357">
        <f>'Hodnocení '!EI26</f>
        <v>0</v>
      </c>
      <c r="EJ26" s="357">
        <f>'Hodnocení '!EJ26</f>
        <v>0</v>
      </c>
      <c r="EK26" s="357">
        <f>'Hodnocení '!EK26</f>
        <v>0</v>
      </c>
      <c r="EL26" s="357">
        <f>'Hodnocení '!EL26</f>
        <v>0</v>
      </c>
      <c r="EM26" s="357">
        <f>'Hodnocení '!EM26</f>
        <v>0</v>
      </c>
      <c r="EN26" s="357">
        <f>'Hodnocení '!EN26</f>
        <v>0</v>
      </c>
      <c r="EO26" s="357">
        <f>'Hodnocení '!EO26</f>
        <v>0</v>
      </c>
      <c r="EP26" s="357">
        <f>'Hodnocení '!EP26</f>
        <v>0</v>
      </c>
      <c r="EQ26" s="357">
        <f>'Hodnocení '!EQ26</f>
        <v>0</v>
      </c>
      <c r="ER26" s="357">
        <f>'Hodnocení '!ER26</f>
        <v>0</v>
      </c>
      <c r="ES26" s="357">
        <f>'Hodnocení '!ES26</f>
        <v>0</v>
      </c>
      <c r="ET26" s="357">
        <f>'Hodnocení '!ET26</f>
        <v>0</v>
      </c>
      <c r="EU26" s="357">
        <f>'Hodnocení '!EU26</f>
        <v>0</v>
      </c>
      <c r="EV26" s="357">
        <f>'Hodnocení '!EV26</f>
        <v>0</v>
      </c>
      <c r="EW26" s="357">
        <f>'Hodnocení '!EW26</f>
        <v>0</v>
      </c>
      <c r="EX26" s="357">
        <f>'Hodnocení '!EX26</f>
        <v>0</v>
      </c>
      <c r="EY26" s="357">
        <f>'Hodnocení '!EY26</f>
        <v>0</v>
      </c>
      <c r="EZ26" s="357">
        <f>'Hodnocení '!EZ26</f>
        <v>0</v>
      </c>
      <c r="FA26" s="357">
        <f>'Hodnocení '!FA26</f>
        <v>0</v>
      </c>
      <c r="FB26" s="357">
        <f>'Hodnocení '!FB26</f>
        <v>0</v>
      </c>
      <c r="FC26" s="357">
        <f>'Hodnocení '!FC26</f>
        <v>0</v>
      </c>
      <c r="FD26" s="357">
        <f>'Hodnocení '!FD26</f>
        <v>0</v>
      </c>
      <c r="FE26" s="357">
        <f>'Hodnocení '!FE26</f>
        <v>0</v>
      </c>
      <c r="FF26" s="357">
        <f>'Hodnocení '!FF26</f>
        <v>0</v>
      </c>
      <c r="FG26" s="357">
        <f>'Hodnocení '!FG26</f>
        <v>0</v>
      </c>
      <c r="FH26" s="357">
        <f>'Hodnocení '!FH26</f>
        <v>0</v>
      </c>
      <c r="FI26" s="357">
        <f>'Hodnocení '!FI26</f>
        <v>0</v>
      </c>
      <c r="FJ26" s="357">
        <f>'Hodnocení '!FJ26</f>
        <v>0</v>
      </c>
      <c r="FK26" s="357">
        <f>'Hodnocení '!FK26</f>
        <v>0</v>
      </c>
      <c r="FL26" s="357">
        <f>'Hodnocení '!FL26</f>
        <v>0</v>
      </c>
      <c r="FM26" s="357">
        <f>'Hodnocení '!FM26</f>
        <v>0</v>
      </c>
      <c r="FN26" s="357">
        <f>'Hodnocení '!FN26</f>
        <v>0</v>
      </c>
      <c r="FO26" s="357">
        <f>'Hodnocení '!FO26</f>
        <v>0</v>
      </c>
      <c r="FP26" s="357">
        <f>'Hodnocení '!FP26</f>
        <v>0</v>
      </c>
      <c r="FQ26" s="357">
        <f>'Hodnocení '!FQ26</f>
        <v>0</v>
      </c>
      <c r="FR26" s="357">
        <f>'Hodnocení '!FR26</f>
        <v>0</v>
      </c>
      <c r="FS26" s="357">
        <f>'Hodnocení '!FS26</f>
        <v>0</v>
      </c>
      <c r="FT26" s="357">
        <f>'Hodnocení '!FT26</f>
        <v>0</v>
      </c>
      <c r="FU26" s="357">
        <f>'Hodnocení '!FU26</f>
        <v>0</v>
      </c>
      <c r="FV26" s="357">
        <f>'Hodnocení '!FV26</f>
        <v>0</v>
      </c>
      <c r="FW26" s="357">
        <f>'Hodnocení '!FW26</f>
        <v>0</v>
      </c>
      <c r="FX26" s="357">
        <f>'Hodnocení '!FX26</f>
        <v>0</v>
      </c>
      <c r="FY26" s="357">
        <f>'Hodnocení '!FY26</f>
        <v>0</v>
      </c>
      <c r="FZ26" s="357">
        <f>'Hodnocení '!FZ26</f>
        <v>0</v>
      </c>
      <c r="GA26" s="357">
        <f>'Hodnocení '!GA26</f>
        <v>0</v>
      </c>
      <c r="GB26" s="357">
        <f>'Hodnocení '!GB26</f>
        <v>0</v>
      </c>
      <c r="GC26" s="357">
        <f>'Hodnocení '!GC26</f>
        <v>0</v>
      </c>
      <c r="GD26" s="357">
        <f>'Hodnocení '!GD26</f>
        <v>0</v>
      </c>
      <c r="GE26" s="357">
        <f>'Hodnocení '!GE26</f>
        <v>0</v>
      </c>
      <c r="GF26" s="357">
        <f>'Hodnocení '!GF26</f>
        <v>0</v>
      </c>
      <c r="GG26" s="357">
        <f>'Hodnocení '!GG26</f>
        <v>0</v>
      </c>
      <c r="GH26" s="357">
        <f>'Hodnocení '!GH26</f>
        <v>0</v>
      </c>
      <c r="GI26" s="357">
        <f>'Hodnocení '!GI26</f>
        <v>0</v>
      </c>
      <c r="GJ26" s="357">
        <f>'Hodnocení '!GJ26</f>
        <v>0</v>
      </c>
      <c r="GK26" s="357">
        <f>'Hodnocení '!GK26</f>
        <v>0</v>
      </c>
      <c r="GL26" s="357">
        <f>'Hodnocení '!GL26</f>
        <v>0</v>
      </c>
      <c r="GM26" s="357">
        <f>'Hodnocení '!GM26</f>
        <v>0</v>
      </c>
      <c r="GN26" s="357">
        <f>'Hodnocení '!GN26</f>
        <v>0</v>
      </c>
      <c r="GO26" s="357">
        <f>'Hodnocení '!GO26</f>
        <v>0</v>
      </c>
      <c r="GP26" s="357">
        <f>'Hodnocení '!GP26</f>
        <v>0</v>
      </c>
      <c r="GQ26" s="357">
        <f>'Hodnocení '!GQ26</f>
        <v>0</v>
      </c>
      <c r="GR26" s="357">
        <f>'Hodnocení '!GR26</f>
        <v>0</v>
      </c>
      <c r="GS26" s="357">
        <f>'Hodnocení '!GS26</f>
        <v>0</v>
      </c>
      <c r="GT26" s="357">
        <f>'Hodnocení '!GT26</f>
        <v>0</v>
      </c>
      <c r="GU26" s="357">
        <f>'Hodnocení '!GU26</f>
        <v>0</v>
      </c>
      <c r="GV26" s="357">
        <f>'Hodnocení '!GV26</f>
        <v>0</v>
      </c>
      <c r="GW26" s="357">
        <f>'Hodnocení '!GW26</f>
        <v>0</v>
      </c>
      <c r="GX26" s="357">
        <f>'Hodnocení '!GX26</f>
        <v>0</v>
      </c>
      <c r="GY26" s="357">
        <f>'Hodnocení '!GY26</f>
        <v>0</v>
      </c>
      <c r="GZ26" s="357">
        <f>'Hodnocení '!GZ26</f>
        <v>0</v>
      </c>
      <c r="HA26" s="357">
        <f>'Hodnocení '!HA26</f>
        <v>0</v>
      </c>
      <c r="HB26" s="357">
        <f>'Hodnocení '!HB26</f>
        <v>0</v>
      </c>
      <c r="HC26" s="357">
        <f>'Hodnocení '!HC26</f>
        <v>0</v>
      </c>
      <c r="HD26" s="357">
        <f>'Hodnocení '!HD26</f>
        <v>0</v>
      </c>
      <c r="HE26" s="357">
        <f>'Hodnocení '!HE26</f>
        <v>0</v>
      </c>
      <c r="HF26" s="357">
        <f>'Hodnocení '!HF26</f>
        <v>0</v>
      </c>
      <c r="HG26" s="357">
        <f>'Hodnocení '!HG26</f>
        <v>0</v>
      </c>
      <c r="HH26" s="357">
        <f>'Hodnocení '!HH26</f>
        <v>0</v>
      </c>
      <c r="HI26" s="357">
        <f>'Hodnocení '!HI26</f>
        <v>0</v>
      </c>
      <c r="HJ26" s="357">
        <f>'Hodnocení '!HJ26</f>
        <v>0</v>
      </c>
      <c r="HK26" s="357">
        <f>'Hodnocení '!HK26</f>
        <v>0</v>
      </c>
      <c r="HL26" s="357">
        <f>'Hodnocení '!HL26</f>
        <v>0</v>
      </c>
      <c r="HM26" s="357">
        <f>'Hodnocení '!HM26</f>
        <v>0</v>
      </c>
      <c r="HN26" s="357">
        <f>'Hodnocení '!HN26</f>
        <v>0</v>
      </c>
      <c r="HO26" s="357">
        <f>'Hodnocení '!HO26</f>
        <v>0</v>
      </c>
      <c r="HP26" s="357">
        <f>'Hodnocení '!HP26</f>
        <v>0</v>
      </c>
      <c r="HQ26" s="357">
        <f>'Hodnocení '!HQ26</f>
        <v>0</v>
      </c>
      <c r="HR26" s="357">
        <f>'Hodnocení '!HR26</f>
        <v>0</v>
      </c>
      <c r="HS26" s="357">
        <f>'Hodnocení '!HS26</f>
        <v>0</v>
      </c>
      <c r="HT26" s="357">
        <f>'Hodnocení '!HT26</f>
        <v>0</v>
      </c>
      <c r="HU26" s="357">
        <f>'Hodnocení '!HU26</f>
        <v>0</v>
      </c>
      <c r="HV26" s="357">
        <f>'Hodnocení '!HV26</f>
        <v>0</v>
      </c>
      <c r="HW26" s="357">
        <f>'Hodnocení '!HW26</f>
        <v>0</v>
      </c>
      <c r="HX26" s="357">
        <f>'Hodnocení '!HX26</f>
        <v>0</v>
      </c>
      <c r="HY26" s="357">
        <f>'Hodnocení '!HY26</f>
        <v>0</v>
      </c>
      <c r="HZ26" s="357">
        <f>'Hodnocení '!HZ26</f>
        <v>0</v>
      </c>
      <c r="IA26" s="357">
        <f>'Hodnocení '!IA26</f>
        <v>0</v>
      </c>
      <c r="IB26" s="357">
        <f>'Hodnocení '!IB26</f>
        <v>0</v>
      </c>
      <c r="IC26" s="357">
        <f>'Hodnocení '!IC26</f>
        <v>0</v>
      </c>
      <c r="ID26" s="357">
        <f>'Hodnocení '!ID26</f>
        <v>0</v>
      </c>
      <c r="IE26" s="357">
        <f>'Hodnocení '!IE26</f>
        <v>0</v>
      </c>
      <c r="IF26" s="357">
        <f>'Hodnocení '!IF26</f>
        <v>0</v>
      </c>
      <c r="IG26" s="357">
        <f>'Hodnocení '!IG26</f>
        <v>0</v>
      </c>
      <c r="IH26" s="357">
        <f>'Hodnocení '!IH26</f>
        <v>0</v>
      </c>
      <c r="II26" s="357">
        <f>'Hodnocení '!II26</f>
        <v>0</v>
      </c>
      <c r="IJ26" s="357">
        <f>'Hodnocení '!IJ26</f>
        <v>0</v>
      </c>
      <c r="IK26" s="357">
        <f>'Hodnocení '!IK26</f>
        <v>0</v>
      </c>
      <c r="IL26" s="357">
        <f>'Hodnocení '!IL26</f>
        <v>0</v>
      </c>
      <c r="IM26" s="357">
        <f>'Hodnocení '!IM26</f>
        <v>0</v>
      </c>
      <c r="IN26" s="357">
        <f>'Hodnocení '!IN26</f>
        <v>0</v>
      </c>
      <c r="IO26" s="357">
        <f>'Hodnocení '!IO26</f>
        <v>0</v>
      </c>
      <c r="IP26" s="357">
        <f>'Hodnocení '!IP26</f>
        <v>0</v>
      </c>
      <c r="IQ26" s="357">
        <f>'Hodnocení '!IQ26</f>
        <v>0</v>
      </c>
      <c r="IR26" s="357">
        <f>'Hodnocení '!IR26</f>
        <v>0</v>
      </c>
      <c r="IS26" s="357">
        <f>'Hodnocení '!IS26</f>
        <v>0</v>
      </c>
      <c r="IT26" s="357">
        <f>'Hodnocení '!IT26</f>
        <v>0</v>
      </c>
      <c r="IU26" s="357">
        <f>'Hodnocení '!IU26</f>
        <v>0</v>
      </c>
      <c r="IV26" s="357">
        <f>'Hodnocení '!IV26</f>
        <v>0</v>
      </c>
      <c r="IW26" s="357">
        <f>'Hodnocení '!IW26</f>
        <v>0</v>
      </c>
      <c r="IX26" s="357">
        <f>'Hodnocení '!IX26</f>
        <v>0</v>
      </c>
      <c r="IY26" s="357">
        <f>'Hodnocení '!IY26</f>
        <v>0</v>
      </c>
      <c r="IZ26" s="357">
        <f>'Hodnocení '!IZ26</f>
        <v>0</v>
      </c>
      <c r="JA26" s="357">
        <f>'Hodnocení '!JA26</f>
        <v>0</v>
      </c>
      <c r="JB26" s="357">
        <f>'Hodnocení '!JB26</f>
        <v>0</v>
      </c>
      <c r="JC26" s="357">
        <f>'Hodnocení '!JC26</f>
        <v>0</v>
      </c>
      <c r="JD26" s="357">
        <f>'Hodnocení '!JD26</f>
        <v>0</v>
      </c>
      <c r="JE26" s="357">
        <f>'Hodnocení '!JE26</f>
        <v>0</v>
      </c>
      <c r="JF26" s="357">
        <f>'Hodnocení '!JF26</f>
        <v>0</v>
      </c>
      <c r="JG26" s="357">
        <f>'Hodnocení '!JG26</f>
        <v>0</v>
      </c>
      <c r="JH26" s="772">
        <f>'Hodnocení '!JH26</f>
        <v>0</v>
      </c>
      <c r="JI26" s="315">
        <f>'Hodnocení '!JI26</f>
        <v>0</v>
      </c>
    </row>
    <row r="27" spans="1:276" hidden="1" x14ac:dyDescent="0.25">
      <c r="B27" s="733" t="s">
        <v>1886</v>
      </c>
      <c r="C27" s="787">
        <f>'Hodnocení '!C27</f>
        <v>19.77</v>
      </c>
      <c r="D27" s="693">
        <f>'Hodnocení '!D27</f>
        <v>16</v>
      </c>
      <c r="E27" s="693">
        <f>'Hodnocení '!E27</f>
        <v>21.75</v>
      </c>
      <c r="F27" s="693">
        <f>'Hodnocení '!F27</f>
        <v>7.94</v>
      </c>
      <c r="G27" s="693">
        <f>'Hodnocení '!G27</f>
        <v>16.77</v>
      </c>
      <c r="H27" s="693">
        <f>'Hodnocení '!H27</f>
        <v>0</v>
      </c>
      <c r="I27" s="693">
        <f>'Hodnocení '!I27</f>
        <v>2.62</v>
      </c>
      <c r="J27" s="693">
        <f>'Hodnocení '!J27</f>
        <v>4.0199999999999996</v>
      </c>
      <c r="K27" s="693">
        <f>'Hodnocení '!K27</f>
        <v>10</v>
      </c>
      <c r="L27" s="693">
        <f>'Hodnocení '!L27</f>
        <v>4.3499999999999996</v>
      </c>
      <c r="M27" s="693">
        <f>'Hodnocení '!M27</f>
        <v>7</v>
      </c>
      <c r="N27" s="693">
        <f>'Hodnocení '!N27</f>
        <v>7.9</v>
      </c>
      <c r="O27" s="693">
        <f>'Hodnocení '!O27</f>
        <v>5.73</v>
      </c>
      <c r="P27" s="693">
        <f>'Hodnocení '!P27</f>
        <v>3.91</v>
      </c>
      <c r="Q27" s="693">
        <f>'Hodnocení '!Q27</f>
        <v>2.1</v>
      </c>
      <c r="R27" s="693">
        <f>'Hodnocení '!R27</f>
        <v>3.29</v>
      </c>
      <c r="S27" s="693">
        <f>'Hodnocení '!S27</f>
        <v>2.5299999999999998</v>
      </c>
      <c r="T27" s="693">
        <f>'Hodnocení '!T27</f>
        <v>1</v>
      </c>
      <c r="U27" s="693">
        <f>'Hodnocení '!U27</f>
        <v>1.81</v>
      </c>
      <c r="V27" s="693">
        <f>'Hodnocení '!V27</f>
        <v>32.28</v>
      </c>
      <c r="W27" s="693">
        <f>'Hodnocení '!W27</f>
        <v>4.92</v>
      </c>
      <c r="X27" s="693">
        <f>'Hodnocení '!X27</f>
        <v>1.85</v>
      </c>
      <c r="Y27" s="693">
        <f>'Hodnocení '!Y27</f>
        <v>4.5</v>
      </c>
      <c r="Z27" s="693">
        <f>'Hodnocení '!Z27</f>
        <v>14.85</v>
      </c>
      <c r="AA27" s="693">
        <f>'Hodnocení '!AA27</f>
        <v>6.2</v>
      </c>
      <c r="AB27" s="693">
        <f>'Hodnocení '!AB27</f>
        <v>6.52</v>
      </c>
      <c r="AC27" s="693">
        <f>'Hodnocení '!AC27</f>
        <v>2.63</v>
      </c>
      <c r="AD27" s="693">
        <f>'Hodnocení '!AD27</f>
        <v>2.0699999999999998</v>
      </c>
      <c r="AE27" s="693">
        <f>'Hodnocení '!AE27</f>
        <v>1.84</v>
      </c>
      <c r="AF27" s="693">
        <f>'Hodnocení '!AF27</f>
        <v>3.65</v>
      </c>
      <c r="AG27" s="693">
        <f>'Hodnocení '!AG27</f>
        <v>7.42</v>
      </c>
      <c r="AH27" s="693">
        <f>'Hodnocení '!AH27</f>
        <v>2.0699999999999998</v>
      </c>
      <c r="AI27" s="693">
        <f>'Hodnocení '!AI27</f>
        <v>11.67</v>
      </c>
      <c r="AJ27" s="693">
        <f>'Hodnocení '!AJ27</f>
        <v>7.36</v>
      </c>
      <c r="AK27" s="693">
        <f>'Hodnocení '!AK27</f>
        <v>2.1</v>
      </c>
      <c r="AL27" s="693">
        <f>'Hodnocení '!AL27</f>
        <v>3</v>
      </c>
      <c r="AM27" s="693">
        <f>'Hodnocení '!AM27</f>
        <v>2.1</v>
      </c>
      <c r="AN27" s="693">
        <f>'Hodnocení '!AN27</f>
        <v>1.44</v>
      </c>
      <c r="AO27" s="693">
        <f>'Hodnocení '!AO27</f>
        <v>11.83</v>
      </c>
      <c r="AP27" s="693">
        <f>'Hodnocení '!AP27</f>
        <v>5.3</v>
      </c>
      <c r="AQ27" s="693">
        <f>'Hodnocení '!AQ27</f>
        <v>0.4</v>
      </c>
      <c r="AR27" s="693">
        <f>'Hodnocení '!AR27</f>
        <v>1.5</v>
      </c>
      <c r="AS27" s="693">
        <f>'Hodnocení '!AS27</f>
        <v>0.6</v>
      </c>
      <c r="AT27" s="693">
        <f>'Hodnocení '!AT27</f>
        <v>6.39</v>
      </c>
      <c r="AU27" s="693">
        <f>'Hodnocení '!AU27</f>
        <v>1.84</v>
      </c>
      <c r="AV27" s="693">
        <f>'Hodnocení '!AV27</f>
        <v>2.77</v>
      </c>
      <c r="AW27" s="693">
        <f>'Hodnocení '!AW27</f>
        <v>5.19</v>
      </c>
      <c r="AX27" s="693">
        <f>'Hodnocení '!AX27</f>
        <v>6.05</v>
      </c>
      <c r="AY27" s="693">
        <f>'Hodnocení '!AY27</f>
        <v>4.8899999999999997</v>
      </c>
      <c r="AZ27" s="693">
        <f>'Hodnocení '!AZ27</f>
        <v>5</v>
      </c>
      <c r="BA27" s="693">
        <f>'Hodnocení '!BA27</f>
        <v>21.65</v>
      </c>
      <c r="BB27" s="693">
        <f>'Hodnocení '!BB27</f>
        <v>1.5</v>
      </c>
      <c r="BC27" s="693">
        <f>'Hodnocení '!BC27</f>
        <v>1.5</v>
      </c>
      <c r="BD27" s="693">
        <f>'Hodnocení '!BD27</f>
        <v>1.64</v>
      </c>
      <c r="BE27" s="693">
        <f>'Hodnocení '!BE27</f>
        <v>1.39</v>
      </c>
      <c r="BF27" s="693">
        <f>'Hodnocení '!BF27</f>
        <v>3</v>
      </c>
      <c r="BG27" s="693">
        <f>'Hodnocení '!BG27</f>
        <v>4.28</v>
      </c>
      <c r="BH27" s="693">
        <f>'Hodnocení '!BH27</f>
        <v>5.75</v>
      </c>
      <c r="BI27" s="693">
        <f>'Hodnocení '!BI27</f>
        <v>6.13</v>
      </c>
      <c r="BJ27" s="693">
        <f>'Hodnocení '!BJ27</f>
        <v>7.25</v>
      </c>
      <c r="BK27" s="693">
        <f>'Hodnocení '!BK27</f>
        <v>1.65</v>
      </c>
      <c r="BL27" s="693">
        <f>'Hodnocení '!BL27</f>
        <v>0</v>
      </c>
      <c r="BM27" s="693">
        <f>'Hodnocení '!BM27</f>
        <v>4</v>
      </c>
      <c r="BN27" s="693">
        <f>'Hodnocení '!BN27</f>
        <v>1.83</v>
      </c>
      <c r="BO27" s="693">
        <f>'Hodnocení '!BO27</f>
        <v>1.1499999999999999</v>
      </c>
      <c r="BP27" s="693">
        <f>'Hodnocení '!BP27</f>
        <v>6.85</v>
      </c>
      <c r="BQ27" s="693">
        <f>'Hodnocení '!BQ27</f>
        <v>1.1499999999999999</v>
      </c>
      <c r="BR27" s="693">
        <f>'Hodnocení '!BR27</f>
        <v>1.6</v>
      </c>
      <c r="BS27" s="693">
        <f>'Hodnocení '!BS27</f>
        <v>1.8</v>
      </c>
      <c r="BT27" s="693">
        <f>'Hodnocení '!BT27</f>
        <v>1.75</v>
      </c>
      <c r="BU27" s="693">
        <f>'Hodnocení '!BU27</f>
        <v>8.99</v>
      </c>
      <c r="BV27" s="693">
        <f>'Hodnocení '!BV27</f>
        <v>2.25</v>
      </c>
      <c r="BW27" s="693">
        <f>'Hodnocení '!BW27</f>
        <v>0.45</v>
      </c>
      <c r="BX27" s="693">
        <f>'Hodnocení '!BX27</f>
        <v>12.55</v>
      </c>
      <c r="BY27" s="693">
        <f>'Hodnocení '!BY27</f>
        <v>3.5</v>
      </c>
      <c r="BZ27" s="693">
        <f>'Hodnocení '!BZ27</f>
        <v>0.39</v>
      </c>
      <c r="CA27" s="693">
        <f>'Hodnocení '!CA27</f>
        <v>0</v>
      </c>
      <c r="CB27" s="693">
        <f>'Hodnocení '!CB27</f>
        <v>0.71</v>
      </c>
      <c r="CC27" s="693">
        <f>'Hodnocení '!CC27</f>
        <v>3.35</v>
      </c>
      <c r="CD27" s="693">
        <f>'Hodnocení '!CD27</f>
        <v>1.04</v>
      </c>
      <c r="CE27" s="693">
        <f>'Hodnocení '!CE27</f>
        <v>30.9</v>
      </c>
      <c r="CF27" s="693">
        <f>'Hodnocení '!CF27</f>
        <v>5.32</v>
      </c>
      <c r="CG27" s="693">
        <f>'Hodnocení '!CG27</f>
        <v>15.92</v>
      </c>
      <c r="CH27" s="693">
        <f>'Hodnocení '!CH27</f>
        <v>6.8</v>
      </c>
      <c r="CI27" s="693">
        <f>'Hodnocení '!CI27</f>
        <v>3.99</v>
      </c>
      <c r="CJ27" s="693">
        <f>'Hodnocení '!CJ27</f>
        <v>6.19</v>
      </c>
      <c r="CK27" s="693">
        <f>'Hodnocení '!CK27</f>
        <v>6.8</v>
      </c>
      <c r="CL27" s="694">
        <f>'Hodnocení '!CL27</f>
        <v>3.93</v>
      </c>
      <c r="CM27" s="693">
        <f>'Hodnocení '!CM27</f>
        <v>13.23</v>
      </c>
      <c r="CN27" s="693">
        <f>'Hodnocení '!CN27</f>
        <v>2.36</v>
      </c>
      <c r="CO27" s="693">
        <f>'Hodnocení '!CO27</f>
        <v>2.1800000000000002</v>
      </c>
      <c r="CP27" s="693">
        <f>'Hodnocení '!CP27</f>
        <v>2.29</v>
      </c>
      <c r="CQ27" s="693">
        <f>'Hodnocení '!CQ27</f>
        <v>7.18</v>
      </c>
      <c r="CR27" s="693">
        <f>'Hodnocení '!CR27</f>
        <v>0</v>
      </c>
      <c r="CS27" s="693">
        <f>'Hodnocení '!CS27</f>
        <v>0</v>
      </c>
      <c r="CT27" s="693">
        <f>'Hodnocení '!CT27</f>
        <v>5.58</v>
      </c>
      <c r="CU27" s="693">
        <f>'Hodnocení '!CU27</f>
        <v>4</v>
      </c>
      <c r="CV27" s="693">
        <f>'Hodnocení '!CV27</f>
        <v>15</v>
      </c>
      <c r="CW27" s="693">
        <f>'Hodnocení '!CW27</f>
        <v>0</v>
      </c>
      <c r="CX27" s="693">
        <f>'Hodnocení '!CX27</f>
        <v>11.2</v>
      </c>
      <c r="CY27" s="693">
        <f>'Hodnocení '!CY27</f>
        <v>6.2</v>
      </c>
      <c r="CZ27" s="693">
        <f>'Hodnocení '!CZ27</f>
        <v>2.5</v>
      </c>
      <c r="DA27" s="693">
        <f>'Hodnocení '!DA27</f>
        <v>4.2699999999999996</v>
      </c>
      <c r="DB27" s="693">
        <f>'Hodnocení '!DB27</f>
        <v>1.04</v>
      </c>
      <c r="DC27" s="693">
        <f>'Hodnocení '!DC27</f>
        <v>2.5</v>
      </c>
      <c r="DD27" s="693">
        <f>'Hodnocení '!DD27</f>
        <v>7.51</v>
      </c>
      <c r="DE27" s="693">
        <f>'Hodnocení '!DE27</f>
        <v>11.41</v>
      </c>
      <c r="DF27" s="693">
        <f>'Hodnocení '!DF27</f>
        <v>8.8800000000000008</v>
      </c>
      <c r="DG27" s="693">
        <f>'Hodnocení '!DG27</f>
        <v>0</v>
      </c>
      <c r="DH27" s="693">
        <f>'Hodnocení '!DH27</f>
        <v>2.4</v>
      </c>
      <c r="DI27" s="693">
        <f>'Hodnocení '!DI27</f>
        <v>1.63</v>
      </c>
      <c r="DJ27" s="693">
        <f>'Hodnocení '!DJ27</f>
        <v>3.25</v>
      </c>
      <c r="DK27" s="693">
        <f>'Hodnocení '!DK27</f>
        <v>1.35</v>
      </c>
      <c r="DL27" s="693">
        <f>'Hodnocení '!DL27</f>
        <v>9.42</v>
      </c>
      <c r="DM27" s="693">
        <f>'Hodnocení '!DM27</f>
        <v>6.5</v>
      </c>
      <c r="DN27" s="693">
        <f>'Hodnocení '!DN27</f>
        <v>5</v>
      </c>
      <c r="DO27" s="693">
        <f>'Hodnocení '!DO27</f>
        <v>2.02</v>
      </c>
      <c r="DP27" s="693">
        <f>'Hodnocení '!DP27</f>
        <v>6.15</v>
      </c>
      <c r="DQ27" s="693">
        <f>'Hodnocení '!DQ27</f>
        <v>5.87</v>
      </c>
      <c r="DR27" s="693">
        <f>'Hodnocení '!DR27</f>
        <v>5.15</v>
      </c>
      <c r="DS27" s="693">
        <f>'Hodnocení '!DS27</f>
        <v>0</v>
      </c>
      <c r="DT27" s="693">
        <f>'Hodnocení '!DT27</f>
        <v>6.08</v>
      </c>
      <c r="DU27" s="693">
        <f>'Hodnocení '!DU27</f>
        <v>3.4</v>
      </c>
      <c r="DV27" s="693">
        <f>'Hodnocení '!DV27</f>
        <v>12.5</v>
      </c>
      <c r="DW27" s="693">
        <f>'Hodnocení '!DW27</f>
        <v>0</v>
      </c>
      <c r="DX27" s="693">
        <f>'Hodnocení '!DX27</f>
        <v>6.6</v>
      </c>
      <c r="DY27" s="693">
        <f>'Hodnocení '!DY27</f>
        <v>8.8000000000000007</v>
      </c>
      <c r="DZ27" s="693">
        <f>'Hodnocení '!DZ27</f>
        <v>0.95</v>
      </c>
      <c r="EA27" s="693">
        <f>'Hodnocení '!EA27</f>
        <v>6.55</v>
      </c>
      <c r="EB27" s="693">
        <f>'Hodnocení '!EB27</f>
        <v>10.62</v>
      </c>
      <c r="EC27" s="693">
        <f>'Hodnocení '!EC27</f>
        <v>8.48</v>
      </c>
      <c r="ED27" s="693">
        <f>'Hodnocení '!ED27</f>
        <v>5.54</v>
      </c>
      <c r="EE27" s="693">
        <f>'Hodnocení '!EE27</f>
        <v>1.1499999999999999</v>
      </c>
      <c r="EF27" s="693">
        <f>'Hodnocení '!EF27</f>
        <v>1.25</v>
      </c>
      <c r="EG27" s="693">
        <f>'Hodnocení '!EG27</f>
        <v>0.6</v>
      </c>
      <c r="EH27" s="693">
        <f>'Hodnocení '!EH27</f>
        <v>1.21</v>
      </c>
      <c r="EI27" s="693">
        <f>'Hodnocení '!EI27</f>
        <v>1.71</v>
      </c>
      <c r="EJ27" s="693">
        <f>'Hodnocení '!EJ27</f>
        <v>1.6</v>
      </c>
      <c r="EK27" s="693">
        <f>'Hodnocení '!EK27</f>
        <v>8.84</v>
      </c>
      <c r="EL27" s="693">
        <f>'Hodnocení '!EL27</f>
        <v>17.03</v>
      </c>
      <c r="EM27" s="693">
        <f>'Hodnocení '!EM27</f>
        <v>5.27</v>
      </c>
      <c r="EN27" s="693">
        <f>'Hodnocení '!EN27</f>
        <v>3.5</v>
      </c>
      <c r="EO27" s="693">
        <f>'Hodnocení '!EO27</f>
        <v>0.4</v>
      </c>
      <c r="EP27" s="693">
        <f>'Hodnocení '!EP27</f>
        <v>3.47</v>
      </c>
      <c r="EQ27" s="693">
        <f>'Hodnocení '!EQ27</f>
        <v>3.2</v>
      </c>
      <c r="ER27" s="693">
        <f>'Hodnocení '!ER27</f>
        <v>24.94</v>
      </c>
      <c r="ES27" s="693">
        <f>'Hodnocení '!ES27</f>
        <v>15.5</v>
      </c>
      <c r="ET27" s="693">
        <f>'Hodnocení '!ET27</f>
        <v>0</v>
      </c>
      <c r="EU27" s="693">
        <f>'Hodnocení '!EU27</f>
        <v>0</v>
      </c>
      <c r="EV27" s="693">
        <f>'Hodnocení '!EV27</f>
        <v>0.7</v>
      </c>
      <c r="EW27" s="693">
        <f>'Hodnocení '!EW27</f>
        <v>9</v>
      </c>
      <c r="EX27" s="693">
        <f>'Hodnocení '!EX27</f>
        <v>23</v>
      </c>
      <c r="EY27" s="693">
        <f>'Hodnocení '!EY27</f>
        <v>4.5</v>
      </c>
      <c r="EZ27" s="693">
        <f>'Hodnocení '!EZ27</f>
        <v>2.35</v>
      </c>
      <c r="FA27" s="693">
        <f>'Hodnocení '!FA27</f>
        <v>5.2</v>
      </c>
      <c r="FB27" s="693">
        <f>'Hodnocení '!FB27</f>
        <v>0.65</v>
      </c>
      <c r="FC27" s="693">
        <f>'Hodnocení '!FC27</f>
        <v>13.86</v>
      </c>
      <c r="FD27" s="693">
        <f>'Hodnocení '!FD27</f>
        <v>2.69</v>
      </c>
      <c r="FE27" s="693">
        <f>'Hodnocení '!FE27</f>
        <v>1.18</v>
      </c>
      <c r="FF27" s="693">
        <f>'Hodnocení '!FF27</f>
        <v>5.4</v>
      </c>
      <c r="FG27" s="693">
        <f>'Hodnocení '!FG27</f>
        <v>20.5</v>
      </c>
      <c r="FH27" s="693">
        <f>'Hodnocení '!FH27</f>
        <v>23</v>
      </c>
      <c r="FI27" s="693">
        <f>'Hodnocení '!FI27</f>
        <v>25</v>
      </c>
      <c r="FJ27" s="693">
        <f>'Hodnocení '!FJ27</f>
        <v>8</v>
      </c>
      <c r="FK27" s="693">
        <f>'Hodnocení '!FK27</f>
        <v>2.25</v>
      </c>
      <c r="FL27" s="693">
        <f>'Hodnocení '!FL27</f>
        <v>2.25</v>
      </c>
      <c r="FM27" s="693">
        <f>'Hodnocení '!FM27</f>
        <v>11.5</v>
      </c>
      <c r="FN27" s="693">
        <f>'Hodnocení '!FN27</f>
        <v>16.2</v>
      </c>
      <c r="FO27" s="693">
        <f>'Hodnocení '!FO27</f>
        <v>4.5999999999999996</v>
      </c>
      <c r="FP27" s="693">
        <f>'Hodnocení '!FP27</f>
        <v>34</v>
      </c>
      <c r="FQ27" s="693">
        <f>'Hodnocení '!FQ27</f>
        <v>3.8</v>
      </c>
      <c r="FR27" s="693">
        <f>'Hodnocení '!FR27</f>
        <v>0</v>
      </c>
      <c r="FS27" s="693">
        <f>'Hodnocení '!FS27</f>
        <v>5.0999999999999996</v>
      </c>
      <c r="FT27" s="693">
        <f>'Hodnocení '!FT27</f>
        <v>11.6</v>
      </c>
      <c r="FU27" s="693">
        <f>'Hodnocení '!FU27</f>
        <v>1.3</v>
      </c>
      <c r="FV27" s="693">
        <f>'Hodnocení '!FV27</f>
        <v>4.09</v>
      </c>
      <c r="FW27" s="693">
        <f>'Hodnocení '!FW27</f>
        <v>3.9</v>
      </c>
      <c r="FX27" s="693">
        <f>'Hodnocení '!FX27</f>
        <v>2.25</v>
      </c>
      <c r="FY27" s="693">
        <f>'Hodnocení '!FY27</f>
        <v>1.2</v>
      </c>
      <c r="FZ27" s="693">
        <f>'Hodnocení '!FZ27</f>
        <v>15.54</v>
      </c>
      <c r="GA27" s="693">
        <f>'Hodnocení '!GA27</f>
        <v>1.9</v>
      </c>
      <c r="GB27" s="693">
        <f>'Hodnocení '!GB27</f>
        <v>17.100000000000001</v>
      </c>
      <c r="GC27" s="693">
        <f>'Hodnocení '!GC27</f>
        <v>6.94</v>
      </c>
      <c r="GD27" s="693">
        <f>'Hodnocení '!GD27</f>
        <v>27.29</v>
      </c>
      <c r="GE27" s="693">
        <f>'Hodnocení '!GE27</f>
        <v>3.2</v>
      </c>
      <c r="GF27" s="693">
        <f>'Hodnocení '!GF27</f>
        <v>9.6300000000000008</v>
      </c>
      <c r="GG27" s="693">
        <f>'Hodnocení '!GG27</f>
        <v>3.16</v>
      </c>
      <c r="GH27" s="693">
        <f>'Hodnocení '!GH27</f>
        <v>2.38</v>
      </c>
      <c r="GI27" s="693">
        <f>'Hodnocení '!GI27</f>
        <v>27.13</v>
      </c>
      <c r="GJ27" s="693">
        <f>'Hodnocení '!GJ27</f>
        <v>6.48</v>
      </c>
      <c r="GK27" s="693">
        <f>'Hodnocení '!GK27</f>
        <v>6.58</v>
      </c>
      <c r="GL27" s="693">
        <f>'Hodnocení '!GL27</f>
        <v>2.08</v>
      </c>
      <c r="GM27" s="693">
        <f>'Hodnocení '!GM27</f>
        <v>2.38</v>
      </c>
      <c r="GN27" s="693">
        <f>'Hodnocení '!GN27</f>
        <v>2</v>
      </c>
      <c r="GO27" s="693">
        <f>'Hodnocení '!GO27</f>
        <v>17.260000000000002</v>
      </c>
      <c r="GP27" s="693">
        <f>'Hodnocení '!GP27</f>
        <v>2.75</v>
      </c>
      <c r="GQ27" s="693">
        <f>'Hodnocení '!GQ27</f>
        <v>3.5</v>
      </c>
      <c r="GR27" s="693">
        <f>'Hodnocení '!GR27</f>
        <v>3.21</v>
      </c>
      <c r="GS27" s="693">
        <f>'Hodnocení '!GS27</f>
        <v>2.5</v>
      </c>
      <c r="GT27" s="693">
        <f>'Hodnocení '!GT27</f>
        <v>30.25</v>
      </c>
      <c r="GU27" s="693">
        <f>'Hodnocení '!GU27</f>
        <v>2.61</v>
      </c>
      <c r="GV27" s="693">
        <f>'Hodnocení '!GV27</f>
        <v>0</v>
      </c>
      <c r="GW27" s="693">
        <f>'Hodnocení '!GW27</f>
        <v>4.3600000000000003</v>
      </c>
      <c r="GX27" s="693">
        <f>'Hodnocení '!GX27</f>
        <v>1.7</v>
      </c>
      <c r="GY27" s="693">
        <f>'Hodnocení '!GY27</f>
        <v>62.02</v>
      </c>
      <c r="GZ27" s="693">
        <f>'Hodnocení '!GZ27</f>
        <v>0</v>
      </c>
      <c r="HA27" s="693">
        <f>'Hodnocení '!HA27</f>
        <v>21.75</v>
      </c>
      <c r="HB27" s="693">
        <f>'Hodnocení '!HB27</f>
        <v>12</v>
      </c>
      <c r="HC27" s="693">
        <f>'Hodnocení '!HC27</f>
        <v>25.96</v>
      </c>
      <c r="HD27" s="693">
        <f>'Hodnocení '!HD27</f>
        <v>7</v>
      </c>
      <c r="HE27" s="693">
        <f>'Hodnocení '!HE27</f>
        <v>20.5</v>
      </c>
      <c r="HF27" s="693">
        <f>'Hodnocení '!HF27</f>
        <v>5.7</v>
      </c>
      <c r="HG27" s="693">
        <f>'Hodnocení '!HG27</f>
        <v>2.7</v>
      </c>
      <c r="HH27" s="693">
        <f>'Hodnocení '!HH27</f>
        <v>5.4</v>
      </c>
      <c r="HI27" s="693">
        <f>'Hodnocení '!HI27</f>
        <v>9</v>
      </c>
      <c r="HJ27" s="693">
        <f>'Hodnocení '!HJ27</f>
        <v>1.25</v>
      </c>
      <c r="HK27" s="693">
        <f>'Hodnocení '!HK27</f>
        <v>2.6</v>
      </c>
      <c r="HL27" s="693">
        <f>'Hodnocení '!HL27</f>
        <v>66.25</v>
      </c>
      <c r="HM27" s="693">
        <f>'Hodnocení '!HM27</f>
        <v>40.6</v>
      </c>
      <c r="HN27" s="693">
        <f>'Hodnocení '!HN27</f>
        <v>1.1000000000000001</v>
      </c>
      <c r="HO27" s="693">
        <f>'Hodnocení '!HO27</f>
        <v>3.6</v>
      </c>
      <c r="HP27" s="693">
        <f>'Hodnocení '!HP27</f>
        <v>55.3</v>
      </c>
      <c r="HQ27" s="693">
        <f>'Hodnocení '!HQ27</f>
        <v>1.4</v>
      </c>
      <c r="HR27" s="693">
        <f>'Hodnocení '!HR27</f>
        <v>61.64</v>
      </c>
      <c r="HS27" s="693">
        <f>'Hodnocení '!HS27</f>
        <v>10.71</v>
      </c>
      <c r="HT27" s="693">
        <f>'Hodnocení '!HT27</f>
        <v>33</v>
      </c>
      <c r="HU27" s="693">
        <f>'Hodnocení '!HU27</f>
        <v>51.59</v>
      </c>
      <c r="HV27" s="693">
        <f>'Hodnocení '!HV27</f>
        <v>44</v>
      </c>
      <c r="HW27" s="693">
        <f>'Hodnocení '!HW27</f>
        <v>13.66</v>
      </c>
      <c r="HX27" s="693">
        <f>'Hodnocení '!HX27</f>
        <v>40.9</v>
      </c>
      <c r="HY27" s="693">
        <f>'Hodnocení '!HY27</f>
        <v>37.35</v>
      </c>
      <c r="HZ27" s="693">
        <f>'Hodnocení '!HZ27</f>
        <v>19.100000000000001</v>
      </c>
      <c r="IA27" s="693">
        <f>'Hodnocení '!IA27</f>
        <v>21.46</v>
      </c>
      <c r="IB27" s="693">
        <f>'Hodnocení '!IB27</f>
        <v>17.05</v>
      </c>
      <c r="IC27" s="693">
        <f>'Hodnocení '!IC27</f>
        <v>33.549999999999997</v>
      </c>
      <c r="ID27" s="693">
        <f>'Hodnocení '!ID27</f>
        <v>25.49</v>
      </c>
      <c r="IE27" s="693">
        <f>'Hodnocení '!IE27</f>
        <v>26.31</v>
      </c>
      <c r="IF27" s="693">
        <f>'Hodnocení '!IF27</f>
        <v>41</v>
      </c>
      <c r="IG27" s="693">
        <f>'Hodnocení '!IG27</f>
        <v>0</v>
      </c>
      <c r="IH27" s="693">
        <f>'Hodnocení '!IH27</f>
        <v>5.51</v>
      </c>
      <c r="II27" s="693">
        <f>'Hodnocení '!II27</f>
        <v>32.270000000000003</v>
      </c>
      <c r="IJ27" s="693">
        <f>'Hodnocení '!IJ27</f>
        <v>1.5</v>
      </c>
      <c r="IK27" s="693">
        <f>'Hodnocení '!IK27</f>
        <v>4.3</v>
      </c>
      <c r="IL27" s="693">
        <f>'Hodnocení '!IL27</f>
        <v>18</v>
      </c>
      <c r="IM27" s="693">
        <f>'Hodnocení '!IM27</f>
        <v>1.1200000000000001</v>
      </c>
      <c r="IN27" s="693">
        <f>'Hodnocení '!IN27</f>
        <v>20.84</v>
      </c>
      <c r="IO27" s="693">
        <f>'Hodnocení '!IO27</f>
        <v>8.14</v>
      </c>
      <c r="IP27" s="693">
        <f>'Hodnocení '!IP27</f>
        <v>35</v>
      </c>
      <c r="IQ27" s="693">
        <f>'Hodnocení '!IQ27</f>
        <v>39.130000000000003</v>
      </c>
      <c r="IR27" s="693">
        <f>'Hodnocení '!IR27</f>
        <v>1.7</v>
      </c>
      <c r="IS27" s="693">
        <f>'Hodnocení '!IS27</f>
        <v>111.03</v>
      </c>
      <c r="IT27" s="693">
        <f>'Hodnocení '!IT27</f>
        <v>28.16</v>
      </c>
      <c r="IU27" s="693">
        <f>'Hodnocení '!IU27</f>
        <v>7.3</v>
      </c>
      <c r="IV27" s="693">
        <f>'Hodnocení '!IV27</f>
        <v>18.3</v>
      </c>
      <c r="IW27" s="693">
        <f>'Hodnocení '!IW27</f>
        <v>31</v>
      </c>
      <c r="IX27" s="693">
        <f>'Hodnocení '!IX27</f>
        <v>3.4</v>
      </c>
      <c r="IY27" s="693">
        <f>'Hodnocení '!IY27</f>
        <v>22.2</v>
      </c>
      <c r="IZ27" s="693">
        <f>'Hodnocení '!IZ27</f>
        <v>42</v>
      </c>
      <c r="JA27" s="693">
        <f>'Hodnocení '!JA27</f>
        <v>4.1500000000000004</v>
      </c>
      <c r="JB27" s="693">
        <f>'Hodnocení '!JB27</f>
        <v>3.3</v>
      </c>
      <c r="JC27" s="693">
        <f>'Hodnocení '!JC27</f>
        <v>3.3</v>
      </c>
      <c r="JD27" s="693">
        <f>'Hodnocení '!JD27</f>
        <v>8.1</v>
      </c>
      <c r="JE27" s="693">
        <f>'Hodnocení '!JE27</f>
        <v>1.93</v>
      </c>
      <c r="JF27" s="693">
        <f>'Hodnocení '!JF27</f>
        <v>66.069999999999993</v>
      </c>
      <c r="JG27" s="693">
        <f>'Hodnocení '!JG27</f>
        <v>49</v>
      </c>
      <c r="JH27" s="788">
        <f>'Hodnocení '!JH27</f>
        <v>623492</v>
      </c>
      <c r="JI27" s="315">
        <f>'Hodnocení '!JI27</f>
        <v>0</v>
      </c>
    </row>
    <row r="28" spans="1:276" hidden="1" x14ac:dyDescent="0.25">
      <c r="B28" s="733" t="s">
        <v>1877</v>
      </c>
      <c r="C28" s="787">
        <f>'Hodnocení '!C28</f>
        <v>20</v>
      </c>
      <c r="D28" s="693">
        <f>'Hodnocení '!D28</f>
        <v>15.5</v>
      </c>
      <c r="E28" s="693">
        <f>'Hodnocení '!E28</f>
        <v>21.25</v>
      </c>
      <c r="F28" s="693">
        <f>'Hodnocení '!F28</f>
        <v>8.9</v>
      </c>
      <c r="G28" s="693">
        <f>'Hodnocení '!G28</f>
        <v>16.649999999999999</v>
      </c>
      <c r="H28" s="693">
        <f>'Hodnocení '!H28</f>
        <v>0</v>
      </c>
      <c r="I28" s="693">
        <f>'Hodnocení '!I28</f>
        <v>2.5</v>
      </c>
      <c r="J28" s="693">
        <f>'Hodnocení '!J28</f>
        <v>4</v>
      </c>
      <c r="K28" s="693">
        <f>'Hodnocení '!K28</f>
        <v>10</v>
      </c>
      <c r="L28" s="693">
        <f>'Hodnocení '!L28</f>
        <v>4.0599999999999996</v>
      </c>
      <c r="M28" s="693">
        <f>'Hodnocení '!M28</f>
        <v>9</v>
      </c>
      <c r="N28" s="693">
        <f>'Hodnocení '!N28</f>
        <v>8.51</v>
      </c>
      <c r="O28" s="693">
        <f>'Hodnocení '!O28</f>
        <v>6.0700000000000012</v>
      </c>
      <c r="P28" s="693">
        <f>'Hodnocení '!P28</f>
        <v>4</v>
      </c>
      <c r="Q28" s="693">
        <f>'Hodnocení '!Q28</f>
        <v>2</v>
      </c>
      <c r="R28" s="693">
        <f>'Hodnocení '!R28</f>
        <v>3.3</v>
      </c>
      <c r="S28" s="693">
        <f>'Hodnocení '!S28</f>
        <v>2.2999999999999998</v>
      </c>
      <c r="T28" s="693">
        <f>'Hodnocení '!T28</f>
        <v>1</v>
      </c>
      <c r="U28" s="693">
        <f>'Hodnocení '!U28</f>
        <v>1.5</v>
      </c>
      <c r="V28" s="693">
        <f>'Hodnocení '!V28</f>
        <v>31.15</v>
      </c>
      <c r="W28" s="693">
        <f>'Hodnocení '!W28</f>
        <v>5.75</v>
      </c>
      <c r="X28" s="693">
        <f>'Hodnocení '!X28</f>
        <v>1.5</v>
      </c>
      <c r="Y28" s="693">
        <f>'Hodnocení '!Y28</f>
        <v>4.05</v>
      </c>
      <c r="Z28" s="693">
        <f>'Hodnocení '!Z28</f>
        <v>13.95</v>
      </c>
      <c r="AA28" s="693">
        <f>'Hodnocení '!AA28</f>
        <v>6</v>
      </c>
      <c r="AB28" s="693">
        <f>'Hodnocení '!AB28</f>
        <v>6</v>
      </c>
      <c r="AC28" s="693">
        <f>'Hodnocení '!AC28</f>
        <v>2.5</v>
      </c>
      <c r="AD28" s="693">
        <f>'Hodnocení '!AD28</f>
        <v>1.7</v>
      </c>
      <c r="AE28" s="693">
        <f>'Hodnocení '!AE28</f>
        <v>1.7</v>
      </c>
      <c r="AF28" s="693">
        <f>'Hodnocení '!AF28</f>
        <v>3.64</v>
      </c>
      <c r="AG28" s="693">
        <f>'Hodnocení '!AG28</f>
        <v>7</v>
      </c>
      <c r="AH28" s="693">
        <f>'Hodnocení '!AH28</f>
        <v>1.7</v>
      </c>
      <c r="AI28" s="693">
        <f>'Hodnocení '!AI28</f>
        <v>10.775</v>
      </c>
      <c r="AJ28" s="693">
        <f>'Hodnocení '!AJ28</f>
        <v>7.2</v>
      </c>
      <c r="AK28" s="693">
        <f>'Hodnocení '!AK28</f>
        <v>2.1</v>
      </c>
      <c r="AL28" s="693">
        <f>'Hodnocení '!AL28</f>
        <v>3</v>
      </c>
      <c r="AM28" s="693">
        <f>'Hodnocení '!AM28</f>
        <v>2.1</v>
      </c>
      <c r="AN28" s="693">
        <f>'Hodnocení '!AN28</f>
        <v>1.34</v>
      </c>
      <c r="AO28" s="693">
        <f>'Hodnocení '!AO28</f>
        <v>12.14</v>
      </c>
      <c r="AP28" s="693">
        <f>'Hodnocení '!AP28</f>
        <v>5.3</v>
      </c>
      <c r="AQ28" s="693">
        <f>'Hodnocení '!AQ28</f>
        <v>0.4</v>
      </c>
      <c r="AR28" s="693">
        <f>'Hodnocení '!AR28</f>
        <v>1.35</v>
      </c>
      <c r="AS28" s="693">
        <f>'Hodnocení '!AS28</f>
        <v>0.6</v>
      </c>
      <c r="AT28" s="693">
        <f>'Hodnocení '!AT28</f>
        <v>4.7</v>
      </c>
      <c r="AU28" s="693">
        <f>'Hodnocení '!AU28</f>
        <v>1.6</v>
      </c>
      <c r="AV28" s="693">
        <f>'Hodnocení '!AV28</f>
        <v>2.95</v>
      </c>
      <c r="AW28" s="693">
        <f>'Hodnocení '!AW28</f>
        <v>5</v>
      </c>
      <c r="AX28" s="693">
        <f>'Hodnocení '!AX28</f>
        <v>5.35</v>
      </c>
      <c r="AY28" s="693">
        <f>'Hodnocení '!AY28</f>
        <v>4.1899999999999995</v>
      </c>
      <c r="AZ28" s="693">
        <f>'Hodnocení '!AZ28</f>
        <v>4.55</v>
      </c>
      <c r="BA28" s="693">
        <f>'Hodnocení '!BA28</f>
        <v>23.8</v>
      </c>
      <c r="BB28" s="693">
        <f>'Hodnocení '!BB28</f>
        <v>1.9</v>
      </c>
      <c r="BC28" s="693">
        <f>'Hodnocení '!BC28</f>
        <v>1.9</v>
      </c>
      <c r="BD28" s="693">
        <f>'Hodnocení '!BD28</f>
        <v>1.85</v>
      </c>
      <c r="BE28" s="693">
        <f>'Hodnocení '!BE28</f>
        <v>1.45</v>
      </c>
      <c r="BF28" s="693">
        <f>'Hodnocení '!BF28</f>
        <v>2.4</v>
      </c>
      <c r="BG28" s="693">
        <f>'Hodnocení '!BG28</f>
        <v>4</v>
      </c>
      <c r="BH28" s="693">
        <f>'Hodnocení '!BH28</f>
        <v>5.75</v>
      </c>
      <c r="BI28" s="693">
        <f>'Hodnocení '!BI28</f>
        <v>6.78</v>
      </c>
      <c r="BJ28" s="693">
        <f>'Hodnocení '!BJ28</f>
        <v>5.6</v>
      </c>
      <c r="BK28" s="693">
        <f>'Hodnocení '!BK28</f>
        <v>1.5</v>
      </c>
      <c r="BL28" s="693">
        <f>'Hodnocení '!BL28</f>
        <v>0</v>
      </c>
      <c r="BM28" s="693">
        <f>'Hodnocení '!BM28</f>
        <v>3.2</v>
      </c>
      <c r="BN28" s="693">
        <f>'Hodnocení '!BN28</f>
        <v>1.82</v>
      </c>
      <c r="BO28" s="693">
        <f>'Hodnocení '!BO28</f>
        <v>1.1499999999999999</v>
      </c>
      <c r="BP28" s="693">
        <f>'Hodnocení '!BP28</f>
        <v>6.85</v>
      </c>
      <c r="BQ28" s="693">
        <f>'Hodnocení '!BQ28</f>
        <v>1.1499999999999999</v>
      </c>
      <c r="BR28" s="693">
        <f>'Hodnocení '!BR28</f>
        <v>1.35</v>
      </c>
      <c r="BS28" s="693">
        <f>'Hodnocení '!BS28</f>
        <v>1.8</v>
      </c>
      <c r="BT28" s="693">
        <f>'Hodnocení '!BT28</f>
        <v>1.5</v>
      </c>
      <c r="BU28" s="693">
        <f>'Hodnocení '!BU28</f>
        <v>8.5</v>
      </c>
      <c r="BV28" s="693">
        <f>'Hodnocení '!BV28</f>
        <v>2.4</v>
      </c>
      <c r="BW28" s="693">
        <f>'Hodnocení '!BW28</f>
        <v>0.4</v>
      </c>
      <c r="BX28" s="693">
        <f>'Hodnocení '!BX28</f>
        <v>10.25</v>
      </c>
      <c r="BY28" s="693">
        <f>'Hodnocení '!BY28</f>
        <v>4</v>
      </c>
      <c r="BZ28" s="693">
        <f>'Hodnocení '!BZ28</f>
        <v>0.38</v>
      </c>
      <c r="CA28" s="693">
        <f>'Hodnocení '!CA28</f>
        <v>0</v>
      </c>
      <c r="CB28" s="693">
        <f>'Hodnocení '!CB28</f>
        <v>0.3</v>
      </c>
      <c r="CC28" s="693">
        <f>'Hodnocení '!CC28</f>
        <v>3.25</v>
      </c>
      <c r="CD28" s="693">
        <f>'Hodnocení '!CD28</f>
        <v>1</v>
      </c>
      <c r="CE28" s="693">
        <f>'Hodnocení '!CE28</f>
        <v>28.4</v>
      </c>
      <c r="CF28" s="693">
        <f>'Hodnocení '!CF28</f>
        <v>4.5</v>
      </c>
      <c r="CG28" s="693">
        <f>'Hodnocení '!CG28</f>
        <v>15.96</v>
      </c>
      <c r="CH28" s="693">
        <f>'Hodnocení '!CH28</f>
        <v>6.8</v>
      </c>
      <c r="CI28" s="693">
        <f>'Hodnocení '!CI28</f>
        <v>4</v>
      </c>
      <c r="CJ28" s="693">
        <f>'Hodnocení '!CJ28</f>
        <v>6.2</v>
      </c>
      <c r="CK28" s="693">
        <f>'Hodnocení '!CK28</f>
        <v>6.8</v>
      </c>
      <c r="CL28" s="694">
        <f>'Hodnocení '!CL28</f>
        <v>3.93</v>
      </c>
      <c r="CM28" s="693">
        <f>'Hodnocení '!CM28</f>
        <v>13</v>
      </c>
      <c r="CN28" s="693">
        <f>'Hodnocení '!CN28</f>
        <v>2</v>
      </c>
      <c r="CO28" s="693">
        <f>'Hodnocení '!CO28</f>
        <v>2</v>
      </c>
      <c r="CP28" s="693">
        <f>'Hodnocení '!CP28</f>
        <v>2</v>
      </c>
      <c r="CQ28" s="693">
        <f>'Hodnocení '!CQ28</f>
        <v>7.5</v>
      </c>
      <c r="CR28" s="693">
        <f>'Hodnocení '!CR28</f>
        <v>0</v>
      </c>
      <c r="CS28" s="693">
        <f>'Hodnocení '!CS28</f>
        <v>0</v>
      </c>
      <c r="CT28" s="693">
        <f>'Hodnocení '!CT28</f>
        <v>5.5</v>
      </c>
      <c r="CU28" s="693">
        <f>'Hodnocení '!CU28</f>
        <v>4</v>
      </c>
      <c r="CV28" s="693">
        <f>'Hodnocení '!CV28</f>
        <v>11</v>
      </c>
      <c r="CW28" s="693">
        <f>'Hodnocení '!CW28</f>
        <v>0</v>
      </c>
      <c r="CX28" s="693">
        <f>'Hodnocení '!CX28</f>
        <v>9.25</v>
      </c>
      <c r="CY28" s="693">
        <f>'Hodnocení '!CY28</f>
        <v>5.5</v>
      </c>
      <c r="CZ28" s="693">
        <f>'Hodnocení '!CZ28</f>
        <v>1.75</v>
      </c>
      <c r="DA28" s="693">
        <f>'Hodnocení '!DA28</f>
        <v>3.58</v>
      </c>
      <c r="DB28" s="693">
        <f>'Hodnocení '!DB28</f>
        <v>1.1499999999999999</v>
      </c>
      <c r="DC28" s="693">
        <f>'Hodnocení '!DC28</f>
        <v>2.5</v>
      </c>
      <c r="DD28" s="693">
        <f>'Hodnocení '!DD28</f>
        <v>7.5</v>
      </c>
      <c r="DE28" s="693">
        <f>'Hodnocení '!DE28</f>
        <v>10.5</v>
      </c>
      <c r="DF28" s="693">
        <f>'Hodnocení '!DF28</f>
        <v>8.5</v>
      </c>
      <c r="DG28" s="693">
        <f>'Hodnocení '!DG28</f>
        <v>0</v>
      </c>
      <c r="DH28" s="693">
        <f>'Hodnocení '!DH28</f>
        <v>2.25</v>
      </c>
      <c r="DI28" s="693">
        <f>'Hodnocení '!DI28</f>
        <v>1.62</v>
      </c>
      <c r="DJ28" s="693">
        <f>'Hodnocení '!DJ28</f>
        <v>3</v>
      </c>
      <c r="DK28" s="693">
        <f>'Hodnocení '!DK28</f>
        <v>1.35</v>
      </c>
      <c r="DL28" s="693">
        <f>'Hodnocení '!DL28</f>
        <v>9</v>
      </c>
      <c r="DM28" s="693">
        <f>'Hodnocení '!DM28</f>
        <v>5.5</v>
      </c>
      <c r="DN28" s="693">
        <f>'Hodnocení '!DN28</f>
        <v>5</v>
      </c>
      <c r="DO28" s="693">
        <f>'Hodnocení '!DO28</f>
        <v>2</v>
      </c>
      <c r="DP28" s="693">
        <f>'Hodnocení '!DP28</f>
        <v>6</v>
      </c>
      <c r="DQ28" s="693">
        <f>'Hodnocení '!DQ28</f>
        <v>5.8</v>
      </c>
      <c r="DR28" s="693">
        <f>'Hodnocení '!DR28</f>
        <v>5.5</v>
      </c>
      <c r="DS28" s="693">
        <f>'Hodnocení '!DS28</f>
        <v>0</v>
      </c>
      <c r="DT28" s="693">
        <f>'Hodnocení '!DT28</f>
        <v>6.85</v>
      </c>
      <c r="DU28" s="693">
        <f>'Hodnocení '!DU28</f>
        <v>3</v>
      </c>
      <c r="DV28" s="693">
        <f>'Hodnocení '!DV28</f>
        <v>12.1</v>
      </c>
      <c r="DW28" s="693">
        <f>'Hodnocení '!DW28</f>
        <v>0</v>
      </c>
      <c r="DX28" s="693">
        <f>'Hodnocení '!DX28</f>
        <v>6</v>
      </c>
      <c r="DY28" s="693">
        <f>'Hodnocení '!DY28</f>
        <v>9.8000000000000007</v>
      </c>
      <c r="DZ28" s="693">
        <f>'Hodnocení '!DZ28</f>
        <v>0.95</v>
      </c>
      <c r="EA28" s="693">
        <f>'Hodnocení '!EA28</f>
        <v>8</v>
      </c>
      <c r="EB28" s="693">
        <f>'Hodnocení '!EB28</f>
        <v>10.8</v>
      </c>
      <c r="EC28" s="693">
        <f>'Hodnocení '!EC28</f>
        <v>6.75</v>
      </c>
      <c r="ED28" s="693">
        <f>'Hodnocení '!ED28</f>
        <v>5.5</v>
      </c>
      <c r="EE28" s="693">
        <f>'Hodnocení '!EE28</f>
        <v>1.1499999999999999</v>
      </c>
      <c r="EF28" s="693">
        <f>'Hodnocení '!EF28</f>
        <v>1.25</v>
      </c>
      <c r="EG28" s="693">
        <f>'Hodnocení '!EG28</f>
        <v>0.6</v>
      </c>
      <c r="EH28" s="693">
        <f>'Hodnocení '!EH28</f>
        <v>1.25</v>
      </c>
      <c r="EI28" s="693">
        <f>'Hodnocení '!EI28</f>
        <v>1.75</v>
      </c>
      <c r="EJ28" s="693">
        <f>'Hodnocení '!EJ28</f>
        <v>1.6</v>
      </c>
      <c r="EK28" s="693">
        <f>'Hodnocení '!EK28</f>
        <v>8.59</v>
      </c>
      <c r="EL28" s="693">
        <f>'Hodnocení '!EL28</f>
        <v>17.399999999999999</v>
      </c>
      <c r="EM28" s="693">
        <f>'Hodnocení '!EM28</f>
        <v>5.5</v>
      </c>
      <c r="EN28" s="693">
        <f>'Hodnocení '!EN28</f>
        <v>3.5</v>
      </c>
      <c r="EO28" s="693">
        <f>'Hodnocení '!EO28</f>
        <v>0.4</v>
      </c>
      <c r="EP28" s="693">
        <f>'Hodnocení '!EP28</f>
        <v>3.3</v>
      </c>
      <c r="EQ28" s="693">
        <f>'Hodnocení '!EQ28</f>
        <v>2.5</v>
      </c>
      <c r="ER28" s="693">
        <f>'Hodnocení '!ER28</f>
        <v>24</v>
      </c>
      <c r="ES28" s="693">
        <f>'Hodnocení '!ES28</f>
        <v>6.4700000000000006</v>
      </c>
      <c r="ET28" s="693">
        <f>'Hodnocení '!ET28</f>
        <v>0</v>
      </c>
      <c r="EU28" s="693">
        <f>'Hodnocení '!EU28</f>
        <v>0</v>
      </c>
      <c r="EV28" s="693">
        <f>'Hodnocení '!EV28</f>
        <v>0.7</v>
      </c>
      <c r="EW28" s="693">
        <f>'Hodnocení '!EW28</f>
        <v>9</v>
      </c>
      <c r="EX28" s="693">
        <f>'Hodnocení '!EX28</f>
        <v>21</v>
      </c>
      <c r="EY28" s="693">
        <f>'Hodnocení '!EY28</f>
        <v>4.5</v>
      </c>
      <c r="EZ28" s="693">
        <f>'Hodnocení '!EZ28</f>
        <v>2.35</v>
      </c>
      <c r="FA28" s="693">
        <f>'Hodnocení '!FA28</f>
        <v>5.2</v>
      </c>
      <c r="FB28" s="693">
        <f>'Hodnocení '!FB28</f>
        <v>0.54</v>
      </c>
      <c r="FC28" s="693">
        <f>'Hodnocení '!FC28</f>
        <v>13.6</v>
      </c>
      <c r="FD28" s="693">
        <f>'Hodnocení '!FD28</f>
        <v>2.5</v>
      </c>
      <c r="FE28" s="693">
        <f>'Hodnocení '!FE28</f>
        <v>0.9</v>
      </c>
      <c r="FF28" s="693">
        <f>'Hodnocení '!FF28</f>
        <v>4.5</v>
      </c>
      <c r="FG28" s="693">
        <f>'Hodnocení '!FG28</f>
        <v>22.7</v>
      </c>
      <c r="FH28" s="693">
        <f>'Hodnocení '!FH28</f>
        <v>24.5</v>
      </c>
      <c r="FI28" s="693">
        <f>'Hodnocení '!FI28</f>
        <v>25.6</v>
      </c>
      <c r="FJ28" s="693">
        <f>'Hodnocení '!FJ28</f>
        <v>6</v>
      </c>
      <c r="FK28" s="693">
        <f>'Hodnocení '!FK28</f>
        <v>2</v>
      </c>
      <c r="FL28" s="693">
        <f>'Hodnocení '!FL28</f>
        <v>2</v>
      </c>
      <c r="FM28" s="693">
        <f>'Hodnocení '!FM28</f>
        <v>11.5</v>
      </c>
      <c r="FN28" s="693">
        <f>'Hodnocení '!FN28</f>
        <v>16.34</v>
      </c>
      <c r="FO28" s="693">
        <f>'Hodnocení '!FO28</f>
        <v>4.22</v>
      </c>
      <c r="FP28" s="693">
        <f>'Hodnocení '!FP28</f>
        <v>35</v>
      </c>
      <c r="FQ28" s="693">
        <f>'Hodnocení '!FQ28</f>
        <v>3.82</v>
      </c>
      <c r="FR28" s="693">
        <f>'Hodnocení '!FR28</f>
        <v>0</v>
      </c>
      <c r="FS28" s="693">
        <f>'Hodnocení '!FS28</f>
        <v>1.25</v>
      </c>
      <c r="FT28" s="693">
        <f>'Hodnocení '!FT28</f>
        <v>11.7</v>
      </c>
      <c r="FU28" s="693">
        <f>'Hodnocení '!FU28</f>
        <v>1.3</v>
      </c>
      <c r="FV28" s="693">
        <f>'Hodnocení '!FV28</f>
        <v>3.8439999999999999</v>
      </c>
      <c r="FW28" s="693">
        <f>'Hodnocení '!FW28</f>
        <v>4.3</v>
      </c>
      <c r="FX28" s="693">
        <f>'Hodnocení '!FX28</f>
        <v>2.1</v>
      </c>
      <c r="FY28" s="693">
        <f>'Hodnocení '!FY28</f>
        <v>1.2</v>
      </c>
      <c r="FZ28" s="693">
        <f>'Hodnocení '!FZ28</f>
        <v>16</v>
      </c>
      <c r="GA28" s="693">
        <f>'Hodnocení '!GA28</f>
        <v>1.9</v>
      </c>
      <c r="GB28" s="693">
        <f>'Hodnocení '!GB28</f>
        <v>17.100000000000001</v>
      </c>
      <c r="GC28" s="693">
        <f>'Hodnocení '!GC28</f>
        <v>7</v>
      </c>
      <c r="GD28" s="693">
        <f>'Hodnocení '!GD28</f>
        <v>29</v>
      </c>
      <c r="GE28" s="693">
        <f>'Hodnocení '!GE28</f>
        <v>3.2</v>
      </c>
      <c r="GF28" s="693">
        <f>'Hodnocení '!GF28</f>
        <v>8.65</v>
      </c>
      <c r="GG28" s="693">
        <f>'Hodnocení '!GG28</f>
        <v>3.2</v>
      </c>
      <c r="GH28" s="693">
        <f>'Hodnocení '!GH28</f>
        <v>2.41</v>
      </c>
      <c r="GI28" s="693">
        <f>'Hodnocení '!GI28</f>
        <v>26.74</v>
      </c>
      <c r="GJ28" s="693">
        <f>'Hodnocení '!GJ28</f>
        <v>6.4749999999999996</v>
      </c>
      <c r="GK28" s="693">
        <f>'Hodnocení '!GK28</f>
        <v>6.5750000000000002</v>
      </c>
      <c r="GL28" s="693">
        <f>'Hodnocení '!GL28</f>
        <v>2.0499999999999998</v>
      </c>
      <c r="GM28" s="693">
        <f>'Hodnocení '!GM28</f>
        <v>2.35</v>
      </c>
      <c r="GN28" s="693">
        <f>'Hodnocení '!GN28</f>
        <v>2</v>
      </c>
      <c r="GO28" s="693">
        <f>'Hodnocení '!GO28</f>
        <v>16</v>
      </c>
      <c r="GP28" s="693">
        <f>'Hodnocení '!GP28</f>
        <v>2.75</v>
      </c>
      <c r="GQ28" s="693">
        <f>'Hodnocení '!GQ28</f>
        <v>3.5</v>
      </c>
      <c r="GR28" s="693">
        <f>'Hodnocení '!GR28</f>
        <v>3.21</v>
      </c>
      <c r="GS28" s="693">
        <f>'Hodnocení '!GS28</f>
        <v>2</v>
      </c>
      <c r="GT28" s="693">
        <f>'Hodnocení '!GT28</f>
        <v>30.25</v>
      </c>
      <c r="GU28" s="693">
        <f>'Hodnocení '!GU28</f>
        <v>2.61</v>
      </c>
      <c r="GV28" s="693">
        <f>'Hodnocení '!GV28</f>
        <v>0</v>
      </c>
      <c r="GW28" s="693">
        <f>'Hodnocení '!GW28</f>
        <v>5</v>
      </c>
      <c r="GX28" s="693">
        <f>'Hodnocení '!GX28</f>
        <v>1.7</v>
      </c>
      <c r="GY28" s="693">
        <f>'Hodnocení '!GY28</f>
        <v>62</v>
      </c>
      <c r="GZ28" s="693">
        <f>'Hodnocení '!GZ28</f>
        <v>0</v>
      </c>
      <c r="HA28" s="693">
        <f>'Hodnocení '!HA28</f>
        <v>22.3</v>
      </c>
      <c r="HB28" s="693">
        <f>'Hodnocení '!HB28</f>
        <v>13.5</v>
      </c>
      <c r="HC28" s="693">
        <f>'Hodnocení '!HC28</f>
        <v>27.5</v>
      </c>
      <c r="HD28" s="693">
        <f>'Hodnocení '!HD28</f>
        <v>7</v>
      </c>
      <c r="HE28" s="693">
        <f>'Hodnocení '!HE28</f>
        <v>20.5</v>
      </c>
      <c r="HF28" s="693">
        <f>'Hodnocení '!HF28</f>
        <v>5.7</v>
      </c>
      <c r="HG28" s="693">
        <f>'Hodnocení '!HG28</f>
        <v>2.7</v>
      </c>
      <c r="HH28" s="693">
        <f>'Hodnocení '!HH28</f>
        <v>4.5</v>
      </c>
      <c r="HI28" s="693">
        <f>'Hodnocení '!HI28</f>
        <v>9</v>
      </c>
      <c r="HJ28" s="693">
        <f>'Hodnocení '!HJ28</f>
        <v>1.25</v>
      </c>
      <c r="HK28" s="693">
        <f>'Hodnocení '!HK28</f>
        <v>2.6</v>
      </c>
      <c r="HL28" s="693">
        <f>'Hodnocení '!HL28</f>
        <v>66</v>
      </c>
      <c r="HM28" s="693">
        <f>'Hodnocení '!HM28</f>
        <v>40.299999999999997</v>
      </c>
      <c r="HN28" s="693">
        <f>'Hodnocení '!HN28</f>
        <v>1.1000000000000001</v>
      </c>
      <c r="HO28" s="693">
        <f>'Hodnocení '!HO28</f>
        <v>3.6</v>
      </c>
      <c r="HP28" s="693">
        <f>'Hodnocení '!HP28</f>
        <v>53.3</v>
      </c>
      <c r="HQ28" s="693">
        <f>'Hodnocení '!HQ28</f>
        <v>1.4</v>
      </c>
      <c r="HR28" s="693">
        <f>'Hodnocení '!HR28</f>
        <v>60.075000000000003</v>
      </c>
      <c r="HS28" s="693">
        <f>'Hodnocení '!HS28</f>
        <v>9.8999999999999986</v>
      </c>
      <c r="HT28" s="693">
        <f>'Hodnocení '!HT28</f>
        <v>33</v>
      </c>
      <c r="HU28" s="693">
        <f>'Hodnocení '!HU28</f>
        <v>50</v>
      </c>
      <c r="HV28" s="693">
        <f>'Hodnocení '!HV28</f>
        <v>44</v>
      </c>
      <c r="HW28" s="693">
        <f>'Hodnocení '!HW28</f>
        <v>13.34</v>
      </c>
      <c r="HX28" s="693">
        <f>'Hodnocení '!HX28</f>
        <v>42.26</v>
      </c>
      <c r="HY28" s="693">
        <f>'Hodnocení '!HY28</f>
        <v>36.799999999999997</v>
      </c>
      <c r="HZ28" s="693">
        <f>'Hodnocení '!HZ28</f>
        <v>19</v>
      </c>
      <c r="IA28" s="693">
        <f>'Hodnocení '!IA28</f>
        <v>22</v>
      </c>
      <c r="IB28" s="693">
        <f>'Hodnocení '!IB28</f>
        <v>17</v>
      </c>
      <c r="IC28" s="693">
        <f>'Hodnocení '!IC28</f>
        <v>34.200000000000003</v>
      </c>
      <c r="ID28" s="693">
        <f>'Hodnocení '!ID28</f>
        <v>25.8</v>
      </c>
      <c r="IE28" s="693">
        <f>'Hodnocení '!IE28</f>
        <v>31</v>
      </c>
      <c r="IF28" s="693">
        <f>'Hodnocení '!IF28</f>
        <v>41</v>
      </c>
      <c r="IG28" s="693">
        <f>'Hodnocení '!IG28</f>
        <v>0</v>
      </c>
      <c r="IH28" s="693">
        <f>'Hodnocení '!IH28</f>
        <v>6.46</v>
      </c>
      <c r="II28" s="693">
        <f>'Hodnocení '!II28</f>
        <v>32.520000000000003</v>
      </c>
      <c r="IJ28" s="693">
        <f>'Hodnocení '!IJ28</f>
        <v>1.6</v>
      </c>
      <c r="IK28" s="693">
        <f>'Hodnocení '!IK28</f>
        <v>4.3099999999999996</v>
      </c>
      <c r="IL28" s="693">
        <f>'Hodnocení '!IL28</f>
        <v>18</v>
      </c>
      <c r="IM28" s="693">
        <f>'Hodnocení '!IM28</f>
        <v>1.07</v>
      </c>
      <c r="IN28" s="693">
        <f>'Hodnocení '!IN28</f>
        <v>19.68</v>
      </c>
      <c r="IO28" s="693">
        <f>'Hodnocení '!IO28</f>
        <v>7.3</v>
      </c>
      <c r="IP28" s="693">
        <f>'Hodnocení '!IP28</f>
        <v>37</v>
      </c>
      <c r="IQ28" s="693">
        <f>'Hodnocení '!IQ28</f>
        <v>37.299999999999997</v>
      </c>
      <c r="IR28" s="693">
        <f>'Hodnocení '!IR28</f>
        <v>1.7</v>
      </c>
      <c r="IS28" s="693">
        <f>'Hodnocení '!IS28</f>
        <v>122.2</v>
      </c>
      <c r="IT28" s="693">
        <f>'Hodnocení '!IT28</f>
        <v>31.8</v>
      </c>
      <c r="IU28" s="693">
        <f>'Hodnocení '!IU28</f>
        <v>7.3</v>
      </c>
      <c r="IV28" s="693">
        <f>'Hodnocení '!IV28</f>
        <v>18.3</v>
      </c>
      <c r="IW28" s="693">
        <f>'Hodnocení '!IW28</f>
        <v>31</v>
      </c>
      <c r="IX28" s="693">
        <f>'Hodnocení '!IX28</f>
        <v>3.4</v>
      </c>
      <c r="IY28" s="693">
        <f>'Hodnocení '!IY28</f>
        <v>22.524999999999999</v>
      </c>
      <c r="IZ28" s="693">
        <f>'Hodnocení '!IZ28</f>
        <v>42.3</v>
      </c>
      <c r="JA28" s="693">
        <f>'Hodnocení '!JA28</f>
        <v>4.1500000000000004</v>
      </c>
      <c r="JB28" s="693">
        <f>'Hodnocení '!JB28</f>
        <v>3.3</v>
      </c>
      <c r="JC28" s="693">
        <f>'Hodnocení '!JC28</f>
        <v>3.3</v>
      </c>
      <c r="JD28" s="693">
        <f>'Hodnocení '!JD28</f>
        <v>8.1</v>
      </c>
      <c r="JE28" s="693">
        <f>'Hodnocení '!JE28</f>
        <v>7.6</v>
      </c>
      <c r="JF28" s="693">
        <f>'Hodnocení '!JF28</f>
        <v>62.37</v>
      </c>
      <c r="JG28" s="693">
        <f>'Hodnocení '!JG28</f>
        <v>50</v>
      </c>
      <c r="JH28" s="788">
        <f>'Hodnocení '!JH28</f>
        <v>4</v>
      </c>
      <c r="JI28" s="315">
        <f>'Hodnocení '!JI28</f>
        <v>0</v>
      </c>
    </row>
    <row r="29" spans="1:276" x14ac:dyDescent="0.25">
      <c r="B29" s="733" t="s">
        <v>2850</v>
      </c>
      <c r="C29" s="787">
        <f>'Hodnocení '!C29</f>
        <v>20</v>
      </c>
      <c r="D29" s="693">
        <f>'Hodnocení '!D29</f>
        <v>16</v>
      </c>
      <c r="E29" s="693">
        <f>'Hodnocení '!E29</f>
        <v>21</v>
      </c>
      <c r="F29" s="693">
        <f>'Hodnocení '!F29</f>
        <v>9</v>
      </c>
      <c r="G29" s="693">
        <f>'Hodnocení '!G29</f>
        <v>17</v>
      </c>
      <c r="H29" s="693">
        <f>'Hodnocení '!H29</f>
        <v>2</v>
      </c>
      <c r="I29" s="693">
        <f>'Hodnocení '!I29</f>
        <v>4</v>
      </c>
      <c r="J29" s="693">
        <f>'Hodnocení '!J29</f>
        <v>4</v>
      </c>
      <c r="K29" s="693">
        <f>'Hodnocení '!K29</f>
        <v>9</v>
      </c>
      <c r="L29" s="693">
        <f>'Hodnocení '!L29</f>
        <v>5</v>
      </c>
      <c r="M29" s="693">
        <f>'Hodnocení '!M29</f>
        <v>9</v>
      </c>
      <c r="N29" s="693">
        <f>'Hodnocení '!N29</f>
        <v>9</v>
      </c>
      <c r="O29" s="693">
        <f>'Hodnocení '!O29</f>
        <v>6</v>
      </c>
      <c r="P29" s="693">
        <f>'Hodnocení '!P29</f>
        <v>4</v>
      </c>
      <c r="Q29" s="693">
        <f>'Hodnocení '!Q29</f>
        <v>3</v>
      </c>
      <c r="R29" s="693">
        <f>'Hodnocení '!R29</f>
        <v>3</v>
      </c>
      <c r="S29" s="693">
        <f>'Hodnocení '!S29</f>
        <v>2</v>
      </c>
      <c r="T29" s="693">
        <f>'Hodnocení '!T29</f>
        <v>1</v>
      </c>
      <c r="U29" s="693">
        <f>'Hodnocení '!U29</f>
        <v>2</v>
      </c>
      <c r="V29" s="693">
        <f>'Hodnocení '!V29</f>
        <v>31</v>
      </c>
      <c r="W29" s="693">
        <f>'Hodnocení '!W29</f>
        <v>6</v>
      </c>
      <c r="X29" s="693">
        <f>'Hodnocení '!X29</f>
        <v>2</v>
      </c>
      <c r="Y29" s="693">
        <f>'Hodnocení '!Y29</f>
        <v>4</v>
      </c>
      <c r="Z29" s="693">
        <f>'Hodnocení '!Z29</f>
        <v>14</v>
      </c>
      <c r="AA29" s="693">
        <f>'Hodnocení '!AA29</f>
        <v>6</v>
      </c>
      <c r="AB29" s="693">
        <f>'Hodnocení '!AB29</f>
        <v>6</v>
      </c>
      <c r="AC29" s="693">
        <f>'Hodnocení '!AC29</f>
        <v>3</v>
      </c>
      <c r="AD29" s="693">
        <f>'Hodnocení '!AD29</f>
        <v>2</v>
      </c>
      <c r="AE29" s="693">
        <f>'Hodnocení '!AE29</f>
        <v>2</v>
      </c>
      <c r="AF29" s="693">
        <f>'Hodnocení '!AF29</f>
        <v>4</v>
      </c>
      <c r="AG29" s="693">
        <f>'Hodnocení '!AG29</f>
        <v>7</v>
      </c>
      <c r="AH29" s="693">
        <f>'Hodnocení '!AH29</f>
        <v>2</v>
      </c>
      <c r="AI29" s="693">
        <f>'Hodnocení '!AI29</f>
        <v>11</v>
      </c>
      <c r="AJ29" s="693">
        <f>'Hodnocení '!AJ29</f>
        <v>7</v>
      </c>
      <c r="AK29" s="693">
        <f>'Hodnocení '!AK29</f>
        <v>2</v>
      </c>
      <c r="AL29" s="693">
        <f>'Hodnocení '!AL29</f>
        <v>3</v>
      </c>
      <c r="AM29" s="693">
        <f>'Hodnocení '!AM29</f>
        <v>2</v>
      </c>
      <c r="AN29" s="693">
        <f>'Hodnocení '!AN29</f>
        <v>1</v>
      </c>
      <c r="AO29" s="693">
        <f>'Hodnocení '!AO29</f>
        <v>12</v>
      </c>
      <c r="AP29" s="693">
        <f>'Hodnocení '!AP29</f>
        <v>5</v>
      </c>
      <c r="AQ29" s="693">
        <f>'Hodnocení '!AQ29</f>
        <v>0</v>
      </c>
      <c r="AR29" s="693">
        <f>'Hodnocení '!AR29</f>
        <v>2</v>
      </c>
      <c r="AS29" s="693">
        <f>'Hodnocení '!AS29</f>
        <v>1</v>
      </c>
      <c r="AT29" s="693">
        <f>'Hodnocení '!AT29</f>
        <v>5</v>
      </c>
      <c r="AU29" s="693">
        <f>'Hodnocení '!AU29</f>
        <v>2</v>
      </c>
      <c r="AV29" s="693">
        <f>'Hodnocení '!AV29</f>
        <v>3</v>
      </c>
      <c r="AW29" s="693">
        <f>'Hodnocení '!AW29</f>
        <v>5</v>
      </c>
      <c r="AX29" s="693">
        <f>'Hodnocení '!AX29</f>
        <v>5</v>
      </c>
      <c r="AY29" s="693">
        <f>'Hodnocení '!AY29</f>
        <v>4</v>
      </c>
      <c r="AZ29" s="693">
        <f>'Hodnocení '!AZ29</f>
        <v>5</v>
      </c>
      <c r="BA29" s="693">
        <f>'Hodnocení '!BA29</f>
        <v>26</v>
      </c>
      <c r="BB29" s="693">
        <f>'Hodnocení '!BB29</f>
        <v>2</v>
      </c>
      <c r="BC29" s="693">
        <f>'Hodnocení '!BC29</f>
        <v>2</v>
      </c>
      <c r="BD29" s="693">
        <f>'Hodnocení '!BD29</f>
        <v>2</v>
      </c>
      <c r="BE29" s="693">
        <f>'Hodnocení '!BE29</f>
        <v>1</v>
      </c>
      <c r="BF29" s="693">
        <f>'Hodnocení '!BF29</f>
        <v>4</v>
      </c>
      <c r="BG29" s="693">
        <f>'Hodnocení '!BG29</f>
        <v>4</v>
      </c>
      <c r="BH29" s="693">
        <f>'Hodnocení '!BH29</f>
        <v>6</v>
      </c>
      <c r="BI29" s="693">
        <f>'Hodnocení '!BI29</f>
        <v>7</v>
      </c>
      <c r="BJ29" s="693">
        <f>'Hodnocení '!BJ29</f>
        <v>6</v>
      </c>
      <c r="BK29" s="693">
        <f>'Hodnocení '!BK29</f>
        <v>2</v>
      </c>
      <c r="BL29" s="693">
        <f>'Hodnocení '!BL29</f>
        <v>0</v>
      </c>
      <c r="BM29" s="693">
        <f>'Hodnocení '!BM29</f>
        <v>3</v>
      </c>
      <c r="BN29" s="693">
        <f>'Hodnocení '!BN29</f>
        <v>3</v>
      </c>
      <c r="BO29" s="693">
        <f>'Hodnocení '!BO29</f>
        <v>1</v>
      </c>
      <c r="BP29" s="693">
        <f>'Hodnocení '!BP29</f>
        <v>7</v>
      </c>
      <c r="BQ29" s="693">
        <f>'Hodnocení '!BQ29</f>
        <v>1</v>
      </c>
      <c r="BR29" s="693">
        <f>'Hodnocení '!BR29</f>
        <v>1</v>
      </c>
      <c r="BS29" s="693">
        <f>'Hodnocení '!BS29</f>
        <v>2</v>
      </c>
      <c r="BT29" s="693">
        <f>'Hodnocení '!BT29</f>
        <v>2</v>
      </c>
      <c r="BU29" s="693">
        <f>'Hodnocení '!BU29</f>
        <v>9</v>
      </c>
      <c r="BV29" s="693">
        <f>'Hodnocení '!BV29</f>
        <v>2</v>
      </c>
      <c r="BW29" s="693">
        <f>'Hodnocení '!BW29</f>
        <v>0</v>
      </c>
      <c r="BX29" s="693">
        <f>'Hodnocení '!BX29</f>
        <v>10</v>
      </c>
      <c r="BY29" s="693">
        <f>'Hodnocení '!BY29</f>
        <v>4</v>
      </c>
      <c r="BZ29" s="693">
        <f>'Hodnocení '!BZ29</f>
        <v>0</v>
      </c>
      <c r="CA29" s="693">
        <f>'Hodnocení '!CA29</f>
        <v>0</v>
      </c>
      <c r="CB29" s="693">
        <f>'Hodnocení '!CB29</f>
        <v>0</v>
      </c>
      <c r="CC29" s="693">
        <f>'Hodnocení '!CC29</f>
        <v>3</v>
      </c>
      <c r="CD29" s="693">
        <f>'Hodnocení '!CD29</f>
        <v>1</v>
      </c>
      <c r="CE29" s="693">
        <f>'Hodnocení '!CE29</f>
        <v>28</v>
      </c>
      <c r="CF29" s="693">
        <f>'Hodnocení '!CF29</f>
        <v>6</v>
      </c>
      <c r="CG29" s="693">
        <f>'Hodnocení '!CG29</f>
        <v>16</v>
      </c>
      <c r="CH29" s="693">
        <f>'Hodnocení '!CH29</f>
        <v>7</v>
      </c>
      <c r="CI29" s="693">
        <f>'Hodnocení '!CI29</f>
        <v>4</v>
      </c>
      <c r="CJ29" s="693">
        <f>'Hodnocení '!CJ29</f>
        <v>7</v>
      </c>
      <c r="CK29" s="693">
        <f>'Hodnocení '!CK29</f>
        <v>6</v>
      </c>
      <c r="CL29" s="693">
        <f>'Hodnocení '!CL29</f>
        <v>4</v>
      </c>
      <c r="CM29" s="693">
        <f>'Hodnocení '!CM29</f>
        <v>14</v>
      </c>
      <c r="CN29" s="693">
        <f>'Hodnocení '!CN29</f>
        <v>2</v>
      </c>
      <c r="CO29" s="693">
        <f>'Hodnocení '!CO29</f>
        <v>2</v>
      </c>
      <c r="CP29" s="693">
        <f>'Hodnocení '!CP29</f>
        <v>2</v>
      </c>
      <c r="CQ29" s="693">
        <f>'Hodnocení '!CQ29</f>
        <v>9</v>
      </c>
      <c r="CR29" s="693">
        <f>'Hodnocení '!CR29</f>
        <v>5</v>
      </c>
      <c r="CS29" s="693">
        <f>'Hodnocení '!CS29</f>
        <v>7</v>
      </c>
      <c r="CT29" s="693">
        <f>'Hodnocení '!CT29</f>
        <v>7</v>
      </c>
      <c r="CU29" s="693">
        <f>'Hodnocení '!CU29</f>
        <v>4</v>
      </c>
      <c r="CV29" s="693">
        <f>'Hodnocení '!CV29</f>
        <v>11</v>
      </c>
      <c r="CW29" s="693">
        <f>'Hodnocení '!CW29</f>
        <v>1</v>
      </c>
      <c r="CX29" s="693">
        <f>'Hodnocení '!CX29</f>
        <v>11</v>
      </c>
      <c r="CY29" s="693">
        <f>'Hodnocení '!CY29</f>
        <v>7</v>
      </c>
      <c r="CZ29" s="693">
        <f>'Hodnocení '!CZ29</f>
        <v>2</v>
      </c>
      <c r="DA29" s="693">
        <f>'Hodnocení '!DA29</f>
        <v>21</v>
      </c>
      <c r="DB29" s="693">
        <f>'Hodnocení '!DB29</f>
        <v>1</v>
      </c>
      <c r="DC29" s="693">
        <f>'Hodnocení '!DC29</f>
        <v>2.5</v>
      </c>
      <c r="DD29" s="693">
        <f>'Hodnocení '!DD29</f>
        <v>6</v>
      </c>
      <c r="DE29" s="693">
        <f>'Hodnocení '!DE29</f>
        <v>11</v>
      </c>
      <c r="DF29" s="693">
        <f>'Hodnocení '!DF29</f>
        <v>11</v>
      </c>
      <c r="DG29" s="693">
        <f>'Hodnocení '!DG29</f>
        <v>1</v>
      </c>
      <c r="DH29" s="693">
        <f>'Hodnocení '!DH29</f>
        <v>4</v>
      </c>
      <c r="DI29" s="693">
        <f>'Hodnocení '!DI29</f>
        <v>2</v>
      </c>
      <c r="DJ29" s="693">
        <f>'Hodnocení '!DJ29</f>
        <v>3</v>
      </c>
      <c r="DK29" s="693">
        <f>'Hodnocení '!DK29</f>
        <v>1</v>
      </c>
      <c r="DL29" s="693">
        <f>'Hodnocení '!DL29</f>
        <v>9</v>
      </c>
      <c r="DM29" s="693">
        <f>'Hodnocení '!DM29</f>
        <v>6</v>
      </c>
      <c r="DN29" s="693">
        <f>'Hodnocení '!DN29</f>
        <v>5</v>
      </c>
      <c r="DO29" s="693">
        <f>'Hodnocení '!DO29</f>
        <v>2</v>
      </c>
      <c r="DP29" s="693">
        <f>'Hodnocení '!DP29</f>
        <v>7</v>
      </c>
      <c r="DQ29" s="693">
        <f>'Hodnocení '!DQ29</f>
        <v>7</v>
      </c>
      <c r="DR29" s="693">
        <f>'Hodnocení '!DR29</f>
        <v>6</v>
      </c>
      <c r="DS29" s="693">
        <f>'Hodnocení '!DS29</f>
        <v>4</v>
      </c>
      <c r="DT29" s="693">
        <f>'Hodnocení '!DT29</f>
        <v>7</v>
      </c>
      <c r="DU29" s="693">
        <f>'Hodnocení '!DU29</f>
        <v>4</v>
      </c>
      <c r="DV29" s="693">
        <f>'Hodnocení '!DV29</f>
        <v>12</v>
      </c>
      <c r="DW29" s="693">
        <f>'Hodnocení '!DW29</f>
        <v>2</v>
      </c>
      <c r="DX29" s="693">
        <f>'Hodnocení '!DX29</f>
        <v>6</v>
      </c>
      <c r="DY29" s="693">
        <f>'Hodnocení '!DY29</f>
        <v>11</v>
      </c>
      <c r="DZ29" s="693">
        <f>'Hodnocení '!DZ29</f>
        <v>2</v>
      </c>
      <c r="EA29" s="693">
        <f>'Hodnocení '!EA29</f>
        <v>12</v>
      </c>
      <c r="EB29" s="693">
        <f>'Hodnocení '!EB29</f>
        <v>14</v>
      </c>
      <c r="EC29" s="693">
        <f>'Hodnocení '!EC29</f>
        <v>7</v>
      </c>
      <c r="ED29" s="693">
        <f>'Hodnocení '!ED29</f>
        <v>6</v>
      </c>
      <c r="EE29" s="693">
        <f>'Hodnocení '!EE29</f>
        <v>1</v>
      </c>
      <c r="EF29" s="693">
        <f>'Hodnocení '!EF29</f>
        <v>1</v>
      </c>
      <c r="EG29" s="693">
        <f>'Hodnocení '!EG29</f>
        <v>1</v>
      </c>
      <c r="EH29" s="693">
        <f>'Hodnocení '!EH29</f>
        <v>1</v>
      </c>
      <c r="EI29" s="693">
        <f>'Hodnocení '!EI29</f>
        <v>2</v>
      </c>
      <c r="EJ29" s="693">
        <f>'Hodnocení '!EJ29</f>
        <v>2</v>
      </c>
      <c r="EK29" s="693">
        <f>'Hodnocení '!EK29</f>
        <v>9</v>
      </c>
      <c r="EL29" s="693">
        <f>'Hodnocení '!EL29</f>
        <v>17</v>
      </c>
      <c r="EM29" s="693">
        <f>'Hodnocení '!EM29</f>
        <v>6</v>
      </c>
      <c r="EN29" s="693">
        <f>'Hodnocení '!EN29</f>
        <v>4</v>
      </c>
      <c r="EO29" s="693">
        <f>'Hodnocení '!EO29</f>
        <v>0</v>
      </c>
      <c r="EP29" s="693">
        <f>'Hodnocení '!EP29</f>
        <v>3</v>
      </c>
      <c r="EQ29" s="693">
        <f>'Hodnocení '!EQ29</f>
        <v>3</v>
      </c>
      <c r="ER29" s="693">
        <f>'Hodnocení '!ER29</f>
        <v>26</v>
      </c>
      <c r="ES29" s="693">
        <f>'Hodnocení '!ES29</f>
        <v>6</v>
      </c>
      <c r="ET29" s="693">
        <f>'Hodnocení '!ET29</f>
        <v>2</v>
      </c>
      <c r="EU29" s="693">
        <f>'Hodnocení '!EU29</f>
        <v>3</v>
      </c>
      <c r="EV29" s="693">
        <f>'Hodnocení '!EV29</f>
        <v>1</v>
      </c>
      <c r="EW29" s="693">
        <f>'Hodnocení '!EW29</f>
        <v>9</v>
      </c>
      <c r="EX29" s="693">
        <f>'Hodnocení '!EX29</f>
        <v>21</v>
      </c>
      <c r="EY29" s="693">
        <f>'Hodnocení '!EY29</f>
        <v>5</v>
      </c>
      <c r="EZ29" s="693">
        <f>'Hodnocení '!EZ29</f>
        <v>2</v>
      </c>
      <c r="FA29" s="693">
        <f>'Hodnocení '!FA29</f>
        <v>5</v>
      </c>
      <c r="FB29" s="693">
        <f>'Hodnocení '!FB29</f>
        <v>1</v>
      </c>
      <c r="FC29" s="693">
        <f>'Hodnocení '!FC29</f>
        <v>15</v>
      </c>
      <c r="FD29" s="693">
        <f>'Hodnocení '!FD29</f>
        <v>3</v>
      </c>
      <c r="FE29" s="693">
        <f>'Hodnocení '!FE29</f>
        <v>1</v>
      </c>
      <c r="FF29" s="693">
        <f>'Hodnocení '!FF29</f>
        <v>7</v>
      </c>
      <c r="FG29" s="693">
        <f>'Hodnocení '!FG29</f>
        <v>23</v>
      </c>
      <c r="FH29" s="693">
        <f>'Hodnocení '!FH29</f>
        <v>25</v>
      </c>
      <c r="FI29" s="693">
        <f>'Hodnocení '!FI29</f>
        <v>26</v>
      </c>
      <c r="FJ29" s="693">
        <f>'Hodnocení '!FJ29</f>
        <v>8</v>
      </c>
      <c r="FK29" s="693">
        <f>'Hodnocení '!FK29</f>
        <v>2</v>
      </c>
      <c r="FL29" s="693">
        <f>'Hodnocení '!FL29</f>
        <v>2</v>
      </c>
      <c r="FM29" s="693">
        <f>'Hodnocení '!FM29</f>
        <v>12</v>
      </c>
      <c r="FN29" s="693">
        <f>'Hodnocení '!FN29</f>
        <v>16</v>
      </c>
      <c r="FO29" s="693">
        <f>'Hodnocení '!FO29</f>
        <v>4</v>
      </c>
      <c r="FP29" s="693">
        <f>'Hodnocení '!FP29</f>
        <v>35</v>
      </c>
      <c r="FQ29" s="693">
        <f>'Hodnocení '!FQ29</f>
        <v>4</v>
      </c>
      <c r="FR29" s="693">
        <f>'Hodnocení '!FR29</f>
        <v>0</v>
      </c>
      <c r="FS29" s="693">
        <f>'Hodnocení '!FS29</f>
        <v>1</v>
      </c>
      <c r="FT29" s="693">
        <f>'Hodnocení '!FT29</f>
        <v>12</v>
      </c>
      <c r="FU29" s="693">
        <f>'Hodnocení '!FU29</f>
        <v>1</v>
      </c>
      <c r="FV29" s="693">
        <f>'Hodnocení '!FV29</f>
        <v>4</v>
      </c>
      <c r="FW29" s="693">
        <f>'Hodnocení '!FW29</f>
        <v>5</v>
      </c>
      <c r="FX29" s="693">
        <f>'Hodnocení '!FX29</f>
        <v>2</v>
      </c>
      <c r="FY29" s="693">
        <f>'Hodnocení '!FY29</f>
        <v>1</v>
      </c>
      <c r="FZ29" s="693">
        <f>'Hodnocení '!FZ29</f>
        <v>16</v>
      </c>
      <c r="GA29" s="693">
        <f>'Hodnocení '!GA29</f>
        <v>2</v>
      </c>
      <c r="GB29" s="693">
        <f>'Hodnocení '!GB29</f>
        <v>17</v>
      </c>
      <c r="GC29" s="693">
        <f>'Hodnocení '!GC29</f>
        <v>8</v>
      </c>
      <c r="GD29" s="693">
        <f>'Hodnocení '!GD29</f>
        <v>29</v>
      </c>
      <c r="GE29" s="693">
        <f>'Hodnocení '!GE29</f>
        <v>3</v>
      </c>
      <c r="GF29" s="693">
        <f>'Hodnocení '!GF29</f>
        <v>11</v>
      </c>
      <c r="GG29" s="693">
        <f>'Hodnocení '!GG29</f>
        <v>3</v>
      </c>
      <c r="GH29" s="693">
        <f>'Hodnocení '!GH29</f>
        <v>2</v>
      </c>
      <c r="GI29" s="693">
        <f>'Hodnocení '!GI29</f>
        <v>27</v>
      </c>
      <c r="GJ29" s="693">
        <f>'Hodnocení '!GJ29</f>
        <v>7</v>
      </c>
      <c r="GK29" s="693">
        <f>'Hodnocení '!GK29</f>
        <v>7</v>
      </c>
      <c r="GL29" s="693">
        <f>'Hodnocení '!GL29</f>
        <v>2</v>
      </c>
      <c r="GM29" s="693">
        <f>'Hodnocení '!GM29</f>
        <v>2</v>
      </c>
      <c r="GN29" s="693">
        <f>'Hodnocení '!GN29</f>
        <v>2</v>
      </c>
      <c r="GO29" s="693">
        <f>'Hodnocení '!GO29</f>
        <v>17</v>
      </c>
      <c r="GP29" s="693">
        <f>'Hodnocení '!GP29</f>
        <v>3</v>
      </c>
      <c r="GQ29" s="693">
        <f>'Hodnocení '!GQ29</f>
        <v>6</v>
      </c>
      <c r="GR29" s="693">
        <f>'Hodnocení '!GR29</f>
        <v>3</v>
      </c>
      <c r="GS29" s="693">
        <f>'Hodnocení '!GS29</f>
        <v>2</v>
      </c>
      <c r="GT29" s="693">
        <f>'Hodnocení '!GT29</f>
        <v>30</v>
      </c>
      <c r="GU29" s="693">
        <f>'Hodnocení '!GU29</f>
        <v>3</v>
      </c>
      <c r="GV29" s="693">
        <f>'Hodnocení '!GV29</f>
        <v>15</v>
      </c>
      <c r="GW29" s="693">
        <f>'Hodnocení '!GW29</f>
        <v>5</v>
      </c>
      <c r="GX29" s="693">
        <f>'Hodnocení '!GX29</f>
        <v>2</v>
      </c>
      <c r="GY29" s="693">
        <f>'Hodnocení '!GY29</f>
        <v>64</v>
      </c>
      <c r="GZ29" s="693">
        <f>'Hodnocení '!GZ29</f>
        <v>0</v>
      </c>
      <c r="HA29" s="693">
        <f>'Hodnocení '!HA29</f>
        <v>22</v>
      </c>
      <c r="HB29" s="693">
        <f>'Hodnocení '!HB29</f>
        <v>14</v>
      </c>
      <c r="HC29" s="693">
        <f>'Hodnocení '!HC29</f>
        <v>28</v>
      </c>
      <c r="HD29" s="693">
        <f>'Hodnocení '!HD29</f>
        <v>7</v>
      </c>
      <c r="HE29" s="693">
        <f>'Hodnocení '!HE29</f>
        <v>21</v>
      </c>
      <c r="HF29" s="693">
        <f>'Hodnocení '!HF29</f>
        <v>6</v>
      </c>
      <c r="HG29" s="693">
        <f>'Hodnocení '!HG29</f>
        <v>3</v>
      </c>
      <c r="HH29" s="693">
        <f>'Hodnocení '!HH29</f>
        <v>7</v>
      </c>
      <c r="HI29" s="693">
        <f>'Hodnocení '!HI29</f>
        <v>10</v>
      </c>
      <c r="HJ29" s="693">
        <f>'Hodnocení '!HJ29</f>
        <v>1</v>
      </c>
      <c r="HK29" s="693">
        <f>'Hodnocení '!HK29</f>
        <v>3</v>
      </c>
      <c r="HL29" s="693">
        <f>'Hodnocení '!HL29</f>
        <v>66</v>
      </c>
      <c r="HM29" s="693">
        <f>'Hodnocení '!HM29</f>
        <v>40</v>
      </c>
      <c r="HN29" s="693">
        <f>'Hodnocení '!HN29</f>
        <v>1</v>
      </c>
      <c r="HO29" s="693">
        <f>'Hodnocení '!HO29</f>
        <v>4</v>
      </c>
      <c r="HP29" s="693">
        <f>'Hodnocení '!HP29</f>
        <v>53</v>
      </c>
      <c r="HQ29" s="693">
        <f>'Hodnocení '!HQ29</f>
        <v>1</v>
      </c>
      <c r="HR29" s="693">
        <f>'Hodnocení '!HR29</f>
        <v>60</v>
      </c>
      <c r="HS29" s="693">
        <f>'Hodnocení '!HS29</f>
        <v>10</v>
      </c>
      <c r="HT29" s="693">
        <f>'Hodnocení '!HT29</f>
        <v>33</v>
      </c>
      <c r="HU29" s="693">
        <f>'Hodnocení '!HU29</f>
        <v>50</v>
      </c>
      <c r="HV29" s="693">
        <f>'Hodnocení '!HV29</f>
        <v>44</v>
      </c>
      <c r="HW29" s="693">
        <f>'Hodnocení '!HW29</f>
        <v>14</v>
      </c>
      <c r="HX29" s="693">
        <f>'Hodnocení '!HX29</f>
        <v>43</v>
      </c>
      <c r="HY29" s="693">
        <f>'Hodnocení '!HY29</f>
        <v>39</v>
      </c>
      <c r="HZ29" s="693">
        <f>'Hodnocení '!HZ29</f>
        <v>21</v>
      </c>
      <c r="IA29" s="693">
        <f>'Hodnocení '!IA29</f>
        <v>23</v>
      </c>
      <c r="IB29" s="693">
        <f>'Hodnocení '!IB29</f>
        <v>19</v>
      </c>
      <c r="IC29" s="693">
        <f>'Hodnocení '!IC29</f>
        <v>36</v>
      </c>
      <c r="ID29" s="693">
        <f>'Hodnocení '!ID29</f>
        <v>26</v>
      </c>
      <c r="IE29" s="693">
        <f>'Hodnocení '!IE29</f>
        <v>35</v>
      </c>
      <c r="IF29" s="693">
        <f>'Hodnocení '!IF29</f>
        <v>34</v>
      </c>
      <c r="IG29" s="693">
        <f>'Hodnocení '!IG29</f>
        <v>10</v>
      </c>
      <c r="IH29" s="693">
        <f>'Hodnocení '!IH29</f>
        <v>6</v>
      </c>
      <c r="II29" s="693">
        <f>'Hodnocení '!II29</f>
        <v>33</v>
      </c>
      <c r="IJ29" s="693">
        <f>'Hodnocení '!IJ29</f>
        <v>3</v>
      </c>
      <c r="IK29" s="693">
        <f>'Hodnocení '!IK29</f>
        <v>4</v>
      </c>
      <c r="IL29" s="693">
        <f>'Hodnocení '!IL29</f>
        <v>18</v>
      </c>
      <c r="IM29" s="693">
        <f>'Hodnocení '!IM29</f>
        <v>1</v>
      </c>
      <c r="IN29" s="693">
        <f>'Hodnocení '!IN29</f>
        <v>22</v>
      </c>
      <c r="IO29" s="693">
        <f>'Hodnocení '!IO29</f>
        <v>7</v>
      </c>
      <c r="IP29" s="693">
        <f>'Hodnocení '!IP29</f>
        <v>37</v>
      </c>
      <c r="IQ29" s="693">
        <f>'Hodnocení '!IQ29</f>
        <v>37</v>
      </c>
      <c r="IR29" s="693">
        <f>'Hodnocení '!IR29</f>
        <v>2</v>
      </c>
      <c r="IS29" s="693">
        <f>'Hodnocení '!IS29</f>
        <v>127</v>
      </c>
      <c r="IT29" s="693">
        <f>'Hodnocení '!IT29</f>
        <v>32</v>
      </c>
      <c r="IU29" s="693">
        <f>'Hodnocení '!IU29</f>
        <v>7</v>
      </c>
      <c r="IV29" s="693">
        <f>'Hodnocení '!IV29</f>
        <v>18</v>
      </c>
      <c r="IW29" s="693">
        <f>'Hodnocení '!IW29</f>
        <v>31</v>
      </c>
      <c r="IX29" s="693">
        <f>'Hodnocení '!IX29</f>
        <v>3</v>
      </c>
      <c r="IY29" s="693">
        <f>'Hodnocení '!IY29</f>
        <v>23</v>
      </c>
      <c r="IZ29" s="693">
        <f>'Hodnocení '!IZ29</f>
        <v>43</v>
      </c>
      <c r="JA29" s="693">
        <f>'Hodnocení '!JA29</f>
        <v>4</v>
      </c>
      <c r="JB29" s="693">
        <f>'Hodnocení '!JB29</f>
        <v>3</v>
      </c>
      <c r="JC29" s="693">
        <f>'Hodnocení '!JC29</f>
        <v>3</v>
      </c>
      <c r="JD29" s="693">
        <f>'Hodnocení '!JD29</f>
        <v>9</v>
      </c>
      <c r="JE29" s="693">
        <f>'Hodnocení '!JE29</f>
        <v>8</v>
      </c>
      <c r="JF29" s="693">
        <f>'Hodnocení '!JF29</f>
        <v>62</v>
      </c>
      <c r="JG29" s="693">
        <f>'Hodnocení '!JG29</f>
        <v>50</v>
      </c>
      <c r="JH29" s="788">
        <f>'Hodnocení '!JH29</f>
        <v>4</v>
      </c>
      <c r="JI29" s="315">
        <f>'Hodnocení '!JI29</f>
        <v>0</v>
      </c>
    </row>
    <row r="30" spans="1:276" x14ac:dyDescent="0.25">
      <c r="B30" s="733" t="s">
        <v>2849</v>
      </c>
      <c r="C30" s="787">
        <f>'Hodnocení '!C30</f>
        <v>20</v>
      </c>
      <c r="D30" s="693">
        <f>'Hodnocení '!D30</f>
        <v>18</v>
      </c>
      <c r="E30" s="693">
        <f>'Hodnocení '!E30</f>
        <v>21.25</v>
      </c>
      <c r="F30" s="693">
        <f>'Hodnocení '!F30</f>
        <v>8.9</v>
      </c>
      <c r="G30" s="693">
        <f>'Hodnocení '!G30</f>
        <v>17.25</v>
      </c>
      <c r="H30" s="693">
        <f>'Hodnocení '!H30</f>
        <v>1.8</v>
      </c>
      <c r="I30" s="693">
        <f>'Hodnocení '!I30</f>
        <v>4.7</v>
      </c>
      <c r="J30" s="693">
        <f>'Hodnocení '!J30</f>
        <v>4</v>
      </c>
      <c r="K30" s="693">
        <f>'Hodnocení '!K30</f>
        <v>9</v>
      </c>
      <c r="L30" s="693">
        <f>'Hodnocení '!L30</f>
        <v>4.5999999999999996</v>
      </c>
      <c r="M30" s="693">
        <f>'Hodnocení '!M30</f>
        <v>9</v>
      </c>
      <c r="N30" s="693">
        <f>'Hodnocení '!N30</f>
        <v>8.51</v>
      </c>
      <c r="O30" s="693">
        <f>'Hodnocení '!O30</f>
        <v>6.0700000000000012</v>
      </c>
      <c r="P30" s="693">
        <f>'Hodnocení '!P30</f>
        <v>4</v>
      </c>
      <c r="Q30" s="693">
        <f>'Hodnocení '!Q30</f>
        <v>2.7</v>
      </c>
      <c r="R30" s="693">
        <f>'Hodnocení '!R30</f>
        <v>3.3</v>
      </c>
      <c r="S30" s="693">
        <f>'Hodnocení '!S30</f>
        <v>2.2999999999999998</v>
      </c>
      <c r="T30" s="693">
        <f>'Hodnocení '!T30</f>
        <v>1</v>
      </c>
      <c r="U30" s="693">
        <f>'Hodnocení '!U30</f>
        <v>1.5</v>
      </c>
      <c r="V30" s="693">
        <f>'Hodnocení '!V30</f>
        <v>31.15</v>
      </c>
      <c r="W30" s="693">
        <f>'Hodnocení '!W30</f>
        <v>5.75</v>
      </c>
      <c r="X30" s="693">
        <f>'Hodnocení '!X30</f>
        <v>3.01</v>
      </c>
      <c r="Y30" s="693">
        <f>'Hodnocení '!Y30</f>
        <v>4.05</v>
      </c>
      <c r="Z30" s="693">
        <f>'Hodnocení '!Z30</f>
        <v>13.95</v>
      </c>
      <c r="AA30" s="693">
        <f>'Hodnocení '!AA30</f>
        <v>6</v>
      </c>
      <c r="AB30" s="693">
        <f>'Hodnocení '!AB30</f>
        <v>7.15</v>
      </c>
      <c r="AC30" s="693">
        <f>'Hodnocení '!AC30</f>
        <v>0.83333333333333337</v>
      </c>
      <c r="AD30" s="693">
        <f>'Hodnocení '!AD30</f>
        <v>2.85</v>
      </c>
      <c r="AE30" s="693">
        <f>'Hodnocení '!AE30</f>
        <v>1.7</v>
      </c>
      <c r="AF30" s="693">
        <f>'Hodnocení '!AF30</f>
        <v>4.74</v>
      </c>
      <c r="AG30" s="693">
        <f>'Hodnocení '!AG30</f>
        <v>7</v>
      </c>
      <c r="AH30" s="693">
        <f>'Hodnocení '!AH30</f>
        <v>1.7</v>
      </c>
      <c r="AI30" s="693">
        <f>'Hodnocení '!AI30</f>
        <v>10.775</v>
      </c>
      <c r="AJ30" s="693">
        <f>'Hodnocení '!AJ30</f>
        <v>7.2</v>
      </c>
      <c r="AK30" s="693">
        <f>'Hodnocení '!AK30</f>
        <v>2.1</v>
      </c>
      <c r="AL30" s="693">
        <f>'Hodnocení '!AL30</f>
        <v>3</v>
      </c>
      <c r="AM30" s="693">
        <f>'Hodnocení '!AM30</f>
        <v>2.1</v>
      </c>
      <c r="AN30" s="693">
        <f>'Hodnocení '!AN30</f>
        <v>1.34</v>
      </c>
      <c r="AO30" s="693">
        <f>'Hodnocení '!AO30</f>
        <v>12.14</v>
      </c>
      <c r="AP30" s="693">
        <f>'Hodnocení '!AP30</f>
        <v>5.3</v>
      </c>
      <c r="AQ30" s="693">
        <f>'Hodnocení '!AQ30</f>
        <v>0.4</v>
      </c>
      <c r="AR30" s="693">
        <f>'Hodnocení '!AR30</f>
        <v>2.25</v>
      </c>
      <c r="AS30" s="693">
        <f>'Hodnocení '!AS30</f>
        <v>0.6</v>
      </c>
      <c r="AT30" s="693">
        <f>'Hodnocení '!AT30</f>
        <v>4.7</v>
      </c>
      <c r="AU30" s="693">
        <f>'Hodnocení '!AU30</f>
        <v>1.6</v>
      </c>
      <c r="AV30" s="693">
        <f>'Hodnocení '!AV30</f>
        <v>2.95</v>
      </c>
      <c r="AW30" s="693">
        <f>'Hodnocení '!AW30</f>
        <v>5</v>
      </c>
      <c r="AX30" s="693">
        <f>'Hodnocení '!AX30</f>
        <v>5.35</v>
      </c>
      <c r="AY30" s="693">
        <f>'Hodnocení '!AY30</f>
        <v>4.1899999999999995</v>
      </c>
      <c r="AZ30" s="693">
        <f>'Hodnocení '!AZ30</f>
        <v>4.55</v>
      </c>
      <c r="BA30" s="693">
        <f>'Hodnocení '!BA30</f>
        <v>25.8</v>
      </c>
      <c r="BB30" s="693">
        <f>'Hodnocení '!BB30</f>
        <v>1.9</v>
      </c>
      <c r="BC30" s="693">
        <f>'Hodnocení '!BC30</f>
        <v>1.9</v>
      </c>
      <c r="BD30" s="693">
        <f>'Hodnocení '!BD30</f>
        <v>2.72</v>
      </c>
      <c r="BE30" s="693">
        <f>'Hodnocení '!BE30</f>
        <v>1.75</v>
      </c>
      <c r="BF30" s="693">
        <f>'Hodnocení '!BF30</f>
        <v>4.0999999999999996</v>
      </c>
      <c r="BG30" s="693">
        <f>'Hodnocení '!BG30</f>
        <v>4</v>
      </c>
      <c r="BH30" s="693">
        <f>'Hodnocení '!BH30</f>
        <v>5.75</v>
      </c>
      <c r="BI30" s="693">
        <f>'Hodnocení '!BI30</f>
        <v>6.78</v>
      </c>
      <c r="BJ30" s="693">
        <f>'Hodnocení '!BJ30</f>
        <v>5.6</v>
      </c>
      <c r="BK30" s="693">
        <f>'Hodnocení '!BK30</f>
        <v>1.75</v>
      </c>
      <c r="BL30" s="693">
        <f>'Hodnocení '!BL30</f>
        <v>1.1000000000000001</v>
      </c>
      <c r="BM30" s="693">
        <f>'Hodnocení '!BM30</f>
        <v>3.2</v>
      </c>
      <c r="BN30" s="693">
        <f>'Hodnocení '!BN30</f>
        <v>2.62</v>
      </c>
      <c r="BO30" s="693">
        <f>'Hodnocení '!BO30</f>
        <v>1.35</v>
      </c>
      <c r="BP30" s="693">
        <f>'Hodnocení '!BP30</f>
        <v>7.85</v>
      </c>
      <c r="BQ30" s="693">
        <f>'Hodnocení '!BQ30</f>
        <v>1.1499999999999999</v>
      </c>
      <c r="BR30" s="693">
        <f>'Hodnocení '!BR30</f>
        <v>1.35</v>
      </c>
      <c r="BS30" s="693">
        <f>'Hodnocení '!BS30</f>
        <v>1.8</v>
      </c>
      <c r="BT30" s="693">
        <f>'Hodnocení '!BT30</f>
        <v>1.5</v>
      </c>
      <c r="BU30" s="693">
        <f>'Hodnocení '!BU30</f>
        <v>8.9</v>
      </c>
      <c r="BV30" s="693">
        <f>'Hodnocení '!BV30</f>
        <v>2.4</v>
      </c>
      <c r="BW30" s="693">
        <f>'Hodnocení '!BW30</f>
        <v>0.4</v>
      </c>
      <c r="BX30" s="693">
        <f>'Hodnocení '!BX30</f>
        <v>10.25</v>
      </c>
      <c r="BY30" s="693">
        <f>'[2]zdroj pro sdílené hodnoty v tab'!CV7</f>
        <v>1</v>
      </c>
      <c r="BZ30" s="693">
        <f>'Hodnocení '!BZ30</f>
        <v>0.38</v>
      </c>
      <c r="CA30" s="693">
        <f>'Hodnocení '!CA30</f>
        <v>0</v>
      </c>
      <c r="CB30" s="693">
        <f>'Hodnocení '!CB30</f>
        <v>0.3</v>
      </c>
      <c r="CC30" s="693">
        <f>'Hodnocení '!CC30</f>
        <v>3.25</v>
      </c>
      <c r="CD30" s="693">
        <f>'Hodnocení '!CD30</f>
        <v>1</v>
      </c>
      <c r="CE30" s="693">
        <f>'Hodnocení '!CE30</f>
        <v>28.4</v>
      </c>
      <c r="CF30" s="693">
        <f>'Hodnocení '!CF30</f>
        <v>5.5</v>
      </c>
      <c r="CG30" s="693">
        <f>'[2]zdroj pro sdílené hodnoty v tab'!IB7</f>
        <v>4</v>
      </c>
      <c r="CH30" s="869">
        <v>1</v>
      </c>
      <c r="CI30" s="693">
        <f>'[2]zdroj pro sdílené hodnoty v tab'!IL7</f>
        <v>4</v>
      </c>
      <c r="CJ30" s="693">
        <f>'Hodnocení '!CJ30</f>
        <v>6.89</v>
      </c>
      <c r="CK30" s="693">
        <f>'Hodnocení '!CK30</f>
        <v>6.11</v>
      </c>
      <c r="CL30" s="692">
        <f>'Hodnocení '!CL30</f>
        <v>4.2</v>
      </c>
      <c r="CM30" s="693">
        <f>'Hodnocení '!CM30</f>
        <v>14</v>
      </c>
      <c r="CN30" s="693">
        <f>'Hodnocení '!CN30</f>
        <v>2</v>
      </c>
      <c r="CO30" s="693">
        <f>'Hodnocení '!CO30</f>
        <v>2</v>
      </c>
      <c r="CP30" s="693">
        <f>'Hodnocení '!CP30</f>
        <v>2</v>
      </c>
      <c r="CQ30" s="693">
        <f>'Hodnocení '!CQ30</f>
        <v>8.6999999999999993</v>
      </c>
      <c r="CR30" s="693">
        <f>'Hodnocení '!CR30</f>
        <v>5</v>
      </c>
      <c r="CS30" s="693">
        <f>'Hodnocení '!CS30</f>
        <v>6.5</v>
      </c>
      <c r="CT30" s="693">
        <f>'Hodnocení '!CT30</f>
        <v>7</v>
      </c>
      <c r="CU30" s="693">
        <f>'Hodnocení '!CU30</f>
        <v>4</v>
      </c>
      <c r="CV30" s="693">
        <f>'Hodnocení '!CV30</f>
        <v>11</v>
      </c>
      <c r="CW30" s="693">
        <f>'Hodnocení '!CW30</f>
        <v>0.6</v>
      </c>
      <c r="CX30" s="693">
        <f>'Hodnocení '!CX30</f>
        <v>11.25</v>
      </c>
      <c r="CY30" s="693">
        <v>6.5</v>
      </c>
      <c r="CZ30" s="693">
        <f>'Hodnocení '!CZ30</f>
        <v>2.25</v>
      </c>
      <c r="DA30" s="693">
        <f>'Hodnocení '!DA30</f>
        <v>21</v>
      </c>
      <c r="DB30" s="693">
        <f>'Hodnocení '!DB30</f>
        <v>1.1499999999999999</v>
      </c>
      <c r="DC30" s="693">
        <f>'Hodnocení '!DC30</f>
        <v>3</v>
      </c>
      <c r="DD30" s="693">
        <f>'Hodnocení '!DD30</f>
        <v>7.5</v>
      </c>
      <c r="DE30" s="693">
        <f>'Hodnocení '!DE30</f>
        <v>10.5</v>
      </c>
      <c r="DF30" s="693">
        <f>'Hodnocení '!DF30</f>
        <v>10.5</v>
      </c>
      <c r="DG30" s="693">
        <f>'Hodnocení '!DG30</f>
        <v>1.1499999999999999</v>
      </c>
      <c r="DH30" s="693">
        <f>'Hodnocení '!DH30</f>
        <v>4.25</v>
      </c>
      <c r="DI30" s="693">
        <f>'Hodnocení '!DI30</f>
        <v>1.62</v>
      </c>
      <c r="DJ30" s="693">
        <f>'Hodnocení '!DJ30</f>
        <v>3</v>
      </c>
      <c r="DK30" s="693">
        <f>'Hodnocení '!DK30</f>
        <v>3.5</v>
      </c>
      <c r="DL30" s="693">
        <f>'Hodnocení '!DL30</f>
        <v>9</v>
      </c>
      <c r="DM30" s="693">
        <f>'Hodnocení '!DM30</f>
        <v>5.5</v>
      </c>
      <c r="DN30" s="693">
        <f>'Hodnocení '!DN30</f>
        <v>6</v>
      </c>
      <c r="DO30" s="693">
        <f>'Hodnocení '!DO30</f>
        <v>2</v>
      </c>
      <c r="DP30" s="693">
        <f>'Hodnocení '!DP30</f>
        <v>6.5</v>
      </c>
      <c r="DQ30" s="693">
        <f>'Hodnocení '!DQ30</f>
        <v>6.55</v>
      </c>
      <c r="DR30" s="693">
        <f>'Hodnocení '!DR30</f>
        <v>7.5</v>
      </c>
      <c r="DS30" s="693">
        <f>'Hodnocení '!DS30</f>
        <v>2.5</v>
      </c>
      <c r="DT30" s="693">
        <f>'Hodnocení '!DT30</f>
        <v>6.85</v>
      </c>
      <c r="DU30" s="693">
        <f>'Hodnocení '!DU30</f>
        <v>4</v>
      </c>
      <c r="DV30" s="693">
        <f>'Hodnocení '!DV30</f>
        <v>12.1</v>
      </c>
      <c r="DW30" s="693">
        <f>'Hodnocení '!DW30</f>
        <v>2</v>
      </c>
      <c r="DX30" s="693">
        <f>'Hodnocení '!DX30</f>
        <v>6</v>
      </c>
      <c r="DY30" s="693">
        <f>'Hodnocení '!DY30</f>
        <v>10.8</v>
      </c>
      <c r="DZ30" s="693">
        <f>'Hodnocení '!DZ30</f>
        <v>1.57</v>
      </c>
      <c r="EA30" s="693">
        <f>'Hodnocení '!EA30</f>
        <v>8</v>
      </c>
      <c r="EB30" s="693">
        <f>'Hodnocení '!EB30</f>
        <v>13.5</v>
      </c>
      <c r="EC30" s="693">
        <f>'Hodnocení '!EC30</f>
        <v>6.75</v>
      </c>
      <c r="ED30" s="693">
        <f>'Hodnocení '!ED30</f>
        <v>5.5</v>
      </c>
      <c r="EE30" s="693">
        <f>'Hodnocení '!EE30</f>
        <v>1.1499999999999999</v>
      </c>
      <c r="EF30" s="693">
        <f>'Hodnocení '!EF30</f>
        <v>1.25</v>
      </c>
      <c r="EG30" s="693">
        <f>'Hodnocení '!EG30</f>
        <v>0.6</v>
      </c>
      <c r="EH30" s="693">
        <f>'Hodnocení '!EH30</f>
        <v>1.25</v>
      </c>
      <c r="EI30" s="693">
        <f>'Hodnocení '!EI30</f>
        <v>1.75</v>
      </c>
      <c r="EJ30" s="693">
        <f>'Hodnocení '!EJ30</f>
        <v>1.6</v>
      </c>
      <c r="EK30" s="693">
        <f>'Hodnocení '!EK30</f>
        <v>8.59</v>
      </c>
      <c r="EL30" s="693">
        <f>'Hodnocení '!EL30</f>
        <v>17.399999999999999</v>
      </c>
      <c r="EM30" s="693">
        <f>'Hodnocení '!EM30</f>
        <v>5.5</v>
      </c>
      <c r="EN30" s="693">
        <f>'Hodnocení '!EN30</f>
        <v>3.5</v>
      </c>
      <c r="EO30" s="693">
        <f>'Hodnocení '!EO30</f>
        <v>0.4</v>
      </c>
      <c r="EP30" s="693">
        <f>'Hodnocení '!EP30</f>
        <v>4.2</v>
      </c>
      <c r="EQ30" s="693">
        <f>'Hodnocení '!EQ30</f>
        <v>2.5</v>
      </c>
      <c r="ER30" s="693">
        <f>'Hodnocení '!ER30</f>
        <v>26</v>
      </c>
      <c r="ES30" s="693">
        <f>'Hodnocení '!ES30</f>
        <v>6.7700000000000005</v>
      </c>
      <c r="ET30" s="693">
        <f>'Hodnocení '!ET30</f>
        <v>2.1</v>
      </c>
      <c r="EU30" s="693">
        <f>'Hodnocení '!EU30</f>
        <v>2.9</v>
      </c>
      <c r="EV30" s="693">
        <f>'Hodnocení '!EV30</f>
        <v>1</v>
      </c>
      <c r="EW30" s="693">
        <f>'Hodnocení '!EW30</f>
        <v>9</v>
      </c>
      <c r="EX30" s="693">
        <f>'Hodnocení '!EX30</f>
        <v>23</v>
      </c>
      <c r="EY30" s="693">
        <f>'Hodnocení '!EY30</f>
        <v>4.5</v>
      </c>
      <c r="EZ30" s="693">
        <f>'Hodnocení '!EZ30</f>
        <v>2.35</v>
      </c>
      <c r="FA30" s="693">
        <f>'Hodnocení '!FA30</f>
        <v>5.2</v>
      </c>
      <c r="FB30" s="693">
        <f>'Hodnocení '!FB30</f>
        <v>0.54</v>
      </c>
      <c r="FC30" s="693">
        <f>'Hodnocení '!FC30</f>
        <v>16.38</v>
      </c>
      <c r="FD30" s="693">
        <f>'Hodnocení '!FD30</f>
        <v>2.5</v>
      </c>
      <c r="FE30" s="693">
        <f>'Hodnocení '!FE30</f>
        <v>1</v>
      </c>
      <c r="FF30" s="693">
        <f>'Hodnocení '!FF30</f>
        <v>6.5</v>
      </c>
      <c r="FG30" s="693">
        <f>'Hodnocení '!FG30</f>
        <v>22.7</v>
      </c>
      <c r="FH30" s="693">
        <f>'Hodnocení '!FH30</f>
        <v>24.5</v>
      </c>
      <c r="FI30" s="693">
        <f>'Hodnocení '!FI30</f>
        <v>25.6</v>
      </c>
      <c r="FJ30" s="693">
        <f>'Hodnocení '!FJ30</f>
        <v>8</v>
      </c>
      <c r="FK30" s="693">
        <f>'Hodnocení '!FK30</f>
        <v>2</v>
      </c>
      <c r="FL30" s="693">
        <f>'Hodnocení '!FL30</f>
        <v>2</v>
      </c>
      <c r="FM30" s="693">
        <f>'Hodnocení '!FM30</f>
        <v>11.5</v>
      </c>
      <c r="FN30" s="693">
        <f>'Hodnocení '!FN30</f>
        <v>16.34</v>
      </c>
      <c r="FO30" s="693">
        <f>'Hodnocení '!FO30</f>
        <v>4.22</v>
      </c>
      <c r="FP30" s="693">
        <f>'Hodnocení '!FP30</f>
        <v>35</v>
      </c>
      <c r="FQ30" s="693">
        <f>'Hodnocení '!FQ30</f>
        <v>3.82</v>
      </c>
      <c r="FR30" s="693">
        <f>'Hodnocení '!FR30</f>
        <v>5.85</v>
      </c>
      <c r="FS30" s="693">
        <f>'Hodnocení '!FS30</f>
        <v>1.25</v>
      </c>
      <c r="FT30" s="693">
        <f>'Hodnocení '!FT30</f>
        <v>11.7</v>
      </c>
      <c r="FU30" s="869">
        <v>0</v>
      </c>
      <c r="FV30" s="693">
        <f>'Hodnocení '!FV30</f>
        <v>3.8439999999999999</v>
      </c>
      <c r="FW30" s="693">
        <f>'Hodnocení '!FW30</f>
        <v>4.9000000000000004</v>
      </c>
      <c r="FX30" s="693">
        <f>'Hodnocení '!FX30</f>
        <v>2.1</v>
      </c>
      <c r="FY30" s="693">
        <f>'Hodnocení '!FY30</f>
        <v>1.2</v>
      </c>
      <c r="FZ30" s="693">
        <f>'Hodnocení '!FZ30</f>
        <v>16</v>
      </c>
      <c r="GA30" s="693">
        <f>'Hodnocení '!GA30</f>
        <v>1.9</v>
      </c>
      <c r="GB30" s="693">
        <f>'Hodnocení '!GB30</f>
        <v>17.100000000000001</v>
      </c>
      <c r="GC30" s="693">
        <f>'Hodnocení '!GC30</f>
        <v>8</v>
      </c>
      <c r="GD30" s="693">
        <f>'Hodnocení '!GD30</f>
        <v>29</v>
      </c>
      <c r="GE30" s="693">
        <f>'Hodnocení '!GE30</f>
        <v>3.2</v>
      </c>
      <c r="GF30" s="693">
        <f>'Hodnocení '!GF30</f>
        <v>10.65</v>
      </c>
      <c r="GG30" s="693">
        <f>'Hodnocení '!GG30</f>
        <v>3.2</v>
      </c>
      <c r="GH30" s="693">
        <f>'Hodnocení '!GH30</f>
        <v>2.41</v>
      </c>
      <c r="GI30" s="693">
        <f>'Hodnocení '!GI30</f>
        <v>26.74</v>
      </c>
      <c r="GJ30" s="693">
        <f>'Hodnocení '!GJ30</f>
        <v>7.48</v>
      </c>
      <c r="GK30" s="693">
        <f>'Hodnocení '!GK30</f>
        <v>6.5750000000000002</v>
      </c>
      <c r="GL30" s="693">
        <f>'Hodnocení '!GL30</f>
        <v>2.0499999999999998</v>
      </c>
      <c r="GM30" s="693">
        <f>'Hodnocení '!GM30</f>
        <v>2.35</v>
      </c>
      <c r="GN30" s="693">
        <f>'Hodnocení '!GN30</f>
        <v>2</v>
      </c>
      <c r="GO30" s="693">
        <f>'Hodnocení '!GO30</f>
        <v>17.25</v>
      </c>
      <c r="GP30" s="693">
        <f>'Hodnocení '!GP30</f>
        <v>2.75</v>
      </c>
      <c r="GQ30" s="693">
        <f>'Hodnocení '!GQ30</f>
        <v>5.5</v>
      </c>
      <c r="GR30" s="693">
        <f>'Hodnocení '!GR30</f>
        <v>3.21</v>
      </c>
      <c r="GS30" s="693">
        <f>'Hodnocení '!GS30</f>
        <v>2</v>
      </c>
      <c r="GT30" s="693">
        <f>'Hodnocení '!GT30</f>
        <v>30.25</v>
      </c>
      <c r="GU30" s="693">
        <f>'Hodnocení '!GU30</f>
        <v>2.61</v>
      </c>
      <c r="GV30" s="693">
        <f>'Hodnocení '!GV30</f>
        <v>15</v>
      </c>
      <c r="GW30" s="693">
        <f>'Hodnocení '!GW30</f>
        <v>4.5</v>
      </c>
      <c r="GX30" s="693">
        <f>'Hodnocení '!GX30</f>
        <v>1.7</v>
      </c>
      <c r="GY30" s="693">
        <f>'Hodnocení '!GY30</f>
        <v>64</v>
      </c>
      <c r="GZ30" s="693">
        <f>'Hodnocení '!GZ30</f>
        <v>6</v>
      </c>
      <c r="HA30" s="693">
        <f>'Hodnocení '!HA30</f>
        <v>24</v>
      </c>
      <c r="HB30" s="693">
        <f>'Hodnocení '!HB30</f>
        <v>13.5</v>
      </c>
      <c r="HC30" s="693">
        <f>'Hodnocení '!HC30</f>
        <v>27.5</v>
      </c>
      <c r="HD30" s="693">
        <f>'Hodnocení '!HD30</f>
        <v>8</v>
      </c>
      <c r="HE30" s="693">
        <f>'Hodnocení '!HE30</f>
        <v>21.31</v>
      </c>
      <c r="HF30" s="693">
        <f>'Hodnocení '!HF30</f>
        <v>5.7</v>
      </c>
      <c r="HG30" s="693">
        <f>'Hodnocení '!HG30</f>
        <v>2.7</v>
      </c>
      <c r="HH30" s="693">
        <f>'Hodnocení '!HH30</f>
        <v>7</v>
      </c>
      <c r="HI30" s="693">
        <f>'Hodnocení '!HI30</f>
        <v>10</v>
      </c>
      <c r="HJ30" s="693">
        <f>'Hodnocení '!HJ30</f>
        <v>2</v>
      </c>
      <c r="HK30" s="693">
        <f>'Hodnocení '!HK30</f>
        <v>2.6</v>
      </c>
      <c r="HL30" s="693">
        <f>'Hodnocení '!HL30</f>
        <v>66.5</v>
      </c>
      <c r="HM30" s="693">
        <f>'Hodnocení '!HM30</f>
        <v>39.799999999999997</v>
      </c>
      <c r="HN30" s="693">
        <f>'Hodnocení '!HN30</f>
        <v>1.1000000000000001</v>
      </c>
      <c r="HO30" s="693">
        <f>'Hodnocení '!HO30</f>
        <v>3.6</v>
      </c>
      <c r="HP30" s="693">
        <f>'Hodnocení '!HP30</f>
        <v>53.3</v>
      </c>
      <c r="HQ30" s="693">
        <f>'Hodnocení '!HQ30</f>
        <v>1.4</v>
      </c>
      <c r="HR30" s="693">
        <f>'Hodnocení '!HR30</f>
        <v>61.585000000000001</v>
      </c>
      <c r="HS30" s="693">
        <f>'Hodnocení '!HS30</f>
        <v>11.53</v>
      </c>
      <c r="HT30" s="693">
        <f>'Hodnocení '!HT30</f>
        <v>33</v>
      </c>
      <c r="HU30" s="693">
        <f>'Hodnocení '!HU30</f>
        <v>50</v>
      </c>
      <c r="HV30" s="693">
        <f>'Hodnocení '!HV30</f>
        <v>47</v>
      </c>
      <c r="HW30" s="693">
        <f>'Hodnocení '!HW30</f>
        <v>10.029999999999999</v>
      </c>
      <c r="HX30" s="693">
        <f>'Hodnocení '!HX30</f>
        <v>48.57</v>
      </c>
      <c r="HY30" s="693">
        <f>'Hodnocení '!HY30</f>
        <v>38.799999999999997</v>
      </c>
      <c r="HZ30" s="693">
        <f>'Hodnocení '!HZ30</f>
        <v>21</v>
      </c>
      <c r="IA30" s="693">
        <f>'Hodnocení '!IA30</f>
        <v>23</v>
      </c>
      <c r="IB30" s="693">
        <f>'Hodnocení '!IB30</f>
        <v>20</v>
      </c>
      <c r="IC30" s="693">
        <f>'Hodnocení '!IC30</f>
        <v>36.200000000000003</v>
      </c>
      <c r="ID30" s="693">
        <f>'Hodnocení '!ID30</f>
        <v>25.8</v>
      </c>
      <c r="IE30" s="693">
        <f>'Hodnocení '!IE30</f>
        <v>36</v>
      </c>
      <c r="IF30" s="693">
        <f>'Hodnocení '!IF30</f>
        <v>34.5</v>
      </c>
      <c r="IG30" s="693">
        <f>'Hodnocení '!IG30</f>
        <v>9.5</v>
      </c>
      <c r="IH30" s="693">
        <f>'Hodnocení '!IH30</f>
        <v>6.13</v>
      </c>
      <c r="II30" s="693">
        <f>'Hodnocení '!II30</f>
        <v>33.86</v>
      </c>
      <c r="IJ30" s="693">
        <f>'Hodnocení '!IJ30</f>
        <v>3.5</v>
      </c>
      <c r="IK30" s="693">
        <f>'Hodnocení '!IK30</f>
        <v>4.6099999999999994</v>
      </c>
      <c r="IL30" s="693">
        <f>'Hodnocení '!IL30</f>
        <v>20</v>
      </c>
      <c r="IM30" s="693">
        <f>'Hodnocení '!IM30</f>
        <v>1.07</v>
      </c>
      <c r="IN30" s="693">
        <f>'Hodnocení '!IN30</f>
        <v>21.68</v>
      </c>
      <c r="IO30" s="693">
        <f>'Hodnocení '!IO30</f>
        <v>7.3</v>
      </c>
      <c r="IP30" s="693">
        <f>'Hodnocení '!IP30</f>
        <v>37</v>
      </c>
      <c r="IQ30" s="693">
        <f>'Hodnocení '!IQ30</f>
        <v>37.299999999999997</v>
      </c>
      <c r="IR30" s="693">
        <f>'Hodnocení '!IR30</f>
        <v>1.7</v>
      </c>
      <c r="IS30" s="693">
        <f>'Hodnocení '!IS30</f>
        <v>130.19999999999999</v>
      </c>
      <c r="IT30" s="693">
        <f>'Hodnocení '!IT30</f>
        <v>32.6</v>
      </c>
      <c r="IU30" s="693">
        <f>'Hodnocení '!IU30</f>
        <v>7.3</v>
      </c>
      <c r="IV30" s="693">
        <f>'Hodnocení '!IV30</f>
        <v>18.3</v>
      </c>
      <c r="IW30" s="693">
        <f>'Hodnocení '!IW30</f>
        <v>31</v>
      </c>
      <c r="IX30" s="693">
        <f>'Hodnocení '!IX30</f>
        <v>3.4</v>
      </c>
      <c r="IY30" s="693">
        <f>'Hodnocení '!IY30</f>
        <v>19</v>
      </c>
      <c r="IZ30" s="693">
        <f>'Hodnocení '!IZ30</f>
        <v>48.5</v>
      </c>
      <c r="JA30" s="693">
        <f>'Hodnocení '!JA30</f>
        <v>4.1500000000000004</v>
      </c>
      <c r="JB30" s="693">
        <f>'Hodnocení '!JB30</f>
        <v>3.3</v>
      </c>
      <c r="JC30" s="693">
        <f>'Hodnocení '!JC30</f>
        <v>3.3</v>
      </c>
      <c r="JD30" s="693">
        <f>'Hodnocení '!JD30</f>
        <v>9</v>
      </c>
      <c r="JE30" s="693">
        <f>'Hodnocení '!JE30</f>
        <v>7.6</v>
      </c>
      <c r="JF30" s="693">
        <f>'Hodnocení '!JF30</f>
        <v>69.37</v>
      </c>
      <c r="JG30" s="693">
        <f>'Hodnocení '!JG30</f>
        <v>49</v>
      </c>
      <c r="JH30" s="788">
        <f>'Hodnocení '!JH30</f>
        <v>2</v>
      </c>
      <c r="JI30" s="315">
        <f>'Hodnocení '!JI30</f>
        <v>0</v>
      </c>
      <c r="JL30" s="307">
        <f>SUMIFS($C30:$JH30,$C$5:$JH$5,JL$5)</f>
        <v>59.25</v>
      </c>
      <c r="JM30" s="307">
        <f>SUMIFS($C30:$JH30,$C$5:$JH$5,JM$5)</f>
        <v>781.05833333333328</v>
      </c>
      <c r="JN30" s="307">
        <f>SUMIFS($C30:$JH30,$C$5:$JH$5,JN$5)</f>
        <v>681.22900000000004</v>
      </c>
      <c r="JO30" s="307">
        <f>SUMIFS($C30:$JH30,$C$5:$JH$5,JO$5)</f>
        <v>1284.3849999999998</v>
      </c>
      <c r="JP30" s="307">
        <f t="shared" ref="JP30" si="25">SUM(JL30:JO30)</f>
        <v>2805.922333333333</v>
      </c>
    </row>
    <row r="31" spans="1:276" x14ac:dyDescent="0.25">
      <c r="B31" s="733" t="s">
        <v>2851</v>
      </c>
      <c r="C31" s="869">
        <f>'[2]zdroj pro sdílené hodnoty v tab'!FO7</f>
        <v>1</v>
      </c>
      <c r="D31" s="869">
        <f>'[2]zdroj pro sdílené hodnoty v tab'!GP7</f>
        <v>1</v>
      </c>
      <c r="E31" s="869">
        <f>'[2]zdroj pro sdílené hodnoty v tab'!FV7</f>
        <v>1.25</v>
      </c>
      <c r="F31" s="869">
        <f>'[2]zdroj pro sdílené hodnoty v tab'!AY7</f>
        <v>1.3</v>
      </c>
      <c r="G31" s="869">
        <f>'[2]zdroj pro sdílené hodnoty v tab'!EQ7</f>
        <v>2.65</v>
      </c>
      <c r="H31" s="869">
        <f>'[2]zdroj pro sdílené hodnoty v tab'!JV7</f>
        <v>0.3</v>
      </c>
      <c r="I31" s="869">
        <f>'[2]zdroj pro sdílené hodnoty v tab'!LD7</f>
        <v>1.6</v>
      </c>
      <c r="J31" s="869">
        <v>2</v>
      </c>
      <c r="K31" s="866">
        <v>6.3</v>
      </c>
      <c r="L31" s="869">
        <f>'[2]zdroj pro sdílené hodnoty v tab'!HX7</f>
        <v>4.54</v>
      </c>
      <c r="M31" s="866">
        <v>1</v>
      </c>
      <c r="N31" s="869">
        <v>0.95</v>
      </c>
      <c r="O31" s="866">
        <v>5.79</v>
      </c>
      <c r="P31" s="869">
        <v>3.8</v>
      </c>
      <c r="Q31" s="869">
        <v>0.7</v>
      </c>
      <c r="R31" s="869">
        <v>0.6</v>
      </c>
      <c r="S31" s="869">
        <f>'[2]zdroj pro sdílené hodnoty v tab'!P7</f>
        <v>1.5</v>
      </c>
      <c r="T31" s="869">
        <v>0</v>
      </c>
      <c r="U31" s="866">
        <f>'[2]zdroj pro sdílené hodnoty v tab'!AL7</f>
        <v>1</v>
      </c>
      <c r="V31" s="869">
        <v>1.9</v>
      </c>
      <c r="W31" s="866">
        <f>'[2]zdroj pro sdílené hodnoty v tab'!EW7</f>
        <v>0.5</v>
      </c>
      <c r="X31" s="866">
        <f>'[2]zdroj pro sdílené hodnoty v tab'!EO7</f>
        <v>1</v>
      </c>
      <c r="Y31" s="869">
        <f>'[2]zdroj pro sdílené hodnoty v tab'!EE7</f>
        <v>0.75</v>
      </c>
      <c r="Z31" s="866">
        <f>'[2]zdroj pro sdílené hodnoty v tab'!FL7</f>
        <v>0.75</v>
      </c>
      <c r="AA31" s="866">
        <v>3</v>
      </c>
      <c r="AB31" s="869">
        <v>0.7</v>
      </c>
      <c r="AC31" s="866">
        <v>0.8</v>
      </c>
      <c r="AD31" s="869">
        <v>2.7</v>
      </c>
      <c r="AE31" s="866">
        <v>1.7</v>
      </c>
      <c r="AF31" s="869">
        <v>0</v>
      </c>
      <c r="AG31" s="869">
        <v>0.7</v>
      </c>
      <c r="AH31" s="869">
        <v>0.1</v>
      </c>
      <c r="AI31" s="866">
        <f>'[2]zdroj pro sdílené hodnoty v tab'!GK7</f>
        <v>0.375</v>
      </c>
      <c r="AJ31" s="866">
        <f>'[2]zdroj pro sdílené hodnoty v tab'!HB7</f>
        <v>0.15</v>
      </c>
      <c r="AK31" s="869">
        <v>2.1</v>
      </c>
      <c r="AL31" s="869">
        <v>2.2000000000000002</v>
      </c>
      <c r="AM31" s="866">
        <v>2.1</v>
      </c>
      <c r="AN31" s="866">
        <v>1.3</v>
      </c>
      <c r="AO31" s="869">
        <v>1.1399999999999999</v>
      </c>
      <c r="AP31" s="866">
        <f>'[2]zdroj pro sdílené hodnoty v tab'!BF7</f>
        <v>0.9</v>
      </c>
      <c r="AQ31" s="869">
        <v>0.4</v>
      </c>
      <c r="AR31" s="866">
        <f>'[2]zdroj pro sdílené hodnoty v tab'!AC7</f>
        <v>2.25</v>
      </c>
      <c r="AS31" s="866">
        <v>0.6</v>
      </c>
      <c r="AT31" s="869">
        <v>0.75</v>
      </c>
      <c r="AU31" s="866">
        <v>1.3</v>
      </c>
      <c r="AV31" s="866">
        <f>'[2]zdroj pro sdílené hodnoty v tab'!JE7</f>
        <v>1.5</v>
      </c>
      <c r="AW31" s="866">
        <v>1</v>
      </c>
      <c r="AX31" s="866">
        <f>'[2]zdroj pro sdílené hodnoty v tab'!DT7</f>
        <v>0.3</v>
      </c>
      <c r="AY31" s="866">
        <v>0.2</v>
      </c>
      <c r="AZ31" s="869">
        <v>0.2</v>
      </c>
      <c r="BA31" s="866">
        <v>1.8</v>
      </c>
      <c r="BB31" s="869">
        <v>1.9</v>
      </c>
      <c r="BC31" s="866">
        <v>1.9</v>
      </c>
      <c r="BD31" s="866">
        <v>1.75</v>
      </c>
      <c r="BE31" s="869">
        <v>0.6</v>
      </c>
      <c r="BF31" s="866">
        <v>2.6</v>
      </c>
      <c r="BG31" s="866">
        <v>3</v>
      </c>
      <c r="BH31" s="866">
        <v>5.75</v>
      </c>
      <c r="BI31" s="869">
        <v>0.08</v>
      </c>
      <c r="BJ31" s="866">
        <v>1</v>
      </c>
      <c r="BK31" s="866">
        <v>1</v>
      </c>
      <c r="BL31" s="866">
        <v>0.1</v>
      </c>
      <c r="BM31" s="866">
        <f>'[2]zdroj pro sdílené hodnoty v tab'!KI7</f>
        <v>1</v>
      </c>
      <c r="BN31" s="869">
        <v>0.95</v>
      </c>
      <c r="BO31" s="869">
        <v>0.3</v>
      </c>
      <c r="BP31" s="866">
        <f>'[2]zdroj pro sdílené hodnoty v tab'!EV7</f>
        <v>1</v>
      </c>
      <c r="BQ31" s="866">
        <f>'[2]zdroj pro sdílené hodnoty v tab'!KX7</f>
        <v>0.25</v>
      </c>
      <c r="BR31" s="866">
        <v>1.4</v>
      </c>
      <c r="BS31" s="866">
        <v>1.8</v>
      </c>
      <c r="BT31" s="866">
        <f>'[2]zdroj pro sdílené hodnoty v tab'!AH7</f>
        <v>1</v>
      </c>
      <c r="BU31" s="866">
        <f>'[2]zdroj pro sdílené hodnoty v tab'!CX7</f>
        <v>1.1499999999999999</v>
      </c>
      <c r="BV31" s="866">
        <f>'[2]zdroj pro sdílené hodnoty v tab'!DX7</f>
        <v>0.25</v>
      </c>
      <c r="BW31" s="869">
        <v>0.2</v>
      </c>
      <c r="BX31" s="869">
        <v>0.9</v>
      </c>
      <c r="BY31" s="866">
        <v>1</v>
      </c>
      <c r="BZ31" s="869">
        <v>0.2</v>
      </c>
      <c r="CA31" s="866">
        <v>0</v>
      </c>
      <c r="CB31" s="866">
        <f>'[2]zdroj pro sdílené hodnoty v tab'!HM7</f>
        <v>0.1</v>
      </c>
      <c r="CC31" s="869">
        <v>2.35</v>
      </c>
      <c r="CD31" s="866">
        <v>1</v>
      </c>
      <c r="CE31" s="866">
        <v>3</v>
      </c>
      <c r="CF31" s="866">
        <v>1</v>
      </c>
      <c r="CG31" s="869">
        <v>4</v>
      </c>
      <c r="CH31" s="869">
        <v>5.8</v>
      </c>
      <c r="CI31" s="866">
        <f>'[2]zdroj pro sdílené hodnoty v tab'!IL8</f>
        <v>0</v>
      </c>
      <c r="CJ31" s="866">
        <v>2.75</v>
      </c>
      <c r="CK31" s="866">
        <v>0.25</v>
      </c>
      <c r="CL31" s="867">
        <v>1</v>
      </c>
      <c r="CM31" s="866">
        <v>1.5</v>
      </c>
      <c r="CN31" s="869">
        <v>0.5</v>
      </c>
      <c r="CO31" s="866">
        <v>2</v>
      </c>
      <c r="CP31" s="866">
        <v>2</v>
      </c>
      <c r="CQ31" s="866">
        <v>7.5</v>
      </c>
      <c r="CR31" s="866">
        <f>'[2]zdroj pro sdílené hodnoty v tab'!CM7</f>
        <v>0.5</v>
      </c>
      <c r="CS31" s="866">
        <v>1</v>
      </c>
      <c r="CT31" s="869">
        <v>1.5</v>
      </c>
      <c r="CU31" s="866">
        <v>1</v>
      </c>
      <c r="CV31" s="866">
        <f>'[2]zdroj pro sdílené hodnoty v tab'!GG7</f>
        <v>1</v>
      </c>
      <c r="CW31" s="866">
        <v>0.4</v>
      </c>
      <c r="CX31" s="866">
        <v>0.25</v>
      </c>
      <c r="CY31" s="866">
        <v>0.2</v>
      </c>
      <c r="CZ31" s="866">
        <v>2.25</v>
      </c>
      <c r="DA31" s="866">
        <f>'[2]zdroj pro sdílené hodnoty v tab'!HQ7</f>
        <v>1.5</v>
      </c>
      <c r="DB31" s="866">
        <v>1</v>
      </c>
      <c r="DC31" s="866">
        <v>1</v>
      </c>
      <c r="DD31" s="866">
        <v>7.5</v>
      </c>
      <c r="DE31" s="866">
        <v>10.5</v>
      </c>
      <c r="DF31" s="866">
        <v>10.5</v>
      </c>
      <c r="DG31" s="869">
        <v>0.75</v>
      </c>
      <c r="DH31" s="866">
        <v>1.75</v>
      </c>
      <c r="DI31" s="869">
        <v>0.7</v>
      </c>
      <c r="DJ31" s="869">
        <v>0.6</v>
      </c>
      <c r="DK31" s="869">
        <v>0.6</v>
      </c>
      <c r="DL31" s="869">
        <v>1</v>
      </c>
      <c r="DM31" s="869">
        <v>0.5</v>
      </c>
      <c r="DN31" s="866">
        <v>6</v>
      </c>
      <c r="DO31" s="866">
        <v>2</v>
      </c>
      <c r="DP31" s="866">
        <v>6.25</v>
      </c>
      <c r="DQ31" s="866">
        <v>5</v>
      </c>
      <c r="DR31" s="866">
        <v>6.5</v>
      </c>
      <c r="DS31" s="866">
        <v>0.5</v>
      </c>
      <c r="DT31" s="866">
        <v>0.6</v>
      </c>
      <c r="DU31" s="866">
        <v>3</v>
      </c>
      <c r="DV31" s="866">
        <f>'[2]zdroj pro sdílené hodnoty v tab'!HI7</f>
        <v>4.0999999999999996</v>
      </c>
      <c r="DW31" s="866">
        <v>1</v>
      </c>
      <c r="DX31" s="866">
        <v>4</v>
      </c>
      <c r="DY31" s="866">
        <v>0.8</v>
      </c>
      <c r="DZ31" s="866">
        <v>0.1</v>
      </c>
      <c r="EA31" s="866">
        <v>0.7</v>
      </c>
      <c r="EB31" s="866">
        <v>1.5</v>
      </c>
      <c r="EC31" s="866">
        <v>0.5</v>
      </c>
      <c r="ED31" s="866">
        <v>0.5</v>
      </c>
      <c r="EE31" s="866">
        <v>1.1499999999999999</v>
      </c>
      <c r="EF31" s="866">
        <v>0.75</v>
      </c>
      <c r="EG31" s="866">
        <v>0.6</v>
      </c>
      <c r="EH31" s="866">
        <v>0.5</v>
      </c>
      <c r="EI31" s="866">
        <f>'[2]zdroj pro sdílené hodnoty v tab'!JQ7</f>
        <v>1</v>
      </c>
      <c r="EJ31" s="869">
        <v>1.1000000000000001</v>
      </c>
      <c r="EK31" s="866">
        <v>0.4</v>
      </c>
      <c r="EL31" s="869">
        <v>0.7</v>
      </c>
      <c r="EM31" s="869">
        <v>0.5</v>
      </c>
      <c r="EN31" s="869">
        <v>1.5</v>
      </c>
      <c r="EO31" s="866">
        <f>'[2]zdroj pro sdílené hodnoty v tab'!AI7</f>
        <v>0.4</v>
      </c>
      <c r="EP31" s="869">
        <v>0.3</v>
      </c>
      <c r="EQ31" s="866">
        <v>0.5</v>
      </c>
      <c r="ER31" s="869">
        <v>2</v>
      </c>
      <c r="ES31" s="866">
        <v>1.3</v>
      </c>
      <c r="ET31" s="866">
        <v>0.1</v>
      </c>
      <c r="EU31" s="869">
        <v>0.2</v>
      </c>
      <c r="EV31" s="866">
        <v>1</v>
      </c>
      <c r="EW31" s="866">
        <v>1</v>
      </c>
      <c r="EX31" s="869">
        <v>2</v>
      </c>
      <c r="EY31" s="866">
        <f>'[2]zdroj pro sdílené hodnoty v tab'!JG7</f>
        <v>2.5</v>
      </c>
      <c r="EZ31" s="866">
        <f>'[2]zdroj pro sdílené hodnoty v tab'!CN7</f>
        <v>0.35</v>
      </c>
      <c r="FA31" s="869">
        <v>5.2</v>
      </c>
      <c r="FB31" s="866">
        <f>'[2]zdroj pro sdílené hodnoty v tab'!DA7</f>
        <v>0.04</v>
      </c>
      <c r="FC31" s="869">
        <v>1.38</v>
      </c>
      <c r="FD31" s="866">
        <v>1</v>
      </c>
      <c r="FE31" s="866">
        <f>'[2]zdroj pro sdílené hodnoty v tab'!IX7</f>
        <v>0.30000000000000004</v>
      </c>
      <c r="FF31" s="869">
        <v>0.5</v>
      </c>
      <c r="FG31" s="869">
        <v>1.2</v>
      </c>
      <c r="FH31" s="869">
        <v>1</v>
      </c>
      <c r="FI31" s="866">
        <f>'[2]zdroj pro sdílené hodnoty v tab'!GN7</f>
        <v>1.75</v>
      </c>
      <c r="FJ31" s="869">
        <v>1</v>
      </c>
      <c r="FK31" s="869">
        <v>0</v>
      </c>
      <c r="FL31" s="869">
        <v>0</v>
      </c>
      <c r="FM31" s="869">
        <v>1.5</v>
      </c>
      <c r="FN31" s="869">
        <v>0.67</v>
      </c>
      <c r="FO31" s="869">
        <v>0.11</v>
      </c>
      <c r="FP31" s="866">
        <f>'[2]zdroj pro sdílené hodnoty v tab'!FZ7</f>
        <v>3</v>
      </c>
      <c r="FQ31" s="869">
        <v>0.1</v>
      </c>
      <c r="FR31" s="866">
        <f>'[2]zdroj pro sdílené hodnoty v tab'!IF7</f>
        <v>1.85</v>
      </c>
      <c r="FS31" s="866">
        <f>'[2]zdroj pro sdílené hodnoty v tab'!IZ7</f>
        <v>0</v>
      </c>
      <c r="FT31" s="869">
        <v>1.7</v>
      </c>
      <c r="FU31" s="869">
        <v>0.1</v>
      </c>
      <c r="FV31" s="869">
        <v>0.1</v>
      </c>
      <c r="FW31" s="866">
        <f>'[2]zdroj pro sdílené hodnoty v tab'!CU7</f>
        <v>0.9</v>
      </c>
      <c r="FX31" s="866">
        <f>'[2]zdroj pro sdílené hodnoty v tab'!BO7</f>
        <v>0.1</v>
      </c>
      <c r="FY31" s="869">
        <v>0.1</v>
      </c>
      <c r="FZ31" s="866">
        <f>'[2]zdroj pro sdílené hodnoty v tab'!CS7</f>
        <v>1</v>
      </c>
      <c r="GA31" s="869">
        <v>0.1</v>
      </c>
      <c r="GB31" s="869">
        <v>0.9</v>
      </c>
      <c r="GC31" s="869">
        <v>1</v>
      </c>
      <c r="GD31" s="866">
        <f>'[2]zdroj pro sdílené hodnoty v tab'!FN7</f>
        <v>2</v>
      </c>
      <c r="GE31" s="869">
        <v>2.2000000000000002</v>
      </c>
      <c r="GF31" s="869">
        <v>1.1499999999999999</v>
      </c>
      <c r="GG31" s="869">
        <v>0.35</v>
      </c>
      <c r="GH31" s="869">
        <v>0.35</v>
      </c>
      <c r="GI31" s="866">
        <f>'[2]zdroj pro sdílené hodnoty v tab'!GC7</f>
        <v>1.1499999999999999</v>
      </c>
      <c r="GJ31" s="869">
        <v>0.375</v>
      </c>
      <c r="GK31" s="866">
        <f>'[2]zdroj pro sdílené hodnoty v tab'!EB7</f>
        <v>0.375</v>
      </c>
      <c r="GL31" s="866">
        <v>0.4</v>
      </c>
      <c r="GM31" s="866">
        <f>'[2]zdroj pro sdílené hodnoty v tab'!IT7</f>
        <v>0.35</v>
      </c>
      <c r="GN31" s="866">
        <f>'[2]zdroj pro sdílené hodnoty v tab'!JA7</f>
        <v>1</v>
      </c>
      <c r="GO31" s="869">
        <v>1</v>
      </c>
      <c r="GP31" s="869">
        <v>0</v>
      </c>
      <c r="GQ31" s="869">
        <v>1.5</v>
      </c>
      <c r="GR31" s="869">
        <v>0.9</v>
      </c>
      <c r="GS31" s="869">
        <v>0</v>
      </c>
      <c r="GT31" s="869">
        <v>1.5</v>
      </c>
      <c r="GU31" s="869">
        <v>0.11</v>
      </c>
      <c r="GV31" s="869">
        <v>1</v>
      </c>
      <c r="GW31" s="866">
        <f>'[2]zdroj pro sdílené hodnoty v tab'!BW7</f>
        <v>0.5</v>
      </c>
      <c r="GX31" s="869">
        <v>0.2</v>
      </c>
      <c r="GY31" s="869">
        <v>4</v>
      </c>
      <c r="GZ31" s="869">
        <v>1.85</v>
      </c>
      <c r="HA31" s="866">
        <f>'[2]zdroj pro sdílené hodnoty v tab'!CE7</f>
        <v>2</v>
      </c>
      <c r="HB31" s="869">
        <v>1.75</v>
      </c>
      <c r="HC31" s="869">
        <v>2</v>
      </c>
      <c r="HD31" s="866">
        <f>'[2]zdroj pro sdílené hodnoty v tab'!CT7</f>
        <v>1</v>
      </c>
      <c r="HE31" s="866">
        <f>'[2]zdroj pro sdílené hodnoty v tab'!GO7</f>
        <v>1</v>
      </c>
      <c r="HF31" s="866">
        <v>0.7</v>
      </c>
      <c r="HG31" s="866">
        <f>'[2]zdroj pro sdílené hodnoty v tab'!EH7</f>
        <v>1</v>
      </c>
      <c r="HH31" s="866">
        <f>'[2]zdroj pro sdílené hodnoty v tab'!DE7</f>
        <v>1</v>
      </c>
      <c r="HI31" s="866">
        <v>1</v>
      </c>
      <c r="HJ31" s="869">
        <v>1</v>
      </c>
      <c r="HK31" s="866"/>
      <c r="HL31" s="869">
        <f>'[3]zdroj pro sdílené hodnoty v tab'!FI7</f>
        <v>2</v>
      </c>
      <c r="HM31" s="869">
        <v>2.2999999999999998</v>
      </c>
      <c r="HN31" s="869">
        <f>'[3]zdroj pro sdílené hodnoty v tab'!JT7</f>
        <v>0.1</v>
      </c>
      <c r="HO31" s="869">
        <f>'[3]zdroj pro sdílené hodnoty v tab'!KK7</f>
        <v>1.6</v>
      </c>
      <c r="HP31" s="869">
        <f>'[3]zdroj pro sdílené hodnoty v tab'!FH7</f>
        <v>4</v>
      </c>
      <c r="HQ31" s="869">
        <v>0.3</v>
      </c>
      <c r="HR31" s="869">
        <f>'[3]zdroj pro sdílené hodnoty v tab'!FF7</f>
        <v>2.8</v>
      </c>
      <c r="HS31" s="866">
        <v>0.9</v>
      </c>
      <c r="HT31" s="869">
        <f>'[3]zdroj pro sdílené hodnoty v tab'!GY7</f>
        <v>2</v>
      </c>
      <c r="HU31" s="869">
        <f>'[3]zdroj pro sdílené hodnoty v tab'!GS7</f>
        <v>2</v>
      </c>
      <c r="HV31" s="869">
        <f>'[3]zdroj pro sdílené hodnoty v tab'!GI7</f>
        <v>1</v>
      </c>
      <c r="HW31" s="866">
        <f>'[3]zdroj pro sdílené hodnoty v tab'!FU7</f>
        <v>0.64</v>
      </c>
      <c r="HX31" s="869">
        <f>'[3]zdroj pro sdílené hodnoty v tab'!GV7</f>
        <v>3.36</v>
      </c>
      <c r="HY31" s="869">
        <f>'[3]zdroj pro sdílené hodnoty v tab'!GB7</f>
        <v>4</v>
      </c>
      <c r="HZ31" s="869">
        <f>'[3]zdroj pro sdílené hodnoty v tab'!GD7</f>
        <v>2</v>
      </c>
      <c r="IA31" s="869">
        <f>'[3]zdroj pro sdílené hodnoty v tab'!FY7</f>
        <v>2</v>
      </c>
      <c r="IB31" s="869">
        <f>'[3]zdroj pro sdílené hodnoty v tab'!FS7</f>
        <v>1</v>
      </c>
      <c r="IC31" s="869">
        <f>'[3]zdroj pro sdílené hodnoty v tab'!GM7</f>
        <v>2.6</v>
      </c>
      <c r="ID31" s="869">
        <f>'[3]zdroj pro sdílené hodnoty v tab'!GU7</f>
        <v>1.4</v>
      </c>
      <c r="IE31" s="869">
        <f>'[3]zdroj pro sdílené hodnoty v tab'!FT7</f>
        <v>2</v>
      </c>
      <c r="IF31" s="869">
        <f>'[3]zdroj pro sdílené hodnoty v tab'!GQ7</f>
        <v>2.5</v>
      </c>
      <c r="IG31" s="869">
        <f>'[3]zdroj pro sdílené hodnoty v tab'!HA7</f>
        <v>0.5</v>
      </c>
      <c r="IH31" s="869">
        <f>'[3]zdroj pro sdílené hodnoty v tab'!FK7</f>
        <v>0.2</v>
      </c>
      <c r="II31" s="869">
        <f>'[3]zdroj pro sdílené hodnoty v tab'!GW7</f>
        <v>1.1000000000000001</v>
      </c>
      <c r="IJ31" s="869">
        <f>'[3]zdroj pro sdílené hodnoty v tab'!HF7</f>
        <v>9.9999999999999978E-2</v>
      </c>
      <c r="IK31" s="869">
        <f>'[3]zdroj pro sdílené hodnoty v tab'!KY7</f>
        <v>1.6</v>
      </c>
      <c r="IL31" s="869">
        <f>'[3]zdroj pro sdílené hodnoty v tab'!FQ7</f>
        <v>1</v>
      </c>
      <c r="IM31" s="869">
        <v>0.05</v>
      </c>
      <c r="IN31" s="869">
        <f>'[3]zdroj pro sdílené hodnoty v tab'!GH7</f>
        <v>1.22</v>
      </c>
      <c r="IO31" s="869">
        <f>'[3]zdroj pro sdílené hodnoty v tab'!HC7</f>
        <v>0.15</v>
      </c>
      <c r="IP31" s="869">
        <f>'[3]zdroj pro sdílené hodnoty v tab'!FM7</f>
        <v>3</v>
      </c>
      <c r="IQ31" s="869">
        <f>'[3]zdroj pro sdílené hodnoty v tab'!FG7</f>
        <v>1.9</v>
      </c>
      <c r="IR31" s="869">
        <f>'[3]zdroj pro sdílené hodnoty v tab'!HE7</f>
        <v>0.1</v>
      </c>
      <c r="IS31" s="869">
        <f>'[3]zdroj pro sdílené hodnoty v tab'!GJ7</f>
        <v>6.5</v>
      </c>
      <c r="IT31" s="869">
        <f>'[3]zdroj pro sdílené hodnoty v tab'!GZ7</f>
        <v>2.4</v>
      </c>
      <c r="IU31" s="869">
        <f>'[3]zdroj pro sdílené hodnoty v tab'!ED7</f>
        <v>0.7</v>
      </c>
      <c r="IV31" s="869">
        <f>'[3]zdroj pro sdílené hodnoty v tab'!FW7</f>
        <v>2</v>
      </c>
      <c r="IW31" s="869">
        <f>'[3]zdroj pro sdílené hodnoty v tab'!GX7</f>
        <v>1.9</v>
      </c>
      <c r="IX31" s="869">
        <f>'[3]zdroj pro sdílené hodnoty v tab'!HD7</f>
        <v>0.4</v>
      </c>
      <c r="IY31" s="869">
        <f>'[3]zdroj pro sdílené hodnoty v tab'!FJ7</f>
        <v>1</v>
      </c>
      <c r="IZ31" s="869">
        <f>'[3]zdroj pro sdílené hodnoty v tab'!GF7</f>
        <v>4</v>
      </c>
      <c r="JA31" s="869">
        <v>1</v>
      </c>
      <c r="JB31" s="869">
        <v>3.1</v>
      </c>
      <c r="JC31" s="866">
        <v>3.3</v>
      </c>
      <c r="JD31" s="866">
        <f>'[2]zdroj pro sdílené hodnoty v tab'!LC7</f>
        <v>8.6999999999999993</v>
      </c>
      <c r="JE31" s="869">
        <f>'[3]zdroj pro sdílené hodnoty v tab'!EA7</f>
        <v>0.6</v>
      </c>
      <c r="JF31" s="869">
        <f>'[3]zdroj pro sdílené hodnoty v tab'!FD7</f>
        <v>2.4</v>
      </c>
      <c r="JG31" s="869">
        <f>'[2]zdroj pro sdílené hodnoty v tab'!FE7</f>
        <v>2</v>
      </c>
      <c r="JH31" s="869">
        <f>'[2]zdroj pro sdílené hodnoty v tab'!IA7</f>
        <v>9.9999999999999978E-2</v>
      </c>
      <c r="JI31" s="315"/>
      <c r="JL31" s="307"/>
      <c r="JM31" s="307"/>
      <c r="JN31" s="307"/>
      <c r="JO31" s="307"/>
      <c r="JP31" s="307"/>
    </row>
    <row r="32" spans="1:276" x14ac:dyDescent="0.25">
      <c r="B32" s="733" t="s">
        <v>2852</v>
      </c>
      <c r="C32" s="869">
        <f>'[2]zdroj pro sdílené hodnoty v tab'!FO8</f>
        <v>13</v>
      </c>
      <c r="D32" s="869">
        <f>'[2]zdroj pro sdílené hodnoty v tab'!GP8</f>
        <v>13</v>
      </c>
      <c r="E32" s="869">
        <f>'[2]zdroj pro sdílené hodnoty v tab'!FV8</f>
        <v>14</v>
      </c>
      <c r="F32" s="869">
        <f>'[2]zdroj pro sdílené hodnoty v tab'!AY8</f>
        <v>7.6</v>
      </c>
      <c r="G32" s="869">
        <f>'[2]zdroj pro sdílené hodnoty v tab'!EQ8</f>
        <v>13.4</v>
      </c>
      <c r="H32" s="869">
        <f>'[2]zdroj pro sdílené hodnoty v tab'!JV8</f>
        <v>1.5</v>
      </c>
      <c r="I32" s="869">
        <f>'[2]zdroj pro sdílené hodnoty v tab'!LD8</f>
        <v>3.1</v>
      </c>
      <c r="J32" s="869">
        <v>2</v>
      </c>
      <c r="K32" s="866">
        <v>2.7</v>
      </c>
      <c r="L32" s="869">
        <f>'[2]zdroj pro sdílené hodnoty v tab'!HX8</f>
        <v>0</v>
      </c>
      <c r="M32" s="866">
        <v>8</v>
      </c>
      <c r="N32" s="869">
        <v>7.5</v>
      </c>
      <c r="O32" s="866">
        <v>0.28000000000000003</v>
      </c>
      <c r="P32" s="869">
        <v>0</v>
      </c>
      <c r="Q32" s="869">
        <v>0</v>
      </c>
      <c r="R32" s="869">
        <v>0</v>
      </c>
      <c r="S32" s="869">
        <f>'[2]zdroj pro sdílené hodnoty v tab'!P8</f>
        <v>0</v>
      </c>
      <c r="T32" s="869">
        <v>0</v>
      </c>
      <c r="U32" s="866">
        <f>'[2]zdroj pro sdílené hodnoty v tab'!AL8</f>
        <v>0</v>
      </c>
      <c r="V32" s="869">
        <v>29.25</v>
      </c>
      <c r="W32" s="866">
        <f>'[2]zdroj pro sdílené hodnoty v tab'!EW8</f>
        <v>5.25</v>
      </c>
      <c r="X32" s="866">
        <f>'[2]zdroj pro sdílené hodnoty v tab'!EO8</f>
        <v>2</v>
      </c>
      <c r="Y32" s="869">
        <f>'[2]zdroj pro sdílené hodnoty v tab'!EE8</f>
        <v>1.65</v>
      </c>
      <c r="Z32" s="866">
        <f>'[2]zdroj pro sdílené hodnoty v tab'!FL8</f>
        <v>6.6</v>
      </c>
      <c r="AA32" s="866">
        <v>3</v>
      </c>
      <c r="AB32" s="869">
        <v>6.45</v>
      </c>
      <c r="AC32" s="866">
        <v>0</v>
      </c>
      <c r="AD32" s="869">
        <v>0.15</v>
      </c>
      <c r="AE32" s="866">
        <v>0</v>
      </c>
      <c r="AF32" s="866">
        <v>4.7</v>
      </c>
      <c r="AG32" s="869">
        <v>6.45</v>
      </c>
      <c r="AH32" s="869">
        <v>1.6</v>
      </c>
      <c r="AI32" s="866">
        <f>'[2]zdroj pro sdílené hodnoty v tab'!GK8</f>
        <v>7.9</v>
      </c>
      <c r="AJ32" s="866">
        <f>'[2]zdroj pro sdílené hodnoty v tab'!HB8</f>
        <v>4.25</v>
      </c>
      <c r="AK32" s="869">
        <v>0</v>
      </c>
      <c r="AL32" s="869">
        <v>0.8</v>
      </c>
      <c r="AM32" s="866">
        <v>0</v>
      </c>
      <c r="AN32" s="869">
        <v>0</v>
      </c>
      <c r="AO32" s="869">
        <v>11</v>
      </c>
      <c r="AP32" s="866">
        <f>'[2]zdroj pro sdílené hodnoty v tab'!BF8</f>
        <v>4.4000000000000004</v>
      </c>
      <c r="AQ32" s="869">
        <v>0</v>
      </c>
      <c r="AR32" s="866">
        <f>'[2]zdroj pro sdílené hodnoty v tab'!AC8</f>
        <v>0</v>
      </c>
      <c r="AS32" s="866">
        <v>0</v>
      </c>
      <c r="AT32" s="869">
        <v>3.95</v>
      </c>
      <c r="AU32" s="866">
        <v>0.3</v>
      </c>
      <c r="AV32" s="866">
        <f>'[2]zdroj pro sdílené hodnoty v tab'!JE8</f>
        <v>1.45</v>
      </c>
      <c r="AW32" s="866">
        <v>4</v>
      </c>
      <c r="AX32" s="866">
        <f>'[2]zdroj pro sdílené hodnoty v tab'!DT8</f>
        <v>3.5</v>
      </c>
      <c r="AY32" s="866">
        <v>2.99</v>
      </c>
      <c r="AZ32" s="869">
        <v>2</v>
      </c>
      <c r="BA32" s="866">
        <v>24</v>
      </c>
      <c r="BB32" s="869">
        <v>0</v>
      </c>
      <c r="BC32" s="866">
        <v>0</v>
      </c>
      <c r="BD32" s="866">
        <v>0.6</v>
      </c>
      <c r="BE32" s="869">
        <v>0.22500000000000001</v>
      </c>
      <c r="BF32" s="866">
        <v>0</v>
      </c>
      <c r="BG32" s="866">
        <v>1</v>
      </c>
      <c r="BH32" s="866">
        <v>0</v>
      </c>
      <c r="BI32" s="869">
        <v>0</v>
      </c>
      <c r="BJ32" s="866">
        <v>4.5999999999999996</v>
      </c>
      <c r="BK32" s="866">
        <v>0.75</v>
      </c>
      <c r="BL32" s="866">
        <v>1</v>
      </c>
      <c r="BM32" s="866">
        <f>'[2]zdroj pro sdílené hodnoty v tab'!KI8</f>
        <v>2</v>
      </c>
      <c r="BN32" s="869">
        <v>0</v>
      </c>
      <c r="BO32" s="869">
        <v>0</v>
      </c>
      <c r="BP32" s="866">
        <f>'[2]zdroj pro sdílené hodnoty v tab'!EV8</f>
        <v>6.85</v>
      </c>
      <c r="BQ32" s="866">
        <f>'[2]zdroj pro sdílené hodnoty v tab'!KX8</f>
        <v>0.9</v>
      </c>
      <c r="BR32" s="866">
        <v>0</v>
      </c>
      <c r="BS32" s="866">
        <v>0</v>
      </c>
      <c r="BT32" s="866">
        <f>'[2]zdroj pro sdílené hodnoty v tab'!AH8</f>
        <v>0</v>
      </c>
      <c r="BU32" s="866">
        <f>'[2]zdroj pro sdílené hodnoty v tab'!CX8</f>
        <v>7.75</v>
      </c>
      <c r="BV32" s="866">
        <f>'[2]zdroj pro sdílené hodnoty v tab'!DX8</f>
        <v>2.15</v>
      </c>
      <c r="BW32" s="869">
        <v>0</v>
      </c>
      <c r="BX32" s="869">
        <v>9.35</v>
      </c>
      <c r="BY32" s="866">
        <f>'[2]zdroj pro sdílené hodnoty v tab'!CV9</f>
        <v>0</v>
      </c>
      <c r="BZ32" s="869">
        <v>0</v>
      </c>
      <c r="CA32" s="866">
        <v>0</v>
      </c>
      <c r="CB32" s="866">
        <f>'[2]zdroj pro sdílené hodnoty v tab'!HM8</f>
        <v>0.2</v>
      </c>
      <c r="CC32" s="869">
        <v>0</v>
      </c>
      <c r="CD32" s="866">
        <f>'[2]zdroj pro sdílené hodnoty v tab'!Q7</f>
        <v>1</v>
      </c>
      <c r="CE32" s="866">
        <v>25.4</v>
      </c>
      <c r="CF32" s="866">
        <v>0</v>
      </c>
      <c r="CG32" s="869">
        <f>'[2]zdroj pro sdílené hodnoty v tab'!IB9</f>
        <v>0</v>
      </c>
      <c r="CH32" s="869">
        <v>0</v>
      </c>
      <c r="CI32" s="866">
        <f>'[2]zdroj pro sdílené hodnoty v tab'!IL9</f>
        <v>0</v>
      </c>
      <c r="CJ32" s="866">
        <v>4.1399999999999997</v>
      </c>
      <c r="CK32" s="866">
        <v>5.8</v>
      </c>
      <c r="CL32" s="867">
        <v>3.2</v>
      </c>
      <c r="CM32" s="866">
        <v>12.5</v>
      </c>
      <c r="CN32" s="869">
        <v>1.5</v>
      </c>
      <c r="CO32" s="866">
        <v>0</v>
      </c>
      <c r="CP32" s="866">
        <v>0</v>
      </c>
      <c r="CQ32" s="866">
        <v>0</v>
      </c>
      <c r="CR32" s="866">
        <f>'[2]zdroj pro sdílené hodnoty v tab'!CM8</f>
        <v>4.5</v>
      </c>
      <c r="CS32" s="866">
        <v>5.5</v>
      </c>
      <c r="CT32" s="869">
        <v>5</v>
      </c>
      <c r="CU32" s="866">
        <v>3</v>
      </c>
      <c r="CV32" s="866">
        <f>'[2]zdroj pro sdílené hodnoty v tab'!GG8</f>
        <v>7</v>
      </c>
      <c r="CW32" s="866">
        <v>0.2</v>
      </c>
      <c r="CX32" s="866">
        <v>11</v>
      </c>
      <c r="CY32" s="866">
        <v>6.3</v>
      </c>
      <c r="CZ32" s="866">
        <v>0</v>
      </c>
      <c r="DA32" s="866">
        <f>'[2]zdroj pro sdílené hodnoty v tab'!HQ8</f>
        <v>18</v>
      </c>
      <c r="DB32" s="866">
        <v>0.15</v>
      </c>
      <c r="DC32" s="866">
        <v>2</v>
      </c>
      <c r="DD32" s="866">
        <v>0</v>
      </c>
      <c r="DE32" s="866">
        <v>0</v>
      </c>
      <c r="DF32" s="866">
        <v>0</v>
      </c>
      <c r="DG32" s="869">
        <v>0</v>
      </c>
      <c r="DH32" s="866">
        <v>2.5</v>
      </c>
      <c r="DI32" s="869">
        <v>0.92</v>
      </c>
      <c r="DJ32" s="869">
        <v>2.4</v>
      </c>
      <c r="DK32" s="869">
        <v>2.9</v>
      </c>
      <c r="DL32" s="869">
        <v>8</v>
      </c>
      <c r="DM32" s="869">
        <v>5</v>
      </c>
      <c r="DN32" s="866">
        <v>0</v>
      </c>
      <c r="DO32" s="866">
        <v>0</v>
      </c>
      <c r="DP32" s="866">
        <v>0.25</v>
      </c>
      <c r="DQ32" s="866">
        <v>1.5</v>
      </c>
      <c r="DR32" s="866">
        <v>1</v>
      </c>
      <c r="DS32" s="866">
        <v>2</v>
      </c>
      <c r="DT32" s="866">
        <v>6.25</v>
      </c>
      <c r="DU32" s="866">
        <v>1</v>
      </c>
      <c r="DV32" s="866">
        <f>'[2]zdroj pro sdílené hodnoty v tab'!HI8</f>
        <v>8</v>
      </c>
      <c r="DW32" s="866">
        <v>1</v>
      </c>
      <c r="DX32" s="866">
        <v>2</v>
      </c>
      <c r="DY32" s="866">
        <v>10</v>
      </c>
      <c r="DZ32" s="866">
        <v>1.47</v>
      </c>
      <c r="EA32" s="866">
        <v>7.3</v>
      </c>
      <c r="EB32" s="866">
        <v>12</v>
      </c>
      <c r="EC32" s="866">
        <v>6.25</v>
      </c>
      <c r="ED32" s="866">
        <v>5</v>
      </c>
      <c r="EE32" s="866">
        <v>0</v>
      </c>
      <c r="EF32" s="866">
        <v>0.5</v>
      </c>
      <c r="EG32" s="866">
        <v>0</v>
      </c>
      <c r="EH32" s="866">
        <v>0.75</v>
      </c>
      <c r="EI32" s="866">
        <f>'[2]zdroj pro sdílené hodnoty v tab'!JQ8</f>
        <v>0.75</v>
      </c>
      <c r="EJ32" s="869">
        <v>0</v>
      </c>
      <c r="EK32" s="866">
        <v>8.19</v>
      </c>
      <c r="EL32" s="869">
        <v>12.43</v>
      </c>
      <c r="EM32" s="869">
        <v>5</v>
      </c>
      <c r="EN32" s="869">
        <v>2</v>
      </c>
      <c r="EO32" s="866">
        <f>'[2]zdroj pro sdílené hodnoty v tab'!AI8</f>
        <v>0</v>
      </c>
      <c r="EP32" s="869">
        <v>3.9</v>
      </c>
      <c r="EQ32" s="866">
        <v>2</v>
      </c>
      <c r="ER32" s="869">
        <v>24</v>
      </c>
      <c r="ES32" s="866">
        <v>5.47</v>
      </c>
      <c r="ET32" s="866">
        <v>2</v>
      </c>
      <c r="EU32" s="869">
        <v>1.2</v>
      </c>
      <c r="EV32" s="866">
        <v>0</v>
      </c>
      <c r="EW32" s="866">
        <v>8</v>
      </c>
      <c r="EX32" s="869">
        <v>15</v>
      </c>
      <c r="EY32" s="866">
        <f>'[2]zdroj pro sdílené hodnoty v tab'!JG8</f>
        <v>2</v>
      </c>
      <c r="EZ32" s="866">
        <f>'[2]zdroj pro sdílené hodnoty v tab'!CN8</f>
        <v>2</v>
      </c>
      <c r="FA32" s="869">
        <v>1</v>
      </c>
      <c r="FB32" s="866">
        <f>'[2]zdroj pro sdílené hodnoty v tab'!DA8</f>
        <v>0.5</v>
      </c>
      <c r="FC32" s="869">
        <v>15</v>
      </c>
      <c r="FD32" s="866">
        <v>1.5</v>
      </c>
      <c r="FE32" s="866">
        <f>'[2]zdroj pro sdílené hodnoty v tab'!IX8</f>
        <v>0.7</v>
      </c>
      <c r="FF32" s="869">
        <v>6</v>
      </c>
      <c r="FG32" s="869">
        <v>18</v>
      </c>
      <c r="FH32" s="869">
        <v>20</v>
      </c>
      <c r="FI32" s="866">
        <f>'[2]zdroj pro sdílené hodnoty v tab'!GN8</f>
        <v>17.350000000000001</v>
      </c>
      <c r="FJ32" s="869">
        <v>7</v>
      </c>
      <c r="FK32" s="869">
        <v>2</v>
      </c>
      <c r="FL32" s="869">
        <v>2</v>
      </c>
      <c r="FM32" s="869">
        <v>10</v>
      </c>
      <c r="FN32" s="869">
        <v>15.67</v>
      </c>
      <c r="FO32" s="869">
        <v>4.1100000000000003</v>
      </c>
      <c r="FP32" s="866">
        <f>'[2]zdroj pro sdílené hodnoty v tab'!FZ8</f>
        <v>23</v>
      </c>
      <c r="FQ32" s="869">
        <v>3.72</v>
      </c>
      <c r="FR32" s="866">
        <f>'[2]zdroj pro sdílené hodnoty v tab'!IF8</f>
        <v>4</v>
      </c>
      <c r="FS32" s="866">
        <f>'[2]zdroj pro sdílené hodnoty v tab'!IZ8</f>
        <v>1.25</v>
      </c>
      <c r="FT32" s="869">
        <v>9.9</v>
      </c>
      <c r="FU32" s="869">
        <v>0</v>
      </c>
      <c r="FV32" s="869">
        <v>3.75</v>
      </c>
      <c r="FW32" s="866">
        <f>'[2]zdroj pro sdílené hodnoty v tab'!CU8</f>
        <v>4</v>
      </c>
      <c r="FX32" s="866">
        <f>'[2]zdroj pro sdílené hodnoty v tab'!BO8</f>
        <v>2</v>
      </c>
      <c r="FY32" s="869">
        <v>1.1000000000000001</v>
      </c>
      <c r="FZ32" s="866">
        <f>'[2]zdroj pro sdílené hodnoty v tab'!CS8</f>
        <v>15</v>
      </c>
      <c r="GA32" s="869">
        <v>1.1000000000000001</v>
      </c>
      <c r="GB32" s="869">
        <v>9.9</v>
      </c>
      <c r="GC32" s="869">
        <v>7</v>
      </c>
      <c r="GD32" s="866">
        <f>'[2]zdroj pro sdílené hodnoty v tab'!FN8</f>
        <v>19</v>
      </c>
      <c r="GE32" s="869">
        <v>1</v>
      </c>
      <c r="GF32" s="869">
        <v>9.5</v>
      </c>
      <c r="GG32" s="869">
        <v>2</v>
      </c>
      <c r="GH32" s="869">
        <v>2</v>
      </c>
      <c r="GI32" s="866">
        <f>'[2]zdroj pro sdílené hodnoty v tab'!GC8</f>
        <v>18</v>
      </c>
      <c r="GJ32" s="869">
        <v>7.1</v>
      </c>
      <c r="GK32" s="866">
        <f>'[2]zdroj pro sdílené hodnoty v tab'!EB8</f>
        <v>6.2</v>
      </c>
      <c r="GL32" s="866">
        <f>'[2]zdroj pro sdílené hodnoty v tab'!EJ8</f>
        <v>1.7</v>
      </c>
      <c r="GM32" s="866">
        <f>'[2]zdroj pro sdílené hodnoty v tab'!IT8</f>
        <v>2</v>
      </c>
      <c r="GN32" s="866">
        <f>'[2]zdroj pro sdílené hodnoty v tab'!JA8</f>
        <v>1</v>
      </c>
      <c r="GO32" s="869">
        <v>10</v>
      </c>
      <c r="GP32" s="869">
        <v>2.75</v>
      </c>
      <c r="GQ32" s="869">
        <v>4</v>
      </c>
      <c r="GR32" s="869">
        <v>2.31</v>
      </c>
      <c r="GS32" s="869">
        <v>2</v>
      </c>
      <c r="GT32" s="869">
        <v>28.75</v>
      </c>
      <c r="GU32" s="869">
        <v>2.5</v>
      </c>
      <c r="GV32" s="869">
        <v>8</v>
      </c>
      <c r="GW32" s="866">
        <f>'[2]zdroj pro sdílené hodnoty v tab'!BW8</f>
        <v>4</v>
      </c>
      <c r="GX32" s="869">
        <v>1.5</v>
      </c>
      <c r="GY32" s="869">
        <v>41</v>
      </c>
      <c r="GZ32" s="869">
        <v>4</v>
      </c>
      <c r="HA32" s="866">
        <f>'[2]zdroj pro sdílené hodnoty v tab'!CE8</f>
        <v>22</v>
      </c>
      <c r="HB32" s="869">
        <v>10</v>
      </c>
      <c r="HC32" s="869">
        <v>18.5</v>
      </c>
      <c r="HD32" s="866">
        <f>'[2]zdroj pro sdílené hodnoty v tab'!CT8</f>
        <v>7</v>
      </c>
      <c r="HE32" s="866">
        <f>'[2]zdroj pro sdílené hodnoty v tab'!GO8</f>
        <v>13.31</v>
      </c>
      <c r="HF32" s="866">
        <v>5</v>
      </c>
      <c r="HG32" s="866">
        <f>'[2]zdroj pro sdílené hodnoty v tab'!EH8</f>
        <v>1.7</v>
      </c>
      <c r="HH32" s="866">
        <f>'[2]zdroj pro sdílené hodnoty v tab'!DE8</f>
        <v>6</v>
      </c>
      <c r="HI32" s="866">
        <v>9</v>
      </c>
      <c r="HJ32" s="869">
        <v>1</v>
      </c>
      <c r="HK32" s="866"/>
      <c r="HL32" s="869">
        <f>'[3]zdroj pro sdílené hodnoty v tab'!FI8</f>
        <v>54.5</v>
      </c>
      <c r="HM32" s="869">
        <v>37.5</v>
      </c>
      <c r="HN32" s="869">
        <f>'[3]zdroj pro sdílené hodnoty v tab'!JT8</f>
        <v>1</v>
      </c>
      <c r="HO32" s="869">
        <f>'[3]zdroj pro sdílené hodnoty v tab'!KK8</f>
        <v>2</v>
      </c>
      <c r="HP32" s="869">
        <f>'[3]zdroj pro sdílené hodnoty v tab'!FH8</f>
        <v>39.700000000000003</v>
      </c>
      <c r="HQ32" s="869">
        <f>'[3]zdroj pro sdílené hodnoty v tab'!EP8</f>
        <v>1</v>
      </c>
      <c r="HR32" s="869">
        <f>'[3]zdroj pro sdílené hodnoty v tab'!FF8</f>
        <v>51.5</v>
      </c>
      <c r="HS32" s="866">
        <v>10.6</v>
      </c>
      <c r="HT32" s="869">
        <f>'[3]zdroj pro sdílené hodnoty v tab'!GY8</f>
        <v>23</v>
      </c>
      <c r="HU32" s="869">
        <f>'[3]zdroj pro sdílené hodnoty v tab'!GS8</f>
        <v>36</v>
      </c>
      <c r="HV32" s="869">
        <f>'[3]zdroj pro sdílené hodnoty v tab'!GI8</f>
        <v>30</v>
      </c>
      <c r="HW32" s="866">
        <f>'[3]zdroj pro sdílené hodnoty v tab'!FU8</f>
        <v>7.4700000000000006</v>
      </c>
      <c r="HX32" s="869">
        <f>'[3]zdroj pro sdílené hodnoty v tab'!GV8</f>
        <v>35.130000000000003</v>
      </c>
      <c r="HY32" s="869">
        <f>'[3]zdroj pro sdílené hodnoty v tab'!GB8</f>
        <v>24.55</v>
      </c>
      <c r="HZ32" s="869">
        <f>'[3]zdroj pro sdílené hodnoty v tab'!GD8</f>
        <v>12</v>
      </c>
      <c r="IA32" s="869">
        <f>'[3]zdroj pro sdílené hodnoty v tab'!FY8</f>
        <v>13</v>
      </c>
      <c r="IB32" s="869">
        <f>'[3]zdroj pro sdílené hodnoty v tab'!FS8</f>
        <v>11</v>
      </c>
      <c r="IC32" s="869">
        <f>'[3]zdroj pro sdílené hodnoty v tab'!GM8</f>
        <v>21</v>
      </c>
      <c r="ID32" s="869">
        <f>'[3]zdroj pro sdílené hodnoty v tab'!GU8</f>
        <v>18</v>
      </c>
      <c r="IE32" s="869">
        <f>'[3]zdroj pro sdílené hodnoty v tab'!FT8</f>
        <v>24</v>
      </c>
      <c r="IF32" s="869">
        <f>'[3]zdroj pro sdílené hodnoty v tab'!GQ8</f>
        <v>21</v>
      </c>
      <c r="IG32" s="869">
        <f>'[3]zdroj pro sdílené hodnoty v tab'!HA8</f>
        <v>6</v>
      </c>
      <c r="IH32" s="869">
        <f>'[3]zdroj pro sdílené hodnoty v tab'!FK8</f>
        <v>4.9499999999999993</v>
      </c>
      <c r="II32" s="869">
        <f>'[3]zdroj pro sdílené hodnoty v tab'!GW8</f>
        <v>26.139999999999997</v>
      </c>
      <c r="IJ32" s="869">
        <f>'[3]zdroj pro sdílené hodnoty v tab'!HF8</f>
        <v>3.4000000000000004</v>
      </c>
      <c r="IK32" s="869">
        <f>'[3]zdroj pro sdílené hodnoty v tab'!KY8</f>
        <v>3.01</v>
      </c>
      <c r="IL32" s="869">
        <f>'[3]zdroj pro sdílené hodnoty v tab'!FQ8</f>
        <v>13</v>
      </c>
      <c r="IM32" s="869">
        <v>0.55000000000000004</v>
      </c>
      <c r="IN32" s="869">
        <f>'[3]zdroj pro sdílené hodnoty v tab'!GH8</f>
        <v>11.2</v>
      </c>
      <c r="IO32" s="869">
        <f>'[3]zdroj pro sdílené hodnoty v tab'!HC8</f>
        <v>5.5</v>
      </c>
      <c r="IP32" s="869">
        <f>'[3]zdroj pro sdílené hodnoty v tab'!FM8</f>
        <v>26</v>
      </c>
      <c r="IQ32" s="869">
        <f>'[3]zdroj pro sdílené hodnoty v tab'!FG8</f>
        <v>27.4</v>
      </c>
      <c r="IR32" s="869">
        <f>'[3]zdroj pro sdílené hodnoty v tab'!HE8</f>
        <v>1.6</v>
      </c>
      <c r="IS32" s="869">
        <f>'[3]zdroj pro sdílené hodnoty v tab'!GJ8</f>
        <v>97.4</v>
      </c>
      <c r="IT32" s="869">
        <f>'[3]zdroj pro sdílené hodnoty v tab'!GZ8</f>
        <v>26.2</v>
      </c>
      <c r="IU32" s="869">
        <f>'[3]zdroj pro sdílené hodnoty v tab'!ED8</f>
        <v>5.3</v>
      </c>
      <c r="IV32" s="869">
        <f>'[3]zdroj pro sdílené hodnoty v tab'!FW8</f>
        <v>10</v>
      </c>
      <c r="IW32" s="869">
        <f>'[3]zdroj pro sdílené hodnoty v tab'!GX8</f>
        <v>23.7</v>
      </c>
      <c r="IX32" s="869">
        <f>'[3]zdroj pro sdílené hodnoty v tab'!HD8</f>
        <v>3</v>
      </c>
      <c r="IY32" s="869">
        <f>'[3]zdroj pro sdílené hodnoty v tab'!FJ8</f>
        <v>12.8</v>
      </c>
      <c r="IZ32" s="869">
        <f>'[3]zdroj pro sdílené hodnoty v tab'!GF8</f>
        <v>31.2</v>
      </c>
      <c r="JA32" s="869">
        <v>0</v>
      </c>
      <c r="JB32" s="869">
        <v>0</v>
      </c>
      <c r="JC32" s="866">
        <v>0</v>
      </c>
      <c r="JD32" s="866">
        <f>'[2]zdroj pro sdílené hodnoty v tab'!LC8</f>
        <v>0</v>
      </c>
      <c r="JE32" s="869">
        <f>'[3]zdroj pro sdílené hodnoty v tab'!EA8</f>
        <v>7</v>
      </c>
      <c r="JF32" s="869">
        <f>'[3]zdroj pro sdílené hodnoty v tab'!FD8</f>
        <v>58.69</v>
      </c>
      <c r="JG32" s="869">
        <f>'[2]zdroj pro sdílené hodnoty v tab'!FE8</f>
        <v>40</v>
      </c>
      <c r="JH32" s="869">
        <f>'[2]zdroj pro sdílené hodnoty v tab'!IA8</f>
        <v>1.9</v>
      </c>
      <c r="JI32" s="315"/>
      <c r="JL32" s="307"/>
      <c r="JM32" s="307"/>
      <c r="JN32" s="307"/>
      <c r="JO32" s="307"/>
      <c r="JP32" s="307"/>
    </row>
    <row r="33" spans="1:276" x14ac:dyDescent="0.25">
      <c r="B33" s="733" t="s">
        <v>2853</v>
      </c>
      <c r="C33" s="869">
        <f>'[2]zdroj pro sdílené hodnoty v tab'!FO9</f>
        <v>6</v>
      </c>
      <c r="D33" s="869">
        <f>'[2]zdroj pro sdílené hodnoty v tab'!GP9</f>
        <v>4</v>
      </c>
      <c r="E33" s="869">
        <f>'[2]zdroj pro sdílené hodnoty v tab'!FV9</f>
        <v>6</v>
      </c>
      <c r="F33" s="869">
        <f>'[2]zdroj pro sdílené hodnoty v tab'!AY9</f>
        <v>0</v>
      </c>
      <c r="G33" s="869">
        <f>'[2]zdroj pro sdílené hodnoty v tab'!EQ9</f>
        <v>0</v>
      </c>
      <c r="H33" s="869">
        <f>'[2]zdroj pro sdílené hodnoty v tab'!JV9</f>
        <v>0</v>
      </c>
      <c r="I33" s="869">
        <f>'[2]zdroj pro sdílené hodnoty v tab'!LD9</f>
        <v>0</v>
      </c>
      <c r="J33" s="869">
        <v>0</v>
      </c>
      <c r="K33" s="866">
        <v>0</v>
      </c>
      <c r="L33" s="869">
        <f>'[2]zdroj pro sdílené hodnoty v tab'!HX9</f>
        <v>0.02</v>
      </c>
      <c r="M33" s="866">
        <v>0</v>
      </c>
      <c r="N33" s="869">
        <v>0</v>
      </c>
      <c r="O33" s="866">
        <v>0</v>
      </c>
      <c r="P33" s="869">
        <v>0.2</v>
      </c>
      <c r="Q33" s="869">
        <v>0</v>
      </c>
      <c r="R33" s="869">
        <v>0</v>
      </c>
      <c r="S33" s="869">
        <f>'[2]zdroj pro sdílené hodnoty v tab'!P9</f>
        <v>0</v>
      </c>
      <c r="T33" s="869">
        <v>0</v>
      </c>
      <c r="U33" s="866">
        <f>'[2]zdroj pro sdílené hodnoty v tab'!AL9</f>
        <v>0</v>
      </c>
      <c r="V33" s="869">
        <v>0</v>
      </c>
      <c r="W33" s="866">
        <f>'[2]zdroj pro sdílené hodnoty v tab'!EW9</f>
        <v>0</v>
      </c>
      <c r="X33" s="866">
        <f>'[2]zdroj pro sdílené hodnoty v tab'!EO9</f>
        <v>0</v>
      </c>
      <c r="Y33" s="869">
        <f>'[2]zdroj pro sdílené hodnoty v tab'!EE9</f>
        <v>1.65</v>
      </c>
      <c r="Z33" s="866">
        <f>'[2]zdroj pro sdílené hodnoty v tab'!FL9</f>
        <v>6.6</v>
      </c>
      <c r="AA33" s="866">
        <v>0</v>
      </c>
      <c r="AB33" s="869">
        <v>0</v>
      </c>
      <c r="AC33" s="866">
        <v>0</v>
      </c>
      <c r="AD33" s="869">
        <v>0</v>
      </c>
      <c r="AE33" s="866">
        <v>1.7</v>
      </c>
      <c r="AF33" s="866">
        <v>0</v>
      </c>
      <c r="AG33" s="869">
        <v>0</v>
      </c>
      <c r="AH33" s="869">
        <v>0</v>
      </c>
      <c r="AI33" s="866">
        <f>'[2]zdroj pro sdílené hodnoty v tab'!GK9</f>
        <v>2.5</v>
      </c>
      <c r="AJ33" s="866">
        <f>'[2]zdroj pro sdílené hodnoty v tab'!HB9</f>
        <v>2.8</v>
      </c>
      <c r="AK33" s="869">
        <v>0</v>
      </c>
      <c r="AL33" s="869">
        <v>0</v>
      </c>
      <c r="AM33" s="866">
        <v>0</v>
      </c>
      <c r="AN33" s="869">
        <v>1</v>
      </c>
      <c r="AO33" s="869">
        <v>0</v>
      </c>
      <c r="AP33" s="866">
        <f>'[2]zdroj pro sdílené hodnoty v tab'!BF9</f>
        <v>0</v>
      </c>
      <c r="AQ33" s="869">
        <v>0</v>
      </c>
      <c r="AR33" s="866">
        <f>'[2]zdroj pro sdílené hodnoty v tab'!AC9</f>
        <v>0</v>
      </c>
      <c r="AS33" s="866">
        <v>0</v>
      </c>
      <c r="AT33" s="869">
        <v>0</v>
      </c>
      <c r="AU33" s="866">
        <v>0</v>
      </c>
      <c r="AV33" s="866">
        <f>'[2]zdroj pro sdílené hodnoty v tab'!JE9</f>
        <v>0</v>
      </c>
      <c r="AW33" s="866">
        <v>0</v>
      </c>
      <c r="AX33" s="866">
        <f>'[2]zdroj pro sdílené hodnoty v tab'!DT9</f>
        <v>1.55</v>
      </c>
      <c r="AY33" s="866">
        <v>0.2</v>
      </c>
      <c r="AZ33" s="869">
        <v>1.55</v>
      </c>
      <c r="BA33" s="866">
        <v>0</v>
      </c>
      <c r="BB33" s="869">
        <v>0</v>
      </c>
      <c r="BC33" s="866">
        <v>0</v>
      </c>
      <c r="BD33" s="866">
        <v>0</v>
      </c>
      <c r="BE33" s="869">
        <v>0</v>
      </c>
      <c r="BF33" s="866">
        <v>0</v>
      </c>
      <c r="BG33" s="866">
        <v>0</v>
      </c>
      <c r="BH33" s="866">
        <v>0</v>
      </c>
      <c r="BI33" s="869">
        <v>6.7</v>
      </c>
      <c r="BJ33" s="866">
        <v>0</v>
      </c>
      <c r="BK33" s="866">
        <v>0</v>
      </c>
      <c r="BL33" s="866">
        <v>0</v>
      </c>
      <c r="BM33" s="866">
        <f>'[2]zdroj pro sdílené hodnoty v tab'!KI9</f>
        <v>0</v>
      </c>
      <c r="BN33" s="869">
        <v>0</v>
      </c>
      <c r="BO33" s="869">
        <v>0</v>
      </c>
      <c r="BP33" s="866">
        <f>'[2]zdroj pro sdílené hodnoty v tab'!EV9</f>
        <v>0</v>
      </c>
      <c r="BQ33" s="866">
        <f>'[2]zdroj pro sdílené hodnoty v tab'!KX9</f>
        <v>0</v>
      </c>
      <c r="BR33" s="866">
        <v>0</v>
      </c>
      <c r="BS33" s="866">
        <v>0</v>
      </c>
      <c r="BT33" s="866">
        <f>'[2]zdroj pro sdílené hodnoty v tab'!AH9</f>
        <v>0</v>
      </c>
      <c r="BU33" s="866">
        <f>'[2]zdroj pro sdílené hodnoty v tab'!CX9</f>
        <v>0</v>
      </c>
      <c r="BV33" s="866">
        <f>'[2]zdroj pro sdílené hodnoty v tab'!DX9</f>
        <v>0</v>
      </c>
      <c r="BW33" s="869">
        <v>0.2</v>
      </c>
      <c r="BX33" s="869">
        <v>0</v>
      </c>
      <c r="BY33" s="866">
        <f>'[2]zdroj pro sdílené hodnoty v tab'!CV10</f>
        <v>0</v>
      </c>
      <c r="BZ33" s="869">
        <v>0.2</v>
      </c>
      <c r="CA33" s="866">
        <v>0</v>
      </c>
      <c r="CB33" s="866">
        <f>'[2]zdroj pro sdílené hodnoty v tab'!HM9</f>
        <v>0</v>
      </c>
      <c r="CC33" s="869">
        <v>0</v>
      </c>
      <c r="CD33" s="866">
        <f>'[2]zdroj pro sdílené hodnoty v tab'!Q8</f>
        <v>0</v>
      </c>
      <c r="CE33" s="866">
        <v>0</v>
      </c>
      <c r="CF33" s="866">
        <v>0</v>
      </c>
      <c r="CG33" s="869">
        <v>0</v>
      </c>
      <c r="CH33" s="869">
        <v>0</v>
      </c>
      <c r="CI33" s="866">
        <f>'[2]zdroj pro sdílené hodnoty v tab'!IL10</f>
        <v>0</v>
      </c>
      <c r="CJ33" s="866">
        <v>0</v>
      </c>
      <c r="CK33" s="866">
        <v>0</v>
      </c>
      <c r="CL33" s="867">
        <v>0</v>
      </c>
      <c r="CM33" s="866">
        <v>0</v>
      </c>
      <c r="CN33" s="869">
        <v>0</v>
      </c>
      <c r="CO33" s="866">
        <v>0</v>
      </c>
      <c r="CP33" s="866">
        <v>0</v>
      </c>
      <c r="CQ33" s="866">
        <v>0</v>
      </c>
      <c r="CR33" s="866">
        <f>'[2]zdroj pro sdílené hodnoty v tab'!CM9</f>
        <v>0</v>
      </c>
      <c r="CS33" s="866">
        <v>0</v>
      </c>
      <c r="CT33" s="869">
        <v>0</v>
      </c>
      <c r="CU33" s="866">
        <v>0</v>
      </c>
      <c r="CV33" s="866">
        <f>'[2]zdroj pro sdílené hodnoty v tab'!GG9</f>
        <v>3</v>
      </c>
      <c r="CW33" s="866">
        <v>0</v>
      </c>
      <c r="CX33" s="866">
        <v>0</v>
      </c>
      <c r="CY33" s="866">
        <v>0</v>
      </c>
      <c r="CZ33" s="866">
        <v>0</v>
      </c>
      <c r="DA33" s="866">
        <f>'[2]zdroj pro sdílené hodnoty v tab'!HQ9</f>
        <v>1.5</v>
      </c>
      <c r="DB33" s="866">
        <v>0</v>
      </c>
      <c r="DC33" s="866">
        <v>0</v>
      </c>
      <c r="DD33" s="866">
        <v>0</v>
      </c>
      <c r="DE33" s="866">
        <v>0</v>
      </c>
      <c r="DF33" s="866">
        <v>0</v>
      </c>
      <c r="DG33" s="869">
        <v>0.2</v>
      </c>
      <c r="DH33" s="866">
        <v>0</v>
      </c>
      <c r="DI33" s="869">
        <v>0</v>
      </c>
      <c r="DJ33" s="869">
        <v>0</v>
      </c>
      <c r="DK33" s="869">
        <v>0</v>
      </c>
      <c r="DL33" s="869">
        <v>0</v>
      </c>
      <c r="DM33" s="869">
        <v>0</v>
      </c>
      <c r="DN33" s="866">
        <v>0</v>
      </c>
      <c r="DO33" s="866">
        <v>0</v>
      </c>
      <c r="DP33" s="866">
        <v>0</v>
      </c>
      <c r="DQ33" s="866">
        <v>0</v>
      </c>
      <c r="DR33" s="866">
        <v>0</v>
      </c>
      <c r="DS33" s="866">
        <v>0</v>
      </c>
      <c r="DT33" s="866">
        <v>0</v>
      </c>
      <c r="DU33" s="866">
        <v>0</v>
      </c>
      <c r="DV33" s="866">
        <f>'[2]zdroj pro sdílené hodnoty v tab'!HI9</f>
        <v>0</v>
      </c>
      <c r="DW33" s="866">
        <v>0</v>
      </c>
      <c r="DX33" s="866">
        <v>0</v>
      </c>
      <c r="DY33" s="866">
        <v>0</v>
      </c>
      <c r="DZ33" s="866">
        <v>0</v>
      </c>
      <c r="EA33" s="866">
        <v>0</v>
      </c>
      <c r="EB33" s="866">
        <v>0</v>
      </c>
      <c r="EC33" s="866">
        <v>0</v>
      </c>
      <c r="ED33" s="866">
        <v>0</v>
      </c>
      <c r="EE33" s="866">
        <v>0</v>
      </c>
      <c r="EF33" s="866">
        <v>0</v>
      </c>
      <c r="EG33" s="866">
        <v>0</v>
      </c>
      <c r="EH33" s="866">
        <v>0</v>
      </c>
      <c r="EI33" s="866">
        <f>'[2]zdroj pro sdílené hodnoty v tab'!JQ9</f>
        <v>0</v>
      </c>
      <c r="EJ33" s="869">
        <v>0</v>
      </c>
      <c r="EK33" s="866">
        <v>0</v>
      </c>
      <c r="EL33" s="869">
        <v>0</v>
      </c>
      <c r="EM33" s="869">
        <v>0</v>
      </c>
      <c r="EN33" s="869">
        <v>0</v>
      </c>
      <c r="EO33" s="866">
        <f>'[2]zdroj pro sdílené hodnoty v tab'!AI9</f>
        <v>0</v>
      </c>
      <c r="EP33" s="869">
        <v>0</v>
      </c>
      <c r="EQ33" s="866">
        <v>0</v>
      </c>
      <c r="ER33" s="869">
        <v>0</v>
      </c>
      <c r="ES33" s="866">
        <v>0</v>
      </c>
      <c r="ET33" s="866">
        <v>0</v>
      </c>
      <c r="EU33" s="869">
        <v>1.5</v>
      </c>
      <c r="EV33" s="866">
        <v>0</v>
      </c>
      <c r="EW33" s="866">
        <v>0</v>
      </c>
      <c r="EX33" s="869">
        <v>6</v>
      </c>
      <c r="EY33" s="866">
        <f>'[2]zdroj pro sdílené hodnoty v tab'!JG9</f>
        <v>0</v>
      </c>
      <c r="EZ33" s="866">
        <f>'[2]zdroj pro sdílené hodnoty v tab'!CN9</f>
        <v>0</v>
      </c>
      <c r="FA33" s="869">
        <v>4.2</v>
      </c>
      <c r="FB33" s="866">
        <f>'[2]zdroj pro sdílené hodnoty v tab'!DA9</f>
        <v>0</v>
      </c>
      <c r="FC33" s="869">
        <v>0</v>
      </c>
      <c r="FD33" s="866">
        <v>0</v>
      </c>
      <c r="FE33" s="866">
        <f>'[2]zdroj pro sdílené hodnoty v tab'!IX9</f>
        <v>0</v>
      </c>
      <c r="FF33" s="869">
        <v>0</v>
      </c>
      <c r="FG33" s="869">
        <v>3.5</v>
      </c>
      <c r="FH33" s="869">
        <v>3.5</v>
      </c>
      <c r="FI33" s="866">
        <f>'[2]zdroj pro sdílené hodnoty v tab'!GN9</f>
        <v>6.5</v>
      </c>
      <c r="FJ33" s="869">
        <v>0</v>
      </c>
      <c r="FK33" s="869">
        <v>0</v>
      </c>
      <c r="FL33" s="869">
        <v>0</v>
      </c>
      <c r="FM33" s="869">
        <v>0</v>
      </c>
      <c r="FN33" s="869">
        <v>0</v>
      </c>
      <c r="FO33" s="869">
        <v>0</v>
      </c>
      <c r="FP33" s="866">
        <f>'[2]zdroj pro sdílené hodnoty v tab'!FZ9</f>
        <v>9</v>
      </c>
      <c r="FQ33" s="869">
        <v>0</v>
      </c>
      <c r="FR33" s="866">
        <f>'[2]zdroj pro sdílené hodnoty v tab'!IF9</f>
        <v>0</v>
      </c>
      <c r="FS33" s="866">
        <f>'[2]zdroj pro sdílené hodnoty v tab'!IZ9</f>
        <v>0</v>
      </c>
      <c r="FT33" s="869">
        <v>0</v>
      </c>
      <c r="FU33" s="869">
        <v>0</v>
      </c>
      <c r="FV33" s="869">
        <v>0</v>
      </c>
      <c r="FW33" s="866">
        <f>'[2]zdroj pro sdílené hodnoty v tab'!CU9</f>
        <v>0</v>
      </c>
      <c r="FX33" s="866">
        <f>'[2]zdroj pro sdílené hodnoty v tab'!BO9</f>
        <v>0</v>
      </c>
      <c r="FY33" s="869">
        <v>0</v>
      </c>
      <c r="FZ33" s="866">
        <f>'[2]zdroj pro sdílené hodnoty v tab'!CS9</f>
        <v>0</v>
      </c>
      <c r="GA33" s="869">
        <v>0.7</v>
      </c>
      <c r="GB33" s="869">
        <v>6.3</v>
      </c>
      <c r="GC33" s="869">
        <v>0</v>
      </c>
      <c r="GD33" s="866">
        <f>'[2]zdroj pro sdílené hodnoty v tab'!FN9</f>
        <v>8</v>
      </c>
      <c r="GE33" s="869">
        <v>0</v>
      </c>
      <c r="GF33" s="869">
        <v>0</v>
      </c>
      <c r="GG33" s="869">
        <v>0.85</v>
      </c>
      <c r="GH33" s="869">
        <v>0.06</v>
      </c>
      <c r="GI33" s="866">
        <f>'[2]zdroj pro sdílené hodnoty v tab'!GC9</f>
        <v>7.59</v>
      </c>
      <c r="GJ33" s="869">
        <v>0</v>
      </c>
      <c r="GK33" s="866">
        <f>'[2]zdroj pro sdílené hodnoty v tab'!EB9</f>
        <v>0</v>
      </c>
      <c r="GL33" s="866">
        <f>'[2]zdroj pro sdílené hodnoty v tab'!EJ9</f>
        <v>0</v>
      </c>
      <c r="GM33" s="866">
        <f>'[2]zdroj pro sdílené hodnoty v tab'!IT9</f>
        <v>0</v>
      </c>
      <c r="GN33" s="866">
        <f>'[2]zdroj pro sdílené hodnoty v tab'!JA9</f>
        <v>0</v>
      </c>
      <c r="GO33" s="869">
        <v>6.25</v>
      </c>
      <c r="GP33" s="869">
        <v>0</v>
      </c>
      <c r="GQ33" s="869">
        <v>0</v>
      </c>
      <c r="GR33" s="869">
        <v>0</v>
      </c>
      <c r="GS33" s="869">
        <v>0</v>
      </c>
      <c r="GT33" s="869">
        <v>0</v>
      </c>
      <c r="GU33" s="869">
        <v>0</v>
      </c>
      <c r="GV33" s="869">
        <v>6</v>
      </c>
      <c r="GW33" s="866">
        <f>'[2]zdroj pro sdílené hodnoty v tab'!BW9</f>
        <v>0</v>
      </c>
      <c r="GX33" s="869">
        <v>0</v>
      </c>
      <c r="GY33" s="869">
        <v>19</v>
      </c>
      <c r="GZ33" s="869">
        <v>0</v>
      </c>
      <c r="HA33" s="866">
        <f>'[2]zdroj pro sdílené hodnoty v tab'!CE9</f>
        <v>0</v>
      </c>
      <c r="HB33" s="869">
        <v>0.5</v>
      </c>
      <c r="HC33" s="869">
        <v>7</v>
      </c>
      <c r="HD33" s="866">
        <f>'[2]zdroj pro sdílené hodnoty v tab'!CT9</f>
        <v>0</v>
      </c>
      <c r="HE33" s="866">
        <f>'[2]zdroj pro sdílené hodnoty v tab'!GO9</f>
        <v>7</v>
      </c>
      <c r="HF33" s="866">
        <v>0</v>
      </c>
      <c r="HG33" s="866">
        <f>'[2]zdroj pro sdílené hodnoty v tab'!EH9</f>
        <v>0</v>
      </c>
      <c r="HH33" s="866">
        <f>'[2]zdroj pro sdílené hodnoty v tab'!DE9</f>
        <v>0</v>
      </c>
      <c r="HI33" s="866">
        <v>0</v>
      </c>
      <c r="HJ33" s="869">
        <v>0</v>
      </c>
      <c r="HK33" s="866"/>
      <c r="HL33" s="869">
        <f>'[3]zdroj pro sdílené hodnoty v tab'!FI9</f>
        <v>9</v>
      </c>
      <c r="HM33" s="869">
        <v>0</v>
      </c>
      <c r="HN33" s="869">
        <f>'[3]zdroj pro sdílené hodnoty v tab'!JT9</f>
        <v>0</v>
      </c>
      <c r="HO33" s="869">
        <f>'[3]zdroj pro sdílené hodnoty v tab'!KK9</f>
        <v>0</v>
      </c>
      <c r="HP33" s="869">
        <f>'[3]zdroj pro sdílené hodnoty v tab'!FH9</f>
        <v>9.6</v>
      </c>
      <c r="HQ33" s="869">
        <f>'[3]zdroj pro sdílené hodnoty v tab'!EP9</f>
        <v>0</v>
      </c>
      <c r="HR33" s="869">
        <f>'[3]zdroj pro sdílené hodnoty v tab'!FF9</f>
        <v>6.5</v>
      </c>
      <c r="HS33" s="866">
        <v>0</v>
      </c>
      <c r="HT33" s="869">
        <f>'[3]zdroj pro sdílené hodnoty v tab'!GY9</f>
        <v>8</v>
      </c>
      <c r="HU33" s="869">
        <f>'[3]zdroj pro sdílené hodnoty v tab'!GS9</f>
        <v>12</v>
      </c>
      <c r="HV33" s="869">
        <f>'[3]zdroj pro sdílené hodnoty v tab'!GI9</f>
        <v>16</v>
      </c>
      <c r="HW33" s="866">
        <f>'[3]zdroj pro sdílené hodnoty v tab'!FU9</f>
        <v>1.92</v>
      </c>
      <c r="HX33" s="869">
        <f>'[3]zdroj pro sdílené hodnoty v tab'!GV9</f>
        <v>10.08</v>
      </c>
      <c r="HY33" s="869">
        <f>'[3]zdroj pro sdílené hodnoty v tab'!GB9</f>
        <v>10.25</v>
      </c>
      <c r="HZ33" s="869">
        <f>'[3]zdroj pro sdílené hodnoty v tab'!GD9</f>
        <v>7</v>
      </c>
      <c r="IA33" s="869">
        <f>'[3]zdroj pro sdílené hodnoty v tab'!FY9</f>
        <v>8</v>
      </c>
      <c r="IB33" s="869">
        <f>'[3]zdroj pro sdílené hodnoty v tab'!FS9</f>
        <v>8</v>
      </c>
      <c r="IC33" s="869">
        <f>'[3]zdroj pro sdílené hodnoty v tab'!GM9</f>
        <v>12.6</v>
      </c>
      <c r="ID33" s="869">
        <f>'[3]zdroj pro sdílené hodnoty v tab'!GU9</f>
        <v>6.4</v>
      </c>
      <c r="IE33" s="869">
        <f>'[3]zdroj pro sdílené hodnoty v tab'!FT9</f>
        <v>10</v>
      </c>
      <c r="IF33" s="869">
        <f>'[3]zdroj pro sdílené hodnoty v tab'!GQ9</f>
        <v>11</v>
      </c>
      <c r="IG33" s="869">
        <f>'[3]zdroj pro sdílené hodnoty v tab'!HA9</f>
        <v>3</v>
      </c>
      <c r="IH33" s="869">
        <f>'[3]zdroj pro sdílené hodnoty v tab'!FK9</f>
        <v>0.98</v>
      </c>
      <c r="II33" s="869">
        <f>'[3]zdroj pro sdílené hodnoty v tab'!GW9</f>
        <v>6.62</v>
      </c>
      <c r="IJ33" s="869">
        <f>'[3]zdroj pro sdílené hodnoty v tab'!HF9</f>
        <v>0</v>
      </c>
      <c r="IK33" s="869">
        <f>'[3]zdroj pro sdílené hodnoty v tab'!KY9</f>
        <v>0</v>
      </c>
      <c r="IL33" s="869">
        <f>'[3]zdroj pro sdílené hodnoty v tab'!FQ9</f>
        <v>6</v>
      </c>
      <c r="IM33" s="869">
        <v>0.47</v>
      </c>
      <c r="IN33" s="869">
        <f>'[3]zdroj pro sdílené hodnoty v tab'!GH9</f>
        <v>9.26</v>
      </c>
      <c r="IO33" s="869">
        <f>'[3]zdroj pro sdílené hodnoty v tab'!HC9</f>
        <v>1.65</v>
      </c>
      <c r="IP33" s="869">
        <f>'[3]zdroj pro sdílené hodnoty v tab'!FM9</f>
        <v>8</v>
      </c>
      <c r="IQ33" s="869">
        <f>'[3]zdroj pro sdílené hodnoty v tab'!FG9</f>
        <v>8</v>
      </c>
      <c r="IR33" s="869">
        <f>'[3]zdroj pro sdílené hodnoty v tab'!HE9</f>
        <v>0</v>
      </c>
      <c r="IS33" s="869">
        <f>'[3]zdroj pro sdílené hodnoty v tab'!GJ9</f>
        <v>26.3</v>
      </c>
      <c r="IT33" s="869">
        <f>'[3]zdroj pro sdílené hodnoty v tab'!GZ9</f>
        <v>4</v>
      </c>
      <c r="IU33" s="869">
        <f>'[3]zdroj pro sdílené hodnoty v tab'!ED9</f>
        <v>1.3</v>
      </c>
      <c r="IV33" s="869">
        <f>'[3]zdroj pro sdílené hodnoty v tab'!FW9</f>
        <v>6.3</v>
      </c>
      <c r="IW33" s="869">
        <f>'[3]zdroj pro sdílené hodnoty v tab'!GX9</f>
        <v>5.4</v>
      </c>
      <c r="IX33" s="869">
        <f>'[3]zdroj pro sdílené hodnoty v tab'!HD9</f>
        <v>0</v>
      </c>
      <c r="IY33" s="869">
        <f>'[3]zdroj pro sdílené hodnoty v tab'!FJ9</f>
        <v>5.2</v>
      </c>
      <c r="IZ33" s="869">
        <f>'[3]zdroj pro sdílené hodnoty v tab'!GF9</f>
        <v>13.3</v>
      </c>
      <c r="JA33" s="869">
        <v>0</v>
      </c>
      <c r="JB33" s="869">
        <v>0.2</v>
      </c>
      <c r="JC33" s="866">
        <v>0</v>
      </c>
      <c r="JD33" s="866">
        <f>'[2]zdroj pro sdílené hodnoty v tab'!LC9</f>
        <v>0.3</v>
      </c>
      <c r="JE33" s="869">
        <f>'[3]zdroj pro sdílené hodnoty v tab'!EA9</f>
        <v>0</v>
      </c>
      <c r="JF33" s="869">
        <f>'[3]zdroj pro sdílené hodnoty v tab'!FD9</f>
        <v>8.2799999999999994</v>
      </c>
      <c r="JG33" s="869">
        <f>'[2]zdroj pro sdílené hodnoty v tab'!FE9</f>
        <v>7</v>
      </c>
      <c r="JH33" s="869">
        <f>'[2]zdroj pro sdílené hodnoty v tab'!IA9</f>
        <v>0</v>
      </c>
      <c r="JI33" s="315"/>
      <c r="JL33" s="307"/>
      <c r="JM33" s="307"/>
      <c r="JN33" s="307"/>
      <c r="JO33" s="307"/>
      <c r="JP33" s="307"/>
    </row>
    <row r="34" spans="1:276" x14ac:dyDescent="0.25">
      <c r="B34" s="733" t="s">
        <v>2854</v>
      </c>
      <c r="C34" s="787">
        <f>'[2]zdroj pro sdílené hodnoty v tab'!FO10</f>
        <v>0</v>
      </c>
      <c r="D34" s="866">
        <v>0</v>
      </c>
      <c r="E34" s="866">
        <v>0</v>
      </c>
      <c r="F34" s="866">
        <f>'[2]zdroj pro sdílené hodnoty v tab'!AY10</f>
        <v>0</v>
      </c>
      <c r="G34" s="866">
        <f>'[2]zdroj pro sdílené hodnoty v tab'!EQ10</f>
        <v>1.2</v>
      </c>
      <c r="H34" s="866">
        <v>0</v>
      </c>
      <c r="I34" s="866">
        <f>'[2]zdroj pro sdílené hodnoty v tab'!LD10</f>
        <v>0</v>
      </c>
      <c r="J34" s="866"/>
      <c r="K34" s="866"/>
      <c r="L34" s="866">
        <v>0</v>
      </c>
      <c r="M34" s="866">
        <v>0</v>
      </c>
      <c r="N34" s="866">
        <v>0</v>
      </c>
      <c r="O34" s="866">
        <v>0</v>
      </c>
      <c r="P34" s="866">
        <v>0</v>
      </c>
      <c r="Q34" s="869">
        <v>2</v>
      </c>
      <c r="R34" s="869">
        <v>2.7</v>
      </c>
      <c r="S34" s="866">
        <f>'[2]zdroj pro sdílené hodnoty v tab'!P10</f>
        <v>0.8</v>
      </c>
      <c r="T34" s="869">
        <v>1</v>
      </c>
      <c r="U34" s="866">
        <f>'[2]zdroj pro sdílené hodnoty v tab'!AL10</f>
        <v>0.5</v>
      </c>
      <c r="V34" s="869">
        <v>0</v>
      </c>
      <c r="W34" s="866">
        <f>'[2]zdroj pro sdílené hodnoty v tab'!EW10</f>
        <v>0</v>
      </c>
      <c r="X34" s="866">
        <f>'[2]zdroj pro sdílené hodnoty v tab'!EO10</f>
        <v>0.01</v>
      </c>
      <c r="Y34" s="869">
        <f>'[2]zdroj pro sdílené hodnoty v tab'!EE10</f>
        <v>0</v>
      </c>
      <c r="Z34" s="866"/>
      <c r="AA34" s="866">
        <v>0</v>
      </c>
      <c r="AB34" s="869">
        <v>0</v>
      </c>
      <c r="AC34" s="866">
        <v>0</v>
      </c>
      <c r="AD34" s="866">
        <v>0</v>
      </c>
      <c r="AE34" s="866">
        <v>0</v>
      </c>
      <c r="AF34" s="866">
        <v>0</v>
      </c>
      <c r="AG34" s="866">
        <v>0</v>
      </c>
      <c r="AH34" s="866"/>
      <c r="AI34" s="866">
        <v>0</v>
      </c>
      <c r="AJ34" s="866">
        <v>0</v>
      </c>
      <c r="AK34" s="869">
        <v>0</v>
      </c>
      <c r="AL34" s="866">
        <v>0</v>
      </c>
      <c r="AM34" s="866">
        <v>0</v>
      </c>
      <c r="AN34" s="869">
        <v>0</v>
      </c>
      <c r="AO34" s="866">
        <v>0</v>
      </c>
      <c r="AP34" s="866">
        <v>0</v>
      </c>
      <c r="AQ34" s="866">
        <v>0</v>
      </c>
      <c r="AR34" s="866">
        <v>0</v>
      </c>
      <c r="AS34" s="866">
        <v>0</v>
      </c>
      <c r="AT34" s="869">
        <v>0</v>
      </c>
      <c r="AU34" s="866">
        <v>0</v>
      </c>
      <c r="AV34" s="866">
        <v>0</v>
      </c>
      <c r="AW34" s="866">
        <v>0</v>
      </c>
      <c r="AX34" s="866">
        <v>0</v>
      </c>
      <c r="AY34" s="866">
        <v>0.8</v>
      </c>
      <c r="AZ34" s="866">
        <v>0</v>
      </c>
      <c r="BA34" s="866">
        <v>0</v>
      </c>
      <c r="BB34" s="869">
        <v>0</v>
      </c>
      <c r="BC34" s="866">
        <v>0</v>
      </c>
      <c r="BD34" s="866">
        <v>0</v>
      </c>
      <c r="BE34" s="869">
        <v>0.92499999999999993</v>
      </c>
      <c r="BF34" s="866">
        <v>1.5</v>
      </c>
      <c r="BG34" s="866">
        <v>0</v>
      </c>
      <c r="BH34" s="866">
        <v>0</v>
      </c>
      <c r="BI34" s="869">
        <v>0</v>
      </c>
      <c r="BJ34" s="866">
        <v>0</v>
      </c>
      <c r="BK34" s="866">
        <v>0</v>
      </c>
      <c r="BL34" s="866">
        <v>0</v>
      </c>
      <c r="BM34" s="866">
        <f>'[2]zdroj pro sdílené hodnoty v tab'!KI10</f>
        <v>0.2</v>
      </c>
      <c r="BN34" s="869">
        <v>1.67</v>
      </c>
      <c r="BO34" s="869">
        <v>1.05</v>
      </c>
      <c r="BP34" s="866">
        <v>0</v>
      </c>
      <c r="BQ34" s="866">
        <v>0</v>
      </c>
      <c r="BR34" s="866">
        <v>0</v>
      </c>
      <c r="BS34" s="866">
        <v>0</v>
      </c>
      <c r="BT34" s="866">
        <f>'[2]zdroj pro sdílené hodnoty v tab'!AH10</f>
        <v>0.5</v>
      </c>
      <c r="BU34" s="866">
        <f>'[2]zdroj pro sdílené hodnoty v tab'!CX10</f>
        <v>0</v>
      </c>
      <c r="BV34" s="866"/>
      <c r="BW34" s="869">
        <v>0</v>
      </c>
      <c r="BX34" s="866">
        <v>0</v>
      </c>
      <c r="BY34" s="866">
        <v>0</v>
      </c>
      <c r="BZ34" s="869">
        <v>0</v>
      </c>
      <c r="CA34" s="866">
        <v>0</v>
      </c>
      <c r="CB34" s="866">
        <v>0</v>
      </c>
      <c r="CC34" s="869">
        <v>0.9</v>
      </c>
      <c r="CD34" s="866">
        <f>'[2]zdroj pro sdílené hodnoty v tab'!Q9</f>
        <v>0</v>
      </c>
      <c r="CE34" s="866">
        <v>0</v>
      </c>
      <c r="CF34" s="866">
        <v>4.5</v>
      </c>
      <c r="CG34" s="869">
        <v>1</v>
      </c>
      <c r="CH34" s="866">
        <v>0</v>
      </c>
      <c r="CI34" s="866">
        <v>0</v>
      </c>
      <c r="CJ34" s="866">
        <v>0</v>
      </c>
      <c r="CK34" s="866">
        <v>0</v>
      </c>
      <c r="CL34" s="867">
        <v>0</v>
      </c>
      <c r="CM34" s="866">
        <v>0</v>
      </c>
      <c r="CN34" s="869">
        <v>0</v>
      </c>
      <c r="CO34" s="866">
        <v>0</v>
      </c>
      <c r="CP34" s="866">
        <v>0</v>
      </c>
      <c r="CQ34" s="866">
        <v>1.2</v>
      </c>
      <c r="CR34" s="866"/>
      <c r="CS34" s="866"/>
      <c r="CT34" s="869">
        <v>0.5</v>
      </c>
      <c r="CU34" s="866"/>
      <c r="CV34" s="866"/>
      <c r="CW34" s="866"/>
      <c r="CX34" s="866"/>
      <c r="CY34" s="866">
        <v>0</v>
      </c>
      <c r="CZ34" s="866">
        <v>0</v>
      </c>
      <c r="DA34" s="866">
        <v>0</v>
      </c>
      <c r="DB34" s="866">
        <v>0</v>
      </c>
      <c r="DC34" s="866">
        <v>0</v>
      </c>
      <c r="DD34" s="866">
        <v>0</v>
      </c>
      <c r="DE34" s="866">
        <v>0</v>
      </c>
      <c r="DF34" s="866">
        <v>0</v>
      </c>
      <c r="DG34" s="869">
        <v>0.2</v>
      </c>
      <c r="DH34" s="866">
        <v>0</v>
      </c>
      <c r="DI34" s="869">
        <v>0</v>
      </c>
      <c r="DJ34" s="869">
        <v>0</v>
      </c>
      <c r="DK34" s="869">
        <v>0</v>
      </c>
      <c r="DL34" s="866">
        <v>0</v>
      </c>
      <c r="DM34" s="866">
        <v>0</v>
      </c>
      <c r="DN34" s="866">
        <v>0</v>
      </c>
      <c r="DO34" s="866">
        <v>0</v>
      </c>
      <c r="DP34" s="866">
        <v>0</v>
      </c>
      <c r="DQ34" s="866">
        <v>0</v>
      </c>
      <c r="DR34" s="866">
        <v>0</v>
      </c>
      <c r="DS34" s="866">
        <v>0</v>
      </c>
      <c r="DT34" s="866">
        <v>0</v>
      </c>
      <c r="DU34" s="866">
        <v>0</v>
      </c>
      <c r="DV34" s="866">
        <v>0</v>
      </c>
      <c r="DW34" s="866">
        <v>0</v>
      </c>
      <c r="DX34" s="866">
        <v>0</v>
      </c>
      <c r="DY34" s="866">
        <v>0</v>
      </c>
      <c r="DZ34" s="866">
        <v>0</v>
      </c>
      <c r="EA34" s="866">
        <v>0</v>
      </c>
      <c r="EB34" s="866">
        <v>0</v>
      </c>
      <c r="EC34" s="866">
        <v>0</v>
      </c>
      <c r="ED34" s="866">
        <v>0</v>
      </c>
      <c r="EE34" s="866">
        <v>0</v>
      </c>
      <c r="EF34" s="866">
        <v>0</v>
      </c>
      <c r="EG34" s="866">
        <v>0</v>
      </c>
      <c r="EH34" s="866">
        <v>0</v>
      </c>
      <c r="EI34" s="866">
        <v>0</v>
      </c>
      <c r="EJ34" s="869">
        <v>0.5</v>
      </c>
      <c r="EK34" s="866">
        <v>0</v>
      </c>
      <c r="EL34" s="869">
        <v>4.2699999999999996</v>
      </c>
      <c r="EM34" s="869">
        <v>0</v>
      </c>
      <c r="EN34" s="869">
        <v>0</v>
      </c>
      <c r="EO34" s="866">
        <v>0</v>
      </c>
      <c r="EP34" s="869">
        <v>0</v>
      </c>
      <c r="EQ34" s="866">
        <v>0</v>
      </c>
      <c r="ER34" s="869">
        <v>0</v>
      </c>
      <c r="ES34" s="866">
        <v>0</v>
      </c>
      <c r="ET34" s="866">
        <v>0</v>
      </c>
      <c r="EU34" s="869">
        <v>0</v>
      </c>
      <c r="EV34" s="866">
        <v>0</v>
      </c>
      <c r="EW34" s="866">
        <v>0</v>
      </c>
      <c r="EX34" s="866">
        <v>0</v>
      </c>
      <c r="EY34" s="866">
        <v>0</v>
      </c>
      <c r="EZ34" s="866">
        <f>'[2]zdroj pro sdílené hodnoty v tab'!CN10</f>
        <v>0</v>
      </c>
      <c r="FA34" s="869">
        <v>0</v>
      </c>
      <c r="FB34" s="866">
        <v>0</v>
      </c>
      <c r="FC34" s="866">
        <v>0</v>
      </c>
      <c r="FD34" s="866">
        <v>0</v>
      </c>
      <c r="FE34" s="866">
        <v>0</v>
      </c>
      <c r="FF34" s="866">
        <v>0</v>
      </c>
      <c r="FG34" s="866">
        <v>0</v>
      </c>
      <c r="FH34" s="866">
        <v>0</v>
      </c>
      <c r="FI34" s="866">
        <v>0</v>
      </c>
      <c r="FJ34" s="866">
        <v>0</v>
      </c>
      <c r="FK34" s="866"/>
      <c r="FL34" s="866"/>
      <c r="FM34" s="866"/>
      <c r="FN34" s="866"/>
      <c r="FO34" s="866"/>
      <c r="FP34" s="866"/>
      <c r="FQ34" s="866"/>
      <c r="FR34" s="866">
        <f>'[2]zdroj pro sdílené hodnoty v tab'!IF10</f>
        <v>0</v>
      </c>
      <c r="FS34" s="866">
        <v>0</v>
      </c>
      <c r="FT34" s="866">
        <v>0</v>
      </c>
      <c r="FU34" s="866">
        <v>0</v>
      </c>
      <c r="FV34" s="866">
        <v>0</v>
      </c>
      <c r="FW34" s="866">
        <f>'[2]zdroj pro sdílené hodnoty v tab'!CU10</f>
        <v>0</v>
      </c>
      <c r="FX34" s="866">
        <v>0</v>
      </c>
      <c r="FY34" s="866">
        <v>0</v>
      </c>
      <c r="FZ34" s="866">
        <v>0</v>
      </c>
      <c r="GA34" s="866">
        <v>0</v>
      </c>
      <c r="GB34" s="866">
        <v>0</v>
      </c>
      <c r="GC34" s="866">
        <v>0</v>
      </c>
      <c r="GD34" s="866">
        <v>0</v>
      </c>
      <c r="GE34" s="866">
        <v>0</v>
      </c>
      <c r="GF34" s="866">
        <v>0</v>
      </c>
      <c r="GG34" s="866">
        <v>0</v>
      </c>
      <c r="GH34" s="866">
        <v>0</v>
      </c>
      <c r="GI34" s="866">
        <v>0</v>
      </c>
      <c r="GJ34" s="866">
        <v>0</v>
      </c>
      <c r="GK34" s="866">
        <v>0</v>
      </c>
      <c r="GL34" s="866">
        <v>0</v>
      </c>
      <c r="GM34" s="866">
        <v>0</v>
      </c>
      <c r="GN34" s="866">
        <v>0</v>
      </c>
      <c r="GO34" s="866">
        <v>0</v>
      </c>
      <c r="GP34" s="866">
        <v>0</v>
      </c>
      <c r="GQ34" s="866">
        <v>0</v>
      </c>
      <c r="GR34" s="866">
        <v>0</v>
      </c>
      <c r="GS34" s="866">
        <v>0</v>
      </c>
      <c r="GT34" s="866">
        <v>0</v>
      </c>
      <c r="GU34" s="866">
        <v>0</v>
      </c>
      <c r="GV34" s="866">
        <v>0</v>
      </c>
      <c r="GW34" s="866">
        <v>0</v>
      </c>
      <c r="GX34" s="866">
        <v>0</v>
      </c>
      <c r="GY34" s="866">
        <v>0</v>
      </c>
      <c r="GZ34" s="866">
        <v>0</v>
      </c>
      <c r="HA34" s="866">
        <v>0</v>
      </c>
      <c r="HB34" s="869">
        <v>1.25</v>
      </c>
      <c r="HC34" s="869">
        <v>0</v>
      </c>
      <c r="HD34" s="866">
        <v>0</v>
      </c>
      <c r="HE34" s="866">
        <f>'[2]zdroj pro sdílené hodnoty v tab'!GO10</f>
        <v>0</v>
      </c>
      <c r="HF34" s="866">
        <v>0</v>
      </c>
      <c r="HG34" s="866">
        <v>0</v>
      </c>
      <c r="HH34" s="866"/>
      <c r="HI34" s="866">
        <v>0</v>
      </c>
      <c r="HJ34" s="869">
        <v>0</v>
      </c>
      <c r="HK34" s="866"/>
      <c r="HL34" s="866">
        <v>1</v>
      </c>
      <c r="HM34" s="866">
        <v>0</v>
      </c>
      <c r="HN34" s="866">
        <v>0</v>
      </c>
      <c r="HO34" s="866">
        <v>0</v>
      </c>
      <c r="HP34" s="866">
        <v>0</v>
      </c>
      <c r="HQ34" s="866">
        <v>0</v>
      </c>
      <c r="HR34" s="866">
        <v>0</v>
      </c>
      <c r="HS34" s="866">
        <v>0</v>
      </c>
      <c r="HT34" s="866">
        <v>0</v>
      </c>
      <c r="HU34" s="866">
        <v>0</v>
      </c>
      <c r="HV34" s="866">
        <v>0</v>
      </c>
      <c r="HW34" s="866">
        <v>0</v>
      </c>
      <c r="HX34" s="866">
        <v>0</v>
      </c>
      <c r="HY34" s="866">
        <v>0</v>
      </c>
      <c r="HZ34" s="866">
        <v>0</v>
      </c>
      <c r="IA34" s="866">
        <v>0</v>
      </c>
      <c r="IB34" s="869">
        <v>0</v>
      </c>
      <c r="IC34" s="866">
        <v>0</v>
      </c>
      <c r="ID34" s="866">
        <v>0</v>
      </c>
      <c r="IE34" s="866">
        <v>0</v>
      </c>
      <c r="IF34" s="866">
        <v>0</v>
      </c>
      <c r="IG34" s="866">
        <v>0</v>
      </c>
      <c r="IH34" s="866">
        <v>0</v>
      </c>
      <c r="II34" s="866">
        <v>0</v>
      </c>
      <c r="IJ34" s="866">
        <v>0</v>
      </c>
      <c r="IK34" s="866">
        <v>0</v>
      </c>
      <c r="IL34" s="866">
        <v>0</v>
      </c>
      <c r="IM34" s="866">
        <v>0</v>
      </c>
      <c r="IN34" s="866">
        <v>0</v>
      </c>
      <c r="IO34" s="866">
        <v>0</v>
      </c>
      <c r="IP34" s="866">
        <v>0</v>
      </c>
      <c r="IQ34" s="866">
        <v>0</v>
      </c>
      <c r="IR34" s="866">
        <v>0</v>
      </c>
      <c r="IS34" s="866">
        <v>0</v>
      </c>
      <c r="IT34" s="866">
        <v>0</v>
      </c>
      <c r="IU34" s="866">
        <v>0</v>
      </c>
      <c r="IV34" s="866">
        <v>0</v>
      </c>
      <c r="IW34" s="866">
        <v>0</v>
      </c>
      <c r="IX34" s="866">
        <v>0</v>
      </c>
      <c r="IY34" s="866">
        <v>0</v>
      </c>
      <c r="IZ34" s="866">
        <v>0</v>
      </c>
      <c r="JA34" s="869">
        <v>3.15</v>
      </c>
      <c r="JB34" s="866">
        <v>0</v>
      </c>
      <c r="JC34" s="866">
        <v>0</v>
      </c>
      <c r="JD34" s="866">
        <f>'[2]zdroj pro sdílené hodnoty v tab'!LC10</f>
        <v>0</v>
      </c>
      <c r="JE34" s="866">
        <v>0</v>
      </c>
      <c r="JF34" s="866">
        <v>0</v>
      </c>
      <c r="JG34" s="866">
        <f>'[2]zdroj pro sdílené hodnoty v tab'!FE10</f>
        <v>0</v>
      </c>
      <c r="JH34" s="868"/>
      <c r="JI34" s="874"/>
      <c r="JL34" s="307"/>
      <c r="JM34" s="307"/>
      <c r="JN34" s="307"/>
      <c r="JO34" s="307"/>
      <c r="JP34" s="307"/>
    </row>
    <row r="35" spans="1:276" x14ac:dyDescent="0.25">
      <c r="B35" s="313" t="s">
        <v>2847</v>
      </c>
      <c r="C35" s="360">
        <f>C181</f>
        <v>55</v>
      </c>
      <c r="D35" s="360">
        <f t="shared" ref="D35:BO35" si="26">D181</f>
        <v>37</v>
      </c>
      <c r="E35" s="360">
        <f t="shared" si="26"/>
        <v>68</v>
      </c>
      <c r="F35" s="360">
        <f t="shared" si="26"/>
        <v>0</v>
      </c>
      <c r="G35" s="360">
        <f t="shared" si="26"/>
        <v>0</v>
      </c>
      <c r="H35" s="360">
        <f t="shared" si="26"/>
        <v>0</v>
      </c>
      <c r="I35" s="360">
        <f t="shared" si="26"/>
        <v>0</v>
      </c>
      <c r="J35" s="360">
        <f t="shared" si="26"/>
        <v>0</v>
      </c>
      <c r="K35" s="360">
        <f t="shared" si="26"/>
        <v>0</v>
      </c>
      <c r="L35" s="360">
        <f t="shared" si="26"/>
        <v>0</v>
      </c>
      <c r="M35" s="360">
        <f t="shared" si="26"/>
        <v>0</v>
      </c>
      <c r="N35" s="360">
        <f t="shared" si="26"/>
        <v>0</v>
      </c>
      <c r="O35" s="360">
        <f t="shared" si="26"/>
        <v>0</v>
      </c>
      <c r="P35" s="360">
        <f t="shared" si="26"/>
        <v>0</v>
      </c>
      <c r="Q35" s="360">
        <f t="shared" si="26"/>
        <v>0</v>
      </c>
      <c r="R35" s="360">
        <f t="shared" si="26"/>
        <v>0</v>
      </c>
      <c r="S35" s="360">
        <f t="shared" si="26"/>
        <v>0</v>
      </c>
      <c r="T35" s="360">
        <f t="shared" si="26"/>
        <v>0</v>
      </c>
      <c r="U35" s="360">
        <f t="shared" si="26"/>
        <v>0</v>
      </c>
      <c r="V35" s="360">
        <f t="shared" si="26"/>
        <v>0</v>
      </c>
      <c r="W35" s="360">
        <f t="shared" si="26"/>
        <v>0</v>
      </c>
      <c r="X35" s="360">
        <f t="shared" si="26"/>
        <v>0</v>
      </c>
      <c r="Y35" s="360">
        <f t="shared" si="26"/>
        <v>4</v>
      </c>
      <c r="Z35" s="360">
        <f t="shared" si="26"/>
        <v>16</v>
      </c>
      <c r="AA35" s="360">
        <f t="shared" si="26"/>
        <v>0</v>
      </c>
      <c r="AB35" s="360">
        <f t="shared" si="26"/>
        <v>0</v>
      </c>
      <c r="AC35" s="360">
        <f t="shared" si="26"/>
        <v>0</v>
      </c>
      <c r="AD35" s="360">
        <f t="shared" si="26"/>
        <v>0</v>
      </c>
      <c r="AE35" s="360">
        <f t="shared" si="26"/>
        <v>0</v>
      </c>
      <c r="AF35" s="360">
        <f t="shared" si="26"/>
        <v>0</v>
      </c>
      <c r="AG35" s="360">
        <f t="shared" si="26"/>
        <v>0</v>
      </c>
      <c r="AH35" s="360">
        <f t="shared" si="26"/>
        <v>0</v>
      </c>
      <c r="AI35" s="360">
        <f t="shared" si="26"/>
        <v>23</v>
      </c>
      <c r="AJ35" s="360">
        <f t="shared" si="26"/>
        <v>10</v>
      </c>
      <c r="AK35" s="360">
        <f t="shared" si="26"/>
        <v>0</v>
      </c>
      <c r="AL35" s="360">
        <f t="shared" si="26"/>
        <v>0</v>
      </c>
      <c r="AM35" s="360">
        <f t="shared" si="26"/>
        <v>0</v>
      </c>
      <c r="AN35" s="360">
        <f t="shared" si="26"/>
        <v>0</v>
      </c>
      <c r="AO35" s="360">
        <f t="shared" si="26"/>
        <v>22</v>
      </c>
      <c r="AP35" s="360">
        <f t="shared" si="26"/>
        <v>0</v>
      </c>
      <c r="AQ35" s="360">
        <f t="shared" si="26"/>
        <v>0</v>
      </c>
      <c r="AR35" s="360">
        <f t="shared" si="26"/>
        <v>0</v>
      </c>
      <c r="AS35" s="360">
        <f t="shared" si="26"/>
        <v>0</v>
      </c>
      <c r="AT35" s="360">
        <f t="shared" si="26"/>
        <v>0</v>
      </c>
      <c r="AU35" s="360">
        <f t="shared" si="26"/>
        <v>0</v>
      </c>
      <c r="AV35" s="360">
        <f t="shared" si="26"/>
        <v>0</v>
      </c>
      <c r="AW35" s="360">
        <f t="shared" si="26"/>
        <v>0</v>
      </c>
      <c r="AX35" s="360">
        <f t="shared" si="26"/>
        <v>15</v>
      </c>
      <c r="AY35" s="360">
        <f t="shared" si="26"/>
        <v>0</v>
      </c>
      <c r="AZ35" s="360">
        <f t="shared" si="26"/>
        <v>9</v>
      </c>
      <c r="BA35" s="360">
        <f t="shared" si="26"/>
        <v>0</v>
      </c>
      <c r="BB35" s="360">
        <f t="shared" si="26"/>
        <v>0</v>
      </c>
      <c r="BC35" s="360">
        <f t="shared" si="26"/>
        <v>0</v>
      </c>
      <c r="BD35" s="360">
        <f t="shared" si="26"/>
        <v>0</v>
      </c>
      <c r="BE35" s="360">
        <f t="shared" si="26"/>
        <v>0</v>
      </c>
      <c r="BF35" s="360">
        <f t="shared" si="26"/>
        <v>0</v>
      </c>
      <c r="BG35" s="360">
        <f t="shared" si="26"/>
        <v>0</v>
      </c>
      <c r="BH35" s="360">
        <f t="shared" si="26"/>
        <v>0</v>
      </c>
      <c r="BI35" s="360">
        <f t="shared" si="26"/>
        <v>9</v>
      </c>
      <c r="BJ35" s="360">
        <f t="shared" si="26"/>
        <v>0</v>
      </c>
      <c r="BK35" s="360">
        <f t="shared" si="26"/>
        <v>0</v>
      </c>
      <c r="BL35" s="360">
        <f t="shared" si="26"/>
        <v>0</v>
      </c>
      <c r="BM35" s="360">
        <f t="shared" si="26"/>
        <v>0</v>
      </c>
      <c r="BN35" s="360">
        <f t="shared" si="26"/>
        <v>0</v>
      </c>
      <c r="BO35" s="360">
        <f t="shared" si="26"/>
        <v>0</v>
      </c>
      <c r="BP35" s="360">
        <f t="shared" ref="BP35:EA35" si="27">BP181</f>
        <v>0</v>
      </c>
      <c r="BQ35" s="360">
        <f t="shared" si="27"/>
        <v>0</v>
      </c>
      <c r="BR35" s="360">
        <f t="shared" si="27"/>
        <v>0</v>
      </c>
      <c r="BS35" s="360">
        <f t="shared" si="27"/>
        <v>0</v>
      </c>
      <c r="BT35" s="360">
        <f>'[2]zdroj pro sdílené hodnoty v tab'!AH11</f>
        <v>0</v>
      </c>
      <c r="BU35" s="360">
        <f t="shared" si="27"/>
        <v>0</v>
      </c>
      <c r="BV35" s="360">
        <f t="shared" si="27"/>
        <v>0</v>
      </c>
      <c r="BW35" s="360">
        <f t="shared" si="27"/>
        <v>0</v>
      </c>
      <c r="BX35" s="360">
        <f t="shared" si="27"/>
        <v>0</v>
      </c>
      <c r="BY35" s="360">
        <f t="shared" si="27"/>
        <v>0</v>
      </c>
      <c r="BZ35" s="360">
        <f t="shared" si="27"/>
        <v>0</v>
      </c>
      <c r="CA35" s="360">
        <f t="shared" si="27"/>
        <v>0</v>
      </c>
      <c r="CB35" s="360">
        <f t="shared" si="27"/>
        <v>2</v>
      </c>
      <c r="CC35" s="360">
        <f t="shared" si="27"/>
        <v>0</v>
      </c>
      <c r="CD35" s="360">
        <f>'[2]zdroj pro sdílené hodnoty v tab'!Q10</f>
        <v>0</v>
      </c>
      <c r="CE35" s="360">
        <f t="shared" si="27"/>
        <v>0</v>
      </c>
      <c r="CF35" s="360">
        <f t="shared" si="27"/>
        <v>0</v>
      </c>
      <c r="CG35" s="360">
        <f t="shared" si="27"/>
        <v>64</v>
      </c>
      <c r="CH35" s="360">
        <f>'[2]zdroj pro sdílené hodnoty v tab'!$ID$11</f>
        <v>32</v>
      </c>
      <c r="CI35" s="360">
        <f t="shared" si="27"/>
        <v>0</v>
      </c>
      <c r="CJ35" s="360">
        <f t="shared" si="27"/>
        <v>0</v>
      </c>
      <c r="CK35" s="360">
        <f t="shared" si="27"/>
        <v>67</v>
      </c>
      <c r="CL35" s="360">
        <f t="shared" si="27"/>
        <v>0</v>
      </c>
      <c r="CM35" s="360">
        <f t="shared" si="27"/>
        <v>0</v>
      </c>
      <c r="CN35" s="360">
        <f t="shared" si="27"/>
        <v>0</v>
      </c>
      <c r="CO35" s="360">
        <f t="shared" si="27"/>
        <v>0</v>
      </c>
      <c r="CP35" s="360">
        <f t="shared" si="27"/>
        <v>0</v>
      </c>
      <c r="CQ35" s="360">
        <f t="shared" si="27"/>
        <v>0</v>
      </c>
      <c r="CR35" s="360">
        <f t="shared" si="27"/>
        <v>0</v>
      </c>
      <c r="CS35" s="360">
        <f t="shared" si="27"/>
        <v>11</v>
      </c>
      <c r="CT35" s="360">
        <f t="shared" si="27"/>
        <v>72</v>
      </c>
      <c r="CU35" s="360">
        <f t="shared" si="27"/>
        <v>0</v>
      </c>
      <c r="CV35" s="360">
        <f t="shared" si="27"/>
        <v>25</v>
      </c>
      <c r="CW35" s="360">
        <f t="shared" si="27"/>
        <v>0</v>
      </c>
      <c r="CX35" s="360">
        <f t="shared" si="27"/>
        <v>0</v>
      </c>
      <c r="CY35" s="360">
        <f t="shared" si="27"/>
        <v>0</v>
      </c>
      <c r="CZ35" s="360">
        <f t="shared" si="27"/>
        <v>0</v>
      </c>
      <c r="DA35" s="360">
        <f>'[2]zdroj pro sdílené hodnoty v tab'!$HQ$11</f>
        <v>25</v>
      </c>
      <c r="DB35" s="360">
        <f t="shared" si="27"/>
        <v>0</v>
      </c>
      <c r="DC35" s="360">
        <f t="shared" si="27"/>
        <v>0</v>
      </c>
      <c r="DD35" s="360">
        <f t="shared" si="27"/>
        <v>0</v>
      </c>
      <c r="DE35" s="360">
        <f t="shared" si="27"/>
        <v>0</v>
      </c>
      <c r="DF35" s="360">
        <f t="shared" si="27"/>
        <v>0</v>
      </c>
      <c r="DG35" s="360">
        <f t="shared" si="27"/>
        <v>0</v>
      </c>
      <c r="DH35" s="360">
        <f t="shared" si="27"/>
        <v>0</v>
      </c>
      <c r="DI35" s="360">
        <f t="shared" si="27"/>
        <v>0</v>
      </c>
      <c r="DJ35" s="360">
        <f t="shared" si="27"/>
        <v>0</v>
      </c>
      <c r="DK35" s="360">
        <f t="shared" si="27"/>
        <v>0</v>
      </c>
      <c r="DL35" s="360">
        <f t="shared" si="27"/>
        <v>0</v>
      </c>
      <c r="DM35" s="360">
        <f t="shared" si="27"/>
        <v>0</v>
      </c>
      <c r="DN35" s="360">
        <f t="shared" si="27"/>
        <v>0</v>
      </c>
      <c r="DO35" s="360">
        <f t="shared" si="27"/>
        <v>0</v>
      </c>
      <c r="DP35" s="360">
        <f t="shared" si="27"/>
        <v>0</v>
      </c>
      <c r="DQ35" s="360">
        <f t="shared" si="27"/>
        <v>0</v>
      </c>
      <c r="DR35" s="360">
        <f t="shared" si="27"/>
        <v>0</v>
      </c>
      <c r="DS35" s="360">
        <f t="shared" si="27"/>
        <v>0</v>
      </c>
      <c r="DT35" s="360">
        <f t="shared" si="27"/>
        <v>25</v>
      </c>
      <c r="DU35" s="360">
        <f t="shared" si="27"/>
        <v>0</v>
      </c>
      <c r="DV35" s="360">
        <f t="shared" si="27"/>
        <v>17</v>
      </c>
      <c r="DW35" s="360">
        <f t="shared" si="27"/>
        <v>0</v>
      </c>
      <c r="DX35" s="360">
        <f t="shared" si="27"/>
        <v>0</v>
      </c>
      <c r="DY35" s="360">
        <f t="shared" si="27"/>
        <v>0</v>
      </c>
      <c r="DZ35" s="360">
        <f t="shared" si="27"/>
        <v>0</v>
      </c>
      <c r="EA35" s="360">
        <f t="shared" si="27"/>
        <v>0</v>
      </c>
      <c r="EB35" s="360">
        <f t="shared" ref="EB35:GM35" si="28">EB181</f>
        <v>0</v>
      </c>
      <c r="EC35" s="360">
        <f t="shared" si="28"/>
        <v>5</v>
      </c>
      <c r="ED35" s="360">
        <f t="shared" si="28"/>
        <v>0</v>
      </c>
      <c r="EE35" s="360">
        <f t="shared" si="28"/>
        <v>0</v>
      </c>
      <c r="EF35" s="360">
        <f t="shared" si="28"/>
        <v>0</v>
      </c>
      <c r="EG35" s="360">
        <f t="shared" si="28"/>
        <v>0</v>
      </c>
      <c r="EH35" s="360">
        <f t="shared" si="28"/>
        <v>0</v>
      </c>
      <c r="EI35" s="360">
        <f t="shared" si="28"/>
        <v>0</v>
      </c>
      <c r="EJ35" s="360">
        <f t="shared" si="28"/>
        <v>0</v>
      </c>
      <c r="EK35" s="360">
        <f t="shared" si="28"/>
        <v>0</v>
      </c>
      <c r="EL35" s="360">
        <f t="shared" si="28"/>
        <v>0</v>
      </c>
      <c r="EM35" s="360">
        <f t="shared" si="28"/>
        <v>8</v>
      </c>
      <c r="EN35" s="869">
        <v>0</v>
      </c>
      <c r="EO35" s="360">
        <f t="shared" si="28"/>
        <v>0</v>
      </c>
      <c r="EP35" s="360">
        <f t="shared" si="28"/>
        <v>0</v>
      </c>
      <c r="EQ35" s="360">
        <f t="shared" si="28"/>
        <v>0</v>
      </c>
      <c r="ER35" s="360">
        <f t="shared" si="28"/>
        <v>0</v>
      </c>
      <c r="ES35" s="360">
        <f t="shared" si="28"/>
        <v>0</v>
      </c>
      <c r="ET35" s="360">
        <f t="shared" si="28"/>
        <v>1</v>
      </c>
      <c r="EU35" s="360">
        <f t="shared" si="28"/>
        <v>5</v>
      </c>
      <c r="EV35" s="360">
        <f t="shared" si="28"/>
        <v>0</v>
      </c>
      <c r="EW35" s="360">
        <f t="shared" si="28"/>
        <v>0</v>
      </c>
      <c r="EX35" s="360">
        <f t="shared" si="28"/>
        <v>42</v>
      </c>
      <c r="EY35" s="360">
        <f t="shared" si="28"/>
        <v>0</v>
      </c>
      <c r="EZ35" s="360">
        <f t="shared" si="28"/>
        <v>0</v>
      </c>
      <c r="FA35" s="869">
        <v>0</v>
      </c>
      <c r="FB35" s="360">
        <f t="shared" si="28"/>
        <v>0</v>
      </c>
      <c r="FC35" s="360">
        <f t="shared" si="28"/>
        <v>0</v>
      </c>
      <c r="FD35" s="360">
        <f t="shared" si="28"/>
        <v>11</v>
      </c>
      <c r="FE35" s="360">
        <f t="shared" si="28"/>
        <v>7</v>
      </c>
      <c r="FF35" s="360">
        <f t="shared" si="28"/>
        <v>0</v>
      </c>
      <c r="FG35" s="360">
        <f t="shared" si="28"/>
        <v>60</v>
      </c>
      <c r="FH35" s="360">
        <f t="shared" si="28"/>
        <v>50</v>
      </c>
      <c r="FI35" s="360">
        <f t="shared" si="28"/>
        <v>67</v>
      </c>
      <c r="FJ35" s="360">
        <f t="shared" si="28"/>
        <v>0</v>
      </c>
      <c r="FK35" s="360">
        <f t="shared" si="28"/>
        <v>0</v>
      </c>
      <c r="FL35" s="360">
        <f t="shared" si="28"/>
        <v>0</v>
      </c>
      <c r="FM35" s="360">
        <f t="shared" si="28"/>
        <v>0</v>
      </c>
      <c r="FN35" s="360">
        <f t="shared" si="28"/>
        <v>0</v>
      </c>
      <c r="FO35" s="360">
        <f t="shared" si="28"/>
        <v>0</v>
      </c>
      <c r="FP35" s="360">
        <f t="shared" si="28"/>
        <v>61</v>
      </c>
      <c r="FQ35" s="360">
        <f t="shared" si="28"/>
        <v>11</v>
      </c>
      <c r="FR35" s="360">
        <f t="shared" si="28"/>
        <v>14</v>
      </c>
      <c r="FS35" s="360">
        <f t="shared" si="28"/>
        <v>6</v>
      </c>
      <c r="FT35" s="360">
        <f t="shared" si="28"/>
        <v>0</v>
      </c>
      <c r="FU35" s="360">
        <f t="shared" si="28"/>
        <v>0</v>
      </c>
      <c r="FV35" s="360">
        <f t="shared" si="28"/>
        <v>0</v>
      </c>
      <c r="FW35" s="360">
        <f t="shared" si="28"/>
        <v>0</v>
      </c>
      <c r="FX35" s="360">
        <f t="shared" si="28"/>
        <v>0</v>
      </c>
      <c r="FY35" s="360">
        <f t="shared" si="28"/>
        <v>0</v>
      </c>
      <c r="FZ35" s="360">
        <f t="shared" si="28"/>
        <v>0</v>
      </c>
      <c r="GA35" s="360">
        <f t="shared" si="28"/>
        <v>4</v>
      </c>
      <c r="GB35" s="360">
        <f t="shared" si="28"/>
        <v>58</v>
      </c>
      <c r="GC35" s="360">
        <f t="shared" si="28"/>
        <v>0</v>
      </c>
      <c r="GD35" s="360">
        <f t="shared" si="28"/>
        <v>65</v>
      </c>
      <c r="GE35" s="360">
        <f t="shared" si="28"/>
        <v>0</v>
      </c>
      <c r="GF35" s="360">
        <f t="shared" si="28"/>
        <v>0</v>
      </c>
      <c r="GG35" s="360">
        <f t="shared" si="28"/>
        <v>6</v>
      </c>
      <c r="GH35" s="360">
        <f t="shared" si="28"/>
        <v>0</v>
      </c>
      <c r="GI35" s="360">
        <f t="shared" si="28"/>
        <v>43</v>
      </c>
      <c r="GJ35" s="360">
        <f t="shared" si="28"/>
        <v>0</v>
      </c>
      <c r="GK35" s="360">
        <f t="shared" si="28"/>
        <v>9</v>
      </c>
      <c r="GL35" s="360">
        <f t="shared" si="28"/>
        <v>0</v>
      </c>
      <c r="GM35" s="360">
        <f t="shared" si="28"/>
        <v>0</v>
      </c>
      <c r="GN35" s="360">
        <f t="shared" ref="GN35:IY35" si="29">GN181</f>
        <v>0</v>
      </c>
      <c r="GO35" s="360">
        <f t="shared" si="29"/>
        <v>35</v>
      </c>
      <c r="GP35" s="360">
        <f t="shared" si="29"/>
        <v>0</v>
      </c>
      <c r="GQ35" s="360">
        <f t="shared" si="29"/>
        <v>0</v>
      </c>
      <c r="GR35" s="360">
        <f t="shared" si="29"/>
        <v>0</v>
      </c>
      <c r="GS35" s="360">
        <f t="shared" si="29"/>
        <v>0</v>
      </c>
      <c r="GT35" s="360">
        <f t="shared" si="29"/>
        <v>0</v>
      </c>
      <c r="GU35" s="360">
        <f t="shared" si="29"/>
        <v>0</v>
      </c>
      <c r="GV35" s="360">
        <f t="shared" si="29"/>
        <v>30</v>
      </c>
      <c r="GW35" s="360">
        <f t="shared" si="29"/>
        <v>0</v>
      </c>
      <c r="GX35" s="360">
        <f t="shared" si="29"/>
        <v>0</v>
      </c>
      <c r="GY35" s="360">
        <f t="shared" si="29"/>
        <v>124</v>
      </c>
      <c r="GZ35" s="360">
        <f t="shared" si="29"/>
        <v>32</v>
      </c>
      <c r="HA35" s="360">
        <f t="shared" si="29"/>
        <v>0</v>
      </c>
      <c r="HB35" s="360">
        <f t="shared" si="29"/>
        <v>0</v>
      </c>
      <c r="HC35" s="360">
        <f t="shared" si="29"/>
        <v>54</v>
      </c>
      <c r="HD35" s="360">
        <f t="shared" si="29"/>
        <v>0</v>
      </c>
      <c r="HE35" s="360">
        <f t="shared" si="29"/>
        <v>42</v>
      </c>
      <c r="HF35" s="360">
        <f t="shared" si="29"/>
        <v>0</v>
      </c>
      <c r="HG35" s="360">
        <f t="shared" si="29"/>
        <v>0</v>
      </c>
      <c r="HH35" s="360">
        <f t="shared" si="29"/>
        <v>0</v>
      </c>
      <c r="HI35" s="360">
        <f t="shared" si="29"/>
        <v>0</v>
      </c>
      <c r="HJ35" s="360">
        <f t="shared" si="29"/>
        <v>0</v>
      </c>
      <c r="HK35" s="360">
        <f t="shared" si="29"/>
        <v>0</v>
      </c>
      <c r="HL35" s="360">
        <f t="shared" si="29"/>
        <v>58</v>
      </c>
      <c r="HM35" s="360">
        <f t="shared" si="29"/>
        <v>45</v>
      </c>
      <c r="HN35" s="360">
        <f t="shared" si="29"/>
        <v>0</v>
      </c>
      <c r="HO35" s="360">
        <f t="shared" si="29"/>
        <v>0</v>
      </c>
      <c r="HP35" s="360">
        <f t="shared" si="29"/>
        <v>79</v>
      </c>
      <c r="HQ35" s="360">
        <f t="shared" si="29"/>
        <v>0</v>
      </c>
      <c r="HR35" s="360">
        <f t="shared" si="29"/>
        <v>109</v>
      </c>
      <c r="HS35" s="360">
        <f t="shared" si="29"/>
        <v>23</v>
      </c>
      <c r="HT35" s="360">
        <f t="shared" si="29"/>
        <v>49</v>
      </c>
      <c r="HU35" s="360">
        <f t="shared" si="29"/>
        <v>81</v>
      </c>
      <c r="HV35" s="360">
        <f t="shared" si="29"/>
        <v>115</v>
      </c>
      <c r="HW35" s="360">
        <f t="shared" si="29"/>
        <v>16</v>
      </c>
      <c r="HX35" s="360">
        <f t="shared" si="29"/>
        <v>86</v>
      </c>
      <c r="HY35" s="360">
        <f t="shared" si="29"/>
        <v>80</v>
      </c>
      <c r="HZ35" s="360">
        <f t="shared" si="29"/>
        <v>47</v>
      </c>
      <c r="IA35" s="360">
        <f t="shared" si="29"/>
        <v>52</v>
      </c>
      <c r="IB35" s="360">
        <f t="shared" si="29"/>
        <v>53</v>
      </c>
      <c r="IC35" s="360">
        <f t="shared" si="29"/>
        <v>86</v>
      </c>
      <c r="ID35" s="360">
        <f t="shared" si="29"/>
        <v>60</v>
      </c>
      <c r="IE35" s="360">
        <f t="shared" si="29"/>
        <v>64</v>
      </c>
      <c r="IF35" s="360">
        <f t="shared" si="29"/>
        <v>84</v>
      </c>
      <c r="IG35" s="360">
        <f t="shared" si="29"/>
        <v>16</v>
      </c>
      <c r="IH35" s="360">
        <f t="shared" si="29"/>
        <v>5</v>
      </c>
      <c r="II35" s="360">
        <f t="shared" si="29"/>
        <v>40</v>
      </c>
      <c r="IJ35" s="360">
        <f t="shared" si="29"/>
        <v>8</v>
      </c>
      <c r="IK35" s="360">
        <f t="shared" si="29"/>
        <v>0</v>
      </c>
      <c r="IL35" s="360">
        <f t="shared" si="29"/>
        <v>45</v>
      </c>
      <c r="IM35" s="360">
        <f t="shared" si="29"/>
        <v>3</v>
      </c>
      <c r="IN35" s="360">
        <f t="shared" si="29"/>
        <v>55</v>
      </c>
      <c r="IO35" s="360">
        <f t="shared" si="29"/>
        <v>10</v>
      </c>
      <c r="IP35" s="360">
        <f t="shared" si="29"/>
        <v>70</v>
      </c>
      <c r="IQ35" s="360">
        <f t="shared" si="29"/>
        <v>74</v>
      </c>
      <c r="IR35" s="360">
        <f t="shared" si="29"/>
        <v>4</v>
      </c>
      <c r="IS35" s="360">
        <f t="shared" si="29"/>
        <v>282</v>
      </c>
      <c r="IT35" s="360">
        <f t="shared" si="29"/>
        <v>58</v>
      </c>
      <c r="IU35" s="360">
        <f t="shared" si="29"/>
        <v>8</v>
      </c>
      <c r="IV35" s="360">
        <f t="shared" si="29"/>
        <v>48</v>
      </c>
      <c r="IW35" s="360">
        <f t="shared" si="29"/>
        <v>76</v>
      </c>
      <c r="IX35" s="360">
        <f t="shared" si="29"/>
        <v>8</v>
      </c>
      <c r="IY35" s="360">
        <f t="shared" si="29"/>
        <v>43</v>
      </c>
      <c r="IZ35" s="360">
        <f t="shared" ref="IZ35:JG35" si="30">IZ181</f>
        <v>103</v>
      </c>
      <c r="JA35" s="360">
        <f t="shared" si="30"/>
        <v>0</v>
      </c>
      <c r="JB35" s="360">
        <f t="shared" si="30"/>
        <v>0</v>
      </c>
      <c r="JC35" s="360">
        <f t="shared" si="30"/>
        <v>0</v>
      </c>
      <c r="JD35" s="360">
        <f>'[2]zdroj pro sdílené hodnoty v tab'!LC11</f>
        <v>0</v>
      </c>
      <c r="JE35" s="360">
        <f t="shared" si="30"/>
        <v>4</v>
      </c>
      <c r="JF35" s="360">
        <f t="shared" si="30"/>
        <v>98</v>
      </c>
      <c r="JG35" s="360">
        <f t="shared" si="30"/>
        <v>65</v>
      </c>
      <c r="JH35" s="360">
        <v>0</v>
      </c>
      <c r="JI35" s="315">
        <f>'Hodnocení '!JI31</f>
        <v>0</v>
      </c>
    </row>
    <row r="36" spans="1:276" ht="15.75" thickBot="1" x14ac:dyDescent="0.3">
      <c r="B36" s="313" t="s">
        <v>2848</v>
      </c>
      <c r="C36" s="360">
        <f>C182</f>
        <v>0</v>
      </c>
      <c r="D36" s="360">
        <f t="shared" ref="D36:BO36" si="31">D182</f>
        <v>0</v>
      </c>
      <c r="E36" s="360">
        <f t="shared" si="31"/>
        <v>0</v>
      </c>
      <c r="F36" s="360">
        <f t="shared" si="31"/>
        <v>0</v>
      </c>
      <c r="G36" s="360">
        <f t="shared" si="31"/>
        <v>32</v>
      </c>
      <c r="H36" s="360">
        <f t="shared" si="31"/>
        <v>20</v>
      </c>
      <c r="I36" s="360">
        <f t="shared" si="31"/>
        <v>12</v>
      </c>
      <c r="J36" s="360">
        <f t="shared" si="31"/>
        <v>42</v>
      </c>
      <c r="K36" s="360">
        <f t="shared" si="31"/>
        <v>0</v>
      </c>
      <c r="L36" s="360">
        <f t="shared" si="31"/>
        <v>6</v>
      </c>
      <c r="M36" s="360">
        <f t="shared" si="31"/>
        <v>0</v>
      </c>
      <c r="N36" s="360">
        <f t="shared" si="31"/>
        <v>40</v>
      </c>
      <c r="O36" s="360">
        <f t="shared" si="31"/>
        <v>0</v>
      </c>
      <c r="P36" s="360">
        <f t="shared" si="31"/>
        <v>0</v>
      </c>
      <c r="Q36" s="360">
        <f t="shared" si="31"/>
        <v>0</v>
      </c>
      <c r="R36" s="360">
        <f t="shared" si="31"/>
        <v>0</v>
      </c>
      <c r="S36" s="360">
        <f t="shared" si="31"/>
        <v>0</v>
      </c>
      <c r="T36" s="360">
        <f t="shared" si="31"/>
        <v>0</v>
      </c>
      <c r="U36" s="360">
        <f t="shared" si="31"/>
        <v>0</v>
      </c>
      <c r="V36" s="360">
        <f t="shared" si="31"/>
        <v>0</v>
      </c>
      <c r="W36" s="360">
        <f t="shared" si="31"/>
        <v>20</v>
      </c>
      <c r="X36" s="360">
        <f t="shared" si="31"/>
        <v>8</v>
      </c>
      <c r="Y36" s="360">
        <f t="shared" si="31"/>
        <v>0</v>
      </c>
      <c r="Z36" s="360">
        <f t="shared" si="31"/>
        <v>0</v>
      </c>
      <c r="AA36" s="360">
        <f t="shared" si="31"/>
        <v>0</v>
      </c>
      <c r="AB36" s="360">
        <f t="shared" si="31"/>
        <v>6</v>
      </c>
      <c r="AC36" s="360">
        <f t="shared" si="31"/>
        <v>0</v>
      </c>
      <c r="AD36" s="360">
        <f t="shared" si="31"/>
        <v>3</v>
      </c>
      <c r="AE36" s="360">
        <f t="shared" si="31"/>
        <v>0</v>
      </c>
      <c r="AF36" s="360">
        <f t="shared" si="31"/>
        <v>9</v>
      </c>
      <c r="AG36" s="360">
        <f t="shared" si="31"/>
        <v>6</v>
      </c>
      <c r="AH36" s="360">
        <f t="shared" si="31"/>
        <v>10</v>
      </c>
      <c r="AI36" s="360">
        <f t="shared" si="31"/>
        <v>0</v>
      </c>
      <c r="AJ36" s="360">
        <f t="shared" si="31"/>
        <v>0</v>
      </c>
      <c r="AK36" s="360">
        <f t="shared" si="31"/>
        <v>0</v>
      </c>
      <c r="AL36" s="360">
        <f t="shared" si="31"/>
        <v>20</v>
      </c>
      <c r="AM36" s="360">
        <f t="shared" si="31"/>
        <v>0</v>
      </c>
      <c r="AN36" s="360">
        <f t="shared" si="31"/>
        <v>3</v>
      </c>
      <c r="AO36" s="360">
        <f t="shared" si="31"/>
        <v>0</v>
      </c>
      <c r="AP36" s="360">
        <f t="shared" si="31"/>
        <v>0</v>
      </c>
      <c r="AQ36" s="360">
        <f t="shared" si="31"/>
        <v>0</v>
      </c>
      <c r="AR36" s="360">
        <f t="shared" si="31"/>
        <v>3</v>
      </c>
      <c r="AS36" s="360">
        <f t="shared" si="31"/>
        <v>0</v>
      </c>
      <c r="AT36" s="360">
        <f t="shared" si="31"/>
        <v>0</v>
      </c>
      <c r="AU36" s="360">
        <f t="shared" si="31"/>
        <v>25</v>
      </c>
      <c r="AV36" s="360">
        <f t="shared" si="31"/>
        <v>0</v>
      </c>
      <c r="AW36" s="360">
        <f t="shared" si="31"/>
        <v>14</v>
      </c>
      <c r="AX36" s="360">
        <f t="shared" si="31"/>
        <v>0</v>
      </c>
      <c r="AY36" s="360">
        <f t="shared" si="31"/>
        <v>22</v>
      </c>
      <c r="AZ36" s="360">
        <f t="shared" si="31"/>
        <v>0</v>
      </c>
      <c r="BA36" s="360">
        <f t="shared" si="31"/>
        <v>0</v>
      </c>
      <c r="BB36" s="360">
        <f t="shared" si="31"/>
        <v>1</v>
      </c>
      <c r="BC36" s="360">
        <f t="shared" si="31"/>
        <v>2</v>
      </c>
      <c r="BD36" s="360">
        <f t="shared" si="31"/>
        <v>0</v>
      </c>
      <c r="BE36" s="360">
        <f t="shared" si="31"/>
        <v>2</v>
      </c>
      <c r="BF36" s="360">
        <f t="shared" si="31"/>
        <v>0</v>
      </c>
      <c r="BG36" s="360">
        <f t="shared" si="31"/>
        <v>4</v>
      </c>
      <c r="BH36" s="360">
        <f t="shared" si="31"/>
        <v>0</v>
      </c>
      <c r="BI36" s="360">
        <f t="shared" si="31"/>
        <v>0</v>
      </c>
      <c r="BJ36" s="360">
        <f t="shared" si="31"/>
        <v>0</v>
      </c>
      <c r="BK36" s="360">
        <f t="shared" si="31"/>
        <v>0</v>
      </c>
      <c r="BL36" s="360">
        <f t="shared" si="31"/>
        <v>0</v>
      </c>
      <c r="BM36" s="360">
        <f t="shared" si="31"/>
        <v>12</v>
      </c>
      <c r="BN36" s="360">
        <f t="shared" si="31"/>
        <v>0</v>
      </c>
      <c r="BO36" s="360">
        <f t="shared" si="31"/>
        <v>0</v>
      </c>
      <c r="BP36" s="360">
        <f t="shared" ref="BP36:EA36" si="32">BP182</f>
        <v>25</v>
      </c>
      <c r="BQ36" s="360">
        <f t="shared" si="32"/>
        <v>0</v>
      </c>
      <c r="BR36" s="360">
        <f t="shared" si="32"/>
        <v>0</v>
      </c>
      <c r="BS36" s="360">
        <f t="shared" si="32"/>
        <v>0</v>
      </c>
      <c r="BT36" s="360">
        <f>'[2]zdroj pro sdílené hodnoty v tab'!AH12</f>
        <v>8</v>
      </c>
      <c r="BU36" s="360">
        <f t="shared" si="32"/>
        <v>0</v>
      </c>
      <c r="BV36" s="360">
        <f t="shared" si="32"/>
        <v>2</v>
      </c>
      <c r="BW36" s="360">
        <f t="shared" si="32"/>
        <v>0</v>
      </c>
      <c r="BX36" s="360">
        <f t="shared" si="32"/>
        <v>0</v>
      </c>
      <c r="BY36" s="360">
        <f t="shared" si="32"/>
        <v>0</v>
      </c>
      <c r="BZ36" s="360">
        <f t="shared" si="32"/>
        <v>0</v>
      </c>
      <c r="CA36" s="360">
        <f t="shared" si="32"/>
        <v>0</v>
      </c>
      <c r="CB36" s="360">
        <f t="shared" si="32"/>
        <v>0</v>
      </c>
      <c r="CC36" s="360">
        <f t="shared" si="32"/>
        <v>0</v>
      </c>
      <c r="CD36" s="360">
        <f t="shared" si="32"/>
        <v>0</v>
      </c>
      <c r="CE36" s="360">
        <f t="shared" si="32"/>
        <v>0</v>
      </c>
      <c r="CF36" s="360">
        <f t="shared" si="32"/>
        <v>0</v>
      </c>
      <c r="CG36" s="360">
        <f t="shared" si="32"/>
        <v>0</v>
      </c>
      <c r="CH36" s="360">
        <f t="shared" si="32"/>
        <v>0</v>
      </c>
      <c r="CI36" s="360">
        <f t="shared" si="32"/>
        <v>0</v>
      </c>
      <c r="CJ36" s="360">
        <f t="shared" si="32"/>
        <v>30</v>
      </c>
      <c r="CK36" s="360">
        <f t="shared" si="32"/>
        <v>90</v>
      </c>
      <c r="CL36" s="360">
        <f t="shared" si="32"/>
        <v>0</v>
      </c>
      <c r="CM36" s="360">
        <f t="shared" si="32"/>
        <v>0</v>
      </c>
      <c r="CN36" s="360">
        <f t="shared" si="32"/>
        <v>20</v>
      </c>
      <c r="CO36" s="360">
        <f t="shared" si="32"/>
        <v>20</v>
      </c>
      <c r="CP36" s="360">
        <f t="shared" si="32"/>
        <v>20</v>
      </c>
      <c r="CQ36" s="360">
        <f t="shared" si="32"/>
        <v>80</v>
      </c>
      <c r="CR36" s="360">
        <f t="shared" si="32"/>
        <v>0</v>
      </c>
      <c r="CS36" s="360">
        <f t="shared" si="32"/>
        <v>0</v>
      </c>
      <c r="CT36" s="360">
        <f t="shared" si="32"/>
        <v>0</v>
      </c>
      <c r="CU36" s="360">
        <f t="shared" si="32"/>
        <v>0</v>
      </c>
      <c r="CV36" s="360">
        <f t="shared" si="32"/>
        <v>0</v>
      </c>
      <c r="CW36" s="360">
        <f t="shared" si="32"/>
        <v>1</v>
      </c>
      <c r="CX36" s="360">
        <f t="shared" si="32"/>
        <v>0</v>
      </c>
      <c r="CY36" s="360">
        <f t="shared" si="32"/>
        <v>0</v>
      </c>
      <c r="CZ36" s="360">
        <f t="shared" si="32"/>
        <v>3</v>
      </c>
      <c r="DA36" s="360">
        <f t="shared" si="32"/>
        <v>0</v>
      </c>
      <c r="DB36" s="360">
        <f t="shared" si="32"/>
        <v>0</v>
      </c>
      <c r="DC36" s="360">
        <f t="shared" si="32"/>
        <v>50</v>
      </c>
      <c r="DD36" s="360">
        <f t="shared" si="32"/>
        <v>0</v>
      </c>
      <c r="DE36" s="360">
        <f t="shared" si="32"/>
        <v>0</v>
      </c>
      <c r="DF36" s="360">
        <f t="shared" si="32"/>
        <v>0</v>
      </c>
      <c r="DG36" s="360">
        <f t="shared" si="32"/>
        <v>0</v>
      </c>
      <c r="DH36" s="360">
        <f t="shared" si="32"/>
        <v>0</v>
      </c>
      <c r="DI36" s="360">
        <f t="shared" si="32"/>
        <v>3</v>
      </c>
      <c r="DJ36" s="360">
        <f t="shared" si="32"/>
        <v>0</v>
      </c>
      <c r="DK36" s="360">
        <f t="shared" si="32"/>
        <v>0</v>
      </c>
      <c r="DL36" s="360">
        <f t="shared" si="32"/>
        <v>0</v>
      </c>
      <c r="DM36" s="360">
        <f t="shared" si="32"/>
        <v>0</v>
      </c>
      <c r="DN36" s="360">
        <f t="shared" si="32"/>
        <v>70</v>
      </c>
      <c r="DO36" s="360">
        <f t="shared" si="32"/>
        <v>0</v>
      </c>
      <c r="DP36" s="360">
        <f t="shared" si="32"/>
        <v>57</v>
      </c>
      <c r="DQ36" s="360">
        <f t="shared" si="32"/>
        <v>40</v>
      </c>
      <c r="DR36" s="360">
        <f t="shared" si="32"/>
        <v>0</v>
      </c>
      <c r="DS36" s="360">
        <f t="shared" si="32"/>
        <v>5</v>
      </c>
      <c r="DT36" s="360">
        <f t="shared" si="32"/>
        <v>0</v>
      </c>
      <c r="DU36" s="360">
        <f t="shared" si="32"/>
        <v>0</v>
      </c>
      <c r="DV36" s="360">
        <f t="shared" si="32"/>
        <v>0</v>
      </c>
      <c r="DW36" s="360">
        <f t="shared" si="32"/>
        <v>8</v>
      </c>
      <c r="DX36" s="360">
        <f t="shared" si="32"/>
        <v>0</v>
      </c>
      <c r="DY36" s="360">
        <f t="shared" si="32"/>
        <v>5</v>
      </c>
      <c r="DZ36" s="360">
        <f t="shared" si="32"/>
        <v>3</v>
      </c>
      <c r="EA36" s="360">
        <f t="shared" si="32"/>
        <v>0</v>
      </c>
      <c r="EB36" s="360">
        <f t="shared" ref="EB36:GM36" si="33">EB182</f>
        <v>0</v>
      </c>
      <c r="EC36" s="360">
        <f t="shared" si="33"/>
        <v>5</v>
      </c>
      <c r="ED36" s="360">
        <f t="shared" si="33"/>
        <v>17</v>
      </c>
      <c r="EE36" s="360">
        <f t="shared" si="33"/>
        <v>0</v>
      </c>
      <c r="EF36" s="360">
        <f t="shared" si="33"/>
        <v>0</v>
      </c>
      <c r="EG36" s="360">
        <f t="shared" si="33"/>
        <v>0</v>
      </c>
      <c r="EH36" s="360">
        <f t="shared" si="33"/>
        <v>0</v>
      </c>
      <c r="EI36" s="360">
        <f t="shared" si="33"/>
        <v>5</v>
      </c>
      <c r="EJ36" s="360">
        <f t="shared" si="33"/>
        <v>0</v>
      </c>
      <c r="EK36" s="360">
        <f t="shared" si="33"/>
        <v>0</v>
      </c>
      <c r="EL36" s="360">
        <f t="shared" si="33"/>
        <v>41</v>
      </c>
      <c r="EM36" s="360">
        <f t="shared" si="33"/>
        <v>0</v>
      </c>
      <c r="EN36" s="360">
        <f t="shared" si="33"/>
        <v>0</v>
      </c>
      <c r="EO36" s="360">
        <f t="shared" si="33"/>
        <v>0</v>
      </c>
      <c r="EP36" s="360">
        <f t="shared" si="33"/>
        <v>21</v>
      </c>
      <c r="EQ36" s="360">
        <f t="shared" si="33"/>
        <v>0</v>
      </c>
      <c r="ER36" s="360">
        <f t="shared" si="33"/>
        <v>0</v>
      </c>
      <c r="ES36" s="360">
        <f t="shared" si="33"/>
        <v>0</v>
      </c>
      <c r="ET36" s="360">
        <f t="shared" si="33"/>
        <v>0</v>
      </c>
      <c r="EU36" s="360">
        <f t="shared" si="33"/>
        <v>0</v>
      </c>
      <c r="EV36" s="360">
        <f t="shared" si="33"/>
        <v>0</v>
      </c>
      <c r="EW36" s="360">
        <f t="shared" si="33"/>
        <v>0</v>
      </c>
      <c r="EX36" s="360">
        <f t="shared" si="33"/>
        <v>0</v>
      </c>
      <c r="EY36" s="360">
        <f t="shared" si="33"/>
        <v>0</v>
      </c>
      <c r="EZ36" s="360">
        <f t="shared" si="33"/>
        <v>0</v>
      </c>
      <c r="FA36" s="360">
        <f t="shared" si="33"/>
        <v>0</v>
      </c>
      <c r="FB36" s="360">
        <f t="shared" si="33"/>
        <v>0</v>
      </c>
      <c r="FC36" s="360">
        <f t="shared" si="33"/>
        <v>11</v>
      </c>
      <c r="FD36" s="360">
        <f t="shared" si="33"/>
        <v>0</v>
      </c>
      <c r="FE36" s="360">
        <f t="shared" si="33"/>
        <v>0</v>
      </c>
      <c r="FF36" s="360">
        <f t="shared" si="33"/>
        <v>0</v>
      </c>
      <c r="FG36" s="360">
        <f t="shared" si="33"/>
        <v>0</v>
      </c>
      <c r="FH36" s="360">
        <f t="shared" si="33"/>
        <v>0</v>
      </c>
      <c r="FI36" s="360">
        <f t="shared" si="33"/>
        <v>0</v>
      </c>
      <c r="FJ36" s="360">
        <f t="shared" si="33"/>
        <v>0</v>
      </c>
      <c r="FK36" s="360">
        <f t="shared" si="33"/>
        <v>0</v>
      </c>
      <c r="FL36" s="360">
        <f t="shared" si="33"/>
        <v>12</v>
      </c>
      <c r="FM36" s="360">
        <f t="shared" si="33"/>
        <v>0</v>
      </c>
      <c r="FN36" s="360">
        <f t="shared" si="33"/>
        <v>0</v>
      </c>
      <c r="FO36" s="360">
        <f t="shared" si="33"/>
        <v>20</v>
      </c>
      <c r="FP36" s="360">
        <f t="shared" si="33"/>
        <v>0</v>
      </c>
      <c r="FQ36" s="360">
        <f t="shared" si="33"/>
        <v>0</v>
      </c>
      <c r="FR36" s="360">
        <f t="shared" si="33"/>
        <v>0</v>
      </c>
      <c r="FS36" s="360">
        <f t="shared" si="33"/>
        <v>0</v>
      </c>
      <c r="FT36" s="360">
        <f t="shared" si="33"/>
        <v>0</v>
      </c>
      <c r="FU36" s="360">
        <f t="shared" si="33"/>
        <v>9</v>
      </c>
      <c r="FV36" s="360">
        <f t="shared" si="33"/>
        <v>0</v>
      </c>
      <c r="FW36" s="360">
        <f t="shared" si="33"/>
        <v>0</v>
      </c>
      <c r="FX36" s="360">
        <f t="shared" si="33"/>
        <v>0</v>
      </c>
      <c r="FY36" s="360">
        <f t="shared" si="33"/>
        <v>0</v>
      </c>
      <c r="FZ36" s="360">
        <f t="shared" si="33"/>
        <v>0</v>
      </c>
      <c r="GA36" s="360">
        <f t="shared" si="33"/>
        <v>0</v>
      </c>
      <c r="GB36" s="360">
        <f t="shared" si="33"/>
        <v>0</v>
      </c>
      <c r="GC36" s="360">
        <f t="shared" si="33"/>
        <v>0</v>
      </c>
      <c r="GD36" s="360">
        <f t="shared" si="33"/>
        <v>0</v>
      </c>
      <c r="GE36" s="360">
        <f t="shared" si="33"/>
        <v>25</v>
      </c>
      <c r="GF36" s="360">
        <f t="shared" si="33"/>
        <v>0</v>
      </c>
      <c r="GG36" s="360">
        <f t="shared" si="33"/>
        <v>0</v>
      </c>
      <c r="GH36" s="360">
        <f t="shared" si="33"/>
        <v>15</v>
      </c>
      <c r="GI36" s="360">
        <f t="shared" si="33"/>
        <v>0</v>
      </c>
      <c r="GJ36" s="360">
        <f t="shared" si="33"/>
        <v>0</v>
      </c>
      <c r="GK36" s="360">
        <f t="shared" si="33"/>
        <v>0</v>
      </c>
      <c r="GL36" s="360">
        <f t="shared" si="33"/>
        <v>14</v>
      </c>
      <c r="GM36" s="360">
        <f t="shared" si="33"/>
        <v>20</v>
      </c>
      <c r="GN36" s="360">
        <f t="shared" ref="GN36:IY36" si="34">GN182</f>
        <v>0</v>
      </c>
      <c r="GO36" s="360">
        <f t="shared" si="34"/>
        <v>0</v>
      </c>
      <c r="GP36" s="360">
        <f t="shared" si="34"/>
        <v>0</v>
      </c>
      <c r="GQ36" s="360">
        <f t="shared" si="34"/>
        <v>0</v>
      </c>
      <c r="GR36" s="360">
        <f t="shared" si="34"/>
        <v>3</v>
      </c>
      <c r="GS36" s="360">
        <f t="shared" si="34"/>
        <v>0</v>
      </c>
      <c r="GT36" s="360">
        <f t="shared" si="34"/>
        <v>0</v>
      </c>
      <c r="GU36" s="360">
        <f t="shared" si="34"/>
        <v>20</v>
      </c>
      <c r="GV36" s="360">
        <f t="shared" si="34"/>
        <v>0</v>
      </c>
      <c r="GW36" s="360">
        <f t="shared" si="34"/>
        <v>0</v>
      </c>
      <c r="GX36" s="360">
        <f t="shared" si="34"/>
        <v>0</v>
      </c>
      <c r="GY36" s="360">
        <f t="shared" si="34"/>
        <v>0</v>
      </c>
      <c r="GZ36" s="360">
        <f t="shared" si="34"/>
        <v>0</v>
      </c>
      <c r="HA36" s="360">
        <f t="shared" si="34"/>
        <v>0</v>
      </c>
      <c r="HB36" s="360">
        <f t="shared" si="34"/>
        <v>65</v>
      </c>
      <c r="HC36" s="360">
        <f t="shared" si="34"/>
        <v>0</v>
      </c>
      <c r="HD36" s="360">
        <f t="shared" si="34"/>
        <v>0</v>
      </c>
      <c r="HE36" s="360">
        <f t="shared" si="34"/>
        <v>0</v>
      </c>
      <c r="HF36" s="360">
        <f t="shared" si="34"/>
        <v>0</v>
      </c>
      <c r="HG36" s="360">
        <f t="shared" si="34"/>
        <v>10</v>
      </c>
      <c r="HH36" s="360">
        <f t="shared" si="34"/>
        <v>0</v>
      </c>
      <c r="HI36" s="360">
        <f t="shared" si="34"/>
        <v>0</v>
      </c>
      <c r="HJ36" s="360">
        <f t="shared" si="34"/>
        <v>0</v>
      </c>
      <c r="HK36" s="360">
        <f t="shared" si="34"/>
        <v>0</v>
      </c>
      <c r="HL36" s="360">
        <f t="shared" si="34"/>
        <v>0</v>
      </c>
      <c r="HM36" s="360">
        <f t="shared" si="34"/>
        <v>0</v>
      </c>
      <c r="HN36" s="360">
        <f t="shared" si="34"/>
        <v>1</v>
      </c>
      <c r="HO36" s="360">
        <f t="shared" si="34"/>
        <v>0</v>
      </c>
      <c r="HP36" s="360">
        <f t="shared" si="34"/>
        <v>0</v>
      </c>
      <c r="HQ36" s="360">
        <f t="shared" si="34"/>
        <v>5</v>
      </c>
      <c r="HR36" s="360">
        <f t="shared" si="34"/>
        <v>0</v>
      </c>
      <c r="HS36" s="360">
        <f t="shared" si="34"/>
        <v>0</v>
      </c>
      <c r="HT36" s="360">
        <f t="shared" si="34"/>
        <v>0</v>
      </c>
      <c r="HU36" s="360">
        <f t="shared" si="34"/>
        <v>0</v>
      </c>
      <c r="HV36" s="360">
        <f t="shared" si="34"/>
        <v>0</v>
      </c>
      <c r="HW36" s="360">
        <f t="shared" si="34"/>
        <v>0</v>
      </c>
      <c r="HX36" s="360">
        <f t="shared" si="34"/>
        <v>0</v>
      </c>
      <c r="HY36" s="360">
        <f t="shared" si="34"/>
        <v>0</v>
      </c>
      <c r="HZ36" s="360">
        <f t="shared" si="34"/>
        <v>0</v>
      </c>
      <c r="IA36" s="360">
        <f t="shared" si="34"/>
        <v>0</v>
      </c>
      <c r="IB36" s="360">
        <f t="shared" si="34"/>
        <v>0</v>
      </c>
      <c r="IC36" s="360">
        <f t="shared" si="34"/>
        <v>0</v>
      </c>
      <c r="ID36" s="360">
        <f t="shared" si="34"/>
        <v>0</v>
      </c>
      <c r="IE36" s="360">
        <f t="shared" si="34"/>
        <v>0</v>
      </c>
      <c r="IF36" s="360">
        <f t="shared" si="34"/>
        <v>0</v>
      </c>
      <c r="IG36" s="360">
        <f t="shared" si="34"/>
        <v>0</v>
      </c>
      <c r="IH36" s="360">
        <f t="shared" si="34"/>
        <v>0</v>
      </c>
      <c r="II36" s="360">
        <f t="shared" si="34"/>
        <v>0</v>
      </c>
      <c r="IJ36" s="360">
        <f t="shared" si="34"/>
        <v>0</v>
      </c>
      <c r="IK36" s="360">
        <f t="shared" si="34"/>
        <v>15</v>
      </c>
      <c r="IL36" s="360">
        <f t="shared" si="34"/>
        <v>0</v>
      </c>
      <c r="IM36" s="360">
        <f t="shared" si="34"/>
        <v>0</v>
      </c>
      <c r="IN36" s="360">
        <f t="shared" si="34"/>
        <v>0</v>
      </c>
      <c r="IO36" s="360">
        <f t="shared" si="34"/>
        <v>0</v>
      </c>
      <c r="IP36" s="360">
        <f t="shared" si="34"/>
        <v>0</v>
      </c>
      <c r="IQ36" s="360">
        <f t="shared" si="34"/>
        <v>0</v>
      </c>
      <c r="IR36" s="360">
        <f t="shared" si="34"/>
        <v>0</v>
      </c>
      <c r="IS36" s="360">
        <f t="shared" si="34"/>
        <v>0</v>
      </c>
      <c r="IT36" s="360">
        <f t="shared" si="34"/>
        <v>0</v>
      </c>
      <c r="IU36" s="360">
        <f t="shared" si="34"/>
        <v>0</v>
      </c>
      <c r="IV36" s="360">
        <f t="shared" si="34"/>
        <v>0</v>
      </c>
      <c r="IW36" s="360">
        <f t="shared" si="34"/>
        <v>0</v>
      </c>
      <c r="IX36" s="360">
        <f t="shared" si="34"/>
        <v>0</v>
      </c>
      <c r="IY36" s="360">
        <f t="shared" si="34"/>
        <v>0</v>
      </c>
      <c r="IZ36" s="360">
        <f t="shared" ref="IZ36:JH36" si="35">IZ182</f>
        <v>0</v>
      </c>
      <c r="JA36" s="360">
        <f t="shared" si="35"/>
        <v>0</v>
      </c>
      <c r="JB36" s="360">
        <f t="shared" si="35"/>
        <v>9</v>
      </c>
      <c r="JC36" s="360">
        <f t="shared" si="35"/>
        <v>30</v>
      </c>
      <c r="JD36" s="360">
        <f t="shared" si="35"/>
        <v>0</v>
      </c>
      <c r="JE36" s="360">
        <f t="shared" si="35"/>
        <v>0</v>
      </c>
      <c r="JF36" s="360">
        <f t="shared" si="35"/>
        <v>0</v>
      </c>
      <c r="JG36" s="360">
        <f t="shared" si="35"/>
        <v>0</v>
      </c>
      <c r="JH36" s="360">
        <f t="shared" si="35"/>
        <v>3</v>
      </c>
      <c r="JI36" s="315">
        <f>'Hodnocení '!JI32</f>
        <v>0</v>
      </c>
    </row>
    <row r="37" spans="1:276" hidden="1" x14ac:dyDescent="0.25">
      <c r="A37" s="338"/>
      <c r="B37" s="739" t="s">
        <v>1836</v>
      </c>
      <c r="C37" s="789">
        <f>'Hodnocení '!C33</f>
        <v>50000</v>
      </c>
      <c r="D37" s="695">
        <f>'Hodnocení '!D33</f>
        <v>300000</v>
      </c>
      <c r="E37" s="695">
        <f>'Hodnocení '!E33</f>
        <v>180000</v>
      </c>
      <c r="F37" s="695">
        <f>'Hodnocení '!F33</f>
        <v>362000</v>
      </c>
      <c r="G37" s="695">
        <f>'Hodnocení '!G33</f>
        <v>1426500</v>
      </c>
      <c r="H37" s="695">
        <f>'Hodnocení '!H33</f>
        <v>700000</v>
      </c>
      <c r="I37" s="695">
        <f>'Hodnocení '!I33</f>
        <v>719500</v>
      </c>
      <c r="J37" s="695">
        <f>'Hodnocení '!J33</f>
        <v>80000</v>
      </c>
      <c r="K37" s="695">
        <f>'Hodnocení '!K33</f>
        <v>20000</v>
      </c>
      <c r="L37" s="695">
        <f>'Hodnocení '!L33</f>
        <v>281750</v>
      </c>
      <c r="M37" s="695">
        <f>'Hodnocení '!M33</f>
        <v>316500</v>
      </c>
      <c r="N37" s="695">
        <f>'Hodnocení '!N33</f>
        <v>475000</v>
      </c>
      <c r="O37" s="695">
        <f>'Hodnocení '!O33</f>
        <v>271000</v>
      </c>
      <c r="P37" s="695">
        <f>'Hodnocení '!P33</f>
        <v>300000</v>
      </c>
      <c r="Q37" s="695">
        <f>'Hodnocení '!Q33</f>
        <v>161000</v>
      </c>
      <c r="R37" s="695">
        <f>'Hodnocení '!R33</f>
        <v>300000</v>
      </c>
      <c r="S37" s="695">
        <f>'Hodnocení '!S33</f>
        <v>0</v>
      </c>
      <c r="T37" s="695">
        <f>'Hodnocení '!T33</f>
        <v>0</v>
      </c>
      <c r="U37" s="695">
        <f>'Hodnocení '!U33</f>
        <v>0</v>
      </c>
      <c r="V37" s="695">
        <f>'Hodnocení '!V33</f>
        <v>4314000</v>
      </c>
      <c r="W37" s="695">
        <f>'Hodnocení '!W33</f>
        <v>910000</v>
      </c>
      <c r="X37" s="695">
        <f>'Hodnocení '!X33</f>
        <v>122000</v>
      </c>
      <c r="Y37" s="695">
        <f>'Hodnocení '!Y33</f>
        <v>100000</v>
      </c>
      <c r="Z37" s="695">
        <f>'Hodnocení '!Z33</f>
        <v>0</v>
      </c>
      <c r="AA37" s="695">
        <f>'Hodnocení '!AA33</f>
        <v>295000</v>
      </c>
      <c r="AB37" s="695">
        <f>'Hodnocení '!AB33</f>
        <v>88800</v>
      </c>
      <c r="AC37" s="695">
        <f>'Hodnocení '!AC33</f>
        <v>88800</v>
      </c>
      <c r="AD37" s="695">
        <f>'Hodnocení '!AD33</f>
        <v>156800</v>
      </c>
      <c r="AE37" s="695">
        <f>'Hodnocení '!AE33</f>
        <v>88800</v>
      </c>
      <c r="AF37" s="695">
        <f>'Hodnocení '!AF33</f>
        <v>88800</v>
      </c>
      <c r="AG37" s="695">
        <f>'Hodnocení '!AG33</f>
        <v>185400</v>
      </c>
      <c r="AH37" s="695">
        <f>'Hodnocení '!AH33</f>
        <v>101700</v>
      </c>
      <c r="AI37" s="695">
        <f>'Hodnocení '!AI33</f>
        <v>117300</v>
      </c>
      <c r="AJ37" s="695">
        <f>'Hodnocení '!AJ33</f>
        <v>123700</v>
      </c>
      <c r="AK37" s="695">
        <f>'Hodnocení '!AK33</f>
        <v>0</v>
      </c>
      <c r="AL37" s="695">
        <f>'Hodnocení '!AL33</f>
        <v>204000</v>
      </c>
      <c r="AM37" s="695">
        <f>'Hodnocení '!AM33</f>
        <v>60000</v>
      </c>
      <c r="AN37" s="695">
        <f>'Hodnocení '!AN33</f>
        <v>95000</v>
      </c>
      <c r="AO37" s="695">
        <f>'Hodnocení '!AO33</f>
        <v>2320000</v>
      </c>
      <c r="AP37" s="695">
        <f>'Hodnocení '!AP33</f>
        <v>0</v>
      </c>
      <c r="AQ37" s="695">
        <f>'Hodnocení '!AQ33</f>
        <v>40000</v>
      </c>
      <c r="AR37" s="695">
        <f>'Hodnocení '!AR33</f>
        <v>100600</v>
      </c>
      <c r="AS37" s="695">
        <f>'Hodnocení '!AS33</f>
        <v>35000</v>
      </c>
      <c r="AT37" s="695">
        <f>'Hodnocení '!AT33</f>
        <v>156400</v>
      </c>
      <c r="AU37" s="695">
        <f>'Hodnocení '!AU33</f>
        <v>156400</v>
      </c>
      <c r="AV37" s="695">
        <f>'Hodnocení '!AV33</f>
        <v>117300</v>
      </c>
      <c r="AW37" s="695">
        <f>'Hodnocení '!AW33</f>
        <v>156400</v>
      </c>
      <c r="AX37" s="695">
        <f>'Hodnocení '!AX33</f>
        <v>258000</v>
      </c>
      <c r="AY37" s="695">
        <f>'Hodnocení '!AY33</f>
        <v>155000</v>
      </c>
      <c r="AZ37" s="695">
        <f>'Hodnocení '!AZ33</f>
        <v>156185</v>
      </c>
      <c r="BA37" s="695">
        <f>'Hodnocení '!BA33</f>
        <v>1120000</v>
      </c>
      <c r="BB37" s="695">
        <f>'Hodnocení '!BB33</f>
        <v>140000</v>
      </c>
      <c r="BC37" s="695">
        <f>'Hodnocení '!BC33</f>
        <v>90000</v>
      </c>
      <c r="BD37" s="695">
        <f>'Hodnocení '!BD33</f>
        <v>220000</v>
      </c>
      <c r="BE37" s="695">
        <f>'Hodnocení '!BE33</f>
        <v>125000</v>
      </c>
      <c r="BF37" s="695">
        <f>'Hodnocení '!BF33</f>
        <v>340000</v>
      </c>
      <c r="BG37" s="695">
        <f>'Hodnocení '!BG33</f>
        <v>420000</v>
      </c>
      <c r="BH37" s="695">
        <f>'Hodnocení '!BH33</f>
        <v>397000</v>
      </c>
      <c r="BI37" s="695">
        <f>'Hodnocení '!BI33</f>
        <v>100000</v>
      </c>
      <c r="BJ37" s="695">
        <f>'Hodnocení '!BJ33</f>
        <v>140000</v>
      </c>
      <c r="BK37" s="695">
        <f>'Hodnocení '!BK33</f>
        <v>0</v>
      </c>
      <c r="BL37" s="695">
        <f>'Hodnocení '!BL33</f>
        <v>0</v>
      </c>
      <c r="BM37" s="695">
        <f>'Hodnocení '!BM33</f>
        <v>50000</v>
      </c>
      <c r="BN37" s="695">
        <f>'Hodnocení '!BN33</f>
        <v>150000</v>
      </c>
      <c r="BO37" s="695">
        <f>'Hodnocení '!BO33</f>
        <v>140000</v>
      </c>
      <c r="BP37" s="695">
        <f>'Hodnocení '!BP33</f>
        <v>601272</v>
      </c>
      <c r="BQ37" s="695">
        <f>'Hodnocení '!BQ33</f>
        <v>0</v>
      </c>
      <c r="BR37" s="695">
        <f>'Hodnocení '!BR33</f>
        <v>40000</v>
      </c>
      <c r="BS37" s="695">
        <f>'Hodnocení '!BS33</f>
        <v>190000</v>
      </c>
      <c r="BT37" s="695">
        <f>'Hodnocení '!BT33</f>
        <v>200000</v>
      </c>
      <c r="BU37" s="695">
        <f>'Hodnocení '!BU33</f>
        <v>1055000</v>
      </c>
      <c r="BV37" s="695">
        <f>'Hodnocení '!BV33</f>
        <v>0</v>
      </c>
      <c r="BW37" s="695">
        <f>'Hodnocení '!BW33</f>
        <v>0</v>
      </c>
      <c r="BX37" s="695">
        <f>'Hodnocení '!BX33</f>
        <v>1309761</v>
      </c>
      <c r="BY37" s="695">
        <f>'Hodnocení '!BY33</f>
        <v>730000</v>
      </c>
      <c r="BZ37" s="695">
        <f>'Hodnocení '!BZ33</f>
        <v>150000</v>
      </c>
      <c r="CA37" s="695">
        <f>'Hodnocení '!CA33</f>
        <v>0</v>
      </c>
      <c r="CB37" s="695">
        <f>'Hodnocení '!CB33</f>
        <v>0</v>
      </c>
      <c r="CC37" s="695">
        <f>'Hodnocení '!CC33</f>
        <v>290000</v>
      </c>
      <c r="CD37" s="695">
        <f>'Hodnocení '!CD33</f>
        <v>130000</v>
      </c>
      <c r="CE37" s="695">
        <f>'Hodnocení '!CE33</f>
        <v>4381300</v>
      </c>
      <c r="CF37" s="695">
        <f>'Hodnocení '!CF33</f>
        <v>366900</v>
      </c>
      <c r="CG37" s="695">
        <f>'Hodnocení '!CG33</f>
        <v>1830000</v>
      </c>
      <c r="CH37" s="695">
        <f>'Hodnocení '!CH33</f>
        <v>890000</v>
      </c>
      <c r="CI37" s="695">
        <f>'Hodnocení '!CI33</f>
        <v>150000</v>
      </c>
      <c r="CJ37" s="695">
        <f>'Hodnocení '!CJ33</f>
        <v>710000</v>
      </c>
      <c r="CK37" s="695">
        <f>'Hodnocení '!CK33</f>
        <v>581000</v>
      </c>
      <c r="CL37" s="695">
        <f>'Hodnocení '!CL33</f>
        <v>409000</v>
      </c>
      <c r="CM37" s="695">
        <f>'Hodnocení '!CM33</f>
        <v>871500</v>
      </c>
      <c r="CN37" s="695">
        <f>'Hodnocení '!CN33</f>
        <v>164850</v>
      </c>
      <c r="CO37" s="695">
        <f>'Hodnocení '!CO33</f>
        <v>250000</v>
      </c>
      <c r="CP37" s="695">
        <f>'Hodnocení '!CP33</f>
        <v>215000</v>
      </c>
      <c r="CQ37" s="695">
        <f>'Hodnocení '!CQ33</f>
        <v>740000</v>
      </c>
      <c r="CR37" s="695">
        <f>'Hodnocení '!CR33</f>
        <v>50000</v>
      </c>
      <c r="CS37" s="695">
        <f>'Hodnocení '!CS33</f>
        <v>0</v>
      </c>
      <c r="CT37" s="695">
        <f>'Hodnocení '!CT33</f>
        <v>600000</v>
      </c>
      <c r="CU37" s="695">
        <f>'Hodnocení '!CU33</f>
        <v>91500</v>
      </c>
      <c r="CV37" s="695">
        <f>'Hodnocení '!CV33</f>
        <v>128500</v>
      </c>
      <c r="CW37" s="695">
        <f>'Hodnocení '!CW33</f>
        <v>0</v>
      </c>
      <c r="CX37" s="695">
        <f>'Hodnocení '!CX33</f>
        <v>363452</v>
      </c>
      <c r="CY37" s="695">
        <f>'Hodnocení '!CY33</f>
        <v>277608</v>
      </c>
      <c r="CZ37" s="695">
        <f>'Hodnocení '!CZ33</f>
        <v>45000</v>
      </c>
      <c r="DA37" s="695">
        <f>'Hodnocení '!DA33</f>
        <v>0</v>
      </c>
      <c r="DB37" s="695">
        <f>'Hodnocení '!DB33</f>
        <v>200000</v>
      </c>
      <c r="DC37" s="695">
        <f>'Hodnocení '!DC33</f>
        <v>250000</v>
      </c>
      <c r="DD37" s="695">
        <f>'Hodnocení '!DD33</f>
        <v>215000</v>
      </c>
      <c r="DE37" s="695">
        <f>'Hodnocení '!DE33</f>
        <v>235000</v>
      </c>
      <c r="DF37" s="695">
        <f>'Hodnocení '!DF33</f>
        <v>360000</v>
      </c>
      <c r="DG37" s="695">
        <f>'Hodnocení '!DG33</f>
        <v>0</v>
      </c>
      <c r="DH37" s="695">
        <f>'Hodnocení '!DH33</f>
        <v>105200</v>
      </c>
      <c r="DI37" s="695">
        <f>'Hodnocení '!DI33</f>
        <v>31800</v>
      </c>
      <c r="DJ37" s="695">
        <f>'Hodnocení '!DJ33</f>
        <v>90000</v>
      </c>
      <c r="DK37" s="695">
        <f>'Hodnocení '!DK33</f>
        <v>40200</v>
      </c>
      <c r="DL37" s="695">
        <f>'Hodnocení '!DL33</f>
        <v>1452000</v>
      </c>
      <c r="DM37" s="695">
        <f>'Hodnocení '!DM33</f>
        <v>367000</v>
      </c>
      <c r="DN37" s="695">
        <f>'Hodnocení '!DN33</f>
        <v>370000</v>
      </c>
      <c r="DO37" s="695">
        <f>'Hodnocení '!DO33</f>
        <v>0</v>
      </c>
      <c r="DP37" s="695">
        <f>'Hodnocení '!DP33</f>
        <v>383000</v>
      </c>
      <c r="DQ37" s="695">
        <f>'Hodnocení '!DQ33</f>
        <v>200000</v>
      </c>
      <c r="DR37" s="695">
        <f>'Hodnocení '!DR33</f>
        <v>28000</v>
      </c>
      <c r="DS37" s="695">
        <f>'Hodnocení '!DS33</f>
        <v>0</v>
      </c>
      <c r="DT37" s="695">
        <f>'Hodnocení '!DT33</f>
        <v>50000</v>
      </c>
      <c r="DU37" s="695">
        <f>'Hodnocení '!DU33</f>
        <v>0</v>
      </c>
      <c r="DV37" s="695">
        <f>'Hodnocení '!DV33</f>
        <v>0</v>
      </c>
      <c r="DW37" s="695">
        <f>'Hodnocení '!DW33</f>
        <v>0</v>
      </c>
      <c r="DX37" s="695">
        <f>'Hodnocení '!DX33</f>
        <v>0</v>
      </c>
      <c r="DY37" s="695">
        <f>'Hodnocení '!DY33</f>
        <v>150000</v>
      </c>
      <c r="DZ37" s="695">
        <f>'Hodnocení '!DZ33</f>
        <v>0</v>
      </c>
      <c r="EA37" s="695">
        <f>'Hodnocení '!EA33</f>
        <v>130000</v>
      </c>
      <c r="EB37" s="695">
        <f>'Hodnocení '!EB33</f>
        <v>0</v>
      </c>
      <c r="EC37" s="695">
        <f>'Hodnocení '!EC33</f>
        <v>120796</v>
      </c>
      <c r="ED37" s="695">
        <f>'Hodnocení '!ED33</f>
        <v>370000</v>
      </c>
      <c r="EE37" s="695">
        <f>'Hodnocení '!EE33</f>
        <v>110000</v>
      </c>
      <c r="EF37" s="695">
        <f>'Hodnocení '!EF33</f>
        <v>100000</v>
      </c>
      <c r="EG37" s="695">
        <f>'Hodnocení '!EG33</f>
        <v>10000</v>
      </c>
      <c r="EH37" s="695">
        <f>'Hodnocení '!EH33</f>
        <v>80000</v>
      </c>
      <c r="EI37" s="695">
        <f>'Hodnocení '!EI33</f>
        <v>110000</v>
      </c>
      <c r="EJ37" s="695">
        <f>'Hodnocení '!EJ33</f>
        <v>18500</v>
      </c>
      <c r="EK37" s="695">
        <f>'Hodnocení '!EK33</f>
        <v>500000</v>
      </c>
      <c r="EL37" s="695">
        <f>'Hodnocení '!EL33</f>
        <v>3015000</v>
      </c>
      <c r="EM37" s="695">
        <f>'Hodnocení '!EM33</f>
        <v>460000</v>
      </c>
      <c r="EN37" s="695">
        <f>'Hodnocení '!EN33</f>
        <v>0</v>
      </c>
      <c r="EO37" s="695">
        <f>'Hodnocení '!EO33</f>
        <v>15000</v>
      </c>
      <c r="EP37" s="695">
        <f>'Hodnocení '!EP33</f>
        <v>202000</v>
      </c>
      <c r="EQ37" s="695">
        <f>'Hodnocení '!EQ33</f>
        <v>40000</v>
      </c>
      <c r="ER37" s="695">
        <f>'Hodnocení '!ER33</f>
        <v>4235000</v>
      </c>
      <c r="ES37" s="695">
        <f>'Hodnocení '!ES33</f>
        <v>1619100</v>
      </c>
      <c r="ET37" s="695">
        <f>'Hodnocení '!ET33</f>
        <v>0</v>
      </c>
      <c r="EU37" s="695">
        <f>'Hodnocení '!EU33</f>
        <v>12000</v>
      </c>
      <c r="EV37" s="695">
        <f>'Hodnocení '!EV33</f>
        <v>100000</v>
      </c>
      <c r="EW37" s="695">
        <f>'Hodnocení '!EW33</f>
        <v>2200000</v>
      </c>
      <c r="EX37" s="695">
        <f>'Hodnocení '!EX33</f>
        <v>3600000</v>
      </c>
      <c r="EY37" s="695">
        <f>'Hodnocení '!EY33</f>
        <v>1460000</v>
      </c>
      <c r="EZ37" s="695">
        <f>'Hodnocení '!EZ33</f>
        <v>1761805</v>
      </c>
      <c r="FA37" s="695">
        <f>'Hodnocení '!FA33</f>
        <v>0</v>
      </c>
      <c r="FB37" s="695">
        <f>'Hodnocení '!FB33</f>
        <v>0</v>
      </c>
      <c r="FC37" s="695">
        <f>'Hodnocení '!FC33</f>
        <v>5962000</v>
      </c>
      <c r="FD37" s="695">
        <f>'Hodnocení '!FD33</f>
        <v>1552100</v>
      </c>
      <c r="FE37" s="695">
        <f>'Hodnocení '!FE33</f>
        <v>832200</v>
      </c>
      <c r="FF37" s="695">
        <f>'Hodnocení '!FF33</f>
        <v>1000000</v>
      </c>
      <c r="FG37" s="695">
        <f>'Hodnocení '!FG33</f>
        <v>2408000</v>
      </c>
      <c r="FH37" s="695">
        <f>'Hodnocení '!FH33</f>
        <v>1608000</v>
      </c>
      <c r="FI37" s="695">
        <f>'Hodnocení '!FI33</f>
        <v>1800000</v>
      </c>
      <c r="FJ37" s="695">
        <f>'Hodnocení '!FJ33</f>
        <v>46542</v>
      </c>
      <c r="FK37" s="695">
        <f>'Hodnocení '!FK33</f>
        <v>600000</v>
      </c>
      <c r="FL37" s="695">
        <f>'Hodnocení '!FL33</f>
        <v>500000</v>
      </c>
      <c r="FM37" s="695">
        <f>'Hodnocení '!FM33</f>
        <v>1539455</v>
      </c>
      <c r="FN37" s="695">
        <f>'Hodnocení '!FN33</f>
        <v>1288895</v>
      </c>
      <c r="FO37" s="695">
        <f>'Hodnocení '!FO33</f>
        <v>1078183</v>
      </c>
      <c r="FP37" s="695">
        <f>'Hodnocení '!FP33</f>
        <v>4524544</v>
      </c>
      <c r="FQ37" s="695">
        <f>'Hodnocení '!FQ33</f>
        <v>113447</v>
      </c>
      <c r="FR37" s="695">
        <f>'Hodnocení '!FR33</f>
        <v>0</v>
      </c>
      <c r="FS37" s="695">
        <f>'Hodnocení '!FS33</f>
        <v>207067</v>
      </c>
      <c r="FT37" s="695">
        <f>'Hodnocení '!FT33</f>
        <v>83229</v>
      </c>
      <c r="FU37" s="695">
        <f>'Hodnocení '!FU33</f>
        <v>0</v>
      </c>
      <c r="FV37" s="695">
        <f>'Hodnocení '!FV33</f>
        <v>1668344</v>
      </c>
      <c r="FW37" s="695">
        <f>'Hodnocení '!FW33</f>
        <v>0</v>
      </c>
      <c r="FX37" s="695">
        <f>'Hodnocení '!FX33</f>
        <v>0</v>
      </c>
      <c r="FY37" s="695">
        <f>'Hodnocení '!FY33</f>
        <v>0</v>
      </c>
      <c r="FZ37" s="695">
        <f>'Hodnocení '!FZ33</f>
        <v>5408290</v>
      </c>
      <c r="GA37" s="695">
        <f>'Hodnocení '!GA33</f>
        <v>1110750</v>
      </c>
      <c r="GB37" s="695">
        <f>'Hodnocení '!GB33</f>
        <v>4161580</v>
      </c>
      <c r="GC37" s="695">
        <f>'Hodnocení '!GC33</f>
        <v>1427000</v>
      </c>
      <c r="GD37" s="695">
        <f>'Hodnocení '!GD33</f>
        <v>3850000</v>
      </c>
      <c r="GE37" s="695">
        <f>'Hodnocení '!GE33</f>
        <v>867259</v>
      </c>
      <c r="GF37" s="695">
        <f>'Hodnocení '!GF33</f>
        <v>1561000</v>
      </c>
      <c r="GG37" s="695">
        <f>'Hodnocení '!GG33</f>
        <v>900000</v>
      </c>
      <c r="GH37" s="695">
        <f>'Hodnocení '!GH33</f>
        <v>475000</v>
      </c>
      <c r="GI37" s="695">
        <f>'Hodnocení '!GI33</f>
        <v>6920000</v>
      </c>
      <c r="GJ37" s="695">
        <f>'Hodnocení '!GJ33</f>
        <v>991270</v>
      </c>
      <c r="GK37" s="695">
        <f>'Hodnocení '!GK33</f>
        <v>742000</v>
      </c>
      <c r="GL37" s="695">
        <f>'Hodnocení '!GL33</f>
        <v>653000</v>
      </c>
      <c r="GM37" s="695">
        <f>'Hodnocení '!GM33</f>
        <v>595000</v>
      </c>
      <c r="GN37" s="695">
        <f>'Hodnocení '!GN33</f>
        <v>0</v>
      </c>
      <c r="GO37" s="695">
        <f>'Hodnocení '!GO33</f>
        <v>1504000</v>
      </c>
      <c r="GP37" s="695">
        <f>'Hodnocení '!GP33</f>
        <v>0</v>
      </c>
      <c r="GQ37" s="695">
        <f>'Hodnocení '!GQ33</f>
        <v>0</v>
      </c>
      <c r="GR37" s="695">
        <f>'Hodnocení '!GR33</f>
        <v>1293990</v>
      </c>
      <c r="GS37" s="695">
        <f>'Hodnocení '!GS33</f>
        <v>0</v>
      </c>
      <c r="GT37" s="695">
        <f>'Hodnocení '!GT33</f>
        <v>5804362</v>
      </c>
      <c r="GU37" s="695">
        <f>'Hodnocení '!GU33</f>
        <v>480000</v>
      </c>
      <c r="GV37" s="695">
        <f>'Hodnocení '!GV33</f>
        <v>2636744.54</v>
      </c>
      <c r="GW37" s="695">
        <f>'Hodnocení '!GW33</f>
        <v>0</v>
      </c>
      <c r="GX37" s="695">
        <f>'Hodnocení '!GX33</f>
        <v>311642.76</v>
      </c>
      <c r="GY37" s="695">
        <f>'Hodnocení '!GY33</f>
        <v>12567000</v>
      </c>
      <c r="GZ37" s="695">
        <f>'Hodnocení '!GZ33</f>
        <v>0</v>
      </c>
      <c r="HA37" s="695">
        <f>'Hodnocení '!HA33</f>
        <v>0</v>
      </c>
      <c r="HB37" s="695">
        <f>'Hodnocení '!HB33</f>
        <v>0</v>
      </c>
      <c r="HC37" s="695">
        <f>'Hodnocení '!HC33</f>
        <v>6686000</v>
      </c>
      <c r="HD37" s="695">
        <f>'Hodnocení '!HD33</f>
        <v>0</v>
      </c>
      <c r="HE37" s="695">
        <f>'Hodnocení '!HE33</f>
        <v>0</v>
      </c>
      <c r="HF37" s="695">
        <f>'Hodnocení '!HF33</f>
        <v>22496</v>
      </c>
      <c r="HG37" s="695">
        <f>'Hodnocení '!HG33</f>
        <v>0</v>
      </c>
      <c r="HH37" s="695">
        <f>'Hodnocení '!HH33</f>
        <v>0</v>
      </c>
      <c r="HI37" s="695">
        <f>'Hodnocení '!HI33</f>
        <v>2590000</v>
      </c>
      <c r="HJ37" s="695">
        <f>'Hodnocení '!HJ33</f>
        <v>391200</v>
      </c>
      <c r="HK37" s="695">
        <f>'Hodnocení '!HK33</f>
        <v>992500</v>
      </c>
      <c r="HL37" s="695">
        <f>'Hodnocení '!HL33</f>
        <v>0</v>
      </c>
      <c r="HM37" s="695">
        <f>'Hodnocení '!HM33</f>
        <v>0</v>
      </c>
      <c r="HN37" s="695">
        <f>'Hodnocení '!HN33</f>
        <v>0</v>
      </c>
      <c r="HO37" s="695">
        <f>'Hodnocení '!HO33</f>
        <v>0</v>
      </c>
      <c r="HP37" s="695">
        <f>'Hodnocení '!HP33</f>
        <v>0</v>
      </c>
      <c r="HQ37" s="695">
        <f>'Hodnocení '!HQ33</f>
        <v>0</v>
      </c>
      <c r="HR37" s="695">
        <f>'Hodnocení '!HR33</f>
        <v>0</v>
      </c>
      <c r="HS37" s="695">
        <f>'Hodnocení '!HS33</f>
        <v>0</v>
      </c>
      <c r="HT37" s="695">
        <f>'Hodnocení '!HT33</f>
        <v>0</v>
      </c>
      <c r="HU37" s="695">
        <f>'Hodnocení '!HU33</f>
        <v>45000</v>
      </c>
      <c r="HV37" s="695">
        <f>'Hodnocení '!HV33</f>
        <v>0</v>
      </c>
      <c r="HW37" s="695">
        <f>'Hodnocení '!HW33</f>
        <v>0</v>
      </c>
      <c r="HX37" s="695">
        <f>'Hodnocení '!HX33</f>
        <v>0</v>
      </c>
      <c r="HY37" s="695">
        <f>'Hodnocení '!HY33</f>
        <v>0</v>
      </c>
      <c r="HZ37" s="695">
        <f>'Hodnocení '!HZ33</f>
        <v>0</v>
      </c>
      <c r="IA37" s="695">
        <f>'Hodnocení '!IA33</f>
        <v>0</v>
      </c>
      <c r="IB37" s="695">
        <f>'Hodnocení '!IB33</f>
        <v>0</v>
      </c>
      <c r="IC37" s="695">
        <f>'Hodnocení '!IC33</f>
        <v>0</v>
      </c>
      <c r="ID37" s="695">
        <f>'Hodnocení '!ID33</f>
        <v>0</v>
      </c>
      <c r="IE37" s="695">
        <f>'Hodnocení '!IE33</f>
        <v>0</v>
      </c>
      <c r="IF37" s="695">
        <f>'Hodnocení '!IF33</f>
        <v>0</v>
      </c>
      <c r="IG37" s="695">
        <f>'Hodnocení '!IG33</f>
        <v>0</v>
      </c>
      <c r="IH37" s="695">
        <f>'Hodnocení '!IH33</f>
        <v>0</v>
      </c>
      <c r="II37" s="695">
        <f>'Hodnocení '!II33</f>
        <v>0</v>
      </c>
      <c r="IJ37" s="695">
        <f>'Hodnocení '!IJ33</f>
        <v>0</v>
      </c>
      <c r="IK37" s="695">
        <f>'Hodnocení '!IK33</f>
        <v>0</v>
      </c>
      <c r="IL37" s="695">
        <f>'Hodnocení '!IL33</f>
        <v>0</v>
      </c>
      <c r="IM37" s="695">
        <f>'Hodnocení '!IM33</f>
        <v>0</v>
      </c>
      <c r="IN37" s="695">
        <f>'Hodnocení '!IN33</f>
        <v>0</v>
      </c>
      <c r="IO37" s="695">
        <f>'Hodnocení '!IO33</f>
        <v>0</v>
      </c>
      <c r="IP37" s="695">
        <f>'Hodnocení '!IP33</f>
        <v>0</v>
      </c>
      <c r="IQ37" s="695">
        <f>'Hodnocení '!IQ33</f>
        <v>0</v>
      </c>
      <c r="IR37" s="695">
        <f>'Hodnocení '!IR33</f>
        <v>0</v>
      </c>
      <c r="IS37" s="695">
        <f>'Hodnocení '!IS33</f>
        <v>0</v>
      </c>
      <c r="IT37" s="695">
        <f>'Hodnocení '!IT33</f>
        <v>0</v>
      </c>
      <c r="IU37" s="695">
        <f>'Hodnocení '!IU33</f>
        <v>0</v>
      </c>
      <c r="IV37" s="695">
        <f>'Hodnocení '!IV33</f>
        <v>0</v>
      </c>
      <c r="IW37" s="695">
        <f>'Hodnocení '!IW33</f>
        <v>0</v>
      </c>
      <c r="IX37" s="695">
        <f>'Hodnocení '!IX33</f>
        <v>0</v>
      </c>
      <c r="IY37" s="695">
        <f>'Hodnocení '!IY33</f>
        <v>0</v>
      </c>
      <c r="IZ37" s="695">
        <f>'Hodnocení '!IZ33</f>
        <v>0</v>
      </c>
      <c r="JA37" s="695">
        <f>'Hodnocení '!JA33</f>
        <v>69500</v>
      </c>
      <c r="JB37" s="695">
        <f>'Hodnocení '!JB33</f>
        <v>129800</v>
      </c>
      <c r="JC37" s="695">
        <f>'Hodnocení '!JC33</f>
        <v>80000</v>
      </c>
      <c r="JD37" s="695">
        <f>'Hodnocení '!JD33</f>
        <v>101900</v>
      </c>
      <c r="JE37" s="695">
        <f>'Hodnocení '!JE33</f>
        <v>0</v>
      </c>
      <c r="JF37" s="695">
        <f>'Hodnocení '!JF33</f>
        <v>0</v>
      </c>
      <c r="JG37" s="695">
        <f>'Hodnocení '!JG33</f>
        <v>16000</v>
      </c>
      <c r="JH37" s="790">
        <f>'Hodnocení '!JH33</f>
        <v>0</v>
      </c>
      <c r="JI37" s="762">
        <f>'Hodnocení '!JI33</f>
        <v>154970969.30000001</v>
      </c>
      <c r="JL37" s="307">
        <f t="shared" ref="JL37:JO38" si="36">SUMIFS($C37:$JH37,$C$5:$JH$5,JL$5)</f>
        <v>530000</v>
      </c>
      <c r="JM37" s="307">
        <f t="shared" si="36"/>
        <v>53110874</v>
      </c>
      <c r="JN37" s="307">
        <f t="shared" si="36"/>
        <v>100887895.30000001</v>
      </c>
      <c r="JO37" s="307">
        <f t="shared" si="36"/>
        <v>442200</v>
      </c>
      <c r="JP37" s="307">
        <f t="shared" ref="JP37:JP38" si="37">SUM(JL37:JO37)</f>
        <v>154970969.30000001</v>
      </c>
    </row>
    <row r="38" spans="1:276" hidden="1" x14ac:dyDescent="0.25">
      <c r="A38" s="338"/>
      <c r="B38" s="739" t="s">
        <v>1835</v>
      </c>
      <c r="C38" s="789">
        <f>'Hodnocení '!C34</f>
        <v>0</v>
      </c>
      <c r="D38" s="695">
        <f>'Hodnocení '!D34</f>
        <v>200000</v>
      </c>
      <c r="E38" s="695">
        <f>'Hodnocení '!E34</f>
        <v>170000</v>
      </c>
      <c r="F38" s="695">
        <f>'Hodnocení '!F34</f>
        <v>359000</v>
      </c>
      <c r="G38" s="695">
        <f>'Hodnocení '!G34</f>
        <v>1415500</v>
      </c>
      <c r="H38" s="695">
        <f>'Hodnocení '!H34</f>
        <v>0</v>
      </c>
      <c r="I38" s="695">
        <f>'Hodnocení '!I34</f>
        <v>412500</v>
      </c>
      <c r="J38" s="695">
        <f>'Hodnocení '!J34</f>
        <v>99900</v>
      </c>
      <c r="K38" s="695">
        <f>'Hodnocení '!K34</f>
        <v>20000</v>
      </c>
      <c r="L38" s="695">
        <f>'Hodnocení '!L34</f>
        <v>148000</v>
      </c>
      <c r="M38" s="695">
        <f>'Hodnocení '!M34</f>
        <v>248500</v>
      </c>
      <c r="N38" s="695">
        <f>'Hodnocení '!N34</f>
        <v>549000</v>
      </c>
      <c r="O38" s="695">
        <f>'Hodnocení '!O34</f>
        <v>307500</v>
      </c>
      <c r="P38" s="695">
        <f>'Hodnocení '!P34</f>
        <v>428000</v>
      </c>
      <c r="Q38" s="695">
        <f>'Hodnocení '!Q34</f>
        <v>169000</v>
      </c>
      <c r="R38" s="695">
        <f>'Hodnocení '!R34</f>
        <v>361116</v>
      </c>
      <c r="S38" s="695">
        <f>'Hodnocení '!S34</f>
        <v>116084</v>
      </c>
      <c r="T38" s="695">
        <f>'Hodnocení '!T34</f>
        <v>120000</v>
      </c>
      <c r="U38" s="695">
        <f>'Hodnocení '!U34</f>
        <v>165000</v>
      </c>
      <c r="V38" s="695">
        <f>'Hodnocení '!V34</f>
        <v>3500000</v>
      </c>
      <c r="W38" s="695">
        <f>'Hodnocení '!W34</f>
        <v>820000</v>
      </c>
      <c r="X38" s="695">
        <f>'Hodnocení '!X34</f>
        <v>75000</v>
      </c>
      <c r="Y38" s="695">
        <f>'Hodnocení '!Y34</f>
        <v>100000</v>
      </c>
      <c r="Z38" s="695">
        <f>'Hodnocení '!Z34</f>
        <v>0</v>
      </c>
      <c r="AA38" s="695">
        <f>'Hodnocení '!AA34</f>
        <v>180000</v>
      </c>
      <c r="AB38" s="695">
        <f>'Hodnocení '!AB34</f>
        <v>154334.58000000002</v>
      </c>
      <c r="AC38" s="695">
        <f>'Hodnocení '!AC34</f>
        <v>136928.35999999999</v>
      </c>
      <c r="AD38" s="695">
        <f>'Hodnocení '!AD34</f>
        <v>106192.22</v>
      </c>
      <c r="AE38" s="695">
        <f>'Hodnocení '!AE34</f>
        <v>3694.84</v>
      </c>
      <c r="AF38" s="695">
        <f>'Hodnocení '!AF34</f>
        <v>6850</v>
      </c>
      <c r="AG38" s="695">
        <f>'Hodnocení '!AG34</f>
        <v>267500</v>
      </c>
      <c r="AH38" s="695">
        <f>'Hodnocení '!AH34</f>
        <v>96000</v>
      </c>
      <c r="AI38" s="695">
        <f>'Hodnocení '!AI34</f>
        <v>105000</v>
      </c>
      <c r="AJ38" s="695">
        <f>'Hodnocení '!AJ34</f>
        <v>122000</v>
      </c>
      <c r="AK38" s="695">
        <f>'Hodnocení '!AK34</f>
        <v>0</v>
      </c>
      <c r="AL38" s="695">
        <f>'Hodnocení '!AL34</f>
        <v>204000</v>
      </c>
      <c r="AM38" s="695">
        <f>'Hodnocení '!AM34</f>
        <v>60116</v>
      </c>
      <c r="AN38" s="695">
        <f>'Hodnocení '!AN34</f>
        <v>90000</v>
      </c>
      <c r="AO38" s="695">
        <f>'Hodnocení '!AO34</f>
        <v>2303000</v>
      </c>
      <c r="AP38" s="695">
        <f>'Hodnocení '!AP34</f>
        <v>0</v>
      </c>
      <c r="AQ38" s="695">
        <f>'Hodnocení '!AQ34</f>
        <v>50000</v>
      </c>
      <c r="AR38" s="695">
        <f>'Hodnocení '!AR34</f>
        <v>139500</v>
      </c>
      <c r="AS38" s="695">
        <f>'Hodnocení '!AS34</f>
        <v>37000</v>
      </c>
      <c r="AT38" s="695">
        <f>'Hodnocení '!AT34</f>
        <v>169000</v>
      </c>
      <c r="AU38" s="695">
        <f>'Hodnocení '!AU34</f>
        <v>160000</v>
      </c>
      <c r="AV38" s="695">
        <f>'Hodnocení '!AV34</f>
        <v>57000</v>
      </c>
      <c r="AW38" s="695">
        <f>'Hodnocení '!AW34</f>
        <v>52000</v>
      </c>
      <c r="AX38" s="695">
        <f>'Hodnocení '!AX34</f>
        <v>183950</v>
      </c>
      <c r="AY38" s="695">
        <f>'Hodnocení '!AY34</f>
        <v>238000</v>
      </c>
      <c r="AZ38" s="695">
        <f>'Hodnocení '!AZ34</f>
        <v>141490</v>
      </c>
      <c r="BA38" s="695">
        <f>'Hodnocení '!BA34</f>
        <v>930000</v>
      </c>
      <c r="BB38" s="695">
        <f>'Hodnocení '!BB34</f>
        <v>111000</v>
      </c>
      <c r="BC38" s="695">
        <f>'Hodnocení '!BC34</f>
        <v>68500</v>
      </c>
      <c r="BD38" s="695">
        <f>'Hodnocení '!BD34</f>
        <v>304000</v>
      </c>
      <c r="BE38" s="695">
        <f>'Hodnocení '!BE34</f>
        <v>176000</v>
      </c>
      <c r="BF38" s="695">
        <f>'Hodnocení '!BF34</f>
        <v>194000</v>
      </c>
      <c r="BG38" s="695">
        <f>'Hodnocení '!BG34</f>
        <v>412000</v>
      </c>
      <c r="BH38" s="695">
        <f>'Hodnocení '!BH34</f>
        <v>265998</v>
      </c>
      <c r="BI38" s="695">
        <f>'Hodnocení '!BI34</f>
        <v>100000</v>
      </c>
      <c r="BJ38" s="695">
        <f>'Hodnocení '!BJ34</f>
        <v>219000</v>
      </c>
      <c r="BK38" s="695">
        <f>'Hodnocení '!BK34</f>
        <v>48000</v>
      </c>
      <c r="BL38" s="695">
        <f>'Hodnocení '!BL34</f>
        <v>0</v>
      </c>
      <c r="BM38" s="695">
        <f>'Hodnocení '!BM34</f>
        <v>50000</v>
      </c>
      <c r="BN38" s="695">
        <f>'Hodnocení '!BN34</f>
        <v>166000</v>
      </c>
      <c r="BO38" s="695">
        <f>'Hodnocení '!BO34</f>
        <v>151000</v>
      </c>
      <c r="BP38" s="695">
        <f>'Hodnocení '!BP34</f>
        <v>777000</v>
      </c>
      <c r="BQ38" s="695">
        <f>'Hodnocení '!BQ34</f>
        <v>0</v>
      </c>
      <c r="BR38" s="695">
        <f>'Hodnocení '!BR34</f>
        <v>80000</v>
      </c>
      <c r="BS38" s="695">
        <f>'Hodnocení '!BS34</f>
        <v>169000</v>
      </c>
      <c r="BT38" s="695">
        <f>'Hodnocení '!BT34</f>
        <v>156000</v>
      </c>
      <c r="BU38" s="695">
        <f>'Hodnocení '!BU34</f>
        <v>1150000</v>
      </c>
      <c r="BV38" s="695">
        <f>'Hodnocení '!BV34</f>
        <v>0</v>
      </c>
      <c r="BW38" s="695">
        <f>'Hodnocení '!BW34</f>
        <v>0</v>
      </c>
      <c r="BX38" s="695">
        <f>'Hodnocení '!BX34</f>
        <v>1250000</v>
      </c>
      <c r="BY38" s="695">
        <f>'Hodnocení '!BY34</f>
        <v>710000</v>
      </c>
      <c r="BZ38" s="695">
        <f>'Hodnocení '!BZ34</f>
        <v>150000</v>
      </c>
      <c r="CA38" s="695">
        <f>'Hodnocení '!CA34</f>
        <v>0</v>
      </c>
      <c r="CB38" s="695">
        <f>'Hodnocení '!CB34</f>
        <v>0</v>
      </c>
      <c r="CC38" s="695">
        <f>'Hodnocení '!CC34</f>
        <v>296000</v>
      </c>
      <c r="CD38" s="695">
        <f>'Hodnocení '!CD34</f>
        <v>156000</v>
      </c>
      <c r="CE38" s="695">
        <f>'Hodnocení '!CE34</f>
        <v>3761706</v>
      </c>
      <c r="CF38" s="695">
        <f>'Hodnocení '!CF34</f>
        <v>354000</v>
      </c>
      <c r="CG38" s="695">
        <f>'Hodnocení '!CG34</f>
        <v>1703000</v>
      </c>
      <c r="CH38" s="695">
        <f>'Hodnocení '!CH34</f>
        <v>764000</v>
      </c>
      <c r="CI38" s="695">
        <f>'Hodnocení '!CI34</f>
        <v>112000</v>
      </c>
      <c r="CJ38" s="695">
        <f>'Hodnocení '!CJ34</f>
        <v>661000</v>
      </c>
      <c r="CK38" s="695">
        <f>'Hodnocení '!CK34</f>
        <v>575000</v>
      </c>
      <c r="CL38" s="695">
        <f>'Hodnocení '!CL34</f>
        <v>521000</v>
      </c>
      <c r="CM38" s="695">
        <f>'Hodnocení '!CM34</f>
        <v>939500</v>
      </c>
      <c r="CN38" s="695">
        <f>'Hodnocení '!CN34</f>
        <v>165000</v>
      </c>
      <c r="CO38" s="695">
        <f>'Hodnocení '!CO34</f>
        <v>250000</v>
      </c>
      <c r="CP38" s="695">
        <f>'Hodnocení '!CP34</f>
        <v>215000</v>
      </c>
      <c r="CQ38" s="695">
        <f>'Hodnocení '!CQ34</f>
        <v>552705</v>
      </c>
      <c r="CR38" s="695">
        <f>'Hodnocení '!CR34</f>
        <v>0</v>
      </c>
      <c r="CS38" s="695">
        <f>'Hodnocení '!CS34</f>
        <v>0</v>
      </c>
      <c r="CT38" s="695">
        <f>'Hodnocení '!CT34</f>
        <v>600000</v>
      </c>
      <c r="CU38" s="695">
        <f>'Hodnocení '!CU34</f>
        <v>91500</v>
      </c>
      <c r="CV38" s="695">
        <f>'Hodnocení '!CV34</f>
        <v>127500</v>
      </c>
      <c r="CW38" s="695">
        <f>'Hodnocení '!CW34</f>
        <v>0</v>
      </c>
      <c r="CX38" s="695">
        <f>'Hodnocení '!CX34</f>
        <v>373468</v>
      </c>
      <c r="CY38" s="695">
        <f>'Hodnocení '!CY34</f>
        <v>277673</v>
      </c>
      <c r="CZ38" s="695">
        <f>'Hodnocení '!CZ34</f>
        <v>50000</v>
      </c>
      <c r="DA38" s="695">
        <f>'Hodnocení '!DA34</f>
        <v>0</v>
      </c>
      <c r="DB38" s="695">
        <f>'Hodnocení '!DB34</f>
        <v>200000</v>
      </c>
      <c r="DC38" s="695">
        <f>'Hodnocení '!DC34</f>
        <v>265000</v>
      </c>
      <c r="DD38" s="695">
        <f>'Hodnocení '!DD34</f>
        <v>90000</v>
      </c>
      <c r="DE38" s="695">
        <f>'Hodnocení '!DE34</f>
        <v>201800</v>
      </c>
      <c r="DF38" s="695">
        <f>'Hodnocení '!DF34</f>
        <v>250000</v>
      </c>
      <c r="DG38" s="695">
        <f>'Hodnocení '!DG34</f>
        <v>0</v>
      </c>
      <c r="DH38" s="695">
        <f>'Hodnocení '!DH34</f>
        <v>100000</v>
      </c>
      <c r="DI38" s="695">
        <f>'Hodnocení '!DI34</f>
        <v>33480</v>
      </c>
      <c r="DJ38" s="695">
        <f>'Hodnocení '!DJ34</f>
        <v>90000</v>
      </c>
      <c r="DK38" s="695">
        <f>'Hodnocení '!DK34</f>
        <v>42480</v>
      </c>
      <c r="DL38" s="695">
        <f>'Hodnocení '!DL34</f>
        <v>370000</v>
      </c>
      <c r="DM38" s="695">
        <f>'Hodnocení '!DM34</f>
        <v>508000</v>
      </c>
      <c r="DN38" s="695">
        <f>'Hodnocení '!DN34</f>
        <v>455000</v>
      </c>
      <c r="DO38" s="695">
        <f>'Hodnocení '!DO34</f>
        <v>0</v>
      </c>
      <c r="DP38" s="695">
        <f>'Hodnocení '!DP34</f>
        <v>383000</v>
      </c>
      <c r="DQ38" s="695">
        <f>'Hodnocení '!DQ34</f>
        <v>274000</v>
      </c>
      <c r="DR38" s="695">
        <f>'Hodnocení '!DR34</f>
        <v>46000</v>
      </c>
      <c r="DS38" s="695">
        <f>'Hodnocení '!DS34</f>
        <v>0</v>
      </c>
      <c r="DT38" s="695">
        <f>'Hodnocení '!DT34</f>
        <v>0</v>
      </c>
      <c r="DU38" s="695">
        <f>'Hodnocení '!DU34</f>
        <v>160000</v>
      </c>
      <c r="DV38" s="695">
        <f>'Hodnocení '!DV34</f>
        <v>300000</v>
      </c>
      <c r="DW38" s="695">
        <f>'Hodnocení '!DW34</f>
        <v>0</v>
      </c>
      <c r="DX38" s="695">
        <f>'Hodnocení '!DX34</f>
        <v>300000</v>
      </c>
      <c r="DY38" s="695">
        <f>'Hodnocení '!DY34</f>
        <v>100000</v>
      </c>
      <c r="DZ38" s="695">
        <f>'Hodnocení '!DZ34</f>
        <v>0</v>
      </c>
      <c r="EA38" s="695">
        <f>'Hodnocení '!EA34</f>
        <v>120000</v>
      </c>
      <c r="EB38" s="695">
        <f>'Hodnocení '!EB34</f>
        <v>225000</v>
      </c>
      <c r="EC38" s="695">
        <f>'Hodnocení '!EC34</f>
        <v>121000</v>
      </c>
      <c r="ED38" s="695">
        <f>'Hodnocení '!ED34</f>
        <v>391000</v>
      </c>
      <c r="EE38" s="695">
        <f>'Hodnocení '!EE34</f>
        <v>70000</v>
      </c>
      <c r="EF38" s="695">
        <f>'Hodnocení '!EF34</f>
        <v>100000</v>
      </c>
      <c r="EG38" s="695">
        <f>'Hodnocení '!EG34</f>
        <v>10000</v>
      </c>
      <c r="EH38" s="695">
        <f>'Hodnocení '!EH34</f>
        <v>70000</v>
      </c>
      <c r="EI38" s="695">
        <f>'Hodnocení '!EI34</f>
        <v>110000</v>
      </c>
      <c r="EJ38" s="695">
        <f>'Hodnocení '!EJ34</f>
        <v>25000</v>
      </c>
      <c r="EK38" s="695">
        <f>'Hodnocení '!EK34</f>
        <v>616000</v>
      </c>
      <c r="EL38" s="695">
        <f>'Hodnocení '!EL34</f>
        <v>2899000</v>
      </c>
      <c r="EM38" s="695">
        <f>'Hodnocení '!EM34</f>
        <v>581000</v>
      </c>
      <c r="EN38" s="695">
        <f>'Hodnocení '!EN34</f>
        <v>0</v>
      </c>
      <c r="EO38" s="695">
        <f>'Hodnocení '!EO34</f>
        <v>15000</v>
      </c>
      <c r="EP38" s="695">
        <f>'Hodnocení '!EP34</f>
        <v>189045</v>
      </c>
      <c r="EQ38" s="695">
        <f>'Hodnocení '!EQ34</f>
        <v>30000</v>
      </c>
      <c r="ER38" s="695">
        <f>'Hodnocení '!ER34</f>
        <v>3375000</v>
      </c>
      <c r="ES38" s="695">
        <f>'Hodnocení '!ES34</f>
        <v>1068000</v>
      </c>
      <c r="ET38" s="695">
        <f>'Hodnocení '!ET34</f>
        <v>0</v>
      </c>
      <c r="EU38" s="695">
        <f>'Hodnocení '!EU34</f>
        <v>0</v>
      </c>
      <c r="EV38" s="695">
        <f>'Hodnocení '!EV34</f>
        <v>265000</v>
      </c>
      <c r="EW38" s="695">
        <f>'Hodnocení '!EW34</f>
        <v>2210000</v>
      </c>
      <c r="EX38" s="695">
        <f>'Hodnocení '!EX34</f>
        <v>2560000</v>
      </c>
      <c r="EY38" s="695">
        <f>'Hodnocení '!EY34</f>
        <v>720000</v>
      </c>
      <c r="EZ38" s="695">
        <f>'Hodnocení '!EZ34</f>
        <v>1578567</v>
      </c>
      <c r="FA38" s="695">
        <f>'Hodnocení '!FA34</f>
        <v>996261</v>
      </c>
      <c r="FB38" s="695">
        <f>'Hodnocení '!FB34</f>
        <v>0</v>
      </c>
      <c r="FC38" s="695">
        <f>'Hodnocení '!FC34</f>
        <v>5464500</v>
      </c>
      <c r="FD38" s="695">
        <f>'Hodnocení '!FD34</f>
        <v>1162000</v>
      </c>
      <c r="FE38" s="695">
        <f>'Hodnocení '!FE34</f>
        <v>668000</v>
      </c>
      <c r="FF38" s="695">
        <f>'Hodnocení '!FF34</f>
        <v>1000000</v>
      </c>
      <c r="FG38" s="695">
        <f>'Hodnocení '!FG34</f>
        <v>2431500</v>
      </c>
      <c r="FH38" s="695">
        <f>'Hodnocení '!FH34</f>
        <v>1641500</v>
      </c>
      <c r="FI38" s="695">
        <f>'Hodnocení '!FI34</f>
        <v>1200000</v>
      </c>
      <c r="FJ38" s="695">
        <f>'Hodnocení '!FJ34</f>
        <v>1177383</v>
      </c>
      <c r="FK38" s="695">
        <f>'Hodnocení '!FK34</f>
        <v>633403</v>
      </c>
      <c r="FL38" s="695">
        <f>'Hodnocení '!FL34</f>
        <v>451804</v>
      </c>
      <c r="FM38" s="695">
        <f>'Hodnocení '!FM34</f>
        <v>1813013</v>
      </c>
      <c r="FN38" s="695">
        <f>'Hodnocení '!FN34</f>
        <v>579850</v>
      </c>
      <c r="FO38" s="695">
        <f>'Hodnocení '!FO34</f>
        <v>775300</v>
      </c>
      <c r="FP38" s="695">
        <f>'Hodnocení '!FP34</f>
        <v>4118200</v>
      </c>
      <c r="FQ38" s="695">
        <f>'Hodnocení '!FQ34</f>
        <v>118200</v>
      </c>
      <c r="FR38" s="695">
        <f>'Hodnocení '!FR34</f>
        <v>0</v>
      </c>
      <c r="FS38" s="695">
        <f>'Hodnocení '!FS34</f>
        <v>205800</v>
      </c>
      <c r="FT38" s="695">
        <f>'Hodnocení '!FT34</f>
        <v>2240223.16</v>
      </c>
      <c r="FU38" s="695">
        <f>'Hodnocení '!FU34</f>
        <v>204301</v>
      </c>
      <c r="FV38" s="695">
        <f>'Hodnocení '!FV34</f>
        <v>1195099.6000000001</v>
      </c>
      <c r="FW38" s="695">
        <f>'Hodnocení '!FW34</f>
        <v>621321</v>
      </c>
      <c r="FX38" s="695">
        <f>'Hodnocení '!FX34</f>
        <v>402204.18</v>
      </c>
      <c r="FY38" s="695">
        <f>'Hodnocení '!FY34</f>
        <v>147190</v>
      </c>
      <c r="FZ38" s="695">
        <f>'Hodnocení '!FZ34</f>
        <v>4108306</v>
      </c>
      <c r="GA38" s="695">
        <f>'Hodnocení '!GA34</f>
        <v>1067400</v>
      </c>
      <c r="GB38" s="695">
        <f>'Hodnocení '!GB34</f>
        <v>1862794</v>
      </c>
      <c r="GC38" s="695">
        <f>'Hodnocení '!GC34</f>
        <v>1119616</v>
      </c>
      <c r="GD38" s="695">
        <f>'Hodnocení '!GD34</f>
        <v>2877384</v>
      </c>
      <c r="GE38" s="695">
        <f>'Hodnocení '!GE34</f>
        <v>760629</v>
      </c>
      <c r="GF38" s="695">
        <f>'Hodnocení '!GF34</f>
        <v>1389762</v>
      </c>
      <c r="GG38" s="695">
        <f>'Hodnocení '!GG34</f>
        <v>830000</v>
      </c>
      <c r="GH38" s="695">
        <f>'Hodnocení '!GH34</f>
        <v>480000</v>
      </c>
      <c r="GI38" s="695">
        <f>'Hodnocení '!GI34</f>
        <v>7145000</v>
      </c>
      <c r="GJ38" s="695">
        <f>'Hodnocení '!GJ34</f>
        <v>510780</v>
      </c>
      <c r="GK38" s="695">
        <f>'Hodnocení '!GK34</f>
        <v>583000</v>
      </c>
      <c r="GL38" s="695">
        <f>'Hodnocení '!GL34</f>
        <v>485000</v>
      </c>
      <c r="GM38" s="695">
        <f>'Hodnocení '!GM34</f>
        <v>495000</v>
      </c>
      <c r="GN38" s="695">
        <f>'Hodnocení '!GN34</f>
        <v>206397.66</v>
      </c>
      <c r="GO38" s="695">
        <f>'Hodnocení '!GO34</f>
        <v>1367400</v>
      </c>
      <c r="GP38" s="695">
        <f>'Hodnocení '!GP34</f>
        <v>1078336</v>
      </c>
      <c r="GQ38" s="695">
        <f>'Hodnocení '!GQ34</f>
        <v>1066404</v>
      </c>
      <c r="GR38" s="695">
        <f>'Hodnocení '!GR34</f>
        <v>1194960.3</v>
      </c>
      <c r="GS38" s="695">
        <f>'Hodnocení '!GS34</f>
        <v>849738.18</v>
      </c>
      <c r="GT38" s="695">
        <f>'Hodnocení '!GT34</f>
        <v>4859603</v>
      </c>
      <c r="GU38" s="695">
        <f>'Hodnocení '!GU34</f>
        <v>384000</v>
      </c>
      <c r="GV38" s="695">
        <f>'Hodnocení '!GV34</f>
        <v>0</v>
      </c>
      <c r="GW38" s="695">
        <f>'Hodnocení '!GW34</f>
        <v>1188833</v>
      </c>
      <c r="GX38" s="695">
        <f>'Hodnocení '!GX34</f>
        <v>503673.85</v>
      </c>
      <c r="GY38" s="695">
        <f>'Hodnocení '!GY34</f>
        <v>12590000</v>
      </c>
      <c r="GZ38" s="695">
        <f>'Hodnocení '!GZ34</f>
        <v>0</v>
      </c>
      <c r="HA38" s="695">
        <f>'Hodnocení '!HA34</f>
        <v>7000000</v>
      </c>
      <c r="HB38" s="695">
        <f>'Hodnocení '!HB34</f>
        <v>9050000</v>
      </c>
      <c r="HC38" s="695">
        <f>'Hodnocení '!HC34</f>
        <v>4550967</v>
      </c>
      <c r="HD38" s="695">
        <f>'Hodnocení '!HD34</f>
        <v>1897307</v>
      </c>
      <c r="HE38" s="695">
        <f>'Hodnocení '!HE34</f>
        <v>2971345</v>
      </c>
      <c r="HF38" s="695">
        <f>'Hodnocení '!HF34</f>
        <v>1230257</v>
      </c>
      <c r="HG38" s="695">
        <f>'Hodnocení '!HG34</f>
        <v>405927.64</v>
      </c>
      <c r="HH38" s="695">
        <f>'Hodnocení '!HH34</f>
        <v>1476086.36</v>
      </c>
      <c r="HI38" s="695">
        <f>'Hodnocení '!HI34</f>
        <v>2109180.7599999998</v>
      </c>
      <c r="HJ38" s="695">
        <f>'Hodnocení '!HJ34</f>
        <v>161984.95999999999</v>
      </c>
      <c r="HK38" s="695">
        <f>'Hodnocení '!HK34</f>
        <v>700000</v>
      </c>
      <c r="HL38" s="695">
        <f>'Hodnocení '!HL34</f>
        <v>0</v>
      </c>
      <c r="HM38" s="695">
        <f>'Hodnocení '!HM34</f>
        <v>0</v>
      </c>
      <c r="HN38" s="695">
        <f>'Hodnocení '!HN34</f>
        <v>0</v>
      </c>
      <c r="HO38" s="695">
        <f>'Hodnocení '!HO34</f>
        <v>0</v>
      </c>
      <c r="HP38" s="695">
        <f>'Hodnocení '!HP34</f>
        <v>0</v>
      </c>
      <c r="HQ38" s="695">
        <f>'Hodnocení '!HQ34</f>
        <v>0</v>
      </c>
      <c r="HR38" s="695">
        <f>'Hodnocení '!HR34</f>
        <v>0</v>
      </c>
      <c r="HS38" s="695">
        <f>'Hodnocení '!HS34</f>
        <v>0</v>
      </c>
      <c r="HT38" s="695">
        <f>'Hodnocení '!HT34</f>
        <v>0</v>
      </c>
      <c r="HU38" s="695">
        <f>'Hodnocení '!HU34</f>
        <v>48866</v>
      </c>
      <c r="HV38" s="695">
        <f>'Hodnocení '!HV34</f>
        <v>0</v>
      </c>
      <c r="HW38" s="695">
        <f>'Hodnocení '!HW34</f>
        <v>0</v>
      </c>
      <c r="HX38" s="695">
        <f>'Hodnocení '!HX34</f>
        <v>0</v>
      </c>
      <c r="HY38" s="695">
        <f>'Hodnocení '!HY34</f>
        <v>10000</v>
      </c>
      <c r="HZ38" s="695">
        <f>'Hodnocení '!HZ34</f>
        <v>0</v>
      </c>
      <c r="IA38" s="695">
        <f>'Hodnocení '!IA34</f>
        <v>0</v>
      </c>
      <c r="IB38" s="695">
        <f>'Hodnocení '!IB34</f>
        <v>0</v>
      </c>
      <c r="IC38" s="695">
        <f>'Hodnocení '!IC34</f>
        <v>0</v>
      </c>
      <c r="ID38" s="695">
        <f>'Hodnocení '!ID34</f>
        <v>0</v>
      </c>
      <c r="IE38" s="695">
        <f>'Hodnocení '!IE34</f>
        <v>0</v>
      </c>
      <c r="IF38" s="695">
        <f>'Hodnocení '!IF34</f>
        <v>0</v>
      </c>
      <c r="IG38" s="695">
        <f>'Hodnocení '!IG34</f>
        <v>0</v>
      </c>
      <c r="IH38" s="695">
        <f>'Hodnocení '!IH34</f>
        <v>0</v>
      </c>
      <c r="II38" s="695">
        <f>'Hodnocení '!II34</f>
        <v>0</v>
      </c>
      <c r="IJ38" s="695">
        <f>'Hodnocení '!IJ34</f>
        <v>0</v>
      </c>
      <c r="IK38" s="695">
        <f>'Hodnocení '!IK34</f>
        <v>0</v>
      </c>
      <c r="IL38" s="695">
        <f>'Hodnocení '!IL34</f>
        <v>0</v>
      </c>
      <c r="IM38" s="695">
        <f>'Hodnocení '!IM34</f>
        <v>0</v>
      </c>
      <c r="IN38" s="695">
        <f>'Hodnocení '!IN34</f>
        <v>0</v>
      </c>
      <c r="IO38" s="695">
        <f>'Hodnocení '!IO34</f>
        <v>0</v>
      </c>
      <c r="IP38" s="695">
        <f>'Hodnocení '!IP34</f>
        <v>0</v>
      </c>
      <c r="IQ38" s="695">
        <f>'Hodnocení '!IQ34</f>
        <v>0</v>
      </c>
      <c r="IR38" s="695">
        <f>'Hodnocení '!IR34</f>
        <v>0</v>
      </c>
      <c r="IS38" s="695">
        <f>'Hodnocení '!IS34</f>
        <v>0</v>
      </c>
      <c r="IT38" s="695">
        <f>'Hodnocení '!IT34</f>
        <v>0</v>
      </c>
      <c r="IU38" s="695">
        <f>'Hodnocení '!IU34</f>
        <v>0</v>
      </c>
      <c r="IV38" s="695">
        <f>'Hodnocení '!IV34</f>
        <v>0</v>
      </c>
      <c r="IW38" s="695">
        <f>'Hodnocení '!IW34</f>
        <v>0</v>
      </c>
      <c r="IX38" s="695">
        <f>'Hodnocení '!IX34</f>
        <v>0</v>
      </c>
      <c r="IY38" s="695">
        <f>'Hodnocení '!IY34</f>
        <v>0</v>
      </c>
      <c r="IZ38" s="695">
        <f>'Hodnocení '!IZ34</f>
        <v>0</v>
      </c>
      <c r="JA38" s="695">
        <f>'Hodnocení '!JA34</f>
        <v>78000</v>
      </c>
      <c r="JB38" s="695">
        <f>'Hodnocení '!JB34</f>
        <v>160000</v>
      </c>
      <c r="JC38" s="695">
        <f>'Hodnocení '!JC34</f>
        <v>80000</v>
      </c>
      <c r="JD38" s="695">
        <f>'Hodnocení '!JD34</f>
        <v>90000</v>
      </c>
      <c r="JE38" s="695">
        <f>'Hodnocení '!JE34</f>
        <v>0</v>
      </c>
      <c r="JF38" s="695">
        <f>'Hodnocení '!JF34</f>
        <v>0</v>
      </c>
      <c r="JG38" s="695">
        <f>'Hodnocení '!JG34</f>
        <v>21000</v>
      </c>
      <c r="JH38" s="790">
        <f>'Hodnocení '!JH34</f>
        <v>0</v>
      </c>
      <c r="JI38" s="762">
        <f>'Hodnocení '!JI34</f>
        <v>166840569.65000001</v>
      </c>
      <c r="JL38" s="307">
        <f t="shared" si="36"/>
        <v>370000</v>
      </c>
      <c r="JM38" s="307">
        <f t="shared" si="36"/>
        <v>48845011</v>
      </c>
      <c r="JN38" s="307">
        <f t="shared" si="36"/>
        <v>117137692.64999998</v>
      </c>
      <c r="JO38" s="307">
        <f t="shared" si="36"/>
        <v>487866</v>
      </c>
      <c r="JP38" s="307">
        <f t="shared" si="37"/>
        <v>166840569.64999998</v>
      </c>
    </row>
    <row r="39" spans="1:276" hidden="1" x14ac:dyDescent="0.25">
      <c r="B39" s="733"/>
      <c r="C39" s="779">
        <f>'Hodnocení '!C35</f>
        <v>0</v>
      </c>
      <c r="D39" s="479">
        <f>'Hodnocení '!D35</f>
        <v>0</v>
      </c>
      <c r="E39" s="479">
        <f>'Hodnocení '!E35</f>
        <v>0</v>
      </c>
      <c r="F39" s="479">
        <f>'Hodnocení '!F35</f>
        <v>0</v>
      </c>
      <c r="G39" s="479">
        <f>'Hodnocení '!G35</f>
        <v>0</v>
      </c>
      <c r="H39" s="479">
        <f>'Hodnocení '!H35</f>
        <v>0</v>
      </c>
      <c r="I39" s="479">
        <f>'Hodnocení '!I35</f>
        <v>0</v>
      </c>
      <c r="J39" s="479">
        <f>'Hodnocení '!J35</f>
        <v>0</v>
      </c>
      <c r="K39" s="479">
        <f>'Hodnocení '!K35</f>
        <v>0</v>
      </c>
      <c r="L39" s="479">
        <f>'Hodnocení '!L35</f>
        <v>0</v>
      </c>
      <c r="M39" s="479">
        <f>'Hodnocení '!M35</f>
        <v>0</v>
      </c>
      <c r="N39" s="479">
        <f>'Hodnocení '!N35</f>
        <v>0</v>
      </c>
      <c r="O39" s="479">
        <f>'Hodnocení '!O35</f>
        <v>0</v>
      </c>
      <c r="P39" s="479">
        <f>'Hodnocení '!P35</f>
        <v>0</v>
      </c>
      <c r="Q39" s="479">
        <f>'Hodnocení '!Q35</f>
        <v>0</v>
      </c>
      <c r="R39" s="479">
        <f>'Hodnocení '!R35</f>
        <v>0</v>
      </c>
      <c r="S39" s="479">
        <f>'Hodnocení '!S35</f>
        <v>0</v>
      </c>
      <c r="T39" s="479">
        <f>'Hodnocení '!T35</f>
        <v>0</v>
      </c>
      <c r="U39" s="479">
        <f>'Hodnocení '!U35</f>
        <v>0</v>
      </c>
      <c r="V39" s="479">
        <f>'Hodnocení '!V35</f>
        <v>0</v>
      </c>
      <c r="W39" s="479">
        <f>'Hodnocení '!W35</f>
        <v>0</v>
      </c>
      <c r="X39" s="479">
        <f>'Hodnocení '!X35</f>
        <v>0</v>
      </c>
      <c r="Y39" s="479">
        <f>'Hodnocení '!Y35</f>
        <v>0</v>
      </c>
      <c r="Z39" s="479">
        <f>'Hodnocení '!Z35</f>
        <v>0</v>
      </c>
      <c r="AA39" s="479">
        <f>'Hodnocení '!AA35</f>
        <v>0</v>
      </c>
      <c r="AB39" s="479">
        <f>'Hodnocení '!AB35</f>
        <v>0</v>
      </c>
      <c r="AC39" s="479">
        <f>'Hodnocení '!AC35</f>
        <v>0</v>
      </c>
      <c r="AD39" s="479">
        <f>'Hodnocení '!AD35</f>
        <v>0</v>
      </c>
      <c r="AE39" s="479">
        <f>'Hodnocení '!AE35</f>
        <v>0</v>
      </c>
      <c r="AF39" s="479">
        <f>'Hodnocení '!AF35</f>
        <v>0</v>
      </c>
      <c r="AG39" s="479">
        <f>'Hodnocení '!AG35</f>
        <v>0</v>
      </c>
      <c r="AH39" s="479">
        <f>'Hodnocení '!AH35</f>
        <v>0</v>
      </c>
      <c r="AI39" s="479">
        <f>'Hodnocení '!AI35</f>
        <v>0</v>
      </c>
      <c r="AJ39" s="479">
        <f>'Hodnocení '!AJ35</f>
        <v>0</v>
      </c>
      <c r="AK39" s="479">
        <f>'Hodnocení '!AK35</f>
        <v>0</v>
      </c>
      <c r="AL39" s="479">
        <f>'Hodnocení '!AL35</f>
        <v>0</v>
      </c>
      <c r="AM39" s="479">
        <f>'Hodnocení '!AM35</f>
        <v>0</v>
      </c>
      <c r="AN39" s="479">
        <f>'Hodnocení '!AN35</f>
        <v>0</v>
      </c>
      <c r="AO39" s="479">
        <f>'Hodnocení '!AO35</f>
        <v>0</v>
      </c>
      <c r="AP39" s="479">
        <f>'Hodnocení '!AP35</f>
        <v>0</v>
      </c>
      <c r="AQ39" s="479">
        <f>'Hodnocení '!AQ35</f>
        <v>0</v>
      </c>
      <c r="AR39" s="479">
        <f>'Hodnocení '!AR35</f>
        <v>0</v>
      </c>
      <c r="AS39" s="479">
        <f>'Hodnocení '!AS35</f>
        <v>0</v>
      </c>
      <c r="AT39" s="479">
        <f>'Hodnocení '!AT35</f>
        <v>0</v>
      </c>
      <c r="AU39" s="479">
        <f>'Hodnocení '!AU35</f>
        <v>0</v>
      </c>
      <c r="AV39" s="479">
        <f>'Hodnocení '!AV35</f>
        <v>0</v>
      </c>
      <c r="AW39" s="479">
        <f>'Hodnocení '!AW35</f>
        <v>0</v>
      </c>
      <c r="AX39" s="479">
        <f>'Hodnocení '!AX35</f>
        <v>0</v>
      </c>
      <c r="AY39" s="479">
        <f>'Hodnocení '!AY35</f>
        <v>0</v>
      </c>
      <c r="AZ39" s="479">
        <f>'Hodnocení '!AZ35</f>
        <v>0</v>
      </c>
      <c r="BA39" s="479">
        <f>'Hodnocení '!BA35</f>
        <v>0</v>
      </c>
      <c r="BB39" s="479">
        <f>'Hodnocení '!BB35</f>
        <v>0</v>
      </c>
      <c r="BC39" s="479">
        <f>'Hodnocení '!BC35</f>
        <v>0</v>
      </c>
      <c r="BD39" s="479">
        <f>'Hodnocení '!BD35</f>
        <v>0</v>
      </c>
      <c r="BE39" s="479">
        <f>'Hodnocení '!BE35</f>
        <v>0</v>
      </c>
      <c r="BF39" s="479">
        <f>'Hodnocení '!BF35</f>
        <v>0</v>
      </c>
      <c r="BG39" s="479">
        <f>'Hodnocení '!BG35</f>
        <v>0</v>
      </c>
      <c r="BH39" s="479">
        <f>'Hodnocení '!BH35</f>
        <v>0</v>
      </c>
      <c r="BI39" s="479">
        <f>'Hodnocení '!BI35</f>
        <v>0</v>
      </c>
      <c r="BJ39" s="479">
        <f>'Hodnocení '!BJ35</f>
        <v>0</v>
      </c>
      <c r="BK39" s="479">
        <f>'Hodnocení '!BK35</f>
        <v>0</v>
      </c>
      <c r="BL39" s="479">
        <f>'Hodnocení '!BL35</f>
        <v>0</v>
      </c>
      <c r="BM39" s="479">
        <f>'Hodnocení '!BM35</f>
        <v>0</v>
      </c>
      <c r="BN39" s="479">
        <f>'Hodnocení '!BN35</f>
        <v>0</v>
      </c>
      <c r="BO39" s="479">
        <f>'Hodnocení '!BO35</f>
        <v>0</v>
      </c>
      <c r="BP39" s="479">
        <f>'Hodnocení '!BP35</f>
        <v>0</v>
      </c>
      <c r="BQ39" s="479">
        <f>'Hodnocení '!BQ35</f>
        <v>0</v>
      </c>
      <c r="BR39" s="479">
        <f>'Hodnocení '!BR35</f>
        <v>0</v>
      </c>
      <c r="BS39" s="479">
        <f>'Hodnocení '!BS35</f>
        <v>0</v>
      </c>
      <c r="BT39" s="479">
        <f>'Hodnocení '!BT35</f>
        <v>0</v>
      </c>
      <c r="BU39" s="479">
        <f>'Hodnocení '!BU35</f>
        <v>0</v>
      </c>
      <c r="BV39" s="479">
        <f>'Hodnocení '!BV35</f>
        <v>0</v>
      </c>
      <c r="BW39" s="479">
        <f>'Hodnocení '!BW35</f>
        <v>0</v>
      </c>
      <c r="BX39" s="479">
        <f>'Hodnocení '!BX35</f>
        <v>0</v>
      </c>
      <c r="BY39" s="479">
        <f>'Hodnocení '!BY35</f>
        <v>0</v>
      </c>
      <c r="BZ39" s="479">
        <f>'Hodnocení '!BZ35</f>
        <v>0</v>
      </c>
      <c r="CA39" s="479">
        <f>'Hodnocení '!CA35</f>
        <v>0</v>
      </c>
      <c r="CB39" s="479">
        <f>'Hodnocení '!CB35</f>
        <v>0</v>
      </c>
      <c r="CC39" s="479">
        <f>'Hodnocení '!CC35</f>
        <v>0</v>
      </c>
      <c r="CD39" s="479">
        <f>'Hodnocení '!CD35</f>
        <v>0</v>
      </c>
      <c r="CE39" s="479">
        <f>'Hodnocení '!CE35</f>
        <v>0</v>
      </c>
      <c r="CF39" s="479">
        <f>'Hodnocení '!CF35</f>
        <v>0</v>
      </c>
      <c r="CG39" s="479">
        <f>'Hodnocení '!CG35</f>
        <v>0</v>
      </c>
      <c r="CH39" s="479">
        <f>'Hodnocení '!CH35</f>
        <v>0</v>
      </c>
      <c r="CI39" s="479">
        <f>'Hodnocení '!CI35</f>
        <v>0</v>
      </c>
      <c r="CJ39" s="479">
        <f>'Hodnocení '!CJ35</f>
        <v>0</v>
      </c>
      <c r="CK39" s="479">
        <f>'Hodnocení '!CK35</f>
        <v>0</v>
      </c>
      <c r="CL39" s="479">
        <f>'Hodnocení '!CL35</f>
        <v>0</v>
      </c>
      <c r="CM39" s="479">
        <f>'Hodnocení '!CM35</f>
        <v>0</v>
      </c>
      <c r="CN39" s="479">
        <f>'Hodnocení '!CN35</f>
        <v>0</v>
      </c>
      <c r="CO39" s="479">
        <f>'Hodnocení '!CO35</f>
        <v>0</v>
      </c>
      <c r="CP39" s="479">
        <f>'Hodnocení '!CP35</f>
        <v>0</v>
      </c>
      <c r="CQ39" s="479">
        <f>'Hodnocení '!CQ35</f>
        <v>0</v>
      </c>
      <c r="CR39" s="479">
        <f>'Hodnocení '!CR35</f>
        <v>0</v>
      </c>
      <c r="CS39" s="479">
        <f>'Hodnocení '!CS35</f>
        <v>0</v>
      </c>
      <c r="CT39" s="479">
        <f>'Hodnocení '!CT35</f>
        <v>0</v>
      </c>
      <c r="CU39" s="479">
        <f>'Hodnocení '!CU35</f>
        <v>0</v>
      </c>
      <c r="CV39" s="479">
        <f>'Hodnocení '!CV35</f>
        <v>0</v>
      </c>
      <c r="CW39" s="479">
        <f>'Hodnocení '!CW35</f>
        <v>0</v>
      </c>
      <c r="CX39" s="479">
        <f>'Hodnocení '!CX35</f>
        <v>0</v>
      </c>
      <c r="CY39" s="479">
        <f>'Hodnocení '!CY35</f>
        <v>0</v>
      </c>
      <c r="CZ39" s="479">
        <f>'Hodnocení '!CZ35</f>
        <v>0</v>
      </c>
      <c r="DA39" s="479">
        <f>'Hodnocení '!DA35</f>
        <v>0</v>
      </c>
      <c r="DB39" s="479">
        <f>'Hodnocení '!DB35</f>
        <v>0</v>
      </c>
      <c r="DC39" s="479">
        <f>'Hodnocení '!DC35</f>
        <v>0</v>
      </c>
      <c r="DD39" s="479">
        <f>'Hodnocení '!DD35</f>
        <v>0</v>
      </c>
      <c r="DE39" s="479">
        <f>'Hodnocení '!DE35</f>
        <v>0</v>
      </c>
      <c r="DF39" s="479">
        <f>'Hodnocení '!DF35</f>
        <v>0</v>
      </c>
      <c r="DG39" s="479">
        <f>'Hodnocení '!DG35</f>
        <v>0</v>
      </c>
      <c r="DH39" s="479">
        <f>'Hodnocení '!DH35</f>
        <v>0</v>
      </c>
      <c r="DI39" s="479">
        <f>'Hodnocení '!DI35</f>
        <v>0</v>
      </c>
      <c r="DJ39" s="479">
        <f>'Hodnocení '!DJ35</f>
        <v>0</v>
      </c>
      <c r="DK39" s="479">
        <f>'Hodnocení '!DK35</f>
        <v>0</v>
      </c>
      <c r="DL39" s="479">
        <f>'Hodnocení '!DL35</f>
        <v>0</v>
      </c>
      <c r="DM39" s="479">
        <f>'Hodnocení '!DM35</f>
        <v>0</v>
      </c>
      <c r="DN39" s="479">
        <f>'Hodnocení '!DN35</f>
        <v>0</v>
      </c>
      <c r="DO39" s="479">
        <f>'Hodnocení '!DO35</f>
        <v>0</v>
      </c>
      <c r="DP39" s="479">
        <f>'Hodnocení '!DP35</f>
        <v>0</v>
      </c>
      <c r="DQ39" s="479">
        <f>'Hodnocení '!DQ35</f>
        <v>0</v>
      </c>
      <c r="DR39" s="479">
        <f>'Hodnocení '!DR35</f>
        <v>0</v>
      </c>
      <c r="DS39" s="479">
        <f>'Hodnocení '!DS35</f>
        <v>0</v>
      </c>
      <c r="DT39" s="479">
        <f>'Hodnocení '!DT35</f>
        <v>0</v>
      </c>
      <c r="DU39" s="479">
        <f>'Hodnocení '!DU35</f>
        <v>0</v>
      </c>
      <c r="DV39" s="479">
        <f>'Hodnocení '!DV35</f>
        <v>0</v>
      </c>
      <c r="DW39" s="479">
        <f>'Hodnocení '!DW35</f>
        <v>0</v>
      </c>
      <c r="DX39" s="479">
        <f>'Hodnocení '!DX35</f>
        <v>0</v>
      </c>
      <c r="DY39" s="479">
        <f>'Hodnocení '!DY35</f>
        <v>0</v>
      </c>
      <c r="DZ39" s="479">
        <f>'Hodnocení '!DZ35</f>
        <v>0</v>
      </c>
      <c r="EA39" s="479">
        <f>'Hodnocení '!EA35</f>
        <v>0</v>
      </c>
      <c r="EB39" s="479">
        <f>'Hodnocení '!EB35</f>
        <v>0</v>
      </c>
      <c r="EC39" s="479">
        <f>'Hodnocení '!EC35</f>
        <v>0</v>
      </c>
      <c r="ED39" s="479">
        <f>'Hodnocení '!ED35</f>
        <v>0</v>
      </c>
      <c r="EE39" s="479">
        <f>'Hodnocení '!EE35</f>
        <v>0</v>
      </c>
      <c r="EF39" s="479">
        <f>'Hodnocení '!EF35</f>
        <v>0</v>
      </c>
      <c r="EG39" s="479">
        <f>'Hodnocení '!EG35</f>
        <v>0</v>
      </c>
      <c r="EH39" s="479">
        <f>'Hodnocení '!EH35</f>
        <v>0</v>
      </c>
      <c r="EI39" s="479">
        <f>'Hodnocení '!EI35</f>
        <v>0</v>
      </c>
      <c r="EJ39" s="479">
        <f>'Hodnocení '!EJ35</f>
        <v>0</v>
      </c>
      <c r="EK39" s="479">
        <f>'Hodnocení '!EK35</f>
        <v>0</v>
      </c>
      <c r="EL39" s="479">
        <f>'Hodnocení '!EL35</f>
        <v>0</v>
      </c>
      <c r="EM39" s="479">
        <f>'Hodnocení '!EM35</f>
        <v>0</v>
      </c>
      <c r="EN39" s="479">
        <f>'Hodnocení '!EN35</f>
        <v>0</v>
      </c>
      <c r="EO39" s="479">
        <f>'Hodnocení '!EO35</f>
        <v>0</v>
      </c>
      <c r="EP39" s="479">
        <f>'Hodnocení '!EP35</f>
        <v>0</v>
      </c>
      <c r="EQ39" s="479">
        <f>'Hodnocení '!EQ35</f>
        <v>0</v>
      </c>
      <c r="ER39" s="479">
        <f>'Hodnocení '!ER35</f>
        <v>0</v>
      </c>
      <c r="ES39" s="479">
        <f>'Hodnocení '!ES35</f>
        <v>0</v>
      </c>
      <c r="ET39" s="479">
        <f>'Hodnocení '!ET35</f>
        <v>0</v>
      </c>
      <c r="EU39" s="479">
        <f>'Hodnocení '!EU35</f>
        <v>0</v>
      </c>
      <c r="EV39" s="479">
        <f>'Hodnocení '!EV35</f>
        <v>0</v>
      </c>
      <c r="EW39" s="479">
        <f>'Hodnocení '!EW35</f>
        <v>0</v>
      </c>
      <c r="EX39" s="479">
        <f>'Hodnocení '!EX35</f>
        <v>0</v>
      </c>
      <c r="EY39" s="479">
        <f>'Hodnocení '!EY35</f>
        <v>0</v>
      </c>
      <c r="EZ39" s="479">
        <f>'Hodnocení '!EZ35</f>
        <v>0</v>
      </c>
      <c r="FA39" s="479">
        <f>'Hodnocení '!FA35</f>
        <v>0</v>
      </c>
      <c r="FB39" s="479">
        <f>'Hodnocení '!FB35</f>
        <v>0</v>
      </c>
      <c r="FC39" s="479">
        <f>'Hodnocení '!FC35</f>
        <v>0</v>
      </c>
      <c r="FD39" s="479">
        <f>'Hodnocení '!FD35</f>
        <v>0</v>
      </c>
      <c r="FE39" s="479">
        <f>'Hodnocení '!FE35</f>
        <v>0</v>
      </c>
      <c r="FF39" s="479">
        <f>'Hodnocení '!FF35</f>
        <v>0</v>
      </c>
      <c r="FG39" s="479">
        <f>'Hodnocení '!FG35</f>
        <v>0</v>
      </c>
      <c r="FH39" s="479">
        <f>'Hodnocení '!FH35</f>
        <v>0</v>
      </c>
      <c r="FI39" s="479">
        <f>'Hodnocení '!FI35</f>
        <v>0</v>
      </c>
      <c r="FJ39" s="479">
        <f>'Hodnocení '!FJ35</f>
        <v>0</v>
      </c>
      <c r="FK39" s="479">
        <f>'Hodnocení '!FK35</f>
        <v>0</v>
      </c>
      <c r="FL39" s="479">
        <f>'Hodnocení '!FL35</f>
        <v>0</v>
      </c>
      <c r="FM39" s="479">
        <f>'Hodnocení '!FM35</f>
        <v>0</v>
      </c>
      <c r="FN39" s="479">
        <f>'Hodnocení '!FN35</f>
        <v>0</v>
      </c>
      <c r="FO39" s="479">
        <f>'Hodnocení '!FO35</f>
        <v>0</v>
      </c>
      <c r="FP39" s="479">
        <f>'Hodnocení '!FP35</f>
        <v>0</v>
      </c>
      <c r="FQ39" s="479">
        <f>'Hodnocení '!FQ35</f>
        <v>0</v>
      </c>
      <c r="FR39" s="479">
        <f>'Hodnocení '!FR35</f>
        <v>0</v>
      </c>
      <c r="FS39" s="479">
        <f>'Hodnocení '!FS35</f>
        <v>0</v>
      </c>
      <c r="FT39" s="479">
        <f>'Hodnocení '!FT35</f>
        <v>0</v>
      </c>
      <c r="FU39" s="479">
        <f>'Hodnocení '!FU35</f>
        <v>0</v>
      </c>
      <c r="FV39" s="479">
        <f>'Hodnocení '!FV35</f>
        <v>0</v>
      </c>
      <c r="FW39" s="479">
        <f>'Hodnocení '!FW35</f>
        <v>0</v>
      </c>
      <c r="FX39" s="479">
        <f>'Hodnocení '!FX35</f>
        <v>0</v>
      </c>
      <c r="FY39" s="479">
        <f>'Hodnocení '!FY35</f>
        <v>0</v>
      </c>
      <c r="FZ39" s="479">
        <f>'Hodnocení '!FZ35</f>
        <v>0</v>
      </c>
      <c r="GA39" s="479">
        <f>'Hodnocení '!GA35</f>
        <v>0</v>
      </c>
      <c r="GB39" s="479">
        <f>'Hodnocení '!GB35</f>
        <v>0</v>
      </c>
      <c r="GC39" s="479">
        <f>'Hodnocení '!GC35</f>
        <v>0</v>
      </c>
      <c r="GD39" s="479">
        <f>'Hodnocení '!GD35</f>
        <v>0</v>
      </c>
      <c r="GE39" s="479">
        <f>'Hodnocení '!GE35</f>
        <v>0</v>
      </c>
      <c r="GF39" s="479">
        <f>'Hodnocení '!GF35</f>
        <v>0</v>
      </c>
      <c r="GG39" s="479">
        <f>'Hodnocení '!GG35</f>
        <v>0</v>
      </c>
      <c r="GH39" s="479">
        <f>'Hodnocení '!GH35</f>
        <v>0</v>
      </c>
      <c r="GI39" s="479">
        <f>'Hodnocení '!GI35</f>
        <v>0</v>
      </c>
      <c r="GJ39" s="479">
        <f>'Hodnocení '!GJ35</f>
        <v>0</v>
      </c>
      <c r="GK39" s="479">
        <f>'Hodnocení '!GK35</f>
        <v>0</v>
      </c>
      <c r="GL39" s="479">
        <f>'Hodnocení '!GL35</f>
        <v>0</v>
      </c>
      <c r="GM39" s="479">
        <f>'Hodnocení '!GM35</f>
        <v>0</v>
      </c>
      <c r="GN39" s="479">
        <f>'Hodnocení '!GN35</f>
        <v>0</v>
      </c>
      <c r="GO39" s="479">
        <f>'Hodnocení '!GO35</f>
        <v>0</v>
      </c>
      <c r="GP39" s="479">
        <f>'Hodnocení '!GP35</f>
        <v>0</v>
      </c>
      <c r="GQ39" s="479">
        <f>'Hodnocení '!GQ35</f>
        <v>0</v>
      </c>
      <c r="GR39" s="479">
        <f>'Hodnocení '!GR35</f>
        <v>0</v>
      </c>
      <c r="GS39" s="479">
        <f>'Hodnocení '!GS35</f>
        <v>0</v>
      </c>
      <c r="GT39" s="479">
        <f>'Hodnocení '!GT35</f>
        <v>0</v>
      </c>
      <c r="GU39" s="479">
        <f>'Hodnocení '!GU35</f>
        <v>0</v>
      </c>
      <c r="GV39" s="479">
        <f>'Hodnocení '!GV35</f>
        <v>0</v>
      </c>
      <c r="GW39" s="479">
        <f>'Hodnocení '!GW35</f>
        <v>0</v>
      </c>
      <c r="GX39" s="479">
        <f>'Hodnocení '!GX35</f>
        <v>0</v>
      </c>
      <c r="GY39" s="479">
        <f>'Hodnocení '!GY35</f>
        <v>0</v>
      </c>
      <c r="GZ39" s="479">
        <f>'Hodnocení '!GZ35</f>
        <v>0</v>
      </c>
      <c r="HA39" s="479">
        <f>'Hodnocení '!HA35</f>
        <v>0</v>
      </c>
      <c r="HB39" s="479">
        <f>'Hodnocení '!HB35</f>
        <v>0</v>
      </c>
      <c r="HC39" s="479">
        <f>'Hodnocení '!HC35</f>
        <v>0</v>
      </c>
      <c r="HD39" s="479">
        <f>'Hodnocení '!HD35</f>
        <v>0</v>
      </c>
      <c r="HE39" s="479">
        <f>'Hodnocení '!HE35</f>
        <v>0</v>
      </c>
      <c r="HF39" s="479">
        <f>'Hodnocení '!HF35</f>
        <v>0</v>
      </c>
      <c r="HG39" s="479">
        <f>'Hodnocení '!HG35</f>
        <v>0</v>
      </c>
      <c r="HH39" s="479">
        <f>'Hodnocení '!HH35</f>
        <v>0</v>
      </c>
      <c r="HI39" s="479">
        <f>'Hodnocení '!HI35</f>
        <v>0</v>
      </c>
      <c r="HJ39" s="479">
        <f>'Hodnocení '!HJ35</f>
        <v>0</v>
      </c>
      <c r="HK39" s="479">
        <f>'Hodnocení '!HK35</f>
        <v>0</v>
      </c>
      <c r="HL39" s="479">
        <f>'Hodnocení '!HL35</f>
        <v>0</v>
      </c>
      <c r="HM39" s="479">
        <f>'Hodnocení '!HM35</f>
        <v>0</v>
      </c>
      <c r="HN39" s="479">
        <f>'Hodnocení '!HN35</f>
        <v>0</v>
      </c>
      <c r="HO39" s="479">
        <f>'Hodnocení '!HO35</f>
        <v>0</v>
      </c>
      <c r="HP39" s="479">
        <f>'Hodnocení '!HP35</f>
        <v>0</v>
      </c>
      <c r="HQ39" s="479">
        <f>'Hodnocení '!HQ35</f>
        <v>0</v>
      </c>
      <c r="HR39" s="479">
        <f>'Hodnocení '!HR35</f>
        <v>0</v>
      </c>
      <c r="HS39" s="479">
        <f>'Hodnocení '!HS35</f>
        <v>0</v>
      </c>
      <c r="HT39" s="479">
        <f>'Hodnocení '!HT35</f>
        <v>0</v>
      </c>
      <c r="HU39" s="479">
        <f>'Hodnocení '!HU35</f>
        <v>0</v>
      </c>
      <c r="HV39" s="479">
        <f>'Hodnocení '!HV35</f>
        <v>0</v>
      </c>
      <c r="HW39" s="479">
        <f>'Hodnocení '!HW35</f>
        <v>0</v>
      </c>
      <c r="HX39" s="479">
        <f>'Hodnocení '!HX35</f>
        <v>0</v>
      </c>
      <c r="HY39" s="479">
        <f>'Hodnocení '!HY35</f>
        <v>0</v>
      </c>
      <c r="HZ39" s="479">
        <f>'Hodnocení '!HZ35</f>
        <v>0</v>
      </c>
      <c r="IA39" s="479">
        <f>'Hodnocení '!IA35</f>
        <v>0</v>
      </c>
      <c r="IB39" s="479">
        <f>'Hodnocení '!IB35</f>
        <v>0</v>
      </c>
      <c r="IC39" s="479">
        <f>'Hodnocení '!IC35</f>
        <v>0</v>
      </c>
      <c r="ID39" s="479">
        <f>'Hodnocení '!ID35</f>
        <v>0</v>
      </c>
      <c r="IE39" s="479">
        <f>'Hodnocení '!IE35</f>
        <v>0</v>
      </c>
      <c r="IF39" s="479">
        <f>'Hodnocení '!IF35</f>
        <v>0</v>
      </c>
      <c r="IG39" s="479">
        <f>'Hodnocení '!IG35</f>
        <v>0</v>
      </c>
      <c r="IH39" s="479">
        <f>'Hodnocení '!IH35</f>
        <v>0</v>
      </c>
      <c r="II39" s="479">
        <f>'Hodnocení '!II35</f>
        <v>0</v>
      </c>
      <c r="IJ39" s="479">
        <f>'Hodnocení '!IJ35</f>
        <v>0</v>
      </c>
      <c r="IK39" s="479">
        <f>'Hodnocení '!IK35</f>
        <v>0</v>
      </c>
      <c r="IL39" s="479">
        <f>'Hodnocení '!IL35</f>
        <v>0</v>
      </c>
      <c r="IM39" s="479">
        <f>'Hodnocení '!IM35</f>
        <v>0</v>
      </c>
      <c r="IN39" s="479">
        <f>'Hodnocení '!IN35</f>
        <v>0</v>
      </c>
      <c r="IO39" s="479">
        <f>'Hodnocení '!IO35</f>
        <v>0</v>
      </c>
      <c r="IP39" s="479">
        <f>'Hodnocení '!IP35</f>
        <v>0</v>
      </c>
      <c r="IQ39" s="479">
        <f>'Hodnocení '!IQ35</f>
        <v>0</v>
      </c>
      <c r="IR39" s="479">
        <f>'Hodnocení '!IR35</f>
        <v>0</v>
      </c>
      <c r="IS39" s="479">
        <f>'Hodnocení '!IS35</f>
        <v>0</v>
      </c>
      <c r="IT39" s="479">
        <f>'Hodnocení '!IT35</f>
        <v>0</v>
      </c>
      <c r="IU39" s="479">
        <f>'Hodnocení '!IU35</f>
        <v>0</v>
      </c>
      <c r="IV39" s="479">
        <f>'Hodnocení '!IV35</f>
        <v>0</v>
      </c>
      <c r="IW39" s="479">
        <f>'Hodnocení '!IW35</f>
        <v>0</v>
      </c>
      <c r="IX39" s="479">
        <f>'Hodnocení '!IX35</f>
        <v>0</v>
      </c>
      <c r="IY39" s="479">
        <f>'Hodnocení '!IY35</f>
        <v>0</v>
      </c>
      <c r="IZ39" s="479">
        <f>'Hodnocení '!IZ35</f>
        <v>0</v>
      </c>
      <c r="JA39" s="479">
        <f>'Hodnocení '!JA35</f>
        <v>0</v>
      </c>
      <c r="JB39" s="479">
        <f>'Hodnocení '!JB35</f>
        <v>0</v>
      </c>
      <c r="JC39" s="479">
        <f>'Hodnocení '!JC35</f>
        <v>0</v>
      </c>
      <c r="JD39" s="479">
        <f>'Hodnocení '!JD35</f>
        <v>0</v>
      </c>
      <c r="JE39" s="479">
        <f>'Hodnocení '!JE35</f>
        <v>0</v>
      </c>
      <c r="JF39" s="479">
        <f>'Hodnocení '!JF35</f>
        <v>0</v>
      </c>
      <c r="JG39" s="479">
        <f>'Hodnocení '!JG35</f>
        <v>0</v>
      </c>
      <c r="JH39" s="780">
        <f>'Hodnocení '!JH35</f>
        <v>0</v>
      </c>
      <c r="JI39" s="470">
        <f>'Hodnocení '!JI35</f>
        <v>0</v>
      </c>
    </row>
    <row r="40" spans="1:276" hidden="1" x14ac:dyDescent="0.25">
      <c r="B40" s="733" t="s">
        <v>1836</v>
      </c>
      <c r="C40" s="779">
        <f>'Hodnocení '!C36</f>
        <v>50000</v>
      </c>
      <c r="D40" s="479">
        <f>'Hodnocení '!D36</f>
        <v>300000</v>
      </c>
      <c r="E40" s="479">
        <f>'Hodnocení '!E36</f>
        <v>180000</v>
      </c>
      <c r="F40" s="479">
        <f>'Hodnocení '!F36</f>
        <v>362000</v>
      </c>
      <c r="G40" s="479">
        <f>'Hodnocení '!G36</f>
        <v>1426500</v>
      </c>
      <c r="H40" s="479">
        <f>'Hodnocení '!H36</f>
        <v>700000</v>
      </c>
      <c r="I40" s="479">
        <f>'Hodnocení '!I36</f>
        <v>719500</v>
      </c>
      <c r="J40" s="479">
        <f>'Hodnocení '!J36</f>
        <v>99900</v>
      </c>
      <c r="K40" s="479">
        <f>'Hodnocení '!K36</f>
        <v>20000</v>
      </c>
      <c r="L40" s="479">
        <f>'Hodnocení '!L36</f>
        <v>281750</v>
      </c>
      <c r="M40" s="479">
        <f>'Hodnocení '!M36</f>
        <v>316500</v>
      </c>
      <c r="N40" s="479">
        <f>'Hodnocení '!N36</f>
        <v>549000</v>
      </c>
      <c r="O40" s="479">
        <f>'Hodnocení '!O36</f>
        <v>307500</v>
      </c>
      <c r="P40" s="479">
        <f>'Hodnocení '!P36</f>
        <v>428000</v>
      </c>
      <c r="Q40" s="479">
        <f>'Hodnocení '!Q36</f>
        <v>169000</v>
      </c>
      <c r="R40" s="479">
        <f>'Hodnocení '!R36</f>
        <v>456000</v>
      </c>
      <c r="S40" s="479">
        <f>'Hodnocení '!S36</f>
        <v>116084</v>
      </c>
      <c r="T40" s="479">
        <f>'Hodnocení '!T36</f>
        <v>120000</v>
      </c>
      <c r="U40" s="479">
        <f>'Hodnocení '!U36</f>
        <v>165000</v>
      </c>
      <c r="V40" s="479">
        <f>'Hodnocení '!V36</f>
        <v>4317000</v>
      </c>
      <c r="W40" s="479">
        <f>'Hodnocení '!W36</f>
        <v>934000</v>
      </c>
      <c r="X40" s="479">
        <f>'Hodnocení '!X36</f>
        <v>122000</v>
      </c>
      <c r="Y40" s="479">
        <f>'Hodnocení '!Y36</f>
        <v>100000</v>
      </c>
      <c r="Z40" s="479">
        <f>'Hodnocení '!Z36</f>
        <v>0</v>
      </c>
      <c r="AA40" s="479">
        <f>'Hodnocení '!AA36</f>
        <v>295000</v>
      </c>
      <c r="AB40" s="479">
        <f>'Hodnocení '!AB36</f>
        <v>154334.58000000002</v>
      </c>
      <c r="AC40" s="479">
        <f>'Hodnocení '!AC36</f>
        <v>136928.35999999999</v>
      </c>
      <c r="AD40" s="479">
        <f>'Hodnocení '!AD36</f>
        <v>156800</v>
      </c>
      <c r="AE40" s="479">
        <f>'Hodnocení '!AE36</f>
        <v>88800</v>
      </c>
      <c r="AF40" s="479">
        <f>'Hodnocení '!AF36</f>
        <v>88800</v>
      </c>
      <c r="AG40" s="479">
        <f>'Hodnocení '!AG36</f>
        <v>267500</v>
      </c>
      <c r="AH40" s="479">
        <f>'Hodnocení '!AH36</f>
        <v>101700</v>
      </c>
      <c r="AI40" s="479">
        <f>'Hodnocení '!AI36</f>
        <v>117300</v>
      </c>
      <c r="AJ40" s="479">
        <f>'Hodnocení '!AJ36</f>
        <v>123700</v>
      </c>
      <c r="AK40" s="479">
        <f>'Hodnocení '!AK36</f>
        <v>0</v>
      </c>
      <c r="AL40" s="479">
        <f>'Hodnocení '!AL36</f>
        <v>204000</v>
      </c>
      <c r="AM40" s="479">
        <f>'Hodnocení '!AM36</f>
        <v>60116</v>
      </c>
      <c r="AN40" s="479">
        <f>'Hodnocení '!AN36</f>
        <v>95000</v>
      </c>
      <c r="AO40" s="479">
        <f>'Hodnocení '!AO36</f>
        <v>2581000</v>
      </c>
      <c r="AP40" s="479">
        <f>'Hodnocení '!AP36</f>
        <v>0</v>
      </c>
      <c r="AQ40" s="479">
        <f>'Hodnocení '!AQ36</f>
        <v>50000</v>
      </c>
      <c r="AR40" s="479">
        <f>'Hodnocení '!AR36</f>
        <v>139500</v>
      </c>
      <c r="AS40" s="479">
        <f>'Hodnocení '!AS36</f>
        <v>37000</v>
      </c>
      <c r="AT40" s="479">
        <f>'Hodnocení '!AT36</f>
        <v>169000</v>
      </c>
      <c r="AU40" s="479">
        <f>'Hodnocení '!AU36</f>
        <v>160000</v>
      </c>
      <c r="AV40" s="479">
        <f>'Hodnocení '!AV36</f>
        <v>117300</v>
      </c>
      <c r="AW40" s="479">
        <f>'Hodnocení '!AW36</f>
        <v>156400</v>
      </c>
      <c r="AX40" s="479">
        <f>'Hodnocení '!AX36</f>
        <v>258000</v>
      </c>
      <c r="AY40" s="479">
        <f>'Hodnocení '!AY36</f>
        <v>238000</v>
      </c>
      <c r="AZ40" s="479">
        <f>'Hodnocení '!AZ36</f>
        <v>156185</v>
      </c>
      <c r="BA40" s="479">
        <f>'Hodnocení '!BA36</f>
        <v>1120000</v>
      </c>
      <c r="BB40" s="479">
        <f>'Hodnocení '!BB36</f>
        <v>140000</v>
      </c>
      <c r="BC40" s="479">
        <f>'Hodnocení '!BC36</f>
        <v>137000</v>
      </c>
      <c r="BD40" s="479">
        <f>'Hodnocení '!BD36</f>
        <v>304000</v>
      </c>
      <c r="BE40" s="479">
        <f>'Hodnocení '!BE36</f>
        <v>176000</v>
      </c>
      <c r="BF40" s="479">
        <f>'Hodnocení '!BF36</f>
        <v>376000</v>
      </c>
      <c r="BG40" s="479">
        <f>'Hodnocení '!BG36</f>
        <v>490000</v>
      </c>
      <c r="BH40" s="479">
        <f>'Hodnocení '!BH36</f>
        <v>397000</v>
      </c>
      <c r="BI40" s="479">
        <f>'Hodnocení '!BI36</f>
        <v>100000</v>
      </c>
      <c r="BJ40" s="479">
        <f>'Hodnocení '!BJ36</f>
        <v>219000</v>
      </c>
      <c r="BK40" s="479">
        <f>'Hodnocení '!BK36</f>
        <v>48000</v>
      </c>
      <c r="BL40" s="479">
        <f>'Hodnocení '!BL36</f>
        <v>0</v>
      </c>
      <c r="BM40" s="479">
        <f>'Hodnocení '!BM36</f>
        <v>50000</v>
      </c>
      <c r="BN40" s="479">
        <f>'Hodnocení '!BN36</f>
        <v>326000</v>
      </c>
      <c r="BO40" s="479">
        <f>'Hodnocení '!BO36</f>
        <v>222000</v>
      </c>
      <c r="BP40" s="479">
        <f>'Hodnocení '!BP36</f>
        <v>777000</v>
      </c>
      <c r="BQ40" s="479">
        <f>'Hodnocení '!BQ36</f>
        <v>0</v>
      </c>
      <c r="BR40" s="479">
        <f>'Hodnocení '!BR36</f>
        <v>80000</v>
      </c>
      <c r="BS40" s="479">
        <f>'Hodnocení '!BS36</f>
        <v>230000</v>
      </c>
      <c r="BT40" s="479">
        <f>'Hodnocení '!BT36</f>
        <v>200000</v>
      </c>
      <c r="BU40" s="479">
        <f>'Hodnocení '!BU36</f>
        <v>1150000</v>
      </c>
      <c r="BV40" s="479">
        <f>'Hodnocení '!BV36</f>
        <v>0</v>
      </c>
      <c r="BW40" s="479">
        <f>'Hodnocení '!BW36</f>
        <v>0</v>
      </c>
      <c r="BX40" s="479">
        <f>'Hodnocení '!BX36</f>
        <v>1309761</v>
      </c>
      <c r="BY40" s="479">
        <f>'Hodnocení '!BY36</f>
        <v>730000</v>
      </c>
      <c r="BZ40" s="479">
        <f>'Hodnocení '!BZ36</f>
        <v>150000</v>
      </c>
      <c r="CA40" s="479">
        <f>'Hodnocení '!CA36</f>
        <v>0</v>
      </c>
      <c r="CB40" s="479">
        <f>'Hodnocení '!CB36</f>
        <v>0</v>
      </c>
      <c r="CC40" s="479">
        <f>'Hodnocení '!CC36</f>
        <v>404000</v>
      </c>
      <c r="CD40" s="479">
        <f>'Hodnocení '!CD36</f>
        <v>156000</v>
      </c>
      <c r="CE40" s="479">
        <f>'Hodnocení '!CE36</f>
        <v>4381300</v>
      </c>
      <c r="CF40" s="479">
        <f>'Hodnocení '!CF36</f>
        <v>366900</v>
      </c>
      <c r="CG40" s="479">
        <f>'Hodnocení '!CG36</f>
        <v>1830000</v>
      </c>
      <c r="CH40" s="479">
        <f>'Hodnocení '!CH36</f>
        <v>890000</v>
      </c>
      <c r="CI40" s="479">
        <f>'Hodnocení '!CI36</f>
        <v>200000</v>
      </c>
      <c r="CJ40" s="479">
        <f>'Hodnocení '!CJ36</f>
        <v>812000</v>
      </c>
      <c r="CK40" s="479">
        <f>'Hodnocení '!CK36</f>
        <v>599000</v>
      </c>
      <c r="CL40" s="479">
        <f>'Hodnocení '!CL36</f>
        <v>521000</v>
      </c>
      <c r="CM40" s="479">
        <f>'Hodnocení '!CM36</f>
        <v>939500</v>
      </c>
      <c r="CN40" s="479">
        <f>'Hodnocení '!CN36</f>
        <v>165000</v>
      </c>
      <c r="CO40" s="479">
        <f>'Hodnocení '!CO36</f>
        <v>250000</v>
      </c>
      <c r="CP40" s="479">
        <f>'Hodnocení '!CP36</f>
        <v>215000</v>
      </c>
      <c r="CQ40" s="479">
        <f>'Hodnocení '!CQ36</f>
        <v>740000</v>
      </c>
      <c r="CR40" s="479">
        <f>'Hodnocení '!CR36</f>
        <v>50000</v>
      </c>
      <c r="CS40" s="479">
        <f>'Hodnocení '!CS36</f>
        <v>0</v>
      </c>
      <c r="CT40" s="479">
        <f>'Hodnocení '!CT36</f>
        <v>600000</v>
      </c>
      <c r="CU40" s="479">
        <f>'Hodnocení '!CU36</f>
        <v>91500</v>
      </c>
      <c r="CV40" s="479">
        <f>'Hodnocení '!CV36</f>
        <v>128500</v>
      </c>
      <c r="CW40" s="479">
        <f>'Hodnocení '!CW36</f>
        <v>0</v>
      </c>
      <c r="CX40" s="479">
        <f>'Hodnocení '!CX36</f>
        <v>373468</v>
      </c>
      <c r="CY40" s="479">
        <f>'Hodnocení '!CY36</f>
        <v>277673</v>
      </c>
      <c r="CZ40" s="479">
        <f>'Hodnocení '!CZ36</f>
        <v>50000</v>
      </c>
      <c r="DA40" s="479">
        <f>'Hodnocení '!DA36</f>
        <v>0</v>
      </c>
      <c r="DB40" s="479">
        <f>'Hodnocení '!DB36</f>
        <v>200000</v>
      </c>
      <c r="DC40" s="479">
        <f>'Hodnocení '!DC36</f>
        <v>265000</v>
      </c>
      <c r="DD40" s="479">
        <f>'Hodnocení '!DD36</f>
        <v>215000</v>
      </c>
      <c r="DE40" s="479">
        <f>'Hodnocení '!DE36</f>
        <v>235000</v>
      </c>
      <c r="DF40" s="479">
        <f>'Hodnocení '!DF36</f>
        <v>450000</v>
      </c>
      <c r="DG40" s="479">
        <f>'Hodnocení '!DG36</f>
        <v>0</v>
      </c>
      <c r="DH40" s="479">
        <f>'Hodnocení '!DH36</f>
        <v>105200</v>
      </c>
      <c r="DI40" s="479">
        <f>'Hodnocení '!DI36</f>
        <v>33480</v>
      </c>
      <c r="DJ40" s="479">
        <f>'Hodnocení '!DJ36</f>
        <v>90000</v>
      </c>
      <c r="DK40" s="479">
        <f>'Hodnocení '!DK36</f>
        <v>42480</v>
      </c>
      <c r="DL40" s="479">
        <f>'Hodnocení '!DL36</f>
        <v>1452000</v>
      </c>
      <c r="DM40" s="479">
        <f>'Hodnocení '!DM36</f>
        <v>508000</v>
      </c>
      <c r="DN40" s="479">
        <f>'Hodnocení '!DN36</f>
        <v>554000</v>
      </c>
      <c r="DO40" s="479">
        <f>'Hodnocení '!DO36</f>
        <v>0</v>
      </c>
      <c r="DP40" s="479">
        <f>'Hodnocení '!DP36</f>
        <v>415000</v>
      </c>
      <c r="DQ40" s="479">
        <f>'Hodnocení '!DQ36</f>
        <v>330000</v>
      </c>
      <c r="DR40" s="479">
        <f>'Hodnocení '!DR36</f>
        <v>54000</v>
      </c>
      <c r="DS40" s="479">
        <f>'Hodnocení '!DS36</f>
        <v>0</v>
      </c>
      <c r="DT40" s="479">
        <f>'Hodnocení '!DT36</f>
        <v>50000</v>
      </c>
      <c r="DU40" s="479">
        <f>'Hodnocení '!DU36</f>
        <v>260000</v>
      </c>
      <c r="DV40" s="479">
        <f>'Hodnocení '!DV36</f>
        <v>600000</v>
      </c>
      <c r="DW40" s="479">
        <f>'Hodnocení '!DW36</f>
        <v>165000</v>
      </c>
      <c r="DX40" s="479">
        <f>'Hodnocení '!DX36</f>
        <v>455000</v>
      </c>
      <c r="DY40" s="479">
        <f>'Hodnocení '!DY36</f>
        <v>150000</v>
      </c>
      <c r="DZ40" s="479">
        <f>'Hodnocení '!DZ36</f>
        <v>0</v>
      </c>
      <c r="EA40" s="479">
        <f>'Hodnocení '!EA36</f>
        <v>130000</v>
      </c>
      <c r="EB40" s="479">
        <f>'Hodnocení '!EB36</f>
        <v>225000</v>
      </c>
      <c r="EC40" s="479">
        <f>'Hodnocení '!EC36</f>
        <v>121000</v>
      </c>
      <c r="ED40" s="479">
        <f>'Hodnocení '!ED36</f>
        <v>391000</v>
      </c>
      <c r="EE40" s="479">
        <f>'Hodnocení '!EE36</f>
        <v>110000</v>
      </c>
      <c r="EF40" s="479">
        <f>'Hodnocení '!EF36</f>
        <v>115000</v>
      </c>
      <c r="EG40" s="479">
        <f>'Hodnocení '!EG36</f>
        <v>10000</v>
      </c>
      <c r="EH40" s="479">
        <f>'Hodnocení '!EH36</f>
        <v>80000</v>
      </c>
      <c r="EI40" s="479">
        <f>'Hodnocení '!EI36</f>
        <v>122000</v>
      </c>
      <c r="EJ40" s="479">
        <f>'Hodnocení '!EJ36</f>
        <v>78000</v>
      </c>
      <c r="EK40" s="479">
        <f>'Hodnocení '!EK36</f>
        <v>659000</v>
      </c>
      <c r="EL40" s="479">
        <f>'Hodnocení '!EL36</f>
        <v>3015000</v>
      </c>
      <c r="EM40" s="479">
        <f>'Hodnocení '!EM36</f>
        <v>581000</v>
      </c>
      <c r="EN40" s="479">
        <f>'Hodnocení '!EN36</f>
        <v>0</v>
      </c>
      <c r="EO40" s="479">
        <f>'Hodnocení '!EO36</f>
        <v>15000</v>
      </c>
      <c r="EP40" s="479">
        <f>'Hodnocení '!EP36</f>
        <v>202000</v>
      </c>
      <c r="EQ40" s="479">
        <f>'Hodnocení '!EQ36</f>
        <v>40000</v>
      </c>
      <c r="ER40" s="479">
        <f>'Hodnocení '!ER36</f>
        <v>4235000</v>
      </c>
      <c r="ES40" s="479">
        <f>'Hodnocení '!ES36</f>
        <v>1619100</v>
      </c>
      <c r="ET40" s="479">
        <f>'Hodnocení '!ET36</f>
        <v>0</v>
      </c>
      <c r="EU40" s="479">
        <f>'Hodnocení '!EU36</f>
        <v>12000</v>
      </c>
      <c r="EV40" s="479">
        <f>'Hodnocení '!EV36</f>
        <v>265000</v>
      </c>
      <c r="EW40" s="479">
        <f>'Hodnocení '!EW36</f>
        <v>2210000</v>
      </c>
      <c r="EX40" s="479">
        <f>'Hodnocení '!EX36</f>
        <v>3600000</v>
      </c>
      <c r="EY40" s="479">
        <f>'Hodnocení '!EY36</f>
        <v>1460000</v>
      </c>
      <c r="EZ40" s="479">
        <f>'Hodnocení '!EZ36</f>
        <v>1761805</v>
      </c>
      <c r="FA40" s="479">
        <f>'Hodnocení '!FA36</f>
        <v>996261</v>
      </c>
      <c r="FB40" s="479">
        <f>'Hodnocení '!FB36</f>
        <v>0</v>
      </c>
      <c r="FC40" s="479">
        <f>'Hodnocení '!FC36</f>
        <v>5962000</v>
      </c>
      <c r="FD40" s="479">
        <f>'Hodnocení '!FD36</f>
        <v>1552100</v>
      </c>
      <c r="FE40" s="479">
        <f>'Hodnocení '!FE36</f>
        <v>832200</v>
      </c>
      <c r="FF40" s="479">
        <f>'Hodnocení '!FF36</f>
        <v>1000000</v>
      </c>
      <c r="FG40" s="479">
        <f>'Hodnocení '!FG36</f>
        <v>2431500</v>
      </c>
      <c r="FH40" s="479">
        <f>'Hodnocení '!FH36</f>
        <v>1641500</v>
      </c>
      <c r="FI40" s="479">
        <f>'Hodnocení '!FI36</f>
        <v>1800000</v>
      </c>
      <c r="FJ40" s="479">
        <f>'Hodnocení '!FJ36</f>
        <v>1177383</v>
      </c>
      <c r="FK40" s="479">
        <f>'Hodnocení '!FK36</f>
        <v>633403</v>
      </c>
      <c r="FL40" s="479">
        <f>'Hodnocení '!FL36</f>
        <v>500000</v>
      </c>
      <c r="FM40" s="479">
        <f>'Hodnocení '!FM36</f>
        <v>1813013</v>
      </c>
      <c r="FN40" s="479">
        <f>'Hodnocení '!FN36</f>
        <v>1288895</v>
      </c>
      <c r="FO40" s="479">
        <f>'Hodnocení '!FO36</f>
        <v>1078183</v>
      </c>
      <c r="FP40" s="479">
        <f>'Hodnocení '!FP36</f>
        <v>4524544</v>
      </c>
      <c r="FQ40" s="479">
        <f>'Hodnocení '!FQ36</f>
        <v>118200</v>
      </c>
      <c r="FR40" s="479">
        <f>'Hodnocení '!FR36</f>
        <v>0</v>
      </c>
      <c r="FS40" s="479">
        <f>'Hodnocení '!FS36</f>
        <v>207067</v>
      </c>
      <c r="FT40" s="479">
        <f>'Hodnocení '!FT36</f>
        <v>2240223.16</v>
      </c>
      <c r="FU40" s="479">
        <f>'Hodnocení '!FU36</f>
        <v>204301</v>
      </c>
      <c r="FV40" s="479">
        <f>'Hodnocení '!FV36</f>
        <v>1668344</v>
      </c>
      <c r="FW40" s="479">
        <f>'Hodnocení '!FW36</f>
        <v>621321</v>
      </c>
      <c r="FX40" s="479">
        <f>'Hodnocení '!FX36</f>
        <v>402204.18</v>
      </c>
      <c r="FY40" s="479">
        <f>'Hodnocení '!FY36</f>
        <v>147190</v>
      </c>
      <c r="FZ40" s="479">
        <f>'Hodnocení '!FZ36</f>
        <v>5408290</v>
      </c>
      <c r="GA40" s="479">
        <f>'Hodnocení '!GA36</f>
        <v>1110750</v>
      </c>
      <c r="GB40" s="479">
        <f>'Hodnocení '!GB36</f>
        <v>4161580</v>
      </c>
      <c r="GC40" s="479">
        <f>'Hodnocení '!GC36</f>
        <v>1427000</v>
      </c>
      <c r="GD40" s="479">
        <f>'Hodnocení '!GD36</f>
        <v>3850000</v>
      </c>
      <c r="GE40" s="479">
        <f>'Hodnocení '!GE36</f>
        <v>867259</v>
      </c>
      <c r="GF40" s="479">
        <f>'Hodnocení '!GF36</f>
        <v>1561000</v>
      </c>
      <c r="GG40" s="479">
        <f>'Hodnocení '!GG36</f>
        <v>900000</v>
      </c>
      <c r="GH40" s="479">
        <f>'Hodnocení '!GH36</f>
        <v>480000</v>
      </c>
      <c r="GI40" s="479">
        <f>'Hodnocení '!GI36</f>
        <v>7145000</v>
      </c>
      <c r="GJ40" s="479">
        <f>'Hodnocení '!GJ36</f>
        <v>991270</v>
      </c>
      <c r="GK40" s="479">
        <f>'Hodnocení '!GK36</f>
        <v>742000</v>
      </c>
      <c r="GL40" s="479">
        <f>'Hodnocení '!GL36</f>
        <v>653000</v>
      </c>
      <c r="GM40" s="479">
        <f>'Hodnocení '!GM36</f>
        <v>595000</v>
      </c>
      <c r="GN40" s="479">
        <f>'Hodnocení '!GN36</f>
        <v>206397.66</v>
      </c>
      <c r="GO40" s="479">
        <f>'Hodnocení '!GO36</f>
        <v>1504000</v>
      </c>
      <c r="GP40" s="479">
        <f>'Hodnocení '!GP36</f>
        <v>1078336</v>
      </c>
      <c r="GQ40" s="479">
        <f>'Hodnocení '!GQ36</f>
        <v>1066404</v>
      </c>
      <c r="GR40" s="479">
        <f>'Hodnocení '!GR36</f>
        <v>1293990</v>
      </c>
      <c r="GS40" s="479">
        <f>'Hodnocení '!GS36</f>
        <v>849738.18</v>
      </c>
      <c r="GT40" s="479">
        <f>'Hodnocení '!GT36</f>
        <v>5804362</v>
      </c>
      <c r="GU40" s="479">
        <f>'Hodnocení '!GU36</f>
        <v>480000</v>
      </c>
      <c r="GV40" s="479">
        <f>'Hodnocení '!GV36</f>
        <v>2636744.54</v>
      </c>
      <c r="GW40" s="479">
        <f>'Hodnocení '!GW36</f>
        <v>1188833</v>
      </c>
      <c r="GX40" s="479">
        <f>'Hodnocení '!GX36</f>
        <v>503673.85</v>
      </c>
      <c r="GY40" s="479">
        <f>'Hodnocení '!GY36</f>
        <v>12590000</v>
      </c>
      <c r="GZ40" s="479">
        <f>'Hodnocení '!GZ36</f>
        <v>0</v>
      </c>
      <c r="HA40" s="479">
        <f>'Hodnocení '!HA36</f>
        <v>7000000</v>
      </c>
      <c r="HB40" s="479">
        <f>'Hodnocení '!HB36</f>
        <v>9050000</v>
      </c>
      <c r="HC40" s="479">
        <f>'Hodnocení '!HC36</f>
        <v>6686000</v>
      </c>
      <c r="HD40" s="479">
        <f>'Hodnocení '!HD36</f>
        <v>1897307</v>
      </c>
      <c r="HE40" s="479">
        <f>'Hodnocení '!HE36</f>
        <v>2971345</v>
      </c>
      <c r="HF40" s="479">
        <f>'Hodnocení '!HF36</f>
        <v>1230257</v>
      </c>
      <c r="HG40" s="479">
        <f>'Hodnocení '!HG36</f>
        <v>405927.64</v>
      </c>
      <c r="HH40" s="479">
        <f>'Hodnocení '!HH36</f>
        <v>1476086.36</v>
      </c>
      <c r="HI40" s="479">
        <f>'Hodnocení '!HI36</f>
        <v>2590000</v>
      </c>
      <c r="HJ40" s="479">
        <f>'Hodnocení '!HJ36</f>
        <v>391200</v>
      </c>
      <c r="HK40" s="479">
        <f>'Hodnocení '!HK36</f>
        <v>992500</v>
      </c>
      <c r="HL40" s="479">
        <f>'Hodnocení '!HL36</f>
        <v>0</v>
      </c>
      <c r="HM40" s="479">
        <f>'Hodnocení '!HM36</f>
        <v>0</v>
      </c>
      <c r="HN40" s="479">
        <f>'Hodnocení '!HN36</f>
        <v>0</v>
      </c>
      <c r="HO40" s="479">
        <f>'Hodnocení '!HO36</f>
        <v>0</v>
      </c>
      <c r="HP40" s="479">
        <f>'Hodnocení '!HP36</f>
        <v>0</v>
      </c>
      <c r="HQ40" s="479">
        <f>'Hodnocení '!HQ36</f>
        <v>0</v>
      </c>
      <c r="HR40" s="479">
        <f>'Hodnocení '!HR36</f>
        <v>0</v>
      </c>
      <c r="HS40" s="479">
        <f>'Hodnocení '!HS36</f>
        <v>0</v>
      </c>
      <c r="HT40" s="479">
        <f>'Hodnocení '!HT36</f>
        <v>0</v>
      </c>
      <c r="HU40" s="479">
        <f>'Hodnocení '!HU36</f>
        <v>48866</v>
      </c>
      <c r="HV40" s="479">
        <f>'Hodnocení '!HV36</f>
        <v>0</v>
      </c>
      <c r="HW40" s="479">
        <f>'Hodnocení '!HW36</f>
        <v>0</v>
      </c>
      <c r="HX40" s="479">
        <f>'Hodnocení '!HX36</f>
        <v>0</v>
      </c>
      <c r="HY40" s="479">
        <f>'Hodnocení '!HY36</f>
        <v>10000</v>
      </c>
      <c r="HZ40" s="479">
        <f>'Hodnocení '!HZ36</f>
        <v>0</v>
      </c>
      <c r="IA40" s="479">
        <f>'Hodnocení '!IA36</f>
        <v>0</v>
      </c>
      <c r="IB40" s="479">
        <f>'Hodnocení '!IB36</f>
        <v>0</v>
      </c>
      <c r="IC40" s="479">
        <f>'Hodnocení '!IC36</f>
        <v>0</v>
      </c>
      <c r="ID40" s="479">
        <f>'Hodnocení '!ID36</f>
        <v>0</v>
      </c>
      <c r="IE40" s="479">
        <f>'Hodnocení '!IE36</f>
        <v>0</v>
      </c>
      <c r="IF40" s="479">
        <f>'Hodnocení '!IF36</f>
        <v>0</v>
      </c>
      <c r="IG40" s="479">
        <f>'Hodnocení '!IG36</f>
        <v>0</v>
      </c>
      <c r="IH40" s="479">
        <f>'Hodnocení '!IH36</f>
        <v>0</v>
      </c>
      <c r="II40" s="479">
        <f>'Hodnocení '!II36</f>
        <v>0</v>
      </c>
      <c r="IJ40" s="479">
        <f>'Hodnocení '!IJ36</f>
        <v>0</v>
      </c>
      <c r="IK40" s="479">
        <f>'Hodnocení '!IK36</f>
        <v>0</v>
      </c>
      <c r="IL40" s="479">
        <f>'Hodnocení '!IL36</f>
        <v>0</v>
      </c>
      <c r="IM40" s="479">
        <f>'Hodnocení '!IM36</f>
        <v>0</v>
      </c>
      <c r="IN40" s="479">
        <f>'Hodnocení '!IN36</f>
        <v>0</v>
      </c>
      <c r="IO40" s="479">
        <f>'Hodnocení '!IO36</f>
        <v>0</v>
      </c>
      <c r="IP40" s="479">
        <f>'Hodnocení '!IP36</f>
        <v>0</v>
      </c>
      <c r="IQ40" s="479">
        <f>'Hodnocení '!IQ36</f>
        <v>0</v>
      </c>
      <c r="IR40" s="479">
        <f>'Hodnocení '!IR36</f>
        <v>0</v>
      </c>
      <c r="IS40" s="479">
        <f>'Hodnocení '!IS36</f>
        <v>0</v>
      </c>
      <c r="IT40" s="479">
        <f>'Hodnocení '!IT36</f>
        <v>0</v>
      </c>
      <c r="IU40" s="479">
        <f>'Hodnocení '!IU36</f>
        <v>0</v>
      </c>
      <c r="IV40" s="479">
        <f>'Hodnocení '!IV36</f>
        <v>0</v>
      </c>
      <c r="IW40" s="479">
        <f>'Hodnocení '!IW36</f>
        <v>0</v>
      </c>
      <c r="IX40" s="479">
        <f>'Hodnocení '!IX36</f>
        <v>0</v>
      </c>
      <c r="IY40" s="479">
        <f>'Hodnocení '!IY36</f>
        <v>0</v>
      </c>
      <c r="IZ40" s="479">
        <f>'Hodnocení '!IZ36</f>
        <v>0</v>
      </c>
      <c r="JA40" s="479">
        <f>'Hodnocení '!JA36</f>
        <v>78000</v>
      </c>
      <c r="JB40" s="479">
        <f>'Hodnocení '!JB36</f>
        <v>160000</v>
      </c>
      <c r="JC40" s="479">
        <f>'Hodnocení '!JC36</f>
        <v>80000</v>
      </c>
      <c r="JD40" s="479">
        <f>'Hodnocení '!JD36</f>
        <v>101900</v>
      </c>
      <c r="JE40" s="479">
        <f>'Hodnocení '!JE36</f>
        <v>0</v>
      </c>
      <c r="JF40" s="479">
        <f>'Hodnocení '!JF36</f>
        <v>0</v>
      </c>
      <c r="JG40" s="479">
        <f>'Hodnocení '!JG36</f>
        <v>21000</v>
      </c>
      <c r="JH40" s="780">
        <f>'Hodnocení '!JH36</f>
        <v>0</v>
      </c>
      <c r="JI40" s="470">
        <f>'Hodnocení '!JI36</f>
        <v>195775614.50999999</v>
      </c>
      <c r="JL40" s="307">
        <f t="shared" ref="JL40:JO44" si="38">SUMIFS($C40:$JH40,$C$5:$JH$5,JL$5)</f>
        <v>530000</v>
      </c>
      <c r="JM40" s="307">
        <f t="shared" si="38"/>
        <v>58811959.939999998</v>
      </c>
      <c r="JN40" s="307">
        <f t="shared" si="38"/>
        <v>135933888.56999999</v>
      </c>
      <c r="JO40" s="307">
        <f t="shared" si="38"/>
        <v>499766</v>
      </c>
      <c r="JP40" s="307">
        <f t="shared" ref="JP40:JP44" si="39">SUM(JL40:JO40)</f>
        <v>195775614.50999999</v>
      </c>
    </row>
    <row r="41" spans="1:276" hidden="1" x14ac:dyDescent="0.25">
      <c r="B41" s="733" t="s">
        <v>2463</v>
      </c>
      <c r="C41" s="779">
        <f>'Hodnocení '!C37</f>
        <v>0</v>
      </c>
      <c r="D41" s="479">
        <f>'Hodnocení '!D37</f>
        <v>0</v>
      </c>
      <c r="E41" s="479">
        <f>'Hodnocení '!E37</f>
        <v>0</v>
      </c>
      <c r="F41" s="479">
        <f>'Hodnocení '!F37</f>
        <v>0</v>
      </c>
      <c r="G41" s="479">
        <f>'Hodnocení '!G37</f>
        <v>0</v>
      </c>
      <c r="H41" s="479">
        <f>'Hodnocení '!H37</f>
        <v>0</v>
      </c>
      <c r="I41" s="479">
        <f>'Hodnocení '!I37</f>
        <v>599462</v>
      </c>
      <c r="J41" s="479">
        <f>'Hodnocení '!J37</f>
        <v>1125716</v>
      </c>
      <c r="K41" s="479">
        <f>'Hodnocení '!K37</f>
        <v>2261112</v>
      </c>
      <c r="L41" s="479">
        <f>'Hodnocení '!L37</f>
        <v>0</v>
      </c>
      <c r="M41" s="479">
        <f>'Hodnocení '!M37</f>
        <v>0</v>
      </c>
      <c r="N41" s="479">
        <f>'Hodnocení '!N37</f>
        <v>0</v>
      </c>
      <c r="O41" s="479">
        <f>'Hodnocení '!O37</f>
        <v>0</v>
      </c>
      <c r="P41" s="479">
        <f>'Hodnocení '!P37</f>
        <v>0</v>
      </c>
      <c r="Q41" s="479">
        <f>'Hodnocení '!Q37</f>
        <v>0</v>
      </c>
      <c r="R41" s="479">
        <f>'Hodnocení '!R37</f>
        <v>0</v>
      </c>
      <c r="S41" s="479">
        <f>'Hodnocení '!S37</f>
        <v>0</v>
      </c>
      <c r="T41" s="479">
        <f>'Hodnocení '!T37</f>
        <v>0</v>
      </c>
      <c r="U41" s="479">
        <f>'Hodnocení '!U37</f>
        <v>0</v>
      </c>
      <c r="V41" s="479">
        <f>'Hodnocení '!V37</f>
        <v>0</v>
      </c>
      <c r="W41" s="479">
        <f>'Hodnocení '!W37</f>
        <v>0</v>
      </c>
      <c r="X41" s="479">
        <f>'Hodnocení '!X37</f>
        <v>0</v>
      </c>
      <c r="Y41" s="479">
        <f>'Hodnocení '!Y37</f>
        <v>0</v>
      </c>
      <c r="Z41" s="479">
        <f>'Hodnocení '!Z37</f>
        <v>0</v>
      </c>
      <c r="AA41" s="479">
        <f>'Hodnocení '!AA37</f>
        <v>1105710</v>
      </c>
      <c r="AB41" s="479">
        <f>'Hodnocení '!AB37</f>
        <v>0</v>
      </c>
      <c r="AC41" s="479">
        <f>'Hodnocení '!AC37</f>
        <v>0</v>
      </c>
      <c r="AD41" s="479">
        <f>'Hodnocení '!AD37</f>
        <v>0</v>
      </c>
      <c r="AE41" s="479">
        <f>'Hodnocení '!AE37</f>
        <v>1029711</v>
      </c>
      <c r="AF41" s="479">
        <f>'Hodnocení '!AF37</f>
        <v>2104207</v>
      </c>
      <c r="AG41" s="479">
        <f>'Hodnocení '!AG37</f>
        <v>0</v>
      </c>
      <c r="AH41" s="479">
        <f>'Hodnocení '!AH37</f>
        <v>0</v>
      </c>
      <c r="AI41" s="479">
        <f>'Hodnocení '!AI37</f>
        <v>0</v>
      </c>
      <c r="AJ41" s="479">
        <f>'Hodnocení '!AJ37</f>
        <v>0</v>
      </c>
      <c r="AK41" s="479">
        <f>'Hodnocení '!AK37</f>
        <v>0</v>
      </c>
      <c r="AL41" s="479">
        <f>'Hodnocení '!AL37</f>
        <v>814208</v>
      </c>
      <c r="AM41" s="479">
        <f>'Hodnocení '!AM37</f>
        <v>0</v>
      </c>
      <c r="AN41" s="479">
        <f>'Hodnocení '!AN37</f>
        <v>0</v>
      </c>
      <c r="AO41" s="479">
        <f>'Hodnocení '!AO37</f>
        <v>0</v>
      </c>
      <c r="AP41" s="479">
        <f>'Hodnocení '!AP37</f>
        <v>0</v>
      </c>
      <c r="AQ41" s="479">
        <f>'Hodnocení '!AQ37</f>
        <v>0</v>
      </c>
      <c r="AR41" s="479">
        <f>'Hodnocení '!AR37</f>
        <v>0</v>
      </c>
      <c r="AS41" s="479">
        <f>'Hodnocení '!AS37</f>
        <v>0</v>
      </c>
      <c r="AT41" s="479">
        <f>'Hodnocení '!AT37</f>
        <v>0</v>
      </c>
      <c r="AU41" s="479">
        <f>'Hodnocení '!AU37</f>
        <v>0</v>
      </c>
      <c r="AV41" s="479">
        <f>'Hodnocení '!AV37</f>
        <v>815468</v>
      </c>
      <c r="AW41" s="479">
        <f>'Hodnocení '!AW37</f>
        <v>1382185</v>
      </c>
      <c r="AX41" s="479">
        <f>'Hodnocení '!AX37</f>
        <v>0</v>
      </c>
      <c r="AY41" s="479">
        <f>'Hodnocení '!AY37</f>
        <v>0</v>
      </c>
      <c r="AZ41" s="479">
        <f>'Hodnocení '!AZ37</f>
        <v>0</v>
      </c>
      <c r="BA41" s="479">
        <f>'Hodnocení '!BA37</f>
        <v>0</v>
      </c>
      <c r="BB41" s="479">
        <f>'Hodnocení '!BB37</f>
        <v>0</v>
      </c>
      <c r="BC41" s="479">
        <f>'Hodnocení '!BC37</f>
        <v>0</v>
      </c>
      <c r="BD41" s="479">
        <f>'Hodnocení '!BD37</f>
        <v>0</v>
      </c>
      <c r="BE41" s="479">
        <f>'Hodnocení '!BE37</f>
        <v>0</v>
      </c>
      <c r="BF41" s="479">
        <f>'Hodnocení '!BF37</f>
        <v>0</v>
      </c>
      <c r="BG41" s="479">
        <f>'Hodnocení '!BG37</f>
        <v>0</v>
      </c>
      <c r="BH41" s="479">
        <f>'Hodnocení '!BH37</f>
        <v>0</v>
      </c>
      <c r="BI41" s="479">
        <f>'Hodnocení '!BI37</f>
        <v>0</v>
      </c>
      <c r="BJ41" s="479">
        <f>'Hodnocení '!BJ37</f>
        <v>0</v>
      </c>
      <c r="BK41" s="479">
        <f>'Hodnocení '!BK37</f>
        <v>852000</v>
      </c>
      <c r="BL41" s="479">
        <f>'Hodnocení '!BL37</f>
        <v>0</v>
      </c>
      <c r="BM41" s="479">
        <f>'Hodnocení '!BM37</f>
        <v>0</v>
      </c>
      <c r="BN41" s="479">
        <f>'Hodnocení '!BN37</f>
        <v>0</v>
      </c>
      <c r="BO41" s="479">
        <f>'Hodnocení '!BO37</f>
        <v>0</v>
      </c>
      <c r="BP41" s="479">
        <f>'Hodnocení '!BP37</f>
        <v>0</v>
      </c>
      <c r="BQ41" s="479">
        <f>'Hodnocení '!BQ37</f>
        <v>323681</v>
      </c>
      <c r="BR41" s="479">
        <f>'Hodnocení '!BR37</f>
        <v>0</v>
      </c>
      <c r="BS41" s="479">
        <f>'Hodnocení '!BS37</f>
        <v>0</v>
      </c>
      <c r="BT41" s="479">
        <f>'Hodnocení '!BT37</f>
        <v>0</v>
      </c>
      <c r="BU41" s="479">
        <f>'Hodnocení '!BU37</f>
        <v>0</v>
      </c>
      <c r="BV41" s="479">
        <f>'Hodnocení '!BV37</f>
        <v>0</v>
      </c>
      <c r="BW41" s="479">
        <f>'Hodnocení '!BW37</f>
        <v>0</v>
      </c>
      <c r="BX41" s="479">
        <f>'Hodnocení '!BX37</f>
        <v>0</v>
      </c>
      <c r="BY41" s="479">
        <f>'Hodnocení '!BY37</f>
        <v>0</v>
      </c>
      <c r="BZ41" s="479">
        <f>'Hodnocení '!BZ37</f>
        <v>0</v>
      </c>
      <c r="CA41" s="479">
        <f>'Hodnocení '!CA37</f>
        <v>0</v>
      </c>
      <c r="CB41" s="479">
        <f>'Hodnocení '!CB37</f>
        <v>0</v>
      </c>
      <c r="CC41" s="479">
        <f>'Hodnocení '!CC37</f>
        <v>0</v>
      </c>
      <c r="CD41" s="479">
        <f>'Hodnocení '!CD37</f>
        <v>0</v>
      </c>
      <c r="CE41" s="479">
        <f>'Hodnocení '!CE37</f>
        <v>0</v>
      </c>
      <c r="CF41" s="479">
        <f>'Hodnocení '!CF37</f>
        <v>0</v>
      </c>
      <c r="CG41" s="479">
        <f>'Hodnocení '!CG37</f>
        <v>7324486</v>
      </c>
      <c r="CH41" s="479">
        <f>'Hodnocení '!CH37</f>
        <v>1334896</v>
      </c>
      <c r="CI41" s="479">
        <f>'Hodnocení '!CI37</f>
        <v>1144916</v>
      </c>
      <c r="CJ41" s="479">
        <f>'Hodnocení '!CJ37</f>
        <v>1102190</v>
      </c>
      <c r="CK41" s="479">
        <f>'Hodnocení '!CK37</f>
        <v>0</v>
      </c>
      <c r="CL41" s="479">
        <f>'Hodnocení '!CL37</f>
        <v>987598</v>
      </c>
      <c r="CM41" s="479">
        <f>'Hodnocení '!CM37</f>
        <v>0</v>
      </c>
      <c r="CN41" s="479">
        <f>'Hodnocení '!CN37</f>
        <v>0</v>
      </c>
      <c r="CO41" s="479">
        <f>'Hodnocení '!CO37</f>
        <v>0</v>
      </c>
      <c r="CP41" s="479">
        <f>'Hodnocení '!CP37</f>
        <v>0</v>
      </c>
      <c r="CQ41" s="479">
        <f>'Hodnocení '!CQ37</f>
        <v>1821286</v>
      </c>
      <c r="CR41" s="479">
        <f>'Hodnocení '!CR37</f>
        <v>0</v>
      </c>
      <c r="CS41" s="479">
        <f>'Hodnocení '!CS37</f>
        <v>0</v>
      </c>
      <c r="CT41" s="479">
        <f>'Hodnocení '!CT37</f>
        <v>2207412</v>
      </c>
      <c r="CU41" s="479">
        <f>'Hodnocení '!CU37</f>
        <v>0</v>
      </c>
      <c r="CV41" s="479">
        <f>'Hodnocení '!CV37</f>
        <v>0</v>
      </c>
      <c r="CW41" s="479">
        <f>'Hodnocení '!CW37</f>
        <v>0</v>
      </c>
      <c r="CX41" s="479">
        <f>'Hodnocení '!CX37</f>
        <v>0</v>
      </c>
      <c r="CY41" s="479">
        <f>'Hodnocení '!CY37</f>
        <v>0</v>
      </c>
      <c r="CZ41" s="479">
        <f>'Hodnocení '!CZ37</f>
        <v>1006700</v>
      </c>
      <c r="DA41" s="479">
        <f>'Hodnocení '!DA37</f>
        <v>0</v>
      </c>
      <c r="DB41" s="479">
        <f>'Hodnocení '!DB37</f>
        <v>0</v>
      </c>
      <c r="DC41" s="479">
        <f>'Hodnocení '!DC37</f>
        <v>0</v>
      </c>
      <c r="DD41" s="479">
        <f>'Hodnocení '!DD37</f>
        <v>2172273</v>
      </c>
      <c r="DE41" s="479">
        <f>'Hodnocení '!DE37</f>
        <v>6197056</v>
      </c>
      <c r="DF41" s="479">
        <f>'Hodnocení '!DF37</f>
        <v>2503432</v>
      </c>
      <c r="DG41" s="479">
        <f>'Hodnocení '!DG37</f>
        <v>0</v>
      </c>
      <c r="DH41" s="479">
        <f>'Hodnocení '!DH37</f>
        <v>688392.64</v>
      </c>
      <c r="DI41" s="479">
        <f>'Hodnocení '!DI37</f>
        <v>447816</v>
      </c>
      <c r="DJ41" s="479">
        <f>'Hodnocení '!DJ37</f>
        <v>972918</v>
      </c>
      <c r="DK41" s="479">
        <f>'Hodnocení '!DK37</f>
        <v>393535</v>
      </c>
      <c r="DL41" s="479">
        <f>'Hodnocení '!DL37</f>
        <v>0</v>
      </c>
      <c r="DM41" s="479">
        <f>'Hodnocení '!DM37</f>
        <v>0</v>
      </c>
      <c r="DN41" s="479">
        <f>'Hodnocení '!DN37</f>
        <v>0</v>
      </c>
      <c r="DO41" s="479">
        <f>'Hodnocení '!DO37</f>
        <v>0</v>
      </c>
      <c r="DP41" s="479">
        <f>'Hodnocení '!DP37</f>
        <v>0</v>
      </c>
      <c r="DQ41" s="479">
        <f>'Hodnocení '!DQ37</f>
        <v>1603289</v>
      </c>
      <c r="DR41" s="479">
        <f>'Hodnocení '!DR37</f>
        <v>1525738</v>
      </c>
      <c r="DS41" s="479">
        <f>'Hodnocení '!DS37</f>
        <v>0</v>
      </c>
      <c r="DT41" s="479">
        <f>'Hodnocení '!DT37</f>
        <v>0</v>
      </c>
      <c r="DU41" s="479">
        <f>'Hodnocení '!DU37</f>
        <v>512809</v>
      </c>
      <c r="DV41" s="479">
        <f>'Hodnocení '!DV37</f>
        <v>0</v>
      </c>
      <c r="DW41" s="479">
        <f>'Hodnocení '!DW37</f>
        <v>0</v>
      </c>
      <c r="DX41" s="479">
        <f>'Hodnocení '!DX37</f>
        <v>1520357</v>
      </c>
      <c r="DY41" s="479">
        <f>'Hodnocení '!DY37</f>
        <v>0</v>
      </c>
      <c r="DZ41" s="479">
        <f>'Hodnocení '!DZ37</f>
        <v>0</v>
      </c>
      <c r="EA41" s="479">
        <f>'Hodnocení '!EA37</f>
        <v>0</v>
      </c>
      <c r="EB41" s="479">
        <f>'Hodnocení '!EB37</f>
        <v>0</v>
      </c>
      <c r="EC41" s="479">
        <f>'Hodnocení '!EC37</f>
        <v>0</v>
      </c>
      <c r="ED41" s="479">
        <f>'Hodnocení '!ED37</f>
        <v>0</v>
      </c>
      <c r="EE41" s="479">
        <f>'Hodnocení '!EE37</f>
        <v>0</v>
      </c>
      <c r="EF41" s="479">
        <f>'Hodnocení '!EF37</f>
        <v>0</v>
      </c>
      <c r="EG41" s="479">
        <f>'Hodnocení '!EG37</f>
        <v>0</v>
      </c>
      <c r="EH41" s="479">
        <f>'Hodnocení '!EH37</f>
        <v>0</v>
      </c>
      <c r="EI41" s="479">
        <f>'Hodnocení '!EI37</f>
        <v>0</v>
      </c>
      <c r="EJ41" s="479">
        <f>'Hodnocení '!EJ37</f>
        <v>458374</v>
      </c>
      <c r="EK41" s="479">
        <f>'Hodnocení '!EK37</f>
        <v>0</v>
      </c>
      <c r="EL41" s="479">
        <f>'Hodnocení '!EL37</f>
        <v>0</v>
      </c>
      <c r="EM41" s="479">
        <f>'Hodnocení '!EM37</f>
        <v>0</v>
      </c>
      <c r="EN41" s="479">
        <f>'Hodnocení '!EN37</f>
        <v>967498</v>
      </c>
      <c r="EO41" s="479">
        <f>'Hodnocení '!EO37</f>
        <v>0</v>
      </c>
      <c r="EP41" s="479">
        <f>'Hodnocení '!EP37</f>
        <v>0</v>
      </c>
      <c r="EQ41" s="479">
        <f>'Hodnocení '!EQ37</f>
        <v>653384</v>
      </c>
      <c r="ER41" s="479">
        <f>'Hodnocení '!ER37</f>
        <v>0</v>
      </c>
      <c r="ES41" s="479">
        <f>'Hodnocení '!ES37</f>
        <v>0</v>
      </c>
      <c r="ET41" s="479">
        <f>'Hodnocení '!ET37</f>
        <v>0</v>
      </c>
      <c r="EU41" s="479">
        <f>'Hodnocení '!EU37</f>
        <v>0</v>
      </c>
      <c r="EV41" s="479">
        <f>'Hodnocení '!EV37</f>
        <v>0</v>
      </c>
      <c r="EW41" s="479">
        <f>'Hodnocení '!EW37</f>
        <v>0</v>
      </c>
      <c r="EX41" s="479">
        <f>'Hodnocení '!EX37</f>
        <v>0</v>
      </c>
      <c r="EY41" s="479">
        <f>'Hodnocení '!EY37</f>
        <v>1020025</v>
      </c>
      <c r="EZ41" s="479">
        <f>'Hodnocení '!EZ37</f>
        <v>0</v>
      </c>
      <c r="FA41" s="479">
        <f>'Hodnocení '!FA37</f>
        <v>0</v>
      </c>
      <c r="FB41" s="479">
        <f>'Hodnocení '!FB37</f>
        <v>0</v>
      </c>
      <c r="FC41" s="479">
        <f>'Hodnocení '!FC37</f>
        <v>0</v>
      </c>
      <c r="FD41" s="479">
        <f>'Hodnocení '!FD37</f>
        <v>402081</v>
      </c>
      <c r="FE41" s="479">
        <f>'Hodnocení '!FE37</f>
        <v>0</v>
      </c>
      <c r="FF41" s="479">
        <f>'Hodnocení '!FF37</f>
        <v>0</v>
      </c>
      <c r="FG41" s="479">
        <f>'Hodnocení '!FG37</f>
        <v>0</v>
      </c>
      <c r="FH41" s="479">
        <f>'Hodnocení '!FH37</f>
        <v>0</v>
      </c>
      <c r="FI41" s="479">
        <f>'Hodnocení '!FI37</f>
        <v>0</v>
      </c>
      <c r="FJ41" s="479">
        <f>'Hodnocení '!FJ37</f>
        <v>0</v>
      </c>
      <c r="FK41" s="479">
        <f>'Hodnocení '!FK37</f>
        <v>0</v>
      </c>
      <c r="FL41" s="479">
        <f>'Hodnocení '!FL37</f>
        <v>0</v>
      </c>
      <c r="FM41" s="479">
        <f>'Hodnocení '!FM37</f>
        <v>0</v>
      </c>
      <c r="FN41" s="479">
        <f>'Hodnocení '!FN37</f>
        <v>0</v>
      </c>
      <c r="FO41" s="479">
        <f>'Hodnocení '!FO37</f>
        <v>0</v>
      </c>
      <c r="FP41" s="479">
        <f>'Hodnocení '!FP37</f>
        <v>0</v>
      </c>
      <c r="FQ41" s="479">
        <f>'Hodnocení '!FQ37</f>
        <v>0</v>
      </c>
      <c r="FR41" s="479">
        <f>'Hodnocení '!FR37</f>
        <v>0</v>
      </c>
      <c r="FS41" s="479">
        <f>'Hodnocení '!FS37</f>
        <v>0</v>
      </c>
      <c r="FT41" s="479">
        <f>'Hodnocení '!FT37</f>
        <v>0</v>
      </c>
      <c r="FU41" s="479">
        <f>'Hodnocení '!FU37</f>
        <v>0</v>
      </c>
      <c r="FV41" s="479">
        <f>'Hodnocení '!FV37</f>
        <v>0</v>
      </c>
      <c r="FW41" s="479">
        <f>'Hodnocení '!FW37</f>
        <v>0</v>
      </c>
      <c r="FX41" s="479">
        <f>'Hodnocení '!FX37</f>
        <v>0</v>
      </c>
      <c r="FY41" s="479">
        <f>'Hodnocení '!FY37</f>
        <v>0</v>
      </c>
      <c r="FZ41" s="479">
        <f>'Hodnocení '!FZ37</f>
        <v>0</v>
      </c>
      <c r="GA41" s="479">
        <f>'Hodnocení '!GA37</f>
        <v>0</v>
      </c>
      <c r="GB41" s="479">
        <f>'Hodnocení '!GB37</f>
        <v>0</v>
      </c>
      <c r="GC41" s="479">
        <f>'Hodnocení '!GC37</f>
        <v>0</v>
      </c>
      <c r="GD41" s="479">
        <f>'Hodnocení '!GD37</f>
        <v>0</v>
      </c>
      <c r="GE41" s="479">
        <f>'Hodnocení '!GE37</f>
        <v>564655</v>
      </c>
      <c r="GF41" s="479">
        <f>'Hodnocení '!GF37</f>
        <v>0</v>
      </c>
      <c r="GG41" s="479">
        <f>'Hodnocení '!GG37</f>
        <v>0</v>
      </c>
      <c r="GH41" s="479">
        <f>'Hodnocení '!GH37</f>
        <v>0</v>
      </c>
      <c r="GI41" s="479">
        <f>'Hodnocení '!GI37</f>
        <v>0</v>
      </c>
      <c r="GJ41" s="479">
        <f>'Hodnocení '!GJ37</f>
        <v>0</v>
      </c>
      <c r="GK41" s="479">
        <f>'Hodnocení '!GK37</f>
        <v>0</v>
      </c>
      <c r="GL41" s="479">
        <f>'Hodnocení '!GL37</f>
        <v>0</v>
      </c>
      <c r="GM41" s="479">
        <f>'Hodnocení '!GM37</f>
        <v>0</v>
      </c>
      <c r="GN41" s="479">
        <f>'Hodnocení '!GN37</f>
        <v>402076</v>
      </c>
      <c r="GO41" s="479">
        <f>'Hodnocení '!GO37</f>
        <v>0</v>
      </c>
      <c r="GP41" s="479">
        <f>'Hodnocení '!GP37</f>
        <v>0</v>
      </c>
      <c r="GQ41" s="479">
        <f>'Hodnocení '!GQ37</f>
        <v>0</v>
      </c>
      <c r="GR41" s="479">
        <f>'Hodnocení '!GR37</f>
        <v>0</v>
      </c>
      <c r="GS41" s="479">
        <f>'Hodnocení '!GS37</f>
        <v>0</v>
      </c>
      <c r="GT41" s="479">
        <f>'Hodnocení '!GT37</f>
        <v>0</v>
      </c>
      <c r="GU41" s="479">
        <f>'Hodnocení '!GU37</f>
        <v>0</v>
      </c>
      <c r="GV41" s="479">
        <f>'Hodnocení '!GV37</f>
        <v>0</v>
      </c>
      <c r="GW41" s="479">
        <f>'Hodnocení '!GW37</f>
        <v>0</v>
      </c>
      <c r="GX41" s="479">
        <f>'Hodnocení '!GX37</f>
        <v>0</v>
      </c>
      <c r="GY41" s="479">
        <f>'Hodnocení '!GY37</f>
        <v>0</v>
      </c>
      <c r="GZ41" s="479">
        <f>'Hodnocení '!GZ37</f>
        <v>0</v>
      </c>
      <c r="HA41" s="479">
        <f>'Hodnocení '!HA37</f>
        <v>0</v>
      </c>
      <c r="HB41" s="479">
        <f>'Hodnocení '!HB37</f>
        <v>0</v>
      </c>
      <c r="HC41" s="479">
        <f>'Hodnocení '!HC37</f>
        <v>0</v>
      </c>
      <c r="HD41" s="479">
        <f>'Hodnocení '!HD37</f>
        <v>0</v>
      </c>
      <c r="HE41" s="479">
        <f>'Hodnocení '!HE37</f>
        <v>0</v>
      </c>
      <c r="HF41" s="479">
        <f>'Hodnocení '!HF37</f>
        <v>0</v>
      </c>
      <c r="HG41" s="479">
        <f>'Hodnocení '!HG37</f>
        <v>0</v>
      </c>
      <c r="HH41" s="479">
        <f>'Hodnocení '!HH37</f>
        <v>0</v>
      </c>
      <c r="HI41" s="479">
        <f>'Hodnocení '!HI37</f>
        <v>0</v>
      </c>
      <c r="HJ41" s="479">
        <f>'Hodnocení '!HJ37</f>
        <v>251307</v>
      </c>
      <c r="HK41" s="479">
        <f>'Hodnocení '!HK37</f>
        <v>0</v>
      </c>
      <c r="HL41" s="479">
        <f>'Hodnocení '!HL37</f>
        <v>0</v>
      </c>
      <c r="HM41" s="479">
        <f>'Hodnocení '!HM37</f>
        <v>0</v>
      </c>
      <c r="HN41" s="479">
        <f>'Hodnocení '!HN37</f>
        <v>0</v>
      </c>
      <c r="HO41" s="479">
        <f>'Hodnocení '!HO37</f>
        <v>2080800</v>
      </c>
      <c r="HP41" s="479">
        <f>'Hodnocení '!HP37</f>
        <v>0</v>
      </c>
      <c r="HQ41" s="479">
        <f>'Hodnocení '!HQ37</f>
        <v>0</v>
      </c>
      <c r="HR41" s="479">
        <f>'Hodnocení '!HR37</f>
        <v>0</v>
      </c>
      <c r="HS41" s="479">
        <f>'Hodnocení '!HS37</f>
        <v>0</v>
      </c>
      <c r="HT41" s="479">
        <f>'Hodnocení '!HT37</f>
        <v>0</v>
      </c>
      <c r="HU41" s="479">
        <f>'Hodnocení '!HU37</f>
        <v>0</v>
      </c>
      <c r="HV41" s="479">
        <f>'Hodnocení '!HV37</f>
        <v>0</v>
      </c>
      <c r="HW41" s="479">
        <f>'Hodnocení '!HW37</f>
        <v>0</v>
      </c>
      <c r="HX41" s="479">
        <f>'Hodnocení '!HX37</f>
        <v>0</v>
      </c>
      <c r="HY41" s="479">
        <f>'Hodnocení '!HY37</f>
        <v>0</v>
      </c>
      <c r="HZ41" s="479">
        <f>'Hodnocení '!HZ37</f>
        <v>0</v>
      </c>
      <c r="IA41" s="479">
        <f>'Hodnocení '!IA37</f>
        <v>0</v>
      </c>
      <c r="IB41" s="479">
        <f>'Hodnocení '!IB37</f>
        <v>0</v>
      </c>
      <c r="IC41" s="479">
        <f>'Hodnocení '!IC37</f>
        <v>0</v>
      </c>
      <c r="ID41" s="479">
        <f>'Hodnocení '!ID37</f>
        <v>0</v>
      </c>
      <c r="IE41" s="479">
        <f>'Hodnocení '!IE37</f>
        <v>0</v>
      </c>
      <c r="IF41" s="479">
        <f>'Hodnocení '!IF37</f>
        <v>0</v>
      </c>
      <c r="IG41" s="479">
        <f>'Hodnocení '!IG37</f>
        <v>0</v>
      </c>
      <c r="IH41" s="479">
        <f>'Hodnocení '!IH37</f>
        <v>0</v>
      </c>
      <c r="II41" s="479">
        <f>'Hodnocení '!II37</f>
        <v>0</v>
      </c>
      <c r="IJ41" s="479">
        <f>'Hodnocení '!IJ37</f>
        <v>0</v>
      </c>
      <c r="IK41" s="479">
        <f>'Hodnocení '!IK37</f>
        <v>2393172</v>
      </c>
      <c r="IL41" s="479">
        <f>'Hodnocení '!IL37</f>
        <v>0</v>
      </c>
      <c r="IM41" s="479">
        <f>'Hodnocení '!IM37</f>
        <v>0</v>
      </c>
      <c r="IN41" s="479">
        <f>'Hodnocení '!IN37</f>
        <v>0</v>
      </c>
      <c r="IO41" s="479">
        <f>'Hodnocení '!IO37</f>
        <v>0</v>
      </c>
      <c r="IP41" s="479">
        <f>'Hodnocení '!IP37</f>
        <v>0</v>
      </c>
      <c r="IQ41" s="479">
        <f>'Hodnocení '!IQ37</f>
        <v>0</v>
      </c>
      <c r="IR41" s="479">
        <f>'Hodnocení '!IR37</f>
        <v>0</v>
      </c>
      <c r="IS41" s="479">
        <f>'Hodnocení '!IS37</f>
        <v>0</v>
      </c>
      <c r="IT41" s="479">
        <f>'Hodnocení '!IT37</f>
        <v>0</v>
      </c>
      <c r="IU41" s="479">
        <f>'Hodnocení '!IU37</f>
        <v>0</v>
      </c>
      <c r="IV41" s="479">
        <f>'Hodnocení '!IV37</f>
        <v>0</v>
      </c>
      <c r="IW41" s="479">
        <f>'Hodnocení '!IW37</f>
        <v>0</v>
      </c>
      <c r="IX41" s="479">
        <f>'Hodnocení '!IX37</f>
        <v>0</v>
      </c>
      <c r="IY41" s="479">
        <f>'Hodnocení '!IY37</f>
        <v>0</v>
      </c>
      <c r="IZ41" s="479">
        <f>'Hodnocení '!IZ37</f>
        <v>0</v>
      </c>
      <c r="JA41" s="479">
        <f>'Hodnocení '!JA37</f>
        <v>0</v>
      </c>
      <c r="JB41" s="479">
        <f>'Hodnocení '!JB37</f>
        <v>0</v>
      </c>
      <c r="JC41" s="479">
        <f>'Hodnocení '!JC37</f>
        <v>0</v>
      </c>
      <c r="JD41" s="479">
        <f>'Hodnocení '!JD37</f>
        <v>1410292</v>
      </c>
      <c r="JE41" s="479">
        <f>'Hodnocení '!JE37</f>
        <v>0</v>
      </c>
      <c r="JF41" s="479">
        <f>'Hodnocení '!JF37</f>
        <v>0</v>
      </c>
      <c r="JG41" s="479">
        <f>'Hodnocení '!JG37</f>
        <v>0</v>
      </c>
      <c r="JH41" s="780">
        <f>'Hodnocení '!JH37</f>
        <v>0</v>
      </c>
      <c r="JI41" s="470">
        <f>'Hodnocení '!JI37</f>
        <v>58484223.640000001</v>
      </c>
      <c r="JL41" s="307">
        <f t="shared" si="38"/>
        <v>0</v>
      </c>
      <c r="JM41" s="307">
        <f t="shared" si="38"/>
        <v>49959815.640000001</v>
      </c>
      <c r="JN41" s="307">
        <f t="shared" si="38"/>
        <v>2640144</v>
      </c>
      <c r="JO41" s="307">
        <f t="shared" si="38"/>
        <v>5884264</v>
      </c>
      <c r="JP41" s="307">
        <f t="shared" si="39"/>
        <v>58484223.640000001</v>
      </c>
    </row>
    <row r="42" spans="1:276" hidden="1" x14ac:dyDescent="0.25">
      <c r="B42" s="733" t="s">
        <v>1831</v>
      </c>
      <c r="C42" s="779">
        <f>'Hodnocení '!C38</f>
        <v>7348000</v>
      </c>
      <c r="D42" s="479">
        <f>'Hodnocení '!D38</f>
        <v>6200000</v>
      </c>
      <c r="E42" s="479">
        <f>'Hodnocení '!E38</f>
        <v>7900000</v>
      </c>
      <c r="F42" s="479">
        <f>'Hodnocení '!F38</f>
        <v>3484600</v>
      </c>
      <c r="G42" s="479">
        <f>'Hodnocení '!G38</f>
        <v>8898350</v>
      </c>
      <c r="H42" s="479">
        <f>'Hodnocení '!H38</f>
        <v>851000</v>
      </c>
      <c r="I42" s="479">
        <f>'Hodnocení '!I38</f>
        <v>1621440</v>
      </c>
      <c r="J42" s="479">
        <f>'Hodnocení '!J38</f>
        <v>1417490</v>
      </c>
      <c r="K42" s="479">
        <f>'Hodnocení '!K38</f>
        <v>3108430</v>
      </c>
      <c r="L42" s="479">
        <f>'Hodnocení '!L38</f>
        <v>3599970</v>
      </c>
      <c r="M42" s="479">
        <f>'Hodnocení '!M38</f>
        <v>3452100</v>
      </c>
      <c r="N42" s="479">
        <f>'Hodnocení '!N38</f>
        <v>4935000</v>
      </c>
      <c r="O42" s="479">
        <f>'Hodnocení '!O38</f>
        <v>3938706</v>
      </c>
      <c r="P42" s="479">
        <f>'Hodnocení '!P38</f>
        <v>2208380</v>
      </c>
      <c r="Q42" s="479">
        <f>'Hodnocení '!Q38</f>
        <v>1372267</v>
      </c>
      <c r="R42" s="479">
        <f>'Hodnocení '!R38</f>
        <v>1903000</v>
      </c>
      <c r="S42" s="479">
        <f>'Hodnocení '!S38</f>
        <v>1487500</v>
      </c>
      <c r="T42" s="479">
        <f>'Hodnocení '!T38</f>
        <v>527000</v>
      </c>
      <c r="U42" s="479">
        <f>'Hodnocení '!U38</f>
        <v>991200</v>
      </c>
      <c r="V42" s="479">
        <f>'Hodnocení '!V38</f>
        <v>9165000</v>
      </c>
      <c r="W42" s="479">
        <f>'Hodnocení '!W38</f>
        <v>1794000</v>
      </c>
      <c r="X42" s="479">
        <f>'Hodnocení '!X38</f>
        <v>1309890</v>
      </c>
      <c r="Y42" s="479">
        <f>'Hodnocení '!Y38</f>
        <v>1635000</v>
      </c>
      <c r="Z42" s="479">
        <f>'Hodnocení '!Z38</f>
        <v>6656000</v>
      </c>
      <c r="AA42" s="479">
        <f>'Hodnocení '!AA38</f>
        <v>2744110</v>
      </c>
      <c r="AB42" s="479">
        <f>'Hodnocení '!AB38</f>
        <v>2917940</v>
      </c>
      <c r="AC42" s="479">
        <f>'Hodnocení '!AC38</f>
        <v>1859500</v>
      </c>
      <c r="AD42" s="479">
        <f>'Hodnocení '!AD38</f>
        <v>1711240</v>
      </c>
      <c r="AE42" s="479">
        <f>'Hodnocení '!AE38</f>
        <v>0</v>
      </c>
      <c r="AF42" s="479">
        <f>'Hodnocení '!AF38</f>
        <v>0</v>
      </c>
      <c r="AG42" s="479">
        <f>'Hodnocení '!AG38</f>
        <v>3101900</v>
      </c>
      <c r="AH42" s="479">
        <f>'Hodnocení '!AH38</f>
        <v>699300</v>
      </c>
      <c r="AI42" s="479">
        <f>'Hodnocení '!AI38</f>
        <v>2546700</v>
      </c>
      <c r="AJ42" s="479">
        <f>'Hodnocení '!AJ38</f>
        <v>2332000</v>
      </c>
      <c r="AK42" s="479">
        <f>'Hodnocení '!AK38</f>
        <v>1089000</v>
      </c>
      <c r="AL42" s="479">
        <f>'Hodnocení '!AL38</f>
        <v>1024200</v>
      </c>
      <c r="AM42" s="479">
        <f>'Hodnocení '!AM38</f>
        <v>1224492</v>
      </c>
      <c r="AN42" s="479">
        <f>'Hodnocení '!AN38</f>
        <v>1027900</v>
      </c>
      <c r="AO42" s="479">
        <f>'Hodnocení '!AO38</f>
        <v>3503800</v>
      </c>
      <c r="AP42" s="479">
        <f>'Hodnocení '!AP38</f>
        <v>2080820</v>
      </c>
      <c r="AQ42" s="479">
        <f>'Hodnocení '!AQ38</f>
        <v>275460</v>
      </c>
      <c r="AR42" s="479">
        <f>'Hodnocení '!AR38</f>
        <v>1090591</v>
      </c>
      <c r="AS42" s="479">
        <f>'Hodnocení '!AS38</f>
        <v>418240</v>
      </c>
      <c r="AT42" s="479">
        <f>'Hodnocení '!AT38</f>
        <v>2175746</v>
      </c>
      <c r="AU42" s="479">
        <f>'Hodnocení '!AU38</f>
        <v>860440</v>
      </c>
      <c r="AV42" s="479">
        <f>'Hodnocení '!AV38</f>
        <v>1051150</v>
      </c>
      <c r="AW42" s="479">
        <f>'Hodnocení '!AW38</f>
        <v>1688690</v>
      </c>
      <c r="AX42" s="479">
        <f>'Hodnocení '!AX38</f>
        <v>2743810</v>
      </c>
      <c r="AY42" s="479">
        <f>'Hodnocení '!AY38</f>
        <v>2906893</v>
      </c>
      <c r="AZ42" s="479">
        <f>'Hodnocení '!AZ38</f>
        <v>2790235</v>
      </c>
      <c r="BA42" s="479">
        <f>'Hodnocení '!BA38</f>
        <v>7415268</v>
      </c>
      <c r="BB42" s="479">
        <f>'Hodnocení '!BB38</f>
        <v>1020124</v>
      </c>
      <c r="BC42" s="479">
        <f>'Hodnocení '!BC38</f>
        <v>971960</v>
      </c>
      <c r="BD42" s="479">
        <f>'Hodnocení '!BD38</f>
        <v>1165820</v>
      </c>
      <c r="BE42" s="479">
        <f>'Hodnocení '!BE38</f>
        <v>1091150</v>
      </c>
      <c r="BF42" s="479">
        <f>'Hodnocení '!BF38</f>
        <v>1782000</v>
      </c>
      <c r="BG42" s="479">
        <f>'Hodnocení '!BG38</f>
        <v>2244870</v>
      </c>
      <c r="BH42" s="479">
        <f>'Hodnocení '!BH38</f>
        <v>2712120</v>
      </c>
      <c r="BI42" s="479">
        <f>'Hodnocení '!BI38</f>
        <v>1249077</v>
      </c>
      <c r="BJ42" s="479">
        <f>'Hodnocení '!BJ38</f>
        <v>2652621</v>
      </c>
      <c r="BK42" s="479">
        <f>'Hodnocení '!BK38</f>
        <v>0</v>
      </c>
      <c r="BL42" s="479">
        <f>'Hodnocení '!BL38</f>
        <v>0</v>
      </c>
      <c r="BM42" s="479">
        <f>'Hodnocení '!BM38</f>
        <v>465100</v>
      </c>
      <c r="BN42" s="479">
        <f>'Hodnocení '!BN38</f>
        <v>1582000</v>
      </c>
      <c r="BO42" s="479">
        <f>'Hodnocení '!BO38</f>
        <v>762010</v>
      </c>
      <c r="BP42" s="479">
        <f>'Hodnocení '!BP38</f>
        <v>3460591</v>
      </c>
      <c r="BQ42" s="479">
        <f>'Hodnocení '!BQ38</f>
        <v>491755</v>
      </c>
      <c r="BR42" s="479">
        <f>'Hodnocení '!BR38</f>
        <v>809340</v>
      </c>
      <c r="BS42" s="479">
        <f>'Hodnocení '!BS38</f>
        <v>1197900</v>
      </c>
      <c r="BT42" s="479">
        <f>'Hodnocení '!BT38</f>
        <v>781100</v>
      </c>
      <c r="BU42" s="479">
        <f>'Hodnocení '!BU38</f>
        <v>3450082</v>
      </c>
      <c r="BV42" s="479">
        <f>'Hodnocení '!BV38</f>
        <v>138910</v>
      </c>
      <c r="BW42" s="479">
        <f>'Hodnocení '!BW38</f>
        <v>522000</v>
      </c>
      <c r="BX42" s="479">
        <f>'Hodnocení '!BX38</f>
        <v>3898282</v>
      </c>
      <c r="BY42" s="479">
        <f>'Hodnocení '!BY38</f>
        <v>1419144</v>
      </c>
      <c r="BZ42" s="479">
        <f>'Hodnocení '!BZ38</f>
        <v>288150</v>
      </c>
      <c r="CA42" s="479">
        <f>'Hodnocení '!CA38</f>
        <v>0</v>
      </c>
      <c r="CB42" s="479">
        <f>'Hodnocení '!CB38</f>
        <v>532263</v>
      </c>
      <c r="CC42" s="479">
        <f>'Hodnocení '!CC38</f>
        <v>2120418</v>
      </c>
      <c r="CD42" s="479">
        <f>'Hodnocení '!CD38</f>
        <v>647336</v>
      </c>
      <c r="CE42" s="479">
        <f>'Hodnocení '!CE38</f>
        <v>8268855</v>
      </c>
      <c r="CF42" s="479">
        <f>'Hodnocení '!CF38</f>
        <v>4326000</v>
      </c>
      <c r="CG42" s="479">
        <f>'Hodnocení '!CG38</f>
        <v>900000</v>
      </c>
      <c r="CH42" s="479">
        <f>'Hodnocení '!CH38</f>
        <v>2319450</v>
      </c>
      <c r="CI42" s="479">
        <f>'Hodnocení '!CI38</f>
        <v>1690000</v>
      </c>
      <c r="CJ42" s="479">
        <f>'Hodnocení '!CJ38</f>
        <v>2357340</v>
      </c>
      <c r="CK42" s="479">
        <f>'Hodnocení '!CK38</f>
        <v>4176623</v>
      </c>
      <c r="CL42" s="479">
        <f>'Hodnocení '!CL38</f>
        <v>1397371</v>
      </c>
      <c r="CM42" s="479">
        <f>'Hodnocení '!CM38</f>
        <v>5320660</v>
      </c>
      <c r="CN42" s="479">
        <f>'Hodnocení '!CN38</f>
        <v>1229970</v>
      </c>
      <c r="CO42" s="479">
        <f>'Hodnocení '!CO38</f>
        <v>1214500</v>
      </c>
      <c r="CP42" s="479">
        <f>'Hodnocení '!CP38</f>
        <v>1182600</v>
      </c>
      <c r="CQ42" s="479">
        <f>'Hodnocení '!CQ38</f>
        <v>2784980</v>
      </c>
      <c r="CR42" s="479">
        <f>'Hodnocení '!CR38</f>
        <v>1492330</v>
      </c>
      <c r="CS42" s="479">
        <f>'Hodnocení '!CS38</f>
        <v>0</v>
      </c>
      <c r="CT42" s="479">
        <f>'Hodnocení '!CT38</f>
        <v>2665670</v>
      </c>
      <c r="CU42" s="479">
        <f>'Hodnocení '!CU38</f>
        <v>1100000</v>
      </c>
      <c r="CV42" s="479">
        <f>'Hodnocení '!CV38</f>
        <v>3600000</v>
      </c>
      <c r="CW42" s="479">
        <f>'Hodnocení '!CW38</f>
        <v>0</v>
      </c>
      <c r="CX42" s="479">
        <f>'Hodnocení '!CX38</f>
        <v>2778000</v>
      </c>
      <c r="CY42" s="479">
        <f>'Hodnocení '!CY38</f>
        <v>2748954</v>
      </c>
      <c r="CZ42" s="479">
        <f>'Hodnocení '!CZ38</f>
        <v>0</v>
      </c>
      <c r="DA42" s="479">
        <f>'Hodnocení '!DA38</f>
        <v>5580860</v>
      </c>
      <c r="DB42" s="479">
        <f>'Hodnocení '!DB38</f>
        <v>665328</v>
      </c>
      <c r="DC42" s="479">
        <f>'Hodnocení '!DC38</f>
        <v>1623500</v>
      </c>
      <c r="DD42" s="479">
        <f>'Hodnocení '!DD38</f>
        <v>2508240</v>
      </c>
      <c r="DE42" s="479">
        <f>'Hodnocení '!DE38</f>
        <v>0</v>
      </c>
      <c r="DF42" s="479">
        <f>'Hodnocení '!DF38</f>
        <v>2713420</v>
      </c>
      <c r="DG42" s="479">
        <f>'Hodnocení '!DG38</f>
        <v>605740</v>
      </c>
      <c r="DH42" s="479">
        <f>'Hodnocení '!DH38</f>
        <v>541897</v>
      </c>
      <c r="DI42" s="479">
        <f>'Hodnocení '!DI38</f>
        <v>626030</v>
      </c>
      <c r="DJ42" s="479">
        <f>'Hodnocení '!DJ38</f>
        <v>844040</v>
      </c>
      <c r="DK42" s="479">
        <f>'Hodnocení '!DK38</f>
        <v>506700</v>
      </c>
      <c r="DL42" s="479">
        <f>'Hodnocení '!DL38</f>
        <v>3817224</v>
      </c>
      <c r="DM42" s="479">
        <f>'Hodnocení '!DM38</f>
        <v>1734348</v>
      </c>
      <c r="DN42" s="479">
        <f>'Hodnocení '!DN38</f>
        <v>2728440</v>
      </c>
      <c r="DO42" s="479">
        <f>'Hodnocení '!DO38</f>
        <v>1205810</v>
      </c>
      <c r="DP42" s="479">
        <f>'Hodnocení '!DP38</f>
        <v>3871189</v>
      </c>
      <c r="DQ42" s="479">
        <f>'Hodnocení '!DQ38</f>
        <v>2167520</v>
      </c>
      <c r="DR42" s="479">
        <f>'Hodnocení '!DR38</f>
        <v>2348410</v>
      </c>
      <c r="DS42" s="479">
        <f>'Hodnocení '!DS38</f>
        <v>0</v>
      </c>
      <c r="DT42" s="479">
        <f>'Hodnocení '!DT38</f>
        <v>2825000</v>
      </c>
      <c r="DU42" s="479">
        <f>'Hodnocení '!DU38</f>
        <v>1546867</v>
      </c>
      <c r="DV42" s="479">
        <f>'Hodnocení '!DV38</f>
        <v>3016720</v>
      </c>
      <c r="DW42" s="479">
        <f>'Hodnocení '!DW38</f>
        <v>1211410</v>
      </c>
      <c r="DX42" s="479">
        <f>'Hodnocení '!DX38</f>
        <v>2510561</v>
      </c>
      <c r="DY42" s="479">
        <f>'Hodnocení '!DY38</f>
        <v>3597150</v>
      </c>
      <c r="DZ42" s="479">
        <f>'Hodnocení '!DZ38</f>
        <v>716300</v>
      </c>
      <c r="EA42" s="479">
        <f>'Hodnocení '!EA38</f>
        <v>3633000</v>
      </c>
      <c r="EB42" s="479">
        <f>'Hodnocení '!EB38</f>
        <v>3882690</v>
      </c>
      <c r="EC42" s="479">
        <f>'Hodnocení '!EC38</f>
        <v>3345254</v>
      </c>
      <c r="ED42" s="479">
        <f>'Hodnocení '!ED38</f>
        <v>3457000</v>
      </c>
      <c r="EE42" s="479">
        <f>'Hodnocení '!EE38</f>
        <v>563624</v>
      </c>
      <c r="EF42" s="479">
        <f>'Hodnocení '!EF38</f>
        <v>640486</v>
      </c>
      <c r="EG42" s="479">
        <f>'Hodnocení '!EG38</f>
        <v>392240</v>
      </c>
      <c r="EH42" s="479">
        <f>'Hodnocení '!EH38</f>
        <v>537670</v>
      </c>
      <c r="EI42" s="479">
        <f>'Hodnocení '!EI38</f>
        <v>880000</v>
      </c>
      <c r="EJ42" s="479">
        <f>'Hodnocení '!EJ38</f>
        <v>531000</v>
      </c>
      <c r="EK42" s="479">
        <f>'Hodnocení '!EK38</f>
        <v>3593030</v>
      </c>
      <c r="EL42" s="479">
        <f>'Hodnocení '!EL38</f>
        <v>7973026</v>
      </c>
      <c r="EM42" s="479">
        <f>'Hodnocení '!EM38</f>
        <v>2488808</v>
      </c>
      <c r="EN42" s="479">
        <f>'Hodnocení '!EN38</f>
        <v>1368920</v>
      </c>
      <c r="EO42" s="479">
        <f>'Hodnocení '!EO38</f>
        <v>236418</v>
      </c>
      <c r="EP42" s="479">
        <f>'Hodnocení '!EP38</f>
        <v>2171123</v>
      </c>
      <c r="EQ42" s="479">
        <f>'Hodnocení '!EQ38</f>
        <v>1190738</v>
      </c>
      <c r="ER42" s="479">
        <f>'Hodnocení '!ER38</f>
        <v>5251868</v>
      </c>
      <c r="ES42" s="479">
        <f>'Hodnocení '!ES38</f>
        <v>2770560</v>
      </c>
      <c r="ET42" s="479">
        <f>'Hodnocení '!ET38</f>
        <v>0</v>
      </c>
      <c r="EU42" s="479">
        <f>'Hodnocení '!EU38</f>
        <v>0</v>
      </c>
      <c r="EV42" s="479">
        <f>'Hodnocení '!EV38</f>
        <v>225535</v>
      </c>
      <c r="EW42" s="479">
        <f>'Hodnocení '!EW38</f>
        <v>2356313</v>
      </c>
      <c r="EX42" s="479">
        <f>'Hodnocení '!EX38</f>
        <v>5404290</v>
      </c>
      <c r="EY42" s="479">
        <f>'Hodnocení '!EY38</f>
        <v>1024820</v>
      </c>
      <c r="EZ42" s="479">
        <f>'Hodnocení '!EZ38</f>
        <v>111326</v>
      </c>
      <c r="FA42" s="479">
        <f>'Hodnocení '!FA38</f>
        <v>685740</v>
      </c>
      <c r="FB42" s="479">
        <f>'Hodnocení '!FB38</f>
        <v>93750</v>
      </c>
      <c r="FC42" s="479">
        <f>'Hodnocení '!FC38</f>
        <v>3000000</v>
      </c>
      <c r="FD42" s="479">
        <f>'Hodnocení '!FD38</f>
        <v>370380</v>
      </c>
      <c r="FE42" s="479">
        <f>'Hodnocení '!FE38</f>
        <v>262500</v>
      </c>
      <c r="FF42" s="479">
        <f>'Hodnocení '!FF38</f>
        <v>1117120</v>
      </c>
      <c r="FG42" s="479">
        <f>'Hodnocení '!FG38</f>
        <v>4683650</v>
      </c>
      <c r="FH42" s="479">
        <f>'Hodnocení '!FH38</f>
        <v>5519580</v>
      </c>
      <c r="FI42" s="479">
        <f>'Hodnocení '!FI38</f>
        <v>5568487</v>
      </c>
      <c r="FJ42" s="479">
        <f>'Hodnocení '!FJ38</f>
        <v>1579046</v>
      </c>
      <c r="FK42" s="479">
        <f>'Hodnocení '!FK38</f>
        <v>281852</v>
      </c>
      <c r="FL42" s="479">
        <f>'Hodnocení '!FL38</f>
        <v>601762</v>
      </c>
      <c r="FM42" s="479">
        <f>'Hodnocení '!FM38</f>
        <v>2626403</v>
      </c>
      <c r="FN42" s="479">
        <f>'Hodnocení '!FN38</f>
        <v>6459380</v>
      </c>
      <c r="FO42" s="479">
        <f>'Hodnocení '!FO38</f>
        <v>1659657</v>
      </c>
      <c r="FP42" s="479">
        <f>'Hodnocení '!FP38</f>
        <v>12144452</v>
      </c>
      <c r="FQ42" s="479">
        <f>'Hodnocení '!FQ38</f>
        <v>1909423</v>
      </c>
      <c r="FR42" s="479">
        <f>'Hodnocení '!FR38</f>
        <v>0</v>
      </c>
      <c r="FS42" s="479">
        <f>'Hodnocení '!FS38</f>
        <v>477570</v>
      </c>
      <c r="FT42" s="479">
        <f>'Hodnocení '!FT38</f>
        <v>2948610</v>
      </c>
      <c r="FU42" s="479">
        <f>'Hodnocení '!FU38</f>
        <v>426547</v>
      </c>
      <c r="FV42" s="479">
        <f>'Hodnocení '!FV38</f>
        <v>559074</v>
      </c>
      <c r="FW42" s="479">
        <f>'Hodnocení '!FW38</f>
        <v>1013735</v>
      </c>
      <c r="FX42" s="479">
        <f>'Hodnocení '!FX38</f>
        <v>364926</v>
      </c>
      <c r="FY42" s="479">
        <f>'Hodnocení '!FY38</f>
        <v>150000</v>
      </c>
      <c r="FZ42" s="479">
        <f>'Hodnocení '!FZ38</f>
        <v>2576210</v>
      </c>
      <c r="GA42" s="479">
        <f>'Hodnocení '!GA38</f>
        <v>234850</v>
      </c>
      <c r="GB42" s="479">
        <f>'Hodnocení '!GB38</f>
        <v>1751320</v>
      </c>
      <c r="GC42" s="479">
        <f>'Hodnocení '!GC38</f>
        <v>2155529</v>
      </c>
      <c r="GD42" s="479">
        <f>'Hodnocení '!GD38</f>
        <v>4880300</v>
      </c>
      <c r="GE42" s="479">
        <f>'Hodnocení '!GE38</f>
        <v>774410</v>
      </c>
      <c r="GF42" s="479">
        <f>'Hodnocení '!GF38</f>
        <v>3590557</v>
      </c>
      <c r="GG42" s="479">
        <f>'Hodnocení '!GG38</f>
        <v>1234654</v>
      </c>
      <c r="GH42" s="479">
        <f>'Hodnocení '!GH38</f>
        <v>1026112</v>
      </c>
      <c r="GI42" s="479">
        <f>'Hodnocení '!GI38</f>
        <v>6898917</v>
      </c>
      <c r="GJ42" s="479">
        <f>'Hodnocení '!GJ38</f>
        <v>1317750</v>
      </c>
      <c r="GK42" s="479">
        <f>'Hodnocení '!GK38</f>
        <v>666130</v>
      </c>
      <c r="GL42" s="479">
        <f>'Hodnocení '!GL38</f>
        <v>529296</v>
      </c>
      <c r="GM42" s="479">
        <f>'Hodnocení '!GM38</f>
        <v>584410</v>
      </c>
      <c r="GN42" s="479">
        <f>'Hodnocení '!GN38</f>
        <v>201040</v>
      </c>
      <c r="GO42" s="479">
        <f>'Hodnocení '!GO38</f>
        <v>3471471</v>
      </c>
      <c r="GP42" s="479">
        <f>'Hodnocení '!GP38</f>
        <v>470270</v>
      </c>
      <c r="GQ42" s="479">
        <f>'Hodnocení '!GQ38</f>
        <v>426710</v>
      </c>
      <c r="GR42" s="479">
        <f>'Hodnocení '!GR38</f>
        <v>516450</v>
      </c>
      <c r="GS42" s="479">
        <f>'Hodnocení '!GS38</f>
        <v>133500</v>
      </c>
      <c r="GT42" s="479">
        <f>'Hodnocení '!GT38</f>
        <v>5724000</v>
      </c>
      <c r="GU42" s="479">
        <f>'Hodnocení '!GU38</f>
        <v>761571</v>
      </c>
      <c r="GV42" s="479">
        <f>'Hodnocení '!GV38</f>
        <v>4959810</v>
      </c>
      <c r="GW42" s="479">
        <f>'Hodnocení '!GW38</f>
        <v>1133866</v>
      </c>
      <c r="GX42" s="479">
        <f>'Hodnocení '!GX38</f>
        <v>97500</v>
      </c>
      <c r="GY42" s="479">
        <f>'Hodnocení '!GY38</f>
        <v>10521860</v>
      </c>
      <c r="GZ42" s="479">
        <f>'Hodnocení '!GZ38</f>
        <v>0</v>
      </c>
      <c r="HA42" s="479">
        <f>'Hodnocení '!HA38</f>
        <v>3864560</v>
      </c>
      <c r="HB42" s="479">
        <f>'Hodnocení '!HB38</f>
        <v>1991460</v>
      </c>
      <c r="HC42" s="479">
        <f>'Hodnocení '!HC38</f>
        <v>4360800</v>
      </c>
      <c r="HD42" s="479">
        <f>'Hodnocení '!HD38</f>
        <v>971100</v>
      </c>
      <c r="HE42" s="479">
        <f>'Hodnocení '!HE38</f>
        <v>3634850</v>
      </c>
      <c r="HF42" s="479">
        <f>'Hodnocení '!HF38</f>
        <v>480000</v>
      </c>
      <c r="HG42" s="479">
        <f>'Hodnocení '!HG38</f>
        <v>375000</v>
      </c>
      <c r="HH42" s="479">
        <f>'Hodnocení '!HH38</f>
        <v>1689660</v>
      </c>
      <c r="HI42" s="479">
        <f>'Hodnocení '!HI38</f>
        <v>1069500</v>
      </c>
      <c r="HJ42" s="479">
        <f>'Hodnocení '!HJ38</f>
        <v>128450</v>
      </c>
      <c r="HK42" s="479">
        <f>'Hodnocení '!HK38</f>
        <v>144000</v>
      </c>
      <c r="HL42" s="479">
        <f>'Hodnocení '!HL38</f>
        <v>24865973</v>
      </c>
      <c r="HM42" s="479">
        <f>'Hodnocení '!HM38</f>
        <v>17791098</v>
      </c>
      <c r="HN42" s="479">
        <f>'Hodnocení '!HN38</f>
        <v>579155</v>
      </c>
      <c r="HO42" s="479">
        <f>'Hodnocení '!HO38</f>
        <v>0</v>
      </c>
      <c r="HP42" s="479">
        <f>'Hodnocení '!HP38</f>
        <v>18789218</v>
      </c>
      <c r="HQ42" s="479">
        <f>'Hodnocení '!HQ38</f>
        <v>650000</v>
      </c>
      <c r="HR42" s="479">
        <f>'Hodnocení '!HR38</f>
        <v>22423092</v>
      </c>
      <c r="HS42" s="479">
        <f>'Hodnocení '!HS38</f>
        <v>3748370</v>
      </c>
      <c r="HT42" s="479">
        <f>'Hodnocení '!HT38</f>
        <v>15533685</v>
      </c>
      <c r="HU42" s="479">
        <f>'Hodnocení '!HU38</f>
        <v>15108994</v>
      </c>
      <c r="HV42" s="479">
        <f>'Hodnocení '!HV38</f>
        <v>11096127</v>
      </c>
      <c r="HW42" s="479">
        <f>'Hodnocení '!HW38</f>
        <v>4525979</v>
      </c>
      <c r="HX42" s="479">
        <f>'Hodnocení '!HX38</f>
        <v>10994091</v>
      </c>
      <c r="HY42" s="479">
        <f>'Hodnocení '!HY38</f>
        <v>13999762</v>
      </c>
      <c r="HZ42" s="479">
        <f>'Hodnocení '!HZ38</f>
        <v>6629941</v>
      </c>
      <c r="IA42" s="479">
        <f>'Hodnocení '!IA38</f>
        <v>6267487</v>
      </c>
      <c r="IB42" s="479">
        <f>'Hodnocení '!IB38</f>
        <v>5637181</v>
      </c>
      <c r="IC42" s="479">
        <f>'Hodnocení '!IC38</f>
        <v>7185742</v>
      </c>
      <c r="ID42" s="479">
        <f>'Hodnocení '!ID38</f>
        <v>6530764</v>
      </c>
      <c r="IE42" s="479">
        <f>'Hodnocení '!IE38</f>
        <v>11981892</v>
      </c>
      <c r="IF42" s="479">
        <f>'Hodnocení '!IF38</f>
        <v>11622390</v>
      </c>
      <c r="IG42" s="479">
        <f>'Hodnocení '!IG38</f>
        <v>2657677</v>
      </c>
      <c r="IH42" s="479">
        <f>'Hodnocení '!IH38</f>
        <v>1601240</v>
      </c>
      <c r="II42" s="479">
        <f>'Hodnocení '!II38</f>
        <v>13910117</v>
      </c>
      <c r="IJ42" s="479">
        <f>'Hodnocení '!IJ38</f>
        <v>907690</v>
      </c>
      <c r="IK42" s="479">
        <f>'Hodnocení '!IK38</f>
        <v>0</v>
      </c>
      <c r="IL42" s="479">
        <f>'Hodnocení '!IL38</f>
        <v>6220656</v>
      </c>
      <c r="IM42" s="479">
        <f>'Hodnocení '!IM38</f>
        <v>535450</v>
      </c>
      <c r="IN42" s="479">
        <f>'Hodnocení '!IN38</f>
        <v>7047423</v>
      </c>
      <c r="IO42" s="479">
        <f>'Hodnocení '!IO38</f>
        <v>2196410</v>
      </c>
      <c r="IP42" s="479">
        <f>'Hodnocení '!IP38</f>
        <v>15516867</v>
      </c>
      <c r="IQ42" s="479">
        <f>'Hodnocení '!IQ38</f>
        <v>14923149</v>
      </c>
      <c r="IR42" s="479">
        <f>'Hodnocení '!IR38</f>
        <v>634880</v>
      </c>
      <c r="IS42" s="479">
        <f>'Hodnocení '!IS38</f>
        <v>35748234</v>
      </c>
      <c r="IT42" s="479">
        <f>'Hodnocení '!IT38</f>
        <v>7833300</v>
      </c>
      <c r="IU42" s="479">
        <f>'Hodnocení '!IU38</f>
        <v>1867270</v>
      </c>
      <c r="IV42" s="479">
        <f>'Hodnocení '!IV38</f>
        <v>5364812</v>
      </c>
      <c r="IW42" s="479">
        <f>'Hodnocení '!IW38</f>
        <v>10608684</v>
      </c>
      <c r="IX42" s="479">
        <f>'Hodnocení '!IX38</f>
        <v>1039600</v>
      </c>
      <c r="IY42" s="479">
        <f>'Hodnocení '!IY38</f>
        <v>4689162</v>
      </c>
      <c r="IZ42" s="479">
        <f>'Hodnocení '!IZ38</f>
        <v>13451430</v>
      </c>
      <c r="JA42" s="479">
        <f>'Hodnocení '!JA38</f>
        <v>2298510</v>
      </c>
      <c r="JB42" s="479">
        <f>'Hodnocení '!JB38</f>
        <v>2067000</v>
      </c>
      <c r="JC42" s="479">
        <f>'Hodnocení '!JC38</f>
        <v>1625000</v>
      </c>
      <c r="JD42" s="479">
        <f>'Hodnocení '!JD38</f>
        <v>2766100</v>
      </c>
      <c r="JE42" s="479">
        <f>'Hodnocení '!JE38</f>
        <v>330011</v>
      </c>
      <c r="JF42" s="479">
        <f>'Hodnocení '!JF38</f>
        <v>21453694</v>
      </c>
      <c r="JG42" s="479">
        <f>'Hodnocení '!JG38</f>
        <v>20631537</v>
      </c>
      <c r="JH42" s="780">
        <f>'Hodnocení '!JH38</f>
        <v>868740</v>
      </c>
      <c r="JI42" s="470">
        <f>'Hodnocení '!JI38</f>
        <v>874242718</v>
      </c>
      <c r="JL42" s="307">
        <f t="shared" si="38"/>
        <v>21448000</v>
      </c>
      <c r="JM42" s="307">
        <f t="shared" si="38"/>
        <v>299065333</v>
      </c>
      <c r="JN42" s="307">
        <f t="shared" si="38"/>
        <v>138973801</v>
      </c>
      <c r="JO42" s="307">
        <f t="shared" si="38"/>
        <v>414755584</v>
      </c>
      <c r="JP42" s="307">
        <f t="shared" si="39"/>
        <v>874242718</v>
      </c>
    </row>
    <row r="43" spans="1:276" hidden="1" x14ac:dyDescent="0.25">
      <c r="B43" s="733" t="s">
        <v>1837</v>
      </c>
      <c r="C43" s="779">
        <f>'Hodnocení '!C39</f>
        <v>301000</v>
      </c>
      <c r="D43" s="479">
        <f>'Hodnocení '!D39</f>
        <v>123100</v>
      </c>
      <c r="E43" s="479">
        <f>'Hodnocení '!E39</f>
        <v>296405</v>
      </c>
      <c r="F43" s="479">
        <f>'Hodnocení '!F39</f>
        <v>0</v>
      </c>
      <c r="G43" s="479">
        <f>'Hodnocení '!G39</f>
        <v>0</v>
      </c>
      <c r="H43" s="479">
        <f>'Hodnocení '!H39</f>
        <v>0</v>
      </c>
      <c r="I43" s="479">
        <f>'Hodnocení '!I39</f>
        <v>0</v>
      </c>
      <c r="J43" s="479">
        <f>'Hodnocení '!J39</f>
        <v>49239</v>
      </c>
      <c r="K43" s="479">
        <f>'Hodnocení '!K39</f>
        <v>0</v>
      </c>
      <c r="L43" s="479">
        <f>'Hodnocení '!L39</f>
        <v>175000</v>
      </c>
      <c r="M43" s="479">
        <f>'Hodnocení '!M39</f>
        <v>185189</v>
      </c>
      <c r="N43" s="479">
        <f>'Hodnocení '!N39</f>
        <v>310000</v>
      </c>
      <c r="O43" s="479">
        <f>'Hodnocení '!O39</f>
        <v>216223</v>
      </c>
      <c r="P43" s="479">
        <f>'Hodnocení '!P39</f>
        <v>136636</v>
      </c>
      <c r="Q43" s="479">
        <f>'Hodnocení '!Q39</f>
        <v>93000</v>
      </c>
      <c r="R43" s="479">
        <f>'Hodnocení '!R39</f>
        <v>221718.1</v>
      </c>
      <c r="S43" s="479">
        <f>'Hodnocení '!S39</f>
        <v>149652.79999999999</v>
      </c>
      <c r="T43" s="479">
        <f>'Hodnocení '!T39</f>
        <v>64336</v>
      </c>
      <c r="U43" s="479">
        <f>'Hodnocení '!U39</f>
        <v>108004</v>
      </c>
      <c r="V43" s="479">
        <f>'Hodnocení '!V39</f>
        <v>68620</v>
      </c>
      <c r="W43" s="479">
        <f>'Hodnocení '!W39</f>
        <v>31000</v>
      </c>
      <c r="X43" s="479">
        <f>'Hodnocení '!X39</f>
        <v>0</v>
      </c>
      <c r="Y43" s="479">
        <f>'Hodnocení '!Y39</f>
        <v>122810</v>
      </c>
      <c r="Z43" s="479">
        <f>'Hodnocení '!Z39</f>
        <v>196000</v>
      </c>
      <c r="AA43" s="479">
        <f>'Hodnocení '!AA39</f>
        <v>0</v>
      </c>
      <c r="AB43" s="479">
        <f>'Hodnocení '!AB39</f>
        <v>130000</v>
      </c>
      <c r="AC43" s="479">
        <f>'Hodnocení '!AC39</f>
        <v>148000</v>
      </c>
      <c r="AD43" s="479">
        <f>'Hodnocení '!AD39</f>
        <v>134000</v>
      </c>
      <c r="AE43" s="479">
        <f>'Hodnocení '!AE39</f>
        <v>26897</v>
      </c>
      <c r="AF43" s="479">
        <f>'Hodnocení '!AF39</f>
        <v>0</v>
      </c>
      <c r="AG43" s="479">
        <f>'Hodnocení '!AG39</f>
        <v>223852</v>
      </c>
      <c r="AH43" s="479">
        <f>'Hodnocení '!AH39</f>
        <v>67966</v>
      </c>
      <c r="AI43" s="479">
        <f>'Hodnocení '!AI39</f>
        <v>347000</v>
      </c>
      <c r="AJ43" s="479">
        <f>'Hodnocení '!AJ39</f>
        <v>118300</v>
      </c>
      <c r="AK43" s="479">
        <f>'Hodnocení '!AK39</f>
        <v>108405</v>
      </c>
      <c r="AL43" s="479">
        <f>'Hodnocení '!AL39</f>
        <v>22008</v>
      </c>
      <c r="AM43" s="479">
        <f>'Hodnocení '!AM39</f>
        <v>150000</v>
      </c>
      <c r="AN43" s="479">
        <f>'Hodnocení '!AN39</f>
        <v>0</v>
      </c>
      <c r="AO43" s="479">
        <f>'Hodnocení '!AO39</f>
        <v>225228</v>
      </c>
      <c r="AP43" s="479">
        <f>'Hodnocení '!AP39</f>
        <v>178955</v>
      </c>
      <c r="AQ43" s="479">
        <f>'Hodnocení '!AQ39</f>
        <v>52478</v>
      </c>
      <c r="AR43" s="479">
        <f>'Hodnocení '!AR39</f>
        <v>40000</v>
      </c>
      <c r="AS43" s="479">
        <f>'Hodnocení '!AS39</f>
        <v>32332</v>
      </c>
      <c r="AT43" s="479">
        <f>'Hodnocení '!AT39</f>
        <v>0</v>
      </c>
      <c r="AU43" s="479">
        <f>'Hodnocení '!AU39</f>
        <v>33832</v>
      </c>
      <c r="AV43" s="479">
        <f>'Hodnocení '!AV39</f>
        <v>0</v>
      </c>
      <c r="AW43" s="479">
        <f>'Hodnocení '!AW39</f>
        <v>0</v>
      </c>
      <c r="AX43" s="479">
        <f>'Hodnocení '!AX39</f>
        <v>226210</v>
      </c>
      <c r="AY43" s="479">
        <f>'Hodnocení '!AY39</f>
        <v>184559</v>
      </c>
      <c r="AZ43" s="479">
        <f>'Hodnocení '!AZ39</f>
        <v>141000</v>
      </c>
      <c r="BA43" s="479">
        <f>'Hodnocení '!BA39</f>
        <v>0</v>
      </c>
      <c r="BB43" s="479">
        <f>'Hodnocení '!BB39</f>
        <v>0</v>
      </c>
      <c r="BC43" s="479">
        <f>'Hodnocení '!BC39</f>
        <v>36785</v>
      </c>
      <c r="BD43" s="479">
        <f>'Hodnocení '!BD39</f>
        <v>112000</v>
      </c>
      <c r="BE43" s="479">
        <f>'Hodnocení '!BE39</f>
        <v>113000</v>
      </c>
      <c r="BF43" s="479">
        <f>'Hodnocení '!BF39</f>
        <v>106960</v>
      </c>
      <c r="BG43" s="479">
        <f>'Hodnocení '!BG39</f>
        <v>99346</v>
      </c>
      <c r="BH43" s="479">
        <f>'Hodnocení '!BH39</f>
        <v>235948</v>
      </c>
      <c r="BI43" s="479">
        <f>'Hodnocení '!BI39</f>
        <v>219023</v>
      </c>
      <c r="BJ43" s="479">
        <f>'Hodnocení '!BJ39</f>
        <v>0</v>
      </c>
      <c r="BK43" s="479">
        <f>'Hodnocení '!BK39</f>
        <v>0</v>
      </c>
      <c r="BL43" s="479">
        <f>'Hodnocení '!BL39</f>
        <v>0</v>
      </c>
      <c r="BM43" s="479">
        <f>'Hodnocení '!BM39</f>
        <v>150000</v>
      </c>
      <c r="BN43" s="479">
        <f>'Hodnocení '!BN39</f>
        <v>0</v>
      </c>
      <c r="BO43" s="479">
        <f>'Hodnocení '!BO39</f>
        <v>0</v>
      </c>
      <c r="BP43" s="479">
        <f>'Hodnocení '!BP39</f>
        <v>458716</v>
      </c>
      <c r="BQ43" s="479">
        <f>'Hodnocení '!BQ39</f>
        <v>0</v>
      </c>
      <c r="BR43" s="479">
        <f>'Hodnocení '!BR39</f>
        <v>65000</v>
      </c>
      <c r="BS43" s="479">
        <f>'Hodnocení '!BS39</f>
        <v>100000</v>
      </c>
      <c r="BT43" s="479">
        <f>'Hodnocení '!BT39</f>
        <v>79000</v>
      </c>
      <c r="BU43" s="479">
        <f>'Hodnocení '!BU39</f>
        <v>489256</v>
      </c>
      <c r="BV43" s="479">
        <f>'Hodnocení '!BV39</f>
        <v>450000</v>
      </c>
      <c r="BW43" s="479">
        <f>'Hodnocení '!BW39</f>
        <v>10683</v>
      </c>
      <c r="BX43" s="479">
        <f>'Hodnocení '!BX39</f>
        <v>156971</v>
      </c>
      <c r="BY43" s="479">
        <f>'Hodnocení '!BY39</f>
        <v>101000</v>
      </c>
      <c r="BZ43" s="479">
        <f>'Hodnocení '!BZ39</f>
        <v>36000</v>
      </c>
      <c r="CA43" s="479">
        <f>'Hodnocení '!CA39</f>
        <v>0</v>
      </c>
      <c r="CB43" s="479">
        <f>'Hodnocení '!CB39</f>
        <v>0</v>
      </c>
      <c r="CC43" s="479">
        <f>'Hodnocení '!CC39</f>
        <v>0</v>
      </c>
      <c r="CD43" s="479">
        <f>'Hodnocení '!CD39</f>
        <v>0</v>
      </c>
      <c r="CE43" s="479">
        <f>'Hodnocení '!CE39</f>
        <v>0</v>
      </c>
      <c r="CF43" s="479">
        <f>'Hodnocení '!CF39</f>
        <v>0</v>
      </c>
      <c r="CG43" s="479">
        <f>'Hodnocení '!CG39</f>
        <v>0</v>
      </c>
      <c r="CH43" s="479">
        <f>'Hodnocení '!CH39</f>
        <v>0</v>
      </c>
      <c r="CI43" s="479">
        <f>'Hodnocení '!CI39</f>
        <v>47850</v>
      </c>
      <c r="CJ43" s="479">
        <f>'Hodnocení '!CJ39</f>
        <v>0</v>
      </c>
      <c r="CK43" s="479">
        <f>'Hodnocení '!CK39</f>
        <v>0</v>
      </c>
      <c r="CL43" s="479">
        <f>'Hodnocení '!CL39</f>
        <v>0</v>
      </c>
      <c r="CM43" s="479">
        <f>'Hodnocení '!CM39</f>
        <v>0</v>
      </c>
      <c r="CN43" s="479">
        <f>'Hodnocení '!CN39</f>
        <v>52605.14</v>
      </c>
      <c r="CO43" s="479">
        <f>'Hodnocení '!CO39</f>
        <v>0</v>
      </c>
      <c r="CP43" s="479">
        <f>'Hodnocení '!CP39</f>
        <v>55825.46</v>
      </c>
      <c r="CQ43" s="479">
        <f>'Hodnocení '!CQ39</f>
        <v>0</v>
      </c>
      <c r="CR43" s="479">
        <f>'Hodnocení '!CR39</f>
        <v>124470</v>
      </c>
      <c r="CS43" s="479">
        <f>'Hodnocení '!CS39</f>
        <v>0</v>
      </c>
      <c r="CT43" s="479">
        <f>'Hodnocení '!CT39</f>
        <v>196918</v>
      </c>
      <c r="CU43" s="479">
        <f>'Hodnocení '!CU39</f>
        <v>300500</v>
      </c>
      <c r="CV43" s="479">
        <f>'Hodnocení '!CV39</f>
        <v>1431500</v>
      </c>
      <c r="CW43" s="479">
        <f>'Hodnocení '!CW39</f>
        <v>271401</v>
      </c>
      <c r="CX43" s="479">
        <f>'Hodnocení '!CX39</f>
        <v>350000</v>
      </c>
      <c r="CY43" s="479">
        <f>'Hodnocení '!CY39</f>
        <v>0</v>
      </c>
      <c r="CZ43" s="479">
        <f>'Hodnocení '!CZ39</f>
        <v>0</v>
      </c>
      <c r="DA43" s="479">
        <f>'Hodnocení '!DA39</f>
        <v>0</v>
      </c>
      <c r="DB43" s="479">
        <f>'Hodnocení '!DB39</f>
        <v>0</v>
      </c>
      <c r="DC43" s="479">
        <f>'Hodnocení '!DC39</f>
        <v>0</v>
      </c>
      <c r="DD43" s="479">
        <f>'Hodnocení '!DD39</f>
        <v>0</v>
      </c>
      <c r="DE43" s="479">
        <f>'Hodnocení '!DE39</f>
        <v>970550</v>
      </c>
      <c r="DF43" s="479">
        <f>'Hodnocení '!DF39</f>
        <v>0</v>
      </c>
      <c r="DG43" s="479">
        <f>'Hodnocení '!DG39</f>
        <v>0</v>
      </c>
      <c r="DH43" s="479">
        <f>'Hodnocení '!DH39</f>
        <v>376078</v>
      </c>
      <c r="DI43" s="479">
        <f>'Hodnocení '!DI39</f>
        <v>20094</v>
      </c>
      <c r="DJ43" s="479">
        <f>'Hodnocení '!DJ39</f>
        <v>0</v>
      </c>
      <c r="DK43" s="479">
        <f>'Hodnocení '!DK39</f>
        <v>10236</v>
      </c>
      <c r="DL43" s="479">
        <f>'Hodnocení '!DL39</f>
        <v>0</v>
      </c>
      <c r="DM43" s="479">
        <f>'Hodnocení '!DM39</f>
        <v>0</v>
      </c>
      <c r="DN43" s="479">
        <f>'Hodnocení '!DN39</f>
        <v>252325</v>
      </c>
      <c r="DO43" s="479">
        <f>'Hodnocení '!DO39</f>
        <v>191965</v>
      </c>
      <c r="DP43" s="479">
        <f>'Hodnocení '!DP39</f>
        <v>174174.78</v>
      </c>
      <c r="DQ43" s="479">
        <f>'Hodnocení '!DQ39</f>
        <v>137043</v>
      </c>
      <c r="DR43" s="479">
        <f>'Hodnocení '!DR39</f>
        <v>603228</v>
      </c>
      <c r="DS43" s="479">
        <f>'Hodnocení '!DS39</f>
        <v>331000</v>
      </c>
      <c r="DT43" s="479">
        <f>'Hodnocení '!DT39</f>
        <v>81291</v>
      </c>
      <c r="DU43" s="479">
        <f>'Hodnocení '!DU39</f>
        <v>40924</v>
      </c>
      <c r="DV43" s="479">
        <f>'Hodnocení '!DV39</f>
        <v>128757</v>
      </c>
      <c r="DW43" s="479">
        <f>'Hodnocení '!DW39</f>
        <v>0</v>
      </c>
      <c r="DX43" s="479">
        <f>'Hodnocení '!DX39</f>
        <v>0</v>
      </c>
      <c r="DY43" s="479">
        <f>'Hodnocení '!DY39</f>
        <v>158000</v>
      </c>
      <c r="DZ43" s="479">
        <f>'Hodnocení '!DZ39</f>
        <v>0</v>
      </c>
      <c r="EA43" s="479">
        <f>'Hodnocení '!EA39</f>
        <v>262188</v>
      </c>
      <c r="EB43" s="479">
        <f>'Hodnocení '!EB39</f>
        <v>0</v>
      </c>
      <c r="EC43" s="479">
        <f>'Hodnocení '!EC39</f>
        <v>0</v>
      </c>
      <c r="ED43" s="479">
        <f>'Hodnocení '!ED39</f>
        <v>15808</v>
      </c>
      <c r="EE43" s="479">
        <f>'Hodnocení '!EE39</f>
        <v>0</v>
      </c>
      <c r="EF43" s="479">
        <f>'Hodnocení '!EF39</f>
        <v>28601.59</v>
      </c>
      <c r="EG43" s="479">
        <f>'Hodnocení '!EG39</f>
        <v>35588.990000000005</v>
      </c>
      <c r="EH43" s="479">
        <f>'Hodnocení '!EH39</f>
        <v>22000</v>
      </c>
      <c r="EI43" s="479">
        <f>'Hodnocení '!EI39</f>
        <v>30753</v>
      </c>
      <c r="EJ43" s="479">
        <f>'Hodnocení '!EJ39</f>
        <v>45000</v>
      </c>
      <c r="EK43" s="479">
        <f>'Hodnocení '!EK39</f>
        <v>339012</v>
      </c>
      <c r="EL43" s="479">
        <f>'Hodnocení '!EL39</f>
        <v>651000</v>
      </c>
      <c r="EM43" s="479">
        <f>'Hodnocení '!EM39</f>
        <v>210000</v>
      </c>
      <c r="EN43" s="479">
        <f>'Hodnocení '!EN39</f>
        <v>58055</v>
      </c>
      <c r="EO43" s="479">
        <f>'Hodnocení '!EO39</f>
        <v>0</v>
      </c>
      <c r="EP43" s="479">
        <f>'Hodnocení '!EP39</f>
        <v>0</v>
      </c>
      <c r="EQ43" s="479">
        <f>'Hodnocení '!EQ39</f>
        <v>0</v>
      </c>
      <c r="ER43" s="479">
        <f>'Hodnocení '!ER39</f>
        <v>0</v>
      </c>
      <c r="ES43" s="479">
        <f>'Hodnocení '!ES39</f>
        <v>0</v>
      </c>
      <c r="ET43" s="479">
        <f>'Hodnocení '!ET39</f>
        <v>0</v>
      </c>
      <c r="EU43" s="479">
        <f>'Hodnocení '!EU39</f>
        <v>804000</v>
      </c>
      <c r="EV43" s="479">
        <f>'Hodnocení '!EV39</f>
        <v>0</v>
      </c>
      <c r="EW43" s="479">
        <f>'Hodnocení '!EW39</f>
        <v>0</v>
      </c>
      <c r="EX43" s="479">
        <f>'Hodnocení '!EX39</f>
        <v>0</v>
      </c>
      <c r="EY43" s="479">
        <f>'Hodnocení '!EY39</f>
        <v>0</v>
      </c>
      <c r="EZ43" s="479">
        <f>'Hodnocení '!EZ39</f>
        <v>0</v>
      </c>
      <c r="FA43" s="479">
        <f>'Hodnocení '!FA39</f>
        <v>107952</v>
      </c>
      <c r="FB43" s="479">
        <f>'Hodnocení '!FB39</f>
        <v>46011</v>
      </c>
      <c r="FC43" s="479">
        <f>'Hodnocení '!FC39</f>
        <v>0</v>
      </c>
      <c r="FD43" s="479">
        <f>'Hodnocení '!FD39</f>
        <v>0</v>
      </c>
      <c r="FE43" s="479">
        <f>'Hodnocení '!FE39</f>
        <v>0</v>
      </c>
      <c r="FF43" s="479">
        <f>'Hodnocení '!FF39</f>
        <v>0</v>
      </c>
      <c r="FG43" s="479">
        <f>'Hodnocení '!FG39</f>
        <v>0</v>
      </c>
      <c r="FH43" s="479">
        <f>'Hodnocení '!FH39</f>
        <v>0</v>
      </c>
      <c r="FI43" s="479">
        <f>'Hodnocení '!FI39</f>
        <v>0</v>
      </c>
      <c r="FJ43" s="479">
        <f>'Hodnocení '!FJ39</f>
        <v>0</v>
      </c>
      <c r="FK43" s="479">
        <f>'Hodnocení '!FK39</f>
        <v>0</v>
      </c>
      <c r="FL43" s="479">
        <f>'Hodnocení '!FL39</f>
        <v>0</v>
      </c>
      <c r="FM43" s="479">
        <f>'Hodnocení '!FM39</f>
        <v>0</v>
      </c>
      <c r="FN43" s="479">
        <f>'Hodnocení '!FN39</f>
        <v>0</v>
      </c>
      <c r="FO43" s="479">
        <f>'Hodnocení '!FO39</f>
        <v>0</v>
      </c>
      <c r="FP43" s="479">
        <f>'Hodnocení '!FP39</f>
        <v>0</v>
      </c>
      <c r="FQ43" s="479">
        <f>'Hodnocení '!FQ39</f>
        <v>0</v>
      </c>
      <c r="FR43" s="479">
        <f>'Hodnocení '!FR39</f>
        <v>0</v>
      </c>
      <c r="FS43" s="479">
        <f>'Hodnocení '!FS39</f>
        <v>0</v>
      </c>
      <c r="FT43" s="479">
        <f>'Hodnocení '!FT39</f>
        <v>0</v>
      </c>
      <c r="FU43" s="479">
        <f>'Hodnocení '!FU39</f>
        <v>0</v>
      </c>
      <c r="FV43" s="479">
        <f>'Hodnocení '!FV39</f>
        <v>0</v>
      </c>
      <c r="FW43" s="479">
        <f>'Hodnocení '!FW39</f>
        <v>0</v>
      </c>
      <c r="FX43" s="479">
        <f>'Hodnocení '!FX39</f>
        <v>0</v>
      </c>
      <c r="FY43" s="479">
        <f>'Hodnocení '!FY39</f>
        <v>59591</v>
      </c>
      <c r="FZ43" s="479">
        <f>'Hodnocení '!FZ39</f>
        <v>0</v>
      </c>
      <c r="GA43" s="479">
        <f>'Hodnocení '!GA39</f>
        <v>0</v>
      </c>
      <c r="GB43" s="479">
        <f>'Hodnocení '!GB39</f>
        <v>0</v>
      </c>
      <c r="GC43" s="479">
        <f>'Hodnocení '!GC39</f>
        <v>0</v>
      </c>
      <c r="GD43" s="479">
        <f>'Hodnocení '!GD39</f>
        <v>2241991</v>
      </c>
      <c r="GE43" s="479">
        <f>'Hodnocení '!GE39</f>
        <v>0</v>
      </c>
      <c r="GF43" s="479">
        <f>'Hodnocení '!GF39</f>
        <v>0</v>
      </c>
      <c r="GG43" s="479">
        <f>'Hodnocení '!GG39</f>
        <v>55327</v>
      </c>
      <c r="GH43" s="479">
        <f>'Hodnocení '!GH39</f>
        <v>63470</v>
      </c>
      <c r="GI43" s="479">
        <f>'Hodnocení '!GI39</f>
        <v>0</v>
      </c>
      <c r="GJ43" s="479">
        <f>'Hodnocení '!GJ39</f>
        <v>349751</v>
      </c>
      <c r="GK43" s="479">
        <f>'Hodnocení '!GK39</f>
        <v>0</v>
      </c>
      <c r="GL43" s="479">
        <f>'Hodnocení '!GL39</f>
        <v>0</v>
      </c>
      <c r="GM43" s="479">
        <f>'Hodnocení '!GM39</f>
        <v>168830</v>
      </c>
      <c r="GN43" s="479">
        <f>'Hodnocení '!GN39</f>
        <v>0</v>
      </c>
      <c r="GO43" s="479">
        <f>'Hodnocení '!GO39</f>
        <v>110078</v>
      </c>
      <c r="GP43" s="479">
        <f>'Hodnocení '!GP39</f>
        <v>50000</v>
      </c>
      <c r="GQ43" s="479">
        <f>'Hodnocení '!GQ39</f>
        <v>313520</v>
      </c>
      <c r="GR43" s="479">
        <f>'Hodnocení '!GR39</f>
        <v>176702</v>
      </c>
      <c r="GS43" s="479">
        <f>'Hodnocení '!GS39</f>
        <v>32386</v>
      </c>
      <c r="GT43" s="479">
        <f>'Hodnocení '!GT39</f>
        <v>2621502</v>
      </c>
      <c r="GU43" s="479">
        <f>'Hodnocení '!GU39</f>
        <v>0</v>
      </c>
      <c r="GV43" s="479">
        <f>'Hodnocení '!GV39</f>
        <v>0</v>
      </c>
      <c r="GW43" s="479">
        <f>'Hodnocení '!GW39</f>
        <v>0</v>
      </c>
      <c r="GX43" s="479">
        <f>'Hodnocení '!GX39</f>
        <v>56833</v>
      </c>
      <c r="GY43" s="479">
        <f>'Hodnocení '!GY39</f>
        <v>200000</v>
      </c>
      <c r="GZ43" s="479">
        <f>'Hodnocení '!GZ39</f>
        <v>0</v>
      </c>
      <c r="HA43" s="479">
        <f>'Hodnocení '!HA39</f>
        <v>1012000</v>
      </c>
      <c r="HB43" s="479">
        <f>'Hodnocení '!HB39</f>
        <v>0</v>
      </c>
      <c r="HC43" s="479">
        <f>'Hodnocení '!HC39</f>
        <v>773200</v>
      </c>
      <c r="HD43" s="479">
        <f>'Hodnocení '!HD39</f>
        <v>430200</v>
      </c>
      <c r="HE43" s="479">
        <f>'Hodnocení '!HE39</f>
        <v>808350</v>
      </c>
      <c r="HF43" s="479">
        <f>'Hodnocení '!HF39</f>
        <v>227286</v>
      </c>
      <c r="HG43" s="479">
        <f>'Hodnocení '!HG39</f>
        <v>143077</v>
      </c>
      <c r="HH43" s="479">
        <f>'Hodnocení '!HH39</f>
        <v>296118</v>
      </c>
      <c r="HI43" s="479">
        <f>'Hodnocení '!HI39</f>
        <v>445123</v>
      </c>
      <c r="HJ43" s="479">
        <f>'Hodnocení '!HJ39</f>
        <v>115703</v>
      </c>
      <c r="HK43" s="479">
        <f>'Hodnocení '!HK39</f>
        <v>0</v>
      </c>
      <c r="HL43" s="479">
        <f>'Hodnocení '!HL39</f>
        <v>0</v>
      </c>
      <c r="HM43" s="479">
        <f>'Hodnocení '!HM39</f>
        <v>0</v>
      </c>
      <c r="HN43" s="479">
        <f>'Hodnocení '!HN39</f>
        <v>0</v>
      </c>
      <c r="HO43" s="479">
        <f>'Hodnocení '!HO39</f>
        <v>0</v>
      </c>
      <c r="HP43" s="479">
        <f>'Hodnocení '!HP39</f>
        <v>0</v>
      </c>
      <c r="HQ43" s="479">
        <f>'Hodnocení '!HQ39</f>
        <v>0</v>
      </c>
      <c r="HR43" s="479">
        <f>'Hodnocení '!HR39</f>
        <v>0</v>
      </c>
      <c r="HS43" s="479">
        <f>'Hodnocení '!HS39</f>
        <v>0</v>
      </c>
      <c r="HT43" s="479">
        <f>'Hodnocení '!HT39</f>
        <v>0</v>
      </c>
      <c r="HU43" s="479">
        <f>'Hodnocení '!HU39</f>
        <v>0</v>
      </c>
      <c r="HV43" s="479">
        <f>'Hodnocení '!HV39</f>
        <v>0</v>
      </c>
      <c r="HW43" s="479">
        <f>'Hodnocení '!HW39</f>
        <v>0</v>
      </c>
      <c r="HX43" s="479">
        <f>'Hodnocení '!HX39</f>
        <v>0</v>
      </c>
      <c r="HY43" s="479">
        <f>'Hodnocení '!HY39</f>
        <v>0</v>
      </c>
      <c r="HZ43" s="479">
        <f>'Hodnocení '!HZ39</f>
        <v>0</v>
      </c>
      <c r="IA43" s="479">
        <f>'Hodnocení '!IA39</f>
        <v>0</v>
      </c>
      <c r="IB43" s="479">
        <f>'Hodnocení '!IB39</f>
        <v>0</v>
      </c>
      <c r="IC43" s="479">
        <f>'Hodnocení '!IC39</f>
        <v>0</v>
      </c>
      <c r="ID43" s="479">
        <f>'Hodnocení '!ID39</f>
        <v>0</v>
      </c>
      <c r="IE43" s="479">
        <f>'Hodnocení '!IE39</f>
        <v>0</v>
      </c>
      <c r="IF43" s="479">
        <f>'Hodnocení '!IF39</f>
        <v>0</v>
      </c>
      <c r="IG43" s="479">
        <f>'Hodnocení '!IG39</f>
        <v>0</v>
      </c>
      <c r="IH43" s="479">
        <f>'Hodnocení '!IH39</f>
        <v>0</v>
      </c>
      <c r="II43" s="479">
        <f>'Hodnocení '!II39</f>
        <v>0</v>
      </c>
      <c r="IJ43" s="479">
        <f>'Hodnocení '!IJ39</f>
        <v>0</v>
      </c>
      <c r="IK43" s="479">
        <f>'Hodnocení '!IK39</f>
        <v>0</v>
      </c>
      <c r="IL43" s="479">
        <f>'Hodnocení '!IL39</f>
        <v>0</v>
      </c>
      <c r="IM43" s="479">
        <f>'Hodnocení '!IM39</f>
        <v>0</v>
      </c>
      <c r="IN43" s="479">
        <f>'Hodnocení '!IN39</f>
        <v>0</v>
      </c>
      <c r="IO43" s="479">
        <f>'Hodnocení '!IO39</f>
        <v>0</v>
      </c>
      <c r="IP43" s="479">
        <f>'Hodnocení '!IP39</f>
        <v>0</v>
      </c>
      <c r="IQ43" s="479">
        <f>'Hodnocení '!IQ39</f>
        <v>0</v>
      </c>
      <c r="IR43" s="479">
        <f>'Hodnocení '!IR39</f>
        <v>0</v>
      </c>
      <c r="IS43" s="479">
        <f>'Hodnocení '!IS39</f>
        <v>0</v>
      </c>
      <c r="IT43" s="479">
        <f>'Hodnocení '!IT39</f>
        <v>0</v>
      </c>
      <c r="IU43" s="479">
        <f>'Hodnocení '!IU39</f>
        <v>0</v>
      </c>
      <c r="IV43" s="479">
        <f>'Hodnocení '!IV39</f>
        <v>0</v>
      </c>
      <c r="IW43" s="479">
        <f>'Hodnocení '!IW39</f>
        <v>0</v>
      </c>
      <c r="IX43" s="479">
        <f>'Hodnocení '!IX39</f>
        <v>0</v>
      </c>
      <c r="IY43" s="479">
        <f>'Hodnocení '!IY39</f>
        <v>0</v>
      </c>
      <c r="IZ43" s="479">
        <f>'Hodnocení '!IZ39</f>
        <v>0</v>
      </c>
      <c r="JA43" s="479">
        <f>'Hodnocení '!JA39</f>
        <v>0</v>
      </c>
      <c r="JB43" s="479">
        <f>'Hodnocení '!JB39</f>
        <v>0</v>
      </c>
      <c r="JC43" s="479">
        <f>'Hodnocení '!JC39</f>
        <v>0</v>
      </c>
      <c r="JD43" s="479">
        <f>'Hodnocení '!JD39</f>
        <v>0</v>
      </c>
      <c r="JE43" s="479">
        <f>'Hodnocení '!JE39</f>
        <v>0</v>
      </c>
      <c r="JF43" s="479">
        <f>'Hodnocení '!JF39</f>
        <v>0</v>
      </c>
      <c r="JG43" s="479">
        <f>'Hodnocení '!JG39</f>
        <v>0</v>
      </c>
      <c r="JH43" s="780">
        <f>'Hodnocení '!JH39</f>
        <v>0</v>
      </c>
      <c r="JI43" s="470">
        <f>'Hodnocení '!JI39</f>
        <v>28172385.859999999</v>
      </c>
      <c r="JL43" s="307">
        <f t="shared" si="38"/>
        <v>720505</v>
      </c>
      <c r="JM43" s="307">
        <f t="shared" si="38"/>
        <v>15742879.859999999</v>
      </c>
      <c r="JN43" s="307">
        <f t="shared" si="38"/>
        <v>11709001</v>
      </c>
      <c r="JO43" s="307">
        <f t="shared" si="38"/>
        <v>0</v>
      </c>
      <c r="JP43" s="307">
        <f t="shared" si="39"/>
        <v>28172385.859999999</v>
      </c>
    </row>
    <row r="44" spans="1:276" hidden="1" x14ac:dyDescent="0.25">
      <c r="A44" s="338">
        <v>8</v>
      </c>
      <c r="B44" s="733" t="s">
        <v>2524</v>
      </c>
      <c r="C44" s="779">
        <f>'Hodnocení '!C40</f>
        <v>0</v>
      </c>
      <c r="D44" s="479">
        <f>'Hodnocení '!D40</f>
        <v>0</v>
      </c>
      <c r="E44" s="479">
        <f>'Hodnocení '!E40</f>
        <v>0</v>
      </c>
      <c r="F44" s="479">
        <f>'Hodnocení '!F40</f>
        <v>0</v>
      </c>
      <c r="G44" s="479">
        <f>'Hodnocení '!G40</f>
        <v>0</v>
      </c>
      <c r="H44" s="479">
        <f>'Hodnocení '!H40</f>
        <v>0</v>
      </c>
      <c r="I44" s="479">
        <f>'Hodnocení '!I40</f>
        <v>0</v>
      </c>
      <c r="J44" s="479">
        <f>'Hodnocení '!J40</f>
        <v>0</v>
      </c>
      <c r="K44" s="479">
        <f>'Hodnocení '!K40</f>
        <v>0</v>
      </c>
      <c r="L44" s="479">
        <f>'Hodnocení '!L40</f>
        <v>0</v>
      </c>
      <c r="M44" s="479">
        <f>'Hodnocení '!M40</f>
        <v>0</v>
      </c>
      <c r="N44" s="479">
        <f>'Hodnocení '!N40</f>
        <v>0</v>
      </c>
      <c r="O44" s="479">
        <f>'Hodnocení '!O40</f>
        <v>0</v>
      </c>
      <c r="P44" s="479">
        <f>'Hodnocení '!P40</f>
        <v>0</v>
      </c>
      <c r="Q44" s="479">
        <f>'Hodnocení '!Q40</f>
        <v>0</v>
      </c>
      <c r="R44" s="479">
        <f>'Hodnocení '!R40</f>
        <v>0</v>
      </c>
      <c r="S44" s="479">
        <f>'Hodnocení '!S40</f>
        <v>0</v>
      </c>
      <c r="T44" s="479">
        <f>'Hodnocení '!T40</f>
        <v>0</v>
      </c>
      <c r="U44" s="479">
        <f>'Hodnocení '!U40</f>
        <v>0</v>
      </c>
      <c r="V44" s="479">
        <f>'Hodnocení '!V40</f>
        <v>0</v>
      </c>
      <c r="W44" s="479">
        <f>'Hodnocení '!W40</f>
        <v>0</v>
      </c>
      <c r="X44" s="479">
        <f>'Hodnocení '!X40</f>
        <v>0</v>
      </c>
      <c r="Y44" s="479">
        <f>'Hodnocení '!Y40</f>
        <v>0</v>
      </c>
      <c r="Z44" s="479">
        <f>'Hodnocení '!Z40</f>
        <v>0</v>
      </c>
      <c r="AA44" s="479">
        <f>'Hodnocení '!AA40</f>
        <v>0</v>
      </c>
      <c r="AB44" s="479">
        <f>'Hodnocení '!AB40</f>
        <v>0</v>
      </c>
      <c r="AC44" s="479">
        <f>'Hodnocení '!AC40</f>
        <v>0</v>
      </c>
      <c r="AD44" s="479">
        <f>'Hodnocení '!AD40</f>
        <v>0</v>
      </c>
      <c r="AE44" s="479">
        <f>'Hodnocení '!AE40</f>
        <v>0</v>
      </c>
      <c r="AF44" s="479">
        <f>'Hodnocení '!AF40</f>
        <v>0</v>
      </c>
      <c r="AG44" s="479">
        <f>'Hodnocení '!AG40</f>
        <v>0</v>
      </c>
      <c r="AH44" s="479">
        <f>'Hodnocení '!AH40</f>
        <v>0</v>
      </c>
      <c r="AI44" s="479">
        <f>'Hodnocení '!AI40</f>
        <v>0</v>
      </c>
      <c r="AJ44" s="479">
        <f>'Hodnocení '!AJ40</f>
        <v>0</v>
      </c>
      <c r="AK44" s="479">
        <f>'Hodnocení '!AK40</f>
        <v>0</v>
      </c>
      <c r="AL44" s="479">
        <f>'Hodnocení '!AL40</f>
        <v>0</v>
      </c>
      <c r="AM44" s="479">
        <f>'Hodnocení '!AM40</f>
        <v>0</v>
      </c>
      <c r="AN44" s="479">
        <f>'Hodnocení '!AN40</f>
        <v>0</v>
      </c>
      <c r="AO44" s="479">
        <f>'Hodnocení '!AO40</f>
        <v>0</v>
      </c>
      <c r="AP44" s="479">
        <f>'Hodnocení '!AP40</f>
        <v>0</v>
      </c>
      <c r="AQ44" s="479">
        <f>'Hodnocení '!AQ40</f>
        <v>0</v>
      </c>
      <c r="AR44" s="479">
        <f>'Hodnocení '!AR40</f>
        <v>0</v>
      </c>
      <c r="AS44" s="479">
        <f>'Hodnocení '!AS40</f>
        <v>0</v>
      </c>
      <c r="AT44" s="479">
        <f>'Hodnocení '!AT40</f>
        <v>0</v>
      </c>
      <c r="AU44" s="479">
        <f>'Hodnocení '!AU40</f>
        <v>0</v>
      </c>
      <c r="AV44" s="479">
        <f>'Hodnocení '!AV40</f>
        <v>0</v>
      </c>
      <c r="AW44" s="479">
        <f>'Hodnocení '!AW40</f>
        <v>0</v>
      </c>
      <c r="AX44" s="479">
        <f>'Hodnocení '!AX40</f>
        <v>0</v>
      </c>
      <c r="AY44" s="479">
        <f>'Hodnocení '!AY40</f>
        <v>0</v>
      </c>
      <c r="AZ44" s="479">
        <f>'Hodnocení '!AZ40</f>
        <v>0</v>
      </c>
      <c r="BA44" s="479">
        <f>'Hodnocení '!BA40</f>
        <v>0</v>
      </c>
      <c r="BB44" s="479">
        <f>'Hodnocení '!BB40</f>
        <v>0</v>
      </c>
      <c r="BC44" s="479">
        <f>'Hodnocení '!BC40</f>
        <v>0</v>
      </c>
      <c r="BD44" s="479">
        <f>'Hodnocení '!BD40</f>
        <v>0</v>
      </c>
      <c r="BE44" s="479">
        <f>'Hodnocení '!BE40</f>
        <v>0</v>
      </c>
      <c r="BF44" s="479">
        <f>'Hodnocení '!BF40</f>
        <v>0</v>
      </c>
      <c r="BG44" s="479">
        <f>'Hodnocení '!BG40</f>
        <v>0</v>
      </c>
      <c r="BH44" s="479">
        <f>'Hodnocení '!BH40</f>
        <v>0</v>
      </c>
      <c r="BI44" s="479">
        <f>'Hodnocení '!BI40</f>
        <v>0</v>
      </c>
      <c r="BJ44" s="479">
        <f>'Hodnocení '!BJ40</f>
        <v>0</v>
      </c>
      <c r="BK44" s="479">
        <f>'Hodnocení '!BK40</f>
        <v>0</v>
      </c>
      <c r="BL44" s="479">
        <f>'Hodnocení '!BL40</f>
        <v>0</v>
      </c>
      <c r="BM44" s="479">
        <f>'Hodnocení '!BM40</f>
        <v>0</v>
      </c>
      <c r="BN44" s="479">
        <f>'Hodnocení '!BN40</f>
        <v>0</v>
      </c>
      <c r="BO44" s="479">
        <f>'Hodnocení '!BO40</f>
        <v>0</v>
      </c>
      <c r="BP44" s="479">
        <f>'Hodnocení '!BP40</f>
        <v>0</v>
      </c>
      <c r="BQ44" s="479">
        <f>'Hodnocení '!BQ40</f>
        <v>0</v>
      </c>
      <c r="BR44" s="479">
        <f>'Hodnocení '!BR40</f>
        <v>0</v>
      </c>
      <c r="BS44" s="479">
        <f>'Hodnocení '!BS40</f>
        <v>0</v>
      </c>
      <c r="BT44" s="479">
        <f>'Hodnocení '!BT40</f>
        <v>0</v>
      </c>
      <c r="BU44" s="479">
        <f>'Hodnocení '!BU40</f>
        <v>0</v>
      </c>
      <c r="BV44" s="479">
        <f>'Hodnocení '!BV40</f>
        <v>0</v>
      </c>
      <c r="BW44" s="479">
        <f>'Hodnocení '!BW40</f>
        <v>0</v>
      </c>
      <c r="BX44" s="479">
        <f>'Hodnocení '!BX40</f>
        <v>0</v>
      </c>
      <c r="BY44" s="479">
        <f>'Hodnocení '!BY40</f>
        <v>0</v>
      </c>
      <c r="BZ44" s="479">
        <f>'Hodnocení '!BZ40</f>
        <v>0</v>
      </c>
      <c r="CA44" s="479">
        <f>'Hodnocení '!CA40</f>
        <v>0</v>
      </c>
      <c r="CB44" s="479">
        <f>'Hodnocení '!CB40</f>
        <v>0</v>
      </c>
      <c r="CC44" s="479">
        <f>'Hodnocení '!CC40</f>
        <v>0</v>
      </c>
      <c r="CD44" s="479">
        <f>'Hodnocení '!CD40</f>
        <v>0</v>
      </c>
      <c r="CE44" s="479">
        <f>'Hodnocení '!CE40</f>
        <v>0</v>
      </c>
      <c r="CF44" s="479">
        <f>'Hodnocení '!CF40</f>
        <v>0</v>
      </c>
      <c r="CG44" s="479">
        <f>'Hodnocení '!CG40</f>
        <v>0</v>
      </c>
      <c r="CH44" s="479">
        <f>'Hodnocení '!CH40</f>
        <v>0</v>
      </c>
      <c r="CI44" s="479">
        <f>'Hodnocení '!CI40</f>
        <v>0</v>
      </c>
      <c r="CJ44" s="479">
        <f>'Hodnocení '!CJ40</f>
        <v>0</v>
      </c>
      <c r="CK44" s="479">
        <f>'Hodnocení '!CK40</f>
        <v>0</v>
      </c>
      <c r="CL44" s="479">
        <f>'Hodnocení '!CL40</f>
        <v>0</v>
      </c>
      <c r="CM44" s="479">
        <f>'Hodnocení '!CM40</f>
        <v>0</v>
      </c>
      <c r="CN44" s="479">
        <f>'Hodnocení '!CN40</f>
        <v>0</v>
      </c>
      <c r="CO44" s="479">
        <f>'Hodnocení '!CO40</f>
        <v>0</v>
      </c>
      <c r="CP44" s="479">
        <f>'Hodnocení '!CP40</f>
        <v>0</v>
      </c>
      <c r="CQ44" s="479">
        <f>'Hodnocení '!CQ40</f>
        <v>0</v>
      </c>
      <c r="CR44" s="479">
        <f>'Hodnocení '!CR40</f>
        <v>0</v>
      </c>
      <c r="CS44" s="479">
        <f>'Hodnocení '!CS40</f>
        <v>0</v>
      </c>
      <c r="CT44" s="479">
        <f>'Hodnocení '!CT40</f>
        <v>0</v>
      </c>
      <c r="CU44" s="479">
        <f>'Hodnocení '!CU40</f>
        <v>0</v>
      </c>
      <c r="CV44" s="479">
        <f>'Hodnocení '!CV40</f>
        <v>0</v>
      </c>
      <c r="CW44" s="479">
        <f>'Hodnocení '!CW40</f>
        <v>0</v>
      </c>
      <c r="CX44" s="479">
        <f>'Hodnocení '!CX40</f>
        <v>0</v>
      </c>
      <c r="CY44" s="479">
        <f>'Hodnocení '!CY40</f>
        <v>0</v>
      </c>
      <c r="CZ44" s="479">
        <f>'Hodnocení '!CZ40</f>
        <v>0</v>
      </c>
      <c r="DA44" s="479">
        <f>'Hodnocení '!DA40</f>
        <v>0</v>
      </c>
      <c r="DB44" s="479">
        <f>'Hodnocení '!DB40</f>
        <v>0</v>
      </c>
      <c r="DC44" s="479">
        <f>'Hodnocení '!DC40</f>
        <v>0</v>
      </c>
      <c r="DD44" s="479">
        <f>'Hodnocení '!DD40</f>
        <v>0</v>
      </c>
      <c r="DE44" s="479">
        <f>'Hodnocení '!DE40</f>
        <v>0</v>
      </c>
      <c r="DF44" s="479">
        <f>'Hodnocení '!DF40</f>
        <v>0</v>
      </c>
      <c r="DG44" s="479">
        <f>'Hodnocení '!DG40</f>
        <v>0</v>
      </c>
      <c r="DH44" s="479">
        <f>'Hodnocení '!DH40</f>
        <v>0</v>
      </c>
      <c r="DI44" s="479">
        <f>'Hodnocení '!DI40</f>
        <v>0</v>
      </c>
      <c r="DJ44" s="479">
        <f>'Hodnocení '!DJ40</f>
        <v>0</v>
      </c>
      <c r="DK44" s="479">
        <f>'Hodnocení '!DK40</f>
        <v>0</v>
      </c>
      <c r="DL44" s="479">
        <f>'Hodnocení '!DL40</f>
        <v>0</v>
      </c>
      <c r="DM44" s="479">
        <f>'Hodnocení '!DM40</f>
        <v>0</v>
      </c>
      <c r="DN44" s="479">
        <f>'Hodnocení '!DN40</f>
        <v>0</v>
      </c>
      <c r="DO44" s="479">
        <f>'Hodnocení '!DO40</f>
        <v>0</v>
      </c>
      <c r="DP44" s="479">
        <f>'Hodnocení '!DP40</f>
        <v>0</v>
      </c>
      <c r="DQ44" s="479">
        <f>'Hodnocení '!DQ40</f>
        <v>0</v>
      </c>
      <c r="DR44" s="479">
        <f>'Hodnocení '!DR40</f>
        <v>0</v>
      </c>
      <c r="DS44" s="479">
        <f>'Hodnocení '!DS40</f>
        <v>0</v>
      </c>
      <c r="DT44" s="479">
        <f>'Hodnocení '!DT40</f>
        <v>0</v>
      </c>
      <c r="DU44" s="479">
        <f>'Hodnocení '!DU40</f>
        <v>0</v>
      </c>
      <c r="DV44" s="479">
        <f>'Hodnocení '!DV40</f>
        <v>0</v>
      </c>
      <c r="DW44" s="479">
        <f>'Hodnocení '!DW40</f>
        <v>0</v>
      </c>
      <c r="DX44" s="479">
        <f>'Hodnocení '!DX40</f>
        <v>0</v>
      </c>
      <c r="DY44" s="479">
        <f>'Hodnocení '!DY40</f>
        <v>0</v>
      </c>
      <c r="DZ44" s="479">
        <f>'Hodnocení '!DZ40</f>
        <v>0</v>
      </c>
      <c r="EA44" s="479">
        <f>'Hodnocení '!EA40</f>
        <v>0</v>
      </c>
      <c r="EB44" s="479">
        <f>'Hodnocení '!EB40</f>
        <v>0</v>
      </c>
      <c r="EC44" s="479">
        <f>'Hodnocení '!EC40</f>
        <v>0</v>
      </c>
      <c r="ED44" s="479">
        <f>'Hodnocení '!ED40</f>
        <v>0</v>
      </c>
      <c r="EE44" s="479">
        <f>'Hodnocení '!EE40</f>
        <v>0</v>
      </c>
      <c r="EF44" s="479">
        <f>'Hodnocení '!EF40</f>
        <v>0</v>
      </c>
      <c r="EG44" s="479">
        <f>'Hodnocení '!EG40</f>
        <v>0</v>
      </c>
      <c r="EH44" s="479">
        <f>'Hodnocení '!EH40</f>
        <v>0</v>
      </c>
      <c r="EI44" s="479">
        <f>'Hodnocení '!EI40</f>
        <v>0</v>
      </c>
      <c r="EJ44" s="479">
        <f>'Hodnocení '!EJ40</f>
        <v>0</v>
      </c>
      <c r="EK44" s="479">
        <f>'Hodnocení '!EK40</f>
        <v>0</v>
      </c>
      <c r="EL44" s="479">
        <f>'Hodnocení '!EL40</f>
        <v>0</v>
      </c>
      <c r="EM44" s="479">
        <f>'Hodnocení '!EM40</f>
        <v>0</v>
      </c>
      <c r="EN44" s="479">
        <f>'Hodnocení '!EN40</f>
        <v>0</v>
      </c>
      <c r="EO44" s="479">
        <f>'Hodnocení '!EO40</f>
        <v>0</v>
      </c>
      <c r="EP44" s="479">
        <f>'Hodnocení '!EP40</f>
        <v>0</v>
      </c>
      <c r="EQ44" s="479">
        <f>'Hodnocení '!EQ40</f>
        <v>0</v>
      </c>
      <c r="ER44" s="479">
        <f>'Hodnocení '!ER40</f>
        <v>0</v>
      </c>
      <c r="ES44" s="479">
        <f>'Hodnocení '!ES40</f>
        <v>0</v>
      </c>
      <c r="ET44" s="479">
        <f>'Hodnocení '!ET40</f>
        <v>0</v>
      </c>
      <c r="EU44" s="479">
        <f>'Hodnocení '!EU40</f>
        <v>0</v>
      </c>
      <c r="EV44" s="479">
        <f>'Hodnocení '!EV40</f>
        <v>0</v>
      </c>
      <c r="EW44" s="479">
        <f>'Hodnocení '!EW40</f>
        <v>0</v>
      </c>
      <c r="EX44" s="479">
        <f>'Hodnocení '!EX40</f>
        <v>0</v>
      </c>
      <c r="EY44" s="479">
        <f>'Hodnocení '!EY40</f>
        <v>0</v>
      </c>
      <c r="EZ44" s="479">
        <f>'Hodnocení '!EZ40</f>
        <v>0</v>
      </c>
      <c r="FA44" s="479">
        <f>'Hodnocení '!FA40</f>
        <v>0</v>
      </c>
      <c r="FB44" s="479">
        <f>'Hodnocení '!FB40</f>
        <v>0</v>
      </c>
      <c r="FC44" s="479">
        <f>'Hodnocení '!FC40</f>
        <v>0</v>
      </c>
      <c r="FD44" s="479">
        <f>'Hodnocení '!FD40</f>
        <v>0</v>
      </c>
      <c r="FE44" s="479">
        <f>'Hodnocení '!FE40</f>
        <v>0</v>
      </c>
      <c r="FF44" s="479">
        <f>'Hodnocení '!FF40</f>
        <v>0</v>
      </c>
      <c r="FG44" s="479">
        <f>'Hodnocení '!FG40</f>
        <v>0</v>
      </c>
      <c r="FH44" s="479">
        <f>'Hodnocení '!FH40</f>
        <v>0</v>
      </c>
      <c r="FI44" s="479">
        <f>'Hodnocení '!FI40</f>
        <v>0</v>
      </c>
      <c r="FJ44" s="479">
        <f>'Hodnocení '!FJ40</f>
        <v>0</v>
      </c>
      <c r="FK44" s="479">
        <f>'Hodnocení '!FK40</f>
        <v>0</v>
      </c>
      <c r="FL44" s="479">
        <f>'Hodnocení '!FL40</f>
        <v>0</v>
      </c>
      <c r="FM44" s="479">
        <f>'Hodnocení '!FM40</f>
        <v>0</v>
      </c>
      <c r="FN44" s="479">
        <f>'Hodnocení '!FN40</f>
        <v>0</v>
      </c>
      <c r="FO44" s="479">
        <f>'Hodnocení '!FO40</f>
        <v>0</v>
      </c>
      <c r="FP44" s="479">
        <f>'Hodnocení '!FP40</f>
        <v>0</v>
      </c>
      <c r="FQ44" s="479">
        <f>'Hodnocení '!FQ40</f>
        <v>0</v>
      </c>
      <c r="FR44" s="479">
        <f>'Hodnocení '!FR40</f>
        <v>0</v>
      </c>
      <c r="FS44" s="479">
        <f>'Hodnocení '!FS40</f>
        <v>0</v>
      </c>
      <c r="FT44" s="479">
        <f>'Hodnocení '!FT40</f>
        <v>0</v>
      </c>
      <c r="FU44" s="479">
        <f>'Hodnocení '!FU40</f>
        <v>0</v>
      </c>
      <c r="FV44" s="479">
        <f>'Hodnocení '!FV40</f>
        <v>0</v>
      </c>
      <c r="FW44" s="479">
        <f>'Hodnocení '!FW40</f>
        <v>0</v>
      </c>
      <c r="FX44" s="479">
        <f>'Hodnocení '!FX40</f>
        <v>0</v>
      </c>
      <c r="FY44" s="479">
        <f>'Hodnocení '!FY40</f>
        <v>0</v>
      </c>
      <c r="FZ44" s="479">
        <f>'Hodnocení '!FZ40</f>
        <v>0</v>
      </c>
      <c r="GA44" s="479">
        <f>'Hodnocení '!GA40</f>
        <v>0</v>
      </c>
      <c r="GB44" s="479">
        <f>'Hodnocení '!GB40</f>
        <v>0</v>
      </c>
      <c r="GC44" s="479">
        <f>'Hodnocení '!GC40</f>
        <v>0</v>
      </c>
      <c r="GD44" s="479">
        <f>'Hodnocení '!GD40</f>
        <v>0</v>
      </c>
      <c r="GE44" s="479">
        <f>'Hodnocení '!GE40</f>
        <v>0</v>
      </c>
      <c r="GF44" s="479">
        <f>'Hodnocení '!GF40</f>
        <v>0</v>
      </c>
      <c r="GG44" s="479">
        <f>'Hodnocení '!GG40</f>
        <v>0</v>
      </c>
      <c r="GH44" s="479">
        <f>'Hodnocení '!GH40</f>
        <v>0</v>
      </c>
      <c r="GI44" s="479">
        <f>'Hodnocení '!GI40</f>
        <v>0</v>
      </c>
      <c r="GJ44" s="479">
        <f>'Hodnocení '!GJ40</f>
        <v>0</v>
      </c>
      <c r="GK44" s="479">
        <f>'Hodnocení '!GK40</f>
        <v>0</v>
      </c>
      <c r="GL44" s="479">
        <f>'Hodnocení '!GL40</f>
        <v>0</v>
      </c>
      <c r="GM44" s="479">
        <f>'Hodnocení '!GM40</f>
        <v>0</v>
      </c>
      <c r="GN44" s="479">
        <f>'Hodnocení '!GN40</f>
        <v>0</v>
      </c>
      <c r="GO44" s="479">
        <f>'Hodnocení '!GO40</f>
        <v>0</v>
      </c>
      <c r="GP44" s="479">
        <f>'Hodnocení '!GP40</f>
        <v>0</v>
      </c>
      <c r="GQ44" s="479">
        <f>'Hodnocení '!GQ40</f>
        <v>0</v>
      </c>
      <c r="GR44" s="479">
        <f>'Hodnocení '!GR40</f>
        <v>0</v>
      </c>
      <c r="GS44" s="479">
        <f>'Hodnocení '!GS40</f>
        <v>0</v>
      </c>
      <c r="GT44" s="479">
        <f>'Hodnocení '!GT40</f>
        <v>0</v>
      </c>
      <c r="GU44" s="479">
        <f>'Hodnocení '!GU40</f>
        <v>0</v>
      </c>
      <c r="GV44" s="479">
        <f>'Hodnocení '!GV40</f>
        <v>0</v>
      </c>
      <c r="GW44" s="479">
        <f>'Hodnocení '!GW40</f>
        <v>0</v>
      </c>
      <c r="GX44" s="479">
        <f>'Hodnocení '!GX40</f>
        <v>0</v>
      </c>
      <c r="GY44" s="479">
        <f>'Hodnocení '!GY40</f>
        <v>0</v>
      </c>
      <c r="GZ44" s="479">
        <f>'Hodnocení '!GZ40</f>
        <v>0</v>
      </c>
      <c r="HA44" s="479">
        <f>'Hodnocení '!HA40</f>
        <v>0</v>
      </c>
      <c r="HB44" s="479">
        <f>'Hodnocení '!HB40</f>
        <v>0</v>
      </c>
      <c r="HC44" s="479">
        <f>'Hodnocení '!HC40</f>
        <v>0</v>
      </c>
      <c r="HD44" s="479">
        <f>'Hodnocení '!HD40</f>
        <v>0</v>
      </c>
      <c r="HE44" s="479">
        <f>'Hodnocení '!HE40</f>
        <v>0</v>
      </c>
      <c r="HF44" s="479">
        <f>'Hodnocení '!HF40</f>
        <v>0</v>
      </c>
      <c r="HG44" s="479">
        <f>'Hodnocení '!HG40</f>
        <v>0</v>
      </c>
      <c r="HH44" s="479">
        <f>'Hodnocení '!HH40</f>
        <v>0</v>
      </c>
      <c r="HI44" s="479">
        <f>'Hodnocení '!HI40</f>
        <v>0</v>
      </c>
      <c r="HJ44" s="479">
        <f>'Hodnocení '!HJ40</f>
        <v>0</v>
      </c>
      <c r="HK44" s="479">
        <f>'Hodnocení '!HK40</f>
        <v>0</v>
      </c>
      <c r="HL44" s="479">
        <f>'Hodnocení '!HL40</f>
        <v>12500994.243574739</v>
      </c>
      <c r="HM44" s="479">
        <f>'Hodnocení '!HM40</f>
        <v>7210414.5415793229</v>
      </c>
      <c r="HN44" s="479">
        <f>'Hodnocení '!HN40</f>
        <v>229621.41538817159</v>
      </c>
      <c r="HO44" s="479">
        <f>'Hodnocení '!HO40</f>
        <v>795969.79945776786</v>
      </c>
      <c r="HP44" s="479">
        <f>'Hodnocení '!HP40</f>
        <v>8998000</v>
      </c>
      <c r="HQ44" s="479">
        <f>'Hodnocení '!HQ40</f>
        <v>328043.38080963405</v>
      </c>
      <c r="HR44" s="479">
        <f>'Hodnocení '!HR40</f>
        <v>11118099.281565275</v>
      </c>
      <c r="HS44" s="479">
        <f>'Hodnocení '!HS40</f>
        <v>1942857.3376250905</v>
      </c>
      <c r="HT44" s="479">
        <f>'Hodnocení '!HT40</f>
        <v>7066000</v>
      </c>
      <c r="HU44" s="479">
        <f>'Hodnocení '!HU40</f>
        <v>6399000</v>
      </c>
      <c r="HV44" s="479">
        <f>'Hodnocení '!HV40</f>
        <v>5593000</v>
      </c>
      <c r="HW44" s="479">
        <f>'Hodnocení '!HW40</f>
        <v>2439562.9659980796</v>
      </c>
      <c r="HX44" s="479">
        <f>'Hodnocení '!HX40</f>
        <v>6989437.0340019213</v>
      </c>
      <c r="HY44" s="479">
        <f>'Hodnocení '!HY40</f>
        <v>7106000</v>
      </c>
      <c r="HZ44" s="479">
        <f>'Hodnocení '!HZ40</f>
        <v>2936000</v>
      </c>
      <c r="IA44" s="479">
        <f>'Hodnocení '!IA40</f>
        <v>2840000</v>
      </c>
      <c r="IB44" s="479">
        <f>'Hodnocení '!IB40</f>
        <v>2938000</v>
      </c>
      <c r="IC44" s="479">
        <f>'Hodnocení '!IC40</f>
        <v>4047972.8227466298</v>
      </c>
      <c r="ID44" s="479">
        <f>'Hodnocení '!ID40</f>
        <v>2725027.1772533702</v>
      </c>
      <c r="IE44" s="479">
        <f>'Hodnocení '!IE40</f>
        <v>4207000</v>
      </c>
      <c r="IF44" s="479">
        <f>'Hodnocení '!IF40</f>
        <v>8637597.1987946387</v>
      </c>
      <c r="IG44" s="479">
        <f>'Hodnocení '!IG40</f>
        <v>2788402.8012053594</v>
      </c>
      <c r="IH44" s="479">
        <f>'Hodnocení '!IH40</f>
        <v>1411646.589095501</v>
      </c>
      <c r="II44" s="479">
        <f>'Hodnocení '!II40</f>
        <v>6931748.0492442045</v>
      </c>
      <c r="IJ44" s="479">
        <f>'Hodnocení '!IJ40</f>
        <v>767218.5338407224</v>
      </c>
      <c r="IK44" s="479">
        <f>'Hodnocení '!IK40</f>
        <v>1184386.8278195728</v>
      </c>
      <c r="IL44" s="479">
        <f>'Hodnocení '!IL40</f>
        <v>2984000</v>
      </c>
      <c r="IM44" s="479">
        <f>'Hodnocení '!IM40</f>
        <v>166387.84282009516</v>
      </c>
      <c r="IN44" s="479">
        <f>'Hodnocení '!IN40</f>
        <v>3166528.5048106513</v>
      </c>
      <c r="IO44" s="479">
        <f>'Hodnocení '!IO40</f>
        <v>1216083.6523692533</v>
      </c>
      <c r="IP44" s="479">
        <f>'Hodnocení '!IP40</f>
        <v>6999000</v>
      </c>
      <c r="IQ44" s="479">
        <f>'Hodnocení '!IQ40</f>
        <v>7640813.6661687279</v>
      </c>
      <c r="IR44" s="479">
        <f>'Hodnocení '!IR40</f>
        <v>368186.33383127127</v>
      </c>
      <c r="IS44" s="479">
        <f>'Hodnocení '!IS40</f>
        <v>17317440.509968996</v>
      </c>
      <c r="IT44" s="479">
        <f>'Hodnocení '!IT40</f>
        <v>4376559.490031003</v>
      </c>
      <c r="IU44" s="479">
        <f>'Hodnocení '!IU40</f>
        <v>1315360.0362361365</v>
      </c>
      <c r="IV44" s="479">
        <f>'Hodnocení '!IV40</f>
        <v>3157592.8188311569</v>
      </c>
      <c r="IW44" s="479">
        <f>'Hodnocení '!IW40</f>
        <v>5030210.711101328</v>
      </c>
      <c r="IX44" s="479">
        <f>'Hodnocení '!IX40</f>
        <v>773836.43383137882</v>
      </c>
      <c r="IY44" s="479">
        <f>'Hodnocení '!IY40</f>
        <v>2915486.4471565667</v>
      </c>
      <c r="IZ44" s="479">
        <f>'Hodnocení '!IZ40</f>
        <v>4776513.5528434329</v>
      </c>
      <c r="JA44" s="695">
        <f>'Hodnocení '!JA40</f>
        <v>738641.73</v>
      </c>
      <c r="JB44" s="695">
        <f>'Hodnocení '!JB40</f>
        <v>828174.04</v>
      </c>
      <c r="JC44" s="695">
        <f>'Hodnocení '!JC40</f>
        <v>643778.09</v>
      </c>
      <c r="JD44" s="695">
        <f>'Hodnocení '!JD40</f>
        <v>876588.7</v>
      </c>
      <c r="JE44" s="479">
        <f>'Hodnocení '!JE40</f>
        <v>829094.14505924715</v>
      </c>
      <c r="JF44" s="479">
        <f>'Hodnocení '!JF40</f>
        <v>8444905.8549407516</v>
      </c>
      <c r="JG44" s="479">
        <f>'Hodnocení '!JG40</f>
        <v>9910000</v>
      </c>
      <c r="JH44" s="790">
        <f>'Hodnocení '!JH40</f>
        <v>0</v>
      </c>
      <c r="JI44" s="470">
        <f>'Hodnocení '!JI40</f>
        <v>204607182.55999997</v>
      </c>
      <c r="JJ44" s="307"/>
      <c r="JK44" s="307"/>
      <c r="JL44" s="307">
        <f t="shared" si="38"/>
        <v>0</v>
      </c>
      <c r="JM44" s="307">
        <f t="shared" si="38"/>
        <v>0</v>
      </c>
      <c r="JN44" s="307">
        <f t="shared" si="38"/>
        <v>0</v>
      </c>
      <c r="JO44" s="307">
        <f t="shared" si="38"/>
        <v>204607182.55999997</v>
      </c>
      <c r="JP44" s="307">
        <f t="shared" si="39"/>
        <v>204607182.55999997</v>
      </c>
    </row>
    <row r="45" spans="1:276" ht="15.75" hidden="1" thickBot="1" x14ac:dyDescent="0.3">
      <c r="B45" s="733"/>
      <c r="C45" s="779">
        <f>'Hodnocení '!C41</f>
        <v>0</v>
      </c>
      <c r="D45" s="357">
        <f>'Hodnocení '!D41</f>
        <v>0</v>
      </c>
      <c r="E45" s="357">
        <f>'Hodnocení '!E41</f>
        <v>0</v>
      </c>
      <c r="F45" s="357">
        <f>'Hodnocení '!F41</f>
        <v>0</v>
      </c>
      <c r="G45" s="357">
        <f>'Hodnocení '!G41</f>
        <v>0</v>
      </c>
      <c r="H45" s="357">
        <f>'Hodnocení '!H41</f>
        <v>0</v>
      </c>
      <c r="I45" s="357">
        <f>'Hodnocení '!I41</f>
        <v>0</v>
      </c>
      <c r="J45" s="357">
        <f>'Hodnocení '!J41</f>
        <v>0</v>
      </c>
      <c r="K45" s="357">
        <f>'Hodnocení '!K41</f>
        <v>0</v>
      </c>
      <c r="L45" s="357">
        <f>'Hodnocení '!L41</f>
        <v>0</v>
      </c>
      <c r="M45" s="357">
        <f>'Hodnocení '!M41</f>
        <v>0</v>
      </c>
      <c r="N45" s="357">
        <f>'Hodnocení '!N41</f>
        <v>0</v>
      </c>
      <c r="O45" s="357">
        <f>'Hodnocení '!O41</f>
        <v>0</v>
      </c>
      <c r="P45" s="357">
        <f>'Hodnocení '!P41</f>
        <v>0</v>
      </c>
      <c r="Q45" s="357">
        <f>'Hodnocení '!Q41</f>
        <v>0</v>
      </c>
      <c r="R45" s="357">
        <f>'Hodnocení '!R41</f>
        <v>0</v>
      </c>
      <c r="S45" s="357">
        <f>'Hodnocení '!S41</f>
        <v>0</v>
      </c>
      <c r="T45" s="357">
        <f>'Hodnocení '!T41</f>
        <v>0</v>
      </c>
      <c r="U45" s="357">
        <f>'Hodnocení '!U41</f>
        <v>0</v>
      </c>
      <c r="V45" s="357">
        <f>'Hodnocení '!V41</f>
        <v>0</v>
      </c>
      <c r="W45" s="357">
        <f>'Hodnocení '!W41</f>
        <v>0</v>
      </c>
      <c r="X45" s="357">
        <f>'Hodnocení '!X41</f>
        <v>0</v>
      </c>
      <c r="Y45" s="357">
        <f>'Hodnocení '!Y41</f>
        <v>0</v>
      </c>
      <c r="Z45" s="357">
        <f>'Hodnocení '!Z41</f>
        <v>0</v>
      </c>
      <c r="AA45" s="357">
        <f>'Hodnocení '!AA41</f>
        <v>0</v>
      </c>
      <c r="AB45" s="357">
        <f>'Hodnocení '!AB41</f>
        <v>0</v>
      </c>
      <c r="AC45" s="357">
        <f>'Hodnocení '!AC41</f>
        <v>0</v>
      </c>
      <c r="AD45" s="357">
        <f>'Hodnocení '!AD41</f>
        <v>0</v>
      </c>
      <c r="AE45" s="357">
        <f>'Hodnocení '!AE41</f>
        <v>0</v>
      </c>
      <c r="AF45" s="357">
        <f>'Hodnocení '!AF41</f>
        <v>0</v>
      </c>
      <c r="AG45" s="357">
        <f>'Hodnocení '!AG41</f>
        <v>0</v>
      </c>
      <c r="AH45" s="357">
        <f>'Hodnocení '!AH41</f>
        <v>0</v>
      </c>
      <c r="AI45" s="357">
        <f>'Hodnocení '!AI41</f>
        <v>0</v>
      </c>
      <c r="AJ45" s="357">
        <f>'Hodnocení '!AJ41</f>
        <v>0</v>
      </c>
      <c r="AK45" s="357">
        <f>'Hodnocení '!AK41</f>
        <v>0</v>
      </c>
      <c r="AL45" s="357">
        <f>'Hodnocení '!AL41</f>
        <v>0</v>
      </c>
      <c r="AM45" s="357">
        <f>'Hodnocení '!AM41</f>
        <v>0</v>
      </c>
      <c r="AN45" s="357">
        <f>'Hodnocení '!AN41</f>
        <v>0</v>
      </c>
      <c r="AO45" s="357">
        <f>'Hodnocení '!AO41</f>
        <v>0</v>
      </c>
      <c r="AP45" s="357">
        <f>'Hodnocení '!AP41</f>
        <v>0</v>
      </c>
      <c r="AQ45" s="357">
        <f>'Hodnocení '!AQ41</f>
        <v>0</v>
      </c>
      <c r="AR45" s="357">
        <f>'Hodnocení '!AR41</f>
        <v>0</v>
      </c>
      <c r="AS45" s="357">
        <f>'Hodnocení '!AS41</f>
        <v>0</v>
      </c>
      <c r="AT45" s="357">
        <f>'Hodnocení '!AT41</f>
        <v>0</v>
      </c>
      <c r="AU45" s="357">
        <f>'Hodnocení '!AU41</f>
        <v>0</v>
      </c>
      <c r="AV45" s="357">
        <f>'Hodnocení '!AV41</f>
        <v>0</v>
      </c>
      <c r="AW45" s="357">
        <f>'Hodnocení '!AW41</f>
        <v>0</v>
      </c>
      <c r="AX45" s="357">
        <f>'Hodnocení '!AX41</f>
        <v>0</v>
      </c>
      <c r="AY45" s="357">
        <f>'Hodnocení '!AY41</f>
        <v>0</v>
      </c>
      <c r="AZ45" s="357">
        <f>'Hodnocení '!AZ41</f>
        <v>0</v>
      </c>
      <c r="BA45" s="357">
        <f>'Hodnocení '!BA41</f>
        <v>0</v>
      </c>
      <c r="BB45" s="357">
        <f>'Hodnocení '!BB41</f>
        <v>0</v>
      </c>
      <c r="BC45" s="357">
        <f>'Hodnocení '!BC41</f>
        <v>0</v>
      </c>
      <c r="BD45" s="357">
        <f>'Hodnocení '!BD41</f>
        <v>0</v>
      </c>
      <c r="BE45" s="357">
        <f>'Hodnocení '!BE41</f>
        <v>0</v>
      </c>
      <c r="BF45" s="357">
        <f>'Hodnocení '!BF41</f>
        <v>0</v>
      </c>
      <c r="BG45" s="357">
        <f>'Hodnocení '!BG41</f>
        <v>0</v>
      </c>
      <c r="BH45" s="357">
        <f>'Hodnocení '!BH41</f>
        <v>0</v>
      </c>
      <c r="BI45" s="357">
        <f>'Hodnocení '!BI41</f>
        <v>0</v>
      </c>
      <c r="BJ45" s="357">
        <f>'Hodnocení '!BJ41</f>
        <v>0</v>
      </c>
      <c r="BK45" s="357">
        <f>'Hodnocení '!BK41</f>
        <v>0</v>
      </c>
      <c r="BL45" s="357">
        <f>'Hodnocení '!BL41</f>
        <v>0</v>
      </c>
      <c r="BM45" s="357">
        <f>'Hodnocení '!BM41</f>
        <v>0</v>
      </c>
      <c r="BN45" s="357">
        <f>'Hodnocení '!BN41</f>
        <v>0</v>
      </c>
      <c r="BO45" s="357">
        <f>'Hodnocení '!BO41</f>
        <v>0</v>
      </c>
      <c r="BP45" s="357">
        <f>'Hodnocení '!BP41</f>
        <v>0</v>
      </c>
      <c r="BQ45" s="357">
        <f>'Hodnocení '!BQ41</f>
        <v>0</v>
      </c>
      <c r="BR45" s="357">
        <f>'Hodnocení '!BR41</f>
        <v>0</v>
      </c>
      <c r="BS45" s="357">
        <f>'Hodnocení '!BS41</f>
        <v>0</v>
      </c>
      <c r="BT45" s="357">
        <f>'Hodnocení '!BT41</f>
        <v>0</v>
      </c>
      <c r="BU45" s="357">
        <f>'Hodnocení '!BU41</f>
        <v>0</v>
      </c>
      <c r="BV45" s="357">
        <f>'Hodnocení '!BV41</f>
        <v>0</v>
      </c>
      <c r="BW45" s="357">
        <f>'Hodnocení '!BW41</f>
        <v>0</v>
      </c>
      <c r="BX45" s="357">
        <f>'Hodnocení '!BX41</f>
        <v>0</v>
      </c>
      <c r="BY45" s="357">
        <f>'Hodnocení '!BY41</f>
        <v>0</v>
      </c>
      <c r="BZ45" s="357">
        <f>'Hodnocení '!BZ41</f>
        <v>0</v>
      </c>
      <c r="CA45" s="357">
        <f>'Hodnocení '!CA41</f>
        <v>0</v>
      </c>
      <c r="CB45" s="357">
        <f>'Hodnocení '!CB41</f>
        <v>0</v>
      </c>
      <c r="CC45" s="357">
        <f>'Hodnocení '!CC41</f>
        <v>0</v>
      </c>
      <c r="CD45" s="357">
        <f>'Hodnocení '!CD41</f>
        <v>0</v>
      </c>
      <c r="CE45" s="357">
        <f>'Hodnocení '!CE41</f>
        <v>0</v>
      </c>
      <c r="CF45" s="357">
        <f>'Hodnocení '!CF41</f>
        <v>0</v>
      </c>
      <c r="CG45" s="357">
        <f>'Hodnocení '!CG41</f>
        <v>0</v>
      </c>
      <c r="CH45" s="357">
        <f>'Hodnocení '!CH41</f>
        <v>0</v>
      </c>
      <c r="CI45" s="357">
        <f>'Hodnocení '!CI41</f>
        <v>0</v>
      </c>
      <c r="CJ45" s="357">
        <f>'Hodnocení '!CJ41</f>
        <v>0</v>
      </c>
      <c r="CK45" s="357">
        <f>'Hodnocení '!CK41</f>
        <v>0</v>
      </c>
      <c r="CL45" s="357">
        <f>'Hodnocení '!CL41</f>
        <v>0</v>
      </c>
      <c r="CM45" s="357">
        <f>'Hodnocení '!CM41</f>
        <v>0</v>
      </c>
      <c r="CN45" s="357">
        <f>'Hodnocení '!CN41</f>
        <v>0</v>
      </c>
      <c r="CO45" s="357">
        <f>'Hodnocení '!CO41</f>
        <v>0</v>
      </c>
      <c r="CP45" s="357">
        <f>'Hodnocení '!CP41</f>
        <v>0</v>
      </c>
      <c r="CQ45" s="357">
        <f>'Hodnocení '!CQ41</f>
        <v>0</v>
      </c>
      <c r="CR45" s="357">
        <f>'Hodnocení '!CR41</f>
        <v>0</v>
      </c>
      <c r="CS45" s="357">
        <f>'Hodnocení '!CS41</f>
        <v>0</v>
      </c>
      <c r="CT45" s="357">
        <f>'Hodnocení '!CT41</f>
        <v>0</v>
      </c>
      <c r="CU45" s="357">
        <f>'Hodnocení '!CU41</f>
        <v>0</v>
      </c>
      <c r="CV45" s="357">
        <f>'Hodnocení '!CV41</f>
        <v>0</v>
      </c>
      <c r="CW45" s="357">
        <f>'Hodnocení '!CW41</f>
        <v>0</v>
      </c>
      <c r="CX45" s="357">
        <f>'Hodnocení '!CX41</f>
        <v>0</v>
      </c>
      <c r="CY45" s="357">
        <f>'Hodnocení '!CY41</f>
        <v>0</v>
      </c>
      <c r="CZ45" s="357">
        <f>'Hodnocení '!CZ41</f>
        <v>0</v>
      </c>
      <c r="DA45" s="357">
        <f>'Hodnocení '!DA41</f>
        <v>0</v>
      </c>
      <c r="DB45" s="357">
        <f>'Hodnocení '!DB41</f>
        <v>0</v>
      </c>
      <c r="DC45" s="357">
        <f>'Hodnocení '!DC41</f>
        <v>0</v>
      </c>
      <c r="DD45" s="357">
        <f>'Hodnocení '!DD41</f>
        <v>0</v>
      </c>
      <c r="DE45" s="357">
        <f>'Hodnocení '!DE41</f>
        <v>0</v>
      </c>
      <c r="DF45" s="357">
        <f>'Hodnocení '!DF41</f>
        <v>0</v>
      </c>
      <c r="DG45" s="357">
        <f>'Hodnocení '!DG41</f>
        <v>0</v>
      </c>
      <c r="DH45" s="357">
        <f>'Hodnocení '!DH41</f>
        <v>0</v>
      </c>
      <c r="DI45" s="357">
        <f>'Hodnocení '!DI41</f>
        <v>0</v>
      </c>
      <c r="DJ45" s="357">
        <f>'Hodnocení '!DJ41</f>
        <v>0</v>
      </c>
      <c r="DK45" s="357">
        <f>'Hodnocení '!DK41</f>
        <v>0</v>
      </c>
      <c r="DL45" s="357">
        <f>'Hodnocení '!DL41</f>
        <v>0</v>
      </c>
      <c r="DM45" s="357">
        <f>'Hodnocení '!DM41</f>
        <v>0</v>
      </c>
      <c r="DN45" s="357">
        <f>'Hodnocení '!DN41</f>
        <v>0</v>
      </c>
      <c r="DO45" s="357">
        <f>'Hodnocení '!DO41</f>
        <v>0</v>
      </c>
      <c r="DP45" s="357">
        <f>'Hodnocení '!DP41</f>
        <v>0</v>
      </c>
      <c r="DQ45" s="357">
        <f>'Hodnocení '!DQ41</f>
        <v>0</v>
      </c>
      <c r="DR45" s="357">
        <f>'Hodnocení '!DR41</f>
        <v>0</v>
      </c>
      <c r="DS45" s="357">
        <f>'Hodnocení '!DS41</f>
        <v>0</v>
      </c>
      <c r="DT45" s="357">
        <f>'Hodnocení '!DT41</f>
        <v>0</v>
      </c>
      <c r="DU45" s="357">
        <f>'Hodnocení '!DU41</f>
        <v>0</v>
      </c>
      <c r="DV45" s="357">
        <f>'Hodnocení '!DV41</f>
        <v>0</v>
      </c>
      <c r="DW45" s="357">
        <f>'Hodnocení '!DW41</f>
        <v>0</v>
      </c>
      <c r="DX45" s="357">
        <f>'Hodnocení '!DX41</f>
        <v>0</v>
      </c>
      <c r="DY45" s="357">
        <f>'Hodnocení '!DY41</f>
        <v>0</v>
      </c>
      <c r="DZ45" s="357">
        <f>'Hodnocení '!DZ41</f>
        <v>0</v>
      </c>
      <c r="EA45" s="357">
        <f>'Hodnocení '!EA41</f>
        <v>0</v>
      </c>
      <c r="EB45" s="357">
        <f>'Hodnocení '!EB41</f>
        <v>0</v>
      </c>
      <c r="EC45" s="357">
        <f>'Hodnocení '!EC41</f>
        <v>0</v>
      </c>
      <c r="ED45" s="357">
        <f>'Hodnocení '!ED41</f>
        <v>0</v>
      </c>
      <c r="EE45" s="357">
        <f>'Hodnocení '!EE41</f>
        <v>0</v>
      </c>
      <c r="EF45" s="357">
        <f>'Hodnocení '!EF41</f>
        <v>0</v>
      </c>
      <c r="EG45" s="357">
        <f>'Hodnocení '!EG41</f>
        <v>0</v>
      </c>
      <c r="EH45" s="357">
        <f>'Hodnocení '!EH41</f>
        <v>0</v>
      </c>
      <c r="EI45" s="357">
        <f>'Hodnocení '!EI41</f>
        <v>0</v>
      </c>
      <c r="EJ45" s="357">
        <f>'Hodnocení '!EJ41</f>
        <v>0</v>
      </c>
      <c r="EK45" s="357">
        <f>'Hodnocení '!EK41</f>
        <v>0</v>
      </c>
      <c r="EL45" s="357">
        <f>'Hodnocení '!EL41</f>
        <v>0</v>
      </c>
      <c r="EM45" s="357">
        <f>'Hodnocení '!EM41</f>
        <v>0</v>
      </c>
      <c r="EN45" s="357">
        <f>'Hodnocení '!EN41</f>
        <v>0</v>
      </c>
      <c r="EO45" s="357">
        <f>'Hodnocení '!EO41</f>
        <v>0</v>
      </c>
      <c r="EP45" s="357">
        <f>'Hodnocení '!EP41</f>
        <v>0</v>
      </c>
      <c r="EQ45" s="357">
        <f>'Hodnocení '!EQ41</f>
        <v>0</v>
      </c>
      <c r="ER45" s="357">
        <f>'Hodnocení '!ER41</f>
        <v>0</v>
      </c>
      <c r="ES45" s="357">
        <f>'Hodnocení '!ES41</f>
        <v>0</v>
      </c>
      <c r="ET45" s="357">
        <f>'Hodnocení '!ET41</f>
        <v>0</v>
      </c>
      <c r="EU45" s="357">
        <f>'Hodnocení '!EU41</f>
        <v>0</v>
      </c>
      <c r="EV45" s="357">
        <f>'Hodnocení '!EV41</f>
        <v>0</v>
      </c>
      <c r="EW45" s="357">
        <f>'Hodnocení '!EW41</f>
        <v>0</v>
      </c>
      <c r="EX45" s="357">
        <f>'Hodnocení '!EX41</f>
        <v>0</v>
      </c>
      <c r="EY45" s="357">
        <f>'Hodnocení '!EY41</f>
        <v>0</v>
      </c>
      <c r="EZ45" s="357">
        <f>'Hodnocení '!EZ41</f>
        <v>0</v>
      </c>
      <c r="FA45" s="357">
        <f>'Hodnocení '!FA41</f>
        <v>0</v>
      </c>
      <c r="FB45" s="357">
        <f>'Hodnocení '!FB41</f>
        <v>0</v>
      </c>
      <c r="FC45" s="357">
        <f>'Hodnocení '!FC41</f>
        <v>0</v>
      </c>
      <c r="FD45" s="357">
        <f>'Hodnocení '!FD41</f>
        <v>0</v>
      </c>
      <c r="FE45" s="357">
        <f>'Hodnocení '!FE41</f>
        <v>0</v>
      </c>
      <c r="FF45" s="357">
        <f>'Hodnocení '!FF41</f>
        <v>0</v>
      </c>
      <c r="FG45" s="357">
        <f>'Hodnocení '!FG41</f>
        <v>0</v>
      </c>
      <c r="FH45" s="357">
        <f>'Hodnocení '!FH41</f>
        <v>0</v>
      </c>
      <c r="FI45" s="357">
        <f>'Hodnocení '!FI41</f>
        <v>0</v>
      </c>
      <c r="FJ45" s="357">
        <f>'Hodnocení '!FJ41</f>
        <v>0</v>
      </c>
      <c r="FK45" s="357">
        <f>'Hodnocení '!FK41</f>
        <v>0</v>
      </c>
      <c r="FL45" s="357">
        <f>'Hodnocení '!FL41</f>
        <v>0</v>
      </c>
      <c r="FM45" s="357">
        <f>'Hodnocení '!FM41</f>
        <v>0</v>
      </c>
      <c r="FN45" s="357">
        <f>'Hodnocení '!FN41</f>
        <v>0</v>
      </c>
      <c r="FO45" s="357">
        <f>'Hodnocení '!FO41</f>
        <v>0</v>
      </c>
      <c r="FP45" s="357">
        <f>'Hodnocení '!FP41</f>
        <v>0</v>
      </c>
      <c r="FQ45" s="357">
        <f>'Hodnocení '!FQ41</f>
        <v>0</v>
      </c>
      <c r="FR45" s="357">
        <f>'Hodnocení '!FR41</f>
        <v>0</v>
      </c>
      <c r="FS45" s="357">
        <f>'Hodnocení '!FS41</f>
        <v>0</v>
      </c>
      <c r="FT45" s="357">
        <f>'Hodnocení '!FT41</f>
        <v>0</v>
      </c>
      <c r="FU45" s="357">
        <f>'Hodnocení '!FU41</f>
        <v>0</v>
      </c>
      <c r="FV45" s="357">
        <f>'Hodnocení '!FV41</f>
        <v>0</v>
      </c>
      <c r="FW45" s="357">
        <f>'Hodnocení '!FW41</f>
        <v>0</v>
      </c>
      <c r="FX45" s="357">
        <f>'Hodnocení '!FX41</f>
        <v>0</v>
      </c>
      <c r="FY45" s="357">
        <f>'Hodnocení '!FY41</f>
        <v>0</v>
      </c>
      <c r="FZ45" s="357">
        <f>'Hodnocení '!FZ41</f>
        <v>0</v>
      </c>
      <c r="GA45" s="357">
        <f>'Hodnocení '!GA41</f>
        <v>0</v>
      </c>
      <c r="GB45" s="357">
        <f>'Hodnocení '!GB41</f>
        <v>0</v>
      </c>
      <c r="GC45" s="357">
        <f>'Hodnocení '!GC41</f>
        <v>0</v>
      </c>
      <c r="GD45" s="357">
        <f>'Hodnocení '!GD41</f>
        <v>0</v>
      </c>
      <c r="GE45" s="357">
        <f>'Hodnocení '!GE41</f>
        <v>0</v>
      </c>
      <c r="GF45" s="357">
        <f>'Hodnocení '!GF41</f>
        <v>0</v>
      </c>
      <c r="GG45" s="357">
        <f>'Hodnocení '!GG41</f>
        <v>0</v>
      </c>
      <c r="GH45" s="357">
        <f>'Hodnocení '!GH41</f>
        <v>0</v>
      </c>
      <c r="GI45" s="357">
        <f>'Hodnocení '!GI41</f>
        <v>0</v>
      </c>
      <c r="GJ45" s="357">
        <f>'Hodnocení '!GJ41</f>
        <v>0</v>
      </c>
      <c r="GK45" s="357">
        <f>'Hodnocení '!GK41</f>
        <v>0</v>
      </c>
      <c r="GL45" s="357">
        <f>'Hodnocení '!GL41</f>
        <v>0</v>
      </c>
      <c r="GM45" s="357">
        <f>'Hodnocení '!GM41</f>
        <v>0</v>
      </c>
      <c r="GN45" s="357">
        <f>'Hodnocení '!GN41</f>
        <v>0</v>
      </c>
      <c r="GO45" s="357">
        <f>'Hodnocení '!GO41</f>
        <v>0</v>
      </c>
      <c r="GP45" s="357">
        <f>'Hodnocení '!GP41</f>
        <v>0</v>
      </c>
      <c r="GQ45" s="357">
        <f>'Hodnocení '!GQ41</f>
        <v>0</v>
      </c>
      <c r="GR45" s="357">
        <f>'Hodnocení '!GR41</f>
        <v>0</v>
      </c>
      <c r="GS45" s="357">
        <f>'Hodnocení '!GS41</f>
        <v>0</v>
      </c>
      <c r="GT45" s="357">
        <f>'Hodnocení '!GT41</f>
        <v>0</v>
      </c>
      <c r="GU45" s="357">
        <f>'Hodnocení '!GU41</f>
        <v>0</v>
      </c>
      <c r="GV45" s="357">
        <f>'Hodnocení '!GV41</f>
        <v>0</v>
      </c>
      <c r="GW45" s="357">
        <f>'Hodnocení '!GW41</f>
        <v>0</v>
      </c>
      <c r="GX45" s="357">
        <f>'Hodnocení '!GX41</f>
        <v>0</v>
      </c>
      <c r="GY45" s="357">
        <f>'Hodnocení '!GY41</f>
        <v>0</v>
      </c>
      <c r="GZ45" s="357">
        <f>'Hodnocení '!GZ41</f>
        <v>0</v>
      </c>
      <c r="HA45" s="357">
        <f>'Hodnocení '!HA41</f>
        <v>0</v>
      </c>
      <c r="HB45" s="357">
        <f>'Hodnocení '!HB41</f>
        <v>0</v>
      </c>
      <c r="HC45" s="357">
        <f>'Hodnocení '!HC41</f>
        <v>0</v>
      </c>
      <c r="HD45" s="357">
        <f>'Hodnocení '!HD41</f>
        <v>0</v>
      </c>
      <c r="HE45" s="357">
        <f>'Hodnocení '!HE41</f>
        <v>0</v>
      </c>
      <c r="HF45" s="357">
        <f>'Hodnocení '!HF41</f>
        <v>0</v>
      </c>
      <c r="HG45" s="357">
        <f>'Hodnocení '!HG41</f>
        <v>0</v>
      </c>
      <c r="HH45" s="357">
        <f>'Hodnocení '!HH41</f>
        <v>0</v>
      </c>
      <c r="HI45" s="357">
        <f>'Hodnocení '!HI41</f>
        <v>0</v>
      </c>
      <c r="HJ45" s="357">
        <f>'Hodnocení '!HJ41</f>
        <v>0</v>
      </c>
      <c r="HK45" s="357">
        <f>'Hodnocení '!HK41</f>
        <v>0</v>
      </c>
      <c r="HL45" s="357">
        <f>'Hodnocení '!HL41</f>
        <v>0</v>
      </c>
      <c r="HM45" s="357">
        <f>'Hodnocení '!HM41</f>
        <v>0</v>
      </c>
      <c r="HN45" s="357">
        <f>'Hodnocení '!HN41</f>
        <v>0</v>
      </c>
      <c r="HO45" s="357">
        <f>'Hodnocení '!HO41</f>
        <v>0</v>
      </c>
      <c r="HP45" s="357">
        <f>'Hodnocení '!HP41</f>
        <v>0</v>
      </c>
      <c r="HQ45" s="357">
        <f>'Hodnocení '!HQ41</f>
        <v>0</v>
      </c>
      <c r="HR45" s="357">
        <f>'Hodnocení '!HR41</f>
        <v>0</v>
      </c>
      <c r="HS45" s="357">
        <f>'Hodnocení '!HS41</f>
        <v>0</v>
      </c>
      <c r="HT45" s="357">
        <f>'Hodnocení '!HT41</f>
        <v>0</v>
      </c>
      <c r="HU45" s="357">
        <f>'Hodnocení '!HU41</f>
        <v>0</v>
      </c>
      <c r="HV45" s="357">
        <f>'Hodnocení '!HV41</f>
        <v>0</v>
      </c>
      <c r="HW45" s="357">
        <f>'Hodnocení '!HW41</f>
        <v>0</v>
      </c>
      <c r="HX45" s="357">
        <f>'Hodnocení '!HX41</f>
        <v>0</v>
      </c>
      <c r="HY45" s="357">
        <f>'Hodnocení '!HY41</f>
        <v>0</v>
      </c>
      <c r="HZ45" s="357">
        <f>'Hodnocení '!HZ41</f>
        <v>0</v>
      </c>
      <c r="IA45" s="357">
        <f>'Hodnocení '!IA41</f>
        <v>0</v>
      </c>
      <c r="IB45" s="357">
        <f>'Hodnocení '!IB41</f>
        <v>0</v>
      </c>
      <c r="IC45" s="357">
        <f>'Hodnocení '!IC41</f>
        <v>0</v>
      </c>
      <c r="ID45" s="357">
        <f>'Hodnocení '!ID41</f>
        <v>0</v>
      </c>
      <c r="IE45" s="357">
        <f>'Hodnocení '!IE41</f>
        <v>0</v>
      </c>
      <c r="IF45" s="357">
        <f>'Hodnocení '!IF41</f>
        <v>0</v>
      </c>
      <c r="IG45" s="357">
        <f>'Hodnocení '!IG41</f>
        <v>0</v>
      </c>
      <c r="IH45" s="357">
        <f>'Hodnocení '!IH41</f>
        <v>0</v>
      </c>
      <c r="II45" s="357">
        <f>'Hodnocení '!II41</f>
        <v>0</v>
      </c>
      <c r="IJ45" s="357">
        <f>'Hodnocení '!IJ41</f>
        <v>0</v>
      </c>
      <c r="IK45" s="357">
        <f>'Hodnocení '!IK41</f>
        <v>0</v>
      </c>
      <c r="IL45" s="357">
        <f>'Hodnocení '!IL41</f>
        <v>0</v>
      </c>
      <c r="IM45" s="357">
        <f>'Hodnocení '!IM41</f>
        <v>0</v>
      </c>
      <c r="IN45" s="357">
        <f>'Hodnocení '!IN41</f>
        <v>0</v>
      </c>
      <c r="IO45" s="357">
        <f>'Hodnocení '!IO41</f>
        <v>0</v>
      </c>
      <c r="IP45" s="357">
        <f>'Hodnocení '!IP41</f>
        <v>0</v>
      </c>
      <c r="IQ45" s="357">
        <f>'Hodnocení '!IQ41</f>
        <v>0</v>
      </c>
      <c r="IR45" s="357">
        <f>'Hodnocení '!IR41</f>
        <v>0</v>
      </c>
      <c r="IS45" s="357">
        <f>'Hodnocení '!IS41</f>
        <v>0</v>
      </c>
      <c r="IT45" s="357">
        <f>'Hodnocení '!IT41</f>
        <v>0</v>
      </c>
      <c r="IU45" s="357">
        <f>'Hodnocení '!IU41</f>
        <v>0</v>
      </c>
      <c r="IV45" s="357">
        <f>'Hodnocení '!IV41</f>
        <v>0</v>
      </c>
      <c r="IW45" s="357">
        <f>'Hodnocení '!IW41</f>
        <v>0</v>
      </c>
      <c r="IX45" s="357">
        <f>'Hodnocení '!IX41</f>
        <v>0</v>
      </c>
      <c r="IY45" s="357">
        <f>'Hodnocení '!IY41</f>
        <v>0</v>
      </c>
      <c r="IZ45" s="357">
        <f>'Hodnocení '!IZ41</f>
        <v>0</v>
      </c>
      <c r="JA45" s="357">
        <f>'Hodnocení '!JA41</f>
        <v>0</v>
      </c>
      <c r="JB45" s="357">
        <f>'Hodnocení '!JB41</f>
        <v>0</v>
      </c>
      <c r="JC45" s="357">
        <f>'Hodnocení '!JC41</f>
        <v>0</v>
      </c>
      <c r="JD45" s="357">
        <f>'Hodnocení '!JD41</f>
        <v>0</v>
      </c>
      <c r="JE45" s="357">
        <f>'Hodnocení '!JE41</f>
        <v>0</v>
      </c>
      <c r="JF45" s="357">
        <f>'Hodnocení '!JF41</f>
        <v>0</v>
      </c>
      <c r="JG45" s="357">
        <f>'Hodnocení '!JG41</f>
        <v>0</v>
      </c>
      <c r="JH45" s="772">
        <f>'Hodnocení '!JH41</f>
        <v>0</v>
      </c>
      <c r="JI45" s="315">
        <f>'Hodnocení '!JI41</f>
        <v>0</v>
      </c>
    </row>
    <row r="46" spans="1:276" ht="15.75" hidden="1" thickBot="1" x14ac:dyDescent="0.3">
      <c r="A46" s="554"/>
      <c r="B46" s="740" t="s">
        <v>2608</v>
      </c>
      <c r="C46" s="791">
        <f>'Hodnocení '!C42</f>
        <v>50000</v>
      </c>
      <c r="D46" s="574">
        <f>'Hodnocení '!D42</f>
        <v>300000</v>
      </c>
      <c r="E46" s="574">
        <f>'Hodnocení '!E42</f>
        <v>180000</v>
      </c>
      <c r="F46" s="574">
        <f>'Hodnocení '!F42</f>
        <v>362000</v>
      </c>
      <c r="G46" s="574">
        <f>'Hodnocení '!G42</f>
        <v>1426500</v>
      </c>
      <c r="H46" s="574">
        <f>'Hodnocení '!H42</f>
        <v>700000</v>
      </c>
      <c r="I46" s="574">
        <f>'Hodnocení '!I42</f>
        <v>719500</v>
      </c>
      <c r="J46" s="574">
        <f>'Hodnocení '!J42</f>
        <v>99900</v>
      </c>
      <c r="K46" s="574">
        <f>'Hodnocení '!K42</f>
        <v>20000</v>
      </c>
      <c r="L46" s="574">
        <f>'Hodnocení '!L42</f>
        <v>281750</v>
      </c>
      <c r="M46" s="574">
        <f>'Hodnocení '!M42</f>
        <v>316500</v>
      </c>
      <c r="N46" s="574">
        <f>'Hodnocení '!N42</f>
        <v>549000</v>
      </c>
      <c r="O46" s="574">
        <f>'Hodnocení '!O42</f>
        <v>307500</v>
      </c>
      <c r="P46" s="574">
        <f>'Hodnocení '!P42</f>
        <v>428000</v>
      </c>
      <c r="Q46" s="574">
        <f>'Hodnocení '!Q42</f>
        <v>169000</v>
      </c>
      <c r="R46" s="574">
        <f>'Hodnocení '!R42</f>
        <v>456000</v>
      </c>
      <c r="S46" s="574">
        <f>'Hodnocení '!S42</f>
        <v>116084</v>
      </c>
      <c r="T46" s="574">
        <f>'Hodnocení '!T42</f>
        <v>120000</v>
      </c>
      <c r="U46" s="574">
        <f>'Hodnocení '!U42</f>
        <v>165000</v>
      </c>
      <c r="V46" s="574">
        <f>'Hodnocení '!V42</f>
        <v>4317000</v>
      </c>
      <c r="W46" s="574">
        <f>'Hodnocení '!W42</f>
        <v>934000</v>
      </c>
      <c r="X46" s="574">
        <f>'Hodnocení '!X42</f>
        <v>122000</v>
      </c>
      <c r="Y46" s="574">
        <f>'Hodnocení '!Y42</f>
        <v>100000</v>
      </c>
      <c r="Z46" s="574">
        <f>'Hodnocení '!Z42</f>
        <v>0</v>
      </c>
      <c r="AA46" s="574">
        <f>'Hodnocení '!AA42</f>
        <v>295000</v>
      </c>
      <c r="AB46" s="574">
        <f>'Hodnocení '!AB42</f>
        <v>154334.58000000002</v>
      </c>
      <c r="AC46" s="574">
        <f>'Hodnocení '!AC42</f>
        <v>136928.35999999999</v>
      </c>
      <c r="AD46" s="574">
        <f>'Hodnocení '!AD42</f>
        <v>156800</v>
      </c>
      <c r="AE46" s="574">
        <f>'Hodnocení '!AE42</f>
        <v>88800</v>
      </c>
      <c r="AF46" s="574">
        <f>'Hodnocení '!AF42</f>
        <v>88800</v>
      </c>
      <c r="AG46" s="574">
        <f>'Hodnocení '!AG42</f>
        <v>267500</v>
      </c>
      <c r="AH46" s="574">
        <f>'Hodnocení '!AH42</f>
        <v>101700</v>
      </c>
      <c r="AI46" s="574">
        <f>'Hodnocení '!AI42</f>
        <v>117300</v>
      </c>
      <c r="AJ46" s="574">
        <f>'Hodnocení '!AJ42</f>
        <v>123700</v>
      </c>
      <c r="AK46" s="574">
        <f>'Hodnocení '!AK42</f>
        <v>0</v>
      </c>
      <c r="AL46" s="574">
        <f>'Hodnocení '!AL42</f>
        <v>204000</v>
      </c>
      <c r="AM46" s="574">
        <f>'Hodnocení '!AM42</f>
        <v>60116</v>
      </c>
      <c r="AN46" s="574">
        <f>'Hodnocení '!AN42</f>
        <v>95000</v>
      </c>
      <c r="AO46" s="574">
        <f>'Hodnocení '!AO42</f>
        <v>2581000</v>
      </c>
      <c r="AP46" s="574">
        <f>'Hodnocení '!AP42</f>
        <v>0</v>
      </c>
      <c r="AQ46" s="574">
        <f>'Hodnocení '!AQ42</f>
        <v>50000</v>
      </c>
      <c r="AR46" s="574">
        <f>'Hodnocení '!AR42</f>
        <v>139500</v>
      </c>
      <c r="AS46" s="574">
        <f>'Hodnocení '!AS42</f>
        <v>37000</v>
      </c>
      <c r="AT46" s="574">
        <f>'Hodnocení '!AT42</f>
        <v>169000</v>
      </c>
      <c r="AU46" s="574">
        <f>'Hodnocení '!AU42</f>
        <v>160000</v>
      </c>
      <c r="AV46" s="574">
        <f>'Hodnocení '!AV42</f>
        <v>117300</v>
      </c>
      <c r="AW46" s="574">
        <f>'Hodnocení '!AW42</f>
        <v>156400</v>
      </c>
      <c r="AX46" s="574">
        <f>'Hodnocení '!AX42</f>
        <v>258000</v>
      </c>
      <c r="AY46" s="574">
        <f>'Hodnocení '!AY42</f>
        <v>238000</v>
      </c>
      <c r="AZ46" s="574">
        <f>'Hodnocení '!AZ42</f>
        <v>156185</v>
      </c>
      <c r="BA46" s="574">
        <f>'Hodnocení '!BA42</f>
        <v>1120000</v>
      </c>
      <c r="BB46" s="574">
        <f>'Hodnocení '!BB42</f>
        <v>140000</v>
      </c>
      <c r="BC46" s="574">
        <f>'Hodnocení '!BC42</f>
        <v>137000</v>
      </c>
      <c r="BD46" s="574">
        <f>'Hodnocení '!BD42</f>
        <v>304000</v>
      </c>
      <c r="BE46" s="574">
        <f>'Hodnocení '!BE42</f>
        <v>176000</v>
      </c>
      <c r="BF46" s="574">
        <f>'Hodnocení '!BF42</f>
        <v>376000</v>
      </c>
      <c r="BG46" s="574">
        <f>'Hodnocení '!BG42</f>
        <v>490000</v>
      </c>
      <c r="BH46" s="574">
        <f>'Hodnocení '!BH42</f>
        <v>397000</v>
      </c>
      <c r="BI46" s="574">
        <f>'Hodnocení '!BI42</f>
        <v>100000</v>
      </c>
      <c r="BJ46" s="574">
        <f>'Hodnocení '!BJ42</f>
        <v>219000</v>
      </c>
      <c r="BK46" s="574">
        <f>'Hodnocení '!BK42</f>
        <v>48000</v>
      </c>
      <c r="BL46" s="574">
        <f>'Hodnocení '!BL42</f>
        <v>0</v>
      </c>
      <c r="BM46" s="574">
        <f>'Hodnocení '!BM42</f>
        <v>50000</v>
      </c>
      <c r="BN46" s="574">
        <f>'Hodnocení '!BN42</f>
        <v>326000</v>
      </c>
      <c r="BO46" s="574">
        <f>'Hodnocení '!BO42</f>
        <v>222000</v>
      </c>
      <c r="BP46" s="574">
        <f>'Hodnocení '!BP42</f>
        <v>777000</v>
      </c>
      <c r="BQ46" s="574">
        <f>'Hodnocení '!BQ42</f>
        <v>0</v>
      </c>
      <c r="BR46" s="574">
        <f>'Hodnocení '!BR42</f>
        <v>80000</v>
      </c>
      <c r="BS46" s="574">
        <f>'Hodnocení '!BS42</f>
        <v>230000</v>
      </c>
      <c r="BT46" s="574">
        <f>'Hodnocení '!BT42</f>
        <v>200000</v>
      </c>
      <c r="BU46" s="574">
        <f>'Hodnocení '!BU42</f>
        <v>1150000</v>
      </c>
      <c r="BV46" s="574">
        <f>'Hodnocení '!BV42</f>
        <v>0</v>
      </c>
      <c r="BW46" s="574">
        <f>'Hodnocení '!BW42</f>
        <v>0</v>
      </c>
      <c r="BX46" s="574">
        <f>'Hodnocení '!BX42</f>
        <v>1309761</v>
      </c>
      <c r="BY46" s="574">
        <f>'Hodnocení '!BY42</f>
        <v>730000</v>
      </c>
      <c r="BZ46" s="574">
        <f>'Hodnocení '!BZ42</f>
        <v>150000</v>
      </c>
      <c r="CA46" s="574">
        <f>'Hodnocení '!CA42</f>
        <v>0</v>
      </c>
      <c r="CB46" s="574">
        <f>'Hodnocení '!CB42</f>
        <v>0</v>
      </c>
      <c r="CC46" s="574">
        <f>'Hodnocení '!CC42</f>
        <v>404000</v>
      </c>
      <c r="CD46" s="574">
        <f>'Hodnocení '!CD42</f>
        <v>156000</v>
      </c>
      <c r="CE46" s="574">
        <f>'Hodnocení '!CE42</f>
        <v>4381300</v>
      </c>
      <c r="CF46" s="574">
        <f>'Hodnocení '!CF42</f>
        <v>366900</v>
      </c>
      <c r="CG46" s="574">
        <f>'Hodnocení '!CG42</f>
        <v>1830000</v>
      </c>
      <c r="CH46" s="574">
        <f>'Hodnocení '!CH42</f>
        <v>890000</v>
      </c>
      <c r="CI46" s="574">
        <f>'Hodnocení '!CI42</f>
        <v>200000</v>
      </c>
      <c r="CJ46" s="574">
        <f>'Hodnocení '!CJ42</f>
        <v>812000</v>
      </c>
      <c r="CK46" s="574">
        <f>'Hodnocení '!CK42</f>
        <v>599000</v>
      </c>
      <c r="CL46" s="574">
        <f>'Hodnocení '!CL42</f>
        <v>521000</v>
      </c>
      <c r="CM46" s="574">
        <f>'Hodnocení '!CM42</f>
        <v>939500</v>
      </c>
      <c r="CN46" s="574">
        <f>'Hodnocení '!CN42</f>
        <v>165000</v>
      </c>
      <c r="CO46" s="574">
        <f>'Hodnocení '!CO42</f>
        <v>250000</v>
      </c>
      <c r="CP46" s="574">
        <f>'Hodnocení '!CP42</f>
        <v>215000</v>
      </c>
      <c r="CQ46" s="574">
        <f>'Hodnocení '!CQ42</f>
        <v>740000</v>
      </c>
      <c r="CR46" s="574">
        <f>'Hodnocení '!CR42</f>
        <v>50000</v>
      </c>
      <c r="CS46" s="574">
        <f>'Hodnocení '!CS42</f>
        <v>0</v>
      </c>
      <c r="CT46" s="574">
        <f>'Hodnocení '!CT42</f>
        <v>600000</v>
      </c>
      <c r="CU46" s="574">
        <f>'Hodnocení '!CU42</f>
        <v>91500</v>
      </c>
      <c r="CV46" s="574">
        <f>'Hodnocení '!CV42</f>
        <v>128500</v>
      </c>
      <c r="CW46" s="574">
        <f>'Hodnocení '!CW42</f>
        <v>0</v>
      </c>
      <c r="CX46" s="574">
        <f>'Hodnocení '!CX42</f>
        <v>373468</v>
      </c>
      <c r="CY46" s="574">
        <f>'Hodnocení '!CY42</f>
        <v>277673</v>
      </c>
      <c r="CZ46" s="574">
        <f>'Hodnocení '!CZ42</f>
        <v>50000</v>
      </c>
      <c r="DA46" s="574">
        <f>'Hodnocení '!DA42</f>
        <v>0</v>
      </c>
      <c r="DB46" s="574">
        <f>'Hodnocení '!DB42</f>
        <v>200000</v>
      </c>
      <c r="DC46" s="574">
        <f>'Hodnocení '!DC42</f>
        <v>265000</v>
      </c>
      <c r="DD46" s="574">
        <f>'Hodnocení '!DD42</f>
        <v>215000</v>
      </c>
      <c r="DE46" s="574">
        <f>'Hodnocení '!DE42</f>
        <v>235000</v>
      </c>
      <c r="DF46" s="574">
        <f>'Hodnocení '!DF42</f>
        <v>450000</v>
      </c>
      <c r="DG46" s="574">
        <f>'Hodnocení '!DG42</f>
        <v>0</v>
      </c>
      <c r="DH46" s="574">
        <f>'Hodnocení '!DH42</f>
        <v>105200</v>
      </c>
      <c r="DI46" s="574">
        <f>'Hodnocení '!DI42</f>
        <v>33480</v>
      </c>
      <c r="DJ46" s="574">
        <f>'Hodnocení '!DJ42</f>
        <v>90000</v>
      </c>
      <c r="DK46" s="574">
        <f>'Hodnocení '!DK42</f>
        <v>42480</v>
      </c>
      <c r="DL46" s="574">
        <f>'Hodnocení '!DL42</f>
        <v>1452000</v>
      </c>
      <c r="DM46" s="574">
        <f>'Hodnocení '!DM42</f>
        <v>508000</v>
      </c>
      <c r="DN46" s="574">
        <f>'Hodnocení '!DN42</f>
        <v>554000</v>
      </c>
      <c r="DO46" s="574">
        <f>'Hodnocení '!DO42</f>
        <v>0</v>
      </c>
      <c r="DP46" s="574">
        <f>'Hodnocení '!DP42</f>
        <v>415000</v>
      </c>
      <c r="DQ46" s="574">
        <f>'Hodnocení '!DQ42</f>
        <v>330000</v>
      </c>
      <c r="DR46" s="574">
        <f>'Hodnocení '!DR42</f>
        <v>54000</v>
      </c>
      <c r="DS46" s="574">
        <f>'Hodnocení '!DS42</f>
        <v>0</v>
      </c>
      <c r="DT46" s="574">
        <f>'Hodnocení '!DT42</f>
        <v>50000</v>
      </c>
      <c r="DU46" s="574">
        <f>'Hodnocení '!DU42</f>
        <v>260000</v>
      </c>
      <c r="DV46" s="574">
        <f>'Hodnocení '!DV42</f>
        <v>600000</v>
      </c>
      <c r="DW46" s="574">
        <f>'Hodnocení '!DW42</f>
        <v>165000</v>
      </c>
      <c r="DX46" s="574">
        <f>'Hodnocení '!DX42</f>
        <v>455000</v>
      </c>
      <c r="DY46" s="574">
        <f>'Hodnocení '!DY42</f>
        <v>150000</v>
      </c>
      <c r="DZ46" s="574">
        <f>'Hodnocení '!DZ42</f>
        <v>0</v>
      </c>
      <c r="EA46" s="574">
        <f>'Hodnocení '!EA42</f>
        <v>130000</v>
      </c>
      <c r="EB46" s="574">
        <f>'Hodnocení '!EB42</f>
        <v>225000</v>
      </c>
      <c r="EC46" s="574">
        <f>'Hodnocení '!EC42</f>
        <v>121000</v>
      </c>
      <c r="ED46" s="574">
        <f>'Hodnocení '!ED42</f>
        <v>391000</v>
      </c>
      <c r="EE46" s="574">
        <f>'Hodnocení '!EE42</f>
        <v>110000</v>
      </c>
      <c r="EF46" s="574">
        <f>'Hodnocení '!EF42</f>
        <v>115000</v>
      </c>
      <c r="EG46" s="574">
        <f>'Hodnocení '!EG42</f>
        <v>10000</v>
      </c>
      <c r="EH46" s="574">
        <f>'Hodnocení '!EH42</f>
        <v>80000</v>
      </c>
      <c r="EI46" s="574">
        <f>'Hodnocení '!EI42</f>
        <v>122000</v>
      </c>
      <c r="EJ46" s="574">
        <f>'Hodnocení '!EJ42</f>
        <v>78000</v>
      </c>
      <c r="EK46" s="574">
        <f>'Hodnocení '!EK42</f>
        <v>659000</v>
      </c>
      <c r="EL46" s="574">
        <f>'Hodnocení '!EL42</f>
        <v>3015000</v>
      </c>
      <c r="EM46" s="574">
        <f>'Hodnocení '!EM42</f>
        <v>581000</v>
      </c>
      <c r="EN46" s="574">
        <f>'Hodnocení '!EN42</f>
        <v>0</v>
      </c>
      <c r="EO46" s="574">
        <f>'Hodnocení '!EO42</f>
        <v>15000</v>
      </c>
      <c r="EP46" s="574">
        <f>'Hodnocení '!EP42</f>
        <v>202000</v>
      </c>
      <c r="EQ46" s="574">
        <f>'Hodnocení '!EQ42</f>
        <v>40000</v>
      </c>
      <c r="ER46" s="574">
        <f>'Hodnocení '!ER42</f>
        <v>4235000</v>
      </c>
      <c r="ES46" s="574">
        <f>'Hodnocení '!ES42</f>
        <v>1619100</v>
      </c>
      <c r="ET46" s="574">
        <f>'Hodnocení '!ET42</f>
        <v>0</v>
      </c>
      <c r="EU46" s="574">
        <f>'Hodnocení '!EU42</f>
        <v>12000</v>
      </c>
      <c r="EV46" s="574">
        <f>'Hodnocení '!EV42</f>
        <v>265000</v>
      </c>
      <c r="EW46" s="574">
        <f>'Hodnocení '!EW42</f>
        <v>2210000</v>
      </c>
      <c r="EX46" s="574">
        <f>'Hodnocení '!EX42</f>
        <v>3600000</v>
      </c>
      <c r="EY46" s="574">
        <f>'Hodnocení '!EY42</f>
        <v>1460000</v>
      </c>
      <c r="EZ46" s="574">
        <f>'Hodnocení '!EZ42</f>
        <v>1761805</v>
      </c>
      <c r="FA46" s="574">
        <f>'Hodnocení '!FA42</f>
        <v>996261</v>
      </c>
      <c r="FB46" s="574">
        <f>'Hodnocení '!FB42</f>
        <v>0</v>
      </c>
      <c r="FC46" s="574">
        <f>'Hodnocení '!FC42</f>
        <v>5962000</v>
      </c>
      <c r="FD46" s="574">
        <f>'Hodnocení '!FD42</f>
        <v>1552100</v>
      </c>
      <c r="FE46" s="574">
        <f>'Hodnocení '!FE42</f>
        <v>832200</v>
      </c>
      <c r="FF46" s="574">
        <f>'Hodnocení '!FF42</f>
        <v>1000000</v>
      </c>
      <c r="FG46" s="574">
        <f>'Hodnocení '!FG42</f>
        <v>2431500</v>
      </c>
      <c r="FH46" s="574">
        <f>'Hodnocení '!FH42</f>
        <v>1641500</v>
      </c>
      <c r="FI46" s="574">
        <f>'Hodnocení '!FI42</f>
        <v>1800000</v>
      </c>
      <c r="FJ46" s="574">
        <f>'Hodnocení '!FJ42</f>
        <v>1177383</v>
      </c>
      <c r="FK46" s="574">
        <f>'Hodnocení '!FK42</f>
        <v>633403</v>
      </c>
      <c r="FL46" s="574">
        <f>'Hodnocení '!FL42</f>
        <v>500000</v>
      </c>
      <c r="FM46" s="574">
        <f>'Hodnocení '!FM42</f>
        <v>1813013</v>
      </c>
      <c r="FN46" s="574">
        <f>'Hodnocení '!FN42</f>
        <v>1288895</v>
      </c>
      <c r="FO46" s="574">
        <f>'Hodnocení '!FO42</f>
        <v>1078183</v>
      </c>
      <c r="FP46" s="574">
        <f>'Hodnocení '!FP42</f>
        <v>4524544</v>
      </c>
      <c r="FQ46" s="574">
        <f>'Hodnocení '!FQ42</f>
        <v>118200</v>
      </c>
      <c r="FR46" s="574">
        <f>'Hodnocení '!FR42</f>
        <v>0</v>
      </c>
      <c r="FS46" s="574">
        <f>'Hodnocení '!FS42</f>
        <v>207067</v>
      </c>
      <c r="FT46" s="574">
        <f>'Hodnocení '!FT42</f>
        <v>2240223.16</v>
      </c>
      <c r="FU46" s="574">
        <f>'Hodnocení '!FU42</f>
        <v>204301</v>
      </c>
      <c r="FV46" s="574">
        <f>'Hodnocení '!FV42</f>
        <v>1668344</v>
      </c>
      <c r="FW46" s="574">
        <f>'Hodnocení '!FW42</f>
        <v>621321</v>
      </c>
      <c r="FX46" s="574">
        <f>'Hodnocení '!FX42</f>
        <v>402204.18</v>
      </c>
      <c r="FY46" s="574">
        <f>'Hodnocení '!FY42</f>
        <v>147190</v>
      </c>
      <c r="FZ46" s="574">
        <f>'Hodnocení '!FZ42</f>
        <v>5408290</v>
      </c>
      <c r="GA46" s="574">
        <f>'Hodnocení '!GA42</f>
        <v>1110750</v>
      </c>
      <c r="GB46" s="574">
        <f>'Hodnocení '!GB42</f>
        <v>4161580</v>
      </c>
      <c r="GC46" s="574">
        <f>'Hodnocení '!GC42</f>
        <v>1427000</v>
      </c>
      <c r="GD46" s="574">
        <f>'Hodnocení '!GD42</f>
        <v>3850000</v>
      </c>
      <c r="GE46" s="574">
        <f>'Hodnocení '!GE42</f>
        <v>867259</v>
      </c>
      <c r="GF46" s="574">
        <f>'Hodnocení '!GF42</f>
        <v>1561000</v>
      </c>
      <c r="GG46" s="574">
        <f>'Hodnocení '!GG42</f>
        <v>900000</v>
      </c>
      <c r="GH46" s="574">
        <f>'Hodnocení '!GH42</f>
        <v>480000</v>
      </c>
      <c r="GI46" s="574">
        <f>'Hodnocení '!GI42</f>
        <v>7145000</v>
      </c>
      <c r="GJ46" s="574">
        <f>'Hodnocení '!GJ42</f>
        <v>991270</v>
      </c>
      <c r="GK46" s="574">
        <f>'Hodnocení '!GK42</f>
        <v>742000</v>
      </c>
      <c r="GL46" s="574">
        <f>'Hodnocení '!GL42</f>
        <v>653000</v>
      </c>
      <c r="GM46" s="574">
        <f>'Hodnocení '!GM42</f>
        <v>595000</v>
      </c>
      <c r="GN46" s="574">
        <f>'Hodnocení '!GN42</f>
        <v>206397.66</v>
      </c>
      <c r="GO46" s="574">
        <f>'Hodnocení '!GO42</f>
        <v>1504000</v>
      </c>
      <c r="GP46" s="574">
        <f>'Hodnocení '!GP42</f>
        <v>1078336</v>
      </c>
      <c r="GQ46" s="574">
        <f>'Hodnocení '!GQ42</f>
        <v>1066404</v>
      </c>
      <c r="GR46" s="574">
        <f>'Hodnocení '!GR42</f>
        <v>1293990</v>
      </c>
      <c r="GS46" s="574">
        <f>'Hodnocení '!GS42</f>
        <v>849738.18</v>
      </c>
      <c r="GT46" s="574">
        <f>'Hodnocení '!GT42</f>
        <v>5804362</v>
      </c>
      <c r="GU46" s="574">
        <f>'Hodnocení '!GU42</f>
        <v>480000</v>
      </c>
      <c r="GV46" s="574">
        <f>'Hodnocení '!GV42</f>
        <v>2636744.54</v>
      </c>
      <c r="GW46" s="574">
        <f>'Hodnocení '!GW42</f>
        <v>1188833</v>
      </c>
      <c r="GX46" s="574">
        <f>'Hodnocení '!GX42</f>
        <v>503673.85</v>
      </c>
      <c r="GY46" s="574">
        <f>'Hodnocení '!GY42</f>
        <v>12590000</v>
      </c>
      <c r="GZ46" s="574">
        <f>'Hodnocení '!GZ42</f>
        <v>0</v>
      </c>
      <c r="HA46" s="574">
        <f>'Hodnocení '!HA42</f>
        <v>7000000</v>
      </c>
      <c r="HB46" s="574">
        <f>'Hodnocení '!HB42</f>
        <v>9050000</v>
      </c>
      <c r="HC46" s="574">
        <f>'Hodnocení '!HC42</f>
        <v>6686000</v>
      </c>
      <c r="HD46" s="574">
        <f>'Hodnocení '!HD42</f>
        <v>1897307</v>
      </c>
      <c r="HE46" s="574">
        <f>'Hodnocení '!HE42</f>
        <v>2971345</v>
      </c>
      <c r="HF46" s="574">
        <f>'Hodnocení '!HF42</f>
        <v>1230257</v>
      </c>
      <c r="HG46" s="574">
        <f>'Hodnocení '!HG42</f>
        <v>405927.64</v>
      </c>
      <c r="HH46" s="574">
        <f>'Hodnocení '!HH42</f>
        <v>1476086.36</v>
      </c>
      <c r="HI46" s="574">
        <f>'Hodnocení '!HI42</f>
        <v>2590000</v>
      </c>
      <c r="HJ46" s="574">
        <f>'Hodnocení '!HJ42</f>
        <v>391200</v>
      </c>
      <c r="HK46" s="574">
        <f>'Hodnocení '!HK42</f>
        <v>992500</v>
      </c>
      <c r="HL46" s="574">
        <f>'Hodnocení '!HL42</f>
        <v>0</v>
      </c>
      <c r="HM46" s="574">
        <f>'Hodnocení '!HM42</f>
        <v>0</v>
      </c>
      <c r="HN46" s="574">
        <f>'Hodnocení '!HN42</f>
        <v>0</v>
      </c>
      <c r="HO46" s="574">
        <f>'Hodnocení '!HO42</f>
        <v>0</v>
      </c>
      <c r="HP46" s="574">
        <f>'Hodnocení '!HP42</f>
        <v>0</v>
      </c>
      <c r="HQ46" s="574">
        <f>'Hodnocení '!HQ42</f>
        <v>0</v>
      </c>
      <c r="HR46" s="574">
        <f>'Hodnocení '!HR42</f>
        <v>0</v>
      </c>
      <c r="HS46" s="574">
        <f>'Hodnocení '!HS42</f>
        <v>0</v>
      </c>
      <c r="HT46" s="574">
        <f>'Hodnocení '!HT42</f>
        <v>0</v>
      </c>
      <c r="HU46" s="574">
        <f>'Hodnocení '!HU42</f>
        <v>48866</v>
      </c>
      <c r="HV46" s="574">
        <f>'Hodnocení '!HV42</f>
        <v>0</v>
      </c>
      <c r="HW46" s="574">
        <f>'Hodnocení '!HW42</f>
        <v>0</v>
      </c>
      <c r="HX46" s="574">
        <f>'Hodnocení '!HX42</f>
        <v>0</v>
      </c>
      <c r="HY46" s="574">
        <f>'Hodnocení '!HY42</f>
        <v>10000</v>
      </c>
      <c r="HZ46" s="574">
        <f>'Hodnocení '!HZ42</f>
        <v>0</v>
      </c>
      <c r="IA46" s="574">
        <f>'Hodnocení '!IA42</f>
        <v>0</v>
      </c>
      <c r="IB46" s="574">
        <f>'Hodnocení '!IB42</f>
        <v>0</v>
      </c>
      <c r="IC46" s="574">
        <f>'Hodnocení '!IC42</f>
        <v>0</v>
      </c>
      <c r="ID46" s="574">
        <f>'Hodnocení '!ID42</f>
        <v>0</v>
      </c>
      <c r="IE46" s="574">
        <f>'Hodnocení '!IE42</f>
        <v>0</v>
      </c>
      <c r="IF46" s="574">
        <f>'Hodnocení '!IF42</f>
        <v>0</v>
      </c>
      <c r="IG46" s="574">
        <f>'Hodnocení '!IG42</f>
        <v>0</v>
      </c>
      <c r="IH46" s="574">
        <f>'Hodnocení '!IH42</f>
        <v>0</v>
      </c>
      <c r="II46" s="574">
        <f>'Hodnocení '!II42</f>
        <v>0</v>
      </c>
      <c r="IJ46" s="574">
        <f>'Hodnocení '!IJ42</f>
        <v>0</v>
      </c>
      <c r="IK46" s="574">
        <f>'Hodnocení '!IK42</f>
        <v>0</v>
      </c>
      <c r="IL46" s="574">
        <f>'Hodnocení '!IL42</f>
        <v>0</v>
      </c>
      <c r="IM46" s="574">
        <f>'Hodnocení '!IM42</f>
        <v>0</v>
      </c>
      <c r="IN46" s="574">
        <f>'Hodnocení '!IN42</f>
        <v>0</v>
      </c>
      <c r="IO46" s="574">
        <f>'Hodnocení '!IO42</f>
        <v>0</v>
      </c>
      <c r="IP46" s="574">
        <f>'Hodnocení '!IP42</f>
        <v>0</v>
      </c>
      <c r="IQ46" s="574">
        <f>'Hodnocení '!IQ42</f>
        <v>0</v>
      </c>
      <c r="IR46" s="574">
        <f>'Hodnocení '!IR42</f>
        <v>0</v>
      </c>
      <c r="IS46" s="574">
        <f>'Hodnocení '!IS42</f>
        <v>0</v>
      </c>
      <c r="IT46" s="574">
        <f>'Hodnocení '!IT42</f>
        <v>0</v>
      </c>
      <c r="IU46" s="574">
        <f>'Hodnocení '!IU42</f>
        <v>0</v>
      </c>
      <c r="IV46" s="574">
        <f>'Hodnocení '!IV42</f>
        <v>0</v>
      </c>
      <c r="IW46" s="574">
        <f>'Hodnocení '!IW42</f>
        <v>0</v>
      </c>
      <c r="IX46" s="574">
        <f>'Hodnocení '!IX42</f>
        <v>0</v>
      </c>
      <c r="IY46" s="574">
        <f>'Hodnocení '!IY42</f>
        <v>0</v>
      </c>
      <c r="IZ46" s="574">
        <f>'Hodnocení '!IZ42</f>
        <v>0</v>
      </c>
      <c r="JA46" s="574">
        <f>'Hodnocení '!JA42</f>
        <v>78000</v>
      </c>
      <c r="JB46" s="574">
        <f>'Hodnocení '!JB42</f>
        <v>160000</v>
      </c>
      <c r="JC46" s="574">
        <f>'Hodnocení '!JC42</f>
        <v>80000</v>
      </c>
      <c r="JD46" s="574">
        <f>'Hodnocení '!JD42</f>
        <v>101900</v>
      </c>
      <c r="JE46" s="574">
        <f>'Hodnocení '!JE42</f>
        <v>0</v>
      </c>
      <c r="JF46" s="574">
        <f>'Hodnocení '!JF42</f>
        <v>0</v>
      </c>
      <c r="JG46" s="574">
        <f>'Hodnocení '!JG42</f>
        <v>21000</v>
      </c>
      <c r="JH46" s="792">
        <f>'Hodnocení '!JH42</f>
        <v>0</v>
      </c>
      <c r="JI46" s="555">
        <f>'Hodnocení '!JI42</f>
        <v>195775614.50999999</v>
      </c>
      <c r="JL46" s="307">
        <f>SUMIFS($C46:$JH46,$C$5:$JH$5,JL$5)</f>
        <v>530000</v>
      </c>
      <c r="JM46" s="307">
        <f>SUMIFS($C46:$JH46,$C$5:$JH$5,JM$5)</f>
        <v>58811959.939999998</v>
      </c>
      <c r="JN46" s="307">
        <f>SUMIFS($C46:$JH46,$C$5:$JH$5,JN$5)</f>
        <v>135933888.56999999</v>
      </c>
      <c r="JO46" s="307">
        <f>SUMIFS($C46:$JH46,$C$5:$JH$5,JO$5)</f>
        <v>499766</v>
      </c>
      <c r="JP46" s="307">
        <f t="shared" ref="JP46" si="40">SUM(JL46:JO46)</f>
        <v>195775614.50999999</v>
      </c>
    </row>
    <row r="47" spans="1:276" s="307" customFormat="1" hidden="1" x14ac:dyDescent="0.25">
      <c r="A47" s="314"/>
      <c r="B47" s="741" t="s">
        <v>2781</v>
      </c>
      <c r="C47" s="779">
        <f>'Hodnocení '!C43</f>
        <v>0</v>
      </c>
      <c r="D47" s="479">
        <f>'Hodnocení '!D43</f>
        <v>0</v>
      </c>
      <c r="E47" s="479">
        <f>'Hodnocení '!E43</f>
        <v>0</v>
      </c>
      <c r="F47" s="479">
        <f>'Hodnocení '!F43</f>
        <v>0</v>
      </c>
      <c r="G47" s="479">
        <f>'Hodnocení '!G43</f>
        <v>0</v>
      </c>
      <c r="H47" s="479">
        <f>'Hodnocení '!H43</f>
        <v>0</v>
      </c>
      <c r="I47" s="479">
        <f>'Hodnocení '!I43</f>
        <v>0</v>
      </c>
      <c r="J47" s="479">
        <f>'Hodnocení '!J43</f>
        <v>0</v>
      </c>
      <c r="K47" s="479">
        <f>'Hodnocení '!K43</f>
        <v>0</v>
      </c>
      <c r="L47" s="479">
        <f>'Hodnocení '!L43</f>
        <v>0</v>
      </c>
      <c r="M47" s="479">
        <f>'Hodnocení '!M43</f>
        <v>0</v>
      </c>
      <c r="N47" s="479">
        <f>'Hodnocení '!N43</f>
        <v>0</v>
      </c>
      <c r="O47" s="479">
        <f>'Hodnocení '!O43</f>
        <v>173000</v>
      </c>
      <c r="P47" s="479">
        <f>'Hodnocení '!P43</f>
        <v>417000</v>
      </c>
      <c r="Q47" s="479">
        <f>'Hodnocení '!Q43</f>
        <v>0</v>
      </c>
      <c r="R47" s="479">
        <f>'Hodnocení '!R43</f>
        <v>456000</v>
      </c>
      <c r="S47" s="479">
        <f>'Hodnocení '!S43</f>
        <v>0</v>
      </c>
      <c r="T47" s="479">
        <f>'Hodnocení '!T43</f>
        <v>0</v>
      </c>
      <c r="U47" s="479">
        <f>'Hodnocení '!U43</f>
        <v>0</v>
      </c>
      <c r="V47" s="479">
        <f>'Hodnocení '!V43</f>
        <v>4317000</v>
      </c>
      <c r="W47" s="479">
        <f>'Hodnocení '!W43</f>
        <v>934000</v>
      </c>
      <c r="X47" s="479">
        <f>'Hodnocení '!X43</f>
        <v>0</v>
      </c>
      <c r="Y47" s="479">
        <f>'Hodnocení '!Y43</f>
        <v>0</v>
      </c>
      <c r="Z47" s="479">
        <f>'Hodnocení '!Z43</f>
        <v>0</v>
      </c>
      <c r="AA47" s="479">
        <f>'Hodnocení '!AA43</f>
        <v>0</v>
      </c>
      <c r="AB47" s="479">
        <f>'Hodnocení '!AB43</f>
        <v>0</v>
      </c>
      <c r="AC47" s="479">
        <f>'Hodnocení '!AC43</f>
        <v>0</v>
      </c>
      <c r="AD47" s="479">
        <f>'Hodnocení '!AD43</f>
        <v>0</v>
      </c>
      <c r="AE47" s="479">
        <f>'Hodnocení '!AE43</f>
        <v>0</v>
      </c>
      <c r="AF47" s="479">
        <f>'Hodnocení '!AF43</f>
        <v>0</v>
      </c>
      <c r="AG47" s="479">
        <f>'Hodnocení '!AG43</f>
        <v>0</v>
      </c>
      <c r="AH47" s="479">
        <f>'Hodnocení '!AH43</f>
        <v>0</v>
      </c>
      <c r="AI47" s="479">
        <f>'Hodnocení '!AI43</f>
        <v>0</v>
      </c>
      <c r="AJ47" s="479">
        <f>'Hodnocení '!AJ43</f>
        <v>0</v>
      </c>
      <c r="AK47" s="479">
        <f>'Hodnocení '!AK43</f>
        <v>0</v>
      </c>
      <c r="AL47" s="479">
        <f>'Hodnocení '!AL43</f>
        <v>0</v>
      </c>
      <c r="AM47" s="479">
        <f>'Hodnocení '!AM43</f>
        <v>0</v>
      </c>
      <c r="AN47" s="479">
        <f>'Hodnocení '!AN43</f>
        <v>0</v>
      </c>
      <c r="AO47" s="479">
        <f>'Hodnocení '!AO43</f>
        <v>2581000</v>
      </c>
      <c r="AP47" s="479">
        <f>'Hodnocení '!AP43</f>
        <v>0</v>
      </c>
      <c r="AQ47" s="479">
        <f>'Hodnocení '!AQ43</f>
        <v>0</v>
      </c>
      <c r="AR47" s="479">
        <f>'Hodnocení '!AR43</f>
        <v>0</v>
      </c>
      <c r="AS47" s="479">
        <f>'Hodnocení '!AS43</f>
        <v>0</v>
      </c>
      <c r="AT47" s="479">
        <f>'Hodnocení '!AT43</f>
        <v>0</v>
      </c>
      <c r="AU47" s="479">
        <f>'Hodnocení '!AU43</f>
        <v>0</v>
      </c>
      <c r="AV47" s="479">
        <f>'Hodnocení '!AV43</f>
        <v>0</v>
      </c>
      <c r="AW47" s="479">
        <f>'Hodnocení '!AW43</f>
        <v>0</v>
      </c>
      <c r="AX47" s="479">
        <f>'Hodnocení '!AX43</f>
        <v>0</v>
      </c>
      <c r="AY47" s="479">
        <f>'Hodnocení '!AY43</f>
        <v>0</v>
      </c>
      <c r="AZ47" s="479">
        <f>'Hodnocení '!AZ43</f>
        <v>0</v>
      </c>
      <c r="BA47" s="479">
        <f>'Hodnocení '!BA43</f>
        <v>1100000</v>
      </c>
      <c r="BB47" s="479">
        <f>'Hodnocení '!BB43</f>
        <v>140000</v>
      </c>
      <c r="BC47" s="479">
        <f>'Hodnocení '!BC43</f>
        <v>137000</v>
      </c>
      <c r="BD47" s="479">
        <f>'Hodnocení '!BD43</f>
        <v>216000</v>
      </c>
      <c r="BE47" s="479">
        <f>'Hodnocení '!BE43</f>
        <v>159000</v>
      </c>
      <c r="BF47" s="479">
        <f>'Hodnocení '!BF43</f>
        <v>376000</v>
      </c>
      <c r="BG47" s="479">
        <f>'Hodnocení '!BG43</f>
        <v>490000</v>
      </c>
      <c r="BH47" s="479">
        <f>'Hodnocení '!BH43</f>
        <v>0</v>
      </c>
      <c r="BI47" s="479">
        <f>'Hodnocení '!BI43</f>
        <v>0</v>
      </c>
      <c r="BJ47" s="479">
        <f>'Hodnocení '!BJ43</f>
        <v>0</v>
      </c>
      <c r="BK47" s="479">
        <f>'Hodnocení '!BK43</f>
        <v>0</v>
      </c>
      <c r="BL47" s="479">
        <f>'Hodnocení '!BL43</f>
        <v>0</v>
      </c>
      <c r="BM47" s="479">
        <f>'Hodnocení '!BM43</f>
        <v>0</v>
      </c>
      <c r="BN47" s="479">
        <f>'Hodnocení '!BN43</f>
        <v>326000</v>
      </c>
      <c r="BO47" s="479">
        <f>'Hodnocení '!BO43</f>
        <v>222000</v>
      </c>
      <c r="BP47" s="479">
        <f>'Hodnocení '!BP43</f>
        <v>0</v>
      </c>
      <c r="BQ47" s="479">
        <f>'Hodnocení '!BQ43</f>
        <v>0</v>
      </c>
      <c r="BR47" s="479">
        <f>'Hodnocení '!BR43</f>
        <v>0</v>
      </c>
      <c r="BS47" s="479">
        <f>'Hodnocení '!BS43</f>
        <v>230000</v>
      </c>
      <c r="BT47" s="479">
        <f>'Hodnocení '!BT43</f>
        <v>0</v>
      </c>
      <c r="BU47" s="479">
        <f>'Hodnocení '!BU43</f>
        <v>0</v>
      </c>
      <c r="BV47" s="479">
        <f>'Hodnocení '!BV43</f>
        <v>0</v>
      </c>
      <c r="BW47" s="479">
        <f>'Hodnocení '!BW43</f>
        <v>0</v>
      </c>
      <c r="BX47" s="479">
        <f>'Hodnocení '!BX43</f>
        <v>0</v>
      </c>
      <c r="BY47" s="479">
        <f>'Hodnocení '!BY43</f>
        <v>0</v>
      </c>
      <c r="BZ47" s="479">
        <f>'Hodnocení '!BZ43</f>
        <v>0</v>
      </c>
      <c r="CA47" s="479">
        <f>'Hodnocení '!CA43</f>
        <v>0</v>
      </c>
      <c r="CB47" s="479">
        <f>'Hodnocení '!CB43</f>
        <v>0</v>
      </c>
      <c r="CC47" s="479">
        <f>'Hodnocení '!CC43</f>
        <v>404000</v>
      </c>
      <c r="CD47" s="479">
        <f>'Hodnocení '!CD43</f>
        <v>124000</v>
      </c>
      <c r="CE47" s="479">
        <f>'Hodnocení '!CE43</f>
        <v>3637000</v>
      </c>
      <c r="CF47" s="479">
        <f>'Hodnocení '!CF43</f>
        <v>255000</v>
      </c>
      <c r="CG47" s="479">
        <f>'Hodnocení '!CG43</f>
        <v>1774000</v>
      </c>
      <c r="CH47" s="479">
        <f>'Hodnocení '!CH43</f>
        <v>734000</v>
      </c>
      <c r="CI47" s="479">
        <f>'Hodnocení '!CI43</f>
        <v>200000</v>
      </c>
      <c r="CJ47" s="479">
        <f>'Hodnocení '!CJ43</f>
        <v>812000</v>
      </c>
      <c r="CK47" s="479">
        <f>'Hodnocení '!CK43</f>
        <v>599000</v>
      </c>
      <c r="CL47" s="479">
        <f>'Hodnocení '!CL43</f>
        <v>478000</v>
      </c>
      <c r="CM47" s="479">
        <f>'Hodnocení '!CM43</f>
        <v>0</v>
      </c>
      <c r="CN47" s="479">
        <f>'Hodnocení '!CN43</f>
        <v>0</v>
      </c>
      <c r="CO47" s="479">
        <f>'Hodnocení '!CO43</f>
        <v>0</v>
      </c>
      <c r="CP47" s="479">
        <f>'Hodnocení '!CP43</f>
        <v>0</v>
      </c>
      <c r="CQ47" s="479">
        <f>'Hodnocení '!CQ43</f>
        <v>0</v>
      </c>
      <c r="CR47" s="479">
        <f>'Hodnocení '!CR43</f>
        <v>0</v>
      </c>
      <c r="CS47" s="479">
        <f>'Hodnocení '!CS43</f>
        <v>0</v>
      </c>
      <c r="CT47" s="479">
        <f>'Hodnocení '!CT43</f>
        <v>0</v>
      </c>
      <c r="CU47" s="479">
        <f>'Hodnocení '!CU43</f>
        <v>0</v>
      </c>
      <c r="CV47" s="479">
        <f>'Hodnocení '!CV43</f>
        <v>0</v>
      </c>
      <c r="CW47" s="479">
        <f>'Hodnocení '!CW43</f>
        <v>0</v>
      </c>
      <c r="CX47" s="479">
        <f>'Hodnocení '!CX43</f>
        <v>0</v>
      </c>
      <c r="CY47" s="479">
        <f>'Hodnocení '!CY43</f>
        <v>0</v>
      </c>
      <c r="CZ47" s="479">
        <f>'Hodnocení '!CZ43</f>
        <v>0</v>
      </c>
      <c r="DA47" s="479">
        <f>'Hodnocení '!DA43</f>
        <v>0</v>
      </c>
      <c r="DB47" s="479">
        <f>'Hodnocení '!DB43</f>
        <v>0</v>
      </c>
      <c r="DC47" s="479">
        <f>'Hodnocení '!DC43</f>
        <v>0</v>
      </c>
      <c r="DD47" s="479">
        <f>'Hodnocení '!DD43</f>
        <v>0</v>
      </c>
      <c r="DE47" s="479">
        <f>'Hodnocení '!DE43</f>
        <v>0</v>
      </c>
      <c r="DF47" s="479">
        <f>'Hodnocení '!DF43</f>
        <v>450000</v>
      </c>
      <c r="DG47" s="479">
        <f>'Hodnocení '!DG43</f>
        <v>0</v>
      </c>
      <c r="DH47" s="479">
        <f>'Hodnocení '!DH43</f>
        <v>0</v>
      </c>
      <c r="DI47" s="479">
        <f>'Hodnocení '!DI43</f>
        <v>0</v>
      </c>
      <c r="DJ47" s="479">
        <f>'Hodnocení '!DJ43</f>
        <v>0</v>
      </c>
      <c r="DK47" s="479">
        <f>'Hodnocení '!DK43</f>
        <v>0</v>
      </c>
      <c r="DL47" s="479">
        <f>'Hodnocení '!DL43</f>
        <v>1386000</v>
      </c>
      <c r="DM47" s="479">
        <f>'Hodnocení '!DM43</f>
        <v>428000</v>
      </c>
      <c r="DN47" s="479">
        <f>'Hodnocení '!DN43</f>
        <v>554000</v>
      </c>
      <c r="DO47" s="479">
        <f>'Hodnocení '!DO43</f>
        <v>0</v>
      </c>
      <c r="DP47" s="479">
        <f>'Hodnocení '!DP43</f>
        <v>415000</v>
      </c>
      <c r="DQ47" s="479">
        <f>'Hodnocení '!DQ43</f>
        <v>330000</v>
      </c>
      <c r="DR47" s="479">
        <f>'Hodnocení '!DR43</f>
        <v>54000</v>
      </c>
      <c r="DS47" s="479">
        <f>'Hodnocení '!DS43</f>
        <v>0</v>
      </c>
      <c r="DT47" s="479">
        <f>'Hodnocení '!DT43</f>
        <v>0</v>
      </c>
      <c r="DU47" s="479">
        <f>'Hodnocení '!DU43</f>
        <v>260000</v>
      </c>
      <c r="DV47" s="479">
        <f>'Hodnocení '!DV43</f>
        <v>600000</v>
      </c>
      <c r="DW47" s="479">
        <f>'Hodnocení '!DW43</f>
        <v>165000</v>
      </c>
      <c r="DX47" s="479">
        <f>'Hodnocení '!DX43</f>
        <v>455000</v>
      </c>
      <c r="DY47" s="479">
        <f>'Hodnocení '!DY43</f>
        <v>0</v>
      </c>
      <c r="DZ47" s="479">
        <f>'Hodnocení '!DZ43</f>
        <v>0</v>
      </c>
      <c r="EA47" s="479">
        <f>'Hodnocení '!EA43</f>
        <v>0</v>
      </c>
      <c r="EB47" s="479">
        <f>'Hodnocení '!EB43</f>
        <v>0</v>
      </c>
      <c r="EC47" s="479">
        <f>'Hodnocení '!EC43</f>
        <v>0</v>
      </c>
      <c r="ED47" s="479">
        <f>'Hodnocení '!ED43</f>
        <v>0</v>
      </c>
      <c r="EE47" s="479">
        <f>'Hodnocení '!EE43</f>
        <v>0</v>
      </c>
      <c r="EF47" s="479">
        <f>'Hodnocení '!EF43</f>
        <v>115000</v>
      </c>
      <c r="EG47" s="479">
        <f>'Hodnocení '!EG43</f>
        <v>0</v>
      </c>
      <c r="EH47" s="479">
        <f>'Hodnocení '!EH43</f>
        <v>80000</v>
      </c>
      <c r="EI47" s="479">
        <f>'Hodnocení '!EI43</f>
        <v>122000</v>
      </c>
      <c r="EJ47" s="479">
        <f>'Hodnocení '!EJ43</f>
        <v>78000</v>
      </c>
      <c r="EK47" s="479">
        <f>'Hodnocení '!EK43</f>
        <v>659000</v>
      </c>
      <c r="EL47" s="479">
        <f>'Hodnocení '!EL43</f>
        <v>2708000</v>
      </c>
      <c r="EM47" s="479">
        <f>'Hodnocení '!EM43</f>
        <v>512000</v>
      </c>
      <c r="EN47" s="479">
        <f>'Hodnocení '!EN43</f>
        <v>0</v>
      </c>
      <c r="EO47" s="479">
        <f>'Hodnocení '!EO43</f>
        <v>0</v>
      </c>
      <c r="EP47" s="479">
        <f>'Hodnocení '!EP43</f>
        <v>0</v>
      </c>
      <c r="EQ47" s="479">
        <f>'Hodnocení '!EQ43</f>
        <v>0</v>
      </c>
      <c r="ER47" s="479">
        <f>'Hodnocení '!ER43</f>
        <v>3872000</v>
      </c>
      <c r="ES47" s="479">
        <f>'Hodnocení '!ES43</f>
        <v>1466000</v>
      </c>
      <c r="ET47" s="479">
        <f>'Hodnocení '!ET43</f>
        <v>0</v>
      </c>
      <c r="EU47" s="479">
        <f>'Hodnocení '!EU43</f>
        <v>0</v>
      </c>
      <c r="EV47" s="479">
        <f>'Hodnocení '!EV43</f>
        <v>0</v>
      </c>
      <c r="EW47" s="479">
        <f>'Hodnocení '!EW43</f>
        <v>0</v>
      </c>
      <c r="EX47" s="479">
        <f>'Hodnocení '!EX43</f>
        <v>0</v>
      </c>
      <c r="EY47" s="479">
        <f>'Hodnocení '!EY43</f>
        <v>0</v>
      </c>
      <c r="EZ47" s="479">
        <f>'Hodnocení '!EZ43</f>
        <v>0</v>
      </c>
      <c r="FA47" s="479">
        <f>'Hodnocení '!FA43</f>
        <v>0</v>
      </c>
      <c r="FB47" s="479">
        <f>'Hodnocení '!FB43</f>
        <v>0</v>
      </c>
      <c r="FC47" s="479">
        <f>'Hodnocení '!FC43</f>
        <v>0</v>
      </c>
      <c r="FD47" s="479">
        <f>'Hodnocení '!FD43</f>
        <v>0</v>
      </c>
      <c r="FE47" s="479">
        <f>'Hodnocení '!FE43</f>
        <v>0</v>
      </c>
      <c r="FF47" s="479">
        <f>'Hodnocení '!FF43</f>
        <v>0</v>
      </c>
      <c r="FG47" s="479">
        <f>'Hodnocení '!FG43</f>
        <v>0</v>
      </c>
      <c r="FH47" s="479">
        <f>'Hodnocení '!FH43</f>
        <v>0</v>
      </c>
      <c r="FI47" s="479">
        <f>'Hodnocení '!FI43</f>
        <v>0</v>
      </c>
      <c r="FJ47" s="479">
        <f>'Hodnocení '!FJ43</f>
        <v>0</v>
      </c>
      <c r="FK47" s="479">
        <f>'Hodnocení '!FK43</f>
        <v>0</v>
      </c>
      <c r="FL47" s="479">
        <f>'Hodnocení '!FL43</f>
        <v>0</v>
      </c>
      <c r="FM47" s="479">
        <f>'Hodnocení '!FM43</f>
        <v>0</v>
      </c>
      <c r="FN47" s="479">
        <f>'Hodnocení '!FN43</f>
        <v>0</v>
      </c>
      <c r="FO47" s="479">
        <f>'Hodnocení '!FO43</f>
        <v>0</v>
      </c>
      <c r="FP47" s="479">
        <f>'Hodnocení '!FP43</f>
        <v>0</v>
      </c>
      <c r="FQ47" s="479">
        <f>'Hodnocení '!FQ43</f>
        <v>0</v>
      </c>
      <c r="FR47" s="479">
        <f>'Hodnocení '!FR43</f>
        <v>0</v>
      </c>
      <c r="FS47" s="479">
        <f>'Hodnocení '!FS43</f>
        <v>0</v>
      </c>
      <c r="FT47" s="479">
        <f>'Hodnocení '!FT43</f>
        <v>0</v>
      </c>
      <c r="FU47" s="479">
        <f>'Hodnocení '!FU43</f>
        <v>0</v>
      </c>
      <c r="FV47" s="479">
        <f>'Hodnocení '!FV43</f>
        <v>0</v>
      </c>
      <c r="FW47" s="479">
        <f>'Hodnocení '!FW43</f>
        <v>0</v>
      </c>
      <c r="FX47" s="479">
        <f>'Hodnocení '!FX43</f>
        <v>0</v>
      </c>
      <c r="FY47" s="479">
        <f>'Hodnocení '!FY43</f>
        <v>0</v>
      </c>
      <c r="FZ47" s="479">
        <f>'Hodnocení '!FZ43</f>
        <v>0</v>
      </c>
      <c r="GA47" s="479">
        <f>'Hodnocení '!GA43</f>
        <v>0</v>
      </c>
      <c r="GB47" s="479">
        <f>'Hodnocení '!GB43</f>
        <v>0</v>
      </c>
      <c r="GC47" s="479">
        <f>'Hodnocení '!GC43</f>
        <v>0</v>
      </c>
      <c r="GD47" s="479">
        <f>'Hodnocení '!GD43</f>
        <v>0</v>
      </c>
      <c r="GE47" s="479">
        <f>'Hodnocení '!GE43</f>
        <v>0</v>
      </c>
      <c r="GF47" s="479">
        <f>'Hodnocení '!GF43</f>
        <v>0</v>
      </c>
      <c r="GG47" s="479">
        <f>'Hodnocení '!GG43</f>
        <v>0</v>
      </c>
      <c r="GH47" s="479">
        <f>'Hodnocení '!GH43</f>
        <v>0</v>
      </c>
      <c r="GI47" s="479">
        <f>'Hodnocení '!GI43</f>
        <v>0</v>
      </c>
      <c r="GJ47" s="479">
        <f>'Hodnocení '!GJ43</f>
        <v>0</v>
      </c>
      <c r="GK47" s="479">
        <f>'Hodnocení '!GK43</f>
        <v>0</v>
      </c>
      <c r="GL47" s="479">
        <f>'Hodnocení '!GL43</f>
        <v>0</v>
      </c>
      <c r="GM47" s="479">
        <f>'Hodnocení '!GM43</f>
        <v>0</v>
      </c>
      <c r="GN47" s="479">
        <f>'Hodnocení '!GN43</f>
        <v>0</v>
      </c>
      <c r="GO47" s="479">
        <f>'Hodnocení '!GO43</f>
        <v>0</v>
      </c>
      <c r="GP47" s="479">
        <f>'Hodnocení '!GP43</f>
        <v>0</v>
      </c>
      <c r="GQ47" s="479">
        <f>'Hodnocení '!GQ43</f>
        <v>0</v>
      </c>
      <c r="GR47" s="479">
        <f>'Hodnocení '!GR43</f>
        <v>0</v>
      </c>
      <c r="GS47" s="479">
        <f>'Hodnocení '!GS43</f>
        <v>0</v>
      </c>
      <c r="GT47" s="479">
        <f>'Hodnocení '!GT43</f>
        <v>0</v>
      </c>
      <c r="GU47" s="479">
        <f>'Hodnocení '!GU43</f>
        <v>0</v>
      </c>
      <c r="GV47" s="479">
        <f>'Hodnocení '!GV43</f>
        <v>0</v>
      </c>
      <c r="GW47" s="479">
        <f>'Hodnocení '!GW43</f>
        <v>0</v>
      </c>
      <c r="GX47" s="479">
        <f>'Hodnocení '!GX43</f>
        <v>0</v>
      </c>
      <c r="GY47" s="479">
        <f>'Hodnocení '!GY43</f>
        <v>0</v>
      </c>
      <c r="GZ47" s="479">
        <f>'Hodnocení '!GZ43</f>
        <v>0</v>
      </c>
      <c r="HA47" s="479">
        <f>'Hodnocení '!HA43</f>
        <v>0</v>
      </c>
      <c r="HB47" s="479">
        <f>'Hodnocení '!HB43</f>
        <v>0</v>
      </c>
      <c r="HC47" s="479">
        <f>'Hodnocení '!HC43</f>
        <v>0</v>
      </c>
      <c r="HD47" s="479">
        <f>'Hodnocení '!HD43</f>
        <v>0</v>
      </c>
      <c r="HE47" s="479">
        <f>'Hodnocení '!HE43</f>
        <v>0</v>
      </c>
      <c r="HF47" s="479">
        <f>'Hodnocení '!HF43</f>
        <v>0</v>
      </c>
      <c r="HG47" s="479">
        <f>'Hodnocení '!HG43</f>
        <v>0</v>
      </c>
      <c r="HH47" s="479">
        <f>'Hodnocení '!HH43</f>
        <v>0</v>
      </c>
      <c r="HI47" s="479">
        <f>'Hodnocení '!HI43</f>
        <v>0</v>
      </c>
      <c r="HJ47" s="479">
        <f>'Hodnocení '!HJ43</f>
        <v>0</v>
      </c>
      <c r="HK47" s="479">
        <f>'Hodnocení '!HK43</f>
        <v>0</v>
      </c>
      <c r="HL47" s="479">
        <f>'Hodnocení '!HL43</f>
        <v>0</v>
      </c>
      <c r="HM47" s="479">
        <f>'Hodnocení '!HM43</f>
        <v>0</v>
      </c>
      <c r="HN47" s="479">
        <f>'Hodnocení '!HN43</f>
        <v>0</v>
      </c>
      <c r="HO47" s="479">
        <f>'Hodnocení '!HO43</f>
        <v>0</v>
      </c>
      <c r="HP47" s="479">
        <f>'Hodnocení '!HP43</f>
        <v>0</v>
      </c>
      <c r="HQ47" s="479">
        <f>'Hodnocení '!HQ43</f>
        <v>0</v>
      </c>
      <c r="HR47" s="479">
        <f>'Hodnocení '!HR43</f>
        <v>0</v>
      </c>
      <c r="HS47" s="479">
        <f>'Hodnocení '!HS43</f>
        <v>0</v>
      </c>
      <c r="HT47" s="479">
        <f>'Hodnocení '!HT43</f>
        <v>0</v>
      </c>
      <c r="HU47" s="479">
        <f>'Hodnocení '!HU43</f>
        <v>0</v>
      </c>
      <c r="HV47" s="479">
        <f>'Hodnocení '!HV43</f>
        <v>0</v>
      </c>
      <c r="HW47" s="479">
        <f>'Hodnocení '!HW43</f>
        <v>0</v>
      </c>
      <c r="HX47" s="479">
        <f>'Hodnocení '!HX43</f>
        <v>0</v>
      </c>
      <c r="HY47" s="479">
        <f>'Hodnocení '!HY43</f>
        <v>0</v>
      </c>
      <c r="HZ47" s="479">
        <f>'Hodnocení '!HZ43</f>
        <v>0</v>
      </c>
      <c r="IA47" s="479">
        <f>'Hodnocení '!IA43</f>
        <v>0</v>
      </c>
      <c r="IB47" s="479">
        <f>'Hodnocení '!IB43</f>
        <v>0</v>
      </c>
      <c r="IC47" s="479">
        <f>'Hodnocení '!IC43</f>
        <v>0</v>
      </c>
      <c r="ID47" s="479">
        <f>'Hodnocení '!ID43</f>
        <v>0</v>
      </c>
      <c r="IE47" s="479">
        <f>'Hodnocení '!IE43</f>
        <v>0</v>
      </c>
      <c r="IF47" s="479">
        <f>'Hodnocení '!IF43</f>
        <v>0</v>
      </c>
      <c r="IG47" s="479">
        <f>'Hodnocení '!IG43</f>
        <v>0</v>
      </c>
      <c r="IH47" s="479">
        <f>'Hodnocení '!IH43</f>
        <v>0</v>
      </c>
      <c r="II47" s="479">
        <f>'Hodnocení '!II43</f>
        <v>0</v>
      </c>
      <c r="IJ47" s="479">
        <f>'Hodnocení '!IJ43</f>
        <v>0</v>
      </c>
      <c r="IK47" s="479">
        <f>'Hodnocení '!IK43</f>
        <v>0</v>
      </c>
      <c r="IL47" s="479">
        <f>'Hodnocení '!IL43</f>
        <v>0</v>
      </c>
      <c r="IM47" s="479">
        <f>'Hodnocení '!IM43</f>
        <v>0</v>
      </c>
      <c r="IN47" s="479">
        <f>'Hodnocení '!IN43</f>
        <v>0</v>
      </c>
      <c r="IO47" s="479">
        <f>'Hodnocení '!IO43</f>
        <v>0</v>
      </c>
      <c r="IP47" s="479">
        <f>'Hodnocení '!IP43</f>
        <v>0</v>
      </c>
      <c r="IQ47" s="479">
        <f>'Hodnocení '!IQ43</f>
        <v>0</v>
      </c>
      <c r="IR47" s="479">
        <f>'Hodnocení '!IR43</f>
        <v>0</v>
      </c>
      <c r="IS47" s="479">
        <f>'Hodnocení '!IS43</f>
        <v>0</v>
      </c>
      <c r="IT47" s="479">
        <f>'Hodnocení '!IT43</f>
        <v>0</v>
      </c>
      <c r="IU47" s="479">
        <f>'Hodnocení '!IU43</f>
        <v>0</v>
      </c>
      <c r="IV47" s="479">
        <f>'Hodnocení '!IV43</f>
        <v>0</v>
      </c>
      <c r="IW47" s="479">
        <f>'Hodnocení '!IW43</f>
        <v>0</v>
      </c>
      <c r="IX47" s="479">
        <f>'Hodnocení '!IX43</f>
        <v>0</v>
      </c>
      <c r="IY47" s="479">
        <f>'Hodnocení '!IY43</f>
        <v>0</v>
      </c>
      <c r="IZ47" s="479">
        <f>'Hodnocení '!IZ43</f>
        <v>0</v>
      </c>
      <c r="JA47" s="479">
        <f>'Hodnocení '!JA43</f>
        <v>0</v>
      </c>
      <c r="JB47" s="479">
        <f>'Hodnocení '!JB43</f>
        <v>0</v>
      </c>
      <c r="JC47" s="479">
        <f>'Hodnocení '!JC43</f>
        <v>0</v>
      </c>
      <c r="JD47" s="479">
        <f>'Hodnocení '!JD43</f>
        <v>0</v>
      </c>
      <c r="JE47" s="479">
        <f>'Hodnocení '!JE43</f>
        <v>0</v>
      </c>
      <c r="JF47" s="479">
        <f>'Hodnocení '!JF43</f>
        <v>0</v>
      </c>
      <c r="JG47" s="479">
        <f>'Hodnocení '!JG43</f>
        <v>0</v>
      </c>
      <c r="JH47" s="780">
        <f>'Hodnocení '!JH43</f>
        <v>0</v>
      </c>
      <c r="JI47" s="321">
        <f>'Hodnocení '!JI43</f>
        <v>36000000</v>
      </c>
    </row>
    <row r="48" spans="1:276" hidden="1" x14ac:dyDescent="0.25">
      <c r="A48" s="557"/>
      <c r="B48" s="734" t="s">
        <v>2525</v>
      </c>
      <c r="C48" s="781">
        <f>'Hodnocení '!C44</f>
        <v>9150000</v>
      </c>
      <c r="D48" s="687">
        <f>'Hodnocení '!D44</f>
        <v>7730000</v>
      </c>
      <c r="E48" s="687">
        <f>'Hodnocení '!E44</f>
        <v>9300000</v>
      </c>
      <c r="F48" s="687">
        <f>'Hodnocení '!F44</f>
        <v>4618835</v>
      </c>
      <c r="G48" s="687">
        <f>'Hodnocení '!G44</f>
        <v>10747751</v>
      </c>
      <c r="H48" s="687">
        <f>'Hodnocení '!H44</f>
        <v>1157858</v>
      </c>
      <c r="I48" s="687">
        <f>'Hodnocení '!I44</f>
        <v>3164198</v>
      </c>
      <c r="J48" s="687">
        <f>'Hodnocení '!J44</f>
        <v>2915400</v>
      </c>
      <c r="K48" s="687">
        <f>'Hodnocení '!K44</f>
        <v>5988080</v>
      </c>
      <c r="L48" s="687">
        <f>'Hodnocení '!L44</f>
        <v>4702400</v>
      </c>
      <c r="M48" s="687">
        <f>'Hodnocení '!M44</f>
        <v>4800000</v>
      </c>
      <c r="N48" s="687">
        <f>'Hodnocení '!N44</f>
        <v>6300000</v>
      </c>
      <c r="O48" s="687">
        <f>'Hodnocení '!O44</f>
        <v>4346141</v>
      </c>
      <c r="P48" s="687">
        <f>'Hodnocení '!P44</f>
        <v>2694928</v>
      </c>
      <c r="Q48" s="687">
        <f>'Hodnocení '!Q44</f>
        <v>2795000</v>
      </c>
      <c r="R48" s="687">
        <f>'Hodnocení '!R44</f>
        <v>2091000</v>
      </c>
      <c r="S48" s="687">
        <f>'Hodnocení '!S44</f>
        <v>1735000</v>
      </c>
      <c r="T48" s="687">
        <f>'Hodnocení '!T44</f>
        <v>698000</v>
      </c>
      <c r="U48" s="687">
        <f>'Hodnocení '!U44</f>
        <v>1087500</v>
      </c>
      <c r="V48" s="687">
        <f>'Hodnocení '!V44</f>
        <v>9285000</v>
      </c>
      <c r="W48" s="687">
        <f>'Hodnocení '!W44</f>
        <v>2130000</v>
      </c>
      <c r="X48" s="687">
        <f>'Hodnocení '!X44</f>
        <v>2988500</v>
      </c>
      <c r="Y48" s="687">
        <f>'Hodnocení '!Y44</f>
        <v>1770700</v>
      </c>
      <c r="Z48" s="687">
        <f>'Hodnocení '!Z44</f>
        <v>7231924</v>
      </c>
      <c r="AA48" s="687">
        <f>'Hodnocení '!AA44</f>
        <v>4621783</v>
      </c>
      <c r="AB48" s="687">
        <f>'Hodnocení '!AB44</f>
        <v>4630000</v>
      </c>
      <c r="AC48" s="687">
        <f>'Hodnocení '!AC44</f>
        <v>0</v>
      </c>
      <c r="AD48" s="687">
        <f>'Hodnocení '!AD44</f>
        <v>2672000</v>
      </c>
      <c r="AE48" s="687">
        <f>'Hodnocení '!AE44</f>
        <v>805640</v>
      </c>
      <c r="AF48" s="687">
        <f>'Hodnocení '!AF44</f>
        <v>1425292</v>
      </c>
      <c r="AG48" s="687">
        <f>'Hodnocení '!AG44</f>
        <v>3596000</v>
      </c>
      <c r="AH48" s="687">
        <f>'Hodnocení '!AH44</f>
        <v>760000</v>
      </c>
      <c r="AI48" s="687">
        <f>'Hodnocení '!AI44</f>
        <v>3404000</v>
      </c>
      <c r="AJ48" s="687">
        <f>'Hodnocení '!AJ44</f>
        <v>2585000</v>
      </c>
      <c r="AK48" s="687">
        <f>'Hodnocení '!AK44</f>
        <v>1251400</v>
      </c>
      <c r="AL48" s="687">
        <f>'Hodnocení '!AL44</f>
        <v>2630000</v>
      </c>
      <c r="AM48" s="687">
        <f>'Hodnocení '!AM44</f>
        <v>1634492</v>
      </c>
      <c r="AN48" s="687">
        <f>'Hodnocení '!AN44</f>
        <v>1177000</v>
      </c>
      <c r="AO48" s="687">
        <f>'Hodnocení '!AO44</f>
        <v>5500000</v>
      </c>
      <c r="AP48" s="687">
        <f>'Hodnocení '!AP44</f>
        <v>2220000</v>
      </c>
      <c r="AQ48" s="687">
        <f>'Hodnocení '!AQ44</f>
        <v>491000</v>
      </c>
      <c r="AR48" s="687">
        <f>'Hodnocení '!AR44</f>
        <v>1929000</v>
      </c>
      <c r="AS48" s="687">
        <f>'Hodnocení '!AS44</f>
        <v>640200</v>
      </c>
      <c r="AT48" s="687">
        <f>'Hodnocení '!AT44</f>
        <v>2900000</v>
      </c>
      <c r="AU48" s="687">
        <f>'Hodnocení '!AU44</f>
        <v>1416300</v>
      </c>
      <c r="AV48" s="687">
        <f>'Hodnocení '!AV44</f>
        <v>2235500</v>
      </c>
      <c r="AW48" s="687">
        <f>'Hodnocení '!AW44</f>
        <v>3142100</v>
      </c>
      <c r="AX48" s="687">
        <f>'Hodnocení '!AX44</f>
        <v>3395000</v>
      </c>
      <c r="AY48" s="687">
        <f>'Hodnocení '!AY44</f>
        <v>3471000</v>
      </c>
      <c r="AZ48" s="687">
        <f>'Hodnocení '!AZ44</f>
        <v>2981000</v>
      </c>
      <c r="BA48" s="687">
        <f>'Hodnocení '!BA44</f>
        <v>9230000</v>
      </c>
      <c r="BB48" s="687">
        <f>'Hodnocení '!BB44</f>
        <v>1312920</v>
      </c>
      <c r="BC48" s="687">
        <f>'Hodnocení '!BC44</f>
        <v>1668800</v>
      </c>
      <c r="BD48" s="687">
        <f>'Hodnocení '!BD44</f>
        <v>2208600</v>
      </c>
      <c r="BE48" s="687">
        <f>'Hodnocení '!BE44</f>
        <v>1290900</v>
      </c>
      <c r="BF48" s="687">
        <f>'Hodnocení '!BF44</f>
        <v>2020000</v>
      </c>
      <c r="BG48" s="687">
        <f>'Hodnocení '!BG44</f>
        <v>2499000</v>
      </c>
      <c r="BH48" s="687">
        <f>'Hodnocení '!BH44</f>
        <v>3206000</v>
      </c>
      <c r="BI48" s="687">
        <f>'Hodnocení '!BI44</f>
        <v>1270000</v>
      </c>
      <c r="BJ48" s="687">
        <f>'Hodnocení '!BJ44</f>
        <v>3539000</v>
      </c>
      <c r="BK48" s="687">
        <f>'Hodnocení '!BK44</f>
        <v>100000</v>
      </c>
      <c r="BL48" s="687">
        <f>'Hodnocení '!BL44</f>
        <v>1000000</v>
      </c>
      <c r="BM48" s="687">
        <f>'Hodnocení '!BM44</f>
        <v>1464826</v>
      </c>
      <c r="BN48" s="687">
        <f>'Hodnocení '!BN44</f>
        <v>1902000</v>
      </c>
      <c r="BO48" s="687">
        <f>'Hodnocení '!BO44</f>
        <v>1072000</v>
      </c>
      <c r="BP48" s="687">
        <f>'Hodnocení '!BP44</f>
        <v>4739080</v>
      </c>
      <c r="BQ48" s="687">
        <f>'Hodnocení '!BQ44</f>
        <v>112726</v>
      </c>
      <c r="BR48" s="687">
        <f>'Hodnocení '!BR44</f>
        <v>1013021</v>
      </c>
      <c r="BS48" s="687">
        <f>'Hodnocení '!BS44</f>
        <v>1408027</v>
      </c>
      <c r="BT48" s="687">
        <f>'Hodnocení '!BT44</f>
        <v>956642</v>
      </c>
      <c r="BU48" s="687">
        <f>'Hodnocení '!BU44</f>
        <v>5554950</v>
      </c>
      <c r="BV48" s="687">
        <f>'Hodnocení '!BV44</f>
        <v>1310620</v>
      </c>
      <c r="BW48" s="687">
        <f>'Hodnocení '!BW44</f>
        <v>590000</v>
      </c>
      <c r="BX48" s="687">
        <f>'Hodnocení '!BX44</f>
        <v>5228000</v>
      </c>
      <c r="BY48" s="687">
        <f>'Hodnocení '!BY44</f>
        <v>1945000</v>
      </c>
      <c r="BZ48" s="687">
        <f>'Hodnocení '!BZ44</f>
        <v>398000</v>
      </c>
      <c r="CA48" s="687">
        <f>'Hodnocení '!CA44</f>
        <v>0</v>
      </c>
      <c r="CB48" s="687">
        <f>'Hodnocení '!CB44</f>
        <v>695000</v>
      </c>
      <c r="CC48" s="687">
        <f>'Hodnocení '!CC44</f>
        <v>2747000</v>
      </c>
      <c r="CD48" s="687">
        <f>'Hodnocení '!CD44</f>
        <v>991000</v>
      </c>
      <c r="CE48" s="687">
        <f>'Hodnocení '!CE44</f>
        <v>11492000</v>
      </c>
      <c r="CF48" s="687">
        <f>'Hodnocení '!CF44</f>
        <v>4720790</v>
      </c>
      <c r="CG48" s="687">
        <f>'Hodnocení '!CG44</f>
        <v>1390000</v>
      </c>
      <c r="CH48" s="687">
        <f>'Hodnocení '!CH44</f>
        <v>3703000</v>
      </c>
      <c r="CI48" s="687">
        <f>'Hodnocení '!CI44</f>
        <v>3270000</v>
      </c>
      <c r="CJ48" s="687">
        <f>'Hodnocení '!CJ44</f>
        <v>4513515</v>
      </c>
      <c r="CK48" s="687">
        <f>'Hodnocení '!CK44</f>
        <v>4542000</v>
      </c>
      <c r="CL48" s="687">
        <f>'Hodnocení '!CL44</f>
        <v>3015000</v>
      </c>
      <c r="CM48" s="687">
        <f>'Hodnocení '!CM44</f>
        <v>7604514</v>
      </c>
      <c r="CN48" s="687">
        <f>'Hodnocení '!CN44</f>
        <v>1507362</v>
      </c>
      <c r="CO48" s="687">
        <f>'Hodnocení '!CO44</f>
        <v>1546768</v>
      </c>
      <c r="CP48" s="687">
        <f>'Hodnocení '!CP44</f>
        <v>1478852</v>
      </c>
      <c r="CQ48" s="687">
        <f>'Hodnocení '!CQ44</f>
        <v>6470764</v>
      </c>
      <c r="CR48" s="687">
        <f>'Hodnocení '!CR44</f>
        <v>2331094</v>
      </c>
      <c r="CS48" s="687">
        <f>'Hodnocení '!CS44</f>
        <v>3298929</v>
      </c>
      <c r="CT48" s="687">
        <f>'Hodnocení '!CT44</f>
        <v>5705918</v>
      </c>
      <c r="CU48" s="687">
        <f>'Hodnocení '!CU44</f>
        <v>1875000</v>
      </c>
      <c r="CV48" s="687">
        <f>'Hodnocení '!CV44</f>
        <v>6960000</v>
      </c>
      <c r="CW48" s="687">
        <f>'Hodnocení '!CW44</f>
        <v>400000</v>
      </c>
      <c r="CX48" s="687">
        <f>'Hodnocení '!CX44</f>
        <v>3457000</v>
      </c>
      <c r="CY48" s="687">
        <f>'Hodnocení '!CY44</f>
        <v>3240000</v>
      </c>
      <c r="CZ48" s="687">
        <f>'Hodnocení '!CZ44</f>
        <v>371000</v>
      </c>
      <c r="DA48" s="687">
        <f>'Hodnocení '!DA44</f>
        <v>7650000</v>
      </c>
      <c r="DB48" s="687">
        <f>'Hodnocení '!DB44</f>
        <v>760808</v>
      </c>
      <c r="DC48" s="687">
        <f>'Hodnocení '!DC44</f>
        <v>2030000</v>
      </c>
      <c r="DD48" s="687">
        <f>'Hodnocení '!DD44</f>
        <v>5300000</v>
      </c>
      <c r="DE48" s="687">
        <f>'Hodnocení '!DE44</f>
        <v>2810000</v>
      </c>
      <c r="DF48" s="687">
        <f>'Hodnocení '!DF44</f>
        <v>4660760</v>
      </c>
      <c r="DG48" s="687">
        <f>'Hodnocení '!DG44</f>
        <v>1865426</v>
      </c>
      <c r="DH48" s="687">
        <f>'Hodnocení '!DH44</f>
        <v>2425434</v>
      </c>
      <c r="DI48" s="687">
        <f>'Hodnocení '!DI44</f>
        <v>1393074</v>
      </c>
      <c r="DJ48" s="687">
        <f>'Hodnocení '!DJ44</f>
        <v>1920826</v>
      </c>
      <c r="DK48" s="687">
        <f>'Hodnocení '!DK44</f>
        <v>2417346</v>
      </c>
      <c r="DL48" s="687">
        <f>'Hodnocení '!DL44</f>
        <v>7306533</v>
      </c>
      <c r="DM48" s="687">
        <f>'Hodnocení '!DM44</f>
        <v>2395000</v>
      </c>
      <c r="DN48" s="687">
        <f>'Hodnocení '!DN44</f>
        <v>3689667</v>
      </c>
      <c r="DO48" s="687">
        <f>'Hodnocení '!DO44</f>
        <v>1734000</v>
      </c>
      <c r="DP48" s="687">
        <f>'Hodnocení '!DP44</f>
        <v>4315763</v>
      </c>
      <c r="DQ48" s="687">
        <f>'Hodnocení '!DQ44</f>
        <v>4013645</v>
      </c>
      <c r="DR48" s="687">
        <f>'Hodnocení '!DR44</f>
        <v>4423025</v>
      </c>
      <c r="DS48" s="687">
        <f>'Hodnocení '!DS44</f>
        <v>878000</v>
      </c>
      <c r="DT48" s="687">
        <f>'Hodnocení '!DT44</f>
        <v>3015000</v>
      </c>
      <c r="DU48" s="687">
        <f>'Hodnocení '!DU44</f>
        <v>0</v>
      </c>
      <c r="DV48" s="687">
        <f>'Hodnocení '!DV44</f>
        <v>4423333</v>
      </c>
      <c r="DW48" s="687">
        <f>'Hodnocení '!DW44</f>
        <v>0</v>
      </c>
      <c r="DX48" s="687">
        <f>'Hodnocení '!DX44</f>
        <v>0</v>
      </c>
      <c r="DY48" s="687">
        <f>'Hodnocení '!DY44</f>
        <v>6070000</v>
      </c>
      <c r="DZ48" s="687">
        <f>'Hodnocení '!DZ44</f>
        <v>924000</v>
      </c>
      <c r="EA48" s="687">
        <f>'Hodnocení '!EA44</f>
        <v>3910500</v>
      </c>
      <c r="EB48" s="687">
        <f>'Hodnocení '!EB44</f>
        <v>5674772</v>
      </c>
      <c r="EC48" s="687">
        <f>'Hodnocení '!EC44</f>
        <v>4509620</v>
      </c>
      <c r="ED48" s="687">
        <f>'Hodnocení '!ED44</f>
        <v>3945350</v>
      </c>
      <c r="EE48" s="687">
        <f>'Hodnocení '!EE44</f>
        <v>610000</v>
      </c>
      <c r="EF48" s="687">
        <f>'Hodnocení '!EF44</f>
        <v>666000</v>
      </c>
      <c r="EG48" s="687">
        <f>'Hodnocení '!EG44</f>
        <v>425000</v>
      </c>
      <c r="EH48" s="687">
        <f>'Hodnocení '!EH44</f>
        <v>595000</v>
      </c>
      <c r="EI48" s="687">
        <f>'Hodnocení '!EI44</f>
        <v>1025000</v>
      </c>
      <c r="EJ48" s="687">
        <f>'Hodnocení '!EJ44</f>
        <v>1254497</v>
      </c>
      <c r="EK48" s="687">
        <f>'Hodnocení '!EK44</f>
        <v>5250700</v>
      </c>
      <c r="EL48" s="687">
        <f>'Hodnocení '!EL44</f>
        <v>10921600</v>
      </c>
      <c r="EM48" s="687">
        <f>'Hodnocení '!EM44</f>
        <v>4256000</v>
      </c>
      <c r="EN48" s="687">
        <f>'Hodnocení '!EN44</f>
        <v>2526602</v>
      </c>
      <c r="EO48" s="687">
        <f>'Hodnocení '!EO44</f>
        <v>413760</v>
      </c>
      <c r="EP48" s="687">
        <f>'Hodnocení '!EP44</f>
        <v>2970065</v>
      </c>
      <c r="EQ48" s="687">
        <f>'Hodnocení '!EQ44</f>
        <v>2886486</v>
      </c>
      <c r="ER48" s="687">
        <f>'Hodnocení '!ER44</f>
        <v>6229000</v>
      </c>
      <c r="ES48" s="687">
        <f>'Hodnocení '!ES44</f>
        <v>3480000</v>
      </c>
      <c r="ET48" s="687">
        <f>'Hodnocení '!ET44</f>
        <v>901340</v>
      </c>
      <c r="EU48" s="687">
        <f>'Hodnocení '!EU44</f>
        <v>2056000</v>
      </c>
      <c r="EV48" s="687">
        <f>'Hodnocení '!EV44</f>
        <v>650000</v>
      </c>
      <c r="EW48" s="687">
        <f>'Hodnocení '!EW44</f>
        <v>2800000</v>
      </c>
      <c r="EX48" s="687">
        <f>'Hodnocení '!EX44</f>
        <v>7200000</v>
      </c>
      <c r="EY48" s="687">
        <f>'Hodnocení '!EY44</f>
        <v>2500000</v>
      </c>
      <c r="EZ48" s="687">
        <f>'Hodnocení '!EZ44</f>
        <v>270000</v>
      </c>
      <c r="FA48" s="687">
        <f>'Hodnocení '!FA44</f>
        <v>990000</v>
      </c>
      <c r="FB48" s="687">
        <f>'Hodnocení '!FB44</f>
        <v>233682</v>
      </c>
      <c r="FC48" s="687">
        <f>'Hodnocení '!FC44</f>
        <v>5000000</v>
      </c>
      <c r="FD48" s="687">
        <f>'Hodnocení '!FD44</f>
        <v>1200000</v>
      </c>
      <c r="FE48" s="687">
        <f>'Hodnocení '!FE44</f>
        <v>390000</v>
      </c>
      <c r="FF48" s="687">
        <f>'Hodnocení '!FF44</f>
        <v>1561200</v>
      </c>
      <c r="FG48" s="687">
        <f>'Hodnocení '!FG44</f>
        <v>5703200</v>
      </c>
      <c r="FH48" s="687">
        <f>'Hodnocení '!FH44</f>
        <v>6594603</v>
      </c>
      <c r="FI48" s="687">
        <f>'Hodnocení '!FI44</f>
        <v>7800000</v>
      </c>
      <c r="FJ48" s="687">
        <f>'Hodnocení '!FJ44</f>
        <v>2200000</v>
      </c>
      <c r="FK48" s="687">
        <f>'Hodnocení '!FK44</f>
        <v>937000</v>
      </c>
      <c r="FL48" s="687">
        <f>'Hodnocení '!FL44</f>
        <v>965000</v>
      </c>
      <c r="FM48" s="687">
        <f>'Hodnocení '!FM44</f>
        <v>4500000</v>
      </c>
      <c r="FN48" s="687">
        <f>'Hodnocení '!FN44</f>
        <v>8082419</v>
      </c>
      <c r="FO48" s="687">
        <f>'Hodnocení '!FO44</f>
        <v>2666678</v>
      </c>
      <c r="FP48" s="687">
        <f>'Hodnocení '!FP44</f>
        <v>16758000</v>
      </c>
      <c r="FQ48" s="687">
        <f>'Hodnocení '!FQ44</f>
        <v>2142886</v>
      </c>
      <c r="FR48" s="687">
        <f>'Hodnocení '!FR44</f>
        <v>3986708</v>
      </c>
      <c r="FS48" s="687">
        <f>'Hodnocení '!FS44</f>
        <v>601500</v>
      </c>
      <c r="FT48" s="687">
        <f>'Hodnocení '!FT44</f>
        <v>4812000</v>
      </c>
      <c r="FU48" s="687">
        <f>'Hodnocení '!FU44</f>
        <v>552000</v>
      </c>
      <c r="FV48" s="687">
        <f>'Hodnocení '!FV44</f>
        <v>1105000</v>
      </c>
      <c r="FW48" s="687">
        <f>'Hodnocení '!FW44</f>
        <v>1800000</v>
      </c>
      <c r="FX48" s="687">
        <f>'Hodnocení '!FX44</f>
        <v>700000</v>
      </c>
      <c r="FY48" s="687">
        <f>'Hodnocení '!FY44</f>
        <v>200000</v>
      </c>
      <c r="FZ48" s="687">
        <f>'Hodnocení '!FZ44</f>
        <v>7690000</v>
      </c>
      <c r="GA48" s="687">
        <f>'Hodnocení '!GA44</f>
        <v>978000</v>
      </c>
      <c r="GB48" s="687">
        <f>'Hodnocení '!GB44</f>
        <v>4746000</v>
      </c>
      <c r="GC48" s="687">
        <f>'Hodnocení '!GC44</f>
        <v>2728000</v>
      </c>
      <c r="GD48" s="687">
        <f>'Hodnocení '!GD44</f>
        <v>11396000</v>
      </c>
      <c r="GE48" s="687">
        <f>'Hodnocení '!GE44</f>
        <v>1800000</v>
      </c>
      <c r="GF48" s="687">
        <f>'Hodnocení '!GF44</f>
        <v>5289602</v>
      </c>
      <c r="GG48" s="687">
        <f>'Hodnocení '!GG44</f>
        <v>1284855</v>
      </c>
      <c r="GH48" s="687">
        <f>'Hodnocení '!GH44</f>
        <v>1054717</v>
      </c>
      <c r="GI48" s="687">
        <f>'Hodnocení '!GI44</f>
        <v>10416974</v>
      </c>
      <c r="GJ48" s="687">
        <f>'Hodnocení '!GJ44</f>
        <v>2195910</v>
      </c>
      <c r="GK48" s="687">
        <f>'Hodnocení '!GK44</f>
        <v>1100000</v>
      </c>
      <c r="GL48" s="687">
        <f>'Hodnocení '!GL44</f>
        <v>750000</v>
      </c>
      <c r="GM48" s="687">
        <f>'Hodnocení '!GM44</f>
        <v>930000</v>
      </c>
      <c r="GN48" s="687">
        <f>'Hodnocení '!GN44</f>
        <v>1018000</v>
      </c>
      <c r="GO48" s="687">
        <f>'Hodnocení '!GO44</f>
        <v>4777941</v>
      </c>
      <c r="GP48" s="687">
        <f>'Hodnocení '!GP44</f>
        <v>1889000</v>
      </c>
      <c r="GQ48" s="687">
        <f>'Hodnocení '!GQ44</f>
        <v>1000000</v>
      </c>
      <c r="GR48" s="687">
        <f>'Hodnocení '!GR44</f>
        <v>610000</v>
      </c>
      <c r="GS48" s="687">
        <f>'Hodnocení '!GS44</f>
        <v>180000</v>
      </c>
      <c r="GT48" s="687">
        <f>'Hodnocení '!GT44</f>
        <v>8922000</v>
      </c>
      <c r="GU48" s="687">
        <f>'Hodnocení '!GU44</f>
        <v>807440</v>
      </c>
      <c r="GV48" s="687">
        <f>'Hodnocení '!GV44</f>
        <v>5000000</v>
      </c>
      <c r="GW48" s="687">
        <f>'Hodnocení '!GW44</f>
        <v>1450000</v>
      </c>
      <c r="GX48" s="687">
        <f>'Hodnocení '!GX44</f>
        <v>150000</v>
      </c>
      <c r="GY48" s="687">
        <f>'Hodnocení '!GY44</f>
        <v>16000000</v>
      </c>
      <c r="GZ48" s="687">
        <f>'Hodnocení '!GZ44</f>
        <v>2110821</v>
      </c>
      <c r="HA48" s="687">
        <f>'Hodnocení '!HA44</f>
        <v>5200000</v>
      </c>
      <c r="HB48" s="687">
        <f>'Hodnocení '!HB44</f>
        <v>5600000</v>
      </c>
      <c r="HC48" s="687">
        <f>'Hodnocení '!HC44</f>
        <v>11200000</v>
      </c>
      <c r="HD48" s="687">
        <f>'Hodnocení '!HD44</f>
        <v>2188680</v>
      </c>
      <c r="HE48" s="687">
        <f>'Hodnocení '!HE44</f>
        <v>4945200</v>
      </c>
      <c r="HF48" s="687">
        <f>'Hodnocení '!HF44</f>
        <v>900000</v>
      </c>
      <c r="HG48" s="687">
        <f>'Hodnocení '!HG44</f>
        <v>865000</v>
      </c>
      <c r="HH48" s="687">
        <f>'Hodnocení '!HH44</f>
        <v>3950000</v>
      </c>
      <c r="HI48" s="687">
        <f>'Hodnocení '!HI44</f>
        <v>2500000</v>
      </c>
      <c r="HJ48" s="687">
        <f>'Hodnocení '!HJ44</f>
        <v>0</v>
      </c>
      <c r="HK48" s="687">
        <f>'Hodnocení '!HK44</f>
        <v>209300</v>
      </c>
      <c r="HL48" s="687">
        <f>'Hodnocení '!HL44</f>
        <v>50500000</v>
      </c>
      <c r="HM48" s="687">
        <f>'Hodnocení '!HM44</f>
        <v>30959000</v>
      </c>
      <c r="HN48" s="687">
        <f>'Hodnocení '!HN44</f>
        <v>1010000</v>
      </c>
      <c r="HO48" s="687">
        <f>'Hodnocení '!HO44</f>
        <v>0</v>
      </c>
      <c r="HP48" s="687">
        <f>'Hodnocení '!HP44</f>
        <v>27114000</v>
      </c>
      <c r="HQ48" s="687">
        <f>'Hodnocení '!HQ44</f>
        <v>700000</v>
      </c>
      <c r="HR48" s="687">
        <f>'Hodnocení '!HR44</f>
        <v>27500000</v>
      </c>
      <c r="HS48" s="687">
        <f>'Hodnocení '!HS44</f>
        <v>4600000</v>
      </c>
      <c r="HT48" s="687">
        <f>'Hodnocení '!HT44</f>
        <v>21000000</v>
      </c>
      <c r="HU48" s="687">
        <f>'Hodnocení '!HU44</f>
        <v>24100000</v>
      </c>
      <c r="HV48" s="687">
        <f>'Hodnocení '!HV44</f>
        <v>17580000</v>
      </c>
      <c r="HW48" s="687">
        <f>'Hodnocení '!HW44</f>
        <v>4562528</v>
      </c>
      <c r="HX48" s="687">
        <f>'Hodnocení '!HX44</f>
        <v>23953272</v>
      </c>
      <c r="HY48" s="687">
        <f>'Hodnocení '!HY44</f>
        <v>17351600</v>
      </c>
      <c r="HZ48" s="687">
        <f>'Hodnocení '!HZ44</f>
        <v>11293100</v>
      </c>
      <c r="IA48" s="687">
        <f>'Hodnocení '!IA44</f>
        <v>8494730</v>
      </c>
      <c r="IB48" s="687">
        <f>'Hodnocení '!IB44</f>
        <v>10442250</v>
      </c>
      <c r="IC48" s="687">
        <f>'Hodnocení '!IC44</f>
        <v>11940000</v>
      </c>
      <c r="ID48" s="687">
        <f>'Hodnocení '!ID44</f>
        <v>10036000</v>
      </c>
      <c r="IE48" s="687">
        <f>'Hodnocení '!IE44</f>
        <v>17118000</v>
      </c>
      <c r="IF48" s="687">
        <f>'Hodnocení '!IF44</f>
        <v>25404400</v>
      </c>
      <c r="IG48" s="687">
        <f>'Hodnocení '!IG44</f>
        <v>8044600</v>
      </c>
      <c r="IH48" s="687">
        <f>'Hodnocení '!IH44</f>
        <v>3681744</v>
      </c>
      <c r="II48" s="687">
        <f>'Hodnocení '!II44</f>
        <v>22880979</v>
      </c>
      <c r="IJ48" s="687">
        <f>'Hodnocení '!IJ44</f>
        <v>1571800</v>
      </c>
      <c r="IK48" s="687">
        <f>'Hodnocení '!IK44</f>
        <v>609567</v>
      </c>
      <c r="IL48" s="687">
        <f>'Hodnocení '!IL44</f>
        <v>9900000</v>
      </c>
      <c r="IM48" s="687">
        <f>'Hodnocení '!IM44</f>
        <v>775000</v>
      </c>
      <c r="IN48" s="687">
        <f>'Hodnocení '!IN44</f>
        <v>11165000</v>
      </c>
      <c r="IO48" s="687">
        <f>'Hodnocení '!IO44</f>
        <v>3560000</v>
      </c>
      <c r="IP48" s="687">
        <f>'Hodnocení '!IP44</f>
        <v>18876000</v>
      </c>
      <c r="IQ48" s="687">
        <f>'Hodnocení '!IQ44</f>
        <v>19626000</v>
      </c>
      <c r="IR48" s="687">
        <f>'Hodnocení '!IR44</f>
        <v>835000</v>
      </c>
      <c r="IS48" s="687">
        <f>'Hodnocení '!IS44</f>
        <v>46709000</v>
      </c>
      <c r="IT48" s="687">
        <f>'Hodnocení '!IT44</f>
        <v>11542000</v>
      </c>
      <c r="IU48" s="687">
        <f>'Hodnocení '!IU44</f>
        <v>3964128</v>
      </c>
      <c r="IV48" s="687">
        <f>'Hodnocení '!IV44</f>
        <v>8599386</v>
      </c>
      <c r="IW48" s="687">
        <f>'Hodnocení '!IW44</f>
        <v>16499135</v>
      </c>
      <c r="IX48" s="687">
        <f>'Hodnocení '!IX44</f>
        <v>2238805</v>
      </c>
      <c r="IY48" s="687">
        <f>'Hodnocení '!IY44</f>
        <v>10538000</v>
      </c>
      <c r="IZ48" s="687">
        <f>'Hodnocení '!IZ44</f>
        <v>23410000</v>
      </c>
      <c r="JA48" s="687">
        <f>'Hodnocení '!JA44</f>
        <v>2868000</v>
      </c>
      <c r="JB48" s="687">
        <f>'Hodnocení '!JB44</f>
        <v>2340000</v>
      </c>
      <c r="JC48" s="687">
        <f>'Hodnocení '!JC44</f>
        <v>2290000</v>
      </c>
      <c r="JD48" s="687">
        <f>'Hodnocení '!JD44</f>
        <v>3000000</v>
      </c>
      <c r="JE48" s="687">
        <f>'Hodnocení '!JE44</f>
        <v>722500</v>
      </c>
      <c r="JF48" s="687">
        <f>'Hodnocení '!JF44</f>
        <v>34067800</v>
      </c>
      <c r="JG48" s="687">
        <f>'Hodnocení '!JG44</f>
        <v>29138040</v>
      </c>
      <c r="JH48" s="782">
        <f>'Hodnocení '!JH44</f>
        <v>3377272</v>
      </c>
      <c r="JI48" s="761">
        <f>'Hodnocení '!JI44</f>
        <v>1333461424</v>
      </c>
    </row>
    <row r="49" spans="1:277" ht="7.9" hidden="1" customHeight="1" thickBot="1" x14ac:dyDescent="0.3">
      <c r="B49" s="733"/>
      <c r="C49" s="360"/>
      <c r="D49" s="357"/>
      <c r="E49" s="357"/>
      <c r="F49" s="357"/>
      <c r="G49" s="357"/>
      <c r="H49" s="357"/>
      <c r="I49" s="357"/>
      <c r="J49" s="357"/>
      <c r="K49" s="357"/>
      <c r="L49" s="357"/>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57"/>
      <c r="IK49" s="357"/>
      <c r="IL49" s="357"/>
      <c r="IM49" s="357"/>
      <c r="IN49" s="357"/>
      <c r="IO49" s="357"/>
      <c r="IP49" s="357"/>
      <c r="IQ49" s="357"/>
      <c r="IR49" s="357"/>
      <c r="IS49" s="357"/>
      <c r="IT49" s="357"/>
      <c r="IU49" s="357"/>
      <c r="IV49" s="357"/>
      <c r="IW49" s="357"/>
      <c r="IX49" s="357"/>
      <c r="IY49" s="357"/>
      <c r="IZ49" s="357"/>
      <c r="JA49" s="357"/>
      <c r="JB49" s="357"/>
      <c r="JC49" s="357"/>
      <c r="JD49" s="357"/>
      <c r="JE49" s="357"/>
      <c r="JF49" s="357"/>
      <c r="JG49" s="357"/>
      <c r="JH49" s="772"/>
      <c r="JI49" s="315"/>
    </row>
    <row r="50" spans="1:277" ht="15.75" thickBot="1" x14ac:dyDescent="0.3">
      <c r="B50" s="611" t="s">
        <v>2636</v>
      </c>
      <c r="C50" s="696">
        <f>'Hodnocení '!C46</f>
        <v>9296049.1510793846</v>
      </c>
      <c r="D50" s="697">
        <f>'Hodnocení '!D46</f>
        <v>8380000</v>
      </c>
      <c r="E50" s="697">
        <f>'Hodnocení '!E46</f>
        <v>8887194.8468445688</v>
      </c>
      <c r="F50" s="697">
        <f>'Hodnocení '!F46</f>
        <v>3978884.7088353573</v>
      </c>
      <c r="G50" s="697">
        <f>'Hodnocení '!G46</f>
        <v>11754503.127290595</v>
      </c>
      <c r="H50" s="697">
        <f>'Hodnocení '!H46</f>
        <v>1265732.1198156357</v>
      </c>
      <c r="I50" s="697">
        <f>'Hodnocení '!I46</f>
        <v>3505750.9805252724</v>
      </c>
      <c r="J50" s="697">
        <f>'Hodnocení '!J46</f>
        <v>2983617.8557661893</v>
      </c>
      <c r="K50" s="697">
        <f>'Hodnocení '!K46</f>
        <v>5924518.8128773188</v>
      </c>
      <c r="L50" s="697">
        <f>'Hodnocení '!L46</f>
        <v>4031705.8292569402</v>
      </c>
      <c r="M50" s="697">
        <f>'Hodnocení '!M46</f>
        <v>3984275.238895766</v>
      </c>
      <c r="N50" s="697">
        <f>'Hodnocení '!N46</f>
        <v>5017302.8370803231</v>
      </c>
      <c r="O50" s="697">
        <f>'Hodnocení '!O46</f>
        <v>4508635.2104233941</v>
      </c>
      <c r="P50" s="697">
        <f>'Hodnocení '!P46</f>
        <v>2998026.0021816893</v>
      </c>
      <c r="Q50" s="697">
        <f>'Hodnocení '!Q46</f>
        <v>2005488.4791010155</v>
      </c>
      <c r="R50" s="697">
        <f>'Hodnocení '!R46</f>
        <v>2451152.5855679074</v>
      </c>
      <c r="S50" s="697">
        <f>'Hodnocení '!S46</f>
        <v>1708379.0747897534</v>
      </c>
      <c r="T50" s="697">
        <f>'Hodnocení '!T46</f>
        <v>742773.51077815378</v>
      </c>
      <c r="U50" s="697">
        <f>'Hodnocení '!U46</f>
        <v>1114160.2661672307</v>
      </c>
      <c r="V50" s="697">
        <f>'Hodnocení '!V46</f>
        <v>13347900</v>
      </c>
      <c r="W50" s="697">
        <f>'Hodnocení '!W46</f>
        <v>3313600</v>
      </c>
      <c r="X50" s="697">
        <f>'Hodnocení '!X46</f>
        <v>2191081.086187847</v>
      </c>
      <c r="Y50" s="697">
        <f>'Hodnocení '!Y46</f>
        <v>2069745.4492107111</v>
      </c>
      <c r="Z50" s="697">
        <f>'Hodnocení '!Z46</f>
        <v>7441924</v>
      </c>
      <c r="AA50" s="697">
        <f>'Hodnocení '!AA46</f>
        <v>4313818.3267021552</v>
      </c>
      <c r="AB50" s="697">
        <f>'Hodnocení '!AB46</f>
        <v>3153482.7159662391</v>
      </c>
      <c r="AC50" s="697">
        <f>'Hodnocení '!AC46</f>
        <v>471661.84132364974</v>
      </c>
      <c r="AD50" s="697">
        <f>'Hodnocení '!AD46</f>
        <v>2497904.6985613657</v>
      </c>
      <c r="AE50" s="697">
        <f>'Hodnocení '!AE46</f>
        <v>1222248.5258989439</v>
      </c>
      <c r="AF50" s="697">
        <f>'Hodnocení '!AF46</f>
        <v>3535587.1590829343</v>
      </c>
      <c r="AG50" s="697">
        <f>'Hodnocení '!AG46</f>
        <v>3510607.0288166855</v>
      </c>
      <c r="AH50" s="697">
        <f>'Hodnocení '!AH46</f>
        <v>909000</v>
      </c>
      <c r="AI50" s="697">
        <f>'Hodnocení '!AI46</f>
        <v>4647000</v>
      </c>
      <c r="AJ50" s="697">
        <f>'Hodnocení '!AJ46</f>
        <v>2966000</v>
      </c>
      <c r="AK50" s="697">
        <f>'Hodnocení '!AK46</f>
        <v>1472200</v>
      </c>
      <c r="AL50" s="697">
        <f>'Hodnocení '!AL46</f>
        <v>2156909.1633510776</v>
      </c>
      <c r="AM50" s="697">
        <f>'Hodnocení '!AM46</f>
        <v>1559824.3726341231</v>
      </c>
      <c r="AN50" s="697">
        <f>'Hodnocení '!AN46</f>
        <v>995316.50444272615</v>
      </c>
      <c r="AO50" s="697">
        <f>'Hodnocení '!AO46</f>
        <v>6314033.6631408297</v>
      </c>
      <c r="AP50" s="697">
        <f>'Hodnocení '!AP46</f>
        <v>2321000</v>
      </c>
      <c r="AQ50" s="697">
        <f>'Hodnocení '!AQ46</f>
        <v>297109.40431126149</v>
      </c>
      <c r="AR50" s="697">
        <f>'Hodnocení '!AR46</f>
        <v>1671240.3992508459</v>
      </c>
      <c r="AS50" s="697">
        <f>'Hodnocení '!AS46</f>
        <v>445664.10646689229</v>
      </c>
      <c r="AT50" s="697">
        <f>'Hodnocení '!AT46</f>
        <v>2109142.1939772759</v>
      </c>
      <c r="AU50" s="697">
        <f>'Hodnocení '!AU46</f>
        <v>1051886.2833224081</v>
      </c>
      <c r="AV50" s="697">
        <f>'Hodnocení '!AV46</f>
        <v>2120960.6772952261</v>
      </c>
      <c r="AW50" s="697">
        <f>'Hodnocení '!AW46</f>
        <v>3515922.5550434329</v>
      </c>
      <c r="AX50" s="697">
        <f>'Hodnocení '!AX46</f>
        <v>2889815.8082949743</v>
      </c>
      <c r="AY50" s="697">
        <f>'Hodnocení '!AY46</f>
        <v>3192681.8379533906</v>
      </c>
      <c r="AZ50" s="697">
        <f>'Hodnocení '!AZ46</f>
        <v>3590692</v>
      </c>
      <c r="BA50" s="697">
        <f>'Hodnocení '!BA46</f>
        <v>11033000</v>
      </c>
      <c r="BB50" s="697">
        <f>'Hodnocení '!BB46</f>
        <v>1411269.6704784923</v>
      </c>
      <c r="BC50" s="697">
        <f>'Hodnocení '!BC46</f>
        <v>1360742.4938025323</v>
      </c>
      <c r="BD50" s="697">
        <f>'Hodnocení '!BD46</f>
        <v>2020343.9493165785</v>
      </c>
      <c r="BE50" s="697">
        <f>'Hodnocení '!BE46</f>
        <v>1305332.8118977079</v>
      </c>
      <c r="BF50" s="697">
        <f>'Hodnocení '!BF46</f>
        <v>3045371.3941904306</v>
      </c>
      <c r="BG50" s="697">
        <f>'Hodnocení '!BG46</f>
        <v>3832000</v>
      </c>
      <c r="BH50" s="697">
        <f>'Hodnocení '!BH46</f>
        <v>3785109.2415605099</v>
      </c>
      <c r="BI50" s="697">
        <f>'Hodnocení '!BI46</f>
        <v>2470000</v>
      </c>
      <c r="BJ50" s="697">
        <f>'Hodnocení '!BJ46</f>
        <v>2836236.6701121721</v>
      </c>
      <c r="BK50" s="697">
        <f>'Hodnocení '!BK46</f>
        <v>1058000</v>
      </c>
      <c r="BL50" s="697">
        <f>'Hodnocení '!BL46</f>
        <v>484189.8882988008</v>
      </c>
      <c r="BM50" s="697">
        <f>'Hodnocení '!BM46</f>
        <v>2163616</v>
      </c>
      <c r="BN50" s="697">
        <f>'Hodnocení '!BN46</f>
        <v>1946066.5982387629</v>
      </c>
      <c r="BO50" s="697">
        <f>'Hodnocení '!BO46</f>
        <v>1115754.3738330903</v>
      </c>
      <c r="BP50" s="697">
        <f>'Hodnocení '!BP46</f>
        <v>5429080</v>
      </c>
      <c r="BQ50" s="697">
        <f>'Hodnocení '!BQ46</f>
        <v>857790.13353277929</v>
      </c>
      <c r="BR50" s="697">
        <f>'Hodnocení '!BR46</f>
        <v>1002744.2395505077</v>
      </c>
      <c r="BS50" s="697">
        <f>'Hodnocení '!BS46</f>
        <v>1336992.3194006768</v>
      </c>
      <c r="BT50" s="697">
        <f>'Hodnocení '!BT46</f>
        <v>1114160.2661672307</v>
      </c>
      <c r="BU50" s="697">
        <f>'Hodnocení '!BU46</f>
        <v>4446637.2294955002</v>
      </c>
      <c r="BV50" s="697">
        <f>'Hodnocení '!BV46</f>
        <v>1142294.6626007925</v>
      </c>
      <c r="BW50" s="697">
        <f>'Hodnocení '!BW46</f>
        <v>297109.40431126149</v>
      </c>
      <c r="BX50" s="697">
        <f>'Hodnocení '!BX46</f>
        <v>5062234.123708467</v>
      </c>
      <c r="BY50" s="697">
        <f>'Hodnocení '!BY46</f>
        <v>2065527.6887355854</v>
      </c>
      <c r="BZ50" s="697">
        <f>'Hodnocení '!BZ46</f>
        <v>249019.98755359586</v>
      </c>
      <c r="CA50" s="697">
        <f>'Hodnocení '!CA46</f>
        <v>0</v>
      </c>
      <c r="CB50" s="697">
        <f>'Hodnocení '!CB46</f>
        <v>212096.63819068708</v>
      </c>
      <c r="CC50" s="697">
        <f>'Hodnocení '!CC46</f>
        <v>2414013.9100289997</v>
      </c>
      <c r="CD50" s="697">
        <f>'Hodnocení '!CD46</f>
        <v>742773.51077815378</v>
      </c>
      <c r="CE50" s="697">
        <f>'Hodnocení '!CE46</f>
        <v>14096350.125316771</v>
      </c>
      <c r="CF50" s="697">
        <f>'Hodnocení '!CF46</f>
        <v>4820517.8393289512</v>
      </c>
      <c r="CG50" s="697">
        <f>'Hodnocení '!CG46</f>
        <v>10598581.496070446</v>
      </c>
      <c r="CH50" s="697">
        <f>'Hodnocení '!CH46</f>
        <v>4533330</v>
      </c>
      <c r="CI50" s="697">
        <f>'Hodnocení '!CI46</f>
        <v>3518851.9671994289</v>
      </c>
      <c r="CJ50" s="697">
        <f>'Hodnocení '!CJ46</f>
        <v>4666195.0818283353</v>
      </c>
      <c r="CK50" s="697">
        <f>'Hodnocení '!CK46</f>
        <v>5170780</v>
      </c>
      <c r="CL50" s="697">
        <f>'Hodnocení '!CL46</f>
        <v>3132798.7485544984</v>
      </c>
      <c r="CM50" s="697">
        <f>'Hodnocení '!CM46</f>
        <v>6951836.4399863137</v>
      </c>
      <c r="CN50" s="697">
        <f>'Hodnocení '!CN46</f>
        <v>1314857.8541530101</v>
      </c>
      <c r="CO50" s="697">
        <f>'Hodnocení '!CO46</f>
        <v>1314857.8541530101</v>
      </c>
      <c r="CP50" s="697">
        <f>'Hodnocení '!CP46</f>
        <v>1314857.8541530101</v>
      </c>
      <c r="CQ50" s="697">
        <f>'Hodnocení '!CQ46</f>
        <v>6255036.573718125</v>
      </c>
      <c r="CR50" s="697">
        <f>'Hodnocení '!CR46</f>
        <v>2417817</v>
      </c>
      <c r="CS50" s="697">
        <f>'Hodnocení '!CS46</f>
        <v>3818929</v>
      </c>
      <c r="CT50" s="697">
        <f>'Hodnocení '!CT46</f>
        <v>4823200.6433408242</v>
      </c>
      <c r="CU50" s="697">
        <f>'Hodnocení '!CU46</f>
        <v>2065527.6887355854</v>
      </c>
      <c r="CV50" s="697">
        <f>'Hodnocení '!CV46</f>
        <v>5572023.830386878</v>
      </c>
      <c r="CW50" s="697">
        <f>'Hodnocení '!CW46</f>
        <v>445664.10646689229</v>
      </c>
      <c r="CX50" s="697">
        <f>'Hodnocení '!CX46</f>
        <v>4060000</v>
      </c>
      <c r="CY50" s="697">
        <f>'Hodnocení '!CY46</f>
        <v>3158756.2839012085</v>
      </c>
      <c r="CZ50" s="697">
        <f>'Hodnocení '!CZ46</f>
        <v>1499800</v>
      </c>
      <c r="DA50" s="697">
        <f>'Hodnocení '!DA46</f>
        <v>8578781.7210858986</v>
      </c>
      <c r="DB50" s="697">
        <f>'Hodnocení '!DB46</f>
        <v>854189.53739487671</v>
      </c>
      <c r="DC50" s="697">
        <f>'Hodnocení '!DC46</f>
        <v>1972286.7812295151</v>
      </c>
      <c r="DD50" s="697">
        <f>'Hodnocení '!DD46</f>
        <v>5594283.4795616046</v>
      </c>
      <c r="DE50" s="697">
        <f>'Hodnocení '!DE46</f>
        <v>7831996.8713862468</v>
      </c>
      <c r="DF50" s="697">
        <f>'Hodnocení '!DF46</f>
        <v>7831996.8713862468</v>
      </c>
      <c r="DG50" s="697">
        <f>'Hodnocení '!DG46</f>
        <v>854189.53739487671</v>
      </c>
      <c r="DH50" s="697">
        <f>'Hodnocení '!DH46</f>
        <v>2542541.0743335127</v>
      </c>
      <c r="DI50" s="697">
        <f>'Hodnocení '!DI46</f>
        <v>1139158.9078340724</v>
      </c>
      <c r="DJ50" s="697">
        <f>'Hodnocení '!DJ46</f>
        <v>2010826</v>
      </c>
      <c r="DK50" s="697">
        <f>'Hodnocení '!DK46</f>
        <v>2511146</v>
      </c>
      <c r="DL50" s="697">
        <f>'Hodnocení '!DL46</f>
        <v>4473993.2555374205</v>
      </c>
      <c r="DM50" s="697">
        <f>'Hodnocení '!DM46</f>
        <v>2420949.4414940039</v>
      </c>
      <c r="DN50" s="697">
        <f>'Hodnocení '!DN46</f>
        <v>3944573.5624590302</v>
      </c>
      <c r="DO50" s="697">
        <f>'Hodnocení '!DO46</f>
        <v>1491808.9278830946</v>
      </c>
      <c r="DP50" s="697">
        <f>'Hodnocení '!DP46</f>
        <v>4273288.0259972829</v>
      </c>
      <c r="DQ50" s="697">
        <f>'Hodnocení '!DQ46</f>
        <v>4659795</v>
      </c>
      <c r="DR50" s="697">
        <f>'Hodnocení '!DR46</f>
        <v>5303525</v>
      </c>
      <c r="DS50" s="697">
        <f>'Hodnocení '!DS46</f>
        <v>1729310.8899851122</v>
      </c>
      <c r="DT50" s="697">
        <f>'Hodnocení '!DT46</f>
        <v>3575000</v>
      </c>
      <c r="DU50" s="697">
        <f>'Hodnocení '!DU46</f>
        <v>0</v>
      </c>
      <c r="DV50" s="697">
        <f>'Hodnocení '!DV46</f>
        <v>7040000</v>
      </c>
      <c r="DW50" s="697">
        <f>'Hodnocení '!DW46</f>
        <v>0</v>
      </c>
      <c r="DX50" s="697">
        <f>'Hodnocení '!DX46</f>
        <v>0</v>
      </c>
      <c r="DY50" s="697">
        <f>'Hodnocení '!DY46</f>
        <v>4731142.7504826486</v>
      </c>
      <c r="DZ50" s="697">
        <f>'Hodnocení '!DZ46</f>
        <v>770133.71150518791</v>
      </c>
      <c r="EA50" s="697">
        <f>'Hodnocení '!EA46</f>
        <v>3517972.7647054419</v>
      </c>
      <c r="EB50" s="697">
        <f>'Hodnocení '!EB46</f>
        <v>5976412.8583436497</v>
      </c>
      <c r="EC50" s="697">
        <f>'Hodnocení '!EC46</f>
        <v>3312237.7834975314</v>
      </c>
      <c r="ED50" s="697">
        <f>'Hodnocení '!ED46</f>
        <v>3891133.2612115145</v>
      </c>
      <c r="EE50" s="697">
        <f>'Hodnocení '!EE46</f>
        <v>854189.53739487671</v>
      </c>
      <c r="EF50" s="697">
        <f>'Hodnocení '!EF46</f>
        <v>928466.88847269223</v>
      </c>
      <c r="EG50" s="697">
        <f>'Hodnocení '!EG46</f>
        <v>445664.10646689229</v>
      </c>
      <c r="EH50" s="697">
        <f>'Hodnocení '!EH46</f>
        <v>799811.80860682938</v>
      </c>
      <c r="EI50" s="697">
        <f>'Hodnocení '!EI46</f>
        <v>1300000</v>
      </c>
      <c r="EJ50" s="697">
        <f>'Hodnocení '!EJ46</f>
        <v>1193447.1423064759</v>
      </c>
      <c r="EK50" s="697">
        <f>'Hodnocení '!EK46</f>
        <v>3733481.0875684507</v>
      </c>
      <c r="EL50" s="697">
        <f>'Hodnocení '!EL46</f>
        <v>11834171.525295848</v>
      </c>
      <c r="EM50" s="697">
        <f>'Hodnocení '!EM46</f>
        <v>3398690.3194428757</v>
      </c>
      <c r="EN50" s="697">
        <f>'Hodnocení '!EN46</f>
        <v>2516394.0239095907</v>
      </c>
      <c r="EO50" s="697">
        <f>'Hodnocení '!EO46</f>
        <v>297109.40431126149</v>
      </c>
      <c r="EP50" s="697">
        <f>'Hodnocení '!EP46</f>
        <v>3184329.1261055968</v>
      </c>
      <c r="EQ50" s="697">
        <f>'Hodnocení '!EQ46</f>
        <v>1864761.1598538682</v>
      </c>
      <c r="ER50" s="697">
        <f>'Hodnocení '!ER46</f>
        <v>11121000</v>
      </c>
      <c r="ES50" s="697">
        <f>'Hodnocení '!ES46</f>
        <v>0</v>
      </c>
      <c r="ET50" s="697">
        <f>'Hodnocení '!ET46</f>
        <v>1009463.051162631</v>
      </c>
      <c r="EU50" s="697">
        <f>'Hodnocení '!EU46</f>
        <v>2867783.9144364195</v>
      </c>
      <c r="EV50" s="697">
        <f>'Hodnocení '!EV46</f>
        <v>742773.51077815378</v>
      </c>
      <c r="EW50" s="697">
        <f>'Hodnocení '!EW46</f>
        <v>4473993.2555374205</v>
      </c>
      <c r="EX50" s="697">
        <f>'Hodnocení '!EX46</f>
        <v>10000000</v>
      </c>
      <c r="EY50" s="697">
        <f>'Hodnocení '!EY46</f>
        <v>3235363.7450266159</v>
      </c>
      <c r="EZ50" s="697">
        <f>'Hodnocení '!EZ46</f>
        <v>1180543.1487498037</v>
      </c>
      <c r="FA50" s="697">
        <f>'Hodnocení '!FA46</f>
        <v>2643559.424768026</v>
      </c>
      <c r="FB50" s="697">
        <f>'Hodnocení '!FB46</f>
        <v>265664.49062636285</v>
      </c>
      <c r="FC50" s="697">
        <f>'Hodnocení '!FC46</f>
        <v>8081615.4215486925</v>
      </c>
      <c r="FD50" s="697">
        <f>'Hodnocení '!FD46</f>
        <v>1664055.933514433</v>
      </c>
      <c r="FE50" s="697">
        <f>'Hodnocení '!FE46</f>
        <v>813440.58884631132</v>
      </c>
      <c r="FF50" s="697">
        <f>'Hodnocení '!FF46</f>
        <v>2561200</v>
      </c>
      <c r="FG50" s="697">
        <f>'Hodnocení '!FG46</f>
        <v>10234922.019552525</v>
      </c>
      <c r="FH50" s="697">
        <f>'Hodnocení '!FH46</f>
        <v>8194603</v>
      </c>
      <c r="FI50" s="697">
        <f>'Hodnocení '!FI46</f>
        <v>10510000</v>
      </c>
      <c r="FJ50" s="697">
        <f>'Hodnocení '!FJ46</f>
        <v>3226240</v>
      </c>
      <c r="FK50" s="697">
        <f>'Hodnocení '!FK46</f>
        <v>963386.22672073392</v>
      </c>
      <c r="FL50" s="697">
        <f>'Hodnocení '!FL46</f>
        <v>1203612.7840607695</v>
      </c>
      <c r="FM50" s="697">
        <f>'Hodnocení '!FM46</f>
        <v>5747603.6565853953</v>
      </c>
      <c r="FN50" s="697">
        <f>'Hodnocení '!FN46</f>
        <v>7963831.4799554544</v>
      </c>
      <c r="FO50" s="697">
        <f>'Hodnocení '!FO46</f>
        <v>2866678</v>
      </c>
      <c r="FP50" s="697">
        <f>'Hodnocení '!FP46</f>
        <v>17008000</v>
      </c>
      <c r="FQ50" s="697">
        <f>'Hodnocení '!FQ46</f>
        <v>2192886</v>
      </c>
      <c r="FR50" s="697">
        <f>'Hodnocení '!FR46</f>
        <v>3847203.2896098206</v>
      </c>
      <c r="FS50" s="697">
        <f>'Hodnocení '!FS46</f>
        <v>651500</v>
      </c>
      <c r="FT50" s="697">
        <f>'Hodnocení '!FT46</f>
        <v>5871693.3263162933</v>
      </c>
      <c r="FU50" s="697">
        <f>'Hodnocení '!FU46</f>
        <v>718000</v>
      </c>
      <c r="FV50" s="697">
        <f>'Hodnocení '!FV46</f>
        <v>1864671.3198748971</v>
      </c>
      <c r="FW50" s="697">
        <f>'Hodnocení '!FW46</f>
        <v>2104500</v>
      </c>
      <c r="FX50" s="697">
        <f>'Hodnocení '!FX46</f>
        <v>988000</v>
      </c>
      <c r="FY50" s="697">
        <f>'Hodnocení '!FY46</f>
        <v>484000</v>
      </c>
      <c r="FZ50" s="697">
        <f>'Hodnocení '!FZ46</f>
        <v>7845845.0490599889</v>
      </c>
      <c r="GA50" s="697">
        <f>'Hodnocení '!GA46</f>
        <v>992170.48958755797</v>
      </c>
      <c r="GB50" s="697">
        <f>'Hodnocení '!GB46</f>
        <v>7078594.4862977713</v>
      </c>
      <c r="GC50" s="697">
        <f>'Hodnocení '!GC46</f>
        <v>3992300.1421770533</v>
      </c>
      <c r="GD50" s="697">
        <f>'Hodnocení '!GD46</f>
        <v>14793188.350004137</v>
      </c>
      <c r="GE50" s="697">
        <f>'Hodnocení '!GE46</f>
        <v>2300000</v>
      </c>
      <c r="GF50" s="697">
        <f>'Hodnocení '!GF46</f>
        <v>5289600.1778761428</v>
      </c>
      <c r="GG50" s="697">
        <f>'Hodnocení '!GG46</f>
        <v>1675672.3627191633</v>
      </c>
      <c r="GH50" s="697">
        <f>'Hodnocení '!GH46</f>
        <v>1500741.4312772285</v>
      </c>
      <c r="GI50" s="697">
        <f>'Hodnocení '!GI46</f>
        <v>15318249.086967468</v>
      </c>
      <c r="GJ50" s="697">
        <f>'Hodnocení '!GJ46</f>
        <v>3236180</v>
      </c>
      <c r="GK50" s="697">
        <f>'Hodnocení '!GK46</f>
        <v>2287953</v>
      </c>
      <c r="GL50" s="697">
        <f>'Hodnocení '!GL46</f>
        <v>1248846</v>
      </c>
      <c r="GM50" s="697">
        <f>'Hodnocení '!GM46</f>
        <v>1452634</v>
      </c>
      <c r="GN50" s="697">
        <f>'Hodnocení '!GN46</f>
        <v>1157000</v>
      </c>
      <c r="GO50" s="697">
        <f>'Hodnocení '!GO46</f>
        <v>6719641</v>
      </c>
      <c r="GP50" s="697">
        <f>'Hodnocení '!GP46</f>
        <v>1324656.0617410089</v>
      </c>
      <c r="GQ50" s="697">
        <f>'Hodnocení '!GQ46</f>
        <v>1766200</v>
      </c>
      <c r="GR50" s="697">
        <f>'Hodnocení '!GR46</f>
        <v>1671114.6056514834</v>
      </c>
      <c r="GS50" s="697">
        <f>'Hodnocení '!GS46</f>
        <v>963386.22672073392</v>
      </c>
      <c r="GT50" s="697">
        <f>'Hodnocení '!GT46</f>
        <v>14779349.532092277</v>
      </c>
      <c r="GU50" s="697">
        <f>'Hodnocení '!GU46</f>
        <v>1604440</v>
      </c>
      <c r="GV50" s="697">
        <f>'Hodnocení '!GV46</f>
        <v>8312921.1856662463</v>
      </c>
      <c r="GW50" s="697">
        <f>'Hodnocení '!GW46</f>
        <v>2236996.6277687103</v>
      </c>
      <c r="GX50" s="697">
        <f>'Hodnocení '!GX46</f>
        <v>846629.33977144712</v>
      </c>
      <c r="GY50" s="697">
        <f>'Hodnocení '!GY46</f>
        <v>28093975</v>
      </c>
      <c r="GZ50" s="697">
        <f>'Hodnocení '!GZ46</f>
        <v>4016004.3026968315</v>
      </c>
      <c r="HA50" s="697">
        <f>'Hodnocení '!HA46</f>
        <v>11838145.191237042</v>
      </c>
      <c r="HB50" s="697">
        <f>'Hodnocení '!HB46</f>
        <v>10271504.099015649</v>
      </c>
      <c r="HC50" s="697">
        <f>'Hodnocení '!HC46</f>
        <v>13279000</v>
      </c>
      <c r="HD50" s="697">
        <f>'Hodnocení '!HD46</f>
        <v>3992300.1421770533</v>
      </c>
      <c r="HE50" s="697">
        <f>'Hodnocení '!HE46</f>
        <v>9761700</v>
      </c>
      <c r="HF50" s="697">
        <f>'Hodnocení '!HF46</f>
        <v>2452907</v>
      </c>
      <c r="HG50" s="697">
        <f>'Hodnocení '!HG46</f>
        <v>969165</v>
      </c>
      <c r="HH50" s="697">
        <f>'Hodnocení '!HH46</f>
        <v>3510607.0288166855</v>
      </c>
      <c r="HI50" s="697">
        <f>'Hodnocení '!HI46</f>
        <v>4955686.3688977864</v>
      </c>
      <c r="HJ50" s="697">
        <f>'Hodnocení '!HJ46</f>
        <v>0</v>
      </c>
      <c r="HK50" s="697">
        <f>'Hodnocení '!HK46</f>
        <v>1201800</v>
      </c>
      <c r="HL50" s="697">
        <f>'Hodnocení '!HL46</f>
        <v>43047174.374081343</v>
      </c>
      <c r="HM50" s="697">
        <f>'Hodnocení '!HM46</f>
        <v>24315023.422150649</v>
      </c>
      <c r="HN50" s="697">
        <f>'Hodnocení '!HN46</f>
        <v>773502.96210955526</v>
      </c>
      <c r="HO50" s="697">
        <f>'Hodnocení '!HO46</f>
        <v>0</v>
      </c>
      <c r="HP50" s="697">
        <f>'Hodnocení '!HP46</f>
        <v>33033000</v>
      </c>
      <c r="HQ50" s="697">
        <f>'Hodnocení '!HQ46</f>
        <v>1032559.9409537764</v>
      </c>
      <c r="HR50" s="697">
        <f>'Hodnocení '!HR46</f>
        <v>36614806.545883656</v>
      </c>
      <c r="HS50" s="697">
        <f>'Hodnocení '!HS46</f>
        <v>7195414.637391096</v>
      </c>
      <c r="HT50" s="697">
        <f>'Hodnocení '!HT46</f>
        <v>18595469.590470783</v>
      </c>
      <c r="HU50" s="697">
        <f>'Hodnocení '!HU46</f>
        <v>27484085.005208258</v>
      </c>
      <c r="HV50" s="697">
        <f>'Hodnocení '!HV46</f>
        <v>21508000</v>
      </c>
      <c r="HW50" s="697">
        <f>'Hodnocení '!HW46</f>
        <v>5561920</v>
      </c>
      <c r="HX50" s="697">
        <f>'Hodnocení '!HX46</f>
        <v>25691721.341380894</v>
      </c>
      <c r="HY50" s="697">
        <f>'Hodnocení '!HY46</f>
        <v>20392282.173444685</v>
      </c>
      <c r="HZ50" s="697">
        <f>'Hodnocení '!HZ46</f>
        <v>10920004.97769383</v>
      </c>
      <c r="IA50" s="697">
        <f>'Hodnocení '!IA46</f>
        <v>9979880</v>
      </c>
      <c r="IB50" s="697">
        <f>'Hodnocení '!IB46</f>
        <v>9823113.9004964307</v>
      </c>
      <c r="IC50" s="697">
        <f>'Hodnocení '!IC46</f>
        <v>14489500</v>
      </c>
      <c r="ID50" s="697">
        <f>'Hodnocení '!ID46</f>
        <v>11816000</v>
      </c>
      <c r="IE50" s="697">
        <f>'Hodnocení '!IE46</f>
        <v>19994059.517665572</v>
      </c>
      <c r="IF50" s="697">
        <f>'Hodnocení '!IF46</f>
        <v>17198633.588044822</v>
      </c>
      <c r="IG50" s="697">
        <f>'Hodnocení '!IG46</f>
        <v>5290219.0727247903</v>
      </c>
      <c r="IH50" s="697">
        <f>'Hodnocení '!IH46</f>
        <v>4013505.4274126575</v>
      </c>
      <c r="II50" s="697">
        <f>'Hodnocení '!II46</f>
        <v>19813983.129812181</v>
      </c>
      <c r="IJ50" s="697">
        <f>'Hodnocení '!IJ46</f>
        <v>2183526.9397355039</v>
      </c>
      <c r="IK50" s="697">
        <f>'Hodnocení '!IK46</f>
        <v>3320915</v>
      </c>
      <c r="IL50" s="697">
        <f>'Hodnocení '!IL46</f>
        <v>10265880.700098794</v>
      </c>
      <c r="IM50" s="697">
        <f>'Hodnocení '!IM46</f>
        <v>576689.35844624322</v>
      </c>
      <c r="IN50" s="697">
        <f>'Hodnocení '!IN46</f>
        <v>10983989.105203958</v>
      </c>
      <c r="IO50" s="697">
        <f>'Hodnocení '!IO46</f>
        <v>4175281.5630752468</v>
      </c>
      <c r="IP50" s="697">
        <f>'Hodnocení '!IP46</f>
        <v>22497527.177580558</v>
      </c>
      <c r="IQ50" s="697">
        <f>'Hodnocení '!IQ46</f>
        <v>22486957.282894928</v>
      </c>
      <c r="IR50" s="697">
        <f>'Hodnocení '!IR46</f>
        <v>1066302.6090348614</v>
      </c>
      <c r="IS50" s="697">
        <f>'Hodnocení '!IS46</f>
        <v>55608500</v>
      </c>
      <c r="IT50" s="697">
        <f>'Hodnocení '!IT46</f>
        <v>14347100</v>
      </c>
      <c r="IU50" s="697">
        <f>'Hodnocení '!IU46</f>
        <v>3667436.7806406175</v>
      </c>
      <c r="IV50" s="697">
        <f>'Hodnocení '!IV46</f>
        <v>8866275.6764279809</v>
      </c>
      <c r="IW50" s="697">
        <f>'Hodnocení '!IW46</f>
        <v>14122596.481906652</v>
      </c>
      <c r="IX50" s="697">
        <f>'Hodnocení '!IX46</f>
        <v>2148999.2969357027</v>
      </c>
      <c r="IY50" s="697">
        <f>'Hodnocení '!IY46</f>
        <v>11376964.50882945</v>
      </c>
      <c r="IZ50" s="697">
        <f>'Hodnocení '!IZ46</f>
        <v>25280595.996755749</v>
      </c>
      <c r="JA50" s="697">
        <f>'Hodnocení '!JA46</f>
        <v>3082510.0697293384</v>
      </c>
      <c r="JB50" s="697">
        <f>'Hodnocení '!JB46</f>
        <v>3801963.0001571975</v>
      </c>
      <c r="JC50" s="697">
        <f>'Hodnocení '!JC46</f>
        <v>2169515.4593524667</v>
      </c>
      <c r="JD50" s="697">
        <f>'Hodnocení '!JD46</f>
        <v>6713140.1754739247</v>
      </c>
      <c r="JE50" s="697">
        <f>'Hodnocení '!JE46</f>
        <v>850000</v>
      </c>
      <c r="JF50" s="697">
        <f>'Hodnocení '!JF46</f>
        <v>40477800</v>
      </c>
      <c r="JG50" s="697">
        <f>'Hodnocení '!JG46</f>
        <v>30609469.164951172</v>
      </c>
      <c r="JH50" s="698">
        <f>'Hodnocení '!JH46</f>
        <v>1432360.5197921393</v>
      </c>
      <c r="JI50" s="340">
        <f>'Hodnocení '!JI46</f>
        <v>1505542425.5258696</v>
      </c>
      <c r="JL50" s="307">
        <f t="shared" ref="JL50:JO53" si="41">SUMIFS($C50:$JH50,$C$5:$JH$5,JL$5)</f>
        <v>26563243.997923955</v>
      </c>
      <c r="JM50" s="307">
        <f t="shared" si="41"/>
        <v>457365134.17810804</v>
      </c>
      <c r="JN50" s="307">
        <f t="shared" si="41"/>
        <v>330917890.87589014</v>
      </c>
      <c r="JO50" s="307">
        <f t="shared" si="41"/>
        <v>690696156.47394741</v>
      </c>
      <c r="JP50" s="307">
        <f t="shared" ref="JP50:JP53" si="42">SUM(JL50:JO50)</f>
        <v>1505542425.5258694</v>
      </c>
    </row>
    <row r="51" spans="1:277" ht="15.75" thickBot="1" x14ac:dyDescent="0.3">
      <c r="B51" s="611" t="s">
        <v>2526</v>
      </c>
      <c r="C51" s="696">
        <f>'Hodnocení '!C47</f>
        <v>0</v>
      </c>
      <c r="D51" s="697">
        <f>'Hodnocení '!D47</f>
        <v>0</v>
      </c>
      <c r="E51" s="697">
        <f>'Hodnocení '!E47</f>
        <v>0</v>
      </c>
      <c r="F51" s="697">
        <f>'Hodnocení '!F47</f>
        <v>0</v>
      </c>
      <c r="G51" s="697">
        <f>'Hodnocení '!G47</f>
        <v>0</v>
      </c>
      <c r="H51" s="697">
        <f>'Hodnocení '!H47</f>
        <v>916710.41611130896</v>
      </c>
      <c r="I51" s="697">
        <f>'Hodnocení '!I47</f>
        <v>3162879.4741952131</v>
      </c>
      <c r="J51" s="697">
        <f>'Hodnocení '!J47</f>
        <v>2678115.5483361837</v>
      </c>
      <c r="K51" s="697">
        <f>'Hodnocení '!K47</f>
        <v>0</v>
      </c>
      <c r="L51" s="697">
        <f>'Hodnocení '!L47</f>
        <v>0</v>
      </c>
      <c r="M51" s="697">
        <f>'Hodnocení '!M47</f>
        <v>0</v>
      </c>
      <c r="N51" s="697">
        <f>'Hodnocení '!N47</f>
        <v>0</v>
      </c>
      <c r="O51" s="697">
        <f>'Hodnocení '!O47</f>
        <v>0</v>
      </c>
      <c r="P51" s="697">
        <f>'Hodnocení '!P47</f>
        <v>0</v>
      </c>
      <c r="Q51" s="697">
        <f>'Hodnocení '!Q47</f>
        <v>0</v>
      </c>
      <c r="R51" s="697">
        <f>'Hodnocení '!R47</f>
        <v>0</v>
      </c>
      <c r="S51" s="697">
        <f>'Hodnocení '!S47</f>
        <v>0</v>
      </c>
      <c r="T51" s="697">
        <f>'Hodnocení '!T47</f>
        <v>0</v>
      </c>
      <c r="U51" s="697">
        <f>'Hodnocení '!U47</f>
        <v>0</v>
      </c>
      <c r="V51" s="697">
        <f>'Hodnocení '!V47</f>
        <v>0</v>
      </c>
      <c r="W51" s="697">
        <f>'Hodnocení '!W47</f>
        <v>0</v>
      </c>
      <c r="X51" s="697">
        <f>'Hodnocení '!X47</f>
        <v>0</v>
      </c>
      <c r="Y51" s="697">
        <f>'Hodnocení '!Y47</f>
        <v>0</v>
      </c>
      <c r="Z51" s="697">
        <f>'Hodnocení '!Z47</f>
        <v>0</v>
      </c>
      <c r="AA51" s="697">
        <f>'Hodnocení '!AA47</f>
        <v>0</v>
      </c>
      <c r="AB51" s="697">
        <f>'Hodnocení '!AB47</f>
        <v>0</v>
      </c>
      <c r="AC51" s="697">
        <f>'Hodnocení '!AC47</f>
        <v>0</v>
      </c>
      <c r="AD51" s="697">
        <f>'Hodnocení '!AD47</f>
        <v>0</v>
      </c>
      <c r="AE51" s="697">
        <f>'Hodnocení '!AE47</f>
        <v>1029711</v>
      </c>
      <c r="AF51" s="697">
        <f>'Hodnocení '!AF47</f>
        <v>2104207</v>
      </c>
      <c r="AG51" s="697">
        <f>'Hodnocení '!AG47</f>
        <v>0</v>
      </c>
      <c r="AH51" s="697">
        <f>'Hodnocení '!AH47</f>
        <v>0</v>
      </c>
      <c r="AI51" s="697">
        <f>'Hodnocení '!AI47</f>
        <v>0</v>
      </c>
      <c r="AJ51" s="697">
        <f>'Hodnocení '!AJ47</f>
        <v>0</v>
      </c>
      <c r="AK51" s="697">
        <f>'Hodnocení '!AK47</f>
        <v>0</v>
      </c>
      <c r="AL51" s="697">
        <f>'Hodnocení '!AL47</f>
        <v>0</v>
      </c>
      <c r="AM51" s="697">
        <f>'Hodnocení '!AM47</f>
        <v>0</v>
      </c>
      <c r="AN51" s="697">
        <f>'Hodnocení '!AN47</f>
        <v>0</v>
      </c>
      <c r="AO51" s="697">
        <f>'Hodnocení '!AO47</f>
        <v>0</v>
      </c>
      <c r="AP51" s="697">
        <f>'Hodnocení '!AP47</f>
        <v>0</v>
      </c>
      <c r="AQ51" s="697">
        <f>'Hodnocení '!AQ47</f>
        <v>0</v>
      </c>
      <c r="AR51" s="697">
        <f>'Hodnocení '!AR47</f>
        <v>0</v>
      </c>
      <c r="AS51" s="697">
        <f>'Hodnocení '!AS47</f>
        <v>0</v>
      </c>
      <c r="AT51" s="697">
        <f>'Hodnocení '!AT47</f>
        <v>0</v>
      </c>
      <c r="AU51" s="697">
        <f>'Hodnocení '!AU47</f>
        <v>0</v>
      </c>
      <c r="AV51" s="697">
        <f>'Hodnocení '!AV47</f>
        <v>0</v>
      </c>
      <c r="AW51" s="697">
        <f>'Hodnocení '!AW47</f>
        <v>3343410.5426933127</v>
      </c>
      <c r="AX51" s="697">
        <f>'Hodnocení '!AX47</f>
        <v>0</v>
      </c>
      <c r="AY51" s="697">
        <f>'Hodnocení '!AY47</f>
        <v>0</v>
      </c>
      <c r="AZ51" s="697">
        <f>'Hodnocení '!AZ47</f>
        <v>0</v>
      </c>
      <c r="BA51" s="697">
        <f>'Hodnocení '!BA47</f>
        <v>0</v>
      </c>
      <c r="BB51" s="697">
        <f>'Hodnocení '!BB47</f>
        <v>0</v>
      </c>
      <c r="BC51" s="697">
        <f>'Hodnocení '!BC47</f>
        <v>0</v>
      </c>
      <c r="BD51" s="697">
        <f>'Hodnocení '!BD47</f>
        <v>0</v>
      </c>
      <c r="BE51" s="697">
        <f>'Hodnocení '!BE47</f>
        <v>1290934.3566507786</v>
      </c>
      <c r="BF51" s="697">
        <f>'Hodnocení '!BF47</f>
        <v>0</v>
      </c>
      <c r="BG51" s="697">
        <f>'Hodnocení '!BG47</f>
        <v>0</v>
      </c>
      <c r="BH51" s="697">
        <f>'Hodnocení '!BH47</f>
        <v>0</v>
      </c>
      <c r="BI51" s="697">
        <f>'Hodnocení '!BI47</f>
        <v>0</v>
      </c>
      <c r="BJ51" s="697">
        <f>'Hodnocení '!BJ47</f>
        <v>0</v>
      </c>
      <c r="BK51" s="697">
        <f>'Hodnocení '!BK47</f>
        <v>888000</v>
      </c>
      <c r="BL51" s="697">
        <f>'Hodnocení '!BL47</f>
        <v>0</v>
      </c>
      <c r="BM51" s="697">
        <f>'Hodnocení '!BM47</f>
        <v>0</v>
      </c>
      <c r="BN51" s="697">
        <f>'Hodnocení '!BN47</f>
        <v>0</v>
      </c>
      <c r="BO51" s="697">
        <f>'Hodnocení '!BO47</f>
        <v>0</v>
      </c>
      <c r="BP51" s="697">
        <f>'Hodnocení '!BP47</f>
        <v>0</v>
      </c>
      <c r="BQ51" s="697">
        <f>'Hodnocení '!BQ47</f>
        <v>847233.45560883218</v>
      </c>
      <c r="BR51" s="697">
        <f>'Hodnocení '!BR47</f>
        <v>0</v>
      </c>
      <c r="BS51" s="697">
        <f>'Hodnocení '!BS47</f>
        <v>0</v>
      </c>
      <c r="BT51" s="697">
        <f>'Hodnocení '!BT47</f>
        <v>0</v>
      </c>
      <c r="BU51" s="697">
        <f>'Hodnocení '!BU47</f>
        <v>0</v>
      </c>
      <c r="BV51" s="697">
        <f>'Hodnocení '!BV47</f>
        <v>0</v>
      </c>
      <c r="BW51" s="697">
        <f>'Hodnocení '!BW47</f>
        <v>0</v>
      </c>
      <c r="BX51" s="697">
        <f>'Hodnocení '!BX47</f>
        <v>0</v>
      </c>
      <c r="BY51" s="697">
        <f>'Hodnocení '!BY47</f>
        <v>0</v>
      </c>
      <c r="BZ51" s="697">
        <f>'Hodnocení '!BZ47</f>
        <v>0</v>
      </c>
      <c r="CA51" s="697">
        <f>'Hodnocení '!CA47</f>
        <v>0</v>
      </c>
      <c r="CB51" s="697">
        <f>'Hodnocení '!CB47</f>
        <v>0</v>
      </c>
      <c r="CC51" s="697">
        <f>'Hodnocení '!CC47</f>
        <v>0</v>
      </c>
      <c r="CD51" s="697">
        <f>'Hodnocení '!CD47</f>
        <v>0</v>
      </c>
      <c r="CE51" s="697">
        <f>'Hodnocení '!CE47</f>
        <v>0</v>
      </c>
      <c r="CF51" s="697">
        <f>'Hodnocení '!CF47</f>
        <v>0</v>
      </c>
      <c r="CG51" s="697">
        <f>'Hodnocení '!CG47</f>
        <v>8537422</v>
      </c>
      <c r="CH51" s="697">
        <f>'Hodnocení '!CH47</f>
        <v>3959479.0792496316</v>
      </c>
      <c r="CI51" s="697">
        <f>'Hodnocení '!CI47</f>
        <v>3297218.8114025602</v>
      </c>
      <c r="CJ51" s="697">
        <f>'Hodnocení '!CJ47</f>
        <v>0</v>
      </c>
      <c r="CK51" s="697">
        <f>'Hodnocení '!CK47</f>
        <v>0</v>
      </c>
      <c r="CL51" s="697">
        <f>'Hodnocení '!CL47</f>
        <v>2555360.1512724077</v>
      </c>
      <c r="CM51" s="697">
        <f>'Hodnocení '!CM47</f>
        <v>0</v>
      </c>
      <c r="CN51" s="697">
        <f>'Hodnocení '!CN47</f>
        <v>0</v>
      </c>
      <c r="CO51" s="697">
        <f>'Hodnocení '!CO47</f>
        <v>0</v>
      </c>
      <c r="CP51" s="697">
        <f>'Hodnocení '!CP47</f>
        <v>0</v>
      </c>
      <c r="CQ51" s="697">
        <f>'Hodnocení '!CQ47</f>
        <v>0</v>
      </c>
      <c r="CR51" s="697">
        <f>'Hodnocení '!CR47</f>
        <v>0</v>
      </c>
      <c r="CS51" s="697">
        <f>'Hodnocení '!CS47</f>
        <v>3402237.5858069072</v>
      </c>
      <c r="CT51" s="697">
        <f>'Hodnocení '!CT47</f>
        <v>5929679.8103662794</v>
      </c>
      <c r="CU51" s="697">
        <f>'Hodnocení '!CU47</f>
        <v>0</v>
      </c>
      <c r="CV51" s="697">
        <f>'Hodnocení '!CV47</f>
        <v>0</v>
      </c>
      <c r="CW51" s="697">
        <f>'Hodnocení '!CW47</f>
        <v>0</v>
      </c>
      <c r="CX51" s="697">
        <f>'Hodnocení '!CX47</f>
        <v>0</v>
      </c>
      <c r="CY51" s="697">
        <f>'Hodnocení '!CY47</f>
        <v>0</v>
      </c>
      <c r="CZ51" s="697">
        <f>'Hodnocení '!CZ47</f>
        <v>1003700</v>
      </c>
      <c r="DA51" s="697">
        <f>'Hodnocení '!DA47</f>
        <v>0</v>
      </c>
      <c r="DB51" s="697">
        <f>'Hodnocení '!DB47</f>
        <v>0</v>
      </c>
      <c r="DC51" s="697">
        <f>'Hodnocení '!DC47</f>
        <v>0</v>
      </c>
      <c r="DD51" s="697">
        <f>'Hodnocení '!DD47</f>
        <v>5370629.645727817</v>
      </c>
      <c r="DE51" s="697">
        <f>'Hodnocení '!DE47</f>
        <v>6001592</v>
      </c>
      <c r="DF51" s="697">
        <f>'Hodnocení '!DF47</f>
        <v>0</v>
      </c>
      <c r="DG51" s="697">
        <f>'Hodnocení '!DG47</f>
        <v>0</v>
      </c>
      <c r="DH51" s="697">
        <f>'Hodnocení '!DH47</f>
        <v>1529096.6341313617</v>
      </c>
      <c r="DI51" s="697">
        <f>'Hodnocení '!DI47</f>
        <v>1137805.3840966881</v>
      </c>
      <c r="DJ51" s="697">
        <f>'Hodnocení '!DJ47</f>
        <v>1854835.0236859601</v>
      </c>
      <c r="DK51" s="697">
        <f>'Hodnocení '!DK47</f>
        <v>2577327.818091928</v>
      </c>
      <c r="DL51" s="697">
        <f>'Hodnocení '!DL47</f>
        <v>0</v>
      </c>
      <c r="DM51" s="697">
        <f>'Hodnocení '!DM47</f>
        <v>0</v>
      </c>
      <c r="DN51" s="697">
        <f>'Hodnocení '!DN47</f>
        <v>0</v>
      </c>
      <c r="DO51" s="697">
        <f>'Hodnocení '!DO47</f>
        <v>0</v>
      </c>
      <c r="DP51" s="697">
        <f>'Hodnocení '!DP47</f>
        <v>0</v>
      </c>
      <c r="DQ51" s="697">
        <f>'Hodnocení '!DQ47</f>
        <v>0</v>
      </c>
      <c r="DR51" s="697">
        <f>'Hodnocení '!DR47</f>
        <v>0</v>
      </c>
      <c r="DS51" s="697">
        <f>'Hodnocení '!DS47</f>
        <v>0</v>
      </c>
      <c r="DT51" s="697">
        <f>'Hodnocení '!DT47</f>
        <v>0</v>
      </c>
      <c r="DU51" s="697">
        <f>'Hodnocení '!DU47</f>
        <v>2119508.9633388799</v>
      </c>
      <c r="DV51" s="697">
        <f>'Hodnocení '!DV47</f>
        <v>0</v>
      </c>
      <c r="DW51" s="697">
        <f>'Hodnocení '!DW47</f>
        <v>1463011.5734570101</v>
      </c>
      <c r="DX51" s="697">
        <f>'Hodnocení '!DX47</f>
        <v>4464719.1541079516</v>
      </c>
      <c r="DY51" s="697">
        <f>'Hodnocení '!DY47</f>
        <v>0</v>
      </c>
      <c r="DZ51" s="697">
        <f>'Hodnocení '!DZ47</f>
        <v>0</v>
      </c>
      <c r="EA51" s="697">
        <f>'Hodnocení '!EA47</f>
        <v>0</v>
      </c>
      <c r="EB51" s="697">
        <f>'Hodnocení '!EB47</f>
        <v>0</v>
      </c>
      <c r="EC51" s="697">
        <f>'Hodnocení '!EC47</f>
        <v>0</v>
      </c>
      <c r="ED51" s="697">
        <f>'Hodnocení '!ED47</f>
        <v>0</v>
      </c>
      <c r="EE51" s="697">
        <f>'Hodnocení '!EE47</f>
        <v>0</v>
      </c>
      <c r="EF51" s="697">
        <f>'Hodnocení '!EF47</f>
        <v>0</v>
      </c>
      <c r="EG51" s="697">
        <f>'Hodnocení '!EG47</f>
        <v>0</v>
      </c>
      <c r="EH51" s="697">
        <f>'Hodnocení '!EH47</f>
        <v>0</v>
      </c>
      <c r="EI51" s="697">
        <f>'Hodnocení '!EI47</f>
        <v>0</v>
      </c>
      <c r="EJ51" s="697">
        <f>'Hodnocení '!EJ47</f>
        <v>1254497.1182819521</v>
      </c>
      <c r="EK51" s="697">
        <f>'Hodnocení '!EK47</f>
        <v>0</v>
      </c>
      <c r="EL51" s="697">
        <f>'Hodnocení '!EL47</f>
        <v>0</v>
      </c>
      <c r="EM51" s="697">
        <f>'Hodnocení '!EM47</f>
        <v>0</v>
      </c>
      <c r="EN51" s="697">
        <f>'Hodnocení '!EN47</f>
        <v>0</v>
      </c>
      <c r="EO51" s="697">
        <f>'Hodnocení '!EO47</f>
        <v>0</v>
      </c>
      <c r="EP51" s="697">
        <f>'Hodnocení '!EP47</f>
        <v>0</v>
      </c>
      <c r="EQ51" s="697">
        <f>'Hodnocení '!EQ47</f>
        <v>0</v>
      </c>
      <c r="ER51" s="697">
        <f>'Hodnocení '!ER47</f>
        <v>0</v>
      </c>
      <c r="ES51" s="697">
        <f>'Hodnocení '!ES47</f>
        <v>0</v>
      </c>
      <c r="ET51" s="697">
        <f>'Hodnocení '!ET47</f>
        <v>0</v>
      </c>
      <c r="EU51" s="697">
        <f>'Hodnocení '!EU47</f>
        <v>0</v>
      </c>
      <c r="EV51" s="697">
        <f>'Hodnocení '!EV47</f>
        <v>0</v>
      </c>
      <c r="EW51" s="697">
        <f>'Hodnocení '!EW47</f>
        <v>0</v>
      </c>
      <c r="EX51" s="697">
        <f>'Hodnocení '!EX47</f>
        <v>0</v>
      </c>
      <c r="EY51" s="697">
        <f>'Hodnocení '!EY47</f>
        <v>0</v>
      </c>
      <c r="EZ51" s="697">
        <f>'Hodnocení '!EZ47</f>
        <v>0</v>
      </c>
      <c r="FA51" s="697">
        <f>'Hodnocení '!FA47</f>
        <v>0</v>
      </c>
      <c r="FB51" s="697">
        <f>'Hodnocení '!FB47</f>
        <v>0</v>
      </c>
      <c r="FC51" s="697">
        <f>'Hodnocení '!FC47</f>
        <v>0</v>
      </c>
      <c r="FD51" s="697">
        <f>'Hodnocení '!FD47</f>
        <v>1059104.6825002881</v>
      </c>
      <c r="FE51" s="697">
        <f>'Hodnocení '!FE47</f>
        <v>0</v>
      </c>
      <c r="FF51" s="697">
        <f>'Hodnocení '!FF47</f>
        <v>0</v>
      </c>
      <c r="FG51" s="697">
        <f>'Hodnocení '!FG47</f>
        <v>0</v>
      </c>
      <c r="FH51" s="697">
        <f>'Hodnocení '!FH47</f>
        <v>0</v>
      </c>
      <c r="FI51" s="697">
        <f>'Hodnocení '!FI47</f>
        <v>0</v>
      </c>
      <c r="FJ51" s="697">
        <f>'Hodnocení '!FJ47</f>
        <v>0</v>
      </c>
      <c r="FK51" s="697">
        <f>'Hodnocení '!FK47</f>
        <v>0</v>
      </c>
      <c r="FL51" s="697">
        <f>'Hodnocení '!FL47</f>
        <v>0</v>
      </c>
      <c r="FM51" s="697">
        <f>'Hodnocení '!FM47</f>
        <v>0</v>
      </c>
      <c r="FN51" s="697">
        <f>'Hodnocení '!FN47</f>
        <v>0</v>
      </c>
      <c r="FO51" s="697">
        <f>'Hodnocení '!FO47</f>
        <v>0</v>
      </c>
      <c r="FP51" s="697">
        <f>'Hodnocení '!FP47</f>
        <v>0</v>
      </c>
      <c r="FQ51" s="697">
        <f>'Hodnocení '!FQ47</f>
        <v>0</v>
      </c>
      <c r="FR51" s="697">
        <f>'Hodnocení '!FR47</f>
        <v>2840805.433337939</v>
      </c>
      <c r="FS51" s="697">
        <f>'Hodnocení '!FS47</f>
        <v>0</v>
      </c>
      <c r="FT51" s="697">
        <f>'Hodnocení '!FT47</f>
        <v>0</v>
      </c>
      <c r="FU51" s="697">
        <f>'Hodnocení '!FU47</f>
        <v>0</v>
      </c>
      <c r="FV51" s="697">
        <f>'Hodnocení '!FV47</f>
        <v>0</v>
      </c>
      <c r="FW51" s="697">
        <f>'Hodnocení '!FW47</f>
        <v>0</v>
      </c>
      <c r="FX51" s="697">
        <f>'Hodnocení '!FX47</f>
        <v>0</v>
      </c>
      <c r="FY51" s="697">
        <f>'Hodnocení '!FY47</f>
        <v>0</v>
      </c>
      <c r="FZ51" s="697">
        <f>'Hodnocení '!FZ47</f>
        <v>0</v>
      </c>
      <c r="GA51" s="697">
        <f>'Hodnocení '!GA47</f>
        <v>0</v>
      </c>
      <c r="GB51" s="697">
        <f>'Hodnocení '!GB47</f>
        <v>0</v>
      </c>
      <c r="GC51" s="697">
        <f>'Hodnocení '!GC47</f>
        <v>0</v>
      </c>
      <c r="GD51" s="697">
        <f>'Hodnocení '!GD47</f>
        <v>0</v>
      </c>
      <c r="GE51" s="697">
        <f>'Hodnocení '!GE47</f>
        <v>1229450.065998916</v>
      </c>
      <c r="GF51" s="697">
        <f>'Hodnocení '!GF47</f>
        <v>0</v>
      </c>
      <c r="GG51" s="697">
        <f>'Hodnocení '!GG47</f>
        <v>0</v>
      </c>
      <c r="GH51" s="697">
        <f>'Hodnocení '!GH47</f>
        <v>0</v>
      </c>
      <c r="GI51" s="697">
        <f>'Hodnocení '!GI47</f>
        <v>0</v>
      </c>
      <c r="GJ51" s="697">
        <f>'Hodnocení '!GJ47</f>
        <v>0</v>
      </c>
      <c r="GK51" s="697">
        <f>'Hodnocení '!GK47</f>
        <v>0</v>
      </c>
      <c r="GL51" s="697">
        <f>'Hodnocení '!GL47</f>
        <v>0</v>
      </c>
      <c r="GM51" s="697">
        <f>'Hodnocení '!GM47</f>
        <v>0</v>
      </c>
      <c r="GN51" s="697">
        <f>'Hodnocení '!GN47</f>
        <v>0</v>
      </c>
      <c r="GO51" s="697">
        <f>'Hodnocení '!GO47</f>
        <v>0</v>
      </c>
      <c r="GP51" s="697">
        <f>'Hodnocení '!GP47</f>
        <v>0</v>
      </c>
      <c r="GQ51" s="697">
        <f>'Hodnocení '!GQ47</f>
        <v>0</v>
      </c>
      <c r="GR51" s="697">
        <f>'Hodnocení '!GR47</f>
        <v>0</v>
      </c>
      <c r="GS51" s="697">
        <f>'Hodnocení '!GS47</f>
        <v>0</v>
      </c>
      <c r="GT51" s="697">
        <f>'Hodnocení '!GT47</f>
        <v>0</v>
      </c>
      <c r="GU51" s="697">
        <f>'Hodnocení '!GU47</f>
        <v>0</v>
      </c>
      <c r="GV51" s="697">
        <f>'Hodnocení '!GV47</f>
        <v>0</v>
      </c>
      <c r="GW51" s="697">
        <f>'Hodnocení '!GW47</f>
        <v>0</v>
      </c>
      <c r="GX51" s="697">
        <f>'Hodnocení '!GX47</f>
        <v>0</v>
      </c>
      <c r="GY51" s="697">
        <f>'Hodnocení '!GY47</f>
        <v>0</v>
      </c>
      <c r="GZ51" s="697">
        <f>'Hodnocení '!GZ47</f>
        <v>3222820.7912944802</v>
      </c>
      <c r="HA51" s="697">
        <f>'Hodnocení '!HA47</f>
        <v>0</v>
      </c>
      <c r="HB51" s="697">
        <f>'Hodnocení '!HB47</f>
        <v>0</v>
      </c>
      <c r="HC51" s="697">
        <f>'Hodnocení '!HC47</f>
        <v>0</v>
      </c>
      <c r="HD51" s="697">
        <f>'Hodnocení '!HD47</f>
        <v>0</v>
      </c>
      <c r="HE51" s="697">
        <f>'Hodnocení '!HE47</f>
        <v>0</v>
      </c>
      <c r="HF51" s="697">
        <f>'Hodnocení '!HF47</f>
        <v>0</v>
      </c>
      <c r="HG51" s="697">
        <f>'Hodnocení '!HG47</f>
        <v>0</v>
      </c>
      <c r="HH51" s="697">
        <f>'Hodnocení '!HH47</f>
        <v>0</v>
      </c>
      <c r="HI51" s="697">
        <f>'Hodnocení '!HI47</f>
        <v>0</v>
      </c>
      <c r="HJ51" s="697">
        <f>'Hodnocení '!HJ47</f>
        <v>997908.83102156827</v>
      </c>
      <c r="HK51" s="697">
        <f>'Hodnocení '!HK47</f>
        <v>0</v>
      </c>
      <c r="HL51" s="697">
        <f>'Hodnocení '!HL47</f>
        <v>0</v>
      </c>
      <c r="HM51" s="697">
        <f>'Hodnocení '!HM47</f>
        <v>0</v>
      </c>
      <c r="HN51" s="697">
        <f>'Hodnocení '!HN47</f>
        <v>772003.02506114123</v>
      </c>
      <c r="HO51" s="697">
        <f>'Hodnocení '!HO47</f>
        <v>2080800</v>
      </c>
      <c r="HP51" s="697">
        <f>'Hodnocení '!HP47</f>
        <v>0</v>
      </c>
      <c r="HQ51" s="697">
        <f>'Hodnocení '!HQ47</f>
        <v>0</v>
      </c>
      <c r="HR51" s="697">
        <f>'Hodnocení '!HR47</f>
        <v>0</v>
      </c>
      <c r="HS51" s="697">
        <f>'Hodnocení '!HS47</f>
        <v>0</v>
      </c>
      <c r="HT51" s="697">
        <f>'Hodnocení '!HT47</f>
        <v>0</v>
      </c>
      <c r="HU51" s="697">
        <f>'Hodnocení '!HU47</f>
        <v>0</v>
      </c>
      <c r="HV51" s="697">
        <f>'Hodnocení '!HV47</f>
        <v>0</v>
      </c>
      <c r="HW51" s="697">
        <f>'Hodnocení '!HW47</f>
        <v>0</v>
      </c>
      <c r="HX51" s="697">
        <f>'Hodnocení '!HX47</f>
        <v>0</v>
      </c>
      <c r="HY51" s="697">
        <f>'Hodnocení '!HY47</f>
        <v>0</v>
      </c>
      <c r="HZ51" s="697">
        <f>'Hodnocení '!HZ47</f>
        <v>0</v>
      </c>
      <c r="IA51" s="697">
        <f>'Hodnocení '!IA47</f>
        <v>0</v>
      </c>
      <c r="IB51" s="697">
        <f>'Hodnocení '!IB47</f>
        <v>0</v>
      </c>
      <c r="IC51" s="697">
        <f>'Hodnocení '!IC47</f>
        <v>0</v>
      </c>
      <c r="ID51" s="697">
        <f>'Hodnocení '!ID47</f>
        <v>0</v>
      </c>
      <c r="IE51" s="697">
        <f>'Hodnocení '!IE47</f>
        <v>0</v>
      </c>
      <c r="IF51" s="697">
        <f>'Hodnocení '!IF47</f>
        <v>0</v>
      </c>
      <c r="IG51" s="697">
        <f>'Hodnocení '!IG47</f>
        <v>0</v>
      </c>
      <c r="IH51" s="697">
        <f>'Hodnocení '!IH47</f>
        <v>0</v>
      </c>
      <c r="II51" s="697">
        <f>'Hodnocení '!II47</f>
        <v>0</v>
      </c>
      <c r="IJ51" s="697">
        <f>'Hodnocení '!IJ47</f>
        <v>0</v>
      </c>
      <c r="IK51" s="697">
        <f>'Hodnocení '!IK47</f>
        <v>2511960</v>
      </c>
      <c r="IL51" s="697">
        <f>'Hodnocení '!IL47</f>
        <v>0</v>
      </c>
      <c r="IM51" s="697">
        <f>'Hodnocení '!IM47</f>
        <v>0</v>
      </c>
      <c r="IN51" s="697">
        <f>'Hodnocení '!IN47</f>
        <v>0</v>
      </c>
      <c r="IO51" s="697">
        <f>'Hodnocení '!IO47</f>
        <v>0</v>
      </c>
      <c r="IP51" s="697">
        <f>'Hodnocení '!IP47</f>
        <v>0</v>
      </c>
      <c r="IQ51" s="697">
        <f>'Hodnocení '!IQ47</f>
        <v>0</v>
      </c>
      <c r="IR51" s="697">
        <f>'Hodnocení '!IR47</f>
        <v>0</v>
      </c>
      <c r="IS51" s="697">
        <f>'Hodnocení '!IS47</f>
        <v>0</v>
      </c>
      <c r="IT51" s="697">
        <f>'Hodnocení '!IT47</f>
        <v>0</v>
      </c>
      <c r="IU51" s="697">
        <f>'Hodnocení '!IU47</f>
        <v>0</v>
      </c>
      <c r="IV51" s="697">
        <f>'Hodnocení '!IV47</f>
        <v>0</v>
      </c>
      <c r="IW51" s="697">
        <f>'Hodnocení '!IW47</f>
        <v>0</v>
      </c>
      <c r="IX51" s="697">
        <f>'Hodnocení '!IX47</f>
        <v>0</v>
      </c>
      <c r="IY51" s="697">
        <f>'Hodnocení '!IY47</f>
        <v>0</v>
      </c>
      <c r="IZ51" s="697">
        <f>'Hodnocení '!IZ47</f>
        <v>0</v>
      </c>
      <c r="JA51" s="697">
        <f>'Hodnocení '!JA47</f>
        <v>0</v>
      </c>
      <c r="JB51" s="697">
        <f>'Hodnocení '!JB47</f>
        <v>0</v>
      </c>
      <c r="JC51" s="697">
        <f>'Hodnocení '!JC47</f>
        <v>0</v>
      </c>
      <c r="JD51" s="697">
        <f>'Hodnocení '!JD47</f>
        <v>0</v>
      </c>
      <c r="JE51" s="697">
        <f>'Hodnocení '!JE47</f>
        <v>0</v>
      </c>
      <c r="JF51" s="697">
        <f>'Hodnocení '!JF47</f>
        <v>0</v>
      </c>
      <c r="JG51" s="697">
        <f>'Hodnocení '!JG47</f>
        <v>0</v>
      </c>
      <c r="JH51" s="698">
        <f>'Hodnocení '!JH47</f>
        <v>0</v>
      </c>
      <c r="JI51" s="340">
        <f>'Hodnocení '!JI47</f>
        <v>87434175.375827298</v>
      </c>
      <c r="JL51" s="307">
        <f t="shared" si="41"/>
        <v>0</v>
      </c>
      <c r="JM51" s="307">
        <f t="shared" si="41"/>
        <v>72719322.546612963</v>
      </c>
      <c r="JN51" s="307">
        <f t="shared" si="41"/>
        <v>9350089.8041531909</v>
      </c>
      <c r="JO51" s="307">
        <f t="shared" si="41"/>
        <v>5364763.0250611417</v>
      </c>
      <c r="JP51" s="307">
        <f t="shared" si="42"/>
        <v>87434175.375827298</v>
      </c>
      <c r="JQ51" s="591"/>
    </row>
    <row r="52" spans="1:277" ht="15.75" thickBot="1" x14ac:dyDescent="0.3">
      <c r="B52" s="871" t="s">
        <v>2521</v>
      </c>
      <c r="C52" s="696">
        <f>'Hodnocení '!C48</f>
        <v>0</v>
      </c>
      <c r="D52" s="697">
        <f>'Hodnocení '!D48</f>
        <v>0</v>
      </c>
      <c r="E52" s="697">
        <f>'Hodnocení '!E48</f>
        <v>0</v>
      </c>
      <c r="F52" s="697">
        <f>'Hodnocení '!F48</f>
        <v>0</v>
      </c>
      <c r="G52" s="697">
        <f>'Hodnocení '!G48</f>
        <v>0</v>
      </c>
      <c r="H52" s="697">
        <f>'Hodnocení '!H48</f>
        <v>0</v>
      </c>
      <c r="I52" s="697">
        <f>'Hodnocení '!I48</f>
        <v>0</v>
      </c>
      <c r="J52" s="697">
        <f>'Hodnocení '!J48</f>
        <v>0</v>
      </c>
      <c r="K52" s="697">
        <f>'Hodnocení '!K48</f>
        <v>0</v>
      </c>
      <c r="L52" s="697">
        <f>'Hodnocení '!L48</f>
        <v>0</v>
      </c>
      <c r="M52" s="697">
        <f>'Hodnocení '!M48</f>
        <v>0</v>
      </c>
      <c r="N52" s="697">
        <f>'Hodnocení '!N48</f>
        <v>0</v>
      </c>
      <c r="O52" s="697">
        <f>'Hodnocení '!O48</f>
        <v>0</v>
      </c>
      <c r="P52" s="697">
        <f>'Hodnocení '!P48</f>
        <v>0</v>
      </c>
      <c r="Q52" s="697">
        <f>'Hodnocení '!Q48</f>
        <v>0</v>
      </c>
      <c r="R52" s="697">
        <f>'Hodnocení '!R48</f>
        <v>0</v>
      </c>
      <c r="S52" s="697">
        <f>'Hodnocení '!S48</f>
        <v>0</v>
      </c>
      <c r="T52" s="697">
        <f>'Hodnocení '!T48</f>
        <v>0</v>
      </c>
      <c r="U52" s="697">
        <f>'Hodnocení '!U48</f>
        <v>0</v>
      </c>
      <c r="V52" s="697">
        <f>'Hodnocení '!V48</f>
        <v>0</v>
      </c>
      <c r="W52" s="697">
        <f>'Hodnocení '!W48</f>
        <v>0</v>
      </c>
      <c r="X52" s="697">
        <f>'Hodnocení '!X48</f>
        <v>0</v>
      </c>
      <c r="Y52" s="697">
        <f>'Hodnocení '!Y48</f>
        <v>0</v>
      </c>
      <c r="Z52" s="697">
        <f>'Hodnocení '!Z48</f>
        <v>0</v>
      </c>
      <c r="AA52" s="697">
        <f>'Hodnocení '!AA48</f>
        <v>0</v>
      </c>
      <c r="AB52" s="697">
        <f>'Hodnocení '!AB48</f>
        <v>0</v>
      </c>
      <c r="AC52" s="697">
        <f>'Hodnocení '!AC48</f>
        <v>0</v>
      </c>
      <c r="AD52" s="697">
        <f>'Hodnocení '!AD48</f>
        <v>0</v>
      </c>
      <c r="AE52" s="697">
        <f>'Hodnocení '!AE48</f>
        <v>0</v>
      </c>
      <c r="AF52" s="697">
        <f>'Hodnocení '!AF48</f>
        <v>0</v>
      </c>
      <c r="AG52" s="697">
        <f>'Hodnocení '!AG48</f>
        <v>0</v>
      </c>
      <c r="AH52" s="697">
        <f>'Hodnocení '!AH48</f>
        <v>0</v>
      </c>
      <c r="AI52" s="697">
        <f>'Hodnocení '!AI48</f>
        <v>0</v>
      </c>
      <c r="AJ52" s="697">
        <f>'Hodnocení '!AJ48</f>
        <v>0</v>
      </c>
      <c r="AK52" s="697">
        <f>'Hodnocení '!AK48</f>
        <v>0</v>
      </c>
      <c r="AL52" s="697">
        <f>'Hodnocení '!AL48</f>
        <v>0</v>
      </c>
      <c r="AM52" s="697">
        <f>'Hodnocení '!AM48</f>
        <v>0</v>
      </c>
      <c r="AN52" s="697">
        <f>'Hodnocení '!AN48</f>
        <v>0</v>
      </c>
      <c r="AO52" s="697">
        <f>'Hodnocení '!AO48</f>
        <v>0</v>
      </c>
      <c r="AP52" s="697">
        <f>'Hodnocení '!AP48</f>
        <v>0</v>
      </c>
      <c r="AQ52" s="697">
        <f>'Hodnocení '!AQ48</f>
        <v>0</v>
      </c>
      <c r="AR52" s="697">
        <f>'Hodnocení '!AR48</f>
        <v>0</v>
      </c>
      <c r="AS52" s="697">
        <f>'Hodnocení '!AS48</f>
        <v>0</v>
      </c>
      <c r="AT52" s="697">
        <f>'Hodnocení '!AT48</f>
        <v>0</v>
      </c>
      <c r="AU52" s="697">
        <f>'Hodnocení '!AU48</f>
        <v>0</v>
      </c>
      <c r="AV52" s="697">
        <f>'Hodnocení '!AV48</f>
        <v>0</v>
      </c>
      <c r="AW52" s="697">
        <f>'Hodnocení '!AW48</f>
        <v>0</v>
      </c>
      <c r="AX52" s="697">
        <f>'Hodnocení '!AX48</f>
        <v>0</v>
      </c>
      <c r="AY52" s="697">
        <f>'Hodnocení '!AY48</f>
        <v>0</v>
      </c>
      <c r="AZ52" s="697">
        <f>'Hodnocení '!AZ48</f>
        <v>0</v>
      </c>
      <c r="BA52" s="697">
        <f>'Hodnocení '!BA48</f>
        <v>0</v>
      </c>
      <c r="BB52" s="697">
        <f>'Hodnocení '!BB48</f>
        <v>0</v>
      </c>
      <c r="BC52" s="697">
        <f>'Hodnocení '!BC48</f>
        <v>0</v>
      </c>
      <c r="BD52" s="697">
        <f>'Hodnocení '!BD48</f>
        <v>0</v>
      </c>
      <c r="BE52" s="697">
        <f>'Hodnocení '!BE48</f>
        <v>0</v>
      </c>
      <c r="BF52" s="697">
        <f>'Hodnocení '!BF48</f>
        <v>0</v>
      </c>
      <c r="BG52" s="697">
        <f>'Hodnocení '!BG48</f>
        <v>0</v>
      </c>
      <c r="BH52" s="697">
        <f>'Hodnocení '!BH48</f>
        <v>0</v>
      </c>
      <c r="BI52" s="697">
        <f>'Hodnocení '!BI48</f>
        <v>0</v>
      </c>
      <c r="BJ52" s="697">
        <f>'Hodnocení '!BJ48</f>
        <v>0</v>
      </c>
      <c r="BK52" s="697">
        <f>'Hodnocení '!BK48</f>
        <v>0</v>
      </c>
      <c r="BL52" s="697">
        <f>'Hodnocení '!BL48</f>
        <v>0</v>
      </c>
      <c r="BM52" s="697">
        <f>'Hodnocení '!BM48</f>
        <v>0</v>
      </c>
      <c r="BN52" s="697">
        <f>'Hodnocení '!BN48</f>
        <v>0</v>
      </c>
      <c r="BO52" s="697">
        <f>'Hodnocení '!BO48</f>
        <v>0</v>
      </c>
      <c r="BP52" s="697">
        <f>'Hodnocení '!BP48</f>
        <v>0</v>
      </c>
      <c r="BQ52" s="697">
        <f>'Hodnocení '!BQ48</f>
        <v>0</v>
      </c>
      <c r="BR52" s="697">
        <f>'Hodnocení '!BR48</f>
        <v>0</v>
      </c>
      <c r="BS52" s="697">
        <f>'Hodnocení '!BS48</f>
        <v>0</v>
      </c>
      <c r="BT52" s="697">
        <f>'Hodnocení '!BT48</f>
        <v>0</v>
      </c>
      <c r="BU52" s="697">
        <f>'Hodnocení '!BU48</f>
        <v>0</v>
      </c>
      <c r="BV52" s="697">
        <f>'Hodnocení '!BV48</f>
        <v>0</v>
      </c>
      <c r="BW52" s="697">
        <f>'Hodnocení '!BW48</f>
        <v>0</v>
      </c>
      <c r="BX52" s="697">
        <f>'Hodnocení '!BX48</f>
        <v>0</v>
      </c>
      <c r="BY52" s="697">
        <f>'Hodnocení '!BY48</f>
        <v>0</v>
      </c>
      <c r="BZ52" s="697">
        <f>'Hodnocení '!BZ48</f>
        <v>0</v>
      </c>
      <c r="CA52" s="697">
        <f>'Hodnocení '!CA48</f>
        <v>0</v>
      </c>
      <c r="CB52" s="697">
        <f>'Hodnocení '!CB48</f>
        <v>0</v>
      </c>
      <c r="CC52" s="697">
        <f>'Hodnocení '!CC48</f>
        <v>0</v>
      </c>
      <c r="CD52" s="697">
        <f>'Hodnocení '!CD48</f>
        <v>0</v>
      </c>
      <c r="CE52" s="697">
        <f>'Hodnocení '!CE48</f>
        <v>0</v>
      </c>
      <c r="CF52" s="697">
        <f>'Hodnocení '!CF48</f>
        <v>0</v>
      </c>
      <c r="CG52" s="697">
        <f>'Hodnocení '!CG48</f>
        <v>0</v>
      </c>
      <c r="CH52" s="697">
        <f>'Hodnocení '!CH48</f>
        <v>0</v>
      </c>
      <c r="CI52" s="697">
        <f>'Hodnocení '!CI48</f>
        <v>0</v>
      </c>
      <c r="CJ52" s="697">
        <f>'Hodnocení '!CJ48</f>
        <v>0</v>
      </c>
      <c r="CK52" s="697">
        <f>'Hodnocení '!CK48</f>
        <v>0</v>
      </c>
      <c r="CL52" s="697">
        <f>'Hodnocení '!CL48</f>
        <v>0</v>
      </c>
      <c r="CM52" s="697">
        <f>'Hodnocení '!CM48</f>
        <v>0</v>
      </c>
      <c r="CN52" s="697">
        <f>'Hodnocení '!CN48</f>
        <v>0</v>
      </c>
      <c r="CO52" s="697">
        <f>'Hodnocení '!CO48</f>
        <v>0</v>
      </c>
      <c r="CP52" s="697">
        <f>'Hodnocení '!CP48</f>
        <v>0</v>
      </c>
      <c r="CQ52" s="697">
        <f>'Hodnocení '!CQ48</f>
        <v>0</v>
      </c>
      <c r="CR52" s="697">
        <f>'Hodnocení '!CR48</f>
        <v>0</v>
      </c>
      <c r="CS52" s="697">
        <f>'Hodnocení '!CS48</f>
        <v>0</v>
      </c>
      <c r="CT52" s="697">
        <f>'Hodnocení '!CT48</f>
        <v>0</v>
      </c>
      <c r="CU52" s="697">
        <f>'Hodnocení '!CU48</f>
        <v>0</v>
      </c>
      <c r="CV52" s="697">
        <f>'Hodnocení '!CV48</f>
        <v>0</v>
      </c>
      <c r="CW52" s="697">
        <f>'Hodnocení '!CW48</f>
        <v>0</v>
      </c>
      <c r="CX52" s="697">
        <f>'Hodnocení '!CX48</f>
        <v>0</v>
      </c>
      <c r="CY52" s="697">
        <f>'Hodnocení '!CY48</f>
        <v>0</v>
      </c>
      <c r="CZ52" s="697">
        <f>'Hodnocení '!CZ48</f>
        <v>0</v>
      </c>
      <c r="DA52" s="697">
        <f>'Hodnocení '!DA48</f>
        <v>0</v>
      </c>
      <c r="DB52" s="697">
        <f>'Hodnocení '!DB48</f>
        <v>0</v>
      </c>
      <c r="DC52" s="697">
        <f>'Hodnocení '!DC48</f>
        <v>0</v>
      </c>
      <c r="DD52" s="697">
        <f>'Hodnocení '!DD48</f>
        <v>0</v>
      </c>
      <c r="DE52" s="697">
        <f>'Hodnocení '!DE48</f>
        <v>0</v>
      </c>
      <c r="DF52" s="697">
        <f>'Hodnocení '!DF48</f>
        <v>0</v>
      </c>
      <c r="DG52" s="697">
        <f>'Hodnocení '!DG48</f>
        <v>0</v>
      </c>
      <c r="DH52" s="697">
        <f>'Hodnocení '!DH48</f>
        <v>0</v>
      </c>
      <c r="DI52" s="697">
        <f>'Hodnocení '!DI48</f>
        <v>0</v>
      </c>
      <c r="DJ52" s="697">
        <f>'Hodnocení '!DJ48</f>
        <v>0</v>
      </c>
      <c r="DK52" s="697">
        <f>'Hodnocení '!DK48</f>
        <v>0</v>
      </c>
      <c r="DL52" s="697">
        <f>'Hodnocení '!DL48</f>
        <v>0</v>
      </c>
      <c r="DM52" s="697">
        <f>'Hodnocení '!DM48</f>
        <v>0</v>
      </c>
      <c r="DN52" s="697">
        <f>'Hodnocení '!DN48</f>
        <v>0</v>
      </c>
      <c r="DO52" s="697">
        <f>'Hodnocení '!DO48</f>
        <v>0</v>
      </c>
      <c r="DP52" s="697">
        <f>'Hodnocení '!DP48</f>
        <v>0</v>
      </c>
      <c r="DQ52" s="697">
        <f>'Hodnocení '!DQ48</f>
        <v>0</v>
      </c>
      <c r="DR52" s="697">
        <f>'Hodnocení '!DR48</f>
        <v>0</v>
      </c>
      <c r="DS52" s="697">
        <f>'Hodnocení '!DS48</f>
        <v>0</v>
      </c>
      <c r="DT52" s="697">
        <f>'Hodnocení '!DT48</f>
        <v>0</v>
      </c>
      <c r="DU52" s="697">
        <f>'Hodnocení '!DU48</f>
        <v>0</v>
      </c>
      <c r="DV52" s="697">
        <f>'Hodnocení '!DV48</f>
        <v>0</v>
      </c>
      <c r="DW52" s="697">
        <f>'Hodnocení '!DW48</f>
        <v>0</v>
      </c>
      <c r="DX52" s="697">
        <f>'Hodnocení '!DX48</f>
        <v>0</v>
      </c>
      <c r="DY52" s="697">
        <f>'Hodnocení '!DY48</f>
        <v>0</v>
      </c>
      <c r="DZ52" s="697">
        <f>'Hodnocení '!DZ48</f>
        <v>0</v>
      </c>
      <c r="EA52" s="697">
        <f>'Hodnocení '!EA48</f>
        <v>0</v>
      </c>
      <c r="EB52" s="697">
        <f>'Hodnocení '!EB48</f>
        <v>0</v>
      </c>
      <c r="EC52" s="697">
        <f>'Hodnocení '!EC48</f>
        <v>0</v>
      </c>
      <c r="ED52" s="697">
        <f>'Hodnocení '!ED48</f>
        <v>0</v>
      </c>
      <c r="EE52" s="697">
        <f>'Hodnocení '!EE48</f>
        <v>0</v>
      </c>
      <c r="EF52" s="697">
        <f>'Hodnocení '!EF48</f>
        <v>0</v>
      </c>
      <c r="EG52" s="697">
        <f>'Hodnocení '!EG48</f>
        <v>0</v>
      </c>
      <c r="EH52" s="697">
        <f>'Hodnocení '!EH48</f>
        <v>0</v>
      </c>
      <c r="EI52" s="697">
        <f>'Hodnocení '!EI48</f>
        <v>0</v>
      </c>
      <c r="EJ52" s="697">
        <f>'Hodnocení '!EJ48</f>
        <v>0</v>
      </c>
      <c r="EK52" s="697">
        <f>'Hodnocení '!EK48</f>
        <v>0</v>
      </c>
      <c r="EL52" s="697">
        <f>'Hodnocení '!EL48</f>
        <v>0</v>
      </c>
      <c r="EM52" s="697">
        <f>'Hodnocení '!EM48</f>
        <v>0</v>
      </c>
      <c r="EN52" s="697">
        <f>'Hodnocení '!EN48</f>
        <v>0</v>
      </c>
      <c r="EO52" s="697">
        <f>'Hodnocení '!EO48</f>
        <v>0</v>
      </c>
      <c r="EP52" s="697">
        <f>'Hodnocení '!EP48</f>
        <v>0</v>
      </c>
      <c r="EQ52" s="697">
        <f>'Hodnocení '!EQ48</f>
        <v>0</v>
      </c>
      <c r="ER52" s="697">
        <f>'Hodnocení '!ER48</f>
        <v>0</v>
      </c>
      <c r="ES52" s="697">
        <f>'Hodnocení '!ES48</f>
        <v>0</v>
      </c>
      <c r="ET52" s="697">
        <f>'Hodnocení '!ET48</f>
        <v>0</v>
      </c>
      <c r="EU52" s="697">
        <f>'Hodnocení '!EU48</f>
        <v>0</v>
      </c>
      <c r="EV52" s="697">
        <f>'Hodnocení '!EV48</f>
        <v>0</v>
      </c>
      <c r="EW52" s="697">
        <f>'Hodnocení '!EW48</f>
        <v>0</v>
      </c>
      <c r="EX52" s="697">
        <f>'Hodnocení '!EX48</f>
        <v>0</v>
      </c>
      <c r="EY52" s="697">
        <f>'Hodnocení '!EY48</f>
        <v>0</v>
      </c>
      <c r="EZ52" s="697">
        <f>'Hodnocení '!EZ48</f>
        <v>0</v>
      </c>
      <c r="FA52" s="697">
        <f>'Hodnocení '!FA48</f>
        <v>0</v>
      </c>
      <c r="FB52" s="697">
        <f>'Hodnocení '!FB48</f>
        <v>0</v>
      </c>
      <c r="FC52" s="697">
        <f>'Hodnocení '!FC48</f>
        <v>0</v>
      </c>
      <c r="FD52" s="697">
        <f>'Hodnocení '!FD48</f>
        <v>0</v>
      </c>
      <c r="FE52" s="697">
        <f>'Hodnocení '!FE48</f>
        <v>0</v>
      </c>
      <c r="FF52" s="697">
        <f>'Hodnocení '!FF48</f>
        <v>0</v>
      </c>
      <c r="FG52" s="697">
        <f>'Hodnocení '!FG48</f>
        <v>0</v>
      </c>
      <c r="FH52" s="697">
        <f>'Hodnocení '!FH48</f>
        <v>0</v>
      </c>
      <c r="FI52" s="697">
        <f>'Hodnocení '!FI48</f>
        <v>0</v>
      </c>
      <c r="FJ52" s="697">
        <f>'Hodnocení '!FJ48</f>
        <v>0</v>
      </c>
      <c r="FK52" s="697">
        <f>'Hodnocení '!FK48</f>
        <v>0</v>
      </c>
      <c r="FL52" s="697">
        <f>'Hodnocení '!FL48</f>
        <v>0</v>
      </c>
      <c r="FM52" s="697">
        <f>'Hodnocení '!FM48</f>
        <v>0</v>
      </c>
      <c r="FN52" s="697">
        <f>'Hodnocení '!FN48</f>
        <v>0</v>
      </c>
      <c r="FO52" s="697">
        <f>'Hodnocení '!FO48</f>
        <v>0</v>
      </c>
      <c r="FP52" s="697">
        <f>'Hodnocení '!FP48</f>
        <v>0</v>
      </c>
      <c r="FQ52" s="697">
        <f>'Hodnocení '!FQ48</f>
        <v>0</v>
      </c>
      <c r="FR52" s="697">
        <f>'Hodnocení '!FR48</f>
        <v>0</v>
      </c>
      <c r="FS52" s="697">
        <f>'Hodnocení '!FS48</f>
        <v>0</v>
      </c>
      <c r="FT52" s="697">
        <f>'Hodnocení '!FT48</f>
        <v>0</v>
      </c>
      <c r="FU52" s="697">
        <f>'Hodnocení '!FU48</f>
        <v>0</v>
      </c>
      <c r="FV52" s="697">
        <f>'Hodnocení '!FV48</f>
        <v>0</v>
      </c>
      <c r="FW52" s="697">
        <f>'Hodnocení '!FW48</f>
        <v>0</v>
      </c>
      <c r="FX52" s="697">
        <f>'Hodnocení '!FX48</f>
        <v>0</v>
      </c>
      <c r="FY52" s="697">
        <f>'Hodnocení '!FY48</f>
        <v>0</v>
      </c>
      <c r="FZ52" s="697">
        <f>'Hodnocení '!FZ48</f>
        <v>0</v>
      </c>
      <c r="GA52" s="697">
        <f>'Hodnocení '!GA48</f>
        <v>0</v>
      </c>
      <c r="GB52" s="697">
        <f>'Hodnocení '!GB48</f>
        <v>0</v>
      </c>
      <c r="GC52" s="697">
        <f>'Hodnocení '!GC48</f>
        <v>0</v>
      </c>
      <c r="GD52" s="697">
        <f>'Hodnocení '!GD48</f>
        <v>0</v>
      </c>
      <c r="GE52" s="697">
        <f>'Hodnocení '!GE48</f>
        <v>0</v>
      </c>
      <c r="GF52" s="697">
        <f>'Hodnocení '!GF48</f>
        <v>0</v>
      </c>
      <c r="GG52" s="697">
        <f>'Hodnocení '!GG48</f>
        <v>0</v>
      </c>
      <c r="GH52" s="697">
        <f>'Hodnocení '!GH48</f>
        <v>0</v>
      </c>
      <c r="GI52" s="697">
        <f>'Hodnocení '!GI48</f>
        <v>0</v>
      </c>
      <c r="GJ52" s="697">
        <f>'Hodnocení '!GJ48</f>
        <v>0</v>
      </c>
      <c r="GK52" s="697">
        <f>'Hodnocení '!GK48</f>
        <v>0</v>
      </c>
      <c r="GL52" s="697">
        <f>'Hodnocení '!GL48</f>
        <v>0</v>
      </c>
      <c r="GM52" s="697">
        <f>'Hodnocení '!GM48</f>
        <v>0</v>
      </c>
      <c r="GN52" s="697">
        <f>'Hodnocení '!GN48</f>
        <v>0</v>
      </c>
      <c r="GO52" s="697">
        <f>'Hodnocení '!GO48</f>
        <v>0</v>
      </c>
      <c r="GP52" s="697">
        <f>'Hodnocení '!GP48</f>
        <v>0</v>
      </c>
      <c r="GQ52" s="697">
        <f>'Hodnocení '!GQ48</f>
        <v>0</v>
      </c>
      <c r="GR52" s="697">
        <f>'Hodnocení '!GR48</f>
        <v>0</v>
      </c>
      <c r="GS52" s="697">
        <f>'Hodnocení '!GS48</f>
        <v>0</v>
      </c>
      <c r="GT52" s="697">
        <f>'Hodnocení '!GT48</f>
        <v>0</v>
      </c>
      <c r="GU52" s="697">
        <f>'Hodnocení '!GU48</f>
        <v>0</v>
      </c>
      <c r="GV52" s="697">
        <f>'Hodnocení '!GV48</f>
        <v>0</v>
      </c>
      <c r="GW52" s="697">
        <f>'Hodnocení '!GW48</f>
        <v>0</v>
      </c>
      <c r="GX52" s="697">
        <f>'Hodnocení '!GX48</f>
        <v>0</v>
      </c>
      <c r="GY52" s="697">
        <f>'Hodnocení '!GY48</f>
        <v>0</v>
      </c>
      <c r="GZ52" s="697">
        <f>'Hodnocení '!GZ48</f>
        <v>0</v>
      </c>
      <c r="HA52" s="697">
        <f>'Hodnocení '!HA48</f>
        <v>0</v>
      </c>
      <c r="HB52" s="697">
        <f>'Hodnocení '!HB48</f>
        <v>0</v>
      </c>
      <c r="HC52" s="697">
        <f>'Hodnocení '!HC48</f>
        <v>0</v>
      </c>
      <c r="HD52" s="697">
        <f>'Hodnocení '!HD48</f>
        <v>0</v>
      </c>
      <c r="HE52" s="697">
        <f>'Hodnocení '!HE48</f>
        <v>0</v>
      </c>
      <c r="HF52" s="697">
        <f>'Hodnocení '!HF48</f>
        <v>0</v>
      </c>
      <c r="HG52" s="697">
        <f>'Hodnocení '!HG48</f>
        <v>0</v>
      </c>
      <c r="HH52" s="697">
        <f>'Hodnocení '!HH48</f>
        <v>0</v>
      </c>
      <c r="HI52" s="697">
        <f>'Hodnocení '!HI48</f>
        <v>0</v>
      </c>
      <c r="HJ52" s="697">
        <f>'Hodnocení '!HJ48</f>
        <v>0</v>
      </c>
      <c r="HK52" s="697">
        <f>'Hodnocení '!HK48</f>
        <v>0</v>
      </c>
      <c r="HL52" s="574">
        <v>15096000</v>
      </c>
      <c r="HM52" s="574">
        <v>8554400</v>
      </c>
      <c r="HN52" s="574">
        <v>503200</v>
      </c>
      <c r="HO52" s="574">
        <v>1006400</v>
      </c>
      <c r="HP52" s="574">
        <v>10657000</v>
      </c>
      <c r="HQ52" s="574">
        <v>648920</v>
      </c>
      <c r="HR52" s="574">
        <v>12978400</v>
      </c>
      <c r="HS52" s="574">
        <v>2595680</v>
      </c>
      <c r="HT52" s="574">
        <v>7940000</v>
      </c>
      <c r="HU52" s="574">
        <v>6857000</v>
      </c>
      <c r="HV52" s="574">
        <v>6921000</v>
      </c>
      <c r="HW52" s="574">
        <v>2282600</v>
      </c>
      <c r="HX52" s="574">
        <v>9130400</v>
      </c>
      <c r="HY52" s="574">
        <v>8689000</v>
      </c>
      <c r="HZ52" s="574">
        <v>3991000</v>
      </c>
      <c r="IA52" s="574">
        <v>3366000</v>
      </c>
      <c r="IB52" s="574">
        <v>3600000</v>
      </c>
      <c r="IC52" s="574">
        <v>5016000</v>
      </c>
      <c r="ID52" s="574">
        <v>3344000</v>
      </c>
      <c r="IE52" s="574">
        <v>5511000</v>
      </c>
      <c r="IF52" s="574">
        <v>7962157</v>
      </c>
      <c r="IG52" s="574">
        <v>2456843</v>
      </c>
      <c r="IH52" s="574">
        <v>1816100</v>
      </c>
      <c r="II52" s="574">
        <v>9359900</v>
      </c>
      <c r="IJ52" s="574">
        <v>1257300</v>
      </c>
      <c r="IK52" s="574">
        <v>1536700</v>
      </c>
      <c r="IL52" s="574">
        <v>3303000</v>
      </c>
      <c r="IM52" s="574">
        <v>200640</v>
      </c>
      <c r="IN52" s="574">
        <v>3511200</v>
      </c>
      <c r="IO52" s="574">
        <v>1304160</v>
      </c>
      <c r="IP52" s="574">
        <v>8472000</v>
      </c>
      <c r="IQ52" s="574">
        <v>8997450</v>
      </c>
      <c r="IR52" s="574">
        <v>473550</v>
      </c>
      <c r="IS52" s="574">
        <v>20617600</v>
      </c>
      <c r="IT52" s="574">
        <v>5154400</v>
      </c>
      <c r="IU52" s="574">
        <v>1290600</v>
      </c>
      <c r="IV52" s="574">
        <v>3226500</v>
      </c>
      <c r="IW52" s="574">
        <v>5377500</v>
      </c>
      <c r="IX52" s="574">
        <v>860400</v>
      </c>
      <c r="IY52" s="574">
        <v>2548200</v>
      </c>
      <c r="IZ52" s="574">
        <v>5945800</v>
      </c>
      <c r="JA52" s="872">
        <f>'Hodnocení '!JA48</f>
        <v>738641.73</v>
      </c>
      <c r="JB52" s="872">
        <f>'Hodnocení '!JB48</f>
        <v>828174.04</v>
      </c>
      <c r="JC52" s="872">
        <f>'Hodnocení '!JC48</f>
        <v>643778.09</v>
      </c>
      <c r="JD52" s="872">
        <f>'Hodnocení '!JD48</f>
        <v>876588.7</v>
      </c>
      <c r="JE52" s="574">
        <v>1101200</v>
      </c>
      <c r="JF52" s="574">
        <v>9910800</v>
      </c>
      <c r="JG52" s="574">
        <v>14628000</v>
      </c>
      <c r="JH52" s="793">
        <f>'Hodnocení '!JH48</f>
        <v>0</v>
      </c>
      <c r="JI52" s="340">
        <f>'Hodnocení '!JI48</f>
        <v>190651104.96498561</v>
      </c>
      <c r="JL52" s="307">
        <f t="shared" si="41"/>
        <v>0</v>
      </c>
      <c r="JM52" s="307">
        <f t="shared" si="41"/>
        <v>0</v>
      </c>
      <c r="JN52" s="307">
        <f t="shared" si="41"/>
        <v>0</v>
      </c>
      <c r="JO52" s="307">
        <f t="shared" si="41"/>
        <v>243087182.55999997</v>
      </c>
      <c r="JP52" s="307">
        <f t="shared" si="42"/>
        <v>243087182.55999997</v>
      </c>
      <c r="JQ52" s="591"/>
    </row>
    <row r="53" spans="1:277" ht="15.75" thickBot="1" x14ac:dyDescent="0.3">
      <c r="A53" s="577">
        <v>0.06</v>
      </c>
      <c r="B53" s="611" t="s">
        <v>2534</v>
      </c>
      <c r="C53" s="696">
        <f>'Hodnocení '!C49</f>
        <v>50000</v>
      </c>
      <c r="D53" s="697">
        <f>'Hodnocení '!D49</f>
        <v>300000</v>
      </c>
      <c r="E53" s="697">
        <f>'Hodnocení '!E49</f>
        <v>180000</v>
      </c>
      <c r="F53" s="697">
        <f>'Hodnocení '!F49</f>
        <v>362000</v>
      </c>
      <c r="G53" s="697">
        <f>'Hodnocení '!G49</f>
        <v>1426500</v>
      </c>
      <c r="H53" s="697">
        <f>'Hodnocení '!H49</f>
        <v>700000</v>
      </c>
      <c r="I53" s="697">
        <f>'Hodnocení '!I49</f>
        <v>719500</v>
      </c>
      <c r="J53" s="700">
        <f>'Hodnocení '!J49</f>
        <v>179017.07134597134</v>
      </c>
      <c r="K53" s="700">
        <f>'Hodnocení '!K49</f>
        <v>355471.12877263909</v>
      </c>
      <c r="L53" s="697">
        <f>'Hodnocení '!L49</f>
        <v>281750</v>
      </c>
      <c r="M53" s="697">
        <f>'Hodnocení '!M49</f>
        <v>316500</v>
      </c>
      <c r="N53" s="697">
        <f>'Hodnocení '!N49</f>
        <v>549000</v>
      </c>
      <c r="O53" s="697">
        <f>'Hodnocení '!O49</f>
        <v>307500</v>
      </c>
      <c r="P53" s="697">
        <f>'Hodnocení '!P49</f>
        <v>428000</v>
      </c>
      <c r="Q53" s="697">
        <f>'Hodnocení '!Q49</f>
        <v>169000</v>
      </c>
      <c r="R53" s="697">
        <f>'Hodnocení '!R49</f>
        <v>456000</v>
      </c>
      <c r="S53" s="697">
        <f>'Hodnocení '!S49</f>
        <v>116084</v>
      </c>
      <c r="T53" s="697">
        <f>'Hodnocení '!T49</f>
        <v>120000</v>
      </c>
      <c r="U53" s="697">
        <f>'Hodnocení '!U49</f>
        <v>165000</v>
      </c>
      <c r="V53" s="697">
        <f>'Hodnocení '!V49</f>
        <v>4317000</v>
      </c>
      <c r="W53" s="697">
        <f>'Hodnocení '!W49</f>
        <v>934000</v>
      </c>
      <c r="X53" s="697">
        <f>'Hodnocení '!X49</f>
        <v>122000</v>
      </c>
      <c r="Y53" s="697">
        <f>'Hodnocení '!Y49</f>
        <v>100000</v>
      </c>
      <c r="Z53" s="697">
        <f>'Hodnocení '!Z49</f>
        <v>0</v>
      </c>
      <c r="AA53" s="697">
        <f>'Hodnocení '!AA49</f>
        <v>295000</v>
      </c>
      <c r="AB53" s="697">
        <f>'Hodnocení '!AB49</f>
        <v>154334.58000000002</v>
      </c>
      <c r="AC53" s="697">
        <f>'Hodnocení '!AC49</f>
        <v>0</v>
      </c>
      <c r="AD53" s="697">
        <f>'Hodnocení '!AD49</f>
        <v>156800</v>
      </c>
      <c r="AE53" s="697">
        <f>'Hodnocení '!AE49</f>
        <v>88800</v>
      </c>
      <c r="AF53" s="700">
        <f>'Hodnocení '!AF49</f>
        <v>212135.22954497606</v>
      </c>
      <c r="AG53" s="697">
        <f>'Hodnocení '!AG49</f>
        <v>267500</v>
      </c>
      <c r="AH53" s="697">
        <f>'Hodnocení '!AH49</f>
        <v>101700</v>
      </c>
      <c r="AI53" s="700">
        <f>'Hodnocení '!AI49</f>
        <v>278820</v>
      </c>
      <c r="AJ53" s="700">
        <f>'Hodnocení '!AJ49</f>
        <v>177960</v>
      </c>
      <c r="AK53" s="700">
        <f>'Hodnocení '!AK49</f>
        <v>88332</v>
      </c>
      <c r="AL53" s="697">
        <f>'Hodnocení '!AL49</f>
        <v>204000</v>
      </c>
      <c r="AM53" s="697">
        <f>'Hodnocení '!AM49</f>
        <v>60116</v>
      </c>
      <c r="AN53" s="697">
        <f>'Hodnocení '!AN49</f>
        <v>95000</v>
      </c>
      <c r="AO53" s="697">
        <f>'Hodnocení '!AO49</f>
        <v>2581000</v>
      </c>
      <c r="AP53" s="700">
        <f>'Hodnocení '!AP49</f>
        <v>139260</v>
      </c>
      <c r="AQ53" s="697">
        <f>'Hodnocení '!AQ49</f>
        <v>50000</v>
      </c>
      <c r="AR53" s="697">
        <f>'Hodnocení '!AR49</f>
        <v>139500</v>
      </c>
      <c r="AS53" s="697">
        <f>'Hodnocení '!AS49</f>
        <v>37000</v>
      </c>
      <c r="AT53" s="697">
        <f>'Hodnocení '!AT49</f>
        <v>169000</v>
      </c>
      <c r="AU53" s="697">
        <f>'Hodnocení '!AU49</f>
        <v>160000</v>
      </c>
      <c r="AV53" s="697">
        <f>'Hodnocení '!AV49</f>
        <v>117300</v>
      </c>
      <c r="AW53" s="697">
        <f>'Hodnocení '!AW49</f>
        <v>156400</v>
      </c>
      <c r="AX53" s="697">
        <f>'Hodnocení '!AX49</f>
        <v>258000</v>
      </c>
      <c r="AY53" s="697">
        <f>'Hodnocení '!AY49</f>
        <v>238000</v>
      </c>
      <c r="AZ53" s="697">
        <f>'Hodnocení '!AZ49</f>
        <v>156185</v>
      </c>
      <c r="BA53" s="697">
        <f>'Hodnocení '!BA49</f>
        <v>1120000</v>
      </c>
      <c r="BB53" s="697">
        <f>'Hodnocení '!BB49</f>
        <v>140000</v>
      </c>
      <c r="BC53" s="697">
        <f>'Hodnocení '!BC49</f>
        <v>137000</v>
      </c>
      <c r="BD53" s="697">
        <f>'Hodnocení '!BD49</f>
        <v>304000</v>
      </c>
      <c r="BE53" s="697">
        <f>'Hodnocení '!BE49</f>
        <v>176000</v>
      </c>
      <c r="BF53" s="697">
        <f>'Hodnocení '!BF49</f>
        <v>376000</v>
      </c>
      <c r="BG53" s="697">
        <f>'Hodnocení '!BG49</f>
        <v>490000</v>
      </c>
      <c r="BH53" s="697">
        <f>'Hodnocení '!BH49</f>
        <v>397000</v>
      </c>
      <c r="BI53" s="697">
        <f>'Hodnocení '!BI49</f>
        <v>100000</v>
      </c>
      <c r="BJ53" s="697">
        <f>'Hodnocení '!BJ49</f>
        <v>219000</v>
      </c>
      <c r="BK53" s="697">
        <f>'Hodnocení '!BK49</f>
        <v>48000</v>
      </c>
      <c r="BL53" s="700">
        <f>'Hodnocení '!BL49</f>
        <v>29051.393297928047</v>
      </c>
      <c r="BM53" s="700">
        <f>'Hodnocení '!BM49</f>
        <v>129816.95999999999</v>
      </c>
      <c r="BN53" s="697">
        <f>'Hodnocení '!BN49</f>
        <v>326000</v>
      </c>
      <c r="BO53" s="697">
        <f>'Hodnocení '!BO49</f>
        <v>222000</v>
      </c>
      <c r="BP53" s="697">
        <f>'Hodnocení '!BP49</f>
        <v>777000</v>
      </c>
      <c r="BQ53" s="700">
        <f>'Hodnocení '!BQ49</f>
        <v>51467.408011966756</v>
      </c>
      <c r="BR53" s="697">
        <f>'Hodnocení '!BR49</f>
        <v>80000</v>
      </c>
      <c r="BS53" s="697">
        <f>'Hodnocení '!BS49</f>
        <v>230000</v>
      </c>
      <c r="BT53" s="697">
        <f>'Hodnocení '!BT49</f>
        <v>200000</v>
      </c>
      <c r="BU53" s="697">
        <f>'Hodnocení '!BU49</f>
        <v>1150000</v>
      </c>
      <c r="BV53" s="700">
        <f>'Hodnocení '!BV49</f>
        <v>68537.679756047553</v>
      </c>
      <c r="BW53" s="700">
        <f>'Hodnocení '!BW49</f>
        <v>17826.564258675688</v>
      </c>
      <c r="BX53" s="697">
        <f>'Hodnocení '!BX49</f>
        <v>1309761</v>
      </c>
      <c r="BY53" s="697">
        <f>'Hodnocení '!BY49</f>
        <v>730000</v>
      </c>
      <c r="BZ53" s="697">
        <f>'Hodnocení '!BZ49</f>
        <v>150000</v>
      </c>
      <c r="CA53" s="697">
        <f>'Hodnocení '!CA49</f>
        <v>0</v>
      </c>
      <c r="CB53" s="700">
        <f>'Hodnocení '!CB49</f>
        <v>12725.798291441224</v>
      </c>
      <c r="CC53" s="697">
        <f>'Hodnocení '!CC49</f>
        <v>404000</v>
      </c>
      <c r="CD53" s="697">
        <f>'Hodnocení '!CD49</f>
        <v>156000</v>
      </c>
      <c r="CE53" s="697">
        <f>'Hodnocení '!CE49</f>
        <v>4381300</v>
      </c>
      <c r="CF53" s="697">
        <f>'Hodnocení '!CF49</f>
        <v>366900</v>
      </c>
      <c r="CG53" s="697">
        <f>'Hodnocení '!CG49</f>
        <v>1830000</v>
      </c>
      <c r="CH53" s="697">
        <f>'Hodnocení '!CH49</f>
        <v>890000</v>
      </c>
      <c r="CI53" s="697">
        <f>'Hodnocení '!CI49</f>
        <v>200000</v>
      </c>
      <c r="CJ53" s="697">
        <f>'Hodnocení '!CJ49</f>
        <v>812000</v>
      </c>
      <c r="CK53" s="697">
        <f>'Hodnocení '!CK49</f>
        <v>599000</v>
      </c>
      <c r="CL53" s="697">
        <f>'Hodnocení '!CL49</f>
        <v>521000</v>
      </c>
      <c r="CM53" s="697">
        <f>'Hodnocení '!CM49</f>
        <v>939500</v>
      </c>
      <c r="CN53" s="697">
        <f>'Hodnocení '!CN49</f>
        <v>165000</v>
      </c>
      <c r="CO53" s="697">
        <f>'Hodnocení '!CO49</f>
        <v>250000</v>
      </c>
      <c r="CP53" s="697">
        <f>'Hodnocení '!CP49</f>
        <v>215000</v>
      </c>
      <c r="CQ53" s="697">
        <f>'Hodnocení '!CQ49</f>
        <v>740000</v>
      </c>
      <c r="CR53" s="697">
        <f>'Hodnocení '!CR49</f>
        <v>50000</v>
      </c>
      <c r="CS53" s="700">
        <f>'Hodnocení '!CS49</f>
        <v>229135.74</v>
      </c>
      <c r="CT53" s="697">
        <f>'Hodnocení '!CT49</f>
        <v>600000</v>
      </c>
      <c r="CU53" s="697">
        <f>'Hodnocení '!CU49</f>
        <v>91500</v>
      </c>
      <c r="CV53" s="700">
        <f>'Hodnocení '!CV49</f>
        <v>334321.42982321267</v>
      </c>
      <c r="CW53" s="697">
        <f>'Hodnocení '!CW49</f>
        <v>0</v>
      </c>
      <c r="CX53" s="697">
        <f>'Hodnocení '!CX49</f>
        <v>373468</v>
      </c>
      <c r="CY53" s="697">
        <f>'Hodnocení '!CY49</f>
        <v>277673</v>
      </c>
      <c r="CZ53" s="697">
        <f>'Hodnocení '!CZ49</f>
        <v>50000</v>
      </c>
      <c r="DA53" s="697">
        <f>'Hodnocení '!DA49</f>
        <v>0</v>
      </c>
      <c r="DB53" s="697">
        <f>'Hodnocení '!DB49</f>
        <v>200000</v>
      </c>
      <c r="DC53" s="697">
        <f>'Hodnocení '!DC49</f>
        <v>265000</v>
      </c>
      <c r="DD53" s="697">
        <f>'Hodnocení '!DD49</f>
        <v>215000</v>
      </c>
      <c r="DE53" s="697">
        <f>'Hodnocení '!DE49</f>
        <v>235000</v>
      </c>
      <c r="DF53" s="697">
        <f>'Hodnocení '!DF49</f>
        <v>450000</v>
      </c>
      <c r="DG53" s="700">
        <f>'Hodnocení '!DG49</f>
        <v>51251.372243692604</v>
      </c>
      <c r="DH53" s="697">
        <f>'Hodnocení '!DH49</f>
        <v>105200</v>
      </c>
      <c r="DI53" s="697">
        <f>'Hodnocení '!DI49</f>
        <v>33480</v>
      </c>
      <c r="DJ53" s="697">
        <f>'Hodnocení '!DJ49</f>
        <v>90000</v>
      </c>
      <c r="DK53" s="697">
        <f>'Hodnocení '!DK49</f>
        <v>42480</v>
      </c>
      <c r="DL53" s="697">
        <f>'Hodnocení '!DL49</f>
        <v>1452000</v>
      </c>
      <c r="DM53" s="697">
        <f>'Hodnocení '!DM49</f>
        <v>508000</v>
      </c>
      <c r="DN53" s="697">
        <f>'Hodnocení '!DN49</f>
        <v>554000</v>
      </c>
      <c r="DO53" s="700">
        <f>'Hodnocení '!DO49</f>
        <v>89508.535672985672</v>
      </c>
      <c r="DP53" s="697">
        <f>'Hodnocení '!DP49</f>
        <v>415000</v>
      </c>
      <c r="DQ53" s="697">
        <f>'Hodnocení '!DQ49</f>
        <v>330000</v>
      </c>
      <c r="DR53" s="700">
        <f>'Hodnocení '!DR49</f>
        <v>318211.5</v>
      </c>
      <c r="DS53" s="700">
        <f>'Hodnocení '!DS49</f>
        <v>103758.65339910673</v>
      </c>
      <c r="DT53" s="700">
        <f>'Hodnocení '!DT49</f>
        <v>214500</v>
      </c>
      <c r="DU53" s="697">
        <f>'Hodnocení '!DU49</f>
        <v>260000</v>
      </c>
      <c r="DV53" s="697">
        <f>'Hodnocení '!DV49</f>
        <v>600000</v>
      </c>
      <c r="DW53" s="700">
        <f>'Hodnocení '!DW49</f>
        <v>0</v>
      </c>
      <c r="DX53" s="697">
        <f>'Hodnocení '!DX49</f>
        <v>455000</v>
      </c>
      <c r="DY53" s="697">
        <f>'Hodnocení '!DY49</f>
        <v>150000</v>
      </c>
      <c r="DZ53" s="700">
        <f>'Hodnocení '!DZ49</f>
        <v>46208.022690311271</v>
      </c>
      <c r="EA53" s="697">
        <f>'Hodnocení '!EA49</f>
        <v>130000</v>
      </c>
      <c r="EB53" s="697">
        <f>'Hodnocení '!EB49</f>
        <v>225000</v>
      </c>
      <c r="EC53" s="697">
        <f>'Hodnocení '!EC49</f>
        <v>121000</v>
      </c>
      <c r="ED53" s="697">
        <f>'Hodnocení '!ED49</f>
        <v>391000</v>
      </c>
      <c r="EE53" s="697">
        <f>'Hodnocení '!EE49</f>
        <v>110000</v>
      </c>
      <c r="EF53" s="697">
        <f>'Hodnocení '!EF49</f>
        <v>115000</v>
      </c>
      <c r="EG53" s="700">
        <f>'Hodnocení '!EG49</f>
        <v>26739.846388013535</v>
      </c>
      <c r="EH53" s="697">
        <f>'Hodnocení '!EH49</f>
        <v>80000</v>
      </c>
      <c r="EI53" s="697">
        <f>'Hodnocení '!EI49</f>
        <v>122000</v>
      </c>
      <c r="EJ53" s="700">
        <f>'Hodnocení '!EJ49</f>
        <v>71606.828538388552</v>
      </c>
      <c r="EK53" s="697">
        <f>'Hodnocení '!EK49</f>
        <v>659000</v>
      </c>
      <c r="EL53" s="697">
        <f>'Hodnocení '!EL49</f>
        <v>3015000</v>
      </c>
      <c r="EM53" s="697">
        <f>'Hodnocení '!EM49</f>
        <v>581000</v>
      </c>
      <c r="EN53" s="700">
        <f>'Hodnocení '!EN49</f>
        <v>150983.64143457543</v>
      </c>
      <c r="EO53" s="697">
        <f>'Hodnocení '!EO49</f>
        <v>15000</v>
      </c>
      <c r="EP53" s="697">
        <f>'Hodnocení '!EP49</f>
        <v>202000</v>
      </c>
      <c r="EQ53" s="700">
        <f>'Hodnocení '!EQ49</f>
        <v>111885.66959123209</v>
      </c>
      <c r="ER53" s="697">
        <f>'Hodnocení '!ER49</f>
        <v>4235000</v>
      </c>
      <c r="ES53" s="697">
        <f>'Hodnocení '!ES49</f>
        <v>1619100</v>
      </c>
      <c r="ET53" s="697">
        <f>'Hodnocení '!ET49</f>
        <v>0</v>
      </c>
      <c r="EU53" s="697">
        <f>'Hodnocení '!EU49</f>
        <v>12000</v>
      </c>
      <c r="EV53" s="697">
        <f>'Hodnocení '!EV49</f>
        <v>265000</v>
      </c>
      <c r="EW53" s="699">
        <f>'Hodnocení '!EW49</f>
        <v>1760000</v>
      </c>
      <c r="EX53" s="697">
        <f>'Hodnocení '!EX49</f>
        <v>3600000</v>
      </c>
      <c r="EY53" s="699">
        <f>'Hodnocení '!EY49</f>
        <v>1025106.3829787234</v>
      </c>
      <c r="EZ53" s="697">
        <f>'Hodnocení '!EZ49</f>
        <v>1761805</v>
      </c>
      <c r="FA53" s="697">
        <f>'Hodnocení '!FA49</f>
        <v>996261</v>
      </c>
      <c r="FB53" s="697">
        <f>'Hodnocení '!FB49</f>
        <v>0</v>
      </c>
      <c r="FC53" s="699">
        <f>'Hodnocení '!FC49</f>
        <v>4662000</v>
      </c>
      <c r="FD53" s="697">
        <f>'Hodnocení '!FD49</f>
        <v>1552100</v>
      </c>
      <c r="FE53" s="699">
        <f>'Hodnocení '!FE49</f>
        <v>432200</v>
      </c>
      <c r="FF53" s="697">
        <f>'Hodnocení '!FF49</f>
        <v>1000000</v>
      </c>
      <c r="FG53" s="697">
        <f>'Hodnocení '!FG49</f>
        <v>2431500</v>
      </c>
      <c r="FH53" s="697">
        <f>'Hodnocení '!FH49</f>
        <v>1641500</v>
      </c>
      <c r="FI53" s="697">
        <f>'Hodnocení '!FI49</f>
        <v>1800000</v>
      </c>
      <c r="FJ53" s="697">
        <f>'Hodnocení '!FJ49</f>
        <v>1177383</v>
      </c>
      <c r="FK53" s="697">
        <f>'Hodnocení '!FK49</f>
        <v>633403</v>
      </c>
      <c r="FL53" s="697">
        <f>'Hodnocení '!FL49</f>
        <v>500000</v>
      </c>
      <c r="FM53" s="697">
        <f>'Hodnocení '!FM49</f>
        <v>1813013</v>
      </c>
      <c r="FN53" s="699">
        <f>'Hodnocení '!FN49</f>
        <v>588895</v>
      </c>
      <c r="FO53" s="697">
        <f>'Hodnocení '!FO49</f>
        <v>1078183</v>
      </c>
      <c r="FP53" s="699">
        <f>'Hodnocení '!FP49</f>
        <v>3324544</v>
      </c>
      <c r="FQ53" s="697">
        <f>'Hodnocení '!FQ49</f>
        <v>118200</v>
      </c>
      <c r="FR53" s="700">
        <f>'Hodnocení '!FR49</f>
        <v>769440.65792196419</v>
      </c>
      <c r="FS53" s="699">
        <f>'Hodnocení '!FS49</f>
        <v>157067</v>
      </c>
      <c r="FT53" s="697">
        <f>'Hodnocení '!FT49</f>
        <v>2240223.16</v>
      </c>
      <c r="FU53" s="697">
        <f>'Hodnocení '!FU49</f>
        <v>204301</v>
      </c>
      <c r="FV53" s="699">
        <f>'Hodnocení '!FV49</f>
        <v>1218344</v>
      </c>
      <c r="FW53" s="697">
        <f>'Hodnocení '!FW49</f>
        <v>621321</v>
      </c>
      <c r="FX53" s="697">
        <f>'Hodnocení '!FX49</f>
        <v>402204.18</v>
      </c>
      <c r="FY53" s="697">
        <f>'Hodnocení '!FY49</f>
        <v>147190</v>
      </c>
      <c r="FZ53" s="699">
        <f>'Hodnocení '!FZ49</f>
        <v>4908290</v>
      </c>
      <c r="GA53" s="699">
        <f>'Hodnocení '!GA49</f>
        <v>710750</v>
      </c>
      <c r="GB53" s="697">
        <f>'Hodnocení '!GB49</f>
        <v>4161580</v>
      </c>
      <c r="GC53" s="697">
        <f>'Hodnocení '!GC49</f>
        <v>1427000</v>
      </c>
      <c r="GD53" s="700">
        <f>'Hodnocení '!GD49</f>
        <v>4886538.461538461</v>
      </c>
      <c r="GE53" s="699">
        <f>'Hodnocení '!GE49</f>
        <v>807259</v>
      </c>
      <c r="GF53" s="699">
        <f>'Hodnocení '!GF49</f>
        <v>1161000</v>
      </c>
      <c r="GG53" s="699">
        <f>'Hodnocení '!GG49</f>
        <v>440000</v>
      </c>
      <c r="GH53" s="699">
        <f>'Hodnocení '!GH49</f>
        <v>280000</v>
      </c>
      <c r="GI53" s="699">
        <f>'Hodnocení '!GI49</f>
        <v>6445000</v>
      </c>
      <c r="GJ53" s="697">
        <f>'Hodnocení '!GJ49</f>
        <v>991270</v>
      </c>
      <c r="GK53" s="697">
        <f>'Hodnocení '!GK49</f>
        <v>742000</v>
      </c>
      <c r="GL53" s="697">
        <f>'Hodnocení '!GL49</f>
        <v>653000</v>
      </c>
      <c r="GM53" s="697">
        <f>'Hodnocení '!GM49</f>
        <v>595000</v>
      </c>
      <c r="GN53" s="697">
        <f>'Hodnocení '!GN49</f>
        <v>206397.66</v>
      </c>
      <c r="GO53" s="697">
        <f>'Hodnocení '!GO49</f>
        <v>1504000</v>
      </c>
      <c r="GP53" s="699">
        <f>'Hodnocení '!GP49</f>
        <v>778336</v>
      </c>
      <c r="GQ53" s="697">
        <f>'Hodnocení '!GQ49</f>
        <v>1066404</v>
      </c>
      <c r="GR53" s="699">
        <f>'Hodnocení '!GR49</f>
        <v>943990</v>
      </c>
      <c r="GS53" s="697">
        <f>'Hodnocení '!GS49</f>
        <v>849738.18</v>
      </c>
      <c r="GT53" s="699">
        <f>'Hodnocení '!GT49</f>
        <v>5404362</v>
      </c>
      <c r="GU53" s="697">
        <f>'Hodnocení '!GU49</f>
        <v>480000</v>
      </c>
      <c r="GV53" s="699">
        <f>'Hodnocení '!GV49</f>
        <v>2486744.54</v>
      </c>
      <c r="GW53" s="697">
        <f>'Hodnocení '!GW49</f>
        <v>1188833</v>
      </c>
      <c r="GX53" s="697">
        <f>'Hodnocení '!GX49</f>
        <v>503673.85</v>
      </c>
      <c r="GY53" s="700">
        <f>'Hodnocení '!GY49</f>
        <v>14590000</v>
      </c>
      <c r="GZ53" s="700">
        <f>'Hodnocení '!GZ49</f>
        <v>1204801.2908090495</v>
      </c>
      <c r="HA53" s="699">
        <f>'Hodnocení '!HA49</f>
        <v>6050847.4576271186</v>
      </c>
      <c r="HB53" s="699">
        <f>'Hodnocení '!HB49</f>
        <v>7550000</v>
      </c>
      <c r="HC53" s="697">
        <f>'Hodnocení '!HC49</f>
        <v>6686000</v>
      </c>
      <c r="HD53" s="697">
        <f>'Hodnocení '!HD49</f>
        <v>1897307</v>
      </c>
      <c r="HE53" s="697">
        <f>'Hodnocení '!HE49</f>
        <v>2971345</v>
      </c>
      <c r="HF53" s="700">
        <f>'Hodnocení '!HF49</f>
        <v>1330257</v>
      </c>
      <c r="HG53" s="699">
        <f>'Hodnocení '!HG49</f>
        <v>305927.64</v>
      </c>
      <c r="HH53" s="697">
        <f>'Hodnocení '!HH49</f>
        <v>1476086.36</v>
      </c>
      <c r="HI53" s="697">
        <f>'Hodnocení '!HI49</f>
        <v>2590000</v>
      </c>
      <c r="HJ53" s="697">
        <f>'Hodnocení '!HJ49</f>
        <v>391200</v>
      </c>
      <c r="HK53" s="697">
        <f>'Hodnocení '!HK49</f>
        <v>992500</v>
      </c>
      <c r="HL53" s="697">
        <f>'Hodnocení '!HL49</f>
        <v>0</v>
      </c>
      <c r="HM53" s="697">
        <f>'Hodnocení '!HM49</f>
        <v>0</v>
      </c>
      <c r="HN53" s="697">
        <f>'Hodnocení '!HN49</f>
        <v>0</v>
      </c>
      <c r="HO53" s="697">
        <f>'Hodnocení '!HO49</f>
        <v>0</v>
      </c>
      <c r="HP53" s="697">
        <f>'Hodnocení '!HP49</f>
        <v>0</v>
      </c>
      <c r="HQ53" s="697">
        <f>'Hodnocení '!HQ49</f>
        <v>0</v>
      </c>
      <c r="HR53" s="697">
        <f>'Hodnocení '!HR49</f>
        <v>0</v>
      </c>
      <c r="HS53" s="697">
        <f>'Hodnocení '!HS49</f>
        <v>0</v>
      </c>
      <c r="HT53" s="697">
        <f>'Hodnocení '!HT49</f>
        <v>0</v>
      </c>
      <c r="HU53" s="697">
        <f>'Hodnocení '!HU49</f>
        <v>48866</v>
      </c>
      <c r="HV53" s="872">
        <f>'Hodnocení '!HV49</f>
        <v>0</v>
      </c>
      <c r="HW53" s="697">
        <f>'Hodnocení '!HW49</f>
        <v>0</v>
      </c>
      <c r="HX53" s="697">
        <f>'Hodnocení '!HX49</f>
        <v>0</v>
      </c>
      <c r="HY53" s="697">
        <f>'Hodnocení '!HY49</f>
        <v>10000</v>
      </c>
      <c r="HZ53" s="697">
        <f>'Hodnocení '!HZ49</f>
        <v>0</v>
      </c>
      <c r="IA53" s="697">
        <f>'Hodnocení '!IA49</f>
        <v>0</v>
      </c>
      <c r="IB53" s="697">
        <f>'Hodnocení '!IB49</f>
        <v>0</v>
      </c>
      <c r="IC53" s="697">
        <f>'Hodnocení '!IC49</f>
        <v>0</v>
      </c>
      <c r="ID53" s="697">
        <f>'Hodnocení '!ID49</f>
        <v>0</v>
      </c>
      <c r="IE53" s="697">
        <f>'Hodnocení '!IE49</f>
        <v>0</v>
      </c>
      <c r="IF53" s="697">
        <f>'Hodnocení '!IF49</f>
        <v>0</v>
      </c>
      <c r="IG53" s="697">
        <f>'Hodnocení '!IG49</f>
        <v>0</v>
      </c>
      <c r="IH53" s="697">
        <f>'Hodnocení '!IH49</f>
        <v>0</v>
      </c>
      <c r="II53" s="697">
        <f>'Hodnocení '!II49</f>
        <v>0</v>
      </c>
      <c r="IJ53" s="697">
        <f>'Hodnocení '!IJ49</f>
        <v>0</v>
      </c>
      <c r="IK53" s="697">
        <v>0</v>
      </c>
      <c r="IL53" s="697">
        <f>'Hodnocení '!IL49</f>
        <v>0</v>
      </c>
      <c r="IM53" s="697">
        <f>'Hodnocení '!IM49</f>
        <v>0</v>
      </c>
      <c r="IN53" s="697">
        <f>'Hodnocení '!IN49</f>
        <v>0</v>
      </c>
      <c r="IO53" s="697">
        <f>'Hodnocení '!IO49</f>
        <v>0</v>
      </c>
      <c r="IP53" s="697">
        <f>'Hodnocení '!IP49</f>
        <v>0</v>
      </c>
      <c r="IQ53" s="697">
        <f>'Hodnocení '!IQ49</f>
        <v>0</v>
      </c>
      <c r="IR53" s="697">
        <f>'Hodnocení '!IR49</f>
        <v>0</v>
      </c>
      <c r="IS53" s="697">
        <f>'Hodnocení '!IS49</f>
        <v>0</v>
      </c>
      <c r="IT53" s="697">
        <f>'Hodnocení '!IT49</f>
        <v>0</v>
      </c>
      <c r="IU53" s="697">
        <f>'Hodnocení '!IU49</f>
        <v>0</v>
      </c>
      <c r="IV53" s="697">
        <f>'Hodnocení '!IV49</f>
        <v>0</v>
      </c>
      <c r="IW53" s="697">
        <f>'Hodnocení '!IW49</f>
        <v>0</v>
      </c>
      <c r="IX53" s="697">
        <f>'Hodnocení '!IX49</f>
        <v>0</v>
      </c>
      <c r="IY53" s="697">
        <f>'Hodnocení '!IY49</f>
        <v>0</v>
      </c>
      <c r="IZ53" s="697">
        <f>'Hodnocení '!IZ49</f>
        <v>0</v>
      </c>
      <c r="JA53" s="697">
        <f>'Hodnocení '!JA49</f>
        <v>78000</v>
      </c>
      <c r="JB53" s="697">
        <f>'Hodnocení '!JB49</f>
        <v>160000</v>
      </c>
      <c r="JC53" s="697">
        <f>'Hodnocení '!JC49</f>
        <v>80000</v>
      </c>
      <c r="JD53" s="697">
        <f>'Hodnocení '!JD49</f>
        <v>101900</v>
      </c>
      <c r="JE53" s="697">
        <f>'Hodnocení '!JE49</f>
        <v>0</v>
      </c>
      <c r="JF53" s="697">
        <f>'Hodnocení '!JF49</f>
        <v>0</v>
      </c>
      <c r="JG53" s="697">
        <f>'Hodnocení '!JG49</f>
        <v>21000</v>
      </c>
      <c r="JH53" s="698">
        <f>'Hodnocení '!JH49</f>
        <v>0</v>
      </c>
      <c r="JI53" s="340">
        <f>'Hodnocení '!JI49</f>
        <v>191758752.87393647</v>
      </c>
      <c r="JL53" s="307">
        <f t="shared" si="41"/>
        <v>530000</v>
      </c>
      <c r="JM53" s="307">
        <f t="shared" si="41"/>
        <v>61138364.053061172</v>
      </c>
      <c r="JN53" s="307">
        <f t="shared" si="41"/>
        <v>129590622.82087532</v>
      </c>
      <c r="JO53" s="307">
        <f t="shared" si="41"/>
        <v>499766</v>
      </c>
      <c r="JP53" s="307">
        <f t="shared" si="42"/>
        <v>191758752.87393647</v>
      </c>
      <c r="JQ53" s="591"/>
    </row>
    <row r="54" spans="1:277" hidden="1" x14ac:dyDescent="0.25">
      <c r="B54" s="733"/>
      <c r="C54" s="360">
        <f>'Hodnocení '!C50</f>
        <v>0</v>
      </c>
      <c r="D54" s="357">
        <f>'Hodnocení '!D50</f>
        <v>0</v>
      </c>
      <c r="E54" s="357">
        <f>'Hodnocení '!E50</f>
        <v>0</v>
      </c>
      <c r="F54" s="357">
        <f>'Hodnocení '!F50</f>
        <v>0</v>
      </c>
      <c r="G54" s="357">
        <f>'Hodnocení '!G50</f>
        <v>0</v>
      </c>
      <c r="H54" s="357">
        <f>'Hodnocení '!H50</f>
        <v>0</v>
      </c>
      <c r="I54" s="357">
        <f>'Hodnocení '!I50</f>
        <v>0</v>
      </c>
      <c r="J54" s="357">
        <f>'Hodnocení '!J50</f>
        <v>0</v>
      </c>
      <c r="K54" s="357">
        <f>'Hodnocení '!K50</f>
        <v>0</v>
      </c>
      <c r="L54" s="357">
        <f>'Hodnocení '!L50</f>
        <v>0</v>
      </c>
      <c r="M54" s="357">
        <f>'Hodnocení '!M50</f>
        <v>0</v>
      </c>
      <c r="N54" s="357">
        <f>'Hodnocení '!N50</f>
        <v>0</v>
      </c>
      <c r="O54" s="357">
        <f>'Hodnocení '!O50</f>
        <v>0</v>
      </c>
      <c r="P54" s="357">
        <f>'Hodnocení '!P50</f>
        <v>0</v>
      </c>
      <c r="Q54" s="357">
        <f>'Hodnocení '!Q50</f>
        <v>0</v>
      </c>
      <c r="R54" s="357">
        <f>'Hodnocení '!R50</f>
        <v>0</v>
      </c>
      <c r="S54" s="357">
        <f>'Hodnocení '!S50</f>
        <v>0</v>
      </c>
      <c r="T54" s="357">
        <f>'Hodnocení '!T50</f>
        <v>0</v>
      </c>
      <c r="U54" s="357">
        <f>'Hodnocení '!U50</f>
        <v>0</v>
      </c>
      <c r="V54" s="357">
        <f>'Hodnocení '!V50</f>
        <v>0</v>
      </c>
      <c r="W54" s="357">
        <f>'Hodnocení '!W50</f>
        <v>0</v>
      </c>
      <c r="X54" s="357">
        <f>'Hodnocení '!X50</f>
        <v>0</v>
      </c>
      <c r="Y54" s="357">
        <f>'Hodnocení '!Y50</f>
        <v>0</v>
      </c>
      <c r="Z54" s="357">
        <f>'Hodnocení '!Z50</f>
        <v>0</v>
      </c>
      <c r="AA54" s="357">
        <f>'Hodnocení '!AA50</f>
        <v>0</v>
      </c>
      <c r="AB54" s="357">
        <f>'Hodnocení '!AB50</f>
        <v>0</v>
      </c>
      <c r="AC54" s="357">
        <f>'Hodnocení '!AC50</f>
        <v>0</v>
      </c>
      <c r="AD54" s="357">
        <f>'Hodnocení '!AD50</f>
        <v>0</v>
      </c>
      <c r="AE54" s="357">
        <f>'Hodnocení '!AE50</f>
        <v>0</v>
      </c>
      <c r="AF54" s="357">
        <f>'Hodnocení '!AF50</f>
        <v>0</v>
      </c>
      <c r="AG54" s="357">
        <f>'Hodnocení '!AG50</f>
        <v>0</v>
      </c>
      <c r="AH54" s="357">
        <f>'Hodnocení '!AH50</f>
        <v>0</v>
      </c>
      <c r="AI54" s="357">
        <f>'Hodnocení '!AI50</f>
        <v>0</v>
      </c>
      <c r="AJ54" s="357">
        <f>'Hodnocení '!AJ50</f>
        <v>0</v>
      </c>
      <c r="AK54" s="357">
        <f>'Hodnocení '!AK50</f>
        <v>0</v>
      </c>
      <c r="AL54" s="357">
        <f>'Hodnocení '!AL50</f>
        <v>0</v>
      </c>
      <c r="AM54" s="357">
        <f>'Hodnocení '!AM50</f>
        <v>0</v>
      </c>
      <c r="AN54" s="357">
        <f>'Hodnocení '!AN50</f>
        <v>0</v>
      </c>
      <c r="AO54" s="357">
        <f>'Hodnocení '!AO50</f>
        <v>0</v>
      </c>
      <c r="AP54" s="357">
        <f>'Hodnocení '!AP50</f>
        <v>0</v>
      </c>
      <c r="AQ54" s="357">
        <f>'Hodnocení '!AQ50</f>
        <v>0</v>
      </c>
      <c r="AR54" s="357">
        <f>'Hodnocení '!AR50</f>
        <v>0</v>
      </c>
      <c r="AS54" s="357">
        <f>'Hodnocení '!AS50</f>
        <v>0</v>
      </c>
      <c r="AT54" s="357">
        <f>'Hodnocení '!AT50</f>
        <v>0</v>
      </c>
      <c r="AU54" s="357">
        <f>'Hodnocení '!AU50</f>
        <v>0</v>
      </c>
      <c r="AV54" s="357">
        <f>'Hodnocení '!AV50</f>
        <v>0</v>
      </c>
      <c r="AW54" s="357">
        <f>'Hodnocení '!AW50</f>
        <v>0</v>
      </c>
      <c r="AX54" s="357">
        <f>'Hodnocení '!AX50</f>
        <v>0</v>
      </c>
      <c r="AY54" s="357">
        <f>'Hodnocení '!AY50</f>
        <v>0</v>
      </c>
      <c r="AZ54" s="357">
        <f>'Hodnocení '!AZ50</f>
        <v>0</v>
      </c>
      <c r="BA54" s="357">
        <f>'Hodnocení '!BA50</f>
        <v>0</v>
      </c>
      <c r="BB54" s="357">
        <f>'Hodnocení '!BB50</f>
        <v>0</v>
      </c>
      <c r="BC54" s="357">
        <f>'Hodnocení '!BC50</f>
        <v>0</v>
      </c>
      <c r="BD54" s="357">
        <f>'Hodnocení '!BD50</f>
        <v>0</v>
      </c>
      <c r="BE54" s="357">
        <f>'Hodnocení '!BE50</f>
        <v>0</v>
      </c>
      <c r="BF54" s="357">
        <f>'Hodnocení '!BF50</f>
        <v>0</v>
      </c>
      <c r="BG54" s="357">
        <f>'Hodnocení '!BG50</f>
        <v>0</v>
      </c>
      <c r="BH54" s="357">
        <f>'Hodnocení '!BH50</f>
        <v>0</v>
      </c>
      <c r="BI54" s="357">
        <f>'Hodnocení '!BI50</f>
        <v>0</v>
      </c>
      <c r="BJ54" s="357">
        <f>'Hodnocení '!BJ50</f>
        <v>0</v>
      </c>
      <c r="BK54" s="357">
        <f>'Hodnocení '!BK50</f>
        <v>0</v>
      </c>
      <c r="BL54" s="357">
        <f>'Hodnocení '!BL50</f>
        <v>0</v>
      </c>
      <c r="BM54" s="357">
        <f>'Hodnocení '!BM50</f>
        <v>0</v>
      </c>
      <c r="BN54" s="357">
        <f>'Hodnocení '!BN50</f>
        <v>0</v>
      </c>
      <c r="BO54" s="357">
        <f>'Hodnocení '!BO50</f>
        <v>0</v>
      </c>
      <c r="BP54" s="357">
        <f>'Hodnocení '!BP50</f>
        <v>0</v>
      </c>
      <c r="BQ54" s="357">
        <f>'Hodnocení '!BQ50</f>
        <v>0</v>
      </c>
      <c r="BR54" s="357">
        <f>'Hodnocení '!BR50</f>
        <v>0</v>
      </c>
      <c r="BS54" s="357">
        <f>'Hodnocení '!BS50</f>
        <v>0</v>
      </c>
      <c r="BT54" s="357">
        <f>'Hodnocení '!BT50</f>
        <v>0</v>
      </c>
      <c r="BU54" s="357">
        <f>'Hodnocení '!BU50</f>
        <v>0</v>
      </c>
      <c r="BV54" s="357">
        <f>'Hodnocení '!BV50</f>
        <v>0</v>
      </c>
      <c r="BW54" s="357">
        <f>'Hodnocení '!BW50</f>
        <v>0</v>
      </c>
      <c r="BX54" s="357">
        <f>'Hodnocení '!BX50</f>
        <v>0</v>
      </c>
      <c r="BY54" s="357">
        <f>'Hodnocení '!BY50</f>
        <v>0</v>
      </c>
      <c r="BZ54" s="357">
        <f>'Hodnocení '!BZ50</f>
        <v>0</v>
      </c>
      <c r="CA54" s="357">
        <f>'Hodnocení '!CA50</f>
        <v>0</v>
      </c>
      <c r="CB54" s="357">
        <f>'Hodnocení '!CB50</f>
        <v>0</v>
      </c>
      <c r="CC54" s="357">
        <f>'Hodnocení '!CC50</f>
        <v>0</v>
      </c>
      <c r="CD54" s="357">
        <f>'Hodnocení '!CD50</f>
        <v>0</v>
      </c>
      <c r="CE54" s="357">
        <f>'Hodnocení '!CE50</f>
        <v>0</v>
      </c>
      <c r="CF54" s="357">
        <f>'Hodnocení '!CF50</f>
        <v>0</v>
      </c>
      <c r="CG54" s="357">
        <f>'Hodnocení '!CG50</f>
        <v>0</v>
      </c>
      <c r="CH54" s="357">
        <f>'Hodnocení '!CH50</f>
        <v>0</v>
      </c>
      <c r="CI54" s="357">
        <f>'Hodnocení '!CI50</f>
        <v>0</v>
      </c>
      <c r="CJ54" s="357">
        <f>'Hodnocení '!CJ50</f>
        <v>0</v>
      </c>
      <c r="CK54" s="357">
        <f>'Hodnocení '!CK50</f>
        <v>0</v>
      </c>
      <c r="CL54" s="357">
        <f>'Hodnocení '!CL50</f>
        <v>0</v>
      </c>
      <c r="CM54" s="357">
        <f>'Hodnocení '!CM50</f>
        <v>0</v>
      </c>
      <c r="CN54" s="357">
        <f>'Hodnocení '!CN50</f>
        <v>0</v>
      </c>
      <c r="CO54" s="357">
        <f>'Hodnocení '!CO50</f>
        <v>0</v>
      </c>
      <c r="CP54" s="357">
        <f>'Hodnocení '!CP50</f>
        <v>0</v>
      </c>
      <c r="CQ54" s="357">
        <f>'Hodnocení '!CQ50</f>
        <v>0</v>
      </c>
      <c r="CR54" s="357">
        <f>'Hodnocení '!CR50</f>
        <v>0</v>
      </c>
      <c r="CS54" s="357">
        <f>'Hodnocení '!CS50</f>
        <v>0</v>
      </c>
      <c r="CT54" s="357">
        <f>'Hodnocení '!CT50</f>
        <v>0</v>
      </c>
      <c r="CU54" s="357">
        <f>'Hodnocení '!CU50</f>
        <v>0</v>
      </c>
      <c r="CV54" s="357">
        <f>'Hodnocení '!CV50</f>
        <v>0</v>
      </c>
      <c r="CW54" s="357">
        <f>'Hodnocení '!CW50</f>
        <v>0</v>
      </c>
      <c r="CX54" s="357">
        <f>'Hodnocení '!CX50</f>
        <v>0</v>
      </c>
      <c r="CY54" s="357">
        <f>'Hodnocení '!CY50</f>
        <v>0</v>
      </c>
      <c r="CZ54" s="357">
        <f>'Hodnocení '!CZ50</f>
        <v>0</v>
      </c>
      <c r="DA54" s="357">
        <f>'Hodnocení '!DA50</f>
        <v>0</v>
      </c>
      <c r="DB54" s="357">
        <f>'Hodnocení '!DB50</f>
        <v>0</v>
      </c>
      <c r="DC54" s="357">
        <f>'Hodnocení '!DC50</f>
        <v>0</v>
      </c>
      <c r="DD54" s="357">
        <f>'Hodnocení '!DD50</f>
        <v>0</v>
      </c>
      <c r="DE54" s="357">
        <f>'Hodnocení '!DE50</f>
        <v>0</v>
      </c>
      <c r="DF54" s="357">
        <f>'Hodnocení '!DF50</f>
        <v>0</v>
      </c>
      <c r="DG54" s="357">
        <f>'Hodnocení '!DG50</f>
        <v>0</v>
      </c>
      <c r="DH54" s="357">
        <f>'Hodnocení '!DH50</f>
        <v>0</v>
      </c>
      <c r="DI54" s="357">
        <f>'Hodnocení '!DI50</f>
        <v>0</v>
      </c>
      <c r="DJ54" s="357">
        <f>'Hodnocení '!DJ50</f>
        <v>0</v>
      </c>
      <c r="DK54" s="357">
        <f>'Hodnocení '!DK50</f>
        <v>0</v>
      </c>
      <c r="DL54" s="357">
        <f>'Hodnocení '!DL50</f>
        <v>0</v>
      </c>
      <c r="DM54" s="357">
        <f>'Hodnocení '!DM50</f>
        <v>0</v>
      </c>
      <c r="DN54" s="357">
        <f>'Hodnocení '!DN50</f>
        <v>0</v>
      </c>
      <c r="DO54" s="357">
        <f>'Hodnocení '!DO50</f>
        <v>0</v>
      </c>
      <c r="DP54" s="357">
        <f>'Hodnocení '!DP50</f>
        <v>0</v>
      </c>
      <c r="DQ54" s="357">
        <f>'Hodnocení '!DQ50</f>
        <v>0</v>
      </c>
      <c r="DR54" s="357">
        <f>'Hodnocení '!DR50</f>
        <v>0</v>
      </c>
      <c r="DS54" s="357">
        <f>'Hodnocení '!DS50</f>
        <v>0</v>
      </c>
      <c r="DT54" s="357">
        <f>'Hodnocení '!DT50</f>
        <v>0</v>
      </c>
      <c r="DU54" s="357">
        <f>'Hodnocení '!DU50</f>
        <v>0</v>
      </c>
      <c r="DV54" s="357">
        <f>'Hodnocení '!DV50</f>
        <v>0</v>
      </c>
      <c r="DW54" s="357">
        <f>'Hodnocení '!DW50</f>
        <v>0</v>
      </c>
      <c r="DX54" s="357">
        <f>'Hodnocení '!DX50</f>
        <v>0</v>
      </c>
      <c r="DY54" s="357">
        <f>'Hodnocení '!DY50</f>
        <v>0</v>
      </c>
      <c r="DZ54" s="357">
        <f>'Hodnocení '!DZ50</f>
        <v>0</v>
      </c>
      <c r="EA54" s="357">
        <f>'Hodnocení '!EA50</f>
        <v>0</v>
      </c>
      <c r="EB54" s="357">
        <f>'Hodnocení '!EB50</f>
        <v>0</v>
      </c>
      <c r="EC54" s="357">
        <f>'Hodnocení '!EC50</f>
        <v>0</v>
      </c>
      <c r="ED54" s="357">
        <f>'Hodnocení '!ED50</f>
        <v>0</v>
      </c>
      <c r="EE54" s="357">
        <f>'Hodnocení '!EE50</f>
        <v>0</v>
      </c>
      <c r="EF54" s="357">
        <f>'Hodnocení '!EF50</f>
        <v>0</v>
      </c>
      <c r="EG54" s="357">
        <f>'Hodnocení '!EG50</f>
        <v>0</v>
      </c>
      <c r="EH54" s="357">
        <f>'Hodnocení '!EH50</f>
        <v>0</v>
      </c>
      <c r="EI54" s="357">
        <f>'Hodnocení '!EI50</f>
        <v>0</v>
      </c>
      <c r="EJ54" s="357">
        <f>'Hodnocení '!EJ50</f>
        <v>0</v>
      </c>
      <c r="EK54" s="357">
        <f>'Hodnocení '!EK50</f>
        <v>0</v>
      </c>
      <c r="EL54" s="357">
        <f>'Hodnocení '!EL50</f>
        <v>0</v>
      </c>
      <c r="EM54" s="357">
        <f>'Hodnocení '!EM50</f>
        <v>0</v>
      </c>
      <c r="EN54" s="357">
        <f>'Hodnocení '!EN50</f>
        <v>0</v>
      </c>
      <c r="EO54" s="357">
        <f>'Hodnocení '!EO50</f>
        <v>0</v>
      </c>
      <c r="EP54" s="357">
        <f>'Hodnocení '!EP50</f>
        <v>0</v>
      </c>
      <c r="EQ54" s="357">
        <f>'Hodnocení '!EQ50</f>
        <v>0</v>
      </c>
      <c r="ER54" s="357">
        <f>'Hodnocení '!ER50</f>
        <v>0</v>
      </c>
      <c r="ES54" s="357">
        <f>'Hodnocení '!ES50</f>
        <v>0</v>
      </c>
      <c r="ET54" s="357">
        <f>'Hodnocení '!ET50</f>
        <v>0</v>
      </c>
      <c r="EU54" s="357">
        <f>'Hodnocení '!EU50</f>
        <v>0</v>
      </c>
      <c r="EV54" s="357">
        <f>'Hodnocení '!EV50</f>
        <v>0</v>
      </c>
      <c r="EW54" s="357">
        <f>'Hodnocení '!EW50</f>
        <v>0</v>
      </c>
      <c r="EX54" s="357">
        <f>'Hodnocení '!EX50</f>
        <v>0</v>
      </c>
      <c r="EY54" s="357">
        <f>'Hodnocení '!EY50</f>
        <v>0</v>
      </c>
      <c r="EZ54" s="357">
        <f>'Hodnocení '!EZ50</f>
        <v>0</v>
      </c>
      <c r="FA54" s="357">
        <f>'Hodnocení '!FA50</f>
        <v>0</v>
      </c>
      <c r="FB54" s="357">
        <f>'Hodnocení '!FB50</f>
        <v>0</v>
      </c>
      <c r="FC54" s="357">
        <f>'Hodnocení '!FC50</f>
        <v>0</v>
      </c>
      <c r="FD54" s="357">
        <f>'Hodnocení '!FD50</f>
        <v>0</v>
      </c>
      <c r="FE54" s="357">
        <f>'Hodnocení '!FE50</f>
        <v>0</v>
      </c>
      <c r="FF54" s="357">
        <f>'Hodnocení '!FF50</f>
        <v>0</v>
      </c>
      <c r="FG54" s="357">
        <f>'Hodnocení '!FG50</f>
        <v>0</v>
      </c>
      <c r="FH54" s="357">
        <f>'Hodnocení '!FH50</f>
        <v>0</v>
      </c>
      <c r="FI54" s="357">
        <f>'Hodnocení '!FI50</f>
        <v>0</v>
      </c>
      <c r="FJ54" s="357">
        <f>'Hodnocení '!FJ50</f>
        <v>0</v>
      </c>
      <c r="FK54" s="357">
        <f>'Hodnocení '!FK50</f>
        <v>0</v>
      </c>
      <c r="FL54" s="357">
        <f>'Hodnocení '!FL50</f>
        <v>0</v>
      </c>
      <c r="FM54" s="357">
        <f>'Hodnocení '!FM50</f>
        <v>0</v>
      </c>
      <c r="FN54" s="357">
        <f>'Hodnocení '!FN50</f>
        <v>0</v>
      </c>
      <c r="FO54" s="357">
        <f>'Hodnocení '!FO50</f>
        <v>0</v>
      </c>
      <c r="FP54" s="357">
        <f>'Hodnocení '!FP50</f>
        <v>0</v>
      </c>
      <c r="FQ54" s="357">
        <f>'Hodnocení '!FQ50</f>
        <v>0</v>
      </c>
      <c r="FR54" s="357">
        <f>'Hodnocení '!FR50</f>
        <v>0</v>
      </c>
      <c r="FS54" s="357">
        <f>'Hodnocení '!FS50</f>
        <v>0</v>
      </c>
      <c r="FT54" s="357">
        <f>'Hodnocení '!FT50</f>
        <v>0</v>
      </c>
      <c r="FU54" s="357">
        <f>'Hodnocení '!FU50</f>
        <v>0</v>
      </c>
      <c r="FV54" s="357">
        <f>'Hodnocení '!FV50</f>
        <v>0</v>
      </c>
      <c r="FW54" s="357">
        <f>'Hodnocení '!FW50</f>
        <v>0</v>
      </c>
      <c r="FX54" s="357">
        <f>'Hodnocení '!FX50</f>
        <v>0</v>
      </c>
      <c r="FY54" s="357">
        <f>'Hodnocení '!FY50</f>
        <v>0</v>
      </c>
      <c r="FZ54" s="357">
        <f>'Hodnocení '!FZ50</f>
        <v>0</v>
      </c>
      <c r="GA54" s="357">
        <f>'Hodnocení '!GA50</f>
        <v>0</v>
      </c>
      <c r="GB54" s="357">
        <f>'Hodnocení '!GB50</f>
        <v>0</v>
      </c>
      <c r="GC54" s="357">
        <f>'Hodnocení '!GC50</f>
        <v>0</v>
      </c>
      <c r="GD54" s="357">
        <f>'Hodnocení '!GD50</f>
        <v>0</v>
      </c>
      <c r="GE54" s="357">
        <f>'Hodnocení '!GE50</f>
        <v>0</v>
      </c>
      <c r="GF54" s="357">
        <f>'Hodnocení '!GF50</f>
        <v>0</v>
      </c>
      <c r="GG54" s="357">
        <f>'Hodnocení '!GG50</f>
        <v>0</v>
      </c>
      <c r="GH54" s="357">
        <f>'Hodnocení '!GH50</f>
        <v>0</v>
      </c>
      <c r="GI54" s="357">
        <f>'Hodnocení '!GI50</f>
        <v>0</v>
      </c>
      <c r="GJ54" s="357">
        <f>'Hodnocení '!GJ50</f>
        <v>0</v>
      </c>
      <c r="GK54" s="357">
        <f>'Hodnocení '!GK50</f>
        <v>0</v>
      </c>
      <c r="GL54" s="357">
        <f>'Hodnocení '!GL50</f>
        <v>0</v>
      </c>
      <c r="GM54" s="357">
        <f>'Hodnocení '!GM50</f>
        <v>0</v>
      </c>
      <c r="GN54" s="357">
        <f>'Hodnocení '!GN50</f>
        <v>0</v>
      </c>
      <c r="GO54" s="357">
        <f>'Hodnocení '!GO50</f>
        <v>0</v>
      </c>
      <c r="GP54" s="357">
        <f>'Hodnocení '!GP50</f>
        <v>0</v>
      </c>
      <c r="GQ54" s="357">
        <f>'Hodnocení '!GQ50</f>
        <v>0</v>
      </c>
      <c r="GR54" s="357">
        <f>'Hodnocení '!GR50</f>
        <v>0</v>
      </c>
      <c r="GS54" s="357">
        <f>'Hodnocení '!GS50</f>
        <v>0</v>
      </c>
      <c r="GT54" s="357">
        <f>'Hodnocení '!GT50</f>
        <v>0</v>
      </c>
      <c r="GU54" s="357">
        <f>'Hodnocení '!GU50</f>
        <v>0</v>
      </c>
      <c r="GV54" s="357">
        <f>'Hodnocení '!GV50</f>
        <v>0</v>
      </c>
      <c r="GW54" s="357">
        <f>'Hodnocení '!GW50</f>
        <v>0</v>
      </c>
      <c r="GX54" s="357">
        <f>'Hodnocení '!GX50</f>
        <v>0</v>
      </c>
      <c r="GY54" s="357">
        <f>'Hodnocení '!GY50</f>
        <v>0</v>
      </c>
      <c r="GZ54" s="357">
        <f>'Hodnocení '!GZ50</f>
        <v>0</v>
      </c>
      <c r="HA54" s="357">
        <f>'Hodnocení '!HA50</f>
        <v>0</v>
      </c>
      <c r="HB54" s="357">
        <f>'Hodnocení '!HB50</f>
        <v>0</v>
      </c>
      <c r="HC54" s="357">
        <f>'Hodnocení '!HC50</f>
        <v>0</v>
      </c>
      <c r="HD54" s="357">
        <f>'Hodnocení '!HD50</f>
        <v>0</v>
      </c>
      <c r="HE54" s="357">
        <f>'Hodnocení '!HE50</f>
        <v>0</v>
      </c>
      <c r="HF54" s="357">
        <f>'Hodnocení '!HF50</f>
        <v>0</v>
      </c>
      <c r="HG54" s="357">
        <f>'Hodnocení '!HG50</f>
        <v>0</v>
      </c>
      <c r="HH54" s="357">
        <f>'Hodnocení '!HH50</f>
        <v>0</v>
      </c>
      <c r="HI54" s="357">
        <f>'Hodnocení '!HI50</f>
        <v>0</v>
      </c>
      <c r="HJ54" s="357">
        <f>'Hodnocení '!HJ50</f>
        <v>0</v>
      </c>
      <c r="HK54" s="357">
        <f>'Hodnocení '!HK50</f>
        <v>0</v>
      </c>
      <c r="HL54" s="357">
        <f>'Hodnocení '!HL50</f>
        <v>0</v>
      </c>
      <c r="HM54" s="357">
        <f>'Hodnocení '!HM50</f>
        <v>0</v>
      </c>
      <c r="HN54" s="357">
        <f>'Hodnocení '!HN50</f>
        <v>0</v>
      </c>
      <c r="HO54" s="357">
        <f>'Hodnocení '!HO50</f>
        <v>0</v>
      </c>
      <c r="HP54" s="357">
        <f>'Hodnocení '!HP50</f>
        <v>0</v>
      </c>
      <c r="HQ54" s="357">
        <f>'Hodnocení '!HQ50</f>
        <v>0</v>
      </c>
      <c r="HR54" s="357">
        <f>'Hodnocení '!HR50</f>
        <v>0</v>
      </c>
      <c r="HS54" s="357">
        <f>'Hodnocení '!HS50</f>
        <v>0</v>
      </c>
      <c r="HT54" s="357">
        <f>'Hodnocení '!HT50</f>
        <v>0</v>
      </c>
      <c r="HU54" s="357">
        <f>'Hodnocení '!HU50</f>
        <v>0</v>
      </c>
      <c r="HV54" s="357">
        <f>'Hodnocení '!HV50</f>
        <v>0</v>
      </c>
      <c r="HW54" s="357">
        <f>'Hodnocení '!HW50</f>
        <v>0</v>
      </c>
      <c r="HX54" s="357">
        <f>'Hodnocení '!HX50</f>
        <v>0</v>
      </c>
      <c r="HY54" s="357">
        <f>'Hodnocení '!HY50</f>
        <v>0</v>
      </c>
      <c r="HZ54" s="357">
        <f>'Hodnocení '!HZ50</f>
        <v>0</v>
      </c>
      <c r="IA54" s="357">
        <f>'Hodnocení '!IA50</f>
        <v>0</v>
      </c>
      <c r="IB54" s="357">
        <f>'Hodnocení '!IB50</f>
        <v>0</v>
      </c>
      <c r="IC54" s="357">
        <f>'Hodnocení '!IC50</f>
        <v>0</v>
      </c>
      <c r="ID54" s="357">
        <f>'Hodnocení '!ID50</f>
        <v>0</v>
      </c>
      <c r="IE54" s="357">
        <f>'Hodnocení '!IE50</f>
        <v>0</v>
      </c>
      <c r="IF54" s="357">
        <f>'Hodnocení '!IF50</f>
        <v>0</v>
      </c>
      <c r="IG54" s="357">
        <f>'Hodnocení '!IG50</f>
        <v>0</v>
      </c>
      <c r="IH54" s="357">
        <f>'Hodnocení '!IH50</f>
        <v>0</v>
      </c>
      <c r="II54" s="357">
        <f>'Hodnocení '!II50</f>
        <v>0</v>
      </c>
      <c r="IJ54" s="357">
        <f>'Hodnocení '!IJ50</f>
        <v>0</v>
      </c>
      <c r="IK54" s="357">
        <f>'Hodnocení '!IK50</f>
        <v>0</v>
      </c>
      <c r="IL54" s="357">
        <f>'Hodnocení '!IL50</f>
        <v>0</v>
      </c>
      <c r="IM54" s="357">
        <f>'Hodnocení '!IM50</f>
        <v>0</v>
      </c>
      <c r="IN54" s="357">
        <f>'Hodnocení '!IN50</f>
        <v>0</v>
      </c>
      <c r="IO54" s="357">
        <f>'Hodnocení '!IO50</f>
        <v>0</v>
      </c>
      <c r="IP54" s="357">
        <f>'Hodnocení '!IP50</f>
        <v>0</v>
      </c>
      <c r="IQ54" s="357">
        <f>'Hodnocení '!IQ50</f>
        <v>0</v>
      </c>
      <c r="IR54" s="357">
        <f>'Hodnocení '!IR50</f>
        <v>0</v>
      </c>
      <c r="IS54" s="357">
        <f>'Hodnocení '!IS50</f>
        <v>0</v>
      </c>
      <c r="IT54" s="357">
        <f>'Hodnocení '!IT50</f>
        <v>0</v>
      </c>
      <c r="IU54" s="357">
        <f>'Hodnocení '!IU50</f>
        <v>0</v>
      </c>
      <c r="IV54" s="357">
        <f>'Hodnocení '!IV50</f>
        <v>0</v>
      </c>
      <c r="IW54" s="357">
        <f>'Hodnocení '!IW50</f>
        <v>0</v>
      </c>
      <c r="IX54" s="357">
        <f>'Hodnocení '!IX50</f>
        <v>0</v>
      </c>
      <c r="IY54" s="357">
        <f>'Hodnocení '!IY50</f>
        <v>0</v>
      </c>
      <c r="IZ54" s="357">
        <f>'Hodnocení '!IZ50</f>
        <v>0</v>
      </c>
      <c r="JA54" s="357">
        <f>'Hodnocení '!JA50</f>
        <v>0</v>
      </c>
      <c r="JB54" s="357">
        <f>'Hodnocení '!JB50</f>
        <v>0</v>
      </c>
      <c r="JC54" s="357">
        <f>'Hodnocení '!JC50</f>
        <v>0</v>
      </c>
      <c r="JD54" s="357">
        <f>'Hodnocení '!JD50</f>
        <v>0</v>
      </c>
      <c r="JE54" s="357">
        <f>'Hodnocení '!JE50</f>
        <v>0</v>
      </c>
      <c r="JF54" s="357">
        <f>'Hodnocení '!JF50</f>
        <v>0</v>
      </c>
      <c r="JG54" s="357">
        <f>'Hodnocení '!JG50</f>
        <v>0</v>
      </c>
      <c r="JH54" s="772">
        <f>'Hodnocení '!JH50</f>
        <v>0</v>
      </c>
      <c r="JI54" s="315">
        <f>'Hodnocení '!JI50</f>
        <v>0</v>
      </c>
    </row>
    <row r="55" spans="1:277" x14ac:dyDescent="0.25">
      <c r="A55" s="557"/>
      <c r="B55" s="734" t="s">
        <v>2542</v>
      </c>
      <c r="C55" s="781">
        <f>'Hodnocení '!C51</f>
        <v>9246049.1510793846</v>
      </c>
      <c r="D55" s="687">
        <f>'Hodnocení '!D51</f>
        <v>8080000</v>
      </c>
      <c r="E55" s="687">
        <f>'Hodnocení '!E51</f>
        <v>8707194.8468445688</v>
      </c>
      <c r="F55" s="687">
        <f>'Hodnocení '!F51</f>
        <v>3616884.7088353573</v>
      </c>
      <c r="G55" s="687">
        <f>'Hodnocení '!G51</f>
        <v>10328003.127290595</v>
      </c>
      <c r="H55" s="687">
        <f>'Hodnocení '!H51</f>
        <v>0</v>
      </c>
      <c r="I55" s="687">
        <f>'Hodnocení '!I51</f>
        <v>0</v>
      </c>
      <c r="J55" s="687">
        <f>'Hodnocení '!J51</f>
        <v>126485.23608403429</v>
      </c>
      <c r="K55" s="687">
        <f>'Hodnocení '!K51</f>
        <v>5569047.6841046801</v>
      </c>
      <c r="L55" s="687">
        <f>'Hodnocení '!L51</f>
        <v>3749955.8292569402</v>
      </c>
      <c r="M55" s="687">
        <f>'Hodnocení '!M51</f>
        <v>3667775.238895766</v>
      </c>
      <c r="N55" s="687">
        <f>'Hodnocení '!N51</f>
        <v>4468302.8370803231</v>
      </c>
      <c r="O55" s="687">
        <f>'Hodnocení '!O51</f>
        <v>4201135.2104233941</v>
      </c>
      <c r="P55" s="687">
        <f>'Hodnocení '!P51</f>
        <v>2570026.0021816893</v>
      </c>
      <c r="Q55" s="687">
        <f>'Hodnocení '!Q51</f>
        <v>1836488.4791010155</v>
      </c>
      <c r="R55" s="687">
        <f>'Hodnocení '!R51</f>
        <v>1995152.5855679074</v>
      </c>
      <c r="S55" s="687">
        <f>'Hodnocení '!S51</f>
        <v>1592295.0747897534</v>
      </c>
      <c r="T55" s="687">
        <f>'Hodnocení '!T51</f>
        <v>622773.51077815378</v>
      </c>
      <c r="U55" s="687">
        <f>'Hodnocení '!U51</f>
        <v>949160.26616723067</v>
      </c>
      <c r="V55" s="687">
        <f>'Hodnocení '!V51</f>
        <v>9030900</v>
      </c>
      <c r="W55" s="687">
        <f>'Hodnocení '!W51</f>
        <v>2379600</v>
      </c>
      <c r="X55" s="687">
        <f>'Hodnocení '!X51</f>
        <v>2069081.086187847</v>
      </c>
      <c r="Y55" s="687">
        <f>'Hodnocení '!Y51</f>
        <v>1969745.4492107111</v>
      </c>
      <c r="Z55" s="687">
        <f>'Hodnocení '!Z51</f>
        <v>7441924</v>
      </c>
      <c r="AA55" s="687">
        <f>'Hodnocení '!AA51</f>
        <v>4018818.3267021552</v>
      </c>
      <c r="AB55" s="687">
        <f>'Hodnocení '!AB51</f>
        <v>2999148.135966239</v>
      </c>
      <c r="AC55" s="687">
        <f>'Hodnocení '!AC51</f>
        <v>471661.84132364974</v>
      </c>
      <c r="AD55" s="687">
        <f>'Hodnocení '!AD51</f>
        <v>2341104.6985613657</v>
      </c>
      <c r="AE55" s="687">
        <f>'Hodnocení '!AE51</f>
        <v>103737.52589894389</v>
      </c>
      <c r="AF55" s="687">
        <f>'Hodnocení '!AF51</f>
        <v>1219244.9295379582</v>
      </c>
      <c r="AG55" s="687">
        <f>'Hodnocení '!AG51</f>
        <v>3243107.0288166855</v>
      </c>
      <c r="AH55" s="687">
        <f>'Hodnocení '!AH51</f>
        <v>807300</v>
      </c>
      <c r="AI55" s="687">
        <f>'Hodnocení '!AI51</f>
        <v>4368180</v>
      </c>
      <c r="AJ55" s="687">
        <f>'Hodnocení '!AJ51</f>
        <v>2788040</v>
      </c>
      <c r="AK55" s="687">
        <f>'Hodnocení '!AK51</f>
        <v>1383868</v>
      </c>
      <c r="AL55" s="687">
        <f>'Hodnocení '!AL51</f>
        <v>1952909.1633510776</v>
      </c>
      <c r="AM55" s="687">
        <f>'Hodnocení '!AM51</f>
        <v>1499708.3726341231</v>
      </c>
      <c r="AN55" s="687">
        <f>'Hodnocení '!AN51</f>
        <v>900316.50444272615</v>
      </c>
      <c r="AO55" s="687">
        <f>'Hodnocení '!AO51</f>
        <v>3733033.6631408297</v>
      </c>
      <c r="AP55" s="687">
        <f>'Hodnocení '!AP51</f>
        <v>2181740</v>
      </c>
      <c r="AQ55" s="687">
        <f>'Hodnocení '!AQ51</f>
        <v>247109.40431126149</v>
      </c>
      <c r="AR55" s="687">
        <f>'Hodnocení '!AR51</f>
        <v>1531740.3992508459</v>
      </c>
      <c r="AS55" s="687">
        <f>'Hodnocení '!AS51</f>
        <v>408664.10646689229</v>
      </c>
      <c r="AT55" s="687">
        <f>'Hodnocení '!AT51</f>
        <v>1940142.1939772759</v>
      </c>
      <c r="AU55" s="687">
        <f>'Hodnocení '!AU51</f>
        <v>891886.2833224081</v>
      </c>
      <c r="AV55" s="687">
        <f>'Hodnocení '!AV51</f>
        <v>2003660.6772952261</v>
      </c>
      <c r="AW55" s="687">
        <f>'Hodnocení '!AW51</f>
        <v>16112.012350120116</v>
      </c>
      <c r="AX55" s="687">
        <f>'Hodnocení '!AX51</f>
        <v>2631815.8082949743</v>
      </c>
      <c r="AY55" s="687">
        <f>'Hodnocení '!AY51</f>
        <v>2954681.8379533906</v>
      </c>
      <c r="AZ55" s="687">
        <f>'Hodnocení '!AZ51</f>
        <v>3434507</v>
      </c>
      <c r="BA55" s="687">
        <f>'Hodnocení '!BA51</f>
        <v>9913000</v>
      </c>
      <c r="BB55" s="687">
        <f>'Hodnocení '!BB51</f>
        <v>1271269.6704784923</v>
      </c>
      <c r="BC55" s="687">
        <f>'Hodnocení '!BC51</f>
        <v>1223742.4938025323</v>
      </c>
      <c r="BD55" s="687">
        <f>'Hodnocení '!BD51</f>
        <v>1716343.9493165785</v>
      </c>
      <c r="BE55" s="687">
        <f>'Hodnocení '!BE51</f>
        <v>0</v>
      </c>
      <c r="BF55" s="687">
        <f>'Hodnocení '!BF51</f>
        <v>2669371.3941904306</v>
      </c>
      <c r="BG55" s="687">
        <f>'Hodnocení '!BG51</f>
        <v>3342000</v>
      </c>
      <c r="BH55" s="687">
        <f>'Hodnocení '!BH51</f>
        <v>3388109.2415605099</v>
      </c>
      <c r="BI55" s="687">
        <f>'Hodnocení '!BI51</f>
        <v>2370000</v>
      </c>
      <c r="BJ55" s="687">
        <f>'Hodnocení '!BJ51</f>
        <v>2617236.6701121721</v>
      </c>
      <c r="BK55" s="687">
        <f>'Hodnocení '!BK51</f>
        <v>122000</v>
      </c>
      <c r="BL55" s="687">
        <f>'Hodnocení '!BL51</f>
        <v>455138.49500087276</v>
      </c>
      <c r="BM55" s="687">
        <f>'Hodnocení '!BM51</f>
        <v>2033799.04</v>
      </c>
      <c r="BN55" s="687">
        <f>'Hodnocení '!BN51</f>
        <v>1620066.5982387629</v>
      </c>
      <c r="BO55" s="687">
        <f>'Hodnocení '!BO51</f>
        <v>893754.3738330903</v>
      </c>
      <c r="BP55" s="687">
        <f>'Hodnocení '!BP51</f>
        <v>4652080</v>
      </c>
      <c r="BQ55" s="687">
        <f>'Hodnocení '!BQ51</f>
        <v>0</v>
      </c>
      <c r="BR55" s="687">
        <f>'Hodnocení '!BR51</f>
        <v>922744.23955050774</v>
      </c>
      <c r="BS55" s="687">
        <f>'Hodnocení '!BS51</f>
        <v>1106992.3194006768</v>
      </c>
      <c r="BT55" s="687">
        <f>'Hodnocení '!BT51</f>
        <v>914160.26616723067</v>
      </c>
      <c r="BU55" s="687">
        <f>'Hodnocení '!BU51</f>
        <v>3296637.2294955002</v>
      </c>
      <c r="BV55" s="687">
        <f>'Hodnocení '!BV51</f>
        <v>1073756.9828447448</v>
      </c>
      <c r="BW55" s="687">
        <f>'Hodnocení '!BW51</f>
        <v>279282.84005258582</v>
      </c>
      <c r="BX55" s="687">
        <f>'Hodnocení '!BX51</f>
        <v>3752473.123708467</v>
      </c>
      <c r="BY55" s="687">
        <f>'Hodnocení '!BY51</f>
        <v>1335527.6887355854</v>
      </c>
      <c r="BZ55" s="687">
        <f>'Hodnocení '!BZ51</f>
        <v>99019.987553595856</v>
      </c>
      <c r="CA55" s="687">
        <f>'Hodnocení '!CA51</f>
        <v>0</v>
      </c>
      <c r="CB55" s="687">
        <f>'Hodnocení '!CB51</f>
        <v>199370.83989924585</v>
      </c>
      <c r="CC55" s="687">
        <f>'Hodnocení '!CC51</f>
        <v>2010013.9100289997</v>
      </c>
      <c r="CD55" s="687">
        <f>'Hodnocení '!CD51</f>
        <v>586773.51077815378</v>
      </c>
      <c r="CE55" s="687">
        <f>'Hodnocení '!CE51</f>
        <v>9715050.1253167707</v>
      </c>
      <c r="CF55" s="687">
        <f>'Hodnocení '!CF51</f>
        <v>4453617.8393289512</v>
      </c>
      <c r="CG55" s="687">
        <f>'Hodnocení '!CG51</f>
        <v>231159.49607044645</v>
      </c>
      <c r="CH55" s="687">
        <f>'Hodnocení '!CH51</f>
        <v>0</v>
      </c>
      <c r="CI55" s="687">
        <f>'Hodnocení '!CI51</f>
        <v>21633.155796868727</v>
      </c>
      <c r="CJ55" s="687">
        <f>'Hodnocení '!CJ51</f>
        <v>3854195.0818283353</v>
      </c>
      <c r="CK55" s="687">
        <f>'Hodnocení '!CK51</f>
        <v>4571780</v>
      </c>
      <c r="CL55" s="687">
        <f>'Hodnocení '!CL51</f>
        <v>56438.59728209069</v>
      </c>
      <c r="CM55" s="687">
        <f>'Hodnocení '!CM51</f>
        <v>6012336.4399863137</v>
      </c>
      <c r="CN55" s="687">
        <f>'Hodnocení '!CN51</f>
        <v>1149857.8541530101</v>
      </c>
      <c r="CO55" s="687">
        <f>'Hodnocení '!CO51</f>
        <v>1064857.8541530101</v>
      </c>
      <c r="CP55" s="687">
        <f>'Hodnocení '!CP51</f>
        <v>1099857.8541530101</v>
      </c>
      <c r="CQ55" s="687">
        <f>'Hodnocení '!CQ51</f>
        <v>5515036.573718125</v>
      </c>
      <c r="CR55" s="687">
        <f>'Hodnocení '!CR51</f>
        <v>2367817</v>
      </c>
      <c r="CS55" s="687">
        <f>'Hodnocení '!CS51</f>
        <v>187555.67419309285</v>
      </c>
      <c r="CT55" s="687">
        <f>'Hodnocení '!CT51</f>
        <v>0</v>
      </c>
      <c r="CU55" s="687">
        <f>'Hodnocení '!CU51</f>
        <v>1974027.6887355854</v>
      </c>
      <c r="CV55" s="687">
        <f>'Hodnocení '!CV51</f>
        <v>5237702.4005636657</v>
      </c>
      <c r="CW55" s="687">
        <f>'Hodnocení '!CW51</f>
        <v>445664.10646689229</v>
      </c>
      <c r="CX55" s="687">
        <f>'Hodnocení '!CX51</f>
        <v>3686532</v>
      </c>
      <c r="CY55" s="687">
        <f>'Hodnocení '!CY51</f>
        <v>2881083.2839012085</v>
      </c>
      <c r="CZ55" s="687">
        <f>'Hodnocení '!CZ51</f>
        <v>446100</v>
      </c>
      <c r="DA55" s="687">
        <f>'Hodnocení '!DA51</f>
        <v>8578781.7210858986</v>
      </c>
      <c r="DB55" s="687">
        <f>'Hodnocení '!DB51</f>
        <v>654189.53739487671</v>
      </c>
      <c r="DC55" s="687">
        <f>'Hodnocení '!DC51</f>
        <v>1707286.7812295151</v>
      </c>
      <c r="DD55" s="687">
        <f>'Hodnocení '!DD51</f>
        <v>8653.8338337875903</v>
      </c>
      <c r="DE55" s="687">
        <f>'Hodnocení '!DE51</f>
        <v>1595404.8713862468</v>
      </c>
      <c r="DF55" s="687">
        <f>'Hodnocení '!DF51</f>
        <v>7381996.8713862468</v>
      </c>
      <c r="DG55" s="687">
        <f>'Hodnocení '!DG51</f>
        <v>802938.16515118408</v>
      </c>
      <c r="DH55" s="687">
        <f>'Hodnocení '!DH51</f>
        <v>908244.44020215096</v>
      </c>
      <c r="DI55" s="687">
        <f>'Hodnocení '!DI51</f>
        <v>0</v>
      </c>
      <c r="DJ55" s="687">
        <f>'Hodnocení '!DJ51</f>
        <v>65990.976314039901</v>
      </c>
      <c r="DK55" s="687">
        <f>'Hodnocení '!DK51</f>
        <v>0</v>
      </c>
      <c r="DL55" s="687">
        <f>'Hodnocení '!DL51</f>
        <v>3021993.2555374205</v>
      </c>
      <c r="DM55" s="687">
        <f>'Hodnocení '!DM51</f>
        <v>1912949.4414940039</v>
      </c>
      <c r="DN55" s="687">
        <f>'Hodnocení '!DN51</f>
        <v>3390573.5624590302</v>
      </c>
      <c r="DO55" s="687">
        <f>'Hodnocení '!DO51</f>
        <v>1402300.3922101089</v>
      </c>
      <c r="DP55" s="687">
        <f>'Hodnocení '!DP51</f>
        <v>3858288.0259972829</v>
      </c>
      <c r="DQ55" s="687">
        <f>'Hodnocení '!DQ51</f>
        <v>4329795</v>
      </c>
      <c r="DR55" s="687">
        <f>'Hodnocení '!DR51</f>
        <v>4985313.5</v>
      </c>
      <c r="DS55" s="687">
        <f>'Hodnocení '!DS51</f>
        <v>1625552.2365860054</v>
      </c>
      <c r="DT55" s="687">
        <f>'Hodnocení '!DT51</f>
        <v>3360500</v>
      </c>
      <c r="DU55" s="687">
        <f>'Hodnocení '!DU51</f>
        <v>0</v>
      </c>
      <c r="DV55" s="687">
        <f>'Hodnocení '!DV51</f>
        <v>6440000</v>
      </c>
      <c r="DW55" s="687">
        <f>'Hodnocení '!DW51</f>
        <v>0</v>
      </c>
      <c r="DX55" s="687">
        <f>'Hodnocení '!DX51</f>
        <v>0</v>
      </c>
      <c r="DY55" s="687">
        <f>'Hodnocení '!DY51</f>
        <v>4581142.7504826486</v>
      </c>
      <c r="DZ55" s="687">
        <f>'Hodnocení '!DZ51</f>
        <v>723925.6888148766</v>
      </c>
      <c r="EA55" s="687">
        <f>'Hodnocení '!EA51</f>
        <v>3387972.7647054419</v>
      </c>
      <c r="EB55" s="687">
        <f>'Hodnocení '!EB51</f>
        <v>5751412.8583436497</v>
      </c>
      <c r="EC55" s="687">
        <f>'Hodnocení '!EC51</f>
        <v>3191237.7834975314</v>
      </c>
      <c r="ED55" s="687">
        <f>'Hodnocení '!ED51</f>
        <v>3500133.2612115145</v>
      </c>
      <c r="EE55" s="687">
        <f>'Hodnocení '!EE51</f>
        <v>744189.53739487671</v>
      </c>
      <c r="EF55" s="687">
        <f>'Hodnocení '!EF51</f>
        <v>813466.88847269223</v>
      </c>
      <c r="EG55" s="687">
        <f>'Hodnocení '!EG51</f>
        <v>418924.26007887878</v>
      </c>
      <c r="EH55" s="687">
        <f>'Hodnocení '!EH51</f>
        <v>719811.80860682938</v>
      </c>
      <c r="EI55" s="687">
        <f>'Hodnocení '!EI51</f>
        <v>1178000</v>
      </c>
      <c r="EJ55" s="687">
        <f>'Hodnocení '!EJ51</f>
        <v>0</v>
      </c>
      <c r="EK55" s="687">
        <f>'Hodnocení '!EK51</f>
        <v>3074481.0875684507</v>
      </c>
      <c r="EL55" s="687">
        <f>'Hodnocení '!EL51</f>
        <v>8819171.525295848</v>
      </c>
      <c r="EM55" s="687">
        <f>'Hodnocení '!EM51</f>
        <v>2817690.3194428757</v>
      </c>
      <c r="EN55" s="687">
        <f>'Hodnocení '!EN51</f>
        <v>2365410.3824750152</v>
      </c>
      <c r="EO55" s="687">
        <f>'Hodnocení '!EO51</f>
        <v>282109.40431126149</v>
      </c>
      <c r="EP55" s="687">
        <f>'Hodnocení '!EP51</f>
        <v>2982329.1261055968</v>
      </c>
      <c r="EQ55" s="687">
        <f>'Hodnocení '!EQ51</f>
        <v>1752875.490262636</v>
      </c>
      <c r="ER55" s="687">
        <f>'Hodnocení '!ER51</f>
        <v>6886000</v>
      </c>
      <c r="ES55" s="687">
        <f>'Hodnocení '!ES51</f>
        <v>0</v>
      </c>
      <c r="ET55" s="687">
        <f>'Hodnocení '!ET51</f>
        <v>1009463.051162631</v>
      </c>
      <c r="EU55" s="687">
        <f>'Hodnocení '!EU51</f>
        <v>2855783.9144364195</v>
      </c>
      <c r="EV55" s="687">
        <f>'Hodnocení '!EV51</f>
        <v>477773.51077815378</v>
      </c>
      <c r="EW55" s="687">
        <f>'Hodnocení '!EW51</f>
        <v>2713993.2555374205</v>
      </c>
      <c r="EX55" s="687">
        <f>'Hodnocení '!EX51</f>
        <v>6400000</v>
      </c>
      <c r="EY55" s="687">
        <f>'Hodnocení '!EY51</f>
        <v>2210257.3620478925</v>
      </c>
      <c r="EZ55" s="687">
        <f>'Hodnocení '!EZ51</f>
        <v>0</v>
      </c>
      <c r="FA55" s="687">
        <f>'Hodnocení '!FA51</f>
        <v>1647298.424768026</v>
      </c>
      <c r="FB55" s="687">
        <f>'Hodnocení '!FB51</f>
        <v>265664.49062636285</v>
      </c>
      <c r="FC55" s="687">
        <f>'Hodnocení '!FC51</f>
        <v>3419615.4215486925</v>
      </c>
      <c r="FD55" s="687">
        <f>'Hodnocení '!FD51</f>
        <v>0</v>
      </c>
      <c r="FE55" s="687">
        <f>'Hodnocení '!FE51</f>
        <v>381240.58884631132</v>
      </c>
      <c r="FF55" s="687">
        <f>'Hodnocení '!FF51</f>
        <v>1561200</v>
      </c>
      <c r="FG55" s="687">
        <f>'Hodnocení '!FG51</f>
        <v>7803422.0195525251</v>
      </c>
      <c r="FH55" s="687">
        <f>'Hodnocení '!FH51</f>
        <v>6553103</v>
      </c>
      <c r="FI55" s="687">
        <f>'Hodnocení '!FI51</f>
        <v>8710000</v>
      </c>
      <c r="FJ55" s="687">
        <f>'Hodnocení '!FJ51</f>
        <v>2048857</v>
      </c>
      <c r="FK55" s="687">
        <f>'Hodnocení '!FK51</f>
        <v>329983.22672073392</v>
      </c>
      <c r="FL55" s="687">
        <f>'Hodnocení '!FL51</f>
        <v>703612.78406076948</v>
      </c>
      <c r="FM55" s="687">
        <f>'Hodnocení '!FM51</f>
        <v>3934590.6565853953</v>
      </c>
      <c r="FN55" s="687">
        <f>'Hodnocení '!FN51</f>
        <v>7374936.4799554544</v>
      </c>
      <c r="FO55" s="687">
        <f>'Hodnocení '!FO51</f>
        <v>1788495</v>
      </c>
      <c r="FP55" s="687">
        <f>'Hodnocení '!FP51</f>
        <v>13683456</v>
      </c>
      <c r="FQ55" s="687">
        <f>'Hodnocení '!FQ51</f>
        <v>2074686</v>
      </c>
      <c r="FR55" s="687">
        <f>'Hodnocení '!FR51</f>
        <v>236957.19834991742</v>
      </c>
      <c r="FS55" s="687">
        <f>'Hodnocení '!FS51</f>
        <v>494433</v>
      </c>
      <c r="FT55" s="687">
        <f>'Hodnocení '!FT51</f>
        <v>3631470.1663162932</v>
      </c>
      <c r="FU55" s="687">
        <f>'Hodnocení '!FU51</f>
        <v>513699</v>
      </c>
      <c r="FV55" s="687">
        <f>'Hodnocení '!FV51</f>
        <v>646327.31987489713</v>
      </c>
      <c r="FW55" s="687">
        <f>'Hodnocení '!FW51</f>
        <v>1483179</v>
      </c>
      <c r="FX55" s="687">
        <f>'Hodnocení '!FX51</f>
        <v>585795.82000000007</v>
      </c>
      <c r="FY55" s="687">
        <f>'Hodnocení '!FY51</f>
        <v>336810</v>
      </c>
      <c r="FZ55" s="687">
        <f>'Hodnocení '!FZ51</f>
        <v>2937555.0490599889</v>
      </c>
      <c r="GA55" s="687">
        <f>'Hodnocení '!GA51</f>
        <v>281420.48958755797</v>
      </c>
      <c r="GB55" s="687">
        <f>'Hodnocení '!GB51</f>
        <v>2917014.4862977713</v>
      </c>
      <c r="GC55" s="687">
        <f>'Hodnocení '!GC51</f>
        <v>2565300.1421770533</v>
      </c>
      <c r="GD55" s="687">
        <f>'Hodnocení '!GD51</f>
        <v>9906649.8884656765</v>
      </c>
      <c r="GE55" s="687">
        <f>'Hodnocení '!GE51</f>
        <v>263290.93400108395</v>
      </c>
      <c r="GF55" s="687">
        <f>'Hodnocení '!GF51</f>
        <v>4128600.1778761428</v>
      </c>
      <c r="GG55" s="687">
        <f>'Hodnocení '!GG51</f>
        <v>1235672.3627191633</v>
      </c>
      <c r="GH55" s="687">
        <f>'Hodnocení '!GH51</f>
        <v>1220741.4312772285</v>
      </c>
      <c r="GI55" s="687">
        <f>'Hodnocení '!GI51</f>
        <v>8873249.0869674683</v>
      </c>
      <c r="GJ55" s="687">
        <f>'Hodnocení '!GJ51</f>
        <v>2244910</v>
      </c>
      <c r="GK55" s="687">
        <f>'Hodnocení '!GK51</f>
        <v>1545953</v>
      </c>
      <c r="GL55" s="687">
        <f>'Hodnocení '!GL51</f>
        <v>595846</v>
      </c>
      <c r="GM55" s="687">
        <f>'Hodnocení '!GM51</f>
        <v>857634</v>
      </c>
      <c r="GN55" s="687">
        <f>'Hodnocení '!GN51</f>
        <v>950602.34</v>
      </c>
      <c r="GO55" s="687">
        <f>'Hodnocení '!GO51</f>
        <v>5215641</v>
      </c>
      <c r="GP55" s="687">
        <f>'Hodnocení '!GP51</f>
        <v>546320.06174100889</v>
      </c>
      <c r="GQ55" s="687">
        <f>'Hodnocení '!GQ51</f>
        <v>699796</v>
      </c>
      <c r="GR55" s="687">
        <f>'Hodnocení '!GR51</f>
        <v>727124.60565148341</v>
      </c>
      <c r="GS55" s="687">
        <f>'Hodnocení '!GS51</f>
        <v>113648.04672073387</v>
      </c>
      <c r="GT55" s="687">
        <f>'Hodnocení '!GT51</f>
        <v>9374987.532092277</v>
      </c>
      <c r="GU55" s="687">
        <f>'Hodnocení '!GU51</f>
        <v>1124440</v>
      </c>
      <c r="GV55" s="687">
        <f>'Hodnocení '!GV51</f>
        <v>5826176.6456662463</v>
      </c>
      <c r="GW55" s="687">
        <f>'Hodnocení '!GW51</f>
        <v>1048163.6277687103</v>
      </c>
      <c r="GX55" s="687">
        <f>'Hodnocení '!GX51</f>
        <v>342955.48977144714</v>
      </c>
      <c r="GY55" s="687">
        <f>'Hodnocení '!GY51</f>
        <v>13503975</v>
      </c>
      <c r="GZ55" s="687">
        <f>'Hodnocení '!GZ51</f>
        <v>0</v>
      </c>
      <c r="HA55" s="687">
        <f>'Hodnocení '!HA51</f>
        <v>5787297.7336099232</v>
      </c>
      <c r="HB55" s="687">
        <f>'Hodnocení '!HB51</f>
        <v>2721504.0990156494</v>
      </c>
      <c r="HC55" s="687">
        <f>'Hodnocení '!HC51</f>
        <v>6593000</v>
      </c>
      <c r="HD55" s="687">
        <f>'Hodnocení '!HD51</f>
        <v>2094993.1421770533</v>
      </c>
      <c r="HE55" s="687">
        <f>'Hodnocení '!HE51</f>
        <v>6790355</v>
      </c>
      <c r="HF55" s="687">
        <f>'Hodnocení '!HF51</f>
        <v>1122650</v>
      </c>
      <c r="HG55" s="687">
        <f>'Hodnocení '!HG51</f>
        <v>663237.36</v>
      </c>
      <c r="HH55" s="687">
        <f>'Hodnocení '!HH51</f>
        <v>2034520.6688166854</v>
      </c>
      <c r="HI55" s="687">
        <f>'Hodnocení '!HI51</f>
        <v>2365686.3688977864</v>
      </c>
      <c r="HJ55" s="687">
        <f>'Hodnocení '!HJ51</f>
        <v>0</v>
      </c>
      <c r="HK55" s="687">
        <f>'Hodnocení '!HK51</f>
        <v>209300</v>
      </c>
      <c r="HL55" s="687">
        <f>'Hodnocení '!HL51</f>
        <v>30761693.812790565</v>
      </c>
      <c r="HM55" s="687">
        <f>'Hodnocení '!HM51</f>
        <v>17375619.107148226</v>
      </c>
      <c r="HN55" s="687">
        <f>'Hodnocení '!HN51</f>
        <v>0</v>
      </c>
      <c r="HO55" s="687">
        <f>'Hodnocení '!HO51</f>
        <v>0</v>
      </c>
      <c r="HP55" s="687">
        <f>'Hodnocení '!HP51</f>
        <v>24549000</v>
      </c>
      <c r="HQ55" s="687">
        <f>'Hodnocení '!HQ51</f>
        <v>741876.88410925679</v>
      </c>
      <c r="HR55" s="687">
        <f>'Hodnocení '!HR51</f>
        <v>26307120.308611114</v>
      </c>
      <c r="HS55" s="687">
        <f>'Hodnocení '!HS51</f>
        <v>5169783.9315081565</v>
      </c>
      <c r="HT55" s="687">
        <f>'Hodnocení '!HT51</f>
        <v>11933469.590470783</v>
      </c>
      <c r="HU55" s="687">
        <f>'Hodnocení '!HU51</f>
        <v>21402219.005208258</v>
      </c>
      <c r="HV55" s="687">
        <f>'Hodnocení '!HV51</f>
        <v>16235000</v>
      </c>
      <c r="HW55" s="687">
        <f>'Hodnocení '!HW51</f>
        <v>3919370.5898645641</v>
      </c>
      <c r="HX55" s="687">
        <f>'Hodnocení '!HX51</f>
        <v>18161270.751516331</v>
      </c>
      <c r="HY55" s="687">
        <f>'Hodnocení '!HY51</f>
        <v>13682282.173444685</v>
      </c>
      <c r="HZ55" s="687">
        <f>'Hodnocení '!HZ51</f>
        <v>8152004.9776938297</v>
      </c>
      <c r="IA55" s="687">
        <f>'Hodnocení '!IA51</f>
        <v>7301880</v>
      </c>
      <c r="IB55" s="687">
        <f>'Hodnocení '!IB51</f>
        <v>7053113.9004964307</v>
      </c>
      <c r="IC55" s="687">
        <f>'Hodnocení '!IC51</f>
        <v>10674008.544329325</v>
      </c>
      <c r="ID55" s="687">
        <f>'Hodnocení '!ID51</f>
        <v>9245491.4556706771</v>
      </c>
      <c r="IE55" s="687">
        <f>'Hodnocení '!IE51</f>
        <v>16339059.517665572</v>
      </c>
      <c r="IF55" s="687">
        <f>'Hodnocení '!IF51</f>
        <v>9536477.0290661398</v>
      </c>
      <c r="IG55" s="687">
        <f>'Hodnocení '!IG51</f>
        <v>2933375.6317034722</v>
      </c>
      <c r="IH55" s="687">
        <f>'Hodnocení '!IH51</f>
        <v>2754925.3965619346</v>
      </c>
      <c r="II55" s="687">
        <f>'Hodnocení '!II51</f>
        <v>13600590.884602016</v>
      </c>
      <c r="IJ55" s="687">
        <f>'Hodnocení '!IJ51</f>
        <v>1498802.9614382302</v>
      </c>
      <c r="IK55" s="687">
        <f>'Hodnocení '!IK51</f>
        <v>0</v>
      </c>
      <c r="IL55" s="687">
        <f>'Hodnocení '!IL51</f>
        <v>7452880.700098794</v>
      </c>
      <c r="IM55" s="687">
        <f>'Hodnocení '!IM51</f>
        <v>405690.41450255323</v>
      </c>
      <c r="IN55" s="687">
        <f>'Hodnocení '!IN51</f>
        <v>7727035.4094753135</v>
      </c>
      <c r="IO55" s="687">
        <f>'Hodnocení '!IO51</f>
        <v>2937234.2027475811</v>
      </c>
      <c r="IP55" s="687">
        <f>'Hodnocení '!IP51</f>
        <v>15898527.177580558</v>
      </c>
      <c r="IQ55" s="687">
        <f>'Hodnocení '!IQ51</f>
        <v>15277805.971261885</v>
      </c>
      <c r="IR55" s="687">
        <f>'Hodnocení '!IR51</f>
        <v>724453.92066790513</v>
      </c>
      <c r="IS55" s="687">
        <f>'Hodnocení '!IS51</f>
        <v>39300970.247079559</v>
      </c>
      <c r="IT55" s="687">
        <f>'Hodnocení '!IT51</f>
        <v>10200629.752920441</v>
      </c>
      <c r="IU55" s="687">
        <f>'Hodnocení '!IU51</f>
        <v>2493818.6416824842</v>
      </c>
      <c r="IV55" s="687">
        <f>'Hodnocení '!IV51</f>
        <v>6028974.6999564655</v>
      </c>
      <c r="IW55" s="687">
        <f>'Hodnocení '!IW51</f>
        <v>9603217.8554380648</v>
      </c>
      <c r="IX55" s="687">
        <f>'Hodnocení '!IX51</f>
        <v>1461297.0388339385</v>
      </c>
      <c r="IY55" s="687">
        <f>'Hodnocení '!IY51</f>
        <v>9038417.5244776495</v>
      </c>
      <c r="IZ55" s="687">
        <f>'Hodnocení '!IZ51</f>
        <v>20084142.981107548</v>
      </c>
      <c r="JA55" s="687">
        <f>'Hodnocení '!JA51</f>
        <v>2265868.3397293384</v>
      </c>
      <c r="JB55" s="687">
        <f>'Hodnocení '!JB51</f>
        <v>2813788.9601571974</v>
      </c>
      <c r="JC55" s="687">
        <f>'Hodnocení '!JC51</f>
        <v>1445737.3693524669</v>
      </c>
      <c r="JD55" s="687">
        <f>'Hodnocení '!JD51</f>
        <v>5734651.4754739245</v>
      </c>
      <c r="JE55" s="687">
        <f>'Hodnocení '!JE51</f>
        <v>144589.10100252891</v>
      </c>
      <c r="JF55" s="687">
        <f>'Hodnocení '!JF51</f>
        <v>32317210.898997471</v>
      </c>
      <c r="JG55" s="687">
        <f>'Hodnocení '!JG51</f>
        <v>23398546.759965554</v>
      </c>
      <c r="JH55" s="782">
        <f>'Hodnocení '!JH51</f>
        <v>1432360.5197921393</v>
      </c>
      <c r="JI55" s="761">
        <f>'Hodnocení '!JI51</f>
        <v>1055970825.5549388</v>
      </c>
    </row>
    <row r="56" spans="1:277" ht="7.9" hidden="1" customHeight="1" x14ac:dyDescent="0.25">
      <c r="B56" s="733"/>
      <c r="C56" s="779"/>
      <c r="D56" s="479"/>
      <c r="E56" s="479"/>
      <c r="F56" s="479"/>
      <c r="G56" s="479"/>
      <c r="H56" s="479"/>
      <c r="I56" s="479"/>
      <c r="J56" s="479"/>
      <c r="K56" s="479"/>
      <c r="L56" s="479"/>
      <c r="M56" s="479"/>
      <c r="N56" s="479"/>
      <c r="O56" s="479"/>
      <c r="P56" s="479"/>
      <c r="Q56" s="479"/>
      <c r="R56" s="479"/>
      <c r="S56" s="479"/>
      <c r="T56" s="479"/>
      <c r="U56" s="479"/>
      <c r="V56" s="479"/>
      <c r="W56" s="479"/>
      <c r="X56" s="479"/>
      <c r="Y56" s="479"/>
      <c r="Z56" s="479"/>
      <c r="AA56" s="479"/>
      <c r="AB56" s="479"/>
      <c r="AC56" s="479"/>
      <c r="AD56" s="479"/>
      <c r="AE56" s="479"/>
      <c r="AF56" s="479"/>
      <c r="AG56" s="479"/>
      <c r="AH56" s="479"/>
      <c r="AI56" s="479"/>
      <c r="AJ56" s="479"/>
      <c r="AK56" s="479"/>
      <c r="AL56" s="479"/>
      <c r="AM56" s="479"/>
      <c r="AN56" s="479"/>
      <c r="AO56" s="479"/>
      <c r="AP56" s="479"/>
      <c r="AQ56" s="479"/>
      <c r="AR56" s="479"/>
      <c r="AS56" s="479"/>
      <c r="AT56" s="479"/>
      <c r="AU56" s="479"/>
      <c r="AV56" s="479"/>
      <c r="AW56" s="479"/>
      <c r="AX56" s="479"/>
      <c r="AY56" s="479"/>
      <c r="AZ56" s="479"/>
      <c r="BA56" s="479"/>
      <c r="BB56" s="479"/>
      <c r="BC56" s="479"/>
      <c r="BD56" s="479"/>
      <c r="BE56" s="479"/>
      <c r="BF56" s="479"/>
      <c r="BG56" s="479"/>
      <c r="BH56" s="479"/>
      <c r="BI56" s="479"/>
      <c r="BJ56" s="479"/>
      <c r="BK56" s="479"/>
      <c r="BL56" s="479"/>
      <c r="BM56" s="479"/>
      <c r="BN56" s="479"/>
      <c r="BO56" s="479"/>
      <c r="BP56" s="479"/>
      <c r="BQ56" s="479"/>
      <c r="BR56" s="479"/>
      <c r="BS56" s="479"/>
      <c r="BT56" s="479"/>
      <c r="BU56" s="479"/>
      <c r="BV56" s="479"/>
      <c r="BW56" s="479"/>
      <c r="BX56" s="479"/>
      <c r="BY56" s="479"/>
      <c r="BZ56" s="479"/>
      <c r="CA56" s="479"/>
      <c r="CB56" s="479"/>
      <c r="CC56" s="479"/>
      <c r="CD56" s="479"/>
      <c r="CE56" s="479"/>
      <c r="CF56" s="479"/>
      <c r="CG56" s="479"/>
      <c r="CH56" s="479"/>
      <c r="CI56" s="479"/>
      <c r="CJ56" s="479"/>
      <c r="CK56" s="479"/>
      <c r="CL56" s="479"/>
      <c r="CM56" s="479"/>
      <c r="CN56" s="479"/>
      <c r="CO56" s="479"/>
      <c r="CP56" s="479"/>
      <c r="CQ56" s="479"/>
      <c r="CR56" s="479"/>
      <c r="CS56" s="479"/>
      <c r="CT56" s="479"/>
      <c r="CU56" s="479"/>
      <c r="CV56" s="479"/>
      <c r="CW56" s="479"/>
      <c r="CX56" s="479"/>
      <c r="CY56" s="479"/>
      <c r="CZ56" s="479"/>
      <c r="DA56" s="479"/>
      <c r="DB56" s="479"/>
      <c r="DC56" s="479"/>
      <c r="DD56" s="479"/>
      <c r="DE56" s="479"/>
      <c r="DF56" s="479"/>
      <c r="DG56" s="479"/>
      <c r="DH56" s="479"/>
      <c r="DI56" s="479"/>
      <c r="DJ56" s="479"/>
      <c r="DK56" s="479"/>
      <c r="DL56" s="479"/>
      <c r="DM56" s="479"/>
      <c r="DN56" s="479"/>
      <c r="DO56" s="479"/>
      <c r="DP56" s="479"/>
      <c r="DQ56" s="479"/>
      <c r="DR56" s="479"/>
      <c r="DS56" s="479"/>
      <c r="DT56" s="479"/>
      <c r="DU56" s="479"/>
      <c r="DV56" s="479"/>
      <c r="DW56" s="479"/>
      <c r="DX56" s="479"/>
      <c r="DY56" s="479"/>
      <c r="DZ56" s="479"/>
      <c r="EA56" s="479"/>
      <c r="EB56" s="479"/>
      <c r="EC56" s="479"/>
      <c r="ED56" s="479"/>
      <c r="EE56" s="479"/>
      <c r="EF56" s="479"/>
      <c r="EG56" s="479"/>
      <c r="EH56" s="479"/>
      <c r="EI56" s="479"/>
      <c r="EJ56" s="479"/>
      <c r="EK56" s="479"/>
      <c r="EL56" s="479"/>
      <c r="EM56" s="479"/>
      <c r="EN56" s="479"/>
      <c r="EO56" s="479"/>
      <c r="EP56" s="479"/>
      <c r="EQ56" s="479"/>
      <c r="ER56" s="479"/>
      <c r="ES56" s="479"/>
      <c r="ET56" s="479"/>
      <c r="EU56" s="479"/>
      <c r="EV56" s="479"/>
      <c r="EW56" s="479"/>
      <c r="EX56" s="479"/>
      <c r="EY56" s="479"/>
      <c r="EZ56" s="479"/>
      <c r="FA56" s="479"/>
      <c r="FB56" s="479"/>
      <c r="FC56" s="479"/>
      <c r="FD56" s="479"/>
      <c r="FE56" s="479"/>
      <c r="FF56" s="479"/>
      <c r="FG56" s="479"/>
      <c r="FH56" s="479"/>
      <c r="FI56" s="479"/>
      <c r="FJ56" s="479"/>
      <c r="FK56" s="479"/>
      <c r="FL56" s="479"/>
      <c r="FM56" s="479"/>
      <c r="FN56" s="479"/>
      <c r="FO56" s="479"/>
      <c r="FP56" s="479"/>
      <c r="FQ56" s="479"/>
      <c r="FR56" s="479"/>
      <c r="FS56" s="479"/>
      <c r="FT56" s="479"/>
      <c r="FU56" s="479"/>
      <c r="FV56" s="479"/>
      <c r="FW56" s="479"/>
      <c r="FX56" s="479"/>
      <c r="FY56" s="479"/>
      <c r="FZ56" s="479"/>
      <c r="GA56" s="479"/>
      <c r="GB56" s="479"/>
      <c r="GC56" s="479"/>
      <c r="GD56" s="479"/>
      <c r="GE56" s="479"/>
      <c r="GF56" s="479"/>
      <c r="GG56" s="479"/>
      <c r="GH56" s="479"/>
      <c r="GI56" s="479"/>
      <c r="GJ56" s="479"/>
      <c r="GK56" s="479"/>
      <c r="GL56" s="479"/>
      <c r="GM56" s="479"/>
      <c r="GN56" s="479"/>
      <c r="GO56" s="479"/>
      <c r="GP56" s="479"/>
      <c r="GQ56" s="479"/>
      <c r="GR56" s="479"/>
      <c r="GS56" s="479"/>
      <c r="GT56" s="479"/>
      <c r="GU56" s="479"/>
      <c r="GV56" s="479"/>
      <c r="GW56" s="479"/>
      <c r="GX56" s="479"/>
      <c r="GY56" s="479"/>
      <c r="GZ56" s="479"/>
      <c r="HA56" s="479"/>
      <c r="HB56" s="479"/>
      <c r="HC56" s="479"/>
      <c r="HD56" s="479"/>
      <c r="HE56" s="479"/>
      <c r="HF56" s="479"/>
      <c r="HG56" s="479"/>
      <c r="HH56" s="479"/>
      <c r="HI56" s="479"/>
      <c r="HJ56" s="479"/>
      <c r="HK56" s="479"/>
      <c r="HL56" s="479"/>
      <c r="HM56" s="479"/>
      <c r="HN56" s="479"/>
      <c r="HO56" s="479"/>
      <c r="HP56" s="479"/>
      <c r="HQ56" s="479"/>
      <c r="HR56" s="479"/>
      <c r="HS56" s="479"/>
      <c r="HT56" s="479"/>
      <c r="HU56" s="479"/>
      <c r="HV56" s="479"/>
      <c r="HW56" s="479"/>
      <c r="HX56" s="479"/>
      <c r="HY56" s="479"/>
      <c r="HZ56" s="479"/>
      <c r="IA56" s="479"/>
      <c r="IB56" s="479"/>
      <c r="IC56" s="479"/>
      <c r="ID56" s="479"/>
      <c r="IE56" s="479"/>
      <c r="IF56" s="479"/>
      <c r="IG56" s="479"/>
      <c r="IH56" s="479"/>
      <c r="II56" s="479"/>
      <c r="IJ56" s="479"/>
      <c r="IK56" s="479"/>
      <c r="IL56" s="479"/>
      <c r="IM56" s="479"/>
      <c r="IN56" s="479"/>
      <c r="IO56" s="479"/>
      <c r="IP56" s="479"/>
      <c r="IQ56" s="479"/>
      <c r="IR56" s="479"/>
      <c r="IS56" s="479"/>
      <c r="IT56" s="479"/>
      <c r="IU56" s="479"/>
      <c r="IV56" s="479"/>
      <c r="IW56" s="479"/>
      <c r="IX56" s="479"/>
      <c r="IY56" s="479"/>
      <c r="IZ56" s="479"/>
      <c r="JA56" s="479"/>
      <c r="JB56" s="479"/>
      <c r="JC56" s="479"/>
      <c r="JD56" s="479"/>
      <c r="JE56" s="479"/>
      <c r="JF56" s="479"/>
      <c r="JG56" s="479"/>
      <c r="JH56" s="780"/>
      <c r="JI56" s="470"/>
    </row>
    <row r="57" spans="1:277" ht="15.75" hidden="1" thickBot="1" x14ac:dyDescent="0.3">
      <c r="A57" s="328" t="s">
        <v>2591</v>
      </c>
      <c r="B57" s="733"/>
      <c r="C57" s="779">
        <f>'Hodnocení '!C53</f>
        <v>0</v>
      </c>
      <c r="D57" s="479">
        <f>'Hodnocení '!D53</f>
        <v>0</v>
      </c>
      <c r="E57" s="479">
        <f>'Hodnocení '!E53</f>
        <v>0</v>
      </c>
      <c r="F57" s="479">
        <f>'Hodnocení '!F53</f>
        <v>0</v>
      </c>
      <c r="G57" s="479">
        <f>'Hodnocení '!G53</f>
        <v>0</v>
      </c>
      <c r="H57" s="479">
        <f>'Hodnocení '!H53</f>
        <v>0</v>
      </c>
      <c r="I57" s="479">
        <f>'Hodnocení '!I53</f>
        <v>0</v>
      </c>
      <c r="J57" s="479">
        <f>'Hodnocení '!J53</f>
        <v>0</v>
      </c>
      <c r="K57" s="479">
        <f>'Hodnocení '!K53</f>
        <v>0</v>
      </c>
      <c r="L57" s="479">
        <f>'Hodnocení '!L53</f>
        <v>0</v>
      </c>
      <c r="M57" s="479">
        <f>'Hodnocení '!M53</f>
        <v>0</v>
      </c>
      <c r="N57" s="479">
        <f>'Hodnocení '!N53</f>
        <v>0</v>
      </c>
      <c r="O57" s="479">
        <f>'Hodnocení '!O53</f>
        <v>0</v>
      </c>
      <c r="P57" s="479">
        <f>'Hodnocení '!P53</f>
        <v>0</v>
      </c>
      <c r="Q57" s="479">
        <f>'Hodnocení '!Q53</f>
        <v>0</v>
      </c>
      <c r="R57" s="479">
        <f>'Hodnocení '!R53</f>
        <v>0</v>
      </c>
      <c r="S57" s="479">
        <f>'Hodnocení '!S53</f>
        <v>0</v>
      </c>
      <c r="T57" s="479">
        <f>'Hodnocení '!T53</f>
        <v>0</v>
      </c>
      <c r="U57" s="479">
        <f>'Hodnocení '!U53</f>
        <v>0</v>
      </c>
      <c r="V57" s="479">
        <f>'Hodnocení '!V53</f>
        <v>0</v>
      </c>
      <c r="W57" s="479">
        <f>'Hodnocení '!W53</f>
        <v>0</v>
      </c>
      <c r="X57" s="479">
        <f>'Hodnocení '!X53</f>
        <v>0</v>
      </c>
      <c r="Y57" s="479">
        <f>'Hodnocení '!Y53</f>
        <v>0</v>
      </c>
      <c r="Z57" s="479">
        <f>'Hodnocení '!Z53</f>
        <v>0</v>
      </c>
      <c r="AA57" s="479">
        <f>'Hodnocení '!AA53</f>
        <v>0</v>
      </c>
      <c r="AB57" s="479">
        <f>'Hodnocení '!AB53</f>
        <v>0</v>
      </c>
      <c r="AC57" s="479">
        <f>'Hodnocení '!AC53</f>
        <v>0</v>
      </c>
      <c r="AD57" s="479">
        <f>'Hodnocení '!AD53</f>
        <v>0</v>
      </c>
      <c r="AE57" s="479">
        <f>'Hodnocení '!AE53</f>
        <v>0</v>
      </c>
      <c r="AF57" s="479">
        <f>'Hodnocení '!AF53</f>
        <v>0</v>
      </c>
      <c r="AG57" s="479">
        <f>'Hodnocení '!AG53</f>
        <v>0</v>
      </c>
      <c r="AH57" s="479">
        <f>'Hodnocení '!AH53</f>
        <v>0</v>
      </c>
      <c r="AI57" s="479">
        <f>'Hodnocení '!AI53</f>
        <v>0</v>
      </c>
      <c r="AJ57" s="479">
        <f>'Hodnocení '!AJ53</f>
        <v>0</v>
      </c>
      <c r="AK57" s="479">
        <f>'Hodnocení '!AK53</f>
        <v>0</v>
      </c>
      <c r="AL57" s="479">
        <f>'Hodnocení '!AL53</f>
        <v>0</v>
      </c>
      <c r="AM57" s="479">
        <f>'Hodnocení '!AM53</f>
        <v>0</v>
      </c>
      <c r="AN57" s="479">
        <f>'Hodnocení '!AN53</f>
        <v>0</v>
      </c>
      <c r="AO57" s="479">
        <f>'Hodnocení '!AO53</f>
        <v>0</v>
      </c>
      <c r="AP57" s="479">
        <f>'Hodnocení '!AP53</f>
        <v>0</v>
      </c>
      <c r="AQ57" s="479">
        <f>'Hodnocení '!AQ53</f>
        <v>0</v>
      </c>
      <c r="AR57" s="479">
        <f>'Hodnocení '!AR53</f>
        <v>0</v>
      </c>
      <c r="AS57" s="479">
        <f>'Hodnocení '!AS53</f>
        <v>0</v>
      </c>
      <c r="AT57" s="479">
        <f>'Hodnocení '!AT53</f>
        <v>0</v>
      </c>
      <c r="AU57" s="479">
        <f>'Hodnocení '!AU53</f>
        <v>0</v>
      </c>
      <c r="AV57" s="479">
        <f>'Hodnocení '!AV53</f>
        <v>0</v>
      </c>
      <c r="AW57" s="479">
        <f>'Hodnocení '!AW53</f>
        <v>0</v>
      </c>
      <c r="AX57" s="479">
        <f>'Hodnocení '!AX53</f>
        <v>0</v>
      </c>
      <c r="AY57" s="479">
        <f>'Hodnocení '!AY53</f>
        <v>0</v>
      </c>
      <c r="AZ57" s="479">
        <f>'Hodnocení '!AZ53</f>
        <v>0</v>
      </c>
      <c r="BA57" s="479">
        <f>'Hodnocení '!BA53</f>
        <v>0</v>
      </c>
      <c r="BB57" s="479">
        <f>'Hodnocení '!BB53</f>
        <v>0</v>
      </c>
      <c r="BC57" s="479">
        <f>'Hodnocení '!BC53</f>
        <v>0</v>
      </c>
      <c r="BD57" s="479">
        <f>'Hodnocení '!BD53</f>
        <v>0</v>
      </c>
      <c r="BE57" s="479">
        <f>'Hodnocení '!BE53</f>
        <v>0</v>
      </c>
      <c r="BF57" s="479">
        <f>'Hodnocení '!BF53</f>
        <v>0</v>
      </c>
      <c r="BG57" s="479">
        <f>'Hodnocení '!BG53</f>
        <v>0</v>
      </c>
      <c r="BH57" s="479">
        <f>'Hodnocení '!BH53</f>
        <v>0</v>
      </c>
      <c r="BI57" s="479">
        <f>'Hodnocení '!BI53</f>
        <v>0</v>
      </c>
      <c r="BJ57" s="479">
        <f>'Hodnocení '!BJ53</f>
        <v>0</v>
      </c>
      <c r="BK57" s="479">
        <f>'Hodnocení '!BK53</f>
        <v>0</v>
      </c>
      <c r="BL57" s="479">
        <f>'Hodnocení '!BL53</f>
        <v>0</v>
      </c>
      <c r="BM57" s="479">
        <f>'Hodnocení '!BM53</f>
        <v>0</v>
      </c>
      <c r="BN57" s="479">
        <f>'Hodnocení '!BN53</f>
        <v>0</v>
      </c>
      <c r="BO57" s="479">
        <f>'Hodnocení '!BO53</f>
        <v>0</v>
      </c>
      <c r="BP57" s="479">
        <f>'Hodnocení '!BP53</f>
        <v>0</v>
      </c>
      <c r="BQ57" s="479">
        <f>'Hodnocení '!BQ53</f>
        <v>0</v>
      </c>
      <c r="BR57" s="479">
        <f>'Hodnocení '!BR53</f>
        <v>0</v>
      </c>
      <c r="BS57" s="479">
        <f>'Hodnocení '!BS53</f>
        <v>0</v>
      </c>
      <c r="BT57" s="479">
        <f>'Hodnocení '!BT53</f>
        <v>0</v>
      </c>
      <c r="BU57" s="479">
        <f>'Hodnocení '!BU53</f>
        <v>0</v>
      </c>
      <c r="BV57" s="479">
        <f>'Hodnocení '!BV53</f>
        <v>0</v>
      </c>
      <c r="BW57" s="479">
        <f>'Hodnocení '!BW53</f>
        <v>0</v>
      </c>
      <c r="BX57" s="479">
        <f>'Hodnocení '!BX53</f>
        <v>0</v>
      </c>
      <c r="BY57" s="479">
        <f>'Hodnocení '!BY53</f>
        <v>0</v>
      </c>
      <c r="BZ57" s="479">
        <f>'Hodnocení '!BZ53</f>
        <v>0</v>
      </c>
      <c r="CA57" s="479">
        <f>'Hodnocení '!CA53</f>
        <v>0</v>
      </c>
      <c r="CB57" s="479">
        <f>'Hodnocení '!CB53</f>
        <v>0</v>
      </c>
      <c r="CC57" s="479">
        <f>'Hodnocení '!CC53</f>
        <v>0</v>
      </c>
      <c r="CD57" s="479">
        <f>'Hodnocení '!CD53</f>
        <v>0</v>
      </c>
      <c r="CE57" s="479">
        <f>'Hodnocení '!CE53</f>
        <v>0</v>
      </c>
      <c r="CF57" s="479">
        <f>'Hodnocení '!CF53</f>
        <v>0</v>
      </c>
      <c r="CG57" s="479">
        <f>'Hodnocení '!CG53</f>
        <v>0</v>
      </c>
      <c r="CH57" s="479">
        <f>'Hodnocení '!CH53</f>
        <v>0</v>
      </c>
      <c r="CI57" s="479">
        <f>'Hodnocení '!CI53</f>
        <v>0</v>
      </c>
      <c r="CJ57" s="479">
        <f>'Hodnocení '!CJ53</f>
        <v>0</v>
      </c>
      <c r="CK57" s="479">
        <f>'Hodnocení '!CK53</f>
        <v>0</v>
      </c>
      <c r="CL57" s="479">
        <f>'Hodnocení '!CL53</f>
        <v>0</v>
      </c>
      <c r="CM57" s="479">
        <f>'Hodnocení '!CM53</f>
        <v>0</v>
      </c>
      <c r="CN57" s="479">
        <f>'Hodnocení '!CN53</f>
        <v>0</v>
      </c>
      <c r="CO57" s="479">
        <f>'Hodnocení '!CO53</f>
        <v>0</v>
      </c>
      <c r="CP57" s="479">
        <f>'Hodnocení '!CP53</f>
        <v>0</v>
      </c>
      <c r="CQ57" s="479">
        <f>'Hodnocení '!CQ53</f>
        <v>0</v>
      </c>
      <c r="CR57" s="479">
        <f>'Hodnocení '!CR53</f>
        <v>0</v>
      </c>
      <c r="CS57" s="479">
        <f>'Hodnocení '!CS53</f>
        <v>0</v>
      </c>
      <c r="CT57" s="479">
        <f>'Hodnocení '!CT53</f>
        <v>0</v>
      </c>
      <c r="CU57" s="479">
        <f>'Hodnocení '!CU53</f>
        <v>0</v>
      </c>
      <c r="CV57" s="479">
        <f>'Hodnocení '!CV53</f>
        <v>0</v>
      </c>
      <c r="CW57" s="479">
        <f>'Hodnocení '!CW53</f>
        <v>0</v>
      </c>
      <c r="CX57" s="479">
        <f>'Hodnocení '!CX53</f>
        <v>0</v>
      </c>
      <c r="CY57" s="479">
        <f>'Hodnocení '!CY53</f>
        <v>0</v>
      </c>
      <c r="CZ57" s="479">
        <f>'Hodnocení '!CZ53</f>
        <v>0</v>
      </c>
      <c r="DA57" s="479">
        <f>'Hodnocení '!DA53</f>
        <v>0</v>
      </c>
      <c r="DB57" s="479">
        <f>'Hodnocení '!DB53</f>
        <v>0</v>
      </c>
      <c r="DC57" s="479">
        <f>'Hodnocení '!DC53</f>
        <v>0</v>
      </c>
      <c r="DD57" s="479">
        <f>'Hodnocení '!DD53</f>
        <v>0</v>
      </c>
      <c r="DE57" s="479">
        <f>'Hodnocení '!DE53</f>
        <v>0</v>
      </c>
      <c r="DF57" s="479">
        <f>'Hodnocení '!DF53</f>
        <v>0</v>
      </c>
      <c r="DG57" s="479">
        <f>'Hodnocení '!DG53</f>
        <v>0</v>
      </c>
      <c r="DH57" s="479">
        <f>'Hodnocení '!DH53</f>
        <v>0</v>
      </c>
      <c r="DI57" s="479">
        <f>'Hodnocení '!DI53</f>
        <v>0</v>
      </c>
      <c r="DJ57" s="479">
        <f>'Hodnocení '!DJ53</f>
        <v>0</v>
      </c>
      <c r="DK57" s="479">
        <f>'Hodnocení '!DK53</f>
        <v>0</v>
      </c>
      <c r="DL57" s="479">
        <f>'Hodnocení '!DL53</f>
        <v>0</v>
      </c>
      <c r="DM57" s="479">
        <f>'Hodnocení '!DM53</f>
        <v>0</v>
      </c>
      <c r="DN57" s="479">
        <f>'Hodnocení '!DN53</f>
        <v>0</v>
      </c>
      <c r="DO57" s="479">
        <f>'Hodnocení '!DO53</f>
        <v>0</v>
      </c>
      <c r="DP57" s="479">
        <f>'Hodnocení '!DP53</f>
        <v>0</v>
      </c>
      <c r="DQ57" s="479">
        <f>'Hodnocení '!DQ53</f>
        <v>0</v>
      </c>
      <c r="DR57" s="479">
        <f>'Hodnocení '!DR53</f>
        <v>0</v>
      </c>
      <c r="DS57" s="479">
        <f>'Hodnocení '!DS53</f>
        <v>0</v>
      </c>
      <c r="DT57" s="479">
        <f>'Hodnocení '!DT53</f>
        <v>0</v>
      </c>
      <c r="DU57" s="479">
        <f>'Hodnocení '!DU53</f>
        <v>0</v>
      </c>
      <c r="DV57" s="479">
        <f>'Hodnocení '!DV53</f>
        <v>0</v>
      </c>
      <c r="DW57" s="479">
        <f>'Hodnocení '!DW53</f>
        <v>0</v>
      </c>
      <c r="DX57" s="479">
        <f>'Hodnocení '!DX53</f>
        <v>0</v>
      </c>
      <c r="DY57" s="479">
        <f>'Hodnocení '!DY53</f>
        <v>0</v>
      </c>
      <c r="DZ57" s="479">
        <f>'Hodnocení '!DZ53</f>
        <v>0</v>
      </c>
      <c r="EA57" s="479">
        <f>'Hodnocení '!EA53</f>
        <v>0</v>
      </c>
      <c r="EB57" s="479">
        <f>'Hodnocení '!EB53</f>
        <v>0</v>
      </c>
      <c r="EC57" s="479">
        <f>'Hodnocení '!EC53</f>
        <v>0</v>
      </c>
      <c r="ED57" s="479">
        <f>'Hodnocení '!ED53</f>
        <v>0</v>
      </c>
      <c r="EE57" s="479">
        <f>'Hodnocení '!EE53</f>
        <v>0</v>
      </c>
      <c r="EF57" s="479">
        <f>'Hodnocení '!EF53</f>
        <v>0</v>
      </c>
      <c r="EG57" s="479">
        <f>'Hodnocení '!EG53</f>
        <v>0</v>
      </c>
      <c r="EH57" s="479">
        <f>'Hodnocení '!EH53</f>
        <v>0</v>
      </c>
      <c r="EI57" s="479">
        <f>'Hodnocení '!EI53</f>
        <v>0</v>
      </c>
      <c r="EJ57" s="479">
        <f>'Hodnocení '!EJ53</f>
        <v>0</v>
      </c>
      <c r="EK57" s="479">
        <f>'Hodnocení '!EK53</f>
        <v>0</v>
      </c>
      <c r="EL57" s="479">
        <f>'Hodnocení '!EL53</f>
        <v>0</v>
      </c>
      <c r="EM57" s="479">
        <f>'Hodnocení '!EM53</f>
        <v>0</v>
      </c>
      <c r="EN57" s="479">
        <f>'Hodnocení '!EN53</f>
        <v>0</v>
      </c>
      <c r="EO57" s="479">
        <f>'Hodnocení '!EO53</f>
        <v>0</v>
      </c>
      <c r="EP57" s="479">
        <f>'Hodnocení '!EP53</f>
        <v>0</v>
      </c>
      <c r="EQ57" s="479">
        <f>'Hodnocení '!EQ53</f>
        <v>0</v>
      </c>
      <c r="ER57" s="479">
        <f>'Hodnocení '!ER53</f>
        <v>0</v>
      </c>
      <c r="ES57" s="479">
        <f>'Hodnocení '!ES53</f>
        <v>0</v>
      </c>
      <c r="ET57" s="479">
        <f>'Hodnocení '!ET53</f>
        <v>0</v>
      </c>
      <c r="EU57" s="479">
        <f>'Hodnocení '!EU53</f>
        <v>0</v>
      </c>
      <c r="EV57" s="479">
        <f>'Hodnocení '!EV53</f>
        <v>0</v>
      </c>
      <c r="EW57" s="479">
        <f>'Hodnocení '!EW53</f>
        <v>0</v>
      </c>
      <c r="EX57" s="479">
        <f>'Hodnocení '!EX53</f>
        <v>0</v>
      </c>
      <c r="EY57" s="479">
        <f>'Hodnocení '!EY53</f>
        <v>0</v>
      </c>
      <c r="EZ57" s="479">
        <f>'Hodnocení '!EZ53</f>
        <v>0</v>
      </c>
      <c r="FA57" s="479">
        <f>'Hodnocení '!FA53</f>
        <v>0</v>
      </c>
      <c r="FB57" s="479">
        <f>'Hodnocení '!FB53</f>
        <v>0</v>
      </c>
      <c r="FC57" s="479">
        <f>'Hodnocení '!FC53</f>
        <v>0</v>
      </c>
      <c r="FD57" s="479">
        <f>'Hodnocení '!FD53</f>
        <v>0</v>
      </c>
      <c r="FE57" s="479">
        <f>'Hodnocení '!FE53</f>
        <v>0</v>
      </c>
      <c r="FF57" s="479">
        <f>'Hodnocení '!FF53</f>
        <v>0</v>
      </c>
      <c r="FG57" s="479">
        <f>'Hodnocení '!FG53</f>
        <v>0</v>
      </c>
      <c r="FH57" s="479">
        <f>'Hodnocení '!FH53</f>
        <v>0</v>
      </c>
      <c r="FI57" s="479">
        <f>'Hodnocení '!FI53</f>
        <v>0</v>
      </c>
      <c r="FJ57" s="479">
        <f>'Hodnocení '!FJ53</f>
        <v>0</v>
      </c>
      <c r="FK57" s="479">
        <f>'Hodnocení '!FK53</f>
        <v>0</v>
      </c>
      <c r="FL57" s="479">
        <f>'Hodnocení '!FL53</f>
        <v>0</v>
      </c>
      <c r="FM57" s="479">
        <f>'Hodnocení '!FM53</f>
        <v>0</v>
      </c>
      <c r="FN57" s="479">
        <f>'Hodnocení '!FN53</f>
        <v>0</v>
      </c>
      <c r="FO57" s="479">
        <f>'Hodnocení '!FO53</f>
        <v>0</v>
      </c>
      <c r="FP57" s="479">
        <f>'Hodnocení '!FP53</f>
        <v>0</v>
      </c>
      <c r="FQ57" s="479">
        <f>'Hodnocení '!FQ53</f>
        <v>0</v>
      </c>
      <c r="FR57" s="479">
        <f>'Hodnocení '!FR53</f>
        <v>0</v>
      </c>
      <c r="FS57" s="479">
        <f>'Hodnocení '!FS53</f>
        <v>0</v>
      </c>
      <c r="FT57" s="479">
        <f>'Hodnocení '!FT53</f>
        <v>0</v>
      </c>
      <c r="FU57" s="479">
        <f>'Hodnocení '!FU53</f>
        <v>0</v>
      </c>
      <c r="FV57" s="479">
        <f>'Hodnocení '!FV53</f>
        <v>0</v>
      </c>
      <c r="FW57" s="479">
        <f>'Hodnocení '!FW53</f>
        <v>0</v>
      </c>
      <c r="FX57" s="479">
        <f>'Hodnocení '!FX53</f>
        <v>0</v>
      </c>
      <c r="FY57" s="479">
        <f>'Hodnocení '!FY53</f>
        <v>0</v>
      </c>
      <c r="FZ57" s="479">
        <f>'Hodnocení '!FZ53</f>
        <v>0</v>
      </c>
      <c r="GA57" s="479">
        <f>'Hodnocení '!GA53</f>
        <v>0</v>
      </c>
      <c r="GB57" s="479">
        <f>'Hodnocení '!GB53</f>
        <v>0</v>
      </c>
      <c r="GC57" s="479">
        <f>'Hodnocení '!GC53</f>
        <v>0</v>
      </c>
      <c r="GD57" s="479">
        <f>'Hodnocení '!GD53</f>
        <v>0</v>
      </c>
      <c r="GE57" s="479">
        <f>'Hodnocení '!GE53</f>
        <v>0</v>
      </c>
      <c r="GF57" s="479">
        <f>'Hodnocení '!GF53</f>
        <v>0</v>
      </c>
      <c r="GG57" s="479">
        <f>'Hodnocení '!GG53</f>
        <v>0</v>
      </c>
      <c r="GH57" s="479">
        <f>'Hodnocení '!GH53</f>
        <v>0</v>
      </c>
      <c r="GI57" s="479">
        <f>'Hodnocení '!GI53</f>
        <v>0</v>
      </c>
      <c r="GJ57" s="479">
        <f>'Hodnocení '!GJ53</f>
        <v>0</v>
      </c>
      <c r="GK57" s="479">
        <f>'Hodnocení '!GK53</f>
        <v>0</v>
      </c>
      <c r="GL57" s="479">
        <f>'Hodnocení '!GL53</f>
        <v>0</v>
      </c>
      <c r="GM57" s="479">
        <f>'Hodnocení '!GM53</f>
        <v>0</v>
      </c>
      <c r="GN57" s="479">
        <f>'Hodnocení '!GN53</f>
        <v>0</v>
      </c>
      <c r="GO57" s="479">
        <f>'Hodnocení '!GO53</f>
        <v>0</v>
      </c>
      <c r="GP57" s="479">
        <f>'Hodnocení '!GP53</f>
        <v>0</v>
      </c>
      <c r="GQ57" s="479">
        <f>'Hodnocení '!GQ53</f>
        <v>0</v>
      </c>
      <c r="GR57" s="479">
        <f>'Hodnocení '!GR53</f>
        <v>0</v>
      </c>
      <c r="GS57" s="479">
        <f>'Hodnocení '!GS53</f>
        <v>0</v>
      </c>
      <c r="GT57" s="479">
        <f>'Hodnocení '!GT53</f>
        <v>0</v>
      </c>
      <c r="GU57" s="479">
        <f>'Hodnocení '!GU53</f>
        <v>0</v>
      </c>
      <c r="GV57" s="479">
        <f>'Hodnocení '!GV53</f>
        <v>0</v>
      </c>
      <c r="GW57" s="479">
        <f>'Hodnocení '!GW53</f>
        <v>0</v>
      </c>
      <c r="GX57" s="479">
        <f>'Hodnocení '!GX53</f>
        <v>0</v>
      </c>
      <c r="GY57" s="479">
        <f>'Hodnocení '!GY53</f>
        <v>0</v>
      </c>
      <c r="GZ57" s="479">
        <f>'Hodnocení '!GZ53</f>
        <v>0</v>
      </c>
      <c r="HA57" s="479">
        <f>'Hodnocení '!HA53</f>
        <v>0</v>
      </c>
      <c r="HB57" s="479">
        <f>'Hodnocení '!HB53</f>
        <v>0</v>
      </c>
      <c r="HC57" s="479">
        <f>'Hodnocení '!HC53</f>
        <v>0</v>
      </c>
      <c r="HD57" s="479">
        <f>'Hodnocení '!HD53</f>
        <v>0</v>
      </c>
      <c r="HE57" s="479">
        <f>'Hodnocení '!HE53</f>
        <v>0</v>
      </c>
      <c r="HF57" s="479">
        <f>'Hodnocení '!HF53</f>
        <v>0</v>
      </c>
      <c r="HG57" s="479">
        <f>'Hodnocení '!HG53</f>
        <v>0</v>
      </c>
      <c r="HH57" s="479">
        <f>'Hodnocení '!HH53</f>
        <v>0</v>
      </c>
      <c r="HI57" s="479">
        <f>'Hodnocení '!HI53</f>
        <v>0</v>
      </c>
      <c r="HJ57" s="479">
        <f>'Hodnocení '!HJ53</f>
        <v>0</v>
      </c>
      <c r="HK57" s="479">
        <f>'Hodnocení '!HK53</f>
        <v>0</v>
      </c>
      <c r="HL57" s="479">
        <f>'Hodnocení '!HL53</f>
        <v>0</v>
      </c>
      <c r="HM57" s="479">
        <f>'Hodnocení '!HM53</f>
        <v>0</v>
      </c>
      <c r="HN57" s="479">
        <f>'Hodnocení '!HN53</f>
        <v>0</v>
      </c>
      <c r="HO57" s="479">
        <f>'Hodnocení '!HO53</f>
        <v>0</v>
      </c>
      <c r="HP57" s="479">
        <f>'Hodnocení '!HP53</f>
        <v>0</v>
      </c>
      <c r="HQ57" s="479">
        <f>'Hodnocení '!HQ53</f>
        <v>0</v>
      </c>
      <c r="HR57" s="479">
        <f>'Hodnocení '!HR53</f>
        <v>0</v>
      </c>
      <c r="HS57" s="479">
        <f>'Hodnocení '!HS53</f>
        <v>0</v>
      </c>
      <c r="HT57" s="479">
        <f>'Hodnocení '!HT53</f>
        <v>0</v>
      </c>
      <c r="HU57" s="479">
        <f>'Hodnocení '!HU53</f>
        <v>0</v>
      </c>
      <c r="HV57" s="479">
        <f>'Hodnocení '!HV53</f>
        <v>0</v>
      </c>
      <c r="HW57" s="479">
        <f>'Hodnocení '!HW53</f>
        <v>0</v>
      </c>
      <c r="HX57" s="479">
        <f>'Hodnocení '!HX53</f>
        <v>0</v>
      </c>
      <c r="HY57" s="479">
        <f>'Hodnocení '!HY53</f>
        <v>0</v>
      </c>
      <c r="HZ57" s="479">
        <f>'Hodnocení '!HZ53</f>
        <v>0</v>
      </c>
      <c r="IA57" s="479">
        <f>'Hodnocení '!IA53</f>
        <v>0</v>
      </c>
      <c r="IB57" s="479">
        <f>'Hodnocení '!IB53</f>
        <v>0</v>
      </c>
      <c r="IC57" s="479">
        <f>'Hodnocení '!IC53</f>
        <v>0</v>
      </c>
      <c r="ID57" s="479">
        <f>'Hodnocení '!ID53</f>
        <v>0</v>
      </c>
      <c r="IE57" s="479">
        <f>'Hodnocení '!IE53</f>
        <v>0</v>
      </c>
      <c r="IF57" s="479">
        <f>'Hodnocení '!IF53</f>
        <v>0</v>
      </c>
      <c r="IG57" s="479">
        <f>'Hodnocení '!IG53</f>
        <v>0</v>
      </c>
      <c r="IH57" s="479">
        <f>'Hodnocení '!IH53</f>
        <v>0</v>
      </c>
      <c r="II57" s="479">
        <f>'Hodnocení '!II53</f>
        <v>0</v>
      </c>
      <c r="IJ57" s="479">
        <f>'Hodnocení '!IJ53</f>
        <v>0</v>
      </c>
      <c r="IK57" s="479">
        <f>'Hodnocení '!IK53</f>
        <v>0</v>
      </c>
      <c r="IL57" s="479">
        <f>'Hodnocení '!IL53</f>
        <v>0</v>
      </c>
      <c r="IM57" s="479">
        <f>'Hodnocení '!IM53</f>
        <v>0</v>
      </c>
      <c r="IN57" s="479">
        <f>'Hodnocení '!IN53</f>
        <v>0</v>
      </c>
      <c r="IO57" s="479">
        <f>'Hodnocení '!IO53</f>
        <v>0</v>
      </c>
      <c r="IP57" s="479">
        <f>'Hodnocení '!IP53</f>
        <v>0</v>
      </c>
      <c r="IQ57" s="479">
        <f>'Hodnocení '!IQ53</f>
        <v>0</v>
      </c>
      <c r="IR57" s="479">
        <f>'Hodnocení '!IR53</f>
        <v>0</v>
      </c>
      <c r="IS57" s="479">
        <f>'Hodnocení '!IS53</f>
        <v>0</v>
      </c>
      <c r="IT57" s="479">
        <f>'Hodnocení '!IT53</f>
        <v>0</v>
      </c>
      <c r="IU57" s="479">
        <f>'Hodnocení '!IU53</f>
        <v>0</v>
      </c>
      <c r="IV57" s="479">
        <f>'Hodnocení '!IV53</f>
        <v>0</v>
      </c>
      <c r="IW57" s="479">
        <f>'Hodnocení '!IW53</f>
        <v>0</v>
      </c>
      <c r="IX57" s="479">
        <f>'Hodnocení '!IX53</f>
        <v>0</v>
      </c>
      <c r="IY57" s="479">
        <f>'Hodnocení '!IY53</f>
        <v>0</v>
      </c>
      <c r="IZ57" s="479">
        <f>'Hodnocení '!IZ53</f>
        <v>0</v>
      </c>
      <c r="JA57" s="479">
        <f>'Hodnocení '!JA53</f>
        <v>0</v>
      </c>
      <c r="JB57" s="479">
        <f>'Hodnocení '!JB53</f>
        <v>0</v>
      </c>
      <c r="JC57" s="479">
        <f>'Hodnocení '!JC53</f>
        <v>0</v>
      </c>
      <c r="JD57" s="479">
        <f>'Hodnocení '!JD53</f>
        <v>0</v>
      </c>
      <c r="JE57" s="479">
        <f>'Hodnocení '!JE53</f>
        <v>0</v>
      </c>
      <c r="JF57" s="479">
        <f>'Hodnocení '!JF53</f>
        <v>0</v>
      </c>
      <c r="JG57" s="479">
        <f>'Hodnocení '!JG53</f>
        <v>0</v>
      </c>
      <c r="JH57" s="780">
        <f>'Hodnocení '!JH53</f>
        <v>0</v>
      </c>
      <c r="JI57" s="470">
        <f>'Hodnocení '!JI53</f>
        <v>0</v>
      </c>
    </row>
    <row r="58" spans="1:277" ht="15.75" hidden="1" thickBot="1" x14ac:dyDescent="0.3">
      <c r="B58" s="607" t="s">
        <v>2564</v>
      </c>
      <c r="C58" s="696">
        <f>'Hodnocení '!C54</f>
        <v>7649000</v>
      </c>
      <c r="D58" s="697">
        <f>'Hodnocení '!D54</f>
        <v>6323100</v>
      </c>
      <c r="E58" s="697">
        <f>'Hodnocení '!E54</f>
        <v>8196405</v>
      </c>
      <c r="F58" s="697">
        <f>'Hodnocení '!F54</f>
        <v>3484600</v>
      </c>
      <c r="G58" s="697">
        <f>'Hodnocení '!G54</f>
        <v>8898350</v>
      </c>
      <c r="H58" s="697">
        <f>'Hodnocení '!H54</f>
        <v>851000</v>
      </c>
      <c r="I58" s="697">
        <f>'Hodnocení '!I54</f>
        <v>2220902</v>
      </c>
      <c r="J58" s="697">
        <f>'Hodnocení '!J54</f>
        <v>2592445</v>
      </c>
      <c r="K58" s="697">
        <f>'Hodnocení '!K54</f>
        <v>5369542</v>
      </c>
      <c r="L58" s="697">
        <f>'Hodnocení '!L54</f>
        <v>3774970</v>
      </c>
      <c r="M58" s="697">
        <f>'Hodnocení '!M54</f>
        <v>3637289</v>
      </c>
      <c r="N58" s="697">
        <f>'Hodnocení '!N54</f>
        <v>5245000</v>
      </c>
      <c r="O58" s="697">
        <f>'Hodnocení '!O54</f>
        <v>4154929</v>
      </c>
      <c r="P58" s="697">
        <f>'Hodnocení '!P54</f>
        <v>2345016</v>
      </c>
      <c r="Q58" s="697">
        <f>'Hodnocení '!Q54</f>
        <v>1465267</v>
      </c>
      <c r="R58" s="697">
        <f>'Hodnocení '!R54</f>
        <v>2124718.1</v>
      </c>
      <c r="S58" s="697">
        <f>'Hodnocení '!S54</f>
        <v>1637152.8</v>
      </c>
      <c r="T58" s="697">
        <f>'Hodnocení '!T54</f>
        <v>591336</v>
      </c>
      <c r="U58" s="697">
        <f>'Hodnocení '!U54</f>
        <v>1099204</v>
      </c>
      <c r="V58" s="697">
        <f>'Hodnocení '!V54</f>
        <v>9233620</v>
      </c>
      <c r="W58" s="697">
        <f>'Hodnocení '!W54</f>
        <v>1825000</v>
      </c>
      <c r="X58" s="697">
        <f>'Hodnocení '!X54</f>
        <v>1309890</v>
      </c>
      <c r="Y58" s="697">
        <f>'Hodnocení '!Y54</f>
        <v>1757810</v>
      </c>
      <c r="Z58" s="697">
        <f>'Hodnocení '!Z54</f>
        <v>6852000</v>
      </c>
      <c r="AA58" s="697">
        <f>'Hodnocení '!AA54</f>
        <v>3849820</v>
      </c>
      <c r="AB58" s="697">
        <f>'Hodnocení '!AB54</f>
        <v>3047940</v>
      </c>
      <c r="AC58" s="697">
        <f>'Hodnocení '!AC54</f>
        <v>2007500</v>
      </c>
      <c r="AD58" s="697">
        <f>'Hodnocení '!AD54</f>
        <v>1845240</v>
      </c>
      <c r="AE58" s="697">
        <f>'Hodnocení '!AE54</f>
        <v>1056608</v>
      </c>
      <c r="AF58" s="697">
        <f>'Hodnocení '!AF54</f>
        <v>2104207</v>
      </c>
      <c r="AG58" s="697">
        <f>'Hodnocení '!AG54</f>
        <v>3325752</v>
      </c>
      <c r="AH58" s="697">
        <f>'Hodnocení '!AH54</f>
        <v>767266</v>
      </c>
      <c r="AI58" s="697">
        <f>'Hodnocení '!AI54</f>
        <v>2893700</v>
      </c>
      <c r="AJ58" s="697">
        <f>'Hodnocení '!AJ54</f>
        <v>2450300</v>
      </c>
      <c r="AK58" s="697">
        <f>'Hodnocení '!AK54</f>
        <v>1197405</v>
      </c>
      <c r="AL58" s="697">
        <f>'Hodnocení '!AL54</f>
        <v>1860416</v>
      </c>
      <c r="AM58" s="697">
        <f>'Hodnocení '!AM54</f>
        <v>1374492</v>
      </c>
      <c r="AN58" s="697">
        <f>'Hodnocení '!AN54</f>
        <v>1027900</v>
      </c>
      <c r="AO58" s="697">
        <f>'Hodnocení '!AO54</f>
        <v>3729028</v>
      </c>
      <c r="AP58" s="697">
        <f>'Hodnocení '!AP54</f>
        <v>2259775</v>
      </c>
      <c r="AQ58" s="697">
        <f>'Hodnocení '!AQ54</f>
        <v>327938</v>
      </c>
      <c r="AR58" s="697">
        <f>'Hodnocení '!AR54</f>
        <v>1130591</v>
      </c>
      <c r="AS58" s="697">
        <f>'Hodnocení '!AS54</f>
        <v>450572</v>
      </c>
      <c r="AT58" s="697">
        <f>'Hodnocení '!AT54</f>
        <v>2175746</v>
      </c>
      <c r="AU58" s="697">
        <f>'Hodnocení '!AU54</f>
        <v>894272</v>
      </c>
      <c r="AV58" s="697">
        <f>'Hodnocení '!AV54</f>
        <v>1866618</v>
      </c>
      <c r="AW58" s="697">
        <f>'Hodnocení '!AW54</f>
        <v>3070875</v>
      </c>
      <c r="AX58" s="697">
        <f>'Hodnocení '!AX54</f>
        <v>2970020</v>
      </c>
      <c r="AY58" s="697">
        <f>'Hodnocení '!AY54</f>
        <v>3091452</v>
      </c>
      <c r="AZ58" s="697">
        <f>'Hodnocení '!AZ54</f>
        <v>2931235</v>
      </c>
      <c r="BA58" s="697">
        <f>'Hodnocení '!BA54</f>
        <v>7415268</v>
      </c>
      <c r="BB58" s="697">
        <f>'Hodnocení '!BB54</f>
        <v>1020124</v>
      </c>
      <c r="BC58" s="697">
        <f>'Hodnocení '!BC54</f>
        <v>1008745</v>
      </c>
      <c r="BD58" s="697">
        <f>'Hodnocení '!BD54</f>
        <v>1277820</v>
      </c>
      <c r="BE58" s="697">
        <f>'Hodnocení '!BE54</f>
        <v>1204150</v>
      </c>
      <c r="BF58" s="697">
        <f>'Hodnocení '!BF54</f>
        <v>1888960</v>
      </c>
      <c r="BG58" s="697">
        <f>'Hodnocení '!BG54</f>
        <v>2344216</v>
      </c>
      <c r="BH58" s="697">
        <f>'Hodnocení '!BH54</f>
        <v>2948068</v>
      </c>
      <c r="BI58" s="697">
        <f>'Hodnocení '!BI54</f>
        <v>1468100</v>
      </c>
      <c r="BJ58" s="697">
        <f>'Hodnocení '!BJ54</f>
        <v>2652621</v>
      </c>
      <c r="BK58" s="697">
        <f>'Hodnocení '!BK54</f>
        <v>852000</v>
      </c>
      <c r="BL58" s="697">
        <f>'Hodnocení '!BL54</f>
        <v>0</v>
      </c>
      <c r="BM58" s="697">
        <f>'Hodnocení '!BM54</f>
        <v>615100</v>
      </c>
      <c r="BN58" s="697">
        <f>'Hodnocení '!BN54</f>
        <v>1582000</v>
      </c>
      <c r="BO58" s="697">
        <f>'Hodnocení '!BO54</f>
        <v>762010</v>
      </c>
      <c r="BP58" s="697">
        <f>'Hodnocení '!BP54</f>
        <v>3919307</v>
      </c>
      <c r="BQ58" s="697">
        <f>'Hodnocení '!BQ54</f>
        <v>815436</v>
      </c>
      <c r="BR58" s="697">
        <f>'Hodnocení '!BR54</f>
        <v>874340</v>
      </c>
      <c r="BS58" s="697">
        <f>'Hodnocení '!BS54</f>
        <v>1297900</v>
      </c>
      <c r="BT58" s="697">
        <f>'Hodnocení '!BT54</f>
        <v>860100</v>
      </c>
      <c r="BU58" s="697">
        <f>'Hodnocení '!BU54</f>
        <v>3939338</v>
      </c>
      <c r="BV58" s="697">
        <f>'Hodnocení '!BV54</f>
        <v>588910</v>
      </c>
      <c r="BW58" s="697">
        <f>'Hodnocení '!BW54</f>
        <v>532683</v>
      </c>
      <c r="BX58" s="697">
        <f>'Hodnocení '!BX54</f>
        <v>4055253</v>
      </c>
      <c r="BY58" s="697">
        <f>'Hodnocení '!BY54</f>
        <v>1520144</v>
      </c>
      <c r="BZ58" s="697">
        <f>'Hodnocení '!BZ54</f>
        <v>324150</v>
      </c>
      <c r="CA58" s="697">
        <f>'Hodnocení '!CA54</f>
        <v>0</v>
      </c>
      <c r="CB58" s="697">
        <f>'Hodnocení '!CB54</f>
        <v>532263</v>
      </c>
      <c r="CC58" s="697">
        <f>'Hodnocení '!CC54</f>
        <v>2120418</v>
      </c>
      <c r="CD58" s="697">
        <f>'Hodnocení '!CD54</f>
        <v>647336</v>
      </c>
      <c r="CE58" s="697">
        <f>'Hodnocení '!CE54</f>
        <v>8268855</v>
      </c>
      <c r="CF58" s="697">
        <f>'Hodnocení '!CF54</f>
        <v>4326000</v>
      </c>
      <c r="CG58" s="697">
        <f>'Hodnocení '!CG54</f>
        <v>8224486</v>
      </c>
      <c r="CH58" s="697">
        <f>'Hodnocení '!CH54</f>
        <v>3654346</v>
      </c>
      <c r="CI58" s="697">
        <f>'Hodnocení '!CI54</f>
        <v>2882766</v>
      </c>
      <c r="CJ58" s="697">
        <f>'Hodnocení '!CJ54</f>
        <v>3459530</v>
      </c>
      <c r="CK58" s="697">
        <f>'Hodnocení '!CK54</f>
        <v>4176623</v>
      </c>
      <c r="CL58" s="697">
        <f>'Hodnocení '!CL54</f>
        <v>2384969</v>
      </c>
      <c r="CM58" s="697">
        <f>'Hodnocení '!CM54</f>
        <v>5320660</v>
      </c>
      <c r="CN58" s="697">
        <f>'Hodnocení '!CN54</f>
        <v>1282575.1399999999</v>
      </c>
      <c r="CO58" s="697">
        <f>'Hodnocení '!CO54</f>
        <v>1214500</v>
      </c>
      <c r="CP58" s="697">
        <f>'Hodnocení '!CP54</f>
        <v>1238425.46</v>
      </c>
      <c r="CQ58" s="697">
        <f>'Hodnocení '!CQ54</f>
        <v>4606266</v>
      </c>
      <c r="CR58" s="697">
        <f>'Hodnocení '!CR54</f>
        <v>1616800</v>
      </c>
      <c r="CS58" s="697">
        <f>'Hodnocení '!CS54</f>
        <v>0</v>
      </c>
      <c r="CT58" s="697">
        <f>'Hodnocení '!CT54</f>
        <v>5070000</v>
      </c>
      <c r="CU58" s="697">
        <f>'Hodnocení '!CU54</f>
        <v>1400500</v>
      </c>
      <c r="CV58" s="697">
        <f>'Hodnocení '!CV54</f>
        <v>5031500</v>
      </c>
      <c r="CW58" s="697">
        <f>'Hodnocení '!CW54</f>
        <v>271401</v>
      </c>
      <c r="CX58" s="697">
        <f>'Hodnocení '!CX54</f>
        <v>3128000</v>
      </c>
      <c r="CY58" s="697">
        <f>'Hodnocení '!CY54</f>
        <v>2748954</v>
      </c>
      <c r="CZ58" s="697">
        <f>'Hodnocení '!CZ54</f>
        <v>1006700</v>
      </c>
      <c r="DA58" s="697">
        <f>'Hodnocení '!DA54</f>
        <v>5580860</v>
      </c>
      <c r="DB58" s="697">
        <f>'Hodnocení '!DB54</f>
        <v>665328</v>
      </c>
      <c r="DC58" s="697">
        <f>'Hodnocení '!DC54</f>
        <v>1623500</v>
      </c>
      <c r="DD58" s="697">
        <f>'Hodnocení '!DD54</f>
        <v>4680513</v>
      </c>
      <c r="DE58" s="697">
        <f>'Hodnocení '!DE54</f>
        <v>7167606</v>
      </c>
      <c r="DF58" s="697">
        <f>'Hodnocení '!DF54</f>
        <v>5216852</v>
      </c>
      <c r="DG58" s="697">
        <f>'Hodnocení '!DG54</f>
        <v>605740</v>
      </c>
      <c r="DH58" s="697">
        <f>'Hodnocení '!DH54</f>
        <v>1606367.6400000001</v>
      </c>
      <c r="DI58" s="697">
        <f>'Hodnocení '!DI54</f>
        <v>1093940</v>
      </c>
      <c r="DJ58" s="697">
        <f>'Hodnocení '!DJ54</f>
        <v>1816958</v>
      </c>
      <c r="DK58" s="697">
        <f>'Hodnocení '!DK54</f>
        <v>910471</v>
      </c>
      <c r="DL58" s="697">
        <f>'Hodnocení '!DL54</f>
        <v>3817224</v>
      </c>
      <c r="DM58" s="697">
        <f>'Hodnocení '!DM54</f>
        <v>1734348</v>
      </c>
      <c r="DN58" s="697">
        <f>'Hodnocení '!DN54</f>
        <v>2980765</v>
      </c>
      <c r="DO58" s="697">
        <f>'Hodnocení '!DO54</f>
        <v>1397775</v>
      </c>
      <c r="DP58" s="697">
        <f>'Hodnocení '!DP54</f>
        <v>4045363.78</v>
      </c>
      <c r="DQ58" s="697">
        <f>'Hodnocení '!DQ54</f>
        <v>3907852</v>
      </c>
      <c r="DR58" s="697">
        <f>'Hodnocení '!DR54</f>
        <v>4477376</v>
      </c>
      <c r="DS58" s="697">
        <f>'Hodnocení '!DS54</f>
        <v>331000</v>
      </c>
      <c r="DT58" s="697">
        <f>'Hodnocení '!DT54</f>
        <v>2906291</v>
      </c>
      <c r="DU58" s="697">
        <f>'Hodnocení '!DU54</f>
        <v>2100600</v>
      </c>
      <c r="DV58" s="697">
        <f>'Hodnocení '!DV54</f>
        <v>3145477</v>
      </c>
      <c r="DW58" s="697">
        <f>'Hodnocení '!DW54</f>
        <v>1211410</v>
      </c>
      <c r="DX58" s="697">
        <f>'Hodnocení '!DX54</f>
        <v>4030918</v>
      </c>
      <c r="DY58" s="697">
        <f>'Hodnocení '!DY54</f>
        <v>3755150</v>
      </c>
      <c r="DZ58" s="697">
        <f>'Hodnocení '!DZ54</f>
        <v>716300</v>
      </c>
      <c r="EA58" s="697">
        <f>'Hodnocení '!EA54</f>
        <v>3895188</v>
      </c>
      <c r="EB58" s="697">
        <f>'Hodnocení '!EB54</f>
        <v>3882690</v>
      </c>
      <c r="EC58" s="697">
        <f>'Hodnocení '!EC54</f>
        <v>3345254</v>
      </c>
      <c r="ED58" s="697">
        <f>'Hodnocení '!ED54</f>
        <v>3472808</v>
      </c>
      <c r="EE58" s="697">
        <f>'Hodnocení '!EE54</f>
        <v>563624</v>
      </c>
      <c r="EF58" s="697">
        <f>'Hodnocení '!EF54</f>
        <v>669087.59</v>
      </c>
      <c r="EG58" s="697">
        <f>'Hodnocení '!EG54</f>
        <v>427828.99</v>
      </c>
      <c r="EH58" s="697">
        <f>'Hodnocení '!EH54</f>
        <v>559670</v>
      </c>
      <c r="EI58" s="697">
        <f>'Hodnocení '!EI54</f>
        <v>910753</v>
      </c>
      <c r="EJ58" s="697">
        <f>'Hodnocení '!EJ54</f>
        <v>1034374</v>
      </c>
      <c r="EK58" s="697">
        <f>'Hodnocení '!EK54</f>
        <v>3932042</v>
      </c>
      <c r="EL58" s="697">
        <f>'Hodnocení '!EL54</f>
        <v>8624026</v>
      </c>
      <c r="EM58" s="697">
        <f>'Hodnocení '!EM54</f>
        <v>2698808</v>
      </c>
      <c r="EN58" s="697">
        <f>'Hodnocení '!EN54</f>
        <v>2394473</v>
      </c>
      <c r="EO58" s="697">
        <f>'Hodnocení '!EO54</f>
        <v>236418</v>
      </c>
      <c r="EP58" s="697">
        <f>'Hodnocení '!EP54</f>
        <v>2171123</v>
      </c>
      <c r="EQ58" s="697">
        <f>'Hodnocení '!EQ54</f>
        <v>1844122</v>
      </c>
      <c r="ER58" s="697">
        <f>'Hodnocení '!ER54</f>
        <v>5251868</v>
      </c>
      <c r="ES58" s="697">
        <f>'Hodnocení '!ES54</f>
        <v>2770560</v>
      </c>
      <c r="ET58" s="697">
        <f>'Hodnocení '!ET54</f>
        <v>0</v>
      </c>
      <c r="EU58" s="697">
        <f>'Hodnocení '!EU54</f>
        <v>804000</v>
      </c>
      <c r="EV58" s="697">
        <f>'Hodnocení '!EV54</f>
        <v>225535</v>
      </c>
      <c r="EW58" s="697">
        <f>'Hodnocení '!EW54</f>
        <v>2356313</v>
      </c>
      <c r="EX58" s="697">
        <f>'Hodnocení '!EX54</f>
        <v>5404290</v>
      </c>
      <c r="EY58" s="697">
        <f>'Hodnocení '!EY54</f>
        <v>2044845</v>
      </c>
      <c r="EZ58" s="697">
        <f>'Hodnocení '!EZ54</f>
        <v>111326</v>
      </c>
      <c r="FA58" s="697">
        <f>'Hodnocení '!FA54</f>
        <v>793692</v>
      </c>
      <c r="FB58" s="697">
        <f>'Hodnocení '!FB54</f>
        <v>139761</v>
      </c>
      <c r="FC58" s="697">
        <f>'Hodnocení '!FC54</f>
        <v>3000000</v>
      </c>
      <c r="FD58" s="697">
        <f>'Hodnocení '!FD54</f>
        <v>772461</v>
      </c>
      <c r="FE58" s="697">
        <f>'Hodnocení '!FE54</f>
        <v>262500</v>
      </c>
      <c r="FF58" s="697">
        <f>'Hodnocení '!FF54</f>
        <v>1117120</v>
      </c>
      <c r="FG58" s="697">
        <f>'Hodnocení '!FG54</f>
        <v>4683650</v>
      </c>
      <c r="FH58" s="697">
        <f>'Hodnocení '!FH54</f>
        <v>5519580</v>
      </c>
      <c r="FI58" s="697">
        <f>'Hodnocení '!FI54</f>
        <v>5568487</v>
      </c>
      <c r="FJ58" s="697">
        <f>'Hodnocení '!FJ54</f>
        <v>1579046</v>
      </c>
      <c r="FK58" s="697">
        <f>'Hodnocení '!FK54</f>
        <v>281852</v>
      </c>
      <c r="FL58" s="697">
        <f>'Hodnocení '!FL54</f>
        <v>601762</v>
      </c>
      <c r="FM58" s="697">
        <f>'Hodnocení '!FM54</f>
        <v>2626403</v>
      </c>
      <c r="FN58" s="697">
        <f>'Hodnocení '!FN54</f>
        <v>6459380</v>
      </c>
      <c r="FO58" s="697">
        <f>'Hodnocení '!FO54</f>
        <v>1659657</v>
      </c>
      <c r="FP58" s="697">
        <f>'Hodnocení '!FP54</f>
        <v>12144452</v>
      </c>
      <c r="FQ58" s="697">
        <f>'Hodnocení '!FQ54</f>
        <v>1909423</v>
      </c>
      <c r="FR58" s="697">
        <f>'Hodnocení '!FR54</f>
        <v>0</v>
      </c>
      <c r="FS58" s="697">
        <f>'Hodnocení '!FS54</f>
        <v>477570</v>
      </c>
      <c r="FT58" s="697">
        <f>'Hodnocení '!FT54</f>
        <v>2948610</v>
      </c>
      <c r="FU58" s="697">
        <f>'Hodnocení '!FU54</f>
        <v>426547</v>
      </c>
      <c r="FV58" s="697">
        <f>'Hodnocení '!FV54</f>
        <v>559074</v>
      </c>
      <c r="FW58" s="697">
        <f>'Hodnocení '!FW54</f>
        <v>1013735</v>
      </c>
      <c r="FX58" s="697">
        <f>'Hodnocení '!FX54</f>
        <v>364926</v>
      </c>
      <c r="FY58" s="697">
        <f>'Hodnocení '!FY54</f>
        <v>209591</v>
      </c>
      <c r="FZ58" s="697">
        <f>'Hodnocení '!FZ54</f>
        <v>2576210</v>
      </c>
      <c r="GA58" s="697">
        <f>'Hodnocení '!GA54</f>
        <v>234850</v>
      </c>
      <c r="GB58" s="697">
        <f>'Hodnocení '!GB54</f>
        <v>1751320</v>
      </c>
      <c r="GC58" s="697">
        <f>'Hodnocení '!GC54</f>
        <v>2155529</v>
      </c>
      <c r="GD58" s="697">
        <f>'Hodnocení '!GD54</f>
        <v>7122291</v>
      </c>
      <c r="GE58" s="697">
        <f>'Hodnocení '!GE54</f>
        <v>1339065</v>
      </c>
      <c r="GF58" s="697">
        <f>'Hodnocení '!GF54</f>
        <v>3590557</v>
      </c>
      <c r="GG58" s="697">
        <f>'Hodnocení '!GG54</f>
        <v>1289981</v>
      </c>
      <c r="GH58" s="697">
        <f>'Hodnocení '!GH54</f>
        <v>1089582</v>
      </c>
      <c r="GI58" s="697">
        <f>'Hodnocení '!GI54</f>
        <v>6898917</v>
      </c>
      <c r="GJ58" s="697">
        <f>'Hodnocení '!GJ54</f>
        <v>1667501</v>
      </c>
      <c r="GK58" s="697">
        <f>'Hodnocení '!GK54</f>
        <v>666130</v>
      </c>
      <c r="GL58" s="697">
        <f>'Hodnocení '!GL54</f>
        <v>529296</v>
      </c>
      <c r="GM58" s="697">
        <f>'Hodnocení '!GM54</f>
        <v>753240</v>
      </c>
      <c r="GN58" s="697">
        <f>'Hodnocení '!GN54</f>
        <v>603116</v>
      </c>
      <c r="GO58" s="697">
        <f>'Hodnocení '!GO54</f>
        <v>3581549</v>
      </c>
      <c r="GP58" s="697">
        <f>'Hodnocení '!GP54</f>
        <v>520270</v>
      </c>
      <c r="GQ58" s="697">
        <f>'Hodnocení '!GQ54</f>
        <v>740230</v>
      </c>
      <c r="GR58" s="697">
        <f>'Hodnocení '!GR54</f>
        <v>693152</v>
      </c>
      <c r="GS58" s="697">
        <f>'Hodnocení '!GS54</f>
        <v>165886</v>
      </c>
      <c r="GT58" s="697">
        <f>'Hodnocení '!GT54</f>
        <v>8345502</v>
      </c>
      <c r="GU58" s="697">
        <f>'Hodnocení '!GU54</f>
        <v>761571</v>
      </c>
      <c r="GV58" s="697">
        <f>'Hodnocení '!GV54</f>
        <v>4959810</v>
      </c>
      <c r="GW58" s="697">
        <f>'Hodnocení '!GW54</f>
        <v>1133866</v>
      </c>
      <c r="GX58" s="697">
        <f>'Hodnocení '!GX54</f>
        <v>154333</v>
      </c>
      <c r="GY58" s="697">
        <f>'Hodnocení '!GY54</f>
        <v>10721860</v>
      </c>
      <c r="GZ58" s="697">
        <f>'Hodnocení '!GZ54</f>
        <v>0</v>
      </c>
      <c r="HA58" s="697">
        <f>'Hodnocení '!HA54</f>
        <v>4876560</v>
      </c>
      <c r="HB58" s="697">
        <f>'Hodnocení '!HB54</f>
        <v>1991460</v>
      </c>
      <c r="HC58" s="697">
        <f>'Hodnocení '!HC54</f>
        <v>5134000</v>
      </c>
      <c r="HD58" s="697">
        <f>'Hodnocení '!HD54</f>
        <v>1401300</v>
      </c>
      <c r="HE58" s="697">
        <f>'Hodnocení '!HE54</f>
        <v>4443200</v>
      </c>
      <c r="HF58" s="697">
        <f>'Hodnocení '!HF54</f>
        <v>707286</v>
      </c>
      <c r="HG58" s="697">
        <f>'Hodnocení '!HG54</f>
        <v>518077</v>
      </c>
      <c r="HH58" s="697">
        <f>'Hodnocení '!HH54</f>
        <v>1985778</v>
      </c>
      <c r="HI58" s="697">
        <f>'Hodnocení '!HI54</f>
        <v>1514623</v>
      </c>
      <c r="HJ58" s="697">
        <f>'Hodnocení '!HJ54</f>
        <v>495460</v>
      </c>
      <c r="HK58" s="697">
        <f>'Hodnocení '!HK54</f>
        <v>144000</v>
      </c>
      <c r="HL58" s="697">
        <f>'Hodnocení '!HL54</f>
        <v>37366967.243574739</v>
      </c>
      <c r="HM58" s="697">
        <f>'Hodnocení '!HM54</f>
        <v>25001512.541579321</v>
      </c>
      <c r="HN58" s="697">
        <f>'Hodnocení '!HN54</f>
        <v>808776.41538817156</v>
      </c>
      <c r="HO58" s="697">
        <f>'Hodnocení '!HO54</f>
        <v>2876769.799457768</v>
      </c>
      <c r="HP58" s="697">
        <f>'Hodnocení '!HP54</f>
        <v>27787218</v>
      </c>
      <c r="HQ58" s="697">
        <f>'Hodnocení '!HQ54</f>
        <v>978043.38080963399</v>
      </c>
      <c r="HR58" s="697">
        <f>'Hodnocení '!HR54</f>
        <v>33541191.281565275</v>
      </c>
      <c r="HS58" s="697">
        <f>'Hodnocení '!HS54</f>
        <v>5691227.33762509</v>
      </c>
      <c r="HT58" s="697">
        <f>'Hodnocení '!HT54</f>
        <v>22599685</v>
      </c>
      <c r="HU58" s="697">
        <f>'Hodnocení '!HU54</f>
        <v>21507994</v>
      </c>
      <c r="HV58" s="697">
        <f>'Hodnocení '!HV54</f>
        <v>16689127</v>
      </c>
      <c r="HW58" s="697">
        <f>'Hodnocení '!HW54</f>
        <v>6965541.9659980796</v>
      </c>
      <c r="HX58" s="697">
        <f>'Hodnocení '!HX54</f>
        <v>17983528.03400192</v>
      </c>
      <c r="HY58" s="697">
        <f>'Hodnocení '!HY54</f>
        <v>21105762</v>
      </c>
      <c r="HZ58" s="697">
        <f>'Hodnocení '!HZ54</f>
        <v>9565941</v>
      </c>
      <c r="IA58" s="697">
        <f>'Hodnocení '!IA54</f>
        <v>9107487</v>
      </c>
      <c r="IB58" s="697">
        <f>'Hodnocení '!IB54</f>
        <v>8575181</v>
      </c>
      <c r="IC58" s="697">
        <f>'Hodnocení '!IC54</f>
        <v>11233714.822746631</v>
      </c>
      <c r="ID58" s="697">
        <f>'Hodnocení '!ID54</f>
        <v>9255791.1772533692</v>
      </c>
      <c r="IE58" s="697">
        <f>'Hodnocení '!IE54</f>
        <v>16188892</v>
      </c>
      <c r="IF58" s="697">
        <f>'Hodnocení '!IF54</f>
        <v>20259987.198794641</v>
      </c>
      <c r="IG58" s="697">
        <f>'Hodnocení '!IG54</f>
        <v>5446079.8012053594</v>
      </c>
      <c r="IH58" s="697">
        <f>'Hodnocení '!IH54</f>
        <v>3012886.5890955012</v>
      </c>
      <c r="II58" s="697">
        <f>'Hodnocení '!II54</f>
        <v>20841865.049244203</v>
      </c>
      <c r="IJ58" s="697">
        <f>'Hodnocení '!IJ54</f>
        <v>1674908.5338407224</v>
      </c>
      <c r="IK58" s="697">
        <f>'Hodnocení '!IK54</f>
        <v>3577558.8278195728</v>
      </c>
      <c r="IL58" s="697">
        <f>'Hodnocení '!IL54</f>
        <v>9204656</v>
      </c>
      <c r="IM58" s="697">
        <f>'Hodnocení '!IM54</f>
        <v>701837.84282009513</v>
      </c>
      <c r="IN58" s="697">
        <f>'Hodnocení '!IN54</f>
        <v>10213951.504810652</v>
      </c>
      <c r="IO58" s="697">
        <f>'Hodnocení '!IO54</f>
        <v>3412493.6523692533</v>
      </c>
      <c r="IP58" s="697">
        <f>'Hodnocení '!IP54</f>
        <v>22515867</v>
      </c>
      <c r="IQ58" s="697">
        <f>'Hodnocení '!IQ54</f>
        <v>22563962.666168727</v>
      </c>
      <c r="IR58" s="697">
        <f>'Hodnocení '!IR54</f>
        <v>1003066.3338312713</v>
      </c>
      <c r="IS58" s="697">
        <f>'Hodnocení '!IS54</f>
        <v>53065674.509968996</v>
      </c>
      <c r="IT58" s="697">
        <f>'Hodnocení '!IT54</f>
        <v>12209859.490031004</v>
      </c>
      <c r="IU58" s="697">
        <f>'Hodnocení '!IU54</f>
        <v>3182630.0362361362</v>
      </c>
      <c r="IV58" s="697">
        <f>'Hodnocení '!IV54</f>
        <v>8522404.8188311569</v>
      </c>
      <c r="IW58" s="697">
        <f>'Hodnocení '!IW54</f>
        <v>15638894.711101327</v>
      </c>
      <c r="IX58" s="697">
        <f>'Hodnocení '!IX54</f>
        <v>1813436.4338313788</v>
      </c>
      <c r="IY58" s="697">
        <f>'Hodnocení '!IY54</f>
        <v>7604648.4471565671</v>
      </c>
      <c r="IZ58" s="697">
        <f>'Hodnocení '!IZ54</f>
        <v>18227943.552843433</v>
      </c>
      <c r="JA58" s="697">
        <f>'Hodnocení '!JA54</f>
        <v>3037151.73</v>
      </c>
      <c r="JB58" s="697">
        <f>'Hodnocení '!JB54</f>
        <v>2895174.04</v>
      </c>
      <c r="JC58" s="697">
        <f>'Hodnocení '!JC54</f>
        <v>2268778.09</v>
      </c>
      <c r="JD58" s="697">
        <f>'Hodnocení '!JD54</f>
        <v>5052980.7</v>
      </c>
      <c r="JE58" s="697">
        <f>'Hodnocení '!JE54</f>
        <v>1159105.145059247</v>
      </c>
      <c r="JF58" s="697">
        <f>'Hodnocení '!JF54</f>
        <v>29898599.85494075</v>
      </c>
      <c r="JG58" s="697">
        <f>'Hodnocení '!JG54</f>
        <v>30541537</v>
      </c>
      <c r="JH58" s="698">
        <f>'Hodnocení '!JH54</f>
        <v>868740</v>
      </c>
      <c r="JI58" s="470">
        <f>'Hodnocení '!JI54</f>
        <v>0</v>
      </c>
      <c r="JL58" s="307">
        <f t="shared" ref="JL58:JO62" si="43">SUMIFS($C58:$JH58,$C$5:$JH$5,JL$5)</f>
        <v>22168505</v>
      </c>
      <c r="JM58" s="307">
        <f t="shared" si="43"/>
        <v>364768028.49999994</v>
      </c>
      <c r="JN58" s="307">
        <f t="shared" si="43"/>
        <v>153322946</v>
      </c>
      <c r="JO58" s="307">
        <f t="shared" si="43"/>
        <v>625247030.56000006</v>
      </c>
      <c r="JP58" s="307">
        <f t="shared" ref="JP58" si="44">SUM(JL58:JO58)</f>
        <v>1165506510.0599999</v>
      </c>
    </row>
    <row r="59" spans="1:277" ht="15.75" hidden="1" thickBot="1" x14ac:dyDescent="0.3">
      <c r="B59" s="607" t="s">
        <v>2565</v>
      </c>
      <c r="C59" s="696">
        <f>'Hodnocení '!C55</f>
        <v>9246049.1510793846</v>
      </c>
      <c r="D59" s="697">
        <f>'Hodnocení '!D55</f>
        <v>8080000</v>
      </c>
      <c r="E59" s="697">
        <f>'Hodnocení '!E55</f>
        <v>8707194.8468445688</v>
      </c>
      <c r="F59" s="697">
        <f>'Hodnocení '!F55</f>
        <v>3616884.7088353573</v>
      </c>
      <c r="G59" s="697">
        <f>'Hodnocení '!G55</f>
        <v>10328003.127290595</v>
      </c>
      <c r="H59" s="697">
        <f>'Hodnocení '!H55</f>
        <v>916710.41611130896</v>
      </c>
      <c r="I59" s="697">
        <f>'Hodnocení '!I55</f>
        <v>3162879.4741952131</v>
      </c>
      <c r="J59" s="697">
        <f>'Hodnocení '!J55</f>
        <v>2804600.7844202179</v>
      </c>
      <c r="K59" s="697">
        <f>'Hodnocení '!K55</f>
        <v>5569047.6841046801</v>
      </c>
      <c r="L59" s="697">
        <f>'Hodnocení '!L55</f>
        <v>3749955.8292569402</v>
      </c>
      <c r="M59" s="697">
        <f>'Hodnocení '!M55</f>
        <v>3667775.238895766</v>
      </c>
      <c r="N59" s="697">
        <f>'Hodnocení '!N55</f>
        <v>4468302.8370803231</v>
      </c>
      <c r="O59" s="697">
        <f>'Hodnocení '!O55</f>
        <v>4201135.2104233941</v>
      </c>
      <c r="P59" s="697">
        <f>'Hodnocení '!P55</f>
        <v>2570026.0021816893</v>
      </c>
      <c r="Q59" s="697">
        <f>'Hodnocení '!Q55</f>
        <v>1836488.4791010155</v>
      </c>
      <c r="R59" s="697">
        <f>'Hodnocení '!R55</f>
        <v>1995152.5855679074</v>
      </c>
      <c r="S59" s="697">
        <f>'Hodnocení '!S55</f>
        <v>1592295.0747897534</v>
      </c>
      <c r="T59" s="697">
        <f>'Hodnocení '!T55</f>
        <v>622773.51077815378</v>
      </c>
      <c r="U59" s="697">
        <f>'Hodnocení '!U55</f>
        <v>949160.26616723067</v>
      </c>
      <c r="V59" s="697">
        <f>'Hodnocení '!V55</f>
        <v>9030900</v>
      </c>
      <c r="W59" s="697">
        <f>'Hodnocení '!W55</f>
        <v>2379600</v>
      </c>
      <c r="X59" s="697">
        <f>'Hodnocení '!X55</f>
        <v>2069081.086187847</v>
      </c>
      <c r="Y59" s="697">
        <f>'Hodnocení '!Y55</f>
        <v>1969745.4492107111</v>
      </c>
      <c r="Z59" s="697">
        <f>'Hodnocení '!Z55</f>
        <v>7441924</v>
      </c>
      <c r="AA59" s="697">
        <f>'Hodnocení '!AA55</f>
        <v>4018818.3267021552</v>
      </c>
      <c r="AB59" s="697">
        <f>'Hodnocení '!AB55</f>
        <v>2999148.135966239</v>
      </c>
      <c r="AC59" s="697">
        <f>'Hodnocení '!AC55</f>
        <v>471661.84132364974</v>
      </c>
      <c r="AD59" s="697">
        <f>'Hodnocení '!AD55</f>
        <v>2341104.6985613657</v>
      </c>
      <c r="AE59" s="697">
        <f>'Hodnocení '!AE55</f>
        <v>1133448.5258989439</v>
      </c>
      <c r="AF59" s="697">
        <f>'Hodnocení '!AF55</f>
        <v>3323451.9295379585</v>
      </c>
      <c r="AG59" s="697">
        <f>'Hodnocení '!AG55</f>
        <v>3243107.0288166855</v>
      </c>
      <c r="AH59" s="697">
        <f>'Hodnocení '!AH55</f>
        <v>807300</v>
      </c>
      <c r="AI59" s="697">
        <f>'Hodnocení '!AI55</f>
        <v>4368180</v>
      </c>
      <c r="AJ59" s="697">
        <f>'Hodnocení '!AJ55</f>
        <v>2788040</v>
      </c>
      <c r="AK59" s="697">
        <f>'Hodnocení '!AK55</f>
        <v>1383868</v>
      </c>
      <c r="AL59" s="697">
        <f>'Hodnocení '!AL55</f>
        <v>1952909.1633510776</v>
      </c>
      <c r="AM59" s="697">
        <f>'Hodnocení '!AM55</f>
        <v>1499708.3726341231</v>
      </c>
      <c r="AN59" s="697">
        <f>'Hodnocení '!AN55</f>
        <v>900316.50444272615</v>
      </c>
      <c r="AO59" s="697">
        <f>'Hodnocení '!AO55</f>
        <v>3733033.6631408297</v>
      </c>
      <c r="AP59" s="697">
        <f>'Hodnocení '!AP55</f>
        <v>2181740</v>
      </c>
      <c r="AQ59" s="697">
        <f>'Hodnocení '!AQ55</f>
        <v>247109.40431126149</v>
      </c>
      <c r="AR59" s="697">
        <f>'Hodnocení '!AR55</f>
        <v>1531740.3992508459</v>
      </c>
      <c r="AS59" s="697">
        <f>'Hodnocení '!AS55</f>
        <v>408664.10646689229</v>
      </c>
      <c r="AT59" s="697">
        <f>'Hodnocení '!AT55</f>
        <v>1940142.1939772759</v>
      </c>
      <c r="AU59" s="697">
        <f>'Hodnocení '!AU55</f>
        <v>891886.2833224081</v>
      </c>
      <c r="AV59" s="697">
        <f>'Hodnocení '!AV55</f>
        <v>2003660.6772952261</v>
      </c>
      <c r="AW59" s="697">
        <f>'Hodnocení '!AW55</f>
        <v>3359522.5550434329</v>
      </c>
      <c r="AX59" s="697">
        <f>'Hodnocení '!AX55</f>
        <v>2631815.8082949743</v>
      </c>
      <c r="AY59" s="697">
        <f>'Hodnocení '!AY55</f>
        <v>2954681.8379533906</v>
      </c>
      <c r="AZ59" s="697">
        <f>'Hodnocení '!AZ55</f>
        <v>3434507</v>
      </c>
      <c r="BA59" s="697">
        <f>'Hodnocení '!BA55</f>
        <v>9913000</v>
      </c>
      <c r="BB59" s="697">
        <f>'Hodnocení '!BB55</f>
        <v>1271269.6704784923</v>
      </c>
      <c r="BC59" s="697">
        <f>'Hodnocení '!BC55</f>
        <v>1223742.4938025323</v>
      </c>
      <c r="BD59" s="697">
        <f>'Hodnocení '!BD55</f>
        <v>1716343.9493165785</v>
      </c>
      <c r="BE59" s="697">
        <f>'Hodnocení '!BE55</f>
        <v>1290934.3566507786</v>
      </c>
      <c r="BF59" s="697">
        <f>'Hodnocení '!BF55</f>
        <v>2669371.3941904306</v>
      </c>
      <c r="BG59" s="697">
        <f>'Hodnocení '!BG55</f>
        <v>3342000</v>
      </c>
      <c r="BH59" s="697">
        <f>'Hodnocení '!BH55</f>
        <v>3388109.2415605099</v>
      </c>
      <c r="BI59" s="697">
        <f>'Hodnocení '!BI55</f>
        <v>2370000</v>
      </c>
      <c r="BJ59" s="697">
        <f>'Hodnocení '!BJ55</f>
        <v>2617236.6701121721</v>
      </c>
      <c r="BK59" s="697">
        <f>'Hodnocení '!BK55</f>
        <v>1010000</v>
      </c>
      <c r="BL59" s="697">
        <f>'Hodnocení '!BL55</f>
        <v>455138.49500087276</v>
      </c>
      <c r="BM59" s="697">
        <f>'Hodnocení '!BM55</f>
        <v>2033799.04</v>
      </c>
      <c r="BN59" s="697">
        <f>'Hodnocení '!BN55</f>
        <v>1620066.5982387629</v>
      </c>
      <c r="BO59" s="697">
        <f>'Hodnocení '!BO55</f>
        <v>893754.3738330903</v>
      </c>
      <c r="BP59" s="697">
        <f>'Hodnocení '!BP55</f>
        <v>4652080</v>
      </c>
      <c r="BQ59" s="697">
        <f>'Hodnocení '!BQ55</f>
        <v>847233.45560883218</v>
      </c>
      <c r="BR59" s="697">
        <f>'Hodnocení '!BR55</f>
        <v>922744.23955050774</v>
      </c>
      <c r="BS59" s="697">
        <f>'Hodnocení '!BS55</f>
        <v>1106992.3194006768</v>
      </c>
      <c r="BT59" s="697">
        <f>'Hodnocení '!BT55</f>
        <v>914160.26616723067</v>
      </c>
      <c r="BU59" s="697">
        <f>'Hodnocení '!BU55</f>
        <v>3296637.2294955002</v>
      </c>
      <c r="BV59" s="697">
        <f>'Hodnocení '!BV55</f>
        <v>1073756.9828447448</v>
      </c>
      <c r="BW59" s="697">
        <f>'Hodnocení '!BW55</f>
        <v>279282.84005258582</v>
      </c>
      <c r="BX59" s="697">
        <f>'Hodnocení '!BX55</f>
        <v>3752473.123708467</v>
      </c>
      <c r="BY59" s="697">
        <f>'Hodnocení '!BY55</f>
        <v>1335527.6887355854</v>
      </c>
      <c r="BZ59" s="697">
        <f>'Hodnocení '!BZ55</f>
        <v>99019.987553595856</v>
      </c>
      <c r="CA59" s="697">
        <f>'Hodnocení '!CA55</f>
        <v>0</v>
      </c>
      <c r="CB59" s="697">
        <f>'Hodnocení '!CB55</f>
        <v>199370.83989924585</v>
      </c>
      <c r="CC59" s="697">
        <f>'Hodnocení '!CC55</f>
        <v>2010013.9100289997</v>
      </c>
      <c r="CD59" s="697">
        <f>'Hodnocení '!CD55</f>
        <v>586773.51077815378</v>
      </c>
      <c r="CE59" s="697">
        <f>'Hodnocení '!CE55</f>
        <v>9715050.1253167707</v>
      </c>
      <c r="CF59" s="697">
        <f>'Hodnocení '!CF55</f>
        <v>4453617.8393289512</v>
      </c>
      <c r="CG59" s="697">
        <f>'Hodnocení '!CG55</f>
        <v>8768581.4960704464</v>
      </c>
      <c r="CH59" s="697">
        <f>'Hodnocení '!CH55</f>
        <v>3959479.0792496316</v>
      </c>
      <c r="CI59" s="697">
        <f>'Hodnocení '!CI55</f>
        <v>3318851.9671994289</v>
      </c>
      <c r="CJ59" s="697">
        <f>'Hodnocení '!CJ55</f>
        <v>3854195.0818283353</v>
      </c>
      <c r="CK59" s="697">
        <f>'Hodnocení '!CK55</f>
        <v>4571780</v>
      </c>
      <c r="CL59" s="697">
        <f>'Hodnocení '!CL55</f>
        <v>2611798.7485544984</v>
      </c>
      <c r="CM59" s="697">
        <f>'Hodnocení '!CM55</f>
        <v>6012336.4399863137</v>
      </c>
      <c r="CN59" s="697">
        <f>'Hodnocení '!CN55</f>
        <v>1149857.8541530101</v>
      </c>
      <c r="CO59" s="697">
        <f>'Hodnocení '!CO55</f>
        <v>1064857.8541530101</v>
      </c>
      <c r="CP59" s="697">
        <f>'Hodnocení '!CP55</f>
        <v>1099857.8541530101</v>
      </c>
      <c r="CQ59" s="697">
        <f>'Hodnocení '!CQ55</f>
        <v>5515036.573718125</v>
      </c>
      <c r="CR59" s="697">
        <f>'Hodnocení '!CR55</f>
        <v>2367817</v>
      </c>
      <c r="CS59" s="697">
        <f>'Hodnocení '!CS55</f>
        <v>3589793.26</v>
      </c>
      <c r="CT59" s="697">
        <f>'Hodnocení '!CT55</f>
        <v>5929679.8103662794</v>
      </c>
      <c r="CU59" s="697">
        <f>'Hodnocení '!CU55</f>
        <v>1974027.6887355854</v>
      </c>
      <c r="CV59" s="697">
        <f>'Hodnocení '!CV55</f>
        <v>5237702.4005636657</v>
      </c>
      <c r="CW59" s="697">
        <f>'Hodnocení '!CW55</f>
        <v>445664.10646689229</v>
      </c>
      <c r="CX59" s="697">
        <f>'Hodnocení '!CX55</f>
        <v>3686532</v>
      </c>
      <c r="CY59" s="697">
        <f>'Hodnocení '!CY55</f>
        <v>2881083.2839012085</v>
      </c>
      <c r="CZ59" s="697">
        <f>'Hodnocení '!CZ55</f>
        <v>1449800</v>
      </c>
      <c r="DA59" s="697">
        <f>'Hodnocení '!DA55</f>
        <v>8578781.7210858986</v>
      </c>
      <c r="DB59" s="697">
        <f>'Hodnocení '!DB55</f>
        <v>654189.53739487671</v>
      </c>
      <c r="DC59" s="697">
        <f>'Hodnocení '!DC55</f>
        <v>1707286.7812295151</v>
      </c>
      <c r="DD59" s="697">
        <f>'Hodnocení '!DD55</f>
        <v>5379283.4795616046</v>
      </c>
      <c r="DE59" s="697">
        <f>'Hodnocení '!DE55</f>
        <v>7596996.8713862468</v>
      </c>
      <c r="DF59" s="697">
        <f>'Hodnocení '!DF55</f>
        <v>7381996.8713862468</v>
      </c>
      <c r="DG59" s="697">
        <f>'Hodnocení '!DG55</f>
        <v>802938.16515118408</v>
      </c>
      <c r="DH59" s="697">
        <f>'Hodnocení '!DH55</f>
        <v>2437341.0743335127</v>
      </c>
      <c r="DI59" s="697">
        <f>'Hodnocení '!DI55</f>
        <v>1137805.3840966881</v>
      </c>
      <c r="DJ59" s="697">
        <f>'Hodnocení '!DJ55</f>
        <v>1920826</v>
      </c>
      <c r="DK59" s="697">
        <f>'Hodnocení '!DK55</f>
        <v>2577327.818091928</v>
      </c>
      <c r="DL59" s="697">
        <f>'Hodnocení '!DL55</f>
        <v>3021993.2555374205</v>
      </c>
      <c r="DM59" s="697">
        <f>'Hodnocení '!DM55</f>
        <v>1912949.4414940039</v>
      </c>
      <c r="DN59" s="697">
        <f>'Hodnocení '!DN55</f>
        <v>3390573.5624590302</v>
      </c>
      <c r="DO59" s="697">
        <f>'Hodnocení '!DO55</f>
        <v>1402300.3922101089</v>
      </c>
      <c r="DP59" s="697">
        <f>'Hodnocení '!DP55</f>
        <v>3858288.0259972829</v>
      </c>
      <c r="DQ59" s="697">
        <f>'Hodnocení '!DQ55</f>
        <v>4329795</v>
      </c>
      <c r="DR59" s="697">
        <f>'Hodnocení '!DR55</f>
        <v>4985313.5</v>
      </c>
      <c r="DS59" s="697">
        <f>'Hodnocení '!DS55</f>
        <v>1625552.2365860054</v>
      </c>
      <c r="DT59" s="697">
        <f>'Hodnocení '!DT55</f>
        <v>3360500</v>
      </c>
      <c r="DU59" s="697">
        <f>'Hodnocení '!DU55</f>
        <v>2119508.9633388799</v>
      </c>
      <c r="DV59" s="697">
        <f>'Hodnocení '!DV55</f>
        <v>6440000</v>
      </c>
      <c r="DW59" s="697">
        <f>'Hodnocení '!DW55</f>
        <v>1463011.5734570101</v>
      </c>
      <c r="DX59" s="697">
        <f>'Hodnocení '!DX55</f>
        <v>4464719.1541079516</v>
      </c>
      <c r="DY59" s="697">
        <f>'Hodnocení '!DY55</f>
        <v>4581142.7504826486</v>
      </c>
      <c r="DZ59" s="697">
        <f>'Hodnocení '!DZ55</f>
        <v>723925.6888148766</v>
      </c>
      <c r="EA59" s="697">
        <f>'Hodnocení '!EA55</f>
        <v>3387972.7647054419</v>
      </c>
      <c r="EB59" s="697">
        <f>'Hodnocení '!EB55</f>
        <v>5751412.8583436497</v>
      </c>
      <c r="EC59" s="697">
        <f>'Hodnocení '!EC55</f>
        <v>3191237.7834975314</v>
      </c>
      <c r="ED59" s="697">
        <f>'Hodnocení '!ED55</f>
        <v>3500133.2612115145</v>
      </c>
      <c r="EE59" s="697">
        <f>'Hodnocení '!EE55</f>
        <v>744189.53739487671</v>
      </c>
      <c r="EF59" s="697">
        <f>'Hodnocení '!EF55</f>
        <v>813466.88847269223</v>
      </c>
      <c r="EG59" s="697">
        <f>'Hodnocení '!EG55</f>
        <v>418924.26007887878</v>
      </c>
      <c r="EH59" s="697">
        <f>'Hodnocení '!EH55</f>
        <v>719811.80860682938</v>
      </c>
      <c r="EI59" s="697">
        <f>'Hodnocení '!EI55</f>
        <v>1178000</v>
      </c>
      <c r="EJ59" s="697">
        <f>'Hodnocení '!EJ55</f>
        <v>1254497.1182819521</v>
      </c>
      <c r="EK59" s="697">
        <f>'Hodnocení '!EK55</f>
        <v>3074481.0875684507</v>
      </c>
      <c r="EL59" s="697">
        <f>'Hodnocení '!EL55</f>
        <v>8819171.525295848</v>
      </c>
      <c r="EM59" s="697">
        <f>'Hodnocení '!EM55</f>
        <v>2817690.3194428757</v>
      </c>
      <c r="EN59" s="697">
        <f>'Hodnocení '!EN55</f>
        <v>2365410.3824750152</v>
      </c>
      <c r="EO59" s="697">
        <f>'Hodnocení '!EO55</f>
        <v>282109.40431126149</v>
      </c>
      <c r="EP59" s="697">
        <f>'Hodnocení '!EP55</f>
        <v>2982329.1261055968</v>
      </c>
      <c r="EQ59" s="697">
        <f>'Hodnocení '!EQ55</f>
        <v>1752875.490262636</v>
      </c>
      <c r="ER59" s="697">
        <f>'Hodnocení '!ER55</f>
        <v>6886000</v>
      </c>
      <c r="ES59" s="697">
        <f>'Hodnocení '!ES55</f>
        <v>0</v>
      </c>
      <c r="ET59" s="697">
        <f>'Hodnocení '!ET55</f>
        <v>1009463.051162631</v>
      </c>
      <c r="EU59" s="697">
        <f>'Hodnocení '!EU55</f>
        <v>2855783.9144364195</v>
      </c>
      <c r="EV59" s="697">
        <f>'Hodnocení '!EV55</f>
        <v>477773.51077815378</v>
      </c>
      <c r="EW59" s="697">
        <f>'Hodnocení '!EW55</f>
        <v>2713993.2555374205</v>
      </c>
      <c r="EX59" s="697">
        <f>'Hodnocení '!EX55</f>
        <v>6400000</v>
      </c>
      <c r="EY59" s="697">
        <f>'Hodnocení '!EY55</f>
        <v>2210257.3620478925</v>
      </c>
      <c r="EZ59" s="697">
        <f>'Hodnocení '!EZ55</f>
        <v>0</v>
      </c>
      <c r="FA59" s="697">
        <f>'Hodnocení '!FA55</f>
        <v>1647298.424768026</v>
      </c>
      <c r="FB59" s="697">
        <f>'Hodnocení '!FB55</f>
        <v>265664.49062636285</v>
      </c>
      <c r="FC59" s="697">
        <f>'Hodnocení '!FC55</f>
        <v>3419615.4215486925</v>
      </c>
      <c r="FD59" s="697">
        <f>'Hodnocení '!FD55</f>
        <v>1059104.6825002881</v>
      </c>
      <c r="FE59" s="697">
        <f>'Hodnocení '!FE55</f>
        <v>381240.58884631132</v>
      </c>
      <c r="FF59" s="697">
        <f>'Hodnocení '!FF55</f>
        <v>1561200</v>
      </c>
      <c r="FG59" s="697">
        <f>'Hodnocení '!FG55</f>
        <v>7803422.0195525251</v>
      </c>
      <c r="FH59" s="697">
        <f>'Hodnocení '!FH55</f>
        <v>6553103</v>
      </c>
      <c r="FI59" s="697">
        <f>'Hodnocení '!FI55</f>
        <v>8710000</v>
      </c>
      <c r="FJ59" s="697">
        <f>'Hodnocení '!FJ55</f>
        <v>2048857</v>
      </c>
      <c r="FK59" s="697">
        <f>'Hodnocení '!FK55</f>
        <v>329983.22672073392</v>
      </c>
      <c r="FL59" s="697">
        <f>'Hodnocení '!FL55</f>
        <v>703612.78406076948</v>
      </c>
      <c r="FM59" s="697">
        <f>'Hodnocení '!FM55</f>
        <v>3934590.6565853953</v>
      </c>
      <c r="FN59" s="697">
        <f>'Hodnocení '!FN55</f>
        <v>7374936.4799554544</v>
      </c>
      <c r="FO59" s="697">
        <f>'Hodnocení '!FO55</f>
        <v>1788495</v>
      </c>
      <c r="FP59" s="697">
        <f>'Hodnocení '!FP55</f>
        <v>13683456</v>
      </c>
      <c r="FQ59" s="697">
        <f>'Hodnocení '!FQ55</f>
        <v>2074686</v>
      </c>
      <c r="FR59" s="697">
        <f>'Hodnocení '!FR55</f>
        <v>3077762.6316878563</v>
      </c>
      <c r="FS59" s="697">
        <f>'Hodnocení '!FS55</f>
        <v>494433</v>
      </c>
      <c r="FT59" s="697">
        <f>'Hodnocení '!FT55</f>
        <v>3631470.1663162932</v>
      </c>
      <c r="FU59" s="697">
        <f>'Hodnocení '!FU55</f>
        <v>513699</v>
      </c>
      <c r="FV59" s="697">
        <f>'Hodnocení '!FV55</f>
        <v>646327.31987489713</v>
      </c>
      <c r="FW59" s="697">
        <f>'Hodnocení '!FW55</f>
        <v>1483179</v>
      </c>
      <c r="FX59" s="697">
        <f>'Hodnocení '!FX55</f>
        <v>585795.82000000007</v>
      </c>
      <c r="FY59" s="697">
        <f>'Hodnocení '!FY55</f>
        <v>336810</v>
      </c>
      <c r="FZ59" s="697">
        <f>'Hodnocení '!FZ55</f>
        <v>2937555.0490599889</v>
      </c>
      <c r="GA59" s="697">
        <f>'Hodnocení '!GA55</f>
        <v>281420.48958755797</v>
      </c>
      <c r="GB59" s="697">
        <f>'Hodnocení '!GB55</f>
        <v>2917014.4862977713</v>
      </c>
      <c r="GC59" s="697">
        <f>'Hodnocení '!GC55</f>
        <v>2565300.1421770533</v>
      </c>
      <c r="GD59" s="697">
        <f>'Hodnocení '!GD55</f>
        <v>9906649.8884656765</v>
      </c>
      <c r="GE59" s="697">
        <f>'Hodnocení '!GE55</f>
        <v>1492741</v>
      </c>
      <c r="GF59" s="697">
        <f>'Hodnocení '!GF55</f>
        <v>4128600.1778761428</v>
      </c>
      <c r="GG59" s="697">
        <f>'Hodnocení '!GG55</f>
        <v>1235672.3627191633</v>
      </c>
      <c r="GH59" s="697">
        <f>'Hodnocení '!GH55</f>
        <v>1220741.4312772285</v>
      </c>
      <c r="GI59" s="697">
        <f>'Hodnocení '!GI55</f>
        <v>8873249.0869674683</v>
      </c>
      <c r="GJ59" s="697">
        <f>'Hodnocení '!GJ55</f>
        <v>2244910</v>
      </c>
      <c r="GK59" s="697">
        <f>'Hodnocení '!GK55</f>
        <v>1545953</v>
      </c>
      <c r="GL59" s="697">
        <f>'Hodnocení '!GL55</f>
        <v>595846</v>
      </c>
      <c r="GM59" s="697">
        <f>'Hodnocení '!GM55</f>
        <v>857634</v>
      </c>
      <c r="GN59" s="697">
        <f>'Hodnocení '!GN55</f>
        <v>950602.34</v>
      </c>
      <c r="GO59" s="697">
        <f>'Hodnocení '!GO55</f>
        <v>5215641</v>
      </c>
      <c r="GP59" s="697">
        <f>'Hodnocení '!GP55</f>
        <v>546320.06174100889</v>
      </c>
      <c r="GQ59" s="697">
        <f>'Hodnocení '!GQ55</f>
        <v>699796</v>
      </c>
      <c r="GR59" s="697">
        <f>'Hodnocení '!GR55</f>
        <v>727124.60565148341</v>
      </c>
      <c r="GS59" s="697">
        <f>'Hodnocení '!GS55</f>
        <v>113648.04672073387</v>
      </c>
      <c r="GT59" s="697">
        <f>'Hodnocení '!GT55</f>
        <v>9374987.532092277</v>
      </c>
      <c r="GU59" s="697">
        <f>'Hodnocení '!GU55</f>
        <v>1124440</v>
      </c>
      <c r="GV59" s="697">
        <f>'Hodnocení '!GV55</f>
        <v>5826176.6456662463</v>
      </c>
      <c r="GW59" s="697">
        <f>'Hodnocení '!GW55</f>
        <v>1048163.6277687103</v>
      </c>
      <c r="GX59" s="697">
        <f>'Hodnocení '!GX55</f>
        <v>342955.48977144714</v>
      </c>
      <c r="GY59" s="697">
        <f>'Hodnocení '!GY55</f>
        <v>13503975</v>
      </c>
      <c r="GZ59" s="697">
        <f>'Hodnocení '!GZ55</f>
        <v>3222820.7912944802</v>
      </c>
      <c r="HA59" s="697">
        <f>'Hodnocení '!HA55</f>
        <v>5787297.7336099232</v>
      </c>
      <c r="HB59" s="697">
        <f>'Hodnocení '!HB55</f>
        <v>2721504.0990156494</v>
      </c>
      <c r="HC59" s="697">
        <f>'Hodnocení '!HC55</f>
        <v>6593000</v>
      </c>
      <c r="HD59" s="697">
        <f>'Hodnocení '!HD55</f>
        <v>2094993.1421770533</v>
      </c>
      <c r="HE59" s="697">
        <f>'Hodnocení '!HE55</f>
        <v>6790355</v>
      </c>
      <c r="HF59" s="697">
        <f>'Hodnocení '!HF55</f>
        <v>1122650</v>
      </c>
      <c r="HG59" s="697">
        <f>'Hodnocení '!HG55</f>
        <v>663237.36</v>
      </c>
      <c r="HH59" s="697">
        <f>'Hodnocení '!HH55</f>
        <v>2034520.6688166854</v>
      </c>
      <c r="HI59" s="697">
        <f>'Hodnocení '!HI55</f>
        <v>2365686.3688977864</v>
      </c>
      <c r="HJ59" s="697">
        <f>'Hodnocení '!HJ55</f>
        <v>997908.83102156827</v>
      </c>
      <c r="HK59" s="697">
        <f>'Hodnocení '!HK55</f>
        <v>209300</v>
      </c>
      <c r="HL59" s="697">
        <f>'Hodnocení '!HL55</f>
        <v>43047174.374081343</v>
      </c>
      <c r="HM59" s="697">
        <f>'Hodnocení '!HM55</f>
        <v>24315023.422150649</v>
      </c>
      <c r="HN59" s="697">
        <f>'Hodnocení '!HN55</f>
        <v>992757.48207886913</v>
      </c>
      <c r="HO59" s="697">
        <f>'Hodnocení '!HO55</f>
        <v>2847160.6666890793</v>
      </c>
      <c r="HP59" s="697">
        <f>'Hodnocení '!HP55</f>
        <v>33033000</v>
      </c>
      <c r="HQ59" s="697">
        <f>'Hodnocení '!HQ55</f>
        <v>1032559.9409537765</v>
      </c>
      <c r="HR59" s="697">
        <f>'Hodnocení '!HR55</f>
        <v>36614806.545883656</v>
      </c>
      <c r="HS59" s="697">
        <f>'Hodnocení '!HS55</f>
        <v>7195414.637391096</v>
      </c>
      <c r="HT59" s="697">
        <f>'Hodnocení '!HT55</f>
        <v>18595469.590470783</v>
      </c>
      <c r="HU59" s="697">
        <f>'Hodnocení '!HU55</f>
        <v>27435219.005208258</v>
      </c>
      <c r="HV59" s="697">
        <f>'Hodnocení '!HV55</f>
        <v>21508000</v>
      </c>
      <c r="HW59" s="697">
        <f>'Hodnocení '!HW55</f>
        <v>5561920</v>
      </c>
      <c r="HX59" s="697">
        <f>'Hodnocení '!HX55</f>
        <v>25691721.341380894</v>
      </c>
      <c r="HY59" s="697">
        <f>'Hodnocení '!HY55</f>
        <v>20382282.173444685</v>
      </c>
      <c r="HZ59" s="697">
        <f>'Hodnocení '!HZ55</f>
        <v>10920004.97769383</v>
      </c>
      <c r="IA59" s="697">
        <f>'Hodnocení '!IA55</f>
        <v>9979880</v>
      </c>
      <c r="IB59" s="697">
        <f>'Hodnocení '!IB55</f>
        <v>9823113.9004964307</v>
      </c>
      <c r="IC59" s="697">
        <f>'Hodnocení '!IC55</f>
        <v>14489500</v>
      </c>
      <c r="ID59" s="697">
        <f>'Hodnocení '!ID55</f>
        <v>11816000</v>
      </c>
      <c r="IE59" s="697">
        <f>'Hodnocení '!IE55</f>
        <v>19994059.517665572</v>
      </c>
      <c r="IF59" s="697">
        <f>'Hodnocení '!IF55</f>
        <v>17198633.588044822</v>
      </c>
      <c r="IG59" s="697">
        <f>'Hodnocení '!IG55</f>
        <v>5290219.0727247903</v>
      </c>
      <c r="IH59" s="697">
        <f>'Hodnocení '!IH55</f>
        <v>4013505.4274126575</v>
      </c>
      <c r="II59" s="697">
        <f>'Hodnocení '!II55</f>
        <v>19813983.129812181</v>
      </c>
      <c r="IJ59" s="697">
        <f>'Hodnocení '!IJ55</f>
        <v>2183526.9397355039</v>
      </c>
      <c r="IK59" s="697">
        <f>'Hodnocení '!IK55</f>
        <v>3590263.7456418383</v>
      </c>
      <c r="IL59" s="697">
        <f>'Hodnocení '!IL55</f>
        <v>10265880.700098794</v>
      </c>
      <c r="IM59" s="697">
        <f>'Hodnocení '!IM55</f>
        <v>576689.35844624322</v>
      </c>
      <c r="IN59" s="697">
        <f>'Hodnocení '!IN55</f>
        <v>10983989.105203958</v>
      </c>
      <c r="IO59" s="697">
        <f>'Hodnocení '!IO55</f>
        <v>4175281.5630752468</v>
      </c>
      <c r="IP59" s="697">
        <f>'Hodnocení '!IP55</f>
        <v>22497527.177580558</v>
      </c>
      <c r="IQ59" s="697">
        <f>'Hodnocení '!IQ55</f>
        <v>22486957.282894928</v>
      </c>
      <c r="IR59" s="697">
        <f>'Hodnocení '!IR55</f>
        <v>1066302.6090348614</v>
      </c>
      <c r="IS59" s="697">
        <f>'Hodnocení '!IS55</f>
        <v>55608500</v>
      </c>
      <c r="IT59" s="697">
        <f>'Hodnocení '!IT55</f>
        <v>14347100</v>
      </c>
      <c r="IU59" s="697">
        <f>'Hodnocení '!IU55</f>
        <v>3667436.7806406179</v>
      </c>
      <c r="IV59" s="697">
        <f>'Hodnocení '!IV55</f>
        <v>8866275.6764279809</v>
      </c>
      <c r="IW59" s="697">
        <f>'Hodnocení '!IW55</f>
        <v>14122596.481906652</v>
      </c>
      <c r="IX59" s="697">
        <f>'Hodnocení '!IX55</f>
        <v>2148999.2969357027</v>
      </c>
      <c r="IY59" s="697">
        <f>'Hodnocení '!IY55</f>
        <v>11376964.508829448</v>
      </c>
      <c r="IZ59" s="697">
        <f>'Hodnocení '!IZ55</f>
        <v>25280595.996755749</v>
      </c>
      <c r="JA59" s="697">
        <f>'Hodnocení '!JA55</f>
        <v>3004510.0697293384</v>
      </c>
      <c r="JB59" s="697">
        <f>'Hodnocení '!JB55</f>
        <v>3641963.0001571975</v>
      </c>
      <c r="JC59" s="697">
        <f>'Hodnocení '!JC55</f>
        <v>2089515.4593524667</v>
      </c>
      <c r="JD59" s="697">
        <f>'Hodnocení '!JD55</f>
        <v>6611240.1754739247</v>
      </c>
      <c r="JE59" s="697">
        <f>'Hodnocení '!JE55</f>
        <v>850000</v>
      </c>
      <c r="JF59" s="697">
        <f>'Hodnocení '!JF55</f>
        <v>40477800</v>
      </c>
      <c r="JG59" s="697">
        <f>'Hodnocení '!JG55</f>
        <v>30588469.164951175</v>
      </c>
      <c r="JH59" s="698">
        <f>'Hodnocení '!JH55</f>
        <v>1432360.5197921393</v>
      </c>
      <c r="JI59" s="470">
        <f>'Hodnocení '!JI55</f>
        <v>0</v>
      </c>
      <c r="JL59" s="307">
        <f t="shared" si="43"/>
        <v>26033243.997923955</v>
      </c>
      <c r="JM59" s="307">
        <f t="shared" si="43"/>
        <v>409834302.22590077</v>
      </c>
      <c r="JN59" s="307">
        <f t="shared" si="43"/>
        <v>204656405.26567927</v>
      </c>
      <c r="JO59" s="307">
        <f t="shared" si="43"/>
        <v>693532154.40624762</v>
      </c>
      <c r="JP59" s="307">
        <f t="shared" ref="JP59:JP62" si="45">SUM(JL59:JO59)</f>
        <v>1334056105.8957515</v>
      </c>
    </row>
    <row r="60" spans="1:277" hidden="1" x14ac:dyDescent="0.25">
      <c r="B60" s="733" t="s">
        <v>1828</v>
      </c>
      <c r="C60" s="779">
        <f>'Hodnocení '!C56</f>
        <v>1597049.1510793846</v>
      </c>
      <c r="D60" s="479">
        <f>'Hodnocení '!D56</f>
        <v>1756900</v>
      </c>
      <c r="E60" s="479">
        <f>'Hodnocení '!E56</f>
        <v>510789.84684456885</v>
      </c>
      <c r="F60" s="479">
        <f>'Hodnocení '!F56</f>
        <v>132284.70883535733</v>
      </c>
      <c r="G60" s="479">
        <f>'Hodnocení '!G56</f>
        <v>1429653.1272905953</v>
      </c>
      <c r="H60" s="479">
        <f>'Hodnocení '!H56</f>
        <v>65710.416111308965</v>
      </c>
      <c r="I60" s="479">
        <f>'Hodnocení '!I56</f>
        <v>941977.47419521306</v>
      </c>
      <c r="J60" s="479">
        <f>'Hodnocení '!J56</f>
        <v>212155.78442021785</v>
      </c>
      <c r="K60" s="479">
        <f>'Hodnocení '!K56</f>
        <v>199505.68410468008</v>
      </c>
      <c r="L60" s="479">
        <f>'Hodnocení '!L56</f>
        <v>-25014.170743059833</v>
      </c>
      <c r="M60" s="479">
        <f>'Hodnocení '!M56</f>
        <v>30486.238895765971</v>
      </c>
      <c r="N60" s="479">
        <f>'Hodnocení '!N56</f>
        <v>-776697.16291967686</v>
      </c>
      <c r="O60" s="479">
        <f>'Hodnocení '!O56</f>
        <v>46206.210423394106</v>
      </c>
      <c r="P60" s="479">
        <f>'Hodnocení '!P56</f>
        <v>225010.00218168925</v>
      </c>
      <c r="Q60" s="479">
        <f>'Hodnocení '!Q56</f>
        <v>371221.47910101549</v>
      </c>
      <c r="R60" s="479">
        <f>'Hodnocení '!R56</f>
        <v>-129565.51443209266</v>
      </c>
      <c r="S60" s="479">
        <f>'Hodnocení '!S56</f>
        <v>-44857.72521024663</v>
      </c>
      <c r="T60" s="479">
        <f>'Hodnocení '!T56</f>
        <v>31437.510778153781</v>
      </c>
      <c r="U60" s="479">
        <f>'Hodnocení '!U56</f>
        <v>-150043.73383276933</v>
      </c>
      <c r="V60" s="479">
        <f>'Hodnocení '!V56</f>
        <v>-202720</v>
      </c>
      <c r="W60" s="479">
        <f>'Hodnocení '!W56</f>
        <v>554600</v>
      </c>
      <c r="X60" s="479">
        <f>'Hodnocení '!X56</f>
        <v>759191.08618784696</v>
      </c>
      <c r="Y60" s="479">
        <f>'Hodnocení '!Y56</f>
        <v>211935.44921071106</v>
      </c>
      <c r="Z60" s="479">
        <f>'Hodnocení '!Z56</f>
        <v>589924</v>
      </c>
      <c r="AA60" s="479">
        <f>'Hodnocení '!AA56</f>
        <v>168998.32670215517</v>
      </c>
      <c r="AB60" s="479">
        <f>'Hodnocení '!AB56</f>
        <v>-48791.864033760969</v>
      </c>
      <c r="AC60" s="479">
        <f>'Hodnocení '!AC56</f>
        <v>-1535838.1586763503</v>
      </c>
      <c r="AD60" s="479">
        <f>'Hodnocení '!AD56</f>
        <v>495864.69856136572</v>
      </c>
      <c r="AE60" s="479">
        <f>'Hodnocení '!AE56</f>
        <v>76840.525898943888</v>
      </c>
      <c r="AF60" s="479">
        <f>'Hodnocení '!AF56</f>
        <v>1219244.9295379585</v>
      </c>
      <c r="AG60" s="479">
        <f>'Hodnocení '!AG56</f>
        <v>-82644.971183314454</v>
      </c>
      <c r="AH60" s="479">
        <f>'Hodnocení '!AH56</f>
        <v>40034</v>
      </c>
      <c r="AI60" s="479">
        <f>'Hodnocení '!AI56</f>
        <v>1474480</v>
      </c>
      <c r="AJ60" s="479">
        <f>'Hodnocení '!AJ56</f>
        <v>337740</v>
      </c>
      <c r="AK60" s="479">
        <f>'Hodnocení '!AK56</f>
        <v>186463</v>
      </c>
      <c r="AL60" s="479">
        <f>'Hodnocení '!AL56</f>
        <v>92493.163351077586</v>
      </c>
      <c r="AM60" s="479">
        <f>'Hodnocení '!AM56</f>
        <v>125216.37263412308</v>
      </c>
      <c r="AN60" s="479">
        <f>'Hodnocení '!AN56</f>
        <v>-127583.49555727385</v>
      </c>
      <c r="AO60" s="479">
        <f>'Hodnocení '!AO56</f>
        <v>4005.6631408296525</v>
      </c>
      <c r="AP60" s="479">
        <f>'Hodnocení '!AP56</f>
        <v>-78035</v>
      </c>
      <c r="AQ60" s="479">
        <f>'Hodnocení '!AQ56</f>
        <v>-80828.595688738511</v>
      </c>
      <c r="AR60" s="479">
        <f>'Hodnocení '!AR56</f>
        <v>401149.39925084589</v>
      </c>
      <c r="AS60" s="479">
        <f>'Hodnocení '!AS56</f>
        <v>-41907.893533107708</v>
      </c>
      <c r="AT60" s="479">
        <f>'Hodnocení '!AT56</f>
        <v>-235603.80602272414</v>
      </c>
      <c r="AU60" s="479">
        <f>'Hodnocení '!AU56</f>
        <v>-2385.7166775919031</v>
      </c>
      <c r="AV60" s="479">
        <f>'Hodnocení '!AV56</f>
        <v>137042.67729522614</v>
      </c>
      <c r="AW60" s="479">
        <f>'Hodnocení '!AW56</f>
        <v>288647.55504343286</v>
      </c>
      <c r="AX60" s="479">
        <f>'Hodnocení '!AX56</f>
        <v>-338204.19170502573</v>
      </c>
      <c r="AY60" s="479">
        <f>'Hodnocení '!AY56</f>
        <v>-136770.16204660945</v>
      </c>
      <c r="AZ60" s="479">
        <f>'Hodnocení '!AZ56</f>
        <v>503272</v>
      </c>
      <c r="BA60" s="479">
        <f>'Hodnocení '!BA56</f>
        <v>2497732</v>
      </c>
      <c r="BB60" s="479">
        <f>'Hodnocení '!BB56</f>
        <v>251145.67047849228</v>
      </c>
      <c r="BC60" s="479">
        <f>'Hodnocení '!BC56</f>
        <v>214997.49380253232</v>
      </c>
      <c r="BD60" s="479">
        <f>'Hodnocení '!BD56</f>
        <v>438523.94931657845</v>
      </c>
      <c r="BE60" s="479">
        <f>'Hodnocení '!BE56</f>
        <v>86784.356650778558</v>
      </c>
      <c r="BF60" s="479">
        <f>'Hodnocení '!BF56</f>
        <v>780411.39419043064</v>
      </c>
      <c r="BG60" s="479">
        <f>'Hodnocení '!BG56</f>
        <v>997784</v>
      </c>
      <c r="BH60" s="479">
        <f>'Hodnocení '!BH56</f>
        <v>440041.24156050989</v>
      </c>
      <c r="BI60" s="479">
        <f>'Hodnocení '!BI56</f>
        <v>901900</v>
      </c>
      <c r="BJ60" s="479">
        <f>'Hodnocení '!BJ56</f>
        <v>-35384.329887827858</v>
      </c>
      <c r="BK60" s="479">
        <f>'Hodnocení '!BK56</f>
        <v>158000</v>
      </c>
      <c r="BL60" s="479">
        <f>'Hodnocení '!BL56</f>
        <v>455138.49500087276</v>
      </c>
      <c r="BM60" s="479">
        <f>'Hodnocení '!BM56</f>
        <v>1418699.04</v>
      </c>
      <c r="BN60" s="479">
        <f>'Hodnocení '!BN56</f>
        <v>38066.598238762934</v>
      </c>
      <c r="BO60" s="479">
        <f>'Hodnocení '!BO56</f>
        <v>131744.3738330903</v>
      </c>
      <c r="BP60" s="479">
        <f>'Hodnocení '!BP56</f>
        <v>732773</v>
      </c>
      <c r="BQ60" s="479">
        <f>'Hodnocení '!BQ56</f>
        <v>31797.455608832184</v>
      </c>
      <c r="BR60" s="479">
        <f>'Hodnocení '!BR56</f>
        <v>48404.239550507744</v>
      </c>
      <c r="BS60" s="479">
        <f>'Hodnocení '!BS56</f>
        <v>-190907.68059932324</v>
      </c>
      <c r="BT60" s="479">
        <f>'Hodnocení '!BT56</f>
        <v>54060.266167230671</v>
      </c>
      <c r="BU60" s="479">
        <f>'Hodnocení '!BU56</f>
        <v>-642700.77050449979</v>
      </c>
      <c r="BV60" s="479">
        <f>'Hodnocení '!BV56</f>
        <v>484846.98284474481</v>
      </c>
      <c r="BW60" s="479">
        <f>'Hodnocení '!BW56</f>
        <v>-253400.15994741418</v>
      </c>
      <c r="BX60" s="479">
        <f>'Hodnocení '!BX56</f>
        <v>-302779.876291533</v>
      </c>
      <c r="BY60" s="479">
        <f>'Hodnocení '!BY56</f>
        <v>-184616.31126441457</v>
      </c>
      <c r="BZ60" s="479">
        <f>'Hodnocení '!BZ56</f>
        <v>-225130.01244640414</v>
      </c>
      <c r="CA60" s="479">
        <f>'Hodnocení '!CA56</f>
        <v>0</v>
      </c>
      <c r="CB60" s="479">
        <f>'Hodnocení '!CB56</f>
        <v>-332892.16010075412</v>
      </c>
      <c r="CC60" s="479">
        <f>'Hodnocení '!CC56</f>
        <v>-110404.08997100033</v>
      </c>
      <c r="CD60" s="479">
        <f>'Hodnocení '!CD56</f>
        <v>-60562.489221846219</v>
      </c>
      <c r="CE60" s="479">
        <f>'Hodnocení '!CE56</f>
        <v>1446195.1253167707</v>
      </c>
      <c r="CF60" s="479">
        <f>'Hodnocení '!CF56</f>
        <v>127617.8393289512</v>
      </c>
      <c r="CG60" s="479">
        <f>'Hodnocení '!CG56</f>
        <v>544095.49607044645</v>
      </c>
      <c r="CH60" s="479">
        <f>'Hodnocení '!CH56</f>
        <v>305133.07924963161</v>
      </c>
      <c r="CI60" s="479">
        <f>'Hodnocení '!CI56</f>
        <v>436085.96719942894</v>
      </c>
      <c r="CJ60" s="479">
        <f>'Hodnocení '!CJ56</f>
        <v>394665.0818283353</v>
      </c>
      <c r="CK60" s="479">
        <f>'Hodnocení '!CK56</f>
        <v>395157</v>
      </c>
      <c r="CL60" s="479">
        <f>'Hodnocení '!CL56</f>
        <v>226829.74855449842</v>
      </c>
      <c r="CM60" s="479">
        <f>'Hodnocení '!CM56</f>
        <v>691676.43998631369</v>
      </c>
      <c r="CN60" s="479">
        <f>'Hodnocení '!CN56</f>
        <v>-132717.28584698983</v>
      </c>
      <c r="CO60" s="479">
        <f>'Hodnocení '!CO56</f>
        <v>-149642.14584698994</v>
      </c>
      <c r="CP60" s="479">
        <f>'Hodnocení '!CP56</f>
        <v>-138567.6058469899</v>
      </c>
      <c r="CQ60" s="479">
        <f>'Hodnocení '!CQ56</f>
        <v>908770.573718125</v>
      </c>
      <c r="CR60" s="479">
        <f>'Hodnocení '!CR56</f>
        <v>751017</v>
      </c>
      <c r="CS60" s="479">
        <f>'Hodnocení '!CS56</f>
        <v>3589793.26</v>
      </c>
      <c r="CT60" s="479">
        <f>'Hodnocení '!CT56</f>
        <v>859679.81036627945</v>
      </c>
      <c r="CU60" s="479">
        <f>'Hodnocení '!CU56</f>
        <v>573527.68873558543</v>
      </c>
      <c r="CV60" s="479">
        <f>'Hodnocení '!CV56</f>
        <v>206202.40056366567</v>
      </c>
      <c r="CW60" s="479">
        <f>'Hodnocení '!CW56</f>
        <v>174263.10646689229</v>
      </c>
      <c r="CX60" s="479">
        <f>'Hodnocení '!CX56</f>
        <v>558532</v>
      </c>
      <c r="CY60" s="479">
        <f>'Hodnocení '!CY56</f>
        <v>132129.28390120855</v>
      </c>
      <c r="CZ60" s="479">
        <f>'Hodnocení '!CZ56</f>
        <v>443100</v>
      </c>
      <c r="DA60" s="479">
        <f>'Hodnocení '!DA56</f>
        <v>2997921.7210858986</v>
      </c>
      <c r="DB60" s="479">
        <f>'Hodnocení '!DB56</f>
        <v>-11138.462605123292</v>
      </c>
      <c r="DC60" s="479">
        <f>'Hodnocení '!DC56</f>
        <v>83786.781229515094</v>
      </c>
      <c r="DD60" s="479">
        <f>'Hodnocení '!DD56</f>
        <v>698770.47956160456</v>
      </c>
      <c r="DE60" s="479">
        <f>'Hodnocení '!DE56</f>
        <v>429390.87138624676</v>
      </c>
      <c r="DF60" s="479">
        <f>'Hodnocení '!DF56</f>
        <v>2165144.8713862468</v>
      </c>
      <c r="DG60" s="479">
        <f>'Hodnocení '!DG56</f>
        <v>197198.16515118408</v>
      </c>
      <c r="DH60" s="479">
        <f>'Hodnocení '!DH56</f>
        <v>830973.43433351256</v>
      </c>
      <c r="DI60" s="479">
        <f>'Hodnocení '!DI56</f>
        <v>43865.384096688125</v>
      </c>
      <c r="DJ60" s="479">
        <f>'Hodnocení '!DJ56</f>
        <v>103868</v>
      </c>
      <c r="DK60" s="479">
        <f>'Hodnocení '!DK56</f>
        <v>1666856.818091928</v>
      </c>
      <c r="DL60" s="479">
        <f>'Hodnocení '!DL56</f>
        <v>-795230.74446257949</v>
      </c>
      <c r="DM60" s="479">
        <f>'Hodnocení '!DM56</f>
        <v>178601.44149400387</v>
      </c>
      <c r="DN60" s="479">
        <f>'Hodnocení '!DN56</f>
        <v>409808.56245903019</v>
      </c>
      <c r="DO60" s="479">
        <f>'Hodnocení '!DO56</f>
        <v>4525.3922101089265</v>
      </c>
      <c r="DP60" s="479">
        <f>'Hodnocení '!DP56</f>
        <v>-187075.75400271686</v>
      </c>
      <c r="DQ60" s="479">
        <f>'Hodnocení '!DQ56</f>
        <v>421943</v>
      </c>
      <c r="DR60" s="479">
        <f>'Hodnocení '!DR56</f>
        <v>507937.5</v>
      </c>
      <c r="DS60" s="479">
        <f>'Hodnocení '!DS56</f>
        <v>1294552.2365860054</v>
      </c>
      <c r="DT60" s="479">
        <f>'Hodnocení '!DT56</f>
        <v>454209</v>
      </c>
      <c r="DU60" s="479">
        <f>'Hodnocení '!DU56</f>
        <v>18908.963338879868</v>
      </c>
      <c r="DV60" s="479">
        <f>'Hodnocení '!DV56</f>
        <v>3294523</v>
      </c>
      <c r="DW60" s="479">
        <f>'Hodnocení '!DW56</f>
        <v>251601.57345701009</v>
      </c>
      <c r="DX60" s="479">
        <f>'Hodnocení '!DX56</f>
        <v>433801.15410795156</v>
      </c>
      <c r="DY60" s="479">
        <f>'Hodnocení '!DY56</f>
        <v>825992.75048264861</v>
      </c>
      <c r="DZ60" s="479">
        <f>'Hodnocení '!DZ56</f>
        <v>7625.6888148766011</v>
      </c>
      <c r="EA60" s="479">
        <f>'Hodnocení '!EA56</f>
        <v>-507215.23529455811</v>
      </c>
      <c r="EB60" s="479">
        <f>'Hodnocení '!EB56</f>
        <v>1868722.8583436497</v>
      </c>
      <c r="EC60" s="479">
        <f>'Hodnocení '!EC56</f>
        <v>-154016.21650246857</v>
      </c>
      <c r="ED60" s="479">
        <f>'Hodnocení '!ED56</f>
        <v>27325.261211514473</v>
      </c>
      <c r="EE60" s="479">
        <f>'Hodnocení '!EE56</f>
        <v>180565.53739487671</v>
      </c>
      <c r="EF60" s="479">
        <f>'Hodnocení '!EF56</f>
        <v>144379.29847269226</v>
      </c>
      <c r="EG60" s="479">
        <f>'Hodnocení '!EG56</f>
        <v>-8904.7299211212085</v>
      </c>
      <c r="EH60" s="479">
        <f>'Hodnocení '!EH56</f>
        <v>160141.80860682938</v>
      </c>
      <c r="EI60" s="479">
        <f>'Hodnocení '!EI56</f>
        <v>267247</v>
      </c>
      <c r="EJ60" s="479">
        <f>'Hodnocení '!EJ56</f>
        <v>220123.11828195211</v>
      </c>
      <c r="EK60" s="479">
        <f>'Hodnocení '!EK56</f>
        <v>-857560.91243154928</v>
      </c>
      <c r="EL60" s="479">
        <f>'Hodnocení '!EL56</f>
        <v>195145.52529584803</v>
      </c>
      <c r="EM60" s="479">
        <f>'Hodnocení '!EM56</f>
        <v>118882.31944287568</v>
      </c>
      <c r="EN60" s="479">
        <f>'Hodnocení '!EN56</f>
        <v>-29062.617524984758</v>
      </c>
      <c r="EO60" s="479">
        <f>'Hodnocení '!EO56</f>
        <v>45691.404311261489</v>
      </c>
      <c r="EP60" s="479">
        <f>'Hodnocení '!EP56</f>
        <v>811206.12610559678</v>
      </c>
      <c r="EQ60" s="479">
        <f>'Hodnocení '!EQ56</f>
        <v>-91246.509737364016</v>
      </c>
      <c r="ER60" s="479">
        <f>'Hodnocení '!ER56</f>
        <v>1634132</v>
      </c>
      <c r="ES60" s="479">
        <f>'Hodnocení '!ES56</f>
        <v>-2770560</v>
      </c>
      <c r="ET60" s="479">
        <f>'Hodnocení '!ET56</f>
        <v>1009463.051162631</v>
      </c>
      <c r="EU60" s="479">
        <f>'Hodnocení '!EU56</f>
        <v>2051783.9144364195</v>
      </c>
      <c r="EV60" s="479">
        <f>'Hodnocení '!EV56</f>
        <v>252238.51077815378</v>
      </c>
      <c r="EW60" s="479">
        <f>'Hodnocení '!EW56</f>
        <v>357680.25553742051</v>
      </c>
      <c r="EX60" s="479">
        <f>'Hodnocení '!EX56</f>
        <v>995710</v>
      </c>
      <c r="EY60" s="479">
        <f>'Hodnocení '!EY56</f>
        <v>165412.36204789253</v>
      </c>
      <c r="EZ60" s="479">
        <f>'Hodnocení '!EZ56</f>
        <v>-111326</v>
      </c>
      <c r="FA60" s="479">
        <f>'Hodnocení '!FA56</f>
        <v>853606.42476802599</v>
      </c>
      <c r="FB60" s="479">
        <f>'Hodnocení '!FB56</f>
        <v>125903.49062636285</v>
      </c>
      <c r="FC60" s="479">
        <f>'Hodnocení '!FC56</f>
        <v>419615.42154869251</v>
      </c>
      <c r="FD60" s="479">
        <f>'Hodnocení '!FD56</f>
        <v>286643.68250028812</v>
      </c>
      <c r="FE60" s="479">
        <f>'Hodnocení '!FE56</f>
        <v>118740.58884631132</v>
      </c>
      <c r="FF60" s="479">
        <f>'Hodnocení '!FF56</f>
        <v>444080</v>
      </c>
      <c r="FG60" s="479">
        <f>'Hodnocení '!FG56</f>
        <v>3119772.0195525251</v>
      </c>
      <c r="FH60" s="479">
        <f>'Hodnocení '!FH56</f>
        <v>1033523</v>
      </c>
      <c r="FI60" s="479">
        <f>'Hodnocení '!FI56</f>
        <v>3141513</v>
      </c>
      <c r="FJ60" s="479">
        <f>'Hodnocení '!FJ56</f>
        <v>469811</v>
      </c>
      <c r="FK60" s="479">
        <f>'Hodnocení '!FK56</f>
        <v>48131.226720733917</v>
      </c>
      <c r="FL60" s="479">
        <f>'Hodnocení '!FL56</f>
        <v>101850.78406076948</v>
      </c>
      <c r="FM60" s="479">
        <f>'Hodnocení '!FM56</f>
        <v>1308187.6565853953</v>
      </c>
      <c r="FN60" s="479">
        <f>'Hodnocení '!FN56</f>
        <v>915556.47995545436</v>
      </c>
      <c r="FO60" s="479">
        <f>'Hodnocení '!FO56</f>
        <v>128838</v>
      </c>
      <c r="FP60" s="479">
        <f>'Hodnocení '!FP56</f>
        <v>1539004</v>
      </c>
      <c r="FQ60" s="479">
        <f>'Hodnocení '!FQ56</f>
        <v>165263</v>
      </c>
      <c r="FR60" s="479">
        <f>'Hodnocení '!FR56</f>
        <v>3077762.6316878563</v>
      </c>
      <c r="FS60" s="479">
        <f>'Hodnocení '!FS56</f>
        <v>16863</v>
      </c>
      <c r="FT60" s="479">
        <f>'Hodnocení '!FT56</f>
        <v>682860.16631629318</v>
      </c>
      <c r="FU60" s="479">
        <f>'Hodnocení '!FU56</f>
        <v>87152</v>
      </c>
      <c r="FV60" s="479">
        <f>'Hodnocení '!FV56</f>
        <v>87253.319874897134</v>
      </c>
      <c r="FW60" s="479">
        <f>'Hodnocení '!FW56</f>
        <v>469444</v>
      </c>
      <c r="FX60" s="479">
        <f>'Hodnocení '!FX56</f>
        <v>220869.82000000007</v>
      </c>
      <c r="FY60" s="479">
        <f>'Hodnocení '!FY56</f>
        <v>127219</v>
      </c>
      <c r="FZ60" s="479">
        <f>'Hodnocení '!FZ56</f>
        <v>361345.04905998893</v>
      </c>
      <c r="GA60" s="479">
        <f>'Hodnocení '!GA56</f>
        <v>46570.489587557968</v>
      </c>
      <c r="GB60" s="479">
        <f>'Hodnocení '!GB56</f>
        <v>1165694.4862977713</v>
      </c>
      <c r="GC60" s="479">
        <f>'Hodnocení '!GC56</f>
        <v>409771.14217705326</v>
      </c>
      <c r="GD60" s="479">
        <f>'Hodnocení '!GD56</f>
        <v>2784358.8884656765</v>
      </c>
      <c r="GE60" s="479">
        <f>'Hodnocení '!GE56</f>
        <v>153676</v>
      </c>
      <c r="GF60" s="479">
        <f>'Hodnocení '!GF56</f>
        <v>538043.17787614278</v>
      </c>
      <c r="GG60" s="479">
        <f>'Hodnocení '!GG56</f>
        <v>-54308.637280836701</v>
      </c>
      <c r="GH60" s="479">
        <f>'Hodnocení '!GH56</f>
        <v>131159.43127722852</v>
      </c>
      <c r="GI60" s="479">
        <f>'Hodnocení '!GI56</f>
        <v>1974332.0869674683</v>
      </c>
      <c r="GJ60" s="479">
        <f>'Hodnocení '!GJ56</f>
        <v>577409</v>
      </c>
      <c r="GK60" s="479">
        <f>'Hodnocení '!GK56</f>
        <v>879823</v>
      </c>
      <c r="GL60" s="479">
        <f>'Hodnocení '!GL56</f>
        <v>66550</v>
      </c>
      <c r="GM60" s="479">
        <f>'Hodnocení '!GM56</f>
        <v>104394</v>
      </c>
      <c r="GN60" s="479">
        <f>'Hodnocení '!GN56</f>
        <v>347486.33999999997</v>
      </c>
      <c r="GO60" s="479">
        <f>'Hodnocení '!GO56</f>
        <v>1634092</v>
      </c>
      <c r="GP60" s="479">
        <f>'Hodnocení '!GP56</f>
        <v>26050.061741008889</v>
      </c>
      <c r="GQ60" s="479">
        <f>'Hodnocení '!GQ56</f>
        <v>-40434</v>
      </c>
      <c r="GR60" s="479">
        <f>'Hodnocení '!GR56</f>
        <v>33972.605651483405</v>
      </c>
      <c r="GS60" s="479">
        <f>'Hodnocení '!GS56</f>
        <v>-52237.953279266134</v>
      </c>
      <c r="GT60" s="479">
        <f>'Hodnocení '!GT56</f>
        <v>1029485.532092277</v>
      </c>
      <c r="GU60" s="479">
        <f>'Hodnocení '!GU56</f>
        <v>362869</v>
      </c>
      <c r="GV60" s="479">
        <f>'Hodnocení '!GV56</f>
        <v>866366.6456662463</v>
      </c>
      <c r="GW60" s="479">
        <f>'Hodnocení '!GW56</f>
        <v>-85702.372231289744</v>
      </c>
      <c r="GX60" s="479">
        <f>'Hodnocení '!GX56</f>
        <v>188622.48977144714</v>
      </c>
      <c r="GY60" s="479">
        <f>'Hodnocení '!GY56</f>
        <v>2782115</v>
      </c>
      <c r="GZ60" s="479">
        <f>'Hodnocení '!GZ56</f>
        <v>3222820.7912944802</v>
      </c>
      <c r="HA60" s="479">
        <f>'Hodnocení '!HA56</f>
        <v>910737.73360992316</v>
      </c>
      <c r="HB60" s="479">
        <f>'Hodnocení '!HB56</f>
        <v>730044.09901564941</v>
      </c>
      <c r="HC60" s="479">
        <f>'Hodnocení '!HC56</f>
        <v>1459000</v>
      </c>
      <c r="HD60" s="479">
        <f>'Hodnocení '!HD56</f>
        <v>693693.14217705326</v>
      </c>
      <c r="HE60" s="479">
        <f>'Hodnocení '!HE56</f>
        <v>2347155</v>
      </c>
      <c r="HF60" s="479">
        <f>'Hodnocení '!HF56</f>
        <v>415364</v>
      </c>
      <c r="HG60" s="479">
        <f>'Hodnocení '!HG56</f>
        <v>145160.35999999999</v>
      </c>
      <c r="HH60" s="479">
        <f>'Hodnocení '!HH56</f>
        <v>48742.668816685444</v>
      </c>
      <c r="HI60" s="479">
        <f>'Hodnocení '!HI56</f>
        <v>851063.36889778636</v>
      </c>
      <c r="HJ60" s="479">
        <f>'Hodnocení '!HJ56</f>
        <v>502448.83102156827</v>
      </c>
      <c r="HK60" s="479">
        <f>'Hodnocení '!HK56</f>
        <v>65300</v>
      </c>
      <c r="HL60" s="479">
        <f>'Hodnocení '!HL56</f>
        <v>5680207.1305066049</v>
      </c>
      <c r="HM60" s="479">
        <f>'Hodnocení '!HM56</f>
        <v>-686489.1194286719</v>
      </c>
      <c r="HN60" s="479">
        <f>'Hodnocení '!HN56</f>
        <v>183981.06669069757</v>
      </c>
      <c r="HO60" s="479">
        <f>'Hodnocení '!HO56</f>
        <v>-29609.132768688723</v>
      </c>
      <c r="HP60" s="479">
        <f>'Hodnocení '!HP56</f>
        <v>5245782</v>
      </c>
      <c r="HQ60" s="479">
        <f>'Hodnocení '!HQ56</f>
        <v>54516.560144142481</v>
      </c>
      <c r="HR60" s="479">
        <f>'Hodnocení '!HR56</f>
        <v>3073615.2643183805</v>
      </c>
      <c r="HS60" s="479">
        <f>'Hodnocení '!HS56</f>
        <v>1504187.2997660059</v>
      </c>
      <c r="HT60" s="479">
        <f>'Hodnocení '!HT56</f>
        <v>-4004215.4095292166</v>
      </c>
      <c r="HU60" s="479">
        <f>'Hodnocení '!HU56</f>
        <v>5927225.0052082576</v>
      </c>
      <c r="HV60" s="479">
        <f>'Hodnocení '!HV56</f>
        <v>4818873</v>
      </c>
      <c r="HW60" s="479">
        <f>'Hodnocení '!HW56</f>
        <v>-1403621.9659980796</v>
      </c>
      <c r="HX60" s="479">
        <f>'Hodnocení '!HX56</f>
        <v>7708193.3073789738</v>
      </c>
      <c r="HY60" s="479">
        <f>'Hodnocení '!HY56</f>
        <v>-723479.82655531541</v>
      </c>
      <c r="HZ60" s="479">
        <f>'Hodnocení '!HZ56</f>
        <v>1354063.9776938297</v>
      </c>
      <c r="IA60" s="479">
        <f>'Hodnocení '!IA56</f>
        <v>872393</v>
      </c>
      <c r="IB60" s="479">
        <f>'Hodnocení '!IB56</f>
        <v>1247932.9004964307</v>
      </c>
      <c r="IC60" s="479">
        <f>'Hodnocení '!IC56</f>
        <v>3255785.1772533692</v>
      </c>
      <c r="ID60" s="479">
        <f>'Hodnocení '!ID56</f>
        <v>2560208.8227466308</v>
      </c>
      <c r="IE60" s="479">
        <f>'Hodnocení '!IE56</f>
        <v>3805167.5176655725</v>
      </c>
      <c r="IF60" s="479">
        <f>'Hodnocení '!IF56</f>
        <v>-3061353.6107498184</v>
      </c>
      <c r="IG60" s="479">
        <f>'Hodnocení '!IG56</f>
        <v>-155860.72848056909</v>
      </c>
      <c r="IH60" s="479">
        <f>'Hodnocení '!IH56</f>
        <v>1000618.8383171563</v>
      </c>
      <c r="II60" s="479">
        <f>'Hodnocení '!II56</f>
        <v>-1027881.9194320217</v>
      </c>
      <c r="IJ60" s="479">
        <f>'Hodnocení '!IJ56</f>
        <v>508618.40589478146</v>
      </c>
      <c r="IK60" s="479">
        <f>'Hodnocení '!IK56</f>
        <v>12704.917822265532</v>
      </c>
      <c r="IL60" s="479">
        <f>'Hodnocení '!IL56</f>
        <v>1061224.700098794</v>
      </c>
      <c r="IM60" s="479">
        <f>'Hodnocení '!IM56</f>
        <v>-125148.48437385191</v>
      </c>
      <c r="IN60" s="479">
        <f>'Hodnocení '!IN56</f>
        <v>770037.60039330646</v>
      </c>
      <c r="IO60" s="479">
        <f>'Hodnocení '!IO56</f>
        <v>762787.91070599342</v>
      </c>
      <c r="IP60" s="479">
        <f>'Hodnocení '!IP56</f>
        <v>-18339.822419442236</v>
      </c>
      <c r="IQ60" s="479">
        <f>'Hodnocení '!IQ56</f>
        <v>-77005.383273798972</v>
      </c>
      <c r="IR60" s="479">
        <f>'Hodnocení '!IR56</f>
        <v>63236.275203590165</v>
      </c>
      <c r="IS60" s="479">
        <f>'Hodnocení '!IS56</f>
        <v>2542825.490031004</v>
      </c>
      <c r="IT60" s="479">
        <f>'Hodnocení '!IT56</f>
        <v>2137240.509968996</v>
      </c>
      <c r="IU60" s="479">
        <f>'Hodnocení '!IU56</f>
        <v>484806.74440448172</v>
      </c>
      <c r="IV60" s="479">
        <f>'Hodnocení '!IV56</f>
        <v>343870.85759682395</v>
      </c>
      <c r="IW60" s="479">
        <f>'Hodnocení '!IW56</f>
        <v>-1516298.2291946746</v>
      </c>
      <c r="IX60" s="479">
        <f>'Hodnocení '!IX56</f>
        <v>335562.86310432386</v>
      </c>
      <c r="IY60" s="479">
        <f>'Hodnocení '!IY56</f>
        <v>3772316.0616728812</v>
      </c>
      <c r="IZ60" s="479">
        <f>'Hodnocení '!IZ56</f>
        <v>7052652.4439123161</v>
      </c>
      <c r="JA60" s="479">
        <f>'Hodnocení '!JA56</f>
        <v>-32641.660270661581</v>
      </c>
      <c r="JB60" s="479">
        <f>'Hodnocení '!JB56</f>
        <v>746788.96015719743</v>
      </c>
      <c r="JC60" s="479">
        <f>'Hodnocení '!JC56</f>
        <v>-179262.63064753311</v>
      </c>
      <c r="JD60" s="479">
        <f>'Hodnocení '!JD56</f>
        <v>1558259.4754739245</v>
      </c>
      <c r="JE60" s="479">
        <f>'Hodnocení '!JE56</f>
        <v>-309105.14505924704</v>
      </c>
      <c r="JF60" s="479">
        <f>'Hodnocení '!JF56</f>
        <v>10579200.14505925</v>
      </c>
      <c r="JG60" s="479">
        <f>'Hodnocení '!JG56</f>
        <v>46932.164951175451</v>
      </c>
      <c r="JH60" s="780">
        <f>'Hodnocení '!JH56</f>
        <v>563620.5197921393</v>
      </c>
      <c r="JI60" s="470">
        <f>'Hodnocení '!JI56</f>
        <v>0</v>
      </c>
      <c r="JL60" s="307">
        <f t="shared" si="43"/>
        <v>3864738.9979239535</v>
      </c>
      <c r="JM60" s="307">
        <f t="shared" si="43"/>
        <v>45066273.725901045</v>
      </c>
      <c r="JN60" s="307">
        <f t="shared" si="43"/>
        <v>51333459.265679248</v>
      </c>
      <c r="JO60" s="307">
        <f t="shared" si="43"/>
        <v>68285123.846247703</v>
      </c>
      <c r="JP60" s="307">
        <f t="shared" si="45"/>
        <v>168549595.83575195</v>
      </c>
    </row>
    <row r="61" spans="1:277" hidden="1" x14ac:dyDescent="0.25">
      <c r="B61" s="733" t="s">
        <v>2573</v>
      </c>
      <c r="C61" s="779">
        <f>'Hodnocení '!C57</f>
        <v>1597049.1510793846</v>
      </c>
      <c r="D61" s="479">
        <f>'Hodnocení '!D57</f>
        <v>1756900</v>
      </c>
      <c r="E61" s="479">
        <f>'Hodnocení '!E57</f>
        <v>510789.84684456885</v>
      </c>
      <c r="F61" s="479">
        <f>'Hodnocení '!F57</f>
        <v>132284.70883535733</v>
      </c>
      <c r="G61" s="479">
        <f>'Hodnocení '!G57</f>
        <v>1429653.1272905953</v>
      </c>
      <c r="H61" s="479">
        <f>'Hodnocení '!H57</f>
        <v>65710.416111308965</v>
      </c>
      <c r="I61" s="479">
        <f>'Hodnocení '!I57</f>
        <v>941977.47419521306</v>
      </c>
      <c r="J61" s="479">
        <f>'Hodnocení '!J57</f>
        <v>212155.78442021785</v>
      </c>
      <c r="K61" s="479">
        <f>'Hodnocení '!K57</f>
        <v>199505.68410468008</v>
      </c>
      <c r="L61" s="479">
        <f>'Hodnocení '!L57</f>
        <v>0</v>
      </c>
      <c r="M61" s="479">
        <f>'Hodnocení '!M57</f>
        <v>30486.238895765971</v>
      </c>
      <c r="N61" s="479">
        <f>'Hodnocení '!N57</f>
        <v>0</v>
      </c>
      <c r="O61" s="479">
        <f>'Hodnocení '!O57</f>
        <v>46206.210423394106</v>
      </c>
      <c r="P61" s="479">
        <f>'Hodnocení '!P57</f>
        <v>225010.00218168925</v>
      </c>
      <c r="Q61" s="479">
        <f>'Hodnocení '!Q57</f>
        <v>371221.47910101549</v>
      </c>
      <c r="R61" s="479">
        <f>'Hodnocení '!R57</f>
        <v>0</v>
      </c>
      <c r="S61" s="479">
        <f>'Hodnocení '!S57</f>
        <v>0</v>
      </c>
      <c r="T61" s="479">
        <f>'Hodnocení '!T57</f>
        <v>31437.510778153781</v>
      </c>
      <c r="U61" s="479">
        <f>'Hodnocení '!U57</f>
        <v>0</v>
      </c>
      <c r="V61" s="479">
        <f>'Hodnocení '!V57</f>
        <v>0</v>
      </c>
      <c r="W61" s="479">
        <f>'Hodnocení '!W57</f>
        <v>554600</v>
      </c>
      <c r="X61" s="479">
        <f>'Hodnocení '!X57</f>
        <v>759191.08618784696</v>
      </c>
      <c r="Y61" s="479">
        <f>'Hodnocení '!Y57</f>
        <v>211935.44921071106</v>
      </c>
      <c r="Z61" s="479">
        <f>'Hodnocení '!Z57</f>
        <v>589924</v>
      </c>
      <c r="AA61" s="479">
        <f>'Hodnocení '!AA57</f>
        <v>168998.32670215517</v>
      </c>
      <c r="AB61" s="479">
        <f>'Hodnocení '!AB57</f>
        <v>0</v>
      </c>
      <c r="AC61" s="479">
        <f>'Hodnocení '!AC57</f>
        <v>0</v>
      </c>
      <c r="AD61" s="479">
        <f>'Hodnocení '!AD57</f>
        <v>495864.69856136572</v>
      </c>
      <c r="AE61" s="479">
        <f>'Hodnocení '!AE57</f>
        <v>76840.525898943888</v>
      </c>
      <c r="AF61" s="479">
        <f>'Hodnocení '!AF57</f>
        <v>1219244.9295379585</v>
      </c>
      <c r="AG61" s="479">
        <f>'Hodnocení '!AG57</f>
        <v>0</v>
      </c>
      <c r="AH61" s="479">
        <f>'Hodnocení '!AH57</f>
        <v>40034</v>
      </c>
      <c r="AI61" s="479">
        <f>'Hodnocení '!AI57</f>
        <v>1474480</v>
      </c>
      <c r="AJ61" s="479">
        <f>'Hodnocení '!AJ57</f>
        <v>337740</v>
      </c>
      <c r="AK61" s="479">
        <f>'Hodnocení '!AK57</f>
        <v>186463</v>
      </c>
      <c r="AL61" s="479">
        <f>'Hodnocení '!AL57</f>
        <v>92493.163351077586</v>
      </c>
      <c r="AM61" s="479">
        <f>'Hodnocení '!AM57</f>
        <v>125216.37263412308</v>
      </c>
      <c r="AN61" s="479">
        <f>'Hodnocení '!AN57</f>
        <v>0</v>
      </c>
      <c r="AO61" s="479">
        <f>'Hodnocení '!AO57</f>
        <v>4005.6631408296525</v>
      </c>
      <c r="AP61" s="479">
        <f>'Hodnocení '!AP57</f>
        <v>0</v>
      </c>
      <c r="AQ61" s="479">
        <f>'Hodnocení '!AQ57</f>
        <v>0</v>
      </c>
      <c r="AR61" s="479">
        <f>'Hodnocení '!AR57</f>
        <v>401149.39925084589</v>
      </c>
      <c r="AS61" s="479">
        <f>'Hodnocení '!AS57</f>
        <v>0</v>
      </c>
      <c r="AT61" s="479">
        <f>'Hodnocení '!AT57</f>
        <v>0</v>
      </c>
      <c r="AU61" s="479">
        <f>'Hodnocení '!AU57</f>
        <v>0</v>
      </c>
      <c r="AV61" s="479">
        <f>'Hodnocení '!AV57</f>
        <v>137042.67729522614</v>
      </c>
      <c r="AW61" s="479">
        <f>'Hodnocení '!AW57</f>
        <v>288647.55504343286</v>
      </c>
      <c r="AX61" s="479">
        <f>'Hodnocení '!AX57</f>
        <v>0</v>
      </c>
      <c r="AY61" s="479">
        <f>'Hodnocení '!AY57</f>
        <v>0</v>
      </c>
      <c r="AZ61" s="479">
        <f>'Hodnocení '!AZ57</f>
        <v>503272</v>
      </c>
      <c r="BA61" s="479">
        <f>'Hodnocení '!BA57</f>
        <v>2497732</v>
      </c>
      <c r="BB61" s="479">
        <f>'Hodnocení '!BB57</f>
        <v>251145.67047849228</v>
      </c>
      <c r="BC61" s="479">
        <f>'Hodnocení '!BC57</f>
        <v>214997.49380253232</v>
      </c>
      <c r="BD61" s="479">
        <f>'Hodnocení '!BD57</f>
        <v>438523.94931657845</v>
      </c>
      <c r="BE61" s="479">
        <f>'Hodnocení '!BE57</f>
        <v>86784.356650778558</v>
      </c>
      <c r="BF61" s="479">
        <f>'Hodnocení '!BF57</f>
        <v>780411.39419043064</v>
      </c>
      <c r="BG61" s="479">
        <f>'Hodnocení '!BG57</f>
        <v>997784</v>
      </c>
      <c r="BH61" s="479">
        <f>'Hodnocení '!BH57</f>
        <v>440041.24156050989</v>
      </c>
      <c r="BI61" s="479">
        <f>'Hodnocení '!BI57</f>
        <v>901900</v>
      </c>
      <c r="BJ61" s="479">
        <f>'Hodnocení '!BJ57</f>
        <v>0</v>
      </c>
      <c r="BK61" s="479">
        <f>'Hodnocení '!BK57</f>
        <v>158000</v>
      </c>
      <c r="BL61" s="479">
        <f>'Hodnocení '!BL57</f>
        <v>455138.49500087276</v>
      </c>
      <c r="BM61" s="479">
        <f>'Hodnocení '!BM57</f>
        <v>1418699.04</v>
      </c>
      <c r="BN61" s="479">
        <f>'Hodnocení '!BN57</f>
        <v>38066.598238762934</v>
      </c>
      <c r="BO61" s="479">
        <f>'Hodnocení '!BO57</f>
        <v>131744.3738330903</v>
      </c>
      <c r="BP61" s="479">
        <f>'Hodnocení '!BP57</f>
        <v>732773</v>
      </c>
      <c r="BQ61" s="479">
        <f>'Hodnocení '!BQ57</f>
        <v>31797.455608832184</v>
      </c>
      <c r="BR61" s="479">
        <f>'Hodnocení '!BR57</f>
        <v>48404.239550507744</v>
      </c>
      <c r="BS61" s="479">
        <f>'Hodnocení '!BS57</f>
        <v>0</v>
      </c>
      <c r="BT61" s="479">
        <f>'Hodnocení '!BT57</f>
        <v>54060.266167230671</v>
      </c>
      <c r="BU61" s="479">
        <f>'Hodnocení '!BU57</f>
        <v>0</v>
      </c>
      <c r="BV61" s="479">
        <f>'Hodnocení '!BV57</f>
        <v>484846.98284474481</v>
      </c>
      <c r="BW61" s="479">
        <f>'Hodnocení '!BW57</f>
        <v>0</v>
      </c>
      <c r="BX61" s="479">
        <f>'Hodnocení '!BX57</f>
        <v>0</v>
      </c>
      <c r="BY61" s="479">
        <f>'Hodnocení '!BY57</f>
        <v>0</v>
      </c>
      <c r="BZ61" s="479">
        <f>'Hodnocení '!BZ57</f>
        <v>0</v>
      </c>
      <c r="CA61" s="479">
        <f>'Hodnocení '!CA57</f>
        <v>0</v>
      </c>
      <c r="CB61" s="479">
        <f>'Hodnocení '!CB57</f>
        <v>0</v>
      </c>
      <c r="CC61" s="479">
        <f>'Hodnocení '!CC57</f>
        <v>0</v>
      </c>
      <c r="CD61" s="479">
        <f>'Hodnocení '!CD57</f>
        <v>0</v>
      </c>
      <c r="CE61" s="479">
        <f>'Hodnocení '!CE57</f>
        <v>1446195.1253167707</v>
      </c>
      <c r="CF61" s="479">
        <f>'Hodnocení '!CF57</f>
        <v>127617.8393289512</v>
      </c>
      <c r="CG61" s="479">
        <f>'Hodnocení '!CG57</f>
        <v>544095.49607044645</v>
      </c>
      <c r="CH61" s="479">
        <f>'Hodnocení '!CH57</f>
        <v>305133.07924963161</v>
      </c>
      <c r="CI61" s="479">
        <f>'Hodnocení '!CI57</f>
        <v>436085.96719942894</v>
      </c>
      <c r="CJ61" s="479">
        <f>'Hodnocení '!CJ57</f>
        <v>394665.0818283353</v>
      </c>
      <c r="CK61" s="479">
        <f>'Hodnocení '!CK57</f>
        <v>395157</v>
      </c>
      <c r="CL61" s="479">
        <f>'Hodnocení '!CL57</f>
        <v>226829.74855449842</v>
      </c>
      <c r="CM61" s="479">
        <f>'Hodnocení '!CM57</f>
        <v>691676.43998631369</v>
      </c>
      <c r="CN61" s="479">
        <f>'Hodnocení '!CN57</f>
        <v>0</v>
      </c>
      <c r="CO61" s="479">
        <f>'Hodnocení '!CO57</f>
        <v>0</v>
      </c>
      <c r="CP61" s="479">
        <f>'Hodnocení '!CP57</f>
        <v>0</v>
      </c>
      <c r="CQ61" s="479">
        <f>'Hodnocení '!CQ57</f>
        <v>908770.573718125</v>
      </c>
      <c r="CR61" s="479">
        <f>'Hodnocení '!CR57</f>
        <v>751017</v>
      </c>
      <c r="CS61" s="479">
        <f>'Hodnocení '!CS57</f>
        <v>3589793.26</v>
      </c>
      <c r="CT61" s="479">
        <f>'Hodnocení '!CT57</f>
        <v>859679.81036627945</v>
      </c>
      <c r="CU61" s="479">
        <f>'Hodnocení '!CU57</f>
        <v>573527.68873558543</v>
      </c>
      <c r="CV61" s="479">
        <f>'Hodnocení '!CV57</f>
        <v>206202.40056366567</v>
      </c>
      <c r="CW61" s="479">
        <f>'Hodnocení '!CW57</f>
        <v>174263.10646689229</v>
      </c>
      <c r="CX61" s="479">
        <f>'Hodnocení '!CX57</f>
        <v>558532</v>
      </c>
      <c r="CY61" s="479">
        <f>'Hodnocení '!CY57</f>
        <v>132129.28390120855</v>
      </c>
      <c r="CZ61" s="479">
        <f>'Hodnocení '!CZ57</f>
        <v>443100</v>
      </c>
      <c r="DA61" s="479">
        <f>'Hodnocení '!DA57</f>
        <v>2997921.7210858986</v>
      </c>
      <c r="DB61" s="479">
        <f>'Hodnocení '!DB57</f>
        <v>0</v>
      </c>
      <c r="DC61" s="479">
        <f>'Hodnocení '!DC57</f>
        <v>83786.781229515094</v>
      </c>
      <c r="DD61" s="479">
        <f>'Hodnocení '!DD57</f>
        <v>698770.47956160456</v>
      </c>
      <c r="DE61" s="479">
        <f>'Hodnocení '!DE57</f>
        <v>429390.87138624676</v>
      </c>
      <c r="DF61" s="479">
        <f>'Hodnocení '!DF57</f>
        <v>2165144.8713862468</v>
      </c>
      <c r="DG61" s="479">
        <f>'Hodnocení '!DG57</f>
        <v>197198.16515118408</v>
      </c>
      <c r="DH61" s="479">
        <f>'Hodnocení '!DH57</f>
        <v>830973.43433351256</v>
      </c>
      <c r="DI61" s="479">
        <f>'Hodnocení '!DI57</f>
        <v>43865.384096688125</v>
      </c>
      <c r="DJ61" s="479">
        <f>'Hodnocení '!DJ57</f>
        <v>103868</v>
      </c>
      <c r="DK61" s="479">
        <f>'Hodnocení '!DK57</f>
        <v>1666856.818091928</v>
      </c>
      <c r="DL61" s="479">
        <f>'Hodnocení '!DL57</f>
        <v>0</v>
      </c>
      <c r="DM61" s="479">
        <f>'Hodnocení '!DM57</f>
        <v>178601.44149400387</v>
      </c>
      <c r="DN61" s="479">
        <f>'Hodnocení '!DN57</f>
        <v>409808.56245903019</v>
      </c>
      <c r="DO61" s="479">
        <f>'Hodnocení '!DO57</f>
        <v>4525.3922101089265</v>
      </c>
      <c r="DP61" s="479">
        <f>'Hodnocení '!DP57</f>
        <v>0</v>
      </c>
      <c r="DQ61" s="479">
        <f>'Hodnocení '!DQ57</f>
        <v>421943</v>
      </c>
      <c r="DR61" s="479">
        <f>'Hodnocení '!DR57</f>
        <v>507937.5</v>
      </c>
      <c r="DS61" s="479">
        <f>'Hodnocení '!DS57</f>
        <v>1294552.2365860054</v>
      </c>
      <c r="DT61" s="479">
        <f>'Hodnocení '!DT57</f>
        <v>454209</v>
      </c>
      <c r="DU61" s="479">
        <f>'Hodnocení '!DU57</f>
        <v>18908.963338879868</v>
      </c>
      <c r="DV61" s="479">
        <f>'Hodnocení '!DV57</f>
        <v>3294523</v>
      </c>
      <c r="DW61" s="479">
        <f>'Hodnocení '!DW57</f>
        <v>251601.57345701009</v>
      </c>
      <c r="DX61" s="479">
        <f>'Hodnocení '!DX57</f>
        <v>433801.15410795156</v>
      </c>
      <c r="DY61" s="479">
        <f>'Hodnocení '!DY57</f>
        <v>825992.75048264861</v>
      </c>
      <c r="DZ61" s="479">
        <f>'Hodnocení '!DZ57</f>
        <v>7625.6888148766011</v>
      </c>
      <c r="EA61" s="479">
        <f>'Hodnocení '!EA57</f>
        <v>0</v>
      </c>
      <c r="EB61" s="479">
        <f>'Hodnocení '!EB57</f>
        <v>1868722.8583436497</v>
      </c>
      <c r="EC61" s="479">
        <f>'Hodnocení '!EC57</f>
        <v>0</v>
      </c>
      <c r="ED61" s="479">
        <f>'Hodnocení '!ED57</f>
        <v>27325.261211514473</v>
      </c>
      <c r="EE61" s="479">
        <f>'Hodnocení '!EE57</f>
        <v>180565.53739487671</v>
      </c>
      <c r="EF61" s="479">
        <f>'Hodnocení '!EF57</f>
        <v>144379.29847269226</v>
      </c>
      <c r="EG61" s="479">
        <f>'Hodnocení '!EG57</f>
        <v>0</v>
      </c>
      <c r="EH61" s="479">
        <f>'Hodnocení '!EH57</f>
        <v>160141.80860682938</v>
      </c>
      <c r="EI61" s="479">
        <f>'Hodnocení '!EI57</f>
        <v>267247</v>
      </c>
      <c r="EJ61" s="479">
        <f>'Hodnocení '!EJ57</f>
        <v>220123.11828195211</v>
      </c>
      <c r="EK61" s="479">
        <f>'Hodnocení '!EK57</f>
        <v>0</v>
      </c>
      <c r="EL61" s="479">
        <f>'Hodnocení '!EL57</f>
        <v>195145.52529584803</v>
      </c>
      <c r="EM61" s="479">
        <f>'Hodnocení '!EM57</f>
        <v>118882.31944287568</v>
      </c>
      <c r="EN61" s="479">
        <f>'Hodnocení '!EN57</f>
        <v>0</v>
      </c>
      <c r="EO61" s="479">
        <f>'Hodnocení '!EO57</f>
        <v>45691.404311261489</v>
      </c>
      <c r="EP61" s="479">
        <f>'Hodnocení '!EP57</f>
        <v>811206.12610559678</v>
      </c>
      <c r="EQ61" s="479">
        <f>'Hodnocení '!EQ57</f>
        <v>0</v>
      </c>
      <c r="ER61" s="479">
        <f>'Hodnocení '!ER57</f>
        <v>1634132</v>
      </c>
      <c r="ES61" s="479">
        <f>'Hodnocení '!ES57</f>
        <v>0</v>
      </c>
      <c r="ET61" s="479">
        <f>'Hodnocení '!ET57</f>
        <v>1009463.051162631</v>
      </c>
      <c r="EU61" s="479">
        <f>'Hodnocení '!EU57</f>
        <v>2051783.9144364195</v>
      </c>
      <c r="EV61" s="479">
        <f>'Hodnocení '!EV57</f>
        <v>252238.51077815378</v>
      </c>
      <c r="EW61" s="479">
        <f>'Hodnocení '!EW57</f>
        <v>357680.25553742051</v>
      </c>
      <c r="EX61" s="479">
        <f>'Hodnocení '!EX57</f>
        <v>995710</v>
      </c>
      <c r="EY61" s="479">
        <f>'Hodnocení '!EY57</f>
        <v>165412.36204789253</v>
      </c>
      <c r="EZ61" s="479">
        <f>'Hodnocení '!EZ57</f>
        <v>0</v>
      </c>
      <c r="FA61" s="479">
        <f>'Hodnocení '!FA57</f>
        <v>853606.42476802599</v>
      </c>
      <c r="FB61" s="479">
        <f>'Hodnocení '!FB57</f>
        <v>125903.49062636285</v>
      </c>
      <c r="FC61" s="479">
        <f>'Hodnocení '!FC57</f>
        <v>419615.42154869251</v>
      </c>
      <c r="FD61" s="479">
        <f>'Hodnocení '!FD57</f>
        <v>286643.68250028812</v>
      </c>
      <c r="FE61" s="479">
        <f>'Hodnocení '!FE57</f>
        <v>118740.58884631132</v>
      </c>
      <c r="FF61" s="479">
        <f>'Hodnocení '!FF57</f>
        <v>444080</v>
      </c>
      <c r="FG61" s="479">
        <f>'Hodnocení '!FG57</f>
        <v>3119772.0195525251</v>
      </c>
      <c r="FH61" s="479">
        <f>'Hodnocení '!FH57</f>
        <v>1033523</v>
      </c>
      <c r="FI61" s="479">
        <f>'Hodnocení '!FI57</f>
        <v>3141513</v>
      </c>
      <c r="FJ61" s="479">
        <f>'Hodnocení '!FJ57</f>
        <v>469811</v>
      </c>
      <c r="FK61" s="479">
        <f>'Hodnocení '!FK57</f>
        <v>48131.226720733917</v>
      </c>
      <c r="FL61" s="479">
        <f>'Hodnocení '!FL57</f>
        <v>101850.78406076948</v>
      </c>
      <c r="FM61" s="479">
        <f>'Hodnocení '!FM57</f>
        <v>1308187.6565853953</v>
      </c>
      <c r="FN61" s="479">
        <f>'Hodnocení '!FN57</f>
        <v>915556.47995545436</v>
      </c>
      <c r="FO61" s="479">
        <f>'Hodnocení '!FO57</f>
        <v>128838</v>
      </c>
      <c r="FP61" s="479">
        <f>'Hodnocení '!FP57</f>
        <v>1539004</v>
      </c>
      <c r="FQ61" s="479">
        <f>'Hodnocení '!FQ57</f>
        <v>165263</v>
      </c>
      <c r="FR61" s="479">
        <f>'Hodnocení '!FR57</f>
        <v>3077762.6316878563</v>
      </c>
      <c r="FS61" s="479">
        <f>'Hodnocení '!FS57</f>
        <v>16863</v>
      </c>
      <c r="FT61" s="479">
        <f>'Hodnocení '!FT57</f>
        <v>682860.16631629318</v>
      </c>
      <c r="FU61" s="479">
        <f>'Hodnocení '!FU57</f>
        <v>87152</v>
      </c>
      <c r="FV61" s="479">
        <f>'Hodnocení '!FV57</f>
        <v>87253.319874897134</v>
      </c>
      <c r="FW61" s="479">
        <f>'Hodnocení '!FW57</f>
        <v>469444</v>
      </c>
      <c r="FX61" s="479">
        <f>'Hodnocení '!FX57</f>
        <v>220869.82000000007</v>
      </c>
      <c r="FY61" s="479">
        <f>'Hodnocení '!FY57</f>
        <v>127219</v>
      </c>
      <c r="FZ61" s="479">
        <f>'Hodnocení '!FZ57</f>
        <v>361345.04905998893</v>
      </c>
      <c r="GA61" s="479">
        <f>'Hodnocení '!GA57</f>
        <v>46570.489587557968</v>
      </c>
      <c r="GB61" s="479">
        <f>'Hodnocení '!GB57</f>
        <v>1165694.4862977713</v>
      </c>
      <c r="GC61" s="479">
        <f>'Hodnocení '!GC57</f>
        <v>409771.14217705326</v>
      </c>
      <c r="GD61" s="479">
        <f>'Hodnocení '!GD57</f>
        <v>2784358.8884656765</v>
      </c>
      <c r="GE61" s="479">
        <f>'Hodnocení '!GE57</f>
        <v>153676</v>
      </c>
      <c r="GF61" s="479">
        <f>'Hodnocení '!GF57</f>
        <v>538043.17787614278</v>
      </c>
      <c r="GG61" s="479">
        <f>'Hodnocení '!GG57</f>
        <v>0</v>
      </c>
      <c r="GH61" s="479">
        <f>'Hodnocení '!GH57</f>
        <v>131159.43127722852</v>
      </c>
      <c r="GI61" s="479">
        <f>'Hodnocení '!GI57</f>
        <v>1974332.0869674683</v>
      </c>
      <c r="GJ61" s="479">
        <f>'Hodnocení '!GJ57</f>
        <v>577409</v>
      </c>
      <c r="GK61" s="479">
        <f>'Hodnocení '!GK57</f>
        <v>879823</v>
      </c>
      <c r="GL61" s="479">
        <f>'Hodnocení '!GL57</f>
        <v>66550</v>
      </c>
      <c r="GM61" s="479">
        <f>'Hodnocení '!GM57</f>
        <v>104394</v>
      </c>
      <c r="GN61" s="479">
        <f>'Hodnocení '!GN57</f>
        <v>347486.33999999997</v>
      </c>
      <c r="GO61" s="479">
        <f>'Hodnocení '!GO57</f>
        <v>1634092</v>
      </c>
      <c r="GP61" s="479">
        <f>'Hodnocení '!GP57</f>
        <v>26050.061741008889</v>
      </c>
      <c r="GQ61" s="479">
        <f>'Hodnocení '!GQ57</f>
        <v>0</v>
      </c>
      <c r="GR61" s="479">
        <f>'Hodnocení '!GR57</f>
        <v>33972.605651483405</v>
      </c>
      <c r="GS61" s="479">
        <f>'Hodnocení '!GS57</f>
        <v>0</v>
      </c>
      <c r="GT61" s="479">
        <f>'Hodnocení '!GT57</f>
        <v>1029485.532092277</v>
      </c>
      <c r="GU61" s="479">
        <f>'Hodnocení '!GU57</f>
        <v>362869</v>
      </c>
      <c r="GV61" s="479">
        <f>'Hodnocení '!GV57</f>
        <v>866366.6456662463</v>
      </c>
      <c r="GW61" s="479">
        <f>'Hodnocení '!GW57</f>
        <v>0</v>
      </c>
      <c r="GX61" s="479">
        <f>'Hodnocení '!GX57</f>
        <v>188622.48977144714</v>
      </c>
      <c r="GY61" s="479">
        <f>'Hodnocení '!GY57</f>
        <v>2782115</v>
      </c>
      <c r="GZ61" s="479">
        <f>'Hodnocení '!GZ57</f>
        <v>3222820.7912944802</v>
      </c>
      <c r="HA61" s="479">
        <f>'Hodnocení '!HA57</f>
        <v>910737.73360992316</v>
      </c>
      <c r="HB61" s="479">
        <f>'Hodnocení '!HB57</f>
        <v>730044.09901564941</v>
      </c>
      <c r="HC61" s="479">
        <f>'Hodnocení '!HC57</f>
        <v>1459000</v>
      </c>
      <c r="HD61" s="479">
        <f>'Hodnocení '!HD57</f>
        <v>693693.14217705326</v>
      </c>
      <c r="HE61" s="479">
        <f>'Hodnocení '!HE57</f>
        <v>2347155</v>
      </c>
      <c r="HF61" s="479">
        <f>'Hodnocení '!HF57</f>
        <v>415364</v>
      </c>
      <c r="HG61" s="479">
        <f>'Hodnocení '!HG57</f>
        <v>145160.35999999999</v>
      </c>
      <c r="HH61" s="479">
        <f>'Hodnocení '!HH57</f>
        <v>48742.668816685444</v>
      </c>
      <c r="HI61" s="479">
        <f>'Hodnocení '!HI57</f>
        <v>851063.36889778636</v>
      </c>
      <c r="HJ61" s="479">
        <f>'Hodnocení '!HJ57</f>
        <v>502448.83102156827</v>
      </c>
      <c r="HK61" s="479">
        <f>'Hodnocení '!HK57</f>
        <v>65300</v>
      </c>
      <c r="HL61" s="479">
        <f>'Hodnocení '!HL57</f>
        <v>5680207.1305066049</v>
      </c>
      <c r="HM61" s="479">
        <f>'Hodnocení '!HM57</f>
        <v>0</v>
      </c>
      <c r="HN61" s="479">
        <f>'Hodnocení '!HN57</f>
        <v>183981.06669069757</v>
      </c>
      <c r="HO61" s="479">
        <f>'Hodnocení '!HO57</f>
        <v>0</v>
      </c>
      <c r="HP61" s="479">
        <f>'Hodnocení '!HP57</f>
        <v>5245782</v>
      </c>
      <c r="HQ61" s="479">
        <f>'Hodnocení '!HQ57</f>
        <v>54516.560144142481</v>
      </c>
      <c r="HR61" s="479">
        <f>'Hodnocení '!HR57</f>
        <v>3073615.2643183805</v>
      </c>
      <c r="HS61" s="479">
        <f>'Hodnocení '!HS57</f>
        <v>1504187.2997660059</v>
      </c>
      <c r="HT61" s="479">
        <f>'Hodnocení '!HT57</f>
        <v>0</v>
      </c>
      <c r="HU61" s="479">
        <f>'Hodnocení '!HU57</f>
        <v>5927225.0052082576</v>
      </c>
      <c r="HV61" s="479">
        <f>'Hodnocení '!HV57</f>
        <v>4818873</v>
      </c>
      <c r="HW61" s="479">
        <f>'Hodnocení '!HW57</f>
        <v>0</v>
      </c>
      <c r="HX61" s="479">
        <f>'Hodnocení '!HX57</f>
        <v>7708193.3073789738</v>
      </c>
      <c r="HY61" s="479">
        <f>'Hodnocení '!HY57</f>
        <v>0</v>
      </c>
      <c r="HZ61" s="479">
        <f>'Hodnocení '!HZ57</f>
        <v>1354063.9776938297</v>
      </c>
      <c r="IA61" s="479">
        <f>'Hodnocení '!IA57</f>
        <v>872393</v>
      </c>
      <c r="IB61" s="479">
        <f>'Hodnocení '!IB57</f>
        <v>1247932.9004964307</v>
      </c>
      <c r="IC61" s="479">
        <f>'Hodnocení '!IC57</f>
        <v>3255785.1772533692</v>
      </c>
      <c r="ID61" s="479">
        <f>'Hodnocení '!ID57</f>
        <v>2560208.8227466308</v>
      </c>
      <c r="IE61" s="479">
        <f>'Hodnocení '!IE57</f>
        <v>3805167.5176655725</v>
      </c>
      <c r="IF61" s="479">
        <f>'Hodnocení '!IF57</f>
        <v>0</v>
      </c>
      <c r="IG61" s="479">
        <f>'Hodnocení '!IG57</f>
        <v>0</v>
      </c>
      <c r="IH61" s="479">
        <f>'Hodnocení '!IH57</f>
        <v>1000618.8383171563</v>
      </c>
      <c r="II61" s="479">
        <f>'Hodnocení '!II57</f>
        <v>0</v>
      </c>
      <c r="IJ61" s="479">
        <f>'Hodnocení '!IJ57</f>
        <v>508618.40589478146</v>
      </c>
      <c r="IK61" s="479">
        <f>'Hodnocení '!IK57</f>
        <v>12704.917822265532</v>
      </c>
      <c r="IL61" s="479">
        <f>'Hodnocení '!IL57</f>
        <v>1061224.700098794</v>
      </c>
      <c r="IM61" s="479">
        <f>'Hodnocení '!IM57</f>
        <v>0</v>
      </c>
      <c r="IN61" s="479">
        <f>'Hodnocení '!IN57</f>
        <v>770037.60039330646</v>
      </c>
      <c r="IO61" s="479">
        <f>'Hodnocení '!IO57</f>
        <v>762787.91070599342</v>
      </c>
      <c r="IP61" s="479">
        <f>'Hodnocení '!IP57</f>
        <v>0</v>
      </c>
      <c r="IQ61" s="479">
        <f>'Hodnocení '!IQ57</f>
        <v>0</v>
      </c>
      <c r="IR61" s="479">
        <f>'Hodnocení '!IR57</f>
        <v>63236.275203590165</v>
      </c>
      <c r="IS61" s="479">
        <f>'Hodnocení '!IS57</f>
        <v>2542825.490031004</v>
      </c>
      <c r="IT61" s="479">
        <f>'Hodnocení '!IT57</f>
        <v>2137240.509968996</v>
      </c>
      <c r="IU61" s="479">
        <f>'Hodnocení '!IU57</f>
        <v>484806.74440448172</v>
      </c>
      <c r="IV61" s="479">
        <f>'Hodnocení '!IV57</f>
        <v>343870.85759682395</v>
      </c>
      <c r="IW61" s="479">
        <f>'Hodnocení '!IW57</f>
        <v>0</v>
      </c>
      <c r="IX61" s="479">
        <f>'Hodnocení '!IX57</f>
        <v>335562.86310432386</v>
      </c>
      <c r="IY61" s="479">
        <f>'Hodnocení '!IY57</f>
        <v>3772316.0616728812</v>
      </c>
      <c r="IZ61" s="479">
        <f>'Hodnocení '!IZ57</f>
        <v>7052652.4439123161</v>
      </c>
      <c r="JA61" s="479">
        <f>'Hodnocení '!JA57</f>
        <v>0</v>
      </c>
      <c r="JB61" s="479">
        <f>'Hodnocení '!JB57</f>
        <v>746788.96015719743</v>
      </c>
      <c r="JC61" s="479">
        <f>'Hodnocení '!JC57</f>
        <v>0</v>
      </c>
      <c r="JD61" s="479">
        <f>'Hodnocení '!JD57</f>
        <v>1558259.4754739245</v>
      </c>
      <c r="JE61" s="479">
        <f>'Hodnocení '!JE57</f>
        <v>0</v>
      </c>
      <c r="JF61" s="479">
        <f>'Hodnocení '!JF57</f>
        <v>10579200.14505925</v>
      </c>
      <c r="JG61" s="479">
        <f>'Hodnocení '!JG57</f>
        <v>46932.164951175451</v>
      </c>
      <c r="JH61" s="780">
        <f>'Hodnocení '!JH57</f>
        <v>563620.5197921393</v>
      </c>
      <c r="JI61" s="470">
        <f>'Hodnocení '!JI57</f>
        <v>194453126.12924564</v>
      </c>
      <c r="JL61" s="307">
        <f t="shared" si="43"/>
        <v>3864738.9979239535</v>
      </c>
      <c r="JM61" s="307">
        <f t="shared" si="43"/>
        <v>57275481.988421842</v>
      </c>
      <c r="JN61" s="307">
        <f t="shared" si="43"/>
        <v>51677468.228470631</v>
      </c>
      <c r="JO61" s="307">
        <f t="shared" si="43"/>
        <v>81635436.914429307</v>
      </c>
      <c r="JP61" s="307">
        <f t="shared" si="45"/>
        <v>194453126.12924573</v>
      </c>
    </row>
    <row r="62" spans="1:277" hidden="1" x14ac:dyDescent="0.25">
      <c r="B62" s="733" t="s">
        <v>2572</v>
      </c>
      <c r="C62" s="779">
        <f>'Hodnocení '!C58</f>
        <v>0</v>
      </c>
      <c r="D62" s="479">
        <f>'Hodnocení '!D58</f>
        <v>0</v>
      </c>
      <c r="E62" s="479">
        <f>'Hodnocení '!E58</f>
        <v>0</v>
      </c>
      <c r="F62" s="479">
        <f>'Hodnocení '!F58</f>
        <v>0</v>
      </c>
      <c r="G62" s="479">
        <f>'Hodnocení '!G58</f>
        <v>0</v>
      </c>
      <c r="H62" s="479">
        <f>'Hodnocení '!H58</f>
        <v>0</v>
      </c>
      <c r="I62" s="479">
        <f>'Hodnocení '!I58</f>
        <v>0</v>
      </c>
      <c r="J62" s="479">
        <f>'Hodnocení '!J58</f>
        <v>0</v>
      </c>
      <c r="K62" s="479">
        <f>'Hodnocení '!K58</f>
        <v>0</v>
      </c>
      <c r="L62" s="479">
        <f>'Hodnocení '!L58</f>
        <v>-25014.170743059833</v>
      </c>
      <c r="M62" s="479">
        <f>'Hodnocení '!M58</f>
        <v>0</v>
      </c>
      <c r="N62" s="479">
        <f>'Hodnocení '!N58</f>
        <v>-776697.16291967686</v>
      </c>
      <c r="O62" s="479">
        <f>'Hodnocení '!O58</f>
        <v>0</v>
      </c>
      <c r="P62" s="479">
        <f>'Hodnocení '!P58</f>
        <v>0</v>
      </c>
      <c r="Q62" s="479">
        <f>'Hodnocení '!Q58</f>
        <v>0</v>
      </c>
      <c r="R62" s="479">
        <f>'Hodnocení '!R58</f>
        <v>-129565.51443209266</v>
      </c>
      <c r="S62" s="479">
        <f>'Hodnocení '!S58</f>
        <v>-44857.72521024663</v>
      </c>
      <c r="T62" s="479">
        <f>'Hodnocení '!T58</f>
        <v>0</v>
      </c>
      <c r="U62" s="479">
        <f>'Hodnocení '!U58</f>
        <v>-150043.73383276933</v>
      </c>
      <c r="V62" s="479">
        <f>'Hodnocení '!V58</f>
        <v>-202720</v>
      </c>
      <c r="W62" s="479">
        <f>'Hodnocení '!W58</f>
        <v>0</v>
      </c>
      <c r="X62" s="479">
        <f>'Hodnocení '!X58</f>
        <v>0</v>
      </c>
      <c r="Y62" s="479">
        <f>'Hodnocení '!Y58</f>
        <v>0</v>
      </c>
      <c r="Z62" s="479">
        <f>'Hodnocení '!Z58</f>
        <v>0</v>
      </c>
      <c r="AA62" s="479">
        <f>'Hodnocení '!AA58</f>
        <v>0</v>
      </c>
      <c r="AB62" s="479">
        <f>'Hodnocení '!AB58</f>
        <v>-48791.864033760969</v>
      </c>
      <c r="AC62" s="479">
        <f>'Hodnocení '!AC58</f>
        <v>-1535838.1586763503</v>
      </c>
      <c r="AD62" s="479">
        <f>'Hodnocení '!AD58</f>
        <v>0</v>
      </c>
      <c r="AE62" s="479">
        <f>'Hodnocení '!AE58</f>
        <v>0</v>
      </c>
      <c r="AF62" s="479">
        <f>'Hodnocení '!AF58</f>
        <v>0</v>
      </c>
      <c r="AG62" s="479">
        <f>'Hodnocení '!AG58</f>
        <v>-82644.971183314454</v>
      </c>
      <c r="AH62" s="479">
        <f>'Hodnocení '!AH58</f>
        <v>0</v>
      </c>
      <c r="AI62" s="479">
        <f>'Hodnocení '!AI58</f>
        <v>0</v>
      </c>
      <c r="AJ62" s="479">
        <f>'Hodnocení '!AJ58</f>
        <v>0</v>
      </c>
      <c r="AK62" s="479">
        <f>'Hodnocení '!AK58</f>
        <v>0</v>
      </c>
      <c r="AL62" s="479">
        <f>'Hodnocení '!AL58</f>
        <v>0</v>
      </c>
      <c r="AM62" s="479">
        <f>'Hodnocení '!AM58</f>
        <v>0</v>
      </c>
      <c r="AN62" s="479">
        <f>'Hodnocení '!AN58</f>
        <v>-127583.49555727385</v>
      </c>
      <c r="AO62" s="479">
        <f>'Hodnocení '!AO58</f>
        <v>0</v>
      </c>
      <c r="AP62" s="479">
        <f>'Hodnocení '!AP58</f>
        <v>-78035</v>
      </c>
      <c r="AQ62" s="479">
        <f>'Hodnocení '!AQ58</f>
        <v>-80828.595688738511</v>
      </c>
      <c r="AR62" s="479">
        <f>'Hodnocení '!AR58</f>
        <v>0</v>
      </c>
      <c r="AS62" s="479">
        <f>'Hodnocení '!AS58</f>
        <v>-41907.893533107708</v>
      </c>
      <c r="AT62" s="479">
        <f>'Hodnocení '!AT58</f>
        <v>-235603.80602272414</v>
      </c>
      <c r="AU62" s="479">
        <f>'Hodnocení '!AU58</f>
        <v>-2385.7166775919031</v>
      </c>
      <c r="AV62" s="479">
        <f>'Hodnocení '!AV58</f>
        <v>0</v>
      </c>
      <c r="AW62" s="479">
        <f>'Hodnocení '!AW58</f>
        <v>0</v>
      </c>
      <c r="AX62" s="479">
        <f>'Hodnocení '!AX58</f>
        <v>-338204.19170502573</v>
      </c>
      <c r="AY62" s="479">
        <f>'Hodnocení '!AY58</f>
        <v>-136770.16204660945</v>
      </c>
      <c r="AZ62" s="479">
        <f>'Hodnocení '!AZ58</f>
        <v>0</v>
      </c>
      <c r="BA62" s="479">
        <f>'Hodnocení '!BA58</f>
        <v>0</v>
      </c>
      <c r="BB62" s="479">
        <f>'Hodnocení '!BB58</f>
        <v>0</v>
      </c>
      <c r="BC62" s="479">
        <f>'Hodnocení '!BC58</f>
        <v>0</v>
      </c>
      <c r="BD62" s="479">
        <f>'Hodnocení '!BD58</f>
        <v>0</v>
      </c>
      <c r="BE62" s="479">
        <f>'Hodnocení '!BE58</f>
        <v>0</v>
      </c>
      <c r="BF62" s="479">
        <f>'Hodnocení '!BF58</f>
        <v>0</v>
      </c>
      <c r="BG62" s="479">
        <f>'Hodnocení '!BG58</f>
        <v>0</v>
      </c>
      <c r="BH62" s="479">
        <f>'Hodnocení '!BH58</f>
        <v>0</v>
      </c>
      <c r="BI62" s="479">
        <f>'Hodnocení '!BI58</f>
        <v>0</v>
      </c>
      <c r="BJ62" s="479">
        <f>'Hodnocení '!BJ58</f>
        <v>-35384.329887827858</v>
      </c>
      <c r="BK62" s="479">
        <f>'Hodnocení '!BK58</f>
        <v>0</v>
      </c>
      <c r="BL62" s="479">
        <f>'Hodnocení '!BL58</f>
        <v>0</v>
      </c>
      <c r="BM62" s="479">
        <f>'Hodnocení '!BM58</f>
        <v>0</v>
      </c>
      <c r="BN62" s="479">
        <f>'Hodnocení '!BN58</f>
        <v>0</v>
      </c>
      <c r="BO62" s="479">
        <f>'Hodnocení '!BO58</f>
        <v>0</v>
      </c>
      <c r="BP62" s="479">
        <f>'Hodnocení '!BP58</f>
        <v>0</v>
      </c>
      <c r="BQ62" s="479">
        <f>'Hodnocení '!BQ58</f>
        <v>0</v>
      </c>
      <c r="BR62" s="479">
        <f>'Hodnocení '!BR58</f>
        <v>0</v>
      </c>
      <c r="BS62" s="479">
        <f>'Hodnocení '!BS58</f>
        <v>-190907.68059932324</v>
      </c>
      <c r="BT62" s="479">
        <f>'Hodnocení '!BT58</f>
        <v>0</v>
      </c>
      <c r="BU62" s="479">
        <f>'Hodnocení '!BU58</f>
        <v>-642700.77050449979</v>
      </c>
      <c r="BV62" s="479">
        <f>'Hodnocení '!BV58</f>
        <v>0</v>
      </c>
      <c r="BW62" s="479">
        <f>'Hodnocení '!BW58</f>
        <v>-253400.15994741418</v>
      </c>
      <c r="BX62" s="479">
        <f>'Hodnocení '!BX58</f>
        <v>-302779.876291533</v>
      </c>
      <c r="BY62" s="479">
        <f>'Hodnocení '!BY58</f>
        <v>-184616.31126441457</v>
      </c>
      <c r="BZ62" s="479">
        <f>'Hodnocení '!BZ58</f>
        <v>-225130.01244640414</v>
      </c>
      <c r="CA62" s="479">
        <f>'Hodnocení '!CA58</f>
        <v>0</v>
      </c>
      <c r="CB62" s="479">
        <f>'Hodnocení '!CB58</f>
        <v>-332892.16010075412</v>
      </c>
      <c r="CC62" s="479">
        <f>'Hodnocení '!CC58</f>
        <v>-110404.08997100033</v>
      </c>
      <c r="CD62" s="479">
        <f>'Hodnocení '!CD58</f>
        <v>-60562.489221846219</v>
      </c>
      <c r="CE62" s="479">
        <f>'Hodnocení '!CE58</f>
        <v>0</v>
      </c>
      <c r="CF62" s="479">
        <f>'Hodnocení '!CF58</f>
        <v>0</v>
      </c>
      <c r="CG62" s="479">
        <f>'Hodnocení '!CG58</f>
        <v>0</v>
      </c>
      <c r="CH62" s="479">
        <f>'Hodnocení '!CH58</f>
        <v>0</v>
      </c>
      <c r="CI62" s="479">
        <f>'Hodnocení '!CI58</f>
        <v>0</v>
      </c>
      <c r="CJ62" s="479">
        <f>'Hodnocení '!CJ58</f>
        <v>0</v>
      </c>
      <c r="CK62" s="479">
        <f>'Hodnocení '!CK58</f>
        <v>0</v>
      </c>
      <c r="CL62" s="479">
        <f>'Hodnocení '!CL58</f>
        <v>0</v>
      </c>
      <c r="CM62" s="479">
        <f>'Hodnocení '!CM58</f>
        <v>0</v>
      </c>
      <c r="CN62" s="479">
        <f>'Hodnocení '!CN58</f>
        <v>-132717.28584698983</v>
      </c>
      <c r="CO62" s="479">
        <f>'Hodnocení '!CO58</f>
        <v>-149642.14584698994</v>
      </c>
      <c r="CP62" s="479">
        <f>'Hodnocení '!CP58</f>
        <v>-138567.6058469899</v>
      </c>
      <c r="CQ62" s="479">
        <f>'Hodnocení '!CQ58</f>
        <v>0</v>
      </c>
      <c r="CR62" s="479">
        <f>'Hodnocení '!CR58</f>
        <v>0</v>
      </c>
      <c r="CS62" s="479">
        <f>'Hodnocení '!CS58</f>
        <v>0</v>
      </c>
      <c r="CT62" s="479">
        <f>'Hodnocení '!CT58</f>
        <v>0</v>
      </c>
      <c r="CU62" s="479">
        <f>'Hodnocení '!CU58</f>
        <v>0</v>
      </c>
      <c r="CV62" s="479">
        <f>'Hodnocení '!CV58</f>
        <v>0</v>
      </c>
      <c r="CW62" s="479">
        <f>'Hodnocení '!CW58</f>
        <v>0</v>
      </c>
      <c r="CX62" s="479">
        <f>'Hodnocení '!CX58</f>
        <v>0</v>
      </c>
      <c r="CY62" s="479">
        <f>'Hodnocení '!CY58</f>
        <v>0</v>
      </c>
      <c r="CZ62" s="479">
        <f>'Hodnocení '!CZ58</f>
        <v>0</v>
      </c>
      <c r="DA62" s="479">
        <f>'Hodnocení '!DA58</f>
        <v>0</v>
      </c>
      <c r="DB62" s="479">
        <f>'Hodnocení '!DB58</f>
        <v>-11138.462605123292</v>
      </c>
      <c r="DC62" s="479">
        <f>'Hodnocení '!DC58</f>
        <v>0</v>
      </c>
      <c r="DD62" s="479">
        <f>'Hodnocení '!DD58</f>
        <v>0</v>
      </c>
      <c r="DE62" s="479">
        <f>'Hodnocení '!DE58</f>
        <v>0</v>
      </c>
      <c r="DF62" s="479">
        <f>'Hodnocení '!DF58</f>
        <v>0</v>
      </c>
      <c r="DG62" s="479">
        <f>'Hodnocení '!DG58</f>
        <v>0</v>
      </c>
      <c r="DH62" s="479">
        <f>'Hodnocení '!DH58</f>
        <v>0</v>
      </c>
      <c r="DI62" s="479">
        <f>'Hodnocení '!DI58</f>
        <v>0</v>
      </c>
      <c r="DJ62" s="479">
        <f>'Hodnocení '!DJ58</f>
        <v>0</v>
      </c>
      <c r="DK62" s="479">
        <f>'Hodnocení '!DK58</f>
        <v>0</v>
      </c>
      <c r="DL62" s="479">
        <f>'Hodnocení '!DL58</f>
        <v>-795230.74446257949</v>
      </c>
      <c r="DM62" s="479">
        <f>'Hodnocení '!DM58</f>
        <v>0</v>
      </c>
      <c r="DN62" s="479">
        <f>'Hodnocení '!DN58</f>
        <v>0</v>
      </c>
      <c r="DO62" s="479">
        <f>'Hodnocení '!DO58</f>
        <v>0</v>
      </c>
      <c r="DP62" s="479">
        <f>'Hodnocení '!DP58</f>
        <v>-187075.75400271686</v>
      </c>
      <c r="DQ62" s="479">
        <f>'Hodnocení '!DQ58</f>
        <v>0</v>
      </c>
      <c r="DR62" s="479">
        <f>'Hodnocení '!DR58</f>
        <v>0</v>
      </c>
      <c r="DS62" s="479">
        <f>'Hodnocení '!DS58</f>
        <v>0</v>
      </c>
      <c r="DT62" s="479">
        <f>'Hodnocení '!DT58</f>
        <v>0</v>
      </c>
      <c r="DU62" s="479">
        <f>'Hodnocení '!DU58</f>
        <v>0</v>
      </c>
      <c r="DV62" s="479">
        <f>'Hodnocení '!DV58</f>
        <v>0</v>
      </c>
      <c r="DW62" s="479">
        <f>'Hodnocení '!DW58</f>
        <v>0</v>
      </c>
      <c r="DX62" s="479">
        <f>'Hodnocení '!DX58</f>
        <v>0</v>
      </c>
      <c r="DY62" s="479">
        <f>'Hodnocení '!DY58</f>
        <v>0</v>
      </c>
      <c r="DZ62" s="479">
        <f>'Hodnocení '!DZ58</f>
        <v>0</v>
      </c>
      <c r="EA62" s="479">
        <f>'Hodnocení '!EA58</f>
        <v>-507215.23529455811</v>
      </c>
      <c r="EB62" s="479">
        <f>'Hodnocení '!EB58</f>
        <v>0</v>
      </c>
      <c r="EC62" s="479">
        <f>'Hodnocení '!EC58</f>
        <v>-154016.21650246857</v>
      </c>
      <c r="ED62" s="479">
        <f>'Hodnocení '!ED58</f>
        <v>0</v>
      </c>
      <c r="EE62" s="479">
        <f>'Hodnocení '!EE58</f>
        <v>0</v>
      </c>
      <c r="EF62" s="479">
        <f>'Hodnocení '!EF58</f>
        <v>0</v>
      </c>
      <c r="EG62" s="479">
        <f>'Hodnocení '!EG58</f>
        <v>-8904.7299211212085</v>
      </c>
      <c r="EH62" s="479">
        <f>'Hodnocení '!EH58</f>
        <v>0</v>
      </c>
      <c r="EI62" s="479">
        <f>'Hodnocení '!EI58</f>
        <v>0</v>
      </c>
      <c r="EJ62" s="479">
        <f>'Hodnocení '!EJ58</f>
        <v>0</v>
      </c>
      <c r="EK62" s="479">
        <f>'Hodnocení '!EK58</f>
        <v>-857560.91243154928</v>
      </c>
      <c r="EL62" s="479">
        <f>'Hodnocení '!EL58</f>
        <v>0</v>
      </c>
      <c r="EM62" s="479">
        <f>'Hodnocení '!EM58</f>
        <v>0</v>
      </c>
      <c r="EN62" s="479">
        <f>'Hodnocení '!EN58</f>
        <v>-29062.617524984758</v>
      </c>
      <c r="EO62" s="479">
        <f>'Hodnocení '!EO58</f>
        <v>0</v>
      </c>
      <c r="EP62" s="479">
        <f>'Hodnocení '!EP58</f>
        <v>0</v>
      </c>
      <c r="EQ62" s="479">
        <f>'Hodnocení '!EQ58</f>
        <v>-91246.509737364016</v>
      </c>
      <c r="ER62" s="479">
        <f>'Hodnocení '!ER58</f>
        <v>0</v>
      </c>
      <c r="ES62" s="479">
        <f>'Hodnocení '!ES58</f>
        <v>-2770560</v>
      </c>
      <c r="ET62" s="479">
        <f>'Hodnocení '!ET58</f>
        <v>0</v>
      </c>
      <c r="EU62" s="479">
        <f>'Hodnocení '!EU58</f>
        <v>0</v>
      </c>
      <c r="EV62" s="479">
        <f>'Hodnocení '!EV58</f>
        <v>0</v>
      </c>
      <c r="EW62" s="479">
        <f>'Hodnocení '!EW58</f>
        <v>0</v>
      </c>
      <c r="EX62" s="479">
        <f>'Hodnocení '!EX58</f>
        <v>0</v>
      </c>
      <c r="EY62" s="479">
        <f>'Hodnocení '!EY58</f>
        <v>0</v>
      </c>
      <c r="EZ62" s="479">
        <f>'Hodnocení '!EZ58</f>
        <v>-111326</v>
      </c>
      <c r="FA62" s="479">
        <f>'Hodnocení '!FA58</f>
        <v>0</v>
      </c>
      <c r="FB62" s="479">
        <f>'Hodnocení '!FB58</f>
        <v>0</v>
      </c>
      <c r="FC62" s="479">
        <f>'Hodnocení '!FC58</f>
        <v>0</v>
      </c>
      <c r="FD62" s="479">
        <f>'Hodnocení '!FD58</f>
        <v>0</v>
      </c>
      <c r="FE62" s="479">
        <f>'Hodnocení '!FE58</f>
        <v>0</v>
      </c>
      <c r="FF62" s="479">
        <f>'Hodnocení '!FF58</f>
        <v>0</v>
      </c>
      <c r="FG62" s="479">
        <f>'Hodnocení '!FG58</f>
        <v>0</v>
      </c>
      <c r="FH62" s="479">
        <f>'Hodnocení '!FH58</f>
        <v>0</v>
      </c>
      <c r="FI62" s="479">
        <f>'Hodnocení '!FI58</f>
        <v>0</v>
      </c>
      <c r="FJ62" s="479">
        <f>'Hodnocení '!FJ58</f>
        <v>0</v>
      </c>
      <c r="FK62" s="479">
        <f>'Hodnocení '!FK58</f>
        <v>0</v>
      </c>
      <c r="FL62" s="479">
        <f>'Hodnocení '!FL58</f>
        <v>0</v>
      </c>
      <c r="FM62" s="479">
        <f>'Hodnocení '!FM58</f>
        <v>0</v>
      </c>
      <c r="FN62" s="479">
        <f>'Hodnocení '!FN58</f>
        <v>0</v>
      </c>
      <c r="FO62" s="479">
        <f>'Hodnocení '!FO58</f>
        <v>0</v>
      </c>
      <c r="FP62" s="479">
        <f>'Hodnocení '!FP58</f>
        <v>0</v>
      </c>
      <c r="FQ62" s="479">
        <f>'Hodnocení '!FQ58</f>
        <v>0</v>
      </c>
      <c r="FR62" s="479">
        <f>'Hodnocení '!FR58</f>
        <v>0</v>
      </c>
      <c r="FS62" s="479">
        <f>'Hodnocení '!FS58</f>
        <v>0</v>
      </c>
      <c r="FT62" s="479">
        <f>'Hodnocení '!FT58</f>
        <v>0</v>
      </c>
      <c r="FU62" s="479">
        <f>'Hodnocení '!FU58</f>
        <v>0</v>
      </c>
      <c r="FV62" s="479">
        <f>'Hodnocení '!FV58</f>
        <v>0</v>
      </c>
      <c r="FW62" s="479">
        <f>'Hodnocení '!FW58</f>
        <v>0</v>
      </c>
      <c r="FX62" s="479">
        <f>'Hodnocení '!FX58</f>
        <v>0</v>
      </c>
      <c r="FY62" s="479">
        <f>'Hodnocení '!FY58</f>
        <v>0</v>
      </c>
      <c r="FZ62" s="479">
        <f>'Hodnocení '!FZ58</f>
        <v>0</v>
      </c>
      <c r="GA62" s="479">
        <f>'Hodnocení '!GA58</f>
        <v>0</v>
      </c>
      <c r="GB62" s="479">
        <f>'Hodnocení '!GB58</f>
        <v>0</v>
      </c>
      <c r="GC62" s="479">
        <f>'Hodnocení '!GC58</f>
        <v>0</v>
      </c>
      <c r="GD62" s="479">
        <f>'Hodnocení '!GD58</f>
        <v>0</v>
      </c>
      <c r="GE62" s="479">
        <f>'Hodnocení '!GE58</f>
        <v>0</v>
      </c>
      <c r="GF62" s="479">
        <f>'Hodnocení '!GF58</f>
        <v>0</v>
      </c>
      <c r="GG62" s="479">
        <f>'Hodnocení '!GG58</f>
        <v>-54308.637280836701</v>
      </c>
      <c r="GH62" s="479">
        <f>'Hodnocení '!GH58</f>
        <v>0</v>
      </c>
      <c r="GI62" s="479">
        <f>'Hodnocení '!GI58</f>
        <v>0</v>
      </c>
      <c r="GJ62" s="479">
        <f>'Hodnocení '!GJ58</f>
        <v>0</v>
      </c>
      <c r="GK62" s="479">
        <f>'Hodnocení '!GK58</f>
        <v>0</v>
      </c>
      <c r="GL62" s="479">
        <f>'Hodnocení '!GL58</f>
        <v>0</v>
      </c>
      <c r="GM62" s="479">
        <f>'Hodnocení '!GM58</f>
        <v>0</v>
      </c>
      <c r="GN62" s="479">
        <f>'Hodnocení '!GN58</f>
        <v>0</v>
      </c>
      <c r="GO62" s="479">
        <f>'Hodnocení '!GO58</f>
        <v>0</v>
      </c>
      <c r="GP62" s="479">
        <f>'Hodnocení '!GP58</f>
        <v>0</v>
      </c>
      <c r="GQ62" s="479">
        <f>'Hodnocení '!GQ58</f>
        <v>-40434</v>
      </c>
      <c r="GR62" s="479">
        <f>'Hodnocení '!GR58</f>
        <v>0</v>
      </c>
      <c r="GS62" s="479">
        <f>'Hodnocení '!GS58</f>
        <v>-52237.953279266134</v>
      </c>
      <c r="GT62" s="479">
        <f>'Hodnocení '!GT58</f>
        <v>0</v>
      </c>
      <c r="GU62" s="479">
        <f>'Hodnocení '!GU58</f>
        <v>0</v>
      </c>
      <c r="GV62" s="479">
        <f>'Hodnocení '!GV58</f>
        <v>0</v>
      </c>
      <c r="GW62" s="479">
        <f>'Hodnocení '!GW58</f>
        <v>-85702.372231289744</v>
      </c>
      <c r="GX62" s="479">
        <f>'Hodnocení '!GX58</f>
        <v>0</v>
      </c>
      <c r="GY62" s="479">
        <f>'Hodnocení '!GY58</f>
        <v>0</v>
      </c>
      <c r="GZ62" s="479">
        <f>'Hodnocení '!GZ58</f>
        <v>0</v>
      </c>
      <c r="HA62" s="479">
        <f>'Hodnocení '!HA58</f>
        <v>0</v>
      </c>
      <c r="HB62" s="479">
        <f>'Hodnocení '!HB58</f>
        <v>0</v>
      </c>
      <c r="HC62" s="479">
        <f>'Hodnocení '!HC58</f>
        <v>0</v>
      </c>
      <c r="HD62" s="479">
        <f>'Hodnocení '!HD58</f>
        <v>0</v>
      </c>
      <c r="HE62" s="479">
        <f>'Hodnocení '!HE58</f>
        <v>0</v>
      </c>
      <c r="HF62" s="479">
        <f>'Hodnocení '!HF58</f>
        <v>0</v>
      </c>
      <c r="HG62" s="479">
        <f>'Hodnocení '!HG58</f>
        <v>0</v>
      </c>
      <c r="HH62" s="479">
        <f>'Hodnocení '!HH58</f>
        <v>0</v>
      </c>
      <c r="HI62" s="479">
        <f>'Hodnocení '!HI58</f>
        <v>0</v>
      </c>
      <c r="HJ62" s="479">
        <f>'Hodnocení '!HJ58</f>
        <v>0</v>
      </c>
      <c r="HK62" s="479">
        <f>'Hodnocení '!HK58</f>
        <v>0</v>
      </c>
      <c r="HL62" s="479">
        <f>'Hodnocení '!HL58</f>
        <v>0</v>
      </c>
      <c r="HM62" s="479">
        <f>'Hodnocení '!HM58</f>
        <v>-686489.1194286719</v>
      </c>
      <c r="HN62" s="479">
        <f>'Hodnocení '!HN58</f>
        <v>0</v>
      </c>
      <c r="HO62" s="479">
        <f>'Hodnocení '!HO58</f>
        <v>-29609.132768688723</v>
      </c>
      <c r="HP62" s="479">
        <f>'Hodnocení '!HP58</f>
        <v>0</v>
      </c>
      <c r="HQ62" s="479">
        <f>'Hodnocení '!HQ58</f>
        <v>0</v>
      </c>
      <c r="HR62" s="479">
        <f>'Hodnocení '!HR58</f>
        <v>0</v>
      </c>
      <c r="HS62" s="479">
        <f>'Hodnocení '!HS58</f>
        <v>0</v>
      </c>
      <c r="HT62" s="479">
        <f>'Hodnocení '!HT58</f>
        <v>-4004215.4095292166</v>
      </c>
      <c r="HU62" s="479">
        <f>'Hodnocení '!HU58</f>
        <v>0</v>
      </c>
      <c r="HV62" s="479">
        <f>'Hodnocení '!HV58</f>
        <v>0</v>
      </c>
      <c r="HW62" s="479">
        <f>'Hodnocení '!HW58</f>
        <v>-1403621.9659980796</v>
      </c>
      <c r="HX62" s="479">
        <f>'Hodnocení '!HX58</f>
        <v>0</v>
      </c>
      <c r="HY62" s="479">
        <f>'Hodnocení '!HY58</f>
        <v>-723479.82655531541</v>
      </c>
      <c r="HZ62" s="479">
        <f>'Hodnocení '!HZ58</f>
        <v>0</v>
      </c>
      <c r="IA62" s="479">
        <f>'Hodnocení '!IA58</f>
        <v>0</v>
      </c>
      <c r="IB62" s="479">
        <f>'Hodnocení '!IB58</f>
        <v>0</v>
      </c>
      <c r="IC62" s="479">
        <f>'Hodnocení '!IC58</f>
        <v>0</v>
      </c>
      <c r="ID62" s="479">
        <f>'Hodnocení '!ID58</f>
        <v>0</v>
      </c>
      <c r="IE62" s="479">
        <f>'Hodnocení '!IE58</f>
        <v>0</v>
      </c>
      <c r="IF62" s="479">
        <f>'Hodnocení '!IF58</f>
        <v>-3061353.6107498184</v>
      </c>
      <c r="IG62" s="479">
        <f>'Hodnocení '!IG58</f>
        <v>-155860.72848056909</v>
      </c>
      <c r="IH62" s="479">
        <f>'Hodnocení '!IH58</f>
        <v>0</v>
      </c>
      <c r="II62" s="479">
        <f>'Hodnocení '!II58</f>
        <v>-1027881.9194320217</v>
      </c>
      <c r="IJ62" s="479">
        <f>'Hodnocení '!IJ58</f>
        <v>0</v>
      </c>
      <c r="IK62" s="479">
        <f>'Hodnocení '!IK58</f>
        <v>0</v>
      </c>
      <c r="IL62" s="479">
        <f>'Hodnocení '!IL58</f>
        <v>0</v>
      </c>
      <c r="IM62" s="479">
        <f>'Hodnocení '!IM58</f>
        <v>-125148.48437385191</v>
      </c>
      <c r="IN62" s="479">
        <f>'Hodnocení '!IN58</f>
        <v>0</v>
      </c>
      <c r="IO62" s="479">
        <f>'Hodnocení '!IO58</f>
        <v>0</v>
      </c>
      <c r="IP62" s="479">
        <f>'Hodnocení '!IP58</f>
        <v>-18339.822419442236</v>
      </c>
      <c r="IQ62" s="479">
        <f>'Hodnocení '!IQ58</f>
        <v>-77005.383273798972</v>
      </c>
      <c r="IR62" s="479">
        <f>'Hodnocení '!IR58</f>
        <v>0</v>
      </c>
      <c r="IS62" s="479">
        <f>'Hodnocení '!IS58</f>
        <v>0</v>
      </c>
      <c r="IT62" s="479">
        <f>'Hodnocení '!IT58</f>
        <v>0</v>
      </c>
      <c r="IU62" s="479">
        <f>'Hodnocení '!IU58</f>
        <v>0</v>
      </c>
      <c r="IV62" s="479">
        <f>'Hodnocení '!IV58</f>
        <v>0</v>
      </c>
      <c r="IW62" s="479">
        <f>'Hodnocení '!IW58</f>
        <v>-1516298.2291946746</v>
      </c>
      <c r="IX62" s="479">
        <f>'Hodnocení '!IX58</f>
        <v>0</v>
      </c>
      <c r="IY62" s="479">
        <f>'Hodnocení '!IY58</f>
        <v>0</v>
      </c>
      <c r="IZ62" s="479">
        <f>'Hodnocení '!IZ58</f>
        <v>0</v>
      </c>
      <c r="JA62" s="479">
        <f>'Hodnocení '!JA58</f>
        <v>-32641.660270661581</v>
      </c>
      <c r="JB62" s="479">
        <f>'Hodnocení '!JB58</f>
        <v>0</v>
      </c>
      <c r="JC62" s="479">
        <f>'Hodnocení '!JC58</f>
        <v>-179262.63064753311</v>
      </c>
      <c r="JD62" s="479">
        <f>'Hodnocení '!JD58</f>
        <v>0</v>
      </c>
      <c r="JE62" s="479">
        <f>'Hodnocení '!JE58</f>
        <v>-309105.14505924704</v>
      </c>
      <c r="JF62" s="479">
        <f>'Hodnocení '!JF58</f>
        <v>0</v>
      </c>
      <c r="JG62" s="479">
        <f>'Hodnocení '!JG58</f>
        <v>0</v>
      </c>
      <c r="JH62" s="780">
        <f>'Hodnocení '!JH58</f>
        <v>0</v>
      </c>
      <c r="JI62" s="470">
        <f>'Hodnocení '!JI58</f>
        <v>-25903530.293493778</v>
      </c>
      <c r="JL62" s="307">
        <f t="shared" si="43"/>
        <v>0</v>
      </c>
      <c r="JM62" s="307">
        <f t="shared" si="43"/>
        <v>-12209208.262520794</v>
      </c>
      <c r="JN62" s="307">
        <f t="shared" si="43"/>
        <v>-344008.96279139258</v>
      </c>
      <c r="JO62" s="307">
        <f t="shared" si="43"/>
        <v>-13350313.068181589</v>
      </c>
      <c r="JP62" s="307">
        <f t="shared" si="45"/>
        <v>-25903530.293493778</v>
      </c>
    </row>
    <row r="63" spans="1:277" s="673" customFormat="1" hidden="1" x14ac:dyDescent="0.25">
      <c r="A63" s="312"/>
      <c r="B63" s="742" t="s">
        <v>2783</v>
      </c>
      <c r="C63" s="785">
        <f>'Hodnocení '!C59</f>
        <v>0</v>
      </c>
      <c r="D63" s="692">
        <f>'Hodnocení '!D59</f>
        <v>932640</v>
      </c>
      <c r="E63" s="692">
        <f>'Hodnocení '!E59</f>
        <v>116580</v>
      </c>
      <c r="F63" s="692">
        <f>'Hodnocení '!F59</f>
        <v>-9.9999999999999645E-2</v>
      </c>
      <c r="G63" s="692">
        <f>'Hodnocení '!G59</f>
        <v>170355.11778682022</v>
      </c>
      <c r="H63" s="692">
        <f>'Hodnocení '!H59</f>
        <v>-0.19999999999999996</v>
      </c>
      <c r="I63" s="692">
        <f>'Hodnocení '!I59</f>
        <v>522133.12475908326</v>
      </c>
      <c r="J63" s="692">
        <f>'Hodnocení '!J59</f>
        <v>0</v>
      </c>
      <c r="K63" s="692">
        <f>'Hodnocení '!K59</f>
        <v>0</v>
      </c>
      <c r="L63" s="692">
        <f>'Hodnocení '!L59</f>
        <v>-0.40000000000000036</v>
      </c>
      <c r="M63" s="692">
        <f>'Hodnocení '!M59</f>
        <v>0</v>
      </c>
      <c r="N63" s="692">
        <f>'Hodnocení '!N59</f>
        <v>-0.49000000000000021</v>
      </c>
      <c r="O63" s="692">
        <f>'Hodnocení '!O59</f>
        <v>51994.145754471632</v>
      </c>
      <c r="P63" s="692">
        <f>'Hodnocení '!P59</f>
        <v>0</v>
      </c>
      <c r="Q63" s="692">
        <f>'Hodnocení '!Q59</f>
        <v>-0.29999999999999982</v>
      </c>
      <c r="R63" s="692">
        <f>'Hodnocení '!R59</f>
        <v>222832.053233446</v>
      </c>
      <c r="S63" s="692">
        <f>'Hodnocení '!S59</f>
        <v>222832.05323344597</v>
      </c>
      <c r="T63" s="692">
        <f>'Hodnocení '!T59</f>
        <v>0</v>
      </c>
      <c r="U63" s="692">
        <f>'Hodnocení '!U59</f>
        <v>-0.5</v>
      </c>
      <c r="V63" s="692">
        <f>'Hodnocení '!V59</f>
        <v>73523.477182507733</v>
      </c>
      <c r="W63" s="692">
        <f>'Hodnocení '!W59</f>
        <v>-0.25</v>
      </c>
      <c r="X63" s="692">
        <f>'Hodnocení '!X59</f>
        <v>735213.25483379571</v>
      </c>
      <c r="Y63" s="692">
        <f>'Hodnocení '!Y59</f>
        <v>25552.412953218565</v>
      </c>
      <c r="Z63" s="692">
        <f>'Hodnocení '!Z59</f>
        <v>-5.0000000000000711E-2</v>
      </c>
      <c r="AA63" s="692">
        <f>'Hodnocení '!AA59</f>
        <v>0</v>
      </c>
      <c r="AB63" s="692">
        <f>'Hodnocení '!AB59</f>
        <v>507203.51375680778</v>
      </c>
      <c r="AC63" s="692">
        <f>'Hodnocení '!AC59</f>
        <v>-1226320.7874414893</v>
      </c>
      <c r="AD63" s="692">
        <f>'Hodnocení '!AD59</f>
        <v>744989.12062356528</v>
      </c>
      <c r="AE63" s="692">
        <f>'Hodnocení '!AE59</f>
        <v>-0.30000000000000004</v>
      </c>
      <c r="AF63" s="692">
        <f>'Hodnocení '!AF59</f>
        <v>551969.30331674521</v>
      </c>
      <c r="AG63" s="692">
        <f>'Hodnocení '!AG59</f>
        <v>0</v>
      </c>
      <c r="AH63" s="692">
        <f>'Hodnocení '!AH59</f>
        <v>-0.30000000000000004</v>
      </c>
      <c r="AI63" s="692">
        <f>'Hodnocení '!AI59</f>
        <v>-0.22499999999999964</v>
      </c>
      <c r="AJ63" s="692">
        <f>'Hodnocení '!AJ59</f>
        <v>119834.56768111819</v>
      </c>
      <c r="AK63" s="692">
        <f>'Hodnocení '!AK59</f>
        <v>74277.35107781543</v>
      </c>
      <c r="AL63" s="692">
        <f>'Hodnocení '!AL59</f>
        <v>0</v>
      </c>
      <c r="AM63" s="692">
        <f>'Hodnocení '!AM59</f>
        <v>74277.351077815445</v>
      </c>
      <c r="AN63" s="692">
        <f>'Hodnocení '!AN59</f>
        <v>252542.99366457234</v>
      </c>
      <c r="AO63" s="692">
        <f>'Hodnocení '!AO59</f>
        <v>72814.226757802273</v>
      </c>
      <c r="AP63" s="692">
        <f>'Hodnocení '!AP59</f>
        <v>135009.883770399</v>
      </c>
      <c r="AQ63" s="692">
        <f>'Hodnocení '!AQ59</f>
        <v>297109.40431126149</v>
      </c>
      <c r="AR63" s="692">
        <f>'Hodnocení '!AR59</f>
        <v>185693.37769453845</v>
      </c>
      <c r="AS63" s="692">
        <f>'Hodnocení '!AS59</f>
        <v>-0.4</v>
      </c>
      <c r="AT63" s="692">
        <f>'Hodnocení '!AT59</f>
        <v>-0.29999999999999982</v>
      </c>
      <c r="AU63" s="692">
        <f>'Hodnocení '!AU59</f>
        <v>-0.39999999999999991</v>
      </c>
      <c r="AV63" s="692">
        <f>'Hodnocení '!AV59</f>
        <v>-4.9999999999999822E-2</v>
      </c>
      <c r="AW63" s="692">
        <f>'Hodnocení '!AW59</f>
        <v>0</v>
      </c>
      <c r="AX63" s="692">
        <f>'Hodnocení '!AX59</f>
        <v>189053.37063611965</v>
      </c>
      <c r="AY63" s="692">
        <f>'Hodnocení '!AY59</f>
        <v>144775.54873774288</v>
      </c>
      <c r="AZ63" s="692">
        <f>'Hodnocení '!AZ59</f>
        <v>-0.45000000000000018</v>
      </c>
      <c r="BA63" s="692">
        <f>'Hodnocení '!BA59</f>
        <v>-0.19999999999999929</v>
      </c>
      <c r="BB63" s="692">
        <f>'Hodnocení '!BB59</f>
        <v>-0.10000000000000009</v>
      </c>
      <c r="BC63" s="692">
        <f>'Hodnocení '!BC59</f>
        <v>-0.10000000000000009</v>
      </c>
      <c r="BD63" s="692">
        <f>'Hodnocení '!BD59</f>
        <v>534796.92776027089</v>
      </c>
      <c r="BE63" s="692">
        <f>'Hodnocení '!BE59</f>
        <v>559428.34795616055</v>
      </c>
      <c r="BF63" s="692">
        <f>'Hodnocení '!BF59</f>
        <v>74277.351077815125</v>
      </c>
      <c r="BG63" s="692">
        <f>'Hodnocení '!BG59</f>
        <v>0</v>
      </c>
      <c r="BH63" s="692">
        <f>'Hodnocení '!BH59</f>
        <v>-0.25</v>
      </c>
      <c r="BI63" s="692">
        <f>'Hodnocení '!BI59</f>
        <v>-0.21999999999999975</v>
      </c>
      <c r="BJ63" s="692">
        <f>'Hodnocení '!BJ59</f>
        <v>-0.40000000000000036</v>
      </c>
      <c r="BK63" s="692">
        <f>'Hodnocení '!BK59</f>
        <v>-0.25</v>
      </c>
      <c r="BL63" s="692">
        <f>'Hodnocení '!BL59</f>
        <v>1.1000000000000001</v>
      </c>
      <c r="BM63" s="692">
        <f>'Hodnocení '!BM59</f>
        <v>149180.89278830963</v>
      </c>
      <c r="BN63" s="692">
        <f>'Hodnocení '!BN59</f>
        <v>-0.37999999999999989</v>
      </c>
      <c r="BO63" s="692">
        <f>'Hodnocení '!BO59</f>
        <v>289269.6524752457</v>
      </c>
      <c r="BP63" s="692">
        <f>'Hodnocení '!BP59</f>
        <v>607766.70348975586</v>
      </c>
      <c r="BQ63" s="692">
        <f>'Hodnocení '!BQ59</f>
        <v>111885.66959123203</v>
      </c>
      <c r="BR63" s="692">
        <f>'Hodnocení '!BR59</f>
        <v>259970.72877235388</v>
      </c>
      <c r="BS63" s="692">
        <f>'Hodnocení '!BS59</f>
        <v>-0.19999999999999996</v>
      </c>
      <c r="BT63" s="692">
        <f>'Hodnocení '!BT59</f>
        <v>-0.5</v>
      </c>
      <c r="BU63" s="692">
        <f>'Hodnocení '!BU59</f>
        <v>-9.9999999999999645E-2</v>
      </c>
      <c r="BV63" s="692">
        <f>'Hodnocení '!BV59</f>
        <v>190382.44376679871</v>
      </c>
      <c r="BW63" s="692">
        <f>'Hodnocení '!BW59</f>
        <v>297109.40431126149</v>
      </c>
      <c r="BX63" s="692">
        <f>'Hodnocení '!BX59</f>
        <v>123469.12496849919</v>
      </c>
      <c r="BY63" s="692">
        <f>'Hodnocení '!BY59</f>
        <v>0</v>
      </c>
      <c r="BZ63" s="692">
        <f>'Hodnocení '!BZ59</f>
        <v>0</v>
      </c>
      <c r="CA63" s="692">
        <f>'Hodnocení '!CA59</f>
        <v>0</v>
      </c>
      <c r="CB63" s="692">
        <f>'Hodnocení '!CB59</f>
        <v>212096.63819068708</v>
      </c>
      <c r="CC63" s="692">
        <f>'Hodnocení '!CC59</f>
        <v>185693.37769453845</v>
      </c>
      <c r="CD63" s="692">
        <f>'Hodnocení '!CD59</f>
        <v>0</v>
      </c>
      <c r="CE63" s="692">
        <f>'Hodnocení '!CE59</f>
        <v>198540.14261009466</v>
      </c>
      <c r="CF63" s="692">
        <f>'Hodnocení '!CF59</f>
        <v>-0.5</v>
      </c>
      <c r="CG63" s="692">
        <f>'Hodnocení '!CG59</f>
        <v>-3.9999999999999147E-2</v>
      </c>
      <c r="CH63" s="692">
        <f>'Hodnocení '!CH59</f>
        <v>-0.20000000000000018</v>
      </c>
      <c r="CI63" s="692">
        <f>'Hodnocení '!CI59</f>
        <v>0</v>
      </c>
      <c r="CJ63" s="692">
        <f>'Hodnocení '!CJ59</f>
        <v>-0.11000000000000032</v>
      </c>
      <c r="CK63" s="692">
        <f>'Hodnocení '!CK59</f>
        <v>96027.681703557784</v>
      </c>
      <c r="CL63" s="692">
        <f>'Hodnocení '!CL59</f>
        <v>149180.89278830957</v>
      </c>
      <c r="CM63" s="692">
        <f>'Hodnocení '!CM59</f>
        <v>0</v>
      </c>
      <c r="CN63" s="692">
        <f>'Hodnocení '!CN59</f>
        <v>0</v>
      </c>
      <c r="CO63" s="692">
        <f>'Hodnocení '!CO59</f>
        <v>0</v>
      </c>
      <c r="CP63" s="692">
        <f>'Hodnocení '!CP59</f>
        <v>0</v>
      </c>
      <c r="CQ63" s="692">
        <f>'Hodnocení '!CQ59</f>
        <v>-0.30000000000000071</v>
      </c>
      <c r="CR63" s="692">
        <f>'Hodnocení '!CR59</f>
        <v>0</v>
      </c>
      <c r="CS63" s="692">
        <f>'Hodnocení '!CS59</f>
        <v>-0.5</v>
      </c>
      <c r="CT63" s="692">
        <f>'Hodnocení '!CT59</f>
        <v>0</v>
      </c>
      <c r="CU63" s="692">
        <f>'Hodnocení '!CU59</f>
        <v>0</v>
      </c>
      <c r="CV63" s="692">
        <f>'Hodnocení '!CV59</f>
        <v>0</v>
      </c>
      <c r="CW63" s="692">
        <f>'Hodnocení '!CW59</f>
        <v>-0.4</v>
      </c>
      <c r="CX63" s="692">
        <f>'Hodnocení '!CX59</f>
        <v>107897.22684753401</v>
      </c>
      <c r="CY63" s="692">
        <f>'Hodnocení '!CY59</f>
        <v>-0.49999999999999911</v>
      </c>
      <c r="CZ63" s="692">
        <f>'Hodnocení '!CZ59</f>
        <v>179742.43027925643</v>
      </c>
      <c r="DA63" s="692">
        <f>'Hodnocení '!DA59</f>
        <v>0</v>
      </c>
      <c r="DB63" s="692">
        <f>'Hodnocení '!DB59</f>
        <v>111416.02661672299</v>
      </c>
      <c r="DC63" s="692">
        <f>'Hodnocení '!DC59</f>
        <v>328714.46353825252</v>
      </c>
      <c r="DD63" s="692">
        <f>'Hodnocení '!DD59</f>
        <v>1118856.6959123211</v>
      </c>
      <c r="DE63" s="692">
        <f>'Hodnocení '!DE59</f>
        <v>-0.5</v>
      </c>
      <c r="DF63" s="692">
        <f>'Hodnocení '!DF59</f>
        <v>-0.5</v>
      </c>
      <c r="DG63" s="692">
        <f>'Hodnocení '!DG59</f>
        <v>111416.02661672299</v>
      </c>
      <c r="DH63" s="692">
        <f>'Hodnocení '!DH59</f>
        <v>149561.23966667723</v>
      </c>
      <c r="DI63" s="692">
        <f>'Hodnocení '!DI59</f>
        <v>-0.37999999999999989</v>
      </c>
      <c r="DJ63" s="692">
        <f>'Hodnocení '!DJ59</f>
        <v>0</v>
      </c>
      <c r="DK63" s="692">
        <f>'Hodnocení '!DK59</f>
        <v>1864761.1598538682</v>
      </c>
      <c r="DL63" s="692">
        <f>'Hodnocení '!DL59</f>
        <v>0</v>
      </c>
      <c r="DM63" s="692">
        <f>'Hodnocení '!DM59</f>
        <v>-0.5</v>
      </c>
      <c r="DN63" s="692">
        <f>'Hodnocení '!DN59</f>
        <v>657428.92707650503</v>
      </c>
      <c r="DO63" s="692">
        <f>'Hodnocení '!DO59</f>
        <v>0</v>
      </c>
      <c r="DP63" s="692">
        <f>'Hodnocení '!DP59</f>
        <v>-0.5</v>
      </c>
      <c r="DQ63" s="692">
        <f>'Hodnocení '!DQ59</f>
        <v>-0.45000000000000018</v>
      </c>
      <c r="DR63" s="692">
        <f>'Hodnocení '!DR59</f>
        <v>1078454.5816755388</v>
      </c>
      <c r="DS63" s="692">
        <f>'Hodnocení '!DS59</f>
        <v>-1.5</v>
      </c>
      <c r="DT63" s="692">
        <f>'Hodnocení '!DT59</f>
        <v>-0.15000000000000036</v>
      </c>
      <c r="DU63" s="692">
        <f>'Hodnocení '!DU59</f>
        <v>0</v>
      </c>
      <c r="DV63" s="692">
        <f>'Hodnocení '!DV59</f>
        <v>63760.883397732032</v>
      </c>
      <c r="DW63" s="692">
        <f>'Hodnocení '!DW59</f>
        <v>0</v>
      </c>
      <c r="DX63" s="692">
        <f>'Hodnocení '!DX59</f>
        <v>0</v>
      </c>
      <c r="DY63" s="692">
        <f>'Hodnocení '!DY59</f>
        <v>-0.19999999999999929</v>
      </c>
      <c r="DZ63" s="692">
        <f>'Hodnocení '!DZ59</f>
        <v>-0.42999999999999994</v>
      </c>
      <c r="EA63" s="692">
        <f>'Hodnocení '!EA59</f>
        <v>-4</v>
      </c>
      <c r="EB63" s="692">
        <f>'Hodnocení '!EB59</f>
        <v>-0.5</v>
      </c>
      <c r="EC63" s="692">
        <f>'Hodnocení '!EC59</f>
        <v>-0.25</v>
      </c>
      <c r="ED63" s="692">
        <f>'Hodnocení '!ED59</f>
        <v>-0.5</v>
      </c>
      <c r="EE63" s="692">
        <f>'Hodnocení '!EE59</f>
        <v>111416.02661672299</v>
      </c>
      <c r="EF63" s="692">
        <f>'Hodnocení '!EF59</f>
        <v>185693.37769453845</v>
      </c>
      <c r="EG63" s="692">
        <f>'Hodnocení '!EG59</f>
        <v>-0.4</v>
      </c>
      <c r="EH63" s="692">
        <f>'Hodnocení '!EH59</f>
        <v>159962.36172136589</v>
      </c>
      <c r="EI63" s="692">
        <f>'Hodnocení '!EI59</f>
        <v>-0.25</v>
      </c>
      <c r="EJ63" s="692">
        <f>'Hodnocení '!EJ59</f>
        <v>-0.39999999999999991</v>
      </c>
      <c r="EK63" s="692">
        <f>'Hodnocení '!EK59</f>
        <v>-0.41000000000000014</v>
      </c>
      <c r="EL63" s="692">
        <f>'Hodnocení '!EL59</f>
        <v>272049.9201217427</v>
      </c>
      <c r="EM63" s="692">
        <f>'Hodnocení '!EM59</f>
        <v>-0.5</v>
      </c>
      <c r="EN63" s="692">
        <f>'Hodnocení '!EN59</f>
        <v>-0.5</v>
      </c>
      <c r="EO63" s="701">
        <f>'Hodnocení '!EO59</f>
        <v>0</v>
      </c>
      <c r="EP63" s="692">
        <f>'Hodnocení '!EP59</f>
        <v>909808.32174445631</v>
      </c>
      <c r="EQ63" s="692">
        <f>'Hodnocení '!EQ59</f>
        <v>-0.5</v>
      </c>
      <c r="ER63" s="692">
        <f>'Hodnocení '!ER59</f>
        <v>0</v>
      </c>
      <c r="ES63" s="692">
        <f>'Hodnocení '!ES59</f>
        <v>497885.23245093215</v>
      </c>
      <c r="ET63" s="692">
        <f>'Hodnocení '!ET59</f>
        <v>0</v>
      </c>
      <c r="EU63" s="692">
        <f>'Hodnocení '!EU59</f>
        <v>0</v>
      </c>
      <c r="EV63" s="692">
        <f>'Hodnocení '!EV59</f>
        <v>0</v>
      </c>
      <c r="EW63" s="692">
        <f>'Hodnocení '!EW59</f>
        <v>0</v>
      </c>
      <c r="EX63" s="692">
        <f>'Hodnocení '!EX59</f>
        <v>0</v>
      </c>
      <c r="EY63" s="692">
        <f>'Hodnocení '!EY59</f>
        <v>0</v>
      </c>
      <c r="EZ63" s="692">
        <f>'Hodnocení '!EZ59</f>
        <v>0</v>
      </c>
      <c r="FA63" s="692">
        <f>'Hodnocení '!FA59</f>
        <v>0</v>
      </c>
      <c r="FB63" s="692">
        <f>'Hodnocení '!FB59</f>
        <v>0</v>
      </c>
      <c r="FC63" s="692">
        <f>'Hodnocení '!FC59</f>
        <v>0</v>
      </c>
      <c r="FD63" s="692">
        <f>'Hodnocení '!FD59</f>
        <v>0</v>
      </c>
      <c r="FE63" s="692">
        <f>'Hodnocení '!FE59</f>
        <v>0</v>
      </c>
      <c r="FF63" s="692">
        <f>'Hodnocení '!FF59</f>
        <v>0</v>
      </c>
      <c r="FG63" s="692">
        <f>'Hodnocení '!FG59</f>
        <v>0</v>
      </c>
      <c r="FH63" s="692">
        <f>'Hodnocení '!FH59</f>
        <v>0</v>
      </c>
      <c r="FI63" s="692">
        <f>'Hodnocení '!FI59</f>
        <v>0</v>
      </c>
      <c r="FJ63" s="692">
        <f>'Hodnocení '!FJ59</f>
        <v>0</v>
      </c>
      <c r="FK63" s="692">
        <f>'Hodnocení '!FK59</f>
        <v>0</v>
      </c>
      <c r="FL63" s="692">
        <f>'Hodnocení '!FL59</f>
        <v>0</v>
      </c>
      <c r="FM63" s="692">
        <f>'Hodnocení '!FM59</f>
        <v>0</v>
      </c>
      <c r="FN63" s="692">
        <f>'Hodnocení '!FN59</f>
        <v>0</v>
      </c>
      <c r="FO63" s="692">
        <f>'Hodnocení '!FO59</f>
        <v>0</v>
      </c>
      <c r="FP63" s="692">
        <f>'Hodnocení '!FP59</f>
        <v>0</v>
      </c>
      <c r="FQ63" s="692">
        <f>'Hodnocení '!FQ59</f>
        <v>0</v>
      </c>
      <c r="FR63" s="692">
        <f>'Hodnocení '!FR59</f>
        <v>0</v>
      </c>
      <c r="FS63" s="692">
        <f>'Hodnocení '!FS59</f>
        <v>0</v>
      </c>
      <c r="FT63" s="692">
        <f>'Hodnocení '!FT59</f>
        <v>0</v>
      </c>
      <c r="FU63" s="692">
        <f>'Hodnocení '!FU59</f>
        <v>0</v>
      </c>
      <c r="FV63" s="692">
        <f>'Hodnocení '!FV59</f>
        <v>0</v>
      </c>
      <c r="FW63" s="692">
        <f>'Hodnocení '!FW59</f>
        <v>0</v>
      </c>
      <c r="FX63" s="692">
        <f>'Hodnocení '!FX59</f>
        <v>0</v>
      </c>
      <c r="FY63" s="692">
        <f>'Hodnocení '!FY59</f>
        <v>0</v>
      </c>
      <c r="FZ63" s="692">
        <f>'Hodnocení '!FZ59</f>
        <v>0</v>
      </c>
      <c r="GA63" s="692">
        <f>'Hodnocení '!GA59</f>
        <v>0</v>
      </c>
      <c r="GB63" s="692">
        <f>'Hodnocení '!GB59</f>
        <v>0</v>
      </c>
      <c r="GC63" s="692">
        <f>'Hodnocení '!GC59</f>
        <v>0</v>
      </c>
      <c r="GD63" s="692">
        <f>'Hodnocení '!GD59</f>
        <v>0</v>
      </c>
      <c r="GE63" s="692">
        <f>'Hodnocení '!GE59</f>
        <v>0</v>
      </c>
      <c r="GF63" s="692">
        <f>'Hodnocení '!GF59</f>
        <v>0</v>
      </c>
      <c r="GG63" s="692">
        <f>'Hodnocení '!GG59</f>
        <v>0</v>
      </c>
      <c r="GH63" s="692">
        <f>'Hodnocení '!GH59</f>
        <v>0</v>
      </c>
      <c r="GI63" s="692">
        <f>'Hodnocení '!GI59</f>
        <v>0</v>
      </c>
      <c r="GJ63" s="692">
        <f>'Hodnocení '!GJ59</f>
        <v>0</v>
      </c>
      <c r="GK63" s="692">
        <f>'Hodnocení '!GK59</f>
        <v>0</v>
      </c>
      <c r="GL63" s="692">
        <f>'Hodnocení '!GL59</f>
        <v>0</v>
      </c>
      <c r="GM63" s="692">
        <f>'Hodnocení '!GM59</f>
        <v>0</v>
      </c>
      <c r="GN63" s="692">
        <f>'Hodnocení '!GN59</f>
        <v>0</v>
      </c>
      <c r="GO63" s="692">
        <f>'Hodnocení '!GO59</f>
        <v>0</v>
      </c>
      <c r="GP63" s="692">
        <f>'Hodnocení '!GP59</f>
        <v>0</v>
      </c>
      <c r="GQ63" s="692">
        <f>'Hodnocení '!GQ59</f>
        <v>0</v>
      </c>
      <c r="GR63" s="692">
        <f>'Hodnocení '!GR59</f>
        <v>0</v>
      </c>
      <c r="GS63" s="692">
        <f>'Hodnocení '!GS59</f>
        <v>0</v>
      </c>
      <c r="GT63" s="692">
        <f>'Hodnocení '!GT59</f>
        <v>0</v>
      </c>
      <c r="GU63" s="692">
        <f>'Hodnocení '!GU59</f>
        <v>0</v>
      </c>
      <c r="GV63" s="692">
        <f>'Hodnocení '!GV59</f>
        <v>0</v>
      </c>
      <c r="GW63" s="692">
        <f>'Hodnocení '!GW59</f>
        <v>0</v>
      </c>
      <c r="GX63" s="692">
        <f>'Hodnocení '!GX59</f>
        <v>0</v>
      </c>
      <c r="GY63" s="692">
        <f>'Hodnocení '!GY59</f>
        <v>0</v>
      </c>
      <c r="GZ63" s="692">
        <f>'Hodnocení '!GZ59</f>
        <v>0</v>
      </c>
      <c r="HA63" s="692">
        <f>'Hodnocení '!HA59</f>
        <v>0</v>
      </c>
      <c r="HB63" s="692">
        <f>'Hodnocení '!HB59</f>
        <v>0</v>
      </c>
      <c r="HC63" s="692">
        <f>'Hodnocení '!HC59</f>
        <v>0</v>
      </c>
      <c r="HD63" s="692">
        <f>'Hodnocení '!HD59</f>
        <v>0</v>
      </c>
      <c r="HE63" s="692">
        <f>'Hodnocení '!HE59</f>
        <v>0</v>
      </c>
      <c r="HF63" s="692">
        <f>'Hodnocení '!HF59</f>
        <v>0</v>
      </c>
      <c r="HG63" s="692">
        <f>'Hodnocení '!HG59</f>
        <v>0</v>
      </c>
      <c r="HH63" s="692">
        <f>'Hodnocení '!HH59</f>
        <v>0</v>
      </c>
      <c r="HI63" s="692">
        <f>'Hodnocení '!HI59</f>
        <v>0</v>
      </c>
      <c r="HJ63" s="692">
        <f>'Hodnocení '!HJ59</f>
        <v>0</v>
      </c>
      <c r="HK63" s="692">
        <f>'Hodnocení '!HK59</f>
        <v>0</v>
      </c>
      <c r="HL63" s="692">
        <f>'Hodnocení '!HL59</f>
        <v>0</v>
      </c>
      <c r="HM63" s="692">
        <f>'Hodnocení '!HM59</f>
        <v>0</v>
      </c>
      <c r="HN63" s="692">
        <f>'Hodnocení '!HN59</f>
        <v>0</v>
      </c>
      <c r="HO63" s="692">
        <f>'Hodnocení '!HO59</f>
        <v>0</v>
      </c>
      <c r="HP63" s="692">
        <f>'Hodnocení '!HP59</f>
        <v>0</v>
      </c>
      <c r="HQ63" s="692">
        <f>'Hodnocení '!HQ59</f>
        <v>0</v>
      </c>
      <c r="HR63" s="692">
        <f>'Hodnocení '!HR59</f>
        <v>0</v>
      </c>
      <c r="HS63" s="692">
        <f>'Hodnocení '!HS59</f>
        <v>0</v>
      </c>
      <c r="HT63" s="692">
        <f>'Hodnocení '!HT59</f>
        <v>0</v>
      </c>
      <c r="HU63" s="692">
        <f>'Hodnocení '!HU59</f>
        <v>0</v>
      </c>
      <c r="HV63" s="692">
        <f>'Hodnocení '!HV59</f>
        <v>0</v>
      </c>
      <c r="HW63" s="692">
        <f>'Hodnocení '!HW59</f>
        <v>0</v>
      </c>
      <c r="HX63" s="692">
        <f>'Hodnocení '!HX59</f>
        <v>0</v>
      </c>
      <c r="HY63" s="692">
        <f>'Hodnocení '!HY59</f>
        <v>0</v>
      </c>
      <c r="HZ63" s="692">
        <f>'Hodnocení '!HZ59</f>
        <v>0</v>
      </c>
      <c r="IA63" s="692">
        <f>'Hodnocení '!IA59</f>
        <v>0</v>
      </c>
      <c r="IB63" s="692">
        <f>'Hodnocení '!IB59</f>
        <v>0</v>
      </c>
      <c r="IC63" s="692">
        <f>'Hodnocení '!IC59</f>
        <v>0</v>
      </c>
      <c r="ID63" s="692">
        <f>'Hodnocení '!ID59</f>
        <v>0</v>
      </c>
      <c r="IE63" s="692">
        <f>'Hodnocení '!IE59</f>
        <v>0</v>
      </c>
      <c r="IF63" s="692">
        <f>'Hodnocení '!IF59</f>
        <v>0</v>
      </c>
      <c r="IG63" s="692">
        <f>'Hodnocení '!IG59</f>
        <v>0</v>
      </c>
      <c r="IH63" s="692">
        <f>'Hodnocení '!IH59</f>
        <v>0</v>
      </c>
      <c r="II63" s="692">
        <f>'Hodnocení '!II59</f>
        <v>0</v>
      </c>
      <c r="IJ63" s="692">
        <f>'Hodnocení '!IJ59</f>
        <v>0</v>
      </c>
      <c r="IK63" s="692">
        <f>'Hodnocení '!IK59</f>
        <v>0</v>
      </c>
      <c r="IL63" s="692">
        <f>'Hodnocení '!IL59</f>
        <v>0</v>
      </c>
      <c r="IM63" s="692">
        <f>'Hodnocení '!IM59</f>
        <v>0</v>
      </c>
      <c r="IN63" s="692">
        <f>'Hodnocení '!IN59</f>
        <v>0</v>
      </c>
      <c r="IO63" s="692">
        <f>'Hodnocení '!IO59</f>
        <v>0</v>
      </c>
      <c r="IP63" s="692">
        <f>'Hodnocení '!IP59</f>
        <v>0</v>
      </c>
      <c r="IQ63" s="692">
        <f>'Hodnocení '!IQ59</f>
        <v>0</v>
      </c>
      <c r="IR63" s="692">
        <f>'Hodnocení '!IR59</f>
        <v>0</v>
      </c>
      <c r="IS63" s="692">
        <f>'Hodnocení '!IS59</f>
        <v>0</v>
      </c>
      <c r="IT63" s="692">
        <f>'Hodnocení '!IT59</f>
        <v>0</v>
      </c>
      <c r="IU63" s="692">
        <f>'Hodnocení '!IU59</f>
        <v>0</v>
      </c>
      <c r="IV63" s="692">
        <f>'Hodnocení '!IV59</f>
        <v>0</v>
      </c>
      <c r="IW63" s="692">
        <f>'Hodnocení '!IW59</f>
        <v>0</v>
      </c>
      <c r="IX63" s="692">
        <f>'Hodnocení '!IX59</f>
        <v>0</v>
      </c>
      <c r="IY63" s="692">
        <f>'Hodnocení '!IY59</f>
        <v>0</v>
      </c>
      <c r="IZ63" s="692">
        <f>'Hodnocení '!IZ59</f>
        <v>0</v>
      </c>
      <c r="JA63" s="692">
        <f>'Hodnocení '!JA59</f>
        <v>0</v>
      </c>
      <c r="JB63" s="692">
        <f>'Hodnocení '!JB59</f>
        <v>0</v>
      </c>
      <c r="JC63" s="692">
        <f>'Hodnocení '!JC59</f>
        <v>0</v>
      </c>
      <c r="JD63" s="692">
        <f>'Hodnocení '!JD59</f>
        <v>0</v>
      </c>
      <c r="JE63" s="692">
        <f>'Hodnocení '!JE59</f>
        <v>0</v>
      </c>
      <c r="JF63" s="692">
        <f>'Hodnocení '!JF59</f>
        <v>0</v>
      </c>
      <c r="JG63" s="692">
        <f>'Hodnocení '!JG59</f>
        <v>0</v>
      </c>
      <c r="JH63" s="786">
        <f>'Hodnocení '!JH59</f>
        <v>0</v>
      </c>
      <c r="JI63" s="763">
        <f>'Hodnocení '!JI59</f>
        <v>0</v>
      </c>
    </row>
    <row r="64" spans="1:277" hidden="1" x14ac:dyDescent="0.25">
      <c r="B64" s="743" t="str">
        <f>B$20</f>
        <v>Průměrná mzda PPPs 2018</v>
      </c>
      <c r="C64" s="779">
        <f>'Hodnocení '!C60</f>
        <v>27906.925195451313</v>
      </c>
      <c r="D64" s="479">
        <f>'Hodnocení '!D60</f>
        <v>31567.842605156038</v>
      </c>
      <c r="E64" s="479">
        <f>'Hodnocení '!E60</f>
        <v>26075.209970233398</v>
      </c>
      <c r="F64" s="479">
        <f>'Hodnocení '!F60</f>
        <v>25629.34788991166</v>
      </c>
      <c r="G64" s="479">
        <f>'Hodnocení '!G60</f>
        <v>23789.218602318862</v>
      </c>
      <c r="H64" s="479">
        <f>'Hodnocení '!H60</f>
        <v>0</v>
      </c>
      <c r="I64" s="479">
        <f>'Hodnocení '!I60</f>
        <v>25486.300250571956</v>
      </c>
      <c r="J64" s="479">
        <f>'Hodnocení '!J60</f>
        <v>44280.144646489964</v>
      </c>
      <c r="K64" s="479">
        <f>'Hodnocení '!K60</f>
        <v>19608.000824093891</v>
      </c>
      <c r="L64" s="479">
        <f>'Hodnocení '!L60</f>
        <v>0</v>
      </c>
      <c r="M64" s="479">
        <f>'Hodnocení '!M60</f>
        <v>29842.545401397041</v>
      </c>
      <c r="N64" s="479">
        <f>'Hodnocení '!N60</f>
        <v>27568.029389123036</v>
      </c>
      <c r="O64" s="479">
        <f>'Hodnocení '!O60</f>
        <v>27969.203980099497</v>
      </c>
      <c r="P64" s="479">
        <f>'Hodnocení '!P60</f>
        <v>23093.43087195601</v>
      </c>
      <c r="Q64" s="479">
        <f>'Hodnocení '!Q60</f>
        <v>29157.480803836785</v>
      </c>
      <c r="R64" s="479">
        <f>'Hodnocení '!R60</f>
        <v>50765.428808339253</v>
      </c>
      <c r="S64" s="479">
        <f>'Hodnocení '!S60</f>
        <v>44227.404643449416</v>
      </c>
      <c r="T64" s="479">
        <f>'Hodnocení '!T60</f>
        <v>0</v>
      </c>
      <c r="U64" s="479">
        <f>'Hodnocení '!U60</f>
        <v>35104.651899736986</v>
      </c>
      <c r="V64" s="479">
        <f>'Hodnocení '!V60</f>
        <v>25636.67627540019</v>
      </c>
      <c r="W64" s="479">
        <f>'Hodnocení '!W60</f>
        <v>29395.08141112619</v>
      </c>
      <c r="X64" s="479">
        <f>'Hodnocení '!X60</f>
        <v>20995.472803486755</v>
      </c>
      <c r="Y64" s="479">
        <f>'Hodnocení '!Y60</f>
        <v>64176.375483929689</v>
      </c>
      <c r="Z64" s="479">
        <f>'Hodnocení '!Z60</f>
        <v>44034.719558835866</v>
      </c>
      <c r="AA64" s="479">
        <f>'Hodnocení '!AA60</f>
        <v>22764.303482587064</v>
      </c>
      <c r="AB64" s="479">
        <f>'Hodnocení '!AB60</f>
        <v>21989.633735268766</v>
      </c>
      <c r="AC64" s="479">
        <f>'Hodnocení '!AC60</f>
        <v>26288.401741293532</v>
      </c>
      <c r="AD64" s="479">
        <f>'Hodnocení '!AD60</f>
        <v>30967.101990049749</v>
      </c>
      <c r="AE64" s="479">
        <f>'Hodnocení '!AE60</f>
        <v>31999.032614704251</v>
      </c>
      <c r="AF64" s="479">
        <f>'Hodnocení '!AF60</f>
        <v>28858.986318407955</v>
      </c>
      <c r="AG64" s="479">
        <f>'Hodnocení '!AG60</f>
        <v>23014.557232462786</v>
      </c>
      <c r="AH64" s="479">
        <f>'Hodnocení '!AH60</f>
        <v>34322.587512886013</v>
      </c>
      <c r="AI64" s="479">
        <f>'Hodnocení '!AI60</f>
        <v>25320.997670087731</v>
      </c>
      <c r="AJ64" s="479">
        <f>'Hodnocení '!AJ60</f>
        <v>26082.362734132956</v>
      </c>
      <c r="AK64" s="479">
        <f>'Hodnocení '!AK60</f>
        <v>27188.965884861402</v>
      </c>
      <c r="AL64" s="479">
        <f>'Hodnocení '!AL60</f>
        <v>32079.177973767521</v>
      </c>
      <c r="AM64" s="479">
        <f>'Hodnocení '!AM60</f>
        <v>53062.810945273632</v>
      </c>
      <c r="AN64" s="479">
        <f>'Hodnocení '!AN60</f>
        <v>24825.186567164179</v>
      </c>
      <c r="AO64" s="479">
        <f>'Hodnocení '!AO60</f>
        <v>21433.554591972188</v>
      </c>
      <c r="AP64" s="479">
        <f>'Hodnocení '!AP60</f>
        <v>30004.99107028958</v>
      </c>
      <c r="AQ64" s="479">
        <f>'Hodnocení '!AQ60</f>
        <v>20546.641791044774</v>
      </c>
      <c r="AR64" s="479">
        <f>'Hodnocení '!AR60</f>
        <v>25719.146235905111</v>
      </c>
      <c r="AS64" s="479">
        <f>'Hodnocení '!AS60</f>
        <v>25812.189054726368</v>
      </c>
      <c r="AT64" s="479">
        <f>'Hodnocení '!AT60</f>
        <v>18793.874436251099</v>
      </c>
      <c r="AU64" s="479">
        <f>'Hodnocení '!AU60</f>
        <v>20983.234162848632</v>
      </c>
      <c r="AV64" s="479">
        <f>'Hodnocení '!AV60</f>
        <v>27688.672024492917</v>
      </c>
      <c r="AW64" s="479">
        <f>'Hodnocení '!AW60</f>
        <v>18645.794835347071</v>
      </c>
      <c r="AX64" s="479">
        <f>'Hodnocení '!AX60</f>
        <v>23938.425093863876</v>
      </c>
      <c r="AY64" s="479">
        <f>'Hodnocení '!AY60</f>
        <v>25402.073660922943</v>
      </c>
      <c r="AZ64" s="479">
        <f>'Hodnocení '!AZ60</f>
        <v>32982.761497391082</v>
      </c>
      <c r="BA64" s="479">
        <f>'Hodnocení '!BA60</f>
        <v>0</v>
      </c>
      <c r="BB64" s="479">
        <f>'Hodnocení '!BB60</f>
        <v>20309.172885572138</v>
      </c>
      <c r="BC64" s="479">
        <f>'Hodnocení '!BC60</f>
        <v>28084.071828358206</v>
      </c>
      <c r="BD64" s="479">
        <f>'Hodnocení '!BD60</f>
        <v>28073.7091242815</v>
      </c>
      <c r="BE64" s="479">
        <f>'Hodnocení '!BE60</f>
        <v>41440.889094508253</v>
      </c>
      <c r="BF64" s="479">
        <f>'Hodnocení '!BF60</f>
        <v>0</v>
      </c>
      <c r="BG64" s="479">
        <f>'Hodnocení '!BG60</f>
        <v>0</v>
      </c>
      <c r="BH64" s="479">
        <f>'Hodnocení '!BH60</f>
        <v>0</v>
      </c>
      <c r="BI64" s="479">
        <f>'Hodnocení '!BI60</f>
        <v>65036.485249298297</v>
      </c>
      <c r="BJ64" s="479">
        <f>'Hodnocení '!BJ60</f>
        <v>23216.791044776117</v>
      </c>
      <c r="BK64" s="479">
        <f>'Hodnocení '!BK60</f>
        <v>20328.358592128698</v>
      </c>
      <c r="BL64" s="479">
        <f>'Hodnocení '!BL60</f>
        <v>0</v>
      </c>
      <c r="BM64" s="479">
        <f>'Hodnocení '!BM60</f>
        <v>23100.859069806102</v>
      </c>
      <c r="BN64" s="479">
        <f>'Hodnocení '!BN60</f>
        <v>28660.676147446949</v>
      </c>
      <c r="BO64" s="479">
        <f>'Hodnocení '!BO60</f>
        <v>30825.354360274101</v>
      </c>
      <c r="BP64" s="479">
        <f>'Hodnocení '!BP60</f>
        <v>26595.461830032134</v>
      </c>
      <c r="BQ64" s="479">
        <f>'Hodnocení '!BQ60</f>
        <v>28930.718785623183</v>
      </c>
      <c r="BR64" s="479">
        <f>'Hodnocení '!BR60</f>
        <v>23320.087064676616</v>
      </c>
      <c r="BS64" s="479">
        <f>'Hodnocení '!BS60</f>
        <v>30015.525210825301</v>
      </c>
      <c r="BT64" s="479">
        <f>'Hodnocení '!BT60</f>
        <v>38191.417910447759</v>
      </c>
      <c r="BU64" s="479">
        <f>'Hodnocení '!BU60</f>
        <v>26117.264288314524</v>
      </c>
      <c r="BV64" s="479">
        <f>'Hodnocení '!BV60</f>
        <v>16749.309010503039</v>
      </c>
      <c r="BW64" s="479">
        <f>'Hodnocení '!BW60</f>
        <v>32543.90915832161</v>
      </c>
      <c r="BX64" s="479">
        <f>'Hodnocení '!BX60</f>
        <v>20159.858080117341</v>
      </c>
      <c r="BY64" s="479">
        <f>'Hodnocení '!BY60</f>
        <v>27024.792703150913</v>
      </c>
      <c r="BZ64" s="479">
        <f>'Hodnocení '!BZ60</f>
        <v>54228.426033531519</v>
      </c>
      <c r="CA64" s="479">
        <f>'Hodnocení '!CA60</f>
        <v>0</v>
      </c>
      <c r="CB64" s="479">
        <f>'Hodnocení '!CB60</f>
        <v>23848.557045851823</v>
      </c>
      <c r="CC64" s="479">
        <f>'Hodnocení '!CC60</f>
        <v>28192.319434903584</v>
      </c>
      <c r="CD64" s="479">
        <f>'Hodnocení '!CD60</f>
        <v>29540.826089333546</v>
      </c>
      <c r="CE64" s="479">
        <f>'Hodnocení '!CE60</f>
        <v>24635.439974627523</v>
      </c>
      <c r="CF64" s="479">
        <f>'Hodnocení '!CF60</f>
        <v>28886.46390688069</v>
      </c>
      <c r="CG64" s="479">
        <f>'Hodnocení '!CG60</f>
        <v>29081.203674106127</v>
      </c>
      <c r="CH64" s="479">
        <f>'Hodnocení '!CH60</f>
        <v>32459.432006633499</v>
      </c>
      <c r="CI64" s="479">
        <f>'Hodnocení '!CI60</f>
        <v>34707.564249757132</v>
      </c>
      <c r="CJ64" s="479">
        <f>'Hodnocení '!CJ60</f>
        <v>28005.860642439973</v>
      </c>
      <c r="CK64" s="479">
        <f>'Hodnocení '!CK60</f>
        <v>25967.970954140677</v>
      </c>
      <c r="CL64" s="479">
        <f>'Hodnocení '!CL60</f>
        <v>31434.269734131882</v>
      </c>
      <c r="CM64" s="479">
        <f>'Hodnocení '!CM60</f>
        <v>25320.83629471689</v>
      </c>
      <c r="CN64" s="479">
        <f>'Hodnocení '!CN60</f>
        <v>22942.077496602829</v>
      </c>
      <c r="CO64" s="479">
        <f>'Hodnocení '!CO60</f>
        <v>26444.806742631699</v>
      </c>
      <c r="CP64" s="479">
        <f>'Hodnocení '!CP60</f>
        <v>23845.451747821342</v>
      </c>
      <c r="CQ64" s="479">
        <f>'Hodnocení '!CQ60</f>
        <v>24986.198140174813</v>
      </c>
      <c r="CR64" s="479">
        <f>'Hodnocení '!CR60</f>
        <v>20340.950163711354</v>
      </c>
      <c r="CS64" s="479">
        <f>'Hodnocení '!CS60</f>
        <v>0</v>
      </c>
      <c r="CT64" s="479">
        <f>'Hodnocení '!CT60</f>
        <v>28886.858269938562</v>
      </c>
      <c r="CU64" s="479">
        <f>'Hodnocení '!CU60</f>
        <v>24012.730465320456</v>
      </c>
      <c r="CV64" s="479">
        <f>'Hodnocení '!CV60</f>
        <v>22330.76720490076</v>
      </c>
      <c r="CW64" s="479">
        <f>'Hodnocení '!CW60</f>
        <v>0</v>
      </c>
      <c r="CX64" s="479">
        <f>'Hodnocení '!CX60</f>
        <v>28743.342134527149</v>
      </c>
      <c r="CY64" s="479">
        <f>'Hodnocení '!CY60</f>
        <v>25641.056744884161</v>
      </c>
      <c r="CZ64" s="479">
        <f>'Hodnocení '!CZ60</f>
        <v>29941.499609794166</v>
      </c>
      <c r="DA64" s="479">
        <f>'Hodnocení '!DA60</f>
        <v>0</v>
      </c>
      <c r="DB64" s="479">
        <f>'Hodnocení '!DB60</f>
        <v>29117.752583237656</v>
      </c>
      <c r="DC64" s="479">
        <f>'Hodnocení '!DC60</f>
        <v>34785.195643404593</v>
      </c>
      <c r="DD64" s="479">
        <f>'Hodnocení '!DD60</f>
        <v>0</v>
      </c>
      <c r="DE64" s="479">
        <f>'Hodnocení '!DE60</f>
        <v>0</v>
      </c>
      <c r="DF64" s="479">
        <f>'Hodnocení '!DF60</f>
        <v>0</v>
      </c>
      <c r="DG64" s="479">
        <f>'Hodnocení '!DG60</f>
        <v>0</v>
      </c>
      <c r="DH64" s="479">
        <f>'Hodnocení '!DH60</f>
        <v>27024.651180189278</v>
      </c>
      <c r="DI64" s="479">
        <f>'Hodnocení '!DI60</f>
        <v>27461.040949100647</v>
      </c>
      <c r="DJ64" s="479">
        <f>'Hodnocení '!DJ60</f>
        <v>32641.492537313428</v>
      </c>
      <c r="DK64" s="479">
        <f>'Hodnocení '!DK60</f>
        <v>27727.651255218163</v>
      </c>
      <c r="DL64" s="479">
        <f>'Hodnocení '!DL60</f>
        <v>22211.075870646764</v>
      </c>
      <c r="DM64" s="479">
        <f>'Hodnocení '!DM60</f>
        <v>20434.341429382057</v>
      </c>
      <c r="DN64" s="479">
        <f>'Hodnocení '!DN60</f>
        <v>20500.768217734858</v>
      </c>
      <c r="DO64" s="479">
        <f>'Hodnocení '!DO60</f>
        <v>0</v>
      </c>
      <c r="DP64" s="479">
        <f>'Hodnocení '!DP60</f>
        <v>28554.763145134504</v>
      </c>
      <c r="DQ64" s="479">
        <f>'Hodnocení '!DQ60</f>
        <v>30799.936383506025</v>
      </c>
      <c r="DR64" s="479">
        <f>'Hodnocení '!DR60</f>
        <v>31895.230265139191</v>
      </c>
      <c r="DS64" s="479">
        <f>'Hodnocení '!DS60</f>
        <v>0</v>
      </c>
      <c r="DT64" s="479">
        <f>'Hodnocení '!DT60</f>
        <v>27686.796938999782</v>
      </c>
      <c r="DU64" s="479">
        <f>'Hodnocení '!DU60</f>
        <v>25186.776329572367</v>
      </c>
      <c r="DV64" s="479">
        <f>'Hodnocení '!DV60</f>
        <v>24117.805438176732</v>
      </c>
      <c r="DW64" s="479">
        <f>'Hodnocení '!DW60</f>
        <v>0</v>
      </c>
      <c r="DX64" s="479">
        <f>'Hodnocení '!DX60</f>
        <v>31214.311127577239</v>
      </c>
      <c r="DY64" s="479">
        <f>'Hodnocení '!DY60</f>
        <v>0</v>
      </c>
      <c r="DZ64" s="479">
        <f>'Hodnocení '!DZ60</f>
        <v>0</v>
      </c>
      <c r="EA64" s="479">
        <f>'Hodnocení '!EA60</f>
        <v>21145.068441216372</v>
      </c>
      <c r="EB64" s="479">
        <f>'Hodnocení '!EB60</f>
        <v>17807.654037504784</v>
      </c>
      <c r="EC64" s="479">
        <f>'Hodnocení '!EC60</f>
        <v>25582.205638474294</v>
      </c>
      <c r="ED64" s="479">
        <f>'Hodnocení '!ED60</f>
        <v>22766.535967264608</v>
      </c>
      <c r="EE64" s="479">
        <f>'Hodnocení '!EE60</f>
        <v>26386.8699978369</v>
      </c>
      <c r="EF64" s="479">
        <f>'Hodnocení '!EF60</f>
        <v>28841.691542288558</v>
      </c>
      <c r="EG64" s="479">
        <f>'Hodnocení '!EG60</f>
        <v>29118.1592039801</v>
      </c>
      <c r="EH64" s="479">
        <f>'Hodnocení '!EH60</f>
        <v>22598.555576029317</v>
      </c>
      <c r="EI64" s="479">
        <f>'Hodnocení '!EI60</f>
        <v>16570.762260127933</v>
      </c>
      <c r="EJ64" s="479">
        <f>'Hodnocení '!EJ60</f>
        <v>31456.351057213928</v>
      </c>
      <c r="EK64" s="479">
        <f>'Hodnocení '!EK60</f>
        <v>0</v>
      </c>
      <c r="EL64" s="479">
        <f>'Hodnocení '!EL60</f>
        <v>0</v>
      </c>
      <c r="EM64" s="479">
        <f>'Hodnocení '!EM60</f>
        <v>0</v>
      </c>
      <c r="EN64" s="479">
        <f>'Hodnocení '!EN60</f>
        <v>22501.492537313432</v>
      </c>
      <c r="EO64" s="479">
        <f>'Hodnocení '!EO60</f>
        <v>16432.421227197348</v>
      </c>
      <c r="EP64" s="479">
        <f>'Hodnocení '!EP60</f>
        <v>22573.112697382654</v>
      </c>
      <c r="EQ64" s="479">
        <f>'Hodnocení '!EQ60</f>
        <v>16407.569296375263</v>
      </c>
      <c r="ER64" s="479">
        <f>'Hodnocení '!ER60</f>
        <v>19239.322436814586</v>
      </c>
      <c r="ES64" s="479">
        <f>'Hodnocení '!ES60</f>
        <v>11037.560333636709</v>
      </c>
      <c r="ET64" s="479">
        <f>'Hodnocení '!ET60</f>
        <v>0</v>
      </c>
      <c r="EU64" s="479">
        <f>'Hodnocení '!EU60</f>
        <v>0</v>
      </c>
      <c r="EV64" s="479">
        <f>'Hodnocení '!EV60</f>
        <v>35477.587829568729</v>
      </c>
      <c r="EW64" s="479">
        <f>'Hodnocení '!EW60</f>
        <v>21720.409258743966</v>
      </c>
      <c r="EX64" s="479">
        <f>'Hodnocení '!EX60</f>
        <v>24952.024509160776</v>
      </c>
      <c r="EY64" s="479">
        <f>'Hodnocení '!EY60</f>
        <v>25079.410639112131</v>
      </c>
      <c r="EZ64" s="479">
        <f>'Hodnocení '!EZ60</f>
        <v>21595.909342178002</v>
      </c>
      <c r="FA64" s="479">
        <f>'Hodnocení '!FA60</f>
        <v>41786.871563236447</v>
      </c>
      <c r="FB64" s="479">
        <f>'Hodnocení '!FB60</f>
        <v>20183.630458817028</v>
      </c>
      <c r="FC64" s="479">
        <f>'Hodnocení '!FC60</f>
        <v>28938.592368042133</v>
      </c>
      <c r="FD64" s="479">
        <f>'Hodnocení '!FD60</f>
        <v>36904.958381171062</v>
      </c>
      <c r="FE64" s="479">
        <f>'Hodnocení '!FE60</f>
        <v>27180.702563526178</v>
      </c>
      <c r="FF64" s="479">
        <f>'Hodnocení '!FF60</f>
        <v>30876.362236436857</v>
      </c>
      <c r="FG64" s="479">
        <f>'Hodnocení '!FG60</f>
        <v>26909.695273631842</v>
      </c>
      <c r="FH64" s="479">
        <f>'Hodnocení '!FH60</f>
        <v>26410.450552347873</v>
      </c>
      <c r="FI64" s="479">
        <f>'Hodnocení '!FI60</f>
        <v>24524.168008628025</v>
      </c>
      <c r="FJ64" s="479">
        <f>'Hodnocení '!FJ60</f>
        <v>22173.73070544712</v>
      </c>
      <c r="FK64" s="479">
        <f>'Hodnocení '!FK60</f>
        <v>20694.776119402984</v>
      </c>
      <c r="FL64" s="479">
        <f>'Hodnocení '!FL60</f>
        <v>20694.776119402984</v>
      </c>
      <c r="FM64" s="479">
        <f>'Hodnocení '!FM60</f>
        <v>23034.600703379649</v>
      </c>
      <c r="FN64" s="479">
        <f>'Hodnocení '!FN60</f>
        <v>21928.004978979945</v>
      </c>
      <c r="FO64" s="479">
        <f>'Hodnocení '!FO60</f>
        <v>25450.934304000508</v>
      </c>
      <c r="FP64" s="479">
        <f>'Hodnocení '!FP60</f>
        <v>26349.277844886219</v>
      </c>
      <c r="FQ64" s="479">
        <f>'Hodnocení '!FQ60</f>
        <v>28560.30453791648</v>
      </c>
      <c r="FR64" s="479">
        <f>'Hodnocení '!FR60</f>
        <v>0</v>
      </c>
      <c r="FS64" s="479">
        <f>'Hodnocení '!FS60</f>
        <v>41533.941951409062</v>
      </c>
      <c r="FT64" s="479">
        <f>'Hodnocení '!FT60</f>
        <v>34326.236871199559</v>
      </c>
      <c r="FU64" s="479">
        <f>'Hodnocení '!FU60</f>
        <v>26249.067164179101</v>
      </c>
      <c r="FV64" s="479">
        <f>'Hodnocení '!FV60</f>
        <v>16391.532901530081</v>
      </c>
      <c r="FW64" s="479">
        <f>'Hodnocení '!FW60</f>
        <v>28738.368965980906</v>
      </c>
      <c r="FX64" s="479">
        <f>'Hodnocení '!FX60</f>
        <v>23135.043532338306</v>
      </c>
      <c r="FY64" s="479">
        <f>'Hodnocení '!FY60</f>
        <v>19186.722636815917</v>
      </c>
      <c r="FZ64" s="479">
        <f>'Hodnocení '!FZ60</f>
        <v>25399.51181672742</v>
      </c>
      <c r="GA64" s="479">
        <f>'Hodnocení '!GA60</f>
        <v>27874.430550410136</v>
      </c>
      <c r="GB64" s="479">
        <f>'Hodnocení '!GB60</f>
        <v>29157.19111542877</v>
      </c>
      <c r="GC64" s="479">
        <f>'Hodnocení '!GC60</f>
        <v>21116.3877581788</v>
      </c>
      <c r="GD64" s="479">
        <f>'Hodnocení '!GD60</f>
        <v>23638.633261038703</v>
      </c>
      <c r="GE64" s="479">
        <f>'Hodnocení '!GE60</f>
        <v>26284.055538888468</v>
      </c>
      <c r="GF64" s="479">
        <f>'Hodnocení '!GF60</f>
        <v>15534.52129841735</v>
      </c>
      <c r="GG64" s="479">
        <f>'Hodnocení '!GG60</f>
        <v>29361.431718419717</v>
      </c>
      <c r="GH64" s="479">
        <f>'Hodnocení '!GH60</f>
        <v>31756.787296325554</v>
      </c>
      <c r="GI64" s="479">
        <f>'Hodnocení '!GI60</f>
        <v>27742.00392569726</v>
      </c>
      <c r="GJ64" s="479">
        <f>'Hodnocení '!GJ60</f>
        <v>22942.332870062641</v>
      </c>
      <c r="GK64" s="479">
        <f>'Hodnocení '!GK60</f>
        <v>26301.700002014222</v>
      </c>
      <c r="GL64" s="479">
        <f>'Hodnocení '!GL60</f>
        <v>37642.876526458618</v>
      </c>
      <c r="GM64" s="479">
        <f>'Hodnocení '!GM60</f>
        <v>24307.881644409532</v>
      </c>
      <c r="GN64" s="479">
        <f>'Hodnocení '!GN60</f>
        <v>26598.19947879649</v>
      </c>
      <c r="GO64" s="479">
        <f>'Hodnocení '!GO60</f>
        <v>24518.807279392506</v>
      </c>
      <c r="GP64" s="479">
        <f>'Hodnocení '!GP60</f>
        <v>21594.3407960199</v>
      </c>
      <c r="GQ64" s="479">
        <f>'Hodnocení '!GQ60</f>
        <v>21674.856486796783</v>
      </c>
      <c r="GR64" s="479">
        <f>'Hodnocení '!GR60</f>
        <v>28467.460491659349</v>
      </c>
      <c r="GS64" s="479">
        <f>'Hodnocení '!GS60</f>
        <v>32998.445273631834</v>
      </c>
      <c r="GT64" s="479">
        <f>'Hodnocení '!GT60</f>
        <v>25405.910446398888</v>
      </c>
      <c r="GU64" s="479">
        <f>'Hodnocení '!GU60</f>
        <v>23920.321205134998</v>
      </c>
      <c r="GV64" s="479">
        <f>'Hodnocení '!GV60</f>
        <v>0</v>
      </c>
      <c r="GW64" s="479">
        <f>'Hodnocení '!GW60</f>
        <v>29068.099739859612</v>
      </c>
      <c r="GX64" s="479">
        <f>'Hodnocení '!GX60</f>
        <v>28621.551334237898</v>
      </c>
      <c r="GY64" s="479">
        <f>'Hodnocení '!GY60</f>
        <v>29639.789065471392</v>
      </c>
      <c r="GZ64" s="479">
        <f>'Hodnocení '!GZ60</f>
        <v>0</v>
      </c>
      <c r="HA64" s="479">
        <f>'Hodnocení '!HA60</f>
        <v>26912.249114929058</v>
      </c>
      <c r="HB64" s="479">
        <f>'Hodnocení '!HB60</f>
        <v>34246.19817089288</v>
      </c>
      <c r="HC64" s="479">
        <f>'Hodnocení '!HC60</f>
        <v>30114.807010128206</v>
      </c>
      <c r="HD64" s="479">
        <f>'Hodnocení '!HD60</f>
        <v>25211.954191992598</v>
      </c>
      <c r="HE64" s="479">
        <f>'Hodnocení '!HE60</f>
        <v>28903.099738184872</v>
      </c>
      <c r="HF64" s="479">
        <f>'Hodnocení '!HF60</f>
        <v>21476.635345770432</v>
      </c>
      <c r="HG64" s="479">
        <f>'Hodnocení '!HG60</f>
        <v>33503.917910447759</v>
      </c>
      <c r="HH64" s="479">
        <f>'Hodnocení '!HH60</f>
        <v>0</v>
      </c>
      <c r="HI64" s="479">
        <f>'Hodnocení '!HI60</f>
        <v>26684.574287652642</v>
      </c>
      <c r="HJ64" s="479">
        <f>'Hodnocení '!HJ60</f>
        <v>62033.821278224263</v>
      </c>
      <c r="HK64" s="479">
        <f>'Hodnocení '!HK60</f>
        <v>32706.586117033872</v>
      </c>
      <c r="HL64" s="479">
        <f>'Hodnocení '!HL60</f>
        <v>31061.090678912049</v>
      </c>
      <c r="HM64" s="479">
        <f>'Hodnocení '!HM60</f>
        <v>37160.682761308657</v>
      </c>
      <c r="HN64" s="479">
        <f>'Hodnocení '!HN60</f>
        <v>14595.238095238094</v>
      </c>
      <c r="HO64" s="479">
        <f>'Hodnocení '!HO60</f>
        <v>36966.645936981753</v>
      </c>
      <c r="HP64" s="479">
        <f>'Hodnocení '!HP60</f>
        <v>28585.358316168546</v>
      </c>
      <c r="HQ64" s="479">
        <f>'Hodnocení '!HQ60</f>
        <v>32345.723306544198</v>
      </c>
      <c r="HR64" s="479">
        <f>'Hodnocení '!HR60</f>
        <v>33407.660142482011</v>
      </c>
      <c r="HS64" s="479">
        <f>'Hodnocení '!HS60</f>
        <v>31896.947553897182</v>
      </c>
      <c r="HT64" s="479">
        <f>'Hodnocení '!HT60</f>
        <v>29964.796019900496</v>
      </c>
      <c r="HU64" s="479">
        <f>'Hodnocení '!HU60</f>
        <v>32023.54168725208</v>
      </c>
      <c r="HV64" s="479">
        <f>'Hodnocení '!HV60</f>
        <v>29093.348742662885</v>
      </c>
      <c r="HW64" s="479">
        <f>'Hodnocení '!HW60</f>
        <v>26840.03121694849</v>
      </c>
      <c r="HX64" s="479">
        <f>'Hodnocení '!HX60</f>
        <v>27070.592461153286</v>
      </c>
      <c r="HY64" s="479">
        <f>'Hodnocení '!HY60</f>
        <v>33487.922191030244</v>
      </c>
      <c r="HZ64" s="479">
        <f>'Hodnocení '!HZ60</f>
        <v>26808.849272157728</v>
      </c>
      <c r="IA64" s="479">
        <f>'Hodnocení '!IA60</f>
        <v>29311.827058736166</v>
      </c>
      <c r="IB64" s="479">
        <f>'Hodnocení '!IB60</f>
        <v>32029.320310213636</v>
      </c>
      <c r="IC64" s="479">
        <f>'Hodnocení '!IC60</f>
        <v>24213.246543829522</v>
      </c>
      <c r="ID64" s="479">
        <f>'Hodnocení '!ID60</f>
        <v>27543.613019489992</v>
      </c>
      <c r="IE64" s="479">
        <f>'Hodnocení '!IE60</f>
        <v>24713.524490512031</v>
      </c>
      <c r="IF64" s="479">
        <f>'Hodnocení '!IF60</f>
        <v>29225.370222599999</v>
      </c>
      <c r="IG64" s="479">
        <f>'Hodnocení '!IG60</f>
        <v>0</v>
      </c>
      <c r="IH64" s="479">
        <f>'Hodnocení '!IH60</f>
        <v>36551.328866357049</v>
      </c>
      <c r="II64" s="479">
        <f>'Hodnocení '!II60</f>
        <v>28073.601281470634</v>
      </c>
      <c r="IJ64" s="479">
        <f>'Hodnocení '!IJ60</f>
        <v>24985.679622585645</v>
      </c>
      <c r="IK64" s="479">
        <f>'Hodnocení '!IK60</f>
        <v>34331.500221406059</v>
      </c>
      <c r="IL64" s="479">
        <f>'Hodnocení '!IL60</f>
        <v>30793.769499957834</v>
      </c>
      <c r="IM64" s="479">
        <f>'Hodnocení '!IM60</f>
        <v>26103.312801073993</v>
      </c>
      <c r="IN64" s="479">
        <f>'Hodnocení '!IN60</f>
        <v>28645.168526545935</v>
      </c>
      <c r="IO64" s="479">
        <f>'Hodnocení '!IO60</f>
        <v>24183.068470596652</v>
      </c>
      <c r="IP64" s="479">
        <f>'Hodnocení '!IP60</f>
        <v>28210.973706241395</v>
      </c>
      <c r="IQ64" s="479">
        <f>'Hodnocení '!IQ60</f>
        <v>34431.476836125083</v>
      </c>
      <c r="IR64" s="479">
        <f>'Hodnocení '!IR60</f>
        <v>28593.490878938635</v>
      </c>
      <c r="IS64" s="479">
        <f>'Hodnocení '!IS60</f>
        <v>27686.07382138717</v>
      </c>
      <c r="IT64" s="479">
        <f>'Hodnocení '!IT60</f>
        <v>28580.768634920572</v>
      </c>
      <c r="IU64" s="479">
        <f>'Hodnocení '!IU60</f>
        <v>49154.664629229803</v>
      </c>
      <c r="IV64" s="479">
        <f>'Hodnocení '!IV60</f>
        <v>29102.051724846835</v>
      </c>
      <c r="IW64" s="479">
        <f>'Hodnocení '!IW60</f>
        <v>23255.043610366611</v>
      </c>
      <c r="IX64" s="479">
        <f>'Hodnocení '!IX60</f>
        <v>26352.266445550027</v>
      </c>
      <c r="IY64" s="479">
        <f>'Hodnocení '!IY60</f>
        <v>29667.340306427337</v>
      </c>
      <c r="IZ64" s="479">
        <f>'Hodnocení '!IZ60</f>
        <v>29290.644732018205</v>
      </c>
      <c r="JA64" s="479">
        <f>'Hodnocení '!JA60</f>
        <v>28064.233289000542</v>
      </c>
      <c r="JB64" s="479">
        <f>'Hodnocení '!JB60</f>
        <v>38540.08184882041</v>
      </c>
      <c r="JC64" s="479">
        <f>'Hodnocení '!JC60</f>
        <v>22284.564393939392</v>
      </c>
      <c r="JD64" s="479">
        <f>'Hodnocení '!JD60</f>
        <v>24065.065550125324</v>
      </c>
      <c r="JE64" s="479">
        <f>'Hodnocení '!JE60</f>
        <v>64767.66308629213</v>
      </c>
      <c r="JF64" s="479">
        <f>'Hodnocení '!JF60</f>
        <v>31608.247469914153</v>
      </c>
      <c r="JG64" s="479">
        <f>'Hodnocení '!JG60</f>
        <v>29858.906392972021</v>
      </c>
      <c r="JH64" s="780">
        <f>'Hodnocení '!JH60</f>
        <v>13293.426665500619</v>
      </c>
      <c r="JI64" s="470">
        <f>'Hodnocení '!JI60</f>
        <v>0</v>
      </c>
    </row>
    <row r="65" spans="1:276" hidden="1" x14ac:dyDescent="0.25">
      <c r="B65" s="743" t="str">
        <f>B$21</f>
        <v>Průměrná mzda PPPs KHK 2018</v>
      </c>
      <c r="C65" s="779">
        <f>'Hodnocení '!C61</f>
        <v>26842.66744907634</v>
      </c>
      <c r="D65" s="479">
        <f>'Hodnocení '!D61</f>
        <v>26842.66744907634</v>
      </c>
      <c r="E65" s="479">
        <f>'Hodnocení '!E61</f>
        <v>26842.66744907634</v>
      </c>
      <c r="F65" s="479">
        <f>'Hodnocení '!F61</f>
        <v>23059.348030624205</v>
      </c>
      <c r="G65" s="479">
        <f>'Hodnocení '!G61</f>
        <v>26351.428793362589</v>
      </c>
      <c r="H65" s="479">
        <f>'Hodnocení '!H61</f>
        <v>0</v>
      </c>
      <c r="I65" s="479">
        <f>'Hodnocení '!I61</f>
        <v>28199.372889022721</v>
      </c>
      <c r="J65" s="479">
        <f>'Hodnocení '!J61</f>
        <v>28199.372889022721</v>
      </c>
      <c r="K65" s="479">
        <f>'Hodnocení '!K61</f>
        <v>19608.000824093891</v>
      </c>
      <c r="L65" s="479">
        <f>'Hodnocení '!L61</f>
        <v>0</v>
      </c>
      <c r="M65" s="479">
        <f>'Hodnocení '!M61</f>
        <v>23059.348030624205</v>
      </c>
      <c r="N65" s="479">
        <f>'Hodnocení '!N61</f>
        <v>28414.477254282185</v>
      </c>
      <c r="O65" s="479">
        <f>'Hodnocení '!O61</f>
        <v>30443.327137576063</v>
      </c>
      <c r="P65" s="479">
        <f>'Hodnocení '!P61</f>
        <v>20326.238127544097</v>
      </c>
      <c r="Q65" s="479">
        <f>'Hodnocení '!Q61</f>
        <v>30443.327137576063</v>
      </c>
      <c r="R65" s="479">
        <f>'Hodnocení '!R61</f>
        <v>30443.327137576063</v>
      </c>
      <c r="S65" s="479">
        <f>'Hodnocení '!S61</f>
        <v>30443.327137576063</v>
      </c>
      <c r="T65" s="479">
        <f>'Hodnocení '!T61</f>
        <v>30443.327137576063</v>
      </c>
      <c r="U65" s="479">
        <f>'Hodnocení '!U61</f>
        <v>30443.327137576063</v>
      </c>
      <c r="V65" s="479">
        <f>'Hodnocení '!V61</f>
        <v>24125.615822280633</v>
      </c>
      <c r="W65" s="479">
        <f>'Hodnocení '!W61</f>
        <v>26351.428793362589</v>
      </c>
      <c r="X65" s="479">
        <f>'Hodnocení '!X61</f>
        <v>26351.428793362589</v>
      </c>
      <c r="Y65" s="479">
        <f>'Hodnocení '!Y61</f>
        <v>27078.278526243463</v>
      </c>
      <c r="Z65" s="479">
        <f>'Hodnocení '!Z61</f>
        <v>30782.909746017394</v>
      </c>
      <c r="AA65" s="479">
        <f>'Hodnocení '!AA61</f>
        <v>26857.228949262786</v>
      </c>
      <c r="AB65" s="479">
        <f>'Hodnocení '!AB61</f>
        <v>23059.348030624205</v>
      </c>
      <c r="AC65" s="479">
        <f>'Hodnocení '!AC61</f>
        <v>28414.477254282185</v>
      </c>
      <c r="AD65" s="479">
        <f>'Hodnocení '!AD61</f>
        <v>29456.501737885908</v>
      </c>
      <c r="AE65" s="479">
        <f>'Hodnocení '!AE61</f>
        <v>26857.228949262786</v>
      </c>
      <c r="AF65" s="479">
        <f>'Hodnocení '!AF61</f>
        <v>28199.372889022721</v>
      </c>
      <c r="AG65" s="479">
        <f>'Hodnocení '!AG61</f>
        <v>24125.615822280633</v>
      </c>
      <c r="AH65" s="479">
        <f>'Hodnocení '!AH61</f>
        <v>26351.428793362589</v>
      </c>
      <c r="AI65" s="479">
        <f>'Hodnocení '!AI61</f>
        <v>26842.66744907634</v>
      </c>
      <c r="AJ65" s="479">
        <f>'Hodnocení '!AJ61</f>
        <v>27919.23485565402</v>
      </c>
      <c r="AK65" s="479">
        <f>'Hodnocení '!AK61</f>
        <v>30443.327137576063</v>
      </c>
      <c r="AL65" s="479">
        <f>'Hodnocení '!AL61</f>
        <v>26857.228949262786</v>
      </c>
      <c r="AM65" s="479">
        <f>'Hodnocení '!AM61</f>
        <v>30443.327137576063</v>
      </c>
      <c r="AN65" s="479">
        <f>'Hodnocení '!AN61</f>
        <v>30443.327137576063</v>
      </c>
      <c r="AO65" s="479">
        <f>'Hodnocení '!AO61</f>
        <v>27078.278526243463</v>
      </c>
      <c r="AP65" s="479">
        <f>'Hodnocení '!AP61</f>
        <v>23059.348030624205</v>
      </c>
      <c r="AQ65" s="479">
        <f>'Hodnocení '!AQ61</f>
        <v>30443.327137576063</v>
      </c>
      <c r="AR65" s="479">
        <f>'Hodnocení '!AR61</f>
        <v>30443.327137576063</v>
      </c>
      <c r="AS65" s="479">
        <f>'Hodnocení '!AS61</f>
        <v>30443.327137576063</v>
      </c>
      <c r="AT65" s="479">
        <f>'Hodnocení '!AT61</f>
        <v>23059.348030624205</v>
      </c>
      <c r="AU65" s="479">
        <f>'Hodnocení '!AU61</f>
        <v>24790.173663253689</v>
      </c>
      <c r="AV65" s="479">
        <f>'Hodnocení '!AV61</f>
        <v>26857.228949262786</v>
      </c>
      <c r="AW65" s="479">
        <f>'Hodnocení '!AW61</f>
        <v>19294.107457143255</v>
      </c>
      <c r="AX65" s="479">
        <f>'Hodnocení '!AX61</f>
        <v>27078.278526243463</v>
      </c>
      <c r="AY65" s="479">
        <f>'Hodnocení '!AY61</f>
        <v>26351.428793362589</v>
      </c>
      <c r="AZ65" s="479">
        <f>'Hodnocení '!AZ61</f>
        <v>32982.761497391082</v>
      </c>
      <c r="BA65" s="479">
        <f>'Hodnocení '!BA61</f>
        <v>0</v>
      </c>
      <c r="BB65" s="479">
        <f>'Hodnocení '!BB61</f>
        <v>30443.327137576063</v>
      </c>
      <c r="BC65" s="479">
        <f>'Hodnocení '!BC61</f>
        <v>19780.551736929385</v>
      </c>
      <c r="BD65" s="479">
        <f>'Hodnocení '!BD61</f>
        <v>30443.327137576063</v>
      </c>
      <c r="BE65" s="479">
        <f>'Hodnocení '!BE61</f>
        <v>28199.372889022721</v>
      </c>
      <c r="BF65" s="479">
        <f>'Hodnocení '!BF61</f>
        <v>0</v>
      </c>
      <c r="BG65" s="479">
        <f>'Hodnocení '!BG61</f>
        <v>0</v>
      </c>
      <c r="BH65" s="479">
        <f>'Hodnocení '!BH61</f>
        <v>0</v>
      </c>
      <c r="BI65" s="479">
        <f>'Hodnocení '!BI61</f>
        <v>65036.485249298297</v>
      </c>
      <c r="BJ65" s="479">
        <f>'Hodnocení '!BJ61</f>
        <v>24125.615822280633</v>
      </c>
      <c r="BK65" s="479">
        <f>'Hodnocení '!BK61</f>
        <v>28199.372889022721</v>
      </c>
      <c r="BL65" s="479">
        <f>'Hodnocení '!BL61</f>
        <v>0</v>
      </c>
      <c r="BM65" s="479">
        <f>'Hodnocení '!BM61</f>
        <v>28199.372889022721</v>
      </c>
      <c r="BN65" s="479">
        <f>'Hodnocení '!BN61</f>
        <v>30443.327137576063</v>
      </c>
      <c r="BO65" s="479">
        <f>'Hodnocení '!BO61</f>
        <v>30825.354360274101</v>
      </c>
      <c r="BP65" s="479">
        <f>'Hodnocení '!BP61</f>
        <v>26351.428793362589</v>
      </c>
      <c r="BQ65" s="479">
        <f>'Hodnocení '!BQ61</f>
        <v>28199.372889022721</v>
      </c>
      <c r="BR65" s="479">
        <f>'Hodnocení '!BR61</f>
        <v>30443.327137576063</v>
      </c>
      <c r="BS65" s="479">
        <f>'Hodnocení '!BS61</f>
        <v>30443.327137576063</v>
      </c>
      <c r="BT65" s="479">
        <f>'Hodnocení '!BT61</f>
        <v>30443.327137576063</v>
      </c>
      <c r="BU65" s="479">
        <f>'Hodnocení '!BU61</f>
        <v>24125.615822280633</v>
      </c>
      <c r="BV65" s="479">
        <f>'Hodnocení '!BV61</f>
        <v>27078.278526243463</v>
      </c>
      <c r="BW65" s="479">
        <f>'Hodnocení '!BW61</f>
        <v>30443.327137576063</v>
      </c>
      <c r="BX65" s="479">
        <f>'Hodnocení '!BX61</f>
        <v>24125.615822280633</v>
      </c>
      <c r="BY65" s="479">
        <f>'Hodnocení '!BY61</f>
        <v>24125.615822280633</v>
      </c>
      <c r="BZ65" s="479">
        <f>'Hodnocení '!BZ61</f>
        <v>12128.941016450084</v>
      </c>
      <c r="CA65" s="479">
        <f>'Hodnocení '!CA61</f>
        <v>0</v>
      </c>
      <c r="CB65" s="479">
        <f>'Hodnocení '!CB61</f>
        <v>31986.223177996788</v>
      </c>
      <c r="CC65" s="479">
        <f>'Hodnocení '!CC61</f>
        <v>30443.327137576063</v>
      </c>
      <c r="CD65" s="479">
        <f>'Hodnocení '!CD61</f>
        <v>30443.327137576063</v>
      </c>
      <c r="CE65" s="479">
        <f>'Hodnocení '!CE61</f>
        <v>24125.615822280633</v>
      </c>
      <c r="CF65" s="479">
        <f>'Hodnocení '!CF61</f>
        <v>29456.501737885908</v>
      </c>
      <c r="CG65" s="479">
        <f>'Hodnocení '!CG61</f>
        <v>28231.882363638724</v>
      </c>
      <c r="CH65" s="479">
        <f>'Hodnocení '!CH61</f>
        <v>28231.882363638724</v>
      </c>
      <c r="CI65" s="479">
        <f>'Hodnocení '!CI61</f>
        <v>34707.564249757132</v>
      </c>
      <c r="CJ65" s="479">
        <f>'Hodnocení '!CJ61</f>
        <v>28005.860642439973</v>
      </c>
      <c r="CK65" s="479">
        <f>'Hodnocení '!CK61</f>
        <v>26785.82439344962</v>
      </c>
      <c r="CL65" s="479">
        <f>'Hodnocení '!CL61</f>
        <v>28199.372889022721</v>
      </c>
      <c r="CM65" s="479">
        <f>'Hodnocení '!CM61</f>
        <v>24125.615822280633</v>
      </c>
      <c r="CN65" s="479">
        <f>'Hodnocení '!CN61</f>
        <v>24790.173663253689</v>
      </c>
      <c r="CO65" s="479">
        <f>'Hodnocení '!CO61</f>
        <v>24790.173663253689</v>
      </c>
      <c r="CP65" s="479">
        <f>'Hodnocení '!CP61</f>
        <v>24790.173663253689</v>
      </c>
      <c r="CQ65" s="479">
        <f>'Hodnocení '!CQ61</f>
        <v>26857.228949262786</v>
      </c>
      <c r="CR65" s="479">
        <f>'Hodnocení '!CR61</f>
        <v>24125.615822280633</v>
      </c>
      <c r="CS65" s="479">
        <f>'Hodnocení '!CS61</f>
        <v>0</v>
      </c>
      <c r="CT65" s="479">
        <f>'Hodnocení '!CT61</f>
        <v>28231.882363638724</v>
      </c>
      <c r="CU65" s="479">
        <f>'Hodnocení '!CU61</f>
        <v>24125.615822280633</v>
      </c>
      <c r="CV65" s="479">
        <f>'Hodnocení '!CV61</f>
        <v>26842.66744907634</v>
      </c>
      <c r="CW65" s="479">
        <f>'Hodnocení '!CW61</f>
        <v>0</v>
      </c>
      <c r="CX65" s="479">
        <f>'Hodnocení '!CX61</f>
        <v>23059.348030624205</v>
      </c>
      <c r="CY65" s="479">
        <f>'Hodnocení '!CY61</f>
        <v>24125.615822280633</v>
      </c>
      <c r="CZ65" s="479">
        <f>'Hodnocení '!CZ61</f>
        <v>26857.228949262786</v>
      </c>
      <c r="DA65" s="479">
        <f>'Hodnocení '!DA61</f>
        <v>0</v>
      </c>
      <c r="DB65" s="479">
        <f>'Hodnocení '!DB61</f>
        <v>30443.327137576063</v>
      </c>
      <c r="DC65" s="479">
        <f>'Hodnocení '!DC61</f>
        <v>24790.173663253689</v>
      </c>
      <c r="DD65" s="479">
        <f>'Hodnocení '!DD61</f>
        <v>0</v>
      </c>
      <c r="DE65" s="479">
        <f>'Hodnocení '!DE61</f>
        <v>0</v>
      </c>
      <c r="DF65" s="479">
        <f>'Hodnocení '!DF61</f>
        <v>0</v>
      </c>
      <c r="DG65" s="479">
        <f>'Hodnocení '!DG61</f>
        <v>0</v>
      </c>
      <c r="DH65" s="479">
        <f>'Hodnocení '!DH61</f>
        <v>26031.165578601303</v>
      </c>
      <c r="DI65" s="479">
        <f>'Hodnocení '!DI61</f>
        <v>19294.107457143255</v>
      </c>
      <c r="DJ65" s="479">
        <f>'Hodnocení '!DJ61</f>
        <v>28199.372889022721</v>
      </c>
      <c r="DK65" s="479">
        <f>'Hodnocení '!DK61</f>
        <v>28199.372889022721</v>
      </c>
      <c r="DL65" s="479">
        <f>'Hodnocení '!DL61</f>
        <v>24125.615822280633</v>
      </c>
      <c r="DM65" s="479">
        <f>'Hodnocení '!DM61</f>
        <v>23059.348030624205</v>
      </c>
      <c r="DN65" s="479">
        <f>'Hodnocení '!DN61</f>
        <v>24790.173663253689</v>
      </c>
      <c r="DO65" s="479">
        <f>'Hodnocení '!DO61</f>
        <v>0</v>
      </c>
      <c r="DP65" s="479">
        <f>'Hodnocení '!DP61</f>
        <v>24790.173663253689</v>
      </c>
      <c r="DQ65" s="479">
        <f>'Hodnocení '!DQ61</f>
        <v>26857.228949262786</v>
      </c>
      <c r="DR65" s="479">
        <f>'Hodnocení '!DR61</f>
        <v>26857.228949262786</v>
      </c>
      <c r="DS65" s="479">
        <f>'Hodnocení '!DS61</f>
        <v>0</v>
      </c>
      <c r="DT65" s="479">
        <f>'Hodnocení '!DT61</f>
        <v>31986.223177996788</v>
      </c>
      <c r="DU65" s="479">
        <f>'Hodnocení '!DU61</f>
        <v>26031.165578601303</v>
      </c>
      <c r="DV65" s="479">
        <f>'Hodnocení '!DV61</f>
        <v>31986.223177996788</v>
      </c>
      <c r="DW65" s="479">
        <f>'Hodnocení '!DW61</f>
        <v>19294.107457143255</v>
      </c>
      <c r="DX65" s="479">
        <f>'Hodnocení '!DX61</f>
        <v>28199.372889022721</v>
      </c>
      <c r="DY65" s="479">
        <f>'Hodnocení '!DY61</f>
        <v>0</v>
      </c>
      <c r="DZ65" s="479">
        <f>'Hodnocení '!DZ61</f>
        <v>0</v>
      </c>
      <c r="EA65" s="479">
        <f>'Hodnocení '!EA61</f>
        <v>23059.348030624205</v>
      </c>
      <c r="EB65" s="479">
        <f>'Hodnocení '!EB61</f>
        <v>23059.348030624205</v>
      </c>
      <c r="EC65" s="479">
        <f>'Hodnocení '!EC61</f>
        <v>27078.278526243463</v>
      </c>
      <c r="ED65" s="479">
        <f>'Hodnocení '!ED61</f>
        <v>26351.428793362589</v>
      </c>
      <c r="EE65" s="479">
        <f>'Hodnocení '!EE61</f>
        <v>30443.327137576063</v>
      </c>
      <c r="EF65" s="479">
        <f>'Hodnocení '!EF61</f>
        <v>30443.327137576063</v>
      </c>
      <c r="EG65" s="479">
        <f>'Hodnocení '!EG61</f>
        <v>30443.327137576063</v>
      </c>
      <c r="EH65" s="479">
        <f>'Hodnocení '!EH61</f>
        <v>22598.555576029317</v>
      </c>
      <c r="EI65" s="479">
        <f>'Hodnocení '!EI61</f>
        <v>20326.238127544097</v>
      </c>
      <c r="EJ65" s="479">
        <f>'Hodnocení '!EJ61</f>
        <v>28199.372889022721</v>
      </c>
      <c r="EK65" s="479">
        <f>'Hodnocení '!EK61</f>
        <v>0</v>
      </c>
      <c r="EL65" s="479">
        <f>'Hodnocení '!EL61</f>
        <v>0</v>
      </c>
      <c r="EM65" s="479">
        <f>'Hodnocení '!EM61</f>
        <v>0</v>
      </c>
      <c r="EN65" s="479">
        <f>'Hodnocení '!EN61</f>
        <v>26857.228949262786</v>
      </c>
      <c r="EO65" s="479">
        <f>'Hodnocení '!EO61</f>
        <v>30443.327137576063</v>
      </c>
      <c r="EP65" s="479">
        <f>'Hodnocení '!EP61</f>
        <v>26351.428793362589</v>
      </c>
      <c r="EQ65" s="479">
        <f>'Hodnocení '!EQ61</f>
        <v>28199.372889022721</v>
      </c>
      <c r="ER65" s="479">
        <f>'Hodnocení '!ER61</f>
        <v>24125.615822280633</v>
      </c>
      <c r="ES65" s="479">
        <f>'Hodnocení '!ES61</f>
        <v>12128.941016450084</v>
      </c>
      <c r="ET65" s="479">
        <f>'Hodnocení '!ET61</f>
        <v>0</v>
      </c>
      <c r="EU65" s="479">
        <f>'Hodnocení '!EU61</f>
        <v>0</v>
      </c>
      <c r="EV65" s="479">
        <f>'Hodnocení '!EV61</f>
        <v>30443.327137576063</v>
      </c>
      <c r="EW65" s="479">
        <f>'Hodnocení '!EW61</f>
        <v>24125.615822280633</v>
      </c>
      <c r="EX65" s="479">
        <f>'Hodnocení '!EX61</f>
        <v>26842.66744907634</v>
      </c>
      <c r="EY65" s="479">
        <f>'Hodnocení '!EY61</f>
        <v>26857.228949262786</v>
      </c>
      <c r="EZ65" s="479">
        <f>'Hodnocení '!EZ61</f>
        <v>24125.615822280633</v>
      </c>
      <c r="FA65" s="479">
        <f>'Hodnocení '!FA61</f>
        <v>24125.615822280633</v>
      </c>
      <c r="FB65" s="479">
        <f>'Hodnocení '!FB61</f>
        <v>24125.615822280633</v>
      </c>
      <c r="FC65" s="479">
        <f>'Hodnocení '!FC61</f>
        <v>24125.615822280633</v>
      </c>
      <c r="FD65" s="479">
        <f>'Hodnocení '!FD61</f>
        <v>28231.882363638724</v>
      </c>
      <c r="FE65" s="479">
        <f>'Hodnocení '!FE61</f>
        <v>26785.82439344962</v>
      </c>
      <c r="FF65" s="479">
        <f>'Hodnocení '!FF61</f>
        <v>24125.615822280633</v>
      </c>
      <c r="FG65" s="479">
        <f>'Hodnocení '!FG61</f>
        <v>26842.66744907634</v>
      </c>
      <c r="FH65" s="479">
        <f>'Hodnocení '!FH61</f>
        <v>27919.23485565402</v>
      </c>
      <c r="FI65" s="479">
        <f>'Hodnocení '!FI61</f>
        <v>26842.66744907634</v>
      </c>
      <c r="FJ65" s="479">
        <f>'Hodnocení '!FJ61</f>
        <v>24125.615822280633</v>
      </c>
      <c r="FK65" s="479">
        <f>'Hodnocení '!FK61</f>
        <v>24125.615822280633</v>
      </c>
      <c r="FL65" s="479">
        <f>'Hodnocení '!FL61</f>
        <v>28414.477254282185</v>
      </c>
      <c r="FM65" s="479">
        <f>'Hodnocení '!FM61</f>
        <v>24125.615822280633</v>
      </c>
      <c r="FN65" s="479">
        <f>'Hodnocení '!FN61</f>
        <v>24125.615822280633</v>
      </c>
      <c r="FO65" s="479">
        <f>'Hodnocení '!FO61</f>
        <v>26351.428793362589</v>
      </c>
      <c r="FP65" s="479">
        <f>'Hodnocení '!FP61</f>
        <v>26842.66744907634</v>
      </c>
      <c r="FQ65" s="479">
        <f>'Hodnocení '!FQ61</f>
        <v>31986.223177996788</v>
      </c>
      <c r="FR65" s="479">
        <f>'Hodnocení '!FR61</f>
        <v>0</v>
      </c>
      <c r="FS65" s="479">
        <f>'Hodnocení '!FS61</f>
        <v>26785.82439344962</v>
      </c>
      <c r="FT65" s="479">
        <f>'Hodnocení '!FT61</f>
        <v>24125.615822280633</v>
      </c>
      <c r="FU65" s="479">
        <f>'Hodnocení '!FU61</f>
        <v>28414.477254282185</v>
      </c>
      <c r="FV65" s="479">
        <f>'Hodnocení '!FV61</f>
        <v>24125.615822280633</v>
      </c>
      <c r="FW65" s="479">
        <f>'Hodnocení '!FW61</f>
        <v>24125.615822280633</v>
      </c>
      <c r="FX65" s="479">
        <f>'Hodnocení '!FX61</f>
        <v>24125.615822280633</v>
      </c>
      <c r="FY65" s="479">
        <f>'Hodnocení '!FY61</f>
        <v>24125.615822280633</v>
      </c>
      <c r="FZ65" s="479">
        <f>'Hodnocení '!FZ61</f>
        <v>24125.615822280633</v>
      </c>
      <c r="GA65" s="479">
        <f>'Hodnocení '!GA61</f>
        <v>27078.278526243463</v>
      </c>
      <c r="GB65" s="479">
        <f>'Hodnocení '!GB61</f>
        <v>26842.66744907634</v>
      </c>
      <c r="GC65" s="479">
        <f>'Hodnocení '!GC61</f>
        <v>24125.615822280633</v>
      </c>
      <c r="GD65" s="479">
        <f>'Hodnocení '!GD61</f>
        <v>26842.66744907634</v>
      </c>
      <c r="GE65" s="479">
        <f>'Hodnocení '!GE61</f>
        <v>28199.372889022721</v>
      </c>
      <c r="GF65" s="479">
        <f>'Hodnocení '!GF61</f>
        <v>24125.615822280633</v>
      </c>
      <c r="GG65" s="479">
        <f>'Hodnocení '!GG61</f>
        <v>27078.278526243463</v>
      </c>
      <c r="GH65" s="479">
        <f>'Hodnocení '!GH61</f>
        <v>28414.477254282185</v>
      </c>
      <c r="GI65" s="479">
        <f>'Hodnocení '!GI61</f>
        <v>26842.66744907634</v>
      </c>
      <c r="GJ65" s="479">
        <f>'Hodnocení '!GJ61</f>
        <v>24125.615822280633</v>
      </c>
      <c r="GK65" s="479">
        <f>'Hodnocení '!GK61</f>
        <v>27078.278526243463</v>
      </c>
      <c r="GL65" s="479">
        <f>'Hodnocení '!GL61</f>
        <v>28414.477254282185</v>
      </c>
      <c r="GM65" s="479">
        <f>'Hodnocení '!GM61</f>
        <v>24790.173663253689</v>
      </c>
      <c r="GN65" s="479">
        <f>'Hodnocení '!GN61</f>
        <v>26857.228949262786</v>
      </c>
      <c r="GO65" s="479">
        <f>'Hodnocení '!GO61</f>
        <v>26842.66744907634</v>
      </c>
      <c r="GP65" s="479">
        <f>'Hodnocení '!GP61</f>
        <v>24125.615822280633</v>
      </c>
      <c r="GQ65" s="479">
        <f>'Hodnocení '!GQ61</f>
        <v>24125.615822280633</v>
      </c>
      <c r="GR65" s="479">
        <f>'Hodnocení '!GR61</f>
        <v>24125.615822280633</v>
      </c>
      <c r="GS65" s="479">
        <f>'Hodnocení '!GS61</f>
        <v>24125.615822280633</v>
      </c>
      <c r="GT65" s="479">
        <f>'Hodnocení '!GT61</f>
        <v>24125.615822280633</v>
      </c>
      <c r="GU65" s="479">
        <f>'Hodnocení '!GU61</f>
        <v>26351.428793362589</v>
      </c>
      <c r="GV65" s="479">
        <f>'Hodnocení '!GV61</f>
        <v>0</v>
      </c>
      <c r="GW65" s="479">
        <f>'Hodnocení '!GW61</f>
        <v>24125.615822280633</v>
      </c>
      <c r="GX65" s="479">
        <f>'Hodnocení '!GX61</f>
        <v>24125.615822280633</v>
      </c>
      <c r="GY65" s="479">
        <f>'Hodnocení '!GY61</f>
        <v>26842.66744907634</v>
      </c>
      <c r="GZ65" s="479">
        <f>'Hodnocení '!GZ61</f>
        <v>0</v>
      </c>
      <c r="HA65" s="479">
        <f>'Hodnocení '!HA61</f>
        <v>24125.615822280633</v>
      </c>
      <c r="HB65" s="479">
        <f>'Hodnocení '!HB61</f>
        <v>26351.428793362589</v>
      </c>
      <c r="HC65" s="479">
        <f>'Hodnocení '!HC61</f>
        <v>26842.66744907634</v>
      </c>
      <c r="HD65" s="479">
        <f>'Hodnocení '!HD61</f>
        <v>24125.615822280633</v>
      </c>
      <c r="HE65" s="479">
        <f>'Hodnocení '!HE61</f>
        <v>26842.66744907634</v>
      </c>
      <c r="HF65" s="479">
        <f>'Hodnocení '!HF61</f>
        <v>24125.615822280633</v>
      </c>
      <c r="HG65" s="479">
        <f>'Hodnocení '!HG61</f>
        <v>28414.477254282185</v>
      </c>
      <c r="HH65" s="479">
        <f>'Hodnocení '!HH61</f>
        <v>0</v>
      </c>
      <c r="HI65" s="479">
        <f>'Hodnocení '!HI61</f>
        <v>24125.615822280633</v>
      </c>
      <c r="HJ65" s="479">
        <f>'Hodnocení '!HJ61</f>
        <v>28199.372889022721</v>
      </c>
      <c r="HK65" s="479">
        <f>'Hodnocení '!HK61</f>
        <v>24125.615822280633</v>
      </c>
      <c r="HL65" s="479">
        <f>'Hodnocení '!HL61</f>
        <v>30782.909746017394</v>
      </c>
      <c r="HM65" s="479">
        <f>'Hodnocení '!HM61</f>
        <v>31986.223177996788</v>
      </c>
      <c r="HN65" s="479">
        <f>'Hodnocení '!HN61</f>
        <v>19294.107457143255</v>
      </c>
      <c r="HO65" s="479">
        <f>'Hodnocení '!HO61</f>
        <v>28199.372889022721</v>
      </c>
      <c r="HP65" s="479">
        <f>'Hodnocení '!HP61</f>
        <v>30782.909746017394</v>
      </c>
      <c r="HQ65" s="479">
        <f>'Hodnocení '!HQ61</f>
        <v>26351.428793362589</v>
      </c>
      <c r="HR65" s="479">
        <f>'Hodnocení '!HR61</f>
        <v>30782.909746017394</v>
      </c>
      <c r="HS65" s="479">
        <f>'Hodnocení '!HS61</f>
        <v>31986.223177996788</v>
      </c>
      <c r="HT65" s="479">
        <f>'Hodnocení '!HT61</f>
        <v>27919.23485565402</v>
      </c>
      <c r="HU65" s="479">
        <f>'Hodnocení '!HU61</f>
        <v>27919.23485565402</v>
      </c>
      <c r="HV65" s="479">
        <f>'Hodnocení '!HV61</f>
        <v>26842.66744907634</v>
      </c>
      <c r="HW65" s="479">
        <f>'Hodnocení '!HW61</f>
        <v>26842.66744907634</v>
      </c>
      <c r="HX65" s="479">
        <f>'Hodnocení '!HX61</f>
        <v>27919.23485565402</v>
      </c>
      <c r="HY65" s="479">
        <f>'Hodnocení '!HY61</f>
        <v>26842.66744907634</v>
      </c>
      <c r="HZ65" s="479">
        <f>'Hodnocení '!HZ61</f>
        <v>26842.66744907634</v>
      </c>
      <c r="IA65" s="479">
        <f>'Hodnocení '!IA61</f>
        <v>26842.66744907634</v>
      </c>
      <c r="IB65" s="479">
        <f>'Hodnocení '!IB61</f>
        <v>26842.66744907634</v>
      </c>
      <c r="IC65" s="479">
        <f>'Hodnocení '!IC61</f>
        <v>26842.66744907634</v>
      </c>
      <c r="ID65" s="479">
        <f>'Hodnocení '!ID61</f>
        <v>27919.23485565402</v>
      </c>
      <c r="IE65" s="479">
        <f>'Hodnocení '!IE61</f>
        <v>26842.66744907634</v>
      </c>
      <c r="IF65" s="479">
        <f>'Hodnocení '!IF61</f>
        <v>26842.66744907634</v>
      </c>
      <c r="IG65" s="479">
        <f>'Hodnocení '!IG61</f>
        <v>0</v>
      </c>
      <c r="IH65" s="479">
        <f>'Hodnocení '!IH61</f>
        <v>30782.909746017394</v>
      </c>
      <c r="II65" s="479">
        <f>'Hodnocení '!II61</f>
        <v>27919.23485565402</v>
      </c>
      <c r="IJ65" s="479">
        <f>'Hodnocení '!IJ61</f>
        <v>31986.223177996788</v>
      </c>
      <c r="IK65" s="479">
        <f>'Hodnocení '!IK61</f>
        <v>28199.372889022721</v>
      </c>
      <c r="IL65" s="479">
        <f>'Hodnocení '!IL61</f>
        <v>26842.66744907634</v>
      </c>
      <c r="IM65" s="479">
        <f>'Hodnocení '!IM61</f>
        <v>27078.278526243463</v>
      </c>
      <c r="IN65" s="479">
        <f>'Hodnocení '!IN61</f>
        <v>26842.66744907634</v>
      </c>
      <c r="IO65" s="479">
        <f>'Hodnocení '!IO61</f>
        <v>27919.23485565402</v>
      </c>
      <c r="IP65" s="479">
        <f>'Hodnocení '!IP61</f>
        <v>30782.909746017394</v>
      </c>
      <c r="IQ65" s="479">
        <f>'Hodnocení '!IQ61</f>
        <v>30782.909746017394</v>
      </c>
      <c r="IR65" s="479">
        <f>'Hodnocení '!IR61</f>
        <v>31986.223177996788</v>
      </c>
      <c r="IS65" s="479">
        <f>'Hodnocení '!IS61</f>
        <v>26842.66744907634</v>
      </c>
      <c r="IT65" s="479">
        <f>'Hodnocení '!IT61</f>
        <v>27919.23485565402</v>
      </c>
      <c r="IU65" s="479">
        <f>'Hodnocení '!IU61</f>
        <v>27078.278526243463</v>
      </c>
      <c r="IV65" s="479">
        <f>'Hodnocení '!IV61</f>
        <v>26842.66744907634</v>
      </c>
      <c r="IW65" s="479">
        <f>'Hodnocení '!IW61</f>
        <v>27919.23485565402</v>
      </c>
      <c r="IX65" s="479">
        <f>'Hodnocení '!IX61</f>
        <v>31986.223177996788</v>
      </c>
      <c r="IY65" s="479">
        <f>'Hodnocení '!IY61</f>
        <v>30782.909746017394</v>
      </c>
      <c r="IZ65" s="479">
        <f>'Hodnocení '!IZ61</f>
        <v>26842.66744907634</v>
      </c>
      <c r="JA65" s="479">
        <f>'Hodnocení '!JA61</f>
        <v>30443.327137576063</v>
      </c>
      <c r="JB65" s="479">
        <f>'Hodnocení '!JB61</f>
        <v>38540.08184882041</v>
      </c>
      <c r="JC65" s="479">
        <f>'Hodnocení '!JC61</f>
        <v>24790.173663253689</v>
      </c>
      <c r="JD65" s="479">
        <f>'Hodnocení '!JD61</f>
        <v>28199.372889022721</v>
      </c>
      <c r="JE65" s="479">
        <f>'Hodnocení '!JE61</f>
        <v>27078.278526243463</v>
      </c>
      <c r="JF65" s="479">
        <f>'Hodnocení '!JF61</f>
        <v>30782.909746017394</v>
      </c>
      <c r="JG65" s="479">
        <f>'Hodnocení '!JG61</f>
        <v>30782.909746017394</v>
      </c>
      <c r="JH65" s="780">
        <f>'Hodnocení '!JH61</f>
        <v>19780.551736929385</v>
      </c>
      <c r="JI65" s="470">
        <f>'Hodnocení '!JI61</f>
        <v>0</v>
      </c>
    </row>
    <row r="66" spans="1:276" hidden="1" x14ac:dyDescent="0.25">
      <c r="B66" s="743" t="str">
        <f>B$22</f>
        <v>Průměrná mzda PPPs ČR 2018</v>
      </c>
      <c r="C66" s="779">
        <f>'Hodnocení '!C62</f>
        <v>25494.782664826929</v>
      </c>
      <c r="D66" s="479">
        <f>'Hodnocení '!D62</f>
        <v>25494.782664826929</v>
      </c>
      <c r="E66" s="479">
        <f>'Hodnocení '!E62</f>
        <v>25494.782664826929</v>
      </c>
      <c r="F66" s="479">
        <f>'Hodnocení '!F62</f>
        <v>23004.176189640086</v>
      </c>
      <c r="G66" s="479">
        <f>'Hodnocení '!G62</f>
        <v>26362.049149868351</v>
      </c>
      <c r="H66" s="479">
        <f>'Hodnocení '!H62</f>
        <v>0</v>
      </c>
      <c r="I66" s="479">
        <f>'Hodnocení '!I62</f>
        <v>26837.070867899798</v>
      </c>
      <c r="J66" s="479">
        <f>'Hodnocení '!J62</f>
        <v>26837.070867899798</v>
      </c>
      <c r="K66" s="479">
        <f>'Hodnocení '!K62</f>
        <v>26681.862427889606</v>
      </c>
      <c r="L66" s="479">
        <f>'Hodnocení '!L62</f>
        <v>0</v>
      </c>
      <c r="M66" s="479">
        <f>'Hodnocení '!M62</f>
        <v>23004.176189640086</v>
      </c>
      <c r="N66" s="479">
        <f>'Hodnocení '!N62</f>
        <v>24846.947441386379</v>
      </c>
      <c r="O66" s="479">
        <f>'Hodnocení '!O62</f>
        <v>31127.953171467958</v>
      </c>
      <c r="P66" s="479">
        <f>'Hodnocení '!P62</f>
        <v>25112.661826156243</v>
      </c>
      <c r="Q66" s="479">
        <f>'Hodnocení '!Q62</f>
        <v>31127.953171467958</v>
      </c>
      <c r="R66" s="479">
        <f>'Hodnocení '!R62</f>
        <v>31127.953171467958</v>
      </c>
      <c r="S66" s="479">
        <f>'Hodnocení '!S62</f>
        <v>31127.953171467958</v>
      </c>
      <c r="T66" s="479">
        <f>'Hodnocení '!T62</f>
        <v>31127.953171467958</v>
      </c>
      <c r="U66" s="479">
        <f>'Hodnocení '!U62</f>
        <v>31127.953171467958</v>
      </c>
      <c r="V66" s="479">
        <f>'Hodnocení '!V62</f>
        <v>24448.908771949045</v>
      </c>
      <c r="W66" s="479">
        <f>'Hodnocení '!W62</f>
        <v>26362.049149868351</v>
      </c>
      <c r="X66" s="479">
        <f>'Hodnocení '!X62</f>
        <v>26362.049149868351</v>
      </c>
      <c r="Y66" s="479">
        <f>'Hodnocení '!Y62</f>
        <v>26102.573409149816</v>
      </c>
      <c r="Z66" s="479">
        <f>'Hodnocení '!Z62</f>
        <v>26849.811948652292</v>
      </c>
      <c r="AA66" s="479">
        <f>'Hodnocení '!AA62</f>
        <v>26364.572073040395</v>
      </c>
      <c r="AB66" s="479">
        <f>'Hodnocení '!AB62</f>
        <v>23004.176189640086</v>
      </c>
      <c r="AC66" s="479">
        <f>'Hodnocení '!AC62</f>
        <v>24846.947441386379</v>
      </c>
      <c r="AD66" s="479">
        <f>'Hodnocení '!AD62</f>
        <v>31439.673906348191</v>
      </c>
      <c r="AE66" s="479">
        <f>'Hodnocení '!AE62</f>
        <v>26364.572073040395</v>
      </c>
      <c r="AF66" s="479">
        <f>'Hodnocení '!AF62</f>
        <v>26837.070867899798</v>
      </c>
      <c r="AG66" s="479">
        <f>'Hodnocení '!AG62</f>
        <v>24448.908771949045</v>
      </c>
      <c r="AH66" s="479">
        <f>'Hodnocení '!AH62</f>
        <v>26362.049149868351</v>
      </c>
      <c r="AI66" s="479">
        <f>'Hodnocení '!AI62</f>
        <v>25494.782664826929</v>
      </c>
      <c r="AJ66" s="479">
        <f>'Hodnocení '!AJ62</f>
        <v>24602.206032430611</v>
      </c>
      <c r="AK66" s="479">
        <f>'Hodnocení '!AK62</f>
        <v>31127.953171467958</v>
      </c>
      <c r="AL66" s="479">
        <f>'Hodnocení '!AL62</f>
        <v>26364.572073040395</v>
      </c>
      <c r="AM66" s="479">
        <f>'Hodnocení '!AM62</f>
        <v>31127.953171467958</v>
      </c>
      <c r="AN66" s="479">
        <f>'Hodnocení '!AN62</f>
        <v>31127.953171467958</v>
      </c>
      <c r="AO66" s="479">
        <f>'Hodnocení '!AO62</f>
        <v>26102.573409149816</v>
      </c>
      <c r="AP66" s="479">
        <f>'Hodnocení '!AP62</f>
        <v>23004.176189640086</v>
      </c>
      <c r="AQ66" s="479">
        <f>'Hodnocení '!AQ62</f>
        <v>31127.953171467958</v>
      </c>
      <c r="AR66" s="479">
        <f>'Hodnocení '!AR62</f>
        <v>31127.953171467958</v>
      </c>
      <c r="AS66" s="479">
        <f>'Hodnocení '!AS62</f>
        <v>31127.953171467958</v>
      </c>
      <c r="AT66" s="479">
        <f>'Hodnocení '!AT62</f>
        <v>23004.176189640086</v>
      </c>
      <c r="AU66" s="479">
        <f>'Hodnocení '!AU62</f>
        <v>25287.261406181333</v>
      </c>
      <c r="AV66" s="479">
        <f>'Hodnocení '!AV62</f>
        <v>26364.572073040395</v>
      </c>
      <c r="AW66" s="479">
        <f>'Hodnocení '!AW62</f>
        <v>25293.255114356805</v>
      </c>
      <c r="AX66" s="479">
        <f>'Hodnocení '!AX62</f>
        <v>26102.573409149816</v>
      </c>
      <c r="AY66" s="479">
        <f>'Hodnocení '!AY62</f>
        <v>26362.049149868351</v>
      </c>
      <c r="AZ66" s="479">
        <f>'Hodnocení '!AZ62</f>
        <v>28419.032814348084</v>
      </c>
      <c r="BA66" s="479">
        <f>'Hodnocení '!BA62</f>
        <v>0</v>
      </c>
      <c r="BB66" s="479">
        <f>'Hodnocení '!BB62</f>
        <v>31127.953171467958</v>
      </c>
      <c r="BC66" s="479">
        <f>'Hodnocení '!BC62</f>
        <v>32243.952958531994</v>
      </c>
      <c r="BD66" s="479">
        <f>'Hodnocení '!BD62</f>
        <v>31127.953171467958</v>
      </c>
      <c r="BE66" s="479">
        <f>'Hodnocení '!BE62</f>
        <v>26837.070867899798</v>
      </c>
      <c r="BF66" s="479">
        <f>'Hodnocení '!BF62</f>
        <v>0</v>
      </c>
      <c r="BG66" s="479">
        <f>'Hodnocení '!BG62</f>
        <v>0</v>
      </c>
      <c r="BH66" s="479">
        <f>'Hodnocení '!BH62</f>
        <v>0</v>
      </c>
      <c r="BI66" s="479">
        <f>'Hodnocení '!BI62</f>
        <v>24181.169027937369</v>
      </c>
      <c r="BJ66" s="479">
        <f>'Hodnocení '!BJ62</f>
        <v>24448.908771949045</v>
      </c>
      <c r="BK66" s="479">
        <f>'Hodnocení '!BK62</f>
        <v>26837.070867899798</v>
      </c>
      <c r="BL66" s="479">
        <f>'Hodnocení '!BL62</f>
        <v>0</v>
      </c>
      <c r="BM66" s="479">
        <f>'Hodnocení '!BM62</f>
        <v>26837.070867899798</v>
      </c>
      <c r="BN66" s="479">
        <f>'Hodnocení '!BN62</f>
        <v>31127.953171467958</v>
      </c>
      <c r="BO66" s="479">
        <f>'Hodnocení '!BO62</f>
        <v>32219.561369205225</v>
      </c>
      <c r="BP66" s="479">
        <f>'Hodnocení '!BP62</f>
        <v>26362.049149868351</v>
      </c>
      <c r="BQ66" s="479">
        <f>'Hodnocení '!BQ62</f>
        <v>26837.070867899798</v>
      </c>
      <c r="BR66" s="479">
        <f>'Hodnocení '!BR62</f>
        <v>31127.953171467958</v>
      </c>
      <c r="BS66" s="479">
        <f>'Hodnocení '!BS62</f>
        <v>31127.953171467958</v>
      </c>
      <c r="BT66" s="479">
        <f>'Hodnocení '!BT62</f>
        <v>31127.953171467958</v>
      </c>
      <c r="BU66" s="479">
        <f>'Hodnocení '!BU62</f>
        <v>24448.908771949045</v>
      </c>
      <c r="BV66" s="479">
        <f>'Hodnocení '!BV62</f>
        <v>26102.573409149816</v>
      </c>
      <c r="BW66" s="479">
        <f>'Hodnocení '!BW62</f>
        <v>31127.953171467958</v>
      </c>
      <c r="BX66" s="479">
        <f>'Hodnocení '!BX62</f>
        <v>24448.908771949045</v>
      </c>
      <c r="BY66" s="479">
        <f>'Hodnocení '!BY62</f>
        <v>24448.908771949045</v>
      </c>
      <c r="BZ66" s="479">
        <f>'Hodnocení '!BZ62</f>
        <v>24208.019142085453</v>
      </c>
      <c r="CA66" s="479">
        <f>'Hodnocení '!CA62</f>
        <v>0</v>
      </c>
      <c r="CB66" s="479">
        <f>'Hodnocení '!CB62</f>
        <v>28276.910051176939</v>
      </c>
      <c r="CC66" s="479">
        <f>'Hodnocení '!CC62</f>
        <v>31127.953171467958</v>
      </c>
      <c r="CD66" s="479">
        <f>'Hodnocení '!CD62</f>
        <v>31127.953171467958</v>
      </c>
      <c r="CE66" s="479">
        <f>'Hodnocení '!CE62</f>
        <v>24448.908771949045</v>
      </c>
      <c r="CF66" s="479">
        <f>'Hodnocení '!CF62</f>
        <v>31439.673906348191</v>
      </c>
      <c r="CG66" s="479">
        <f>'Hodnocení '!CG62</f>
        <v>27736.496615082382</v>
      </c>
      <c r="CH66" s="479">
        <f>'Hodnocení '!CH62</f>
        <v>27736.496615082382</v>
      </c>
      <c r="CI66" s="479">
        <f>'Hodnocení '!CI62</f>
        <v>34616.353338856919</v>
      </c>
      <c r="CJ66" s="479">
        <f>'Hodnocení '!CJ62</f>
        <v>28113.406621530874</v>
      </c>
      <c r="CK66" s="479">
        <f>'Hodnocení '!CK62</f>
        <v>29279.931534256906</v>
      </c>
      <c r="CL66" s="479">
        <f>'Hodnocení '!CL62</f>
        <v>26837.070867899798</v>
      </c>
      <c r="CM66" s="479">
        <f>'Hodnocení '!CM62</f>
        <v>24448.908771949045</v>
      </c>
      <c r="CN66" s="479">
        <f>'Hodnocení '!CN62</f>
        <v>25287.261406181333</v>
      </c>
      <c r="CO66" s="479">
        <f>'Hodnocení '!CO62</f>
        <v>25287.261406181333</v>
      </c>
      <c r="CP66" s="479">
        <f>'Hodnocení '!CP62</f>
        <v>25287.261406181333</v>
      </c>
      <c r="CQ66" s="479">
        <f>'Hodnocení '!CQ62</f>
        <v>26364.572073040395</v>
      </c>
      <c r="CR66" s="479">
        <f>'Hodnocení '!CR62</f>
        <v>24448.908771949045</v>
      </c>
      <c r="CS66" s="479">
        <f>'Hodnocení '!CS62</f>
        <v>0</v>
      </c>
      <c r="CT66" s="479">
        <f>'Hodnocení '!CT62</f>
        <v>27736.496615082382</v>
      </c>
      <c r="CU66" s="479">
        <f>'Hodnocení '!CU62</f>
        <v>24448.908771949045</v>
      </c>
      <c r="CV66" s="479">
        <f>'Hodnocení '!CV62</f>
        <v>25494.782664826929</v>
      </c>
      <c r="CW66" s="479">
        <f>'Hodnocení '!CW62</f>
        <v>0</v>
      </c>
      <c r="CX66" s="479">
        <f>'Hodnocení '!CX62</f>
        <v>23004.176189640086</v>
      </c>
      <c r="CY66" s="479">
        <f>'Hodnocení '!CY62</f>
        <v>24448.908771949045</v>
      </c>
      <c r="CZ66" s="479">
        <f>'Hodnocení '!CZ62</f>
        <v>26364.572073040395</v>
      </c>
      <c r="DA66" s="479">
        <f>'Hodnocení '!DA62</f>
        <v>0</v>
      </c>
      <c r="DB66" s="479">
        <f>'Hodnocení '!DB62</f>
        <v>31127.953171467958</v>
      </c>
      <c r="DC66" s="479">
        <f>'Hodnocení '!DC62</f>
        <v>25287.261406181333</v>
      </c>
      <c r="DD66" s="479">
        <f>'Hodnocení '!DD62</f>
        <v>0</v>
      </c>
      <c r="DE66" s="479">
        <f>'Hodnocení '!DE62</f>
        <v>0</v>
      </c>
      <c r="DF66" s="479">
        <f>'Hodnocení '!DF62</f>
        <v>0</v>
      </c>
      <c r="DG66" s="479">
        <f>'Hodnocení '!DG62</f>
        <v>0</v>
      </c>
      <c r="DH66" s="479">
        <f>'Hodnocení '!DH62</f>
        <v>24581.975096862661</v>
      </c>
      <c r="DI66" s="479">
        <f>'Hodnocení '!DI62</f>
        <v>25293.255114356805</v>
      </c>
      <c r="DJ66" s="479">
        <f>'Hodnocení '!DJ62</f>
        <v>26837.070867899798</v>
      </c>
      <c r="DK66" s="479">
        <f>'Hodnocení '!DK62</f>
        <v>26837.070867899798</v>
      </c>
      <c r="DL66" s="479">
        <f>'Hodnocení '!DL62</f>
        <v>24448.908771949045</v>
      </c>
      <c r="DM66" s="479">
        <f>'Hodnocení '!DM62</f>
        <v>23004.176189640086</v>
      </c>
      <c r="DN66" s="479">
        <f>'Hodnocení '!DN62</f>
        <v>25287.261406181333</v>
      </c>
      <c r="DO66" s="479">
        <f>'Hodnocení '!DO62</f>
        <v>0</v>
      </c>
      <c r="DP66" s="479">
        <f>'Hodnocení '!DP62</f>
        <v>25287.261406181333</v>
      </c>
      <c r="DQ66" s="479">
        <f>'Hodnocení '!DQ62</f>
        <v>26364.572073040395</v>
      </c>
      <c r="DR66" s="479">
        <f>'Hodnocení '!DR62</f>
        <v>26364.572073040395</v>
      </c>
      <c r="DS66" s="479">
        <f>'Hodnocení '!DS62</f>
        <v>0</v>
      </c>
      <c r="DT66" s="479">
        <f>'Hodnocení '!DT62</f>
        <v>28276.910051176939</v>
      </c>
      <c r="DU66" s="479">
        <f>'Hodnocení '!DU62</f>
        <v>24581.975096862661</v>
      </c>
      <c r="DV66" s="479">
        <f>'Hodnocení '!DV62</f>
        <v>28276.910051176939</v>
      </c>
      <c r="DW66" s="479">
        <f>'Hodnocení '!DW62</f>
        <v>25293.255114356805</v>
      </c>
      <c r="DX66" s="479">
        <f>'Hodnocení '!DX62</f>
        <v>26837.070867899798</v>
      </c>
      <c r="DY66" s="479">
        <f>'Hodnocení '!DY62</f>
        <v>0</v>
      </c>
      <c r="DZ66" s="479">
        <f>'Hodnocení '!DZ62</f>
        <v>0</v>
      </c>
      <c r="EA66" s="479">
        <f>'Hodnocení '!EA62</f>
        <v>23004.176189640086</v>
      </c>
      <c r="EB66" s="479">
        <f>'Hodnocení '!EB62</f>
        <v>23004.176189640086</v>
      </c>
      <c r="EC66" s="479">
        <f>'Hodnocení '!EC62</f>
        <v>26102.573409149816</v>
      </c>
      <c r="ED66" s="479">
        <f>'Hodnocení '!ED62</f>
        <v>26362.049149868351</v>
      </c>
      <c r="EE66" s="479">
        <f>'Hodnocení '!EE62</f>
        <v>31127.953171467958</v>
      </c>
      <c r="EF66" s="479">
        <f>'Hodnocení '!EF62</f>
        <v>31127.953171467958</v>
      </c>
      <c r="EG66" s="479">
        <f>'Hodnocení '!EG62</f>
        <v>31127.953171467958</v>
      </c>
      <c r="EH66" s="479">
        <f>'Hodnocení '!EH62</f>
        <v>24910.841440127879</v>
      </c>
      <c r="EI66" s="479">
        <f>'Hodnocení '!EI62</f>
        <v>25112.661826156243</v>
      </c>
      <c r="EJ66" s="479">
        <f>'Hodnocení '!EJ62</f>
        <v>26837.070867899798</v>
      </c>
      <c r="EK66" s="479">
        <f>'Hodnocení '!EK62</f>
        <v>0</v>
      </c>
      <c r="EL66" s="479">
        <f>'Hodnocení '!EL62</f>
        <v>0</v>
      </c>
      <c r="EM66" s="479">
        <f>'Hodnocení '!EM62</f>
        <v>0</v>
      </c>
      <c r="EN66" s="479">
        <f>'Hodnocení '!EN62</f>
        <v>26364.572073040395</v>
      </c>
      <c r="EO66" s="479">
        <f>'Hodnocení '!EO62</f>
        <v>31127.953171467958</v>
      </c>
      <c r="EP66" s="479">
        <f>'Hodnocení '!EP62</f>
        <v>26362.049149868351</v>
      </c>
      <c r="EQ66" s="479">
        <f>'Hodnocení '!EQ62</f>
        <v>26837.070867899798</v>
      </c>
      <c r="ER66" s="479">
        <f>'Hodnocení '!ER62</f>
        <v>24448.908771949045</v>
      </c>
      <c r="ES66" s="479">
        <f>'Hodnocení '!ES62</f>
        <v>24208.019142085453</v>
      </c>
      <c r="ET66" s="479">
        <f>'Hodnocení '!ET62</f>
        <v>0</v>
      </c>
      <c r="EU66" s="479">
        <f>'Hodnocení '!EU62</f>
        <v>0</v>
      </c>
      <c r="EV66" s="479">
        <f>'Hodnocení '!EV62</f>
        <v>31127.953171467958</v>
      </c>
      <c r="EW66" s="479">
        <f>'Hodnocení '!EW62</f>
        <v>24448.908771949045</v>
      </c>
      <c r="EX66" s="479">
        <f>'Hodnocení '!EX62</f>
        <v>25494.782664826929</v>
      </c>
      <c r="EY66" s="479">
        <f>'Hodnocení '!EY62</f>
        <v>26364.572073040395</v>
      </c>
      <c r="EZ66" s="479">
        <f>'Hodnocení '!EZ62</f>
        <v>24448.908771949045</v>
      </c>
      <c r="FA66" s="479">
        <f>'Hodnocení '!FA62</f>
        <v>24448.908771949045</v>
      </c>
      <c r="FB66" s="479">
        <f>'Hodnocení '!FB62</f>
        <v>24448.908771949045</v>
      </c>
      <c r="FC66" s="479">
        <f>'Hodnocení '!FC62</f>
        <v>24448.908771949045</v>
      </c>
      <c r="FD66" s="479">
        <f>'Hodnocení '!FD62</f>
        <v>27736.496615082382</v>
      </c>
      <c r="FE66" s="479">
        <f>'Hodnocení '!FE62</f>
        <v>29279.931534256906</v>
      </c>
      <c r="FF66" s="479">
        <f>'Hodnocení '!FF62</f>
        <v>24448.908771949045</v>
      </c>
      <c r="FG66" s="479">
        <f>'Hodnocení '!FG62</f>
        <v>25494.782664826929</v>
      </c>
      <c r="FH66" s="479">
        <f>'Hodnocení '!FH62</f>
        <v>24602.206032430611</v>
      </c>
      <c r="FI66" s="479">
        <f>'Hodnocení '!FI62</f>
        <v>25494.782664826929</v>
      </c>
      <c r="FJ66" s="479">
        <f>'Hodnocení '!FJ62</f>
        <v>24448.908771949045</v>
      </c>
      <c r="FK66" s="479">
        <f>'Hodnocení '!FK62</f>
        <v>24448.908771949045</v>
      </c>
      <c r="FL66" s="479">
        <f>'Hodnocení '!FL62</f>
        <v>24846.947441386379</v>
      </c>
      <c r="FM66" s="479">
        <f>'Hodnocení '!FM62</f>
        <v>24448.908771949045</v>
      </c>
      <c r="FN66" s="479">
        <f>'Hodnocení '!FN62</f>
        <v>24448.908771949045</v>
      </c>
      <c r="FO66" s="479">
        <f>'Hodnocení '!FO62</f>
        <v>26362.049149868351</v>
      </c>
      <c r="FP66" s="479">
        <f>'Hodnocení '!FP62</f>
        <v>25494.782664826929</v>
      </c>
      <c r="FQ66" s="479">
        <f>'Hodnocení '!FQ62</f>
        <v>28276.910051176939</v>
      </c>
      <c r="FR66" s="479">
        <f>'Hodnocení '!FR62</f>
        <v>0</v>
      </c>
      <c r="FS66" s="479">
        <f>'Hodnocení '!FS62</f>
        <v>29279.931534256906</v>
      </c>
      <c r="FT66" s="479">
        <f>'Hodnocení '!FT62</f>
        <v>24448.908771949045</v>
      </c>
      <c r="FU66" s="479">
        <f>'Hodnocení '!FU62</f>
        <v>24846.947441386379</v>
      </c>
      <c r="FV66" s="479">
        <f>'Hodnocení '!FV62</f>
        <v>24448.908771949045</v>
      </c>
      <c r="FW66" s="479">
        <f>'Hodnocení '!FW62</f>
        <v>24448.908771949045</v>
      </c>
      <c r="FX66" s="479">
        <f>'Hodnocení '!FX62</f>
        <v>24448.908771949045</v>
      </c>
      <c r="FY66" s="479">
        <f>'Hodnocení '!FY62</f>
        <v>24448.908771949045</v>
      </c>
      <c r="FZ66" s="479">
        <f>'Hodnocení '!FZ62</f>
        <v>24448.908771949045</v>
      </c>
      <c r="GA66" s="479">
        <f>'Hodnocení '!GA62</f>
        <v>26102.573409149816</v>
      </c>
      <c r="GB66" s="479">
        <f>'Hodnocení '!GB62</f>
        <v>25494.782664826929</v>
      </c>
      <c r="GC66" s="479">
        <f>'Hodnocení '!GC62</f>
        <v>24448.908771949045</v>
      </c>
      <c r="GD66" s="479">
        <f>'Hodnocení '!GD62</f>
        <v>25494.782664826929</v>
      </c>
      <c r="GE66" s="479">
        <f>'Hodnocení '!GE62</f>
        <v>26837.070867899798</v>
      </c>
      <c r="GF66" s="479">
        <f>'Hodnocení '!GF62</f>
        <v>24448.908771949045</v>
      </c>
      <c r="GG66" s="479">
        <f>'Hodnocení '!GG62</f>
        <v>26102.573409149816</v>
      </c>
      <c r="GH66" s="479">
        <f>'Hodnocení '!GH62</f>
        <v>24846.947441386379</v>
      </c>
      <c r="GI66" s="479">
        <f>'Hodnocení '!GI62</f>
        <v>25494.782664826929</v>
      </c>
      <c r="GJ66" s="479">
        <f>'Hodnocení '!GJ62</f>
        <v>24448.908771949045</v>
      </c>
      <c r="GK66" s="479">
        <f>'Hodnocení '!GK62</f>
        <v>26102.573409149816</v>
      </c>
      <c r="GL66" s="479">
        <f>'Hodnocení '!GL62</f>
        <v>24846.947441386379</v>
      </c>
      <c r="GM66" s="479">
        <f>'Hodnocení '!GM62</f>
        <v>25287.261406181333</v>
      </c>
      <c r="GN66" s="479">
        <f>'Hodnocení '!GN62</f>
        <v>26364.572073040395</v>
      </c>
      <c r="GO66" s="479">
        <f>'Hodnocení '!GO62</f>
        <v>25494.782664826929</v>
      </c>
      <c r="GP66" s="479">
        <f>'Hodnocení '!GP62</f>
        <v>24448.908771949045</v>
      </c>
      <c r="GQ66" s="479">
        <f>'Hodnocení '!GQ62</f>
        <v>24448.908771949045</v>
      </c>
      <c r="GR66" s="479">
        <f>'Hodnocení '!GR62</f>
        <v>24448.908771949045</v>
      </c>
      <c r="GS66" s="479">
        <f>'Hodnocení '!GS62</f>
        <v>24448.908771949045</v>
      </c>
      <c r="GT66" s="479">
        <f>'Hodnocení '!GT62</f>
        <v>24448.908771949045</v>
      </c>
      <c r="GU66" s="479">
        <f>'Hodnocení '!GU62</f>
        <v>26362.049149868351</v>
      </c>
      <c r="GV66" s="479">
        <f>'Hodnocení '!GV62</f>
        <v>0</v>
      </c>
      <c r="GW66" s="479">
        <f>'Hodnocení '!GW62</f>
        <v>24448.908771949045</v>
      </c>
      <c r="GX66" s="479">
        <f>'Hodnocení '!GX62</f>
        <v>24448.908771949045</v>
      </c>
      <c r="GY66" s="479">
        <f>'Hodnocení '!GY62</f>
        <v>25494.782664826929</v>
      </c>
      <c r="GZ66" s="479">
        <f>'Hodnocení '!GZ62</f>
        <v>0</v>
      </c>
      <c r="HA66" s="479">
        <f>'Hodnocení '!HA62</f>
        <v>24448.908771949045</v>
      </c>
      <c r="HB66" s="479">
        <f>'Hodnocení '!HB62</f>
        <v>26362.049149868351</v>
      </c>
      <c r="HC66" s="479">
        <f>'Hodnocení '!HC62</f>
        <v>25494.782664826929</v>
      </c>
      <c r="HD66" s="479">
        <f>'Hodnocení '!HD62</f>
        <v>24448.908771949045</v>
      </c>
      <c r="HE66" s="479">
        <f>'Hodnocení '!HE62</f>
        <v>25494.782664826929</v>
      </c>
      <c r="HF66" s="479">
        <f>'Hodnocení '!HF62</f>
        <v>24448.908771949045</v>
      </c>
      <c r="HG66" s="479">
        <f>'Hodnocení '!HG62</f>
        <v>24846.947441386379</v>
      </c>
      <c r="HH66" s="479">
        <f>'Hodnocení '!HH62</f>
        <v>0</v>
      </c>
      <c r="HI66" s="479">
        <f>'Hodnocení '!HI62</f>
        <v>24448.908771949045</v>
      </c>
      <c r="HJ66" s="479">
        <f>'Hodnocení '!HJ62</f>
        <v>26837.070867899798</v>
      </c>
      <c r="HK66" s="479">
        <f>'Hodnocení '!HK62</f>
        <v>24448.908771949045</v>
      </c>
      <c r="HL66" s="479">
        <f>'Hodnocení '!HL62</f>
        <v>26849.811948652292</v>
      </c>
      <c r="HM66" s="479">
        <f>'Hodnocení '!HM62</f>
        <v>28276.910051176939</v>
      </c>
      <c r="HN66" s="479">
        <f>'Hodnocení '!HN62</f>
        <v>25293.255114356805</v>
      </c>
      <c r="HO66" s="479">
        <f>'Hodnocení '!HO62</f>
        <v>26837.070867899798</v>
      </c>
      <c r="HP66" s="479">
        <f>'Hodnocení '!HP62</f>
        <v>26849.811948652292</v>
      </c>
      <c r="HQ66" s="479">
        <f>'Hodnocení '!HQ62</f>
        <v>26362.049149868351</v>
      </c>
      <c r="HR66" s="479">
        <f>'Hodnocení '!HR62</f>
        <v>26849.811948652292</v>
      </c>
      <c r="HS66" s="479">
        <f>'Hodnocení '!HS62</f>
        <v>28276.910051176939</v>
      </c>
      <c r="HT66" s="479">
        <f>'Hodnocení '!HT62</f>
        <v>24602.206032430611</v>
      </c>
      <c r="HU66" s="479">
        <f>'Hodnocení '!HU62</f>
        <v>24602.206032430611</v>
      </c>
      <c r="HV66" s="479">
        <f>'Hodnocení '!HV62</f>
        <v>25494.782664826929</v>
      </c>
      <c r="HW66" s="479">
        <f>'Hodnocení '!HW62</f>
        <v>25494.782664826929</v>
      </c>
      <c r="HX66" s="479">
        <f>'Hodnocení '!HX62</f>
        <v>24602.206032430611</v>
      </c>
      <c r="HY66" s="479">
        <f>'Hodnocení '!HY62</f>
        <v>25494.782664826929</v>
      </c>
      <c r="HZ66" s="479">
        <f>'Hodnocení '!HZ62</f>
        <v>25494.782664826929</v>
      </c>
      <c r="IA66" s="479">
        <f>'Hodnocení '!IA62</f>
        <v>25494.782664826929</v>
      </c>
      <c r="IB66" s="479">
        <f>'Hodnocení '!IB62</f>
        <v>25494.782664826929</v>
      </c>
      <c r="IC66" s="479">
        <f>'Hodnocení '!IC62</f>
        <v>25494.782664826929</v>
      </c>
      <c r="ID66" s="479">
        <f>'Hodnocení '!ID62</f>
        <v>24602.206032430611</v>
      </c>
      <c r="IE66" s="479">
        <f>'Hodnocení '!IE62</f>
        <v>25494.782664826929</v>
      </c>
      <c r="IF66" s="479">
        <f>'Hodnocení '!IF62</f>
        <v>25494.782664826929</v>
      </c>
      <c r="IG66" s="479">
        <f>'Hodnocení '!IG62</f>
        <v>0</v>
      </c>
      <c r="IH66" s="479">
        <f>'Hodnocení '!IH62</f>
        <v>26849.811948652292</v>
      </c>
      <c r="II66" s="479">
        <f>'Hodnocení '!II62</f>
        <v>24602.206032430611</v>
      </c>
      <c r="IJ66" s="479">
        <f>'Hodnocení '!IJ62</f>
        <v>28276.910051176939</v>
      </c>
      <c r="IK66" s="479">
        <f>'Hodnocení '!IK62</f>
        <v>26837.070867899798</v>
      </c>
      <c r="IL66" s="479">
        <f>'Hodnocení '!IL62</f>
        <v>25494.782664826929</v>
      </c>
      <c r="IM66" s="479">
        <f>'Hodnocení '!IM62</f>
        <v>26102.573409149816</v>
      </c>
      <c r="IN66" s="479">
        <f>'Hodnocení '!IN62</f>
        <v>25494.782664826929</v>
      </c>
      <c r="IO66" s="479">
        <f>'Hodnocení '!IO62</f>
        <v>24602.206032430611</v>
      </c>
      <c r="IP66" s="479">
        <f>'Hodnocení '!IP62</f>
        <v>26849.811948652292</v>
      </c>
      <c r="IQ66" s="479">
        <f>'Hodnocení '!IQ62</f>
        <v>26849.811948652292</v>
      </c>
      <c r="IR66" s="479">
        <f>'Hodnocení '!IR62</f>
        <v>28276.910051176939</v>
      </c>
      <c r="IS66" s="479">
        <f>'Hodnocení '!IS62</f>
        <v>25494.782664826929</v>
      </c>
      <c r="IT66" s="479">
        <f>'Hodnocení '!IT62</f>
        <v>24602.206032430611</v>
      </c>
      <c r="IU66" s="479">
        <f>'Hodnocení '!IU62</f>
        <v>26102.573409149816</v>
      </c>
      <c r="IV66" s="479">
        <f>'Hodnocení '!IV62</f>
        <v>25494.782664826929</v>
      </c>
      <c r="IW66" s="479">
        <f>'Hodnocení '!IW62</f>
        <v>24602.206032430611</v>
      </c>
      <c r="IX66" s="479">
        <f>'Hodnocení '!IX62</f>
        <v>28276.910051176939</v>
      </c>
      <c r="IY66" s="479">
        <f>'Hodnocení '!IY62</f>
        <v>26849.811948652292</v>
      </c>
      <c r="IZ66" s="479">
        <f>'Hodnocení '!IZ62</f>
        <v>25494.782664826929</v>
      </c>
      <c r="JA66" s="479">
        <f>'Hodnocení '!JA62</f>
        <v>31127.953171467958</v>
      </c>
      <c r="JB66" s="479">
        <f>'Hodnocení '!JB62</f>
        <v>34478.369790155819</v>
      </c>
      <c r="JC66" s="479">
        <f>'Hodnocení '!JC62</f>
        <v>25287.261406181333</v>
      </c>
      <c r="JD66" s="479">
        <f>'Hodnocení '!JD62</f>
        <v>26837.070867899798</v>
      </c>
      <c r="JE66" s="479">
        <f>'Hodnocení '!JE62</f>
        <v>26102.573409149816</v>
      </c>
      <c r="JF66" s="479">
        <f>'Hodnocení '!JF62</f>
        <v>26849.811948652292</v>
      </c>
      <c r="JG66" s="479">
        <f>'Hodnocení '!JG62</f>
        <v>26849.811948652292</v>
      </c>
      <c r="JH66" s="780">
        <f>'Hodnocení '!JH62</f>
        <v>32243.952958531994</v>
      </c>
      <c r="JI66" s="470">
        <f>'Hodnocení '!JI62</f>
        <v>0</v>
      </c>
    </row>
    <row r="67" spans="1:276" hidden="1" x14ac:dyDescent="0.25">
      <c r="A67" s="263"/>
      <c r="B67" s="737"/>
      <c r="C67" s="794">
        <f>'Hodnocení '!C63</f>
        <v>-342265.29123419133</v>
      </c>
      <c r="D67" s="488">
        <f>'Hodnocení '!D63</f>
        <v>-1367654.6971757081</v>
      </c>
      <c r="E67" s="488">
        <f>'Hodnocení '!E63</f>
        <v>262240.22052063327</v>
      </c>
      <c r="F67" s="488">
        <f>'Hodnocení '!F63</f>
        <v>-367797.81986234622</v>
      </c>
      <c r="G67" s="488">
        <f>'Hodnocení '!G63</f>
        <v>710705.86279170902</v>
      </c>
      <c r="H67" s="488">
        <f>'Hodnocení '!H63</f>
        <v>0</v>
      </c>
      <c r="I67" s="488">
        <f>'Hodnocení '!I63</f>
        <v>205043.17772355504</v>
      </c>
      <c r="J67" s="488">
        <f>'Hodnocení '!J63</f>
        <v>-1034315.2394402931</v>
      </c>
      <c r="K67" s="488">
        <f>'Hodnocení '!K63</f>
        <v>1023729.2513013157</v>
      </c>
      <c r="L67" s="488">
        <f>'Hodnocení '!L63</f>
        <v>0</v>
      </c>
      <c r="M67" s="488">
        <f>'Hodnocení '!M63</f>
        <v>-981664.32349824475</v>
      </c>
      <c r="N67" s="488">
        <f>'Hodnocení '!N63</f>
        <v>115828.60302667007</v>
      </c>
      <c r="O67" s="488">
        <f>'Hodnocení '!O63</f>
        <v>241488.27525939478</v>
      </c>
      <c r="P67" s="488">
        <f>'Hodnocení '!P63</f>
        <v>129876.934974159</v>
      </c>
      <c r="Q67" s="488">
        <f>'Hodnocení '!Q63</f>
        <v>55826.304425624534</v>
      </c>
      <c r="R67" s="488">
        <f>'Hodnocení '!R63</f>
        <v>-1078372.0030573779</v>
      </c>
      <c r="S67" s="488">
        <f>'Hodnocení '!S63</f>
        <v>-509790.32247722003</v>
      </c>
      <c r="T67" s="488">
        <f>'Hodnocení '!T63</f>
        <v>489528.70037222316</v>
      </c>
      <c r="U67" s="488">
        <f>'Hodnocení '!U63</f>
        <v>-112431.15326332147</v>
      </c>
      <c r="V67" s="488">
        <f>'Hodnocení '!V63</f>
        <v>-756878.09248396102</v>
      </c>
      <c r="W67" s="488">
        <f>'Hodnocení '!W63</f>
        <v>-281416.12103842257</v>
      </c>
      <c r="X67" s="488">
        <f>'Hodnocení '!X63</f>
        <v>259232.55467478227</v>
      </c>
      <c r="Y67" s="488">
        <f>'Hodnocení '!Y63</f>
        <v>-2415976.4662723579</v>
      </c>
      <c r="Z67" s="488">
        <f>'Hodnocení '!Z63</f>
        <v>-2972592.9699721881</v>
      </c>
      <c r="AA67" s="488">
        <f>'Hodnocení '!AA63</f>
        <v>394885.44902487379</v>
      </c>
      <c r="AB67" s="488">
        <f>'Hodnocení '!AB63</f>
        <v>122987.1919656056</v>
      </c>
      <c r="AC67" s="488">
        <f>'Hodnocení '!AC63</f>
        <v>28489.41187404795</v>
      </c>
      <c r="AD67" s="488">
        <f>'Hodnocení '!AD63</f>
        <v>-69227.78835616447</v>
      </c>
      <c r="AE67" s="488">
        <f>'Hodnocení '!AE63</f>
        <v>-140556.34499850788</v>
      </c>
      <c r="AF67" s="488">
        <f>'Hodnocení '!AF63</f>
        <v>-50275.207896999011</v>
      </c>
      <c r="AG67" s="488">
        <f>'Hodnocení '!AG63</f>
        <v>125060.75486989686</v>
      </c>
      <c r="AH67" s="488">
        <f>'Hodnocení '!AH63</f>
        <v>-217899.59475689233</v>
      </c>
      <c r="AI67" s="488">
        <f>'Hodnocení '!AI63</f>
        <v>263647.54924712447</v>
      </c>
      <c r="AJ67" s="488">
        <f>'Hodnocení '!AJ63</f>
        <v>212665.70674122276</v>
      </c>
      <c r="AK67" s="488">
        <f>'Hodnocení '!AK63</f>
        <v>109893.27078166869</v>
      </c>
      <c r="AL67" s="488">
        <f>'Hodnocení '!AL63</f>
        <v>-251906.8209421084</v>
      </c>
      <c r="AM67" s="488">
        <f>'Hodnocení '!AM63</f>
        <v>-763814.72921833163</v>
      </c>
      <c r="AN67" s="488">
        <f>'Hodnocení '!AN63</f>
        <v>121055.19849877898</v>
      </c>
      <c r="AO67" s="488">
        <f>'Hodnocení '!AO63</f>
        <v>1101913.3328778169</v>
      </c>
      <c r="AP67" s="488">
        <f>'Hodnocení '!AP63</f>
        <v>-591935.48241244187</v>
      </c>
      <c r="AQ67" s="488">
        <f>'Hodnocení '!AQ63</f>
        <v>63655.480148889255</v>
      </c>
      <c r="AR67" s="488">
        <f>'Hodnocení '!AR63</f>
        <v>170920.86502245505</v>
      </c>
      <c r="AS67" s="488">
        <f>'Hodnocení '!AS63</f>
        <v>44681.220223333854</v>
      </c>
      <c r="AT67" s="488">
        <f>'Hodnocení '!AT63</f>
        <v>322367.43236834195</v>
      </c>
      <c r="AU67" s="488">
        <f>'Hodnocení '!AU63</f>
        <v>97944.939466421318</v>
      </c>
      <c r="AV67" s="488">
        <f>'Hodnocení '!AV63</f>
        <v>-39440.333716616478</v>
      </c>
      <c r="AW67" s="488">
        <f>'Hodnocení '!AW63</f>
        <v>52124.334792413159</v>
      </c>
      <c r="AX67" s="488">
        <f>'Hodnocení '!AX63</f>
        <v>270115.31108075113</v>
      </c>
      <c r="AY67" s="488">
        <f>'Hodnocení '!AY63</f>
        <v>63962.99191914768</v>
      </c>
      <c r="AZ67" s="488">
        <f>'Hodnocení '!AZ63</f>
        <v>0</v>
      </c>
      <c r="BA67" s="488">
        <f>'Hodnocení '!BA63</f>
        <v>0</v>
      </c>
      <c r="BB67" s="488">
        <f>'Hodnocení '!BB63</f>
        <v>309618.68070722395</v>
      </c>
      <c r="BC67" s="488">
        <f>'Hodnocení '!BC63</f>
        <v>-253689.14583333331</v>
      </c>
      <c r="BD67" s="488">
        <f>'Hodnocení '!BD63</f>
        <v>103641.40481827228</v>
      </c>
      <c r="BE67" s="488">
        <f>'Hodnocení '!BE63</f>
        <v>-372616.26602236286</v>
      </c>
      <c r="BF67" s="488">
        <f>'Hodnocení '!BF63</f>
        <v>0</v>
      </c>
      <c r="BG67" s="488">
        <f>'Hodnocení '!BG63</f>
        <v>0</v>
      </c>
      <c r="BH67" s="488">
        <f>'Hodnocení '!BH63</f>
        <v>0</v>
      </c>
      <c r="BI67" s="488">
        <f>'Hodnocení '!BI63</f>
        <v>0</v>
      </c>
      <c r="BJ67" s="488">
        <f>'Hodnocení '!BJ63</f>
        <v>81837.853564726713</v>
      </c>
      <c r="BK67" s="488">
        <f>'Hodnocení '!BK63</f>
        <v>221490.34231459786</v>
      </c>
      <c r="BL67" s="488">
        <f>'Hodnocení '!BL63</f>
        <v>0</v>
      </c>
      <c r="BM67" s="488">
        <f>'Hodnocení '!BM63</f>
        <v>262349.12708161038</v>
      </c>
      <c r="BN67" s="488">
        <f>'Hodnocení '!BN63</f>
        <v>75102.373153743509</v>
      </c>
      <c r="BO67" s="488">
        <f>'Hodnocení '!BO63</f>
        <v>0</v>
      </c>
      <c r="BP67" s="488">
        <f>'Hodnocení '!BP63</f>
        <v>-30803.802152723358</v>
      </c>
      <c r="BQ67" s="488">
        <f>'Hodnocení '!BQ63</f>
        <v>-13524.04831993574</v>
      </c>
      <c r="BR67" s="488">
        <f>'Hodnocení '!BR63</f>
        <v>154631.29550250122</v>
      </c>
      <c r="BS67" s="488">
        <f>'Hodnocení '!BS63</f>
        <v>12382.298967874071</v>
      </c>
      <c r="BT67" s="488">
        <f>'Hodnocení '!BT63</f>
        <v>-186883.94944166532</v>
      </c>
      <c r="BU67" s="488">
        <f>'Hodnocení '!BU63</f>
        <v>-285028.79527104215</v>
      </c>
      <c r="BV67" s="488">
        <f>'Hodnocení '!BV63</f>
        <v>398615.59155145439</v>
      </c>
      <c r="BW67" s="488">
        <f>'Hodnocení '!BW63</f>
        <v>-13510.943557435363</v>
      </c>
      <c r="BX67" s="488">
        <f>'Hodnocení '!BX63</f>
        <v>653636.19106335379</v>
      </c>
      <c r="BY67" s="488">
        <f>'Hodnocení '!BY63</f>
        <v>-186475.05697757643</v>
      </c>
      <c r="BZ67" s="488">
        <f>'Hodnocení '!BZ63</f>
        <v>-257244.69324837439</v>
      </c>
      <c r="CA67" s="488">
        <f>'Hodnocení '!CA63</f>
        <v>0</v>
      </c>
      <c r="CB67" s="488">
        <f>'Hodnocení '!CB63</f>
        <v>39256.101421467305</v>
      </c>
      <c r="CC67" s="488">
        <f>'Hodnocení '!CC63</f>
        <v>117637.66254166378</v>
      </c>
      <c r="CD67" s="488">
        <f>'Hodnocení '!CD63</f>
        <v>14512.216855739673</v>
      </c>
      <c r="CE67" s="488">
        <f>'Hodnocení '!CE63</f>
        <v>-232822.41530055876</v>
      </c>
      <c r="CF67" s="488">
        <f>'Hodnocení '!CF63</f>
        <v>50414.145774101511</v>
      </c>
      <c r="CG67" s="488">
        <f>'Hodnocení '!CG63</f>
        <v>-217967.10329016089</v>
      </c>
      <c r="CH67" s="488">
        <f>'Hodnocení '!CH63</f>
        <v>-462257.18816362054</v>
      </c>
      <c r="CI67" s="488">
        <f>'Hodnocení '!CI63</f>
        <v>0</v>
      </c>
      <c r="CJ67" s="488">
        <f>'Hodnocení '!CJ63</f>
        <v>0</v>
      </c>
      <c r="CK67" s="488">
        <f>'Hodnocení '!CK63</f>
        <v>80353.118987976501</v>
      </c>
      <c r="CL67" s="488">
        <f>'Hodnocení '!CL63</f>
        <v>-218471.99333129227</v>
      </c>
      <c r="CM67" s="488">
        <f>'Hodnocení '!CM63</f>
        <v>-269068.03275485005</v>
      </c>
      <c r="CN67" s="488">
        <f>'Hodnocení '!CN63</f>
        <v>59434.772719491637</v>
      </c>
      <c r="CO67" s="488">
        <f>'Hodnocení '!CO63</f>
        <v>-53212.999832796828</v>
      </c>
      <c r="CP67" s="488">
        <f>'Hodnocení '!CP63</f>
        <v>30382.256800304269</v>
      </c>
      <c r="CQ67" s="488">
        <f>'Hodnocení '!CQ63</f>
        <v>261749.72606817112</v>
      </c>
      <c r="CR67" s="488">
        <f>'Hodnocení '!CR63</f>
        <v>304287.11894897011</v>
      </c>
      <c r="CS67" s="488">
        <f>'Hodnocení '!CS63</f>
        <v>0</v>
      </c>
      <c r="CT67" s="488">
        <f>'Hodnocení '!CT63</f>
        <v>-73724.088013109795</v>
      </c>
      <c r="CU67" s="488">
        <f>'Hodnocení '!CU63</f>
        <v>7260.7861596786424</v>
      </c>
      <c r="CV67" s="488">
        <f>'Hodnocení '!CV63</f>
        <v>798064.91518977669</v>
      </c>
      <c r="CW67" s="488">
        <f>'Hodnocení '!CW63</f>
        <v>0</v>
      </c>
      <c r="CX67" s="488">
        <f>'Hodnocení '!CX63</f>
        <v>-1028234.5333960427</v>
      </c>
      <c r="CY67" s="488">
        <f>'Hodnocení '!CY63</f>
        <v>-158393.88523052074</v>
      </c>
      <c r="CZ67" s="488">
        <f>'Hodnocení '!CZ63</f>
        <v>-111588.91249802533</v>
      </c>
      <c r="DA67" s="488">
        <f>'Hodnocení '!DA63</f>
        <v>0</v>
      </c>
      <c r="DB67" s="488">
        <f>'Hodnocení '!DB63</f>
        <v>24512.524658825827</v>
      </c>
      <c r="DC67" s="488">
        <f>'Hodnocení '!DC63</f>
        <v>-482159.86032247968</v>
      </c>
      <c r="DD67" s="488">
        <f>'Hodnocení '!DD63</f>
        <v>0</v>
      </c>
      <c r="DE67" s="488">
        <f>'Hodnocení '!DE63</f>
        <v>0</v>
      </c>
      <c r="DF67" s="488">
        <f>'Hodnocení '!DF63</f>
        <v>0</v>
      </c>
      <c r="DG67" s="488">
        <f>'Hodnocení '!DG63</f>
        <v>0</v>
      </c>
      <c r="DH67" s="488">
        <f>'Hodnocení '!DH63</f>
        <v>-67894.806012522153</v>
      </c>
      <c r="DI67" s="488">
        <f>'Hodnocení '!DI63</f>
        <v>-212745.35069209331</v>
      </c>
      <c r="DJ67" s="488">
        <f>'Hodnocení '!DJ63</f>
        <v>-214287.85183354374</v>
      </c>
      <c r="DK67" s="488">
        <f>'Hodnocení '!DK63</f>
        <v>26548.493550520539</v>
      </c>
      <c r="DL67" s="488">
        <f>'Hodnocení '!DL63</f>
        <v>277072.22180045355</v>
      </c>
      <c r="DM67" s="488">
        <f>'Hodnocení '!DM63</f>
        <v>232155.58381385566</v>
      </c>
      <c r="DN67" s="488">
        <f>'Hodnocení '!DN63</f>
        <v>413841.83738365688</v>
      </c>
      <c r="DO67" s="488">
        <f>'Hodnocení '!DO63</f>
        <v>0</v>
      </c>
      <c r="DP67" s="488">
        <f>'Hodnocení '!DP63</f>
        <v>-393474.89264618291</v>
      </c>
      <c r="DQ67" s="488">
        <f>'Hodnocení '!DQ63</f>
        <v>-415261.71780423494</v>
      </c>
      <c r="DR67" s="488">
        <f>'Hodnocení '!DR63</f>
        <v>-607582.95869469445</v>
      </c>
      <c r="DS67" s="488">
        <f>'Hodnocení '!DS63</f>
        <v>0</v>
      </c>
      <c r="DT67" s="488">
        <f>'Hodnocení '!DT63</f>
        <v>473573.20137304231</v>
      </c>
      <c r="DU67" s="488">
        <f>'Hodnocení '!DU63</f>
        <v>54311.116497541188</v>
      </c>
      <c r="DV67" s="488">
        <f>'Hodnocení '!DV63</f>
        <v>1530942.3028013087</v>
      </c>
      <c r="DW67" s="488">
        <f>'Hodnocení '!DW63</f>
        <v>620498.49582172709</v>
      </c>
      <c r="DX67" s="488">
        <f>'Hodnocení '!DX63</f>
        <v>-290881.24125573988</v>
      </c>
      <c r="DY67" s="488">
        <f>'Hodnocení '!DY63</f>
        <v>0</v>
      </c>
      <c r="DZ67" s="488">
        <f>'Hodnocení '!DZ63</f>
        <v>0</v>
      </c>
      <c r="EA67" s="488">
        <f>'Hodnocení '!EA63</f>
        <v>246252.92638142372</v>
      </c>
      <c r="EB67" s="488">
        <f>'Hodnocení '!EB63</f>
        <v>1140037.7320263642</v>
      </c>
      <c r="EC67" s="488">
        <f>'Hodnocení '!EC63</f>
        <v>162383.7512384656</v>
      </c>
      <c r="ED67" s="488">
        <f>'Hodnocení '!ED63</f>
        <v>317047.92154010548</v>
      </c>
      <c r="EE67" s="488">
        <f>'Hodnocení '!EE63</f>
        <v>75012.005428056596</v>
      </c>
      <c r="EF67" s="488">
        <f>'Hodnocení '!EF63</f>
        <v>32192.875465278863</v>
      </c>
      <c r="EG67" s="488">
        <f>'Hodnocení '!EG63</f>
        <v>12785.220223333856</v>
      </c>
      <c r="EH67" s="488">
        <f>'Hodnocení '!EH63</f>
        <v>46476.945868381088</v>
      </c>
      <c r="EI67" s="488">
        <f>'Hodnocení '!EI63</f>
        <v>240369.05378803669</v>
      </c>
      <c r="EJ67" s="488">
        <f>'Hodnocení '!EJ63</f>
        <v>-83795.534311223368</v>
      </c>
      <c r="EK67" s="488">
        <f>'Hodnocení '!EK63</f>
        <v>0</v>
      </c>
      <c r="EL67" s="488">
        <f>'Hodnocení '!EL63</f>
        <v>0</v>
      </c>
      <c r="EM67" s="488">
        <f>'Hodnocení '!EM63</f>
        <v>0</v>
      </c>
      <c r="EN67" s="488">
        <f>'Hodnocení '!EN63</f>
        <v>245140.84526450967</v>
      </c>
      <c r="EO67" s="488">
        <f>'Hodnocení '!EO63</f>
        <v>90118.146815555898</v>
      </c>
      <c r="EP67" s="488">
        <f>'Hodnocení '!EP63</f>
        <v>255172.3558581009</v>
      </c>
      <c r="EQ67" s="488">
        <f>'Hodnocení '!EQ63</f>
        <v>474030.50442442781</v>
      </c>
      <c r="ER67" s="488">
        <f>'Hodnocení '!ER63</f>
        <v>2042861.5385956452</v>
      </c>
      <c r="ES67" s="488">
        <f>'Hodnocení '!ES63</f>
        <v>118809.44734015648</v>
      </c>
      <c r="ET67" s="487">
        <f>'Hodnocení '!ET63</f>
        <v>0</v>
      </c>
      <c r="EU67" s="487">
        <f>'Hodnocení '!EU63</f>
        <v>0</v>
      </c>
      <c r="EV67" s="487">
        <f>'Hodnocení '!EV63</f>
        <v>0</v>
      </c>
      <c r="EW67" s="487">
        <f>'Hodnocení '!EW63</f>
        <v>0</v>
      </c>
      <c r="EX67" s="487">
        <f>'Hodnocení '!EX63</f>
        <v>0</v>
      </c>
      <c r="EY67" s="487">
        <f>'Hodnocení '!EY63</f>
        <v>0</v>
      </c>
      <c r="EZ67" s="487">
        <f>'Hodnocení '!EZ63</f>
        <v>0</v>
      </c>
      <c r="FA67" s="487">
        <f>'Hodnocení '!FA63</f>
        <v>0</v>
      </c>
      <c r="FB67" s="487">
        <f>'Hodnocení '!FB63</f>
        <v>0</v>
      </c>
      <c r="FC67" s="487">
        <f>'Hodnocení '!FC63</f>
        <v>0</v>
      </c>
      <c r="FD67" s="487">
        <f>'Hodnocení '!FD63</f>
        <v>0</v>
      </c>
      <c r="FE67" s="487">
        <f>'Hodnocení '!FE63</f>
        <v>0</v>
      </c>
      <c r="FF67" s="487">
        <f>'Hodnocení '!FF63</f>
        <v>0</v>
      </c>
      <c r="FG67" s="487">
        <f>'Hodnocení '!FG63</f>
        <v>0</v>
      </c>
      <c r="FH67" s="487">
        <f>'Hodnocení '!FH63</f>
        <v>0</v>
      </c>
      <c r="FI67" s="487">
        <f>'Hodnocení '!FI63</f>
        <v>0</v>
      </c>
      <c r="FJ67" s="487">
        <f>'Hodnocení '!FJ63</f>
        <v>0</v>
      </c>
      <c r="FK67" s="487">
        <f>'Hodnocení '!FK63</f>
        <v>0</v>
      </c>
      <c r="FL67" s="487">
        <f>'Hodnocení '!FL63</f>
        <v>0</v>
      </c>
      <c r="FM67" s="487">
        <f>'Hodnocení '!FM63</f>
        <v>0</v>
      </c>
      <c r="FN67" s="487">
        <f>'Hodnocení '!FN63</f>
        <v>0</v>
      </c>
      <c r="FO67" s="487">
        <f>'Hodnocení '!FO63</f>
        <v>0</v>
      </c>
      <c r="FP67" s="487">
        <f>'Hodnocení '!FP63</f>
        <v>0</v>
      </c>
      <c r="FQ67" s="487">
        <f>'Hodnocení '!FQ63</f>
        <v>0</v>
      </c>
      <c r="FR67" s="487">
        <f>'Hodnocení '!FR63</f>
        <v>0</v>
      </c>
      <c r="FS67" s="487">
        <f>'Hodnocení '!FS63</f>
        <v>0</v>
      </c>
      <c r="FT67" s="487">
        <f>'Hodnocení '!FT63</f>
        <v>0</v>
      </c>
      <c r="FU67" s="487">
        <f>'Hodnocení '!FU63</f>
        <v>0</v>
      </c>
      <c r="FV67" s="487">
        <f>'Hodnocení '!FV63</f>
        <v>0</v>
      </c>
      <c r="FW67" s="487">
        <f>'Hodnocení '!FW63</f>
        <v>0</v>
      </c>
      <c r="FX67" s="487">
        <f>'Hodnocení '!FX63</f>
        <v>0</v>
      </c>
      <c r="FY67" s="487">
        <f>'Hodnocení '!FY63</f>
        <v>0</v>
      </c>
      <c r="FZ67" s="487">
        <f>'Hodnocení '!FZ63</f>
        <v>0</v>
      </c>
      <c r="GA67" s="487">
        <f>'Hodnocení '!GA63</f>
        <v>0</v>
      </c>
      <c r="GB67" s="487">
        <f>'Hodnocení '!GB63</f>
        <v>0</v>
      </c>
      <c r="GC67" s="487">
        <f>'Hodnocení '!GC63</f>
        <v>0</v>
      </c>
      <c r="GD67" s="487">
        <f>'Hodnocení '!GD63</f>
        <v>0</v>
      </c>
      <c r="GE67" s="487">
        <f>'Hodnocení '!GE63</f>
        <v>0</v>
      </c>
      <c r="GF67" s="487">
        <f>'Hodnocení '!GF63</f>
        <v>0</v>
      </c>
      <c r="GG67" s="487">
        <f>'Hodnocení '!GG63</f>
        <v>0</v>
      </c>
      <c r="GH67" s="487">
        <f>'Hodnocení '!GH63</f>
        <v>0</v>
      </c>
      <c r="GI67" s="487">
        <f>'Hodnocení '!GI63</f>
        <v>0</v>
      </c>
      <c r="GJ67" s="487">
        <f>'Hodnocení '!GJ63</f>
        <v>0</v>
      </c>
      <c r="GK67" s="487">
        <f>'Hodnocení '!GK63</f>
        <v>0</v>
      </c>
      <c r="GL67" s="487">
        <f>'Hodnocení '!GL63</f>
        <v>0</v>
      </c>
      <c r="GM67" s="487">
        <f>'Hodnocení '!GM63</f>
        <v>0</v>
      </c>
      <c r="GN67" s="487">
        <f>'Hodnocení '!GN63</f>
        <v>0</v>
      </c>
      <c r="GO67" s="487">
        <f>'Hodnocení '!GO63</f>
        <v>0</v>
      </c>
      <c r="GP67" s="487">
        <f>'Hodnocení '!GP63</f>
        <v>0</v>
      </c>
      <c r="GQ67" s="487">
        <f>'Hodnocení '!GQ63</f>
        <v>0</v>
      </c>
      <c r="GR67" s="487">
        <f>'Hodnocení '!GR63</f>
        <v>0</v>
      </c>
      <c r="GS67" s="487">
        <f>'Hodnocení '!GS63</f>
        <v>0</v>
      </c>
      <c r="GT67" s="487">
        <f>'Hodnocení '!GT63</f>
        <v>0</v>
      </c>
      <c r="GU67" s="487">
        <f>'Hodnocení '!GU63</f>
        <v>0</v>
      </c>
      <c r="GV67" s="487">
        <f>'Hodnocení '!GV63</f>
        <v>0</v>
      </c>
      <c r="GW67" s="487">
        <f>'Hodnocení '!GW63</f>
        <v>0</v>
      </c>
      <c r="GX67" s="487">
        <f>'Hodnocení '!GX63</f>
        <v>0</v>
      </c>
      <c r="GY67" s="487">
        <f>'Hodnocení '!GY63</f>
        <v>0</v>
      </c>
      <c r="GZ67" s="487">
        <f>'Hodnocení '!GZ63</f>
        <v>0</v>
      </c>
      <c r="HA67" s="487">
        <f>'Hodnocení '!HA63</f>
        <v>0</v>
      </c>
      <c r="HB67" s="487">
        <f>'Hodnocení '!HB63</f>
        <v>0</v>
      </c>
      <c r="HC67" s="487">
        <f>'Hodnocení '!HC63</f>
        <v>0</v>
      </c>
      <c r="HD67" s="487">
        <f>'Hodnocení '!HD63</f>
        <v>0</v>
      </c>
      <c r="HE67" s="487">
        <f>'Hodnocení '!HE63</f>
        <v>0</v>
      </c>
      <c r="HF67" s="487">
        <f>'Hodnocení '!HF63</f>
        <v>0</v>
      </c>
      <c r="HG67" s="487">
        <f>'Hodnocení '!HG63</f>
        <v>0</v>
      </c>
      <c r="HH67" s="487">
        <f>'Hodnocení '!HH63</f>
        <v>0</v>
      </c>
      <c r="HI67" s="487">
        <f>'Hodnocení '!HI63</f>
        <v>0</v>
      </c>
      <c r="HJ67" s="487">
        <f>'Hodnocení '!HJ63</f>
        <v>0</v>
      </c>
      <c r="HK67" s="487">
        <f>'Hodnocení '!HK63</f>
        <v>0</v>
      </c>
      <c r="HL67" s="487">
        <f>'Hodnocení '!HL63</f>
        <v>0</v>
      </c>
      <c r="HM67" s="487">
        <f>'Hodnocení '!HM63</f>
        <v>0</v>
      </c>
      <c r="HN67" s="487">
        <f>'Hodnocení '!HN63</f>
        <v>0</v>
      </c>
      <c r="HO67" s="487">
        <f>'Hodnocení '!HO63</f>
        <v>0</v>
      </c>
      <c r="HP67" s="487">
        <f>'Hodnocení '!HP63</f>
        <v>0</v>
      </c>
      <c r="HQ67" s="487">
        <f>'Hodnocení '!HQ63</f>
        <v>0</v>
      </c>
      <c r="HR67" s="487">
        <f>'Hodnocení '!HR63</f>
        <v>0</v>
      </c>
      <c r="HS67" s="487">
        <f>'Hodnocení '!HS63</f>
        <v>0</v>
      </c>
      <c r="HT67" s="487">
        <f>'Hodnocení '!HT63</f>
        <v>0</v>
      </c>
      <c r="HU67" s="487">
        <f>'Hodnocení '!HU63</f>
        <v>0</v>
      </c>
      <c r="HV67" s="487">
        <f>'Hodnocení '!HV63</f>
        <v>0</v>
      </c>
      <c r="HW67" s="487">
        <f>'Hodnocení '!HW63</f>
        <v>0</v>
      </c>
      <c r="HX67" s="487">
        <f>'Hodnocení '!HX63</f>
        <v>0</v>
      </c>
      <c r="HY67" s="487">
        <f>'Hodnocení '!HY63</f>
        <v>0</v>
      </c>
      <c r="HZ67" s="487">
        <f>'Hodnocení '!HZ63</f>
        <v>0</v>
      </c>
      <c r="IA67" s="487">
        <f>'Hodnocení '!IA63</f>
        <v>0</v>
      </c>
      <c r="IB67" s="487">
        <f>'Hodnocení '!IB63</f>
        <v>0</v>
      </c>
      <c r="IC67" s="487">
        <f>'Hodnocení '!IC63</f>
        <v>0</v>
      </c>
      <c r="ID67" s="487">
        <f>'Hodnocení '!ID63</f>
        <v>0</v>
      </c>
      <c r="IE67" s="487">
        <f>'Hodnocení '!IE63</f>
        <v>0</v>
      </c>
      <c r="IF67" s="487">
        <f>'Hodnocení '!IF63</f>
        <v>0</v>
      </c>
      <c r="IG67" s="487">
        <f>'Hodnocení '!IG63</f>
        <v>0</v>
      </c>
      <c r="IH67" s="487">
        <f>'Hodnocení '!IH63</f>
        <v>0</v>
      </c>
      <c r="II67" s="487">
        <f>'Hodnocení '!II63</f>
        <v>0</v>
      </c>
      <c r="IJ67" s="487">
        <f>'Hodnocení '!IJ63</f>
        <v>0</v>
      </c>
      <c r="IK67" s="487">
        <f>'Hodnocení '!IK63</f>
        <v>0</v>
      </c>
      <c r="IL67" s="487">
        <f>'Hodnocení '!IL63</f>
        <v>0</v>
      </c>
      <c r="IM67" s="487">
        <f>'Hodnocení '!IM63</f>
        <v>0</v>
      </c>
      <c r="IN67" s="487">
        <f>'Hodnocení '!IN63</f>
        <v>0</v>
      </c>
      <c r="IO67" s="487">
        <f>'Hodnocení '!IO63</f>
        <v>0</v>
      </c>
      <c r="IP67" s="487">
        <f>'Hodnocení '!IP63</f>
        <v>0</v>
      </c>
      <c r="IQ67" s="487">
        <f>'Hodnocení '!IQ63</f>
        <v>0</v>
      </c>
      <c r="IR67" s="487">
        <f>'Hodnocení '!IR63</f>
        <v>0</v>
      </c>
      <c r="IS67" s="487">
        <f>'Hodnocení '!IS63</f>
        <v>0</v>
      </c>
      <c r="IT67" s="487">
        <f>'Hodnocení '!IT63</f>
        <v>0</v>
      </c>
      <c r="IU67" s="487">
        <f>'Hodnocení '!IU63</f>
        <v>0</v>
      </c>
      <c r="IV67" s="487">
        <f>'Hodnocení '!IV63</f>
        <v>0</v>
      </c>
      <c r="IW67" s="487">
        <f>'Hodnocení '!IW63</f>
        <v>0</v>
      </c>
      <c r="IX67" s="487">
        <f>'Hodnocení '!IX63</f>
        <v>0</v>
      </c>
      <c r="IY67" s="487">
        <f>'Hodnocení '!IY63</f>
        <v>0</v>
      </c>
      <c r="IZ67" s="487">
        <f>'Hodnocení '!IZ63</f>
        <v>0</v>
      </c>
      <c r="JA67" s="487">
        <f>'Hodnocení '!JA63</f>
        <v>0</v>
      </c>
      <c r="JB67" s="487">
        <f>'Hodnocení '!JB63</f>
        <v>0</v>
      </c>
      <c r="JC67" s="487">
        <f>'Hodnocení '!JC63</f>
        <v>0</v>
      </c>
      <c r="JD67" s="487">
        <f>'Hodnocení '!JD63</f>
        <v>0</v>
      </c>
      <c r="JE67" s="487">
        <f>'Hodnocení '!JE63</f>
        <v>0</v>
      </c>
      <c r="JF67" s="487">
        <f>'Hodnocení '!JF63</f>
        <v>0</v>
      </c>
      <c r="JG67" s="487">
        <f>'Hodnocení '!JG63</f>
        <v>0</v>
      </c>
      <c r="JH67" s="795">
        <f>'Hodnocení '!JH63</f>
        <v>0</v>
      </c>
      <c r="JI67" s="266">
        <f>'Hodnocení '!JI63</f>
        <v>0</v>
      </c>
    </row>
    <row r="68" spans="1:276" s="267" customFormat="1" ht="16.350000000000001" customHeight="1" x14ac:dyDescent="0.25">
      <c r="A68" s="834"/>
      <c r="B68" s="826" t="s">
        <v>2806</v>
      </c>
      <c r="C68" s="827">
        <f>'Hodnocení '!C64</f>
        <v>0</v>
      </c>
      <c r="D68" s="828">
        <f>'Hodnocení '!D64</f>
        <v>0</v>
      </c>
      <c r="E68" s="828">
        <f>'Hodnocení '!E64</f>
        <v>0</v>
      </c>
      <c r="F68" s="828">
        <f>'Hodnocení '!F64</f>
        <v>0</v>
      </c>
      <c r="G68" s="828">
        <f>'Hodnocení '!G64</f>
        <v>0</v>
      </c>
      <c r="H68" s="828">
        <f>'Hodnocení '!H64</f>
        <v>0</v>
      </c>
      <c r="I68" s="828">
        <f>'Hodnocení '!I64</f>
        <v>0</v>
      </c>
      <c r="J68" s="828">
        <f>'Hodnocení '!J64</f>
        <v>0</v>
      </c>
      <c r="K68" s="828">
        <f>'Hodnocení '!K64</f>
        <v>0</v>
      </c>
      <c r="L68" s="828">
        <f>'Hodnocení '!L64</f>
        <v>25014.170743059833</v>
      </c>
      <c r="M68" s="828">
        <f>'Hodnocení '!M64</f>
        <v>0</v>
      </c>
      <c r="N68" s="828">
        <f>'Hodnocení '!N64</f>
        <v>892525.76594634692</v>
      </c>
      <c r="O68" s="828">
        <f>'Hodnocení '!O64</f>
        <v>0</v>
      </c>
      <c r="P68" s="828">
        <f>'Hodnocení '!P64</f>
        <v>0</v>
      </c>
      <c r="Q68" s="828">
        <f>'Hodnocení '!Q64</f>
        <v>0</v>
      </c>
      <c r="R68" s="828">
        <f>'Hodnocení '!R64</f>
        <v>129565.51443209266</v>
      </c>
      <c r="S68" s="828">
        <f>'Hodnocení '!S64</f>
        <v>44857.72521024663</v>
      </c>
      <c r="T68" s="828">
        <f>'Hodnocení '!T64</f>
        <v>0</v>
      </c>
      <c r="U68" s="828">
        <f>'Hodnocení '!U64</f>
        <v>150043.73383276933</v>
      </c>
      <c r="V68" s="828">
        <f>'Hodnocení '!V64</f>
        <v>202720</v>
      </c>
      <c r="W68" s="828">
        <f>'Hodnocení '!W64</f>
        <v>0</v>
      </c>
      <c r="X68" s="828">
        <f>'Hodnocení '!X64</f>
        <v>0</v>
      </c>
      <c r="Y68" s="828">
        <f>'Hodnocení '!Y64</f>
        <v>0</v>
      </c>
      <c r="Z68" s="828">
        <f>'Hodnocení '!Z64</f>
        <v>0</v>
      </c>
      <c r="AA68" s="828">
        <f>'Hodnocení '!AA64</f>
        <v>0</v>
      </c>
      <c r="AB68" s="828">
        <f>'Hodnocení '!AB64</f>
        <v>171779.05599936657</v>
      </c>
      <c r="AC68" s="828">
        <f>'Hodnocení '!AC64</f>
        <v>9496.4706246826499</v>
      </c>
      <c r="AD68" s="828">
        <f>'Hodnocení '!AD64</f>
        <v>0</v>
      </c>
      <c r="AE68" s="828">
        <f>'Hodnocení '!AE64</f>
        <v>0</v>
      </c>
      <c r="AF68" s="828">
        <f>'Hodnocení '!AF64</f>
        <v>0</v>
      </c>
      <c r="AG68" s="828">
        <f>'Hodnocení '!AG64</f>
        <v>207705.72605321131</v>
      </c>
      <c r="AH68" s="828">
        <f>'Hodnocení '!AH64</f>
        <v>0</v>
      </c>
      <c r="AI68" s="828">
        <f>'Hodnocení '!AI64</f>
        <v>0</v>
      </c>
      <c r="AJ68" s="828">
        <f>'Hodnocení '!AJ64</f>
        <v>0</v>
      </c>
      <c r="AK68" s="828">
        <f>'Hodnocení '!AK64</f>
        <v>0</v>
      </c>
      <c r="AL68" s="828">
        <f>'Hodnocení '!AL64</f>
        <v>0</v>
      </c>
      <c r="AM68" s="828">
        <f>'Hodnocení '!AM64</f>
        <v>0</v>
      </c>
      <c r="AN68" s="828">
        <f>'Hodnocení '!AN64</f>
        <v>248638.69405605283</v>
      </c>
      <c r="AO68" s="828">
        <f>'Hodnocení '!AO64</f>
        <v>0</v>
      </c>
      <c r="AP68" s="828">
        <f>'Hodnocení '!AP64</f>
        <v>78035</v>
      </c>
      <c r="AQ68" s="828">
        <f>'Hodnocení '!AQ64</f>
        <v>144484.07583762775</v>
      </c>
      <c r="AR68" s="828">
        <f>'Hodnocení '!AR64</f>
        <v>0</v>
      </c>
      <c r="AS68" s="828">
        <f>'Hodnocení '!AS64</f>
        <v>86589.113756441569</v>
      </c>
      <c r="AT68" s="828">
        <f>'Hodnocení '!AT64</f>
        <v>557971.23839106609</v>
      </c>
      <c r="AU68" s="828">
        <f>'Hodnocení '!AU64</f>
        <v>100330.65614401322</v>
      </c>
      <c r="AV68" s="828">
        <f>'Hodnocení '!AV64</f>
        <v>0</v>
      </c>
      <c r="AW68" s="828">
        <f>'Hodnocení '!AW64</f>
        <v>0</v>
      </c>
      <c r="AX68" s="828">
        <f>'Hodnocení '!AX64</f>
        <v>608319.50278577686</v>
      </c>
      <c r="AY68" s="828">
        <f>'Hodnocení '!AY64</f>
        <v>200733.15396575711</v>
      </c>
      <c r="AZ68" s="828">
        <f>'Hodnocení '!AZ64</f>
        <v>0</v>
      </c>
      <c r="BA68" s="828">
        <f>'Hodnocení '!BA64</f>
        <v>0</v>
      </c>
      <c r="BB68" s="828">
        <f>'Hodnocení '!BB64</f>
        <v>0</v>
      </c>
      <c r="BC68" s="828">
        <f>'Hodnocení '!BC64</f>
        <v>0</v>
      </c>
      <c r="BD68" s="828">
        <f>'Hodnocení '!BD64</f>
        <v>0</v>
      </c>
      <c r="BE68" s="828">
        <f>'Hodnocení '!BE64</f>
        <v>0</v>
      </c>
      <c r="BF68" s="828">
        <f>'Hodnocení '!BF64</f>
        <v>0</v>
      </c>
      <c r="BG68" s="828">
        <f>'Hodnocení '!BG64</f>
        <v>0</v>
      </c>
      <c r="BH68" s="828">
        <f>'Hodnocení '!BH64</f>
        <v>0</v>
      </c>
      <c r="BI68" s="828">
        <f>'Hodnocení '!BI64</f>
        <v>0</v>
      </c>
      <c r="BJ68" s="828">
        <f>'Hodnocení '!BJ64</f>
        <v>117222.18345255457</v>
      </c>
      <c r="BK68" s="828">
        <f>'Hodnocení '!BK64</f>
        <v>0</v>
      </c>
      <c r="BL68" s="828">
        <f>'Hodnocení '!BL64</f>
        <v>0</v>
      </c>
      <c r="BM68" s="828">
        <f>'Hodnocení '!BM64</f>
        <v>0</v>
      </c>
      <c r="BN68" s="828">
        <f>'Hodnocení '!BN64</f>
        <v>0</v>
      </c>
      <c r="BO68" s="828">
        <f>'Hodnocení '!BO64</f>
        <v>0</v>
      </c>
      <c r="BP68" s="828">
        <f>'Hodnocení '!BP64</f>
        <v>0</v>
      </c>
      <c r="BQ68" s="828">
        <f>'Hodnocení '!BQ64</f>
        <v>0</v>
      </c>
      <c r="BR68" s="828">
        <f>'Hodnocení '!BR64</f>
        <v>0</v>
      </c>
      <c r="BS68" s="828">
        <f>'Hodnocení '!BS64</f>
        <v>203289.97956719733</v>
      </c>
      <c r="BT68" s="828">
        <f>'Hodnocení '!BT64</f>
        <v>0</v>
      </c>
      <c r="BU68" s="828">
        <f>'Hodnocení '!BU64</f>
        <v>642700.77050449979</v>
      </c>
      <c r="BV68" s="828">
        <f>'Hodnocení '!BV64</f>
        <v>0</v>
      </c>
      <c r="BW68" s="828">
        <f>'Hodnocení '!BW64</f>
        <v>253400.15994741418</v>
      </c>
      <c r="BX68" s="828">
        <f>'Hodnocení '!BX64</f>
        <v>956416.06735488679</v>
      </c>
      <c r="BY68" s="828">
        <f>'Hodnocení '!BY64</f>
        <v>184616.31126441457</v>
      </c>
      <c r="BZ68" s="828">
        <f>'Hodnocení '!BZ64</f>
        <v>225130.01244640414</v>
      </c>
      <c r="CA68" s="828">
        <f>'Hodnocení '!CA64</f>
        <v>0</v>
      </c>
      <c r="CB68" s="828">
        <f>'Hodnocení '!CB64</f>
        <v>372148.26152222144</v>
      </c>
      <c r="CC68" s="828">
        <f>'Hodnocení '!CC64</f>
        <v>228041.75251266413</v>
      </c>
      <c r="CD68" s="828">
        <f>'Hodnocení '!CD64</f>
        <v>75074.706077585899</v>
      </c>
      <c r="CE68" s="828">
        <f>'Hodnocení '!CE64</f>
        <v>0</v>
      </c>
      <c r="CF68" s="828">
        <f>'Hodnocení '!CF64</f>
        <v>0</v>
      </c>
      <c r="CG68" s="828">
        <f>'Hodnocení '!CG64</f>
        <v>0</v>
      </c>
      <c r="CH68" s="828">
        <f>'Hodnocení '!CH64</f>
        <v>0</v>
      </c>
      <c r="CI68" s="828">
        <f>'Hodnocení '!CI64</f>
        <v>0</v>
      </c>
      <c r="CJ68" s="828">
        <f>'Hodnocení '!CJ64</f>
        <v>0</v>
      </c>
      <c r="CK68" s="828">
        <f>'Hodnocení '!CK64</f>
        <v>0</v>
      </c>
      <c r="CL68" s="828">
        <f>'Hodnocení '!CL64</f>
        <v>0</v>
      </c>
      <c r="CM68" s="828">
        <f>'Hodnocení '!CM64</f>
        <v>0</v>
      </c>
      <c r="CN68" s="828">
        <f>'Hodnocení '!CN64</f>
        <v>192152.05856648146</v>
      </c>
      <c r="CO68" s="828">
        <f>'Hodnocení '!CO64</f>
        <v>149642.14584698994</v>
      </c>
      <c r="CP68" s="828">
        <f>'Hodnocení '!CP64</f>
        <v>168949.86264729418</v>
      </c>
      <c r="CQ68" s="828">
        <f>'Hodnocení '!CQ64</f>
        <v>0</v>
      </c>
      <c r="CR68" s="828">
        <f>'Hodnocení '!CR64</f>
        <v>0</v>
      </c>
      <c r="CS68" s="828">
        <f>'Hodnocení '!CS64</f>
        <v>0</v>
      </c>
      <c r="CT68" s="828">
        <f>'Hodnocení '!CT64</f>
        <v>0</v>
      </c>
      <c r="CU68" s="828">
        <f>'Hodnocení '!CU64</f>
        <v>0</v>
      </c>
      <c r="CV68" s="828">
        <f>'Hodnocení '!CV64</f>
        <v>0</v>
      </c>
      <c r="CW68" s="828">
        <f>'Hodnocení '!CW64</f>
        <v>0</v>
      </c>
      <c r="CX68" s="828">
        <f>'Hodnocení '!CX64</f>
        <v>0</v>
      </c>
      <c r="CY68" s="828">
        <f>'Hodnocení '!CY64</f>
        <v>0</v>
      </c>
      <c r="CZ68" s="828">
        <f>'Hodnocení '!CZ64</f>
        <v>0</v>
      </c>
      <c r="DA68" s="828">
        <f>'Hodnocení '!DA64</f>
        <v>0</v>
      </c>
      <c r="DB68" s="828">
        <f>'Hodnocení '!DB64</f>
        <v>35650.987263949122</v>
      </c>
      <c r="DC68" s="828">
        <f>'Hodnocení '!DC64</f>
        <v>0</v>
      </c>
      <c r="DD68" s="828">
        <f>'Hodnocení '!DD64</f>
        <v>0</v>
      </c>
      <c r="DE68" s="828">
        <f>'Hodnocení '!DE64</f>
        <v>0</v>
      </c>
      <c r="DF68" s="828">
        <f>'Hodnocení '!DF64</f>
        <v>0</v>
      </c>
      <c r="DG68" s="828">
        <f>'Hodnocení '!DG64</f>
        <v>0</v>
      </c>
      <c r="DH68" s="828">
        <f>'Hodnocení '!DH64</f>
        <v>0</v>
      </c>
      <c r="DI68" s="828">
        <f>'Hodnocení '!DI64</f>
        <v>0</v>
      </c>
      <c r="DJ68" s="828">
        <f>'Hodnocení '!DJ64</f>
        <v>0</v>
      </c>
      <c r="DK68" s="828">
        <f>'Hodnocení '!DK64</f>
        <v>0</v>
      </c>
      <c r="DL68" s="828">
        <f>'Hodnocení '!DL64</f>
        <v>1072302.966263033</v>
      </c>
      <c r="DM68" s="828">
        <f>'Hodnocení '!DM64</f>
        <v>0</v>
      </c>
      <c r="DN68" s="828">
        <f>'Hodnocení '!DN64</f>
        <v>0</v>
      </c>
      <c r="DO68" s="828">
        <f>'Hodnocení '!DO64</f>
        <v>0</v>
      </c>
      <c r="DP68" s="828">
        <f>'Hodnocení '!DP64</f>
        <v>187075.75400271686</v>
      </c>
      <c r="DQ68" s="828">
        <f>'Hodnocení '!DQ64</f>
        <v>0</v>
      </c>
      <c r="DR68" s="828">
        <f>'Hodnocení '!DR64</f>
        <v>0</v>
      </c>
      <c r="DS68" s="828">
        <f>'Hodnocení '!DS64</f>
        <v>0</v>
      </c>
      <c r="DT68" s="828">
        <f>'Hodnocení '!DT64</f>
        <v>0</v>
      </c>
      <c r="DU68" s="828">
        <f>'Hodnocení '!DU64</f>
        <v>0</v>
      </c>
      <c r="DV68" s="828">
        <f>'Hodnocení '!DV64</f>
        <v>0</v>
      </c>
      <c r="DW68" s="828">
        <f>'Hodnocení '!DW64</f>
        <v>0</v>
      </c>
      <c r="DX68" s="828">
        <f>'Hodnocení '!DX64</f>
        <v>0</v>
      </c>
      <c r="DY68" s="828">
        <f>'Hodnocení '!DY64</f>
        <v>0</v>
      </c>
      <c r="DZ68" s="828">
        <f>'Hodnocení '!DZ64</f>
        <v>0</v>
      </c>
      <c r="EA68" s="828">
        <f>'Hodnocení '!EA64</f>
        <v>753468.16167598183</v>
      </c>
      <c r="EB68" s="828">
        <f>'Hodnocení '!EB64</f>
        <v>0</v>
      </c>
      <c r="EC68" s="828">
        <f>'Hodnocení '!EC64</f>
        <v>316399.96774093417</v>
      </c>
      <c r="ED68" s="828">
        <f>'Hodnocení '!ED64</f>
        <v>0</v>
      </c>
      <c r="EE68" s="828">
        <f>'Hodnocení '!EE64</f>
        <v>0</v>
      </c>
      <c r="EF68" s="828">
        <f>'Hodnocení '!EF64</f>
        <v>0</v>
      </c>
      <c r="EG68" s="828">
        <f>'Hodnocení '!EG64</f>
        <v>21689.950144455062</v>
      </c>
      <c r="EH68" s="828">
        <f>'Hodnocení '!EH64</f>
        <v>0</v>
      </c>
      <c r="EI68" s="828">
        <f>'Hodnocení '!EI64</f>
        <v>0</v>
      </c>
      <c r="EJ68" s="828">
        <f>'Hodnocení '!EJ64</f>
        <v>0</v>
      </c>
      <c r="EK68" s="828">
        <f>'Hodnocení '!EK64</f>
        <v>857560.91243154928</v>
      </c>
      <c r="EL68" s="828">
        <f>'Hodnocení '!EL64</f>
        <v>0</v>
      </c>
      <c r="EM68" s="828">
        <f>'Hodnocení '!EM64</f>
        <v>0</v>
      </c>
      <c r="EN68" s="828">
        <f>'Hodnocení '!EN64</f>
        <v>274203.46278949443</v>
      </c>
      <c r="EO68" s="828">
        <f>'Hodnocení '!EO64</f>
        <v>0</v>
      </c>
      <c r="EP68" s="828">
        <f>'Hodnocení '!EP64</f>
        <v>0</v>
      </c>
      <c r="EQ68" s="828">
        <f>'Hodnocení '!EQ64</f>
        <v>565277.01416179189</v>
      </c>
      <c r="ER68" s="828">
        <f>'Hodnocení '!ER64</f>
        <v>0</v>
      </c>
      <c r="ES68" s="828">
        <f>'Hodnocení '!ES64</f>
        <v>2889369.4473401564</v>
      </c>
      <c r="ET68" s="828">
        <f>'Hodnocení '!ET64</f>
        <v>0</v>
      </c>
      <c r="EU68" s="828">
        <f>'Hodnocení '!EU64</f>
        <v>0</v>
      </c>
      <c r="EV68" s="828">
        <f>'Hodnocení '!EV64</f>
        <v>0</v>
      </c>
      <c r="EW68" s="828">
        <f>'Hodnocení '!EW64</f>
        <v>0</v>
      </c>
      <c r="EX68" s="828">
        <f>'Hodnocení '!EX64</f>
        <v>0</v>
      </c>
      <c r="EY68" s="828">
        <f>'Hodnocení '!EY64</f>
        <v>0</v>
      </c>
      <c r="EZ68" s="828">
        <f>'Hodnocení '!EZ64</f>
        <v>0</v>
      </c>
      <c r="FA68" s="828">
        <f>'Hodnocení '!FA64</f>
        <v>0</v>
      </c>
      <c r="FB68" s="828">
        <f>'Hodnocení '!FB64</f>
        <v>0</v>
      </c>
      <c r="FC68" s="828">
        <f>'Hodnocení '!FC64</f>
        <v>0</v>
      </c>
      <c r="FD68" s="828">
        <f>'Hodnocení '!FD64</f>
        <v>0</v>
      </c>
      <c r="FE68" s="828">
        <f>'Hodnocení '!FE64</f>
        <v>0</v>
      </c>
      <c r="FF68" s="828">
        <f>'Hodnocení '!FF64</f>
        <v>0</v>
      </c>
      <c r="FG68" s="828">
        <f>'Hodnocení '!FG64</f>
        <v>0</v>
      </c>
      <c r="FH68" s="828">
        <f>'Hodnocení '!FH64</f>
        <v>0</v>
      </c>
      <c r="FI68" s="828">
        <f>'Hodnocení '!FI64</f>
        <v>0</v>
      </c>
      <c r="FJ68" s="828">
        <f>'Hodnocení '!FJ64</f>
        <v>0</v>
      </c>
      <c r="FK68" s="828">
        <f>'Hodnocení '!FK64</f>
        <v>0</v>
      </c>
      <c r="FL68" s="828">
        <f>'Hodnocení '!FL64</f>
        <v>0</v>
      </c>
      <c r="FM68" s="828">
        <f>'Hodnocení '!FM64</f>
        <v>0</v>
      </c>
      <c r="FN68" s="828">
        <f>'Hodnocení '!FN64</f>
        <v>0</v>
      </c>
      <c r="FO68" s="828">
        <f>'Hodnocení '!FO64</f>
        <v>0</v>
      </c>
      <c r="FP68" s="828">
        <f>'Hodnocení '!FP64</f>
        <v>0</v>
      </c>
      <c r="FQ68" s="828">
        <f>'Hodnocení '!FQ64</f>
        <v>0</v>
      </c>
      <c r="FR68" s="828">
        <f>'Hodnocení '!FR64</f>
        <v>0</v>
      </c>
      <c r="FS68" s="828">
        <f>'Hodnocení '!FS64</f>
        <v>0</v>
      </c>
      <c r="FT68" s="828">
        <f>'Hodnocení '!FT64</f>
        <v>0</v>
      </c>
      <c r="FU68" s="828">
        <f>'Hodnocení '!FU64</f>
        <v>0</v>
      </c>
      <c r="FV68" s="828">
        <f>'Hodnocení '!FV64</f>
        <v>0</v>
      </c>
      <c r="FW68" s="828">
        <f>'Hodnocení '!FW64</f>
        <v>0</v>
      </c>
      <c r="FX68" s="828">
        <f>'Hodnocení '!FX64</f>
        <v>0</v>
      </c>
      <c r="FY68" s="828">
        <f>'Hodnocení '!FY64</f>
        <v>0</v>
      </c>
      <c r="FZ68" s="828">
        <f>'Hodnocení '!FZ64</f>
        <v>0</v>
      </c>
      <c r="GA68" s="828">
        <f>'Hodnocení '!GA64</f>
        <v>0</v>
      </c>
      <c r="GB68" s="828">
        <f>'Hodnocení '!GB64</f>
        <v>0</v>
      </c>
      <c r="GC68" s="828">
        <f>'Hodnocení '!GC64</f>
        <v>0</v>
      </c>
      <c r="GD68" s="828">
        <f>'Hodnocení '!GD64</f>
        <v>0</v>
      </c>
      <c r="GE68" s="828">
        <f>'Hodnocení '!GE64</f>
        <v>0</v>
      </c>
      <c r="GF68" s="828">
        <f>'Hodnocení '!GF64</f>
        <v>0</v>
      </c>
      <c r="GG68" s="828">
        <f>'Hodnocení '!GG64</f>
        <v>0</v>
      </c>
      <c r="GH68" s="828">
        <f>'Hodnocení '!GH64</f>
        <v>0</v>
      </c>
      <c r="GI68" s="828">
        <f>'Hodnocení '!GI64</f>
        <v>0</v>
      </c>
      <c r="GJ68" s="828">
        <f>'Hodnocení '!GJ64</f>
        <v>0</v>
      </c>
      <c r="GK68" s="828">
        <f>'Hodnocení '!GK64</f>
        <v>0</v>
      </c>
      <c r="GL68" s="828">
        <f>'Hodnocení '!GL64</f>
        <v>0</v>
      </c>
      <c r="GM68" s="828">
        <f>'Hodnocení '!GM64</f>
        <v>0</v>
      </c>
      <c r="GN68" s="828">
        <f>'Hodnocení '!GN64</f>
        <v>0</v>
      </c>
      <c r="GO68" s="828">
        <f>'Hodnocení '!GO64</f>
        <v>0</v>
      </c>
      <c r="GP68" s="828">
        <f>'Hodnocení '!GP64</f>
        <v>0</v>
      </c>
      <c r="GQ68" s="828">
        <f>'Hodnocení '!GQ64</f>
        <v>0</v>
      </c>
      <c r="GR68" s="828">
        <f>'Hodnocení '!GR64</f>
        <v>0</v>
      </c>
      <c r="GS68" s="828">
        <f>'Hodnocení '!GS64</f>
        <v>0</v>
      </c>
      <c r="GT68" s="828">
        <f>'Hodnocení '!GT64</f>
        <v>0</v>
      </c>
      <c r="GU68" s="828">
        <f>'Hodnocení '!GU64</f>
        <v>0</v>
      </c>
      <c r="GV68" s="828">
        <f>'Hodnocení '!GV64</f>
        <v>0</v>
      </c>
      <c r="GW68" s="828">
        <f>'Hodnocení '!GW64</f>
        <v>0</v>
      </c>
      <c r="GX68" s="828">
        <f>'Hodnocení '!GX64</f>
        <v>0</v>
      </c>
      <c r="GY68" s="828">
        <f>'Hodnocení '!GY64</f>
        <v>0</v>
      </c>
      <c r="GZ68" s="828">
        <f>'Hodnocení '!GZ64</f>
        <v>0</v>
      </c>
      <c r="HA68" s="828">
        <f>'Hodnocení '!HA64</f>
        <v>0</v>
      </c>
      <c r="HB68" s="828">
        <f>'Hodnocení '!HB64</f>
        <v>0</v>
      </c>
      <c r="HC68" s="828">
        <f>'Hodnocení '!HC64</f>
        <v>0</v>
      </c>
      <c r="HD68" s="828">
        <f>'Hodnocení '!HD64</f>
        <v>0</v>
      </c>
      <c r="HE68" s="828">
        <f>'Hodnocení '!HE64</f>
        <v>0</v>
      </c>
      <c r="HF68" s="828">
        <f>'Hodnocení '!HF64</f>
        <v>0</v>
      </c>
      <c r="HG68" s="828">
        <f>'Hodnocení '!HG64</f>
        <v>0</v>
      </c>
      <c r="HH68" s="828">
        <f>'Hodnocení '!HH64</f>
        <v>0</v>
      </c>
      <c r="HI68" s="828">
        <f>'Hodnocení '!HI64</f>
        <v>0</v>
      </c>
      <c r="HJ68" s="828">
        <f>'Hodnocení '!HJ64</f>
        <v>0</v>
      </c>
      <c r="HK68" s="828">
        <f>'Hodnocení '!HK64</f>
        <v>0</v>
      </c>
      <c r="HL68" s="828">
        <f>'Hodnocení '!HL64</f>
        <v>0</v>
      </c>
      <c r="HM68" s="828">
        <f>'Hodnocení '!HM64</f>
        <v>0</v>
      </c>
      <c r="HN68" s="828">
        <f>'Hodnocení '!HN64</f>
        <v>0</v>
      </c>
      <c r="HO68" s="828">
        <f>'Hodnocení '!HO64</f>
        <v>0</v>
      </c>
      <c r="HP68" s="828">
        <f>'Hodnocení '!HP64</f>
        <v>0</v>
      </c>
      <c r="HQ68" s="828">
        <f>'Hodnocení '!HQ64</f>
        <v>0</v>
      </c>
      <c r="HR68" s="828">
        <f>'Hodnocení '!HR64</f>
        <v>0</v>
      </c>
      <c r="HS68" s="828">
        <f>'Hodnocení '!HS64</f>
        <v>0</v>
      </c>
      <c r="HT68" s="828">
        <f>'Hodnocení '!HT64</f>
        <v>0</v>
      </c>
      <c r="HU68" s="828">
        <f>'Hodnocení '!HU64</f>
        <v>0</v>
      </c>
      <c r="HV68" s="828">
        <f>'Hodnocení '!HV64</f>
        <v>0</v>
      </c>
      <c r="HW68" s="828">
        <f>'Hodnocení '!HW64</f>
        <v>0</v>
      </c>
      <c r="HX68" s="828">
        <f>'Hodnocení '!HX64</f>
        <v>0</v>
      </c>
      <c r="HY68" s="828">
        <f>'Hodnocení '!HY64</f>
        <v>0</v>
      </c>
      <c r="HZ68" s="828">
        <f>'Hodnocení '!HZ64</f>
        <v>0</v>
      </c>
      <c r="IA68" s="828">
        <f>'Hodnocení '!IA64</f>
        <v>0</v>
      </c>
      <c r="IB68" s="828">
        <f>'Hodnocení '!IB64</f>
        <v>0</v>
      </c>
      <c r="IC68" s="828">
        <f>'Hodnocení '!IC64</f>
        <v>0</v>
      </c>
      <c r="ID68" s="828">
        <f>'Hodnocení '!ID64</f>
        <v>0</v>
      </c>
      <c r="IE68" s="828">
        <f>'Hodnocení '!IE64</f>
        <v>0</v>
      </c>
      <c r="IF68" s="828">
        <f>'Hodnocení '!IF64</f>
        <v>0</v>
      </c>
      <c r="IG68" s="828">
        <f>'Hodnocení '!IG64</f>
        <v>0</v>
      </c>
      <c r="IH68" s="828">
        <f>'Hodnocení '!IH64</f>
        <v>0</v>
      </c>
      <c r="II68" s="828">
        <f>'Hodnocení '!II64</f>
        <v>0</v>
      </c>
      <c r="IJ68" s="828">
        <f>'Hodnocení '!IJ64</f>
        <v>0</v>
      </c>
      <c r="IK68" s="828">
        <f>'Hodnocení '!IK64</f>
        <v>0</v>
      </c>
      <c r="IL68" s="828">
        <f>'Hodnocení '!IL64</f>
        <v>0</v>
      </c>
      <c r="IM68" s="828">
        <f>'Hodnocení '!IM64</f>
        <v>0</v>
      </c>
      <c r="IN68" s="828">
        <f>'Hodnocení '!IN64</f>
        <v>0</v>
      </c>
      <c r="IO68" s="828">
        <f>'Hodnocení '!IO64</f>
        <v>0</v>
      </c>
      <c r="IP68" s="828">
        <f>'Hodnocení '!IP64</f>
        <v>0</v>
      </c>
      <c r="IQ68" s="828">
        <f>'Hodnocení '!IQ64</f>
        <v>0</v>
      </c>
      <c r="IR68" s="828">
        <f>'Hodnocení '!IR64</f>
        <v>0</v>
      </c>
      <c r="IS68" s="828">
        <f>'Hodnocení '!IS64</f>
        <v>0</v>
      </c>
      <c r="IT68" s="828">
        <f>'Hodnocení '!IT64</f>
        <v>0</v>
      </c>
      <c r="IU68" s="828">
        <f>'Hodnocení '!IU64</f>
        <v>0</v>
      </c>
      <c r="IV68" s="828">
        <f>'Hodnocení '!IV64</f>
        <v>0</v>
      </c>
      <c r="IW68" s="828">
        <f>'Hodnocení '!IW64</f>
        <v>0</v>
      </c>
      <c r="IX68" s="828">
        <f>'Hodnocení '!IX64</f>
        <v>0</v>
      </c>
      <c r="IY68" s="828">
        <f>'Hodnocení '!IY64</f>
        <v>0</v>
      </c>
      <c r="IZ68" s="828">
        <f>'Hodnocení '!IZ64</f>
        <v>0</v>
      </c>
      <c r="JA68" s="828">
        <f>'Hodnocení '!JA64</f>
        <v>0</v>
      </c>
      <c r="JB68" s="828">
        <f>'Hodnocení '!JB64</f>
        <v>0</v>
      </c>
      <c r="JC68" s="828">
        <f>'Hodnocení '!JC64</f>
        <v>0</v>
      </c>
      <c r="JD68" s="828">
        <f>'Hodnocení '!JD64</f>
        <v>0</v>
      </c>
      <c r="JE68" s="828">
        <f>'Hodnocení '!JE64</f>
        <v>0</v>
      </c>
      <c r="JF68" s="828">
        <f>'Hodnocení '!JF64</f>
        <v>0</v>
      </c>
      <c r="JG68" s="828">
        <f>'Hodnocení '!JG64</f>
        <v>0</v>
      </c>
      <c r="JH68" s="829">
        <f>'Hodnocení '!JH64</f>
        <v>0</v>
      </c>
      <c r="JI68" s="830">
        <f>'Hodnocení '!JI64</f>
        <v>0</v>
      </c>
      <c r="JL68" s="831">
        <f t="shared" ref="JL68:JO69" si="46">SUMIFS($C68:$JH68,$C$5:$JH$5,JL$5)</f>
        <v>0</v>
      </c>
      <c r="JM68" s="831">
        <f t="shared" si="46"/>
        <v>14600592.493303182</v>
      </c>
      <c r="JN68" s="831">
        <f t="shared" si="46"/>
        <v>0</v>
      </c>
      <c r="JO68" s="831">
        <f t="shared" si="46"/>
        <v>0</v>
      </c>
      <c r="JP68" s="831">
        <f t="shared" ref="JP68:JP69" si="47">SUM(JL68:JO68)</f>
        <v>14600592.493303182</v>
      </c>
    </row>
    <row r="69" spans="1:276" hidden="1" x14ac:dyDescent="0.25">
      <c r="A69" s="353"/>
      <c r="B69" s="744" t="s">
        <v>2577</v>
      </c>
      <c r="C69" s="796">
        <f>'Hodnocení '!C65</f>
        <v>9246049.1510793846</v>
      </c>
      <c r="D69" s="480">
        <f>'Hodnocení '!D65</f>
        <v>8080000</v>
      </c>
      <c r="E69" s="480">
        <f>'Hodnocení '!E65</f>
        <v>8707194.8468445688</v>
      </c>
      <c r="F69" s="480">
        <f>'Hodnocení '!F65</f>
        <v>3616884.7088353573</v>
      </c>
      <c r="G69" s="480">
        <f>'Hodnocení '!G65</f>
        <v>10328003.127290595</v>
      </c>
      <c r="H69" s="480">
        <f>'Hodnocení '!H65</f>
        <v>0</v>
      </c>
      <c r="I69" s="480">
        <f>'Hodnocení '!I65</f>
        <v>0</v>
      </c>
      <c r="J69" s="480">
        <f>'Hodnocení '!J65</f>
        <v>126485.23608403429</v>
      </c>
      <c r="K69" s="563">
        <f>'Hodnocení '!K65</f>
        <v>6393271.2513013156</v>
      </c>
      <c r="L69" s="480">
        <f>'Hodnocení '!L65</f>
        <v>3774970</v>
      </c>
      <c r="M69" s="480">
        <f>'Hodnocení '!M65</f>
        <v>3667775.238895766</v>
      </c>
      <c r="N69" s="480">
        <f>'Hodnocení '!N65</f>
        <v>5360828.6030266704</v>
      </c>
      <c r="O69" s="563">
        <f>'Hodnocení '!O65</f>
        <v>4448411.4210138666</v>
      </c>
      <c r="P69" s="480">
        <f>'Hodnocení '!P65</f>
        <v>2570026.0021816893</v>
      </c>
      <c r="Q69" s="480">
        <f>'Hodnocení '!Q65</f>
        <v>1836488.4791010155</v>
      </c>
      <c r="R69" s="480">
        <f>'Hodnocení '!R65</f>
        <v>2124718.1</v>
      </c>
      <c r="S69" s="480">
        <f>'Hodnocení '!S65</f>
        <v>1637152.8</v>
      </c>
      <c r="T69" s="480">
        <f>'Hodnocení '!T65</f>
        <v>622773.51077815378</v>
      </c>
      <c r="U69" s="480">
        <f>'Hodnocení '!U65</f>
        <v>1099204</v>
      </c>
      <c r="V69" s="480">
        <f>'Hodnocení '!V65</f>
        <v>9233620</v>
      </c>
      <c r="W69" s="480">
        <f>'Hodnocení '!W65</f>
        <v>2379600</v>
      </c>
      <c r="X69" s="563">
        <f>'Hodnocení '!X65</f>
        <v>2304335.8095085779</v>
      </c>
      <c r="Y69" s="480">
        <f>'Hodnocení '!Y65</f>
        <v>1969745.4492107111</v>
      </c>
      <c r="Z69" s="480">
        <f>'Hodnocení '!Z65</f>
        <v>7441924</v>
      </c>
      <c r="AA69" s="563">
        <f>'Hodnocení '!AA65</f>
        <v>4244705.4490248738</v>
      </c>
      <c r="AB69" s="563">
        <f>'Hodnocení '!AB65</f>
        <v>3678130.7057224135</v>
      </c>
      <c r="AC69" s="563">
        <f>'Hodnocení '!AC65</f>
        <v>481158.31194833241</v>
      </c>
      <c r="AD69" s="563">
        <f>'Hodnocení '!AD65</f>
        <v>2590229.1206235653</v>
      </c>
      <c r="AE69" s="480">
        <f>'Hodnocení '!AE65</f>
        <v>103737.52589894389</v>
      </c>
      <c r="AF69" s="480">
        <f>'Hodnocení '!AF65</f>
        <v>1219244.9295379582</v>
      </c>
      <c r="AG69" s="563">
        <f>'Hodnocení '!AG65</f>
        <v>3450812.7548698969</v>
      </c>
      <c r="AH69" s="480">
        <f>'Hodnocení '!AH65</f>
        <v>807300</v>
      </c>
      <c r="AI69" s="480">
        <f>'Hodnocení '!AI65</f>
        <v>4368180</v>
      </c>
      <c r="AJ69" s="480">
        <f>'Hodnocení '!AJ65</f>
        <v>2788040</v>
      </c>
      <c r="AK69" s="480">
        <f>'Hodnocení '!AK65</f>
        <v>1383868</v>
      </c>
      <c r="AL69" s="480">
        <f>'Hodnocení '!AL65</f>
        <v>1952909.1633510776</v>
      </c>
      <c r="AM69" s="480">
        <f>'Hodnocení '!AM65</f>
        <v>1499708.3726341231</v>
      </c>
      <c r="AN69" s="480">
        <f>'Hodnocení '!AN65</f>
        <v>1148955.198498779</v>
      </c>
      <c r="AO69" s="563">
        <f>'Hodnocení '!AO65</f>
        <v>4903755.5596356187</v>
      </c>
      <c r="AP69" s="563">
        <f>'Hodnocení '!AP65</f>
        <v>2124765.1162296012</v>
      </c>
      <c r="AQ69" s="563">
        <f>'Hodnocení '!AQ65</f>
        <v>688702.88446015073</v>
      </c>
      <c r="AR69" s="480">
        <f>'Hodnocení '!AR65</f>
        <v>1531740.3992508459</v>
      </c>
      <c r="AS69" s="480">
        <f>'Hodnocení '!AS65</f>
        <v>495253.22022333386</v>
      </c>
      <c r="AT69" s="480">
        <f>'Hodnocení '!AT65</f>
        <v>2498113.4323683418</v>
      </c>
      <c r="AU69" s="480">
        <f>'Hodnocení '!AU65</f>
        <v>992216.93946642126</v>
      </c>
      <c r="AV69" s="480">
        <f>'Hodnocení '!AV65</f>
        <v>2003660.6772952261</v>
      </c>
      <c r="AW69" s="480">
        <f>'Hodnocení '!AW65</f>
        <v>16112.012350120116</v>
      </c>
      <c r="AX69" s="480">
        <f>'Hodnocení '!AX65</f>
        <v>3240135.311080751</v>
      </c>
      <c r="AY69" s="563">
        <f>'Hodnocení '!AY65</f>
        <v>3300190.5406568907</v>
      </c>
      <c r="AZ69" s="480">
        <f>'Hodnocení '!AZ65</f>
        <v>3434507</v>
      </c>
      <c r="BA69" s="480">
        <f>'Hodnocení '!BA65</f>
        <v>9913000</v>
      </c>
      <c r="BB69" s="563">
        <f>'Hodnocení '!BB65</f>
        <v>1329742.5807072239</v>
      </c>
      <c r="BC69" s="480">
        <f>'Hodnocení '!BC65</f>
        <v>1223742.4938025323</v>
      </c>
      <c r="BD69" s="563">
        <f>'Hodnocení '!BD65</f>
        <v>1916258.3325785431</v>
      </c>
      <c r="BE69" s="480">
        <f>'Hodnocení '!BE65</f>
        <v>0</v>
      </c>
      <c r="BF69" s="480">
        <f>'Hodnocení '!BF65</f>
        <v>2669371.3941904306</v>
      </c>
      <c r="BG69" s="480">
        <f>'Hodnocení '!BG65</f>
        <v>3342000</v>
      </c>
      <c r="BH69" s="480">
        <f>'Hodnocení '!BH65</f>
        <v>3388109.2415605099</v>
      </c>
      <c r="BI69" s="480">
        <f>'Hodnocení '!BI65</f>
        <v>2370000</v>
      </c>
      <c r="BJ69" s="480">
        <f>'Hodnocení '!BJ65</f>
        <v>2734458.8535647267</v>
      </c>
      <c r="BK69" s="563">
        <f>'Hodnocení '!BK65</f>
        <v>185490.09231459786</v>
      </c>
      <c r="BL69" s="480">
        <f>'Hodnocení '!BL65</f>
        <v>455138.49500087276</v>
      </c>
      <c r="BM69" s="480">
        <f>'Hodnocení '!BM65</f>
        <v>2033799.04</v>
      </c>
      <c r="BN69" s="563">
        <f>'Hodnocení '!BN65</f>
        <v>1657101.9931537434</v>
      </c>
      <c r="BO69" s="563">
        <f>'Hodnocení '!BO65</f>
        <v>1051279.6524752458</v>
      </c>
      <c r="BP69" s="480">
        <f>'Hodnocení '!BP65</f>
        <v>4652080</v>
      </c>
      <c r="BQ69" s="563">
        <f>'Hodnocení '!BQ65</f>
        <v>66564.165662464104</v>
      </c>
      <c r="BR69" s="563">
        <f>'Hodnocení '!BR65</f>
        <v>1288942.0242748552</v>
      </c>
      <c r="BS69" s="480">
        <f>'Hodnocení '!BS65</f>
        <v>1310282.2989678741</v>
      </c>
      <c r="BT69" s="480">
        <f>'Hodnocení '!BT65</f>
        <v>914160.26616723067</v>
      </c>
      <c r="BU69" s="480">
        <f>'Hodnocení '!BU65</f>
        <v>3939338</v>
      </c>
      <c r="BV69" s="563">
        <f>'Hodnocení '!BV65</f>
        <v>1177908.0353182531</v>
      </c>
      <c r="BW69" s="480">
        <f>'Hodnocení '!BW65</f>
        <v>532683</v>
      </c>
      <c r="BX69" s="480">
        <f>'Hodnocení '!BX65</f>
        <v>4708889.1910633538</v>
      </c>
      <c r="BY69" s="480">
        <f>'Hodnocení '!BY65</f>
        <v>1520144</v>
      </c>
      <c r="BZ69" s="480">
        <f>'Hodnocení '!BZ65</f>
        <v>324150</v>
      </c>
      <c r="CA69" s="480">
        <f>'Hodnocení '!CA65</f>
        <v>0</v>
      </c>
      <c r="CB69" s="480">
        <f>'Hodnocení '!CB65</f>
        <v>571519.10142146726</v>
      </c>
      <c r="CC69" s="480">
        <f>'Hodnocení '!CC65</f>
        <v>2238055.6625416637</v>
      </c>
      <c r="CD69" s="480">
        <f>'Hodnocení '!CD65</f>
        <v>661848.21685573971</v>
      </c>
      <c r="CE69" s="480">
        <f>'Hodnocení '!CE65</f>
        <v>9715050.1253167707</v>
      </c>
      <c r="CF69" s="480">
        <f>'Hodnocení '!CF65</f>
        <v>4453617.8393289512</v>
      </c>
      <c r="CG69" s="480">
        <f>'Hodnocení '!CG65</f>
        <v>231159.49607044645</v>
      </c>
      <c r="CH69" s="480">
        <f>'Hodnocení '!CH65</f>
        <v>0</v>
      </c>
      <c r="CI69" s="480">
        <f>'Hodnocení '!CI65</f>
        <v>21633.155796868727</v>
      </c>
      <c r="CJ69" s="480">
        <f>'Hodnocení '!CJ65</f>
        <v>3854195.0818283353</v>
      </c>
      <c r="CK69" s="480">
        <f>'Hodnocení '!CK65</f>
        <v>4571780</v>
      </c>
      <c r="CL69" s="480">
        <f>'Hodnocení '!CL65</f>
        <v>56438.59728209069</v>
      </c>
      <c r="CM69" s="480">
        <f>'Hodnocení '!CM65</f>
        <v>6012336.4399863137</v>
      </c>
      <c r="CN69" s="480">
        <f>'Hodnocení '!CN65</f>
        <v>1342009.9127194914</v>
      </c>
      <c r="CO69" s="480">
        <f>'Hodnocení '!CO65</f>
        <v>1214500</v>
      </c>
      <c r="CP69" s="480">
        <f>'Hodnocení '!CP65</f>
        <v>1268807.7168003041</v>
      </c>
      <c r="CQ69" s="480">
        <f>'Hodnocení '!CQ65</f>
        <v>5515036.573718125</v>
      </c>
      <c r="CR69" s="480">
        <f>'Hodnocení '!CR65</f>
        <v>2367817</v>
      </c>
      <c r="CS69" s="480">
        <f>'Hodnocení '!CS65</f>
        <v>187555.67419309285</v>
      </c>
      <c r="CT69" s="480">
        <f>'Hodnocení '!CT65</f>
        <v>0</v>
      </c>
      <c r="CU69" s="480">
        <f>'Hodnocení '!CU65</f>
        <v>1974027.6887355854</v>
      </c>
      <c r="CV69" s="563">
        <f>'Hodnocení '!CV65</f>
        <v>5829564.9151897766</v>
      </c>
      <c r="CW69" s="480">
        <f>'Hodnocení '!CW65</f>
        <v>445664.10646689229</v>
      </c>
      <c r="CX69" s="480">
        <f>'Hodnocení '!CX65</f>
        <v>3686532</v>
      </c>
      <c r="CY69" s="480">
        <f>'Hodnocení '!CY65</f>
        <v>2881083.2839012085</v>
      </c>
      <c r="CZ69" s="480">
        <f>'Hodnocení '!CZ65</f>
        <v>446100</v>
      </c>
      <c r="DA69" s="480">
        <f>'Hodnocení '!DA65</f>
        <v>8578781.7210858986</v>
      </c>
      <c r="DB69" s="563">
        <f>'Hodnocení '!DB65</f>
        <v>801256.55127554876</v>
      </c>
      <c r="DC69" s="563">
        <f>'Hodnocení '!DC65</f>
        <v>1952214.4635382525</v>
      </c>
      <c r="DD69" s="563">
        <f>'Hodnocení '!DD65</f>
        <v>428740.05018450413</v>
      </c>
      <c r="DE69" s="480">
        <f>'Hodnocení '!DE65</f>
        <v>1595404.8713862468</v>
      </c>
      <c r="DF69" s="480">
        <f>'Hodnocení '!DF65</f>
        <v>7381996.8713862468</v>
      </c>
      <c r="DG69" s="480">
        <f>'Hodnocení '!DG65</f>
        <v>802938.16515118408</v>
      </c>
      <c r="DH69" s="480">
        <f>'Hodnocení '!DH65</f>
        <v>908244.44020215096</v>
      </c>
      <c r="DI69" s="480">
        <f>'Hodnocení '!DI65</f>
        <v>0</v>
      </c>
      <c r="DJ69" s="480">
        <f>'Hodnocení '!DJ65</f>
        <v>65990.976314039901</v>
      </c>
      <c r="DK69" s="563">
        <f>'Hodnocení '!DK65</f>
        <v>224452.83531246078</v>
      </c>
      <c r="DL69" s="480">
        <f>'Hodnocení '!DL65</f>
        <v>4094296.2218004535</v>
      </c>
      <c r="DM69" s="563">
        <f>'Hodnocení '!DM65</f>
        <v>1966503.0838138557</v>
      </c>
      <c r="DN69" s="563">
        <f>'Hodnocení '!DN65</f>
        <v>4052035.7644601618</v>
      </c>
      <c r="DO69" s="480">
        <f>'Hodnocení '!DO65</f>
        <v>1402300.3922101089</v>
      </c>
      <c r="DP69" s="480">
        <f>'Hodnocení '!DP65</f>
        <v>4045363.78</v>
      </c>
      <c r="DQ69" s="480">
        <f>'Hodnocení '!DQ65</f>
        <v>4329795</v>
      </c>
      <c r="DR69" s="480">
        <f>'Hodnocení '!DR65</f>
        <v>4985313.5</v>
      </c>
      <c r="DS69" s="480">
        <f>'Hodnocení '!DS65</f>
        <v>1625552.2365860054</v>
      </c>
      <c r="DT69" s="563">
        <f>'Hodnocení '!DT65</f>
        <v>3379864.0513730422</v>
      </c>
      <c r="DU69" s="563">
        <f>'Hodnocení '!DU65</f>
        <v>35402.15315866132</v>
      </c>
      <c r="DV69" s="480">
        <f>'Hodnocení '!DV65</f>
        <v>6440000</v>
      </c>
      <c r="DW69" s="563">
        <f>'Hodnocení '!DW65</f>
        <v>368896.922364717</v>
      </c>
      <c r="DX69" s="480">
        <f>'Hodnocení '!DX65</f>
        <v>0</v>
      </c>
      <c r="DY69" s="480">
        <f>'Hodnocení '!DY65</f>
        <v>4581142.7504826486</v>
      </c>
      <c r="DZ69" s="480">
        <f>'Hodnocení '!DZ65</f>
        <v>723925.6888148766</v>
      </c>
      <c r="EA69" s="480">
        <f>'Hodnocení '!EA65</f>
        <v>4141440.9263814236</v>
      </c>
      <c r="EB69" s="480">
        <f>'Hodnocení '!EB65</f>
        <v>5751412.8583436497</v>
      </c>
      <c r="EC69" s="480">
        <f>'Hodnocení '!EC65</f>
        <v>3507637.7512384658</v>
      </c>
      <c r="ED69" s="563">
        <f>'Hodnocení '!ED65</f>
        <v>3789855.4215401057</v>
      </c>
      <c r="EE69" s="563">
        <f>'Hodnocení '!EE65</f>
        <v>750052.03204477963</v>
      </c>
      <c r="EF69" s="563">
        <f>'Hodnocení '!EF65</f>
        <v>886973.84315981728</v>
      </c>
      <c r="EG69" s="480">
        <f>'Hodnocení '!EG65</f>
        <v>440614.21022333385</v>
      </c>
      <c r="EH69" s="563">
        <f>'Hodnocení '!EH65</f>
        <v>766109.30758974701</v>
      </c>
      <c r="EI69" s="480">
        <f>'Hodnocení '!EI65</f>
        <v>1178000</v>
      </c>
      <c r="EJ69" s="480">
        <f>'Hodnocení '!EJ65</f>
        <v>0</v>
      </c>
      <c r="EK69" s="480">
        <f>'Hodnocení '!EK65</f>
        <v>3932042</v>
      </c>
      <c r="EL69" s="563">
        <f>'Hodnocení '!EL65</f>
        <v>8896075.9201217424</v>
      </c>
      <c r="EM69" s="480">
        <f>'Hodnocení '!EM65</f>
        <v>2817690.3194428757</v>
      </c>
      <c r="EN69" s="480">
        <f>'Hodnocení '!EN65</f>
        <v>2639613.8452645098</v>
      </c>
      <c r="EO69" s="563">
        <f>'Hodnocení '!EO65</f>
        <v>326536.14681555587</v>
      </c>
      <c r="EP69" s="563">
        <f>'Hodnocení '!EP65</f>
        <v>3336103.6776025575</v>
      </c>
      <c r="EQ69" s="480">
        <f>'Hodnocení '!EQ65</f>
        <v>2318152.5044244276</v>
      </c>
      <c r="ER69" s="480">
        <f>'Hodnocení '!ER65</f>
        <v>6886000</v>
      </c>
      <c r="ES69" s="480">
        <f>'Hodnocení '!ES65</f>
        <v>2889369.4473401564</v>
      </c>
      <c r="ET69" s="480">
        <f>'Hodnocení '!ET65</f>
        <v>1009463.051162631</v>
      </c>
      <c r="EU69" s="480">
        <f>'Hodnocení '!EU65</f>
        <v>2855783.9144364195</v>
      </c>
      <c r="EV69" s="480">
        <f>'Hodnocení '!EV65</f>
        <v>477773.51077815378</v>
      </c>
      <c r="EW69" s="480">
        <f>'Hodnocení '!EW65</f>
        <v>2713993.2555374205</v>
      </c>
      <c r="EX69" s="480">
        <f>'Hodnocení '!EX65</f>
        <v>6400000</v>
      </c>
      <c r="EY69" s="480">
        <f>'Hodnocení '!EY65</f>
        <v>2210257.3620478925</v>
      </c>
      <c r="EZ69" s="480">
        <f>'Hodnocení '!EZ65</f>
        <v>0</v>
      </c>
      <c r="FA69" s="480">
        <f>'Hodnocení '!FA65</f>
        <v>1647298.424768026</v>
      </c>
      <c r="FB69" s="480">
        <f>'Hodnocení '!FB65</f>
        <v>265664.49062636285</v>
      </c>
      <c r="FC69" s="480">
        <f>'Hodnocení '!FC65</f>
        <v>3419615.4215486925</v>
      </c>
      <c r="FD69" s="480">
        <f>'Hodnocení '!FD65</f>
        <v>0</v>
      </c>
      <c r="FE69" s="480">
        <f>'Hodnocení '!FE65</f>
        <v>381240.58884631132</v>
      </c>
      <c r="FF69" s="480">
        <f>'Hodnocení '!FF65</f>
        <v>1561200</v>
      </c>
      <c r="FG69" s="480">
        <f>'Hodnocení '!FG65</f>
        <v>7803422.0195525251</v>
      </c>
      <c r="FH69" s="480">
        <f>'Hodnocení '!FH65</f>
        <v>6553103</v>
      </c>
      <c r="FI69" s="480">
        <f>'Hodnocení '!FI65</f>
        <v>8710000</v>
      </c>
      <c r="FJ69" s="480">
        <f>'Hodnocení '!FJ65</f>
        <v>2048857</v>
      </c>
      <c r="FK69" s="480">
        <f>'Hodnocení '!FK65</f>
        <v>329983.22672073392</v>
      </c>
      <c r="FL69" s="480">
        <f>'Hodnocení '!FL65</f>
        <v>703612.78406076948</v>
      </c>
      <c r="FM69" s="480">
        <f>'Hodnocení '!FM65</f>
        <v>3934590.6565853953</v>
      </c>
      <c r="FN69" s="480">
        <f>'Hodnocení '!FN65</f>
        <v>7374936.4799554544</v>
      </c>
      <c r="FO69" s="480">
        <f>'Hodnocení '!FO65</f>
        <v>1788495</v>
      </c>
      <c r="FP69" s="480">
        <f>'Hodnocení '!FP65</f>
        <v>13683456</v>
      </c>
      <c r="FQ69" s="480">
        <f>'Hodnocení '!FQ65</f>
        <v>2074686</v>
      </c>
      <c r="FR69" s="480">
        <f>'Hodnocení '!FR65</f>
        <v>236957.19834991742</v>
      </c>
      <c r="FS69" s="480">
        <f>'Hodnocení '!FS65</f>
        <v>494433</v>
      </c>
      <c r="FT69" s="480">
        <f>'Hodnocení '!FT65</f>
        <v>3631470.1663162932</v>
      </c>
      <c r="FU69" s="480">
        <f>'Hodnocení '!FU65</f>
        <v>513699</v>
      </c>
      <c r="FV69" s="480">
        <f>'Hodnocení '!FV65</f>
        <v>646327.31987489713</v>
      </c>
      <c r="FW69" s="480">
        <f>'Hodnocení '!FW65</f>
        <v>1483179</v>
      </c>
      <c r="FX69" s="480">
        <f>'Hodnocení '!FX65</f>
        <v>585795.82000000007</v>
      </c>
      <c r="FY69" s="480">
        <f>'Hodnocení '!FY65</f>
        <v>336810</v>
      </c>
      <c r="FZ69" s="480">
        <f>'Hodnocení '!FZ65</f>
        <v>2937555.0490599889</v>
      </c>
      <c r="GA69" s="480">
        <f>'Hodnocení '!GA65</f>
        <v>281420.48958755797</v>
      </c>
      <c r="GB69" s="480">
        <f>'Hodnocení '!GB65</f>
        <v>2917014.4862977713</v>
      </c>
      <c r="GC69" s="480">
        <f>'Hodnocení '!GC65</f>
        <v>2565300.1421770533</v>
      </c>
      <c r="GD69" s="480">
        <f>'Hodnocení '!GD65</f>
        <v>9906649.8884656765</v>
      </c>
      <c r="GE69" s="480">
        <f>'Hodnocení '!GE65</f>
        <v>263290.93400108395</v>
      </c>
      <c r="GF69" s="480">
        <f>'Hodnocení '!GF65</f>
        <v>4128600.1778761428</v>
      </c>
      <c r="GG69" s="480">
        <f>'Hodnocení '!GG65</f>
        <v>1235672.3627191633</v>
      </c>
      <c r="GH69" s="480">
        <f>'Hodnocení '!GH65</f>
        <v>1220741.4312772285</v>
      </c>
      <c r="GI69" s="480">
        <f>'Hodnocení '!GI65</f>
        <v>8873249.0869674683</v>
      </c>
      <c r="GJ69" s="480">
        <f>'Hodnocení '!GJ65</f>
        <v>2244910</v>
      </c>
      <c r="GK69" s="480">
        <f>'Hodnocení '!GK65</f>
        <v>1545953</v>
      </c>
      <c r="GL69" s="480">
        <f>'Hodnocení '!GL65</f>
        <v>595846</v>
      </c>
      <c r="GM69" s="480">
        <f>'Hodnocení '!GM65</f>
        <v>857634</v>
      </c>
      <c r="GN69" s="480">
        <f>'Hodnocení '!GN65</f>
        <v>950602.34</v>
      </c>
      <c r="GO69" s="480">
        <f>'Hodnocení '!GO65</f>
        <v>5215641</v>
      </c>
      <c r="GP69" s="480">
        <f>'Hodnocení '!GP65</f>
        <v>546320.06174100889</v>
      </c>
      <c r="GQ69" s="480">
        <f>'Hodnocení '!GQ65</f>
        <v>699796</v>
      </c>
      <c r="GR69" s="480">
        <f>'Hodnocení '!GR65</f>
        <v>727124.60565148341</v>
      </c>
      <c r="GS69" s="480">
        <f>'Hodnocení '!GS65</f>
        <v>113648.04672073387</v>
      </c>
      <c r="GT69" s="480">
        <f>'Hodnocení '!GT65</f>
        <v>9374987.532092277</v>
      </c>
      <c r="GU69" s="480">
        <f>'Hodnocení '!GU65</f>
        <v>1124440</v>
      </c>
      <c r="GV69" s="480">
        <f>'Hodnocení '!GV65</f>
        <v>5826176.6456662463</v>
      </c>
      <c r="GW69" s="480">
        <f>'Hodnocení '!GW65</f>
        <v>1048163.6277687103</v>
      </c>
      <c r="GX69" s="480">
        <f>'Hodnocení '!GX65</f>
        <v>342955.48977144714</v>
      </c>
      <c r="GY69" s="480">
        <f>'Hodnocení '!GY65</f>
        <v>13503975</v>
      </c>
      <c r="GZ69" s="480">
        <f>'Hodnocení '!GZ65</f>
        <v>0</v>
      </c>
      <c r="HA69" s="480">
        <f>'Hodnocení '!HA65</f>
        <v>5787297.7336099232</v>
      </c>
      <c r="HB69" s="480">
        <f>'Hodnocení '!HB65</f>
        <v>2721504.0990156494</v>
      </c>
      <c r="HC69" s="480">
        <f>'Hodnocení '!HC65</f>
        <v>6593000</v>
      </c>
      <c r="HD69" s="480">
        <f>'Hodnocení '!HD65</f>
        <v>2094993.1421770533</v>
      </c>
      <c r="HE69" s="480">
        <f>'Hodnocení '!HE65</f>
        <v>6790355</v>
      </c>
      <c r="HF69" s="480">
        <f>'Hodnocení '!HF65</f>
        <v>1122650</v>
      </c>
      <c r="HG69" s="480">
        <f>'Hodnocení '!HG65</f>
        <v>663237.36</v>
      </c>
      <c r="HH69" s="480">
        <f>'Hodnocení '!HH65</f>
        <v>2034520.6688166854</v>
      </c>
      <c r="HI69" s="480">
        <f>'Hodnocení '!HI65</f>
        <v>2365686.3688977864</v>
      </c>
      <c r="HJ69" s="480">
        <f>'Hodnocení '!HJ65</f>
        <v>0</v>
      </c>
      <c r="HK69" s="480">
        <f>'Hodnocení '!HK65</f>
        <v>209300</v>
      </c>
      <c r="HL69" s="480">
        <f>'Hodnocení '!HL65</f>
        <v>30761693.812790565</v>
      </c>
      <c r="HM69" s="480">
        <f>'Hodnocení '!HM65</f>
        <v>17375619.107148226</v>
      </c>
      <c r="HN69" s="480">
        <f>'Hodnocení '!HN65</f>
        <v>0</v>
      </c>
      <c r="HO69" s="480">
        <f>'Hodnocení '!HO65</f>
        <v>0</v>
      </c>
      <c r="HP69" s="480">
        <f>'Hodnocení '!HP65</f>
        <v>24549000</v>
      </c>
      <c r="HQ69" s="480">
        <f>'Hodnocení '!HQ65</f>
        <v>741876.88410925679</v>
      </c>
      <c r="HR69" s="480">
        <f>'Hodnocení '!HR65</f>
        <v>26307120.308611114</v>
      </c>
      <c r="HS69" s="480">
        <f>'Hodnocení '!HS65</f>
        <v>5169783.9315081565</v>
      </c>
      <c r="HT69" s="480">
        <f>'Hodnocení '!HT65</f>
        <v>11933469.590470783</v>
      </c>
      <c r="HU69" s="480">
        <f>'Hodnocení '!HU65</f>
        <v>21402219.005208258</v>
      </c>
      <c r="HV69" s="480">
        <f>'Hodnocení '!HV65</f>
        <v>16235000</v>
      </c>
      <c r="HW69" s="480">
        <f>'Hodnocení '!HW65</f>
        <v>3919370.5898645641</v>
      </c>
      <c r="HX69" s="480">
        <f>'Hodnocení '!HX65</f>
        <v>18161270.751516331</v>
      </c>
      <c r="HY69" s="480">
        <f>'Hodnocení '!HY65</f>
        <v>13682282.173444685</v>
      </c>
      <c r="HZ69" s="480">
        <f>'Hodnocení '!HZ65</f>
        <v>8152004.9776938297</v>
      </c>
      <c r="IA69" s="480">
        <f>'Hodnocení '!IA65</f>
        <v>7301880</v>
      </c>
      <c r="IB69" s="480">
        <f>'Hodnocení '!IB65</f>
        <v>7053113.9004964307</v>
      </c>
      <c r="IC69" s="480">
        <f>'Hodnocení '!IC65</f>
        <v>10674008.544329325</v>
      </c>
      <c r="ID69" s="480">
        <f>'Hodnocení '!ID65</f>
        <v>9245491.4556706771</v>
      </c>
      <c r="IE69" s="480">
        <f>'Hodnocení '!IE65</f>
        <v>16339059.517665572</v>
      </c>
      <c r="IF69" s="480">
        <f>'Hodnocení '!IF65</f>
        <v>9536477.0290661398</v>
      </c>
      <c r="IG69" s="480">
        <f>'Hodnocení '!IG65</f>
        <v>2933375.6317034722</v>
      </c>
      <c r="IH69" s="480">
        <f>'Hodnocení '!IH65</f>
        <v>2754925.3965619346</v>
      </c>
      <c r="II69" s="480">
        <f>'Hodnocení '!II65</f>
        <v>13600590.884602016</v>
      </c>
      <c r="IJ69" s="480">
        <f>'Hodnocení '!IJ65</f>
        <v>1498802.9614382302</v>
      </c>
      <c r="IK69" s="480">
        <f>'Hodnocení '!IK65</f>
        <v>0</v>
      </c>
      <c r="IL69" s="480">
        <f>'Hodnocení '!IL65</f>
        <v>7452880.700098794</v>
      </c>
      <c r="IM69" s="480">
        <f>'Hodnocení '!IM65</f>
        <v>405690.41450255323</v>
      </c>
      <c r="IN69" s="480">
        <f>'Hodnocení '!IN65</f>
        <v>7727035.4094753135</v>
      </c>
      <c r="IO69" s="480">
        <f>'Hodnocení '!IO65</f>
        <v>2937234.2027475811</v>
      </c>
      <c r="IP69" s="480">
        <f>'Hodnocení '!IP65</f>
        <v>15898527.177580558</v>
      </c>
      <c r="IQ69" s="480">
        <f>'Hodnocení '!IQ65</f>
        <v>15277805.971261885</v>
      </c>
      <c r="IR69" s="480">
        <f>'Hodnocení '!IR65</f>
        <v>724453.92066790513</v>
      </c>
      <c r="IS69" s="480">
        <f>'Hodnocení '!IS65</f>
        <v>39300970.247079559</v>
      </c>
      <c r="IT69" s="480">
        <f>'Hodnocení '!IT65</f>
        <v>10200629.752920441</v>
      </c>
      <c r="IU69" s="480">
        <f>'Hodnocení '!IU65</f>
        <v>2493818.6416824842</v>
      </c>
      <c r="IV69" s="480">
        <f>'Hodnocení '!IV65</f>
        <v>6028974.6999564655</v>
      </c>
      <c r="IW69" s="480">
        <f>'Hodnocení '!IW65</f>
        <v>9603217.8554380648</v>
      </c>
      <c r="IX69" s="480">
        <f>'Hodnocení '!IX65</f>
        <v>1461297.0388339385</v>
      </c>
      <c r="IY69" s="480">
        <f>'Hodnocení '!IY65</f>
        <v>9038417.5244776495</v>
      </c>
      <c r="IZ69" s="480">
        <f>'Hodnocení '!IZ65</f>
        <v>20084142.981107548</v>
      </c>
      <c r="JA69" s="480">
        <f>'Hodnocení '!JA65</f>
        <v>2265868.3397293384</v>
      </c>
      <c r="JB69" s="480">
        <f>'Hodnocení '!JB65</f>
        <v>2813788.9601571974</v>
      </c>
      <c r="JC69" s="480">
        <f>'Hodnocení '!JC65</f>
        <v>1445737.3693524669</v>
      </c>
      <c r="JD69" s="480">
        <f>'Hodnocení '!JD65</f>
        <v>5734651.4754739245</v>
      </c>
      <c r="JE69" s="480">
        <f>'Hodnocení '!JE65</f>
        <v>144589.10100252891</v>
      </c>
      <c r="JF69" s="480">
        <f>'Hodnocení '!JF65</f>
        <v>32317210.898997471</v>
      </c>
      <c r="JG69" s="480">
        <f>'Hodnocení '!JG65</f>
        <v>23398546.759965554</v>
      </c>
      <c r="JH69" s="797">
        <f>'Hodnocení '!JH65</f>
        <v>1432360.5197921393</v>
      </c>
      <c r="JI69" s="470">
        <f>'Hodnocení '!JI65</f>
        <v>1079013254.6793954</v>
      </c>
      <c r="JJ69" s="307"/>
      <c r="JK69" s="307"/>
      <c r="JL69" s="307">
        <f t="shared" si="46"/>
        <v>26033243.997923955</v>
      </c>
      <c r="JM69" s="307">
        <f t="shared" si="46"/>
        <v>360157408.80374461</v>
      </c>
      <c r="JN69" s="307">
        <f t="shared" si="46"/>
        <v>195306315.46152607</v>
      </c>
      <c r="JO69" s="307">
        <f t="shared" si="46"/>
        <v>497516286.41620088</v>
      </c>
      <c r="JP69" s="307">
        <f t="shared" si="47"/>
        <v>1079013254.6793957</v>
      </c>
    </row>
    <row r="70" spans="1:276" hidden="1" x14ac:dyDescent="0.25">
      <c r="A70" s="353"/>
      <c r="B70" s="733" t="s">
        <v>2784</v>
      </c>
      <c r="C70" s="779">
        <f>'Hodnocení '!C66</f>
        <v>0</v>
      </c>
      <c r="D70" s="479">
        <f>'Hodnocení '!D66</f>
        <v>0</v>
      </c>
      <c r="E70" s="479">
        <f>'Hodnocení '!E66</f>
        <v>131969.62632393558</v>
      </c>
      <c r="F70" s="479">
        <f>'Hodnocení '!F66</f>
        <v>0</v>
      </c>
      <c r="G70" s="479">
        <f>'Hodnocení '!G66</f>
        <v>548592.14671206614</v>
      </c>
      <c r="H70" s="479">
        <f>'Hodnocení '!H66</f>
        <v>0</v>
      </c>
      <c r="I70" s="479">
        <f>'Hodnocení '!I66</f>
        <v>214801.17171257478</v>
      </c>
      <c r="J70" s="479">
        <f>'Hodnocení '!J66</f>
        <v>0</v>
      </c>
      <c r="K70" s="479">
        <f>'Hodnocení '!K66</f>
        <v>-824223.56719663565</v>
      </c>
      <c r="L70" s="479">
        <f>'Hodnocení '!L66</f>
        <v>0</v>
      </c>
      <c r="M70" s="479">
        <f>'Hodnocení '!M66</f>
        <v>0</v>
      </c>
      <c r="N70" s="479">
        <f>'Hodnocení '!N66</f>
        <v>0</v>
      </c>
      <c r="O70" s="479">
        <f>'Hodnocení '!O66</f>
        <v>-247276.2105904723</v>
      </c>
      <c r="P70" s="479">
        <f>'Hodnocení '!P66</f>
        <v>95133.067207530257</v>
      </c>
      <c r="Q70" s="479">
        <f>'Hodnocení '!Q66</f>
        <v>315395.47467539093</v>
      </c>
      <c r="R70" s="479">
        <f>'Hodnocení '!R66</f>
        <v>855539.94982393191</v>
      </c>
      <c r="S70" s="479">
        <f>'Hodnocení '!S66</f>
        <v>286958.26924377406</v>
      </c>
      <c r="T70" s="479">
        <f>'Hodnocení '!T66</f>
        <v>0</v>
      </c>
      <c r="U70" s="479">
        <f>'Hodnocení '!U66</f>
        <v>112431.65326332147</v>
      </c>
      <c r="V70" s="479">
        <f>'Hodnocení '!V66</f>
        <v>683354.61530145328</v>
      </c>
      <c r="W70" s="479">
        <f>'Hodnocení '!W66</f>
        <v>0</v>
      </c>
      <c r="X70" s="479">
        <f>'Hodnocení '!X66</f>
        <v>-235254.72332073102</v>
      </c>
      <c r="Y70" s="479">
        <f>'Hodnocení '!Y66</f>
        <v>2602359.5025298502</v>
      </c>
      <c r="Z70" s="479">
        <f>'Hodnocení '!Z66</f>
        <v>0</v>
      </c>
      <c r="AA70" s="479">
        <f>'Hodnocení '!AA66</f>
        <v>-225887.12232271861</v>
      </c>
      <c r="AB70" s="479">
        <f>'Hodnocení '!AB66</f>
        <v>-507203.51375680778</v>
      </c>
      <c r="AC70" s="479">
        <f>'Hodnocení '!AC66</f>
        <v>1226320.7874414893</v>
      </c>
      <c r="AD70" s="479">
        <f>'Hodnocení '!AD66</f>
        <v>-249124.42206219956</v>
      </c>
      <c r="AE70" s="479">
        <f>'Hodnocení '!AE66</f>
        <v>0</v>
      </c>
      <c r="AF70" s="479">
        <f>'Hodnocení '!AF66</f>
        <v>717550.83411821234</v>
      </c>
      <c r="AG70" s="479">
        <f>'Hodnocení '!AG66</f>
        <v>0</v>
      </c>
      <c r="AH70" s="479">
        <f>'Hodnocení '!AH66</f>
        <v>0</v>
      </c>
      <c r="AI70" s="479">
        <f>'Hodnocení '!AI66</f>
        <v>1210832.6757528756</v>
      </c>
      <c r="AJ70" s="479">
        <f>'Hodnocení '!AJ66</f>
        <v>5239.7255776590464</v>
      </c>
      <c r="AK70" s="479">
        <f>'Hodnocení '!AK66</f>
        <v>2292.3781405158807</v>
      </c>
      <c r="AL70" s="479">
        <f>'Hodnocení '!AL66</f>
        <v>0</v>
      </c>
      <c r="AM70" s="479">
        <f>'Hodnocení '!AM66</f>
        <v>814753.75077463931</v>
      </c>
      <c r="AN70" s="479">
        <f>'Hodnocení '!AN66</f>
        <v>0</v>
      </c>
      <c r="AO70" s="479">
        <f>'Hodnocení '!AO66</f>
        <v>-1170721.8964947895</v>
      </c>
      <c r="AP70" s="479">
        <f>'Hodnocení '!AP66</f>
        <v>-135009.883770399</v>
      </c>
      <c r="AQ70" s="479">
        <f>'Hodnocení '!AQ66</f>
        <v>-297109.40431126149</v>
      </c>
      <c r="AR70" s="479">
        <f>'Hodnocení '!AR66</f>
        <v>44535.156533852394</v>
      </c>
      <c r="AS70" s="479">
        <f>'Hodnocení '!AS66</f>
        <v>0</v>
      </c>
      <c r="AT70" s="479">
        <f>'Hodnocení '!AT66</f>
        <v>0</v>
      </c>
      <c r="AU70" s="479">
        <f>'Hodnocení '!AU66</f>
        <v>0.39999999999999991</v>
      </c>
      <c r="AV70" s="479">
        <f>'Hodnocení '!AV66</f>
        <v>0</v>
      </c>
      <c r="AW70" s="479">
        <f>'Hodnocení '!AW66</f>
        <v>236523.22025101969</v>
      </c>
      <c r="AX70" s="479">
        <f>'Hodnocení '!AX66</f>
        <v>0</v>
      </c>
      <c r="AY70" s="479">
        <f>'Hodnocení '!AY66</f>
        <v>-144775.54873774288</v>
      </c>
      <c r="AZ70" s="479">
        <f>'Hodnocení '!AZ66</f>
        <v>0</v>
      </c>
      <c r="BA70" s="479">
        <f>'Hodnocení '!BA66</f>
        <v>0</v>
      </c>
      <c r="BB70" s="479">
        <f>'Hodnocení '!BB66</f>
        <v>-58472.910228731671</v>
      </c>
      <c r="BC70" s="479">
        <f>'Hodnocení '!BC66</f>
        <v>0</v>
      </c>
      <c r="BD70" s="479">
        <f>'Hodnocení '!BD66</f>
        <v>-199914.38326196471</v>
      </c>
      <c r="BE70" s="479">
        <f>'Hodnocení '!BE66</f>
        <v>-100027.72528301913</v>
      </c>
      <c r="BF70" s="479">
        <f>'Hodnocení '!BF66</f>
        <v>706134.04311261547</v>
      </c>
      <c r="BG70" s="479">
        <f>'Hodnocení '!BG66</f>
        <v>0</v>
      </c>
      <c r="BH70" s="479">
        <f>'Hodnocení '!BH66</f>
        <v>0</v>
      </c>
      <c r="BI70" s="479">
        <f>'Hodnocení '!BI66</f>
        <v>0</v>
      </c>
      <c r="BJ70" s="479">
        <f>'Hodnocení '!BJ66</f>
        <v>0</v>
      </c>
      <c r="BK70" s="479">
        <f>'Hodnocení '!BK66</f>
        <v>-63490.09231459786</v>
      </c>
      <c r="BL70" s="479">
        <f>'Hodnocení '!BL66</f>
        <v>0</v>
      </c>
      <c r="BM70" s="479">
        <f>'Hodnocení '!BM66</f>
        <v>1007169.0201300802</v>
      </c>
      <c r="BN70" s="479">
        <f>'Hodnocení '!BN66</f>
        <v>-37035.394914980578</v>
      </c>
      <c r="BO70" s="479">
        <f>'Hodnocení '!BO66</f>
        <v>-157525.2786421554</v>
      </c>
      <c r="BP70" s="479">
        <f>'Hodnocení '!BP66</f>
        <v>155810.09866296744</v>
      </c>
      <c r="BQ70" s="479">
        <f>'Hodnocení '!BQ66</f>
        <v>-66564.165662464104</v>
      </c>
      <c r="BR70" s="479">
        <f>'Hodnocení '!BR66</f>
        <v>-366197.78472434735</v>
      </c>
      <c r="BS70" s="479">
        <f>'Hodnocení '!BS66</f>
        <v>0</v>
      </c>
      <c r="BT70" s="479">
        <f>'Hodnocení '!BT66</f>
        <v>0</v>
      </c>
      <c r="BU70" s="479">
        <f>'Hodnocení '!BU66</f>
        <v>0</v>
      </c>
      <c r="BV70" s="479">
        <f>'Hodnocení '!BV66</f>
        <v>-104151.05247350829</v>
      </c>
      <c r="BW70" s="479">
        <f>'Hodnocení '!BW66</f>
        <v>0</v>
      </c>
      <c r="BX70" s="479">
        <f>'Hodnocení '!BX66</f>
        <v>0</v>
      </c>
      <c r="BY70" s="479">
        <f>'Hodnocení '!BY66</f>
        <v>0</v>
      </c>
      <c r="BZ70" s="479">
        <f>'Hodnocení '!BZ66</f>
        <v>0</v>
      </c>
      <c r="CA70" s="479">
        <f>'Hodnocení '!CA66</f>
        <v>0</v>
      </c>
      <c r="CB70" s="479">
        <f>'Hodnocení '!CB66</f>
        <v>0</v>
      </c>
      <c r="CC70" s="479">
        <f>'Hodnocení '!CC66</f>
        <v>0</v>
      </c>
      <c r="CD70" s="479">
        <f>'Hodnocení '!CD66</f>
        <v>0</v>
      </c>
      <c r="CE70" s="479">
        <f>'Hodnocení '!CE66</f>
        <v>0</v>
      </c>
      <c r="CF70" s="479">
        <f>'Hodnocení '!CF66</f>
        <v>0</v>
      </c>
      <c r="CG70" s="479">
        <f>'Hodnocení '!CG66</f>
        <v>0</v>
      </c>
      <c r="CH70" s="479">
        <f>'Hodnocení '!CH66</f>
        <v>0</v>
      </c>
      <c r="CI70" s="479">
        <f>'Hodnocení '!CI66</f>
        <v>0</v>
      </c>
      <c r="CJ70" s="479">
        <f>'Hodnocení '!CJ66</f>
        <v>0</v>
      </c>
      <c r="CK70" s="479">
        <f>'Hodnocení '!CK66</f>
        <v>218776.1993084657</v>
      </c>
      <c r="CL70" s="479">
        <f>'Hodnocení '!CL66</f>
        <v>296120.84909748111</v>
      </c>
      <c r="CM70" s="479">
        <f>'Hodnocení '!CM66</f>
        <v>0</v>
      </c>
      <c r="CN70" s="479">
        <f>'Hodnocení '!CN66</f>
        <v>0</v>
      </c>
      <c r="CO70" s="479">
        <f>'Hodnocení '!CO66</f>
        <v>0</v>
      </c>
      <c r="CP70" s="479">
        <f>'Hodnocení '!CP66</f>
        <v>0</v>
      </c>
      <c r="CQ70" s="479">
        <f>'Hodnocení '!CQ66</f>
        <v>647021.14764995396</v>
      </c>
      <c r="CR70" s="479">
        <f>'Hodnocení '!CR66</f>
        <v>446729.88105102989</v>
      </c>
      <c r="CS70" s="479">
        <f>'Hodnocení '!CS66</f>
        <v>0</v>
      </c>
      <c r="CT70" s="479">
        <f>'Hodnocení '!CT66</f>
        <v>0</v>
      </c>
      <c r="CU70" s="479">
        <f>'Hodnocení '!CU66</f>
        <v>566266.90257590683</v>
      </c>
      <c r="CV70" s="479">
        <f>'Hodnocení '!CV66</f>
        <v>-591862.51462611102</v>
      </c>
      <c r="CW70" s="479">
        <f>'Hodnocení '!CW66</f>
        <v>0</v>
      </c>
      <c r="CX70" s="479">
        <f>'Hodnocení '!CX66</f>
        <v>1478869.3065485086</v>
      </c>
      <c r="CY70" s="479">
        <f>'Hodnocení '!CY66</f>
        <v>0</v>
      </c>
      <c r="CZ70" s="479">
        <f>'Hodnocení '!CZ66</f>
        <v>374946.48221876891</v>
      </c>
      <c r="DA70" s="479">
        <f>'Hodnocení '!DA66</f>
        <v>0</v>
      </c>
      <c r="DB70" s="479">
        <f>'Hodnocení '!DB66</f>
        <v>-111416.02661672299</v>
      </c>
      <c r="DC70" s="479">
        <f>'Hodnocení '!DC66</f>
        <v>-244927.68230873742</v>
      </c>
      <c r="DD70" s="479">
        <f>'Hodnocení '!DD66</f>
        <v>-420086.21635071654</v>
      </c>
      <c r="DE70" s="479">
        <f>'Hodnocení '!DE66</f>
        <v>0</v>
      </c>
      <c r="DF70" s="479">
        <f>'Hodnocení '!DF66</f>
        <v>0</v>
      </c>
      <c r="DG70" s="479">
        <f>'Hodnocení '!DG66</f>
        <v>85782.13853446109</v>
      </c>
      <c r="DH70" s="479">
        <f>'Hodnocení '!DH66</f>
        <v>749307.00067935756</v>
      </c>
      <c r="DI70" s="479">
        <f>'Hodnocení '!DI66</f>
        <v>0</v>
      </c>
      <c r="DJ70" s="479">
        <f>'Hodnocení '!DJ66</f>
        <v>0</v>
      </c>
      <c r="DK70" s="479">
        <f>'Hodnocení '!DK66</f>
        <v>-224452.83531246078</v>
      </c>
      <c r="DL70" s="479">
        <f>'Hodnocení '!DL66</f>
        <v>0</v>
      </c>
      <c r="DM70" s="479">
        <f>'Hodnocení '!DM66</f>
        <v>-53553.642319851788</v>
      </c>
      <c r="DN70" s="479">
        <f>'Hodnocení '!DN66</f>
        <v>-661462.20200113172</v>
      </c>
      <c r="DO70" s="479">
        <f>'Hodnocení '!DO66</f>
        <v>0</v>
      </c>
      <c r="DP70" s="479">
        <f>'Hodnocení '!DP66</f>
        <v>393475.39264618291</v>
      </c>
      <c r="DQ70" s="479">
        <f>'Hodnocení '!DQ66</f>
        <v>0</v>
      </c>
      <c r="DR70" s="479">
        <f>'Hodnocení '!DR66</f>
        <v>37065.877019155771</v>
      </c>
      <c r="DS70" s="479">
        <f>'Hodnocení '!DS66</f>
        <v>0</v>
      </c>
      <c r="DT70" s="479">
        <f>'Hodnocení '!DT66</f>
        <v>-19364.051373042304</v>
      </c>
      <c r="DU70" s="479">
        <f>'Hodnocení '!DU66</f>
        <v>-35402.15315866132</v>
      </c>
      <c r="DV70" s="479">
        <f>'Hodnocení '!DV66</f>
        <v>1699819.8138009594</v>
      </c>
      <c r="DW70" s="479">
        <f>'Hodnocení '!DW66</f>
        <v>-368896.922364717</v>
      </c>
      <c r="DX70" s="479">
        <f>'Hodnocení '!DX66</f>
        <v>0</v>
      </c>
      <c r="DY70" s="479">
        <f>'Hodnocení '!DY66</f>
        <v>0</v>
      </c>
      <c r="DZ70" s="479">
        <f>'Hodnocení '!DZ66</f>
        <v>0</v>
      </c>
      <c r="EA70" s="479">
        <f>'Hodnocení '!EA66</f>
        <v>0</v>
      </c>
      <c r="EB70" s="479">
        <f>'Hodnocení '!EB66</f>
        <v>728685.62631728547</v>
      </c>
      <c r="EC70" s="479">
        <f>'Hodnocení '!EC66</f>
        <v>0</v>
      </c>
      <c r="ED70" s="479">
        <f>'Hodnocení '!ED66</f>
        <v>-289722.16032859101</v>
      </c>
      <c r="EE70" s="479">
        <f>'Hodnocení '!EE66</f>
        <v>-5862.4946499028738</v>
      </c>
      <c r="EF70" s="479">
        <f>'Hodnocení '!EF66</f>
        <v>-73506.95468712505</v>
      </c>
      <c r="EG70" s="479">
        <f>'Hodnocení '!EG66</f>
        <v>0</v>
      </c>
      <c r="EH70" s="479">
        <f>'Hodnocení '!EH66</f>
        <v>-46297.498982917605</v>
      </c>
      <c r="EI70" s="479">
        <f>'Hodnocení '!EI66</f>
        <v>26878.19621196331</v>
      </c>
      <c r="EJ70" s="479">
        <f>'Hodnocení '!EJ66</f>
        <v>0</v>
      </c>
      <c r="EK70" s="479">
        <f>'Hodnocení '!EK66</f>
        <v>0.41000000000000014</v>
      </c>
      <c r="EL70" s="479">
        <f>'Hodnocení '!EL66</f>
        <v>-76904.394825894677</v>
      </c>
      <c r="EM70" s="479">
        <f>'Hodnocení '!EM66</f>
        <v>0</v>
      </c>
      <c r="EN70" s="479">
        <f>'Hodnocení '!EN66</f>
        <v>0</v>
      </c>
      <c r="EO70" s="479">
        <f>'Hodnocení '!EO66</f>
        <v>-44426.742504294409</v>
      </c>
      <c r="EP70" s="479">
        <f>'Hodnocení '!EP66</f>
        <v>-353774.55149696046</v>
      </c>
      <c r="EQ70" s="479">
        <f>'Hodnocení '!EQ66</f>
        <v>0</v>
      </c>
      <c r="ER70" s="479">
        <f>'Hodnocení '!ER66</f>
        <v>0</v>
      </c>
      <c r="ES70" s="479">
        <f>'Hodnocení '!ES66</f>
        <v>0</v>
      </c>
      <c r="ET70" s="479">
        <f>'Hodnocení '!ET66</f>
        <v>0</v>
      </c>
      <c r="EU70" s="479">
        <f>'Hodnocení '!EU66</f>
        <v>0</v>
      </c>
      <c r="EV70" s="479">
        <f>'Hodnocení '!EV66</f>
        <v>0</v>
      </c>
      <c r="EW70" s="479">
        <f>'Hodnocení '!EW66</f>
        <v>0</v>
      </c>
      <c r="EX70" s="479">
        <f>'Hodnocení '!EX66</f>
        <v>0</v>
      </c>
      <c r="EY70" s="479">
        <f>'Hodnocení '!EY66</f>
        <v>0</v>
      </c>
      <c r="EZ70" s="479">
        <f>'Hodnocení '!EZ66</f>
        <v>0</v>
      </c>
      <c r="FA70" s="479">
        <f>'Hodnocení '!FA66</f>
        <v>0</v>
      </c>
      <c r="FB70" s="479">
        <f>'Hodnocení '!FB66</f>
        <v>0</v>
      </c>
      <c r="FC70" s="479">
        <f>'Hodnocení '!FC66</f>
        <v>0</v>
      </c>
      <c r="FD70" s="479">
        <f>'Hodnocení '!FD66</f>
        <v>0</v>
      </c>
      <c r="FE70" s="479">
        <f>'Hodnocení '!FE66</f>
        <v>0</v>
      </c>
      <c r="FF70" s="479">
        <f>'Hodnocení '!FF66</f>
        <v>0</v>
      </c>
      <c r="FG70" s="479">
        <f>'Hodnocení '!FG66</f>
        <v>0</v>
      </c>
      <c r="FH70" s="479">
        <f>'Hodnocení '!FH66</f>
        <v>0</v>
      </c>
      <c r="FI70" s="479">
        <f>'Hodnocení '!FI66</f>
        <v>0</v>
      </c>
      <c r="FJ70" s="479">
        <f>'Hodnocení '!FJ66</f>
        <v>0</v>
      </c>
      <c r="FK70" s="479">
        <f>'Hodnocení '!FK66</f>
        <v>0</v>
      </c>
      <c r="FL70" s="479">
        <f>'Hodnocení '!FL66</f>
        <v>0</v>
      </c>
      <c r="FM70" s="479">
        <f>'Hodnocení '!FM66</f>
        <v>0</v>
      </c>
      <c r="FN70" s="479">
        <f>'Hodnocení '!FN66</f>
        <v>0</v>
      </c>
      <c r="FO70" s="479">
        <f>'Hodnocení '!FO66</f>
        <v>0</v>
      </c>
      <c r="FP70" s="479">
        <f>'Hodnocení '!FP66</f>
        <v>0</v>
      </c>
      <c r="FQ70" s="479">
        <f>'Hodnocení '!FQ66</f>
        <v>0</v>
      </c>
      <c r="FR70" s="479">
        <f>'Hodnocení '!FR66</f>
        <v>0</v>
      </c>
      <c r="FS70" s="479">
        <f>'Hodnocení '!FS66</f>
        <v>0</v>
      </c>
      <c r="FT70" s="479">
        <f>'Hodnocení '!FT66</f>
        <v>0</v>
      </c>
      <c r="FU70" s="479">
        <f>'Hodnocení '!FU66</f>
        <v>0</v>
      </c>
      <c r="FV70" s="479">
        <f>'Hodnocení '!FV66</f>
        <v>0</v>
      </c>
      <c r="FW70" s="479">
        <f>'Hodnocení '!FW66</f>
        <v>0</v>
      </c>
      <c r="FX70" s="479">
        <f>'Hodnocení '!FX66</f>
        <v>0</v>
      </c>
      <c r="FY70" s="479">
        <f>'Hodnocení '!FY66</f>
        <v>0</v>
      </c>
      <c r="FZ70" s="479">
        <f>'Hodnocení '!FZ66</f>
        <v>0</v>
      </c>
      <c r="GA70" s="479">
        <f>'Hodnocení '!GA66</f>
        <v>0</v>
      </c>
      <c r="GB70" s="479">
        <f>'Hodnocení '!GB66</f>
        <v>0</v>
      </c>
      <c r="GC70" s="479">
        <f>'Hodnocení '!GC66</f>
        <v>0</v>
      </c>
      <c r="GD70" s="479">
        <f>'Hodnocení '!GD66</f>
        <v>0</v>
      </c>
      <c r="GE70" s="479">
        <f>'Hodnocení '!GE66</f>
        <v>0</v>
      </c>
      <c r="GF70" s="479">
        <f>'Hodnocení '!GF66</f>
        <v>0</v>
      </c>
      <c r="GG70" s="479">
        <f>'Hodnocení '!GG66</f>
        <v>0</v>
      </c>
      <c r="GH70" s="479">
        <f>'Hodnocení '!GH66</f>
        <v>0</v>
      </c>
      <c r="GI70" s="479">
        <f>'Hodnocení '!GI66</f>
        <v>0</v>
      </c>
      <c r="GJ70" s="479">
        <f>'Hodnocení '!GJ66</f>
        <v>0</v>
      </c>
      <c r="GK70" s="479">
        <f>'Hodnocení '!GK66</f>
        <v>0</v>
      </c>
      <c r="GL70" s="479">
        <f>'Hodnocení '!GL66</f>
        <v>0</v>
      </c>
      <c r="GM70" s="479">
        <f>'Hodnocení '!GM66</f>
        <v>0</v>
      </c>
      <c r="GN70" s="479">
        <f>'Hodnocení '!GN66</f>
        <v>0</v>
      </c>
      <c r="GO70" s="479">
        <f>'Hodnocení '!GO66</f>
        <v>0</v>
      </c>
      <c r="GP70" s="479">
        <f>'Hodnocení '!GP66</f>
        <v>0</v>
      </c>
      <c r="GQ70" s="479">
        <f>'Hodnocení '!GQ66</f>
        <v>0</v>
      </c>
      <c r="GR70" s="479">
        <f>'Hodnocení '!GR66</f>
        <v>0</v>
      </c>
      <c r="GS70" s="479">
        <f>'Hodnocení '!GS66</f>
        <v>0</v>
      </c>
      <c r="GT70" s="479">
        <f>'Hodnocení '!GT66</f>
        <v>0</v>
      </c>
      <c r="GU70" s="479">
        <f>'Hodnocení '!GU66</f>
        <v>0</v>
      </c>
      <c r="GV70" s="479">
        <f>'Hodnocení '!GV66</f>
        <v>0</v>
      </c>
      <c r="GW70" s="479">
        <f>'Hodnocení '!GW66</f>
        <v>0</v>
      </c>
      <c r="GX70" s="479">
        <f>'Hodnocení '!GX66</f>
        <v>0</v>
      </c>
      <c r="GY70" s="479">
        <f>'Hodnocení '!GY66</f>
        <v>0</v>
      </c>
      <c r="GZ70" s="479">
        <f>'Hodnocení '!GZ66</f>
        <v>0</v>
      </c>
      <c r="HA70" s="479">
        <f>'Hodnocení '!HA66</f>
        <v>0</v>
      </c>
      <c r="HB70" s="479">
        <f>'Hodnocení '!HB66</f>
        <v>0</v>
      </c>
      <c r="HC70" s="479">
        <f>'Hodnocení '!HC66</f>
        <v>0</v>
      </c>
      <c r="HD70" s="479">
        <f>'Hodnocení '!HD66</f>
        <v>0</v>
      </c>
      <c r="HE70" s="479">
        <f>'Hodnocení '!HE66</f>
        <v>0</v>
      </c>
      <c r="HF70" s="479">
        <f>'Hodnocení '!HF66</f>
        <v>0</v>
      </c>
      <c r="HG70" s="479">
        <f>'Hodnocení '!HG66</f>
        <v>0</v>
      </c>
      <c r="HH70" s="479">
        <f>'Hodnocení '!HH66</f>
        <v>0</v>
      </c>
      <c r="HI70" s="479">
        <f>'Hodnocení '!HI66</f>
        <v>0</v>
      </c>
      <c r="HJ70" s="479">
        <f>'Hodnocení '!HJ66</f>
        <v>0</v>
      </c>
      <c r="HK70" s="479">
        <f>'Hodnocení '!HK66</f>
        <v>0</v>
      </c>
      <c r="HL70" s="479">
        <f>'Hodnocení '!HL66</f>
        <v>0</v>
      </c>
      <c r="HM70" s="479">
        <f>'Hodnocení '!HM66</f>
        <v>0</v>
      </c>
      <c r="HN70" s="479">
        <f>'Hodnocení '!HN66</f>
        <v>0</v>
      </c>
      <c r="HO70" s="479">
        <f>'Hodnocení '!HO66</f>
        <v>0</v>
      </c>
      <c r="HP70" s="479">
        <f>'Hodnocení '!HP66</f>
        <v>0</v>
      </c>
      <c r="HQ70" s="479">
        <f>'Hodnocení '!HQ66</f>
        <v>0</v>
      </c>
      <c r="HR70" s="479">
        <f>'Hodnocení '!HR66</f>
        <v>0</v>
      </c>
      <c r="HS70" s="479">
        <f>'Hodnocení '!HS66</f>
        <v>0</v>
      </c>
      <c r="HT70" s="479">
        <f>'Hodnocení '!HT66</f>
        <v>0</v>
      </c>
      <c r="HU70" s="479">
        <f>'Hodnocení '!HU66</f>
        <v>0</v>
      </c>
      <c r="HV70" s="479">
        <f>'Hodnocení '!HV66</f>
        <v>0</v>
      </c>
      <c r="HW70" s="479">
        <f>'Hodnocení '!HW66</f>
        <v>0</v>
      </c>
      <c r="HX70" s="479">
        <f>'Hodnocení '!HX66</f>
        <v>0</v>
      </c>
      <c r="HY70" s="479">
        <f>'Hodnocení '!HY66</f>
        <v>0</v>
      </c>
      <c r="HZ70" s="479">
        <f>'Hodnocení '!HZ66</f>
        <v>0</v>
      </c>
      <c r="IA70" s="479">
        <f>'Hodnocení '!IA66</f>
        <v>0</v>
      </c>
      <c r="IB70" s="479">
        <f>'Hodnocení '!IB66</f>
        <v>0</v>
      </c>
      <c r="IC70" s="479">
        <f>'Hodnocení '!IC66</f>
        <v>0</v>
      </c>
      <c r="ID70" s="479">
        <f>'Hodnocení '!ID66</f>
        <v>0</v>
      </c>
      <c r="IE70" s="479">
        <f>'Hodnocení '!IE66</f>
        <v>0</v>
      </c>
      <c r="IF70" s="479">
        <f>'Hodnocení '!IF66</f>
        <v>0</v>
      </c>
      <c r="IG70" s="479">
        <f>'Hodnocení '!IG66</f>
        <v>0</v>
      </c>
      <c r="IH70" s="479">
        <f>'Hodnocení '!IH66</f>
        <v>0</v>
      </c>
      <c r="II70" s="479">
        <f>'Hodnocení '!II66</f>
        <v>0</v>
      </c>
      <c r="IJ70" s="479">
        <f>'Hodnocení '!IJ66</f>
        <v>0</v>
      </c>
      <c r="IK70" s="479">
        <f>'Hodnocení '!IK66</f>
        <v>0</v>
      </c>
      <c r="IL70" s="479">
        <f>'Hodnocení '!IL66</f>
        <v>0</v>
      </c>
      <c r="IM70" s="479">
        <f>'Hodnocení '!IM66</f>
        <v>0</v>
      </c>
      <c r="IN70" s="479">
        <f>'Hodnocení '!IN66</f>
        <v>0</v>
      </c>
      <c r="IO70" s="479">
        <f>'Hodnocení '!IO66</f>
        <v>0</v>
      </c>
      <c r="IP70" s="479">
        <f>'Hodnocení '!IP66</f>
        <v>0</v>
      </c>
      <c r="IQ70" s="479">
        <f>'Hodnocení '!IQ66</f>
        <v>0</v>
      </c>
      <c r="IR70" s="479">
        <f>'Hodnocení '!IR66</f>
        <v>0</v>
      </c>
      <c r="IS70" s="479">
        <f>'Hodnocení '!IS66</f>
        <v>0</v>
      </c>
      <c r="IT70" s="479">
        <f>'Hodnocení '!IT66</f>
        <v>0</v>
      </c>
      <c r="IU70" s="479">
        <f>'Hodnocení '!IU66</f>
        <v>0</v>
      </c>
      <c r="IV70" s="479">
        <f>'Hodnocení '!IV66</f>
        <v>0</v>
      </c>
      <c r="IW70" s="479">
        <f>'Hodnocení '!IW66</f>
        <v>0</v>
      </c>
      <c r="IX70" s="479">
        <f>'Hodnocení '!IX66</f>
        <v>0</v>
      </c>
      <c r="IY70" s="479">
        <f>'Hodnocení '!IY66</f>
        <v>0</v>
      </c>
      <c r="IZ70" s="479">
        <f>'Hodnocení '!IZ66</f>
        <v>0</v>
      </c>
      <c r="JA70" s="479">
        <f>'Hodnocení '!JA66</f>
        <v>0</v>
      </c>
      <c r="JB70" s="479">
        <f>'Hodnocení '!JB66</f>
        <v>0</v>
      </c>
      <c r="JC70" s="479">
        <f>'Hodnocení '!JC66</f>
        <v>0</v>
      </c>
      <c r="JD70" s="479">
        <f>'Hodnocení '!JD66</f>
        <v>0</v>
      </c>
      <c r="JE70" s="479">
        <f>'Hodnocení '!JE66</f>
        <v>0</v>
      </c>
      <c r="JF70" s="479">
        <f>'Hodnocení '!JF66</f>
        <v>0</v>
      </c>
      <c r="JG70" s="479">
        <f>'Hodnocení '!JG66</f>
        <v>0</v>
      </c>
      <c r="JH70" s="780">
        <f>'Hodnocení '!JH66</f>
        <v>0</v>
      </c>
      <c r="JI70" s="470">
        <f>'Hodnocení '!JI66</f>
        <v>0</v>
      </c>
    </row>
    <row r="71" spans="1:276" hidden="1" x14ac:dyDescent="0.25">
      <c r="A71" s="353"/>
      <c r="B71" s="737" t="s">
        <v>2544</v>
      </c>
      <c r="C71" s="779">
        <f>'Hodnocení '!C67</f>
        <v>0</v>
      </c>
      <c r="D71" s="479">
        <f>'Hodnocení '!D67</f>
        <v>0</v>
      </c>
      <c r="E71" s="479">
        <f>'Hodnocení '!E67</f>
        <v>0</v>
      </c>
      <c r="F71" s="479">
        <f>'Hodnocení '!F67</f>
        <v>0</v>
      </c>
      <c r="G71" s="479">
        <f>'Hodnocení '!G67</f>
        <v>0</v>
      </c>
      <c r="H71" s="479">
        <f>'Hodnocení '!H67</f>
        <v>0</v>
      </c>
      <c r="I71" s="479">
        <f>'Hodnocení '!I67</f>
        <v>0</v>
      </c>
      <c r="J71" s="479">
        <f>'Hodnocení '!J67</f>
        <v>0</v>
      </c>
      <c r="K71" s="479">
        <f>'Hodnocení '!K67</f>
        <v>0</v>
      </c>
      <c r="L71" s="479">
        <f>'Hodnocení '!L67</f>
        <v>0</v>
      </c>
      <c r="M71" s="479">
        <f>'Hodnocení '!M67</f>
        <v>0</v>
      </c>
      <c r="N71" s="479">
        <f>'Hodnocení '!N67</f>
        <v>0</v>
      </c>
      <c r="O71" s="479">
        <f>'Hodnocení '!O67</f>
        <v>0</v>
      </c>
      <c r="P71" s="479">
        <f>'Hodnocení '!P67</f>
        <v>0</v>
      </c>
      <c r="Q71" s="479">
        <f>'Hodnocení '!Q67</f>
        <v>0</v>
      </c>
      <c r="R71" s="479">
        <f>'Hodnocení '!R67</f>
        <v>0</v>
      </c>
      <c r="S71" s="479">
        <f>'Hodnocení '!S67</f>
        <v>0</v>
      </c>
      <c r="T71" s="479">
        <f>'Hodnocení '!T67</f>
        <v>0</v>
      </c>
      <c r="U71" s="479">
        <f>'Hodnocení '!U67</f>
        <v>0</v>
      </c>
      <c r="V71" s="479">
        <f>'Hodnocení '!V67</f>
        <v>0</v>
      </c>
      <c r="W71" s="479">
        <f>'Hodnocení '!W67</f>
        <v>0</v>
      </c>
      <c r="X71" s="479">
        <f>'Hodnocení '!X67</f>
        <v>0</v>
      </c>
      <c r="Y71" s="479">
        <f>'Hodnocení '!Y67</f>
        <v>0</v>
      </c>
      <c r="Z71" s="479">
        <f>'Hodnocení '!Z67</f>
        <v>0</v>
      </c>
      <c r="AA71" s="479">
        <f>'Hodnocení '!AA67</f>
        <v>0</v>
      </c>
      <c r="AB71" s="479">
        <f>'Hodnocení '!AB67</f>
        <v>0</v>
      </c>
      <c r="AC71" s="479">
        <f>'Hodnocení '!AC67</f>
        <v>0</v>
      </c>
      <c r="AD71" s="479">
        <f>'Hodnocení '!AD67</f>
        <v>0</v>
      </c>
      <c r="AE71" s="479">
        <f>'Hodnocení '!AE67</f>
        <v>0</v>
      </c>
      <c r="AF71" s="479">
        <f>'Hodnocení '!AF67</f>
        <v>0</v>
      </c>
      <c r="AG71" s="479">
        <f>'Hodnocení '!AG67</f>
        <v>0</v>
      </c>
      <c r="AH71" s="479">
        <f>'Hodnocení '!AH67</f>
        <v>0</v>
      </c>
      <c r="AI71" s="479">
        <f>'Hodnocení '!AI67</f>
        <v>0</v>
      </c>
      <c r="AJ71" s="479">
        <f>'Hodnocení '!AJ67</f>
        <v>0</v>
      </c>
      <c r="AK71" s="479">
        <f>'Hodnocení '!AK67</f>
        <v>0</v>
      </c>
      <c r="AL71" s="479">
        <f>'Hodnocení '!AL67</f>
        <v>0</v>
      </c>
      <c r="AM71" s="479">
        <f>'Hodnocení '!AM67</f>
        <v>0</v>
      </c>
      <c r="AN71" s="479">
        <f>'Hodnocení '!AN67</f>
        <v>0</v>
      </c>
      <c r="AO71" s="479">
        <f>'Hodnocení '!AO67</f>
        <v>0</v>
      </c>
      <c r="AP71" s="479">
        <f>'Hodnocení '!AP67</f>
        <v>0</v>
      </c>
      <c r="AQ71" s="479">
        <f>'Hodnocení '!AQ67</f>
        <v>0</v>
      </c>
      <c r="AR71" s="479">
        <f>'Hodnocení '!AR67</f>
        <v>0</v>
      </c>
      <c r="AS71" s="479">
        <f>'Hodnocení '!AS67</f>
        <v>0</v>
      </c>
      <c r="AT71" s="479">
        <f>'Hodnocení '!AT67</f>
        <v>0</v>
      </c>
      <c r="AU71" s="479">
        <f>'Hodnocení '!AU67</f>
        <v>0</v>
      </c>
      <c r="AV71" s="479">
        <f>'Hodnocení '!AV67</f>
        <v>0</v>
      </c>
      <c r="AW71" s="479">
        <f>'Hodnocení '!AW67</f>
        <v>0</v>
      </c>
      <c r="AX71" s="479">
        <f>'Hodnocení '!AX67</f>
        <v>0</v>
      </c>
      <c r="AY71" s="479">
        <f>'Hodnocení '!AY67</f>
        <v>0</v>
      </c>
      <c r="AZ71" s="479">
        <f>'Hodnocení '!AZ67</f>
        <v>0</v>
      </c>
      <c r="BA71" s="479">
        <f>'Hodnocení '!BA67</f>
        <v>0</v>
      </c>
      <c r="BB71" s="479">
        <f>'Hodnocení '!BB67</f>
        <v>0</v>
      </c>
      <c r="BC71" s="479">
        <f>'Hodnocení '!BC67</f>
        <v>0</v>
      </c>
      <c r="BD71" s="479">
        <f>'Hodnocení '!BD67</f>
        <v>0</v>
      </c>
      <c r="BE71" s="479">
        <f>'Hodnocení '!BE67</f>
        <v>0</v>
      </c>
      <c r="BF71" s="479">
        <f>'Hodnocení '!BF67</f>
        <v>0</v>
      </c>
      <c r="BG71" s="479">
        <f>'Hodnocení '!BG67</f>
        <v>0</v>
      </c>
      <c r="BH71" s="479">
        <f>'Hodnocení '!BH67</f>
        <v>0</v>
      </c>
      <c r="BI71" s="479">
        <f>'Hodnocení '!BI67</f>
        <v>0</v>
      </c>
      <c r="BJ71" s="479">
        <f>'Hodnocení '!BJ67</f>
        <v>0</v>
      </c>
      <c r="BK71" s="479">
        <f>'Hodnocení '!BK67</f>
        <v>0</v>
      </c>
      <c r="BL71" s="479">
        <f>'Hodnocení '!BL67</f>
        <v>0</v>
      </c>
      <c r="BM71" s="479">
        <f>'Hodnocení '!BM67</f>
        <v>0</v>
      </c>
      <c r="BN71" s="479">
        <f>'Hodnocení '!BN67</f>
        <v>0</v>
      </c>
      <c r="BO71" s="479">
        <f>'Hodnocení '!BO67</f>
        <v>0</v>
      </c>
      <c r="BP71" s="479">
        <f>'Hodnocení '!BP67</f>
        <v>0</v>
      </c>
      <c r="BQ71" s="479">
        <f>'Hodnocení '!BQ67</f>
        <v>0</v>
      </c>
      <c r="BR71" s="479">
        <f>'Hodnocení '!BR67</f>
        <v>0</v>
      </c>
      <c r="BS71" s="479">
        <f>'Hodnocení '!BS67</f>
        <v>0</v>
      </c>
      <c r="BT71" s="479">
        <f>'Hodnocení '!BT67</f>
        <v>0</v>
      </c>
      <c r="BU71" s="479">
        <f>'Hodnocení '!BU67</f>
        <v>0</v>
      </c>
      <c r="BV71" s="479">
        <f>'Hodnocení '!BV67</f>
        <v>0</v>
      </c>
      <c r="BW71" s="479">
        <f>'Hodnocení '!BW67</f>
        <v>0</v>
      </c>
      <c r="BX71" s="479">
        <f>'Hodnocení '!BX67</f>
        <v>0</v>
      </c>
      <c r="BY71" s="479">
        <f>'Hodnocení '!BY67</f>
        <v>0</v>
      </c>
      <c r="BZ71" s="479">
        <f>'Hodnocení '!BZ67</f>
        <v>0</v>
      </c>
      <c r="CA71" s="479">
        <f>'Hodnocení '!CA67</f>
        <v>0</v>
      </c>
      <c r="CB71" s="479">
        <f>'Hodnocení '!CB67</f>
        <v>0</v>
      </c>
      <c r="CC71" s="479">
        <f>'Hodnocení '!CC67</f>
        <v>0</v>
      </c>
      <c r="CD71" s="479">
        <f>'Hodnocení '!CD67</f>
        <v>0</v>
      </c>
      <c r="CE71" s="479">
        <f>'Hodnocení '!CE67</f>
        <v>0</v>
      </c>
      <c r="CF71" s="479">
        <f>'Hodnocení '!CF67</f>
        <v>0</v>
      </c>
      <c r="CG71" s="479">
        <f>'Hodnocení '!CG67</f>
        <v>0</v>
      </c>
      <c r="CH71" s="479">
        <f>'Hodnocení '!CH67</f>
        <v>0</v>
      </c>
      <c r="CI71" s="479">
        <f>'Hodnocení '!CI67</f>
        <v>0</v>
      </c>
      <c r="CJ71" s="479">
        <f>'Hodnocení '!CJ67</f>
        <v>0</v>
      </c>
      <c r="CK71" s="479">
        <f>'Hodnocení '!CK67</f>
        <v>0</v>
      </c>
      <c r="CL71" s="479">
        <f>'Hodnocení '!CL67</f>
        <v>0</v>
      </c>
      <c r="CM71" s="479">
        <f>'Hodnocení '!CM67</f>
        <v>0</v>
      </c>
      <c r="CN71" s="479">
        <f>'Hodnocení '!CN67</f>
        <v>0</v>
      </c>
      <c r="CO71" s="479">
        <f>'Hodnocení '!CO67</f>
        <v>0</v>
      </c>
      <c r="CP71" s="479">
        <f>'Hodnocení '!CP67</f>
        <v>0</v>
      </c>
      <c r="CQ71" s="479">
        <f>'Hodnocení '!CQ67</f>
        <v>0</v>
      </c>
      <c r="CR71" s="479">
        <f>'Hodnocení '!CR67</f>
        <v>0</v>
      </c>
      <c r="CS71" s="479">
        <f>'Hodnocení '!CS67</f>
        <v>0</v>
      </c>
      <c r="CT71" s="479">
        <f>'Hodnocení '!CT67</f>
        <v>0</v>
      </c>
      <c r="CU71" s="479">
        <f>'Hodnocení '!CU67</f>
        <v>0</v>
      </c>
      <c r="CV71" s="479">
        <f>'Hodnocení '!CV67</f>
        <v>0</v>
      </c>
      <c r="CW71" s="479">
        <f>'Hodnocení '!CW67</f>
        <v>0</v>
      </c>
      <c r="CX71" s="479">
        <f>'Hodnocení '!CX67</f>
        <v>0</v>
      </c>
      <c r="CY71" s="479">
        <f>'Hodnocení '!CY67</f>
        <v>0</v>
      </c>
      <c r="CZ71" s="479">
        <f>'Hodnocení '!CZ67</f>
        <v>0</v>
      </c>
      <c r="DA71" s="479">
        <f>'Hodnocení '!DA67</f>
        <v>0</v>
      </c>
      <c r="DB71" s="479">
        <f>'Hodnocení '!DB67</f>
        <v>0</v>
      </c>
      <c r="DC71" s="479">
        <f>'Hodnocení '!DC67</f>
        <v>0</v>
      </c>
      <c r="DD71" s="479">
        <f>'Hodnocení '!DD67</f>
        <v>0</v>
      </c>
      <c r="DE71" s="479">
        <f>'Hodnocení '!DE67</f>
        <v>0</v>
      </c>
      <c r="DF71" s="479">
        <f>'Hodnocení '!DF67</f>
        <v>0</v>
      </c>
      <c r="DG71" s="479">
        <f>'Hodnocení '!DG67</f>
        <v>0</v>
      </c>
      <c r="DH71" s="479">
        <f>'Hodnocení '!DH67</f>
        <v>0</v>
      </c>
      <c r="DI71" s="479">
        <f>'Hodnocení '!DI67</f>
        <v>0</v>
      </c>
      <c r="DJ71" s="479">
        <f>'Hodnocení '!DJ67</f>
        <v>0</v>
      </c>
      <c r="DK71" s="479">
        <f>'Hodnocení '!DK67</f>
        <v>0</v>
      </c>
      <c r="DL71" s="479">
        <f>'Hodnocení '!DL67</f>
        <v>0</v>
      </c>
      <c r="DM71" s="479">
        <f>'Hodnocení '!DM67</f>
        <v>0</v>
      </c>
      <c r="DN71" s="479">
        <f>'Hodnocení '!DN67</f>
        <v>0</v>
      </c>
      <c r="DO71" s="479">
        <f>'Hodnocení '!DO67</f>
        <v>0</v>
      </c>
      <c r="DP71" s="479">
        <f>'Hodnocení '!DP67</f>
        <v>0</v>
      </c>
      <c r="DQ71" s="479">
        <f>'Hodnocení '!DQ67</f>
        <v>0</v>
      </c>
      <c r="DR71" s="479">
        <f>'Hodnocení '!DR67</f>
        <v>0</v>
      </c>
      <c r="DS71" s="479">
        <f>'Hodnocení '!DS67</f>
        <v>0</v>
      </c>
      <c r="DT71" s="479">
        <f>'Hodnocení '!DT67</f>
        <v>0</v>
      </c>
      <c r="DU71" s="479">
        <f>'Hodnocení '!DU67</f>
        <v>0</v>
      </c>
      <c r="DV71" s="479">
        <f>'Hodnocení '!DV67</f>
        <v>0</v>
      </c>
      <c r="DW71" s="479">
        <f>'Hodnocení '!DW67</f>
        <v>0</v>
      </c>
      <c r="DX71" s="479">
        <f>'Hodnocení '!DX67</f>
        <v>0</v>
      </c>
      <c r="DY71" s="479">
        <f>'Hodnocení '!DY67</f>
        <v>0</v>
      </c>
      <c r="DZ71" s="479">
        <f>'Hodnocení '!DZ67</f>
        <v>0</v>
      </c>
      <c r="EA71" s="479">
        <f>'Hodnocení '!EA67</f>
        <v>0</v>
      </c>
      <c r="EB71" s="479">
        <f>'Hodnocení '!EB67</f>
        <v>0</v>
      </c>
      <c r="EC71" s="479">
        <f>'Hodnocení '!EC67</f>
        <v>0</v>
      </c>
      <c r="ED71" s="479">
        <f>'Hodnocení '!ED67</f>
        <v>0</v>
      </c>
      <c r="EE71" s="479">
        <f>'Hodnocení '!EE67</f>
        <v>0</v>
      </c>
      <c r="EF71" s="479">
        <f>'Hodnocení '!EF67</f>
        <v>0</v>
      </c>
      <c r="EG71" s="479">
        <f>'Hodnocení '!EG67</f>
        <v>0</v>
      </c>
      <c r="EH71" s="479">
        <f>'Hodnocení '!EH67</f>
        <v>0</v>
      </c>
      <c r="EI71" s="479">
        <f>'Hodnocení '!EI67</f>
        <v>0</v>
      </c>
      <c r="EJ71" s="479">
        <f>'Hodnocení '!EJ67</f>
        <v>0</v>
      </c>
      <c r="EK71" s="479">
        <f>'Hodnocení '!EK67</f>
        <v>0</v>
      </c>
      <c r="EL71" s="479">
        <f>'Hodnocení '!EL67</f>
        <v>0</v>
      </c>
      <c r="EM71" s="479">
        <f>'Hodnocení '!EM67</f>
        <v>0</v>
      </c>
      <c r="EN71" s="479">
        <f>'Hodnocení '!EN67</f>
        <v>0</v>
      </c>
      <c r="EO71" s="479">
        <f>'Hodnocení '!EO67</f>
        <v>0</v>
      </c>
      <c r="EP71" s="479">
        <f>'Hodnocení '!EP67</f>
        <v>0</v>
      </c>
      <c r="EQ71" s="479">
        <f>'Hodnocení '!EQ67</f>
        <v>0</v>
      </c>
      <c r="ER71" s="479">
        <f>'Hodnocení '!ER67</f>
        <v>0</v>
      </c>
      <c r="ES71" s="479">
        <f>'Hodnocení '!ES67</f>
        <v>0</v>
      </c>
      <c r="ET71" s="479">
        <f>'Hodnocení '!ET67</f>
        <v>0</v>
      </c>
      <c r="EU71" s="479">
        <f>'Hodnocení '!EU67</f>
        <v>0</v>
      </c>
      <c r="EV71" s="479">
        <f>'Hodnocení '!EV67</f>
        <v>0</v>
      </c>
      <c r="EW71" s="479">
        <f>'Hodnocení '!EW67</f>
        <v>0</v>
      </c>
      <c r="EX71" s="479">
        <f>'Hodnocení '!EX67</f>
        <v>0</v>
      </c>
      <c r="EY71" s="479">
        <f>'Hodnocení '!EY67</f>
        <v>0</v>
      </c>
      <c r="EZ71" s="479">
        <f>'Hodnocení '!EZ67</f>
        <v>0</v>
      </c>
      <c r="FA71" s="479">
        <f>'Hodnocení '!FA67</f>
        <v>0</v>
      </c>
      <c r="FB71" s="479">
        <f>'Hodnocení '!FB67</f>
        <v>0</v>
      </c>
      <c r="FC71" s="479">
        <f>'Hodnocení '!FC67</f>
        <v>0</v>
      </c>
      <c r="FD71" s="479">
        <f>'Hodnocení '!FD67</f>
        <v>0</v>
      </c>
      <c r="FE71" s="479">
        <f>'Hodnocení '!FE67</f>
        <v>0</v>
      </c>
      <c r="FF71" s="479">
        <f>'Hodnocení '!FF67</f>
        <v>0</v>
      </c>
      <c r="FG71" s="479">
        <f>'Hodnocení '!FG67</f>
        <v>0</v>
      </c>
      <c r="FH71" s="479">
        <f>'Hodnocení '!FH67</f>
        <v>0</v>
      </c>
      <c r="FI71" s="479">
        <f>'Hodnocení '!FI67</f>
        <v>0</v>
      </c>
      <c r="FJ71" s="479">
        <f>'Hodnocení '!FJ67</f>
        <v>0</v>
      </c>
      <c r="FK71" s="479">
        <f>'Hodnocení '!FK67</f>
        <v>0</v>
      </c>
      <c r="FL71" s="479">
        <f>'Hodnocení '!FL67</f>
        <v>0</v>
      </c>
      <c r="FM71" s="479">
        <f>'Hodnocení '!FM67</f>
        <v>0</v>
      </c>
      <c r="FN71" s="479">
        <f>'Hodnocení '!FN67</f>
        <v>0</v>
      </c>
      <c r="FO71" s="479">
        <f>'Hodnocení '!FO67</f>
        <v>0</v>
      </c>
      <c r="FP71" s="479">
        <f>'Hodnocení '!FP67</f>
        <v>0</v>
      </c>
      <c r="FQ71" s="479">
        <f>'Hodnocení '!FQ67</f>
        <v>0</v>
      </c>
      <c r="FR71" s="479">
        <f>'Hodnocení '!FR67</f>
        <v>0</v>
      </c>
      <c r="FS71" s="479">
        <f>'Hodnocení '!FS67</f>
        <v>0</v>
      </c>
      <c r="FT71" s="479">
        <f>'Hodnocení '!FT67</f>
        <v>0</v>
      </c>
      <c r="FU71" s="479">
        <f>'Hodnocení '!FU67</f>
        <v>0</v>
      </c>
      <c r="FV71" s="479">
        <f>'Hodnocení '!FV67</f>
        <v>0</v>
      </c>
      <c r="FW71" s="479">
        <f>'Hodnocení '!FW67</f>
        <v>0</v>
      </c>
      <c r="FX71" s="479">
        <f>'Hodnocení '!FX67</f>
        <v>0</v>
      </c>
      <c r="FY71" s="479">
        <f>'Hodnocení '!FY67</f>
        <v>0</v>
      </c>
      <c r="FZ71" s="479">
        <f>'Hodnocení '!FZ67</f>
        <v>0</v>
      </c>
      <c r="GA71" s="479">
        <f>'Hodnocení '!GA67</f>
        <v>0</v>
      </c>
      <c r="GB71" s="479">
        <f>'Hodnocení '!GB67</f>
        <v>0</v>
      </c>
      <c r="GC71" s="479">
        <f>'Hodnocení '!GC67</f>
        <v>0</v>
      </c>
      <c r="GD71" s="479">
        <f>'Hodnocení '!GD67</f>
        <v>0</v>
      </c>
      <c r="GE71" s="479">
        <f>'Hodnocení '!GE67</f>
        <v>0</v>
      </c>
      <c r="GF71" s="479">
        <f>'Hodnocení '!GF67</f>
        <v>0</v>
      </c>
      <c r="GG71" s="479">
        <f>'Hodnocení '!GG67</f>
        <v>0</v>
      </c>
      <c r="GH71" s="479">
        <f>'Hodnocení '!GH67</f>
        <v>0</v>
      </c>
      <c r="GI71" s="479">
        <f>'Hodnocení '!GI67</f>
        <v>0</v>
      </c>
      <c r="GJ71" s="479">
        <f>'Hodnocení '!GJ67</f>
        <v>0</v>
      </c>
      <c r="GK71" s="479">
        <f>'Hodnocení '!GK67</f>
        <v>0</v>
      </c>
      <c r="GL71" s="479">
        <f>'Hodnocení '!GL67</f>
        <v>0</v>
      </c>
      <c r="GM71" s="479">
        <f>'Hodnocení '!GM67</f>
        <v>0</v>
      </c>
      <c r="GN71" s="479">
        <f>'Hodnocení '!GN67</f>
        <v>0</v>
      </c>
      <c r="GO71" s="479">
        <f>'Hodnocení '!GO67</f>
        <v>0</v>
      </c>
      <c r="GP71" s="479">
        <f>'Hodnocení '!GP67</f>
        <v>0</v>
      </c>
      <c r="GQ71" s="479">
        <f>'Hodnocení '!GQ67</f>
        <v>0</v>
      </c>
      <c r="GR71" s="479">
        <f>'Hodnocení '!GR67</f>
        <v>0</v>
      </c>
      <c r="GS71" s="479">
        <f>'Hodnocení '!GS67</f>
        <v>0</v>
      </c>
      <c r="GT71" s="479">
        <f>'Hodnocení '!GT67</f>
        <v>0</v>
      </c>
      <c r="GU71" s="479">
        <f>'Hodnocení '!GU67</f>
        <v>0</v>
      </c>
      <c r="GV71" s="479">
        <f>'Hodnocení '!GV67</f>
        <v>0</v>
      </c>
      <c r="GW71" s="479">
        <f>'Hodnocení '!GW67</f>
        <v>0</v>
      </c>
      <c r="GX71" s="479">
        <f>'Hodnocení '!GX67</f>
        <v>0</v>
      </c>
      <c r="GY71" s="479">
        <f>'Hodnocení '!GY67</f>
        <v>0</v>
      </c>
      <c r="GZ71" s="479">
        <f>'Hodnocení '!GZ67</f>
        <v>0</v>
      </c>
      <c r="HA71" s="479">
        <f>'Hodnocení '!HA67</f>
        <v>0</v>
      </c>
      <c r="HB71" s="479">
        <f>'Hodnocení '!HB67</f>
        <v>0</v>
      </c>
      <c r="HC71" s="479">
        <f>'Hodnocení '!HC67</f>
        <v>0</v>
      </c>
      <c r="HD71" s="479">
        <f>'Hodnocení '!HD67</f>
        <v>0</v>
      </c>
      <c r="HE71" s="479">
        <f>'Hodnocení '!HE67</f>
        <v>0</v>
      </c>
      <c r="HF71" s="479">
        <f>'Hodnocení '!HF67</f>
        <v>0</v>
      </c>
      <c r="HG71" s="479">
        <f>'Hodnocení '!HG67</f>
        <v>0</v>
      </c>
      <c r="HH71" s="479">
        <f>'Hodnocení '!HH67</f>
        <v>0</v>
      </c>
      <c r="HI71" s="479">
        <f>'Hodnocení '!HI67</f>
        <v>0</v>
      </c>
      <c r="HJ71" s="479">
        <f>'Hodnocení '!HJ67</f>
        <v>0</v>
      </c>
      <c r="HK71" s="479">
        <f>'Hodnocení '!HK67</f>
        <v>0</v>
      </c>
      <c r="HL71" s="479">
        <f>'Hodnocení '!HL67</f>
        <v>0</v>
      </c>
      <c r="HM71" s="479">
        <f>'Hodnocení '!HM67</f>
        <v>0</v>
      </c>
      <c r="HN71" s="479">
        <f>'Hodnocení '!HN67</f>
        <v>0</v>
      </c>
      <c r="HO71" s="479">
        <f>'Hodnocení '!HO67</f>
        <v>0</v>
      </c>
      <c r="HP71" s="479">
        <f>'Hodnocení '!HP67</f>
        <v>0</v>
      </c>
      <c r="HQ71" s="479">
        <f>'Hodnocení '!HQ67</f>
        <v>0</v>
      </c>
      <c r="HR71" s="479">
        <f>'Hodnocení '!HR67</f>
        <v>0</v>
      </c>
      <c r="HS71" s="479">
        <f>'Hodnocení '!HS67</f>
        <v>0</v>
      </c>
      <c r="HT71" s="479">
        <f>'Hodnocení '!HT67</f>
        <v>0</v>
      </c>
      <c r="HU71" s="479">
        <f>'Hodnocení '!HU67</f>
        <v>0</v>
      </c>
      <c r="HV71" s="479">
        <f>'Hodnocení '!HV67</f>
        <v>0</v>
      </c>
      <c r="HW71" s="479">
        <f>'Hodnocení '!HW67</f>
        <v>0</v>
      </c>
      <c r="HX71" s="479">
        <f>'Hodnocení '!HX67</f>
        <v>0</v>
      </c>
      <c r="HY71" s="479">
        <f>'Hodnocení '!HY67</f>
        <v>0</v>
      </c>
      <c r="HZ71" s="479">
        <f>'Hodnocení '!HZ67</f>
        <v>0</v>
      </c>
      <c r="IA71" s="479">
        <f>'Hodnocení '!IA67</f>
        <v>0</v>
      </c>
      <c r="IB71" s="479">
        <f>'Hodnocení '!IB67</f>
        <v>0</v>
      </c>
      <c r="IC71" s="479">
        <f>'Hodnocení '!IC67</f>
        <v>0</v>
      </c>
      <c r="ID71" s="479">
        <f>'Hodnocení '!ID67</f>
        <v>0</v>
      </c>
      <c r="IE71" s="479">
        <f>'Hodnocení '!IE67</f>
        <v>0</v>
      </c>
      <c r="IF71" s="479">
        <f>'Hodnocení '!IF67</f>
        <v>0</v>
      </c>
      <c r="IG71" s="479">
        <f>'Hodnocení '!IG67</f>
        <v>0</v>
      </c>
      <c r="IH71" s="479">
        <f>'Hodnocení '!IH67</f>
        <v>0</v>
      </c>
      <c r="II71" s="479">
        <f>'Hodnocení '!II67</f>
        <v>0</v>
      </c>
      <c r="IJ71" s="479">
        <f>'Hodnocení '!IJ67</f>
        <v>0</v>
      </c>
      <c r="IK71" s="479">
        <f>'Hodnocení '!IK67</f>
        <v>0</v>
      </c>
      <c r="IL71" s="479">
        <f>'Hodnocení '!IL67</f>
        <v>0</v>
      </c>
      <c r="IM71" s="479">
        <f>'Hodnocení '!IM67</f>
        <v>0</v>
      </c>
      <c r="IN71" s="479">
        <f>'Hodnocení '!IN67</f>
        <v>0</v>
      </c>
      <c r="IO71" s="479">
        <f>'Hodnocení '!IO67</f>
        <v>0</v>
      </c>
      <c r="IP71" s="479">
        <f>'Hodnocení '!IP67</f>
        <v>0</v>
      </c>
      <c r="IQ71" s="479">
        <f>'Hodnocení '!IQ67</f>
        <v>0</v>
      </c>
      <c r="IR71" s="479">
        <f>'Hodnocení '!IR67</f>
        <v>0</v>
      </c>
      <c r="IS71" s="479">
        <f>'Hodnocení '!IS67</f>
        <v>0</v>
      </c>
      <c r="IT71" s="479">
        <f>'Hodnocení '!IT67</f>
        <v>0</v>
      </c>
      <c r="IU71" s="479">
        <f>'Hodnocení '!IU67</f>
        <v>0</v>
      </c>
      <c r="IV71" s="479">
        <f>'Hodnocení '!IV67</f>
        <v>0</v>
      </c>
      <c r="IW71" s="479">
        <f>'Hodnocení '!IW67</f>
        <v>0</v>
      </c>
      <c r="IX71" s="479">
        <f>'Hodnocení '!IX67</f>
        <v>0</v>
      </c>
      <c r="IY71" s="479">
        <f>'Hodnocení '!IY67</f>
        <v>0</v>
      </c>
      <c r="IZ71" s="479">
        <f>'Hodnocení '!IZ67</f>
        <v>0</v>
      </c>
      <c r="JA71" s="479">
        <f>'Hodnocení '!JA67</f>
        <v>0</v>
      </c>
      <c r="JB71" s="479">
        <f>'Hodnocení '!JB67</f>
        <v>0</v>
      </c>
      <c r="JC71" s="479">
        <f>'Hodnocení '!JC67</f>
        <v>0</v>
      </c>
      <c r="JD71" s="479">
        <f>'Hodnocení '!JD67</f>
        <v>0</v>
      </c>
      <c r="JE71" s="479">
        <f>'Hodnocení '!JE67</f>
        <v>0</v>
      </c>
      <c r="JF71" s="479">
        <f>'Hodnocení '!JF67</f>
        <v>0</v>
      </c>
      <c r="JG71" s="479">
        <f>'Hodnocení '!JG67</f>
        <v>0</v>
      </c>
      <c r="JH71" s="780">
        <f>'Hodnocení '!JH67</f>
        <v>0</v>
      </c>
      <c r="JI71" s="470">
        <f>'Hodnocení '!JI67</f>
        <v>0</v>
      </c>
    </row>
    <row r="72" spans="1:276" hidden="1" x14ac:dyDescent="0.25">
      <c r="A72" s="353"/>
      <c r="B72" s="733" t="s">
        <v>2785</v>
      </c>
      <c r="C72" s="779">
        <f>'Hodnocení '!C68</f>
        <v>0</v>
      </c>
      <c r="D72" s="357">
        <f>'Hodnocení '!D68</f>
        <v>0</v>
      </c>
      <c r="E72" s="357">
        <f>'Hodnocení '!E68</f>
        <v>0</v>
      </c>
      <c r="F72" s="357">
        <f>'Hodnocení '!F68</f>
        <v>0</v>
      </c>
      <c r="G72" s="357">
        <f>'Hodnocení '!G68</f>
        <v>0</v>
      </c>
      <c r="H72" s="357">
        <f>'Hodnocení '!H68</f>
        <v>0</v>
      </c>
      <c r="I72" s="357">
        <f>'Hodnocení '!I68</f>
        <v>0</v>
      </c>
      <c r="J72" s="357">
        <f>'Hodnocení '!J68</f>
        <v>0</v>
      </c>
      <c r="K72" s="357">
        <f>'Hodnocení '!K68</f>
        <v>0</v>
      </c>
      <c r="L72" s="357">
        <f>'Hodnocení '!L68</f>
        <v>0</v>
      </c>
      <c r="M72" s="357">
        <f>'Hodnocení '!M68</f>
        <v>0</v>
      </c>
      <c r="N72" s="357">
        <f>'Hodnocení '!N68</f>
        <v>0</v>
      </c>
      <c r="O72" s="357">
        <f>'Hodnocení '!O68</f>
        <v>0</v>
      </c>
      <c r="P72" s="357">
        <f>'Hodnocení '!P68</f>
        <v>0</v>
      </c>
      <c r="Q72" s="357">
        <f>'Hodnocení '!Q68</f>
        <v>0</v>
      </c>
      <c r="R72" s="357">
        <f>'Hodnocení '!R68</f>
        <v>0</v>
      </c>
      <c r="S72" s="357">
        <f>'Hodnocení '!S68</f>
        <v>0</v>
      </c>
      <c r="T72" s="357">
        <f>'Hodnocení '!T68</f>
        <v>0</v>
      </c>
      <c r="U72" s="357">
        <f>'Hodnocení '!U68</f>
        <v>0</v>
      </c>
      <c r="V72" s="357">
        <f>'Hodnocení '!V68</f>
        <v>0</v>
      </c>
      <c r="W72" s="357">
        <f>'Hodnocení '!W68</f>
        <v>0</v>
      </c>
      <c r="X72" s="357">
        <f>'Hodnocení '!X68</f>
        <v>0</v>
      </c>
      <c r="Y72" s="357">
        <f>'Hodnocení '!Y68</f>
        <v>0</v>
      </c>
      <c r="Z72" s="357">
        <f>'Hodnocení '!Z68</f>
        <v>0</v>
      </c>
      <c r="AA72" s="357">
        <f>'Hodnocení '!AA68</f>
        <v>0</v>
      </c>
      <c r="AB72" s="357">
        <f>'Hodnocení '!AB68</f>
        <v>0</v>
      </c>
      <c r="AC72" s="357">
        <f>'Hodnocení '!AC68</f>
        <v>0</v>
      </c>
      <c r="AD72" s="357">
        <f>'Hodnocení '!AD68</f>
        <v>0</v>
      </c>
      <c r="AE72" s="357">
        <f>'Hodnocení '!AE68</f>
        <v>0</v>
      </c>
      <c r="AF72" s="357">
        <f>'Hodnocení '!AF68</f>
        <v>0</v>
      </c>
      <c r="AG72" s="357">
        <f>'Hodnocení '!AG68</f>
        <v>0</v>
      </c>
      <c r="AH72" s="357">
        <f>'Hodnocení '!AH68</f>
        <v>0</v>
      </c>
      <c r="AI72" s="357">
        <f>'Hodnocení '!AI68</f>
        <v>0</v>
      </c>
      <c r="AJ72" s="357">
        <f>'Hodnocení '!AJ68</f>
        <v>0</v>
      </c>
      <c r="AK72" s="357">
        <f>'Hodnocení '!AK68</f>
        <v>0</v>
      </c>
      <c r="AL72" s="357">
        <f>'Hodnocení '!AL68</f>
        <v>0</v>
      </c>
      <c r="AM72" s="357">
        <f>'Hodnocení '!AM68</f>
        <v>0</v>
      </c>
      <c r="AN72" s="357">
        <f>'Hodnocení '!AN68</f>
        <v>0</v>
      </c>
      <c r="AO72" s="357">
        <f>'Hodnocení '!AO68</f>
        <v>0</v>
      </c>
      <c r="AP72" s="357">
        <f>'Hodnocení '!AP68</f>
        <v>0</v>
      </c>
      <c r="AQ72" s="357">
        <f>'Hodnocení '!AQ68</f>
        <v>0</v>
      </c>
      <c r="AR72" s="357">
        <f>'Hodnocení '!AR68</f>
        <v>0</v>
      </c>
      <c r="AS72" s="357">
        <f>'Hodnocení '!AS68</f>
        <v>0</v>
      </c>
      <c r="AT72" s="357">
        <f>'Hodnocení '!AT68</f>
        <v>0</v>
      </c>
      <c r="AU72" s="357">
        <f>'Hodnocení '!AU68</f>
        <v>0</v>
      </c>
      <c r="AV72" s="357">
        <f>'Hodnocení '!AV68</f>
        <v>0</v>
      </c>
      <c r="AW72" s="357">
        <f>'Hodnocení '!AW68</f>
        <v>0</v>
      </c>
      <c r="AX72" s="357">
        <f>'Hodnocení '!AX68</f>
        <v>0</v>
      </c>
      <c r="AY72" s="357">
        <f>'Hodnocení '!AY68</f>
        <v>0</v>
      </c>
      <c r="AZ72" s="357">
        <f>'Hodnocení '!AZ68</f>
        <v>0</v>
      </c>
      <c r="BA72" s="357">
        <f>'Hodnocení '!BA68</f>
        <v>0</v>
      </c>
      <c r="BB72" s="357">
        <f>'Hodnocení '!BB68</f>
        <v>0</v>
      </c>
      <c r="BC72" s="357">
        <f>'Hodnocení '!BC68</f>
        <v>0</v>
      </c>
      <c r="BD72" s="357">
        <f>'Hodnocení '!BD68</f>
        <v>0</v>
      </c>
      <c r="BE72" s="357">
        <f>'Hodnocení '!BE68</f>
        <v>0</v>
      </c>
      <c r="BF72" s="357">
        <f>'Hodnocení '!BF68</f>
        <v>0</v>
      </c>
      <c r="BG72" s="357">
        <f>'Hodnocení '!BG68</f>
        <v>0</v>
      </c>
      <c r="BH72" s="357">
        <f>'Hodnocení '!BH68</f>
        <v>0</v>
      </c>
      <c r="BI72" s="357">
        <f>'Hodnocení '!BI68</f>
        <v>0</v>
      </c>
      <c r="BJ72" s="357">
        <f>'Hodnocení '!BJ68</f>
        <v>0</v>
      </c>
      <c r="BK72" s="357">
        <f>'Hodnocení '!BK68</f>
        <v>0</v>
      </c>
      <c r="BL72" s="357">
        <f>'Hodnocení '!BL68</f>
        <v>0</v>
      </c>
      <c r="BM72" s="357">
        <f>'Hodnocení '!BM68</f>
        <v>0</v>
      </c>
      <c r="BN72" s="357">
        <f>'Hodnocení '!BN68</f>
        <v>0</v>
      </c>
      <c r="BO72" s="357">
        <f>'Hodnocení '!BO68</f>
        <v>0</v>
      </c>
      <c r="BP72" s="357">
        <f>'Hodnocení '!BP68</f>
        <v>0</v>
      </c>
      <c r="BQ72" s="357">
        <f>'Hodnocení '!BQ68</f>
        <v>0</v>
      </c>
      <c r="BR72" s="357">
        <f>'Hodnocení '!BR68</f>
        <v>0</v>
      </c>
      <c r="BS72" s="357">
        <f>'Hodnocení '!BS68</f>
        <v>0</v>
      </c>
      <c r="BT72" s="357">
        <f>'Hodnocení '!BT68</f>
        <v>0</v>
      </c>
      <c r="BU72" s="357">
        <f>'Hodnocení '!BU68</f>
        <v>0</v>
      </c>
      <c r="BV72" s="357">
        <f>'Hodnocení '!BV68</f>
        <v>0</v>
      </c>
      <c r="BW72" s="357">
        <f>'Hodnocení '!BW68</f>
        <v>0</v>
      </c>
      <c r="BX72" s="357">
        <f>'Hodnocení '!BX68</f>
        <v>0</v>
      </c>
      <c r="BY72" s="357">
        <f>'Hodnocení '!BY68</f>
        <v>0</v>
      </c>
      <c r="BZ72" s="357">
        <f>'Hodnocení '!BZ68</f>
        <v>0</v>
      </c>
      <c r="CA72" s="357">
        <f>'Hodnocení '!CA68</f>
        <v>0</v>
      </c>
      <c r="CB72" s="357">
        <f>'Hodnocení '!CB68</f>
        <v>0</v>
      </c>
      <c r="CC72" s="357">
        <f>'Hodnocení '!CC68</f>
        <v>0</v>
      </c>
      <c r="CD72" s="357">
        <f>'Hodnocení '!CD68</f>
        <v>0</v>
      </c>
      <c r="CE72" s="357">
        <f>'Hodnocení '!CE68</f>
        <v>0</v>
      </c>
      <c r="CF72" s="357">
        <f>'Hodnocení '!CF68</f>
        <v>0</v>
      </c>
      <c r="CG72" s="357">
        <f>'Hodnocení '!CG68</f>
        <v>0</v>
      </c>
      <c r="CH72" s="357">
        <f>'Hodnocení '!CH68</f>
        <v>0</v>
      </c>
      <c r="CI72" s="357">
        <f>'Hodnocení '!CI68</f>
        <v>0</v>
      </c>
      <c r="CJ72" s="357">
        <f>'Hodnocení '!CJ68</f>
        <v>0</v>
      </c>
      <c r="CK72" s="357">
        <f>'Hodnocení '!CK68</f>
        <v>0</v>
      </c>
      <c r="CL72" s="357">
        <f>'Hodnocení '!CL68</f>
        <v>0</v>
      </c>
      <c r="CM72" s="357">
        <f>'Hodnocení '!CM68</f>
        <v>0</v>
      </c>
      <c r="CN72" s="357">
        <f>'Hodnocení '!CN68</f>
        <v>0</v>
      </c>
      <c r="CO72" s="357">
        <f>'Hodnocení '!CO68</f>
        <v>0</v>
      </c>
      <c r="CP72" s="357">
        <f>'Hodnocení '!CP68</f>
        <v>0</v>
      </c>
      <c r="CQ72" s="357">
        <f>'Hodnocení '!CQ68</f>
        <v>0</v>
      </c>
      <c r="CR72" s="357">
        <f>'Hodnocení '!CR68</f>
        <v>0</v>
      </c>
      <c r="CS72" s="357">
        <f>'Hodnocení '!CS68</f>
        <v>0</v>
      </c>
      <c r="CT72" s="357">
        <f>'Hodnocení '!CT68</f>
        <v>0</v>
      </c>
      <c r="CU72" s="357">
        <f>'Hodnocení '!CU68</f>
        <v>0</v>
      </c>
      <c r="CV72" s="357">
        <f>'Hodnocení '!CV68</f>
        <v>0</v>
      </c>
      <c r="CW72" s="357">
        <f>'Hodnocení '!CW68</f>
        <v>0</v>
      </c>
      <c r="CX72" s="357">
        <f>'Hodnocení '!CX68</f>
        <v>0</v>
      </c>
      <c r="CY72" s="357">
        <f>'Hodnocení '!CY68</f>
        <v>0</v>
      </c>
      <c r="CZ72" s="357">
        <f>'Hodnocení '!CZ68</f>
        <v>0</v>
      </c>
      <c r="DA72" s="357">
        <f>'Hodnocení '!DA68</f>
        <v>0</v>
      </c>
      <c r="DB72" s="357">
        <f>'Hodnocení '!DB68</f>
        <v>0</v>
      </c>
      <c r="DC72" s="357">
        <f>'Hodnocení '!DC68</f>
        <v>0</v>
      </c>
      <c r="DD72" s="357">
        <f>'Hodnocení '!DD68</f>
        <v>0</v>
      </c>
      <c r="DE72" s="357">
        <f>'Hodnocení '!DE68</f>
        <v>0</v>
      </c>
      <c r="DF72" s="357">
        <f>'Hodnocení '!DF68</f>
        <v>0</v>
      </c>
      <c r="DG72" s="357">
        <f>'Hodnocení '!DG68</f>
        <v>0</v>
      </c>
      <c r="DH72" s="357">
        <f>'Hodnocení '!DH68</f>
        <v>0</v>
      </c>
      <c r="DI72" s="357">
        <f>'Hodnocení '!DI68</f>
        <v>0</v>
      </c>
      <c r="DJ72" s="357">
        <f>'Hodnocení '!DJ68</f>
        <v>0</v>
      </c>
      <c r="DK72" s="357">
        <f>'Hodnocení '!DK68</f>
        <v>0</v>
      </c>
      <c r="DL72" s="357">
        <f>'Hodnocení '!DL68</f>
        <v>0</v>
      </c>
      <c r="DM72" s="357">
        <f>'Hodnocení '!DM68</f>
        <v>0</v>
      </c>
      <c r="DN72" s="357">
        <f>'Hodnocení '!DN68</f>
        <v>0</v>
      </c>
      <c r="DO72" s="357">
        <f>'Hodnocení '!DO68</f>
        <v>0</v>
      </c>
      <c r="DP72" s="357">
        <f>'Hodnocení '!DP68</f>
        <v>0</v>
      </c>
      <c r="DQ72" s="357">
        <f>'Hodnocení '!DQ68</f>
        <v>0</v>
      </c>
      <c r="DR72" s="357">
        <f>'Hodnocení '!DR68</f>
        <v>0</v>
      </c>
      <c r="DS72" s="357">
        <f>'Hodnocení '!DS68</f>
        <v>0</v>
      </c>
      <c r="DT72" s="357">
        <f>'Hodnocení '!DT68</f>
        <v>0</v>
      </c>
      <c r="DU72" s="357">
        <f>'Hodnocení '!DU68</f>
        <v>0</v>
      </c>
      <c r="DV72" s="357">
        <f>'Hodnocení '!DV68</f>
        <v>0</v>
      </c>
      <c r="DW72" s="357">
        <f>'Hodnocení '!DW68</f>
        <v>0</v>
      </c>
      <c r="DX72" s="357">
        <f>'Hodnocení '!DX68</f>
        <v>0</v>
      </c>
      <c r="DY72" s="357">
        <f>'Hodnocení '!DY68</f>
        <v>0</v>
      </c>
      <c r="DZ72" s="357">
        <f>'Hodnocení '!DZ68</f>
        <v>0</v>
      </c>
      <c r="EA72" s="357">
        <f>'Hodnocení '!EA68</f>
        <v>0</v>
      </c>
      <c r="EB72" s="357">
        <f>'Hodnocení '!EB68</f>
        <v>0</v>
      </c>
      <c r="EC72" s="357">
        <f>'Hodnocení '!EC68</f>
        <v>0</v>
      </c>
      <c r="ED72" s="357">
        <f>'Hodnocení '!ED68</f>
        <v>0</v>
      </c>
      <c r="EE72" s="357">
        <f>'Hodnocení '!EE68</f>
        <v>0</v>
      </c>
      <c r="EF72" s="357">
        <f>'Hodnocení '!EF68</f>
        <v>0</v>
      </c>
      <c r="EG72" s="357">
        <f>'Hodnocení '!EG68</f>
        <v>0</v>
      </c>
      <c r="EH72" s="357">
        <f>'Hodnocení '!EH68</f>
        <v>0</v>
      </c>
      <c r="EI72" s="357">
        <f>'Hodnocení '!EI68</f>
        <v>0</v>
      </c>
      <c r="EJ72" s="357">
        <f>'Hodnocení '!EJ68</f>
        <v>0</v>
      </c>
      <c r="EK72" s="357">
        <f>'Hodnocení '!EK68</f>
        <v>0</v>
      </c>
      <c r="EL72" s="357">
        <f>'Hodnocení '!EL68</f>
        <v>0</v>
      </c>
      <c r="EM72" s="357">
        <f>'Hodnocení '!EM68</f>
        <v>0</v>
      </c>
      <c r="EN72" s="357">
        <f>'Hodnocení '!EN68</f>
        <v>0</v>
      </c>
      <c r="EO72" s="357">
        <f>'Hodnocení '!EO68</f>
        <v>0</v>
      </c>
      <c r="EP72" s="357">
        <f>'Hodnocení '!EP68</f>
        <v>0</v>
      </c>
      <c r="EQ72" s="357">
        <f>'Hodnocení '!EQ68</f>
        <v>0</v>
      </c>
      <c r="ER72" s="357">
        <f>'Hodnocení '!ER68</f>
        <v>0</v>
      </c>
      <c r="ES72" s="357">
        <f>'Hodnocení '!ES68</f>
        <v>0</v>
      </c>
      <c r="ET72" s="357">
        <f>'Hodnocení '!ET68</f>
        <v>0</v>
      </c>
      <c r="EU72" s="357">
        <f>'Hodnocení '!EU68</f>
        <v>0</v>
      </c>
      <c r="EV72" s="357">
        <f>'Hodnocení '!EV68</f>
        <v>0</v>
      </c>
      <c r="EW72" s="357">
        <f>'Hodnocení '!EW68</f>
        <v>0</v>
      </c>
      <c r="EX72" s="357">
        <f>'Hodnocení '!EX68</f>
        <v>0</v>
      </c>
      <c r="EY72" s="357">
        <f>'Hodnocení '!EY68</f>
        <v>0</v>
      </c>
      <c r="EZ72" s="357">
        <f>'Hodnocení '!EZ68</f>
        <v>0</v>
      </c>
      <c r="FA72" s="357">
        <f>'Hodnocení '!FA68</f>
        <v>0</v>
      </c>
      <c r="FB72" s="357">
        <f>'Hodnocení '!FB68</f>
        <v>0</v>
      </c>
      <c r="FC72" s="357">
        <f>'Hodnocení '!FC68</f>
        <v>0</v>
      </c>
      <c r="FD72" s="357">
        <f>'Hodnocení '!FD68</f>
        <v>0</v>
      </c>
      <c r="FE72" s="357">
        <f>'Hodnocení '!FE68</f>
        <v>0</v>
      </c>
      <c r="FF72" s="357">
        <f>'Hodnocení '!FF68</f>
        <v>0</v>
      </c>
      <c r="FG72" s="357">
        <f>'Hodnocení '!FG68</f>
        <v>0</v>
      </c>
      <c r="FH72" s="357">
        <f>'Hodnocení '!FH68</f>
        <v>0</v>
      </c>
      <c r="FI72" s="357">
        <f>'Hodnocení '!FI68</f>
        <v>0</v>
      </c>
      <c r="FJ72" s="357">
        <f>'Hodnocení '!FJ68</f>
        <v>0</v>
      </c>
      <c r="FK72" s="357">
        <f>'Hodnocení '!FK68</f>
        <v>0</v>
      </c>
      <c r="FL72" s="357">
        <f>'Hodnocení '!FL68</f>
        <v>0</v>
      </c>
      <c r="FM72" s="357">
        <f>'Hodnocení '!FM68</f>
        <v>0</v>
      </c>
      <c r="FN72" s="357">
        <f>'Hodnocení '!FN68</f>
        <v>0</v>
      </c>
      <c r="FO72" s="357">
        <f>'Hodnocení '!FO68</f>
        <v>0</v>
      </c>
      <c r="FP72" s="357">
        <f>'Hodnocení '!FP68</f>
        <v>0</v>
      </c>
      <c r="FQ72" s="357">
        <f>'Hodnocení '!FQ68</f>
        <v>0</v>
      </c>
      <c r="FR72" s="357">
        <f>'Hodnocení '!FR68</f>
        <v>0</v>
      </c>
      <c r="FS72" s="357">
        <f>'Hodnocení '!FS68</f>
        <v>0</v>
      </c>
      <c r="FT72" s="357">
        <f>'Hodnocení '!FT68</f>
        <v>0</v>
      </c>
      <c r="FU72" s="357">
        <f>'Hodnocení '!FU68</f>
        <v>0</v>
      </c>
      <c r="FV72" s="357">
        <f>'Hodnocení '!FV68</f>
        <v>0</v>
      </c>
      <c r="FW72" s="357">
        <f>'Hodnocení '!FW68</f>
        <v>0</v>
      </c>
      <c r="FX72" s="357">
        <f>'Hodnocení '!FX68</f>
        <v>0</v>
      </c>
      <c r="FY72" s="357">
        <f>'Hodnocení '!FY68</f>
        <v>0</v>
      </c>
      <c r="FZ72" s="357">
        <f>'Hodnocení '!FZ68</f>
        <v>0</v>
      </c>
      <c r="GA72" s="357">
        <f>'Hodnocení '!GA68</f>
        <v>0</v>
      </c>
      <c r="GB72" s="357">
        <f>'Hodnocení '!GB68</f>
        <v>0</v>
      </c>
      <c r="GC72" s="357">
        <f>'Hodnocení '!GC68</f>
        <v>0</v>
      </c>
      <c r="GD72" s="357">
        <f>'Hodnocení '!GD68</f>
        <v>0</v>
      </c>
      <c r="GE72" s="357">
        <f>'Hodnocení '!GE68</f>
        <v>0</v>
      </c>
      <c r="GF72" s="357">
        <f>'Hodnocení '!GF68</f>
        <v>0</v>
      </c>
      <c r="GG72" s="357">
        <f>'Hodnocení '!GG68</f>
        <v>0</v>
      </c>
      <c r="GH72" s="357">
        <f>'Hodnocení '!GH68</f>
        <v>0</v>
      </c>
      <c r="GI72" s="357">
        <f>'Hodnocení '!GI68</f>
        <v>0</v>
      </c>
      <c r="GJ72" s="357">
        <f>'Hodnocení '!GJ68</f>
        <v>0</v>
      </c>
      <c r="GK72" s="357">
        <f>'Hodnocení '!GK68</f>
        <v>0</v>
      </c>
      <c r="GL72" s="357">
        <f>'Hodnocení '!GL68</f>
        <v>0</v>
      </c>
      <c r="GM72" s="357">
        <f>'Hodnocení '!GM68</f>
        <v>0</v>
      </c>
      <c r="GN72" s="357">
        <f>'Hodnocení '!GN68</f>
        <v>0</v>
      </c>
      <c r="GO72" s="357">
        <f>'Hodnocení '!GO68</f>
        <v>0</v>
      </c>
      <c r="GP72" s="357">
        <f>'Hodnocení '!GP68</f>
        <v>0</v>
      </c>
      <c r="GQ72" s="357">
        <f>'Hodnocení '!GQ68</f>
        <v>0</v>
      </c>
      <c r="GR72" s="357">
        <f>'Hodnocení '!GR68</f>
        <v>0</v>
      </c>
      <c r="GS72" s="357">
        <f>'Hodnocení '!GS68</f>
        <v>0</v>
      </c>
      <c r="GT72" s="357">
        <f>'Hodnocení '!GT68</f>
        <v>0</v>
      </c>
      <c r="GU72" s="357">
        <f>'Hodnocení '!GU68</f>
        <v>0</v>
      </c>
      <c r="GV72" s="357">
        <f>'Hodnocení '!GV68</f>
        <v>0</v>
      </c>
      <c r="GW72" s="357">
        <f>'Hodnocení '!GW68</f>
        <v>0</v>
      </c>
      <c r="GX72" s="357">
        <f>'Hodnocení '!GX68</f>
        <v>0</v>
      </c>
      <c r="GY72" s="357">
        <f>'Hodnocení '!GY68</f>
        <v>0</v>
      </c>
      <c r="GZ72" s="357">
        <f>'Hodnocení '!GZ68</f>
        <v>0</v>
      </c>
      <c r="HA72" s="357">
        <f>'Hodnocení '!HA68</f>
        <v>0</v>
      </c>
      <c r="HB72" s="357">
        <f>'Hodnocení '!HB68</f>
        <v>0</v>
      </c>
      <c r="HC72" s="357">
        <f>'Hodnocení '!HC68</f>
        <v>0</v>
      </c>
      <c r="HD72" s="357">
        <f>'Hodnocení '!HD68</f>
        <v>0</v>
      </c>
      <c r="HE72" s="357">
        <f>'Hodnocení '!HE68</f>
        <v>0</v>
      </c>
      <c r="HF72" s="357">
        <f>'Hodnocení '!HF68</f>
        <v>0</v>
      </c>
      <c r="HG72" s="357">
        <f>'Hodnocení '!HG68</f>
        <v>0</v>
      </c>
      <c r="HH72" s="357">
        <f>'Hodnocení '!HH68</f>
        <v>0</v>
      </c>
      <c r="HI72" s="357">
        <f>'Hodnocení '!HI68</f>
        <v>0</v>
      </c>
      <c r="HJ72" s="357">
        <f>'Hodnocení '!HJ68</f>
        <v>0</v>
      </c>
      <c r="HK72" s="357">
        <f>'Hodnocení '!HK68</f>
        <v>0</v>
      </c>
      <c r="HL72" s="357">
        <f>'Hodnocení '!HL68</f>
        <v>0</v>
      </c>
      <c r="HM72" s="357">
        <f>'Hodnocení '!HM68</f>
        <v>0</v>
      </c>
      <c r="HN72" s="357">
        <f>'Hodnocení '!HN68</f>
        <v>0</v>
      </c>
      <c r="HO72" s="357">
        <f>'Hodnocení '!HO68</f>
        <v>0</v>
      </c>
      <c r="HP72" s="357">
        <f>'Hodnocení '!HP68</f>
        <v>0</v>
      </c>
      <c r="HQ72" s="357">
        <f>'Hodnocení '!HQ68</f>
        <v>0</v>
      </c>
      <c r="HR72" s="357">
        <f>'Hodnocení '!HR68</f>
        <v>0</v>
      </c>
      <c r="HS72" s="357">
        <f>'Hodnocení '!HS68</f>
        <v>0</v>
      </c>
      <c r="HT72" s="357">
        <f>'Hodnocení '!HT68</f>
        <v>0</v>
      </c>
      <c r="HU72" s="357">
        <f>'Hodnocení '!HU68</f>
        <v>0</v>
      </c>
      <c r="HV72" s="357">
        <f>'Hodnocení '!HV68</f>
        <v>0</v>
      </c>
      <c r="HW72" s="357">
        <f>'Hodnocení '!HW68</f>
        <v>0</v>
      </c>
      <c r="HX72" s="357">
        <f>'Hodnocení '!HX68</f>
        <v>0</v>
      </c>
      <c r="HY72" s="357">
        <f>'Hodnocení '!HY68</f>
        <v>0</v>
      </c>
      <c r="HZ72" s="357">
        <f>'Hodnocení '!HZ68</f>
        <v>0</v>
      </c>
      <c r="IA72" s="357">
        <f>'Hodnocení '!IA68</f>
        <v>0</v>
      </c>
      <c r="IB72" s="357">
        <f>'Hodnocení '!IB68</f>
        <v>0</v>
      </c>
      <c r="IC72" s="357">
        <f>'Hodnocení '!IC68</f>
        <v>0</v>
      </c>
      <c r="ID72" s="357">
        <f>'Hodnocení '!ID68</f>
        <v>0</v>
      </c>
      <c r="IE72" s="357">
        <f>'Hodnocení '!IE68</f>
        <v>0</v>
      </c>
      <c r="IF72" s="357">
        <f>'Hodnocení '!IF68</f>
        <v>0</v>
      </c>
      <c r="IG72" s="357">
        <f>'Hodnocení '!IG68</f>
        <v>0</v>
      </c>
      <c r="IH72" s="357">
        <f>'Hodnocení '!IH68</f>
        <v>0</v>
      </c>
      <c r="II72" s="357">
        <f>'Hodnocení '!II68</f>
        <v>0</v>
      </c>
      <c r="IJ72" s="357">
        <f>'Hodnocení '!IJ68</f>
        <v>0</v>
      </c>
      <c r="IK72" s="357">
        <f>'Hodnocení '!IK68</f>
        <v>0</v>
      </c>
      <c r="IL72" s="357">
        <f>'Hodnocení '!IL68</f>
        <v>0</v>
      </c>
      <c r="IM72" s="357">
        <f>'Hodnocení '!IM68</f>
        <v>0</v>
      </c>
      <c r="IN72" s="357">
        <f>'Hodnocení '!IN68</f>
        <v>0</v>
      </c>
      <c r="IO72" s="357">
        <f>'Hodnocení '!IO68</f>
        <v>0</v>
      </c>
      <c r="IP72" s="357">
        <f>'Hodnocení '!IP68</f>
        <v>0</v>
      </c>
      <c r="IQ72" s="357">
        <f>'Hodnocení '!IQ68</f>
        <v>0</v>
      </c>
      <c r="IR72" s="357">
        <f>'Hodnocení '!IR68</f>
        <v>0</v>
      </c>
      <c r="IS72" s="357">
        <f>'Hodnocení '!IS68</f>
        <v>0</v>
      </c>
      <c r="IT72" s="357">
        <f>'Hodnocení '!IT68</f>
        <v>0</v>
      </c>
      <c r="IU72" s="357">
        <f>'Hodnocení '!IU68</f>
        <v>0</v>
      </c>
      <c r="IV72" s="357">
        <f>'Hodnocení '!IV68</f>
        <v>0</v>
      </c>
      <c r="IW72" s="357">
        <f>'Hodnocení '!IW68</f>
        <v>0</v>
      </c>
      <c r="IX72" s="357">
        <f>'Hodnocení '!IX68</f>
        <v>0</v>
      </c>
      <c r="IY72" s="357">
        <f>'Hodnocení '!IY68</f>
        <v>0</v>
      </c>
      <c r="IZ72" s="357">
        <f>'Hodnocení '!IZ68</f>
        <v>0</v>
      </c>
      <c r="JA72" s="357">
        <f>'Hodnocení '!JA68</f>
        <v>0</v>
      </c>
      <c r="JB72" s="357">
        <f>'Hodnocení '!JB68</f>
        <v>0</v>
      </c>
      <c r="JC72" s="357">
        <f>'Hodnocení '!JC68</f>
        <v>0</v>
      </c>
      <c r="JD72" s="357">
        <f>'Hodnocení '!JD68</f>
        <v>0</v>
      </c>
      <c r="JE72" s="357">
        <f>'Hodnocení '!JE68</f>
        <v>0</v>
      </c>
      <c r="JF72" s="357">
        <f>'Hodnocení '!JF68</f>
        <v>0</v>
      </c>
      <c r="JG72" s="357">
        <f>'Hodnocení '!JG68</f>
        <v>0</v>
      </c>
      <c r="JH72" s="772">
        <f>'Hodnocení '!JH68</f>
        <v>0</v>
      </c>
      <c r="JI72" s="470">
        <f>'Hodnocení '!JI68</f>
        <v>0</v>
      </c>
      <c r="JL72" s="307"/>
      <c r="JM72" s="307"/>
      <c r="JN72" s="307"/>
      <c r="JO72" s="307"/>
      <c r="JP72" s="307"/>
    </row>
    <row r="73" spans="1:276" hidden="1" x14ac:dyDescent="0.25">
      <c r="A73" s="353"/>
      <c r="B73" s="733"/>
      <c r="C73" s="779">
        <f>'Hodnocení '!C69</f>
        <v>0</v>
      </c>
      <c r="D73" s="357">
        <f>'Hodnocení '!D69</f>
        <v>0</v>
      </c>
      <c r="E73" s="357">
        <f>'Hodnocení '!E69</f>
        <v>0</v>
      </c>
      <c r="F73" s="357">
        <f>'Hodnocení '!F69</f>
        <v>0</v>
      </c>
      <c r="G73" s="357">
        <f>'Hodnocení '!G69</f>
        <v>0</v>
      </c>
      <c r="H73" s="357">
        <f>'Hodnocení '!H69</f>
        <v>0</v>
      </c>
      <c r="I73" s="357">
        <f>'Hodnocení '!I69</f>
        <v>0</v>
      </c>
      <c r="J73" s="357">
        <f>'Hodnocení '!J69</f>
        <v>0</v>
      </c>
      <c r="K73" s="357">
        <f>'Hodnocení '!K69</f>
        <v>0</v>
      </c>
      <c r="L73" s="357">
        <f>'Hodnocení '!L69</f>
        <v>0</v>
      </c>
      <c r="M73" s="357">
        <f>'Hodnocení '!M69</f>
        <v>0</v>
      </c>
      <c r="N73" s="357">
        <f>'Hodnocení '!N69</f>
        <v>0</v>
      </c>
      <c r="O73" s="357">
        <f>'Hodnocení '!O69</f>
        <v>0</v>
      </c>
      <c r="P73" s="357">
        <f>'Hodnocení '!P69</f>
        <v>0</v>
      </c>
      <c r="Q73" s="357">
        <f>'Hodnocení '!Q69</f>
        <v>0</v>
      </c>
      <c r="R73" s="357">
        <f>'Hodnocení '!R69</f>
        <v>0</v>
      </c>
      <c r="S73" s="357">
        <f>'Hodnocení '!S69</f>
        <v>0</v>
      </c>
      <c r="T73" s="357">
        <f>'Hodnocení '!T69</f>
        <v>0</v>
      </c>
      <c r="U73" s="357">
        <f>'Hodnocení '!U69</f>
        <v>0</v>
      </c>
      <c r="V73" s="357">
        <f>'Hodnocení '!V69</f>
        <v>0</v>
      </c>
      <c r="W73" s="357">
        <f>'Hodnocení '!W69</f>
        <v>0</v>
      </c>
      <c r="X73" s="357">
        <f>'Hodnocení '!X69</f>
        <v>0</v>
      </c>
      <c r="Y73" s="357">
        <f>'Hodnocení '!Y69</f>
        <v>0</v>
      </c>
      <c r="Z73" s="357">
        <f>'Hodnocení '!Z69</f>
        <v>0</v>
      </c>
      <c r="AA73" s="357">
        <f>'Hodnocení '!AA69</f>
        <v>0</v>
      </c>
      <c r="AB73" s="357">
        <f>'Hodnocení '!AB69</f>
        <v>0</v>
      </c>
      <c r="AC73" s="357">
        <f>'Hodnocení '!AC69</f>
        <v>0</v>
      </c>
      <c r="AD73" s="357">
        <f>'Hodnocení '!AD69</f>
        <v>0</v>
      </c>
      <c r="AE73" s="357">
        <f>'Hodnocení '!AE69</f>
        <v>0</v>
      </c>
      <c r="AF73" s="357">
        <f>'Hodnocení '!AF69</f>
        <v>0</v>
      </c>
      <c r="AG73" s="357">
        <f>'Hodnocení '!AG69</f>
        <v>0</v>
      </c>
      <c r="AH73" s="357">
        <f>'Hodnocení '!AH69</f>
        <v>0</v>
      </c>
      <c r="AI73" s="357">
        <f>'Hodnocení '!AI69</f>
        <v>0</v>
      </c>
      <c r="AJ73" s="357">
        <f>'Hodnocení '!AJ69</f>
        <v>0</v>
      </c>
      <c r="AK73" s="357">
        <f>'Hodnocení '!AK69</f>
        <v>0</v>
      </c>
      <c r="AL73" s="357">
        <f>'Hodnocení '!AL69</f>
        <v>0</v>
      </c>
      <c r="AM73" s="357">
        <f>'Hodnocení '!AM69</f>
        <v>0</v>
      </c>
      <c r="AN73" s="357">
        <f>'Hodnocení '!AN69</f>
        <v>0</v>
      </c>
      <c r="AO73" s="357">
        <f>'Hodnocení '!AO69</f>
        <v>0</v>
      </c>
      <c r="AP73" s="357">
        <f>'Hodnocení '!AP69</f>
        <v>0</v>
      </c>
      <c r="AQ73" s="357">
        <f>'Hodnocení '!AQ69</f>
        <v>0</v>
      </c>
      <c r="AR73" s="357">
        <f>'Hodnocení '!AR69</f>
        <v>0</v>
      </c>
      <c r="AS73" s="357">
        <f>'Hodnocení '!AS69</f>
        <v>0</v>
      </c>
      <c r="AT73" s="357">
        <f>'Hodnocení '!AT69</f>
        <v>0</v>
      </c>
      <c r="AU73" s="357">
        <f>'Hodnocení '!AU69</f>
        <v>0</v>
      </c>
      <c r="AV73" s="357">
        <f>'Hodnocení '!AV69</f>
        <v>0</v>
      </c>
      <c r="AW73" s="357">
        <f>'Hodnocení '!AW69</f>
        <v>0</v>
      </c>
      <c r="AX73" s="357">
        <f>'Hodnocení '!AX69</f>
        <v>0</v>
      </c>
      <c r="AY73" s="357">
        <f>'Hodnocení '!AY69</f>
        <v>0</v>
      </c>
      <c r="AZ73" s="357">
        <f>'Hodnocení '!AZ69</f>
        <v>0</v>
      </c>
      <c r="BA73" s="357">
        <f>'Hodnocení '!BA69</f>
        <v>0</v>
      </c>
      <c r="BB73" s="357">
        <f>'Hodnocení '!BB69</f>
        <v>0</v>
      </c>
      <c r="BC73" s="357">
        <f>'Hodnocení '!BC69</f>
        <v>0</v>
      </c>
      <c r="BD73" s="357">
        <f>'Hodnocení '!BD69</f>
        <v>0</v>
      </c>
      <c r="BE73" s="357">
        <f>'Hodnocení '!BE69</f>
        <v>0</v>
      </c>
      <c r="BF73" s="357">
        <f>'Hodnocení '!BF69</f>
        <v>0</v>
      </c>
      <c r="BG73" s="357">
        <f>'Hodnocení '!BG69</f>
        <v>0</v>
      </c>
      <c r="BH73" s="357">
        <f>'Hodnocení '!BH69</f>
        <v>0</v>
      </c>
      <c r="BI73" s="357">
        <f>'Hodnocení '!BI69</f>
        <v>0</v>
      </c>
      <c r="BJ73" s="357">
        <f>'Hodnocení '!BJ69</f>
        <v>0</v>
      </c>
      <c r="BK73" s="357">
        <f>'Hodnocení '!BK69</f>
        <v>0</v>
      </c>
      <c r="BL73" s="357">
        <f>'Hodnocení '!BL69</f>
        <v>0</v>
      </c>
      <c r="BM73" s="357">
        <f>'Hodnocení '!BM69</f>
        <v>0</v>
      </c>
      <c r="BN73" s="357">
        <f>'Hodnocení '!BN69</f>
        <v>0</v>
      </c>
      <c r="BO73" s="357">
        <f>'Hodnocení '!BO69</f>
        <v>0</v>
      </c>
      <c r="BP73" s="357">
        <f>'Hodnocení '!BP69</f>
        <v>0</v>
      </c>
      <c r="BQ73" s="357">
        <f>'Hodnocení '!BQ69</f>
        <v>0</v>
      </c>
      <c r="BR73" s="357">
        <f>'Hodnocení '!BR69</f>
        <v>0</v>
      </c>
      <c r="BS73" s="357">
        <f>'Hodnocení '!BS69</f>
        <v>0</v>
      </c>
      <c r="BT73" s="357">
        <f>'Hodnocení '!BT69</f>
        <v>0</v>
      </c>
      <c r="BU73" s="357">
        <f>'Hodnocení '!BU69</f>
        <v>0</v>
      </c>
      <c r="BV73" s="357">
        <f>'Hodnocení '!BV69</f>
        <v>0</v>
      </c>
      <c r="BW73" s="357">
        <f>'Hodnocení '!BW69</f>
        <v>0</v>
      </c>
      <c r="BX73" s="357">
        <f>'Hodnocení '!BX69</f>
        <v>0</v>
      </c>
      <c r="BY73" s="357">
        <f>'Hodnocení '!BY69</f>
        <v>0</v>
      </c>
      <c r="BZ73" s="357">
        <f>'Hodnocení '!BZ69</f>
        <v>0</v>
      </c>
      <c r="CA73" s="357">
        <f>'Hodnocení '!CA69</f>
        <v>0</v>
      </c>
      <c r="CB73" s="357">
        <f>'Hodnocení '!CB69</f>
        <v>0</v>
      </c>
      <c r="CC73" s="357">
        <f>'Hodnocení '!CC69</f>
        <v>0</v>
      </c>
      <c r="CD73" s="357">
        <f>'Hodnocení '!CD69</f>
        <v>0</v>
      </c>
      <c r="CE73" s="357">
        <f>'Hodnocení '!CE69</f>
        <v>0</v>
      </c>
      <c r="CF73" s="357">
        <f>'Hodnocení '!CF69</f>
        <v>0</v>
      </c>
      <c r="CG73" s="357">
        <f>'Hodnocení '!CG69</f>
        <v>0</v>
      </c>
      <c r="CH73" s="357">
        <f>'Hodnocení '!CH69</f>
        <v>0</v>
      </c>
      <c r="CI73" s="357">
        <f>'Hodnocení '!CI69</f>
        <v>0</v>
      </c>
      <c r="CJ73" s="357">
        <f>'Hodnocení '!CJ69</f>
        <v>0</v>
      </c>
      <c r="CK73" s="357">
        <f>'Hodnocení '!CK69</f>
        <v>0</v>
      </c>
      <c r="CL73" s="357">
        <f>'Hodnocení '!CL69</f>
        <v>0</v>
      </c>
      <c r="CM73" s="357">
        <f>'Hodnocení '!CM69</f>
        <v>0</v>
      </c>
      <c r="CN73" s="357">
        <f>'Hodnocení '!CN69</f>
        <v>0</v>
      </c>
      <c r="CO73" s="357">
        <f>'Hodnocení '!CO69</f>
        <v>0</v>
      </c>
      <c r="CP73" s="357">
        <f>'Hodnocení '!CP69</f>
        <v>0</v>
      </c>
      <c r="CQ73" s="357">
        <f>'Hodnocení '!CQ69</f>
        <v>0</v>
      </c>
      <c r="CR73" s="357">
        <f>'Hodnocení '!CR69</f>
        <v>0</v>
      </c>
      <c r="CS73" s="357">
        <f>'Hodnocení '!CS69</f>
        <v>0</v>
      </c>
      <c r="CT73" s="357">
        <f>'Hodnocení '!CT69</f>
        <v>0</v>
      </c>
      <c r="CU73" s="357">
        <f>'Hodnocení '!CU69</f>
        <v>0</v>
      </c>
      <c r="CV73" s="357">
        <f>'Hodnocení '!CV69</f>
        <v>0</v>
      </c>
      <c r="CW73" s="357">
        <f>'Hodnocení '!CW69</f>
        <v>0</v>
      </c>
      <c r="CX73" s="357">
        <f>'Hodnocení '!CX69</f>
        <v>0</v>
      </c>
      <c r="CY73" s="357">
        <f>'Hodnocení '!CY69</f>
        <v>0</v>
      </c>
      <c r="CZ73" s="357">
        <f>'Hodnocení '!CZ69</f>
        <v>0</v>
      </c>
      <c r="DA73" s="357">
        <f>'Hodnocení '!DA69</f>
        <v>0</v>
      </c>
      <c r="DB73" s="357">
        <f>'Hodnocení '!DB69</f>
        <v>0</v>
      </c>
      <c r="DC73" s="357">
        <f>'Hodnocení '!DC69</f>
        <v>0</v>
      </c>
      <c r="DD73" s="357">
        <f>'Hodnocení '!DD69</f>
        <v>0</v>
      </c>
      <c r="DE73" s="357">
        <f>'Hodnocení '!DE69</f>
        <v>0</v>
      </c>
      <c r="DF73" s="357">
        <f>'Hodnocení '!DF69</f>
        <v>0</v>
      </c>
      <c r="DG73" s="357">
        <f>'Hodnocení '!DG69</f>
        <v>0</v>
      </c>
      <c r="DH73" s="357">
        <f>'Hodnocení '!DH69</f>
        <v>0</v>
      </c>
      <c r="DI73" s="357">
        <f>'Hodnocení '!DI69</f>
        <v>0</v>
      </c>
      <c r="DJ73" s="357">
        <f>'Hodnocení '!DJ69</f>
        <v>0</v>
      </c>
      <c r="DK73" s="357">
        <f>'Hodnocení '!DK69</f>
        <v>0</v>
      </c>
      <c r="DL73" s="357">
        <f>'Hodnocení '!DL69</f>
        <v>0</v>
      </c>
      <c r="DM73" s="357">
        <f>'Hodnocení '!DM69</f>
        <v>0</v>
      </c>
      <c r="DN73" s="357">
        <f>'Hodnocení '!DN69</f>
        <v>0</v>
      </c>
      <c r="DO73" s="357">
        <f>'Hodnocení '!DO69</f>
        <v>0</v>
      </c>
      <c r="DP73" s="357">
        <f>'Hodnocení '!DP69</f>
        <v>0</v>
      </c>
      <c r="DQ73" s="357">
        <f>'Hodnocení '!DQ69</f>
        <v>0</v>
      </c>
      <c r="DR73" s="357">
        <f>'Hodnocení '!DR69</f>
        <v>0</v>
      </c>
      <c r="DS73" s="357">
        <f>'Hodnocení '!DS69</f>
        <v>0</v>
      </c>
      <c r="DT73" s="357">
        <f>'Hodnocení '!DT69</f>
        <v>0</v>
      </c>
      <c r="DU73" s="357">
        <f>'Hodnocení '!DU69</f>
        <v>0</v>
      </c>
      <c r="DV73" s="357">
        <f>'Hodnocení '!DV69</f>
        <v>0</v>
      </c>
      <c r="DW73" s="357">
        <f>'Hodnocení '!DW69</f>
        <v>0</v>
      </c>
      <c r="DX73" s="357">
        <f>'Hodnocení '!DX69</f>
        <v>0</v>
      </c>
      <c r="DY73" s="357">
        <f>'Hodnocení '!DY69</f>
        <v>0</v>
      </c>
      <c r="DZ73" s="357">
        <f>'Hodnocení '!DZ69</f>
        <v>0</v>
      </c>
      <c r="EA73" s="357">
        <f>'Hodnocení '!EA69</f>
        <v>0</v>
      </c>
      <c r="EB73" s="357">
        <f>'Hodnocení '!EB69</f>
        <v>0</v>
      </c>
      <c r="EC73" s="357">
        <f>'Hodnocení '!EC69</f>
        <v>0</v>
      </c>
      <c r="ED73" s="357">
        <f>'Hodnocení '!ED69</f>
        <v>0</v>
      </c>
      <c r="EE73" s="357">
        <f>'Hodnocení '!EE69</f>
        <v>0</v>
      </c>
      <c r="EF73" s="357">
        <f>'Hodnocení '!EF69</f>
        <v>0</v>
      </c>
      <c r="EG73" s="357">
        <f>'Hodnocení '!EG69</f>
        <v>0</v>
      </c>
      <c r="EH73" s="357">
        <f>'Hodnocení '!EH69</f>
        <v>0</v>
      </c>
      <c r="EI73" s="357">
        <f>'Hodnocení '!EI69</f>
        <v>0</v>
      </c>
      <c r="EJ73" s="357">
        <f>'Hodnocení '!EJ69</f>
        <v>0</v>
      </c>
      <c r="EK73" s="357">
        <f>'Hodnocení '!EK69</f>
        <v>0</v>
      </c>
      <c r="EL73" s="357">
        <f>'Hodnocení '!EL69</f>
        <v>0</v>
      </c>
      <c r="EM73" s="357">
        <f>'Hodnocení '!EM69</f>
        <v>0</v>
      </c>
      <c r="EN73" s="357">
        <f>'Hodnocení '!EN69</f>
        <v>0</v>
      </c>
      <c r="EO73" s="357">
        <f>'Hodnocení '!EO69</f>
        <v>0</v>
      </c>
      <c r="EP73" s="357">
        <f>'Hodnocení '!EP69</f>
        <v>0</v>
      </c>
      <c r="EQ73" s="357">
        <f>'Hodnocení '!EQ69</f>
        <v>0</v>
      </c>
      <c r="ER73" s="357">
        <f>'Hodnocení '!ER69</f>
        <v>0</v>
      </c>
      <c r="ES73" s="357">
        <f>'Hodnocení '!ES69</f>
        <v>0</v>
      </c>
      <c r="ET73" s="357">
        <f>'Hodnocení '!ET69</f>
        <v>0</v>
      </c>
      <c r="EU73" s="357">
        <f>'Hodnocení '!EU69</f>
        <v>0</v>
      </c>
      <c r="EV73" s="357">
        <f>'Hodnocení '!EV69</f>
        <v>0</v>
      </c>
      <c r="EW73" s="357">
        <f>'Hodnocení '!EW69</f>
        <v>0</v>
      </c>
      <c r="EX73" s="357">
        <f>'Hodnocení '!EX69</f>
        <v>0</v>
      </c>
      <c r="EY73" s="357">
        <f>'Hodnocení '!EY69</f>
        <v>0</v>
      </c>
      <c r="EZ73" s="357">
        <f>'Hodnocení '!EZ69</f>
        <v>0</v>
      </c>
      <c r="FA73" s="357">
        <f>'Hodnocení '!FA69</f>
        <v>0</v>
      </c>
      <c r="FB73" s="357">
        <f>'Hodnocení '!FB69</f>
        <v>0</v>
      </c>
      <c r="FC73" s="357">
        <f>'Hodnocení '!FC69</f>
        <v>0</v>
      </c>
      <c r="FD73" s="357">
        <f>'Hodnocení '!FD69</f>
        <v>0</v>
      </c>
      <c r="FE73" s="357">
        <f>'Hodnocení '!FE69</f>
        <v>0</v>
      </c>
      <c r="FF73" s="357">
        <f>'Hodnocení '!FF69</f>
        <v>0</v>
      </c>
      <c r="FG73" s="357">
        <f>'Hodnocení '!FG69</f>
        <v>0</v>
      </c>
      <c r="FH73" s="357">
        <f>'Hodnocení '!FH69</f>
        <v>0</v>
      </c>
      <c r="FI73" s="357">
        <f>'Hodnocení '!FI69</f>
        <v>0</v>
      </c>
      <c r="FJ73" s="357">
        <f>'Hodnocení '!FJ69</f>
        <v>0</v>
      </c>
      <c r="FK73" s="357">
        <f>'Hodnocení '!FK69</f>
        <v>0</v>
      </c>
      <c r="FL73" s="357">
        <f>'Hodnocení '!FL69</f>
        <v>0</v>
      </c>
      <c r="FM73" s="357">
        <f>'Hodnocení '!FM69</f>
        <v>0</v>
      </c>
      <c r="FN73" s="357">
        <f>'Hodnocení '!FN69</f>
        <v>0</v>
      </c>
      <c r="FO73" s="357">
        <f>'Hodnocení '!FO69</f>
        <v>0</v>
      </c>
      <c r="FP73" s="357">
        <f>'Hodnocení '!FP69</f>
        <v>0</v>
      </c>
      <c r="FQ73" s="357">
        <f>'Hodnocení '!FQ69</f>
        <v>0</v>
      </c>
      <c r="FR73" s="357">
        <f>'Hodnocení '!FR69</f>
        <v>0</v>
      </c>
      <c r="FS73" s="357">
        <f>'Hodnocení '!FS69</f>
        <v>0</v>
      </c>
      <c r="FT73" s="357">
        <f>'Hodnocení '!FT69</f>
        <v>0</v>
      </c>
      <c r="FU73" s="357">
        <f>'Hodnocení '!FU69</f>
        <v>0</v>
      </c>
      <c r="FV73" s="357">
        <f>'Hodnocení '!FV69</f>
        <v>0</v>
      </c>
      <c r="FW73" s="357">
        <f>'Hodnocení '!FW69</f>
        <v>0</v>
      </c>
      <c r="FX73" s="357">
        <f>'Hodnocení '!FX69</f>
        <v>0</v>
      </c>
      <c r="FY73" s="357">
        <f>'Hodnocení '!FY69</f>
        <v>0</v>
      </c>
      <c r="FZ73" s="357">
        <f>'Hodnocení '!FZ69</f>
        <v>0</v>
      </c>
      <c r="GA73" s="357">
        <f>'Hodnocení '!GA69</f>
        <v>0</v>
      </c>
      <c r="GB73" s="357">
        <f>'Hodnocení '!GB69</f>
        <v>0</v>
      </c>
      <c r="GC73" s="357">
        <f>'Hodnocení '!GC69</f>
        <v>0</v>
      </c>
      <c r="GD73" s="357">
        <f>'Hodnocení '!GD69</f>
        <v>0</v>
      </c>
      <c r="GE73" s="357">
        <f>'Hodnocení '!GE69</f>
        <v>0</v>
      </c>
      <c r="GF73" s="357">
        <f>'Hodnocení '!GF69</f>
        <v>0</v>
      </c>
      <c r="GG73" s="357">
        <f>'Hodnocení '!GG69</f>
        <v>0</v>
      </c>
      <c r="GH73" s="357">
        <f>'Hodnocení '!GH69</f>
        <v>0</v>
      </c>
      <c r="GI73" s="357">
        <f>'Hodnocení '!GI69</f>
        <v>0</v>
      </c>
      <c r="GJ73" s="357">
        <f>'Hodnocení '!GJ69</f>
        <v>0</v>
      </c>
      <c r="GK73" s="357">
        <f>'Hodnocení '!GK69</f>
        <v>0</v>
      </c>
      <c r="GL73" s="357">
        <f>'Hodnocení '!GL69</f>
        <v>0</v>
      </c>
      <c r="GM73" s="357">
        <f>'Hodnocení '!GM69</f>
        <v>0</v>
      </c>
      <c r="GN73" s="357">
        <f>'Hodnocení '!GN69</f>
        <v>0</v>
      </c>
      <c r="GO73" s="357">
        <f>'Hodnocení '!GO69</f>
        <v>0</v>
      </c>
      <c r="GP73" s="357">
        <f>'Hodnocení '!GP69</f>
        <v>0</v>
      </c>
      <c r="GQ73" s="357">
        <f>'Hodnocení '!GQ69</f>
        <v>0</v>
      </c>
      <c r="GR73" s="357">
        <f>'Hodnocení '!GR69</f>
        <v>0</v>
      </c>
      <c r="GS73" s="357">
        <f>'Hodnocení '!GS69</f>
        <v>0</v>
      </c>
      <c r="GT73" s="357">
        <f>'Hodnocení '!GT69</f>
        <v>0</v>
      </c>
      <c r="GU73" s="357">
        <f>'Hodnocení '!GU69</f>
        <v>0</v>
      </c>
      <c r="GV73" s="357">
        <f>'Hodnocení '!GV69</f>
        <v>0</v>
      </c>
      <c r="GW73" s="357">
        <f>'Hodnocení '!GW69</f>
        <v>0</v>
      </c>
      <c r="GX73" s="357">
        <f>'Hodnocení '!GX69</f>
        <v>0</v>
      </c>
      <c r="GY73" s="357">
        <f>'Hodnocení '!GY69</f>
        <v>0</v>
      </c>
      <c r="GZ73" s="357">
        <f>'Hodnocení '!GZ69</f>
        <v>0</v>
      </c>
      <c r="HA73" s="357">
        <f>'Hodnocení '!HA69</f>
        <v>0</v>
      </c>
      <c r="HB73" s="357">
        <f>'Hodnocení '!HB69</f>
        <v>0</v>
      </c>
      <c r="HC73" s="357">
        <f>'Hodnocení '!HC69</f>
        <v>0</v>
      </c>
      <c r="HD73" s="357">
        <f>'Hodnocení '!HD69</f>
        <v>0</v>
      </c>
      <c r="HE73" s="357">
        <f>'Hodnocení '!HE69</f>
        <v>0</v>
      </c>
      <c r="HF73" s="357">
        <f>'Hodnocení '!HF69</f>
        <v>0</v>
      </c>
      <c r="HG73" s="357">
        <f>'Hodnocení '!HG69</f>
        <v>0</v>
      </c>
      <c r="HH73" s="357">
        <f>'Hodnocení '!HH69</f>
        <v>0</v>
      </c>
      <c r="HI73" s="357">
        <f>'Hodnocení '!HI69</f>
        <v>0</v>
      </c>
      <c r="HJ73" s="357">
        <f>'Hodnocení '!HJ69</f>
        <v>0</v>
      </c>
      <c r="HK73" s="357">
        <f>'Hodnocení '!HK69</f>
        <v>0</v>
      </c>
      <c r="HL73" s="357">
        <f>'Hodnocení '!HL69</f>
        <v>0</v>
      </c>
      <c r="HM73" s="357">
        <f>'Hodnocení '!HM69</f>
        <v>0</v>
      </c>
      <c r="HN73" s="357">
        <f>'Hodnocení '!HN69</f>
        <v>0</v>
      </c>
      <c r="HO73" s="357">
        <f>'Hodnocení '!HO69</f>
        <v>0</v>
      </c>
      <c r="HP73" s="357">
        <f>'Hodnocení '!HP69</f>
        <v>0</v>
      </c>
      <c r="HQ73" s="357">
        <f>'Hodnocení '!HQ69</f>
        <v>0</v>
      </c>
      <c r="HR73" s="357">
        <f>'Hodnocení '!HR69</f>
        <v>0</v>
      </c>
      <c r="HS73" s="357">
        <f>'Hodnocení '!HS69</f>
        <v>0</v>
      </c>
      <c r="HT73" s="357">
        <f>'Hodnocení '!HT69</f>
        <v>0</v>
      </c>
      <c r="HU73" s="357">
        <f>'Hodnocení '!HU69</f>
        <v>0</v>
      </c>
      <c r="HV73" s="357">
        <f>'Hodnocení '!HV69</f>
        <v>0</v>
      </c>
      <c r="HW73" s="357">
        <f>'Hodnocení '!HW69</f>
        <v>0</v>
      </c>
      <c r="HX73" s="357">
        <f>'Hodnocení '!HX69</f>
        <v>0</v>
      </c>
      <c r="HY73" s="357">
        <f>'Hodnocení '!HY69</f>
        <v>0</v>
      </c>
      <c r="HZ73" s="357">
        <f>'Hodnocení '!HZ69</f>
        <v>0</v>
      </c>
      <c r="IA73" s="357">
        <f>'Hodnocení '!IA69</f>
        <v>0</v>
      </c>
      <c r="IB73" s="357">
        <f>'Hodnocení '!IB69</f>
        <v>0</v>
      </c>
      <c r="IC73" s="357">
        <f>'Hodnocení '!IC69</f>
        <v>0</v>
      </c>
      <c r="ID73" s="357">
        <f>'Hodnocení '!ID69</f>
        <v>0</v>
      </c>
      <c r="IE73" s="357">
        <f>'Hodnocení '!IE69</f>
        <v>0</v>
      </c>
      <c r="IF73" s="357">
        <f>'Hodnocení '!IF69</f>
        <v>0</v>
      </c>
      <c r="IG73" s="357">
        <f>'Hodnocení '!IG69</f>
        <v>0</v>
      </c>
      <c r="IH73" s="357">
        <f>'Hodnocení '!IH69</f>
        <v>0</v>
      </c>
      <c r="II73" s="357">
        <f>'Hodnocení '!II69</f>
        <v>0</v>
      </c>
      <c r="IJ73" s="357">
        <f>'Hodnocení '!IJ69</f>
        <v>0</v>
      </c>
      <c r="IK73" s="357">
        <f>'Hodnocení '!IK69</f>
        <v>0</v>
      </c>
      <c r="IL73" s="357">
        <f>'Hodnocení '!IL69</f>
        <v>0</v>
      </c>
      <c r="IM73" s="357">
        <f>'Hodnocení '!IM69</f>
        <v>0</v>
      </c>
      <c r="IN73" s="357">
        <f>'Hodnocení '!IN69</f>
        <v>0</v>
      </c>
      <c r="IO73" s="357">
        <f>'Hodnocení '!IO69</f>
        <v>0</v>
      </c>
      <c r="IP73" s="357">
        <f>'Hodnocení '!IP69</f>
        <v>0</v>
      </c>
      <c r="IQ73" s="357">
        <f>'Hodnocení '!IQ69</f>
        <v>0</v>
      </c>
      <c r="IR73" s="357">
        <f>'Hodnocení '!IR69</f>
        <v>0</v>
      </c>
      <c r="IS73" s="357">
        <f>'Hodnocení '!IS69</f>
        <v>0</v>
      </c>
      <c r="IT73" s="357">
        <f>'Hodnocení '!IT69</f>
        <v>0</v>
      </c>
      <c r="IU73" s="357">
        <f>'Hodnocení '!IU69</f>
        <v>0</v>
      </c>
      <c r="IV73" s="357">
        <f>'Hodnocení '!IV69</f>
        <v>0</v>
      </c>
      <c r="IW73" s="357">
        <f>'Hodnocení '!IW69</f>
        <v>0</v>
      </c>
      <c r="IX73" s="357">
        <f>'Hodnocení '!IX69</f>
        <v>0</v>
      </c>
      <c r="IY73" s="357">
        <f>'Hodnocení '!IY69</f>
        <v>0</v>
      </c>
      <c r="IZ73" s="357">
        <f>'Hodnocení '!IZ69</f>
        <v>0</v>
      </c>
      <c r="JA73" s="357">
        <f>'Hodnocení '!JA69</f>
        <v>0</v>
      </c>
      <c r="JB73" s="357">
        <f>'Hodnocení '!JB69</f>
        <v>0</v>
      </c>
      <c r="JC73" s="357">
        <f>'Hodnocení '!JC69</f>
        <v>0</v>
      </c>
      <c r="JD73" s="357">
        <f>'Hodnocení '!JD69</f>
        <v>0</v>
      </c>
      <c r="JE73" s="357">
        <f>'Hodnocení '!JE69</f>
        <v>0</v>
      </c>
      <c r="JF73" s="357">
        <f>'Hodnocení '!JF69</f>
        <v>0</v>
      </c>
      <c r="JG73" s="357">
        <f>'Hodnocení '!JG69</f>
        <v>0</v>
      </c>
      <c r="JH73" s="772">
        <f>'Hodnocení '!JH69</f>
        <v>0</v>
      </c>
      <c r="JI73" s="470">
        <f>'Hodnocení '!JI69</f>
        <v>0</v>
      </c>
      <c r="JL73" s="307"/>
      <c r="JM73" s="307"/>
      <c r="JN73" s="307"/>
      <c r="JO73" s="307"/>
      <c r="JP73" s="307"/>
    </row>
    <row r="74" spans="1:276" hidden="1" x14ac:dyDescent="0.25">
      <c r="A74" s="353"/>
      <c r="B74" s="733"/>
      <c r="C74" s="779">
        <f>'Hodnocení '!C70</f>
        <v>0</v>
      </c>
      <c r="D74" s="357">
        <f>'Hodnocení '!D70</f>
        <v>0</v>
      </c>
      <c r="E74" s="357">
        <f>'Hodnocení '!E70</f>
        <v>0</v>
      </c>
      <c r="F74" s="357">
        <f>'Hodnocení '!F70</f>
        <v>0</v>
      </c>
      <c r="G74" s="357">
        <f>'Hodnocení '!G70</f>
        <v>0</v>
      </c>
      <c r="H74" s="357">
        <f>'Hodnocení '!H70</f>
        <v>0</v>
      </c>
      <c r="I74" s="357">
        <f>'Hodnocení '!I70</f>
        <v>0</v>
      </c>
      <c r="J74" s="357">
        <f>'Hodnocení '!J70</f>
        <v>0</v>
      </c>
      <c r="K74" s="357">
        <f>'Hodnocení '!K70</f>
        <v>0</v>
      </c>
      <c r="L74" s="357">
        <f>'Hodnocení '!L70</f>
        <v>0</v>
      </c>
      <c r="M74" s="357">
        <f>'Hodnocení '!M70</f>
        <v>0</v>
      </c>
      <c r="N74" s="357">
        <f>'Hodnocení '!N70</f>
        <v>0</v>
      </c>
      <c r="O74" s="357">
        <f>'Hodnocení '!O70</f>
        <v>0</v>
      </c>
      <c r="P74" s="357">
        <f>'Hodnocení '!P70</f>
        <v>0</v>
      </c>
      <c r="Q74" s="357">
        <f>'Hodnocení '!Q70</f>
        <v>0</v>
      </c>
      <c r="R74" s="357">
        <f>'Hodnocení '!R70</f>
        <v>0</v>
      </c>
      <c r="S74" s="357">
        <f>'Hodnocení '!S70</f>
        <v>0</v>
      </c>
      <c r="T74" s="357">
        <f>'Hodnocení '!T70</f>
        <v>0</v>
      </c>
      <c r="U74" s="357">
        <f>'Hodnocení '!U70</f>
        <v>0</v>
      </c>
      <c r="V74" s="357">
        <f>'Hodnocení '!V70</f>
        <v>0</v>
      </c>
      <c r="W74" s="357">
        <f>'Hodnocení '!W70</f>
        <v>0</v>
      </c>
      <c r="X74" s="357">
        <f>'Hodnocení '!X70</f>
        <v>0</v>
      </c>
      <c r="Y74" s="357">
        <f>'Hodnocení '!Y70</f>
        <v>0</v>
      </c>
      <c r="Z74" s="357">
        <f>'Hodnocení '!Z70</f>
        <v>0</v>
      </c>
      <c r="AA74" s="357">
        <f>'Hodnocení '!AA70</f>
        <v>0</v>
      </c>
      <c r="AB74" s="357">
        <f>'Hodnocení '!AB70</f>
        <v>0</v>
      </c>
      <c r="AC74" s="357">
        <f>'Hodnocení '!AC70</f>
        <v>0</v>
      </c>
      <c r="AD74" s="357">
        <f>'Hodnocení '!AD70</f>
        <v>0</v>
      </c>
      <c r="AE74" s="357">
        <f>'Hodnocení '!AE70</f>
        <v>0</v>
      </c>
      <c r="AF74" s="357">
        <f>'Hodnocení '!AF70</f>
        <v>0</v>
      </c>
      <c r="AG74" s="357">
        <f>'Hodnocení '!AG70</f>
        <v>0</v>
      </c>
      <c r="AH74" s="357">
        <f>'Hodnocení '!AH70</f>
        <v>0</v>
      </c>
      <c r="AI74" s="357">
        <f>'Hodnocení '!AI70</f>
        <v>0</v>
      </c>
      <c r="AJ74" s="357">
        <f>'Hodnocení '!AJ70</f>
        <v>0</v>
      </c>
      <c r="AK74" s="357">
        <f>'Hodnocení '!AK70</f>
        <v>0</v>
      </c>
      <c r="AL74" s="357">
        <f>'Hodnocení '!AL70</f>
        <v>0</v>
      </c>
      <c r="AM74" s="357">
        <f>'Hodnocení '!AM70</f>
        <v>0</v>
      </c>
      <c r="AN74" s="357">
        <f>'Hodnocení '!AN70</f>
        <v>0</v>
      </c>
      <c r="AO74" s="357">
        <f>'Hodnocení '!AO70</f>
        <v>0</v>
      </c>
      <c r="AP74" s="357">
        <f>'Hodnocení '!AP70</f>
        <v>0</v>
      </c>
      <c r="AQ74" s="357">
        <f>'Hodnocení '!AQ70</f>
        <v>0</v>
      </c>
      <c r="AR74" s="357">
        <f>'Hodnocení '!AR70</f>
        <v>0</v>
      </c>
      <c r="AS74" s="357">
        <f>'Hodnocení '!AS70</f>
        <v>0</v>
      </c>
      <c r="AT74" s="357">
        <f>'Hodnocení '!AT70</f>
        <v>0</v>
      </c>
      <c r="AU74" s="357">
        <f>'Hodnocení '!AU70</f>
        <v>0</v>
      </c>
      <c r="AV74" s="357">
        <f>'Hodnocení '!AV70</f>
        <v>0</v>
      </c>
      <c r="AW74" s="357">
        <f>'Hodnocení '!AW70</f>
        <v>0</v>
      </c>
      <c r="AX74" s="357">
        <f>'Hodnocení '!AX70</f>
        <v>0</v>
      </c>
      <c r="AY74" s="357">
        <f>'Hodnocení '!AY70</f>
        <v>0</v>
      </c>
      <c r="AZ74" s="357">
        <f>'Hodnocení '!AZ70</f>
        <v>0</v>
      </c>
      <c r="BA74" s="357">
        <f>'Hodnocení '!BA70</f>
        <v>0</v>
      </c>
      <c r="BB74" s="357">
        <f>'Hodnocení '!BB70</f>
        <v>0</v>
      </c>
      <c r="BC74" s="357">
        <f>'Hodnocení '!BC70</f>
        <v>0</v>
      </c>
      <c r="BD74" s="357">
        <f>'Hodnocení '!BD70</f>
        <v>0</v>
      </c>
      <c r="BE74" s="357">
        <f>'Hodnocení '!BE70</f>
        <v>0</v>
      </c>
      <c r="BF74" s="357">
        <f>'Hodnocení '!BF70</f>
        <v>0</v>
      </c>
      <c r="BG74" s="357">
        <f>'Hodnocení '!BG70</f>
        <v>0</v>
      </c>
      <c r="BH74" s="357">
        <f>'Hodnocení '!BH70</f>
        <v>0</v>
      </c>
      <c r="BI74" s="357">
        <f>'Hodnocení '!BI70</f>
        <v>0</v>
      </c>
      <c r="BJ74" s="357">
        <f>'Hodnocení '!BJ70</f>
        <v>0</v>
      </c>
      <c r="BK74" s="357">
        <f>'Hodnocení '!BK70</f>
        <v>0</v>
      </c>
      <c r="BL74" s="357">
        <f>'Hodnocení '!BL70</f>
        <v>0</v>
      </c>
      <c r="BM74" s="357">
        <f>'Hodnocení '!BM70</f>
        <v>0</v>
      </c>
      <c r="BN74" s="357">
        <f>'Hodnocení '!BN70</f>
        <v>0</v>
      </c>
      <c r="BO74" s="357">
        <f>'Hodnocení '!BO70</f>
        <v>0</v>
      </c>
      <c r="BP74" s="357">
        <f>'Hodnocení '!BP70</f>
        <v>0</v>
      </c>
      <c r="BQ74" s="357">
        <f>'Hodnocení '!BQ70</f>
        <v>0</v>
      </c>
      <c r="BR74" s="357">
        <f>'Hodnocení '!BR70</f>
        <v>0</v>
      </c>
      <c r="BS74" s="357">
        <f>'Hodnocení '!BS70</f>
        <v>0</v>
      </c>
      <c r="BT74" s="357">
        <f>'Hodnocení '!BT70</f>
        <v>0</v>
      </c>
      <c r="BU74" s="357">
        <f>'Hodnocení '!BU70</f>
        <v>0</v>
      </c>
      <c r="BV74" s="357">
        <f>'Hodnocení '!BV70</f>
        <v>0</v>
      </c>
      <c r="BW74" s="357">
        <f>'Hodnocení '!BW70</f>
        <v>0</v>
      </c>
      <c r="BX74" s="357">
        <f>'Hodnocení '!BX70</f>
        <v>0</v>
      </c>
      <c r="BY74" s="357">
        <f>'Hodnocení '!BY70</f>
        <v>0</v>
      </c>
      <c r="BZ74" s="357">
        <f>'Hodnocení '!BZ70</f>
        <v>0</v>
      </c>
      <c r="CA74" s="357">
        <f>'Hodnocení '!CA70</f>
        <v>0</v>
      </c>
      <c r="CB74" s="357">
        <f>'Hodnocení '!CB70</f>
        <v>0</v>
      </c>
      <c r="CC74" s="357">
        <f>'Hodnocení '!CC70</f>
        <v>0</v>
      </c>
      <c r="CD74" s="357">
        <f>'Hodnocení '!CD70</f>
        <v>0</v>
      </c>
      <c r="CE74" s="357">
        <f>'Hodnocení '!CE70</f>
        <v>0</v>
      </c>
      <c r="CF74" s="357">
        <f>'Hodnocení '!CF70</f>
        <v>0</v>
      </c>
      <c r="CG74" s="357">
        <f>'Hodnocení '!CG70</f>
        <v>0</v>
      </c>
      <c r="CH74" s="357">
        <f>'Hodnocení '!CH70</f>
        <v>0</v>
      </c>
      <c r="CI74" s="357">
        <f>'Hodnocení '!CI70</f>
        <v>0</v>
      </c>
      <c r="CJ74" s="357">
        <f>'Hodnocení '!CJ70</f>
        <v>0</v>
      </c>
      <c r="CK74" s="357">
        <f>'Hodnocení '!CK70</f>
        <v>0</v>
      </c>
      <c r="CL74" s="357">
        <f>'Hodnocení '!CL70</f>
        <v>0</v>
      </c>
      <c r="CM74" s="357">
        <f>'Hodnocení '!CM70</f>
        <v>0</v>
      </c>
      <c r="CN74" s="357">
        <f>'Hodnocení '!CN70</f>
        <v>0</v>
      </c>
      <c r="CO74" s="357">
        <f>'Hodnocení '!CO70</f>
        <v>0</v>
      </c>
      <c r="CP74" s="357">
        <f>'Hodnocení '!CP70</f>
        <v>0</v>
      </c>
      <c r="CQ74" s="357">
        <f>'Hodnocení '!CQ70</f>
        <v>0</v>
      </c>
      <c r="CR74" s="357">
        <f>'Hodnocení '!CR70</f>
        <v>0</v>
      </c>
      <c r="CS74" s="357">
        <f>'Hodnocení '!CS70</f>
        <v>0</v>
      </c>
      <c r="CT74" s="357">
        <f>'Hodnocení '!CT70</f>
        <v>0</v>
      </c>
      <c r="CU74" s="357">
        <f>'Hodnocení '!CU70</f>
        <v>0</v>
      </c>
      <c r="CV74" s="357">
        <f>'Hodnocení '!CV70</f>
        <v>0</v>
      </c>
      <c r="CW74" s="357">
        <f>'Hodnocení '!CW70</f>
        <v>0</v>
      </c>
      <c r="CX74" s="357">
        <f>'Hodnocení '!CX70</f>
        <v>0</v>
      </c>
      <c r="CY74" s="357">
        <f>'Hodnocení '!CY70</f>
        <v>0</v>
      </c>
      <c r="CZ74" s="357">
        <f>'Hodnocení '!CZ70</f>
        <v>0</v>
      </c>
      <c r="DA74" s="357">
        <f>'Hodnocení '!DA70</f>
        <v>0</v>
      </c>
      <c r="DB74" s="357">
        <f>'Hodnocení '!DB70</f>
        <v>0</v>
      </c>
      <c r="DC74" s="357">
        <f>'Hodnocení '!DC70</f>
        <v>0</v>
      </c>
      <c r="DD74" s="357">
        <f>'Hodnocení '!DD70</f>
        <v>0</v>
      </c>
      <c r="DE74" s="357">
        <f>'Hodnocení '!DE70</f>
        <v>0</v>
      </c>
      <c r="DF74" s="357">
        <f>'Hodnocení '!DF70</f>
        <v>0</v>
      </c>
      <c r="DG74" s="357">
        <f>'Hodnocení '!DG70</f>
        <v>0</v>
      </c>
      <c r="DH74" s="357">
        <f>'Hodnocení '!DH70</f>
        <v>0</v>
      </c>
      <c r="DI74" s="357">
        <f>'Hodnocení '!DI70</f>
        <v>0</v>
      </c>
      <c r="DJ74" s="357">
        <f>'Hodnocení '!DJ70</f>
        <v>0</v>
      </c>
      <c r="DK74" s="357">
        <f>'Hodnocení '!DK70</f>
        <v>0</v>
      </c>
      <c r="DL74" s="357">
        <f>'Hodnocení '!DL70</f>
        <v>0</v>
      </c>
      <c r="DM74" s="357">
        <f>'Hodnocení '!DM70</f>
        <v>0</v>
      </c>
      <c r="DN74" s="357">
        <f>'Hodnocení '!DN70</f>
        <v>0</v>
      </c>
      <c r="DO74" s="357">
        <f>'Hodnocení '!DO70</f>
        <v>0</v>
      </c>
      <c r="DP74" s="357">
        <f>'Hodnocení '!DP70</f>
        <v>0</v>
      </c>
      <c r="DQ74" s="357">
        <f>'Hodnocení '!DQ70</f>
        <v>0</v>
      </c>
      <c r="DR74" s="357">
        <f>'Hodnocení '!DR70</f>
        <v>0</v>
      </c>
      <c r="DS74" s="357">
        <f>'Hodnocení '!DS70</f>
        <v>0</v>
      </c>
      <c r="DT74" s="357">
        <f>'Hodnocení '!DT70</f>
        <v>0</v>
      </c>
      <c r="DU74" s="357">
        <f>'Hodnocení '!DU70</f>
        <v>0</v>
      </c>
      <c r="DV74" s="357">
        <f>'Hodnocení '!DV70</f>
        <v>0</v>
      </c>
      <c r="DW74" s="357">
        <f>'Hodnocení '!DW70</f>
        <v>0</v>
      </c>
      <c r="DX74" s="357">
        <f>'Hodnocení '!DX70</f>
        <v>0</v>
      </c>
      <c r="DY74" s="357">
        <f>'Hodnocení '!DY70</f>
        <v>0</v>
      </c>
      <c r="DZ74" s="357">
        <f>'Hodnocení '!DZ70</f>
        <v>0</v>
      </c>
      <c r="EA74" s="357">
        <f>'Hodnocení '!EA70</f>
        <v>0</v>
      </c>
      <c r="EB74" s="357">
        <f>'Hodnocení '!EB70</f>
        <v>0</v>
      </c>
      <c r="EC74" s="357">
        <f>'Hodnocení '!EC70</f>
        <v>0</v>
      </c>
      <c r="ED74" s="357">
        <f>'Hodnocení '!ED70</f>
        <v>0</v>
      </c>
      <c r="EE74" s="357">
        <f>'Hodnocení '!EE70</f>
        <v>0</v>
      </c>
      <c r="EF74" s="357">
        <f>'Hodnocení '!EF70</f>
        <v>0</v>
      </c>
      <c r="EG74" s="357">
        <f>'Hodnocení '!EG70</f>
        <v>0</v>
      </c>
      <c r="EH74" s="357">
        <f>'Hodnocení '!EH70</f>
        <v>0</v>
      </c>
      <c r="EI74" s="357">
        <f>'Hodnocení '!EI70</f>
        <v>0</v>
      </c>
      <c r="EJ74" s="357">
        <f>'Hodnocení '!EJ70</f>
        <v>0</v>
      </c>
      <c r="EK74" s="357">
        <f>'Hodnocení '!EK70</f>
        <v>0</v>
      </c>
      <c r="EL74" s="357">
        <f>'Hodnocení '!EL70</f>
        <v>0</v>
      </c>
      <c r="EM74" s="357">
        <f>'Hodnocení '!EM70</f>
        <v>0</v>
      </c>
      <c r="EN74" s="357">
        <f>'Hodnocení '!EN70</f>
        <v>0</v>
      </c>
      <c r="EO74" s="357">
        <f>'Hodnocení '!EO70</f>
        <v>0</v>
      </c>
      <c r="EP74" s="357">
        <f>'Hodnocení '!EP70</f>
        <v>0</v>
      </c>
      <c r="EQ74" s="357">
        <f>'Hodnocení '!EQ70</f>
        <v>0</v>
      </c>
      <c r="ER74" s="357">
        <f>'Hodnocení '!ER70</f>
        <v>0</v>
      </c>
      <c r="ES74" s="357">
        <f>'Hodnocení '!ES70</f>
        <v>0</v>
      </c>
      <c r="ET74" s="357">
        <f>'Hodnocení '!ET70</f>
        <v>0</v>
      </c>
      <c r="EU74" s="357">
        <f>'Hodnocení '!EU70</f>
        <v>0</v>
      </c>
      <c r="EV74" s="357">
        <f>'Hodnocení '!EV70</f>
        <v>0</v>
      </c>
      <c r="EW74" s="357">
        <f>'Hodnocení '!EW70</f>
        <v>0</v>
      </c>
      <c r="EX74" s="357">
        <f>'Hodnocení '!EX70</f>
        <v>0</v>
      </c>
      <c r="EY74" s="357">
        <f>'Hodnocení '!EY70</f>
        <v>0</v>
      </c>
      <c r="EZ74" s="357">
        <f>'Hodnocení '!EZ70</f>
        <v>0</v>
      </c>
      <c r="FA74" s="357">
        <f>'Hodnocení '!FA70</f>
        <v>0</v>
      </c>
      <c r="FB74" s="357">
        <f>'Hodnocení '!FB70</f>
        <v>0</v>
      </c>
      <c r="FC74" s="357">
        <f>'Hodnocení '!FC70</f>
        <v>0</v>
      </c>
      <c r="FD74" s="357">
        <f>'Hodnocení '!FD70</f>
        <v>0</v>
      </c>
      <c r="FE74" s="357">
        <f>'Hodnocení '!FE70</f>
        <v>0</v>
      </c>
      <c r="FF74" s="357">
        <f>'Hodnocení '!FF70</f>
        <v>0</v>
      </c>
      <c r="FG74" s="357">
        <f>'Hodnocení '!FG70</f>
        <v>0</v>
      </c>
      <c r="FH74" s="357">
        <f>'Hodnocení '!FH70</f>
        <v>0</v>
      </c>
      <c r="FI74" s="357">
        <f>'Hodnocení '!FI70</f>
        <v>0</v>
      </c>
      <c r="FJ74" s="357">
        <f>'Hodnocení '!FJ70</f>
        <v>0</v>
      </c>
      <c r="FK74" s="357">
        <f>'Hodnocení '!FK70</f>
        <v>0</v>
      </c>
      <c r="FL74" s="357">
        <f>'Hodnocení '!FL70</f>
        <v>0</v>
      </c>
      <c r="FM74" s="357">
        <f>'Hodnocení '!FM70</f>
        <v>0</v>
      </c>
      <c r="FN74" s="357">
        <f>'Hodnocení '!FN70</f>
        <v>0</v>
      </c>
      <c r="FO74" s="357">
        <f>'Hodnocení '!FO70</f>
        <v>0</v>
      </c>
      <c r="FP74" s="357">
        <f>'Hodnocení '!FP70</f>
        <v>0</v>
      </c>
      <c r="FQ74" s="357">
        <f>'Hodnocení '!FQ70</f>
        <v>0</v>
      </c>
      <c r="FR74" s="357">
        <f>'Hodnocení '!FR70</f>
        <v>0</v>
      </c>
      <c r="FS74" s="357">
        <f>'Hodnocení '!FS70</f>
        <v>0</v>
      </c>
      <c r="FT74" s="357">
        <f>'Hodnocení '!FT70</f>
        <v>0</v>
      </c>
      <c r="FU74" s="357">
        <f>'Hodnocení '!FU70</f>
        <v>0</v>
      </c>
      <c r="FV74" s="357">
        <f>'Hodnocení '!FV70</f>
        <v>0</v>
      </c>
      <c r="FW74" s="357">
        <f>'Hodnocení '!FW70</f>
        <v>0</v>
      </c>
      <c r="FX74" s="357">
        <f>'Hodnocení '!FX70</f>
        <v>0</v>
      </c>
      <c r="FY74" s="357">
        <f>'Hodnocení '!FY70</f>
        <v>0</v>
      </c>
      <c r="FZ74" s="357">
        <f>'Hodnocení '!FZ70</f>
        <v>0</v>
      </c>
      <c r="GA74" s="357">
        <f>'Hodnocení '!GA70</f>
        <v>0</v>
      </c>
      <c r="GB74" s="357">
        <f>'Hodnocení '!GB70</f>
        <v>0</v>
      </c>
      <c r="GC74" s="357">
        <f>'Hodnocení '!GC70</f>
        <v>0</v>
      </c>
      <c r="GD74" s="357">
        <f>'Hodnocení '!GD70</f>
        <v>0</v>
      </c>
      <c r="GE74" s="357">
        <f>'Hodnocení '!GE70</f>
        <v>0</v>
      </c>
      <c r="GF74" s="357">
        <f>'Hodnocení '!GF70</f>
        <v>0</v>
      </c>
      <c r="GG74" s="357">
        <f>'Hodnocení '!GG70</f>
        <v>0</v>
      </c>
      <c r="GH74" s="357">
        <f>'Hodnocení '!GH70</f>
        <v>0</v>
      </c>
      <c r="GI74" s="357">
        <f>'Hodnocení '!GI70</f>
        <v>0</v>
      </c>
      <c r="GJ74" s="357">
        <f>'Hodnocení '!GJ70</f>
        <v>0</v>
      </c>
      <c r="GK74" s="357">
        <f>'Hodnocení '!GK70</f>
        <v>0</v>
      </c>
      <c r="GL74" s="357">
        <f>'Hodnocení '!GL70</f>
        <v>0</v>
      </c>
      <c r="GM74" s="357">
        <f>'Hodnocení '!GM70</f>
        <v>0</v>
      </c>
      <c r="GN74" s="357">
        <f>'Hodnocení '!GN70</f>
        <v>0</v>
      </c>
      <c r="GO74" s="357">
        <f>'Hodnocení '!GO70</f>
        <v>0</v>
      </c>
      <c r="GP74" s="357">
        <f>'Hodnocení '!GP70</f>
        <v>0</v>
      </c>
      <c r="GQ74" s="357">
        <f>'Hodnocení '!GQ70</f>
        <v>0</v>
      </c>
      <c r="GR74" s="357">
        <f>'Hodnocení '!GR70</f>
        <v>0</v>
      </c>
      <c r="GS74" s="357">
        <f>'Hodnocení '!GS70</f>
        <v>0</v>
      </c>
      <c r="GT74" s="357">
        <f>'Hodnocení '!GT70</f>
        <v>0</v>
      </c>
      <c r="GU74" s="357">
        <f>'Hodnocení '!GU70</f>
        <v>0</v>
      </c>
      <c r="GV74" s="357">
        <f>'Hodnocení '!GV70</f>
        <v>0</v>
      </c>
      <c r="GW74" s="357">
        <f>'Hodnocení '!GW70</f>
        <v>0</v>
      </c>
      <c r="GX74" s="357">
        <f>'Hodnocení '!GX70</f>
        <v>0</v>
      </c>
      <c r="GY74" s="357">
        <f>'Hodnocení '!GY70</f>
        <v>0</v>
      </c>
      <c r="GZ74" s="357">
        <f>'Hodnocení '!GZ70</f>
        <v>0</v>
      </c>
      <c r="HA74" s="357">
        <f>'Hodnocení '!HA70</f>
        <v>0</v>
      </c>
      <c r="HB74" s="357">
        <f>'Hodnocení '!HB70</f>
        <v>0</v>
      </c>
      <c r="HC74" s="357">
        <f>'Hodnocení '!HC70</f>
        <v>0</v>
      </c>
      <c r="HD74" s="357">
        <f>'Hodnocení '!HD70</f>
        <v>0</v>
      </c>
      <c r="HE74" s="357">
        <f>'Hodnocení '!HE70</f>
        <v>0</v>
      </c>
      <c r="HF74" s="357">
        <f>'Hodnocení '!HF70</f>
        <v>0</v>
      </c>
      <c r="HG74" s="357">
        <f>'Hodnocení '!HG70</f>
        <v>0</v>
      </c>
      <c r="HH74" s="357">
        <f>'Hodnocení '!HH70</f>
        <v>0</v>
      </c>
      <c r="HI74" s="357">
        <f>'Hodnocení '!HI70</f>
        <v>0</v>
      </c>
      <c r="HJ74" s="357">
        <f>'Hodnocení '!HJ70</f>
        <v>0</v>
      </c>
      <c r="HK74" s="357">
        <f>'Hodnocení '!HK70</f>
        <v>0</v>
      </c>
      <c r="HL74" s="357">
        <f>'Hodnocení '!HL70</f>
        <v>0</v>
      </c>
      <c r="HM74" s="357">
        <f>'Hodnocení '!HM70</f>
        <v>0</v>
      </c>
      <c r="HN74" s="357">
        <f>'Hodnocení '!HN70</f>
        <v>0</v>
      </c>
      <c r="HO74" s="357">
        <f>'Hodnocení '!HO70</f>
        <v>0</v>
      </c>
      <c r="HP74" s="357">
        <f>'Hodnocení '!HP70</f>
        <v>0</v>
      </c>
      <c r="HQ74" s="357">
        <f>'Hodnocení '!HQ70</f>
        <v>0</v>
      </c>
      <c r="HR74" s="357">
        <f>'Hodnocení '!HR70</f>
        <v>0</v>
      </c>
      <c r="HS74" s="357">
        <f>'Hodnocení '!HS70</f>
        <v>0</v>
      </c>
      <c r="HT74" s="357">
        <f>'Hodnocení '!HT70</f>
        <v>0</v>
      </c>
      <c r="HU74" s="357">
        <f>'Hodnocení '!HU70</f>
        <v>0</v>
      </c>
      <c r="HV74" s="357">
        <f>'Hodnocení '!HV70</f>
        <v>0</v>
      </c>
      <c r="HW74" s="357">
        <f>'Hodnocení '!HW70</f>
        <v>0</v>
      </c>
      <c r="HX74" s="357">
        <f>'Hodnocení '!HX70</f>
        <v>0</v>
      </c>
      <c r="HY74" s="357">
        <f>'Hodnocení '!HY70</f>
        <v>0</v>
      </c>
      <c r="HZ74" s="357">
        <f>'Hodnocení '!HZ70</f>
        <v>0</v>
      </c>
      <c r="IA74" s="357">
        <f>'Hodnocení '!IA70</f>
        <v>0</v>
      </c>
      <c r="IB74" s="357">
        <f>'Hodnocení '!IB70</f>
        <v>0</v>
      </c>
      <c r="IC74" s="357">
        <f>'Hodnocení '!IC70</f>
        <v>0</v>
      </c>
      <c r="ID74" s="357">
        <f>'Hodnocení '!ID70</f>
        <v>0</v>
      </c>
      <c r="IE74" s="357">
        <f>'Hodnocení '!IE70</f>
        <v>0</v>
      </c>
      <c r="IF74" s="357">
        <f>'Hodnocení '!IF70</f>
        <v>0</v>
      </c>
      <c r="IG74" s="357">
        <f>'Hodnocení '!IG70</f>
        <v>0</v>
      </c>
      <c r="IH74" s="357">
        <f>'Hodnocení '!IH70</f>
        <v>0</v>
      </c>
      <c r="II74" s="357">
        <f>'Hodnocení '!II70</f>
        <v>0</v>
      </c>
      <c r="IJ74" s="357">
        <f>'Hodnocení '!IJ70</f>
        <v>0</v>
      </c>
      <c r="IK74" s="357">
        <f>'Hodnocení '!IK70</f>
        <v>0</v>
      </c>
      <c r="IL74" s="357">
        <f>'Hodnocení '!IL70</f>
        <v>0</v>
      </c>
      <c r="IM74" s="357">
        <f>'Hodnocení '!IM70</f>
        <v>0</v>
      </c>
      <c r="IN74" s="357">
        <f>'Hodnocení '!IN70</f>
        <v>0</v>
      </c>
      <c r="IO74" s="357">
        <f>'Hodnocení '!IO70</f>
        <v>0</v>
      </c>
      <c r="IP74" s="357">
        <f>'Hodnocení '!IP70</f>
        <v>0</v>
      </c>
      <c r="IQ74" s="357">
        <f>'Hodnocení '!IQ70</f>
        <v>0</v>
      </c>
      <c r="IR74" s="357">
        <f>'Hodnocení '!IR70</f>
        <v>0</v>
      </c>
      <c r="IS74" s="357">
        <f>'Hodnocení '!IS70</f>
        <v>0</v>
      </c>
      <c r="IT74" s="357">
        <f>'Hodnocení '!IT70</f>
        <v>0</v>
      </c>
      <c r="IU74" s="357">
        <f>'Hodnocení '!IU70</f>
        <v>0</v>
      </c>
      <c r="IV74" s="357">
        <f>'Hodnocení '!IV70</f>
        <v>0</v>
      </c>
      <c r="IW74" s="357">
        <f>'Hodnocení '!IW70</f>
        <v>0</v>
      </c>
      <c r="IX74" s="357">
        <f>'Hodnocení '!IX70</f>
        <v>0</v>
      </c>
      <c r="IY74" s="357">
        <f>'Hodnocení '!IY70</f>
        <v>0</v>
      </c>
      <c r="IZ74" s="357">
        <f>'Hodnocení '!IZ70</f>
        <v>0</v>
      </c>
      <c r="JA74" s="357">
        <f>'Hodnocení '!JA70</f>
        <v>0</v>
      </c>
      <c r="JB74" s="357">
        <f>'Hodnocení '!JB70</f>
        <v>0</v>
      </c>
      <c r="JC74" s="357">
        <f>'Hodnocení '!JC70</f>
        <v>0</v>
      </c>
      <c r="JD74" s="357">
        <f>'Hodnocení '!JD70</f>
        <v>0</v>
      </c>
      <c r="JE74" s="357">
        <f>'Hodnocení '!JE70</f>
        <v>0</v>
      </c>
      <c r="JF74" s="357">
        <f>'Hodnocení '!JF70</f>
        <v>0</v>
      </c>
      <c r="JG74" s="357">
        <f>'Hodnocení '!JG70</f>
        <v>0</v>
      </c>
      <c r="JH74" s="772">
        <f>'Hodnocení '!JH70</f>
        <v>0</v>
      </c>
      <c r="JI74" s="470">
        <f>'Hodnocení '!JI70</f>
        <v>0</v>
      </c>
      <c r="JL74" s="307"/>
      <c r="JM74" s="307"/>
      <c r="JN74" s="307"/>
      <c r="JO74" s="307"/>
      <c r="JP74" s="307"/>
    </row>
    <row r="75" spans="1:276" hidden="1" x14ac:dyDescent="0.25">
      <c r="A75" s="353"/>
      <c r="B75" s="733"/>
      <c r="C75" s="779">
        <f>'Hodnocení '!C71</f>
        <v>0</v>
      </c>
      <c r="D75" s="357">
        <f>'Hodnocení '!D71</f>
        <v>0</v>
      </c>
      <c r="E75" s="357">
        <f>'Hodnocení '!E71</f>
        <v>0</v>
      </c>
      <c r="F75" s="357">
        <f>'Hodnocení '!F71</f>
        <v>0</v>
      </c>
      <c r="G75" s="357">
        <f>'Hodnocení '!G71</f>
        <v>0</v>
      </c>
      <c r="H75" s="357">
        <f>'Hodnocení '!H71</f>
        <v>0</v>
      </c>
      <c r="I75" s="357">
        <f>'Hodnocení '!I71</f>
        <v>0</v>
      </c>
      <c r="J75" s="357">
        <f>'Hodnocení '!J71</f>
        <v>0</v>
      </c>
      <c r="K75" s="357">
        <f>'Hodnocení '!K71</f>
        <v>0</v>
      </c>
      <c r="L75" s="357">
        <f>'Hodnocení '!L71</f>
        <v>0</v>
      </c>
      <c r="M75" s="357">
        <f>'Hodnocení '!M71</f>
        <v>0</v>
      </c>
      <c r="N75" s="357">
        <f>'Hodnocení '!N71</f>
        <v>0</v>
      </c>
      <c r="O75" s="357">
        <f>'Hodnocení '!O71</f>
        <v>0</v>
      </c>
      <c r="P75" s="357">
        <f>'Hodnocení '!P71</f>
        <v>0</v>
      </c>
      <c r="Q75" s="357">
        <f>'Hodnocení '!Q71</f>
        <v>0</v>
      </c>
      <c r="R75" s="357">
        <f>'Hodnocení '!R71</f>
        <v>0</v>
      </c>
      <c r="S75" s="357">
        <f>'Hodnocení '!S71</f>
        <v>0</v>
      </c>
      <c r="T75" s="357">
        <f>'Hodnocení '!T71</f>
        <v>0</v>
      </c>
      <c r="U75" s="357">
        <f>'Hodnocení '!U71</f>
        <v>0</v>
      </c>
      <c r="V75" s="357">
        <f>'Hodnocení '!V71</f>
        <v>0</v>
      </c>
      <c r="W75" s="357">
        <f>'Hodnocení '!W71</f>
        <v>0</v>
      </c>
      <c r="X75" s="357">
        <f>'Hodnocení '!X71</f>
        <v>0</v>
      </c>
      <c r="Y75" s="357">
        <f>'Hodnocení '!Y71</f>
        <v>0</v>
      </c>
      <c r="Z75" s="357">
        <f>'Hodnocení '!Z71</f>
        <v>0</v>
      </c>
      <c r="AA75" s="357">
        <f>'Hodnocení '!AA71</f>
        <v>0</v>
      </c>
      <c r="AB75" s="357">
        <f>'Hodnocení '!AB71</f>
        <v>0</v>
      </c>
      <c r="AC75" s="357">
        <f>'Hodnocení '!AC71</f>
        <v>0</v>
      </c>
      <c r="AD75" s="357">
        <f>'Hodnocení '!AD71</f>
        <v>0</v>
      </c>
      <c r="AE75" s="357">
        <f>'Hodnocení '!AE71</f>
        <v>0</v>
      </c>
      <c r="AF75" s="357">
        <f>'Hodnocení '!AF71</f>
        <v>0</v>
      </c>
      <c r="AG75" s="357">
        <f>'Hodnocení '!AG71</f>
        <v>0</v>
      </c>
      <c r="AH75" s="357">
        <f>'Hodnocení '!AH71</f>
        <v>0</v>
      </c>
      <c r="AI75" s="357">
        <f>'Hodnocení '!AI71</f>
        <v>0</v>
      </c>
      <c r="AJ75" s="357">
        <f>'Hodnocení '!AJ71</f>
        <v>0</v>
      </c>
      <c r="AK75" s="357">
        <f>'Hodnocení '!AK71</f>
        <v>0</v>
      </c>
      <c r="AL75" s="357">
        <f>'Hodnocení '!AL71</f>
        <v>0</v>
      </c>
      <c r="AM75" s="357">
        <f>'Hodnocení '!AM71</f>
        <v>0</v>
      </c>
      <c r="AN75" s="357">
        <f>'Hodnocení '!AN71</f>
        <v>0</v>
      </c>
      <c r="AO75" s="357">
        <f>'Hodnocení '!AO71</f>
        <v>0</v>
      </c>
      <c r="AP75" s="357">
        <f>'Hodnocení '!AP71</f>
        <v>0</v>
      </c>
      <c r="AQ75" s="357">
        <f>'Hodnocení '!AQ71</f>
        <v>0</v>
      </c>
      <c r="AR75" s="357">
        <f>'Hodnocení '!AR71</f>
        <v>0</v>
      </c>
      <c r="AS75" s="357">
        <f>'Hodnocení '!AS71</f>
        <v>0</v>
      </c>
      <c r="AT75" s="357">
        <f>'Hodnocení '!AT71</f>
        <v>0</v>
      </c>
      <c r="AU75" s="357">
        <f>'Hodnocení '!AU71</f>
        <v>0</v>
      </c>
      <c r="AV75" s="357">
        <f>'Hodnocení '!AV71</f>
        <v>0</v>
      </c>
      <c r="AW75" s="357">
        <f>'Hodnocení '!AW71</f>
        <v>0</v>
      </c>
      <c r="AX75" s="357">
        <f>'Hodnocení '!AX71</f>
        <v>0</v>
      </c>
      <c r="AY75" s="357">
        <f>'Hodnocení '!AY71</f>
        <v>0</v>
      </c>
      <c r="AZ75" s="357">
        <f>'Hodnocení '!AZ71</f>
        <v>0</v>
      </c>
      <c r="BA75" s="357">
        <f>'Hodnocení '!BA71</f>
        <v>0</v>
      </c>
      <c r="BB75" s="357">
        <f>'Hodnocení '!BB71</f>
        <v>0</v>
      </c>
      <c r="BC75" s="357">
        <f>'Hodnocení '!BC71</f>
        <v>0</v>
      </c>
      <c r="BD75" s="357">
        <f>'Hodnocení '!BD71</f>
        <v>0</v>
      </c>
      <c r="BE75" s="357">
        <f>'Hodnocení '!BE71</f>
        <v>0</v>
      </c>
      <c r="BF75" s="357">
        <f>'Hodnocení '!BF71</f>
        <v>0</v>
      </c>
      <c r="BG75" s="357">
        <f>'Hodnocení '!BG71</f>
        <v>0</v>
      </c>
      <c r="BH75" s="357">
        <f>'Hodnocení '!BH71</f>
        <v>0</v>
      </c>
      <c r="BI75" s="357">
        <f>'Hodnocení '!BI71</f>
        <v>0</v>
      </c>
      <c r="BJ75" s="357">
        <f>'Hodnocení '!BJ71</f>
        <v>0</v>
      </c>
      <c r="BK75" s="357">
        <f>'Hodnocení '!BK71</f>
        <v>0</v>
      </c>
      <c r="BL75" s="357">
        <f>'Hodnocení '!BL71</f>
        <v>0</v>
      </c>
      <c r="BM75" s="357">
        <f>'Hodnocení '!BM71</f>
        <v>0</v>
      </c>
      <c r="BN75" s="357">
        <f>'Hodnocení '!BN71</f>
        <v>0</v>
      </c>
      <c r="BO75" s="357">
        <f>'Hodnocení '!BO71</f>
        <v>0</v>
      </c>
      <c r="BP75" s="357">
        <f>'Hodnocení '!BP71</f>
        <v>0</v>
      </c>
      <c r="BQ75" s="357">
        <f>'Hodnocení '!BQ71</f>
        <v>0</v>
      </c>
      <c r="BR75" s="357">
        <f>'Hodnocení '!BR71</f>
        <v>0</v>
      </c>
      <c r="BS75" s="357">
        <f>'Hodnocení '!BS71</f>
        <v>0</v>
      </c>
      <c r="BT75" s="357">
        <f>'Hodnocení '!BT71</f>
        <v>0</v>
      </c>
      <c r="BU75" s="357">
        <f>'Hodnocení '!BU71</f>
        <v>0</v>
      </c>
      <c r="BV75" s="357">
        <f>'Hodnocení '!BV71</f>
        <v>0</v>
      </c>
      <c r="BW75" s="357">
        <f>'Hodnocení '!BW71</f>
        <v>0</v>
      </c>
      <c r="BX75" s="357">
        <f>'Hodnocení '!BX71</f>
        <v>0</v>
      </c>
      <c r="BY75" s="357">
        <f>'Hodnocení '!BY71</f>
        <v>0</v>
      </c>
      <c r="BZ75" s="357">
        <f>'Hodnocení '!BZ71</f>
        <v>0</v>
      </c>
      <c r="CA75" s="357">
        <f>'Hodnocení '!CA71</f>
        <v>0</v>
      </c>
      <c r="CB75" s="357">
        <f>'Hodnocení '!CB71</f>
        <v>0</v>
      </c>
      <c r="CC75" s="357">
        <f>'Hodnocení '!CC71</f>
        <v>0</v>
      </c>
      <c r="CD75" s="357">
        <f>'Hodnocení '!CD71</f>
        <v>0</v>
      </c>
      <c r="CE75" s="357">
        <f>'Hodnocení '!CE71</f>
        <v>0</v>
      </c>
      <c r="CF75" s="357">
        <f>'Hodnocení '!CF71</f>
        <v>0</v>
      </c>
      <c r="CG75" s="357">
        <f>'Hodnocení '!CG71</f>
        <v>0</v>
      </c>
      <c r="CH75" s="357">
        <f>'Hodnocení '!CH71</f>
        <v>0</v>
      </c>
      <c r="CI75" s="357">
        <f>'Hodnocení '!CI71</f>
        <v>0</v>
      </c>
      <c r="CJ75" s="357">
        <f>'Hodnocení '!CJ71</f>
        <v>0</v>
      </c>
      <c r="CK75" s="357">
        <f>'Hodnocení '!CK71</f>
        <v>0</v>
      </c>
      <c r="CL75" s="357">
        <f>'Hodnocení '!CL71</f>
        <v>0</v>
      </c>
      <c r="CM75" s="357">
        <f>'Hodnocení '!CM71</f>
        <v>0</v>
      </c>
      <c r="CN75" s="357">
        <f>'Hodnocení '!CN71</f>
        <v>0</v>
      </c>
      <c r="CO75" s="357">
        <f>'Hodnocení '!CO71</f>
        <v>0</v>
      </c>
      <c r="CP75" s="357">
        <f>'Hodnocení '!CP71</f>
        <v>0</v>
      </c>
      <c r="CQ75" s="357">
        <f>'Hodnocení '!CQ71</f>
        <v>0</v>
      </c>
      <c r="CR75" s="357">
        <f>'Hodnocení '!CR71</f>
        <v>0</v>
      </c>
      <c r="CS75" s="357">
        <f>'Hodnocení '!CS71</f>
        <v>0</v>
      </c>
      <c r="CT75" s="357">
        <f>'Hodnocení '!CT71</f>
        <v>0</v>
      </c>
      <c r="CU75" s="357">
        <f>'Hodnocení '!CU71</f>
        <v>0</v>
      </c>
      <c r="CV75" s="357">
        <f>'Hodnocení '!CV71</f>
        <v>0</v>
      </c>
      <c r="CW75" s="357">
        <f>'Hodnocení '!CW71</f>
        <v>0</v>
      </c>
      <c r="CX75" s="357">
        <f>'Hodnocení '!CX71</f>
        <v>0</v>
      </c>
      <c r="CY75" s="357">
        <f>'Hodnocení '!CY71</f>
        <v>0</v>
      </c>
      <c r="CZ75" s="357">
        <f>'Hodnocení '!CZ71</f>
        <v>0</v>
      </c>
      <c r="DA75" s="357">
        <f>'Hodnocení '!DA71</f>
        <v>0</v>
      </c>
      <c r="DB75" s="357">
        <f>'Hodnocení '!DB71</f>
        <v>0</v>
      </c>
      <c r="DC75" s="357">
        <f>'Hodnocení '!DC71</f>
        <v>0</v>
      </c>
      <c r="DD75" s="357">
        <f>'Hodnocení '!DD71</f>
        <v>0</v>
      </c>
      <c r="DE75" s="357">
        <f>'Hodnocení '!DE71</f>
        <v>0</v>
      </c>
      <c r="DF75" s="357">
        <f>'Hodnocení '!DF71</f>
        <v>0</v>
      </c>
      <c r="DG75" s="357">
        <f>'Hodnocení '!DG71</f>
        <v>0</v>
      </c>
      <c r="DH75" s="357">
        <f>'Hodnocení '!DH71</f>
        <v>0</v>
      </c>
      <c r="DI75" s="357">
        <f>'Hodnocení '!DI71</f>
        <v>0</v>
      </c>
      <c r="DJ75" s="357">
        <f>'Hodnocení '!DJ71</f>
        <v>0</v>
      </c>
      <c r="DK75" s="357">
        <f>'Hodnocení '!DK71</f>
        <v>0</v>
      </c>
      <c r="DL75" s="357">
        <f>'Hodnocení '!DL71</f>
        <v>0</v>
      </c>
      <c r="DM75" s="357">
        <f>'Hodnocení '!DM71</f>
        <v>0</v>
      </c>
      <c r="DN75" s="357">
        <f>'Hodnocení '!DN71</f>
        <v>0</v>
      </c>
      <c r="DO75" s="357">
        <f>'Hodnocení '!DO71</f>
        <v>0</v>
      </c>
      <c r="DP75" s="357">
        <f>'Hodnocení '!DP71</f>
        <v>0</v>
      </c>
      <c r="DQ75" s="357">
        <f>'Hodnocení '!DQ71</f>
        <v>0</v>
      </c>
      <c r="DR75" s="357">
        <f>'Hodnocení '!DR71</f>
        <v>0</v>
      </c>
      <c r="DS75" s="357">
        <f>'Hodnocení '!DS71</f>
        <v>0</v>
      </c>
      <c r="DT75" s="357">
        <f>'Hodnocení '!DT71</f>
        <v>0</v>
      </c>
      <c r="DU75" s="357">
        <f>'Hodnocení '!DU71</f>
        <v>0</v>
      </c>
      <c r="DV75" s="357">
        <f>'Hodnocení '!DV71</f>
        <v>0</v>
      </c>
      <c r="DW75" s="357">
        <f>'Hodnocení '!DW71</f>
        <v>0</v>
      </c>
      <c r="DX75" s="357">
        <f>'Hodnocení '!DX71</f>
        <v>0</v>
      </c>
      <c r="DY75" s="357">
        <f>'Hodnocení '!DY71</f>
        <v>0</v>
      </c>
      <c r="DZ75" s="357">
        <f>'Hodnocení '!DZ71</f>
        <v>0</v>
      </c>
      <c r="EA75" s="357">
        <f>'Hodnocení '!EA71</f>
        <v>0</v>
      </c>
      <c r="EB75" s="357">
        <f>'Hodnocení '!EB71</f>
        <v>0</v>
      </c>
      <c r="EC75" s="357">
        <f>'Hodnocení '!EC71</f>
        <v>0</v>
      </c>
      <c r="ED75" s="357">
        <f>'Hodnocení '!ED71</f>
        <v>0</v>
      </c>
      <c r="EE75" s="357">
        <f>'Hodnocení '!EE71</f>
        <v>0</v>
      </c>
      <c r="EF75" s="357">
        <f>'Hodnocení '!EF71</f>
        <v>0</v>
      </c>
      <c r="EG75" s="357">
        <f>'Hodnocení '!EG71</f>
        <v>0</v>
      </c>
      <c r="EH75" s="357">
        <f>'Hodnocení '!EH71</f>
        <v>0</v>
      </c>
      <c r="EI75" s="357">
        <f>'Hodnocení '!EI71</f>
        <v>0</v>
      </c>
      <c r="EJ75" s="357">
        <f>'Hodnocení '!EJ71</f>
        <v>0</v>
      </c>
      <c r="EK75" s="357">
        <f>'Hodnocení '!EK71</f>
        <v>0</v>
      </c>
      <c r="EL75" s="357">
        <f>'Hodnocení '!EL71</f>
        <v>0</v>
      </c>
      <c r="EM75" s="357">
        <f>'Hodnocení '!EM71</f>
        <v>0</v>
      </c>
      <c r="EN75" s="357">
        <f>'Hodnocení '!EN71</f>
        <v>0</v>
      </c>
      <c r="EO75" s="357">
        <f>'Hodnocení '!EO71</f>
        <v>0</v>
      </c>
      <c r="EP75" s="357">
        <f>'Hodnocení '!EP71</f>
        <v>0</v>
      </c>
      <c r="EQ75" s="357">
        <f>'Hodnocení '!EQ71</f>
        <v>0</v>
      </c>
      <c r="ER75" s="357">
        <f>'Hodnocení '!ER71</f>
        <v>0</v>
      </c>
      <c r="ES75" s="357">
        <f>'Hodnocení '!ES71</f>
        <v>0</v>
      </c>
      <c r="ET75" s="357">
        <f>'Hodnocení '!ET71</f>
        <v>0</v>
      </c>
      <c r="EU75" s="357">
        <f>'Hodnocení '!EU71</f>
        <v>0</v>
      </c>
      <c r="EV75" s="357">
        <f>'Hodnocení '!EV71</f>
        <v>0</v>
      </c>
      <c r="EW75" s="357">
        <f>'Hodnocení '!EW71</f>
        <v>0</v>
      </c>
      <c r="EX75" s="357">
        <f>'Hodnocení '!EX71</f>
        <v>0</v>
      </c>
      <c r="EY75" s="357">
        <f>'Hodnocení '!EY71</f>
        <v>0</v>
      </c>
      <c r="EZ75" s="357">
        <f>'Hodnocení '!EZ71</f>
        <v>0</v>
      </c>
      <c r="FA75" s="357">
        <f>'Hodnocení '!FA71</f>
        <v>0</v>
      </c>
      <c r="FB75" s="357">
        <f>'Hodnocení '!FB71</f>
        <v>0</v>
      </c>
      <c r="FC75" s="357">
        <f>'Hodnocení '!FC71</f>
        <v>0</v>
      </c>
      <c r="FD75" s="357">
        <f>'Hodnocení '!FD71</f>
        <v>0</v>
      </c>
      <c r="FE75" s="357">
        <f>'Hodnocení '!FE71</f>
        <v>0</v>
      </c>
      <c r="FF75" s="357">
        <f>'Hodnocení '!FF71</f>
        <v>0</v>
      </c>
      <c r="FG75" s="357">
        <f>'Hodnocení '!FG71</f>
        <v>0</v>
      </c>
      <c r="FH75" s="357">
        <f>'Hodnocení '!FH71</f>
        <v>0</v>
      </c>
      <c r="FI75" s="357">
        <f>'Hodnocení '!FI71</f>
        <v>0</v>
      </c>
      <c r="FJ75" s="357">
        <f>'Hodnocení '!FJ71</f>
        <v>0</v>
      </c>
      <c r="FK75" s="357">
        <f>'Hodnocení '!FK71</f>
        <v>0</v>
      </c>
      <c r="FL75" s="357">
        <f>'Hodnocení '!FL71</f>
        <v>0</v>
      </c>
      <c r="FM75" s="357">
        <f>'Hodnocení '!FM71</f>
        <v>0</v>
      </c>
      <c r="FN75" s="357">
        <f>'Hodnocení '!FN71</f>
        <v>0</v>
      </c>
      <c r="FO75" s="357">
        <f>'Hodnocení '!FO71</f>
        <v>0</v>
      </c>
      <c r="FP75" s="357">
        <f>'Hodnocení '!FP71</f>
        <v>0</v>
      </c>
      <c r="FQ75" s="357">
        <f>'Hodnocení '!FQ71</f>
        <v>0</v>
      </c>
      <c r="FR75" s="357">
        <f>'Hodnocení '!FR71</f>
        <v>0</v>
      </c>
      <c r="FS75" s="357">
        <f>'Hodnocení '!FS71</f>
        <v>0</v>
      </c>
      <c r="FT75" s="357">
        <f>'Hodnocení '!FT71</f>
        <v>0</v>
      </c>
      <c r="FU75" s="357">
        <f>'Hodnocení '!FU71</f>
        <v>0</v>
      </c>
      <c r="FV75" s="357">
        <f>'Hodnocení '!FV71</f>
        <v>0</v>
      </c>
      <c r="FW75" s="357">
        <f>'Hodnocení '!FW71</f>
        <v>0</v>
      </c>
      <c r="FX75" s="357">
        <f>'Hodnocení '!FX71</f>
        <v>0</v>
      </c>
      <c r="FY75" s="357">
        <f>'Hodnocení '!FY71</f>
        <v>0</v>
      </c>
      <c r="FZ75" s="357">
        <f>'Hodnocení '!FZ71</f>
        <v>0</v>
      </c>
      <c r="GA75" s="357">
        <f>'Hodnocení '!GA71</f>
        <v>0</v>
      </c>
      <c r="GB75" s="357">
        <f>'Hodnocení '!GB71</f>
        <v>0</v>
      </c>
      <c r="GC75" s="357">
        <f>'Hodnocení '!GC71</f>
        <v>0</v>
      </c>
      <c r="GD75" s="357">
        <f>'Hodnocení '!GD71</f>
        <v>0</v>
      </c>
      <c r="GE75" s="357">
        <f>'Hodnocení '!GE71</f>
        <v>0</v>
      </c>
      <c r="GF75" s="357">
        <f>'Hodnocení '!GF71</f>
        <v>0</v>
      </c>
      <c r="GG75" s="357">
        <f>'Hodnocení '!GG71</f>
        <v>0</v>
      </c>
      <c r="GH75" s="357">
        <f>'Hodnocení '!GH71</f>
        <v>0</v>
      </c>
      <c r="GI75" s="357">
        <f>'Hodnocení '!GI71</f>
        <v>0</v>
      </c>
      <c r="GJ75" s="357">
        <f>'Hodnocení '!GJ71</f>
        <v>0</v>
      </c>
      <c r="GK75" s="357">
        <f>'Hodnocení '!GK71</f>
        <v>0</v>
      </c>
      <c r="GL75" s="357">
        <f>'Hodnocení '!GL71</f>
        <v>0</v>
      </c>
      <c r="GM75" s="357">
        <f>'Hodnocení '!GM71</f>
        <v>0</v>
      </c>
      <c r="GN75" s="357">
        <f>'Hodnocení '!GN71</f>
        <v>0</v>
      </c>
      <c r="GO75" s="357">
        <f>'Hodnocení '!GO71</f>
        <v>0</v>
      </c>
      <c r="GP75" s="357">
        <f>'Hodnocení '!GP71</f>
        <v>0</v>
      </c>
      <c r="GQ75" s="357">
        <f>'Hodnocení '!GQ71</f>
        <v>0</v>
      </c>
      <c r="GR75" s="357">
        <f>'Hodnocení '!GR71</f>
        <v>0</v>
      </c>
      <c r="GS75" s="357">
        <f>'Hodnocení '!GS71</f>
        <v>0</v>
      </c>
      <c r="GT75" s="357">
        <f>'Hodnocení '!GT71</f>
        <v>0</v>
      </c>
      <c r="GU75" s="357">
        <f>'Hodnocení '!GU71</f>
        <v>0</v>
      </c>
      <c r="GV75" s="357">
        <f>'Hodnocení '!GV71</f>
        <v>0</v>
      </c>
      <c r="GW75" s="357">
        <f>'Hodnocení '!GW71</f>
        <v>0</v>
      </c>
      <c r="GX75" s="357">
        <f>'Hodnocení '!GX71</f>
        <v>0</v>
      </c>
      <c r="GY75" s="357">
        <f>'Hodnocení '!GY71</f>
        <v>0</v>
      </c>
      <c r="GZ75" s="357">
        <f>'Hodnocení '!GZ71</f>
        <v>0</v>
      </c>
      <c r="HA75" s="357">
        <f>'Hodnocení '!HA71</f>
        <v>0</v>
      </c>
      <c r="HB75" s="357">
        <f>'Hodnocení '!HB71</f>
        <v>0</v>
      </c>
      <c r="HC75" s="357">
        <f>'Hodnocení '!HC71</f>
        <v>0</v>
      </c>
      <c r="HD75" s="357">
        <f>'Hodnocení '!HD71</f>
        <v>0</v>
      </c>
      <c r="HE75" s="357">
        <f>'Hodnocení '!HE71</f>
        <v>0</v>
      </c>
      <c r="HF75" s="357">
        <f>'Hodnocení '!HF71</f>
        <v>0</v>
      </c>
      <c r="HG75" s="357">
        <f>'Hodnocení '!HG71</f>
        <v>0</v>
      </c>
      <c r="HH75" s="357">
        <f>'Hodnocení '!HH71</f>
        <v>0</v>
      </c>
      <c r="HI75" s="357">
        <f>'Hodnocení '!HI71</f>
        <v>0</v>
      </c>
      <c r="HJ75" s="357">
        <f>'Hodnocení '!HJ71</f>
        <v>0</v>
      </c>
      <c r="HK75" s="357">
        <f>'Hodnocení '!HK71</f>
        <v>0</v>
      </c>
      <c r="HL75" s="357">
        <f>'Hodnocení '!HL71</f>
        <v>0</v>
      </c>
      <c r="HM75" s="357">
        <f>'Hodnocení '!HM71</f>
        <v>0</v>
      </c>
      <c r="HN75" s="357">
        <f>'Hodnocení '!HN71</f>
        <v>0</v>
      </c>
      <c r="HO75" s="357">
        <f>'Hodnocení '!HO71</f>
        <v>0</v>
      </c>
      <c r="HP75" s="357">
        <f>'Hodnocení '!HP71</f>
        <v>0</v>
      </c>
      <c r="HQ75" s="357">
        <f>'Hodnocení '!HQ71</f>
        <v>0</v>
      </c>
      <c r="HR75" s="357">
        <f>'Hodnocení '!HR71</f>
        <v>0</v>
      </c>
      <c r="HS75" s="357">
        <f>'Hodnocení '!HS71</f>
        <v>0</v>
      </c>
      <c r="HT75" s="357">
        <f>'Hodnocení '!HT71</f>
        <v>0</v>
      </c>
      <c r="HU75" s="357">
        <f>'Hodnocení '!HU71</f>
        <v>0</v>
      </c>
      <c r="HV75" s="357">
        <f>'Hodnocení '!HV71</f>
        <v>0</v>
      </c>
      <c r="HW75" s="357">
        <f>'Hodnocení '!HW71</f>
        <v>0</v>
      </c>
      <c r="HX75" s="357">
        <f>'Hodnocení '!HX71</f>
        <v>0</v>
      </c>
      <c r="HY75" s="357">
        <f>'Hodnocení '!HY71</f>
        <v>0</v>
      </c>
      <c r="HZ75" s="357">
        <f>'Hodnocení '!HZ71</f>
        <v>0</v>
      </c>
      <c r="IA75" s="357">
        <f>'Hodnocení '!IA71</f>
        <v>0</v>
      </c>
      <c r="IB75" s="357">
        <f>'Hodnocení '!IB71</f>
        <v>0</v>
      </c>
      <c r="IC75" s="357">
        <f>'Hodnocení '!IC71</f>
        <v>0</v>
      </c>
      <c r="ID75" s="357">
        <f>'Hodnocení '!ID71</f>
        <v>0</v>
      </c>
      <c r="IE75" s="357">
        <f>'Hodnocení '!IE71</f>
        <v>0</v>
      </c>
      <c r="IF75" s="357">
        <f>'Hodnocení '!IF71</f>
        <v>0</v>
      </c>
      <c r="IG75" s="357">
        <f>'Hodnocení '!IG71</f>
        <v>0</v>
      </c>
      <c r="IH75" s="357">
        <f>'Hodnocení '!IH71</f>
        <v>0</v>
      </c>
      <c r="II75" s="357">
        <f>'Hodnocení '!II71</f>
        <v>0</v>
      </c>
      <c r="IJ75" s="357">
        <f>'Hodnocení '!IJ71</f>
        <v>0</v>
      </c>
      <c r="IK75" s="357">
        <f>'Hodnocení '!IK71</f>
        <v>0</v>
      </c>
      <c r="IL75" s="357">
        <f>'Hodnocení '!IL71</f>
        <v>0</v>
      </c>
      <c r="IM75" s="357">
        <f>'Hodnocení '!IM71</f>
        <v>0</v>
      </c>
      <c r="IN75" s="357">
        <f>'Hodnocení '!IN71</f>
        <v>0</v>
      </c>
      <c r="IO75" s="357">
        <f>'Hodnocení '!IO71</f>
        <v>0</v>
      </c>
      <c r="IP75" s="357">
        <f>'Hodnocení '!IP71</f>
        <v>0</v>
      </c>
      <c r="IQ75" s="357">
        <f>'Hodnocení '!IQ71</f>
        <v>0</v>
      </c>
      <c r="IR75" s="357">
        <f>'Hodnocení '!IR71</f>
        <v>0</v>
      </c>
      <c r="IS75" s="357">
        <f>'Hodnocení '!IS71</f>
        <v>0</v>
      </c>
      <c r="IT75" s="357">
        <f>'Hodnocení '!IT71</f>
        <v>0</v>
      </c>
      <c r="IU75" s="357">
        <f>'Hodnocení '!IU71</f>
        <v>0</v>
      </c>
      <c r="IV75" s="357">
        <f>'Hodnocení '!IV71</f>
        <v>0</v>
      </c>
      <c r="IW75" s="357">
        <f>'Hodnocení '!IW71</f>
        <v>0</v>
      </c>
      <c r="IX75" s="357">
        <f>'Hodnocení '!IX71</f>
        <v>0</v>
      </c>
      <c r="IY75" s="357">
        <f>'Hodnocení '!IY71</f>
        <v>0</v>
      </c>
      <c r="IZ75" s="357">
        <f>'Hodnocení '!IZ71</f>
        <v>0</v>
      </c>
      <c r="JA75" s="357">
        <f>'Hodnocení '!JA71</f>
        <v>0</v>
      </c>
      <c r="JB75" s="357">
        <f>'Hodnocení '!JB71</f>
        <v>0</v>
      </c>
      <c r="JC75" s="357">
        <f>'Hodnocení '!JC71</f>
        <v>0</v>
      </c>
      <c r="JD75" s="357">
        <f>'Hodnocení '!JD71</f>
        <v>0</v>
      </c>
      <c r="JE75" s="357">
        <f>'Hodnocení '!JE71</f>
        <v>0</v>
      </c>
      <c r="JF75" s="357">
        <f>'Hodnocení '!JF71</f>
        <v>0</v>
      </c>
      <c r="JG75" s="357">
        <f>'Hodnocení '!JG71</f>
        <v>0</v>
      </c>
      <c r="JH75" s="772">
        <f>'Hodnocení '!JH71</f>
        <v>0</v>
      </c>
      <c r="JI75" s="470">
        <f>'Hodnocení '!JI71</f>
        <v>0</v>
      </c>
      <c r="JL75" s="307"/>
      <c r="JM75" s="307"/>
      <c r="JN75" s="307"/>
      <c r="JO75" s="307"/>
      <c r="JP75" s="307"/>
    </row>
    <row r="76" spans="1:276" hidden="1" x14ac:dyDescent="0.25">
      <c r="A76" s="353"/>
      <c r="B76" s="733"/>
      <c r="C76" s="779">
        <f>'Hodnocení '!C72</f>
        <v>0</v>
      </c>
      <c r="D76" s="357">
        <f>'Hodnocení '!D72</f>
        <v>0</v>
      </c>
      <c r="E76" s="357">
        <f>'Hodnocení '!E72</f>
        <v>0</v>
      </c>
      <c r="F76" s="357">
        <f>'Hodnocení '!F72</f>
        <v>0</v>
      </c>
      <c r="G76" s="357">
        <f>'Hodnocení '!G72</f>
        <v>0</v>
      </c>
      <c r="H76" s="357">
        <f>'Hodnocení '!H72</f>
        <v>0</v>
      </c>
      <c r="I76" s="357">
        <f>'Hodnocení '!I72</f>
        <v>0</v>
      </c>
      <c r="J76" s="357">
        <f>'Hodnocení '!J72</f>
        <v>0</v>
      </c>
      <c r="K76" s="357">
        <f>'Hodnocení '!K72</f>
        <v>0</v>
      </c>
      <c r="L76" s="357">
        <f>'Hodnocení '!L72</f>
        <v>0</v>
      </c>
      <c r="M76" s="357">
        <f>'Hodnocení '!M72</f>
        <v>0</v>
      </c>
      <c r="N76" s="357">
        <f>'Hodnocení '!N72</f>
        <v>0</v>
      </c>
      <c r="O76" s="357">
        <f>'Hodnocení '!O72</f>
        <v>0</v>
      </c>
      <c r="P76" s="357">
        <f>'Hodnocení '!P72</f>
        <v>0</v>
      </c>
      <c r="Q76" s="357">
        <f>'Hodnocení '!Q72</f>
        <v>0</v>
      </c>
      <c r="R76" s="357">
        <f>'Hodnocení '!R72</f>
        <v>0</v>
      </c>
      <c r="S76" s="357">
        <f>'Hodnocení '!S72</f>
        <v>0</v>
      </c>
      <c r="T76" s="357">
        <f>'Hodnocení '!T72</f>
        <v>0</v>
      </c>
      <c r="U76" s="357">
        <f>'Hodnocení '!U72</f>
        <v>0</v>
      </c>
      <c r="V76" s="357">
        <f>'Hodnocení '!V72</f>
        <v>0</v>
      </c>
      <c r="W76" s="357">
        <f>'Hodnocení '!W72</f>
        <v>0</v>
      </c>
      <c r="X76" s="357">
        <f>'Hodnocení '!X72</f>
        <v>0</v>
      </c>
      <c r="Y76" s="357">
        <f>'Hodnocení '!Y72</f>
        <v>0</v>
      </c>
      <c r="Z76" s="357">
        <f>'Hodnocení '!Z72</f>
        <v>0</v>
      </c>
      <c r="AA76" s="357">
        <f>'Hodnocení '!AA72</f>
        <v>0</v>
      </c>
      <c r="AB76" s="357">
        <f>'Hodnocení '!AB72</f>
        <v>0</v>
      </c>
      <c r="AC76" s="357">
        <f>'Hodnocení '!AC72</f>
        <v>0</v>
      </c>
      <c r="AD76" s="357">
        <f>'Hodnocení '!AD72</f>
        <v>0</v>
      </c>
      <c r="AE76" s="357">
        <f>'Hodnocení '!AE72</f>
        <v>0</v>
      </c>
      <c r="AF76" s="357">
        <f>'Hodnocení '!AF72</f>
        <v>0</v>
      </c>
      <c r="AG76" s="357">
        <f>'Hodnocení '!AG72</f>
        <v>0</v>
      </c>
      <c r="AH76" s="357">
        <f>'Hodnocení '!AH72</f>
        <v>0</v>
      </c>
      <c r="AI76" s="357">
        <f>'Hodnocení '!AI72</f>
        <v>0</v>
      </c>
      <c r="AJ76" s="357">
        <f>'Hodnocení '!AJ72</f>
        <v>0</v>
      </c>
      <c r="AK76" s="357">
        <f>'Hodnocení '!AK72</f>
        <v>0</v>
      </c>
      <c r="AL76" s="357">
        <f>'Hodnocení '!AL72</f>
        <v>0</v>
      </c>
      <c r="AM76" s="357">
        <f>'Hodnocení '!AM72</f>
        <v>0</v>
      </c>
      <c r="AN76" s="357">
        <f>'Hodnocení '!AN72</f>
        <v>0</v>
      </c>
      <c r="AO76" s="357">
        <f>'Hodnocení '!AO72</f>
        <v>0</v>
      </c>
      <c r="AP76" s="357">
        <f>'Hodnocení '!AP72</f>
        <v>0</v>
      </c>
      <c r="AQ76" s="357">
        <f>'Hodnocení '!AQ72</f>
        <v>0</v>
      </c>
      <c r="AR76" s="357">
        <f>'Hodnocení '!AR72</f>
        <v>0</v>
      </c>
      <c r="AS76" s="357">
        <f>'Hodnocení '!AS72</f>
        <v>0</v>
      </c>
      <c r="AT76" s="357">
        <f>'Hodnocení '!AT72</f>
        <v>0</v>
      </c>
      <c r="AU76" s="357">
        <f>'Hodnocení '!AU72</f>
        <v>0</v>
      </c>
      <c r="AV76" s="357">
        <f>'Hodnocení '!AV72</f>
        <v>0</v>
      </c>
      <c r="AW76" s="357">
        <f>'Hodnocení '!AW72</f>
        <v>0</v>
      </c>
      <c r="AX76" s="357">
        <f>'Hodnocení '!AX72</f>
        <v>0</v>
      </c>
      <c r="AY76" s="357">
        <f>'Hodnocení '!AY72</f>
        <v>0</v>
      </c>
      <c r="AZ76" s="357">
        <f>'Hodnocení '!AZ72</f>
        <v>0</v>
      </c>
      <c r="BA76" s="357">
        <f>'Hodnocení '!BA72</f>
        <v>0</v>
      </c>
      <c r="BB76" s="357">
        <f>'Hodnocení '!BB72</f>
        <v>0</v>
      </c>
      <c r="BC76" s="357">
        <f>'Hodnocení '!BC72</f>
        <v>0</v>
      </c>
      <c r="BD76" s="357">
        <f>'Hodnocení '!BD72</f>
        <v>0</v>
      </c>
      <c r="BE76" s="357">
        <f>'Hodnocení '!BE72</f>
        <v>0</v>
      </c>
      <c r="BF76" s="357">
        <f>'Hodnocení '!BF72</f>
        <v>0</v>
      </c>
      <c r="BG76" s="357">
        <f>'Hodnocení '!BG72</f>
        <v>0</v>
      </c>
      <c r="BH76" s="357">
        <f>'Hodnocení '!BH72</f>
        <v>0</v>
      </c>
      <c r="BI76" s="357">
        <f>'Hodnocení '!BI72</f>
        <v>0</v>
      </c>
      <c r="BJ76" s="357">
        <f>'Hodnocení '!BJ72</f>
        <v>0</v>
      </c>
      <c r="BK76" s="357">
        <f>'Hodnocení '!BK72</f>
        <v>0</v>
      </c>
      <c r="BL76" s="357">
        <f>'Hodnocení '!BL72</f>
        <v>0</v>
      </c>
      <c r="BM76" s="357">
        <f>'Hodnocení '!BM72</f>
        <v>0</v>
      </c>
      <c r="BN76" s="357">
        <f>'Hodnocení '!BN72</f>
        <v>0</v>
      </c>
      <c r="BO76" s="357">
        <f>'Hodnocení '!BO72</f>
        <v>0</v>
      </c>
      <c r="BP76" s="357">
        <f>'Hodnocení '!BP72</f>
        <v>0</v>
      </c>
      <c r="BQ76" s="357">
        <f>'Hodnocení '!BQ72</f>
        <v>0</v>
      </c>
      <c r="BR76" s="357">
        <f>'Hodnocení '!BR72</f>
        <v>0</v>
      </c>
      <c r="BS76" s="357">
        <f>'Hodnocení '!BS72</f>
        <v>0</v>
      </c>
      <c r="BT76" s="357">
        <f>'Hodnocení '!BT72</f>
        <v>0</v>
      </c>
      <c r="BU76" s="357">
        <f>'Hodnocení '!BU72</f>
        <v>0</v>
      </c>
      <c r="BV76" s="357">
        <f>'Hodnocení '!BV72</f>
        <v>0</v>
      </c>
      <c r="BW76" s="357">
        <f>'Hodnocení '!BW72</f>
        <v>0</v>
      </c>
      <c r="BX76" s="357">
        <f>'Hodnocení '!BX72</f>
        <v>0</v>
      </c>
      <c r="BY76" s="357">
        <f>'Hodnocení '!BY72</f>
        <v>0</v>
      </c>
      <c r="BZ76" s="357">
        <f>'Hodnocení '!BZ72</f>
        <v>0</v>
      </c>
      <c r="CA76" s="357">
        <f>'Hodnocení '!CA72</f>
        <v>0</v>
      </c>
      <c r="CB76" s="357">
        <f>'Hodnocení '!CB72</f>
        <v>0</v>
      </c>
      <c r="CC76" s="357">
        <f>'Hodnocení '!CC72</f>
        <v>0</v>
      </c>
      <c r="CD76" s="357">
        <f>'Hodnocení '!CD72</f>
        <v>0</v>
      </c>
      <c r="CE76" s="357">
        <f>'Hodnocení '!CE72</f>
        <v>0</v>
      </c>
      <c r="CF76" s="357">
        <f>'Hodnocení '!CF72</f>
        <v>0</v>
      </c>
      <c r="CG76" s="357">
        <f>'Hodnocení '!CG72</f>
        <v>0</v>
      </c>
      <c r="CH76" s="357">
        <f>'Hodnocení '!CH72</f>
        <v>0</v>
      </c>
      <c r="CI76" s="357">
        <f>'Hodnocení '!CI72</f>
        <v>0</v>
      </c>
      <c r="CJ76" s="357">
        <f>'Hodnocení '!CJ72</f>
        <v>0</v>
      </c>
      <c r="CK76" s="357">
        <f>'Hodnocení '!CK72</f>
        <v>0</v>
      </c>
      <c r="CL76" s="357">
        <f>'Hodnocení '!CL72</f>
        <v>0</v>
      </c>
      <c r="CM76" s="357">
        <f>'Hodnocení '!CM72</f>
        <v>0</v>
      </c>
      <c r="CN76" s="357">
        <f>'Hodnocení '!CN72</f>
        <v>0</v>
      </c>
      <c r="CO76" s="357">
        <f>'Hodnocení '!CO72</f>
        <v>0</v>
      </c>
      <c r="CP76" s="357">
        <f>'Hodnocení '!CP72</f>
        <v>0</v>
      </c>
      <c r="CQ76" s="357">
        <f>'Hodnocení '!CQ72</f>
        <v>0</v>
      </c>
      <c r="CR76" s="357">
        <f>'Hodnocení '!CR72</f>
        <v>0</v>
      </c>
      <c r="CS76" s="357">
        <f>'Hodnocení '!CS72</f>
        <v>0</v>
      </c>
      <c r="CT76" s="357">
        <f>'Hodnocení '!CT72</f>
        <v>0</v>
      </c>
      <c r="CU76" s="357">
        <f>'Hodnocení '!CU72</f>
        <v>0</v>
      </c>
      <c r="CV76" s="357">
        <f>'Hodnocení '!CV72</f>
        <v>0</v>
      </c>
      <c r="CW76" s="357">
        <f>'Hodnocení '!CW72</f>
        <v>0</v>
      </c>
      <c r="CX76" s="357">
        <f>'Hodnocení '!CX72</f>
        <v>0</v>
      </c>
      <c r="CY76" s="357">
        <f>'Hodnocení '!CY72</f>
        <v>0</v>
      </c>
      <c r="CZ76" s="357">
        <f>'Hodnocení '!CZ72</f>
        <v>0</v>
      </c>
      <c r="DA76" s="357">
        <f>'Hodnocení '!DA72</f>
        <v>0</v>
      </c>
      <c r="DB76" s="357">
        <f>'Hodnocení '!DB72</f>
        <v>0</v>
      </c>
      <c r="DC76" s="357">
        <f>'Hodnocení '!DC72</f>
        <v>0</v>
      </c>
      <c r="DD76" s="357">
        <f>'Hodnocení '!DD72</f>
        <v>0</v>
      </c>
      <c r="DE76" s="357">
        <f>'Hodnocení '!DE72</f>
        <v>0</v>
      </c>
      <c r="DF76" s="357">
        <f>'Hodnocení '!DF72</f>
        <v>0</v>
      </c>
      <c r="DG76" s="357">
        <f>'Hodnocení '!DG72</f>
        <v>0</v>
      </c>
      <c r="DH76" s="357">
        <f>'Hodnocení '!DH72</f>
        <v>0</v>
      </c>
      <c r="DI76" s="357">
        <f>'Hodnocení '!DI72</f>
        <v>0</v>
      </c>
      <c r="DJ76" s="357">
        <f>'Hodnocení '!DJ72</f>
        <v>0</v>
      </c>
      <c r="DK76" s="357">
        <f>'Hodnocení '!DK72</f>
        <v>0</v>
      </c>
      <c r="DL76" s="357">
        <f>'Hodnocení '!DL72</f>
        <v>0</v>
      </c>
      <c r="DM76" s="357">
        <f>'Hodnocení '!DM72</f>
        <v>0</v>
      </c>
      <c r="DN76" s="357">
        <f>'Hodnocení '!DN72</f>
        <v>0</v>
      </c>
      <c r="DO76" s="357">
        <f>'Hodnocení '!DO72</f>
        <v>0</v>
      </c>
      <c r="DP76" s="357">
        <f>'Hodnocení '!DP72</f>
        <v>0</v>
      </c>
      <c r="DQ76" s="357">
        <f>'Hodnocení '!DQ72</f>
        <v>0</v>
      </c>
      <c r="DR76" s="357">
        <f>'Hodnocení '!DR72</f>
        <v>0</v>
      </c>
      <c r="DS76" s="357">
        <f>'Hodnocení '!DS72</f>
        <v>0</v>
      </c>
      <c r="DT76" s="357">
        <f>'Hodnocení '!DT72</f>
        <v>0</v>
      </c>
      <c r="DU76" s="357">
        <f>'Hodnocení '!DU72</f>
        <v>0</v>
      </c>
      <c r="DV76" s="680">
        <f>'Hodnocení '!DV72</f>
        <v>0</v>
      </c>
      <c r="DW76" s="357">
        <f>'Hodnocení '!DW72</f>
        <v>0</v>
      </c>
      <c r="DX76" s="357">
        <f>'Hodnocení '!DX72</f>
        <v>0</v>
      </c>
      <c r="DY76" s="357">
        <f>'Hodnocení '!DY72</f>
        <v>0</v>
      </c>
      <c r="DZ76" s="357">
        <f>'Hodnocení '!DZ72</f>
        <v>0</v>
      </c>
      <c r="EA76" s="357">
        <f>'Hodnocení '!EA72</f>
        <v>0</v>
      </c>
      <c r="EB76" s="357">
        <f>'Hodnocení '!EB72</f>
        <v>0</v>
      </c>
      <c r="EC76" s="357">
        <f>'Hodnocení '!EC72</f>
        <v>0</v>
      </c>
      <c r="ED76" s="357">
        <f>'Hodnocení '!ED72</f>
        <v>0</v>
      </c>
      <c r="EE76" s="357">
        <f>'Hodnocení '!EE72</f>
        <v>0</v>
      </c>
      <c r="EF76" s="357">
        <f>'Hodnocení '!EF72</f>
        <v>0</v>
      </c>
      <c r="EG76" s="357">
        <f>'Hodnocení '!EG72</f>
        <v>0</v>
      </c>
      <c r="EH76" s="357">
        <f>'Hodnocení '!EH72</f>
        <v>0</v>
      </c>
      <c r="EI76" s="357">
        <f>'Hodnocení '!EI72</f>
        <v>0</v>
      </c>
      <c r="EJ76" s="357">
        <f>'Hodnocení '!EJ72</f>
        <v>0</v>
      </c>
      <c r="EK76" s="357">
        <f>'Hodnocení '!EK72</f>
        <v>0</v>
      </c>
      <c r="EL76" s="357">
        <f>'Hodnocení '!EL72</f>
        <v>0</v>
      </c>
      <c r="EM76" s="357">
        <f>'Hodnocení '!EM72</f>
        <v>0</v>
      </c>
      <c r="EN76" s="357">
        <f>'Hodnocení '!EN72</f>
        <v>0</v>
      </c>
      <c r="EO76" s="357">
        <f>'Hodnocení '!EO72</f>
        <v>0</v>
      </c>
      <c r="EP76" s="357">
        <f>'Hodnocení '!EP72</f>
        <v>0</v>
      </c>
      <c r="EQ76" s="357">
        <f>'Hodnocení '!EQ72</f>
        <v>0</v>
      </c>
      <c r="ER76" s="357">
        <f>'Hodnocení '!ER72</f>
        <v>0</v>
      </c>
      <c r="ES76" s="357">
        <f>'Hodnocení '!ES72</f>
        <v>0</v>
      </c>
      <c r="ET76" s="357">
        <f>'Hodnocení '!ET72</f>
        <v>0</v>
      </c>
      <c r="EU76" s="357">
        <f>'Hodnocení '!EU72</f>
        <v>0</v>
      </c>
      <c r="EV76" s="357">
        <f>'Hodnocení '!EV72</f>
        <v>0</v>
      </c>
      <c r="EW76" s="357">
        <f>'Hodnocení '!EW72</f>
        <v>0</v>
      </c>
      <c r="EX76" s="357">
        <f>'Hodnocení '!EX72</f>
        <v>0</v>
      </c>
      <c r="EY76" s="357">
        <f>'Hodnocení '!EY72</f>
        <v>0</v>
      </c>
      <c r="EZ76" s="357">
        <f>'Hodnocení '!EZ72</f>
        <v>0</v>
      </c>
      <c r="FA76" s="357">
        <f>'Hodnocení '!FA72</f>
        <v>0</v>
      </c>
      <c r="FB76" s="357">
        <f>'Hodnocení '!FB72</f>
        <v>0</v>
      </c>
      <c r="FC76" s="357">
        <f>'Hodnocení '!FC72</f>
        <v>0</v>
      </c>
      <c r="FD76" s="357">
        <f>'Hodnocení '!FD72</f>
        <v>0</v>
      </c>
      <c r="FE76" s="357">
        <f>'Hodnocení '!FE72</f>
        <v>0</v>
      </c>
      <c r="FF76" s="357">
        <f>'Hodnocení '!FF72</f>
        <v>0</v>
      </c>
      <c r="FG76" s="357">
        <f>'Hodnocení '!FG72</f>
        <v>0</v>
      </c>
      <c r="FH76" s="357">
        <f>'Hodnocení '!FH72</f>
        <v>0</v>
      </c>
      <c r="FI76" s="357">
        <f>'Hodnocení '!FI72</f>
        <v>0</v>
      </c>
      <c r="FJ76" s="357">
        <f>'Hodnocení '!FJ72</f>
        <v>0</v>
      </c>
      <c r="FK76" s="357">
        <f>'Hodnocení '!FK72</f>
        <v>0</v>
      </c>
      <c r="FL76" s="357">
        <f>'Hodnocení '!FL72</f>
        <v>0</v>
      </c>
      <c r="FM76" s="357">
        <f>'Hodnocení '!FM72</f>
        <v>0</v>
      </c>
      <c r="FN76" s="357">
        <f>'Hodnocení '!FN72</f>
        <v>0</v>
      </c>
      <c r="FO76" s="357">
        <f>'Hodnocení '!FO72</f>
        <v>0</v>
      </c>
      <c r="FP76" s="357">
        <f>'Hodnocení '!FP72</f>
        <v>0</v>
      </c>
      <c r="FQ76" s="357">
        <f>'Hodnocení '!FQ72</f>
        <v>0</v>
      </c>
      <c r="FR76" s="357">
        <f>'Hodnocení '!FR72</f>
        <v>0</v>
      </c>
      <c r="FS76" s="357">
        <f>'Hodnocení '!FS72</f>
        <v>0</v>
      </c>
      <c r="FT76" s="357">
        <f>'Hodnocení '!FT72</f>
        <v>0</v>
      </c>
      <c r="FU76" s="357">
        <f>'Hodnocení '!FU72</f>
        <v>0</v>
      </c>
      <c r="FV76" s="357">
        <f>'Hodnocení '!FV72</f>
        <v>0</v>
      </c>
      <c r="FW76" s="357">
        <f>'Hodnocení '!FW72</f>
        <v>0</v>
      </c>
      <c r="FX76" s="357">
        <f>'Hodnocení '!FX72</f>
        <v>0</v>
      </c>
      <c r="FY76" s="357">
        <f>'Hodnocení '!FY72</f>
        <v>0</v>
      </c>
      <c r="FZ76" s="357">
        <f>'Hodnocení '!FZ72</f>
        <v>0</v>
      </c>
      <c r="GA76" s="357">
        <f>'Hodnocení '!GA72</f>
        <v>0</v>
      </c>
      <c r="GB76" s="357">
        <f>'Hodnocení '!GB72</f>
        <v>0</v>
      </c>
      <c r="GC76" s="357">
        <f>'Hodnocení '!GC72</f>
        <v>0</v>
      </c>
      <c r="GD76" s="357">
        <f>'Hodnocení '!GD72</f>
        <v>0</v>
      </c>
      <c r="GE76" s="357">
        <f>'Hodnocení '!GE72</f>
        <v>0</v>
      </c>
      <c r="GF76" s="357">
        <f>'Hodnocení '!GF72</f>
        <v>0</v>
      </c>
      <c r="GG76" s="357">
        <f>'Hodnocení '!GG72</f>
        <v>0</v>
      </c>
      <c r="GH76" s="357">
        <f>'Hodnocení '!GH72</f>
        <v>0</v>
      </c>
      <c r="GI76" s="357">
        <f>'Hodnocení '!GI72</f>
        <v>0</v>
      </c>
      <c r="GJ76" s="357">
        <f>'Hodnocení '!GJ72</f>
        <v>0</v>
      </c>
      <c r="GK76" s="357">
        <f>'Hodnocení '!GK72</f>
        <v>0</v>
      </c>
      <c r="GL76" s="357">
        <f>'Hodnocení '!GL72</f>
        <v>0</v>
      </c>
      <c r="GM76" s="357">
        <f>'Hodnocení '!GM72</f>
        <v>0</v>
      </c>
      <c r="GN76" s="357">
        <f>'Hodnocení '!GN72</f>
        <v>0</v>
      </c>
      <c r="GO76" s="357">
        <f>'Hodnocení '!GO72</f>
        <v>0</v>
      </c>
      <c r="GP76" s="357">
        <f>'Hodnocení '!GP72</f>
        <v>0</v>
      </c>
      <c r="GQ76" s="357">
        <f>'Hodnocení '!GQ72</f>
        <v>0</v>
      </c>
      <c r="GR76" s="357">
        <f>'Hodnocení '!GR72</f>
        <v>0</v>
      </c>
      <c r="GS76" s="357">
        <f>'Hodnocení '!GS72</f>
        <v>0</v>
      </c>
      <c r="GT76" s="357">
        <f>'Hodnocení '!GT72</f>
        <v>0</v>
      </c>
      <c r="GU76" s="357">
        <f>'Hodnocení '!GU72</f>
        <v>0</v>
      </c>
      <c r="GV76" s="357">
        <f>'Hodnocení '!GV72</f>
        <v>0</v>
      </c>
      <c r="GW76" s="357">
        <f>'Hodnocení '!GW72</f>
        <v>0</v>
      </c>
      <c r="GX76" s="357">
        <f>'Hodnocení '!GX72</f>
        <v>0</v>
      </c>
      <c r="GY76" s="357">
        <f>'Hodnocení '!GY72</f>
        <v>0</v>
      </c>
      <c r="GZ76" s="357">
        <f>'Hodnocení '!GZ72</f>
        <v>0</v>
      </c>
      <c r="HA76" s="357">
        <f>'Hodnocení '!HA72</f>
        <v>0</v>
      </c>
      <c r="HB76" s="357">
        <f>'Hodnocení '!HB72</f>
        <v>0</v>
      </c>
      <c r="HC76" s="357">
        <f>'Hodnocení '!HC72</f>
        <v>0</v>
      </c>
      <c r="HD76" s="357">
        <f>'Hodnocení '!HD72</f>
        <v>0</v>
      </c>
      <c r="HE76" s="357">
        <f>'Hodnocení '!HE72</f>
        <v>0</v>
      </c>
      <c r="HF76" s="357">
        <f>'Hodnocení '!HF72</f>
        <v>0</v>
      </c>
      <c r="HG76" s="357">
        <f>'Hodnocení '!HG72</f>
        <v>0</v>
      </c>
      <c r="HH76" s="357">
        <f>'Hodnocení '!HH72</f>
        <v>0</v>
      </c>
      <c r="HI76" s="357">
        <f>'Hodnocení '!HI72</f>
        <v>0</v>
      </c>
      <c r="HJ76" s="357">
        <f>'Hodnocení '!HJ72</f>
        <v>0</v>
      </c>
      <c r="HK76" s="357">
        <f>'Hodnocení '!HK72</f>
        <v>0</v>
      </c>
      <c r="HL76" s="357">
        <f>'Hodnocení '!HL72</f>
        <v>0</v>
      </c>
      <c r="HM76" s="357">
        <f>'Hodnocení '!HM72</f>
        <v>0</v>
      </c>
      <c r="HN76" s="357">
        <f>'Hodnocení '!HN72</f>
        <v>0</v>
      </c>
      <c r="HO76" s="357">
        <f>'Hodnocení '!HO72</f>
        <v>0</v>
      </c>
      <c r="HP76" s="357">
        <f>'Hodnocení '!HP72</f>
        <v>0</v>
      </c>
      <c r="HQ76" s="357">
        <f>'Hodnocení '!HQ72</f>
        <v>0</v>
      </c>
      <c r="HR76" s="357">
        <f>'Hodnocení '!HR72</f>
        <v>0</v>
      </c>
      <c r="HS76" s="357">
        <f>'Hodnocení '!HS72</f>
        <v>0</v>
      </c>
      <c r="HT76" s="357">
        <f>'Hodnocení '!HT72</f>
        <v>0</v>
      </c>
      <c r="HU76" s="357">
        <f>'Hodnocení '!HU72</f>
        <v>0</v>
      </c>
      <c r="HV76" s="357">
        <f>'Hodnocení '!HV72</f>
        <v>0</v>
      </c>
      <c r="HW76" s="357">
        <f>'Hodnocení '!HW72</f>
        <v>0</v>
      </c>
      <c r="HX76" s="357">
        <f>'Hodnocení '!HX72</f>
        <v>0</v>
      </c>
      <c r="HY76" s="357">
        <f>'Hodnocení '!HY72</f>
        <v>0</v>
      </c>
      <c r="HZ76" s="357">
        <f>'Hodnocení '!HZ72</f>
        <v>0</v>
      </c>
      <c r="IA76" s="357">
        <f>'Hodnocení '!IA72</f>
        <v>0</v>
      </c>
      <c r="IB76" s="357">
        <f>'Hodnocení '!IB72</f>
        <v>0</v>
      </c>
      <c r="IC76" s="357">
        <f>'Hodnocení '!IC72</f>
        <v>0</v>
      </c>
      <c r="ID76" s="357">
        <f>'Hodnocení '!ID72</f>
        <v>0</v>
      </c>
      <c r="IE76" s="357">
        <f>'Hodnocení '!IE72</f>
        <v>0</v>
      </c>
      <c r="IF76" s="357">
        <f>'Hodnocení '!IF72</f>
        <v>0</v>
      </c>
      <c r="IG76" s="357">
        <f>'Hodnocení '!IG72</f>
        <v>0</v>
      </c>
      <c r="IH76" s="357">
        <f>'Hodnocení '!IH72</f>
        <v>0</v>
      </c>
      <c r="II76" s="357">
        <f>'Hodnocení '!II72</f>
        <v>0</v>
      </c>
      <c r="IJ76" s="357">
        <f>'Hodnocení '!IJ72</f>
        <v>0</v>
      </c>
      <c r="IK76" s="357">
        <f>'Hodnocení '!IK72</f>
        <v>0</v>
      </c>
      <c r="IL76" s="357">
        <f>'Hodnocení '!IL72</f>
        <v>0</v>
      </c>
      <c r="IM76" s="357">
        <f>'Hodnocení '!IM72</f>
        <v>0</v>
      </c>
      <c r="IN76" s="357">
        <f>'Hodnocení '!IN72</f>
        <v>0</v>
      </c>
      <c r="IO76" s="357">
        <f>'Hodnocení '!IO72</f>
        <v>0</v>
      </c>
      <c r="IP76" s="357">
        <f>'Hodnocení '!IP72</f>
        <v>0</v>
      </c>
      <c r="IQ76" s="357">
        <f>'Hodnocení '!IQ72</f>
        <v>0</v>
      </c>
      <c r="IR76" s="357">
        <f>'Hodnocení '!IR72</f>
        <v>0</v>
      </c>
      <c r="IS76" s="357">
        <f>'Hodnocení '!IS72</f>
        <v>0</v>
      </c>
      <c r="IT76" s="357">
        <f>'Hodnocení '!IT72</f>
        <v>0</v>
      </c>
      <c r="IU76" s="357">
        <f>'Hodnocení '!IU72</f>
        <v>0</v>
      </c>
      <c r="IV76" s="357">
        <f>'Hodnocení '!IV72</f>
        <v>0</v>
      </c>
      <c r="IW76" s="357">
        <f>'Hodnocení '!IW72</f>
        <v>0</v>
      </c>
      <c r="IX76" s="357">
        <f>'Hodnocení '!IX72</f>
        <v>0</v>
      </c>
      <c r="IY76" s="357">
        <f>'Hodnocení '!IY72</f>
        <v>0</v>
      </c>
      <c r="IZ76" s="357">
        <f>'Hodnocení '!IZ72</f>
        <v>0</v>
      </c>
      <c r="JA76" s="357">
        <f>'Hodnocení '!JA72</f>
        <v>0</v>
      </c>
      <c r="JB76" s="357">
        <f>'Hodnocení '!JB72</f>
        <v>0</v>
      </c>
      <c r="JC76" s="357">
        <f>'Hodnocení '!JC72</f>
        <v>0</v>
      </c>
      <c r="JD76" s="357">
        <f>'Hodnocení '!JD72</f>
        <v>0</v>
      </c>
      <c r="JE76" s="357">
        <f>'Hodnocení '!JE72</f>
        <v>0</v>
      </c>
      <c r="JF76" s="357">
        <f>'Hodnocení '!JF72</f>
        <v>0</v>
      </c>
      <c r="JG76" s="357">
        <f>'Hodnocení '!JG72</f>
        <v>0</v>
      </c>
      <c r="JH76" s="772">
        <f>'Hodnocení '!JH72</f>
        <v>0</v>
      </c>
      <c r="JI76" s="470">
        <f>'Hodnocení '!JI72</f>
        <v>0</v>
      </c>
      <c r="JL76" s="307"/>
      <c r="JM76" s="307"/>
      <c r="JN76" s="307"/>
      <c r="JO76" s="307"/>
      <c r="JP76" s="307"/>
    </row>
    <row r="77" spans="1:276" hidden="1" x14ac:dyDescent="0.25">
      <c r="A77" s="353"/>
      <c r="B77" s="733" t="str">
        <f t="shared" ref="B77" si="48">B40</f>
        <v>Obce 2019</v>
      </c>
      <c r="C77" s="779">
        <f>'Hodnocení '!C73</f>
        <v>50000</v>
      </c>
      <c r="D77" s="479">
        <f>'Hodnocení '!D73</f>
        <v>300000</v>
      </c>
      <c r="E77" s="479">
        <f>'Hodnocení '!E73</f>
        <v>180000</v>
      </c>
      <c r="F77" s="479">
        <f>'Hodnocení '!F73</f>
        <v>362000</v>
      </c>
      <c r="G77" s="479">
        <f>'Hodnocení '!G73</f>
        <v>1426500</v>
      </c>
      <c r="H77" s="479">
        <f>'Hodnocení '!H73</f>
        <v>700000</v>
      </c>
      <c r="I77" s="479">
        <f>'Hodnocení '!I73</f>
        <v>719500</v>
      </c>
      <c r="J77" s="479">
        <f>'Hodnocení '!J73</f>
        <v>99900</v>
      </c>
      <c r="K77" s="479">
        <f>'Hodnocení '!K73</f>
        <v>20000</v>
      </c>
      <c r="L77" s="479">
        <f>'Hodnocení '!L73</f>
        <v>281750</v>
      </c>
      <c r="M77" s="479">
        <f>'Hodnocení '!M73</f>
        <v>316500</v>
      </c>
      <c r="N77" s="479">
        <f>'Hodnocení '!N73</f>
        <v>549000</v>
      </c>
      <c r="O77" s="479">
        <f>'Hodnocení '!O73</f>
        <v>307500</v>
      </c>
      <c r="P77" s="479">
        <f>'Hodnocení '!P73</f>
        <v>428000</v>
      </c>
      <c r="Q77" s="479">
        <f>'Hodnocení '!Q73</f>
        <v>169000</v>
      </c>
      <c r="R77" s="479">
        <f>'Hodnocení '!R73</f>
        <v>456000</v>
      </c>
      <c r="S77" s="479">
        <f>'Hodnocení '!S73</f>
        <v>116084</v>
      </c>
      <c r="T77" s="479">
        <f>'Hodnocení '!T73</f>
        <v>120000</v>
      </c>
      <c r="U77" s="479">
        <f>'Hodnocení '!U73</f>
        <v>165000</v>
      </c>
      <c r="V77" s="479">
        <f>'Hodnocení '!V73</f>
        <v>4317000</v>
      </c>
      <c r="W77" s="479">
        <f>'Hodnocení '!W73</f>
        <v>934000</v>
      </c>
      <c r="X77" s="479">
        <f>'Hodnocení '!X73</f>
        <v>122000</v>
      </c>
      <c r="Y77" s="479">
        <f>'Hodnocení '!Y73</f>
        <v>100000</v>
      </c>
      <c r="Z77" s="479">
        <f>'Hodnocení '!Z73</f>
        <v>0</v>
      </c>
      <c r="AA77" s="479">
        <f>'Hodnocení '!AA73</f>
        <v>295000</v>
      </c>
      <c r="AB77" s="479">
        <f>'Hodnocení '!AB73</f>
        <v>154334.58000000002</v>
      </c>
      <c r="AC77" s="479">
        <f>'Hodnocení '!AC73</f>
        <v>136928.35999999999</v>
      </c>
      <c r="AD77" s="479">
        <f>'Hodnocení '!AD73</f>
        <v>156800</v>
      </c>
      <c r="AE77" s="479">
        <f>'Hodnocení '!AE73</f>
        <v>88800</v>
      </c>
      <c r="AF77" s="479">
        <f>'Hodnocení '!AF73</f>
        <v>88800</v>
      </c>
      <c r="AG77" s="479">
        <f>'Hodnocení '!AG73</f>
        <v>267500</v>
      </c>
      <c r="AH77" s="479">
        <f>'Hodnocení '!AH73</f>
        <v>101700</v>
      </c>
      <c r="AI77" s="479">
        <f>'Hodnocení '!AI73</f>
        <v>117300</v>
      </c>
      <c r="AJ77" s="479">
        <f>'Hodnocení '!AJ73</f>
        <v>123700</v>
      </c>
      <c r="AK77" s="479">
        <f>'Hodnocení '!AK73</f>
        <v>0</v>
      </c>
      <c r="AL77" s="479">
        <f>'Hodnocení '!AL73</f>
        <v>204000</v>
      </c>
      <c r="AM77" s="479">
        <f>'Hodnocení '!AM73</f>
        <v>60116</v>
      </c>
      <c r="AN77" s="479">
        <f>'Hodnocení '!AN73</f>
        <v>95000</v>
      </c>
      <c r="AO77" s="479">
        <f>'Hodnocení '!AO73</f>
        <v>2581000</v>
      </c>
      <c r="AP77" s="479">
        <f>'Hodnocení '!AP73</f>
        <v>0</v>
      </c>
      <c r="AQ77" s="479">
        <f>'Hodnocení '!AQ73</f>
        <v>50000</v>
      </c>
      <c r="AR77" s="479">
        <f>'Hodnocení '!AR73</f>
        <v>139500</v>
      </c>
      <c r="AS77" s="479">
        <f>'Hodnocení '!AS73</f>
        <v>37000</v>
      </c>
      <c r="AT77" s="479">
        <f>'Hodnocení '!AT73</f>
        <v>169000</v>
      </c>
      <c r="AU77" s="479">
        <f>'Hodnocení '!AU73</f>
        <v>160000</v>
      </c>
      <c r="AV77" s="479">
        <f>'Hodnocení '!AV73</f>
        <v>117300</v>
      </c>
      <c r="AW77" s="479">
        <f>'Hodnocení '!AW73</f>
        <v>156400</v>
      </c>
      <c r="AX77" s="479">
        <f>'Hodnocení '!AX73</f>
        <v>258000</v>
      </c>
      <c r="AY77" s="479">
        <f>'Hodnocení '!AY73</f>
        <v>238000</v>
      </c>
      <c r="AZ77" s="479">
        <f>'Hodnocení '!AZ73</f>
        <v>156185</v>
      </c>
      <c r="BA77" s="479">
        <f>'Hodnocení '!BA73</f>
        <v>1120000</v>
      </c>
      <c r="BB77" s="479">
        <f>'Hodnocení '!BB73</f>
        <v>140000</v>
      </c>
      <c r="BC77" s="479">
        <f>'Hodnocení '!BC73</f>
        <v>137000</v>
      </c>
      <c r="BD77" s="479">
        <f>'Hodnocení '!BD73</f>
        <v>304000</v>
      </c>
      <c r="BE77" s="479">
        <f>'Hodnocení '!BE73</f>
        <v>176000</v>
      </c>
      <c r="BF77" s="479">
        <f>'Hodnocení '!BF73</f>
        <v>376000</v>
      </c>
      <c r="BG77" s="479">
        <f>'Hodnocení '!BG73</f>
        <v>490000</v>
      </c>
      <c r="BH77" s="479">
        <f>'Hodnocení '!BH73</f>
        <v>397000</v>
      </c>
      <c r="BI77" s="479">
        <f>'Hodnocení '!BI73</f>
        <v>100000</v>
      </c>
      <c r="BJ77" s="479">
        <f>'Hodnocení '!BJ73</f>
        <v>219000</v>
      </c>
      <c r="BK77" s="479">
        <f>'Hodnocení '!BK73</f>
        <v>48000</v>
      </c>
      <c r="BL77" s="479">
        <f>'Hodnocení '!BL73</f>
        <v>0</v>
      </c>
      <c r="BM77" s="479">
        <f>'Hodnocení '!BM73</f>
        <v>50000</v>
      </c>
      <c r="BN77" s="479">
        <f>'Hodnocení '!BN73</f>
        <v>326000</v>
      </c>
      <c r="BO77" s="479">
        <f>'Hodnocení '!BO73</f>
        <v>222000</v>
      </c>
      <c r="BP77" s="479">
        <f>'Hodnocení '!BP73</f>
        <v>777000</v>
      </c>
      <c r="BQ77" s="479">
        <f>'Hodnocení '!BQ73</f>
        <v>0</v>
      </c>
      <c r="BR77" s="479">
        <f>'Hodnocení '!BR73</f>
        <v>80000</v>
      </c>
      <c r="BS77" s="479">
        <f>'Hodnocení '!BS73</f>
        <v>230000</v>
      </c>
      <c r="BT77" s="479">
        <f>'Hodnocení '!BT73</f>
        <v>200000</v>
      </c>
      <c r="BU77" s="479">
        <f>'Hodnocení '!BU73</f>
        <v>1150000</v>
      </c>
      <c r="BV77" s="479">
        <f>'Hodnocení '!BV73</f>
        <v>0</v>
      </c>
      <c r="BW77" s="479">
        <f>'Hodnocení '!BW73</f>
        <v>0</v>
      </c>
      <c r="BX77" s="479">
        <f>'Hodnocení '!BX73</f>
        <v>1309761</v>
      </c>
      <c r="BY77" s="479">
        <f>'Hodnocení '!BY73</f>
        <v>730000</v>
      </c>
      <c r="BZ77" s="479">
        <f>'Hodnocení '!BZ73</f>
        <v>150000</v>
      </c>
      <c r="CA77" s="479">
        <f>'Hodnocení '!CA73</f>
        <v>0</v>
      </c>
      <c r="CB77" s="479">
        <f>'Hodnocení '!CB73</f>
        <v>0</v>
      </c>
      <c r="CC77" s="479">
        <f>'Hodnocení '!CC73</f>
        <v>404000</v>
      </c>
      <c r="CD77" s="479">
        <f>'Hodnocení '!CD73</f>
        <v>156000</v>
      </c>
      <c r="CE77" s="479">
        <f>'Hodnocení '!CE73</f>
        <v>4381300</v>
      </c>
      <c r="CF77" s="479">
        <f>'Hodnocení '!CF73</f>
        <v>366900</v>
      </c>
      <c r="CG77" s="479">
        <f>'Hodnocení '!CG73</f>
        <v>1830000</v>
      </c>
      <c r="CH77" s="479">
        <f>'Hodnocení '!CH73</f>
        <v>890000</v>
      </c>
      <c r="CI77" s="479">
        <f>'Hodnocení '!CI73</f>
        <v>200000</v>
      </c>
      <c r="CJ77" s="479">
        <f>'Hodnocení '!CJ73</f>
        <v>812000</v>
      </c>
      <c r="CK77" s="479">
        <f>'Hodnocení '!CK73</f>
        <v>599000</v>
      </c>
      <c r="CL77" s="479">
        <f>'Hodnocení '!CL73</f>
        <v>521000</v>
      </c>
      <c r="CM77" s="479">
        <f>'Hodnocení '!CM73</f>
        <v>939500</v>
      </c>
      <c r="CN77" s="479">
        <f>'Hodnocení '!CN73</f>
        <v>165000</v>
      </c>
      <c r="CO77" s="479">
        <f>'Hodnocení '!CO73</f>
        <v>250000</v>
      </c>
      <c r="CP77" s="479">
        <f>'Hodnocení '!CP73</f>
        <v>215000</v>
      </c>
      <c r="CQ77" s="479">
        <f>'Hodnocení '!CQ73</f>
        <v>740000</v>
      </c>
      <c r="CR77" s="479">
        <f>'Hodnocení '!CR73</f>
        <v>50000</v>
      </c>
      <c r="CS77" s="479">
        <f>'Hodnocení '!CS73</f>
        <v>0</v>
      </c>
      <c r="CT77" s="479">
        <f>'Hodnocení '!CT73</f>
        <v>600000</v>
      </c>
      <c r="CU77" s="479">
        <f>'Hodnocení '!CU73</f>
        <v>91500</v>
      </c>
      <c r="CV77" s="479">
        <f>'Hodnocení '!CV73</f>
        <v>128500</v>
      </c>
      <c r="CW77" s="479">
        <f>'Hodnocení '!CW73</f>
        <v>0</v>
      </c>
      <c r="CX77" s="479">
        <f>'Hodnocení '!CX73</f>
        <v>373468</v>
      </c>
      <c r="CY77" s="479">
        <f>'Hodnocení '!CY73</f>
        <v>277673</v>
      </c>
      <c r="CZ77" s="479">
        <f>'Hodnocení '!CZ73</f>
        <v>50000</v>
      </c>
      <c r="DA77" s="479">
        <f>'Hodnocení '!DA73</f>
        <v>0</v>
      </c>
      <c r="DB77" s="479">
        <f>'Hodnocení '!DB73</f>
        <v>200000</v>
      </c>
      <c r="DC77" s="479">
        <f>'Hodnocení '!DC73</f>
        <v>265000</v>
      </c>
      <c r="DD77" s="479">
        <f>'Hodnocení '!DD73</f>
        <v>215000</v>
      </c>
      <c r="DE77" s="479">
        <f>'Hodnocení '!DE73</f>
        <v>235000</v>
      </c>
      <c r="DF77" s="479">
        <f>'Hodnocení '!DF73</f>
        <v>450000</v>
      </c>
      <c r="DG77" s="479">
        <f>'Hodnocení '!DG73</f>
        <v>0</v>
      </c>
      <c r="DH77" s="479">
        <f>'Hodnocení '!DH73</f>
        <v>105200</v>
      </c>
      <c r="DI77" s="479">
        <f>'Hodnocení '!DI73</f>
        <v>33480</v>
      </c>
      <c r="DJ77" s="479">
        <f>'Hodnocení '!DJ73</f>
        <v>90000</v>
      </c>
      <c r="DK77" s="479">
        <f>'Hodnocení '!DK73</f>
        <v>42480</v>
      </c>
      <c r="DL77" s="479">
        <f>'Hodnocení '!DL73</f>
        <v>1452000</v>
      </c>
      <c r="DM77" s="479">
        <f>'Hodnocení '!DM73</f>
        <v>508000</v>
      </c>
      <c r="DN77" s="479">
        <f>'Hodnocení '!DN73</f>
        <v>554000</v>
      </c>
      <c r="DO77" s="479">
        <f>'Hodnocení '!DO73</f>
        <v>0</v>
      </c>
      <c r="DP77" s="479">
        <f>'Hodnocení '!DP73</f>
        <v>415000</v>
      </c>
      <c r="DQ77" s="479">
        <f>'Hodnocení '!DQ73</f>
        <v>330000</v>
      </c>
      <c r="DR77" s="479">
        <f>'Hodnocení '!DR73</f>
        <v>54000</v>
      </c>
      <c r="DS77" s="479">
        <f>'Hodnocení '!DS73</f>
        <v>0</v>
      </c>
      <c r="DT77" s="479">
        <f>'Hodnocení '!DT73</f>
        <v>50000</v>
      </c>
      <c r="DU77" s="479">
        <f>'Hodnocení '!DU73</f>
        <v>260000</v>
      </c>
      <c r="DV77" s="479">
        <f>'Hodnocení '!DV73</f>
        <v>600000</v>
      </c>
      <c r="DW77" s="479">
        <f>'Hodnocení '!DW73</f>
        <v>165000</v>
      </c>
      <c r="DX77" s="479">
        <f>'Hodnocení '!DX73</f>
        <v>455000</v>
      </c>
      <c r="DY77" s="479">
        <f>'Hodnocení '!DY73</f>
        <v>150000</v>
      </c>
      <c r="DZ77" s="479">
        <f>'Hodnocení '!DZ73</f>
        <v>0</v>
      </c>
      <c r="EA77" s="479">
        <f>'Hodnocení '!EA73</f>
        <v>130000</v>
      </c>
      <c r="EB77" s="479">
        <f>'Hodnocení '!EB73</f>
        <v>225000</v>
      </c>
      <c r="EC77" s="479">
        <f>'Hodnocení '!EC73</f>
        <v>121000</v>
      </c>
      <c r="ED77" s="479">
        <f>'Hodnocení '!ED73</f>
        <v>391000</v>
      </c>
      <c r="EE77" s="479">
        <f>'Hodnocení '!EE73</f>
        <v>110000</v>
      </c>
      <c r="EF77" s="479">
        <f>'Hodnocení '!EF73</f>
        <v>115000</v>
      </c>
      <c r="EG77" s="479">
        <f>'Hodnocení '!EG73</f>
        <v>10000</v>
      </c>
      <c r="EH77" s="479">
        <f>'Hodnocení '!EH73</f>
        <v>80000</v>
      </c>
      <c r="EI77" s="479">
        <f>'Hodnocení '!EI73</f>
        <v>122000</v>
      </c>
      <c r="EJ77" s="479">
        <f>'Hodnocení '!EJ73</f>
        <v>78000</v>
      </c>
      <c r="EK77" s="479">
        <f>'Hodnocení '!EK73</f>
        <v>659000</v>
      </c>
      <c r="EL77" s="479">
        <f>'Hodnocení '!EL73</f>
        <v>3015000</v>
      </c>
      <c r="EM77" s="479">
        <f>'Hodnocení '!EM73</f>
        <v>581000</v>
      </c>
      <c r="EN77" s="479">
        <f>'Hodnocení '!EN73</f>
        <v>0</v>
      </c>
      <c r="EO77" s="479">
        <f>'Hodnocení '!EO73</f>
        <v>15000</v>
      </c>
      <c r="EP77" s="479">
        <f>'Hodnocení '!EP73</f>
        <v>202000</v>
      </c>
      <c r="EQ77" s="479">
        <f>'Hodnocení '!EQ73</f>
        <v>40000</v>
      </c>
      <c r="ER77" s="479">
        <f>'Hodnocení '!ER73</f>
        <v>4235000</v>
      </c>
      <c r="ES77" s="479">
        <f>'Hodnocení '!ES73</f>
        <v>1619100</v>
      </c>
      <c r="ET77" s="479">
        <f>'Hodnocení '!ET73</f>
        <v>0</v>
      </c>
      <c r="EU77" s="479">
        <f>'Hodnocení '!EU73</f>
        <v>12000</v>
      </c>
      <c r="EV77" s="479">
        <f>'Hodnocení '!EV73</f>
        <v>265000</v>
      </c>
      <c r="EW77" s="479">
        <f>'Hodnocení '!EW73</f>
        <v>2210000</v>
      </c>
      <c r="EX77" s="479">
        <f>'Hodnocení '!EX73</f>
        <v>3600000</v>
      </c>
      <c r="EY77" s="479">
        <f>'Hodnocení '!EY73</f>
        <v>1460000</v>
      </c>
      <c r="EZ77" s="479">
        <f>'Hodnocení '!EZ73</f>
        <v>1761805</v>
      </c>
      <c r="FA77" s="479">
        <f>'Hodnocení '!FA73</f>
        <v>996261</v>
      </c>
      <c r="FB77" s="479">
        <f>'Hodnocení '!FB73</f>
        <v>0</v>
      </c>
      <c r="FC77" s="479">
        <f>'Hodnocení '!FC73</f>
        <v>5962000</v>
      </c>
      <c r="FD77" s="479">
        <f>'Hodnocení '!FD73</f>
        <v>1552100</v>
      </c>
      <c r="FE77" s="479">
        <f>'Hodnocení '!FE73</f>
        <v>832200</v>
      </c>
      <c r="FF77" s="479">
        <f>'Hodnocení '!FF73</f>
        <v>1000000</v>
      </c>
      <c r="FG77" s="479">
        <f>'Hodnocení '!FG73</f>
        <v>2431500</v>
      </c>
      <c r="FH77" s="479">
        <f>'Hodnocení '!FH73</f>
        <v>1641500</v>
      </c>
      <c r="FI77" s="479">
        <f>'Hodnocení '!FI73</f>
        <v>1800000</v>
      </c>
      <c r="FJ77" s="479">
        <f>'Hodnocení '!FJ73</f>
        <v>1177383</v>
      </c>
      <c r="FK77" s="479">
        <f>'Hodnocení '!FK73</f>
        <v>633403</v>
      </c>
      <c r="FL77" s="479">
        <f>'Hodnocení '!FL73</f>
        <v>500000</v>
      </c>
      <c r="FM77" s="479">
        <f>'Hodnocení '!FM73</f>
        <v>1813013</v>
      </c>
      <c r="FN77" s="479">
        <f>'Hodnocení '!FN73</f>
        <v>1288895</v>
      </c>
      <c r="FO77" s="479">
        <f>'Hodnocení '!FO73</f>
        <v>1078183</v>
      </c>
      <c r="FP77" s="479">
        <f>'Hodnocení '!FP73</f>
        <v>4524544</v>
      </c>
      <c r="FQ77" s="479">
        <f>'Hodnocení '!FQ73</f>
        <v>118200</v>
      </c>
      <c r="FR77" s="479">
        <f>'Hodnocení '!FR73</f>
        <v>0</v>
      </c>
      <c r="FS77" s="479">
        <f>'Hodnocení '!FS73</f>
        <v>207067</v>
      </c>
      <c r="FT77" s="479">
        <f>'Hodnocení '!FT73</f>
        <v>2240223.16</v>
      </c>
      <c r="FU77" s="479">
        <f>'Hodnocení '!FU73</f>
        <v>204301</v>
      </c>
      <c r="FV77" s="479">
        <f>'Hodnocení '!FV73</f>
        <v>1668344</v>
      </c>
      <c r="FW77" s="479">
        <f>'Hodnocení '!FW73</f>
        <v>621321</v>
      </c>
      <c r="FX77" s="479">
        <f>'Hodnocení '!FX73</f>
        <v>402204.18</v>
      </c>
      <c r="FY77" s="479">
        <f>'Hodnocení '!FY73</f>
        <v>147190</v>
      </c>
      <c r="FZ77" s="479">
        <f>'Hodnocení '!FZ73</f>
        <v>5408290</v>
      </c>
      <c r="GA77" s="479">
        <f>'Hodnocení '!GA73</f>
        <v>1110750</v>
      </c>
      <c r="GB77" s="479">
        <f>'Hodnocení '!GB73</f>
        <v>4161580</v>
      </c>
      <c r="GC77" s="479">
        <f>'Hodnocení '!GC73</f>
        <v>1427000</v>
      </c>
      <c r="GD77" s="479">
        <f>'Hodnocení '!GD73</f>
        <v>3850000</v>
      </c>
      <c r="GE77" s="479">
        <f>'Hodnocení '!GE73</f>
        <v>867259</v>
      </c>
      <c r="GF77" s="479">
        <f>'Hodnocení '!GF73</f>
        <v>1561000</v>
      </c>
      <c r="GG77" s="479">
        <f>'Hodnocení '!GG73</f>
        <v>900000</v>
      </c>
      <c r="GH77" s="479">
        <f>'Hodnocení '!GH73</f>
        <v>480000</v>
      </c>
      <c r="GI77" s="479">
        <f>'Hodnocení '!GI73</f>
        <v>7145000</v>
      </c>
      <c r="GJ77" s="479">
        <f>'Hodnocení '!GJ73</f>
        <v>991270</v>
      </c>
      <c r="GK77" s="479">
        <f>'Hodnocení '!GK73</f>
        <v>742000</v>
      </c>
      <c r="GL77" s="479">
        <f>'Hodnocení '!GL73</f>
        <v>653000</v>
      </c>
      <c r="GM77" s="479">
        <f>'Hodnocení '!GM73</f>
        <v>595000</v>
      </c>
      <c r="GN77" s="479">
        <f>'Hodnocení '!GN73</f>
        <v>206397.66</v>
      </c>
      <c r="GO77" s="479">
        <f>'Hodnocení '!GO73</f>
        <v>1504000</v>
      </c>
      <c r="GP77" s="479">
        <f>'Hodnocení '!GP73</f>
        <v>1078336</v>
      </c>
      <c r="GQ77" s="479">
        <f>'Hodnocení '!GQ73</f>
        <v>1066404</v>
      </c>
      <c r="GR77" s="479">
        <f>'Hodnocení '!GR73</f>
        <v>1293990</v>
      </c>
      <c r="GS77" s="479">
        <f>'Hodnocení '!GS73</f>
        <v>849738.18</v>
      </c>
      <c r="GT77" s="479">
        <f>'Hodnocení '!GT73</f>
        <v>5804362</v>
      </c>
      <c r="GU77" s="479">
        <f>'Hodnocení '!GU73</f>
        <v>480000</v>
      </c>
      <c r="GV77" s="479">
        <f>'Hodnocení '!GV73</f>
        <v>2636744.54</v>
      </c>
      <c r="GW77" s="479">
        <f>'Hodnocení '!GW73</f>
        <v>1188833</v>
      </c>
      <c r="GX77" s="479">
        <f>'Hodnocení '!GX73</f>
        <v>503673.85</v>
      </c>
      <c r="GY77" s="479">
        <f>'Hodnocení '!GY73</f>
        <v>12590000</v>
      </c>
      <c r="GZ77" s="479">
        <f>'Hodnocení '!GZ73</f>
        <v>0</v>
      </c>
      <c r="HA77" s="479">
        <f>'Hodnocení '!HA73</f>
        <v>7000000</v>
      </c>
      <c r="HB77" s="479">
        <f>'Hodnocení '!HB73</f>
        <v>9050000</v>
      </c>
      <c r="HC77" s="479">
        <f>'Hodnocení '!HC73</f>
        <v>6686000</v>
      </c>
      <c r="HD77" s="479">
        <f>'Hodnocení '!HD73</f>
        <v>1897307</v>
      </c>
      <c r="HE77" s="479">
        <f>'Hodnocení '!HE73</f>
        <v>2971345</v>
      </c>
      <c r="HF77" s="479">
        <f>'Hodnocení '!HF73</f>
        <v>1230257</v>
      </c>
      <c r="HG77" s="479">
        <f>'Hodnocení '!HG73</f>
        <v>405927.64</v>
      </c>
      <c r="HH77" s="479">
        <f>'Hodnocení '!HH73</f>
        <v>1476086.36</v>
      </c>
      <c r="HI77" s="479">
        <f>'Hodnocení '!HI73</f>
        <v>2590000</v>
      </c>
      <c r="HJ77" s="479">
        <f>'Hodnocení '!HJ73</f>
        <v>391200</v>
      </c>
      <c r="HK77" s="479">
        <f>'Hodnocení '!HK73</f>
        <v>992500</v>
      </c>
      <c r="HL77" s="479">
        <f>'Hodnocení '!HL73</f>
        <v>0</v>
      </c>
      <c r="HM77" s="479">
        <f>'Hodnocení '!HM73</f>
        <v>0</v>
      </c>
      <c r="HN77" s="479">
        <f>'Hodnocení '!HN73</f>
        <v>0</v>
      </c>
      <c r="HO77" s="479">
        <f>'Hodnocení '!HO73</f>
        <v>0</v>
      </c>
      <c r="HP77" s="479">
        <f>'Hodnocení '!HP73</f>
        <v>0</v>
      </c>
      <c r="HQ77" s="479">
        <f>'Hodnocení '!HQ73</f>
        <v>0</v>
      </c>
      <c r="HR77" s="479">
        <f>'Hodnocení '!HR73</f>
        <v>0</v>
      </c>
      <c r="HS77" s="479">
        <f>'Hodnocení '!HS73</f>
        <v>0</v>
      </c>
      <c r="HT77" s="479">
        <f>'Hodnocení '!HT73</f>
        <v>0</v>
      </c>
      <c r="HU77" s="479">
        <f>'Hodnocení '!HU73</f>
        <v>48866</v>
      </c>
      <c r="HV77" s="479">
        <f>'Hodnocení '!HV73</f>
        <v>0</v>
      </c>
      <c r="HW77" s="479">
        <f>'Hodnocení '!HW73</f>
        <v>0</v>
      </c>
      <c r="HX77" s="479">
        <f>'Hodnocení '!HX73</f>
        <v>0</v>
      </c>
      <c r="HY77" s="479">
        <f>'Hodnocení '!HY73</f>
        <v>10000</v>
      </c>
      <c r="HZ77" s="479">
        <f>'Hodnocení '!HZ73</f>
        <v>0</v>
      </c>
      <c r="IA77" s="479">
        <f>'Hodnocení '!IA73</f>
        <v>0</v>
      </c>
      <c r="IB77" s="479">
        <f>'Hodnocení '!IB73</f>
        <v>0</v>
      </c>
      <c r="IC77" s="479">
        <f>'Hodnocení '!IC73</f>
        <v>0</v>
      </c>
      <c r="ID77" s="479">
        <f>'Hodnocení '!ID73</f>
        <v>0</v>
      </c>
      <c r="IE77" s="479">
        <f>'Hodnocení '!IE73</f>
        <v>0</v>
      </c>
      <c r="IF77" s="479">
        <f>'Hodnocení '!IF73</f>
        <v>0</v>
      </c>
      <c r="IG77" s="479">
        <f>'Hodnocení '!IG73</f>
        <v>0</v>
      </c>
      <c r="IH77" s="479">
        <f>'Hodnocení '!IH73</f>
        <v>0</v>
      </c>
      <c r="II77" s="479">
        <f>'Hodnocení '!II73</f>
        <v>0</v>
      </c>
      <c r="IJ77" s="479">
        <f>'Hodnocení '!IJ73</f>
        <v>0</v>
      </c>
      <c r="IK77" s="479">
        <f>'Hodnocení '!IK73</f>
        <v>0</v>
      </c>
      <c r="IL77" s="479">
        <f>'Hodnocení '!IL73</f>
        <v>0</v>
      </c>
      <c r="IM77" s="479">
        <f>'Hodnocení '!IM73</f>
        <v>0</v>
      </c>
      <c r="IN77" s="479">
        <f>'Hodnocení '!IN73</f>
        <v>0</v>
      </c>
      <c r="IO77" s="479">
        <f>'Hodnocení '!IO73</f>
        <v>0</v>
      </c>
      <c r="IP77" s="479">
        <f>'Hodnocení '!IP73</f>
        <v>0</v>
      </c>
      <c r="IQ77" s="479">
        <f>'Hodnocení '!IQ73</f>
        <v>0</v>
      </c>
      <c r="IR77" s="479">
        <f>'Hodnocení '!IR73</f>
        <v>0</v>
      </c>
      <c r="IS77" s="479">
        <f>'Hodnocení '!IS73</f>
        <v>0</v>
      </c>
      <c r="IT77" s="479">
        <f>'Hodnocení '!IT73</f>
        <v>0</v>
      </c>
      <c r="IU77" s="479">
        <f>'Hodnocení '!IU73</f>
        <v>0</v>
      </c>
      <c r="IV77" s="479">
        <f>'Hodnocení '!IV73</f>
        <v>0</v>
      </c>
      <c r="IW77" s="479">
        <f>'Hodnocení '!IW73</f>
        <v>0</v>
      </c>
      <c r="IX77" s="479">
        <f>'Hodnocení '!IX73</f>
        <v>0</v>
      </c>
      <c r="IY77" s="479">
        <f>'Hodnocení '!IY73</f>
        <v>0</v>
      </c>
      <c r="IZ77" s="479">
        <f>'Hodnocení '!IZ73</f>
        <v>0</v>
      </c>
      <c r="JA77" s="479">
        <f>'Hodnocení '!JA73</f>
        <v>78000</v>
      </c>
      <c r="JB77" s="479">
        <f>'Hodnocení '!JB73</f>
        <v>160000</v>
      </c>
      <c r="JC77" s="479">
        <f>'Hodnocení '!JC73</f>
        <v>80000</v>
      </c>
      <c r="JD77" s="479">
        <f>'Hodnocení '!JD73</f>
        <v>101900</v>
      </c>
      <c r="JE77" s="479">
        <f>'Hodnocení '!JE73</f>
        <v>0</v>
      </c>
      <c r="JF77" s="479">
        <f>'Hodnocení '!JF73</f>
        <v>0</v>
      </c>
      <c r="JG77" s="479">
        <f>'Hodnocení '!JG73</f>
        <v>21000</v>
      </c>
      <c r="JH77" s="780">
        <f>'Hodnocení '!JH73</f>
        <v>0</v>
      </c>
      <c r="JI77" s="470">
        <f>'Hodnocení '!JI73</f>
        <v>195775614.50999999</v>
      </c>
      <c r="JL77" s="307">
        <f t="shared" ref="JL77:JO82" si="49">SUMIFS($C77:$JH77,$C$5:$JH$5,JL$5)</f>
        <v>530000</v>
      </c>
      <c r="JM77" s="307">
        <f t="shared" si="49"/>
        <v>58811959.939999998</v>
      </c>
      <c r="JN77" s="307">
        <f t="shared" si="49"/>
        <v>135933888.56999999</v>
      </c>
      <c r="JO77" s="307">
        <f t="shared" si="49"/>
        <v>499766</v>
      </c>
      <c r="JP77" s="307">
        <f t="shared" ref="JP77:JP82" si="50">SUM(JL77:JO77)</f>
        <v>195775614.50999999</v>
      </c>
    </row>
    <row r="78" spans="1:276" hidden="1" x14ac:dyDescent="0.25">
      <c r="A78" s="353"/>
      <c r="B78" s="733" t="str">
        <f>B41</f>
        <v>IP 2019</v>
      </c>
      <c r="C78" s="779">
        <f>'Hodnocení '!C74</f>
        <v>0</v>
      </c>
      <c r="D78" s="479">
        <f>'Hodnocení '!D74</f>
        <v>0</v>
      </c>
      <c r="E78" s="479">
        <f>'Hodnocení '!E74</f>
        <v>0</v>
      </c>
      <c r="F78" s="479">
        <f>'Hodnocení '!F74</f>
        <v>0</v>
      </c>
      <c r="G78" s="479">
        <f>'Hodnocení '!G74</f>
        <v>0</v>
      </c>
      <c r="H78" s="479">
        <f>'Hodnocení '!H74</f>
        <v>0</v>
      </c>
      <c r="I78" s="479">
        <f>'Hodnocení '!I74</f>
        <v>599462</v>
      </c>
      <c r="J78" s="479">
        <f>'Hodnocení '!J74</f>
        <v>1125716</v>
      </c>
      <c r="K78" s="479">
        <f>'Hodnocení '!K74</f>
        <v>2261112</v>
      </c>
      <c r="L78" s="479">
        <f>'Hodnocení '!L74</f>
        <v>0</v>
      </c>
      <c r="M78" s="479">
        <f>'Hodnocení '!M74</f>
        <v>0</v>
      </c>
      <c r="N78" s="479">
        <f>'Hodnocení '!N74</f>
        <v>0</v>
      </c>
      <c r="O78" s="479">
        <f>'Hodnocení '!O74</f>
        <v>0</v>
      </c>
      <c r="P78" s="479">
        <f>'Hodnocení '!P74</f>
        <v>0</v>
      </c>
      <c r="Q78" s="479">
        <f>'Hodnocení '!Q74</f>
        <v>0</v>
      </c>
      <c r="R78" s="479">
        <f>'Hodnocení '!R74</f>
        <v>0</v>
      </c>
      <c r="S78" s="479">
        <f>'Hodnocení '!S74</f>
        <v>0</v>
      </c>
      <c r="T78" s="479">
        <f>'Hodnocení '!T74</f>
        <v>0</v>
      </c>
      <c r="U78" s="479">
        <f>'Hodnocení '!U74</f>
        <v>0</v>
      </c>
      <c r="V78" s="479">
        <f>'Hodnocení '!V74</f>
        <v>0</v>
      </c>
      <c r="W78" s="479">
        <f>'Hodnocení '!W74</f>
        <v>0</v>
      </c>
      <c r="X78" s="479">
        <f>'Hodnocení '!X74</f>
        <v>0</v>
      </c>
      <c r="Y78" s="479">
        <f>'Hodnocení '!Y74</f>
        <v>0</v>
      </c>
      <c r="Z78" s="479">
        <f>'Hodnocení '!Z74</f>
        <v>0</v>
      </c>
      <c r="AA78" s="479">
        <f>'Hodnocení '!AA74</f>
        <v>1105710</v>
      </c>
      <c r="AB78" s="479">
        <f>'Hodnocení '!AB74</f>
        <v>0</v>
      </c>
      <c r="AC78" s="479">
        <f>'Hodnocení '!AC74</f>
        <v>0</v>
      </c>
      <c r="AD78" s="479">
        <f>'Hodnocení '!AD74</f>
        <v>0</v>
      </c>
      <c r="AE78" s="479">
        <f>'Hodnocení '!AE74</f>
        <v>1029711</v>
      </c>
      <c r="AF78" s="479">
        <f>'Hodnocení '!AF74</f>
        <v>2104207</v>
      </c>
      <c r="AG78" s="479">
        <f>'Hodnocení '!AG74</f>
        <v>0</v>
      </c>
      <c r="AH78" s="479">
        <f>'Hodnocení '!AH74</f>
        <v>0</v>
      </c>
      <c r="AI78" s="479">
        <f>'Hodnocení '!AI74</f>
        <v>0</v>
      </c>
      <c r="AJ78" s="479">
        <f>'Hodnocení '!AJ74</f>
        <v>0</v>
      </c>
      <c r="AK78" s="479">
        <f>'Hodnocení '!AK74</f>
        <v>0</v>
      </c>
      <c r="AL78" s="479">
        <f>'Hodnocení '!AL74</f>
        <v>814208</v>
      </c>
      <c r="AM78" s="479">
        <f>'Hodnocení '!AM74</f>
        <v>0</v>
      </c>
      <c r="AN78" s="479">
        <f>'Hodnocení '!AN74</f>
        <v>0</v>
      </c>
      <c r="AO78" s="479">
        <f>'Hodnocení '!AO74</f>
        <v>0</v>
      </c>
      <c r="AP78" s="479">
        <f>'Hodnocení '!AP74</f>
        <v>0</v>
      </c>
      <c r="AQ78" s="479">
        <f>'Hodnocení '!AQ74</f>
        <v>0</v>
      </c>
      <c r="AR78" s="479">
        <f>'Hodnocení '!AR74</f>
        <v>0</v>
      </c>
      <c r="AS78" s="479">
        <f>'Hodnocení '!AS74</f>
        <v>0</v>
      </c>
      <c r="AT78" s="479">
        <f>'Hodnocení '!AT74</f>
        <v>0</v>
      </c>
      <c r="AU78" s="479">
        <f>'Hodnocení '!AU74</f>
        <v>0</v>
      </c>
      <c r="AV78" s="479">
        <f>'Hodnocení '!AV74</f>
        <v>815468</v>
      </c>
      <c r="AW78" s="479">
        <f>'Hodnocení '!AW74</f>
        <v>1382185</v>
      </c>
      <c r="AX78" s="479">
        <f>'Hodnocení '!AX74</f>
        <v>0</v>
      </c>
      <c r="AY78" s="479">
        <f>'Hodnocení '!AY74</f>
        <v>0</v>
      </c>
      <c r="AZ78" s="479">
        <f>'Hodnocení '!AZ74</f>
        <v>0</v>
      </c>
      <c r="BA78" s="479">
        <f>'Hodnocení '!BA74</f>
        <v>0</v>
      </c>
      <c r="BB78" s="479">
        <f>'Hodnocení '!BB74</f>
        <v>0</v>
      </c>
      <c r="BC78" s="479">
        <f>'Hodnocení '!BC74</f>
        <v>0</v>
      </c>
      <c r="BD78" s="479">
        <f>'Hodnocení '!BD74</f>
        <v>0</v>
      </c>
      <c r="BE78" s="479">
        <f>'Hodnocení '!BE74</f>
        <v>0</v>
      </c>
      <c r="BF78" s="479">
        <f>'Hodnocení '!BF74</f>
        <v>0</v>
      </c>
      <c r="BG78" s="479">
        <f>'Hodnocení '!BG74</f>
        <v>0</v>
      </c>
      <c r="BH78" s="479">
        <f>'Hodnocení '!BH74</f>
        <v>0</v>
      </c>
      <c r="BI78" s="479">
        <f>'Hodnocení '!BI74</f>
        <v>0</v>
      </c>
      <c r="BJ78" s="479">
        <f>'Hodnocení '!BJ74</f>
        <v>0</v>
      </c>
      <c r="BK78" s="479">
        <f>'Hodnocení '!BK74</f>
        <v>852000</v>
      </c>
      <c r="BL78" s="479">
        <f>'Hodnocení '!BL74</f>
        <v>0</v>
      </c>
      <c r="BM78" s="479">
        <f>'Hodnocení '!BM74</f>
        <v>0</v>
      </c>
      <c r="BN78" s="479">
        <f>'Hodnocení '!BN74</f>
        <v>0</v>
      </c>
      <c r="BO78" s="479">
        <f>'Hodnocení '!BO74</f>
        <v>0</v>
      </c>
      <c r="BP78" s="479">
        <f>'Hodnocení '!BP74</f>
        <v>0</v>
      </c>
      <c r="BQ78" s="479">
        <f>'Hodnocení '!BQ74</f>
        <v>323681</v>
      </c>
      <c r="BR78" s="479">
        <f>'Hodnocení '!BR74</f>
        <v>0</v>
      </c>
      <c r="BS78" s="479">
        <f>'Hodnocení '!BS74</f>
        <v>0</v>
      </c>
      <c r="BT78" s="479">
        <f>'Hodnocení '!BT74</f>
        <v>0</v>
      </c>
      <c r="BU78" s="479">
        <f>'Hodnocení '!BU74</f>
        <v>0</v>
      </c>
      <c r="BV78" s="479">
        <f>'Hodnocení '!BV74</f>
        <v>0</v>
      </c>
      <c r="BW78" s="479">
        <f>'Hodnocení '!BW74</f>
        <v>0</v>
      </c>
      <c r="BX78" s="479">
        <f>'Hodnocení '!BX74</f>
        <v>0</v>
      </c>
      <c r="BY78" s="479">
        <f>'Hodnocení '!BY74</f>
        <v>0</v>
      </c>
      <c r="BZ78" s="479">
        <f>'Hodnocení '!BZ74</f>
        <v>0</v>
      </c>
      <c r="CA78" s="479">
        <f>'Hodnocení '!CA74</f>
        <v>0</v>
      </c>
      <c r="CB78" s="479">
        <f>'Hodnocení '!CB74</f>
        <v>0</v>
      </c>
      <c r="CC78" s="479">
        <f>'Hodnocení '!CC74</f>
        <v>0</v>
      </c>
      <c r="CD78" s="479">
        <f>'Hodnocení '!CD74</f>
        <v>0</v>
      </c>
      <c r="CE78" s="479">
        <f>'Hodnocení '!CE74</f>
        <v>0</v>
      </c>
      <c r="CF78" s="479">
        <f>'Hodnocení '!CF74</f>
        <v>0</v>
      </c>
      <c r="CG78" s="479">
        <f>'Hodnocení '!CG74</f>
        <v>7324486</v>
      </c>
      <c r="CH78" s="479">
        <f>'Hodnocení '!CH74</f>
        <v>1334896</v>
      </c>
      <c r="CI78" s="479">
        <f>'Hodnocení '!CI74</f>
        <v>1144916</v>
      </c>
      <c r="CJ78" s="479">
        <f>'Hodnocení '!CJ74</f>
        <v>1102190</v>
      </c>
      <c r="CK78" s="479">
        <f>'Hodnocení '!CK74</f>
        <v>0</v>
      </c>
      <c r="CL78" s="479">
        <f>'Hodnocení '!CL74</f>
        <v>987598</v>
      </c>
      <c r="CM78" s="479">
        <f>'Hodnocení '!CM74</f>
        <v>0</v>
      </c>
      <c r="CN78" s="479">
        <f>'Hodnocení '!CN74</f>
        <v>0</v>
      </c>
      <c r="CO78" s="479">
        <f>'Hodnocení '!CO74</f>
        <v>0</v>
      </c>
      <c r="CP78" s="479">
        <f>'Hodnocení '!CP74</f>
        <v>0</v>
      </c>
      <c r="CQ78" s="479">
        <f>'Hodnocení '!CQ74</f>
        <v>1821286</v>
      </c>
      <c r="CR78" s="479">
        <f>'Hodnocení '!CR74</f>
        <v>0</v>
      </c>
      <c r="CS78" s="479">
        <f>'Hodnocení '!CS74</f>
        <v>0</v>
      </c>
      <c r="CT78" s="479">
        <f>'Hodnocení '!CT74</f>
        <v>2207412</v>
      </c>
      <c r="CU78" s="479">
        <f>'Hodnocení '!CU74</f>
        <v>0</v>
      </c>
      <c r="CV78" s="479">
        <f>'Hodnocení '!CV74</f>
        <v>0</v>
      </c>
      <c r="CW78" s="479">
        <f>'Hodnocení '!CW74</f>
        <v>0</v>
      </c>
      <c r="CX78" s="479">
        <f>'Hodnocení '!CX74</f>
        <v>0</v>
      </c>
      <c r="CY78" s="479">
        <f>'Hodnocení '!CY74</f>
        <v>0</v>
      </c>
      <c r="CZ78" s="479">
        <f>'Hodnocení '!CZ74</f>
        <v>1006700</v>
      </c>
      <c r="DA78" s="479">
        <f>'Hodnocení '!DA74</f>
        <v>0</v>
      </c>
      <c r="DB78" s="479">
        <f>'Hodnocení '!DB74</f>
        <v>0</v>
      </c>
      <c r="DC78" s="479">
        <f>'Hodnocení '!DC74</f>
        <v>0</v>
      </c>
      <c r="DD78" s="479">
        <f>'Hodnocení '!DD74</f>
        <v>2172273</v>
      </c>
      <c r="DE78" s="479">
        <f>'Hodnocení '!DE74</f>
        <v>6197056</v>
      </c>
      <c r="DF78" s="479">
        <f>'Hodnocení '!DF74</f>
        <v>2503432</v>
      </c>
      <c r="DG78" s="479">
        <f>'Hodnocení '!DG74</f>
        <v>0</v>
      </c>
      <c r="DH78" s="479">
        <f>'Hodnocení '!DH74</f>
        <v>688392.64</v>
      </c>
      <c r="DI78" s="479">
        <f>'Hodnocení '!DI74</f>
        <v>447816</v>
      </c>
      <c r="DJ78" s="479">
        <f>'Hodnocení '!DJ74</f>
        <v>972918</v>
      </c>
      <c r="DK78" s="479">
        <f>'Hodnocení '!DK74</f>
        <v>393535</v>
      </c>
      <c r="DL78" s="479">
        <f>'Hodnocení '!DL74</f>
        <v>0</v>
      </c>
      <c r="DM78" s="479">
        <f>'Hodnocení '!DM74</f>
        <v>0</v>
      </c>
      <c r="DN78" s="479">
        <f>'Hodnocení '!DN74</f>
        <v>0</v>
      </c>
      <c r="DO78" s="479">
        <f>'Hodnocení '!DO74</f>
        <v>0</v>
      </c>
      <c r="DP78" s="479">
        <f>'Hodnocení '!DP74</f>
        <v>0</v>
      </c>
      <c r="DQ78" s="479">
        <f>'Hodnocení '!DQ74</f>
        <v>1603289</v>
      </c>
      <c r="DR78" s="479">
        <f>'Hodnocení '!DR74</f>
        <v>1525738</v>
      </c>
      <c r="DS78" s="479">
        <f>'Hodnocení '!DS74</f>
        <v>0</v>
      </c>
      <c r="DT78" s="479">
        <f>'Hodnocení '!DT74</f>
        <v>0</v>
      </c>
      <c r="DU78" s="479">
        <f>'Hodnocení '!DU74</f>
        <v>512809</v>
      </c>
      <c r="DV78" s="479">
        <f>'Hodnocení '!DV74</f>
        <v>0</v>
      </c>
      <c r="DW78" s="479">
        <f>'Hodnocení '!DW74</f>
        <v>0</v>
      </c>
      <c r="DX78" s="479">
        <f>'Hodnocení '!DX74</f>
        <v>1520357</v>
      </c>
      <c r="DY78" s="479">
        <f>'Hodnocení '!DY74</f>
        <v>0</v>
      </c>
      <c r="DZ78" s="479">
        <f>'Hodnocení '!DZ74</f>
        <v>0</v>
      </c>
      <c r="EA78" s="479">
        <f>'Hodnocení '!EA74</f>
        <v>0</v>
      </c>
      <c r="EB78" s="479">
        <f>'Hodnocení '!EB74</f>
        <v>0</v>
      </c>
      <c r="EC78" s="479">
        <f>'Hodnocení '!EC74</f>
        <v>0</v>
      </c>
      <c r="ED78" s="479">
        <f>'Hodnocení '!ED74</f>
        <v>0</v>
      </c>
      <c r="EE78" s="479">
        <f>'Hodnocení '!EE74</f>
        <v>0</v>
      </c>
      <c r="EF78" s="479">
        <f>'Hodnocení '!EF74</f>
        <v>0</v>
      </c>
      <c r="EG78" s="479">
        <f>'Hodnocení '!EG74</f>
        <v>0</v>
      </c>
      <c r="EH78" s="479">
        <f>'Hodnocení '!EH74</f>
        <v>0</v>
      </c>
      <c r="EI78" s="479">
        <f>'Hodnocení '!EI74</f>
        <v>0</v>
      </c>
      <c r="EJ78" s="479">
        <f>'Hodnocení '!EJ74</f>
        <v>458374</v>
      </c>
      <c r="EK78" s="479">
        <f>'Hodnocení '!EK74</f>
        <v>0</v>
      </c>
      <c r="EL78" s="479">
        <f>'Hodnocení '!EL74</f>
        <v>0</v>
      </c>
      <c r="EM78" s="479">
        <f>'Hodnocení '!EM74</f>
        <v>0</v>
      </c>
      <c r="EN78" s="479">
        <f>'Hodnocení '!EN74</f>
        <v>967498</v>
      </c>
      <c r="EO78" s="479">
        <f>'Hodnocení '!EO74</f>
        <v>0</v>
      </c>
      <c r="EP78" s="479">
        <f>'Hodnocení '!EP74</f>
        <v>0</v>
      </c>
      <c r="EQ78" s="479">
        <f>'Hodnocení '!EQ74</f>
        <v>653384</v>
      </c>
      <c r="ER78" s="479">
        <f>'Hodnocení '!ER74</f>
        <v>0</v>
      </c>
      <c r="ES78" s="479">
        <f>'Hodnocení '!ES74</f>
        <v>0</v>
      </c>
      <c r="ET78" s="479">
        <f>'Hodnocení '!ET74</f>
        <v>0</v>
      </c>
      <c r="EU78" s="479">
        <f>'Hodnocení '!EU74</f>
        <v>0</v>
      </c>
      <c r="EV78" s="479">
        <f>'Hodnocení '!EV74</f>
        <v>0</v>
      </c>
      <c r="EW78" s="479">
        <f>'Hodnocení '!EW74</f>
        <v>0</v>
      </c>
      <c r="EX78" s="479">
        <f>'Hodnocení '!EX74</f>
        <v>0</v>
      </c>
      <c r="EY78" s="479">
        <f>'Hodnocení '!EY74</f>
        <v>1020025</v>
      </c>
      <c r="EZ78" s="479">
        <f>'Hodnocení '!EZ74</f>
        <v>0</v>
      </c>
      <c r="FA78" s="479">
        <f>'Hodnocení '!FA74</f>
        <v>0</v>
      </c>
      <c r="FB78" s="479">
        <f>'Hodnocení '!FB74</f>
        <v>0</v>
      </c>
      <c r="FC78" s="479">
        <f>'Hodnocení '!FC74</f>
        <v>0</v>
      </c>
      <c r="FD78" s="479">
        <f>'Hodnocení '!FD74</f>
        <v>402081</v>
      </c>
      <c r="FE78" s="479">
        <f>'Hodnocení '!FE74</f>
        <v>0</v>
      </c>
      <c r="FF78" s="479">
        <f>'Hodnocení '!FF74</f>
        <v>0</v>
      </c>
      <c r="FG78" s="479">
        <f>'Hodnocení '!FG74</f>
        <v>0</v>
      </c>
      <c r="FH78" s="479">
        <f>'Hodnocení '!FH74</f>
        <v>0</v>
      </c>
      <c r="FI78" s="479">
        <f>'Hodnocení '!FI74</f>
        <v>0</v>
      </c>
      <c r="FJ78" s="479">
        <f>'Hodnocení '!FJ74</f>
        <v>0</v>
      </c>
      <c r="FK78" s="479">
        <f>'Hodnocení '!FK74</f>
        <v>0</v>
      </c>
      <c r="FL78" s="479">
        <f>'Hodnocení '!FL74</f>
        <v>0</v>
      </c>
      <c r="FM78" s="479">
        <f>'Hodnocení '!FM74</f>
        <v>0</v>
      </c>
      <c r="FN78" s="479">
        <f>'Hodnocení '!FN74</f>
        <v>0</v>
      </c>
      <c r="FO78" s="479">
        <f>'Hodnocení '!FO74</f>
        <v>0</v>
      </c>
      <c r="FP78" s="479">
        <f>'Hodnocení '!FP74</f>
        <v>0</v>
      </c>
      <c r="FQ78" s="479">
        <f>'Hodnocení '!FQ74</f>
        <v>0</v>
      </c>
      <c r="FR78" s="479">
        <f>'Hodnocení '!FR74</f>
        <v>0</v>
      </c>
      <c r="FS78" s="479">
        <f>'Hodnocení '!FS74</f>
        <v>0</v>
      </c>
      <c r="FT78" s="479">
        <f>'Hodnocení '!FT74</f>
        <v>0</v>
      </c>
      <c r="FU78" s="479">
        <f>'Hodnocení '!FU74</f>
        <v>0</v>
      </c>
      <c r="FV78" s="479">
        <f>'Hodnocení '!FV74</f>
        <v>0</v>
      </c>
      <c r="FW78" s="479">
        <f>'Hodnocení '!FW74</f>
        <v>0</v>
      </c>
      <c r="FX78" s="479">
        <f>'Hodnocení '!FX74</f>
        <v>0</v>
      </c>
      <c r="FY78" s="479">
        <f>'Hodnocení '!FY74</f>
        <v>0</v>
      </c>
      <c r="FZ78" s="479">
        <f>'Hodnocení '!FZ74</f>
        <v>0</v>
      </c>
      <c r="GA78" s="479">
        <f>'Hodnocení '!GA74</f>
        <v>0</v>
      </c>
      <c r="GB78" s="479">
        <f>'Hodnocení '!GB74</f>
        <v>0</v>
      </c>
      <c r="GC78" s="479">
        <f>'Hodnocení '!GC74</f>
        <v>0</v>
      </c>
      <c r="GD78" s="479">
        <f>'Hodnocení '!GD74</f>
        <v>0</v>
      </c>
      <c r="GE78" s="479">
        <f>'Hodnocení '!GE74</f>
        <v>564655</v>
      </c>
      <c r="GF78" s="479">
        <f>'Hodnocení '!GF74</f>
        <v>0</v>
      </c>
      <c r="GG78" s="479">
        <f>'Hodnocení '!GG74</f>
        <v>0</v>
      </c>
      <c r="GH78" s="479">
        <f>'Hodnocení '!GH74</f>
        <v>0</v>
      </c>
      <c r="GI78" s="479">
        <f>'Hodnocení '!GI74</f>
        <v>0</v>
      </c>
      <c r="GJ78" s="479">
        <f>'Hodnocení '!GJ74</f>
        <v>0</v>
      </c>
      <c r="GK78" s="479">
        <f>'Hodnocení '!GK74</f>
        <v>0</v>
      </c>
      <c r="GL78" s="479">
        <f>'Hodnocení '!GL74</f>
        <v>0</v>
      </c>
      <c r="GM78" s="479">
        <f>'Hodnocení '!GM74</f>
        <v>0</v>
      </c>
      <c r="GN78" s="479">
        <f>'Hodnocení '!GN74</f>
        <v>402076</v>
      </c>
      <c r="GO78" s="479">
        <f>'Hodnocení '!GO74</f>
        <v>0</v>
      </c>
      <c r="GP78" s="479">
        <f>'Hodnocení '!GP74</f>
        <v>0</v>
      </c>
      <c r="GQ78" s="479">
        <f>'Hodnocení '!GQ74</f>
        <v>0</v>
      </c>
      <c r="GR78" s="479">
        <f>'Hodnocení '!GR74</f>
        <v>0</v>
      </c>
      <c r="GS78" s="479">
        <f>'Hodnocení '!GS74</f>
        <v>0</v>
      </c>
      <c r="GT78" s="479">
        <f>'Hodnocení '!GT74</f>
        <v>0</v>
      </c>
      <c r="GU78" s="479">
        <f>'Hodnocení '!GU74</f>
        <v>0</v>
      </c>
      <c r="GV78" s="479">
        <f>'Hodnocení '!GV74</f>
        <v>0</v>
      </c>
      <c r="GW78" s="479">
        <f>'Hodnocení '!GW74</f>
        <v>0</v>
      </c>
      <c r="GX78" s="479">
        <f>'Hodnocení '!GX74</f>
        <v>0</v>
      </c>
      <c r="GY78" s="479">
        <f>'Hodnocení '!GY74</f>
        <v>0</v>
      </c>
      <c r="GZ78" s="479">
        <f>'Hodnocení '!GZ74</f>
        <v>0</v>
      </c>
      <c r="HA78" s="479">
        <f>'Hodnocení '!HA74</f>
        <v>0</v>
      </c>
      <c r="HB78" s="479">
        <f>'Hodnocení '!HB74</f>
        <v>0</v>
      </c>
      <c r="HC78" s="479">
        <f>'Hodnocení '!HC74</f>
        <v>0</v>
      </c>
      <c r="HD78" s="479">
        <f>'Hodnocení '!HD74</f>
        <v>0</v>
      </c>
      <c r="HE78" s="479">
        <f>'Hodnocení '!HE74</f>
        <v>0</v>
      </c>
      <c r="HF78" s="479">
        <f>'Hodnocení '!HF74</f>
        <v>0</v>
      </c>
      <c r="HG78" s="479">
        <f>'Hodnocení '!HG74</f>
        <v>0</v>
      </c>
      <c r="HH78" s="479">
        <f>'Hodnocení '!HH74</f>
        <v>0</v>
      </c>
      <c r="HI78" s="479">
        <f>'Hodnocení '!HI74</f>
        <v>0</v>
      </c>
      <c r="HJ78" s="479">
        <f>'Hodnocení '!HJ74</f>
        <v>251307</v>
      </c>
      <c r="HK78" s="479">
        <f>'Hodnocení '!HK74</f>
        <v>0</v>
      </c>
      <c r="HL78" s="479">
        <f>'Hodnocení '!HL74</f>
        <v>0</v>
      </c>
      <c r="HM78" s="479">
        <f>'Hodnocení '!HM74</f>
        <v>0</v>
      </c>
      <c r="HN78" s="479">
        <f>'Hodnocení '!HN74</f>
        <v>0</v>
      </c>
      <c r="HO78" s="479">
        <f>'Hodnocení '!HO74</f>
        <v>2080800</v>
      </c>
      <c r="HP78" s="479">
        <f>'Hodnocení '!HP74</f>
        <v>0</v>
      </c>
      <c r="HQ78" s="479">
        <f>'Hodnocení '!HQ74</f>
        <v>0</v>
      </c>
      <c r="HR78" s="479">
        <f>'Hodnocení '!HR74</f>
        <v>0</v>
      </c>
      <c r="HS78" s="479">
        <f>'Hodnocení '!HS74</f>
        <v>0</v>
      </c>
      <c r="HT78" s="479">
        <f>'Hodnocení '!HT74</f>
        <v>0</v>
      </c>
      <c r="HU78" s="479">
        <f>'Hodnocení '!HU74</f>
        <v>0</v>
      </c>
      <c r="HV78" s="479">
        <f>'Hodnocení '!HV74</f>
        <v>0</v>
      </c>
      <c r="HW78" s="479">
        <f>'Hodnocení '!HW74</f>
        <v>0</v>
      </c>
      <c r="HX78" s="479">
        <f>'Hodnocení '!HX74</f>
        <v>0</v>
      </c>
      <c r="HY78" s="479">
        <f>'Hodnocení '!HY74</f>
        <v>0</v>
      </c>
      <c r="HZ78" s="479">
        <f>'Hodnocení '!HZ74</f>
        <v>0</v>
      </c>
      <c r="IA78" s="479">
        <f>'Hodnocení '!IA74</f>
        <v>0</v>
      </c>
      <c r="IB78" s="479">
        <f>'Hodnocení '!IB74</f>
        <v>0</v>
      </c>
      <c r="IC78" s="479">
        <f>'Hodnocení '!IC74</f>
        <v>0</v>
      </c>
      <c r="ID78" s="479">
        <f>'Hodnocení '!ID74</f>
        <v>0</v>
      </c>
      <c r="IE78" s="479">
        <f>'Hodnocení '!IE74</f>
        <v>0</v>
      </c>
      <c r="IF78" s="479">
        <f>'Hodnocení '!IF74</f>
        <v>0</v>
      </c>
      <c r="IG78" s="479">
        <f>'Hodnocení '!IG74</f>
        <v>0</v>
      </c>
      <c r="IH78" s="479">
        <f>'Hodnocení '!IH74</f>
        <v>0</v>
      </c>
      <c r="II78" s="479">
        <f>'Hodnocení '!II74</f>
        <v>0</v>
      </c>
      <c r="IJ78" s="479">
        <f>'Hodnocení '!IJ74</f>
        <v>0</v>
      </c>
      <c r="IK78" s="479">
        <f>'Hodnocení '!IK74</f>
        <v>2393172</v>
      </c>
      <c r="IL78" s="479">
        <f>'Hodnocení '!IL74</f>
        <v>0</v>
      </c>
      <c r="IM78" s="479">
        <f>'Hodnocení '!IM74</f>
        <v>0</v>
      </c>
      <c r="IN78" s="479">
        <f>'Hodnocení '!IN74</f>
        <v>0</v>
      </c>
      <c r="IO78" s="479">
        <f>'Hodnocení '!IO74</f>
        <v>0</v>
      </c>
      <c r="IP78" s="479">
        <f>'Hodnocení '!IP74</f>
        <v>0</v>
      </c>
      <c r="IQ78" s="479">
        <f>'Hodnocení '!IQ74</f>
        <v>0</v>
      </c>
      <c r="IR78" s="479">
        <f>'Hodnocení '!IR74</f>
        <v>0</v>
      </c>
      <c r="IS78" s="479">
        <f>'Hodnocení '!IS74</f>
        <v>0</v>
      </c>
      <c r="IT78" s="479">
        <f>'Hodnocení '!IT74</f>
        <v>0</v>
      </c>
      <c r="IU78" s="479">
        <f>'Hodnocení '!IU74</f>
        <v>0</v>
      </c>
      <c r="IV78" s="479">
        <f>'Hodnocení '!IV74</f>
        <v>0</v>
      </c>
      <c r="IW78" s="479">
        <f>'Hodnocení '!IW74</f>
        <v>0</v>
      </c>
      <c r="IX78" s="479">
        <f>'Hodnocení '!IX74</f>
        <v>0</v>
      </c>
      <c r="IY78" s="479">
        <f>'Hodnocení '!IY74</f>
        <v>0</v>
      </c>
      <c r="IZ78" s="479">
        <f>'Hodnocení '!IZ74</f>
        <v>0</v>
      </c>
      <c r="JA78" s="479">
        <f>'Hodnocení '!JA74</f>
        <v>0</v>
      </c>
      <c r="JB78" s="479">
        <f>'Hodnocení '!JB74</f>
        <v>0</v>
      </c>
      <c r="JC78" s="479">
        <f>'Hodnocení '!JC74</f>
        <v>0</v>
      </c>
      <c r="JD78" s="479">
        <f>'Hodnocení '!JD74</f>
        <v>1410292</v>
      </c>
      <c r="JE78" s="479">
        <f>'Hodnocení '!JE74</f>
        <v>0</v>
      </c>
      <c r="JF78" s="479">
        <f>'Hodnocení '!JF74</f>
        <v>0</v>
      </c>
      <c r="JG78" s="479">
        <f>'Hodnocení '!JG74</f>
        <v>0</v>
      </c>
      <c r="JH78" s="780">
        <f>'Hodnocení '!JH74</f>
        <v>0</v>
      </c>
      <c r="JI78" s="470">
        <f>'Hodnocení '!JI74</f>
        <v>58484223.640000001</v>
      </c>
      <c r="JL78" s="307">
        <f t="shared" si="49"/>
        <v>0</v>
      </c>
      <c r="JM78" s="307">
        <f t="shared" si="49"/>
        <v>49959815.640000001</v>
      </c>
      <c r="JN78" s="307">
        <f t="shared" si="49"/>
        <v>2640144</v>
      </c>
      <c r="JO78" s="307">
        <f t="shared" si="49"/>
        <v>5884264</v>
      </c>
      <c r="JP78" s="307">
        <f t="shared" si="50"/>
        <v>58484223.640000001</v>
      </c>
    </row>
    <row r="79" spans="1:276" hidden="1" x14ac:dyDescent="0.25">
      <c r="A79" s="353">
        <v>8</v>
      </c>
      <c r="B79" s="733" t="s">
        <v>2524</v>
      </c>
      <c r="C79" s="779">
        <f>'Hodnocení '!C75</f>
        <v>0</v>
      </c>
      <c r="D79" s="479">
        <f>'Hodnocení '!D75</f>
        <v>0</v>
      </c>
      <c r="E79" s="479">
        <f>'Hodnocení '!E75</f>
        <v>0</v>
      </c>
      <c r="F79" s="479">
        <f>'Hodnocení '!F75</f>
        <v>0</v>
      </c>
      <c r="G79" s="479">
        <f>'Hodnocení '!G75</f>
        <v>0</v>
      </c>
      <c r="H79" s="479">
        <f>'Hodnocení '!H75</f>
        <v>0</v>
      </c>
      <c r="I79" s="479">
        <f>'Hodnocení '!I75</f>
        <v>0</v>
      </c>
      <c r="J79" s="479">
        <f>'Hodnocení '!J75</f>
        <v>0</v>
      </c>
      <c r="K79" s="479">
        <f>'Hodnocení '!K75</f>
        <v>0</v>
      </c>
      <c r="L79" s="479">
        <f>'Hodnocení '!L75</f>
        <v>0</v>
      </c>
      <c r="M79" s="479">
        <f>'Hodnocení '!M75</f>
        <v>0</v>
      </c>
      <c r="N79" s="479">
        <f>'Hodnocení '!N75</f>
        <v>0</v>
      </c>
      <c r="O79" s="479">
        <f>'Hodnocení '!O75</f>
        <v>0</v>
      </c>
      <c r="P79" s="479">
        <f>'Hodnocení '!P75</f>
        <v>0</v>
      </c>
      <c r="Q79" s="479">
        <f>'Hodnocení '!Q75</f>
        <v>0</v>
      </c>
      <c r="R79" s="479">
        <f>'Hodnocení '!R75</f>
        <v>0</v>
      </c>
      <c r="S79" s="479">
        <f>'Hodnocení '!S75</f>
        <v>0</v>
      </c>
      <c r="T79" s="479">
        <f>'Hodnocení '!T75</f>
        <v>0</v>
      </c>
      <c r="U79" s="479">
        <f>'Hodnocení '!U75</f>
        <v>0</v>
      </c>
      <c r="V79" s="479">
        <f>'Hodnocení '!V75</f>
        <v>0</v>
      </c>
      <c r="W79" s="479">
        <f>'Hodnocení '!W75</f>
        <v>0</v>
      </c>
      <c r="X79" s="479">
        <f>'Hodnocení '!X75</f>
        <v>0</v>
      </c>
      <c r="Y79" s="479">
        <f>'Hodnocení '!Y75</f>
        <v>0</v>
      </c>
      <c r="Z79" s="479">
        <f>'Hodnocení '!Z75</f>
        <v>0</v>
      </c>
      <c r="AA79" s="479">
        <f>'Hodnocení '!AA75</f>
        <v>0</v>
      </c>
      <c r="AB79" s="479">
        <f>'Hodnocení '!AB75</f>
        <v>0</v>
      </c>
      <c r="AC79" s="479">
        <f>'Hodnocení '!AC75</f>
        <v>0</v>
      </c>
      <c r="AD79" s="479">
        <f>'Hodnocení '!AD75</f>
        <v>0</v>
      </c>
      <c r="AE79" s="479">
        <f>'Hodnocení '!AE75</f>
        <v>0</v>
      </c>
      <c r="AF79" s="479">
        <f>'Hodnocení '!AF75</f>
        <v>0</v>
      </c>
      <c r="AG79" s="479">
        <f>'Hodnocení '!AG75</f>
        <v>0</v>
      </c>
      <c r="AH79" s="479">
        <f>'Hodnocení '!AH75</f>
        <v>0</v>
      </c>
      <c r="AI79" s="479">
        <f>'Hodnocení '!AI75</f>
        <v>0</v>
      </c>
      <c r="AJ79" s="479">
        <f>'Hodnocení '!AJ75</f>
        <v>0</v>
      </c>
      <c r="AK79" s="479">
        <f>'Hodnocení '!AK75</f>
        <v>0</v>
      </c>
      <c r="AL79" s="479">
        <f>'Hodnocení '!AL75</f>
        <v>0</v>
      </c>
      <c r="AM79" s="479">
        <f>'Hodnocení '!AM75</f>
        <v>0</v>
      </c>
      <c r="AN79" s="479">
        <f>'Hodnocení '!AN75</f>
        <v>0</v>
      </c>
      <c r="AO79" s="479">
        <f>'Hodnocení '!AO75</f>
        <v>0</v>
      </c>
      <c r="AP79" s="479">
        <f>'Hodnocení '!AP75</f>
        <v>0</v>
      </c>
      <c r="AQ79" s="479">
        <f>'Hodnocení '!AQ75</f>
        <v>0</v>
      </c>
      <c r="AR79" s="479">
        <f>'Hodnocení '!AR75</f>
        <v>0</v>
      </c>
      <c r="AS79" s="479">
        <f>'Hodnocení '!AS75</f>
        <v>0</v>
      </c>
      <c r="AT79" s="479">
        <f>'Hodnocení '!AT75</f>
        <v>0</v>
      </c>
      <c r="AU79" s="479">
        <f>'Hodnocení '!AU75</f>
        <v>0</v>
      </c>
      <c r="AV79" s="479">
        <f>'Hodnocení '!AV75</f>
        <v>0</v>
      </c>
      <c r="AW79" s="479">
        <f>'Hodnocení '!AW75</f>
        <v>0</v>
      </c>
      <c r="AX79" s="479">
        <f>'Hodnocení '!AX75</f>
        <v>0</v>
      </c>
      <c r="AY79" s="479">
        <f>'Hodnocení '!AY75</f>
        <v>0</v>
      </c>
      <c r="AZ79" s="479">
        <f>'Hodnocení '!AZ75</f>
        <v>0</v>
      </c>
      <c r="BA79" s="479">
        <f>'Hodnocení '!BA75</f>
        <v>0</v>
      </c>
      <c r="BB79" s="479">
        <f>'Hodnocení '!BB75</f>
        <v>0</v>
      </c>
      <c r="BC79" s="479">
        <f>'Hodnocení '!BC75</f>
        <v>0</v>
      </c>
      <c r="BD79" s="479">
        <f>'Hodnocení '!BD75</f>
        <v>0</v>
      </c>
      <c r="BE79" s="479">
        <f>'Hodnocení '!BE75</f>
        <v>0</v>
      </c>
      <c r="BF79" s="479">
        <f>'Hodnocení '!BF75</f>
        <v>0</v>
      </c>
      <c r="BG79" s="479">
        <f>'Hodnocení '!BG75</f>
        <v>0</v>
      </c>
      <c r="BH79" s="479">
        <f>'Hodnocení '!BH75</f>
        <v>0</v>
      </c>
      <c r="BI79" s="479">
        <f>'Hodnocení '!BI75</f>
        <v>0</v>
      </c>
      <c r="BJ79" s="479">
        <f>'Hodnocení '!BJ75</f>
        <v>0</v>
      </c>
      <c r="BK79" s="479">
        <f>'Hodnocení '!BK75</f>
        <v>0</v>
      </c>
      <c r="BL79" s="479">
        <f>'Hodnocení '!BL75</f>
        <v>0</v>
      </c>
      <c r="BM79" s="479">
        <f>'Hodnocení '!BM75</f>
        <v>0</v>
      </c>
      <c r="BN79" s="479">
        <f>'Hodnocení '!BN75</f>
        <v>0</v>
      </c>
      <c r="BO79" s="479">
        <f>'Hodnocení '!BO75</f>
        <v>0</v>
      </c>
      <c r="BP79" s="479">
        <f>'Hodnocení '!BP75</f>
        <v>0</v>
      </c>
      <c r="BQ79" s="479">
        <f>'Hodnocení '!BQ75</f>
        <v>0</v>
      </c>
      <c r="BR79" s="479">
        <f>'Hodnocení '!BR75</f>
        <v>0</v>
      </c>
      <c r="BS79" s="479">
        <f>'Hodnocení '!BS75</f>
        <v>0</v>
      </c>
      <c r="BT79" s="479">
        <f>'Hodnocení '!BT75</f>
        <v>0</v>
      </c>
      <c r="BU79" s="479">
        <f>'Hodnocení '!BU75</f>
        <v>0</v>
      </c>
      <c r="BV79" s="479">
        <f>'Hodnocení '!BV75</f>
        <v>0</v>
      </c>
      <c r="BW79" s="479">
        <f>'Hodnocení '!BW75</f>
        <v>0</v>
      </c>
      <c r="BX79" s="479">
        <f>'Hodnocení '!BX75</f>
        <v>0</v>
      </c>
      <c r="BY79" s="479">
        <f>'Hodnocení '!BY75</f>
        <v>0</v>
      </c>
      <c r="BZ79" s="479">
        <f>'Hodnocení '!BZ75</f>
        <v>0</v>
      </c>
      <c r="CA79" s="479">
        <f>'Hodnocení '!CA75</f>
        <v>0</v>
      </c>
      <c r="CB79" s="479">
        <f>'Hodnocení '!CB75</f>
        <v>0</v>
      </c>
      <c r="CC79" s="479">
        <f>'Hodnocení '!CC75</f>
        <v>0</v>
      </c>
      <c r="CD79" s="479">
        <f>'Hodnocení '!CD75</f>
        <v>0</v>
      </c>
      <c r="CE79" s="479">
        <f>'Hodnocení '!CE75</f>
        <v>0</v>
      </c>
      <c r="CF79" s="479">
        <f>'Hodnocení '!CF75</f>
        <v>0</v>
      </c>
      <c r="CG79" s="479">
        <f>'Hodnocení '!CG75</f>
        <v>0</v>
      </c>
      <c r="CH79" s="479">
        <f>'Hodnocení '!CH75</f>
        <v>0</v>
      </c>
      <c r="CI79" s="479">
        <f>'Hodnocení '!CI75</f>
        <v>0</v>
      </c>
      <c r="CJ79" s="479">
        <f>'Hodnocení '!CJ75</f>
        <v>0</v>
      </c>
      <c r="CK79" s="479">
        <f>'Hodnocení '!CK75</f>
        <v>0</v>
      </c>
      <c r="CL79" s="479">
        <f>'Hodnocení '!CL75</f>
        <v>0</v>
      </c>
      <c r="CM79" s="479">
        <f>'Hodnocení '!CM75</f>
        <v>0</v>
      </c>
      <c r="CN79" s="479">
        <f>'Hodnocení '!CN75</f>
        <v>0</v>
      </c>
      <c r="CO79" s="479">
        <f>'Hodnocení '!CO75</f>
        <v>0</v>
      </c>
      <c r="CP79" s="479">
        <f>'Hodnocení '!CP75</f>
        <v>0</v>
      </c>
      <c r="CQ79" s="479">
        <f>'Hodnocení '!CQ75</f>
        <v>0</v>
      </c>
      <c r="CR79" s="479">
        <f>'Hodnocení '!CR75</f>
        <v>0</v>
      </c>
      <c r="CS79" s="479">
        <f>'Hodnocení '!CS75</f>
        <v>0</v>
      </c>
      <c r="CT79" s="479">
        <f>'Hodnocení '!CT75</f>
        <v>0</v>
      </c>
      <c r="CU79" s="479">
        <f>'Hodnocení '!CU75</f>
        <v>0</v>
      </c>
      <c r="CV79" s="479">
        <f>'Hodnocení '!CV75</f>
        <v>0</v>
      </c>
      <c r="CW79" s="479">
        <f>'Hodnocení '!CW75</f>
        <v>0</v>
      </c>
      <c r="CX79" s="479">
        <f>'Hodnocení '!CX75</f>
        <v>0</v>
      </c>
      <c r="CY79" s="479">
        <f>'Hodnocení '!CY75</f>
        <v>0</v>
      </c>
      <c r="CZ79" s="479">
        <f>'Hodnocení '!CZ75</f>
        <v>0</v>
      </c>
      <c r="DA79" s="479">
        <f>'Hodnocení '!DA75</f>
        <v>0</v>
      </c>
      <c r="DB79" s="479">
        <f>'Hodnocení '!DB75</f>
        <v>0</v>
      </c>
      <c r="DC79" s="479">
        <f>'Hodnocení '!DC75</f>
        <v>0</v>
      </c>
      <c r="DD79" s="479">
        <f>'Hodnocení '!DD75</f>
        <v>0</v>
      </c>
      <c r="DE79" s="479">
        <f>'Hodnocení '!DE75</f>
        <v>0</v>
      </c>
      <c r="DF79" s="479">
        <f>'Hodnocení '!DF75</f>
        <v>0</v>
      </c>
      <c r="DG79" s="479">
        <f>'Hodnocení '!DG75</f>
        <v>0</v>
      </c>
      <c r="DH79" s="479">
        <f>'Hodnocení '!DH75</f>
        <v>0</v>
      </c>
      <c r="DI79" s="479">
        <f>'Hodnocení '!DI75</f>
        <v>0</v>
      </c>
      <c r="DJ79" s="479">
        <f>'Hodnocení '!DJ75</f>
        <v>0</v>
      </c>
      <c r="DK79" s="479">
        <f>'Hodnocení '!DK75</f>
        <v>0</v>
      </c>
      <c r="DL79" s="479">
        <f>'Hodnocení '!DL75</f>
        <v>0</v>
      </c>
      <c r="DM79" s="479">
        <f>'Hodnocení '!DM75</f>
        <v>0</v>
      </c>
      <c r="DN79" s="479">
        <f>'Hodnocení '!DN75</f>
        <v>0</v>
      </c>
      <c r="DO79" s="479">
        <f>'Hodnocení '!DO75</f>
        <v>0</v>
      </c>
      <c r="DP79" s="479">
        <f>'Hodnocení '!DP75</f>
        <v>0</v>
      </c>
      <c r="DQ79" s="479">
        <f>'Hodnocení '!DQ75</f>
        <v>0</v>
      </c>
      <c r="DR79" s="479">
        <f>'Hodnocení '!DR75</f>
        <v>0</v>
      </c>
      <c r="DS79" s="479">
        <f>'Hodnocení '!DS75</f>
        <v>0</v>
      </c>
      <c r="DT79" s="479">
        <f>'Hodnocení '!DT75</f>
        <v>0</v>
      </c>
      <c r="DU79" s="479">
        <f>'Hodnocení '!DU75</f>
        <v>0</v>
      </c>
      <c r="DV79" s="479">
        <f>'Hodnocení '!DV75</f>
        <v>0</v>
      </c>
      <c r="DW79" s="479">
        <f>'Hodnocení '!DW75</f>
        <v>0</v>
      </c>
      <c r="DX79" s="479">
        <f>'Hodnocení '!DX75</f>
        <v>0</v>
      </c>
      <c r="DY79" s="479">
        <f>'Hodnocení '!DY75</f>
        <v>0</v>
      </c>
      <c r="DZ79" s="479">
        <f>'Hodnocení '!DZ75</f>
        <v>0</v>
      </c>
      <c r="EA79" s="479">
        <f>'Hodnocení '!EA75</f>
        <v>0</v>
      </c>
      <c r="EB79" s="479">
        <f>'Hodnocení '!EB75</f>
        <v>0</v>
      </c>
      <c r="EC79" s="479">
        <f>'Hodnocení '!EC75</f>
        <v>0</v>
      </c>
      <c r="ED79" s="479">
        <f>'Hodnocení '!ED75</f>
        <v>0</v>
      </c>
      <c r="EE79" s="479">
        <f>'Hodnocení '!EE75</f>
        <v>0</v>
      </c>
      <c r="EF79" s="479">
        <f>'Hodnocení '!EF75</f>
        <v>0</v>
      </c>
      <c r="EG79" s="479">
        <f>'Hodnocení '!EG75</f>
        <v>0</v>
      </c>
      <c r="EH79" s="479">
        <f>'Hodnocení '!EH75</f>
        <v>0</v>
      </c>
      <c r="EI79" s="479">
        <f>'Hodnocení '!EI75</f>
        <v>0</v>
      </c>
      <c r="EJ79" s="479">
        <f>'Hodnocení '!EJ75</f>
        <v>0</v>
      </c>
      <c r="EK79" s="479">
        <f>'Hodnocení '!EK75</f>
        <v>0</v>
      </c>
      <c r="EL79" s="479">
        <f>'Hodnocení '!EL75</f>
        <v>0</v>
      </c>
      <c r="EM79" s="479">
        <f>'Hodnocení '!EM75</f>
        <v>0</v>
      </c>
      <c r="EN79" s="479">
        <f>'Hodnocení '!EN75</f>
        <v>0</v>
      </c>
      <c r="EO79" s="479">
        <f>'Hodnocení '!EO75</f>
        <v>0</v>
      </c>
      <c r="EP79" s="479">
        <f>'Hodnocení '!EP75</f>
        <v>0</v>
      </c>
      <c r="EQ79" s="479">
        <f>'Hodnocení '!EQ75</f>
        <v>0</v>
      </c>
      <c r="ER79" s="479">
        <f>'Hodnocení '!ER75</f>
        <v>0</v>
      </c>
      <c r="ES79" s="479">
        <f>'Hodnocení '!ES75</f>
        <v>0</v>
      </c>
      <c r="ET79" s="479">
        <f>'Hodnocení '!ET75</f>
        <v>0</v>
      </c>
      <c r="EU79" s="479">
        <f>'Hodnocení '!EU75</f>
        <v>0</v>
      </c>
      <c r="EV79" s="479">
        <f>'Hodnocení '!EV75</f>
        <v>0</v>
      </c>
      <c r="EW79" s="479">
        <f>'Hodnocení '!EW75</f>
        <v>0</v>
      </c>
      <c r="EX79" s="479">
        <f>'Hodnocení '!EX75</f>
        <v>0</v>
      </c>
      <c r="EY79" s="479">
        <f>'Hodnocení '!EY75</f>
        <v>0</v>
      </c>
      <c r="EZ79" s="479">
        <f>'Hodnocení '!EZ75</f>
        <v>0</v>
      </c>
      <c r="FA79" s="479">
        <f>'Hodnocení '!FA75</f>
        <v>0</v>
      </c>
      <c r="FB79" s="479">
        <f>'Hodnocení '!FB75</f>
        <v>0</v>
      </c>
      <c r="FC79" s="479">
        <f>'Hodnocení '!FC75</f>
        <v>0</v>
      </c>
      <c r="FD79" s="479">
        <f>'Hodnocení '!FD75</f>
        <v>0</v>
      </c>
      <c r="FE79" s="479">
        <f>'Hodnocení '!FE75</f>
        <v>0</v>
      </c>
      <c r="FF79" s="479">
        <f>'Hodnocení '!FF75</f>
        <v>0</v>
      </c>
      <c r="FG79" s="479">
        <f>'Hodnocení '!FG75</f>
        <v>0</v>
      </c>
      <c r="FH79" s="479">
        <f>'Hodnocení '!FH75</f>
        <v>0</v>
      </c>
      <c r="FI79" s="479">
        <f>'Hodnocení '!FI75</f>
        <v>0</v>
      </c>
      <c r="FJ79" s="479">
        <f>'Hodnocení '!FJ75</f>
        <v>0</v>
      </c>
      <c r="FK79" s="479">
        <f>'Hodnocení '!FK75</f>
        <v>0</v>
      </c>
      <c r="FL79" s="479">
        <f>'Hodnocení '!FL75</f>
        <v>0</v>
      </c>
      <c r="FM79" s="479">
        <f>'Hodnocení '!FM75</f>
        <v>0</v>
      </c>
      <c r="FN79" s="479">
        <f>'Hodnocení '!FN75</f>
        <v>0</v>
      </c>
      <c r="FO79" s="479">
        <f>'Hodnocení '!FO75</f>
        <v>0</v>
      </c>
      <c r="FP79" s="479">
        <f>'Hodnocení '!FP75</f>
        <v>0</v>
      </c>
      <c r="FQ79" s="479">
        <f>'Hodnocení '!FQ75</f>
        <v>0</v>
      </c>
      <c r="FR79" s="479">
        <f>'Hodnocení '!FR75</f>
        <v>0</v>
      </c>
      <c r="FS79" s="479">
        <f>'Hodnocení '!FS75</f>
        <v>0</v>
      </c>
      <c r="FT79" s="479">
        <f>'Hodnocení '!FT75</f>
        <v>0</v>
      </c>
      <c r="FU79" s="479">
        <f>'Hodnocení '!FU75</f>
        <v>0</v>
      </c>
      <c r="FV79" s="479">
        <f>'Hodnocení '!FV75</f>
        <v>0</v>
      </c>
      <c r="FW79" s="479">
        <f>'Hodnocení '!FW75</f>
        <v>0</v>
      </c>
      <c r="FX79" s="479">
        <f>'Hodnocení '!FX75</f>
        <v>0</v>
      </c>
      <c r="FY79" s="479">
        <f>'Hodnocení '!FY75</f>
        <v>0</v>
      </c>
      <c r="FZ79" s="479">
        <f>'Hodnocení '!FZ75</f>
        <v>0</v>
      </c>
      <c r="GA79" s="479">
        <f>'Hodnocení '!GA75</f>
        <v>0</v>
      </c>
      <c r="GB79" s="479">
        <f>'Hodnocení '!GB75</f>
        <v>0</v>
      </c>
      <c r="GC79" s="479">
        <f>'Hodnocení '!GC75</f>
        <v>0</v>
      </c>
      <c r="GD79" s="479">
        <f>'Hodnocení '!GD75</f>
        <v>0</v>
      </c>
      <c r="GE79" s="479">
        <f>'Hodnocení '!GE75</f>
        <v>0</v>
      </c>
      <c r="GF79" s="479">
        <f>'Hodnocení '!GF75</f>
        <v>0</v>
      </c>
      <c r="GG79" s="479">
        <f>'Hodnocení '!GG75</f>
        <v>0</v>
      </c>
      <c r="GH79" s="479">
        <f>'Hodnocení '!GH75</f>
        <v>0</v>
      </c>
      <c r="GI79" s="479">
        <f>'Hodnocení '!GI75</f>
        <v>0</v>
      </c>
      <c r="GJ79" s="479">
        <f>'Hodnocení '!GJ75</f>
        <v>0</v>
      </c>
      <c r="GK79" s="479">
        <f>'Hodnocení '!GK75</f>
        <v>0</v>
      </c>
      <c r="GL79" s="479">
        <f>'Hodnocení '!GL75</f>
        <v>0</v>
      </c>
      <c r="GM79" s="479">
        <f>'Hodnocení '!GM75</f>
        <v>0</v>
      </c>
      <c r="GN79" s="479">
        <f>'Hodnocení '!GN75</f>
        <v>0</v>
      </c>
      <c r="GO79" s="479">
        <f>'Hodnocení '!GO75</f>
        <v>0</v>
      </c>
      <c r="GP79" s="479">
        <f>'Hodnocení '!GP75</f>
        <v>0</v>
      </c>
      <c r="GQ79" s="479">
        <f>'Hodnocení '!GQ75</f>
        <v>0</v>
      </c>
      <c r="GR79" s="479">
        <f>'Hodnocení '!GR75</f>
        <v>0</v>
      </c>
      <c r="GS79" s="479">
        <f>'Hodnocení '!GS75</f>
        <v>0</v>
      </c>
      <c r="GT79" s="479">
        <f>'Hodnocení '!GT75</f>
        <v>0</v>
      </c>
      <c r="GU79" s="479">
        <f>'Hodnocení '!GU75</f>
        <v>0</v>
      </c>
      <c r="GV79" s="479">
        <f>'Hodnocení '!GV75</f>
        <v>0</v>
      </c>
      <c r="GW79" s="479">
        <f>'Hodnocení '!GW75</f>
        <v>0</v>
      </c>
      <c r="GX79" s="479">
        <f>'Hodnocení '!GX75</f>
        <v>0</v>
      </c>
      <c r="GY79" s="479">
        <f>'Hodnocení '!GY75</f>
        <v>0</v>
      </c>
      <c r="GZ79" s="479">
        <f>'Hodnocení '!GZ75</f>
        <v>0</v>
      </c>
      <c r="HA79" s="479">
        <f>'Hodnocení '!HA75</f>
        <v>0</v>
      </c>
      <c r="HB79" s="479">
        <f>'Hodnocení '!HB75</f>
        <v>0</v>
      </c>
      <c r="HC79" s="479">
        <f>'Hodnocení '!HC75</f>
        <v>0</v>
      </c>
      <c r="HD79" s="479">
        <f>'Hodnocení '!HD75</f>
        <v>0</v>
      </c>
      <c r="HE79" s="479">
        <f>'Hodnocení '!HE75</f>
        <v>0</v>
      </c>
      <c r="HF79" s="479">
        <f>'Hodnocení '!HF75</f>
        <v>0</v>
      </c>
      <c r="HG79" s="479">
        <f>'Hodnocení '!HG75</f>
        <v>0</v>
      </c>
      <c r="HH79" s="479">
        <f>'Hodnocení '!HH75</f>
        <v>0</v>
      </c>
      <c r="HI79" s="479">
        <f>'Hodnocení '!HI75</f>
        <v>0</v>
      </c>
      <c r="HJ79" s="479">
        <f>'Hodnocení '!HJ75</f>
        <v>0</v>
      </c>
      <c r="HK79" s="479">
        <f>'Hodnocení '!HK75</f>
        <v>0</v>
      </c>
      <c r="HL79" s="479">
        <f>'Hodnocení '!HL75</f>
        <v>12500994.243574739</v>
      </c>
      <c r="HM79" s="479">
        <f>'Hodnocení '!HM75</f>
        <v>7210414.5415793229</v>
      </c>
      <c r="HN79" s="479">
        <f>'Hodnocení '!HN75</f>
        <v>229621.41538817159</v>
      </c>
      <c r="HO79" s="479">
        <f>'Hodnocení '!HO75</f>
        <v>795969.79945776786</v>
      </c>
      <c r="HP79" s="479">
        <f>'Hodnocení '!HP75</f>
        <v>8998000</v>
      </c>
      <c r="HQ79" s="479">
        <f>'Hodnocení '!HQ75</f>
        <v>328043.38080963405</v>
      </c>
      <c r="HR79" s="479">
        <f>'Hodnocení '!HR75</f>
        <v>11118099.281565275</v>
      </c>
      <c r="HS79" s="479">
        <f>'Hodnocení '!HS75</f>
        <v>1942857.3376250905</v>
      </c>
      <c r="HT79" s="479">
        <f>'Hodnocení '!HT75</f>
        <v>7066000</v>
      </c>
      <c r="HU79" s="479">
        <f>'Hodnocení '!HU75</f>
        <v>6399000</v>
      </c>
      <c r="HV79" s="479">
        <f>'Hodnocení '!HV75</f>
        <v>5593000</v>
      </c>
      <c r="HW79" s="479">
        <f>'Hodnocení '!HW75</f>
        <v>2439562.9659980796</v>
      </c>
      <c r="HX79" s="479">
        <f>'Hodnocení '!HX75</f>
        <v>6989437.0340019213</v>
      </c>
      <c r="HY79" s="479">
        <f>'Hodnocení '!HY75</f>
        <v>7106000</v>
      </c>
      <c r="HZ79" s="479">
        <f>'Hodnocení '!HZ75</f>
        <v>2936000</v>
      </c>
      <c r="IA79" s="479">
        <f>'Hodnocení '!IA75</f>
        <v>2840000</v>
      </c>
      <c r="IB79" s="479">
        <f>'Hodnocení '!IB75</f>
        <v>2938000</v>
      </c>
      <c r="IC79" s="479">
        <f>'Hodnocení '!IC75</f>
        <v>4047972.8227466298</v>
      </c>
      <c r="ID79" s="479">
        <f>'Hodnocení '!ID75</f>
        <v>2725027.1772533702</v>
      </c>
      <c r="IE79" s="479">
        <f>'Hodnocení '!IE75</f>
        <v>4207000</v>
      </c>
      <c r="IF79" s="479">
        <f>'Hodnocení '!IF75</f>
        <v>8637597.1987946387</v>
      </c>
      <c r="IG79" s="479">
        <f>'Hodnocení '!IG75</f>
        <v>2788402.8012053594</v>
      </c>
      <c r="IH79" s="479">
        <f>'Hodnocení '!IH75</f>
        <v>1411646.589095501</v>
      </c>
      <c r="II79" s="479">
        <f>'Hodnocení '!II75</f>
        <v>6931748.0492442045</v>
      </c>
      <c r="IJ79" s="479">
        <f>'Hodnocení '!IJ75</f>
        <v>767218.5338407224</v>
      </c>
      <c r="IK79" s="479">
        <f>'Hodnocení '!IK75</f>
        <v>1184386.8278195728</v>
      </c>
      <c r="IL79" s="479">
        <f>'Hodnocení '!IL75</f>
        <v>2984000</v>
      </c>
      <c r="IM79" s="479">
        <f>'Hodnocení '!IM75</f>
        <v>166387.84282009516</v>
      </c>
      <c r="IN79" s="479">
        <f>'Hodnocení '!IN75</f>
        <v>3166528.5048106513</v>
      </c>
      <c r="IO79" s="479">
        <f>'Hodnocení '!IO75</f>
        <v>1216083.6523692533</v>
      </c>
      <c r="IP79" s="479">
        <f>'Hodnocení '!IP75</f>
        <v>6999000</v>
      </c>
      <c r="IQ79" s="479">
        <f>'Hodnocení '!IQ75</f>
        <v>7640813.6661687279</v>
      </c>
      <c r="IR79" s="479">
        <f>'Hodnocení '!IR75</f>
        <v>368186.33383127127</v>
      </c>
      <c r="IS79" s="479">
        <f>'Hodnocení '!IS75</f>
        <v>17317440.509968996</v>
      </c>
      <c r="IT79" s="479">
        <f>'Hodnocení '!IT75</f>
        <v>4376559.490031003</v>
      </c>
      <c r="IU79" s="479">
        <f>'Hodnocení '!IU75</f>
        <v>1315360.0362361365</v>
      </c>
      <c r="IV79" s="479">
        <f>'Hodnocení '!IV75</f>
        <v>3157592.8188311569</v>
      </c>
      <c r="IW79" s="479">
        <f>'Hodnocení '!IW75</f>
        <v>5030210.711101328</v>
      </c>
      <c r="IX79" s="479">
        <f>'Hodnocení '!IX75</f>
        <v>773836.43383137882</v>
      </c>
      <c r="IY79" s="479">
        <f>'Hodnocení '!IY75</f>
        <v>2915486.4471565667</v>
      </c>
      <c r="IZ79" s="479">
        <f>'Hodnocení '!IZ75</f>
        <v>4776513.5528434329</v>
      </c>
      <c r="JA79" s="695">
        <f>'Hodnocení '!JA75</f>
        <v>738641.73</v>
      </c>
      <c r="JB79" s="695">
        <f>'Hodnocení '!JB75</f>
        <v>828174.04</v>
      </c>
      <c r="JC79" s="695">
        <f>'Hodnocení '!JC75</f>
        <v>643778.09</v>
      </c>
      <c r="JD79" s="695">
        <f>'Hodnocení '!JD75</f>
        <v>876588.7</v>
      </c>
      <c r="JE79" s="479">
        <f>'Hodnocení '!JE75</f>
        <v>829094.14505924715</v>
      </c>
      <c r="JF79" s="479">
        <f>'Hodnocení '!JF75</f>
        <v>8444905.8549407516</v>
      </c>
      <c r="JG79" s="479">
        <f>'Hodnocení '!JG75</f>
        <v>9910000</v>
      </c>
      <c r="JH79" s="790">
        <f>'Hodnocení '!JH75</f>
        <v>0</v>
      </c>
      <c r="JI79" s="470">
        <f>'Hodnocení '!JI75</f>
        <v>204607182.55999997</v>
      </c>
      <c r="JL79" s="307">
        <f t="shared" si="49"/>
        <v>0</v>
      </c>
      <c r="JM79" s="307">
        <f t="shared" si="49"/>
        <v>0</v>
      </c>
      <c r="JN79" s="307">
        <f t="shared" si="49"/>
        <v>0</v>
      </c>
      <c r="JO79" s="307">
        <f t="shared" si="49"/>
        <v>204607182.55999997</v>
      </c>
      <c r="JP79" s="307">
        <f t="shared" si="50"/>
        <v>204607182.55999997</v>
      </c>
    </row>
    <row r="80" spans="1:276" hidden="1" x14ac:dyDescent="0.25">
      <c r="A80" s="353"/>
      <c r="B80" s="733" t="str">
        <f>B42</f>
        <v>MPSV 2019</v>
      </c>
      <c r="C80" s="779">
        <f>'Hodnocení '!C76</f>
        <v>7348000</v>
      </c>
      <c r="D80" s="479">
        <f>'Hodnocení '!D76</f>
        <v>6200000</v>
      </c>
      <c r="E80" s="479">
        <f>'Hodnocení '!E76</f>
        <v>7900000</v>
      </c>
      <c r="F80" s="479">
        <f>'Hodnocení '!F76</f>
        <v>3484600</v>
      </c>
      <c r="G80" s="479">
        <f>'Hodnocení '!G76</f>
        <v>8898350</v>
      </c>
      <c r="H80" s="479">
        <f>'Hodnocení '!H76</f>
        <v>851000</v>
      </c>
      <c r="I80" s="479">
        <f>'Hodnocení '!I76</f>
        <v>1621440</v>
      </c>
      <c r="J80" s="479">
        <f>'Hodnocení '!J76</f>
        <v>1417490</v>
      </c>
      <c r="K80" s="479">
        <f>'Hodnocení '!K76</f>
        <v>3108430</v>
      </c>
      <c r="L80" s="479">
        <f>'Hodnocení '!L76</f>
        <v>3599970</v>
      </c>
      <c r="M80" s="479">
        <f>'Hodnocení '!M76</f>
        <v>3452100</v>
      </c>
      <c r="N80" s="479">
        <f>'Hodnocení '!N76</f>
        <v>4935000</v>
      </c>
      <c r="O80" s="479">
        <f>'Hodnocení '!O76</f>
        <v>3938706</v>
      </c>
      <c r="P80" s="479">
        <f>'Hodnocení '!P76</f>
        <v>2208380</v>
      </c>
      <c r="Q80" s="479">
        <f>'Hodnocení '!Q76</f>
        <v>1372267</v>
      </c>
      <c r="R80" s="479">
        <f>'Hodnocení '!R76</f>
        <v>1903000</v>
      </c>
      <c r="S80" s="479">
        <f>'Hodnocení '!S76</f>
        <v>1487500</v>
      </c>
      <c r="T80" s="479">
        <f>'Hodnocení '!T76</f>
        <v>527000</v>
      </c>
      <c r="U80" s="479">
        <f>'Hodnocení '!U76</f>
        <v>991200</v>
      </c>
      <c r="V80" s="479">
        <f>'Hodnocení '!V76</f>
        <v>9165000</v>
      </c>
      <c r="W80" s="479">
        <f>'Hodnocení '!W76</f>
        <v>1794000</v>
      </c>
      <c r="X80" s="479">
        <f>'Hodnocení '!X76</f>
        <v>1309890</v>
      </c>
      <c r="Y80" s="479">
        <f>'Hodnocení '!Y76</f>
        <v>1635000</v>
      </c>
      <c r="Z80" s="479">
        <f>'Hodnocení '!Z76</f>
        <v>6656000</v>
      </c>
      <c r="AA80" s="479">
        <f>'Hodnocení '!AA76</f>
        <v>2744110</v>
      </c>
      <c r="AB80" s="479">
        <f>'Hodnocení '!AB76</f>
        <v>2917940</v>
      </c>
      <c r="AC80" s="479">
        <f>'Hodnocení '!AC76</f>
        <v>1859500</v>
      </c>
      <c r="AD80" s="479">
        <f>'Hodnocení '!AD76</f>
        <v>1711240</v>
      </c>
      <c r="AE80" s="479">
        <f>'Hodnocení '!AE76</f>
        <v>0</v>
      </c>
      <c r="AF80" s="479">
        <f>'Hodnocení '!AF76</f>
        <v>0</v>
      </c>
      <c r="AG80" s="479">
        <f>'Hodnocení '!AG76</f>
        <v>3101900</v>
      </c>
      <c r="AH80" s="479">
        <f>'Hodnocení '!AH76</f>
        <v>699300</v>
      </c>
      <c r="AI80" s="479">
        <f>'Hodnocení '!AI76</f>
        <v>2546700</v>
      </c>
      <c r="AJ80" s="479">
        <f>'Hodnocení '!AJ76</f>
        <v>2332000</v>
      </c>
      <c r="AK80" s="479">
        <f>'Hodnocení '!AK76</f>
        <v>1089000</v>
      </c>
      <c r="AL80" s="479">
        <f>'Hodnocení '!AL76</f>
        <v>1024200</v>
      </c>
      <c r="AM80" s="479">
        <f>'Hodnocení '!AM76</f>
        <v>1224492</v>
      </c>
      <c r="AN80" s="479">
        <f>'Hodnocení '!AN76</f>
        <v>1027900</v>
      </c>
      <c r="AO80" s="479">
        <f>'Hodnocení '!AO76</f>
        <v>3503800</v>
      </c>
      <c r="AP80" s="479">
        <f>'Hodnocení '!AP76</f>
        <v>2080820</v>
      </c>
      <c r="AQ80" s="479">
        <f>'Hodnocení '!AQ76</f>
        <v>275460</v>
      </c>
      <c r="AR80" s="479">
        <f>'Hodnocení '!AR76</f>
        <v>1090591</v>
      </c>
      <c r="AS80" s="479">
        <f>'Hodnocení '!AS76</f>
        <v>418240</v>
      </c>
      <c r="AT80" s="479">
        <f>'Hodnocení '!AT76</f>
        <v>2175746</v>
      </c>
      <c r="AU80" s="479">
        <f>'Hodnocení '!AU76</f>
        <v>860440</v>
      </c>
      <c r="AV80" s="479">
        <f>'Hodnocení '!AV76</f>
        <v>1051150</v>
      </c>
      <c r="AW80" s="479">
        <f>'Hodnocení '!AW76</f>
        <v>1688690</v>
      </c>
      <c r="AX80" s="479">
        <f>'Hodnocení '!AX76</f>
        <v>2743810</v>
      </c>
      <c r="AY80" s="479">
        <f>'Hodnocení '!AY76</f>
        <v>2906893</v>
      </c>
      <c r="AZ80" s="479">
        <f>'Hodnocení '!AZ76</f>
        <v>2790235</v>
      </c>
      <c r="BA80" s="479">
        <f>'Hodnocení '!BA76</f>
        <v>7415268</v>
      </c>
      <c r="BB80" s="479">
        <f>'Hodnocení '!BB76</f>
        <v>1020124</v>
      </c>
      <c r="BC80" s="479">
        <f>'Hodnocení '!BC76</f>
        <v>971960</v>
      </c>
      <c r="BD80" s="479">
        <f>'Hodnocení '!BD76</f>
        <v>1165820</v>
      </c>
      <c r="BE80" s="479">
        <f>'Hodnocení '!BE76</f>
        <v>1091150</v>
      </c>
      <c r="BF80" s="479">
        <f>'Hodnocení '!BF76</f>
        <v>1782000</v>
      </c>
      <c r="BG80" s="479">
        <f>'Hodnocení '!BG76</f>
        <v>2244870</v>
      </c>
      <c r="BH80" s="479">
        <f>'Hodnocení '!BH76</f>
        <v>2712120</v>
      </c>
      <c r="BI80" s="479">
        <f>'Hodnocení '!BI76</f>
        <v>1249077</v>
      </c>
      <c r="BJ80" s="479">
        <f>'Hodnocení '!BJ76</f>
        <v>2652621</v>
      </c>
      <c r="BK80" s="479">
        <f>'Hodnocení '!BK76</f>
        <v>0</v>
      </c>
      <c r="BL80" s="479">
        <f>'Hodnocení '!BL76</f>
        <v>0</v>
      </c>
      <c r="BM80" s="479">
        <f>'Hodnocení '!BM76</f>
        <v>465100</v>
      </c>
      <c r="BN80" s="479">
        <f>'Hodnocení '!BN76</f>
        <v>1582000</v>
      </c>
      <c r="BO80" s="479">
        <f>'Hodnocení '!BO76</f>
        <v>762010</v>
      </c>
      <c r="BP80" s="479">
        <f>'Hodnocení '!BP76</f>
        <v>3460591</v>
      </c>
      <c r="BQ80" s="479">
        <f>'Hodnocení '!BQ76</f>
        <v>491755</v>
      </c>
      <c r="BR80" s="479">
        <f>'Hodnocení '!BR76</f>
        <v>809340</v>
      </c>
      <c r="BS80" s="479">
        <f>'Hodnocení '!BS76</f>
        <v>1197900</v>
      </c>
      <c r="BT80" s="479">
        <f>'Hodnocení '!BT76</f>
        <v>781100</v>
      </c>
      <c r="BU80" s="479">
        <f>'Hodnocení '!BU76</f>
        <v>3450082</v>
      </c>
      <c r="BV80" s="479">
        <f>'Hodnocení '!BV76</f>
        <v>138910</v>
      </c>
      <c r="BW80" s="479">
        <f>'Hodnocení '!BW76</f>
        <v>522000</v>
      </c>
      <c r="BX80" s="479">
        <f>'Hodnocení '!BX76</f>
        <v>3898282</v>
      </c>
      <c r="BY80" s="479">
        <f>'Hodnocení '!BY76</f>
        <v>1419144</v>
      </c>
      <c r="BZ80" s="479">
        <f>'Hodnocení '!BZ76</f>
        <v>288150</v>
      </c>
      <c r="CA80" s="479">
        <f>'Hodnocení '!CA76</f>
        <v>0</v>
      </c>
      <c r="CB80" s="479">
        <f>'Hodnocení '!CB76</f>
        <v>532263</v>
      </c>
      <c r="CC80" s="479">
        <f>'Hodnocení '!CC76</f>
        <v>2120418</v>
      </c>
      <c r="CD80" s="479">
        <f>'Hodnocení '!CD76</f>
        <v>647336</v>
      </c>
      <c r="CE80" s="479">
        <f>'Hodnocení '!CE76</f>
        <v>8268855</v>
      </c>
      <c r="CF80" s="479">
        <f>'Hodnocení '!CF76</f>
        <v>4326000</v>
      </c>
      <c r="CG80" s="479">
        <f>'Hodnocení '!CG76</f>
        <v>900000</v>
      </c>
      <c r="CH80" s="479">
        <f>'Hodnocení '!CH76</f>
        <v>2319450</v>
      </c>
      <c r="CI80" s="479">
        <f>'Hodnocení '!CI76</f>
        <v>1690000</v>
      </c>
      <c r="CJ80" s="479">
        <f>'Hodnocení '!CJ76</f>
        <v>2357340</v>
      </c>
      <c r="CK80" s="479">
        <f>'Hodnocení '!CK76</f>
        <v>4176623</v>
      </c>
      <c r="CL80" s="479">
        <f>'Hodnocení '!CL76</f>
        <v>1397371</v>
      </c>
      <c r="CM80" s="479">
        <f>'Hodnocení '!CM76</f>
        <v>5320660</v>
      </c>
      <c r="CN80" s="479">
        <f>'Hodnocení '!CN76</f>
        <v>1229970</v>
      </c>
      <c r="CO80" s="479">
        <f>'Hodnocení '!CO76</f>
        <v>1214500</v>
      </c>
      <c r="CP80" s="479">
        <f>'Hodnocení '!CP76</f>
        <v>1182600</v>
      </c>
      <c r="CQ80" s="479">
        <f>'Hodnocení '!CQ76</f>
        <v>2784980</v>
      </c>
      <c r="CR80" s="479">
        <f>'Hodnocení '!CR76</f>
        <v>1492330</v>
      </c>
      <c r="CS80" s="479">
        <f>'Hodnocení '!CS76</f>
        <v>0</v>
      </c>
      <c r="CT80" s="479">
        <f>'Hodnocení '!CT76</f>
        <v>2665670</v>
      </c>
      <c r="CU80" s="479">
        <f>'Hodnocení '!CU76</f>
        <v>1100000</v>
      </c>
      <c r="CV80" s="479">
        <f>'Hodnocení '!CV76</f>
        <v>3600000</v>
      </c>
      <c r="CW80" s="479">
        <f>'Hodnocení '!CW76</f>
        <v>0</v>
      </c>
      <c r="CX80" s="479">
        <f>'Hodnocení '!CX76</f>
        <v>2778000</v>
      </c>
      <c r="CY80" s="479">
        <f>'Hodnocení '!CY76</f>
        <v>2748954</v>
      </c>
      <c r="CZ80" s="479">
        <f>'Hodnocení '!CZ76</f>
        <v>0</v>
      </c>
      <c r="DA80" s="479">
        <f>'Hodnocení '!DA76</f>
        <v>5580860</v>
      </c>
      <c r="DB80" s="479">
        <f>'Hodnocení '!DB76</f>
        <v>665328</v>
      </c>
      <c r="DC80" s="479">
        <f>'Hodnocení '!DC76</f>
        <v>1623500</v>
      </c>
      <c r="DD80" s="479">
        <f>'Hodnocení '!DD76</f>
        <v>2508240</v>
      </c>
      <c r="DE80" s="479">
        <f>'Hodnocení '!DE76</f>
        <v>0</v>
      </c>
      <c r="DF80" s="479">
        <f>'Hodnocení '!DF76</f>
        <v>2713420</v>
      </c>
      <c r="DG80" s="479">
        <f>'Hodnocení '!DG76</f>
        <v>605740</v>
      </c>
      <c r="DH80" s="479">
        <f>'Hodnocení '!DH76</f>
        <v>541897</v>
      </c>
      <c r="DI80" s="479">
        <f>'Hodnocení '!DI76</f>
        <v>626030</v>
      </c>
      <c r="DJ80" s="479">
        <f>'Hodnocení '!DJ76</f>
        <v>844040</v>
      </c>
      <c r="DK80" s="479">
        <f>'Hodnocení '!DK76</f>
        <v>506700</v>
      </c>
      <c r="DL80" s="479">
        <f>'Hodnocení '!DL76</f>
        <v>3817224</v>
      </c>
      <c r="DM80" s="479">
        <f>'Hodnocení '!DM76</f>
        <v>1734348</v>
      </c>
      <c r="DN80" s="479">
        <f>'Hodnocení '!DN76</f>
        <v>2728440</v>
      </c>
      <c r="DO80" s="479">
        <f>'Hodnocení '!DO76</f>
        <v>1205810</v>
      </c>
      <c r="DP80" s="479">
        <f>'Hodnocení '!DP76</f>
        <v>3871189</v>
      </c>
      <c r="DQ80" s="479">
        <f>'Hodnocení '!DQ76</f>
        <v>2167520</v>
      </c>
      <c r="DR80" s="479">
        <f>'Hodnocení '!DR76</f>
        <v>2348410</v>
      </c>
      <c r="DS80" s="479">
        <f>'Hodnocení '!DS76</f>
        <v>0</v>
      </c>
      <c r="DT80" s="479">
        <f>'Hodnocení '!DT76</f>
        <v>2825000</v>
      </c>
      <c r="DU80" s="479">
        <f>'Hodnocení '!DU76</f>
        <v>1546867</v>
      </c>
      <c r="DV80" s="479">
        <f>'Hodnocení '!DV76</f>
        <v>3016720</v>
      </c>
      <c r="DW80" s="479">
        <f>'Hodnocení '!DW76</f>
        <v>1211410</v>
      </c>
      <c r="DX80" s="479">
        <f>'Hodnocení '!DX76</f>
        <v>2510561</v>
      </c>
      <c r="DY80" s="479">
        <f>'Hodnocení '!DY76</f>
        <v>3597150</v>
      </c>
      <c r="DZ80" s="479">
        <f>'Hodnocení '!DZ76</f>
        <v>716300</v>
      </c>
      <c r="EA80" s="479">
        <f>'Hodnocení '!EA76</f>
        <v>3633000</v>
      </c>
      <c r="EB80" s="479">
        <f>'Hodnocení '!EB76</f>
        <v>3882690</v>
      </c>
      <c r="EC80" s="479">
        <f>'Hodnocení '!EC76</f>
        <v>3345254</v>
      </c>
      <c r="ED80" s="479">
        <f>'Hodnocení '!ED76</f>
        <v>3457000</v>
      </c>
      <c r="EE80" s="479">
        <f>'Hodnocení '!EE76</f>
        <v>563624</v>
      </c>
      <c r="EF80" s="479">
        <f>'Hodnocení '!EF76</f>
        <v>640486</v>
      </c>
      <c r="EG80" s="479">
        <f>'Hodnocení '!EG76</f>
        <v>392240</v>
      </c>
      <c r="EH80" s="479">
        <f>'Hodnocení '!EH76</f>
        <v>537670</v>
      </c>
      <c r="EI80" s="479">
        <f>'Hodnocení '!EI76</f>
        <v>880000</v>
      </c>
      <c r="EJ80" s="479">
        <f>'Hodnocení '!EJ76</f>
        <v>531000</v>
      </c>
      <c r="EK80" s="479">
        <f>'Hodnocení '!EK76</f>
        <v>3593030</v>
      </c>
      <c r="EL80" s="479">
        <f>'Hodnocení '!EL76</f>
        <v>7973026</v>
      </c>
      <c r="EM80" s="479">
        <f>'Hodnocení '!EM76</f>
        <v>2488808</v>
      </c>
      <c r="EN80" s="479">
        <f>'Hodnocení '!EN76</f>
        <v>1368920</v>
      </c>
      <c r="EO80" s="479">
        <f>'Hodnocení '!EO76</f>
        <v>236418</v>
      </c>
      <c r="EP80" s="479">
        <f>'Hodnocení '!EP76</f>
        <v>2171123</v>
      </c>
      <c r="EQ80" s="479">
        <f>'Hodnocení '!EQ76</f>
        <v>1190738</v>
      </c>
      <c r="ER80" s="479">
        <f>'Hodnocení '!ER76</f>
        <v>5251868</v>
      </c>
      <c r="ES80" s="479">
        <f>'Hodnocení '!ES76</f>
        <v>2770560</v>
      </c>
      <c r="ET80" s="479">
        <f>'Hodnocení '!ET76</f>
        <v>0</v>
      </c>
      <c r="EU80" s="479">
        <f>'Hodnocení '!EU76</f>
        <v>0</v>
      </c>
      <c r="EV80" s="479">
        <f>'Hodnocení '!EV76</f>
        <v>225535</v>
      </c>
      <c r="EW80" s="479">
        <f>'Hodnocení '!EW76</f>
        <v>2356313</v>
      </c>
      <c r="EX80" s="479">
        <f>'Hodnocení '!EX76</f>
        <v>5404290</v>
      </c>
      <c r="EY80" s="479">
        <f>'Hodnocení '!EY76</f>
        <v>1024820</v>
      </c>
      <c r="EZ80" s="479">
        <f>'Hodnocení '!EZ76</f>
        <v>111326</v>
      </c>
      <c r="FA80" s="479">
        <f>'Hodnocení '!FA76</f>
        <v>685740</v>
      </c>
      <c r="FB80" s="479">
        <f>'Hodnocení '!FB76</f>
        <v>93750</v>
      </c>
      <c r="FC80" s="479">
        <f>'Hodnocení '!FC76</f>
        <v>3000000</v>
      </c>
      <c r="FD80" s="479">
        <f>'Hodnocení '!FD76</f>
        <v>370380</v>
      </c>
      <c r="FE80" s="479">
        <f>'Hodnocení '!FE76</f>
        <v>262500</v>
      </c>
      <c r="FF80" s="479">
        <f>'Hodnocení '!FF76</f>
        <v>1117120</v>
      </c>
      <c r="FG80" s="479">
        <f>'Hodnocení '!FG76</f>
        <v>4683650</v>
      </c>
      <c r="FH80" s="479">
        <f>'Hodnocení '!FH76</f>
        <v>5519580</v>
      </c>
      <c r="FI80" s="479">
        <f>'Hodnocení '!FI76</f>
        <v>5568487</v>
      </c>
      <c r="FJ80" s="479">
        <f>'Hodnocení '!FJ76</f>
        <v>1579046</v>
      </c>
      <c r="FK80" s="479">
        <f>'Hodnocení '!FK76</f>
        <v>281852</v>
      </c>
      <c r="FL80" s="479">
        <f>'Hodnocení '!FL76</f>
        <v>601762</v>
      </c>
      <c r="FM80" s="479">
        <f>'Hodnocení '!FM76</f>
        <v>2626403</v>
      </c>
      <c r="FN80" s="479">
        <f>'Hodnocení '!FN76</f>
        <v>6459380</v>
      </c>
      <c r="FO80" s="479">
        <f>'Hodnocení '!FO76</f>
        <v>1659657</v>
      </c>
      <c r="FP80" s="479">
        <f>'Hodnocení '!FP76</f>
        <v>12144452</v>
      </c>
      <c r="FQ80" s="479">
        <f>'Hodnocení '!FQ76</f>
        <v>1909423</v>
      </c>
      <c r="FR80" s="479">
        <f>'Hodnocení '!FR76</f>
        <v>0</v>
      </c>
      <c r="FS80" s="479">
        <f>'Hodnocení '!FS76</f>
        <v>477570</v>
      </c>
      <c r="FT80" s="479">
        <f>'Hodnocení '!FT76</f>
        <v>2948610</v>
      </c>
      <c r="FU80" s="479">
        <f>'Hodnocení '!FU76</f>
        <v>426547</v>
      </c>
      <c r="FV80" s="479">
        <f>'Hodnocení '!FV76</f>
        <v>559074</v>
      </c>
      <c r="FW80" s="479">
        <f>'Hodnocení '!FW76</f>
        <v>1013735</v>
      </c>
      <c r="FX80" s="479">
        <f>'Hodnocení '!FX76</f>
        <v>364926</v>
      </c>
      <c r="FY80" s="479">
        <f>'Hodnocení '!FY76</f>
        <v>150000</v>
      </c>
      <c r="FZ80" s="479">
        <f>'Hodnocení '!FZ76</f>
        <v>2576210</v>
      </c>
      <c r="GA80" s="479">
        <f>'Hodnocení '!GA76</f>
        <v>234850</v>
      </c>
      <c r="GB80" s="479">
        <f>'Hodnocení '!GB76</f>
        <v>1751320</v>
      </c>
      <c r="GC80" s="479">
        <f>'Hodnocení '!GC76</f>
        <v>2155529</v>
      </c>
      <c r="GD80" s="479">
        <f>'Hodnocení '!GD76</f>
        <v>4880300</v>
      </c>
      <c r="GE80" s="479">
        <f>'Hodnocení '!GE76</f>
        <v>774410</v>
      </c>
      <c r="GF80" s="479">
        <f>'Hodnocení '!GF76</f>
        <v>3590557</v>
      </c>
      <c r="GG80" s="479">
        <f>'Hodnocení '!GG76</f>
        <v>1234654</v>
      </c>
      <c r="GH80" s="479">
        <f>'Hodnocení '!GH76</f>
        <v>1026112</v>
      </c>
      <c r="GI80" s="479">
        <f>'Hodnocení '!GI76</f>
        <v>6898917</v>
      </c>
      <c r="GJ80" s="479">
        <f>'Hodnocení '!GJ76</f>
        <v>1317750</v>
      </c>
      <c r="GK80" s="479">
        <f>'Hodnocení '!GK76</f>
        <v>666130</v>
      </c>
      <c r="GL80" s="479">
        <f>'Hodnocení '!GL76</f>
        <v>529296</v>
      </c>
      <c r="GM80" s="479">
        <f>'Hodnocení '!GM76</f>
        <v>584410</v>
      </c>
      <c r="GN80" s="479">
        <f>'Hodnocení '!GN76</f>
        <v>201040</v>
      </c>
      <c r="GO80" s="479">
        <f>'Hodnocení '!GO76</f>
        <v>3471471</v>
      </c>
      <c r="GP80" s="479">
        <f>'Hodnocení '!GP76</f>
        <v>470270</v>
      </c>
      <c r="GQ80" s="479">
        <f>'Hodnocení '!GQ76</f>
        <v>426710</v>
      </c>
      <c r="GR80" s="479">
        <f>'Hodnocení '!GR76</f>
        <v>516450</v>
      </c>
      <c r="GS80" s="479">
        <f>'Hodnocení '!GS76</f>
        <v>133500</v>
      </c>
      <c r="GT80" s="479">
        <f>'Hodnocení '!GT76</f>
        <v>5724000</v>
      </c>
      <c r="GU80" s="479">
        <f>'Hodnocení '!GU76</f>
        <v>761571</v>
      </c>
      <c r="GV80" s="479">
        <f>'Hodnocení '!GV76</f>
        <v>4959810</v>
      </c>
      <c r="GW80" s="479">
        <f>'Hodnocení '!GW76</f>
        <v>1133866</v>
      </c>
      <c r="GX80" s="479">
        <f>'Hodnocení '!GX76</f>
        <v>97500</v>
      </c>
      <c r="GY80" s="479">
        <f>'Hodnocení '!GY76</f>
        <v>10521860</v>
      </c>
      <c r="GZ80" s="479">
        <f>'Hodnocení '!GZ76</f>
        <v>0</v>
      </c>
      <c r="HA80" s="479">
        <f>'Hodnocení '!HA76</f>
        <v>3864560</v>
      </c>
      <c r="HB80" s="479">
        <f>'Hodnocení '!HB76</f>
        <v>1991460</v>
      </c>
      <c r="HC80" s="479">
        <f>'Hodnocení '!HC76</f>
        <v>4360800</v>
      </c>
      <c r="HD80" s="479">
        <f>'Hodnocení '!HD76</f>
        <v>971100</v>
      </c>
      <c r="HE80" s="479">
        <f>'Hodnocení '!HE76</f>
        <v>3634850</v>
      </c>
      <c r="HF80" s="479">
        <f>'Hodnocení '!HF76</f>
        <v>480000</v>
      </c>
      <c r="HG80" s="479">
        <f>'Hodnocení '!HG76</f>
        <v>375000</v>
      </c>
      <c r="HH80" s="479">
        <f>'Hodnocení '!HH76</f>
        <v>1689660</v>
      </c>
      <c r="HI80" s="479">
        <f>'Hodnocení '!HI76</f>
        <v>1069500</v>
      </c>
      <c r="HJ80" s="479">
        <f>'Hodnocení '!HJ76</f>
        <v>128450</v>
      </c>
      <c r="HK80" s="479">
        <f>'Hodnocení '!HK76</f>
        <v>144000</v>
      </c>
      <c r="HL80" s="479">
        <f>'Hodnocení '!HL76</f>
        <v>24865973</v>
      </c>
      <c r="HM80" s="479">
        <f>'Hodnocení '!HM76</f>
        <v>17791098</v>
      </c>
      <c r="HN80" s="479">
        <f>'Hodnocení '!HN76</f>
        <v>579155</v>
      </c>
      <c r="HO80" s="479">
        <f>'Hodnocení '!HO76</f>
        <v>0</v>
      </c>
      <c r="HP80" s="479">
        <f>'Hodnocení '!HP76</f>
        <v>18789218</v>
      </c>
      <c r="HQ80" s="479">
        <f>'Hodnocení '!HQ76</f>
        <v>650000</v>
      </c>
      <c r="HR80" s="479">
        <f>'Hodnocení '!HR76</f>
        <v>22423092</v>
      </c>
      <c r="HS80" s="479">
        <f>'Hodnocení '!HS76</f>
        <v>3748370</v>
      </c>
      <c r="HT80" s="479">
        <f>'Hodnocení '!HT76</f>
        <v>15533685</v>
      </c>
      <c r="HU80" s="479">
        <f>'Hodnocení '!HU76</f>
        <v>15108994</v>
      </c>
      <c r="HV80" s="479">
        <f>'Hodnocení '!HV76</f>
        <v>11096127</v>
      </c>
      <c r="HW80" s="479">
        <f>'Hodnocení '!HW76</f>
        <v>4525979</v>
      </c>
      <c r="HX80" s="479">
        <f>'Hodnocení '!HX76</f>
        <v>10994091</v>
      </c>
      <c r="HY80" s="479">
        <f>'Hodnocení '!HY76</f>
        <v>13999762</v>
      </c>
      <c r="HZ80" s="479">
        <f>'Hodnocení '!HZ76</f>
        <v>6629941</v>
      </c>
      <c r="IA80" s="479">
        <f>'Hodnocení '!IA76</f>
        <v>6267487</v>
      </c>
      <c r="IB80" s="479">
        <f>'Hodnocení '!IB76</f>
        <v>5637181</v>
      </c>
      <c r="IC80" s="479">
        <f>'Hodnocení '!IC76</f>
        <v>7185742</v>
      </c>
      <c r="ID80" s="479">
        <f>'Hodnocení '!ID76</f>
        <v>6530764</v>
      </c>
      <c r="IE80" s="479">
        <f>'Hodnocení '!IE76</f>
        <v>11981892</v>
      </c>
      <c r="IF80" s="479">
        <f>'Hodnocení '!IF76</f>
        <v>11622390</v>
      </c>
      <c r="IG80" s="479">
        <f>'Hodnocení '!IG76</f>
        <v>2657677</v>
      </c>
      <c r="IH80" s="479">
        <f>'Hodnocení '!IH76</f>
        <v>1601240</v>
      </c>
      <c r="II80" s="479">
        <f>'Hodnocení '!II76</f>
        <v>13910117</v>
      </c>
      <c r="IJ80" s="479">
        <f>'Hodnocení '!IJ76</f>
        <v>907690</v>
      </c>
      <c r="IK80" s="479">
        <f>'Hodnocení '!IK76</f>
        <v>0</v>
      </c>
      <c r="IL80" s="479">
        <f>'Hodnocení '!IL76</f>
        <v>6220656</v>
      </c>
      <c r="IM80" s="479">
        <f>'Hodnocení '!IM76</f>
        <v>535450</v>
      </c>
      <c r="IN80" s="479">
        <f>'Hodnocení '!IN76</f>
        <v>7047423</v>
      </c>
      <c r="IO80" s="479">
        <f>'Hodnocení '!IO76</f>
        <v>2196410</v>
      </c>
      <c r="IP80" s="479">
        <f>'Hodnocení '!IP76</f>
        <v>15516867</v>
      </c>
      <c r="IQ80" s="479">
        <f>'Hodnocení '!IQ76</f>
        <v>14923149</v>
      </c>
      <c r="IR80" s="479">
        <f>'Hodnocení '!IR76</f>
        <v>634880</v>
      </c>
      <c r="IS80" s="479">
        <f>'Hodnocení '!IS76</f>
        <v>35748234</v>
      </c>
      <c r="IT80" s="479">
        <f>'Hodnocení '!IT76</f>
        <v>7833300</v>
      </c>
      <c r="IU80" s="479">
        <f>'Hodnocení '!IU76</f>
        <v>1867270</v>
      </c>
      <c r="IV80" s="479">
        <f>'Hodnocení '!IV76</f>
        <v>5364812</v>
      </c>
      <c r="IW80" s="479">
        <f>'Hodnocení '!IW76</f>
        <v>10608684</v>
      </c>
      <c r="IX80" s="479">
        <f>'Hodnocení '!IX76</f>
        <v>1039600</v>
      </c>
      <c r="IY80" s="479">
        <f>'Hodnocení '!IY76</f>
        <v>4689162</v>
      </c>
      <c r="IZ80" s="479">
        <f>'Hodnocení '!IZ76</f>
        <v>13451430</v>
      </c>
      <c r="JA80" s="479">
        <f>'Hodnocení '!JA76</f>
        <v>2298510</v>
      </c>
      <c r="JB80" s="479">
        <f>'Hodnocení '!JB76</f>
        <v>2067000</v>
      </c>
      <c r="JC80" s="479">
        <f>'Hodnocení '!JC76</f>
        <v>1625000</v>
      </c>
      <c r="JD80" s="479">
        <f>'Hodnocení '!JD76</f>
        <v>2766100</v>
      </c>
      <c r="JE80" s="479">
        <f>'Hodnocení '!JE76</f>
        <v>330011</v>
      </c>
      <c r="JF80" s="479">
        <f>'Hodnocení '!JF76</f>
        <v>21453694</v>
      </c>
      <c r="JG80" s="479">
        <f>'Hodnocení '!JG76</f>
        <v>20631537</v>
      </c>
      <c r="JH80" s="780">
        <f>'Hodnocení '!JH76</f>
        <v>868740</v>
      </c>
      <c r="JI80" s="470">
        <f>'Hodnocení '!JI76</f>
        <v>874242718</v>
      </c>
      <c r="JL80" s="307">
        <f t="shared" si="49"/>
        <v>21448000</v>
      </c>
      <c r="JM80" s="307">
        <f t="shared" si="49"/>
        <v>299065333</v>
      </c>
      <c r="JN80" s="307">
        <f t="shared" si="49"/>
        <v>138973801</v>
      </c>
      <c r="JO80" s="307">
        <f t="shared" si="49"/>
        <v>414755584</v>
      </c>
      <c r="JP80" s="307">
        <f t="shared" si="50"/>
        <v>874242718</v>
      </c>
    </row>
    <row r="81" spans="1:276" hidden="1" x14ac:dyDescent="0.25">
      <c r="A81" s="353"/>
      <c r="B81" s="733" t="str">
        <f>B43</f>
        <v>KHK 2019</v>
      </c>
      <c r="C81" s="779">
        <f>'Hodnocení '!C77</f>
        <v>301000</v>
      </c>
      <c r="D81" s="479">
        <f>'Hodnocení '!D77</f>
        <v>123100</v>
      </c>
      <c r="E81" s="479">
        <f>'Hodnocení '!E77</f>
        <v>296405</v>
      </c>
      <c r="F81" s="479">
        <f>'Hodnocení '!F77</f>
        <v>0</v>
      </c>
      <c r="G81" s="479">
        <f>'Hodnocení '!G77</f>
        <v>0</v>
      </c>
      <c r="H81" s="479">
        <f>'Hodnocení '!H77</f>
        <v>0</v>
      </c>
      <c r="I81" s="479">
        <f>'Hodnocení '!I77</f>
        <v>0</v>
      </c>
      <c r="J81" s="479">
        <f>'Hodnocení '!J77</f>
        <v>49239</v>
      </c>
      <c r="K81" s="479">
        <f>'Hodnocení '!K77</f>
        <v>0</v>
      </c>
      <c r="L81" s="479">
        <f>'Hodnocení '!L77</f>
        <v>0</v>
      </c>
      <c r="M81" s="479">
        <f>'Hodnocení '!M77</f>
        <v>8189</v>
      </c>
      <c r="N81" s="479">
        <f>'Hodnocení '!N77</f>
        <v>310000</v>
      </c>
      <c r="O81" s="479">
        <f>'Hodnocení '!O77</f>
        <v>136223</v>
      </c>
      <c r="P81" s="479">
        <f>'Hodnocení '!P77</f>
        <v>136636</v>
      </c>
      <c r="Q81" s="479">
        <f>'Hodnocení '!Q77</f>
        <v>0</v>
      </c>
      <c r="R81" s="479">
        <f>'Hodnocení '!R77</f>
        <v>183425</v>
      </c>
      <c r="S81" s="479">
        <f>'Hodnocení '!S77</f>
        <v>116140</v>
      </c>
      <c r="T81" s="479">
        <f>'Hodnocení '!T77</f>
        <v>19273</v>
      </c>
      <c r="U81" s="479">
        <f>'Hodnocení '!U77</f>
        <v>108004</v>
      </c>
      <c r="V81" s="479">
        <f>'Hodnocení '!V77</f>
        <v>68620</v>
      </c>
      <c r="W81" s="479">
        <f>'Hodnocení '!W77</f>
        <v>31000</v>
      </c>
      <c r="X81" s="479">
        <f>'Hodnocení '!X77</f>
        <v>0</v>
      </c>
      <c r="Y81" s="479">
        <f>'Hodnocení '!Y77</f>
        <v>2810</v>
      </c>
      <c r="Z81" s="479">
        <f>'Hodnocení '!Z77</f>
        <v>78000</v>
      </c>
      <c r="AA81" s="479">
        <f>'Hodnocení '!AA77</f>
        <v>0</v>
      </c>
      <c r="AB81" s="479">
        <f>'Hodnocení '!AB77</f>
        <v>0</v>
      </c>
      <c r="AC81" s="479">
        <f>'Hodnocení '!AC77</f>
        <v>0</v>
      </c>
      <c r="AD81" s="479">
        <f>'Hodnocení '!AD77</f>
        <v>0</v>
      </c>
      <c r="AE81" s="479">
        <f>'Hodnocení '!AE77</f>
        <v>26897</v>
      </c>
      <c r="AF81" s="479">
        <f>'Hodnocení '!AF77</f>
        <v>0</v>
      </c>
      <c r="AG81" s="479">
        <f>'Hodnocení '!AG77</f>
        <v>65852</v>
      </c>
      <c r="AH81" s="479">
        <f>'Hodnocení '!AH77</f>
        <v>12471</v>
      </c>
      <c r="AI81" s="479">
        <f>'Hodnocení '!AI77</f>
        <v>241000</v>
      </c>
      <c r="AJ81" s="479">
        <f>'Hodnocení '!AJ77</f>
        <v>9300</v>
      </c>
      <c r="AK81" s="479">
        <f>'Hodnocení '!AK77</f>
        <v>28567</v>
      </c>
      <c r="AL81" s="479">
        <f>'Hodnocení '!AL77</f>
        <v>22008</v>
      </c>
      <c r="AM81" s="479">
        <f>'Hodnocení '!AM77</f>
        <v>150000</v>
      </c>
      <c r="AN81" s="479">
        <f>'Hodnocení '!AN77</f>
        <v>0</v>
      </c>
      <c r="AO81" s="479">
        <f>'Hodnocení '!AO77</f>
        <v>225228</v>
      </c>
      <c r="AP81" s="479">
        <f>'Hodnocení '!AP77</f>
        <v>0</v>
      </c>
      <c r="AQ81" s="479">
        <f>'Hodnocení '!AQ77</f>
        <v>26478</v>
      </c>
      <c r="AR81" s="479">
        <f>'Hodnocení '!AR77</f>
        <v>0</v>
      </c>
      <c r="AS81" s="479">
        <f>'Hodnocení '!AS77</f>
        <v>14332</v>
      </c>
      <c r="AT81" s="479">
        <f>'Hodnocení '!AT77</f>
        <v>0</v>
      </c>
      <c r="AU81" s="479">
        <f>'Hodnocení '!AU77</f>
        <v>23832</v>
      </c>
      <c r="AV81" s="479">
        <f>'Hodnocení '!AV77</f>
        <v>0</v>
      </c>
      <c r="AW81" s="479">
        <f>'Hodnocení '!AW77</f>
        <v>0</v>
      </c>
      <c r="AX81" s="479">
        <f>'Hodnocení '!AX77</f>
        <v>54020</v>
      </c>
      <c r="AY81" s="479">
        <f>'Hodnocení '!AY77</f>
        <v>0</v>
      </c>
      <c r="AZ81" s="479">
        <f>'Hodnocení '!AZ77</f>
        <v>0</v>
      </c>
      <c r="BA81" s="479">
        <f>'Hodnocení '!BA77</f>
        <v>0</v>
      </c>
      <c r="BB81" s="479">
        <f>'Hodnocení '!BB77</f>
        <v>0</v>
      </c>
      <c r="BC81" s="479">
        <f>'Hodnocení '!BC77</f>
        <v>36785</v>
      </c>
      <c r="BD81" s="479">
        <f>'Hodnocení '!BD77</f>
        <v>0</v>
      </c>
      <c r="BE81" s="479">
        <f>'Hodnocení '!BE77</f>
        <v>0</v>
      </c>
      <c r="BF81" s="479">
        <f>'Hodnocení '!BF77</f>
        <v>46960</v>
      </c>
      <c r="BG81" s="479">
        <f>'Hodnocení '!BG77</f>
        <v>29346</v>
      </c>
      <c r="BH81" s="479">
        <f>'Hodnocení '!BH77</f>
        <v>0</v>
      </c>
      <c r="BI81" s="479">
        <f>'Hodnocení '!BI77</f>
        <v>219023</v>
      </c>
      <c r="BJ81" s="479">
        <f>'Hodnocení '!BJ77</f>
        <v>0</v>
      </c>
      <c r="BK81" s="479">
        <f>'Hodnocení '!BK77</f>
        <v>0</v>
      </c>
      <c r="BL81" s="479">
        <f>'Hodnocení '!BL77</f>
        <v>0</v>
      </c>
      <c r="BM81" s="479">
        <f>'Hodnocení '!BM77</f>
        <v>150000</v>
      </c>
      <c r="BN81" s="479">
        <f>'Hodnocení '!BN77</f>
        <v>0</v>
      </c>
      <c r="BO81" s="479">
        <f>'Hodnocení '!BO77</f>
        <v>0</v>
      </c>
      <c r="BP81" s="479">
        <f>'Hodnocení '!BP77</f>
        <v>0</v>
      </c>
      <c r="BQ81" s="479">
        <f>'Hodnocení '!BQ77</f>
        <v>0</v>
      </c>
      <c r="BR81" s="479">
        <f>'Hodnocení '!BR77</f>
        <v>0</v>
      </c>
      <c r="BS81" s="479">
        <f>'Hodnocení '!BS77</f>
        <v>0</v>
      </c>
      <c r="BT81" s="479">
        <f>'Hodnocení '!BT77</f>
        <v>0</v>
      </c>
      <c r="BU81" s="479">
        <f>'Hodnocení '!BU77</f>
        <v>489256</v>
      </c>
      <c r="BV81" s="479">
        <f>'Hodnocení '!BV77</f>
        <v>450000</v>
      </c>
      <c r="BW81" s="479">
        <f>'Hodnocení '!BW77</f>
        <v>10683</v>
      </c>
      <c r="BX81" s="479">
        <f>'Hodnocení '!BX77</f>
        <v>0</v>
      </c>
      <c r="BY81" s="479">
        <f>'Hodnocení '!BY77</f>
        <v>0</v>
      </c>
      <c r="BZ81" s="479">
        <f>'Hodnocení '!BZ77</f>
        <v>0</v>
      </c>
      <c r="CA81" s="479">
        <f>'Hodnocení '!CA77</f>
        <v>0</v>
      </c>
      <c r="CB81" s="479">
        <f>'Hodnocení '!CB77</f>
        <v>0</v>
      </c>
      <c r="CC81" s="479">
        <f>'Hodnocení '!CC77</f>
        <v>0</v>
      </c>
      <c r="CD81" s="479">
        <f>'Hodnocení '!CD77</f>
        <v>0</v>
      </c>
      <c r="CE81" s="479">
        <f>'Hodnocení '!CE77</f>
        <v>0</v>
      </c>
      <c r="CF81" s="479">
        <f>'Hodnocení '!CF77</f>
        <v>0</v>
      </c>
      <c r="CG81" s="479">
        <f>'Hodnocení '!CG77</f>
        <v>0</v>
      </c>
      <c r="CH81" s="479">
        <f>'Hodnocení '!CH77</f>
        <v>0</v>
      </c>
      <c r="CI81" s="479">
        <f>'Hodnocení '!CI77</f>
        <v>47850</v>
      </c>
      <c r="CJ81" s="479">
        <f>'Hodnocení '!CJ77</f>
        <v>0</v>
      </c>
      <c r="CK81" s="479">
        <f>'Hodnocení '!CK77</f>
        <v>0</v>
      </c>
      <c r="CL81" s="479">
        <f>'Hodnocení '!CL77</f>
        <v>0</v>
      </c>
      <c r="CM81" s="479">
        <f>'Hodnocení '!CM77</f>
        <v>0</v>
      </c>
      <c r="CN81" s="479">
        <f>'Hodnocení '!CN77</f>
        <v>0</v>
      </c>
      <c r="CO81" s="479">
        <f>'Hodnocení '!CO77</f>
        <v>0</v>
      </c>
      <c r="CP81" s="479">
        <f>'Hodnocení '!CP77</f>
        <v>0</v>
      </c>
      <c r="CQ81" s="479">
        <f>'Hodnocení '!CQ77</f>
        <v>0</v>
      </c>
      <c r="CR81" s="479">
        <f>'Hodnocení '!CR77</f>
        <v>124470</v>
      </c>
      <c r="CS81" s="479">
        <f>'Hodnocení '!CS77</f>
        <v>0</v>
      </c>
      <c r="CT81" s="479">
        <f>'Hodnocení '!CT77</f>
        <v>196918</v>
      </c>
      <c r="CU81" s="479">
        <f>'Hodnocení '!CU77</f>
        <v>300500</v>
      </c>
      <c r="CV81" s="479">
        <f>'Hodnocení '!CV77</f>
        <v>1431500</v>
      </c>
      <c r="CW81" s="479">
        <f>'Hodnocení '!CW77</f>
        <v>271401</v>
      </c>
      <c r="CX81" s="479">
        <f>'Hodnocení '!CX77</f>
        <v>350000</v>
      </c>
      <c r="CY81" s="479">
        <f>'Hodnocení '!CY77</f>
        <v>0</v>
      </c>
      <c r="CZ81" s="479">
        <f>'Hodnocení '!CZ77</f>
        <v>0</v>
      </c>
      <c r="DA81" s="479">
        <f>'Hodnocení '!DA77</f>
        <v>0</v>
      </c>
      <c r="DB81" s="479">
        <f>'Hodnocení '!DB77</f>
        <v>0</v>
      </c>
      <c r="DC81" s="479">
        <f>'Hodnocení '!DC77</f>
        <v>0</v>
      </c>
      <c r="DD81" s="479">
        <f>'Hodnocení '!DD77</f>
        <v>0</v>
      </c>
      <c r="DE81" s="479">
        <f>'Hodnocení '!DE77</f>
        <v>970550</v>
      </c>
      <c r="DF81" s="479">
        <f>'Hodnocení '!DF77</f>
        <v>0</v>
      </c>
      <c r="DG81" s="479">
        <f>'Hodnocení '!DG77</f>
        <v>0</v>
      </c>
      <c r="DH81" s="479">
        <f>'Hodnocení '!DH77</f>
        <v>376078</v>
      </c>
      <c r="DI81" s="479">
        <f>'Hodnocení '!DI77</f>
        <v>20094</v>
      </c>
      <c r="DJ81" s="479">
        <f>'Hodnocení '!DJ77</f>
        <v>0</v>
      </c>
      <c r="DK81" s="479">
        <f>'Hodnocení '!DK77</f>
        <v>10236</v>
      </c>
      <c r="DL81" s="479">
        <f>'Hodnocení '!DL77</f>
        <v>0</v>
      </c>
      <c r="DM81" s="479">
        <f>'Hodnocení '!DM77</f>
        <v>0</v>
      </c>
      <c r="DN81" s="479">
        <f>'Hodnocení '!DN77</f>
        <v>122325</v>
      </c>
      <c r="DO81" s="479">
        <f>'Hodnocení '!DO77</f>
        <v>191965</v>
      </c>
      <c r="DP81" s="479">
        <f>'Hodnocení '!DP77</f>
        <v>37728</v>
      </c>
      <c r="DQ81" s="479">
        <f>'Hodnocení '!DQ77</f>
        <v>137043</v>
      </c>
      <c r="DR81" s="479">
        <f>'Hodnocení '!DR77</f>
        <v>603228</v>
      </c>
      <c r="DS81" s="479">
        <f>'Hodnocení '!DS77</f>
        <v>331000</v>
      </c>
      <c r="DT81" s="479">
        <f>'Hodnocení '!DT77</f>
        <v>81291</v>
      </c>
      <c r="DU81" s="479">
        <f>'Hodnocení '!DU77</f>
        <v>40924</v>
      </c>
      <c r="DV81" s="479">
        <f>'Hodnocení '!DV77</f>
        <v>128757</v>
      </c>
      <c r="DW81" s="479">
        <f>'Hodnocení '!DW77</f>
        <v>0</v>
      </c>
      <c r="DX81" s="479">
        <f>'Hodnocení '!DX77</f>
        <v>0</v>
      </c>
      <c r="DY81" s="479">
        <f>'Hodnocení '!DY77</f>
        <v>0</v>
      </c>
      <c r="DZ81" s="479">
        <f>'Hodnocení '!DZ77</f>
        <v>0</v>
      </c>
      <c r="EA81" s="479">
        <f>'Hodnocení '!EA77</f>
        <v>91188</v>
      </c>
      <c r="EB81" s="479">
        <f>'Hodnocení '!EB77</f>
        <v>0</v>
      </c>
      <c r="EC81" s="479">
        <f>'Hodnocení '!EC77</f>
        <v>0</v>
      </c>
      <c r="ED81" s="479">
        <f>'Hodnocení '!ED77</f>
        <v>15808</v>
      </c>
      <c r="EE81" s="479">
        <f>'Hodnocení '!EE77</f>
        <v>0</v>
      </c>
      <c r="EF81" s="479">
        <f>'Hodnocení '!EF77</f>
        <v>0</v>
      </c>
      <c r="EG81" s="479">
        <f>'Hodnocení '!EG77</f>
        <v>14518</v>
      </c>
      <c r="EH81" s="479">
        <f>'Hodnocení '!EH77</f>
        <v>0</v>
      </c>
      <c r="EI81" s="479">
        <f>'Hodnocení '!EI77</f>
        <v>30753</v>
      </c>
      <c r="EJ81" s="479">
        <f>'Hodnocení '!EJ77</f>
        <v>45000</v>
      </c>
      <c r="EK81" s="479">
        <f>'Hodnocení '!EK77</f>
        <v>63012</v>
      </c>
      <c r="EL81" s="479">
        <f>'Hodnocení '!EL77</f>
        <v>0</v>
      </c>
      <c r="EM81" s="479">
        <f>'Hodnocení '!EM77</f>
        <v>0</v>
      </c>
      <c r="EN81" s="479">
        <f>'Hodnocení '!EN77</f>
        <v>58055</v>
      </c>
      <c r="EO81" s="479">
        <f>'Hodnocení '!EO77</f>
        <v>0</v>
      </c>
      <c r="EP81" s="479">
        <f>'Hodnocení '!EP77</f>
        <v>0</v>
      </c>
      <c r="EQ81" s="479">
        <f>'Hodnocení '!EQ77</f>
        <v>0</v>
      </c>
      <c r="ER81" s="479">
        <f>'Hodnocení '!ER77</f>
        <v>0</v>
      </c>
      <c r="ES81" s="479">
        <f>'Hodnocení '!ES77</f>
        <v>0</v>
      </c>
      <c r="ET81" s="479">
        <f>'Hodnocení '!ET77</f>
        <v>0</v>
      </c>
      <c r="EU81" s="479">
        <f>'Hodnocení '!EU77</f>
        <v>804000</v>
      </c>
      <c r="EV81" s="479">
        <f>'Hodnocení '!EV77</f>
        <v>0</v>
      </c>
      <c r="EW81" s="479">
        <f>'Hodnocení '!EW77</f>
        <v>0</v>
      </c>
      <c r="EX81" s="479">
        <f>'Hodnocení '!EX77</f>
        <v>0</v>
      </c>
      <c r="EY81" s="479">
        <f>'Hodnocení '!EY77</f>
        <v>0</v>
      </c>
      <c r="EZ81" s="479">
        <f>'Hodnocení '!EZ77</f>
        <v>0</v>
      </c>
      <c r="FA81" s="479">
        <f>'Hodnocení '!FA77</f>
        <v>107952</v>
      </c>
      <c r="FB81" s="479">
        <f>'Hodnocení '!FB77</f>
        <v>46011</v>
      </c>
      <c r="FC81" s="479">
        <f>'Hodnocení '!FC77</f>
        <v>0</v>
      </c>
      <c r="FD81" s="479">
        <f>'Hodnocení '!FD77</f>
        <v>0</v>
      </c>
      <c r="FE81" s="479">
        <f>'Hodnocení '!FE77</f>
        <v>0</v>
      </c>
      <c r="FF81" s="479">
        <f>'Hodnocení '!FF77</f>
        <v>0</v>
      </c>
      <c r="FG81" s="479">
        <f>'Hodnocení '!FG77</f>
        <v>0</v>
      </c>
      <c r="FH81" s="479">
        <f>'Hodnocení '!FH77</f>
        <v>0</v>
      </c>
      <c r="FI81" s="479">
        <f>'Hodnocení '!FI77</f>
        <v>0</v>
      </c>
      <c r="FJ81" s="479">
        <f>'Hodnocení '!FJ77</f>
        <v>0</v>
      </c>
      <c r="FK81" s="479">
        <f>'Hodnocení '!FK77</f>
        <v>0</v>
      </c>
      <c r="FL81" s="479">
        <f>'Hodnocení '!FL77</f>
        <v>0</v>
      </c>
      <c r="FM81" s="479">
        <f>'Hodnocení '!FM77</f>
        <v>0</v>
      </c>
      <c r="FN81" s="479">
        <f>'Hodnocení '!FN77</f>
        <v>0</v>
      </c>
      <c r="FO81" s="479">
        <f>'Hodnocení '!FO77</f>
        <v>0</v>
      </c>
      <c r="FP81" s="479">
        <f>'Hodnocení '!FP77</f>
        <v>0</v>
      </c>
      <c r="FQ81" s="479">
        <f>'Hodnocení '!FQ77</f>
        <v>0</v>
      </c>
      <c r="FR81" s="479">
        <f>'Hodnocení '!FR77</f>
        <v>0</v>
      </c>
      <c r="FS81" s="479">
        <f>'Hodnocení '!FS77</f>
        <v>0</v>
      </c>
      <c r="FT81" s="479">
        <f>'Hodnocení '!FT77</f>
        <v>0</v>
      </c>
      <c r="FU81" s="479">
        <f>'Hodnocení '!FU77</f>
        <v>0</v>
      </c>
      <c r="FV81" s="479">
        <f>'Hodnocení '!FV77</f>
        <v>0</v>
      </c>
      <c r="FW81" s="479">
        <f>'Hodnocení '!FW77</f>
        <v>0</v>
      </c>
      <c r="FX81" s="479">
        <f>'Hodnocení '!FX77</f>
        <v>0</v>
      </c>
      <c r="FY81" s="479">
        <f>'Hodnocení '!FY77</f>
        <v>59591</v>
      </c>
      <c r="FZ81" s="479">
        <f>'Hodnocení '!FZ77</f>
        <v>0</v>
      </c>
      <c r="GA81" s="479">
        <f>'Hodnocení '!GA77</f>
        <v>0</v>
      </c>
      <c r="GB81" s="479">
        <f>'Hodnocení '!GB77</f>
        <v>0</v>
      </c>
      <c r="GC81" s="479">
        <f>'Hodnocení '!GC77</f>
        <v>0</v>
      </c>
      <c r="GD81" s="479">
        <f>'Hodnocení '!GD77</f>
        <v>2241991</v>
      </c>
      <c r="GE81" s="479">
        <f>'Hodnocení '!GE77</f>
        <v>0</v>
      </c>
      <c r="GF81" s="479">
        <f>'Hodnocení '!GF77</f>
        <v>0</v>
      </c>
      <c r="GG81" s="479">
        <f>'Hodnocení '!GG77</f>
        <v>55327</v>
      </c>
      <c r="GH81" s="479">
        <f>'Hodnocení '!GH77</f>
        <v>63470</v>
      </c>
      <c r="GI81" s="479">
        <f>'Hodnocení '!GI77</f>
        <v>0</v>
      </c>
      <c r="GJ81" s="479">
        <f>'Hodnocení '!GJ77</f>
        <v>349751</v>
      </c>
      <c r="GK81" s="479">
        <f>'Hodnocení '!GK77</f>
        <v>0</v>
      </c>
      <c r="GL81" s="479">
        <f>'Hodnocení '!GL77</f>
        <v>0</v>
      </c>
      <c r="GM81" s="479">
        <f>'Hodnocení '!GM77</f>
        <v>168830</v>
      </c>
      <c r="GN81" s="479">
        <f>'Hodnocení '!GN77</f>
        <v>0</v>
      </c>
      <c r="GO81" s="479">
        <f>'Hodnocení '!GO77</f>
        <v>110078</v>
      </c>
      <c r="GP81" s="479">
        <f>'Hodnocení '!GP77</f>
        <v>50000</v>
      </c>
      <c r="GQ81" s="479">
        <f>'Hodnocení '!GQ77</f>
        <v>313520</v>
      </c>
      <c r="GR81" s="479">
        <f>'Hodnocení '!GR77</f>
        <v>176702</v>
      </c>
      <c r="GS81" s="479">
        <f>'Hodnocení '!GS77</f>
        <v>32386</v>
      </c>
      <c r="GT81" s="479">
        <f>'Hodnocení '!GT77</f>
        <v>2621502</v>
      </c>
      <c r="GU81" s="479">
        <f>'Hodnocení '!GU77</f>
        <v>0</v>
      </c>
      <c r="GV81" s="479">
        <f>'Hodnocení '!GV77</f>
        <v>0</v>
      </c>
      <c r="GW81" s="479">
        <f>'Hodnocení '!GW77</f>
        <v>0</v>
      </c>
      <c r="GX81" s="479">
        <f>'Hodnocení '!GX77</f>
        <v>56833</v>
      </c>
      <c r="GY81" s="479">
        <f>'Hodnocení '!GY77</f>
        <v>200000</v>
      </c>
      <c r="GZ81" s="479">
        <f>'Hodnocení '!GZ77</f>
        <v>0</v>
      </c>
      <c r="HA81" s="479">
        <f>'Hodnocení '!HA77</f>
        <v>1012000</v>
      </c>
      <c r="HB81" s="479">
        <f>'Hodnocení '!HB77</f>
        <v>0</v>
      </c>
      <c r="HC81" s="479">
        <f>'Hodnocení '!HC77</f>
        <v>773200</v>
      </c>
      <c r="HD81" s="479">
        <f>'Hodnocení '!HD77</f>
        <v>430200</v>
      </c>
      <c r="HE81" s="479">
        <f>'Hodnocení '!HE77</f>
        <v>808350</v>
      </c>
      <c r="HF81" s="479">
        <f>'Hodnocení '!HF77</f>
        <v>227286</v>
      </c>
      <c r="HG81" s="479">
        <f>'Hodnocení '!HG77</f>
        <v>143077</v>
      </c>
      <c r="HH81" s="479">
        <f>'Hodnocení '!HH77</f>
        <v>296118</v>
      </c>
      <c r="HI81" s="479">
        <f>'Hodnocení '!HI77</f>
        <v>445123</v>
      </c>
      <c r="HJ81" s="479">
        <f>'Hodnocení '!HJ77</f>
        <v>115703</v>
      </c>
      <c r="HK81" s="479">
        <f>'Hodnocení '!HK77</f>
        <v>0</v>
      </c>
      <c r="HL81" s="479">
        <f>'Hodnocení '!HL77</f>
        <v>0</v>
      </c>
      <c r="HM81" s="479">
        <f>'Hodnocení '!HM77</f>
        <v>0</v>
      </c>
      <c r="HN81" s="479">
        <f>'Hodnocení '!HN77</f>
        <v>0</v>
      </c>
      <c r="HO81" s="479">
        <f>'Hodnocení '!HO77</f>
        <v>0</v>
      </c>
      <c r="HP81" s="479">
        <f>'Hodnocení '!HP77</f>
        <v>0</v>
      </c>
      <c r="HQ81" s="479">
        <f>'Hodnocení '!HQ77</f>
        <v>0</v>
      </c>
      <c r="HR81" s="479">
        <f>'Hodnocení '!HR77</f>
        <v>0</v>
      </c>
      <c r="HS81" s="479">
        <f>'Hodnocení '!HS77</f>
        <v>0</v>
      </c>
      <c r="HT81" s="479">
        <f>'Hodnocení '!HT77</f>
        <v>0</v>
      </c>
      <c r="HU81" s="479">
        <f>'Hodnocení '!HU77</f>
        <v>0</v>
      </c>
      <c r="HV81" s="479">
        <f>'Hodnocení '!HV77</f>
        <v>0</v>
      </c>
      <c r="HW81" s="479">
        <f>'Hodnocení '!HW77</f>
        <v>0</v>
      </c>
      <c r="HX81" s="479">
        <f>'Hodnocení '!HX77</f>
        <v>0</v>
      </c>
      <c r="HY81" s="479">
        <f>'Hodnocení '!HY77</f>
        <v>0</v>
      </c>
      <c r="HZ81" s="479">
        <f>'Hodnocení '!HZ77</f>
        <v>0</v>
      </c>
      <c r="IA81" s="479">
        <f>'Hodnocení '!IA77</f>
        <v>0</v>
      </c>
      <c r="IB81" s="479">
        <f>'Hodnocení '!IB77</f>
        <v>0</v>
      </c>
      <c r="IC81" s="479">
        <f>'Hodnocení '!IC77</f>
        <v>0</v>
      </c>
      <c r="ID81" s="479">
        <f>'Hodnocení '!ID77</f>
        <v>0</v>
      </c>
      <c r="IE81" s="479">
        <f>'Hodnocení '!IE77</f>
        <v>0</v>
      </c>
      <c r="IF81" s="479">
        <f>'Hodnocení '!IF77</f>
        <v>0</v>
      </c>
      <c r="IG81" s="479">
        <f>'Hodnocení '!IG77</f>
        <v>0</v>
      </c>
      <c r="IH81" s="479">
        <f>'Hodnocení '!IH77</f>
        <v>0</v>
      </c>
      <c r="II81" s="479">
        <f>'Hodnocení '!II77</f>
        <v>0</v>
      </c>
      <c r="IJ81" s="479">
        <f>'Hodnocení '!IJ77</f>
        <v>0</v>
      </c>
      <c r="IK81" s="479">
        <f>'Hodnocení '!IK77</f>
        <v>0</v>
      </c>
      <c r="IL81" s="479">
        <f>'Hodnocení '!IL77</f>
        <v>0</v>
      </c>
      <c r="IM81" s="479">
        <f>'Hodnocení '!IM77</f>
        <v>0</v>
      </c>
      <c r="IN81" s="479">
        <f>'Hodnocení '!IN77</f>
        <v>0</v>
      </c>
      <c r="IO81" s="479">
        <f>'Hodnocení '!IO77</f>
        <v>0</v>
      </c>
      <c r="IP81" s="479">
        <f>'Hodnocení '!IP77</f>
        <v>0</v>
      </c>
      <c r="IQ81" s="479">
        <f>'Hodnocení '!IQ77</f>
        <v>0</v>
      </c>
      <c r="IR81" s="479">
        <f>'Hodnocení '!IR77</f>
        <v>0</v>
      </c>
      <c r="IS81" s="479">
        <f>'Hodnocení '!IS77</f>
        <v>0</v>
      </c>
      <c r="IT81" s="479">
        <f>'Hodnocení '!IT77</f>
        <v>0</v>
      </c>
      <c r="IU81" s="479">
        <f>'Hodnocení '!IU77</f>
        <v>0</v>
      </c>
      <c r="IV81" s="479">
        <f>'Hodnocení '!IV77</f>
        <v>0</v>
      </c>
      <c r="IW81" s="479">
        <f>'Hodnocení '!IW77</f>
        <v>0</v>
      </c>
      <c r="IX81" s="479">
        <f>'Hodnocení '!IX77</f>
        <v>0</v>
      </c>
      <c r="IY81" s="479">
        <f>'Hodnocení '!IY77</f>
        <v>0</v>
      </c>
      <c r="IZ81" s="479">
        <f>'Hodnocení '!IZ77</f>
        <v>0</v>
      </c>
      <c r="JA81" s="479">
        <f>'Hodnocení '!JA77</f>
        <v>0</v>
      </c>
      <c r="JB81" s="479">
        <f>'Hodnocení '!JB77</f>
        <v>0</v>
      </c>
      <c r="JC81" s="479">
        <f>'Hodnocení '!JC77</f>
        <v>0</v>
      </c>
      <c r="JD81" s="479">
        <f>'Hodnocení '!JD77</f>
        <v>0</v>
      </c>
      <c r="JE81" s="479">
        <f>'Hodnocení '!JE77</f>
        <v>0</v>
      </c>
      <c r="JF81" s="479">
        <f>'Hodnocení '!JF77</f>
        <v>0</v>
      </c>
      <c r="JG81" s="479">
        <f>'Hodnocení '!JG77</f>
        <v>0</v>
      </c>
      <c r="JH81" s="780">
        <f>'Hodnocení '!JH77</f>
        <v>0</v>
      </c>
      <c r="JI81" s="470">
        <f>'Hodnocení '!JI77</f>
        <v>22101295</v>
      </c>
      <c r="JL81" s="307">
        <f t="shared" si="49"/>
        <v>720505</v>
      </c>
      <c r="JM81" s="307">
        <f t="shared" si="49"/>
        <v>9671789</v>
      </c>
      <c r="JN81" s="307">
        <f t="shared" si="49"/>
        <v>11709001</v>
      </c>
      <c r="JO81" s="307">
        <f t="shared" si="49"/>
        <v>0</v>
      </c>
      <c r="JP81" s="307">
        <f t="shared" si="50"/>
        <v>22101295</v>
      </c>
    </row>
    <row r="82" spans="1:276" hidden="1" x14ac:dyDescent="0.25">
      <c r="A82" s="353"/>
      <c r="B82" s="745" t="s">
        <v>2546</v>
      </c>
      <c r="C82" s="798">
        <f>'Hodnocení '!C78</f>
        <v>7699000</v>
      </c>
      <c r="D82" s="486">
        <f>'Hodnocení '!D78</f>
        <v>6623100</v>
      </c>
      <c r="E82" s="486">
        <f>'Hodnocení '!E78</f>
        <v>8376405</v>
      </c>
      <c r="F82" s="486">
        <f>'Hodnocení '!F78</f>
        <v>3846600</v>
      </c>
      <c r="G82" s="486">
        <f>'Hodnocení '!G78</f>
        <v>10324850</v>
      </c>
      <c r="H82" s="486">
        <f>'Hodnocení '!H78</f>
        <v>1551000</v>
      </c>
      <c r="I82" s="486">
        <f>'Hodnocení '!I78</f>
        <v>2940402</v>
      </c>
      <c r="J82" s="486">
        <f>'Hodnocení '!J78</f>
        <v>2692345</v>
      </c>
      <c r="K82" s="486">
        <f>'Hodnocení '!K78</f>
        <v>5389542</v>
      </c>
      <c r="L82" s="486">
        <f>'Hodnocení '!L78</f>
        <v>3881720</v>
      </c>
      <c r="M82" s="486">
        <f>'Hodnocení '!M78</f>
        <v>3776789</v>
      </c>
      <c r="N82" s="486">
        <f>'Hodnocení '!N78</f>
        <v>5794000</v>
      </c>
      <c r="O82" s="486">
        <f>'Hodnocení '!O78</f>
        <v>4382429</v>
      </c>
      <c r="P82" s="486">
        <f>'Hodnocení '!P78</f>
        <v>2773016</v>
      </c>
      <c r="Q82" s="486">
        <f>'Hodnocení '!Q78</f>
        <v>1541267</v>
      </c>
      <c r="R82" s="486">
        <f>'Hodnocení '!R78</f>
        <v>2542425</v>
      </c>
      <c r="S82" s="486">
        <f>'Hodnocení '!S78</f>
        <v>1719724</v>
      </c>
      <c r="T82" s="486">
        <f>'Hodnocení '!T78</f>
        <v>666273</v>
      </c>
      <c r="U82" s="486">
        <f>'Hodnocení '!U78</f>
        <v>1264204</v>
      </c>
      <c r="V82" s="486">
        <f>'Hodnocení '!V78</f>
        <v>13550620</v>
      </c>
      <c r="W82" s="486">
        <f>'Hodnocení '!W78</f>
        <v>2759000</v>
      </c>
      <c r="X82" s="486">
        <f>'Hodnocení '!X78</f>
        <v>1431890</v>
      </c>
      <c r="Y82" s="486">
        <f>'Hodnocení '!Y78</f>
        <v>1737810</v>
      </c>
      <c r="Z82" s="486">
        <f>'Hodnocení '!Z78</f>
        <v>6734000</v>
      </c>
      <c r="AA82" s="486">
        <f>'Hodnocení '!AA78</f>
        <v>4144820</v>
      </c>
      <c r="AB82" s="486">
        <f>'Hodnocení '!AB78</f>
        <v>3072274.58</v>
      </c>
      <c r="AC82" s="486">
        <f>'Hodnocení '!AC78</f>
        <v>1996428.3599999999</v>
      </c>
      <c r="AD82" s="486">
        <f>'Hodnocení '!AD78</f>
        <v>1868040</v>
      </c>
      <c r="AE82" s="486">
        <f>'Hodnocení '!AE78</f>
        <v>1145408</v>
      </c>
      <c r="AF82" s="486">
        <f>'Hodnocení '!AF78</f>
        <v>2193007</v>
      </c>
      <c r="AG82" s="486">
        <f>'Hodnocení '!AG78</f>
        <v>3435252</v>
      </c>
      <c r="AH82" s="486">
        <f>'Hodnocení '!AH78</f>
        <v>813471</v>
      </c>
      <c r="AI82" s="486">
        <f>'Hodnocení '!AI78</f>
        <v>2905000</v>
      </c>
      <c r="AJ82" s="486">
        <f>'Hodnocení '!AJ78</f>
        <v>2465000</v>
      </c>
      <c r="AK82" s="486">
        <f>'Hodnocení '!AK78</f>
        <v>1117567</v>
      </c>
      <c r="AL82" s="486">
        <f>'Hodnocení '!AL78</f>
        <v>2064416</v>
      </c>
      <c r="AM82" s="486">
        <f>'Hodnocení '!AM78</f>
        <v>1434608</v>
      </c>
      <c r="AN82" s="486">
        <f>'Hodnocení '!AN78</f>
        <v>1122900</v>
      </c>
      <c r="AO82" s="486">
        <f>'Hodnocení '!AO78</f>
        <v>6310028</v>
      </c>
      <c r="AP82" s="486">
        <f>'Hodnocení '!AP78</f>
        <v>2080820</v>
      </c>
      <c r="AQ82" s="486">
        <f>'Hodnocení '!AQ78</f>
        <v>351938</v>
      </c>
      <c r="AR82" s="486">
        <f>'Hodnocení '!AR78</f>
        <v>1230091</v>
      </c>
      <c r="AS82" s="486">
        <f>'Hodnocení '!AS78</f>
        <v>469572</v>
      </c>
      <c r="AT82" s="486">
        <f>'Hodnocení '!AT78</f>
        <v>2344746</v>
      </c>
      <c r="AU82" s="486">
        <f>'Hodnocení '!AU78</f>
        <v>1044272</v>
      </c>
      <c r="AV82" s="486">
        <f>'Hodnocení '!AV78</f>
        <v>1983918</v>
      </c>
      <c r="AW82" s="486">
        <f>'Hodnocení '!AW78</f>
        <v>3227275</v>
      </c>
      <c r="AX82" s="486">
        <f>'Hodnocení '!AX78</f>
        <v>3055830</v>
      </c>
      <c r="AY82" s="486">
        <f>'Hodnocení '!AY78</f>
        <v>3144893</v>
      </c>
      <c r="AZ82" s="486">
        <f>'Hodnocení '!AZ78</f>
        <v>2946420</v>
      </c>
      <c r="BA82" s="486">
        <f>'Hodnocení '!BA78</f>
        <v>8535268</v>
      </c>
      <c r="BB82" s="486">
        <f>'Hodnocení '!BB78</f>
        <v>1160124</v>
      </c>
      <c r="BC82" s="486">
        <f>'Hodnocení '!BC78</f>
        <v>1145745</v>
      </c>
      <c r="BD82" s="486">
        <f>'Hodnocení '!BD78</f>
        <v>1469820</v>
      </c>
      <c r="BE82" s="486">
        <f>'Hodnocení '!BE78</f>
        <v>1267150</v>
      </c>
      <c r="BF82" s="486">
        <f>'Hodnocení '!BF78</f>
        <v>2204960</v>
      </c>
      <c r="BG82" s="486">
        <f>'Hodnocení '!BG78</f>
        <v>2764216</v>
      </c>
      <c r="BH82" s="486">
        <f>'Hodnocení '!BH78</f>
        <v>3109120</v>
      </c>
      <c r="BI82" s="486">
        <f>'Hodnocení '!BI78</f>
        <v>1568100</v>
      </c>
      <c r="BJ82" s="486">
        <f>'Hodnocení '!BJ78</f>
        <v>2871621</v>
      </c>
      <c r="BK82" s="486">
        <f>'Hodnocení '!BK78</f>
        <v>900000</v>
      </c>
      <c r="BL82" s="486">
        <f>'Hodnocení '!BL78</f>
        <v>0</v>
      </c>
      <c r="BM82" s="486">
        <f>'Hodnocení '!BM78</f>
        <v>665100</v>
      </c>
      <c r="BN82" s="486">
        <f>'Hodnocení '!BN78</f>
        <v>1908000</v>
      </c>
      <c r="BO82" s="486">
        <f>'Hodnocení '!BO78</f>
        <v>984010</v>
      </c>
      <c r="BP82" s="486">
        <f>'Hodnocení '!BP78</f>
        <v>4237591</v>
      </c>
      <c r="BQ82" s="486">
        <f>'Hodnocení '!BQ78</f>
        <v>815436</v>
      </c>
      <c r="BR82" s="486">
        <f>'Hodnocení '!BR78</f>
        <v>889340</v>
      </c>
      <c r="BS82" s="486">
        <f>'Hodnocení '!BS78</f>
        <v>1427900</v>
      </c>
      <c r="BT82" s="486">
        <f>'Hodnocení '!BT78</f>
        <v>981100</v>
      </c>
      <c r="BU82" s="486">
        <f>'Hodnocení '!BU78</f>
        <v>5089338</v>
      </c>
      <c r="BV82" s="486">
        <f>'Hodnocení '!BV78</f>
        <v>588910</v>
      </c>
      <c r="BW82" s="486">
        <f>'Hodnocení '!BW78</f>
        <v>532683</v>
      </c>
      <c r="BX82" s="486">
        <f>'Hodnocení '!BX78</f>
        <v>5208043</v>
      </c>
      <c r="BY82" s="486">
        <f>'Hodnocení '!BY78</f>
        <v>2149144</v>
      </c>
      <c r="BZ82" s="486">
        <f>'Hodnocení '!BZ78</f>
        <v>438150</v>
      </c>
      <c r="CA82" s="486">
        <f>'Hodnocení '!CA78</f>
        <v>0</v>
      </c>
      <c r="CB82" s="486">
        <f>'Hodnocení '!CB78</f>
        <v>532263</v>
      </c>
      <c r="CC82" s="486">
        <f>'Hodnocení '!CC78</f>
        <v>2524418</v>
      </c>
      <c r="CD82" s="486">
        <f>'Hodnocení '!CD78</f>
        <v>803336</v>
      </c>
      <c r="CE82" s="486">
        <f>'Hodnocení '!CE78</f>
        <v>12650155</v>
      </c>
      <c r="CF82" s="486">
        <f>'Hodnocení '!CF78</f>
        <v>4692900</v>
      </c>
      <c r="CG82" s="486">
        <f>'Hodnocení '!CG78</f>
        <v>10054486</v>
      </c>
      <c r="CH82" s="486">
        <f>'Hodnocení '!CH78</f>
        <v>4544346</v>
      </c>
      <c r="CI82" s="486">
        <f>'Hodnocení '!CI78</f>
        <v>3082766</v>
      </c>
      <c r="CJ82" s="486">
        <f>'Hodnocení '!CJ78</f>
        <v>4271530</v>
      </c>
      <c r="CK82" s="486">
        <f>'Hodnocení '!CK78</f>
        <v>4775623</v>
      </c>
      <c r="CL82" s="486">
        <f>'Hodnocení '!CL78</f>
        <v>2905969</v>
      </c>
      <c r="CM82" s="486">
        <f>'Hodnocení '!CM78</f>
        <v>6260160</v>
      </c>
      <c r="CN82" s="486">
        <f>'Hodnocení '!CN78</f>
        <v>1394970</v>
      </c>
      <c r="CO82" s="486">
        <f>'Hodnocení '!CO78</f>
        <v>1464500</v>
      </c>
      <c r="CP82" s="486">
        <f>'Hodnocení '!CP78</f>
        <v>1397600</v>
      </c>
      <c r="CQ82" s="486">
        <f>'Hodnocení '!CQ78</f>
        <v>5346266</v>
      </c>
      <c r="CR82" s="486">
        <f>'Hodnocení '!CR78</f>
        <v>1666800</v>
      </c>
      <c r="CS82" s="486">
        <f>'Hodnocení '!CS78</f>
        <v>0</v>
      </c>
      <c r="CT82" s="486">
        <f>'Hodnocení '!CT78</f>
        <v>5670000</v>
      </c>
      <c r="CU82" s="486">
        <f>'Hodnocení '!CU78</f>
        <v>1492000</v>
      </c>
      <c r="CV82" s="486">
        <f>'Hodnocení '!CV78</f>
        <v>5160000</v>
      </c>
      <c r="CW82" s="486">
        <f>'Hodnocení '!CW78</f>
        <v>271401</v>
      </c>
      <c r="CX82" s="486">
        <f>'Hodnocení '!CX78</f>
        <v>3501468</v>
      </c>
      <c r="CY82" s="486">
        <f>'Hodnocení '!CY78</f>
        <v>3026627</v>
      </c>
      <c r="CZ82" s="486">
        <f>'Hodnocení '!CZ78</f>
        <v>1056700</v>
      </c>
      <c r="DA82" s="486">
        <f>'Hodnocení '!DA78</f>
        <v>5580860</v>
      </c>
      <c r="DB82" s="486">
        <f>'Hodnocení '!DB78</f>
        <v>865328</v>
      </c>
      <c r="DC82" s="486">
        <f>'Hodnocení '!DC78</f>
        <v>1888500</v>
      </c>
      <c r="DD82" s="486">
        <f>'Hodnocení '!DD78</f>
        <v>4895513</v>
      </c>
      <c r="DE82" s="486">
        <f>'Hodnocení '!DE78</f>
        <v>7402606</v>
      </c>
      <c r="DF82" s="486">
        <f>'Hodnocení '!DF78</f>
        <v>5666852</v>
      </c>
      <c r="DG82" s="486">
        <f>'Hodnocení '!DG78</f>
        <v>605740</v>
      </c>
      <c r="DH82" s="486">
        <f>'Hodnocení '!DH78</f>
        <v>1711567.6400000001</v>
      </c>
      <c r="DI82" s="486">
        <f>'Hodnocení '!DI78</f>
        <v>1127420</v>
      </c>
      <c r="DJ82" s="486">
        <f>'Hodnocení '!DJ78</f>
        <v>1906958</v>
      </c>
      <c r="DK82" s="486">
        <f>'Hodnocení '!DK78</f>
        <v>952951</v>
      </c>
      <c r="DL82" s="486">
        <f>'Hodnocení '!DL78</f>
        <v>5269224</v>
      </c>
      <c r="DM82" s="486">
        <f>'Hodnocení '!DM78</f>
        <v>2242348</v>
      </c>
      <c r="DN82" s="486">
        <f>'Hodnocení '!DN78</f>
        <v>3404765</v>
      </c>
      <c r="DO82" s="486">
        <f>'Hodnocení '!DO78</f>
        <v>1397775</v>
      </c>
      <c r="DP82" s="486">
        <f>'Hodnocení '!DP78</f>
        <v>4323917</v>
      </c>
      <c r="DQ82" s="486">
        <f>'Hodnocení '!DQ78</f>
        <v>4237852</v>
      </c>
      <c r="DR82" s="486">
        <f>'Hodnocení '!DR78</f>
        <v>4531376</v>
      </c>
      <c r="DS82" s="486">
        <f>'Hodnocení '!DS78</f>
        <v>331000</v>
      </c>
      <c r="DT82" s="486">
        <f>'Hodnocení '!DT78</f>
        <v>2956291</v>
      </c>
      <c r="DU82" s="486">
        <f>'Hodnocení '!DU78</f>
        <v>2360600</v>
      </c>
      <c r="DV82" s="486">
        <f>'Hodnocení '!DV78</f>
        <v>3745477</v>
      </c>
      <c r="DW82" s="486">
        <f>'Hodnocení '!DW78</f>
        <v>1376410</v>
      </c>
      <c r="DX82" s="486">
        <f>'Hodnocení '!DX78</f>
        <v>4485918</v>
      </c>
      <c r="DY82" s="486">
        <f>'Hodnocení '!DY78</f>
        <v>3747150</v>
      </c>
      <c r="DZ82" s="486">
        <f>'Hodnocení '!DZ78</f>
        <v>716300</v>
      </c>
      <c r="EA82" s="486">
        <f>'Hodnocení '!EA78</f>
        <v>3854188</v>
      </c>
      <c r="EB82" s="486">
        <f>'Hodnocení '!EB78</f>
        <v>4107690</v>
      </c>
      <c r="EC82" s="486">
        <f>'Hodnocení '!EC78</f>
        <v>3466254</v>
      </c>
      <c r="ED82" s="486">
        <f>'Hodnocení '!ED78</f>
        <v>3863808</v>
      </c>
      <c r="EE82" s="486">
        <f>'Hodnocení '!EE78</f>
        <v>673624</v>
      </c>
      <c r="EF82" s="486">
        <f>'Hodnocení '!EF78</f>
        <v>755486</v>
      </c>
      <c r="EG82" s="486">
        <f>'Hodnocení '!EG78</f>
        <v>416758</v>
      </c>
      <c r="EH82" s="486">
        <f>'Hodnocení '!EH78</f>
        <v>617670</v>
      </c>
      <c r="EI82" s="486">
        <f>'Hodnocení '!EI78</f>
        <v>1032753</v>
      </c>
      <c r="EJ82" s="486">
        <f>'Hodnocení '!EJ78</f>
        <v>1112374</v>
      </c>
      <c r="EK82" s="486">
        <f>'Hodnocení '!EK78</f>
        <v>4315042</v>
      </c>
      <c r="EL82" s="486">
        <f>'Hodnocení '!EL78</f>
        <v>10988026</v>
      </c>
      <c r="EM82" s="486">
        <f>'Hodnocení '!EM78</f>
        <v>3069808</v>
      </c>
      <c r="EN82" s="486">
        <f>'Hodnocení '!EN78</f>
        <v>2394473</v>
      </c>
      <c r="EO82" s="486">
        <f>'Hodnocení '!EO78</f>
        <v>251418</v>
      </c>
      <c r="EP82" s="486">
        <f>'Hodnocení '!EP78</f>
        <v>2373123</v>
      </c>
      <c r="EQ82" s="486">
        <f>'Hodnocení '!EQ78</f>
        <v>1884122</v>
      </c>
      <c r="ER82" s="486">
        <f>'Hodnocení '!ER78</f>
        <v>9486868</v>
      </c>
      <c r="ES82" s="486">
        <f>'Hodnocení '!ES78</f>
        <v>4389660</v>
      </c>
      <c r="ET82" s="486">
        <f>'Hodnocení '!ET78</f>
        <v>0</v>
      </c>
      <c r="EU82" s="486">
        <f>'Hodnocení '!EU78</f>
        <v>816000</v>
      </c>
      <c r="EV82" s="486">
        <f>'Hodnocení '!EV78</f>
        <v>490535</v>
      </c>
      <c r="EW82" s="486">
        <f>'Hodnocení '!EW78</f>
        <v>4566313</v>
      </c>
      <c r="EX82" s="486">
        <f>'Hodnocení '!EX78</f>
        <v>9004290</v>
      </c>
      <c r="EY82" s="486">
        <f>'Hodnocení '!EY78</f>
        <v>3504845</v>
      </c>
      <c r="EZ82" s="486">
        <f>'Hodnocení '!EZ78</f>
        <v>1873131</v>
      </c>
      <c r="FA82" s="486">
        <f>'Hodnocení '!FA78</f>
        <v>1789953</v>
      </c>
      <c r="FB82" s="486">
        <f>'Hodnocení '!FB78</f>
        <v>139761</v>
      </c>
      <c r="FC82" s="486">
        <f>'Hodnocení '!FC78</f>
        <v>8962000</v>
      </c>
      <c r="FD82" s="486">
        <f>'Hodnocení '!FD78</f>
        <v>2324561</v>
      </c>
      <c r="FE82" s="486">
        <f>'Hodnocení '!FE78</f>
        <v>1094700</v>
      </c>
      <c r="FF82" s="486">
        <f>'Hodnocení '!FF78</f>
        <v>2117120</v>
      </c>
      <c r="FG82" s="486">
        <f>'Hodnocení '!FG78</f>
        <v>7115150</v>
      </c>
      <c r="FH82" s="486">
        <f>'Hodnocení '!FH78</f>
        <v>7161080</v>
      </c>
      <c r="FI82" s="486">
        <f>'Hodnocení '!FI78</f>
        <v>7368487</v>
      </c>
      <c r="FJ82" s="486">
        <f>'Hodnocení '!FJ78</f>
        <v>2756429</v>
      </c>
      <c r="FK82" s="486">
        <f>'Hodnocení '!FK78</f>
        <v>915255</v>
      </c>
      <c r="FL82" s="486">
        <f>'Hodnocení '!FL78</f>
        <v>1101762</v>
      </c>
      <c r="FM82" s="486">
        <f>'Hodnocení '!FM78</f>
        <v>4439416</v>
      </c>
      <c r="FN82" s="486">
        <f>'Hodnocení '!FN78</f>
        <v>7748275</v>
      </c>
      <c r="FO82" s="486">
        <f>'Hodnocení '!FO78</f>
        <v>2737840</v>
      </c>
      <c r="FP82" s="486">
        <f>'Hodnocení '!FP78</f>
        <v>16668996</v>
      </c>
      <c r="FQ82" s="486">
        <f>'Hodnocení '!FQ78</f>
        <v>2027623</v>
      </c>
      <c r="FR82" s="486">
        <f>'Hodnocení '!FR78</f>
        <v>0</v>
      </c>
      <c r="FS82" s="486">
        <f>'Hodnocení '!FS78</f>
        <v>684637</v>
      </c>
      <c r="FT82" s="486">
        <f>'Hodnocení '!FT78</f>
        <v>5188833.16</v>
      </c>
      <c r="FU82" s="486">
        <f>'Hodnocení '!FU78</f>
        <v>630848</v>
      </c>
      <c r="FV82" s="486">
        <f>'Hodnocení '!FV78</f>
        <v>2227418</v>
      </c>
      <c r="FW82" s="486">
        <f>'Hodnocení '!FW78</f>
        <v>1635056</v>
      </c>
      <c r="FX82" s="486">
        <f>'Hodnocení '!FX78</f>
        <v>767130.17999999993</v>
      </c>
      <c r="FY82" s="486">
        <f>'Hodnocení '!FY78</f>
        <v>356781</v>
      </c>
      <c r="FZ82" s="486">
        <f>'Hodnocení '!FZ78</f>
        <v>7984500</v>
      </c>
      <c r="GA82" s="486">
        <f>'Hodnocení '!GA78</f>
        <v>1345600</v>
      </c>
      <c r="GB82" s="486">
        <f>'Hodnocení '!GB78</f>
        <v>5912900</v>
      </c>
      <c r="GC82" s="486">
        <f>'Hodnocení '!GC78</f>
        <v>3582529</v>
      </c>
      <c r="GD82" s="486">
        <f>'Hodnocení '!GD78</f>
        <v>10972291</v>
      </c>
      <c r="GE82" s="486">
        <f>'Hodnocení '!GE78</f>
        <v>2206324</v>
      </c>
      <c r="GF82" s="486">
        <f>'Hodnocení '!GF78</f>
        <v>5151557</v>
      </c>
      <c r="GG82" s="486">
        <f>'Hodnocení '!GG78</f>
        <v>2189981</v>
      </c>
      <c r="GH82" s="486">
        <f>'Hodnocení '!GH78</f>
        <v>1569582</v>
      </c>
      <c r="GI82" s="486">
        <f>'Hodnocení '!GI78</f>
        <v>14043917</v>
      </c>
      <c r="GJ82" s="486">
        <f>'Hodnocení '!GJ78</f>
        <v>2658771</v>
      </c>
      <c r="GK82" s="486">
        <f>'Hodnocení '!GK78</f>
        <v>1408130</v>
      </c>
      <c r="GL82" s="486">
        <f>'Hodnocení '!GL78</f>
        <v>1182296</v>
      </c>
      <c r="GM82" s="486">
        <f>'Hodnocení '!GM78</f>
        <v>1348240</v>
      </c>
      <c r="GN82" s="486">
        <f>'Hodnocení '!GN78</f>
        <v>809513.66</v>
      </c>
      <c r="GO82" s="486">
        <f>'Hodnocení '!GO78</f>
        <v>5085549</v>
      </c>
      <c r="GP82" s="486">
        <f>'Hodnocení '!GP78</f>
        <v>1598606</v>
      </c>
      <c r="GQ82" s="486">
        <f>'Hodnocení '!GQ78</f>
        <v>1806634</v>
      </c>
      <c r="GR82" s="486">
        <f>'Hodnocení '!GR78</f>
        <v>1987142</v>
      </c>
      <c r="GS82" s="486">
        <f>'Hodnocení '!GS78</f>
        <v>1015624.18</v>
      </c>
      <c r="GT82" s="486">
        <f>'Hodnocení '!GT78</f>
        <v>14149864</v>
      </c>
      <c r="GU82" s="486">
        <f>'Hodnocení '!GU78</f>
        <v>1241571</v>
      </c>
      <c r="GV82" s="486">
        <f>'Hodnocení '!GV78</f>
        <v>7596554.54</v>
      </c>
      <c r="GW82" s="486">
        <f>'Hodnocení '!GW78</f>
        <v>2322699</v>
      </c>
      <c r="GX82" s="486">
        <f>'Hodnocení '!GX78</f>
        <v>658006.85</v>
      </c>
      <c r="GY82" s="486">
        <f>'Hodnocení '!GY78</f>
        <v>23311860</v>
      </c>
      <c r="GZ82" s="486">
        <f>'Hodnocení '!GZ78</f>
        <v>0</v>
      </c>
      <c r="HA82" s="486">
        <f>'Hodnocení '!HA78</f>
        <v>11876560</v>
      </c>
      <c r="HB82" s="486">
        <f>'Hodnocení '!HB78</f>
        <v>11041460</v>
      </c>
      <c r="HC82" s="486">
        <f>'Hodnocení '!HC78</f>
        <v>11820000</v>
      </c>
      <c r="HD82" s="486">
        <f>'Hodnocení '!HD78</f>
        <v>3298607</v>
      </c>
      <c r="HE82" s="486">
        <f>'Hodnocení '!HE78</f>
        <v>7414545</v>
      </c>
      <c r="HF82" s="486">
        <f>'Hodnocení '!HF78</f>
        <v>1937543</v>
      </c>
      <c r="HG82" s="486">
        <f>'Hodnocení '!HG78</f>
        <v>924004.64</v>
      </c>
      <c r="HH82" s="486">
        <f>'Hodnocení '!HH78</f>
        <v>3461864.3600000003</v>
      </c>
      <c r="HI82" s="486">
        <f>'Hodnocení '!HI78</f>
        <v>4104623</v>
      </c>
      <c r="HJ82" s="486">
        <f>'Hodnocení '!HJ78</f>
        <v>886660</v>
      </c>
      <c r="HK82" s="486">
        <f>'Hodnocení '!HK78</f>
        <v>1136500</v>
      </c>
      <c r="HL82" s="486">
        <f>'Hodnocení '!HL78</f>
        <v>37366967.243574739</v>
      </c>
      <c r="HM82" s="486">
        <f>'Hodnocení '!HM78</f>
        <v>25001512.541579321</v>
      </c>
      <c r="HN82" s="486">
        <f>'Hodnocení '!HN78</f>
        <v>808776.41538817156</v>
      </c>
      <c r="HO82" s="486">
        <f>'Hodnocení '!HO78</f>
        <v>2876769.799457768</v>
      </c>
      <c r="HP82" s="486">
        <f>'Hodnocení '!HP78</f>
        <v>27787218</v>
      </c>
      <c r="HQ82" s="486">
        <f>'Hodnocení '!HQ78</f>
        <v>978043.38080963399</v>
      </c>
      <c r="HR82" s="486">
        <f>'Hodnocení '!HR78</f>
        <v>33541191.281565275</v>
      </c>
      <c r="HS82" s="486">
        <f>'Hodnocení '!HS78</f>
        <v>5691227.33762509</v>
      </c>
      <c r="HT82" s="486">
        <f>'Hodnocení '!HT78</f>
        <v>22599685</v>
      </c>
      <c r="HU82" s="486">
        <f>'Hodnocení '!HU78</f>
        <v>21556860</v>
      </c>
      <c r="HV82" s="486">
        <f>'Hodnocení '!HV78</f>
        <v>16689127</v>
      </c>
      <c r="HW82" s="486">
        <f>'Hodnocení '!HW78</f>
        <v>6965541.9659980796</v>
      </c>
      <c r="HX82" s="486">
        <f>'Hodnocení '!HX78</f>
        <v>17983528.03400192</v>
      </c>
      <c r="HY82" s="486">
        <f>'Hodnocení '!HY78</f>
        <v>21115762</v>
      </c>
      <c r="HZ82" s="486">
        <f>'Hodnocení '!HZ78</f>
        <v>9565941</v>
      </c>
      <c r="IA82" s="486">
        <f>'Hodnocení '!IA78</f>
        <v>9107487</v>
      </c>
      <c r="IB82" s="486">
        <f>'Hodnocení '!IB78</f>
        <v>8575181</v>
      </c>
      <c r="IC82" s="486">
        <f>'Hodnocení '!IC78</f>
        <v>11233714.822746631</v>
      </c>
      <c r="ID82" s="486">
        <f>'Hodnocení '!ID78</f>
        <v>9255791.1772533692</v>
      </c>
      <c r="IE82" s="486">
        <f>'Hodnocení '!IE78</f>
        <v>16188892</v>
      </c>
      <c r="IF82" s="486">
        <f>'Hodnocení '!IF78</f>
        <v>20259987.198794641</v>
      </c>
      <c r="IG82" s="486">
        <f>'Hodnocení '!IG78</f>
        <v>5446079.8012053594</v>
      </c>
      <c r="IH82" s="486">
        <f>'Hodnocení '!IH78</f>
        <v>3012886.5890955012</v>
      </c>
      <c r="II82" s="486">
        <f>'Hodnocení '!II78</f>
        <v>20841865.049244203</v>
      </c>
      <c r="IJ82" s="486">
        <f>'Hodnocení '!IJ78</f>
        <v>1674908.5338407224</v>
      </c>
      <c r="IK82" s="486">
        <f>'Hodnocení '!IK78</f>
        <v>3577558.8278195728</v>
      </c>
      <c r="IL82" s="486">
        <f>'Hodnocení '!IL78</f>
        <v>9204656</v>
      </c>
      <c r="IM82" s="486">
        <f>'Hodnocení '!IM78</f>
        <v>701837.84282009513</v>
      </c>
      <c r="IN82" s="486">
        <f>'Hodnocení '!IN78</f>
        <v>10213951.504810652</v>
      </c>
      <c r="IO82" s="486">
        <f>'Hodnocení '!IO78</f>
        <v>3412493.6523692533</v>
      </c>
      <c r="IP82" s="486">
        <f>'Hodnocení '!IP78</f>
        <v>22515867</v>
      </c>
      <c r="IQ82" s="486">
        <f>'Hodnocení '!IQ78</f>
        <v>22563962.666168727</v>
      </c>
      <c r="IR82" s="486">
        <f>'Hodnocení '!IR78</f>
        <v>1003066.3338312713</v>
      </c>
      <c r="IS82" s="486">
        <f>'Hodnocení '!IS78</f>
        <v>53065674.509968996</v>
      </c>
      <c r="IT82" s="486">
        <f>'Hodnocení '!IT78</f>
        <v>12209859.490031004</v>
      </c>
      <c r="IU82" s="486">
        <f>'Hodnocení '!IU78</f>
        <v>3182630.0362361362</v>
      </c>
      <c r="IV82" s="486">
        <f>'Hodnocení '!IV78</f>
        <v>8522404.8188311569</v>
      </c>
      <c r="IW82" s="486">
        <f>'Hodnocení '!IW78</f>
        <v>15638894.711101327</v>
      </c>
      <c r="IX82" s="486">
        <f>'Hodnocení '!IX78</f>
        <v>1813436.4338313788</v>
      </c>
      <c r="IY82" s="486">
        <f>'Hodnocení '!IY78</f>
        <v>7604648.4471565671</v>
      </c>
      <c r="IZ82" s="486">
        <f>'Hodnocení '!IZ78</f>
        <v>18227943.552843433</v>
      </c>
      <c r="JA82" s="486">
        <f>'Hodnocení '!JA78</f>
        <v>3115151.73</v>
      </c>
      <c r="JB82" s="486">
        <f>'Hodnocení '!JB78</f>
        <v>3055174.04</v>
      </c>
      <c r="JC82" s="486">
        <f>'Hodnocení '!JC78</f>
        <v>2348778.09</v>
      </c>
      <c r="JD82" s="486">
        <f>'Hodnocení '!JD78</f>
        <v>5154880.7</v>
      </c>
      <c r="JE82" s="486">
        <f>'Hodnocení '!JE78</f>
        <v>1159105.145059247</v>
      </c>
      <c r="JF82" s="486">
        <f>'Hodnocení '!JF78</f>
        <v>29898599.85494075</v>
      </c>
      <c r="JG82" s="486">
        <f>'Hodnocení '!JG78</f>
        <v>30562537</v>
      </c>
      <c r="JH82" s="799">
        <f>'Hodnocení '!JH78</f>
        <v>868740</v>
      </c>
      <c r="JI82" s="764">
        <f>'Hodnocení '!JI78</f>
        <v>1355211033.7099998</v>
      </c>
      <c r="JL82" s="307">
        <f t="shared" si="49"/>
        <v>22698505</v>
      </c>
      <c r="JM82" s="307">
        <f t="shared" si="49"/>
        <v>417508897.57999998</v>
      </c>
      <c r="JN82" s="307">
        <f t="shared" si="49"/>
        <v>289256834.56999999</v>
      </c>
      <c r="JO82" s="307">
        <f t="shared" si="49"/>
        <v>625746796.56000006</v>
      </c>
      <c r="JP82" s="307">
        <f t="shared" si="50"/>
        <v>1355211033.71</v>
      </c>
    </row>
    <row r="83" spans="1:276" hidden="1" x14ac:dyDescent="0.25">
      <c r="A83" s="353"/>
      <c r="B83" s="733"/>
      <c r="C83" s="779">
        <f>'Hodnocení '!C79</f>
        <v>0</v>
      </c>
      <c r="D83" s="357">
        <f>'Hodnocení '!D79</f>
        <v>0</v>
      </c>
      <c r="E83" s="357">
        <f>'Hodnocení '!E79</f>
        <v>0</v>
      </c>
      <c r="F83" s="357">
        <f>'Hodnocení '!F79</f>
        <v>0</v>
      </c>
      <c r="G83" s="357">
        <f>'Hodnocení '!G79</f>
        <v>0</v>
      </c>
      <c r="H83" s="357">
        <f>'Hodnocení '!H79</f>
        <v>0</v>
      </c>
      <c r="I83" s="357">
        <f>'Hodnocení '!I79</f>
        <v>0</v>
      </c>
      <c r="J83" s="357">
        <f>'Hodnocení '!J79</f>
        <v>0</v>
      </c>
      <c r="K83" s="357">
        <f>'Hodnocení '!K79</f>
        <v>0</v>
      </c>
      <c r="L83" s="357">
        <f>'Hodnocení '!L79</f>
        <v>0</v>
      </c>
      <c r="M83" s="357">
        <f>'Hodnocení '!M79</f>
        <v>0</v>
      </c>
      <c r="N83" s="357">
        <f>'Hodnocení '!N79</f>
        <v>0</v>
      </c>
      <c r="O83" s="357">
        <f>'Hodnocení '!O79</f>
        <v>0</v>
      </c>
      <c r="P83" s="357">
        <f>'Hodnocení '!P79</f>
        <v>0</v>
      </c>
      <c r="Q83" s="357">
        <f>'Hodnocení '!Q79</f>
        <v>0</v>
      </c>
      <c r="R83" s="357">
        <f>'Hodnocení '!R79</f>
        <v>0</v>
      </c>
      <c r="S83" s="357">
        <f>'Hodnocení '!S79</f>
        <v>0</v>
      </c>
      <c r="T83" s="357">
        <f>'Hodnocení '!T79</f>
        <v>0</v>
      </c>
      <c r="U83" s="357">
        <f>'Hodnocení '!U79</f>
        <v>0</v>
      </c>
      <c r="V83" s="357">
        <f>'Hodnocení '!V79</f>
        <v>0</v>
      </c>
      <c r="W83" s="357">
        <f>'Hodnocení '!W79</f>
        <v>0</v>
      </c>
      <c r="X83" s="357">
        <f>'Hodnocení '!X79</f>
        <v>0</v>
      </c>
      <c r="Y83" s="357">
        <f>'Hodnocení '!Y79</f>
        <v>0</v>
      </c>
      <c r="Z83" s="357">
        <f>'Hodnocení '!Z79</f>
        <v>0</v>
      </c>
      <c r="AA83" s="357">
        <f>'Hodnocení '!AA79</f>
        <v>0</v>
      </c>
      <c r="AB83" s="357">
        <f>'Hodnocení '!AB79</f>
        <v>0</v>
      </c>
      <c r="AC83" s="357">
        <f>'Hodnocení '!AC79</f>
        <v>0</v>
      </c>
      <c r="AD83" s="357">
        <f>'Hodnocení '!AD79</f>
        <v>0</v>
      </c>
      <c r="AE83" s="357">
        <f>'Hodnocení '!AE79</f>
        <v>0</v>
      </c>
      <c r="AF83" s="357">
        <f>'Hodnocení '!AF79</f>
        <v>0</v>
      </c>
      <c r="AG83" s="357">
        <f>'Hodnocení '!AG79</f>
        <v>0</v>
      </c>
      <c r="AH83" s="357">
        <f>'Hodnocení '!AH79</f>
        <v>0</v>
      </c>
      <c r="AI83" s="357">
        <f>'Hodnocení '!AI79</f>
        <v>0</v>
      </c>
      <c r="AJ83" s="357">
        <f>'Hodnocení '!AJ79</f>
        <v>0</v>
      </c>
      <c r="AK83" s="357">
        <f>'Hodnocení '!AK79</f>
        <v>0</v>
      </c>
      <c r="AL83" s="357">
        <f>'Hodnocení '!AL79</f>
        <v>0</v>
      </c>
      <c r="AM83" s="357">
        <f>'Hodnocení '!AM79</f>
        <v>0</v>
      </c>
      <c r="AN83" s="357">
        <f>'Hodnocení '!AN79</f>
        <v>0</v>
      </c>
      <c r="AO83" s="357">
        <f>'Hodnocení '!AO79</f>
        <v>0</v>
      </c>
      <c r="AP83" s="357">
        <f>'Hodnocení '!AP79</f>
        <v>0</v>
      </c>
      <c r="AQ83" s="357">
        <f>'Hodnocení '!AQ79</f>
        <v>0</v>
      </c>
      <c r="AR83" s="357">
        <f>'Hodnocení '!AR79</f>
        <v>0</v>
      </c>
      <c r="AS83" s="357">
        <f>'Hodnocení '!AS79</f>
        <v>0</v>
      </c>
      <c r="AT83" s="357">
        <f>'Hodnocení '!AT79</f>
        <v>0</v>
      </c>
      <c r="AU83" s="357">
        <f>'Hodnocení '!AU79</f>
        <v>0</v>
      </c>
      <c r="AV83" s="357">
        <f>'Hodnocení '!AV79</f>
        <v>0</v>
      </c>
      <c r="AW83" s="357">
        <f>'Hodnocení '!AW79</f>
        <v>0</v>
      </c>
      <c r="AX83" s="357">
        <f>'Hodnocení '!AX79</f>
        <v>0</v>
      </c>
      <c r="AY83" s="357">
        <f>'Hodnocení '!AY79</f>
        <v>0</v>
      </c>
      <c r="AZ83" s="357">
        <f>'Hodnocení '!AZ79</f>
        <v>0</v>
      </c>
      <c r="BA83" s="357">
        <f>'Hodnocení '!BA79</f>
        <v>0</v>
      </c>
      <c r="BB83" s="357">
        <f>'Hodnocení '!BB79</f>
        <v>0</v>
      </c>
      <c r="BC83" s="357">
        <f>'Hodnocení '!BC79</f>
        <v>0</v>
      </c>
      <c r="BD83" s="357">
        <f>'Hodnocení '!BD79</f>
        <v>0</v>
      </c>
      <c r="BE83" s="357">
        <f>'Hodnocení '!BE79</f>
        <v>0</v>
      </c>
      <c r="BF83" s="357">
        <f>'Hodnocení '!BF79</f>
        <v>0</v>
      </c>
      <c r="BG83" s="357">
        <f>'Hodnocení '!BG79</f>
        <v>0</v>
      </c>
      <c r="BH83" s="357">
        <f>'Hodnocení '!BH79</f>
        <v>0</v>
      </c>
      <c r="BI83" s="357">
        <f>'Hodnocení '!BI79</f>
        <v>0</v>
      </c>
      <c r="BJ83" s="357">
        <f>'Hodnocení '!BJ79</f>
        <v>0</v>
      </c>
      <c r="BK83" s="357">
        <f>'Hodnocení '!BK79</f>
        <v>0</v>
      </c>
      <c r="BL83" s="357">
        <f>'Hodnocení '!BL79</f>
        <v>0</v>
      </c>
      <c r="BM83" s="357">
        <f>'Hodnocení '!BM79</f>
        <v>0</v>
      </c>
      <c r="BN83" s="357">
        <f>'Hodnocení '!BN79</f>
        <v>0</v>
      </c>
      <c r="BO83" s="357">
        <f>'Hodnocení '!BO79</f>
        <v>0</v>
      </c>
      <c r="BP83" s="357">
        <f>'Hodnocení '!BP79</f>
        <v>0</v>
      </c>
      <c r="BQ83" s="357">
        <f>'Hodnocení '!BQ79</f>
        <v>0</v>
      </c>
      <c r="BR83" s="357">
        <f>'Hodnocení '!BR79</f>
        <v>0</v>
      </c>
      <c r="BS83" s="357">
        <f>'Hodnocení '!BS79</f>
        <v>0</v>
      </c>
      <c r="BT83" s="357">
        <f>'Hodnocení '!BT79</f>
        <v>0</v>
      </c>
      <c r="BU83" s="357">
        <f>'Hodnocení '!BU79</f>
        <v>0</v>
      </c>
      <c r="BV83" s="357">
        <f>'Hodnocení '!BV79</f>
        <v>0</v>
      </c>
      <c r="BW83" s="357">
        <f>'Hodnocení '!BW79</f>
        <v>0</v>
      </c>
      <c r="BX83" s="357">
        <f>'Hodnocení '!BX79</f>
        <v>0</v>
      </c>
      <c r="BY83" s="357">
        <f>'Hodnocení '!BY79</f>
        <v>0</v>
      </c>
      <c r="BZ83" s="357">
        <f>'Hodnocení '!BZ79</f>
        <v>0</v>
      </c>
      <c r="CA83" s="357">
        <f>'Hodnocení '!CA79</f>
        <v>0</v>
      </c>
      <c r="CB83" s="357">
        <f>'Hodnocení '!CB79</f>
        <v>0</v>
      </c>
      <c r="CC83" s="357">
        <f>'Hodnocení '!CC79</f>
        <v>0</v>
      </c>
      <c r="CD83" s="357">
        <f>'Hodnocení '!CD79</f>
        <v>0</v>
      </c>
      <c r="CE83" s="357">
        <f>'Hodnocení '!CE79</f>
        <v>0</v>
      </c>
      <c r="CF83" s="357">
        <f>'Hodnocení '!CF79</f>
        <v>0</v>
      </c>
      <c r="CG83" s="357">
        <f>'Hodnocení '!CG79</f>
        <v>0</v>
      </c>
      <c r="CH83" s="357">
        <f>'Hodnocení '!CH79</f>
        <v>0</v>
      </c>
      <c r="CI83" s="357">
        <f>'Hodnocení '!CI79</f>
        <v>0</v>
      </c>
      <c r="CJ83" s="357">
        <f>'Hodnocení '!CJ79</f>
        <v>0</v>
      </c>
      <c r="CK83" s="357">
        <f>'Hodnocení '!CK79</f>
        <v>0</v>
      </c>
      <c r="CL83" s="357">
        <f>'Hodnocení '!CL79</f>
        <v>0</v>
      </c>
      <c r="CM83" s="357">
        <f>'Hodnocení '!CM79</f>
        <v>0</v>
      </c>
      <c r="CN83" s="357">
        <f>'Hodnocení '!CN79</f>
        <v>0</v>
      </c>
      <c r="CO83" s="357">
        <f>'Hodnocení '!CO79</f>
        <v>0</v>
      </c>
      <c r="CP83" s="357">
        <f>'Hodnocení '!CP79</f>
        <v>0</v>
      </c>
      <c r="CQ83" s="357">
        <f>'Hodnocení '!CQ79</f>
        <v>0</v>
      </c>
      <c r="CR83" s="357">
        <f>'Hodnocení '!CR79</f>
        <v>0</v>
      </c>
      <c r="CS83" s="357">
        <f>'Hodnocení '!CS79</f>
        <v>0</v>
      </c>
      <c r="CT83" s="357">
        <f>'Hodnocení '!CT79</f>
        <v>0</v>
      </c>
      <c r="CU83" s="357">
        <f>'Hodnocení '!CU79</f>
        <v>0</v>
      </c>
      <c r="CV83" s="357">
        <f>'Hodnocení '!CV79</f>
        <v>0</v>
      </c>
      <c r="CW83" s="357">
        <f>'Hodnocení '!CW79</f>
        <v>0</v>
      </c>
      <c r="CX83" s="357">
        <f>'Hodnocení '!CX79</f>
        <v>0</v>
      </c>
      <c r="CY83" s="357">
        <f>'Hodnocení '!CY79</f>
        <v>0</v>
      </c>
      <c r="CZ83" s="357">
        <f>'Hodnocení '!CZ79</f>
        <v>0</v>
      </c>
      <c r="DA83" s="357">
        <f>'Hodnocení '!DA79</f>
        <v>0</v>
      </c>
      <c r="DB83" s="357">
        <f>'Hodnocení '!DB79</f>
        <v>0</v>
      </c>
      <c r="DC83" s="357">
        <f>'Hodnocení '!DC79</f>
        <v>0</v>
      </c>
      <c r="DD83" s="357">
        <f>'Hodnocení '!DD79</f>
        <v>0</v>
      </c>
      <c r="DE83" s="357">
        <f>'Hodnocení '!DE79</f>
        <v>0</v>
      </c>
      <c r="DF83" s="357">
        <f>'Hodnocení '!DF79</f>
        <v>0</v>
      </c>
      <c r="DG83" s="357">
        <f>'Hodnocení '!DG79</f>
        <v>0</v>
      </c>
      <c r="DH83" s="357">
        <f>'Hodnocení '!DH79</f>
        <v>0</v>
      </c>
      <c r="DI83" s="357">
        <f>'Hodnocení '!DI79</f>
        <v>0</v>
      </c>
      <c r="DJ83" s="357">
        <f>'Hodnocení '!DJ79</f>
        <v>0</v>
      </c>
      <c r="DK83" s="357">
        <f>'Hodnocení '!DK79</f>
        <v>0</v>
      </c>
      <c r="DL83" s="357">
        <f>'Hodnocení '!DL79</f>
        <v>0</v>
      </c>
      <c r="DM83" s="357">
        <f>'Hodnocení '!DM79</f>
        <v>0</v>
      </c>
      <c r="DN83" s="357">
        <f>'Hodnocení '!DN79</f>
        <v>0</v>
      </c>
      <c r="DO83" s="357">
        <f>'Hodnocení '!DO79</f>
        <v>0</v>
      </c>
      <c r="DP83" s="357">
        <f>'Hodnocení '!DP79</f>
        <v>0</v>
      </c>
      <c r="DQ83" s="357">
        <f>'Hodnocení '!DQ79</f>
        <v>0</v>
      </c>
      <c r="DR83" s="357">
        <f>'Hodnocení '!DR79</f>
        <v>0</v>
      </c>
      <c r="DS83" s="357">
        <f>'Hodnocení '!DS79</f>
        <v>0</v>
      </c>
      <c r="DT83" s="357">
        <f>'Hodnocení '!DT79</f>
        <v>0</v>
      </c>
      <c r="DU83" s="357">
        <f>'Hodnocení '!DU79</f>
        <v>0</v>
      </c>
      <c r="DV83" s="357">
        <f>'Hodnocení '!DV79</f>
        <v>0</v>
      </c>
      <c r="DW83" s="357">
        <f>'Hodnocení '!DW79</f>
        <v>0</v>
      </c>
      <c r="DX83" s="357">
        <f>'Hodnocení '!DX79</f>
        <v>0</v>
      </c>
      <c r="DY83" s="357">
        <f>'Hodnocení '!DY79</f>
        <v>0</v>
      </c>
      <c r="DZ83" s="357">
        <f>'Hodnocení '!DZ79</f>
        <v>0</v>
      </c>
      <c r="EA83" s="357">
        <f>'Hodnocení '!EA79</f>
        <v>0</v>
      </c>
      <c r="EB83" s="357">
        <f>'Hodnocení '!EB79</f>
        <v>0</v>
      </c>
      <c r="EC83" s="357">
        <f>'Hodnocení '!EC79</f>
        <v>0</v>
      </c>
      <c r="ED83" s="357">
        <f>'Hodnocení '!ED79</f>
        <v>0</v>
      </c>
      <c r="EE83" s="357">
        <f>'Hodnocení '!EE79</f>
        <v>0</v>
      </c>
      <c r="EF83" s="357">
        <f>'Hodnocení '!EF79</f>
        <v>0</v>
      </c>
      <c r="EG83" s="357">
        <f>'Hodnocení '!EG79</f>
        <v>0</v>
      </c>
      <c r="EH83" s="357">
        <f>'Hodnocení '!EH79</f>
        <v>0</v>
      </c>
      <c r="EI83" s="357">
        <f>'Hodnocení '!EI79</f>
        <v>0</v>
      </c>
      <c r="EJ83" s="357">
        <f>'Hodnocení '!EJ79</f>
        <v>0</v>
      </c>
      <c r="EK83" s="357">
        <f>'Hodnocení '!EK79</f>
        <v>0</v>
      </c>
      <c r="EL83" s="357">
        <f>'Hodnocení '!EL79</f>
        <v>0</v>
      </c>
      <c r="EM83" s="357">
        <f>'Hodnocení '!EM79</f>
        <v>0</v>
      </c>
      <c r="EN83" s="357">
        <f>'Hodnocení '!EN79</f>
        <v>0</v>
      </c>
      <c r="EO83" s="357">
        <f>'Hodnocení '!EO79</f>
        <v>0</v>
      </c>
      <c r="EP83" s="357">
        <f>'Hodnocení '!EP79</f>
        <v>0</v>
      </c>
      <c r="EQ83" s="357">
        <f>'Hodnocení '!EQ79</f>
        <v>0</v>
      </c>
      <c r="ER83" s="357">
        <f>'Hodnocení '!ER79</f>
        <v>0</v>
      </c>
      <c r="ES83" s="357">
        <f>'Hodnocení '!ES79</f>
        <v>0</v>
      </c>
      <c r="ET83" s="357">
        <f>'Hodnocení '!ET79</f>
        <v>0</v>
      </c>
      <c r="EU83" s="357">
        <f>'Hodnocení '!EU79</f>
        <v>0</v>
      </c>
      <c r="EV83" s="357">
        <f>'Hodnocení '!EV79</f>
        <v>0</v>
      </c>
      <c r="EW83" s="357">
        <f>'Hodnocení '!EW79</f>
        <v>0</v>
      </c>
      <c r="EX83" s="357">
        <f>'Hodnocení '!EX79</f>
        <v>0</v>
      </c>
      <c r="EY83" s="357">
        <f>'Hodnocení '!EY79</f>
        <v>0</v>
      </c>
      <c r="EZ83" s="357">
        <f>'Hodnocení '!EZ79</f>
        <v>0</v>
      </c>
      <c r="FA83" s="357">
        <f>'Hodnocení '!FA79</f>
        <v>0</v>
      </c>
      <c r="FB83" s="357">
        <f>'Hodnocení '!FB79</f>
        <v>0</v>
      </c>
      <c r="FC83" s="357">
        <f>'Hodnocení '!FC79</f>
        <v>0</v>
      </c>
      <c r="FD83" s="357">
        <f>'Hodnocení '!FD79</f>
        <v>0</v>
      </c>
      <c r="FE83" s="357">
        <f>'Hodnocení '!FE79</f>
        <v>0</v>
      </c>
      <c r="FF83" s="357">
        <f>'Hodnocení '!FF79</f>
        <v>0</v>
      </c>
      <c r="FG83" s="357">
        <f>'Hodnocení '!FG79</f>
        <v>0</v>
      </c>
      <c r="FH83" s="357">
        <f>'Hodnocení '!FH79</f>
        <v>0</v>
      </c>
      <c r="FI83" s="357">
        <f>'Hodnocení '!FI79</f>
        <v>0</v>
      </c>
      <c r="FJ83" s="357">
        <f>'Hodnocení '!FJ79</f>
        <v>0</v>
      </c>
      <c r="FK83" s="357">
        <f>'Hodnocení '!FK79</f>
        <v>0</v>
      </c>
      <c r="FL83" s="357">
        <f>'Hodnocení '!FL79</f>
        <v>0</v>
      </c>
      <c r="FM83" s="357">
        <f>'Hodnocení '!FM79</f>
        <v>0</v>
      </c>
      <c r="FN83" s="357">
        <f>'Hodnocení '!FN79</f>
        <v>0</v>
      </c>
      <c r="FO83" s="357">
        <f>'Hodnocení '!FO79</f>
        <v>0</v>
      </c>
      <c r="FP83" s="357">
        <f>'Hodnocení '!FP79</f>
        <v>0</v>
      </c>
      <c r="FQ83" s="357">
        <f>'Hodnocení '!FQ79</f>
        <v>0</v>
      </c>
      <c r="FR83" s="357">
        <f>'Hodnocení '!FR79</f>
        <v>0</v>
      </c>
      <c r="FS83" s="357">
        <f>'Hodnocení '!FS79</f>
        <v>0</v>
      </c>
      <c r="FT83" s="357">
        <f>'Hodnocení '!FT79</f>
        <v>0</v>
      </c>
      <c r="FU83" s="357">
        <f>'Hodnocení '!FU79</f>
        <v>0</v>
      </c>
      <c r="FV83" s="357">
        <f>'Hodnocení '!FV79</f>
        <v>0</v>
      </c>
      <c r="FW83" s="357">
        <f>'Hodnocení '!FW79</f>
        <v>0</v>
      </c>
      <c r="FX83" s="357">
        <f>'Hodnocení '!FX79</f>
        <v>0</v>
      </c>
      <c r="FY83" s="357">
        <f>'Hodnocení '!FY79</f>
        <v>0</v>
      </c>
      <c r="FZ83" s="357">
        <f>'Hodnocení '!FZ79</f>
        <v>0</v>
      </c>
      <c r="GA83" s="357">
        <f>'Hodnocení '!GA79</f>
        <v>0</v>
      </c>
      <c r="GB83" s="357">
        <f>'Hodnocení '!GB79</f>
        <v>0</v>
      </c>
      <c r="GC83" s="357">
        <f>'Hodnocení '!GC79</f>
        <v>0</v>
      </c>
      <c r="GD83" s="357">
        <f>'Hodnocení '!GD79</f>
        <v>0</v>
      </c>
      <c r="GE83" s="357">
        <f>'Hodnocení '!GE79</f>
        <v>0</v>
      </c>
      <c r="GF83" s="357">
        <f>'Hodnocení '!GF79</f>
        <v>0</v>
      </c>
      <c r="GG83" s="357">
        <f>'Hodnocení '!GG79</f>
        <v>0</v>
      </c>
      <c r="GH83" s="357">
        <f>'Hodnocení '!GH79</f>
        <v>0</v>
      </c>
      <c r="GI83" s="357">
        <f>'Hodnocení '!GI79</f>
        <v>0</v>
      </c>
      <c r="GJ83" s="357">
        <f>'Hodnocení '!GJ79</f>
        <v>0</v>
      </c>
      <c r="GK83" s="357">
        <f>'Hodnocení '!GK79</f>
        <v>0</v>
      </c>
      <c r="GL83" s="357">
        <f>'Hodnocení '!GL79</f>
        <v>0</v>
      </c>
      <c r="GM83" s="357">
        <f>'Hodnocení '!GM79</f>
        <v>0</v>
      </c>
      <c r="GN83" s="357">
        <f>'Hodnocení '!GN79</f>
        <v>0</v>
      </c>
      <c r="GO83" s="357">
        <f>'Hodnocení '!GO79</f>
        <v>0</v>
      </c>
      <c r="GP83" s="357">
        <f>'Hodnocení '!GP79</f>
        <v>0</v>
      </c>
      <c r="GQ83" s="357">
        <f>'Hodnocení '!GQ79</f>
        <v>0</v>
      </c>
      <c r="GR83" s="357">
        <f>'Hodnocení '!GR79</f>
        <v>0</v>
      </c>
      <c r="GS83" s="357">
        <f>'Hodnocení '!GS79</f>
        <v>0</v>
      </c>
      <c r="GT83" s="357">
        <f>'Hodnocení '!GT79</f>
        <v>0</v>
      </c>
      <c r="GU83" s="357">
        <f>'Hodnocení '!GU79</f>
        <v>0</v>
      </c>
      <c r="GV83" s="357">
        <f>'Hodnocení '!GV79</f>
        <v>0</v>
      </c>
      <c r="GW83" s="357">
        <f>'Hodnocení '!GW79</f>
        <v>0</v>
      </c>
      <c r="GX83" s="357">
        <f>'Hodnocení '!GX79</f>
        <v>0</v>
      </c>
      <c r="GY83" s="357">
        <f>'Hodnocení '!GY79</f>
        <v>0</v>
      </c>
      <c r="GZ83" s="357">
        <f>'Hodnocení '!GZ79</f>
        <v>0</v>
      </c>
      <c r="HA83" s="357">
        <f>'Hodnocení '!HA79</f>
        <v>0</v>
      </c>
      <c r="HB83" s="357">
        <f>'Hodnocení '!HB79</f>
        <v>0</v>
      </c>
      <c r="HC83" s="357">
        <f>'Hodnocení '!HC79</f>
        <v>0</v>
      </c>
      <c r="HD83" s="357">
        <f>'Hodnocení '!HD79</f>
        <v>0</v>
      </c>
      <c r="HE83" s="357">
        <f>'Hodnocení '!HE79</f>
        <v>0</v>
      </c>
      <c r="HF83" s="357">
        <f>'Hodnocení '!HF79</f>
        <v>0</v>
      </c>
      <c r="HG83" s="357">
        <f>'Hodnocení '!HG79</f>
        <v>0</v>
      </c>
      <c r="HH83" s="357">
        <f>'Hodnocení '!HH79</f>
        <v>0</v>
      </c>
      <c r="HI83" s="357">
        <f>'Hodnocení '!HI79</f>
        <v>0</v>
      </c>
      <c r="HJ83" s="357">
        <f>'Hodnocení '!HJ79</f>
        <v>0</v>
      </c>
      <c r="HK83" s="357">
        <f>'Hodnocení '!HK79</f>
        <v>0</v>
      </c>
      <c r="HL83" s="357">
        <f>'Hodnocení '!HL79</f>
        <v>0</v>
      </c>
      <c r="HM83" s="357">
        <f>'Hodnocení '!HM79</f>
        <v>0</v>
      </c>
      <c r="HN83" s="357">
        <f>'Hodnocení '!HN79</f>
        <v>0</v>
      </c>
      <c r="HO83" s="357">
        <f>'Hodnocení '!HO79</f>
        <v>0</v>
      </c>
      <c r="HP83" s="357">
        <f>'Hodnocení '!HP79</f>
        <v>0</v>
      </c>
      <c r="HQ83" s="357">
        <f>'Hodnocení '!HQ79</f>
        <v>0</v>
      </c>
      <c r="HR83" s="357">
        <f>'Hodnocení '!HR79</f>
        <v>0</v>
      </c>
      <c r="HS83" s="357">
        <f>'Hodnocení '!HS79</f>
        <v>0</v>
      </c>
      <c r="HT83" s="357">
        <f>'Hodnocení '!HT79</f>
        <v>0</v>
      </c>
      <c r="HU83" s="357">
        <f>'Hodnocení '!HU79</f>
        <v>0</v>
      </c>
      <c r="HV83" s="357">
        <f>'Hodnocení '!HV79</f>
        <v>0</v>
      </c>
      <c r="HW83" s="357">
        <f>'Hodnocení '!HW79</f>
        <v>0</v>
      </c>
      <c r="HX83" s="357">
        <f>'Hodnocení '!HX79</f>
        <v>0</v>
      </c>
      <c r="HY83" s="357">
        <f>'Hodnocení '!HY79</f>
        <v>0</v>
      </c>
      <c r="HZ83" s="357">
        <f>'Hodnocení '!HZ79</f>
        <v>0</v>
      </c>
      <c r="IA83" s="357">
        <f>'Hodnocení '!IA79</f>
        <v>0</v>
      </c>
      <c r="IB83" s="357">
        <f>'Hodnocení '!IB79</f>
        <v>0</v>
      </c>
      <c r="IC83" s="357">
        <f>'Hodnocení '!IC79</f>
        <v>0</v>
      </c>
      <c r="ID83" s="357">
        <f>'Hodnocení '!ID79</f>
        <v>0</v>
      </c>
      <c r="IE83" s="357">
        <f>'Hodnocení '!IE79</f>
        <v>0</v>
      </c>
      <c r="IF83" s="357">
        <f>'Hodnocení '!IF79</f>
        <v>0</v>
      </c>
      <c r="IG83" s="357">
        <f>'Hodnocení '!IG79</f>
        <v>0</v>
      </c>
      <c r="IH83" s="357">
        <f>'Hodnocení '!IH79</f>
        <v>0</v>
      </c>
      <c r="II83" s="357">
        <f>'Hodnocení '!II79</f>
        <v>0</v>
      </c>
      <c r="IJ83" s="357">
        <f>'Hodnocení '!IJ79</f>
        <v>0</v>
      </c>
      <c r="IK83" s="357">
        <f>'Hodnocení '!IK79</f>
        <v>0</v>
      </c>
      <c r="IL83" s="357">
        <f>'Hodnocení '!IL79</f>
        <v>0</v>
      </c>
      <c r="IM83" s="357">
        <f>'Hodnocení '!IM79</f>
        <v>0</v>
      </c>
      <c r="IN83" s="357">
        <f>'Hodnocení '!IN79</f>
        <v>0</v>
      </c>
      <c r="IO83" s="357">
        <f>'Hodnocení '!IO79</f>
        <v>0</v>
      </c>
      <c r="IP83" s="357">
        <f>'Hodnocení '!IP79</f>
        <v>0</v>
      </c>
      <c r="IQ83" s="357">
        <f>'Hodnocení '!IQ79</f>
        <v>0</v>
      </c>
      <c r="IR83" s="357">
        <f>'Hodnocení '!IR79</f>
        <v>0</v>
      </c>
      <c r="IS83" s="357">
        <f>'Hodnocení '!IS79</f>
        <v>0</v>
      </c>
      <c r="IT83" s="357">
        <f>'Hodnocení '!IT79</f>
        <v>0</v>
      </c>
      <c r="IU83" s="357">
        <f>'Hodnocení '!IU79</f>
        <v>0</v>
      </c>
      <c r="IV83" s="357">
        <f>'Hodnocení '!IV79</f>
        <v>0</v>
      </c>
      <c r="IW83" s="357">
        <f>'Hodnocení '!IW79</f>
        <v>0</v>
      </c>
      <c r="IX83" s="357">
        <f>'Hodnocení '!IX79</f>
        <v>0</v>
      </c>
      <c r="IY83" s="357">
        <f>'Hodnocení '!IY79</f>
        <v>0</v>
      </c>
      <c r="IZ83" s="357">
        <f>'Hodnocení '!IZ79</f>
        <v>0</v>
      </c>
      <c r="JA83" s="357">
        <f>'Hodnocení '!JA79</f>
        <v>0</v>
      </c>
      <c r="JB83" s="357">
        <f>'Hodnocení '!JB79</f>
        <v>0</v>
      </c>
      <c r="JC83" s="357">
        <f>'Hodnocení '!JC79</f>
        <v>0</v>
      </c>
      <c r="JD83" s="357">
        <f>'Hodnocení '!JD79</f>
        <v>0</v>
      </c>
      <c r="JE83" s="357">
        <f>'Hodnocení '!JE79</f>
        <v>0</v>
      </c>
      <c r="JF83" s="357">
        <f>'Hodnocení '!JF79</f>
        <v>0</v>
      </c>
      <c r="JG83" s="357">
        <f>'Hodnocení '!JG79</f>
        <v>0</v>
      </c>
      <c r="JH83" s="772">
        <f>'Hodnocení '!JH79</f>
        <v>0</v>
      </c>
      <c r="JI83" s="315">
        <f>'Hodnocení '!JI79</f>
        <v>0</v>
      </c>
    </row>
    <row r="84" spans="1:276" hidden="1" x14ac:dyDescent="0.25">
      <c r="A84" s="353"/>
      <c r="B84" s="733"/>
      <c r="C84" s="360">
        <f>'Hodnocení '!C80</f>
        <v>0</v>
      </c>
      <c r="D84" s="357">
        <f>'Hodnocení '!D80</f>
        <v>0</v>
      </c>
      <c r="E84" s="357">
        <f>'Hodnocení '!E80</f>
        <v>0</v>
      </c>
      <c r="F84" s="357">
        <f>'Hodnocení '!F80</f>
        <v>0</v>
      </c>
      <c r="G84" s="357">
        <f>'Hodnocení '!G80</f>
        <v>0</v>
      </c>
      <c r="H84" s="357">
        <f>'Hodnocení '!H80</f>
        <v>0</v>
      </c>
      <c r="I84" s="357">
        <f>'Hodnocení '!I80</f>
        <v>0</v>
      </c>
      <c r="J84" s="357">
        <f>'Hodnocení '!J80</f>
        <v>0</v>
      </c>
      <c r="K84" s="357">
        <f>'Hodnocení '!K80</f>
        <v>0</v>
      </c>
      <c r="L84" s="357">
        <f>'Hodnocení '!L80</f>
        <v>0</v>
      </c>
      <c r="M84" s="357">
        <f>'Hodnocení '!M80</f>
        <v>0</v>
      </c>
      <c r="N84" s="357">
        <f>'Hodnocení '!N80</f>
        <v>0</v>
      </c>
      <c r="O84" s="357">
        <f>'Hodnocení '!O80</f>
        <v>0</v>
      </c>
      <c r="P84" s="357">
        <f>'Hodnocení '!P80</f>
        <v>0</v>
      </c>
      <c r="Q84" s="357">
        <f>'Hodnocení '!Q80</f>
        <v>0</v>
      </c>
      <c r="R84" s="357">
        <f>'Hodnocení '!R80</f>
        <v>0</v>
      </c>
      <c r="S84" s="357">
        <f>'Hodnocení '!S80</f>
        <v>0</v>
      </c>
      <c r="T84" s="357">
        <f>'Hodnocení '!T80</f>
        <v>0</v>
      </c>
      <c r="U84" s="357">
        <f>'Hodnocení '!U80</f>
        <v>0</v>
      </c>
      <c r="V84" s="357">
        <f>'Hodnocení '!V80</f>
        <v>0</v>
      </c>
      <c r="W84" s="357">
        <f>'Hodnocení '!W80</f>
        <v>0</v>
      </c>
      <c r="X84" s="357">
        <f>'Hodnocení '!X80</f>
        <v>0</v>
      </c>
      <c r="Y84" s="357">
        <f>'Hodnocení '!Y80</f>
        <v>0</v>
      </c>
      <c r="Z84" s="357">
        <f>'Hodnocení '!Z80</f>
        <v>0</v>
      </c>
      <c r="AA84" s="357">
        <f>'Hodnocení '!AA80</f>
        <v>0</v>
      </c>
      <c r="AB84" s="357">
        <f>'Hodnocení '!AB80</f>
        <v>0</v>
      </c>
      <c r="AC84" s="357">
        <f>'Hodnocení '!AC80</f>
        <v>0</v>
      </c>
      <c r="AD84" s="357">
        <f>'Hodnocení '!AD80</f>
        <v>0</v>
      </c>
      <c r="AE84" s="357">
        <f>'Hodnocení '!AE80</f>
        <v>0</v>
      </c>
      <c r="AF84" s="357">
        <f>'Hodnocení '!AF80</f>
        <v>0</v>
      </c>
      <c r="AG84" s="357">
        <f>'Hodnocení '!AG80</f>
        <v>0</v>
      </c>
      <c r="AH84" s="357">
        <f>'Hodnocení '!AH80</f>
        <v>0</v>
      </c>
      <c r="AI84" s="357">
        <f>'Hodnocení '!AI80</f>
        <v>0</v>
      </c>
      <c r="AJ84" s="357">
        <f>'Hodnocení '!AJ80</f>
        <v>0</v>
      </c>
      <c r="AK84" s="357">
        <f>'Hodnocení '!AK80</f>
        <v>0</v>
      </c>
      <c r="AL84" s="357">
        <f>'Hodnocení '!AL80</f>
        <v>0</v>
      </c>
      <c r="AM84" s="357">
        <f>'Hodnocení '!AM80</f>
        <v>0</v>
      </c>
      <c r="AN84" s="357">
        <f>'Hodnocení '!AN80</f>
        <v>0</v>
      </c>
      <c r="AO84" s="357">
        <f>'Hodnocení '!AO80</f>
        <v>0</v>
      </c>
      <c r="AP84" s="357">
        <f>'Hodnocení '!AP80</f>
        <v>0</v>
      </c>
      <c r="AQ84" s="357">
        <f>'Hodnocení '!AQ80</f>
        <v>0</v>
      </c>
      <c r="AR84" s="357">
        <f>'Hodnocení '!AR80</f>
        <v>0</v>
      </c>
      <c r="AS84" s="357">
        <f>'Hodnocení '!AS80</f>
        <v>0</v>
      </c>
      <c r="AT84" s="357">
        <f>'Hodnocení '!AT80</f>
        <v>0</v>
      </c>
      <c r="AU84" s="357">
        <f>'Hodnocení '!AU80</f>
        <v>0</v>
      </c>
      <c r="AV84" s="357">
        <f>'Hodnocení '!AV80</f>
        <v>0</v>
      </c>
      <c r="AW84" s="357">
        <f>'Hodnocení '!AW80</f>
        <v>0</v>
      </c>
      <c r="AX84" s="357">
        <f>'Hodnocení '!AX80</f>
        <v>0</v>
      </c>
      <c r="AY84" s="357">
        <f>'Hodnocení '!AY80</f>
        <v>0</v>
      </c>
      <c r="AZ84" s="357">
        <f>'Hodnocení '!AZ80</f>
        <v>0</v>
      </c>
      <c r="BA84" s="357">
        <f>'Hodnocení '!BA80</f>
        <v>0</v>
      </c>
      <c r="BB84" s="357">
        <f>'Hodnocení '!BB80</f>
        <v>0</v>
      </c>
      <c r="BC84" s="357">
        <f>'Hodnocení '!BC80</f>
        <v>0</v>
      </c>
      <c r="BD84" s="357">
        <f>'Hodnocení '!BD80</f>
        <v>0</v>
      </c>
      <c r="BE84" s="357">
        <f>'Hodnocení '!BE80</f>
        <v>0</v>
      </c>
      <c r="BF84" s="357">
        <f>'Hodnocení '!BF80</f>
        <v>0</v>
      </c>
      <c r="BG84" s="357">
        <f>'Hodnocení '!BG80</f>
        <v>0</v>
      </c>
      <c r="BH84" s="357">
        <f>'Hodnocení '!BH80</f>
        <v>0</v>
      </c>
      <c r="BI84" s="357">
        <f>'Hodnocení '!BI80</f>
        <v>0</v>
      </c>
      <c r="BJ84" s="357">
        <f>'Hodnocení '!BJ80</f>
        <v>0</v>
      </c>
      <c r="BK84" s="357">
        <f>'Hodnocení '!BK80</f>
        <v>0</v>
      </c>
      <c r="BL84" s="357">
        <f>'Hodnocení '!BL80</f>
        <v>0</v>
      </c>
      <c r="BM84" s="357">
        <f>'Hodnocení '!BM80</f>
        <v>0</v>
      </c>
      <c r="BN84" s="357">
        <f>'Hodnocení '!BN80</f>
        <v>0</v>
      </c>
      <c r="BO84" s="357">
        <f>'Hodnocení '!BO80</f>
        <v>0</v>
      </c>
      <c r="BP84" s="357">
        <f>'Hodnocení '!BP80</f>
        <v>0</v>
      </c>
      <c r="BQ84" s="357">
        <f>'Hodnocení '!BQ80</f>
        <v>0</v>
      </c>
      <c r="BR84" s="357">
        <f>'Hodnocení '!BR80</f>
        <v>0</v>
      </c>
      <c r="BS84" s="357">
        <f>'Hodnocení '!BS80</f>
        <v>0</v>
      </c>
      <c r="BT84" s="357">
        <f>'Hodnocení '!BT80</f>
        <v>0</v>
      </c>
      <c r="BU84" s="357">
        <f>'Hodnocení '!BU80</f>
        <v>0</v>
      </c>
      <c r="BV84" s="357">
        <f>'Hodnocení '!BV80</f>
        <v>0</v>
      </c>
      <c r="BW84" s="357">
        <f>'Hodnocení '!BW80</f>
        <v>0</v>
      </c>
      <c r="BX84" s="357">
        <f>'Hodnocení '!BX80</f>
        <v>0</v>
      </c>
      <c r="BY84" s="357">
        <f>'Hodnocení '!BY80</f>
        <v>0</v>
      </c>
      <c r="BZ84" s="357">
        <f>'Hodnocení '!BZ80</f>
        <v>0</v>
      </c>
      <c r="CA84" s="357">
        <f>'Hodnocení '!CA80</f>
        <v>0</v>
      </c>
      <c r="CB84" s="357">
        <f>'Hodnocení '!CB80</f>
        <v>0</v>
      </c>
      <c r="CC84" s="357">
        <f>'Hodnocení '!CC80</f>
        <v>0</v>
      </c>
      <c r="CD84" s="357">
        <f>'Hodnocení '!CD80</f>
        <v>0</v>
      </c>
      <c r="CE84" s="357">
        <f>'Hodnocení '!CE80</f>
        <v>0</v>
      </c>
      <c r="CF84" s="357">
        <f>'Hodnocení '!CF80</f>
        <v>0</v>
      </c>
      <c r="CG84" s="357">
        <f>'Hodnocení '!CG80</f>
        <v>0</v>
      </c>
      <c r="CH84" s="357">
        <f>'Hodnocení '!CH80</f>
        <v>0</v>
      </c>
      <c r="CI84" s="357">
        <f>'Hodnocení '!CI80</f>
        <v>0</v>
      </c>
      <c r="CJ84" s="357">
        <f>'Hodnocení '!CJ80</f>
        <v>0</v>
      </c>
      <c r="CK84" s="357">
        <f>'Hodnocení '!CK80</f>
        <v>0</v>
      </c>
      <c r="CL84" s="357">
        <f>'Hodnocení '!CL80</f>
        <v>0</v>
      </c>
      <c r="CM84" s="357">
        <f>'Hodnocení '!CM80</f>
        <v>0</v>
      </c>
      <c r="CN84" s="357">
        <f>'Hodnocení '!CN80</f>
        <v>0</v>
      </c>
      <c r="CO84" s="357">
        <f>'Hodnocení '!CO80</f>
        <v>0</v>
      </c>
      <c r="CP84" s="357">
        <f>'Hodnocení '!CP80</f>
        <v>0</v>
      </c>
      <c r="CQ84" s="357">
        <f>'Hodnocení '!CQ80</f>
        <v>0</v>
      </c>
      <c r="CR84" s="357">
        <f>'Hodnocení '!CR80</f>
        <v>0</v>
      </c>
      <c r="CS84" s="357">
        <f>'Hodnocení '!CS80</f>
        <v>0</v>
      </c>
      <c r="CT84" s="357">
        <f>'Hodnocení '!CT80</f>
        <v>0</v>
      </c>
      <c r="CU84" s="357">
        <f>'Hodnocení '!CU80</f>
        <v>0</v>
      </c>
      <c r="CV84" s="357">
        <f>'Hodnocení '!CV80</f>
        <v>0</v>
      </c>
      <c r="CW84" s="357">
        <f>'Hodnocení '!CW80</f>
        <v>0</v>
      </c>
      <c r="CX84" s="357">
        <f>'Hodnocení '!CX80</f>
        <v>0</v>
      </c>
      <c r="CY84" s="357">
        <f>'Hodnocení '!CY80</f>
        <v>0</v>
      </c>
      <c r="CZ84" s="357">
        <f>'Hodnocení '!CZ80</f>
        <v>0</v>
      </c>
      <c r="DA84" s="357">
        <f>'Hodnocení '!DA80</f>
        <v>0</v>
      </c>
      <c r="DB84" s="357">
        <f>'Hodnocení '!DB80</f>
        <v>0</v>
      </c>
      <c r="DC84" s="357">
        <f>'Hodnocení '!DC80</f>
        <v>0</v>
      </c>
      <c r="DD84" s="357">
        <f>'Hodnocení '!DD80</f>
        <v>0</v>
      </c>
      <c r="DE84" s="357">
        <f>'Hodnocení '!DE80</f>
        <v>0</v>
      </c>
      <c r="DF84" s="357">
        <f>'Hodnocení '!DF80</f>
        <v>0</v>
      </c>
      <c r="DG84" s="357">
        <f>'Hodnocení '!DG80</f>
        <v>0</v>
      </c>
      <c r="DH84" s="357">
        <f>'Hodnocení '!DH80</f>
        <v>0</v>
      </c>
      <c r="DI84" s="357">
        <f>'Hodnocení '!DI80</f>
        <v>0</v>
      </c>
      <c r="DJ84" s="357">
        <f>'Hodnocení '!DJ80</f>
        <v>0</v>
      </c>
      <c r="DK84" s="357">
        <f>'Hodnocení '!DK80</f>
        <v>0</v>
      </c>
      <c r="DL84" s="357">
        <f>'Hodnocení '!DL80</f>
        <v>0</v>
      </c>
      <c r="DM84" s="357">
        <f>'Hodnocení '!DM80</f>
        <v>0</v>
      </c>
      <c r="DN84" s="357">
        <f>'Hodnocení '!DN80</f>
        <v>0</v>
      </c>
      <c r="DO84" s="357">
        <f>'Hodnocení '!DO80</f>
        <v>0</v>
      </c>
      <c r="DP84" s="357">
        <f>'Hodnocení '!DP80</f>
        <v>0</v>
      </c>
      <c r="DQ84" s="357">
        <f>'Hodnocení '!DQ80</f>
        <v>0</v>
      </c>
      <c r="DR84" s="357">
        <f>'Hodnocení '!DR80</f>
        <v>0</v>
      </c>
      <c r="DS84" s="357">
        <f>'Hodnocení '!DS80</f>
        <v>0</v>
      </c>
      <c r="DT84" s="357">
        <f>'Hodnocení '!DT80</f>
        <v>0</v>
      </c>
      <c r="DU84" s="357">
        <f>'Hodnocení '!DU80</f>
        <v>0</v>
      </c>
      <c r="DV84" s="357">
        <f>'Hodnocení '!DV80</f>
        <v>0</v>
      </c>
      <c r="DW84" s="357">
        <f>'Hodnocení '!DW80</f>
        <v>0</v>
      </c>
      <c r="DX84" s="357">
        <f>'Hodnocení '!DX80</f>
        <v>0</v>
      </c>
      <c r="DY84" s="357">
        <f>'Hodnocení '!DY80</f>
        <v>0</v>
      </c>
      <c r="DZ84" s="357">
        <f>'Hodnocení '!DZ80</f>
        <v>0</v>
      </c>
      <c r="EA84" s="357">
        <f>'Hodnocení '!EA80</f>
        <v>0</v>
      </c>
      <c r="EB84" s="357">
        <f>'Hodnocení '!EB80</f>
        <v>0</v>
      </c>
      <c r="EC84" s="357">
        <f>'Hodnocení '!EC80</f>
        <v>0</v>
      </c>
      <c r="ED84" s="357">
        <f>'Hodnocení '!ED80</f>
        <v>0</v>
      </c>
      <c r="EE84" s="357">
        <f>'Hodnocení '!EE80</f>
        <v>0</v>
      </c>
      <c r="EF84" s="357">
        <f>'Hodnocení '!EF80</f>
        <v>0</v>
      </c>
      <c r="EG84" s="357">
        <f>'Hodnocení '!EG80</f>
        <v>0</v>
      </c>
      <c r="EH84" s="357">
        <f>'Hodnocení '!EH80</f>
        <v>0</v>
      </c>
      <c r="EI84" s="357">
        <f>'Hodnocení '!EI80</f>
        <v>0</v>
      </c>
      <c r="EJ84" s="357">
        <f>'Hodnocení '!EJ80</f>
        <v>0</v>
      </c>
      <c r="EK84" s="357">
        <f>'Hodnocení '!EK80</f>
        <v>0</v>
      </c>
      <c r="EL84" s="357">
        <f>'Hodnocení '!EL80</f>
        <v>0</v>
      </c>
      <c r="EM84" s="357">
        <f>'Hodnocení '!EM80</f>
        <v>0</v>
      </c>
      <c r="EN84" s="357">
        <f>'Hodnocení '!EN80</f>
        <v>0</v>
      </c>
      <c r="EO84" s="357">
        <f>'Hodnocení '!EO80</f>
        <v>0</v>
      </c>
      <c r="EP84" s="357">
        <f>'Hodnocení '!EP80</f>
        <v>0</v>
      </c>
      <c r="EQ84" s="357">
        <f>'Hodnocení '!EQ80</f>
        <v>0</v>
      </c>
      <c r="ER84" s="357">
        <f>'Hodnocení '!ER80</f>
        <v>0</v>
      </c>
      <c r="ES84" s="357">
        <f>'Hodnocení '!ES80</f>
        <v>0</v>
      </c>
      <c r="ET84" s="357">
        <f>'Hodnocení '!ET80</f>
        <v>0</v>
      </c>
      <c r="EU84" s="357">
        <f>'Hodnocení '!EU80</f>
        <v>0</v>
      </c>
      <c r="EV84" s="357">
        <f>'Hodnocení '!EV80</f>
        <v>0</v>
      </c>
      <c r="EW84" s="357">
        <f>'Hodnocení '!EW80</f>
        <v>0</v>
      </c>
      <c r="EX84" s="357">
        <f>'Hodnocení '!EX80</f>
        <v>0</v>
      </c>
      <c r="EY84" s="357">
        <f>'Hodnocení '!EY80</f>
        <v>0</v>
      </c>
      <c r="EZ84" s="357">
        <f>'Hodnocení '!EZ80</f>
        <v>0</v>
      </c>
      <c r="FA84" s="357">
        <f>'Hodnocení '!FA80</f>
        <v>0</v>
      </c>
      <c r="FB84" s="357">
        <f>'Hodnocení '!FB80</f>
        <v>0</v>
      </c>
      <c r="FC84" s="357">
        <f>'Hodnocení '!FC80</f>
        <v>0</v>
      </c>
      <c r="FD84" s="357">
        <f>'Hodnocení '!FD80</f>
        <v>0</v>
      </c>
      <c r="FE84" s="357">
        <f>'Hodnocení '!FE80</f>
        <v>0</v>
      </c>
      <c r="FF84" s="357">
        <f>'Hodnocení '!FF80</f>
        <v>0</v>
      </c>
      <c r="FG84" s="357">
        <f>'Hodnocení '!FG80</f>
        <v>0</v>
      </c>
      <c r="FH84" s="357">
        <f>'Hodnocení '!FH80</f>
        <v>0</v>
      </c>
      <c r="FI84" s="357">
        <f>'Hodnocení '!FI80</f>
        <v>0</v>
      </c>
      <c r="FJ84" s="357">
        <f>'Hodnocení '!FJ80</f>
        <v>0</v>
      </c>
      <c r="FK84" s="357">
        <f>'Hodnocení '!FK80</f>
        <v>0</v>
      </c>
      <c r="FL84" s="357">
        <f>'Hodnocení '!FL80</f>
        <v>0</v>
      </c>
      <c r="FM84" s="357">
        <f>'Hodnocení '!FM80</f>
        <v>0</v>
      </c>
      <c r="FN84" s="357">
        <f>'Hodnocení '!FN80</f>
        <v>0</v>
      </c>
      <c r="FO84" s="357">
        <f>'Hodnocení '!FO80</f>
        <v>0</v>
      </c>
      <c r="FP84" s="357">
        <f>'Hodnocení '!FP80</f>
        <v>0</v>
      </c>
      <c r="FQ84" s="357">
        <f>'Hodnocení '!FQ80</f>
        <v>0</v>
      </c>
      <c r="FR84" s="357">
        <f>'Hodnocení '!FR80</f>
        <v>0</v>
      </c>
      <c r="FS84" s="357">
        <f>'Hodnocení '!FS80</f>
        <v>0</v>
      </c>
      <c r="FT84" s="357">
        <f>'Hodnocení '!FT80</f>
        <v>0</v>
      </c>
      <c r="FU84" s="357">
        <f>'Hodnocení '!FU80</f>
        <v>0</v>
      </c>
      <c r="FV84" s="357">
        <f>'Hodnocení '!FV80</f>
        <v>0</v>
      </c>
      <c r="FW84" s="357">
        <f>'Hodnocení '!FW80</f>
        <v>0</v>
      </c>
      <c r="FX84" s="357">
        <f>'Hodnocení '!FX80</f>
        <v>0</v>
      </c>
      <c r="FY84" s="357">
        <f>'Hodnocení '!FY80</f>
        <v>0</v>
      </c>
      <c r="FZ84" s="357">
        <f>'Hodnocení '!FZ80</f>
        <v>0</v>
      </c>
      <c r="GA84" s="357">
        <f>'Hodnocení '!GA80</f>
        <v>0</v>
      </c>
      <c r="GB84" s="357">
        <f>'Hodnocení '!GB80</f>
        <v>0</v>
      </c>
      <c r="GC84" s="357">
        <f>'Hodnocení '!GC80</f>
        <v>0</v>
      </c>
      <c r="GD84" s="357">
        <f>'Hodnocení '!GD80</f>
        <v>0</v>
      </c>
      <c r="GE84" s="357">
        <f>'Hodnocení '!GE80</f>
        <v>0</v>
      </c>
      <c r="GF84" s="357">
        <f>'Hodnocení '!GF80</f>
        <v>0</v>
      </c>
      <c r="GG84" s="357">
        <f>'Hodnocení '!GG80</f>
        <v>0</v>
      </c>
      <c r="GH84" s="357">
        <f>'Hodnocení '!GH80</f>
        <v>0</v>
      </c>
      <c r="GI84" s="357">
        <f>'Hodnocení '!GI80</f>
        <v>0</v>
      </c>
      <c r="GJ84" s="357">
        <f>'Hodnocení '!GJ80</f>
        <v>0</v>
      </c>
      <c r="GK84" s="357">
        <f>'Hodnocení '!GK80</f>
        <v>0</v>
      </c>
      <c r="GL84" s="357">
        <f>'Hodnocení '!GL80</f>
        <v>0</v>
      </c>
      <c r="GM84" s="357">
        <f>'Hodnocení '!GM80</f>
        <v>0</v>
      </c>
      <c r="GN84" s="357">
        <f>'Hodnocení '!GN80</f>
        <v>0</v>
      </c>
      <c r="GO84" s="357">
        <f>'Hodnocení '!GO80</f>
        <v>0</v>
      </c>
      <c r="GP84" s="357">
        <f>'Hodnocení '!GP80</f>
        <v>0</v>
      </c>
      <c r="GQ84" s="357">
        <f>'Hodnocení '!GQ80</f>
        <v>0</v>
      </c>
      <c r="GR84" s="357">
        <f>'Hodnocení '!GR80</f>
        <v>0</v>
      </c>
      <c r="GS84" s="357">
        <f>'Hodnocení '!GS80</f>
        <v>0</v>
      </c>
      <c r="GT84" s="357">
        <f>'Hodnocení '!GT80</f>
        <v>0</v>
      </c>
      <c r="GU84" s="357">
        <f>'Hodnocení '!GU80</f>
        <v>0</v>
      </c>
      <c r="GV84" s="357">
        <f>'Hodnocení '!GV80</f>
        <v>0</v>
      </c>
      <c r="GW84" s="357">
        <f>'Hodnocení '!GW80</f>
        <v>0</v>
      </c>
      <c r="GX84" s="357">
        <f>'Hodnocení '!GX80</f>
        <v>0</v>
      </c>
      <c r="GY84" s="357">
        <f>'Hodnocení '!GY80</f>
        <v>0</v>
      </c>
      <c r="GZ84" s="357">
        <f>'Hodnocení '!GZ80</f>
        <v>0</v>
      </c>
      <c r="HA84" s="357">
        <f>'Hodnocení '!HA80</f>
        <v>0</v>
      </c>
      <c r="HB84" s="357">
        <f>'Hodnocení '!HB80</f>
        <v>0</v>
      </c>
      <c r="HC84" s="357">
        <f>'Hodnocení '!HC80</f>
        <v>0</v>
      </c>
      <c r="HD84" s="357">
        <f>'Hodnocení '!HD80</f>
        <v>0</v>
      </c>
      <c r="HE84" s="357">
        <f>'Hodnocení '!HE80</f>
        <v>0</v>
      </c>
      <c r="HF84" s="357">
        <f>'Hodnocení '!HF80</f>
        <v>0</v>
      </c>
      <c r="HG84" s="357">
        <f>'Hodnocení '!HG80</f>
        <v>0</v>
      </c>
      <c r="HH84" s="357">
        <f>'Hodnocení '!HH80</f>
        <v>0</v>
      </c>
      <c r="HI84" s="357">
        <f>'Hodnocení '!HI80</f>
        <v>0</v>
      </c>
      <c r="HJ84" s="357">
        <f>'Hodnocení '!HJ80</f>
        <v>0</v>
      </c>
      <c r="HK84" s="357">
        <f>'Hodnocení '!HK80</f>
        <v>0</v>
      </c>
      <c r="HL84" s="357">
        <f>'Hodnocení '!HL80</f>
        <v>0</v>
      </c>
      <c r="HM84" s="357">
        <f>'Hodnocení '!HM80</f>
        <v>0</v>
      </c>
      <c r="HN84" s="357">
        <f>'Hodnocení '!HN80</f>
        <v>0</v>
      </c>
      <c r="HO84" s="357">
        <f>'Hodnocení '!HO80</f>
        <v>0</v>
      </c>
      <c r="HP84" s="357">
        <f>'Hodnocení '!HP80</f>
        <v>0</v>
      </c>
      <c r="HQ84" s="357">
        <f>'Hodnocení '!HQ80</f>
        <v>0</v>
      </c>
      <c r="HR84" s="357">
        <f>'Hodnocení '!HR80</f>
        <v>0</v>
      </c>
      <c r="HS84" s="357">
        <f>'Hodnocení '!HS80</f>
        <v>0</v>
      </c>
      <c r="HT84" s="357">
        <f>'Hodnocení '!HT80</f>
        <v>0</v>
      </c>
      <c r="HU84" s="357">
        <f>'Hodnocení '!HU80</f>
        <v>0</v>
      </c>
      <c r="HV84" s="357">
        <f>'Hodnocení '!HV80</f>
        <v>0</v>
      </c>
      <c r="HW84" s="357">
        <f>'Hodnocení '!HW80</f>
        <v>0</v>
      </c>
      <c r="HX84" s="357">
        <f>'Hodnocení '!HX80</f>
        <v>0</v>
      </c>
      <c r="HY84" s="357">
        <f>'Hodnocení '!HY80</f>
        <v>0</v>
      </c>
      <c r="HZ84" s="357">
        <f>'Hodnocení '!HZ80</f>
        <v>0</v>
      </c>
      <c r="IA84" s="357">
        <f>'Hodnocení '!IA80</f>
        <v>0</v>
      </c>
      <c r="IB84" s="357">
        <f>'Hodnocení '!IB80</f>
        <v>0</v>
      </c>
      <c r="IC84" s="357">
        <f>'Hodnocení '!IC80</f>
        <v>0</v>
      </c>
      <c r="ID84" s="357">
        <f>'Hodnocení '!ID80</f>
        <v>0</v>
      </c>
      <c r="IE84" s="357">
        <f>'Hodnocení '!IE80</f>
        <v>0</v>
      </c>
      <c r="IF84" s="357">
        <f>'Hodnocení '!IF80</f>
        <v>0</v>
      </c>
      <c r="IG84" s="357">
        <f>'Hodnocení '!IG80</f>
        <v>0</v>
      </c>
      <c r="IH84" s="357">
        <f>'Hodnocení '!IH80</f>
        <v>0</v>
      </c>
      <c r="II84" s="357">
        <f>'Hodnocení '!II80</f>
        <v>0</v>
      </c>
      <c r="IJ84" s="357">
        <f>'Hodnocení '!IJ80</f>
        <v>0</v>
      </c>
      <c r="IK84" s="357">
        <f>'Hodnocení '!IK80</f>
        <v>0</v>
      </c>
      <c r="IL84" s="357">
        <f>'Hodnocení '!IL80</f>
        <v>0</v>
      </c>
      <c r="IM84" s="357">
        <f>'Hodnocení '!IM80</f>
        <v>0</v>
      </c>
      <c r="IN84" s="357">
        <f>'Hodnocení '!IN80</f>
        <v>0</v>
      </c>
      <c r="IO84" s="357">
        <f>'Hodnocení '!IO80</f>
        <v>0</v>
      </c>
      <c r="IP84" s="357">
        <f>'Hodnocení '!IP80</f>
        <v>0</v>
      </c>
      <c r="IQ84" s="357">
        <f>'Hodnocení '!IQ80</f>
        <v>0</v>
      </c>
      <c r="IR84" s="357">
        <f>'Hodnocení '!IR80</f>
        <v>0</v>
      </c>
      <c r="IS84" s="357">
        <f>'Hodnocení '!IS80</f>
        <v>0</v>
      </c>
      <c r="IT84" s="357">
        <f>'Hodnocení '!IT80</f>
        <v>0</v>
      </c>
      <c r="IU84" s="357">
        <f>'Hodnocení '!IU80</f>
        <v>0</v>
      </c>
      <c r="IV84" s="357">
        <f>'Hodnocení '!IV80</f>
        <v>0</v>
      </c>
      <c r="IW84" s="357">
        <f>'Hodnocení '!IW80</f>
        <v>0</v>
      </c>
      <c r="IX84" s="357">
        <f>'Hodnocení '!IX80</f>
        <v>0</v>
      </c>
      <c r="IY84" s="357">
        <f>'Hodnocení '!IY80</f>
        <v>0</v>
      </c>
      <c r="IZ84" s="357">
        <f>'Hodnocení '!IZ80</f>
        <v>0</v>
      </c>
      <c r="JA84" s="357">
        <f>'Hodnocení '!JA80</f>
        <v>0</v>
      </c>
      <c r="JB84" s="357">
        <f>'Hodnocení '!JB80</f>
        <v>0</v>
      </c>
      <c r="JC84" s="357">
        <f>'Hodnocení '!JC80</f>
        <v>0</v>
      </c>
      <c r="JD84" s="357">
        <f>'Hodnocení '!JD80</f>
        <v>0</v>
      </c>
      <c r="JE84" s="357">
        <f>'Hodnocení '!JE80</f>
        <v>0</v>
      </c>
      <c r="JF84" s="357">
        <f>'Hodnocení '!JF80</f>
        <v>0</v>
      </c>
      <c r="JG84" s="357">
        <f>'Hodnocení '!JG80</f>
        <v>0</v>
      </c>
      <c r="JH84" s="772">
        <f>'Hodnocení '!JH80</f>
        <v>0</v>
      </c>
      <c r="JI84" s="315">
        <f>'Hodnocení '!JI80</f>
        <v>0</v>
      </c>
    </row>
    <row r="85" spans="1:276" hidden="1" x14ac:dyDescent="0.25">
      <c r="A85" s="353"/>
      <c r="B85" s="746" t="s">
        <v>2554</v>
      </c>
      <c r="C85" s="800">
        <f>'Hodnocení '!C81</f>
        <v>0</v>
      </c>
      <c r="D85" s="563">
        <f>'Hodnocení '!D81</f>
        <v>0</v>
      </c>
      <c r="E85" s="563">
        <f>'Hodnocení '!E81</f>
        <v>0</v>
      </c>
      <c r="F85" s="479">
        <f>'Hodnocení '!F81</f>
        <v>0</v>
      </c>
      <c r="G85" s="357">
        <f>'Hodnocení '!G81</f>
        <v>0</v>
      </c>
      <c r="H85" s="357">
        <f>'Hodnocení '!H81</f>
        <v>0</v>
      </c>
      <c r="I85" s="357">
        <f>'Hodnocení '!I81</f>
        <v>0</v>
      </c>
      <c r="J85" s="357">
        <f>'Hodnocení '!J81</f>
        <v>0</v>
      </c>
      <c r="K85" s="357">
        <f>'Hodnocení '!K81</f>
        <v>0</v>
      </c>
      <c r="L85" s="357">
        <f>'Hodnocení '!L81</f>
        <v>0</v>
      </c>
      <c r="M85" s="357">
        <f>'Hodnocení '!M81</f>
        <v>0</v>
      </c>
      <c r="N85" s="357">
        <f>'Hodnocení '!N81</f>
        <v>0</v>
      </c>
      <c r="O85" s="357">
        <f>'Hodnocení '!O81</f>
        <v>0</v>
      </c>
      <c r="P85" s="357">
        <f>'Hodnocení '!P81</f>
        <v>0</v>
      </c>
      <c r="Q85" s="357">
        <f>'Hodnocení '!Q81</f>
        <v>0</v>
      </c>
      <c r="R85" s="357">
        <f>'Hodnocení '!R81</f>
        <v>0</v>
      </c>
      <c r="S85" s="357">
        <f>'Hodnocení '!S81</f>
        <v>0</v>
      </c>
      <c r="T85" s="357">
        <f>'Hodnocení '!T81</f>
        <v>0</v>
      </c>
      <c r="U85" s="357">
        <f>'Hodnocení '!U81</f>
        <v>0</v>
      </c>
      <c r="V85" s="357">
        <f>'Hodnocení '!V81</f>
        <v>0</v>
      </c>
      <c r="W85" s="357">
        <f>'Hodnocení '!W81</f>
        <v>0</v>
      </c>
      <c r="X85" s="357">
        <f>'Hodnocení '!X81</f>
        <v>0</v>
      </c>
      <c r="Y85" s="357">
        <f>'Hodnocení '!Y81</f>
        <v>0</v>
      </c>
      <c r="Z85" s="357">
        <f>'Hodnocení '!Z81</f>
        <v>0</v>
      </c>
      <c r="AA85" s="357">
        <f>'Hodnocení '!AA81</f>
        <v>0</v>
      </c>
      <c r="AB85" s="357">
        <f>'Hodnocení '!AB81</f>
        <v>0</v>
      </c>
      <c r="AC85" s="357">
        <f>'Hodnocení '!AC81</f>
        <v>0</v>
      </c>
      <c r="AD85" s="357">
        <f>'Hodnocení '!AD81</f>
        <v>0</v>
      </c>
      <c r="AE85" s="357">
        <f>'Hodnocení '!AE81</f>
        <v>0</v>
      </c>
      <c r="AF85" s="357">
        <f>'Hodnocení '!AF81</f>
        <v>0</v>
      </c>
      <c r="AG85" s="357">
        <f>'Hodnocení '!AG81</f>
        <v>0</v>
      </c>
      <c r="AH85" s="357">
        <f>'Hodnocení '!AH81</f>
        <v>0</v>
      </c>
      <c r="AI85" s="357">
        <f>'Hodnocení '!AI81</f>
        <v>0</v>
      </c>
      <c r="AJ85" s="357">
        <f>'Hodnocení '!AJ81</f>
        <v>0</v>
      </c>
      <c r="AK85" s="357">
        <f>'Hodnocení '!AK81</f>
        <v>0</v>
      </c>
      <c r="AL85" s="357">
        <f>'Hodnocení '!AL81</f>
        <v>0</v>
      </c>
      <c r="AM85" s="357">
        <f>'Hodnocení '!AM81</f>
        <v>0</v>
      </c>
      <c r="AN85" s="357">
        <f>'Hodnocení '!AN81</f>
        <v>0</v>
      </c>
      <c r="AO85" s="357">
        <f>'Hodnocení '!AO81</f>
        <v>0</v>
      </c>
      <c r="AP85" s="357">
        <f>'Hodnocení '!AP81</f>
        <v>0</v>
      </c>
      <c r="AQ85" s="357">
        <f>'Hodnocení '!AQ81</f>
        <v>0</v>
      </c>
      <c r="AR85" s="357">
        <f>'Hodnocení '!AR81</f>
        <v>0</v>
      </c>
      <c r="AS85" s="357">
        <f>'Hodnocení '!AS81</f>
        <v>0</v>
      </c>
      <c r="AT85" s="357">
        <f>'Hodnocení '!AT81</f>
        <v>0</v>
      </c>
      <c r="AU85" s="357">
        <f>'Hodnocení '!AU81</f>
        <v>0</v>
      </c>
      <c r="AV85" s="357">
        <f>'Hodnocení '!AV81</f>
        <v>0</v>
      </c>
      <c r="AW85" s="357">
        <f>'Hodnocení '!AW81</f>
        <v>0</v>
      </c>
      <c r="AX85" s="357">
        <f>'Hodnocení '!AX81</f>
        <v>0</v>
      </c>
      <c r="AY85" s="357">
        <f>'Hodnocení '!AY81</f>
        <v>0</v>
      </c>
      <c r="AZ85" s="357">
        <f>'Hodnocení '!AZ81</f>
        <v>0</v>
      </c>
      <c r="BA85" s="357">
        <f>'Hodnocení '!BA81</f>
        <v>0</v>
      </c>
      <c r="BB85" s="357">
        <f>'Hodnocení '!BB81</f>
        <v>0</v>
      </c>
      <c r="BC85" s="357">
        <f>'Hodnocení '!BC81</f>
        <v>0</v>
      </c>
      <c r="BD85" s="357">
        <f>'Hodnocení '!BD81</f>
        <v>0</v>
      </c>
      <c r="BE85" s="357">
        <f>'Hodnocení '!BE81</f>
        <v>0</v>
      </c>
      <c r="BF85" s="357">
        <f>'Hodnocení '!BF81</f>
        <v>0</v>
      </c>
      <c r="BG85" s="357">
        <f>'Hodnocení '!BG81</f>
        <v>0</v>
      </c>
      <c r="BH85" s="357">
        <f>'Hodnocení '!BH81</f>
        <v>0</v>
      </c>
      <c r="BI85" s="357">
        <f>'Hodnocení '!BI81</f>
        <v>0</v>
      </c>
      <c r="BJ85" s="357">
        <f>'Hodnocení '!BJ81</f>
        <v>0</v>
      </c>
      <c r="BK85" s="357">
        <f>'Hodnocení '!BK81</f>
        <v>0</v>
      </c>
      <c r="BL85" s="357">
        <f>'Hodnocení '!BL81</f>
        <v>0</v>
      </c>
      <c r="BM85" s="357">
        <f>'Hodnocení '!BM81</f>
        <v>0</v>
      </c>
      <c r="BN85" s="357">
        <f>'Hodnocení '!BN81</f>
        <v>0</v>
      </c>
      <c r="BO85" s="357">
        <f>'Hodnocení '!BO81</f>
        <v>0</v>
      </c>
      <c r="BP85" s="357">
        <f>'Hodnocení '!BP81</f>
        <v>0</v>
      </c>
      <c r="BQ85" s="357">
        <f>'Hodnocení '!BQ81</f>
        <v>0</v>
      </c>
      <c r="BR85" s="357">
        <f>'Hodnocení '!BR81</f>
        <v>0</v>
      </c>
      <c r="BS85" s="357">
        <f>'Hodnocení '!BS81</f>
        <v>0</v>
      </c>
      <c r="BT85" s="357">
        <f>'Hodnocení '!BT81</f>
        <v>0</v>
      </c>
      <c r="BU85" s="357">
        <f>'Hodnocení '!BU81</f>
        <v>0</v>
      </c>
      <c r="BV85" s="357">
        <f>'Hodnocení '!BV81</f>
        <v>0</v>
      </c>
      <c r="BW85" s="357">
        <f>'Hodnocení '!BW81</f>
        <v>0</v>
      </c>
      <c r="BX85" s="357">
        <f>'Hodnocení '!BX81</f>
        <v>0</v>
      </c>
      <c r="BY85" s="357">
        <f>'Hodnocení '!BY81</f>
        <v>0</v>
      </c>
      <c r="BZ85" s="357">
        <f>'Hodnocení '!BZ81</f>
        <v>0</v>
      </c>
      <c r="CA85" s="357">
        <f>'Hodnocení '!CA81</f>
        <v>0</v>
      </c>
      <c r="CB85" s="357">
        <f>'Hodnocení '!CB81</f>
        <v>0</v>
      </c>
      <c r="CC85" s="357">
        <f>'Hodnocení '!CC81</f>
        <v>0</v>
      </c>
      <c r="CD85" s="357">
        <f>'Hodnocení '!CD81</f>
        <v>0</v>
      </c>
      <c r="CE85" s="357">
        <f>'Hodnocení '!CE81</f>
        <v>0</v>
      </c>
      <c r="CF85" s="357">
        <f>'Hodnocení '!CF81</f>
        <v>0</v>
      </c>
      <c r="CG85" s="357">
        <f>'Hodnocení '!CG81</f>
        <v>0</v>
      </c>
      <c r="CH85" s="357">
        <f>'Hodnocení '!CH81</f>
        <v>0</v>
      </c>
      <c r="CI85" s="357">
        <f>'Hodnocení '!CI81</f>
        <v>0</v>
      </c>
      <c r="CJ85" s="357">
        <f>'Hodnocení '!CJ81</f>
        <v>0</v>
      </c>
      <c r="CK85" s="357">
        <f>'Hodnocení '!CK81</f>
        <v>0</v>
      </c>
      <c r="CL85" s="357">
        <f>'Hodnocení '!CL81</f>
        <v>0</v>
      </c>
      <c r="CM85" s="357">
        <f>'Hodnocení '!CM81</f>
        <v>0</v>
      </c>
      <c r="CN85" s="357">
        <f>'Hodnocení '!CN81</f>
        <v>0</v>
      </c>
      <c r="CO85" s="357">
        <f>'Hodnocení '!CO81</f>
        <v>0</v>
      </c>
      <c r="CP85" s="357">
        <f>'Hodnocení '!CP81</f>
        <v>0</v>
      </c>
      <c r="CQ85" s="357">
        <f>'Hodnocení '!CQ81</f>
        <v>0</v>
      </c>
      <c r="CR85" s="357">
        <f>'Hodnocení '!CR81</f>
        <v>0</v>
      </c>
      <c r="CS85" s="357">
        <f>'Hodnocení '!CS81</f>
        <v>0</v>
      </c>
      <c r="CT85" s="357">
        <f>'Hodnocení '!CT81</f>
        <v>0</v>
      </c>
      <c r="CU85" s="357">
        <f>'Hodnocení '!CU81</f>
        <v>0</v>
      </c>
      <c r="CV85" s="357">
        <f>'Hodnocení '!CV81</f>
        <v>0</v>
      </c>
      <c r="CW85" s="357">
        <f>'Hodnocení '!CW81</f>
        <v>0</v>
      </c>
      <c r="CX85" s="357">
        <f>'Hodnocení '!CX81</f>
        <v>0</v>
      </c>
      <c r="CY85" s="357">
        <f>'Hodnocení '!CY81</f>
        <v>0</v>
      </c>
      <c r="CZ85" s="357">
        <f>'Hodnocení '!CZ81</f>
        <v>0</v>
      </c>
      <c r="DA85" s="357">
        <f>'Hodnocení '!DA81</f>
        <v>0</v>
      </c>
      <c r="DB85" s="357">
        <f>'Hodnocení '!DB81</f>
        <v>0</v>
      </c>
      <c r="DC85" s="357">
        <f>'Hodnocení '!DC81</f>
        <v>0</v>
      </c>
      <c r="DD85" s="357">
        <f>'Hodnocení '!DD81</f>
        <v>0</v>
      </c>
      <c r="DE85" s="357">
        <f>'Hodnocení '!DE81</f>
        <v>0</v>
      </c>
      <c r="DF85" s="357">
        <f>'Hodnocení '!DF81</f>
        <v>0</v>
      </c>
      <c r="DG85" s="357">
        <f>'Hodnocení '!DG81</f>
        <v>0</v>
      </c>
      <c r="DH85" s="357">
        <f>'Hodnocení '!DH81</f>
        <v>0</v>
      </c>
      <c r="DI85" s="357">
        <f>'Hodnocení '!DI81</f>
        <v>0</v>
      </c>
      <c r="DJ85" s="357">
        <f>'Hodnocení '!DJ81</f>
        <v>0</v>
      </c>
      <c r="DK85" s="357">
        <f>'Hodnocení '!DK81</f>
        <v>0</v>
      </c>
      <c r="DL85" s="357">
        <f>'Hodnocení '!DL81</f>
        <v>0</v>
      </c>
      <c r="DM85" s="357">
        <f>'Hodnocení '!DM81</f>
        <v>0</v>
      </c>
      <c r="DN85" s="357">
        <f>'Hodnocení '!DN81</f>
        <v>0</v>
      </c>
      <c r="DO85" s="357">
        <f>'Hodnocení '!DO81</f>
        <v>0</v>
      </c>
      <c r="DP85" s="357">
        <f>'Hodnocení '!DP81</f>
        <v>0</v>
      </c>
      <c r="DQ85" s="357">
        <f>'Hodnocení '!DQ81</f>
        <v>0</v>
      </c>
      <c r="DR85" s="357">
        <f>'Hodnocení '!DR81</f>
        <v>0</v>
      </c>
      <c r="DS85" s="357">
        <f>'Hodnocení '!DS81</f>
        <v>0</v>
      </c>
      <c r="DT85" s="357">
        <f>'Hodnocení '!DT81</f>
        <v>0</v>
      </c>
      <c r="DU85" s="357">
        <f>'Hodnocení '!DU81</f>
        <v>0</v>
      </c>
      <c r="DV85" s="357">
        <f>'Hodnocení '!DV81</f>
        <v>0</v>
      </c>
      <c r="DW85" s="357">
        <f>'Hodnocení '!DW81</f>
        <v>0</v>
      </c>
      <c r="DX85" s="357">
        <f>'Hodnocení '!DX81</f>
        <v>0</v>
      </c>
      <c r="DY85" s="357">
        <f>'Hodnocení '!DY81</f>
        <v>0</v>
      </c>
      <c r="DZ85" s="357">
        <f>'Hodnocení '!DZ81</f>
        <v>0</v>
      </c>
      <c r="EA85" s="357">
        <f>'Hodnocení '!EA81</f>
        <v>0</v>
      </c>
      <c r="EB85" s="357">
        <f>'Hodnocení '!EB81</f>
        <v>0</v>
      </c>
      <c r="EC85" s="357">
        <f>'Hodnocení '!EC81</f>
        <v>0</v>
      </c>
      <c r="ED85" s="357">
        <f>'Hodnocení '!ED81</f>
        <v>0</v>
      </c>
      <c r="EE85" s="357">
        <f>'Hodnocení '!EE81</f>
        <v>0</v>
      </c>
      <c r="EF85" s="357">
        <f>'Hodnocení '!EF81</f>
        <v>0</v>
      </c>
      <c r="EG85" s="357">
        <f>'Hodnocení '!EG81</f>
        <v>0</v>
      </c>
      <c r="EH85" s="357">
        <f>'Hodnocení '!EH81</f>
        <v>0</v>
      </c>
      <c r="EI85" s="357">
        <f>'Hodnocení '!EI81</f>
        <v>0</v>
      </c>
      <c r="EJ85" s="357">
        <f>'Hodnocení '!EJ81</f>
        <v>0</v>
      </c>
      <c r="EK85" s="357">
        <f>'Hodnocení '!EK81</f>
        <v>0</v>
      </c>
      <c r="EL85" s="357">
        <f>'Hodnocení '!EL81</f>
        <v>0</v>
      </c>
      <c r="EM85" s="357">
        <f>'Hodnocení '!EM81</f>
        <v>0</v>
      </c>
      <c r="EN85" s="357">
        <f>'Hodnocení '!EN81</f>
        <v>0</v>
      </c>
      <c r="EO85" s="357">
        <f>'Hodnocení '!EO81</f>
        <v>0</v>
      </c>
      <c r="EP85" s="357">
        <f>'Hodnocení '!EP81</f>
        <v>0</v>
      </c>
      <c r="EQ85" s="357">
        <f>'Hodnocení '!EQ81</f>
        <v>0</v>
      </c>
      <c r="ER85" s="357">
        <f>'Hodnocení '!ER81</f>
        <v>0</v>
      </c>
      <c r="ES85" s="357">
        <f>'Hodnocení '!ES81</f>
        <v>0</v>
      </c>
      <c r="ET85" s="479">
        <f>'Hodnocení '!ET81</f>
        <v>0</v>
      </c>
      <c r="EU85" s="479">
        <f>'Hodnocení '!EU81</f>
        <v>0</v>
      </c>
      <c r="EV85" s="479">
        <f>'Hodnocení '!EV81</f>
        <v>0</v>
      </c>
      <c r="EW85" s="479">
        <f>'Hodnocení '!EW81</f>
        <v>0</v>
      </c>
      <c r="EX85" s="479">
        <f>'Hodnocení '!EX81</f>
        <v>0</v>
      </c>
      <c r="EY85" s="479">
        <f>'Hodnocení '!EY81</f>
        <v>0</v>
      </c>
      <c r="EZ85" s="479">
        <f>'Hodnocení '!EZ81</f>
        <v>975095.98937416379</v>
      </c>
      <c r="FA85" s="563">
        <f>'Hodnocení '!FA81</f>
        <v>0</v>
      </c>
      <c r="FB85" s="479">
        <f>'Hodnocení '!FB81</f>
        <v>226330.27759608647</v>
      </c>
      <c r="FC85" s="479">
        <f>'Hodnocení '!FC81</f>
        <v>0</v>
      </c>
      <c r="FD85" s="479">
        <f>'Hodnocení '!FD81</f>
        <v>0</v>
      </c>
      <c r="FE85" s="479">
        <f>'Hodnocení '!FE81</f>
        <v>0</v>
      </c>
      <c r="FF85" s="479">
        <f>'Hodnocení '!FF81</f>
        <v>0</v>
      </c>
      <c r="FG85" s="479">
        <f>'Hodnocení '!FG81</f>
        <v>0</v>
      </c>
      <c r="FH85" s="479">
        <f>'Hodnocení '!FH81</f>
        <v>0</v>
      </c>
      <c r="FI85" s="479">
        <f>'Hodnocení '!FI81</f>
        <v>458642.04265304963</v>
      </c>
      <c r="FJ85" s="479">
        <f>'Hodnocení '!FJ81</f>
        <v>458642.04265304963</v>
      </c>
      <c r="FK85" s="563">
        <f>'Hodnocení '!FK81</f>
        <v>1051420.333035951</v>
      </c>
      <c r="FL85" s="563">
        <f>'Hodnocení '!FL81</f>
        <v>1051420.333035951</v>
      </c>
      <c r="FM85" s="479">
        <f>'Hodnocení '!FM81</f>
        <v>2723162.4367895005</v>
      </c>
      <c r="FN85" s="479">
        <f>'Hodnocení '!FN81</f>
        <v>0</v>
      </c>
      <c r="FO85" s="479">
        <f>'Hodnocení '!FO81</f>
        <v>0</v>
      </c>
      <c r="FP85" s="479">
        <f>'Hodnocení '!FP81</f>
        <v>0</v>
      </c>
      <c r="FQ85" s="479">
        <f>'Hodnocení '!FQ81</f>
        <v>0</v>
      </c>
      <c r="FR85" s="479">
        <f>'Hodnocení '!FR81</f>
        <v>0</v>
      </c>
      <c r="FS85" s="479">
        <f>'Hodnocení '!FS81</f>
        <v>0</v>
      </c>
      <c r="FT85" s="479">
        <f>'Hodnocení '!FT81</f>
        <v>231419.75888847062</v>
      </c>
      <c r="FU85" s="479">
        <f>'Hodnocení '!FU81</f>
        <v>231419.75888847062</v>
      </c>
      <c r="FV85" s="479">
        <f>'Hodnocení '!FV81</f>
        <v>0</v>
      </c>
      <c r="FW85" s="479">
        <f>'Hodnocení '!FW81</f>
        <v>894437.63914845907</v>
      </c>
      <c r="FX85" s="479">
        <f>'Hodnocení '!FX81</f>
        <v>465368.1499137978</v>
      </c>
      <c r="FY85" s="479">
        <f>'Hodnocení '!FY81</f>
        <v>269442.05760418822</v>
      </c>
      <c r="FZ85" s="479">
        <f>'Hodnocení '!FZ81</f>
        <v>0</v>
      </c>
      <c r="GA85" s="479">
        <f>'Hodnocení '!GA81</f>
        <v>0</v>
      </c>
      <c r="GB85" s="479">
        <f>'Hodnocení '!GB81</f>
        <v>0</v>
      </c>
      <c r="GC85" s="479">
        <f>'Hodnocení '!GC81</f>
        <v>1010161.2203788252</v>
      </c>
      <c r="GD85" s="479">
        <f>'Hodnocení '!GD81</f>
        <v>1010161.2203788252</v>
      </c>
      <c r="GE85" s="479">
        <f>'Hodnocení '!GE81</f>
        <v>0</v>
      </c>
      <c r="GF85" s="479">
        <f>'Hodnocení '!GF81</f>
        <v>0</v>
      </c>
      <c r="GG85" s="479">
        <f>'Hodnocení '!GG81</f>
        <v>0</v>
      </c>
      <c r="GH85" s="479">
        <f>'Hodnocení '!GH81</f>
        <v>0</v>
      </c>
      <c r="GI85" s="479">
        <f>'Hodnocení '!GI81</f>
        <v>0</v>
      </c>
      <c r="GJ85" s="479">
        <f>'Hodnocení '!GJ81</f>
        <v>1405053.6757184574</v>
      </c>
      <c r="GK85" s="479">
        <f>'Hodnocení '!GK81</f>
        <v>1405053.6757184574</v>
      </c>
      <c r="GL85" s="479">
        <f>'Hodnocení '!GL81</f>
        <v>1405053.6757184574</v>
      </c>
      <c r="GM85" s="479">
        <f>'Hodnocení '!GM81</f>
        <v>1405053.6757184574</v>
      </c>
      <c r="GN85" s="479">
        <f>'Hodnocení '!GN81</f>
        <v>1405053.6757184574</v>
      </c>
      <c r="GO85" s="479">
        <f>'Hodnocení '!GO81</f>
        <v>301201.23345211567</v>
      </c>
      <c r="GP85" s="479">
        <f>'Hodnocení '!GP81</f>
        <v>0</v>
      </c>
      <c r="GQ85" s="479">
        <f>'Hodnocení '!GQ81</f>
        <v>615443.34256627783</v>
      </c>
      <c r="GR85" s="479">
        <f>'Hodnocení '!GR81</f>
        <v>0</v>
      </c>
      <c r="GS85" s="479">
        <f>'Hodnocení '!GS81</f>
        <v>339442.98942998989</v>
      </c>
      <c r="GT85" s="479">
        <f>'Hodnocení '!GT81</f>
        <v>0</v>
      </c>
      <c r="GU85" s="479">
        <f>'Hodnocení '!GU81</f>
        <v>0</v>
      </c>
      <c r="GV85" s="479">
        <f>'Hodnocení '!GV81</f>
        <v>0</v>
      </c>
      <c r="GW85" s="479">
        <f>'Hodnocení '!GW81</f>
        <v>5912.9885329194367</v>
      </c>
      <c r="GX85" s="479">
        <f>'Hodnocení '!GX81</f>
        <v>385737.24787211954</v>
      </c>
      <c r="GY85" s="479">
        <f>'Hodnocení '!GY81</f>
        <v>0</v>
      </c>
      <c r="GZ85" s="479">
        <f>'Hodnocení '!GZ81</f>
        <v>0</v>
      </c>
      <c r="HA85" s="479">
        <f>'Hodnocení '!HA81</f>
        <v>0</v>
      </c>
      <c r="HB85" s="479">
        <f>'Hodnocení '!HB81</f>
        <v>0</v>
      </c>
      <c r="HC85" s="479">
        <f>'Hodnocení '!HC81</f>
        <v>0</v>
      </c>
      <c r="HD85" s="479">
        <f>'Hodnocení '!HD81</f>
        <v>0</v>
      </c>
      <c r="HE85" s="479">
        <f>'Hodnocení '!HE81</f>
        <v>0</v>
      </c>
      <c r="HF85" s="479">
        <f>'Hodnocení '!HF81</f>
        <v>722787.05046808964</v>
      </c>
      <c r="HG85" s="479">
        <f>'Hodnocení '!HG81</f>
        <v>722787.05046808964</v>
      </c>
      <c r="HH85" s="479">
        <f>'Hodnocení '!HH81</f>
        <v>0</v>
      </c>
      <c r="HI85" s="479">
        <f>'Hodnocení '!HI81</f>
        <v>890312.63844429795</v>
      </c>
      <c r="HJ85" s="479">
        <f>'Hodnocení '!HJ81</f>
        <v>890312.63844429795</v>
      </c>
      <c r="HK85" s="479">
        <f>'Hodnocení '!HK81</f>
        <v>651937.29040160892</v>
      </c>
      <c r="HL85" s="357">
        <f>'Hodnocení '!HL81</f>
        <v>0</v>
      </c>
      <c r="HM85" s="357">
        <f>'Hodnocení '!HM81</f>
        <v>0</v>
      </c>
      <c r="HN85" s="357">
        <f>'Hodnocení '!HN81</f>
        <v>0</v>
      </c>
      <c r="HO85" s="357">
        <f>'Hodnocení '!HO81</f>
        <v>0</v>
      </c>
      <c r="HP85" s="357">
        <f>'Hodnocení '!HP81</f>
        <v>0</v>
      </c>
      <c r="HQ85" s="357">
        <f>'Hodnocení '!HQ81</f>
        <v>0</v>
      </c>
      <c r="HR85" s="357">
        <f>'Hodnocení '!HR81</f>
        <v>0</v>
      </c>
      <c r="HS85" s="357">
        <f>'Hodnocení '!HS81</f>
        <v>0</v>
      </c>
      <c r="HT85" s="357">
        <f>'Hodnocení '!HT81</f>
        <v>0</v>
      </c>
      <c r="HU85" s="357">
        <f>'Hodnocení '!HU81</f>
        <v>0</v>
      </c>
      <c r="HV85" s="357">
        <f>'Hodnocení '!HV81</f>
        <v>0</v>
      </c>
      <c r="HW85" s="357">
        <f>'Hodnocení '!HW81</f>
        <v>0</v>
      </c>
      <c r="HX85" s="357">
        <f>'Hodnocení '!HX81</f>
        <v>0</v>
      </c>
      <c r="HY85" s="357">
        <f>'Hodnocení '!HY81</f>
        <v>0</v>
      </c>
      <c r="HZ85" s="357">
        <f>'Hodnocení '!HZ81</f>
        <v>0</v>
      </c>
      <c r="IA85" s="357">
        <f>'Hodnocení '!IA81</f>
        <v>0</v>
      </c>
      <c r="IB85" s="357">
        <f>'Hodnocení '!IB81</f>
        <v>0</v>
      </c>
      <c r="IC85" s="357">
        <f>'Hodnocení '!IC81</f>
        <v>0</v>
      </c>
      <c r="ID85" s="357">
        <f>'Hodnocení '!ID81</f>
        <v>0</v>
      </c>
      <c r="IE85" s="357">
        <f>'Hodnocení '!IE81</f>
        <v>0</v>
      </c>
      <c r="IF85" s="357">
        <f>'Hodnocení '!IF81</f>
        <v>0</v>
      </c>
      <c r="IG85" s="357">
        <f>'Hodnocení '!IG81</f>
        <v>0</v>
      </c>
      <c r="IH85" s="357">
        <f>'Hodnocení '!IH81</f>
        <v>0</v>
      </c>
      <c r="II85" s="357">
        <f>'Hodnocení '!II81</f>
        <v>0</v>
      </c>
      <c r="IJ85" s="357">
        <f>'Hodnocení '!IJ81</f>
        <v>0</v>
      </c>
      <c r="IK85" s="357">
        <f>'Hodnocení '!IK81</f>
        <v>0</v>
      </c>
      <c r="IL85" s="357">
        <f>'Hodnocení '!IL81</f>
        <v>0</v>
      </c>
      <c r="IM85" s="357">
        <f>'Hodnocení '!IM81</f>
        <v>0</v>
      </c>
      <c r="IN85" s="357">
        <f>'Hodnocení '!IN81</f>
        <v>0</v>
      </c>
      <c r="IO85" s="357">
        <f>'Hodnocení '!IO81</f>
        <v>0</v>
      </c>
      <c r="IP85" s="357">
        <f>'Hodnocení '!IP81</f>
        <v>0</v>
      </c>
      <c r="IQ85" s="357">
        <f>'Hodnocení '!IQ81</f>
        <v>0</v>
      </c>
      <c r="IR85" s="357">
        <f>'Hodnocení '!IR81</f>
        <v>0</v>
      </c>
      <c r="IS85" s="357">
        <f>'Hodnocení '!IS81</f>
        <v>0</v>
      </c>
      <c r="IT85" s="357">
        <f>'Hodnocení '!IT81</f>
        <v>0</v>
      </c>
      <c r="IU85" s="357">
        <f>'Hodnocení '!IU81</f>
        <v>0</v>
      </c>
      <c r="IV85" s="357">
        <f>'Hodnocení '!IV81</f>
        <v>0</v>
      </c>
      <c r="IW85" s="357">
        <f>'Hodnocení '!IW81</f>
        <v>0</v>
      </c>
      <c r="IX85" s="357">
        <f>'Hodnocení '!IX81</f>
        <v>0</v>
      </c>
      <c r="IY85" s="357">
        <f>'Hodnocení '!IY81</f>
        <v>0</v>
      </c>
      <c r="IZ85" s="357">
        <f>'Hodnocení '!IZ81</f>
        <v>0</v>
      </c>
      <c r="JA85" s="357">
        <f>'Hodnocení '!JA81</f>
        <v>0</v>
      </c>
      <c r="JB85" s="357">
        <f>'Hodnocení '!JB81</f>
        <v>0</v>
      </c>
      <c r="JC85" s="357">
        <f>'Hodnocení '!JC81</f>
        <v>0</v>
      </c>
      <c r="JD85" s="357">
        <f>'Hodnocení '!JD81</f>
        <v>0</v>
      </c>
      <c r="JE85" s="357">
        <f>'Hodnocení '!JE81</f>
        <v>0</v>
      </c>
      <c r="JF85" s="357">
        <f>'Hodnocení '!JF81</f>
        <v>0</v>
      </c>
      <c r="JG85" s="357">
        <f>'Hodnocení '!JG81</f>
        <v>0</v>
      </c>
      <c r="JH85" s="772">
        <f>'Hodnocení '!JH81</f>
        <v>0</v>
      </c>
      <c r="JI85" s="470">
        <f>'Hodnocení '!JI81</f>
        <v>0</v>
      </c>
    </row>
    <row r="86" spans="1:276" hidden="1" x14ac:dyDescent="0.25">
      <c r="A86" s="353"/>
      <c r="B86" s="733"/>
      <c r="C86" s="779">
        <f>'Hodnocení '!C82</f>
        <v>9246049.1510793846</v>
      </c>
      <c r="D86" s="479">
        <f>'Hodnocení '!D82</f>
        <v>8080000</v>
      </c>
      <c r="E86" s="479">
        <f>'Hodnocení '!E82</f>
        <v>8707194.8468445688</v>
      </c>
      <c r="F86" s="357">
        <f>'Hodnocení '!F82</f>
        <v>0</v>
      </c>
      <c r="G86" s="357">
        <f>'Hodnocení '!G82</f>
        <v>0</v>
      </c>
      <c r="H86" s="357">
        <f>'Hodnocení '!H82</f>
        <v>0</v>
      </c>
      <c r="I86" s="357">
        <f>'Hodnocení '!I82</f>
        <v>0</v>
      </c>
      <c r="J86" s="357">
        <f>'Hodnocení '!J82</f>
        <v>0</v>
      </c>
      <c r="K86" s="357">
        <f>'Hodnocení '!K82</f>
        <v>0</v>
      </c>
      <c r="L86" s="357">
        <f>'Hodnocení '!L82</f>
        <v>0</v>
      </c>
      <c r="M86" s="357">
        <f>'Hodnocení '!M82</f>
        <v>0</v>
      </c>
      <c r="N86" s="357">
        <f>'Hodnocení '!N82</f>
        <v>0</v>
      </c>
      <c r="O86" s="357">
        <f>'Hodnocení '!O82</f>
        <v>0</v>
      </c>
      <c r="P86" s="357">
        <f>'Hodnocení '!P82</f>
        <v>0</v>
      </c>
      <c r="Q86" s="357">
        <f>'Hodnocení '!Q82</f>
        <v>0</v>
      </c>
      <c r="R86" s="357">
        <f>'Hodnocení '!R82</f>
        <v>0</v>
      </c>
      <c r="S86" s="357">
        <f>'Hodnocení '!S82</f>
        <v>0</v>
      </c>
      <c r="T86" s="357">
        <f>'Hodnocení '!T82</f>
        <v>0</v>
      </c>
      <c r="U86" s="357">
        <f>'Hodnocení '!U82</f>
        <v>0</v>
      </c>
      <c r="V86" s="357">
        <f>'Hodnocení '!V82</f>
        <v>0</v>
      </c>
      <c r="W86" s="357">
        <f>'Hodnocení '!W82</f>
        <v>0</v>
      </c>
      <c r="X86" s="357">
        <f>'Hodnocení '!X82</f>
        <v>0</v>
      </c>
      <c r="Y86" s="357">
        <f>'Hodnocení '!Y82</f>
        <v>0</v>
      </c>
      <c r="Z86" s="357">
        <f>'Hodnocení '!Z82</f>
        <v>0</v>
      </c>
      <c r="AA86" s="357">
        <f>'Hodnocení '!AA82</f>
        <v>0</v>
      </c>
      <c r="AB86" s="357">
        <f>'Hodnocení '!AB82</f>
        <v>0</v>
      </c>
      <c r="AC86" s="357">
        <f>'Hodnocení '!AC82</f>
        <v>0</v>
      </c>
      <c r="AD86" s="357">
        <f>'Hodnocení '!AD82</f>
        <v>0</v>
      </c>
      <c r="AE86" s="357">
        <f>'Hodnocení '!AE82</f>
        <v>0</v>
      </c>
      <c r="AF86" s="357">
        <f>'Hodnocení '!AF82</f>
        <v>0</v>
      </c>
      <c r="AG86" s="357">
        <f>'Hodnocení '!AG82</f>
        <v>0</v>
      </c>
      <c r="AH86" s="357">
        <f>'Hodnocení '!AH82</f>
        <v>0</v>
      </c>
      <c r="AI86" s="357">
        <f>'Hodnocení '!AI82</f>
        <v>0</v>
      </c>
      <c r="AJ86" s="357">
        <f>'Hodnocení '!AJ82</f>
        <v>0</v>
      </c>
      <c r="AK86" s="357">
        <f>'Hodnocení '!AK82</f>
        <v>0</v>
      </c>
      <c r="AL86" s="357">
        <f>'Hodnocení '!AL82</f>
        <v>0</v>
      </c>
      <c r="AM86" s="357">
        <f>'Hodnocení '!AM82</f>
        <v>0</v>
      </c>
      <c r="AN86" s="357">
        <f>'Hodnocení '!AN82</f>
        <v>0</v>
      </c>
      <c r="AO86" s="357">
        <f>'Hodnocení '!AO82</f>
        <v>0</v>
      </c>
      <c r="AP86" s="357">
        <f>'Hodnocení '!AP82</f>
        <v>0</v>
      </c>
      <c r="AQ86" s="357">
        <f>'Hodnocení '!AQ82</f>
        <v>0</v>
      </c>
      <c r="AR86" s="357">
        <f>'Hodnocení '!AR82</f>
        <v>0</v>
      </c>
      <c r="AS86" s="357">
        <f>'Hodnocení '!AS82</f>
        <v>0</v>
      </c>
      <c r="AT86" s="357">
        <f>'Hodnocení '!AT82</f>
        <v>0</v>
      </c>
      <c r="AU86" s="357">
        <f>'Hodnocení '!AU82</f>
        <v>0</v>
      </c>
      <c r="AV86" s="357">
        <f>'Hodnocení '!AV82</f>
        <v>0</v>
      </c>
      <c r="AW86" s="357">
        <f>'Hodnocení '!AW82</f>
        <v>0</v>
      </c>
      <c r="AX86" s="357">
        <f>'Hodnocení '!AX82</f>
        <v>0</v>
      </c>
      <c r="AY86" s="357">
        <f>'Hodnocení '!AY82</f>
        <v>0</v>
      </c>
      <c r="AZ86" s="357">
        <f>'Hodnocení '!AZ82</f>
        <v>0</v>
      </c>
      <c r="BA86" s="357">
        <f>'Hodnocení '!BA82</f>
        <v>0</v>
      </c>
      <c r="BB86" s="357">
        <f>'Hodnocení '!BB82</f>
        <v>0</v>
      </c>
      <c r="BC86" s="357">
        <f>'Hodnocení '!BC82</f>
        <v>0</v>
      </c>
      <c r="BD86" s="357">
        <f>'Hodnocení '!BD82</f>
        <v>0</v>
      </c>
      <c r="BE86" s="357">
        <f>'Hodnocení '!BE82</f>
        <v>0</v>
      </c>
      <c r="BF86" s="357">
        <f>'Hodnocení '!BF82</f>
        <v>0</v>
      </c>
      <c r="BG86" s="357">
        <f>'Hodnocení '!BG82</f>
        <v>0</v>
      </c>
      <c r="BH86" s="357">
        <f>'Hodnocení '!BH82</f>
        <v>0</v>
      </c>
      <c r="BI86" s="357">
        <f>'Hodnocení '!BI82</f>
        <v>0</v>
      </c>
      <c r="BJ86" s="357">
        <f>'Hodnocení '!BJ82</f>
        <v>0</v>
      </c>
      <c r="BK86" s="357">
        <f>'Hodnocení '!BK82</f>
        <v>0</v>
      </c>
      <c r="BL86" s="357">
        <f>'Hodnocení '!BL82</f>
        <v>0</v>
      </c>
      <c r="BM86" s="357">
        <f>'Hodnocení '!BM82</f>
        <v>0</v>
      </c>
      <c r="BN86" s="357">
        <f>'Hodnocení '!BN82</f>
        <v>0</v>
      </c>
      <c r="BO86" s="357">
        <f>'Hodnocení '!BO82</f>
        <v>0</v>
      </c>
      <c r="BP86" s="357">
        <f>'Hodnocení '!BP82</f>
        <v>0</v>
      </c>
      <c r="BQ86" s="357">
        <f>'Hodnocení '!BQ82</f>
        <v>0</v>
      </c>
      <c r="BR86" s="357">
        <f>'Hodnocení '!BR82</f>
        <v>0</v>
      </c>
      <c r="BS86" s="357">
        <f>'Hodnocení '!BS82</f>
        <v>0</v>
      </c>
      <c r="BT86" s="357">
        <f>'Hodnocení '!BT82</f>
        <v>0</v>
      </c>
      <c r="BU86" s="357">
        <f>'Hodnocení '!BU82</f>
        <v>0</v>
      </c>
      <c r="BV86" s="357">
        <f>'Hodnocení '!BV82</f>
        <v>0</v>
      </c>
      <c r="BW86" s="357">
        <f>'Hodnocení '!BW82</f>
        <v>0</v>
      </c>
      <c r="BX86" s="357">
        <f>'Hodnocení '!BX82</f>
        <v>0</v>
      </c>
      <c r="BY86" s="357">
        <f>'Hodnocení '!BY82</f>
        <v>0</v>
      </c>
      <c r="BZ86" s="357">
        <f>'Hodnocení '!BZ82</f>
        <v>0</v>
      </c>
      <c r="CA86" s="357">
        <f>'Hodnocení '!CA82</f>
        <v>0</v>
      </c>
      <c r="CB86" s="357">
        <f>'Hodnocení '!CB82</f>
        <v>0</v>
      </c>
      <c r="CC86" s="357">
        <f>'Hodnocení '!CC82</f>
        <v>0</v>
      </c>
      <c r="CD86" s="357">
        <f>'Hodnocení '!CD82</f>
        <v>0</v>
      </c>
      <c r="CE86" s="357">
        <f>'Hodnocení '!CE82</f>
        <v>0</v>
      </c>
      <c r="CF86" s="357">
        <f>'Hodnocení '!CF82</f>
        <v>0</v>
      </c>
      <c r="CG86" s="357">
        <f>'Hodnocení '!CG82</f>
        <v>0</v>
      </c>
      <c r="CH86" s="357">
        <f>'Hodnocení '!CH82</f>
        <v>0</v>
      </c>
      <c r="CI86" s="357">
        <f>'Hodnocení '!CI82</f>
        <v>0</v>
      </c>
      <c r="CJ86" s="357">
        <f>'Hodnocení '!CJ82</f>
        <v>0</v>
      </c>
      <c r="CK86" s="357">
        <f>'Hodnocení '!CK82</f>
        <v>0</v>
      </c>
      <c r="CL86" s="357">
        <f>'Hodnocení '!CL82</f>
        <v>0</v>
      </c>
      <c r="CM86" s="357">
        <f>'Hodnocení '!CM82</f>
        <v>0</v>
      </c>
      <c r="CN86" s="357">
        <f>'Hodnocení '!CN82</f>
        <v>0</v>
      </c>
      <c r="CO86" s="357">
        <f>'Hodnocení '!CO82</f>
        <v>0</v>
      </c>
      <c r="CP86" s="357">
        <f>'Hodnocení '!CP82</f>
        <v>0</v>
      </c>
      <c r="CQ86" s="357">
        <f>'Hodnocení '!CQ82</f>
        <v>0</v>
      </c>
      <c r="CR86" s="357">
        <f>'Hodnocení '!CR82</f>
        <v>0</v>
      </c>
      <c r="CS86" s="357">
        <f>'Hodnocení '!CS82</f>
        <v>0</v>
      </c>
      <c r="CT86" s="357">
        <f>'Hodnocení '!CT82</f>
        <v>0</v>
      </c>
      <c r="CU86" s="357">
        <f>'Hodnocení '!CU82</f>
        <v>0</v>
      </c>
      <c r="CV86" s="357">
        <f>'Hodnocení '!CV82</f>
        <v>0</v>
      </c>
      <c r="CW86" s="357">
        <f>'Hodnocení '!CW82</f>
        <v>0</v>
      </c>
      <c r="CX86" s="357">
        <f>'Hodnocení '!CX82</f>
        <v>0</v>
      </c>
      <c r="CY86" s="357">
        <f>'Hodnocení '!CY82</f>
        <v>0</v>
      </c>
      <c r="CZ86" s="357">
        <f>'Hodnocení '!CZ82</f>
        <v>0</v>
      </c>
      <c r="DA86" s="357">
        <f>'Hodnocení '!DA82</f>
        <v>0</v>
      </c>
      <c r="DB86" s="357">
        <f>'Hodnocení '!DB82</f>
        <v>0</v>
      </c>
      <c r="DC86" s="357">
        <f>'Hodnocení '!DC82</f>
        <v>0</v>
      </c>
      <c r="DD86" s="357">
        <f>'Hodnocení '!DD82</f>
        <v>0</v>
      </c>
      <c r="DE86" s="357">
        <f>'Hodnocení '!DE82</f>
        <v>0</v>
      </c>
      <c r="DF86" s="357">
        <f>'Hodnocení '!DF82</f>
        <v>0</v>
      </c>
      <c r="DG86" s="357">
        <f>'Hodnocení '!DG82</f>
        <v>0</v>
      </c>
      <c r="DH86" s="357">
        <f>'Hodnocení '!DH82</f>
        <v>0</v>
      </c>
      <c r="DI86" s="357">
        <f>'Hodnocení '!DI82</f>
        <v>0</v>
      </c>
      <c r="DJ86" s="357">
        <f>'Hodnocení '!DJ82</f>
        <v>0</v>
      </c>
      <c r="DK86" s="357">
        <f>'Hodnocení '!DK82</f>
        <v>0</v>
      </c>
      <c r="DL86" s="357">
        <f>'Hodnocení '!DL82</f>
        <v>0</v>
      </c>
      <c r="DM86" s="357">
        <f>'Hodnocení '!DM82</f>
        <v>0</v>
      </c>
      <c r="DN86" s="357">
        <f>'Hodnocení '!DN82</f>
        <v>0</v>
      </c>
      <c r="DO86" s="357">
        <f>'Hodnocení '!DO82</f>
        <v>0</v>
      </c>
      <c r="DP86" s="357">
        <f>'Hodnocení '!DP82</f>
        <v>0</v>
      </c>
      <c r="DQ86" s="357">
        <f>'Hodnocení '!DQ82</f>
        <v>0</v>
      </c>
      <c r="DR86" s="357">
        <f>'Hodnocení '!DR82</f>
        <v>0</v>
      </c>
      <c r="DS86" s="357">
        <f>'Hodnocení '!DS82</f>
        <v>0</v>
      </c>
      <c r="DT86" s="357">
        <f>'Hodnocení '!DT82</f>
        <v>0</v>
      </c>
      <c r="DU86" s="357">
        <f>'Hodnocení '!DU82</f>
        <v>0</v>
      </c>
      <c r="DV86" s="357">
        <f>'Hodnocení '!DV82</f>
        <v>0</v>
      </c>
      <c r="DW86" s="357">
        <f>'Hodnocení '!DW82</f>
        <v>0</v>
      </c>
      <c r="DX86" s="357">
        <f>'Hodnocení '!DX82</f>
        <v>0</v>
      </c>
      <c r="DY86" s="357">
        <f>'Hodnocení '!DY82</f>
        <v>0</v>
      </c>
      <c r="DZ86" s="357">
        <f>'Hodnocení '!DZ82</f>
        <v>0</v>
      </c>
      <c r="EA86" s="357">
        <f>'Hodnocení '!EA82</f>
        <v>0</v>
      </c>
      <c r="EB86" s="357">
        <f>'Hodnocení '!EB82</f>
        <v>0</v>
      </c>
      <c r="EC86" s="357">
        <f>'Hodnocení '!EC82</f>
        <v>0</v>
      </c>
      <c r="ED86" s="357">
        <f>'Hodnocení '!ED82</f>
        <v>0</v>
      </c>
      <c r="EE86" s="357">
        <f>'Hodnocení '!EE82</f>
        <v>0</v>
      </c>
      <c r="EF86" s="357">
        <f>'Hodnocení '!EF82</f>
        <v>0</v>
      </c>
      <c r="EG86" s="357">
        <f>'Hodnocení '!EG82</f>
        <v>0</v>
      </c>
      <c r="EH86" s="357">
        <f>'Hodnocení '!EH82</f>
        <v>0</v>
      </c>
      <c r="EI86" s="357">
        <f>'Hodnocení '!EI82</f>
        <v>0</v>
      </c>
      <c r="EJ86" s="357">
        <f>'Hodnocení '!EJ82</f>
        <v>0</v>
      </c>
      <c r="EK86" s="357">
        <f>'Hodnocení '!EK82</f>
        <v>0</v>
      </c>
      <c r="EL86" s="357">
        <f>'Hodnocení '!EL82</f>
        <v>0</v>
      </c>
      <c r="EM86" s="357">
        <f>'Hodnocení '!EM82</f>
        <v>0</v>
      </c>
      <c r="EN86" s="357">
        <f>'Hodnocení '!EN82</f>
        <v>0</v>
      </c>
      <c r="EO86" s="357">
        <f>'Hodnocení '!EO82</f>
        <v>0</v>
      </c>
      <c r="EP86" s="357">
        <f>'Hodnocení '!EP82</f>
        <v>0</v>
      </c>
      <c r="EQ86" s="357">
        <f>'Hodnocení '!EQ82</f>
        <v>0</v>
      </c>
      <c r="ER86" s="357">
        <f>'Hodnocení '!ER82</f>
        <v>0</v>
      </c>
      <c r="ES86" s="357">
        <f>'Hodnocení '!ES82</f>
        <v>0</v>
      </c>
      <c r="ET86" s="357">
        <f>'Hodnocení '!ET82</f>
        <v>0</v>
      </c>
      <c r="EU86" s="357">
        <f>'Hodnocení '!EU82</f>
        <v>0</v>
      </c>
      <c r="EV86" s="479">
        <f>'Hodnocení '!EV82</f>
        <v>11802024.128363466</v>
      </c>
      <c r="EW86" s="479">
        <f>'Hodnocení '!EW82</f>
        <v>11802024.128363466</v>
      </c>
      <c r="EX86" s="479">
        <f>'Hodnocení '!EX82</f>
        <v>11802024.128363466</v>
      </c>
      <c r="EY86" s="479">
        <f>'Hodnocení '!EY82</f>
        <v>11802024.128363466</v>
      </c>
      <c r="EZ86" s="563">
        <f>'Hodnocení '!EZ82</f>
        <v>1E-8</v>
      </c>
      <c r="FA86" s="479">
        <f>'Hodnocení '!FA82</f>
        <v>1647298.424768036</v>
      </c>
      <c r="FB86" s="479">
        <f>'Hodnocení '!FB82</f>
        <v>265664.49062636285</v>
      </c>
      <c r="FC86" s="479">
        <f>'Hodnocení '!FC82</f>
        <v>3800856.0103950039</v>
      </c>
      <c r="FD86" s="479">
        <f>'Hodnocení '!FD82</f>
        <v>3800856.0103950039</v>
      </c>
      <c r="FE86" s="479">
        <f>'Hodnocení '!FE82</f>
        <v>3800856.0103950039</v>
      </c>
      <c r="FF86" s="479">
        <f>'Hodnocení '!FF82</f>
        <v>15917725.019552525</v>
      </c>
      <c r="FG86" s="479">
        <f>'Hodnocení '!FG82</f>
        <v>15917725.019552525</v>
      </c>
      <c r="FH86" s="479">
        <f>'Hodnocení '!FH82</f>
        <v>15917725.019552525</v>
      </c>
      <c r="FI86" s="479">
        <f>'Hodnocení '!FI82</f>
        <v>10758857</v>
      </c>
      <c r="FJ86" s="479">
        <f>'Hodnocení '!FJ82</f>
        <v>10758857</v>
      </c>
      <c r="FK86" s="479">
        <f>'Hodnocení '!FK82</f>
        <v>1033596.0107815034</v>
      </c>
      <c r="FL86" s="479">
        <f>'Hodnocení '!FL82</f>
        <v>1033596.0107815034</v>
      </c>
      <c r="FM86" s="479">
        <f>'Hodnocení '!FM82</f>
        <v>3934590.6565853953</v>
      </c>
      <c r="FN86" s="479">
        <f>'Hodnocení '!FN82</f>
        <v>25652963.678305373</v>
      </c>
      <c r="FO86" s="479">
        <f>'Hodnocení '!FO82</f>
        <v>25652963.678305373</v>
      </c>
      <c r="FP86" s="479">
        <f>'Hodnocení '!FP82</f>
        <v>25652963.678305373</v>
      </c>
      <c r="FQ86" s="479">
        <f>'Hodnocení '!FQ82</f>
        <v>25652963.678305373</v>
      </c>
      <c r="FR86" s="479">
        <f>'Hodnocení '!FR82</f>
        <v>25652963.678305373</v>
      </c>
      <c r="FS86" s="479">
        <f>'Hodnocení '!FS82</f>
        <v>25652963.678305373</v>
      </c>
      <c r="FT86" s="479">
        <f>'Hodnocení '!FT82</f>
        <v>4145169.1663162932</v>
      </c>
      <c r="FU86" s="479">
        <f>'Hodnocení '!FU82</f>
        <v>4145169.1663162932</v>
      </c>
      <c r="FV86" s="479">
        <f>'Hodnocení '!FV82</f>
        <v>646327.31987489713</v>
      </c>
      <c r="FW86" s="479">
        <f>'Hodnocení '!FW82</f>
        <v>1483179</v>
      </c>
      <c r="FX86" s="479">
        <f>'Hodnocení '!FX82</f>
        <v>585795.82000000007</v>
      </c>
      <c r="FY86" s="479">
        <f>'Hodnocení '!FY82</f>
        <v>336810</v>
      </c>
      <c r="FZ86" s="479">
        <f>'Hodnocení '!FZ82</f>
        <v>6135990.0249453187</v>
      </c>
      <c r="GA86" s="479">
        <f>'Hodnocení '!GA82</f>
        <v>6135990.0249453187</v>
      </c>
      <c r="GB86" s="479">
        <f>'Hodnocení '!GB82</f>
        <v>6135990.0249453187</v>
      </c>
      <c r="GC86" s="479">
        <f>'Hodnocení '!GC82</f>
        <v>12471950.030642729</v>
      </c>
      <c r="GD86" s="479">
        <f>'Hodnocení '!GD82</f>
        <v>12471950.030642729</v>
      </c>
      <c r="GE86" s="479">
        <f>'Hodnocení '!GE82</f>
        <v>15721553.992841087</v>
      </c>
      <c r="GF86" s="479">
        <f>'Hodnocení '!GF82</f>
        <v>15721553.992841087</v>
      </c>
      <c r="GG86" s="479">
        <f>'Hodnocení '!GG82</f>
        <v>15721553.992841087</v>
      </c>
      <c r="GH86" s="479">
        <f>'Hodnocení '!GH82</f>
        <v>15721553.992841087</v>
      </c>
      <c r="GI86" s="479">
        <f>'Hodnocení '!GI82</f>
        <v>15721553.992841087</v>
      </c>
      <c r="GJ86" s="479">
        <f>'Hodnocení '!GJ82</f>
        <v>6194945.3399999999</v>
      </c>
      <c r="GK86" s="479">
        <f>'Hodnocení '!GK82</f>
        <v>6194945.3399999999</v>
      </c>
      <c r="GL86" s="479">
        <f>'Hodnocení '!GL82</f>
        <v>6194945.3399999999</v>
      </c>
      <c r="GM86" s="479">
        <f>'Hodnocení '!GM82</f>
        <v>6194945.3399999999</v>
      </c>
      <c r="GN86" s="479">
        <f>'Hodnocení '!GN82</f>
        <v>6194945.3399999999</v>
      </c>
      <c r="GO86" s="479">
        <f>'Hodnocení '!GO82</f>
        <v>5215641</v>
      </c>
      <c r="GP86" s="479">
        <f>'Hodnocení '!GP82</f>
        <v>546320.06174100889</v>
      </c>
      <c r="GQ86" s="479">
        <f>'Hodnocení '!GQ82</f>
        <v>699796</v>
      </c>
      <c r="GR86" s="479">
        <f>'Hodnocení '!GR82</f>
        <v>727124.60565148341</v>
      </c>
      <c r="GS86" s="479">
        <f>'Hodnocení '!GS82</f>
        <v>113648.04672073387</v>
      </c>
      <c r="GT86" s="479">
        <f>'Hodnocení '!GT82</f>
        <v>16325604.177758522</v>
      </c>
      <c r="GU86" s="479">
        <f>'Hodnocení '!GU82</f>
        <v>16325604.177758522</v>
      </c>
      <c r="GV86" s="479">
        <f>'Hodnocení '!GV82</f>
        <v>16325604.177758522</v>
      </c>
      <c r="GW86" s="479">
        <f>'Hodnocení '!GW82</f>
        <v>1048163.6277687103</v>
      </c>
      <c r="GX86" s="479">
        <f>'Hodnocení '!GX82</f>
        <v>342955.48977144714</v>
      </c>
      <c r="GY86" s="479">
        <f>'Hodnocení '!GY82</f>
        <v>22012776.832625572</v>
      </c>
      <c r="GZ86" s="479">
        <f>'Hodnocení '!GZ82</f>
        <v>22012776.832625572</v>
      </c>
      <c r="HA86" s="479">
        <f>'Hodnocení '!HA82</f>
        <v>22012776.832625572</v>
      </c>
      <c r="HB86" s="479">
        <f>'Hodnocení '!HB82</f>
        <v>22012776.832625572</v>
      </c>
      <c r="HC86" s="479">
        <f>'Hodnocení '!HC82</f>
        <v>6593000</v>
      </c>
      <c r="HD86" s="479">
        <f>'Hodnocení '!HD82</f>
        <v>8885348.1421770528</v>
      </c>
      <c r="HE86" s="479">
        <f>'Hodnocení '!HE82</f>
        <v>8885348.1421770528</v>
      </c>
      <c r="HF86" s="479">
        <f>'Hodnocení '!HF82</f>
        <v>1785887.3599999999</v>
      </c>
      <c r="HG86" s="479">
        <f>'Hodnocení '!HG82</f>
        <v>1785887.3599999999</v>
      </c>
      <c r="HH86" s="479">
        <f>'Hodnocení '!HH82</f>
        <v>2034520.6688166854</v>
      </c>
      <c r="HI86" s="479">
        <f>'Hodnocení '!HI82</f>
        <v>2365686.3688977864</v>
      </c>
      <c r="HJ86" s="479">
        <f>'Hodnocení '!HJ82</f>
        <v>2365686.3688977864</v>
      </c>
      <c r="HK86" s="479">
        <f>'Hodnocení '!HK82</f>
        <v>209300</v>
      </c>
      <c r="HL86" s="357">
        <f>'Hodnocení '!HL82</f>
        <v>0</v>
      </c>
      <c r="HM86" s="357">
        <f>'Hodnocení '!HM82</f>
        <v>0</v>
      </c>
      <c r="HN86" s="357">
        <f>'Hodnocení '!HN82</f>
        <v>0</v>
      </c>
      <c r="HO86" s="357">
        <f>'Hodnocení '!HO82</f>
        <v>0</v>
      </c>
      <c r="HP86" s="357">
        <f>'Hodnocení '!HP82</f>
        <v>0</v>
      </c>
      <c r="HQ86" s="357">
        <f>'Hodnocení '!HQ82</f>
        <v>0</v>
      </c>
      <c r="HR86" s="357">
        <f>'Hodnocení '!HR82</f>
        <v>0</v>
      </c>
      <c r="HS86" s="357">
        <f>'Hodnocení '!HS82</f>
        <v>0</v>
      </c>
      <c r="HT86" s="357">
        <f>'Hodnocení '!HT82</f>
        <v>0</v>
      </c>
      <c r="HU86" s="357">
        <f>'Hodnocení '!HU82</f>
        <v>0</v>
      </c>
      <c r="HV86" s="357">
        <f>'Hodnocení '!HV82</f>
        <v>0</v>
      </c>
      <c r="HW86" s="357">
        <f>'Hodnocení '!HW82</f>
        <v>0</v>
      </c>
      <c r="HX86" s="357">
        <f>'Hodnocení '!HX82</f>
        <v>0</v>
      </c>
      <c r="HY86" s="357">
        <f>'Hodnocení '!HY82</f>
        <v>0</v>
      </c>
      <c r="HZ86" s="357">
        <f>'Hodnocení '!HZ82</f>
        <v>0</v>
      </c>
      <c r="IA86" s="357">
        <f>'Hodnocení '!IA82</f>
        <v>0</v>
      </c>
      <c r="IB86" s="357">
        <f>'Hodnocení '!IB82</f>
        <v>0</v>
      </c>
      <c r="IC86" s="357">
        <f>'Hodnocení '!IC82</f>
        <v>0</v>
      </c>
      <c r="ID86" s="357">
        <f>'Hodnocení '!ID82</f>
        <v>0</v>
      </c>
      <c r="IE86" s="357">
        <f>'Hodnocení '!IE82</f>
        <v>0</v>
      </c>
      <c r="IF86" s="357">
        <f>'Hodnocení '!IF82</f>
        <v>0</v>
      </c>
      <c r="IG86" s="357">
        <f>'Hodnocení '!IG82</f>
        <v>0</v>
      </c>
      <c r="IH86" s="357">
        <f>'Hodnocení '!IH82</f>
        <v>0</v>
      </c>
      <c r="II86" s="357">
        <f>'Hodnocení '!II82</f>
        <v>0</v>
      </c>
      <c r="IJ86" s="357">
        <f>'Hodnocení '!IJ82</f>
        <v>0</v>
      </c>
      <c r="IK86" s="357">
        <f>'Hodnocení '!IK82</f>
        <v>0</v>
      </c>
      <c r="IL86" s="357">
        <f>'Hodnocení '!IL82</f>
        <v>0</v>
      </c>
      <c r="IM86" s="357">
        <f>'Hodnocení '!IM82</f>
        <v>0</v>
      </c>
      <c r="IN86" s="357">
        <f>'Hodnocení '!IN82</f>
        <v>0</v>
      </c>
      <c r="IO86" s="357">
        <f>'Hodnocení '!IO82</f>
        <v>0</v>
      </c>
      <c r="IP86" s="357">
        <f>'Hodnocení '!IP82</f>
        <v>0</v>
      </c>
      <c r="IQ86" s="357">
        <f>'Hodnocení '!IQ82</f>
        <v>0</v>
      </c>
      <c r="IR86" s="357">
        <f>'Hodnocení '!IR82</f>
        <v>0</v>
      </c>
      <c r="IS86" s="357">
        <f>'Hodnocení '!IS82</f>
        <v>0</v>
      </c>
      <c r="IT86" s="357">
        <f>'Hodnocení '!IT82</f>
        <v>0</v>
      </c>
      <c r="IU86" s="357">
        <f>'Hodnocení '!IU82</f>
        <v>0</v>
      </c>
      <c r="IV86" s="357">
        <f>'Hodnocení '!IV82</f>
        <v>0</v>
      </c>
      <c r="IW86" s="357">
        <f>'Hodnocení '!IW82</f>
        <v>0</v>
      </c>
      <c r="IX86" s="357">
        <f>'Hodnocení '!IX82</f>
        <v>0</v>
      </c>
      <c r="IY86" s="357">
        <f>'Hodnocení '!IY82</f>
        <v>0</v>
      </c>
      <c r="IZ86" s="357">
        <f>'Hodnocení '!IZ82</f>
        <v>0</v>
      </c>
      <c r="JA86" s="357">
        <f>'Hodnocení '!JA82</f>
        <v>0</v>
      </c>
      <c r="JB86" s="357">
        <f>'Hodnocení '!JB82</f>
        <v>0</v>
      </c>
      <c r="JC86" s="357">
        <f>'Hodnocení '!JC82</f>
        <v>0</v>
      </c>
      <c r="JD86" s="357">
        <f>'Hodnocení '!JD82</f>
        <v>0</v>
      </c>
      <c r="JE86" s="357">
        <f>'Hodnocení '!JE82</f>
        <v>0</v>
      </c>
      <c r="JF86" s="357">
        <f>'Hodnocení '!JF82</f>
        <v>0</v>
      </c>
      <c r="JG86" s="357">
        <f>'Hodnocení '!JG82</f>
        <v>0</v>
      </c>
      <c r="JH86" s="772">
        <f>'Hodnocení '!JH82</f>
        <v>0</v>
      </c>
      <c r="JI86" s="315">
        <f>'Hodnocení '!JI82</f>
        <v>0</v>
      </c>
    </row>
    <row r="87" spans="1:276" hidden="1" x14ac:dyDescent="0.25">
      <c r="A87" s="353">
        <v>1</v>
      </c>
      <c r="B87" s="733" t="s">
        <v>2590</v>
      </c>
      <c r="C87" s="801">
        <f>'Hodnocení '!C83</f>
        <v>0</v>
      </c>
      <c r="D87" s="703">
        <f>'Hodnocení '!D83</f>
        <v>0</v>
      </c>
      <c r="E87" s="703">
        <f>'Hodnocení '!E83</f>
        <v>0</v>
      </c>
      <c r="F87" s="357">
        <f>'Hodnocení '!F83</f>
        <v>0</v>
      </c>
      <c r="G87" s="357">
        <f>'Hodnocení '!G83</f>
        <v>0</v>
      </c>
      <c r="H87" s="357">
        <f>'Hodnocení '!H83</f>
        <v>0</v>
      </c>
      <c r="I87" s="357">
        <f>'Hodnocení '!I83</f>
        <v>0</v>
      </c>
      <c r="J87" s="357">
        <f>'Hodnocení '!J83</f>
        <v>0</v>
      </c>
      <c r="K87" s="357">
        <f>'Hodnocení '!K83</f>
        <v>0</v>
      </c>
      <c r="L87" s="357">
        <f>'Hodnocení '!L83</f>
        <v>0</v>
      </c>
      <c r="M87" s="357">
        <f>'Hodnocení '!M83</f>
        <v>0</v>
      </c>
      <c r="N87" s="357">
        <f>'Hodnocení '!N83</f>
        <v>0</v>
      </c>
      <c r="O87" s="357">
        <f>'Hodnocení '!O83</f>
        <v>0</v>
      </c>
      <c r="P87" s="357">
        <f>'Hodnocení '!P83</f>
        <v>0</v>
      </c>
      <c r="Q87" s="357">
        <f>'Hodnocení '!Q83</f>
        <v>0</v>
      </c>
      <c r="R87" s="357">
        <f>'Hodnocení '!R83</f>
        <v>0</v>
      </c>
      <c r="S87" s="357">
        <f>'Hodnocení '!S83</f>
        <v>0</v>
      </c>
      <c r="T87" s="357">
        <f>'Hodnocení '!T83</f>
        <v>0</v>
      </c>
      <c r="U87" s="357">
        <f>'Hodnocení '!U83</f>
        <v>0</v>
      </c>
      <c r="V87" s="357">
        <f>'Hodnocení '!V83</f>
        <v>0</v>
      </c>
      <c r="W87" s="357">
        <f>'Hodnocení '!W83</f>
        <v>0</v>
      </c>
      <c r="X87" s="357">
        <f>'Hodnocení '!X83</f>
        <v>0</v>
      </c>
      <c r="Y87" s="357">
        <f>'Hodnocení '!Y83</f>
        <v>0</v>
      </c>
      <c r="Z87" s="357">
        <f>'Hodnocení '!Z83</f>
        <v>0</v>
      </c>
      <c r="AA87" s="357">
        <f>'Hodnocení '!AA83</f>
        <v>0</v>
      </c>
      <c r="AB87" s="357">
        <f>'Hodnocení '!AB83</f>
        <v>0</v>
      </c>
      <c r="AC87" s="357">
        <f>'Hodnocení '!AC83</f>
        <v>0</v>
      </c>
      <c r="AD87" s="357">
        <f>'Hodnocení '!AD83</f>
        <v>0</v>
      </c>
      <c r="AE87" s="357">
        <f>'Hodnocení '!AE83</f>
        <v>0</v>
      </c>
      <c r="AF87" s="357">
        <f>'Hodnocení '!AF83</f>
        <v>0</v>
      </c>
      <c r="AG87" s="357">
        <f>'Hodnocení '!AG83</f>
        <v>0</v>
      </c>
      <c r="AH87" s="357">
        <f>'Hodnocení '!AH83</f>
        <v>0</v>
      </c>
      <c r="AI87" s="357">
        <f>'Hodnocení '!AI83</f>
        <v>0</v>
      </c>
      <c r="AJ87" s="357">
        <f>'Hodnocení '!AJ83</f>
        <v>0</v>
      </c>
      <c r="AK87" s="357">
        <f>'Hodnocení '!AK83</f>
        <v>0</v>
      </c>
      <c r="AL87" s="357">
        <f>'Hodnocení '!AL83</f>
        <v>0</v>
      </c>
      <c r="AM87" s="357">
        <f>'Hodnocení '!AM83</f>
        <v>0</v>
      </c>
      <c r="AN87" s="357">
        <f>'Hodnocení '!AN83</f>
        <v>0</v>
      </c>
      <c r="AO87" s="357">
        <f>'Hodnocení '!AO83</f>
        <v>0</v>
      </c>
      <c r="AP87" s="357">
        <f>'Hodnocení '!AP83</f>
        <v>0</v>
      </c>
      <c r="AQ87" s="357">
        <f>'Hodnocení '!AQ83</f>
        <v>0</v>
      </c>
      <c r="AR87" s="357">
        <f>'Hodnocení '!AR83</f>
        <v>0</v>
      </c>
      <c r="AS87" s="357">
        <f>'Hodnocení '!AS83</f>
        <v>0</v>
      </c>
      <c r="AT87" s="357">
        <f>'Hodnocení '!AT83</f>
        <v>0</v>
      </c>
      <c r="AU87" s="357">
        <f>'Hodnocení '!AU83</f>
        <v>0</v>
      </c>
      <c r="AV87" s="357">
        <f>'Hodnocení '!AV83</f>
        <v>0</v>
      </c>
      <c r="AW87" s="357">
        <f>'Hodnocení '!AW83</f>
        <v>0</v>
      </c>
      <c r="AX87" s="357">
        <f>'Hodnocení '!AX83</f>
        <v>0</v>
      </c>
      <c r="AY87" s="357">
        <f>'Hodnocení '!AY83</f>
        <v>0</v>
      </c>
      <c r="AZ87" s="357">
        <f>'Hodnocení '!AZ83</f>
        <v>0</v>
      </c>
      <c r="BA87" s="357">
        <f>'Hodnocení '!BA83</f>
        <v>0</v>
      </c>
      <c r="BB87" s="357">
        <f>'Hodnocení '!BB83</f>
        <v>0</v>
      </c>
      <c r="BC87" s="357">
        <f>'Hodnocení '!BC83</f>
        <v>0</v>
      </c>
      <c r="BD87" s="357">
        <f>'Hodnocení '!BD83</f>
        <v>0</v>
      </c>
      <c r="BE87" s="357">
        <f>'Hodnocení '!BE83</f>
        <v>0</v>
      </c>
      <c r="BF87" s="357">
        <f>'Hodnocení '!BF83</f>
        <v>0</v>
      </c>
      <c r="BG87" s="357">
        <f>'Hodnocení '!BG83</f>
        <v>0</v>
      </c>
      <c r="BH87" s="357">
        <f>'Hodnocení '!BH83</f>
        <v>0</v>
      </c>
      <c r="BI87" s="357">
        <f>'Hodnocení '!BI83</f>
        <v>0</v>
      </c>
      <c r="BJ87" s="357">
        <f>'Hodnocení '!BJ83</f>
        <v>0</v>
      </c>
      <c r="BK87" s="357">
        <f>'Hodnocení '!BK83</f>
        <v>0</v>
      </c>
      <c r="BL87" s="357">
        <f>'Hodnocení '!BL83</f>
        <v>0</v>
      </c>
      <c r="BM87" s="357">
        <f>'Hodnocení '!BM83</f>
        <v>0</v>
      </c>
      <c r="BN87" s="357">
        <f>'Hodnocení '!BN83</f>
        <v>0</v>
      </c>
      <c r="BO87" s="357">
        <f>'Hodnocení '!BO83</f>
        <v>0</v>
      </c>
      <c r="BP87" s="357">
        <f>'Hodnocení '!BP83</f>
        <v>0</v>
      </c>
      <c r="BQ87" s="357">
        <f>'Hodnocení '!BQ83</f>
        <v>0</v>
      </c>
      <c r="BR87" s="357">
        <f>'Hodnocení '!BR83</f>
        <v>0</v>
      </c>
      <c r="BS87" s="357">
        <f>'Hodnocení '!BS83</f>
        <v>0</v>
      </c>
      <c r="BT87" s="357">
        <f>'Hodnocení '!BT83</f>
        <v>0</v>
      </c>
      <c r="BU87" s="357">
        <f>'Hodnocení '!BU83</f>
        <v>0</v>
      </c>
      <c r="BV87" s="357">
        <f>'Hodnocení '!BV83</f>
        <v>0</v>
      </c>
      <c r="BW87" s="357">
        <f>'Hodnocení '!BW83</f>
        <v>0</v>
      </c>
      <c r="BX87" s="357">
        <f>'Hodnocení '!BX83</f>
        <v>0</v>
      </c>
      <c r="BY87" s="357">
        <f>'Hodnocení '!BY83</f>
        <v>0</v>
      </c>
      <c r="BZ87" s="357">
        <f>'Hodnocení '!BZ83</f>
        <v>0</v>
      </c>
      <c r="CA87" s="357">
        <f>'Hodnocení '!CA83</f>
        <v>0</v>
      </c>
      <c r="CB87" s="357">
        <f>'Hodnocení '!CB83</f>
        <v>0</v>
      </c>
      <c r="CC87" s="357">
        <f>'Hodnocení '!CC83</f>
        <v>0</v>
      </c>
      <c r="CD87" s="357">
        <f>'Hodnocení '!CD83</f>
        <v>0</v>
      </c>
      <c r="CE87" s="357">
        <f>'Hodnocení '!CE83</f>
        <v>0</v>
      </c>
      <c r="CF87" s="357">
        <f>'Hodnocení '!CF83</f>
        <v>0</v>
      </c>
      <c r="CG87" s="357">
        <f>'Hodnocení '!CG83</f>
        <v>0</v>
      </c>
      <c r="CH87" s="357">
        <f>'Hodnocení '!CH83</f>
        <v>0</v>
      </c>
      <c r="CI87" s="357">
        <f>'Hodnocení '!CI83</f>
        <v>0</v>
      </c>
      <c r="CJ87" s="357">
        <f>'Hodnocení '!CJ83</f>
        <v>0</v>
      </c>
      <c r="CK87" s="357">
        <f>'Hodnocení '!CK83</f>
        <v>0</v>
      </c>
      <c r="CL87" s="357">
        <f>'Hodnocení '!CL83</f>
        <v>0</v>
      </c>
      <c r="CM87" s="357">
        <f>'Hodnocení '!CM83</f>
        <v>0</v>
      </c>
      <c r="CN87" s="357">
        <f>'Hodnocení '!CN83</f>
        <v>0</v>
      </c>
      <c r="CO87" s="357">
        <f>'Hodnocení '!CO83</f>
        <v>0</v>
      </c>
      <c r="CP87" s="357">
        <f>'Hodnocení '!CP83</f>
        <v>0</v>
      </c>
      <c r="CQ87" s="357">
        <f>'Hodnocení '!CQ83</f>
        <v>0</v>
      </c>
      <c r="CR87" s="357">
        <f>'Hodnocení '!CR83</f>
        <v>0</v>
      </c>
      <c r="CS87" s="357">
        <f>'Hodnocení '!CS83</f>
        <v>0</v>
      </c>
      <c r="CT87" s="357">
        <f>'Hodnocení '!CT83</f>
        <v>0</v>
      </c>
      <c r="CU87" s="357">
        <f>'Hodnocení '!CU83</f>
        <v>0</v>
      </c>
      <c r="CV87" s="357">
        <f>'Hodnocení '!CV83</f>
        <v>0</v>
      </c>
      <c r="CW87" s="357">
        <f>'Hodnocení '!CW83</f>
        <v>0</v>
      </c>
      <c r="CX87" s="357">
        <f>'Hodnocení '!CX83</f>
        <v>0</v>
      </c>
      <c r="CY87" s="357">
        <f>'Hodnocení '!CY83</f>
        <v>0</v>
      </c>
      <c r="CZ87" s="357">
        <f>'Hodnocení '!CZ83</f>
        <v>0</v>
      </c>
      <c r="DA87" s="357">
        <f>'Hodnocení '!DA83</f>
        <v>0</v>
      </c>
      <c r="DB87" s="357">
        <f>'Hodnocení '!DB83</f>
        <v>0</v>
      </c>
      <c r="DC87" s="357">
        <f>'Hodnocení '!DC83</f>
        <v>0</v>
      </c>
      <c r="DD87" s="357">
        <f>'Hodnocení '!DD83</f>
        <v>0</v>
      </c>
      <c r="DE87" s="357">
        <f>'Hodnocení '!DE83</f>
        <v>0</v>
      </c>
      <c r="DF87" s="357">
        <f>'Hodnocení '!DF83</f>
        <v>0</v>
      </c>
      <c r="DG87" s="357">
        <f>'Hodnocení '!DG83</f>
        <v>0</v>
      </c>
      <c r="DH87" s="357">
        <f>'Hodnocení '!DH83</f>
        <v>0</v>
      </c>
      <c r="DI87" s="357">
        <f>'Hodnocení '!DI83</f>
        <v>0</v>
      </c>
      <c r="DJ87" s="357">
        <f>'Hodnocení '!DJ83</f>
        <v>0</v>
      </c>
      <c r="DK87" s="357">
        <f>'Hodnocení '!DK83</f>
        <v>0</v>
      </c>
      <c r="DL87" s="357">
        <f>'Hodnocení '!DL83</f>
        <v>0</v>
      </c>
      <c r="DM87" s="357">
        <f>'Hodnocení '!DM83</f>
        <v>0</v>
      </c>
      <c r="DN87" s="357">
        <f>'Hodnocení '!DN83</f>
        <v>0</v>
      </c>
      <c r="DO87" s="357">
        <f>'Hodnocení '!DO83</f>
        <v>0</v>
      </c>
      <c r="DP87" s="357">
        <f>'Hodnocení '!DP83</f>
        <v>0</v>
      </c>
      <c r="DQ87" s="357">
        <f>'Hodnocení '!DQ83</f>
        <v>0</v>
      </c>
      <c r="DR87" s="357">
        <f>'Hodnocení '!DR83</f>
        <v>0</v>
      </c>
      <c r="DS87" s="357">
        <f>'Hodnocení '!DS83</f>
        <v>0</v>
      </c>
      <c r="DT87" s="357">
        <f>'Hodnocení '!DT83</f>
        <v>0</v>
      </c>
      <c r="DU87" s="357">
        <f>'Hodnocení '!DU83</f>
        <v>0</v>
      </c>
      <c r="DV87" s="357">
        <f>'Hodnocení '!DV83</f>
        <v>0</v>
      </c>
      <c r="DW87" s="357">
        <f>'Hodnocení '!DW83</f>
        <v>0</v>
      </c>
      <c r="DX87" s="357">
        <f>'Hodnocení '!DX83</f>
        <v>0</v>
      </c>
      <c r="DY87" s="357">
        <f>'Hodnocení '!DY83</f>
        <v>0</v>
      </c>
      <c r="DZ87" s="357">
        <f>'Hodnocení '!DZ83</f>
        <v>0</v>
      </c>
      <c r="EA87" s="357">
        <f>'Hodnocení '!EA83</f>
        <v>0</v>
      </c>
      <c r="EB87" s="357">
        <f>'Hodnocení '!EB83</f>
        <v>0</v>
      </c>
      <c r="EC87" s="357">
        <f>'Hodnocení '!EC83</f>
        <v>0</v>
      </c>
      <c r="ED87" s="357">
        <f>'Hodnocení '!ED83</f>
        <v>0</v>
      </c>
      <c r="EE87" s="357">
        <f>'Hodnocení '!EE83</f>
        <v>0</v>
      </c>
      <c r="EF87" s="357">
        <f>'Hodnocení '!EF83</f>
        <v>0</v>
      </c>
      <c r="EG87" s="357">
        <f>'Hodnocení '!EG83</f>
        <v>0</v>
      </c>
      <c r="EH87" s="357">
        <f>'Hodnocení '!EH83</f>
        <v>0</v>
      </c>
      <c r="EI87" s="357">
        <f>'Hodnocení '!EI83</f>
        <v>0</v>
      </c>
      <c r="EJ87" s="357">
        <f>'Hodnocení '!EJ83</f>
        <v>0</v>
      </c>
      <c r="EK87" s="357">
        <f>'Hodnocení '!EK83</f>
        <v>0</v>
      </c>
      <c r="EL87" s="357">
        <f>'Hodnocení '!EL83</f>
        <v>0</v>
      </c>
      <c r="EM87" s="357">
        <f>'Hodnocení '!EM83</f>
        <v>0</v>
      </c>
      <c r="EN87" s="357">
        <f>'Hodnocení '!EN83</f>
        <v>0</v>
      </c>
      <c r="EO87" s="357">
        <f>'Hodnocení '!EO83</f>
        <v>0</v>
      </c>
      <c r="EP87" s="357">
        <f>'Hodnocení '!EP83</f>
        <v>0</v>
      </c>
      <c r="EQ87" s="357">
        <f>'Hodnocení '!EQ83</f>
        <v>0</v>
      </c>
      <c r="ER87" s="357">
        <f>'Hodnocení '!ER83</f>
        <v>0</v>
      </c>
      <c r="ES87" s="357">
        <f>'Hodnocení '!ES83</f>
        <v>0</v>
      </c>
      <c r="ET87" s="357">
        <f>'Hodnocení '!ET83</f>
        <v>0</v>
      </c>
      <c r="EU87" s="357">
        <f>'Hodnocení '!EU83</f>
        <v>0</v>
      </c>
      <c r="EV87" s="703">
        <f>'Hodnocení '!EV83</f>
        <v>0</v>
      </c>
      <c r="EW87" s="703">
        <f>'Hodnocení '!EW83</f>
        <v>0</v>
      </c>
      <c r="EX87" s="703">
        <f>'Hodnocení '!EX83</f>
        <v>0</v>
      </c>
      <c r="EY87" s="703">
        <f>'Hodnocení '!EY83</f>
        <v>0</v>
      </c>
      <c r="EZ87" s="703">
        <f>'Hodnocení '!EZ83</f>
        <v>0</v>
      </c>
      <c r="FA87" s="703">
        <f>'Hodnocení '!FA83</f>
        <v>0</v>
      </c>
      <c r="FB87" s="703">
        <f>'Hodnocení '!FB83</f>
        <v>75443.425865362151</v>
      </c>
      <c r="FC87" s="703">
        <f>'Hodnocení '!FC83</f>
        <v>0</v>
      </c>
      <c r="FD87" s="703">
        <f>'Hodnocení '!FD83</f>
        <v>0</v>
      </c>
      <c r="FE87" s="703">
        <f>'Hodnocení '!FE83</f>
        <v>0</v>
      </c>
      <c r="FF87" s="703">
        <f>'Hodnocení '!FF83</f>
        <v>0</v>
      </c>
      <c r="FG87" s="703">
        <f>'Hodnocení '!FG83</f>
        <v>0</v>
      </c>
      <c r="FH87" s="703">
        <f>'Hodnocení '!FH83</f>
        <v>0</v>
      </c>
      <c r="FI87" s="703">
        <f>'Hodnocení '!FI83</f>
        <v>185650.39908551914</v>
      </c>
      <c r="FJ87" s="703">
        <f>'Hodnocení '!FJ83</f>
        <v>43670.62224100568</v>
      </c>
      <c r="FK87" s="703">
        <f>'Hodnocení '!FK83</f>
        <v>167836.88719573405</v>
      </c>
      <c r="FL87" s="703">
        <f>'Hodnocení '!FL83</f>
        <v>357873.27932224149</v>
      </c>
      <c r="FM87" s="703">
        <f>'Hodnocení '!FM83</f>
        <v>2723162.4367895005</v>
      </c>
      <c r="FN87" s="703">
        <f>'Hodnocení '!FN83</f>
        <v>0</v>
      </c>
      <c r="FO87" s="703">
        <f>'Hodnocení '!FO83</f>
        <v>0</v>
      </c>
      <c r="FP87" s="703">
        <f>'Hodnocení '!FP83</f>
        <v>0</v>
      </c>
      <c r="FQ87" s="703">
        <f>'Hodnocení '!FQ83</f>
        <v>0</v>
      </c>
      <c r="FR87" s="703">
        <f>'Hodnocení '!FR83</f>
        <v>0</v>
      </c>
      <c r="FS87" s="703">
        <f>'Hodnocení '!FS83</f>
        <v>0</v>
      </c>
      <c r="FT87" s="703">
        <f>'Hodnocení '!FT83</f>
        <v>101370.28388716253</v>
      </c>
      <c r="FU87" s="703">
        <f>'Hodnocení '!FU83</f>
        <v>14339.595557072789</v>
      </c>
      <c r="FV87" s="703">
        <f>'Hodnocení '!FV83</f>
        <v>0</v>
      </c>
      <c r="FW87" s="703">
        <f>'Hodnocení '!FW83</f>
        <v>447218.81957422954</v>
      </c>
      <c r="FX87" s="703">
        <f>'Hodnocení '!FX83</f>
        <v>155122.71663793261</v>
      </c>
      <c r="FY87" s="703">
        <f>'Hodnocení '!FY83</f>
        <v>89814.019201396077</v>
      </c>
      <c r="FZ87" s="703">
        <f>'Hodnocení '!FZ83</f>
        <v>0</v>
      </c>
      <c r="GA87" s="703">
        <f>'Hodnocení '!GA83</f>
        <v>0</v>
      </c>
      <c r="GB87" s="703">
        <f>'Hodnocení '!GB83</f>
        <v>0</v>
      </c>
      <c r="GC87" s="703">
        <f>'Hodnocení '!GC83</f>
        <v>207775.5856856975</v>
      </c>
      <c r="GD87" s="703">
        <f>'Hodnocení '!GD83</f>
        <v>802385.63469312771</v>
      </c>
      <c r="GE87" s="703">
        <f>'Hodnocení '!GE83</f>
        <v>0</v>
      </c>
      <c r="GF87" s="703">
        <f>'Hodnocení '!GF83</f>
        <v>0</v>
      </c>
      <c r="GG87" s="703">
        <f>'Hodnocení '!GG83</f>
        <v>0</v>
      </c>
      <c r="GH87" s="703">
        <f>'Hodnocení '!GH83</f>
        <v>0</v>
      </c>
      <c r="GI87" s="703">
        <f>'Hodnocení '!GI83</f>
        <v>0</v>
      </c>
      <c r="GJ87" s="703">
        <f>'Hodnocení '!GJ83</f>
        <v>254580.05470933844</v>
      </c>
      <c r="GK87" s="703">
        <f>'Hodnocení '!GK83</f>
        <v>175316.0702736706</v>
      </c>
      <c r="GL87" s="703">
        <f>'Hodnocení '!GL83</f>
        <v>67570.863543901753</v>
      </c>
      <c r="GM87" s="703">
        <f>'Hodnocení '!GM83</f>
        <v>97258.469444471601</v>
      </c>
      <c r="GN87" s="703">
        <f>'Hodnocení '!GN83</f>
        <v>107801.37988784634</v>
      </c>
      <c r="GO87" s="703">
        <f>'Hodnocení '!GO83</f>
        <v>150600.61672605784</v>
      </c>
      <c r="GP87" s="703">
        <f>'Hodnocení '!GP83</f>
        <v>0</v>
      </c>
      <c r="GQ87" s="703">
        <f>'Hodnocení '!GQ83</f>
        <v>307721.67128313892</v>
      </c>
      <c r="GR87" s="703">
        <f>'Hodnocení '!GR83</f>
        <v>0</v>
      </c>
      <c r="GS87" s="703">
        <f>'Hodnocení '!GS83</f>
        <v>113147.66314332996</v>
      </c>
      <c r="GT87" s="703">
        <f>'Hodnocení '!GT83</f>
        <v>0</v>
      </c>
      <c r="GU87" s="703">
        <f>'Hodnocení '!GU83</f>
        <v>0</v>
      </c>
      <c r="GV87" s="703">
        <f>'Hodnocení '!GV83</f>
        <v>0</v>
      </c>
      <c r="GW87" s="703">
        <f>'Hodnocení '!GW83</f>
        <v>1970.9961776398122</v>
      </c>
      <c r="GX87" s="703">
        <f>'Hodnocení '!GX83</f>
        <v>128579.08262403985</v>
      </c>
      <c r="GY87" s="703">
        <f>'Hodnocení '!GY83</f>
        <v>0</v>
      </c>
      <c r="GZ87" s="703">
        <f>'Hodnocení '!GZ83</f>
        <v>0</v>
      </c>
      <c r="HA87" s="703">
        <f>'Hodnocení '!HA83</f>
        <v>0</v>
      </c>
      <c r="HB87" s="703">
        <f>'Hodnocení '!HB83</f>
        <v>0</v>
      </c>
      <c r="HC87" s="703">
        <f>'Hodnocení '!HC83</f>
        <v>0</v>
      </c>
      <c r="HD87" s="703">
        <f>'Hodnocení '!HD83</f>
        <v>0</v>
      </c>
      <c r="HE87" s="703">
        <f>'Hodnocení '!HE83</f>
        <v>0</v>
      </c>
      <c r="HF87" s="703">
        <f>'Hodnocení '!HF83</f>
        <v>227180.3083392675</v>
      </c>
      <c r="HG87" s="703">
        <f>'Hodnocení '!HG83</f>
        <v>134213.21689477732</v>
      </c>
      <c r="HH87" s="703">
        <f>'Hodnocení '!HH83</f>
        <v>0</v>
      </c>
      <c r="HI87" s="703">
        <f>'Hodnocení '!HI83</f>
        <v>890312.63844429795</v>
      </c>
      <c r="HJ87" s="703">
        <f>'Hodnocení '!HJ83</f>
        <v>0</v>
      </c>
      <c r="HK87" s="703">
        <f>'Hodnocení '!HK83</f>
        <v>325968.64520080446</v>
      </c>
      <c r="HL87" s="357">
        <f>'Hodnocení '!HL83</f>
        <v>0</v>
      </c>
      <c r="HM87" s="357">
        <f>'Hodnocení '!HM83</f>
        <v>0</v>
      </c>
      <c r="HN87" s="357">
        <f>'Hodnocení '!HN83</f>
        <v>0</v>
      </c>
      <c r="HO87" s="357">
        <f>'Hodnocení '!HO83</f>
        <v>0</v>
      </c>
      <c r="HP87" s="357">
        <f>'Hodnocení '!HP83</f>
        <v>0</v>
      </c>
      <c r="HQ87" s="357">
        <f>'Hodnocení '!HQ83</f>
        <v>0</v>
      </c>
      <c r="HR87" s="357">
        <f>'Hodnocení '!HR83</f>
        <v>0</v>
      </c>
      <c r="HS87" s="357">
        <f>'Hodnocení '!HS83</f>
        <v>0</v>
      </c>
      <c r="HT87" s="357">
        <f>'Hodnocení '!HT83</f>
        <v>0</v>
      </c>
      <c r="HU87" s="357">
        <f>'Hodnocení '!HU83</f>
        <v>0</v>
      </c>
      <c r="HV87" s="357">
        <f>'Hodnocení '!HV83</f>
        <v>0</v>
      </c>
      <c r="HW87" s="357">
        <f>'Hodnocení '!HW83</f>
        <v>0</v>
      </c>
      <c r="HX87" s="357">
        <f>'Hodnocení '!HX83</f>
        <v>0</v>
      </c>
      <c r="HY87" s="357">
        <f>'Hodnocení '!HY83</f>
        <v>0</v>
      </c>
      <c r="HZ87" s="357">
        <f>'Hodnocení '!HZ83</f>
        <v>0</v>
      </c>
      <c r="IA87" s="357">
        <f>'Hodnocení '!IA83</f>
        <v>0</v>
      </c>
      <c r="IB87" s="357">
        <f>'Hodnocení '!IB83</f>
        <v>0</v>
      </c>
      <c r="IC87" s="357">
        <f>'Hodnocení '!IC83</f>
        <v>0</v>
      </c>
      <c r="ID87" s="357">
        <f>'Hodnocení '!ID83</f>
        <v>0</v>
      </c>
      <c r="IE87" s="357">
        <f>'Hodnocení '!IE83</f>
        <v>0</v>
      </c>
      <c r="IF87" s="357">
        <f>'Hodnocení '!IF83</f>
        <v>0</v>
      </c>
      <c r="IG87" s="357">
        <f>'Hodnocení '!IG83</f>
        <v>0</v>
      </c>
      <c r="IH87" s="357">
        <f>'Hodnocení '!IH83</f>
        <v>0</v>
      </c>
      <c r="II87" s="357">
        <f>'Hodnocení '!II83</f>
        <v>0</v>
      </c>
      <c r="IJ87" s="357">
        <f>'Hodnocení '!IJ83</f>
        <v>0</v>
      </c>
      <c r="IK87" s="357">
        <f>'Hodnocení '!IK83</f>
        <v>0</v>
      </c>
      <c r="IL87" s="357">
        <f>'Hodnocení '!IL83</f>
        <v>0</v>
      </c>
      <c r="IM87" s="357">
        <f>'Hodnocení '!IM83</f>
        <v>0</v>
      </c>
      <c r="IN87" s="357">
        <f>'Hodnocení '!IN83</f>
        <v>0</v>
      </c>
      <c r="IO87" s="357">
        <f>'Hodnocení '!IO83</f>
        <v>0</v>
      </c>
      <c r="IP87" s="357">
        <f>'Hodnocení '!IP83</f>
        <v>0</v>
      </c>
      <c r="IQ87" s="357">
        <f>'Hodnocení '!IQ83</f>
        <v>0</v>
      </c>
      <c r="IR87" s="357">
        <f>'Hodnocení '!IR83</f>
        <v>0</v>
      </c>
      <c r="IS87" s="357">
        <f>'Hodnocení '!IS83</f>
        <v>0</v>
      </c>
      <c r="IT87" s="357">
        <f>'Hodnocení '!IT83</f>
        <v>0</v>
      </c>
      <c r="IU87" s="357">
        <f>'Hodnocení '!IU83</f>
        <v>0</v>
      </c>
      <c r="IV87" s="357">
        <f>'Hodnocení '!IV83</f>
        <v>0</v>
      </c>
      <c r="IW87" s="357">
        <f>'Hodnocení '!IW83</f>
        <v>0</v>
      </c>
      <c r="IX87" s="357">
        <f>'Hodnocení '!IX83</f>
        <v>0</v>
      </c>
      <c r="IY87" s="357">
        <f>'Hodnocení '!IY83</f>
        <v>0</v>
      </c>
      <c r="IZ87" s="357">
        <f>'Hodnocení '!IZ83</f>
        <v>0</v>
      </c>
      <c r="JA87" s="357">
        <f>'Hodnocení '!JA83</f>
        <v>0</v>
      </c>
      <c r="JB87" s="357">
        <f>'Hodnocení '!JB83</f>
        <v>0</v>
      </c>
      <c r="JC87" s="357">
        <f>'Hodnocení '!JC83</f>
        <v>0</v>
      </c>
      <c r="JD87" s="357">
        <f>'Hodnocení '!JD83</f>
        <v>0</v>
      </c>
      <c r="JE87" s="357">
        <f>'Hodnocení '!JE83</f>
        <v>0</v>
      </c>
      <c r="JF87" s="357">
        <f>'Hodnocení '!JF83</f>
        <v>0</v>
      </c>
      <c r="JG87" s="357">
        <f>'Hodnocení '!JG83</f>
        <v>0</v>
      </c>
      <c r="JH87" s="772">
        <f>'Hodnocení '!JH83</f>
        <v>0</v>
      </c>
      <c r="JI87" s="470">
        <f>'Hodnocení '!JI83</f>
        <v>8353885.3824285641</v>
      </c>
      <c r="JL87" s="307">
        <f>SUMIFS($C87:$JH87,$C$5:$JH$5,JL$5)</f>
        <v>0</v>
      </c>
      <c r="JM87" s="307">
        <f>SUMIFS($C87:$JH87,$C$5:$JH$5,JM$5)</f>
        <v>0</v>
      </c>
      <c r="JN87" s="307">
        <f>SUMIFS($C87:$JH87,$C$5:$JH$5,JN$5)</f>
        <v>8353885.3824285641</v>
      </c>
      <c r="JO87" s="307">
        <f>SUMIFS($C87:$JH87,$C$5:$JH$5,JO$5)</f>
        <v>0</v>
      </c>
      <c r="JP87" s="307">
        <f t="shared" ref="JP87" si="51">SUM(JL87:JO87)</f>
        <v>8353885.3824285641</v>
      </c>
    </row>
    <row r="88" spans="1:276" x14ac:dyDescent="0.25">
      <c r="A88" s="353"/>
      <c r="B88" s="733" t="s">
        <v>2803</v>
      </c>
      <c r="C88" s="360">
        <f>'Hodnocení '!C84</f>
        <v>0</v>
      </c>
      <c r="D88" s="357">
        <f>'Hodnocení '!D84</f>
        <v>0</v>
      </c>
      <c r="E88" s="357">
        <f>'Hodnocení '!E84</f>
        <v>0</v>
      </c>
      <c r="F88" s="357">
        <f>'Hodnocení '!F84</f>
        <v>0</v>
      </c>
      <c r="G88" s="357">
        <f>'Hodnocení '!G84</f>
        <v>0</v>
      </c>
      <c r="H88" s="357">
        <f>'Hodnocení '!H84</f>
        <v>0</v>
      </c>
      <c r="I88" s="357">
        <f>'Hodnocení '!I84</f>
        <v>0</v>
      </c>
      <c r="J88" s="357">
        <f>'Hodnocení '!J84</f>
        <v>0</v>
      </c>
      <c r="K88" s="357">
        <f>'Hodnocení '!K84</f>
        <v>0</v>
      </c>
      <c r="L88" s="357">
        <f>'Hodnocení '!L84</f>
        <v>0</v>
      </c>
      <c r="M88" s="357">
        <f>'Hodnocení '!M84</f>
        <v>0</v>
      </c>
      <c r="N88" s="357">
        <f>'Hodnocení '!N84</f>
        <v>0</v>
      </c>
      <c r="O88" s="357">
        <f>'Hodnocení '!O84</f>
        <v>0</v>
      </c>
      <c r="P88" s="357">
        <f>'Hodnocení '!P84</f>
        <v>0</v>
      </c>
      <c r="Q88" s="357">
        <f>'Hodnocení '!Q84</f>
        <v>0</v>
      </c>
      <c r="R88" s="357">
        <f>'Hodnocení '!R84</f>
        <v>0</v>
      </c>
      <c r="S88" s="357">
        <f>'Hodnocení '!S84</f>
        <v>0</v>
      </c>
      <c r="T88" s="357">
        <f>'Hodnocení '!T84</f>
        <v>0</v>
      </c>
      <c r="U88" s="357">
        <f>'Hodnocení '!U84</f>
        <v>0</v>
      </c>
      <c r="V88" s="357">
        <f>'Hodnocení '!V84</f>
        <v>0</v>
      </c>
      <c r="W88" s="357">
        <f>'Hodnocení '!W84</f>
        <v>0</v>
      </c>
      <c r="X88" s="357">
        <f>'Hodnocení '!X84</f>
        <v>0</v>
      </c>
      <c r="Y88" s="357">
        <f>'Hodnocení '!Y84</f>
        <v>0</v>
      </c>
      <c r="Z88" s="357">
        <f>'Hodnocení '!Z84</f>
        <v>0</v>
      </c>
      <c r="AA88" s="357">
        <f>'Hodnocení '!AA84</f>
        <v>0</v>
      </c>
      <c r="AB88" s="357">
        <f>'Hodnocení '!AB84</f>
        <v>0</v>
      </c>
      <c r="AC88" s="357">
        <f>'Hodnocení '!AC84</f>
        <v>0</v>
      </c>
      <c r="AD88" s="357">
        <f>'Hodnocení '!AD84</f>
        <v>0</v>
      </c>
      <c r="AE88" s="357">
        <f>'Hodnocení '!AE84</f>
        <v>0</v>
      </c>
      <c r="AF88" s="357">
        <f>'Hodnocení '!AF84</f>
        <v>0</v>
      </c>
      <c r="AG88" s="357">
        <f>'Hodnocení '!AG84</f>
        <v>0</v>
      </c>
      <c r="AH88" s="357">
        <f>'Hodnocení '!AH84</f>
        <v>0</v>
      </c>
      <c r="AI88" s="357">
        <f>'Hodnocení '!AI84</f>
        <v>0</v>
      </c>
      <c r="AJ88" s="357">
        <f>'Hodnocení '!AJ84</f>
        <v>0</v>
      </c>
      <c r="AK88" s="357">
        <f>'Hodnocení '!AK84</f>
        <v>0</v>
      </c>
      <c r="AL88" s="357">
        <f>'Hodnocení '!AL84</f>
        <v>0</v>
      </c>
      <c r="AM88" s="357">
        <f>'Hodnocení '!AM84</f>
        <v>0</v>
      </c>
      <c r="AN88" s="357">
        <f>'Hodnocení '!AN84</f>
        <v>0</v>
      </c>
      <c r="AO88" s="357">
        <f>'Hodnocení '!AO84</f>
        <v>0</v>
      </c>
      <c r="AP88" s="357">
        <f>'Hodnocení '!AP84</f>
        <v>0</v>
      </c>
      <c r="AQ88" s="357">
        <f>'Hodnocení '!AQ84</f>
        <v>0</v>
      </c>
      <c r="AR88" s="357">
        <f>'Hodnocení '!AR84</f>
        <v>0</v>
      </c>
      <c r="AS88" s="357">
        <f>'Hodnocení '!AS84</f>
        <v>0</v>
      </c>
      <c r="AT88" s="357">
        <f>'Hodnocení '!AT84</f>
        <v>0</v>
      </c>
      <c r="AU88" s="357">
        <f>'Hodnocení '!AU84</f>
        <v>0</v>
      </c>
      <c r="AV88" s="357">
        <f>'Hodnocení '!AV84</f>
        <v>0</v>
      </c>
      <c r="AW88" s="357">
        <f>'Hodnocení '!AW84</f>
        <v>0</v>
      </c>
      <c r="AX88" s="357">
        <f>'Hodnocení '!AX84</f>
        <v>0</v>
      </c>
      <c r="AY88" s="357">
        <f>'Hodnocení '!AY84</f>
        <v>0</v>
      </c>
      <c r="AZ88" s="357">
        <f>'Hodnocení '!AZ84</f>
        <v>0</v>
      </c>
      <c r="BA88" s="357">
        <f>'Hodnocení '!BA84</f>
        <v>0</v>
      </c>
      <c r="BB88" s="357">
        <f>'Hodnocení '!BB84</f>
        <v>0</v>
      </c>
      <c r="BC88" s="357">
        <f>'Hodnocení '!BC84</f>
        <v>0</v>
      </c>
      <c r="BD88" s="357">
        <f>'Hodnocení '!BD84</f>
        <v>0</v>
      </c>
      <c r="BE88" s="357">
        <f>'Hodnocení '!BE84</f>
        <v>0</v>
      </c>
      <c r="BF88" s="357">
        <f>'Hodnocení '!BF84</f>
        <v>0</v>
      </c>
      <c r="BG88" s="357">
        <f>'Hodnocení '!BG84</f>
        <v>0</v>
      </c>
      <c r="BH88" s="357">
        <f>'Hodnocení '!BH84</f>
        <v>0</v>
      </c>
      <c r="BI88" s="357">
        <f>'Hodnocení '!BI84</f>
        <v>0</v>
      </c>
      <c r="BJ88" s="357">
        <f>'Hodnocení '!BJ84</f>
        <v>0</v>
      </c>
      <c r="BK88" s="357">
        <f>'Hodnocení '!BK84</f>
        <v>0</v>
      </c>
      <c r="BL88" s="357">
        <f>'Hodnocení '!BL84</f>
        <v>0</v>
      </c>
      <c r="BM88" s="357">
        <f>'Hodnocení '!BM84</f>
        <v>0</v>
      </c>
      <c r="BN88" s="357">
        <f>'Hodnocení '!BN84</f>
        <v>0</v>
      </c>
      <c r="BO88" s="357">
        <f>'Hodnocení '!BO84</f>
        <v>0</v>
      </c>
      <c r="BP88" s="357">
        <f>'Hodnocení '!BP84</f>
        <v>0</v>
      </c>
      <c r="BQ88" s="357">
        <f>'Hodnocení '!BQ84</f>
        <v>0</v>
      </c>
      <c r="BR88" s="357">
        <f>'Hodnocení '!BR84</f>
        <v>0</v>
      </c>
      <c r="BS88" s="357">
        <f>'Hodnocení '!BS84</f>
        <v>0</v>
      </c>
      <c r="BT88" s="357">
        <f>'Hodnocení '!BT84</f>
        <v>0</v>
      </c>
      <c r="BU88" s="357">
        <f>'Hodnocení '!BU84</f>
        <v>0</v>
      </c>
      <c r="BV88" s="357">
        <f>'Hodnocení '!BV84</f>
        <v>0</v>
      </c>
      <c r="BW88" s="357">
        <f>'Hodnocení '!BW84</f>
        <v>0</v>
      </c>
      <c r="BX88" s="357">
        <f>'Hodnocení '!BX84</f>
        <v>0</v>
      </c>
      <c r="BY88" s="357">
        <f>'Hodnocení '!BY84</f>
        <v>0</v>
      </c>
      <c r="BZ88" s="357">
        <f>'Hodnocení '!BZ84</f>
        <v>0</v>
      </c>
      <c r="CA88" s="357">
        <f>'Hodnocení '!CA84</f>
        <v>0</v>
      </c>
      <c r="CB88" s="357">
        <f>'Hodnocení '!CB84</f>
        <v>0</v>
      </c>
      <c r="CC88" s="357">
        <f>'Hodnocení '!CC84</f>
        <v>0</v>
      </c>
      <c r="CD88" s="357">
        <f>'Hodnocení '!CD84</f>
        <v>0</v>
      </c>
      <c r="CE88" s="357">
        <f>'Hodnocení '!CE84</f>
        <v>0</v>
      </c>
      <c r="CF88" s="357">
        <f>'Hodnocení '!CF84</f>
        <v>0</v>
      </c>
      <c r="CG88" s="357">
        <f>'Hodnocení '!CG84</f>
        <v>0</v>
      </c>
      <c r="CH88" s="357">
        <f>'Hodnocení '!CH84</f>
        <v>0</v>
      </c>
      <c r="CI88" s="357">
        <f>'Hodnocení '!CI84</f>
        <v>0</v>
      </c>
      <c r="CJ88" s="357">
        <f>'Hodnocení '!CJ84</f>
        <v>0</v>
      </c>
      <c r="CK88" s="357">
        <f>'Hodnocení '!CK84</f>
        <v>0</v>
      </c>
      <c r="CL88" s="357">
        <f>'Hodnocení '!CL84</f>
        <v>0</v>
      </c>
      <c r="CM88" s="357">
        <f>'Hodnocení '!CM84</f>
        <v>0</v>
      </c>
      <c r="CN88" s="357">
        <f>'Hodnocení '!CN84</f>
        <v>0</v>
      </c>
      <c r="CO88" s="357">
        <f>'Hodnocení '!CO84</f>
        <v>0</v>
      </c>
      <c r="CP88" s="357">
        <f>'Hodnocení '!CP84</f>
        <v>0</v>
      </c>
      <c r="CQ88" s="357">
        <f>'Hodnocení '!CQ84</f>
        <v>0</v>
      </c>
      <c r="CR88" s="357">
        <f>'Hodnocení '!CR84</f>
        <v>0</v>
      </c>
      <c r="CS88" s="357">
        <f>'Hodnocení '!CS84</f>
        <v>0</v>
      </c>
      <c r="CT88" s="357">
        <f>'Hodnocení '!CT84</f>
        <v>0</v>
      </c>
      <c r="CU88" s="357">
        <f>'Hodnocení '!CU84</f>
        <v>0</v>
      </c>
      <c r="CV88" s="357">
        <f>'Hodnocení '!CV84</f>
        <v>0</v>
      </c>
      <c r="CW88" s="357">
        <f>'Hodnocení '!CW84</f>
        <v>0</v>
      </c>
      <c r="CX88" s="357">
        <f>'Hodnocení '!CX84</f>
        <v>0</v>
      </c>
      <c r="CY88" s="357">
        <f>'Hodnocení '!CY84</f>
        <v>0</v>
      </c>
      <c r="CZ88" s="357">
        <f>'Hodnocení '!CZ84</f>
        <v>0</v>
      </c>
      <c r="DA88" s="357">
        <f>'Hodnocení '!DA84</f>
        <v>0</v>
      </c>
      <c r="DB88" s="357">
        <f>'Hodnocení '!DB84</f>
        <v>0</v>
      </c>
      <c r="DC88" s="357">
        <f>'Hodnocení '!DC84</f>
        <v>0</v>
      </c>
      <c r="DD88" s="357">
        <f>'Hodnocení '!DD84</f>
        <v>0</v>
      </c>
      <c r="DE88" s="357">
        <f>'Hodnocení '!DE84</f>
        <v>0</v>
      </c>
      <c r="DF88" s="357">
        <f>'Hodnocení '!DF84</f>
        <v>0</v>
      </c>
      <c r="DG88" s="357">
        <f>'Hodnocení '!DG84</f>
        <v>0</v>
      </c>
      <c r="DH88" s="357">
        <f>'Hodnocení '!DH84</f>
        <v>0</v>
      </c>
      <c r="DI88" s="357">
        <f>'Hodnocení '!DI84</f>
        <v>0</v>
      </c>
      <c r="DJ88" s="357">
        <f>'Hodnocení '!DJ84</f>
        <v>0</v>
      </c>
      <c r="DK88" s="357">
        <f>'Hodnocení '!DK84</f>
        <v>0</v>
      </c>
      <c r="DL88" s="357">
        <f>'Hodnocení '!DL84</f>
        <v>0</v>
      </c>
      <c r="DM88" s="357">
        <f>'Hodnocení '!DM84</f>
        <v>0</v>
      </c>
      <c r="DN88" s="357">
        <f>'Hodnocení '!DN84</f>
        <v>0</v>
      </c>
      <c r="DO88" s="357">
        <f>'Hodnocení '!DO84</f>
        <v>0</v>
      </c>
      <c r="DP88" s="357">
        <f>'Hodnocení '!DP84</f>
        <v>0</v>
      </c>
      <c r="DQ88" s="357">
        <f>'Hodnocení '!DQ84</f>
        <v>0</v>
      </c>
      <c r="DR88" s="357">
        <f>'Hodnocení '!DR84</f>
        <v>0</v>
      </c>
      <c r="DS88" s="357">
        <f>'Hodnocení '!DS84</f>
        <v>0</v>
      </c>
      <c r="DT88" s="357">
        <f>'Hodnocení '!DT84</f>
        <v>0</v>
      </c>
      <c r="DU88" s="357">
        <f>'Hodnocení '!DU84</f>
        <v>0</v>
      </c>
      <c r="DV88" s="357">
        <f>'Hodnocení '!DV84</f>
        <v>0</v>
      </c>
      <c r="DW88" s="357">
        <f>'Hodnocení '!DW84</f>
        <v>0</v>
      </c>
      <c r="DX88" s="357">
        <f>'Hodnocení '!DX84</f>
        <v>0</v>
      </c>
      <c r="DY88" s="357">
        <f>'Hodnocení '!DY84</f>
        <v>0</v>
      </c>
      <c r="DZ88" s="357">
        <f>'Hodnocení '!DZ84</f>
        <v>0</v>
      </c>
      <c r="EA88" s="357">
        <f>'Hodnocení '!EA84</f>
        <v>0</v>
      </c>
      <c r="EB88" s="357">
        <f>'Hodnocení '!EB84</f>
        <v>0</v>
      </c>
      <c r="EC88" s="357">
        <f>'Hodnocení '!EC84</f>
        <v>0</v>
      </c>
      <c r="ED88" s="357">
        <f>'Hodnocení '!ED84</f>
        <v>0</v>
      </c>
      <c r="EE88" s="357">
        <f>'Hodnocení '!EE84</f>
        <v>0</v>
      </c>
      <c r="EF88" s="357">
        <f>'Hodnocení '!EF84</f>
        <v>0</v>
      </c>
      <c r="EG88" s="357">
        <f>'Hodnocení '!EG84</f>
        <v>0</v>
      </c>
      <c r="EH88" s="357">
        <f>'Hodnocení '!EH84</f>
        <v>0</v>
      </c>
      <c r="EI88" s="357">
        <f>'Hodnocení '!EI84</f>
        <v>0</v>
      </c>
      <c r="EJ88" s="357">
        <f>'Hodnocení '!EJ84</f>
        <v>0</v>
      </c>
      <c r="EK88" s="357">
        <f>'Hodnocení '!EK84</f>
        <v>0</v>
      </c>
      <c r="EL88" s="357">
        <f>'Hodnocení '!EL84</f>
        <v>0</v>
      </c>
      <c r="EM88" s="357">
        <f>'Hodnocení '!EM84</f>
        <v>0</v>
      </c>
      <c r="EN88" s="357">
        <f>'Hodnocení '!EN84</f>
        <v>0</v>
      </c>
      <c r="EO88" s="357">
        <f>'Hodnocení '!EO84</f>
        <v>0</v>
      </c>
      <c r="EP88" s="357">
        <f>'Hodnocení '!EP84</f>
        <v>0</v>
      </c>
      <c r="EQ88" s="357">
        <f>'Hodnocení '!EQ84</f>
        <v>0</v>
      </c>
      <c r="ER88" s="357">
        <f>'Hodnocení '!ER84</f>
        <v>0</v>
      </c>
      <c r="ES88" s="357">
        <f>'Hodnocení '!ES84</f>
        <v>0</v>
      </c>
      <c r="ET88" s="357">
        <f>'Hodnocení '!ET84</f>
        <v>0</v>
      </c>
      <c r="EU88" s="357">
        <f>'Hodnocení '!EU84</f>
        <v>0</v>
      </c>
      <c r="EV88" s="357">
        <f>'Hodnocení '!EV84</f>
        <v>0</v>
      </c>
      <c r="EW88" s="357">
        <f>'Hodnocení '!EW84</f>
        <v>0</v>
      </c>
      <c r="EX88" s="357">
        <f>'Hodnocení '!EX84</f>
        <v>0</v>
      </c>
      <c r="EY88" s="357">
        <f>'Hodnocení '!EY84</f>
        <v>0</v>
      </c>
      <c r="EZ88" s="357">
        <f>'Hodnocení '!EZ84</f>
        <v>0</v>
      </c>
      <c r="FA88" s="357">
        <f>'Hodnocení '!FA84</f>
        <v>0</v>
      </c>
      <c r="FB88" s="357">
        <f>'Hodnocení '!FB84</f>
        <v>0</v>
      </c>
      <c r="FC88" s="357">
        <f>'Hodnocení '!FC84</f>
        <v>0</v>
      </c>
      <c r="FD88" s="357">
        <f>'Hodnocení '!FD84</f>
        <v>0</v>
      </c>
      <c r="FE88" s="357">
        <f>'Hodnocení '!FE84</f>
        <v>0</v>
      </c>
      <c r="FF88" s="357">
        <f>'Hodnocení '!FF84</f>
        <v>0</v>
      </c>
      <c r="FG88" s="357">
        <f>'Hodnocení '!FG84</f>
        <v>0</v>
      </c>
      <c r="FH88" s="357">
        <f>'Hodnocení '!FH84</f>
        <v>0</v>
      </c>
      <c r="FI88" s="357" t="str">
        <f>'Hodnocení '!FI84</f>
        <v>navýšeno obec 2020</v>
      </c>
      <c r="FJ88" s="357">
        <f>'Hodnocení '!FJ84</f>
        <v>0</v>
      </c>
      <c r="FK88" s="357">
        <f>'Hodnocení '!FK84</f>
        <v>0</v>
      </c>
      <c r="FL88" s="357">
        <f>'Hodnocení '!FL84</f>
        <v>0</v>
      </c>
      <c r="FM88" s="357">
        <f>'Hodnocení '!FM84</f>
        <v>0</v>
      </c>
      <c r="FN88" s="357">
        <f>'Hodnocení '!FN84</f>
        <v>0</v>
      </c>
      <c r="FO88" s="357">
        <f>'Hodnocení '!FO84</f>
        <v>0</v>
      </c>
      <c r="FP88" s="357">
        <f>'Hodnocení '!FP84</f>
        <v>0</v>
      </c>
      <c r="FQ88" s="357">
        <f>'Hodnocení '!FQ84</f>
        <v>0</v>
      </c>
      <c r="FR88" s="357">
        <f>'Hodnocení '!FR84</f>
        <v>0</v>
      </c>
      <c r="FS88" s="357">
        <f>'Hodnocení '!FS84</f>
        <v>0</v>
      </c>
      <c r="FT88" s="357">
        <f>'Hodnocení '!FT84</f>
        <v>0</v>
      </c>
      <c r="FU88" s="357">
        <f>'Hodnocení '!FU84</f>
        <v>0</v>
      </c>
      <c r="FV88" s="357">
        <f>'Hodnocení '!FV84</f>
        <v>0</v>
      </c>
      <c r="FW88" s="357">
        <f>'Hodnocení '!FW84</f>
        <v>0</v>
      </c>
      <c r="FX88" s="357">
        <f>'Hodnocení '!FX84</f>
        <v>0</v>
      </c>
      <c r="FY88" s="357">
        <f>'Hodnocení '!FY84</f>
        <v>0</v>
      </c>
      <c r="FZ88" s="357">
        <f>'Hodnocení '!FZ84</f>
        <v>0</v>
      </c>
      <c r="GA88" s="357">
        <f>'Hodnocení '!GA84</f>
        <v>0</v>
      </c>
      <c r="GB88" s="357">
        <f>'Hodnocení '!GB84</f>
        <v>0</v>
      </c>
      <c r="GC88" s="357">
        <f>'Hodnocení '!GC84</f>
        <v>0</v>
      </c>
      <c r="GD88" s="357">
        <f>'Hodnocení '!GD84</f>
        <v>0</v>
      </c>
      <c r="GE88" s="357">
        <f>'Hodnocení '!GE84</f>
        <v>0</v>
      </c>
      <c r="GF88" s="357">
        <f>'Hodnocení '!GF84</f>
        <v>0</v>
      </c>
      <c r="GG88" s="357">
        <f>'Hodnocení '!GG84</f>
        <v>0</v>
      </c>
      <c r="GH88" s="357">
        <f>'Hodnocení '!GH84</f>
        <v>0</v>
      </c>
      <c r="GI88" s="357">
        <f>'Hodnocení '!GI84</f>
        <v>0</v>
      </c>
      <c r="GJ88" s="357">
        <f>'Hodnocení '!GJ84</f>
        <v>0</v>
      </c>
      <c r="GK88" s="357">
        <f>'Hodnocení '!GK84</f>
        <v>0</v>
      </c>
      <c r="GL88" s="357">
        <f>'Hodnocení '!GL84</f>
        <v>0</v>
      </c>
      <c r="GM88" s="357">
        <f>'Hodnocení '!GM84</f>
        <v>0</v>
      </c>
      <c r="GN88" s="357">
        <f>'Hodnocení '!GN84</f>
        <v>0</v>
      </c>
      <c r="GO88" s="357">
        <f>'Hodnocení '!GO84</f>
        <v>0</v>
      </c>
      <c r="GP88" s="357">
        <f>'Hodnocení '!GP84</f>
        <v>0</v>
      </c>
      <c r="GQ88" s="357">
        <f>'Hodnocení '!GQ84</f>
        <v>0</v>
      </c>
      <c r="GR88" s="357">
        <f>'Hodnocení '!GR84</f>
        <v>0</v>
      </c>
      <c r="GS88" s="357">
        <f>'Hodnocení '!GS84</f>
        <v>0</v>
      </c>
      <c r="GT88" s="357">
        <f>'Hodnocení '!GT84</f>
        <v>0</v>
      </c>
      <c r="GU88" s="357">
        <f>'Hodnocení '!GU84</f>
        <v>0</v>
      </c>
      <c r="GV88" s="357">
        <f>'Hodnocení '!GV84</f>
        <v>0</v>
      </c>
      <c r="GW88" s="357">
        <f>'Hodnocení '!GW84</f>
        <v>0</v>
      </c>
      <c r="GX88" s="357">
        <f>'Hodnocení '!GX84</f>
        <v>0</v>
      </c>
      <c r="GY88" s="357">
        <f>'Hodnocení '!GY84</f>
        <v>0</v>
      </c>
      <c r="GZ88" s="357">
        <f>'Hodnocení '!GZ84</f>
        <v>0</v>
      </c>
      <c r="HA88" s="357">
        <f>'Hodnocení '!HA84</f>
        <v>0</v>
      </c>
      <c r="HB88" s="357">
        <f>'Hodnocení '!HB84</f>
        <v>0</v>
      </c>
      <c r="HC88" s="357">
        <f>'Hodnocení '!HC84</f>
        <v>0</v>
      </c>
      <c r="HD88" s="357">
        <f>'Hodnocení '!HD84</f>
        <v>0</v>
      </c>
      <c r="HE88" s="357">
        <f>'Hodnocení '!HE84</f>
        <v>0</v>
      </c>
      <c r="HF88" s="357">
        <f>'Hodnocení '!HF84</f>
        <v>0</v>
      </c>
      <c r="HG88" s="357">
        <f>'Hodnocení '!HG84</f>
        <v>0</v>
      </c>
      <c r="HH88" s="357">
        <f>'Hodnocení '!HH84</f>
        <v>0</v>
      </c>
      <c r="HI88" s="357">
        <f>'Hodnocení '!HI84</f>
        <v>0</v>
      </c>
      <c r="HJ88" s="357">
        <f>'Hodnocení '!HJ84</f>
        <v>0</v>
      </c>
      <c r="HK88" s="357">
        <f>'Hodnocení '!HK84</f>
        <v>0</v>
      </c>
      <c r="HL88" s="357">
        <f>'Hodnocení '!HL84</f>
        <v>0</v>
      </c>
      <c r="HM88" s="357">
        <f>'Hodnocení '!HM84</f>
        <v>0</v>
      </c>
      <c r="HN88" s="357">
        <f>'Hodnocení '!HN84</f>
        <v>0</v>
      </c>
      <c r="HO88" s="357">
        <f>'Hodnocení '!HO84</f>
        <v>0</v>
      </c>
      <c r="HP88" s="357">
        <f>'Hodnocení '!HP84</f>
        <v>0</v>
      </c>
      <c r="HQ88" s="357">
        <f>'Hodnocení '!HQ84</f>
        <v>0</v>
      </c>
      <c r="HR88" s="357">
        <f>'Hodnocení '!HR84</f>
        <v>0</v>
      </c>
      <c r="HS88" s="357">
        <f>'Hodnocení '!HS84</f>
        <v>0</v>
      </c>
      <c r="HT88" s="357">
        <f>'Hodnocení '!HT84</f>
        <v>0</v>
      </c>
      <c r="HU88" s="357">
        <f>'Hodnocení '!HU84</f>
        <v>0</v>
      </c>
      <c r="HV88" s="357">
        <f>'Hodnocení '!HV84</f>
        <v>0</v>
      </c>
      <c r="HW88" s="357">
        <f>'Hodnocení '!HW84</f>
        <v>0</v>
      </c>
      <c r="HX88" s="357">
        <f>'Hodnocení '!HX84</f>
        <v>0</v>
      </c>
      <c r="HY88" s="357">
        <f>'Hodnocení '!HY84</f>
        <v>0</v>
      </c>
      <c r="HZ88" s="357">
        <f>'Hodnocení '!HZ84</f>
        <v>0</v>
      </c>
      <c r="IA88" s="357">
        <f>'Hodnocení '!IA84</f>
        <v>0</v>
      </c>
      <c r="IB88" s="357">
        <f>'Hodnocení '!IB84</f>
        <v>0</v>
      </c>
      <c r="IC88" s="357">
        <f>'Hodnocení '!IC84</f>
        <v>0</v>
      </c>
      <c r="ID88" s="357">
        <f>'Hodnocení '!ID84</f>
        <v>0</v>
      </c>
      <c r="IE88" s="357">
        <f>'Hodnocení '!IE84</f>
        <v>0</v>
      </c>
      <c r="IF88" s="357">
        <f>'Hodnocení '!IF84</f>
        <v>0</v>
      </c>
      <c r="IG88" s="357">
        <f>'Hodnocení '!IG84</f>
        <v>0</v>
      </c>
      <c r="IH88" s="357">
        <f>'Hodnocení '!IH84</f>
        <v>0</v>
      </c>
      <c r="II88" s="357">
        <f>'Hodnocení '!II84</f>
        <v>0</v>
      </c>
      <c r="IJ88" s="357">
        <f>'Hodnocení '!IJ84</f>
        <v>0</v>
      </c>
      <c r="IK88" s="357">
        <f>'Hodnocení '!IK84</f>
        <v>0</v>
      </c>
      <c r="IL88" s="357">
        <f>'Hodnocení '!IL84</f>
        <v>0</v>
      </c>
      <c r="IM88" s="357">
        <f>'Hodnocení '!IM84</f>
        <v>0</v>
      </c>
      <c r="IN88" s="357">
        <f>'Hodnocení '!IN84</f>
        <v>0</v>
      </c>
      <c r="IO88" s="357">
        <f>'Hodnocení '!IO84</f>
        <v>0</v>
      </c>
      <c r="IP88" s="357">
        <f>'Hodnocení '!IP84</f>
        <v>0</v>
      </c>
      <c r="IQ88" s="357">
        <f>'Hodnocení '!IQ84</f>
        <v>0</v>
      </c>
      <c r="IR88" s="357">
        <f>'Hodnocení '!IR84</f>
        <v>0</v>
      </c>
      <c r="IS88" s="357">
        <f>'Hodnocení '!IS84</f>
        <v>0</v>
      </c>
      <c r="IT88" s="357">
        <f>'Hodnocení '!IT84</f>
        <v>0</v>
      </c>
      <c r="IU88" s="357">
        <f>'Hodnocení '!IU84</f>
        <v>0</v>
      </c>
      <c r="IV88" s="357">
        <f>'Hodnocení '!IV84</f>
        <v>0</v>
      </c>
      <c r="IW88" s="357">
        <f>'Hodnocení '!IW84</f>
        <v>0</v>
      </c>
      <c r="IX88" s="357">
        <f>'Hodnocení '!IX84</f>
        <v>0</v>
      </c>
      <c r="IY88" s="357">
        <f>'Hodnocení '!IY84</f>
        <v>0</v>
      </c>
      <c r="IZ88" s="357">
        <f>'Hodnocení '!IZ84</f>
        <v>0</v>
      </c>
      <c r="JA88" s="357">
        <f>'Hodnocení '!JA84</f>
        <v>0</v>
      </c>
      <c r="JB88" s="357">
        <f>'Hodnocení '!JB84</f>
        <v>0</v>
      </c>
      <c r="JC88" s="357">
        <f>'Hodnocení '!JC84</f>
        <v>0</v>
      </c>
      <c r="JD88" s="357">
        <f>'Hodnocení '!JD84</f>
        <v>0</v>
      </c>
      <c r="JE88" s="357">
        <f>'Hodnocení '!JE84</f>
        <v>0</v>
      </c>
      <c r="JF88" s="357">
        <f>'Hodnocení '!JF84</f>
        <v>0</v>
      </c>
      <c r="JG88" s="357">
        <f>'Hodnocení '!JG84</f>
        <v>0</v>
      </c>
      <c r="JH88" s="772">
        <f>'Hodnocení '!JH84</f>
        <v>0</v>
      </c>
      <c r="JI88" s="315">
        <f>'Hodnocení '!JI84</f>
        <v>0</v>
      </c>
    </row>
    <row r="89" spans="1:276" hidden="1" x14ac:dyDescent="0.25">
      <c r="A89" s="353"/>
      <c r="B89" s="734" t="s">
        <v>2592</v>
      </c>
      <c r="C89" s="781">
        <f>'Hodnocení '!C85</f>
        <v>9246049.1510793846</v>
      </c>
      <c r="D89" s="687">
        <f>'Hodnocení '!D85</f>
        <v>8080000</v>
      </c>
      <c r="E89" s="687">
        <f>'Hodnocení '!E85</f>
        <v>8707194.8468445688</v>
      </c>
      <c r="F89" s="687">
        <f>'Hodnocení '!F85</f>
        <v>3616884.7088353573</v>
      </c>
      <c r="G89" s="687">
        <f>'Hodnocení '!G85</f>
        <v>10328003.127290595</v>
      </c>
      <c r="H89" s="687">
        <f>'Hodnocení '!H85</f>
        <v>0</v>
      </c>
      <c r="I89" s="687">
        <f>'Hodnocení '!I85</f>
        <v>0</v>
      </c>
      <c r="J89" s="687">
        <f>'Hodnocení '!J85</f>
        <v>126485.23608403429</v>
      </c>
      <c r="K89" s="687">
        <f>'Hodnocení '!K85</f>
        <v>6393271.2513013156</v>
      </c>
      <c r="L89" s="687">
        <f>'Hodnocení '!L85</f>
        <v>3774970</v>
      </c>
      <c r="M89" s="687">
        <f>'Hodnocení '!M85</f>
        <v>3667775.238895766</v>
      </c>
      <c r="N89" s="687">
        <f>'Hodnocení '!N85</f>
        <v>5360828.6030266704</v>
      </c>
      <c r="O89" s="687">
        <f>'Hodnocení '!O85</f>
        <v>4448411.4210138666</v>
      </c>
      <c r="P89" s="687">
        <f>'Hodnocení '!P85</f>
        <v>2570026.0021816893</v>
      </c>
      <c r="Q89" s="687">
        <f>'Hodnocení '!Q85</f>
        <v>1836488.4791010155</v>
      </c>
      <c r="R89" s="687">
        <f>'Hodnocení '!R85</f>
        <v>2124718.1</v>
      </c>
      <c r="S89" s="687">
        <f>'Hodnocení '!S85</f>
        <v>1637152.8</v>
      </c>
      <c r="T89" s="687">
        <f>'Hodnocení '!T85</f>
        <v>622773.51077815378</v>
      </c>
      <c r="U89" s="687">
        <f>'Hodnocení '!U85</f>
        <v>1099204</v>
      </c>
      <c r="V89" s="687">
        <f>'Hodnocení '!V85</f>
        <v>9233620</v>
      </c>
      <c r="W89" s="687">
        <f>'Hodnocení '!W85</f>
        <v>2379600</v>
      </c>
      <c r="X89" s="687">
        <f>'Hodnocení '!X85</f>
        <v>2304335.8095085779</v>
      </c>
      <c r="Y89" s="687">
        <f>'Hodnocení '!Y85</f>
        <v>1969745.4492107111</v>
      </c>
      <c r="Z89" s="687">
        <f>'Hodnocení '!Z85</f>
        <v>7441924</v>
      </c>
      <c r="AA89" s="687">
        <f>'Hodnocení '!AA85</f>
        <v>4244705.4490248738</v>
      </c>
      <c r="AB89" s="687">
        <f>'Hodnocení '!AB85</f>
        <v>3678130.7057224135</v>
      </c>
      <c r="AC89" s="687">
        <f>'Hodnocení '!AC85</f>
        <v>481158.31194833241</v>
      </c>
      <c r="AD89" s="687">
        <f>'Hodnocení '!AD85</f>
        <v>2590229.1206235653</v>
      </c>
      <c r="AE89" s="687">
        <f>'Hodnocení '!AE85</f>
        <v>103737.52589894389</v>
      </c>
      <c r="AF89" s="687">
        <f>'Hodnocení '!AF85</f>
        <v>1219244.9295379582</v>
      </c>
      <c r="AG89" s="687">
        <f>'Hodnocení '!AG85</f>
        <v>3450812.7548698969</v>
      </c>
      <c r="AH89" s="687">
        <f>'Hodnocení '!AH85</f>
        <v>807300</v>
      </c>
      <c r="AI89" s="687">
        <f>'Hodnocení '!AI85</f>
        <v>4368180</v>
      </c>
      <c r="AJ89" s="687">
        <f>'Hodnocení '!AJ85</f>
        <v>2788040</v>
      </c>
      <c r="AK89" s="687">
        <f>'Hodnocení '!AK85</f>
        <v>1383868</v>
      </c>
      <c r="AL89" s="687">
        <f>'Hodnocení '!AL85</f>
        <v>1952909.1633510776</v>
      </c>
      <c r="AM89" s="687">
        <f>'Hodnocení '!AM85</f>
        <v>1499708.3726341231</v>
      </c>
      <c r="AN89" s="687">
        <f>'Hodnocení '!AN85</f>
        <v>1148955.198498779</v>
      </c>
      <c r="AO89" s="687">
        <f>'Hodnocení '!AO85</f>
        <v>4903755.5596356187</v>
      </c>
      <c r="AP89" s="687">
        <f>'Hodnocení '!AP85</f>
        <v>2124765.1162296012</v>
      </c>
      <c r="AQ89" s="687">
        <f>'Hodnocení '!AQ85</f>
        <v>688702.88446015073</v>
      </c>
      <c r="AR89" s="687">
        <f>'Hodnocení '!AR85</f>
        <v>1531740.3992508459</v>
      </c>
      <c r="AS89" s="687">
        <f>'Hodnocení '!AS85</f>
        <v>495253.22022333386</v>
      </c>
      <c r="AT89" s="687">
        <f>'Hodnocení '!AT85</f>
        <v>2498113.4323683418</v>
      </c>
      <c r="AU89" s="687">
        <f>'Hodnocení '!AU85</f>
        <v>992216.93946642126</v>
      </c>
      <c r="AV89" s="687">
        <f>'Hodnocení '!AV85</f>
        <v>2003660.6772952261</v>
      </c>
      <c r="AW89" s="687">
        <f>'Hodnocení '!AW85</f>
        <v>16112.012350120116</v>
      </c>
      <c r="AX89" s="687">
        <f>'Hodnocení '!AX85</f>
        <v>3240135.311080751</v>
      </c>
      <c r="AY89" s="687">
        <f>'Hodnocení '!AY85</f>
        <v>3300190.5406568907</v>
      </c>
      <c r="AZ89" s="687">
        <f>'Hodnocení '!AZ85</f>
        <v>3434507</v>
      </c>
      <c r="BA89" s="687">
        <f>'Hodnocení '!BA85</f>
        <v>9913000</v>
      </c>
      <c r="BB89" s="687">
        <f>'Hodnocení '!BB85</f>
        <v>1329742.5807072239</v>
      </c>
      <c r="BC89" s="687">
        <f>'Hodnocení '!BC85</f>
        <v>1223742.4938025323</v>
      </c>
      <c r="BD89" s="687">
        <f>'Hodnocení '!BD85</f>
        <v>1916258.3325785431</v>
      </c>
      <c r="BE89" s="687">
        <f>'Hodnocení '!BE85</f>
        <v>0</v>
      </c>
      <c r="BF89" s="687">
        <f>'Hodnocení '!BF85</f>
        <v>2669371.3941904306</v>
      </c>
      <c r="BG89" s="687">
        <f>'Hodnocení '!BG85</f>
        <v>3342000</v>
      </c>
      <c r="BH89" s="687">
        <f>'Hodnocení '!BH85</f>
        <v>3388109.2415605099</v>
      </c>
      <c r="BI89" s="687">
        <f>'Hodnocení '!BI85</f>
        <v>2370000</v>
      </c>
      <c r="BJ89" s="687">
        <f>'Hodnocení '!BJ85</f>
        <v>2734458.8535647267</v>
      </c>
      <c r="BK89" s="687">
        <f>'Hodnocení '!BK85</f>
        <v>185490.09231459786</v>
      </c>
      <c r="BL89" s="687">
        <f>'Hodnocení '!BL85</f>
        <v>455138.49500087276</v>
      </c>
      <c r="BM89" s="687">
        <f>'Hodnocení '!BM85</f>
        <v>2033799.04</v>
      </c>
      <c r="BN89" s="687">
        <f>'Hodnocení '!BN85</f>
        <v>1657101.9931537434</v>
      </c>
      <c r="BO89" s="687">
        <f>'Hodnocení '!BO85</f>
        <v>1051279.6524752458</v>
      </c>
      <c r="BP89" s="687">
        <f>'Hodnocení '!BP85</f>
        <v>4652080</v>
      </c>
      <c r="BQ89" s="687">
        <f>'Hodnocení '!BQ85</f>
        <v>66564.165662464104</v>
      </c>
      <c r="BR89" s="687">
        <f>'Hodnocení '!BR85</f>
        <v>1288942.0242748552</v>
      </c>
      <c r="BS89" s="687">
        <f>'Hodnocení '!BS85</f>
        <v>1310282.2989678741</v>
      </c>
      <c r="BT89" s="687">
        <f>'Hodnocení '!BT85</f>
        <v>914160.26616723067</v>
      </c>
      <c r="BU89" s="687">
        <f>'Hodnocení '!BU85</f>
        <v>3939338</v>
      </c>
      <c r="BV89" s="687">
        <f>'Hodnocení '!BV85</f>
        <v>1177908.0353182531</v>
      </c>
      <c r="BW89" s="687">
        <f>'Hodnocení '!BW85</f>
        <v>532683</v>
      </c>
      <c r="BX89" s="687">
        <f>'Hodnocení '!BX85</f>
        <v>4708889.1910633538</v>
      </c>
      <c r="BY89" s="687">
        <f>'Hodnocení '!BY85</f>
        <v>1520144</v>
      </c>
      <c r="BZ89" s="687">
        <f>'Hodnocení '!BZ85</f>
        <v>324150</v>
      </c>
      <c r="CA89" s="687">
        <f>'Hodnocení '!CA85</f>
        <v>0</v>
      </c>
      <c r="CB89" s="687">
        <f>'Hodnocení '!CB85</f>
        <v>571519.10142146726</v>
      </c>
      <c r="CC89" s="687">
        <f>'Hodnocení '!CC85</f>
        <v>2238055.6625416637</v>
      </c>
      <c r="CD89" s="687">
        <f>'Hodnocení '!CD85</f>
        <v>661848.21685573971</v>
      </c>
      <c r="CE89" s="687">
        <f>'Hodnocení '!CE85</f>
        <v>9715050.1253167707</v>
      </c>
      <c r="CF89" s="687">
        <f>'Hodnocení '!CF85</f>
        <v>4453617.8393289512</v>
      </c>
      <c r="CG89" s="687">
        <f>'Hodnocení '!CG85</f>
        <v>231159.49607044645</v>
      </c>
      <c r="CH89" s="687">
        <f>'Hodnocení '!CH85</f>
        <v>0</v>
      </c>
      <c r="CI89" s="687">
        <f>'Hodnocení '!CI85</f>
        <v>21633.155796868727</v>
      </c>
      <c r="CJ89" s="687">
        <f>'Hodnocení '!CJ85</f>
        <v>3854195.0818283353</v>
      </c>
      <c r="CK89" s="687">
        <f>'Hodnocení '!CK85</f>
        <v>4571780</v>
      </c>
      <c r="CL89" s="687">
        <f>'Hodnocení '!CL85</f>
        <v>56438.59728209069</v>
      </c>
      <c r="CM89" s="687">
        <f>'Hodnocení '!CM85</f>
        <v>6012336.4399863137</v>
      </c>
      <c r="CN89" s="687">
        <f>'Hodnocení '!CN85</f>
        <v>1342009.9127194914</v>
      </c>
      <c r="CO89" s="687">
        <f>'Hodnocení '!CO85</f>
        <v>1214500</v>
      </c>
      <c r="CP89" s="687">
        <f>'Hodnocení '!CP85</f>
        <v>1268807.7168003041</v>
      </c>
      <c r="CQ89" s="687">
        <f>'Hodnocení '!CQ85</f>
        <v>5515036.573718125</v>
      </c>
      <c r="CR89" s="687">
        <f>'Hodnocení '!CR85</f>
        <v>2367817</v>
      </c>
      <c r="CS89" s="687">
        <f>'Hodnocení '!CS85</f>
        <v>187555.67419309285</v>
      </c>
      <c r="CT89" s="687">
        <f>'Hodnocení '!CT85</f>
        <v>0</v>
      </c>
      <c r="CU89" s="687">
        <f>'Hodnocení '!CU85</f>
        <v>1974027.6887355854</v>
      </c>
      <c r="CV89" s="687">
        <f>'Hodnocení '!CV85</f>
        <v>5829564.9151897766</v>
      </c>
      <c r="CW89" s="687">
        <f>'Hodnocení '!CW85</f>
        <v>445664.10646689229</v>
      </c>
      <c r="CX89" s="687">
        <f>'Hodnocení '!CX85</f>
        <v>3686532</v>
      </c>
      <c r="CY89" s="687">
        <f>'Hodnocení '!CY85</f>
        <v>2881083.2839012085</v>
      </c>
      <c r="CZ89" s="687">
        <f>'Hodnocení '!CZ85</f>
        <v>446100</v>
      </c>
      <c r="DA89" s="687">
        <f>'Hodnocení '!DA85</f>
        <v>8578781.7210858986</v>
      </c>
      <c r="DB89" s="687">
        <f>'Hodnocení '!DB85</f>
        <v>801256.55127554876</v>
      </c>
      <c r="DC89" s="687">
        <f>'Hodnocení '!DC85</f>
        <v>1952214.4635382525</v>
      </c>
      <c r="DD89" s="687">
        <f>'Hodnocení '!DD85</f>
        <v>428740.05018450413</v>
      </c>
      <c r="DE89" s="687">
        <f>'Hodnocení '!DE85</f>
        <v>1595404.8713862468</v>
      </c>
      <c r="DF89" s="687">
        <f>'Hodnocení '!DF85</f>
        <v>7381996.8713862468</v>
      </c>
      <c r="DG89" s="687">
        <f>'Hodnocení '!DG85</f>
        <v>802938.16515118408</v>
      </c>
      <c r="DH89" s="687">
        <f>'Hodnocení '!DH85</f>
        <v>908244.44020215096</v>
      </c>
      <c r="DI89" s="687">
        <f>'Hodnocení '!DI85</f>
        <v>0</v>
      </c>
      <c r="DJ89" s="687">
        <f>'Hodnocení '!DJ85</f>
        <v>65990.976314039901</v>
      </c>
      <c r="DK89" s="687">
        <f>'Hodnocení '!DK85</f>
        <v>224452.83531246078</v>
      </c>
      <c r="DL89" s="687">
        <f>'Hodnocení '!DL85</f>
        <v>4094296.2218004535</v>
      </c>
      <c r="DM89" s="687">
        <f>'Hodnocení '!DM85</f>
        <v>1966503.0838138557</v>
      </c>
      <c r="DN89" s="687">
        <f>'Hodnocení '!DN85</f>
        <v>4052035.7644601618</v>
      </c>
      <c r="DO89" s="687">
        <f>'Hodnocení '!DO85</f>
        <v>1402300.3922101089</v>
      </c>
      <c r="DP89" s="687">
        <f>'Hodnocení '!DP85</f>
        <v>4045363.78</v>
      </c>
      <c r="DQ89" s="687">
        <f>'Hodnocení '!DQ85</f>
        <v>4329795</v>
      </c>
      <c r="DR89" s="687">
        <f>'Hodnocení '!DR85</f>
        <v>4985313.5</v>
      </c>
      <c r="DS89" s="687">
        <f>'Hodnocení '!DS85</f>
        <v>1625552.2365860054</v>
      </c>
      <c r="DT89" s="687">
        <f>'Hodnocení '!DT85</f>
        <v>3379864.0513730422</v>
      </c>
      <c r="DU89" s="687">
        <f>'Hodnocení '!DU85</f>
        <v>35402.15315866132</v>
      </c>
      <c r="DV89" s="687">
        <f>'Hodnocení '!DV85</f>
        <v>6440000</v>
      </c>
      <c r="DW89" s="687">
        <f>'Hodnocení '!DW85</f>
        <v>368896.922364717</v>
      </c>
      <c r="DX89" s="687">
        <f>'Hodnocení '!DX85</f>
        <v>0</v>
      </c>
      <c r="DY89" s="687">
        <f>'Hodnocení '!DY85</f>
        <v>4581142.7504826486</v>
      </c>
      <c r="DZ89" s="687">
        <f>'Hodnocení '!DZ85</f>
        <v>723925.6888148766</v>
      </c>
      <c r="EA89" s="687">
        <f>'Hodnocení '!EA85</f>
        <v>4141440.9263814236</v>
      </c>
      <c r="EB89" s="687">
        <f>'Hodnocení '!EB85</f>
        <v>5751412.8583436497</v>
      </c>
      <c r="EC89" s="687">
        <f>'Hodnocení '!EC85</f>
        <v>3507637.7512384658</v>
      </c>
      <c r="ED89" s="687">
        <f>'Hodnocení '!ED85</f>
        <v>3789855.4215401057</v>
      </c>
      <c r="EE89" s="687">
        <f>'Hodnocení '!EE85</f>
        <v>750052.03204477963</v>
      </c>
      <c r="EF89" s="687">
        <f>'Hodnocení '!EF85</f>
        <v>886973.84315981728</v>
      </c>
      <c r="EG89" s="687">
        <f>'Hodnocení '!EG85</f>
        <v>440614.21022333385</v>
      </c>
      <c r="EH89" s="687">
        <f>'Hodnocení '!EH85</f>
        <v>766109.30758974701</v>
      </c>
      <c r="EI89" s="687">
        <f>'Hodnocení '!EI85</f>
        <v>1178000</v>
      </c>
      <c r="EJ89" s="687">
        <f>'Hodnocení '!EJ85</f>
        <v>0</v>
      </c>
      <c r="EK89" s="687">
        <f>'Hodnocení '!EK85</f>
        <v>3932042</v>
      </c>
      <c r="EL89" s="687">
        <f>'Hodnocení '!EL85</f>
        <v>8896075.9201217424</v>
      </c>
      <c r="EM89" s="687">
        <f>'Hodnocení '!EM85</f>
        <v>2817690.3194428757</v>
      </c>
      <c r="EN89" s="687">
        <f>'Hodnocení '!EN85</f>
        <v>2639613.8452645098</v>
      </c>
      <c r="EO89" s="687">
        <f>'Hodnocení '!EO85</f>
        <v>326536.14681555587</v>
      </c>
      <c r="EP89" s="687">
        <f>'Hodnocení '!EP85</f>
        <v>3336103.6776025575</v>
      </c>
      <c r="EQ89" s="687">
        <f>'Hodnocení '!EQ85</f>
        <v>2318152.5044244276</v>
      </c>
      <c r="ER89" s="687">
        <f>'Hodnocení '!ER85</f>
        <v>6886000</v>
      </c>
      <c r="ES89" s="687">
        <f>'Hodnocení '!ES85</f>
        <v>2889369.4473401564</v>
      </c>
      <c r="ET89" s="687">
        <f>'Hodnocení '!ET85</f>
        <v>1009463.051162631</v>
      </c>
      <c r="EU89" s="687">
        <f>'Hodnocení '!EU85</f>
        <v>2855783.9144364195</v>
      </c>
      <c r="EV89" s="687">
        <f>'Hodnocení '!EV85</f>
        <v>477773.51077815378</v>
      </c>
      <c r="EW89" s="687">
        <f>'Hodnocení '!EW85</f>
        <v>2713993.2555374205</v>
      </c>
      <c r="EX89" s="687">
        <f>'Hodnocení '!EX85</f>
        <v>6400000</v>
      </c>
      <c r="EY89" s="687">
        <f>'Hodnocení '!EY85</f>
        <v>2210257.3620478925</v>
      </c>
      <c r="EZ89" s="687">
        <f>'Hodnocení '!EZ85</f>
        <v>0</v>
      </c>
      <c r="FA89" s="687">
        <f>'Hodnocení '!FA85</f>
        <v>1647298.424768026</v>
      </c>
      <c r="FB89" s="687">
        <f>'Hodnocení '!FB85</f>
        <v>190221.06476100069</v>
      </c>
      <c r="FC89" s="687">
        <f>'Hodnocení '!FC85</f>
        <v>3419615.4215486925</v>
      </c>
      <c r="FD89" s="687">
        <f>'Hodnocení '!FD85</f>
        <v>0</v>
      </c>
      <c r="FE89" s="687">
        <f>'Hodnocení '!FE85</f>
        <v>381240.58884631132</v>
      </c>
      <c r="FF89" s="687">
        <f>'Hodnocení '!FF85</f>
        <v>1561200</v>
      </c>
      <c r="FG89" s="687">
        <f>'Hodnocení '!FG85</f>
        <v>7803422.0195525251</v>
      </c>
      <c r="FH89" s="687">
        <f>'Hodnocení '!FH85</f>
        <v>6553103</v>
      </c>
      <c r="FI89" s="687">
        <f>'Hodnocení '!FI85</f>
        <v>8524349.6009144802</v>
      </c>
      <c r="FJ89" s="687">
        <f>'Hodnocení '!FJ85</f>
        <v>2005186.3777589942</v>
      </c>
      <c r="FK89" s="687">
        <f>'Hodnocení '!FK85</f>
        <v>162146.33952499987</v>
      </c>
      <c r="FL89" s="687">
        <f>'Hodnocení '!FL85</f>
        <v>345739.50473852799</v>
      </c>
      <c r="FM89" s="687">
        <f>'Hodnocení '!FM85</f>
        <v>1211428.2197958948</v>
      </c>
      <c r="FN89" s="687">
        <f>'Hodnocení '!FN85</f>
        <v>7374936.4799554544</v>
      </c>
      <c r="FO89" s="687">
        <f>'Hodnocení '!FO85</f>
        <v>1788495</v>
      </c>
      <c r="FP89" s="687">
        <f>'Hodnocení '!FP85</f>
        <v>13683456</v>
      </c>
      <c r="FQ89" s="687">
        <f>'Hodnocení '!FQ85</f>
        <v>2074686</v>
      </c>
      <c r="FR89" s="687">
        <f>'Hodnocení '!FR85</f>
        <v>236957.19834991742</v>
      </c>
      <c r="FS89" s="687">
        <f>'Hodnocení '!FS85</f>
        <v>494433</v>
      </c>
      <c r="FT89" s="687">
        <f>'Hodnocení '!FT85</f>
        <v>3530099.8824291308</v>
      </c>
      <c r="FU89" s="687">
        <f>'Hodnocení '!FU85</f>
        <v>499359.40444292722</v>
      </c>
      <c r="FV89" s="687">
        <f>'Hodnocení '!FV85</f>
        <v>646327.31987489713</v>
      </c>
      <c r="FW89" s="687">
        <f>'Hodnocení '!FW85</f>
        <v>1035960.1804257705</v>
      </c>
      <c r="FX89" s="687">
        <f>'Hodnocení '!FX85</f>
        <v>430673.10336206749</v>
      </c>
      <c r="FY89" s="687">
        <f>'Hodnocení '!FY85</f>
        <v>246995.98079860391</v>
      </c>
      <c r="FZ89" s="687">
        <f>'Hodnocení '!FZ85</f>
        <v>2937555.0490599889</v>
      </c>
      <c r="GA89" s="687">
        <f>'Hodnocení '!GA85</f>
        <v>281420.48958755797</v>
      </c>
      <c r="GB89" s="687">
        <f>'Hodnocení '!GB85</f>
        <v>2917014.4862977713</v>
      </c>
      <c r="GC89" s="687">
        <f>'Hodnocení '!GC85</f>
        <v>2357524.5564913559</v>
      </c>
      <c r="GD89" s="687">
        <f>'Hodnocení '!GD85</f>
        <v>9104264.2537725493</v>
      </c>
      <c r="GE89" s="687">
        <f>'Hodnocení '!GE85</f>
        <v>263290.93400108395</v>
      </c>
      <c r="GF89" s="687">
        <f>'Hodnocení '!GF85</f>
        <v>4128600.1778761428</v>
      </c>
      <c r="GG89" s="687">
        <f>'Hodnocení '!GG85</f>
        <v>1235672.3627191633</v>
      </c>
      <c r="GH89" s="687">
        <f>'Hodnocení '!GH85</f>
        <v>1220741.4312772285</v>
      </c>
      <c r="GI89" s="687">
        <f>'Hodnocení '!GI85</f>
        <v>8873249.0869674683</v>
      </c>
      <c r="GJ89" s="687">
        <f>'Hodnocení '!GJ85</f>
        <v>1990329.9452906616</v>
      </c>
      <c r="GK89" s="687">
        <f>'Hodnocení '!GK85</f>
        <v>1370636.9297263294</v>
      </c>
      <c r="GL89" s="687">
        <f>'Hodnocení '!GL85</f>
        <v>528275.13645609829</v>
      </c>
      <c r="GM89" s="687">
        <f>'Hodnocení '!GM85</f>
        <v>760375.53055552836</v>
      </c>
      <c r="GN89" s="687">
        <f>'Hodnocení '!GN85</f>
        <v>842800.96011215367</v>
      </c>
      <c r="GO89" s="687">
        <f>'Hodnocení '!GO85</f>
        <v>5065040.3832739424</v>
      </c>
      <c r="GP89" s="687">
        <f>'Hodnocení '!GP85</f>
        <v>546320.06174100889</v>
      </c>
      <c r="GQ89" s="687">
        <f>'Hodnocení '!GQ85</f>
        <v>392074.32871686108</v>
      </c>
      <c r="GR89" s="687">
        <f>'Hodnocení '!GR85</f>
        <v>727124.60565148341</v>
      </c>
      <c r="GS89" s="687">
        <f>'Hodnocení '!GS85</f>
        <v>500.38357740390347</v>
      </c>
      <c r="GT89" s="687">
        <f>'Hodnocení '!GT85</f>
        <v>9374987.532092277</v>
      </c>
      <c r="GU89" s="687">
        <f>'Hodnocení '!GU85</f>
        <v>1124440</v>
      </c>
      <c r="GV89" s="687">
        <f>'Hodnocení '!GV85</f>
        <v>5826176.6456662463</v>
      </c>
      <c r="GW89" s="687">
        <f>'Hodnocení '!GW85</f>
        <v>1046192.6315910704</v>
      </c>
      <c r="GX89" s="687">
        <f>'Hodnocení '!GX85</f>
        <v>214376.4071474073</v>
      </c>
      <c r="GY89" s="687">
        <f>'Hodnocení '!GY85</f>
        <v>13503975</v>
      </c>
      <c r="GZ89" s="687">
        <f>'Hodnocení '!GZ85</f>
        <v>0</v>
      </c>
      <c r="HA89" s="687">
        <f>'Hodnocení '!HA85</f>
        <v>5787297.7336099232</v>
      </c>
      <c r="HB89" s="687">
        <f>'Hodnocení '!HB85</f>
        <v>2721504.0990156494</v>
      </c>
      <c r="HC89" s="687">
        <f>'Hodnocení '!HC85</f>
        <v>6593000</v>
      </c>
      <c r="HD89" s="687">
        <f>'Hodnocení '!HD85</f>
        <v>2094993.1421770533</v>
      </c>
      <c r="HE89" s="687">
        <f>'Hodnocení '!HE85</f>
        <v>6790355</v>
      </c>
      <c r="HF89" s="687">
        <f>'Hodnocení '!HF85</f>
        <v>895469.6916607325</v>
      </c>
      <c r="HG89" s="687">
        <f>'Hodnocení '!HG85</f>
        <v>529024.14310522261</v>
      </c>
      <c r="HH89" s="687">
        <f>'Hodnocení '!HH85</f>
        <v>2034520.6688166854</v>
      </c>
      <c r="HI89" s="687">
        <f>'Hodnocení '!HI85</f>
        <v>1475373.7304534884</v>
      </c>
      <c r="HJ89" s="687">
        <f>'Hodnocení '!HJ85</f>
        <v>0</v>
      </c>
      <c r="HK89" s="687">
        <f>'Hodnocení '!HK85</f>
        <v>0</v>
      </c>
      <c r="HL89" s="687">
        <f>'Hodnocení '!HL85</f>
        <v>30761693.812790565</v>
      </c>
      <c r="HM89" s="687">
        <f>'Hodnocení '!HM85</f>
        <v>17375619.107148226</v>
      </c>
      <c r="HN89" s="687">
        <f>'Hodnocení '!HN85</f>
        <v>0</v>
      </c>
      <c r="HO89" s="687">
        <f>'Hodnocení '!HO85</f>
        <v>0</v>
      </c>
      <c r="HP89" s="687">
        <f>'Hodnocení '!HP85</f>
        <v>24549000</v>
      </c>
      <c r="HQ89" s="687">
        <f>'Hodnocení '!HQ85</f>
        <v>741876.88410925679</v>
      </c>
      <c r="HR89" s="687">
        <f>'Hodnocení '!HR85</f>
        <v>26307120.308611114</v>
      </c>
      <c r="HS89" s="687">
        <f>'Hodnocení '!HS85</f>
        <v>5169783.9315081565</v>
      </c>
      <c r="HT89" s="687">
        <f>'Hodnocení '!HT85</f>
        <v>11933469.590470783</v>
      </c>
      <c r="HU89" s="687">
        <f>'Hodnocení '!HU85</f>
        <v>21402219.005208258</v>
      </c>
      <c r="HV89" s="687">
        <f>'Hodnocení '!HV85</f>
        <v>16235000</v>
      </c>
      <c r="HW89" s="687">
        <f>'Hodnocení '!HW85</f>
        <v>3919370.5898645641</v>
      </c>
      <c r="HX89" s="687">
        <f>'Hodnocení '!HX85</f>
        <v>18161270.751516331</v>
      </c>
      <c r="HY89" s="687">
        <f>'Hodnocení '!HY85</f>
        <v>13682282.173444685</v>
      </c>
      <c r="HZ89" s="687">
        <f>'Hodnocení '!HZ85</f>
        <v>8152004.9776938297</v>
      </c>
      <c r="IA89" s="687">
        <f>'Hodnocení '!IA85</f>
        <v>7301880</v>
      </c>
      <c r="IB89" s="687">
        <f>'Hodnocení '!IB85</f>
        <v>7053113.9004964307</v>
      </c>
      <c r="IC89" s="687">
        <f>'Hodnocení '!IC85</f>
        <v>10674008.544329325</v>
      </c>
      <c r="ID89" s="687">
        <f>'Hodnocení '!ID85</f>
        <v>9245491.4556706771</v>
      </c>
      <c r="IE89" s="687">
        <f>'Hodnocení '!IE85</f>
        <v>16339059.517665572</v>
      </c>
      <c r="IF89" s="687">
        <f>'Hodnocení '!IF85</f>
        <v>9536477.0290661398</v>
      </c>
      <c r="IG89" s="687">
        <f>'Hodnocení '!IG85</f>
        <v>2933375.6317034722</v>
      </c>
      <c r="IH89" s="687">
        <f>'Hodnocení '!IH85</f>
        <v>2754925.3965619346</v>
      </c>
      <c r="II89" s="687">
        <f>'Hodnocení '!II85</f>
        <v>13600590.884602016</v>
      </c>
      <c r="IJ89" s="687">
        <f>'Hodnocení '!IJ85</f>
        <v>1498802.9614382302</v>
      </c>
      <c r="IK89" s="687">
        <f>'Hodnocení '!IK85</f>
        <v>0</v>
      </c>
      <c r="IL89" s="687">
        <f>'Hodnocení '!IL85</f>
        <v>7452880.700098794</v>
      </c>
      <c r="IM89" s="687">
        <f>'Hodnocení '!IM85</f>
        <v>405690.41450255323</v>
      </c>
      <c r="IN89" s="687">
        <f>'Hodnocení '!IN85</f>
        <v>7727035.4094753135</v>
      </c>
      <c r="IO89" s="687">
        <f>'Hodnocení '!IO85</f>
        <v>2937234.2027475811</v>
      </c>
      <c r="IP89" s="687">
        <f>'Hodnocení '!IP85</f>
        <v>15898527.177580558</v>
      </c>
      <c r="IQ89" s="687">
        <f>'Hodnocení '!IQ85</f>
        <v>15277805.971261885</v>
      </c>
      <c r="IR89" s="687">
        <f>'Hodnocení '!IR85</f>
        <v>724453.92066790513</v>
      </c>
      <c r="IS89" s="687">
        <f>'Hodnocení '!IS85</f>
        <v>39300970.247079559</v>
      </c>
      <c r="IT89" s="687">
        <f>'Hodnocení '!IT85</f>
        <v>10200629.752920441</v>
      </c>
      <c r="IU89" s="687">
        <f>'Hodnocení '!IU85</f>
        <v>2493818.6416824842</v>
      </c>
      <c r="IV89" s="687">
        <f>'Hodnocení '!IV85</f>
        <v>6028974.6999564655</v>
      </c>
      <c r="IW89" s="687">
        <f>'Hodnocení '!IW85</f>
        <v>9603217.8554380648</v>
      </c>
      <c r="IX89" s="687">
        <f>'Hodnocení '!IX85</f>
        <v>1461297.0388339385</v>
      </c>
      <c r="IY89" s="687">
        <f>'Hodnocení '!IY85</f>
        <v>9038417.5244776495</v>
      </c>
      <c r="IZ89" s="687">
        <f>'Hodnocení '!IZ85</f>
        <v>20084142.981107548</v>
      </c>
      <c r="JA89" s="687">
        <f>'Hodnocení '!JA85</f>
        <v>2265868.3397293384</v>
      </c>
      <c r="JB89" s="687">
        <f>'Hodnocení '!JB85</f>
        <v>2813788.9601571974</v>
      </c>
      <c r="JC89" s="687">
        <f>'Hodnocení '!JC85</f>
        <v>1445737.3693524669</v>
      </c>
      <c r="JD89" s="687">
        <f>'Hodnocení '!JD85</f>
        <v>5734651.4754739245</v>
      </c>
      <c r="JE89" s="687">
        <f>'Hodnocení '!JE85</f>
        <v>144589.10100252891</v>
      </c>
      <c r="JF89" s="687">
        <f>'Hodnocení '!JF85</f>
        <v>32317210.898997471</v>
      </c>
      <c r="JG89" s="687">
        <f>'Hodnocení '!JG85</f>
        <v>23398546.759965554</v>
      </c>
      <c r="JH89" s="782">
        <f>'Hodnocení '!JH85</f>
        <v>1432360.5197921393</v>
      </c>
      <c r="JI89" s="761">
        <f>'Hodnocení '!JI85</f>
        <v>1070776037.9421675</v>
      </c>
    </row>
    <row r="90" spans="1:276" hidden="1" x14ac:dyDescent="0.25">
      <c r="A90" s="353"/>
      <c r="B90" s="733"/>
      <c r="C90" s="360">
        <f>'Hodnocení '!C86</f>
        <v>0</v>
      </c>
      <c r="D90" s="357">
        <f>'Hodnocení '!D86</f>
        <v>0</v>
      </c>
      <c r="E90" s="357">
        <f>'Hodnocení '!E86</f>
        <v>0</v>
      </c>
      <c r="F90" s="357">
        <f>'Hodnocení '!F86</f>
        <v>0</v>
      </c>
      <c r="G90" s="357">
        <f>'Hodnocení '!G86</f>
        <v>0</v>
      </c>
      <c r="H90" s="357">
        <f>'Hodnocení '!H86</f>
        <v>0</v>
      </c>
      <c r="I90" s="357">
        <f>'Hodnocení '!I86</f>
        <v>0</v>
      </c>
      <c r="J90" s="357">
        <f>'Hodnocení '!J86</f>
        <v>0</v>
      </c>
      <c r="K90" s="357">
        <f>'Hodnocení '!K86</f>
        <v>0</v>
      </c>
      <c r="L90" s="357">
        <f>'Hodnocení '!L86</f>
        <v>0</v>
      </c>
      <c r="M90" s="357">
        <f>'Hodnocení '!M86</f>
        <v>0</v>
      </c>
      <c r="N90" s="357">
        <f>'Hodnocení '!N86</f>
        <v>0</v>
      </c>
      <c r="O90" s="357">
        <f>'Hodnocení '!O86</f>
        <v>0</v>
      </c>
      <c r="P90" s="357">
        <f>'Hodnocení '!P86</f>
        <v>0</v>
      </c>
      <c r="Q90" s="357">
        <f>'Hodnocení '!Q86</f>
        <v>0</v>
      </c>
      <c r="R90" s="357">
        <f>'Hodnocení '!R86</f>
        <v>0</v>
      </c>
      <c r="S90" s="357">
        <f>'Hodnocení '!S86</f>
        <v>0</v>
      </c>
      <c r="T90" s="357">
        <f>'Hodnocení '!T86</f>
        <v>0</v>
      </c>
      <c r="U90" s="357">
        <f>'Hodnocení '!U86</f>
        <v>0</v>
      </c>
      <c r="V90" s="357">
        <f>'Hodnocení '!V86</f>
        <v>0</v>
      </c>
      <c r="W90" s="357">
        <f>'Hodnocení '!W86</f>
        <v>0</v>
      </c>
      <c r="X90" s="357">
        <f>'Hodnocení '!X86</f>
        <v>0</v>
      </c>
      <c r="Y90" s="357">
        <f>'Hodnocení '!Y86</f>
        <v>0</v>
      </c>
      <c r="Z90" s="357">
        <f>'Hodnocení '!Z86</f>
        <v>0</v>
      </c>
      <c r="AA90" s="357">
        <f>'Hodnocení '!AA86</f>
        <v>0</v>
      </c>
      <c r="AB90" s="357">
        <f>'Hodnocení '!AB86</f>
        <v>0</v>
      </c>
      <c r="AC90" s="357">
        <f>'Hodnocení '!AC86</f>
        <v>0</v>
      </c>
      <c r="AD90" s="357">
        <f>'Hodnocení '!AD86</f>
        <v>0</v>
      </c>
      <c r="AE90" s="357">
        <f>'Hodnocení '!AE86</f>
        <v>0</v>
      </c>
      <c r="AF90" s="357">
        <f>'Hodnocení '!AF86</f>
        <v>0</v>
      </c>
      <c r="AG90" s="357">
        <f>'Hodnocení '!AG86</f>
        <v>0</v>
      </c>
      <c r="AH90" s="357">
        <f>'Hodnocení '!AH86</f>
        <v>0</v>
      </c>
      <c r="AI90" s="357">
        <f>'Hodnocení '!AI86</f>
        <v>0</v>
      </c>
      <c r="AJ90" s="357">
        <f>'Hodnocení '!AJ86</f>
        <v>0</v>
      </c>
      <c r="AK90" s="357">
        <f>'Hodnocení '!AK86</f>
        <v>0</v>
      </c>
      <c r="AL90" s="357">
        <f>'Hodnocení '!AL86</f>
        <v>0</v>
      </c>
      <c r="AM90" s="357">
        <f>'Hodnocení '!AM86</f>
        <v>0</v>
      </c>
      <c r="AN90" s="357">
        <f>'Hodnocení '!AN86</f>
        <v>0</v>
      </c>
      <c r="AO90" s="357">
        <f>'Hodnocení '!AO86</f>
        <v>0</v>
      </c>
      <c r="AP90" s="357">
        <f>'Hodnocení '!AP86</f>
        <v>0</v>
      </c>
      <c r="AQ90" s="357">
        <f>'Hodnocení '!AQ86</f>
        <v>0</v>
      </c>
      <c r="AR90" s="357">
        <f>'Hodnocení '!AR86</f>
        <v>0</v>
      </c>
      <c r="AS90" s="357">
        <f>'Hodnocení '!AS86</f>
        <v>0</v>
      </c>
      <c r="AT90" s="357">
        <f>'Hodnocení '!AT86</f>
        <v>0</v>
      </c>
      <c r="AU90" s="357">
        <f>'Hodnocení '!AU86</f>
        <v>0</v>
      </c>
      <c r="AV90" s="357">
        <f>'Hodnocení '!AV86</f>
        <v>0</v>
      </c>
      <c r="AW90" s="357">
        <f>'Hodnocení '!AW86</f>
        <v>0</v>
      </c>
      <c r="AX90" s="357">
        <f>'Hodnocení '!AX86</f>
        <v>0</v>
      </c>
      <c r="AY90" s="357">
        <f>'Hodnocení '!AY86</f>
        <v>0</v>
      </c>
      <c r="AZ90" s="357">
        <f>'Hodnocení '!AZ86</f>
        <v>0</v>
      </c>
      <c r="BA90" s="357">
        <f>'Hodnocení '!BA86</f>
        <v>0</v>
      </c>
      <c r="BB90" s="357">
        <f>'Hodnocení '!BB86</f>
        <v>0</v>
      </c>
      <c r="BC90" s="357">
        <f>'Hodnocení '!BC86</f>
        <v>0</v>
      </c>
      <c r="BD90" s="357">
        <f>'Hodnocení '!BD86</f>
        <v>0</v>
      </c>
      <c r="BE90" s="357">
        <f>'Hodnocení '!BE86</f>
        <v>0</v>
      </c>
      <c r="BF90" s="357">
        <f>'Hodnocení '!BF86</f>
        <v>0</v>
      </c>
      <c r="BG90" s="357">
        <f>'Hodnocení '!BG86</f>
        <v>0</v>
      </c>
      <c r="BH90" s="357">
        <f>'Hodnocení '!BH86</f>
        <v>0</v>
      </c>
      <c r="BI90" s="357">
        <f>'Hodnocení '!BI86</f>
        <v>0</v>
      </c>
      <c r="BJ90" s="357">
        <f>'Hodnocení '!BJ86</f>
        <v>0</v>
      </c>
      <c r="BK90" s="357">
        <f>'Hodnocení '!BK86</f>
        <v>0</v>
      </c>
      <c r="BL90" s="357">
        <f>'Hodnocení '!BL86</f>
        <v>0</v>
      </c>
      <c r="BM90" s="357">
        <f>'Hodnocení '!BM86</f>
        <v>0</v>
      </c>
      <c r="BN90" s="357">
        <f>'Hodnocení '!BN86</f>
        <v>0</v>
      </c>
      <c r="BO90" s="357">
        <f>'Hodnocení '!BO86</f>
        <v>0</v>
      </c>
      <c r="BP90" s="357">
        <f>'Hodnocení '!BP86</f>
        <v>0</v>
      </c>
      <c r="BQ90" s="357">
        <f>'Hodnocení '!BQ86</f>
        <v>0</v>
      </c>
      <c r="BR90" s="357">
        <f>'Hodnocení '!BR86</f>
        <v>0</v>
      </c>
      <c r="BS90" s="357">
        <f>'Hodnocení '!BS86</f>
        <v>0</v>
      </c>
      <c r="BT90" s="357">
        <f>'Hodnocení '!BT86</f>
        <v>0</v>
      </c>
      <c r="BU90" s="357">
        <f>'Hodnocení '!BU86</f>
        <v>0</v>
      </c>
      <c r="BV90" s="357">
        <f>'Hodnocení '!BV86</f>
        <v>0</v>
      </c>
      <c r="BW90" s="357">
        <f>'Hodnocení '!BW86</f>
        <v>0</v>
      </c>
      <c r="BX90" s="357">
        <f>'Hodnocení '!BX86</f>
        <v>0</v>
      </c>
      <c r="BY90" s="357">
        <f>'Hodnocení '!BY86</f>
        <v>0</v>
      </c>
      <c r="BZ90" s="357">
        <f>'Hodnocení '!BZ86</f>
        <v>0</v>
      </c>
      <c r="CA90" s="357">
        <f>'Hodnocení '!CA86</f>
        <v>0</v>
      </c>
      <c r="CB90" s="357">
        <f>'Hodnocení '!CB86</f>
        <v>0</v>
      </c>
      <c r="CC90" s="357">
        <f>'Hodnocení '!CC86</f>
        <v>0</v>
      </c>
      <c r="CD90" s="357">
        <f>'Hodnocení '!CD86</f>
        <v>0</v>
      </c>
      <c r="CE90" s="357">
        <f>'Hodnocení '!CE86</f>
        <v>0</v>
      </c>
      <c r="CF90" s="357">
        <f>'Hodnocení '!CF86</f>
        <v>0</v>
      </c>
      <c r="CG90" s="357">
        <f>'Hodnocení '!CG86</f>
        <v>0</v>
      </c>
      <c r="CH90" s="357">
        <f>'Hodnocení '!CH86</f>
        <v>0</v>
      </c>
      <c r="CI90" s="357">
        <f>'Hodnocení '!CI86</f>
        <v>0</v>
      </c>
      <c r="CJ90" s="357">
        <f>'Hodnocení '!CJ86</f>
        <v>0</v>
      </c>
      <c r="CK90" s="357">
        <f>'Hodnocení '!CK86</f>
        <v>0</v>
      </c>
      <c r="CL90" s="357">
        <f>'Hodnocení '!CL86</f>
        <v>0</v>
      </c>
      <c r="CM90" s="357">
        <f>'Hodnocení '!CM86</f>
        <v>0</v>
      </c>
      <c r="CN90" s="357">
        <f>'Hodnocení '!CN86</f>
        <v>0</v>
      </c>
      <c r="CO90" s="357">
        <f>'Hodnocení '!CO86</f>
        <v>0</v>
      </c>
      <c r="CP90" s="357">
        <f>'Hodnocení '!CP86</f>
        <v>0</v>
      </c>
      <c r="CQ90" s="357">
        <f>'Hodnocení '!CQ86</f>
        <v>0</v>
      </c>
      <c r="CR90" s="357">
        <f>'Hodnocení '!CR86</f>
        <v>0</v>
      </c>
      <c r="CS90" s="357">
        <f>'Hodnocení '!CS86</f>
        <v>0</v>
      </c>
      <c r="CT90" s="357">
        <f>'Hodnocení '!CT86</f>
        <v>0</v>
      </c>
      <c r="CU90" s="357">
        <f>'Hodnocení '!CU86</f>
        <v>0</v>
      </c>
      <c r="CV90" s="357">
        <f>'Hodnocení '!CV86</f>
        <v>0</v>
      </c>
      <c r="CW90" s="357">
        <f>'Hodnocení '!CW86</f>
        <v>0</v>
      </c>
      <c r="CX90" s="357">
        <f>'Hodnocení '!CX86</f>
        <v>0</v>
      </c>
      <c r="CY90" s="357">
        <f>'Hodnocení '!CY86</f>
        <v>0</v>
      </c>
      <c r="CZ90" s="357">
        <f>'Hodnocení '!CZ86</f>
        <v>0</v>
      </c>
      <c r="DA90" s="357">
        <f>'Hodnocení '!DA86</f>
        <v>0</v>
      </c>
      <c r="DB90" s="357">
        <f>'Hodnocení '!DB86</f>
        <v>0</v>
      </c>
      <c r="DC90" s="357">
        <f>'Hodnocení '!DC86</f>
        <v>0</v>
      </c>
      <c r="DD90" s="357">
        <f>'Hodnocení '!DD86</f>
        <v>0</v>
      </c>
      <c r="DE90" s="357">
        <f>'Hodnocení '!DE86</f>
        <v>0</v>
      </c>
      <c r="DF90" s="357">
        <f>'Hodnocení '!DF86</f>
        <v>0</v>
      </c>
      <c r="DG90" s="357">
        <f>'Hodnocení '!DG86</f>
        <v>0</v>
      </c>
      <c r="DH90" s="357">
        <f>'Hodnocení '!DH86</f>
        <v>0</v>
      </c>
      <c r="DI90" s="357">
        <f>'Hodnocení '!DI86</f>
        <v>0</v>
      </c>
      <c r="DJ90" s="357">
        <f>'Hodnocení '!DJ86</f>
        <v>0</v>
      </c>
      <c r="DK90" s="357">
        <f>'Hodnocení '!DK86</f>
        <v>0</v>
      </c>
      <c r="DL90" s="357">
        <f>'Hodnocení '!DL86</f>
        <v>0</v>
      </c>
      <c r="DM90" s="357">
        <f>'Hodnocení '!DM86</f>
        <v>0</v>
      </c>
      <c r="DN90" s="357">
        <f>'Hodnocení '!DN86</f>
        <v>0</v>
      </c>
      <c r="DO90" s="357">
        <f>'Hodnocení '!DO86</f>
        <v>0</v>
      </c>
      <c r="DP90" s="357">
        <f>'Hodnocení '!DP86</f>
        <v>0</v>
      </c>
      <c r="DQ90" s="357">
        <f>'Hodnocení '!DQ86</f>
        <v>0</v>
      </c>
      <c r="DR90" s="357">
        <f>'Hodnocení '!DR86</f>
        <v>0</v>
      </c>
      <c r="DS90" s="357">
        <f>'Hodnocení '!DS86</f>
        <v>0</v>
      </c>
      <c r="DT90" s="357">
        <f>'Hodnocení '!DT86</f>
        <v>0</v>
      </c>
      <c r="DU90" s="357">
        <f>'Hodnocení '!DU86</f>
        <v>0</v>
      </c>
      <c r="DV90" s="357">
        <f>'Hodnocení '!DV86</f>
        <v>0</v>
      </c>
      <c r="DW90" s="357">
        <f>'Hodnocení '!DW86</f>
        <v>0</v>
      </c>
      <c r="DX90" s="357">
        <f>'Hodnocení '!DX86</f>
        <v>0</v>
      </c>
      <c r="DY90" s="357">
        <f>'Hodnocení '!DY86</f>
        <v>0</v>
      </c>
      <c r="DZ90" s="357">
        <f>'Hodnocení '!DZ86</f>
        <v>0</v>
      </c>
      <c r="EA90" s="357">
        <f>'Hodnocení '!EA86</f>
        <v>0</v>
      </c>
      <c r="EB90" s="357">
        <f>'Hodnocení '!EB86</f>
        <v>0</v>
      </c>
      <c r="EC90" s="357">
        <f>'Hodnocení '!EC86</f>
        <v>0</v>
      </c>
      <c r="ED90" s="357">
        <f>'Hodnocení '!ED86</f>
        <v>0</v>
      </c>
      <c r="EE90" s="357">
        <f>'Hodnocení '!EE86</f>
        <v>0</v>
      </c>
      <c r="EF90" s="357">
        <f>'Hodnocení '!EF86</f>
        <v>0</v>
      </c>
      <c r="EG90" s="357">
        <f>'Hodnocení '!EG86</f>
        <v>0</v>
      </c>
      <c r="EH90" s="357">
        <f>'Hodnocení '!EH86</f>
        <v>0</v>
      </c>
      <c r="EI90" s="357">
        <f>'Hodnocení '!EI86</f>
        <v>0</v>
      </c>
      <c r="EJ90" s="357">
        <f>'Hodnocení '!EJ86</f>
        <v>0</v>
      </c>
      <c r="EK90" s="357">
        <f>'Hodnocení '!EK86</f>
        <v>0</v>
      </c>
      <c r="EL90" s="357">
        <f>'Hodnocení '!EL86</f>
        <v>0</v>
      </c>
      <c r="EM90" s="357">
        <f>'Hodnocení '!EM86</f>
        <v>0</v>
      </c>
      <c r="EN90" s="357">
        <f>'Hodnocení '!EN86</f>
        <v>0</v>
      </c>
      <c r="EO90" s="357">
        <f>'Hodnocení '!EO86</f>
        <v>0</v>
      </c>
      <c r="EP90" s="357">
        <f>'Hodnocení '!EP86</f>
        <v>0</v>
      </c>
      <c r="EQ90" s="357">
        <f>'Hodnocení '!EQ86</f>
        <v>0</v>
      </c>
      <c r="ER90" s="357">
        <f>'Hodnocení '!ER86</f>
        <v>0</v>
      </c>
      <c r="ES90" s="357">
        <f>'Hodnocení '!ES86</f>
        <v>0</v>
      </c>
      <c r="ET90" s="357">
        <f>'Hodnocení '!ET86</f>
        <v>0</v>
      </c>
      <c r="EU90" s="357">
        <f>'Hodnocení '!EU86</f>
        <v>0</v>
      </c>
      <c r="EV90" s="357">
        <f>'Hodnocení '!EV86</f>
        <v>0</v>
      </c>
      <c r="EW90" s="357">
        <f>'Hodnocení '!EW86</f>
        <v>0</v>
      </c>
      <c r="EX90" s="357">
        <f>'Hodnocení '!EX86</f>
        <v>0</v>
      </c>
      <c r="EY90" s="357">
        <f>'Hodnocení '!EY86</f>
        <v>0</v>
      </c>
      <c r="EZ90" s="357">
        <f>'Hodnocení '!EZ86</f>
        <v>0</v>
      </c>
      <c r="FA90" s="357">
        <f>'Hodnocení '!FA86</f>
        <v>0</v>
      </c>
      <c r="FB90" s="357">
        <f>'Hodnocení '!FB86</f>
        <v>0</v>
      </c>
      <c r="FC90" s="357">
        <f>'Hodnocení '!FC86</f>
        <v>0</v>
      </c>
      <c r="FD90" s="357">
        <f>'Hodnocení '!FD86</f>
        <v>0</v>
      </c>
      <c r="FE90" s="357">
        <f>'Hodnocení '!FE86</f>
        <v>0</v>
      </c>
      <c r="FF90" s="357">
        <f>'Hodnocení '!FF86</f>
        <v>0</v>
      </c>
      <c r="FG90" s="357">
        <f>'Hodnocení '!FG86</f>
        <v>0</v>
      </c>
      <c r="FH90" s="357">
        <f>'Hodnocení '!FH86</f>
        <v>0</v>
      </c>
      <c r="FI90" s="357">
        <f>'Hodnocení '!FI86</f>
        <v>0</v>
      </c>
      <c r="FJ90" s="357">
        <f>'Hodnocení '!FJ86</f>
        <v>0</v>
      </c>
      <c r="FK90" s="357">
        <f>'Hodnocení '!FK86</f>
        <v>0</v>
      </c>
      <c r="FL90" s="357">
        <f>'Hodnocení '!FL86</f>
        <v>0</v>
      </c>
      <c r="FM90" s="357">
        <f>'Hodnocení '!FM86</f>
        <v>0</v>
      </c>
      <c r="FN90" s="357">
        <f>'Hodnocení '!FN86</f>
        <v>0</v>
      </c>
      <c r="FO90" s="357">
        <f>'Hodnocení '!FO86</f>
        <v>0</v>
      </c>
      <c r="FP90" s="357">
        <f>'Hodnocení '!FP86</f>
        <v>0</v>
      </c>
      <c r="FQ90" s="357">
        <f>'Hodnocení '!FQ86</f>
        <v>0</v>
      </c>
      <c r="FR90" s="357">
        <f>'Hodnocení '!FR86</f>
        <v>0</v>
      </c>
      <c r="FS90" s="357">
        <f>'Hodnocení '!FS86</f>
        <v>0</v>
      </c>
      <c r="FT90" s="357">
        <f>'Hodnocení '!FT86</f>
        <v>0</v>
      </c>
      <c r="FU90" s="357">
        <f>'Hodnocení '!FU86</f>
        <v>0</v>
      </c>
      <c r="FV90" s="357">
        <f>'Hodnocení '!FV86</f>
        <v>0</v>
      </c>
      <c r="FW90" s="357">
        <f>'Hodnocení '!FW86</f>
        <v>0</v>
      </c>
      <c r="FX90" s="357">
        <f>'Hodnocení '!FX86</f>
        <v>0</v>
      </c>
      <c r="FY90" s="357">
        <f>'Hodnocení '!FY86</f>
        <v>0</v>
      </c>
      <c r="FZ90" s="357">
        <f>'Hodnocení '!FZ86</f>
        <v>0</v>
      </c>
      <c r="GA90" s="357">
        <f>'Hodnocení '!GA86</f>
        <v>0</v>
      </c>
      <c r="GB90" s="357">
        <f>'Hodnocení '!GB86</f>
        <v>0</v>
      </c>
      <c r="GC90" s="357">
        <f>'Hodnocení '!GC86</f>
        <v>0</v>
      </c>
      <c r="GD90" s="357">
        <f>'Hodnocení '!GD86</f>
        <v>0</v>
      </c>
      <c r="GE90" s="357">
        <f>'Hodnocení '!GE86</f>
        <v>0</v>
      </c>
      <c r="GF90" s="357">
        <f>'Hodnocení '!GF86</f>
        <v>0</v>
      </c>
      <c r="GG90" s="357">
        <f>'Hodnocení '!GG86</f>
        <v>0</v>
      </c>
      <c r="GH90" s="357">
        <f>'Hodnocení '!GH86</f>
        <v>0</v>
      </c>
      <c r="GI90" s="357">
        <f>'Hodnocení '!GI86</f>
        <v>0</v>
      </c>
      <c r="GJ90" s="357">
        <f>'Hodnocení '!GJ86</f>
        <v>0</v>
      </c>
      <c r="GK90" s="357">
        <f>'Hodnocení '!GK86</f>
        <v>0</v>
      </c>
      <c r="GL90" s="357">
        <f>'Hodnocení '!GL86</f>
        <v>0</v>
      </c>
      <c r="GM90" s="357">
        <f>'Hodnocení '!GM86</f>
        <v>0</v>
      </c>
      <c r="GN90" s="357">
        <f>'Hodnocení '!GN86</f>
        <v>0</v>
      </c>
      <c r="GO90" s="357">
        <f>'Hodnocení '!GO86</f>
        <v>0</v>
      </c>
      <c r="GP90" s="357">
        <f>'Hodnocení '!GP86</f>
        <v>0</v>
      </c>
      <c r="GQ90" s="357">
        <f>'Hodnocení '!GQ86</f>
        <v>0</v>
      </c>
      <c r="GR90" s="357">
        <f>'Hodnocení '!GR86</f>
        <v>0</v>
      </c>
      <c r="GS90" s="357">
        <f>'Hodnocení '!GS86</f>
        <v>0</v>
      </c>
      <c r="GT90" s="357">
        <f>'Hodnocení '!GT86</f>
        <v>0</v>
      </c>
      <c r="GU90" s="357">
        <f>'Hodnocení '!GU86</f>
        <v>0</v>
      </c>
      <c r="GV90" s="357">
        <f>'Hodnocení '!GV86</f>
        <v>0</v>
      </c>
      <c r="GW90" s="357">
        <f>'Hodnocení '!GW86</f>
        <v>0</v>
      </c>
      <c r="GX90" s="357">
        <f>'Hodnocení '!GX86</f>
        <v>0</v>
      </c>
      <c r="GY90" s="357">
        <f>'Hodnocení '!GY86</f>
        <v>0</v>
      </c>
      <c r="GZ90" s="357">
        <f>'Hodnocení '!GZ86</f>
        <v>0</v>
      </c>
      <c r="HA90" s="357">
        <f>'Hodnocení '!HA86</f>
        <v>0</v>
      </c>
      <c r="HB90" s="357">
        <f>'Hodnocení '!HB86</f>
        <v>0</v>
      </c>
      <c r="HC90" s="357">
        <f>'Hodnocení '!HC86</f>
        <v>0</v>
      </c>
      <c r="HD90" s="357">
        <f>'Hodnocení '!HD86</f>
        <v>0</v>
      </c>
      <c r="HE90" s="357">
        <f>'Hodnocení '!HE86</f>
        <v>0</v>
      </c>
      <c r="HF90" s="357">
        <f>'Hodnocení '!HF86</f>
        <v>0</v>
      </c>
      <c r="HG90" s="357">
        <f>'Hodnocení '!HG86</f>
        <v>0</v>
      </c>
      <c r="HH90" s="357">
        <f>'Hodnocení '!HH86</f>
        <v>0</v>
      </c>
      <c r="HI90" s="357">
        <f>'Hodnocení '!HI86</f>
        <v>0</v>
      </c>
      <c r="HJ90" s="357">
        <f>'Hodnocení '!HJ86</f>
        <v>0</v>
      </c>
      <c r="HK90" s="357">
        <f>'Hodnocení '!HK86</f>
        <v>0</v>
      </c>
      <c r="HL90" s="357">
        <f>'Hodnocení '!HL86</f>
        <v>0</v>
      </c>
      <c r="HM90" s="357">
        <f>'Hodnocení '!HM86</f>
        <v>0</v>
      </c>
      <c r="HN90" s="357">
        <f>'Hodnocení '!HN86</f>
        <v>0</v>
      </c>
      <c r="HO90" s="357">
        <f>'Hodnocení '!HO86</f>
        <v>0</v>
      </c>
      <c r="HP90" s="357">
        <f>'Hodnocení '!HP86</f>
        <v>0</v>
      </c>
      <c r="HQ90" s="357">
        <f>'Hodnocení '!HQ86</f>
        <v>0</v>
      </c>
      <c r="HR90" s="357">
        <f>'Hodnocení '!HR86</f>
        <v>0</v>
      </c>
      <c r="HS90" s="357">
        <f>'Hodnocení '!HS86</f>
        <v>0</v>
      </c>
      <c r="HT90" s="357">
        <f>'Hodnocení '!HT86</f>
        <v>0</v>
      </c>
      <c r="HU90" s="357">
        <f>'Hodnocení '!HU86</f>
        <v>0</v>
      </c>
      <c r="HV90" s="357">
        <f>'Hodnocení '!HV86</f>
        <v>0</v>
      </c>
      <c r="HW90" s="357">
        <f>'Hodnocení '!HW86</f>
        <v>0</v>
      </c>
      <c r="HX90" s="357">
        <f>'Hodnocení '!HX86</f>
        <v>0</v>
      </c>
      <c r="HY90" s="357">
        <f>'Hodnocení '!HY86</f>
        <v>0</v>
      </c>
      <c r="HZ90" s="357">
        <f>'Hodnocení '!HZ86</f>
        <v>0</v>
      </c>
      <c r="IA90" s="357">
        <f>'Hodnocení '!IA86</f>
        <v>0</v>
      </c>
      <c r="IB90" s="357">
        <f>'Hodnocení '!IB86</f>
        <v>0</v>
      </c>
      <c r="IC90" s="357">
        <f>'Hodnocení '!IC86</f>
        <v>0</v>
      </c>
      <c r="ID90" s="357">
        <f>'Hodnocení '!ID86</f>
        <v>0</v>
      </c>
      <c r="IE90" s="357">
        <f>'Hodnocení '!IE86</f>
        <v>0</v>
      </c>
      <c r="IF90" s="357">
        <f>'Hodnocení '!IF86</f>
        <v>0</v>
      </c>
      <c r="IG90" s="357">
        <f>'Hodnocení '!IG86</f>
        <v>0</v>
      </c>
      <c r="IH90" s="357">
        <f>'Hodnocení '!IH86</f>
        <v>0</v>
      </c>
      <c r="II90" s="357">
        <f>'Hodnocení '!II86</f>
        <v>0</v>
      </c>
      <c r="IJ90" s="357">
        <f>'Hodnocení '!IJ86</f>
        <v>0</v>
      </c>
      <c r="IK90" s="357">
        <f>'Hodnocení '!IK86</f>
        <v>0</v>
      </c>
      <c r="IL90" s="357">
        <f>'Hodnocení '!IL86</f>
        <v>0</v>
      </c>
      <c r="IM90" s="357">
        <f>'Hodnocení '!IM86</f>
        <v>0</v>
      </c>
      <c r="IN90" s="357">
        <f>'Hodnocení '!IN86</f>
        <v>0</v>
      </c>
      <c r="IO90" s="357">
        <f>'Hodnocení '!IO86</f>
        <v>0</v>
      </c>
      <c r="IP90" s="357">
        <f>'Hodnocení '!IP86</f>
        <v>0</v>
      </c>
      <c r="IQ90" s="357">
        <f>'Hodnocení '!IQ86</f>
        <v>0</v>
      </c>
      <c r="IR90" s="357">
        <f>'Hodnocení '!IR86</f>
        <v>0</v>
      </c>
      <c r="IS90" s="357">
        <f>'Hodnocení '!IS86</f>
        <v>0</v>
      </c>
      <c r="IT90" s="357">
        <f>'Hodnocení '!IT86</f>
        <v>0</v>
      </c>
      <c r="IU90" s="357">
        <f>'Hodnocení '!IU86</f>
        <v>0</v>
      </c>
      <c r="IV90" s="357">
        <f>'Hodnocení '!IV86</f>
        <v>0</v>
      </c>
      <c r="IW90" s="357">
        <f>'Hodnocení '!IW86</f>
        <v>0</v>
      </c>
      <c r="IX90" s="357">
        <f>'Hodnocení '!IX86</f>
        <v>0</v>
      </c>
      <c r="IY90" s="357">
        <f>'Hodnocení '!IY86</f>
        <v>0</v>
      </c>
      <c r="IZ90" s="357">
        <f>'Hodnocení '!IZ86</f>
        <v>0</v>
      </c>
      <c r="JA90" s="357">
        <f>'Hodnocení '!JA86</f>
        <v>0</v>
      </c>
      <c r="JB90" s="357">
        <f>'Hodnocení '!JB86</f>
        <v>0</v>
      </c>
      <c r="JC90" s="357">
        <f>'Hodnocení '!JC86</f>
        <v>0</v>
      </c>
      <c r="JD90" s="357">
        <f>'Hodnocení '!JD86</f>
        <v>0</v>
      </c>
      <c r="JE90" s="357">
        <f>'Hodnocení '!JE86</f>
        <v>0</v>
      </c>
      <c r="JF90" s="357">
        <f>'Hodnocení '!JF86</f>
        <v>0</v>
      </c>
      <c r="JG90" s="357">
        <f>'Hodnocení '!JG86</f>
        <v>0</v>
      </c>
      <c r="JH90" s="772">
        <f>'Hodnocení '!JH86</f>
        <v>0</v>
      </c>
      <c r="JI90" s="315">
        <f>'Hodnocení '!JI86</f>
        <v>0</v>
      </c>
    </row>
    <row r="91" spans="1:276" hidden="1" x14ac:dyDescent="0.25">
      <c r="A91" s="353"/>
      <c r="B91" s="746" t="s">
        <v>2568</v>
      </c>
      <c r="C91" s="360" t="str">
        <f>'Hodnocení '!C87</f>
        <v>POBYT</v>
      </c>
      <c r="D91" s="357" t="str">
        <f>'Hodnocení '!D87</f>
        <v>POBYT</v>
      </c>
      <c r="E91" s="357" t="str">
        <f>'Hodnocení '!E87</f>
        <v>POBYT</v>
      </c>
      <c r="F91" s="357">
        <f>'Hodnocení '!F87</f>
        <v>0</v>
      </c>
      <c r="G91" s="357">
        <f>'Hodnocení '!G87</f>
        <v>0</v>
      </c>
      <c r="H91" s="357">
        <f>'Hodnocení '!H87</f>
        <v>0</v>
      </c>
      <c r="I91" s="357">
        <f>'Hodnocení '!I87</f>
        <v>0</v>
      </c>
      <c r="J91" s="357">
        <f>'Hodnocení '!J87</f>
        <v>0</v>
      </c>
      <c r="K91" s="357">
        <f>'Hodnocení '!K87</f>
        <v>0</v>
      </c>
      <c r="L91" s="357">
        <f>'Hodnocení '!L87</f>
        <v>0</v>
      </c>
      <c r="M91" s="357">
        <f>'Hodnocení '!M87</f>
        <v>0</v>
      </c>
      <c r="N91" s="357">
        <f>'Hodnocení '!N87</f>
        <v>0</v>
      </c>
      <c r="O91" s="357">
        <f>'Hodnocení '!O87</f>
        <v>0</v>
      </c>
      <c r="P91" s="357">
        <f>'Hodnocení '!P87</f>
        <v>0</v>
      </c>
      <c r="Q91" s="357">
        <f>'Hodnocení '!Q87</f>
        <v>0</v>
      </c>
      <c r="R91" s="357">
        <f>'Hodnocení '!R87</f>
        <v>0</v>
      </c>
      <c r="S91" s="357">
        <f>'Hodnocení '!S87</f>
        <v>0</v>
      </c>
      <c r="T91" s="357">
        <f>'Hodnocení '!T87</f>
        <v>0</v>
      </c>
      <c r="U91" s="357">
        <f>'Hodnocení '!U87</f>
        <v>0</v>
      </c>
      <c r="V91" s="357">
        <f>'Hodnocení '!V87</f>
        <v>0</v>
      </c>
      <c r="W91" s="357">
        <f>'Hodnocení '!W87</f>
        <v>0</v>
      </c>
      <c r="X91" s="357">
        <f>'Hodnocení '!X87</f>
        <v>0</v>
      </c>
      <c r="Y91" s="357">
        <f>'Hodnocení '!Y87</f>
        <v>0</v>
      </c>
      <c r="Z91" s="357" t="str">
        <f>'Hodnocení '!Z87</f>
        <v>POBYT</v>
      </c>
      <c r="AA91" s="357">
        <f>'Hodnocení '!AA87</f>
        <v>0</v>
      </c>
      <c r="AB91" s="357">
        <f>'Hodnocení '!AB87</f>
        <v>0</v>
      </c>
      <c r="AC91" s="357">
        <f>'Hodnocení '!AC87</f>
        <v>0</v>
      </c>
      <c r="AD91" s="357">
        <f>'Hodnocení '!AD87</f>
        <v>0</v>
      </c>
      <c r="AE91" s="357">
        <f>'Hodnocení '!AE87</f>
        <v>0</v>
      </c>
      <c r="AF91" s="357">
        <f>'Hodnocení '!AF87</f>
        <v>0</v>
      </c>
      <c r="AG91" s="357">
        <f>'Hodnocení '!AG87</f>
        <v>0</v>
      </c>
      <c r="AH91" s="357">
        <f>'Hodnocení '!AH87</f>
        <v>0</v>
      </c>
      <c r="AI91" s="357" t="str">
        <f>'Hodnocení '!AI87</f>
        <v>POBYT</v>
      </c>
      <c r="AJ91" s="357" t="str">
        <f>'Hodnocení '!AJ87</f>
        <v>POBYT</v>
      </c>
      <c r="AK91" s="357">
        <f>'Hodnocení '!AK87</f>
        <v>0</v>
      </c>
      <c r="AL91" s="357">
        <f>'Hodnocení '!AL87</f>
        <v>0</v>
      </c>
      <c r="AM91" s="357">
        <f>'Hodnocení '!AM87</f>
        <v>0</v>
      </c>
      <c r="AN91" s="357">
        <f>'Hodnocení '!AN87</f>
        <v>0</v>
      </c>
      <c r="AO91" s="357">
        <f>'Hodnocení '!AO87</f>
        <v>0</v>
      </c>
      <c r="AP91" s="357">
        <f>'Hodnocení '!AP87</f>
        <v>0</v>
      </c>
      <c r="AQ91" s="357">
        <f>'Hodnocení '!AQ87</f>
        <v>0</v>
      </c>
      <c r="AR91" s="357">
        <f>'Hodnocení '!AR87</f>
        <v>0</v>
      </c>
      <c r="AS91" s="357">
        <f>'Hodnocení '!AS87</f>
        <v>0</v>
      </c>
      <c r="AT91" s="357">
        <f>'Hodnocení '!AT87</f>
        <v>0</v>
      </c>
      <c r="AU91" s="357">
        <f>'Hodnocení '!AU87</f>
        <v>0</v>
      </c>
      <c r="AV91" s="357">
        <f>'Hodnocení '!AV87</f>
        <v>0</v>
      </c>
      <c r="AW91" s="357">
        <f>'Hodnocení '!AW87</f>
        <v>0</v>
      </c>
      <c r="AX91" s="357">
        <f>'Hodnocení '!AX87</f>
        <v>0</v>
      </c>
      <c r="AY91" s="357">
        <f>'Hodnocení '!AY87</f>
        <v>0</v>
      </c>
      <c r="AZ91" s="357" t="str">
        <f>'Hodnocení '!AZ87</f>
        <v>POBYT</v>
      </c>
      <c r="BA91" s="357">
        <f>'Hodnocení '!BA87</f>
        <v>0</v>
      </c>
      <c r="BB91" s="357">
        <f>'Hodnocení '!BB87</f>
        <v>0</v>
      </c>
      <c r="BC91" s="357">
        <f>'Hodnocení '!BC87</f>
        <v>0</v>
      </c>
      <c r="BD91" s="357">
        <f>'Hodnocení '!BD87</f>
        <v>0</v>
      </c>
      <c r="BE91" s="357">
        <f>'Hodnocení '!BE87</f>
        <v>0</v>
      </c>
      <c r="BF91" s="357">
        <f>'Hodnocení '!BF87</f>
        <v>0</v>
      </c>
      <c r="BG91" s="357">
        <f>'Hodnocení '!BG87</f>
        <v>0</v>
      </c>
      <c r="BH91" s="357">
        <f>'Hodnocení '!BH87</f>
        <v>0</v>
      </c>
      <c r="BI91" s="357" t="str">
        <f>'Hodnocení '!BI87</f>
        <v>POBYT</v>
      </c>
      <c r="BJ91" s="357">
        <f>'Hodnocení '!BJ87</f>
        <v>0</v>
      </c>
      <c r="BK91" s="357">
        <f>'Hodnocení '!BK87</f>
        <v>0</v>
      </c>
      <c r="BL91" s="357">
        <f>'Hodnocení '!BL87</f>
        <v>0</v>
      </c>
      <c r="BM91" s="357">
        <f>'Hodnocení '!BM87</f>
        <v>0</v>
      </c>
      <c r="BN91" s="357">
        <f>'Hodnocení '!BN87</f>
        <v>0</v>
      </c>
      <c r="BO91" s="357">
        <f>'Hodnocení '!BO87</f>
        <v>0</v>
      </c>
      <c r="BP91" s="357">
        <f>'Hodnocení '!BP87</f>
        <v>0</v>
      </c>
      <c r="BQ91" s="357">
        <f>'Hodnocení '!BQ87</f>
        <v>0</v>
      </c>
      <c r="BR91" s="357">
        <f>'Hodnocení '!BR87</f>
        <v>0</v>
      </c>
      <c r="BS91" s="357">
        <f>'Hodnocení '!BS87</f>
        <v>0</v>
      </c>
      <c r="BT91" s="357">
        <f>'Hodnocení '!BT87</f>
        <v>0</v>
      </c>
      <c r="BU91" s="357">
        <f>'Hodnocení '!BU87</f>
        <v>0</v>
      </c>
      <c r="BV91" s="357">
        <f>'Hodnocení '!BV87</f>
        <v>0</v>
      </c>
      <c r="BW91" s="357">
        <f>'Hodnocení '!BW87</f>
        <v>0</v>
      </c>
      <c r="BX91" s="357">
        <f>'Hodnocení '!BX87</f>
        <v>0</v>
      </c>
      <c r="BY91" s="357">
        <f>'Hodnocení '!BY87</f>
        <v>0</v>
      </c>
      <c r="BZ91" s="357">
        <f>'Hodnocení '!BZ87</f>
        <v>0</v>
      </c>
      <c r="CA91" s="357">
        <f>'Hodnocení '!CA87</f>
        <v>0</v>
      </c>
      <c r="CB91" s="357">
        <f>'Hodnocení '!CB87</f>
        <v>0</v>
      </c>
      <c r="CC91" s="357">
        <f>'Hodnocení '!CC87</f>
        <v>0</v>
      </c>
      <c r="CD91" s="357">
        <f>'Hodnocení '!CD87</f>
        <v>0</v>
      </c>
      <c r="CE91" s="357">
        <f>'Hodnocení '!CE87</f>
        <v>0</v>
      </c>
      <c r="CF91" s="357">
        <f>'Hodnocení '!CF87</f>
        <v>0</v>
      </c>
      <c r="CG91" s="357">
        <f>'Hodnocení '!CG87</f>
        <v>0</v>
      </c>
      <c r="CH91" s="357">
        <f>'Hodnocení '!CH87</f>
        <v>0</v>
      </c>
      <c r="CI91" s="357">
        <f>'Hodnocení '!CI87</f>
        <v>0</v>
      </c>
      <c r="CJ91" s="357">
        <f>'Hodnocení '!CJ87</f>
        <v>0</v>
      </c>
      <c r="CK91" s="357">
        <f>'Hodnocení '!CK87</f>
        <v>0</v>
      </c>
      <c r="CL91" s="357">
        <f>'Hodnocení '!CL87</f>
        <v>0</v>
      </c>
      <c r="CM91" s="357">
        <f>'Hodnocení '!CM87</f>
        <v>0</v>
      </c>
      <c r="CN91" s="357">
        <f>'Hodnocení '!CN87</f>
        <v>0</v>
      </c>
      <c r="CO91" s="357">
        <f>'Hodnocení '!CO87</f>
        <v>0</v>
      </c>
      <c r="CP91" s="357">
        <f>'Hodnocení '!CP87</f>
        <v>0</v>
      </c>
      <c r="CQ91" s="357">
        <f>'Hodnocení '!CQ87</f>
        <v>0</v>
      </c>
      <c r="CR91" s="357">
        <f>'Hodnocení '!CR87</f>
        <v>0</v>
      </c>
      <c r="CS91" s="357">
        <f>'Hodnocení '!CS87</f>
        <v>0</v>
      </c>
      <c r="CT91" s="357">
        <f>'Hodnocení '!CT87</f>
        <v>0</v>
      </c>
      <c r="CU91" s="357">
        <f>'Hodnocení '!CU87</f>
        <v>0</v>
      </c>
      <c r="CV91" s="357" t="str">
        <f>'Hodnocení '!CV87</f>
        <v>POBYT</v>
      </c>
      <c r="CW91" s="357">
        <f>'Hodnocení '!CW87</f>
        <v>0</v>
      </c>
      <c r="CX91" s="357">
        <f>'Hodnocení '!CX87</f>
        <v>0</v>
      </c>
      <c r="CY91" s="357">
        <f>'Hodnocení '!CY87</f>
        <v>0</v>
      </c>
      <c r="CZ91" s="357">
        <f>'Hodnocení '!CZ87</f>
        <v>0</v>
      </c>
      <c r="DA91" s="357" t="str">
        <f>'Hodnocení '!DA87</f>
        <v>POBYT</v>
      </c>
      <c r="DB91" s="357">
        <f>'Hodnocení '!DB87</f>
        <v>0</v>
      </c>
      <c r="DC91" s="357">
        <f>'Hodnocení '!DC87</f>
        <v>0</v>
      </c>
      <c r="DD91" s="357">
        <f>'Hodnocení '!DD87</f>
        <v>0</v>
      </c>
      <c r="DE91" s="357">
        <f>'Hodnocení '!DE87</f>
        <v>0</v>
      </c>
      <c r="DF91" s="357">
        <f>'Hodnocení '!DF87</f>
        <v>0</v>
      </c>
      <c r="DG91" s="357">
        <f>'Hodnocení '!DG87</f>
        <v>0</v>
      </c>
      <c r="DH91" s="357">
        <f>'Hodnocení '!DH87</f>
        <v>0</v>
      </c>
      <c r="DI91" s="357">
        <f>'Hodnocení '!DI87</f>
        <v>0</v>
      </c>
      <c r="DJ91" s="357">
        <f>'Hodnocení '!DJ87</f>
        <v>0</v>
      </c>
      <c r="DK91" s="357">
        <f>'Hodnocení '!DK87</f>
        <v>0</v>
      </c>
      <c r="DL91" s="357">
        <f>'Hodnocení '!DL87</f>
        <v>0</v>
      </c>
      <c r="DM91" s="357">
        <f>'Hodnocení '!DM87</f>
        <v>0</v>
      </c>
      <c r="DN91" s="357">
        <f>'Hodnocení '!DN87</f>
        <v>0</v>
      </c>
      <c r="DO91" s="357">
        <f>'Hodnocení '!DO87</f>
        <v>0</v>
      </c>
      <c r="DP91" s="357">
        <f>'Hodnocení '!DP87</f>
        <v>0</v>
      </c>
      <c r="DQ91" s="357">
        <f>'Hodnocení '!DQ87</f>
        <v>0</v>
      </c>
      <c r="DR91" s="357">
        <f>'Hodnocení '!DR87</f>
        <v>0</v>
      </c>
      <c r="DS91" s="357">
        <f>'Hodnocení '!DS87</f>
        <v>0</v>
      </c>
      <c r="DT91" s="357">
        <f>'Hodnocení '!DT87</f>
        <v>0</v>
      </c>
      <c r="DU91" s="357">
        <f>'Hodnocení '!DU87</f>
        <v>0</v>
      </c>
      <c r="DV91" s="357">
        <f>'Hodnocení '!DV87</f>
        <v>0</v>
      </c>
      <c r="DW91" s="357">
        <f>'Hodnocení '!DW87</f>
        <v>0</v>
      </c>
      <c r="DX91" s="357">
        <f>'Hodnocení '!DX87</f>
        <v>0</v>
      </c>
      <c r="DY91" s="357">
        <f>'Hodnocení '!DY87</f>
        <v>0</v>
      </c>
      <c r="DZ91" s="357">
        <f>'Hodnocení '!DZ87</f>
        <v>0</v>
      </c>
      <c r="EA91" s="357">
        <f>'Hodnocení '!EA87</f>
        <v>0</v>
      </c>
      <c r="EB91" s="357">
        <f>'Hodnocení '!EB87</f>
        <v>0</v>
      </c>
      <c r="EC91" s="357">
        <f>'Hodnocení '!EC87</f>
        <v>0</v>
      </c>
      <c r="ED91" s="357">
        <f>'Hodnocení '!ED87</f>
        <v>0</v>
      </c>
      <c r="EE91" s="357">
        <f>'Hodnocení '!EE87</f>
        <v>0</v>
      </c>
      <c r="EF91" s="357">
        <f>'Hodnocení '!EF87</f>
        <v>0</v>
      </c>
      <c r="EG91" s="357">
        <f>'Hodnocení '!EG87</f>
        <v>0</v>
      </c>
      <c r="EH91" s="357">
        <f>'Hodnocení '!EH87</f>
        <v>0</v>
      </c>
      <c r="EI91" s="357">
        <f>'Hodnocení '!EI87</f>
        <v>0</v>
      </c>
      <c r="EJ91" s="357">
        <f>'Hodnocení '!EJ87</f>
        <v>0</v>
      </c>
      <c r="EK91" s="357">
        <f>'Hodnocení '!EK87</f>
        <v>0</v>
      </c>
      <c r="EL91" s="357">
        <f>'Hodnocení '!EL87</f>
        <v>0</v>
      </c>
      <c r="EM91" s="357">
        <f>'Hodnocení '!EM87</f>
        <v>0</v>
      </c>
      <c r="EN91" s="357">
        <f>'Hodnocení '!EN87</f>
        <v>0</v>
      </c>
      <c r="EO91" s="357">
        <f>'Hodnocení '!EO87</f>
        <v>0</v>
      </c>
      <c r="EP91" s="357">
        <f>'Hodnocení '!EP87</f>
        <v>0</v>
      </c>
      <c r="EQ91" s="357">
        <f>'Hodnocení '!EQ87</f>
        <v>0</v>
      </c>
      <c r="ER91" s="357">
        <f>'Hodnocení '!ER87</f>
        <v>0</v>
      </c>
      <c r="ES91" s="357">
        <f>'Hodnocení '!ES87</f>
        <v>0</v>
      </c>
      <c r="ET91" s="357">
        <f>'Hodnocení '!ET87</f>
        <v>0</v>
      </c>
      <c r="EU91" s="357" t="str">
        <f>'Hodnocení '!EU87</f>
        <v>POBYT</v>
      </c>
      <c r="EV91" s="357">
        <f>'Hodnocení '!EV87</f>
        <v>0</v>
      </c>
      <c r="EW91" s="357">
        <f>'Hodnocení '!EW87</f>
        <v>0</v>
      </c>
      <c r="EX91" s="357" t="str">
        <f>'Hodnocení '!EX87</f>
        <v>POBYT</v>
      </c>
      <c r="EY91" s="357">
        <f>'Hodnocení '!EY87</f>
        <v>0</v>
      </c>
      <c r="EZ91" s="357">
        <f>'Hodnocení '!EZ87</f>
        <v>0</v>
      </c>
      <c r="FA91" s="357">
        <f>'Hodnocení '!FA87</f>
        <v>0</v>
      </c>
      <c r="FB91" s="357">
        <f>'Hodnocení '!FB87</f>
        <v>0</v>
      </c>
      <c r="FC91" s="357">
        <f>'Hodnocení '!FC87</f>
        <v>0</v>
      </c>
      <c r="FD91" s="357">
        <f>'Hodnocení '!FD87</f>
        <v>0</v>
      </c>
      <c r="FE91" s="357">
        <f>'Hodnocení '!FE87</f>
        <v>0</v>
      </c>
      <c r="FF91" s="357">
        <f>'Hodnocení '!FF87</f>
        <v>0</v>
      </c>
      <c r="FG91" s="357" t="str">
        <f>'Hodnocení '!FG87</f>
        <v>POBYT</v>
      </c>
      <c r="FH91" s="357" t="str">
        <f>'Hodnocení '!FH87</f>
        <v>POBYT</v>
      </c>
      <c r="FI91" s="357" t="str">
        <f>'Hodnocení '!FI87</f>
        <v>POBYT</v>
      </c>
      <c r="FJ91" s="357">
        <f>'Hodnocení '!FJ87</f>
        <v>0</v>
      </c>
      <c r="FK91" s="357">
        <f>'Hodnocení '!FK87</f>
        <v>0</v>
      </c>
      <c r="FL91" s="357">
        <f>'Hodnocení '!FL87</f>
        <v>0</v>
      </c>
      <c r="FM91" s="357">
        <f>'Hodnocení '!FM87</f>
        <v>0</v>
      </c>
      <c r="FN91" s="357">
        <f>'Hodnocení '!FN87</f>
        <v>0</v>
      </c>
      <c r="FO91" s="357">
        <f>'Hodnocení '!FO87</f>
        <v>0</v>
      </c>
      <c r="FP91" s="357" t="str">
        <f>'Hodnocení '!FP87</f>
        <v>POBYT</v>
      </c>
      <c r="FQ91" s="357">
        <f>'Hodnocení '!FQ87</f>
        <v>0</v>
      </c>
      <c r="FR91" s="357">
        <f>'Hodnocení '!FR87</f>
        <v>0</v>
      </c>
      <c r="FS91" s="357">
        <f>'Hodnocení '!FS87</f>
        <v>0</v>
      </c>
      <c r="FT91" s="357">
        <f>'Hodnocení '!FT87</f>
        <v>0</v>
      </c>
      <c r="FU91" s="357">
        <f>'Hodnocení '!FU87</f>
        <v>0</v>
      </c>
      <c r="FV91" s="357">
        <f>'Hodnocení '!FV87</f>
        <v>0</v>
      </c>
      <c r="FW91" s="357">
        <f>'Hodnocení '!FW87</f>
        <v>0</v>
      </c>
      <c r="FX91" s="357">
        <f>'Hodnocení '!FX87</f>
        <v>0</v>
      </c>
      <c r="FY91" s="357">
        <f>'Hodnocení '!FY87</f>
        <v>0</v>
      </c>
      <c r="FZ91" s="357">
        <f>'Hodnocení '!FZ87</f>
        <v>0</v>
      </c>
      <c r="GA91" s="357">
        <f>'Hodnocení '!GA87</f>
        <v>0</v>
      </c>
      <c r="GB91" s="357" t="str">
        <f>'Hodnocení '!GB87</f>
        <v>POBYT</v>
      </c>
      <c r="GC91" s="357">
        <f>'Hodnocení '!GC87</f>
        <v>0</v>
      </c>
      <c r="GD91" s="357" t="str">
        <f>'Hodnocení '!GD87</f>
        <v>POBYT</v>
      </c>
      <c r="GE91" s="357">
        <f>'Hodnocení '!GE87</f>
        <v>0</v>
      </c>
      <c r="GF91" s="357">
        <f>'Hodnocení '!GF87</f>
        <v>0</v>
      </c>
      <c r="GG91" s="357">
        <f>'Hodnocení '!GG87</f>
        <v>0</v>
      </c>
      <c r="GH91" s="357">
        <f>'Hodnocení '!GH87</f>
        <v>0</v>
      </c>
      <c r="GI91" s="357" t="str">
        <f>'Hodnocení '!GI87</f>
        <v>POBYT</v>
      </c>
      <c r="GJ91" s="357">
        <f>'Hodnocení '!GJ87</f>
        <v>0</v>
      </c>
      <c r="GK91" s="357">
        <f>'Hodnocení '!GK87</f>
        <v>0</v>
      </c>
      <c r="GL91" s="357">
        <f>'Hodnocení '!GL87</f>
        <v>0</v>
      </c>
      <c r="GM91" s="357">
        <f>'Hodnocení '!GM87</f>
        <v>0</v>
      </c>
      <c r="GN91" s="357">
        <f>'Hodnocení '!GN87</f>
        <v>0</v>
      </c>
      <c r="GO91" s="357" t="str">
        <f>'Hodnocení '!GO87</f>
        <v>POBYT</v>
      </c>
      <c r="GP91" s="357">
        <f>'Hodnocení '!GP87</f>
        <v>0</v>
      </c>
      <c r="GQ91" s="357">
        <f>'Hodnocení '!GQ87</f>
        <v>0</v>
      </c>
      <c r="GR91" s="357">
        <f>'Hodnocení '!GR87</f>
        <v>0</v>
      </c>
      <c r="GS91" s="357">
        <f>'Hodnocení '!GS87</f>
        <v>0</v>
      </c>
      <c r="GT91" s="357">
        <f>'Hodnocení '!GT87</f>
        <v>0</v>
      </c>
      <c r="GU91" s="357">
        <f>'Hodnocení '!GU87</f>
        <v>0</v>
      </c>
      <c r="GV91" s="357" t="str">
        <f>'Hodnocení '!GV87</f>
        <v>POBYT</v>
      </c>
      <c r="GW91" s="357">
        <f>'Hodnocení '!GW87</f>
        <v>0</v>
      </c>
      <c r="GX91" s="357">
        <f>'Hodnocení '!GX87</f>
        <v>0</v>
      </c>
      <c r="GY91" s="357" t="str">
        <f>'Hodnocení '!GY87</f>
        <v>POBYT</v>
      </c>
      <c r="GZ91" s="357">
        <f>'Hodnocení '!GZ87</f>
        <v>0</v>
      </c>
      <c r="HA91" s="357">
        <f>'Hodnocení '!HA87</f>
        <v>0</v>
      </c>
      <c r="HB91" s="357">
        <f>'Hodnocení '!HB87</f>
        <v>0</v>
      </c>
      <c r="HC91" s="357" t="str">
        <f>'Hodnocení '!HC87</f>
        <v>POBYT</v>
      </c>
      <c r="HD91" s="357">
        <f>'Hodnocení '!HD87</f>
        <v>0</v>
      </c>
      <c r="HE91" s="357" t="str">
        <f>'Hodnocení '!HE87</f>
        <v>POBYT</v>
      </c>
      <c r="HF91" s="357">
        <f>'Hodnocení '!HF87</f>
        <v>0</v>
      </c>
      <c r="HG91" s="357">
        <f>'Hodnocení '!HG87</f>
        <v>0</v>
      </c>
      <c r="HH91" s="357">
        <f>'Hodnocení '!HH87</f>
        <v>0</v>
      </c>
      <c r="HI91" s="357">
        <f>'Hodnocení '!HI87</f>
        <v>0</v>
      </c>
      <c r="HJ91" s="357">
        <f>'Hodnocení '!HJ87</f>
        <v>0</v>
      </c>
      <c r="HK91" s="357">
        <f>'Hodnocení '!HK87</f>
        <v>0</v>
      </c>
      <c r="HL91" s="357" t="str">
        <f>'Hodnocení '!HL87</f>
        <v>POBYT</v>
      </c>
      <c r="HM91" s="357">
        <f>'Hodnocení '!HM87</f>
        <v>0</v>
      </c>
      <c r="HN91" s="357">
        <f>'Hodnocení '!HN87</f>
        <v>0</v>
      </c>
      <c r="HO91" s="357">
        <f>'Hodnocení '!HO87</f>
        <v>0</v>
      </c>
      <c r="HP91" s="357" t="str">
        <f>'Hodnocení '!HP87</f>
        <v>POBYT</v>
      </c>
      <c r="HQ91" s="357">
        <f>'Hodnocení '!HQ87</f>
        <v>0</v>
      </c>
      <c r="HR91" s="357" t="str">
        <f>'Hodnocení '!HR87</f>
        <v>POBYT</v>
      </c>
      <c r="HS91" s="357">
        <f>'Hodnocení '!HS87</f>
        <v>0</v>
      </c>
      <c r="HT91" s="357" t="str">
        <f>'Hodnocení '!HT87</f>
        <v>POBYT</v>
      </c>
      <c r="HU91" s="357" t="str">
        <f>'Hodnocení '!HU87</f>
        <v>POBYT</v>
      </c>
      <c r="HV91" s="357" t="str">
        <f>'Hodnocení '!HV87</f>
        <v>POBYT</v>
      </c>
      <c r="HW91" s="357" t="str">
        <f>'Hodnocení '!HW87</f>
        <v>POBYT</v>
      </c>
      <c r="HX91" s="357" t="str">
        <f>'Hodnocení '!HX87</f>
        <v>POBYT</v>
      </c>
      <c r="HY91" s="357" t="str">
        <f>'Hodnocení '!HY87</f>
        <v>POBYT</v>
      </c>
      <c r="HZ91" s="357" t="str">
        <f>'Hodnocení '!HZ87</f>
        <v>POBYT</v>
      </c>
      <c r="IA91" s="357" t="str">
        <f>'Hodnocení '!IA87</f>
        <v>POBYT</v>
      </c>
      <c r="IB91" s="357" t="str">
        <f>'Hodnocení '!IB87</f>
        <v>POBYT</v>
      </c>
      <c r="IC91" s="357" t="str">
        <f>'Hodnocení '!IC87</f>
        <v>POBYT</v>
      </c>
      <c r="ID91" s="357" t="str">
        <f>'Hodnocení '!ID87</f>
        <v>POBYT</v>
      </c>
      <c r="IE91" s="357" t="str">
        <f>'Hodnocení '!IE87</f>
        <v>POBYT</v>
      </c>
      <c r="IF91" s="357" t="str">
        <f>'Hodnocení '!IF87</f>
        <v>POBYT</v>
      </c>
      <c r="IG91" s="357" t="str">
        <f>'Hodnocení '!IG87</f>
        <v>POBYT</v>
      </c>
      <c r="IH91" s="357" t="str">
        <f>'Hodnocení '!IH87</f>
        <v>POBYT</v>
      </c>
      <c r="II91" s="357" t="str">
        <f>'Hodnocení '!II87</f>
        <v>POBYT</v>
      </c>
      <c r="IJ91" s="357">
        <f>'Hodnocení '!IJ87</f>
        <v>0</v>
      </c>
      <c r="IK91" s="357">
        <f>'Hodnocení '!IK87</f>
        <v>0</v>
      </c>
      <c r="IL91" s="357" t="str">
        <f>'Hodnocení '!IL87</f>
        <v>POBYT</v>
      </c>
      <c r="IM91" s="357">
        <f>'Hodnocení '!IM87</f>
        <v>0</v>
      </c>
      <c r="IN91" s="357" t="str">
        <f>'Hodnocení '!IN87</f>
        <v>POBYT</v>
      </c>
      <c r="IO91" s="357" t="str">
        <f>'Hodnocení '!IO87</f>
        <v>POBYT</v>
      </c>
      <c r="IP91" s="357" t="str">
        <f>'Hodnocení '!IP87</f>
        <v>POBYT</v>
      </c>
      <c r="IQ91" s="357" t="str">
        <f>'Hodnocení '!IQ87</f>
        <v>POBYT</v>
      </c>
      <c r="IR91" s="357">
        <f>'Hodnocení '!IR87</f>
        <v>0</v>
      </c>
      <c r="IS91" s="357" t="str">
        <f>'Hodnocení '!IS87</f>
        <v>POBYT</v>
      </c>
      <c r="IT91" s="357" t="str">
        <f>'Hodnocení '!IT87</f>
        <v>POBYT</v>
      </c>
      <c r="IU91" s="357">
        <f>'Hodnocení '!IU87</f>
        <v>0</v>
      </c>
      <c r="IV91" s="357" t="str">
        <f>'Hodnocení '!IV87</f>
        <v>POBYT</v>
      </c>
      <c r="IW91" s="357" t="str">
        <f>'Hodnocení '!IW87</f>
        <v>POBYT</v>
      </c>
      <c r="IX91" s="357">
        <f>'Hodnocení '!IX87</f>
        <v>0</v>
      </c>
      <c r="IY91" s="357" t="str">
        <f>'Hodnocení '!IY87</f>
        <v>POBYT</v>
      </c>
      <c r="IZ91" s="357" t="str">
        <f>'Hodnocení '!IZ87</f>
        <v>POBYT</v>
      </c>
      <c r="JA91" s="357">
        <f>'Hodnocení '!JA87</f>
        <v>0</v>
      </c>
      <c r="JB91" s="357">
        <f>'Hodnocení '!JB87</f>
        <v>0</v>
      </c>
      <c r="JC91" s="357">
        <f>'Hodnocení '!JC87</f>
        <v>0</v>
      </c>
      <c r="JD91" s="357">
        <f>'Hodnocení '!JD87</f>
        <v>0</v>
      </c>
      <c r="JE91" s="357">
        <f>'Hodnocení '!JE87</f>
        <v>0</v>
      </c>
      <c r="JF91" s="357" t="str">
        <f>'Hodnocení '!JF87</f>
        <v>POBYT</v>
      </c>
      <c r="JG91" s="357" t="str">
        <f>'Hodnocení '!JG87</f>
        <v>POBYT</v>
      </c>
      <c r="JH91" s="772">
        <f>'Hodnocení '!JH87</f>
        <v>0</v>
      </c>
      <c r="JI91" s="315">
        <f>'Hodnocení '!JI87</f>
        <v>0</v>
      </c>
      <c r="JL91" s="307">
        <f>SUMIFS($C91:$JH91,$C$5:$JH$5,JL$5)</f>
        <v>0</v>
      </c>
      <c r="JM91" s="307">
        <f>SUMIFS($C91:$JH91,$C$5:$JH$5,JM$5)</f>
        <v>0</v>
      </c>
      <c r="JN91" s="307">
        <f>SUMIFS($C91:$JH91,$C$5:$JH$5,JN$5)</f>
        <v>0</v>
      </c>
      <c r="JO91" s="307">
        <f>SUMIFS($C91:$JH91,$C$5:$JH$5,JO$5)</f>
        <v>0</v>
      </c>
      <c r="JP91" s="307">
        <f t="shared" ref="JP91:JP94" si="52">SUM(JL91:JO91)</f>
        <v>0</v>
      </c>
    </row>
    <row r="92" spans="1:276" hidden="1" x14ac:dyDescent="0.25">
      <c r="A92" s="353"/>
      <c r="B92" s="733" t="s">
        <v>2569</v>
      </c>
      <c r="C92" s="779">
        <f>'Hodnocení '!C88</f>
        <v>24108439.683644075</v>
      </c>
      <c r="D92" s="479">
        <f>'Hodnocení '!D88</f>
        <v>19310263.850060016</v>
      </c>
      <c r="E92" s="479">
        <f>'Hodnocení '!E88</f>
        <v>27200695.868924551</v>
      </c>
      <c r="F92" s="479">
        <f>'Hodnocení '!F88</f>
        <v>4928647.8964884933</v>
      </c>
      <c r="G92" s="479">
        <f>'Hodnocení '!G88</f>
        <v>13898421.548607839</v>
      </c>
      <c r="H92" s="479">
        <f>'Hodnocení '!H88</f>
        <v>1265732.1198156357</v>
      </c>
      <c r="I92" s="479">
        <f>'Hodnocení '!I88</f>
        <v>3505750.9805252724</v>
      </c>
      <c r="J92" s="479">
        <f>'Hodnocení '!J88</f>
        <v>2983617.8557661893</v>
      </c>
      <c r="K92" s="479">
        <f>'Hodnocení '!K88</f>
        <v>5924518.8128773188</v>
      </c>
      <c r="L92" s="479">
        <f>'Hodnocení '!L88</f>
        <v>4031705.8292569402</v>
      </c>
      <c r="M92" s="479">
        <f>'Hodnocení '!M88</f>
        <v>4984025.9627411719</v>
      </c>
      <c r="N92" s="479">
        <f>'Hodnocení '!N88</f>
        <v>5870446.3470803229</v>
      </c>
      <c r="O92" s="479">
        <f>'Hodnocení '!O88</f>
        <v>4508635.2104233941</v>
      </c>
      <c r="P92" s="479">
        <f>'Hodnocení '!P88</f>
        <v>2998026.0021816893</v>
      </c>
      <c r="Q92" s="479">
        <f>'Hodnocení '!Q88</f>
        <v>2005488.4791010155</v>
      </c>
      <c r="R92" s="479">
        <f>'Hodnocení '!R88</f>
        <v>2451152.5855679074</v>
      </c>
      <c r="S92" s="479">
        <f>'Hodnocení '!S88</f>
        <v>1708379.0747897534</v>
      </c>
      <c r="T92" s="479">
        <f>'Hodnocení '!T88</f>
        <v>742773.51077815378</v>
      </c>
      <c r="U92" s="479">
        <f>'Hodnocení '!U88</f>
        <v>1114160.2661672307</v>
      </c>
      <c r="V92" s="479">
        <f>'Hodnocení '!V88</f>
        <v>19326966.06058719</v>
      </c>
      <c r="W92" s="479">
        <f>'Hodnocení '!W88</f>
        <v>4944383.7594929244</v>
      </c>
      <c r="X92" s="479">
        <f>'Hodnocení '!X88</f>
        <v>2505835.4104714063</v>
      </c>
      <c r="Y92" s="479">
        <f>'Hodnocení '!Y88</f>
        <v>2739503.5594187831</v>
      </c>
      <c r="Z92" s="479">
        <f>'Hodnocení '!Z88</f>
        <v>13286053.974797865</v>
      </c>
      <c r="AA92" s="479">
        <f>'Hodnocení '!AA88</f>
        <v>4313818.3267021552</v>
      </c>
      <c r="AB92" s="479">
        <f>'Hodnocení '!AB88</f>
        <v>3959531.7370665981</v>
      </c>
      <c r="AC92" s="479">
        <f>'Hodnocení '!AC88</f>
        <v>0</v>
      </c>
      <c r="AD92" s="479">
        <f>'Hodnocení '!AD88</f>
        <v>2497904.6985613657</v>
      </c>
      <c r="AE92" s="479">
        <f>'Hodnocení '!AE88</f>
        <v>1222248.5258989439</v>
      </c>
      <c r="AF92" s="479">
        <f>'Hodnocení '!AF88</f>
        <v>3535587.1590829343</v>
      </c>
      <c r="AG92" s="479">
        <f>'Hodnocení '!AG88</f>
        <v>4343138.4405813916</v>
      </c>
      <c r="AH92" s="479">
        <f>'Hodnocení '!AH88</f>
        <v>1598253.5130672678</v>
      </c>
      <c r="AI92" s="479">
        <f>'Hodnocení '!AI88</f>
        <v>11723641.127106247</v>
      </c>
      <c r="AJ92" s="479">
        <f>'Hodnocení '!AJ88</f>
        <v>6973979.374882319</v>
      </c>
      <c r="AK92" s="479">
        <f>'Hodnocení '!AK88</f>
        <v>1559824.3726341228</v>
      </c>
      <c r="AL92" s="479">
        <f>'Hodnocení '!AL88</f>
        <v>2156909.1633510776</v>
      </c>
      <c r="AM92" s="479">
        <f>'Hodnocení '!AM88</f>
        <v>1559824.3726341231</v>
      </c>
      <c r="AN92" s="479">
        <f>'Hodnocení '!AN88</f>
        <v>995316.50444272615</v>
      </c>
      <c r="AO92" s="479">
        <f>'Hodnocení '!AO88</f>
        <v>9086933.9721677359</v>
      </c>
      <c r="AP92" s="479">
        <f>'Hodnocení '!AP88</f>
        <v>2935037.5113920239</v>
      </c>
      <c r="AQ92" s="479">
        <f>'Hodnocení '!AQ88</f>
        <v>297109.40431126149</v>
      </c>
      <c r="AR92" s="479">
        <f>'Hodnocení '!AR88</f>
        <v>1671240.3992508459</v>
      </c>
      <c r="AS92" s="479">
        <f>'Hodnocení '!AS88</f>
        <v>445664.10646689229</v>
      </c>
      <c r="AT92" s="479">
        <f>'Hodnocení '!AT88</f>
        <v>2602769.1138759456</v>
      </c>
      <c r="AU92" s="479">
        <f>'Hodnocení '!AU88</f>
        <v>1051886.2833224081</v>
      </c>
      <c r="AV92" s="479">
        <f>'Hodnocení '!AV88</f>
        <v>2120960.6772952261</v>
      </c>
      <c r="AW92" s="479">
        <f>'Hodnocení '!AW88</f>
        <v>3515922.5550434329</v>
      </c>
      <c r="AX92" s="479">
        <f>'Hodnocení '!AX88</f>
        <v>4468347.8682345999</v>
      </c>
      <c r="AY92" s="479">
        <f>'Hodnocení '!AY88</f>
        <v>3850857.528752787</v>
      </c>
      <c r="AZ92" s="479">
        <f>'Hodnocení '!AZ88</f>
        <v>4991888.7779548438</v>
      </c>
      <c r="BA92" s="479">
        <f>'Hodnocení '!BA88</f>
        <v>14287541.093191361</v>
      </c>
      <c r="BB92" s="479">
        <f>'Hodnocení '!BB88</f>
        <v>1411269.6704784923</v>
      </c>
      <c r="BC92" s="479">
        <f>'Hodnocení '!BC88</f>
        <v>1360742.4938025323</v>
      </c>
      <c r="BD92" s="479">
        <f>'Hodnocení '!BD88</f>
        <v>2020343.9493165785</v>
      </c>
      <c r="BE92" s="479">
        <f>'Hodnocení '!BE88</f>
        <v>1305332.8118977079</v>
      </c>
      <c r="BF92" s="479">
        <f>'Hodnocení '!BF88</f>
        <v>3045371.3941904306</v>
      </c>
      <c r="BG92" s="479">
        <f>'Hodnocení '!BG88</f>
        <v>4025254.0656860587</v>
      </c>
      <c r="BH92" s="479">
        <f>'Hodnocení '!BH88</f>
        <v>3785109.2415605099</v>
      </c>
      <c r="BI92" s="479">
        <f>'Hodnocení '!BI88</f>
        <v>4527540.7129161982</v>
      </c>
      <c r="BJ92" s="479">
        <f>'Hodnocení '!BJ88</f>
        <v>3474510.7524651131</v>
      </c>
      <c r="BK92" s="479">
        <f>'Hodnocení '!BK88</f>
        <v>1305332.8118977079</v>
      </c>
      <c r="BL92" s="479">
        <f>'Hodnocení '!BL88</f>
        <v>609158.7287794766</v>
      </c>
      <c r="BM92" s="479">
        <f>'Hodnocení '!BM88</f>
        <v>2386894.2846129518</v>
      </c>
      <c r="BN92" s="479">
        <f>'Hodnocení '!BN88</f>
        <v>1946066.5982387629</v>
      </c>
      <c r="BO92" s="479">
        <f>'Hodnocení '!BO88</f>
        <v>1115754.3738330903</v>
      </c>
      <c r="BP92" s="479">
        <f>'Hodnocení '!BP88</f>
        <v>6673232.1827065516</v>
      </c>
      <c r="BQ92" s="479">
        <f>'Hodnocení '!BQ88</f>
        <v>857790.13353277929</v>
      </c>
      <c r="BR92" s="479">
        <f>'Hodnocení '!BR88</f>
        <v>1002744.2395505077</v>
      </c>
      <c r="BS92" s="479">
        <f>'Hodnocení '!BS88</f>
        <v>1336992.3194006768</v>
      </c>
      <c r="BT92" s="479">
        <f>'Hodnocení '!BT88</f>
        <v>1114160.2661672307</v>
      </c>
      <c r="BU92" s="479">
        <f>'Hodnocení '!BU88</f>
        <v>5521990.3030249123</v>
      </c>
      <c r="BV92" s="479">
        <f>'Hodnocení '!BV88</f>
        <v>1416162.3533424151</v>
      </c>
      <c r="BW92" s="479">
        <f>'Hodnocení '!BW88</f>
        <v>297109.40431126149</v>
      </c>
      <c r="BX92" s="479">
        <f>'Hodnocení '!BX88</f>
        <v>6359595.5737084672</v>
      </c>
      <c r="BY92" s="479">
        <f>'Hodnocení '!BY88</f>
        <v>2481793.3946179384</v>
      </c>
      <c r="BZ92" s="479">
        <f>'Hodnocení '!BZ88</f>
        <v>283310.58688766911</v>
      </c>
      <c r="CA92" s="479">
        <f>'Hodnocení '!CA88</f>
        <v>0</v>
      </c>
      <c r="CB92" s="479">
        <f>'Hodnocení '!CB88</f>
        <v>352668.13205666648</v>
      </c>
      <c r="CC92" s="479">
        <f>'Hodnocení '!CC88</f>
        <v>2414013.9100289997</v>
      </c>
      <c r="CD92" s="479">
        <f>'Hodnocení '!CD88</f>
        <v>742773.51077815378</v>
      </c>
      <c r="CE92" s="479">
        <f>'Hodnocení '!CE88</f>
        <v>17620733.101787359</v>
      </c>
      <c r="CF92" s="479">
        <f>'Hodnocení '!CF88</f>
        <v>4820517.8393289512</v>
      </c>
      <c r="CG92" s="479">
        <f>'Hodnocení '!CG88</f>
        <v>12053628.962737113</v>
      </c>
      <c r="CH92" s="479">
        <f>'Hodnocení '!CH88</f>
        <v>5262027.6099042622</v>
      </c>
      <c r="CI92" s="479">
        <f>'Hodnocení '!CI88</f>
        <v>3518851.9671994289</v>
      </c>
      <c r="CJ92" s="479">
        <f>'Hodnocení '!CJ88</f>
        <v>4666195.0818283353</v>
      </c>
      <c r="CK92" s="479">
        <f>'Hodnocení '!CK88</f>
        <v>5802365.2291703308</v>
      </c>
      <c r="CL92" s="479">
        <f>'Hodnocení '!CL88</f>
        <v>3132798.7485544984</v>
      </c>
      <c r="CM92" s="479">
        <f>'Hodnocení '!CM88</f>
        <v>8686276.881162785</v>
      </c>
      <c r="CN92" s="479">
        <f>'Hodnocení '!CN88</f>
        <v>1314857.8541530101</v>
      </c>
      <c r="CO92" s="479">
        <f>'Hodnocení '!CO88</f>
        <v>1314857.8541530101</v>
      </c>
      <c r="CP92" s="479">
        <f>'Hodnocení '!CP88</f>
        <v>1314857.8541530101</v>
      </c>
      <c r="CQ92" s="479">
        <f>'Hodnocení '!CQ88</f>
        <v>6255036.573718125</v>
      </c>
      <c r="CR92" s="479">
        <f>'Hodnocení '!CR88</f>
        <v>3102241.7432724228</v>
      </c>
      <c r="CS92" s="479">
        <f>'Hodnocení '!CS88</f>
        <v>4506640.0862182556</v>
      </c>
      <c r="CT92" s="479">
        <f>'Hodnocení '!CT88</f>
        <v>6460129.0433408245</v>
      </c>
      <c r="CU92" s="479">
        <f>'Hodnocení '!CU88</f>
        <v>2481793.3946179384</v>
      </c>
      <c r="CV92" s="479">
        <f>'Hodnocení '!CV88</f>
        <v>12304928.617916282</v>
      </c>
      <c r="CW92" s="479">
        <f>'Hodnocení '!CW88</f>
        <v>445664.10646689229</v>
      </c>
      <c r="CX92" s="479">
        <f>'Hodnocení '!CX88</f>
        <v>6230032.4534264645</v>
      </c>
      <c r="CY92" s="479">
        <f>'Hodnocení '!CY88</f>
        <v>4032914.2662541498</v>
      </c>
      <c r="CZ92" s="479">
        <f>'Hodnocení '!CZ88</f>
        <v>1617681.872513308</v>
      </c>
      <c r="DA92" s="479">
        <f>'Hodnocení '!DA88</f>
        <v>12508980.609974787</v>
      </c>
      <c r="DB92" s="479">
        <f>'Hodnocení '!DB88</f>
        <v>854189.53739487671</v>
      </c>
      <c r="DC92" s="479">
        <f>'Hodnocení '!DC88</f>
        <v>1972286.7812295151</v>
      </c>
      <c r="DD92" s="479">
        <f>'Hodnocení '!DD88</f>
        <v>5594283.4795616046</v>
      </c>
      <c r="DE92" s="479">
        <f>'Hodnocení '!DE88</f>
        <v>7831996.8713862468</v>
      </c>
      <c r="DF92" s="479">
        <f>'Hodnocení '!DF88</f>
        <v>7831996.8713862468</v>
      </c>
      <c r="DG92" s="479">
        <f>'Hodnocení '!DG88</f>
        <v>854189.53739487671</v>
      </c>
      <c r="DH92" s="479">
        <f>'Hodnocení '!DH88</f>
        <v>2810797.9743335126</v>
      </c>
      <c r="DI92" s="479">
        <f>'Hodnocení '!DI88</f>
        <v>1139158.9078340724</v>
      </c>
      <c r="DJ92" s="479">
        <f>'Hodnocení '!DJ88</f>
        <v>2237713.3918246417</v>
      </c>
      <c r="DK92" s="479">
        <f>'Hodnocení '!DK88</f>
        <v>2610665.6237954157</v>
      </c>
      <c r="DL92" s="479">
        <f>'Hodnocení '!DL88</f>
        <v>5584035.1378903612</v>
      </c>
      <c r="DM92" s="479">
        <f>'Hodnocení '!DM88</f>
        <v>3045793.643897383</v>
      </c>
      <c r="DN92" s="479">
        <f>'Hodnocení '!DN88</f>
        <v>3944573.5624590302</v>
      </c>
      <c r="DO92" s="479">
        <f>'Hodnocení '!DO88</f>
        <v>1491808.9278830946</v>
      </c>
      <c r="DP92" s="479">
        <f>'Hodnocení '!DP88</f>
        <v>4273288.0259972829</v>
      </c>
      <c r="DQ92" s="479">
        <f>'Hodnocení '!DQ88</f>
        <v>4709251.6733165188</v>
      </c>
      <c r="DR92" s="479">
        <f>'Hodnocení '!DR88</f>
        <v>5392272.908377694</v>
      </c>
      <c r="DS92" s="479">
        <f>'Hodnocení '!DS88</f>
        <v>2026359.3565512258</v>
      </c>
      <c r="DT92" s="479">
        <f>'Hodnocení '!DT88</f>
        <v>6495141.4671929013</v>
      </c>
      <c r="DU92" s="479">
        <f>'Hodnocení '!DU88</f>
        <v>2645456.9170197765</v>
      </c>
      <c r="DV92" s="479">
        <f>'Hodnocení '!DV88</f>
        <v>9426338.0732647777</v>
      </c>
      <c r="DW92" s="479">
        <f>'Hodnocení '!DW88</f>
        <v>1406369.022017373</v>
      </c>
      <c r="DX92" s="479">
        <f>'Hodnocení '!DX88</f>
        <v>4475426.7836492835</v>
      </c>
      <c r="DY92" s="479">
        <f>'Hodnocení '!DY88</f>
        <v>5980831.1552894069</v>
      </c>
      <c r="DZ92" s="479">
        <f>'Hodnocení '!DZ88</f>
        <v>974103.90738754079</v>
      </c>
      <c r="EA92" s="479">
        <f>'Hodnocení '!EA88</f>
        <v>4430245.3002143754</v>
      </c>
      <c r="EB92" s="479">
        <f>'Hodnocení '!EB88</f>
        <v>7476038.9441117588</v>
      </c>
      <c r="EC92" s="479">
        <f>'Hodnocení '!EC88</f>
        <v>4420118.6039673649</v>
      </c>
      <c r="ED92" s="479">
        <f>'Hodnocení '!ED88</f>
        <v>4658289.8122421829</v>
      </c>
      <c r="EE92" s="479">
        <f>'Hodnocení '!EE88</f>
        <v>854189.53739487671</v>
      </c>
      <c r="EF92" s="479">
        <f>'Hodnocení '!EF88</f>
        <v>928466.88847269223</v>
      </c>
      <c r="EG92" s="479">
        <f>'Hodnocení '!EG88</f>
        <v>445664.10646689229</v>
      </c>
      <c r="EH92" s="479">
        <f>'Hodnocení '!EH88</f>
        <v>864021.07812823995</v>
      </c>
      <c r="EI92" s="479">
        <f>'Hodnocení '!EI88</f>
        <v>1311636.3759544892</v>
      </c>
      <c r="EJ92" s="479">
        <f>'Hodnocení '!EJ88</f>
        <v>1193447.1423064759</v>
      </c>
      <c r="EK92" s="479">
        <f>'Hodnocení '!EK88</f>
        <v>4756975.8911051853</v>
      </c>
      <c r="EL92" s="479">
        <f>'Hodnocení '!EL88</f>
        <v>14310436.990353666</v>
      </c>
      <c r="EM92" s="479">
        <f>'Hodnocení '!EM88</f>
        <v>4305251.9510923605</v>
      </c>
      <c r="EN92" s="479">
        <f>'Hodnocení '!EN88</f>
        <v>2516394.0239095907</v>
      </c>
      <c r="EO92" s="479">
        <f>'Hodnocení '!EO88</f>
        <v>297109.40431126149</v>
      </c>
      <c r="EP92" s="479">
        <f>'Hodnocení '!EP88</f>
        <v>3824912.0974479797</v>
      </c>
      <c r="EQ92" s="479">
        <f>'Hodnocení '!EQ88</f>
        <v>1864761.1598538682</v>
      </c>
      <c r="ER92" s="479">
        <f>'Hodnocení '!ER88</f>
        <v>16131657.065016599</v>
      </c>
      <c r="ES92" s="479">
        <f>'Hodnocení '!ES88</f>
        <v>5047401.7716566315</v>
      </c>
      <c r="ET92" s="479">
        <f>'Hodnocení '!ET88</f>
        <v>1326574.4562129776</v>
      </c>
      <c r="EU92" s="479">
        <f>'Hodnocení '!EU88</f>
        <v>3478487.247769753</v>
      </c>
      <c r="EV92" s="479">
        <f>'Hodnocení '!EV88</f>
        <v>742773.51077815378</v>
      </c>
      <c r="EW92" s="479">
        <f>'Hodnocení '!EW88</f>
        <v>5584035.1378903612</v>
      </c>
      <c r="EX92" s="479">
        <f>'Hodnocení '!EX88</f>
        <v>23912734.310631018</v>
      </c>
      <c r="EY92" s="479">
        <f>'Hodnocení '!EY88</f>
        <v>3235363.7450266159</v>
      </c>
      <c r="EZ92" s="479">
        <f>'Hodnocení '!EZ88</f>
        <v>1458053.6193380388</v>
      </c>
      <c r="FA92" s="479">
        <f>'Hodnocení '!FA88</f>
        <v>3226331.4130033199</v>
      </c>
      <c r="FB92" s="479">
        <f>'Hodnocení '!FB88</f>
        <v>335042.10827342165</v>
      </c>
      <c r="FC92" s="479">
        <f>'Hodnocení '!FC88</f>
        <v>10162943.950960457</v>
      </c>
      <c r="FD92" s="479">
        <f>'Hodnocení '!FD88</f>
        <v>1914142.2168477664</v>
      </c>
      <c r="FE92" s="479">
        <f>'Hodnocení '!FE88</f>
        <v>862384.58884631132</v>
      </c>
      <c r="FF92" s="479">
        <f>'Hodnocení '!FF88</f>
        <v>4032914.2662541498</v>
      </c>
      <c r="FG92" s="479">
        <f>'Hodnocení '!FG88</f>
        <v>26393893.509623095</v>
      </c>
      <c r="FH92" s="479">
        <f>'Hodnocení '!FH88</f>
        <v>25320599.380801447</v>
      </c>
      <c r="FI92" s="479">
        <f>'Hodnocení '!FI88</f>
        <v>30076342.391255252</v>
      </c>
      <c r="FJ92" s="479">
        <f>'Hodnocení '!FJ88</f>
        <v>4963586.7892358769</v>
      </c>
      <c r="FK92" s="479">
        <f>'Hodnocení '!FK88</f>
        <v>1240896.6973089692</v>
      </c>
      <c r="FL92" s="479">
        <f>'Hodnocení '!FL88</f>
        <v>1430814.7840607695</v>
      </c>
      <c r="FM92" s="479">
        <f>'Hodnocení '!FM88</f>
        <v>7135156.0095265722</v>
      </c>
      <c r="FN92" s="479">
        <f>'Hodnocení '!FN88</f>
        <v>10138126.017014278</v>
      </c>
      <c r="FO92" s="479">
        <f>'Hodnocení '!FO88</f>
        <v>3806404.4394766116</v>
      </c>
      <c r="FP92" s="479">
        <f>'Hodnocení '!FP88</f>
        <v>35865206.076544233</v>
      </c>
      <c r="FQ92" s="479">
        <f>'Hodnocení '!FQ88</f>
        <v>3400427.5978508648</v>
      </c>
      <c r="FR92" s="479">
        <f>'Hodnocení '!FR88</f>
        <v>4165494.9229431539</v>
      </c>
      <c r="FS92" s="479">
        <f>'Hodnocení '!FS88</f>
        <v>1017465.3697298552</v>
      </c>
      <c r="FT92" s="479">
        <f>'Hodnocení '!FT88</f>
        <v>7259245.6792574693</v>
      </c>
      <c r="FU92" s="479">
        <f>'Hodnocení '!FU88</f>
        <v>953646.66849283664</v>
      </c>
      <c r="FV92" s="479">
        <f>'Hodnocení '!FV88</f>
        <v>2385003.4522278383</v>
      </c>
      <c r="FW92" s="479">
        <f>'Hodnocení '!FW88</f>
        <v>3040196.9084069747</v>
      </c>
      <c r="FX92" s="479">
        <f>'Hodnocení '!FX88</f>
        <v>1302941.5321744177</v>
      </c>
      <c r="FY92" s="479">
        <f>'Hodnocení '!FY88</f>
        <v>744538.01838538144</v>
      </c>
      <c r="FZ92" s="479">
        <f>'Hodnocení '!FZ88</f>
        <v>9927173.5784717537</v>
      </c>
      <c r="GA92" s="479">
        <f>'Hodnocení '!GA88</f>
        <v>1470858.1178828699</v>
      </c>
      <c r="GB92" s="479">
        <f>'Hodnocení '!GB88</f>
        <v>22698933.59336599</v>
      </c>
      <c r="GC92" s="479">
        <f>'Hodnocení '!GC88</f>
        <v>4963586.7892358769</v>
      </c>
      <c r="GD92" s="479">
        <f>'Hodnocení '!GD88</f>
        <v>32298740.797580589</v>
      </c>
      <c r="GE92" s="479">
        <f>'Hodnocení '!GE88</f>
        <v>2386894.2846129518</v>
      </c>
      <c r="GF92" s="479">
        <f>'Hodnocení '!GF88</f>
        <v>6607774.9131702604</v>
      </c>
      <c r="GG92" s="479">
        <f>'Hodnocení '!GG88</f>
        <v>2412810.8533534072</v>
      </c>
      <c r="GH92" s="479">
        <f>'Hodnocení '!GH88</f>
        <v>1734759.4912772286</v>
      </c>
      <c r="GI92" s="479">
        <f>'Hodnocení '!GI88</f>
        <v>26898845.321518045</v>
      </c>
      <c r="GJ92" s="479">
        <f>'Hodnocení '!GJ88</f>
        <v>4640953.6479355451</v>
      </c>
      <c r="GK92" s="479">
        <f>'Hodnocení '!GK88</f>
        <v>4666586.3538562711</v>
      </c>
      <c r="GL92" s="479">
        <f>'Hodnocení '!GL88</f>
        <v>1500042.653704515</v>
      </c>
      <c r="GM92" s="479">
        <f>'Hodnocení '!GM88</f>
        <v>1544957.978629787</v>
      </c>
      <c r="GN92" s="479">
        <f>'Hodnocení '!GN88</f>
        <v>1437939.4422340516</v>
      </c>
      <c r="GO92" s="479">
        <f>'Hodnocení '!GO88</f>
        <v>18829177.495732103</v>
      </c>
      <c r="GP92" s="479">
        <f>'Hodnocení '!GP88</f>
        <v>1706232.9587998325</v>
      </c>
      <c r="GQ92" s="479">
        <f>'Hodnocení '!GQ88</f>
        <v>3412465.917599665</v>
      </c>
      <c r="GR92" s="479">
        <f>'Hodnocení '!GR88</f>
        <v>1991639.1991808952</v>
      </c>
      <c r="GS92" s="479">
        <f>'Hodnocení '!GS88</f>
        <v>1240896.6973089692</v>
      </c>
      <c r="GT92" s="479">
        <f>'Hodnocení '!GT88</f>
        <v>18768562.546798158</v>
      </c>
      <c r="GU92" s="479">
        <f>'Hodnocení '!GU88</f>
        <v>2608922.9327927795</v>
      </c>
      <c r="GV92" s="479">
        <f>'Hodnocení '!GV88</f>
        <v>16392406.930701531</v>
      </c>
      <c r="GW92" s="479">
        <f>'Hodnocení '!GW88</f>
        <v>2792017.5689451806</v>
      </c>
      <c r="GX92" s="479">
        <f>'Hodnocení '!GX88</f>
        <v>1054762.1927126236</v>
      </c>
      <c r="GY92" s="479">
        <f>'Hodnocení '!GY88</f>
        <v>68152379.240539506</v>
      </c>
      <c r="GZ92" s="479">
        <f>'Hodnocení '!GZ88</f>
        <v>4743528.0360301649</v>
      </c>
      <c r="HA92" s="479">
        <f>'Hodnocení '!HA88</f>
        <v>14890760.367707631</v>
      </c>
      <c r="HB92" s="479">
        <f>'Hodnocení '!HB88</f>
        <v>12210902.301630028</v>
      </c>
      <c r="HC92" s="479">
        <f>'Hodnocení '!HC88</f>
        <v>29214216.123793915</v>
      </c>
      <c r="HD92" s="479">
        <f>'Hodnocení '!HD88</f>
        <v>4963586.7892358769</v>
      </c>
      <c r="HE92" s="479">
        <f>'Hodnocení '!HE88</f>
        <v>22927478.619206555</v>
      </c>
      <c r="HF92" s="479">
        <f>'Hodnocení '!HF88</f>
        <v>3536555.5873305621</v>
      </c>
      <c r="HG92" s="479">
        <f>'Hodnocení '!HG88</f>
        <v>1809578.4877398005</v>
      </c>
      <c r="HH92" s="479">
        <f>'Hodnocení '!HH88</f>
        <v>4343138.4405813916</v>
      </c>
      <c r="HI92" s="479">
        <f>'Hodnocení '!HI88</f>
        <v>6204483.4865448456</v>
      </c>
      <c r="HJ92" s="479">
        <f>'Hodnocení '!HJ88</f>
        <v>1491808.9278830946</v>
      </c>
      <c r="HK92" s="479">
        <f>'Hodnocení '!HK88</f>
        <v>1613165.7065016599</v>
      </c>
      <c r="HL92" s="479">
        <f>'Hodnocení '!HL88</f>
        <v>56130524.056847081</v>
      </c>
      <c r="HM92" s="479">
        <f>'Hodnocení '!HM88</f>
        <v>30182905.047021784</v>
      </c>
      <c r="HN92" s="479">
        <f>'Hodnocení '!HN88</f>
        <v>773502.96210955526</v>
      </c>
      <c r="HO92" s="479">
        <f>'Hodnocení '!HO88</f>
        <v>2685256.0701895705</v>
      </c>
      <c r="HP92" s="479">
        <f>'Hodnocení '!HP88</f>
        <v>51035686.209657252</v>
      </c>
      <c r="HQ92" s="479">
        <f>'Hodnocení '!HQ88</f>
        <v>1208204.2898728312</v>
      </c>
      <c r="HR92" s="479">
        <f>'Hodnocení '!HR88</f>
        <v>61202480.949702024</v>
      </c>
      <c r="HS92" s="479">
        <f>'Hodnocení '!HS88</f>
        <v>9494800.2016179003</v>
      </c>
      <c r="HT92" s="479">
        <f>'Hodnocení '!HT88</f>
        <v>31629150.788444921</v>
      </c>
      <c r="HU92" s="479">
        <f>'Hodnocení '!HU88</f>
        <v>49029558.005941018</v>
      </c>
      <c r="HV92" s="479">
        <f>'Hodnocení '!HV88</f>
        <v>54515531.002656981</v>
      </c>
      <c r="HW92" s="479">
        <f>'Hodnocení '!HW88</f>
        <v>9912963.0045675002</v>
      </c>
      <c r="HX92" s="479">
        <f>'Hodnocení '!HX88</f>
        <v>48567161.81129469</v>
      </c>
      <c r="HY92" s="479">
        <f>'Hodnocení '!HY88</f>
        <v>41937577.493538782</v>
      </c>
      <c r="HZ92" s="479">
        <f>'Hodnocení '!HZ88</f>
        <v>23577865.97824911</v>
      </c>
      <c r="IA92" s="479">
        <f>'Hodnocení '!IA88</f>
        <v>25969163.11623653</v>
      </c>
      <c r="IB92" s="479">
        <f>'Hodnocení '!IB88</f>
        <v>24096872.050058767</v>
      </c>
      <c r="IC92" s="479">
        <f>'Hodnocení '!IC88</f>
        <v>41590958.823939592</v>
      </c>
      <c r="ID92" s="479">
        <f>'Hodnocení '!ID88</f>
        <v>28375800.947989967</v>
      </c>
      <c r="IE92" s="479">
        <f>'Hodnocení '!IE88</f>
        <v>37230295.77374085</v>
      </c>
      <c r="IF92" s="479">
        <f>'Hodnocení '!IF88</f>
        <v>39821193.67414362</v>
      </c>
      <c r="IG92" s="479">
        <f>'Hodnocení '!IG88</f>
        <v>9546114.9741041008</v>
      </c>
      <c r="IH92" s="479">
        <f>'Hodnocení '!IH88</f>
        <v>5141380.4000648763</v>
      </c>
      <c r="II92" s="479">
        <f>'Hodnocení '!II88</f>
        <v>30453722.883260455</v>
      </c>
      <c r="IJ92" s="479">
        <f>'Hodnocení '!IJ88</f>
        <v>2958935.9404571536</v>
      </c>
      <c r="IK92" s="479">
        <f>'Hodnocení '!IK88</f>
        <v>3438619.5787705323</v>
      </c>
      <c r="IL92" s="479">
        <f>'Hodnocení '!IL88</f>
        <v>22385109.317651723</v>
      </c>
      <c r="IM92" s="479">
        <f>'Hodnocení '!IM88</f>
        <v>893669.57364692003</v>
      </c>
      <c r="IN92" s="479">
        <f>'Hodnocení '!IN88</f>
        <v>25796379.637768649</v>
      </c>
      <c r="IO92" s="479">
        <f>'Hodnocení '!IO88</f>
        <v>6835216.5014373157</v>
      </c>
      <c r="IP92" s="479">
        <f>'Hodnocení '!IP88</f>
        <v>38287776.79471162</v>
      </c>
      <c r="IQ92" s="479">
        <f>'Hodnocení '!IQ88</f>
        <v>39179506.878147766</v>
      </c>
      <c r="IR92" s="479">
        <f>'Hodnocení '!IR88</f>
        <v>1445810.0699626966</v>
      </c>
      <c r="IS92" s="479">
        <f>'Hodnocení '!IS88</f>
        <v>141714846.86241913</v>
      </c>
      <c r="IT92" s="479">
        <f>'Hodnocení '!IT88</f>
        <v>32150187.987063766</v>
      </c>
      <c r="IU92" s="479">
        <f>'Hodnocení '!IU88</f>
        <v>5006953.0010567615</v>
      </c>
      <c r="IV92" s="479">
        <f>'Hodnocení '!IV88</f>
        <v>21793452.868484437</v>
      </c>
      <c r="IW92" s="479">
        <f>'Hodnocení '!IW88</f>
        <v>34338102.013458379</v>
      </c>
      <c r="IX92" s="479">
        <f>'Hodnocení '!IX88</f>
        <v>2891620.1399253933</v>
      </c>
      <c r="IY92" s="479">
        <f>'Hodnocení '!IY88</f>
        <v>21076689.273638532</v>
      </c>
      <c r="IZ92" s="479">
        <f>'Hodnocení '!IZ88</f>
        <v>53020163.721376896</v>
      </c>
      <c r="JA92" s="479">
        <f>'Hodnocení '!JA88</f>
        <v>3082510.0697293384</v>
      </c>
      <c r="JB92" s="479">
        <f>'Hodnocení '!JB88</f>
        <v>3801963.0001571975</v>
      </c>
      <c r="JC92" s="479">
        <f>'Hodnocení '!JC88</f>
        <v>2169515.4593524667</v>
      </c>
      <c r="JD92" s="479">
        <f>'Hodnocení '!JD88</f>
        <v>6713140.1754739247</v>
      </c>
      <c r="JE92" s="479">
        <f>'Hodnocení '!JE88</f>
        <v>4834243.7070711059</v>
      </c>
      <c r="JF92" s="479">
        <f>'Hodnocení '!JF88</f>
        <v>64831109.612143777</v>
      </c>
      <c r="JG92" s="479">
        <f>'Hodnocení '!JG88</f>
        <v>45271843.809430018</v>
      </c>
      <c r="JH92" s="780">
        <f>'Hodnocení '!JH88</f>
        <v>1432360.5197921393</v>
      </c>
      <c r="JI92" s="315">
        <f>'Hodnocení '!JI88</f>
        <v>0</v>
      </c>
    </row>
    <row r="93" spans="1:276" x14ac:dyDescent="0.25">
      <c r="A93" s="835">
        <f>0.3*0.05</f>
        <v>1.4999999999999999E-2</v>
      </c>
      <c r="B93" s="733" t="s">
        <v>2607</v>
      </c>
      <c r="C93" s="779">
        <f>'Hodnocení '!C89</f>
        <v>361626.59525466111</v>
      </c>
      <c r="D93" s="479">
        <f>'Hodnocení '!D89</f>
        <v>289653.95775090024</v>
      </c>
      <c r="E93" s="479">
        <f>'Hodnocení '!E89</f>
        <v>408010.43803386827</v>
      </c>
      <c r="F93" s="479">
        <f>'Hodnocení '!F89</f>
        <v>0</v>
      </c>
      <c r="G93" s="479">
        <f>'Hodnocení '!G89</f>
        <v>0</v>
      </c>
      <c r="H93" s="479">
        <f>'Hodnocení '!H89</f>
        <v>0</v>
      </c>
      <c r="I93" s="479">
        <f>'Hodnocení '!I89</f>
        <v>0</v>
      </c>
      <c r="J93" s="479">
        <f>'Hodnocení '!J89</f>
        <v>0</v>
      </c>
      <c r="K93" s="479">
        <f>'Hodnocení '!K89</f>
        <v>0</v>
      </c>
      <c r="L93" s="479">
        <f>'Hodnocení '!L89</f>
        <v>0</v>
      </c>
      <c r="M93" s="479">
        <f>'Hodnocení '!M89</f>
        <v>0</v>
      </c>
      <c r="N93" s="479">
        <f>'Hodnocení '!N89</f>
        <v>0</v>
      </c>
      <c r="O93" s="479">
        <f>'Hodnocení '!O89</f>
        <v>0</v>
      </c>
      <c r="P93" s="479">
        <f>'Hodnocení '!P89</f>
        <v>0</v>
      </c>
      <c r="Q93" s="479">
        <f>'Hodnocení '!Q89</f>
        <v>0</v>
      </c>
      <c r="R93" s="479">
        <f>'Hodnocení '!R89</f>
        <v>0</v>
      </c>
      <c r="S93" s="479">
        <f>'Hodnocení '!S89</f>
        <v>0</v>
      </c>
      <c r="T93" s="479">
        <f>'Hodnocení '!T89</f>
        <v>0</v>
      </c>
      <c r="U93" s="479">
        <f>'Hodnocení '!U89</f>
        <v>0</v>
      </c>
      <c r="V93" s="479">
        <f>'Hodnocení '!V89</f>
        <v>0</v>
      </c>
      <c r="W93" s="479">
        <f>'Hodnocení '!W89</f>
        <v>0</v>
      </c>
      <c r="X93" s="479">
        <f>'Hodnocení '!X89</f>
        <v>0</v>
      </c>
      <c r="Y93" s="479">
        <f>'Hodnocení '!Y89</f>
        <v>0</v>
      </c>
      <c r="Z93" s="479">
        <f>'Hodnocení '!Z89</f>
        <v>199290.80962196799</v>
      </c>
      <c r="AA93" s="479">
        <f>'Hodnocení '!AA89</f>
        <v>0</v>
      </c>
      <c r="AB93" s="479">
        <f>'Hodnocení '!AB89</f>
        <v>0</v>
      </c>
      <c r="AC93" s="479">
        <f>'Hodnocení '!AC89</f>
        <v>0</v>
      </c>
      <c r="AD93" s="479">
        <f>'Hodnocení '!AD89</f>
        <v>0</v>
      </c>
      <c r="AE93" s="479">
        <f>'Hodnocení '!AE89</f>
        <v>0</v>
      </c>
      <c r="AF93" s="479">
        <f>'Hodnocení '!AF89</f>
        <v>0</v>
      </c>
      <c r="AG93" s="479">
        <f>'Hodnocení '!AG89</f>
        <v>0</v>
      </c>
      <c r="AH93" s="479">
        <f>'Hodnocení '!AH89</f>
        <v>0</v>
      </c>
      <c r="AI93" s="479">
        <f>'Hodnocení '!AI89</f>
        <v>175854.6169065937</v>
      </c>
      <c r="AJ93" s="479">
        <f>'Hodnocení '!AJ89</f>
        <v>104609.69062323478</v>
      </c>
      <c r="AK93" s="479">
        <f>'Hodnocení '!AK89</f>
        <v>0</v>
      </c>
      <c r="AL93" s="479">
        <f>'Hodnocení '!AL89</f>
        <v>0</v>
      </c>
      <c r="AM93" s="479">
        <f>'Hodnocení '!AM89</f>
        <v>0</v>
      </c>
      <c r="AN93" s="479">
        <f>'Hodnocení '!AN89</f>
        <v>0</v>
      </c>
      <c r="AO93" s="479">
        <f>'Hodnocení '!AO89</f>
        <v>0</v>
      </c>
      <c r="AP93" s="479">
        <f>'Hodnocení '!AP89</f>
        <v>0</v>
      </c>
      <c r="AQ93" s="479">
        <f>'Hodnocení '!AQ89</f>
        <v>0</v>
      </c>
      <c r="AR93" s="479">
        <f>'Hodnocení '!AR89</f>
        <v>0</v>
      </c>
      <c r="AS93" s="479">
        <f>'Hodnocení '!AS89</f>
        <v>0</v>
      </c>
      <c r="AT93" s="479">
        <f>'Hodnocení '!AT89</f>
        <v>0</v>
      </c>
      <c r="AU93" s="479">
        <f>'Hodnocení '!AU89</f>
        <v>0</v>
      </c>
      <c r="AV93" s="479">
        <f>'Hodnocení '!AV89</f>
        <v>0</v>
      </c>
      <c r="AW93" s="479">
        <f>'Hodnocení '!AW89</f>
        <v>0</v>
      </c>
      <c r="AX93" s="479">
        <f>'Hodnocení '!AX89</f>
        <v>0</v>
      </c>
      <c r="AY93" s="479">
        <f>'Hodnocení '!AY89</f>
        <v>0</v>
      </c>
      <c r="AZ93" s="479">
        <f>'Hodnocení '!AZ89</f>
        <v>74878.331669322652</v>
      </c>
      <c r="BA93" s="479">
        <f>'Hodnocení '!BA89</f>
        <v>0</v>
      </c>
      <c r="BB93" s="479">
        <f>'Hodnocení '!BB89</f>
        <v>0</v>
      </c>
      <c r="BC93" s="479">
        <f>'Hodnocení '!BC89</f>
        <v>0</v>
      </c>
      <c r="BD93" s="479">
        <f>'Hodnocení '!BD89</f>
        <v>0</v>
      </c>
      <c r="BE93" s="479">
        <f>'Hodnocení '!BE89</f>
        <v>0</v>
      </c>
      <c r="BF93" s="479">
        <f>'Hodnocení '!BF89</f>
        <v>0</v>
      </c>
      <c r="BG93" s="479">
        <f>'Hodnocení '!BG89</f>
        <v>0</v>
      </c>
      <c r="BH93" s="479">
        <f>'Hodnocení '!BH89</f>
        <v>0</v>
      </c>
      <c r="BI93" s="479">
        <f>'Hodnocení '!BI89</f>
        <v>67913.110693742972</v>
      </c>
      <c r="BJ93" s="479">
        <f>'Hodnocení '!BJ89</f>
        <v>0</v>
      </c>
      <c r="BK93" s="479">
        <f>'Hodnocení '!BK89</f>
        <v>0</v>
      </c>
      <c r="BL93" s="479">
        <f>'Hodnocení '!BL89</f>
        <v>0</v>
      </c>
      <c r="BM93" s="479">
        <f>'Hodnocení '!BM89</f>
        <v>0</v>
      </c>
      <c r="BN93" s="479">
        <f>'Hodnocení '!BN89</f>
        <v>0</v>
      </c>
      <c r="BO93" s="479">
        <f>'Hodnocení '!BO89</f>
        <v>0</v>
      </c>
      <c r="BP93" s="479">
        <f>'Hodnocení '!BP89</f>
        <v>0</v>
      </c>
      <c r="BQ93" s="479">
        <f>'Hodnocení '!BQ89</f>
        <v>0</v>
      </c>
      <c r="BR93" s="479">
        <f>'Hodnocení '!BR89</f>
        <v>0</v>
      </c>
      <c r="BS93" s="479">
        <f>'Hodnocení '!BS89</f>
        <v>0</v>
      </c>
      <c r="BT93" s="479">
        <f>'Hodnocení '!BT89</f>
        <v>0</v>
      </c>
      <c r="BU93" s="479">
        <f>'Hodnocení '!BU89</f>
        <v>0</v>
      </c>
      <c r="BV93" s="479">
        <f>'Hodnocení '!BV89</f>
        <v>0</v>
      </c>
      <c r="BW93" s="479">
        <f>'Hodnocení '!BW89</f>
        <v>0</v>
      </c>
      <c r="BX93" s="479">
        <f>'Hodnocení '!BX89</f>
        <v>0</v>
      </c>
      <c r="BY93" s="479">
        <f>'Hodnocení '!BY89</f>
        <v>0</v>
      </c>
      <c r="BZ93" s="479">
        <f>'Hodnocení '!BZ89</f>
        <v>0</v>
      </c>
      <c r="CA93" s="479">
        <f>'Hodnocení '!CA89</f>
        <v>0</v>
      </c>
      <c r="CB93" s="479">
        <f>'Hodnocení '!CB89</f>
        <v>0</v>
      </c>
      <c r="CC93" s="479">
        <f>'Hodnocení '!CC89</f>
        <v>0</v>
      </c>
      <c r="CD93" s="479">
        <f>'Hodnocení '!CD89</f>
        <v>0</v>
      </c>
      <c r="CE93" s="479">
        <f>'Hodnocení '!CE89</f>
        <v>0</v>
      </c>
      <c r="CF93" s="479">
        <f>'Hodnocení '!CF89</f>
        <v>0</v>
      </c>
      <c r="CG93" s="479">
        <f>'Hodnocení '!CG89</f>
        <v>0</v>
      </c>
      <c r="CH93" s="479">
        <f>'Hodnocení '!CH89</f>
        <v>0</v>
      </c>
      <c r="CI93" s="479">
        <f>'Hodnocení '!CI89</f>
        <v>0</v>
      </c>
      <c r="CJ93" s="479">
        <f>'Hodnocení '!CJ89</f>
        <v>0</v>
      </c>
      <c r="CK93" s="479">
        <f>'Hodnocení '!CK89</f>
        <v>0</v>
      </c>
      <c r="CL93" s="479">
        <f>'Hodnocení '!CL89</f>
        <v>0</v>
      </c>
      <c r="CM93" s="479">
        <f>'Hodnocení '!CM89</f>
        <v>0</v>
      </c>
      <c r="CN93" s="479">
        <f>'Hodnocení '!CN89</f>
        <v>0</v>
      </c>
      <c r="CO93" s="479">
        <f>'Hodnocení '!CO89</f>
        <v>0</v>
      </c>
      <c r="CP93" s="479">
        <f>'Hodnocení '!CP89</f>
        <v>0</v>
      </c>
      <c r="CQ93" s="479">
        <f>'Hodnocení '!CQ89</f>
        <v>0</v>
      </c>
      <c r="CR93" s="479">
        <f>'Hodnocení '!CR89</f>
        <v>0</v>
      </c>
      <c r="CS93" s="479">
        <f>'Hodnocení '!CS89</f>
        <v>0</v>
      </c>
      <c r="CT93" s="479">
        <f>'Hodnocení '!CT89</f>
        <v>0</v>
      </c>
      <c r="CU93" s="479">
        <f>'Hodnocení '!CU89</f>
        <v>0</v>
      </c>
      <c r="CV93" s="479">
        <f>'Hodnocení '!CV89</f>
        <v>184573.92926874422</v>
      </c>
      <c r="CW93" s="479">
        <f>'Hodnocení '!CW89</f>
        <v>0</v>
      </c>
      <c r="CX93" s="479">
        <f>'Hodnocení '!CX89</f>
        <v>0</v>
      </c>
      <c r="CY93" s="479">
        <f>'Hodnocení '!CY89</f>
        <v>0</v>
      </c>
      <c r="CZ93" s="479">
        <f>'Hodnocení '!CZ89</f>
        <v>0</v>
      </c>
      <c r="DA93" s="479">
        <f>'Hodnocení '!DA89</f>
        <v>187634.70914962181</v>
      </c>
      <c r="DB93" s="479">
        <f>'Hodnocení '!DB89</f>
        <v>0</v>
      </c>
      <c r="DC93" s="479">
        <f>'Hodnocení '!DC89</f>
        <v>0</v>
      </c>
      <c r="DD93" s="479">
        <f>'Hodnocení '!DD89</f>
        <v>0</v>
      </c>
      <c r="DE93" s="479">
        <f>'Hodnocení '!DE89</f>
        <v>0</v>
      </c>
      <c r="DF93" s="479">
        <f>'Hodnocení '!DF89</f>
        <v>0</v>
      </c>
      <c r="DG93" s="479">
        <f>'Hodnocení '!DG89</f>
        <v>0</v>
      </c>
      <c r="DH93" s="479">
        <f>'Hodnocení '!DH89</f>
        <v>0</v>
      </c>
      <c r="DI93" s="479">
        <f>'Hodnocení '!DI89</f>
        <v>0</v>
      </c>
      <c r="DJ93" s="479">
        <f>'Hodnocení '!DJ89</f>
        <v>0</v>
      </c>
      <c r="DK93" s="479">
        <f>'Hodnocení '!DK89</f>
        <v>0</v>
      </c>
      <c r="DL93" s="479">
        <f>'Hodnocení '!DL89</f>
        <v>0</v>
      </c>
      <c r="DM93" s="479">
        <f>'Hodnocení '!DM89</f>
        <v>0</v>
      </c>
      <c r="DN93" s="479">
        <f>'Hodnocení '!DN89</f>
        <v>0</v>
      </c>
      <c r="DO93" s="479">
        <f>'Hodnocení '!DO89</f>
        <v>0</v>
      </c>
      <c r="DP93" s="479">
        <f>'Hodnocení '!DP89</f>
        <v>0</v>
      </c>
      <c r="DQ93" s="479">
        <f>'Hodnocení '!DQ89</f>
        <v>0</v>
      </c>
      <c r="DR93" s="479">
        <f>'Hodnocení '!DR89</f>
        <v>0</v>
      </c>
      <c r="DS93" s="479">
        <f>'Hodnocení '!DS89</f>
        <v>0</v>
      </c>
      <c r="DT93" s="479">
        <f>'Hodnocení '!DT89</f>
        <v>0</v>
      </c>
      <c r="DU93" s="479">
        <f>'Hodnocení '!DU89</f>
        <v>0</v>
      </c>
      <c r="DV93" s="479">
        <f>'Hodnocení '!DV89</f>
        <v>0</v>
      </c>
      <c r="DW93" s="479">
        <f>'Hodnocení '!DW89</f>
        <v>0</v>
      </c>
      <c r="DX93" s="479">
        <f>'Hodnocení '!DX89</f>
        <v>0</v>
      </c>
      <c r="DY93" s="479">
        <f>'Hodnocení '!DY89</f>
        <v>0</v>
      </c>
      <c r="DZ93" s="479">
        <f>'Hodnocení '!DZ89</f>
        <v>0</v>
      </c>
      <c r="EA93" s="479">
        <f>'Hodnocení '!EA89</f>
        <v>0</v>
      </c>
      <c r="EB93" s="479">
        <f>'Hodnocení '!EB89</f>
        <v>0</v>
      </c>
      <c r="EC93" s="479">
        <f>'Hodnocení '!EC89</f>
        <v>0</v>
      </c>
      <c r="ED93" s="479">
        <f>'Hodnocení '!ED89</f>
        <v>0</v>
      </c>
      <c r="EE93" s="479">
        <f>'Hodnocení '!EE89</f>
        <v>0</v>
      </c>
      <c r="EF93" s="479">
        <f>'Hodnocení '!EF89</f>
        <v>0</v>
      </c>
      <c r="EG93" s="479">
        <f>'Hodnocení '!EG89</f>
        <v>0</v>
      </c>
      <c r="EH93" s="479">
        <f>'Hodnocení '!EH89</f>
        <v>0</v>
      </c>
      <c r="EI93" s="479">
        <f>'Hodnocení '!EI89</f>
        <v>0</v>
      </c>
      <c r="EJ93" s="479">
        <f>'Hodnocení '!EJ89</f>
        <v>0</v>
      </c>
      <c r="EK93" s="479">
        <f>'Hodnocení '!EK89</f>
        <v>0</v>
      </c>
      <c r="EL93" s="479">
        <f>'Hodnocení '!EL89</f>
        <v>0</v>
      </c>
      <c r="EM93" s="479">
        <f>'Hodnocení '!EM89</f>
        <v>0</v>
      </c>
      <c r="EN93" s="479">
        <f>'Hodnocení '!EN89</f>
        <v>0</v>
      </c>
      <c r="EO93" s="479">
        <f>'Hodnocení '!EO89</f>
        <v>0</v>
      </c>
      <c r="EP93" s="479">
        <f>'Hodnocení '!EP89</f>
        <v>0</v>
      </c>
      <c r="EQ93" s="479">
        <f>'Hodnocení '!EQ89</f>
        <v>0</v>
      </c>
      <c r="ER93" s="479">
        <f>'Hodnocení '!ER89</f>
        <v>0</v>
      </c>
      <c r="ES93" s="479">
        <f>'Hodnocení '!ES89</f>
        <v>0</v>
      </c>
      <c r="ET93" s="479">
        <f>'Hodnocení '!ET89</f>
        <v>0</v>
      </c>
      <c r="EU93" s="479">
        <f>'Hodnocení '!EU89</f>
        <v>52177.308716546293</v>
      </c>
      <c r="EV93" s="479">
        <f>'Hodnocení '!EV89</f>
        <v>0</v>
      </c>
      <c r="EW93" s="479">
        <f>'Hodnocení '!EW89</f>
        <v>0</v>
      </c>
      <c r="EX93" s="479">
        <f>'Hodnocení '!EX89</f>
        <v>358691.01465946523</v>
      </c>
      <c r="EY93" s="479">
        <f>'Hodnocení '!EY89</f>
        <v>0</v>
      </c>
      <c r="EZ93" s="479">
        <f>'Hodnocení '!EZ89</f>
        <v>0</v>
      </c>
      <c r="FA93" s="479">
        <f>'Hodnocení '!FA89</f>
        <v>0</v>
      </c>
      <c r="FB93" s="479">
        <f>'Hodnocení '!FB89</f>
        <v>0</v>
      </c>
      <c r="FC93" s="479">
        <f>'Hodnocení '!FC89</f>
        <v>0</v>
      </c>
      <c r="FD93" s="479">
        <f>'Hodnocení '!FD89</f>
        <v>0</v>
      </c>
      <c r="FE93" s="479">
        <f>'Hodnocení '!FE89</f>
        <v>0</v>
      </c>
      <c r="FF93" s="479">
        <f>'Hodnocení '!FF89</f>
        <v>0</v>
      </c>
      <c r="FG93" s="479">
        <f>'Hodnocení '!FG89</f>
        <v>395908.40264434641</v>
      </c>
      <c r="FH93" s="479">
        <f>'Hodnocení '!FH89</f>
        <v>379808.99071202171</v>
      </c>
      <c r="FI93" s="479">
        <f>'Hodnocení '!FI89</f>
        <v>451145.13586882874</v>
      </c>
      <c r="FJ93" s="479">
        <f>'Hodnocení '!FJ89</f>
        <v>0</v>
      </c>
      <c r="FK93" s="479">
        <f>'Hodnocení '!FK89</f>
        <v>0</v>
      </c>
      <c r="FL93" s="479">
        <f>'Hodnocení '!FL89</f>
        <v>0</v>
      </c>
      <c r="FM93" s="479">
        <f>'Hodnocení '!FM89</f>
        <v>0</v>
      </c>
      <c r="FN93" s="479">
        <f>'Hodnocení '!FN89</f>
        <v>0</v>
      </c>
      <c r="FO93" s="479">
        <f>'Hodnocení '!FO89</f>
        <v>0</v>
      </c>
      <c r="FP93" s="479">
        <f>'Hodnocení '!FP89</f>
        <v>537978.09114816342</v>
      </c>
      <c r="FQ93" s="479">
        <f>'Hodnocení '!FQ89</f>
        <v>0</v>
      </c>
      <c r="FR93" s="479">
        <f>'Hodnocení '!FR89</f>
        <v>0</v>
      </c>
      <c r="FS93" s="479">
        <f>'Hodnocení '!FS89</f>
        <v>0</v>
      </c>
      <c r="FT93" s="479">
        <f>'Hodnocení '!FT89</f>
        <v>0</v>
      </c>
      <c r="FU93" s="479">
        <f>'Hodnocení '!FU89</f>
        <v>0</v>
      </c>
      <c r="FV93" s="479">
        <f>'Hodnocení '!FV89</f>
        <v>0</v>
      </c>
      <c r="FW93" s="479">
        <f>'Hodnocení '!FW89</f>
        <v>0</v>
      </c>
      <c r="FX93" s="479">
        <f>'Hodnocení '!FX89</f>
        <v>0</v>
      </c>
      <c r="FY93" s="479">
        <f>'Hodnocení '!FY89</f>
        <v>0</v>
      </c>
      <c r="FZ93" s="479">
        <f>'Hodnocení '!FZ89</f>
        <v>0</v>
      </c>
      <c r="GA93" s="479">
        <f>'Hodnocení '!GA89</f>
        <v>0</v>
      </c>
      <c r="GB93" s="479">
        <f>'Hodnocení '!GB89</f>
        <v>340484.00390048983</v>
      </c>
      <c r="GC93" s="479">
        <f>'Hodnocení '!GC89</f>
        <v>0</v>
      </c>
      <c r="GD93" s="479">
        <f>'Hodnocení '!GD89</f>
        <v>484481.11196370883</v>
      </c>
      <c r="GE93" s="479">
        <f>'Hodnocení '!GE89</f>
        <v>0</v>
      </c>
      <c r="GF93" s="479">
        <f>'Hodnocení '!GF89</f>
        <v>0</v>
      </c>
      <c r="GG93" s="479">
        <f>'Hodnocení '!GG89</f>
        <v>0</v>
      </c>
      <c r="GH93" s="479">
        <f>'Hodnocení '!GH89</f>
        <v>0</v>
      </c>
      <c r="GI93" s="479">
        <f>'Hodnocení '!GI89</f>
        <v>403482.67982277065</v>
      </c>
      <c r="GJ93" s="479">
        <f>'Hodnocení '!GJ89</f>
        <v>0</v>
      </c>
      <c r="GK93" s="479">
        <f>'Hodnocení '!GK89</f>
        <v>0</v>
      </c>
      <c r="GL93" s="479">
        <f>'Hodnocení '!GL89</f>
        <v>0</v>
      </c>
      <c r="GM93" s="479">
        <f>'Hodnocení '!GM89</f>
        <v>0</v>
      </c>
      <c r="GN93" s="479">
        <f>'Hodnocení '!GN89</f>
        <v>0</v>
      </c>
      <c r="GO93" s="479">
        <f>'Hodnocení '!GO89</f>
        <v>282437.6624359815</v>
      </c>
      <c r="GP93" s="479">
        <f>'Hodnocení '!GP89</f>
        <v>0</v>
      </c>
      <c r="GQ93" s="479">
        <f>'Hodnocení '!GQ89</f>
        <v>0</v>
      </c>
      <c r="GR93" s="479">
        <f>'Hodnocení '!GR89</f>
        <v>0</v>
      </c>
      <c r="GS93" s="479">
        <f>'Hodnocení '!GS89</f>
        <v>0</v>
      </c>
      <c r="GT93" s="479">
        <f>'Hodnocení '!GT89</f>
        <v>0</v>
      </c>
      <c r="GU93" s="479">
        <f>'Hodnocení '!GU89</f>
        <v>0</v>
      </c>
      <c r="GV93" s="479">
        <f>'Hodnocení '!GV89</f>
        <v>245886.10396052297</v>
      </c>
      <c r="GW93" s="479">
        <f>'Hodnocení '!GW89</f>
        <v>0</v>
      </c>
      <c r="GX93" s="479">
        <f>'Hodnocení '!GX89</f>
        <v>0</v>
      </c>
      <c r="GY93" s="479">
        <f>'Hodnocení '!GY89</f>
        <v>1022285.6886080926</v>
      </c>
      <c r="GZ93" s="479">
        <f>'Hodnocení '!GZ89</f>
        <v>0</v>
      </c>
      <c r="HA93" s="479">
        <f>'Hodnocení '!HA89</f>
        <v>0</v>
      </c>
      <c r="HB93" s="479">
        <f>'Hodnocení '!HB89</f>
        <v>0</v>
      </c>
      <c r="HC93" s="479">
        <f>'Hodnocení '!HC89</f>
        <v>438213.24185690872</v>
      </c>
      <c r="HD93" s="479">
        <f>'Hodnocení '!HD89</f>
        <v>0</v>
      </c>
      <c r="HE93" s="479">
        <f>'Hodnocení '!HE89</f>
        <v>343912.1792880983</v>
      </c>
      <c r="HF93" s="479">
        <f>'Hodnocení '!HF89</f>
        <v>0</v>
      </c>
      <c r="HG93" s="479">
        <f>'Hodnocení '!HG89</f>
        <v>0</v>
      </c>
      <c r="HH93" s="479">
        <f>'Hodnocení '!HH89</f>
        <v>0</v>
      </c>
      <c r="HI93" s="479">
        <f>'Hodnocení '!HI89</f>
        <v>0</v>
      </c>
      <c r="HJ93" s="479">
        <f>'Hodnocení '!HJ89</f>
        <v>0</v>
      </c>
      <c r="HK93" s="479">
        <f>'Hodnocení '!HK89</f>
        <v>0</v>
      </c>
      <c r="HL93" s="479">
        <f>'Hodnocení '!HL89</f>
        <v>841957.86085270613</v>
      </c>
      <c r="HM93" s="479">
        <f>'Hodnocení '!HM89</f>
        <v>0</v>
      </c>
      <c r="HN93" s="479">
        <f>'Hodnocení '!HN89</f>
        <v>0</v>
      </c>
      <c r="HO93" s="479">
        <f>'Hodnocení '!HO89</f>
        <v>0</v>
      </c>
      <c r="HP93" s="479">
        <f>'Hodnocení '!HP89</f>
        <v>765535.29314485879</v>
      </c>
      <c r="HQ93" s="479">
        <f>'Hodnocení '!HQ89</f>
        <v>0</v>
      </c>
      <c r="HR93" s="479">
        <f>'Hodnocení '!HR89</f>
        <v>918037.21424553031</v>
      </c>
      <c r="HS93" s="479">
        <f>'Hodnocení '!HS89</f>
        <v>0</v>
      </c>
      <c r="HT93" s="479">
        <f>'Hodnocení '!HT89</f>
        <v>474437.26182667381</v>
      </c>
      <c r="HU93" s="479">
        <f>'Hodnocení '!HU89</f>
        <v>735443.37008911523</v>
      </c>
      <c r="HV93" s="479">
        <f>'Hodnocení '!HV89</f>
        <v>817732.96503985464</v>
      </c>
      <c r="HW93" s="479">
        <f>'Hodnocení '!HW89</f>
        <v>148694.44506851249</v>
      </c>
      <c r="HX93" s="479">
        <f>'Hodnocení '!HX89</f>
        <v>728507.42716942029</v>
      </c>
      <c r="HY93" s="479">
        <f>'Hodnocení '!HY89</f>
        <v>629063.66240308166</v>
      </c>
      <c r="HZ93" s="479">
        <f>'Hodnocení '!HZ89</f>
        <v>353667.98967373662</v>
      </c>
      <c r="IA93" s="479">
        <f>'Hodnocení '!IA89</f>
        <v>389537.44674354792</v>
      </c>
      <c r="IB93" s="479">
        <f>'Hodnocení '!IB89</f>
        <v>361453.08075088152</v>
      </c>
      <c r="IC93" s="479">
        <f>'Hodnocení '!IC89</f>
        <v>623864.38235909387</v>
      </c>
      <c r="ID93" s="479">
        <f>'Hodnocení '!ID89</f>
        <v>425637.01421984949</v>
      </c>
      <c r="IE93" s="479">
        <f>'Hodnocení '!IE89</f>
        <v>558454.43660611275</v>
      </c>
      <c r="IF93" s="479">
        <f>'Hodnocení '!IF89</f>
        <v>597317.90511215432</v>
      </c>
      <c r="IG93" s="479">
        <f>'Hodnocení '!IG89</f>
        <v>143191.72461156151</v>
      </c>
      <c r="IH93" s="479">
        <f>'Hodnocení '!IH89</f>
        <v>77120.706000973136</v>
      </c>
      <c r="II93" s="479">
        <f>'Hodnocení '!II89</f>
        <v>456805.84324890684</v>
      </c>
      <c r="IJ93" s="479">
        <f>'Hodnocení '!IJ89</f>
        <v>0</v>
      </c>
      <c r="IK93" s="479">
        <f>'Hodnocení '!IK89</f>
        <v>0</v>
      </c>
      <c r="IL93" s="479">
        <f>'Hodnocení '!IL89</f>
        <v>335776.63976477581</v>
      </c>
      <c r="IM93" s="479">
        <f>'Hodnocení '!IM89</f>
        <v>0</v>
      </c>
      <c r="IN93" s="479">
        <f>'Hodnocení '!IN89</f>
        <v>386945.69456652971</v>
      </c>
      <c r="IO93" s="479">
        <f>'Hodnocení '!IO89</f>
        <v>102528.24752155974</v>
      </c>
      <c r="IP93" s="479">
        <f>'Hodnocení '!IP89</f>
        <v>574316.65192067425</v>
      </c>
      <c r="IQ93" s="479">
        <f>'Hodnocení '!IQ89</f>
        <v>587692.60317221645</v>
      </c>
      <c r="IR93" s="479">
        <f>'Hodnocení '!IR89</f>
        <v>0</v>
      </c>
      <c r="IS93" s="479">
        <f>'Hodnocení '!IS89</f>
        <v>2125722.702936287</v>
      </c>
      <c r="IT93" s="479">
        <f>'Hodnocení '!IT89</f>
        <v>482252.81980595645</v>
      </c>
      <c r="IU93" s="479">
        <f>'Hodnocení '!IU89</f>
        <v>0</v>
      </c>
      <c r="IV93" s="479">
        <f>'Hodnocení '!IV89</f>
        <v>326901.79302726657</v>
      </c>
      <c r="IW93" s="479">
        <f>'Hodnocení '!IW89</f>
        <v>515071.53020187566</v>
      </c>
      <c r="IX93" s="479">
        <f>'Hodnocení '!IX89</f>
        <v>0</v>
      </c>
      <c r="IY93" s="479">
        <f>'Hodnocení '!IY89</f>
        <v>316150.33910457796</v>
      </c>
      <c r="IZ93" s="479">
        <f>'Hodnocení '!IZ89</f>
        <v>795302.45582065335</v>
      </c>
      <c r="JA93" s="479">
        <f>'Hodnocení '!JA89</f>
        <v>0</v>
      </c>
      <c r="JB93" s="479">
        <f>'Hodnocení '!JB89</f>
        <v>0</v>
      </c>
      <c r="JC93" s="479">
        <f>'Hodnocení '!JC89</f>
        <v>0</v>
      </c>
      <c r="JD93" s="479">
        <f>'Hodnocení '!JD89</f>
        <v>0</v>
      </c>
      <c r="JE93" s="479">
        <f>'Hodnocení '!JE89</f>
        <v>0</v>
      </c>
      <c r="JF93" s="479">
        <f>'Hodnocení '!JF89</f>
        <v>972466.64418215666</v>
      </c>
      <c r="JG93" s="479">
        <f>'Hodnocení '!JG89</f>
        <v>679077.65714145021</v>
      </c>
      <c r="JH93" s="780">
        <f>'Hodnocení '!JH89</f>
        <v>0</v>
      </c>
      <c r="JI93" s="470">
        <f>'Hodnocení '!JI89</f>
        <v>26037603.612891153</v>
      </c>
      <c r="JL93" s="307">
        <f t="shared" ref="JL93:JO94" si="53">SUMIFS($C93:$JH93,$C$5:$JH$5,JL$5)</f>
        <v>1059290.9910394296</v>
      </c>
      <c r="JM93" s="307">
        <f t="shared" si="53"/>
        <v>994755.1979332281</v>
      </c>
      <c r="JN93" s="307">
        <f t="shared" si="53"/>
        <v>5736891.6155859455</v>
      </c>
      <c r="JO93" s="307">
        <f t="shared" si="53"/>
        <v>18246665.808332555</v>
      </c>
      <c r="JP93" s="307">
        <f t="shared" si="52"/>
        <v>26037603.61289116</v>
      </c>
    </row>
    <row r="94" spans="1:276" hidden="1" x14ac:dyDescent="0.25">
      <c r="A94" s="353"/>
      <c r="B94" s="734" t="s">
        <v>2571</v>
      </c>
      <c r="C94" s="781">
        <f>'Hodnocení '!C90</f>
        <v>8884422.5558247231</v>
      </c>
      <c r="D94" s="687">
        <f>'Hodnocení '!D90</f>
        <v>7790346.0422490994</v>
      </c>
      <c r="E94" s="687">
        <f>'Hodnocení '!E90</f>
        <v>8299184.4088107003</v>
      </c>
      <c r="F94" s="687">
        <f>'Hodnocení '!F90</f>
        <v>3616884.7088353573</v>
      </c>
      <c r="G94" s="687">
        <f>'Hodnocení '!G90</f>
        <v>10328003.127290595</v>
      </c>
      <c r="H94" s="687">
        <f>'Hodnocení '!H90</f>
        <v>0</v>
      </c>
      <c r="I94" s="687">
        <f>'Hodnocení '!I90</f>
        <v>0</v>
      </c>
      <c r="J94" s="687">
        <f>'Hodnocení '!J90</f>
        <v>126485.23608403429</v>
      </c>
      <c r="K94" s="687">
        <f>'Hodnocení '!K90</f>
        <v>6393271.2513013156</v>
      </c>
      <c r="L94" s="687">
        <f>'Hodnocení '!L90</f>
        <v>3774970</v>
      </c>
      <c r="M94" s="687">
        <f>'Hodnocení '!M90</f>
        <v>3667775.238895766</v>
      </c>
      <c r="N94" s="687">
        <f>'Hodnocení '!N90</f>
        <v>5360828.6030266704</v>
      </c>
      <c r="O94" s="687">
        <f>'Hodnocení '!O90</f>
        <v>4448411.4210138666</v>
      </c>
      <c r="P94" s="687">
        <f>'Hodnocení '!P90</f>
        <v>2570026.0021816893</v>
      </c>
      <c r="Q94" s="687">
        <f>'Hodnocení '!Q90</f>
        <v>1836488.4791010155</v>
      </c>
      <c r="R94" s="687">
        <f>'Hodnocení '!R90</f>
        <v>2124718.1</v>
      </c>
      <c r="S94" s="687">
        <f>'Hodnocení '!S90</f>
        <v>1637152.8</v>
      </c>
      <c r="T94" s="687">
        <f>'Hodnocení '!T90</f>
        <v>622773.51077815378</v>
      </c>
      <c r="U94" s="687">
        <f>'Hodnocení '!U90</f>
        <v>1099204</v>
      </c>
      <c r="V94" s="687">
        <f>'Hodnocení '!V90</f>
        <v>9233620</v>
      </c>
      <c r="W94" s="687">
        <f>'Hodnocení '!W90</f>
        <v>2379600</v>
      </c>
      <c r="X94" s="687">
        <f>'Hodnocení '!X90</f>
        <v>2304335.8095085779</v>
      </c>
      <c r="Y94" s="687">
        <f>'Hodnocení '!Y90</f>
        <v>1969745.4492107111</v>
      </c>
      <c r="Z94" s="687">
        <f>'Hodnocení '!Z90</f>
        <v>7242633.1903780317</v>
      </c>
      <c r="AA94" s="687">
        <f>'Hodnocení '!AA90</f>
        <v>4244705.4490248738</v>
      </c>
      <c r="AB94" s="687">
        <f>'Hodnocení '!AB90</f>
        <v>3678130.7057224135</v>
      </c>
      <c r="AC94" s="687">
        <f>'Hodnocení '!AC90</f>
        <v>481158.31194833241</v>
      </c>
      <c r="AD94" s="687">
        <f>'Hodnocení '!AD90</f>
        <v>2590229.1206235653</v>
      </c>
      <c r="AE94" s="687">
        <f>'Hodnocení '!AE90</f>
        <v>103737.52589894389</v>
      </c>
      <c r="AF94" s="687">
        <f>'Hodnocení '!AF90</f>
        <v>1219244.9295379582</v>
      </c>
      <c r="AG94" s="687">
        <f>'Hodnocení '!AG90</f>
        <v>3450812.7548698969</v>
      </c>
      <c r="AH94" s="687">
        <f>'Hodnocení '!AH90</f>
        <v>807300</v>
      </c>
      <c r="AI94" s="687">
        <f>'Hodnocení '!AI90</f>
        <v>4192325.3830934064</v>
      </c>
      <c r="AJ94" s="687">
        <f>'Hodnocení '!AJ90</f>
        <v>2683430.309376765</v>
      </c>
      <c r="AK94" s="687">
        <f>'Hodnocení '!AK90</f>
        <v>1383868</v>
      </c>
      <c r="AL94" s="687">
        <f>'Hodnocení '!AL90</f>
        <v>1952909.1633510776</v>
      </c>
      <c r="AM94" s="687">
        <f>'Hodnocení '!AM90</f>
        <v>1499708.3726341231</v>
      </c>
      <c r="AN94" s="687">
        <f>'Hodnocení '!AN90</f>
        <v>1148955.198498779</v>
      </c>
      <c r="AO94" s="687">
        <f>'Hodnocení '!AO90</f>
        <v>4903755.5596356187</v>
      </c>
      <c r="AP94" s="687">
        <f>'Hodnocení '!AP90</f>
        <v>2124765.1162296012</v>
      </c>
      <c r="AQ94" s="687">
        <f>'Hodnocení '!AQ90</f>
        <v>688702.88446015073</v>
      </c>
      <c r="AR94" s="687">
        <f>'Hodnocení '!AR90</f>
        <v>1531740.3992508459</v>
      </c>
      <c r="AS94" s="687">
        <f>'Hodnocení '!AS90</f>
        <v>495253.22022333386</v>
      </c>
      <c r="AT94" s="687">
        <f>'Hodnocení '!AT90</f>
        <v>2498113.4323683418</v>
      </c>
      <c r="AU94" s="687">
        <f>'Hodnocení '!AU90</f>
        <v>992216.93946642126</v>
      </c>
      <c r="AV94" s="687">
        <f>'Hodnocení '!AV90</f>
        <v>2003660.6772952261</v>
      </c>
      <c r="AW94" s="687">
        <f>'Hodnocení '!AW90</f>
        <v>16112.012350120116</v>
      </c>
      <c r="AX94" s="687">
        <f>'Hodnocení '!AX90</f>
        <v>3240135.311080751</v>
      </c>
      <c r="AY94" s="687">
        <f>'Hodnocení '!AY90</f>
        <v>3300190.5406568907</v>
      </c>
      <c r="AZ94" s="687">
        <f>'Hodnocení '!AZ90</f>
        <v>3359628.6683306773</v>
      </c>
      <c r="BA94" s="687">
        <f>'Hodnocení '!BA90</f>
        <v>9913000</v>
      </c>
      <c r="BB94" s="687">
        <f>'Hodnocení '!BB90</f>
        <v>1329742.5807072239</v>
      </c>
      <c r="BC94" s="687">
        <f>'Hodnocení '!BC90</f>
        <v>1223742.4938025323</v>
      </c>
      <c r="BD94" s="687">
        <f>'Hodnocení '!BD90</f>
        <v>1916258.3325785431</v>
      </c>
      <c r="BE94" s="687">
        <f>'Hodnocení '!BE90</f>
        <v>0</v>
      </c>
      <c r="BF94" s="687">
        <f>'Hodnocení '!BF90</f>
        <v>2669371.3941904306</v>
      </c>
      <c r="BG94" s="687">
        <f>'Hodnocení '!BG90</f>
        <v>3342000</v>
      </c>
      <c r="BH94" s="687">
        <f>'Hodnocení '!BH90</f>
        <v>3388109.2415605099</v>
      </c>
      <c r="BI94" s="687">
        <f>'Hodnocení '!BI90</f>
        <v>2302086.889306257</v>
      </c>
      <c r="BJ94" s="687">
        <f>'Hodnocení '!BJ90</f>
        <v>2734458.8535647267</v>
      </c>
      <c r="BK94" s="687">
        <f>'Hodnocení '!BK90</f>
        <v>185490.09231459786</v>
      </c>
      <c r="BL94" s="687">
        <f>'Hodnocení '!BL90</f>
        <v>455138.49500087276</v>
      </c>
      <c r="BM94" s="687">
        <f>'Hodnocení '!BM90</f>
        <v>2033799.04</v>
      </c>
      <c r="BN94" s="687">
        <f>'Hodnocení '!BN90</f>
        <v>1657101.9931537434</v>
      </c>
      <c r="BO94" s="687">
        <f>'Hodnocení '!BO90</f>
        <v>1051279.6524752458</v>
      </c>
      <c r="BP94" s="687">
        <f>'Hodnocení '!BP90</f>
        <v>4652080</v>
      </c>
      <c r="BQ94" s="687">
        <f>'Hodnocení '!BQ90</f>
        <v>66564.165662464104</v>
      </c>
      <c r="BR94" s="687">
        <f>'Hodnocení '!BR90</f>
        <v>1288942.0242748552</v>
      </c>
      <c r="BS94" s="687">
        <f>'Hodnocení '!BS90</f>
        <v>1310282.2989678741</v>
      </c>
      <c r="BT94" s="687">
        <f>'Hodnocení '!BT90</f>
        <v>914160.26616723067</v>
      </c>
      <c r="BU94" s="687">
        <f>'Hodnocení '!BU90</f>
        <v>3939338</v>
      </c>
      <c r="BV94" s="687">
        <f>'Hodnocení '!BV90</f>
        <v>1177908.0353182531</v>
      </c>
      <c r="BW94" s="687">
        <f>'Hodnocení '!BW90</f>
        <v>532683</v>
      </c>
      <c r="BX94" s="687">
        <f>'Hodnocení '!BX90</f>
        <v>4708889.1910633538</v>
      </c>
      <c r="BY94" s="687">
        <f>'Hodnocení '!BY90</f>
        <v>1520144</v>
      </c>
      <c r="BZ94" s="687">
        <f>'Hodnocení '!BZ90</f>
        <v>324150</v>
      </c>
      <c r="CA94" s="687">
        <f>'Hodnocení '!CA90</f>
        <v>0</v>
      </c>
      <c r="CB94" s="687">
        <f>'Hodnocení '!CB90</f>
        <v>571519.10142146726</v>
      </c>
      <c r="CC94" s="687">
        <f>'Hodnocení '!CC90</f>
        <v>2238055.6625416637</v>
      </c>
      <c r="CD94" s="687">
        <f>'Hodnocení '!CD90</f>
        <v>661848.21685573971</v>
      </c>
      <c r="CE94" s="687">
        <f>'Hodnocení '!CE90</f>
        <v>9715050.1253167707</v>
      </c>
      <c r="CF94" s="687">
        <f>'Hodnocení '!CF90</f>
        <v>4453617.8393289512</v>
      </c>
      <c r="CG94" s="687">
        <f>'Hodnocení '!CG90</f>
        <v>231159.49607044645</v>
      </c>
      <c r="CH94" s="687">
        <f>'Hodnocení '!CH90</f>
        <v>0</v>
      </c>
      <c r="CI94" s="687">
        <f>'Hodnocení '!CI90</f>
        <v>21633.155796868727</v>
      </c>
      <c r="CJ94" s="687">
        <f>'Hodnocení '!CJ90</f>
        <v>3854195.0818283353</v>
      </c>
      <c r="CK94" s="687">
        <f>'Hodnocení '!CK90</f>
        <v>4571780</v>
      </c>
      <c r="CL94" s="687">
        <f>'Hodnocení '!CL90</f>
        <v>56438.59728209069</v>
      </c>
      <c r="CM94" s="687">
        <f>'Hodnocení '!CM90</f>
        <v>6012336.4399863137</v>
      </c>
      <c r="CN94" s="687">
        <f>'Hodnocení '!CN90</f>
        <v>1342009.9127194914</v>
      </c>
      <c r="CO94" s="687">
        <f>'Hodnocení '!CO90</f>
        <v>1214500</v>
      </c>
      <c r="CP94" s="687">
        <f>'Hodnocení '!CP90</f>
        <v>1268807.7168003041</v>
      </c>
      <c r="CQ94" s="687">
        <f>'Hodnocení '!CQ90</f>
        <v>5515036.573718125</v>
      </c>
      <c r="CR94" s="687">
        <f>'Hodnocení '!CR90</f>
        <v>2367817</v>
      </c>
      <c r="CS94" s="687">
        <f>'Hodnocení '!CS90</f>
        <v>187555.67419309285</v>
      </c>
      <c r="CT94" s="687">
        <f>'Hodnocení '!CT90</f>
        <v>0</v>
      </c>
      <c r="CU94" s="687">
        <f>'Hodnocení '!CU90</f>
        <v>1974027.6887355854</v>
      </c>
      <c r="CV94" s="687">
        <f>'Hodnocení '!CV90</f>
        <v>5644990.9859210327</v>
      </c>
      <c r="CW94" s="687">
        <f>'Hodnocení '!CW90</f>
        <v>445664.10646689229</v>
      </c>
      <c r="CX94" s="687">
        <f>'Hodnocení '!CX90</f>
        <v>3686532</v>
      </c>
      <c r="CY94" s="687">
        <f>'Hodnocení '!CY90</f>
        <v>2881083.2839012085</v>
      </c>
      <c r="CZ94" s="687">
        <f>'Hodnocení '!CZ90</f>
        <v>446100</v>
      </c>
      <c r="DA94" s="687">
        <f>'Hodnocení '!DA90</f>
        <v>8391147.0119362772</v>
      </c>
      <c r="DB94" s="687">
        <f>'Hodnocení '!DB90</f>
        <v>801256.55127554876</v>
      </c>
      <c r="DC94" s="687">
        <f>'Hodnocení '!DC90</f>
        <v>1952214.4635382525</v>
      </c>
      <c r="DD94" s="687">
        <f>'Hodnocení '!DD90</f>
        <v>428740.05018450413</v>
      </c>
      <c r="DE94" s="687">
        <f>'Hodnocení '!DE90</f>
        <v>1595404.8713862468</v>
      </c>
      <c r="DF94" s="687">
        <f>'Hodnocení '!DF90</f>
        <v>7381996.8713862468</v>
      </c>
      <c r="DG94" s="687">
        <f>'Hodnocení '!DG90</f>
        <v>802938.16515118408</v>
      </c>
      <c r="DH94" s="687">
        <f>'Hodnocení '!DH90</f>
        <v>908244.44020215096</v>
      </c>
      <c r="DI94" s="687">
        <f>'Hodnocení '!DI90</f>
        <v>0</v>
      </c>
      <c r="DJ94" s="687">
        <f>'Hodnocení '!DJ90</f>
        <v>65990.976314039901</v>
      </c>
      <c r="DK94" s="687">
        <f>'Hodnocení '!DK90</f>
        <v>224452.83531246078</v>
      </c>
      <c r="DL94" s="687">
        <f>'Hodnocení '!DL90</f>
        <v>4094296.2218004535</v>
      </c>
      <c r="DM94" s="687">
        <f>'Hodnocení '!DM90</f>
        <v>1966503.0838138557</v>
      </c>
      <c r="DN94" s="687">
        <f>'Hodnocení '!DN90</f>
        <v>4052035.7644601618</v>
      </c>
      <c r="DO94" s="687">
        <f>'Hodnocení '!DO90</f>
        <v>1402300.3922101089</v>
      </c>
      <c r="DP94" s="687">
        <f>'Hodnocení '!DP90</f>
        <v>4045363.78</v>
      </c>
      <c r="DQ94" s="687">
        <f>'Hodnocení '!DQ90</f>
        <v>4329795</v>
      </c>
      <c r="DR94" s="687">
        <f>'Hodnocení '!DR90</f>
        <v>4985313.5</v>
      </c>
      <c r="DS94" s="687">
        <f>'Hodnocení '!DS90</f>
        <v>1625552.2365860054</v>
      </c>
      <c r="DT94" s="687">
        <f>'Hodnocení '!DT90</f>
        <v>3379864.0513730422</v>
      </c>
      <c r="DU94" s="687">
        <f>'Hodnocení '!DU90</f>
        <v>35402.15315866132</v>
      </c>
      <c r="DV94" s="687">
        <f>'Hodnocení '!DV90</f>
        <v>6440000</v>
      </c>
      <c r="DW94" s="687">
        <f>'Hodnocení '!DW90</f>
        <v>368896.922364717</v>
      </c>
      <c r="DX94" s="687">
        <f>'Hodnocení '!DX90</f>
        <v>0</v>
      </c>
      <c r="DY94" s="687">
        <f>'Hodnocení '!DY90</f>
        <v>4581142.7504826486</v>
      </c>
      <c r="DZ94" s="687">
        <f>'Hodnocení '!DZ90</f>
        <v>723925.6888148766</v>
      </c>
      <c r="EA94" s="687">
        <f>'Hodnocení '!EA90</f>
        <v>4141440.9263814236</v>
      </c>
      <c r="EB94" s="687">
        <f>'Hodnocení '!EB90</f>
        <v>5751412.8583436497</v>
      </c>
      <c r="EC94" s="687">
        <f>'Hodnocení '!EC90</f>
        <v>3507637.7512384658</v>
      </c>
      <c r="ED94" s="687">
        <f>'Hodnocení '!ED90</f>
        <v>3789855.4215401057</v>
      </c>
      <c r="EE94" s="687">
        <f>'Hodnocení '!EE90</f>
        <v>750052.03204477963</v>
      </c>
      <c r="EF94" s="687">
        <f>'Hodnocení '!EF90</f>
        <v>886973.84315981728</v>
      </c>
      <c r="EG94" s="687">
        <f>'Hodnocení '!EG90</f>
        <v>440614.21022333385</v>
      </c>
      <c r="EH94" s="687">
        <f>'Hodnocení '!EH90</f>
        <v>766109.30758974701</v>
      </c>
      <c r="EI94" s="687">
        <f>'Hodnocení '!EI90</f>
        <v>1178000</v>
      </c>
      <c r="EJ94" s="687">
        <f>'Hodnocení '!EJ90</f>
        <v>0</v>
      </c>
      <c r="EK94" s="687">
        <f>'Hodnocení '!EK90</f>
        <v>3932042</v>
      </c>
      <c r="EL94" s="687">
        <f>'Hodnocení '!EL90</f>
        <v>8896075.9201217424</v>
      </c>
      <c r="EM94" s="687">
        <f>'Hodnocení '!EM90</f>
        <v>2817690.3194428757</v>
      </c>
      <c r="EN94" s="687">
        <f>'Hodnocení '!EN90</f>
        <v>2639613.8452645098</v>
      </c>
      <c r="EO94" s="687">
        <f>'Hodnocení '!EO90</f>
        <v>326536.14681555587</v>
      </c>
      <c r="EP94" s="687">
        <f>'Hodnocení '!EP90</f>
        <v>3336103.6776025575</v>
      </c>
      <c r="EQ94" s="687">
        <f>'Hodnocení '!EQ90</f>
        <v>2318152.5044244276</v>
      </c>
      <c r="ER94" s="687">
        <f>'Hodnocení '!ER90</f>
        <v>6886000</v>
      </c>
      <c r="ES94" s="687">
        <f>'Hodnocení '!ES90</f>
        <v>2889369.4473401564</v>
      </c>
      <c r="ET94" s="687">
        <f>'Hodnocení '!ET90</f>
        <v>1009463.051162631</v>
      </c>
      <c r="EU94" s="687">
        <f>'Hodnocení '!EU90</f>
        <v>2803606.6057198732</v>
      </c>
      <c r="EV94" s="687">
        <f>'Hodnocení '!EV90</f>
        <v>477773.51077815378</v>
      </c>
      <c r="EW94" s="687">
        <f>'Hodnocení '!EW90</f>
        <v>2713993.2555374205</v>
      </c>
      <c r="EX94" s="687">
        <f>'Hodnocení '!EX90</f>
        <v>6041308.9853405347</v>
      </c>
      <c r="EY94" s="687">
        <f>'Hodnocení '!EY90</f>
        <v>2210257.3620478925</v>
      </c>
      <c r="EZ94" s="687">
        <f>'Hodnocení '!EZ90</f>
        <v>0</v>
      </c>
      <c r="FA94" s="687">
        <f>'Hodnocení '!FA90</f>
        <v>1647298.424768026</v>
      </c>
      <c r="FB94" s="687">
        <f>'Hodnocení '!FB90</f>
        <v>190221.06476100069</v>
      </c>
      <c r="FC94" s="687">
        <f>'Hodnocení '!FC90</f>
        <v>3419615.4215486925</v>
      </c>
      <c r="FD94" s="687">
        <f>'Hodnocení '!FD90</f>
        <v>0</v>
      </c>
      <c r="FE94" s="687">
        <f>'Hodnocení '!FE90</f>
        <v>381240.58884631132</v>
      </c>
      <c r="FF94" s="687">
        <f>'Hodnocení '!FF90</f>
        <v>1561200</v>
      </c>
      <c r="FG94" s="687">
        <f>'Hodnocení '!FG90</f>
        <v>7407513.6169081787</v>
      </c>
      <c r="FH94" s="687">
        <f>'Hodnocení '!FH90</f>
        <v>6173294.0092879785</v>
      </c>
      <c r="FI94" s="687">
        <f>'Hodnocení '!FI90</f>
        <v>8073204.4650456514</v>
      </c>
      <c r="FJ94" s="687">
        <f>'Hodnocení '!FJ90</f>
        <v>2005186.3777589942</v>
      </c>
      <c r="FK94" s="687">
        <f>'Hodnocení '!FK90</f>
        <v>162146.33952499987</v>
      </c>
      <c r="FL94" s="687">
        <f>'Hodnocení '!FL90</f>
        <v>345739.50473852799</v>
      </c>
      <c r="FM94" s="687">
        <f>'Hodnocení '!FM90</f>
        <v>1211428.2197958948</v>
      </c>
      <c r="FN94" s="687">
        <f>'Hodnocení '!FN90</f>
        <v>7374936.4799554544</v>
      </c>
      <c r="FO94" s="687">
        <f>'Hodnocení '!FO90</f>
        <v>1788495</v>
      </c>
      <c r="FP94" s="687">
        <f>'Hodnocení '!FP90</f>
        <v>13145477.908851836</v>
      </c>
      <c r="FQ94" s="687">
        <f>'Hodnocení '!FQ90</f>
        <v>2074686</v>
      </c>
      <c r="FR94" s="687">
        <f>'Hodnocení '!FR90</f>
        <v>236957.19834991742</v>
      </c>
      <c r="FS94" s="687">
        <f>'Hodnocení '!FS90</f>
        <v>494433</v>
      </c>
      <c r="FT94" s="687">
        <f>'Hodnocení '!FT90</f>
        <v>3530099.8824291308</v>
      </c>
      <c r="FU94" s="687">
        <f>'Hodnocení '!FU90</f>
        <v>499359.40444292722</v>
      </c>
      <c r="FV94" s="687">
        <f>'Hodnocení '!FV90</f>
        <v>646327.31987489713</v>
      </c>
      <c r="FW94" s="687">
        <f>'Hodnocení '!FW90</f>
        <v>1035960.1804257705</v>
      </c>
      <c r="FX94" s="687">
        <f>'Hodnocení '!FX90</f>
        <v>430673.10336206749</v>
      </c>
      <c r="FY94" s="687">
        <f>'Hodnocení '!FY90</f>
        <v>246995.98079860391</v>
      </c>
      <c r="FZ94" s="687">
        <f>'Hodnocení '!FZ90</f>
        <v>2937555.0490599889</v>
      </c>
      <c r="GA94" s="687">
        <f>'Hodnocení '!GA90</f>
        <v>281420.48958755797</v>
      </c>
      <c r="GB94" s="687">
        <f>'Hodnocení '!GB90</f>
        <v>2576530.4823972816</v>
      </c>
      <c r="GC94" s="687">
        <f>'Hodnocení '!GC90</f>
        <v>2357524.5564913559</v>
      </c>
      <c r="GD94" s="687">
        <f>'Hodnocení '!GD90</f>
        <v>8619783.1418088414</v>
      </c>
      <c r="GE94" s="687">
        <f>'Hodnocení '!GE90</f>
        <v>263290.93400108395</v>
      </c>
      <c r="GF94" s="687">
        <f>'Hodnocení '!GF90</f>
        <v>4128600.1778761428</v>
      </c>
      <c r="GG94" s="687">
        <f>'Hodnocení '!GG90</f>
        <v>1235672.3627191633</v>
      </c>
      <c r="GH94" s="687">
        <f>'Hodnocení '!GH90</f>
        <v>1220741.4312772285</v>
      </c>
      <c r="GI94" s="687">
        <f>'Hodnocení '!GI90</f>
        <v>8469766.4071446974</v>
      </c>
      <c r="GJ94" s="687">
        <f>'Hodnocení '!GJ90</f>
        <v>1990329.9452906616</v>
      </c>
      <c r="GK94" s="687">
        <f>'Hodnocení '!GK90</f>
        <v>1370636.9297263294</v>
      </c>
      <c r="GL94" s="687">
        <f>'Hodnocení '!GL90</f>
        <v>528275.13645609829</v>
      </c>
      <c r="GM94" s="687">
        <f>'Hodnocení '!GM90</f>
        <v>760375.53055552836</v>
      </c>
      <c r="GN94" s="687">
        <f>'Hodnocení '!GN90</f>
        <v>842800.96011215367</v>
      </c>
      <c r="GO94" s="687">
        <f>'Hodnocení '!GO90</f>
        <v>4782602.720837961</v>
      </c>
      <c r="GP94" s="687">
        <f>'Hodnocení '!GP90</f>
        <v>546320.06174100889</v>
      </c>
      <c r="GQ94" s="687">
        <f>'Hodnocení '!GQ90</f>
        <v>392074.32871686108</v>
      </c>
      <c r="GR94" s="687">
        <f>'Hodnocení '!GR90</f>
        <v>727124.60565148341</v>
      </c>
      <c r="GS94" s="687">
        <f>'Hodnocení '!GS90</f>
        <v>500.38357740390347</v>
      </c>
      <c r="GT94" s="687">
        <f>'Hodnocení '!GT90</f>
        <v>9374987.532092277</v>
      </c>
      <c r="GU94" s="687">
        <f>'Hodnocení '!GU90</f>
        <v>1124440</v>
      </c>
      <c r="GV94" s="687">
        <f>'Hodnocení '!GV90</f>
        <v>5580290.5417057229</v>
      </c>
      <c r="GW94" s="687">
        <f>'Hodnocení '!GW90</f>
        <v>1046192.6315910704</v>
      </c>
      <c r="GX94" s="687">
        <f>'Hodnocení '!GX90</f>
        <v>214376.4071474073</v>
      </c>
      <c r="GY94" s="687">
        <f>'Hodnocení '!GY90</f>
        <v>12481689.311391907</v>
      </c>
      <c r="GZ94" s="687">
        <f>'Hodnocení '!GZ90</f>
        <v>0</v>
      </c>
      <c r="HA94" s="687">
        <f>'Hodnocení '!HA90</f>
        <v>5787297.7336099232</v>
      </c>
      <c r="HB94" s="687">
        <f>'Hodnocení '!HB90</f>
        <v>2721504.0990156494</v>
      </c>
      <c r="HC94" s="687">
        <f>'Hodnocení '!HC90</f>
        <v>6154786.7581430916</v>
      </c>
      <c r="HD94" s="687">
        <f>'Hodnocení '!HD90</f>
        <v>2094993.1421770533</v>
      </c>
      <c r="HE94" s="687">
        <f>'Hodnocení '!HE90</f>
        <v>6446442.8207119014</v>
      </c>
      <c r="HF94" s="687">
        <f>'Hodnocení '!HF90</f>
        <v>895469.6916607325</v>
      </c>
      <c r="HG94" s="687">
        <f>'Hodnocení '!HG90</f>
        <v>529024.14310522261</v>
      </c>
      <c r="HH94" s="687">
        <f>'Hodnocení '!HH90</f>
        <v>2034520.6688166854</v>
      </c>
      <c r="HI94" s="687">
        <f>'Hodnocení '!HI90</f>
        <v>1475373.7304534884</v>
      </c>
      <c r="HJ94" s="687">
        <f>'Hodnocení '!HJ90</f>
        <v>0</v>
      </c>
      <c r="HK94" s="687">
        <f>'Hodnocení '!HK90</f>
        <v>0</v>
      </c>
      <c r="HL94" s="687">
        <f>'Hodnocení '!HL90</f>
        <v>29919735.951937858</v>
      </c>
      <c r="HM94" s="687">
        <f>'Hodnocení '!HM90</f>
        <v>17375619.107148226</v>
      </c>
      <c r="HN94" s="687">
        <f>'Hodnocení '!HN90</f>
        <v>0</v>
      </c>
      <c r="HO94" s="687">
        <f>'Hodnocení '!HO90</f>
        <v>0</v>
      </c>
      <c r="HP94" s="687">
        <f>'Hodnocení '!HP90</f>
        <v>23783464.706855141</v>
      </c>
      <c r="HQ94" s="687">
        <f>'Hodnocení '!HQ90</f>
        <v>741876.88410925679</v>
      </c>
      <c r="HR94" s="687">
        <f>'Hodnocení '!HR90</f>
        <v>25389083.094365582</v>
      </c>
      <c r="HS94" s="687">
        <f>'Hodnocení '!HS90</f>
        <v>5169783.9315081565</v>
      </c>
      <c r="HT94" s="687">
        <f>'Hodnocení '!HT90</f>
        <v>11459032.32864411</v>
      </c>
      <c r="HU94" s="687">
        <f>'Hodnocení '!HU90</f>
        <v>20666775.635119144</v>
      </c>
      <c r="HV94" s="687">
        <f>'Hodnocení '!HV90</f>
        <v>15417267.034960145</v>
      </c>
      <c r="HW94" s="687">
        <f>'Hodnocení '!HW90</f>
        <v>3770676.1447960516</v>
      </c>
      <c r="HX94" s="687">
        <f>'Hodnocení '!HX90</f>
        <v>17432763.324346911</v>
      </c>
      <c r="HY94" s="687">
        <f>'Hodnocení '!HY90</f>
        <v>13053218.511041602</v>
      </c>
      <c r="HZ94" s="687">
        <f>'Hodnocení '!HZ90</f>
        <v>7798336.9880200932</v>
      </c>
      <c r="IA94" s="687">
        <f>'Hodnocení '!IA90</f>
        <v>6912342.5532564521</v>
      </c>
      <c r="IB94" s="687">
        <f>'Hodnocení '!IB90</f>
        <v>6691660.819745549</v>
      </c>
      <c r="IC94" s="687">
        <f>'Hodnocení '!IC90</f>
        <v>10050144.161970232</v>
      </c>
      <c r="ID94" s="687">
        <f>'Hodnocení '!ID90</f>
        <v>8819854.4414508268</v>
      </c>
      <c r="IE94" s="687">
        <f>'Hodnocení '!IE90</f>
        <v>15780605.08105946</v>
      </c>
      <c r="IF94" s="687">
        <f>'Hodnocení '!IF90</f>
        <v>8939159.1239539851</v>
      </c>
      <c r="IG94" s="687">
        <f>'Hodnocení '!IG90</f>
        <v>2790183.907091911</v>
      </c>
      <c r="IH94" s="687">
        <f>'Hodnocení '!IH90</f>
        <v>2677804.6905609616</v>
      </c>
      <c r="II94" s="687">
        <f>'Hodnocení '!II90</f>
        <v>13143785.041353108</v>
      </c>
      <c r="IJ94" s="687">
        <f>'Hodnocení '!IJ90</f>
        <v>1498802.9614382302</v>
      </c>
      <c r="IK94" s="687">
        <f>'Hodnocení '!IK90</f>
        <v>0</v>
      </c>
      <c r="IL94" s="687">
        <f>'Hodnocení '!IL90</f>
        <v>7117104.0603340184</v>
      </c>
      <c r="IM94" s="687">
        <f>'Hodnocení '!IM90</f>
        <v>405690.41450255323</v>
      </c>
      <c r="IN94" s="687">
        <f>'Hodnocení '!IN90</f>
        <v>7340089.7149087843</v>
      </c>
      <c r="IO94" s="687">
        <f>'Hodnocení '!IO90</f>
        <v>2834705.9552260214</v>
      </c>
      <c r="IP94" s="687">
        <f>'Hodnocení '!IP90</f>
        <v>15324210.525659883</v>
      </c>
      <c r="IQ94" s="687">
        <f>'Hodnocení '!IQ90</f>
        <v>14690113.368089668</v>
      </c>
      <c r="IR94" s="687">
        <f>'Hodnocení '!IR90</f>
        <v>724453.92066790513</v>
      </c>
      <c r="IS94" s="687">
        <f>'Hodnocení '!IS90</f>
        <v>37175247.544143274</v>
      </c>
      <c r="IT94" s="687">
        <f>'Hodnocení '!IT90</f>
        <v>9718376.933114484</v>
      </c>
      <c r="IU94" s="687">
        <f>'Hodnocení '!IU90</f>
        <v>2493818.6416824842</v>
      </c>
      <c r="IV94" s="687">
        <f>'Hodnocení '!IV90</f>
        <v>5702072.9069291987</v>
      </c>
      <c r="IW94" s="687">
        <f>'Hodnocení '!IW90</f>
        <v>9088146.3252361882</v>
      </c>
      <c r="IX94" s="687">
        <f>'Hodnocení '!IX90</f>
        <v>1461297.0388339385</v>
      </c>
      <c r="IY94" s="687">
        <f>'Hodnocení '!IY90</f>
        <v>8722267.1853730716</v>
      </c>
      <c r="IZ94" s="687">
        <f>'Hodnocení '!IZ90</f>
        <v>19288840.525286894</v>
      </c>
      <c r="JA94" s="687">
        <f>'Hodnocení '!JA90</f>
        <v>2265868.3397293384</v>
      </c>
      <c r="JB94" s="687">
        <f>'Hodnocení '!JB90</f>
        <v>2813788.9601571974</v>
      </c>
      <c r="JC94" s="687">
        <f>'Hodnocení '!JC90</f>
        <v>1445737.3693524669</v>
      </c>
      <c r="JD94" s="687">
        <f>'Hodnocení '!JD90</f>
        <v>5734651.4754739245</v>
      </c>
      <c r="JE94" s="687">
        <f>'Hodnocení '!JE90</f>
        <v>144589.10100252891</v>
      </c>
      <c r="JF94" s="687">
        <f>'Hodnocení '!JF90</f>
        <v>31344744.254815314</v>
      </c>
      <c r="JG94" s="687">
        <f>'Hodnocení '!JG90</f>
        <v>22719469.102824103</v>
      </c>
      <c r="JH94" s="782">
        <f>'Hodnocení '!JH90</f>
        <v>1432360.5197921393</v>
      </c>
      <c r="JI94" s="761">
        <f>'Hodnocení '!JI90</f>
        <v>1044738434.3292766</v>
      </c>
      <c r="JL94" s="307">
        <f t="shared" si="53"/>
        <v>24973953.006884523</v>
      </c>
      <c r="JM94" s="307">
        <f t="shared" si="53"/>
        <v>359162653.60581142</v>
      </c>
      <c r="JN94" s="307">
        <f t="shared" si="53"/>
        <v>181332207.10871238</v>
      </c>
      <c r="JO94" s="307">
        <f t="shared" si="53"/>
        <v>479269620.60786831</v>
      </c>
      <c r="JP94" s="307">
        <f t="shared" si="52"/>
        <v>1044738434.3292767</v>
      </c>
    </row>
    <row r="95" spans="1:276" hidden="1" x14ac:dyDescent="0.25">
      <c r="A95" s="353"/>
      <c r="B95" s="733"/>
      <c r="C95" s="360">
        <f>'Hodnocení '!C91</f>
        <v>0</v>
      </c>
      <c r="D95" s="357">
        <f>'Hodnocení '!D91</f>
        <v>0</v>
      </c>
      <c r="E95" s="357">
        <f>'Hodnocení '!E91</f>
        <v>0</v>
      </c>
      <c r="F95" s="357">
        <f>'Hodnocení '!F91</f>
        <v>0</v>
      </c>
      <c r="G95" s="357">
        <f>'Hodnocení '!G91</f>
        <v>0</v>
      </c>
      <c r="H95" s="357">
        <f>'Hodnocení '!H91</f>
        <v>0</v>
      </c>
      <c r="I95" s="357">
        <f>'Hodnocení '!I91</f>
        <v>0</v>
      </c>
      <c r="J95" s="357">
        <f>'Hodnocení '!J91</f>
        <v>0</v>
      </c>
      <c r="K95" s="357">
        <f>'Hodnocení '!K91</f>
        <v>0</v>
      </c>
      <c r="L95" s="357">
        <f>'Hodnocení '!L91</f>
        <v>0</v>
      </c>
      <c r="M95" s="357">
        <f>'Hodnocení '!M91</f>
        <v>0</v>
      </c>
      <c r="N95" s="357">
        <f>'Hodnocení '!N91</f>
        <v>0</v>
      </c>
      <c r="O95" s="357">
        <f>'Hodnocení '!O91</f>
        <v>0</v>
      </c>
      <c r="P95" s="357">
        <f>'Hodnocení '!P91</f>
        <v>0</v>
      </c>
      <c r="Q95" s="357">
        <f>'Hodnocení '!Q91</f>
        <v>0</v>
      </c>
      <c r="R95" s="357">
        <f>'Hodnocení '!R91</f>
        <v>0</v>
      </c>
      <c r="S95" s="357">
        <f>'Hodnocení '!S91</f>
        <v>0</v>
      </c>
      <c r="T95" s="357">
        <f>'Hodnocení '!T91</f>
        <v>0</v>
      </c>
      <c r="U95" s="357">
        <f>'Hodnocení '!U91</f>
        <v>0</v>
      </c>
      <c r="V95" s="357">
        <f>'Hodnocení '!V91</f>
        <v>0</v>
      </c>
      <c r="W95" s="357">
        <f>'Hodnocení '!W91</f>
        <v>0</v>
      </c>
      <c r="X95" s="357">
        <f>'Hodnocení '!X91</f>
        <v>0</v>
      </c>
      <c r="Y95" s="357">
        <f>'Hodnocení '!Y91</f>
        <v>0</v>
      </c>
      <c r="Z95" s="357">
        <f>'Hodnocení '!Z91</f>
        <v>0</v>
      </c>
      <c r="AA95" s="357">
        <f>'Hodnocení '!AA91</f>
        <v>0</v>
      </c>
      <c r="AB95" s="357">
        <f>'Hodnocení '!AB91</f>
        <v>0</v>
      </c>
      <c r="AC95" s="357">
        <f>'Hodnocení '!AC91</f>
        <v>0</v>
      </c>
      <c r="AD95" s="357">
        <f>'Hodnocení '!AD91</f>
        <v>0</v>
      </c>
      <c r="AE95" s="357">
        <f>'Hodnocení '!AE91</f>
        <v>0</v>
      </c>
      <c r="AF95" s="357">
        <f>'Hodnocení '!AF91</f>
        <v>0</v>
      </c>
      <c r="AG95" s="357">
        <f>'Hodnocení '!AG91</f>
        <v>0</v>
      </c>
      <c r="AH95" s="357">
        <f>'Hodnocení '!AH91</f>
        <v>0</v>
      </c>
      <c r="AI95" s="357">
        <f>'Hodnocení '!AI91</f>
        <v>0</v>
      </c>
      <c r="AJ95" s="357">
        <f>'Hodnocení '!AJ91</f>
        <v>0</v>
      </c>
      <c r="AK95" s="357">
        <f>'Hodnocení '!AK91</f>
        <v>0</v>
      </c>
      <c r="AL95" s="357">
        <f>'Hodnocení '!AL91</f>
        <v>0</v>
      </c>
      <c r="AM95" s="357">
        <f>'Hodnocení '!AM91</f>
        <v>0</v>
      </c>
      <c r="AN95" s="357">
        <f>'Hodnocení '!AN91</f>
        <v>0</v>
      </c>
      <c r="AO95" s="357">
        <f>'Hodnocení '!AO91</f>
        <v>0</v>
      </c>
      <c r="AP95" s="357">
        <f>'Hodnocení '!AP91</f>
        <v>0</v>
      </c>
      <c r="AQ95" s="357">
        <f>'Hodnocení '!AQ91</f>
        <v>0</v>
      </c>
      <c r="AR95" s="357">
        <f>'Hodnocení '!AR91</f>
        <v>0</v>
      </c>
      <c r="AS95" s="357">
        <f>'Hodnocení '!AS91</f>
        <v>0</v>
      </c>
      <c r="AT95" s="357">
        <f>'Hodnocení '!AT91</f>
        <v>0</v>
      </c>
      <c r="AU95" s="357">
        <f>'Hodnocení '!AU91</f>
        <v>0</v>
      </c>
      <c r="AV95" s="357">
        <f>'Hodnocení '!AV91</f>
        <v>0</v>
      </c>
      <c r="AW95" s="357">
        <f>'Hodnocení '!AW91</f>
        <v>0</v>
      </c>
      <c r="AX95" s="357">
        <f>'Hodnocení '!AX91</f>
        <v>0</v>
      </c>
      <c r="AY95" s="357">
        <f>'Hodnocení '!AY91</f>
        <v>0</v>
      </c>
      <c r="AZ95" s="357">
        <f>'Hodnocení '!AZ91</f>
        <v>0</v>
      </c>
      <c r="BA95" s="357">
        <f>'Hodnocení '!BA91</f>
        <v>0</v>
      </c>
      <c r="BB95" s="357">
        <f>'Hodnocení '!BB91</f>
        <v>0</v>
      </c>
      <c r="BC95" s="357">
        <f>'Hodnocení '!BC91</f>
        <v>0</v>
      </c>
      <c r="BD95" s="357">
        <f>'Hodnocení '!BD91</f>
        <v>0</v>
      </c>
      <c r="BE95" s="357">
        <f>'Hodnocení '!BE91</f>
        <v>0</v>
      </c>
      <c r="BF95" s="357">
        <f>'Hodnocení '!BF91</f>
        <v>0</v>
      </c>
      <c r="BG95" s="357">
        <f>'Hodnocení '!BG91</f>
        <v>0</v>
      </c>
      <c r="BH95" s="357">
        <f>'Hodnocení '!BH91</f>
        <v>0</v>
      </c>
      <c r="BI95" s="357">
        <f>'Hodnocení '!BI91</f>
        <v>0</v>
      </c>
      <c r="BJ95" s="357">
        <f>'Hodnocení '!BJ91</f>
        <v>0</v>
      </c>
      <c r="BK95" s="357">
        <f>'Hodnocení '!BK91</f>
        <v>0</v>
      </c>
      <c r="BL95" s="357">
        <f>'Hodnocení '!BL91</f>
        <v>0</v>
      </c>
      <c r="BM95" s="357">
        <f>'Hodnocení '!BM91</f>
        <v>0</v>
      </c>
      <c r="BN95" s="357">
        <f>'Hodnocení '!BN91</f>
        <v>0</v>
      </c>
      <c r="BO95" s="357">
        <f>'Hodnocení '!BO91</f>
        <v>0</v>
      </c>
      <c r="BP95" s="357">
        <f>'Hodnocení '!BP91</f>
        <v>0</v>
      </c>
      <c r="BQ95" s="357">
        <f>'Hodnocení '!BQ91</f>
        <v>0</v>
      </c>
      <c r="BR95" s="357">
        <f>'Hodnocení '!BR91</f>
        <v>0</v>
      </c>
      <c r="BS95" s="357">
        <f>'Hodnocení '!BS91</f>
        <v>0</v>
      </c>
      <c r="BT95" s="357">
        <f>'Hodnocení '!BT91</f>
        <v>0</v>
      </c>
      <c r="BU95" s="357">
        <f>'Hodnocení '!BU91</f>
        <v>0</v>
      </c>
      <c r="BV95" s="357">
        <f>'Hodnocení '!BV91</f>
        <v>0</v>
      </c>
      <c r="BW95" s="357">
        <f>'Hodnocení '!BW91</f>
        <v>0</v>
      </c>
      <c r="BX95" s="357">
        <f>'Hodnocení '!BX91</f>
        <v>0</v>
      </c>
      <c r="BY95" s="357">
        <f>'Hodnocení '!BY91</f>
        <v>0</v>
      </c>
      <c r="BZ95" s="357">
        <f>'Hodnocení '!BZ91</f>
        <v>0</v>
      </c>
      <c r="CA95" s="357">
        <f>'Hodnocení '!CA91</f>
        <v>0</v>
      </c>
      <c r="CB95" s="357">
        <f>'Hodnocení '!CB91</f>
        <v>0</v>
      </c>
      <c r="CC95" s="357">
        <f>'Hodnocení '!CC91</f>
        <v>0</v>
      </c>
      <c r="CD95" s="357">
        <f>'Hodnocení '!CD91</f>
        <v>0</v>
      </c>
      <c r="CE95" s="357">
        <f>'Hodnocení '!CE91</f>
        <v>0</v>
      </c>
      <c r="CF95" s="357">
        <f>'Hodnocení '!CF91</f>
        <v>0</v>
      </c>
      <c r="CG95" s="357">
        <f>'Hodnocení '!CG91</f>
        <v>0</v>
      </c>
      <c r="CH95" s="357">
        <f>'Hodnocení '!CH91</f>
        <v>0</v>
      </c>
      <c r="CI95" s="357">
        <f>'Hodnocení '!CI91</f>
        <v>0</v>
      </c>
      <c r="CJ95" s="357">
        <f>'Hodnocení '!CJ91</f>
        <v>0</v>
      </c>
      <c r="CK95" s="357">
        <f>'Hodnocení '!CK91</f>
        <v>0</v>
      </c>
      <c r="CL95" s="357">
        <f>'Hodnocení '!CL91</f>
        <v>0</v>
      </c>
      <c r="CM95" s="357">
        <f>'Hodnocení '!CM91</f>
        <v>0</v>
      </c>
      <c r="CN95" s="357">
        <f>'Hodnocení '!CN91</f>
        <v>0</v>
      </c>
      <c r="CO95" s="357">
        <f>'Hodnocení '!CO91</f>
        <v>0</v>
      </c>
      <c r="CP95" s="357">
        <f>'Hodnocení '!CP91</f>
        <v>0</v>
      </c>
      <c r="CQ95" s="357">
        <f>'Hodnocení '!CQ91</f>
        <v>0</v>
      </c>
      <c r="CR95" s="357">
        <f>'Hodnocení '!CR91</f>
        <v>0</v>
      </c>
      <c r="CS95" s="357">
        <f>'Hodnocení '!CS91</f>
        <v>0</v>
      </c>
      <c r="CT95" s="357">
        <f>'Hodnocení '!CT91</f>
        <v>0</v>
      </c>
      <c r="CU95" s="357">
        <f>'Hodnocení '!CU91</f>
        <v>0</v>
      </c>
      <c r="CV95" s="357">
        <f>'Hodnocení '!CV91</f>
        <v>0</v>
      </c>
      <c r="CW95" s="357">
        <f>'Hodnocení '!CW91</f>
        <v>0</v>
      </c>
      <c r="CX95" s="357">
        <f>'Hodnocení '!CX91</f>
        <v>0</v>
      </c>
      <c r="CY95" s="357">
        <f>'Hodnocení '!CY91</f>
        <v>0</v>
      </c>
      <c r="CZ95" s="357">
        <f>'Hodnocení '!CZ91</f>
        <v>0</v>
      </c>
      <c r="DA95" s="357">
        <f>'Hodnocení '!DA91</f>
        <v>0</v>
      </c>
      <c r="DB95" s="357">
        <f>'Hodnocení '!DB91</f>
        <v>0</v>
      </c>
      <c r="DC95" s="357">
        <f>'Hodnocení '!DC91</f>
        <v>0</v>
      </c>
      <c r="DD95" s="357">
        <f>'Hodnocení '!DD91</f>
        <v>0</v>
      </c>
      <c r="DE95" s="357">
        <f>'Hodnocení '!DE91</f>
        <v>0</v>
      </c>
      <c r="DF95" s="357">
        <f>'Hodnocení '!DF91</f>
        <v>0</v>
      </c>
      <c r="DG95" s="357">
        <f>'Hodnocení '!DG91</f>
        <v>0</v>
      </c>
      <c r="DH95" s="357">
        <f>'Hodnocení '!DH91</f>
        <v>0</v>
      </c>
      <c r="DI95" s="357">
        <f>'Hodnocení '!DI91</f>
        <v>0</v>
      </c>
      <c r="DJ95" s="357">
        <f>'Hodnocení '!DJ91</f>
        <v>0</v>
      </c>
      <c r="DK95" s="357">
        <f>'Hodnocení '!DK91</f>
        <v>0</v>
      </c>
      <c r="DL95" s="357">
        <f>'Hodnocení '!DL91</f>
        <v>0</v>
      </c>
      <c r="DM95" s="357">
        <f>'Hodnocení '!DM91</f>
        <v>0</v>
      </c>
      <c r="DN95" s="357">
        <f>'Hodnocení '!DN91</f>
        <v>0</v>
      </c>
      <c r="DO95" s="357">
        <f>'Hodnocení '!DO91</f>
        <v>0</v>
      </c>
      <c r="DP95" s="357">
        <f>'Hodnocení '!DP91</f>
        <v>0</v>
      </c>
      <c r="DQ95" s="357">
        <f>'Hodnocení '!DQ91</f>
        <v>0</v>
      </c>
      <c r="DR95" s="357">
        <f>'Hodnocení '!DR91</f>
        <v>0</v>
      </c>
      <c r="DS95" s="357">
        <f>'Hodnocení '!DS91</f>
        <v>0</v>
      </c>
      <c r="DT95" s="357">
        <f>'Hodnocení '!DT91</f>
        <v>0</v>
      </c>
      <c r="DU95" s="357">
        <f>'Hodnocení '!DU91</f>
        <v>0</v>
      </c>
      <c r="DV95" s="357">
        <f>'Hodnocení '!DV91</f>
        <v>0</v>
      </c>
      <c r="DW95" s="357">
        <f>'Hodnocení '!DW91</f>
        <v>0</v>
      </c>
      <c r="DX95" s="357">
        <f>'Hodnocení '!DX91</f>
        <v>0</v>
      </c>
      <c r="DY95" s="357">
        <f>'Hodnocení '!DY91</f>
        <v>0</v>
      </c>
      <c r="DZ95" s="357">
        <f>'Hodnocení '!DZ91</f>
        <v>0</v>
      </c>
      <c r="EA95" s="357">
        <f>'Hodnocení '!EA91</f>
        <v>0</v>
      </c>
      <c r="EB95" s="357">
        <f>'Hodnocení '!EB91</f>
        <v>0</v>
      </c>
      <c r="EC95" s="357">
        <f>'Hodnocení '!EC91</f>
        <v>0</v>
      </c>
      <c r="ED95" s="357">
        <f>'Hodnocení '!ED91</f>
        <v>0</v>
      </c>
      <c r="EE95" s="357">
        <f>'Hodnocení '!EE91</f>
        <v>0</v>
      </c>
      <c r="EF95" s="357">
        <f>'Hodnocení '!EF91</f>
        <v>0</v>
      </c>
      <c r="EG95" s="357">
        <f>'Hodnocení '!EG91</f>
        <v>0</v>
      </c>
      <c r="EH95" s="357">
        <f>'Hodnocení '!EH91</f>
        <v>0</v>
      </c>
      <c r="EI95" s="357">
        <f>'Hodnocení '!EI91</f>
        <v>0</v>
      </c>
      <c r="EJ95" s="357">
        <f>'Hodnocení '!EJ91</f>
        <v>0</v>
      </c>
      <c r="EK95" s="357">
        <f>'Hodnocení '!EK91</f>
        <v>0</v>
      </c>
      <c r="EL95" s="357">
        <f>'Hodnocení '!EL91</f>
        <v>0</v>
      </c>
      <c r="EM95" s="357">
        <f>'Hodnocení '!EM91</f>
        <v>0</v>
      </c>
      <c r="EN95" s="357">
        <f>'Hodnocení '!EN91</f>
        <v>0</v>
      </c>
      <c r="EO95" s="357">
        <f>'Hodnocení '!EO91</f>
        <v>0</v>
      </c>
      <c r="EP95" s="357">
        <f>'Hodnocení '!EP91</f>
        <v>0</v>
      </c>
      <c r="EQ95" s="357">
        <f>'Hodnocení '!EQ91</f>
        <v>0</v>
      </c>
      <c r="ER95" s="357">
        <f>'Hodnocení '!ER91</f>
        <v>0</v>
      </c>
      <c r="ES95" s="357">
        <f>'Hodnocení '!ES91</f>
        <v>0</v>
      </c>
      <c r="ET95" s="357">
        <f>'Hodnocení '!ET91</f>
        <v>0</v>
      </c>
      <c r="EU95" s="357">
        <f>'Hodnocení '!EU91</f>
        <v>0</v>
      </c>
      <c r="EV95" s="357">
        <f>'Hodnocení '!EV91</f>
        <v>0</v>
      </c>
      <c r="EW95" s="357">
        <f>'Hodnocení '!EW91</f>
        <v>0</v>
      </c>
      <c r="EX95" s="357">
        <f>'Hodnocení '!EX91</f>
        <v>0</v>
      </c>
      <c r="EY95" s="357">
        <f>'Hodnocení '!EY91</f>
        <v>0</v>
      </c>
      <c r="EZ95" s="357">
        <f>'Hodnocení '!EZ91</f>
        <v>0</v>
      </c>
      <c r="FA95" s="357">
        <f>'Hodnocení '!FA91</f>
        <v>0</v>
      </c>
      <c r="FB95" s="357">
        <f>'Hodnocení '!FB91</f>
        <v>0</v>
      </c>
      <c r="FC95" s="357">
        <f>'Hodnocení '!FC91</f>
        <v>0</v>
      </c>
      <c r="FD95" s="357">
        <f>'Hodnocení '!FD91</f>
        <v>0</v>
      </c>
      <c r="FE95" s="357">
        <f>'Hodnocení '!FE91</f>
        <v>0</v>
      </c>
      <c r="FF95" s="357">
        <f>'Hodnocení '!FF91</f>
        <v>0</v>
      </c>
      <c r="FG95" s="357">
        <f>'Hodnocení '!FG91</f>
        <v>0</v>
      </c>
      <c r="FH95" s="357">
        <f>'Hodnocení '!FH91</f>
        <v>0</v>
      </c>
      <c r="FI95" s="357">
        <f>'Hodnocení '!FI91</f>
        <v>0</v>
      </c>
      <c r="FJ95" s="357">
        <f>'Hodnocení '!FJ91</f>
        <v>0</v>
      </c>
      <c r="FK95" s="357">
        <f>'Hodnocení '!FK91</f>
        <v>0</v>
      </c>
      <c r="FL95" s="357">
        <f>'Hodnocení '!FL91</f>
        <v>0</v>
      </c>
      <c r="FM95" s="357">
        <f>'Hodnocení '!FM91</f>
        <v>0</v>
      </c>
      <c r="FN95" s="357">
        <f>'Hodnocení '!FN91</f>
        <v>0</v>
      </c>
      <c r="FO95" s="357">
        <f>'Hodnocení '!FO91</f>
        <v>0</v>
      </c>
      <c r="FP95" s="357">
        <f>'Hodnocení '!FP91</f>
        <v>0</v>
      </c>
      <c r="FQ95" s="357">
        <f>'Hodnocení '!FQ91</f>
        <v>0</v>
      </c>
      <c r="FR95" s="357">
        <f>'Hodnocení '!FR91</f>
        <v>0</v>
      </c>
      <c r="FS95" s="357">
        <f>'Hodnocení '!FS91</f>
        <v>0</v>
      </c>
      <c r="FT95" s="357">
        <f>'Hodnocení '!FT91</f>
        <v>0</v>
      </c>
      <c r="FU95" s="357">
        <f>'Hodnocení '!FU91</f>
        <v>0</v>
      </c>
      <c r="FV95" s="357">
        <f>'Hodnocení '!FV91</f>
        <v>0</v>
      </c>
      <c r="FW95" s="357">
        <f>'Hodnocení '!FW91</f>
        <v>0</v>
      </c>
      <c r="FX95" s="357">
        <f>'Hodnocení '!FX91</f>
        <v>0</v>
      </c>
      <c r="FY95" s="357">
        <f>'Hodnocení '!FY91</f>
        <v>0</v>
      </c>
      <c r="FZ95" s="357">
        <f>'Hodnocení '!FZ91</f>
        <v>0</v>
      </c>
      <c r="GA95" s="357">
        <f>'Hodnocení '!GA91</f>
        <v>0</v>
      </c>
      <c r="GB95" s="357">
        <f>'Hodnocení '!GB91</f>
        <v>0</v>
      </c>
      <c r="GC95" s="357">
        <f>'Hodnocení '!GC91</f>
        <v>0</v>
      </c>
      <c r="GD95" s="357">
        <f>'Hodnocení '!GD91</f>
        <v>0</v>
      </c>
      <c r="GE95" s="357">
        <f>'Hodnocení '!GE91</f>
        <v>0</v>
      </c>
      <c r="GF95" s="357">
        <f>'Hodnocení '!GF91</f>
        <v>0</v>
      </c>
      <c r="GG95" s="357">
        <f>'Hodnocení '!GG91</f>
        <v>0</v>
      </c>
      <c r="GH95" s="357">
        <f>'Hodnocení '!GH91</f>
        <v>0</v>
      </c>
      <c r="GI95" s="357">
        <f>'Hodnocení '!GI91</f>
        <v>0</v>
      </c>
      <c r="GJ95" s="357">
        <f>'Hodnocení '!GJ91</f>
        <v>0</v>
      </c>
      <c r="GK95" s="357">
        <f>'Hodnocení '!GK91</f>
        <v>0</v>
      </c>
      <c r="GL95" s="357">
        <f>'Hodnocení '!GL91</f>
        <v>0</v>
      </c>
      <c r="GM95" s="357">
        <f>'Hodnocení '!GM91</f>
        <v>0</v>
      </c>
      <c r="GN95" s="357">
        <f>'Hodnocení '!GN91</f>
        <v>0</v>
      </c>
      <c r="GO95" s="357">
        <f>'Hodnocení '!GO91</f>
        <v>0</v>
      </c>
      <c r="GP95" s="357">
        <f>'Hodnocení '!GP91</f>
        <v>0</v>
      </c>
      <c r="GQ95" s="357">
        <f>'Hodnocení '!GQ91</f>
        <v>0</v>
      </c>
      <c r="GR95" s="357">
        <f>'Hodnocení '!GR91</f>
        <v>0</v>
      </c>
      <c r="GS95" s="357">
        <f>'Hodnocení '!GS91</f>
        <v>0</v>
      </c>
      <c r="GT95" s="357">
        <f>'Hodnocení '!GT91</f>
        <v>0</v>
      </c>
      <c r="GU95" s="357">
        <f>'Hodnocení '!GU91</f>
        <v>0</v>
      </c>
      <c r="GV95" s="357">
        <f>'Hodnocení '!GV91</f>
        <v>0</v>
      </c>
      <c r="GW95" s="357">
        <f>'Hodnocení '!GW91</f>
        <v>0</v>
      </c>
      <c r="GX95" s="357">
        <f>'Hodnocení '!GX91</f>
        <v>0</v>
      </c>
      <c r="GY95" s="357">
        <f>'Hodnocení '!GY91</f>
        <v>0</v>
      </c>
      <c r="GZ95" s="357">
        <f>'Hodnocení '!GZ91</f>
        <v>0</v>
      </c>
      <c r="HA95" s="357">
        <f>'Hodnocení '!HA91</f>
        <v>0</v>
      </c>
      <c r="HB95" s="357">
        <f>'Hodnocení '!HB91</f>
        <v>0</v>
      </c>
      <c r="HC95" s="357">
        <f>'Hodnocení '!HC91</f>
        <v>0</v>
      </c>
      <c r="HD95" s="357">
        <f>'Hodnocení '!HD91</f>
        <v>0</v>
      </c>
      <c r="HE95" s="357">
        <f>'Hodnocení '!HE91</f>
        <v>0</v>
      </c>
      <c r="HF95" s="357">
        <f>'Hodnocení '!HF91</f>
        <v>0</v>
      </c>
      <c r="HG95" s="357">
        <f>'Hodnocení '!HG91</f>
        <v>0</v>
      </c>
      <c r="HH95" s="357">
        <f>'Hodnocení '!HH91</f>
        <v>0</v>
      </c>
      <c r="HI95" s="357">
        <f>'Hodnocení '!HI91</f>
        <v>0</v>
      </c>
      <c r="HJ95" s="357">
        <f>'Hodnocení '!HJ91</f>
        <v>0</v>
      </c>
      <c r="HK95" s="357">
        <f>'Hodnocení '!HK91</f>
        <v>0</v>
      </c>
      <c r="HL95" s="357">
        <f>'Hodnocení '!HL91</f>
        <v>0</v>
      </c>
      <c r="HM95" s="357">
        <f>'Hodnocení '!HM91</f>
        <v>0</v>
      </c>
      <c r="HN95" s="357">
        <f>'Hodnocení '!HN91</f>
        <v>0</v>
      </c>
      <c r="HO95" s="357">
        <f>'Hodnocení '!HO91</f>
        <v>0</v>
      </c>
      <c r="HP95" s="357">
        <f>'Hodnocení '!HP91</f>
        <v>0</v>
      </c>
      <c r="HQ95" s="357">
        <f>'Hodnocení '!HQ91</f>
        <v>0</v>
      </c>
      <c r="HR95" s="357">
        <f>'Hodnocení '!HR91</f>
        <v>0</v>
      </c>
      <c r="HS95" s="357">
        <f>'Hodnocení '!HS91</f>
        <v>0</v>
      </c>
      <c r="HT95" s="357">
        <f>'Hodnocení '!HT91</f>
        <v>0</v>
      </c>
      <c r="HU95" s="357">
        <f>'Hodnocení '!HU91</f>
        <v>0</v>
      </c>
      <c r="HV95" s="357">
        <f>'Hodnocení '!HV91</f>
        <v>0</v>
      </c>
      <c r="HW95" s="357">
        <f>'Hodnocení '!HW91</f>
        <v>0</v>
      </c>
      <c r="HX95" s="357">
        <f>'Hodnocení '!HX91</f>
        <v>0</v>
      </c>
      <c r="HY95" s="357">
        <f>'Hodnocení '!HY91</f>
        <v>0</v>
      </c>
      <c r="HZ95" s="357">
        <f>'Hodnocení '!HZ91</f>
        <v>0</v>
      </c>
      <c r="IA95" s="357">
        <f>'Hodnocení '!IA91</f>
        <v>0</v>
      </c>
      <c r="IB95" s="357">
        <f>'Hodnocení '!IB91</f>
        <v>0</v>
      </c>
      <c r="IC95" s="357">
        <f>'Hodnocení '!IC91</f>
        <v>0</v>
      </c>
      <c r="ID95" s="357">
        <f>'Hodnocení '!ID91</f>
        <v>0</v>
      </c>
      <c r="IE95" s="357">
        <f>'Hodnocení '!IE91</f>
        <v>0</v>
      </c>
      <c r="IF95" s="357">
        <f>'Hodnocení '!IF91</f>
        <v>0</v>
      </c>
      <c r="IG95" s="357">
        <f>'Hodnocení '!IG91</f>
        <v>0</v>
      </c>
      <c r="IH95" s="357">
        <f>'Hodnocení '!IH91</f>
        <v>0</v>
      </c>
      <c r="II95" s="357">
        <f>'Hodnocení '!II91</f>
        <v>0</v>
      </c>
      <c r="IJ95" s="357">
        <f>'Hodnocení '!IJ91</f>
        <v>0</v>
      </c>
      <c r="IK95" s="357">
        <f>'Hodnocení '!IK91</f>
        <v>0</v>
      </c>
      <c r="IL95" s="357">
        <f>'Hodnocení '!IL91</f>
        <v>0</v>
      </c>
      <c r="IM95" s="357">
        <f>'Hodnocení '!IM91</f>
        <v>0</v>
      </c>
      <c r="IN95" s="357">
        <f>'Hodnocení '!IN91</f>
        <v>0</v>
      </c>
      <c r="IO95" s="357">
        <f>'Hodnocení '!IO91</f>
        <v>0</v>
      </c>
      <c r="IP95" s="357">
        <f>'Hodnocení '!IP91</f>
        <v>0</v>
      </c>
      <c r="IQ95" s="357">
        <f>'Hodnocení '!IQ91</f>
        <v>0</v>
      </c>
      <c r="IR95" s="357">
        <f>'Hodnocení '!IR91</f>
        <v>0</v>
      </c>
      <c r="IS95" s="357">
        <f>'Hodnocení '!IS91</f>
        <v>0</v>
      </c>
      <c r="IT95" s="357">
        <f>'Hodnocení '!IT91</f>
        <v>0</v>
      </c>
      <c r="IU95" s="357">
        <f>'Hodnocení '!IU91</f>
        <v>0</v>
      </c>
      <c r="IV95" s="357">
        <f>'Hodnocení '!IV91</f>
        <v>0</v>
      </c>
      <c r="IW95" s="357">
        <f>'Hodnocení '!IW91</f>
        <v>0</v>
      </c>
      <c r="IX95" s="357">
        <f>'Hodnocení '!IX91</f>
        <v>0</v>
      </c>
      <c r="IY95" s="357">
        <f>'Hodnocení '!IY91</f>
        <v>0</v>
      </c>
      <c r="IZ95" s="357">
        <f>'Hodnocení '!IZ91</f>
        <v>0</v>
      </c>
      <c r="JA95" s="357">
        <f>'Hodnocení '!JA91</f>
        <v>0</v>
      </c>
      <c r="JB95" s="357">
        <f>'Hodnocení '!JB91</f>
        <v>0</v>
      </c>
      <c r="JC95" s="357">
        <f>'Hodnocení '!JC91</f>
        <v>0</v>
      </c>
      <c r="JD95" s="357">
        <f>'Hodnocení '!JD91</f>
        <v>0</v>
      </c>
      <c r="JE95" s="357">
        <f>'Hodnocení '!JE91</f>
        <v>0</v>
      </c>
      <c r="JF95" s="357">
        <f>'Hodnocení '!JF91</f>
        <v>0</v>
      </c>
      <c r="JG95" s="357">
        <f>'Hodnocení '!JG91</f>
        <v>0</v>
      </c>
      <c r="JH95" s="772">
        <f>'Hodnocení '!JH91</f>
        <v>0</v>
      </c>
      <c r="JI95" s="315">
        <f>'Hodnocení '!JI91</f>
        <v>0</v>
      </c>
    </row>
    <row r="96" spans="1:276" x14ac:dyDescent="0.25">
      <c r="A96" s="835">
        <v>4.6699999999999998E-2</v>
      </c>
      <c r="B96" s="746" t="s">
        <v>2624</v>
      </c>
      <c r="C96" s="779">
        <f>'Hodnocení '!C92</f>
        <v>0</v>
      </c>
      <c r="D96" s="479">
        <f>'Hodnocení '!D92</f>
        <v>0</v>
      </c>
      <c r="E96" s="479">
        <f>'Hodnocení '!E92</f>
        <v>0</v>
      </c>
      <c r="F96" s="479">
        <f>'Hodnocení '!F92</f>
        <v>0</v>
      </c>
      <c r="G96" s="479">
        <f>'Hodnocení '!G92</f>
        <v>0</v>
      </c>
      <c r="H96" s="479">
        <f>'Hodnocení '!H92</f>
        <v>0</v>
      </c>
      <c r="I96" s="479">
        <f>'Hodnocení '!I92</f>
        <v>0</v>
      </c>
      <c r="J96" s="479">
        <f>'Hodnocení '!J92</f>
        <v>0</v>
      </c>
      <c r="K96" s="479">
        <f>'Hodnocení '!K92</f>
        <v>0</v>
      </c>
      <c r="L96" s="479">
        <f>'Hodnocení '!L92</f>
        <v>0</v>
      </c>
      <c r="M96" s="479">
        <f>'Hodnocení '!M92</f>
        <v>0</v>
      </c>
      <c r="N96" s="479">
        <f>'Hodnocení '!N92</f>
        <v>0</v>
      </c>
      <c r="O96" s="479">
        <f>'Hodnocení '!O92</f>
        <v>0</v>
      </c>
      <c r="P96" s="479">
        <f>'Hodnocení '!P92</f>
        <v>0</v>
      </c>
      <c r="Q96" s="479">
        <f>'Hodnocení '!Q92</f>
        <v>0</v>
      </c>
      <c r="R96" s="479">
        <f>'Hodnocení '!R92</f>
        <v>0</v>
      </c>
      <c r="S96" s="479">
        <f>'Hodnocení '!S92</f>
        <v>0</v>
      </c>
      <c r="T96" s="479">
        <f>'Hodnocení '!T92</f>
        <v>0</v>
      </c>
      <c r="U96" s="479">
        <f>'Hodnocení '!U92</f>
        <v>0</v>
      </c>
      <c r="V96" s="479">
        <f>'Hodnocení '!V92</f>
        <v>0</v>
      </c>
      <c r="W96" s="479">
        <f>'Hodnocení '!W92</f>
        <v>0</v>
      </c>
      <c r="X96" s="479">
        <f>'Hodnocení '!X92</f>
        <v>0</v>
      </c>
      <c r="Y96" s="479">
        <f>'Hodnocení '!Y92</f>
        <v>0</v>
      </c>
      <c r="Z96" s="479">
        <f>'Hodnocení '!Z92</f>
        <v>0</v>
      </c>
      <c r="AA96" s="479">
        <f>'Hodnocení '!AA92</f>
        <v>0</v>
      </c>
      <c r="AB96" s="479">
        <f>'Hodnocení '!AB92</f>
        <v>0</v>
      </c>
      <c r="AC96" s="479">
        <f>'Hodnocení '!AC92</f>
        <v>0</v>
      </c>
      <c r="AD96" s="479">
        <f>'Hodnocení '!AD92</f>
        <v>0</v>
      </c>
      <c r="AE96" s="479">
        <f>'Hodnocení '!AE92</f>
        <v>0</v>
      </c>
      <c r="AF96" s="479">
        <f>'Hodnocení '!AF92</f>
        <v>0</v>
      </c>
      <c r="AG96" s="479">
        <f>'Hodnocení '!AG92</f>
        <v>0</v>
      </c>
      <c r="AH96" s="479">
        <f>'Hodnocení '!AH92</f>
        <v>0</v>
      </c>
      <c r="AI96" s="479">
        <f>'Hodnocení '!AI92</f>
        <v>0</v>
      </c>
      <c r="AJ96" s="479">
        <f>'Hodnocení '!AJ92</f>
        <v>0</v>
      </c>
      <c r="AK96" s="479">
        <f>'Hodnocení '!AK92</f>
        <v>0</v>
      </c>
      <c r="AL96" s="479">
        <f>'Hodnocení '!AL92</f>
        <v>0</v>
      </c>
      <c r="AM96" s="479">
        <f>'Hodnocení '!AM92</f>
        <v>0</v>
      </c>
      <c r="AN96" s="479">
        <f>'Hodnocení '!AN92</f>
        <v>0</v>
      </c>
      <c r="AO96" s="479">
        <f>'Hodnocení '!AO92</f>
        <v>0</v>
      </c>
      <c r="AP96" s="479">
        <f>'Hodnocení '!AP92</f>
        <v>0</v>
      </c>
      <c r="AQ96" s="479">
        <f>'Hodnocení '!AQ92</f>
        <v>0</v>
      </c>
      <c r="AR96" s="479">
        <f>'Hodnocení '!AR92</f>
        <v>0</v>
      </c>
      <c r="AS96" s="479">
        <f>'Hodnocení '!AS92</f>
        <v>0</v>
      </c>
      <c r="AT96" s="479">
        <f>'Hodnocení '!AT92</f>
        <v>0</v>
      </c>
      <c r="AU96" s="479">
        <f>'Hodnocení '!AU92</f>
        <v>0</v>
      </c>
      <c r="AV96" s="479">
        <f>'Hodnocení '!AV92</f>
        <v>0</v>
      </c>
      <c r="AW96" s="479">
        <f>'Hodnocení '!AW92</f>
        <v>0</v>
      </c>
      <c r="AX96" s="479">
        <f>'Hodnocení '!AX92</f>
        <v>0</v>
      </c>
      <c r="AY96" s="479">
        <f>'Hodnocení '!AY92</f>
        <v>0</v>
      </c>
      <c r="AZ96" s="479">
        <f>'Hodnocení '!AZ92</f>
        <v>0</v>
      </c>
      <c r="BA96" s="479">
        <f>'Hodnocení '!BA92</f>
        <v>0</v>
      </c>
      <c r="BB96" s="479">
        <f>'Hodnocení '!BB92</f>
        <v>0</v>
      </c>
      <c r="BC96" s="479">
        <f>'Hodnocení '!BC92</f>
        <v>0</v>
      </c>
      <c r="BD96" s="479">
        <f>'Hodnocení '!BD92</f>
        <v>0</v>
      </c>
      <c r="BE96" s="479">
        <f>'Hodnocení '!BE92</f>
        <v>0</v>
      </c>
      <c r="BF96" s="479">
        <f>'Hodnocení '!BF92</f>
        <v>0</v>
      </c>
      <c r="BG96" s="479">
        <f>'Hodnocení '!BG92</f>
        <v>0</v>
      </c>
      <c r="BH96" s="479">
        <f>'Hodnocení '!BH92</f>
        <v>0</v>
      </c>
      <c r="BI96" s="479">
        <f>'Hodnocení '!BI92</f>
        <v>0</v>
      </c>
      <c r="BJ96" s="479">
        <f>'Hodnocení '!BJ92</f>
        <v>0</v>
      </c>
      <c r="BK96" s="479">
        <f>'Hodnocení '!BK92</f>
        <v>0</v>
      </c>
      <c r="BL96" s="479">
        <f>'Hodnocení '!BL92</f>
        <v>0</v>
      </c>
      <c r="BM96" s="479">
        <f>'Hodnocení '!BM92</f>
        <v>0</v>
      </c>
      <c r="BN96" s="479">
        <f>'Hodnocení '!BN92</f>
        <v>0</v>
      </c>
      <c r="BO96" s="479">
        <f>'Hodnocení '!BO92</f>
        <v>0</v>
      </c>
      <c r="BP96" s="479">
        <f>'Hodnocení '!BP92</f>
        <v>0</v>
      </c>
      <c r="BQ96" s="479">
        <f>'Hodnocení '!BQ92</f>
        <v>0</v>
      </c>
      <c r="BR96" s="479">
        <f>'Hodnocení '!BR92</f>
        <v>0</v>
      </c>
      <c r="BS96" s="479">
        <f>'Hodnocení '!BS92</f>
        <v>0</v>
      </c>
      <c r="BT96" s="479">
        <f>'Hodnocení '!BT92</f>
        <v>0</v>
      </c>
      <c r="BU96" s="479">
        <f>'Hodnocení '!BU92</f>
        <v>0</v>
      </c>
      <c r="BV96" s="479">
        <f>'Hodnocení '!BV92</f>
        <v>0</v>
      </c>
      <c r="BW96" s="479">
        <f>'Hodnocení '!BW92</f>
        <v>0</v>
      </c>
      <c r="BX96" s="479">
        <f>'Hodnocení '!BX92</f>
        <v>0</v>
      </c>
      <c r="BY96" s="479">
        <f>'Hodnocení '!BY92</f>
        <v>0</v>
      </c>
      <c r="BZ96" s="479">
        <f>'Hodnocení '!BZ92</f>
        <v>0</v>
      </c>
      <c r="CA96" s="479">
        <f>'Hodnocení '!CA92</f>
        <v>0</v>
      </c>
      <c r="CB96" s="479">
        <f>'Hodnocení '!CB92</f>
        <v>0</v>
      </c>
      <c r="CC96" s="479">
        <f>'Hodnocení '!CC92</f>
        <v>0</v>
      </c>
      <c r="CD96" s="479">
        <f>'Hodnocení '!CD92</f>
        <v>0</v>
      </c>
      <c r="CE96" s="479">
        <f>'Hodnocení '!CE92</f>
        <v>0</v>
      </c>
      <c r="CF96" s="479">
        <f>'Hodnocení '!CF92</f>
        <v>0</v>
      </c>
      <c r="CG96" s="479">
        <f>'Hodnocení '!CG92</f>
        <v>0</v>
      </c>
      <c r="CH96" s="479">
        <f>'Hodnocení '!CH92</f>
        <v>0</v>
      </c>
      <c r="CI96" s="479">
        <f>'Hodnocení '!CI92</f>
        <v>0</v>
      </c>
      <c r="CJ96" s="479">
        <f>'Hodnocení '!CJ92</f>
        <v>0</v>
      </c>
      <c r="CK96" s="479">
        <f>'Hodnocení '!CK92</f>
        <v>0</v>
      </c>
      <c r="CL96" s="479">
        <f>'Hodnocení '!CL92</f>
        <v>0</v>
      </c>
      <c r="CM96" s="479">
        <f>'Hodnocení '!CM92</f>
        <v>0</v>
      </c>
      <c r="CN96" s="479">
        <f>'Hodnocení '!CN92</f>
        <v>0</v>
      </c>
      <c r="CO96" s="479">
        <f>'Hodnocení '!CO92</f>
        <v>0</v>
      </c>
      <c r="CP96" s="479">
        <f>'Hodnocení '!CP92</f>
        <v>0</v>
      </c>
      <c r="CQ96" s="479">
        <f>'Hodnocení '!CQ92</f>
        <v>0</v>
      </c>
      <c r="CR96" s="479">
        <f>'Hodnocení '!CR92</f>
        <v>0</v>
      </c>
      <c r="CS96" s="479">
        <f>'Hodnocení '!CS92</f>
        <v>0</v>
      </c>
      <c r="CT96" s="479">
        <f>'Hodnocení '!CT92</f>
        <v>0</v>
      </c>
      <c r="CU96" s="479">
        <f>'Hodnocení '!CU92</f>
        <v>0</v>
      </c>
      <c r="CV96" s="479">
        <f>'Hodnocení '!CV92</f>
        <v>0</v>
      </c>
      <c r="CW96" s="479">
        <f>'Hodnocení '!CW92</f>
        <v>0</v>
      </c>
      <c r="CX96" s="479">
        <f>'Hodnocení '!CX92</f>
        <v>0</v>
      </c>
      <c r="CY96" s="479">
        <f>'Hodnocení '!CY92</f>
        <v>0</v>
      </c>
      <c r="CZ96" s="479">
        <f>'Hodnocení '!CZ92</f>
        <v>0</v>
      </c>
      <c r="DA96" s="479">
        <f>'Hodnocení '!DA92</f>
        <v>0</v>
      </c>
      <c r="DB96" s="479">
        <f>'Hodnocení '!DB92</f>
        <v>0</v>
      </c>
      <c r="DC96" s="479">
        <f>'Hodnocení '!DC92</f>
        <v>0</v>
      </c>
      <c r="DD96" s="479">
        <f>'Hodnocení '!DD92</f>
        <v>0</v>
      </c>
      <c r="DE96" s="479">
        <f>'Hodnocení '!DE92</f>
        <v>0</v>
      </c>
      <c r="DF96" s="479">
        <f>'Hodnocení '!DF92</f>
        <v>0</v>
      </c>
      <c r="DG96" s="479">
        <f>'Hodnocení '!DG92</f>
        <v>0</v>
      </c>
      <c r="DH96" s="479">
        <f>'Hodnocení '!DH92</f>
        <v>0</v>
      </c>
      <c r="DI96" s="479">
        <f>'Hodnocení '!DI92</f>
        <v>0</v>
      </c>
      <c r="DJ96" s="479">
        <f>'Hodnocení '!DJ92</f>
        <v>0</v>
      </c>
      <c r="DK96" s="479">
        <f>'Hodnocení '!DK92</f>
        <v>0</v>
      </c>
      <c r="DL96" s="479">
        <f>'Hodnocení '!DL92</f>
        <v>0</v>
      </c>
      <c r="DM96" s="479">
        <f>'Hodnocení '!DM92</f>
        <v>0</v>
      </c>
      <c r="DN96" s="479">
        <f>'Hodnocení '!DN92</f>
        <v>0</v>
      </c>
      <c r="DO96" s="479">
        <f>'Hodnocení '!DO92</f>
        <v>0</v>
      </c>
      <c r="DP96" s="479">
        <f>'Hodnocení '!DP92</f>
        <v>0</v>
      </c>
      <c r="DQ96" s="479">
        <f>'Hodnocení '!DQ92</f>
        <v>0</v>
      </c>
      <c r="DR96" s="479">
        <f>'Hodnocení '!DR92</f>
        <v>0</v>
      </c>
      <c r="DS96" s="479">
        <f>'Hodnocení '!DS92</f>
        <v>0</v>
      </c>
      <c r="DT96" s="479">
        <f>'Hodnocení '!DT92</f>
        <v>0</v>
      </c>
      <c r="DU96" s="479">
        <f>'Hodnocení '!DU92</f>
        <v>0</v>
      </c>
      <c r="DV96" s="479">
        <f>'Hodnocení '!DV92</f>
        <v>0</v>
      </c>
      <c r="DW96" s="479">
        <f>'Hodnocení '!DW92</f>
        <v>0</v>
      </c>
      <c r="DX96" s="479">
        <f>'Hodnocení '!DX92</f>
        <v>0</v>
      </c>
      <c r="DY96" s="479">
        <f>'Hodnocení '!DY92</f>
        <v>0</v>
      </c>
      <c r="DZ96" s="479">
        <f>'Hodnocení '!DZ92</f>
        <v>0</v>
      </c>
      <c r="EA96" s="479">
        <f>'Hodnocení '!EA92</f>
        <v>0</v>
      </c>
      <c r="EB96" s="479">
        <f>'Hodnocení '!EB92</f>
        <v>0</v>
      </c>
      <c r="EC96" s="479">
        <f>'Hodnocení '!EC92</f>
        <v>0</v>
      </c>
      <c r="ED96" s="479">
        <f>'Hodnocení '!ED92</f>
        <v>0</v>
      </c>
      <c r="EE96" s="479">
        <f>'Hodnocení '!EE92</f>
        <v>0</v>
      </c>
      <c r="EF96" s="479">
        <f>'Hodnocení '!EF92</f>
        <v>0</v>
      </c>
      <c r="EG96" s="479">
        <f>'Hodnocení '!EG92</f>
        <v>0</v>
      </c>
      <c r="EH96" s="479">
        <f>'Hodnocení '!EH92</f>
        <v>0</v>
      </c>
      <c r="EI96" s="479">
        <f>'Hodnocení '!EI92</f>
        <v>0</v>
      </c>
      <c r="EJ96" s="479">
        <f>'Hodnocení '!EJ92</f>
        <v>0</v>
      </c>
      <c r="EK96" s="479">
        <f>'Hodnocení '!EK92</f>
        <v>0</v>
      </c>
      <c r="EL96" s="479">
        <f>'Hodnocení '!EL92</f>
        <v>0</v>
      </c>
      <c r="EM96" s="479">
        <f>'Hodnocení '!EM92</f>
        <v>0</v>
      </c>
      <c r="EN96" s="479">
        <f>'Hodnocení '!EN92</f>
        <v>0</v>
      </c>
      <c r="EO96" s="479">
        <f>'Hodnocení '!EO92</f>
        <v>0</v>
      </c>
      <c r="EP96" s="479">
        <f>'Hodnocení '!EP92</f>
        <v>0</v>
      </c>
      <c r="EQ96" s="479">
        <f>'Hodnocení '!EQ92</f>
        <v>0</v>
      </c>
      <c r="ER96" s="479">
        <f>'Hodnocení '!ER92</f>
        <v>0</v>
      </c>
      <c r="ES96" s="479">
        <f>'Hodnocení '!ES92</f>
        <v>0</v>
      </c>
      <c r="ET96" s="479">
        <f>'Hodnocení '!ET92</f>
        <v>47141.92448929487</v>
      </c>
      <c r="EU96" s="479">
        <f>'Hodnocení '!EU92</f>
        <v>133925.50880418078</v>
      </c>
      <c r="EV96" s="479">
        <f>'Hodnocení '!EV92</f>
        <v>34687.52295333978</v>
      </c>
      <c r="EW96" s="479">
        <f>'Hodnocení '!EW92</f>
        <v>208935.48503359754</v>
      </c>
      <c r="EX96" s="479">
        <f>'Hodnocení '!EX92</f>
        <v>467000</v>
      </c>
      <c r="EY96" s="479">
        <f>'Hodnocení '!EY92</f>
        <v>151091.48689274295</v>
      </c>
      <c r="EZ96" s="479">
        <f>'Hodnocení '!EZ92</f>
        <v>55131.365046615829</v>
      </c>
      <c r="FA96" s="479">
        <f>'Hodnocení '!FA92</f>
        <v>123454.22513666681</v>
      </c>
      <c r="FB96" s="479">
        <f>'Hodnocení '!FB92</f>
        <v>12406.531712251144</v>
      </c>
      <c r="FC96" s="479">
        <f>'Hodnocení '!FC92</f>
        <v>377411.44018632395</v>
      </c>
      <c r="FD96" s="479">
        <f>'Hodnocení '!FD92</f>
        <v>77711.412095124018</v>
      </c>
      <c r="FE96" s="479">
        <f>'Hodnocení '!FE92</f>
        <v>37987.675499122735</v>
      </c>
      <c r="FF96" s="479">
        <f>'Hodnocení '!FF92</f>
        <v>119608.04</v>
      </c>
      <c r="FG96" s="479">
        <f>'Hodnocení '!FG92</f>
        <v>477970.85831310292</v>
      </c>
      <c r="FH96" s="479">
        <f>'Hodnocení '!FH92</f>
        <v>382687.96009999997</v>
      </c>
      <c r="FI96" s="479">
        <f>'Hodnocení '!FI92</f>
        <v>490817</v>
      </c>
      <c r="FJ96" s="479">
        <f>'Hodnocení '!FJ92</f>
        <v>150665.408</v>
      </c>
      <c r="FK96" s="479">
        <f>'Hodnocení '!FK92</f>
        <v>44990.136787858275</v>
      </c>
      <c r="FL96" s="479">
        <f>'Hodnocení '!FL92</f>
        <v>56208.717015637936</v>
      </c>
      <c r="FM96" s="479">
        <f>'Hodnocení '!FM92</f>
        <v>268413.09076253796</v>
      </c>
      <c r="FN96" s="479">
        <f>'Hodnocení '!FN92</f>
        <v>371910.93011391972</v>
      </c>
      <c r="FO96" s="479">
        <f>'Hodnocení '!FO92</f>
        <v>133873.86259999999</v>
      </c>
      <c r="FP96" s="479">
        <f>'Hodnocení '!FP92</f>
        <v>794273.6</v>
      </c>
      <c r="FQ96" s="479">
        <f>'Hodnocení '!FQ92</f>
        <v>102407.77619999999</v>
      </c>
      <c r="FR96" s="479">
        <f>'Hodnocení '!FR92</f>
        <v>179664.3936247786</v>
      </c>
      <c r="FS96" s="479">
        <f>'Hodnocení '!FS92</f>
        <v>30425.05</v>
      </c>
      <c r="FT96" s="479">
        <f>'Hodnocení '!FT92</f>
        <v>274208.0783389709</v>
      </c>
      <c r="FU96" s="479">
        <f>'Hodnocení '!FU92</f>
        <v>33530.6</v>
      </c>
      <c r="FV96" s="479">
        <f>'Hodnocení '!FV92</f>
        <v>87080.150638157691</v>
      </c>
      <c r="FW96" s="479">
        <f>'Hodnocení '!FW92</f>
        <v>98280.15</v>
      </c>
      <c r="FX96" s="479">
        <f>'Hodnocení '!FX92</f>
        <v>46139.6</v>
      </c>
      <c r="FY96" s="479">
        <f>'Hodnocení '!FY92</f>
        <v>22602.799999999999</v>
      </c>
      <c r="FZ96" s="479">
        <f>'Hodnocení '!FZ92</f>
        <v>366400.96379110147</v>
      </c>
      <c r="GA96" s="479">
        <f>'Hodnocení '!GA92</f>
        <v>46334.361863738959</v>
      </c>
      <c r="GB96" s="479">
        <f>'Hodnocení '!GB92</f>
        <v>330570.36251010589</v>
      </c>
      <c r="GC96" s="479">
        <f>'Hodnocení '!GC92</f>
        <v>186440.41663966837</v>
      </c>
      <c r="GD96" s="479">
        <f>'Hodnocení '!GD92</f>
        <v>690841.89594519313</v>
      </c>
      <c r="GE96" s="479">
        <f>'Hodnocení '!GE92</f>
        <v>107410</v>
      </c>
      <c r="GF96" s="479">
        <f>'Hodnocení '!GF92</f>
        <v>247024.32830681585</v>
      </c>
      <c r="GG96" s="479">
        <f>'Hodnocení '!GG92</f>
        <v>78253.89933898492</v>
      </c>
      <c r="GH96" s="479">
        <f>'Hodnocení '!GH92</f>
        <v>70084.624840646575</v>
      </c>
      <c r="GI96" s="479">
        <f>'Hodnocení '!GI92</f>
        <v>715362.23236138071</v>
      </c>
      <c r="GJ96" s="479">
        <f>'Hodnocení '!GJ92</f>
        <v>151129.606</v>
      </c>
      <c r="GK96" s="479">
        <f>'Hodnocení '!GK92</f>
        <v>106847.4051</v>
      </c>
      <c r="GL96" s="479">
        <f>'Hodnocení '!GL92</f>
        <v>58321.108199999995</v>
      </c>
      <c r="GM96" s="479">
        <f>'Hodnocení '!GM92</f>
        <v>67838.007799999992</v>
      </c>
      <c r="GN96" s="479">
        <f>'Hodnocení '!GN92</f>
        <v>54031.9</v>
      </c>
      <c r="GO96" s="479">
        <f>'Hodnocení '!GO92</f>
        <v>313807.23469999997</v>
      </c>
      <c r="GP96" s="479">
        <f>'Hodnocení '!GP92</f>
        <v>61861.438083305111</v>
      </c>
      <c r="GQ96" s="479">
        <f>'Hodnocení '!GQ92</f>
        <v>82481.539999999994</v>
      </c>
      <c r="GR96" s="479">
        <f>'Hodnocení '!GR92</f>
        <v>78041.052083924267</v>
      </c>
      <c r="GS96" s="479">
        <f>'Hodnocení '!GS92</f>
        <v>44990.136787858275</v>
      </c>
      <c r="GT96" s="479">
        <f>'Hodnocení '!GT92</f>
        <v>690195.6231487093</v>
      </c>
      <c r="GU96" s="479">
        <f>'Hodnocení '!GU92</f>
        <v>74927.347999999998</v>
      </c>
      <c r="GV96" s="479">
        <f>'Hodnocení '!GV92</f>
        <v>388213.4193706137</v>
      </c>
      <c r="GW96" s="479">
        <f>'Hodnocení '!GW92</f>
        <v>104467.74251679877</v>
      </c>
      <c r="GX96" s="479">
        <f>'Hodnocení '!GX92</f>
        <v>39537.590167326576</v>
      </c>
      <c r="GY96" s="479">
        <f>'Hodnocení '!GY92</f>
        <v>1311988.6325000001</v>
      </c>
      <c r="GZ96" s="479">
        <f>'Hodnocení '!GZ92</f>
        <v>187547.40093594202</v>
      </c>
      <c r="HA96" s="479">
        <f>'Hodnocení '!HA92</f>
        <v>552841.38043076987</v>
      </c>
      <c r="HB96" s="479">
        <f>'Hodnocení '!HB92</f>
        <v>479679.2414240308</v>
      </c>
      <c r="HC96" s="479">
        <f>'Hodnocení '!HC92</f>
        <v>620129.29999999993</v>
      </c>
      <c r="HD96" s="479">
        <f>'Hodnocení '!HD92</f>
        <v>186440.41663966837</v>
      </c>
      <c r="HE96" s="479">
        <f>'Hodnocení '!HE92</f>
        <v>455871.39</v>
      </c>
      <c r="HF96" s="479">
        <f>'Hodnocení '!HF92</f>
        <v>114550.75689999999</v>
      </c>
      <c r="HG96" s="479">
        <f>'Hodnocení '!HG92</f>
        <v>45260.005499999999</v>
      </c>
      <c r="HH96" s="479">
        <f>'Hodnocení '!HH92</f>
        <v>163945.34824573921</v>
      </c>
      <c r="HI96" s="479">
        <f>'Hodnocení '!HI92</f>
        <v>231430.55342752661</v>
      </c>
      <c r="HJ96" s="479">
        <f>'Hodnocení '!HJ92</f>
        <v>0</v>
      </c>
      <c r="HK96" s="479">
        <f>'Hodnocení '!HK92</f>
        <v>56124.06</v>
      </c>
      <c r="HL96" s="479">
        <f>'Hodnocení '!HL92</f>
        <v>2010303.0432695986</v>
      </c>
      <c r="HM96" s="479">
        <f>'Hodnocení '!HM92</f>
        <v>1135511.5938144352</v>
      </c>
      <c r="HN96" s="479">
        <f>'Hodnocení '!HN92</f>
        <v>36122.588330516228</v>
      </c>
      <c r="HO96" s="479">
        <f>'Hodnocení '!HO92</f>
        <v>0</v>
      </c>
      <c r="HP96" s="479">
        <f>'Hodnocení '!HP92</f>
        <v>1542641.0999999999</v>
      </c>
      <c r="HQ96" s="479">
        <f>'Hodnocení '!HQ92</f>
        <v>48220.549242541354</v>
      </c>
      <c r="HR96" s="479">
        <f>'Hodnocení '!HR92</f>
        <v>1709911.4656927667</v>
      </c>
      <c r="HS96" s="479">
        <f>'Hodnocení '!HS92</f>
        <v>336025.86356616416</v>
      </c>
      <c r="HT96" s="479">
        <f>'Hodnocení '!HT92</f>
        <v>868408.4298749856</v>
      </c>
      <c r="HU96" s="479">
        <f>'Hodnocení '!HU92</f>
        <v>1283506.7697432255</v>
      </c>
      <c r="HV96" s="479">
        <f>'Hodnocení '!HV92</f>
        <v>1004423.6</v>
      </c>
      <c r="HW96" s="479">
        <f>'Hodnocení '!HW92</f>
        <v>259741.66399999999</v>
      </c>
      <c r="HX96" s="479">
        <f>'Hodnocení '!HX92</f>
        <v>1199803.3866424877</v>
      </c>
      <c r="HY96" s="479">
        <f>'Hodnocení '!HY92</f>
        <v>952319.57749986672</v>
      </c>
      <c r="HZ96" s="479">
        <f>'Hodnocení '!HZ92</f>
        <v>509964.23245830182</v>
      </c>
      <c r="IA96" s="479">
        <f>'Hodnocení '!IA92</f>
        <v>466060.39600000001</v>
      </c>
      <c r="IB96" s="479">
        <f>'Hodnocení '!IB92</f>
        <v>458739.41915318329</v>
      </c>
      <c r="IC96" s="479">
        <f>'Hodnocení '!IC92</f>
        <v>676659.65</v>
      </c>
      <c r="ID96" s="479">
        <f>'Hodnocení '!ID92</f>
        <v>551807.19999999995</v>
      </c>
      <c r="IE96" s="479">
        <f>'Hodnocení '!IE92</f>
        <v>933722.57947498222</v>
      </c>
      <c r="IF96" s="479">
        <f>'Hodnocení '!IF92</f>
        <v>803176.18856169318</v>
      </c>
      <c r="IG96" s="479">
        <f>'Hodnocení '!IG92</f>
        <v>247053.23069624769</v>
      </c>
      <c r="IH96" s="479">
        <f>'Hodnocení '!IH92</f>
        <v>187430.70346017109</v>
      </c>
      <c r="II96" s="479">
        <f>'Hodnocení '!II92</f>
        <v>925313.01216222881</v>
      </c>
      <c r="IJ96" s="479">
        <f>'Hodnocení '!IJ92</f>
        <v>101970.70808564803</v>
      </c>
      <c r="IK96" s="479">
        <f>'Hodnocení '!IK92</f>
        <v>155086.73050000001</v>
      </c>
      <c r="IL96" s="479">
        <f>'Hodnocení '!IL92</f>
        <v>479416.62869461364</v>
      </c>
      <c r="IM96" s="479">
        <f>'Hodnocení '!IM92</f>
        <v>26931.393039439557</v>
      </c>
      <c r="IN96" s="479">
        <f>'Hodnocení '!IN92</f>
        <v>512952.29121302482</v>
      </c>
      <c r="IO96" s="479">
        <f>'Hodnocení '!IO92</f>
        <v>194985.64899561403</v>
      </c>
      <c r="IP96" s="479">
        <f>'Hodnocení '!IP92</f>
        <v>1050634.519193012</v>
      </c>
      <c r="IQ96" s="479">
        <f>'Hodnocení '!IQ92</f>
        <v>1050140.9051111932</v>
      </c>
      <c r="IR96" s="479">
        <f>'Hodnocení '!IR92</f>
        <v>49796.331841928026</v>
      </c>
      <c r="IS96" s="479">
        <f>'Hodnocení '!IS92</f>
        <v>2596916.9499999997</v>
      </c>
      <c r="IT96" s="479">
        <f>'Hodnocení '!IT92</f>
        <v>670009.56999999995</v>
      </c>
      <c r="IU96" s="479">
        <f>'Hodnocení '!IU92</f>
        <v>171269.29765591683</v>
      </c>
      <c r="IV96" s="479">
        <f>'Hodnocení '!IV92</f>
        <v>414055.07408918667</v>
      </c>
      <c r="IW96" s="479">
        <f>'Hodnocení '!IW92</f>
        <v>659525.25570504065</v>
      </c>
      <c r="IX96" s="479">
        <f>'Hodnocení '!IX92</f>
        <v>100358.26716689731</v>
      </c>
      <c r="IY96" s="479">
        <f>'Hodnocení '!IY92</f>
        <v>531304.24256233533</v>
      </c>
      <c r="IZ96" s="479">
        <f>'Hodnocení '!IZ92</f>
        <v>1180603.8330484934</v>
      </c>
      <c r="JA96" s="479">
        <f>'Hodnocení '!JA92</f>
        <v>143953.2202563601</v>
      </c>
      <c r="JB96" s="479">
        <f>'Hodnocení '!JB92</f>
        <v>177551.67210734112</v>
      </c>
      <c r="JC96" s="479">
        <f>'Hodnocení '!JC92</f>
        <v>101316.3719517602</v>
      </c>
      <c r="JD96" s="479">
        <f>'Hodnocení '!JD92</f>
        <v>313503.64619463228</v>
      </c>
      <c r="JE96" s="479">
        <f>'Hodnocení '!JE92</f>
        <v>39695</v>
      </c>
      <c r="JF96" s="479">
        <f>'Hodnocení '!JF92</f>
        <v>1890313.26</v>
      </c>
      <c r="JG96" s="479">
        <f>'Hodnocení '!JG92</f>
        <v>1429462.2100032198</v>
      </c>
      <c r="JH96" s="780">
        <f>'Hodnocení '!JH92</f>
        <v>66891.236274292896</v>
      </c>
      <c r="JI96" s="470">
        <f>'Hodnocení '!JI92</f>
        <v>47709376.011237428</v>
      </c>
    </row>
    <row r="97" spans="1:276" ht="15.75" hidden="1" thickBot="1" x14ac:dyDescent="0.3">
      <c r="A97" s="353"/>
      <c r="B97" s="734" t="s">
        <v>2578</v>
      </c>
      <c r="C97" s="781">
        <f>'Hodnocení '!C93</f>
        <v>8884422.5558247231</v>
      </c>
      <c r="D97" s="687">
        <f>'Hodnocení '!D93</f>
        <v>7790346.0422490994</v>
      </c>
      <c r="E97" s="687">
        <f>'Hodnocení '!E93</f>
        <v>8299184.4088107003</v>
      </c>
      <c r="F97" s="687">
        <f>'Hodnocení '!F93</f>
        <v>3616884.7088353573</v>
      </c>
      <c r="G97" s="687">
        <f>'Hodnocení '!G93</f>
        <v>10328003.127290595</v>
      </c>
      <c r="H97" s="687">
        <f>'Hodnocení '!H93</f>
        <v>0</v>
      </c>
      <c r="I97" s="687">
        <f>'Hodnocení '!I93</f>
        <v>0</v>
      </c>
      <c r="J97" s="687">
        <f>'Hodnocení '!J93</f>
        <v>126485.23608403429</v>
      </c>
      <c r="K97" s="687">
        <f>'Hodnocení '!K93</f>
        <v>6393271.2513013156</v>
      </c>
      <c r="L97" s="687">
        <f>'Hodnocení '!L93</f>
        <v>3774970</v>
      </c>
      <c r="M97" s="687">
        <f>'Hodnocení '!M93</f>
        <v>3667775.238895766</v>
      </c>
      <c r="N97" s="687">
        <f>'Hodnocení '!N93</f>
        <v>5360828.6030266704</v>
      </c>
      <c r="O97" s="687">
        <f>'Hodnocení '!O93</f>
        <v>4448411.4210138666</v>
      </c>
      <c r="P97" s="687">
        <f>'Hodnocení '!P93</f>
        <v>2570026.0021816893</v>
      </c>
      <c r="Q97" s="687">
        <f>'Hodnocení '!Q93</f>
        <v>1836488.4791010155</v>
      </c>
      <c r="R97" s="687">
        <f>'Hodnocení '!R93</f>
        <v>2124718.1</v>
      </c>
      <c r="S97" s="687">
        <f>'Hodnocení '!S93</f>
        <v>1637152.8</v>
      </c>
      <c r="T97" s="687">
        <f>'Hodnocení '!T93</f>
        <v>622773.51077815378</v>
      </c>
      <c r="U97" s="687">
        <f>'Hodnocení '!U93</f>
        <v>1099204</v>
      </c>
      <c r="V97" s="687">
        <f>'Hodnocení '!V93</f>
        <v>9233620</v>
      </c>
      <c r="W97" s="687">
        <f>'Hodnocení '!W93</f>
        <v>2379600</v>
      </c>
      <c r="X97" s="687">
        <f>'Hodnocení '!X93</f>
        <v>2304335.8095085779</v>
      </c>
      <c r="Y97" s="687">
        <f>'Hodnocení '!Y93</f>
        <v>1969745.4492107111</v>
      </c>
      <c r="Z97" s="687">
        <f>'Hodnocení '!Z93</f>
        <v>7242633.1903780317</v>
      </c>
      <c r="AA97" s="687">
        <f>'Hodnocení '!AA93</f>
        <v>4244705.4490248738</v>
      </c>
      <c r="AB97" s="687">
        <f>'Hodnocení '!AB93</f>
        <v>3678130.7057224135</v>
      </c>
      <c r="AC97" s="687">
        <f>'Hodnocení '!AC93</f>
        <v>481158.31194833241</v>
      </c>
      <c r="AD97" s="687">
        <f>'Hodnocení '!AD93</f>
        <v>2590229.1206235653</v>
      </c>
      <c r="AE97" s="687">
        <f>'Hodnocení '!AE93</f>
        <v>103737.52589894389</v>
      </c>
      <c r="AF97" s="687">
        <f>'Hodnocení '!AF93</f>
        <v>1219244.9295379582</v>
      </c>
      <c r="AG97" s="687">
        <f>'Hodnocení '!AG93</f>
        <v>3450812.7548698969</v>
      </c>
      <c r="AH97" s="687">
        <f>'Hodnocení '!AH93</f>
        <v>807300</v>
      </c>
      <c r="AI97" s="687">
        <f>'Hodnocení '!AI93</f>
        <v>4192325.3830934064</v>
      </c>
      <c r="AJ97" s="687">
        <f>'Hodnocení '!AJ93</f>
        <v>2683430.309376765</v>
      </c>
      <c r="AK97" s="687">
        <f>'Hodnocení '!AK93</f>
        <v>1383868</v>
      </c>
      <c r="AL97" s="687">
        <f>'Hodnocení '!AL93</f>
        <v>1952909.1633510776</v>
      </c>
      <c r="AM97" s="687">
        <f>'Hodnocení '!AM93</f>
        <v>1499708.3726341231</v>
      </c>
      <c r="AN97" s="687">
        <f>'Hodnocení '!AN93</f>
        <v>1148955.198498779</v>
      </c>
      <c r="AO97" s="687">
        <f>'Hodnocení '!AO93</f>
        <v>4903755.5596356187</v>
      </c>
      <c r="AP97" s="687">
        <f>'Hodnocení '!AP93</f>
        <v>2124765.1162296012</v>
      </c>
      <c r="AQ97" s="687">
        <f>'Hodnocení '!AQ93</f>
        <v>688702.88446015073</v>
      </c>
      <c r="AR97" s="687">
        <f>'Hodnocení '!AR93</f>
        <v>1531740.3992508459</v>
      </c>
      <c r="AS97" s="687">
        <f>'Hodnocení '!AS93</f>
        <v>495253.22022333386</v>
      </c>
      <c r="AT97" s="687">
        <f>'Hodnocení '!AT93</f>
        <v>2498113.4323683418</v>
      </c>
      <c r="AU97" s="687">
        <f>'Hodnocení '!AU93</f>
        <v>992216.93946642126</v>
      </c>
      <c r="AV97" s="687">
        <f>'Hodnocení '!AV93</f>
        <v>2003660.6772952261</v>
      </c>
      <c r="AW97" s="687">
        <f>'Hodnocení '!AW93</f>
        <v>16112.012350120116</v>
      </c>
      <c r="AX97" s="687">
        <f>'Hodnocení '!AX93</f>
        <v>3240135.311080751</v>
      </c>
      <c r="AY97" s="687">
        <f>'Hodnocení '!AY93</f>
        <v>3300190.5406568907</v>
      </c>
      <c r="AZ97" s="687">
        <f>'Hodnocení '!AZ93</f>
        <v>3359628.6683306773</v>
      </c>
      <c r="BA97" s="687">
        <f>'Hodnocení '!BA93</f>
        <v>9913000</v>
      </c>
      <c r="BB97" s="687">
        <f>'Hodnocení '!BB93</f>
        <v>1329742.5807072239</v>
      </c>
      <c r="BC97" s="687">
        <f>'Hodnocení '!BC93</f>
        <v>1223742.4938025323</v>
      </c>
      <c r="BD97" s="687">
        <f>'Hodnocení '!BD93</f>
        <v>1916258.3325785431</v>
      </c>
      <c r="BE97" s="687">
        <f>'Hodnocení '!BE93</f>
        <v>0</v>
      </c>
      <c r="BF97" s="687">
        <f>'Hodnocení '!BF93</f>
        <v>2669371.3941904306</v>
      </c>
      <c r="BG97" s="687">
        <f>'Hodnocení '!BG93</f>
        <v>3342000</v>
      </c>
      <c r="BH97" s="687">
        <f>'Hodnocení '!BH93</f>
        <v>3388109.2415605099</v>
      </c>
      <c r="BI97" s="687">
        <f>'Hodnocení '!BI93</f>
        <v>2302086.889306257</v>
      </c>
      <c r="BJ97" s="687">
        <f>'Hodnocení '!BJ93</f>
        <v>2734458.8535647267</v>
      </c>
      <c r="BK97" s="687">
        <f>'Hodnocení '!BK93</f>
        <v>185490.09231459786</v>
      </c>
      <c r="BL97" s="687">
        <f>'Hodnocení '!BL93</f>
        <v>455138.49500087276</v>
      </c>
      <c r="BM97" s="687">
        <f>'Hodnocení '!BM93</f>
        <v>2033799.04</v>
      </c>
      <c r="BN97" s="687">
        <f>'Hodnocení '!BN93</f>
        <v>1657101.9931537434</v>
      </c>
      <c r="BO97" s="687">
        <f>'Hodnocení '!BO93</f>
        <v>1051279.6524752458</v>
      </c>
      <c r="BP97" s="687">
        <f>'Hodnocení '!BP93</f>
        <v>4652080</v>
      </c>
      <c r="BQ97" s="687">
        <f>'Hodnocení '!BQ93</f>
        <v>66564.165662464104</v>
      </c>
      <c r="BR97" s="687">
        <f>'Hodnocení '!BR93</f>
        <v>1288942.0242748552</v>
      </c>
      <c r="BS97" s="687">
        <f>'Hodnocení '!BS93</f>
        <v>1310282.2989678741</v>
      </c>
      <c r="BT97" s="687">
        <f>'Hodnocení '!BT93</f>
        <v>914160.26616723067</v>
      </c>
      <c r="BU97" s="687">
        <f>'Hodnocení '!BU93</f>
        <v>3939338</v>
      </c>
      <c r="BV97" s="687">
        <f>'Hodnocení '!BV93</f>
        <v>1177908.0353182531</v>
      </c>
      <c r="BW97" s="687">
        <f>'Hodnocení '!BW93</f>
        <v>532683</v>
      </c>
      <c r="BX97" s="687">
        <f>'Hodnocení '!BX93</f>
        <v>4708889.1910633538</v>
      </c>
      <c r="BY97" s="687">
        <f>'Hodnocení '!BY93</f>
        <v>1520144</v>
      </c>
      <c r="BZ97" s="687">
        <f>'Hodnocení '!BZ93</f>
        <v>324150</v>
      </c>
      <c r="CA97" s="687">
        <f>'Hodnocení '!CA93</f>
        <v>0</v>
      </c>
      <c r="CB97" s="687">
        <f>'Hodnocení '!CB93</f>
        <v>571519.10142146726</v>
      </c>
      <c r="CC97" s="687">
        <f>'Hodnocení '!CC93</f>
        <v>2238055.6625416637</v>
      </c>
      <c r="CD97" s="687">
        <f>'Hodnocení '!CD93</f>
        <v>661848.21685573971</v>
      </c>
      <c r="CE97" s="687">
        <f>'Hodnocení '!CE93</f>
        <v>9715050.1253167707</v>
      </c>
      <c r="CF97" s="687">
        <f>'Hodnocení '!CF93</f>
        <v>4453617.8393289512</v>
      </c>
      <c r="CG97" s="687">
        <f>'Hodnocení '!CG93</f>
        <v>231159.49607044645</v>
      </c>
      <c r="CH97" s="687">
        <f>'Hodnocení '!CH93</f>
        <v>0</v>
      </c>
      <c r="CI97" s="687">
        <f>'Hodnocení '!CI93</f>
        <v>21633.155796868727</v>
      </c>
      <c r="CJ97" s="687">
        <f>'Hodnocení '!CJ93</f>
        <v>3854195.0818283353</v>
      </c>
      <c r="CK97" s="687">
        <f>'Hodnocení '!CK93</f>
        <v>4571780</v>
      </c>
      <c r="CL97" s="687">
        <f>'Hodnocení '!CL93</f>
        <v>56438.59728209069</v>
      </c>
      <c r="CM97" s="687">
        <f>'Hodnocení '!CM93</f>
        <v>6012336.4399863137</v>
      </c>
      <c r="CN97" s="687">
        <f>'Hodnocení '!CN93</f>
        <v>1342009.9127194914</v>
      </c>
      <c r="CO97" s="687">
        <f>'Hodnocení '!CO93</f>
        <v>1214500</v>
      </c>
      <c r="CP97" s="687">
        <f>'Hodnocení '!CP93</f>
        <v>1268807.7168003041</v>
      </c>
      <c r="CQ97" s="687">
        <f>'Hodnocení '!CQ93</f>
        <v>5515036.573718125</v>
      </c>
      <c r="CR97" s="687">
        <f>'Hodnocení '!CR93</f>
        <v>2367817</v>
      </c>
      <c r="CS97" s="687">
        <f>'Hodnocení '!CS93</f>
        <v>187555.67419309285</v>
      </c>
      <c r="CT97" s="687">
        <f>'Hodnocení '!CT93</f>
        <v>0</v>
      </c>
      <c r="CU97" s="687">
        <f>'Hodnocení '!CU93</f>
        <v>1974027.6887355854</v>
      </c>
      <c r="CV97" s="687">
        <f>'Hodnocení '!CV93</f>
        <v>5644990.9859210327</v>
      </c>
      <c r="CW97" s="687">
        <f>'Hodnocení '!CW93</f>
        <v>445664.10646689229</v>
      </c>
      <c r="CX97" s="687">
        <f>'Hodnocení '!CX93</f>
        <v>3686532</v>
      </c>
      <c r="CY97" s="687">
        <f>'Hodnocení '!CY93</f>
        <v>2881083.2839012085</v>
      </c>
      <c r="CZ97" s="687">
        <f>'Hodnocení '!CZ93</f>
        <v>446100</v>
      </c>
      <c r="DA97" s="687">
        <f>'Hodnocení '!DA93</f>
        <v>8391147.0119362772</v>
      </c>
      <c r="DB97" s="687">
        <f>'Hodnocení '!DB93</f>
        <v>801256.55127554876</v>
      </c>
      <c r="DC97" s="687">
        <f>'Hodnocení '!DC93</f>
        <v>1952214.4635382525</v>
      </c>
      <c r="DD97" s="687">
        <f>'Hodnocení '!DD93</f>
        <v>428740.05018450413</v>
      </c>
      <c r="DE97" s="687">
        <f>'Hodnocení '!DE93</f>
        <v>1595404.8713862468</v>
      </c>
      <c r="DF97" s="687">
        <f>'Hodnocení '!DF93</f>
        <v>7381996.8713862468</v>
      </c>
      <c r="DG97" s="687">
        <f>'Hodnocení '!DG93</f>
        <v>802938.16515118408</v>
      </c>
      <c r="DH97" s="687">
        <f>'Hodnocení '!DH93</f>
        <v>908244.44020215096</v>
      </c>
      <c r="DI97" s="687">
        <f>'Hodnocení '!DI93</f>
        <v>0</v>
      </c>
      <c r="DJ97" s="687">
        <f>'Hodnocení '!DJ93</f>
        <v>65990.976314039901</v>
      </c>
      <c r="DK97" s="687">
        <f>'Hodnocení '!DK93</f>
        <v>224452.83531246078</v>
      </c>
      <c r="DL97" s="687">
        <f>'Hodnocení '!DL93</f>
        <v>4094296.2218004535</v>
      </c>
      <c r="DM97" s="687">
        <f>'Hodnocení '!DM93</f>
        <v>1966503.0838138557</v>
      </c>
      <c r="DN97" s="687">
        <f>'Hodnocení '!DN93</f>
        <v>4052035.7644601618</v>
      </c>
      <c r="DO97" s="687">
        <f>'Hodnocení '!DO93</f>
        <v>1402300.3922101089</v>
      </c>
      <c r="DP97" s="687">
        <f>'Hodnocení '!DP93</f>
        <v>4045363.78</v>
      </c>
      <c r="DQ97" s="687">
        <f>'Hodnocení '!DQ93</f>
        <v>4329795</v>
      </c>
      <c r="DR97" s="687">
        <f>'Hodnocení '!DR93</f>
        <v>4985313.5</v>
      </c>
      <c r="DS97" s="687">
        <f>'Hodnocení '!DS93</f>
        <v>1625552.2365860054</v>
      </c>
      <c r="DT97" s="687">
        <f>'Hodnocení '!DT93</f>
        <v>3379864.0513730422</v>
      </c>
      <c r="DU97" s="687">
        <f>'Hodnocení '!DU93</f>
        <v>35402.15315866132</v>
      </c>
      <c r="DV97" s="687">
        <f>'Hodnocení '!DV93</f>
        <v>6440000</v>
      </c>
      <c r="DW97" s="687">
        <f>'Hodnocení '!DW93</f>
        <v>368896.922364717</v>
      </c>
      <c r="DX97" s="687">
        <f>'Hodnocení '!DX93</f>
        <v>0</v>
      </c>
      <c r="DY97" s="687">
        <f>'Hodnocení '!DY93</f>
        <v>4581142.7504826486</v>
      </c>
      <c r="DZ97" s="687">
        <f>'Hodnocení '!DZ93</f>
        <v>723925.6888148766</v>
      </c>
      <c r="EA97" s="687">
        <f>'Hodnocení '!EA93</f>
        <v>4141440.9263814236</v>
      </c>
      <c r="EB97" s="687">
        <f>'Hodnocení '!EB93</f>
        <v>5751412.8583436497</v>
      </c>
      <c r="EC97" s="687">
        <f>'Hodnocení '!EC93</f>
        <v>3507637.7512384658</v>
      </c>
      <c r="ED97" s="687">
        <f>'Hodnocení '!ED93</f>
        <v>3789855.4215401057</v>
      </c>
      <c r="EE97" s="687">
        <f>'Hodnocení '!EE93</f>
        <v>750052.03204477963</v>
      </c>
      <c r="EF97" s="687">
        <f>'Hodnocení '!EF93</f>
        <v>886973.84315981728</v>
      </c>
      <c r="EG97" s="687">
        <f>'Hodnocení '!EG93</f>
        <v>440614.21022333385</v>
      </c>
      <c r="EH97" s="687">
        <f>'Hodnocení '!EH93</f>
        <v>766109.30758974701</v>
      </c>
      <c r="EI97" s="687">
        <f>'Hodnocení '!EI93</f>
        <v>1178000</v>
      </c>
      <c r="EJ97" s="687">
        <f>'Hodnocení '!EJ93</f>
        <v>0</v>
      </c>
      <c r="EK97" s="687">
        <f>'Hodnocení '!EK93</f>
        <v>3932042</v>
      </c>
      <c r="EL97" s="687">
        <f>'Hodnocení '!EL93</f>
        <v>8896075.9201217424</v>
      </c>
      <c r="EM97" s="687">
        <f>'Hodnocení '!EM93</f>
        <v>2817690.3194428757</v>
      </c>
      <c r="EN97" s="687">
        <f>'Hodnocení '!EN93</f>
        <v>2639613.8452645098</v>
      </c>
      <c r="EO97" s="687">
        <f>'Hodnocení '!EO93</f>
        <v>326536.14681555587</v>
      </c>
      <c r="EP97" s="687">
        <f>'Hodnocení '!EP93</f>
        <v>3336103.6776025575</v>
      </c>
      <c r="EQ97" s="687">
        <f>'Hodnocení '!EQ93</f>
        <v>2318152.5044244276</v>
      </c>
      <c r="ER97" s="687">
        <f>'Hodnocení '!ER93</f>
        <v>6886000</v>
      </c>
      <c r="ES97" s="687">
        <f>'Hodnocení '!ES93</f>
        <v>2889369.4473401564</v>
      </c>
      <c r="ET97" s="687">
        <f>'Hodnocení '!ET93</f>
        <v>962321.12667333614</v>
      </c>
      <c r="EU97" s="687">
        <f>'Hodnocení '!EU93</f>
        <v>2669681.0969156926</v>
      </c>
      <c r="EV97" s="687">
        <f>'Hodnocení '!EV93</f>
        <v>443085.98782481399</v>
      </c>
      <c r="EW97" s="687">
        <f>'Hodnocení '!EW93</f>
        <v>2505057.7705038232</v>
      </c>
      <c r="EX97" s="687">
        <f>'Hodnocení '!EX93</f>
        <v>5574308.9853405347</v>
      </c>
      <c r="EY97" s="687">
        <f>'Hodnocení '!EY93</f>
        <v>2059165.8751551495</v>
      </c>
      <c r="EZ97" s="687">
        <f>'Hodnocení '!EZ93</f>
        <v>0</v>
      </c>
      <c r="FA97" s="687">
        <f>'Hodnocení '!FA93</f>
        <v>1523844.1996313592</v>
      </c>
      <c r="FB97" s="687">
        <f>'Hodnocení '!FB93</f>
        <v>177814.53304874955</v>
      </c>
      <c r="FC97" s="687">
        <f>'Hodnocení '!FC93</f>
        <v>3042203.9813623684</v>
      </c>
      <c r="FD97" s="687">
        <f>'Hodnocení '!FD93</f>
        <v>0</v>
      </c>
      <c r="FE97" s="687">
        <f>'Hodnocení '!FE93</f>
        <v>343252.91334718862</v>
      </c>
      <c r="FF97" s="687">
        <f>'Hodnocení '!FF93</f>
        <v>1441591.96</v>
      </c>
      <c r="FG97" s="687">
        <f>'Hodnocení '!FG93</f>
        <v>6929542.7585950755</v>
      </c>
      <c r="FH97" s="687">
        <f>'Hodnocení '!FH93</f>
        <v>5790606.0491879787</v>
      </c>
      <c r="FI97" s="687">
        <f>'Hodnocení '!FI93</f>
        <v>7582387.4650456514</v>
      </c>
      <c r="FJ97" s="687">
        <f>'Hodnocení '!FJ93</f>
        <v>1854520.9697589942</v>
      </c>
      <c r="FK97" s="687">
        <f>'Hodnocení '!FK93</f>
        <v>117156.2027371416</v>
      </c>
      <c r="FL97" s="687">
        <f>'Hodnocení '!FL93</f>
        <v>289530.78772289003</v>
      </c>
      <c r="FM97" s="687">
        <f>'Hodnocení '!FM93</f>
        <v>943015.1290333569</v>
      </c>
      <c r="FN97" s="687">
        <f>'Hodnocení '!FN93</f>
        <v>7003025.5498415343</v>
      </c>
      <c r="FO97" s="687">
        <f>'Hodnocení '!FO93</f>
        <v>1654621.1373999999</v>
      </c>
      <c r="FP97" s="687">
        <f>'Hodnocení '!FP93</f>
        <v>12351204.308851836</v>
      </c>
      <c r="FQ97" s="687">
        <f>'Hodnocení '!FQ93</f>
        <v>1972278.2238</v>
      </c>
      <c r="FR97" s="687">
        <f>'Hodnocení '!FR93</f>
        <v>57292.80472513882</v>
      </c>
      <c r="FS97" s="687">
        <f>'Hodnocení '!FS93</f>
        <v>464007.95</v>
      </c>
      <c r="FT97" s="687">
        <f>'Hodnocení '!FT93</f>
        <v>3255891.8040901599</v>
      </c>
      <c r="FU97" s="687">
        <f>'Hodnocení '!FU93</f>
        <v>465828.80444292724</v>
      </c>
      <c r="FV97" s="687">
        <f>'Hodnocení '!FV93</f>
        <v>559247.1692367394</v>
      </c>
      <c r="FW97" s="687">
        <f>'Hodnocení '!FW93</f>
        <v>937680.03042577044</v>
      </c>
      <c r="FX97" s="687">
        <f>'Hodnocení '!FX93</f>
        <v>384533.50336206751</v>
      </c>
      <c r="FY97" s="687">
        <f>'Hodnocení '!FY93</f>
        <v>224393.18079860392</v>
      </c>
      <c r="FZ97" s="687">
        <f>'Hodnocení '!FZ93</f>
        <v>2571154.0852688877</v>
      </c>
      <c r="GA97" s="687">
        <f>'Hodnocení '!GA93</f>
        <v>235086.12772381899</v>
      </c>
      <c r="GB97" s="687">
        <f>'Hodnocení '!GB93</f>
        <v>2245960.1198871755</v>
      </c>
      <c r="GC97" s="687">
        <f>'Hodnocení '!GC93</f>
        <v>2171084.1398516875</v>
      </c>
      <c r="GD97" s="687">
        <f>'Hodnocení '!GD93</f>
        <v>7928941.2458636481</v>
      </c>
      <c r="GE97" s="687">
        <f>'Hodnocení '!GE93</f>
        <v>155880.93400108395</v>
      </c>
      <c r="GF97" s="687">
        <f>'Hodnocení '!GF93</f>
        <v>3881575.8495693267</v>
      </c>
      <c r="GG97" s="687">
        <f>'Hodnocení '!GG93</f>
        <v>1157418.4633801784</v>
      </c>
      <c r="GH97" s="687">
        <f>'Hodnocení '!GH93</f>
        <v>1150656.806436582</v>
      </c>
      <c r="GI97" s="687">
        <f>'Hodnocení '!GI93</f>
        <v>7754404.1747833164</v>
      </c>
      <c r="GJ97" s="687">
        <f>'Hodnocení '!GJ93</f>
        <v>1839200.3392906617</v>
      </c>
      <c r="GK97" s="687">
        <f>'Hodnocení '!GK93</f>
        <v>1263789.5246263293</v>
      </c>
      <c r="GL97" s="687">
        <f>'Hodnocení '!GL93</f>
        <v>469954.02825609827</v>
      </c>
      <c r="GM97" s="687">
        <f>'Hodnocení '!GM93</f>
        <v>692537.52275552833</v>
      </c>
      <c r="GN97" s="687">
        <f>'Hodnocení '!GN93</f>
        <v>788769.06011215365</v>
      </c>
      <c r="GO97" s="687">
        <f>'Hodnocení '!GO93</f>
        <v>4468795.486137961</v>
      </c>
      <c r="GP97" s="687">
        <f>'Hodnocení '!GP93</f>
        <v>484458.62365770375</v>
      </c>
      <c r="GQ97" s="687">
        <f>'Hodnocení '!GQ93</f>
        <v>309592.78871686111</v>
      </c>
      <c r="GR97" s="687">
        <f>'Hodnocení '!GR93</f>
        <v>649083.55356755911</v>
      </c>
      <c r="GS97" s="687">
        <f>'Hodnocení '!GS93</f>
        <v>0</v>
      </c>
      <c r="GT97" s="687">
        <f>'Hodnocení '!GT93</f>
        <v>8684791.9089435674</v>
      </c>
      <c r="GU97" s="687">
        <f>'Hodnocení '!GU93</f>
        <v>1049512.652</v>
      </c>
      <c r="GV97" s="687">
        <f>'Hodnocení '!GV93</f>
        <v>5192077.1223351089</v>
      </c>
      <c r="GW97" s="687">
        <f>'Hodnocení '!GW93</f>
        <v>941724.88907427166</v>
      </c>
      <c r="GX97" s="687">
        <f>'Hodnocení '!GX93</f>
        <v>174838.81698008074</v>
      </c>
      <c r="GY97" s="687">
        <f>'Hodnocení '!GY93</f>
        <v>11169700.678891907</v>
      </c>
      <c r="GZ97" s="687">
        <f>'Hodnocení '!GZ93</f>
        <v>0</v>
      </c>
      <c r="HA97" s="687">
        <f>'Hodnocení '!HA93</f>
        <v>5234456.3531791531</v>
      </c>
      <c r="HB97" s="687">
        <f>'Hodnocení '!HB93</f>
        <v>2241824.8575916188</v>
      </c>
      <c r="HC97" s="687">
        <f>'Hodnocení '!HC93</f>
        <v>5534657.4581430918</v>
      </c>
      <c r="HD97" s="687">
        <f>'Hodnocení '!HD93</f>
        <v>1908552.7255373849</v>
      </c>
      <c r="HE97" s="687">
        <f>'Hodnocení '!HE93</f>
        <v>5990571.4307119017</v>
      </c>
      <c r="HF97" s="687">
        <f>'Hodnocení '!HF93</f>
        <v>780918.93476073246</v>
      </c>
      <c r="HG97" s="687">
        <f>'Hodnocení '!HG93</f>
        <v>483764.13760522264</v>
      </c>
      <c r="HH97" s="687">
        <f>'Hodnocení '!HH93</f>
        <v>1870575.3205709462</v>
      </c>
      <c r="HI97" s="687">
        <f>'Hodnocení '!HI93</f>
        <v>1243943.1770259617</v>
      </c>
      <c r="HJ97" s="687">
        <f>'Hodnocení '!HJ93</f>
        <v>0</v>
      </c>
      <c r="HK97" s="687">
        <f>'Hodnocení '!HK93</f>
        <v>0</v>
      </c>
      <c r="HL97" s="687">
        <f>'Hodnocení '!HL93</f>
        <v>27909432.908668261</v>
      </c>
      <c r="HM97" s="687">
        <f>'Hodnocení '!HM93</f>
        <v>16240107.513333792</v>
      </c>
      <c r="HN97" s="687">
        <f>'Hodnocení '!HN93</f>
        <v>0</v>
      </c>
      <c r="HO97" s="687">
        <f>'Hodnocení '!HO93</f>
        <v>0</v>
      </c>
      <c r="HP97" s="687">
        <f>'Hodnocení '!HP93</f>
        <v>22240823.606855139</v>
      </c>
      <c r="HQ97" s="687">
        <f>'Hodnocení '!HQ93</f>
        <v>693656.33486671548</v>
      </c>
      <c r="HR97" s="687">
        <f>'Hodnocení '!HR93</f>
        <v>23679171.628672816</v>
      </c>
      <c r="HS97" s="687">
        <f>'Hodnocení '!HS93</f>
        <v>4833758.0679419925</v>
      </c>
      <c r="HT97" s="687">
        <f>'Hodnocení '!HT93</f>
        <v>10590623.898769123</v>
      </c>
      <c r="HU97" s="687">
        <f>'Hodnocení '!HU93</f>
        <v>19383268.865375917</v>
      </c>
      <c r="HV97" s="687">
        <f>'Hodnocení '!HV93</f>
        <v>14412843.434960146</v>
      </c>
      <c r="HW97" s="687">
        <f>'Hodnocení '!HW93</f>
        <v>3510934.4807960517</v>
      </c>
      <c r="HX97" s="687">
        <f>'Hodnocení '!HX93</f>
        <v>16232959.937704423</v>
      </c>
      <c r="HY97" s="687">
        <f>'Hodnocení '!HY93</f>
        <v>12100898.933541736</v>
      </c>
      <c r="HZ97" s="687">
        <f>'Hodnocení '!HZ93</f>
        <v>7288372.7555617914</v>
      </c>
      <c r="IA97" s="687">
        <f>'Hodnocení '!IA93</f>
        <v>6446282.1572564524</v>
      </c>
      <c r="IB97" s="687">
        <f>'Hodnocení '!IB93</f>
        <v>6232921.4005923653</v>
      </c>
      <c r="IC97" s="687">
        <f>'Hodnocení '!IC93</f>
        <v>9373484.5119702313</v>
      </c>
      <c r="ID97" s="687">
        <f>'Hodnocení '!ID93</f>
        <v>8268047.2414508266</v>
      </c>
      <c r="IE97" s="687">
        <f>'Hodnocení '!IE93</f>
        <v>14846882.501584478</v>
      </c>
      <c r="IF97" s="687">
        <f>'Hodnocení '!IF93</f>
        <v>8135982.9353922922</v>
      </c>
      <c r="IG97" s="687">
        <f>'Hodnocení '!IG93</f>
        <v>2543130.6763956631</v>
      </c>
      <c r="IH97" s="687">
        <f>'Hodnocení '!IH93</f>
        <v>2490373.9871007907</v>
      </c>
      <c r="II97" s="687">
        <f>'Hodnocení '!II93</f>
        <v>12218472.029190879</v>
      </c>
      <c r="IJ97" s="687">
        <f>'Hodnocení '!IJ93</f>
        <v>1396832.2533525822</v>
      </c>
      <c r="IK97" s="687">
        <f>'Hodnocení '!IK93</f>
        <v>0</v>
      </c>
      <c r="IL97" s="687">
        <f>'Hodnocení '!IL93</f>
        <v>6637687.431639405</v>
      </c>
      <c r="IM97" s="687">
        <f>'Hodnocení '!IM93</f>
        <v>378759.02146311366</v>
      </c>
      <c r="IN97" s="687">
        <f>'Hodnocení '!IN93</f>
        <v>6827137.4236957598</v>
      </c>
      <c r="IO97" s="687">
        <f>'Hodnocení '!IO93</f>
        <v>2639720.3062304072</v>
      </c>
      <c r="IP97" s="687">
        <f>'Hodnocení '!IP93</f>
        <v>14273576.006466871</v>
      </c>
      <c r="IQ97" s="687">
        <f>'Hodnocení '!IQ93</f>
        <v>13639972.462978475</v>
      </c>
      <c r="IR97" s="687">
        <f>'Hodnocení '!IR93</f>
        <v>674657.58882597706</v>
      </c>
      <c r="IS97" s="687">
        <f>'Hodnocení '!IS93</f>
        <v>34578330.594143271</v>
      </c>
      <c r="IT97" s="687">
        <f>'Hodnocení '!IT93</f>
        <v>9048367.3631144837</v>
      </c>
      <c r="IU97" s="687">
        <f>'Hodnocení '!IU93</f>
        <v>2322549.3440265674</v>
      </c>
      <c r="IV97" s="687">
        <f>'Hodnocení '!IV93</f>
        <v>5288017.8328400124</v>
      </c>
      <c r="IW97" s="687">
        <f>'Hodnocení '!IW93</f>
        <v>8428621.0695311483</v>
      </c>
      <c r="IX97" s="687">
        <f>'Hodnocení '!IX93</f>
        <v>1360938.7716670414</v>
      </c>
      <c r="IY97" s="687">
        <f>'Hodnocení '!IY93</f>
        <v>8190962.9428107366</v>
      </c>
      <c r="IZ97" s="687">
        <f>'Hodnocení '!IZ93</f>
        <v>18108236.692238402</v>
      </c>
      <c r="JA97" s="687">
        <f>'Hodnocení '!JA93</f>
        <v>2121915.1194729782</v>
      </c>
      <c r="JB97" s="687">
        <f>'Hodnocení '!JB93</f>
        <v>2636237.2880498562</v>
      </c>
      <c r="JC97" s="687">
        <f>'Hodnocení '!JC93</f>
        <v>1344420.9974007066</v>
      </c>
      <c r="JD97" s="687">
        <f>'Hodnocení '!JD93</f>
        <v>5421147.8292792924</v>
      </c>
      <c r="JE97" s="687">
        <f>'Hodnocení '!JE93</f>
        <v>104894.10100252891</v>
      </c>
      <c r="JF97" s="687">
        <f>'Hodnocení '!JF93</f>
        <v>29454430.994815312</v>
      </c>
      <c r="JG97" s="687">
        <f>'Hodnocení '!JG93</f>
        <v>21290006.892820884</v>
      </c>
      <c r="JH97" s="782">
        <f>'Hodnocení '!JH93</f>
        <v>1365469.2835178464</v>
      </c>
      <c r="JI97" s="761">
        <f>'Hodnocení '!JI93</f>
        <v>997641271.62815809</v>
      </c>
      <c r="JL97" s="307">
        <f t="shared" ref="JL97:JO100" si="54">SUMIFS($C97:$JH97,$C$5:$JH$5,JL$5)</f>
        <v>24973953.006884523</v>
      </c>
      <c r="JM97" s="307">
        <f t="shared" si="54"/>
        <v>359162653.60581142</v>
      </c>
      <c r="JN97" s="307">
        <f t="shared" si="54"/>
        <v>166299345.5960964</v>
      </c>
      <c r="JO97" s="307">
        <f t="shared" si="54"/>
        <v>447205319.41936553</v>
      </c>
      <c r="JP97" s="307">
        <f t="shared" ref="JP97:JP100" si="55">SUM(JL97:JO97)</f>
        <v>997641271.62815785</v>
      </c>
    </row>
    <row r="98" spans="1:276" ht="15.75" hidden="1" thickBot="1" x14ac:dyDescent="0.3">
      <c r="A98" s="353"/>
      <c r="B98" s="747" t="s">
        <v>2603</v>
      </c>
      <c r="C98" s="802">
        <f>'Hodnocení '!C94</f>
        <v>8884422.5558247231</v>
      </c>
      <c r="D98" s="571">
        <f>'Hodnocení '!D94</f>
        <v>7730000</v>
      </c>
      <c r="E98" s="571">
        <f>'Hodnocení '!E94</f>
        <v>8299184.4088107003</v>
      </c>
      <c r="F98" s="571">
        <f>'Hodnocení '!F94</f>
        <v>3616884.7088353573</v>
      </c>
      <c r="G98" s="571">
        <f>'Hodnocení '!G94</f>
        <v>10328003.127290595</v>
      </c>
      <c r="H98" s="571">
        <f>'Hodnocení '!H94</f>
        <v>0</v>
      </c>
      <c r="I98" s="571">
        <f>'Hodnocení '!I94</f>
        <v>0</v>
      </c>
      <c r="J98" s="571">
        <f>'Hodnocení '!J94</f>
        <v>126485.23608403429</v>
      </c>
      <c r="K98" s="571">
        <f>'Hodnocení '!K94</f>
        <v>5988080</v>
      </c>
      <c r="L98" s="571">
        <f>'Hodnocení '!L94</f>
        <v>3774970</v>
      </c>
      <c r="M98" s="571">
        <f>'Hodnocení '!M94</f>
        <v>3667775.238895766</v>
      </c>
      <c r="N98" s="571">
        <f>'Hodnocení '!N94</f>
        <v>5360828.6030266704</v>
      </c>
      <c r="O98" s="571">
        <f>'Hodnocení '!O94</f>
        <v>4346141</v>
      </c>
      <c r="P98" s="571">
        <f>'Hodnocení '!P94</f>
        <v>2570026.0021816893</v>
      </c>
      <c r="Q98" s="571">
        <f>'Hodnocení '!Q94</f>
        <v>1836488.4791010155</v>
      </c>
      <c r="R98" s="571">
        <f>'Hodnocení '!R94</f>
        <v>2091000</v>
      </c>
      <c r="S98" s="571">
        <f>'Hodnocení '!S94</f>
        <v>1637152.8</v>
      </c>
      <c r="T98" s="571">
        <f>'Hodnocení '!T94</f>
        <v>622773.51077815378</v>
      </c>
      <c r="U98" s="571">
        <f>'Hodnocení '!U94</f>
        <v>1087500</v>
      </c>
      <c r="V98" s="571">
        <f>'Hodnocení '!V94</f>
        <v>9233620</v>
      </c>
      <c r="W98" s="571">
        <f>'Hodnocení '!W94</f>
        <v>2130000</v>
      </c>
      <c r="X98" s="571">
        <f>'Hodnocení '!X94</f>
        <v>2304335.8095085779</v>
      </c>
      <c r="Y98" s="571">
        <f>'Hodnocení '!Y94</f>
        <v>1770700</v>
      </c>
      <c r="Z98" s="571">
        <f>'Hodnocení '!Z94</f>
        <v>7231924</v>
      </c>
      <c r="AA98" s="571">
        <f>'Hodnocení '!AA94</f>
        <v>4244705.4490248738</v>
      </c>
      <c r="AB98" s="571">
        <f>'Hodnocení '!AB94</f>
        <v>3678130.7057224135</v>
      </c>
      <c r="AC98" s="571">
        <f>'Hodnocení '!AC94</f>
        <v>481158.31194833241</v>
      </c>
      <c r="AD98" s="571">
        <f>'Hodnocení '!AD94</f>
        <v>2590229.1206235653</v>
      </c>
      <c r="AE98" s="571">
        <f>'Hodnocení '!AE94</f>
        <v>103737.52589894389</v>
      </c>
      <c r="AF98" s="571">
        <f>'Hodnocení '!AF94</f>
        <v>1219244.9295379582</v>
      </c>
      <c r="AG98" s="571">
        <f>'Hodnocení '!AG94</f>
        <v>3450812.7548698969</v>
      </c>
      <c r="AH98" s="571">
        <f>'Hodnocení '!AH94</f>
        <v>760000</v>
      </c>
      <c r="AI98" s="571">
        <f>'Hodnocení '!AI94</f>
        <v>3404000</v>
      </c>
      <c r="AJ98" s="571">
        <f>'Hodnocení '!AJ94</f>
        <v>2585000</v>
      </c>
      <c r="AK98" s="571">
        <f>'Hodnocení '!AK94</f>
        <v>1251400</v>
      </c>
      <c r="AL98" s="571">
        <f>'Hodnocení '!AL94</f>
        <v>1952909.1633510776</v>
      </c>
      <c r="AM98" s="571">
        <f>'Hodnocení '!AM94</f>
        <v>1499708.3726341231</v>
      </c>
      <c r="AN98" s="571">
        <f>'Hodnocení '!AN94</f>
        <v>1148955.198498779</v>
      </c>
      <c r="AO98" s="571">
        <f>'Hodnocení '!AO94</f>
        <v>4903755.5596356187</v>
      </c>
      <c r="AP98" s="571">
        <f>'Hodnocení '!AP94</f>
        <v>2124765.1162296012</v>
      </c>
      <c r="AQ98" s="571">
        <f>'Hodnocení '!AQ94</f>
        <v>491000</v>
      </c>
      <c r="AR98" s="571">
        <f>'Hodnocení '!AR94</f>
        <v>1531740.3992508459</v>
      </c>
      <c r="AS98" s="571">
        <f>'Hodnocení '!AS94</f>
        <v>495253.22022333386</v>
      </c>
      <c r="AT98" s="571">
        <f>'Hodnocení '!AT94</f>
        <v>2498113.4323683418</v>
      </c>
      <c r="AU98" s="571">
        <f>'Hodnocení '!AU94</f>
        <v>992216.93946642126</v>
      </c>
      <c r="AV98" s="571">
        <f>'Hodnocení '!AV94</f>
        <v>2003660.6772952261</v>
      </c>
      <c r="AW98" s="571">
        <f>'Hodnocení '!AW94</f>
        <v>16112.012350120116</v>
      </c>
      <c r="AX98" s="571">
        <f>'Hodnocení '!AX94</f>
        <v>3240135.311080751</v>
      </c>
      <c r="AY98" s="571">
        <f>'Hodnocení '!AY94</f>
        <v>3300190.5406568907</v>
      </c>
      <c r="AZ98" s="571">
        <f>'Hodnocení '!AZ94</f>
        <v>2981000</v>
      </c>
      <c r="BA98" s="571">
        <f>'Hodnocení '!BA94</f>
        <v>9230000</v>
      </c>
      <c r="BB98" s="571">
        <f>'Hodnocení '!BB94</f>
        <v>1312920</v>
      </c>
      <c r="BC98" s="571">
        <f>'Hodnocení '!BC94</f>
        <v>1223742.4938025323</v>
      </c>
      <c r="BD98" s="571">
        <f>'Hodnocení '!BD94</f>
        <v>1916258.3325785431</v>
      </c>
      <c r="BE98" s="571">
        <f>'Hodnocení '!BE94</f>
        <v>0</v>
      </c>
      <c r="BF98" s="571">
        <f>'Hodnocení '!BF94</f>
        <v>2020000</v>
      </c>
      <c r="BG98" s="571">
        <f>'Hodnocení '!BG94</f>
        <v>2499000</v>
      </c>
      <c r="BH98" s="571">
        <f>'Hodnocení '!BH94</f>
        <v>3206000</v>
      </c>
      <c r="BI98" s="571">
        <f>'Hodnocení '!BI94</f>
        <v>1270000</v>
      </c>
      <c r="BJ98" s="571">
        <f>'Hodnocení '!BJ94</f>
        <v>2734458.8535647267</v>
      </c>
      <c r="BK98" s="571">
        <f>'Hodnocení '!BK94</f>
        <v>100000</v>
      </c>
      <c r="BL98" s="571">
        <f>'Hodnocení '!BL94</f>
        <v>455138.49500087276</v>
      </c>
      <c r="BM98" s="571">
        <f>'Hodnocení '!BM94</f>
        <v>1464826</v>
      </c>
      <c r="BN98" s="571">
        <f>'Hodnocení '!BN94</f>
        <v>1657101.9931537434</v>
      </c>
      <c r="BO98" s="571">
        <f>'Hodnocení '!BO94</f>
        <v>1051279.6524752458</v>
      </c>
      <c r="BP98" s="571">
        <f>'Hodnocení '!BP94</f>
        <v>4652080</v>
      </c>
      <c r="BQ98" s="571">
        <f>'Hodnocení '!BQ94</f>
        <v>66564.165662464104</v>
      </c>
      <c r="BR98" s="571">
        <f>'Hodnocení '!BR94</f>
        <v>1013021</v>
      </c>
      <c r="BS98" s="571">
        <f>'Hodnocení '!BS94</f>
        <v>1310282.2989678741</v>
      </c>
      <c r="BT98" s="571">
        <f>'Hodnocení '!BT94</f>
        <v>914160.26616723067</v>
      </c>
      <c r="BU98" s="571">
        <f>'Hodnocení '!BU94</f>
        <v>3939338</v>
      </c>
      <c r="BV98" s="571">
        <f>'Hodnocení '!BV94</f>
        <v>1177908.0353182531</v>
      </c>
      <c r="BW98" s="571">
        <f>'Hodnocení '!BW94</f>
        <v>532683</v>
      </c>
      <c r="BX98" s="571">
        <f>'Hodnocení '!BX94</f>
        <v>4708889.1910633538</v>
      </c>
      <c r="BY98" s="571">
        <f>'Hodnocení '!BY94</f>
        <v>1520144</v>
      </c>
      <c r="BZ98" s="571">
        <f>'Hodnocení '!BZ94</f>
        <v>324150</v>
      </c>
      <c r="CA98" s="571">
        <f>'Hodnocení '!CA94</f>
        <v>0</v>
      </c>
      <c r="CB98" s="571">
        <f>'Hodnocení '!CB94</f>
        <v>571519.10142146726</v>
      </c>
      <c r="CC98" s="571">
        <f>'Hodnocení '!CC94</f>
        <v>2238055.6625416637</v>
      </c>
      <c r="CD98" s="571">
        <f>'Hodnocení '!CD94</f>
        <v>661848.21685573971</v>
      </c>
      <c r="CE98" s="571">
        <f>'Hodnocení '!CE94</f>
        <v>9715050.1253167707</v>
      </c>
      <c r="CF98" s="571">
        <f>'Hodnocení '!CF94</f>
        <v>4453617.8393289512</v>
      </c>
      <c r="CG98" s="571">
        <f>'Hodnocení '!CG94</f>
        <v>231159.49607044645</v>
      </c>
      <c r="CH98" s="571">
        <f>'Hodnocení '!CH94</f>
        <v>0</v>
      </c>
      <c r="CI98" s="571">
        <f>'Hodnocení '!CI94</f>
        <v>21633.155796868727</v>
      </c>
      <c r="CJ98" s="571">
        <f>'Hodnocení '!CJ94</f>
        <v>3854195.0818283353</v>
      </c>
      <c r="CK98" s="571">
        <f>'Hodnocení '!CK94</f>
        <v>4542000</v>
      </c>
      <c r="CL98" s="571">
        <f>'Hodnocení '!CL94</f>
        <v>56438.59728209069</v>
      </c>
      <c r="CM98" s="571">
        <f>'Hodnocení '!CM94</f>
        <v>6012336.4399863137</v>
      </c>
      <c r="CN98" s="571">
        <f>'Hodnocení '!CN94</f>
        <v>1342009.9127194914</v>
      </c>
      <c r="CO98" s="571">
        <f>'Hodnocení '!CO94</f>
        <v>1214500</v>
      </c>
      <c r="CP98" s="571">
        <f>'Hodnocení '!CP94</f>
        <v>1268807.7168003041</v>
      </c>
      <c r="CQ98" s="571">
        <f>'Hodnocení '!CQ94</f>
        <v>5515036.573718125</v>
      </c>
      <c r="CR98" s="571">
        <f>'Hodnocení '!CR94</f>
        <v>2331094</v>
      </c>
      <c r="CS98" s="571">
        <f>'Hodnocení '!CS94</f>
        <v>187555.67419309285</v>
      </c>
      <c r="CT98" s="571">
        <f>'Hodnocení '!CT94</f>
        <v>0</v>
      </c>
      <c r="CU98" s="571">
        <f>'Hodnocení '!CU94</f>
        <v>1875000</v>
      </c>
      <c r="CV98" s="571">
        <f>'Hodnocení '!CV94</f>
        <v>5644990.9859210327</v>
      </c>
      <c r="CW98" s="571">
        <f>'Hodnocení '!CW94</f>
        <v>400000</v>
      </c>
      <c r="CX98" s="571">
        <f>'Hodnocení '!CX94</f>
        <v>3457000</v>
      </c>
      <c r="CY98" s="571">
        <f>'Hodnocení '!CY94</f>
        <v>2881083.2839012085</v>
      </c>
      <c r="CZ98" s="571">
        <f>'Hodnocení '!CZ94</f>
        <v>371000</v>
      </c>
      <c r="DA98" s="571">
        <f>'Hodnocení '!DA94</f>
        <v>7650000</v>
      </c>
      <c r="DB98" s="571">
        <f>'Hodnocení '!DB94</f>
        <v>760808</v>
      </c>
      <c r="DC98" s="571">
        <f>'Hodnocení '!DC94</f>
        <v>1952214.4635382525</v>
      </c>
      <c r="DD98" s="571">
        <f>'Hodnocení '!DD94</f>
        <v>428740.05018450413</v>
      </c>
      <c r="DE98" s="571">
        <f>'Hodnocení '!DE94</f>
        <v>1595404.8713862468</v>
      </c>
      <c r="DF98" s="571">
        <f>'Hodnocení '!DF94</f>
        <v>4660760</v>
      </c>
      <c r="DG98" s="571">
        <f>'Hodnocení '!DG94</f>
        <v>802938.16515118408</v>
      </c>
      <c r="DH98" s="571">
        <f>'Hodnocení '!DH94</f>
        <v>908244.44020215096</v>
      </c>
      <c r="DI98" s="571">
        <f>'Hodnocení '!DI94</f>
        <v>0</v>
      </c>
      <c r="DJ98" s="571">
        <f>'Hodnocení '!DJ94</f>
        <v>65990.976314039901</v>
      </c>
      <c r="DK98" s="571">
        <f>'Hodnocení '!DK94</f>
        <v>224452.83531246078</v>
      </c>
      <c r="DL98" s="571">
        <f>'Hodnocení '!DL94</f>
        <v>4094296.2218004535</v>
      </c>
      <c r="DM98" s="571">
        <f>'Hodnocení '!DM94</f>
        <v>1966503.0838138557</v>
      </c>
      <c r="DN98" s="571">
        <f>'Hodnocení '!DN94</f>
        <v>3689667</v>
      </c>
      <c r="DO98" s="571">
        <f>'Hodnocení '!DO94</f>
        <v>1402300.3922101089</v>
      </c>
      <c r="DP98" s="571">
        <f>'Hodnocení '!DP94</f>
        <v>4045363.78</v>
      </c>
      <c r="DQ98" s="571">
        <f>'Hodnocení '!DQ94</f>
        <v>4013645</v>
      </c>
      <c r="DR98" s="571">
        <f>'Hodnocení '!DR94</f>
        <v>4423025</v>
      </c>
      <c r="DS98" s="571">
        <f>'Hodnocení '!DS94</f>
        <v>878000</v>
      </c>
      <c r="DT98" s="571">
        <f>'Hodnocení '!DT94</f>
        <v>3379864.0513730422</v>
      </c>
      <c r="DU98" s="571">
        <f>'Hodnocení '!DU94</f>
        <v>0</v>
      </c>
      <c r="DV98" s="571">
        <f>'Hodnocení '!DV94</f>
        <v>4423333</v>
      </c>
      <c r="DW98" s="571">
        <f>'Hodnocení '!DW94</f>
        <v>0</v>
      </c>
      <c r="DX98" s="571">
        <f>'Hodnocení '!DX94</f>
        <v>0</v>
      </c>
      <c r="DY98" s="571">
        <f>'Hodnocení '!DY94</f>
        <v>4581142.7504826486</v>
      </c>
      <c r="DZ98" s="571">
        <f>'Hodnocení '!DZ94</f>
        <v>723925.6888148766</v>
      </c>
      <c r="EA98" s="571">
        <f>'Hodnocení '!EA94</f>
        <v>3910500</v>
      </c>
      <c r="EB98" s="571">
        <f>'Hodnocení '!EB94</f>
        <v>5751412.8583436497</v>
      </c>
      <c r="EC98" s="571">
        <f>'Hodnocení '!EC94</f>
        <v>3507637.7512384658</v>
      </c>
      <c r="ED98" s="571">
        <f>'Hodnocení '!ED94</f>
        <v>3789855.4215401057</v>
      </c>
      <c r="EE98" s="571">
        <f>'Hodnocení '!EE94</f>
        <v>610000</v>
      </c>
      <c r="EF98" s="571">
        <f>'Hodnocení '!EF94</f>
        <v>666000</v>
      </c>
      <c r="EG98" s="571">
        <f>'Hodnocení '!EG94</f>
        <v>425000</v>
      </c>
      <c r="EH98" s="571">
        <f>'Hodnocení '!EH94</f>
        <v>595000</v>
      </c>
      <c r="EI98" s="571">
        <f>'Hodnocení '!EI94</f>
        <v>1025000</v>
      </c>
      <c r="EJ98" s="571">
        <f>'Hodnocení '!EJ94</f>
        <v>0</v>
      </c>
      <c r="EK98" s="571">
        <f>'Hodnocení '!EK94</f>
        <v>3932042</v>
      </c>
      <c r="EL98" s="571">
        <f>'Hodnocení '!EL94</f>
        <v>8896075.9201217424</v>
      </c>
      <c r="EM98" s="571">
        <f>'Hodnocení '!EM94</f>
        <v>2817690.3194428757</v>
      </c>
      <c r="EN98" s="571">
        <f>'Hodnocení '!EN94</f>
        <v>2526602</v>
      </c>
      <c r="EO98" s="571">
        <f>'Hodnocení '!EO94</f>
        <v>326536.14681555587</v>
      </c>
      <c r="EP98" s="571">
        <f>'Hodnocení '!EP94</f>
        <v>2970065</v>
      </c>
      <c r="EQ98" s="571">
        <f>'Hodnocení '!EQ94</f>
        <v>2318152.5044244276</v>
      </c>
      <c r="ER98" s="571">
        <f>'Hodnocení '!ER94</f>
        <v>6229000</v>
      </c>
      <c r="ES98" s="571">
        <f>'Hodnocení '!ES94</f>
        <v>2889369.4473401564</v>
      </c>
      <c r="ET98" s="571">
        <f>'Hodnocení '!ET94</f>
        <v>901340</v>
      </c>
      <c r="EU98" s="571">
        <f>'Hodnocení '!EU94</f>
        <v>2056000</v>
      </c>
      <c r="EV98" s="571">
        <f>'Hodnocení '!EV94</f>
        <v>443085.98782481399</v>
      </c>
      <c r="EW98" s="571">
        <f>'Hodnocení '!EW94</f>
        <v>2505057.7705038232</v>
      </c>
      <c r="EX98" s="571">
        <f>'Hodnocení '!EX94</f>
        <v>5574308.9853405347</v>
      </c>
      <c r="EY98" s="571">
        <f>'Hodnocení '!EY94</f>
        <v>2059165.8751551495</v>
      </c>
      <c r="EZ98" s="571">
        <f>'Hodnocení '!EZ94</f>
        <v>0</v>
      </c>
      <c r="FA98" s="571">
        <f>'Hodnocení '!FA94</f>
        <v>990000</v>
      </c>
      <c r="FB98" s="571">
        <f>'Hodnocení '!FB94</f>
        <v>177814.53304874955</v>
      </c>
      <c r="FC98" s="571">
        <f>'Hodnocení '!FC94</f>
        <v>3042203.9813623684</v>
      </c>
      <c r="FD98" s="571">
        <f>'Hodnocení '!FD94</f>
        <v>0</v>
      </c>
      <c r="FE98" s="571">
        <f>'Hodnocení '!FE94</f>
        <v>343252.91334718862</v>
      </c>
      <c r="FF98" s="571">
        <f>'Hodnocení '!FF94</f>
        <v>1441591.96</v>
      </c>
      <c r="FG98" s="571">
        <f>'Hodnocení '!FG94</f>
        <v>5703200</v>
      </c>
      <c r="FH98" s="571">
        <f>'Hodnocení '!FH94</f>
        <v>5790606.0491879787</v>
      </c>
      <c r="FI98" s="571">
        <f>'Hodnocení '!FI94</f>
        <v>7582387.4650456514</v>
      </c>
      <c r="FJ98" s="571">
        <f>'Hodnocení '!FJ94</f>
        <v>1854520.9697589942</v>
      </c>
      <c r="FK98" s="571">
        <f>'Hodnocení '!FK94</f>
        <v>117156.2027371416</v>
      </c>
      <c r="FL98" s="571">
        <f>'Hodnocení '!FL94</f>
        <v>289530.78772289003</v>
      </c>
      <c r="FM98" s="571">
        <f>'Hodnocení '!FM94</f>
        <v>943015.1290333569</v>
      </c>
      <c r="FN98" s="571">
        <f>'Hodnocení '!FN94</f>
        <v>7003025.5498415343</v>
      </c>
      <c r="FO98" s="571">
        <f>'Hodnocení '!FO94</f>
        <v>1654621.1373999999</v>
      </c>
      <c r="FP98" s="571">
        <f>'Hodnocení '!FP94</f>
        <v>12351204.308851836</v>
      </c>
      <c r="FQ98" s="571">
        <f>'Hodnocení '!FQ94</f>
        <v>1972278.2238</v>
      </c>
      <c r="FR98" s="571">
        <f>'Hodnocení '!FR94</f>
        <v>57292.80472513882</v>
      </c>
      <c r="FS98" s="571">
        <f>'Hodnocení '!FS94</f>
        <v>464007.95</v>
      </c>
      <c r="FT98" s="571">
        <f>'Hodnocení '!FT94</f>
        <v>3255891.8040901599</v>
      </c>
      <c r="FU98" s="571">
        <f>'Hodnocení '!FU94</f>
        <v>465828.80444292724</v>
      </c>
      <c r="FV98" s="571">
        <f>'Hodnocení '!FV94</f>
        <v>559247.1692367394</v>
      </c>
      <c r="FW98" s="571">
        <f>'Hodnocení '!FW94</f>
        <v>937680.03042577044</v>
      </c>
      <c r="FX98" s="571">
        <f>'Hodnocení '!FX94</f>
        <v>384533.50336206751</v>
      </c>
      <c r="FY98" s="571">
        <f>'Hodnocení '!FY94</f>
        <v>200000</v>
      </c>
      <c r="FZ98" s="571">
        <f>'Hodnocení '!FZ94</f>
        <v>2571154.0852688877</v>
      </c>
      <c r="GA98" s="571">
        <f>'Hodnocení '!GA94</f>
        <v>235086.12772381899</v>
      </c>
      <c r="GB98" s="571">
        <f>'Hodnocení '!GB94</f>
        <v>2245960.1198871755</v>
      </c>
      <c r="GC98" s="571">
        <f>'Hodnocení '!GC94</f>
        <v>2171084.1398516875</v>
      </c>
      <c r="GD98" s="571">
        <f>'Hodnocení '!GD94</f>
        <v>7928941.2458636481</v>
      </c>
      <c r="GE98" s="571">
        <f>'Hodnocení '!GE94</f>
        <v>155880.93400108395</v>
      </c>
      <c r="GF98" s="571">
        <f>'Hodnocení '!GF94</f>
        <v>3881575.8495693267</v>
      </c>
      <c r="GG98" s="571">
        <f>'Hodnocení '!GG94</f>
        <v>1157418.4633801784</v>
      </c>
      <c r="GH98" s="571">
        <f>'Hodnocení '!GH94</f>
        <v>1054717</v>
      </c>
      <c r="GI98" s="571">
        <f>'Hodnocení '!GI94</f>
        <v>7754404.1747833164</v>
      </c>
      <c r="GJ98" s="571">
        <f>'Hodnocení '!GJ94</f>
        <v>1839200.3392906617</v>
      </c>
      <c r="GK98" s="571">
        <f>'Hodnocení '!GK94</f>
        <v>1100000</v>
      </c>
      <c r="GL98" s="571">
        <f>'Hodnocení '!GL94</f>
        <v>469954.02825609827</v>
      </c>
      <c r="GM98" s="571">
        <f>'Hodnocení '!GM94</f>
        <v>692537.52275552833</v>
      </c>
      <c r="GN98" s="571">
        <f>'Hodnocení '!GN94</f>
        <v>788769.06011215365</v>
      </c>
      <c r="GO98" s="571">
        <f>'Hodnocení '!GO94</f>
        <v>4468795.486137961</v>
      </c>
      <c r="GP98" s="571">
        <f>'Hodnocení '!GP94</f>
        <v>484458.62365770375</v>
      </c>
      <c r="GQ98" s="571">
        <f>'Hodnocení '!GQ94</f>
        <v>309592.78871686111</v>
      </c>
      <c r="GR98" s="571">
        <f>'Hodnocení '!GR94</f>
        <v>610000</v>
      </c>
      <c r="GS98" s="571">
        <f>'Hodnocení '!GS94</f>
        <v>0</v>
      </c>
      <c r="GT98" s="571">
        <f>'Hodnocení '!GT94</f>
        <v>8684791.9089435674</v>
      </c>
      <c r="GU98" s="571">
        <f>'Hodnocení '!GU94</f>
        <v>807440</v>
      </c>
      <c r="GV98" s="571">
        <f>'Hodnocení '!GV94</f>
        <v>5000000</v>
      </c>
      <c r="GW98" s="571">
        <f>'Hodnocení '!GW94</f>
        <v>941724.88907427166</v>
      </c>
      <c r="GX98" s="571">
        <f>'Hodnocení '!GX94</f>
        <v>150000</v>
      </c>
      <c r="GY98" s="571">
        <f>'Hodnocení '!GY94</f>
        <v>11169700.678891907</v>
      </c>
      <c r="GZ98" s="571">
        <f>'Hodnocení '!GZ94</f>
        <v>0</v>
      </c>
      <c r="HA98" s="571">
        <f>'Hodnocení '!HA94</f>
        <v>5200000</v>
      </c>
      <c r="HB98" s="571">
        <f>'Hodnocení '!HB94</f>
        <v>2241824.8575916188</v>
      </c>
      <c r="HC98" s="571">
        <f>'Hodnocení '!HC94</f>
        <v>5534657.4581430918</v>
      </c>
      <c r="HD98" s="571">
        <f>'Hodnocení '!HD94</f>
        <v>1908552.7255373849</v>
      </c>
      <c r="HE98" s="571">
        <f>'Hodnocení '!HE94</f>
        <v>4945200</v>
      </c>
      <c r="HF98" s="571">
        <f>'Hodnocení '!HF94</f>
        <v>780918.93476073246</v>
      </c>
      <c r="HG98" s="571">
        <f>'Hodnocení '!HG94</f>
        <v>483764.13760522264</v>
      </c>
      <c r="HH98" s="571">
        <f>'Hodnocení '!HH94</f>
        <v>1870575.3205709462</v>
      </c>
      <c r="HI98" s="571">
        <f>'Hodnocení '!HI94</f>
        <v>1243943.1770259617</v>
      </c>
      <c r="HJ98" s="571">
        <f>'Hodnocení '!HJ94</f>
        <v>0</v>
      </c>
      <c r="HK98" s="571">
        <f>'Hodnocení '!HK94</f>
        <v>0</v>
      </c>
      <c r="HL98" s="571">
        <f>'Hodnocení '!HL94</f>
        <v>27909432.908668261</v>
      </c>
      <c r="HM98" s="571">
        <f>'Hodnocení '!HM94</f>
        <v>16240107.513333792</v>
      </c>
      <c r="HN98" s="571">
        <f>'Hodnocení '!HN94</f>
        <v>0</v>
      </c>
      <c r="HO98" s="571">
        <f>'Hodnocení '!HO94</f>
        <v>0</v>
      </c>
      <c r="HP98" s="571">
        <f>'Hodnocení '!HP94</f>
        <v>22240823.606855139</v>
      </c>
      <c r="HQ98" s="571">
        <f>'Hodnocení '!HQ94</f>
        <v>693656.33486671548</v>
      </c>
      <c r="HR98" s="571">
        <f>'Hodnocení '!HR94</f>
        <v>23679171.628672816</v>
      </c>
      <c r="HS98" s="571">
        <f>'Hodnocení '!HS94</f>
        <v>4600000</v>
      </c>
      <c r="HT98" s="571">
        <f>'Hodnocení '!HT94</f>
        <v>10590623.898769123</v>
      </c>
      <c r="HU98" s="571">
        <f>'Hodnocení '!HU94</f>
        <v>19383268.865375917</v>
      </c>
      <c r="HV98" s="571">
        <f>'Hodnocení '!HV94</f>
        <v>14412843.434960146</v>
      </c>
      <c r="HW98" s="571">
        <f>'Hodnocení '!HW94</f>
        <v>3510934.4807960517</v>
      </c>
      <c r="HX98" s="571">
        <f>'Hodnocení '!HX94</f>
        <v>16232959.937704423</v>
      </c>
      <c r="HY98" s="571">
        <f>'Hodnocení '!HY94</f>
        <v>12100898.933541736</v>
      </c>
      <c r="HZ98" s="571">
        <f>'Hodnocení '!HZ94</f>
        <v>7288372.7555617914</v>
      </c>
      <c r="IA98" s="571">
        <f>'Hodnocení '!IA94</f>
        <v>6446282.1572564524</v>
      </c>
      <c r="IB98" s="571">
        <f>'Hodnocení '!IB94</f>
        <v>6232921.4005923653</v>
      </c>
      <c r="IC98" s="571">
        <f>'Hodnocení '!IC94</f>
        <v>9373484.5119702313</v>
      </c>
      <c r="ID98" s="571">
        <f>'Hodnocení '!ID94</f>
        <v>8268047.2414508266</v>
      </c>
      <c r="IE98" s="571">
        <f>'Hodnocení '!IE94</f>
        <v>14846882.501584478</v>
      </c>
      <c r="IF98" s="571">
        <f>'Hodnocení '!IF94</f>
        <v>8135982.9353922922</v>
      </c>
      <c r="IG98" s="571">
        <f>'Hodnocení '!IG94</f>
        <v>2543130.6763956631</v>
      </c>
      <c r="IH98" s="571">
        <f>'Hodnocení '!IH94</f>
        <v>2490373.9871007907</v>
      </c>
      <c r="II98" s="571">
        <f>'Hodnocení '!II94</f>
        <v>12218472.029190879</v>
      </c>
      <c r="IJ98" s="571">
        <f>'Hodnocení '!IJ94</f>
        <v>1396832.2533525822</v>
      </c>
      <c r="IK98" s="571">
        <f>'Hodnocení '!IK94</f>
        <v>0</v>
      </c>
      <c r="IL98" s="571">
        <f>'Hodnocení '!IL94</f>
        <v>6637687.431639405</v>
      </c>
      <c r="IM98" s="571">
        <f>'Hodnocení '!IM94</f>
        <v>378759.02146311366</v>
      </c>
      <c r="IN98" s="571">
        <f>'Hodnocení '!IN94</f>
        <v>6827137.4236957598</v>
      </c>
      <c r="IO98" s="571">
        <f>'Hodnocení '!IO94</f>
        <v>2639720.3062304072</v>
      </c>
      <c r="IP98" s="571">
        <f>'Hodnocení '!IP94</f>
        <v>14273576.006466871</v>
      </c>
      <c r="IQ98" s="571">
        <f>'Hodnocení '!IQ94</f>
        <v>13639972.462978475</v>
      </c>
      <c r="IR98" s="571">
        <f>'Hodnocení '!IR94</f>
        <v>674657.58882597706</v>
      </c>
      <c r="IS98" s="571">
        <f>'Hodnocení '!IS94</f>
        <v>34578330.594143271</v>
      </c>
      <c r="IT98" s="571">
        <f>'Hodnocení '!IT94</f>
        <v>9048367.3631144837</v>
      </c>
      <c r="IU98" s="571">
        <f>'Hodnocení '!IU94</f>
        <v>2322549.3440265674</v>
      </c>
      <c r="IV98" s="571">
        <f>'Hodnocení '!IV94</f>
        <v>5288017.8328400124</v>
      </c>
      <c r="IW98" s="571">
        <f>'Hodnocení '!IW94</f>
        <v>8428621.0695311483</v>
      </c>
      <c r="IX98" s="571">
        <f>'Hodnocení '!IX94</f>
        <v>1360938.7716670414</v>
      </c>
      <c r="IY98" s="571">
        <f>'Hodnocení '!IY94</f>
        <v>8190962.9428107366</v>
      </c>
      <c r="IZ98" s="571">
        <f>'Hodnocení '!IZ94</f>
        <v>18108236.692238402</v>
      </c>
      <c r="JA98" s="571">
        <f>'Hodnocení '!JA94</f>
        <v>2121915.1194729782</v>
      </c>
      <c r="JB98" s="571">
        <f>'Hodnocení '!JB94</f>
        <v>2340000</v>
      </c>
      <c r="JC98" s="571">
        <f>'Hodnocení '!JC94</f>
        <v>1344420.9974007066</v>
      </c>
      <c r="JD98" s="571">
        <f>'Hodnocení '!JD94</f>
        <v>3000000</v>
      </c>
      <c r="JE98" s="571">
        <f>'Hodnocení '!JE94</f>
        <v>104894.10100252891</v>
      </c>
      <c r="JF98" s="571">
        <f>'Hodnocení '!JF94</f>
        <v>29454430.994815312</v>
      </c>
      <c r="JG98" s="571">
        <f>'Hodnocení '!JG94</f>
        <v>21290006.892820884</v>
      </c>
      <c r="JH98" s="572">
        <f>'Hodnocení '!JH94</f>
        <v>1365469.2835178464</v>
      </c>
      <c r="JI98" s="761">
        <f>'Hodnocení '!JI94</f>
        <v>972845317.21003234</v>
      </c>
      <c r="JL98" s="307">
        <f t="shared" si="54"/>
        <v>24913606.964635424</v>
      </c>
      <c r="JM98" s="307">
        <f t="shared" si="54"/>
        <v>341675060.03765637</v>
      </c>
      <c r="JN98" s="307">
        <f t="shared" si="54"/>
        <v>162002473.97364563</v>
      </c>
      <c r="JO98" s="307">
        <f t="shared" si="54"/>
        <v>444254176.23409432</v>
      </c>
      <c r="JP98" s="307">
        <f t="shared" si="55"/>
        <v>972845317.21003175</v>
      </c>
    </row>
    <row r="99" spans="1:276" hidden="1" x14ac:dyDescent="0.25">
      <c r="A99" s="353"/>
      <c r="B99" s="733" t="str">
        <f t="shared" ref="B99" si="56">B48</f>
        <v>Max. MPSV 2020_žádost</v>
      </c>
      <c r="C99" s="779">
        <f>'Hodnocení '!C95</f>
        <v>9150000</v>
      </c>
      <c r="D99" s="479">
        <f>'Hodnocení '!D95</f>
        <v>7730000</v>
      </c>
      <c r="E99" s="479">
        <f>'Hodnocení '!E95</f>
        <v>9300000</v>
      </c>
      <c r="F99" s="479">
        <f>'Hodnocení '!F95</f>
        <v>4618835</v>
      </c>
      <c r="G99" s="479">
        <f>'Hodnocení '!G95</f>
        <v>10747751</v>
      </c>
      <c r="H99" s="479">
        <f>'Hodnocení '!H95</f>
        <v>1157858</v>
      </c>
      <c r="I99" s="479">
        <f>'Hodnocení '!I95</f>
        <v>3164198</v>
      </c>
      <c r="J99" s="479">
        <f>'Hodnocení '!J95</f>
        <v>2915400</v>
      </c>
      <c r="K99" s="479">
        <f>'Hodnocení '!K95</f>
        <v>5988080</v>
      </c>
      <c r="L99" s="479">
        <f>'Hodnocení '!L95</f>
        <v>4702400</v>
      </c>
      <c r="M99" s="479">
        <f>'Hodnocení '!M95</f>
        <v>4800000</v>
      </c>
      <c r="N99" s="479">
        <f>'Hodnocení '!N95</f>
        <v>6300000</v>
      </c>
      <c r="O99" s="479">
        <f>'Hodnocení '!O95</f>
        <v>4346141</v>
      </c>
      <c r="P99" s="479">
        <f>'Hodnocení '!P95</f>
        <v>2694928</v>
      </c>
      <c r="Q99" s="479">
        <f>'Hodnocení '!Q95</f>
        <v>2795000</v>
      </c>
      <c r="R99" s="479">
        <f>'Hodnocení '!R95</f>
        <v>2091000</v>
      </c>
      <c r="S99" s="479">
        <f>'Hodnocení '!S95</f>
        <v>1735000</v>
      </c>
      <c r="T99" s="479">
        <f>'Hodnocení '!T95</f>
        <v>698000</v>
      </c>
      <c r="U99" s="479">
        <f>'Hodnocení '!U95</f>
        <v>1087500</v>
      </c>
      <c r="V99" s="479">
        <f>'Hodnocení '!V95</f>
        <v>9285000</v>
      </c>
      <c r="W99" s="479">
        <f>'Hodnocení '!W95</f>
        <v>2130000</v>
      </c>
      <c r="X99" s="479">
        <f>'Hodnocení '!X95</f>
        <v>2988500</v>
      </c>
      <c r="Y99" s="479">
        <f>'Hodnocení '!Y95</f>
        <v>1770700</v>
      </c>
      <c r="Z99" s="479">
        <f>'Hodnocení '!Z95</f>
        <v>7231924</v>
      </c>
      <c r="AA99" s="479">
        <f>'Hodnocení '!AA95</f>
        <v>4621783</v>
      </c>
      <c r="AB99" s="479">
        <f>'Hodnocení '!AB95</f>
        <v>4630000</v>
      </c>
      <c r="AC99" s="479">
        <f>'Hodnocení '!AC95</f>
        <v>0</v>
      </c>
      <c r="AD99" s="479">
        <f>'Hodnocení '!AD95</f>
        <v>2672000</v>
      </c>
      <c r="AE99" s="479">
        <f>'Hodnocení '!AE95</f>
        <v>805640</v>
      </c>
      <c r="AF99" s="479">
        <f>'Hodnocení '!AF95</f>
        <v>1425292</v>
      </c>
      <c r="AG99" s="479">
        <f>'Hodnocení '!AG95</f>
        <v>3596000</v>
      </c>
      <c r="AH99" s="479">
        <f>'Hodnocení '!AH95</f>
        <v>760000</v>
      </c>
      <c r="AI99" s="479">
        <f>'Hodnocení '!AI95</f>
        <v>3404000</v>
      </c>
      <c r="AJ99" s="479">
        <f>'Hodnocení '!AJ95</f>
        <v>2585000</v>
      </c>
      <c r="AK99" s="479">
        <f>'Hodnocení '!AK95</f>
        <v>1251400</v>
      </c>
      <c r="AL99" s="479">
        <f>'Hodnocení '!AL95</f>
        <v>2630000</v>
      </c>
      <c r="AM99" s="479">
        <f>'Hodnocení '!AM95</f>
        <v>1634492</v>
      </c>
      <c r="AN99" s="479">
        <f>'Hodnocení '!AN95</f>
        <v>1177000</v>
      </c>
      <c r="AO99" s="479">
        <f>'Hodnocení '!AO95</f>
        <v>5500000</v>
      </c>
      <c r="AP99" s="479">
        <f>'Hodnocení '!AP95</f>
        <v>2220000</v>
      </c>
      <c r="AQ99" s="479">
        <f>'Hodnocení '!AQ95</f>
        <v>491000</v>
      </c>
      <c r="AR99" s="479">
        <f>'Hodnocení '!AR95</f>
        <v>1929000</v>
      </c>
      <c r="AS99" s="479">
        <f>'Hodnocení '!AS95</f>
        <v>640200</v>
      </c>
      <c r="AT99" s="479">
        <f>'Hodnocení '!AT95</f>
        <v>2900000</v>
      </c>
      <c r="AU99" s="479">
        <f>'Hodnocení '!AU95</f>
        <v>1416300</v>
      </c>
      <c r="AV99" s="479">
        <f>'Hodnocení '!AV95</f>
        <v>2235500</v>
      </c>
      <c r="AW99" s="479">
        <f>'Hodnocení '!AW95</f>
        <v>3142100</v>
      </c>
      <c r="AX99" s="479">
        <f>'Hodnocení '!AX95</f>
        <v>3395000</v>
      </c>
      <c r="AY99" s="479">
        <f>'Hodnocení '!AY95</f>
        <v>3471000</v>
      </c>
      <c r="AZ99" s="479">
        <f>'Hodnocení '!AZ95</f>
        <v>2981000</v>
      </c>
      <c r="BA99" s="479">
        <f>'Hodnocení '!BA95</f>
        <v>9230000</v>
      </c>
      <c r="BB99" s="479">
        <f>'Hodnocení '!BB95</f>
        <v>1312920</v>
      </c>
      <c r="BC99" s="479">
        <f>'Hodnocení '!BC95</f>
        <v>1668800</v>
      </c>
      <c r="BD99" s="479">
        <f>'Hodnocení '!BD95</f>
        <v>2208600</v>
      </c>
      <c r="BE99" s="479">
        <f>'Hodnocení '!BE95</f>
        <v>1290900</v>
      </c>
      <c r="BF99" s="479">
        <f>'Hodnocení '!BF95</f>
        <v>2020000</v>
      </c>
      <c r="BG99" s="479">
        <f>'Hodnocení '!BG95</f>
        <v>2499000</v>
      </c>
      <c r="BH99" s="479">
        <f>'Hodnocení '!BH95</f>
        <v>3206000</v>
      </c>
      <c r="BI99" s="479">
        <f>'Hodnocení '!BI95</f>
        <v>1270000</v>
      </c>
      <c r="BJ99" s="479">
        <f>'Hodnocení '!BJ95</f>
        <v>3539000</v>
      </c>
      <c r="BK99" s="479">
        <f>'Hodnocení '!BK95</f>
        <v>100000</v>
      </c>
      <c r="BL99" s="479">
        <f>'Hodnocení '!BL95</f>
        <v>1000000</v>
      </c>
      <c r="BM99" s="479">
        <f>'Hodnocení '!BM95</f>
        <v>1464826</v>
      </c>
      <c r="BN99" s="479">
        <f>'Hodnocení '!BN95</f>
        <v>1902000</v>
      </c>
      <c r="BO99" s="479">
        <f>'Hodnocení '!BO95</f>
        <v>1072000</v>
      </c>
      <c r="BP99" s="479">
        <f>'Hodnocení '!BP95</f>
        <v>4739080</v>
      </c>
      <c r="BQ99" s="479">
        <f>'Hodnocení '!BQ95</f>
        <v>112726</v>
      </c>
      <c r="BR99" s="479">
        <f>'Hodnocení '!BR95</f>
        <v>1013021</v>
      </c>
      <c r="BS99" s="479">
        <f>'Hodnocení '!BS95</f>
        <v>1408027</v>
      </c>
      <c r="BT99" s="479">
        <f>'Hodnocení '!BT95</f>
        <v>956642</v>
      </c>
      <c r="BU99" s="479">
        <f>'Hodnocení '!BU95</f>
        <v>5554950</v>
      </c>
      <c r="BV99" s="479">
        <f>'Hodnocení '!BV95</f>
        <v>1310620</v>
      </c>
      <c r="BW99" s="479">
        <f>'Hodnocení '!BW95</f>
        <v>590000</v>
      </c>
      <c r="BX99" s="479">
        <f>'Hodnocení '!BX95</f>
        <v>5228000</v>
      </c>
      <c r="BY99" s="479">
        <f>'Hodnocení '!BY95</f>
        <v>1945000</v>
      </c>
      <c r="BZ99" s="479">
        <f>'Hodnocení '!BZ95</f>
        <v>398000</v>
      </c>
      <c r="CA99" s="479">
        <f>'Hodnocení '!CA95</f>
        <v>0</v>
      </c>
      <c r="CB99" s="479">
        <f>'Hodnocení '!CB95</f>
        <v>695000</v>
      </c>
      <c r="CC99" s="479">
        <f>'Hodnocení '!CC95</f>
        <v>2747000</v>
      </c>
      <c r="CD99" s="479">
        <f>'Hodnocení '!CD95</f>
        <v>991000</v>
      </c>
      <c r="CE99" s="479">
        <f>'Hodnocení '!CE95</f>
        <v>11492000</v>
      </c>
      <c r="CF99" s="479">
        <f>'Hodnocení '!CF95</f>
        <v>4720790</v>
      </c>
      <c r="CG99" s="479">
        <f>'Hodnocení '!CG95</f>
        <v>1390000</v>
      </c>
      <c r="CH99" s="479">
        <f>'Hodnocení '!CH95</f>
        <v>3703000</v>
      </c>
      <c r="CI99" s="479">
        <f>'Hodnocení '!CI95</f>
        <v>3270000</v>
      </c>
      <c r="CJ99" s="479">
        <f>'Hodnocení '!CJ95</f>
        <v>4513515</v>
      </c>
      <c r="CK99" s="479">
        <f>'Hodnocení '!CK95</f>
        <v>4542000</v>
      </c>
      <c r="CL99" s="479">
        <f>'Hodnocení '!CL95</f>
        <v>3015000</v>
      </c>
      <c r="CM99" s="479">
        <f>'Hodnocení '!CM95</f>
        <v>7604514</v>
      </c>
      <c r="CN99" s="479">
        <f>'Hodnocení '!CN95</f>
        <v>1507362</v>
      </c>
      <c r="CO99" s="479">
        <f>'Hodnocení '!CO95</f>
        <v>1546768</v>
      </c>
      <c r="CP99" s="479">
        <f>'Hodnocení '!CP95</f>
        <v>1478852</v>
      </c>
      <c r="CQ99" s="479">
        <f>'Hodnocení '!CQ95</f>
        <v>6470764</v>
      </c>
      <c r="CR99" s="479">
        <f>'Hodnocení '!CR95</f>
        <v>2331094</v>
      </c>
      <c r="CS99" s="479">
        <f>'Hodnocení '!CS95</f>
        <v>3298929</v>
      </c>
      <c r="CT99" s="479">
        <f>'Hodnocení '!CT95</f>
        <v>5705918</v>
      </c>
      <c r="CU99" s="479">
        <f>'Hodnocení '!CU95</f>
        <v>1875000</v>
      </c>
      <c r="CV99" s="479">
        <f>'Hodnocení '!CV95</f>
        <v>6960000</v>
      </c>
      <c r="CW99" s="479">
        <f>'Hodnocení '!CW95</f>
        <v>400000</v>
      </c>
      <c r="CX99" s="479">
        <f>'Hodnocení '!CX95</f>
        <v>3457000</v>
      </c>
      <c r="CY99" s="479">
        <f>'Hodnocení '!CY95</f>
        <v>3240000</v>
      </c>
      <c r="CZ99" s="479">
        <f>'Hodnocení '!CZ95</f>
        <v>371000</v>
      </c>
      <c r="DA99" s="479">
        <f>'Hodnocení '!DA95</f>
        <v>7650000</v>
      </c>
      <c r="DB99" s="479">
        <f>'Hodnocení '!DB95</f>
        <v>760808</v>
      </c>
      <c r="DC99" s="479">
        <f>'Hodnocení '!DC95</f>
        <v>2030000</v>
      </c>
      <c r="DD99" s="479">
        <f>'Hodnocení '!DD95</f>
        <v>5300000</v>
      </c>
      <c r="DE99" s="479">
        <f>'Hodnocení '!DE95</f>
        <v>2810000</v>
      </c>
      <c r="DF99" s="479">
        <f>'Hodnocení '!DF95</f>
        <v>4660760</v>
      </c>
      <c r="DG99" s="479">
        <f>'Hodnocení '!DG95</f>
        <v>1865426</v>
      </c>
      <c r="DH99" s="479">
        <f>'Hodnocení '!DH95</f>
        <v>2425434</v>
      </c>
      <c r="DI99" s="479">
        <f>'Hodnocení '!DI95</f>
        <v>1393074</v>
      </c>
      <c r="DJ99" s="479">
        <f>'Hodnocení '!DJ95</f>
        <v>1920826</v>
      </c>
      <c r="DK99" s="479">
        <f>'Hodnocení '!DK95</f>
        <v>2417346</v>
      </c>
      <c r="DL99" s="479">
        <f>'Hodnocení '!DL95</f>
        <v>7306533</v>
      </c>
      <c r="DM99" s="479">
        <f>'Hodnocení '!DM95</f>
        <v>2395000</v>
      </c>
      <c r="DN99" s="479">
        <f>'Hodnocení '!DN95</f>
        <v>3689667</v>
      </c>
      <c r="DO99" s="479">
        <f>'Hodnocení '!DO95</f>
        <v>1734000</v>
      </c>
      <c r="DP99" s="479">
        <f>'Hodnocení '!DP95</f>
        <v>4315763</v>
      </c>
      <c r="DQ99" s="479">
        <f>'Hodnocení '!DQ95</f>
        <v>4013645</v>
      </c>
      <c r="DR99" s="479">
        <f>'Hodnocení '!DR95</f>
        <v>4423025</v>
      </c>
      <c r="DS99" s="479">
        <f>'Hodnocení '!DS95</f>
        <v>878000</v>
      </c>
      <c r="DT99" s="479">
        <f>'Hodnocení '!DT95</f>
        <v>3015000</v>
      </c>
      <c r="DU99" s="479">
        <f>'Hodnocení '!DU95</f>
        <v>0</v>
      </c>
      <c r="DV99" s="479">
        <f>'Hodnocení '!DV95</f>
        <v>4423333</v>
      </c>
      <c r="DW99" s="479">
        <f>'Hodnocení '!DW95</f>
        <v>0</v>
      </c>
      <c r="DX99" s="479">
        <f>'Hodnocení '!DX95</f>
        <v>0</v>
      </c>
      <c r="DY99" s="479">
        <f>'Hodnocení '!DY95</f>
        <v>6070000</v>
      </c>
      <c r="DZ99" s="479">
        <f>'Hodnocení '!DZ95</f>
        <v>924000</v>
      </c>
      <c r="EA99" s="479">
        <f>'Hodnocení '!EA95</f>
        <v>3910500</v>
      </c>
      <c r="EB99" s="479">
        <f>'Hodnocení '!EB95</f>
        <v>5674772</v>
      </c>
      <c r="EC99" s="479">
        <f>'Hodnocení '!EC95</f>
        <v>4509620</v>
      </c>
      <c r="ED99" s="479">
        <f>'Hodnocení '!ED95</f>
        <v>3945350</v>
      </c>
      <c r="EE99" s="479">
        <f>'Hodnocení '!EE95</f>
        <v>610000</v>
      </c>
      <c r="EF99" s="479">
        <f>'Hodnocení '!EF95</f>
        <v>666000</v>
      </c>
      <c r="EG99" s="479">
        <f>'Hodnocení '!EG95</f>
        <v>425000</v>
      </c>
      <c r="EH99" s="479">
        <f>'Hodnocení '!EH95</f>
        <v>595000</v>
      </c>
      <c r="EI99" s="479">
        <f>'Hodnocení '!EI95</f>
        <v>1025000</v>
      </c>
      <c r="EJ99" s="479">
        <f>'Hodnocení '!EJ95</f>
        <v>1254497</v>
      </c>
      <c r="EK99" s="479">
        <f>'Hodnocení '!EK95</f>
        <v>5250700</v>
      </c>
      <c r="EL99" s="479">
        <f>'Hodnocení '!EL95</f>
        <v>10921600</v>
      </c>
      <c r="EM99" s="479">
        <f>'Hodnocení '!EM95</f>
        <v>4256000</v>
      </c>
      <c r="EN99" s="479">
        <f>'Hodnocení '!EN95</f>
        <v>2526602</v>
      </c>
      <c r="EO99" s="479">
        <f>'Hodnocení '!EO95</f>
        <v>413760</v>
      </c>
      <c r="EP99" s="479">
        <f>'Hodnocení '!EP95</f>
        <v>2970065</v>
      </c>
      <c r="EQ99" s="479">
        <f>'Hodnocení '!EQ95</f>
        <v>2886486</v>
      </c>
      <c r="ER99" s="479">
        <f>'Hodnocení '!ER95</f>
        <v>6229000</v>
      </c>
      <c r="ES99" s="479">
        <f>'Hodnocení '!ES95</f>
        <v>3480000</v>
      </c>
      <c r="ET99" s="479">
        <f>'Hodnocení '!ET95</f>
        <v>901340</v>
      </c>
      <c r="EU99" s="479">
        <f>'Hodnocení '!EU95</f>
        <v>2056000</v>
      </c>
      <c r="EV99" s="479">
        <f>'Hodnocení '!EV95</f>
        <v>650000</v>
      </c>
      <c r="EW99" s="479">
        <f>'Hodnocení '!EW95</f>
        <v>2800000</v>
      </c>
      <c r="EX99" s="479">
        <f>'Hodnocení '!EX95</f>
        <v>7200000</v>
      </c>
      <c r="EY99" s="479">
        <f>'Hodnocení '!EY95</f>
        <v>2500000</v>
      </c>
      <c r="EZ99" s="479">
        <f>'Hodnocení '!EZ95</f>
        <v>270000</v>
      </c>
      <c r="FA99" s="479">
        <f>'Hodnocení '!FA95</f>
        <v>990000</v>
      </c>
      <c r="FB99" s="479">
        <f>'Hodnocení '!FB95</f>
        <v>233682</v>
      </c>
      <c r="FC99" s="479">
        <f>'Hodnocení '!FC95</f>
        <v>5000000</v>
      </c>
      <c r="FD99" s="479">
        <f>'Hodnocení '!FD95</f>
        <v>1200000</v>
      </c>
      <c r="FE99" s="479">
        <f>'Hodnocení '!FE95</f>
        <v>390000</v>
      </c>
      <c r="FF99" s="479">
        <f>'Hodnocení '!FF95</f>
        <v>1561200</v>
      </c>
      <c r="FG99" s="479">
        <f>'Hodnocení '!FG95</f>
        <v>5703200</v>
      </c>
      <c r="FH99" s="479">
        <f>'Hodnocení '!FH95</f>
        <v>6594603</v>
      </c>
      <c r="FI99" s="479">
        <f>'Hodnocení '!FI95</f>
        <v>7800000</v>
      </c>
      <c r="FJ99" s="479">
        <f>'Hodnocení '!FJ95</f>
        <v>2200000</v>
      </c>
      <c r="FK99" s="479">
        <f>'Hodnocení '!FK95</f>
        <v>937000</v>
      </c>
      <c r="FL99" s="479">
        <f>'Hodnocení '!FL95</f>
        <v>965000</v>
      </c>
      <c r="FM99" s="479">
        <f>'Hodnocení '!FM95</f>
        <v>4500000</v>
      </c>
      <c r="FN99" s="479">
        <f>'Hodnocení '!FN95</f>
        <v>8082419</v>
      </c>
      <c r="FO99" s="479">
        <f>'Hodnocení '!FO95</f>
        <v>2666678</v>
      </c>
      <c r="FP99" s="479">
        <f>'Hodnocení '!FP95</f>
        <v>16758000</v>
      </c>
      <c r="FQ99" s="479">
        <f>'Hodnocení '!FQ95</f>
        <v>2142886</v>
      </c>
      <c r="FR99" s="479">
        <f>'Hodnocení '!FR95</f>
        <v>3986708</v>
      </c>
      <c r="FS99" s="479">
        <f>'Hodnocení '!FS95</f>
        <v>601500</v>
      </c>
      <c r="FT99" s="479">
        <f>'Hodnocení '!FT95</f>
        <v>4812000</v>
      </c>
      <c r="FU99" s="479">
        <f>'Hodnocení '!FU95</f>
        <v>552000</v>
      </c>
      <c r="FV99" s="479">
        <f>'Hodnocení '!FV95</f>
        <v>1105000</v>
      </c>
      <c r="FW99" s="479">
        <f>'Hodnocení '!FW95</f>
        <v>1800000</v>
      </c>
      <c r="FX99" s="479">
        <f>'Hodnocení '!FX95</f>
        <v>700000</v>
      </c>
      <c r="FY99" s="479">
        <f>'Hodnocení '!FY95</f>
        <v>200000</v>
      </c>
      <c r="FZ99" s="479">
        <f>'Hodnocení '!FZ95</f>
        <v>7690000</v>
      </c>
      <c r="GA99" s="479">
        <f>'Hodnocení '!GA95</f>
        <v>978000</v>
      </c>
      <c r="GB99" s="479">
        <f>'Hodnocení '!GB95</f>
        <v>4746000</v>
      </c>
      <c r="GC99" s="479">
        <f>'Hodnocení '!GC95</f>
        <v>2728000</v>
      </c>
      <c r="GD99" s="479">
        <f>'Hodnocení '!GD95</f>
        <v>11396000</v>
      </c>
      <c r="GE99" s="479">
        <f>'Hodnocení '!GE95</f>
        <v>1800000</v>
      </c>
      <c r="GF99" s="479">
        <f>'Hodnocení '!GF95</f>
        <v>5289602</v>
      </c>
      <c r="GG99" s="479">
        <f>'Hodnocení '!GG95</f>
        <v>1284855</v>
      </c>
      <c r="GH99" s="479">
        <f>'Hodnocení '!GH95</f>
        <v>1054717</v>
      </c>
      <c r="GI99" s="479">
        <f>'Hodnocení '!GI95</f>
        <v>10416974</v>
      </c>
      <c r="GJ99" s="479">
        <f>'Hodnocení '!GJ95</f>
        <v>2195910</v>
      </c>
      <c r="GK99" s="479">
        <f>'Hodnocení '!GK95</f>
        <v>1100000</v>
      </c>
      <c r="GL99" s="479">
        <f>'Hodnocení '!GL95</f>
        <v>750000</v>
      </c>
      <c r="GM99" s="479">
        <f>'Hodnocení '!GM95</f>
        <v>930000</v>
      </c>
      <c r="GN99" s="479">
        <f>'Hodnocení '!GN95</f>
        <v>1018000</v>
      </c>
      <c r="GO99" s="479">
        <f>'Hodnocení '!GO95</f>
        <v>4777941</v>
      </c>
      <c r="GP99" s="479">
        <f>'Hodnocení '!GP95</f>
        <v>1889000</v>
      </c>
      <c r="GQ99" s="479">
        <f>'Hodnocení '!GQ95</f>
        <v>1000000</v>
      </c>
      <c r="GR99" s="479">
        <f>'Hodnocení '!GR95</f>
        <v>610000</v>
      </c>
      <c r="GS99" s="479">
        <f>'Hodnocení '!GS95</f>
        <v>180000</v>
      </c>
      <c r="GT99" s="479">
        <f>'Hodnocení '!GT95</f>
        <v>8922000</v>
      </c>
      <c r="GU99" s="479">
        <f>'Hodnocení '!GU95</f>
        <v>807440</v>
      </c>
      <c r="GV99" s="479">
        <f>'Hodnocení '!GV95</f>
        <v>5000000</v>
      </c>
      <c r="GW99" s="479">
        <f>'Hodnocení '!GW95</f>
        <v>1450000</v>
      </c>
      <c r="GX99" s="479">
        <f>'Hodnocení '!GX95</f>
        <v>150000</v>
      </c>
      <c r="GY99" s="479">
        <f>'Hodnocení '!GY95</f>
        <v>16000000</v>
      </c>
      <c r="GZ99" s="479">
        <f>'Hodnocení '!GZ95</f>
        <v>2110821</v>
      </c>
      <c r="HA99" s="479">
        <f>'Hodnocení '!HA95</f>
        <v>5200000</v>
      </c>
      <c r="HB99" s="479">
        <f>'Hodnocení '!HB95</f>
        <v>5600000</v>
      </c>
      <c r="HC99" s="479">
        <f>'Hodnocení '!HC95</f>
        <v>11200000</v>
      </c>
      <c r="HD99" s="479">
        <f>'Hodnocení '!HD95</f>
        <v>2188680</v>
      </c>
      <c r="HE99" s="479">
        <f>'Hodnocení '!HE95</f>
        <v>4945200</v>
      </c>
      <c r="HF99" s="479">
        <f>'Hodnocení '!HF95</f>
        <v>900000</v>
      </c>
      <c r="HG99" s="479">
        <f>'Hodnocení '!HG95</f>
        <v>865000</v>
      </c>
      <c r="HH99" s="479">
        <f>'Hodnocení '!HH95</f>
        <v>3950000</v>
      </c>
      <c r="HI99" s="479">
        <f>'Hodnocení '!HI95</f>
        <v>2500000</v>
      </c>
      <c r="HJ99" s="479">
        <f>'Hodnocení '!HJ95</f>
        <v>0</v>
      </c>
      <c r="HK99" s="479">
        <f>'Hodnocení '!HK95</f>
        <v>209300</v>
      </c>
      <c r="HL99" s="479">
        <f>'Hodnocení '!HL95</f>
        <v>50500000</v>
      </c>
      <c r="HM99" s="479">
        <f>'Hodnocení '!HM95</f>
        <v>30959000</v>
      </c>
      <c r="HN99" s="479">
        <f>'Hodnocení '!HN95</f>
        <v>1010000</v>
      </c>
      <c r="HO99" s="479">
        <f>'Hodnocení '!HO95</f>
        <v>0</v>
      </c>
      <c r="HP99" s="479">
        <f>'Hodnocení '!HP95</f>
        <v>27114000</v>
      </c>
      <c r="HQ99" s="479">
        <f>'Hodnocení '!HQ95</f>
        <v>700000</v>
      </c>
      <c r="HR99" s="479">
        <f>'Hodnocení '!HR95</f>
        <v>27500000</v>
      </c>
      <c r="HS99" s="479">
        <f>'Hodnocení '!HS95</f>
        <v>4600000</v>
      </c>
      <c r="HT99" s="479">
        <f>'Hodnocení '!HT95</f>
        <v>21000000</v>
      </c>
      <c r="HU99" s="479">
        <f>'Hodnocení '!HU95</f>
        <v>24100000</v>
      </c>
      <c r="HV99" s="479">
        <f>'Hodnocení '!HV95</f>
        <v>17580000</v>
      </c>
      <c r="HW99" s="479">
        <f>'Hodnocení '!HW95</f>
        <v>4562528</v>
      </c>
      <c r="HX99" s="479">
        <f>'Hodnocení '!HX95</f>
        <v>23953272</v>
      </c>
      <c r="HY99" s="479">
        <f>'Hodnocení '!HY95</f>
        <v>17351600</v>
      </c>
      <c r="HZ99" s="479">
        <f>'Hodnocení '!HZ95</f>
        <v>11293100</v>
      </c>
      <c r="IA99" s="479">
        <f>'Hodnocení '!IA95</f>
        <v>8494730</v>
      </c>
      <c r="IB99" s="479">
        <f>'Hodnocení '!IB95</f>
        <v>10442250</v>
      </c>
      <c r="IC99" s="479">
        <f>'Hodnocení '!IC95</f>
        <v>11940000</v>
      </c>
      <c r="ID99" s="479">
        <f>'Hodnocení '!ID95</f>
        <v>10036000</v>
      </c>
      <c r="IE99" s="479">
        <f>'Hodnocení '!IE95</f>
        <v>17118000</v>
      </c>
      <c r="IF99" s="479">
        <f>'Hodnocení '!IF95</f>
        <v>25404400</v>
      </c>
      <c r="IG99" s="479">
        <f>'Hodnocení '!IG95</f>
        <v>8044600</v>
      </c>
      <c r="IH99" s="479">
        <f>'Hodnocení '!IH95</f>
        <v>3681744</v>
      </c>
      <c r="II99" s="479">
        <f>'Hodnocení '!II95</f>
        <v>22880979</v>
      </c>
      <c r="IJ99" s="479">
        <f>'Hodnocení '!IJ95</f>
        <v>1571800</v>
      </c>
      <c r="IK99" s="479">
        <f>'Hodnocení '!IK95</f>
        <v>609567</v>
      </c>
      <c r="IL99" s="479">
        <f>'Hodnocení '!IL95</f>
        <v>9900000</v>
      </c>
      <c r="IM99" s="479">
        <f>'Hodnocení '!IM95</f>
        <v>775000</v>
      </c>
      <c r="IN99" s="479">
        <f>'Hodnocení '!IN95</f>
        <v>11165000</v>
      </c>
      <c r="IO99" s="479">
        <f>'Hodnocení '!IO95</f>
        <v>3560000</v>
      </c>
      <c r="IP99" s="479">
        <f>'Hodnocení '!IP95</f>
        <v>18876000</v>
      </c>
      <c r="IQ99" s="479">
        <f>'Hodnocení '!IQ95</f>
        <v>19626000</v>
      </c>
      <c r="IR99" s="479">
        <f>'Hodnocení '!IR95</f>
        <v>835000</v>
      </c>
      <c r="IS99" s="479">
        <f>'Hodnocení '!IS95</f>
        <v>46709000</v>
      </c>
      <c r="IT99" s="479">
        <f>'Hodnocení '!IT95</f>
        <v>11542000</v>
      </c>
      <c r="IU99" s="479">
        <f>'Hodnocení '!IU95</f>
        <v>3964128</v>
      </c>
      <c r="IV99" s="479">
        <f>'Hodnocení '!IV95</f>
        <v>8599386</v>
      </c>
      <c r="IW99" s="479">
        <f>'Hodnocení '!IW95</f>
        <v>16499135</v>
      </c>
      <c r="IX99" s="479">
        <f>'Hodnocení '!IX95</f>
        <v>2238805</v>
      </c>
      <c r="IY99" s="479">
        <f>'Hodnocení '!IY95</f>
        <v>10538000</v>
      </c>
      <c r="IZ99" s="479">
        <f>'Hodnocení '!IZ95</f>
        <v>23410000</v>
      </c>
      <c r="JA99" s="479">
        <f>'Hodnocení '!JA95</f>
        <v>2868000</v>
      </c>
      <c r="JB99" s="479">
        <f>'Hodnocení '!JB95</f>
        <v>2340000</v>
      </c>
      <c r="JC99" s="479">
        <f>'Hodnocení '!JC95</f>
        <v>2290000</v>
      </c>
      <c r="JD99" s="479">
        <f>'Hodnocení '!JD95</f>
        <v>3000000</v>
      </c>
      <c r="JE99" s="479">
        <f>'Hodnocení '!JE95</f>
        <v>722500</v>
      </c>
      <c r="JF99" s="479">
        <f>'Hodnocení '!JF95</f>
        <v>34067800</v>
      </c>
      <c r="JG99" s="479">
        <f>'Hodnocení '!JG95</f>
        <v>29138040</v>
      </c>
      <c r="JH99" s="780">
        <f>'Hodnocení '!JH95</f>
        <v>3377272</v>
      </c>
      <c r="JI99" s="315">
        <f>'Hodnocení '!JI95</f>
        <v>0</v>
      </c>
      <c r="JL99" s="307">
        <f t="shared" si="54"/>
        <v>26180000</v>
      </c>
      <c r="JM99" s="307">
        <f t="shared" si="54"/>
        <v>427100132</v>
      </c>
      <c r="JN99" s="307">
        <f t="shared" si="54"/>
        <v>231692656</v>
      </c>
      <c r="JO99" s="307">
        <f t="shared" si="54"/>
        <v>648488636</v>
      </c>
      <c r="JP99" s="307">
        <f t="shared" si="55"/>
        <v>1333461424</v>
      </c>
    </row>
    <row r="100" spans="1:276" hidden="1" x14ac:dyDescent="0.25">
      <c r="A100" s="353"/>
      <c r="B100" s="733" t="s">
        <v>2594</v>
      </c>
      <c r="C100" s="779">
        <f>'Hodnocení '!C96</f>
        <v>265577.44417527691</v>
      </c>
      <c r="D100" s="479">
        <f>'Hodnocení '!D96</f>
        <v>0</v>
      </c>
      <c r="E100" s="479">
        <f>'Hodnocení '!E96</f>
        <v>1000815.5911892997</v>
      </c>
      <c r="F100" s="479">
        <f>'Hodnocení '!F96</f>
        <v>1001950.2911646427</v>
      </c>
      <c r="G100" s="479">
        <f>'Hodnocení '!G96</f>
        <v>419747.87270940468</v>
      </c>
      <c r="H100" s="479">
        <f>'Hodnocení '!H96</f>
        <v>1157858</v>
      </c>
      <c r="I100" s="479">
        <f>'Hodnocení '!I96</f>
        <v>3164198</v>
      </c>
      <c r="J100" s="479">
        <f>'Hodnocení '!J96</f>
        <v>2788914.7639159658</v>
      </c>
      <c r="K100" s="479">
        <f>'Hodnocení '!K96</f>
        <v>0</v>
      </c>
      <c r="L100" s="479">
        <f>'Hodnocení '!L96</f>
        <v>927430</v>
      </c>
      <c r="M100" s="479">
        <f>'Hodnocení '!M96</f>
        <v>1132224.761104234</v>
      </c>
      <c r="N100" s="479">
        <f>'Hodnocení '!N96</f>
        <v>939171.3969733296</v>
      </c>
      <c r="O100" s="479">
        <f>'Hodnocení '!O96</f>
        <v>0</v>
      </c>
      <c r="P100" s="479">
        <f>'Hodnocení '!P96</f>
        <v>124901.99781831075</v>
      </c>
      <c r="Q100" s="479">
        <f>'Hodnocení '!Q96</f>
        <v>958511.52089898451</v>
      </c>
      <c r="R100" s="479">
        <f>'Hodnocení '!R96</f>
        <v>0</v>
      </c>
      <c r="S100" s="479">
        <f>'Hodnocení '!S96</f>
        <v>97847.199999999953</v>
      </c>
      <c r="T100" s="479">
        <f>'Hodnocení '!T96</f>
        <v>75226.489221846219</v>
      </c>
      <c r="U100" s="479">
        <f>'Hodnocení '!U96</f>
        <v>0</v>
      </c>
      <c r="V100" s="479">
        <f>'Hodnocení '!V96</f>
        <v>51380</v>
      </c>
      <c r="W100" s="479">
        <f>'Hodnocení '!W96</f>
        <v>0</v>
      </c>
      <c r="X100" s="479">
        <f>'Hodnocení '!X96</f>
        <v>684164.19049142208</v>
      </c>
      <c r="Y100" s="479">
        <f>'Hodnocení '!Y96</f>
        <v>0</v>
      </c>
      <c r="Z100" s="479">
        <f>'Hodnocení '!Z96</f>
        <v>0</v>
      </c>
      <c r="AA100" s="479">
        <f>'Hodnocení '!AA96</f>
        <v>377077.55097512621</v>
      </c>
      <c r="AB100" s="479">
        <f>'Hodnocení '!AB96</f>
        <v>951869.29427758651</v>
      </c>
      <c r="AC100" s="479">
        <f>'Hodnocení '!AC96</f>
        <v>-481158.31194833241</v>
      </c>
      <c r="AD100" s="479">
        <f>'Hodnocení '!AD96</f>
        <v>81770.879376434721</v>
      </c>
      <c r="AE100" s="479">
        <f>'Hodnocení '!AE96</f>
        <v>701902.47410105611</v>
      </c>
      <c r="AF100" s="479">
        <f>'Hodnocení '!AF96</f>
        <v>206047.07046204177</v>
      </c>
      <c r="AG100" s="479">
        <f>'Hodnocení '!AG96</f>
        <v>145187.24513010308</v>
      </c>
      <c r="AH100" s="479">
        <f>'Hodnocení '!AH96</f>
        <v>0</v>
      </c>
      <c r="AI100" s="479">
        <f>'Hodnocení '!AI96</f>
        <v>0</v>
      </c>
      <c r="AJ100" s="479">
        <f>'Hodnocení '!AJ96</f>
        <v>0</v>
      </c>
      <c r="AK100" s="479">
        <f>'Hodnocení '!AK96</f>
        <v>0</v>
      </c>
      <c r="AL100" s="479">
        <f>'Hodnocení '!AL96</f>
        <v>677090.83664892241</v>
      </c>
      <c r="AM100" s="479">
        <f>'Hodnocení '!AM96</f>
        <v>134783.62736587692</v>
      </c>
      <c r="AN100" s="479">
        <f>'Hodnocení '!AN96</f>
        <v>28044.801501221023</v>
      </c>
      <c r="AO100" s="479">
        <f>'Hodnocení '!AO96</f>
        <v>596244.4403643813</v>
      </c>
      <c r="AP100" s="479">
        <f>'Hodnocení '!AP96</f>
        <v>95234.883770398796</v>
      </c>
      <c r="AQ100" s="479">
        <f>'Hodnocení '!AQ96</f>
        <v>0</v>
      </c>
      <c r="AR100" s="479">
        <f>'Hodnocení '!AR96</f>
        <v>397259.60074915411</v>
      </c>
      <c r="AS100" s="479">
        <f>'Hodnocení '!AS96</f>
        <v>144946.77977666614</v>
      </c>
      <c r="AT100" s="479">
        <f>'Hodnocení '!AT96</f>
        <v>401886.56763165817</v>
      </c>
      <c r="AU100" s="479">
        <f>'Hodnocení '!AU96</f>
        <v>424083.06053357874</v>
      </c>
      <c r="AV100" s="479">
        <f>'Hodnocení '!AV96</f>
        <v>231839.32270477386</v>
      </c>
      <c r="AW100" s="479">
        <f>'Hodnocení '!AW96</f>
        <v>3125987.9876498799</v>
      </c>
      <c r="AX100" s="479">
        <f>'Hodnocení '!AX96</f>
        <v>154864.68891924899</v>
      </c>
      <c r="AY100" s="479">
        <f>'Hodnocení '!AY96</f>
        <v>170809.45934310928</v>
      </c>
      <c r="AZ100" s="479">
        <f>'Hodnocení '!AZ96</f>
        <v>0</v>
      </c>
      <c r="BA100" s="479">
        <f>'Hodnocení '!BA96</f>
        <v>0</v>
      </c>
      <c r="BB100" s="479">
        <f>'Hodnocení '!BB96</f>
        <v>0</v>
      </c>
      <c r="BC100" s="479">
        <f>'Hodnocení '!BC96</f>
        <v>445057.50619746768</v>
      </c>
      <c r="BD100" s="479">
        <f>'Hodnocení '!BD96</f>
        <v>292341.66742145689</v>
      </c>
      <c r="BE100" s="479">
        <f>'Hodnocení '!BE96</f>
        <v>1290900</v>
      </c>
      <c r="BF100" s="479">
        <f>'Hodnocení '!BF96</f>
        <v>0</v>
      </c>
      <c r="BG100" s="479">
        <f>'Hodnocení '!BG96</f>
        <v>0</v>
      </c>
      <c r="BH100" s="479">
        <f>'Hodnocení '!BH96</f>
        <v>0</v>
      </c>
      <c r="BI100" s="479">
        <f>'Hodnocení '!BI96</f>
        <v>0</v>
      </c>
      <c r="BJ100" s="479">
        <f>'Hodnocení '!BJ96</f>
        <v>804541.14643527335</v>
      </c>
      <c r="BK100" s="479">
        <f>'Hodnocení '!BK96</f>
        <v>0</v>
      </c>
      <c r="BL100" s="479">
        <f>'Hodnocení '!BL96</f>
        <v>544861.50499912724</v>
      </c>
      <c r="BM100" s="479">
        <f>'Hodnocení '!BM96</f>
        <v>0</v>
      </c>
      <c r="BN100" s="479">
        <f>'Hodnocení '!BN96</f>
        <v>244898.00684625655</v>
      </c>
      <c r="BO100" s="479">
        <f>'Hodnocení '!BO96</f>
        <v>20720.347524754237</v>
      </c>
      <c r="BP100" s="479">
        <f>'Hodnocení '!BP96</f>
        <v>87000</v>
      </c>
      <c r="BQ100" s="479">
        <f>'Hodnocení '!BQ96</f>
        <v>46161.834337535896</v>
      </c>
      <c r="BR100" s="479">
        <f>'Hodnocení '!BR96</f>
        <v>0</v>
      </c>
      <c r="BS100" s="479">
        <f>'Hodnocení '!BS96</f>
        <v>97744.701032125857</v>
      </c>
      <c r="BT100" s="479">
        <f>'Hodnocení '!BT96</f>
        <v>42481.733832769329</v>
      </c>
      <c r="BU100" s="479">
        <f>'Hodnocení '!BU96</f>
        <v>1615612</v>
      </c>
      <c r="BV100" s="479">
        <f>'Hodnocení '!BV96</f>
        <v>132711.9646817469</v>
      </c>
      <c r="BW100" s="479">
        <f>'Hodnocení '!BW96</f>
        <v>57317</v>
      </c>
      <c r="BX100" s="479">
        <f>'Hodnocení '!BX96</f>
        <v>519110.80893664621</v>
      </c>
      <c r="BY100" s="479">
        <f>'Hodnocení '!BY96</f>
        <v>424856</v>
      </c>
      <c r="BZ100" s="479">
        <f>'Hodnocení '!BZ96</f>
        <v>73850</v>
      </c>
      <c r="CA100" s="479">
        <f>'Hodnocení '!CA96</f>
        <v>0</v>
      </c>
      <c r="CB100" s="479">
        <f>'Hodnocení '!CB96</f>
        <v>123480.89857853274</v>
      </c>
      <c r="CC100" s="479">
        <f>'Hodnocení '!CC96</f>
        <v>508944.33745833626</v>
      </c>
      <c r="CD100" s="479">
        <f>'Hodnocení '!CD96</f>
        <v>329151.78314426029</v>
      </c>
      <c r="CE100" s="479">
        <f>'Hodnocení '!CE96</f>
        <v>1776949.8746832293</v>
      </c>
      <c r="CF100" s="479">
        <f>'Hodnocení '!CF96</f>
        <v>267172.1606710488</v>
      </c>
      <c r="CG100" s="479">
        <f>'Hodnocení '!CG96</f>
        <v>1158840.5039295536</v>
      </c>
      <c r="CH100" s="479">
        <f>'Hodnocení '!CH96</f>
        <v>3703000</v>
      </c>
      <c r="CI100" s="479">
        <f>'Hodnocení '!CI96</f>
        <v>3248366.8442031313</v>
      </c>
      <c r="CJ100" s="479">
        <f>'Hodnocení '!CJ96</f>
        <v>659319.9181716647</v>
      </c>
      <c r="CK100" s="479">
        <f>'Hodnocení '!CK96</f>
        <v>0</v>
      </c>
      <c r="CL100" s="479">
        <f>'Hodnocení '!CL96</f>
        <v>2958561.4027179093</v>
      </c>
      <c r="CM100" s="479">
        <f>'Hodnocení '!CM96</f>
        <v>1592177.5600136863</v>
      </c>
      <c r="CN100" s="479">
        <f>'Hodnocení '!CN96</f>
        <v>165352.0872805086</v>
      </c>
      <c r="CO100" s="479">
        <f>'Hodnocení '!CO96</f>
        <v>332268</v>
      </c>
      <c r="CP100" s="479">
        <f>'Hodnocení '!CP96</f>
        <v>210044.28319969587</v>
      </c>
      <c r="CQ100" s="479">
        <f>'Hodnocení '!CQ96</f>
        <v>955727.426281875</v>
      </c>
      <c r="CR100" s="479">
        <f>'Hodnocení '!CR96</f>
        <v>0</v>
      </c>
      <c r="CS100" s="479">
        <f>'Hodnocení '!CS96</f>
        <v>3111373.3258069074</v>
      </c>
      <c r="CT100" s="479">
        <f>'Hodnocení '!CT96</f>
        <v>5705918</v>
      </c>
      <c r="CU100" s="479">
        <f>'Hodnocení '!CU96</f>
        <v>0</v>
      </c>
      <c r="CV100" s="479">
        <f>'Hodnocení '!CV96</f>
        <v>1315009.0140789673</v>
      </c>
      <c r="CW100" s="479">
        <f>'Hodnocení '!CW96</f>
        <v>0</v>
      </c>
      <c r="CX100" s="479">
        <f>'Hodnocení '!CX96</f>
        <v>0</v>
      </c>
      <c r="CY100" s="479">
        <f>'Hodnocení '!CY96</f>
        <v>358916.71609879145</v>
      </c>
      <c r="CZ100" s="479">
        <f>'Hodnocení '!CZ96</f>
        <v>0</v>
      </c>
      <c r="DA100" s="479">
        <f>'Hodnocení '!DA96</f>
        <v>0</v>
      </c>
      <c r="DB100" s="479">
        <f>'Hodnocení '!DB96</f>
        <v>0</v>
      </c>
      <c r="DC100" s="479">
        <f>'Hodnocení '!DC96</f>
        <v>77785.536461747484</v>
      </c>
      <c r="DD100" s="479">
        <f>'Hodnocení '!DD96</f>
        <v>4871259.9498154959</v>
      </c>
      <c r="DE100" s="479">
        <f>'Hodnocení '!DE96</f>
        <v>1214595.1286137532</v>
      </c>
      <c r="DF100" s="479">
        <f>'Hodnocení '!DF96</f>
        <v>0</v>
      </c>
      <c r="DG100" s="479">
        <f>'Hodnocení '!DG96</f>
        <v>1062487.834848816</v>
      </c>
      <c r="DH100" s="479">
        <f>'Hodnocení '!DH96</f>
        <v>1517189.559797849</v>
      </c>
      <c r="DI100" s="479">
        <f>'Hodnocení '!DI96</f>
        <v>1393074</v>
      </c>
      <c r="DJ100" s="479">
        <f>'Hodnocení '!DJ96</f>
        <v>1854835.0236859601</v>
      </c>
      <c r="DK100" s="479">
        <f>'Hodnocení '!DK96</f>
        <v>2192893.1646875395</v>
      </c>
      <c r="DL100" s="479">
        <f>'Hodnocení '!DL96</f>
        <v>3212236.7781995465</v>
      </c>
      <c r="DM100" s="479">
        <f>'Hodnocení '!DM96</f>
        <v>428496.91618614434</v>
      </c>
      <c r="DN100" s="479">
        <f>'Hodnocení '!DN96</f>
        <v>0</v>
      </c>
      <c r="DO100" s="479">
        <f>'Hodnocení '!DO96</f>
        <v>331699.60778989107</v>
      </c>
      <c r="DP100" s="479">
        <f>'Hodnocení '!DP96</f>
        <v>270399.2200000002</v>
      </c>
      <c r="DQ100" s="479">
        <f>'Hodnocení '!DQ96</f>
        <v>0</v>
      </c>
      <c r="DR100" s="479">
        <f>'Hodnocení '!DR96</f>
        <v>0</v>
      </c>
      <c r="DS100" s="479">
        <f>'Hodnocení '!DS96</f>
        <v>0</v>
      </c>
      <c r="DT100" s="479">
        <f>'Hodnocení '!DT96</f>
        <v>-364864.05137304217</v>
      </c>
      <c r="DU100" s="479">
        <f>'Hodnocení '!DU96</f>
        <v>0</v>
      </c>
      <c r="DV100" s="479">
        <f>'Hodnocení '!DV96</f>
        <v>0</v>
      </c>
      <c r="DW100" s="479">
        <f>'Hodnocení '!DW96</f>
        <v>0</v>
      </c>
      <c r="DX100" s="479">
        <f>'Hodnocení '!DX96</f>
        <v>0</v>
      </c>
      <c r="DY100" s="479">
        <f>'Hodnocení '!DY96</f>
        <v>1488857.2495173514</v>
      </c>
      <c r="DZ100" s="479">
        <f>'Hodnocení '!DZ96</f>
        <v>200074.3111851234</v>
      </c>
      <c r="EA100" s="479">
        <f>'Hodnocení '!EA96</f>
        <v>0</v>
      </c>
      <c r="EB100" s="479">
        <f>'Hodnocení '!EB96</f>
        <v>-76640.858343649656</v>
      </c>
      <c r="EC100" s="479">
        <f>'Hodnocení '!EC96</f>
        <v>1001982.2487615342</v>
      </c>
      <c r="ED100" s="479">
        <f>'Hodnocení '!ED96</f>
        <v>155494.57845989428</v>
      </c>
      <c r="EE100" s="479">
        <f>'Hodnocení '!EE96</f>
        <v>0</v>
      </c>
      <c r="EF100" s="479">
        <f>'Hodnocení '!EF96</f>
        <v>0</v>
      </c>
      <c r="EG100" s="479">
        <f>'Hodnocení '!EG96</f>
        <v>0</v>
      </c>
      <c r="EH100" s="479">
        <f>'Hodnocení '!EH96</f>
        <v>0</v>
      </c>
      <c r="EI100" s="479">
        <f>'Hodnocení '!EI96</f>
        <v>0</v>
      </c>
      <c r="EJ100" s="479">
        <f>'Hodnocení '!EJ96</f>
        <v>1254497</v>
      </c>
      <c r="EK100" s="479">
        <f>'Hodnocení '!EK96</f>
        <v>1318658</v>
      </c>
      <c r="EL100" s="479">
        <f>'Hodnocení '!EL96</f>
        <v>2025524.0798782576</v>
      </c>
      <c r="EM100" s="479">
        <f>'Hodnocení '!EM96</f>
        <v>1438309.6805571243</v>
      </c>
      <c r="EN100" s="479">
        <f>'Hodnocení '!EN96</f>
        <v>0</v>
      </c>
      <c r="EO100" s="479">
        <f>'Hodnocení '!EO96</f>
        <v>87223.853184444131</v>
      </c>
      <c r="EP100" s="479">
        <f>'Hodnocení '!EP96</f>
        <v>0</v>
      </c>
      <c r="EQ100" s="479">
        <f>'Hodnocení '!EQ96</f>
        <v>568333.49557557236</v>
      </c>
      <c r="ER100" s="479">
        <f>'Hodnocení '!ER96</f>
        <v>0</v>
      </c>
      <c r="ES100" s="479">
        <f>'Hodnocení '!ES96</f>
        <v>590630.55265984358</v>
      </c>
      <c r="ET100" s="479">
        <f>'Hodnocení '!ET96</f>
        <v>0</v>
      </c>
      <c r="EU100" s="479">
        <f>'Hodnocení '!EU96</f>
        <v>0</v>
      </c>
      <c r="EV100" s="479">
        <f>'Hodnocení '!EV96</f>
        <v>206914.01217518601</v>
      </c>
      <c r="EW100" s="479">
        <f>'Hodnocení '!EW96</f>
        <v>294942.22949617682</v>
      </c>
      <c r="EX100" s="479">
        <f>'Hodnocení '!EX96</f>
        <v>1625691.0146594653</v>
      </c>
      <c r="EY100" s="479">
        <f>'Hodnocení '!EY96</f>
        <v>440834.12484485051</v>
      </c>
      <c r="EZ100" s="479">
        <f>'Hodnocení '!EZ96</f>
        <v>270000</v>
      </c>
      <c r="FA100" s="479">
        <f>'Hodnocení '!FA96</f>
        <v>0</v>
      </c>
      <c r="FB100" s="479">
        <f>'Hodnocení '!FB96</f>
        <v>55867.466951250448</v>
      </c>
      <c r="FC100" s="479">
        <f>'Hodnocení '!FC96</f>
        <v>1957796.0186376316</v>
      </c>
      <c r="FD100" s="479">
        <f>'Hodnocení '!FD96</f>
        <v>1200000</v>
      </c>
      <c r="FE100" s="479">
        <f>'Hodnocení '!FE96</f>
        <v>46747.086652811384</v>
      </c>
      <c r="FF100" s="479">
        <f>'Hodnocení '!FF96</f>
        <v>119608.04000000004</v>
      </c>
      <c r="FG100" s="479">
        <f>'Hodnocení '!FG96</f>
        <v>0</v>
      </c>
      <c r="FH100" s="479">
        <f>'Hodnocení '!FH96</f>
        <v>803996.95081202127</v>
      </c>
      <c r="FI100" s="479">
        <f>'Hodnocení '!FI96</f>
        <v>217612.53495434858</v>
      </c>
      <c r="FJ100" s="479">
        <f>'Hodnocení '!FJ96</f>
        <v>345479.03024100582</v>
      </c>
      <c r="FK100" s="479">
        <f>'Hodnocení '!FK96</f>
        <v>819843.79726285837</v>
      </c>
      <c r="FL100" s="479">
        <f>'Hodnocení '!FL96</f>
        <v>675469.21227710997</v>
      </c>
      <c r="FM100" s="479">
        <f>'Hodnocení '!FM96</f>
        <v>3556984.8709666431</v>
      </c>
      <c r="FN100" s="479">
        <f>'Hodnocení '!FN96</f>
        <v>1079393.4501584657</v>
      </c>
      <c r="FO100" s="479">
        <f>'Hodnocení '!FO96</f>
        <v>1012056.8626000001</v>
      </c>
      <c r="FP100" s="479">
        <f>'Hodnocení '!FP96</f>
        <v>4406795.6911481638</v>
      </c>
      <c r="FQ100" s="479">
        <f>'Hodnocení '!FQ96</f>
        <v>170607.77619999996</v>
      </c>
      <c r="FR100" s="479">
        <f>'Hodnocení '!FR96</f>
        <v>3929415.1952748611</v>
      </c>
      <c r="FS100" s="479">
        <f>'Hodnocení '!FS96</f>
        <v>137492.04999999999</v>
      </c>
      <c r="FT100" s="479">
        <f>'Hodnocení '!FT96</f>
        <v>1556108.1959098401</v>
      </c>
      <c r="FU100" s="479">
        <f>'Hodnocení '!FU96</f>
        <v>86171.195557072759</v>
      </c>
      <c r="FV100" s="479">
        <f>'Hodnocení '!FV96</f>
        <v>545752.8307632606</v>
      </c>
      <c r="FW100" s="479">
        <f>'Hodnocení '!FW96</f>
        <v>862319.96957422956</v>
      </c>
      <c r="FX100" s="479">
        <f>'Hodnocení '!FX96</f>
        <v>315466.49663793249</v>
      </c>
      <c r="FY100" s="479">
        <f>'Hodnocení '!FY96</f>
        <v>0</v>
      </c>
      <c r="FZ100" s="479">
        <f>'Hodnocení '!FZ96</f>
        <v>5118845.9147311123</v>
      </c>
      <c r="GA100" s="479">
        <f>'Hodnocení '!GA96</f>
        <v>742913.87227618101</v>
      </c>
      <c r="GB100" s="479">
        <f>'Hodnocení '!GB96</f>
        <v>2500039.8801128245</v>
      </c>
      <c r="GC100" s="479">
        <f>'Hodnocení '!GC96</f>
        <v>556915.86014831252</v>
      </c>
      <c r="GD100" s="479">
        <f>'Hodnocení '!GD96</f>
        <v>3467058.7541363519</v>
      </c>
      <c r="GE100" s="479">
        <f>'Hodnocení '!GE96</f>
        <v>1644119.065998916</v>
      </c>
      <c r="GF100" s="479">
        <f>'Hodnocení '!GF96</f>
        <v>1408026.1504306733</v>
      </c>
      <c r="GG100" s="479">
        <f>'Hodnocení '!GG96</f>
        <v>127436.53661982156</v>
      </c>
      <c r="GH100" s="479">
        <f>'Hodnocení '!GH96</f>
        <v>0</v>
      </c>
      <c r="GI100" s="479">
        <f>'Hodnocení '!GI96</f>
        <v>2662569.8252166836</v>
      </c>
      <c r="GJ100" s="479">
        <f>'Hodnocení '!GJ96</f>
        <v>356709.66070933826</v>
      </c>
      <c r="GK100" s="479">
        <f>'Hodnocení '!GK96</f>
        <v>0</v>
      </c>
      <c r="GL100" s="479">
        <f>'Hodnocení '!GL96</f>
        <v>280045.97174390173</v>
      </c>
      <c r="GM100" s="479">
        <f>'Hodnocení '!GM96</f>
        <v>237462.47724447167</v>
      </c>
      <c r="GN100" s="479">
        <f>'Hodnocení '!GN96</f>
        <v>229230.93988784635</v>
      </c>
      <c r="GO100" s="479">
        <f>'Hodnocení '!GO96</f>
        <v>309145.51386203896</v>
      </c>
      <c r="GP100" s="479">
        <f>'Hodnocení '!GP96</f>
        <v>1404541.3763422961</v>
      </c>
      <c r="GQ100" s="479">
        <f>'Hodnocení '!GQ96</f>
        <v>690407.21128313895</v>
      </c>
      <c r="GR100" s="479">
        <f>'Hodnocení '!GR96</f>
        <v>0</v>
      </c>
      <c r="GS100" s="479">
        <f>'Hodnocení '!GS96</f>
        <v>180000</v>
      </c>
      <c r="GT100" s="479">
        <f>'Hodnocení '!GT96</f>
        <v>237208.09105643257</v>
      </c>
      <c r="GU100" s="479">
        <f>'Hodnocení '!GU96</f>
        <v>0</v>
      </c>
      <c r="GV100" s="479">
        <f>'Hodnocení '!GV96</f>
        <v>0</v>
      </c>
      <c r="GW100" s="479">
        <f>'Hodnocení '!GW96</f>
        <v>508275.11092572834</v>
      </c>
      <c r="GX100" s="479">
        <f>'Hodnocení '!GX96</f>
        <v>0</v>
      </c>
      <c r="GY100" s="479">
        <f>'Hodnocení '!GY96</f>
        <v>4830299.3211080935</v>
      </c>
      <c r="GZ100" s="479">
        <f>'Hodnocení '!GZ96</f>
        <v>2110821</v>
      </c>
      <c r="HA100" s="479">
        <f>'Hodnocení '!HA96</f>
        <v>0</v>
      </c>
      <c r="HB100" s="479">
        <f>'Hodnocení '!HB96</f>
        <v>3358175.1424083812</v>
      </c>
      <c r="HC100" s="479">
        <f>'Hodnocení '!HC96</f>
        <v>5665342.5418569082</v>
      </c>
      <c r="HD100" s="479">
        <f>'Hodnocení '!HD96</f>
        <v>280127.27446261514</v>
      </c>
      <c r="HE100" s="479">
        <f>'Hodnocení '!HE96</f>
        <v>0</v>
      </c>
      <c r="HF100" s="479">
        <f>'Hodnocení '!HF96</f>
        <v>119081.06523926754</v>
      </c>
      <c r="HG100" s="479">
        <f>'Hodnocení '!HG96</f>
        <v>381235.86239477736</v>
      </c>
      <c r="HH100" s="479">
        <f>'Hodnocení '!HH96</f>
        <v>2079424.6794290538</v>
      </c>
      <c r="HI100" s="479">
        <f>'Hodnocení '!HI96</f>
        <v>1256056.8229740383</v>
      </c>
      <c r="HJ100" s="479">
        <f>'Hodnocení '!HJ96</f>
        <v>0</v>
      </c>
      <c r="HK100" s="479">
        <f>'Hodnocení '!HK96</f>
        <v>209300</v>
      </c>
      <c r="HL100" s="479">
        <f>'Hodnocení '!HL96</f>
        <v>22590567.091331739</v>
      </c>
      <c r="HM100" s="479">
        <f>'Hodnocení '!HM96</f>
        <v>14718892.486666208</v>
      </c>
      <c r="HN100" s="479">
        <f>'Hodnocení '!HN96</f>
        <v>1010000</v>
      </c>
      <c r="HO100" s="479">
        <f>'Hodnocení '!HO96</f>
        <v>0</v>
      </c>
      <c r="HP100" s="479">
        <f>'Hodnocení '!HP96</f>
        <v>4873176.3931448609</v>
      </c>
      <c r="HQ100" s="479">
        <f>'Hodnocení '!HQ96</f>
        <v>6343.6651332845213</v>
      </c>
      <c r="HR100" s="479">
        <f>'Hodnocení '!HR96</f>
        <v>3820828.3713271841</v>
      </c>
      <c r="HS100" s="479">
        <f>'Hodnocení '!HS96</f>
        <v>0</v>
      </c>
      <c r="HT100" s="479">
        <f>'Hodnocení '!HT96</f>
        <v>10409376.101230877</v>
      </c>
      <c r="HU100" s="479">
        <f>'Hodnocení '!HU96</f>
        <v>4716731.1346240826</v>
      </c>
      <c r="HV100" s="479">
        <f>'Hodnocení '!HV96</f>
        <v>3167156.5650398545</v>
      </c>
      <c r="HW100" s="479">
        <f>'Hodnocení '!HW96</f>
        <v>1051593.5192039483</v>
      </c>
      <c r="HX100" s="479">
        <f>'Hodnocení '!HX96</f>
        <v>7720312.0622955766</v>
      </c>
      <c r="HY100" s="479">
        <f>'Hodnocení '!HY96</f>
        <v>5250701.0664582644</v>
      </c>
      <c r="HZ100" s="479">
        <f>'Hodnocení '!HZ96</f>
        <v>4004727.2444382086</v>
      </c>
      <c r="IA100" s="479">
        <f>'Hodnocení '!IA96</f>
        <v>2048447.8427435476</v>
      </c>
      <c r="IB100" s="479">
        <f>'Hodnocení '!IB96</f>
        <v>4209328.5994076347</v>
      </c>
      <c r="IC100" s="479">
        <f>'Hodnocení '!IC96</f>
        <v>2566515.4880297687</v>
      </c>
      <c r="ID100" s="479">
        <f>'Hodnocení '!ID96</f>
        <v>1767952.7585491734</v>
      </c>
      <c r="IE100" s="479">
        <f>'Hodnocení '!IE96</f>
        <v>2271117.4984155223</v>
      </c>
      <c r="IF100" s="479">
        <f>'Hodnocení '!IF96</f>
        <v>17268417.06460771</v>
      </c>
      <c r="IG100" s="479">
        <f>'Hodnocení '!IG96</f>
        <v>5501469.3236043369</v>
      </c>
      <c r="IH100" s="479">
        <f>'Hodnocení '!IH96</f>
        <v>1191370.0128992093</v>
      </c>
      <c r="II100" s="479">
        <f>'Hodnocení '!II96</f>
        <v>10662506.970809121</v>
      </c>
      <c r="IJ100" s="479">
        <f>'Hodnocení '!IJ96</f>
        <v>174967.74664741778</v>
      </c>
      <c r="IK100" s="479">
        <f>'Hodnocení '!IK96</f>
        <v>609567</v>
      </c>
      <c r="IL100" s="479">
        <f>'Hodnocení '!IL96</f>
        <v>3262312.568360595</v>
      </c>
      <c r="IM100" s="479">
        <f>'Hodnocení '!IM96</f>
        <v>396240.97853688634</v>
      </c>
      <c r="IN100" s="479">
        <f>'Hodnocení '!IN96</f>
        <v>4337862.5763042402</v>
      </c>
      <c r="IO100" s="479">
        <f>'Hodnocení '!IO96</f>
        <v>920279.69376959279</v>
      </c>
      <c r="IP100" s="479">
        <f>'Hodnocení '!IP96</f>
        <v>4602423.9935331289</v>
      </c>
      <c r="IQ100" s="479">
        <f>'Hodnocení '!IQ96</f>
        <v>5986027.5370215252</v>
      </c>
      <c r="IR100" s="479">
        <f>'Hodnocení '!IR96</f>
        <v>160342.41117402294</v>
      </c>
      <c r="IS100" s="479">
        <f>'Hodnocení '!IS96</f>
        <v>12130669.405856729</v>
      </c>
      <c r="IT100" s="479">
        <f>'Hodnocení '!IT96</f>
        <v>2493632.6368855163</v>
      </c>
      <c r="IU100" s="479">
        <f>'Hodnocení '!IU96</f>
        <v>1641578.6559734326</v>
      </c>
      <c r="IV100" s="479">
        <f>'Hodnocení '!IV96</f>
        <v>3311368.1671599876</v>
      </c>
      <c r="IW100" s="479">
        <f>'Hodnocení '!IW96</f>
        <v>8070513.9304688517</v>
      </c>
      <c r="IX100" s="479">
        <f>'Hodnocení '!IX96</f>
        <v>877866.22833295865</v>
      </c>
      <c r="IY100" s="479">
        <f>'Hodnocení '!IY96</f>
        <v>2347037.0571892634</v>
      </c>
      <c r="IZ100" s="479">
        <f>'Hodnocení '!IZ96</f>
        <v>5301763.3077615984</v>
      </c>
      <c r="JA100" s="479">
        <f>'Hodnocení '!JA96</f>
        <v>746084.88052702183</v>
      </c>
      <c r="JB100" s="479">
        <f>'Hodnocení '!JB96</f>
        <v>0</v>
      </c>
      <c r="JC100" s="479">
        <f>'Hodnocení '!JC96</f>
        <v>945579.00259929337</v>
      </c>
      <c r="JD100" s="479">
        <f>'Hodnocení '!JD96</f>
        <v>0</v>
      </c>
      <c r="JE100" s="479">
        <f>'Hodnocení '!JE96</f>
        <v>617605.89899747109</v>
      </c>
      <c r="JF100" s="479">
        <f>'Hodnocení '!JF96</f>
        <v>4613369.0051846877</v>
      </c>
      <c r="JG100" s="479">
        <f>'Hodnocení '!JG96</f>
        <v>7848033.1071791165</v>
      </c>
      <c r="JH100" s="780">
        <f>'Hodnocení '!JH96</f>
        <v>2011802.7164821536</v>
      </c>
      <c r="JI100" s="315">
        <f>'Hodnocení '!JI96</f>
        <v>0</v>
      </c>
      <c r="JL100" s="307">
        <f t="shared" si="54"/>
        <v>1266393.0353645766</v>
      </c>
      <c r="JM100" s="307">
        <f t="shared" si="54"/>
        <v>85425071.962343499</v>
      </c>
      <c r="JN100" s="307">
        <f t="shared" si="54"/>
        <v>69690182.026354373</v>
      </c>
      <c r="JO100" s="307">
        <f t="shared" si="54"/>
        <v>204234459.76590556</v>
      </c>
      <c r="JP100" s="307">
        <f t="shared" si="55"/>
        <v>360616106.78996801</v>
      </c>
    </row>
    <row r="101" spans="1:276" hidden="1" x14ac:dyDescent="0.25">
      <c r="A101" s="353"/>
      <c r="B101" s="733"/>
      <c r="C101" s="360">
        <f>'Hodnocení '!C97</f>
        <v>0</v>
      </c>
      <c r="D101" s="357">
        <f>'Hodnocení '!D97</f>
        <v>0</v>
      </c>
      <c r="E101" s="357">
        <f>'Hodnocení '!E97</f>
        <v>0</v>
      </c>
      <c r="F101" s="357">
        <f>'Hodnocení '!F97</f>
        <v>0</v>
      </c>
      <c r="G101" s="357">
        <f>'Hodnocení '!G97</f>
        <v>0</v>
      </c>
      <c r="H101" s="357">
        <f>'Hodnocení '!H97</f>
        <v>0</v>
      </c>
      <c r="I101" s="357">
        <f>'Hodnocení '!I97</f>
        <v>0</v>
      </c>
      <c r="J101" s="357">
        <f>'Hodnocení '!J97</f>
        <v>0</v>
      </c>
      <c r="K101" s="357">
        <f>'Hodnocení '!K97</f>
        <v>0</v>
      </c>
      <c r="L101" s="357">
        <f>'Hodnocení '!L97</f>
        <v>0</v>
      </c>
      <c r="M101" s="357">
        <f>'Hodnocení '!M97</f>
        <v>0</v>
      </c>
      <c r="N101" s="357">
        <f>'Hodnocení '!N97</f>
        <v>0</v>
      </c>
      <c r="O101" s="357">
        <f>'Hodnocení '!O97</f>
        <v>0</v>
      </c>
      <c r="P101" s="357">
        <f>'Hodnocení '!P97</f>
        <v>0</v>
      </c>
      <c r="Q101" s="357">
        <f>'Hodnocení '!Q97</f>
        <v>0</v>
      </c>
      <c r="R101" s="357">
        <f>'Hodnocení '!R97</f>
        <v>0</v>
      </c>
      <c r="S101" s="357">
        <f>'Hodnocení '!S97</f>
        <v>0</v>
      </c>
      <c r="T101" s="357">
        <f>'Hodnocení '!T97</f>
        <v>0</v>
      </c>
      <c r="U101" s="357">
        <f>'Hodnocení '!U97</f>
        <v>0</v>
      </c>
      <c r="V101" s="357">
        <f>'Hodnocení '!V97</f>
        <v>0</v>
      </c>
      <c r="W101" s="357">
        <f>'Hodnocení '!W97</f>
        <v>0</v>
      </c>
      <c r="X101" s="357">
        <f>'Hodnocení '!X97</f>
        <v>0</v>
      </c>
      <c r="Y101" s="357">
        <f>'Hodnocení '!Y97</f>
        <v>0</v>
      </c>
      <c r="Z101" s="357">
        <f>'Hodnocení '!Z97</f>
        <v>0</v>
      </c>
      <c r="AA101" s="357">
        <f>'Hodnocení '!AA97</f>
        <v>0</v>
      </c>
      <c r="AB101" s="357">
        <f>'Hodnocení '!AB97</f>
        <v>0</v>
      </c>
      <c r="AC101" s="357">
        <f>'Hodnocení '!AC97</f>
        <v>0</v>
      </c>
      <c r="AD101" s="357">
        <f>'Hodnocení '!AD97</f>
        <v>0</v>
      </c>
      <c r="AE101" s="357">
        <f>'Hodnocení '!AE97</f>
        <v>0</v>
      </c>
      <c r="AF101" s="357">
        <f>'Hodnocení '!AF97</f>
        <v>0</v>
      </c>
      <c r="AG101" s="357">
        <f>'Hodnocení '!AG97</f>
        <v>0</v>
      </c>
      <c r="AH101" s="357">
        <f>'Hodnocení '!AH97</f>
        <v>0</v>
      </c>
      <c r="AI101" s="357">
        <f>'Hodnocení '!AI97</f>
        <v>0</v>
      </c>
      <c r="AJ101" s="357">
        <f>'Hodnocení '!AJ97</f>
        <v>0</v>
      </c>
      <c r="AK101" s="357">
        <f>'Hodnocení '!AK97</f>
        <v>0</v>
      </c>
      <c r="AL101" s="357">
        <f>'Hodnocení '!AL97</f>
        <v>0</v>
      </c>
      <c r="AM101" s="357">
        <f>'Hodnocení '!AM97</f>
        <v>0</v>
      </c>
      <c r="AN101" s="357">
        <f>'Hodnocení '!AN97</f>
        <v>0</v>
      </c>
      <c r="AO101" s="357">
        <f>'Hodnocení '!AO97</f>
        <v>0</v>
      </c>
      <c r="AP101" s="357">
        <f>'Hodnocení '!AP97</f>
        <v>0</v>
      </c>
      <c r="AQ101" s="357">
        <f>'Hodnocení '!AQ97</f>
        <v>0</v>
      </c>
      <c r="AR101" s="357">
        <f>'Hodnocení '!AR97</f>
        <v>0</v>
      </c>
      <c r="AS101" s="357">
        <f>'Hodnocení '!AS97</f>
        <v>0</v>
      </c>
      <c r="AT101" s="357">
        <f>'Hodnocení '!AT97</f>
        <v>0</v>
      </c>
      <c r="AU101" s="357">
        <f>'Hodnocení '!AU97</f>
        <v>0</v>
      </c>
      <c r="AV101" s="357">
        <f>'Hodnocení '!AV97</f>
        <v>0</v>
      </c>
      <c r="AW101" s="357">
        <f>'Hodnocení '!AW97</f>
        <v>0</v>
      </c>
      <c r="AX101" s="357">
        <f>'Hodnocení '!AX97</f>
        <v>0</v>
      </c>
      <c r="AY101" s="357">
        <f>'Hodnocení '!AY97</f>
        <v>0</v>
      </c>
      <c r="AZ101" s="357">
        <f>'Hodnocení '!AZ97</f>
        <v>0</v>
      </c>
      <c r="BA101" s="357">
        <f>'Hodnocení '!BA97</f>
        <v>0</v>
      </c>
      <c r="BB101" s="357">
        <f>'Hodnocení '!BB97</f>
        <v>0</v>
      </c>
      <c r="BC101" s="357">
        <f>'Hodnocení '!BC97</f>
        <v>0</v>
      </c>
      <c r="BD101" s="357">
        <f>'Hodnocení '!BD97</f>
        <v>0</v>
      </c>
      <c r="BE101" s="357">
        <f>'Hodnocení '!BE97</f>
        <v>0</v>
      </c>
      <c r="BF101" s="357">
        <f>'Hodnocení '!BF97</f>
        <v>0</v>
      </c>
      <c r="BG101" s="357">
        <f>'Hodnocení '!BG97</f>
        <v>0</v>
      </c>
      <c r="BH101" s="357">
        <f>'Hodnocení '!BH97</f>
        <v>0</v>
      </c>
      <c r="BI101" s="357">
        <f>'Hodnocení '!BI97</f>
        <v>0</v>
      </c>
      <c r="BJ101" s="357">
        <f>'Hodnocení '!BJ97</f>
        <v>0</v>
      </c>
      <c r="BK101" s="357">
        <f>'Hodnocení '!BK97</f>
        <v>0</v>
      </c>
      <c r="BL101" s="357">
        <f>'Hodnocení '!BL97</f>
        <v>0</v>
      </c>
      <c r="BM101" s="357">
        <f>'Hodnocení '!BM97</f>
        <v>0</v>
      </c>
      <c r="BN101" s="357">
        <f>'Hodnocení '!BN97</f>
        <v>0</v>
      </c>
      <c r="BO101" s="357">
        <f>'Hodnocení '!BO97</f>
        <v>0</v>
      </c>
      <c r="BP101" s="357">
        <f>'Hodnocení '!BP97</f>
        <v>0</v>
      </c>
      <c r="BQ101" s="357">
        <f>'Hodnocení '!BQ97</f>
        <v>0</v>
      </c>
      <c r="BR101" s="357">
        <f>'Hodnocení '!BR97</f>
        <v>0</v>
      </c>
      <c r="BS101" s="357">
        <f>'Hodnocení '!BS97</f>
        <v>0</v>
      </c>
      <c r="BT101" s="357">
        <f>'Hodnocení '!BT97</f>
        <v>0</v>
      </c>
      <c r="BU101" s="357">
        <f>'Hodnocení '!BU97</f>
        <v>0</v>
      </c>
      <c r="BV101" s="357">
        <f>'Hodnocení '!BV97</f>
        <v>0</v>
      </c>
      <c r="BW101" s="357">
        <f>'Hodnocení '!BW97</f>
        <v>0</v>
      </c>
      <c r="BX101" s="357">
        <f>'Hodnocení '!BX97</f>
        <v>0</v>
      </c>
      <c r="BY101" s="357">
        <f>'Hodnocení '!BY97</f>
        <v>0</v>
      </c>
      <c r="BZ101" s="357">
        <f>'Hodnocení '!BZ97</f>
        <v>0</v>
      </c>
      <c r="CA101" s="357">
        <f>'Hodnocení '!CA97</f>
        <v>0</v>
      </c>
      <c r="CB101" s="357">
        <f>'Hodnocení '!CB97</f>
        <v>0</v>
      </c>
      <c r="CC101" s="357">
        <f>'Hodnocení '!CC97</f>
        <v>0</v>
      </c>
      <c r="CD101" s="357">
        <f>'Hodnocení '!CD97</f>
        <v>0</v>
      </c>
      <c r="CE101" s="357">
        <f>'Hodnocení '!CE97</f>
        <v>0</v>
      </c>
      <c r="CF101" s="357">
        <f>'Hodnocení '!CF97</f>
        <v>0</v>
      </c>
      <c r="CG101" s="357">
        <f>'Hodnocení '!CG97</f>
        <v>0</v>
      </c>
      <c r="CH101" s="357">
        <f>'Hodnocení '!CH97</f>
        <v>0</v>
      </c>
      <c r="CI101" s="357">
        <f>'Hodnocení '!CI97</f>
        <v>0</v>
      </c>
      <c r="CJ101" s="357">
        <f>'Hodnocení '!CJ97</f>
        <v>0</v>
      </c>
      <c r="CK101" s="357">
        <f>'Hodnocení '!CK97</f>
        <v>0</v>
      </c>
      <c r="CL101" s="357">
        <f>'Hodnocení '!CL97</f>
        <v>0</v>
      </c>
      <c r="CM101" s="357">
        <f>'Hodnocení '!CM97</f>
        <v>0</v>
      </c>
      <c r="CN101" s="357">
        <f>'Hodnocení '!CN97</f>
        <v>0</v>
      </c>
      <c r="CO101" s="357">
        <f>'Hodnocení '!CO97</f>
        <v>0</v>
      </c>
      <c r="CP101" s="357">
        <f>'Hodnocení '!CP97</f>
        <v>0</v>
      </c>
      <c r="CQ101" s="357">
        <f>'Hodnocení '!CQ97</f>
        <v>0</v>
      </c>
      <c r="CR101" s="357">
        <f>'Hodnocení '!CR97</f>
        <v>0</v>
      </c>
      <c r="CS101" s="357">
        <f>'Hodnocení '!CS97</f>
        <v>0</v>
      </c>
      <c r="CT101" s="357">
        <f>'Hodnocení '!CT97</f>
        <v>0</v>
      </c>
      <c r="CU101" s="357">
        <f>'Hodnocení '!CU97</f>
        <v>0</v>
      </c>
      <c r="CV101" s="357">
        <f>'Hodnocení '!CV97</f>
        <v>0</v>
      </c>
      <c r="CW101" s="357">
        <f>'Hodnocení '!CW97</f>
        <v>0</v>
      </c>
      <c r="CX101" s="357">
        <f>'Hodnocení '!CX97</f>
        <v>0</v>
      </c>
      <c r="CY101" s="357">
        <f>'Hodnocení '!CY97</f>
        <v>0</v>
      </c>
      <c r="CZ101" s="357">
        <f>'Hodnocení '!CZ97</f>
        <v>0</v>
      </c>
      <c r="DA101" s="357">
        <f>'Hodnocení '!DA97</f>
        <v>0</v>
      </c>
      <c r="DB101" s="357">
        <f>'Hodnocení '!DB97</f>
        <v>0</v>
      </c>
      <c r="DC101" s="357">
        <f>'Hodnocení '!DC97</f>
        <v>0</v>
      </c>
      <c r="DD101" s="357">
        <f>'Hodnocení '!DD97</f>
        <v>0</v>
      </c>
      <c r="DE101" s="357">
        <f>'Hodnocení '!DE97</f>
        <v>0</v>
      </c>
      <c r="DF101" s="357">
        <f>'Hodnocení '!DF97</f>
        <v>0</v>
      </c>
      <c r="DG101" s="357">
        <f>'Hodnocení '!DG97</f>
        <v>0</v>
      </c>
      <c r="DH101" s="357">
        <f>'Hodnocení '!DH97</f>
        <v>0</v>
      </c>
      <c r="DI101" s="357">
        <f>'Hodnocení '!DI97</f>
        <v>0</v>
      </c>
      <c r="DJ101" s="357">
        <f>'Hodnocení '!DJ97</f>
        <v>0</v>
      </c>
      <c r="DK101" s="357">
        <f>'Hodnocení '!DK97</f>
        <v>0</v>
      </c>
      <c r="DL101" s="357">
        <f>'Hodnocení '!DL97</f>
        <v>0</v>
      </c>
      <c r="DM101" s="357">
        <f>'Hodnocení '!DM97</f>
        <v>0</v>
      </c>
      <c r="DN101" s="357">
        <f>'Hodnocení '!DN97</f>
        <v>0</v>
      </c>
      <c r="DO101" s="357">
        <f>'Hodnocení '!DO97</f>
        <v>0</v>
      </c>
      <c r="DP101" s="357">
        <f>'Hodnocení '!DP97</f>
        <v>0</v>
      </c>
      <c r="DQ101" s="357">
        <f>'Hodnocení '!DQ97</f>
        <v>0</v>
      </c>
      <c r="DR101" s="357">
        <f>'Hodnocení '!DR97</f>
        <v>0</v>
      </c>
      <c r="DS101" s="357">
        <f>'Hodnocení '!DS97</f>
        <v>0</v>
      </c>
      <c r="DT101" s="357">
        <f>'Hodnocení '!DT97</f>
        <v>0</v>
      </c>
      <c r="DU101" s="357">
        <f>'Hodnocení '!DU97</f>
        <v>0</v>
      </c>
      <c r="DV101" s="357">
        <f>'Hodnocení '!DV97</f>
        <v>0</v>
      </c>
      <c r="DW101" s="357">
        <f>'Hodnocení '!DW97</f>
        <v>0</v>
      </c>
      <c r="DX101" s="357">
        <f>'Hodnocení '!DX97</f>
        <v>0</v>
      </c>
      <c r="DY101" s="357">
        <f>'Hodnocení '!DY97</f>
        <v>0</v>
      </c>
      <c r="DZ101" s="357">
        <f>'Hodnocení '!DZ97</f>
        <v>0</v>
      </c>
      <c r="EA101" s="357">
        <f>'Hodnocení '!EA97</f>
        <v>0</v>
      </c>
      <c r="EB101" s="357">
        <f>'Hodnocení '!EB97</f>
        <v>0</v>
      </c>
      <c r="EC101" s="357">
        <f>'Hodnocení '!EC97</f>
        <v>0</v>
      </c>
      <c r="ED101" s="357">
        <f>'Hodnocení '!ED97</f>
        <v>0</v>
      </c>
      <c r="EE101" s="357">
        <f>'Hodnocení '!EE97</f>
        <v>0</v>
      </c>
      <c r="EF101" s="357">
        <f>'Hodnocení '!EF97</f>
        <v>0</v>
      </c>
      <c r="EG101" s="357">
        <f>'Hodnocení '!EG97</f>
        <v>0</v>
      </c>
      <c r="EH101" s="357">
        <f>'Hodnocení '!EH97</f>
        <v>0</v>
      </c>
      <c r="EI101" s="357">
        <f>'Hodnocení '!EI97</f>
        <v>0</v>
      </c>
      <c r="EJ101" s="357">
        <f>'Hodnocení '!EJ97</f>
        <v>0</v>
      </c>
      <c r="EK101" s="357">
        <f>'Hodnocení '!EK97</f>
        <v>0</v>
      </c>
      <c r="EL101" s="357">
        <f>'Hodnocení '!EL97</f>
        <v>0</v>
      </c>
      <c r="EM101" s="357">
        <f>'Hodnocení '!EM97</f>
        <v>0</v>
      </c>
      <c r="EN101" s="357">
        <f>'Hodnocení '!EN97</f>
        <v>0</v>
      </c>
      <c r="EO101" s="357">
        <f>'Hodnocení '!EO97</f>
        <v>0</v>
      </c>
      <c r="EP101" s="357">
        <f>'Hodnocení '!EP97</f>
        <v>0</v>
      </c>
      <c r="EQ101" s="357">
        <f>'Hodnocení '!EQ97</f>
        <v>0</v>
      </c>
      <c r="ER101" s="357">
        <f>'Hodnocení '!ER97</f>
        <v>0</v>
      </c>
      <c r="ES101" s="357">
        <f>'Hodnocení '!ES97</f>
        <v>0</v>
      </c>
      <c r="ET101" s="357">
        <f>'Hodnocení '!ET97</f>
        <v>0</v>
      </c>
      <c r="EU101" s="357">
        <f>'Hodnocení '!EU97</f>
        <v>0</v>
      </c>
      <c r="EV101" s="357">
        <f>'Hodnocení '!EV97</f>
        <v>0</v>
      </c>
      <c r="EW101" s="357">
        <f>'Hodnocení '!EW97</f>
        <v>0</v>
      </c>
      <c r="EX101" s="357">
        <f>'Hodnocení '!EX97</f>
        <v>0</v>
      </c>
      <c r="EY101" s="357">
        <f>'Hodnocení '!EY97</f>
        <v>0</v>
      </c>
      <c r="EZ101" s="357">
        <f>'Hodnocení '!EZ97</f>
        <v>0</v>
      </c>
      <c r="FA101" s="357">
        <f>'Hodnocení '!FA97</f>
        <v>0</v>
      </c>
      <c r="FB101" s="357">
        <f>'Hodnocení '!FB97</f>
        <v>0</v>
      </c>
      <c r="FC101" s="357">
        <f>'Hodnocení '!FC97</f>
        <v>0</v>
      </c>
      <c r="FD101" s="357">
        <f>'Hodnocení '!FD97</f>
        <v>0</v>
      </c>
      <c r="FE101" s="357">
        <f>'Hodnocení '!FE97</f>
        <v>0</v>
      </c>
      <c r="FF101" s="357">
        <f>'Hodnocení '!FF97</f>
        <v>0</v>
      </c>
      <c r="FG101" s="357">
        <f>'Hodnocení '!FG97</f>
        <v>0</v>
      </c>
      <c r="FH101" s="357">
        <f>'Hodnocení '!FH97</f>
        <v>0</v>
      </c>
      <c r="FI101" s="357">
        <f>'Hodnocení '!FI97</f>
        <v>0</v>
      </c>
      <c r="FJ101" s="357">
        <f>'Hodnocení '!FJ97</f>
        <v>0</v>
      </c>
      <c r="FK101" s="357">
        <f>'Hodnocení '!FK97</f>
        <v>0</v>
      </c>
      <c r="FL101" s="357">
        <f>'Hodnocení '!FL97</f>
        <v>0</v>
      </c>
      <c r="FM101" s="357">
        <f>'Hodnocení '!FM97</f>
        <v>0</v>
      </c>
      <c r="FN101" s="357">
        <f>'Hodnocení '!FN97</f>
        <v>0</v>
      </c>
      <c r="FO101" s="357">
        <f>'Hodnocení '!FO97</f>
        <v>0</v>
      </c>
      <c r="FP101" s="357">
        <f>'Hodnocení '!FP97</f>
        <v>0</v>
      </c>
      <c r="FQ101" s="357">
        <f>'Hodnocení '!FQ97</f>
        <v>0</v>
      </c>
      <c r="FR101" s="357">
        <f>'Hodnocení '!FR97</f>
        <v>0</v>
      </c>
      <c r="FS101" s="357">
        <f>'Hodnocení '!FS97</f>
        <v>0</v>
      </c>
      <c r="FT101" s="357">
        <f>'Hodnocení '!FT97</f>
        <v>0</v>
      </c>
      <c r="FU101" s="357">
        <f>'Hodnocení '!FU97</f>
        <v>0</v>
      </c>
      <c r="FV101" s="357">
        <f>'Hodnocení '!FV97</f>
        <v>0</v>
      </c>
      <c r="FW101" s="357">
        <f>'Hodnocení '!FW97</f>
        <v>0</v>
      </c>
      <c r="FX101" s="357">
        <f>'Hodnocení '!FX97</f>
        <v>0</v>
      </c>
      <c r="FY101" s="357">
        <f>'Hodnocení '!FY97</f>
        <v>0</v>
      </c>
      <c r="FZ101" s="357">
        <f>'Hodnocení '!FZ97</f>
        <v>0</v>
      </c>
      <c r="GA101" s="357">
        <f>'Hodnocení '!GA97</f>
        <v>0</v>
      </c>
      <c r="GB101" s="357">
        <f>'Hodnocení '!GB97</f>
        <v>0</v>
      </c>
      <c r="GC101" s="357">
        <f>'Hodnocení '!GC97</f>
        <v>0</v>
      </c>
      <c r="GD101" s="357">
        <f>'Hodnocení '!GD97</f>
        <v>0</v>
      </c>
      <c r="GE101" s="357">
        <f>'Hodnocení '!GE97</f>
        <v>0</v>
      </c>
      <c r="GF101" s="357">
        <f>'Hodnocení '!GF97</f>
        <v>0</v>
      </c>
      <c r="GG101" s="357">
        <f>'Hodnocení '!GG97</f>
        <v>0</v>
      </c>
      <c r="GH101" s="357">
        <f>'Hodnocení '!GH97</f>
        <v>0</v>
      </c>
      <c r="GI101" s="357">
        <f>'Hodnocení '!GI97</f>
        <v>0</v>
      </c>
      <c r="GJ101" s="357">
        <f>'Hodnocení '!GJ97</f>
        <v>0</v>
      </c>
      <c r="GK101" s="357">
        <f>'Hodnocení '!GK97</f>
        <v>0</v>
      </c>
      <c r="GL101" s="357">
        <f>'Hodnocení '!GL97</f>
        <v>0</v>
      </c>
      <c r="GM101" s="357">
        <f>'Hodnocení '!GM97</f>
        <v>0</v>
      </c>
      <c r="GN101" s="357">
        <f>'Hodnocení '!GN97</f>
        <v>0</v>
      </c>
      <c r="GO101" s="357">
        <f>'Hodnocení '!GO97</f>
        <v>0</v>
      </c>
      <c r="GP101" s="357">
        <f>'Hodnocení '!GP97</f>
        <v>0</v>
      </c>
      <c r="GQ101" s="357">
        <f>'Hodnocení '!GQ97</f>
        <v>0</v>
      </c>
      <c r="GR101" s="357">
        <f>'Hodnocení '!GR97</f>
        <v>0</v>
      </c>
      <c r="GS101" s="357">
        <f>'Hodnocení '!GS97</f>
        <v>0</v>
      </c>
      <c r="GT101" s="357">
        <f>'Hodnocení '!GT97</f>
        <v>0</v>
      </c>
      <c r="GU101" s="357">
        <f>'Hodnocení '!GU97</f>
        <v>0</v>
      </c>
      <c r="GV101" s="357">
        <f>'Hodnocení '!GV97</f>
        <v>0</v>
      </c>
      <c r="GW101" s="357">
        <f>'Hodnocení '!GW97</f>
        <v>0</v>
      </c>
      <c r="GX101" s="357">
        <f>'Hodnocení '!GX97</f>
        <v>0</v>
      </c>
      <c r="GY101" s="357">
        <f>'Hodnocení '!GY97</f>
        <v>0</v>
      </c>
      <c r="GZ101" s="357">
        <f>'Hodnocení '!GZ97</f>
        <v>0</v>
      </c>
      <c r="HA101" s="357">
        <f>'Hodnocení '!HA97</f>
        <v>0</v>
      </c>
      <c r="HB101" s="357">
        <f>'Hodnocení '!HB97</f>
        <v>0</v>
      </c>
      <c r="HC101" s="357">
        <f>'Hodnocení '!HC97</f>
        <v>0</v>
      </c>
      <c r="HD101" s="357">
        <f>'Hodnocení '!HD97</f>
        <v>0</v>
      </c>
      <c r="HE101" s="357">
        <f>'Hodnocení '!HE97</f>
        <v>0</v>
      </c>
      <c r="HF101" s="357">
        <f>'Hodnocení '!HF97</f>
        <v>0</v>
      </c>
      <c r="HG101" s="357">
        <f>'Hodnocení '!HG97</f>
        <v>0</v>
      </c>
      <c r="HH101" s="357">
        <f>'Hodnocení '!HH97</f>
        <v>0</v>
      </c>
      <c r="HI101" s="357">
        <f>'Hodnocení '!HI97</f>
        <v>0</v>
      </c>
      <c r="HJ101" s="357">
        <f>'Hodnocení '!HJ97</f>
        <v>0</v>
      </c>
      <c r="HK101" s="357">
        <f>'Hodnocení '!HK97</f>
        <v>0</v>
      </c>
      <c r="HL101" s="357">
        <f>'Hodnocení '!HL97</f>
        <v>0</v>
      </c>
      <c r="HM101" s="357">
        <f>'Hodnocení '!HM97</f>
        <v>0</v>
      </c>
      <c r="HN101" s="357">
        <f>'Hodnocení '!HN97</f>
        <v>0</v>
      </c>
      <c r="HO101" s="357">
        <f>'Hodnocení '!HO97</f>
        <v>0</v>
      </c>
      <c r="HP101" s="357">
        <f>'Hodnocení '!HP97</f>
        <v>0</v>
      </c>
      <c r="HQ101" s="357">
        <f>'Hodnocení '!HQ97</f>
        <v>0</v>
      </c>
      <c r="HR101" s="357">
        <f>'Hodnocení '!HR97</f>
        <v>0</v>
      </c>
      <c r="HS101" s="357">
        <f>'Hodnocení '!HS97</f>
        <v>0</v>
      </c>
      <c r="HT101" s="357">
        <f>'Hodnocení '!HT97</f>
        <v>0</v>
      </c>
      <c r="HU101" s="357">
        <f>'Hodnocení '!HU97</f>
        <v>0</v>
      </c>
      <c r="HV101" s="357">
        <f>'Hodnocení '!HV97</f>
        <v>0</v>
      </c>
      <c r="HW101" s="357">
        <f>'Hodnocení '!HW97</f>
        <v>0</v>
      </c>
      <c r="HX101" s="357">
        <f>'Hodnocení '!HX97</f>
        <v>0</v>
      </c>
      <c r="HY101" s="357">
        <f>'Hodnocení '!HY97</f>
        <v>0</v>
      </c>
      <c r="HZ101" s="357">
        <f>'Hodnocení '!HZ97</f>
        <v>0</v>
      </c>
      <c r="IA101" s="357">
        <f>'Hodnocení '!IA97</f>
        <v>0</v>
      </c>
      <c r="IB101" s="357">
        <f>'Hodnocení '!IB97</f>
        <v>0</v>
      </c>
      <c r="IC101" s="357">
        <f>'Hodnocení '!IC97</f>
        <v>0</v>
      </c>
      <c r="ID101" s="357">
        <f>'Hodnocení '!ID97</f>
        <v>0</v>
      </c>
      <c r="IE101" s="357">
        <f>'Hodnocení '!IE97</f>
        <v>0</v>
      </c>
      <c r="IF101" s="357">
        <f>'Hodnocení '!IF97</f>
        <v>0</v>
      </c>
      <c r="IG101" s="357">
        <f>'Hodnocení '!IG97</f>
        <v>0</v>
      </c>
      <c r="IH101" s="357">
        <f>'Hodnocení '!IH97</f>
        <v>0</v>
      </c>
      <c r="II101" s="357">
        <f>'Hodnocení '!II97</f>
        <v>0</v>
      </c>
      <c r="IJ101" s="357">
        <f>'Hodnocení '!IJ97</f>
        <v>0</v>
      </c>
      <c r="IK101" s="357">
        <f>'Hodnocení '!IK97</f>
        <v>0</v>
      </c>
      <c r="IL101" s="357">
        <f>'Hodnocení '!IL97</f>
        <v>0</v>
      </c>
      <c r="IM101" s="357">
        <f>'Hodnocení '!IM97</f>
        <v>0</v>
      </c>
      <c r="IN101" s="357">
        <f>'Hodnocení '!IN97</f>
        <v>0</v>
      </c>
      <c r="IO101" s="357">
        <f>'Hodnocení '!IO97</f>
        <v>0</v>
      </c>
      <c r="IP101" s="357">
        <f>'Hodnocení '!IP97</f>
        <v>0</v>
      </c>
      <c r="IQ101" s="357">
        <f>'Hodnocení '!IQ97</f>
        <v>0</v>
      </c>
      <c r="IR101" s="357">
        <f>'Hodnocení '!IR97</f>
        <v>0</v>
      </c>
      <c r="IS101" s="357">
        <f>'Hodnocení '!IS97</f>
        <v>0</v>
      </c>
      <c r="IT101" s="357">
        <f>'Hodnocení '!IT97</f>
        <v>0</v>
      </c>
      <c r="IU101" s="357">
        <f>'Hodnocení '!IU97</f>
        <v>0</v>
      </c>
      <c r="IV101" s="357">
        <f>'Hodnocení '!IV97</f>
        <v>0</v>
      </c>
      <c r="IW101" s="357">
        <f>'Hodnocení '!IW97</f>
        <v>0</v>
      </c>
      <c r="IX101" s="357">
        <f>'Hodnocení '!IX97</f>
        <v>0</v>
      </c>
      <c r="IY101" s="357">
        <f>'Hodnocení '!IY97</f>
        <v>0</v>
      </c>
      <c r="IZ101" s="357">
        <f>'Hodnocení '!IZ97</f>
        <v>0</v>
      </c>
      <c r="JA101" s="357">
        <f>'Hodnocení '!JA97</f>
        <v>0</v>
      </c>
      <c r="JB101" s="357">
        <f>'Hodnocení '!JB97</f>
        <v>0</v>
      </c>
      <c r="JC101" s="357">
        <f>'Hodnocení '!JC97</f>
        <v>0</v>
      </c>
      <c r="JD101" s="357">
        <f>'Hodnocení '!JD97</f>
        <v>0</v>
      </c>
      <c r="JE101" s="357">
        <f>'Hodnocení '!JE97</f>
        <v>0</v>
      </c>
      <c r="JF101" s="357">
        <f>'Hodnocení '!JF97</f>
        <v>0</v>
      </c>
      <c r="JG101" s="357">
        <f>'Hodnocení '!JG97</f>
        <v>0</v>
      </c>
      <c r="JH101" s="772">
        <f>'Hodnocení '!JH97</f>
        <v>0</v>
      </c>
      <c r="JI101" s="315">
        <f>'Hodnocení '!JI97</f>
        <v>0</v>
      </c>
    </row>
    <row r="102" spans="1:276" s="583" customFormat="1" ht="12.75" hidden="1" x14ac:dyDescent="0.2">
      <c r="A102" s="594"/>
      <c r="B102" s="748" t="s">
        <v>2596</v>
      </c>
      <c r="C102" s="803">
        <f>'Hodnocení '!C98</f>
        <v>0.9842891158700009</v>
      </c>
      <c r="D102" s="704">
        <f>'Hodnocení '!D98</f>
        <v>0.8271303227547554</v>
      </c>
      <c r="E102" s="704">
        <f>'Hodnocení '!E98</f>
        <v>1.0464494320502042</v>
      </c>
      <c r="F102" s="704">
        <f>'Hodnocení '!F98</f>
        <v>1.1608366007046129</v>
      </c>
      <c r="G102" s="704">
        <f>'Hodnocení '!G98</f>
        <v>0.9143517921269505</v>
      </c>
      <c r="H102" s="704">
        <f>'Hodnocení '!H98</f>
        <v>0.91477334095673535</v>
      </c>
      <c r="I102" s="704">
        <f>'Hodnocení '!I98</f>
        <v>0.90257351921952622</v>
      </c>
      <c r="J102" s="704">
        <f>'Hodnocení '!J98</f>
        <v>0.97713586019927101</v>
      </c>
      <c r="K102" s="704">
        <f>'Hodnocení '!K98</f>
        <v>1.0107284978122657</v>
      </c>
      <c r="L102" s="704">
        <f>'Hodnocení '!L98</f>
        <v>1.1663549373756448</v>
      </c>
      <c r="M102" s="704">
        <f>'Hodnocení '!M98</f>
        <v>1.2047360466317358</v>
      </c>
      <c r="N102" s="704">
        <f>'Hodnocení '!N98</f>
        <v>1.2556547221825873</v>
      </c>
      <c r="O102" s="704">
        <f>'Hodnocení '!O98</f>
        <v>0.96395933517803167</v>
      </c>
      <c r="P102" s="704">
        <f>'Hodnocení '!P98</f>
        <v>0.89890080941221917</v>
      </c>
      <c r="Q102" s="704">
        <f>'Hodnocení '!Q98</f>
        <v>1.3936754207896984</v>
      </c>
      <c r="R102" s="704">
        <f>'Hodnocení '!R98</f>
        <v>0.85306806777821886</v>
      </c>
      <c r="S102" s="704">
        <f>'Hodnocení '!S98</f>
        <v>1.0155825633801578</v>
      </c>
      <c r="T102" s="704">
        <f>'Hodnocení '!T98</f>
        <v>0.93972117997147264</v>
      </c>
      <c r="U102" s="704">
        <f>'Hodnocení '!U98</f>
        <v>0.97607142618813414</v>
      </c>
      <c r="V102" s="704">
        <f>'Hodnocení '!V98</f>
        <v>0.60811970753811806</v>
      </c>
      <c r="W102" s="704">
        <f>'Hodnocení '!W98</f>
        <v>0.51609502680945829</v>
      </c>
      <c r="X102" s="704">
        <f>'Hodnocení '!X98</f>
        <v>1.363938568425846</v>
      </c>
      <c r="Y102" s="704">
        <f>'Hodnocení '!Y98</f>
        <v>0.85551583199530612</v>
      </c>
      <c r="Z102" s="704">
        <f>'Hodnocení '!Z98</f>
        <v>0.7473424682683566</v>
      </c>
      <c r="AA102" s="704">
        <f>'Hodnocení '!AA98</f>
        <v>1.0713902742244779</v>
      </c>
      <c r="AB102" s="704">
        <f>'Hodnocení '!AB98</f>
        <v>1.4682179726427802</v>
      </c>
      <c r="AC102" s="704">
        <f>'Hodnocení '!AC98</f>
        <v>1.5880021116358309</v>
      </c>
      <c r="AD102" s="704">
        <f>'Hodnocení '!AD98</f>
        <v>1.0696965346752028</v>
      </c>
      <c r="AE102" s="704">
        <f>'Hodnocení '!AE98</f>
        <v>0.65914581439766096</v>
      </c>
      <c r="AF102" s="704">
        <f>'Hodnocení '!AF98</f>
        <v>0.40312738333671694</v>
      </c>
      <c r="AG102" s="704">
        <f>'Hodnocení '!AG98</f>
        <v>1.0243242751132124</v>
      </c>
      <c r="AH102" s="704">
        <f>'Hodnocení '!AH98</f>
        <v>0.57233186876240549</v>
      </c>
      <c r="AI102" s="704">
        <f>'Hodnocení '!AI98</f>
        <v>0.61562181340878119</v>
      </c>
      <c r="AJ102" s="704">
        <f>'Hodnocení '!AJ98</f>
        <v>0.59920569619470254</v>
      </c>
      <c r="AK102" s="704">
        <f>'Hodnocení '!AK98</f>
        <v>0.80226980803404346</v>
      </c>
      <c r="AL102" s="704">
        <f>'Hodnocení '!AL98</f>
        <v>1.2193373947718344</v>
      </c>
      <c r="AM102" s="704">
        <f>'Hodnocení '!AM98</f>
        <v>1.0478692528953009</v>
      </c>
      <c r="AN102" s="704">
        <f>'Hodnocení '!AN98</f>
        <v>1.1825384134054904</v>
      </c>
      <c r="AO102" s="704">
        <f>'Hodnocení '!AO98</f>
        <v>0.87107549522694505</v>
      </c>
      <c r="AP102" s="704">
        <f>'Hodnocení '!AP98</f>
        <v>0.93074946699599792</v>
      </c>
      <c r="AQ102" s="704">
        <f>'Hodnocení '!AQ98</f>
        <v>1.6525898974426687</v>
      </c>
      <c r="AR102" s="704">
        <f>'Hodnocení '!AR98</f>
        <v>1.154232509496957</v>
      </c>
      <c r="AS102" s="704">
        <f>'Hodnocení '!AS98</f>
        <v>1.4365078782658469</v>
      </c>
      <c r="AT102" s="704">
        <f>'Hodnocení '!AT98</f>
        <v>1.3749665661618473</v>
      </c>
      <c r="AU102" s="704">
        <f>'Hodnocení '!AU98</f>
        <v>1.3464383198596168</v>
      </c>
      <c r="AV102" s="704">
        <f>'Hodnocení '!AV98</f>
        <v>1.0540035107349757</v>
      </c>
      <c r="AW102" s="704">
        <f>'Hodnocení '!AW98</f>
        <v>0.89367724994192455</v>
      </c>
      <c r="AX102" s="704">
        <f>'Hodnocení '!AX98</f>
        <v>1.1748153602921463</v>
      </c>
      <c r="AY102" s="704">
        <f>'Hodnocení '!AY98</f>
        <v>1.0871737856049635</v>
      </c>
      <c r="AZ102" s="704">
        <f>'Hodnocení '!AZ98</f>
        <v>0.7658075724373673</v>
      </c>
      <c r="BA102" s="704">
        <f>'Hodnocení '!BA98</f>
        <v>0.81766156625327191</v>
      </c>
      <c r="BB102" s="704">
        <f>'Hodnocení '!BB98</f>
        <v>0.93031121369940106</v>
      </c>
      <c r="BC102" s="704">
        <f>'Hodnocení '!BC98</f>
        <v>1.2263892746794547</v>
      </c>
      <c r="BD102" s="704">
        <f>'Hodnocení '!BD98</f>
        <v>1.0931801987216596</v>
      </c>
      <c r="BE102" s="704">
        <f>'Hodnocení '!BE98</f>
        <v>0.98894319382294138</v>
      </c>
      <c r="BF102" s="704">
        <f>'Hodnocení '!BF98</f>
        <v>0.66330169248108695</v>
      </c>
      <c r="BG102" s="704">
        <f>'Hodnocení '!BG98</f>
        <v>0.62083037721845613</v>
      </c>
      <c r="BH102" s="704">
        <f>'Hodnocení '!BH98</f>
        <v>0.84700329512239991</v>
      </c>
      <c r="BI102" s="704">
        <f>'Hodnocení '!BI98</f>
        <v>0.40800995991834227</v>
      </c>
      <c r="BJ102" s="704">
        <f>'Hodnocení '!BJ98</f>
        <v>1.2477802142865722</v>
      </c>
      <c r="BK102" s="704">
        <f>'Hodnocení '!BK98</f>
        <v>7.6608815076531209E-2</v>
      </c>
      <c r="BL102" s="704">
        <f>'Hodnocení '!BL98</f>
        <v>2.065305418734571</v>
      </c>
      <c r="BM102" s="704">
        <f>'Hodnocení '!BM98</f>
        <v>0.61369538208833141</v>
      </c>
      <c r="BN102" s="704">
        <f>'Hodnocení '!BN98</f>
        <v>0.97735606876011116</v>
      </c>
      <c r="BO102" s="704">
        <f>'Hodnocení '!BO98</f>
        <v>0.96078494079052956</v>
      </c>
      <c r="BP102" s="704">
        <f>'Hodnocení '!BP98</f>
        <v>0.84431869475976695</v>
      </c>
      <c r="BQ102" s="704">
        <f>'Hodnocení '!BQ98</f>
        <v>0.13141442830047698</v>
      </c>
      <c r="BR102" s="704">
        <f>'Hodnocení '!BR98</f>
        <v>1.0102486357379614</v>
      </c>
      <c r="BS102" s="704">
        <f>'Hodnocení '!BS98</f>
        <v>1.0531302084301917</v>
      </c>
      <c r="BT102" s="704">
        <f>'Hodnocení '!BT98</f>
        <v>0.85862153681974163</v>
      </c>
      <c r="BU102" s="704">
        <f>'Hodnocení '!BU98</f>
        <v>1.249247400519391</v>
      </c>
      <c r="BV102" s="704">
        <f>'Hodnocení '!BV98</f>
        <v>1.1473571950480466</v>
      </c>
      <c r="BW102" s="704">
        <f>'Hodnocení '!BW98</f>
        <v>1.9858004877620663</v>
      </c>
      <c r="BX102" s="704">
        <f>'Hodnocení '!BX98</f>
        <v>1.0327455965569006</v>
      </c>
      <c r="BY102" s="704">
        <f>'Hodnocení '!BY98</f>
        <v>0.94164799174908831</v>
      </c>
      <c r="BZ102" s="704">
        <f>'Hodnocení '!BZ98</f>
        <v>1.5982652794661296</v>
      </c>
      <c r="CA102" s="704" t="e">
        <f>'Hodnocení '!CA98</f>
        <v>#DIV/0!</v>
      </c>
      <c r="CB102" s="704">
        <f>'Hodnocení '!CB98</f>
        <v>3.2768081848386252</v>
      </c>
      <c r="CC102" s="704">
        <f>'Hodnocení '!CC98</f>
        <v>1.1379387619050629</v>
      </c>
      <c r="CD102" s="704">
        <f>'Hodnocení '!CD98</f>
        <v>1.3341886666930221</v>
      </c>
      <c r="CE102" s="704">
        <f>'Hodnocení '!CE98</f>
        <v>0.81524649273293737</v>
      </c>
      <c r="CF102" s="704">
        <f>'Hodnocení '!CF98</f>
        <v>0.97931179955080638</v>
      </c>
      <c r="CG102" s="704">
        <f>'Hodnocení '!CG98</f>
        <v>0.13114962606225744</v>
      </c>
      <c r="CH102" s="704">
        <f>'Hodnocení '!CH98</f>
        <v>0.81662737551793063</v>
      </c>
      <c r="CI102" s="704">
        <f>'Hodnocení '!CI98</f>
        <v>0.92928035350191662</v>
      </c>
      <c r="CJ102" s="704">
        <f>'Hodnocení '!CJ98</f>
        <v>0.96727953307762016</v>
      </c>
      <c r="CK102" s="704">
        <f>'Hodnocení '!CK98</f>
        <v>0.85153432822498887</v>
      </c>
      <c r="CL102" s="704">
        <f>'Hodnocení '!CL98</f>
        <v>0.96239823939892344</v>
      </c>
      <c r="CM102" s="704">
        <f>'Hodnocení '!CM98</f>
        <v>1.0938856323286816</v>
      </c>
      <c r="CN102" s="704">
        <f>'Hodnocení '!CN98</f>
        <v>1.1464068113819004</v>
      </c>
      <c r="CO102" s="704">
        <f>'Hodnocení '!CO98</f>
        <v>1.1763765909101855</v>
      </c>
      <c r="CP102" s="704">
        <f>'Hodnocení '!CP98</f>
        <v>1.1247238591829607</v>
      </c>
      <c r="CQ102" s="704">
        <f>'Hodnocení '!CQ98</f>
        <v>1.0344885955085059</v>
      </c>
      <c r="CR102" s="704">
        <f>'Hodnocení '!CR98</f>
        <v>0.94077543511635409</v>
      </c>
      <c r="CS102" s="704">
        <f>'Hodnocení '!CS98</f>
        <v>0.77502344684662916</v>
      </c>
      <c r="CT102" s="704">
        <f>'Hodnocení '!CT98</f>
        <v>1.1830148529852067</v>
      </c>
      <c r="CU102" s="704">
        <f>'Hodnocení '!CU98</f>
        <v>0.90775834680182033</v>
      </c>
      <c r="CV102" s="704">
        <f>'Hodnocení '!CV98</f>
        <v>1.2490973139855994</v>
      </c>
      <c r="CW102" s="704">
        <f>'Hodnocení '!CW98</f>
        <v>0.89753694362127279</v>
      </c>
      <c r="CX102" s="704">
        <f>'Hodnocení '!CX98</f>
        <v>0.71199440863088315</v>
      </c>
      <c r="CY102" s="704">
        <f>'Hodnocení '!CY98</f>
        <v>1.0257201597074312</v>
      </c>
      <c r="CZ102" s="704">
        <f>'Hodnocení '!CZ98</f>
        <v>0.22934051886456305</v>
      </c>
      <c r="DA102" s="704">
        <f>'Hodnocení '!DA98</f>
        <v>0.89173500955234308</v>
      </c>
      <c r="DB102" s="704">
        <f>'Hodnocení '!DB98</f>
        <v>0.89067820043819146</v>
      </c>
      <c r="DC102" s="704">
        <f>'Hodnocení '!DC98</f>
        <v>1.0292620826341019</v>
      </c>
      <c r="DD102" s="704">
        <f>'Hodnocení '!DD98</f>
        <v>0.94739567977976935</v>
      </c>
      <c r="DE102" s="704">
        <f>'Hodnocení '!DE98</f>
        <v>0.35878461727508787</v>
      </c>
      <c r="DF102" s="704">
        <f>'Hodnocení '!DF98</f>
        <v>0.59509216826015598</v>
      </c>
      <c r="DG102" s="704">
        <f>'Hodnocení '!DG98</f>
        <v>2.1838548920760741</v>
      </c>
      <c r="DH102" s="704">
        <f>'Hodnocení '!DH98</f>
        <v>0.95394093117484424</v>
      </c>
      <c r="DI102" s="704">
        <f>'Hodnocení '!DI98</f>
        <v>1.2228969904196303</v>
      </c>
      <c r="DJ102" s="704">
        <f>'Hodnocení '!DJ98</f>
        <v>0.85838785566446008</v>
      </c>
      <c r="DK102" s="704">
        <f>'Hodnocení '!DK98</f>
        <v>0.92595006344996211</v>
      </c>
      <c r="DL102" s="704">
        <f>'Hodnocení '!DL98</f>
        <v>1.6331122070773734</v>
      </c>
      <c r="DM102" s="704">
        <f>'Hodnocení '!DM98</f>
        <v>0.98928129557385958</v>
      </c>
      <c r="DN102" s="704">
        <f>'Hodnocení '!DN98</f>
        <v>0.93537791641534951</v>
      </c>
      <c r="DO102" s="704">
        <f>'Hodnocení '!DO98</f>
        <v>1.1623472467486697</v>
      </c>
      <c r="DP102" s="704">
        <f>'Hodnocení '!DP98</f>
        <v>1.0099396468818187</v>
      </c>
      <c r="DQ102" s="704">
        <f>'Hodnocení '!DQ98</f>
        <v>0.85228933988430611</v>
      </c>
      <c r="DR102" s="704">
        <f>'Hodnocení '!DR98</f>
        <v>0.82025243810048565</v>
      </c>
      <c r="DS102" s="704">
        <f>'Hodnocení '!DS98</f>
        <v>0.50771668939617831</v>
      </c>
      <c r="DT102" s="704">
        <f>'Hodnocení '!DT98</f>
        <v>0.7933446952021278</v>
      </c>
      <c r="DU102" s="704">
        <f>'Hodnocení '!DU98</f>
        <v>0</v>
      </c>
      <c r="DV102" s="704">
        <f>'Hodnocení '!DV98</f>
        <v>0.57333696031696368</v>
      </c>
      <c r="DW102" s="704">
        <f>'Hodnocení '!DW98</f>
        <v>0</v>
      </c>
      <c r="DX102" s="704">
        <f>'Hodnocení '!DX98</f>
        <v>0</v>
      </c>
      <c r="DY102" s="704">
        <f>'Hodnocení '!DY98</f>
        <v>1.2829881320703687</v>
      </c>
      <c r="DZ102" s="704">
        <f>'Hodnocení '!DZ98</f>
        <v>1.1997916546129219</v>
      </c>
      <c r="EA102" s="704">
        <f>'Hodnocení '!EA98</f>
        <v>1.1115776788361305</v>
      </c>
      <c r="EB102" s="704">
        <f>'Hodnocení '!EB98</f>
        <v>1.0350309034229563</v>
      </c>
      <c r="EC102" s="704">
        <f>'Hodnocení '!EC98</f>
        <v>1.3615024931084816</v>
      </c>
      <c r="ED102" s="704">
        <f>'Hodnocení '!ED98</f>
        <v>1.013933405809804</v>
      </c>
      <c r="EE102" s="704">
        <f>'Hodnocení '!EE98</f>
        <v>0.71412722035953458</v>
      </c>
      <c r="EF102" s="704">
        <f>'Hodnocení '!EF98</f>
        <v>0.71731152534212117</v>
      </c>
      <c r="EG102" s="704">
        <f>'Hodnocení '!EG98</f>
        <v>0.95363300259760231</v>
      </c>
      <c r="EH102" s="704">
        <f>'Hodnocení '!EH98</f>
        <v>0.74392500035278852</v>
      </c>
      <c r="EI102" s="704">
        <f>'Hodnocení '!EI98</f>
        <v>0.78146658539726654</v>
      </c>
      <c r="EJ102" s="704">
        <f>'Hodnocení '!EJ98</f>
        <v>1.0511542200147532</v>
      </c>
      <c r="EK102" s="704">
        <f>'Hodnocení '!EK98</f>
        <v>1.4063818395875916</v>
      </c>
      <c r="EL102" s="704">
        <f>'Hodnocení '!EL98</f>
        <v>0.92288674172541751</v>
      </c>
      <c r="EM102" s="704">
        <f>'Hodnocení '!EM98</f>
        <v>1.2522470716595495</v>
      </c>
      <c r="EN102" s="704">
        <f>'Hodnocení '!EN98</f>
        <v>1.0040565889099313</v>
      </c>
      <c r="EO102" s="704">
        <f>'Hodnocení '!EO98</f>
        <v>1.392618321722767</v>
      </c>
      <c r="EP102" s="704">
        <f>'Hodnocení '!EP98</f>
        <v>0.93271294592351395</v>
      </c>
      <c r="EQ102" s="704">
        <f>'Hodnocení '!EQ98</f>
        <v>1.5479119053649739</v>
      </c>
      <c r="ER102" s="704">
        <f>'Hodnocení '!ER98</f>
        <v>0.48658240929378671</v>
      </c>
      <c r="ES102" s="704">
        <f>'Hodnocení '!ES98</f>
        <v>0.7949724080148951</v>
      </c>
      <c r="ET102" s="704">
        <f>'Hodnocení '!ET98</f>
        <v>0.89289053122043227</v>
      </c>
      <c r="EU102" s="704">
        <f>'Hodnocení '!EU98</f>
        <v>0.71692988779597355</v>
      </c>
      <c r="EV102" s="704">
        <f>'Hodnocení '!EV98</f>
        <v>0.87509852003074096</v>
      </c>
      <c r="EW102" s="704">
        <f>'Hodnocení '!EW98</f>
        <v>0.62583911956828853</v>
      </c>
      <c r="EX102" s="704">
        <f>'Hodnocení '!EX98</f>
        <v>0.57136262586157627</v>
      </c>
      <c r="EY102" s="704">
        <f>'Hodnocení '!EY98</f>
        <v>0.77271064307467341</v>
      </c>
      <c r="EZ102" s="704">
        <f>'Hodnocení '!EZ98</f>
        <v>0.22870828591562303</v>
      </c>
      <c r="FA102" s="704">
        <f>'Hodnocení '!FA98</f>
        <v>0.37449508065697185</v>
      </c>
      <c r="FB102" s="704">
        <f>'Hodnocení '!FB98</f>
        <v>0.87961322737955283</v>
      </c>
      <c r="FC102" s="704">
        <f>'Hodnocení '!FC98</f>
        <v>0.61868818784275215</v>
      </c>
      <c r="FD102" s="704">
        <f>'Hodnocení '!FD98</f>
        <v>0.72112960618194988</v>
      </c>
      <c r="FE102" s="704">
        <f>'Hodnocení '!FE98</f>
        <v>0.47944497157823196</v>
      </c>
      <c r="FF102" s="704">
        <f>'Hodnocení '!FF98</f>
        <v>0.48781663662832547</v>
      </c>
      <c r="FG102" s="704">
        <f>'Hodnocení '!FG98</f>
        <v>0.55722945315115813</v>
      </c>
      <c r="FH102" s="704">
        <f>'Hodnocení '!FH98</f>
        <v>0.54859365403390403</v>
      </c>
      <c r="FI102" s="704">
        <f>'Hodnocení '!FI98</f>
        <v>0.64826278750637334</v>
      </c>
      <c r="FJ102" s="704">
        <f>'Hodnocení '!FJ98</f>
        <v>0.55106077239982043</v>
      </c>
      <c r="FK102" s="704">
        <f>'Hodnocení '!FK98</f>
        <v>0.97261095707113243</v>
      </c>
      <c r="FL102" s="704">
        <f>'Hodnocení '!FL98</f>
        <v>0.80175286668546875</v>
      </c>
      <c r="FM102" s="704">
        <f>'Hodnocení '!FM98</f>
        <v>0.78293498801784345</v>
      </c>
      <c r="FN102" s="704">
        <f>'Hodnocení '!FN98</f>
        <v>1.0148907621090457</v>
      </c>
      <c r="FO102" s="704">
        <f>'Hodnocení '!FO98</f>
        <v>0.84846442608578676</v>
      </c>
      <c r="FP102" s="704">
        <f>'Hodnocení '!FP98</f>
        <v>0.86217370775886937</v>
      </c>
      <c r="FQ102" s="704">
        <f>'Hodnocení '!FQ98</f>
        <v>0.88823482057123071</v>
      </c>
      <c r="FR102" s="704">
        <f>'Hodnocení '!FR98</f>
        <v>1.0362613306052584</v>
      </c>
      <c r="FS102" s="704">
        <f>'Hodnocení '!FS98</f>
        <v>0.61659841747383826</v>
      </c>
      <c r="FT102" s="704">
        <f>'Hodnocení '!FT98</f>
        <v>0.81952508971017568</v>
      </c>
      <c r="FU102" s="704">
        <f>'Hodnocení '!FU98</f>
        <v>0.65710713203291415</v>
      </c>
      <c r="FV102" s="704">
        <f>'Hodnocení '!FV98</f>
        <v>0.59259773463675924</v>
      </c>
      <c r="FW102" s="704">
        <f>'Hodnocení '!FW98</f>
        <v>0.72429478786805235</v>
      </c>
      <c r="FX102" s="704">
        <f>'Hodnocení '!FX98</f>
        <v>0.6826397465639561</v>
      </c>
      <c r="FY102" s="704">
        <f>'Hodnocení '!FY98</f>
        <v>0.33789077050355182</v>
      </c>
      <c r="FZ102" s="704">
        <f>'Hodnocení '!FZ98</f>
        <v>0.98013661395483964</v>
      </c>
      <c r="GA102" s="704">
        <f>'Hodnocení '!GA98</f>
        <v>0.985717686893259</v>
      </c>
      <c r="GB102" s="704">
        <f>'Hodnocení '!GB98</f>
        <v>0.67047208442113215</v>
      </c>
      <c r="GC102" s="704">
        <f>'Hodnocení '!GC98</f>
        <v>0.68331535777577734</v>
      </c>
      <c r="GD102" s="704">
        <f>'Hodnocení '!GD98</f>
        <v>0.77035455308029077</v>
      </c>
      <c r="GE102" s="704">
        <f>'Hodnocení '!GE98</f>
        <v>0.75411802340960399</v>
      </c>
      <c r="GF102" s="704">
        <f>'Hodnocení '!GF98</f>
        <v>1.0000003444728893</v>
      </c>
      <c r="GG102" s="704">
        <f>'Hodnocení '!GG98</f>
        <v>0.76676982242222314</v>
      </c>
      <c r="GH102" s="704">
        <f>'Hodnocení '!GH98</f>
        <v>0.70279728274201592</v>
      </c>
      <c r="GI102" s="704">
        <f>'Hodnocení '!GI98</f>
        <v>0.6800368593602909</v>
      </c>
      <c r="GJ102" s="704">
        <f>'Hodnocení '!GJ98</f>
        <v>0.60066609750766775</v>
      </c>
      <c r="GK102" s="704">
        <f>'Hodnocení '!GK98</f>
        <v>0.33175783553419019</v>
      </c>
      <c r="GL102" s="704">
        <f>'Hodnocení '!GL98</f>
        <v>0.57386791287881467</v>
      </c>
      <c r="GM102" s="704">
        <f>'Hodnocení '!GM98</f>
        <v>0.60195811980906488</v>
      </c>
      <c r="GN102" s="704">
        <f>'Hodnocení '!GN98</f>
        <v>0.70795749118501572</v>
      </c>
      <c r="GO102" s="704">
        <f>'Hodnocení '!GO98</f>
        <v>0.50812343968762397</v>
      </c>
      <c r="GP102" s="704">
        <f>'Hodnocení '!GP98</f>
        <v>1.4260305407256191</v>
      </c>
      <c r="GQ102" s="704">
        <f>'Hodnocení '!GQ98</f>
        <v>0.34996299430120592</v>
      </c>
      <c r="GR102" s="704">
        <f>'Hodnocení '!GR98</f>
        <v>0.36502583242170378</v>
      </c>
      <c r="GS102" s="704">
        <f>'Hodnocení '!GS98</f>
        <v>0.18684095226553238</v>
      </c>
      <c r="GT102" s="704">
        <f>'Hodnocení '!GT98</f>
        <v>0.60368015389490104</v>
      </c>
      <c r="GU102" s="704">
        <f>'Hodnocení '!GU98</f>
        <v>0.37335794934214139</v>
      </c>
      <c r="GV102" s="704">
        <f>'Hodnocení '!GV98</f>
        <v>0.60147328337737282</v>
      </c>
      <c r="GW102" s="704">
        <f>'Hodnocení '!GW98</f>
        <v>0.64819051669572736</v>
      </c>
      <c r="GX102" s="704">
        <f>'Hodnocení '!GX98</f>
        <v>0.1771731653435179</v>
      </c>
      <c r="GY102" s="704">
        <f>'Hodnocení '!GY98</f>
        <v>0.4603366531876969</v>
      </c>
      <c r="GZ102" s="704">
        <f>'Hodnocení '!GZ98</f>
        <v>0.52560227552110417</v>
      </c>
      <c r="HA102" s="704">
        <f>'Hodnocení '!HA98</f>
        <v>0.43925800165461726</v>
      </c>
      <c r="HB102" s="704">
        <f>'Hodnocení '!HB98</f>
        <v>0.54519766005220849</v>
      </c>
      <c r="HC102" s="704">
        <f>'Hodnocení '!HC98</f>
        <v>0.76340343279782563</v>
      </c>
      <c r="HD102" s="704">
        <f>'Hodnocení '!HD98</f>
        <v>0.54822531424365406</v>
      </c>
      <c r="HE102" s="704">
        <f>'Hodnocení '!HE98</f>
        <v>0.42571586285984098</v>
      </c>
      <c r="HF102" s="704">
        <f>'Hodnocení '!HF98</f>
        <v>0.31659157110883235</v>
      </c>
      <c r="HG102" s="704">
        <f>'Hodnocení '!HG98</f>
        <v>0.53512101688129887</v>
      </c>
      <c r="HH102" s="704">
        <f>'Hodnocení '!HH98</f>
        <v>1.1251615369013319</v>
      </c>
      <c r="HI102" s="704">
        <f>'Hodnocení '!HI98</f>
        <v>0.50447098825506076</v>
      </c>
      <c r="HJ102" s="704">
        <f>'Hodnocení '!HJ98</f>
        <v>0</v>
      </c>
      <c r="HK102" s="704">
        <f>'Hodnocení '!HK98</f>
        <v>0.16528760911572316</v>
      </c>
      <c r="HL102" s="704">
        <f>'Hodnocení '!HL98</f>
        <v>1.1731315872478263</v>
      </c>
      <c r="HM102" s="704">
        <f>'Hodnocení '!HM98</f>
        <v>1.2732457404008413</v>
      </c>
      <c r="HN102" s="704">
        <f>'Hodnocení '!HN98</f>
        <v>1.3057480701113959</v>
      </c>
      <c r="HO102" s="704">
        <f>'Hodnocení '!HO98</f>
        <v>0</v>
      </c>
      <c r="HP102" s="704">
        <f>'Hodnocení '!HP98</f>
        <v>0.81631149838414052</v>
      </c>
      <c r="HQ102" s="704">
        <f>'Hodnocení '!HQ98</f>
        <v>0.67792674520513496</v>
      </c>
      <c r="HR102" s="704">
        <f>'Hodnocení '!HR98</f>
        <v>0.75106227764821087</v>
      </c>
      <c r="HS102" s="704">
        <f>'Hodnocení '!HS98</f>
        <v>0.63929602834783428</v>
      </c>
      <c r="HT102" s="704">
        <f>'Hodnocení '!HT98</f>
        <v>1.1293073239065399</v>
      </c>
      <c r="HU102" s="704">
        <f>'Hodnocení '!HU98</f>
        <v>0.87687110542093827</v>
      </c>
      <c r="HV102" s="704">
        <f>'Hodnocení '!HV98</f>
        <v>0.74668169494185221</v>
      </c>
      <c r="HW102" s="704">
        <f>'Hodnocení '!HW98</f>
        <v>0.81416955900805121</v>
      </c>
      <c r="HX102" s="704">
        <f>'Hodnocení '!HX98</f>
        <v>0.93233425980762041</v>
      </c>
      <c r="HY102" s="704">
        <f>'Hodnocení '!HY98</f>
        <v>0.85089054047102519</v>
      </c>
      <c r="HZ102" s="704">
        <f>'Hodnocení '!HZ98</f>
        <v>1.0341661952598271</v>
      </c>
      <c r="IA102" s="704">
        <f>'Hodnocení '!IA98</f>
        <v>0.70998144358722803</v>
      </c>
      <c r="IB102" s="704">
        <f>'Hodnocení '!IB98</f>
        <v>1.063028496439635</v>
      </c>
      <c r="IC102" s="704">
        <f>'Hodnocení '!IC98</f>
        <v>0.6478649685575284</v>
      </c>
      <c r="ID102" s="704">
        <f>'Hodnocení '!ID98</f>
        <v>0.80829940060589123</v>
      </c>
      <c r="IE102" s="704">
        <f>'Hodnocení '!IE98</f>
        <v>0.85615429847428148</v>
      </c>
      <c r="IF102" s="704">
        <f>'Hodnocení '!IF98</f>
        <v>1.4771173459767875</v>
      </c>
      <c r="IG102" s="704">
        <f>'Hodnocení '!IG98</f>
        <v>1.5206553621713312</v>
      </c>
      <c r="IH102" s="704">
        <f>'Hodnocení '!IH98</f>
        <v>0.91733873706842584</v>
      </c>
      <c r="II102" s="704">
        <f>'Hodnocení '!II98</f>
        <v>1.1547894661105877</v>
      </c>
      <c r="IJ102" s="704">
        <f>'Hodnocení '!IJ98</f>
        <v>0.71984456495434679</v>
      </c>
      <c r="IK102" s="704">
        <f>'Hodnocení '!IK98</f>
        <v>0.17727084547629685</v>
      </c>
      <c r="IL102" s="704">
        <f>'Hodnocení '!IL98</f>
        <v>0.9643595410089586</v>
      </c>
      <c r="IM102" s="704">
        <f>'Hodnocení '!IM98</f>
        <v>1.3438777543737919</v>
      </c>
      <c r="IN102" s="704">
        <f>'Hodnocení '!IN98</f>
        <v>1.0164795224269008</v>
      </c>
      <c r="IO102" s="704">
        <f>'Hodnocení '!IO98</f>
        <v>0.85263710871223986</v>
      </c>
      <c r="IP102" s="704">
        <f>'Hodnocení '!IP98</f>
        <v>0.83902554494124515</v>
      </c>
      <c r="IQ102" s="704">
        <f>'Hodnocení '!IQ98</f>
        <v>0.87277259226746684</v>
      </c>
      <c r="IR102" s="704">
        <f>'Hodnocení '!IR98</f>
        <v>0.78307976828058268</v>
      </c>
      <c r="IS102" s="704">
        <f>'Hodnocení '!IS98</f>
        <v>0.7102120584132775</v>
      </c>
      <c r="IT102" s="704">
        <f>'Hodnocení '!IT98</f>
        <v>0.69020510682304592</v>
      </c>
      <c r="IU102" s="704">
        <f>'Hodnocení '!IU98</f>
        <v>1.0808987958362455</v>
      </c>
      <c r="IV102" s="704">
        <f>'Hodnocení '!IV98</f>
        <v>0.96989833317076546</v>
      </c>
      <c r="IW102" s="704">
        <f>'Hodnocení '!IW98</f>
        <v>1.168279149031701</v>
      </c>
      <c r="IX102" s="704">
        <f>'Hodnocení '!IX98</f>
        <v>1.0417895451116959</v>
      </c>
      <c r="IY102" s="704">
        <f>'Hodnocení '!IY98</f>
        <v>0.92625761395508044</v>
      </c>
      <c r="IZ102" s="704">
        <f>'Hodnocení '!IZ98</f>
        <v>0.92600664964560953</v>
      </c>
      <c r="JA102" s="704">
        <f>'Hodnocení '!JA98</f>
        <v>0.93041058589366632</v>
      </c>
      <c r="JB102" s="704">
        <f>'Hodnocení '!JB98</f>
        <v>0.61547153402156973</v>
      </c>
      <c r="JC102" s="704">
        <f>'Hodnocení '!JC98</f>
        <v>1.0555352302875474</v>
      </c>
      <c r="JD102" s="704">
        <f>'Hodnocení '!JD98</f>
        <v>0.44688475461309884</v>
      </c>
      <c r="JE102" s="704">
        <f>'Hodnocení '!JE98</f>
        <v>0.19563094986329579</v>
      </c>
      <c r="JF102" s="704">
        <f>'Hodnocení '!JF98</f>
        <v>0.79737837923162558</v>
      </c>
      <c r="JG102" s="704">
        <f>'Hodnocení '!JG98</f>
        <v>0.95192895515365539</v>
      </c>
      <c r="JH102" s="804">
        <f>'Hodnocení '!JH98</f>
        <v>2.3578365595346775</v>
      </c>
      <c r="JI102" s="765">
        <f>'Hodnocení '!JI98</f>
        <v>0</v>
      </c>
      <c r="JL102" s="584">
        <f>JL7/JL13</f>
        <v>0.95100373670070582</v>
      </c>
      <c r="JM102" s="584">
        <f>JM7/JM13</f>
        <v>0.88226151288894539</v>
      </c>
      <c r="JN102" s="584">
        <f>JN7/JN13</f>
        <v>0.638321488978288</v>
      </c>
      <c r="JO102" s="584">
        <f>JO7/JO13</f>
        <v>0.90079174140682283</v>
      </c>
      <c r="JP102" s="584">
        <f>JP7/JP13</f>
        <v>0.83631740773618846</v>
      </c>
    </row>
    <row r="103" spans="1:276" s="583" customFormat="1" ht="12.75" hidden="1" x14ac:dyDescent="0.2">
      <c r="A103" s="594"/>
      <c r="B103" s="748" t="s">
        <v>2597</v>
      </c>
      <c r="C103" s="803">
        <f>'Hodnocení '!C99</f>
        <v>5.3786290484699505E-3</v>
      </c>
      <c r="D103" s="704">
        <f>'Hodnocení '!D99</f>
        <v>3.2100788722694257E-2</v>
      </c>
      <c r="E103" s="704">
        <f>'Hodnocení '!E99</f>
        <v>2.0253859975165243E-2</v>
      </c>
      <c r="F103" s="704">
        <f>'Hodnocení '!F99</f>
        <v>9.0980268716044171E-2</v>
      </c>
      <c r="G103" s="704">
        <f>'Hodnocení '!G99</f>
        <v>0.1213577455850154</v>
      </c>
      <c r="H103" s="704">
        <f>'Hodnocení '!H99</f>
        <v>0.55303961165334159</v>
      </c>
      <c r="I103" s="704">
        <f>'Hodnocení '!I99</f>
        <v>0.2052342006026327</v>
      </c>
      <c r="J103" s="685">
        <f>'Hodnocení '!J99</f>
        <v>0.06</v>
      </c>
      <c r="K103" s="685">
        <f>'Hodnocení '!K99</f>
        <v>5.9999999999999991E-2</v>
      </c>
      <c r="L103" s="704">
        <f>'Hodnocení '!L99</f>
        <v>6.9883570858622804E-2</v>
      </c>
      <c r="M103" s="704">
        <f>'Hodnocení '!M99</f>
        <v>7.9437283074780082E-2</v>
      </c>
      <c r="N103" s="704">
        <f>'Hodnocení '!N99</f>
        <v>0.10942134007591117</v>
      </c>
      <c r="O103" s="704">
        <f>'Hodnocení '!O99</f>
        <v>6.8202457206805928E-2</v>
      </c>
      <c r="P103" s="704">
        <f>'Hodnocení '!P99</f>
        <v>0.14276060303964699</v>
      </c>
      <c r="Q103" s="704">
        <f>'Hodnocení '!Q99</f>
        <v>8.4268746373330594E-2</v>
      </c>
      <c r="R103" s="704">
        <f>'Hodnocení '!R99</f>
        <v>0.18603493013240927</v>
      </c>
      <c r="S103" s="704">
        <f>'Hodnocení '!S99</f>
        <v>6.7949790367390336E-2</v>
      </c>
      <c r="T103" s="704">
        <f>'Hodnocení '!T99</f>
        <v>0.1615566498518291</v>
      </c>
      <c r="U103" s="704">
        <f>'Hodnocení '!U99</f>
        <v>0.14809359569751002</v>
      </c>
      <c r="V103" s="704">
        <f>'Hodnocení '!V99</f>
        <v>0.28274127920754505</v>
      </c>
      <c r="W103" s="704">
        <f>'Hodnocení '!W99</f>
        <v>0.22630645776527419</v>
      </c>
      <c r="X103" s="704">
        <f>'Hodnocení '!X99</f>
        <v>5.5680276174653917E-2</v>
      </c>
      <c r="Y103" s="704">
        <f>'Hodnocení '!Y99</f>
        <v>4.8315120121720567E-2</v>
      </c>
      <c r="Z103" s="704">
        <f>'Hodnocení '!Z99</f>
        <v>0</v>
      </c>
      <c r="AA103" s="704">
        <f>'Hodnocení '!AA99</f>
        <v>6.8384891912108586E-2</v>
      </c>
      <c r="AB103" s="704">
        <f>'Hodnocení '!AB99</f>
        <v>4.8940994418201947E-2</v>
      </c>
      <c r="AC103" s="704">
        <f>'Hodnocení '!AC99</f>
        <v>0</v>
      </c>
      <c r="AD103" s="704">
        <f>'Hodnocení '!AD99</f>
        <v>6.2772611016868193E-2</v>
      </c>
      <c r="AE103" s="704">
        <f>'Hodnocení '!AE99</f>
        <v>7.2652981875915165E-2</v>
      </c>
      <c r="AF103" s="685">
        <f>'Hodnocení '!AF99</f>
        <v>0.06</v>
      </c>
      <c r="AG103" s="704">
        <f>'Hodnocení '!AG99</f>
        <v>7.6197648385090189E-2</v>
      </c>
      <c r="AH103" s="704">
        <f>'Hodnocení '!AH99</f>
        <v>7.6587040859390318E-2</v>
      </c>
      <c r="AI103" s="685">
        <f>'Hodnocení '!AI99</f>
        <v>5.0425286138259799E-2</v>
      </c>
      <c r="AJ103" s="685">
        <f>'Hodnocení '!AJ99</f>
        <v>4.1251313615013253E-2</v>
      </c>
      <c r="AK103" s="685">
        <f>'Hodnocení '!AK99</f>
        <v>5.6629452359967337E-2</v>
      </c>
      <c r="AL103" s="704">
        <f>'Hodnocení '!AL99</f>
        <v>9.4579782712340008E-2</v>
      </c>
      <c r="AM103" s="704">
        <f>'Hodnocení '!AM99</f>
        <v>3.8540236359097452E-2</v>
      </c>
      <c r="AN103" s="704">
        <f>'Hodnocení '!AN99</f>
        <v>9.5447025720918927E-2</v>
      </c>
      <c r="AO103" s="704">
        <f>'Hodnocení '!AO99</f>
        <v>0.40877197330559001</v>
      </c>
      <c r="AP103" s="685">
        <f>'Hodnocení '!AP99</f>
        <v>5.8385662510748955E-2</v>
      </c>
      <c r="AQ103" s="704">
        <f>'Hodnocení '!AQ99</f>
        <v>0.16828817692898865</v>
      </c>
      <c r="AR103" s="704">
        <f>'Hodnocení '!AR99</f>
        <v>8.3470935756778372E-2</v>
      </c>
      <c r="AS103" s="704">
        <f>'Hodnocení '!AS99</f>
        <v>8.3022167284967724E-2</v>
      </c>
      <c r="AT103" s="704">
        <f>'Hodnocení '!AT99</f>
        <v>8.0127361959086971E-2</v>
      </c>
      <c r="AU103" s="704">
        <f>'Hodnocení '!AU99</f>
        <v>0.15210769694100026</v>
      </c>
      <c r="AV103" s="704">
        <f>'Hodnocení '!AV99</f>
        <v>5.5305127179249673E-2</v>
      </c>
      <c r="AW103" s="704">
        <f>'Hodnocení '!AW99</f>
        <v>4.4483346135042491E-2</v>
      </c>
      <c r="AX103" s="704">
        <f>'Hodnocení '!AX99</f>
        <v>8.9279046525883282E-2</v>
      </c>
      <c r="AY103" s="704">
        <f>'Hodnocení '!AY99</f>
        <v>7.4545479969455861E-2</v>
      </c>
      <c r="AZ103" s="704">
        <f>'Hodnocení '!AZ99</f>
        <v>4.0123333009436504E-2</v>
      </c>
      <c r="BA103" s="704">
        <f>'Hodnocení '!BA99</f>
        <v>9.9217871528024318E-2</v>
      </c>
      <c r="BB103" s="704">
        <f>'Hodnocení '!BB99</f>
        <v>9.9201451663403828E-2</v>
      </c>
      <c r="BC103" s="704">
        <f>'Hodnocení '!BC99</f>
        <v>0.10068032755937517</v>
      </c>
      <c r="BD103" s="704">
        <f>'Hodnocení '!BD99</f>
        <v>0.15046942878356631</v>
      </c>
      <c r="BE103" s="704">
        <f>'Hodnocení '!BE99</f>
        <v>0.13483151453469494</v>
      </c>
      <c r="BF103" s="704">
        <f>'Hodnocení '!BF99</f>
        <v>0.12346605761034093</v>
      </c>
      <c r="BG103" s="704">
        <f>'Hodnocení '!BG99</f>
        <v>0.12173144651342277</v>
      </c>
      <c r="BH103" s="704">
        <f>'Hodnocení '!BH99</f>
        <v>0.10488468751203767</v>
      </c>
      <c r="BI103" s="704">
        <f>'Hodnocení '!BI99</f>
        <v>3.2126768497507265E-2</v>
      </c>
      <c r="BJ103" s="704">
        <f>'Hodnocení '!BJ99</f>
        <v>7.7214994893687286E-2</v>
      </c>
      <c r="BK103" s="704">
        <f>'Hodnocení '!BK99</f>
        <v>3.6772231236734981E-2</v>
      </c>
      <c r="BL103" s="685">
        <f>'Hodnocení '!BL99</f>
        <v>0.06</v>
      </c>
      <c r="BM103" s="685">
        <f>'Hodnocení '!BM99</f>
        <v>5.438739404457979E-2</v>
      </c>
      <c r="BN103" s="704">
        <f>'Hodnocení '!BN99</f>
        <v>0.16751739138580243</v>
      </c>
      <c r="BO103" s="704">
        <f>'Hodnocení '!BO99</f>
        <v>0.19896852318609845</v>
      </c>
      <c r="BP103" s="704">
        <f>'Hodnocení '!BP99</f>
        <v>0.13843100893598312</v>
      </c>
      <c r="BQ103" s="685">
        <f>'Hodnocení '!BQ99</f>
        <v>0.06</v>
      </c>
      <c r="BR103" s="704">
        <f>'Hodnocení '!BR99</f>
        <v>7.9781061655224236E-2</v>
      </c>
      <c r="BS103" s="704">
        <f>'Hodnocení '!BS99</f>
        <v>0.17202791419407729</v>
      </c>
      <c r="BT103" s="704">
        <f>'Hodnocení '!BT99</f>
        <v>0.17950738872425456</v>
      </c>
      <c r="BU103" s="704">
        <f>'Hodnocení '!BU99</f>
        <v>0.25862240174930462</v>
      </c>
      <c r="BV103" s="685">
        <f>'Hodnocení '!BV99</f>
        <v>6.0000000000000005E-2</v>
      </c>
      <c r="BW103" s="685">
        <f>'Hodnocení '!BW99</f>
        <v>5.9999999999999991E-2</v>
      </c>
      <c r="BX103" s="704">
        <f>'Hodnocení '!BX99</f>
        <v>0.2587318104996103</v>
      </c>
      <c r="BY103" s="704">
        <f>'Hodnocení '!BY99</f>
        <v>0.35342058302150875</v>
      </c>
      <c r="BZ103" s="704">
        <f>'Hodnocení '!BZ99</f>
        <v>0.60236128623095342</v>
      </c>
      <c r="CA103" s="704">
        <f>'Hodnocení '!CA99</f>
        <v>0</v>
      </c>
      <c r="CB103" s="685">
        <f>'Hodnocení '!CB99</f>
        <v>0.06</v>
      </c>
      <c r="CC103" s="704">
        <f>'Hodnocení '!CC99</f>
        <v>0.16735611933368963</v>
      </c>
      <c r="CD103" s="704">
        <f>'Hodnocení '!CD99</f>
        <v>0.21002364480737784</v>
      </c>
      <c r="CE103" s="704">
        <f>'Hodnocení '!CE99</f>
        <v>0.31081095184570295</v>
      </c>
      <c r="CF103" s="704">
        <f>'Hodnocení '!CF99</f>
        <v>7.6112154799343093E-2</v>
      </c>
      <c r="CG103" s="704">
        <f>'Hodnocení '!CG99</f>
        <v>0.17266461560714469</v>
      </c>
      <c r="CH103" s="704">
        <f>'Hodnocení '!CH99</f>
        <v>0.19627285017849264</v>
      </c>
      <c r="CI103" s="704">
        <f>'Hodnocení '!CI99</f>
        <v>5.6836718868618755E-2</v>
      </c>
      <c r="CJ103" s="704">
        <f>'Hodnocení '!CJ99</f>
        <v>0.17401758515459184</v>
      </c>
      <c r="CK103" s="704">
        <f>'Hodnocení '!CK99</f>
        <v>0.11230054218555005</v>
      </c>
      <c r="CL103" s="704">
        <f>'Hodnocení '!CL99</f>
        <v>0.1663049693953032</v>
      </c>
      <c r="CM103" s="704">
        <f>'Hodnocení '!CM99</f>
        <v>0.13514414617065554</v>
      </c>
      <c r="CN103" s="704">
        <f>'Hodnocení '!CN99</f>
        <v>0.12548884997632523</v>
      </c>
      <c r="CO103" s="704">
        <f>'Hodnocení '!CO99</f>
        <v>0.19013462117625035</v>
      </c>
      <c r="CP103" s="704">
        <f>'Hodnocení '!CP99</f>
        <v>0.16351577421157529</v>
      </c>
      <c r="CQ103" s="704">
        <f>'Hodnocení '!CQ99</f>
        <v>0.11830466397419136</v>
      </c>
      <c r="CR103" s="704">
        <f>'Hodnocení '!CR99</f>
        <v>2.0178839530202431E-2</v>
      </c>
      <c r="CS103" s="685">
        <f>'Hodnocení '!CS99</f>
        <v>5.3831280094404285E-2</v>
      </c>
      <c r="CT103" s="704">
        <f>'Hodnocení '!CT99</f>
        <v>0.12439872283322755</v>
      </c>
      <c r="CU103" s="704">
        <f>'Hodnocení '!CU99</f>
        <v>4.4298607323928832E-2</v>
      </c>
      <c r="CV103" s="685">
        <f>'Hodnocení '!CV99</f>
        <v>0.06</v>
      </c>
      <c r="CW103" s="685">
        <f>'Hodnocení '!CW99</f>
        <v>0</v>
      </c>
      <c r="CX103" s="704">
        <f>'Hodnocení '!CX99</f>
        <v>7.691846335046533E-2</v>
      </c>
      <c r="CY103" s="704">
        <f>'Hodnocení '!CY99</f>
        <v>8.7905800588407898E-2</v>
      </c>
      <c r="CZ103" s="704">
        <f>'Hodnocení '!CZ99</f>
        <v>3.0908425722986934E-2</v>
      </c>
      <c r="DA103" s="704">
        <f>'Hodnocení '!DA99</f>
        <v>0</v>
      </c>
      <c r="DB103" s="704">
        <f>'Hodnocení '!DB99</f>
        <v>0.23414007224902772</v>
      </c>
      <c r="DC103" s="704">
        <f>'Hodnocení '!DC99</f>
        <v>0.13436179896455025</v>
      </c>
      <c r="DD103" s="704">
        <f>'Hodnocení '!DD99</f>
        <v>3.8432088896726495E-2</v>
      </c>
      <c r="DE103" s="704">
        <f>'Hodnocení '!DE99</f>
        <v>3.0005119238308058E-2</v>
      </c>
      <c r="DF103" s="704">
        <f>'Hodnocení '!DF99</f>
        <v>5.745661130739841E-2</v>
      </c>
      <c r="DG103" s="685">
        <f>'Hodnocení '!DG99</f>
        <v>6.0000000000000005E-2</v>
      </c>
      <c r="DH103" s="704">
        <f>'Hodnocení '!DH99</f>
        <v>4.1375929404631757E-2</v>
      </c>
      <c r="DI103" s="704">
        <f>'Hodnocení '!DI99</f>
        <v>2.9390105076434719E-2</v>
      </c>
      <c r="DJ103" s="704">
        <f>'Hodnocení '!DJ99</f>
        <v>4.0219627915178892E-2</v>
      </c>
      <c r="DK103" s="704">
        <f>'Hodnocení '!DK99</f>
        <v>1.627171232225523E-2</v>
      </c>
      <c r="DL103" s="704">
        <f>'Hodnocení '!DL99</f>
        <v>0.32454228629041248</v>
      </c>
      <c r="DM103" s="704">
        <f>'Hodnocení '!DM99</f>
        <v>0.20983503054343244</v>
      </c>
      <c r="DN103" s="704">
        <f>'Hodnocení '!DN99</f>
        <v>0.14044610684219025</v>
      </c>
      <c r="DO103" s="685">
        <f>'Hodnocení '!DO99</f>
        <v>0.06</v>
      </c>
      <c r="DP103" s="704">
        <f>'Hodnocení '!DP99</f>
        <v>9.7114914200792476E-2</v>
      </c>
      <c r="DQ103" s="704">
        <f>'Hodnocení '!DQ99</f>
        <v>7.007482778417648E-2</v>
      </c>
      <c r="DR103" s="685">
        <f>'Hodnocení '!DR99</f>
        <v>5.9012499071701537E-2</v>
      </c>
      <c r="DS103" s="685">
        <f>'Hodnocení '!DS99</f>
        <v>0.06</v>
      </c>
      <c r="DT103" s="685">
        <f>'Hodnocení '!DT99</f>
        <v>4.8413211129688875E-2</v>
      </c>
      <c r="DU103" s="704">
        <f>'Hodnocení '!DU99</f>
        <v>0.10243664644281658</v>
      </c>
      <c r="DV103" s="704">
        <f>'Hodnocení '!DV99</f>
        <v>7.7769902512467001E-2</v>
      </c>
      <c r="DW103" s="685">
        <f>'Hodnocení '!DW99</f>
        <v>0</v>
      </c>
      <c r="DX103" s="704">
        <f>'Hodnocení '!DX99</f>
        <v>0.10166628167447997</v>
      </c>
      <c r="DY103" s="704">
        <f>'Hodnocení '!DY99</f>
        <v>3.1704813807340249E-2</v>
      </c>
      <c r="DZ103" s="685">
        <f>'Hodnocení '!DZ99</f>
        <v>0.06</v>
      </c>
      <c r="EA103" s="704">
        <f>'Hodnocení '!EA99</f>
        <v>3.6953100178672031E-2</v>
      </c>
      <c r="EB103" s="704">
        <f>'Hodnocení '!EB99</f>
        <v>3.7648001457241738E-2</v>
      </c>
      <c r="EC103" s="704">
        <f>'Hodnocení '!EC99</f>
        <v>3.65311936850835E-2</v>
      </c>
      <c r="ED103" s="704">
        <f>'Hodnocení '!ED99</f>
        <v>0.10048486488439132</v>
      </c>
      <c r="EE103" s="704">
        <f>'Hodnocení '!EE99</f>
        <v>0.12877703973696525</v>
      </c>
      <c r="EF103" s="704">
        <f>'Hodnocení '!EF99</f>
        <v>0.12386009821973565</v>
      </c>
      <c r="EG103" s="685">
        <f>'Hodnocení '!EG99</f>
        <v>0.06</v>
      </c>
      <c r="EH103" s="704">
        <f>'Hodnocení '!EH99</f>
        <v>0.10002352945919846</v>
      </c>
      <c r="EI103" s="704">
        <f>'Hodnocení '!EI99</f>
        <v>9.3013583822894152E-2</v>
      </c>
      <c r="EJ103" s="685">
        <f>'Hodnocení '!EJ99</f>
        <v>0.06</v>
      </c>
      <c r="EK103" s="704">
        <f>'Hodnocení '!EK99</f>
        <v>0.17651087136728871</v>
      </c>
      <c r="EL103" s="704">
        <f>'Hodnocení '!EL99</f>
        <v>0.2547706861908634</v>
      </c>
      <c r="EM103" s="704">
        <f>'Hodnocení '!EM99</f>
        <v>0.17094820221668192</v>
      </c>
      <c r="EN103" s="685">
        <f>'Hodnocení '!EN99</f>
        <v>0.06</v>
      </c>
      <c r="EO103" s="704">
        <f>'Hodnocení '!EO99</f>
        <v>5.0486453078696598E-2</v>
      </c>
      <c r="EP103" s="704">
        <f>'Hodnocení '!EP99</f>
        <v>6.3435653790927068E-2</v>
      </c>
      <c r="EQ103" s="685">
        <f>'Hodnocení '!EQ99</f>
        <v>0.06</v>
      </c>
      <c r="ER103" s="704">
        <f>'Hodnocení '!ER99</f>
        <v>0.33081979504883396</v>
      </c>
      <c r="ES103" s="704">
        <f>'Hodnocení '!ES99</f>
        <v>0.3698677660393439</v>
      </c>
      <c r="ET103" s="685">
        <f>'Hodnocení '!ET99</f>
        <v>0</v>
      </c>
      <c r="EU103" s="685">
        <f>'Hodnocení '!EU99</f>
        <v>4.184415687525137E-3</v>
      </c>
      <c r="EV103" s="704">
        <f>'Hodnocení '!EV99</f>
        <v>0.35677093508945595</v>
      </c>
      <c r="EW103" s="704">
        <f>'Hodnocení '!EW99</f>
        <v>0.3933845894429242</v>
      </c>
      <c r="EX103" s="704">
        <f>'Hodnocení '!EX99</f>
        <v>0.28568131293078813</v>
      </c>
      <c r="EY103" s="705">
        <f>'Hodnocení '!EY99</f>
        <v>0.31684424496457669</v>
      </c>
      <c r="EZ103" s="704">
        <f>'Hodnocení '!EZ99</f>
        <v>1.492368154324349</v>
      </c>
      <c r="FA103" s="704">
        <f>'Hodnocení '!FA99</f>
        <v>0.37686347833373274</v>
      </c>
      <c r="FB103" s="704">
        <f>'Hodnocení '!FB99</f>
        <v>0</v>
      </c>
      <c r="FC103" s="705">
        <f>'Hodnocení '!FC99</f>
        <v>0.57686486634458212</v>
      </c>
      <c r="FD103" s="704">
        <f>'Hodnocení '!FD99</f>
        <v>0.93272105146250361</v>
      </c>
      <c r="FE103" s="705">
        <f>'Hodnocení '!FE99</f>
        <v>0.53132337619515857</v>
      </c>
      <c r="FF103" s="704">
        <f>'Hodnocení '!FF99</f>
        <v>0.31246261633892225</v>
      </c>
      <c r="FG103" s="704">
        <f>'Hodnocení '!FG99</f>
        <v>0.23756898150810787</v>
      </c>
      <c r="FH103" s="704">
        <f>'Hodnocení '!FH99</f>
        <v>0.13655355494434668</v>
      </c>
      <c r="FI103" s="704">
        <f>'Hodnocení '!FI99</f>
        <v>0.14959910480916308</v>
      </c>
      <c r="FJ103" s="704">
        <f>'Hodnocení '!FJ99</f>
        <v>0.29491344790473539</v>
      </c>
      <c r="FK103" s="704">
        <f>'Hodnocení '!FK99</f>
        <v>0.65747566493247223</v>
      </c>
      <c r="FL103" s="704">
        <f>'Hodnocení '!FL99</f>
        <v>0.41541599310127914</v>
      </c>
      <c r="FM103" s="704">
        <f>'Hodnocení '!FM99</f>
        <v>0.31543806920693213</v>
      </c>
      <c r="FN103" s="705">
        <f>'Hodnocení '!FN99</f>
        <v>7.3946190534319792E-2</v>
      </c>
      <c r="FO103" s="704">
        <f>'Hodnocení '!FO99</f>
        <v>0.34304851216024274</v>
      </c>
      <c r="FP103" s="704">
        <f>'Hodnocení '!FP99</f>
        <v>0.17104275134786387</v>
      </c>
      <c r="FQ103" s="704">
        <f>'Hodnocení '!FQ99</f>
        <v>4.8994372911820544E-2</v>
      </c>
      <c r="FR103" s="685">
        <f>'Hodnocení '!FR99</f>
        <v>0.2</v>
      </c>
      <c r="FS103" s="704">
        <f>'Hodnocení '!FS99</f>
        <v>0.16100958210700475</v>
      </c>
      <c r="FT103" s="704">
        <f>'Hodnocení '!FT99</f>
        <v>0.38152931965291215</v>
      </c>
      <c r="FU103" s="704">
        <f>'Hodnocení '!FU99</f>
        <v>0.24320225395191375</v>
      </c>
      <c r="FV103" s="704">
        <f>'Hodnocení '!FV99</f>
        <v>0.65338270987175373</v>
      </c>
      <c r="FW103" s="704">
        <f>'Hodnocení '!FW99</f>
        <v>0.25001086771831454</v>
      </c>
      <c r="FX103" s="704">
        <f>'Hodnocení '!FX99</f>
        <v>0.39222937071737679</v>
      </c>
      <c r="FY103" s="704">
        <f>'Hodnocení '!FY99</f>
        <v>0.24867071255208895</v>
      </c>
      <c r="FZ103" s="705">
        <f>'Hodnocení '!FZ99</f>
        <v>0.62559099361617676</v>
      </c>
      <c r="GA103" s="705">
        <f>'Hodnocení '!GA99</f>
        <v>0.71635873819977902</v>
      </c>
      <c r="GB103" s="704">
        <f>'Hodnocení '!GB99</f>
        <v>0.58791049664671202</v>
      </c>
      <c r="GC103" s="704">
        <f>'Hodnocení '!GC99</f>
        <v>0.35743805555206537</v>
      </c>
      <c r="GD103" s="685">
        <f>'Hodnocení '!GD99</f>
        <v>0.33032354796841984</v>
      </c>
      <c r="GE103" s="705">
        <f>'Hodnocení '!GE99</f>
        <v>0.33820475636645198</v>
      </c>
      <c r="GF103" s="705">
        <f>'Hodnocení '!GF99</f>
        <v>0.2194872884449576</v>
      </c>
      <c r="GG103" s="705">
        <f>'Hodnocení '!GG99</f>
        <v>0.26258116430708384</v>
      </c>
      <c r="GH103" s="705">
        <f>'Hodnocení '!GH99</f>
        <v>0.18657444524717479</v>
      </c>
      <c r="GI103" s="705">
        <f>'Hodnocení '!GI99</f>
        <v>0.42073999211067192</v>
      </c>
      <c r="GJ103" s="704">
        <f>'Hodnocení '!GJ99</f>
        <v>0.27115058562346628</v>
      </c>
      <c r="GK103" s="704">
        <f>'Hodnocení '!GK99</f>
        <v>0.22378573996942647</v>
      </c>
      <c r="GL103" s="704">
        <f>'Hodnocení '!GL99</f>
        <v>0.49964766281315465</v>
      </c>
      <c r="GM103" s="704">
        <f>'Hodnocení '!GM99</f>
        <v>0.3851237433187028</v>
      </c>
      <c r="GN103" s="704">
        <f>'Hodnocení '!GN99</f>
        <v>0.14353710172893699</v>
      </c>
      <c r="GO103" s="704">
        <f>'Hodnocení '!GO99</f>
        <v>0.15994706784579099</v>
      </c>
      <c r="GP103" s="704">
        <f>'Hodnocení '!GP99</f>
        <v>0.58757591685876942</v>
      </c>
      <c r="GQ103" s="704">
        <f>'Hodnocení '!GQ99</f>
        <v>0.37320193697478321</v>
      </c>
      <c r="GR103" s="704">
        <f>'Hodnocení '!GR99</f>
        <v>0.56488645171764618</v>
      </c>
      <c r="GS103" s="704">
        <f>'Hodnocení '!GS99</f>
        <v>0.88203272626433538</v>
      </c>
      <c r="GT103" s="705">
        <f>'Hodnocení '!GT99</f>
        <v>0.36566981437612145</v>
      </c>
      <c r="GU103" s="704">
        <f>'Hodnocení '!GU99</f>
        <v>0.22195062875783694</v>
      </c>
      <c r="GV103" s="705">
        <f>'Hodnocení '!GV99</f>
        <v>0.2991420806789109</v>
      </c>
      <c r="GW103" s="704">
        <f>'Hodnocení '!GW99</f>
        <v>0.53144157002409076</v>
      </c>
      <c r="GX103" s="704">
        <f>'Hodnocení '!GX99</f>
        <v>0.5949166020350416</v>
      </c>
      <c r="GY103" s="685">
        <f>'Hodnocení '!GY99</f>
        <v>0.41976948562553112</v>
      </c>
      <c r="GZ103" s="685">
        <f>'Hodnocení '!GZ99</f>
        <v>0.3</v>
      </c>
      <c r="HA103" s="705">
        <f>'Hodnocení '!HA99</f>
        <v>0.51113137741427106</v>
      </c>
      <c r="HB103" s="705">
        <f>'Hodnocení '!HB99</f>
        <v>0.73504327382038825</v>
      </c>
      <c r="HC103" s="704">
        <f>'Hodnocení '!HC99</f>
        <v>0.4557245849719877</v>
      </c>
      <c r="HD103" s="704">
        <f>'Hodnocení '!HD99</f>
        <v>0.47524157313617554</v>
      </c>
      <c r="HE103" s="704">
        <f>'Hodnocení '!HE99</f>
        <v>0.25579323394994624</v>
      </c>
      <c r="HF103" s="704">
        <f>'Hodnocení '!HF99</f>
        <v>0.46794239289835776</v>
      </c>
      <c r="HG103" s="704">
        <f>'Hodnocení '!HG99</f>
        <v>0.18925816162878142</v>
      </c>
      <c r="HH103" s="704">
        <f>'Hodnocení '!HH99</f>
        <v>0.42046470820675763</v>
      </c>
      <c r="HI103" s="704">
        <f>'Hodnocení '!HI99</f>
        <v>0.52263194383224298</v>
      </c>
      <c r="HJ103" s="704">
        <f>'Hodnocení '!HJ99</f>
        <v>0.26223197400696635</v>
      </c>
      <c r="HK103" s="704">
        <f>'Hodnocení '!HK99</f>
        <v>0.78379336859701498</v>
      </c>
      <c r="HL103" s="704">
        <f>'Hodnocení '!HL99</f>
        <v>0</v>
      </c>
      <c r="HM103" s="704">
        <f>'Hodnocení '!HM99</f>
        <v>0</v>
      </c>
      <c r="HN103" s="704">
        <f>'Hodnocení '!HN99</f>
        <v>0</v>
      </c>
      <c r="HO103" s="704">
        <f>'Hodnocení '!HO99</f>
        <v>0</v>
      </c>
      <c r="HP103" s="704">
        <f>'Hodnocení '!HP99</f>
        <v>0</v>
      </c>
      <c r="HQ103" s="704">
        <f>'Hodnocení '!HQ99</f>
        <v>0</v>
      </c>
      <c r="HR103" s="704">
        <f>'Hodnocení '!HR99</f>
        <v>0</v>
      </c>
      <c r="HS103" s="704">
        <f>'Hodnocení '!HS99</f>
        <v>0</v>
      </c>
      <c r="HT103" s="704">
        <f>'Hodnocení '!HT99</f>
        <v>0</v>
      </c>
      <c r="HU103" s="704">
        <f>'Hodnocení '!HU99</f>
        <v>1.7779744164937582E-3</v>
      </c>
      <c r="HV103" s="704">
        <f>'Hodnocení '!HV99</f>
        <v>0</v>
      </c>
      <c r="HW103" s="704">
        <f>'Hodnocení '!HW99</f>
        <v>0</v>
      </c>
      <c r="HX103" s="704">
        <f>'Hodnocení '!HX99</f>
        <v>0</v>
      </c>
      <c r="HY103" s="704">
        <f>'Hodnocení '!HY99</f>
        <v>4.903816019681327E-4</v>
      </c>
      <c r="HZ103" s="704">
        <f>'Hodnocení '!HZ99</f>
        <v>0</v>
      </c>
      <c r="IA103" s="704">
        <f>'Hodnocení '!IA99</f>
        <v>0</v>
      </c>
      <c r="IB103" s="704">
        <f>'Hodnocení '!IB99</f>
        <v>0</v>
      </c>
      <c r="IC103" s="704">
        <f>'Hodnocení '!IC99</f>
        <v>0</v>
      </c>
      <c r="ID103" s="704">
        <f>'Hodnocení '!ID99</f>
        <v>0</v>
      </c>
      <c r="IE103" s="704">
        <f>'Hodnocení '!IE99</f>
        <v>0</v>
      </c>
      <c r="IF103" s="704">
        <f>'Hodnocení '!IF99</f>
        <v>0</v>
      </c>
      <c r="IG103" s="704">
        <f>'Hodnocení '!IG99</f>
        <v>0</v>
      </c>
      <c r="IH103" s="704">
        <f>'Hodnocení '!IH99</f>
        <v>0</v>
      </c>
      <c r="II103" s="704">
        <f>'Hodnocení '!II99</f>
        <v>0</v>
      </c>
      <c r="IJ103" s="704">
        <f>'Hodnocení '!IJ99</f>
        <v>0</v>
      </c>
      <c r="IK103" s="704">
        <f>'Hodnocení '!IK99</f>
        <v>0</v>
      </c>
      <c r="IL103" s="704">
        <f>'Hodnocení '!IL99</f>
        <v>0</v>
      </c>
      <c r="IM103" s="704">
        <f>'Hodnocení '!IM99</f>
        <v>0</v>
      </c>
      <c r="IN103" s="704">
        <f>'Hodnocení '!IN99</f>
        <v>0</v>
      </c>
      <c r="IO103" s="704">
        <f>'Hodnocení '!IO99</f>
        <v>0</v>
      </c>
      <c r="IP103" s="704">
        <f>'Hodnocení '!IP99</f>
        <v>0</v>
      </c>
      <c r="IQ103" s="704">
        <f>'Hodnocení '!IQ99</f>
        <v>0</v>
      </c>
      <c r="IR103" s="704">
        <f>'Hodnocení '!IR99</f>
        <v>0</v>
      </c>
      <c r="IS103" s="704">
        <f>'Hodnocení '!IS99</f>
        <v>0</v>
      </c>
      <c r="IT103" s="704">
        <f>'Hodnocení '!IT99</f>
        <v>0</v>
      </c>
      <c r="IU103" s="704">
        <f>'Hodnocení '!IU99</f>
        <v>0</v>
      </c>
      <c r="IV103" s="704">
        <f>'Hodnocení '!IV99</f>
        <v>0</v>
      </c>
      <c r="IW103" s="704">
        <f>'Hodnocení '!IW99</f>
        <v>0</v>
      </c>
      <c r="IX103" s="704">
        <f>'Hodnocení '!IX99</f>
        <v>0</v>
      </c>
      <c r="IY103" s="704">
        <f>'Hodnocení '!IY99</f>
        <v>0</v>
      </c>
      <c r="IZ103" s="704">
        <f>'Hodnocení '!IZ99</f>
        <v>0</v>
      </c>
      <c r="JA103" s="704">
        <f>'Hodnocení '!JA99</f>
        <v>2.530405359125034E-2</v>
      </c>
      <c r="JB103" s="704">
        <f>'Hodnocení '!JB99</f>
        <v>4.208352369378255E-2</v>
      </c>
      <c r="JC103" s="704">
        <f>'Hodnocení '!JC99</f>
        <v>3.6874593197818245E-2</v>
      </c>
      <c r="JD103" s="704">
        <f>'Hodnocení '!JD99</f>
        <v>1.5179185498358257E-2</v>
      </c>
      <c r="JE103" s="704">
        <f>'Hodnocení '!JE99</f>
        <v>0</v>
      </c>
      <c r="JF103" s="704">
        <f>'Hodnocení '!JF99</f>
        <v>0</v>
      </c>
      <c r="JG103" s="704">
        <f>'Hodnocení '!JG99</f>
        <v>6.8606220796686268E-4</v>
      </c>
      <c r="JH103" s="804">
        <f>'Hodnocení '!JH99</f>
        <v>0</v>
      </c>
      <c r="JI103" s="765">
        <f>'Hodnocení '!JI99</f>
        <v>0</v>
      </c>
      <c r="JJ103" s="585"/>
      <c r="JK103" s="585">
        <f>MEDIAN(C103:ES103)</f>
        <v>7.7769902512467001E-2</v>
      </c>
      <c r="JL103" s="584">
        <f>JL53/JL13</f>
        <v>1.9252558458799619E-2</v>
      </c>
      <c r="JM103" s="584">
        <f>JM53/JM13</f>
        <v>0.12599538188371348</v>
      </c>
      <c r="JN103" s="584">
        <f>JN53/JN13</f>
        <v>0.35702676444196335</v>
      </c>
      <c r="JO103" s="584">
        <f>JO53/JO13</f>
        <v>6.9420659120990704E-4</v>
      </c>
      <c r="JP103" s="584">
        <f>JP53/JP13</f>
        <v>0.12017571905573894</v>
      </c>
    </row>
    <row r="104" spans="1:276" s="583" customFormat="1" ht="12.75" hidden="1" x14ac:dyDescent="0.2">
      <c r="A104" s="594"/>
      <c r="B104" s="748" t="s">
        <v>2598</v>
      </c>
      <c r="C104" s="803">
        <f>'Hodnocení '!C100</f>
        <v>0.95572026475280991</v>
      </c>
      <c r="D104" s="704">
        <f>'Hodnocení '!D100</f>
        <v>0.8271303227547554</v>
      </c>
      <c r="E104" s="704">
        <f>'Hodnocení '!E100</f>
        <v>0.9338362162451469</v>
      </c>
      <c r="F104" s="704">
        <f>'Hodnocení '!F100</f>
        <v>0.90901973128395586</v>
      </c>
      <c r="G104" s="704">
        <f>'Hodnocení '!G100</f>
        <v>0.87864225441498456</v>
      </c>
      <c r="H104" s="704">
        <f>'Hodnocení '!H100</f>
        <v>0</v>
      </c>
      <c r="I104" s="704">
        <f>'Hodnocení '!I100</f>
        <v>0</v>
      </c>
      <c r="J104" s="704">
        <f>'Hodnocení '!J100</f>
        <v>4.2393242767195145E-2</v>
      </c>
      <c r="K104" s="704">
        <f>'Hodnocení '!K100</f>
        <v>1.0107284978122657</v>
      </c>
      <c r="L104" s="704">
        <f>'Hodnocení '!L100</f>
        <v>0.9363207932002674</v>
      </c>
      <c r="M104" s="704">
        <f>'Hodnocení '!M100</f>
        <v>0.92056271692521996</v>
      </c>
      <c r="N104" s="704">
        <f>'Hodnocení '!N100</f>
        <v>1.0684682143177653</v>
      </c>
      <c r="O104" s="704">
        <f>'Hodnocení '!O100</f>
        <v>0.96395933517803167</v>
      </c>
      <c r="P104" s="704">
        <f>'Hodnocení '!P100</f>
        <v>0.85723939696035301</v>
      </c>
      <c r="Q104" s="704">
        <f>'Hodnocení '!Q100</f>
        <v>0.91573125362666941</v>
      </c>
      <c r="R104" s="704">
        <f>'Hodnocení '!R100</f>
        <v>0.85306806777821886</v>
      </c>
      <c r="S104" s="704">
        <f>'Hodnocení '!S100</f>
        <v>0.95830768718674508</v>
      </c>
      <c r="T104" s="704">
        <f>'Hodnocení '!T100</f>
        <v>0.83844335014817095</v>
      </c>
      <c r="U104" s="704">
        <f>'Hodnocení '!U100</f>
        <v>0.97607142618813414</v>
      </c>
      <c r="V104" s="704">
        <f>'Hodnocení '!V100</f>
        <v>0.60475458200518228</v>
      </c>
      <c r="W104" s="704">
        <f>'Hodnocení '!W100</f>
        <v>0.51609502680945829</v>
      </c>
      <c r="X104" s="704">
        <f>'Hodnocení '!X100</f>
        <v>1.0516889694473961</v>
      </c>
      <c r="Y104" s="704">
        <f>'Hodnocení '!Y100</f>
        <v>0.85551583199530612</v>
      </c>
      <c r="Z104" s="704">
        <f>'Hodnocení '!Z100</f>
        <v>0.7473424682683566</v>
      </c>
      <c r="AA104" s="704">
        <f>'Hodnocení '!AA100</f>
        <v>0.98397872315357404</v>
      </c>
      <c r="AB104" s="704">
        <f>'Hodnocení '!AB100</f>
        <v>1.166370973622229</v>
      </c>
      <c r="AC104" s="704">
        <f>'Hodnocení '!AC100</f>
        <v>1.0201340659613936</v>
      </c>
      <c r="AD104" s="704">
        <f>'Hodnocení '!AD100</f>
        <v>1.0369607463869108</v>
      </c>
      <c r="AE104" s="704">
        <f>'Hodnocení '!AE100</f>
        <v>8.4874330957074889E-2</v>
      </c>
      <c r="AF104" s="704">
        <f>'Hodnocení '!AF100</f>
        <v>0.34484934882900969</v>
      </c>
      <c r="AG104" s="704">
        <f>'Hodnocení '!AG100</f>
        <v>0.98296753995648911</v>
      </c>
      <c r="AH104" s="704">
        <f>'Hodnocení '!AH100</f>
        <v>0.57233186876240549</v>
      </c>
      <c r="AI104" s="704">
        <f>'Hodnocení '!AI100</f>
        <v>0.61562181340878119</v>
      </c>
      <c r="AJ104" s="704">
        <f>'Hodnocení '!AJ100</f>
        <v>0.59920569619470254</v>
      </c>
      <c r="AK104" s="704">
        <f>'Hodnocení '!AK100</f>
        <v>0.80226980803404346</v>
      </c>
      <c r="AL104" s="704">
        <f>'Hodnocení '!AL100</f>
        <v>0.90542021728765998</v>
      </c>
      <c r="AM104" s="704">
        <f>'Hodnocení '!AM100</f>
        <v>0.96145976364090258</v>
      </c>
      <c r="AN104" s="704">
        <f>'Hodnocení '!AN100</f>
        <v>1.1543616461399628</v>
      </c>
      <c r="AO104" s="704">
        <f>'Hodnocení '!AO100</f>
        <v>0.77664387319663297</v>
      </c>
      <c r="AP104" s="704">
        <f>'Hodnocení '!AP100</f>
        <v>0.89082162136143739</v>
      </c>
      <c r="AQ104" s="704">
        <f>'Hodnocení '!AQ100</f>
        <v>1.6525898974426687</v>
      </c>
      <c r="AR104" s="704">
        <f>'Hodnocení '!AR100</f>
        <v>0.91652906424322167</v>
      </c>
      <c r="AS104" s="704">
        <f>'Hodnocení '!AS100</f>
        <v>1.1112701539946104</v>
      </c>
      <c r="AT104" s="704">
        <f>'Hodnocení '!AT100</f>
        <v>1.1844215337883743</v>
      </c>
      <c r="AU104" s="704">
        <f>'Hodnocení '!AU100</f>
        <v>0.94327395955053261</v>
      </c>
      <c r="AV104" s="704">
        <f>'Hodnocení '!AV100</f>
        <v>0.94469487282075038</v>
      </c>
      <c r="AW104" s="704">
        <f>'Hodnocení '!AW100</f>
        <v>4.5825845415759115E-3</v>
      </c>
      <c r="AX104" s="704">
        <f>'Hodnocení '!AX100</f>
        <v>1.1212255472408359</v>
      </c>
      <c r="AY104" s="704">
        <f>'Hodnocení '!AY100</f>
        <v>1.0336734783358235</v>
      </c>
      <c r="AZ104" s="704">
        <f>'Hodnocení '!AZ100</f>
        <v>0.7658075724373673</v>
      </c>
      <c r="BA104" s="704">
        <f>'Hodnocení '!BA100</f>
        <v>0.81766156625327191</v>
      </c>
      <c r="BB104" s="704">
        <f>'Hodnocení '!BB100</f>
        <v>0.93031121369940106</v>
      </c>
      <c r="BC104" s="704">
        <f>'Hodnocení '!BC100</f>
        <v>0.89931967244062483</v>
      </c>
      <c r="BD104" s="704">
        <f>'Hodnocení '!BD100</f>
        <v>0.94848123916066651</v>
      </c>
      <c r="BE104" s="704">
        <f>'Hodnocení '!BE100</f>
        <v>0</v>
      </c>
      <c r="BF104" s="704">
        <f>'Hodnocení '!BF100</f>
        <v>0.66330169248108695</v>
      </c>
      <c r="BG104" s="704">
        <f>'Hodnocení '!BG100</f>
        <v>0.62083037721845613</v>
      </c>
      <c r="BH104" s="704">
        <f>'Hodnocení '!BH100</f>
        <v>0.84700329512239991</v>
      </c>
      <c r="BI104" s="704">
        <f>'Hodnocení '!BI100</f>
        <v>0.40800995991834227</v>
      </c>
      <c r="BJ104" s="704">
        <f>'Hodnocení '!BJ100</f>
        <v>0.96411518910958149</v>
      </c>
      <c r="BK104" s="704">
        <f>'Hodnocení '!BK100</f>
        <v>7.6608815076531209E-2</v>
      </c>
      <c r="BL104" s="704">
        <f>'Hodnocení '!BL100</f>
        <v>0.94000000000000006</v>
      </c>
      <c r="BM104" s="704">
        <f>'Hodnocení '!BM100</f>
        <v>0.61369538208833141</v>
      </c>
      <c r="BN104" s="704">
        <f>'Hodnocení '!BN100</f>
        <v>0.85151350660530356</v>
      </c>
      <c r="BO104" s="704">
        <f>'Hodnocení '!BO100</f>
        <v>0.94221423382249758</v>
      </c>
      <c r="BP104" s="704">
        <f>'Hodnocení '!BP100</f>
        <v>0.82881869762021665</v>
      </c>
      <c r="BQ104" s="704">
        <f>'Hodnocení '!BQ100</f>
        <v>7.7599593490685029E-2</v>
      </c>
      <c r="BR104" s="704">
        <f>'Hodnocení '!BR100</f>
        <v>1.0102486357379614</v>
      </c>
      <c r="BS104" s="704">
        <f>'Hodnocení '!BS100</f>
        <v>0.9800223082472338</v>
      </c>
      <c r="BT104" s="704">
        <f>'Hodnocení '!BT100</f>
        <v>0.82049261127574546</v>
      </c>
      <c r="BU104" s="704">
        <f>'Hodnocení '!BU100</f>
        <v>0.88591396074982787</v>
      </c>
      <c r="BV104" s="704">
        <f>'Hodnocení '!BV100</f>
        <v>1.0311770455412752</v>
      </c>
      <c r="BW104" s="704">
        <f>'Hodnocení '!BW100</f>
        <v>1.7928850190212893</v>
      </c>
      <c r="BX104" s="704">
        <f>'Hodnocení '!BX100</f>
        <v>0.93019980427411342</v>
      </c>
      <c r="BY104" s="704">
        <f>'Hodnocení '!BY100</f>
        <v>0.73595914898171011</v>
      </c>
      <c r="BZ104" s="704">
        <f>'Hodnocení '!BZ100</f>
        <v>1.3017027395450902</v>
      </c>
      <c r="CA104" s="704" t="e">
        <f>'Hodnocení '!CA100</f>
        <v>#DIV/0!</v>
      </c>
      <c r="CB104" s="704">
        <f>'Hodnocení '!CB100</f>
        <v>2.6946165026323459</v>
      </c>
      <c r="CC104" s="704">
        <f>'Hodnocení '!CC100</f>
        <v>0.92710967954396661</v>
      </c>
      <c r="CD104" s="704">
        <f>'Hodnocení '!CD100</f>
        <v>0.89104983854683495</v>
      </c>
      <c r="CE104" s="704">
        <f>'Hodnocení '!CE100</f>
        <v>0.68918904815429705</v>
      </c>
      <c r="CF104" s="704">
        <f>'Hodnocení '!CF100</f>
        <v>0.92388784520065692</v>
      </c>
      <c r="CG104" s="704">
        <f>'Hodnocení '!CG100</f>
        <v>2.1810418324013609E-2</v>
      </c>
      <c r="CH104" s="704">
        <f>'Hodnocení '!CH100</f>
        <v>0</v>
      </c>
      <c r="CI104" s="704">
        <f>'Hodnocení '!CI100</f>
        <v>6.1477879713382894E-3</v>
      </c>
      <c r="CJ104" s="704">
        <f>'Hodnocení '!CJ100</f>
        <v>0.82598241484540813</v>
      </c>
      <c r="CK104" s="704">
        <f>'Hodnocení '!CK100</f>
        <v>0.85153432822498887</v>
      </c>
      <c r="CL104" s="704">
        <f>'Hodnocení '!CL100</f>
        <v>1.801539192651043E-2</v>
      </c>
      <c r="CM104" s="704">
        <f>'Hodnocení '!CM100</f>
        <v>0.86485585382934449</v>
      </c>
      <c r="CN104" s="704">
        <f>'Hodnocení '!CN100</f>
        <v>1.0206501854787731</v>
      </c>
      <c r="CO104" s="704">
        <f>'Hodnocení '!CO100</f>
        <v>0.92367398967422421</v>
      </c>
      <c r="CP104" s="704">
        <f>'Hodnocení '!CP100</f>
        <v>0.96497709831731582</v>
      </c>
      <c r="CQ104" s="704">
        <f>'Hodnocení '!CQ100</f>
        <v>0.88169533602580863</v>
      </c>
      <c r="CR104" s="704">
        <f>'Hodnocení '!CR100</f>
        <v>0.94077543511635409</v>
      </c>
      <c r="CS104" s="704">
        <f>'Hodnocení '!CS100</f>
        <v>4.4062798892844979E-2</v>
      </c>
      <c r="CT104" s="704">
        <f>'Hodnocení '!CT100</f>
        <v>0</v>
      </c>
      <c r="CU104" s="704">
        <f>'Hodnocení '!CU100</f>
        <v>0.90775834680182033</v>
      </c>
      <c r="CV104" s="704">
        <f>'Hodnocení '!CV100</f>
        <v>1.0130952698257014</v>
      </c>
      <c r="CW104" s="704">
        <f>'Hodnocení '!CW100</f>
        <v>0.89753694362127279</v>
      </c>
      <c r="CX104" s="704">
        <f>'Hodnocení '!CX100</f>
        <v>0.71199440863088315</v>
      </c>
      <c r="CY104" s="704">
        <f>'Hodnocení '!CY100</f>
        <v>0.91209419941159209</v>
      </c>
      <c r="CZ104" s="704">
        <f>'Hodnocení '!CZ100</f>
        <v>0.22934051886456305</v>
      </c>
      <c r="DA104" s="704">
        <f>'Hodnocení '!DA100</f>
        <v>0.89173500955234308</v>
      </c>
      <c r="DB104" s="704">
        <f>'Hodnocení '!DB100</f>
        <v>0.89067820043819146</v>
      </c>
      <c r="DC104" s="704">
        <f>'Hodnocení '!DC100</f>
        <v>0.98982281994571319</v>
      </c>
      <c r="DD104" s="704">
        <f>'Hodnocení '!DD100</f>
        <v>7.6638956847803918E-2</v>
      </c>
      <c r="DE104" s="704">
        <f>'Hodnocení '!DE100</f>
        <v>0.20370346127371008</v>
      </c>
      <c r="DF104" s="704">
        <f>'Hodnocení '!DF100</f>
        <v>0.59509216826015598</v>
      </c>
      <c r="DG104" s="704">
        <f>'Hodnocení '!DG100</f>
        <v>0.94</v>
      </c>
      <c r="DH104" s="704">
        <f>'Hodnocení '!DH100</f>
        <v>0.35721918098815097</v>
      </c>
      <c r="DI104" s="704">
        <f>'Hodnocení '!DI100</f>
        <v>0</v>
      </c>
      <c r="DJ104" s="704">
        <f>'Hodnocení '!DJ100</f>
        <v>2.9490361256778536E-2</v>
      </c>
      <c r="DK104" s="704">
        <f>'Hodnocení '!DK100</f>
        <v>8.5975328769277118E-2</v>
      </c>
      <c r="DL104" s="704">
        <f>'Hodnocení '!DL100</f>
        <v>0.91513240810834495</v>
      </c>
      <c r="DM104" s="704">
        <f>'Hodnocení '!DM100</f>
        <v>0.81228589499180015</v>
      </c>
      <c r="DN104" s="704">
        <f>'Hodnocení '!DN100</f>
        <v>0.93537791641534951</v>
      </c>
      <c r="DO104" s="704">
        <f>'Hodnocení '!DO100</f>
        <v>0.94</v>
      </c>
      <c r="DP104" s="704">
        <f>'Hodnocení '!DP100</f>
        <v>0.94666302748359887</v>
      </c>
      <c r="DQ104" s="704">
        <f>'Hodnocení '!DQ100</f>
        <v>0.85228933988430611</v>
      </c>
      <c r="DR104" s="704">
        <f>'Hodnocení '!DR100</f>
        <v>0.82025243810048565</v>
      </c>
      <c r="DS104" s="704">
        <f>'Hodnocení '!DS100</f>
        <v>0.50771668939617831</v>
      </c>
      <c r="DT104" s="704">
        <f>'Hodnocení '!DT100</f>
        <v>0.76284415808283779</v>
      </c>
      <c r="DU104" s="704">
        <f>'Hodnocení '!DU100</f>
        <v>0</v>
      </c>
      <c r="DV104" s="704">
        <f>'Hodnocení '!DV100</f>
        <v>0.57333696031696368</v>
      </c>
      <c r="DW104" s="704">
        <f>'Hodnocení '!DW100</f>
        <v>0</v>
      </c>
      <c r="DX104" s="704">
        <f>'Hodnocení '!DX100</f>
        <v>0</v>
      </c>
      <c r="DY104" s="704">
        <f>'Hodnocení '!DY100</f>
        <v>0.96829518619265975</v>
      </c>
      <c r="DZ104" s="704">
        <f>'Hodnocení '!DZ100</f>
        <v>0.94</v>
      </c>
      <c r="EA104" s="704">
        <f>'Hodnocení '!EA100</f>
        <v>1.1115776788361305</v>
      </c>
      <c r="EB104" s="704">
        <f>'Hodnocení '!EB100</f>
        <v>0.96235199854275821</v>
      </c>
      <c r="EC104" s="704">
        <f>'Hodnocení '!EC100</f>
        <v>1.0589933394016788</v>
      </c>
      <c r="ED104" s="704">
        <f>'Hodnocení '!ED100</f>
        <v>0.97397214824766098</v>
      </c>
      <c r="EE104" s="704">
        <f>'Hodnocení '!EE100</f>
        <v>0.71412722035953458</v>
      </c>
      <c r="EF104" s="704">
        <f>'Hodnocení '!EF100</f>
        <v>0.71731152534212117</v>
      </c>
      <c r="EG104" s="704">
        <f>'Hodnocení '!EG100</f>
        <v>0.95363300259760231</v>
      </c>
      <c r="EH104" s="704">
        <f>'Hodnocení '!EH100</f>
        <v>0.74392500035278852</v>
      </c>
      <c r="EI104" s="704">
        <f>'Hodnocení '!EI100</f>
        <v>0.78146658539726654</v>
      </c>
      <c r="EJ104" s="704">
        <f>'Hodnocení '!EJ100</f>
        <v>0</v>
      </c>
      <c r="EK104" s="704">
        <f>'Hodnocení '!EK100</f>
        <v>1.0531838538281892</v>
      </c>
      <c r="EL104" s="704">
        <f>'Hodnocení '!EL100</f>
        <v>0.75172781644292963</v>
      </c>
      <c r="EM104" s="704">
        <f>'Hodnocení '!EM100</f>
        <v>0.82905179778331806</v>
      </c>
      <c r="EN104" s="704">
        <f>'Hodnocení '!EN100</f>
        <v>1.0040565889099313</v>
      </c>
      <c r="EO104" s="704">
        <f>'Hodnocení '!EO100</f>
        <v>1.0990434569801297</v>
      </c>
      <c r="EP104" s="704">
        <f>'Hodnocení '!EP100</f>
        <v>0.93271294592351395</v>
      </c>
      <c r="EQ104" s="704">
        <f>'Hodnocení '!EQ100</f>
        <v>1.2431364157145408</v>
      </c>
      <c r="ER104" s="704">
        <f>'Hodnocení '!ER100</f>
        <v>0.48658240929378671</v>
      </c>
      <c r="ES104" s="704">
        <f>'Hodnocení '!ES100</f>
        <v>0.66004855953927322</v>
      </c>
      <c r="ET104" s="704">
        <f>'Hodnocení '!ET100</f>
        <v>0.89289053122043227</v>
      </c>
      <c r="EU104" s="704">
        <f>'Hodnocení '!EU100</f>
        <v>0.71692988779597355</v>
      </c>
      <c r="EV104" s="704">
        <f>'Hodnocení '!EV100</f>
        <v>0.59652906491054403</v>
      </c>
      <c r="EW104" s="704">
        <f>'Hodnocení '!EW100</f>
        <v>0.55991541055707583</v>
      </c>
      <c r="EX104" s="704">
        <f>'Hodnocení '!EX100</f>
        <v>0.44235441933721481</v>
      </c>
      <c r="EY104" s="704">
        <f>'Hodnocení '!EY100</f>
        <v>0.63645575503542329</v>
      </c>
      <c r="EZ104" s="704">
        <f>'Hodnocení '!EZ100</f>
        <v>0</v>
      </c>
      <c r="FA104" s="704">
        <f>'Hodnocení '!FA100</f>
        <v>0.37449508065697185</v>
      </c>
      <c r="FB104" s="704">
        <f>'Hodnocení '!FB100</f>
        <v>0.66931991034824578</v>
      </c>
      <c r="FC104" s="704">
        <f>'Hodnocení '!FC100</f>
        <v>0.37643513365541786</v>
      </c>
      <c r="FD104" s="704">
        <f>'Hodnocení '!FD100</f>
        <v>0</v>
      </c>
      <c r="FE104" s="704">
        <f>'Hodnocení '!FE100</f>
        <v>0.42197662380484147</v>
      </c>
      <c r="FF104" s="704">
        <f>'Hodnocení '!FF100</f>
        <v>0.45044359551475499</v>
      </c>
      <c r="FG104" s="704">
        <f>'Hodnocení '!FG100</f>
        <v>0.55722945315115813</v>
      </c>
      <c r="FH104" s="704">
        <f>'Hodnocení '!FH100</f>
        <v>0.48171053384030277</v>
      </c>
      <c r="FI104" s="704">
        <f>'Hodnocení '!FI100</f>
        <v>0.6301768761594716</v>
      </c>
      <c r="FJ104" s="704">
        <f>'Hodnocení '!FJ100</f>
        <v>0.46452443546684336</v>
      </c>
      <c r="FK104" s="704">
        <f>'Hodnocení '!FK100</f>
        <v>0.12160875824011838</v>
      </c>
      <c r="FL104" s="704">
        <f>'Hodnocení '!FL100</f>
        <v>0.24055143943060001</v>
      </c>
      <c r="FM104" s="704">
        <f>'Hodnocení '!FM100</f>
        <v>0.16407100861119475</v>
      </c>
      <c r="FN104" s="704">
        <f>'Hodnocení '!FN100</f>
        <v>0.8793538094656802</v>
      </c>
      <c r="FO104" s="704">
        <f>'Hodnocení '!FO100</f>
        <v>0.52645545271438943</v>
      </c>
      <c r="FP104" s="704">
        <f>'Hodnocení '!FP100</f>
        <v>0.63545074676274682</v>
      </c>
      <c r="FQ104" s="704">
        <f>'Hodnocení '!FQ100</f>
        <v>0.81751721474382621</v>
      </c>
      <c r="FR104" s="704">
        <f>'Hodnocení '!FR100</f>
        <v>1.4892065849462661E-2</v>
      </c>
      <c r="FS104" s="704">
        <f>'Hodnocení '!FS100</f>
        <v>0.47565514158816274</v>
      </c>
      <c r="FT104" s="704">
        <f>'Hodnocení '!FT100</f>
        <v>0.55450644697290397</v>
      </c>
      <c r="FU104" s="704">
        <f>'Hodnocení '!FU100</f>
        <v>0.55452795236560348</v>
      </c>
      <c r="FV104" s="704">
        <f>'Hodnocení '!FV100</f>
        <v>0.29991729012824625</v>
      </c>
      <c r="FW104" s="704">
        <f>'Hodnocení '!FW100</f>
        <v>0.37730931040296795</v>
      </c>
      <c r="FX104" s="704">
        <f>'Hodnocení '!FX100</f>
        <v>0.37499693325775985</v>
      </c>
      <c r="FY104" s="704">
        <f>'Hodnocení '!FY100</f>
        <v>0.33789077050355182</v>
      </c>
      <c r="FZ104" s="704">
        <f>'Hodnocení '!FZ100</f>
        <v>0.32770900638382322</v>
      </c>
      <c r="GA104" s="704">
        <f>'Hodnocení '!GA100</f>
        <v>0.23694126180022099</v>
      </c>
      <c r="GB104" s="704">
        <f>'Hodnocení '!GB100</f>
        <v>0.31728899349083239</v>
      </c>
      <c r="GC104" s="704">
        <f>'Hodnocení '!GC100</f>
        <v>0.54381786502348672</v>
      </c>
      <c r="GD104" s="704">
        <f>'Hodnocení '!GD100</f>
        <v>0.53598595909592617</v>
      </c>
      <c r="GE104" s="704">
        <f>'Hodnocení '!GE100</f>
        <v>6.5307012131189085E-2</v>
      </c>
      <c r="GF104" s="704">
        <f>'Hodnocení '!GF100</f>
        <v>0.73381271155504235</v>
      </c>
      <c r="GG104" s="704">
        <f>'Hodnocení '!GG100</f>
        <v>0.69071883569291626</v>
      </c>
      <c r="GH104" s="704">
        <f>'Hodnocení '!GH100</f>
        <v>0.70279728274201592</v>
      </c>
      <c r="GI104" s="704">
        <f>'Hodnocení '!GI100</f>
        <v>0.50622000796296263</v>
      </c>
      <c r="GJ104" s="704">
        <f>'Hodnocení '!GJ100</f>
        <v>0.50309224437089872</v>
      </c>
      <c r="GK104" s="704">
        <f>'Hodnocení '!GK100</f>
        <v>0.33175783553419019</v>
      </c>
      <c r="GL104" s="704">
        <f>'Hodnocení '!GL100</f>
        <v>0.35958871645909146</v>
      </c>
      <c r="GM104" s="704">
        <f>'Hodnocení '!GM100</f>
        <v>0.44825654311305946</v>
      </c>
      <c r="GN104" s="704">
        <f>'Hodnocení '!GN100</f>
        <v>0.54854122290900109</v>
      </c>
      <c r="GO104" s="704">
        <f>'Hodnocení '!GO100</f>
        <v>0.47524649920895806</v>
      </c>
      <c r="GP104" s="704">
        <f>'Hodnocení '!GP100</f>
        <v>0.36572408314123056</v>
      </c>
      <c r="GQ104" s="704">
        <f>'Hodnocení '!GQ100</f>
        <v>0.10834601935341331</v>
      </c>
      <c r="GR104" s="704">
        <f>'Hodnocení '!GR100</f>
        <v>0.36502583242170378</v>
      </c>
      <c r="GS104" s="704">
        <f>'Hodnocení '!GS100</f>
        <v>0</v>
      </c>
      <c r="GT104" s="704">
        <f>'Hodnocení '!GT100</f>
        <v>0.58763018562387859</v>
      </c>
      <c r="GU104" s="704">
        <f>'Hodnocení '!GU100</f>
        <v>0.37335794934214139</v>
      </c>
      <c r="GV104" s="704">
        <f>'Hodnocení '!GV100</f>
        <v>0.60147328337737282</v>
      </c>
      <c r="GW104" s="704">
        <f>'Hodnocení '!GW100</f>
        <v>0.42097733960984735</v>
      </c>
      <c r="GX104" s="704">
        <f>'Hodnocení '!GX100</f>
        <v>0.1771731653435179</v>
      </c>
      <c r="GY104" s="704">
        <f>'Hodnocení '!GY100</f>
        <v>0.32136391422684041</v>
      </c>
      <c r="GZ104" s="704">
        <f>'Hodnocení '!GZ100</f>
        <v>0</v>
      </c>
      <c r="HA104" s="704">
        <f>'Hodnocení '!HA100</f>
        <v>0.43925800165461726</v>
      </c>
      <c r="HB104" s="704">
        <f>'Hodnocení '!HB100</f>
        <v>0.21825672617961181</v>
      </c>
      <c r="HC104" s="704">
        <f>'Hodnocení '!HC100</f>
        <v>0.37724790204522535</v>
      </c>
      <c r="HD104" s="704">
        <f>'Hodnocení '!HD100</f>
        <v>0.47805842686382449</v>
      </c>
      <c r="HE104" s="704">
        <f>'Hodnocení '!HE100</f>
        <v>0.42571586285984098</v>
      </c>
      <c r="HF104" s="704">
        <f>'Hodnocení '!HF100</f>
        <v>0.27470261384948447</v>
      </c>
      <c r="HG104" s="704">
        <f>'Hodnocení '!HG100</f>
        <v>0.29927440144047557</v>
      </c>
      <c r="HH104" s="704">
        <f>'Hodnocení '!HH100</f>
        <v>0.5328352917932424</v>
      </c>
      <c r="HI104" s="704">
        <f>'Hodnocení '!HI100</f>
        <v>0.25101329753897078</v>
      </c>
      <c r="HJ104" s="704">
        <f>'Hodnocení '!HJ100</f>
        <v>0</v>
      </c>
      <c r="HK104" s="704">
        <f>'Hodnocení '!HK100</f>
        <v>0</v>
      </c>
      <c r="HL104" s="704">
        <f>'Hodnocení '!HL100</f>
        <v>0.64834529361054882</v>
      </c>
      <c r="HM104" s="704">
        <f>'Hodnocení '!HM100</f>
        <v>0.6679042512679334</v>
      </c>
      <c r="HN104" s="704">
        <f>'Hodnocení '!HN100</f>
        <v>0</v>
      </c>
      <c r="HO104" s="704">
        <f>'Hodnocení '!HO100</f>
        <v>0</v>
      </c>
      <c r="HP104" s="704">
        <f>'Hodnocení '!HP100</f>
        <v>0.66959652001952064</v>
      </c>
      <c r="HQ104" s="704">
        <f>'Hodnocení '!HQ100</f>
        <v>0.67178311626730802</v>
      </c>
      <c r="HR104" s="704">
        <f>'Hodnocení '!HR100</f>
        <v>0.64671027550014182</v>
      </c>
      <c r="HS104" s="704">
        <f>'Hodnocení '!HS100</f>
        <v>0.63929602834783428</v>
      </c>
      <c r="HT104" s="704">
        <f>'Hodnocení '!HT100</f>
        <v>0.56952710160093356</v>
      </c>
      <c r="HU104" s="704">
        <f>'Hodnocení '!HU100</f>
        <v>0.70525429031757003</v>
      </c>
      <c r="HV104" s="704">
        <f>'Hodnocení '!HV100</f>
        <v>0.61216190926891856</v>
      </c>
      <c r="HW104" s="704">
        <f>'Hodnocení '!HW100</f>
        <v>0.62651582147789175</v>
      </c>
      <c r="HX104" s="704">
        <f>'Hodnocení '!HX100</f>
        <v>0.63183621377515398</v>
      </c>
      <c r="HY104" s="704">
        <f>'Hodnocení '!HY100</f>
        <v>0.59340582042846657</v>
      </c>
      <c r="HZ104" s="704">
        <f>'Hodnocení '!HZ100</f>
        <v>0.66743309828609676</v>
      </c>
      <c r="IA104" s="704">
        <f>'Hodnocení '!IA100</f>
        <v>0.53877412369545907</v>
      </c>
      <c r="IB104" s="704">
        <f>'Hodnocení '!IB100</f>
        <v>0.63451584331902866</v>
      </c>
      <c r="IC104" s="704">
        <f>'Hodnocení '!IC100</f>
        <v>0.50860571596499782</v>
      </c>
      <c r="ID104" s="704">
        <f>'Hodnocení '!ID100</f>
        <v>0.66590849237205019</v>
      </c>
      <c r="IE104" s="704">
        <f>'Hodnocení '!IE100</f>
        <v>0.74256468469880499</v>
      </c>
      <c r="IF104" s="704">
        <f>'Hodnocení '!IF100</f>
        <v>0.47305984476858715</v>
      </c>
      <c r="IG104" s="704">
        <f>'Hodnocení '!IG100</f>
        <v>0.48072313101502495</v>
      </c>
      <c r="IH104" s="704">
        <f>'Hodnocení '!IH100</f>
        <v>0.62049847250517676</v>
      </c>
      <c r="II104" s="704">
        <f>'Hodnocení '!II100</f>
        <v>0.61665905078958749</v>
      </c>
      <c r="IJ104" s="704">
        <f>'Hodnocení '!IJ100</f>
        <v>0.63971377129964979</v>
      </c>
      <c r="IK104" s="704">
        <f>'Hodnocení '!IK100</f>
        <v>0</v>
      </c>
      <c r="IL104" s="704">
        <f>'Hodnocení '!IL100</f>
        <v>0.64657749544815257</v>
      </c>
      <c r="IM104" s="704">
        <f>'Hodnocení '!IM100</f>
        <v>0.65678170737117936</v>
      </c>
      <c r="IN104" s="704">
        <f>'Hodnocení '!IN100</f>
        <v>0.62155355019982872</v>
      </c>
      <c r="IO104" s="704">
        <f>'Hodnocení '!IO100</f>
        <v>0.63222569935766371</v>
      </c>
      <c r="IP104" s="704">
        <f>'Hodnocení '!IP100</f>
        <v>0.63445088403719796</v>
      </c>
      <c r="IQ104" s="704">
        <f>'Hodnocení '!IQ100</f>
        <v>0.60657261413281305</v>
      </c>
      <c r="IR104" s="704">
        <f>'Hodnocení '!IR100</f>
        <v>0.63270743512165595</v>
      </c>
      <c r="IS104" s="704">
        <f>'Hodnocení '!IS100</f>
        <v>0.52576478511124836</v>
      </c>
      <c r="IT104" s="704">
        <f>'Hodnocení '!IT100</f>
        <v>0.54108727797891132</v>
      </c>
      <c r="IU104" s="704">
        <f>'Hodnocení '!IU100</f>
        <v>0.63328953788287823</v>
      </c>
      <c r="IV104" s="704">
        <f>'Hodnocení '!IV100</f>
        <v>0.59641928875489614</v>
      </c>
      <c r="IW104" s="704">
        <f>'Hodnocení '!IW100</f>
        <v>0.59681809080430681</v>
      </c>
      <c r="IX104" s="704">
        <f>'Hodnocení '!IX100</f>
        <v>0.63328953788287823</v>
      </c>
      <c r="IY104" s="704">
        <f>'Hodnocení '!IY100</f>
        <v>0.71996031423442364</v>
      </c>
      <c r="IZ104" s="704">
        <f>'Hodnocení '!IZ100</f>
        <v>0.7162899440567867</v>
      </c>
      <c r="JA104" s="704">
        <f>'Hodnocení '!JA100</f>
        <v>0.68837248588754629</v>
      </c>
      <c r="JB104" s="704">
        <f>'Hodnocení '!JB100</f>
        <v>0.61547153402156973</v>
      </c>
      <c r="JC104" s="704">
        <f>'Hodnocení '!JC100</f>
        <v>0.61968721707195151</v>
      </c>
      <c r="JD104" s="704">
        <f>'Hodnocení '!JD100</f>
        <v>0.44688475461309884</v>
      </c>
      <c r="JE104" s="704">
        <f>'Hodnocení '!JE100</f>
        <v>2.8402121265302727E-2</v>
      </c>
      <c r="JF104" s="704">
        <f>'Hodnocení '!JF100</f>
        <v>0.68939956345392395</v>
      </c>
      <c r="JG104" s="704">
        <f>'Hodnocení '!JG100</f>
        <v>0.69553662554849616</v>
      </c>
      <c r="JH104" s="804">
        <f>'Hodnocení '!JH100</f>
        <v>0.95330000000000004</v>
      </c>
      <c r="JI104" s="765">
        <f>'Hodnocení '!JI100</f>
        <v>0</v>
      </c>
      <c r="JL104" s="584">
        <f>JL98/JL13</f>
        <v>0.90500127265320918</v>
      </c>
      <c r="JM104" s="584">
        <f>JM98/JM13</f>
        <v>0.70413201819111759</v>
      </c>
      <c r="JN104" s="584">
        <f>JN98/JN13</f>
        <v>0.44632256451418911</v>
      </c>
      <c r="JO104" s="584">
        <f>JO98/JO13</f>
        <v>0.61709715609752547</v>
      </c>
      <c r="JP104" s="584">
        <f>JP98/JP13</f>
        <v>0.6096847407147199</v>
      </c>
    </row>
    <row r="105" spans="1:276" hidden="1" x14ac:dyDescent="0.25">
      <c r="A105" s="353"/>
      <c r="B105" s="733" t="str">
        <f>B58</f>
        <v>Celkem 2019 (přes KHK)</v>
      </c>
      <c r="C105" s="779">
        <f>'Hodnocení '!C101</f>
        <v>7649000</v>
      </c>
      <c r="D105" s="479">
        <f>'Hodnocení '!D101</f>
        <v>6323100</v>
      </c>
      <c r="E105" s="479">
        <f>'Hodnocení '!E101</f>
        <v>8196405</v>
      </c>
      <c r="F105" s="479">
        <f>'Hodnocení '!F101</f>
        <v>3484600</v>
      </c>
      <c r="G105" s="479">
        <f>'Hodnocení '!G101</f>
        <v>8898350</v>
      </c>
      <c r="H105" s="479">
        <f>'Hodnocení '!H101</f>
        <v>851000</v>
      </c>
      <c r="I105" s="479">
        <f>'Hodnocení '!I101</f>
        <v>2220902</v>
      </c>
      <c r="J105" s="479">
        <f>'Hodnocení '!J101</f>
        <v>2592445</v>
      </c>
      <c r="K105" s="479">
        <f>'Hodnocení '!K101</f>
        <v>5369542</v>
      </c>
      <c r="L105" s="479">
        <f>'Hodnocení '!L101</f>
        <v>3774970</v>
      </c>
      <c r="M105" s="479">
        <f>'Hodnocení '!M101</f>
        <v>3637289</v>
      </c>
      <c r="N105" s="479">
        <f>'Hodnocení '!N101</f>
        <v>5245000</v>
      </c>
      <c r="O105" s="479">
        <f>'Hodnocení '!O101</f>
        <v>4154929</v>
      </c>
      <c r="P105" s="479">
        <f>'Hodnocení '!P101</f>
        <v>2345016</v>
      </c>
      <c r="Q105" s="479">
        <f>'Hodnocení '!Q101</f>
        <v>1465267</v>
      </c>
      <c r="R105" s="479">
        <f>'Hodnocení '!R101</f>
        <v>2124718.1</v>
      </c>
      <c r="S105" s="479">
        <f>'Hodnocení '!S101</f>
        <v>1637152.8</v>
      </c>
      <c r="T105" s="479">
        <f>'Hodnocení '!T101</f>
        <v>591336</v>
      </c>
      <c r="U105" s="479">
        <f>'Hodnocení '!U101</f>
        <v>1099204</v>
      </c>
      <c r="V105" s="479">
        <f>'Hodnocení '!V101</f>
        <v>9233620</v>
      </c>
      <c r="W105" s="479">
        <f>'Hodnocení '!W101</f>
        <v>1825000</v>
      </c>
      <c r="X105" s="479">
        <f>'Hodnocení '!X101</f>
        <v>1309890</v>
      </c>
      <c r="Y105" s="479">
        <f>'Hodnocení '!Y101</f>
        <v>1757810</v>
      </c>
      <c r="Z105" s="479">
        <f>'Hodnocení '!Z101</f>
        <v>6852000</v>
      </c>
      <c r="AA105" s="479">
        <f>'Hodnocení '!AA101</f>
        <v>3849820</v>
      </c>
      <c r="AB105" s="479">
        <f>'Hodnocení '!AB101</f>
        <v>3047940</v>
      </c>
      <c r="AC105" s="479">
        <f>'Hodnocení '!AC101</f>
        <v>2007500</v>
      </c>
      <c r="AD105" s="479">
        <f>'Hodnocení '!AD101</f>
        <v>1845240</v>
      </c>
      <c r="AE105" s="479">
        <f>'Hodnocení '!AE101</f>
        <v>1056608</v>
      </c>
      <c r="AF105" s="479">
        <f>'Hodnocení '!AF101</f>
        <v>2104207</v>
      </c>
      <c r="AG105" s="479">
        <f>'Hodnocení '!AG101</f>
        <v>3325752</v>
      </c>
      <c r="AH105" s="479">
        <f>'Hodnocení '!AH101</f>
        <v>767266</v>
      </c>
      <c r="AI105" s="479">
        <f>'Hodnocení '!AI101</f>
        <v>2893700</v>
      </c>
      <c r="AJ105" s="479">
        <f>'Hodnocení '!AJ101</f>
        <v>2450300</v>
      </c>
      <c r="AK105" s="479">
        <f>'Hodnocení '!AK101</f>
        <v>1197405</v>
      </c>
      <c r="AL105" s="479">
        <f>'Hodnocení '!AL101</f>
        <v>1860416</v>
      </c>
      <c r="AM105" s="479">
        <f>'Hodnocení '!AM101</f>
        <v>1374492</v>
      </c>
      <c r="AN105" s="479">
        <f>'Hodnocení '!AN101</f>
        <v>1027900</v>
      </c>
      <c r="AO105" s="479">
        <f>'Hodnocení '!AO101</f>
        <v>3729028</v>
      </c>
      <c r="AP105" s="479">
        <f>'Hodnocení '!AP101</f>
        <v>2259775</v>
      </c>
      <c r="AQ105" s="479">
        <f>'Hodnocení '!AQ101</f>
        <v>327938</v>
      </c>
      <c r="AR105" s="479">
        <f>'Hodnocení '!AR101</f>
        <v>1130591</v>
      </c>
      <c r="AS105" s="479">
        <f>'Hodnocení '!AS101</f>
        <v>450572</v>
      </c>
      <c r="AT105" s="479">
        <f>'Hodnocení '!AT101</f>
        <v>2175746</v>
      </c>
      <c r="AU105" s="479">
        <f>'Hodnocení '!AU101</f>
        <v>894272</v>
      </c>
      <c r="AV105" s="479">
        <f>'Hodnocení '!AV101</f>
        <v>1866618</v>
      </c>
      <c r="AW105" s="479">
        <f>'Hodnocení '!AW101</f>
        <v>3070875</v>
      </c>
      <c r="AX105" s="479">
        <f>'Hodnocení '!AX101</f>
        <v>2970020</v>
      </c>
      <c r="AY105" s="479">
        <f>'Hodnocení '!AY101</f>
        <v>3091452</v>
      </c>
      <c r="AZ105" s="479">
        <f>'Hodnocení '!AZ101</f>
        <v>2931235</v>
      </c>
      <c r="BA105" s="479">
        <f>'Hodnocení '!BA101</f>
        <v>7415268</v>
      </c>
      <c r="BB105" s="479">
        <f>'Hodnocení '!BB101</f>
        <v>1020124</v>
      </c>
      <c r="BC105" s="479">
        <f>'Hodnocení '!BC101</f>
        <v>1008745</v>
      </c>
      <c r="BD105" s="479">
        <f>'Hodnocení '!BD101</f>
        <v>1277820</v>
      </c>
      <c r="BE105" s="479">
        <f>'Hodnocení '!BE101</f>
        <v>1204150</v>
      </c>
      <c r="BF105" s="479">
        <f>'Hodnocení '!BF101</f>
        <v>1888960</v>
      </c>
      <c r="BG105" s="479">
        <f>'Hodnocení '!BG101</f>
        <v>2344216</v>
      </c>
      <c r="BH105" s="479">
        <f>'Hodnocení '!BH101</f>
        <v>2948068</v>
      </c>
      <c r="BI105" s="479">
        <f>'Hodnocení '!BI101</f>
        <v>1468100</v>
      </c>
      <c r="BJ105" s="479">
        <f>'Hodnocení '!BJ101</f>
        <v>2652621</v>
      </c>
      <c r="BK105" s="479">
        <f>'Hodnocení '!BK101</f>
        <v>852000</v>
      </c>
      <c r="BL105" s="479">
        <f>'Hodnocení '!BL101</f>
        <v>0</v>
      </c>
      <c r="BM105" s="479">
        <f>'Hodnocení '!BM101</f>
        <v>615100</v>
      </c>
      <c r="BN105" s="479">
        <f>'Hodnocení '!BN101</f>
        <v>1582000</v>
      </c>
      <c r="BO105" s="479">
        <f>'Hodnocení '!BO101</f>
        <v>762010</v>
      </c>
      <c r="BP105" s="479">
        <f>'Hodnocení '!BP101</f>
        <v>3919307</v>
      </c>
      <c r="BQ105" s="479">
        <f>'Hodnocení '!BQ101</f>
        <v>815436</v>
      </c>
      <c r="BR105" s="479">
        <f>'Hodnocení '!BR101</f>
        <v>874340</v>
      </c>
      <c r="BS105" s="479">
        <f>'Hodnocení '!BS101</f>
        <v>1297900</v>
      </c>
      <c r="BT105" s="479">
        <f>'Hodnocení '!BT101</f>
        <v>860100</v>
      </c>
      <c r="BU105" s="479">
        <f>'Hodnocení '!BU101</f>
        <v>3939338</v>
      </c>
      <c r="BV105" s="479">
        <f>'Hodnocení '!BV101</f>
        <v>588910</v>
      </c>
      <c r="BW105" s="479">
        <f>'Hodnocení '!BW101</f>
        <v>532683</v>
      </c>
      <c r="BX105" s="479">
        <f>'Hodnocení '!BX101</f>
        <v>4055253</v>
      </c>
      <c r="BY105" s="479">
        <f>'Hodnocení '!BY101</f>
        <v>1520144</v>
      </c>
      <c r="BZ105" s="479">
        <f>'Hodnocení '!BZ101</f>
        <v>324150</v>
      </c>
      <c r="CA105" s="479">
        <f>'Hodnocení '!CA101</f>
        <v>0</v>
      </c>
      <c r="CB105" s="479">
        <f>'Hodnocení '!CB101</f>
        <v>532263</v>
      </c>
      <c r="CC105" s="479">
        <f>'Hodnocení '!CC101</f>
        <v>2120418</v>
      </c>
      <c r="CD105" s="479">
        <f>'Hodnocení '!CD101</f>
        <v>647336</v>
      </c>
      <c r="CE105" s="479">
        <f>'Hodnocení '!CE101</f>
        <v>8268855</v>
      </c>
      <c r="CF105" s="479">
        <f>'Hodnocení '!CF101</f>
        <v>4326000</v>
      </c>
      <c r="CG105" s="479">
        <f>'Hodnocení '!CG101</f>
        <v>8224486</v>
      </c>
      <c r="CH105" s="479">
        <f>'Hodnocení '!CH101</f>
        <v>3654346</v>
      </c>
      <c r="CI105" s="479">
        <f>'Hodnocení '!CI101</f>
        <v>2882766</v>
      </c>
      <c r="CJ105" s="479">
        <f>'Hodnocení '!CJ101</f>
        <v>3459530</v>
      </c>
      <c r="CK105" s="479">
        <f>'Hodnocení '!CK101</f>
        <v>4176623</v>
      </c>
      <c r="CL105" s="479">
        <f>'Hodnocení '!CL101</f>
        <v>2384969</v>
      </c>
      <c r="CM105" s="479">
        <f>'Hodnocení '!CM101</f>
        <v>5320660</v>
      </c>
      <c r="CN105" s="479">
        <f>'Hodnocení '!CN101</f>
        <v>1282575.1399999999</v>
      </c>
      <c r="CO105" s="479">
        <f>'Hodnocení '!CO101</f>
        <v>1214500</v>
      </c>
      <c r="CP105" s="479">
        <f>'Hodnocení '!CP101</f>
        <v>1238425.46</v>
      </c>
      <c r="CQ105" s="479">
        <f>'Hodnocení '!CQ101</f>
        <v>4606266</v>
      </c>
      <c r="CR105" s="479">
        <f>'Hodnocení '!CR101</f>
        <v>1616800</v>
      </c>
      <c r="CS105" s="479">
        <f>'Hodnocení '!CS101</f>
        <v>0</v>
      </c>
      <c r="CT105" s="479">
        <f>'Hodnocení '!CT101</f>
        <v>5070000</v>
      </c>
      <c r="CU105" s="479">
        <f>'Hodnocení '!CU101</f>
        <v>1400500</v>
      </c>
      <c r="CV105" s="479">
        <f>'Hodnocení '!CV101</f>
        <v>5031500</v>
      </c>
      <c r="CW105" s="479">
        <f>'Hodnocení '!CW101</f>
        <v>271401</v>
      </c>
      <c r="CX105" s="479">
        <f>'Hodnocení '!CX101</f>
        <v>3128000</v>
      </c>
      <c r="CY105" s="479">
        <f>'Hodnocení '!CY101</f>
        <v>2748954</v>
      </c>
      <c r="CZ105" s="479">
        <f>'Hodnocení '!CZ101</f>
        <v>1006700</v>
      </c>
      <c r="DA105" s="479">
        <f>'Hodnocení '!DA101</f>
        <v>5580860</v>
      </c>
      <c r="DB105" s="479">
        <f>'Hodnocení '!DB101</f>
        <v>665328</v>
      </c>
      <c r="DC105" s="479">
        <f>'Hodnocení '!DC101</f>
        <v>1623500</v>
      </c>
      <c r="DD105" s="479">
        <f>'Hodnocení '!DD101</f>
        <v>4680513</v>
      </c>
      <c r="DE105" s="479">
        <f>'Hodnocení '!DE101</f>
        <v>7167606</v>
      </c>
      <c r="DF105" s="479">
        <f>'Hodnocení '!DF101</f>
        <v>5216852</v>
      </c>
      <c r="DG105" s="479">
        <f>'Hodnocení '!DG101</f>
        <v>605740</v>
      </c>
      <c r="DH105" s="479">
        <f>'Hodnocení '!DH101</f>
        <v>1606367.6400000001</v>
      </c>
      <c r="DI105" s="479">
        <f>'Hodnocení '!DI101</f>
        <v>1093940</v>
      </c>
      <c r="DJ105" s="479">
        <f>'Hodnocení '!DJ101</f>
        <v>1816958</v>
      </c>
      <c r="DK105" s="479">
        <f>'Hodnocení '!DK101</f>
        <v>910471</v>
      </c>
      <c r="DL105" s="479">
        <f>'Hodnocení '!DL101</f>
        <v>3817224</v>
      </c>
      <c r="DM105" s="479">
        <f>'Hodnocení '!DM101</f>
        <v>1734348</v>
      </c>
      <c r="DN105" s="479">
        <f>'Hodnocení '!DN101</f>
        <v>2980765</v>
      </c>
      <c r="DO105" s="479">
        <f>'Hodnocení '!DO101</f>
        <v>1397775</v>
      </c>
      <c r="DP105" s="479">
        <f>'Hodnocení '!DP101</f>
        <v>4045363.78</v>
      </c>
      <c r="DQ105" s="479">
        <f>'Hodnocení '!DQ101</f>
        <v>3907852</v>
      </c>
      <c r="DR105" s="479">
        <f>'Hodnocení '!DR101</f>
        <v>4477376</v>
      </c>
      <c r="DS105" s="479">
        <f>'Hodnocení '!DS101</f>
        <v>331000</v>
      </c>
      <c r="DT105" s="479">
        <f>'Hodnocení '!DT101</f>
        <v>2906291</v>
      </c>
      <c r="DU105" s="479">
        <f>'Hodnocení '!DU101</f>
        <v>2100600</v>
      </c>
      <c r="DV105" s="479">
        <f>'Hodnocení '!DV101</f>
        <v>3145477</v>
      </c>
      <c r="DW105" s="479">
        <f>'Hodnocení '!DW101</f>
        <v>1211410</v>
      </c>
      <c r="DX105" s="479">
        <f>'Hodnocení '!DX101</f>
        <v>4030918</v>
      </c>
      <c r="DY105" s="479">
        <f>'Hodnocení '!DY101</f>
        <v>3755150</v>
      </c>
      <c r="DZ105" s="479">
        <f>'Hodnocení '!DZ101</f>
        <v>716300</v>
      </c>
      <c r="EA105" s="479">
        <f>'Hodnocení '!EA101</f>
        <v>3895188</v>
      </c>
      <c r="EB105" s="479">
        <f>'Hodnocení '!EB101</f>
        <v>3882690</v>
      </c>
      <c r="EC105" s="479">
        <f>'Hodnocení '!EC101</f>
        <v>3345254</v>
      </c>
      <c r="ED105" s="479">
        <f>'Hodnocení '!ED101</f>
        <v>3472808</v>
      </c>
      <c r="EE105" s="479">
        <f>'Hodnocení '!EE101</f>
        <v>563624</v>
      </c>
      <c r="EF105" s="479">
        <f>'Hodnocení '!EF101</f>
        <v>669087.59</v>
      </c>
      <c r="EG105" s="479">
        <f>'Hodnocení '!EG101</f>
        <v>427828.99</v>
      </c>
      <c r="EH105" s="479">
        <f>'Hodnocení '!EH101</f>
        <v>559670</v>
      </c>
      <c r="EI105" s="479">
        <f>'Hodnocení '!EI101</f>
        <v>910753</v>
      </c>
      <c r="EJ105" s="479">
        <f>'Hodnocení '!EJ101</f>
        <v>1034374</v>
      </c>
      <c r="EK105" s="479">
        <f>'Hodnocení '!EK101</f>
        <v>3932042</v>
      </c>
      <c r="EL105" s="479">
        <f>'Hodnocení '!EL101</f>
        <v>8624026</v>
      </c>
      <c r="EM105" s="479">
        <f>'Hodnocení '!EM101</f>
        <v>2698808</v>
      </c>
      <c r="EN105" s="479">
        <f>'Hodnocení '!EN101</f>
        <v>2394473</v>
      </c>
      <c r="EO105" s="479">
        <f>'Hodnocení '!EO101</f>
        <v>236418</v>
      </c>
      <c r="EP105" s="479">
        <f>'Hodnocení '!EP101</f>
        <v>2171123</v>
      </c>
      <c r="EQ105" s="479">
        <f>'Hodnocení '!EQ101</f>
        <v>1844122</v>
      </c>
      <c r="ER105" s="479">
        <f>'Hodnocení '!ER101</f>
        <v>5251868</v>
      </c>
      <c r="ES105" s="479">
        <f>'Hodnocení '!ES101</f>
        <v>2770560</v>
      </c>
      <c r="ET105" s="479">
        <f>'Hodnocení '!ET101</f>
        <v>0</v>
      </c>
      <c r="EU105" s="479">
        <f>'Hodnocení '!EU101</f>
        <v>804000</v>
      </c>
      <c r="EV105" s="479">
        <f>'Hodnocení '!EV101</f>
        <v>225535</v>
      </c>
      <c r="EW105" s="479">
        <f>'Hodnocení '!EW101</f>
        <v>2356313</v>
      </c>
      <c r="EX105" s="479">
        <f>'Hodnocení '!EX101</f>
        <v>5404290</v>
      </c>
      <c r="EY105" s="479">
        <f>'Hodnocení '!EY101</f>
        <v>2044845</v>
      </c>
      <c r="EZ105" s="479">
        <f>'Hodnocení '!EZ101</f>
        <v>111326</v>
      </c>
      <c r="FA105" s="479">
        <f>'Hodnocení '!FA101</f>
        <v>793692</v>
      </c>
      <c r="FB105" s="479">
        <f>'Hodnocení '!FB101</f>
        <v>139761</v>
      </c>
      <c r="FC105" s="479">
        <f>'Hodnocení '!FC101</f>
        <v>3000000</v>
      </c>
      <c r="FD105" s="479">
        <f>'Hodnocení '!FD101</f>
        <v>772461</v>
      </c>
      <c r="FE105" s="479">
        <f>'Hodnocení '!FE101</f>
        <v>262500</v>
      </c>
      <c r="FF105" s="479">
        <f>'Hodnocení '!FF101</f>
        <v>1117120</v>
      </c>
      <c r="FG105" s="479">
        <f>'Hodnocení '!FG101</f>
        <v>4683650</v>
      </c>
      <c r="FH105" s="479">
        <f>'Hodnocení '!FH101</f>
        <v>5519580</v>
      </c>
      <c r="FI105" s="479">
        <f>'Hodnocení '!FI101</f>
        <v>5568487</v>
      </c>
      <c r="FJ105" s="479">
        <f>'Hodnocení '!FJ101</f>
        <v>1579046</v>
      </c>
      <c r="FK105" s="479">
        <f>'Hodnocení '!FK101</f>
        <v>281852</v>
      </c>
      <c r="FL105" s="479">
        <f>'Hodnocení '!FL101</f>
        <v>601762</v>
      </c>
      <c r="FM105" s="479">
        <f>'Hodnocení '!FM101</f>
        <v>2626403</v>
      </c>
      <c r="FN105" s="479">
        <f>'Hodnocení '!FN101</f>
        <v>6459380</v>
      </c>
      <c r="FO105" s="479">
        <f>'Hodnocení '!FO101</f>
        <v>1659657</v>
      </c>
      <c r="FP105" s="479">
        <f>'Hodnocení '!FP101</f>
        <v>12144452</v>
      </c>
      <c r="FQ105" s="479">
        <f>'Hodnocení '!FQ101</f>
        <v>1909423</v>
      </c>
      <c r="FR105" s="695">
        <f>'Hodnocení '!FR101</f>
        <v>0</v>
      </c>
      <c r="FS105" s="479">
        <f>'Hodnocení '!FS101</f>
        <v>477570</v>
      </c>
      <c r="FT105" s="479">
        <f>'Hodnocení '!FT101</f>
        <v>2948610</v>
      </c>
      <c r="FU105" s="479">
        <f>'Hodnocení '!FU101</f>
        <v>426547</v>
      </c>
      <c r="FV105" s="479">
        <f>'Hodnocení '!FV101</f>
        <v>559074</v>
      </c>
      <c r="FW105" s="479">
        <f>'Hodnocení '!FW101</f>
        <v>1013735</v>
      </c>
      <c r="FX105" s="479">
        <f>'Hodnocení '!FX101</f>
        <v>364926</v>
      </c>
      <c r="FY105" s="479">
        <f>'Hodnocení '!FY101</f>
        <v>209591</v>
      </c>
      <c r="FZ105" s="479">
        <f>'Hodnocení '!FZ101</f>
        <v>2576210</v>
      </c>
      <c r="GA105" s="479">
        <f>'Hodnocení '!GA101</f>
        <v>234850</v>
      </c>
      <c r="GB105" s="479">
        <f>'Hodnocení '!GB101</f>
        <v>1751320</v>
      </c>
      <c r="GC105" s="479">
        <f>'Hodnocení '!GC101</f>
        <v>2155529</v>
      </c>
      <c r="GD105" s="479">
        <f>'Hodnocení '!GD101</f>
        <v>7122291</v>
      </c>
      <c r="GE105" s="479">
        <f>'Hodnocení '!GE101</f>
        <v>1339065</v>
      </c>
      <c r="GF105" s="479">
        <f>'Hodnocení '!GF101</f>
        <v>3590557</v>
      </c>
      <c r="GG105" s="479">
        <f>'Hodnocení '!GG101</f>
        <v>1289981</v>
      </c>
      <c r="GH105" s="479">
        <f>'Hodnocení '!GH101</f>
        <v>1089582</v>
      </c>
      <c r="GI105" s="479">
        <f>'Hodnocení '!GI101</f>
        <v>6898917</v>
      </c>
      <c r="GJ105" s="479">
        <f>'Hodnocení '!GJ101</f>
        <v>1667501</v>
      </c>
      <c r="GK105" s="479">
        <f>'Hodnocení '!GK101</f>
        <v>666130</v>
      </c>
      <c r="GL105" s="479">
        <f>'Hodnocení '!GL101</f>
        <v>529296</v>
      </c>
      <c r="GM105" s="479">
        <f>'Hodnocení '!GM101</f>
        <v>753240</v>
      </c>
      <c r="GN105" s="479">
        <f>'Hodnocení '!GN101</f>
        <v>603116</v>
      </c>
      <c r="GO105" s="479">
        <f>'Hodnocení '!GO101</f>
        <v>3581549</v>
      </c>
      <c r="GP105" s="479">
        <f>'Hodnocení '!GP101</f>
        <v>520270</v>
      </c>
      <c r="GQ105" s="479">
        <f>'Hodnocení '!GQ101</f>
        <v>740230</v>
      </c>
      <c r="GR105" s="479">
        <f>'Hodnocení '!GR101</f>
        <v>693152</v>
      </c>
      <c r="GS105" s="479">
        <f>'Hodnocení '!GS101</f>
        <v>165886</v>
      </c>
      <c r="GT105" s="479">
        <f>'Hodnocení '!GT101</f>
        <v>8345502</v>
      </c>
      <c r="GU105" s="479">
        <f>'Hodnocení '!GU101</f>
        <v>761571</v>
      </c>
      <c r="GV105" s="479">
        <f>'Hodnocení '!GV101</f>
        <v>4959810</v>
      </c>
      <c r="GW105" s="479">
        <f>'Hodnocení '!GW101</f>
        <v>1133866</v>
      </c>
      <c r="GX105" s="479">
        <f>'Hodnocení '!GX101</f>
        <v>154333</v>
      </c>
      <c r="GY105" s="479">
        <f>'Hodnocení '!GY101</f>
        <v>10721860</v>
      </c>
      <c r="GZ105" s="479">
        <f>'Hodnocení '!GZ101</f>
        <v>0</v>
      </c>
      <c r="HA105" s="479">
        <f>'Hodnocení '!HA101</f>
        <v>4876560</v>
      </c>
      <c r="HB105" s="479">
        <f>'Hodnocení '!HB101</f>
        <v>1991460</v>
      </c>
      <c r="HC105" s="479">
        <f>'Hodnocení '!HC101</f>
        <v>5134000</v>
      </c>
      <c r="HD105" s="479">
        <f>'Hodnocení '!HD101</f>
        <v>1401300</v>
      </c>
      <c r="HE105" s="479">
        <f>'Hodnocení '!HE101</f>
        <v>4443200</v>
      </c>
      <c r="HF105" s="479">
        <f>'Hodnocení '!HF101</f>
        <v>707286</v>
      </c>
      <c r="HG105" s="479">
        <f>'Hodnocení '!HG101</f>
        <v>518077</v>
      </c>
      <c r="HH105" s="479">
        <f>'Hodnocení '!HH101</f>
        <v>1985778</v>
      </c>
      <c r="HI105" s="479">
        <f>'Hodnocení '!HI101</f>
        <v>1514623</v>
      </c>
      <c r="HJ105" s="479">
        <f>'Hodnocení '!HJ101</f>
        <v>495460</v>
      </c>
      <c r="HK105" s="479">
        <f>'Hodnocení '!HK101</f>
        <v>144000</v>
      </c>
      <c r="HL105" s="479">
        <f>'Hodnocení '!HL101</f>
        <v>37366967.243574739</v>
      </c>
      <c r="HM105" s="479">
        <f>'Hodnocení '!HM101</f>
        <v>25001512.541579321</v>
      </c>
      <c r="HN105" s="479">
        <f>'Hodnocení '!HN101</f>
        <v>808776.41538817156</v>
      </c>
      <c r="HO105" s="479">
        <f>'Hodnocení '!HO101</f>
        <v>2876769.799457768</v>
      </c>
      <c r="HP105" s="479">
        <f>'Hodnocení '!HP101</f>
        <v>27787218</v>
      </c>
      <c r="HQ105" s="479">
        <f>'Hodnocení '!HQ101</f>
        <v>978043.38080963399</v>
      </c>
      <c r="HR105" s="479">
        <f>'Hodnocení '!HR101</f>
        <v>33541191.281565275</v>
      </c>
      <c r="HS105" s="479">
        <f>'Hodnocení '!HS101</f>
        <v>5691227.33762509</v>
      </c>
      <c r="HT105" s="479">
        <f>'Hodnocení '!HT101</f>
        <v>22599685</v>
      </c>
      <c r="HU105" s="479">
        <f>'Hodnocení '!HU101</f>
        <v>21507994</v>
      </c>
      <c r="HV105" s="479">
        <f>'Hodnocení '!HV101</f>
        <v>16689127</v>
      </c>
      <c r="HW105" s="479">
        <f>'Hodnocení '!HW101</f>
        <v>6965541.9659980796</v>
      </c>
      <c r="HX105" s="479">
        <f>'Hodnocení '!HX101</f>
        <v>17983528.03400192</v>
      </c>
      <c r="HY105" s="479">
        <f>'Hodnocení '!HY101</f>
        <v>21105762</v>
      </c>
      <c r="HZ105" s="479">
        <f>'Hodnocení '!HZ101</f>
        <v>9565941</v>
      </c>
      <c r="IA105" s="479">
        <f>'Hodnocení '!IA101</f>
        <v>9107487</v>
      </c>
      <c r="IB105" s="479">
        <f>'Hodnocení '!IB101</f>
        <v>8575181</v>
      </c>
      <c r="IC105" s="479">
        <f>'Hodnocení '!IC101</f>
        <v>11233714.822746631</v>
      </c>
      <c r="ID105" s="479">
        <f>'Hodnocení '!ID101</f>
        <v>9255791.1772533692</v>
      </c>
      <c r="IE105" s="479">
        <f>'Hodnocení '!IE101</f>
        <v>16188892</v>
      </c>
      <c r="IF105" s="479">
        <f>'Hodnocení '!IF101</f>
        <v>20259987.198794641</v>
      </c>
      <c r="IG105" s="479">
        <f>'Hodnocení '!IG101</f>
        <v>5446079.8012053594</v>
      </c>
      <c r="IH105" s="479">
        <f>'Hodnocení '!IH101</f>
        <v>3012886.5890955012</v>
      </c>
      <c r="II105" s="479">
        <f>'Hodnocení '!II101</f>
        <v>20841865.049244203</v>
      </c>
      <c r="IJ105" s="479">
        <f>'Hodnocení '!IJ101</f>
        <v>1674908.5338407224</v>
      </c>
      <c r="IK105" s="479">
        <f>'Hodnocení '!IK101</f>
        <v>3577558.8278195728</v>
      </c>
      <c r="IL105" s="479">
        <f>'Hodnocení '!IL101</f>
        <v>9204656</v>
      </c>
      <c r="IM105" s="479">
        <f>'Hodnocení '!IM101</f>
        <v>701837.84282009513</v>
      </c>
      <c r="IN105" s="479">
        <f>'Hodnocení '!IN101</f>
        <v>10213951.504810652</v>
      </c>
      <c r="IO105" s="479">
        <f>'Hodnocení '!IO101</f>
        <v>3412493.6523692533</v>
      </c>
      <c r="IP105" s="479">
        <f>'Hodnocení '!IP101</f>
        <v>22515867</v>
      </c>
      <c r="IQ105" s="479">
        <f>'Hodnocení '!IQ101</f>
        <v>22563962.666168727</v>
      </c>
      <c r="IR105" s="479">
        <f>'Hodnocení '!IR101</f>
        <v>1003066.3338312713</v>
      </c>
      <c r="IS105" s="479">
        <f>'Hodnocení '!IS101</f>
        <v>53065674.509968996</v>
      </c>
      <c r="IT105" s="479">
        <f>'Hodnocení '!IT101</f>
        <v>12209859.490031004</v>
      </c>
      <c r="IU105" s="479">
        <f>'Hodnocení '!IU101</f>
        <v>3182630.0362361362</v>
      </c>
      <c r="IV105" s="479">
        <f>'Hodnocení '!IV101</f>
        <v>8522404.8188311569</v>
      </c>
      <c r="IW105" s="479">
        <f>'Hodnocení '!IW101</f>
        <v>15638894.711101327</v>
      </c>
      <c r="IX105" s="479">
        <f>'Hodnocení '!IX101</f>
        <v>1813436.4338313788</v>
      </c>
      <c r="IY105" s="479">
        <f>'Hodnocení '!IY101</f>
        <v>7604648.4471565671</v>
      </c>
      <c r="IZ105" s="479">
        <f>'Hodnocení '!IZ101</f>
        <v>18227943.552843433</v>
      </c>
      <c r="JA105" s="479">
        <f>'Hodnocení '!JA101</f>
        <v>3037151.73</v>
      </c>
      <c r="JB105" s="479">
        <f>'Hodnocení '!JB101</f>
        <v>2895174.04</v>
      </c>
      <c r="JC105" s="479">
        <f>'Hodnocení '!JC101</f>
        <v>2268778.09</v>
      </c>
      <c r="JD105" s="479">
        <f>'Hodnocení '!JD101</f>
        <v>5052980.7</v>
      </c>
      <c r="JE105" s="479">
        <f>'Hodnocení '!JE101</f>
        <v>1159105.145059247</v>
      </c>
      <c r="JF105" s="479">
        <f>'Hodnocení '!JF101</f>
        <v>29898599.85494075</v>
      </c>
      <c r="JG105" s="479">
        <f>'Hodnocení '!JG101</f>
        <v>30541537</v>
      </c>
      <c r="JH105" s="780">
        <f>'Hodnocení '!JH101</f>
        <v>868740</v>
      </c>
      <c r="JI105" s="315">
        <f>'Hodnocení '!JI101</f>
        <v>0</v>
      </c>
      <c r="JL105" s="307">
        <f t="shared" ref="JL105:JO109" si="57">SUMIFS($C105:$JH105,$C$5:$JH$5,JL$5)</f>
        <v>22168505</v>
      </c>
      <c r="JM105" s="307">
        <f t="shared" si="57"/>
        <v>364768028.49999994</v>
      </c>
      <c r="JN105" s="307">
        <f t="shared" si="57"/>
        <v>153322946</v>
      </c>
      <c r="JO105" s="307">
        <f t="shared" si="57"/>
        <v>625247030.56000006</v>
      </c>
      <c r="JP105" s="307">
        <f t="shared" ref="JP105:JP109" si="58">SUM(JL105:JO105)</f>
        <v>1165506510.0599999</v>
      </c>
    </row>
    <row r="106" spans="1:276" hidden="1" x14ac:dyDescent="0.25">
      <c r="A106" s="353"/>
      <c r="B106" s="733" t="s">
        <v>2593</v>
      </c>
      <c r="C106" s="779">
        <f>'Hodnocení '!C102</f>
        <v>8884422.5558247231</v>
      </c>
      <c r="D106" s="479">
        <f>'Hodnocení '!D102</f>
        <v>7730000</v>
      </c>
      <c r="E106" s="479">
        <f>'Hodnocení '!E102</f>
        <v>8299184.4088107003</v>
      </c>
      <c r="F106" s="479">
        <f>'Hodnocení '!F102</f>
        <v>3616884.7088353573</v>
      </c>
      <c r="G106" s="479">
        <f>'Hodnocení '!G102</f>
        <v>10328003.127290595</v>
      </c>
      <c r="H106" s="479">
        <f>'Hodnocení '!H102</f>
        <v>916710.41611130896</v>
      </c>
      <c r="I106" s="479">
        <f>'Hodnocení '!I102</f>
        <v>3162879.4741952131</v>
      </c>
      <c r="J106" s="479">
        <f>'Hodnocení '!J102</f>
        <v>2804600.7844202179</v>
      </c>
      <c r="K106" s="479">
        <f>'Hodnocení '!K102</f>
        <v>5988080</v>
      </c>
      <c r="L106" s="479">
        <f>'Hodnocení '!L102</f>
        <v>3774970</v>
      </c>
      <c r="M106" s="479">
        <f>'Hodnocení '!M102</f>
        <v>3667775.238895766</v>
      </c>
      <c r="N106" s="479">
        <f>'Hodnocení '!N102</f>
        <v>5360828.6030266704</v>
      </c>
      <c r="O106" s="479">
        <f>'Hodnocení '!O102</f>
        <v>4346141</v>
      </c>
      <c r="P106" s="479">
        <f>'Hodnocení '!P102</f>
        <v>2570026.0021816893</v>
      </c>
      <c r="Q106" s="479">
        <f>'Hodnocení '!Q102</f>
        <v>1836488.4791010155</v>
      </c>
      <c r="R106" s="479">
        <f>'Hodnocení '!R102</f>
        <v>2091000</v>
      </c>
      <c r="S106" s="479">
        <f>'Hodnocení '!S102</f>
        <v>1637152.8</v>
      </c>
      <c r="T106" s="479">
        <f>'Hodnocení '!T102</f>
        <v>622773.51077815378</v>
      </c>
      <c r="U106" s="479">
        <f>'Hodnocení '!U102</f>
        <v>1087500</v>
      </c>
      <c r="V106" s="479">
        <f>'Hodnocení '!V102</f>
        <v>9233620</v>
      </c>
      <c r="W106" s="479">
        <f>'Hodnocení '!W102</f>
        <v>2130000</v>
      </c>
      <c r="X106" s="479">
        <f>'Hodnocení '!X102</f>
        <v>2304335.8095085779</v>
      </c>
      <c r="Y106" s="479">
        <f>'Hodnocení '!Y102</f>
        <v>1770700</v>
      </c>
      <c r="Z106" s="479">
        <f>'Hodnocení '!Z102</f>
        <v>7231924</v>
      </c>
      <c r="AA106" s="479">
        <f>'Hodnocení '!AA102</f>
        <v>4244705.4490248738</v>
      </c>
      <c r="AB106" s="479">
        <f>'Hodnocení '!AB102</f>
        <v>3678130.7057224135</v>
      </c>
      <c r="AC106" s="479">
        <f>'Hodnocení '!AC102</f>
        <v>481158.31194833241</v>
      </c>
      <c r="AD106" s="479">
        <f>'Hodnocení '!AD102</f>
        <v>2590229.1206235653</v>
      </c>
      <c r="AE106" s="479">
        <f>'Hodnocení '!AE102</f>
        <v>1133448.5258989439</v>
      </c>
      <c r="AF106" s="479">
        <f>'Hodnocení '!AF102</f>
        <v>3323451.9295379585</v>
      </c>
      <c r="AG106" s="479">
        <f>'Hodnocení '!AG102</f>
        <v>3450812.7548698969</v>
      </c>
      <c r="AH106" s="479">
        <f>'Hodnocení '!AH102</f>
        <v>760000</v>
      </c>
      <c r="AI106" s="479">
        <f>'Hodnocení '!AI102</f>
        <v>3404000</v>
      </c>
      <c r="AJ106" s="479">
        <f>'Hodnocení '!AJ102</f>
        <v>2585000</v>
      </c>
      <c r="AK106" s="479">
        <f>'Hodnocení '!AK102</f>
        <v>1251400</v>
      </c>
      <c r="AL106" s="479">
        <f>'Hodnocení '!AL102</f>
        <v>1952909.1633510776</v>
      </c>
      <c r="AM106" s="479">
        <f>'Hodnocení '!AM102</f>
        <v>1499708.3726341231</v>
      </c>
      <c r="AN106" s="479">
        <f>'Hodnocení '!AN102</f>
        <v>1148955.198498779</v>
      </c>
      <c r="AO106" s="479">
        <f>'Hodnocení '!AO102</f>
        <v>4903755.5596356187</v>
      </c>
      <c r="AP106" s="479">
        <f>'Hodnocení '!AP102</f>
        <v>2124765.1162296012</v>
      </c>
      <c r="AQ106" s="479">
        <f>'Hodnocení '!AQ102</f>
        <v>491000</v>
      </c>
      <c r="AR106" s="479">
        <f>'Hodnocení '!AR102</f>
        <v>1531740.3992508459</v>
      </c>
      <c r="AS106" s="479">
        <f>'Hodnocení '!AS102</f>
        <v>495253.22022333386</v>
      </c>
      <c r="AT106" s="479">
        <f>'Hodnocení '!AT102</f>
        <v>2498113.4323683418</v>
      </c>
      <c r="AU106" s="479">
        <f>'Hodnocení '!AU102</f>
        <v>992216.93946642126</v>
      </c>
      <c r="AV106" s="479">
        <f>'Hodnocení '!AV102</f>
        <v>2003660.6772952261</v>
      </c>
      <c r="AW106" s="479">
        <f>'Hodnocení '!AW102</f>
        <v>3359522.5550434329</v>
      </c>
      <c r="AX106" s="479">
        <f>'Hodnocení '!AX102</f>
        <v>3240135.311080751</v>
      </c>
      <c r="AY106" s="479">
        <f>'Hodnocení '!AY102</f>
        <v>3300190.5406568907</v>
      </c>
      <c r="AZ106" s="479">
        <f>'Hodnocení '!AZ102</f>
        <v>2981000</v>
      </c>
      <c r="BA106" s="479">
        <f>'Hodnocení '!BA102</f>
        <v>9230000</v>
      </c>
      <c r="BB106" s="479">
        <f>'Hodnocení '!BB102</f>
        <v>1312920</v>
      </c>
      <c r="BC106" s="479">
        <f>'Hodnocení '!BC102</f>
        <v>1223742.4938025323</v>
      </c>
      <c r="BD106" s="479">
        <f>'Hodnocení '!BD102</f>
        <v>1916258.3325785431</v>
      </c>
      <c r="BE106" s="479">
        <f>'Hodnocení '!BE102</f>
        <v>1290934.3566507786</v>
      </c>
      <c r="BF106" s="479">
        <f>'Hodnocení '!BF102</f>
        <v>2020000</v>
      </c>
      <c r="BG106" s="479">
        <f>'Hodnocení '!BG102</f>
        <v>2499000</v>
      </c>
      <c r="BH106" s="479">
        <f>'Hodnocení '!BH102</f>
        <v>3206000</v>
      </c>
      <c r="BI106" s="479">
        <f>'Hodnocení '!BI102</f>
        <v>1270000</v>
      </c>
      <c r="BJ106" s="479">
        <f>'Hodnocení '!BJ102</f>
        <v>2734458.8535647267</v>
      </c>
      <c r="BK106" s="479">
        <f>'Hodnocení '!BK102</f>
        <v>988000</v>
      </c>
      <c r="BL106" s="479">
        <f>'Hodnocení '!BL102</f>
        <v>455138.49500087276</v>
      </c>
      <c r="BM106" s="479">
        <f>'Hodnocení '!BM102</f>
        <v>1464826</v>
      </c>
      <c r="BN106" s="479">
        <f>'Hodnocení '!BN102</f>
        <v>1657101.9931537434</v>
      </c>
      <c r="BO106" s="479">
        <f>'Hodnocení '!BO102</f>
        <v>1051279.6524752458</v>
      </c>
      <c r="BP106" s="479">
        <f>'Hodnocení '!BP102</f>
        <v>4652080</v>
      </c>
      <c r="BQ106" s="479">
        <f>'Hodnocení '!BQ102</f>
        <v>913797.62127129629</v>
      </c>
      <c r="BR106" s="479">
        <f>'Hodnocení '!BR102</f>
        <v>1013021</v>
      </c>
      <c r="BS106" s="479">
        <f>'Hodnocení '!BS102</f>
        <v>1310282.2989678741</v>
      </c>
      <c r="BT106" s="479">
        <f>'Hodnocení '!BT102</f>
        <v>914160.26616723067</v>
      </c>
      <c r="BU106" s="479">
        <f>'Hodnocení '!BU102</f>
        <v>3939338</v>
      </c>
      <c r="BV106" s="479">
        <f>'Hodnocení '!BV102</f>
        <v>1177908.0353182531</v>
      </c>
      <c r="BW106" s="479">
        <f>'Hodnocení '!BW102</f>
        <v>532683</v>
      </c>
      <c r="BX106" s="479">
        <f>'Hodnocení '!BX102</f>
        <v>4708889.1910633538</v>
      </c>
      <c r="BY106" s="479">
        <f>'Hodnocení '!BY102</f>
        <v>1520144</v>
      </c>
      <c r="BZ106" s="479">
        <f>'Hodnocení '!BZ102</f>
        <v>324150</v>
      </c>
      <c r="CA106" s="479">
        <f>'Hodnocení '!CA102</f>
        <v>0</v>
      </c>
      <c r="CB106" s="479">
        <f>'Hodnocení '!CB102</f>
        <v>571519.10142146726</v>
      </c>
      <c r="CC106" s="479">
        <f>'Hodnocení '!CC102</f>
        <v>2238055.6625416637</v>
      </c>
      <c r="CD106" s="479">
        <f>'Hodnocení '!CD102</f>
        <v>661848.21685573971</v>
      </c>
      <c r="CE106" s="479">
        <f>'Hodnocení '!CE102</f>
        <v>9715050.1253167707</v>
      </c>
      <c r="CF106" s="479">
        <f>'Hodnocení '!CF102</f>
        <v>4453617.8393289512</v>
      </c>
      <c r="CG106" s="479">
        <f>'Hodnocení '!CG102</f>
        <v>8768581.4960704464</v>
      </c>
      <c r="CH106" s="479">
        <f>'Hodnocení '!CH102</f>
        <v>3959479.0792496316</v>
      </c>
      <c r="CI106" s="479">
        <f>'Hodnocení '!CI102</f>
        <v>3318851.9671994289</v>
      </c>
      <c r="CJ106" s="479">
        <f>'Hodnocení '!CJ102</f>
        <v>3854195.0818283353</v>
      </c>
      <c r="CK106" s="479">
        <f>'Hodnocení '!CK102</f>
        <v>4542000</v>
      </c>
      <c r="CL106" s="479">
        <f>'Hodnocení '!CL102</f>
        <v>2611798.7485544984</v>
      </c>
      <c r="CM106" s="479">
        <f>'Hodnocení '!CM102</f>
        <v>6012336.4399863137</v>
      </c>
      <c r="CN106" s="479">
        <f>'Hodnocení '!CN102</f>
        <v>1342009.9127194914</v>
      </c>
      <c r="CO106" s="479">
        <f>'Hodnocení '!CO102</f>
        <v>1214500</v>
      </c>
      <c r="CP106" s="479">
        <f>'Hodnocení '!CP102</f>
        <v>1268807.7168003041</v>
      </c>
      <c r="CQ106" s="479">
        <f>'Hodnocení '!CQ102</f>
        <v>5515036.573718125</v>
      </c>
      <c r="CR106" s="479">
        <f>'Hodnocení '!CR102</f>
        <v>2331094</v>
      </c>
      <c r="CS106" s="479">
        <f>'Hodnocení '!CS102</f>
        <v>3589793.26</v>
      </c>
      <c r="CT106" s="479">
        <f>'Hodnocení '!CT102</f>
        <v>5929679.8103662794</v>
      </c>
      <c r="CU106" s="479">
        <f>'Hodnocení '!CU102</f>
        <v>1875000</v>
      </c>
      <c r="CV106" s="479">
        <f>'Hodnocení '!CV102</f>
        <v>5644990.9859210327</v>
      </c>
      <c r="CW106" s="479">
        <f>'Hodnocení '!CW102</f>
        <v>400000</v>
      </c>
      <c r="CX106" s="479">
        <f>'Hodnocení '!CX102</f>
        <v>3457000</v>
      </c>
      <c r="CY106" s="479">
        <f>'Hodnocení '!CY102</f>
        <v>2881083.2839012085</v>
      </c>
      <c r="CZ106" s="479">
        <f>'Hodnocení '!CZ102</f>
        <v>1374700</v>
      </c>
      <c r="DA106" s="479">
        <f>'Hodnocení '!DA102</f>
        <v>7650000</v>
      </c>
      <c r="DB106" s="479">
        <f>'Hodnocení '!DB102</f>
        <v>760808</v>
      </c>
      <c r="DC106" s="479">
        <f>'Hodnocení '!DC102</f>
        <v>1952214.4635382525</v>
      </c>
      <c r="DD106" s="479">
        <f>'Hodnocení '!DD102</f>
        <v>5799369.6959123211</v>
      </c>
      <c r="DE106" s="479">
        <f>'Hodnocení '!DE102</f>
        <v>7596996.8713862468</v>
      </c>
      <c r="DF106" s="479">
        <f>'Hodnocení '!DF102</f>
        <v>4660760</v>
      </c>
      <c r="DG106" s="479">
        <f>'Hodnocení '!DG102</f>
        <v>802938.16515118408</v>
      </c>
      <c r="DH106" s="479">
        <f>'Hodnocení '!DH102</f>
        <v>2437341.0743335127</v>
      </c>
      <c r="DI106" s="479">
        <f>'Hodnocení '!DI102</f>
        <v>1137805.3840966881</v>
      </c>
      <c r="DJ106" s="479">
        <f>'Hodnocení '!DJ102</f>
        <v>1920826</v>
      </c>
      <c r="DK106" s="479">
        <f>'Hodnocení '!DK102</f>
        <v>2801780.6534043886</v>
      </c>
      <c r="DL106" s="479">
        <f>'Hodnocení '!DL102</f>
        <v>4094296.2218004535</v>
      </c>
      <c r="DM106" s="479">
        <f>'Hodnocení '!DM102</f>
        <v>1966503.0838138557</v>
      </c>
      <c r="DN106" s="479">
        <f>'Hodnocení '!DN102</f>
        <v>3689667</v>
      </c>
      <c r="DO106" s="479">
        <f>'Hodnocení '!DO102</f>
        <v>1402300.3922101089</v>
      </c>
      <c r="DP106" s="479">
        <f>'Hodnocení '!DP102</f>
        <v>4045363.78</v>
      </c>
      <c r="DQ106" s="479">
        <f>'Hodnocení '!DQ102</f>
        <v>4013645</v>
      </c>
      <c r="DR106" s="479">
        <f>'Hodnocení '!DR102</f>
        <v>4423025</v>
      </c>
      <c r="DS106" s="479">
        <f>'Hodnocení '!DS102</f>
        <v>878000</v>
      </c>
      <c r="DT106" s="479">
        <f>'Hodnocení '!DT102</f>
        <v>3379864.0513730422</v>
      </c>
      <c r="DU106" s="479">
        <f>'Hodnocení '!DU102</f>
        <v>2119508.9633388799</v>
      </c>
      <c r="DV106" s="479">
        <f>'Hodnocení '!DV102</f>
        <v>4423333</v>
      </c>
      <c r="DW106" s="479">
        <f>'Hodnocení '!DW102</f>
        <v>1463011.5734570101</v>
      </c>
      <c r="DX106" s="479">
        <f>'Hodnocení '!DX102</f>
        <v>4464719.1541079516</v>
      </c>
      <c r="DY106" s="479">
        <f>'Hodnocení '!DY102</f>
        <v>4581142.7504826486</v>
      </c>
      <c r="DZ106" s="479">
        <f>'Hodnocení '!DZ102</f>
        <v>723925.6888148766</v>
      </c>
      <c r="EA106" s="479">
        <f>'Hodnocení '!EA102</f>
        <v>3910500</v>
      </c>
      <c r="EB106" s="479">
        <f>'Hodnocení '!EB102</f>
        <v>5751412.8583436497</v>
      </c>
      <c r="EC106" s="479">
        <f>'Hodnocení '!EC102</f>
        <v>3507637.7512384658</v>
      </c>
      <c r="ED106" s="479">
        <f>'Hodnocení '!ED102</f>
        <v>3789855.4215401057</v>
      </c>
      <c r="EE106" s="479">
        <f>'Hodnocení '!EE102</f>
        <v>610000</v>
      </c>
      <c r="EF106" s="479">
        <f>'Hodnocení '!EF102</f>
        <v>666000</v>
      </c>
      <c r="EG106" s="479">
        <f>'Hodnocení '!EG102</f>
        <v>425000</v>
      </c>
      <c r="EH106" s="479">
        <f>'Hodnocení '!EH102</f>
        <v>595000</v>
      </c>
      <c r="EI106" s="479">
        <f>'Hodnocení '!EI102</f>
        <v>1025000</v>
      </c>
      <c r="EJ106" s="479">
        <f>'Hodnocení '!EJ102</f>
        <v>1254497.1182819521</v>
      </c>
      <c r="EK106" s="479">
        <f>'Hodnocení '!EK102</f>
        <v>3932042</v>
      </c>
      <c r="EL106" s="479">
        <f>'Hodnocení '!EL102</f>
        <v>8896075.9201217424</v>
      </c>
      <c r="EM106" s="479">
        <f>'Hodnocení '!EM102</f>
        <v>2817690.3194428757</v>
      </c>
      <c r="EN106" s="479">
        <f>'Hodnocení '!EN102</f>
        <v>2526602</v>
      </c>
      <c r="EO106" s="479">
        <f>'Hodnocení '!EO102</f>
        <v>326536.14681555587</v>
      </c>
      <c r="EP106" s="479">
        <f>'Hodnocení '!EP102</f>
        <v>2970065</v>
      </c>
      <c r="EQ106" s="479">
        <f>'Hodnocení '!EQ102</f>
        <v>2318152.5044244276</v>
      </c>
      <c r="ER106" s="479">
        <f>'Hodnocení '!ER102</f>
        <v>6229000</v>
      </c>
      <c r="ES106" s="479">
        <f>'Hodnocení '!ES102</f>
        <v>2889369.4473401564</v>
      </c>
      <c r="ET106" s="479">
        <f>'Hodnocení '!ET102</f>
        <v>901340</v>
      </c>
      <c r="EU106" s="479">
        <f>'Hodnocení '!EU102</f>
        <v>2056000</v>
      </c>
      <c r="EV106" s="479">
        <f>'Hodnocení '!EV102</f>
        <v>443085.98782481399</v>
      </c>
      <c r="EW106" s="479">
        <f>'Hodnocení '!EW102</f>
        <v>2505057.7705038232</v>
      </c>
      <c r="EX106" s="479">
        <f>'Hodnocení '!EX102</f>
        <v>5574308.9853405347</v>
      </c>
      <c r="EY106" s="479">
        <f>'Hodnocení '!EY102</f>
        <v>2059165.8751551495</v>
      </c>
      <c r="EZ106" s="479">
        <f>'Hodnocení '!EZ102</f>
        <v>0</v>
      </c>
      <c r="FA106" s="479">
        <f>'Hodnocení '!FA102</f>
        <v>990000</v>
      </c>
      <c r="FB106" s="479">
        <f>'Hodnocení '!FB102</f>
        <v>177814.53304874955</v>
      </c>
      <c r="FC106" s="479">
        <f>'Hodnocení '!FC102</f>
        <v>3042203.9813623684</v>
      </c>
      <c r="FD106" s="479">
        <f>'Hodnocení '!FD102</f>
        <v>1059104.6825002881</v>
      </c>
      <c r="FE106" s="479">
        <f>'Hodnocení '!FE102</f>
        <v>343252.91334718862</v>
      </c>
      <c r="FF106" s="479">
        <f>'Hodnocení '!FF102</f>
        <v>1441591.96</v>
      </c>
      <c r="FG106" s="479">
        <f>'Hodnocení '!FG102</f>
        <v>5703200</v>
      </c>
      <c r="FH106" s="479">
        <f>'Hodnocení '!FH102</f>
        <v>5790606.0491879787</v>
      </c>
      <c r="FI106" s="479">
        <f>'Hodnocení '!FI102</f>
        <v>7582387.4650456514</v>
      </c>
      <c r="FJ106" s="479">
        <f>'Hodnocení '!FJ102</f>
        <v>1854520.9697589942</v>
      </c>
      <c r="FK106" s="479">
        <f>'Hodnocení '!FK102</f>
        <v>117156.2027371416</v>
      </c>
      <c r="FL106" s="479">
        <f>'Hodnocení '!FL102</f>
        <v>289530.78772289003</v>
      </c>
      <c r="FM106" s="479">
        <f>'Hodnocení '!FM102</f>
        <v>943015.1290333569</v>
      </c>
      <c r="FN106" s="479">
        <f>'Hodnocení '!FN102</f>
        <v>7003025.5498415343</v>
      </c>
      <c r="FO106" s="479">
        <f>'Hodnocení '!FO102</f>
        <v>1654621.1373999999</v>
      </c>
      <c r="FP106" s="479">
        <f>'Hodnocení '!FP102</f>
        <v>12351204.308851836</v>
      </c>
      <c r="FQ106" s="479">
        <f>'Hodnocení '!FQ102</f>
        <v>1972278.2238</v>
      </c>
      <c r="FR106" s="479">
        <f>'Hodnocení '!FR102</f>
        <v>2898098.2380630779</v>
      </c>
      <c r="FS106" s="479">
        <f>'Hodnocení '!FS102</f>
        <v>464007.95</v>
      </c>
      <c r="FT106" s="479">
        <f>'Hodnocení '!FT102</f>
        <v>3255891.8040901599</v>
      </c>
      <c r="FU106" s="479">
        <f>'Hodnocení '!FU102</f>
        <v>465828.80444292724</v>
      </c>
      <c r="FV106" s="479">
        <f>'Hodnocení '!FV102</f>
        <v>559247.1692367394</v>
      </c>
      <c r="FW106" s="479">
        <f>'Hodnocení '!FW102</f>
        <v>937680.03042577044</v>
      </c>
      <c r="FX106" s="479">
        <f>'Hodnocení '!FX102</f>
        <v>384533.50336206751</v>
      </c>
      <c r="FY106" s="479">
        <f>'Hodnocení '!FY102</f>
        <v>200000</v>
      </c>
      <c r="FZ106" s="479">
        <f>'Hodnocení '!FZ102</f>
        <v>2571154.0852688877</v>
      </c>
      <c r="GA106" s="479">
        <f>'Hodnocení '!GA102</f>
        <v>235086.12772381899</v>
      </c>
      <c r="GB106" s="479">
        <f>'Hodnocení '!GB102</f>
        <v>2245960.1198871755</v>
      </c>
      <c r="GC106" s="479">
        <f>'Hodnocení '!GC102</f>
        <v>2171084.1398516875</v>
      </c>
      <c r="GD106" s="479">
        <f>'Hodnocení '!GD102</f>
        <v>7928941.2458636481</v>
      </c>
      <c r="GE106" s="479">
        <f>'Hodnocení '!GE102</f>
        <v>1385331</v>
      </c>
      <c r="GF106" s="479">
        <f>'Hodnocení '!GF102</f>
        <v>3881575.8495693267</v>
      </c>
      <c r="GG106" s="479">
        <f>'Hodnocení '!GG102</f>
        <v>1157418.4633801784</v>
      </c>
      <c r="GH106" s="479">
        <f>'Hodnocení '!GH102</f>
        <v>1054717</v>
      </c>
      <c r="GI106" s="479">
        <f>'Hodnocení '!GI102</f>
        <v>7754404.1747833164</v>
      </c>
      <c r="GJ106" s="479">
        <f>'Hodnocení '!GJ102</f>
        <v>1839200.3392906617</v>
      </c>
      <c r="GK106" s="479">
        <f>'Hodnocení '!GK102</f>
        <v>1100000</v>
      </c>
      <c r="GL106" s="479">
        <f>'Hodnocení '!GL102</f>
        <v>469954.02825609827</v>
      </c>
      <c r="GM106" s="479">
        <f>'Hodnocení '!GM102</f>
        <v>692537.52275552833</v>
      </c>
      <c r="GN106" s="479">
        <f>'Hodnocení '!GN102</f>
        <v>788769.06011215365</v>
      </c>
      <c r="GO106" s="479">
        <f>'Hodnocení '!GO102</f>
        <v>4468795.486137961</v>
      </c>
      <c r="GP106" s="479">
        <f>'Hodnocení '!GP102</f>
        <v>484458.62365770375</v>
      </c>
      <c r="GQ106" s="479">
        <f>'Hodnocení '!GQ102</f>
        <v>309592.78871686111</v>
      </c>
      <c r="GR106" s="479">
        <f>'Hodnocení '!GR102</f>
        <v>610000</v>
      </c>
      <c r="GS106" s="479">
        <f>'Hodnocení '!GS102</f>
        <v>0</v>
      </c>
      <c r="GT106" s="479">
        <f>'Hodnocení '!GT102</f>
        <v>8684791.9089435674</v>
      </c>
      <c r="GU106" s="479">
        <f>'Hodnocení '!GU102</f>
        <v>807440</v>
      </c>
      <c r="GV106" s="479">
        <f>'Hodnocení '!GV102</f>
        <v>5000000</v>
      </c>
      <c r="GW106" s="479">
        <f>'Hodnocení '!GW102</f>
        <v>941724.88907427166</v>
      </c>
      <c r="GX106" s="479">
        <f>'Hodnocení '!GX102</f>
        <v>150000</v>
      </c>
      <c r="GY106" s="479">
        <f>'Hodnocení '!GY102</f>
        <v>11169700.678891907</v>
      </c>
      <c r="GZ106" s="479">
        <f>'Hodnocení '!GZ102</f>
        <v>3222820.7912944802</v>
      </c>
      <c r="HA106" s="479">
        <f>'Hodnocení '!HA102</f>
        <v>5200000</v>
      </c>
      <c r="HB106" s="479">
        <f>'Hodnocení '!HB102</f>
        <v>2241824.8575916188</v>
      </c>
      <c r="HC106" s="479">
        <f>'Hodnocení '!HC102</f>
        <v>5534657.4581430918</v>
      </c>
      <c r="HD106" s="479">
        <f>'Hodnocení '!HD102</f>
        <v>1908552.7255373849</v>
      </c>
      <c r="HE106" s="479">
        <f>'Hodnocení '!HE102</f>
        <v>4945200</v>
      </c>
      <c r="HF106" s="479">
        <f>'Hodnocení '!HF102</f>
        <v>780918.93476073246</v>
      </c>
      <c r="HG106" s="479">
        <f>'Hodnocení '!HG102</f>
        <v>483764.13760522264</v>
      </c>
      <c r="HH106" s="479">
        <f>'Hodnocení '!HH102</f>
        <v>1870575.3205709462</v>
      </c>
      <c r="HI106" s="479">
        <f>'Hodnocení '!HI102</f>
        <v>1243943.1770259617</v>
      </c>
      <c r="HJ106" s="479">
        <f>'Hodnocení '!HJ102</f>
        <v>997908.83102156827</v>
      </c>
      <c r="HK106" s="479">
        <f>'Hodnocení '!HK102</f>
        <v>0</v>
      </c>
      <c r="HL106" s="479">
        <f>'Hodnocení '!HL102</f>
        <v>40194913.469959036</v>
      </c>
      <c r="HM106" s="479">
        <f>'Hodnocení '!HM102</f>
        <v>23179511.828336213</v>
      </c>
      <c r="HN106" s="479">
        <f>'Hodnocení '!HN102</f>
        <v>992757.48207886913</v>
      </c>
      <c r="HO106" s="479">
        <f>'Hodnocení '!HO102</f>
        <v>2847160.6666890793</v>
      </c>
      <c r="HP106" s="479">
        <f>'Hodnocení '!HP102</f>
        <v>30724823.606855139</v>
      </c>
      <c r="HQ106" s="479">
        <f>'Hodnocení '!HQ102</f>
        <v>984339.39171123505</v>
      </c>
      <c r="HR106" s="479">
        <f>'Hodnocení '!HR102</f>
        <v>33986857.865945354</v>
      </c>
      <c r="HS106" s="479">
        <f>'Hodnocení '!HS102</f>
        <v>6625630.7058829395</v>
      </c>
      <c r="HT106" s="479">
        <f>'Hodnocení '!HT102</f>
        <v>17252623.898769125</v>
      </c>
      <c r="HU106" s="479">
        <f>'Hodnocení '!HU102</f>
        <v>25416268.865375917</v>
      </c>
      <c r="HV106" s="479">
        <f>'Hodnocení '!HV102</f>
        <v>19685843.434960146</v>
      </c>
      <c r="HW106" s="479">
        <f>'Hodnocení '!HW102</f>
        <v>5153483.8909314871</v>
      </c>
      <c r="HX106" s="479">
        <f>'Hodnocení '!HX102</f>
        <v>23763410.527568989</v>
      </c>
      <c r="HY106" s="479">
        <f>'Hodnocení '!HY102</f>
        <v>18800898.933541737</v>
      </c>
      <c r="HZ106" s="479">
        <f>'Hodnocení '!HZ102</f>
        <v>10056372.755561791</v>
      </c>
      <c r="IA106" s="479">
        <f>'Hodnocení '!IA102</f>
        <v>9124282.1572564524</v>
      </c>
      <c r="IB106" s="479">
        <f>'Hodnocení '!IB102</f>
        <v>9002921.4005923644</v>
      </c>
      <c r="IC106" s="479">
        <f>'Hodnocení '!IC102</f>
        <v>13188975.967640907</v>
      </c>
      <c r="ID106" s="479">
        <f>'Hodnocení '!ID102</f>
        <v>10838555.78578015</v>
      </c>
      <c r="IE106" s="479">
        <f>'Hodnocení '!IE102</f>
        <v>18501882.501584478</v>
      </c>
      <c r="IF106" s="479">
        <f>'Hodnocení '!IF102</f>
        <v>15798139.494370975</v>
      </c>
      <c r="IG106" s="479">
        <f>'Hodnocení '!IG102</f>
        <v>4899974.1174169816</v>
      </c>
      <c r="IH106" s="479">
        <f>'Hodnocení '!IH102</f>
        <v>3748954.0179515136</v>
      </c>
      <c r="II106" s="479">
        <f>'Hodnocení '!II102</f>
        <v>18431864.274401046</v>
      </c>
      <c r="IJ106" s="479">
        <f>'Hodnocení '!IJ102</f>
        <v>2081556.2316498561</v>
      </c>
      <c r="IK106" s="479">
        <f>'Hodnocení '!IK102</f>
        <v>3590263.7456418383</v>
      </c>
      <c r="IL106" s="479">
        <f>'Hodnocení '!IL102</f>
        <v>9450687.431639405</v>
      </c>
      <c r="IM106" s="479">
        <f>'Hodnocení '!IM102</f>
        <v>549757.96540680365</v>
      </c>
      <c r="IN106" s="479">
        <f>'Hodnocení '!IN102</f>
        <v>10084091.119424405</v>
      </c>
      <c r="IO106" s="479">
        <f>'Hodnocení '!IO102</f>
        <v>3877767.6665580729</v>
      </c>
      <c r="IP106" s="479">
        <f>'Hodnocení '!IP102</f>
        <v>20872576.006466873</v>
      </c>
      <c r="IQ106" s="479">
        <f>'Hodnocení '!IQ102</f>
        <v>20849123.774611518</v>
      </c>
      <c r="IR106" s="479">
        <f>'Hodnocení '!IR102</f>
        <v>1016506.2771929334</v>
      </c>
      <c r="IS106" s="479">
        <f>'Hodnocení '!IS102</f>
        <v>50885860.347063713</v>
      </c>
      <c r="IT106" s="479">
        <f>'Hodnocení '!IT102</f>
        <v>13194837.610194042</v>
      </c>
      <c r="IU106" s="479">
        <f>'Hodnocení '!IU102</f>
        <v>3496167.4829847012</v>
      </c>
      <c r="IV106" s="479">
        <f>'Hodnocení '!IV102</f>
        <v>8125318.8093115278</v>
      </c>
      <c r="IW106" s="479">
        <f>'Hodnocení '!IW102</f>
        <v>12947999.695999734</v>
      </c>
      <c r="IX106" s="479">
        <f>'Hodnocení '!IX102</f>
        <v>2048641.0297688055</v>
      </c>
      <c r="IY106" s="479">
        <f>'Hodnocení '!IY102</f>
        <v>10529509.927162535</v>
      </c>
      <c r="IZ106" s="479">
        <f>'Hodnocení '!IZ102</f>
        <v>23304689.707886603</v>
      </c>
      <c r="JA106" s="479">
        <f>'Hodnocení '!JA102</f>
        <v>2860556.8494729782</v>
      </c>
      <c r="JB106" s="479">
        <f>'Hodnocení '!JB102</f>
        <v>3168174.04</v>
      </c>
      <c r="JC106" s="479">
        <f>'Hodnocení '!JC102</f>
        <v>1988199.0874007065</v>
      </c>
      <c r="JD106" s="479">
        <f>'Hodnocení '!JD102</f>
        <v>3876588.7</v>
      </c>
      <c r="JE106" s="479">
        <f>'Hodnocení '!JE102</f>
        <v>810305</v>
      </c>
      <c r="JF106" s="479">
        <f>'Hodnocení '!JF102</f>
        <v>37615020.095817842</v>
      </c>
      <c r="JG106" s="479">
        <f>'Hodnocení '!JG102</f>
        <v>28479929.297806501</v>
      </c>
      <c r="JH106" s="780">
        <f>'Hodnocení '!JH102</f>
        <v>1365469.2835178464</v>
      </c>
      <c r="JI106" s="315">
        <f>'Hodnocení '!JI102</f>
        <v>0</v>
      </c>
      <c r="JL106" s="307">
        <f t="shared" si="57"/>
        <v>24913606.964635424</v>
      </c>
      <c r="JM106" s="307">
        <f t="shared" si="57"/>
        <v>414394382.58426923</v>
      </c>
      <c r="JN106" s="307">
        <f t="shared" si="57"/>
        <v>171352563.77779883</v>
      </c>
      <c r="JO106" s="307">
        <f t="shared" si="57"/>
        <v>640270044.22414124</v>
      </c>
      <c r="JP106" s="307">
        <f t="shared" si="58"/>
        <v>1250930597.5508447</v>
      </c>
    </row>
    <row r="107" spans="1:276" hidden="1" x14ac:dyDescent="0.25">
      <c r="A107" s="353"/>
      <c r="B107" s="733" t="s">
        <v>2579</v>
      </c>
      <c r="C107" s="779">
        <f>'Hodnocení '!C103</f>
        <v>1235422.5558247231</v>
      </c>
      <c r="D107" s="479">
        <f>'Hodnocení '!D103</f>
        <v>1406900</v>
      </c>
      <c r="E107" s="479">
        <f>'Hodnocení '!E103</f>
        <v>102779.40881070029</v>
      </c>
      <c r="F107" s="479">
        <f>'Hodnocení '!F103</f>
        <v>132284.70883535733</v>
      </c>
      <c r="G107" s="479">
        <f>'Hodnocení '!G103</f>
        <v>1429653.1272905953</v>
      </c>
      <c r="H107" s="479">
        <f>'Hodnocení '!H103</f>
        <v>65710.416111308965</v>
      </c>
      <c r="I107" s="479">
        <f>'Hodnocení '!I103</f>
        <v>941977.47419521306</v>
      </c>
      <c r="J107" s="479">
        <f>'Hodnocení '!J103</f>
        <v>212155.78442021785</v>
      </c>
      <c r="K107" s="479">
        <f>'Hodnocení '!K103</f>
        <v>618538</v>
      </c>
      <c r="L107" s="479">
        <f>'Hodnocení '!L103</f>
        <v>0</v>
      </c>
      <c r="M107" s="479">
        <f>'Hodnocení '!M103</f>
        <v>30486.238895765971</v>
      </c>
      <c r="N107" s="479">
        <f>'Hodnocení '!N103</f>
        <v>115828.6030266704</v>
      </c>
      <c r="O107" s="479">
        <f>'Hodnocení '!O103</f>
        <v>191212</v>
      </c>
      <c r="P107" s="479">
        <f>'Hodnocení '!P103</f>
        <v>225010.00218168925</v>
      </c>
      <c r="Q107" s="479">
        <f>'Hodnocení '!Q103</f>
        <v>371221.47910101549</v>
      </c>
      <c r="R107" s="479">
        <f>'Hodnocení '!R103</f>
        <v>-33718.100000000093</v>
      </c>
      <c r="S107" s="479">
        <f>'Hodnocení '!S103</f>
        <v>0</v>
      </c>
      <c r="T107" s="479">
        <f>'Hodnocení '!T103</f>
        <v>31437.510778153781</v>
      </c>
      <c r="U107" s="479">
        <f>'Hodnocení '!U103</f>
        <v>-11704</v>
      </c>
      <c r="V107" s="479">
        <f>'Hodnocení '!V103</f>
        <v>0</v>
      </c>
      <c r="W107" s="479">
        <f>'Hodnocení '!W103</f>
        <v>305000</v>
      </c>
      <c r="X107" s="479">
        <f>'Hodnocení '!X103</f>
        <v>994445.80950857792</v>
      </c>
      <c r="Y107" s="479">
        <f>'Hodnocení '!Y103</f>
        <v>12890</v>
      </c>
      <c r="Z107" s="479">
        <f>'Hodnocení '!Z103</f>
        <v>379924</v>
      </c>
      <c r="AA107" s="479">
        <f>'Hodnocení '!AA103</f>
        <v>394885.44902487379</v>
      </c>
      <c r="AB107" s="479">
        <f>'Hodnocení '!AB103</f>
        <v>630190.70572241349</v>
      </c>
      <c r="AC107" s="479">
        <f>'Hodnocení '!AC103</f>
        <v>-1526341.6880516675</v>
      </c>
      <c r="AD107" s="479">
        <f>'Hodnocení '!AD103</f>
        <v>744989.12062356528</v>
      </c>
      <c r="AE107" s="479">
        <f>'Hodnocení '!AE103</f>
        <v>76840.525898943888</v>
      </c>
      <c r="AF107" s="479">
        <f>'Hodnocení '!AF103</f>
        <v>1219244.9295379585</v>
      </c>
      <c r="AG107" s="479">
        <f>'Hodnocení '!AG103</f>
        <v>125060.75486989692</v>
      </c>
      <c r="AH107" s="479">
        <f>'Hodnocení '!AH103</f>
        <v>-7266</v>
      </c>
      <c r="AI107" s="479">
        <f>'Hodnocení '!AI103</f>
        <v>510300</v>
      </c>
      <c r="AJ107" s="479">
        <f>'Hodnocení '!AJ103</f>
        <v>134700</v>
      </c>
      <c r="AK107" s="479">
        <f>'Hodnocení '!AK103</f>
        <v>53995</v>
      </c>
      <c r="AL107" s="479">
        <f>'Hodnocení '!AL103</f>
        <v>92493.163351077586</v>
      </c>
      <c r="AM107" s="479">
        <f>'Hodnocení '!AM103</f>
        <v>125216.37263412308</v>
      </c>
      <c r="AN107" s="479">
        <f>'Hodnocení '!AN103</f>
        <v>121055.19849877898</v>
      </c>
      <c r="AO107" s="479">
        <f>'Hodnocení '!AO103</f>
        <v>1174727.5596356187</v>
      </c>
      <c r="AP107" s="479">
        <f>'Hodnocení '!AP103</f>
        <v>-135009.8837703988</v>
      </c>
      <c r="AQ107" s="479">
        <f>'Hodnocení '!AQ103</f>
        <v>163062</v>
      </c>
      <c r="AR107" s="479">
        <f>'Hodnocení '!AR103</f>
        <v>401149.39925084589</v>
      </c>
      <c r="AS107" s="479">
        <f>'Hodnocení '!AS103</f>
        <v>44681.220223333861</v>
      </c>
      <c r="AT107" s="479">
        <f>'Hodnocení '!AT103</f>
        <v>322367.43236834183</v>
      </c>
      <c r="AU107" s="479">
        <f>'Hodnocení '!AU103</f>
        <v>97944.93946642126</v>
      </c>
      <c r="AV107" s="479">
        <f>'Hodnocení '!AV103</f>
        <v>137042.67729522614</v>
      </c>
      <c r="AW107" s="479">
        <f>'Hodnocení '!AW103</f>
        <v>288647.55504343286</v>
      </c>
      <c r="AX107" s="479">
        <f>'Hodnocení '!AX103</f>
        <v>270115.31108075101</v>
      </c>
      <c r="AY107" s="479">
        <f>'Hodnocení '!AY103</f>
        <v>208738.54065689072</v>
      </c>
      <c r="AZ107" s="479">
        <f>'Hodnocení '!AZ103</f>
        <v>49765</v>
      </c>
      <c r="BA107" s="479">
        <f>'Hodnocení '!BA103</f>
        <v>1814732</v>
      </c>
      <c r="BB107" s="479">
        <f>'Hodnocení '!BB103</f>
        <v>292796</v>
      </c>
      <c r="BC107" s="479">
        <f>'Hodnocení '!BC103</f>
        <v>214997.49380253232</v>
      </c>
      <c r="BD107" s="479">
        <f>'Hodnocení '!BD103</f>
        <v>638438.33257854311</v>
      </c>
      <c r="BE107" s="479">
        <f>'Hodnocení '!BE103</f>
        <v>86784.356650778558</v>
      </c>
      <c r="BF107" s="479">
        <f>'Hodnocení '!BF103</f>
        <v>131040</v>
      </c>
      <c r="BG107" s="479">
        <f>'Hodnocení '!BG103</f>
        <v>154784</v>
      </c>
      <c r="BH107" s="479">
        <f>'Hodnocení '!BH103</f>
        <v>257932</v>
      </c>
      <c r="BI107" s="479">
        <f>'Hodnocení '!BI103</f>
        <v>-198100</v>
      </c>
      <c r="BJ107" s="479">
        <f>'Hodnocení '!BJ103</f>
        <v>81837.853564726654</v>
      </c>
      <c r="BK107" s="479">
        <f>'Hodnocení '!BK103</f>
        <v>136000</v>
      </c>
      <c r="BL107" s="479">
        <f>'Hodnocení '!BL103</f>
        <v>455138.49500087276</v>
      </c>
      <c r="BM107" s="479">
        <f>'Hodnocení '!BM103</f>
        <v>849726</v>
      </c>
      <c r="BN107" s="479">
        <f>'Hodnocení '!BN103</f>
        <v>75101.993153743446</v>
      </c>
      <c r="BO107" s="479">
        <f>'Hodnocení '!BO103</f>
        <v>289269.65247524576</v>
      </c>
      <c r="BP107" s="479">
        <f>'Hodnocení '!BP103</f>
        <v>732773</v>
      </c>
      <c r="BQ107" s="479">
        <f>'Hodnocení '!BQ103</f>
        <v>98361.621271296288</v>
      </c>
      <c r="BR107" s="479">
        <f>'Hodnocení '!BR103</f>
        <v>138681</v>
      </c>
      <c r="BS107" s="479">
        <f>'Hodnocení '!BS103</f>
        <v>12382.298967874143</v>
      </c>
      <c r="BT107" s="479">
        <f>'Hodnocení '!BT103</f>
        <v>54060.266167230671</v>
      </c>
      <c r="BU107" s="479">
        <f>'Hodnocení '!BU103</f>
        <v>0</v>
      </c>
      <c r="BV107" s="479">
        <f>'Hodnocení '!BV103</f>
        <v>588998.0353182531</v>
      </c>
      <c r="BW107" s="479">
        <f>'Hodnocení '!BW103</f>
        <v>0</v>
      </c>
      <c r="BX107" s="479">
        <f>'Hodnocení '!BX103</f>
        <v>653636.19106335379</v>
      </c>
      <c r="BY107" s="479">
        <f>'Hodnocení '!BY103</f>
        <v>0</v>
      </c>
      <c r="BZ107" s="479">
        <f>'Hodnocení '!BZ103</f>
        <v>0</v>
      </c>
      <c r="CA107" s="479">
        <f>'Hodnocení '!CA103</f>
        <v>0</v>
      </c>
      <c r="CB107" s="479">
        <f>'Hodnocení '!CB103</f>
        <v>39256.101421467261</v>
      </c>
      <c r="CC107" s="479">
        <f>'Hodnocení '!CC103</f>
        <v>117637.66254166374</v>
      </c>
      <c r="CD107" s="479">
        <f>'Hodnocení '!CD103</f>
        <v>14512.216855739709</v>
      </c>
      <c r="CE107" s="479">
        <f>'Hodnocení '!CE103</f>
        <v>1446195.1253167707</v>
      </c>
      <c r="CF107" s="479">
        <f>'Hodnocení '!CF103</f>
        <v>127617.8393289512</v>
      </c>
      <c r="CG107" s="479">
        <f>'Hodnocení '!CG103</f>
        <v>544095.49607044645</v>
      </c>
      <c r="CH107" s="479">
        <f>'Hodnocení '!CH103</f>
        <v>305133.07924963161</v>
      </c>
      <c r="CI107" s="479">
        <f>'Hodnocení '!CI103</f>
        <v>436085.96719942894</v>
      </c>
      <c r="CJ107" s="479">
        <f>'Hodnocení '!CJ103</f>
        <v>394665.0818283353</v>
      </c>
      <c r="CK107" s="479">
        <f>'Hodnocení '!CK103</f>
        <v>365377</v>
      </c>
      <c r="CL107" s="479">
        <f>'Hodnocení '!CL103</f>
        <v>226829.74855449842</v>
      </c>
      <c r="CM107" s="479">
        <f>'Hodnocení '!CM103</f>
        <v>691676.43998631369</v>
      </c>
      <c r="CN107" s="479">
        <f>'Hodnocení '!CN103</f>
        <v>59434.772719491506</v>
      </c>
      <c r="CO107" s="479">
        <f>'Hodnocení '!CO103</f>
        <v>0</v>
      </c>
      <c r="CP107" s="479">
        <f>'Hodnocení '!CP103</f>
        <v>30382.256800304167</v>
      </c>
      <c r="CQ107" s="479">
        <f>'Hodnocení '!CQ103</f>
        <v>908770.573718125</v>
      </c>
      <c r="CR107" s="479">
        <f>'Hodnocení '!CR103</f>
        <v>714294</v>
      </c>
      <c r="CS107" s="479">
        <f>'Hodnocení '!CS103</f>
        <v>3589793.26</v>
      </c>
      <c r="CT107" s="479">
        <f>'Hodnocení '!CT103</f>
        <v>859679.81036627945</v>
      </c>
      <c r="CU107" s="479">
        <f>'Hodnocení '!CU103</f>
        <v>474500</v>
      </c>
      <c r="CV107" s="479">
        <f>'Hodnocení '!CV103</f>
        <v>613490.98592103273</v>
      </c>
      <c r="CW107" s="479">
        <f>'Hodnocení '!CW103</f>
        <v>128599</v>
      </c>
      <c r="CX107" s="479">
        <f>'Hodnocení '!CX103</f>
        <v>329000</v>
      </c>
      <c r="CY107" s="479">
        <f>'Hodnocení '!CY103</f>
        <v>132129.28390120855</v>
      </c>
      <c r="CZ107" s="479">
        <f>'Hodnocení '!CZ103</f>
        <v>368000</v>
      </c>
      <c r="DA107" s="479">
        <f>'Hodnocení '!DA103</f>
        <v>2069140</v>
      </c>
      <c r="DB107" s="479">
        <f>'Hodnocení '!DB103</f>
        <v>95480</v>
      </c>
      <c r="DC107" s="479">
        <f>'Hodnocení '!DC103</f>
        <v>328714.46353825252</v>
      </c>
      <c r="DD107" s="479">
        <f>'Hodnocení '!DD103</f>
        <v>1118856.6959123211</v>
      </c>
      <c r="DE107" s="479">
        <f>'Hodnocení '!DE103</f>
        <v>429390.87138624676</v>
      </c>
      <c r="DF107" s="479">
        <f>'Hodnocení '!DF103</f>
        <v>-556092</v>
      </c>
      <c r="DG107" s="479">
        <f>'Hodnocení '!DG103</f>
        <v>197198.16515118408</v>
      </c>
      <c r="DH107" s="479">
        <f>'Hodnocení '!DH103</f>
        <v>830973.43433351256</v>
      </c>
      <c r="DI107" s="479">
        <f>'Hodnocení '!DI103</f>
        <v>43865.384096688125</v>
      </c>
      <c r="DJ107" s="479">
        <f>'Hodnocení '!DJ103</f>
        <v>103868</v>
      </c>
      <c r="DK107" s="479">
        <f>'Hodnocení '!DK103</f>
        <v>1891309.6534043886</v>
      </c>
      <c r="DL107" s="479">
        <f>'Hodnocení '!DL103</f>
        <v>277072.2218004535</v>
      </c>
      <c r="DM107" s="479">
        <f>'Hodnocení '!DM103</f>
        <v>232155.08381385566</v>
      </c>
      <c r="DN107" s="479">
        <f>'Hodnocení '!DN103</f>
        <v>708902</v>
      </c>
      <c r="DO107" s="479">
        <f>'Hodnocení '!DO103</f>
        <v>4525.3922101089265</v>
      </c>
      <c r="DP107" s="479">
        <f>'Hodnocení '!DP103</f>
        <v>0</v>
      </c>
      <c r="DQ107" s="479">
        <f>'Hodnocení '!DQ103</f>
        <v>105793</v>
      </c>
      <c r="DR107" s="479">
        <f>'Hodnocení '!DR103</f>
        <v>-54351</v>
      </c>
      <c r="DS107" s="479">
        <f>'Hodnocení '!DS103</f>
        <v>547000</v>
      </c>
      <c r="DT107" s="479">
        <f>'Hodnocení '!DT103</f>
        <v>473573.05137304217</v>
      </c>
      <c r="DU107" s="479">
        <f>'Hodnocení '!DU103</f>
        <v>18908.963338879868</v>
      </c>
      <c r="DV107" s="479">
        <f>'Hodnocení '!DV103</f>
        <v>1277856</v>
      </c>
      <c r="DW107" s="479">
        <f>'Hodnocení '!DW103</f>
        <v>251601.57345701009</v>
      </c>
      <c r="DX107" s="479">
        <f>'Hodnocení '!DX103</f>
        <v>433801.15410795156</v>
      </c>
      <c r="DY107" s="479">
        <f>'Hodnocení '!DY103</f>
        <v>825992.75048264861</v>
      </c>
      <c r="DZ107" s="479">
        <f>'Hodnocení '!DZ103</f>
        <v>7625.6888148766011</v>
      </c>
      <c r="EA107" s="479">
        <f>'Hodnocení '!EA103</f>
        <v>15312</v>
      </c>
      <c r="EB107" s="479">
        <f>'Hodnocení '!EB103</f>
        <v>1868722.8583436497</v>
      </c>
      <c r="EC107" s="479">
        <f>'Hodnocení '!EC103</f>
        <v>162383.75123846577</v>
      </c>
      <c r="ED107" s="479">
        <f>'Hodnocení '!ED103</f>
        <v>317047.42154010572</v>
      </c>
      <c r="EE107" s="479">
        <f>'Hodnocení '!EE103</f>
        <v>46376</v>
      </c>
      <c r="EF107" s="479">
        <f>'Hodnocení '!EF103</f>
        <v>-3087.5899999999674</v>
      </c>
      <c r="EG107" s="479">
        <f>'Hodnocení '!EG103</f>
        <v>-2828.9899999999907</v>
      </c>
      <c r="EH107" s="479">
        <f>'Hodnocení '!EH103</f>
        <v>35330</v>
      </c>
      <c r="EI107" s="479">
        <f>'Hodnocení '!EI103</f>
        <v>114247</v>
      </c>
      <c r="EJ107" s="479">
        <f>'Hodnocení '!EJ103</f>
        <v>220123.11828195211</v>
      </c>
      <c r="EK107" s="479">
        <f>'Hodnocení '!EK103</f>
        <v>0</v>
      </c>
      <c r="EL107" s="479">
        <f>'Hodnocení '!EL103</f>
        <v>272049.92012174241</v>
      </c>
      <c r="EM107" s="479">
        <f>'Hodnocení '!EM103</f>
        <v>118882.31944287568</v>
      </c>
      <c r="EN107" s="479">
        <f>'Hodnocení '!EN103</f>
        <v>132129</v>
      </c>
      <c r="EO107" s="479">
        <f>'Hodnocení '!EO103</f>
        <v>90118.146815555869</v>
      </c>
      <c r="EP107" s="479">
        <f>'Hodnocení '!EP103</f>
        <v>798942</v>
      </c>
      <c r="EQ107" s="479">
        <f>'Hodnocení '!EQ103</f>
        <v>474030.50442442764</v>
      </c>
      <c r="ER107" s="479">
        <f>'Hodnocení '!ER103</f>
        <v>977132</v>
      </c>
      <c r="ES107" s="479">
        <f>'Hodnocení '!ES103</f>
        <v>118809.44734015642</v>
      </c>
      <c r="ET107" s="479">
        <f>'Hodnocení '!ET103</f>
        <v>901340</v>
      </c>
      <c r="EU107" s="479">
        <f>'Hodnocení '!EU103</f>
        <v>1252000</v>
      </c>
      <c r="EV107" s="479">
        <f>'Hodnocení '!EV103</f>
        <v>217550.98782481399</v>
      </c>
      <c r="EW107" s="479">
        <f>'Hodnocení '!EW103</f>
        <v>148744.77050382318</v>
      </c>
      <c r="EX107" s="479">
        <f>'Hodnocení '!EX103</f>
        <v>170018.98534053471</v>
      </c>
      <c r="EY107" s="479">
        <f>'Hodnocení '!EY103</f>
        <v>14320.875155149493</v>
      </c>
      <c r="EZ107" s="479">
        <f>'Hodnocení '!EZ103</f>
        <v>-111326</v>
      </c>
      <c r="FA107" s="479">
        <f>'Hodnocení '!FA103</f>
        <v>196308</v>
      </c>
      <c r="FB107" s="479">
        <f>'Hodnocení '!FB103</f>
        <v>38053.533048749552</v>
      </c>
      <c r="FC107" s="479">
        <f>'Hodnocení '!FC103</f>
        <v>42203.981362368446</v>
      </c>
      <c r="FD107" s="479">
        <f>'Hodnocení '!FD103</f>
        <v>286643.68250028812</v>
      </c>
      <c r="FE107" s="479">
        <f>'Hodnocení '!FE103</f>
        <v>80752.913347188616</v>
      </c>
      <c r="FF107" s="479">
        <f>'Hodnocení '!FF103</f>
        <v>324471.95999999996</v>
      </c>
      <c r="FG107" s="479">
        <f>'Hodnocení '!FG103</f>
        <v>1019550</v>
      </c>
      <c r="FH107" s="479">
        <f>'Hodnocení '!FH103</f>
        <v>271026.04918797873</v>
      </c>
      <c r="FI107" s="479">
        <f>'Hodnocení '!FI103</f>
        <v>2013900.4650456514</v>
      </c>
      <c r="FJ107" s="479">
        <f>'Hodnocení '!FJ103</f>
        <v>275474.96975899418</v>
      </c>
      <c r="FK107" s="479">
        <f>'Hodnocení '!FK103</f>
        <v>-164695.7972628584</v>
      </c>
      <c r="FL107" s="479">
        <f>'Hodnocení '!FL103</f>
        <v>-312231.21227710997</v>
      </c>
      <c r="FM107" s="479">
        <f>'Hodnocení '!FM103</f>
        <v>-1683387.8709666431</v>
      </c>
      <c r="FN107" s="479">
        <f>'Hodnocení '!FN103</f>
        <v>543645.54984153435</v>
      </c>
      <c r="FO107" s="479">
        <f>'Hodnocení '!FO103</f>
        <v>-5035.8626000001095</v>
      </c>
      <c r="FP107" s="479">
        <f>'Hodnocení '!FP103</f>
        <v>206752.30885183625</v>
      </c>
      <c r="FQ107" s="479">
        <f>'Hodnocení '!FQ103</f>
        <v>62855.223800000036</v>
      </c>
      <c r="FR107" s="479">
        <f>'Hodnocení '!FR103</f>
        <v>2898098.2380630779</v>
      </c>
      <c r="FS107" s="479">
        <f>'Hodnocení '!FS103</f>
        <v>-13562.049999999988</v>
      </c>
      <c r="FT107" s="479">
        <f>'Hodnocení '!FT103</f>
        <v>307281.80409015995</v>
      </c>
      <c r="FU107" s="479">
        <f>'Hodnocení '!FU103</f>
        <v>39281.804442927241</v>
      </c>
      <c r="FV107" s="479">
        <f>'Hodnocení '!FV103</f>
        <v>173.16923673939891</v>
      </c>
      <c r="FW107" s="479">
        <f>'Hodnocení '!FW103</f>
        <v>-76054.969574229559</v>
      </c>
      <c r="FX107" s="479">
        <f>'Hodnocení '!FX103</f>
        <v>19607.503362067509</v>
      </c>
      <c r="FY107" s="479">
        <f>'Hodnocení '!FY103</f>
        <v>-9591</v>
      </c>
      <c r="FZ107" s="479">
        <f>'Hodnocení '!FZ103</f>
        <v>-5055.9147311123088</v>
      </c>
      <c r="GA107" s="479">
        <f>'Hodnocení '!GA103</f>
        <v>236.12772381899413</v>
      </c>
      <c r="GB107" s="479">
        <f>'Hodnocení '!GB103</f>
        <v>494640.1198871755</v>
      </c>
      <c r="GC107" s="479">
        <f>'Hodnocení '!GC103</f>
        <v>15555.139851687476</v>
      </c>
      <c r="GD107" s="479">
        <f>'Hodnocení '!GD103</f>
        <v>806650.24586364813</v>
      </c>
      <c r="GE107" s="479">
        <f>'Hodnocení '!GE103</f>
        <v>46266</v>
      </c>
      <c r="GF107" s="479">
        <f>'Hodnocení '!GF103</f>
        <v>291018.84956932673</v>
      </c>
      <c r="GG107" s="479">
        <f>'Hodnocení '!GG103</f>
        <v>-132562.53661982156</v>
      </c>
      <c r="GH107" s="479">
        <f>'Hodnocení '!GH103</f>
        <v>-34865</v>
      </c>
      <c r="GI107" s="479">
        <f>'Hodnocení '!GI103</f>
        <v>855487.17478331644</v>
      </c>
      <c r="GJ107" s="479">
        <f>'Hodnocení '!GJ103</f>
        <v>171699.33929066174</v>
      </c>
      <c r="GK107" s="479">
        <f>'Hodnocení '!GK103</f>
        <v>433870</v>
      </c>
      <c r="GL107" s="479">
        <f>'Hodnocení '!GL103</f>
        <v>-59341.971743901726</v>
      </c>
      <c r="GM107" s="479">
        <f>'Hodnocení '!GM103</f>
        <v>-60702.477244471665</v>
      </c>
      <c r="GN107" s="479">
        <f>'Hodnocení '!GN103</f>
        <v>185653.06011215365</v>
      </c>
      <c r="GO107" s="479">
        <f>'Hodnocení '!GO103</f>
        <v>887246.48613796104</v>
      </c>
      <c r="GP107" s="479">
        <f>'Hodnocení '!GP103</f>
        <v>-35811.376342296251</v>
      </c>
      <c r="GQ107" s="479">
        <f>'Hodnocení '!GQ103</f>
        <v>-430637.21128313889</v>
      </c>
      <c r="GR107" s="479">
        <f>'Hodnocení '!GR103</f>
        <v>-83152</v>
      </c>
      <c r="GS107" s="479">
        <f>'Hodnocení '!GS103</f>
        <v>-165886</v>
      </c>
      <c r="GT107" s="479">
        <f>'Hodnocení '!GT103</f>
        <v>339289.90894356743</v>
      </c>
      <c r="GU107" s="479">
        <f>'Hodnocení '!GU103</f>
        <v>45869</v>
      </c>
      <c r="GV107" s="479">
        <f>'Hodnocení '!GV103</f>
        <v>40190</v>
      </c>
      <c r="GW107" s="479">
        <f>'Hodnocení '!GW103</f>
        <v>-192141.11092572834</v>
      </c>
      <c r="GX107" s="479">
        <f>'Hodnocení '!GX103</f>
        <v>-4333</v>
      </c>
      <c r="GY107" s="479">
        <f>'Hodnocení '!GY103</f>
        <v>447840.67889190651</v>
      </c>
      <c r="GZ107" s="479">
        <f>'Hodnocení '!GZ103</f>
        <v>3222820.7912944802</v>
      </c>
      <c r="HA107" s="479">
        <f>'Hodnocení '!HA103</f>
        <v>323440</v>
      </c>
      <c r="HB107" s="479">
        <f>'Hodnocení '!HB103</f>
        <v>250364.85759161878</v>
      </c>
      <c r="HC107" s="479">
        <f>'Hodnocení '!HC103</f>
        <v>400657.45814309176</v>
      </c>
      <c r="HD107" s="479">
        <f>'Hodnocení '!HD103</f>
        <v>507252.72553738486</v>
      </c>
      <c r="HE107" s="479">
        <f>'Hodnocení '!HE103</f>
        <v>502000</v>
      </c>
      <c r="HF107" s="479">
        <f>'Hodnocení '!HF103</f>
        <v>73632.93476073246</v>
      </c>
      <c r="HG107" s="479">
        <f>'Hodnocení '!HG103</f>
        <v>-34312.862394777359</v>
      </c>
      <c r="HH107" s="479">
        <f>'Hodnocení '!HH103</f>
        <v>-115202.67942905379</v>
      </c>
      <c r="HI107" s="479">
        <f>'Hodnocení '!HI103</f>
        <v>-270679.82297403831</v>
      </c>
      <c r="HJ107" s="479">
        <f>'Hodnocení '!HJ103</f>
        <v>502448.83102156827</v>
      </c>
      <c r="HK107" s="479">
        <f>'Hodnocení '!HK103</f>
        <v>-144000</v>
      </c>
      <c r="HL107" s="479">
        <f>'Hodnocení '!HL103</f>
        <v>2827946.226384297</v>
      </c>
      <c r="HM107" s="479">
        <f>'Hodnocení '!HM103</f>
        <v>-1822000.7132431082</v>
      </c>
      <c r="HN107" s="479">
        <f>'Hodnocení '!HN103</f>
        <v>183981.06669069757</v>
      </c>
      <c r="HO107" s="479">
        <f>'Hodnocení '!HO103</f>
        <v>-29609.132768688723</v>
      </c>
      <c r="HP107" s="479">
        <f>'Hodnocení '!HP103</f>
        <v>2937605.6068551391</v>
      </c>
      <c r="HQ107" s="479">
        <f>'Hodnocení '!HQ103</f>
        <v>6296.0109016010538</v>
      </c>
      <c r="HR107" s="479">
        <f>'Hodnocení '!HR103</f>
        <v>445666.58438007906</v>
      </c>
      <c r="HS107" s="479">
        <f>'Hodnocení '!HS103</f>
        <v>934403.36825784948</v>
      </c>
      <c r="HT107" s="479">
        <f>'Hodnocení '!HT103</f>
        <v>-5347061.1012308747</v>
      </c>
      <c r="HU107" s="479">
        <f>'Hodnocení '!HU103</f>
        <v>3908274.8653759174</v>
      </c>
      <c r="HV107" s="479">
        <f>'Hodnocení '!HV103</f>
        <v>2996716.4349601455</v>
      </c>
      <c r="HW107" s="479">
        <f>'Hodnocení '!HW103</f>
        <v>-1812058.0750665925</v>
      </c>
      <c r="HX107" s="479">
        <f>'Hodnocení '!HX103</f>
        <v>5779882.4935670681</v>
      </c>
      <c r="HY107" s="479">
        <f>'Hodnocení '!HY103</f>
        <v>-2304863.0664582625</v>
      </c>
      <c r="HZ107" s="479">
        <f>'Hodnocení '!HZ103</f>
        <v>490431.75556179136</v>
      </c>
      <c r="IA107" s="479">
        <f>'Hodnocení '!IA103</f>
        <v>16795.157256452367</v>
      </c>
      <c r="IB107" s="479">
        <f>'Hodnocení '!IB103</f>
        <v>427740.40059236437</v>
      </c>
      <c r="IC107" s="479">
        <f>'Hodnocení '!IC103</f>
        <v>1955261.1448942758</v>
      </c>
      <c r="ID107" s="479">
        <f>'Hodnocení '!ID103</f>
        <v>1582764.6085267812</v>
      </c>
      <c r="IE107" s="479">
        <f>'Hodnocení '!IE103</f>
        <v>2312990.5015844777</v>
      </c>
      <c r="IF107" s="479">
        <f>'Hodnocení '!IF103</f>
        <v>-4461847.704423666</v>
      </c>
      <c r="IG107" s="479">
        <f>'Hodnocení '!IG103</f>
        <v>-546105.68378837779</v>
      </c>
      <c r="IH107" s="479">
        <f>'Hodnocení '!IH103</f>
        <v>736067.42885601241</v>
      </c>
      <c r="II107" s="479">
        <f>'Hodnocení '!II103</f>
        <v>-2410000.7748431563</v>
      </c>
      <c r="IJ107" s="479">
        <f>'Hodnocení '!IJ103</f>
        <v>406647.69780913368</v>
      </c>
      <c r="IK107" s="479">
        <f>'Hodnocení '!IK103</f>
        <v>12704.917822265532</v>
      </c>
      <c r="IL107" s="479">
        <f>'Hodnocení '!IL103</f>
        <v>246031.43163940497</v>
      </c>
      <c r="IM107" s="479">
        <f>'Hodnocení '!IM103</f>
        <v>-152079.87741329148</v>
      </c>
      <c r="IN107" s="479">
        <f>'Hodnocení '!IN103</f>
        <v>-129860.38538624719</v>
      </c>
      <c r="IO107" s="479">
        <f>'Hodnocení '!IO103</f>
        <v>465274.01418881956</v>
      </c>
      <c r="IP107" s="479">
        <f>'Hodnocení '!IP103</f>
        <v>-1643290.993533127</v>
      </c>
      <c r="IQ107" s="479">
        <f>'Hodnocení '!IQ103</f>
        <v>-1714838.8915572092</v>
      </c>
      <c r="IR107" s="479">
        <f>'Hodnocení '!IR103</f>
        <v>13439.943361662095</v>
      </c>
      <c r="IS107" s="479">
        <f>'Hodnocení '!IS103</f>
        <v>-2179814.1629052833</v>
      </c>
      <c r="IT107" s="479">
        <f>'Hodnocení '!IT103</f>
        <v>984978.12016303837</v>
      </c>
      <c r="IU107" s="479">
        <f>'Hodnocení '!IU103</f>
        <v>313537.44674856495</v>
      </c>
      <c r="IV107" s="479">
        <f>'Hodnocení '!IV103</f>
        <v>-397086.00951962918</v>
      </c>
      <c r="IW107" s="479">
        <f>'Hodnocení '!IW103</f>
        <v>-2690895.015101593</v>
      </c>
      <c r="IX107" s="479">
        <f>'Hodnocení '!IX103</f>
        <v>235204.59593742667</v>
      </c>
      <c r="IY107" s="479">
        <f>'Hodnocení '!IY103</f>
        <v>2924861.4800059684</v>
      </c>
      <c r="IZ107" s="479">
        <f>'Hodnocení '!IZ103</f>
        <v>5076746.1550431699</v>
      </c>
      <c r="JA107" s="479">
        <f>'Hodnocení '!JA103</f>
        <v>-176594.88052702183</v>
      </c>
      <c r="JB107" s="479">
        <f>'Hodnocení '!JB103</f>
        <v>273000</v>
      </c>
      <c r="JC107" s="479">
        <f>'Hodnocení '!JC103</f>
        <v>-280579.00259929337</v>
      </c>
      <c r="JD107" s="479">
        <f>'Hodnocení '!JD103</f>
        <v>-1176392</v>
      </c>
      <c r="JE107" s="479">
        <f>'Hodnocení '!JE103</f>
        <v>-348800.14505924704</v>
      </c>
      <c r="JF107" s="479">
        <f>'Hodnocení '!JF103</f>
        <v>7716420.2408770919</v>
      </c>
      <c r="JG107" s="479">
        <f>'Hodnocení '!JG103</f>
        <v>-2061607.7021934986</v>
      </c>
      <c r="JH107" s="780">
        <f>'Hodnocení '!JH103</f>
        <v>496729.28351784637</v>
      </c>
      <c r="JI107" s="470">
        <f>'Hodnocení '!JI103</f>
        <v>85424087.49084492</v>
      </c>
      <c r="JL107" s="307">
        <f t="shared" si="57"/>
        <v>2745101.9646354234</v>
      </c>
      <c r="JM107" s="307">
        <f t="shared" si="57"/>
        <v>49626354.084269494</v>
      </c>
      <c r="JN107" s="307">
        <f t="shared" si="57"/>
        <v>18029617.777798802</v>
      </c>
      <c r="JO107" s="307">
        <f t="shared" si="57"/>
        <v>15023013.664141174</v>
      </c>
      <c r="JP107" s="307">
        <f t="shared" si="58"/>
        <v>85424087.490844905</v>
      </c>
    </row>
    <row r="108" spans="1:276" hidden="1" x14ac:dyDescent="0.25">
      <c r="A108" s="353"/>
      <c r="B108" s="733" t="s">
        <v>2580</v>
      </c>
      <c r="C108" s="779">
        <f>'Hodnocení '!C104</f>
        <v>1235422.5558247231</v>
      </c>
      <c r="D108" s="479">
        <f>'Hodnocení '!D104</f>
        <v>1406900</v>
      </c>
      <c r="E108" s="479">
        <f>'Hodnocení '!E104</f>
        <v>102779.40881070029</v>
      </c>
      <c r="F108" s="479">
        <f>'Hodnocení '!F104</f>
        <v>132284.70883535733</v>
      </c>
      <c r="G108" s="479">
        <f>'Hodnocení '!G104</f>
        <v>1429653.1272905953</v>
      </c>
      <c r="H108" s="479">
        <f>'Hodnocení '!H104</f>
        <v>65710.416111308965</v>
      </c>
      <c r="I108" s="479">
        <f>'Hodnocení '!I104</f>
        <v>941977.47419521306</v>
      </c>
      <c r="J108" s="479">
        <f>'Hodnocení '!J104</f>
        <v>212155.78442021785</v>
      </c>
      <c r="K108" s="479">
        <f>'Hodnocení '!K104</f>
        <v>618538</v>
      </c>
      <c r="L108" s="479">
        <f>'Hodnocení '!L104</f>
        <v>0</v>
      </c>
      <c r="M108" s="479">
        <f>'Hodnocení '!M104</f>
        <v>30486.238895765971</v>
      </c>
      <c r="N108" s="479">
        <f>'Hodnocení '!N104</f>
        <v>115828.6030266704</v>
      </c>
      <c r="O108" s="479">
        <f>'Hodnocení '!O104</f>
        <v>191212</v>
      </c>
      <c r="P108" s="479">
        <f>'Hodnocení '!P104</f>
        <v>225010.00218168925</v>
      </c>
      <c r="Q108" s="479">
        <f>'Hodnocení '!Q104</f>
        <v>371221.47910101549</v>
      </c>
      <c r="R108" s="479">
        <f>'Hodnocení '!R104</f>
        <v>0</v>
      </c>
      <c r="S108" s="479">
        <f>'Hodnocení '!S104</f>
        <v>0</v>
      </c>
      <c r="T108" s="479">
        <f>'Hodnocení '!T104</f>
        <v>31437.510778153781</v>
      </c>
      <c r="U108" s="479">
        <f>'Hodnocení '!U104</f>
        <v>0</v>
      </c>
      <c r="V108" s="479">
        <f>'Hodnocení '!V104</f>
        <v>0</v>
      </c>
      <c r="W108" s="479">
        <f>'Hodnocení '!W104</f>
        <v>305000</v>
      </c>
      <c r="X108" s="479">
        <f>'Hodnocení '!X104</f>
        <v>994445.80950857792</v>
      </c>
      <c r="Y108" s="479">
        <f>'Hodnocení '!Y104</f>
        <v>12890</v>
      </c>
      <c r="Z108" s="479">
        <f>'Hodnocení '!Z104</f>
        <v>379924</v>
      </c>
      <c r="AA108" s="479">
        <f>'Hodnocení '!AA104</f>
        <v>394885.44902487379</v>
      </c>
      <c r="AB108" s="479">
        <f>'Hodnocení '!AB104</f>
        <v>630190.70572241349</v>
      </c>
      <c r="AC108" s="479">
        <f>'Hodnocení '!AC104</f>
        <v>0</v>
      </c>
      <c r="AD108" s="479">
        <f>'Hodnocení '!AD104</f>
        <v>744989.12062356528</v>
      </c>
      <c r="AE108" s="479">
        <f>'Hodnocení '!AE104</f>
        <v>76840.525898943888</v>
      </c>
      <c r="AF108" s="479">
        <f>'Hodnocení '!AF104</f>
        <v>1219244.9295379585</v>
      </c>
      <c r="AG108" s="479">
        <f>'Hodnocení '!AG104</f>
        <v>125060.75486989692</v>
      </c>
      <c r="AH108" s="479">
        <f>'Hodnocení '!AH104</f>
        <v>0</v>
      </c>
      <c r="AI108" s="479">
        <f>'Hodnocení '!AI104</f>
        <v>510300</v>
      </c>
      <c r="AJ108" s="479">
        <f>'Hodnocení '!AJ104</f>
        <v>134700</v>
      </c>
      <c r="AK108" s="479">
        <f>'Hodnocení '!AK104</f>
        <v>53995</v>
      </c>
      <c r="AL108" s="479">
        <f>'Hodnocení '!AL104</f>
        <v>92493.163351077586</v>
      </c>
      <c r="AM108" s="479">
        <f>'Hodnocení '!AM104</f>
        <v>125216.37263412308</v>
      </c>
      <c r="AN108" s="479">
        <f>'Hodnocení '!AN104</f>
        <v>121055.19849877898</v>
      </c>
      <c r="AO108" s="479">
        <f>'Hodnocení '!AO104</f>
        <v>1174727.5596356187</v>
      </c>
      <c r="AP108" s="479">
        <f>'Hodnocení '!AP104</f>
        <v>0</v>
      </c>
      <c r="AQ108" s="479">
        <f>'Hodnocení '!AQ104</f>
        <v>163062</v>
      </c>
      <c r="AR108" s="479">
        <f>'Hodnocení '!AR104</f>
        <v>401149.39925084589</v>
      </c>
      <c r="AS108" s="479">
        <f>'Hodnocení '!AS104</f>
        <v>44681.220223333861</v>
      </c>
      <c r="AT108" s="479">
        <f>'Hodnocení '!AT104</f>
        <v>322367.43236834183</v>
      </c>
      <c r="AU108" s="479">
        <f>'Hodnocení '!AU104</f>
        <v>97944.93946642126</v>
      </c>
      <c r="AV108" s="479">
        <f>'Hodnocení '!AV104</f>
        <v>137042.67729522614</v>
      </c>
      <c r="AW108" s="479">
        <f>'Hodnocení '!AW104</f>
        <v>288647.55504343286</v>
      </c>
      <c r="AX108" s="479">
        <f>'Hodnocení '!AX104</f>
        <v>270115.31108075101</v>
      </c>
      <c r="AY108" s="479">
        <f>'Hodnocení '!AY104</f>
        <v>208738.54065689072</v>
      </c>
      <c r="AZ108" s="479">
        <f>'Hodnocení '!AZ104</f>
        <v>49765</v>
      </c>
      <c r="BA108" s="479">
        <f>'Hodnocení '!BA104</f>
        <v>1814732</v>
      </c>
      <c r="BB108" s="479">
        <f>'Hodnocení '!BB104</f>
        <v>292796</v>
      </c>
      <c r="BC108" s="479">
        <f>'Hodnocení '!BC104</f>
        <v>214997.49380253232</v>
      </c>
      <c r="BD108" s="479">
        <f>'Hodnocení '!BD104</f>
        <v>638438.33257854311</v>
      </c>
      <c r="BE108" s="479">
        <f>'Hodnocení '!BE104</f>
        <v>86784.356650778558</v>
      </c>
      <c r="BF108" s="479">
        <f>'Hodnocení '!BF104</f>
        <v>131040</v>
      </c>
      <c r="BG108" s="479">
        <f>'Hodnocení '!BG104</f>
        <v>154784</v>
      </c>
      <c r="BH108" s="479">
        <f>'Hodnocení '!BH104</f>
        <v>257932</v>
      </c>
      <c r="BI108" s="479">
        <f>'Hodnocení '!BI104</f>
        <v>0</v>
      </c>
      <c r="BJ108" s="479">
        <f>'Hodnocení '!BJ104</f>
        <v>81837.853564726654</v>
      </c>
      <c r="BK108" s="479">
        <f>'Hodnocení '!BK104</f>
        <v>136000</v>
      </c>
      <c r="BL108" s="479">
        <f>'Hodnocení '!BL104</f>
        <v>455138.49500087276</v>
      </c>
      <c r="BM108" s="479">
        <f>'Hodnocení '!BM104</f>
        <v>849726</v>
      </c>
      <c r="BN108" s="479">
        <f>'Hodnocení '!BN104</f>
        <v>75101.993153743446</v>
      </c>
      <c r="BO108" s="479">
        <f>'Hodnocení '!BO104</f>
        <v>289269.65247524576</v>
      </c>
      <c r="BP108" s="479">
        <f>'Hodnocení '!BP104</f>
        <v>732773</v>
      </c>
      <c r="BQ108" s="479">
        <f>'Hodnocení '!BQ104</f>
        <v>98361.621271296288</v>
      </c>
      <c r="BR108" s="479">
        <f>'Hodnocení '!BR104</f>
        <v>138681</v>
      </c>
      <c r="BS108" s="479">
        <f>'Hodnocení '!BS104</f>
        <v>12382.298967874143</v>
      </c>
      <c r="BT108" s="479">
        <f>'Hodnocení '!BT104</f>
        <v>54060.266167230671</v>
      </c>
      <c r="BU108" s="479">
        <f>'Hodnocení '!BU104</f>
        <v>0</v>
      </c>
      <c r="BV108" s="479">
        <f>'Hodnocení '!BV104</f>
        <v>588998.0353182531</v>
      </c>
      <c r="BW108" s="479">
        <f>'Hodnocení '!BW104</f>
        <v>0</v>
      </c>
      <c r="BX108" s="479">
        <f>'Hodnocení '!BX104</f>
        <v>653636.19106335379</v>
      </c>
      <c r="BY108" s="479">
        <f>'Hodnocení '!BY104</f>
        <v>0</v>
      </c>
      <c r="BZ108" s="479">
        <f>'Hodnocení '!BZ104</f>
        <v>0</v>
      </c>
      <c r="CA108" s="479">
        <f>'Hodnocení '!CA104</f>
        <v>0</v>
      </c>
      <c r="CB108" s="479">
        <f>'Hodnocení '!CB104</f>
        <v>39256.101421467261</v>
      </c>
      <c r="CC108" s="479">
        <f>'Hodnocení '!CC104</f>
        <v>117637.66254166374</v>
      </c>
      <c r="CD108" s="479">
        <f>'Hodnocení '!CD104</f>
        <v>14512.216855739709</v>
      </c>
      <c r="CE108" s="479">
        <f>'Hodnocení '!CE104</f>
        <v>1446195.1253167707</v>
      </c>
      <c r="CF108" s="479">
        <f>'Hodnocení '!CF104</f>
        <v>127617.8393289512</v>
      </c>
      <c r="CG108" s="479">
        <f>'Hodnocení '!CG104</f>
        <v>544095.49607044645</v>
      </c>
      <c r="CH108" s="479">
        <f>'Hodnocení '!CH104</f>
        <v>305133.07924963161</v>
      </c>
      <c r="CI108" s="479">
        <f>'Hodnocení '!CI104</f>
        <v>436085.96719942894</v>
      </c>
      <c r="CJ108" s="479">
        <f>'Hodnocení '!CJ104</f>
        <v>394665.0818283353</v>
      </c>
      <c r="CK108" s="479">
        <f>'Hodnocení '!CK104</f>
        <v>365377</v>
      </c>
      <c r="CL108" s="479">
        <f>'Hodnocení '!CL104</f>
        <v>226829.74855449842</v>
      </c>
      <c r="CM108" s="479">
        <f>'Hodnocení '!CM104</f>
        <v>691676.43998631369</v>
      </c>
      <c r="CN108" s="479">
        <f>'Hodnocení '!CN104</f>
        <v>59434.772719491506</v>
      </c>
      <c r="CO108" s="479">
        <f>'Hodnocení '!CO104</f>
        <v>0</v>
      </c>
      <c r="CP108" s="479">
        <f>'Hodnocení '!CP104</f>
        <v>30382.256800304167</v>
      </c>
      <c r="CQ108" s="479">
        <f>'Hodnocení '!CQ104</f>
        <v>908770.573718125</v>
      </c>
      <c r="CR108" s="479">
        <f>'Hodnocení '!CR104</f>
        <v>714294</v>
      </c>
      <c r="CS108" s="479">
        <f>'Hodnocení '!CS104</f>
        <v>3589793.26</v>
      </c>
      <c r="CT108" s="479">
        <f>'Hodnocení '!CT104</f>
        <v>859679.81036627945</v>
      </c>
      <c r="CU108" s="479">
        <f>'Hodnocení '!CU104</f>
        <v>474500</v>
      </c>
      <c r="CV108" s="479">
        <f>'Hodnocení '!CV104</f>
        <v>613490.98592103273</v>
      </c>
      <c r="CW108" s="479">
        <f>'Hodnocení '!CW104</f>
        <v>128599</v>
      </c>
      <c r="CX108" s="479">
        <f>'Hodnocení '!CX104</f>
        <v>329000</v>
      </c>
      <c r="CY108" s="479">
        <f>'Hodnocení '!CY104</f>
        <v>132129.28390120855</v>
      </c>
      <c r="CZ108" s="479">
        <f>'Hodnocení '!CZ104</f>
        <v>368000</v>
      </c>
      <c r="DA108" s="479">
        <f>'Hodnocení '!DA104</f>
        <v>2069140</v>
      </c>
      <c r="DB108" s="479">
        <f>'Hodnocení '!DB104</f>
        <v>95480</v>
      </c>
      <c r="DC108" s="479">
        <f>'Hodnocení '!DC104</f>
        <v>328714.46353825252</v>
      </c>
      <c r="DD108" s="479">
        <f>'Hodnocení '!DD104</f>
        <v>1118856.6959123211</v>
      </c>
      <c r="DE108" s="479">
        <f>'Hodnocení '!DE104</f>
        <v>429390.87138624676</v>
      </c>
      <c r="DF108" s="479">
        <f>'Hodnocení '!DF104</f>
        <v>0</v>
      </c>
      <c r="DG108" s="479">
        <f>'Hodnocení '!DG104</f>
        <v>197198.16515118408</v>
      </c>
      <c r="DH108" s="479">
        <f>'Hodnocení '!DH104</f>
        <v>830973.43433351256</v>
      </c>
      <c r="DI108" s="479">
        <f>'Hodnocení '!DI104</f>
        <v>43865.384096688125</v>
      </c>
      <c r="DJ108" s="479">
        <f>'Hodnocení '!DJ104</f>
        <v>103868</v>
      </c>
      <c r="DK108" s="479">
        <f>'Hodnocení '!DK104</f>
        <v>1891309.6534043886</v>
      </c>
      <c r="DL108" s="479">
        <f>'Hodnocení '!DL104</f>
        <v>277072.2218004535</v>
      </c>
      <c r="DM108" s="479">
        <f>'Hodnocení '!DM104</f>
        <v>232155.08381385566</v>
      </c>
      <c r="DN108" s="479">
        <f>'Hodnocení '!DN104</f>
        <v>708902</v>
      </c>
      <c r="DO108" s="479">
        <f>'Hodnocení '!DO104</f>
        <v>4525.3922101089265</v>
      </c>
      <c r="DP108" s="479">
        <f>'Hodnocení '!DP104</f>
        <v>0</v>
      </c>
      <c r="DQ108" s="479">
        <f>'Hodnocení '!DQ104</f>
        <v>105793</v>
      </c>
      <c r="DR108" s="479">
        <f>'Hodnocení '!DR104</f>
        <v>0</v>
      </c>
      <c r="DS108" s="479">
        <f>'Hodnocení '!DS104</f>
        <v>547000</v>
      </c>
      <c r="DT108" s="479">
        <f>'Hodnocení '!DT104</f>
        <v>473573.05137304217</v>
      </c>
      <c r="DU108" s="479">
        <f>'Hodnocení '!DU104</f>
        <v>18908.963338879868</v>
      </c>
      <c r="DV108" s="479">
        <f>'Hodnocení '!DV104</f>
        <v>1277856</v>
      </c>
      <c r="DW108" s="479">
        <f>'Hodnocení '!DW104</f>
        <v>251601.57345701009</v>
      </c>
      <c r="DX108" s="479">
        <f>'Hodnocení '!DX104</f>
        <v>433801.15410795156</v>
      </c>
      <c r="DY108" s="479">
        <f>'Hodnocení '!DY104</f>
        <v>825992.75048264861</v>
      </c>
      <c r="DZ108" s="479">
        <f>'Hodnocení '!DZ104</f>
        <v>7625.6888148766011</v>
      </c>
      <c r="EA108" s="479">
        <f>'Hodnocení '!EA104</f>
        <v>15312</v>
      </c>
      <c r="EB108" s="479">
        <f>'Hodnocení '!EB104</f>
        <v>1868722.8583436497</v>
      </c>
      <c r="EC108" s="479">
        <f>'Hodnocení '!EC104</f>
        <v>162383.75123846577</v>
      </c>
      <c r="ED108" s="479">
        <f>'Hodnocení '!ED104</f>
        <v>317047.42154010572</v>
      </c>
      <c r="EE108" s="479">
        <f>'Hodnocení '!EE104</f>
        <v>46376</v>
      </c>
      <c r="EF108" s="479">
        <f>'Hodnocení '!EF104</f>
        <v>0</v>
      </c>
      <c r="EG108" s="479">
        <f>'Hodnocení '!EG104</f>
        <v>0</v>
      </c>
      <c r="EH108" s="479">
        <f>'Hodnocení '!EH104</f>
        <v>35330</v>
      </c>
      <c r="EI108" s="479">
        <f>'Hodnocení '!EI104</f>
        <v>114247</v>
      </c>
      <c r="EJ108" s="479">
        <f>'Hodnocení '!EJ104</f>
        <v>220123.11828195211</v>
      </c>
      <c r="EK108" s="479">
        <f>'Hodnocení '!EK104</f>
        <v>0</v>
      </c>
      <c r="EL108" s="479">
        <f>'Hodnocení '!EL104</f>
        <v>272049.92012174241</v>
      </c>
      <c r="EM108" s="479">
        <f>'Hodnocení '!EM104</f>
        <v>118882.31944287568</v>
      </c>
      <c r="EN108" s="479">
        <f>'Hodnocení '!EN104</f>
        <v>132129</v>
      </c>
      <c r="EO108" s="479">
        <f>'Hodnocení '!EO104</f>
        <v>90118.146815555869</v>
      </c>
      <c r="EP108" s="479">
        <f>'Hodnocení '!EP104</f>
        <v>798942</v>
      </c>
      <c r="EQ108" s="479">
        <f>'Hodnocení '!EQ104</f>
        <v>474030.50442442764</v>
      </c>
      <c r="ER108" s="479">
        <f>'Hodnocení '!ER104</f>
        <v>977132</v>
      </c>
      <c r="ES108" s="479">
        <f>'Hodnocení '!ES104</f>
        <v>118809.44734015642</v>
      </c>
      <c r="ET108" s="479">
        <f>'Hodnocení '!ET104</f>
        <v>901340</v>
      </c>
      <c r="EU108" s="479">
        <f>'Hodnocení '!EU104</f>
        <v>1252000</v>
      </c>
      <c r="EV108" s="479">
        <f>'Hodnocení '!EV104</f>
        <v>217550.98782481399</v>
      </c>
      <c r="EW108" s="479">
        <f>'Hodnocení '!EW104</f>
        <v>148744.77050382318</v>
      </c>
      <c r="EX108" s="479">
        <f>'Hodnocení '!EX104</f>
        <v>170018.98534053471</v>
      </c>
      <c r="EY108" s="479">
        <f>'Hodnocení '!EY104</f>
        <v>14320.875155149493</v>
      </c>
      <c r="EZ108" s="479">
        <f>'Hodnocení '!EZ104</f>
        <v>0</v>
      </c>
      <c r="FA108" s="479">
        <f>'Hodnocení '!FA104</f>
        <v>196308</v>
      </c>
      <c r="FB108" s="479">
        <f>'Hodnocení '!FB104</f>
        <v>38053.533048749552</v>
      </c>
      <c r="FC108" s="479">
        <f>'Hodnocení '!FC104</f>
        <v>42203.981362368446</v>
      </c>
      <c r="FD108" s="479">
        <f>'Hodnocení '!FD104</f>
        <v>286643.68250028812</v>
      </c>
      <c r="FE108" s="479">
        <f>'Hodnocení '!FE104</f>
        <v>80752.913347188616</v>
      </c>
      <c r="FF108" s="479">
        <f>'Hodnocení '!FF104</f>
        <v>324471.95999999996</v>
      </c>
      <c r="FG108" s="479">
        <f>'Hodnocení '!FG104</f>
        <v>1019550</v>
      </c>
      <c r="FH108" s="479">
        <f>'Hodnocení '!FH104</f>
        <v>271026.04918797873</v>
      </c>
      <c r="FI108" s="479">
        <f>'Hodnocení '!FI104</f>
        <v>2013900.4650456514</v>
      </c>
      <c r="FJ108" s="479">
        <f>'Hodnocení '!FJ104</f>
        <v>275474.96975899418</v>
      </c>
      <c r="FK108" s="479">
        <f>'Hodnocení '!FK104</f>
        <v>0</v>
      </c>
      <c r="FL108" s="479">
        <f>'Hodnocení '!FL104</f>
        <v>0</v>
      </c>
      <c r="FM108" s="479">
        <f>'Hodnocení '!FM104</f>
        <v>0</v>
      </c>
      <c r="FN108" s="479">
        <f>'Hodnocení '!FN104</f>
        <v>543645.54984153435</v>
      </c>
      <c r="FO108" s="479">
        <f>'Hodnocení '!FO104</f>
        <v>0</v>
      </c>
      <c r="FP108" s="479">
        <f>'Hodnocení '!FP104</f>
        <v>206752.30885183625</v>
      </c>
      <c r="FQ108" s="479">
        <f>'Hodnocení '!FQ104</f>
        <v>62855.223800000036</v>
      </c>
      <c r="FR108" s="479">
        <f>'Hodnocení '!FR104</f>
        <v>2898098.2380630779</v>
      </c>
      <c r="FS108" s="479">
        <f>'Hodnocení '!FS104</f>
        <v>0</v>
      </c>
      <c r="FT108" s="479">
        <f>'Hodnocení '!FT104</f>
        <v>307281.80409015995</v>
      </c>
      <c r="FU108" s="479">
        <f>'Hodnocení '!FU104</f>
        <v>39281.804442927241</v>
      </c>
      <c r="FV108" s="479">
        <f>'Hodnocení '!FV104</f>
        <v>173.16923673939891</v>
      </c>
      <c r="FW108" s="479">
        <f>'Hodnocení '!FW104</f>
        <v>0</v>
      </c>
      <c r="FX108" s="479">
        <f>'Hodnocení '!FX104</f>
        <v>19607.503362067509</v>
      </c>
      <c r="FY108" s="479">
        <f>'Hodnocení '!FY104</f>
        <v>0</v>
      </c>
      <c r="FZ108" s="479">
        <f>'Hodnocení '!FZ104</f>
        <v>0</v>
      </c>
      <c r="GA108" s="479">
        <f>'Hodnocení '!GA104</f>
        <v>236.12772381899413</v>
      </c>
      <c r="GB108" s="479">
        <f>'Hodnocení '!GB104</f>
        <v>494640.1198871755</v>
      </c>
      <c r="GC108" s="479">
        <f>'Hodnocení '!GC104</f>
        <v>15555.139851687476</v>
      </c>
      <c r="GD108" s="479">
        <f>'Hodnocení '!GD104</f>
        <v>806650.24586364813</v>
      </c>
      <c r="GE108" s="479">
        <f>'Hodnocení '!GE104</f>
        <v>46266</v>
      </c>
      <c r="GF108" s="479">
        <f>'Hodnocení '!GF104</f>
        <v>291018.84956932673</v>
      </c>
      <c r="GG108" s="479">
        <f>'Hodnocení '!GG104</f>
        <v>0</v>
      </c>
      <c r="GH108" s="479">
        <f>'Hodnocení '!GH104</f>
        <v>0</v>
      </c>
      <c r="GI108" s="479">
        <f>'Hodnocení '!GI104</f>
        <v>855487.17478331644</v>
      </c>
      <c r="GJ108" s="479">
        <f>'Hodnocení '!GJ104</f>
        <v>171699.33929066174</v>
      </c>
      <c r="GK108" s="479">
        <f>'Hodnocení '!GK104</f>
        <v>433870</v>
      </c>
      <c r="GL108" s="479">
        <f>'Hodnocení '!GL104</f>
        <v>0</v>
      </c>
      <c r="GM108" s="479">
        <f>'Hodnocení '!GM104</f>
        <v>0</v>
      </c>
      <c r="GN108" s="479">
        <f>'Hodnocení '!GN104</f>
        <v>185653.06011215365</v>
      </c>
      <c r="GO108" s="479">
        <f>'Hodnocení '!GO104</f>
        <v>887246.48613796104</v>
      </c>
      <c r="GP108" s="479">
        <f>'Hodnocení '!GP104</f>
        <v>0</v>
      </c>
      <c r="GQ108" s="479">
        <f>'Hodnocení '!GQ104</f>
        <v>0</v>
      </c>
      <c r="GR108" s="479">
        <f>'Hodnocení '!GR104</f>
        <v>0</v>
      </c>
      <c r="GS108" s="479">
        <f>'Hodnocení '!GS104</f>
        <v>0</v>
      </c>
      <c r="GT108" s="479">
        <f>'Hodnocení '!GT104</f>
        <v>339289.90894356743</v>
      </c>
      <c r="GU108" s="479">
        <f>'Hodnocení '!GU104</f>
        <v>45869</v>
      </c>
      <c r="GV108" s="479">
        <f>'Hodnocení '!GV104</f>
        <v>40190</v>
      </c>
      <c r="GW108" s="479">
        <f>'Hodnocení '!GW104</f>
        <v>0</v>
      </c>
      <c r="GX108" s="479">
        <f>'Hodnocení '!GX104</f>
        <v>0</v>
      </c>
      <c r="GY108" s="479">
        <f>'Hodnocení '!GY104</f>
        <v>447840.67889190651</v>
      </c>
      <c r="GZ108" s="479">
        <f>'Hodnocení '!GZ104</f>
        <v>3222820.7912944802</v>
      </c>
      <c r="HA108" s="479">
        <f>'Hodnocení '!HA104</f>
        <v>323440</v>
      </c>
      <c r="HB108" s="479">
        <f>'Hodnocení '!HB104</f>
        <v>250364.85759161878</v>
      </c>
      <c r="HC108" s="479">
        <f>'Hodnocení '!HC104</f>
        <v>400657.45814309176</v>
      </c>
      <c r="HD108" s="479">
        <f>'Hodnocení '!HD104</f>
        <v>507252.72553738486</v>
      </c>
      <c r="HE108" s="479">
        <f>'Hodnocení '!HE104</f>
        <v>502000</v>
      </c>
      <c r="HF108" s="479">
        <f>'Hodnocení '!HF104</f>
        <v>73632.93476073246</v>
      </c>
      <c r="HG108" s="479">
        <f>'Hodnocení '!HG104</f>
        <v>0</v>
      </c>
      <c r="HH108" s="479">
        <f>'Hodnocení '!HH104</f>
        <v>0</v>
      </c>
      <c r="HI108" s="479">
        <f>'Hodnocení '!HI104</f>
        <v>0</v>
      </c>
      <c r="HJ108" s="479">
        <f>'Hodnocení '!HJ104</f>
        <v>502448.83102156827</v>
      </c>
      <c r="HK108" s="479">
        <f>'Hodnocení '!HK104</f>
        <v>0</v>
      </c>
      <c r="HL108" s="479">
        <f>'Hodnocení '!HL104</f>
        <v>2827946.226384297</v>
      </c>
      <c r="HM108" s="479">
        <f>'Hodnocení '!HM104</f>
        <v>0</v>
      </c>
      <c r="HN108" s="479">
        <f>'Hodnocení '!HN104</f>
        <v>183981.06669069757</v>
      </c>
      <c r="HO108" s="479">
        <f>'Hodnocení '!HO104</f>
        <v>0</v>
      </c>
      <c r="HP108" s="479">
        <f>'Hodnocení '!HP104</f>
        <v>2937605.6068551391</v>
      </c>
      <c r="HQ108" s="479">
        <f>'Hodnocení '!HQ104</f>
        <v>6296.0109016010538</v>
      </c>
      <c r="HR108" s="479">
        <f>'Hodnocení '!HR104</f>
        <v>445666.58438007906</v>
      </c>
      <c r="HS108" s="479">
        <f>'Hodnocení '!HS104</f>
        <v>934403.36825784948</v>
      </c>
      <c r="HT108" s="479">
        <f>'Hodnocení '!HT104</f>
        <v>0</v>
      </c>
      <c r="HU108" s="479">
        <f>'Hodnocení '!HU104</f>
        <v>3908274.8653759174</v>
      </c>
      <c r="HV108" s="479">
        <f>'Hodnocení '!HV104</f>
        <v>2996716.4349601455</v>
      </c>
      <c r="HW108" s="479">
        <f>'Hodnocení '!HW104</f>
        <v>0</v>
      </c>
      <c r="HX108" s="479">
        <f>'Hodnocení '!HX104</f>
        <v>5779882.4935670681</v>
      </c>
      <c r="HY108" s="479">
        <f>'Hodnocení '!HY104</f>
        <v>0</v>
      </c>
      <c r="HZ108" s="479">
        <f>'Hodnocení '!HZ104</f>
        <v>490431.75556179136</v>
      </c>
      <c r="IA108" s="479">
        <f>'Hodnocení '!IA104</f>
        <v>16795.157256452367</v>
      </c>
      <c r="IB108" s="479">
        <f>'Hodnocení '!IB104</f>
        <v>427740.40059236437</v>
      </c>
      <c r="IC108" s="479">
        <f>'Hodnocení '!IC104</f>
        <v>1955261.1448942758</v>
      </c>
      <c r="ID108" s="479">
        <f>'Hodnocení '!ID104</f>
        <v>1582764.6085267812</v>
      </c>
      <c r="IE108" s="479">
        <f>'Hodnocení '!IE104</f>
        <v>2312990.5015844777</v>
      </c>
      <c r="IF108" s="479">
        <f>'Hodnocení '!IF104</f>
        <v>0</v>
      </c>
      <c r="IG108" s="479">
        <f>'Hodnocení '!IG104</f>
        <v>0</v>
      </c>
      <c r="IH108" s="479">
        <f>'Hodnocení '!IH104</f>
        <v>736067.42885601241</v>
      </c>
      <c r="II108" s="479">
        <f>'Hodnocení '!II104</f>
        <v>0</v>
      </c>
      <c r="IJ108" s="479">
        <f>'Hodnocení '!IJ104</f>
        <v>406647.69780913368</v>
      </c>
      <c r="IK108" s="479">
        <f>'Hodnocení '!IK104</f>
        <v>12704.917822265532</v>
      </c>
      <c r="IL108" s="479">
        <f>'Hodnocení '!IL104</f>
        <v>246031.43163940497</v>
      </c>
      <c r="IM108" s="479">
        <f>'Hodnocení '!IM104</f>
        <v>0</v>
      </c>
      <c r="IN108" s="479">
        <f>'Hodnocení '!IN104</f>
        <v>0</v>
      </c>
      <c r="IO108" s="479">
        <f>'Hodnocení '!IO104</f>
        <v>465274.01418881956</v>
      </c>
      <c r="IP108" s="479">
        <f>'Hodnocení '!IP104</f>
        <v>0</v>
      </c>
      <c r="IQ108" s="479">
        <f>'Hodnocení '!IQ104</f>
        <v>0</v>
      </c>
      <c r="IR108" s="479">
        <f>'Hodnocení '!IR104</f>
        <v>13439.943361662095</v>
      </c>
      <c r="IS108" s="479">
        <f>'Hodnocení '!IS104</f>
        <v>0</v>
      </c>
      <c r="IT108" s="479">
        <f>'Hodnocení '!IT104</f>
        <v>984978.12016303837</v>
      </c>
      <c r="IU108" s="479">
        <f>'Hodnocení '!IU104</f>
        <v>313537.44674856495</v>
      </c>
      <c r="IV108" s="479">
        <f>'Hodnocení '!IV104</f>
        <v>0</v>
      </c>
      <c r="IW108" s="479">
        <f>'Hodnocení '!IW104</f>
        <v>0</v>
      </c>
      <c r="IX108" s="479">
        <f>'Hodnocení '!IX104</f>
        <v>235204.59593742667</v>
      </c>
      <c r="IY108" s="479">
        <f>'Hodnocení '!IY104</f>
        <v>2924861.4800059684</v>
      </c>
      <c r="IZ108" s="479">
        <f>'Hodnocení '!IZ104</f>
        <v>5076746.1550431699</v>
      </c>
      <c r="JA108" s="479">
        <f>'Hodnocení '!JA104</f>
        <v>0</v>
      </c>
      <c r="JB108" s="479">
        <f>'Hodnocení '!JB104</f>
        <v>273000</v>
      </c>
      <c r="JC108" s="479">
        <f>'Hodnocení '!JC104</f>
        <v>0</v>
      </c>
      <c r="JD108" s="479">
        <f>'Hodnocení '!JD104</f>
        <v>0</v>
      </c>
      <c r="JE108" s="479">
        <f>'Hodnocení '!JE104</f>
        <v>0</v>
      </c>
      <c r="JF108" s="479">
        <f>'Hodnocení '!JF104</f>
        <v>7716420.2408770919</v>
      </c>
      <c r="JG108" s="479">
        <f>'Hodnocení '!JG104</f>
        <v>0</v>
      </c>
      <c r="JH108" s="780">
        <f>'Hodnocení '!JH104</f>
        <v>496729.28351784637</v>
      </c>
      <c r="JI108" s="470">
        <f>'Hodnocení '!JI104</f>
        <v>123782540.78665432</v>
      </c>
      <c r="JL108" s="307">
        <f t="shared" si="57"/>
        <v>2745101.9646354234</v>
      </c>
      <c r="JM108" s="307">
        <f t="shared" si="57"/>
        <v>52154853.336091571</v>
      </c>
      <c r="JN108" s="307">
        <f t="shared" si="57"/>
        <v>22174186.504167981</v>
      </c>
      <c r="JO108" s="307">
        <f t="shared" si="57"/>
        <v>46708398.981759347</v>
      </c>
      <c r="JP108" s="307">
        <f t="shared" si="58"/>
        <v>123782540.78665432</v>
      </c>
    </row>
    <row r="109" spans="1:276" hidden="1" x14ac:dyDescent="0.25">
      <c r="A109" s="353"/>
      <c r="B109" s="733" t="s">
        <v>2572</v>
      </c>
      <c r="C109" s="779">
        <f>'Hodnocení '!C105</f>
        <v>0</v>
      </c>
      <c r="D109" s="479">
        <f>'Hodnocení '!D105</f>
        <v>0</v>
      </c>
      <c r="E109" s="479">
        <f>'Hodnocení '!E105</f>
        <v>0</v>
      </c>
      <c r="F109" s="479">
        <f>'Hodnocení '!F105</f>
        <v>0</v>
      </c>
      <c r="G109" s="479">
        <f>'Hodnocení '!G105</f>
        <v>0</v>
      </c>
      <c r="H109" s="479">
        <f>'Hodnocení '!H105</f>
        <v>0</v>
      </c>
      <c r="I109" s="479">
        <f>'Hodnocení '!I105</f>
        <v>0</v>
      </c>
      <c r="J109" s="479">
        <f>'Hodnocení '!J105</f>
        <v>0</v>
      </c>
      <c r="K109" s="479">
        <f>'Hodnocení '!K105</f>
        <v>0</v>
      </c>
      <c r="L109" s="479">
        <f>'Hodnocení '!L105</f>
        <v>0</v>
      </c>
      <c r="M109" s="479">
        <f>'Hodnocení '!M105</f>
        <v>0</v>
      </c>
      <c r="N109" s="479">
        <f>'Hodnocení '!N105</f>
        <v>0</v>
      </c>
      <c r="O109" s="479">
        <f>'Hodnocení '!O105</f>
        <v>0</v>
      </c>
      <c r="P109" s="479">
        <f>'Hodnocení '!P105</f>
        <v>0</v>
      </c>
      <c r="Q109" s="479">
        <f>'Hodnocení '!Q105</f>
        <v>0</v>
      </c>
      <c r="R109" s="479">
        <f>'Hodnocení '!R105</f>
        <v>-33718.100000000093</v>
      </c>
      <c r="S109" s="479">
        <f>'Hodnocení '!S105</f>
        <v>0</v>
      </c>
      <c r="T109" s="479">
        <f>'Hodnocení '!T105</f>
        <v>0</v>
      </c>
      <c r="U109" s="479">
        <f>'Hodnocení '!U105</f>
        <v>-11704</v>
      </c>
      <c r="V109" s="479">
        <f>'Hodnocení '!V105</f>
        <v>0</v>
      </c>
      <c r="W109" s="479">
        <f>'Hodnocení '!W105</f>
        <v>0</v>
      </c>
      <c r="X109" s="479">
        <f>'Hodnocení '!X105</f>
        <v>0</v>
      </c>
      <c r="Y109" s="479">
        <f>'Hodnocení '!Y105</f>
        <v>0</v>
      </c>
      <c r="Z109" s="479">
        <f>'Hodnocení '!Z105</f>
        <v>0</v>
      </c>
      <c r="AA109" s="479">
        <f>'Hodnocení '!AA105</f>
        <v>0</v>
      </c>
      <c r="AB109" s="479">
        <f>'Hodnocení '!AB105</f>
        <v>0</v>
      </c>
      <c r="AC109" s="479">
        <f>'Hodnocení '!AC105</f>
        <v>-1526341.6880516675</v>
      </c>
      <c r="AD109" s="479">
        <f>'Hodnocení '!AD105</f>
        <v>0</v>
      </c>
      <c r="AE109" s="479">
        <f>'Hodnocení '!AE105</f>
        <v>0</v>
      </c>
      <c r="AF109" s="479">
        <f>'Hodnocení '!AF105</f>
        <v>0</v>
      </c>
      <c r="AG109" s="479">
        <f>'Hodnocení '!AG105</f>
        <v>0</v>
      </c>
      <c r="AH109" s="479">
        <f>'Hodnocení '!AH105</f>
        <v>-7266</v>
      </c>
      <c r="AI109" s="479">
        <f>'Hodnocení '!AI105</f>
        <v>0</v>
      </c>
      <c r="AJ109" s="479">
        <f>'Hodnocení '!AJ105</f>
        <v>0</v>
      </c>
      <c r="AK109" s="479">
        <f>'Hodnocení '!AK105</f>
        <v>0</v>
      </c>
      <c r="AL109" s="479">
        <f>'Hodnocení '!AL105</f>
        <v>0</v>
      </c>
      <c r="AM109" s="479">
        <f>'Hodnocení '!AM105</f>
        <v>0</v>
      </c>
      <c r="AN109" s="479">
        <f>'Hodnocení '!AN105</f>
        <v>0</v>
      </c>
      <c r="AO109" s="479">
        <f>'Hodnocení '!AO105</f>
        <v>0</v>
      </c>
      <c r="AP109" s="479">
        <f>'Hodnocení '!AP105</f>
        <v>-135009.8837703988</v>
      </c>
      <c r="AQ109" s="479">
        <f>'Hodnocení '!AQ105</f>
        <v>0</v>
      </c>
      <c r="AR109" s="479">
        <f>'Hodnocení '!AR105</f>
        <v>0</v>
      </c>
      <c r="AS109" s="479">
        <f>'Hodnocení '!AS105</f>
        <v>0</v>
      </c>
      <c r="AT109" s="479">
        <f>'Hodnocení '!AT105</f>
        <v>0</v>
      </c>
      <c r="AU109" s="479">
        <f>'Hodnocení '!AU105</f>
        <v>0</v>
      </c>
      <c r="AV109" s="479">
        <f>'Hodnocení '!AV105</f>
        <v>0</v>
      </c>
      <c r="AW109" s="479">
        <f>'Hodnocení '!AW105</f>
        <v>0</v>
      </c>
      <c r="AX109" s="479">
        <f>'Hodnocení '!AX105</f>
        <v>0</v>
      </c>
      <c r="AY109" s="479">
        <f>'Hodnocení '!AY105</f>
        <v>0</v>
      </c>
      <c r="AZ109" s="479">
        <f>'Hodnocení '!AZ105</f>
        <v>0</v>
      </c>
      <c r="BA109" s="479">
        <f>'Hodnocení '!BA105</f>
        <v>0</v>
      </c>
      <c r="BB109" s="479">
        <f>'Hodnocení '!BB105</f>
        <v>0</v>
      </c>
      <c r="BC109" s="479">
        <f>'Hodnocení '!BC105</f>
        <v>0</v>
      </c>
      <c r="BD109" s="479">
        <f>'Hodnocení '!BD105</f>
        <v>0</v>
      </c>
      <c r="BE109" s="479">
        <f>'Hodnocení '!BE105</f>
        <v>0</v>
      </c>
      <c r="BF109" s="479">
        <f>'Hodnocení '!BF105</f>
        <v>0</v>
      </c>
      <c r="BG109" s="479">
        <f>'Hodnocení '!BG105</f>
        <v>0</v>
      </c>
      <c r="BH109" s="479">
        <f>'Hodnocení '!BH105</f>
        <v>0</v>
      </c>
      <c r="BI109" s="479">
        <f>'Hodnocení '!BI105</f>
        <v>-198100</v>
      </c>
      <c r="BJ109" s="479">
        <f>'Hodnocení '!BJ105</f>
        <v>0</v>
      </c>
      <c r="BK109" s="479">
        <f>'Hodnocení '!BK105</f>
        <v>0</v>
      </c>
      <c r="BL109" s="479">
        <f>'Hodnocení '!BL105</f>
        <v>0</v>
      </c>
      <c r="BM109" s="479">
        <f>'Hodnocení '!BM105</f>
        <v>0</v>
      </c>
      <c r="BN109" s="479">
        <f>'Hodnocení '!BN105</f>
        <v>0</v>
      </c>
      <c r="BO109" s="479">
        <f>'Hodnocení '!BO105</f>
        <v>0</v>
      </c>
      <c r="BP109" s="479">
        <f>'Hodnocení '!BP105</f>
        <v>0</v>
      </c>
      <c r="BQ109" s="479">
        <f>'Hodnocení '!BQ105</f>
        <v>0</v>
      </c>
      <c r="BR109" s="479">
        <f>'Hodnocení '!BR105</f>
        <v>0</v>
      </c>
      <c r="BS109" s="479">
        <f>'Hodnocení '!BS105</f>
        <v>0</v>
      </c>
      <c r="BT109" s="479">
        <f>'Hodnocení '!BT105</f>
        <v>0</v>
      </c>
      <c r="BU109" s="479">
        <f>'Hodnocení '!BU105</f>
        <v>0</v>
      </c>
      <c r="BV109" s="479">
        <f>'Hodnocení '!BV105</f>
        <v>0</v>
      </c>
      <c r="BW109" s="479">
        <f>'Hodnocení '!BW105</f>
        <v>0</v>
      </c>
      <c r="BX109" s="479">
        <f>'Hodnocení '!BX105</f>
        <v>0</v>
      </c>
      <c r="BY109" s="479">
        <f>'Hodnocení '!BY105</f>
        <v>0</v>
      </c>
      <c r="BZ109" s="479">
        <f>'Hodnocení '!BZ105</f>
        <v>0</v>
      </c>
      <c r="CA109" s="479">
        <f>'Hodnocení '!CA105</f>
        <v>0</v>
      </c>
      <c r="CB109" s="479">
        <f>'Hodnocení '!CB105</f>
        <v>0</v>
      </c>
      <c r="CC109" s="479">
        <f>'Hodnocení '!CC105</f>
        <v>0</v>
      </c>
      <c r="CD109" s="479">
        <f>'Hodnocení '!CD105</f>
        <v>0</v>
      </c>
      <c r="CE109" s="479">
        <f>'Hodnocení '!CE105</f>
        <v>0</v>
      </c>
      <c r="CF109" s="479">
        <f>'Hodnocení '!CF105</f>
        <v>0</v>
      </c>
      <c r="CG109" s="479">
        <f>'Hodnocení '!CG105</f>
        <v>0</v>
      </c>
      <c r="CH109" s="479">
        <f>'Hodnocení '!CH105</f>
        <v>0</v>
      </c>
      <c r="CI109" s="479">
        <f>'Hodnocení '!CI105</f>
        <v>0</v>
      </c>
      <c r="CJ109" s="479">
        <f>'Hodnocení '!CJ105</f>
        <v>0</v>
      </c>
      <c r="CK109" s="479">
        <f>'Hodnocení '!CK105</f>
        <v>0</v>
      </c>
      <c r="CL109" s="479">
        <f>'Hodnocení '!CL105</f>
        <v>0</v>
      </c>
      <c r="CM109" s="479">
        <f>'Hodnocení '!CM105</f>
        <v>0</v>
      </c>
      <c r="CN109" s="479">
        <f>'Hodnocení '!CN105</f>
        <v>0</v>
      </c>
      <c r="CO109" s="479">
        <f>'Hodnocení '!CO105</f>
        <v>0</v>
      </c>
      <c r="CP109" s="479">
        <f>'Hodnocení '!CP105</f>
        <v>0</v>
      </c>
      <c r="CQ109" s="479">
        <f>'Hodnocení '!CQ105</f>
        <v>0</v>
      </c>
      <c r="CR109" s="479">
        <f>'Hodnocení '!CR105</f>
        <v>0</v>
      </c>
      <c r="CS109" s="479">
        <f>'Hodnocení '!CS105</f>
        <v>0</v>
      </c>
      <c r="CT109" s="479">
        <f>'Hodnocení '!CT105</f>
        <v>0</v>
      </c>
      <c r="CU109" s="479">
        <f>'Hodnocení '!CU105</f>
        <v>0</v>
      </c>
      <c r="CV109" s="479">
        <f>'Hodnocení '!CV105</f>
        <v>0</v>
      </c>
      <c r="CW109" s="479">
        <f>'Hodnocení '!CW105</f>
        <v>0</v>
      </c>
      <c r="CX109" s="479">
        <f>'Hodnocení '!CX105</f>
        <v>0</v>
      </c>
      <c r="CY109" s="479">
        <f>'Hodnocení '!CY105</f>
        <v>0</v>
      </c>
      <c r="CZ109" s="479">
        <f>'Hodnocení '!CZ105</f>
        <v>0</v>
      </c>
      <c r="DA109" s="479">
        <f>'Hodnocení '!DA105</f>
        <v>0</v>
      </c>
      <c r="DB109" s="479">
        <f>'Hodnocení '!DB105</f>
        <v>0</v>
      </c>
      <c r="DC109" s="479">
        <f>'Hodnocení '!DC105</f>
        <v>0</v>
      </c>
      <c r="DD109" s="479">
        <f>'Hodnocení '!DD105</f>
        <v>0</v>
      </c>
      <c r="DE109" s="479">
        <f>'Hodnocení '!DE105</f>
        <v>0</v>
      </c>
      <c r="DF109" s="479">
        <f>'Hodnocení '!DF105</f>
        <v>-556092</v>
      </c>
      <c r="DG109" s="479">
        <f>'Hodnocení '!DG105</f>
        <v>0</v>
      </c>
      <c r="DH109" s="479">
        <f>'Hodnocení '!DH105</f>
        <v>0</v>
      </c>
      <c r="DI109" s="479">
        <f>'Hodnocení '!DI105</f>
        <v>0</v>
      </c>
      <c r="DJ109" s="479">
        <f>'Hodnocení '!DJ105</f>
        <v>0</v>
      </c>
      <c r="DK109" s="479">
        <f>'Hodnocení '!DK105</f>
        <v>0</v>
      </c>
      <c r="DL109" s="479">
        <f>'Hodnocení '!DL105</f>
        <v>0</v>
      </c>
      <c r="DM109" s="479">
        <f>'Hodnocení '!DM105</f>
        <v>0</v>
      </c>
      <c r="DN109" s="479">
        <f>'Hodnocení '!DN105</f>
        <v>0</v>
      </c>
      <c r="DO109" s="479">
        <f>'Hodnocení '!DO105</f>
        <v>0</v>
      </c>
      <c r="DP109" s="479">
        <f>'Hodnocení '!DP105</f>
        <v>0</v>
      </c>
      <c r="DQ109" s="479">
        <f>'Hodnocení '!DQ105</f>
        <v>0</v>
      </c>
      <c r="DR109" s="479">
        <f>'Hodnocení '!DR105</f>
        <v>-54351</v>
      </c>
      <c r="DS109" s="479">
        <f>'Hodnocení '!DS105</f>
        <v>0</v>
      </c>
      <c r="DT109" s="479">
        <f>'Hodnocení '!DT105</f>
        <v>0</v>
      </c>
      <c r="DU109" s="479">
        <f>'Hodnocení '!DU105</f>
        <v>0</v>
      </c>
      <c r="DV109" s="479">
        <f>'Hodnocení '!DV105</f>
        <v>0</v>
      </c>
      <c r="DW109" s="479">
        <f>'Hodnocení '!DW105</f>
        <v>0</v>
      </c>
      <c r="DX109" s="479">
        <f>'Hodnocení '!DX105</f>
        <v>0</v>
      </c>
      <c r="DY109" s="479">
        <f>'Hodnocení '!DY105</f>
        <v>0</v>
      </c>
      <c r="DZ109" s="479">
        <f>'Hodnocení '!DZ105</f>
        <v>0</v>
      </c>
      <c r="EA109" s="479">
        <f>'Hodnocení '!EA105</f>
        <v>0</v>
      </c>
      <c r="EB109" s="479">
        <f>'Hodnocení '!EB105</f>
        <v>0</v>
      </c>
      <c r="EC109" s="479">
        <f>'Hodnocení '!EC105</f>
        <v>0</v>
      </c>
      <c r="ED109" s="479">
        <f>'Hodnocení '!ED105</f>
        <v>0</v>
      </c>
      <c r="EE109" s="479">
        <f>'Hodnocení '!EE105</f>
        <v>0</v>
      </c>
      <c r="EF109" s="479">
        <f>'Hodnocení '!EF105</f>
        <v>-3087.5899999999674</v>
      </c>
      <c r="EG109" s="479">
        <f>'Hodnocení '!EG105</f>
        <v>-2828.9899999999907</v>
      </c>
      <c r="EH109" s="479">
        <f>'Hodnocení '!EH105</f>
        <v>0</v>
      </c>
      <c r="EI109" s="479">
        <f>'Hodnocení '!EI105</f>
        <v>0</v>
      </c>
      <c r="EJ109" s="479">
        <f>'Hodnocení '!EJ105</f>
        <v>0</v>
      </c>
      <c r="EK109" s="479">
        <f>'Hodnocení '!EK105</f>
        <v>0</v>
      </c>
      <c r="EL109" s="479">
        <f>'Hodnocení '!EL105</f>
        <v>0</v>
      </c>
      <c r="EM109" s="479">
        <f>'Hodnocení '!EM105</f>
        <v>0</v>
      </c>
      <c r="EN109" s="479">
        <f>'Hodnocení '!EN105</f>
        <v>0</v>
      </c>
      <c r="EO109" s="479">
        <f>'Hodnocení '!EO105</f>
        <v>0</v>
      </c>
      <c r="EP109" s="479">
        <f>'Hodnocení '!EP105</f>
        <v>0</v>
      </c>
      <c r="EQ109" s="479">
        <f>'Hodnocení '!EQ105</f>
        <v>0</v>
      </c>
      <c r="ER109" s="479">
        <f>'Hodnocení '!ER105</f>
        <v>0</v>
      </c>
      <c r="ES109" s="479">
        <f>'Hodnocení '!ES105</f>
        <v>0</v>
      </c>
      <c r="ET109" s="479">
        <f>'Hodnocení '!ET105</f>
        <v>0</v>
      </c>
      <c r="EU109" s="479">
        <f>'Hodnocení '!EU105</f>
        <v>0</v>
      </c>
      <c r="EV109" s="479">
        <f>'Hodnocení '!EV105</f>
        <v>0</v>
      </c>
      <c r="EW109" s="479">
        <f>'Hodnocení '!EW105</f>
        <v>0</v>
      </c>
      <c r="EX109" s="479">
        <f>'Hodnocení '!EX105</f>
        <v>0</v>
      </c>
      <c r="EY109" s="479">
        <f>'Hodnocení '!EY105</f>
        <v>0</v>
      </c>
      <c r="EZ109" s="479">
        <f>'Hodnocení '!EZ105</f>
        <v>-111326</v>
      </c>
      <c r="FA109" s="479">
        <f>'Hodnocení '!FA105</f>
        <v>0</v>
      </c>
      <c r="FB109" s="479">
        <f>'Hodnocení '!FB105</f>
        <v>0</v>
      </c>
      <c r="FC109" s="479">
        <f>'Hodnocení '!FC105</f>
        <v>0</v>
      </c>
      <c r="FD109" s="479">
        <f>'Hodnocení '!FD105</f>
        <v>0</v>
      </c>
      <c r="FE109" s="479">
        <f>'Hodnocení '!FE105</f>
        <v>0</v>
      </c>
      <c r="FF109" s="479">
        <f>'Hodnocení '!FF105</f>
        <v>0</v>
      </c>
      <c r="FG109" s="479">
        <f>'Hodnocení '!FG105</f>
        <v>0</v>
      </c>
      <c r="FH109" s="479">
        <f>'Hodnocení '!FH105</f>
        <v>0</v>
      </c>
      <c r="FI109" s="479">
        <f>'Hodnocení '!FI105</f>
        <v>0</v>
      </c>
      <c r="FJ109" s="479">
        <f>'Hodnocení '!FJ105</f>
        <v>0</v>
      </c>
      <c r="FK109" s="479">
        <f>'Hodnocení '!FK105</f>
        <v>-164695.7972628584</v>
      </c>
      <c r="FL109" s="479">
        <f>'Hodnocení '!FL105</f>
        <v>-312231.21227710997</v>
      </c>
      <c r="FM109" s="479">
        <f>'Hodnocení '!FM105</f>
        <v>-1683387.8709666431</v>
      </c>
      <c r="FN109" s="479">
        <f>'Hodnocení '!FN105</f>
        <v>0</v>
      </c>
      <c r="FO109" s="479">
        <f>'Hodnocení '!FO105</f>
        <v>-5035.8626000001095</v>
      </c>
      <c r="FP109" s="479">
        <f>'Hodnocení '!FP105</f>
        <v>0</v>
      </c>
      <c r="FQ109" s="479">
        <f>'Hodnocení '!FQ105</f>
        <v>0</v>
      </c>
      <c r="FR109" s="479">
        <f>'Hodnocení '!FR105</f>
        <v>0</v>
      </c>
      <c r="FS109" s="479">
        <f>'Hodnocení '!FS105</f>
        <v>-13562.049999999988</v>
      </c>
      <c r="FT109" s="479">
        <f>'Hodnocení '!FT105</f>
        <v>0</v>
      </c>
      <c r="FU109" s="479">
        <f>'Hodnocení '!FU105</f>
        <v>0</v>
      </c>
      <c r="FV109" s="479">
        <f>'Hodnocení '!FV105</f>
        <v>0</v>
      </c>
      <c r="FW109" s="479">
        <f>'Hodnocení '!FW105</f>
        <v>-76054.969574229559</v>
      </c>
      <c r="FX109" s="479">
        <f>'Hodnocení '!FX105</f>
        <v>0</v>
      </c>
      <c r="FY109" s="479">
        <f>'Hodnocení '!FY105</f>
        <v>-9591</v>
      </c>
      <c r="FZ109" s="479">
        <f>'Hodnocení '!FZ105</f>
        <v>-5055.9147311123088</v>
      </c>
      <c r="GA109" s="479">
        <f>'Hodnocení '!GA105</f>
        <v>0</v>
      </c>
      <c r="GB109" s="479">
        <f>'Hodnocení '!GB105</f>
        <v>0</v>
      </c>
      <c r="GC109" s="479">
        <f>'Hodnocení '!GC105</f>
        <v>0</v>
      </c>
      <c r="GD109" s="479">
        <f>'Hodnocení '!GD105</f>
        <v>0</v>
      </c>
      <c r="GE109" s="479">
        <f>'Hodnocení '!GE105</f>
        <v>0</v>
      </c>
      <c r="GF109" s="479">
        <f>'Hodnocení '!GF105</f>
        <v>0</v>
      </c>
      <c r="GG109" s="479">
        <f>'Hodnocení '!GG105</f>
        <v>-132562.53661982156</v>
      </c>
      <c r="GH109" s="479">
        <f>'Hodnocení '!GH105</f>
        <v>-34865</v>
      </c>
      <c r="GI109" s="479">
        <f>'Hodnocení '!GI105</f>
        <v>0</v>
      </c>
      <c r="GJ109" s="479">
        <f>'Hodnocení '!GJ105</f>
        <v>0</v>
      </c>
      <c r="GK109" s="479">
        <f>'Hodnocení '!GK105</f>
        <v>0</v>
      </c>
      <c r="GL109" s="479">
        <f>'Hodnocení '!GL105</f>
        <v>-59341.971743901726</v>
      </c>
      <c r="GM109" s="479">
        <f>'Hodnocení '!GM105</f>
        <v>-60702.477244471665</v>
      </c>
      <c r="GN109" s="479">
        <f>'Hodnocení '!GN105</f>
        <v>0</v>
      </c>
      <c r="GO109" s="479">
        <f>'Hodnocení '!GO105</f>
        <v>0</v>
      </c>
      <c r="GP109" s="479">
        <f>'Hodnocení '!GP105</f>
        <v>-35811.376342296251</v>
      </c>
      <c r="GQ109" s="479">
        <f>'Hodnocení '!GQ105</f>
        <v>-430637.21128313889</v>
      </c>
      <c r="GR109" s="479">
        <f>'Hodnocení '!GR105</f>
        <v>-83152</v>
      </c>
      <c r="GS109" s="479">
        <f>'Hodnocení '!GS105</f>
        <v>-165886</v>
      </c>
      <c r="GT109" s="479">
        <f>'Hodnocení '!GT105</f>
        <v>0</v>
      </c>
      <c r="GU109" s="479">
        <f>'Hodnocení '!GU105</f>
        <v>0</v>
      </c>
      <c r="GV109" s="479">
        <f>'Hodnocení '!GV105</f>
        <v>0</v>
      </c>
      <c r="GW109" s="479">
        <f>'Hodnocení '!GW105</f>
        <v>-192141.11092572834</v>
      </c>
      <c r="GX109" s="479">
        <f>'Hodnocení '!GX105</f>
        <v>-4333</v>
      </c>
      <c r="GY109" s="479">
        <f>'Hodnocení '!GY105</f>
        <v>0</v>
      </c>
      <c r="GZ109" s="479">
        <f>'Hodnocení '!GZ105</f>
        <v>0</v>
      </c>
      <c r="HA109" s="479">
        <f>'Hodnocení '!HA105</f>
        <v>0</v>
      </c>
      <c r="HB109" s="479">
        <f>'Hodnocení '!HB105</f>
        <v>0</v>
      </c>
      <c r="HC109" s="479">
        <f>'Hodnocení '!HC105</f>
        <v>0</v>
      </c>
      <c r="HD109" s="479">
        <f>'Hodnocení '!HD105</f>
        <v>0</v>
      </c>
      <c r="HE109" s="479">
        <f>'Hodnocení '!HE105</f>
        <v>0</v>
      </c>
      <c r="HF109" s="479">
        <f>'Hodnocení '!HF105</f>
        <v>0</v>
      </c>
      <c r="HG109" s="479">
        <f>'Hodnocení '!HG105</f>
        <v>-34312.862394777359</v>
      </c>
      <c r="HH109" s="479">
        <f>'Hodnocení '!HH105</f>
        <v>-115202.67942905379</v>
      </c>
      <c r="HI109" s="479">
        <f>'Hodnocení '!HI105</f>
        <v>-270679.82297403831</v>
      </c>
      <c r="HJ109" s="479">
        <f>'Hodnocení '!HJ105</f>
        <v>0</v>
      </c>
      <c r="HK109" s="479">
        <f>'Hodnocení '!HK105</f>
        <v>-144000</v>
      </c>
      <c r="HL109" s="479">
        <f>'Hodnocení '!HL105</f>
        <v>0</v>
      </c>
      <c r="HM109" s="479">
        <f>'Hodnocení '!HM105</f>
        <v>-1822000.7132431082</v>
      </c>
      <c r="HN109" s="479">
        <f>'Hodnocení '!HN105</f>
        <v>0</v>
      </c>
      <c r="HO109" s="479">
        <f>'Hodnocení '!HO105</f>
        <v>-29609.132768688723</v>
      </c>
      <c r="HP109" s="479">
        <f>'Hodnocení '!HP105</f>
        <v>0</v>
      </c>
      <c r="HQ109" s="479">
        <f>'Hodnocení '!HQ105</f>
        <v>0</v>
      </c>
      <c r="HR109" s="479">
        <f>'Hodnocení '!HR105</f>
        <v>0</v>
      </c>
      <c r="HS109" s="479">
        <f>'Hodnocení '!HS105</f>
        <v>0</v>
      </c>
      <c r="HT109" s="479">
        <f>'Hodnocení '!HT105</f>
        <v>-5347061.1012308747</v>
      </c>
      <c r="HU109" s="479">
        <f>'Hodnocení '!HU105</f>
        <v>0</v>
      </c>
      <c r="HV109" s="479">
        <f>'Hodnocení '!HV105</f>
        <v>0</v>
      </c>
      <c r="HW109" s="479">
        <f>'Hodnocení '!HW105</f>
        <v>-1812058.0750665925</v>
      </c>
      <c r="HX109" s="479">
        <f>'Hodnocení '!HX105</f>
        <v>0</v>
      </c>
      <c r="HY109" s="479">
        <f>'Hodnocení '!HY105</f>
        <v>-2304863.0664582625</v>
      </c>
      <c r="HZ109" s="479">
        <f>'Hodnocení '!HZ105</f>
        <v>0</v>
      </c>
      <c r="IA109" s="479">
        <f>'Hodnocení '!IA105</f>
        <v>0</v>
      </c>
      <c r="IB109" s="479">
        <f>'Hodnocení '!IB105</f>
        <v>0</v>
      </c>
      <c r="IC109" s="479">
        <f>'Hodnocení '!IC105</f>
        <v>0</v>
      </c>
      <c r="ID109" s="479">
        <f>'Hodnocení '!ID105</f>
        <v>0</v>
      </c>
      <c r="IE109" s="479">
        <f>'Hodnocení '!IE105</f>
        <v>0</v>
      </c>
      <c r="IF109" s="479">
        <f>'Hodnocení '!IF105</f>
        <v>-4461847.704423666</v>
      </c>
      <c r="IG109" s="479">
        <f>'Hodnocení '!IG105</f>
        <v>-546105.68378837779</v>
      </c>
      <c r="IH109" s="479">
        <f>'Hodnocení '!IH105</f>
        <v>0</v>
      </c>
      <c r="II109" s="479">
        <f>'Hodnocení '!II105</f>
        <v>-2410000.7748431563</v>
      </c>
      <c r="IJ109" s="479">
        <f>'Hodnocení '!IJ105</f>
        <v>0</v>
      </c>
      <c r="IK109" s="479">
        <f>'Hodnocení '!IK105</f>
        <v>0</v>
      </c>
      <c r="IL109" s="479">
        <f>'Hodnocení '!IL105</f>
        <v>0</v>
      </c>
      <c r="IM109" s="479">
        <f>'Hodnocení '!IM105</f>
        <v>-152079.87741329148</v>
      </c>
      <c r="IN109" s="479">
        <f>'Hodnocení '!IN105</f>
        <v>-129860.38538624719</v>
      </c>
      <c r="IO109" s="479">
        <f>'Hodnocení '!IO105</f>
        <v>0</v>
      </c>
      <c r="IP109" s="479">
        <f>'Hodnocení '!IP105</f>
        <v>-1643290.993533127</v>
      </c>
      <c r="IQ109" s="479">
        <f>'Hodnocení '!IQ105</f>
        <v>-1714838.8915572092</v>
      </c>
      <c r="IR109" s="479">
        <f>'Hodnocení '!IR105</f>
        <v>0</v>
      </c>
      <c r="IS109" s="479">
        <f>'Hodnocení '!IS105</f>
        <v>-2179814.1629052833</v>
      </c>
      <c r="IT109" s="479">
        <f>'Hodnocení '!IT105</f>
        <v>0</v>
      </c>
      <c r="IU109" s="479">
        <f>'Hodnocení '!IU105</f>
        <v>0</v>
      </c>
      <c r="IV109" s="479">
        <f>'Hodnocení '!IV105</f>
        <v>-397086.00951962918</v>
      </c>
      <c r="IW109" s="479">
        <f>'Hodnocení '!IW105</f>
        <v>-2690895.015101593</v>
      </c>
      <c r="IX109" s="479">
        <f>'Hodnocení '!IX105</f>
        <v>0</v>
      </c>
      <c r="IY109" s="479">
        <f>'Hodnocení '!IY105</f>
        <v>0</v>
      </c>
      <c r="IZ109" s="479">
        <f>'Hodnocení '!IZ105</f>
        <v>0</v>
      </c>
      <c r="JA109" s="479">
        <f>'Hodnocení '!JA105</f>
        <v>-176594.88052702183</v>
      </c>
      <c r="JB109" s="479">
        <f>'Hodnocení '!JB105</f>
        <v>0</v>
      </c>
      <c r="JC109" s="479">
        <f>'Hodnocení '!JC105</f>
        <v>-280579.00259929337</v>
      </c>
      <c r="JD109" s="479">
        <f>'Hodnocení '!JD105</f>
        <v>-1176392</v>
      </c>
      <c r="JE109" s="479">
        <f>'Hodnocení '!JE105</f>
        <v>-348800.14505924704</v>
      </c>
      <c r="JF109" s="479">
        <f>'Hodnocení '!JF105</f>
        <v>0</v>
      </c>
      <c r="JG109" s="479">
        <f>'Hodnocení '!JG105</f>
        <v>-2061607.7021934986</v>
      </c>
      <c r="JH109" s="780">
        <f>'Hodnocení '!JH105</f>
        <v>0</v>
      </c>
      <c r="JI109" s="470">
        <f>'Hodnocení '!JI105</f>
        <v>-38358453.295809418</v>
      </c>
      <c r="JL109" s="307">
        <f t="shared" si="57"/>
        <v>0</v>
      </c>
      <c r="JM109" s="307">
        <f t="shared" si="57"/>
        <v>-2528499.2518220665</v>
      </c>
      <c r="JN109" s="307">
        <f t="shared" si="57"/>
        <v>-4144568.7263691812</v>
      </c>
      <c r="JO109" s="307">
        <f t="shared" si="57"/>
        <v>-31685385.317618165</v>
      </c>
      <c r="JP109" s="307">
        <f t="shared" si="58"/>
        <v>-38358453.295809411</v>
      </c>
    </row>
    <row r="110" spans="1:276" hidden="1" x14ac:dyDescent="0.25">
      <c r="A110" s="353"/>
      <c r="B110" s="733"/>
      <c r="C110" s="805">
        <f>'Hodnocení '!C106</f>
        <v>0.16151425752709159</v>
      </c>
      <c r="D110" s="706">
        <f>'Hodnocení '!D106</f>
        <v>0.22250162104031257</v>
      </c>
      <c r="E110" s="706">
        <f>'Hodnocení '!E106</f>
        <v>1.2539571776980285E-2</v>
      </c>
      <c r="F110" s="706">
        <f>'Hodnocení '!F106</f>
        <v>3.7962666829867819E-2</v>
      </c>
      <c r="G110" s="706">
        <f>'Hodnocení '!G106</f>
        <v>0.16066496904376604</v>
      </c>
      <c r="H110" s="706">
        <f>'Hodnocení '!H106</f>
        <v>7.7215530095545271E-2</v>
      </c>
      <c r="I110" s="706">
        <f>'Hodnocení '!I106</f>
        <v>0.42414184605858929</v>
      </c>
      <c r="J110" s="706">
        <f>'Hodnocení '!J106</f>
        <v>8.1836175664369959E-2</v>
      </c>
      <c r="K110" s="706">
        <f>'Hodnocení '!K106</f>
        <v>0.11519380982586602</v>
      </c>
      <c r="L110" s="706">
        <f>'Hodnocení '!L106</f>
        <v>0</v>
      </c>
      <c r="M110" s="706">
        <f>'Hodnocení '!M106</f>
        <v>8.381582793054454E-3</v>
      </c>
      <c r="N110" s="706">
        <f>'Hodnocení '!N106</f>
        <v>2.2083623074675041E-2</v>
      </c>
      <c r="O110" s="706">
        <f>'Hodnocení '!O106</f>
        <v>4.6020521650309787E-2</v>
      </c>
      <c r="P110" s="706">
        <f>'Hodnocení '!P106</f>
        <v>9.5952437928649159E-2</v>
      </c>
      <c r="Q110" s="706">
        <f>'Hodnocení '!Q106</f>
        <v>0.25334732789383474</v>
      </c>
      <c r="R110" s="706">
        <f>'Hodnocení '!R106</f>
        <v>-1.5869446398559917E-2</v>
      </c>
      <c r="S110" s="706">
        <f>'Hodnocení '!S106</f>
        <v>0</v>
      </c>
      <c r="T110" s="706">
        <f>'Hodnocení '!T106</f>
        <v>5.3163532709244565E-2</v>
      </c>
      <c r="U110" s="706">
        <f>'Hodnocení '!U106</f>
        <v>-1.0647705066575419E-2</v>
      </c>
      <c r="V110" s="706">
        <f>'Hodnocení '!V106</f>
        <v>0</v>
      </c>
      <c r="W110" s="706">
        <f>'Hodnocení '!W106</f>
        <v>0.16712328767123297</v>
      </c>
      <c r="X110" s="706">
        <f>'Hodnocení '!X106</f>
        <v>0.75918268672070011</v>
      </c>
      <c r="Y110" s="706">
        <f>'Hodnocení '!Y106</f>
        <v>7.3329882069166352E-3</v>
      </c>
      <c r="Z110" s="706">
        <f>'Hodnocení '!Z106</f>
        <v>5.5447168709865657E-2</v>
      </c>
      <c r="AA110" s="706">
        <f>'Hodnocení '!AA106</f>
        <v>0.10257244469218652</v>
      </c>
      <c r="AB110" s="706">
        <f>'Hodnocení '!AB106</f>
        <v>0.20675955094995757</v>
      </c>
      <c r="AC110" s="706">
        <f>'Hodnocení '!AC106</f>
        <v>-0.7603196453557497</v>
      </c>
      <c r="AD110" s="706">
        <f>'Hodnocení '!AD106</f>
        <v>0.40373562280438602</v>
      </c>
      <c r="AE110" s="706">
        <f>'Hodnocení '!AE106</f>
        <v>7.2723778259244476E-2</v>
      </c>
      <c r="AF110" s="706">
        <f>'Hodnocení '!AF106</f>
        <v>0.57943202809322392</v>
      </c>
      <c r="AG110" s="706">
        <f>'Hodnocení '!AG106</f>
        <v>3.7603752435508397E-2</v>
      </c>
      <c r="AH110" s="706">
        <f>'Hodnocení '!AH106</f>
        <v>-9.4699882439727157E-3</v>
      </c>
      <c r="AI110" s="706">
        <f>'Hodnocení '!AI106</f>
        <v>0.17634861941459024</v>
      </c>
      <c r="AJ110" s="706">
        <f>'Hodnocení '!AJ106</f>
        <v>5.497286046606531E-2</v>
      </c>
      <c r="AK110" s="706">
        <f>'Hodnocení '!AK106</f>
        <v>4.5093347697729769E-2</v>
      </c>
      <c r="AL110" s="706">
        <f>'Hodnocení '!AL106</f>
        <v>4.9716387813842466E-2</v>
      </c>
      <c r="AM110" s="706">
        <f>'Hodnocení '!AM106</f>
        <v>9.1100110174612281E-2</v>
      </c>
      <c r="AN110" s="706">
        <f>'Hodnocení '!AN106</f>
        <v>0.11776943136373097</v>
      </c>
      <c r="AO110" s="706">
        <f>'Hodnocení '!AO106</f>
        <v>0.31502245615630087</v>
      </c>
      <c r="AP110" s="706">
        <f>'Hodnocení '!AP106</f>
        <v>-5.9744834671769942E-2</v>
      </c>
      <c r="AQ110" s="706">
        <f>'Hodnocení '!AQ106</f>
        <v>0.49723423330019689</v>
      </c>
      <c r="AR110" s="706">
        <f>'Hodnocení '!AR106</f>
        <v>0.35481389755521309</v>
      </c>
      <c r="AS110" s="706">
        <f>'Hodnocení '!AS106</f>
        <v>9.9165550063772034E-2</v>
      </c>
      <c r="AT110" s="706">
        <f>'Hodnocení '!AT106</f>
        <v>0.14816409285290733</v>
      </c>
      <c r="AU110" s="706">
        <f>'Hodnocení '!AU106</f>
        <v>0.10952477486315271</v>
      </c>
      <c r="AV110" s="706">
        <f>'Hodnocení '!AV106</f>
        <v>7.3417634082188377E-2</v>
      </c>
      <c r="AW110" s="706">
        <f>'Hodnocení '!AW106</f>
        <v>9.3995214733075372E-2</v>
      </c>
      <c r="AX110" s="706">
        <f>'Hodnocení '!AX106</f>
        <v>9.0947303749049135E-2</v>
      </c>
      <c r="AY110" s="706">
        <f>'Hodnocení '!AY106</f>
        <v>6.7521197371620323E-2</v>
      </c>
      <c r="AZ110" s="706">
        <f>'Hodnocení '!AZ106</f>
        <v>1.6977485599073416E-2</v>
      </c>
      <c r="BA110" s="706">
        <f>'Hodnocení '!BA106</f>
        <v>0.24472911835418487</v>
      </c>
      <c r="BB110" s="706">
        <f>'Hodnocení '!BB106</f>
        <v>0.28702000933219884</v>
      </c>
      <c r="BC110" s="706">
        <f>'Hodnocení '!BC106</f>
        <v>0.21313364011968572</v>
      </c>
      <c r="BD110" s="706">
        <f>'Hodnocení '!BD106</f>
        <v>0.49963088117148202</v>
      </c>
      <c r="BE110" s="706">
        <f>'Hodnocení '!BE106</f>
        <v>7.2071051489248417E-2</v>
      </c>
      <c r="BF110" s="706">
        <f>'Hodnocení '!BF106</f>
        <v>6.9371506013891304E-2</v>
      </c>
      <c r="BG110" s="706">
        <f>'Hodnocení '!BG106</f>
        <v>6.602804519720018E-2</v>
      </c>
      <c r="BH110" s="706">
        <f>'Hodnocení '!BH106</f>
        <v>8.7491876035423966E-2</v>
      </c>
      <c r="BI110" s="706">
        <f>'Hodnocení '!BI106</f>
        <v>-0.13493631224031055</v>
      </c>
      <c r="BJ110" s="706">
        <f>'Hodnocení '!BJ106</f>
        <v>3.0851694819850506E-2</v>
      </c>
      <c r="BK110" s="706">
        <f>'Hodnocení '!BK106</f>
        <v>0.15962441314553999</v>
      </c>
      <c r="BL110" s="706" t="e">
        <f>'Hodnocení '!BL106</f>
        <v>#DIV/0!</v>
      </c>
      <c r="BM110" s="706">
        <f>'Hodnocení '!BM106</f>
        <v>1.3814436676963093</v>
      </c>
      <c r="BN110" s="706">
        <f>'Hodnocení '!BN106</f>
        <v>4.7472814888586345E-2</v>
      </c>
      <c r="BO110" s="706">
        <f>'Hodnocení '!BO106</f>
        <v>0.37961398469212448</v>
      </c>
      <c r="BP110" s="706">
        <f>'Hodnocení '!BP106</f>
        <v>0.18696494048565215</v>
      </c>
      <c r="BQ110" s="706">
        <f>'Hodnocení '!BQ106</f>
        <v>0.12062457540664906</v>
      </c>
      <c r="BR110" s="706">
        <f>'Hodnocení '!BR106</f>
        <v>0.15861221035295192</v>
      </c>
      <c r="BS110" s="706">
        <f>'Hodnocení '!BS106</f>
        <v>9.5402565435505071E-3</v>
      </c>
      <c r="BT110" s="706">
        <f>'Hodnocení '!BT106</f>
        <v>6.2853466070492692E-2</v>
      </c>
      <c r="BU110" s="706">
        <f>'Hodnocení '!BU106</f>
        <v>0</v>
      </c>
      <c r="BV110" s="706">
        <f>'Hodnocení '!BV106</f>
        <v>1.0001494885776316</v>
      </c>
      <c r="BW110" s="706">
        <f>'Hodnocení '!BW106</f>
        <v>0</v>
      </c>
      <c r="BX110" s="706">
        <f>'Hodnocení '!BX106</f>
        <v>0.16118259232244059</v>
      </c>
      <c r="BY110" s="706">
        <f>'Hodnocení '!BY106</f>
        <v>0</v>
      </c>
      <c r="BZ110" s="706">
        <f>'Hodnocení '!BZ106</f>
        <v>0</v>
      </c>
      <c r="CA110" s="706" t="e">
        <f>'Hodnocení '!CA106</f>
        <v>#DIV/0!</v>
      </c>
      <c r="CB110" s="706">
        <f>'Hodnocení '!CB106</f>
        <v>7.375320362577753E-2</v>
      </c>
      <c r="CC110" s="706">
        <f>'Hodnocení '!CC106</f>
        <v>5.5478524772787141E-2</v>
      </c>
      <c r="CD110" s="706">
        <f>'Hodnocení '!CD106</f>
        <v>2.2418368290562762E-2</v>
      </c>
      <c r="CE110" s="706">
        <f>'Hodnocení '!CE106</f>
        <v>0.17489666045864527</v>
      </c>
      <c r="CF110" s="706">
        <f>'Hodnocení '!CF106</f>
        <v>2.9500194019637327E-2</v>
      </c>
      <c r="CG110" s="706">
        <f>'Hodnocení '!CG106</f>
        <v>6.615556231361408E-2</v>
      </c>
      <c r="CH110" s="706">
        <f>'Hodnocení '!CH106</f>
        <v>8.3498683280026409E-2</v>
      </c>
      <c r="CI110" s="706">
        <f>'Hodnocení '!CI106</f>
        <v>0.15127345306536455</v>
      </c>
      <c r="CJ110" s="706">
        <f>'Hodnocení '!CJ106</f>
        <v>0.1140805490423078</v>
      </c>
      <c r="CK110" s="706">
        <f>'Hodnocení '!CK106</f>
        <v>8.7481441346274336E-2</v>
      </c>
      <c r="CL110" s="706">
        <f>'Hodnocení '!CL106</f>
        <v>9.5108049016359608E-2</v>
      </c>
      <c r="CM110" s="706">
        <f>'Hodnocení '!CM106</f>
        <v>0.12999824081717559</v>
      </c>
      <c r="CN110" s="706">
        <f>'Hodnocení '!CN106</f>
        <v>4.63401876941818E-2</v>
      </c>
      <c r="CO110" s="706">
        <f>'Hodnocení '!CO106</f>
        <v>0</v>
      </c>
      <c r="CP110" s="706">
        <f>'Hodnocení '!CP106</f>
        <v>2.4532971730332642E-2</v>
      </c>
      <c r="CQ110" s="706">
        <f>'Hodnocení '!CQ106</f>
        <v>0.19729007697734446</v>
      </c>
      <c r="CR110" s="706">
        <f>'Hodnocení '!CR106</f>
        <v>0.44179490351311235</v>
      </c>
      <c r="CS110" s="706" t="e">
        <f>'Hodnocení '!CS106</f>
        <v>#DIV/0!</v>
      </c>
      <c r="CT110" s="706">
        <f>'Hodnocení '!CT106</f>
        <v>0.16956209277441414</v>
      </c>
      <c r="CU110" s="706">
        <f>'Hodnocení '!CU106</f>
        <v>0.33880756872545525</v>
      </c>
      <c r="CV110" s="706">
        <f>'Hodnocení '!CV106</f>
        <v>0.121930037945152</v>
      </c>
      <c r="CW110" s="706">
        <f>'Hodnocení '!CW106</f>
        <v>0.47383392102460942</v>
      </c>
      <c r="CX110" s="706">
        <f>'Hodnocení '!CX106</f>
        <v>0.10517902813299229</v>
      </c>
      <c r="CY110" s="706">
        <f>'Hodnocení '!CY106</f>
        <v>4.8065294617956056E-2</v>
      </c>
      <c r="CZ110" s="706">
        <f>'Hodnocení '!CZ106</f>
        <v>0.36555080957584196</v>
      </c>
      <c r="DA110" s="706">
        <f>'Hodnocení '!DA106</f>
        <v>0.37075647839221904</v>
      </c>
      <c r="DB110" s="706">
        <f>'Hodnocení '!DB106</f>
        <v>0.14350816439410341</v>
      </c>
      <c r="DC110" s="706">
        <f>'Hodnocení '!DC106</f>
        <v>0.2024727216127209</v>
      </c>
      <c r="DD110" s="706">
        <f>'Hodnocení '!DD106</f>
        <v>0.23904574048022531</v>
      </c>
      <c r="DE110" s="706">
        <f>'Hodnocení '!DE106</f>
        <v>5.9907153293058624E-2</v>
      </c>
      <c r="DF110" s="706">
        <f>'Hodnocení '!DF106</f>
        <v>-0.10659531840274561</v>
      </c>
      <c r="DG110" s="706">
        <f>'Hodnocení '!DG106</f>
        <v>0.32554918801991617</v>
      </c>
      <c r="DH110" s="706">
        <f>'Hodnocení '!DH106</f>
        <v>0.51729966020325979</v>
      </c>
      <c r="DI110" s="706">
        <f>'Hodnocení '!DI106</f>
        <v>4.0098528344048256E-2</v>
      </c>
      <c r="DJ110" s="706">
        <f>'Hodnocení '!DJ106</f>
        <v>5.7165878352719135E-2</v>
      </c>
      <c r="DK110" s="706">
        <f>'Hodnocení '!DK106</f>
        <v>2.0772870892146904</v>
      </c>
      <c r="DL110" s="706">
        <f>'Hodnocení '!DL106</f>
        <v>7.258474268223547E-2</v>
      </c>
      <c r="DM110" s="706">
        <f>'Hodnocení '!DM106</f>
        <v>0.13385726729229419</v>
      </c>
      <c r="DN110" s="706">
        <f>'Hodnocení '!DN106</f>
        <v>0.23782552465558338</v>
      </c>
      <c r="DO110" s="706">
        <f>'Hodnocení '!DO106</f>
        <v>3.2375684284731143E-3</v>
      </c>
      <c r="DP110" s="706">
        <f>'Hodnocení '!DP106</f>
        <v>0</v>
      </c>
      <c r="DQ110" s="706">
        <f>'Hodnocení '!DQ106</f>
        <v>2.7071905486697023E-2</v>
      </c>
      <c r="DR110" s="706">
        <f>'Hodnocení '!DR106</f>
        <v>-1.2139029645935495E-2</v>
      </c>
      <c r="DS110" s="706">
        <f>'Hodnocení '!DS106</f>
        <v>1.6525679758308156</v>
      </c>
      <c r="DT110" s="706">
        <f>'Hodnocení '!DT106</f>
        <v>0.16294756835191038</v>
      </c>
      <c r="DU110" s="706">
        <f>'Hodnocení '!DU106</f>
        <v>9.0016963433685593E-3</v>
      </c>
      <c r="DV110" s="706">
        <f>'Hodnocení '!DV106</f>
        <v>0.4062518975659335</v>
      </c>
      <c r="DW110" s="706">
        <f>'Hodnocení '!DW106</f>
        <v>0.20769316206487498</v>
      </c>
      <c r="DX110" s="706">
        <f>'Hodnocení '!DX106</f>
        <v>0.10761845170453777</v>
      </c>
      <c r="DY110" s="706">
        <f>'Hodnocení '!DY106</f>
        <v>0.21996265142075511</v>
      </c>
      <c r="DZ110" s="706">
        <f>'Hodnocení '!DZ106</f>
        <v>1.064594278218145E-2</v>
      </c>
      <c r="EA110" s="706">
        <f>'Hodnocení '!EA106</f>
        <v>3.9310041004438911E-3</v>
      </c>
      <c r="EB110" s="706">
        <f>'Hodnocení '!EB106</f>
        <v>0.48129592070024896</v>
      </c>
      <c r="EC110" s="706">
        <f>'Hodnocení '!EC106</f>
        <v>4.854153114784876E-2</v>
      </c>
      <c r="ED110" s="706">
        <f>'Hodnocení '!ED106</f>
        <v>9.129425569743721E-2</v>
      </c>
      <c r="EE110" s="706">
        <f>'Hodnocení '!EE106</f>
        <v>8.2281804891203958E-2</v>
      </c>
      <c r="EF110" s="706">
        <f>'Hodnocení '!EF106</f>
        <v>-4.614627510876379E-3</v>
      </c>
      <c r="EG110" s="706">
        <f>'Hodnocení '!EG106</f>
        <v>-6.6124317569036251E-3</v>
      </c>
      <c r="EH110" s="706">
        <f>'Hodnocení '!EH106</f>
        <v>6.3126485250236675E-2</v>
      </c>
      <c r="EI110" s="706">
        <f>'Hodnocení '!EI106</f>
        <v>0.12544235374464874</v>
      </c>
      <c r="EJ110" s="706">
        <f>'Hodnocení '!EJ106</f>
        <v>0.21280805422598803</v>
      </c>
      <c r="EK110" s="706">
        <f>'Hodnocení '!EK106</f>
        <v>0</v>
      </c>
      <c r="EL110" s="706">
        <f>'Hodnocení '!EL106</f>
        <v>3.1545582089124391E-2</v>
      </c>
      <c r="EM110" s="706">
        <f>'Hodnocení '!EM106</f>
        <v>4.4049935913512916E-2</v>
      </c>
      <c r="EN110" s="706">
        <f>'Hodnocení '!EN106</f>
        <v>5.5180826845823594E-2</v>
      </c>
      <c r="EO110" s="706">
        <f>'Hodnocení '!EO106</f>
        <v>0.38118141095667779</v>
      </c>
      <c r="EP110" s="706">
        <f>'Hodnocení '!EP106</f>
        <v>0.36798560007885328</v>
      </c>
      <c r="EQ110" s="706">
        <f>'Hodnocení '!EQ106</f>
        <v>0.25704942754569804</v>
      </c>
      <c r="ER110" s="706">
        <f>'Hodnocení '!ER106</f>
        <v>0.18605418110280003</v>
      </c>
      <c r="ES110" s="706">
        <f>'Hodnocení '!ES106</f>
        <v>4.2882827782165567E-2</v>
      </c>
      <c r="ET110" s="706" t="e">
        <f>'Hodnocení '!ET106</f>
        <v>#DIV/0!</v>
      </c>
      <c r="EU110" s="706">
        <f>'Hodnocení '!EU106</f>
        <v>1.5572139303482588</v>
      </c>
      <c r="EV110" s="706">
        <f>'Hodnocení '!EV106</f>
        <v>0.96459967554842474</v>
      </c>
      <c r="EW110" s="706">
        <f>'Hodnocení '!EW106</f>
        <v>6.3126066233061273E-2</v>
      </c>
      <c r="EX110" s="706">
        <f>'Hodnocení '!EX106</f>
        <v>3.1460004059836733E-2</v>
      </c>
      <c r="EY110" s="706">
        <f>'Hodnocení '!EY106</f>
        <v>7.0034037568371676E-3</v>
      </c>
      <c r="EZ110" s="706">
        <f>'Hodnocení '!EZ106</f>
        <v>-1</v>
      </c>
      <c r="FA110" s="706">
        <f>'Hodnocení '!FA106</f>
        <v>0.24733523835442472</v>
      </c>
      <c r="FB110" s="706">
        <f>'Hodnocení '!FB106</f>
        <v>0.27227576397385223</v>
      </c>
      <c r="FC110" s="706">
        <f>'Hodnocení '!FC106</f>
        <v>1.4067993787456157E-2</v>
      </c>
      <c r="FD110" s="706">
        <f>'Hodnocení '!FD106</f>
        <v>0.37107851723295826</v>
      </c>
      <c r="FE110" s="706">
        <f>'Hodnocení '!FE106</f>
        <v>0.3076301460845281</v>
      </c>
      <c r="FF110" s="706">
        <f>'Hodnocení '!FF106</f>
        <v>0.29045398882841589</v>
      </c>
      <c r="FG110" s="706">
        <f>'Hodnocení '!FG106</f>
        <v>0.21768279013162806</v>
      </c>
      <c r="FH110" s="706">
        <f>'Hodnocení '!FH106</f>
        <v>4.9102658026150214E-2</v>
      </c>
      <c r="FI110" s="706">
        <f>'Hodnocení '!FI106</f>
        <v>0.36166026158373921</v>
      </c>
      <c r="FJ110" s="706">
        <f>'Hodnocení '!FJ106</f>
        <v>0.1744565831261371</v>
      </c>
      <c r="FK110" s="706">
        <f>'Hodnocení '!FK106</f>
        <v>-0.58433432178185152</v>
      </c>
      <c r="FL110" s="706">
        <f>'Hodnocení '!FL106</f>
        <v>-0.51886163014133491</v>
      </c>
      <c r="FM110" s="706">
        <f>'Hodnocení '!FM106</f>
        <v>-0.64094804604116096</v>
      </c>
      <c r="FN110" s="706">
        <f>'Hodnocení '!FN106</f>
        <v>8.4163735504264148E-2</v>
      </c>
      <c r="FO110" s="706">
        <f>'Hodnocení '!FO106</f>
        <v>-3.0342791311699369E-3</v>
      </c>
      <c r="FP110" s="706">
        <f>'Hodnocení '!FP106</f>
        <v>1.7024424721003184E-2</v>
      </c>
      <c r="FQ110" s="706">
        <f>'Hodnocení '!FQ106</f>
        <v>3.2918438606846179E-2</v>
      </c>
      <c r="FR110" s="706">
        <f>'Hodnocení '!FR106</f>
        <v>1</v>
      </c>
      <c r="FS110" s="706">
        <f>'Hodnocení '!FS106</f>
        <v>-2.8398035890026541E-2</v>
      </c>
      <c r="FT110" s="706">
        <f>'Hodnocení '!FT106</f>
        <v>0.10421242690289989</v>
      </c>
      <c r="FU110" s="706">
        <f>'Hodnocení '!FU106</f>
        <v>9.2092558247806711E-2</v>
      </c>
      <c r="FV110" s="706">
        <f>'Hodnocení '!FV106</f>
        <v>3.0974296200403373E-4</v>
      </c>
      <c r="FW110" s="706">
        <f>'Hodnocení '!FW106</f>
        <v>-7.5024507957434206E-2</v>
      </c>
      <c r="FX110" s="706">
        <f>'Hodnocení '!FX106</f>
        <v>5.3730080515138612E-2</v>
      </c>
      <c r="FY110" s="706">
        <f>'Hodnocení '!FY106</f>
        <v>-4.5760552695487844E-2</v>
      </c>
      <c r="FZ110" s="706">
        <f>'Hodnocení '!FZ106</f>
        <v>-1.9625398283185103E-3</v>
      </c>
      <c r="GA110" s="706">
        <f>'Hodnocení '!GA106</f>
        <v>1.0054405953545675E-3</v>
      </c>
      <c r="GB110" s="706">
        <f>'Hodnocení '!GB106</f>
        <v>0.28243845778451426</v>
      </c>
      <c r="GC110" s="706">
        <f>'Hodnocení '!GC106</f>
        <v>7.2163908960110046E-3</v>
      </c>
      <c r="GD110" s="706">
        <f>'Hodnocení '!GD106</f>
        <v>0.11325713114834102</v>
      </c>
      <c r="GE110" s="706">
        <f>'Hodnocení '!GE106</f>
        <v>3.4550974000515211E-2</v>
      </c>
      <c r="GF110" s="706">
        <f>'Hodnocení '!GF106</f>
        <v>8.1051171049318249E-2</v>
      </c>
      <c r="GG110" s="706">
        <f>'Hodnocení '!GG106</f>
        <v>-0.10276316986050305</v>
      </c>
      <c r="GH110" s="706">
        <f>'Hodnocení '!GH106</f>
        <v>-3.1998509520164586E-2</v>
      </c>
      <c r="GI110" s="706">
        <f>'Hodnocení '!GI106</f>
        <v>0.12400311161640531</v>
      </c>
      <c r="GJ110" s="706">
        <f>'Hodnocení '!GJ106</f>
        <v>0.1029680577646801</v>
      </c>
      <c r="GK110" s="706">
        <f>'Hodnocení '!GK106</f>
        <v>0.65132932010268263</v>
      </c>
      <c r="GL110" s="706">
        <f>'Hodnocení '!GL106</f>
        <v>-0.11211490686478209</v>
      </c>
      <c r="GM110" s="706">
        <f>'Hodnocení '!GM106</f>
        <v>-8.0588494031745062E-2</v>
      </c>
      <c r="GN110" s="706">
        <f>'Hodnocení '!GN106</f>
        <v>0.30782313868667655</v>
      </c>
      <c r="GO110" s="706">
        <f>'Hodnocení '!GO106</f>
        <v>0.247727027087431</v>
      </c>
      <c r="GP110" s="706">
        <f>'Hodnocení '!GP106</f>
        <v>-6.8832291583785787E-2</v>
      </c>
      <c r="GQ110" s="706">
        <f>'Hodnocení '!GQ106</f>
        <v>-0.58176135968974352</v>
      </c>
      <c r="GR110" s="706">
        <f>'Hodnocení '!GR106</f>
        <v>-0.11996214394533955</v>
      </c>
      <c r="GS110" s="706">
        <f>'Hodnocení '!GS106</f>
        <v>-1</v>
      </c>
      <c r="GT110" s="706">
        <f>'Hodnocení '!GT106</f>
        <v>4.0655422399223928E-2</v>
      </c>
      <c r="GU110" s="706">
        <f>'Hodnocení '!GU106</f>
        <v>6.0229446762022132E-2</v>
      </c>
      <c r="GV110" s="706">
        <f>'Hodnocení '!GV106</f>
        <v>8.1031329829166499E-3</v>
      </c>
      <c r="GW110" s="706">
        <f>'Hodnocení '!GW106</f>
        <v>-0.16945662973025766</v>
      </c>
      <c r="GX110" s="706">
        <f>'Hodnocení '!GX106</f>
        <v>-2.8075654591046662E-2</v>
      </c>
      <c r="GY110" s="706">
        <f>'Hodnocení '!GY106</f>
        <v>4.1768935510434479E-2</v>
      </c>
      <c r="GZ110" s="706" t="e">
        <f>'Hodnocení '!GZ106</f>
        <v>#DIV/0!</v>
      </c>
      <c r="HA110" s="706">
        <f>'Hodnocení '!HA106</f>
        <v>6.6325442525058564E-2</v>
      </c>
      <c r="HB110" s="706">
        <f>'Hodnocení '!HB106</f>
        <v>0.12571924999328066</v>
      </c>
      <c r="HC110" s="706">
        <f>'Hodnocení '!HC106</f>
        <v>7.804001911630154E-2</v>
      </c>
      <c r="HD110" s="706">
        <f>'Hodnocení '!HD106</f>
        <v>0.36198724437121599</v>
      </c>
      <c r="HE110" s="706">
        <f>'Hodnocení '!HE106</f>
        <v>0.11298163485776014</v>
      </c>
      <c r="HF110" s="706">
        <f>'Hodnocení '!HF106</f>
        <v>0.10410630884922423</v>
      </c>
      <c r="HG110" s="706">
        <f>'Hodnocení '!HG106</f>
        <v>-6.6231201915501692E-2</v>
      </c>
      <c r="HH110" s="706">
        <f>'Hodnocení '!HH106</f>
        <v>-5.8013876389532815E-2</v>
      </c>
      <c r="HI110" s="706">
        <f>'Hodnocení '!HI106</f>
        <v>-0.17871102114125981</v>
      </c>
      <c r="HJ110" s="706">
        <f>'Hodnocení '!HJ106</f>
        <v>1.0141057421821507</v>
      </c>
      <c r="HK110" s="706">
        <f>'Hodnocení '!HK106</f>
        <v>-1</v>
      </c>
      <c r="HL110" s="706">
        <f>'Hodnocení '!HL106</f>
        <v>7.5680378553348193E-2</v>
      </c>
      <c r="HM110" s="706">
        <f>'Hodnocení '!HM106</f>
        <v>-7.2875619433543815E-2</v>
      </c>
      <c r="HN110" s="706">
        <f>'Hodnocení '!HN106</f>
        <v>0.22748075140444834</v>
      </c>
      <c r="HO110" s="706">
        <f>'Hodnocení '!HO106</f>
        <v>-1.0292492911413875E-2</v>
      </c>
      <c r="HP110" s="706">
        <f>'Hodnocení '!HP106</f>
        <v>0.10571787383879672</v>
      </c>
      <c r="HQ110" s="706">
        <f>'Hodnocení '!HQ106</f>
        <v>6.4373534192205817E-3</v>
      </c>
      <c r="HR110" s="706">
        <f>'Hodnocení '!HR106</f>
        <v>1.3287142386770867E-2</v>
      </c>
      <c r="HS110" s="706">
        <f>'Hodnocení '!HS106</f>
        <v>0.1641831037183219</v>
      </c>
      <c r="HT110" s="706">
        <f>'Hodnocení '!HT106</f>
        <v>-0.2365989216766019</v>
      </c>
      <c r="HU110" s="706">
        <f>'Hodnocení '!HU106</f>
        <v>0.18171266299292799</v>
      </c>
      <c r="HV110" s="706">
        <f>'Hodnocení '!HV106</f>
        <v>0.17956100609457559</v>
      </c>
      <c r="HW110" s="706">
        <f>'Hodnocení '!HW106</f>
        <v>-0.26014602796337416</v>
      </c>
      <c r="HX110" s="706">
        <f>'Hodnocení '!HX106</f>
        <v>0.32139869788836184</v>
      </c>
      <c r="HY110" s="706">
        <f>'Hodnocení '!HY106</f>
        <v>-0.10920539454857225</v>
      </c>
      <c r="HZ110" s="706">
        <f>'Hodnocení '!HZ106</f>
        <v>5.1268532344260986E-2</v>
      </c>
      <c r="IA110" s="706">
        <f>'Hodnocení '!IA106</f>
        <v>1.8441044446675381E-3</v>
      </c>
      <c r="IB110" s="706">
        <f>'Hodnocení '!IB106</f>
        <v>4.9881209573578111E-2</v>
      </c>
      <c r="IC110" s="706">
        <f>'Hodnocení '!IC106</f>
        <v>0.17405294470669297</v>
      </c>
      <c r="ID110" s="706">
        <f>'Hodnocení '!ID106</f>
        <v>0.17100262724341864</v>
      </c>
      <c r="IE110" s="706">
        <f>'Hodnocení '!IE106</f>
        <v>0.14287515795302586</v>
      </c>
      <c r="IF110" s="706">
        <f>'Hodnocení '!IF106</f>
        <v>-0.22022954213362589</v>
      </c>
      <c r="IG110" s="706">
        <f>'Hodnocení '!IG106</f>
        <v>-0.10027500582483395</v>
      </c>
      <c r="IH110" s="706">
        <f>'Hodnocení '!IH106</f>
        <v>0.24430638428942242</v>
      </c>
      <c r="II110" s="706">
        <f>'Hodnocení '!II106</f>
        <v>-0.1156326830227965</v>
      </c>
      <c r="IJ110" s="706">
        <f>'Hodnocení '!IJ106</f>
        <v>0.2427880028031455</v>
      </c>
      <c r="IK110" s="706">
        <f>'Hodnocení '!IK106</f>
        <v>3.551281316038768E-3</v>
      </c>
      <c r="IL110" s="706">
        <f>'Hodnocení '!IL106</f>
        <v>2.6729019709091251E-2</v>
      </c>
      <c r="IM110" s="706">
        <f>'Hodnocení '!IM106</f>
        <v>-0.21668805546621783</v>
      </c>
      <c r="IN110" s="706">
        <f>'Hodnocení '!IN106</f>
        <v>-1.2714020163996698E-2</v>
      </c>
      <c r="IO110" s="706">
        <f>'Hodnocení '!IO106</f>
        <v>0.13634428707751156</v>
      </c>
      <c r="IP110" s="706">
        <f>'Hodnocení '!IP106</f>
        <v>-7.2983687171945366E-2</v>
      </c>
      <c r="IQ110" s="706">
        <f>'Hodnocení '!IQ106</f>
        <v>-7.5999012980479397E-2</v>
      </c>
      <c r="IR110" s="706">
        <f>'Hodnocení '!IR106</f>
        <v>1.3398857990106539E-2</v>
      </c>
      <c r="IS110" s="706">
        <f>'Hodnocení '!IS106</f>
        <v>-4.1077668060089945E-2</v>
      </c>
      <c r="IT110" s="706">
        <f>'Hodnocení '!IT106</f>
        <v>8.0670717051841923E-2</v>
      </c>
      <c r="IU110" s="706">
        <f>'Hodnocení '!IU106</f>
        <v>9.8515203834173226E-2</v>
      </c>
      <c r="IV110" s="706">
        <f>'Hodnocení '!IV106</f>
        <v>-4.6593187951154968E-2</v>
      </c>
      <c r="IW110" s="706">
        <f>'Hodnocení '!IW106</f>
        <v>-0.17206427083312037</v>
      </c>
      <c r="IX110" s="706">
        <f>'Hodnocení '!IX106</f>
        <v>0.12970104247905345</v>
      </c>
      <c r="IY110" s="706">
        <f>'Hodnocení '!IY106</f>
        <v>0.38461494970219112</v>
      </c>
      <c r="IZ110" s="706">
        <f>'Hodnocení '!IZ106</f>
        <v>0.2785144764315024</v>
      </c>
      <c r="JA110" s="706">
        <f>'Hodnocení '!JA106</f>
        <v>-5.8144898979749615E-2</v>
      </c>
      <c r="JB110" s="706">
        <f>'Hodnocení '!JB106</f>
        <v>9.4294849369400913E-2</v>
      </c>
      <c r="JC110" s="706">
        <f>'Hodnocení '!JC106</f>
        <v>-0.12366965453165735</v>
      </c>
      <c r="JD110" s="706">
        <f>'Hodnocení '!JD106</f>
        <v>-0.23281149678644131</v>
      </c>
      <c r="JE110" s="706">
        <f>'Hodnocení '!JE106</f>
        <v>-0.30092191941863766</v>
      </c>
      <c r="JF110" s="706">
        <f>'Hodnocení '!JF106</f>
        <v>0.25808634111011552</v>
      </c>
      <c r="JG110" s="706">
        <f>'Hodnocení '!JG106</f>
        <v>-6.7501766600466029E-2</v>
      </c>
      <c r="JH110" s="806">
        <f>'Hodnocení '!JH106</f>
        <v>0.57178129649589793</v>
      </c>
      <c r="JI110" s="470">
        <f>'Hodnocení '!JI106</f>
        <v>0</v>
      </c>
      <c r="JL110" s="307"/>
      <c r="JM110" s="307"/>
      <c r="JN110" s="307"/>
      <c r="JO110" s="307"/>
      <c r="JP110" s="307"/>
    </row>
    <row r="111" spans="1:276" hidden="1" x14ac:dyDescent="0.25">
      <c r="A111" s="353"/>
      <c r="B111" s="733" t="s">
        <v>2613</v>
      </c>
      <c r="C111" s="779">
        <f>'Hodnocení '!C107</f>
        <v>609565.15107938461</v>
      </c>
      <c r="D111" s="479">
        <f>'Hodnocení '!D107</f>
        <v>2253406.764516497</v>
      </c>
      <c r="E111" s="479">
        <f>'Hodnocení '!E107</f>
        <v>639808.84684456885</v>
      </c>
      <c r="F111" s="479">
        <f>'Hodnocení '!F107</f>
        <v>210602.70883535733</v>
      </c>
      <c r="G111" s="479">
        <f>'Hodnocení '!G107</f>
        <v>565939.12729059532</v>
      </c>
      <c r="H111" s="479">
        <f>'Hodnocení '!H107</f>
        <v>51660.119815635728</v>
      </c>
      <c r="I111" s="479">
        <f>'Hodnocení '!I107</f>
        <v>505236.98052527243</v>
      </c>
      <c r="J111" s="479">
        <f>'Hodnocení '!J107</f>
        <v>125985.85576618928</v>
      </c>
      <c r="K111" s="479">
        <f>'Hodnocení '!K107</f>
        <v>233873.81287731882</v>
      </c>
      <c r="L111" s="479">
        <f>'Hodnocení '!L107</f>
        <v>160311.82925694017</v>
      </c>
      <c r="M111" s="479">
        <f>'Hodnocení '!M107</f>
        <v>212969.23889576597</v>
      </c>
      <c r="N111" s="479">
        <f>'Hodnocení '!N107</f>
        <v>243929.83708032314</v>
      </c>
      <c r="O111" s="479">
        <f>'Hodnocení '!O107</f>
        <v>186273.21042339411</v>
      </c>
      <c r="P111" s="479">
        <f>'Hodnocení '!P107</f>
        <v>121913.00218168925</v>
      </c>
      <c r="Q111" s="479">
        <f>'Hodnocení '!Q107</f>
        <v>82856.479101015488</v>
      </c>
      <c r="R111" s="479">
        <f>'Hodnocení '!R107</f>
        <v>101268.58556790743</v>
      </c>
      <c r="S111" s="479">
        <f>'Hodnocení '!S107</f>
        <v>70581.074789753417</v>
      </c>
      <c r="T111" s="479">
        <f>'Hodnocení '!T107</f>
        <v>30687.510778153781</v>
      </c>
      <c r="U111" s="479">
        <f>'Hodnocení '!U107</f>
        <v>46031.266167230671</v>
      </c>
      <c r="V111" s="479">
        <f>'Hodnocení '!V107</f>
        <v>817680.42823424935</v>
      </c>
      <c r="W111" s="479">
        <f>'Hodnocení '!W107</f>
        <v>197886.91937226057</v>
      </c>
      <c r="X111" s="479">
        <f>'Hodnocení '!X107</f>
        <v>732939.08618784696</v>
      </c>
      <c r="Y111" s="479">
        <f>'Hodnocení '!Y107</f>
        <v>115075.44921071106</v>
      </c>
      <c r="Z111" s="479">
        <f>'Hodnocení '!Z107</f>
        <v>548668.06231076457</v>
      </c>
      <c r="AA111" s="479">
        <f>'Hodnocení '!AA107</f>
        <v>181969.32670215517</v>
      </c>
      <c r="AB111" s="479">
        <f>'Hodnocení '!AB107</f>
        <v>597622.71596623911</v>
      </c>
      <c r="AC111" s="479">
        <f>'Hodnocení '!AC107</f>
        <v>-903512.15867635026</v>
      </c>
      <c r="AD111" s="479">
        <f>'Hodnocení '!AD107</f>
        <v>940930.69856136572</v>
      </c>
      <c r="AE111" s="479">
        <f>'Hodnocení '!AE107</f>
        <v>51557.525898943888</v>
      </c>
      <c r="AF111" s="479">
        <f>'Hodnocení '!AF107</f>
        <v>935142.15908293426</v>
      </c>
      <c r="AG111" s="479">
        <f>'Hodnocení '!AG107</f>
        <v>183748.02881668555</v>
      </c>
      <c r="AH111" s="479">
        <f>'Hodnocení '!AH107</f>
        <v>62551.893660530914</v>
      </c>
      <c r="AI111" s="479">
        <f>'Hodnocení '!AI107</f>
        <v>326061.72257919516</v>
      </c>
      <c r="AJ111" s="479">
        <f>'Hodnocení '!AJ107</f>
        <v>226760.43652025051</v>
      </c>
      <c r="AK111" s="479">
        <f>'Hodnocení '!AK107</f>
        <v>64443.372634122847</v>
      </c>
      <c r="AL111" s="479">
        <f>'Hodnocení '!AL107</f>
        <v>90984.163351077586</v>
      </c>
      <c r="AM111" s="479">
        <f>'Hodnocení '!AM107</f>
        <v>64443.372634123079</v>
      </c>
      <c r="AN111" s="479">
        <f>'Hodnocení '!AN107</f>
        <v>41121.504442726145</v>
      </c>
      <c r="AO111" s="479">
        <f>'Hodnocení '!AO107</f>
        <v>371243.66314082965</v>
      </c>
      <c r="AP111" s="479">
        <f>'Hodnocení '!AP107</f>
        <v>125415.6132770502</v>
      </c>
      <c r="AQ111" s="479">
        <f>'Hodnocení '!AQ107</f>
        <v>12275.404311261489</v>
      </c>
      <c r="AR111" s="479">
        <f>'Hodnocení '!AR107</f>
        <v>69046.39925084589</v>
      </c>
      <c r="AS111" s="479">
        <f>'Hodnocení '!AS107</f>
        <v>18412.106466892292</v>
      </c>
      <c r="AT111" s="479">
        <f>'Hodnocení '!AT107</f>
        <v>111217.19397727586</v>
      </c>
      <c r="AU111" s="479">
        <f>'Hodnocení '!AU107</f>
        <v>43607.283322408097</v>
      </c>
      <c r="AV111" s="479">
        <f>'Hodnocení '!AV107</f>
        <v>89467.677295226138</v>
      </c>
      <c r="AW111" s="479">
        <f>'Hodnocení '!AW107</f>
        <v>143500.55504343286</v>
      </c>
      <c r="AX111" s="479">
        <f>'Hodnocení '!AX107</f>
        <v>222449.80829497427</v>
      </c>
      <c r="AY111" s="479">
        <f>'Hodnocení '!AY107</f>
        <v>151551.83795339055</v>
      </c>
      <c r="AZ111" s="479">
        <f>'Hodnocení '!AZ107</f>
        <v>212018.77795484383</v>
      </c>
      <c r="BA111" s="479">
        <f>'Hodnocení '!BA107</f>
        <v>610511.92165514082</v>
      </c>
      <c r="BB111" s="479">
        <f>'Hodnocení '!BB107</f>
        <v>58305.670478492277</v>
      </c>
      <c r="BC111" s="479">
        <f>'Hodnocení '!BC107</f>
        <v>55798.493802532321</v>
      </c>
      <c r="BD111" s="479">
        <f>'Hodnocení '!BD107</f>
        <v>702984.94931657845</v>
      </c>
      <c r="BE111" s="479">
        <f>'Hodnocení '!BE107</f>
        <v>269440.81189770787</v>
      </c>
      <c r="BF111" s="479">
        <f>'Hodnocení '!BF107</f>
        <v>125818.39419043064</v>
      </c>
      <c r="BG111" s="479">
        <f>'Hodnocení '!BG107</f>
        <v>155555.06568605872</v>
      </c>
      <c r="BH111" s="479">
        <f>'Hodnocení '!BH107</f>
        <v>149419.24156050989</v>
      </c>
      <c r="BI111" s="479">
        <f>'Hodnocení '!BI107</f>
        <v>177805.11291619809</v>
      </c>
      <c r="BJ111" s="479">
        <f>'Hodnocení '!BJ107</f>
        <v>146998.67011217214</v>
      </c>
      <c r="BK111" s="479">
        <f>'Hodnocení '!BK107</f>
        <v>233720.81189770787</v>
      </c>
      <c r="BL111" s="479">
        <f>'Hodnocení '!BL107</f>
        <v>484189.8882988008</v>
      </c>
      <c r="BM111" s="479">
        <f>'Hodnocení '!BM107</f>
        <v>100788.2846129518</v>
      </c>
      <c r="BN111" s="479">
        <f>'Hodnocení '!BN107</f>
        <v>80401.598238762934</v>
      </c>
      <c r="BO111" s="479">
        <f>'Hodnocení '!BO107</f>
        <v>46391.3738330903</v>
      </c>
      <c r="BP111" s="479">
        <f>'Hodnocení '!BP107</f>
        <v>845790.26164068934</v>
      </c>
      <c r="BQ111" s="479">
        <f>'Hodnocení '!BQ107</f>
        <v>36221.133532779291</v>
      </c>
      <c r="BR111" s="479">
        <f>'Hodnocení '!BR107</f>
        <v>41428.239550507744</v>
      </c>
      <c r="BS111" s="479">
        <f>'Hodnocení '!BS107</f>
        <v>55237.319400676759</v>
      </c>
      <c r="BT111" s="479">
        <f>'Hodnocení '!BT107</f>
        <v>46031.266167230671</v>
      </c>
      <c r="BU111" s="479">
        <f>'Hodnocení '!BU107</f>
        <v>233623.22949550021</v>
      </c>
      <c r="BV111" s="479">
        <f>'Hodnocení '!BV107</f>
        <v>61964.662600792479</v>
      </c>
      <c r="BW111" s="479">
        <f>'Hodnocení '!BW107</f>
        <v>12275.404311261489</v>
      </c>
      <c r="BX111" s="479">
        <f>'Hodnocení '!BX107</f>
        <v>269060.123708467</v>
      </c>
      <c r="BY111" s="479">
        <f>'Hodnocení '!BY107</f>
        <v>104998.68873558543</v>
      </c>
      <c r="BZ111" s="479">
        <f>'Hodnocení '!BZ107</f>
        <v>11543.987553595856</v>
      </c>
      <c r="CA111" s="479">
        <f>'Hodnocení '!CA107</f>
        <v>0</v>
      </c>
      <c r="CB111" s="479">
        <f>'Hodnocení '!CB107</f>
        <v>12381.638190687081</v>
      </c>
      <c r="CC111" s="479">
        <f>'Hodnocení '!CC107</f>
        <v>99733.910028999671</v>
      </c>
      <c r="CD111" s="479">
        <f>'Hodnocení '!CD107</f>
        <v>30687.510778153781</v>
      </c>
      <c r="CE111" s="479">
        <f>'Hodnocení '!CE107</f>
        <v>745494.12531677075</v>
      </c>
      <c r="CF111" s="479">
        <f>'Hodnocení '!CF107</f>
        <v>191676.8393289512</v>
      </c>
      <c r="CG111" s="479">
        <f>'Hodnocení '!CG107</f>
        <v>480812.49607044645</v>
      </c>
      <c r="CH111" s="479">
        <f>'Hodnocení '!CH107</f>
        <v>207895.87657092884</v>
      </c>
      <c r="CI111" s="479">
        <f>'Hodnocení '!CI107</f>
        <v>148225.96719942894</v>
      </c>
      <c r="CJ111" s="479">
        <f>'Hodnocení '!CJ107</f>
        <v>193414.0818283353</v>
      </c>
      <c r="CK111" s="479">
        <f>'Hodnocení '!CK107</f>
        <v>222657.2291703308</v>
      </c>
      <c r="CL111" s="479">
        <f>'Hodnocení '!CL107</f>
        <v>325175.74855449842</v>
      </c>
      <c r="CM111" s="479">
        <f>'Hodnocení '!CM107</f>
        <v>367497.43998631369</v>
      </c>
      <c r="CN111" s="479">
        <f>'Hodnocení '!CN107</f>
        <v>54508.854153010063</v>
      </c>
      <c r="CO111" s="479">
        <f>'Hodnocení '!CO107</f>
        <v>54508.854153010063</v>
      </c>
      <c r="CP111" s="479">
        <f>'Hodnocení '!CP107</f>
        <v>54508.854153010063</v>
      </c>
      <c r="CQ111" s="479">
        <f>'Hodnocení '!CQ107</f>
        <v>263854.573718125</v>
      </c>
      <c r="CR111" s="479">
        <f>'Hodnocení '!CR107</f>
        <v>131249.18444889318</v>
      </c>
      <c r="CS111" s="479">
        <f>'Hodnocení '!CS107</f>
        <v>186144.80288492236</v>
      </c>
      <c r="CT111" s="479">
        <f>'Hodnocení '!CT107</f>
        <v>239093.64334082417</v>
      </c>
      <c r="CU111" s="479">
        <f>'Hodnocení '!CU107</f>
        <v>104998.68873558543</v>
      </c>
      <c r="CV111" s="479">
        <f>'Hodnocení '!CV107</f>
        <v>335603.83038687799</v>
      </c>
      <c r="CW111" s="479">
        <f>'Hodnocení '!CW107</f>
        <v>18412.106466892292</v>
      </c>
      <c r="CX111" s="479">
        <f>'Hodnocení '!CX107</f>
        <v>266211.20813903026</v>
      </c>
      <c r="CY111" s="479">
        <f>'Hodnocení '!CY107</f>
        <v>170623.28390120855</v>
      </c>
      <c r="CZ111" s="479">
        <f>'Hodnocení '!CZ107</f>
        <v>412558.87251330796</v>
      </c>
      <c r="DA111" s="479">
        <f>'Hodnocení '!DA107</f>
        <v>456302.72108589858</v>
      </c>
      <c r="DB111" s="479">
        <f>'Hodnocení '!DB107</f>
        <v>35290.537394876708</v>
      </c>
      <c r="DC111" s="479">
        <f>'Hodnocení '!DC107</f>
        <v>396850.78122951509</v>
      </c>
      <c r="DD111" s="479">
        <f>'Hodnocení '!DD107</f>
        <v>1665039.4795616046</v>
      </c>
      <c r="DE111" s="479">
        <f>'Hodnocení '!DE107</f>
        <v>330712.87138624676</v>
      </c>
      <c r="DF111" s="479">
        <f>'Hodnocení '!DF107</f>
        <v>330712.87138624676</v>
      </c>
      <c r="DG111" s="479">
        <f>'Hodnocení '!DG107</f>
        <v>35290.537394876708</v>
      </c>
      <c r="DH111" s="479">
        <f>'Hodnocení '!DH107</f>
        <v>123279.07433351269</v>
      </c>
      <c r="DI111" s="479">
        <f>'Hodnocení '!DI107</f>
        <v>46493.907834072364</v>
      </c>
      <c r="DJ111" s="479">
        <f>'Hodnocení '!DJ107</f>
        <v>94489.391824641731</v>
      </c>
      <c r="DK111" s="479">
        <f>'Hodnocení '!DK107</f>
        <v>1646214.6237954157</v>
      </c>
      <c r="DL111" s="479">
        <f>'Hodnocení '!DL107</f>
        <v>236248.25553742051</v>
      </c>
      <c r="DM111" s="479">
        <f>'Hodnocení '!DM107</f>
        <v>130147.44149400387</v>
      </c>
      <c r="DN111" s="479">
        <f>'Hodnocení '!DN107</f>
        <v>793700.56245903019</v>
      </c>
      <c r="DO111" s="479">
        <f>'Hodnocení '!DO107</f>
        <v>62992.927883094642</v>
      </c>
      <c r="DP111" s="479">
        <f>'Hodnocení '!DP107</f>
        <v>177154.02599728294</v>
      </c>
      <c r="DQ111" s="479">
        <f>'Hodnocení '!DQ107</f>
        <v>198649.67331651878</v>
      </c>
      <c r="DR111" s="479">
        <f>'Hodnocení '!DR107</f>
        <v>1053830.908377694</v>
      </c>
      <c r="DS111" s="479">
        <f>'Hodnocení '!DS107</f>
        <v>-630238.11001488776</v>
      </c>
      <c r="DT111" s="479">
        <f>'Hodnocení '!DT107</f>
        <v>246558.81513104588</v>
      </c>
      <c r="DU111" s="479">
        <f>'Hodnocení '!DU107</f>
        <v>116027.15701977629</v>
      </c>
      <c r="DV111" s="479">
        <f>'Hodnocení '!DV107</f>
        <v>388008.89112560265</v>
      </c>
      <c r="DW111" s="479">
        <f>'Hodnocení '!DW107</f>
        <v>57400.022017373005</v>
      </c>
      <c r="DX111" s="479">
        <f>'Hodnocení '!DX107</f>
        <v>188978.78364928346</v>
      </c>
      <c r="DY111" s="479">
        <f>'Hodnocení '!DY107</f>
        <v>255562.75048264861</v>
      </c>
      <c r="DZ111" s="479">
        <f>'Hodnocení '!DZ107</f>
        <v>41211.711505187908</v>
      </c>
      <c r="EA111" s="479">
        <f>'Hodnocení '!EA107</f>
        <v>-1677984.2352945581</v>
      </c>
      <c r="EB111" s="479">
        <f>'Hodnocení '!EB107</f>
        <v>319453.85834364966</v>
      </c>
      <c r="EC111" s="479">
        <f>'Hodnocení '!EC107</f>
        <v>187413.78349753143</v>
      </c>
      <c r="ED111" s="479">
        <f>'Hodnocení '!ED107</f>
        <v>187174.26121151447</v>
      </c>
      <c r="EE111" s="479">
        <f>'Hodnocení '!EE107</f>
        <v>35290.537394876708</v>
      </c>
      <c r="EF111" s="479">
        <f>'Hodnocení '!EF107</f>
        <v>38358.888472692226</v>
      </c>
      <c r="EG111" s="479">
        <f>'Hodnocení '!EG107</f>
        <v>18412.106466892292</v>
      </c>
      <c r="EH111" s="479">
        <f>'Hodnocení '!EH107</f>
        <v>36172.808606829378</v>
      </c>
      <c r="EI111" s="479">
        <f>'Hodnocení '!EI107</f>
        <v>53337.375954489224</v>
      </c>
      <c r="EJ111" s="479">
        <f>'Hodnocení '!EJ107</f>
        <v>50394.1423064759</v>
      </c>
      <c r="EK111" s="479">
        <f>'Hodnocení '!EK107</f>
        <v>203267.08756845072</v>
      </c>
      <c r="EL111" s="479">
        <f>'Hodnocení '!EL107</f>
        <v>579495.52529584803</v>
      </c>
      <c r="EM111" s="479">
        <f>'Hodnocení '!EM107</f>
        <v>176844.31944287568</v>
      </c>
      <c r="EN111" s="479">
        <f>'Hodnocení '!EN107</f>
        <v>106148.02390959067</v>
      </c>
      <c r="EO111" s="479">
        <f>'Hodnocení '!EO107</f>
        <v>12275.404311261489</v>
      </c>
      <c r="EP111" s="479">
        <f>'Hodnocení '!EP107</f>
        <v>832638.12610559678</v>
      </c>
      <c r="EQ111" s="479">
        <f>'Hodnocení '!EQ107</f>
        <v>78741.159853868186</v>
      </c>
      <c r="ER111" s="479">
        <f>'Hodnocení '!ER107</f>
        <v>979593.41795777529</v>
      </c>
      <c r="ES111" s="479">
        <f>'Hodnocení '!ES107</f>
        <v>420219.42038027104</v>
      </c>
      <c r="ET111" s="479">
        <f>'Hodnocení '!ET107</f>
        <v>56847.051162631018</v>
      </c>
      <c r="EU111" s="479">
        <f>'Hodnocení '!EU107</f>
        <v>149356.91443641949</v>
      </c>
      <c r="EV111" s="479">
        <f>'Hodnocení '!EV107</f>
        <v>244313.51077815378</v>
      </c>
      <c r="EW111" s="479">
        <f>'Hodnocení '!EW107</f>
        <v>236248.25553742051</v>
      </c>
      <c r="EX111" s="479">
        <f>'Hodnocení '!EX107</f>
        <v>2008863.2675816193</v>
      </c>
      <c r="EY111" s="479">
        <f>'Hodnocení '!EY107</f>
        <v>136476.74502661591</v>
      </c>
      <c r="EZ111" s="479">
        <f>'Hodnocení '!EZ107</f>
        <v>61687.148749803659</v>
      </c>
      <c r="FA111" s="479">
        <f>'Hodnocení '!FA107</f>
        <v>136498.42476802599</v>
      </c>
      <c r="FB111" s="479">
        <f>'Hodnocení '!FB107</f>
        <v>14174.490626362851</v>
      </c>
      <c r="FC111" s="479">
        <f>'Hodnocení '!FC107</f>
        <v>1190382.4215486925</v>
      </c>
      <c r="FD111" s="479">
        <f>'Hodnocení '!FD107</f>
        <v>75940.933514432982</v>
      </c>
      <c r="FE111" s="479">
        <f>'Hodnocení '!FE107</f>
        <v>101918.58884631132</v>
      </c>
      <c r="FF111" s="479">
        <f>'Hodnocení '!FF107</f>
        <v>170623.85448944382</v>
      </c>
      <c r="FG111" s="479">
        <f>'Hodnocení '!FG107</f>
        <v>667129.01955252513</v>
      </c>
      <c r="FH111" s="479">
        <f>'Hodnocení '!FH107</f>
        <v>710275.68899110146</v>
      </c>
      <c r="FI111" s="479">
        <f>'Hodnocení '!FI107</f>
        <v>772730.56067644805</v>
      </c>
      <c r="FJ111" s="479">
        <f>'Hodnocení '!FJ107</f>
        <v>209998.14217705326</v>
      </c>
      <c r="FK111" s="479">
        <f>'Hodnocení '!FK107</f>
        <v>52499.226720733917</v>
      </c>
      <c r="FL111" s="479">
        <f>'Hodnocení '!FL107</f>
        <v>58755.784060769482</v>
      </c>
      <c r="FM111" s="479">
        <f>'Hodnocení '!FM107</f>
        <v>301872.65658539534</v>
      </c>
      <c r="FN111" s="479">
        <f>'Hodnocení '!FN107</f>
        <v>428921.47995545436</v>
      </c>
      <c r="FO111" s="479">
        <f>'Hodnocení '!FO107</f>
        <v>150501.14837555587</v>
      </c>
      <c r="FP111" s="479">
        <f>'Hodnocení '!FP107</f>
        <v>1073076.3949724846</v>
      </c>
      <c r="FQ111" s="479">
        <f>'Hodnocení '!FQ107</f>
        <v>132350.94844364841</v>
      </c>
      <c r="FR111" s="479">
        <f>'Hodnocení '!FR107</f>
        <v>3847203.2896098206</v>
      </c>
      <c r="FS111" s="479">
        <f>'Hodnocení '!FS107</f>
        <v>40950.369729855214</v>
      </c>
      <c r="FT111" s="479">
        <f>'Hodnocení '!FT107</f>
        <v>307122.32631629333</v>
      </c>
      <c r="FU111" s="479">
        <f>'Hodnocení '!FU107</f>
        <v>38849.668492836645</v>
      </c>
      <c r="FV111" s="479">
        <f>'Hodnocení '!FV107</f>
        <v>100904.31987489713</v>
      </c>
      <c r="FW111" s="479">
        <f>'Hodnocení '!FW107</f>
        <v>128623.96723050438</v>
      </c>
      <c r="FX111" s="479">
        <f>'Hodnocení '!FX107</f>
        <v>55124.061586182448</v>
      </c>
      <c r="FY111" s="479">
        <f>'Hodnocení '!FY107</f>
        <v>31499.25956185197</v>
      </c>
      <c r="FZ111" s="479">
        <f>'Hodnocení '!FZ107</f>
        <v>419996.04905998893</v>
      </c>
      <c r="GA111" s="479">
        <f>'Hodnocení '!GA107</f>
        <v>59565.489587557968</v>
      </c>
      <c r="GB111" s="479">
        <f>'Hodnocení '!GB107</f>
        <v>524721.48629777133</v>
      </c>
      <c r="GC111" s="479">
        <f>'Hodnocení '!GC107</f>
        <v>209998.14217705326</v>
      </c>
      <c r="GD111" s="479">
        <f>'Hodnocení '!GD107</f>
        <v>885954.35000413656</v>
      </c>
      <c r="GE111" s="479">
        <f>'Hodnocení '!GE107</f>
        <v>100788.2846129518</v>
      </c>
      <c r="GF111" s="479">
        <f>'Hodnocení '!GF107</f>
        <v>279560.17787614278</v>
      </c>
      <c r="GG111" s="479">
        <f>'Hodnocení '!GG107</f>
        <v>98384.362719163299</v>
      </c>
      <c r="GH111" s="479">
        <f>'Hodnocení '!GH107</f>
        <v>71097.431277228519</v>
      </c>
      <c r="GI111" s="479">
        <f>'Hodnocení '!GI107</f>
        <v>827284.08696746826</v>
      </c>
      <c r="GJ111" s="479">
        <f>'Hodnocení '!GJ107</f>
        <v>196348.4773473097</v>
      </c>
      <c r="GK111" s="479">
        <f>'Hodnocení '!GK107</f>
        <v>193405.49945019651</v>
      </c>
      <c r="GL111" s="479">
        <f>'Hodnocení '!GL107</f>
        <v>61157.953704515006</v>
      </c>
      <c r="GM111" s="479">
        <f>'Hodnocení '!GM107</f>
        <v>64047.978629786987</v>
      </c>
      <c r="GN111" s="479">
        <f>'Hodnocení '!GN107</f>
        <v>60656.442234051647</v>
      </c>
      <c r="GO111" s="479">
        <f>'Hodnocení '!GO107</f>
        <v>540574.79319093563</v>
      </c>
      <c r="GP111" s="479">
        <f>'Hodnocení '!GP107</f>
        <v>72187.061741008889</v>
      </c>
      <c r="GQ111" s="479">
        <f>'Hodnocení '!GQ107</f>
        <v>144373.97642319463</v>
      </c>
      <c r="GR111" s="479">
        <f>'Hodnocení '!GR107</f>
        <v>84261.605651483405</v>
      </c>
      <c r="GS111" s="479">
        <f>'Hodnocení '!GS107</f>
        <v>52499.226720733917</v>
      </c>
      <c r="GT111" s="479">
        <f>'Hodnocení '!GT107</f>
        <v>794055.53209227696</v>
      </c>
      <c r="GU111" s="479">
        <f>'Hodnocení '!GU107</f>
        <v>100637.11881590681</v>
      </c>
      <c r="GV111" s="479">
        <f>'Hodnocení '!GV107</f>
        <v>474724.18566624634</v>
      </c>
      <c r="GW111" s="479">
        <f>'Hodnocení '!GW107</f>
        <v>118123.62776871026</v>
      </c>
      <c r="GX111" s="479">
        <f>'Hodnocení '!GX107</f>
        <v>44624.339771447121</v>
      </c>
      <c r="GY111" s="479">
        <f>'Hodnocení '!GY107</f>
        <v>1975751.4943936616</v>
      </c>
      <c r="GZ111" s="479">
        <f>'Hodnocení '!GZ107</f>
        <v>4016004.3026968315</v>
      </c>
      <c r="HA111" s="479">
        <f>'Hodnocení '!HA107</f>
        <v>1473626.1912370417</v>
      </c>
      <c r="HB111" s="479">
        <f>'Hodnocení '!HB107</f>
        <v>482469.09901564941</v>
      </c>
      <c r="HC111" s="479">
        <f>'Hodnocení '!HC107</f>
        <v>839451.78273040242</v>
      </c>
      <c r="HD111" s="479">
        <f>'Hodnocení '!HD107</f>
        <v>665441.14217705326</v>
      </c>
      <c r="HE111" s="479">
        <f>'Hodnocení '!HE107</f>
        <v>662783.57615715638</v>
      </c>
      <c r="HF111" s="479">
        <f>'Hodnocení '!HF107</f>
        <v>149623.4108599741</v>
      </c>
      <c r="HG111" s="479">
        <f>'Hodnocení '!HG107</f>
        <v>75914.787739800522</v>
      </c>
      <c r="HH111" s="479">
        <f>'Hodnocení '!HH107</f>
        <v>183748.02881668555</v>
      </c>
      <c r="HI111" s="479">
        <f>'Hodnocení '!HI107</f>
        <v>262497.36889778636</v>
      </c>
      <c r="HJ111" s="479">
        <f>'Hodnocení '!HJ107</f>
        <v>598798.92788309464</v>
      </c>
      <c r="HK111" s="479">
        <f>'Hodnocení '!HK107</f>
        <v>68249.618266365957</v>
      </c>
      <c r="HL111" s="479">
        <f>'Hodnocení '!HL107</f>
        <v>2655042.3740813434</v>
      </c>
      <c r="HM111" s="479">
        <f>'Hodnocení '!HM107</f>
        <v>1017355.4221506491</v>
      </c>
      <c r="HN111" s="479">
        <f>'Hodnocení '!HN107</f>
        <v>31569.962109555257</v>
      </c>
      <c r="HO111" s="479">
        <f>'Hodnocení '!HO107</f>
        <v>113387.07018957054</v>
      </c>
      <c r="HP111" s="479">
        <f>'Hodnocení '!HP107</f>
        <v>1543471.6417521946</v>
      </c>
      <c r="HQ111" s="479">
        <f>'Hodnocení '!HQ107</f>
        <v>48309.940953776357</v>
      </c>
      <c r="HR111" s="479">
        <f>'Hodnocení '!HR107</f>
        <v>3256460.5458836555</v>
      </c>
      <c r="HS111" s="479">
        <f>'Hodnocení '!HS107</f>
        <v>1366135.637391096</v>
      </c>
      <c r="HT111" s="479">
        <f>'Hodnocení '!HT107</f>
        <v>996361.59047078341</v>
      </c>
      <c r="HU111" s="479">
        <f>'Hodnocení '!HU107</f>
        <v>1504247.0052082576</v>
      </c>
      <c r="HV111" s="479">
        <f>'Hodnocení '!HV107</f>
        <v>3410721.9800217226</v>
      </c>
      <c r="HW111" s="479">
        <f>'Hodnocení '!HW107</f>
        <v>-1849548.0594513193</v>
      </c>
      <c r="HX111" s="479">
        <f>'Hodnocení '!HX107</f>
        <v>4337308.3413808942</v>
      </c>
      <c r="HY111" s="479">
        <f>'Hodnocení '!HY107</f>
        <v>1185365.1734446846</v>
      </c>
      <c r="HZ111" s="479">
        <f>'Hodnocení '!HZ107</f>
        <v>651058.97769382969</v>
      </c>
      <c r="IA111" s="479">
        <f>'Hodnocení '!IA107</f>
        <v>715411.15817536972</v>
      </c>
      <c r="IB111" s="479">
        <f>'Hodnocení '!IB107</f>
        <v>1436993.9004964307</v>
      </c>
      <c r="IC111" s="479">
        <f>'Hodnocení '!IC107</f>
        <v>1123928.3548384383</v>
      </c>
      <c r="ID111" s="479">
        <f>'Hodnocení '!ID107</f>
        <v>766192.31781755388</v>
      </c>
      <c r="IE111" s="479">
        <f>'Hodnocení '!IE107</f>
        <v>1760923.5176655725</v>
      </c>
      <c r="IF111" s="479">
        <f>'Hodnocení '!IF107</f>
        <v>1714191.5880448222</v>
      </c>
      <c r="IG111" s="479">
        <f>'Hodnocení '!IG107</f>
        <v>291507.07272479031</v>
      </c>
      <c r="IH111" s="479">
        <f>'Hodnocení '!IH107</f>
        <v>343590.42741265753</v>
      </c>
      <c r="II111" s="479">
        <f>'Hodnocení '!II107</f>
        <v>1793236.129812181</v>
      </c>
      <c r="IJ111" s="479">
        <f>'Hodnocení '!IJ107</f>
        <v>188957.93973550387</v>
      </c>
      <c r="IK111" s="479">
        <f>'Hodnocení '!IK107</f>
        <v>359520.57877053227</v>
      </c>
      <c r="IL111" s="479">
        <f>'Hodnocení '!IL107</f>
        <v>1629302.700098794</v>
      </c>
      <c r="IM111" s="479">
        <f>'Hodnocení '!IM107</f>
        <v>35508.358446243219</v>
      </c>
      <c r="IN111" s="479">
        <f>'Hodnocení '!IN107</f>
        <v>684769.10520395823</v>
      </c>
      <c r="IO111" s="479">
        <f>'Hodnocení '!IO107</f>
        <v>219936.56307524676</v>
      </c>
      <c r="IP111" s="479">
        <f>'Hodnocení '!IP107</f>
        <v>1518759.1775805578</v>
      </c>
      <c r="IQ111" s="479">
        <f>'Hodnocení '!IQ107</f>
        <v>1548245.282894928</v>
      </c>
      <c r="IR111" s="479">
        <f>'Hodnocení '!IR107</f>
        <v>57333.609034861438</v>
      </c>
      <c r="IS111" s="479">
        <f>'Hodnocení '!IS107</f>
        <v>5863221.8590874374</v>
      </c>
      <c r="IT111" s="479">
        <f>'Hodnocení '!IT107</f>
        <v>1583178.3445637673</v>
      </c>
      <c r="IU111" s="479">
        <f>'Hodnocení '!IU107</f>
        <v>209496.78064061748</v>
      </c>
      <c r="IV111" s="479">
        <f>'Hodnocení '!IV107</f>
        <v>565302.67642798088</v>
      </c>
      <c r="IW111" s="479">
        <f>'Hodnocení '!IW107</f>
        <v>898712.48190665245</v>
      </c>
      <c r="IX111" s="479">
        <f>'Hodnocení '!IX107</f>
        <v>114666.29693570267</v>
      </c>
      <c r="IY111" s="479">
        <f>'Hodnocení '!IY107</f>
        <v>-1452747.4911705498</v>
      </c>
      <c r="IZ111" s="479">
        <f>'Hodnocení '!IZ107</f>
        <v>4261360.996755749</v>
      </c>
      <c r="JA111" s="479">
        <f>'Hodnocení '!JA107</f>
        <v>127353.0697293384</v>
      </c>
      <c r="JB111" s="479">
        <f>'Hodnocení '!JB107</f>
        <v>142644.00015719747</v>
      </c>
      <c r="JC111" s="479">
        <f>'Hodnocení '!JC107</f>
        <v>89939.459352466743</v>
      </c>
      <c r="JD111" s="479">
        <f>'Hodnocení '!JD107</f>
        <v>283468.17547392473</v>
      </c>
      <c r="JE111" s="479">
        <f>'Hodnocení '!JE107</f>
        <v>206732.40814489219</v>
      </c>
      <c r="JF111" s="479">
        <f>'Hodnocení '!JF107</f>
        <v>7212859.1481602937</v>
      </c>
      <c r="JG111" s="479">
        <f>'Hodnocení '!JG107</f>
        <v>1952842.1649511717</v>
      </c>
      <c r="JH111" s="780">
        <f>'Hodnocení '!JH107</f>
        <v>-1314890.4802078607</v>
      </c>
      <c r="JI111" s="470">
        <f>'Hodnocení '!JI107</f>
        <v>123672375.88643397</v>
      </c>
      <c r="JL111" s="307">
        <f>SUMIFS($C111:$JH111,$C$5:$JH$5,JL$5)</f>
        <v>3502780.7624404505</v>
      </c>
      <c r="JM111" s="307">
        <f>SUMIFS($C111:$JH111,$C$5:$JH$5,JM$5)</f>
        <v>31344792.517337482</v>
      </c>
      <c r="JN111" s="307">
        <f>SUMIFS($C111:$JH111,$C$5:$JH$5,JN$5)</f>
        <v>31625107.330638118</v>
      </c>
      <c r="JO111" s="307">
        <f>SUMIFS($C111:$JH111,$C$5:$JH$5,JO$5)</f>
        <v>57199695.276017919</v>
      </c>
      <c r="JP111" s="307">
        <f t="shared" ref="JP111" si="59">SUM(JL111:JO111)</f>
        <v>123672375.88643396</v>
      </c>
    </row>
    <row r="112" spans="1:276" hidden="1" x14ac:dyDescent="0.25">
      <c r="A112" s="353"/>
      <c r="B112" s="733"/>
      <c r="C112" s="360">
        <f>'Hodnocení '!C108</f>
        <v>0</v>
      </c>
      <c r="D112" s="357">
        <f>'Hodnocení '!D108</f>
        <v>0</v>
      </c>
      <c r="E112" s="357">
        <f>'Hodnocení '!E108</f>
        <v>0</v>
      </c>
      <c r="F112" s="357">
        <f>'Hodnocení '!F108</f>
        <v>0</v>
      </c>
      <c r="G112" s="357">
        <f>'Hodnocení '!G108</f>
        <v>0</v>
      </c>
      <c r="H112" s="357">
        <f>'Hodnocení '!H108</f>
        <v>0</v>
      </c>
      <c r="I112" s="357">
        <f>'Hodnocení '!I108</f>
        <v>0</v>
      </c>
      <c r="J112" s="357">
        <f>'Hodnocení '!J108</f>
        <v>0</v>
      </c>
      <c r="K112" s="357">
        <f>'Hodnocení '!K108</f>
        <v>0</v>
      </c>
      <c r="L112" s="357">
        <f>'Hodnocení '!L108</f>
        <v>0</v>
      </c>
      <c r="M112" s="357">
        <f>'Hodnocení '!M108</f>
        <v>0</v>
      </c>
      <c r="N112" s="357">
        <f>'Hodnocení '!N108</f>
        <v>0</v>
      </c>
      <c r="O112" s="357">
        <f>'Hodnocení '!O108</f>
        <v>0</v>
      </c>
      <c r="P112" s="357">
        <f>'Hodnocení '!P108</f>
        <v>0</v>
      </c>
      <c r="Q112" s="357">
        <f>'Hodnocení '!Q108</f>
        <v>0</v>
      </c>
      <c r="R112" s="357">
        <f>'Hodnocení '!R108</f>
        <v>0</v>
      </c>
      <c r="S112" s="357">
        <f>'Hodnocení '!S108</f>
        <v>0</v>
      </c>
      <c r="T112" s="357">
        <f>'Hodnocení '!T108</f>
        <v>0</v>
      </c>
      <c r="U112" s="357" t="str">
        <f>'Hodnocení '!U108</f>
        <v>žádali méně</v>
      </c>
      <c r="V112" s="357">
        <f>'Hodnocení '!V108</f>
        <v>0</v>
      </c>
      <c r="W112" s="357">
        <f>'Hodnocení '!W108</f>
        <v>0</v>
      </c>
      <c r="X112" s="357">
        <f>'Hodnocení '!X108</f>
        <v>0</v>
      </c>
      <c r="Y112" s="357">
        <f>'Hodnocení '!Y108</f>
        <v>0</v>
      </c>
      <c r="Z112" s="357">
        <f>'Hodnocení '!Z108</f>
        <v>0</v>
      </c>
      <c r="AA112" s="357">
        <f>'Hodnocení '!AA108</f>
        <v>0</v>
      </c>
      <c r="AB112" s="357">
        <f>'Hodnocení '!AB108</f>
        <v>0</v>
      </c>
      <c r="AC112" s="357">
        <f>'Hodnocení '!AC108</f>
        <v>0</v>
      </c>
      <c r="AD112" s="357">
        <f>'Hodnocení '!AD108</f>
        <v>0</v>
      </c>
      <c r="AE112" s="357">
        <f>'Hodnocení '!AE108</f>
        <v>0</v>
      </c>
      <c r="AF112" s="357">
        <f>'Hodnocení '!AF108</f>
        <v>0</v>
      </c>
      <c r="AG112" s="357">
        <f>'Hodnocení '!AG108</f>
        <v>0</v>
      </c>
      <c r="AH112" s="357">
        <f>'Hodnocení '!AH108</f>
        <v>0</v>
      </c>
      <c r="AI112" s="357">
        <f>'Hodnocení '!AI108</f>
        <v>0</v>
      </c>
      <c r="AJ112" s="357">
        <f>'Hodnocení '!AJ108</f>
        <v>0</v>
      </c>
      <c r="AK112" s="357">
        <f>'Hodnocení '!AK108</f>
        <v>0</v>
      </c>
      <c r="AL112" s="357">
        <f>'Hodnocení '!AL108</f>
        <v>0</v>
      </c>
      <c r="AM112" s="357">
        <f>'Hodnocení '!AM108</f>
        <v>0</v>
      </c>
      <c r="AN112" s="357">
        <f>'Hodnocení '!AN108</f>
        <v>0</v>
      </c>
      <c r="AO112" s="357">
        <f>'Hodnocení '!AO108</f>
        <v>0</v>
      </c>
      <c r="AP112" s="357">
        <f>'Hodnocení '!AP108</f>
        <v>0</v>
      </c>
      <c r="AQ112" s="357">
        <f>'Hodnocení '!AQ108</f>
        <v>0</v>
      </c>
      <c r="AR112" s="357">
        <f>'Hodnocení '!AR108</f>
        <v>0</v>
      </c>
      <c r="AS112" s="357">
        <f>'Hodnocení '!AS108</f>
        <v>0</v>
      </c>
      <c r="AT112" s="357">
        <f>'Hodnocení '!AT108</f>
        <v>0</v>
      </c>
      <c r="AU112" s="357">
        <f>'Hodnocení '!AU108</f>
        <v>0</v>
      </c>
      <c r="AV112" s="357">
        <f>'Hodnocení '!AV108</f>
        <v>0</v>
      </c>
      <c r="AW112" s="357">
        <f>'Hodnocení '!AW108</f>
        <v>0</v>
      </c>
      <c r="AX112" s="357">
        <f>'Hodnocení '!AX108</f>
        <v>0</v>
      </c>
      <c r="AY112" s="357">
        <f>'Hodnocení '!AY108</f>
        <v>0</v>
      </c>
      <c r="AZ112" s="357">
        <f>'Hodnocení '!AZ108</f>
        <v>0</v>
      </c>
      <c r="BA112" s="357">
        <f>'Hodnocení '!BA108</f>
        <v>0</v>
      </c>
      <c r="BB112" s="357">
        <f>'Hodnocení '!BB108</f>
        <v>0</v>
      </c>
      <c r="BC112" s="357">
        <f>'Hodnocení '!BC108</f>
        <v>0</v>
      </c>
      <c r="BD112" s="357">
        <f>'Hodnocení '!BD108</f>
        <v>0</v>
      </c>
      <c r="BE112" s="357">
        <f>'Hodnocení '!BE108</f>
        <v>0</v>
      </c>
      <c r="BF112" s="357">
        <f>'Hodnocení '!BF108</f>
        <v>0</v>
      </c>
      <c r="BG112" s="357">
        <f>'Hodnocení '!BG108</f>
        <v>0</v>
      </c>
      <c r="BH112" s="357">
        <f>'Hodnocení '!BH108</f>
        <v>0</v>
      </c>
      <c r="BI112" s="357" t="str">
        <f>'Hodnocení '!BI108</f>
        <v>žádali méně</v>
      </c>
      <c r="BJ112" s="357">
        <f>'Hodnocení '!BJ108</f>
        <v>0</v>
      </c>
      <c r="BK112" s="357">
        <f>'Hodnocení '!BK108</f>
        <v>0</v>
      </c>
      <c r="BL112" s="357">
        <f>'Hodnocení '!BL108</f>
        <v>0</v>
      </c>
      <c r="BM112" s="357">
        <f>'Hodnocení '!BM108</f>
        <v>0</v>
      </c>
      <c r="BN112" s="357">
        <f>'Hodnocení '!BN108</f>
        <v>0</v>
      </c>
      <c r="BO112" s="357">
        <f>'Hodnocení '!BO108</f>
        <v>0</v>
      </c>
      <c r="BP112" s="357">
        <f>'Hodnocení '!BP108</f>
        <v>0</v>
      </c>
      <c r="BQ112" s="357">
        <f>'Hodnocení '!BQ108</f>
        <v>0</v>
      </c>
      <c r="BR112" s="357">
        <f>'Hodnocení '!BR108</f>
        <v>0</v>
      </c>
      <c r="BS112" s="357">
        <f>'Hodnocení '!BS108</f>
        <v>0</v>
      </c>
      <c r="BT112" s="357">
        <f>'Hodnocení '!BT108</f>
        <v>0</v>
      </c>
      <c r="BU112" s="357">
        <f>'Hodnocení '!BU108</f>
        <v>0</v>
      </c>
      <c r="BV112" s="357">
        <f>'Hodnocení '!BV108</f>
        <v>0</v>
      </c>
      <c r="BW112" s="357">
        <f>'Hodnocení '!BW108</f>
        <v>0</v>
      </c>
      <c r="BX112" s="357">
        <f>'Hodnocení '!BX108</f>
        <v>0</v>
      </c>
      <c r="BY112" s="357">
        <f>'Hodnocení '!BY108</f>
        <v>0</v>
      </c>
      <c r="BZ112" s="357">
        <f>'Hodnocení '!BZ108</f>
        <v>0</v>
      </c>
      <c r="CA112" s="357">
        <f>'Hodnocení '!CA108</f>
        <v>0</v>
      </c>
      <c r="CB112" s="357">
        <f>'Hodnocení '!CB108</f>
        <v>0</v>
      </c>
      <c r="CC112" s="357">
        <f>'Hodnocení '!CC108</f>
        <v>0</v>
      </c>
      <c r="CD112" s="357">
        <f>'Hodnocení '!CD108</f>
        <v>0</v>
      </c>
      <c r="CE112" s="357">
        <f>'Hodnocení '!CE108</f>
        <v>0</v>
      </c>
      <c r="CF112" s="357">
        <f>'Hodnocení '!CF108</f>
        <v>0</v>
      </c>
      <c r="CG112" s="357">
        <f>'Hodnocení '!CG108</f>
        <v>0</v>
      </c>
      <c r="CH112" s="357">
        <f>'Hodnocení '!CH108</f>
        <v>0</v>
      </c>
      <c r="CI112" s="357">
        <f>'Hodnocení '!CI108</f>
        <v>0</v>
      </c>
      <c r="CJ112" s="357">
        <f>'Hodnocení '!CJ108</f>
        <v>0</v>
      </c>
      <c r="CK112" s="357">
        <f>'Hodnocení '!CK108</f>
        <v>0</v>
      </c>
      <c r="CL112" s="357">
        <f>'Hodnocení '!CL108</f>
        <v>0</v>
      </c>
      <c r="CM112" s="357">
        <f>'Hodnocení '!CM108</f>
        <v>0</v>
      </c>
      <c r="CN112" s="357">
        <f>'Hodnocení '!CN108</f>
        <v>0</v>
      </c>
      <c r="CO112" s="357">
        <f>'Hodnocení '!CO108</f>
        <v>0</v>
      </c>
      <c r="CP112" s="357">
        <f>'Hodnocení '!CP108</f>
        <v>0</v>
      </c>
      <c r="CQ112" s="357">
        <f>'Hodnocení '!CQ108</f>
        <v>0</v>
      </c>
      <c r="CR112" s="357">
        <f>'Hodnocení '!CR108</f>
        <v>0</v>
      </c>
      <c r="CS112" s="357">
        <f>'Hodnocení '!CS108</f>
        <v>0</v>
      </c>
      <c r="CT112" s="357">
        <f>'Hodnocení '!CT108</f>
        <v>0</v>
      </c>
      <c r="CU112" s="357">
        <f>'Hodnocení '!CU108</f>
        <v>0</v>
      </c>
      <c r="CV112" s="357">
        <f>'Hodnocení '!CV108</f>
        <v>0</v>
      </c>
      <c r="CW112" s="357">
        <f>'Hodnocení '!CW108</f>
        <v>0</v>
      </c>
      <c r="CX112" s="357">
        <f>'Hodnocení '!CX108</f>
        <v>0</v>
      </c>
      <c r="CY112" s="357">
        <f>'Hodnocení '!CY108</f>
        <v>0</v>
      </c>
      <c r="CZ112" s="357">
        <f>'Hodnocení '!CZ108</f>
        <v>0</v>
      </c>
      <c r="DA112" s="357">
        <f>'Hodnocení '!DA108</f>
        <v>0</v>
      </c>
      <c r="DB112" s="357">
        <f>'Hodnocení '!DB108</f>
        <v>0</v>
      </c>
      <c r="DC112" s="357">
        <f>'Hodnocení '!DC108</f>
        <v>0</v>
      </c>
      <c r="DD112" s="357">
        <f>'Hodnocení '!DD108</f>
        <v>0</v>
      </c>
      <c r="DE112" s="357">
        <f>'Hodnocení '!DE108</f>
        <v>0</v>
      </c>
      <c r="DF112" s="357" t="str">
        <f>'Hodnocení '!DF108</f>
        <v>žádali méně</v>
      </c>
      <c r="DG112" s="357">
        <f>'Hodnocení '!DG108</f>
        <v>0</v>
      </c>
      <c r="DH112" s="357">
        <f>'Hodnocení '!DH108</f>
        <v>0</v>
      </c>
      <c r="DI112" s="357">
        <f>'Hodnocení '!DI108</f>
        <v>0</v>
      </c>
      <c r="DJ112" s="357">
        <f>'Hodnocení '!DJ108</f>
        <v>0</v>
      </c>
      <c r="DK112" s="357">
        <f>'Hodnocení '!DK108</f>
        <v>0</v>
      </c>
      <c r="DL112" s="357">
        <f>'Hodnocení '!DL108</f>
        <v>0</v>
      </c>
      <c r="DM112" s="357">
        <f>'Hodnocení '!DM108</f>
        <v>0</v>
      </c>
      <c r="DN112" s="357">
        <f>'Hodnocení '!DN108</f>
        <v>0</v>
      </c>
      <c r="DO112" s="357">
        <f>'Hodnocení '!DO108</f>
        <v>0</v>
      </c>
      <c r="DP112" s="357">
        <f>'Hodnocení '!DP108</f>
        <v>0</v>
      </c>
      <c r="DQ112" s="357">
        <f>'Hodnocení '!DQ108</f>
        <v>0</v>
      </c>
      <c r="DR112" s="357" t="str">
        <f>'Hodnocení '!DR108</f>
        <v>žádali méně</v>
      </c>
      <c r="DS112" s="357">
        <f>'Hodnocení '!DS108</f>
        <v>0</v>
      </c>
      <c r="DT112" s="357">
        <f>'Hodnocení '!DT108</f>
        <v>0</v>
      </c>
      <c r="DU112" s="357">
        <f>'Hodnocení '!DU108</f>
        <v>0</v>
      </c>
      <c r="DV112" s="357">
        <f>'Hodnocení '!DV108</f>
        <v>0</v>
      </c>
      <c r="DW112" s="357">
        <f>'Hodnocení '!DW108</f>
        <v>0</v>
      </c>
      <c r="DX112" s="357">
        <f>'Hodnocení '!DX108</f>
        <v>0</v>
      </c>
      <c r="DY112" s="357">
        <f>'Hodnocení '!DY108</f>
        <v>0</v>
      </c>
      <c r="DZ112" s="357">
        <f>'Hodnocení '!DZ108</f>
        <v>0</v>
      </c>
      <c r="EA112" s="357">
        <f>'Hodnocení '!EA108</f>
        <v>0</v>
      </c>
      <c r="EB112" s="357">
        <f>'Hodnocení '!EB108</f>
        <v>0</v>
      </c>
      <c r="EC112" s="357">
        <f>'Hodnocení '!EC108</f>
        <v>0</v>
      </c>
      <c r="ED112" s="357">
        <f>'Hodnocení '!ED108</f>
        <v>0</v>
      </c>
      <c r="EE112" s="357">
        <f>'Hodnocení '!EE108</f>
        <v>0</v>
      </c>
      <c r="EF112" s="357">
        <f>'Hodnocení '!EF108</f>
        <v>0</v>
      </c>
      <c r="EG112" s="357">
        <f>'Hodnocení '!EG108</f>
        <v>0</v>
      </c>
      <c r="EH112" s="357">
        <f>'Hodnocení '!EH108</f>
        <v>0</v>
      </c>
      <c r="EI112" s="357">
        <f>'Hodnocení '!EI108</f>
        <v>0</v>
      </c>
      <c r="EJ112" s="357">
        <f>'Hodnocení '!EJ108</f>
        <v>0</v>
      </c>
      <c r="EK112" s="357">
        <f>'Hodnocení '!EK108</f>
        <v>0</v>
      </c>
      <c r="EL112" s="357">
        <f>'Hodnocení '!EL108</f>
        <v>0</v>
      </c>
      <c r="EM112" s="357">
        <f>'Hodnocení '!EM108</f>
        <v>0</v>
      </c>
      <c r="EN112" s="357">
        <f>'Hodnocení '!EN108</f>
        <v>0</v>
      </c>
      <c r="EO112" s="357">
        <f>'Hodnocení '!EO108</f>
        <v>0</v>
      </c>
      <c r="EP112" s="357">
        <f>'Hodnocení '!EP108</f>
        <v>0</v>
      </c>
      <c r="EQ112" s="357">
        <f>'Hodnocení '!EQ108</f>
        <v>0</v>
      </c>
      <c r="ER112" s="357">
        <f>'Hodnocení '!ER108</f>
        <v>0</v>
      </c>
      <c r="ES112" s="357">
        <f>'Hodnocení '!ES108</f>
        <v>0</v>
      </c>
      <c r="ET112" s="357">
        <f>'Hodnocení '!ET108</f>
        <v>0</v>
      </c>
      <c r="EU112" s="357">
        <f>'Hodnocení '!EU108</f>
        <v>0</v>
      </c>
      <c r="EV112" s="357">
        <f>'Hodnocení '!EV108</f>
        <v>0</v>
      </c>
      <c r="EW112" s="357">
        <f>'Hodnocení '!EW108</f>
        <v>0</v>
      </c>
      <c r="EX112" s="357">
        <f>'Hodnocení '!EX108</f>
        <v>0</v>
      </c>
      <c r="EY112" s="357">
        <f>'Hodnocení '!EY108</f>
        <v>0</v>
      </c>
      <c r="EZ112" s="357">
        <f>'Hodnocení '!EZ108</f>
        <v>0</v>
      </c>
      <c r="FA112" s="357">
        <f>'Hodnocení '!FA108</f>
        <v>0</v>
      </c>
      <c r="FB112" s="357">
        <f>'Hodnocení '!FB108</f>
        <v>0</v>
      </c>
      <c r="FC112" s="357">
        <f>'Hodnocení '!FC108</f>
        <v>0</v>
      </c>
      <c r="FD112" s="357">
        <f>'Hodnocení '!FD108</f>
        <v>0</v>
      </c>
      <c r="FE112" s="357">
        <f>'Hodnocení '!FE108</f>
        <v>0</v>
      </c>
      <c r="FF112" s="357">
        <f>'Hodnocení '!FF108</f>
        <v>0</v>
      </c>
      <c r="FG112" s="357">
        <f>'Hodnocení '!FG108</f>
        <v>0</v>
      </c>
      <c r="FH112" s="357">
        <f>'Hodnocení '!FH108</f>
        <v>0</v>
      </c>
      <c r="FI112" s="357">
        <f>'Hodnocení '!FI108</f>
        <v>0</v>
      </c>
      <c r="FJ112" s="357">
        <f>'Hodnocení '!FJ108</f>
        <v>0</v>
      </c>
      <c r="FK112" s="357">
        <f>'Hodnocení '!FK108</f>
        <v>0</v>
      </c>
      <c r="FL112" s="357">
        <f>'Hodnocení '!FL108</f>
        <v>0</v>
      </c>
      <c r="FM112" s="357">
        <f>'Hodnocení '!FM108</f>
        <v>0</v>
      </c>
      <c r="FN112" s="357">
        <f>'Hodnocení '!FN108</f>
        <v>0</v>
      </c>
      <c r="FO112" s="357">
        <f>'Hodnocení '!FO108</f>
        <v>0</v>
      </c>
      <c r="FP112" s="357">
        <f>'Hodnocení '!FP108</f>
        <v>0</v>
      </c>
      <c r="FQ112" s="357">
        <f>'Hodnocení '!FQ108</f>
        <v>0</v>
      </c>
      <c r="FR112" s="357">
        <f>'Hodnocení '!FR108</f>
        <v>0</v>
      </c>
      <c r="FS112" s="357">
        <f>'Hodnocení '!FS108</f>
        <v>0</v>
      </c>
      <c r="FT112" s="357">
        <f>'Hodnocení '!FT108</f>
        <v>0</v>
      </c>
      <c r="FU112" s="357">
        <f>'Hodnocení '!FU108</f>
        <v>0</v>
      </c>
      <c r="FV112" s="357">
        <f>'Hodnocení '!FV108</f>
        <v>0</v>
      </c>
      <c r="FW112" s="357">
        <f>'Hodnocení '!FW108</f>
        <v>0</v>
      </c>
      <c r="FX112" s="357">
        <f>'Hodnocení '!FX108</f>
        <v>0</v>
      </c>
      <c r="FY112" s="357">
        <f>'Hodnocení '!FY108</f>
        <v>0</v>
      </c>
      <c r="FZ112" s="357">
        <f>'Hodnocení '!FZ108</f>
        <v>0</v>
      </c>
      <c r="GA112" s="357">
        <f>'Hodnocení '!GA108</f>
        <v>0</v>
      </c>
      <c r="GB112" s="357">
        <f>'Hodnocení '!GB108</f>
        <v>0</v>
      </c>
      <c r="GC112" s="357">
        <f>'Hodnocení '!GC108</f>
        <v>0</v>
      </c>
      <c r="GD112" s="357">
        <f>'Hodnocení '!GD108</f>
        <v>0</v>
      </c>
      <c r="GE112" s="357">
        <f>'Hodnocení '!GE108</f>
        <v>0</v>
      </c>
      <c r="GF112" s="357">
        <f>'Hodnocení '!GF108</f>
        <v>0</v>
      </c>
      <c r="GG112" s="357">
        <f>'Hodnocení '!GG108</f>
        <v>0</v>
      </c>
      <c r="GH112" s="357">
        <f>'Hodnocení '!GH108</f>
        <v>0</v>
      </c>
      <c r="GI112" s="357">
        <f>'Hodnocení '!GI108</f>
        <v>0</v>
      </c>
      <c r="GJ112" s="357">
        <f>'Hodnocení '!GJ108</f>
        <v>0</v>
      </c>
      <c r="GK112" s="357">
        <f>'Hodnocení '!GK108</f>
        <v>0</v>
      </c>
      <c r="GL112" s="357">
        <f>'Hodnocení '!GL108</f>
        <v>0</v>
      </c>
      <c r="GM112" s="357">
        <f>'Hodnocení '!GM108</f>
        <v>0</v>
      </c>
      <c r="GN112" s="357">
        <f>'Hodnocení '!GN108</f>
        <v>0</v>
      </c>
      <c r="GO112" s="357">
        <f>'Hodnocení '!GO108</f>
        <v>0</v>
      </c>
      <c r="GP112" s="357">
        <f>'Hodnocení '!GP108</f>
        <v>0</v>
      </c>
      <c r="GQ112" s="357">
        <f>'Hodnocení '!GQ108</f>
        <v>0</v>
      </c>
      <c r="GR112" s="357">
        <f>'Hodnocení '!GR108</f>
        <v>0</v>
      </c>
      <c r="GS112" s="357">
        <f>'Hodnocení '!GS108</f>
        <v>0</v>
      </c>
      <c r="GT112" s="357">
        <f>'Hodnocení '!GT108</f>
        <v>0</v>
      </c>
      <c r="GU112" s="357">
        <f>'Hodnocení '!GU108</f>
        <v>0</v>
      </c>
      <c r="GV112" s="357">
        <f>'Hodnocení '!GV108</f>
        <v>0</v>
      </c>
      <c r="GW112" s="357">
        <f>'Hodnocení '!GW108</f>
        <v>0</v>
      </c>
      <c r="GX112" s="357">
        <f>'Hodnocení '!GX108</f>
        <v>0</v>
      </c>
      <c r="GY112" s="357">
        <f>'Hodnocení '!GY108</f>
        <v>0</v>
      </c>
      <c r="GZ112" s="357">
        <f>'Hodnocení '!GZ108</f>
        <v>0</v>
      </c>
      <c r="HA112" s="357">
        <f>'Hodnocení '!HA108</f>
        <v>0</v>
      </c>
      <c r="HB112" s="357">
        <f>'Hodnocení '!HB108</f>
        <v>0</v>
      </c>
      <c r="HC112" s="357">
        <f>'Hodnocení '!HC108</f>
        <v>0</v>
      </c>
      <c r="HD112" s="357">
        <f>'Hodnocení '!HD108</f>
        <v>0</v>
      </c>
      <c r="HE112" s="357">
        <f>'Hodnocení '!HE108</f>
        <v>0</v>
      </c>
      <c r="HF112" s="357">
        <f>'Hodnocení '!HF108</f>
        <v>0</v>
      </c>
      <c r="HG112" s="357">
        <f>'Hodnocení '!HG108</f>
        <v>0</v>
      </c>
      <c r="HH112" s="357">
        <f>'Hodnocení '!HH108</f>
        <v>0</v>
      </c>
      <c r="HI112" s="357">
        <f>'Hodnocení '!HI108</f>
        <v>0</v>
      </c>
      <c r="HJ112" s="357">
        <f>'Hodnocení '!HJ108</f>
        <v>0</v>
      </c>
      <c r="HK112" s="357">
        <f>'Hodnocení '!HK108</f>
        <v>0</v>
      </c>
      <c r="HL112" s="357">
        <f>'Hodnocení '!HL108</f>
        <v>0</v>
      </c>
      <c r="HM112" s="357">
        <f>'Hodnocení '!HM108</f>
        <v>0</v>
      </c>
      <c r="HN112" s="357">
        <f>'Hodnocení '!HN108</f>
        <v>0</v>
      </c>
      <c r="HO112" s="357">
        <f>'Hodnocení '!HO108</f>
        <v>0</v>
      </c>
      <c r="HP112" s="357">
        <f>'Hodnocení '!HP108</f>
        <v>0</v>
      </c>
      <c r="HQ112" s="357">
        <f>'Hodnocení '!HQ108</f>
        <v>0</v>
      </c>
      <c r="HR112" s="357">
        <f>'Hodnocení '!HR108</f>
        <v>0</v>
      </c>
      <c r="HS112" s="357">
        <f>'Hodnocení '!HS108</f>
        <v>0</v>
      </c>
      <c r="HT112" s="357">
        <f>'Hodnocení '!HT108</f>
        <v>0</v>
      </c>
      <c r="HU112" s="357">
        <f>'Hodnocení '!HU108</f>
        <v>0</v>
      </c>
      <c r="HV112" s="357">
        <f>'Hodnocení '!HV108</f>
        <v>0</v>
      </c>
      <c r="HW112" s="357">
        <f>'Hodnocení '!HW108</f>
        <v>0</v>
      </c>
      <c r="HX112" s="357">
        <f>'Hodnocení '!HX108</f>
        <v>0</v>
      </c>
      <c r="HY112" s="357">
        <f>'Hodnocení '!HY108</f>
        <v>0</v>
      </c>
      <c r="HZ112" s="357">
        <f>'Hodnocení '!HZ108</f>
        <v>0</v>
      </c>
      <c r="IA112" s="357">
        <f>'Hodnocení '!IA108</f>
        <v>0</v>
      </c>
      <c r="IB112" s="357">
        <f>'Hodnocení '!IB108</f>
        <v>0</v>
      </c>
      <c r="IC112" s="357">
        <f>'Hodnocení '!IC108</f>
        <v>0</v>
      </c>
      <c r="ID112" s="357">
        <f>'Hodnocení '!ID108</f>
        <v>0</v>
      </c>
      <c r="IE112" s="357">
        <f>'Hodnocení '!IE108</f>
        <v>0</v>
      </c>
      <c r="IF112" s="357">
        <f>'Hodnocení '!IF108</f>
        <v>0</v>
      </c>
      <c r="IG112" s="357">
        <f>'Hodnocení '!IG108</f>
        <v>0</v>
      </c>
      <c r="IH112" s="357">
        <f>'Hodnocení '!IH108</f>
        <v>0</v>
      </c>
      <c r="II112" s="357">
        <f>'Hodnocení '!II108</f>
        <v>0</v>
      </c>
      <c r="IJ112" s="357">
        <f>'Hodnocení '!IJ108</f>
        <v>0</v>
      </c>
      <c r="IK112" s="357">
        <f>'Hodnocení '!IK108</f>
        <v>0</v>
      </c>
      <c r="IL112" s="357">
        <f>'Hodnocení '!IL108</f>
        <v>0</v>
      </c>
      <c r="IM112" s="357">
        <f>'Hodnocení '!IM108</f>
        <v>0</v>
      </c>
      <c r="IN112" s="357">
        <f>'Hodnocení '!IN108</f>
        <v>0</v>
      </c>
      <c r="IO112" s="357">
        <f>'Hodnocení '!IO108</f>
        <v>0</v>
      </c>
      <c r="IP112" s="357">
        <f>'Hodnocení '!IP108</f>
        <v>0</v>
      </c>
      <c r="IQ112" s="357">
        <f>'Hodnocení '!IQ108</f>
        <v>0</v>
      </c>
      <c r="IR112" s="357">
        <f>'Hodnocení '!IR108</f>
        <v>0</v>
      </c>
      <c r="IS112" s="357">
        <f>'Hodnocení '!IS108</f>
        <v>0</v>
      </c>
      <c r="IT112" s="357">
        <f>'Hodnocení '!IT108</f>
        <v>0</v>
      </c>
      <c r="IU112" s="357">
        <f>'Hodnocení '!IU108</f>
        <v>0</v>
      </c>
      <c r="IV112" s="357">
        <f>'Hodnocení '!IV108</f>
        <v>0</v>
      </c>
      <c r="IW112" s="357">
        <f>'Hodnocení '!IW108</f>
        <v>0</v>
      </c>
      <c r="IX112" s="357">
        <f>'Hodnocení '!IX108</f>
        <v>0</v>
      </c>
      <c r="IY112" s="357">
        <f>'Hodnocení '!IY108</f>
        <v>0</v>
      </c>
      <c r="IZ112" s="357">
        <f>'Hodnocení '!IZ108</f>
        <v>0</v>
      </c>
      <c r="JA112" s="357">
        <f>'Hodnocení '!JA108</f>
        <v>0</v>
      </c>
      <c r="JB112" s="357">
        <f>'Hodnocení '!JB108</f>
        <v>0</v>
      </c>
      <c r="JC112" s="357">
        <f>'Hodnocení '!JC108</f>
        <v>0</v>
      </c>
      <c r="JD112" s="357">
        <f>'Hodnocení '!JD108</f>
        <v>0</v>
      </c>
      <c r="JE112" s="357">
        <f>'Hodnocení '!JE108</f>
        <v>0</v>
      </c>
      <c r="JF112" s="357">
        <f>'Hodnocení '!JF108</f>
        <v>0</v>
      </c>
      <c r="JG112" s="357">
        <f>'Hodnocení '!JG108</f>
        <v>0</v>
      </c>
      <c r="JH112" s="772">
        <f>'Hodnocení '!JH108</f>
        <v>0</v>
      </c>
      <c r="JI112" s="315">
        <f>'Hodnocení '!JI108</f>
        <v>0</v>
      </c>
    </row>
    <row r="113" spans="1:276" s="583" customFormat="1" ht="12.75" hidden="1" x14ac:dyDescent="0.2">
      <c r="A113" s="594"/>
      <c r="B113" s="749" t="s">
        <v>2619</v>
      </c>
      <c r="C113" s="807">
        <f>'Hodnocení '!C109</f>
        <v>0</v>
      </c>
      <c r="D113" s="707">
        <f>'Hodnocení '!D109</f>
        <v>0</v>
      </c>
      <c r="E113" s="707">
        <f>'Hodnocení '!E109</f>
        <v>0</v>
      </c>
      <c r="F113" s="707">
        <f>'Hodnocení '!F109</f>
        <v>0</v>
      </c>
      <c r="G113" s="707">
        <f>'Hodnocení '!G109</f>
        <v>0</v>
      </c>
      <c r="H113" s="707">
        <f>'Hodnocení '!H109</f>
        <v>0</v>
      </c>
      <c r="I113" s="707">
        <f>'Hodnocení '!I109</f>
        <v>0</v>
      </c>
      <c r="J113" s="707">
        <f>'Hodnocení '!J109</f>
        <v>0</v>
      </c>
      <c r="K113" s="707">
        <f>'Hodnocení '!K109</f>
        <v>0</v>
      </c>
      <c r="L113" s="707">
        <f>'Hodnocení '!L109</f>
        <v>0</v>
      </c>
      <c r="M113" s="707">
        <f>'Hodnocení '!M109</f>
        <v>0</v>
      </c>
      <c r="N113" s="707">
        <f>'Hodnocení '!N109</f>
        <v>0</v>
      </c>
      <c r="O113" s="707">
        <f>'Hodnocení '!O109</f>
        <v>0</v>
      </c>
      <c r="P113" s="707">
        <f>'Hodnocení '!P109</f>
        <v>0</v>
      </c>
      <c r="Q113" s="707">
        <f>'Hodnocení '!Q109</f>
        <v>0</v>
      </c>
      <c r="R113" s="707">
        <f>'Hodnocení '!R109</f>
        <v>0</v>
      </c>
      <c r="S113" s="707">
        <f>'Hodnocení '!S109</f>
        <v>0</v>
      </c>
      <c r="T113" s="707">
        <f>'Hodnocení '!T109</f>
        <v>0</v>
      </c>
      <c r="U113" s="707">
        <f>'Hodnocení '!U109</f>
        <v>0</v>
      </c>
      <c r="V113" s="707">
        <f>'Hodnocení '!V109</f>
        <v>0</v>
      </c>
      <c r="W113" s="707">
        <f>'Hodnocení '!W109</f>
        <v>0</v>
      </c>
      <c r="X113" s="707">
        <f>'Hodnocení '!X109</f>
        <v>0</v>
      </c>
      <c r="Y113" s="707">
        <f>'Hodnocení '!Y109</f>
        <v>0</v>
      </c>
      <c r="Z113" s="707">
        <f>'Hodnocení '!Z109</f>
        <v>0</v>
      </c>
      <c r="AA113" s="707">
        <f>'Hodnocení '!AA109</f>
        <v>0</v>
      </c>
      <c r="AB113" s="707">
        <f>'Hodnocení '!AB109</f>
        <v>0</v>
      </c>
      <c r="AC113" s="707">
        <f>'Hodnocení '!AC109</f>
        <v>0</v>
      </c>
      <c r="AD113" s="707">
        <f>'Hodnocení '!AD109</f>
        <v>0</v>
      </c>
      <c r="AE113" s="707">
        <f>'Hodnocení '!AE109</f>
        <v>0</v>
      </c>
      <c r="AF113" s="708">
        <f>'Hodnocení '!AF109</f>
        <v>0</v>
      </c>
      <c r="AG113" s="707">
        <f>'Hodnocení '!AG109</f>
        <v>0</v>
      </c>
      <c r="AH113" s="707">
        <f>'Hodnocení '!AH109</f>
        <v>0</v>
      </c>
      <c r="AI113" s="707">
        <f>'Hodnocení '!AI109</f>
        <v>0</v>
      </c>
      <c r="AJ113" s="707">
        <f>'Hodnocení '!AJ109</f>
        <v>0</v>
      </c>
      <c r="AK113" s="707">
        <f>'Hodnocení '!AK109</f>
        <v>0</v>
      </c>
      <c r="AL113" s="707">
        <f>'Hodnocení '!AL109</f>
        <v>0</v>
      </c>
      <c r="AM113" s="707">
        <f>'Hodnocení '!AM109</f>
        <v>0</v>
      </c>
      <c r="AN113" s="707">
        <f>'Hodnocení '!AN109</f>
        <v>0</v>
      </c>
      <c r="AO113" s="707">
        <f>'Hodnocení '!AO109</f>
        <v>0</v>
      </c>
      <c r="AP113" s="707">
        <f>'Hodnocení '!AP109</f>
        <v>0</v>
      </c>
      <c r="AQ113" s="708" t="str">
        <f>'Hodnocení '!AQ109</f>
        <v>MZDY OST. THP V NEPROSPĚCH PPP</v>
      </c>
      <c r="AR113" s="708" t="str">
        <f>'Hodnocení '!AR109</f>
        <v>MZDY OST. THP V NEPROSPĚCH PPP</v>
      </c>
      <c r="AS113" s="707">
        <f>'Hodnocení '!AS109</f>
        <v>0</v>
      </c>
      <c r="AT113" s="707">
        <f>'Hodnocení '!AT109</f>
        <v>0</v>
      </c>
      <c r="AU113" s="707">
        <f>'Hodnocení '!AU109</f>
        <v>0</v>
      </c>
      <c r="AV113" s="707">
        <f>'Hodnocení '!AV109</f>
        <v>0</v>
      </c>
      <c r="AW113" s="707">
        <f>'Hodnocení '!AW109</f>
        <v>0</v>
      </c>
      <c r="AX113" s="707">
        <f>'Hodnocení '!AX109</f>
        <v>0</v>
      </c>
      <c r="AY113" s="707">
        <f>'Hodnocení '!AY109</f>
        <v>0</v>
      </c>
      <c r="AZ113" s="707">
        <f>'Hodnocení '!AZ109</f>
        <v>0</v>
      </c>
      <c r="BA113" s="707">
        <f>'Hodnocení '!BA109</f>
        <v>0</v>
      </c>
      <c r="BB113" s="707">
        <f>'Hodnocení '!BB109</f>
        <v>0</v>
      </c>
      <c r="BC113" s="707">
        <f>'Hodnocení '!BC109</f>
        <v>0</v>
      </c>
      <c r="BD113" s="707">
        <f>'Hodnocení '!BD109</f>
        <v>0</v>
      </c>
      <c r="BE113" s="707">
        <f>'Hodnocení '!BE109</f>
        <v>0</v>
      </c>
      <c r="BF113" s="707">
        <f>'Hodnocení '!BF109</f>
        <v>0</v>
      </c>
      <c r="BG113" s="707">
        <f>'Hodnocení '!BG109</f>
        <v>0</v>
      </c>
      <c r="BH113" s="707">
        <f>'Hodnocení '!BH109</f>
        <v>0</v>
      </c>
      <c r="BI113" s="707">
        <f>'Hodnocení '!BI109</f>
        <v>0</v>
      </c>
      <c r="BJ113" s="707">
        <f>'Hodnocení '!BJ109</f>
        <v>0</v>
      </c>
      <c r="BK113" s="707">
        <f>'Hodnocení '!BK109</f>
        <v>0</v>
      </c>
      <c r="BL113" s="707">
        <f>'Hodnocení '!BL109</f>
        <v>0</v>
      </c>
      <c r="BM113" s="707">
        <f>'Hodnocení '!BM109</f>
        <v>0</v>
      </c>
      <c r="BN113" s="707">
        <f>'Hodnocení '!BN109</f>
        <v>0</v>
      </c>
      <c r="BO113" s="707">
        <f>'Hodnocení '!BO109</f>
        <v>0</v>
      </c>
      <c r="BP113" s="707">
        <f>'Hodnocení '!BP109</f>
        <v>0</v>
      </c>
      <c r="BQ113" s="707">
        <f>'Hodnocení '!BQ109</f>
        <v>0</v>
      </c>
      <c r="BR113" s="707">
        <f>'Hodnocení '!BR109</f>
        <v>0</v>
      </c>
      <c r="BS113" s="707">
        <f>'Hodnocení '!BS109</f>
        <v>0</v>
      </c>
      <c r="BT113" s="707">
        <f>'Hodnocení '!BT109</f>
        <v>0</v>
      </c>
      <c r="BU113" s="707">
        <f>'Hodnocení '!BU109</f>
        <v>0</v>
      </c>
      <c r="BV113" s="707">
        <f>'Hodnocení '!BV109</f>
        <v>0</v>
      </c>
      <c r="BW113" s="707">
        <f>'Hodnocení '!BW109</f>
        <v>0</v>
      </c>
      <c r="BX113" s="707">
        <f>'Hodnocení '!BX109</f>
        <v>0</v>
      </c>
      <c r="BY113" s="707">
        <f>'Hodnocení '!BY109</f>
        <v>0</v>
      </c>
      <c r="BZ113" s="707">
        <f>'Hodnocení '!BZ109</f>
        <v>0</v>
      </c>
      <c r="CA113" s="707">
        <f>'Hodnocení '!CA109</f>
        <v>0</v>
      </c>
      <c r="CB113" s="707">
        <f>'Hodnocení '!CB109</f>
        <v>0</v>
      </c>
      <c r="CC113" s="707">
        <f>'Hodnocení '!CC109</f>
        <v>0</v>
      </c>
      <c r="CD113" s="707">
        <f>'Hodnocení '!CD109</f>
        <v>0</v>
      </c>
      <c r="CE113" s="707">
        <f>'Hodnocení '!CE109</f>
        <v>0</v>
      </c>
      <c r="CF113" s="707">
        <f>'Hodnocení '!CF109</f>
        <v>0</v>
      </c>
      <c r="CG113" s="707">
        <f>'Hodnocení '!CG109</f>
        <v>0</v>
      </c>
      <c r="CH113" s="707">
        <f>'Hodnocení '!CH109</f>
        <v>0</v>
      </c>
      <c r="CI113" s="707">
        <f>'Hodnocení '!CI109</f>
        <v>0</v>
      </c>
      <c r="CJ113" s="707">
        <f>'Hodnocení '!CJ109</f>
        <v>0</v>
      </c>
      <c r="CK113" s="707">
        <f>'Hodnocení '!CK109</f>
        <v>0</v>
      </c>
      <c r="CL113" s="707">
        <f>'Hodnocení '!CL109</f>
        <v>0</v>
      </c>
      <c r="CM113" s="707">
        <f>'Hodnocení '!CM109</f>
        <v>0</v>
      </c>
      <c r="CN113" s="707">
        <f>'Hodnocení '!CN109</f>
        <v>0</v>
      </c>
      <c r="CO113" s="707">
        <f>'Hodnocení '!CO109</f>
        <v>0</v>
      </c>
      <c r="CP113" s="707">
        <f>'Hodnocení '!CP109</f>
        <v>0</v>
      </c>
      <c r="CQ113" s="707">
        <f>'Hodnocení '!CQ109</f>
        <v>0</v>
      </c>
      <c r="CR113" s="707">
        <f>'Hodnocení '!CR109</f>
        <v>0</v>
      </c>
      <c r="CS113" s="707">
        <f>'Hodnocení '!CS109</f>
        <v>0</v>
      </c>
      <c r="CT113" s="707">
        <f>'Hodnocení '!CT109</f>
        <v>0</v>
      </c>
      <c r="CU113" s="707">
        <f>'Hodnocení '!CU109</f>
        <v>0</v>
      </c>
      <c r="CV113" s="707">
        <f>'Hodnocení '!CV109</f>
        <v>0</v>
      </c>
      <c r="CW113" s="707">
        <f>'Hodnocení '!CW109</f>
        <v>0</v>
      </c>
      <c r="CX113" s="707">
        <f>'Hodnocení '!CX109</f>
        <v>0</v>
      </c>
      <c r="CY113" s="707">
        <f>'Hodnocení '!CY109</f>
        <v>0</v>
      </c>
      <c r="CZ113" s="707">
        <f>'Hodnocení '!CZ109</f>
        <v>0</v>
      </c>
      <c r="DA113" s="707">
        <f>'Hodnocení '!DA109</f>
        <v>0</v>
      </c>
      <c r="DB113" s="707">
        <f>'Hodnocení '!DB109</f>
        <v>0</v>
      </c>
      <c r="DC113" s="707">
        <f>'Hodnocení '!DC109</f>
        <v>0</v>
      </c>
      <c r="DD113" s="707">
        <f>'Hodnocení '!DD109</f>
        <v>0</v>
      </c>
      <c r="DE113" s="707">
        <f>'Hodnocení '!DE109</f>
        <v>0</v>
      </c>
      <c r="DF113" s="707">
        <f>'Hodnocení '!DF109</f>
        <v>0</v>
      </c>
      <c r="DG113" s="707">
        <f>'Hodnocení '!DG109</f>
        <v>0</v>
      </c>
      <c r="DH113" s="707">
        <f>'Hodnocení '!DH109</f>
        <v>0</v>
      </c>
      <c r="DI113" s="707">
        <f>'Hodnocení '!DI109</f>
        <v>0</v>
      </c>
      <c r="DJ113" s="707">
        <f>'Hodnocení '!DJ109</f>
        <v>0</v>
      </c>
      <c r="DK113" s="707">
        <f>'Hodnocení '!DK109</f>
        <v>0</v>
      </c>
      <c r="DL113" s="707">
        <f>'Hodnocení '!DL109</f>
        <v>0</v>
      </c>
      <c r="DM113" s="707">
        <f>'Hodnocení '!DM109</f>
        <v>0</v>
      </c>
      <c r="DN113" s="707">
        <f>'Hodnocení '!DN109</f>
        <v>0</v>
      </c>
      <c r="DO113" s="707">
        <f>'Hodnocení '!DO109</f>
        <v>0</v>
      </c>
      <c r="DP113" s="707">
        <f>'Hodnocení '!DP109</f>
        <v>0</v>
      </c>
      <c r="DQ113" s="707">
        <f>'Hodnocení '!DQ109</f>
        <v>0</v>
      </c>
      <c r="DR113" s="707">
        <f>'Hodnocení '!DR109</f>
        <v>0</v>
      </c>
      <c r="DS113" s="707">
        <f>'Hodnocení '!DS109</f>
        <v>0</v>
      </c>
      <c r="DT113" s="707">
        <f>'Hodnocení '!DT109</f>
        <v>0</v>
      </c>
      <c r="DU113" s="707">
        <f>'Hodnocení '!DU109</f>
        <v>0</v>
      </c>
      <c r="DV113" s="707">
        <f>'Hodnocení '!DV109</f>
        <v>0</v>
      </c>
      <c r="DW113" s="707">
        <f>'Hodnocení '!DW109</f>
        <v>0</v>
      </c>
      <c r="DX113" s="707">
        <f>'Hodnocení '!DX109</f>
        <v>0</v>
      </c>
      <c r="DY113" s="707">
        <f>'Hodnocení '!DY109</f>
        <v>0</v>
      </c>
      <c r="DZ113" s="707">
        <f>'Hodnocení '!DZ109</f>
        <v>0</v>
      </c>
      <c r="EA113" s="707">
        <f>'Hodnocení '!EA109</f>
        <v>0</v>
      </c>
      <c r="EB113" s="707">
        <f>'Hodnocení '!EB109</f>
        <v>0</v>
      </c>
      <c r="EC113" s="707">
        <f>'Hodnocení '!EC109</f>
        <v>0</v>
      </c>
      <c r="ED113" s="707">
        <f>'Hodnocení '!ED109</f>
        <v>0</v>
      </c>
      <c r="EE113" s="707">
        <f>'Hodnocení '!EE109</f>
        <v>0</v>
      </c>
      <c r="EF113" s="707">
        <f>'Hodnocení '!EF109</f>
        <v>0</v>
      </c>
      <c r="EG113" s="707">
        <f>'Hodnocení '!EG109</f>
        <v>0</v>
      </c>
      <c r="EH113" s="707">
        <f>'Hodnocení '!EH109</f>
        <v>0</v>
      </c>
      <c r="EI113" s="707">
        <f>'Hodnocení '!EI109</f>
        <v>0</v>
      </c>
      <c r="EJ113" s="707">
        <f>'Hodnocení '!EJ109</f>
        <v>0</v>
      </c>
      <c r="EK113" s="707">
        <f>'Hodnocení '!EK109</f>
        <v>0</v>
      </c>
      <c r="EL113" s="707">
        <f>'Hodnocení '!EL109</f>
        <v>0</v>
      </c>
      <c r="EM113" s="707">
        <f>'Hodnocení '!EM109</f>
        <v>0</v>
      </c>
      <c r="EN113" s="707">
        <f>'Hodnocení '!EN109</f>
        <v>0</v>
      </c>
      <c r="EO113" s="707">
        <f>'Hodnocení '!EO109</f>
        <v>0</v>
      </c>
      <c r="EP113" s="707">
        <f>'Hodnocení '!EP109</f>
        <v>0</v>
      </c>
      <c r="EQ113" s="708">
        <f>'Hodnocení '!EQ109</f>
        <v>0</v>
      </c>
      <c r="ER113" s="707">
        <f>'Hodnocení '!ER109</f>
        <v>0</v>
      </c>
      <c r="ES113" s="707">
        <f>'Hodnocení '!ES109</f>
        <v>0</v>
      </c>
      <c r="ET113" s="707">
        <f>'Hodnocení '!ET109</f>
        <v>0</v>
      </c>
      <c r="EU113" s="707">
        <f>'Hodnocení '!EU109</f>
        <v>0</v>
      </c>
      <c r="EV113" s="707">
        <f>'Hodnocení '!EV109</f>
        <v>0</v>
      </c>
      <c r="EW113" s="707">
        <f>'Hodnocení '!EW109</f>
        <v>0</v>
      </c>
      <c r="EX113" s="707">
        <f>'Hodnocení '!EX109</f>
        <v>0</v>
      </c>
      <c r="EY113" s="709" t="str">
        <f>'Hodnocení '!EY109</f>
        <v>snížen podíl obce</v>
      </c>
      <c r="EZ113" s="707">
        <f>'Hodnocení '!EZ109</f>
        <v>0</v>
      </c>
      <c r="FA113" s="707" t="str">
        <f>'Hodnocení '!FA109</f>
        <v>velký dluh</v>
      </c>
      <c r="FB113" s="707" t="str">
        <f>'Hodnocení '!FB109</f>
        <v>velký dluh</v>
      </c>
      <c r="FC113" s="709" t="str">
        <f>'Hodnocení '!FC109</f>
        <v>snížen podíl obce</v>
      </c>
      <c r="FD113" s="707">
        <f>'Hodnocení '!FD109</f>
        <v>0</v>
      </c>
      <c r="FE113" s="707">
        <f>'Hodnocení '!FE109</f>
        <v>0</v>
      </c>
      <c r="FF113" s="707">
        <f>'Hodnocení '!FF109</f>
        <v>0</v>
      </c>
      <c r="FG113" s="707">
        <f>'Hodnocení '!FG109</f>
        <v>0</v>
      </c>
      <c r="FH113" s="707">
        <f>'Hodnocení '!FH109</f>
        <v>0</v>
      </c>
      <c r="FI113" s="707">
        <f>'Hodnocení '!FI109</f>
        <v>0</v>
      </c>
      <c r="FJ113" s="707">
        <f>'Hodnocení '!FJ109</f>
        <v>0</v>
      </c>
      <c r="FK113" s="707">
        <f>'Hodnocení '!FK109</f>
        <v>0</v>
      </c>
      <c r="FL113" s="707">
        <f>'Hodnocení '!FL109</f>
        <v>0</v>
      </c>
      <c r="FM113" s="707">
        <f>'Hodnocení '!FM109</f>
        <v>0</v>
      </c>
      <c r="FN113" s="707">
        <f>'Hodnocení '!FN109</f>
        <v>0</v>
      </c>
      <c r="FO113" s="707">
        <f>'Hodnocení '!FO109</f>
        <v>0</v>
      </c>
      <c r="FP113" s="707">
        <f>'Hodnocení '!FP109</f>
        <v>0</v>
      </c>
      <c r="FQ113" s="707">
        <f>'Hodnocení '!FQ109</f>
        <v>0</v>
      </c>
      <c r="FR113" s="710" t="str">
        <f>'Hodnocení '!FR109</f>
        <v>zvýšen podíl obce</v>
      </c>
      <c r="FS113" s="707">
        <f>'Hodnocení '!FS109</f>
        <v>0</v>
      </c>
      <c r="FT113" s="707">
        <f>'Hodnocení '!FT109</f>
        <v>0</v>
      </c>
      <c r="FU113" s="707">
        <f>'Hodnocení '!FU109</f>
        <v>0</v>
      </c>
      <c r="FV113" s="707">
        <f>'Hodnocení '!FV109</f>
        <v>0</v>
      </c>
      <c r="FW113" s="707">
        <f>'Hodnocení '!FW109</f>
        <v>0</v>
      </c>
      <c r="FX113" s="707">
        <f>'Hodnocení '!FX109</f>
        <v>0</v>
      </c>
      <c r="FY113" s="707">
        <f>'Hodnocení '!FY109</f>
        <v>0</v>
      </c>
      <c r="FZ113" s="709" t="str">
        <f>'Hodnocení '!FZ109</f>
        <v>snížen podíl obce</v>
      </c>
      <c r="GA113" s="709" t="str">
        <f>'Hodnocení '!GA109</f>
        <v>snížen podíl obce</v>
      </c>
      <c r="GB113" s="707">
        <f>'Hodnocení '!GB109</f>
        <v>0</v>
      </c>
      <c r="GC113" s="707">
        <f>'Hodnocení '!GC109</f>
        <v>0</v>
      </c>
      <c r="GD113" s="710" t="str">
        <f>'Hodnocení '!GD109</f>
        <v>navýšen podíl obce</v>
      </c>
      <c r="GE113" s="709" t="str">
        <f>'Hodnocení '!GE109</f>
        <v>snížen podíl obce</v>
      </c>
      <c r="GF113" s="709" t="str">
        <f>'Hodnocení '!GF109</f>
        <v>snížen podíl obce</v>
      </c>
      <c r="GG113" s="709" t="str">
        <f>'Hodnocení '!GG109</f>
        <v>snížen podíl obce</v>
      </c>
      <c r="GH113" s="709" t="str">
        <f>'Hodnocení '!GH109</f>
        <v>snížen podíl obce</v>
      </c>
      <c r="GI113" s="709" t="str">
        <f>'Hodnocení '!GI109</f>
        <v>snížen podíl obce</v>
      </c>
      <c r="GJ113" s="707">
        <f>'Hodnocení '!GJ109</f>
        <v>0</v>
      </c>
      <c r="GK113" s="707">
        <f>'Hodnocení '!GK109</f>
        <v>0</v>
      </c>
      <c r="GL113" s="707">
        <f>'Hodnocení '!GL109</f>
        <v>0</v>
      </c>
      <c r="GM113" s="707">
        <f>'Hodnocení '!GM109</f>
        <v>0</v>
      </c>
      <c r="GN113" s="707">
        <f>'Hodnocení '!GN109</f>
        <v>0</v>
      </c>
      <c r="GO113" s="707">
        <f>'Hodnocení '!GO109</f>
        <v>0</v>
      </c>
      <c r="GP113" s="707">
        <f>'Hodnocení '!GP109</f>
        <v>0</v>
      </c>
      <c r="GQ113" s="707">
        <f>'Hodnocení '!GQ109</f>
        <v>0</v>
      </c>
      <c r="GR113" s="707">
        <f>'Hodnocení '!GR109</f>
        <v>0</v>
      </c>
      <c r="GS113" s="707">
        <f>'Hodnocení '!GS109</f>
        <v>0</v>
      </c>
      <c r="GT113" s="709" t="str">
        <f>'Hodnocení '!GT109</f>
        <v>snížen podíl obce</v>
      </c>
      <c r="GU113" s="707">
        <f>'Hodnocení '!GU109</f>
        <v>0</v>
      </c>
      <c r="GV113" s="709" t="str">
        <f>'Hodnocení '!GV109</f>
        <v>snížen podíl obce</v>
      </c>
      <c r="GW113" s="707" t="str">
        <f>'Hodnocení '!GW109</f>
        <v>dluh</v>
      </c>
      <c r="GX113" s="707">
        <f>'Hodnocení '!GX109</f>
        <v>0</v>
      </c>
      <c r="GY113" s="710" t="str">
        <f>'Hodnocení '!GY109</f>
        <v>navýšen podíl obce</v>
      </c>
      <c r="GZ113" s="710" t="str">
        <f>'Hodnocení '!GZ109</f>
        <v>navýšen podíl obce</v>
      </c>
      <c r="HA113" s="709" t="str">
        <f>'Hodnocení '!HA109</f>
        <v>snížen podíl obce</v>
      </c>
      <c r="HB113" s="709" t="str">
        <f>'Hodnocení '!HB109</f>
        <v>snížen podíl obce</v>
      </c>
      <c r="HC113" s="707">
        <f>'Hodnocení '!HC109</f>
        <v>0</v>
      </c>
      <c r="HD113" s="707">
        <f>'Hodnocení '!HD109</f>
        <v>0</v>
      </c>
      <c r="HE113" s="707">
        <f>'Hodnocení '!HE109</f>
        <v>0</v>
      </c>
      <c r="HF113" s="707">
        <f>'Hodnocení '!HF109</f>
        <v>0</v>
      </c>
      <c r="HG113" s="707">
        <f>'Hodnocení '!HG109</f>
        <v>0</v>
      </c>
      <c r="HH113" s="707">
        <f>'Hodnocení '!HH109</f>
        <v>0</v>
      </c>
      <c r="HI113" s="707">
        <f>'Hodnocení '!HI109</f>
        <v>0</v>
      </c>
      <c r="HJ113" s="707">
        <f>'Hodnocení '!HJ109</f>
        <v>0</v>
      </c>
      <c r="HK113" s="707">
        <f>'Hodnocení '!HK109</f>
        <v>0</v>
      </c>
      <c r="HL113" s="711">
        <f>'Hodnocení '!HL109</f>
        <v>0.5</v>
      </c>
      <c r="HM113" s="712">
        <f>'Hodnocení '!HM109</f>
        <v>-0.20000000000000284</v>
      </c>
      <c r="HN113" s="712">
        <f>'Hodnocení '!HN109</f>
        <v>0.10000000000000009</v>
      </c>
      <c r="HO113" s="712">
        <f>'Hodnocení '!HO109</f>
        <v>-0.39999999999999991</v>
      </c>
      <c r="HP113" s="712">
        <f>'Hodnocení '!HP109</f>
        <v>0.29999999999999716</v>
      </c>
      <c r="HQ113" s="712">
        <f>'Hodnocení '!HQ109</f>
        <v>0.39999999999999991</v>
      </c>
      <c r="HR113" s="713">
        <f>'Hodnocení '!HR109</f>
        <v>1.5850000000000009</v>
      </c>
      <c r="HS113" s="713">
        <f>'Hodnocení '!HS109</f>
        <v>1.5299999999999994</v>
      </c>
      <c r="HT113" s="712">
        <f>'Hodnocení '!HT109</f>
        <v>0</v>
      </c>
      <c r="HU113" s="712">
        <f>'Hodnocení '!HU109</f>
        <v>0</v>
      </c>
      <c r="HV113" s="714">
        <f>'Hodnocení '!HV109</f>
        <v>3</v>
      </c>
      <c r="HW113" s="714">
        <f>'Hodnocení '!HW109</f>
        <v>-3.9700000000000006</v>
      </c>
      <c r="HX113" s="714">
        <f>'Hodnocení '!HX109</f>
        <v>5.57</v>
      </c>
      <c r="HY113" s="712">
        <f>'Hodnocení '!HY109</f>
        <v>-0.20000000000000284</v>
      </c>
      <c r="HZ113" s="712">
        <f>'Hodnocení '!HZ109</f>
        <v>0</v>
      </c>
      <c r="IA113" s="712">
        <f>'Hodnocení '!IA109</f>
        <v>0</v>
      </c>
      <c r="IB113" s="712">
        <f>'Hodnocení '!IB109</f>
        <v>1</v>
      </c>
      <c r="IC113" s="712">
        <f>'Hodnocení '!IC109</f>
        <v>0.20000000000000284</v>
      </c>
      <c r="ID113" s="712">
        <f>'Hodnocení '!ID109</f>
        <v>-0.19999999999999929</v>
      </c>
      <c r="IE113" s="712">
        <f>'Hodnocení '!IE109</f>
        <v>1</v>
      </c>
      <c r="IF113" s="712">
        <f>'Hodnocení '!IF109</f>
        <v>0.5</v>
      </c>
      <c r="IG113" s="715">
        <f>'Hodnocení '!IG109</f>
        <v>0</v>
      </c>
      <c r="IH113" s="712">
        <f>'Hodnocení '!IH109</f>
        <v>0.12999999999999989</v>
      </c>
      <c r="II113" s="712">
        <f>'Hodnocení '!II109</f>
        <v>0.85999999999999943</v>
      </c>
      <c r="IJ113" s="716">
        <f>'Hodnocení '!IJ109</f>
        <v>0.2</v>
      </c>
      <c r="IK113" s="716">
        <f>'Hodnocení '!IK109</f>
        <v>0.3</v>
      </c>
      <c r="IL113" s="712">
        <f>'Hodnocení '!IL109</f>
        <v>2</v>
      </c>
      <c r="IM113" s="712">
        <f>'Hodnocení '!IM109</f>
        <v>7.0000000000000062E-2</v>
      </c>
      <c r="IN113" s="712">
        <f>'Hodnocení '!IN109</f>
        <v>-0.32000000000000028</v>
      </c>
      <c r="IO113" s="712">
        <f>'Hodnocení '!IO109</f>
        <v>0.29999999999999982</v>
      </c>
      <c r="IP113" s="712">
        <f>'Hodnocení '!IP109</f>
        <v>0</v>
      </c>
      <c r="IQ113" s="712">
        <f>'Hodnocení '!IQ109</f>
        <v>0.29999999999999716</v>
      </c>
      <c r="IR113" s="712">
        <f>'Hodnocení '!IR109</f>
        <v>-0.30000000000000004</v>
      </c>
      <c r="IS113" s="712">
        <f>'Hodnocení '!IS109</f>
        <v>3.1999999999999886</v>
      </c>
      <c r="IT113" s="712">
        <f>'Hodnocení '!IT109</f>
        <v>0.60000000000000142</v>
      </c>
      <c r="IU113" s="712">
        <f>'Hodnocení '!IU109</f>
        <v>0.29999999999999982</v>
      </c>
      <c r="IV113" s="712">
        <f>'Hodnocení '!IV109</f>
        <v>0.30000000000000071</v>
      </c>
      <c r="IW113" s="712">
        <f>'Hodnocení '!IW109</f>
        <v>0</v>
      </c>
      <c r="IX113" s="712">
        <f>'Hodnocení '!IX109</f>
        <v>0.39999999999999991</v>
      </c>
      <c r="IY113" s="715">
        <f>'Hodnocení '!IY109</f>
        <v>-4</v>
      </c>
      <c r="IZ113" s="714">
        <f>'Hodnocení '!IZ109</f>
        <v>5.5</v>
      </c>
      <c r="JA113" s="712">
        <f>'Hodnocení '!JA109</f>
        <v>0.15000000000000036</v>
      </c>
      <c r="JB113" s="712">
        <f>'Hodnocení '!JB109</f>
        <v>0.29999999999999982</v>
      </c>
      <c r="JC113" s="712">
        <f>'Hodnocení '!JC109</f>
        <v>0.29999999999999982</v>
      </c>
      <c r="JD113" s="712">
        <f>'Hodnocení '!JD109</f>
        <v>0</v>
      </c>
      <c r="JE113" s="712">
        <f>'Hodnocení '!JE109</f>
        <v>-0.40000000000000036</v>
      </c>
      <c r="JF113" s="715">
        <f>'Hodnocení '!JF109</f>
        <v>7.3700000000000045</v>
      </c>
      <c r="JG113" s="712">
        <f>'Hodnocení '!JG109</f>
        <v>-1</v>
      </c>
      <c r="JH113" s="808">
        <f>'Hodnocení '!JH109</f>
        <v>-2</v>
      </c>
      <c r="JI113" s="765">
        <f>'Hodnocení '!JI109</f>
        <v>0</v>
      </c>
    </row>
    <row r="114" spans="1:276" s="583" customFormat="1" ht="12.75" x14ac:dyDescent="0.2">
      <c r="A114" s="594"/>
      <c r="B114" s="749" t="s">
        <v>2807</v>
      </c>
      <c r="C114" s="833">
        <f>IF(C173&lt;0,C173,0)</f>
        <v>0</v>
      </c>
      <c r="D114" s="833">
        <f t="shared" ref="D114:BP114" si="60">IF(D173&lt;0,D173,0)</f>
        <v>0</v>
      </c>
      <c r="E114" s="833">
        <f t="shared" si="60"/>
        <v>0</v>
      </c>
      <c r="F114" s="833">
        <f t="shared" si="60"/>
        <v>0</v>
      </c>
      <c r="G114" s="833">
        <f t="shared" si="60"/>
        <v>0</v>
      </c>
      <c r="H114" s="833">
        <f t="shared" si="60"/>
        <v>-224405.08431410964</v>
      </c>
      <c r="I114" s="833">
        <f t="shared" si="60"/>
        <v>-26053.395617412869</v>
      </c>
      <c r="J114" s="833">
        <f t="shared" si="60"/>
        <v>0</v>
      </c>
      <c r="K114" s="833">
        <f t="shared" si="60"/>
        <v>0</v>
      </c>
      <c r="L114" s="833">
        <f t="shared" si="60"/>
        <v>0</v>
      </c>
      <c r="M114" s="833">
        <f t="shared" si="60"/>
        <v>0</v>
      </c>
      <c r="N114" s="833">
        <f t="shared" si="60"/>
        <v>-274966.87921164371</v>
      </c>
      <c r="O114" s="833">
        <f t="shared" si="60"/>
        <v>0</v>
      </c>
      <c r="P114" s="833">
        <f t="shared" si="60"/>
        <v>0</v>
      </c>
      <c r="Q114" s="833">
        <f t="shared" si="60"/>
        <v>0</v>
      </c>
      <c r="R114" s="833">
        <f t="shared" si="60"/>
        <v>0</v>
      </c>
      <c r="S114" s="833">
        <f t="shared" si="60"/>
        <v>0</v>
      </c>
      <c r="T114" s="833">
        <f t="shared" si="60"/>
        <v>0</v>
      </c>
      <c r="U114" s="833">
        <f t="shared" si="60"/>
        <v>-26923.707216046052</v>
      </c>
      <c r="V114" s="833">
        <f t="shared" si="60"/>
        <v>0</v>
      </c>
      <c r="W114" s="833">
        <f t="shared" si="60"/>
        <v>0</v>
      </c>
      <c r="X114" s="833">
        <f t="shared" si="60"/>
        <v>-16146.614701946266</v>
      </c>
      <c r="Y114" s="833">
        <f t="shared" si="60"/>
        <v>0</v>
      </c>
      <c r="Z114" s="833">
        <f t="shared" si="60"/>
        <v>0</v>
      </c>
      <c r="AA114" s="833">
        <f t="shared" si="60"/>
        <v>0</v>
      </c>
      <c r="AB114" s="833">
        <f t="shared" si="60"/>
        <v>-363634.29815955041</v>
      </c>
      <c r="AC114" s="833">
        <f t="shared" ref="AC114" si="61">IF(AC173&lt;0,AC173,0)</f>
        <v>-121172.28649231768</v>
      </c>
      <c r="AD114" s="833">
        <f t="shared" si="60"/>
        <v>0</v>
      </c>
      <c r="AE114" s="833">
        <f t="shared" si="60"/>
        <v>0</v>
      </c>
      <c r="AF114" s="833">
        <f t="shared" si="60"/>
        <v>0</v>
      </c>
      <c r="AG114" s="833">
        <f t="shared" si="60"/>
        <v>0</v>
      </c>
      <c r="AH114" s="833">
        <f t="shared" si="60"/>
        <v>0</v>
      </c>
      <c r="AI114" s="833">
        <f t="shared" si="60"/>
        <v>0</v>
      </c>
      <c r="AJ114" s="833">
        <f t="shared" si="60"/>
        <v>0</v>
      </c>
      <c r="AK114" s="833">
        <f t="shared" si="60"/>
        <v>0</v>
      </c>
      <c r="AL114" s="833">
        <f t="shared" si="60"/>
        <v>0</v>
      </c>
      <c r="AM114" s="833">
        <f t="shared" si="60"/>
        <v>0</v>
      </c>
      <c r="AN114" s="833">
        <f t="shared" si="60"/>
        <v>-149107.04361178004</v>
      </c>
      <c r="AO114" s="833">
        <f t="shared" si="60"/>
        <v>-539318.53018070571</v>
      </c>
      <c r="AP114" s="833">
        <f t="shared" si="60"/>
        <v>0</v>
      </c>
      <c r="AQ114" s="833">
        <f t="shared" si="60"/>
        <v>-214179.65525761235</v>
      </c>
      <c r="AR114" s="833">
        <f t="shared" si="60"/>
        <v>0</v>
      </c>
      <c r="AS114" s="833">
        <f t="shared" si="60"/>
        <v>-42022.703109752329</v>
      </c>
      <c r="AT114" s="833">
        <f t="shared" si="60"/>
        <v>-347057.0189933381</v>
      </c>
      <c r="AU114" s="833">
        <f t="shared" si="60"/>
        <v>0</v>
      </c>
      <c r="AV114" s="833">
        <f t="shared" si="60"/>
        <v>0</v>
      </c>
      <c r="AW114" s="833">
        <f t="shared" si="60"/>
        <v>0</v>
      </c>
      <c r="AX114" s="833">
        <f t="shared" si="60"/>
        <v>-319337.92195627885</v>
      </c>
      <c r="AY114" s="833">
        <f t="shared" si="60"/>
        <v>-26240.518908160739</v>
      </c>
      <c r="AZ114" s="833">
        <f t="shared" si="60"/>
        <v>0</v>
      </c>
      <c r="BA114" s="833">
        <f t="shared" si="60"/>
        <v>0</v>
      </c>
      <c r="BB114" s="833">
        <f t="shared" si="60"/>
        <v>0</v>
      </c>
      <c r="BC114" s="833">
        <f t="shared" si="60"/>
        <v>0</v>
      </c>
      <c r="BD114" s="833">
        <f t="shared" si="60"/>
        <v>0</v>
      </c>
      <c r="BE114" s="833">
        <f t="shared" si="60"/>
        <v>-31068.263563299784</v>
      </c>
      <c r="BF114" s="833">
        <f t="shared" si="60"/>
        <v>0</v>
      </c>
      <c r="BG114" s="833">
        <f t="shared" si="60"/>
        <v>0</v>
      </c>
      <c r="BH114" s="833">
        <f t="shared" si="60"/>
        <v>0</v>
      </c>
      <c r="BI114" s="833">
        <f t="shared" si="60"/>
        <v>0</v>
      </c>
      <c r="BJ114" s="833">
        <f t="shared" si="60"/>
        <v>0</v>
      </c>
      <c r="BK114" s="833">
        <f t="shared" si="60"/>
        <v>0</v>
      </c>
      <c r="BL114" s="833">
        <f t="shared" si="60"/>
        <v>0</v>
      </c>
      <c r="BM114" s="833">
        <f t="shared" si="60"/>
        <v>0</v>
      </c>
      <c r="BN114" s="833">
        <f t="shared" si="60"/>
        <v>0</v>
      </c>
      <c r="BO114" s="833">
        <f t="shared" si="60"/>
        <v>-45949.841258846223</v>
      </c>
      <c r="BP114" s="833">
        <f t="shared" si="60"/>
        <v>0</v>
      </c>
      <c r="BQ114" s="833">
        <f t="shared" ref="BQ114:EB114" si="62">IF(BQ173&lt;0,BQ173,0)</f>
        <v>0</v>
      </c>
      <c r="BR114" s="833">
        <f t="shared" si="62"/>
        <v>0</v>
      </c>
      <c r="BS114" s="833">
        <f t="shared" si="62"/>
        <v>-59590.747627129545</v>
      </c>
      <c r="BT114" s="833">
        <f t="shared" si="62"/>
        <v>0</v>
      </c>
      <c r="BU114" s="833">
        <f t="shared" si="62"/>
        <v>-198037.0475549493</v>
      </c>
      <c r="BV114" s="833">
        <f t="shared" si="62"/>
        <v>0</v>
      </c>
      <c r="BW114" s="833">
        <f t="shared" si="62"/>
        <v>-223686.21951628802</v>
      </c>
      <c r="BX114" s="833">
        <f t="shared" si="62"/>
        <v>-450192.65498403925</v>
      </c>
      <c r="BY114" s="833">
        <f t="shared" si="62"/>
        <v>0</v>
      </c>
      <c r="BZ114" s="833">
        <f t="shared" si="62"/>
        <v>-200228.01369104453</v>
      </c>
      <c r="CA114" s="833">
        <f t="shared" si="62"/>
        <v>0</v>
      </c>
      <c r="CB114" s="833">
        <f t="shared" si="62"/>
        <v>-350938.59770315269</v>
      </c>
      <c r="CC114" s="833">
        <f t="shared" si="62"/>
        <v>0</v>
      </c>
      <c r="CD114" s="833">
        <f t="shared" si="62"/>
        <v>0</v>
      </c>
      <c r="CE114" s="833">
        <f t="shared" si="62"/>
        <v>0</v>
      </c>
      <c r="CF114" s="833">
        <f t="shared" si="62"/>
        <v>0</v>
      </c>
      <c r="CG114" s="833">
        <f t="shared" si="62"/>
        <v>0</v>
      </c>
      <c r="CH114" s="833">
        <f t="shared" si="62"/>
        <v>0</v>
      </c>
      <c r="CI114" s="833">
        <f t="shared" si="62"/>
        <v>0</v>
      </c>
      <c r="CJ114" s="833">
        <f t="shared" si="62"/>
        <v>0</v>
      </c>
      <c r="CK114" s="833">
        <f t="shared" si="62"/>
        <v>0</v>
      </c>
      <c r="CL114" s="833">
        <f t="shared" si="62"/>
        <v>0</v>
      </c>
      <c r="CM114" s="833">
        <f t="shared" si="62"/>
        <v>0</v>
      </c>
      <c r="CN114" s="833">
        <f t="shared" si="62"/>
        <v>-60666.273151180241</v>
      </c>
      <c r="CO114" s="833">
        <f t="shared" si="62"/>
        <v>-18156.360431688838</v>
      </c>
      <c r="CP114" s="833">
        <f t="shared" si="62"/>
        <v>-37464.077231992967</v>
      </c>
      <c r="CQ114" s="833">
        <f t="shared" si="62"/>
        <v>0</v>
      </c>
      <c r="CR114" s="833">
        <f t="shared" si="62"/>
        <v>0</v>
      </c>
      <c r="CS114" s="833">
        <f t="shared" si="62"/>
        <v>0</v>
      </c>
      <c r="CT114" s="833">
        <f t="shared" si="62"/>
        <v>-1224159.1026913729</v>
      </c>
      <c r="CU114" s="833">
        <f t="shared" si="62"/>
        <v>0</v>
      </c>
      <c r="CV114" s="833">
        <f t="shared" si="62"/>
        <v>0</v>
      </c>
      <c r="CW114" s="833">
        <f t="shared" si="62"/>
        <v>0</v>
      </c>
      <c r="CX114" s="833">
        <f t="shared" si="62"/>
        <v>0</v>
      </c>
      <c r="CY114" s="833">
        <f t="shared" si="62"/>
        <v>0</v>
      </c>
      <c r="CZ114" s="833">
        <f t="shared" si="62"/>
        <v>0</v>
      </c>
      <c r="DA114" s="833">
        <f t="shared" si="62"/>
        <v>0</v>
      </c>
      <c r="DB114" s="833">
        <f t="shared" si="62"/>
        <v>-21199.508865635493</v>
      </c>
      <c r="DC114" s="833">
        <f t="shared" si="62"/>
        <v>-47699.004185785772</v>
      </c>
      <c r="DD114" s="833">
        <f t="shared" si="62"/>
        <v>0</v>
      </c>
      <c r="DE114" s="833">
        <f t="shared" si="62"/>
        <v>0</v>
      </c>
      <c r="DF114" s="833">
        <f t="shared" si="62"/>
        <v>0</v>
      </c>
      <c r="DG114" s="833">
        <f t="shared" si="62"/>
        <v>0</v>
      </c>
      <c r="DH114" s="833">
        <f t="shared" si="62"/>
        <v>0</v>
      </c>
      <c r="DI114" s="833">
        <f t="shared" si="62"/>
        <v>0</v>
      </c>
      <c r="DJ114" s="833">
        <f t="shared" si="62"/>
        <v>0</v>
      </c>
      <c r="DK114" s="833">
        <f t="shared" si="62"/>
        <v>0</v>
      </c>
      <c r="DL114" s="833">
        <f t="shared" si="62"/>
        <v>-624903.64070929075</v>
      </c>
      <c r="DM114" s="833">
        <f t="shared" si="62"/>
        <v>0</v>
      </c>
      <c r="DN114" s="833">
        <f t="shared" si="62"/>
        <v>0</v>
      </c>
      <c r="DO114" s="833">
        <f t="shared" si="62"/>
        <v>0</v>
      </c>
      <c r="DP114" s="833">
        <f t="shared" si="62"/>
        <v>0</v>
      </c>
      <c r="DQ114" s="833">
        <f t="shared" si="62"/>
        <v>0</v>
      </c>
      <c r="DR114" s="833">
        <f t="shared" si="62"/>
        <v>0</v>
      </c>
      <c r="DS114" s="833">
        <f t="shared" si="62"/>
        <v>0</v>
      </c>
      <c r="DT114" s="833">
        <f t="shared" si="62"/>
        <v>0</v>
      </c>
      <c r="DU114" s="833">
        <f t="shared" si="62"/>
        <v>0</v>
      </c>
      <c r="DV114" s="833">
        <f t="shared" si="62"/>
        <v>0</v>
      </c>
      <c r="DW114" s="833">
        <f t="shared" si="62"/>
        <v>0</v>
      </c>
      <c r="DX114" s="833">
        <f t="shared" si="62"/>
        <v>0</v>
      </c>
      <c r="DY114" s="833">
        <f t="shared" si="62"/>
        <v>0</v>
      </c>
      <c r="DZ114" s="833">
        <f t="shared" si="62"/>
        <v>0</v>
      </c>
      <c r="EA114" s="833">
        <f t="shared" si="62"/>
        <v>-170729.95882401383</v>
      </c>
      <c r="EB114" s="833">
        <f t="shared" si="62"/>
        <v>0</v>
      </c>
      <c r="EC114" s="833">
        <f t="shared" ref="EC114:ES114" si="63">IF(EC173&lt;0,EC173,0)</f>
        <v>0</v>
      </c>
      <c r="ED114" s="833">
        <f t="shared" si="63"/>
        <v>0</v>
      </c>
      <c r="EE114" s="833">
        <f t="shared" si="63"/>
        <v>0</v>
      </c>
      <c r="EF114" s="833">
        <f t="shared" si="63"/>
        <v>0</v>
      </c>
      <c r="EG114" s="833">
        <f t="shared" si="63"/>
        <v>0</v>
      </c>
      <c r="EH114" s="833">
        <f t="shared" si="63"/>
        <v>0</v>
      </c>
      <c r="EI114" s="833">
        <f t="shared" si="63"/>
        <v>0</v>
      </c>
      <c r="EJ114" s="833">
        <f t="shared" si="63"/>
        <v>-13312.090283216909</v>
      </c>
      <c r="EK114" s="833">
        <f t="shared" si="63"/>
        <v>-325210.80367470393</v>
      </c>
      <c r="EL114" s="833">
        <f t="shared" si="63"/>
        <v>0</v>
      </c>
      <c r="EM114" s="833">
        <f t="shared" si="63"/>
        <v>0</v>
      </c>
      <c r="EN114" s="833">
        <f t="shared" si="63"/>
        <v>0</v>
      </c>
      <c r="EO114" s="833">
        <f t="shared" si="63"/>
        <v>-14715.802073168219</v>
      </c>
      <c r="EP114" s="833">
        <f t="shared" si="63"/>
        <v>0</v>
      </c>
      <c r="EQ114" s="833">
        <f t="shared" si="63"/>
        <v>-328800.89817640465</v>
      </c>
      <c r="ER114" s="833">
        <f t="shared" si="63"/>
        <v>0</v>
      </c>
      <c r="ES114" s="833">
        <f t="shared" si="63"/>
        <v>0</v>
      </c>
      <c r="ET114" s="707"/>
      <c r="EU114" s="707"/>
      <c r="EV114" s="707"/>
      <c r="EW114" s="707"/>
      <c r="EX114" s="707"/>
      <c r="EY114" s="709"/>
      <c r="EZ114" s="707"/>
      <c r="FA114" s="707"/>
      <c r="FB114" s="707"/>
      <c r="FC114" s="709"/>
      <c r="FD114" s="707"/>
      <c r="FE114" s="707"/>
      <c r="FF114" s="707"/>
      <c r="FG114" s="707"/>
      <c r="FH114" s="707"/>
      <c r="FI114" s="707"/>
      <c r="FJ114" s="707"/>
      <c r="FK114" s="707"/>
      <c r="FL114" s="707"/>
      <c r="FM114" s="707"/>
      <c r="FN114" s="707"/>
      <c r="FO114" s="707"/>
      <c r="FP114" s="707"/>
      <c r="FQ114" s="707"/>
      <c r="FR114" s="710"/>
      <c r="FS114" s="707"/>
      <c r="FT114" s="707"/>
      <c r="FU114" s="707"/>
      <c r="FV114" s="707"/>
      <c r="FW114" s="707"/>
      <c r="FX114" s="707"/>
      <c r="FY114" s="707"/>
      <c r="FZ114" s="709"/>
      <c r="GA114" s="709"/>
      <c r="GB114" s="707"/>
      <c r="GC114" s="707"/>
      <c r="GD114" s="710"/>
      <c r="GE114" s="709"/>
      <c r="GF114" s="709"/>
      <c r="GG114" s="709"/>
      <c r="GH114" s="709"/>
      <c r="GI114" s="709"/>
      <c r="GJ114" s="707"/>
      <c r="GK114" s="707"/>
      <c r="GL114" s="707"/>
      <c r="GM114" s="707"/>
      <c r="GN114" s="707"/>
      <c r="GO114" s="707"/>
      <c r="GP114" s="707"/>
      <c r="GQ114" s="707"/>
      <c r="GR114" s="707"/>
      <c r="GS114" s="707"/>
      <c r="GT114" s="709"/>
      <c r="GU114" s="707"/>
      <c r="GV114" s="709"/>
      <c r="GW114" s="707"/>
      <c r="GX114" s="707"/>
      <c r="GY114" s="710"/>
      <c r="GZ114" s="710"/>
      <c r="HA114" s="709"/>
      <c r="HB114" s="709"/>
      <c r="HC114" s="707"/>
      <c r="HD114" s="707"/>
      <c r="HE114" s="707"/>
      <c r="HF114" s="707"/>
      <c r="HG114" s="707"/>
      <c r="HH114" s="707"/>
      <c r="HI114" s="707"/>
      <c r="HJ114" s="707"/>
      <c r="HK114" s="707"/>
      <c r="HL114" s="711"/>
      <c r="HM114" s="712"/>
      <c r="HN114" s="712"/>
      <c r="HO114" s="712"/>
      <c r="HP114" s="712"/>
      <c r="HQ114" s="712"/>
      <c r="HR114" s="713"/>
      <c r="HS114" s="713"/>
      <c r="HT114" s="712"/>
      <c r="HU114" s="712"/>
      <c r="HV114" s="714"/>
      <c r="HW114" s="714"/>
      <c r="HX114" s="714"/>
      <c r="HY114" s="712"/>
      <c r="HZ114" s="712"/>
      <c r="IA114" s="712"/>
      <c r="IB114" s="712"/>
      <c r="IC114" s="712"/>
      <c r="ID114" s="712"/>
      <c r="IE114" s="712"/>
      <c r="IF114" s="712"/>
      <c r="IG114" s="715"/>
      <c r="IH114" s="712"/>
      <c r="II114" s="712"/>
      <c r="IJ114" s="716"/>
      <c r="IK114" s="716"/>
      <c r="IL114" s="712"/>
      <c r="IM114" s="712"/>
      <c r="IN114" s="712"/>
      <c r="IO114" s="712"/>
      <c r="IP114" s="712"/>
      <c r="IQ114" s="712"/>
      <c r="IR114" s="712"/>
      <c r="IS114" s="712"/>
      <c r="IT114" s="712"/>
      <c r="IU114" s="712"/>
      <c r="IV114" s="712"/>
      <c r="IW114" s="712"/>
      <c r="IX114" s="712"/>
      <c r="IY114" s="715"/>
      <c r="IZ114" s="714"/>
      <c r="JA114" s="712"/>
      <c r="JB114" s="712"/>
      <c r="JC114" s="712"/>
      <c r="JD114" s="712"/>
      <c r="JE114" s="712"/>
      <c r="JF114" s="715"/>
      <c r="JG114" s="712"/>
      <c r="JH114" s="808"/>
      <c r="JI114" s="765"/>
    </row>
    <row r="115" spans="1:276" s="586" customFormat="1" x14ac:dyDescent="0.25">
      <c r="A115" s="836"/>
      <c r="B115" s="750" t="s">
        <v>2600</v>
      </c>
      <c r="C115" s="809">
        <f>'Hodnocení '!C111</f>
        <v>0</v>
      </c>
      <c r="D115" s="717">
        <f>'Hodnocení '!D111</f>
        <v>0</v>
      </c>
      <c r="E115" s="717">
        <f>'Hodnocení '!E111</f>
        <v>0</v>
      </c>
      <c r="F115" s="717">
        <f>'Hodnocení '!F111</f>
        <v>0</v>
      </c>
      <c r="G115" s="717">
        <f>'Hodnocení '!G111</f>
        <v>0</v>
      </c>
      <c r="H115" s="717">
        <f>'Hodnocení '!H111</f>
        <v>0</v>
      </c>
      <c r="I115" s="717">
        <f>'Hodnocení '!I111</f>
        <v>0</v>
      </c>
      <c r="J115" s="717">
        <f>'Hodnocení '!J111</f>
        <v>0</v>
      </c>
      <c r="K115" s="717">
        <f>'Hodnocení '!K111</f>
        <v>0</v>
      </c>
      <c r="L115" s="717">
        <f>'Hodnocení '!L111</f>
        <v>0</v>
      </c>
      <c r="M115" s="717">
        <f>'Hodnocení '!M111</f>
        <v>0</v>
      </c>
      <c r="N115" s="717">
        <f>'Hodnocení '!N111</f>
        <v>0</v>
      </c>
      <c r="O115" s="717">
        <f>'Hodnocení '!O111</f>
        <v>-40000</v>
      </c>
      <c r="P115" s="717">
        <f>'Hodnocení '!P111</f>
        <v>-117000</v>
      </c>
      <c r="Q115" s="717">
        <f>'Hodnocení '!Q111</f>
        <v>0</v>
      </c>
      <c r="R115" s="717">
        <f>'Hodnocení '!R111</f>
        <v>-61000</v>
      </c>
      <c r="S115" s="717">
        <f>'Hodnocení '!S111</f>
        <v>0</v>
      </c>
      <c r="T115" s="717">
        <f>'Hodnocení '!T111</f>
        <v>0</v>
      </c>
      <c r="U115" s="717">
        <f>'Hodnocení '!U111</f>
        <v>0</v>
      </c>
      <c r="V115" s="717">
        <f>'Hodnocení '!V111</f>
        <v>-740000</v>
      </c>
      <c r="W115" s="717">
        <f>'Hodnocení '!W111</f>
        <v>0</v>
      </c>
      <c r="X115" s="717">
        <f>'Hodnocení '!X111</f>
        <v>0</v>
      </c>
      <c r="Y115" s="717">
        <f>'Hodnocení '!Y111</f>
        <v>0</v>
      </c>
      <c r="Z115" s="717">
        <f>'Hodnocení '!Z111</f>
        <v>0</v>
      </c>
      <c r="AA115" s="717">
        <f>'Hodnocení '!AA111</f>
        <v>0</v>
      </c>
      <c r="AB115" s="717">
        <f>'Hodnocení '!AB111</f>
        <v>0</v>
      </c>
      <c r="AC115" s="717">
        <f>'Hodnocení '!AC111</f>
        <v>158842</v>
      </c>
      <c r="AD115" s="717">
        <f>'Hodnocení '!AD111</f>
        <v>0</v>
      </c>
      <c r="AE115" s="717">
        <f>'Hodnocení '!AE111</f>
        <v>0</v>
      </c>
      <c r="AF115" s="717">
        <f>'Hodnocení '!AF111</f>
        <v>0</v>
      </c>
      <c r="AG115" s="717">
        <f>'Hodnocení '!AG111</f>
        <v>0</v>
      </c>
      <c r="AH115" s="717">
        <f>'Hodnocení '!AH111</f>
        <v>0</v>
      </c>
      <c r="AI115" s="717">
        <f>'Hodnocení '!AI111</f>
        <v>0</v>
      </c>
      <c r="AJ115" s="717">
        <f>'Hodnocení '!AJ111</f>
        <v>0</v>
      </c>
      <c r="AK115" s="717">
        <f>'Hodnocení '!AK111</f>
        <v>0</v>
      </c>
      <c r="AL115" s="717">
        <f>'Hodnocení '!AL111</f>
        <v>0</v>
      </c>
      <c r="AM115" s="717">
        <f>'Hodnocení '!AM111</f>
        <v>0</v>
      </c>
      <c r="AN115" s="717">
        <f>'Hodnocení '!AN111</f>
        <v>0</v>
      </c>
      <c r="AO115" s="717">
        <f>'Hodnocení '!AO111</f>
        <v>-20000</v>
      </c>
      <c r="AP115" s="717">
        <f>'Hodnocení '!AP111</f>
        <v>0</v>
      </c>
      <c r="AQ115" s="717">
        <f>'Hodnocení '!AQ111</f>
        <v>0</v>
      </c>
      <c r="AR115" s="717">
        <f>'Hodnocení '!AR111</f>
        <v>0</v>
      </c>
      <c r="AS115" s="717">
        <f>'Hodnocení '!AS111</f>
        <v>0</v>
      </c>
      <c r="AT115" s="717">
        <f>'Hodnocení '!AT111</f>
        <v>0</v>
      </c>
      <c r="AU115" s="717">
        <f>'Hodnocení '!AU111</f>
        <v>0</v>
      </c>
      <c r="AV115" s="717">
        <f>'Hodnocení '!AV111</f>
        <v>0</v>
      </c>
      <c r="AW115" s="717">
        <f>'Hodnocení '!AW111</f>
        <v>0</v>
      </c>
      <c r="AX115" s="717">
        <f>'Hodnocení '!AX111</f>
        <v>0</v>
      </c>
      <c r="AY115" s="717">
        <f>'Hodnocení '!AY111</f>
        <v>0</v>
      </c>
      <c r="AZ115" s="717">
        <f>'Hodnocení '!AZ111</f>
        <v>0</v>
      </c>
      <c r="BA115" s="717">
        <f>'Hodnocení '!BA111</f>
        <v>0</v>
      </c>
      <c r="BB115" s="717">
        <f>'Hodnocení '!BB111</f>
        <v>0</v>
      </c>
      <c r="BC115" s="717">
        <f>'Hodnocení '!BC111</f>
        <v>0</v>
      </c>
      <c r="BD115" s="717">
        <f>'Hodnocení '!BD111</f>
        <v>0</v>
      </c>
      <c r="BE115" s="717">
        <f>'Hodnocení '!BE111</f>
        <v>0</v>
      </c>
      <c r="BF115" s="717">
        <f>'Hodnocení '!BF111</f>
        <v>0</v>
      </c>
      <c r="BG115" s="717">
        <f>'Hodnocení '!BG111</f>
        <v>0</v>
      </c>
      <c r="BH115" s="717">
        <f>'Hodnocení '!BH111</f>
        <v>0</v>
      </c>
      <c r="BI115" s="717">
        <f>'Hodnocení '!BI111</f>
        <v>0</v>
      </c>
      <c r="BJ115" s="717">
        <f>'Hodnocení '!BJ111</f>
        <v>0</v>
      </c>
      <c r="BK115" s="717">
        <f>'Hodnocení '!BK111</f>
        <v>0</v>
      </c>
      <c r="BL115" s="717">
        <f>'Hodnocení '!BL111</f>
        <v>0</v>
      </c>
      <c r="BM115" s="717">
        <f>'Hodnocení '!BM111</f>
        <v>0</v>
      </c>
      <c r="BN115" s="717">
        <f>'Hodnocení '!BN111</f>
        <v>-16000</v>
      </c>
      <c r="BO115" s="717">
        <f>'Hodnocení '!BO111</f>
        <v>-26000</v>
      </c>
      <c r="BP115" s="717">
        <f>'Hodnocení '!BP111</f>
        <v>0</v>
      </c>
      <c r="BQ115" s="717">
        <f>'Hodnocení '!BQ111</f>
        <v>0</v>
      </c>
      <c r="BR115" s="717">
        <f>'Hodnocení '!BR111</f>
        <v>0</v>
      </c>
      <c r="BS115" s="717">
        <f>'Hodnocení '!BS111</f>
        <v>-10000</v>
      </c>
      <c r="BT115" s="717">
        <f>'Hodnocení '!BT111</f>
        <v>0</v>
      </c>
      <c r="BU115" s="717">
        <f>'Hodnocení '!BU111</f>
        <v>0</v>
      </c>
      <c r="BV115" s="717">
        <f>'Hodnocení '!BV111</f>
        <v>0</v>
      </c>
      <c r="BW115" s="717">
        <f>'Hodnocení '!BW111</f>
        <v>0</v>
      </c>
      <c r="BX115" s="717">
        <f>'Hodnocení '!BX111</f>
        <v>500000</v>
      </c>
      <c r="BY115" s="717">
        <f>'Hodnocení '!BY111</f>
        <v>0</v>
      </c>
      <c r="BZ115" s="717">
        <f>'Hodnocení '!BZ111</f>
        <v>0</v>
      </c>
      <c r="CA115" s="717">
        <f>'Hodnocení '!CA111</f>
        <v>0</v>
      </c>
      <c r="CB115" s="717">
        <f>'Hodnocení '!CB111</f>
        <v>0</v>
      </c>
      <c r="CC115" s="717">
        <f>'Hodnocení '!CC111</f>
        <v>0</v>
      </c>
      <c r="CD115" s="717">
        <f>'Hodnocení '!CD111</f>
        <v>-24000</v>
      </c>
      <c r="CE115" s="717">
        <f>'Hodnocení '!CE111</f>
        <v>0</v>
      </c>
      <c r="CF115" s="717">
        <f>'Hodnocení '!CF111</f>
        <v>0</v>
      </c>
      <c r="CG115" s="717">
        <f>'Hodnocení '!CG111</f>
        <v>26000</v>
      </c>
      <c r="CH115" s="717">
        <f>'Hodnocení '!CH111</f>
        <v>0</v>
      </c>
      <c r="CI115" s="717">
        <f>'Hodnocení '!CI111</f>
        <v>0</v>
      </c>
      <c r="CJ115" s="717">
        <f>'Hodnocení '!CJ111</f>
        <v>0</v>
      </c>
      <c r="CK115" s="717">
        <f>'Hodnocení '!CK111</f>
        <v>-76000</v>
      </c>
      <c r="CL115" s="717">
        <f>'Hodnocení '!CL111</f>
        <v>189565.27958516646</v>
      </c>
      <c r="CM115" s="717">
        <f>'Hodnocení '!CM111</f>
        <v>0</v>
      </c>
      <c r="CN115" s="717">
        <f>'Hodnocení '!CN111</f>
        <v>0</v>
      </c>
      <c r="CO115" s="717">
        <f>'Hodnocení '!CO111</f>
        <v>0</v>
      </c>
      <c r="CP115" s="717">
        <f>'Hodnocení '!CP111</f>
        <v>0</v>
      </c>
      <c r="CQ115" s="717">
        <f>'Hodnocení '!CQ111</f>
        <v>0</v>
      </c>
      <c r="CR115" s="717">
        <f>'Hodnocení '!CR111</f>
        <v>0</v>
      </c>
      <c r="CS115" s="717">
        <f>'Hodnocení '!CS111</f>
        <v>0</v>
      </c>
      <c r="CT115" s="717">
        <f>'Hodnocení '!CT111</f>
        <v>0</v>
      </c>
      <c r="CU115" s="717">
        <f>'Hodnocení '!CU111</f>
        <v>0</v>
      </c>
      <c r="CV115" s="717">
        <f>'Hodnocení '!CV111</f>
        <v>0</v>
      </c>
      <c r="CW115" s="717">
        <f>'Hodnocení '!CW111</f>
        <v>0</v>
      </c>
      <c r="CX115" s="717">
        <f>'Hodnocení '!CX111</f>
        <v>0</v>
      </c>
      <c r="CY115" s="717">
        <f>'Hodnocení '!CY111</f>
        <v>0</v>
      </c>
      <c r="CZ115" s="717">
        <f>'Hodnocení '!CZ111</f>
        <v>0</v>
      </c>
      <c r="DA115" s="717">
        <f>'Hodnocení '!DA111</f>
        <v>0</v>
      </c>
      <c r="DB115" s="717">
        <f>'Hodnocení '!DB111</f>
        <v>0</v>
      </c>
      <c r="DC115" s="717">
        <f>'Hodnocení '!DC111</f>
        <v>0</v>
      </c>
      <c r="DD115" s="717">
        <f>'Hodnocení '!DD111</f>
        <v>0</v>
      </c>
      <c r="DE115" s="717">
        <f>'Hodnocení '!DE111</f>
        <v>0</v>
      </c>
      <c r="DF115" s="717">
        <f>'Hodnocení '!DF111</f>
        <v>0</v>
      </c>
      <c r="DG115" s="717">
        <f>'Hodnocení '!DG111</f>
        <v>0</v>
      </c>
      <c r="DH115" s="717">
        <f>'Hodnocení '!DH111</f>
        <v>0</v>
      </c>
      <c r="DI115" s="717">
        <f>'Hodnocení '!DI111</f>
        <v>0</v>
      </c>
      <c r="DJ115" s="717">
        <f>'Hodnocení '!DJ111</f>
        <v>0</v>
      </c>
      <c r="DK115" s="717">
        <f>'Hodnocení '!DK111</f>
        <v>0</v>
      </c>
      <c r="DL115" s="717">
        <f>'Hodnocení '!DL111</f>
        <v>0</v>
      </c>
      <c r="DM115" s="717">
        <f>'Hodnocení '!DM111</f>
        <v>-61000</v>
      </c>
      <c r="DN115" s="717">
        <f>'Hodnocení '!DN111</f>
        <v>-85000</v>
      </c>
      <c r="DO115" s="717">
        <f>'Hodnocení '!DO111</f>
        <v>0</v>
      </c>
      <c r="DP115" s="717">
        <f>'Hodnocení '!DP111</f>
        <v>0</v>
      </c>
      <c r="DQ115" s="717">
        <f>'Hodnocení '!DQ111</f>
        <v>-74000</v>
      </c>
      <c r="DR115" s="717">
        <f>'Hodnocení '!DR111</f>
        <v>0</v>
      </c>
      <c r="DS115" s="717">
        <f>'Hodnocení '!DS111</f>
        <v>0</v>
      </c>
      <c r="DT115" s="717">
        <f>'Hodnocení '!DT111</f>
        <v>0</v>
      </c>
      <c r="DU115" s="717">
        <f>'Hodnocení '!DU111</f>
        <v>0</v>
      </c>
      <c r="DV115" s="717">
        <f>'Hodnocení '!DV111</f>
        <v>0</v>
      </c>
      <c r="DW115" s="717">
        <f>'Hodnocení '!DW111</f>
        <v>0</v>
      </c>
      <c r="DX115" s="717">
        <f>'Hodnocení '!DX111</f>
        <v>0</v>
      </c>
      <c r="DY115" s="717">
        <f>'Hodnocení '!DY111</f>
        <v>0</v>
      </c>
      <c r="DZ115" s="717">
        <f>'Hodnocení '!DZ111</f>
        <v>0</v>
      </c>
      <c r="EA115" s="717">
        <f>'Hodnocení '!EA111</f>
        <v>0</v>
      </c>
      <c r="EB115" s="717">
        <f>'Hodnocení '!EB111</f>
        <v>0</v>
      </c>
      <c r="EC115" s="717">
        <f>'Hodnocení '!EC111</f>
        <v>0</v>
      </c>
      <c r="ED115" s="717">
        <f>'Hodnocení '!ED111</f>
        <v>0</v>
      </c>
      <c r="EE115" s="717">
        <f>'Hodnocení '!EE111</f>
        <v>0</v>
      </c>
      <c r="EF115" s="717">
        <f>'Hodnocení '!EF111</f>
        <v>0</v>
      </c>
      <c r="EG115" s="717">
        <f>'Hodnocení '!EG111</f>
        <v>0</v>
      </c>
      <c r="EH115" s="717">
        <f>'Hodnocení '!EH111</f>
        <v>0</v>
      </c>
      <c r="EI115" s="717">
        <f>'Hodnocení '!EI111</f>
        <v>0</v>
      </c>
      <c r="EJ115" s="717">
        <f>'Hodnocení '!EJ111</f>
        <v>0</v>
      </c>
      <c r="EK115" s="717">
        <f>'Hodnocení '!EK111</f>
        <v>0</v>
      </c>
      <c r="EL115" s="717">
        <f>'Hodnocení '!EL111</f>
        <v>0</v>
      </c>
      <c r="EM115" s="717">
        <f>'Hodnocení '!EM111</f>
        <v>-52000</v>
      </c>
      <c r="EN115" s="717">
        <f>'Hodnocení '!EN111</f>
        <v>0</v>
      </c>
      <c r="EO115" s="717">
        <f>'Hodnocení '!EO111</f>
        <v>0</v>
      </c>
      <c r="EP115" s="717">
        <f>'Hodnocení '!EP111</f>
        <v>0</v>
      </c>
      <c r="EQ115" s="717">
        <f>'Hodnocení '!EQ111</f>
        <v>0</v>
      </c>
      <c r="ER115" s="717">
        <f>'Hodnocení '!ER111</f>
        <v>0</v>
      </c>
      <c r="ES115" s="717">
        <f>'Hodnocení '!ES111</f>
        <v>0</v>
      </c>
      <c r="ET115" s="717">
        <f>'Hodnocení '!ET111</f>
        <v>0</v>
      </c>
      <c r="EU115" s="717">
        <f>'Hodnocení '!EU111</f>
        <v>0</v>
      </c>
      <c r="EV115" s="717">
        <f>'Hodnocení '!EV111</f>
        <v>0</v>
      </c>
      <c r="EW115" s="717">
        <f>'Hodnocení '!EW111</f>
        <v>0</v>
      </c>
      <c r="EX115" s="717">
        <f>'Hodnocení '!EX111</f>
        <v>0</v>
      </c>
      <c r="EY115" s="717">
        <f>'Hodnocení '!EY111</f>
        <v>0</v>
      </c>
      <c r="EZ115" s="717">
        <f>'Hodnocení '!EZ111</f>
        <v>0</v>
      </c>
      <c r="FA115" s="717">
        <f>'Hodnocení '!FA111</f>
        <v>0</v>
      </c>
      <c r="FB115" s="717">
        <f>'Hodnocení '!FB111</f>
        <v>0</v>
      </c>
      <c r="FC115" s="717">
        <f>'Hodnocení '!FC111</f>
        <v>0</v>
      </c>
      <c r="FD115" s="717">
        <f>'Hodnocení '!FD111</f>
        <v>0</v>
      </c>
      <c r="FE115" s="717">
        <f>'Hodnocení '!FE111</f>
        <v>0</v>
      </c>
      <c r="FF115" s="717">
        <f>'Hodnocení '!FF111</f>
        <v>0</v>
      </c>
      <c r="FG115" s="717">
        <f>'Hodnocení '!FG111</f>
        <v>0</v>
      </c>
      <c r="FH115" s="717">
        <f>'Hodnocení '!FH111</f>
        <v>0</v>
      </c>
      <c r="FI115" s="717">
        <f>'Hodnocení '!FI111</f>
        <v>0</v>
      </c>
      <c r="FJ115" s="717">
        <f>'Hodnocení '!FJ111</f>
        <v>0</v>
      </c>
      <c r="FK115" s="717">
        <f>'Hodnocení '!FK111</f>
        <v>0</v>
      </c>
      <c r="FL115" s="717">
        <f>'Hodnocení '!FL111</f>
        <v>0</v>
      </c>
      <c r="FM115" s="717">
        <f>'Hodnocení '!FM111</f>
        <v>0</v>
      </c>
      <c r="FN115" s="717">
        <f>'Hodnocení '!FN111</f>
        <v>0</v>
      </c>
      <c r="FO115" s="717">
        <f>'Hodnocení '!FO111</f>
        <v>0</v>
      </c>
      <c r="FP115" s="717">
        <f>'Hodnocení '!FP111</f>
        <v>0</v>
      </c>
      <c r="FQ115" s="717">
        <f>'Hodnocení '!FQ111</f>
        <v>0</v>
      </c>
      <c r="FR115" s="717">
        <f>'Hodnocení '!FR111</f>
        <v>0</v>
      </c>
      <c r="FS115" s="717">
        <f>'Hodnocení '!FS111</f>
        <v>0</v>
      </c>
      <c r="FT115" s="717">
        <f>'Hodnocení '!FT111</f>
        <v>0</v>
      </c>
      <c r="FU115" s="717">
        <f>'Hodnocení '!FU111</f>
        <v>0</v>
      </c>
      <c r="FV115" s="717">
        <f>'Hodnocení '!FV111</f>
        <v>0</v>
      </c>
      <c r="FW115" s="717">
        <f>'Hodnocení '!FW111</f>
        <v>0</v>
      </c>
      <c r="FX115" s="717">
        <f>'Hodnocení '!FX111</f>
        <v>0</v>
      </c>
      <c r="FY115" s="717">
        <f>'Hodnocení '!FY111</f>
        <v>0</v>
      </c>
      <c r="FZ115" s="717">
        <f>'Hodnocení '!FZ111</f>
        <v>0</v>
      </c>
      <c r="GA115" s="717">
        <f>'Hodnocení '!GA111</f>
        <v>0</v>
      </c>
      <c r="GB115" s="717">
        <f>'Hodnocení '!GB111</f>
        <v>0</v>
      </c>
      <c r="GC115" s="717">
        <f>'Hodnocení '!GC111</f>
        <v>0</v>
      </c>
      <c r="GD115" s="717">
        <f>'Hodnocení '!GD111</f>
        <v>0</v>
      </c>
      <c r="GE115" s="717">
        <f>'Hodnocení '!GE111</f>
        <v>0</v>
      </c>
      <c r="GF115" s="717">
        <f>'Hodnocení '!GF111</f>
        <v>0</v>
      </c>
      <c r="GG115" s="717">
        <f>'Hodnocení '!GG111</f>
        <v>0</v>
      </c>
      <c r="GH115" s="717">
        <f>'Hodnocení '!GH111</f>
        <v>0</v>
      </c>
      <c r="GI115" s="717">
        <f>'Hodnocení '!GI111</f>
        <v>0</v>
      </c>
      <c r="GJ115" s="717">
        <f>'Hodnocení '!GJ111</f>
        <v>0</v>
      </c>
      <c r="GK115" s="717">
        <f>'Hodnocení '!GK111</f>
        <v>0</v>
      </c>
      <c r="GL115" s="717">
        <f>'Hodnocení '!GL111</f>
        <v>0</v>
      </c>
      <c r="GM115" s="717">
        <f>'Hodnocení '!GM111</f>
        <v>0</v>
      </c>
      <c r="GN115" s="717">
        <f>'Hodnocení '!GN111</f>
        <v>0</v>
      </c>
      <c r="GO115" s="717">
        <f>'Hodnocení '!GO111</f>
        <v>0</v>
      </c>
      <c r="GP115" s="717">
        <f>'Hodnocení '!GP111</f>
        <v>0</v>
      </c>
      <c r="GQ115" s="717">
        <f>'Hodnocení '!GQ111</f>
        <v>0</v>
      </c>
      <c r="GR115" s="717">
        <f>'Hodnocení '!GR111</f>
        <v>0</v>
      </c>
      <c r="GS115" s="717">
        <f>'Hodnocení '!GS111</f>
        <v>0</v>
      </c>
      <c r="GT115" s="717">
        <f>'Hodnocení '!GT111</f>
        <v>0</v>
      </c>
      <c r="GU115" s="717">
        <f>'Hodnocení '!GU111</f>
        <v>0</v>
      </c>
      <c r="GV115" s="717">
        <f>'Hodnocení '!GV111</f>
        <v>0</v>
      </c>
      <c r="GW115" s="717">
        <f>'Hodnocení '!GW111</f>
        <v>0</v>
      </c>
      <c r="GX115" s="717">
        <f>'Hodnocení '!GX111</f>
        <v>0</v>
      </c>
      <c r="GY115" s="717">
        <f>'Hodnocení '!GY111</f>
        <v>0</v>
      </c>
      <c r="GZ115" s="717">
        <f>'Hodnocení '!GZ111</f>
        <v>0</v>
      </c>
      <c r="HA115" s="717">
        <f>'Hodnocení '!HA111</f>
        <v>0</v>
      </c>
      <c r="HB115" s="717">
        <f>'Hodnocení '!HB111</f>
        <v>0</v>
      </c>
      <c r="HC115" s="717">
        <f>'Hodnocení '!HC111</f>
        <v>0</v>
      </c>
      <c r="HD115" s="717">
        <f>'Hodnocení '!HD111</f>
        <v>0</v>
      </c>
      <c r="HE115" s="717">
        <f>'Hodnocení '!HE111</f>
        <v>0</v>
      </c>
      <c r="HF115" s="717">
        <f>'Hodnocení '!HF111</f>
        <v>0</v>
      </c>
      <c r="HG115" s="717">
        <f>'Hodnocení '!HG111</f>
        <v>0</v>
      </c>
      <c r="HH115" s="717">
        <f>'Hodnocení '!HH111</f>
        <v>0</v>
      </c>
      <c r="HI115" s="717">
        <f>'Hodnocení '!HI111</f>
        <v>0</v>
      </c>
      <c r="HJ115" s="717">
        <f>'Hodnocení '!HJ111</f>
        <v>0</v>
      </c>
      <c r="HK115" s="717">
        <f>'Hodnocení '!HK111</f>
        <v>0</v>
      </c>
      <c r="HL115" s="718">
        <f>'Hodnocení '!HL111</f>
        <v>-2577946.226384297</v>
      </c>
      <c r="HM115" s="717">
        <f>'Hodnocení '!HM111</f>
        <v>1822000.7132431082</v>
      </c>
      <c r="HN115" s="717">
        <f>'Hodnocení '!HN111</f>
        <v>0</v>
      </c>
      <c r="HO115" s="717">
        <f>'Hodnocení '!HO111</f>
        <v>0</v>
      </c>
      <c r="HP115" s="717">
        <f>'Hodnocení '!HP111</f>
        <v>-2937605.6068551391</v>
      </c>
      <c r="HQ115" s="717">
        <f>'Hodnocení '!HQ111</f>
        <v>-6296.0109016010538</v>
      </c>
      <c r="HR115" s="718">
        <f>'Hodnocení '!HR111</f>
        <v>346833.4156199214</v>
      </c>
      <c r="HS115" s="718">
        <f>'Hodnocení '!HS111</f>
        <v>-169403.36825784983</v>
      </c>
      <c r="HT115" s="717">
        <f>'Hodnocení '!HT111</f>
        <v>5347061.1012308747</v>
      </c>
      <c r="HU115" s="717">
        <f>'Hodnocení '!HU111</f>
        <v>-3908274.8653759174</v>
      </c>
      <c r="HV115" s="718">
        <f>'Hodnocení '!HV111</f>
        <v>-1496716.4349601455</v>
      </c>
      <c r="HW115" s="718">
        <f>'Hodnocení '!HW111</f>
        <v>-172941.92493340769</v>
      </c>
      <c r="HX115" s="718">
        <f>'Hodnocení '!HX111</f>
        <v>-2994882.4935670681</v>
      </c>
      <c r="HY115" s="717">
        <f>'Hodnocení '!HY111</f>
        <v>2304863.0664582625</v>
      </c>
      <c r="HZ115" s="717">
        <f>'Hodnocení '!HZ111</f>
        <v>-490431.75556179136</v>
      </c>
      <c r="IA115" s="717">
        <f>'Hodnocení '!IA111</f>
        <v>-16795.157256452367</v>
      </c>
      <c r="IB115" s="718">
        <f>'Hodnocení '!IB111</f>
        <v>32259.599407635629</v>
      </c>
      <c r="IC115" s="717">
        <f>'Hodnocení '!IC111</f>
        <v>-1955261.1448942758</v>
      </c>
      <c r="ID115" s="717">
        <f>'Hodnocení '!ID111</f>
        <v>-1582764.6085267812</v>
      </c>
      <c r="IE115" s="718">
        <f>'Hodnocení '!IE111</f>
        <v>-1812990.5015844777</v>
      </c>
      <c r="IF115" s="718">
        <f>'Hodnocení '!IF111</f>
        <v>4711847.704423666</v>
      </c>
      <c r="IG115" s="718">
        <f>'Hodnocení '!IG111</f>
        <v>546105.68378837779</v>
      </c>
      <c r="IH115" s="717">
        <f>'Hodnocení '!IH111</f>
        <v>-736067.42885601241</v>
      </c>
      <c r="II115" s="718">
        <f>'Hodnocení '!II111</f>
        <v>2840000.7748431559</v>
      </c>
      <c r="IJ115" s="718">
        <f>'Hodnocení '!IJ111</f>
        <v>-306647.69780913368</v>
      </c>
      <c r="IK115" s="718">
        <f>'Hodnocení '!IK111</f>
        <v>150000</v>
      </c>
      <c r="IL115" s="718">
        <f>'Hodnocení '!IL111</f>
        <v>653968.56836059503</v>
      </c>
      <c r="IM115" s="717">
        <f>'Hodnocení '!IM111</f>
        <v>152079.87741329148</v>
      </c>
      <c r="IN115" s="717">
        <f>'Hodnocení '!IN111</f>
        <v>129860.38538624719</v>
      </c>
      <c r="IO115" s="717">
        <f>'Hodnocení '!IO111</f>
        <v>-465274.01418881956</v>
      </c>
      <c r="IP115" s="717">
        <f>'Hodnocení '!IP111</f>
        <v>1643290.993533127</v>
      </c>
      <c r="IQ115" s="717">
        <f>'Hodnocení '!IQ111</f>
        <v>1714838.8915572092</v>
      </c>
      <c r="IR115" s="717">
        <f>'Hodnocení '!IR111</f>
        <v>-13439.943361662095</v>
      </c>
      <c r="IS115" s="718">
        <f>'Hodnocení '!IS111</f>
        <v>3579814.1629052777</v>
      </c>
      <c r="IT115" s="718">
        <f>'Hodnocení '!IT111</f>
        <v>-684978.12016303767</v>
      </c>
      <c r="IU115" s="717">
        <f>'Hodnocení '!IU111</f>
        <v>-313537.44674856495</v>
      </c>
      <c r="IV115" s="717">
        <f>'Hodnocení '!IV111</f>
        <v>397086.00951962918</v>
      </c>
      <c r="IW115" s="717">
        <f>'Hodnocení '!IW111</f>
        <v>2690895.015101593</v>
      </c>
      <c r="IX115" s="717">
        <f>'Hodnocení '!IX111</f>
        <v>-235204.59593742667</v>
      </c>
      <c r="IY115" s="718">
        <f>'Hodnocení '!IY111</f>
        <v>-4924861.4800059684</v>
      </c>
      <c r="IZ115" s="718">
        <f>'Hodnocení '!IZ111</f>
        <v>-2426746.1550431699</v>
      </c>
      <c r="JA115" s="717">
        <f>'Hodnocení '!JA111</f>
        <v>176594.88052702183</v>
      </c>
      <c r="JB115" s="717">
        <f>'Hodnocení '!JB111</f>
        <v>-273000</v>
      </c>
      <c r="JC115" s="717">
        <f>'Hodnocení '!JC111</f>
        <v>280579.00259929337</v>
      </c>
      <c r="JD115" s="717">
        <f>'Hodnocení '!JD111</f>
        <v>1176392</v>
      </c>
      <c r="JE115" s="717">
        <f>'Hodnocení '!JE111</f>
        <v>348800.14505924704</v>
      </c>
      <c r="JF115" s="718">
        <f>'Hodnocení '!JF111</f>
        <v>-4231420.24087709</v>
      </c>
      <c r="JG115" s="718">
        <f>'Hodnocení '!JG111</f>
        <v>1561607.7021934986</v>
      </c>
      <c r="JH115" s="810">
        <f>'Hodnocení '!JH111</f>
        <v>-496729.28351784637</v>
      </c>
      <c r="JI115" s="470">
        <f>'Hodnocení '!JI111</f>
        <v>-3151029.5328117372</v>
      </c>
      <c r="JL115" s="307">
        <f>SUMIFS($C115:$JH115,$C$5:$JH$5,JL$5)</f>
        <v>0</v>
      </c>
      <c r="JM115" s="307">
        <f>SUMIFS($C115:$JH115,$C$5:$JH$5,JM$5)</f>
        <v>-527592.72041483351</v>
      </c>
      <c r="JN115" s="307">
        <f>SUMIFS($C115:$JH115,$C$5:$JH$5,JN$5)</f>
        <v>0</v>
      </c>
      <c r="JO115" s="307">
        <f>SUMIFS($C115:$JH115,$C$5:$JH$5,JO$5)</f>
        <v>-2623436.8123969031</v>
      </c>
      <c r="JP115" s="307">
        <f t="shared" ref="JP115" si="64">SUM(JL115:JO115)</f>
        <v>-3151029.5328117367</v>
      </c>
    </row>
    <row r="116" spans="1:276" s="587" customFormat="1" ht="33" customHeight="1" x14ac:dyDescent="0.25">
      <c r="A116" s="567"/>
      <c r="B116" s="751" t="s">
        <v>2602</v>
      </c>
      <c r="C116" s="811">
        <f>'Hodnocení '!C112</f>
        <v>0</v>
      </c>
      <c r="D116" s="719">
        <f>'Hodnocení '!D112</f>
        <v>0</v>
      </c>
      <c r="E116" s="719">
        <f>'Hodnocení '!E112</f>
        <v>0</v>
      </c>
      <c r="F116" s="719">
        <f>'Hodnocení '!F112</f>
        <v>0</v>
      </c>
      <c r="G116" s="719">
        <f>'Hodnocení '!G112</f>
        <v>0</v>
      </c>
      <c r="H116" s="719">
        <f>'Hodnocení '!H112</f>
        <v>0</v>
      </c>
      <c r="I116" s="719">
        <f>'Hodnocení '!I112</f>
        <v>0</v>
      </c>
      <c r="J116" s="719">
        <f>'Hodnocení '!J112</f>
        <v>0</v>
      </c>
      <c r="K116" s="719">
        <f>'Hodnocení '!K112</f>
        <v>0</v>
      </c>
      <c r="L116" s="719">
        <f>'Hodnocení '!L112</f>
        <v>0</v>
      </c>
      <c r="M116" s="719">
        <f>'Hodnocení '!M112</f>
        <v>0</v>
      </c>
      <c r="N116" s="719">
        <f>'Hodnocení '!N112</f>
        <v>0</v>
      </c>
      <c r="O116" s="719" t="s">
        <v>2839</v>
      </c>
      <c r="P116" s="719" t="s">
        <v>2839</v>
      </c>
      <c r="Q116" s="719">
        <f>'Hodnocení '!Q112</f>
        <v>0</v>
      </c>
      <c r="R116" s="719" t="s">
        <v>2839</v>
      </c>
      <c r="S116" s="719">
        <f>'Hodnocení '!S112</f>
        <v>0</v>
      </c>
      <c r="T116" s="719">
        <f>'Hodnocení '!T112</f>
        <v>0</v>
      </c>
      <c r="U116" s="719">
        <f>'Hodnocení '!U112</f>
        <v>0</v>
      </c>
      <c r="V116" s="719" t="s">
        <v>2839</v>
      </c>
      <c r="W116" s="719">
        <f>'Hodnocení '!W112</f>
        <v>0</v>
      </c>
      <c r="X116" s="719">
        <f>'Hodnocení '!X112</f>
        <v>0</v>
      </c>
      <c r="Y116" s="719">
        <f>'Hodnocení '!Y112</f>
        <v>0</v>
      </c>
      <c r="Z116" s="719">
        <f>'Hodnocení '!Z112</f>
        <v>0</v>
      </c>
      <c r="AA116" s="719">
        <f>'Hodnocení '!AA112</f>
        <v>0</v>
      </c>
      <c r="AB116" s="719">
        <f>'Hodnocení '!AB112</f>
        <v>0</v>
      </c>
      <c r="AC116" s="719" t="s">
        <v>2840</v>
      </c>
      <c r="AD116" s="719">
        <f>'Hodnocení '!AD112</f>
        <v>0</v>
      </c>
      <c r="AE116" s="719">
        <f>'Hodnocení '!AE112</f>
        <v>0</v>
      </c>
      <c r="AF116" s="719">
        <f>'Hodnocení '!AF112</f>
        <v>0</v>
      </c>
      <c r="AG116" s="719">
        <f>'Hodnocení '!AG112</f>
        <v>0</v>
      </c>
      <c r="AH116" s="719">
        <f>'Hodnocení '!AH112</f>
        <v>0</v>
      </c>
      <c r="AI116" s="719">
        <f>'Hodnocení '!AI112</f>
        <v>0</v>
      </c>
      <c r="AJ116" s="719">
        <f>'Hodnocení '!AJ112</f>
        <v>0</v>
      </c>
      <c r="AK116" s="719">
        <f>'Hodnocení '!AK112</f>
        <v>0</v>
      </c>
      <c r="AL116" s="719">
        <f>'Hodnocení '!AL112</f>
        <v>0</v>
      </c>
      <c r="AM116" s="719">
        <f>'Hodnocení '!AM112</f>
        <v>0</v>
      </c>
      <c r="AN116" s="719">
        <f>'Hodnocení '!AN112</f>
        <v>0</v>
      </c>
      <c r="AO116" s="719" t="s">
        <v>2839</v>
      </c>
      <c r="AP116" s="719">
        <f>'Hodnocení '!AP112</f>
        <v>0</v>
      </c>
      <c r="AQ116" s="719">
        <f>'Hodnocení '!AQ112</f>
        <v>0</v>
      </c>
      <c r="AR116" s="719">
        <f>'Hodnocení '!AR112</f>
        <v>0</v>
      </c>
      <c r="AS116" s="719">
        <f>'Hodnocení '!AS112</f>
        <v>0</v>
      </c>
      <c r="AT116" s="719">
        <f>'Hodnocení '!AT112</f>
        <v>0</v>
      </c>
      <c r="AU116" s="719">
        <f>'Hodnocení '!AU112</f>
        <v>0</v>
      </c>
      <c r="AV116" s="719">
        <f>'Hodnocení '!AV112</f>
        <v>0</v>
      </c>
      <c r="AW116" s="719">
        <f>'Hodnocení '!AW112</f>
        <v>0</v>
      </c>
      <c r="AX116" s="719">
        <f>'Hodnocení '!AX112</f>
        <v>0</v>
      </c>
      <c r="AY116" s="719">
        <f>'Hodnocení '!AY112</f>
        <v>0</v>
      </c>
      <c r="AZ116" s="719">
        <f>'Hodnocení '!AZ112</f>
        <v>0</v>
      </c>
      <c r="BA116" s="719">
        <f>'Hodnocení '!BA112</f>
        <v>0</v>
      </c>
      <c r="BB116" s="719">
        <f>'Hodnocení '!BB112</f>
        <v>0</v>
      </c>
      <c r="BC116" s="719">
        <f>'Hodnocení '!BC112</f>
        <v>0</v>
      </c>
      <c r="BD116" s="719">
        <f>'Hodnocení '!BD112</f>
        <v>0</v>
      </c>
      <c r="BE116" s="719">
        <f>'Hodnocení '!BE112</f>
        <v>0</v>
      </c>
      <c r="BF116" s="719">
        <f>'Hodnocení '!BF112</f>
        <v>0</v>
      </c>
      <c r="BG116" s="719">
        <f>'Hodnocení '!BG112</f>
        <v>0</v>
      </c>
      <c r="BH116" s="719">
        <f>'Hodnocení '!BH112</f>
        <v>0</v>
      </c>
      <c r="BI116" s="719">
        <f>'Hodnocení '!BI112</f>
        <v>0</v>
      </c>
      <c r="BJ116" s="719">
        <f>'Hodnocení '!BJ112</f>
        <v>0</v>
      </c>
      <c r="BK116" s="719">
        <f>'Hodnocení '!BK112</f>
        <v>0</v>
      </c>
      <c r="BL116" s="719">
        <f>'Hodnocení '!BL112</f>
        <v>0</v>
      </c>
      <c r="BM116" s="719">
        <f>'Hodnocení '!BM112</f>
        <v>0</v>
      </c>
      <c r="BN116" s="719" t="s">
        <v>2839</v>
      </c>
      <c r="BO116" s="719" t="s">
        <v>2839</v>
      </c>
      <c r="BP116" s="719">
        <f>'Hodnocení '!BP112</f>
        <v>0</v>
      </c>
      <c r="BQ116" s="719">
        <f>'Hodnocení '!BQ112</f>
        <v>0</v>
      </c>
      <c r="BR116" s="719">
        <f>'Hodnocení '!BR112</f>
        <v>0</v>
      </c>
      <c r="BS116" s="719" t="s">
        <v>2839</v>
      </c>
      <c r="BT116" s="719">
        <f>'Hodnocení '!BT112</f>
        <v>0</v>
      </c>
      <c r="BU116" s="719">
        <f>'Hodnocení '!BU112</f>
        <v>0</v>
      </c>
      <c r="BV116" s="719">
        <f>'Hodnocení '!BV112</f>
        <v>0</v>
      </c>
      <c r="BW116" s="719">
        <f>'Hodnocení '!BW112</f>
        <v>0</v>
      </c>
      <c r="BX116" s="719" t="s">
        <v>2841</v>
      </c>
      <c r="BY116" s="719">
        <f>'Hodnocení '!BY112</f>
        <v>0</v>
      </c>
      <c r="BZ116" s="719">
        <f>'Hodnocení '!BZ112</f>
        <v>0</v>
      </c>
      <c r="CA116" s="719">
        <f>'Hodnocení '!CA112</f>
        <v>0</v>
      </c>
      <c r="CB116" s="719">
        <f>'Hodnocení '!CB112</f>
        <v>0</v>
      </c>
      <c r="CC116" s="719">
        <f>'Hodnocení '!CC112</f>
        <v>0</v>
      </c>
      <c r="CD116" s="719" t="s">
        <v>2839</v>
      </c>
      <c r="CE116" s="719">
        <f>'Hodnocení '!CE112</f>
        <v>0</v>
      </c>
      <c r="CF116" s="719">
        <f>'Hodnocení '!CF112</f>
        <v>0</v>
      </c>
      <c r="CG116" s="719" t="s">
        <v>2842</v>
      </c>
      <c r="CH116" s="719">
        <f>'Hodnocení '!CH112</f>
        <v>0</v>
      </c>
      <c r="CI116" s="719">
        <f>'Hodnocení '!CI112</f>
        <v>0</v>
      </c>
      <c r="CJ116" s="719">
        <f>'Hodnocení '!CJ112</f>
        <v>0</v>
      </c>
      <c r="CK116" s="719" t="s">
        <v>2839</v>
      </c>
      <c r="CL116" s="719" t="s">
        <v>2843</v>
      </c>
      <c r="CM116" s="719">
        <f>'Hodnocení '!CM112</f>
        <v>0</v>
      </c>
      <c r="CN116" s="719">
        <f>'Hodnocení '!CN112</f>
        <v>0</v>
      </c>
      <c r="CO116" s="719">
        <f>'Hodnocení '!CO112</f>
        <v>0</v>
      </c>
      <c r="CP116" s="719">
        <f>'Hodnocení '!CP112</f>
        <v>0</v>
      </c>
      <c r="CQ116" s="719">
        <f>'Hodnocení '!CQ112</f>
        <v>0</v>
      </c>
      <c r="CR116" s="719">
        <f>'Hodnocení '!CR112</f>
        <v>0</v>
      </c>
      <c r="CS116" s="719">
        <f>'Hodnocení '!CS112</f>
        <v>0</v>
      </c>
      <c r="CT116" s="719">
        <f>'Hodnocení '!CT112</f>
        <v>0</v>
      </c>
      <c r="CU116" s="719">
        <f>'Hodnocení '!CU112</f>
        <v>0</v>
      </c>
      <c r="CV116" s="719">
        <f>'Hodnocení '!CV112</f>
        <v>0</v>
      </c>
      <c r="CW116" s="719">
        <f>'Hodnocení '!CW112</f>
        <v>0</v>
      </c>
      <c r="CX116" s="719">
        <f>'Hodnocení '!CX112</f>
        <v>0</v>
      </c>
      <c r="CY116" s="719">
        <f>'Hodnocení '!CY112</f>
        <v>0</v>
      </c>
      <c r="CZ116" s="719">
        <f>'Hodnocení '!CZ112</f>
        <v>0</v>
      </c>
      <c r="DA116" s="719">
        <f>'Hodnocení '!DA112</f>
        <v>0</v>
      </c>
      <c r="DB116" s="719">
        <f>'Hodnocení '!DB112</f>
        <v>0</v>
      </c>
      <c r="DC116" s="719">
        <f>'Hodnocení '!DC112</f>
        <v>0</v>
      </c>
      <c r="DD116" s="719">
        <f>'Hodnocení '!DD112</f>
        <v>0</v>
      </c>
      <c r="DE116" s="719">
        <f>'Hodnocení '!DE112</f>
        <v>0</v>
      </c>
      <c r="DF116" s="719">
        <f>'Hodnocení '!DF112</f>
        <v>0</v>
      </c>
      <c r="DG116" s="719">
        <f>'Hodnocení '!DG112</f>
        <v>0</v>
      </c>
      <c r="DH116" s="719">
        <f>'Hodnocení '!DH112</f>
        <v>0</v>
      </c>
      <c r="DI116" s="719">
        <f>'Hodnocení '!DI112</f>
        <v>0</v>
      </c>
      <c r="DJ116" s="719">
        <f>'Hodnocení '!DJ112</f>
        <v>0</v>
      </c>
      <c r="DK116" s="719">
        <f>'Hodnocení '!DK112</f>
        <v>0</v>
      </c>
      <c r="DL116" s="719">
        <f>'Hodnocení '!DL112</f>
        <v>0</v>
      </c>
      <c r="DM116" s="719" t="s">
        <v>2839</v>
      </c>
      <c r="DN116" s="719" t="s">
        <v>2839</v>
      </c>
      <c r="DO116" s="719">
        <f>'Hodnocení '!DO112</f>
        <v>0</v>
      </c>
      <c r="DP116" s="719">
        <f>'Hodnocení '!DP112</f>
        <v>0</v>
      </c>
      <c r="DQ116" s="719" t="s">
        <v>2839</v>
      </c>
      <c r="DR116" s="719">
        <f>'Hodnocení '!DR112</f>
        <v>0</v>
      </c>
      <c r="DS116" s="719">
        <f>'Hodnocení '!DS112</f>
        <v>0</v>
      </c>
      <c r="DT116" s="719">
        <f>'Hodnocení '!DT112</f>
        <v>0</v>
      </c>
      <c r="DU116" s="719">
        <f>'Hodnocení '!DU112</f>
        <v>0</v>
      </c>
      <c r="DV116" s="719" t="str">
        <f>'Hodnocení '!DV112</f>
        <v>,</v>
      </c>
      <c r="DW116" s="719">
        <f>'Hodnocení '!DW112</f>
        <v>0</v>
      </c>
      <c r="DX116" s="719">
        <f>'Hodnocení '!DX112</f>
        <v>0</v>
      </c>
      <c r="DY116" s="719">
        <f>'Hodnocení '!DY112</f>
        <v>0</v>
      </c>
      <c r="DZ116" s="719">
        <f>'Hodnocení '!DZ112</f>
        <v>0</v>
      </c>
      <c r="EA116" s="719">
        <f>'Hodnocení '!EA112</f>
        <v>0</v>
      </c>
      <c r="EB116" s="719">
        <f>'Hodnocení '!EB112</f>
        <v>0</v>
      </c>
      <c r="EC116" s="719">
        <f>'Hodnocení '!EC112</f>
        <v>0</v>
      </c>
      <c r="ED116" s="719">
        <f>'Hodnocení '!ED112</f>
        <v>0</v>
      </c>
      <c r="EE116" s="719">
        <f>'Hodnocení '!EE112</f>
        <v>0</v>
      </c>
      <c r="EF116" s="719">
        <f>'Hodnocení '!EF112</f>
        <v>0</v>
      </c>
      <c r="EG116" s="719">
        <f>'Hodnocení '!EG112</f>
        <v>0</v>
      </c>
      <c r="EH116" s="719">
        <f>'Hodnocení '!EH112</f>
        <v>0</v>
      </c>
      <c r="EI116" s="719">
        <f>'Hodnocení '!EI112</f>
        <v>0</v>
      </c>
      <c r="EJ116" s="719">
        <f>'Hodnocení '!EJ112</f>
        <v>0</v>
      </c>
      <c r="EK116" s="719">
        <f>'Hodnocení '!EK112</f>
        <v>0</v>
      </c>
      <c r="EL116" s="719">
        <f>'Hodnocení '!EL112</f>
        <v>0</v>
      </c>
      <c r="EM116" s="719" t="s">
        <v>2839</v>
      </c>
      <c r="EN116" s="719">
        <f>'Hodnocení '!EN112</f>
        <v>0</v>
      </c>
      <c r="EO116" s="719">
        <f>'Hodnocení '!EO112</f>
        <v>0</v>
      </c>
      <c r="EP116" s="719">
        <f>'Hodnocení '!EP112</f>
        <v>0</v>
      </c>
      <c r="EQ116" s="719">
        <f>'Hodnocení '!EQ112</f>
        <v>0</v>
      </c>
      <c r="ER116" s="719">
        <f>'Hodnocení '!ER112</f>
        <v>0</v>
      </c>
      <c r="ES116" s="719">
        <f>'Hodnocení '!ES112</f>
        <v>0</v>
      </c>
      <c r="ET116" s="719">
        <f>'Hodnocení '!ET112</f>
        <v>0</v>
      </c>
      <c r="EU116" s="719">
        <f>'Hodnocení '!EU112</f>
        <v>0</v>
      </c>
      <c r="EV116" s="719">
        <f>'Hodnocení '!EV112</f>
        <v>0</v>
      </c>
      <c r="EW116" s="719">
        <f>'Hodnocení '!EW112</f>
        <v>0</v>
      </c>
      <c r="EX116" s="719">
        <f>'Hodnocení '!EX112</f>
        <v>0</v>
      </c>
      <c r="EY116" s="719">
        <f>'Hodnocení '!EY112</f>
        <v>0</v>
      </c>
      <c r="EZ116" s="719">
        <f>'Hodnocení '!EZ112</f>
        <v>0</v>
      </c>
      <c r="FA116" s="719">
        <f>'Hodnocení '!FA112</f>
        <v>0</v>
      </c>
      <c r="FB116" s="719">
        <f>'Hodnocení '!FB112</f>
        <v>0</v>
      </c>
      <c r="FC116" s="719">
        <f>'Hodnocení '!FC112</f>
        <v>0</v>
      </c>
      <c r="FD116" s="719">
        <f>'Hodnocení '!FD112</f>
        <v>0</v>
      </c>
      <c r="FE116" s="719">
        <f>'Hodnocení '!FE112</f>
        <v>0</v>
      </c>
      <c r="FF116" s="719">
        <f>'Hodnocení '!FF112</f>
        <v>0</v>
      </c>
      <c r="FG116" s="719">
        <f>'Hodnocení '!FG112</f>
        <v>0</v>
      </c>
      <c r="FH116" s="719">
        <f>'Hodnocení '!FH112</f>
        <v>0</v>
      </c>
      <c r="FI116" s="719">
        <f>'Hodnocení '!FI112</f>
        <v>0</v>
      </c>
      <c r="FJ116" s="719">
        <f>'Hodnocení '!FJ112</f>
        <v>0</v>
      </c>
      <c r="FK116" s="719">
        <f>'Hodnocení '!FK112</f>
        <v>0</v>
      </c>
      <c r="FL116" s="719">
        <f>'Hodnocení '!FL112</f>
        <v>0</v>
      </c>
      <c r="FM116" s="719">
        <f>'Hodnocení '!FM112</f>
        <v>0</v>
      </c>
      <c r="FN116" s="719">
        <f>'Hodnocení '!FN112</f>
        <v>0</v>
      </c>
      <c r="FO116" s="719">
        <f>'Hodnocení '!FO112</f>
        <v>0</v>
      </c>
      <c r="FP116" s="719">
        <f>'Hodnocení '!FP112</f>
        <v>0</v>
      </c>
      <c r="FQ116" s="719">
        <f>'Hodnocení '!FQ112</f>
        <v>0</v>
      </c>
      <c r="FR116" s="719">
        <f>'Hodnocení '!FR112</f>
        <v>0</v>
      </c>
      <c r="FS116" s="719">
        <f>'Hodnocení '!FS112</f>
        <v>0</v>
      </c>
      <c r="FT116" s="719">
        <f>'Hodnocení '!FT112</f>
        <v>0</v>
      </c>
      <c r="FU116" s="719">
        <f>'Hodnocení '!FU112</f>
        <v>0</v>
      </c>
      <c r="FV116" s="719">
        <f>'Hodnocení '!FV112</f>
        <v>0</v>
      </c>
      <c r="FW116" s="719">
        <f>'Hodnocení '!FW112</f>
        <v>0</v>
      </c>
      <c r="FX116" s="719">
        <f>'Hodnocení '!FX112</f>
        <v>0</v>
      </c>
      <c r="FY116" s="719">
        <f>'Hodnocení '!FY112</f>
        <v>0</v>
      </c>
      <c r="FZ116" s="719">
        <f>'Hodnocení '!FZ112</f>
        <v>0</v>
      </c>
      <c r="GA116" s="719">
        <f>'Hodnocení '!GA112</f>
        <v>0</v>
      </c>
      <c r="GB116" s="719">
        <f>'Hodnocení '!GB112</f>
        <v>0</v>
      </c>
      <c r="GC116" s="719">
        <f>'Hodnocení '!GC112</f>
        <v>0</v>
      </c>
      <c r="GD116" s="719">
        <f>'Hodnocení '!GD112</f>
        <v>0</v>
      </c>
      <c r="GE116" s="719">
        <f>'Hodnocení '!GE112</f>
        <v>0</v>
      </c>
      <c r="GF116" s="719">
        <f>'Hodnocení '!GF112</f>
        <v>0</v>
      </c>
      <c r="GG116" s="719">
        <f>'Hodnocení '!GG112</f>
        <v>0</v>
      </c>
      <c r="GH116" s="719">
        <f>'Hodnocení '!GH112</f>
        <v>0</v>
      </c>
      <c r="GI116" s="719">
        <f>'Hodnocení '!GI112</f>
        <v>0</v>
      </c>
      <c r="GJ116" s="719">
        <f>'Hodnocení '!GJ112</f>
        <v>0</v>
      </c>
      <c r="GK116" s="719">
        <f>'Hodnocení '!GK112</f>
        <v>0</v>
      </c>
      <c r="GL116" s="719">
        <f>'Hodnocení '!GL112</f>
        <v>0</v>
      </c>
      <c r="GM116" s="719">
        <f>'Hodnocení '!GM112</f>
        <v>0</v>
      </c>
      <c r="GN116" s="719">
        <f>'Hodnocení '!GN112</f>
        <v>0</v>
      </c>
      <c r="GO116" s="719">
        <f>'Hodnocení '!GO112</f>
        <v>0</v>
      </c>
      <c r="GP116" s="719">
        <f>'Hodnocení '!GP112</f>
        <v>0</v>
      </c>
      <c r="GQ116" s="719">
        <f>'Hodnocení '!GQ112</f>
        <v>0</v>
      </c>
      <c r="GR116" s="719">
        <f>'Hodnocení '!GR112</f>
        <v>0</v>
      </c>
      <c r="GS116" s="719">
        <f>'Hodnocení '!GS112</f>
        <v>0</v>
      </c>
      <c r="GT116" s="719">
        <f>'Hodnocení '!GT112</f>
        <v>0</v>
      </c>
      <c r="GU116" s="719">
        <f>'Hodnocení '!GU112</f>
        <v>0</v>
      </c>
      <c r="GV116" s="719">
        <f>'Hodnocení '!GV112</f>
        <v>0</v>
      </c>
      <c r="GW116" s="719">
        <f>'Hodnocení '!GW112</f>
        <v>0</v>
      </c>
      <c r="GX116" s="719">
        <f>'Hodnocení '!GX112</f>
        <v>0</v>
      </c>
      <c r="GY116" s="719">
        <f>'Hodnocení '!GY112</f>
        <v>0</v>
      </c>
      <c r="GZ116" s="719">
        <f>'Hodnocení '!GZ112</f>
        <v>0</v>
      </c>
      <c r="HA116" s="719">
        <f>'Hodnocení '!HA112</f>
        <v>0</v>
      </c>
      <c r="HB116" s="719">
        <f>'Hodnocení '!HB112</f>
        <v>0</v>
      </c>
      <c r="HC116" s="719">
        <f>'Hodnocení '!HC112</f>
        <v>0</v>
      </c>
      <c r="HD116" s="719">
        <f>'Hodnocení '!HD112</f>
        <v>0</v>
      </c>
      <c r="HE116" s="719">
        <f>'Hodnocení '!HE112</f>
        <v>0</v>
      </c>
      <c r="HF116" s="719">
        <f>'Hodnocení '!HF112</f>
        <v>0</v>
      </c>
      <c r="HG116" s="719">
        <f>'Hodnocení '!HG112</f>
        <v>0</v>
      </c>
      <c r="HH116" s="719">
        <f>'Hodnocení '!HH112</f>
        <v>0</v>
      </c>
      <c r="HI116" s="719">
        <f>'Hodnocení '!HI112</f>
        <v>0</v>
      </c>
      <c r="HJ116" s="719">
        <f>'Hodnocení '!HJ112</f>
        <v>0</v>
      </c>
      <c r="HK116" s="719">
        <f>'Hodnocení '!HK112</f>
        <v>0</v>
      </c>
      <c r="HL116" s="719">
        <f>'Hodnocení '!HL112</f>
        <v>0</v>
      </c>
      <c r="HM116" s="719">
        <f>'Hodnocení '!HM112</f>
        <v>0</v>
      </c>
      <c r="HN116" s="719">
        <f>'Hodnocení '!HN112</f>
        <v>0</v>
      </c>
      <c r="HO116" s="719">
        <f>'Hodnocení '!HO112</f>
        <v>0</v>
      </c>
      <c r="HP116" s="719">
        <f>'Hodnocení '!HP112</f>
        <v>0</v>
      </c>
      <c r="HQ116" s="719">
        <f>'Hodnocení '!HQ112</f>
        <v>0</v>
      </c>
      <c r="HR116" s="719">
        <f>'Hodnocení '!HR112</f>
        <v>0</v>
      </c>
      <c r="HS116" s="719">
        <f>'Hodnocení '!HS112</f>
        <v>0</v>
      </c>
      <c r="HT116" s="719">
        <f>'Hodnocení '!HT112</f>
        <v>0</v>
      </c>
      <c r="HU116" s="719">
        <f>'Hodnocení '!HU112</f>
        <v>0</v>
      </c>
      <c r="HV116" s="719">
        <f>'Hodnocení '!HV112</f>
        <v>0</v>
      </c>
      <c r="HW116" s="719">
        <f>'Hodnocení '!HW112</f>
        <v>0</v>
      </c>
      <c r="HX116" s="719">
        <f>'Hodnocení '!HX112</f>
        <v>0</v>
      </c>
      <c r="HY116" s="719">
        <f>'Hodnocení '!HY112</f>
        <v>0</v>
      </c>
      <c r="HZ116" s="719">
        <f>'Hodnocení '!HZ112</f>
        <v>0</v>
      </c>
      <c r="IA116" s="719">
        <f>'Hodnocení '!IA112</f>
        <v>0</v>
      </c>
      <c r="IB116" s="719">
        <f>'Hodnocení '!IB112</f>
        <v>-40000</v>
      </c>
      <c r="IC116" s="719">
        <f>'Hodnocení '!IC112</f>
        <v>0</v>
      </c>
      <c r="ID116" s="719">
        <f>'Hodnocení '!ID112</f>
        <v>0</v>
      </c>
      <c r="IE116" s="719">
        <f>'Hodnocení '!IE112</f>
        <v>0</v>
      </c>
      <c r="IF116" s="719">
        <f>'Hodnocení '!IF112</f>
        <v>0</v>
      </c>
      <c r="IG116" s="719">
        <f>'Hodnocení '!IG112</f>
        <v>0</v>
      </c>
      <c r="IH116" s="719">
        <f>'Hodnocení '!IH112</f>
        <v>0</v>
      </c>
      <c r="II116" s="719">
        <f>'Hodnocení '!II112</f>
        <v>0</v>
      </c>
      <c r="IJ116" s="719">
        <f>'Hodnocení '!IJ112</f>
        <v>0</v>
      </c>
      <c r="IK116" s="719">
        <f>'Hodnocení '!IK112</f>
        <v>0</v>
      </c>
      <c r="IL116" s="719">
        <f>'Hodnocení '!IL112</f>
        <v>-100000</v>
      </c>
      <c r="IM116" s="719">
        <f>'Hodnocení '!IM112</f>
        <v>0</v>
      </c>
      <c r="IN116" s="719">
        <f>'Hodnocení '!IN112</f>
        <v>0</v>
      </c>
      <c r="IO116" s="719">
        <f>'Hodnocení '!IO112</f>
        <v>0</v>
      </c>
      <c r="IP116" s="719">
        <f>'Hodnocení '!IP112</f>
        <v>0</v>
      </c>
      <c r="IQ116" s="719">
        <f>'Hodnocení '!IQ112</f>
        <v>0</v>
      </c>
      <c r="IR116" s="719">
        <f>'Hodnocení '!IR112</f>
        <v>0</v>
      </c>
      <c r="IS116" s="719">
        <f>'Hodnocení '!IS112</f>
        <v>-200000</v>
      </c>
      <c r="IT116" s="719">
        <f>'Hodnocení '!IT112</f>
        <v>0</v>
      </c>
      <c r="IU116" s="719">
        <f>'Hodnocení '!IU112</f>
        <v>0</v>
      </c>
      <c r="IV116" s="719">
        <f>'Hodnocení '!IV112</f>
        <v>0</v>
      </c>
      <c r="IW116" s="719">
        <f>'Hodnocení '!IW112</f>
        <v>0</v>
      </c>
      <c r="IX116" s="719">
        <f>'Hodnocení '!IX112</f>
        <v>0</v>
      </c>
      <c r="IY116" s="719">
        <f>'Hodnocení '!IY112</f>
        <v>0</v>
      </c>
      <c r="IZ116" s="719">
        <f>'Hodnocení '!IZ112</f>
        <v>-100000</v>
      </c>
      <c r="JA116" s="719">
        <f>'Hodnocení '!JA112</f>
        <v>0</v>
      </c>
      <c r="JB116" s="719">
        <f>'Hodnocení '!JB112</f>
        <v>0</v>
      </c>
      <c r="JC116" s="719">
        <f>'Hodnocení '!JC112</f>
        <v>0</v>
      </c>
      <c r="JD116" s="719">
        <f>'Hodnocení '!JD112</f>
        <v>0</v>
      </c>
      <c r="JE116" s="719">
        <f>'Hodnocení '!JE112</f>
        <v>0</v>
      </c>
      <c r="JF116" s="719">
        <f>'Hodnocení '!JF112</f>
        <v>-200000</v>
      </c>
      <c r="JG116" s="719">
        <f>'Hodnocení '!JG112</f>
        <v>0</v>
      </c>
      <c r="JH116" s="812">
        <f>'Hodnocení '!JH112</f>
        <v>0</v>
      </c>
      <c r="JI116" s="766">
        <f>'Hodnocení '!JI112</f>
        <v>0</v>
      </c>
    </row>
    <row r="117" spans="1:276" x14ac:dyDescent="0.25">
      <c r="A117" s="565"/>
      <c r="B117" s="752" t="s">
        <v>2601</v>
      </c>
      <c r="C117" s="813">
        <f>'Hodnocení '!C113</f>
        <v>8884422.5558247231</v>
      </c>
      <c r="D117" s="720">
        <f>'Hodnocení '!D113</f>
        <v>7730000</v>
      </c>
      <c r="E117" s="720">
        <f>'Hodnocení '!E113</f>
        <v>8299184.4088107003</v>
      </c>
      <c r="F117" s="720">
        <f>'Hodnocení '!F113</f>
        <v>3616884.7088353573</v>
      </c>
      <c r="G117" s="720">
        <f>'Hodnocení '!G113</f>
        <v>10328003.127290595</v>
      </c>
      <c r="H117" s="720">
        <f>'Hodnocení '!H113</f>
        <v>0</v>
      </c>
      <c r="I117" s="720">
        <f>'Hodnocení '!I113</f>
        <v>0</v>
      </c>
      <c r="J117" s="720">
        <f>'Hodnocení '!J113</f>
        <v>126485.23608403429</v>
      </c>
      <c r="K117" s="720">
        <f>'Hodnocení '!K113</f>
        <v>5988080</v>
      </c>
      <c r="L117" s="720">
        <f>'Hodnocení '!L113</f>
        <v>3774970</v>
      </c>
      <c r="M117" s="720">
        <f>'Hodnocení '!M113</f>
        <v>3667775.238895766</v>
      </c>
      <c r="N117" s="720">
        <f>'Hodnocení '!N113</f>
        <v>5360828.6030266704</v>
      </c>
      <c r="O117" s="720">
        <f>'Hodnocení '!O113</f>
        <v>4306141</v>
      </c>
      <c r="P117" s="720">
        <f>'Hodnocení '!P113</f>
        <v>2453026.0021816893</v>
      </c>
      <c r="Q117" s="720">
        <f>'Hodnocení '!Q113</f>
        <v>1836488.4791010155</v>
      </c>
      <c r="R117" s="720">
        <f>'Hodnocení '!R113</f>
        <v>2030000</v>
      </c>
      <c r="S117" s="720">
        <f>'Hodnocení '!S113</f>
        <v>1637152.8</v>
      </c>
      <c r="T117" s="720">
        <f>'Hodnocení '!T113</f>
        <v>622773.51077815378</v>
      </c>
      <c r="U117" s="720">
        <f>'Hodnocení '!U113</f>
        <v>1087500</v>
      </c>
      <c r="V117" s="720">
        <f>'Hodnocení '!V113</f>
        <v>8493620</v>
      </c>
      <c r="W117" s="720">
        <f>'Hodnocení '!W113</f>
        <v>2130000</v>
      </c>
      <c r="X117" s="720">
        <f>'Hodnocení '!X113</f>
        <v>2304335.8095085779</v>
      </c>
      <c r="Y117" s="720">
        <f>'Hodnocení '!Y113</f>
        <v>1770700</v>
      </c>
      <c r="Z117" s="720">
        <f>'Hodnocení '!Z113</f>
        <v>7231924</v>
      </c>
      <c r="AA117" s="720">
        <f>'Hodnocení '!AA113</f>
        <v>4244705.4490248738</v>
      </c>
      <c r="AB117" s="720">
        <f>'Hodnocení '!AB113</f>
        <v>3678130.7057224135</v>
      </c>
      <c r="AC117" s="720">
        <f>'Hodnocení '!AC113</f>
        <v>640000.31194833247</v>
      </c>
      <c r="AD117" s="720">
        <f>'Hodnocení '!AD113</f>
        <v>2590229.1206235653</v>
      </c>
      <c r="AE117" s="720">
        <f>'Hodnocení '!AE113</f>
        <v>103737.52589894389</v>
      </c>
      <c r="AF117" s="720">
        <f>'Hodnocení '!AF113</f>
        <v>1219244.9295379582</v>
      </c>
      <c r="AG117" s="720">
        <f>'Hodnocení '!AG113</f>
        <v>3450812.7548698969</v>
      </c>
      <c r="AH117" s="720">
        <f>'Hodnocení '!AH113</f>
        <v>760000</v>
      </c>
      <c r="AI117" s="720">
        <f>'Hodnocení '!AI113</f>
        <v>3404000</v>
      </c>
      <c r="AJ117" s="720">
        <f>'Hodnocení '!AJ113</f>
        <v>2585000</v>
      </c>
      <c r="AK117" s="720">
        <f>'Hodnocení '!AK113</f>
        <v>1251400</v>
      </c>
      <c r="AL117" s="720">
        <f>'Hodnocení '!AL113</f>
        <v>1952909.1633510776</v>
      </c>
      <c r="AM117" s="720">
        <f>'Hodnocení '!AM113</f>
        <v>1499708.3726341231</v>
      </c>
      <c r="AN117" s="720">
        <f>'Hodnocení '!AN113</f>
        <v>1148955.198498779</v>
      </c>
      <c r="AO117" s="720">
        <f>'Hodnocení '!AO113</f>
        <v>4883755.5596356187</v>
      </c>
      <c r="AP117" s="720">
        <f>'Hodnocení '!AP113</f>
        <v>2124765.1162296012</v>
      </c>
      <c r="AQ117" s="720">
        <f>'Hodnocení '!AQ113</f>
        <v>491000</v>
      </c>
      <c r="AR117" s="720">
        <f>'Hodnocení '!AR113</f>
        <v>1531740.3992508459</v>
      </c>
      <c r="AS117" s="720">
        <f>'Hodnocení '!AS113</f>
        <v>495253.22022333386</v>
      </c>
      <c r="AT117" s="720">
        <f>'Hodnocení '!AT113</f>
        <v>2498113.4323683418</v>
      </c>
      <c r="AU117" s="720">
        <f>'Hodnocení '!AU113</f>
        <v>992216.93946642126</v>
      </c>
      <c r="AV117" s="720">
        <f>'Hodnocení '!AV113</f>
        <v>2003660.6772952261</v>
      </c>
      <c r="AW117" s="720">
        <f>'Hodnocení '!AW113</f>
        <v>16112.012350120116</v>
      </c>
      <c r="AX117" s="720">
        <f>'Hodnocení '!AX113</f>
        <v>3240135.311080751</v>
      </c>
      <c r="AY117" s="720">
        <f>'Hodnocení '!AY113</f>
        <v>3300190.5406568907</v>
      </c>
      <c r="AZ117" s="720">
        <f>'Hodnocení '!AZ113</f>
        <v>2981000</v>
      </c>
      <c r="BA117" s="720">
        <f>'Hodnocení '!BA113</f>
        <v>9230000</v>
      </c>
      <c r="BB117" s="720">
        <f>'Hodnocení '!BB113</f>
        <v>1312920</v>
      </c>
      <c r="BC117" s="720">
        <f>'Hodnocení '!BC113</f>
        <v>1223742.4938025323</v>
      </c>
      <c r="BD117" s="720">
        <f>'Hodnocení '!BD113</f>
        <v>1916258.3325785431</v>
      </c>
      <c r="BE117" s="720">
        <f>'Hodnocení '!BE113</f>
        <v>0</v>
      </c>
      <c r="BF117" s="720">
        <f>'Hodnocení '!BF113</f>
        <v>2020000</v>
      </c>
      <c r="BG117" s="720">
        <f>'Hodnocení '!BG113</f>
        <v>2499000</v>
      </c>
      <c r="BH117" s="720">
        <f>'Hodnocení '!BH113</f>
        <v>3206000</v>
      </c>
      <c r="BI117" s="720">
        <f>'Hodnocení '!BI113</f>
        <v>1270000</v>
      </c>
      <c r="BJ117" s="720">
        <f>'Hodnocení '!BJ113</f>
        <v>2734458.8535647267</v>
      </c>
      <c r="BK117" s="720">
        <f>'Hodnocení '!BK113</f>
        <v>100000</v>
      </c>
      <c r="BL117" s="720">
        <f>'Hodnocení '!BL113</f>
        <v>455138.49500087276</v>
      </c>
      <c r="BM117" s="720">
        <f>'Hodnocení '!BM113</f>
        <v>1464826</v>
      </c>
      <c r="BN117" s="720">
        <f>'Hodnocení '!BN113</f>
        <v>1641101.9931537434</v>
      </c>
      <c r="BO117" s="720">
        <f>'Hodnocení '!BO113</f>
        <v>1025279.6524752458</v>
      </c>
      <c r="BP117" s="720">
        <f>'Hodnocení '!BP113</f>
        <v>4652080</v>
      </c>
      <c r="BQ117" s="720">
        <f>'Hodnocení '!BQ113</f>
        <v>66564.165662464104</v>
      </c>
      <c r="BR117" s="720">
        <f>'Hodnocení '!BR113</f>
        <v>1013021</v>
      </c>
      <c r="BS117" s="720">
        <f>'Hodnocení '!BS113</f>
        <v>1300282.2989678741</v>
      </c>
      <c r="BT117" s="720">
        <f>'Hodnocení '!BT113</f>
        <v>914160.26616723067</v>
      </c>
      <c r="BU117" s="720">
        <f>'Hodnocení '!BU113</f>
        <v>3939338</v>
      </c>
      <c r="BV117" s="720">
        <f>'Hodnocení '!BV113</f>
        <v>1177908.0353182531</v>
      </c>
      <c r="BW117" s="720">
        <f>'Hodnocení '!BW113</f>
        <v>532683</v>
      </c>
      <c r="BX117" s="720">
        <f>'Hodnocení '!BX113</f>
        <v>5208889.1910633538</v>
      </c>
      <c r="BY117" s="720">
        <f>'Hodnocení '!BY113</f>
        <v>1520144</v>
      </c>
      <c r="BZ117" s="720">
        <f>'Hodnocení '!BZ113</f>
        <v>324150</v>
      </c>
      <c r="CA117" s="720">
        <f>'Hodnocení '!CA113</f>
        <v>0</v>
      </c>
      <c r="CB117" s="720">
        <f>'Hodnocení '!CB113</f>
        <v>571519.10142146726</v>
      </c>
      <c r="CC117" s="720">
        <f>'Hodnocení '!CC113</f>
        <v>2238055.6625416637</v>
      </c>
      <c r="CD117" s="720">
        <f>'Hodnocení '!CD113</f>
        <v>637848.21685573971</v>
      </c>
      <c r="CE117" s="720">
        <f>'Hodnocení '!CE113</f>
        <v>9715050.1253167707</v>
      </c>
      <c r="CF117" s="720">
        <f>'Hodnocení '!CF113</f>
        <v>4453617.8393289512</v>
      </c>
      <c r="CG117" s="720">
        <f>'Hodnocení '!CG113</f>
        <v>257159.49607044645</v>
      </c>
      <c r="CH117" s="720">
        <f>'Hodnocení '!CH113</f>
        <v>0</v>
      </c>
      <c r="CI117" s="720">
        <f>'Hodnocení '!CI113</f>
        <v>21633.155796868727</v>
      </c>
      <c r="CJ117" s="720">
        <f>'Hodnocení '!CJ113</f>
        <v>3854195.0818283353</v>
      </c>
      <c r="CK117" s="720">
        <f>'Hodnocení '!CK113</f>
        <v>4466000</v>
      </c>
      <c r="CL117" s="720">
        <f>'Hodnocení '!CL113</f>
        <v>246003.87686725715</v>
      </c>
      <c r="CM117" s="720">
        <f>'Hodnocení '!CM113</f>
        <v>6012336.4399863137</v>
      </c>
      <c r="CN117" s="720">
        <f>'Hodnocení '!CN113</f>
        <v>1342009.9127194914</v>
      </c>
      <c r="CO117" s="720">
        <f>'Hodnocení '!CO113</f>
        <v>1214500</v>
      </c>
      <c r="CP117" s="720">
        <f>'Hodnocení '!CP113</f>
        <v>1268807.7168003041</v>
      </c>
      <c r="CQ117" s="720">
        <f>'Hodnocení '!CQ113</f>
        <v>5515036.573718125</v>
      </c>
      <c r="CR117" s="720">
        <f>'Hodnocení '!CR113</f>
        <v>2331094</v>
      </c>
      <c r="CS117" s="720">
        <f>'Hodnocení '!CS113</f>
        <v>187555.67419309285</v>
      </c>
      <c r="CT117" s="720">
        <f>'Hodnocení '!CT113</f>
        <v>0</v>
      </c>
      <c r="CU117" s="720">
        <f>'Hodnocení '!CU113</f>
        <v>1875000</v>
      </c>
      <c r="CV117" s="720">
        <f>'Hodnocení '!CV113</f>
        <v>5644990.9859210327</v>
      </c>
      <c r="CW117" s="720">
        <f>'Hodnocení '!CW113</f>
        <v>400000</v>
      </c>
      <c r="CX117" s="720">
        <f>'Hodnocení '!CX113</f>
        <v>3457000</v>
      </c>
      <c r="CY117" s="720">
        <f>'Hodnocení '!CY113</f>
        <v>2881083.2839012085</v>
      </c>
      <c r="CZ117" s="720">
        <f>'Hodnocení '!CZ113</f>
        <v>371000</v>
      </c>
      <c r="DA117" s="720">
        <f>'Hodnocení '!DA113</f>
        <v>7650000</v>
      </c>
      <c r="DB117" s="720">
        <f>'Hodnocení '!DB113</f>
        <v>760808</v>
      </c>
      <c r="DC117" s="720">
        <f>'Hodnocení '!DC113</f>
        <v>1952214.4635382525</v>
      </c>
      <c r="DD117" s="720">
        <f>'Hodnocení '!DD113</f>
        <v>428740.05018450413</v>
      </c>
      <c r="DE117" s="720">
        <f>'Hodnocení '!DE113</f>
        <v>1595404.8713862468</v>
      </c>
      <c r="DF117" s="720">
        <f>'Hodnocení '!DF113</f>
        <v>4660760</v>
      </c>
      <c r="DG117" s="720">
        <f>'Hodnocení '!DG113</f>
        <v>802938.16515118408</v>
      </c>
      <c r="DH117" s="720">
        <f>'Hodnocení '!DH113</f>
        <v>908244.44020215096</v>
      </c>
      <c r="DI117" s="720">
        <f>'Hodnocení '!DI113</f>
        <v>0</v>
      </c>
      <c r="DJ117" s="720">
        <f>'Hodnocení '!DJ113</f>
        <v>65990.976314039901</v>
      </c>
      <c r="DK117" s="720">
        <f>'Hodnocení '!DK113</f>
        <v>224452.83531246078</v>
      </c>
      <c r="DL117" s="720">
        <f>'Hodnocení '!DL113</f>
        <v>4094296.2218004535</v>
      </c>
      <c r="DM117" s="720">
        <f>'Hodnocení '!DM113</f>
        <v>1905503.0838138557</v>
      </c>
      <c r="DN117" s="720">
        <f>'Hodnocení '!DN113</f>
        <v>3604667</v>
      </c>
      <c r="DO117" s="720">
        <f>'Hodnocení '!DO113</f>
        <v>1402300.3922101089</v>
      </c>
      <c r="DP117" s="720">
        <f>'Hodnocení '!DP113</f>
        <v>4045363.78</v>
      </c>
      <c r="DQ117" s="720">
        <f>'Hodnocení '!DQ113</f>
        <v>3939645</v>
      </c>
      <c r="DR117" s="720">
        <f>'Hodnocení '!DR113</f>
        <v>4423025</v>
      </c>
      <c r="DS117" s="720">
        <f>'Hodnocení '!DS113</f>
        <v>878000</v>
      </c>
      <c r="DT117" s="720">
        <f>'Hodnocení '!DT113</f>
        <v>3379864.0513730422</v>
      </c>
      <c r="DU117" s="720">
        <f>'Hodnocení '!DU113</f>
        <v>0</v>
      </c>
      <c r="DV117" s="720">
        <f>'Hodnocení '!DV113</f>
        <v>4423333</v>
      </c>
      <c r="DW117" s="720">
        <f>'Hodnocení '!DW113</f>
        <v>0</v>
      </c>
      <c r="DX117" s="720">
        <f>'Hodnocení '!DX113</f>
        <v>0</v>
      </c>
      <c r="DY117" s="720">
        <f>'Hodnocení '!DY113</f>
        <v>4581142.7504826486</v>
      </c>
      <c r="DZ117" s="720">
        <f>'Hodnocení '!DZ113</f>
        <v>723925.6888148766</v>
      </c>
      <c r="EA117" s="720">
        <f>'Hodnocení '!EA113</f>
        <v>3910500</v>
      </c>
      <c r="EB117" s="720">
        <f>'Hodnocení '!EB113</f>
        <v>5751412.8583436497</v>
      </c>
      <c r="EC117" s="720">
        <f>'Hodnocení '!EC113</f>
        <v>3507637.7512384658</v>
      </c>
      <c r="ED117" s="720">
        <f>'Hodnocení '!ED113</f>
        <v>3789855.4215401057</v>
      </c>
      <c r="EE117" s="720">
        <f>'Hodnocení '!EE113</f>
        <v>610000</v>
      </c>
      <c r="EF117" s="720">
        <f>'Hodnocení '!EF113</f>
        <v>666000</v>
      </c>
      <c r="EG117" s="720">
        <f>'Hodnocení '!EG113</f>
        <v>425000</v>
      </c>
      <c r="EH117" s="720">
        <f>'Hodnocení '!EH113</f>
        <v>595000</v>
      </c>
      <c r="EI117" s="720">
        <f>'Hodnocení '!EI113</f>
        <v>1025000</v>
      </c>
      <c r="EJ117" s="720">
        <f>'Hodnocení '!EJ113</f>
        <v>0</v>
      </c>
      <c r="EK117" s="720">
        <f>'Hodnocení '!EK113</f>
        <v>3932042</v>
      </c>
      <c r="EL117" s="720">
        <f>'Hodnocení '!EL113</f>
        <v>8896075.9201217424</v>
      </c>
      <c r="EM117" s="720">
        <f>'Hodnocení '!EM113</f>
        <v>2765690.3194428757</v>
      </c>
      <c r="EN117" s="720">
        <f>'Hodnocení '!EN113</f>
        <v>2526602</v>
      </c>
      <c r="EO117" s="720">
        <f>'Hodnocení '!EO113</f>
        <v>326536.14681555587</v>
      </c>
      <c r="EP117" s="720">
        <f>'Hodnocení '!EP113</f>
        <v>2970065</v>
      </c>
      <c r="EQ117" s="720">
        <f>'Hodnocení '!EQ113</f>
        <v>2318152.5044244276</v>
      </c>
      <c r="ER117" s="720">
        <f>'Hodnocení '!ER113</f>
        <v>6229000</v>
      </c>
      <c r="ES117" s="720">
        <f>'Hodnocení '!ES113</f>
        <v>2889369.4473401564</v>
      </c>
      <c r="ET117" s="720">
        <f>'Hodnocení '!ET113</f>
        <v>901340</v>
      </c>
      <c r="EU117" s="720">
        <f>'Hodnocení '!EU113</f>
        <v>2056000</v>
      </c>
      <c r="EV117" s="720">
        <f>'Hodnocení '!EV113</f>
        <v>443085.98782481399</v>
      </c>
      <c r="EW117" s="720">
        <f>'Hodnocení '!EW113</f>
        <v>2505057.7705038232</v>
      </c>
      <c r="EX117" s="720">
        <f>'Hodnocení '!EX113</f>
        <v>5574308.9853405347</v>
      </c>
      <c r="EY117" s="720">
        <f>'Hodnocení '!EY113</f>
        <v>2059165.8751551495</v>
      </c>
      <c r="EZ117" s="720">
        <f>'Hodnocení '!EZ113</f>
        <v>0</v>
      </c>
      <c r="FA117" s="720">
        <f>'Hodnocení '!FA113</f>
        <v>990000</v>
      </c>
      <c r="FB117" s="720">
        <f>'Hodnocení '!FB113</f>
        <v>177814.53304874955</v>
      </c>
      <c r="FC117" s="720">
        <f>'Hodnocení '!FC113</f>
        <v>3042203.9813623684</v>
      </c>
      <c r="FD117" s="720">
        <f>'Hodnocení '!FD113</f>
        <v>0</v>
      </c>
      <c r="FE117" s="720">
        <f>'Hodnocení '!FE113</f>
        <v>343252.91334718862</v>
      </c>
      <c r="FF117" s="720">
        <f>'Hodnocení '!FF113</f>
        <v>1441591.96</v>
      </c>
      <c r="FG117" s="720">
        <f>'Hodnocení '!FG113</f>
        <v>5703200</v>
      </c>
      <c r="FH117" s="720">
        <f>'Hodnocení '!FH113</f>
        <v>5790606.0491879787</v>
      </c>
      <c r="FI117" s="720">
        <f>'Hodnocení '!FI113</f>
        <v>7582387.4650456514</v>
      </c>
      <c r="FJ117" s="720">
        <f>'Hodnocení '!FJ113</f>
        <v>1854520.9697589942</v>
      </c>
      <c r="FK117" s="720">
        <f>'Hodnocení '!FK113</f>
        <v>117156.2027371416</v>
      </c>
      <c r="FL117" s="720">
        <f>'Hodnocení '!FL113</f>
        <v>289530.78772289003</v>
      </c>
      <c r="FM117" s="720">
        <f>'Hodnocení '!FM113</f>
        <v>943015.1290333569</v>
      </c>
      <c r="FN117" s="720">
        <f>'Hodnocení '!FN113</f>
        <v>7003025.5498415343</v>
      </c>
      <c r="FO117" s="720">
        <f>'Hodnocení '!FO113</f>
        <v>1654621.1373999999</v>
      </c>
      <c r="FP117" s="720">
        <f>'Hodnocení '!FP113</f>
        <v>12351204.308851836</v>
      </c>
      <c r="FQ117" s="720">
        <f>'Hodnocení '!FQ113</f>
        <v>1972278.2238</v>
      </c>
      <c r="FR117" s="720">
        <f>'Hodnocení '!FR113</f>
        <v>57292.80472513882</v>
      </c>
      <c r="FS117" s="720">
        <f>'Hodnocení '!FS113</f>
        <v>464007.95</v>
      </c>
      <c r="FT117" s="720">
        <f>'Hodnocení '!FT113</f>
        <v>3255891.8040901599</v>
      </c>
      <c r="FU117" s="720">
        <f>'Hodnocení '!FU113</f>
        <v>465828.80444292724</v>
      </c>
      <c r="FV117" s="720">
        <f>'Hodnocení '!FV113</f>
        <v>559247.1692367394</v>
      </c>
      <c r="FW117" s="720">
        <f>'Hodnocení '!FW113</f>
        <v>937680.03042577044</v>
      </c>
      <c r="FX117" s="720">
        <f>'Hodnocení '!FX113</f>
        <v>384533.50336206751</v>
      </c>
      <c r="FY117" s="720">
        <f>'Hodnocení '!FY113</f>
        <v>200000</v>
      </c>
      <c r="FZ117" s="720">
        <f>'Hodnocení '!FZ113</f>
        <v>2571154.0852688877</v>
      </c>
      <c r="GA117" s="720">
        <f>'Hodnocení '!GA113</f>
        <v>235086.12772381899</v>
      </c>
      <c r="GB117" s="720">
        <f>'Hodnocení '!GB113</f>
        <v>2245960.1198871755</v>
      </c>
      <c r="GC117" s="720">
        <f>'Hodnocení '!GC113</f>
        <v>2171084.1398516875</v>
      </c>
      <c r="GD117" s="720">
        <f>'Hodnocení '!GD113</f>
        <v>7928941.2458636481</v>
      </c>
      <c r="GE117" s="720">
        <f>'Hodnocení '!GE113</f>
        <v>155880.93400108395</v>
      </c>
      <c r="GF117" s="720">
        <f>'Hodnocení '!GF113</f>
        <v>3881575.8495693267</v>
      </c>
      <c r="GG117" s="720">
        <f>'Hodnocení '!GG113</f>
        <v>1157418.4633801784</v>
      </c>
      <c r="GH117" s="720">
        <f>'Hodnocení '!GH113</f>
        <v>1054717</v>
      </c>
      <c r="GI117" s="720">
        <f>'Hodnocení '!GI113</f>
        <v>7754404.1747833164</v>
      </c>
      <c r="GJ117" s="720">
        <f>'Hodnocení '!GJ113</f>
        <v>1839200.3392906617</v>
      </c>
      <c r="GK117" s="720">
        <f>'Hodnocení '!GK113</f>
        <v>1100000</v>
      </c>
      <c r="GL117" s="720">
        <f>'Hodnocení '!GL113</f>
        <v>469954.02825609827</v>
      </c>
      <c r="GM117" s="720">
        <f>'Hodnocení '!GM113</f>
        <v>692537.52275552833</v>
      </c>
      <c r="GN117" s="720">
        <f>'Hodnocení '!GN113</f>
        <v>788769.06011215365</v>
      </c>
      <c r="GO117" s="720">
        <f>'Hodnocení '!GO113</f>
        <v>4468795.486137961</v>
      </c>
      <c r="GP117" s="720">
        <f>'Hodnocení '!GP113</f>
        <v>484458.62365770375</v>
      </c>
      <c r="GQ117" s="720">
        <f>'Hodnocení '!GQ113</f>
        <v>309592.78871686111</v>
      </c>
      <c r="GR117" s="720">
        <f>'Hodnocení '!GR113</f>
        <v>610000</v>
      </c>
      <c r="GS117" s="720">
        <f>'Hodnocení '!GS113</f>
        <v>0</v>
      </c>
      <c r="GT117" s="720">
        <f>'Hodnocení '!GT113</f>
        <v>8684791.9089435674</v>
      </c>
      <c r="GU117" s="720">
        <f>'Hodnocení '!GU113</f>
        <v>807440</v>
      </c>
      <c r="GV117" s="720">
        <f>'Hodnocení '!GV113</f>
        <v>5000000</v>
      </c>
      <c r="GW117" s="720">
        <f>'Hodnocení '!GW113</f>
        <v>941724.88907427166</v>
      </c>
      <c r="GX117" s="720">
        <f>'Hodnocení '!GX113</f>
        <v>150000</v>
      </c>
      <c r="GY117" s="720">
        <f>'Hodnocení '!GY113</f>
        <v>11169700.678891907</v>
      </c>
      <c r="GZ117" s="720">
        <f>'Hodnocení '!GZ113</f>
        <v>0</v>
      </c>
      <c r="HA117" s="720">
        <f>'Hodnocení '!HA113</f>
        <v>5200000</v>
      </c>
      <c r="HB117" s="720">
        <f>'Hodnocení '!HB113</f>
        <v>2241824.8575916188</v>
      </c>
      <c r="HC117" s="720">
        <f>'Hodnocení '!HC113</f>
        <v>5534657.4581430918</v>
      </c>
      <c r="HD117" s="720">
        <f>'Hodnocení '!HD113</f>
        <v>1908552.7255373849</v>
      </c>
      <c r="HE117" s="720">
        <f>'Hodnocení '!HE113</f>
        <v>4945200</v>
      </c>
      <c r="HF117" s="720">
        <f>'Hodnocení '!HF113</f>
        <v>780918.93476073246</v>
      </c>
      <c r="HG117" s="720">
        <f>'Hodnocení '!HG113</f>
        <v>483764.13760522264</v>
      </c>
      <c r="HH117" s="720">
        <f>'Hodnocení '!HH113</f>
        <v>1870575.3205709462</v>
      </c>
      <c r="HI117" s="720">
        <f>'Hodnocení '!HI113</f>
        <v>1243943.1770259617</v>
      </c>
      <c r="HJ117" s="720">
        <f>'Hodnocení '!HJ113</f>
        <v>0</v>
      </c>
      <c r="HK117" s="720">
        <f>'Hodnocení '!HK113</f>
        <v>0</v>
      </c>
      <c r="HL117" s="720">
        <f>'Hodnocení '!HL113</f>
        <v>25331486.682283964</v>
      </c>
      <c r="HM117" s="720">
        <f>'Hodnocení '!HM113</f>
        <v>18062108.226576902</v>
      </c>
      <c r="HN117" s="720">
        <f>'Hodnocení '!HN113</f>
        <v>0</v>
      </c>
      <c r="HO117" s="720">
        <f>'Hodnocení '!HO113</f>
        <v>0</v>
      </c>
      <c r="HP117" s="720">
        <f>'Hodnocení '!HP113</f>
        <v>19303218</v>
      </c>
      <c r="HQ117" s="720">
        <f>'Hodnocení '!HQ113</f>
        <v>687360.32396511442</v>
      </c>
      <c r="HR117" s="720">
        <f>'Hodnocení '!HR113</f>
        <v>24026005.044292737</v>
      </c>
      <c r="HS117" s="720">
        <f>'Hodnocení '!HS113</f>
        <v>4430596.6317421505</v>
      </c>
      <c r="HT117" s="720">
        <f>'Hodnocení '!HT113</f>
        <v>15937684.999999998</v>
      </c>
      <c r="HU117" s="720">
        <f>'Hodnocení '!HU113</f>
        <v>15474994</v>
      </c>
      <c r="HV117" s="720">
        <f>'Hodnocení '!HV113</f>
        <v>12916127</v>
      </c>
      <c r="HW117" s="720">
        <f>'Hodnocení '!HW113</f>
        <v>3337992.5558626438</v>
      </c>
      <c r="HX117" s="720">
        <f>'Hodnocení '!HX113</f>
        <v>13238077.444137355</v>
      </c>
      <c r="HY117" s="720">
        <f>'Hodnocení '!HY113</f>
        <v>14405761.999999998</v>
      </c>
      <c r="HZ117" s="720">
        <f>'Hodnocení '!HZ113</f>
        <v>6797941</v>
      </c>
      <c r="IA117" s="720">
        <f>'Hodnocení '!IA113</f>
        <v>6429487</v>
      </c>
      <c r="IB117" s="720">
        <f>'Hodnocení '!IB113</f>
        <v>6265181.0000000009</v>
      </c>
      <c r="IC117" s="720">
        <f>'Hodnocení '!IC113</f>
        <v>7418223.3670759555</v>
      </c>
      <c r="ID117" s="720">
        <f>'Hodnocení '!ID113</f>
        <v>6685282.6329240454</v>
      </c>
      <c r="IE117" s="720">
        <f>'Hodnocení '!IE113</f>
        <v>13033892</v>
      </c>
      <c r="IF117" s="720">
        <f>'Hodnocení '!IF113</f>
        <v>12847830.639815958</v>
      </c>
      <c r="IG117" s="720">
        <f>'Hodnocení '!IG113</f>
        <v>3089236.3601840409</v>
      </c>
      <c r="IH117" s="720">
        <f>'Hodnocení '!IH113</f>
        <v>1754306.5582447783</v>
      </c>
      <c r="II117" s="720">
        <f>'Hodnocení '!II113</f>
        <v>15058472.804034036</v>
      </c>
      <c r="IJ117" s="720">
        <f>'Hodnocení '!IJ113</f>
        <v>1090184.5555434485</v>
      </c>
      <c r="IK117" s="720">
        <f>'Hodnocení '!IK113</f>
        <v>150000</v>
      </c>
      <c r="IL117" s="720">
        <f>'Hodnocení '!IL113</f>
        <v>7291656</v>
      </c>
      <c r="IM117" s="720">
        <f>'Hodnocení '!IM113</f>
        <v>530838.89887640509</v>
      </c>
      <c r="IN117" s="720">
        <f>'Hodnocení '!IN113</f>
        <v>6956997.809082007</v>
      </c>
      <c r="IO117" s="720">
        <f>'Hodnocení '!IO113</f>
        <v>2174446.2920415876</v>
      </c>
      <c r="IP117" s="720">
        <f>'Hodnocení '!IP113</f>
        <v>15916866.999999998</v>
      </c>
      <c r="IQ117" s="720">
        <f>'Hodnocení '!IQ113</f>
        <v>15354811.354535684</v>
      </c>
      <c r="IR117" s="720">
        <f>'Hodnocení '!IR113</f>
        <v>661217.64546431496</v>
      </c>
      <c r="IS117" s="720">
        <f>'Hodnocení '!IS113</f>
        <v>38158144.757048547</v>
      </c>
      <c r="IT117" s="720">
        <f>'Hodnocení '!IT113</f>
        <v>8363389.2429514462</v>
      </c>
      <c r="IU117" s="720">
        <f>'Hodnocení '!IU113</f>
        <v>2009011.8972780025</v>
      </c>
      <c r="IV117" s="720">
        <f>'Hodnocení '!IV113</f>
        <v>5685103.8423596416</v>
      </c>
      <c r="IW117" s="720">
        <f>'Hodnocení '!IW113</f>
        <v>11119516.084632741</v>
      </c>
      <c r="IX117" s="720">
        <f>'Hodnocení '!IX113</f>
        <v>1125734.1757296147</v>
      </c>
      <c r="IY117" s="720">
        <f>'Hodnocení '!IY113</f>
        <v>3266101.4628047682</v>
      </c>
      <c r="IZ117" s="720">
        <f>'Hodnocení '!IZ113</f>
        <v>15681490.537195232</v>
      </c>
      <c r="JA117" s="720">
        <f>'Hodnocení '!JA113</f>
        <v>2298510</v>
      </c>
      <c r="JB117" s="720">
        <f>'Hodnocení '!JB113</f>
        <v>2067000</v>
      </c>
      <c r="JC117" s="720">
        <f>'Hodnocení '!JC113</f>
        <v>1625000</v>
      </c>
      <c r="JD117" s="720">
        <f>'Hodnocení '!JD113</f>
        <v>4176392</v>
      </c>
      <c r="JE117" s="720">
        <f>'Hodnocení '!JE113</f>
        <v>453694.24606177595</v>
      </c>
      <c r="JF117" s="720">
        <f>'Hodnocení '!JF113</f>
        <v>25223010.75393822</v>
      </c>
      <c r="JG117" s="720">
        <f>'Hodnocení '!JG113</f>
        <v>22851614.595014382</v>
      </c>
      <c r="JH117" s="814">
        <f>'Hodnocení '!JH113</f>
        <v>868740</v>
      </c>
      <c r="JI117" s="767">
        <f>'Hodnocení '!JI113</f>
        <v>969694287.67721987</v>
      </c>
      <c r="JL117" s="307">
        <f>SUMIFS($C117:$JH117,$C$5:$JH$5,JL$5)</f>
        <v>24913606.964635424</v>
      </c>
      <c r="JM117" s="307">
        <f>SUMIFS($C117:$JH117,$C$5:$JH$5,JM$5)</f>
        <v>341147467.31724161</v>
      </c>
      <c r="JN117" s="307">
        <f>SUMIFS($C117:$JH117,$C$5:$JH$5,JN$5)</f>
        <v>162002473.97364563</v>
      </c>
      <c r="JO117" s="307">
        <f>SUMIFS($C117:$JH117,$C$5:$JH$5,JO$5)</f>
        <v>441630739.42169756</v>
      </c>
      <c r="JP117" s="307">
        <f t="shared" ref="JP117" si="65">SUM(JL117:JO117)</f>
        <v>969694287.67722023</v>
      </c>
    </row>
    <row r="118" spans="1:276" hidden="1" x14ac:dyDescent="0.25">
      <c r="B118" s="733"/>
      <c r="C118" s="360">
        <f>'Hodnocení '!C114</f>
        <v>0</v>
      </c>
      <c r="D118" s="357">
        <f>'Hodnocení '!D114</f>
        <v>0</v>
      </c>
      <c r="E118" s="357">
        <f>'Hodnocení '!E114</f>
        <v>0</v>
      </c>
      <c r="F118" s="357">
        <f>'Hodnocení '!F114</f>
        <v>0</v>
      </c>
      <c r="G118" s="357">
        <f>'Hodnocení '!G114</f>
        <v>0</v>
      </c>
      <c r="H118" s="357">
        <f>'Hodnocení '!H114</f>
        <v>0</v>
      </c>
      <c r="I118" s="357">
        <f>'Hodnocení '!I114</f>
        <v>0</v>
      </c>
      <c r="J118" s="357">
        <f>'Hodnocení '!J114</f>
        <v>0</v>
      </c>
      <c r="K118" s="357">
        <f>'Hodnocení '!K114</f>
        <v>0</v>
      </c>
      <c r="L118" s="357">
        <f>'Hodnocení '!L114</f>
        <v>0</v>
      </c>
      <c r="M118" s="357">
        <f>'Hodnocení '!M114</f>
        <v>0</v>
      </c>
      <c r="N118" s="357">
        <f>'Hodnocení '!N114</f>
        <v>0</v>
      </c>
      <c r="O118" s="357">
        <f>'Hodnocení '!O114</f>
        <v>0</v>
      </c>
      <c r="P118" s="357">
        <f>'Hodnocení '!P114</f>
        <v>0</v>
      </c>
      <c r="Q118" s="357">
        <f>'Hodnocení '!Q114</f>
        <v>0</v>
      </c>
      <c r="R118" s="357">
        <f>'Hodnocení '!R114</f>
        <v>0</v>
      </c>
      <c r="S118" s="357">
        <f>'Hodnocení '!S114</f>
        <v>0</v>
      </c>
      <c r="T118" s="357">
        <f>'Hodnocení '!T114</f>
        <v>0</v>
      </c>
      <c r="U118" s="357">
        <f>'Hodnocení '!U114</f>
        <v>0</v>
      </c>
      <c r="V118" s="357">
        <f>'Hodnocení '!V114</f>
        <v>0</v>
      </c>
      <c r="W118" s="357">
        <f>'Hodnocení '!W114</f>
        <v>0</v>
      </c>
      <c r="X118" s="357">
        <f>'Hodnocení '!X114</f>
        <v>0</v>
      </c>
      <c r="Y118" s="357">
        <f>'Hodnocení '!Y114</f>
        <v>0</v>
      </c>
      <c r="Z118" s="357">
        <f>'Hodnocení '!Z114</f>
        <v>0</v>
      </c>
      <c r="AA118" s="357">
        <f>'Hodnocení '!AA114</f>
        <v>0</v>
      </c>
      <c r="AB118" s="357">
        <f>'Hodnocení '!AB114</f>
        <v>0</v>
      </c>
      <c r="AC118" s="357">
        <f>'Hodnocení '!AC114</f>
        <v>0</v>
      </c>
      <c r="AD118" s="357">
        <f>'Hodnocení '!AD114</f>
        <v>0</v>
      </c>
      <c r="AE118" s="357">
        <f>'Hodnocení '!AE114</f>
        <v>0</v>
      </c>
      <c r="AF118" s="357">
        <f>'Hodnocení '!AF114</f>
        <v>0</v>
      </c>
      <c r="AG118" s="357">
        <f>'Hodnocení '!AG114</f>
        <v>0</v>
      </c>
      <c r="AH118" s="357">
        <f>'Hodnocení '!AH114</f>
        <v>0</v>
      </c>
      <c r="AI118" s="357">
        <f>'Hodnocení '!AI114</f>
        <v>0</v>
      </c>
      <c r="AJ118" s="357">
        <f>'Hodnocení '!AJ114</f>
        <v>0</v>
      </c>
      <c r="AK118" s="357">
        <f>'Hodnocení '!AK114</f>
        <v>0</v>
      </c>
      <c r="AL118" s="357">
        <f>'Hodnocení '!AL114</f>
        <v>0</v>
      </c>
      <c r="AM118" s="357">
        <f>'Hodnocení '!AM114</f>
        <v>0</v>
      </c>
      <c r="AN118" s="357">
        <f>'Hodnocení '!AN114</f>
        <v>0</v>
      </c>
      <c r="AO118" s="357">
        <f>'Hodnocení '!AO114</f>
        <v>0</v>
      </c>
      <c r="AP118" s="357">
        <f>'Hodnocení '!AP114</f>
        <v>0</v>
      </c>
      <c r="AQ118" s="357">
        <f>'Hodnocení '!AQ114</f>
        <v>0</v>
      </c>
      <c r="AR118" s="357">
        <f>'Hodnocení '!AR114</f>
        <v>0</v>
      </c>
      <c r="AS118" s="357">
        <f>'Hodnocení '!AS114</f>
        <v>0</v>
      </c>
      <c r="AT118" s="357">
        <f>'Hodnocení '!AT114</f>
        <v>0</v>
      </c>
      <c r="AU118" s="357">
        <f>'Hodnocení '!AU114</f>
        <v>0</v>
      </c>
      <c r="AV118" s="357">
        <f>'Hodnocení '!AV114</f>
        <v>0</v>
      </c>
      <c r="AW118" s="357">
        <f>'Hodnocení '!AW114</f>
        <v>0</v>
      </c>
      <c r="AX118" s="357">
        <f>'Hodnocení '!AX114</f>
        <v>0</v>
      </c>
      <c r="AY118" s="357">
        <f>'Hodnocení '!AY114</f>
        <v>0</v>
      </c>
      <c r="AZ118" s="357">
        <f>'Hodnocení '!AZ114</f>
        <v>0</v>
      </c>
      <c r="BA118" s="357">
        <f>'Hodnocení '!BA114</f>
        <v>0</v>
      </c>
      <c r="BB118" s="357">
        <f>'Hodnocení '!BB114</f>
        <v>0</v>
      </c>
      <c r="BC118" s="357">
        <f>'Hodnocení '!BC114</f>
        <v>0</v>
      </c>
      <c r="BD118" s="357">
        <f>'Hodnocení '!BD114</f>
        <v>0</v>
      </c>
      <c r="BE118" s="357">
        <f>'Hodnocení '!BE114</f>
        <v>0</v>
      </c>
      <c r="BF118" s="357">
        <f>'Hodnocení '!BF114</f>
        <v>0</v>
      </c>
      <c r="BG118" s="357">
        <f>'Hodnocení '!BG114</f>
        <v>0</v>
      </c>
      <c r="BH118" s="357">
        <f>'Hodnocení '!BH114</f>
        <v>0</v>
      </c>
      <c r="BI118" s="357">
        <f>'Hodnocení '!BI114</f>
        <v>0</v>
      </c>
      <c r="BJ118" s="357">
        <f>'Hodnocení '!BJ114</f>
        <v>0</v>
      </c>
      <c r="BK118" s="357">
        <f>'Hodnocení '!BK114</f>
        <v>0</v>
      </c>
      <c r="BL118" s="357">
        <f>'Hodnocení '!BL114</f>
        <v>0</v>
      </c>
      <c r="BM118" s="357">
        <f>'Hodnocení '!BM114</f>
        <v>0</v>
      </c>
      <c r="BN118" s="357">
        <f>'Hodnocení '!BN114</f>
        <v>0</v>
      </c>
      <c r="BO118" s="357">
        <f>'Hodnocení '!BO114</f>
        <v>0</v>
      </c>
      <c r="BP118" s="357">
        <f>'Hodnocení '!BP114</f>
        <v>0</v>
      </c>
      <c r="BQ118" s="357">
        <f>'Hodnocení '!BQ114</f>
        <v>0</v>
      </c>
      <c r="BR118" s="357">
        <f>'Hodnocení '!BR114</f>
        <v>0</v>
      </c>
      <c r="BS118" s="357">
        <f>'Hodnocení '!BS114</f>
        <v>0</v>
      </c>
      <c r="BT118" s="357">
        <f>'Hodnocení '!BT114</f>
        <v>0</v>
      </c>
      <c r="BU118" s="357">
        <f>'Hodnocení '!BU114</f>
        <v>0</v>
      </c>
      <c r="BV118" s="357">
        <f>'Hodnocení '!BV114</f>
        <v>0</v>
      </c>
      <c r="BW118" s="357">
        <f>'Hodnocení '!BW114</f>
        <v>0</v>
      </c>
      <c r="BX118" s="357">
        <f>'Hodnocení '!BX114</f>
        <v>0</v>
      </c>
      <c r="BY118" s="357">
        <f>'Hodnocení '!BY114</f>
        <v>0</v>
      </c>
      <c r="BZ118" s="357">
        <f>'Hodnocení '!BZ114</f>
        <v>0</v>
      </c>
      <c r="CA118" s="357">
        <f>'Hodnocení '!CA114</f>
        <v>0</v>
      </c>
      <c r="CB118" s="357">
        <f>'Hodnocení '!CB114</f>
        <v>0</v>
      </c>
      <c r="CC118" s="357">
        <f>'Hodnocení '!CC114</f>
        <v>0</v>
      </c>
      <c r="CD118" s="357">
        <f>'Hodnocení '!CD114</f>
        <v>0</v>
      </c>
      <c r="CE118" s="357">
        <f>'Hodnocení '!CE114</f>
        <v>0</v>
      </c>
      <c r="CF118" s="357">
        <f>'Hodnocení '!CF114</f>
        <v>0</v>
      </c>
      <c r="CG118" s="357">
        <f>'Hodnocení '!CG114</f>
        <v>0</v>
      </c>
      <c r="CH118" s="357">
        <f>'Hodnocení '!CH114</f>
        <v>0</v>
      </c>
      <c r="CI118" s="357">
        <f>'Hodnocení '!CI114</f>
        <v>0</v>
      </c>
      <c r="CJ118" s="357">
        <f>'Hodnocení '!CJ114</f>
        <v>0</v>
      </c>
      <c r="CK118" s="357">
        <f>'Hodnocení '!CK114</f>
        <v>0</v>
      </c>
      <c r="CL118" s="357">
        <f>'Hodnocení '!CL114</f>
        <v>0</v>
      </c>
      <c r="CM118" s="357">
        <f>'Hodnocení '!CM114</f>
        <v>0</v>
      </c>
      <c r="CN118" s="357">
        <f>'Hodnocení '!CN114</f>
        <v>0</v>
      </c>
      <c r="CO118" s="357">
        <f>'Hodnocení '!CO114</f>
        <v>0</v>
      </c>
      <c r="CP118" s="357">
        <f>'Hodnocení '!CP114</f>
        <v>0</v>
      </c>
      <c r="CQ118" s="357">
        <f>'Hodnocení '!CQ114</f>
        <v>0</v>
      </c>
      <c r="CR118" s="357">
        <f>'Hodnocení '!CR114</f>
        <v>0</v>
      </c>
      <c r="CS118" s="357">
        <f>'Hodnocení '!CS114</f>
        <v>0</v>
      </c>
      <c r="CT118" s="357">
        <f>'Hodnocení '!CT114</f>
        <v>0</v>
      </c>
      <c r="CU118" s="357">
        <f>'Hodnocení '!CU114</f>
        <v>0</v>
      </c>
      <c r="CV118" s="357">
        <f>'Hodnocení '!CV114</f>
        <v>0</v>
      </c>
      <c r="CW118" s="357">
        <f>'Hodnocení '!CW114</f>
        <v>0</v>
      </c>
      <c r="CX118" s="357">
        <f>'Hodnocení '!CX114</f>
        <v>0</v>
      </c>
      <c r="CY118" s="357">
        <f>'Hodnocení '!CY114</f>
        <v>0</v>
      </c>
      <c r="CZ118" s="357">
        <f>'Hodnocení '!CZ114</f>
        <v>0</v>
      </c>
      <c r="DA118" s="357">
        <f>'Hodnocení '!DA114</f>
        <v>0</v>
      </c>
      <c r="DB118" s="357">
        <f>'Hodnocení '!DB114</f>
        <v>0</v>
      </c>
      <c r="DC118" s="357">
        <f>'Hodnocení '!DC114</f>
        <v>0</v>
      </c>
      <c r="DD118" s="357">
        <f>'Hodnocení '!DD114</f>
        <v>0</v>
      </c>
      <c r="DE118" s="357">
        <f>'Hodnocení '!DE114</f>
        <v>0</v>
      </c>
      <c r="DF118" s="357">
        <f>'Hodnocení '!DF114</f>
        <v>0</v>
      </c>
      <c r="DG118" s="357">
        <f>'Hodnocení '!DG114</f>
        <v>0</v>
      </c>
      <c r="DH118" s="357">
        <f>'Hodnocení '!DH114</f>
        <v>0</v>
      </c>
      <c r="DI118" s="357">
        <f>'Hodnocení '!DI114</f>
        <v>0</v>
      </c>
      <c r="DJ118" s="357">
        <f>'Hodnocení '!DJ114</f>
        <v>0</v>
      </c>
      <c r="DK118" s="357">
        <f>'Hodnocení '!DK114</f>
        <v>0</v>
      </c>
      <c r="DL118" s="357">
        <f>'Hodnocení '!DL114</f>
        <v>0</v>
      </c>
      <c r="DM118" s="357">
        <f>'Hodnocení '!DM114</f>
        <v>0</v>
      </c>
      <c r="DN118" s="357">
        <f>'Hodnocení '!DN114</f>
        <v>0</v>
      </c>
      <c r="DO118" s="357">
        <f>'Hodnocení '!DO114</f>
        <v>0</v>
      </c>
      <c r="DP118" s="357">
        <f>'Hodnocení '!DP114</f>
        <v>0</v>
      </c>
      <c r="DQ118" s="357">
        <f>'Hodnocení '!DQ114</f>
        <v>0</v>
      </c>
      <c r="DR118" s="357">
        <f>'Hodnocení '!DR114</f>
        <v>0</v>
      </c>
      <c r="DS118" s="357">
        <f>'Hodnocení '!DS114</f>
        <v>0</v>
      </c>
      <c r="DT118" s="357">
        <f>'Hodnocení '!DT114</f>
        <v>0</v>
      </c>
      <c r="DU118" s="357">
        <f>'Hodnocení '!DU114</f>
        <v>0</v>
      </c>
      <c r="DV118" s="357">
        <f>'Hodnocení '!DV114</f>
        <v>0</v>
      </c>
      <c r="DW118" s="357">
        <f>'Hodnocení '!DW114</f>
        <v>0</v>
      </c>
      <c r="DX118" s="357">
        <f>'Hodnocení '!DX114</f>
        <v>0</v>
      </c>
      <c r="DY118" s="357">
        <f>'Hodnocení '!DY114</f>
        <v>0</v>
      </c>
      <c r="DZ118" s="357">
        <f>'Hodnocení '!DZ114</f>
        <v>0</v>
      </c>
      <c r="EA118" s="357">
        <f>'Hodnocení '!EA114</f>
        <v>0</v>
      </c>
      <c r="EB118" s="357">
        <f>'Hodnocení '!EB114</f>
        <v>0</v>
      </c>
      <c r="EC118" s="357">
        <f>'Hodnocení '!EC114</f>
        <v>0</v>
      </c>
      <c r="ED118" s="357">
        <f>'Hodnocení '!ED114</f>
        <v>0</v>
      </c>
      <c r="EE118" s="357">
        <f>'Hodnocení '!EE114</f>
        <v>0</v>
      </c>
      <c r="EF118" s="357">
        <f>'Hodnocení '!EF114</f>
        <v>0</v>
      </c>
      <c r="EG118" s="357">
        <f>'Hodnocení '!EG114</f>
        <v>0</v>
      </c>
      <c r="EH118" s="357">
        <f>'Hodnocení '!EH114</f>
        <v>0</v>
      </c>
      <c r="EI118" s="357">
        <f>'Hodnocení '!EI114</f>
        <v>0</v>
      </c>
      <c r="EJ118" s="357">
        <f>'Hodnocení '!EJ114</f>
        <v>0</v>
      </c>
      <c r="EK118" s="357">
        <f>'Hodnocení '!EK114</f>
        <v>0</v>
      </c>
      <c r="EL118" s="357">
        <f>'Hodnocení '!EL114</f>
        <v>0</v>
      </c>
      <c r="EM118" s="357">
        <f>'Hodnocení '!EM114</f>
        <v>0</v>
      </c>
      <c r="EN118" s="357">
        <f>'Hodnocení '!EN114</f>
        <v>0</v>
      </c>
      <c r="EO118" s="357">
        <f>'Hodnocení '!EO114</f>
        <v>0</v>
      </c>
      <c r="EP118" s="357">
        <f>'Hodnocení '!EP114</f>
        <v>0</v>
      </c>
      <c r="EQ118" s="357">
        <f>'Hodnocení '!EQ114</f>
        <v>0</v>
      </c>
      <c r="ER118" s="357">
        <f>'Hodnocení '!ER114</f>
        <v>0</v>
      </c>
      <c r="ES118" s="357">
        <f>'Hodnocení '!ES114</f>
        <v>0</v>
      </c>
      <c r="ET118" s="357">
        <f>'Hodnocení '!ET114</f>
        <v>0</v>
      </c>
      <c r="EU118" s="357">
        <f>'Hodnocení '!EU114</f>
        <v>0</v>
      </c>
      <c r="EV118" s="357">
        <f>'Hodnocení '!EV114</f>
        <v>0</v>
      </c>
      <c r="EW118" s="357">
        <f>'Hodnocení '!EW114</f>
        <v>0</v>
      </c>
      <c r="EX118" s="357">
        <f>'Hodnocení '!EX114</f>
        <v>0</v>
      </c>
      <c r="EY118" s="357">
        <f>'Hodnocení '!EY114</f>
        <v>0</v>
      </c>
      <c r="EZ118" s="357">
        <f>'Hodnocení '!EZ114</f>
        <v>0</v>
      </c>
      <c r="FA118" s="357">
        <f>'Hodnocení '!FA114</f>
        <v>0</v>
      </c>
      <c r="FB118" s="357">
        <f>'Hodnocení '!FB114</f>
        <v>0</v>
      </c>
      <c r="FC118" s="357">
        <f>'Hodnocení '!FC114</f>
        <v>0</v>
      </c>
      <c r="FD118" s="357">
        <f>'Hodnocení '!FD114</f>
        <v>0</v>
      </c>
      <c r="FE118" s="357">
        <f>'Hodnocení '!FE114</f>
        <v>0</v>
      </c>
      <c r="FF118" s="357">
        <f>'Hodnocení '!FF114</f>
        <v>0</v>
      </c>
      <c r="FG118" s="357">
        <f>'Hodnocení '!FG114</f>
        <v>0</v>
      </c>
      <c r="FH118" s="357">
        <f>'Hodnocení '!FH114</f>
        <v>0</v>
      </c>
      <c r="FI118" s="357">
        <f>'Hodnocení '!FI114</f>
        <v>0</v>
      </c>
      <c r="FJ118" s="357">
        <f>'Hodnocení '!FJ114</f>
        <v>0</v>
      </c>
      <c r="FK118" s="357">
        <f>'Hodnocení '!FK114</f>
        <v>0</v>
      </c>
      <c r="FL118" s="357">
        <f>'Hodnocení '!FL114</f>
        <v>0</v>
      </c>
      <c r="FM118" s="357">
        <f>'Hodnocení '!FM114</f>
        <v>0</v>
      </c>
      <c r="FN118" s="357">
        <f>'Hodnocení '!FN114</f>
        <v>0</v>
      </c>
      <c r="FO118" s="357">
        <f>'Hodnocení '!FO114</f>
        <v>0</v>
      </c>
      <c r="FP118" s="357">
        <f>'Hodnocení '!FP114</f>
        <v>0</v>
      </c>
      <c r="FQ118" s="357">
        <f>'Hodnocení '!FQ114</f>
        <v>0</v>
      </c>
      <c r="FR118" s="357">
        <f>'Hodnocení '!FR114</f>
        <v>0</v>
      </c>
      <c r="FS118" s="357">
        <f>'Hodnocení '!FS114</f>
        <v>0</v>
      </c>
      <c r="FT118" s="357">
        <f>'Hodnocení '!FT114</f>
        <v>0</v>
      </c>
      <c r="FU118" s="357">
        <f>'Hodnocení '!FU114</f>
        <v>0</v>
      </c>
      <c r="FV118" s="357">
        <f>'Hodnocení '!FV114</f>
        <v>0</v>
      </c>
      <c r="FW118" s="357">
        <f>'Hodnocení '!FW114</f>
        <v>0</v>
      </c>
      <c r="FX118" s="357">
        <f>'Hodnocení '!FX114</f>
        <v>0</v>
      </c>
      <c r="FY118" s="357">
        <f>'Hodnocení '!FY114</f>
        <v>0</v>
      </c>
      <c r="FZ118" s="357">
        <f>'Hodnocení '!FZ114</f>
        <v>0</v>
      </c>
      <c r="GA118" s="357">
        <f>'Hodnocení '!GA114</f>
        <v>0</v>
      </c>
      <c r="GB118" s="357">
        <f>'Hodnocení '!GB114</f>
        <v>0</v>
      </c>
      <c r="GC118" s="357">
        <f>'Hodnocení '!GC114</f>
        <v>0</v>
      </c>
      <c r="GD118" s="357">
        <f>'Hodnocení '!GD114</f>
        <v>0</v>
      </c>
      <c r="GE118" s="357">
        <f>'Hodnocení '!GE114</f>
        <v>0</v>
      </c>
      <c r="GF118" s="357">
        <f>'Hodnocení '!GF114</f>
        <v>0</v>
      </c>
      <c r="GG118" s="357">
        <f>'Hodnocení '!GG114</f>
        <v>0</v>
      </c>
      <c r="GH118" s="357">
        <f>'Hodnocení '!GH114</f>
        <v>0</v>
      </c>
      <c r="GI118" s="357">
        <f>'Hodnocení '!GI114</f>
        <v>0</v>
      </c>
      <c r="GJ118" s="357">
        <f>'Hodnocení '!GJ114</f>
        <v>0</v>
      </c>
      <c r="GK118" s="357">
        <f>'Hodnocení '!GK114</f>
        <v>0</v>
      </c>
      <c r="GL118" s="357">
        <f>'Hodnocení '!GL114</f>
        <v>0</v>
      </c>
      <c r="GM118" s="357">
        <f>'Hodnocení '!GM114</f>
        <v>0</v>
      </c>
      <c r="GN118" s="357">
        <f>'Hodnocení '!GN114</f>
        <v>0</v>
      </c>
      <c r="GO118" s="357">
        <f>'Hodnocení '!GO114</f>
        <v>0</v>
      </c>
      <c r="GP118" s="357">
        <f>'Hodnocení '!GP114</f>
        <v>0</v>
      </c>
      <c r="GQ118" s="357">
        <f>'Hodnocení '!GQ114</f>
        <v>0</v>
      </c>
      <c r="GR118" s="357">
        <f>'Hodnocení '!GR114</f>
        <v>0</v>
      </c>
      <c r="GS118" s="357">
        <f>'Hodnocení '!GS114</f>
        <v>0</v>
      </c>
      <c r="GT118" s="357">
        <f>'Hodnocení '!GT114</f>
        <v>0</v>
      </c>
      <c r="GU118" s="357">
        <f>'Hodnocení '!GU114</f>
        <v>0</v>
      </c>
      <c r="GV118" s="357">
        <f>'Hodnocení '!GV114</f>
        <v>0</v>
      </c>
      <c r="GW118" s="357">
        <f>'Hodnocení '!GW114</f>
        <v>0</v>
      </c>
      <c r="GX118" s="357">
        <f>'Hodnocení '!GX114</f>
        <v>0</v>
      </c>
      <c r="GY118" s="721" t="str">
        <f>'Hodnocení '!GY114</f>
        <v>navýšení podíélu obce proti úpravám ostatníéch sluižeb Trutnova</v>
      </c>
      <c r="GZ118" s="357">
        <f>'Hodnocení '!GZ114</f>
        <v>0</v>
      </c>
      <c r="HA118" s="357">
        <f>'Hodnocení '!HA114</f>
        <v>0</v>
      </c>
      <c r="HB118" s="357">
        <f>'Hodnocení '!HB114</f>
        <v>0</v>
      </c>
      <c r="HC118" s="357">
        <f>'Hodnocení '!HC114</f>
        <v>0</v>
      </c>
      <c r="HD118" s="357">
        <f>'Hodnocení '!HD114</f>
        <v>0</v>
      </c>
      <c r="HE118" s="357">
        <f>'Hodnocení '!HE114</f>
        <v>0</v>
      </c>
      <c r="HF118" s="357">
        <f>'Hodnocení '!HF114</f>
        <v>0</v>
      </c>
      <c r="HG118" s="357">
        <f>'Hodnocení '!HG114</f>
        <v>0</v>
      </c>
      <c r="HH118" s="357">
        <f>'Hodnocení '!HH114</f>
        <v>0</v>
      </c>
      <c r="HI118" s="357">
        <f>'Hodnocení '!HI114</f>
        <v>0</v>
      </c>
      <c r="HJ118" s="357">
        <f>'Hodnocení '!HJ114</f>
        <v>0</v>
      </c>
      <c r="HK118" s="357">
        <f>'Hodnocení '!HK114</f>
        <v>0</v>
      </c>
      <c r="HL118" s="357">
        <f>'Hodnocení '!HL114</f>
        <v>0</v>
      </c>
      <c r="HM118" s="357">
        <f>'Hodnocení '!HM114</f>
        <v>0</v>
      </c>
      <c r="HN118" s="357">
        <f>'Hodnocení '!HN114</f>
        <v>0</v>
      </c>
      <c r="HO118" s="357">
        <f>'Hodnocení '!HO114</f>
        <v>0</v>
      </c>
      <c r="HP118" s="357">
        <f>'Hodnocení '!HP114</f>
        <v>0</v>
      </c>
      <c r="HQ118" s="357">
        <f>'Hodnocení '!HQ114</f>
        <v>0</v>
      </c>
      <c r="HR118" s="357">
        <f>'Hodnocení '!HR114</f>
        <v>0</v>
      </c>
      <c r="HS118" s="357">
        <f>'Hodnocení '!HS114</f>
        <v>0</v>
      </c>
      <c r="HT118" s="357">
        <f>'Hodnocení '!HT114</f>
        <v>0</v>
      </c>
      <c r="HU118" s="357">
        <f>'Hodnocení '!HU114</f>
        <v>0</v>
      </c>
      <c r="HV118" s="357">
        <f>'Hodnocení '!HV114</f>
        <v>0</v>
      </c>
      <c r="HW118" s="357">
        <f>'Hodnocení '!HW114</f>
        <v>0</v>
      </c>
      <c r="HX118" s="357">
        <f>'Hodnocení '!HX114</f>
        <v>0</v>
      </c>
      <c r="HY118" s="357">
        <f>'Hodnocení '!HY114</f>
        <v>0</v>
      </c>
      <c r="HZ118" s="357">
        <f>'Hodnocení '!HZ114</f>
        <v>0</v>
      </c>
      <c r="IA118" s="357">
        <f>'Hodnocení '!IA114</f>
        <v>0</v>
      </c>
      <c r="IB118" s="357">
        <f>'Hodnocení '!IB114</f>
        <v>0</v>
      </c>
      <c r="IC118" s="357">
        <f>'Hodnocení '!IC114</f>
        <v>0</v>
      </c>
      <c r="ID118" s="357">
        <f>'Hodnocení '!ID114</f>
        <v>0</v>
      </c>
      <c r="IE118" s="357">
        <f>'Hodnocení '!IE114</f>
        <v>0</v>
      </c>
      <c r="IF118" s="357">
        <f>'Hodnocení '!IF114</f>
        <v>0</v>
      </c>
      <c r="IG118" s="357">
        <f>'Hodnocení '!IG114</f>
        <v>0</v>
      </c>
      <c r="IH118" s="357">
        <f>'Hodnocení '!IH114</f>
        <v>0</v>
      </c>
      <c r="II118" s="357">
        <f>'Hodnocení '!II114</f>
        <v>0</v>
      </c>
      <c r="IJ118" s="357">
        <f>'Hodnocení '!IJ114</f>
        <v>0</v>
      </c>
      <c r="IK118" s="357">
        <f>'Hodnocení '!IK114</f>
        <v>0</v>
      </c>
      <c r="IL118" s="357">
        <f>'Hodnocení '!IL114</f>
        <v>0</v>
      </c>
      <c r="IM118" s="357">
        <f>'Hodnocení '!IM114</f>
        <v>0</v>
      </c>
      <c r="IN118" s="357">
        <f>'Hodnocení '!IN114</f>
        <v>0</v>
      </c>
      <c r="IO118" s="357">
        <f>'Hodnocení '!IO114</f>
        <v>0</v>
      </c>
      <c r="IP118" s="357">
        <f>'Hodnocení '!IP114</f>
        <v>0</v>
      </c>
      <c r="IQ118" s="357">
        <f>'Hodnocení '!IQ114</f>
        <v>0</v>
      </c>
      <c r="IR118" s="357">
        <f>'Hodnocení '!IR114</f>
        <v>0</v>
      </c>
      <c r="IS118" s="357">
        <f>'Hodnocení '!IS114</f>
        <v>0</v>
      </c>
      <c r="IT118" s="357">
        <f>'Hodnocení '!IT114</f>
        <v>0</v>
      </c>
      <c r="IU118" s="357">
        <f>'Hodnocení '!IU114</f>
        <v>0</v>
      </c>
      <c r="IV118" s="357">
        <f>'Hodnocení '!IV114</f>
        <v>0</v>
      </c>
      <c r="IW118" s="357">
        <f>'Hodnocení '!IW114</f>
        <v>0</v>
      </c>
      <c r="IX118" s="357">
        <f>'Hodnocení '!IX114</f>
        <v>0</v>
      </c>
      <c r="IY118" s="357">
        <f>'Hodnocení '!IY114</f>
        <v>0</v>
      </c>
      <c r="IZ118" s="357">
        <f>'Hodnocení '!IZ114</f>
        <v>0</v>
      </c>
      <c r="JA118" s="357">
        <f>'Hodnocení '!JA114</f>
        <v>0</v>
      </c>
      <c r="JB118" s="357">
        <f>'Hodnocení '!JB114</f>
        <v>0</v>
      </c>
      <c r="JC118" s="357">
        <f>'Hodnocení '!JC114</f>
        <v>0</v>
      </c>
      <c r="JD118" s="357">
        <f>'Hodnocení '!JD114</f>
        <v>0</v>
      </c>
      <c r="JE118" s="357">
        <f>'Hodnocení '!JE114</f>
        <v>0</v>
      </c>
      <c r="JF118" s="357">
        <f>'Hodnocení '!JF114</f>
        <v>0</v>
      </c>
      <c r="JG118" s="357">
        <f>'Hodnocení '!JG114</f>
        <v>0</v>
      </c>
      <c r="JH118" s="772">
        <f>'Hodnocení '!JH114</f>
        <v>0</v>
      </c>
      <c r="JI118" s="315">
        <f>'Hodnocení '!JI114</f>
        <v>0</v>
      </c>
    </row>
    <row r="119" spans="1:276" hidden="1" x14ac:dyDescent="0.25">
      <c r="B119" s="743" t="str">
        <f>B105</f>
        <v>Celkem 2019 (přes KHK)</v>
      </c>
      <c r="C119" s="779">
        <f>'Hodnocení '!C115</f>
        <v>7649000</v>
      </c>
      <c r="D119" s="479">
        <f>'Hodnocení '!D115</f>
        <v>6323100</v>
      </c>
      <c r="E119" s="479">
        <f>'Hodnocení '!E115</f>
        <v>8196405</v>
      </c>
      <c r="F119" s="479">
        <f>'Hodnocení '!F115</f>
        <v>3484600</v>
      </c>
      <c r="G119" s="479">
        <f>'Hodnocení '!G115</f>
        <v>8898350</v>
      </c>
      <c r="H119" s="479">
        <f>'Hodnocení '!H115</f>
        <v>851000</v>
      </c>
      <c r="I119" s="479">
        <f>'Hodnocení '!I115</f>
        <v>2220902</v>
      </c>
      <c r="J119" s="479">
        <f>'Hodnocení '!J115</f>
        <v>2592445</v>
      </c>
      <c r="K119" s="479">
        <f>'Hodnocení '!K115</f>
        <v>5369542</v>
      </c>
      <c r="L119" s="479">
        <f>'Hodnocení '!L115</f>
        <v>3774970</v>
      </c>
      <c r="M119" s="479">
        <f>'Hodnocení '!M115</f>
        <v>3637289</v>
      </c>
      <c r="N119" s="479">
        <f>'Hodnocení '!N115</f>
        <v>5245000</v>
      </c>
      <c r="O119" s="479">
        <f>'Hodnocení '!O115</f>
        <v>4154929</v>
      </c>
      <c r="P119" s="479">
        <f>'Hodnocení '!P115</f>
        <v>2345016</v>
      </c>
      <c r="Q119" s="479">
        <f>'Hodnocení '!Q115</f>
        <v>1465267</v>
      </c>
      <c r="R119" s="479">
        <f>'Hodnocení '!R115</f>
        <v>2124718.1</v>
      </c>
      <c r="S119" s="479">
        <f>'Hodnocení '!S115</f>
        <v>1637152.8</v>
      </c>
      <c r="T119" s="479">
        <f>'Hodnocení '!T115</f>
        <v>591336</v>
      </c>
      <c r="U119" s="479">
        <f>'Hodnocení '!U115</f>
        <v>1099204</v>
      </c>
      <c r="V119" s="479">
        <f>'Hodnocení '!V115</f>
        <v>9233620</v>
      </c>
      <c r="W119" s="479">
        <f>'Hodnocení '!W115</f>
        <v>1825000</v>
      </c>
      <c r="X119" s="479">
        <f>'Hodnocení '!X115</f>
        <v>1309890</v>
      </c>
      <c r="Y119" s="479">
        <f>'Hodnocení '!Y115</f>
        <v>1757810</v>
      </c>
      <c r="Z119" s="479">
        <f>'Hodnocení '!Z115</f>
        <v>6852000</v>
      </c>
      <c r="AA119" s="479">
        <f>'Hodnocení '!AA115</f>
        <v>3849820</v>
      </c>
      <c r="AB119" s="479">
        <f>'Hodnocení '!AB115</f>
        <v>3047940</v>
      </c>
      <c r="AC119" s="479">
        <f>'Hodnocení '!AC115</f>
        <v>2007500</v>
      </c>
      <c r="AD119" s="479">
        <f>'Hodnocení '!AD115</f>
        <v>1845240</v>
      </c>
      <c r="AE119" s="479">
        <f>'Hodnocení '!AE115</f>
        <v>1056608</v>
      </c>
      <c r="AF119" s="479">
        <f>'Hodnocení '!AF115</f>
        <v>2104207</v>
      </c>
      <c r="AG119" s="479">
        <f>'Hodnocení '!AG115</f>
        <v>3325752</v>
      </c>
      <c r="AH119" s="479">
        <f>'Hodnocení '!AH115</f>
        <v>767266</v>
      </c>
      <c r="AI119" s="479">
        <f>'Hodnocení '!AI115</f>
        <v>2893700</v>
      </c>
      <c r="AJ119" s="479">
        <f>'Hodnocení '!AJ115</f>
        <v>2450300</v>
      </c>
      <c r="AK119" s="479">
        <f>'Hodnocení '!AK115</f>
        <v>1197405</v>
      </c>
      <c r="AL119" s="479">
        <f>'Hodnocení '!AL115</f>
        <v>1860416</v>
      </c>
      <c r="AM119" s="479">
        <f>'Hodnocení '!AM115</f>
        <v>1374492</v>
      </c>
      <c r="AN119" s="479">
        <f>'Hodnocení '!AN115</f>
        <v>1027900</v>
      </c>
      <c r="AO119" s="479">
        <f>'Hodnocení '!AO115</f>
        <v>3729028</v>
      </c>
      <c r="AP119" s="479">
        <f>'Hodnocení '!AP115</f>
        <v>2259775</v>
      </c>
      <c r="AQ119" s="479">
        <f>'Hodnocení '!AQ115</f>
        <v>327938</v>
      </c>
      <c r="AR119" s="479">
        <f>'Hodnocení '!AR115</f>
        <v>1130591</v>
      </c>
      <c r="AS119" s="479">
        <f>'Hodnocení '!AS115</f>
        <v>450572</v>
      </c>
      <c r="AT119" s="479">
        <f>'Hodnocení '!AT115</f>
        <v>2175746</v>
      </c>
      <c r="AU119" s="479">
        <f>'Hodnocení '!AU115</f>
        <v>894272</v>
      </c>
      <c r="AV119" s="479">
        <f>'Hodnocení '!AV115</f>
        <v>1866618</v>
      </c>
      <c r="AW119" s="479">
        <f>'Hodnocení '!AW115</f>
        <v>3070875</v>
      </c>
      <c r="AX119" s="479">
        <f>'Hodnocení '!AX115</f>
        <v>2970020</v>
      </c>
      <c r="AY119" s="479">
        <f>'Hodnocení '!AY115</f>
        <v>3091452</v>
      </c>
      <c r="AZ119" s="479">
        <f>'Hodnocení '!AZ115</f>
        <v>2931235</v>
      </c>
      <c r="BA119" s="479">
        <f>'Hodnocení '!BA115</f>
        <v>7415268</v>
      </c>
      <c r="BB119" s="479">
        <f>'Hodnocení '!BB115</f>
        <v>1020124</v>
      </c>
      <c r="BC119" s="479">
        <f>'Hodnocení '!BC115</f>
        <v>1008745</v>
      </c>
      <c r="BD119" s="479">
        <f>'Hodnocení '!BD115</f>
        <v>1277820</v>
      </c>
      <c r="BE119" s="479">
        <f>'Hodnocení '!BE115</f>
        <v>1204150</v>
      </c>
      <c r="BF119" s="479">
        <f>'Hodnocení '!BF115</f>
        <v>1888960</v>
      </c>
      <c r="BG119" s="479">
        <f>'Hodnocení '!BG115</f>
        <v>2344216</v>
      </c>
      <c r="BH119" s="479">
        <f>'Hodnocení '!BH115</f>
        <v>2948068</v>
      </c>
      <c r="BI119" s="479">
        <f>'Hodnocení '!BI115</f>
        <v>1468100</v>
      </c>
      <c r="BJ119" s="479">
        <f>'Hodnocení '!BJ115</f>
        <v>2652621</v>
      </c>
      <c r="BK119" s="479">
        <f>'Hodnocení '!BK115</f>
        <v>852000</v>
      </c>
      <c r="BL119" s="479">
        <f>'Hodnocení '!BL115</f>
        <v>0</v>
      </c>
      <c r="BM119" s="479">
        <f>'Hodnocení '!BM115</f>
        <v>615100</v>
      </c>
      <c r="BN119" s="479">
        <f>'Hodnocení '!BN115</f>
        <v>1582000</v>
      </c>
      <c r="BO119" s="479">
        <f>'Hodnocení '!BO115</f>
        <v>762010</v>
      </c>
      <c r="BP119" s="479">
        <f>'Hodnocení '!BP115</f>
        <v>3919307</v>
      </c>
      <c r="BQ119" s="479">
        <f>'Hodnocení '!BQ115</f>
        <v>815436</v>
      </c>
      <c r="BR119" s="479">
        <f>'Hodnocení '!BR115</f>
        <v>874340</v>
      </c>
      <c r="BS119" s="479">
        <f>'Hodnocení '!BS115</f>
        <v>1297900</v>
      </c>
      <c r="BT119" s="479">
        <f>'Hodnocení '!BT115</f>
        <v>860100</v>
      </c>
      <c r="BU119" s="479">
        <f>'Hodnocení '!BU115</f>
        <v>3939338</v>
      </c>
      <c r="BV119" s="479">
        <f>'Hodnocení '!BV115</f>
        <v>588910</v>
      </c>
      <c r="BW119" s="479">
        <f>'Hodnocení '!BW115</f>
        <v>532683</v>
      </c>
      <c r="BX119" s="479">
        <f>'Hodnocení '!BX115</f>
        <v>4055253</v>
      </c>
      <c r="BY119" s="479">
        <f>'Hodnocení '!BY115</f>
        <v>1520144</v>
      </c>
      <c r="BZ119" s="479">
        <f>'Hodnocení '!BZ115</f>
        <v>324150</v>
      </c>
      <c r="CA119" s="479">
        <f>'Hodnocení '!CA115</f>
        <v>0</v>
      </c>
      <c r="CB119" s="479">
        <f>'Hodnocení '!CB115</f>
        <v>532263</v>
      </c>
      <c r="CC119" s="479">
        <f>'Hodnocení '!CC115</f>
        <v>2120418</v>
      </c>
      <c r="CD119" s="479">
        <f>'Hodnocení '!CD115</f>
        <v>647336</v>
      </c>
      <c r="CE119" s="479">
        <f>'Hodnocení '!CE115</f>
        <v>8268855</v>
      </c>
      <c r="CF119" s="479">
        <f>'Hodnocení '!CF115</f>
        <v>4326000</v>
      </c>
      <c r="CG119" s="479">
        <f>'Hodnocení '!CG115</f>
        <v>8224486</v>
      </c>
      <c r="CH119" s="479">
        <f>'Hodnocení '!CH115</f>
        <v>3654346</v>
      </c>
      <c r="CI119" s="479">
        <f>'Hodnocení '!CI115</f>
        <v>2882766</v>
      </c>
      <c r="CJ119" s="479">
        <f>'Hodnocení '!CJ115</f>
        <v>3459530</v>
      </c>
      <c r="CK119" s="479">
        <f>'Hodnocení '!CK115</f>
        <v>4176623</v>
      </c>
      <c r="CL119" s="479">
        <f>'Hodnocení '!CL115</f>
        <v>2384969</v>
      </c>
      <c r="CM119" s="479">
        <f>'Hodnocení '!CM115</f>
        <v>5320660</v>
      </c>
      <c r="CN119" s="479">
        <f>'Hodnocení '!CN115</f>
        <v>1282575.1399999999</v>
      </c>
      <c r="CO119" s="479">
        <f>'Hodnocení '!CO115</f>
        <v>1214500</v>
      </c>
      <c r="CP119" s="479">
        <f>'Hodnocení '!CP115</f>
        <v>1238425.46</v>
      </c>
      <c r="CQ119" s="479">
        <f>'Hodnocení '!CQ115</f>
        <v>4606266</v>
      </c>
      <c r="CR119" s="479">
        <f>'Hodnocení '!CR115</f>
        <v>1616800</v>
      </c>
      <c r="CS119" s="479">
        <f>'Hodnocení '!CS115</f>
        <v>0</v>
      </c>
      <c r="CT119" s="479">
        <f>'Hodnocení '!CT115</f>
        <v>5070000</v>
      </c>
      <c r="CU119" s="479">
        <f>'Hodnocení '!CU115</f>
        <v>1400500</v>
      </c>
      <c r="CV119" s="479">
        <f>'Hodnocení '!CV115</f>
        <v>5031500</v>
      </c>
      <c r="CW119" s="479">
        <f>'Hodnocení '!CW115</f>
        <v>271401</v>
      </c>
      <c r="CX119" s="479">
        <f>'Hodnocení '!CX115</f>
        <v>3128000</v>
      </c>
      <c r="CY119" s="479">
        <f>'Hodnocení '!CY115</f>
        <v>2748954</v>
      </c>
      <c r="CZ119" s="479">
        <f>'Hodnocení '!CZ115</f>
        <v>1006700</v>
      </c>
      <c r="DA119" s="479">
        <f>'Hodnocení '!DA115</f>
        <v>5580860</v>
      </c>
      <c r="DB119" s="479">
        <f>'Hodnocení '!DB115</f>
        <v>665328</v>
      </c>
      <c r="DC119" s="479">
        <f>'Hodnocení '!DC115</f>
        <v>1623500</v>
      </c>
      <c r="DD119" s="479">
        <f>'Hodnocení '!DD115</f>
        <v>4680513</v>
      </c>
      <c r="DE119" s="479">
        <f>'Hodnocení '!DE115</f>
        <v>7167606</v>
      </c>
      <c r="DF119" s="479">
        <f>'Hodnocení '!DF115</f>
        <v>5216852</v>
      </c>
      <c r="DG119" s="479">
        <f>'Hodnocení '!DG115</f>
        <v>605740</v>
      </c>
      <c r="DH119" s="479">
        <f>'Hodnocení '!DH115</f>
        <v>1606367.6400000001</v>
      </c>
      <c r="DI119" s="479">
        <f>'Hodnocení '!DI115</f>
        <v>1093940</v>
      </c>
      <c r="DJ119" s="479">
        <f>'Hodnocení '!DJ115</f>
        <v>1816958</v>
      </c>
      <c r="DK119" s="479">
        <f>'Hodnocení '!DK115</f>
        <v>910471</v>
      </c>
      <c r="DL119" s="479">
        <f>'Hodnocení '!DL115</f>
        <v>3817224</v>
      </c>
      <c r="DM119" s="479">
        <f>'Hodnocení '!DM115</f>
        <v>1734348</v>
      </c>
      <c r="DN119" s="479">
        <f>'Hodnocení '!DN115</f>
        <v>2980765</v>
      </c>
      <c r="DO119" s="479">
        <f>'Hodnocení '!DO115</f>
        <v>1397775</v>
      </c>
      <c r="DP119" s="479">
        <f>'Hodnocení '!DP115</f>
        <v>4045363.78</v>
      </c>
      <c r="DQ119" s="479">
        <f>'Hodnocení '!DQ115</f>
        <v>3907852</v>
      </c>
      <c r="DR119" s="479">
        <f>'Hodnocení '!DR115</f>
        <v>4477376</v>
      </c>
      <c r="DS119" s="479">
        <f>'Hodnocení '!DS115</f>
        <v>331000</v>
      </c>
      <c r="DT119" s="479">
        <f>'Hodnocení '!DT115</f>
        <v>2906291</v>
      </c>
      <c r="DU119" s="479">
        <f>'Hodnocení '!DU115</f>
        <v>2100600</v>
      </c>
      <c r="DV119" s="479">
        <f>'Hodnocení '!DV115</f>
        <v>3145477</v>
      </c>
      <c r="DW119" s="479">
        <f>'Hodnocení '!DW115</f>
        <v>1211410</v>
      </c>
      <c r="DX119" s="479">
        <f>'Hodnocení '!DX115</f>
        <v>4030918</v>
      </c>
      <c r="DY119" s="479">
        <f>'Hodnocení '!DY115</f>
        <v>3755150</v>
      </c>
      <c r="DZ119" s="479">
        <f>'Hodnocení '!DZ115</f>
        <v>716300</v>
      </c>
      <c r="EA119" s="479">
        <f>'Hodnocení '!EA115</f>
        <v>3895188</v>
      </c>
      <c r="EB119" s="479">
        <f>'Hodnocení '!EB115</f>
        <v>3882690</v>
      </c>
      <c r="EC119" s="479">
        <f>'Hodnocení '!EC115</f>
        <v>3345254</v>
      </c>
      <c r="ED119" s="479">
        <f>'Hodnocení '!ED115</f>
        <v>3472808</v>
      </c>
      <c r="EE119" s="479">
        <f>'Hodnocení '!EE115</f>
        <v>563624</v>
      </c>
      <c r="EF119" s="479">
        <f>'Hodnocení '!EF115</f>
        <v>669087.59</v>
      </c>
      <c r="EG119" s="479">
        <f>'Hodnocení '!EG115</f>
        <v>427828.99</v>
      </c>
      <c r="EH119" s="479">
        <f>'Hodnocení '!EH115</f>
        <v>559670</v>
      </c>
      <c r="EI119" s="479">
        <f>'Hodnocení '!EI115</f>
        <v>910753</v>
      </c>
      <c r="EJ119" s="479">
        <f>'Hodnocení '!EJ115</f>
        <v>1034374</v>
      </c>
      <c r="EK119" s="479">
        <f>'Hodnocení '!EK115</f>
        <v>3932042</v>
      </c>
      <c r="EL119" s="479">
        <f>'Hodnocení '!EL115</f>
        <v>8624026</v>
      </c>
      <c r="EM119" s="479">
        <f>'Hodnocení '!EM115</f>
        <v>2698808</v>
      </c>
      <c r="EN119" s="479">
        <f>'Hodnocení '!EN115</f>
        <v>2394473</v>
      </c>
      <c r="EO119" s="479">
        <f>'Hodnocení '!EO115</f>
        <v>236418</v>
      </c>
      <c r="EP119" s="479">
        <f>'Hodnocení '!EP115</f>
        <v>2171123</v>
      </c>
      <c r="EQ119" s="479">
        <f>'Hodnocení '!EQ115</f>
        <v>1844122</v>
      </c>
      <c r="ER119" s="479">
        <f>'Hodnocení '!ER115</f>
        <v>5251868</v>
      </c>
      <c r="ES119" s="479">
        <f>'Hodnocení '!ES115</f>
        <v>2770560</v>
      </c>
      <c r="ET119" s="479">
        <f>'Hodnocení '!ET115</f>
        <v>0</v>
      </c>
      <c r="EU119" s="479">
        <f>'Hodnocení '!EU115</f>
        <v>804000</v>
      </c>
      <c r="EV119" s="479">
        <f>'Hodnocení '!EV115</f>
        <v>225535</v>
      </c>
      <c r="EW119" s="479">
        <f>'Hodnocení '!EW115</f>
        <v>2356313</v>
      </c>
      <c r="EX119" s="479">
        <f>'Hodnocení '!EX115</f>
        <v>5404290</v>
      </c>
      <c r="EY119" s="479">
        <f>'Hodnocení '!EY115</f>
        <v>2044845</v>
      </c>
      <c r="EZ119" s="479">
        <f>'Hodnocení '!EZ115</f>
        <v>111326</v>
      </c>
      <c r="FA119" s="479">
        <f>'Hodnocení '!FA115</f>
        <v>793692</v>
      </c>
      <c r="FB119" s="479">
        <f>'Hodnocení '!FB115</f>
        <v>139761</v>
      </c>
      <c r="FC119" s="479">
        <f>'Hodnocení '!FC115</f>
        <v>3000000</v>
      </c>
      <c r="FD119" s="479">
        <f>'Hodnocení '!FD115</f>
        <v>772461</v>
      </c>
      <c r="FE119" s="479">
        <f>'Hodnocení '!FE115</f>
        <v>262500</v>
      </c>
      <c r="FF119" s="479">
        <f>'Hodnocení '!FF115</f>
        <v>1117120</v>
      </c>
      <c r="FG119" s="479">
        <f>'Hodnocení '!FG115</f>
        <v>4683650</v>
      </c>
      <c r="FH119" s="479">
        <f>'Hodnocení '!FH115</f>
        <v>5519580</v>
      </c>
      <c r="FI119" s="479">
        <f>'Hodnocení '!FI115</f>
        <v>5568487</v>
      </c>
      <c r="FJ119" s="479">
        <f>'Hodnocení '!FJ115</f>
        <v>1579046</v>
      </c>
      <c r="FK119" s="479">
        <f>'Hodnocení '!FK115</f>
        <v>281852</v>
      </c>
      <c r="FL119" s="479">
        <f>'Hodnocení '!FL115</f>
        <v>601762</v>
      </c>
      <c r="FM119" s="479">
        <f>'Hodnocení '!FM115</f>
        <v>2626403</v>
      </c>
      <c r="FN119" s="479">
        <f>'Hodnocení '!FN115</f>
        <v>6459380</v>
      </c>
      <c r="FO119" s="479">
        <f>'Hodnocení '!FO115</f>
        <v>1659657</v>
      </c>
      <c r="FP119" s="479">
        <f>'Hodnocení '!FP115</f>
        <v>12144452</v>
      </c>
      <c r="FQ119" s="479">
        <f>'Hodnocení '!FQ115</f>
        <v>1909423</v>
      </c>
      <c r="FR119" s="479">
        <f>'Hodnocení '!FR115</f>
        <v>0</v>
      </c>
      <c r="FS119" s="479">
        <f>'Hodnocení '!FS115</f>
        <v>477570</v>
      </c>
      <c r="FT119" s="479">
        <f>'Hodnocení '!FT115</f>
        <v>2948610</v>
      </c>
      <c r="FU119" s="479">
        <f>'Hodnocení '!FU115</f>
        <v>426547</v>
      </c>
      <c r="FV119" s="479">
        <f>'Hodnocení '!FV115</f>
        <v>559074</v>
      </c>
      <c r="FW119" s="479">
        <f>'Hodnocení '!FW115</f>
        <v>1013735</v>
      </c>
      <c r="FX119" s="479">
        <f>'Hodnocení '!FX115</f>
        <v>364926</v>
      </c>
      <c r="FY119" s="479">
        <f>'Hodnocení '!FY115</f>
        <v>209591</v>
      </c>
      <c r="FZ119" s="479">
        <f>'Hodnocení '!FZ115</f>
        <v>2576210</v>
      </c>
      <c r="GA119" s="479">
        <f>'Hodnocení '!GA115</f>
        <v>234850</v>
      </c>
      <c r="GB119" s="479">
        <f>'Hodnocení '!GB115</f>
        <v>1751320</v>
      </c>
      <c r="GC119" s="479">
        <f>'Hodnocení '!GC115</f>
        <v>2155529</v>
      </c>
      <c r="GD119" s="479">
        <f>'Hodnocení '!GD115</f>
        <v>7122291</v>
      </c>
      <c r="GE119" s="479">
        <f>'Hodnocení '!GE115</f>
        <v>1339065</v>
      </c>
      <c r="GF119" s="479">
        <f>'Hodnocení '!GF115</f>
        <v>3590557</v>
      </c>
      <c r="GG119" s="479">
        <f>'Hodnocení '!GG115</f>
        <v>1289981</v>
      </c>
      <c r="GH119" s="479">
        <f>'Hodnocení '!GH115</f>
        <v>1089582</v>
      </c>
      <c r="GI119" s="479">
        <f>'Hodnocení '!GI115</f>
        <v>6898917</v>
      </c>
      <c r="GJ119" s="479">
        <f>'Hodnocení '!GJ115</f>
        <v>1667501</v>
      </c>
      <c r="GK119" s="479">
        <f>'Hodnocení '!GK115</f>
        <v>666130</v>
      </c>
      <c r="GL119" s="479">
        <f>'Hodnocení '!GL115</f>
        <v>529296</v>
      </c>
      <c r="GM119" s="479">
        <f>'Hodnocení '!GM115</f>
        <v>753240</v>
      </c>
      <c r="GN119" s="479">
        <f>'Hodnocení '!GN115</f>
        <v>603116</v>
      </c>
      <c r="GO119" s="479">
        <f>'Hodnocení '!GO115</f>
        <v>3581549</v>
      </c>
      <c r="GP119" s="479">
        <f>'Hodnocení '!GP115</f>
        <v>520270</v>
      </c>
      <c r="GQ119" s="479">
        <f>'Hodnocení '!GQ115</f>
        <v>740230</v>
      </c>
      <c r="GR119" s="479">
        <f>'Hodnocení '!GR115</f>
        <v>693152</v>
      </c>
      <c r="GS119" s="479">
        <f>'Hodnocení '!GS115</f>
        <v>165886</v>
      </c>
      <c r="GT119" s="479">
        <f>'Hodnocení '!GT115</f>
        <v>8345502</v>
      </c>
      <c r="GU119" s="479">
        <f>'Hodnocení '!GU115</f>
        <v>761571</v>
      </c>
      <c r="GV119" s="479">
        <f>'Hodnocení '!GV115</f>
        <v>4959810</v>
      </c>
      <c r="GW119" s="479">
        <f>'Hodnocení '!GW115</f>
        <v>1133866</v>
      </c>
      <c r="GX119" s="479">
        <f>'Hodnocení '!GX115</f>
        <v>154333</v>
      </c>
      <c r="GY119" s="479">
        <f>'Hodnocení '!GY115</f>
        <v>10721860</v>
      </c>
      <c r="GZ119" s="479">
        <f>'Hodnocení '!GZ115</f>
        <v>0</v>
      </c>
      <c r="HA119" s="479">
        <f>'Hodnocení '!HA115</f>
        <v>4876560</v>
      </c>
      <c r="HB119" s="479">
        <f>'Hodnocení '!HB115</f>
        <v>1991460</v>
      </c>
      <c r="HC119" s="479">
        <f>'Hodnocení '!HC115</f>
        <v>5134000</v>
      </c>
      <c r="HD119" s="479">
        <f>'Hodnocení '!HD115</f>
        <v>1401300</v>
      </c>
      <c r="HE119" s="479">
        <f>'Hodnocení '!HE115</f>
        <v>4443200</v>
      </c>
      <c r="HF119" s="479">
        <f>'Hodnocení '!HF115</f>
        <v>707286</v>
      </c>
      <c r="HG119" s="479">
        <f>'Hodnocení '!HG115</f>
        <v>518077</v>
      </c>
      <c r="HH119" s="479">
        <f>'Hodnocení '!HH115</f>
        <v>1985778</v>
      </c>
      <c r="HI119" s="479">
        <f>'Hodnocení '!HI115</f>
        <v>1514623</v>
      </c>
      <c r="HJ119" s="479">
        <f>'Hodnocení '!HJ115</f>
        <v>495460</v>
      </c>
      <c r="HK119" s="479">
        <f>'Hodnocení '!HK115</f>
        <v>144000</v>
      </c>
      <c r="HL119" s="479">
        <f>'Hodnocení '!HL115</f>
        <v>37366967.243574739</v>
      </c>
      <c r="HM119" s="479">
        <f>'Hodnocení '!HM115</f>
        <v>25001512.541579321</v>
      </c>
      <c r="HN119" s="479">
        <f>'Hodnocení '!HN115</f>
        <v>808776.41538817156</v>
      </c>
      <c r="HO119" s="479">
        <f>'Hodnocení '!HO115</f>
        <v>2876769.799457768</v>
      </c>
      <c r="HP119" s="479">
        <f>'Hodnocení '!HP115</f>
        <v>27787218</v>
      </c>
      <c r="HQ119" s="479">
        <f>'Hodnocení '!HQ115</f>
        <v>978043.38080963399</v>
      </c>
      <c r="HR119" s="479">
        <f>'Hodnocení '!HR115</f>
        <v>33541191.281565275</v>
      </c>
      <c r="HS119" s="479">
        <f>'Hodnocení '!HS115</f>
        <v>5691227.33762509</v>
      </c>
      <c r="HT119" s="479">
        <f>'Hodnocení '!HT115</f>
        <v>22599685</v>
      </c>
      <c r="HU119" s="479">
        <f>'Hodnocení '!HU115</f>
        <v>21507994</v>
      </c>
      <c r="HV119" s="479">
        <f>'Hodnocení '!HV115</f>
        <v>16689127</v>
      </c>
      <c r="HW119" s="479">
        <f>'Hodnocení '!HW115</f>
        <v>6965541.9659980796</v>
      </c>
      <c r="HX119" s="479">
        <f>'Hodnocení '!HX115</f>
        <v>17983528.03400192</v>
      </c>
      <c r="HY119" s="479">
        <f>'Hodnocení '!HY115</f>
        <v>21105762</v>
      </c>
      <c r="HZ119" s="479">
        <f>'Hodnocení '!HZ115</f>
        <v>9565941</v>
      </c>
      <c r="IA119" s="479">
        <f>'Hodnocení '!IA115</f>
        <v>9107487</v>
      </c>
      <c r="IB119" s="479">
        <f>'Hodnocení '!IB115</f>
        <v>8575181</v>
      </c>
      <c r="IC119" s="479">
        <f>'Hodnocení '!IC115</f>
        <v>11233714.822746631</v>
      </c>
      <c r="ID119" s="479">
        <f>'Hodnocení '!ID115</f>
        <v>9255791.1772533692</v>
      </c>
      <c r="IE119" s="479">
        <f>'Hodnocení '!IE115</f>
        <v>16188892</v>
      </c>
      <c r="IF119" s="479">
        <f>'Hodnocení '!IF115</f>
        <v>20259987.198794641</v>
      </c>
      <c r="IG119" s="479">
        <f>'Hodnocení '!IG115</f>
        <v>5446079.8012053594</v>
      </c>
      <c r="IH119" s="479">
        <f>'Hodnocení '!IH115</f>
        <v>3012886.5890955012</v>
      </c>
      <c r="II119" s="479">
        <f>'Hodnocení '!II115</f>
        <v>20841865.049244203</v>
      </c>
      <c r="IJ119" s="479">
        <f>'Hodnocení '!IJ115</f>
        <v>1674908.5338407224</v>
      </c>
      <c r="IK119" s="479">
        <f>'Hodnocení '!IK115</f>
        <v>3577558.8278195728</v>
      </c>
      <c r="IL119" s="479">
        <f>'Hodnocení '!IL115</f>
        <v>9204656</v>
      </c>
      <c r="IM119" s="479">
        <f>'Hodnocení '!IM115</f>
        <v>701837.84282009513</v>
      </c>
      <c r="IN119" s="479">
        <f>'Hodnocení '!IN115</f>
        <v>10213951.504810652</v>
      </c>
      <c r="IO119" s="479">
        <f>'Hodnocení '!IO115</f>
        <v>3412493.6523692533</v>
      </c>
      <c r="IP119" s="479">
        <f>'Hodnocení '!IP115</f>
        <v>22515867</v>
      </c>
      <c r="IQ119" s="479">
        <f>'Hodnocení '!IQ115</f>
        <v>22563962.666168727</v>
      </c>
      <c r="IR119" s="479">
        <f>'Hodnocení '!IR115</f>
        <v>1003066.3338312713</v>
      </c>
      <c r="IS119" s="479">
        <f>'Hodnocení '!IS115</f>
        <v>53065674.509968996</v>
      </c>
      <c r="IT119" s="479">
        <f>'Hodnocení '!IT115</f>
        <v>12209859.490031004</v>
      </c>
      <c r="IU119" s="479">
        <f>'Hodnocení '!IU115</f>
        <v>3182630.0362361362</v>
      </c>
      <c r="IV119" s="479">
        <f>'Hodnocení '!IV115</f>
        <v>8522404.8188311569</v>
      </c>
      <c r="IW119" s="479">
        <f>'Hodnocení '!IW115</f>
        <v>15638894.711101327</v>
      </c>
      <c r="IX119" s="479">
        <f>'Hodnocení '!IX115</f>
        <v>1813436.4338313788</v>
      </c>
      <c r="IY119" s="479">
        <f>'Hodnocení '!IY115</f>
        <v>7604648.4471565671</v>
      </c>
      <c r="IZ119" s="479">
        <f>'Hodnocení '!IZ115</f>
        <v>18227943.552843433</v>
      </c>
      <c r="JA119" s="479">
        <f>'Hodnocení '!JA115</f>
        <v>3037151.73</v>
      </c>
      <c r="JB119" s="479">
        <f>'Hodnocení '!JB115</f>
        <v>2895174.04</v>
      </c>
      <c r="JC119" s="479">
        <f>'Hodnocení '!JC115</f>
        <v>2268778.09</v>
      </c>
      <c r="JD119" s="479">
        <f>'Hodnocení '!JD115</f>
        <v>5052980.7</v>
      </c>
      <c r="JE119" s="479">
        <f>'Hodnocení '!JE115</f>
        <v>1159105.145059247</v>
      </c>
      <c r="JF119" s="479">
        <f>'Hodnocení '!JF115</f>
        <v>29898599.85494075</v>
      </c>
      <c r="JG119" s="479">
        <f>'Hodnocení '!JG115</f>
        <v>30541537</v>
      </c>
      <c r="JH119" s="780">
        <f>'Hodnocení '!JH115</f>
        <v>868740</v>
      </c>
      <c r="JI119" s="470">
        <f>'Hodnocení '!JI115</f>
        <v>1165506510.0600002</v>
      </c>
      <c r="JL119" s="307">
        <f t="shared" ref="JL119:JO121" si="66">SUMIFS($C119:$JH119,$C$5:$JH$5,JL$5)</f>
        <v>22168505</v>
      </c>
      <c r="JM119" s="307">
        <f t="shared" si="66"/>
        <v>364768028.49999994</v>
      </c>
      <c r="JN119" s="307">
        <f t="shared" si="66"/>
        <v>153322946</v>
      </c>
      <c r="JO119" s="307">
        <f t="shared" si="66"/>
        <v>625247030.56000006</v>
      </c>
      <c r="JP119" s="307">
        <f t="shared" ref="JP119:JP120" si="67">SUM(JL119:JO119)</f>
        <v>1165506510.0599999</v>
      </c>
    </row>
    <row r="120" spans="1:276" hidden="1" x14ac:dyDescent="0.25">
      <c r="B120" s="743" t="str">
        <f>B106</f>
        <v>Celkem 2020 (přes KHK) po korekcích</v>
      </c>
      <c r="C120" s="779">
        <f>'Hodnocení '!C116</f>
        <v>8884422.5558247231</v>
      </c>
      <c r="D120" s="479">
        <f>'Hodnocení '!D116</f>
        <v>7730000</v>
      </c>
      <c r="E120" s="479">
        <f>'Hodnocení '!E116</f>
        <v>8299184.4088107003</v>
      </c>
      <c r="F120" s="479">
        <f>'Hodnocení '!F116</f>
        <v>3616884.7088353573</v>
      </c>
      <c r="G120" s="479">
        <f>'Hodnocení '!G116</f>
        <v>10328003.127290595</v>
      </c>
      <c r="H120" s="479">
        <f>'Hodnocení '!H116</f>
        <v>916710.41611130896</v>
      </c>
      <c r="I120" s="479">
        <f>'Hodnocení '!I116</f>
        <v>3162879.4741952131</v>
      </c>
      <c r="J120" s="479">
        <f>'Hodnocení '!J116</f>
        <v>2804600.7844202179</v>
      </c>
      <c r="K120" s="479">
        <f>'Hodnocení '!K116</f>
        <v>5988080</v>
      </c>
      <c r="L120" s="479">
        <f>'Hodnocení '!L116</f>
        <v>3774970</v>
      </c>
      <c r="M120" s="479">
        <f>'Hodnocení '!M116</f>
        <v>3667775.238895766</v>
      </c>
      <c r="N120" s="479">
        <f>'Hodnocení '!N116</f>
        <v>5360828.6030266704</v>
      </c>
      <c r="O120" s="479">
        <f>'Hodnocení '!O116</f>
        <v>4306141</v>
      </c>
      <c r="P120" s="479">
        <f>'Hodnocení '!P116</f>
        <v>2453026.0021816893</v>
      </c>
      <c r="Q120" s="479">
        <f>'Hodnocení '!Q116</f>
        <v>1836488.4791010155</v>
      </c>
      <c r="R120" s="479">
        <f>'Hodnocení '!R116</f>
        <v>2030000</v>
      </c>
      <c r="S120" s="479">
        <f>'Hodnocení '!S116</f>
        <v>1637152.8</v>
      </c>
      <c r="T120" s="479">
        <f>'Hodnocení '!T116</f>
        <v>622773.51077815378</v>
      </c>
      <c r="U120" s="479">
        <f>'Hodnocení '!U116</f>
        <v>1087500</v>
      </c>
      <c r="V120" s="479">
        <f>'Hodnocení '!V116</f>
        <v>8493620</v>
      </c>
      <c r="W120" s="479">
        <f>'Hodnocení '!W116</f>
        <v>2130000</v>
      </c>
      <c r="X120" s="479">
        <f>'Hodnocení '!X116</f>
        <v>2304335.8095085779</v>
      </c>
      <c r="Y120" s="479">
        <f>'Hodnocení '!Y116</f>
        <v>1770700</v>
      </c>
      <c r="Z120" s="479">
        <f>'Hodnocení '!Z116</f>
        <v>7231924</v>
      </c>
      <c r="AA120" s="479">
        <f>'Hodnocení '!AA116</f>
        <v>4244705.4490248738</v>
      </c>
      <c r="AB120" s="479">
        <f>'Hodnocení '!AB116</f>
        <v>3678130.7057224135</v>
      </c>
      <c r="AC120" s="479">
        <f>'Hodnocení '!AC116</f>
        <v>640000.31194833247</v>
      </c>
      <c r="AD120" s="479">
        <f>'Hodnocení '!AD116</f>
        <v>2590229.1206235653</v>
      </c>
      <c r="AE120" s="479">
        <f>'Hodnocení '!AE116</f>
        <v>1133448.5258989439</v>
      </c>
      <c r="AF120" s="479">
        <f>'Hodnocení '!AF116</f>
        <v>3323451.9295379585</v>
      </c>
      <c r="AG120" s="479">
        <f>'Hodnocení '!AG116</f>
        <v>3450812.7548698969</v>
      </c>
      <c r="AH120" s="479">
        <f>'Hodnocení '!AH116</f>
        <v>760000</v>
      </c>
      <c r="AI120" s="479">
        <f>'Hodnocení '!AI116</f>
        <v>3404000</v>
      </c>
      <c r="AJ120" s="479">
        <f>'Hodnocení '!AJ116</f>
        <v>2585000</v>
      </c>
      <c r="AK120" s="479">
        <f>'Hodnocení '!AK116</f>
        <v>1251400</v>
      </c>
      <c r="AL120" s="479">
        <f>'Hodnocení '!AL116</f>
        <v>1952909.1633510776</v>
      </c>
      <c r="AM120" s="479">
        <f>'Hodnocení '!AM116</f>
        <v>1499708.3726341231</v>
      </c>
      <c r="AN120" s="479">
        <f>'Hodnocení '!AN116</f>
        <v>1148955.198498779</v>
      </c>
      <c r="AO120" s="479">
        <f>'Hodnocení '!AO116</f>
        <v>4883755.5596356187</v>
      </c>
      <c r="AP120" s="479">
        <f>'Hodnocení '!AP116</f>
        <v>2124765.1162296012</v>
      </c>
      <c r="AQ120" s="479">
        <f>'Hodnocení '!AQ116</f>
        <v>491000</v>
      </c>
      <c r="AR120" s="479">
        <f>'Hodnocení '!AR116</f>
        <v>1531740.3992508459</v>
      </c>
      <c r="AS120" s="479">
        <f>'Hodnocení '!AS116</f>
        <v>495253.22022333386</v>
      </c>
      <c r="AT120" s="479">
        <f>'Hodnocení '!AT116</f>
        <v>2498113.4323683418</v>
      </c>
      <c r="AU120" s="479">
        <f>'Hodnocení '!AU116</f>
        <v>992216.93946642126</v>
      </c>
      <c r="AV120" s="479">
        <f>'Hodnocení '!AV116</f>
        <v>2003660.6772952261</v>
      </c>
      <c r="AW120" s="479">
        <f>'Hodnocení '!AW116</f>
        <v>3359522.5550434329</v>
      </c>
      <c r="AX120" s="479">
        <f>'Hodnocení '!AX116</f>
        <v>3240135.311080751</v>
      </c>
      <c r="AY120" s="479">
        <f>'Hodnocení '!AY116</f>
        <v>3300190.5406568907</v>
      </c>
      <c r="AZ120" s="479">
        <f>'Hodnocení '!AZ116</f>
        <v>2981000</v>
      </c>
      <c r="BA120" s="479">
        <f>'Hodnocení '!BA116</f>
        <v>9230000</v>
      </c>
      <c r="BB120" s="479">
        <f>'Hodnocení '!BB116</f>
        <v>1312920</v>
      </c>
      <c r="BC120" s="479">
        <f>'Hodnocení '!BC116</f>
        <v>1223742.4938025323</v>
      </c>
      <c r="BD120" s="479">
        <f>'Hodnocení '!BD116</f>
        <v>1916258.3325785431</v>
      </c>
      <c r="BE120" s="479">
        <f>'Hodnocení '!BE116</f>
        <v>1290934.3566507786</v>
      </c>
      <c r="BF120" s="479">
        <f>'Hodnocení '!BF116</f>
        <v>2020000</v>
      </c>
      <c r="BG120" s="479">
        <f>'Hodnocení '!BG116</f>
        <v>2499000</v>
      </c>
      <c r="BH120" s="479">
        <f>'Hodnocení '!BH116</f>
        <v>3206000</v>
      </c>
      <c r="BI120" s="479">
        <f>'Hodnocení '!BI116</f>
        <v>1270000</v>
      </c>
      <c r="BJ120" s="479">
        <f>'Hodnocení '!BJ116</f>
        <v>2734458.8535647267</v>
      </c>
      <c r="BK120" s="479">
        <f>'Hodnocení '!BK116</f>
        <v>988000</v>
      </c>
      <c r="BL120" s="479">
        <f>'Hodnocení '!BL116</f>
        <v>455138.49500087276</v>
      </c>
      <c r="BM120" s="479">
        <f>'Hodnocení '!BM116</f>
        <v>1464826</v>
      </c>
      <c r="BN120" s="479">
        <f>'Hodnocení '!BN116</f>
        <v>1641101.9931537434</v>
      </c>
      <c r="BO120" s="479">
        <f>'Hodnocení '!BO116</f>
        <v>1025279.6524752458</v>
      </c>
      <c r="BP120" s="479">
        <f>'Hodnocení '!BP116</f>
        <v>4652080</v>
      </c>
      <c r="BQ120" s="479">
        <f>'Hodnocení '!BQ116</f>
        <v>913797.62127129629</v>
      </c>
      <c r="BR120" s="479">
        <f>'Hodnocení '!BR116</f>
        <v>1013021</v>
      </c>
      <c r="BS120" s="479">
        <f>'Hodnocení '!BS116</f>
        <v>1300282.2989678741</v>
      </c>
      <c r="BT120" s="479">
        <f>'Hodnocení '!BT116</f>
        <v>914160.26616723067</v>
      </c>
      <c r="BU120" s="479">
        <f>'Hodnocení '!BU116</f>
        <v>3939338</v>
      </c>
      <c r="BV120" s="479">
        <f>'Hodnocení '!BV116</f>
        <v>1177908.0353182531</v>
      </c>
      <c r="BW120" s="479">
        <f>'Hodnocení '!BW116</f>
        <v>532683</v>
      </c>
      <c r="BX120" s="479">
        <f>'Hodnocení '!BX116</f>
        <v>5208889.1910633538</v>
      </c>
      <c r="BY120" s="479">
        <f>'Hodnocení '!BY116</f>
        <v>1520144</v>
      </c>
      <c r="BZ120" s="479">
        <f>'Hodnocení '!BZ116</f>
        <v>324150</v>
      </c>
      <c r="CA120" s="479">
        <f>'Hodnocení '!CA116</f>
        <v>0</v>
      </c>
      <c r="CB120" s="479">
        <f>'Hodnocení '!CB116</f>
        <v>571519.10142146726</v>
      </c>
      <c r="CC120" s="479">
        <f>'Hodnocení '!CC116</f>
        <v>2238055.6625416637</v>
      </c>
      <c r="CD120" s="479">
        <f>'Hodnocení '!CD116</f>
        <v>637848.21685573971</v>
      </c>
      <c r="CE120" s="479">
        <f>'Hodnocení '!CE116</f>
        <v>9715050.1253167707</v>
      </c>
      <c r="CF120" s="479">
        <f>'Hodnocení '!CF116</f>
        <v>4453617.8393289512</v>
      </c>
      <c r="CG120" s="479">
        <f>'Hodnocení '!CG116</f>
        <v>8794581.4960704464</v>
      </c>
      <c r="CH120" s="479">
        <f>'Hodnocení '!CH116</f>
        <v>3959479.0792496316</v>
      </c>
      <c r="CI120" s="479">
        <f>'Hodnocení '!CI116</f>
        <v>3318851.9671994289</v>
      </c>
      <c r="CJ120" s="479">
        <f>'Hodnocení '!CJ116</f>
        <v>3854195.0818283353</v>
      </c>
      <c r="CK120" s="479">
        <f>'Hodnocení '!CK116</f>
        <v>4466000</v>
      </c>
      <c r="CL120" s="479">
        <f>'Hodnocení '!CL116</f>
        <v>2801364.0281396648</v>
      </c>
      <c r="CM120" s="479">
        <f>'Hodnocení '!CM116</f>
        <v>6012336.4399863137</v>
      </c>
      <c r="CN120" s="479">
        <f>'Hodnocení '!CN116</f>
        <v>1342009.9127194914</v>
      </c>
      <c r="CO120" s="479">
        <f>'Hodnocení '!CO116</f>
        <v>1214500</v>
      </c>
      <c r="CP120" s="479">
        <f>'Hodnocení '!CP116</f>
        <v>1268807.7168003041</v>
      </c>
      <c r="CQ120" s="479">
        <f>'Hodnocení '!CQ116</f>
        <v>5515036.573718125</v>
      </c>
      <c r="CR120" s="479">
        <f>'Hodnocení '!CR116</f>
        <v>2331094</v>
      </c>
      <c r="CS120" s="479">
        <f>'Hodnocení '!CS116</f>
        <v>3589793.26</v>
      </c>
      <c r="CT120" s="479">
        <f>'Hodnocení '!CT116</f>
        <v>5929679.8103662794</v>
      </c>
      <c r="CU120" s="479">
        <f>'Hodnocení '!CU116</f>
        <v>1875000</v>
      </c>
      <c r="CV120" s="479">
        <f>'Hodnocení '!CV116</f>
        <v>5644990.9859210327</v>
      </c>
      <c r="CW120" s="479">
        <f>'Hodnocení '!CW116</f>
        <v>400000</v>
      </c>
      <c r="CX120" s="479">
        <f>'Hodnocení '!CX116</f>
        <v>3457000</v>
      </c>
      <c r="CY120" s="479">
        <f>'Hodnocení '!CY116</f>
        <v>2881083.2839012085</v>
      </c>
      <c r="CZ120" s="479">
        <f>'Hodnocení '!CZ116</f>
        <v>1374700</v>
      </c>
      <c r="DA120" s="479">
        <f>'Hodnocení '!DA116</f>
        <v>7650000</v>
      </c>
      <c r="DB120" s="479">
        <f>'Hodnocení '!DB116</f>
        <v>760808</v>
      </c>
      <c r="DC120" s="479">
        <f>'Hodnocení '!DC116</f>
        <v>1952214.4635382525</v>
      </c>
      <c r="DD120" s="479">
        <f>'Hodnocení '!DD116</f>
        <v>5799369.6959123211</v>
      </c>
      <c r="DE120" s="479">
        <f>'Hodnocení '!DE116</f>
        <v>7596996.8713862468</v>
      </c>
      <c r="DF120" s="479">
        <f>'Hodnocení '!DF116</f>
        <v>4660760</v>
      </c>
      <c r="DG120" s="479">
        <f>'Hodnocení '!DG116</f>
        <v>802938.16515118408</v>
      </c>
      <c r="DH120" s="479">
        <f>'Hodnocení '!DH116</f>
        <v>2437341.0743335127</v>
      </c>
      <c r="DI120" s="479">
        <f>'Hodnocení '!DI116</f>
        <v>1137805.3840966881</v>
      </c>
      <c r="DJ120" s="479">
        <f>'Hodnocení '!DJ116</f>
        <v>1920826</v>
      </c>
      <c r="DK120" s="479">
        <f>'Hodnocení '!DK116</f>
        <v>2801780.6534043886</v>
      </c>
      <c r="DL120" s="479">
        <f>'Hodnocení '!DL116</f>
        <v>4094296.2218004535</v>
      </c>
      <c r="DM120" s="479">
        <f>'Hodnocení '!DM116</f>
        <v>1905503.0838138557</v>
      </c>
      <c r="DN120" s="479">
        <f>'Hodnocení '!DN116</f>
        <v>3604667</v>
      </c>
      <c r="DO120" s="479">
        <f>'Hodnocení '!DO116</f>
        <v>1402300.3922101089</v>
      </c>
      <c r="DP120" s="479">
        <f>'Hodnocení '!DP116</f>
        <v>4045363.78</v>
      </c>
      <c r="DQ120" s="479">
        <f>'Hodnocení '!DQ116</f>
        <v>3939645</v>
      </c>
      <c r="DR120" s="479">
        <f>'Hodnocení '!DR116</f>
        <v>4423025</v>
      </c>
      <c r="DS120" s="479">
        <f>'Hodnocení '!DS116</f>
        <v>878000</v>
      </c>
      <c r="DT120" s="479">
        <f>'Hodnocení '!DT116</f>
        <v>3379864.0513730422</v>
      </c>
      <c r="DU120" s="479">
        <f>'Hodnocení '!DU116</f>
        <v>2119508.9633388799</v>
      </c>
      <c r="DV120" s="479">
        <f>'Hodnocení '!DV116</f>
        <v>4423333</v>
      </c>
      <c r="DW120" s="479">
        <f>'Hodnocení '!DW116</f>
        <v>1463011.5734570101</v>
      </c>
      <c r="DX120" s="479">
        <f>'Hodnocení '!DX116</f>
        <v>4464719.1541079516</v>
      </c>
      <c r="DY120" s="479">
        <f>'Hodnocení '!DY116</f>
        <v>4581142.7504826486</v>
      </c>
      <c r="DZ120" s="479">
        <f>'Hodnocení '!DZ116</f>
        <v>723925.6888148766</v>
      </c>
      <c r="EA120" s="479">
        <f>'Hodnocení '!EA116</f>
        <v>3910500</v>
      </c>
      <c r="EB120" s="479">
        <f>'Hodnocení '!EB116</f>
        <v>5751412.8583436497</v>
      </c>
      <c r="EC120" s="479">
        <f>'Hodnocení '!EC116</f>
        <v>3507637.7512384658</v>
      </c>
      <c r="ED120" s="479">
        <f>'Hodnocení '!ED116</f>
        <v>3789855.4215401057</v>
      </c>
      <c r="EE120" s="479">
        <f>'Hodnocení '!EE116</f>
        <v>610000</v>
      </c>
      <c r="EF120" s="479">
        <f>'Hodnocení '!EF116</f>
        <v>666000</v>
      </c>
      <c r="EG120" s="479">
        <f>'Hodnocení '!EG116</f>
        <v>425000</v>
      </c>
      <c r="EH120" s="479">
        <f>'Hodnocení '!EH116</f>
        <v>595000</v>
      </c>
      <c r="EI120" s="479">
        <f>'Hodnocení '!EI116</f>
        <v>1025000</v>
      </c>
      <c r="EJ120" s="479">
        <f>'Hodnocení '!EJ116</f>
        <v>1254497.1182819521</v>
      </c>
      <c r="EK120" s="479">
        <f>'Hodnocení '!EK116</f>
        <v>3932042</v>
      </c>
      <c r="EL120" s="479">
        <f>'Hodnocení '!EL116</f>
        <v>8896075.9201217424</v>
      </c>
      <c r="EM120" s="479">
        <f>'Hodnocení '!EM116</f>
        <v>2765690.3194428757</v>
      </c>
      <c r="EN120" s="479">
        <f>'Hodnocení '!EN116</f>
        <v>2526602</v>
      </c>
      <c r="EO120" s="479">
        <f>'Hodnocení '!EO116</f>
        <v>326536.14681555587</v>
      </c>
      <c r="EP120" s="479">
        <f>'Hodnocení '!EP116</f>
        <v>2970065</v>
      </c>
      <c r="EQ120" s="479">
        <f>'Hodnocení '!EQ116</f>
        <v>2318152.5044244276</v>
      </c>
      <c r="ER120" s="479">
        <f>'Hodnocení '!ER116</f>
        <v>6229000</v>
      </c>
      <c r="ES120" s="479">
        <f>'Hodnocení '!ES116</f>
        <v>2889369.4473401564</v>
      </c>
      <c r="ET120" s="479">
        <f>'Hodnocení '!ET116</f>
        <v>901340</v>
      </c>
      <c r="EU120" s="479">
        <f>'Hodnocení '!EU116</f>
        <v>2056000</v>
      </c>
      <c r="EV120" s="479">
        <f>'Hodnocení '!EV116</f>
        <v>443085.98782481399</v>
      </c>
      <c r="EW120" s="479">
        <f>'Hodnocení '!EW116</f>
        <v>2505057.7705038232</v>
      </c>
      <c r="EX120" s="479">
        <f>'Hodnocení '!EX116</f>
        <v>5574308.9853405347</v>
      </c>
      <c r="EY120" s="479">
        <f>'Hodnocení '!EY116</f>
        <v>2059165.8751551495</v>
      </c>
      <c r="EZ120" s="479">
        <f>'Hodnocení '!EZ116</f>
        <v>0</v>
      </c>
      <c r="FA120" s="479">
        <f>'Hodnocení '!FA116</f>
        <v>990000</v>
      </c>
      <c r="FB120" s="479">
        <f>'Hodnocení '!FB116</f>
        <v>177814.53304874955</v>
      </c>
      <c r="FC120" s="479">
        <f>'Hodnocení '!FC116</f>
        <v>3042203.9813623684</v>
      </c>
      <c r="FD120" s="479">
        <f>'Hodnocení '!FD116</f>
        <v>1059104.6825002881</v>
      </c>
      <c r="FE120" s="479">
        <f>'Hodnocení '!FE116</f>
        <v>343252.91334718862</v>
      </c>
      <c r="FF120" s="479">
        <f>'Hodnocení '!FF116</f>
        <v>1441591.96</v>
      </c>
      <c r="FG120" s="479">
        <f>'Hodnocení '!FG116</f>
        <v>5703200</v>
      </c>
      <c r="FH120" s="479">
        <f>'Hodnocení '!FH116</f>
        <v>5790606.0491879787</v>
      </c>
      <c r="FI120" s="479">
        <f>'Hodnocení '!FI116</f>
        <v>7582387.4650456514</v>
      </c>
      <c r="FJ120" s="479">
        <f>'Hodnocení '!FJ116</f>
        <v>1854520.9697589942</v>
      </c>
      <c r="FK120" s="479">
        <f>'Hodnocení '!FK116</f>
        <v>117156.2027371416</v>
      </c>
      <c r="FL120" s="479">
        <f>'Hodnocení '!FL116</f>
        <v>289530.78772289003</v>
      </c>
      <c r="FM120" s="479">
        <f>'Hodnocení '!FM116</f>
        <v>943015.1290333569</v>
      </c>
      <c r="FN120" s="479">
        <f>'Hodnocení '!FN116</f>
        <v>7003025.5498415343</v>
      </c>
      <c r="FO120" s="479">
        <f>'Hodnocení '!FO116</f>
        <v>1654621.1373999999</v>
      </c>
      <c r="FP120" s="479">
        <f>'Hodnocení '!FP116</f>
        <v>12351204.308851836</v>
      </c>
      <c r="FQ120" s="479">
        <f>'Hodnocení '!FQ116</f>
        <v>1972278.2238</v>
      </c>
      <c r="FR120" s="479">
        <f>'Hodnocení '!FR116</f>
        <v>2898098.2380630779</v>
      </c>
      <c r="FS120" s="479">
        <f>'Hodnocení '!FS116</f>
        <v>464007.95</v>
      </c>
      <c r="FT120" s="479">
        <f>'Hodnocení '!FT116</f>
        <v>3255891.8040901599</v>
      </c>
      <c r="FU120" s="479">
        <f>'Hodnocení '!FU116</f>
        <v>465828.80444292724</v>
      </c>
      <c r="FV120" s="479">
        <f>'Hodnocení '!FV116</f>
        <v>559247.1692367394</v>
      </c>
      <c r="FW120" s="479">
        <f>'Hodnocení '!FW116</f>
        <v>937680.03042577044</v>
      </c>
      <c r="FX120" s="479">
        <f>'Hodnocení '!FX116</f>
        <v>384533.50336206751</v>
      </c>
      <c r="FY120" s="479">
        <f>'Hodnocení '!FY116</f>
        <v>200000</v>
      </c>
      <c r="FZ120" s="479">
        <f>'Hodnocení '!FZ116</f>
        <v>2571154.0852688877</v>
      </c>
      <c r="GA120" s="479">
        <f>'Hodnocení '!GA116</f>
        <v>235086.12772381899</v>
      </c>
      <c r="GB120" s="479">
        <f>'Hodnocení '!GB116</f>
        <v>2245960.1198871755</v>
      </c>
      <c r="GC120" s="479">
        <f>'Hodnocení '!GC116</f>
        <v>2171084.1398516875</v>
      </c>
      <c r="GD120" s="479">
        <f>'Hodnocení '!GD116</f>
        <v>7928941.2458636481</v>
      </c>
      <c r="GE120" s="479">
        <f>'Hodnocení '!GE116</f>
        <v>1385331</v>
      </c>
      <c r="GF120" s="479">
        <f>'Hodnocení '!GF116</f>
        <v>3881575.8495693267</v>
      </c>
      <c r="GG120" s="479">
        <f>'Hodnocení '!GG116</f>
        <v>1157418.4633801784</v>
      </c>
      <c r="GH120" s="479">
        <f>'Hodnocení '!GH116</f>
        <v>1054717</v>
      </c>
      <c r="GI120" s="479">
        <f>'Hodnocení '!GI116</f>
        <v>7754404.1747833164</v>
      </c>
      <c r="GJ120" s="479">
        <f>'Hodnocení '!GJ116</f>
        <v>1839200.3392906617</v>
      </c>
      <c r="GK120" s="479">
        <f>'Hodnocení '!GK116</f>
        <v>1100000</v>
      </c>
      <c r="GL120" s="479">
        <f>'Hodnocení '!GL116</f>
        <v>469954.02825609827</v>
      </c>
      <c r="GM120" s="479">
        <f>'Hodnocení '!GM116</f>
        <v>692537.52275552833</v>
      </c>
      <c r="GN120" s="479">
        <f>'Hodnocení '!GN116</f>
        <v>788769.06011215365</v>
      </c>
      <c r="GO120" s="479">
        <f>'Hodnocení '!GO116</f>
        <v>4468795.486137961</v>
      </c>
      <c r="GP120" s="479">
        <f>'Hodnocení '!GP116</f>
        <v>484458.62365770375</v>
      </c>
      <c r="GQ120" s="479">
        <f>'Hodnocení '!GQ116</f>
        <v>309592.78871686111</v>
      </c>
      <c r="GR120" s="479">
        <f>'Hodnocení '!GR116</f>
        <v>610000</v>
      </c>
      <c r="GS120" s="479">
        <f>'Hodnocení '!GS116</f>
        <v>0</v>
      </c>
      <c r="GT120" s="479">
        <f>'Hodnocení '!GT116</f>
        <v>8684791.9089435674</v>
      </c>
      <c r="GU120" s="479">
        <f>'Hodnocení '!GU116</f>
        <v>807440</v>
      </c>
      <c r="GV120" s="479">
        <f>'Hodnocení '!GV116</f>
        <v>5000000</v>
      </c>
      <c r="GW120" s="479">
        <f>'Hodnocení '!GW116</f>
        <v>941724.88907427166</v>
      </c>
      <c r="GX120" s="479">
        <f>'Hodnocení '!GX116</f>
        <v>150000</v>
      </c>
      <c r="GY120" s="479">
        <f>'Hodnocení '!GY116</f>
        <v>11169700.678891907</v>
      </c>
      <c r="GZ120" s="479">
        <f>'Hodnocení '!GZ116</f>
        <v>3222820.7912944802</v>
      </c>
      <c r="HA120" s="479">
        <f>'Hodnocení '!HA116</f>
        <v>5200000</v>
      </c>
      <c r="HB120" s="479">
        <f>'Hodnocení '!HB116</f>
        <v>2241824.8575916188</v>
      </c>
      <c r="HC120" s="479">
        <f>'Hodnocení '!HC116</f>
        <v>5534657.4581430918</v>
      </c>
      <c r="HD120" s="479">
        <f>'Hodnocení '!HD116</f>
        <v>1908552.7255373849</v>
      </c>
      <c r="HE120" s="479">
        <f>'Hodnocení '!HE116</f>
        <v>4945200</v>
      </c>
      <c r="HF120" s="479">
        <f>'Hodnocení '!HF116</f>
        <v>780918.93476073246</v>
      </c>
      <c r="HG120" s="479">
        <f>'Hodnocení '!HG116</f>
        <v>483764.13760522264</v>
      </c>
      <c r="HH120" s="479">
        <f>'Hodnocení '!HH116</f>
        <v>1870575.3205709462</v>
      </c>
      <c r="HI120" s="479">
        <f>'Hodnocení '!HI116</f>
        <v>1243943.1770259617</v>
      </c>
      <c r="HJ120" s="479">
        <f>'Hodnocení '!HJ116</f>
        <v>997908.83102156827</v>
      </c>
      <c r="HK120" s="479">
        <f>'Hodnocení '!HK116</f>
        <v>0</v>
      </c>
      <c r="HL120" s="479">
        <f>'Hodnocení '!HL116</f>
        <v>37616967.243574739</v>
      </c>
      <c r="HM120" s="479">
        <f>'Hodnocení '!HM116</f>
        <v>25001512.541579325</v>
      </c>
      <c r="HN120" s="479">
        <f>'Hodnocení '!HN116</f>
        <v>992757.48207886913</v>
      </c>
      <c r="HO120" s="479">
        <f>'Hodnocení '!HO116</f>
        <v>2847160.6666890793</v>
      </c>
      <c r="HP120" s="479">
        <f>'Hodnocení '!HP116</f>
        <v>27787218</v>
      </c>
      <c r="HQ120" s="479">
        <f>'Hodnocení '!HQ116</f>
        <v>978043.38080963399</v>
      </c>
      <c r="HR120" s="479">
        <f>'Hodnocení '!HR116</f>
        <v>34333691.281565279</v>
      </c>
      <c r="HS120" s="479">
        <f>'Hodnocení '!HS116</f>
        <v>6456227.33762509</v>
      </c>
      <c r="HT120" s="479">
        <f>'Hodnocení '!HT116</f>
        <v>22599685</v>
      </c>
      <c r="HU120" s="479">
        <f>'Hodnocení '!HU116</f>
        <v>21507994</v>
      </c>
      <c r="HV120" s="479">
        <f>'Hodnocení '!HV116</f>
        <v>18189127</v>
      </c>
      <c r="HW120" s="479">
        <f>'Hodnocení '!HW116</f>
        <v>4980541.9659980796</v>
      </c>
      <c r="HX120" s="479">
        <f>'Hodnocení '!HX116</f>
        <v>20768528.03400192</v>
      </c>
      <c r="HY120" s="479">
        <f>'Hodnocení '!HY116</f>
        <v>21105762</v>
      </c>
      <c r="HZ120" s="479">
        <f>'Hodnocení '!HZ116</f>
        <v>9565941</v>
      </c>
      <c r="IA120" s="479">
        <f>'Hodnocení '!IA116</f>
        <v>9107487</v>
      </c>
      <c r="IB120" s="479">
        <f>'Hodnocení '!IB116</f>
        <v>9035181</v>
      </c>
      <c r="IC120" s="479">
        <f>'Hodnocení '!IC116</f>
        <v>11233714.822746631</v>
      </c>
      <c r="ID120" s="479">
        <f>'Hodnocení '!ID116</f>
        <v>9255791.1772533692</v>
      </c>
      <c r="IE120" s="479">
        <f>'Hodnocení '!IE116</f>
        <v>16688892</v>
      </c>
      <c r="IF120" s="479">
        <f>'Hodnocení '!IF116</f>
        <v>20509987.198794641</v>
      </c>
      <c r="IG120" s="479">
        <f>'Hodnocení '!IG116</f>
        <v>5446079.8012053594</v>
      </c>
      <c r="IH120" s="479">
        <f>'Hodnocení '!IH116</f>
        <v>3012886.5890955012</v>
      </c>
      <c r="II120" s="479">
        <f>'Hodnocení '!II116</f>
        <v>21271865.049244203</v>
      </c>
      <c r="IJ120" s="479">
        <f>'Hodnocení '!IJ116</f>
        <v>1774908.5338407224</v>
      </c>
      <c r="IK120" s="479">
        <f>'Hodnocení '!IK116</f>
        <v>3740263.7456418383</v>
      </c>
      <c r="IL120" s="479">
        <f>'Hodnocení '!IL116</f>
        <v>10104656</v>
      </c>
      <c r="IM120" s="479">
        <f>'Hodnocení '!IM116</f>
        <v>701837.84282009513</v>
      </c>
      <c r="IN120" s="479">
        <f>'Hodnocení '!IN116</f>
        <v>10213951.504810652</v>
      </c>
      <c r="IO120" s="479">
        <f>'Hodnocení '!IO116</f>
        <v>3412493.6523692533</v>
      </c>
      <c r="IP120" s="479">
        <f>'Hodnocení '!IP116</f>
        <v>22515867</v>
      </c>
      <c r="IQ120" s="479">
        <f>'Hodnocení '!IQ116</f>
        <v>22563962.666168727</v>
      </c>
      <c r="IR120" s="479">
        <f>'Hodnocení '!IR116</f>
        <v>1003066.3338312713</v>
      </c>
      <c r="IS120" s="479">
        <f>'Hodnocení '!IS116</f>
        <v>54465674.509968989</v>
      </c>
      <c r="IT120" s="479">
        <f>'Hodnocení '!IT116</f>
        <v>12509859.490031006</v>
      </c>
      <c r="IU120" s="479">
        <f>'Hodnocení '!IU116</f>
        <v>3182630.0362361362</v>
      </c>
      <c r="IV120" s="479">
        <f>'Hodnocení '!IV116</f>
        <v>8522404.8188311569</v>
      </c>
      <c r="IW120" s="479">
        <f>'Hodnocení '!IW116</f>
        <v>15638894.711101327</v>
      </c>
      <c r="IX120" s="479">
        <f>'Hodnocení '!IX116</f>
        <v>1813436.4338313788</v>
      </c>
      <c r="IY120" s="479">
        <f>'Hodnocení '!IY116</f>
        <v>5604648.4471565681</v>
      </c>
      <c r="IZ120" s="479">
        <f>'Hodnocení '!IZ116</f>
        <v>20877943.552843433</v>
      </c>
      <c r="JA120" s="479">
        <f>'Hodnocení '!JA116</f>
        <v>3037151.73</v>
      </c>
      <c r="JB120" s="479">
        <f>'Hodnocení '!JB116</f>
        <v>2895174.04</v>
      </c>
      <c r="JC120" s="479">
        <f>'Hodnocení '!JC116</f>
        <v>2268778.09</v>
      </c>
      <c r="JD120" s="479">
        <f>'Hodnocení '!JD116</f>
        <v>5052980.7</v>
      </c>
      <c r="JE120" s="479">
        <f>'Hodnocení '!JE116</f>
        <v>1159105.145059247</v>
      </c>
      <c r="JF120" s="479">
        <f>'Hodnocení '!JF116</f>
        <v>33383599.85494075</v>
      </c>
      <c r="JG120" s="479">
        <f>'Hodnocení '!JG116</f>
        <v>30041537</v>
      </c>
      <c r="JH120" s="780">
        <f>'Hodnocení '!JH116</f>
        <v>868740</v>
      </c>
      <c r="JI120" s="470">
        <f>'Hodnocení '!JI116</f>
        <v>1247779568.0180326</v>
      </c>
      <c r="JL120" s="307">
        <f t="shared" si="66"/>
        <v>24913606.964635424</v>
      </c>
      <c r="JM120" s="307">
        <f t="shared" si="66"/>
        <v>413866789.86385435</v>
      </c>
      <c r="JN120" s="307">
        <f t="shared" si="66"/>
        <v>171352563.77779883</v>
      </c>
      <c r="JO120" s="307">
        <f t="shared" si="66"/>
        <v>637646607.41174436</v>
      </c>
      <c r="JP120" s="307">
        <f t="shared" si="67"/>
        <v>1247779568.018033</v>
      </c>
    </row>
    <row r="121" spans="1:276" hidden="1" x14ac:dyDescent="0.25">
      <c r="B121" s="733" t="s">
        <v>2579</v>
      </c>
      <c r="C121" s="779">
        <f>'Hodnocení '!C117</f>
        <v>1235422.5558247231</v>
      </c>
      <c r="D121" s="479">
        <f>'Hodnocení '!D117</f>
        <v>1406900</v>
      </c>
      <c r="E121" s="479">
        <f>'Hodnocení '!E117</f>
        <v>102779.40881070029</v>
      </c>
      <c r="F121" s="479">
        <f>'Hodnocení '!F117</f>
        <v>132284.70883535733</v>
      </c>
      <c r="G121" s="479">
        <f>'Hodnocení '!G117</f>
        <v>1429653.1272905953</v>
      </c>
      <c r="H121" s="479">
        <f>'Hodnocení '!H117</f>
        <v>65710.416111308965</v>
      </c>
      <c r="I121" s="479">
        <f>'Hodnocení '!I117</f>
        <v>941977.47419521306</v>
      </c>
      <c r="J121" s="479">
        <f>'Hodnocení '!J117</f>
        <v>212155.78442021785</v>
      </c>
      <c r="K121" s="479">
        <f>'Hodnocení '!K117</f>
        <v>618538</v>
      </c>
      <c r="L121" s="479">
        <f>'Hodnocení '!L117</f>
        <v>0</v>
      </c>
      <c r="M121" s="479">
        <f>'Hodnocení '!M117</f>
        <v>30486.238895765971</v>
      </c>
      <c r="N121" s="479">
        <f>'Hodnocení '!N117</f>
        <v>115828.6030266704</v>
      </c>
      <c r="O121" s="479">
        <f>'Hodnocení '!O117</f>
        <v>151212</v>
      </c>
      <c r="P121" s="479">
        <f>'Hodnocení '!P117</f>
        <v>108010.00218168925</v>
      </c>
      <c r="Q121" s="479">
        <f>'Hodnocení '!Q117</f>
        <v>371221.47910101549</v>
      </c>
      <c r="R121" s="479">
        <f>'Hodnocení '!R117</f>
        <v>-94718.100000000093</v>
      </c>
      <c r="S121" s="479">
        <f>'Hodnocení '!S117</f>
        <v>0</v>
      </c>
      <c r="T121" s="479">
        <f>'Hodnocení '!T117</f>
        <v>31437.510778153781</v>
      </c>
      <c r="U121" s="479">
        <f>'Hodnocení '!U117</f>
        <v>-11704</v>
      </c>
      <c r="V121" s="479">
        <f>'Hodnocení '!V117</f>
        <v>-740000</v>
      </c>
      <c r="W121" s="479">
        <f>'Hodnocení '!W117</f>
        <v>305000</v>
      </c>
      <c r="X121" s="479">
        <f>'Hodnocení '!X117</f>
        <v>994445.80950857792</v>
      </c>
      <c r="Y121" s="479">
        <f>'Hodnocení '!Y117</f>
        <v>12890</v>
      </c>
      <c r="Z121" s="479">
        <f>'Hodnocení '!Z117</f>
        <v>379924</v>
      </c>
      <c r="AA121" s="479">
        <f>'Hodnocení '!AA117</f>
        <v>394885.44902487379</v>
      </c>
      <c r="AB121" s="479">
        <f>'Hodnocení '!AB117</f>
        <v>630190.70572241349</v>
      </c>
      <c r="AC121" s="479">
        <f>'Hodnocení '!AC117</f>
        <v>-1367499.6880516675</v>
      </c>
      <c r="AD121" s="479">
        <f>'Hodnocení '!AD117</f>
        <v>744989.12062356528</v>
      </c>
      <c r="AE121" s="479">
        <f>'Hodnocení '!AE117</f>
        <v>76840.525898943888</v>
      </c>
      <c r="AF121" s="479">
        <f>'Hodnocení '!AF117</f>
        <v>1219244.9295379585</v>
      </c>
      <c r="AG121" s="479">
        <f>'Hodnocení '!AG117</f>
        <v>125060.75486989692</v>
      </c>
      <c r="AH121" s="479">
        <f>'Hodnocení '!AH117</f>
        <v>-7266</v>
      </c>
      <c r="AI121" s="479">
        <f>'Hodnocení '!AI117</f>
        <v>510300</v>
      </c>
      <c r="AJ121" s="479">
        <f>'Hodnocení '!AJ117</f>
        <v>134700</v>
      </c>
      <c r="AK121" s="479">
        <f>'Hodnocení '!AK117</f>
        <v>53995</v>
      </c>
      <c r="AL121" s="479">
        <f>'Hodnocení '!AL117</f>
        <v>92493.163351077586</v>
      </c>
      <c r="AM121" s="479">
        <f>'Hodnocení '!AM117</f>
        <v>125216.37263412308</v>
      </c>
      <c r="AN121" s="479">
        <f>'Hodnocení '!AN117</f>
        <v>121055.19849877898</v>
      </c>
      <c r="AO121" s="479">
        <f>'Hodnocení '!AO117</f>
        <v>1154727.5596356187</v>
      </c>
      <c r="AP121" s="479">
        <f>'Hodnocení '!AP117</f>
        <v>-135009.8837703988</v>
      </c>
      <c r="AQ121" s="479">
        <f>'Hodnocení '!AQ117</f>
        <v>163062</v>
      </c>
      <c r="AR121" s="479">
        <f>'Hodnocení '!AR117</f>
        <v>401149.39925084589</v>
      </c>
      <c r="AS121" s="479">
        <f>'Hodnocení '!AS117</f>
        <v>44681.220223333861</v>
      </c>
      <c r="AT121" s="479">
        <f>'Hodnocení '!AT117</f>
        <v>322367.43236834183</v>
      </c>
      <c r="AU121" s="479">
        <f>'Hodnocení '!AU117</f>
        <v>97944.93946642126</v>
      </c>
      <c r="AV121" s="479">
        <f>'Hodnocení '!AV117</f>
        <v>137042.67729522614</v>
      </c>
      <c r="AW121" s="479">
        <f>'Hodnocení '!AW117</f>
        <v>288647.55504343286</v>
      </c>
      <c r="AX121" s="479">
        <f>'Hodnocení '!AX117</f>
        <v>270115.31108075101</v>
      </c>
      <c r="AY121" s="479">
        <f>'Hodnocení '!AY117</f>
        <v>208738.54065689072</v>
      </c>
      <c r="AZ121" s="479">
        <f>'Hodnocení '!AZ117</f>
        <v>49765</v>
      </c>
      <c r="BA121" s="479">
        <f>'Hodnocení '!BA117</f>
        <v>1814732</v>
      </c>
      <c r="BB121" s="479">
        <f>'Hodnocení '!BB117</f>
        <v>292796</v>
      </c>
      <c r="BC121" s="479">
        <f>'Hodnocení '!BC117</f>
        <v>214997.49380253232</v>
      </c>
      <c r="BD121" s="479">
        <f>'Hodnocení '!BD117</f>
        <v>638438.33257854311</v>
      </c>
      <c r="BE121" s="479">
        <f>'Hodnocení '!BE117</f>
        <v>86784.356650778558</v>
      </c>
      <c r="BF121" s="479">
        <f>'Hodnocení '!BF117</f>
        <v>131040</v>
      </c>
      <c r="BG121" s="479">
        <f>'Hodnocení '!BG117</f>
        <v>154784</v>
      </c>
      <c r="BH121" s="479">
        <f>'Hodnocení '!BH117</f>
        <v>257932</v>
      </c>
      <c r="BI121" s="479">
        <f>'Hodnocení '!BI117</f>
        <v>-198100</v>
      </c>
      <c r="BJ121" s="479">
        <f>'Hodnocení '!BJ117</f>
        <v>81837.853564726654</v>
      </c>
      <c r="BK121" s="479">
        <f>'Hodnocení '!BK117</f>
        <v>136000</v>
      </c>
      <c r="BL121" s="479">
        <f>'Hodnocení '!BL117</f>
        <v>455138.49500087276</v>
      </c>
      <c r="BM121" s="479">
        <f>'Hodnocení '!BM117</f>
        <v>849726</v>
      </c>
      <c r="BN121" s="479">
        <f>'Hodnocení '!BN117</f>
        <v>59101.993153743446</v>
      </c>
      <c r="BO121" s="479">
        <f>'Hodnocení '!BO117</f>
        <v>263269.65247524576</v>
      </c>
      <c r="BP121" s="479">
        <f>'Hodnocení '!BP117</f>
        <v>732773</v>
      </c>
      <c r="BQ121" s="479">
        <f>'Hodnocení '!BQ117</f>
        <v>98361.621271296288</v>
      </c>
      <c r="BR121" s="479">
        <f>'Hodnocení '!BR117</f>
        <v>138681</v>
      </c>
      <c r="BS121" s="479">
        <f>'Hodnocení '!BS117</f>
        <v>2382.2989678741433</v>
      </c>
      <c r="BT121" s="479">
        <f>'Hodnocení '!BT117</f>
        <v>54060.266167230671</v>
      </c>
      <c r="BU121" s="479">
        <f>'Hodnocení '!BU117</f>
        <v>0</v>
      </c>
      <c r="BV121" s="479">
        <f>'Hodnocení '!BV117</f>
        <v>588998.0353182531</v>
      </c>
      <c r="BW121" s="479">
        <f>'Hodnocení '!BW117</f>
        <v>0</v>
      </c>
      <c r="BX121" s="479">
        <f>'Hodnocení '!BX117</f>
        <v>1153636.1910633538</v>
      </c>
      <c r="BY121" s="479">
        <f>'Hodnocení '!BY117</f>
        <v>0</v>
      </c>
      <c r="BZ121" s="479">
        <f>'Hodnocení '!BZ117</f>
        <v>0</v>
      </c>
      <c r="CA121" s="479">
        <f>'Hodnocení '!CA117</f>
        <v>0</v>
      </c>
      <c r="CB121" s="479">
        <f>'Hodnocení '!CB117</f>
        <v>39256.101421467261</v>
      </c>
      <c r="CC121" s="479">
        <f>'Hodnocení '!CC117</f>
        <v>117637.66254166374</v>
      </c>
      <c r="CD121" s="479">
        <f>'Hodnocení '!CD117</f>
        <v>-9487.783144260291</v>
      </c>
      <c r="CE121" s="479">
        <f>'Hodnocení '!CE117</f>
        <v>1446195.1253167707</v>
      </c>
      <c r="CF121" s="479">
        <f>'Hodnocení '!CF117</f>
        <v>127617.8393289512</v>
      </c>
      <c r="CG121" s="479">
        <f>'Hodnocení '!CG117</f>
        <v>570095.49607044645</v>
      </c>
      <c r="CH121" s="479">
        <f>'Hodnocení '!CH117</f>
        <v>305133.07924963161</v>
      </c>
      <c r="CI121" s="479">
        <f>'Hodnocení '!CI117</f>
        <v>436085.96719942894</v>
      </c>
      <c r="CJ121" s="479">
        <f>'Hodnocení '!CJ117</f>
        <v>394665.0818283353</v>
      </c>
      <c r="CK121" s="479">
        <f>'Hodnocení '!CK117</f>
        <v>289377</v>
      </c>
      <c r="CL121" s="479">
        <f>'Hodnocení '!CL117</f>
        <v>416395.02813966479</v>
      </c>
      <c r="CM121" s="479">
        <f>'Hodnocení '!CM117</f>
        <v>691676.43998631369</v>
      </c>
      <c r="CN121" s="479">
        <f>'Hodnocení '!CN117</f>
        <v>59434.772719491506</v>
      </c>
      <c r="CO121" s="479">
        <f>'Hodnocení '!CO117</f>
        <v>0</v>
      </c>
      <c r="CP121" s="479">
        <f>'Hodnocení '!CP117</f>
        <v>30382.256800304167</v>
      </c>
      <c r="CQ121" s="479">
        <f>'Hodnocení '!CQ117</f>
        <v>908770.573718125</v>
      </c>
      <c r="CR121" s="479">
        <f>'Hodnocení '!CR117</f>
        <v>714294</v>
      </c>
      <c r="CS121" s="479">
        <f>'Hodnocení '!CS117</f>
        <v>3589793.26</v>
      </c>
      <c r="CT121" s="479">
        <f>'Hodnocení '!CT117</f>
        <v>859679.81036627945</v>
      </c>
      <c r="CU121" s="479">
        <f>'Hodnocení '!CU117</f>
        <v>474500</v>
      </c>
      <c r="CV121" s="479">
        <f>'Hodnocení '!CV117</f>
        <v>613490.98592103273</v>
      </c>
      <c r="CW121" s="479">
        <f>'Hodnocení '!CW117</f>
        <v>128599</v>
      </c>
      <c r="CX121" s="479">
        <f>'Hodnocení '!CX117</f>
        <v>329000</v>
      </c>
      <c r="CY121" s="479">
        <f>'Hodnocení '!CY117</f>
        <v>132129.28390120855</v>
      </c>
      <c r="CZ121" s="479">
        <f>'Hodnocení '!CZ117</f>
        <v>368000</v>
      </c>
      <c r="DA121" s="479">
        <f>'Hodnocení '!DA117</f>
        <v>2069140</v>
      </c>
      <c r="DB121" s="479">
        <f>'Hodnocení '!DB117</f>
        <v>95480</v>
      </c>
      <c r="DC121" s="479">
        <f>'Hodnocení '!DC117</f>
        <v>328714.46353825252</v>
      </c>
      <c r="DD121" s="479">
        <f>'Hodnocení '!DD117</f>
        <v>1118856.6959123211</v>
      </c>
      <c r="DE121" s="479">
        <f>'Hodnocení '!DE117</f>
        <v>429390.87138624676</v>
      </c>
      <c r="DF121" s="479">
        <f>'Hodnocení '!DF117</f>
        <v>-556092</v>
      </c>
      <c r="DG121" s="479">
        <f>'Hodnocení '!DG117</f>
        <v>197198.16515118408</v>
      </c>
      <c r="DH121" s="479">
        <f>'Hodnocení '!DH117</f>
        <v>830973.43433351256</v>
      </c>
      <c r="DI121" s="479">
        <f>'Hodnocení '!DI117</f>
        <v>43865.384096688125</v>
      </c>
      <c r="DJ121" s="479">
        <f>'Hodnocení '!DJ117</f>
        <v>103868</v>
      </c>
      <c r="DK121" s="479">
        <f>'Hodnocení '!DK117</f>
        <v>1891309.6534043886</v>
      </c>
      <c r="DL121" s="479">
        <f>'Hodnocení '!DL117</f>
        <v>277072.2218004535</v>
      </c>
      <c r="DM121" s="479">
        <f>'Hodnocení '!DM117</f>
        <v>171155.08381385566</v>
      </c>
      <c r="DN121" s="479">
        <f>'Hodnocení '!DN117</f>
        <v>623902</v>
      </c>
      <c r="DO121" s="479">
        <f>'Hodnocení '!DO117</f>
        <v>4525.3922101089265</v>
      </c>
      <c r="DP121" s="479">
        <f>'Hodnocení '!DP117</f>
        <v>0</v>
      </c>
      <c r="DQ121" s="479">
        <f>'Hodnocení '!DQ117</f>
        <v>31793</v>
      </c>
      <c r="DR121" s="479">
        <f>'Hodnocení '!DR117</f>
        <v>-54351</v>
      </c>
      <c r="DS121" s="479">
        <f>'Hodnocení '!DS117</f>
        <v>547000</v>
      </c>
      <c r="DT121" s="479">
        <f>'Hodnocení '!DT117</f>
        <v>473573.05137304217</v>
      </c>
      <c r="DU121" s="479">
        <f>'Hodnocení '!DU117</f>
        <v>18908.963338879868</v>
      </c>
      <c r="DV121" s="479">
        <f>'Hodnocení '!DV117</f>
        <v>1277856</v>
      </c>
      <c r="DW121" s="479">
        <f>'Hodnocení '!DW117</f>
        <v>251601.57345701009</v>
      </c>
      <c r="DX121" s="479">
        <f>'Hodnocení '!DX117</f>
        <v>433801.15410795156</v>
      </c>
      <c r="DY121" s="479">
        <f>'Hodnocení '!DY117</f>
        <v>825992.75048264861</v>
      </c>
      <c r="DZ121" s="479">
        <f>'Hodnocení '!DZ117</f>
        <v>7625.6888148766011</v>
      </c>
      <c r="EA121" s="479">
        <f>'Hodnocení '!EA117</f>
        <v>15312</v>
      </c>
      <c r="EB121" s="479">
        <f>'Hodnocení '!EB117</f>
        <v>1868722.8583436497</v>
      </c>
      <c r="EC121" s="479">
        <f>'Hodnocení '!EC117</f>
        <v>162383.75123846577</v>
      </c>
      <c r="ED121" s="479">
        <f>'Hodnocení '!ED117</f>
        <v>317047.42154010572</v>
      </c>
      <c r="EE121" s="479">
        <f>'Hodnocení '!EE117</f>
        <v>46376</v>
      </c>
      <c r="EF121" s="479">
        <f>'Hodnocení '!EF117</f>
        <v>-3087.5899999999674</v>
      </c>
      <c r="EG121" s="479">
        <f>'Hodnocení '!EG117</f>
        <v>-2828.9899999999907</v>
      </c>
      <c r="EH121" s="479">
        <f>'Hodnocení '!EH117</f>
        <v>35330</v>
      </c>
      <c r="EI121" s="479">
        <f>'Hodnocení '!EI117</f>
        <v>114247</v>
      </c>
      <c r="EJ121" s="479">
        <f>'Hodnocení '!EJ117</f>
        <v>220123.11828195211</v>
      </c>
      <c r="EK121" s="479">
        <f>'Hodnocení '!EK117</f>
        <v>0</v>
      </c>
      <c r="EL121" s="479">
        <f>'Hodnocení '!EL117</f>
        <v>272049.92012174241</v>
      </c>
      <c r="EM121" s="479">
        <f>'Hodnocení '!EM117</f>
        <v>66882.319442875683</v>
      </c>
      <c r="EN121" s="479">
        <f>'Hodnocení '!EN117</f>
        <v>132129</v>
      </c>
      <c r="EO121" s="479">
        <f>'Hodnocení '!EO117</f>
        <v>90118.146815555869</v>
      </c>
      <c r="EP121" s="479">
        <f>'Hodnocení '!EP117</f>
        <v>798942</v>
      </c>
      <c r="EQ121" s="479">
        <f>'Hodnocení '!EQ117</f>
        <v>474030.50442442764</v>
      </c>
      <c r="ER121" s="479">
        <f>'Hodnocení '!ER117</f>
        <v>977132</v>
      </c>
      <c r="ES121" s="479">
        <f>'Hodnocení '!ES117</f>
        <v>118809.44734015642</v>
      </c>
      <c r="ET121" s="479">
        <f>'Hodnocení '!ET117</f>
        <v>901340</v>
      </c>
      <c r="EU121" s="479">
        <f>'Hodnocení '!EU117</f>
        <v>1252000</v>
      </c>
      <c r="EV121" s="479">
        <f>'Hodnocení '!EV117</f>
        <v>217550.98782481399</v>
      </c>
      <c r="EW121" s="479">
        <f>'Hodnocení '!EW117</f>
        <v>148744.77050382318</v>
      </c>
      <c r="EX121" s="479">
        <f>'Hodnocení '!EX117</f>
        <v>170018.98534053471</v>
      </c>
      <c r="EY121" s="479">
        <f>'Hodnocení '!EY117</f>
        <v>14320.875155149493</v>
      </c>
      <c r="EZ121" s="479">
        <f>'Hodnocení '!EZ117</f>
        <v>-111326</v>
      </c>
      <c r="FA121" s="479">
        <f>'Hodnocení '!FA117</f>
        <v>196308</v>
      </c>
      <c r="FB121" s="479">
        <f>'Hodnocení '!FB117</f>
        <v>38053.533048749552</v>
      </c>
      <c r="FC121" s="479">
        <f>'Hodnocení '!FC117</f>
        <v>42203.981362368446</v>
      </c>
      <c r="FD121" s="479">
        <f>'Hodnocení '!FD117</f>
        <v>286643.68250028812</v>
      </c>
      <c r="FE121" s="479">
        <f>'Hodnocení '!FE117</f>
        <v>80752.913347188616</v>
      </c>
      <c r="FF121" s="479">
        <f>'Hodnocení '!FF117</f>
        <v>324471.95999999996</v>
      </c>
      <c r="FG121" s="479">
        <f>'Hodnocení '!FG117</f>
        <v>1019550</v>
      </c>
      <c r="FH121" s="479">
        <f>'Hodnocení '!FH117</f>
        <v>271026.04918797873</v>
      </c>
      <c r="FI121" s="479">
        <f>'Hodnocení '!FI117</f>
        <v>2013900.4650456514</v>
      </c>
      <c r="FJ121" s="479">
        <f>'Hodnocení '!FJ117</f>
        <v>275474.96975899418</v>
      </c>
      <c r="FK121" s="479">
        <f>'Hodnocení '!FK117</f>
        <v>-164695.7972628584</v>
      </c>
      <c r="FL121" s="479">
        <f>'Hodnocení '!FL117</f>
        <v>-312231.21227710997</v>
      </c>
      <c r="FM121" s="479">
        <f>'Hodnocení '!FM117</f>
        <v>-1683387.8709666431</v>
      </c>
      <c r="FN121" s="479">
        <f>'Hodnocení '!FN117</f>
        <v>543645.54984153435</v>
      </c>
      <c r="FO121" s="479">
        <f>'Hodnocení '!FO117</f>
        <v>-5035.8626000001095</v>
      </c>
      <c r="FP121" s="479">
        <f>'Hodnocení '!FP117</f>
        <v>206752.30885183625</v>
      </c>
      <c r="FQ121" s="479">
        <f>'Hodnocení '!FQ117</f>
        <v>62855.223800000036</v>
      </c>
      <c r="FR121" s="479">
        <f>'Hodnocení '!FR117</f>
        <v>2898098.2380630779</v>
      </c>
      <c r="FS121" s="479">
        <f>'Hodnocení '!FS117</f>
        <v>-13562.049999999988</v>
      </c>
      <c r="FT121" s="479">
        <f>'Hodnocení '!FT117</f>
        <v>307281.80409015995</v>
      </c>
      <c r="FU121" s="479">
        <f>'Hodnocení '!FU117</f>
        <v>39281.804442927241</v>
      </c>
      <c r="FV121" s="479">
        <f>'Hodnocení '!FV117</f>
        <v>173.16923673939891</v>
      </c>
      <c r="FW121" s="479">
        <f>'Hodnocení '!FW117</f>
        <v>-76054.969574229559</v>
      </c>
      <c r="FX121" s="479">
        <f>'Hodnocení '!FX117</f>
        <v>19607.503362067509</v>
      </c>
      <c r="FY121" s="479">
        <f>'Hodnocení '!FY117</f>
        <v>-9591</v>
      </c>
      <c r="FZ121" s="479">
        <f>'Hodnocení '!FZ117</f>
        <v>-5055.9147311123088</v>
      </c>
      <c r="GA121" s="479">
        <f>'Hodnocení '!GA117</f>
        <v>236.12772381899413</v>
      </c>
      <c r="GB121" s="479">
        <f>'Hodnocení '!GB117</f>
        <v>494640.1198871755</v>
      </c>
      <c r="GC121" s="479">
        <f>'Hodnocení '!GC117</f>
        <v>15555.139851687476</v>
      </c>
      <c r="GD121" s="479">
        <f>'Hodnocení '!GD117</f>
        <v>806650.24586364813</v>
      </c>
      <c r="GE121" s="479">
        <f>'Hodnocení '!GE117</f>
        <v>46266</v>
      </c>
      <c r="GF121" s="479">
        <f>'Hodnocení '!GF117</f>
        <v>291018.84956932673</v>
      </c>
      <c r="GG121" s="479">
        <f>'Hodnocení '!GG117</f>
        <v>-132562.53661982156</v>
      </c>
      <c r="GH121" s="479">
        <f>'Hodnocení '!GH117</f>
        <v>-34865</v>
      </c>
      <c r="GI121" s="479">
        <f>'Hodnocení '!GI117</f>
        <v>855487.17478331644</v>
      </c>
      <c r="GJ121" s="479">
        <f>'Hodnocení '!GJ117</f>
        <v>171699.33929066174</v>
      </c>
      <c r="GK121" s="479">
        <f>'Hodnocení '!GK117</f>
        <v>433870</v>
      </c>
      <c r="GL121" s="479">
        <f>'Hodnocení '!GL117</f>
        <v>-59341.971743901726</v>
      </c>
      <c r="GM121" s="479">
        <f>'Hodnocení '!GM117</f>
        <v>-60702.477244471665</v>
      </c>
      <c r="GN121" s="479">
        <f>'Hodnocení '!GN117</f>
        <v>185653.06011215365</v>
      </c>
      <c r="GO121" s="479">
        <f>'Hodnocení '!GO117</f>
        <v>887246.48613796104</v>
      </c>
      <c r="GP121" s="479">
        <f>'Hodnocení '!GP117</f>
        <v>-35811.376342296251</v>
      </c>
      <c r="GQ121" s="479">
        <f>'Hodnocení '!GQ117</f>
        <v>-430637.21128313889</v>
      </c>
      <c r="GR121" s="479">
        <f>'Hodnocení '!GR117</f>
        <v>-83152</v>
      </c>
      <c r="GS121" s="479">
        <f>'Hodnocení '!GS117</f>
        <v>-165886</v>
      </c>
      <c r="GT121" s="479">
        <f>'Hodnocení '!GT117</f>
        <v>339289.90894356743</v>
      </c>
      <c r="GU121" s="479">
        <f>'Hodnocení '!GU117</f>
        <v>45869</v>
      </c>
      <c r="GV121" s="479">
        <f>'Hodnocení '!GV117</f>
        <v>40190</v>
      </c>
      <c r="GW121" s="479">
        <f>'Hodnocení '!GW117</f>
        <v>-192141.11092572834</v>
      </c>
      <c r="GX121" s="479">
        <f>'Hodnocení '!GX117</f>
        <v>-4333</v>
      </c>
      <c r="GY121" s="479">
        <f>'Hodnocení '!GY117</f>
        <v>447840.67889190651</v>
      </c>
      <c r="GZ121" s="479">
        <f>'Hodnocení '!GZ117</f>
        <v>3222820.7912944802</v>
      </c>
      <c r="HA121" s="479">
        <f>'Hodnocení '!HA117</f>
        <v>323440</v>
      </c>
      <c r="HB121" s="479">
        <f>'Hodnocení '!HB117</f>
        <v>250364.85759161878</v>
      </c>
      <c r="HC121" s="479">
        <f>'Hodnocení '!HC117</f>
        <v>400657.45814309176</v>
      </c>
      <c r="HD121" s="479">
        <f>'Hodnocení '!HD117</f>
        <v>507252.72553738486</v>
      </c>
      <c r="HE121" s="479">
        <f>'Hodnocení '!HE117</f>
        <v>502000</v>
      </c>
      <c r="HF121" s="479">
        <f>'Hodnocení '!HF117</f>
        <v>73632.93476073246</v>
      </c>
      <c r="HG121" s="479">
        <f>'Hodnocení '!HG117</f>
        <v>-34312.862394777359</v>
      </c>
      <c r="HH121" s="479">
        <f>'Hodnocení '!HH117</f>
        <v>-115202.67942905379</v>
      </c>
      <c r="HI121" s="479">
        <f>'Hodnocení '!HI117</f>
        <v>-270679.82297403831</v>
      </c>
      <c r="HJ121" s="479">
        <f>'Hodnocení '!HJ117</f>
        <v>502448.83102156827</v>
      </c>
      <c r="HK121" s="479">
        <f>'Hodnocení '!HK117</f>
        <v>-144000</v>
      </c>
      <c r="HL121" s="479">
        <f>'Hodnocení '!HL117</f>
        <v>250000</v>
      </c>
      <c r="HM121" s="479">
        <f>'Hodnocení '!HM117</f>
        <v>0</v>
      </c>
      <c r="HN121" s="479">
        <f>'Hodnocení '!HN117</f>
        <v>183981.06669069757</v>
      </c>
      <c r="HO121" s="479">
        <f>'Hodnocení '!HO117</f>
        <v>-29609.132768688723</v>
      </c>
      <c r="HP121" s="479">
        <f>'Hodnocení '!HP117</f>
        <v>0</v>
      </c>
      <c r="HQ121" s="479">
        <f>'Hodnocení '!HQ117</f>
        <v>0</v>
      </c>
      <c r="HR121" s="479">
        <f>'Hodnocení '!HR117</f>
        <v>792500.00000000373</v>
      </c>
      <c r="HS121" s="479">
        <f>'Hodnocení '!HS117</f>
        <v>765000</v>
      </c>
      <c r="HT121" s="479">
        <f>'Hodnocení '!HT117</f>
        <v>0</v>
      </c>
      <c r="HU121" s="479">
        <f>'Hodnocení '!HU117</f>
        <v>0</v>
      </c>
      <c r="HV121" s="479">
        <f>'Hodnocení '!HV117</f>
        <v>1500000</v>
      </c>
      <c r="HW121" s="479">
        <f>'Hodnocení '!HW117</f>
        <v>-1985000</v>
      </c>
      <c r="HX121" s="479">
        <f>'Hodnocení '!HX117</f>
        <v>2785000</v>
      </c>
      <c r="HY121" s="479">
        <f>'Hodnocení '!HY117</f>
        <v>0</v>
      </c>
      <c r="HZ121" s="479">
        <f>'Hodnocení '!HZ117</f>
        <v>0</v>
      </c>
      <c r="IA121" s="479">
        <f>'Hodnocení '!IA117</f>
        <v>0</v>
      </c>
      <c r="IB121" s="479">
        <f>'Hodnocení '!IB117</f>
        <v>460000</v>
      </c>
      <c r="IC121" s="479">
        <f>'Hodnocení '!IC117</f>
        <v>0</v>
      </c>
      <c r="ID121" s="479">
        <f>'Hodnocení '!ID117</f>
        <v>0</v>
      </c>
      <c r="IE121" s="479">
        <f>'Hodnocení '!IE117</f>
        <v>500000</v>
      </c>
      <c r="IF121" s="479">
        <f>'Hodnocení '!IF117</f>
        <v>250000</v>
      </c>
      <c r="IG121" s="479">
        <f>'Hodnocení '!IG117</f>
        <v>0</v>
      </c>
      <c r="IH121" s="479">
        <f>'Hodnocení '!IH117</f>
        <v>0</v>
      </c>
      <c r="II121" s="479">
        <f>'Hodnocení '!II117</f>
        <v>430000</v>
      </c>
      <c r="IJ121" s="479">
        <f>'Hodnocení '!IJ117</f>
        <v>100000</v>
      </c>
      <c r="IK121" s="479">
        <f>'Hodnocení '!IK117</f>
        <v>162704.91782226553</v>
      </c>
      <c r="IL121" s="479">
        <f>'Hodnocení '!IL117</f>
        <v>900000</v>
      </c>
      <c r="IM121" s="479">
        <f>'Hodnocení '!IM117</f>
        <v>0</v>
      </c>
      <c r="IN121" s="479">
        <f>'Hodnocení '!IN117</f>
        <v>0</v>
      </c>
      <c r="IO121" s="479">
        <f>'Hodnocení '!IO117</f>
        <v>0</v>
      </c>
      <c r="IP121" s="479">
        <f>'Hodnocení '!IP117</f>
        <v>0</v>
      </c>
      <c r="IQ121" s="479">
        <f>'Hodnocení '!IQ117</f>
        <v>0</v>
      </c>
      <c r="IR121" s="479">
        <f>'Hodnocení '!IR117</f>
        <v>0</v>
      </c>
      <c r="IS121" s="479">
        <f>'Hodnocení '!IS117</f>
        <v>1399999.9999999925</v>
      </c>
      <c r="IT121" s="479">
        <f>'Hodnocení '!IT117</f>
        <v>300000.00000000186</v>
      </c>
      <c r="IU121" s="479">
        <f>'Hodnocení '!IU117</f>
        <v>0</v>
      </c>
      <c r="IV121" s="479">
        <f>'Hodnocení '!IV117</f>
        <v>0</v>
      </c>
      <c r="IW121" s="479">
        <f>'Hodnocení '!IW117</f>
        <v>0</v>
      </c>
      <c r="IX121" s="479">
        <f>'Hodnocení '!IX117</f>
        <v>0</v>
      </c>
      <c r="IY121" s="479">
        <f>'Hodnocení '!IY117</f>
        <v>-1999999.9999999991</v>
      </c>
      <c r="IZ121" s="479">
        <f>'Hodnocení '!IZ117</f>
        <v>2650000</v>
      </c>
      <c r="JA121" s="479">
        <f>'Hodnocení '!JA117</f>
        <v>0</v>
      </c>
      <c r="JB121" s="479">
        <f>'Hodnocení '!JB117</f>
        <v>0</v>
      </c>
      <c r="JC121" s="479">
        <f>'Hodnocení '!JC117</f>
        <v>0</v>
      </c>
      <c r="JD121" s="479">
        <f>'Hodnocení '!JD117</f>
        <v>0</v>
      </c>
      <c r="JE121" s="479">
        <f>'Hodnocení '!JE117</f>
        <v>0</v>
      </c>
      <c r="JF121" s="479">
        <f>'Hodnocení '!JF117</f>
        <v>3485000</v>
      </c>
      <c r="JG121" s="479">
        <f>'Hodnocení '!JG117</f>
        <v>-500000</v>
      </c>
      <c r="JH121" s="780">
        <f>'Hodnocení '!JH117</f>
        <v>0</v>
      </c>
      <c r="JI121" s="470">
        <f>'Hodnocení '!JI117</f>
        <v>82273057.958033174</v>
      </c>
      <c r="JL121" s="307">
        <f t="shared" si="66"/>
        <v>2745101.9646354234</v>
      </c>
      <c r="JM121" s="307">
        <f t="shared" si="66"/>
        <v>49098761.363854662</v>
      </c>
      <c r="JN121" s="307">
        <f t="shared" si="66"/>
        <v>18029617.777798802</v>
      </c>
      <c r="JO121" s="307">
        <f t="shared" si="66"/>
        <v>12399576.851744272</v>
      </c>
      <c r="JP121" s="307">
        <f t="shared" ref="JP121" si="68">SUM(JL121:JO121)</f>
        <v>82273057.958033144</v>
      </c>
    </row>
    <row r="122" spans="1:276" hidden="1" x14ac:dyDescent="0.25">
      <c r="B122" s="733"/>
      <c r="C122" s="360">
        <f>'Hodnocení '!C118</f>
        <v>0</v>
      </c>
      <c r="D122" s="357">
        <f>'Hodnocení '!D118</f>
        <v>0</v>
      </c>
      <c r="E122" s="357">
        <f>'Hodnocení '!E118</f>
        <v>0</v>
      </c>
      <c r="F122" s="357">
        <f>'Hodnocení '!F118</f>
        <v>0</v>
      </c>
      <c r="G122" s="357">
        <f>'Hodnocení '!G118</f>
        <v>0</v>
      </c>
      <c r="H122" s="357">
        <f>'Hodnocení '!H118</f>
        <v>0</v>
      </c>
      <c r="I122" s="357">
        <f>'Hodnocení '!I118</f>
        <v>0</v>
      </c>
      <c r="J122" s="357">
        <f>'Hodnocení '!J118</f>
        <v>0</v>
      </c>
      <c r="K122" s="357">
        <f>'Hodnocení '!K118</f>
        <v>0</v>
      </c>
      <c r="L122" s="357">
        <f>'Hodnocení '!L118</f>
        <v>0</v>
      </c>
      <c r="M122" s="357">
        <f>'Hodnocení '!M118</f>
        <v>0</v>
      </c>
      <c r="N122" s="357">
        <f>'Hodnocení '!N118</f>
        <v>0</v>
      </c>
      <c r="O122" s="357">
        <f>'Hodnocení '!O118</f>
        <v>0</v>
      </c>
      <c r="P122" s="357">
        <f>'Hodnocení '!P118</f>
        <v>0</v>
      </c>
      <c r="Q122" s="357">
        <f>'Hodnocení '!Q118</f>
        <v>0</v>
      </c>
      <c r="R122" s="357">
        <f>'Hodnocení '!R118</f>
        <v>0</v>
      </c>
      <c r="S122" s="357">
        <f>'Hodnocení '!S118</f>
        <v>0</v>
      </c>
      <c r="T122" s="357">
        <f>'Hodnocení '!T118</f>
        <v>0</v>
      </c>
      <c r="U122" s="357">
        <f>'Hodnocení '!U118</f>
        <v>0</v>
      </c>
      <c r="V122" s="357">
        <f>'Hodnocení '!V118</f>
        <v>0</v>
      </c>
      <c r="W122" s="357">
        <f>'Hodnocení '!W118</f>
        <v>0</v>
      </c>
      <c r="X122" s="357">
        <f>'Hodnocení '!X118</f>
        <v>0</v>
      </c>
      <c r="Y122" s="357">
        <f>'Hodnocení '!Y118</f>
        <v>0</v>
      </c>
      <c r="Z122" s="357">
        <f>'Hodnocení '!Z118</f>
        <v>0</v>
      </c>
      <c r="AA122" s="357">
        <f>'Hodnocení '!AA118</f>
        <v>0</v>
      </c>
      <c r="AB122" s="357">
        <f>'Hodnocení '!AB118</f>
        <v>0</v>
      </c>
      <c r="AC122" s="357">
        <f>'Hodnocení '!AC118</f>
        <v>0</v>
      </c>
      <c r="AD122" s="357">
        <f>'Hodnocení '!AD118</f>
        <v>0</v>
      </c>
      <c r="AE122" s="357">
        <f>'Hodnocení '!AE118</f>
        <v>0</v>
      </c>
      <c r="AF122" s="357">
        <f>'Hodnocení '!AF118</f>
        <v>0</v>
      </c>
      <c r="AG122" s="357">
        <f>'Hodnocení '!AG118</f>
        <v>0</v>
      </c>
      <c r="AH122" s="357">
        <f>'Hodnocení '!AH118</f>
        <v>0</v>
      </c>
      <c r="AI122" s="357">
        <f>'Hodnocení '!AI118</f>
        <v>0</v>
      </c>
      <c r="AJ122" s="357">
        <f>'Hodnocení '!AJ118</f>
        <v>0</v>
      </c>
      <c r="AK122" s="357">
        <f>'Hodnocení '!AK118</f>
        <v>0</v>
      </c>
      <c r="AL122" s="357">
        <f>'Hodnocení '!AL118</f>
        <v>0</v>
      </c>
      <c r="AM122" s="357">
        <f>'Hodnocení '!AM118</f>
        <v>0</v>
      </c>
      <c r="AN122" s="357">
        <f>'Hodnocení '!AN118</f>
        <v>0</v>
      </c>
      <c r="AO122" s="357">
        <f>'Hodnocení '!AO118</f>
        <v>0</v>
      </c>
      <c r="AP122" s="357">
        <f>'Hodnocení '!AP118</f>
        <v>0</v>
      </c>
      <c r="AQ122" s="357">
        <f>'Hodnocení '!AQ118</f>
        <v>0</v>
      </c>
      <c r="AR122" s="357">
        <f>'Hodnocení '!AR118</f>
        <v>0</v>
      </c>
      <c r="AS122" s="357">
        <f>'Hodnocení '!AS118</f>
        <v>0</v>
      </c>
      <c r="AT122" s="357">
        <f>'Hodnocení '!AT118</f>
        <v>0</v>
      </c>
      <c r="AU122" s="357">
        <f>'Hodnocení '!AU118</f>
        <v>0</v>
      </c>
      <c r="AV122" s="357">
        <f>'Hodnocení '!AV118</f>
        <v>0</v>
      </c>
      <c r="AW122" s="357">
        <f>'Hodnocení '!AW118</f>
        <v>0</v>
      </c>
      <c r="AX122" s="357">
        <f>'Hodnocení '!AX118</f>
        <v>0</v>
      </c>
      <c r="AY122" s="357">
        <f>'Hodnocení '!AY118</f>
        <v>0</v>
      </c>
      <c r="AZ122" s="357">
        <f>'Hodnocení '!AZ118</f>
        <v>0</v>
      </c>
      <c r="BA122" s="357">
        <f>'Hodnocení '!BA118</f>
        <v>0</v>
      </c>
      <c r="BB122" s="357">
        <f>'Hodnocení '!BB118</f>
        <v>0</v>
      </c>
      <c r="BC122" s="357">
        <f>'Hodnocení '!BC118</f>
        <v>0</v>
      </c>
      <c r="BD122" s="357">
        <f>'Hodnocení '!BD118</f>
        <v>0</v>
      </c>
      <c r="BE122" s="357">
        <f>'Hodnocení '!BE118</f>
        <v>0</v>
      </c>
      <c r="BF122" s="357">
        <f>'Hodnocení '!BF118</f>
        <v>0</v>
      </c>
      <c r="BG122" s="357">
        <f>'Hodnocení '!BG118</f>
        <v>0</v>
      </c>
      <c r="BH122" s="357">
        <f>'Hodnocení '!BH118</f>
        <v>0</v>
      </c>
      <c r="BI122" s="357">
        <f>'Hodnocení '!BI118</f>
        <v>0</v>
      </c>
      <c r="BJ122" s="357">
        <f>'Hodnocení '!BJ118</f>
        <v>0</v>
      </c>
      <c r="BK122" s="357">
        <f>'Hodnocení '!BK118</f>
        <v>0</v>
      </c>
      <c r="BL122" s="357">
        <f>'Hodnocení '!BL118</f>
        <v>0</v>
      </c>
      <c r="BM122" s="357">
        <f>'Hodnocení '!BM118</f>
        <v>0</v>
      </c>
      <c r="BN122" s="357">
        <f>'Hodnocení '!BN118</f>
        <v>0</v>
      </c>
      <c r="BO122" s="357">
        <f>'Hodnocení '!BO118</f>
        <v>0</v>
      </c>
      <c r="BP122" s="357">
        <f>'Hodnocení '!BP118</f>
        <v>0</v>
      </c>
      <c r="BQ122" s="357">
        <f>'Hodnocení '!BQ118</f>
        <v>0</v>
      </c>
      <c r="BR122" s="357">
        <f>'Hodnocení '!BR118</f>
        <v>0</v>
      </c>
      <c r="BS122" s="357">
        <f>'Hodnocení '!BS118</f>
        <v>0</v>
      </c>
      <c r="BT122" s="357">
        <f>'Hodnocení '!BT118</f>
        <v>0</v>
      </c>
      <c r="BU122" s="357">
        <f>'Hodnocení '!BU118</f>
        <v>0</v>
      </c>
      <c r="BV122" s="357">
        <f>'Hodnocení '!BV118</f>
        <v>0</v>
      </c>
      <c r="BW122" s="357">
        <f>'Hodnocení '!BW118</f>
        <v>0</v>
      </c>
      <c r="BX122" s="357">
        <f>'Hodnocení '!BX118</f>
        <v>0</v>
      </c>
      <c r="BY122" s="357">
        <f>'Hodnocení '!BY118</f>
        <v>0</v>
      </c>
      <c r="BZ122" s="357">
        <f>'Hodnocení '!BZ118</f>
        <v>0</v>
      </c>
      <c r="CA122" s="357">
        <f>'Hodnocení '!CA118</f>
        <v>0</v>
      </c>
      <c r="CB122" s="357">
        <f>'Hodnocení '!CB118</f>
        <v>0</v>
      </c>
      <c r="CC122" s="357">
        <f>'Hodnocení '!CC118</f>
        <v>0</v>
      </c>
      <c r="CD122" s="357">
        <f>'Hodnocení '!CD118</f>
        <v>0</v>
      </c>
      <c r="CE122" s="357">
        <f>'Hodnocení '!CE118</f>
        <v>0</v>
      </c>
      <c r="CF122" s="357">
        <f>'Hodnocení '!CF118</f>
        <v>0</v>
      </c>
      <c r="CG122" s="357">
        <f>'Hodnocení '!CG118</f>
        <v>0</v>
      </c>
      <c r="CH122" s="357">
        <f>'Hodnocení '!CH118</f>
        <v>0</v>
      </c>
      <c r="CI122" s="357">
        <f>'Hodnocení '!CI118</f>
        <v>0</v>
      </c>
      <c r="CJ122" s="357">
        <f>'Hodnocení '!CJ118</f>
        <v>0</v>
      </c>
      <c r="CK122" s="357">
        <f>'Hodnocení '!CK118</f>
        <v>0</v>
      </c>
      <c r="CL122" s="357">
        <f>'Hodnocení '!CL118</f>
        <v>0</v>
      </c>
      <c r="CM122" s="357">
        <f>'Hodnocení '!CM118</f>
        <v>0</v>
      </c>
      <c r="CN122" s="357">
        <f>'Hodnocení '!CN118</f>
        <v>0</v>
      </c>
      <c r="CO122" s="357">
        <f>'Hodnocení '!CO118</f>
        <v>0</v>
      </c>
      <c r="CP122" s="357">
        <f>'Hodnocení '!CP118</f>
        <v>0</v>
      </c>
      <c r="CQ122" s="357">
        <f>'Hodnocení '!CQ118</f>
        <v>0</v>
      </c>
      <c r="CR122" s="357">
        <f>'Hodnocení '!CR118</f>
        <v>0</v>
      </c>
      <c r="CS122" s="357">
        <f>'Hodnocení '!CS118</f>
        <v>0</v>
      </c>
      <c r="CT122" s="357">
        <f>'Hodnocení '!CT118</f>
        <v>0</v>
      </c>
      <c r="CU122" s="357">
        <f>'Hodnocení '!CU118</f>
        <v>0</v>
      </c>
      <c r="CV122" s="357">
        <f>'Hodnocení '!CV118</f>
        <v>0</v>
      </c>
      <c r="CW122" s="357">
        <f>'Hodnocení '!CW118</f>
        <v>0</v>
      </c>
      <c r="CX122" s="357">
        <f>'Hodnocení '!CX118</f>
        <v>0</v>
      </c>
      <c r="CY122" s="357">
        <f>'Hodnocení '!CY118</f>
        <v>0</v>
      </c>
      <c r="CZ122" s="357">
        <f>'Hodnocení '!CZ118</f>
        <v>0</v>
      </c>
      <c r="DA122" s="357">
        <f>'Hodnocení '!DA118</f>
        <v>0</v>
      </c>
      <c r="DB122" s="357">
        <f>'Hodnocení '!DB118</f>
        <v>0</v>
      </c>
      <c r="DC122" s="357">
        <f>'Hodnocení '!DC118</f>
        <v>0</v>
      </c>
      <c r="DD122" s="357">
        <f>'Hodnocení '!DD118</f>
        <v>0</v>
      </c>
      <c r="DE122" s="357">
        <f>'Hodnocení '!DE118</f>
        <v>0</v>
      </c>
      <c r="DF122" s="357">
        <f>'Hodnocení '!DF118</f>
        <v>0</v>
      </c>
      <c r="DG122" s="357">
        <f>'Hodnocení '!DG118</f>
        <v>0</v>
      </c>
      <c r="DH122" s="357">
        <f>'Hodnocení '!DH118</f>
        <v>0</v>
      </c>
      <c r="DI122" s="357">
        <f>'Hodnocení '!DI118</f>
        <v>0</v>
      </c>
      <c r="DJ122" s="357">
        <f>'Hodnocení '!DJ118</f>
        <v>0</v>
      </c>
      <c r="DK122" s="357">
        <f>'Hodnocení '!DK118</f>
        <v>0</v>
      </c>
      <c r="DL122" s="357">
        <f>'Hodnocení '!DL118</f>
        <v>0</v>
      </c>
      <c r="DM122" s="357">
        <f>'Hodnocení '!DM118</f>
        <v>0</v>
      </c>
      <c r="DN122" s="357">
        <f>'Hodnocení '!DN118</f>
        <v>0</v>
      </c>
      <c r="DO122" s="357">
        <f>'Hodnocení '!DO118</f>
        <v>0</v>
      </c>
      <c r="DP122" s="357">
        <f>'Hodnocení '!DP118</f>
        <v>0</v>
      </c>
      <c r="DQ122" s="357">
        <f>'Hodnocení '!DQ118</f>
        <v>0</v>
      </c>
      <c r="DR122" s="357">
        <f>'Hodnocení '!DR118</f>
        <v>0</v>
      </c>
      <c r="DS122" s="357">
        <f>'Hodnocení '!DS118</f>
        <v>0</v>
      </c>
      <c r="DT122" s="357">
        <f>'Hodnocení '!DT118</f>
        <v>0</v>
      </c>
      <c r="DU122" s="357">
        <f>'Hodnocení '!DU118</f>
        <v>0</v>
      </c>
      <c r="DV122" s="357">
        <f>'Hodnocení '!DV118</f>
        <v>0</v>
      </c>
      <c r="DW122" s="357">
        <f>'Hodnocení '!DW118</f>
        <v>0</v>
      </c>
      <c r="DX122" s="357">
        <f>'Hodnocení '!DX118</f>
        <v>0</v>
      </c>
      <c r="DY122" s="357">
        <f>'Hodnocení '!DY118</f>
        <v>0</v>
      </c>
      <c r="DZ122" s="357">
        <f>'Hodnocení '!DZ118</f>
        <v>0</v>
      </c>
      <c r="EA122" s="357">
        <f>'Hodnocení '!EA118</f>
        <v>0</v>
      </c>
      <c r="EB122" s="357">
        <f>'Hodnocení '!EB118</f>
        <v>0</v>
      </c>
      <c r="EC122" s="357">
        <f>'Hodnocení '!EC118</f>
        <v>0</v>
      </c>
      <c r="ED122" s="357">
        <f>'Hodnocení '!ED118</f>
        <v>0</v>
      </c>
      <c r="EE122" s="357">
        <f>'Hodnocení '!EE118</f>
        <v>0</v>
      </c>
      <c r="EF122" s="357">
        <f>'Hodnocení '!EF118</f>
        <v>0</v>
      </c>
      <c r="EG122" s="357">
        <f>'Hodnocení '!EG118</f>
        <v>0</v>
      </c>
      <c r="EH122" s="357">
        <f>'Hodnocení '!EH118</f>
        <v>0</v>
      </c>
      <c r="EI122" s="357">
        <f>'Hodnocení '!EI118</f>
        <v>0</v>
      </c>
      <c r="EJ122" s="357">
        <f>'Hodnocení '!EJ118</f>
        <v>0</v>
      </c>
      <c r="EK122" s="357">
        <f>'Hodnocení '!EK118</f>
        <v>0</v>
      </c>
      <c r="EL122" s="357">
        <f>'Hodnocení '!EL118</f>
        <v>0</v>
      </c>
      <c r="EM122" s="357">
        <f>'Hodnocení '!EM118</f>
        <v>0</v>
      </c>
      <c r="EN122" s="357">
        <f>'Hodnocení '!EN118</f>
        <v>0</v>
      </c>
      <c r="EO122" s="357">
        <f>'Hodnocení '!EO118</f>
        <v>0</v>
      </c>
      <c r="EP122" s="357">
        <f>'Hodnocení '!EP118</f>
        <v>0</v>
      </c>
      <c r="EQ122" s="357">
        <f>'Hodnocení '!EQ118</f>
        <v>0</v>
      </c>
      <c r="ER122" s="357">
        <f>'Hodnocení '!ER118</f>
        <v>0</v>
      </c>
      <c r="ES122" s="357">
        <f>'Hodnocení '!ES118</f>
        <v>0</v>
      </c>
      <c r="ET122" s="357">
        <f>'Hodnocení '!ET118</f>
        <v>0</v>
      </c>
      <c r="EU122" s="357">
        <f>'Hodnocení '!EU118</f>
        <v>0</v>
      </c>
      <c r="EV122" s="357">
        <f>'Hodnocení '!EV118</f>
        <v>0</v>
      </c>
      <c r="EW122" s="357">
        <f>'Hodnocení '!EW118</f>
        <v>0</v>
      </c>
      <c r="EX122" s="357">
        <f>'Hodnocení '!EX118</f>
        <v>0</v>
      </c>
      <c r="EY122" s="357">
        <f>'Hodnocení '!EY118</f>
        <v>0</v>
      </c>
      <c r="EZ122" s="357">
        <f>'Hodnocení '!EZ118</f>
        <v>0</v>
      </c>
      <c r="FA122" s="357">
        <f>'Hodnocení '!FA118</f>
        <v>0</v>
      </c>
      <c r="FB122" s="357">
        <f>'Hodnocení '!FB118</f>
        <v>0</v>
      </c>
      <c r="FC122" s="357">
        <f>'Hodnocení '!FC118</f>
        <v>0</v>
      </c>
      <c r="FD122" s="357">
        <f>'Hodnocení '!FD118</f>
        <v>0</v>
      </c>
      <c r="FE122" s="357">
        <f>'Hodnocení '!FE118</f>
        <v>0</v>
      </c>
      <c r="FF122" s="357">
        <f>'Hodnocení '!FF118</f>
        <v>0</v>
      </c>
      <c r="FG122" s="357">
        <f>'Hodnocení '!FG118</f>
        <v>0</v>
      </c>
      <c r="FH122" s="357">
        <f>'Hodnocení '!FH118</f>
        <v>0</v>
      </c>
      <c r="FI122" s="357">
        <f>'Hodnocení '!FI118</f>
        <v>0</v>
      </c>
      <c r="FJ122" s="357">
        <f>'Hodnocení '!FJ118</f>
        <v>0</v>
      </c>
      <c r="FK122" s="357">
        <f>'Hodnocení '!FK118</f>
        <v>0</v>
      </c>
      <c r="FL122" s="357">
        <f>'Hodnocení '!FL118</f>
        <v>0</v>
      </c>
      <c r="FM122" s="357">
        <f>'Hodnocení '!FM118</f>
        <v>0</v>
      </c>
      <c r="FN122" s="357">
        <f>'Hodnocení '!FN118</f>
        <v>0</v>
      </c>
      <c r="FO122" s="357">
        <f>'Hodnocení '!FO118</f>
        <v>0</v>
      </c>
      <c r="FP122" s="357">
        <f>'Hodnocení '!FP118</f>
        <v>0</v>
      </c>
      <c r="FQ122" s="357">
        <f>'Hodnocení '!FQ118</f>
        <v>0</v>
      </c>
      <c r="FR122" s="357">
        <f>'Hodnocení '!FR118</f>
        <v>0</v>
      </c>
      <c r="FS122" s="357">
        <f>'Hodnocení '!FS118</f>
        <v>0</v>
      </c>
      <c r="FT122" s="357">
        <f>'Hodnocení '!FT118</f>
        <v>0</v>
      </c>
      <c r="FU122" s="357">
        <f>'Hodnocení '!FU118</f>
        <v>0</v>
      </c>
      <c r="FV122" s="357">
        <f>'Hodnocení '!FV118</f>
        <v>0</v>
      </c>
      <c r="FW122" s="357">
        <f>'Hodnocení '!FW118</f>
        <v>0</v>
      </c>
      <c r="FX122" s="357">
        <f>'Hodnocení '!FX118</f>
        <v>0</v>
      </c>
      <c r="FY122" s="357">
        <f>'Hodnocení '!FY118</f>
        <v>0</v>
      </c>
      <c r="FZ122" s="357">
        <f>'Hodnocení '!FZ118</f>
        <v>0</v>
      </c>
      <c r="GA122" s="357">
        <f>'Hodnocení '!GA118</f>
        <v>0</v>
      </c>
      <c r="GB122" s="357">
        <f>'Hodnocení '!GB118</f>
        <v>0</v>
      </c>
      <c r="GC122" s="357">
        <f>'Hodnocení '!GC118</f>
        <v>0</v>
      </c>
      <c r="GD122" s="357">
        <f>'Hodnocení '!GD118</f>
        <v>0</v>
      </c>
      <c r="GE122" s="357">
        <f>'Hodnocení '!GE118</f>
        <v>0</v>
      </c>
      <c r="GF122" s="357">
        <f>'Hodnocení '!GF118</f>
        <v>0</v>
      </c>
      <c r="GG122" s="357">
        <f>'Hodnocení '!GG118</f>
        <v>0</v>
      </c>
      <c r="GH122" s="357">
        <f>'Hodnocení '!GH118</f>
        <v>0</v>
      </c>
      <c r="GI122" s="357">
        <f>'Hodnocení '!GI118</f>
        <v>0</v>
      </c>
      <c r="GJ122" s="357">
        <f>'Hodnocení '!GJ118</f>
        <v>0</v>
      </c>
      <c r="GK122" s="357">
        <f>'Hodnocení '!GK118</f>
        <v>0</v>
      </c>
      <c r="GL122" s="357">
        <f>'Hodnocení '!GL118</f>
        <v>0</v>
      </c>
      <c r="GM122" s="357">
        <f>'Hodnocení '!GM118</f>
        <v>0</v>
      </c>
      <c r="GN122" s="357">
        <f>'Hodnocení '!GN118</f>
        <v>0</v>
      </c>
      <c r="GO122" s="357">
        <f>'Hodnocení '!GO118</f>
        <v>0</v>
      </c>
      <c r="GP122" s="357">
        <f>'Hodnocení '!GP118</f>
        <v>0</v>
      </c>
      <c r="GQ122" s="357">
        <f>'Hodnocení '!GQ118</f>
        <v>0</v>
      </c>
      <c r="GR122" s="357">
        <f>'Hodnocení '!GR118</f>
        <v>0</v>
      </c>
      <c r="GS122" s="357">
        <f>'Hodnocení '!GS118</f>
        <v>0</v>
      </c>
      <c r="GT122" s="357">
        <f>'Hodnocení '!GT118</f>
        <v>0</v>
      </c>
      <c r="GU122" s="357">
        <f>'Hodnocení '!GU118</f>
        <v>0</v>
      </c>
      <c r="GV122" s="357">
        <f>'Hodnocení '!GV118</f>
        <v>0</v>
      </c>
      <c r="GW122" s="357">
        <f>'Hodnocení '!GW118</f>
        <v>0</v>
      </c>
      <c r="GX122" s="357">
        <f>'Hodnocení '!GX118</f>
        <v>0</v>
      </c>
      <c r="GY122" s="357">
        <f>'Hodnocení '!GY118</f>
        <v>0</v>
      </c>
      <c r="GZ122" s="357">
        <f>'Hodnocení '!GZ118</f>
        <v>0</v>
      </c>
      <c r="HA122" s="357">
        <f>'Hodnocení '!HA118</f>
        <v>0</v>
      </c>
      <c r="HB122" s="357">
        <f>'Hodnocení '!HB118</f>
        <v>0</v>
      </c>
      <c r="HC122" s="357">
        <f>'Hodnocení '!HC118</f>
        <v>0</v>
      </c>
      <c r="HD122" s="357">
        <f>'Hodnocení '!HD118</f>
        <v>0</v>
      </c>
      <c r="HE122" s="357">
        <f>'Hodnocení '!HE118</f>
        <v>0</v>
      </c>
      <c r="HF122" s="357">
        <f>'Hodnocení '!HF118</f>
        <v>0</v>
      </c>
      <c r="HG122" s="357">
        <f>'Hodnocení '!HG118</f>
        <v>0</v>
      </c>
      <c r="HH122" s="357">
        <f>'Hodnocení '!HH118</f>
        <v>0</v>
      </c>
      <c r="HI122" s="357">
        <f>'Hodnocení '!HI118</f>
        <v>0</v>
      </c>
      <c r="HJ122" s="357">
        <f>'Hodnocení '!HJ118</f>
        <v>0</v>
      </c>
      <c r="HK122" s="357">
        <f>'Hodnocení '!HK118</f>
        <v>0</v>
      </c>
      <c r="HL122" s="357">
        <f>'Hodnocení '!HL118</f>
        <v>0</v>
      </c>
      <c r="HM122" s="357">
        <f>'Hodnocení '!HM118</f>
        <v>0</v>
      </c>
      <c r="HN122" s="357">
        <f>'Hodnocení '!HN118</f>
        <v>0</v>
      </c>
      <c r="HO122" s="357">
        <f>'Hodnocení '!HO118</f>
        <v>0</v>
      </c>
      <c r="HP122" s="357">
        <f>'Hodnocení '!HP118</f>
        <v>0</v>
      </c>
      <c r="HQ122" s="357">
        <f>'Hodnocení '!HQ118</f>
        <v>0</v>
      </c>
      <c r="HR122" s="357">
        <f>'Hodnocení '!HR118</f>
        <v>0</v>
      </c>
      <c r="HS122" s="357">
        <f>'Hodnocení '!HS118</f>
        <v>0</v>
      </c>
      <c r="HT122" s="357">
        <f>'Hodnocení '!HT118</f>
        <v>0</v>
      </c>
      <c r="HU122" s="357">
        <f>'Hodnocení '!HU118</f>
        <v>0</v>
      </c>
      <c r="HV122" s="357">
        <f>'Hodnocení '!HV118</f>
        <v>0</v>
      </c>
      <c r="HW122" s="357">
        <f>'Hodnocení '!HW118</f>
        <v>0</v>
      </c>
      <c r="HX122" s="357">
        <f>'Hodnocení '!HX118</f>
        <v>0</v>
      </c>
      <c r="HY122" s="357">
        <f>'Hodnocení '!HY118</f>
        <v>0</v>
      </c>
      <c r="HZ122" s="357">
        <f>'Hodnocení '!HZ118</f>
        <v>0</v>
      </c>
      <c r="IA122" s="357">
        <f>'Hodnocení '!IA118</f>
        <v>0</v>
      </c>
      <c r="IB122" s="357">
        <f>'Hodnocení '!IB118</f>
        <v>0</v>
      </c>
      <c r="IC122" s="357">
        <f>'Hodnocení '!IC118</f>
        <v>0</v>
      </c>
      <c r="ID122" s="357">
        <f>'Hodnocení '!ID118</f>
        <v>0</v>
      </c>
      <c r="IE122" s="357">
        <f>'Hodnocení '!IE118</f>
        <v>0</v>
      </c>
      <c r="IF122" s="357">
        <f>'Hodnocení '!IF118</f>
        <v>0</v>
      </c>
      <c r="IG122" s="357">
        <f>'Hodnocení '!IG118</f>
        <v>0</v>
      </c>
      <c r="IH122" s="357">
        <f>'Hodnocení '!IH118</f>
        <v>0</v>
      </c>
      <c r="II122" s="357">
        <f>'Hodnocení '!II118</f>
        <v>0</v>
      </c>
      <c r="IJ122" s="357">
        <f>'Hodnocení '!IJ118</f>
        <v>0</v>
      </c>
      <c r="IK122" s="357">
        <f>'Hodnocení '!IK118</f>
        <v>0</v>
      </c>
      <c r="IL122" s="357">
        <f>'Hodnocení '!IL118</f>
        <v>0</v>
      </c>
      <c r="IM122" s="357">
        <f>'Hodnocení '!IM118</f>
        <v>0</v>
      </c>
      <c r="IN122" s="357">
        <f>'Hodnocení '!IN118</f>
        <v>0</v>
      </c>
      <c r="IO122" s="357">
        <f>'Hodnocení '!IO118</f>
        <v>0</v>
      </c>
      <c r="IP122" s="357">
        <f>'Hodnocení '!IP118</f>
        <v>0</v>
      </c>
      <c r="IQ122" s="357">
        <f>'Hodnocení '!IQ118</f>
        <v>0</v>
      </c>
      <c r="IR122" s="357">
        <f>'Hodnocení '!IR118</f>
        <v>0</v>
      </c>
      <c r="IS122" s="357">
        <f>'Hodnocení '!IS118</f>
        <v>0</v>
      </c>
      <c r="IT122" s="357">
        <f>'Hodnocení '!IT118</f>
        <v>0</v>
      </c>
      <c r="IU122" s="357">
        <f>'Hodnocení '!IU118</f>
        <v>0</v>
      </c>
      <c r="IV122" s="357">
        <f>'Hodnocení '!IV118</f>
        <v>0</v>
      </c>
      <c r="IW122" s="357">
        <f>'Hodnocení '!IW118</f>
        <v>0</v>
      </c>
      <c r="IX122" s="357">
        <f>'Hodnocení '!IX118</f>
        <v>0</v>
      </c>
      <c r="IY122" s="357">
        <f>'Hodnocení '!IY118</f>
        <v>0</v>
      </c>
      <c r="IZ122" s="357">
        <f>'Hodnocení '!IZ118</f>
        <v>0</v>
      </c>
      <c r="JA122" s="357">
        <f>'Hodnocení '!JA118</f>
        <v>0</v>
      </c>
      <c r="JB122" s="357">
        <f>'Hodnocení '!JB118</f>
        <v>0</v>
      </c>
      <c r="JC122" s="357">
        <f>'Hodnocení '!JC118</f>
        <v>0</v>
      </c>
      <c r="JD122" s="357">
        <f>'Hodnocení '!JD118</f>
        <v>0</v>
      </c>
      <c r="JE122" s="357">
        <f>'Hodnocení '!JE118</f>
        <v>0</v>
      </c>
      <c r="JF122" s="357">
        <f>'Hodnocení '!JF118</f>
        <v>0</v>
      </c>
      <c r="JG122" s="357">
        <f>'Hodnocení '!JG118</f>
        <v>0</v>
      </c>
      <c r="JH122" s="772">
        <f>'Hodnocení '!JH118</f>
        <v>0</v>
      </c>
      <c r="JI122" s="315">
        <f>'Hodnocení '!JI118</f>
        <v>0</v>
      </c>
      <c r="JL122" s="591"/>
      <c r="JM122" s="591"/>
      <c r="JN122" s="591"/>
      <c r="JO122" s="591"/>
      <c r="JP122" s="591"/>
    </row>
    <row r="123" spans="1:276" hidden="1" x14ac:dyDescent="0.25">
      <c r="B123" s="733" t="s">
        <v>2621</v>
      </c>
      <c r="C123" s="360">
        <f>'Hodnocení '!C119</f>
        <v>0</v>
      </c>
      <c r="D123" s="357">
        <f>'Hodnocení '!D119</f>
        <v>0</v>
      </c>
      <c r="E123" s="357">
        <f>'Hodnocení '!E119</f>
        <v>0</v>
      </c>
      <c r="F123" s="357">
        <f>'Hodnocení '!F119</f>
        <v>0</v>
      </c>
      <c r="G123" s="357">
        <f>'Hodnocení '!G119</f>
        <v>0</v>
      </c>
      <c r="H123" s="357">
        <f>'Hodnocení '!H119</f>
        <v>0</v>
      </c>
      <c r="I123" s="357">
        <f>'Hodnocení '!I119</f>
        <v>0</v>
      </c>
      <c r="J123" s="357">
        <f>'Hodnocení '!J119</f>
        <v>0</v>
      </c>
      <c r="K123" s="357">
        <f>'Hodnocení '!K119</f>
        <v>0</v>
      </c>
      <c r="L123" s="357">
        <f>'Hodnocení '!L119</f>
        <v>0</v>
      </c>
      <c r="M123" s="357">
        <f>'Hodnocení '!M119</f>
        <v>0</v>
      </c>
      <c r="N123" s="357">
        <f>'Hodnocení '!N119</f>
        <v>0</v>
      </c>
      <c r="O123" s="357">
        <f>'Hodnocení '!O119</f>
        <v>0</v>
      </c>
      <c r="P123" s="357">
        <f>'Hodnocení '!P119</f>
        <v>0</v>
      </c>
      <c r="Q123" s="357">
        <f>'Hodnocení '!Q119</f>
        <v>0</v>
      </c>
      <c r="R123" s="357">
        <f>'Hodnocení '!R119</f>
        <v>0</v>
      </c>
      <c r="S123" s="357">
        <f>'Hodnocení '!S119</f>
        <v>0</v>
      </c>
      <c r="T123" s="357">
        <f>'Hodnocení '!T119</f>
        <v>0</v>
      </c>
      <c r="U123" s="357">
        <f>'Hodnocení '!U119</f>
        <v>0</v>
      </c>
      <c r="V123" s="357">
        <f>'Hodnocení '!V119</f>
        <v>0</v>
      </c>
      <c r="W123" s="357">
        <f>'Hodnocení '!W119</f>
        <v>0</v>
      </c>
      <c r="X123" s="357">
        <f>'Hodnocení '!X119</f>
        <v>0</v>
      </c>
      <c r="Y123" s="357">
        <f>'Hodnocení '!Y119</f>
        <v>0</v>
      </c>
      <c r="Z123" s="357">
        <f>'Hodnocení '!Z119</f>
        <v>0</v>
      </c>
      <c r="AA123" s="357">
        <f>'Hodnocení '!AA119</f>
        <v>0</v>
      </c>
      <c r="AB123" s="357">
        <f>'Hodnocení '!AB119</f>
        <v>0</v>
      </c>
      <c r="AC123" s="357">
        <f>'Hodnocení '!AC119</f>
        <v>0</v>
      </c>
      <c r="AD123" s="357">
        <f>'Hodnocení '!AD119</f>
        <v>0</v>
      </c>
      <c r="AE123" s="357">
        <f>'Hodnocení '!AE119</f>
        <v>0</v>
      </c>
      <c r="AF123" s="357">
        <f>'Hodnocení '!AF119</f>
        <v>0</v>
      </c>
      <c r="AG123" s="357">
        <f>'Hodnocení '!AG119</f>
        <v>0</v>
      </c>
      <c r="AH123" s="357">
        <f>'Hodnocení '!AH119</f>
        <v>0</v>
      </c>
      <c r="AI123" s="357">
        <f>'Hodnocení '!AI119</f>
        <v>0</v>
      </c>
      <c r="AJ123" s="357">
        <f>'Hodnocení '!AJ119</f>
        <v>0</v>
      </c>
      <c r="AK123" s="357">
        <f>'Hodnocení '!AK119</f>
        <v>0</v>
      </c>
      <c r="AL123" s="357">
        <f>'Hodnocení '!AL119</f>
        <v>0</v>
      </c>
      <c r="AM123" s="357">
        <f>'Hodnocení '!AM119</f>
        <v>0</v>
      </c>
      <c r="AN123" s="357">
        <f>'Hodnocení '!AN119</f>
        <v>0</v>
      </c>
      <c r="AO123" s="357">
        <f>'Hodnocení '!AO119</f>
        <v>0</v>
      </c>
      <c r="AP123" s="357">
        <f>'Hodnocení '!AP119</f>
        <v>0</v>
      </c>
      <c r="AQ123" s="357">
        <f>'Hodnocení '!AQ119</f>
        <v>0</v>
      </c>
      <c r="AR123" s="357">
        <f>'Hodnocení '!AR119</f>
        <v>0</v>
      </c>
      <c r="AS123" s="357">
        <f>'Hodnocení '!AS119</f>
        <v>0</v>
      </c>
      <c r="AT123" s="357">
        <f>'Hodnocení '!AT119</f>
        <v>0</v>
      </c>
      <c r="AU123" s="357">
        <f>'Hodnocení '!AU119</f>
        <v>0</v>
      </c>
      <c r="AV123" s="357">
        <f>'Hodnocení '!AV119</f>
        <v>0</v>
      </c>
      <c r="AW123" s="357">
        <f>'Hodnocení '!AW119</f>
        <v>0</v>
      </c>
      <c r="AX123" s="357">
        <f>'Hodnocení '!AX119</f>
        <v>0</v>
      </c>
      <c r="AY123" s="357">
        <f>'Hodnocení '!AY119</f>
        <v>0</v>
      </c>
      <c r="AZ123" s="357">
        <f>'Hodnocení '!AZ119</f>
        <v>0</v>
      </c>
      <c r="BA123" s="357">
        <f>'Hodnocení '!BA119</f>
        <v>0</v>
      </c>
      <c r="BB123" s="357">
        <f>'Hodnocení '!BB119</f>
        <v>0</v>
      </c>
      <c r="BC123" s="357">
        <f>'Hodnocení '!BC119</f>
        <v>0</v>
      </c>
      <c r="BD123" s="357">
        <f>'Hodnocení '!BD119</f>
        <v>0</v>
      </c>
      <c r="BE123" s="357">
        <f>'Hodnocení '!BE119</f>
        <v>0</v>
      </c>
      <c r="BF123" s="357">
        <f>'Hodnocení '!BF119</f>
        <v>0</v>
      </c>
      <c r="BG123" s="357">
        <f>'Hodnocení '!BG119</f>
        <v>0</v>
      </c>
      <c r="BH123" s="357">
        <f>'Hodnocení '!BH119</f>
        <v>0</v>
      </c>
      <c r="BI123" s="357">
        <f>'Hodnocení '!BI119</f>
        <v>0</v>
      </c>
      <c r="BJ123" s="357">
        <f>'Hodnocení '!BJ119</f>
        <v>0</v>
      </c>
      <c r="BK123" s="357">
        <f>'Hodnocení '!BK119</f>
        <v>0</v>
      </c>
      <c r="BL123" s="357">
        <f>'Hodnocení '!BL119</f>
        <v>0</v>
      </c>
      <c r="BM123" s="357">
        <f>'Hodnocení '!BM119</f>
        <v>0</v>
      </c>
      <c r="BN123" s="357">
        <f>'Hodnocení '!BN119</f>
        <v>0</v>
      </c>
      <c r="BO123" s="357">
        <f>'Hodnocení '!BO119</f>
        <v>0</v>
      </c>
      <c r="BP123" s="357">
        <f>'Hodnocení '!BP119</f>
        <v>0</v>
      </c>
      <c r="BQ123" s="357">
        <f>'Hodnocení '!BQ119</f>
        <v>0</v>
      </c>
      <c r="BR123" s="357">
        <f>'Hodnocení '!BR119</f>
        <v>0</v>
      </c>
      <c r="BS123" s="357">
        <f>'Hodnocení '!BS119</f>
        <v>0</v>
      </c>
      <c r="BT123" s="357">
        <f>'Hodnocení '!BT119</f>
        <v>0</v>
      </c>
      <c r="BU123" s="357">
        <f>'Hodnocení '!BU119</f>
        <v>0</v>
      </c>
      <c r="BV123" s="357">
        <f>'Hodnocení '!BV119</f>
        <v>0</v>
      </c>
      <c r="BW123" s="357">
        <f>'Hodnocení '!BW119</f>
        <v>0</v>
      </c>
      <c r="BX123" s="357">
        <f>'Hodnocení '!BX119</f>
        <v>0</v>
      </c>
      <c r="BY123" s="357">
        <f>'Hodnocení '!BY119</f>
        <v>0</v>
      </c>
      <c r="BZ123" s="357">
        <f>'Hodnocení '!BZ119</f>
        <v>0</v>
      </c>
      <c r="CA123" s="357">
        <f>'Hodnocení '!CA119</f>
        <v>0</v>
      </c>
      <c r="CB123" s="357">
        <f>'Hodnocení '!CB119</f>
        <v>0</v>
      </c>
      <c r="CC123" s="357">
        <f>'Hodnocení '!CC119</f>
        <v>0</v>
      </c>
      <c r="CD123" s="357">
        <f>'Hodnocení '!CD119</f>
        <v>0</v>
      </c>
      <c r="CE123" s="357">
        <f>'Hodnocení '!CE119</f>
        <v>0</v>
      </c>
      <c r="CF123" s="357">
        <f>'Hodnocení '!CF119</f>
        <v>0</v>
      </c>
      <c r="CG123" s="357">
        <f>'Hodnocení '!CG119</f>
        <v>0</v>
      </c>
      <c r="CH123" s="357">
        <f>'Hodnocení '!CH119</f>
        <v>0</v>
      </c>
      <c r="CI123" s="357">
        <f>'Hodnocení '!CI119</f>
        <v>0</v>
      </c>
      <c r="CJ123" s="357">
        <f>'Hodnocení '!CJ119</f>
        <v>0</v>
      </c>
      <c r="CK123" s="357">
        <f>'Hodnocení '!CK119</f>
        <v>0</v>
      </c>
      <c r="CL123" s="357">
        <f>'Hodnocení '!CL119</f>
        <v>0</v>
      </c>
      <c r="CM123" s="357">
        <f>'Hodnocení '!CM119</f>
        <v>0</v>
      </c>
      <c r="CN123" s="357">
        <f>'Hodnocení '!CN119</f>
        <v>0</v>
      </c>
      <c r="CO123" s="357">
        <f>'Hodnocení '!CO119</f>
        <v>0</v>
      </c>
      <c r="CP123" s="357">
        <f>'Hodnocení '!CP119</f>
        <v>0</v>
      </c>
      <c r="CQ123" s="357">
        <f>'Hodnocení '!CQ119</f>
        <v>0</v>
      </c>
      <c r="CR123" s="357">
        <f>'Hodnocení '!CR119</f>
        <v>0</v>
      </c>
      <c r="CS123" s="357">
        <f>'Hodnocení '!CS119</f>
        <v>0</v>
      </c>
      <c r="CT123" s="357">
        <f>'Hodnocení '!CT119</f>
        <v>0</v>
      </c>
      <c r="CU123" s="357">
        <f>'Hodnocení '!CU119</f>
        <v>0</v>
      </c>
      <c r="CV123" s="357">
        <f>'Hodnocení '!CV119</f>
        <v>0</v>
      </c>
      <c r="CW123" s="357">
        <f>'Hodnocení '!CW119</f>
        <v>0</v>
      </c>
      <c r="CX123" s="357">
        <f>'Hodnocení '!CX119</f>
        <v>0</v>
      </c>
      <c r="CY123" s="357">
        <f>'Hodnocení '!CY119</f>
        <v>0</v>
      </c>
      <c r="CZ123" s="357">
        <f>'Hodnocení '!CZ119</f>
        <v>0</v>
      </c>
      <c r="DA123" s="357">
        <f>'Hodnocení '!DA119</f>
        <v>0</v>
      </c>
      <c r="DB123" s="357">
        <f>'Hodnocení '!DB119</f>
        <v>0</v>
      </c>
      <c r="DC123" s="357">
        <f>'Hodnocení '!DC119</f>
        <v>0</v>
      </c>
      <c r="DD123" s="357">
        <f>'Hodnocení '!DD119</f>
        <v>0</v>
      </c>
      <c r="DE123" s="357">
        <f>'Hodnocení '!DE119</f>
        <v>0</v>
      </c>
      <c r="DF123" s="357">
        <f>'Hodnocení '!DF119</f>
        <v>0</v>
      </c>
      <c r="DG123" s="357">
        <f>'Hodnocení '!DG119</f>
        <v>0</v>
      </c>
      <c r="DH123" s="357">
        <f>'Hodnocení '!DH119</f>
        <v>0</v>
      </c>
      <c r="DI123" s="357">
        <f>'Hodnocení '!DI119</f>
        <v>0</v>
      </c>
      <c r="DJ123" s="357">
        <f>'Hodnocení '!DJ119</f>
        <v>0</v>
      </c>
      <c r="DK123" s="357">
        <f>'Hodnocení '!DK119</f>
        <v>0</v>
      </c>
      <c r="DL123" s="357">
        <f>'Hodnocení '!DL119</f>
        <v>0</v>
      </c>
      <c r="DM123" s="357">
        <f>'Hodnocení '!DM119</f>
        <v>0</v>
      </c>
      <c r="DN123" s="357">
        <f>'Hodnocení '!DN119</f>
        <v>0</v>
      </c>
      <c r="DO123" s="357">
        <f>'Hodnocení '!DO119</f>
        <v>0</v>
      </c>
      <c r="DP123" s="357">
        <f>'Hodnocení '!DP119</f>
        <v>0</v>
      </c>
      <c r="DQ123" s="357">
        <f>'Hodnocení '!DQ119</f>
        <v>0</v>
      </c>
      <c r="DR123" s="357">
        <f>'Hodnocení '!DR119</f>
        <v>0</v>
      </c>
      <c r="DS123" s="357">
        <f>'Hodnocení '!DS119</f>
        <v>0</v>
      </c>
      <c r="DT123" s="357">
        <f>'Hodnocení '!DT119</f>
        <v>0</v>
      </c>
      <c r="DU123" s="357">
        <f>'Hodnocení '!DU119</f>
        <v>0</v>
      </c>
      <c r="DV123" s="357">
        <f>'Hodnocení '!DV119</f>
        <v>0</v>
      </c>
      <c r="DW123" s="357">
        <f>'Hodnocení '!DW119</f>
        <v>0</v>
      </c>
      <c r="DX123" s="357">
        <f>'Hodnocení '!DX119</f>
        <v>0</v>
      </c>
      <c r="DY123" s="357">
        <f>'Hodnocení '!DY119</f>
        <v>0</v>
      </c>
      <c r="DZ123" s="357">
        <f>'Hodnocení '!DZ119</f>
        <v>0</v>
      </c>
      <c r="EA123" s="357">
        <f>'Hodnocení '!EA119</f>
        <v>0</v>
      </c>
      <c r="EB123" s="357">
        <f>'Hodnocení '!EB119</f>
        <v>0</v>
      </c>
      <c r="EC123" s="357">
        <f>'Hodnocení '!EC119</f>
        <v>0</v>
      </c>
      <c r="ED123" s="357">
        <f>'Hodnocení '!ED119</f>
        <v>0</v>
      </c>
      <c r="EE123" s="357">
        <f>'Hodnocení '!EE119</f>
        <v>0</v>
      </c>
      <c r="EF123" s="357">
        <f>'Hodnocení '!EF119</f>
        <v>0</v>
      </c>
      <c r="EG123" s="357">
        <f>'Hodnocení '!EG119</f>
        <v>0</v>
      </c>
      <c r="EH123" s="357">
        <f>'Hodnocení '!EH119</f>
        <v>0</v>
      </c>
      <c r="EI123" s="357">
        <f>'Hodnocení '!EI119</f>
        <v>0</v>
      </c>
      <c r="EJ123" s="357">
        <f>'Hodnocení '!EJ119</f>
        <v>0</v>
      </c>
      <c r="EK123" s="357">
        <f>'Hodnocení '!EK119</f>
        <v>0</v>
      </c>
      <c r="EL123" s="357">
        <f>'Hodnocení '!EL119</f>
        <v>0</v>
      </c>
      <c r="EM123" s="357">
        <f>'Hodnocení '!EM119</f>
        <v>0</v>
      </c>
      <c r="EN123" s="357">
        <f>'Hodnocení '!EN119</f>
        <v>0</v>
      </c>
      <c r="EO123" s="357">
        <f>'Hodnocení '!EO119</f>
        <v>0</v>
      </c>
      <c r="EP123" s="357">
        <f>'Hodnocení '!EP119</f>
        <v>0</v>
      </c>
      <c r="EQ123" s="357">
        <f>'Hodnocení '!EQ119</f>
        <v>0</v>
      </c>
      <c r="ER123" s="357">
        <f>'Hodnocení '!ER119</f>
        <v>0</v>
      </c>
      <c r="ES123" s="357">
        <f>'Hodnocení '!ES119</f>
        <v>0</v>
      </c>
      <c r="ET123" s="357">
        <f>'Hodnocení '!ET119</f>
        <v>0</v>
      </c>
      <c r="EU123" s="357">
        <f>'Hodnocení '!EU119</f>
        <v>0</v>
      </c>
      <c r="EV123" s="357">
        <f>'Hodnocení '!EV119</f>
        <v>0</v>
      </c>
      <c r="EW123" s="357">
        <f>'Hodnocení '!EW119</f>
        <v>0</v>
      </c>
      <c r="EX123" s="357">
        <f>'Hodnocení '!EX119</f>
        <v>0</v>
      </c>
      <c r="EY123" s="357">
        <f>'Hodnocení '!EY119</f>
        <v>0</v>
      </c>
      <c r="EZ123" s="357">
        <f>'Hodnocení '!EZ119</f>
        <v>0</v>
      </c>
      <c r="FA123" s="357">
        <f>'Hodnocení '!FA119</f>
        <v>0</v>
      </c>
      <c r="FB123" s="357">
        <f>'Hodnocení '!FB119</f>
        <v>0</v>
      </c>
      <c r="FC123" s="357">
        <f>'Hodnocení '!FC119</f>
        <v>0</v>
      </c>
      <c r="FD123" s="357">
        <f>'Hodnocení '!FD119</f>
        <v>0</v>
      </c>
      <c r="FE123" s="357">
        <f>'Hodnocení '!FE119</f>
        <v>0</v>
      </c>
      <c r="FF123" s="357">
        <f>'Hodnocení '!FF119</f>
        <v>0</v>
      </c>
      <c r="FG123" s="357">
        <f>'Hodnocení '!FG119</f>
        <v>0</v>
      </c>
      <c r="FH123" s="357">
        <f>'Hodnocení '!FH119</f>
        <v>0</v>
      </c>
      <c r="FI123" s="357">
        <f>'Hodnocení '!FI119</f>
        <v>0</v>
      </c>
      <c r="FJ123" s="357">
        <f>'Hodnocení '!FJ119</f>
        <v>0</v>
      </c>
      <c r="FK123" s="357">
        <f>'Hodnocení '!FK119</f>
        <v>0</v>
      </c>
      <c r="FL123" s="357">
        <f>'Hodnocení '!FL119</f>
        <v>0</v>
      </c>
      <c r="FM123" s="357">
        <f>'Hodnocení '!FM119</f>
        <v>0</v>
      </c>
      <c r="FN123" s="357">
        <f>'Hodnocení '!FN119</f>
        <v>0</v>
      </c>
      <c r="FO123" s="357">
        <f>'Hodnocení '!FO119</f>
        <v>0</v>
      </c>
      <c r="FP123" s="357">
        <f>'Hodnocení '!FP119</f>
        <v>0</v>
      </c>
      <c r="FQ123" s="357">
        <f>'Hodnocení '!FQ119</f>
        <v>0</v>
      </c>
      <c r="FR123" s="357">
        <f>'Hodnocení '!FR119</f>
        <v>0</v>
      </c>
      <c r="FS123" s="357">
        <f>'Hodnocení '!FS119</f>
        <v>0</v>
      </c>
      <c r="FT123" s="357">
        <f>'Hodnocení '!FT119</f>
        <v>0</v>
      </c>
      <c r="FU123" s="357">
        <f>'Hodnocení '!FU119</f>
        <v>0</v>
      </c>
      <c r="FV123" s="357">
        <f>'Hodnocení '!FV119</f>
        <v>0</v>
      </c>
      <c r="FW123" s="357">
        <f>'Hodnocení '!FW119</f>
        <v>0</v>
      </c>
      <c r="FX123" s="357">
        <f>'Hodnocení '!FX119</f>
        <v>0</v>
      </c>
      <c r="FY123" s="357">
        <f>'Hodnocení '!FY119</f>
        <v>0</v>
      </c>
      <c r="FZ123" s="357">
        <f>'Hodnocení '!FZ119</f>
        <v>0</v>
      </c>
      <c r="GA123" s="357">
        <f>'Hodnocení '!GA119</f>
        <v>0</v>
      </c>
      <c r="GB123" s="357">
        <f>'Hodnocení '!GB119</f>
        <v>0</v>
      </c>
      <c r="GC123" s="357">
        <f>'Hodnocení '!GC119</f>
        <v>0</v>
      </c>
      <c r="GD123" s="357">
        <f>'Hodnocení '!GD119</f>
        <v>0</v>
      </c>
      <c r="GE123" s="357">
        <f>'Hodnocení '!GE119</f>
        <v>0</v>
      </c>
      <c r="GF123" s="357">
        <f>'Hodnocení '!GF119</f>
        <v>0</v>
      </c>
      <c r="GG123" s="357">
        <f>'Hodnocení '!GG119</f>
        <v>0</v>
      </c>
      <c r="GH123" s="357">
        <f>'Hodnocení '!GH119</f>
        <v>0</v>
      </c>
      <c r="GI123" s="357">
        <f>'Hodnocení '!GI119</f>
        <v>0</v>
      </c>
      <c r="GJ123" s="357">
        <f>'Hodnocení '!GJ119</f>
        <v>0</v>
      </c>
      <c r="GK123" s="357">
        <f>'Hodnocení '!GK119</f>
        <v>0</v>
      </c>
      <c r="GL123" s="357">
        <f>'Hodnocení '!GL119</f>
        <v>0</v>
      </c>
      <c r="GM123" s="357">
        <f>'Hodnocení '!GM119</f>
        <v>0</v>
      </c>
      <c r="GN123" s="357">
        <f>'Hodnocení '!GN119</f>
        <v>0</v>
      </c>
      <c r="GO123" s="357">
        <f>'Hodnocení '!GO119</f>
        <v>0</v>
      </c>
      <c r="GP123" s="357">
        <f>'Hodnocení '!GP119</f>
        <v>0</v>
      </c>
      <c r="GQ123" s="357">
        <f>'Hodnocení '!GQ119</f>
        <v>0</v>
      </c>
      <c r="GR123" s="357">
        <f>'Hodnocení '!GR119</f>
        <v>0</v>
      </c>
      <c r="GS123" s="357">
        <f>'Hodnocení '!GS119</f>
        <v>0</v>
      </c>
      <c r="GT123" s="357">
        <f>'Hodnocení '!GT119</f>
        <v>0</v>
      </c>
      <c r="GU123" s="357">
        <f>'Hodnocení '!GU119</f>
        <v>0</v>
      </c>
      <c r="GV123" s="357">
        <f>'Hodnocení '!GV119</f>
        <v>0</v>
      </c>
      <c r="GW123" s="357">
        <f>'Hodnocení '!GW119</f>
        <v>0</v>
      </c>
      <c r="GX123" s="357">
        <f>'Hodnocení '!GX119</f>
        <v>0</v>
      </c>
      <c r="GY123" s="357">
        <f>'Hodnocení '!GY119</f>
        <v>0</v>
      </c>
      <c r="GZ123" s="357">
        <f>'Hodnocení '!GZ119</f>
        <v>0</v>
      </c>
      <c r="HA123" s="357">
        <f>'Hodnocení '!HA119</f>
        <v>0</v>
      </c>
      <c r="HB123" s="357">
        <f>'Hodnocení '!HB119</f>
        <v>0</v>
      </c>
      <c r="HC123" s="357">
        <f>'Hodnocení '!HC119</f>
        <v>0</v>
      </c>
      <c r="HD123" s="357">
        <f>'Hodnocení '!HD119</f>
        <v>0</v>
      </c>
      <c r="HE123" s="357">
        <f>'Hodnocení '!HE119</f>
        <v>0</v>
      </c>
      <c r="HF123" s="357">
        <f>'Hodnocení '!HF119</f>
        <v>0</v>
      </c>
      <c r="HG123" s="357">
        <f>'Hodnocení '!HG119</f>
        <v>0</v>
      </c>
      <c r="HH123" s="357">
        <f>'Hodnocení '!HH119</f>
        <v>0</v>
      </c>
      <c r="HI123" s="357">
        <f>'Hodnocení '!HI119</f>
        <v>0</v>
      </c>
      <c r="HJ123" s="357">
        <f>'Hodnocení '!HJ119</f>
        <v>0</v>
      </c>
      <c r="HK123" s="357">
        <f>'Hodnocení '!HK119</f>
        <v>0</v>
      </c>
      <c r="HL123" s="357">
        <f>'Hodnocení '!HL119</f>
        <v>0</v>
      </c>
      <c r="HM123" s="357">
        <f>'Hodnocení '!HM119</f>
        <v>0</v>
      </c>
      <c r="HN123" s="357">
        <f>'Hodnocení '!HN119</f>
        <v>0</v>
      </c>
      <c r="HO123" s="357">
        <f>'Hodnocení '!HO119</f>
        <v>0</v>
      </c>
      <c r="HP123" s="357">
        <f>'Hodnocení '!HP119</f>
        <v>0</v>
      </c>
      <c r="HQ123" s="357">
        <f>'Hodnocení '!HQ119</f>
        <v>0</v>
      </c>
      <c r="HR123" s="357">
        <f>'Hodnocení '!HR119</f>
        <v>0</v>
      </c>
      <c r="HS123" s="357">
        <f>'Hodnocení '!HS119</f>
        <v>0</v>
      </c>
      <c r="HT123" s="357">
        <f>'Hodnocení '!HT119</f>
        <v>0</v>
      </c>
      <c r="HU123" s="357">
        <f>'Hodnocení '!HU119</f>
        <v>0</v>
      </c>
      <c r="HV123" s="357">
        <f>'Hodnocení '!HV119</f>
        <v>0</v>
      </c>
      <c r="HW123" s="357">
        <f>'Hodnocení '!HW119</f>
        <v>0</v>
      </c>
      <c r="HX123" s="357">
        <f>'Hodnocení '!HX119</f>
        <v>0</v>
      </c>
      <c r="HY123" s="357">
        <f>'Hodnocení '!HY119</f>
        <v>0</v>
      </c>
      <c r="HZ123" s="357">
        <f>'Hodnocení '!HZ119</f>
        <v>0</v>
      </c>
      <c r="IA123" s="357">
        <f>'Hodnocení '!IA119</f>
        <v>0</v>
      </c>
      <c r="IB123" s="357">
        <f>'Hodnocení '!IB119</f>
        <v>0</v>
      </c>
      <c r="IC123" s="357">
        <f>'Hodnocení '!IC119</f>
        <v>0</v>
      </c>
      <c r="ID123" s="357">
        <f>'Hodnocení '!ID119</f>
        <v>0</v>
      </c>
      <c r="IE123" s="357">
        <f>'Hodnocení '!IE119</f>
        <v>0</v>
      </c>
      <c r="IF123" s="357">
        <f>'Hodnocení '!IF119</f>
        <v>0</v>
      </c>
      <c r="IG123" s="357">
        <f>'Hodnocení '!IG119</f>
        <v>0</v>
      </c>
      <c r="IH123" s="357">
        <f>'Hodnocení '!IH119</f>
        <v>0</v>
      </c>
      <c r="II123" s="357">
        <f>'Hodnocení '!II119</f>
        <v>0</v>
      </c>
      <c r="IJ123" s="357">
        <f>'Hodnocení '!IJ119</f>
        <v>0</v>
      </c>
      <c r="IK123" s="357">
        <f>'Hodnocení '!IK119</f>
        <v>0</v>
      </c>
      <c r="IL123" s="357">
        <f>'Hodnocení '!IL119</f>
        <v>0</v>
      </c>
      <c r="IM123" s="357">
        <f>'Hodnocení '!IM119</f>
        <v>0</v>
      </c>
      <c r="IN123" s="357">
        <f>'Hodnocení '!IN119</f>
        <v>0</v>
      </c>
      <c r="IO123" s="357">
        <f>'Hodnocení '!IO119</f>
        <v>0</v>
      </c>
      <c r="IP123" s="357">
        <f>'Hodnocení '!IP119</f>
        <v>0</v>
      </c>
      <c r="IQ123" s="357">
        <f>'Hodnocení '!IQ119</f>
        <v>0</v>
      </c>
      <c r="IR123" s="357">
        <f>'Hodnocení '!IR119</f>
        <v>0</v>
      </c>
      <c r="IS123" s="357">
        <f>'Hodnocení '!IS119</f>
        <v>0</v>
      </c>
      <c r="IT123" s="357">
        <f>'Hodnocení '!IT119</f>
        <v>0</v>
      </c>
      <c r="IU123" s="357">
        <f>'Hodnocení '!IU119</f>
        <v>0</v>
      </c>
      <c r="IV123" s="357">
        <f>'Hodnocení '!IV119</f>
        <v>0</v>
      </c>
      <c r="IW123" s="357">
        <f>'Hodnocení '!IW119</f>
        <v>0</v>
      </c>
      <c r="IX123" s="357">
        <f>'Hodnocení '!IX119</f>
        <v>0</v>
      </c>
      <c r="IY123" s="357">
        <f>'Hodnocení '!IY119</f>
        <v>0</v>
      </c>
      <c r="IZ123" s="357">
        <f>'Hodnocení '!IZ119</f>
        <v>0</v>
      </c>
      <c r="JA123" s="357">
        <f>'Hodnocení '!JA119</f>
        <v>0</v>
      </c>
      <c r="JB123" s="357">
        <f>'Hodnocení '!JB119</f>
        <v>0</v>
      </c>
      <c r="JC123" s="357">
        <f>'Hodnocení '!JC119</f>
        <v>0</v>
      </c>
      <c r="JD123" s="357">
        <f>'Hodnocení '!JD119</f>
        <v>0</v>
      </c>
      <c r="JE123" s="357">
        <f>'Hodnocení '!JE119</f>
        <v>0</v>
      </c>
      <c r="JF123" s="357">
        <f>'Hodnocení '!JF119</f>
        <v>0</v>
      </c>
      <c r="JG123" s="357">
        <f>'Hodnocení '!JG119</f>
        <v>0</v>
      </c>
      <c r="JH123" s="772">
        <f>'Hodnocení '!JH119</f>
        <v>0</v>
      </c>
      <c r="JI123" s="315">
        <f>'Hodnocení '!JI119</f>
        <v>0</v>
      </c>
    </row>
    <row r="124" spans="1:276" s="307" customFormat="1" hidden="1" x14ac:dyDescent="0.25">
      <c r="A124" s="314">
        <v>4</v>
      </c>
      <c r="B124" s="743" t="s">
        <v>1545</v>
      </c>
      <c r="C124" s="779">
        <f>'Hodnocení '!C120</f>
        <v>0</v>
      </c>
      <c r="D124" s="479">
        <f>'Hodnocení '!D120</f>
        <v>0</v>
      </c>
      <c r="E124" s="479">
        <f>'Hodnocení '!E120</f>
        <v>0</v>
      </c>
      <c r="F124" s="479">
        <f>'Hodnocení '!F120</f>
        <v>0</v>
      </c>
      <c r="G124" s="479">
        <f>'Hodnocení '!G120</f>
        <v>0</v>
      </c>
      <c r="H124" s="479">
        <f>'Hodnocení '!H120</f>
        <v>0</v>
      </c>
      <c r="I124" s="479">
        <f>'Hodnocení '!I120</f>
        <v>0</v>
      </c>
      <c r="J124" s="479">
        <f>'Hodnocení '!J120</f>
        <v>0</v>
      </c>
      <c r="K124" s="479">
        <f>'Hodnocení '!K120</f>
        <v>0</v>
      </c>
      <c r="L124" s="479">
        <f>'Hodnocení '!L120</f>
        <v>175000</v>
      </c>
      <c r="M124" s="479">
        <f>'Hodnocení '!M120</f>
        <v>177000</v>
      </c>
      <c r="N124" s="479">
        <f>'Hodnocení '!N120</f>
        <v>0</v>
      </c>
      <c r="O124" s="479">
        <f>'Hodnocení '!O120</f>
        <v>80000</v>
      </c>
      <c r="P124" s="479">
        <f>'Hodnocení '!P120</f>
        <v>0</v>
      </c>
      <c r="Q124" s="479">
        <f>'Hodnocení '!Q120</f>
        <v>93000</v>
      </c>
      <c r="R124" s="479">
        <f>'Hodnocení '!R120</f>
        <v>38293.1</v>
      </c>
      <c r="S124" s="479">
        <f>'Hodnocení '!S120</f>
        <v>33512.800000000003</v>
      </c>
      <c r="T124" s="479">
        <f>'Hodnocení '!T120</f>
        <v>45063</v>
      </c>
      <c r="U124" s="479">
        <f>'Hodnocení '!U120</f>
        <v>0</v>
      </c>
      <c r="V124" s="479">
        <f>'Hodnocení '!V120</f>
        <v>0</v>
      </c>
      <c r="W124" s="479">
        <f>'Hodnocení '!W120</f>
        <v>0</v>
      </c>
      <c r="X124" s="479">
        <f>'Hodnocení '!X120</f>
        <v>0</v>
      </c>
      <c r="Y124" s="479">
        <f>'Hodnocení '!Y120</f>
        <v>120000</v>
      </c>
      <c r="Z124" s="479">
        <f>'Hodnocení '!Z120</f>
        <v>118000</v>
      </c>
      <c r="AA124" s="479">
        <f>'Hodnocení '!AA120</f>
        <v>0</v>
      </c>
      <c r="AB124" s="479">
        <f>'Hodnocení '!AB120</f>
        <v>130000</v>
      </c>
      <c r="AC124" s="479">
        <f>'Hodnocení '!AC120</f>
        <v>148000</v>
      </c>
      <c r="AD124" s="479">
        <f>'Hodnocení '!AD120</f>
        <v>134000</v>
      </c>
      <c r="AE124" s="479">
        <f>'Hodnocení '!AE120</f>
        <v>0</v>
      </c>
      <c r="AF124" s="479">
        <f>'Hodnocení '!AF120</f>
        <v>0</v>
      </c>
      <c r="AG124" s="479">
        <f>'Hodnocení '!AG120</f>
        <v>158000</v>
      </c>
      <c r="AH124" s="479">
        <f>'Hodnocení '!AH120</f>
        <v>55495</v>
      </c>
      <c r="AI124" s="479">
        <f>'Hodnocení '!AI120</f>
        <v>106000</v>
      </c>
      <c r="AJ124" s="479">
        <f>'Hodnocení '!AJ120</f>
        <v>109000</v>
      </c>
      <c r="AK124" s="479">
        <f>'Hodnocení '!AK120</f>
        <v>79838</v>
      </c>
      <c r="AL124" s="479">
        <f>'Hodnocení '!AL120</f>
        <v>0</v>
      </c>
      <c r="AM124" s="479">
        <f>'Hodnocení '!AM120</f>
        <v>0</v>
      </c>
      <c r="AN124" s="479">
        <f>'Hodnocení '!AN120</f>
        <v>0</v>
      </c>
      <c r="AO124" s="479">
        <f>'Hodnocení '!AO120</f>
        <v>0</v>
      </c>
      <c r="AP124" s="479">
        <f>'Hodnocení '!AP120</f>
        <v>178955</v>
      </c>
      <c r="AQ124" s="479">
        <f>'Hodnocení '!AQ120</f>
        <v>26000</v>
      </c>
      <c r="AR124" s="479">
        <f>'Hodnocení '!AR120</f>
        <v>40000</v>
      </c>
      <c r="AS124" s="479">
        <f>'Hodnocení '!AS120</f>
        <v>18000</v>
      </c>
      <c r="AT124" s="479">
        <f>'Hodnocení '!AT120</f>
        <v>0</v>
      </c>
      <c r="AU124" s="479">
        <f>'Hodnocení '!AU120</f>
        <v>10000</v>
      </c>
      <c r="AV124" s="479">
        <f>'Hodnocení '!AV120</f>
        <v>0</v>
      </c>
      <c r="AW124" s="479">
        <f>'Hodnocení '!AW120</f>
        <v>0</v>
      </c>
      <c r="AX124" s="479">
        <f>'Hodnocení '!AX120</f>
        <v>172190</v>
      </c>
      <c r="AY124" s="479">
        <f>'Hodnocení '!AY120</f>
        <v>184559</v>
      </c>
      <c r="AZ124" s="479">
        <f>'Hodnocení '!AZ120</f>
        <v>141000</v>
      </c>
      <c r="BA124" s="479">
        <f>'Hodnocení '!BA120</f>
        <v>0</v>
      </c>
      <c r="BB124" s="479">
        <f>'Hodnocení '!BB120</f>
        <v>0</v>
      </c>
      <c r="BC124" s="479">
        <f>'Hodnocení '!BC120</f>
        <v>0</v>
      </c>
      <c r="BD124" s="479">
        <f>'Hodnocení '!BD120</f>
        <v>112000</v>
      </c>
      <c r="BE124" s="479">
        <f>'Hodnocení '!BE120</f>
        <v>113000</v>
      </c>
      <c r="BF124" s="479">
        <f>'Hodnocení '!BF120</f>
        <v>60000</v>
      </c>
      <c r="BG124" s="479">
        <f>'Hodnocení '!BG120</f>
        <v>70000</v>
      </c>
      <c r="BH124" s="479">
        <f>'Hodnocení '!BH120</f>
        <v>235948</v>
      </c>
      <c r="BI124" s="479">
        <f>'Hodnocení '!BI120</f>
        <v>0</v>
      </c>
      <c r="BJ124" s="479">
        <f>'Hodnocení '!BJ120</f>
        <v>0</v>
      </c>
      <c r="BK124" s="479">
        <f>'Hodnocení '!BK120</f>
        <v>0</v>
      </c>
      <c r="BL124" s="479">
        <f>'Hodnocení '!BL120</f>
        <v>0</v>
      </c>
      <c r="BM124" s="479">
        <f>'Hodnocení '!BM120</f>
        <v>0</v>
      </c>
      <c r="BN124" s="479">
        <f>'Hodnocení '!BN120</f>
        <v>0</v>
      </c>
      <c r="BO124" s="479">
        <f>'Hodnocení '!BO120</f>
        <v>0</v>
      </c>
      <c r="BP124" s="479">
        <f>'Hodnocení '!BP120</f>
        <v>458716</v>
      </c>
      <c r="BQ124" s="479">
        <f>'Hodnocení '!BQ120</f>
        <v>0</v>
      </c>
      <c r="BR124" s="479">
        <f>'Hodnocení '!BR120</f>
        <v>65000</v>
      </c>
      <c r="BS124" s="479">
        <f>'Hodnocení '!BS120</f>
        <v>100000</v>
      </c>
      <c r="BT124" s="479">
        <f>'Hodnocení '!BT120</f>
        <v>79000</v>
      </c>
      <c r="BU124" s="479">
        <f>'Hodnocení '!BU120</f>
        <v>0</v>
      </c>
      <c r="BV124" s="479">
        <f>'Hodnocení '!BV120</f>
        <v>0</v>
      </c>
      <c r="BW124" s="479">
        <f>'Hodnocení '!BW120</f>
        <v>0</v>
      </c>
      <c r="BX124" s="479">
        <f>'Hodnocení '!BX120</f>
        <v>156971</v>
      </c>
      <c r="BY124" s="479">
        <f>'Hodnocení '!BY120</f>
        <v>101000</v>
      </c>
      <c r="BZ124" s="479">
        <f>'Hodnocení '!BZ120</f>
        <v>36000</v>
      </c>
      <c r="CA124" s="479">
        <f>'Hodnocení '!CA120</f>
        <v>0</v>
      </c>
      <c r="CB124" s="479">
        <f>'Hodnocení '!CB120</f>
        <v>0</v>
      </c>
      <c r="CC124" s="479">
        <f>'Hodnocení '!CC120</f>
        <v>0</v>
      </c>
      <c r="CD124" s="479">
        <f>'Hodnocení '!CD120</f>
        <v>0</v>
      </c>
      <c r="CE124" s="479">
        <f>'Hodnocení '!CE120</f>
        <v>0</v>
      </c>
      <c r="CF124" s="479">
        <f>'Hodnocení '!CF120</f>
        <v>0</v>
      </c>
      <c r="CG124" s="479">
        <f>'Hodnocení '!CG120</f>
        <v>0</v>
      </c>
      <c r="CH124" s="479">
        <f>'Hodnocení '!CH120</f>
        <v>0</v>
      </c>
      <c r="CI124" s="479">
        <f>'Hodnocení '!CI120</f>
        <v>0</v>
      </c>
      <c r="CJ124" s="479">
        <f>'Hodnocení '!CJ120</f>
        <v>0</v>
      </c>
      <c r="CK124" s="479">
        <f>'Hodnocení '!CK120</f>
        <v>0</v>
      </c>
      <c r="CL124" s="479">
        <f>'Hodnocení '!CL120</f>
        <v>0</v>
      </c>
      <c r="CM124" s="479">
        <f>'Hodnocení '!CM120</f>
        <v>0</v>
      </c>
      <c r="CN124" s="479">
        <f>'Hodnocení '!CN120</f>
        <v>52605.14</v>
      </c>
      <c r="CO124" s="479">
        <f>'Hodnocení '!CO120</f>
        <v>0</v>
      </c>
      <c r="CP124" s="479">
        <f>'Hodnocení '!CP120</f>
        <v>55825.46</v>
      </c>
      <c r="CQ124" s="479">
        <f>'Hodnocení '!CQ120</f>
        <v>0</v>
      </c>
      <c r="CR124" s="479">
        <f>'Hodnocení '!CR120</f>
        <v>0</v>
      </c>
      <c r="CS124" s="479">
        <f>'Hodnocení '!CS120</f>
        <v>0</v>
      </c>
      <c r="CT124" s="479">
        <f>'Hodnocení '!CT120</f>
        <v>0</v>
      </c>
      <c r="CU124" s="479">
        <f>'Hodnocení '!CU120</f>
        <v>0</v>
      </c>
      <c r="CV124" s="479">
        <f>'Hodnocení '!CV120</f>
        <v>0</v>
      </c>
      <c r="CW124" s="479">
        <f>'Hodnocení '!CW120</f>
        <v>0</v>
      </c>
      <c r="CX124" s="479">
        <f>'Hodnocení '!CX120</f>
        <v>0</v>
      </c>
      <c r="CY124" s="479">
        <f>'Hodnocení '!CY120</f>
        <v>0</v>
      </c>
      <c r="CZ124" s="479">
        <f>'Hodnocení '!CZ120</f>
        <v>0</v>
      </c>
      <c r="DA124" s="479">
        <f>'Hodnocení '!DA120</f>
        <v>0</v>
      </c>
      <c r="DB124" s="479">
        <f>'Hodnocení '!DB120</f>
        <v>0</v>
      </c>
      <c r="DC124" s="479">
        <f>'Hodnocení '!DC120</f>
        <v>0</v>
      </c>
      <c r="DD124" s="479">
        <f>'Hodnocení '!DD120</f>
        <v>0</v>
      </c>
      <c r="DE124" s="479">
        <f>'Hodnocení '!DE120</f>
        <v>0</v>
      </c>
      <c r="DF124" s="479">
        <f>'Hodnocení '!DF120</f>
        <v>0</v>
      </c>
      <c r="DG124" s="479">
        <f>'Hodnocení '!DG120</f>
        <v>0</v>
      </c>
      <c r="DH124" s="479">
        <f>'Hodnocení '!DH120</f>
        <v>0</v>
      </c>
      <c r="DI124" s="479">
        <f>'Hodnocení '!DI120</f>
        <v>0</v>
      </c>
      <c r="DJ124" s="479">
        <f>'Hodnocení '!DJ120</f>
        <v>0</v>
      </c>
      <c r="DK124" s="479">
        <f>'Hodnocení '!DK120</f>
        <v>0</v>
      </c>
      <c r="DL124" s="479">
        <f>'Hodnocení '!DL120</f>
        <v>0</v>
      </c>
      <c r="DM124" s="479">
        <f>'Hodnocení '!DM120</f>
        <v>0</v>
      </c>
      <c r="DN124" s="479">
        <f>'Hodnocení '!DN120</f>
        <v>130000</v>
      </c>
      <c r="DO124" s="479">
        <f>'Hodnocení '!DO120</f>
        <v>0</v>
      </c>
      <c r="DP124" s="479">
        <f>'Hodnocení '!DP120</f>
        <v>136446.78</v>
      </c>
      <c r="DQ124" s="479">
        <f>'Hodnocení '!DQ120</f>
        <v>0</v>
      </c>
      <c r="DR124" s="479">
        <f>'Hodnocení '!DR120</f>
        <v>0</v>
      </c>
      <c r="DS124" s="479">
        <f>'Hodnocení '!DS120</f>
        <v>0</v>
      </c>
      <c r="DT124" s="479">
        <f>'Hodnocení '!DT120</f>
        <v>0</v>
      </c>
      <c r="DU124" s="479">
        <f>'Hodnocení '!DU120</f>
        <v>0</v>
      </c>
      <c r="DV124" s="479">
        <f>'Hodnocení '!DV120</f>
        <v>0</v>
      </c>
      <c r="DW124" s="479">
        <f>'Hodnocení '!DW120</f>
        <v>0</v>
      </c>
      <c r="DX124" s="479">
        <f>'Hodnocení '!DX120</f>
        <v>0</v>
      </c>
      <c r="DY124" s="479">
        <f>'Hodnocení '!DY120</f>
        <v>158000</v>
      </c>
      <c r="DZ124" s="479">
        <f>'Hodnocení '!DZ120</f>
        <v>0</v>
      </c>
      <c r="EA124" s="479">
        <f>'Hodnocení '!EA120</f>
        <v>171000</v>
      </c>
      <c r="EB124" s="479">
        <f>'Hodnocení '!EB120</f>
        <v>0</v>
      </c>
      <c r="EC124" s="479">
        <f>'Hodnocení '!EC120</f>
        <v>0</v>
      </c>
      <c r="ED124" s="479">
        <f>'Hodnocení '!ED120</f>
        <v>0</v>
      </c>
      <c r="EE124" s="479">
        <f>'Hodnocení '!EE120</f>
        <v>0</v>
      </c>
      <c r="EF124" s="479">
        <f>'Hodnocení '!EF120</f>
        <v>28601.59</v>
      </c>
      <c r="EG124" s="479">
        <f>'Hodnocení '!EG120</f>
        <v>21070.99</v>
      </c>
      <c r="EH124" s="479">
        <f>'Hodnocení '!EH120</f>
        <v>22000</v>
      </c>
      <c r="EI124" s="479">
        <f>'Hodnocení '!EI120</f>
        <v>0</v>
      </c>
      <c r="EJ124" s="479">
        <f>'Hodnocení '!EJ120</f>
        <v>0</v>
      </c>
      <c r="EK124" s="479">
        <f>'Hodnocení '!EK120</f>
        <v>276000</v>
      </c>
      <c r="EL124" s="479">
        <f>'Hodnocení '!EL120</f>
        <v>651000</v>
      </c>
      <c r="EM124" s="479">
        <f>'Hodnocení '!EM120</f>
        <v>210000</v>
      </c>
      <c r="EN124" s="479">
        <f>'Hodnocení '!EN120</f>
        <v>0</v>
      </c>
      <c r="EO124" s="479">
        <f>'Hodnocení '!EO120</f>
        <v>0</v>
      </c>
      <c r="EP124" s="479">
        <f>'Hodnocení '!EP120</f>
        <v>0</v>
      </c>
      <c r="EQ124" s="479">
        <f>'Hodnocení '!EQ120</f>
        <v>0</v>
      </c>
      <c r="ER124" s="479">
        <f>'Hodnocení '!ER120</f>
        <v>0</v>
      </c>
      <c r="ES124" s="479">
        <f>'Hodnocení '!ES120</f>
        <v>0</v>
      </c>
      <c r="ET124" s="479">
        <f>'Hodnocení '!ET120</f>
        <v>0</v>
      </c>
      <c r="EU124" s="479">
        <f>'Hodnocení '!EU120</f>
        <v>0</v>
      </c>
      <c r="EV124" s="479">
        <f>'Hodnocení '!EV120</f>
        <v>0</v>
      </c>
      <c r="EW124" s="479">
        <f>'Hodnocení '!EW120</f>
        <v>0</v>
      </c>
      <c r="EX124" s="479">
        <f>'Hodnocení '!EX120</f>
        <v>0</v>
      </c>
      <c r="EY124" s="479">
        <f>'Hodnocení '!EY120</f>
        <v>0</v>
      </c>
      <c r="EZ124" s="479">
        <f>'Hodnocení '!EZ120</f>
        <v>0</v>
      </c>
      <c r="FA124" s="479">
        <f>'Hodnocení '!FA120</f>
        <v>0</v>
      </c>
      <c r="FB124" s="479">
        <f>'Hodnocení '!FB120</f>
        <v>0</v>
      </c>
      <c r="FC124" s="479">
        <f>'Hodnocení '!FC120</f>
        <v>0</v>
      </c>
      <c r="FD124" s="479">
        <f>'Hodnocení '!FD120</f>
        <v>0</v>
      </c>
      <c r="FE124" s="479">
        <f>'Hodnocení '!FE120</f>
        <v>0</v>
      </c>
      <c r="FF124" s="479">
        <f>'Hodnocení '!FF120</f>
        <v>0</v>
      </c>
      <c r="FG124" s="479">
        <f>'Hodnocení '!FG120</f>
        <v>0</v>
      </c>
      <c r="FH124" s="479">
        <f>'Hodnocení '!FH120</f>
        <v>0</v>
      </c>
      <c r="FI124" s="479">
        <f>'Hodnocení '!FI120</f>
        <v>0</v>
      </c>
      <c r="FJ124" s="479">
        <f>'Hodnocení '!FJ120</f>
        <v>0</v>
      </c>
      <c r="FK124" s="479">
        <f>'Hodnocení '!FK120</f>
        <v>0</v>
      </c>
      <c r="FL124" s="479">
        <f>'Hodnocení '!FL120</f>
        <v>0</v>
      </c>
      <c r="FM124" s="479">
        <f>'Hodnocení '!FM120</f>
        <v>0</v>
      </c>
      <c r="FN124" s="479">
        <f>'Hodnocení '!FN120</f>
        <v>0</v>
      </c>
      <c r="FO124" s="479">
        <f>'Hodnocení '!FO120</f>
        <v>0</v>
      </c>
      <c r="FP124" s="479">
        <f>'Hodnocení '!FP120</f>
        <v>0</v>
      </c>
      <c r="FQ124" s="479">
        <f>'Hodnocení '!FQ120</f>
        <v>0</v>
      </c>
      <c r="FR124" s="479">
        <f>'Hodnocení '!FR120</f>
        <v>0</v>
      </c>
      <c r="FS124" s="479">
        <f>'Hodnocení '!FS120</f>
        <v>0</v>
      </c>
      <c r="FT124" s="479">
        <f>'Hodnocení '!FT120</f>
        <v>0</v>
      </c>
      <c r="FU124" s="479">
        <f>'Hodnocení '!FU120</f>
        <v>0</v>
      </c>
      <c r="FV124" s="479">
        <f>'Hodnocení '!FV120</f>
        <v>0</v>
      </c>
      <c r="FW124" s="479">
        <f>'Hodnocení '!FW120</f>
        <v>0</v>
      </c>
      <c r="FX124" s="479">
        <f>'Hodnocení '!FX120</f>
        <v>0</v>
      </c>
      <c r="FY124" s="479">
        <f>'Hodnocení '!FY120</f>
        <v>0</v>
      </c>
      <c r="FZ124" s="479">
        <f>'Hodnocení '!FZ120</f>
        <v>0</v>
      </c>
      <c r="GA124" s="479">
        <f>'Hodnocení '!GA120</f>
        <v>0</v>
      </c>
      <c r="GB124" s="479">
        <f>'Hodnocení '!GB120</f>
        <v>0</v>
      </c>
      <c r="GC124" s="479">
        <f>'Hodnocení '!GC120</f>
        <v>0</v>
      </c>
      <c r="GD124" s="479">
        <f>'Hodnocení '!GD120</f>
        <v>0</v>
      </c>
      <c r="GE124" s="479">
        <f>'Hodnocení '!GE120</f>
        <v>0</v>
      </c>
      <c r="GF124" s="479">
        <f>'Hodnocení '!GF120</f>
        <v>0</v>
      </c>
      <c r="GG124" s="479">
        <f>'Hodnocení '!GG120</f>
        <v>0</v>
      </c>
      <c r="GH124" s="479">
        <f>'Hodnocení '!GH120</f>
        <v>0</v>
      </c>
      <c r="GI124" s="479">
        <f>'Hodnocení '!GI120</f>
        <v>0</v>
      </c>
      <c r="GJ124" s="479">
        <f>'Hodnocení '!GJ120</f>
        <v>0</v>
      </c>
      <c r="GK124" s="479">
        <f>'Hodnocení '!GK120</f>
        <v>0</v>
      </c>
      <c r="GL124" s="479">
        <f>'Hodnocení '!GL120</f>
        <v>0</v>
      </c>
      <c r="GM124" s="479">
        <f>'Hodnocení '!GM120</f>
        <v>0</v>
      </c>
      <c r="GN124" s="479">
        <f>'Hodnocení '!GN120</f>
        <v>0</v>
      </c>
      <c r="GO124" s="479">
        <f>'Hodnocení '!GO120</f>
        <v>0</v>
      </c>
      <c r="GP124" s="479">
        <f>'Hodnocení '!GP120</f>
        <v>0</v>
      </c>
      <c r="GQ124" s="479">
        <f>'Hodnocení '!GQ120</f>
        <v>0</v>
      </c>
      <c r="GR124" s="479">
        <f>'Hodnocení '!GR120</f>
        <v>0</v>
      </c>
      <c r="GS124" s="479">
        <f>'Hodnocení '!GS120</f>
        <v>0</v>
      </c>
      <c r="GT124" s="479">
        <f>'Hodnocení '!GT120</f>
        <v>0</v>
      </c>
      <c r="GU124" s="479">
        <f>'Hodnocení '!GU120</f>
        <v>0</v>
      </c>
      <c r="GV124" s="479">
        <f>'Hodnocení '!GV120</f>
        <v>0</v>
      </c>
      <c r="GW124" s="479">
        <f>'Hodnocení '!GW120</f>
        <v>0</v>
      </c>
      <c r="GX124" s="479">
        <f>'Hodnocení '!GX120</f>
        <v>0</v>
      </c>
      <c r="GY124" s="479">
        <f>'Hodnocení '!GY120</f>
        <v>0</v>
      </c>
      <c r="GZ124" s="479">
        <f>'Hodnocení '!GZ120</f>
        <v>0</v>
      </c>
      <c r="HA124" s="479">
        <f>'Hodnocení '!HA120</f>
        <v>0</v>
      </c>
      <c r="HB124" s="479">
        <f>'Hodnocení '!HB120</f>
        <v>0</v>
      </c>
      <c r="HC124" s="479">
        <f>'Hodnocení '!HC120</f>
        <v>0</v>
      </c>
      <c r="HD124" s="479">
        <f>'Hodnocení '!HD120</f>
        <v>200000</v>
      </c>
      <c r="HE124" s="479">
        <f>'Hodnocení '!HE120</f>
        <v>200000</v>
      </c>
      <c r="HF124" s="479">
        <f>'Hodnocení '!HF120</f>
        <v>0</v>
      </c>
      <c r="HG124" s="479">
        <f>'Hodnocení '!HG120</f>
        <v>0</v>
      </c>
      <c r="HH124" s="479">
        <f>'Hodnocení '!HH120</f>
        <v>0</v>
      </c>
      <c r="HI124" s="479">
        <f>'Hodnocení '!HI120</f>
        <v>0</v>
      </c>
      <c r="HJ124" s="479">
        <f>'Hodnocení '!HJ120</f>
        <v>0</v>
      </c>
      <c r="HK124" s="479">
        <f>'Hodnocení '!HK120</f>
        <v>0</v>
      </c>
      <c r="HL124" s="479">
        <f>'Hodnocení '!HL120</f>
        <v>0</v>
      </c>
      <c r="HM124" s="479">
        <f>'Hodnocení '!HM120</f>
        <v>0</v>
      </c>
      <c r="HN124" s="479">
        <f>'Hodnocení '!HN120</f>
        <v>0</v>
      </c>
      <c r="HO124" s="479">
        <f>'Hodnocení '!HO120</f>
        <v>0</v>
      </c>
      <c r="HP124" s="479">
        <f>'Hodnocení '!HP120</f>
        <v>0</v>
      </c>
      <c r="HQ124" s="479">
        <f>'Hodnocení '!HQ120</f>
        <v>0</v>
      </c>
      <c r="HR124" s="479">
        <f>'Hodnocení '!HR120</f>
        <v>0</v>
      </c>
      <c r="HS124" s="479">
        <f>'Hodnocení '!HS120</f>
        <v>0</v>
      </c>
      <c r="HT124" s="479">
        <f>'Hodnocení '!HT120</f>
        <v>0</v>
      </c>
      <c r="HU124" s="479">
        <f>'Hodnocení '!HU120</f>
        <v>0</v>
      </c>
      <c r="HV124" s="479">
        <f>'Hodnocení '!HV120</f>
        <v>0</v>
      </c>
      <c r="HW124" s="479">
        <f>'Hodnocení '!HW120</f>
        <v>0</v>
      </c>
      <c r="HX124" s="479">
        <f>'Hodnocení '!HX120</f>
        <v>0</v>
      </c>
      <c r="HY124" s="479">
        <f>'Hodnocení '!HY120</f>
        <v>0</v>
      </c>
      <c r="HZ124" s="479">
        <f>'Hodnocení '!HZ120</f>
        <v>0</v>
      </c>
      <c r="IA124" s="479">
        <f>'Hodnocení '!IA120</f>
        <v>0</v>
      </c>
      <c r="IB124" s="479">
        <f>'Hodnocení '!IB120</f>
        <v>0</v>
      </c>
      <c r="IC124" s="479">
        <f>'Hodnocení '!IC120</f>
        <v>0</v>
      </c>
      <c r="ID124" s="479">
        <f>'Hodnocení '!ID120</f>
        <v>0</v>
      </c>
      <c r="IE124" s="479">
        <f>'Hodnocení '!IE120</f>
        <v>0</v>
      </c>
      <c r="IF124" s="479">
        <f>'Hodnocení '!IF120</f>
        <v>0</v>
      </c>
      <c r="IG124" s="479">
        <f>'Hodnocení '!IG120</f>
        <v>0</v>
      </c>
      <c r="IH124" s="479">
        <f>'Hodnocení '!IH120</f>
        <v>0</v>
      </c>
      <c r="II124" s="479">
        <f>'Hodnocení '!II120</f>
        <v>0</v>
      </c>
      <c r="IJ124" s="479">
        <f>'Hodnocení '!IJ120</f>
        <v>0</v>
      </c>
      <c r="IK124" s="479">
        <f>'Hodnocení '!IK120</f>
        <v>0</v>
      </c>
      <c r="IL124" s="479">
        <f>'Hodnocení '!IL120</f>
        <v>0</v>
      </c>
      <c r="IM124" s="479">
        <f>'Hodnocení '!IM120</f>
        <v>0</v>
      </c>
      <c r="IN124" s="479">
        <f>'Hodnocení '!IN120</f>
        <v>0</v>
      </c>
      <c r="IO124" s="479">
        <f>'Hodnocení '!IO120</f>
        <v>0</v>
      </c>
      <c r="IP124" s="479">
        <f>'Hodnocení '!IP120</f>
        <v>0</v>
      </c>
      <c r="IQ124" s="479">
        <f>'Hodnocení '!IQ120</f>
        <v>0</v>
      </c>
      <c r="IR124" s="479">
        <f>'Hodnocení '!IR120</f>
        <v>0</v>
      </c>
      <c r="IS124" s="479">
        <f>'Hodnocení '!IS120</f>
        <v>0</v>
      </c>
      <c r="IT124" s="479">
        <f>'Hodnocení '!IT120</f>
        <v>0</v>
      </c>
      <c r="IU124" s="479">
        <f>'Hodnocení '!IU120</f>
        <v>0</v>
      </c>
      <c r="IV124" s="479">
        <f>'Hodnocení '!IV120</f>
        <v>0</v>
      </c>
      <c r="IW124" s="479">
        <f>'Hodnocení '!IW120</f>
        <v>0</v>
      </c>
      <c r="IX124" s="479">
        <f>'Hodnocení '!IX120</f>
        <v>0</v>
      </c>
      <c r="IY124" s="479">
        <f>'Hodnocení '!IY120</f>
        <v>0</v>
      </c>
      <c r="IZ124" s="479">
        <f>'Hodnocení '!IZ120</f>
        <v>0</v>
      </c>
      <c r="JA124" s="479">
        <f>'Hodnocení '!JA120</f>
        <v>0</v>
      </c>
      <c r="JB124" s="479">
        <f>'Hodnocení '!JB120</f>
        <v>0</v>
      </c>
      <c r="JC124" s="479">
        <f>'Hodnocení '!JC120</f>
        <v>0</v>
      </c>
      <c r="JD124" s="479">
        <f>'Hodnocení '!JD120</f>
        <v>0</v>
      </c>
      <c r="JE124" s="479">
        <f>'Hodnocení '!JE120</f>
        <v>0</v>
      </c>
      <c r="JF124" s="479">
        <f>'Hodnocení '!JF120</f>
        <v>0</v>
      </c>
      <c r="JG124" s="479">
        <f>'Hodnocení '!JG120</f>
        <v>0</v>
      </c>
      <c r="JH124" s="780">
        <f>'Hodnocení '!JH120</f>
        <v>0</v>
      </c>
      <c r="JI124" s="470">
        <f>'Hodnocení '!JI120</f>
        <v>6471090.8600000003</v>
      </c>
      <c r="JL124" s="307">
        <f t="shared" ref="JL124:JO129" si="69">SUMIFS($C124:$JH124,$C$5:$JH$5,JL$5)</f>
        <v>0</v>
      </c>
      <c r="JM124" s="307">
        <f t="shared" si="69"/>
        <v>6071090.8600000003</v>
      </c>
      <c r="JN124" s="307">
        <f t="shared" si="69"/>
        <v>400000</v>
      </c>
      <c r="JO124" s="307">
        <f t="shared" si="69"/>
        <v>0</v>
      </c>
      <c r="JP124" s="307">
        <f t="shared" ref="JP124:JP129" si="70">SUM(JL124:JO124)</f>
        <v>6471090.8600000003</v>
      </c>
    </row>
    <row r="125" spans="1:276" s="307" customFormat="1" hidden="1" x14ac:dyDescent="0.25">
      <c r="A125" s="314">
        <v>10</v>
      </c>
      <c r="B125" s="743" t="s">
        <v>1541</v>
      </c>
      <c r="C125" s="779">
        <f>'Hodnocení '!C121</f>
        <v>0</v>
      </c>
      <c r="D125" s="479">
        <f>'Hodnocení '!D121</f>
        <v>0</v>
      </c>
      <c r="E125" s="479">
        <f>'Hodnocení '!E121</f>
        <v>0</v>
      </c>
      <c r="F125" s="479">
        <f>'Hodnocení '!F121</f>
        <v>0</v>
      </c>
      <c r="G125" s="479">
        <f>'Hodnocení '!G121</f>
        <v>0</v>
      </c>
      <c r="H125" s="479">
        <f>'Hodnocení '!H121</f>
        <v>0</v>
      </c>
      <c r="I125" s="479">
        <f>'Hodnocení '!I121</f>
        <v>0</v>
      </c>
      <c r="J125" s="479">
        <f>'Hodnocení '!J121</f>
        <v>0</v>
      </c>
      <c r="K125" s="479">
        <f>'Hodnocení '!K121</f>
        <v>0</v>
      </c>
      <c r="L125" s="479">
        <f>'Hodnocení '!L121</f>
        <v>0</v>
      </c>
      <c r="M125" s="479">
        <f>'Hodnocení '!M121</f>
        <v>0</v>
      </c>
      <c r="N125" s="479">
        <f>'Hodnocení '!N121</f>
        <v>0</v>
      </c>
      <c r="O125" s="479">
        <f>'Hodnocení '!O121</f>
        <v>0</v>
      </c>
      <c r="P125" s="479">
        <f>'Hodnocení '!P121</f>
        <v>0</v>
      </c>
      <c r="Q125" s="479">
        <f>'Hodnocení '!Q121</f>
        <v>0</v>
      </c>
      <c r="R125" s="479">
        <f>'Hodnocení '!R121</f>
        <v>0</v>
      </c>
      <c r="S125" s="479">
        <f>'Hodnocení '!S121</f>
        <v>0</v>
      </c>
      <c r="T125" s="479">
        <f>'Hodnocení '!T121</f>
        <v>0</v>
      </c>
      <c r="U125" s="479">
        <f>'Hodnocení '!U121</f>
        <v>0</v>
      </c>
      <c r="V125" s="479">
        <f>'Hodnocení '!V121</f>
        <v>0</v>
      </c>
      <c r="W125" s="479">
        <f>'Hodnocení '!W121</f>
        <v>0</v>
      </c>
      <c r="X125" s="479">
        <f>'Hodnocení '!X121</f>
        <v>0</v>
      </c>
      <c r="Y125" s="479">
        <f>'Hodnocení '!Y121</f>
        <v>0</v>
      </c>
      <c r="Z125" s="479">
        <f>'Hodnocení '!Z121</f>
        <v>0</v>
      </c>
      <c r="AA125" s="479">
        <f>'Hodnocení '!AA121</f>
        <v>0</v>
      </c>
      <c r="AB125" s="479">
        <f>'Hodnocení '!AB121</f>
        <v>0</v>
      </c>
      <c r="AC125" s="479">
        <f>'Hodnocení '!AC121</f>
        <v>0</v>
      </c>
      <c r="AD125" s="479">
        <f>'Hodnocení '!AD121</f>
        <v>0</v>
      </c>
      <c r="AE125" s="479">
        <f>'Hodnocení '!AE121</f>
        <v>0</v>
      </c>
      <c r="AF125" s="479">
        <f>'Hodnocení '!AF121</f>
        <v>0</v>
      </c>
      <c r="AG125" s="479">
        <f>'Hodnocení '!AG121</f>
        <v>0</v>
      </c>
      <c r="AH125" s="479">
        <f>'Hodnocení '!AH121</f>
        <v>0</v>
      </c>
      <c r="AI125" s="479">
        <f>'Hodnocení '!AI121</f>
        <v>0</v>
      </c>
      <c r="AJ125" s="479">
        <f>'Hodnocení '!AJ121</f>
        <v>0</v>
      </c>
      <c r="AK125" s="479">
        <f>'Hodnocení '!AK121</f>
        <v>0</v>
      </c>
      <c r="AL125" s="479">
        <f>'Hodnocení '!AL121</f>
        <v>0</v>
      </c>
      <c r="AM125" s="479">
        <f>'Hodnocení '!AM121</f>
        <v>0</v>
      </c>
      <c r="AN125" s="479">
        <f>'Hodnocení '!AN121</f>
        <v>0</v>
      </c>
      <c r="AO125" s="479">
        <f>'Hodnocení '!AO121</f>
        <v>0</v>
      </c>
      <c r="AP125" s="479">
        <f>'Hodnocení '!AP121</f>
        <v>0</v>
      </c>
      <c r="AQ125" s="479">
        <f>'Hodnocení '!AQ121</f>
        <v>30000</v>
      </c>
      <c r="AR125" s="479">
        <f>'Hodnocení '!AR121</f>
        <v>90000</v>
      </c>
      <c r="AS125" s="479">
        <f>'Hodnocení '!AS121</f>
        <v>30000</v>
      </c>
      <c r="AT125" s="479">
        <f>'Hodnocení '!AT121</f>
        <v>220000</v>
      </c>
      <c r="AU125" s="479">
        <f>'Hodnocení '!AU121</f>
        <v>132000</v>
      </c>
      <c r="AV125" s="479">
        <f>'Hodnocení '!AV121</f>
        <v>195000</v>
      </c>
      <c r="AW125" s="479">
        <f>'Hodnocení '!AW121</f>
        <v>135000</v>
      </c>
      <c r="AX125" s="479">
        <f>'Hodnocení '!AX121</f>
        <v>0</v>
      </c>
      <c r="AY125" s="479">
        <f>'Hodnocení '!AY121</f>
        <v>0</v>
      </c>
      <c r="AZ125" s="479">
        <f>'Hodnocení '!AZ121</f>
        <v>0</v>
      </c>
      <c r="BA125" s="479">
        <f>'Hodnocení '!BA121</f>
        <v>0</v>
      </c>
      <c r="BB125" s="479">
        <f>'Hodnocení '!BB121</f>
        <v>0</v>
      </c>
      <c r="BC125" s="479">
        <f>'Hodnocení '!BC121</f>
        <v>0</v>
      </c>
      <c r="BD125" s="479">
        <f>'Hodnocení '!BD121</f>
        <v>0</v>
      </c>
      <c r="BE125" s="479">
        <f>'Hodnocení '!BE121</f>
        <v>0</v>
      </c>
      <c r="BF125" s="479">
        <f>'Hodnocení '!BF121</f>
        <v>0</v>
      </c>
      <c r="BG125" s="479">
        <f>'Hodnocení '!BG121</f>
        <v>0</v>
      </c>
      <c r="BH125" s="479">
        <f>'Hodnocení '!BH121</f>
        <v>0</v>
      </c>
      <c r="BI125" s="479">
        <f>'Hodnocení '!BI121</f>
        <v>0</v>
      </c>
      <c r="BJ125" s="479">
        <f>'Hodnocení '!BJ121</f>
        <v>0</v>
      </c>
      <c r="BK125" s="479">
        <f>'Hodnocení '!BK121</f>
        <v>0</v>
      </c>
      <c r="BL125" s="479">
        <f>'Hodnocení '!BL121</f>
        <v>0</v>
      </c>
      <c r="BM125" s="479">
        <f>'Hodnocení '!BM121</f>
        <v>856252</v>
      </c>
      <c r="BN125" s="479">
        <f>'Hodnocení '!BN121</f>
        <v>0</v>
      </c>
      <c r="BO125" s="479">
        <f>'Hodnocení '!BO121</f>
        <v>0</v>
      </c>
      <c r="BP125" s="479">
        <f>'Hodnocení '!BP121</f>
        <v>0</v>
      </c>
      <c r="BQ125" s="479">
        <f>'Hodnocení '!BQ121</f>
        <v>0</v>
      </c>
      <c r="BR125" s="479">
        <f>'Hodnocení '!BR121</f>
        <v>0</v>
      </c>
      <c r="BS125" s="479">
        <f>'Hodnocení '!BS121</f>
        <v>0</v>
      </c>
      <c r="BT125" s="479">
        <f>'Hodnocení '!BT121</f>
        <v>0</v>
      </c>
      <c r="BU125" s="479">
        <f>'Hodnocení '!BU121</f>
        <v>0</v>
      </c>
      <c r="BV125" s="479">
        <f>'Hodnocení '!BV121</f>
        <v>0</v>
      </c>
      <c r="BW125" s="479">
        <f>'Hodnocení '!BW121</f>
        <v>0</v>
      </c>
      <c r="BX125" s="479">
        <f>'Hodnocení '!BX121</f>
        <v>0</v>
      </c>
      <c r="BY125" s="479">
        <f>'Hodnocení '!BY121</f>
        <v>0</v>
      </c>
      <c r="BZ125" s="479">
        <f>'Hodnocení '!BZ121</f>
        <v>0</v>
      </c>
      <c r="CA125" s="479">
        <f>'Hodnocení '!CA121</f>
        <v>0</v>
      </c>
      <c r="CB125" s="479">
        <f>'Hodnocení '!CB121</f>
        <v>0</v>
      </c>
      <c r="CC125" s="479">
        <f>'Hodnocení '!CC121</f>
        <v>104236</v>
      </c>
      <c r="CD125" s="479">
        <f>'Hodnocení '!CD121</f>
        <v>26000</v>
      </c>
      <c r="CE125" s="479">
        <f>'Hodnocení '!CE121</f>
        <v>243056</v>
      </c>
      <c r="CF125" s="479">
        <f>'Hodnocení '!CF121</f>
        <v>77951</v>
      </c>
      <c r="CG125" s="479">
        <f>'Hodnocení '!CG121</f>
        <v>123880</v>
      </c>
      <c r="CH125" s="479">
        <f>'Hodnocení '!CH121</f>
        <v>71641</v>
      </c>
      <c r="CI125" s="479">
        <f>'Hodnocení '!CI121</f>
        <v>85084</v>
      </c>
      <c r="CJ125" s="479">
        <f>'Hodnocení '!CJ121</f>
        <v>31241</v>
      </c>
      <c r="CK125" s="479">
        <f>'Hodnocení '!CK121</f>
        <v>29899</v>
      </c>
      <c r="CL125" s="479">
        <f>'Hodnocení '!CL121</f>
        <v>54461</v>
      </c>
      <c r="CM125" s="479">
        <f>'Hodnocení '!CM121</f>
        <v>0</v>
      </c>
      <c r="CN125" s="479">
        <f>'Hodnocení '!CN121</f>
        <v>0</v>
      </c>
      <c r="CO125" s="479">
        <f>'Hodnocení '!CO121</f>
        <v>0</v>
      </c>
      <c r="CP125" s="479">
        <f>'Hodnocení '!CP121</f>
        <v>0</v>
      </c>
      <c r="CQ125" s="479">
        <f>'Hodnocení '!CQ121</f>
        <v>0</v>
      </c>
      <c r="CR125" s="479">
        <f>'Hodnocení '!CR121</f>
        <v>0</v>
      </c>
      <c r="CS125" s="479">
        <f>'Hodnocení '!CS121</f>
        <v>0</v>
      </c>
      <c r="CT125" s="479">
        <f>'Hodnocení '!CT121</f>
        <v>0</v>
      </c>
      <c r="CU125" s="479">
        <f>'Hodnocení '!CU121</f>
        <v>0</v>
      </c>
      <c r="CV125" s="479">
        <f>'Hodnocení '!CV121</f>
        <v>0</v>
      </c>
      <c r="CW125" s="479">
        <f>'Hodnocení '!CW121</f>
        <v>0</v>
      </c>
      <c r="CX125" s="479">
        <f>'Hodnocení '!CX121</f>
        <v>0</v>
      </c>
      <c r="CY125" s="479">
        <f>'Hodnocení '!CY121</f>
        <v>0</v>
      </c>
      <c r="CZ125" s="479">
        <f>'Hodnocení '!CZ121</f>
        <v>0</v>
      </c>
      <c r="DA125" s="479">
        <f>'Hodnocení '!DA121</f>
        <v>0</v>
      </c>
      <c r="DB125" s="479">
        <f>'Hodnocení '!DB121</f>
        <v>0</v>
      </c>
      <c r="DC125" s="479">
        <f>'Hodnocení '!DC121</f>
        <v>0</v>
      </c>
      <c r="DD125" s="479">
        <f>'Hodnocení '!DD121</f>
        <v>173277</v>
      </c>
      <c r="DE125" s="479">
        <f>'Hodnocení '!DE121</f>
        <v>184627</v>
      </c>
      <c r="DF125" s="479">
        <f>'Hodnocení '!DF121</f>
        <v>193000</v>
      </c>
      <c r="DG125" s="479">
        <f>'Hodnocení '!DG121</f>
        <v>0</v>
      </c>
      <c r="DH125" s="479">
        <f>'Hodnocení '!DH121</f>
        <v>0</v>
      </c>
      <c r="DI125" s="479">
        <f>'Hodnocení '!DI121</f>
        <v>0</v>
      </c>
      <c r="DJ125" s="479">
        <f>'Hodnocení '!DJ121</f>
        <v>0</v>
      </c>
      <c r="DK125" s="479">
        <f>'Hodnocení '!DK121</f>
        <v>0</v>
      </c>
      <c r="DL125" s="479">
        <f>'Hodnocení '!DL121</f>
        <v>0</v>
      </c>
      <c r="DM125" s="479">
        <f>'Hodnocení '!DM121</f>
        <v>0</v>
      </c>
      <c r="DN125" s="479">
        <f>'Hodnocení '!DN121</f>
        <v>0</v>
      </c>
      <c r="DO125" s="479">
        <f>'Hodnocení '!DO121</f>
        <v>0</v>
      </c>
      <c r="DP125" s="479">
        <f>'Hodnocení '!DP121</f>
        <v>0</v>
      </c>
      <c r="DQ125" s="479">
        <f>'Hodnocení '!DQ121</f>
        <v>0</v>
      </c>
      <c r="DR125" s="479">
        <f>'Hodnocení '!DR121</f>
        <v>0</v>
      </c>
      <c r="DS125" s="479">
        <f>'Hodnocení '!DS121</f>
        <v>0</v>
      </c>
      <c r="DT125" s="479">
        <f>'Hodnocení '!DT121</f>
        <v>0</v>
      </c>
      <c r="DU125" s="479">
        <f>'Hodnocení '!DU121</f>
        <v>0</v>
      </c>
      <c r="DV125" s="479">
        <f>'Hodnocení '!DV121</f>
        <v>0</v>
      </c>
      <c r="DW125" s="479">
        <f>'Hodnocení '!DW121</f>
        <v>0</v>
      </c>
      <c r="DX125" s="479">
        <f>'Hodnocení '!DX121</f>
        <v>0</v>
      </c>
      <c r="DY125" s="479">
        <f>'Hodnocení '!DY121</f>
        <v>0</v>
      </c>
      <c r="DZ125" s="479">
        <f>'Hodnocení '!DZ121</f>
        <v>0</v>
      </c>
      <c r="EA125" s="479">
        <f>'Hodnocení '!EA121</f>
        <v>0</v>
      </c>
      <c r="EB125" s="479">
        <f>'Hodnocení '!EB121</f>
        <v>0</v>
      </c>
      <c r="EC125" s="479">
        <f>'Hodnocení '!EC121</f>
        <v>0</v>
      </c>
      <c r="ED125" s="479">
        <f>'Hodnocení '!ED121</f>
        <v>0</v>
      </c>
      <c r="EE125" s="479">
        <f>'Hodnocení '!EE121</f>
        <v>0</v>
      </c>
      <c r="EF125" s="479">
        <f>'Hodnocení '!EF121</f>
        <v>0</v>
      </c>
      <c r="EG125" s="479">
        <f>'Hodnocení '!EG121</f>
        <v>0</v>
      </c>
      <c r="EH125" s="479">
        <f>'Hodnocení '!EH121</f>
        <v>0</v>
      </c>
      <c r="EI125" s="479">
        <f>'Hodnocení '!EI121</f>
        <v>0</v>
      </c>
      <c r="EJ125" s="479">
        <f>'Hodnocení '!EJ121</f>
        <v>0</v>
      </c>
      <c r="EK125" s="479">
        <f>'Hodnocení '!EK121</f>
        <v>0</v>
      </c>
      <c r="EL125" s="479">
        <f>'Hodnocení '!EL121</f>
        <v>0</v>
      </c>
      <c r="EM125" s="479">
        <f>'Hodnocení '!EM121</f>
        <v>0</v>
      </c>
      <c r="EN125" s="479">
        <f>'Hodnocení '!EN121</f>
        <v>0</v>
      </c>
      <c r="EO125" s="479">
        <f>'Hodnocení '!EO121</f>
        <v>0</v>
      </c>
      <c r="EP125" s="479">
        <f>'Hodnocení '!EP121</f>
        <v>0</v>
      </c>
      <c r="EQ125" s="479">
        <f>'Hodnocení '!EQ121</f>
        <v>0</v>
      </c>
      <c r="ER125" s="479">
        <f>'Hodnocení '!ER121</f>
        <v>0</v>
      </c>
      <c r="ES125" s="479">
        <f>'Hodnocení '!ES121</f>
        <v>0</v>
      </c>
      <c r="ET125" s="479">
        <f>'Hodnocení '!ET121</f>
        <v>0</v>
      </c>
      <c r="EU125" s="479">
        <f>'Hodnocení '!EU121</f>
        <v>0</v>
      </c>
      <c r="EV125" s="479">
        <f>'Hodnocení '!EV121</f>
        <v>0</v>
      </c>
      <c r="EW125" s="479">
        <f>'Hodnocení '!EW121</f>
        <v>0</v>
      </c>
      <c r="EX125" s="479">
        <f>'Hodnocení '!EX121</f>
        <v>0</v>
      </c>
      <c r="EY125" s="479">
        <f>'Hodnocení '!EY121</f>
        <v>0</v>
      </c>
      <c r="EZ125" s="479">
        <f>'Hodnocení '!EZ121</f>
        <v>0</v>
      </c>
      <c r="FA125" s="479">
        <f>'Hodnocení '!FA121</f>
        <v>0</v>
      </c>
      <c r="FB125" s="479">
        <f>'Hodnocení '!FB121</f>
        <v>0</v>
      </c>
      <c r="FC125" s="479">
        <f>'Hodnocení '!FC121</f>
        <v>0</v>
      </c>
      <c r="FD125" s="479">
        <f>'Hodnocení '!FD121</f>
        <v>0</v>
      </c>
      <c r="FE125" s="479">
        <f>'Hodnocení '!FE121</f>
        <v>0</v>
      </c>
      <c r="FF125" s="479">
        <f>'Hodnocení '!FF121</f>
        <v>0</v>
      </c>
      <c r="FG125" s="479">
        <f>'Hodnocení '!FG121</f>
        <v>0</v>
      </c>
      <c r="FH125" s="479">
        <f>'Hodnocení '!FH121</f>
        <v>0</v>
      </c>
      <c r="FI125" s="479">
        <f>'Hodnocení '!FI121</f>
        <v>0</v>
      </c>
      <c r="FJ125" s="479">
        <f>'Hodnocení '!FJ121</f>
        <v>0</v>
      </c>
      <c r="FK125" s="479">
        <f>'Hodnocení '!FK121</f>
        <v>0</v>
      </c>
      <c r="FL125" s="479">
        <f>'Hodnocení '!FL121</f>
        <v>0</v>
      </c>
      <c r="FM125" s="479">
        <f>'Hodnocení '!FM121</f>
        <v>0</v>
      </c>
      <c r="FN125" s="479">
        <f>'Hodnocení '!FN121</f>
        <v>0</v>
      </c>
      <c r="FO125" s="479">
        <f>'Hodnocení '!FO121</f>
        <v>0</v>
      </c>
      <c r="FP125" s="479">
        <f>'Hodnocení '!FP121</f>
        <v>0</v>
      </c>
      <c r="FQ125" s="479">
        <f>'Hodnocení '!FQ121</f>
        <v>0</v>
      </c>
      <c r="FR125" s="479">
        <f>'Hodnocení '!FR121</f>
        <v>0</v>
      </c>
      <c r="FS125" s="479">
        <f>'Hodnocení '!FS121</f>
        <v>0</v>
      </c>
      <c r="FT125" s="479">
        <f>'Hodnocení '!FT121</f>
        <v>0</v>
      </c>
      <c r="FU125" s="479">
        <f>'Hodnocení '!FU121</f>
        <v>0</v>
      </c>
      <c r="FV125" s="479">
        <f>'Hodnocení '!FV121</f>
        <v>0</v>
      </c>
      <c r="FW125" s="479">
        <f>'Hodnocení '!FW121</f>
        <v>0</v>
      </c>
      <c r="FX125" s="479">
        <f>'Hodnocení '!FX121</f>
        <v>0</v>
      </c>
      <c r="FY125" s="479">
        <f>'Hodnocení '!FY121</f>
        <v>0</v>
      </c>
      <c r="FZ125" s="479">
        <f>'Hodnocení '!FZ121</f>
        <v>0</v>
      </c>
      <c r="GA125" s="479">
        <f>'Hodnocení '!GA121</f>
        <v>0</v>
      </c>
      <c r="GB125" s="479">
        <f>'Hodnocení '!GB121</f>
        <v>0</v>
      </c>
      <c r="GC125" s="479">
        <f>'Hodnocení '!GC121</f>
        <v>0</v>
      </c>
      <c r="GD125" s="479">
        <f>'Hodnocení '!GD121</f>
        <v>0</v>
      </c>
      <c r="GE125" s="479">
        <f>'Hodnocení '!GE121</f>
        <v>0</v>
      </c>
      <c r="GF125" s="479">
        <f>'Hodnocení '!GF121</f>
        <v>0</v>
      </c>
      <c r="GG125" s="479">
        <f>'Hodnocení '!GG121</f>
        <v>0</v>
      </c>
      <c r="GH125" s="479">
        <f>'Hodnocení '!GH121</f>
        <v>0</v>
      </c>
      <c r="GI125" s="479">
        <f>'Hodnocení '!GI121</f>
        <v>0</v>
      </c>
      <c r="GJ125" s="479">
        <f>'Hodnocení '!GJ121</f>
        <v>0</v>
      </c>
      <c r="GK125" s="479">
        <f>'Hodnocení '!GK121</f>
        <v>472000</v>
      </c>
      <c r="GL125" s="479">
        <f>'Hodnocení '!GL121</f>
        <v>0</v>
      </c>
      <c r="GM125" s="479">
        <f>'Hodnocení '!GM121</f>
        <v>0</v>
      </c>
      <c r="GN125" s="479">
        <f>'Hodnocení '!GN121</f>
        <v>0</v>
      </c>
      <c r="GO125" s="479">
        <f>'Hodnocení '!GO121</f>
        <v>0</v>
      </c>
      <c r="GP125" s="479">
        <f>'Hodnocení '!GP121</f>
        <v>0</v>
      </c>
      <c r="GQ125" s="479">
        <f>'Hodnocení '!GQ121</f>
        <v>0</v>
      </c>
      <c r="GR125" s="479">
        <f>'Hodnocení '!GR121</f>
        <v>0</v>
      </c>
      <c r="GS125" s="479">
        <f>'Hodnocení '!GS121</f>
        <v>0</v>
      </c>
      <c r="GT125" s="479">
        <f>'Hodnocení '!GT121</f>
        <v>0</v>
      </c>
      <c r="GU125" s="479">
        <f>'Hodnocení '!GU121</f>
        <v>0</v>
      </c>
      <c r="GV125" s="479">
        <f>'Hodnocení '!GV121</f>
        <v>0</v>
      </c>
      <c r="GW125" s="479">
        <f>'Hodnocení '!GW121</f>
        <v>0</v>
      </c>
      <c r="GX125" s="479">
        <f>'Hodnocení '!GX121</f>
        <v>0</v>
      </c>
      <c r="GY125" s="479">
        <f>'Hodnocení '!GY121</f>
        <v>0</v>
      </c>
      <c r="GZ125" s="479">
        <f>'Hodnocení '!GZ121</f>
        <v>0</v>
      </c>
      <c r="HA125" s="479">
        <f>'Hodnocení '!HA121</f>
        <v>0</v>
      </c>
      <c r="HB125" s="479">
        <f>'Hodnocení '!HB121</f>
        <v>0</v>
      </c>
      <c r="HC125" s="479">
        <f>'Hodnocení '!HC121</f>
        <v>0</v>
      </c>
      <c r="HD125" s="479">
        <f>'Hodnocení '!HD121</f>
        <v>0</v>
      </c>
      <c r="HE125" s="479">
        <f>'Hodnocení '!HE121</f>
        <v>0</v>
      </c>
      <c r="HF125" s="479">
        <f>'Hodnocení '!HF121</f>
        <v>0</v>
      </c>
      <c r="HG125" s="479">
        <f>'Hodnocení '!HG121</f>
        <v>0</v>
      </c>
      <c r="HH125" s="479">
        <f>'Hodnocení '!HH121</f>
        <v>0</v>
      </c>
      <c r="HI125" s="479">
        <f>'Hodnocení '!HI121</f>
        <v>0</v>
      </c>
      <c r="HJ125" s="479">
        <f>'Hodnocení '!HJ121</f>
        <v>0</v>
      </c>
      <c r="HK125" s="479">
        <f>'Hodnocení '!HK121</f>
        <v>0</v>
      </c>
      <c r="HL125" s="479">
        <f>'Hodnocení '!HL121</f>
        <v>0</v>
      </c>
      <c r="HM125" s="479">
        <f>'Hodnocení '!HM121</f>
        <v>0</v>
      </c>
      <c r="HN125" s="479">
        <f>'Hodnocení '!HN121</f>
        <v>0</v>
      </c>
      <c r="HO125" s="479">
        <f>'Hodnocení '!HO121</f>
        <v>0</v>
      </c>
      <c r="HP125" s="479">
        <f>'Hodnocení '!HP121</f>
        <v>0</v>
      </c>
      <c r="HQ125" s="479">
        <f>'Hodnocení '!HQ121</f>
        <v>0</v>
      </c>
      <c r="HR125" s="479">
        <f>'Hodnocení '!HR121</f>
        <v>0</v>
      </c>
      <c r="HS125" s="479">
        <f>'Hodnocení '!HS121</f>
        <v>0</v>
      </c>
      <c r="HT125" s="479">
        <f>'Hodnocení '!HT121</f>
        <v>0</v>
      </c>
      <c r="HU125" s="479">
        <f>'Hodnocení '!HU121</f>
        <v>0</v>
      </c>
      <c r="HV125" s="479">
        <f>'Hodnocení '!HV121</f>
        <v>0</v>
      </c>
      <c r="HW125" s="479">
        <f>'Hodnocení '!HW121</f>
        <v>0</v>
      </c>
      <c r="HX125" s="479">
        <f>'Hodnocení '!HX121</f>
        <v>0</v>
      </c>
      <c r="HY125" s="479">
        <f>'Hodnocení '!HY121</f>
        <v>0</v>
      </c>
      <c r="HZ125" s="479">
        <f>'Hodnocení '!HZ121</f>
        <v>0</v>
      </c>
      <c r="IA125" s="479">
        <f>'Hodnocení '!IA121</f>
        <v>0</v>
      </c>
      <c r="IB125" s="479">
        <f>'Hodnocení '!IB121</f>
        <v>0</v>
      </c>
      <c r="IC125" s="479">
        <f>'Hodnocení '!IC121</f>
        <v>0</v>
      </c>
      <c r="ID125" s="479">
        <f>'Hodnocení '!ID121</f>
        <v>0</v>
      </c>
      <c r="IE125" s="479">
        <f>'Hodnocení '!IE121</f>
        <v>0</v>
      </c>
      <c r="IF125" s="479">
        <f>'Hodnocení '!IF121</f>
        <v>0</v>
      </c>
      <c r="IG125" s="479">
        <f>'Hodnocení '!IG121</f>
        <v>0</v>
      </c>
      <c r="IH125" s="479">
        <f>'Hodnocení '!IH121</f>
        <v>228390</v>
      </c>
      <c r="II125" s="479">
        <f>'Hodnocení '!II121</f>
        <v>1213478</v>
      </c>
      <c r="IJ125" s="479">
        <f>'Hodnocení '!IJ121</f>
        <v>112716</v>
      </c>
      <c r="IK125" s="479">
        <f>'Hodnocení '!IK121</f>
        <v>202466</v>
      </c>
      <c r="IL125" s="479">
        <f>'Hodnocení '!IL121</f>
        <v>0</v>
      </c>
      <c r="IM125" s="479">
        <f>'Hodnocení '!IM121</f>
        <v>0</v>
      </c>
      <c r="IN125" s="479">
        <f>'Hodnocení '!IN121</f>
        <v>0</v>
      </c>
      <c r="IO125" s="479">
        <f>'Hodnocení '!IO121</f>
        <v>0</v>
      </c>
      <c r="IP125" s="479">
        <f>'Hodnocení '!IP121</f>
        <v>0</v>
      </c>
      <c r="IQ125" s="479">
        <f>'Hodnocení '!IQ121</f>
        <v>0</v>
      </c>
      <c r="IR125" s="479">
        <f>'Hodnocení '!IR121</f>
        <v>0</v>
      </c>
      <c r="IS125" s="479">
        <f>'Hodnocení '!IS121</f>
        <v>0</v>
      </c>
      <c r="IT125" s="479">
        <f>'Hodnocení '!IT121</f>
        <v>0</v>
      </c>
      <c r="IU125" s="479">
        <f>'Hodnocení '!IU121</f>
        <v>0</v>
      </c>
      <c r="IV125" s="479">
        <f>'Hodnocení '!IV121</f>
        <v>0</v>
      </c>
      <c r="IW125" s="479">
        <f>'Hodnocení '!IW121</f>
        <v>0</v>
      </c>
      <c r="IX125" s="479">
        <f>'Hodnocení '!IX121</f>
        <v>0</v>
      </c>
      <c r="IY125" s="479">
        <f>'Hodnocení '!IY121</f>
        <v>0</v>
      </c>
      <c r="IZ125" s="479">
        <f>'Hodnocení '!IZ121</f>
        <v>0</v>
      </c>
      <c r="JA125" s="479">
        <f>'Hodnocení '!JA121</f>
        <v>0</v>
      </c>
      <c r="JB125" s="479">
        <f>'Hodnocení '!JB121</f>
        <v>0</v>
      </c>
      <c r="JC125" s="479">
        <f>'Hodnocení '!JC121</f>
        <v>0</v>
      </c>
      <c r="JD125" s="479">
        <f>'Hodnocení '!JD121</f>
        <v>0</v>
      </c>
      <c r="JE125" s="479">
        <f>'Hodnocení '!JE121</f>
        <v>0</v>
      </c>
      <c r="JF125" s="479">
        <f>'Hodnocení '!JF121</f>
        <v>0</v>
      </c>
      <c r="JG125" s="479">
        <f>'Hodnocení '!JG121</f>
        <v>0</v>
      </c>
      <c r="JH125" s="780">
        <f>'Hodnocení '!JH121</f>
        <v>0</v>
      </c>
      <c r="JI125" s="470">
        <f>'Hodnocení '!JI121</f>
        <v>5315655</v>
      </c>
      <c r="JL125" s="307">
        <f t="shared" si="69"/>
        <v>0</v>
      </c>
      <c r="JM125" s="307">
        <f t="shared" si="69"/>
        <v>3086605</v>
      </c>
      <c r="JN125" s="307">
        <f t="shared" si="69"/>
        <v>472000</v>
      </c>
      <c r="JO125" s="307">
        <f t="shared" si="69"/>
        <v>1757050</v>
      </c>
      <c r="JP125" s="307">
        <f t="shared" si="70"/>
        <v>5315655</v>
      </c>
    </row>
    <row r="126" spans="1:276" s="307" customFormat="1" hidden="1" x14ac:dyDescent="0.25">
      <c r="A126" s="314">
        <v>12</v>
      </c>
      <c r="B126" s="743" t="s">
        <v>2529</v>
      </c>
      <c r="C126" s="779">
        <f>'Hodnocení '!C122</f>
        <v>0</v>
      </c>
      <c r="D126" s="479">
        <f>'Hodnocení '!D122</f>
        <v>0</v>
      </c>
      <c r="E126" s="479">
        <f>'Hodnocení '!E122</f>
        <v>0</v>
      </c>
      <c r="F126" s="479">
        <f>'Hodnocení '!F122</f>
        <v>0</v>
      </c>
      <c r="G126" s="479">
        <f>'Hodnocení '!G122</f>
        <v>0</v>
      </c>
      <c r="H126" s="479">
        <f>'Hodnocení '!H122</f>
        <v>0</v>
      </c>
      <c r="I126" s="479">
        <f>'Hodnocení '!I122</f>
        <v>0</v>
      </c>
      <c r="J126" s="479">
        <f>'Hodnocení '!J122</f>
        <v>0</v>
      </c>
      <c r="K126" s="479">
        <f>'Hodnocení '!K122</f>
        <v>0</v>
      </c>
      <c r="L126" s="479">
        <f>'Hodnocení '!L122</f>
        <v>0</v>
      </c>
      <c r="M126" s="479">
        <f>'Hodnocení '!M122</f>
        <v>0</v>
      </c>
      <c r="N126" s="479">
        <f>'Hodnocení '!N122</f>
        <v>0</v>
      </c>
      <c r="O126" s="479">
        <f>'Hodnocení '!O122</f>
        <v>0</v>
      </c>
      <c r="P126" s="479">
        <f>'Hodnocení '!P122</f>
        <v>0</v>
      </c>
      <c r="Q126" s="479">
        <f>'Hodnocení '!Q122</f>
        <v>0</v>
      </c>
      <c r="R126" s="479">
        <f>'Hodnocení '!R122</f>
        <v>0</v>
      </c>
      <c r="S126" s="479">
        <f>'Hodnocení '!S122</f>
        <v>0</v>
      </c>
      <c r="T126" s="479">
        <f>'Hodnocení '!T122</f>
        <v>0</v>
      </c>
      <c r="U126" s="479">
        <f>'Hodnocení '!U122</f>
        <v>0</v>
      </c>
      <c r="V126" s="479">
        <f>'Hodnocení '!V122</f>
        <v>0</v>
      </c>
      <c r="W126" s="479">
        <f>'Hodnocení '!W122</f>
        <v>0</v>
      </c>
      <c r="X126" s="479">
        <f>'Hodnocení '!X122</f>
        <v>0</v>
      </c>
      <c r="Y126" s="479">
        <f>'Hodnocení '!Y122</f>
        <v>0</v>
      </c>
      <c r="Z126" s="479">
        <f>'Hodnocení '!Z122</f>
        <v>0</v>
      </c>
      <c r="AA126" s="479">
        <f>'Hodnocení '!AA122</f>
        <v>0</v>
      </c>
      <c r="AB126" s="479">
        <f>'Hodnocení '!AB122</f>
        <v>0</v>
      </c>
      <c r="AC126" s="479">
        <f>'Hodnocení '!AC122</f>
        <v>0</v>
      </c>
      <c r="AD126" s="479">
        <f>'Hodnocení '!AD122</f>
        <v>0</v>
      </c>
      <c r="AE126" s="479">
        <f>'Hodnocení '!AE122</f>
        <v>0</v>
      </c>
      <c r="AF126" s="479">
        <f>'Hodnocení '!AF122</f>
        <v>0</v>
      </c>
      <c r="AG126" s="479">
        <f>'Hodnocení '!AG122</f>
        <v>0</v>
      </c>
      <c r="AH126" s="479">
        <f>'Hodnocení '!AH122</f>
        <v>0</v>
      </c>
      <c r="AI126" s="479">
        <f>'Hodnocení '!AI122</f>
        <v>0</v>
      </c>
      <c r="AJ126" s="479">
        <f>'Hodnocení '!AJ122</f>
        <v>0</v>
      </c>
      <c r="AK126" s="479">
        <f>'Hodnocení '!AK122</f>
        <v>0</v>
      </c>
      <c r="AL126" s="479">
        <f>'Hodnocení '!AL122</f>
        <v>0</v>
      </c>
      <c r="AM126" s="479">
        <f>'Hodnocení '!AM122</f>
        <v>0</v>
      </c>
      <c r="AN126" s="479">
        <f>'Hodnocení '!AN122</f>
        <v>0</v>
      </c>
      <c r="AO126" s="479">
        <f>'Hodnocení '!AO122</f>
        <v>0</v>
      </c>
      <c r="AP126" s="479">
        <f>'Hodnocení '!AP122</f>
        <v>0</v>
      </c>
      <c r="AQ126" s="479">
        <f>'Hodnocení '!AQ122</f>
        <v>0</v>
      </c>
      <c r="AR126" s="479">
        <f>'Hodnocení '!AR122</f>
        <v>0</v>
      </c>
      <c r="AS126" s="479">
        <f>'Hodnocení '!AS122</f>
        <v>0</v>
      </c>
      <c r="AT126" s="479">
        <f>'Hodnocení '!AT122</f>
        <v>0</v>
      </c>
      <c r="AU126" s="479">
        <f>'Hodnocení '!AU122</f>
        <v>0</v>
      </c>
      <c r="AV126" s="479">
        <f>'Hodnocení '!AV122</f>
        <v>0</v>
      </c>
      <c r="AW126" s="479">
        <f>'Hodnocení '!AW122</f>
        <v>0</v>
      </c>
      <c r="AX126" s="479">
        <f>'Hodnocení '!AX122</f>
        <v>0</v>
      </c>
      <c r="AY126" s="479">
        <f>'Hodnocení '!AY122</f>
        <v>0</v>
      </c>
      <c r="AZ126" s="479">
        <f>'Hodnocení '!AZ122</f>
        <v>0</v>
      </c>
      <c r="BA126" s="479">
        <f>'Hodnocení '!BA122</f>
        <v>0</v>
      </c>
      <c r="BB126" s="479">
        <f>'Hodnocení '!BB122</f>
        <v>0</v>
      </c>
      <c r="BC126" s="479">
        <f>'Hodnocení '!BC122</f>
        <v>0</v>
      </c>
      <c r="BD126" s="479">
        <f>'Hodnocení '!BD122</f>
        <v>0</v>
      </c>
      <c r="BE126" s="479">
        <f>'Hodnocení '!BE122</f>
        <v>0</v>
      </c>
      <c r="BF126" s="479">
        <f>'Hodnocení '!BF122</f>
        <v>0</v>
      </c>
      <c r="BG126" s="479">
        <f>'Hodnocení '!BG122</f>
        <v>0</v>
      </c>
      <c r="BH126" s="479">
        <f>'Hodnocení '!BH122</f>
        <v>0</v>
      </c>
      <c r="BI126" s="479">
        <f>'Hodnocení '!BI122</f>
        <v>0</v>
      </c>
      <c r="BJ126" s="479">
        <f>'Hodnocení '!BJ122</f>
        <v>0</v>
      </c>
      <c r="BK126" s="479">
        <f>'Hodnocení '!BK122</f>
        <v>0</v>
      </c>
      <c r="BL126" s="479">
        <f>'Hodnocení '!BL122</f>
        <v>0</v>
      </c>
      <c r="BM126" s="479">
        <f>'Hodnocení '!BM122</f>
        <v>0</v>
      </c>
      <c r="BN126" s="479">
        <f>'Hodnocení '!BN122</f>
        <v>0</v>
      </c>
      <c r="BO126" s="479">
        <f>'Hodnocení '!BO122</f>
        <v>0</v>
      </c>
      <c r="BP126" s="479">
        <f>'Hodnocení '!BP122</f>
        <v>0</v>
      </c>
      <c r="BQ126" s="479">
        <f>'Hodnocení '!BQ122</f>
        <v>0</v>
      </c>
      <c r="BR126" s="479">
        <f>'Hodnocení '!BR122</f>
        <v>0</v>
      </c>
      <c r="BS126" s="479">
        <f>'Hodnocení '!BS122</f>
        <v>0</v>
      </c>
      <c r="BT126" s="479">
        <f>'Hodnocení '!BT122</f>
        <v>0</v>
      </c>
      <c r="BU126" s="479">
        <f>'Hodnocení '!BU122</f>
        <v>0</v>
      </c>
      <c r="BV126" s="479">
        <f>'Hodnocení '!BV122</f>
        <v>0</v>
      </c>
      <c r="BW126" s="479">
        <f>'Hodnocení '!BW122</f>
        <v>0</v>
      </c>
      <c r="BX126" s="479">
        <f>'Hodnocení '!BX122</f>
        <v>0</v>
      </c>
      <c r="BY126" s="479">
        <f>'Hodnocení '!BY122</f>
        <v>0</v>
      </c>
      <c r="BZ126" s="479">
        <f>'Hodnocení '!BZ122</f>
        <v>0</v>
      </c>
      <c r="CA126" s="479">
        <f>'Hodnocení '!CA122</f>
        <v>0</v>
      </c>
      <c r="CB126" s="479">
        <f>'Hodnocení '!CB122</f>
        <v>0</v>
      </c>
      <c r="CC126" s="479">
        <f>'Hodnocení '!CC122</f>
        <v>0</v>
      </c>
      <c r="CD126" s="479">
        <f>'Hodnocení '!CD122</f>
        <v>0</v>
      </c>
      <c r="CE126" s="479">
        <f>'Hodnocení '!CE122</f>
        <v>0</v>
      </c>
      <c r="CF126" s="479">
        <f>'Hodnocení '!CF122</f>
        <v>0</v>
      </c>
      <c r="CG126" s="479">
        <f>'Hodnocení '!CG122</f>
        <v>0</v>
      </c>
      <c r="CH126" s="479">
        <f>'Hodnocení '!CH122</f>
        <v>0</v>
      </c>
      <c r="CI126" s="479">
        <f>'Hodnocení '!CI122</f>
        <v>0</v>
      </c>
      <c r="CJ126" s="479">
        <f>'Hodnocení '!CJ122</f>
        <v>0</v>
      </c>
      <c r="CK126" s="479">
        <f>'Hodnocení '!CK122</f>
        <v>0</v>
      </c>
      <c r="CL126" s="479">
        <f>'Hodnocení '!CL122</f>
        <v>0</v>
      </c>
      <c r="CM126" s="479">
        <f>'Hodnocení '!CM122</f>
        <v>0</v>
      </c>
      <c r="CN126" s="479">
        <f>'Hodnocení '!CN122</f>
        <v>0</v>
      </c>
      <c r="CO126" s="479">
        <f>'Hodnocení '!CO122</f>
        <v>0</v>
      </c>
      <c r="CP126" s="479">
        <f>'Hodnocení '!CP122</f>
        <v>0</v>
      </c>
      <c r="CQ126" s="479">
        <f>'Hodnocení '!CQ122</f>
        <v>0</v>
      </c>
      <c r="CR126" s="479">
        <f>'Hodnocení '!CR122</f>
        <v>0</v>
      </c>
      <c r="CS126" s="479">
        <f>'Hodnocení '!CS122</f>
        <v>0</v>
      </c>
      <c r="CT126" s="479">
        <f>'Hodnocení '!CT122</f>
        <v>0</v>
      </c>
      <c r="CU126" s="479">
        <f>'Hodnocení '!CU122</f>
        <v>0</v>
      </c>
      <c r="CV126" s="479">
        <f>'Hodnocení '!CV122</f>
        <v>0</v>
      </c>
      <c r="CW126" s="479">
        <f>'Hodnocení '!CW122</f>
        <v>0</v>
      </c>
      <c r="CX126" s="479">
        <f>'Hodnocení '!CX122</f>
        <v>0</v>
      </c>
      <c r="CY126" s="479">
        <f>'Hodnocení '!CY122</f>
        <v>0</v>
      </c>
      <c r="CZ126" s="479">
        <f>'Hodnocení '!CZ122</f>
        <v>0</v>
      </c>
      <c r="DA126" s="479">
        <f>'Hodnocení '!DA122</f>
        <v>0</v>
      </c>
      <c r="DB126" s="479">
        <f>'Hodnocení '!DB122</f>
        <v>0</v>
      </c>
      <c r="DC126" s="479">
        <f>'Hodnocení '!DC122</f>
        <v>0</v>
      </c>
      <c r="DD126" s="479">
        <f>'Hodnocení '!DD122</f>
        <v>0</v>
      </c>
      <c r="DE126" s="479">
        <f>'Hodnocení '!DE122</f>
        <v>0</v>
      </c>
      <c r="DF126" s="479">
        <f>'Hodnocení '!DF122</f>
        <v>0</v>
      </c>
      <c r="DG126" s="479">
        <f>'Hodnocení '!DG122</f>
        <v>0</v>
      </c>
      <c r="DH126" s="479">
        <f>'Hodnocení '!DH122</f>
        <v>0</v>
      </c>
      <c r="DI126" s="479">
        <f>'Hodnocení '!DI122</f>
        <v>0</v>
      </c>
      <c r="DJ126" s="479">
        <f>'Hodnocení '!DJ122</f>
        <v>0</v>
      </c>
      <c r="DK126" s="479">
        <f>'Hodnocení '!DK122</f>
        <v>0</v>
      </c>
      <c r="DL126" s="479">
        <f>'Hodnocení '!DL122</f>
        <v>0</v>
      </c>
      <c r="DM126" s="479">
        <f>'Hodnocení '!DM122</f>
        <v>0</v>
      </c>
      <c r="DN126" s="479">
        <f>'Hodnocení '!DN122</f>
        <v>0</v>
      </c>
      <c r="DO126" s="479">
        <f>'Hodnocení '!DO122</f>
        <v>0</v>
      </c>
      <c r="DP126" s="479">
        <f>'Hodnocení '!DP122</f>
        <v>0</v>
      </c>
      <c r="DQ126" s="479">
        <f>'Hodnocení '!DQ122</f>
        <v>0</v>
      </c>
      <c r="DR126" s="479">
        <f>'Hodnocení '!DR122</f>
        <v>0</v>
      </c>
      <c r="DS126" s="479">
        <f>'Hodnocení '!DS122</f>
        <v>0</v>
      </c>
      <c r="DT126" s="479">
        <f>'Hodnocení '!DT122</f>
        <v>0</v>
      </c>
      <c r="DU126" s="479">
        <f>'Hodnocení '!DU122</f>
        <v>0</v>
      </c>
      <c r="DV126" s="479">
        <f>'Hodnocení '!DV122</f>
        <v>0</v>
      </c>
      <c r="DW126" s="479">
        <f>'Hodnocení '!DW122</f>
        <v>0</v>
      </c>
      <c r="DX126" s="479">
        <f>'Hodnocení '!DX122</f>
        <v>0</v>
      </c>
      <c r="DY126" s="479">
        <f>'Hodnocení '!DY122</f>
        <v>0</v>
      </c>
      <c r="DZ126" s="479">
        <f>'Hodnocení '!DZ122</f>
        <v>0</v>
      </c>
      <c r="EA126" s="479">
        <f>'Hodnocení '!EA122</f>
        <v>0</v>
      </c>
      <c r="EB126" s="479">
        <f>'Hodnocení '!EB122</f>
        <v>0</v>
      </c>
      <c r="EC126" s="479">
        <f>'Hodnocení '!EC122</f>
        <v>0</v>
      </c>
      <c r="ED126" s="479">
        <f>'Hodnocení '!ED122</f>
        <v>0</v>
      </c>
      <c r="EE126" s="479">
        <f>'Hodnocení '!EE122</f>
        <v>0</v>
      </c>
      <c r="EF126" s="479">
        <f>'Hodnocení '!EF122</f>
        <v>0</v>
      </c>
      <c r="EG126" s="479">
        <f>'Hodnocení '!EG122</f>
        <v>0</v>
      </c>
      <c r="EH126" s="479">
        <f>'Hodnocení '!EH122</f>
        <v>0</v>
      </c>
      <c r="EI126" s="479">
        <f>'Hodnocení '!EI122</f>
        <v>0</v>
      </c>
      <c r="EJ126" s="479">
        <f>'Hodnocení '!EJ122</f>
        <v>0</v>
      </c>
      <c r="EK126" s="479">
        <f>'Hodnocení '!EK122</f>
        <v>0</v>
      </c>
      <c r="EL126" s="479">
        <f>'Hodnocení '!EL122</f>
        <v>0</v>
      </c>
      <c r="EM126" s="479">
        <f>'Hodnocení '!EM122</f>
        <v>0</v>
      </c>
      <c r="EN126" s="479">
        <f>'Hodnocení '!EN122</f>
        <v>0</v>
      </c>
      <c r="EO126" s="479">
        <f>'Hodnocení '!EO122</f>
        <v>0</v>
      </c>
      <c r="EP126" s="479">
        <f>'Hodnocení '!EP122</f>
        <v>0</v>
      </c>
      <c r="EQ126" s="479">
        <f>'Hodnocení '!EQ122</f>
        <v>0</v>
      </c>
      <c r="ER126" s="479">
        <f>'Hodnocení '!ER122</f>
        <v>0</v>
      </c>
      <c r="ES126" s="479">
        <f>'Hodnocení '!ES122</f>
        <v>0</v>
      </c>
      <c r="ET126" s="479">
        <f>'Hodnocení '!ET122</f>
        <v>0</v>
      </c>
      <c r="EU126" s="479">
        <f>'Hodnocení '!EU122</f>
        <v>0</v>
      </c>
      <c r="EV126" s="479">
        <f>'Hodnocení '!EV122</f>
        <v>0</v>
      </c>
      <c r="EW126" s="479">
        <f>'Hodnocení '!EW122</f>
        <v>0</v>
      </c>
      <c r="EX126" s="479">
        <f>'Hodnocení '!EX122</f>
        <v>0</v>
      </c>
      <c r="EY126" s="479">
        <f>'Hodnocení '!EY122</f>
        <v>0</v>
      </c>
      <c r="EZ126" s="479">
        <f>'Hodnocení '!EZ122</f>
        <v>0</v>
      </c>
      <c r="FA126" s="479">
        <f>'Hodnocení '!FA122</f>
        <v>0</v>
      </c>
      <c r="FB126" s="479">
        <f>'Hodnocení '!FB122</f>
        <v>0</v>
      </c>
      <c r="FC126" s="479">
        <f>'Hodnocení '!FC122</f>
        <v>0</v>
      </c>
      <c r="FD126" s="479">
        <f>'Hodnocení '!FD122</f>
        <v>0</v>
      </c>
      <c r="FE126" s="479">
        <f>'Hodnocení '!FE122</f>
        <v>0</v>
      </c>
      <c r="FF126" s="479">
        <f>'Hodnocení '!FF122</f>
        <v>0</v>
      </c>
      <c r="FG126" s="479">
        <f>'Hodnocení '!FG122</f>
        <v>0</v>
      </c>
      <c r="FH126" s="479">
        <f>'Hodnocení '!FH122</f>
        <v>0</v>
      </c>
      <c r="FI126" s="479">
        <f>'Hodnocení '!FI122</f>
        <v>0</v>
      </c>
      <c r="FJ126" s="479">
        <f>'Hodnocení '!FJ122</f>
        <v>0</v>
      </c>
      <c r="FK126" s="479">
        <f>'Hodnocení '!FK122</f>
        <v>0</v>
      </c>
      <c r="FL126" s="479">
        <f>'Hodnocení '!FL122</f>
        <v>0</v>
      </c>
      <c r="FM126" s="479">
        <f>'Hodnocení '!FM122</f>
        <v>0</v>
      </c>
      <c r="FN126" s="479">
        <f>'Hodnocení '!FN122</f>
        <v>0</v>
      </c>
      <c r="FO126" s="479">
        <f>'Hodnocení '!FO122</f>
        <v>0</v>
      </c>
      <c r="FP126" s="479">
        <f>'Hodnocení '!FP122</f>
        <v>0</v>
      </c>
      <c r="FQ126" s="479">
        <f>'Hodnocení '!FQ122</f>
        <v>0</v>
      </c>
      <c r="FR126" s="479">
        <f>'Hodnocení '!FR122</f>
        <v>0</v>
      </c>
      <c r="FS126" s="479">
        <f>'Hodnocení '!FS122</f>
        <v>0</v>
      </c>
      <c r="FT126" s="479">
        <f>'Hodnocení '!FT122</f>
        <v>0</v>
      </c>
      <c r="FU126" s="479">
        <f>'Hodnocení '!FU122</f>
        <v>0</v>
      </c>
      <c r="FV126" s="479">
        <f>'Hodnocení '!FV122</f>
        <v>0</v>
      </c>
      <c r="FW126" s="479">
        <f>'Hodnocení '!FW122</f>
        <v>0</v>
      </c>
      <c r="FX126" s="479">
        <f>'Hodnocení '!FX122</f>
        <v>0</v>
      </c>
      <c r="FY126" s="479">
        <f>'Hodnocení '!FY122</f>
        <v>0</v>
      </c>
      <c r="FZ126" s="479">
        <f>'Hodnocení '!FZ122</f>
        <v>0</v>
      </c>
      <c r="GA126" s="479">
        <f>'Hodnocení '!GA122</f>
        <v>0</v>
      </c>
      <c r="GB126" s="479">
        <f>'Hodnocení '!GB122</f>
        <v>0</v>
      </c>
      <c r="GC126" s="479">
        <f>'Hodnocení '!GC122</f>
        <v>0</v>
      </c>
      <c r="GD126" s="479">
        <f>'Hodnocení '!GD122</f>
        <v>0</v>
      </c>
      <c r="GE126" s="479">
        <f>'Hodnocení '!GE122</f>
        <v>0</v>
      </c>
      <c r="GF126" s="479">
        <f>'Hodnocení '!GF122</f>
        <v>0</v>
      </c>
      <c r="GG126" s="479">
        <f>'Hodnocení '!GG122</f>
        <v>0</v>
      </c>
      <c r="GH126" s="479">
        <f>'Hodnocení '!GH122</f>
        <v>0</v>
      </c>
      <c r="GI126" s="479">
        <f>'Hodnocení '!GI122</f>
        <v>0</v>
      </c>
      <c r="GJ126" s="479">
        <f>'Hodnocení '!GJ122</f>
        <v>0</v>
      </c>
      <c r="GK126" s="479">
        <f>'Hodnocení '!GK122</f>
        <v>0</v>
      </c>
      <c r="GL126" s="479">
        <f>'Hodnocení '!GL122</f>
        <v>0</v>
      </c>
      <c r="GM126" s="479">
        <f>'Hodnocení '!GM122</f>
        <v>0</v>
      </c>
      <c r="GN126" s="479">
        <f>'Hodnocení '!GN122</f>
        <v>0</v>
      </c>
      <c r="GO126" s="479">
        <f>'Hodnocení '!GO122</f>
        <v>0</v>
      </c>
      <c r="GP126" s="479">
        <f>'Hodnocení '!GP122</f>
        <v>0</v>
      </c>
      <c r="GQ126" s="479">
        <f>'Hodnocení '!GQ122</f>
        <v>0</v>
      </c>
      <c r="GR126" s="479">
        <f>'Hodnocení '!GR122</f>
        <v>0</v>
      </c>
      <c r="GS126" s="479">
        <f>'Hodnocení '!GS122</f>
        <v>0</v>
      </c>
      <c r="GT126" s="479">
        <f>'Hodnocení '!GT122</f>
        <v>0</v>
      </c>
      <c r="GU126" s="479">
        <f>'Hodnocení '!GU122</f>
        <v>0</v>
      </c>
      <c r="GV126" s="479">
        <f>'Hodnocení '!GV122</f>
        <v>0</v>
      </c>
      <c r="GW126" s="479">
        <f>'Hodnocení '!GW122</f>
        <v>0</v>
      </c>
      <c r="GX126" s="479">
        <f>'Hodnocení '!GX122</f>
        <v>0</v>
      </c>
      <c r="GY126" s="479">
        <f>'Hodnocení '!GY122</f>
        <v>0</v>
      </c>
      <c r="GZ126" s="479">
        <f>'Hodnocení '!GZ122</f>
        <v>0</v>
      </c>
      <c r="HA126" s="479">
        <f>'Hodnocení '!HA122</f>
        <v>0</v>
      </c>
      <c r="HB126" s="479">
        <f>'Hodnocení '!HB122</f>
        <v>0</v>
      </c>
      <c r="HC126" s="479">
        <f>'Hodnocení '!HC122</f>
        <v>0</v>
      </c>
      <c r="HD126" s="479">
        <f>'Hodnocení '!HD122</f>
        <v>0</v>
      </c>
      <c r="HE126" s="479">
        <f>'Hodnocení '!HE122</f>
        <v>0</v>
      </c>
      <c r="HF126" s="479">
        <f>'Hodnocení '!HF122</f>
        <v>0</v>
      </c>
      <c r="HG126" s="479">
        <f>'Hodnocení '!HG122</f>
        <v>0</v>
      </c>
      <c r="HH126" s="479">
        <f>'Hodnocení '!HH122</f>
        <v>0</v>
      </c>
      <c r="HI126" s="479">
        <f>'Hodnocení '!HI122</f>
        <v>0</v>
      </c>
      <c r="HJ126" s="479">
        <f>'Hodnocení '!HJ122</f>
        <v>0</v>
      </c>
      <c r="HK126" s="479">
        <f>'Hodnocení '!HK122</f>
        <v>0</v>
      </c>
      <c r="HL126" s="479">
        <f>'Hodnocení '!HL122</f>
        <v>0</v>
      </c>
      <c r="HM126" s="479">
        <f>'Hodnocení '!HM122</f>
        <v>0</v>
      </c>
      <c r="HN126" s="479">
        <f>'Hodnocení '!HN122</f>
        <v>0</v>
      </c>
      <c r="HO126" s="479">
        <f>'Hodnocení '!HO122</f>
        <v>0</v>
      </c>
      <c r="HP126" s="479">
        <f>'Hodnocení '!HP122</f>
        <v>989703</v>
      </c>
      <c r="HQ126" s="479">
        <f>'Hodnocení '!HQ122</f>
        <v>0</v>
      </c>
      <c r="HR126" s="479">
        <f>'Hodnocení '!HR122</f>
        <v>0</v>
      </c>
      <c r="HS126" s="479">
        <f>'Hodnocení '!HS122</f>
        <v>0</v>
      </c>
      <c r="HT126" s="479">
        <f>'Hodnocení '!HT122</f>
        <v>0</v>
      </c>
      <c r="HU126" s="479">
        <f>'Hodnocení '!HU122</f>
        <v>0</v>
      </c>
      <c r="HV126" s="479">
        <f>'Hodnocení '!HV122</f>
        <v>0</v>
      </c>
      <c r="HW126" s="479">
        <f>'Hodnocení '!HW122</f>
        <v>0</v>
      </c>
      <c r="HX126" s="479">
        <f>'Hodnocení '!HX122</f>
        <v>0</v>
      </c>
      <c r="HY126" s="479">
        <f>'Hodnocení '!HY122</f>
        <v>0</v>
      </c>
      <c r="HZ126" s="479">
        <f>'Hodnocení '!HZ122</f>
        <v>0</v>
      </c>
      <c r="IA126" s="479">
        <f>'Hodnocení '!IA122</f>
        <v>0</v>
      </c>
      <c r="IB126" s="479">
        <f>'Hodnocení '!IB122</f>
        <v>0</v>
      </c>
      <c r="IC126" s="479">
        <f>'Hodnocení '!IC122</f>
        <v>0</v>
      </c>
      <c r="ID126" s="479">
        <f>'Hodnocení '!ID122</f>
        <v>0</v>
      </c>
      <c r="IE126" s="479">
        <f>'Hodnocení '!IE122</f>
        <v>0</v>
      </c>
      <c r="IF126" s="479">
        <f>'Hodnocení '!IF122</f>
        <v>0</v>
      </c>
      <c r="IG126" s="479">
        <f>'Hodnocení '!IG122</f>
        <v>0</v>
      </c>
      <c r="IH126" s="479">
        <f>'Hodnocení '!IH122</f>
        <v>0</v>
      </c>
      <c r="II126" s="479">
        <f>'Hodnocení '!II122</f>
        <v>0</v>
      </c>
      <c r="IJ126" s="479">
        <f>'Hodnocení '!IJ122</f>
        <v>0</v>
      </c>
      <c r="IK126" s="479">
        <f>'Hodnocení '!IK122</f>
        <v>0</v>
      </c>
      <c r="IL126" s="479">
        <f>'Hodnocení '!IL122</f>
        <v>0</v>
      </c>
      <c r="IM126" s="479">
        <f>'Hodnocení '!IM122</f>
        <v>0</v>
      </c>
      <c r="IN126" s="479">
        <f>'Hodnocení '!IN122</f>
        <v>0</v>
      </c>
      <c r="IO126" s="479">
        <f>'Hodnocení '!IO122</f>
        <v>0</v>
      </c>
      <c r="IP126" s="479">
        <f>'Hodnocení '!IP122</f>
        <v>0</v>
      </c>
      <c r="IQ126" s="479">
        <f>'Hodnocení '!IQ122</f>
        <v>0</v>
      </c>
      <c r="IR126" s="479">
        <f>'Hodnocení '!IR122</f>
        <v>0</v>
      </c>
      <c r="IS126" s="479">
        <f>'Hodnocení '!IS122</f>
        <v>0</v>
      </c>
      <c r="IT126" s="479">
        <f>'Hodnocení '!IT122</f>
        <v>0</v>
      </c>
      <c r="IU126" s="479">
        <f>'Hodnocení '!IU122</f>
        <v>0</v>
      </c>
      <c r="IV126" s="479">
        <f>'Hodnocení '!IV122</f>
        <v>0</v>
      </c>
      <c r="IW126" s="479">
        <f>'Hodnocení '!IW122</f>
        <v>0</v>
      </c>
      <c r="IX126" s="479">
        <f>'Hodnocení '!IX122</f>
        <v>0</v>
      </c>
      <c r="IY126" s="479">
        <f>'Hodnocení '!IY122</f>
        <v>0</v>
      </c>
      <c r="IZ126" s="479">
        <f>'Hodnocení '!IZ122</f>
        <v>0</v>
      </c>
      <c r="JA126" s="479">
        <f>'Hodnocení '!JA122</f>
        <v>0</v>
      </c>
      <c r="JB126" s="479">
        <f>'Hodnocení '!JB122</f>
        <v>0</v>
      </c>
      <c r="JC126" s="479">
        <f>'Hodnocení '!JC122</f>
        <v>0</v>
      </c>
      <c r="JD126" s="479">
        <f>'Hodnocení '!JD122</f>
        <v>0</v>
      </c>
      <c r="JE126" s="479">
        <f>'Hodnocení '!JE122</f>
        <v>0</v>
      </c>
      <c r="JF126" s="479">
        <f>'Hodnocení '!JF122</f>
        <v>0</v>
      </c>
      <c r="JG126" s="479">
        <f>'Hodnocení '!JG122</f>
        <v>0</v>
      </c>
      <c r="JH126" s="780">
        <f>'Hodnocení '!JH122</f>
        <v>0</v>
      </c>
      <c r="JI126" s="470">
        <f>'Hodnocení '!JI122</f>
        <v>989703</v>
      </c>
      <c r="JL126" s="307">
        <f t="shared" si="69"/>
        <v>0</v>
      </c>
      <c r="JM126" s="307">
        <f t="shared" si="69"/>
        <v>0</v>
      </c>
      <c r="JN126" s="307">
        <f t="shared" si="69"/>
        <v>0</v>
      </c>
      <c r="JO126" s="307">
        <f t="shared" si="69"/>
        <v>989703</v>
      </c>
      <c r="JP126" s="307">
        <f t="shared" si="70"/>
        <v>989703</v>
      </c>
    </row>
    <row r="127" spans="1:276" s="307" customFormat="1" hidden="1" x14ac:dyDescent="0.25">
      <c r="A127" s="314">
        <v>16</v>
      </c>
      <c r="B127" s="743" t="s">
        <v>2545</v>
      </c>
      <c r="C127" s="779">
        <f>'Hodnocení '!C123</f>
        <v>0</v>
      </c>
      <c r="D127" s="479">
        <f>'Hodnocení '!D123</f>
        <v>0</v>
      </c>
      <c r="E127" s="479">
        <f>'Hodnocení '!E123</f>
        <v>0</v>
      </c>
      <c r="F127" s="479">
        <f>'Hodnocení '!F123</f>
        <v>0</v>
      </c>
      <c r="G127" s="479">
        <f>'Hodnocení '!G123</f>
        <v>0</v>
      </c>
      <c r="H127" s="479">
        <f>'Hodnocení '!H123</f>
        <v>0</v>
      </c>
      <c r="I127" s="479">
        <f>'Hodnocení '!I123</f>
        <v>0</v>
      </c>
      <c r="J127" s="479">
        <f>'Hodnocení '!J123</f>
        <v>0</v>
      </c>
      <c r="K127" s="479">
        <f>'Hodnocení '!K123</f>
        <v>0</v>
      </c>
      <c r="L127" s="479">
        <f>'Hodnocení '!L123</f>
        <v>0</v>
      </c>
      <c r="M127" s="479">
        <f>'Hodnocení '!M123</f>
        <v>0</v>
      </c>
      <c r="N127" s="479">
        <f>'Hodnocení '!N123</f>
        <v>0</v>
      </c>
      <c r="O127" s="479">
        <f>'Hodnocení '!O123</f>
        <v>0</v>
      </c>
      <c r="P127" s="479">
        <f>'Hodnocení '!P123</f>
        <v>0</v>
      </c>
      <c r="Q127" s="479">
        <f>'Hodnocení '!Q123</f>
        <v>0</v>
      </c>
      <c r="R127" s="479">
        <f>'Hodnocení '!R123</f>
        <v>0</v>
      </c>
      <c r="S127" s="479">
        <f>'Hodnocení '!S123</f>
        <v>0</v>
      </c>
      <c r="T127" s="479">
        <f>'Hodnocení '!T123</f>
        <v>0</v>
      </c>
      <c r="U127" s="479">
        <f>'Hodnocení '!U123</f>
        <v>0</v>
      </c>
      <c r="V127" s="479">
        <f>'Hodnocení '!V123</f>
        <v>0</v>
      </c>
      <c r="W127" s="479">
        <f>'Hodnocení '!W123</f>
        <v>0</v>
      </c>
      <c r="X127" s="479">
        <f>'Hodnocení '!X123</f>
        <v>0</v>
      </c>
      <c r="Y127" s="479">
        <f>'Hodnocení '!Y123</f>
        <v>0</v>
      </c>
      <c r="Z127" s="479">
        <f>'Hodnocení '!Z123</f>
        <v>0</v>
      </c>
      <c r="AA127" s="479">
        <f>'Hodnocení '!AA123</f>
        <v>0</v>
      </c>
      <c r="AB127" s="479">
        <f>'Hodnocení '!AB123</f>
        <v>0</v>
      </c>
      <c r="AC127" s="479">
        <f>'Hodnocení '!AC123</f>
        <v>0</v>
      </c>
      <c r="AD127" s="479">
        <f>'Hodnocení '!AD123</f>
        <v>0</v>
      </c>
      <c r="AE127" s="479">
        <f>'Hodnocení '!AE123</f>
        <v>0</v>
      </c>
      <c r="AF127" s="479">
        <f>'Hodnocení '!AF123</f>
        <v>0</v>
      </c>
      <c r="AG127" s="479">
        <f>'Hodnocení '!AG123</f>
        <v>0</v>
      </c>
      <c r="AH127" s="479">
        <f>'Hodnocení '!AH123</f>
        <v>0</v>
      </c>
      <c r="AI127" s="479">
        <f>'Hodnocení '!AI123</f>
        <v>0</v>
      </c>
      <c r="AJ127" s="479">
        <f>'Hodnocení '!AJ123</f>
        <v>0</v>
      </c>
      <c r="AK127" s="479">
        <f>'Hodnocení '!AK123</f>
        <v>41147</v>
      </c>
      <c r="AL127" s="479">
        <f>'Hodnocení '!AL123</f>
        <v>0</v>
      </c>
      <c r="AM127" s="479">
        <f>'Hodnocení '!AM123</f>
        <v>0</v>
      </c>
      <c r="AN127" s="479">
        <f>'Hodnocení '!AN123</f>
        <v>0</v>
      </c>
      <c r="AO127" s="479">
        <f>'Hodnocení '!AO123</f>
        <v>0</v>
      </c>
      <c r="AP127" s="479">
        <f>'Hodnocení '!AP123</f>
        <v>0</v>
      </c>
      <c r="AQ127" s="479">
        <f>'Hodnocení '!AQ123</f>
        <v>0</v>
      </c>
      <c r="AR127" s="479">
        <f>'Hodnocení '!AR123</f>
        <v>0</v>
      </c>
      <c r="AS127" s="479">
        <f>'Hodnocení '!AS123</f>
        <v>0</v>
      </c>
      <c r="AT127" s="479">
        <f>'Hodnocení '!AT123</f>
        <v>0</v>
      </c>
      <c r="AU127" s="479">
        <f>'Hodnocení '!AU123</f>
        <v>0</v>
      </c>
      <c r="AV127" s="479">
        <f>'Hodnocení '!AV123</f>
        <v>0</v>
      </c>
      <c r="AW127" s="479">
        <f>'Hodnocení '!AW123</f>
        <v>0</v>
      </c>
      <c r="AX127" s="479">
        <f>'Hodnocení '!AX123</f>
        <v>0</v>
      </c>
      <c r="AY127" s="479">
        <f>'Hodnocení '!AY123</f>
        <v>0</v>
      </c>
      <c r="AZ127" s="479">
        <f>'Hodnocení '!AZ123</f>
        <v>0</v>
      </c>
      <c r="BA127" s="479">
        <f>'Hodnocení '!BA123</f>
        <v>0</v>
      </c>
      <c r="BB127" s="479">
        <f>'Hodnocení '!BB123</f>
        <v>0</v>
      </c>
      <c r="BC127" s="479">
        <f>'Hodnocení '!BC123</f>
        <v>0</v>
      </c>
      <c r="BD127" s="479">
        <f>'Hodnocení '!BD123</f>
        <v>0</v>
      </c>
      <c r="BE127" s="479">
        <f>'Hodnocení '!BE123</f>
        <v>0</v>
      </c>
      <c r="BF127" s="479">
        <f>'Hodnocení '!BF123</f>
        <v>847190</v>
      </c>
      <c r="BG127" s="479">
        <f>'Hodnocení '!BG123</f>
        <v>645000</v>
      </c>
      <c r="BH127" s="479">
        <f>'Hodnocení '!BH123</f>
        <v>667000</v>
      </c>
      <c r="BI127" s="479">
        <f>'Hodnocení '!BI123</f>
        <v>0</v>
      </c>
      <c r="BJ127" s="479">
        <f>'Hodnocení '!BJ123</f>
        <v>0</v>
      </c>
      <c r="BK127" s="479">
        <f>'Hodnocení '!BK123</f>
        <v>0</v>
      </c>
      <c r="BL127" s="479">
        <f>'Hodnocení '!BL123</f>
        <v>0</v>
      </c>
      <c r="BM127" s="479">
        <f>'Hodnocení '!BM123</f>
        <v>0</v>
      </c>
      <c r="BN127" s="479">
        <f>'Hodnocení '!BN123</f>
        <v>0</v>
      </c>
      <c r="BO127" s="479">
        <f>'Hodnocení '!BO123</f>
        <v>0</v>
      </c>
      <c r="BP127" s="479">
        <f>'Hodnocení '!BP123</f>
        <v>0</v>
      </c>
      <c r="BQ127" s="479">
        <f>'Hodnocení '!BQ123</f>
        <v>0</v>
      </c>
      <c r="BR127" s="479">
        <f>'Hodnocení '!BR123</f>
        <v>0</v>
      </c>
      <c r="BS127" s="479">
        <f>'Hodnocení '!BS123</f>
        <v>0</v>
      </c>
      <c r="BT127" s="479">
        <f>'Hodnocení '!BT123</f>
        <v>0</v>
      </c>
      <c r="BU127" s="479">
        <f>'Hodnocení '!BU123</f>
        <v>0</v>
      </c>
      <c r="BV127" s="479">
        <f>'Hodnocení '!BV123</f>
        <v>0</v>
      </c>
      <c r="BW127" s="479">
        <f>'Hodnocení '!BW123</f>
        <v>0</v>
      </c>
      <c r="BX127" s="479">
        <f>'Hodnocení '!BX123</f>
        <v>0</v>
      </c>
      <c r="BY127" s="479">
        <f>'Hodnocení '!BY123</f>
        <v>0</v>
      </c>
      <c r="BZ127" s="479">
        <f>'Hodnocení '!BZ123</f>
        <v>0</v>
      </c>
      <c r="CA127" s="479">
        <f>'Hodnocení '!CA123</f>
        <v>0</v>
      </c>
      <c r="CB127" s="479">
        <f>'Hodnocení '!CB123</f>
        <v>0</v>
      </c>
      <c r="CC127" s="479">
        <f>'Hodnocení '!CC123</f>
        <v>0</v>
      </c>
      <c r="CD127" s="479">
        <f>'Hodnocení '!CD123</f>
        <v>0</v>
      </c>
      <c r="CE127" s="479">
        <f>'Hodnocení '!CE123</f>
        <v>0</v>
      </c>
      <c r="CF127" s="479">
        <f>'Hodnocení '!CF123</f>
        <v>0</v>
      </c>
      <c r="CG127" s="479">
        <f>'Hodnocení '!CG123</f>
        <v>126000</v>
      </c>
      <c r="CH127" s="479">
        <f>'Hodnocení '!CH123</f>
        <v>0</v>
      </c>
      <c r="CI127" s="479">
        <f>'Hodnocení '!CI123</f>
        <v>0</v>
      </c>
      <c r="CJ127" s="479">
        <f>'Hodnocení '!CJ123</f>
        <v>0</v>
      </c>
      <c r="CK127" s="479">
        <f>'Hodnocení '!CK123</f>
        <v>0</v>
      </c>
      <c r="CL127" s="479">
        <f>'Hodnocení '!CL123</f>
        <v>0</v>
      </c>
      <c r="CM127" s="479">
        <f>'Hodnocení '!CM123</f>
        <v>0</v>
      </c>
      <c r="CN127" s="479">
        <f>'Hodnocení '!CN123</f>
        <v>0</v>
      </c>
      <c r="CO127" s="479">
        <f>'Hodnocení '!CO123</f>
        <v>0</v>
      </c>
      <c r="CP127" s="479">
        <f>'Hodnocení '!CP123</f>
        <v>0</v>
      </c>
      <c r="CQ127" s="479">
        <f>'Hodnocení '!CQ123</f>
        <v>0</v>
      </c>
      <c r="CR127" s="479">
        <f>'Hodnocení '!CR123</f>
        <v>0</v>
      </c>
      <c r="CS127" s="479">
        <f>'Hodnocení '!CS123</f>
        <v>0</v>
      </c>
      <c r="CT127" s="479">
        <f>'Hodnocení '!CT123</f>
        <v>0</v>
      </c>
      <c r="CU127" s="479">
        <f>'Hodnocení '!CU123</f>
        <v>0</v>
      </c>
      <c r="CV127" s="479">
        <f>'Hodnocení '!CV123</f>
        <v>0</v>
      </c>
      <c r="CW127" s="479">
        <f>'Hodnocení '!CW123</f>
        <v>0</v>
      </c>
      <c r="CX127" s="479">
        <f>'Hodnocení '!CX123</f>
        <v>0</v>
      </c>
      <c r="CY127" s="479">
        <f>'Hodnocení '!CY123</f>
        <v>0</v>
      </c>
      <c r="CZ127" s="479">
        <f>'Hodnocení '!CZ123</f>
        <v>0</v>
      </c>
      <c r="DA127" s="479">
        <f>'Hodnocení '!DA123</f>
        <v>0</v>
      </c>
      <c r="DB127" s="479">
        <f>'Hodnocení '!DB123</f>
        <v>0</v>
      </c>
      <c r="DC127" s="479">
        <f>'Hodnocení '!DC123</f>
        <v>0</v>
      </c>
      <c r="DD127" s="479">
        <f>'Hodnocení '!DD123</f>
        <v>0</v>
      </c>
      <c r="DE127" s="479">
        <f>'Hodnocení '!DE123</f>
        <v>0</v>
      </c>
      <c r="DF127" s="479">
        <f>'Hodnocení '!DF123</f>
        <v>4788066</v>
      </c>
      <c r="DG127" s="479">
        <f>'Hodnocení '!DG123</f>
        <v>0</v>
      </c>
      <c r="DH127" s="479">
        <f>'Hodnocení '!DH123</f>
        <v>0</v>
      </c>
      <c r="DI127" s="479">
        <f>'Hodnocení '!DI123</f>
        <v>0</v>
      </c>
      <c r="DJ127" s="479">
        <f>'Hodnocení '!DJ123</f>
        <v>0</v>
      </c>
      <c r="DK127" s="479">
        <f>'Hodnocení '!DK123</f>
        <v>0</v>
      </c>
      <c r="DL127" s="479">
        <f>'Hodnocení '!DL123</f>
        <v>0</v>
      </c>
      <c r="DM127" s="479">
        <f>'Hodnocení '!DM123</f>
        <v>0</v>
      </c>
      <c r="DN127" s="479">
        <f>'Hodnocení '!DN123</f>
        <v>0</v>
      </c>
      <c r="DO127" s="479">
        <f>'Hodnocení '!DO123</f>
        <v>0</v>
      </c>
      <c r="DP127" s="479">
        <f>'Hodnocení '!DP123</f>
        <v>0</v>
      </c>
      <c r="DQ127" s="479">
        <f>'Hodnocení '!DQ123</f>
        <v>0</v>
      </c>
      <c r="DR127" s="479">
        <f>'Hodnocení '!DR123</f>
        <v>0</v>
      </c>
      <c r="DS127" s="479">
        <f>'Hodnocení '!DS123</f>
        <v>0</v>
      </c>
      <c r="DT127" s="479">
        <f>'Hodnocení '!DT123</f>
        <v>0</v>
      </c>
      <c r="DU127" s="479">
        <f>'Hodnocení '!DU123</f>
        <v>0</v>
      </c>
      <c r="DV127" s="479">
        <f>'Hodnocení '!DV123</f>
        <v>0</v>
      </c>
      <c r="DW127" s="479">
        <f>'Hodnocení '!DW123</f>
        <v>0</v>
      </c>
      <c r="DX127" s="479">
        <f>'Hodnocení '!DX123</f>
        <v>0</v>
      </c>
      <c r="DY127" s="479">
        <f>'Hodnocení '!DY123</f>
        <v>0</v>
      </c>
      <c r="DZ127" s="479">
        <f>'Hodnocení '!DZ123</f>
        <v>0</v>
      </c>
      <c r="EA127" s="479">
        <f>'Hodnocení '!EA123</f>
        <v>0</v>
      </c>
      <c r="EB127" s="479">
        <f>'Hodnocení '!EB123</f>
        <v>0</v>
      </c>
      <c r="EC127" s="479">
        <f>'Hodnocení '!EC123</f>
        <v>108000</v>
      </c>
      <c r="ED127" s="479">
        <f>'Hodnocení '!ED123</f>
        <v>0</v>
      </c>
      <c r="EE127" s="479">
        <f>'Hodnocení '!EE123</f>
        <v>0</v>
      </c>
      <c r="EF127" s="479">
        <f>'Hodnocení '!EF123</f>
        <v>0</v>
      </c>
      <c r="EG127" s="479">
        <f>'Hodnocení '!EG123</f>
        <v>0</v>
      </c>
      <c r="EH127" s="479">
        <f>'Hodnocení '!EH123</f>
        <v>0</v>
      </c>
      <c r="EI127" s="479">
        <f>'Hodnocení '!EI123</f>
        <v>0</v>
      </c>
      <c r="EJ127" s="479">
        <f>'Hodnocení '!EJ123</f>
        <v>72000.5</v>
      </c>
      <c r="EK127" s="479">
        <f>'Hodnocení '!EK123</f>
        <v>0</v>
      </c>
      <c r="EL127" s="479">
        <f>'Hodnocení '!EL123</f>
        <v>0</v>
      </c>
      <c r="EM127" s="479">
        <f>'Hodnocení '!EM123</f>
        <v>0</v>
      </c>
      <c r="EN127" s="479">
        <f>'Hodnocení '!EN123</f>
        <v>0</v>
      </c>
      <c r="EO127" s="479">
        <f>'Hodnocení '!EO123</f>
        <v>0</v>
      </c>
      <c r="EP127" s="479">
        <f>'Hodnocení '!EP123</f>
        <v>0</v>
      </c>
      <c r="EQ127" s="479">
        <f>'Hodnocení '!EQ123</f>
        <v>0</v>
      </c>
      <c r="ER127" s="479">
        <f>'Hodnocení '!ER123</f>
        <v>0</v>
      </c>
      <c r="ES127" s="479">
        <f>'Hodnocení '!ES123</f>
        <v>0</v>
      </c>
      <c r="ET127" s="479">
        <f>'Hodnocení '!ET123</f>
        <v>0</v>
      </c>
      <c r="EU127" s="479">
        <f>'Hodnocení '!EU123</f>
        <v>0</v>
      </c>
      <c r="EV127" s="479">
        <f>'Hodnocení '!EV123</f>
        <v>0</v>
      </c>
      <c r="EW127" s="479">
        <f>'Hodnocení '!EW123</f>
        <v>0</v>
      </c>
      <c r="EX127" s="479">
        <f>'Hodnocení '!EX123</f>
        <v>0</v>
      </c>
      <c r="EY127" s="479">
        <f>'Hodnocení '!EY123</f>
        <v>0</v>
      </c>
      <c r="EZ127" s="479">
        <f>'Hodnocení '!EZ123</f>
        <v>0</v>
      </c>
      <c r="FA127" s="479">
        <f>'Hodnocení '!FA123</f>
        <v>0</v>
      </c>
      <c r="FB127" s="479">
        <f>'Hodnocení '!FB123</f>
        <v>0</v>
      </c>
      <c r="FC127" s="479">
        <f>'Hodnocení '!FC123</f>
        <v>0</v>
      </c>
      <c r="FD127" s="479">
        <f>'Hodnocení '!FD123</f>
        <v>0</v>
      </c>
      <c r="FE127" s="479">
        <f>'Hodnocení '!FE123</f>
        <v>0</v>
      </c>
      <c r="FF127" s="479">
        <f>'Hodnocení '!FF123</f>
        <v>0</v>
      </c>
      <c r="FG127" s="479">
        <f>'Hodnocení '!FG123</f>
        <v>0</v>
      </c>
      <c r="FH127" s="479">
        <f>'Hodnocení '!FH123</f>
        <v>0</v>
      </c>
      <c r="FI127" s="479">
        <f>'Hodnocení '!FI123</f>
        <v>0</v>
      </c>
      <c r="FJ127" s="479">
        <f>'Hodnocení '!FJ123</f>
        <v>0</v>
      </c>
      <c r="FK127" s="479">
        <f>'Hodnocení '!FK123</f>
        <v>0</v>
      </c>
      <c r="FL127" s="479">
        <f>'Hodnocení '!FL123</f>
        <v>0</v>
      </c>
      <c r="FM127" s="479">
        <f>'Hodnocení '!FM123</f>
        <v>0</v>
      </c>
      <c r="FN127" s="479">
        <f>'Hodnocení '!FN123</f>
        <v>0</v>
      </c>
      <c r="FO127" s="479">
        <f>'Hodnocení '!FO123</f>
        <v>0</v>
      </c>
      <c r="FP127" s="479">
        <f>'Hodnocení '!FP123</f>
        <v>0</v>
      </c>
      <c r="FQ127" s="479">
        <f>'Hodnocení '!FQ123</f>
        <v>0</v>
      </c>
      <c r="FR127" s="479">
        <f>'Hodnocení '!FR123</f>
        <v>0</v>
      </c>
      <c r="FS127" s="479">
        <f>'Hodnocení '!FS123</f>
        <v>0</v>
      </c>
      <c r="FT127" s="479">
        <f>'Hodnocení '!FT123</f>
        <v>0</v>
      </c>
      <c r="FU127" s="479">
        <f>'Hodnocení '!FU123</f>
        <v>0</v>
      </c>
      <c r="FV127" s="479">
        <f>'Hodnocení '!FV123</f>
        <v>0</v>
      </c>
      <c r="FW127" s="479">
        <f>'Hodnocení '!FW123</f>
        <v>0</v>
      </c>
      <c r="FX127" s="479">
        <f>'Hodnocení '!FX123</f>
        <v>0</v>
      </c>
      <c r="FY127" s="479">
        <f>'Hodnocení '!FY123</f>
        <v>0</v>
      </c>
      <c r="FZ127" s="479">
        <f>'Hodnocení '!FZ123</f>
        <v>0</v>
      </c>
      <c r="GA127" s="479">
        <f>'Hodnocení '!GA123</f>
        <v>0</v>
      </c>
      <c r="GB127" s="479">
        <f>'Hodnocení '!GB123</f>
        <v>0</v>
      </c>
      <c r="GC127" s="479">
        <f>'Hodnocení '!GC123</f>
        <v>0</v>
      </c>
      <c r="GD127" s="479">
        <f>'Hodnocení '!GD123</f>
        <v>0</v>
      </c>
      <c r="GE127" s="479">
        <f>'Hodnocení '!GE123</f>
        <v>0</v>
      </c>
      <c r="GF127" s="479">
        <f>'Hodnocení '!GF123</f>
        <v>0</v>
      </c>
      <c r="GG127" s="479">
        <f>'Hodnocení '!GG123</f>
        <v>0</v>
      </c>
      <c r="GH127" s="479">
        <f>'Hodnocení '!GH123</f>
        <v>0</v>
      </c>
      <c r="GI127" s="479">
        <f>'Hodnocení '!GI123</f>
        <v>0</v>
      </c>
      <c r="GJ127" s="479">
        <f>'Hodnocení '!GJ123</f>
        <v>0</v>
      </c>
      <c r="GK127" s="479">
        <f>'Hodnocení '!GK123</f>
        <v>0</v>
      </c>
      <c r="GL127" s="479">
        <f>'Hodnocení '!GL123</f>
        <v>0</v>
      </c>
      <c r="GM127" s="479">
        <f>'Hodnocení '!GM123</f>
        <v>0</v>
      </c>
      <c r="GN127" s="479">
        <f>'Hodnocení '!GN123</f>
        <v>0</v>
      </c>
      <c r="GO127" s="479">
        <f>'Hodnocení '!GO123</f>
        <v>0</v>
      </c>
      <c r="GP127" s="479">
        <f>'Hodnocení '!GP123</f>
        <v>0</v>
      </c>
      <c r="GQ127" s="479">
        <f>'Hodnocení '!GQ123</f>
        <v>0</v>
      </c>
      <c r="GR127" s="479">
        <f>'Hodnocení '!GR123</f>
        <v>0</v>
      </c>
      <c r="GS127" s="479">
        <f>'Hodnocení '!GS123</f>
        <v>0</v>
      </c>
      <c r="GT127" s="479">
        <f>'Hodnocení '!GT123</f>
        <v>0</v>
      </c>
      <c r="GU127" s="479">
        <f>'Hodnocení '!GU123</f>
        <v>0</v>
      </c>
      <c r="GV127" s="479">
        <f>'Hodnocení '!GV123</f>
        <v>0</v>
      </c>
      <c r="GW127" s="479">
        <f>'Hodnocení '!GW123</f>
        <v>0</v>
      </c>
      <c r="GX127" s="479">
        <f>'Hodnocení '!GX123</f>
        <v>0</v>
      </c>
      <c r="GY127" s="479">
        <f>'Hodnocení '!GY123</f>
        <v>0</v>
      </c>
      <c r="GZ127" s="479">
        <f>'Hodnocení '!GZ123</f>
        <v>0</v>
      </c>
      <c r="HA127" s="479">
        <f>'Hodnocení '!HA123</f>
        <v>0</v>
      </c>
      <c r="HB127" s="479">
        <f>'Hodnocení '!HB123</f>
        <v>0</v>
      </c>
      <c r="HC127" s="479">
        <f>'Hodnocení '!HC123</f>
        <v>0</v>
      </c>
      <c r="HD127" s="479">
        <f>'Hodnocení '!HD123</f>
        <v>0</v>
      </c>
      <c r="HE127" s="479">
        <f>'Hodnocení '!HE123</f>
        <v>0</v>
      </c>
      <c r="HF127" s="479">
        <f>'Hodnocení '!HF123</f>
        <v>0</v>
      </c>
      <c r="HG127" s="479">
        <f>'Hodnocení '!HG123</f>
        <v>0</v>
      </c>
      <c r="HH127" s="479">
        <f>'Hodnocení '!HH123</f>
        <v>0</v>
      </c>
      <c r="HI127" s="479">
        <f>'Hodnocení '!HI123</f>
        <v>0</v>
      </c>
      <c r="HJ127" s="479">
        <f>'Hodnocení '!HJ123</f>
        <v>0</v>
      </c>
      <c r="HK127" s="479">
        <f>'Hodnocení '!HK123</f>
        <v>0</v>
      </c>
      <c r="HL127" s="479">
        <f>'Hodnocení '!HL123</f>
        <v>0</v>
      </c>
      <c r="HM127" s="479">
        <f>'Hodnocení '!HM123</f>
        <v>0</v>
      </c>
      <c r="HN127" s="479">
        <f>'Hodnocení '!HN123</f>
        <v>0</v>
      </c>
      <c r="HO127" s="479">
        <f>'Hodnocení '!HO123</f>
        <v>0</v>
      </c>
      <c r="HP127" s="479">
        <f>'Hodnocení '!HP123</f>
        <v>0</v>
      </c>
      <c r="HQ127" s="479">
        <f>'Hodnocení '!HQ123</f>
        <v>0</v>
      </c>
      <c r="HR127" s="479">
        <f>'Hodnocení '!HR123</f>
        <v>0</v>
      </c>
      <c r="HS127" s="479">
        <f>'Hodnocení '!HS123</f>
        <v>0</v>
      </c>
      <c r="HT127" s="479">
        <f>'Hodnocení '!HT123</f>
        <v>0</v>
      </c>
      <c r="HU127" s="479">
        <f>'Hodnocení '!HU123</f>
        <v>0</v>
      </c>
      <c r="HV127" s="479">
        <f>'Hodnocení '!HV123</f>
        <v>0</v>
      </c>
      <c r="HW127" s="479">
        <f>'Hodnocení '!HW123</f>
        <v>0</v>
      </c>
      <c r="HX127" s="479">
        <f>'Hodnocení '!HX123</f>
        <v>0</v>
      </c>
      <c r="HY127" s="479">
        <f>'Hodnocení '!HY123</f>
        <v>0</v>
      </c>
      <c r="HZ127" s="479">
        <f>'Hodnocení '!HZ123</f>
        <v>0</v>
      </c>
      <c r="IA127" s="479">
        <f>'Hodnocení '!IA123</f>
        <v>0</v>
      </c>
      <c r="IB127" s="479">
        <f>'Hodnocení '!IB123</f>
        <v>0</v>
      </c>
      <c r="IC127" s="479">
        <f>'Hodnocení '!IC123</f>
        <v>0</v>
      </c>
      <c r="ID127" s="479">
        <f>'Hodnocení '!ID123</f>
        <v>0</v>
      </c>
      <c r="IE127" s="479">
        <f>'Hodnocení '!IE123</f>
        <v>0</v>
      </c>
      <c r="IF127" s="479">
        <f>'Hodnocení '!IF123</f>
        <v>0</v>
      </c>
      <c r="IG127" s="479">
        <f>'Hodnocení '!IG123</f>
        <v>0</v>
      </c>
      <c r="IH127" s="479">
        <f>'Hodnocení '!IH123</f>
        <v>0</v>
      </c>
      <c r="II127" s="479">
        <f>'Hodnocení '!II123</f>
        <v>0</v>
      </c>
      <c r="IJ127" s="479">
        <f>'Hodnocení '!IJ123</f>
        <v>0</v>
      </c>
      <c r="IK127" s="479">
        <f>'Hodnocení '!IK123</f>
        <v>0</v>
      </c>
      <c r="IL127" s="479">
        <f>'Hodnocení '!IL123</f>
        <v>0</v>
      </c>
      <c r="IM127" s="479">
        <f>'Hodnocení '!IM123</f>
        <v>0</v>
      </c>
      <c r="IN127" s="479">
        <f>'Hodnocení '!IN123</f>
        <v>0</v>
      </c>
      <c r="IO127" s="479">
        <f>'Hodnocení '!IO123</f>
        <v>0</v>
      </c>
      <c r="IP127" s="479">
        <f>'Hodnocení '!IP123</f>
        <v>0</v>
      </c>
      <c r="IQ127" s="479">
        <f>'Hodnocení '!IQ123</f>
        <v>0</v>
      </c>
      <c r="IR127" s="479">
        <f>'Hodnocení '!IR123</f>
        <v>0</v>
      </c>
      <c r="IS127" s="479">
        <f>'Hodnocení '!IS123</f>
        <v>0</v>
      </c>
      <c r="IT127" s="479">
        <f>'Hodnocení '!IT123</f>
        <v>0</v>
      </c>
      <c r="IU127" s="479">
        <f>'Hodnocení '!IU123</f>
        <v>0</v>
      </c>
      <c r="IV127" s="479">
        <f>'Hodnocení '!IV123</f>
        <v>0</v>
      </c>
      <c r="IW127" s="479">
        <f>'Hodnocení '!IW123</f>
        <v>0</v>
      </c>
      <c r="IX127" s="479">
        <f>'Hodnocení '!IX123</f>
        <v>0</v>
      </c>
      <c r="IY127" s="479">
        <f>'Hodnocení '!IY123</f>
        <v>0</v>
      </c>
      <c r="IZ127" s="479">
        <f>'Hodnocení '!IZ123</f>
        <v>0</v>
      </c>
      <c r="JA127" s="479">
        <f>'Hodnocení '!JA123</f>
        <v>0</v>
      </c>
      <c r="JB127" s="479">
        <f>'Hodnocení '!JB123</f>
        <v>280000</v>
      </c>
      <c r="JC127" s="479">
        <f>'Hodnocení '!JC123</f>
        <v>0</v>
      </c>
      <c r="JD127" s="479">
        <f>'Hodnocení '!JD123</f>
        <v>1500000</v>
      </c>
      <c r="JE127" s="479">
        <f>'Hodnocení '!JE123</f>
        <v>0</v>
      </c>
      <c r="JF127" s="479">
        <f>'Hodnocení '!JF123</f>
        <v>0</v>
      </c>
      <c r="JG127" s="479">
        <f>'Hodnocení '!JG123</f>
        <v>0</v>
      </c>
      <c r="JH127" s="780">
        <f>'Hodnocení '!JH123</f>
        <v>0</v>
      </c>
      <c r="JI127" s="470">
        <f>'Hodnocení '!JI123</f>
        <v>9074403.5</v>
      </c>
      <c r="JL127" s="307">
        <f t="shared" si="69"/>
        <v>0</v>
      </c>
      <c r="JM127" s="307">
        <f t="shared" si="69"/>
        <v>7294403.5</v>
      </c>
      <c r="JN127" s="307">
        <f t="shared" si="69"/>
        <v>0</v>
      </c>
      <c r="JO127" s="307">
        <f t="shared" si="69"/>
        <v>1780000</v>
      </c>
      <c r="JP127" s="307">
        <f t="shared" si="70"/>
        <v>9074403.5</v>
      </c>
    </row>
    <row r="128" spans="1:276" s="307" customFormat="1" hidden="1" x14ac:dyDescent="0.25">
      <c r="A128" s="314">
        <v>17</v>
      </c>
      <c r="B128" s="743" t="s">
        <v>2532</v>
      </c>
      <c r="C128" s="779">
        <f>'Hodnocení '!C124</f>
        <v>0</v>
      </c>
      <c r="D128" s="479">
        <f>'Hodnocení '!D124</f>
        <v>0</v>
      </c>
      <c r="E128" s="479">
        <f>'Hodnocení '!E124</f>
        <v>0</v>
      </c>
      <c r="F128" s="479">
        <f>'Hodnocení '!F124</f>
        <v>8000</v>
      </c>
      <c r="G128" s="479">
        <f>'Hodnocení '!G124</f>
        <v>19000</v>
      </c>
      <c r="H128" s="479">
        <f>'Hodnocení '!H124</f>
        <v>0</v>
      </c>
      <c r="I128" s="479">
        <f>'Hodnocení '!I124</f>
        <v>5000</v>
      </c>
      <c r="J128" s="479">
        <f>'Hodnocení '!J124</f>
        <v>0</v>
      </c>
      <c r="K128" s="479">
        <f>'Hodnocení '!K124</f>
        <v>0</v>
      </c>
      <c r="L128" s="479">
        <f>'Hodnocení '!L124</f>
        <v>0</v>
      </c>
      <c r="M128" s="479">
        <f>'Hodnocení '!M124</f>
        <v>0</v>
      </c>
      <c r="N128" s="479">
        <f>'Hodnocení '!N124</f>
        <v>10650</v>
      </c>
      <c r="O128" s="479">
        <f>'Hodnocení '!O124</f>
        <v>0</v>
      </c>
      <c r="P128" s="479">
        <f>'Hodnocení '!P124</f>
        <v>0</v>
      </c>
      <c r="Q128" s="479">
        <f>'Hodnocení '!Q124</f>
        <v>11970</v>
      </c>
      <c r="R128" s="479">
        <f>'Hodnocení '!R124</f>
        <v>0</v>
      </c>
      <c r="S128" s="479">
        <f>'Hodnocení '!S124</f>
        <v>0</v>
      </c>
      <c r="T128" s="479">
        <f>'Hodnocení '!T124</f>
        <v>0</v>
      </c>
      <c r="U128" s="479">
        <f>'Hodnocení '!U124</f>
        <v>0</v>
      </c>
      <c r="V128" s="479">
        <f>'Hodnocení '!V124</f>
        <v>0</v>
      </c>
      <c r="W128" s="479">
        <f>'Hodnocení '!W124</f>
        <v>0</v>
      </c>
      <c r="X128" s="479">
        <f>'Hodnocení '!X124</f>
        <v>0</v>
      </c>
      <c r="Y128" s="479">
        <f>'Hodnocení '!Y124</f>
        <v>0</v>
      </c>
      <c r="Z128" s="479">
        <f>'Hodnocení '!Z124</f>
        <v>0</v>
      </c>
      <c r="AA128" s="479">
        <f>'Hodnocení '!AA124</f>
        <v>0</v>
      </c>
      <c r="AB128" s="479">
        <f>'Hodnocení '!AB124</f>
        <v>0</v>
      </c>
      <c r="AC128" s="479">
        <f>'Hodnocení '!AC124</f>
        <v>0</v>
      </c>
      <c r="AD128" s="479">
        <f>'Hodnocení '!AD124</f>
        <v>10000</v>
      </c>
      <c r="AE128" s="479">
        <f>'Hodnocení '!AE124</f>
        <v>5000</v>
      </c>
      <c r="AF128" s="479">
        <f>'Hodnocení '!AF124</f>
        <v>0</v>
      </c>
      <c r="AG128" s="479">
        <f>'Hodnocení '!AG124</f>
        <v>64000</v>
      </c>
      <c r="AH128" s="479">
        <f>'Hodnocení '!AH124</f>
        <v>0</v>
      </c>
      <c r="AI128" s="479">
        <f>'Hodnocení '!AI124</f>
        <v>0</v>
      </c>
      <c r="AJ128" s="479">
        <f>'Hodnocení '!AJ124</f>
        <v>0</v>
      </c>
      <c r="AK128" s="479">
        <f>'Hodnocení '!AK124</f>
        <v>0</v>
      </c>
      <c r="AL128" s="479">
        <f>'Hodnocení '!AL124</f>
        <v>0</v>
      </c>
      <c r="AM128" s="479">
        <f>'Hodnocení '!AM124</f>
        <v>32951</v>
      </c>
      <c r="AN128" s="479">
        <f>'Hodnocení '!AN124</f>
        <v>0</v>
      </c>
      <c r="AO128" s="479">
        <f>'Hodnocení '!AO124</f>
        <v>0</v>
      </c>
      <c r="AP128" s="479">
        <f>'Hodnocení '!AP124</f>
        <v>0</v>
      </c>
      <c r="AQ128" s="479">
        <f>'Hodnocení '!AQ124</f>
        <v>6000</v>
      </c>
      <c r="AR128" s="479">
        <f>'Hodnocení '!AR124</f>
        <v>60000</v>
      </c>
      <c r="AS128" s="479">
        <f>'Hodnocení '!AS124</f>
        <v>12000</v>
      </c>
      <c r="AT128" s="479">
        <f>'Hodnocení '!AT124</f>
        <v>0</v>
      </c>
      <c r="AU128" s="479">
        <f>'Hodnocení '!AU124</f>
        <v>0</v>
      </c>
      <c r="AV128" s="479">
        <f>'Hodnocení '!AV124</f>
        <v>0</v>
      </c>
      <c r="AW128" s="479">
        <f>'Hodnocení '!AW124</f>
        <v>0</v>
      </c>
      <c r="AX128" s="479">
        <f>'Hodnocení '!AX124</f>
        <v>0</v>
      </c>
      <c r="AY128" s="479">
        <f>'Hodnocení '!AY124</f>
        <v>1500</v>
      </c>
      <c r="AZ128" s="479">
        <f>'Hodnocení '!AZ124</f>
        <v>4000</v>
      </c>
      <c r="BA128" s="479">
        <f>'Hodnocení '!BA124</f>
        <v>0</v>
      </c>
      <c r="BB128" s="479">
        <f>'Hodnocení '!BB124</f>
        <v>0</v>
      </c>
      <c r="BC128" s="479">
        <f>'Hodnocení '!BC124</f>
        <v>0</v>
      </c>
      <c r="BD128" s="479">
        <f>'Hodnocení '!BD124</f>
        <v>0</v>
      </c>
      <c r="BE128" s="479">
        <f>'Hodnocení '!BE124</f>
        <v>0</v>
      </c>
      <c r="BF128" s="479">
        <f>'Hodnocení '!BF124</f>
        <v>0</v>
      </c>
      <c r="BG128" s="479">
        <f>'Hodnocení '!BG124</f>
        <v>0</v>
      </c>
      <c r="BH128" s="479">
        <f>'Hodnocení '!BH124</f>
        <v>0</v>
      </c>
      <c r="BI128" s="479">
        <f>'Hodnocení '!BI124</f>
        <v>0</v>
      </c>
      <c r="BJ128" s="479">
        <f>'Hodnocení '!BJ124</f>
        <v>0</v>
      </c>
      <c r="BK128" s="479">
        <f>'Hodnocení '!BK124</f>
        <v>0</v>
      </c>
      <c r="BL128" s="479">
        <f>'Hodnocení '!BL124</f>
        <v>0</v>
      </c>
      <c r="BM128" s="479">
        <f>'Hodnocení '!BM124</f>
        <v>0</v>
      </c>
      <c r="BN128" s="479">
        <f>'Hodnocení '!BN124</f>
        <v>0</v>
      </c>
      <c r="BO128" s="479">
        <f>'Hodnocení '!BO124</f>
        <v>0</v>
      </c>
      <c r="BP128" s="479">
        <f>'Hodnocení '!BP124</f>
        <v>0</v>
      </c>
      <c r="BQ128" s="479">
        <f>'Hodnocení '!BQ124</f>
        <v>0</v>
      </c>
      <c r="BR128" s="479">
        <f>'Hodnocení '!BR124</f>
        <v>0</v>
      </c>
      <c r="BS128" s="479">
        <f>'Hodnocení '!BS124</f>
        <v>0</v>
      </c>
      <c r="BT128" s="479">
        <f>'Hodnocení '!BT124</f>
        <v>0</v>
      </c>
      <c r="BU128" s="479">
        <f>'Hodnocení '!BU124</f>
        <v>0</v>
      </c>
      <c r="BV128" s="479">
        <f>'Hodnocení '!BV124</f>
        <v>0</v>
      </c>
      <c r="BW128" s="479">
        <f>'Hodnocení '!BW124</f>
        <v>0</v>
      </c>
      <c r="BX128" s="479">
        <f>'Hodnocení '!BX124</f>
        <v>0</v>
      </c>
      <c r="BY128" s="479">
        <f>'Hodnocení '!BY124</f>
        <v>0</v>
      </c>
      <c r="BZ128" s="479">
        <f>'Hodnocení '!BZ124</f>
        <v>0</v>
      </c>
      <c r="CA128" s="479">
        <f>'Hodnocení '!CA124</f>
        <v>0</v>
      </c>
      <c r="CB128" s="479">
        <f>'Hodnocení '!CB124</f>
        <v>0</v>
      </c>
      <c r="CC128" s="479">
        <f>'Hodnocení '!CC124</f>
        <v>0</v>
      </c>
      <c r="CD128" s="479">
        <f>'Hodnocení '!CD124</f>
        <v>0</v>
      </c>
      <c r="CE128" s="479">
        <f>'Hodnocení '!CE124</f>
        <v>0</v>
      </c>
      <c r="CF128" s="479">
        <f>'Hodnocení '!CF124</f>
        <v>0</v>
      </c>
      <c r="CG128" s="479">
        <f>'Hodnocení '!CG124</f>
        <v>0</v>
      </c>
      <c r="CH128" s="479">
        <f>'Hodnocení '!CH124</f>
        <v>0</v>
      </c>
      <c r="CI128" s="479">
        <f>'Hodnocení '!CI124</f>
        <v>0</v>
      </c>
      <c r="CJ128" s="479">
        <f>'Hodnocení '!CJ124</f>
        <v>0</v>
      </c>
      <c r="CK128" s="479">
        <f>'Hodnocení '!CK124</f>
        <v>0</v>
      </c>
      <c r="CL128" s="479">
        <f>'Hodnocení '!CL124</f>
        <v>0</v>
      </c>
      <c r="CM128" s="479">
        <f>'Hodnocení '!CM124</f>
        <v>0</v>
      </c>
      <c r="CN128" s="479">
        <f>'Hodnocení '!CN124</f>
        <v>0</v>
      </c>
      <c r="CO128" s="479">
        <f>'Hodnocení '!CO124</f>
        <v>0</v>
      </c>
      <c r="CP128" s="479">
        <f>'Hodnocení '!CP124</f>
        <v>0</v>
      </c>
      <c r="CQ128" s="479">
        <f>'Hodnocení '!CQ124</f>
        <v>0</v>
      </c>
      <c r="CR128" s="479">
        <f>'Hodnocení '!CR124</f>
        <v>0</v>
      </c>
      <c r="CS128" s="479">
        <f>'Hodnocení '!CS124</f>
        <v>0</v>
      </c>
      <c r="CT128" s="479">
        <f>'Hodnocení '!CT124</f>
        <v>0</v>
      </c>
      <c r="CU128" s="479">
        <f>'Hodnocení '!CU124</f>
        <v>0</v>
      </c>
      <c r="CV128" s="479">
        <f>'Hodnocení '!CV124</f>
        <v>0</v>
      </c>
      <c r="CW128" s="479">
        <f>'Hodnocení '!CW124</f>
        <v>0</v>
      </c>
      <c r="CX128" s="479">
        <f>'Hodnocení '!CX124</f>
        <v>0</v>
      </c>
      <c r="CY128" s="479">
        <f>'Hodnocení '!CY124</f>
        <v>0</v>
      </c>
      <c r="CZ128" s="479">
        <f>'Hodnocení '!CZ124</f>
        <v>0</v>
      </c>
      <c r="DA128" s="479">
        <f>'Hodnocení '!DA124</f>
        <v>0</v>
      </c>
      <c r="DB128" s="479">
        <f>'Hodnocení '!DB124</f>
        <v>0</v>
      </c>
      <c r="DC128" s="479">
        <f>'Hodnocení '!DC124</f>
        <v>0</v>
      </c>
      <c r="DD128" s="479">
        <f>'Hodnocení '!DD124</f>
        <v>0</v>
      </c>
      <c r="DE128" s="479">
        <f>'Hodnocení '!DE124</f>
        <v>98000</v>
      </c>
      <c r="DF128" s="479">
        <f>'Hodnocení '!DF124</f>
        <v>0</v>
      </c>
      <c r="DG128" s="479">
        <f>'Hodnocení '!DG124</f>
        <v>0</v>
      </c>
      <c r="DH128" s="479">
        <f>'Hodnocení '!DH124</f>
        <v>3370.46</v>
      </c>
      <c r="DI128" s="479">
        <f>'Hodnocení '!DI124</f>
        <v>54259.41</v>
      </c>
      <c r="DJ128" s="479">
        <f>'Hodnocení '!DJ124</f>
        <v>113528.74</v>
      </c>
      <c r="DK128" s="479">
        <f>'Hodnocení '!DK124</f>
        <v>27499.39</v>
      </c>
      <c r="DL128" s="479">
        <f>'Hodnocení '!DL124</f>
        <v>0</v>
      </c>
      <c r="DM128" s="479">
        <f>'Hodnocení '!DM124</f>
        <v>0</v>
      </c>
      <c r="DN128" s="479">
        <f>'Hodnocení '!DN124</f>
        <v>0</v>
      </c>
      <c r="DO128" s="479">
        <f>'Hodnocení '!DO124</f>
        <v>0</v>
      </c>
      <c r="DP128" s="479">
        <f>'Hodnocení '!DP124</f>
        <v>0</v>
      </c>
      <c r="DQ128" s="479">
        <f>'Hodnocení '!DQ124</f>
        <v>0</v>
      </c>
      <c r="DR128" s="479">
        <f>'Hodnocení '!DR124</f>
        <v>0</v>
      </c>
      <c r="DS128" s="479">
        <f>'Hodnocení '!DS124</f>
        <v>0</v>
      </c>
      <c r="DT128" s="479">
        <f>'Hodnocení '!DT124</f>
        <v>0</v>
      </c>
      <c r="DU128" s="479">
        <f>'Hodnocení '!DU124</f>
        <v>0</v>
      </c>
      <c r="DV128" s="563">
        <f>'Hodnocení '!DV124</f>
        <v>2200000</v>
      </c>
      <c r="DW128" s="479">
        <f>'Hodnocení '!DW124</f>
        <v>0</v>
      </c>
      <c r="DX128" s="479">
        <f>'Hodnocení '!DX124</f>
        <v>0</v>
      </c>
      <c r="DY128" s="479">
        <f>'Hodnocení '!DY124</f>
        <v>0</v>
      </c>
      <c r="DZ128" s="479">
        <f>'Hodnocení '!DZ124</f>
        <v>0</v>
      </c>
      <c r="EA128" s="479">
        <f>'Hodnocení '!EA124</f>
        <v>0</v>
      </c>
      <c r="EB128" s="479">
        <f>'Hodnocení '!EB124</f>
        <v>0</v>
      </c>
      <c r="EC128" s="479">
        <f>'Hodnocení '!EC124</f>
        <v>0</v>
      </c>
      <c r="ED128" s="479">
        <f>'Hodnocení '!ED124</f>
        <v>0</v>
      </c>
      <c r="EE128" s="479">
        <f>'Hodnocení '!EE124</f>
        <v>0</v>
      </c>
      <c r="EF128" s="479">
        <f>'Hodnocení '!EF124</f>
        <v>0</v>
      </c>
      <c r="EG128" s="479">
        <f>'Hodnocení '!EG124</f>
        <v>0</v>
      </c>
      <c r="EH128" s="479">
        <f>'Hodnocení '!EH124</f>
        <v>0</v>
      </c>
      <c r="EI128" s="479">
        <f>'Hodnocení '!EI124</f>
        <v>51000</v>
      </c>
      <c r="EJ128" s="479">
        <f>'Hodnocení '!EJ124</f>
        <v>4136.66</v>
      </c>
      <c r="EK128" s="479">
        <f>'Hodnocení '!EK124</f>
        <v>0</v>
      </c>
      <c r="EL128" s="479">
        <f>'Hodnocení '!EL124</f>
        <v>0</v>
      </c>
      <c r="EM128" s="479">
        <f>'Hodnocení '!EM124</f>
        <v>0</v>
      </c>
      <c r="EN128" s="479">
        <f>'Hodnocení '!EN124</f>
        <v>0</v>
      </c>
      <c r="EO128" s="479">
        <f>'Hodnocení '!EO124</f>
        <v>0</v>
      </c>
      <c r="EP128" s="479">
        <f>'Hodnocení '!EP124</f>
        <v>0</v>
      </c>
      <c r="EQ128" s="479">
        <f>'Hodnocení '!EQ124</f>
        <v>13000</v>
      </c>
      <c r="ER128" s="479">
        <f>'Hodnocení '!ER124</f>
        <v>0</v>
      </c>
      <c r="ES128" s="479">
        <f>'Hodnocení '!ES124</f>
        <v>0</v>
      </c>
      <c r="ET128" s="479">
        <f>'Hodnocení '!ET124</f>
        <v>0</v>
      </c>
      <c r="EU128" s="479">
        <f>'Hodnocení '!EU124</f>
        <v>3550000</v>
      </c>
      <c r="EV128" s="479">
        <f>'Hodnocení '!EV124</f>
        <v>0</v>
      </c>
      <c r="EW128" s="479">
        <f>'Hodnocení '!EW124</f>
        <v>0</v>
      </c>
      <c r="EX128" s="479">
        <f>'Hodnocení '!EX124</f>
        <v>0</v>
      </c>
      <c r="EY128" s="479">
        <f>'Hodnocení '!EY124</f>
        <v>0</v>
      </c>
      <c r="EZ128" s="479">
        <f>'Hodnocení '!EZ124</f>
        <v>0</v>
      </c>
      <c r="FA128" s="479">
        <f>'Hodnocení '!FA124</f>
        <v>0</v>
      </c>
      <c r="FB128" s="479">
        <f>'Hodnocení '!FB124</f>
        <v>0</v>
      </c>
      <c r="FC128" s="479">
        <f>'Hodnocení '!FC124</f>
        <v>0</v>
      </c>
      <c r="FD128" s="479">
        <f>'Hodnocení '!FD124</f>
        <v>0</v>
      </c>
      <c r="FE128" s="479">
        <f>'Hodnocení '!FE124</f>
        <v>0</v>
      </c>
      <c r="FF128" s="479">
        <f>'Hodnocení '!FF124</f>
        <v>0</v>
      </c>
      <c r="FG128" s="479">
        <f>'Hodnocení '!FG124</f>
        <v>0</v>
      </c>
      <c r="FH128" s="479">
        <f>'Hodnocení '!FH124</f>
        <v>0</v>
      </c>
      <c r="FI128" s="479">
        <f>'Hodnocení '!FI124</f>
        <v>0</v>
      </c>
      <c r="FJ128" s="479">
        <f>'Hodnocení '!FJ124</f>
        <v>0</v>
      </c>
      <c r="FK128" s="479">
        <f>'Hodnocení '!FK124</f>
        <v>0</v>
      </c>
      <c r="FL128" s="479">
        <f>'Hodnocení '!FL124</f>
        <v>0</v>
      </c>
      <c r="FM128" s="479">
        <f>'Hodnocení '!FM124</f>
        <v>0</v>
      </c>
      <c r="FN128" s="479">
        <f>'Hodnocení '!FN124</f>
        <v>0</v>
      </c>
      <c r="FO128" s="479">
        <f>'Hodnocení '!FO124</f>
        <v>0</v>
      </c>
      <c r="FP128" s="479">
        <f>'Hodnocení '!FP124</f>
        <v>0</v>
      </c>
      <c r="FQ128" s="479">
        <f>'Hodnocení '!FQ124</f>
        <v>0</v>
      </c>
      <c r="FR128" s="479">
        <f>'Hodnocení '!FR124</f>
        <v>0</v>
      </c>
      <c r="FS128" s="479">
        <f>'Hodnocení '!FS124</f>
        <v>0</v>
      </c>
      <c r="FT128" s="479">
        <f>'Hodnocení '!FT124</f>
        <v>0</v>
      </c>
      <c r="FU128" s="479">
        <f>'Hodnocení '!FU124</f>
        <v>0</v>
      </c>
      <c r="FV128" s="479">
        <f>'Hodnocení '!FV124</f>
        <v>0</v>
      </c>
      <c r="FW128" s="479">
        <f>'Hodnocení '!FW124</f>
        <v>0</v>
      </c>
      <c r="FX128" s="479">
        <f>'Hodnocení '!FX124</f>
        <v>0</v>
      </c>
      <c r="FY128" s="479">
        <f>'Hodnocení '!FY124</f>
        <v>0</v>
      </c>
      <c r="FZ128" s="479">
        <f>'Hodnocení '!FZ124</f>
        <v>0</v>
      </c>
      <c r="GA128" s="479">
        <f>'Hodnocení '!GA124</f>
        <v>0</v>
      </c>
      <c r="GB128" s="479">
        <f>'Hodnocení '!GB124</f>
        <v>0</v>
      </c>
      <c r="GC128" s="479">
        <f>'Hodnocení '!GC124</f>
        <v>0</v>
      </c>
      <c r="GD128" s="479">
        <f>'Hodnocení '!GD124</f>
        <v>0</v>
      </c>
      <c r="GE128" s="479">
        <f>'Hodnocení '!GE124</f>
        <v>0</v>
      </c>
      <c r="GF128" s="479">
        <f>'Hodnocení '!GF124</f>
        <v>0</v>
      </c>
      <c r="GG128" s="479">
        <f>'Hodnocení '!GG124</f>
        <v>0</v>
      </c>
      <c r="GH128" s="479">
        <f>'Hodnocení '!GH124</f>
        <v>0</v>
      </c>
      <c r="GI128" s="479">
        <f>'Hodnocení '!GI124</f>
        <v>0</v>
      </c>
      <c r="GJ128" s="479">
        <f>'Hodnocení '!GJ124</f>
        <v>0</v>
      </c>
      <c r="GK128" s="479">
        <f>'Hodnocení '!GK124</f>
        <v>0</v>
      </c>
      <c r="GL128" s="479">
        <f>'Hodnocení '!GL124</f>
        <v>0</v>
      </c>
      <c r="GM128" s="479">
        <f>'Hodnocení '!GM124</f>
        <v>0</v>
      </c>
      <c r="GN128" s="479">
        <f>'Hodnocení '!GN124</f>
        <v>0</v>
      </c>
      <c r="GO128" s="479">
        <f>'Hodnocení '!GO124</f>
        <v>0</v>
      </c>
      <c r="GP128" s="479">
        <f>'Hodnocení '!GP124</f>
        <v>0</v>
      </c>
      <c r="GQ128" s="479">
        <f>'Hodnocení '!GQ124</f>
        <v>0</v>
      </c>
      <c r="GR128" s="479">
        <f>'Hodnocení '!GR124</f>
        <v>0</v>
      </c>
      <c r="GS128" s="479">
        <f>'Hodnocení '!GS124</f>
        <v>0</v>
      </c>
      <c r="GT128" s="479">
        <f>'Hodnocení '!GT124</f>
        <v>0</v>
      </c>
      <c r="GU128" s="479">
        <f>'Hodnocení '!GU124</f>
        <v>0</v>
      </c>
      <c r="GV128" s="479">
        <f>'Hodnocení '!GV124</f>
        <v>0</v>
      </c>
      <c r="GW128" s="479">
        <f>'Hodnocení '!GW124</f>
        <v>0</v>
      </c>
      <c r="GX128" s="479">
        <f>'Hodnocení '!GX124</f>
        <v>0</v>
      </c>
      <c r="GY128" s="479">
        <f>'Hodnocení '!GY124</f>
        <v>0</v>
      </c>
      <c r="GZ128" s="479">
        <f>'Hodnocení '!GZ124</f>
        <v>0</v>
      </c>
      <c r="HA128" s="479">
        <f>'Hodnocení '!HA124</f>
        <v>0</v>
      </c>
      <c r="HB128" s="479">
        <f>'Hodnocení '!HB124</f>
        <v>0</v>
      </c>
      <c r="HC128" s="479">
        <f>'Hodnocení '!HC124</f>
        <v>0</v>
      </c>
      <c r="HD128" s="479">
        <f>'Hodnocení '!HD124</f>
        <v>0</v>
      </c>
      <c r="HE128" s="479">
        <f>'Hodnocení '!HE124</f>
        <v>0</v>
      </c>
      <c r="HF128" s="479">
        <f>'Hodnocení '!HF124</f>
        <v>0</v>
      </c>
      <c r="HG128" s="479">
        <f>'Hodnocení '!HG124</f>
        <v>0</v>
      </c>
      <c r="HH128" s="479">
        <f>'Hodnocení '!HH124</f>
        <v>0</v>
      </c>
      <c r="HI128" s="479">
        <f>'Hodnocení '!HI124</f>
        <v>0</v>
      </c>
      <c r="HJ128" s="479">
        <f>'Hodnocení '!HJ124</f>
        <v>0</v>
      </c>
      <c r="HK128" s="479">
        <f>'Hodnocení '!HK124</f>
        <v>0</v>
      </c>
      <c r="HL128" s="479">
        <f>'Hodnocení '!HL124</f>
        <v>0</v>
      </c>
      <c r="HM128" s="479">
        <f>'Hodnocení '!HM124</f>
        <v>0</v>
      </c>
      <c r="HN128" s="479">
        <f>'Hodnocení '!HN124</f>
        <v>0</v>
      </c>
      <c r="HO128" s="479">
        <f>'Hodnocení '!HO124</f>
        <v>0</v>
      </c>
      <c r="HP128" s="479">
        <f>'Hodnocení '!HP124</f>
        <v>0</v>
      </c>
      <c r="HQ128" s="479">
        <f>'Hodnocení '!HQ124</f>
        <v>0</v>
      </c>
      <c r="HR128" s="479">
        <f>'Hodnocení '!HR124</f>
        <v>0</v>
      </c>
      <c r="HS128" s="479">
        <f>'Hodnocení '!HS124</f>
        <v>0</v>
      </c>
      <c r="HT128" s="479">
        <f>'Hodnocení '!HT124</f>
        <v>0</v>
      </c>
      <c r="HU128" s="479">
        <f>'Hodnocení '!HU124</f>
        <v>0</v>
      </c>
      <c r="HV128" s="479">
        <f>'Hodnocení '!HV124</f>
        <v>0</v>
      </c>
      <c r="HW128" s="479">
        <f>'Hodnocení '!HW124</f>
        <v>0</v>
      </c>
      <c r="HX128" s="479">
        <f>'Hodnocení '!HX124</f>
        <v>0</v>
      </c>
      <c r="HY128" s="479">
        <f>'Hodnocení '!HY124</f>
        <v>0</v>
      </c>
      <c r="HZ128" s="479">
        <f>'Hodnocení '!HZ124</f>
        <v>0</v>
      </c>
      <c r="IA128" s="479">
        <f>'Hodnocení '!IA124</f>
        <v>0</v>
      </c>
      <c r="IB128" s="479">
        <f>'Hodnocení '!IB124</f>
        <v>0</v>
      </c>
      <c r="IC128" s="479">
        <f>'Hodnocení '!IC124</f>
        <v>0</v>
      </c>
      <c r="ID128" s="479">
        <f>'Hodnocení '!ID124</f>
        <v>0</v>
      </c>
      <c r="IE128" s="479">
        <f>'Hodnocení '!IE124</f>
        <v>0</v>
      </c>
      <c r="IF128" s="479">
        <f>'Hodnocení '!IF124</f>
        <v>0</v>
      </c>
      <c r="IG128" s="479">
        <f>'Hodnocení '!IG124</f>
        <v>0</v>
      </c>
      <c r="IH128" s="479">
        <f>'Hodnocení '!IH124</f>
        <v>0</v>
      </c>
      <c r="II128" s="479">
        <f>'Hodnocení '!II124</f>
        <v>0</v>
      </c>
      <c r="IJ128" s="479">
        <f>'Hodnocení '!IJ124</f>
        <v>0</v>
      </c>
      <c r="IK128" s="479">
        <f>'Hodnocení '!IK124</f>
        <v>0</v>
      </c>
      <c r="IL128" s="479">
        <f>'Hodnocení '!IL124</f>
        <v>0</v>
      </c>
      <c r="IM128" s="479">
        <f>'Hodnocení '!IM124</f>
        <v>0</v>
      </c>
      <c r="IN128" s="479">
        <f>'Hodnocení '!IN124</f>
        <v>0</v>
      </c>
      <c r="IO128" s="479">
        <f>'Hodnocení '!IO124</f>
        <v>0</v>
      </c>
      <c r="IP128" s="479">
        <f>'Hodnocení '!IP124</f>
        <v>0</v>
      </c>
      <c r="IQ128" s="479">
        <f>'Hodnocení '!IQ124</f>
        <v>0</v>
      </c>
      <c r="IR128" s="479">
        <f>'Hodnocení '!IR124</f>
        <v>0</v>
      </c>
      <c r="IS128" s="479">
        <f>'Hodnocení '!IS124</f>
        <v>0</v>
      </c>
      <c r="IT128" s="479">
        <f>'Hodnocení '!IT124</f>
        <v>0</v>
      </c>
      <c r="IU128" s="479">
        <f>'Hodnocení '!IU124</f>
        <v>0</v>
      </c>
      <c r="IV128" s="479">
        <f>'Hodnocení '!IV124</f>
        <v>0</v>
      </c>
      <c r="IW128" s="479">
        <f>'Hodnocení '!IW124</f>
        <v>0</v>
      </c>
      <c r="IX128" s="479">
        <f>'Hodnocení '!IX124</f>
        <v>0</v>
      </c>
      <c r="IY128" s="479">
        <f>'Hodnocení '!IY124</f>
        <v>0</v>
      </c>
      <c r="IZ128" s="479">
        <f>'Hodnocení '!IZ124</f>
        <v>0</v>
      </c>
      <c r="JA128" s="479">
        <f>'Hodnocení '!JA124</f>
        <v>0</v>
      </c>
      <c r="JB128" s="479">
        <f>'Hodnocení '!JB124</f>
        <v>0</v>
      </c>
      <c r="JC128" s="479">
        <f>'Hodnocení '!JC124</f>
        <v>0</v>
      </c>
      <c r="JD128" s="479">
        <f>'Hodnocení '!JD124</f>
        <v>0</v>
      </c>
      <c r="JE128" s="479">
        <f>'Hodnocení '!JE124</f>
        <v>0</v>
      </c>
      <c r="JF128" s="479">
        <f>'Hodnocení '!JF124</f>
        <v>0</v>
      </c>
      <c r="JG128" s="479">
        <f>'Hodnocení '!JG124</f>
        <v>0</v>
      </c>
      <c r="JH128" s="780">
        <f>'Hodnocení '!JH124</f>
        <v>0</v>
      </c>
      <c r="JI128" s="470">
        <f>'Hodnocení '!JI124</f>
        <v>6364865.6600000001</v>
      </c>
      <c r="JL128" s="307">
        <f t="shared" si="69"/>
        <v>0</v>
      </c>
      <c r="JM128" s="307">
        <f t="shared" si="69"/>
        <v>2814865.66</v>
      </c>
      <c r="JN128" s="307">
        <f t="shared" si="69"/>
        <v>3550000</v>
      </c>
      <c r="JO128" s="307">
        <f t="shared" si="69"/>
        <v>0</v>
      </c>
      <c r="JP128" s="307">
        <f t="shared" si="70"/>
        <v>6364865.6600000001</v>
      </c>
    </row>
    <row r="129" spans="1:276" s="307" customFormat="1" hidden="1" x14ac:dyDescent="0.25">
      <c r="A129" s="314"/>
      <c r="B129" s="743" t="s">
        <v>1763</v>
      </c>
      <c r="C129" s="779">
        <f>'Hodnocení '!C125</f>
        <v>0</v>
      </c>
      <c r="D129" s="479">
        <f>'Hodnocení '!D125</f>
        <v>0</v>
      </c>
      <c r="E129" s="479">
        <f>'Hodnocení '!E125</f>
        <v>0</v>
      </c>
      <c r="F129" s="479">
        <f>'Hodnocení '!F125</f>
        <v>8000</v>
      </c>
      <c r="G129" s="479">
        <f>'Hodnocení '!G125</f>
        <v>19000</v>
      </c>
      <c r="H129" s="479">
        <f>'Hodnocení '!H125</f>
        <v>0</v>
      </c>
      <c r="I129" s="479">
        <f>'Hodnocení '!I125</f>
        <v>5000</v>
      </c>
      <c r="J129" s="479">
        <f>'Hodnocení '!J125</f>
        <v>0</v>
      </c>
      <c r="K129" s="479">
        <f>'Hodnocení '!K125</f>
        <v>0</v>
      </c>
      <c r="L129" s="479">
        <f>'Hodnocení '!L125</f>
        <v>175000</v>
      </c>
      <c r="M129" s="479">
        <f>'Hodnocení '!M125</f>
        <v>177000</v>
      </c>
      <c r="N129" s="479">
        <f>'Hodnocení '!N125</f>
        <v>10650</v>
      </c>
      <c r="O129" s="479">
        <f>'Hodnocení '!O125</f>
        <v>80000</v>
      </c>
      <c r="P129" s="479">
        <f>'Hodnocení '!P125</f>
        <v>0</v>
      </c>
      <c r="Q129" s="479">
        <f>'Hodnocení '!Q125</f>
        <v>104970</v>
      </c>
      <c r="R129" s="479">
        <f>'Hodnocení '!R125</f>
        <v>38293.1</v>
      </c>
      <c r="S129" s="479">
        <f>'Hodnocení '!S125</f>
        <v>33512.800000000003</v>
      </c>
      <c r="T129" s="479">
        <f>'Hodnocení '!T125</f>
        <v>45063</v>
      </c>
      <c r="U129" s="479">
        <f>'Hodnocení '!U125</f>
        <v>0</v>
      </c>
      <c r="V129" s="479">
        <f>'Hodnocení '!V125</f>
        <v>0</v>
      </c>
      <c r="W129" s="479">
        <f>'Hodnocení '!W125</f>
        <v>0</v>
      </c>
      <c r="X129" s="479">
        <f>'Hodnocení '!X125</f>
        <v>0</v>
      </c>
      <c r="Y129" s="479">
        <f>'Hodnocení '!Y125</f>
        <v>120000</v>
      </c>
      <c r="Z129" s="479">
        <f>'Hodnocení '!Z125</f>
        <v>118000</v>
      </c>
      <c r="AA129" s="479">
        <f>'Hodnocení '!AA125</f>
        <v>0</v>
      </c>
      <c r="AB129" s="479">
        <f>'Hodnocení '!AB125</f>
        <v>130000</v>
      </c>
      <c r="AC129" s="479">
        <f>'Hodnocení '!AC125</f>
        <v>148000</v>
      </c>
      <c r="AD129" s="479">
        <f>'Hodnocení '!AD125</f>
        <v>144000</v>
      </c>
      <c r="AE129" s="479">
        <f>'Hodnocení '!AE125</f>
        <v>5000</v>
      </c>
      <c r="AF129" s="479">
        <f>'Hodnocení '!AF125</f>
        <v>0</v>
      </c>
      <c r="AG129" s="479">
        <f>'Hodnocení '!AG125</f>
        <v>222000</v>
      </c>
      <c r="AH129" s="479">
        <f>'Hodnocení '!AH125</f>
        <v>55495</v>
      </c>
      <c r="AI129" s="479">
        <f>'Hodnocení '!AI125</f>
        <v>106000</v>
      </c>
      <c r="AJ129" s="479">
        <f>'Hodnocení '!AJ125</f>
        <v>109000</v>
      </c>
      <c r="AK129" s="479">
        <f>'Hodnocení '!AK125</f>
        <v>120985</v>
      </c>
      <c r="AL129" s="479">
        <f>'Hodnocení '!AL125</f>
        <v>0</v>
      </c>
      <c r="AM129" s="479">
        <f>'Hodnocení '!AM125</f>
        <v>32951</v>
      </c>
      <c r="AN129" s="479">
        <f>'Hodnocení '!AN125</f>
        <v>0</v>
      </c>
      <c r="AO129" s="479">
        <f>'Hodnocení '!AO125</f>
        <v>0</v>
      </c>
      <c r="AP129" s="479">
        <f>'Hodnocení '!AP125</f>
        <v>178955</v>
      </c>
      <c r="AQ129" s="479">
        <f>'Hodnocení '!AQ125</f>
        <v>62000</v>
      </c>
      <c r="AR129" s="479">
        <f>'Hodnocení '!AR125</f>
        <v>190000</v>
      </c>
      <c r="AS129" s="479">
        <f>'Hodnocení '!AS125</f>
        <v>60000</v>
      </c>
      <c r="AT129" s="479">
        <f>'Hodnocení '!AT125</f>
        <v>220000</v>
      </c>
      <c r="AU129" s="479">
        <f>'Hodnocení '!AU125</f>
        <v>142000</v>
      </c>
      <c r="AV129" s="479">
        <f>'Hodnocení '!AV125</f>
        <v>195000</v>
      </c>
      <c r="AW129" s="479">
        <f>'Hodnocení '!AW125</f>
        <v>135000</v>
      </c>
      <c r="AX129" s="479">
        <f>'Hodnocení '!AX125</f>
        <v>172190</v>
      </c>
      <c r="AY129" s="479">
        <f>'Hodnocení '!AY125</f>
        <v>186059</v>
      </c>
      <c r="AZ129" s="479">
        <f>'Hodnocení '!AZ125</f>
        <v>145000</v>
      </c>
      <c r="BA129" s="479">
        <f>'Hodnocení '!BA125</f>
        <v>0</v>
      </c>
      <c r="BB129" s="479">
        <f>'Hodnocení '!BB125</f>
        <v>0</v>
      </c>
      <c r="BC129" s="479">
        <f>'Hodnocení '!BC125</f>
        <v>0</v>
      </c>
      <c r="BD129" s="479">
        <f>'Hodnocení '!BD125</f>
        <v>112000</v>
      </c>
      <c r="BE129" s="479">
        <f>'Hodnocení '!BE125</f>
        <v>113000</v>
      </c>
      <c r="BF129" s="479">
        <f>'Hodnocení '!BF125</f>
        <v>907190</v>
      </c>
      <c r="BG129" s="479">
        <f>'Hodnocení '!BG125</f>
        <v>715000</v>
      </c>
      <c r="BH129" s="479">
        <f>'Hodnocení '!BH125</f>
        <v>902948</v>
      </c>
      <c r="BI129" s="479">
        <f>'Hodnocení '!BI125</f>
        <v>0</v>
      </c>
      <c r="BJ129" s="479">
        <f>'Hodnocení '!BJ125</f>
        <v>0</v>
      </c>
      <c r="BK129" s="479">
        <f>'Hodnocení '!BK125</f>
        <v>0</v>
      </c>
      <c r="BL129" s="479">
        <f>'Hodnocení '!BL125</f>
        <v>0</v>
      </c>
      <c r="BM129" s="479">
        <f>'Hodnocení '!BM125</f>
        <v>856252</v>
      </c>
      <c r="BN129" s="479">
        <f>'Hodnocení '!BN125</f>
        <v>0</v>
      </c>
      <c r="BO129" s="479">
        <f>'Hodnocení '!BO125</f>
        <v>0</v>
      </c>
      <c r="BP129" s="479">
        <f>'Hodnocení '!BP125</f>
        <v>458716</v>
      </c>
      <c r="BQ129" s="479">
        <f>'Hodnocení '!BQ125</f>
        <v>0</v>
      </c>
      <c r="BR129" s="479">
        <f>'Hodnocení '!BR125</f>
        <v>65000</v>
      </c>
      <c r="BS129" s="479">
        <f>'Hodnocení '!BS125</f>
        <v>100000</v>
      </c>
      <c r="BT129" s="479">
        <f>'Hodnocení '!BT125</f>
        <v>79000</v>
      </c>
      <c r="BU129" s="479">
        <f>'Hodnocení '!BU125</f>
        <v>0</v>
      </c>
      <c r="BV129" s="479">
        <f>'Hodnocení '!BV125</f>
        <v>0</v>
      </c>
      <c r="BW129" s="479">
        <f>'Hodnocení '!BW125</f>
        <v>0</v>
      </c>
      <c r="BX129" s="479">
        <f>'Hodnocení '!BX125</f>
        <v>156971</v>
      </c>
      <c r="BY129" s="479">
        <f>'Hodnocení '!BY125</f>
        <v>101000</v>
      </c>
      <c r="BZ129" s="479">
        <f>'Hodnocení '!BZ125</f>
        <v>36000</v>
      </c>
      <c r="CA129" s="479">
        <f>'Hodnocení '!CA125</f>
        <v>0</v>
      </c>
      <c r="CB129" s="479">
        <f>'Hodnocení '!CB125</f>
        <v>0</v>
      </c>
      <c r="CC129" s="479">
        <f>'Hodnocení '!CC125</f>
        <v>104236</v>
      </c>
      <c r="CD129" s="479">
        <f>'Hodnocení '!CD125</f>
        <v>26000</v>
      </c>
      <c r="CE129" s="479">
        <f>'Hodnocení '!CE125</f>
        <v>243056</v>
      </c>
      <c r="CF129" s="479">
        <f>'Hodnocení '!CF125</f>
        <v>77951</v>
      </c>
      <c r="CG129" s="479">
        <f>'Hodnocení '!CG125</f>
        <v>249880</v>
      </c>
      <c r="CH129" s="479">
        <f>'Hodnocení '!CH125</f>
        <v>71641</v>
      </c>
      <c r="CI129" s="479">
        <f>'Hodnocení '!CI125</f>
        <v>85084</v>
      </c>
      <c r="CJ129" s="479">
        <f>'Hodnocení '!CJ125</f>
        <v>31241</v>
      </c>
      <c r="CK129" s="479">
        <f>'Hodnocení '!CK125</f>
        <v>29899</v>
      </c>
      <c r="CL129" s="479">
        <f>'Hodnocení '!CL125</f>
        <v>54461</v>
      </c>
      <c r="CM129" s="479">
        <f>'Hodnocení '!CM125</f>
        <v>0</v>
      </c>
      <c r="CN129" s="479">
        <f>'Hodnocení '!CN125</f>
        <v>52605.14</v>
      </c>
      <c r="CO129" s="479">
        <f>'Hodnocení '!CO125</f>
        <v>0</v>
      </c>
      <c r="CP129" s="479">
        <f>'Hodnocení '!CP125</f>
        <v>55825.46</v>
      </c>
      <c r="CQ129" s="479">
        <f>'Hodnocení '!CQ125</f>
        <v>0</v>
      </c>
      <c r="CR129" s="479">
        <f>'Hodnocení '!CR125</f>
        <v>0</v>
      </c>
      <c r="CS129" s="479">
        <f>'Hodnocení '!CS125</f>
        <v>0</v>
      </c>
      <c r="CT129" s="479">
        <f>'Hodnocení '!CT125</f>
        <v>0</v>
      </c>
      <c r="CU129" s="479">
        <f>'Hodnocení '!CU125</f>
        <v>0</v>
      </c>
      <c r="CV129" s="479">
        <f>'Hodnocení '!CV125</f>
        <v>0</v>
      </c>
      <c r="CW129" s="479">
        <f>'Hodnocení '!CW125</f>
        <v>0</v>
      </c>
      <c r="CX129" s="479">
        <f>'Hodnocení '!CX125</f>
        <v>0</v>
      </c>
      <c r="CY129" s="479">
        <f>'Hodnocení '!CY125</f>
        <v>0</v>
      </c>
      <c r="CZ129" s="479">
        <f>'Hodnocení '!CZ125</f>
        <v>0</v>
      </c>
      <c r="DA129" s="479">
        <f>'Hodnocení '!DA125</f>
        <v>0</v>
      </c>
      <c r="DB129" s="479">
        <f>'Hodnocení '!DB125</f>
        <v>0</v>
      </c>
      <c r="DC129" s="479">
        <f>'Hodnocení '!DC125</f>
        <v>0</v>
      </c>
      <c r="DD129" s="479">
        <f>'Hodnocení '!DD125</f>
        <v>173277</v>
      </c>
      <c r="DE129" s="479">
        <f>'Hodnocení '!DE125</f>
        <v>282627</v>
      </c>
      <c r="DF129" s="479">
        <f>'Hodnocení '!DF125</f>
        <v>4981066</v>
      </c>
      <c r="DG129" s="479">
        <f>'Hodnocení '!DG125</f>
        <v>0</v>
      </c>
      <c r="DH129" s="479">
        <f>'Hodnocení '!DH125</f>
        <v>3370.46</v>
      </c>
      <c r="DI129" s="479">
        <f>'Hodnocení '!DI125</f>
        <v>54259.41</v>
      </c>
      <c r="DJ129" s="479">
        <f>'Hodnocení '!DJ125</f>
        <v>113528.74</v>
      </c>
      <c r="DK129" s="479">
        <f>'Hodnocení '!DK125</f>
        <v>27499.39</v>
      </c>
      <c r="DL129" s="479">
        <f>'Hodnocení '!DL125</f>
        <v>0</v>
      </c>
      <c r="DM129" s="479">
        <f>'Hodnocení '!DM125</f>
        <v>0</v>
      </c>
      <c r="DN129" s="479">
        <f>'Hodnocení '!DN125</f>
        <v>130000</v>
      </c>
      <c r="DO129" s="479">
        <f>'Hodnocení '!DO125</f>
        <v>0</v>
      </c>
      <c r="DP129" s="479">
        <f>'Hodnocení '!DP125</f>
        <v>136446.78</v>
      </c>
      <c r="DQ129" s="479">
        <f>'Hodnocení '!DQ125</f>
        <v>0</v>
      </c>
      <c r="DR129" s="479">
        <f>'Hodnocení '!DR125</f>
        <v>0</v>
      </c>
      <c r="DS129" s="479">
        <f>'Hodnocení '!DS125</f>
        <v>0</v>
      </c>
      <c r="DT129" s="479">
        <f>'Hodnocení '!DT125</f>
        <v>0</v>
      </c>
      <c r="DU129" s="479">
        <f>'Hodnocení '!DU125</f>
        <v>0</v>
      </c>
      <c r="DV129" s="479">
        <f>'Hodnocení '!DV125</f>
        <v>2200000</v>
      </c>
      <c r="DW129" s="479">
        <f>'Hodnocení '!DW125</f>
        <v>0</v>
      </c>
      <c r="DX129" s="479">
        <f>'Hodnocení '!DX125</f>
        <v>0</v>
      </c>
      <c r="DY129" s="479">
        <f>'Hodnocení '!DY125</f>
        <v>158000</v>
      </c>
      <c r="DZ129" s="479">
        <f>'Hodnocení '!DZ125</f>
        <v>0</v>
      </c>
      <c r="EA129" s="479">
        <f>'Hodnocení '!EA125</f>
        <v>171000</v>
      </c>
      <c r="EB129" s="479">
        <f>'Hodnocení '!EB125</f>
        <v>0</v>
      </c>
      <c r="EC129" s="479">
        <f>'Hodnocení '!EC125</f>
        <v>108000</v>
      </c>
      <c r="ED129" s="479">
        <f>'Hodnocení '!ED125</f>
        <v>0</v>
      </c>
      <c r="EE129" s="479">
        <f>'Hodnocení '!EE125</f>
        <v>0</v>
      </c>
      <c r="EF129" s="479">
        <f>'Hodnocení '!EF125</f>
        <v>28601.59</v>
      </c>
      <c r="EG129" s="479">
        <f>'Hodnocení '!EG125</f>
        <v>21070.99</v>
      </c>
      <c r="EH129" s="479">
        <f>'Hodnocení '!EH125</f>
        <v>22000</v>
      </c>
      <c r="EI129" s="479">
        <f>'Hodnocení '!EI125</f>
        <v>51000</v>
      </c>
      <c r="EJ129" s="479">
        <f>'Hodnocení '!EJ125</f>
        <v>76137.16</v>
      </c>
      <c r="EK129" s="479">
        <f>'Hodnocení '!EK125</f>
        <v>276000</v>
      </c>
      <c r="EL129" s="479">
        <f>'Hodnocení '!EL125</f>
        <v>651000</v>
      </c>
      <c r="EM129" s="479">
        <f>'Hodnocení '!EM125</f>
        <v>210000</v>
      </c>
      <c r="EN129" s="479">
        <f>'Hodnocení '!EN125</f>
        <v>0</v>
      </c>
      <c r="EO129" s="479">
        <f>'Hodnocení '!EO125</f>
        <v>0</v>
      </c>
      <c r="EP129" s="479">
        <f>'Hodnocení '!EP125</f>
        <v>0</v>
      </c>
      <c r="EQ129" s="479">
        <f>'Hodnocení '!EQ125</f>
        <v>13000</v>
      </c>
      <c r="ER129" s="479">
        <f>'Hodnocení '!ER125</f>
        <v>0</v>
      </c>
      <c r="ES129" s="479">
        <f>'Hodnocení '!ES125</f>
        <v>0</v>
      </c>
      <c r="ET129" s="479">
        <f>'Hodnocení '!ET125</f>
        <v>0</v>
      </c>
      <c r="EU129" s="479">
        <f>'Hodnocení '!EU125</f>
        <v>3550000</v>
      </c>
      <c r="EV129" s="479">
        <f>'Hodnocení '!EV125</f>
        <v>0</v>
      </c>
      <c r="EW129" s="479">
        <f>'Hodnocení '!EW125</f>
        <v>0</v>
      </c>
      <c r="EX129" s="479">
        <f>'Hodnocení '!EX125</f>
        <v>0</v>
      </c>
      <c r="EY129" s="479">
        <f>'Hodnocení '!EY125</f>
        <v>0</v>
      </c>
      <c r="EZ129" s="479">
        <f>'Hodnocení '!EZ125</f>
        <v>0</v>
      </c>
      <c r="FA129" s="479">
        <f>'Hodnocení '!FA125</f>
        <v>0</v>
      </c>
      <c r="FB129" s="479">
        <f>'Hodnocení '!FB125</f>
        <v>0</v>
      </c>
      <c r="FC129" s="479">
        <f>'Hodnocení '!FC125</f>
        <v>0</v>
      </c>
      <c r="FD129" s="479">
        <f>'Hodnocení '!FD125</f>
        <v>0</v>
      </c>
      <c r="FE129" s="479">
        <f>'Hodnocení '!FE125</f>
        <v>0</v>
      </c>
      <c r="FF129" s="479">
        <f>'Hodnocení '!FF125</f>
        <v>0</v>
      </c>
      <c r="FG129" s="479">
        <f>'Hodnocení '!FG125</f>
        <v>0</v>
      </c>
      <c r="FH129" s="479">
        <f>'Hodnocení '!FH125</f>
        <v>0</v>
      </c>
      <c r="FI129" s="479">
        <f>'Hodnocení '!FI125</f>
        <v>0</v>
      </c>
      <c r="FJ129" s="479">
        <f>'Hodnocení '!FJ125</f>
        <v>0</v>
      </c>
      <c r="FK129" s="479">
        <f>'Hodnocení '!FK125</f>
        <v>0</v>
      </c>
      <c r="FL129" s="479">
        <f>'Hodnocení '!FL125</f>
        <v>0</v>
      </c>
      <c r="FM129" s="479">
        <f>'Hodnocení '!FM125</f>
        <v>0</v>
      </c>
      <c r="FN129" s="479">
        <f>'Hodnocení '!FN125</f>
        <v>0</v>
      </c>
      <c r="FO129" s="479">
        <f>'Hodnocení '!FO125</f>
        <v>0</v>
      </c>
      <c r="FP129" s="479">
        <f>'Hodnocení '!FP125</f>
        <v>0</v>
      </c>
      <c r="FQ129" s="479">
        <f>'Hodnocení '!FQ125</f>
        <v>0</v>
      </c>
      <c r="FR129" s="479">
        <f>'Hodnocení '!FR125</f>
        <v>0</v>
      </c>
      <c r="FS129" s="479">
        <f>'Hodnocení '!FS125</f>
        <v>0</v>
      </c>
      <c r="FT129" s="479">
        <f>'Hodnocení '!FT125</f>
        <v>0</v>
      </c>
      <c r="FU129" s="479">
        <f>'Hodnocení '!FU125</f>
        <v>0</v>
      </c>
      <c r="FV129" s="479">
        <f>'Hodnocení '!FV125</f>
        <v>0</v>
      </c>
      <c r="FW129" s="479">
        <f>'Hodnocení '!FW125</f>
        <v>0</v>
      </c>
      <c r="FX129" s="479">
        <f>'Hodnocení '!FX125</f>
        <v>0</v>
      </c>
      <c r="FY129" s="479">
        <f>'Hodnocení '!FY125</f>
        <v>0</v>
      </c>
      <c r="FZ129" s="479">
        <f>'Hodnocení '!FZ125</f>
        <v>0</v>
      </c>
      <c r="GA129" s="479">
        <f>'Hodnocení '!GA125</f>
        <v>0</v>
      </c>
      <c r="GB129" s="479">
        <f>'Hodnocení '!GB125</f>
        <v>0</v>
      </c>
      <c r="GC129" s="479">
        <f>'Hodnocení '!GC125</f>
        <v>0</v>
      </c>
      <c r="GD129" s="479">
        <f>'Hodnocení '!GD125</f>
        <v>0</v>
      </c>
      <c r="GE129" s="479">
        <f>'Hodnocení '!GE125</f>
        <v>0</v>
      </c>
      <c r="GF129" s="479">
        <f>'Hodnocení '!GF125</f>
        <v>0</v>
      </c>
      <c r="GG129" s="479">
        <f>'Hodnocení '!GG125</f>
        <v>0</v>
      </c>
      <c r="GH129" s="479">
        <f>'Hodnocení '!GH125</f>
        <v>0</v>
      </c>
      <c r="GI129" s="479">
        <f>'Hodnocení '!GI125</f>
        <v>0</v>
      </c>
      <c r="GJ129" s="479">
        <f>'Hodnocení '!GJ125</f>
        <v>0</v>
      </c>
      <c r="GK129" s="479">
        <f>'Hodnocení '!GK125</f>
        <v>472000</v>
      </c>
      <c r="GL129" s="479">
        <f>'Hodnocení '!GL125</f>
        <v>0</v>
      </c>
      <c r="GM129" s="479">
        <f>'Hodnocení '!GM125</f>
        <v>0</v>
      </c>
      <c r="GN129" s="479">
        <f>'Hodnocení '!GN125</f>
        <v>0</v>
      </c>
      <c r="GO129" s="479">
        <f>'Hodnocení '!GO125</f>
        <v>0</v>
      </c>
      <c r="GP129" s="479">
        <f>'Hodnocení '!GP125</f>
        <v>0</v>
      </c>
      <c r="GQ129" s="479">
        <f>'Hodnocení '!GQ125</f>
        <v>0</v>
      </c>
      <c r="GR129" s="479">
        <f>'Hodnocení '!GR125</f>
        <v>0</v>
      </c>
      <c r="GS129" s="479">
        <f>'Hodnocení '!GS125</f>
        <v>0</v>
      </c>
      <c r="GT129" s="479">
        <f>'Hodnocení '!GT125</f>
        <v>0</v>
      </c>
      <c r="GU129" s="479">
        <f>'Hodnocení '!GU125</f>
        <v>0</v>
      </c>
      <c r="GV129" s="479">
        <f>'Hodnocení '!GV125</f>
        <v>0</v>
      </c>
      <c r="GW129" s="479">
        <f>'Hodnocení '!GW125</f>
        <v>0</v>
      </c>
      <c r="GX129" s="479">
        <f>'Hodnocení '!GX125</f>
        <v>0</v>
      </c>
      <c r="GY129" s="479">
        <f>'Hodnocení '!GY125</f>
        <v>0</v>
      </c>
      <c r="GZ129" s="479">
        <f>'Hodnocení '!GZ125</f>
        <v>0</v>
      </c>
      <c r="HA129" s="479">
        <f>'Hodnocení '!HA125</f>
        <v>0</v>
      </c>
      <c r="HB129" s="479">
        <f>'Hodnocení '!HB125</f>
        <v>0</v>
      </c>
      <c r="HC129" s="479">
        <f>'Hodnocení '!HC125</f>
        <v>0</v>
      </c>
      <c r="HD129" s="479">
        <f>'Hodnocení '!HD125</f>
        <v>200000</v>
      </c>
      <c r="HE129" s="479">
        <f>'Hodnocení '!HE125</f>
        <v>200000</v>
      </c>
      <c r="HF129" s="479">
        <f>'Hodnocení '!HF125</f>
        <v>0</v>
      </c>
      <c r="HG129" s="479">
        <f>'Hodnocení '!HG125</f>
        <v>0</v>
      </c>
      <c r="HH129" s="479">
        <f>'Hodnocení '!HH125</f>
        <v>0</v>
      </c>
      <c r="HI129" s="479">
        <f>'Hodnocení '!HI125</f>
        <v>0</v>
      </c>
      <c r="HJ129" s="479">
        <f>'Hodnocení '!HJ125</f>
        <v>0</v>
      </c>
      <c r="HK129" s="479">
        <f>'Hodnocení '!HK125</f>
        <v>0</v>
      </c>
      <c r="HL129" s="479">
        <f>'Hodnocení '!HL125</f>
        <v>0</v>
      </c>
      <c r="HM129" s="479">
        <f>'Hodnocení '!HM125</f>
        <v>0</v>
      </c>
      <c r="HN129" s="479">
        <f>'Hodnocení '!HN125</f>
        <v>0</v>
      </c>
      <c r="HO129" s="479">
        <f>'Hodnocení '!HO125</f>
        <v>0</v>
      </c>
      <c r="HP129" s="479">
        <f>'Hodnocení '!HP125</f>
        <v>989703</v>
      </c>
      <c r="HQ129" s="479">
        <f>'Hodnocení '!HQ125</f>
        <v>0</v>
      </c>
      <c r="HR129" s="479">
        <f>'Hodnocení '!HR125</f>
        <v>0</v>
      </c>
      <c r="HS129" s="479">
        <f>'Hodnocení '!HS125</f>
        <v>0</v>
      </c>
      <c r="HT129" s="479">
        <f>'Hodnocení '!HT125</f>
        <v>0</v>
      </c>
      <c r="HU129" s="479">
        <f>'Hodnocení '!HU125</f>
        <v>0</v>
      </c>
      <c r="HV129" s="479">
        <f>'Hodnocení '!HV125</f>
        <v>0</v>
      </c>
      <c r="HW129" s="479">
        <f>'Hodnocení '!HW125</f>
        <v>0</v>
      </c>
      <c r="HX129" s="479">
        <f>'Hodnocení '!HX125</f>
        <v>0</v>
      </c>
      <c r="HY129" s="479">
        <f>'Hodnocení '!HY125</f>
        <v>0</v>
      </c>
      <c r="HZ129" s="479">
        <f>'Hodnocení '!HZ125</f>
        <v>0</v>
      </c>
      <c r="IA129" s="479">
        <f>'Hodnocení '!IA125</f>
        <v>0</v>
      </c>
      <c r="IB129" s="479">
        <f>'Hodnocení '!IB125</f>
        <v>0</v>
      </c>
      <c r="IC129" s="479">
        <f>'Hodnocení '!IC125</f>
        <v>0</v>
      </c>
      <c r="ID129" s="479">
        <f>'Hodnocení '!ID125</f>
        <v>0</v>
      </c>
      <c r="IE129" s="479">
        <f>'Hodnocení '!IE125</f>
        <v>0</v>
      </c>
      <c r="IF129" s="479">
        <f>'Hodnocení '!IF125</f>
        <v>0</v>
      </c>
      <c r="IG129" s="479">
        <f>'Hodnocení '!IG125</f>
        <v>0</v>
      </c>
      <c r="IH129" s="479">
        <f>'Hodnocení '!IH125</f>
        <v>228390</v>
      </c>
      <c r="II129" s="479">
        <f>'Hodnocení '!II125</f>
        <v>1213478</v>
      </c>
      <c r="IJ129" s="479">
        <f>'Hodnocení '!IJ125</f>
        <v>112716</v>
      </c>
      <c r="IK129" s="479">
        <f>'Hodnocení '!IK125</f>
        <v>202466</v>
      </c>
      <c r="IL129" s="479">
        <f>'Hodnocení '!IL125</f>
        <v>0</v>
      </c>
      <c r="IM129" s="479">
        <f>'Hodnocení '!IM125</f>
        <v>0</v>
      </c>
      <c r="IN129" s="479">
        <f>'Hodnocení '!IN125</f>
        <v>0</v>
      </c>
      <c r="IO129" s="479">
        <f>'Hodnocení '!IO125</f>
        <v>0</v>
      </c>
      <c r="IP129" s="479">
        <f>'Hodnocení '!IP125</f>
        <v>0</v>
      </c>
      <c r="IQ129" s="479">
        <f>'Hodnocení '!IQ125</f>
        <v>0</v>
      </c>
      <c r="IR129" s="479">
        <f>'Hodnocení '!IR125</f>
        <v>0</v>
      </c>
      <c r="IS129" s="479">
        <f>'Hodnocení '!IS125</f>
        <v>0</v>
      </c>
      <c r="IT129" s="479">
        <f>'Hodnocení '!IT125</f>
        <v>0</v>
      </c>
      <c r="IU129" s="479">
        <f>'Hodnocení '!IU125</f>
        <v>0</v>
      </c>
      <c r="IV129" s="479">
        <f>'Hodnocení '!IV125</f>
        <v>0</v>
      </c>
      <c r="IW129" s="479">
        <f>'Hodnocení '!IW125</f>
        <v>0</v>
      </c>
      <c r="IX129" s="479">
        <f>'Hodnocení '!IX125</f>
        <v>0</v>
      </c>
      <c r="IY129" s="479">
        <f>'Hodnocení '!IY125</f>
        <v>0</v>
      </c>
      <c r="IZ129" s="479">
        <f>'Hodnocení '!IZ125</f>
        <v>0</v>
      </c>
      <c r="JA129" s="479">
        <f>'Hodnocení '!JA125</f>
        <v>0</v>
      </c>
      <c r="JB129" s="479">
        <f>'Hodnocení '!JB125</f>
        <v>280000</v>
      </c>
      <c r="JC129" s="479">
        <f>'Hodnocení '!JC125</f>
        <v>0</v>
      </c>
      <c r="JD129" s="479">
        <f>'Hodnocení '!JD125</f>
        <v>1500000</v>
      </c>
      <c r="JE129" s="479">
        <f>'Hodnocení '!JE125</f>
        <v>0</v>
      </c>
      <c r="JF129" s="479">
        <f>'Hodnocení '!JF125</f>
        <v>0</v>
      </c>
      <c r="JG129" s="479">
        <f>'Hodnocení '!JG125</f>
        <v>0</v>
      </c>
      <c r="JH129" s="780">
        <f>'Hodnocení '!JH125</f>
        <v>0</v>
      </c>
      <c r="JI129" s="470">
        <f>'Hodnocení '!JI125</f>
        <v>28215718.02</v>
      </c>
      <c r="JL129" s="307">
        <f t="shared" si="69"/>
        <v>0</v>
      </c>
      <c r="JM129" s="307">
        <f t="shared" si="69"/>
        <v>19266965.02</v>
      </c>
      <c r="JN129" s="307">
        <f t="shared" si="69"/>
        <v>4422000</v>
      </c>
      <c r="JO129" s="307">
        <f t="shared" si="69"/>
        <v>4526753</v>
      </c>
      <c r="JP129" s="307">
        <f t="shared" si="70"/>
        <v>28215718.02</v>
      </c>
    </row>
    <row r="130" spans="1:276" hidden="1" x14ac:dyDescent="0.25">
      <c r="B130" s="733"/>
      <c r="C130" s="360">
        <f>'Hodnocení '!C126</f>
        <v>0</v>
      </c>
      <c r="D130" s="357">
        <f>'Hodnocení '!D126</f>
        <v>0</v>
      </c>
      <c r="E130" s="357">
        <f>'Hodnocení '!E126</f>
        <v>0</v>
      </c>
      <c r="F130" s="357">
        <f>'Hodnocení '!F126</f>
        <v>0</v>
      </c>
      <c r="G130" s="357">
        <f>'Hodnocení '!G126</f>
        <v>0</v>
      </c>
      <c r="H130" s="357">
        <f>'Hodnocení '!H126</f>
        <v>0</v>
      </c>
      <c r="I130" s="357">
        <f>'Hodnocení '!I126</f>
        <v>0</v>
      </c>
      <c r="J130" s="357">
        <f>'Hodnocení '!J126</f>
        <v>0</v>
      </c>
      <c r="K130" s="357">
        <f>'Hodnocení '!K126</f>
        <v>0</v>
      </c>
      <c r="L130" s="357">
        <f>'Hodnocení '!L126</f>
        <v>0</v>
      </c>
      <c r="M130" s="357">
        <f>'Hodnocení '!M126</f>
        <v>0</v>
      </c>
      <c r="N130" s="357">
        <f>'Hodnocení '!N126</f>
        <v>0</v>
      </c>
      <c r="O130" s="357">
        <f>'Hodnocení '!O126</f>
        <v>0</v>
      </c>
      <c r="P130" s="357">
        <f>'Hodnocení '!P126</f>
        <v>0</v>
      </c>
      <c r="Q130" s="357">
        <f>'Hodnocení '!Q126</f>
        <v>0</v>
      </c>
      <c r="R130" s="357">
        <f>'Hodnocení '!R126</f>
        <v>0</v>
      </c>
      <c r="S130" s="357">
        <f>'Hodnocení '!S126</f>
        <v>0</v>
      </c>
      <c r="T130" s="357">
        <f>'Hodnocení '!T126</f>
        <v>0</v>
      </c>
      <c r="U130" s="357">
        <f>'Hodnocení '!U126</f>
        <v>0</v>
      </c>
      <c r="V130" s="357">
        <f>'Hodnocení '!V126</f>
        <v>0</v>
      </c>
      <c r="W130" s="357">
        <f>'Hodnocení '!W126</f>
        <v>0</v>
      </c>
      <c r="X130" s="357">
        <f>'Hodnocení '!X126</f>
        <v>0</v>
      </c>
      <c r="Y130" s="357">
        <f>'Hodnocení '!Y126</f>
        <v>0</v>
      </c>
      <c r="Z130" s="357">
        <f>'Hodnocení '!Z126</f>
        <v>0</v>
      </c>
      <c r="AA130" s="357">
        <f>'Hodnocení '!AA126</f>
        <v>0</v>
      </c>
      <c r="AB130" s="357">
        <f>'Hodnocení '!AB126</f>
        <v>0</v>
      </c>
      <c r="AC130" s="357">
        <f>'Hodnocení '!AC126</f>
        <v>0</v>
      </c>
      <c r="AD130" s="357">
        <f>'Hodnocení '!AD126</f>
        <v>0</v>
      </c>
      <c r="AE130" s="357">
        <f>'Hodnocení '!AE126</f>
        <v>0</v>
      </c>
      <c r="AF130" s="357">
        <f>'Hodnocení '!AF126</f>
        <v>0</v>
      </c>
      <c r="AG130" s="357">
        <f>'Hodnocení '!AG126</f>
        <v>0</v>
      </c>
      <c r="AH130" s="357">
        <f>'Hodnocení '!AH126</f>
        <v>0</v>
      </c>
      <c r="AI130" s="357">
        <f>'Hodnocení '!AI126</f>
        <v>0</v>
      </c>
      <c r="AJ130" s="357">
        <f>'Hodnocení '!AJ126</f>
        <v>0</v>
      </c>
      <c r="AK130" s="357">
        <f>'Hodnocení '!AK126</f>
        <v>0</v>
      </c>
      <c r="AL130" s="357">
        <f>'Hodnocení '!AL126</f>
        <v>0</v>
      </c>
      <c r="AM130" s="357">
        <f>'Hodnocení '!AM126</f>
        <v>0</v>
      </c>
      <c r="AN130" s="357">
        <f>'Hodnocení '!AN126</f>
        <v>0</v>
      </c>
      <c r="AO130" s="357">
        <f>'Hodnocení '!AO126</f>
        <v>0</v>
      </c>
      <c r="AP130" s="357">
        <f>'Hodnocení '!AP126</f>
        <v>0</v>
      </c>
      <c r="AQ130" s="357">
        <f>'Hodnocení '!AQ126</f>
        <v>0</v>
      </c>
      <c r="AR130" s="357">
        <f>'Hodnocení '!AR126</f>
        <v>0</v>
      </c>
      <c r="AS130" s="357">
        <f>'Hodnocení '!AS126</f>
        <v>0</v>
      </c>
      <c r="AT130" s="357">
        <f>'Hodnocení '!AT126</f>
        <v>0</v>
      </c>
      <c r="AU130" s="357">
        <f>'Hodnocení '!AU126</f>
        <v>0</v>
      </c>
      <c r="AV130" s="357">
        <f>'Hodnocení '!AV126</f>
        <v>0</v>
      </c>
      <c r="AW130" s="357">
        <f>'Hodnocení '!AW126</f>
        <v>0</v>
      </c>
      <c r="AX130" s="357">
        <f>'Hodnocení '!AX126</f>
        <v>0</v>
      </c>
      <c r="AY130" s="357">
        <f>'Hodnocení '!AY126</f>
        <v>0</v>
      </c>
      <c r="AZ130" s="357">
        <f>'Hodnocení '!AZ126</f>
        <v>0</v>
      </c>
      <c r="BA130" s="357">
        <f>'Hodnocení '!BA126</f>
        <v>0</v>
      </c>
      <c r="BB130" s="357">
        <f>'Hodnocení '!BB126</f>
        <v>0</v>
      </c>
      <c r="BC130" s="357">
        <f>'Hodnocení '!BC126</f>
        <v>0</v>
      </c>
      <c r="BD130" s="357">
        <f>'Hodnocení '!BD126</f>
        <v>0</v>
      </c>
      <c r="BE130" s="357">
        <f>'Hodnocení '!BE126</f>
        <v>0</v>
      </c>
      <c r="BF130" s="357">
        <f>'Hodnocení '!BF126</f>
        <v>0</v>
      </c>
      <c r="BG130" s="357">
        <f>'Hodnocení '!BG126</f>
        <v>0</v>
      </c>
      <c r="BH130" s="357">
        <f>'Hodnocení '!BH126</f>
        <v>0</v>
      </c>
      <c r="BI130" s="357">
        <f>'Hodnocení '!BI126</f>
        <v>0</v>
      </c>
      <c r="BJ130" s="357">
        <f>'Hodnocení '!BJ126</f>
        <v>0</v>
      </c>
      <c r="BK130" s="357">
        <f>'Hodnocení '!BK126</f>
        <v>0</v>
      </c>
      <c r="BL130" s="357">
        <f>'Hodnocení '!BL126</f>
        <v>0</v>
      </c>
      <c r="BM130" s="357">
        <f>'Hodnocení '!BM126</f>
        <v>0</v>
      </c>
      <c r="BN130" s="357">
        <f>'Hodnocení '!BN126</f>
        <v>0</v>
      </c>
      <c r="BO130" s="357">
        <f>'Hodnocení '!BO126</f>
        <v>0</v>
      </c>
      <c r="BP130" s="357">
        <f>'Hodnocení '!BP126</f>
        <v>0</v>
      </c>
      <c r="BQ130" s="357">
        <f>'Hodnocení '!BQ126</f>
        <v>0</v>
      </c>
      <c r="BR130" s="357">
        <f>'Hodnocení '!BR126</f>
        <v>0</v>
      </c>
      <c r="BS130" s="357">
        <f>'Hodnocení '!BS126</f>
        <v>0</v>
      </c>
      <c r="BT130" s="357">
        <f>'Hodnocení '!BT126</f>
        <v>0</v>
      </c>
      <c r="BU130" s="357">
        <f>'Hodnocení '!BU126</f>
        <v>0</v>
      </c>
      <c r="BV130" s="357">
        <f>'Hodnocení '!BV126</f>
        <v>0</v>
      </c>
      <c r="BW130" s="357">
        <f>'Hodnocení '!BW126</f>
        <v>0</v>
      </c>
      <c r="BX130" s="357">
        <f>'Hodnocení '!BX126</f>
        <v>0</v>
      </c>
      <c r="BY130" s="357">
        <f>'Hodnocení '!BY126</f>
        <v>0</v>
      </c>
      <c r="BZ130" s="357">
        <f>'Hodnocení '!BZ126</f>
        <v>0</v>
      </c>
      <c r="CA130" s="357">
        <f>'Hodnocení '!CA126</f>
        <v>0</v>
      </c>
      <c r="CB130" s="357">
        <f>'Hodnocení '!CB126</f>
        <v>0</v>
      </c>
      <c r="CC130" s="357">
        <f>'Hodnocení '!CC126</f>
        <v>0</v>
      </c>
      <c r="CD130" s="357">
        <f>'Hodnocení '!CD126</f>
        <v>0</v>
      </c>
      <c r="CE130" s="357">
        <f>'Hodnocení '!CE126</f>
        <v>0</v>
      </c>
      <c r="CF130" s="357">
        <f>'Hodnocení '!CF126</f>
        <v>0</v>
      </c>
      <c r="CG130" s="357">
        <f>'Hodnocení '!CG126</f>
        <v>0</v>
      </c>
      <c r="CH130" s="357">
        <f>'Hodnocení '!CH126</f>
        <v>0</v>
      </c>
      <c r="CI130" s="357">
        <f>'Hodnocení '!CI126</f>
        <v>0</v>
      </c>
      <c r="CJ130" s="357">
        <f>'Hodnocení '!CJ126</f>
        <v>0</v>
      </c>
      <c r="CK130" s="357">
        <f>'Hodnocení '!CK126</f>
        <v>0</v>
      </c>
      <c r="CL130" s="357">
        <f>'Hodnocení '!CL126</f>
        <v>0</v>
      </c>
      <c r="CM130" s="357">
        <f>'Hodnocení '!CM126</f>
        <v>0</v>
      </c>
      <c r="CN130" s="357">
        <f>'Hodnocení '!CN126</f>
        <v>0</v>
      </c>
      <c r="CO130" s="357">
        <f>'Hodnocení '!CO126</f>
        <v>0</v>
      </c>
      <c r="CP130" s="357">
        <f>'Hodnocení '!CP126</f>
        <v>0</v>
      </c>
      <c r="CQ130" s="357">
        <f>'Hodnocení '!CQ126</f>
        <v>0</v>
      </c>
      <c r="CR130" s="357">
        <f>'Hodnocení '!CR126</f>
        <v>0</v>
      </c>
      <c r="CS130" s="357">
        <f>'Hodnocení '!CS126</f>
        <v>0</v>
      </c>
      <c r="CT130" s="357">
        <f>'Hodnocení '!CT126</f>
        <v>0</v>
      </c>
      <c r="CU130" s="357">
        <f>'Hodnocení '!CU126</f>
        <v>0</v>
      </c>
      <c r="CV130" s="357">
        <f>'Hodnocení '!CV126</f>
        <v>0</v>
      </c>
      <c r="CW130" s="357">
        <f>'Hodnocení '!CW126</f>
        <v>0</v>
      </c>
      <c r="CX130" s="357">
        <f>'Hodnocení '!CX126</f>
        <v>0</v>
      </c>
      <c r="CY130" s="357">
        <f>'Hodnocení '!CY126</f>
        <v>0</v>
      </c>
      <c r="CZ130" s="357">
        <f>'Hodnocení '!CZ126</f>
        <v>0</v>
      </c>
      <c r="DA130" s="357">
        <f>'Hodnocení '!DA126</f>
        <v>0</v>
      </c>
      <c r="DB130" s="357">
        <f>'Hodnocení '!DB126</f>
        <v>0</v>
      </c>
      <c r="DC130" s="357">
        <f>'Hodnocení '!DC126</f>
        <v>0</v>
      </c>
      <c r="DD130" s="357">
        <f>'Hodnocení '!DD126</f>
        <v>0</v>
      </c>
      <c r="DE130" s="357">
        <f>'Hodnocení '!DE126</f>
        <v>0</v>
      </c>
      <c r="DF130" s="357">
        <f>'Hodnocení '!DF126</f>
        <v>0</v>
      </c>
      <c r="DG130" s="357">
        <f>'Hodnocení '!DG126</f>
        <v>0</v>
      </c>
      <c r="DH130" s="357">
        <f>'Hodnocení '!DH126</f>
        <v>0</v>
      </c>
      <c r="DI130" s="357">
        <f>'Hodnocení '!DI126</f>
        <v>0</v>
      </c>
      <c r="DJ130" s="357">
        <f>'Hodnocení '!DJ126</f>
        <v>0</v>
      </c>
      <c r="DK130" s="357">
        <f>'Hodnocení '!DK126</f>
        <v>0</v>
      </c>
      <c r="DL130" s="357">
        <f>'Hodnocení '!DL126</f>
        <v>0</v>
      </c>
      <c r="DM130" s="357">
        <f>'Hodnocení '!DM126</f>
        <v>0</v>
      </c>
      <c r="DN130" s="357">
        <f>'Hodnocení '!DN126</f>
        <v>0</v>
      </c>
      <c r="DO130" s="357">
        <f>'Hodnocení '!DO126</f>
        <v>0</v>
      </c>
      <c r="DP130" s="357">
        <f>'Hodnocení '!DP126</f>
        <v>0</v>
      </c>
      <c r="DQ130" s="357">
        <f>'Hodnocení '!DQ126</f>
        <v>0</v>
      </c>
      <c r="DR130" s="357">
        <f>'Hodnocení '!DR126</f>
        <v>0</v>
      </c>
      <c r="DS130" s="357">
        <f>'Hodnocení '!DS126</f>
        <v>0</v>
      </c>
      <c r="DT130" s="357">
        <f>'Hodnocení '!DT126</f>
        <v>0</v>
      </c>
      <c r="DU130" s="357">
        <f>'Hodnocení '!DU126</f>
        <v>0</v>
      </c>
      <c r="DV130" s="357">
        <f>'Hodnocení '!DV126</f>
        <v>0</v>
      </c>
      <c r="DW130" s="357">
        <f>'Hodnocení '!DW126</f>
        <v>0</v>
      </c>
      <c r="DX130" s="357">
        <f>'Hodnocení '!DX126</f>
        <v>0</v>
      </c>
      <c r="DY130" s="357">
        <f>'Hodnocení '!DY126</f>
        <v>0</v>
      </c>
      <c r="DZ130" s="357">
        <f>'Hodnocení '!DZ126</f>
        <v>0</v>
      </c>
      <c r="EA130" s="357">
        <f>'Hodnocení '!EA126</f>
        <v>0</v>
      </c>
      <c r="EB130" s="357">
        <f>'Hodnocení '!EB126</f>
        <v>0</v>
      </c>
      <c r="EC130" s="357">
        <f>'Hodnocení '!EC126</f>
        <v>0</v>
      </c>
      <c r="ED130" s="357">
        <f>'Hodnocení '!ED126</f>
        <v>0</v>
      </c>
      <c r="EE130" s="357">
        <f>'Hodnocení '!EE126</f>
        <v>0</v>
      </c>
      <c r="EF130" s="357">
        <f>'Hodnocení '!EF126</f>
        <v>0</v>
      </c>
      <c r="EG130" s="357">
        <f>'Hodnocení '!EG126</f>
        <v>0</v>
      </c>
      <c r="EH130" s="357">
        <f>'Hodnocení '!EH126</f>
        <v>0</v>
      </c>
      <c r="EI130" s="357">
        <f>'Hodnocení '!EI126</f>
        <v>0</v>
      </c>
      <c r="EJ130" s="357">
        <f>'Hodnocení '!EJ126</f>
        <v>0</v>
      </c>
      <c r="EK130" s="357">
        <f>'Hodnocení '!EK126</f>
        <v>0</v>
      </c>
      <c r="EL130" s="357">
        <f>'Hodnocení '!EL126</f>
        <v>0</v>
      </c>
      <c r="EM130" s="357">
        <f>'Hodnocení '!EM126</f>
        <v>0</v>
      </c>
      <c r="EN130" s="357">
        <f>'Hodnocení '!EN126</f>
        <v>0</v>
      </c>
      <c r="EO130" s="357">
        <f>'Hodnocení '!EO126</f>
        <v>0</v>
      </c>
      <c r="EP130" s="357">
        <f>'Hodnocení '!EP126</f>
        <v>0</v>
      </c>
      <c r="EQ130" s="357">
        <f>'Hodnocení '!EQ126</f>
        <v>0</v>
      </c>
      <c r="ER130" s="357">
        <f>'Hodnocení '!ER126</f>
        <v>0</v>
      </c>
      <c r="ES130" s="357">
        <f>'Hodnocení '!ES126</f>
        <v>0</v>
      </c>
      <c r="ET130" s="357">
        <f>'Hodnocení '!ET126</f>
        <v>0</v>
      </c>
      <c r="EU130" s="357">
        <f>'Hodnocení '!EU126</f>
        <v>0</v>
      </c>
      <c r="EV130" s="357">
        <f>'Hodnocení '!EV126</f>
        <v>0</v>
      </c>
      <c r="EW130" s="357">
        <f>'Hodnocení '!EW126</f>
        <v>0</v>
      </c>
      <c r="EX130" s="357">
        <f>'Hodnocení '!EX126</f>
        <v>0</v>
      </c>
      <c r="EY130" s="357">
        <f>'Hodnocení '!EY126</f>
        <v>0</v>
      </c>
      <c r="EZ130" s="357">
        <f>'Hodnocení '!EZ126</f>
        <v>0</v>
      </c>
      <c r="FA130" s="357">
        <f>'Hodnocení '!FA126</f>
        <v>0</v>
      </c>
      <c r="FB130" s="357">
        <f>'Hodnocení '!FB126</f>
        <v>0</v>
      </c>
      <c r="FC130" s="357">
        <f>'Hodnocení '!FC126</f>
        <v>0</v>
      </c>
      <c r="FD130" s="357">
        <f>'Hodnocení '!FD126</f>
        <v>0</v>
      </c>
      <c r="FE130" s="357">
        <f>'Hodnocení '!FE126</f>
        <v>0</v>
      </c>
      <c r="FF130" s="357">
        <f>'Hodnocení '!FF126</f>
        <v>0</v>
      </c>
      <c r="FG130" s="357">
        <f>'Hodnocení '!FG126</f>
        <v>0</v>
      </c>
      <c r="FH130" s="357">
        <f>'Hodnocení '!FH126</f>
        <v>0</v>
      </c>
      <c r="FI130" s="357">
        <f>'Hodnocení '!FI126</f>
        <v>0</v>
      </c>
      <c r="FJ130" s="357">
        <f>'Hodnocení '!FJ126</f>
        <v>0</v>
      </c>
      <c r="FK130" s="357">
        <f>'Hodnocení '!FK126</f>
        <v>0</v>
      </c>
      <c r="FL130" s="357">
        <f>'Hodnocení '!FL126</f>
        <v>0</v>
      </c>
      <c r="FM130" s="357">
        <f>'Hodnocení '!FM126</f>
        <v>0</v>
      </c>
      <c r="FN130" s="357">
        <f>'Hodnocení '!FN126</f>
        <v>0</v>
      </c>
      <c r="FO130" s="357">
        <f>'Hodnocení '!FO126</f>
        <v>0</v>
      </c>
      <c r="FP130" s="357">
        <f>'Hodnocení '!FP126</f>
        <v>0</v>
      </c>
      <c r="FQ130" s="357">
        <f>'Hodnocení '!FQ126</f>
        <v>0</v>
      </c>
      <c r="FR130" s="357">
        <f>'Hodnocení '!FR126</f>
        <v>0</v>
      </c>
      <c r="FS130" s="357">
        <f>'Hodnocení '!FS126</f>
        <v>0</v>
      </c>
      <c r="FT130" s="357">
        <f>'Hodnocení '!FT126</f>
        <v>0</v>
      </c>
      <c r="FU130" s="357">
        <f>'Hodnocení '!FU126</f>
        <v>0</v>
      </c>
      <c r="FV130" s="357">
        <f>'Hodnocení '!FV126</f>
        <v>0</v>
      </c>
      <c r="FW130" s="357">
        <f>'Hodnocení '!FW126</f>
        <v>0</v>
      </c>
      <c r="FX130" s="357">
        <f>'Hodnocení '!FX126</f>
        <v>0</v>
      </c>
      <c r="FY130" s="357">
        <f>'Hodnocení '!FY126</f>
        <v>0</v>
      </c>
      <c r="FZ130" s="357">
        <f>'Hodnocení '!FZ126</f>
        <v>0</v>
      </c>
      <c r="GA130" s="357">
        <f>'Hodnocení '!GA126</f>
        <v>0</v>
      </c>
      <c r="GB130" s="357">
        <f>'Hodnocení '!GB126</f>
        <v>0</v>
      </c>
      <c r="GC130" s="357">
        <f>'Hodnocení '!GC126</f>
        <v>0</v>
      </c>
      <c r="GD130" s="357">
        <f>'Hodnocení '!GD126</f>
        <v>0</v>
      </c>
      <c r="GE130" s="357">
        <f>'Hodnocení '!GE126</f>
        <v>0</v>
      </c>
      <c r="GF130" s="357">
        <f>'Hodnocení '!GF126</f>
        <v>0</v>
      </c>
      <c r="GG130" s="357">
        <f>'Hodnocení '!GG126</f>
        <v>0</v>
      </c>
      <c r="GH130" s="357">
        <f>'Hodnocení '!GH126</f>
        <v>0</v>
      </c>
      <c r="GI130" s="357">
        <f>'Hodnocení '!GI126</f>
        <v>0</v>
      </c>
      <c r="GJ130" s="357">
        <f>'Hodnocení '!GJ126</f>
        <v>0</v>
      </c>
      <c r="GK130" s="357">
        <f>'Hodnocení '!GK126</f>
        <v>0</v>
      </c>
      <c r="GL130" s="357">
        <f>'Hodnocení '!GL126</f>
        <v>0</v>
      </c>
      <c r="GM130" s="357">
        <f>'Hodnocení '!GM126</f>
        <v>0</v>
      </c>
      <c r="GN130" s="357">
        <f>'Hodnocení '!GN126</f>
        <v>0</v>
      </c>
      <c r="GO130" s="357">
        <f>'Hodnocení '!GO126</f>
        <v>0</v>
      </c>
      <c r="GP130" s="357">
        <f>'Hodnocení '!GP126</f>
        <v>0</v>
      </c>
      <c r="GQ130" s="357">
        <f>'Hodnocení '!GQ126</f>
        <v>0</v>
      </c>
      <c r="GR130" s="357">
        <f>'Hodnocení '!GR126</f>
        <v>0</v>
      </c>
      <c r="GS130" s="357">
        <f>'Hodnocení '!GS126</f>
        <v>0</v>
      </c>
      <c r="GT130" s="357">
        <f>'Hodnocení '!GT126</f>
        <v>0</v>
      </c>
      <c r="GU130" s="357">
        <f>'Hodnocení '!GU126</f>
        <v>0</v>
      </c>
      <c r="GV130" s="357">
        <f>'Hodnocení '!GV126</f>
        <v>0</v>
      </c>
      <c r="GW130" s="357">
        <f>'Hodnocení '!GW126</f>
        <v>0</v>
      </c>
      <c r="GX130" s="357">
        <f>'Hodnocení '!GX126</f>
        <v>0</v>
      </c>
      <c r="GY130" s="357">
        <f>'Hodnocení '!GY126</f>
        <v>0</v>
      </c>
      <c r="GZ130" s="357">
        <f>'Hodnocení '!GZ126</f>
        <v>0</v>
      </c>
      <c r="HA130" s="357">
        <f>'Hodnocení '!HA126</f>
        <v>0</v>
      </c>
      <c r="HB130" s="357">
        <f>'Hodnocení '!HB126</f>
        <v>0</v>
      </c>
      <c r="HC130" s="357">
        <f>'Hodnocení '!HC126</f>
        <v>0</v>
      </c>
      <c r="HD130" s="357">
        <f>'Hodnocení '!HD126</f>
        <v>0</v>
      </c>
      <c r="HE130" s="357">
        <f>'Hodnocení '!HE126</f>
        <v>0</v>
      </c>
      <c r="HF130" s="357">
        <f>'Hodnocení '!HF126</f>
        <v>0</v>
      </c>
      <c r="HG130" s="357">
        <f>'Hodnocení '!HG126</f>
        <v>0</v>
      </c>
      <c r="HH130" s="357">
        <f>'Hodnocení '!HH126</f>
        <v>0</v>
      </c>
      <c r="HI130" s="357">
        <f>'Hodnocení '!HI126</f>
        <v>0</v>
      </c>
      <c r="HJ130" s="357">
        <f>'Hodnocení '!HJ126</f>
        <v>0</v>
      </c>
      <c r="HK130" s="357">
        <f>'Hodnocení '!HK126</f>
        <v>0</v>
      </c>
      <c r="HL130" s="357">
        <f>'Hodnocení '!HL126</f>
        <v>0</v>
      </c>
      <c r="HM130" s="357">
        <f>'Hodnocení '!HM126</f>
        <v>0</v>
      </c>
      <c r="HN130" s="357">
        <f>'Hodnocení '!HN126</f>
        <v>0</v>
      </c>
      <c r="HO130" s="357">
        <f>'Hodnocení '!HO126</f>
        <v>0</v>
      </c>
      <c r="HP130" s="357">
        <f>'Hodnocení '!HP126</f>
        <v>0</v>
      </c>
      <c r="HQ130" s="357">
        <f>'Hodnocení '!HQ126</f>
        <v>0</v>
      </c>
      <c r="HR130" s="357">
        <f>'Hodnocení '!HR126</f>
        <v>0</v>
      </c>
      <c r="HS130" s="357">
        <f>'Hodnocení '!HS126</f>
        <v>0</v>
      </c>
      <c r="HT130" s="357">
        <f>'Hodnocení '!HT126</f>
        <v>0</v>
      </c>
      <c r="HU130" s="357">
        <f>'Hodnocení '!HU126</f>
        <v>0</v>
      </c>
      <c r="HV130" s="357">
        <f>'Hodnocení '!HV126</f>
        <v>0</v>
      </c>
      <c r="HW130" s="357">
        <f>'Hodnocení '!HW126</f>
        <v>0</v>
      </c>
      <c r="HX130" s="357">
        <f>'Hodnocení '!HX126</f>
        <v>0</v>
      </c>
      <c r="HY130" s="357">
        <f>'Hodnocení '!HY126</f>
        <v>0</v>
      </c>
      <c r="HZ130" s="357">
        <f>'Hodnocení '!HZ126</f>
        <v>0</v>
      </c>
      <c r="IA130" s="357">
        <f>'Hodnocení '!IA126</f>
        <v>0</v>
      </c>
      <c r="IB130" s="357">
        <f>'Hodnocení '!IB126</f>
        <v>0</v>
      </c>
      <c r="IC130" s="357">
        <f>'Hodnocení '!IC126</f>
        <v>0</v>
      </c>
      <c r="ID130" s="357">
        <f>'Hodnocení '!ID126</f>
        <v>0</v>
      </c>
      <c r="IE130" s="357">
        <f>'Hodnocení '!IE126</f>
        <v>0</v>
      </c>
      <c r="IF130" s="357">
        <f>'Hodnocení '!IF126</f>
        <v>0</v>
      </c>
      <c r="IG130" s="357">
        <f>'Hodnocení '!IG126</f>
        <v>0</v>
      </c>
      <c r="IH130" s="357">
        <f>'Hodnocení '!IH126</f>
        <v>0</v>
      </c>
      <c r="II130" s="357">
        <f>'Hodnocení '!II126</f>
        <v>0</v>
      </c>
      <c r="IJ130" s="357">
        <f>'Hodnocení '!IJ126</f>
        <v>0</v>
      </c>
      <c r="IK130" s="357">
        <f>'Hodnocení '!IK126</f>
        <v>0</v>
      </c>
      <c r="IL130" s="357">
        <f>'Hodnocení '!IL126</f>
        <v>0</v>
      </c>
      <c r="IM130" s="357">
        <f>'Hodnocení '!IM126</f>
        <v>0</v>
      </c>
      <c r="IN130" s="357">
        <f>'Hodnocení '!IN126</f>
        <v>0</v>
      </c>
      <c r="IO130" s="357">
        <f>'Hodnocení '!IO126</f>
        <v>0</v>
      </c>
      <c r="IP130" s="357">
        <f>'Hodnocení '!IP126</f>
        <v>0</v>
      </c>
      <c r="IQ130" s="357">
        <f>'Hodnocení '!IQ126</f>
        <v>0</v>
      </c>
      <c r="IR130" s="357">
        <f>'Hodnocení '!IR126</f>
        <v>0</v>
      </c>
      <c r="IS130" s="357">
        <f>'Hodnocení '!IS126</f>
        <v>0</v>
      </c>
      <c r="IT130" s="357">
        <f>'Hodnocení '!IT126</f>
        <v>0</v>
      </c>
      <c r="IU130" s="357">
        <f>'Hodnocení '!IU126</f>
        <v>0</v>
      </c>
      <c r="IV130" s="357">
        <f>'Hodnocení '!IV126</f>
        <v>0</v>
      </c>
      <c r="IW130" s="357">
        <f>'Hodnocení '!IW126</f>
        <v>0</v>
      </c>
      <c r="IX130" s="357">
        <f>'Hodnocení '!IX126</f>
        <v>0</v>
      </c>
      <c r="IY130" s="357">
        <f>'Hodnocení '!IY126</f>
        <v>0</v>
      </c>
      <c r="IZ130" s="357">
        <f>'Hodnocení '!IZ126</f>
        <v>0</v>
      </c>
      <c r="JA130" s="357">
        <f>'Hodnocení '!JA126</f>
        <v>0</v>
      </c>
      <c r="JB130" s="357">
        <f>'Hodnocení '!JB126</f>
        <v>0</v>
      </c>
      <c r="JC130" s="357">
        <f>'Hodnocení '!JC126</f>
        <v>0</v>
      </c>
      <c r="JD130" s="357">
        <f>'Hodnocení '!JD126</f>
        <v>0</v>
      </c>
      <c r="JE130" s="357">
        <f>'Hodnocení '!JE126</f>
        <v>0</v>
      </c>
      <c r="JF130" s="357">
        <f>'Hodnocení '!JF126</f>
        <v>0</v>
      </c>
      <c r="JG130" s="357">
        <f>'Hodnocení '!JG126</f>
        <v>0</v>
      </c>
      <c r="JH130" s="772">
        <f>'Hodnocení '!JH126</f>
        <v>0</v>
      </c>
      <c r="JI130" s="315">
        <f>'Hodnocení '!JI126</f>
        <v>0</v>
      </c>
    </row>
    <row r="131" spans="1:276" hidden="1" x14ac:dyDescent="0.25">
      <c r="B131" s="733"/>
      <c r="C131" s="360">
        <f>'Hodnocení '!C127</f>
        <v>0</v>
      </c>
      <c r="D131" s="357">
        <f>'Hodnocení '!D127</f>
        <v>0</v>
      </c>
      <c r="E131" s="357">
        <f>'Hodnocení '!E127</f>
        <v>0</v>
      </c>
      <c r="F131" s="357">
        <f>'Hodnocení '!F127</f>
        <v>0</v>
      </c>
      <c r="G131" s="357">
        <f>'Hodnocení '!G127</f>
        <v>0</v>
      </c>
      <c r="H131" s="357">
        <f>'Hodnocení '!H127</f>
        <v>0</v>
      </c>
      <c r="I131" s="357">
        <f>'Hodnocení '!I127</f>
        <v>0</v>
      </c>
      <c r="J131" s="357">
        <f>'Hodnocení '!J127</f>
        <v>0</v>
      </c>
      <c r="K131" s="357">
        <f>'Hodnocení '!K127</f>
        <v>0</v>
      </c>
      <c r="L131" s="357">
        <f>'Hodnocení '!L127</f>
        <v>0</v>
      </c>
      <c r="M131" s="357">
        <f>'Hodnocení '!M127</f>
        <v>0</v>
      </c>
      <c r="N131" s="357">
        <f>'Hodnocení '!N127</f>
        <v>0</v>
      </c>
      <c r="O131" s="357">
        <f>'Hodnocení '!O127</f>
        <v>0</v>
      </c>
      <c r="P131" s="357">
        <f>'Hodnocení '!P127</f>
        <v>0</v>
      </c>
      <c r="Q131" s="357">
        <f>'Hodnocení '!Q127</f>
        <v>0</v>
      </c>
      <c r="R131" s="357">
        <f>'Hodnocení '!R127</f>
        <v>0</v>
      </c>
      <c r="S131" s="357">
        <f>'Hodnocení '!S127</f>
        <v>0</v>
      </c>
      <c r="T131" s="357">
        <f>'Hodnocení '!T127</f>
        <v>0</v>
      </c>
      <c r="U131" s="357">
        <f>'Hodnocení '!U127</f>
        <v>0</v>
      </c>
      <c r="V131" s="357">
        <f>'Hodnocení '!V127</f>
        <v>0</v>
      </c>
      <c r="W131" s="357">
        <f>'Hodnocení '!W127</f>
        <v>0</v>
      </c>
      <c r="X131" s="357">
        <f>'Hodnocení '!X127</f>
        <v>0</v>
      </c>
      <c r="Y131" s="357">
        <f>'Hodnocení '!Y127</f>
        <v>0</v>
      </c>
      <c r="Z131" s="357">
        <f>'Hodnocení '!Z127</f>
        <v>0</v>
      </c>
      <c r="AA131" s="357">
        <f>'Hodnocení '!AA127</f>
        <v>0</v>
      </c>
      <c r="AB131" s="357">
        <f>'Hodnocení '!AB127</f>
        <v>0</v>
      </c>
      <c r="AC131" s="357">
        <f>'Hodnocení '!AC127</f>
        <v>0</v>
      </c>
      <c r="AD131" s="357">
        <f>'Hodnocení '!AD127</f>
        <v>0</v>
      </c>
      <c r="AE131" s="357">
        <f>'Hodnocení '!AE127</f>
        <v>0</v>
      </c>
      <c r="AF131" s="357">
        <f>'Hodnocení '!AF127</f>
        <v>0</v>
      </c>
      <c r="AG131" s="357">
        <f>'Hodnocení '!AG127</f>
        <v>0</v>
      </c>
      <c r="AH131" s="357">
        <f>'Hodnocení '!AH127</f>
        <v>0</v>
      </c>
      <c r="AI131" s="357">
        <f>'Hodnocení '!AI127</f>
        <v>0</v>
      </c>
      <c r="AJ131" s="357">
        <f>'Hodnocení '!AJ127</f>
        <v>0</v>
      </c>
      <c r="AK131" s="357">
        <f>'Hodnocení '!AK127</f>
        <v>0</v>
      </c>
      <c r="AL131" s="357">
        <f>'Hodnocení '!AL127</f>
        <v>0</v>
      </c>
      <c r="AM131" s="357">
        <f>'Hodnocení '!AM127</f>
        <v>0</v>
      </c>
      <c r="AN131" s="357">
        <f>'Hodnocení '!AN127</f>
        <v>0</v>
      </c>
      <c r="AO131" s="357">
        <f>'Hodnocení '!AO127</f>
        <v>0</v>
      </c>
      <c r="AP131" s="357">
        <f>'Hodnocení '!AP127</f>
        <v>0</v>
      </c>
      <c r="AQ131" s="357">
        <f>'Hodnocení '!AQ127</f>
        <v>0</v>
      </c>
      <c r="AR131" s="357">
        <f>'Hodnocení '!AR127</f>
        <v>0</v>
      </c>
      <c r="AS131" s="357">
        <f>'Hodnocení '!AS127</f>
        <v>0</v>
      </c>
      <c r="AT131" s="357">
        <f>'Hodnocení '!AT127</f>
        <v>0</v>
      </c>
      <c r="AU131" s="357">
        <f>'Hodnocení '!AU127</f>
        <v>0</v>
      </c>
      <c r="AV131" s="357">
        <f>'Hodnocení '!AV127</f>
        <v>0</v>
      </c>
      <c r="AW131" s="357">
        <f>'Hodnocení '!AW127</f>
        <v>0</v>
      </c>
      <c r="AX131" s="357">
        <f>'Hodnocení '!AX127</f>
        <v>0</v>
      </c>
      <c r="AY131" s="357">
        <f>'Hodnocení '!AY127</f>
        <v>0</v>
      </c>
      <c r="AZ131" s="357">
        <f>'Hodnocení '!AZ127</f>
        <v>0</v>
      </c>
      <c r="BA131" s="357">
        <f>'Hodnocení '!BA127</f>
        <v>0</v>
      </c>
      <c r="BB131" s="357">
        <f>'Hodnocení '!BB127</f>
        <v>0</v>
      </c>
      <c r="BC131" s="357">
        <f>'Hodnocení '!BC127</f>
        <v>0</v>
      </c>
      <c r="BD131" s="357">
        <f>'Hodnocení '!BD127</f>
        <v>0</v>
      </c>
      <c r="BE131" s="357">
        <f>'Hodnocení '!BE127</f>
        <v>0</v>
      </c>
      <c r="BF131" s="357">
        <f>'Hodnocení '!BF127</f>
        <v>0</v>
      </c>
      <c r="BG131" s="357">
        <f>'Hodnocení '!BG127</f>
        <v>0</v>
      </c>
      <c r="BH131" s="357">
        <f>'Hodnocení '!BH127</f>
        <v>0</v>
      </c>
      <c r="BI131" s="357">
        <f>'Hodnocení '!BI127</f>
        <v>0</v>
      </c>
      <c r="BJ131" s="357">
        <f>'Hodnocení '!BJ127</f>
        <v>0</v>
      </c>
      <c r="BK131" s="357">
        <f>'Hodnocení '!BK127</f>
        <v>0</v>
      </c>
      <c r="BL131" s="357">
        <f>'Hodnocení '!BL127</f>
        <v>0</v>
      </c>
      <c r="BM131" s="357">
        <f>'Hodnocení '!BM127</f>
        <v>0</v>
      </c>
      <c r="BN131" s="357">
        <f>'Hodnocení '!BN127</f>
        <v>0</v>
      </c>
      <c r="BO131" s="357">
        <f>'Hodnocení '!BO127</f>
        <v>0</v>
      </c>
      <c r="BP131" s="357">
        <f>'Hodnocení '!BP127</f>
        <v>0</v>
      </c>
      <c r="BQ131" s="357">
        <f>'Hodnocení '!BQ127</f>
        <v>0</v>
      </c>
      <c r="BR131" s="357">
        <f>'Hodnocení '!BR127</f>
        <v>0</v>
      </c>
      <c r="BS131" s="357">
        <f>'Hodnocení '!BS127</f>
        <v>0</v>
      </c>
      <c r="BT131" s="357">
        <f>'Hodnocení '!BT127</f>
        <v>0</v>
      </c>
      <c r="BU131" s="357">
        <f>'Hodnocení '!BU127</f>
        <v>0</v>
      </c>
      <c r="BV131" s="357">
        <f>'Hodnocení '!BV127</f>
        <v>0</v>
      </c>
      <c r="BW131" s="357">
        <f>'Hodnocení '!BW127</f>
        <v>0</v>
      </c>
      <c r="BX131" s="357">
        <f>'Hodnocení '!BX127</f>
        <v>0</v>
      </c>
      <c r="BY131" s="357">
        <f>'Hodnocení '!BY127</f>
        <v>0</v>
      </c>
      <c r="BZ131" s="357">
        <f>'Hodnocení '!BZ127</f>
        <v>0</v>
      </c>
      <c r="CA131" s="357">
        <f>'Hodnocení '!CA127</f>
        <v>0</v>
      </c>
      <c r="CB131" s="357">
        <f>'Hodnocení '!CB127</f>
        <v>0</v>
      </c>
      <c r="CC131" s="357">
        <f>'Hodnocení '!CC127</f>
        <v>0</v>
      </c>
      <c r="CD131" s="357">
        <f>'Hodnocení '!CD127</f>
        <v>0</v>
      </c>
      <c r="CE131" s="357">
        <f>'Hodnocení '!CE127</f>
        <v>0</v>
      </c>
      <c r="CF131" s="357">
        <f>'Hodnocení '!CF127</f>
        <v>0</v>
      </c>
      <c r="CG131" s="357">
        <f>'Hodnocení '!CG127</f>
        <v>0</v>
      </c>
      <c r="CH131" s="357">
        <f>'Hodnocení '!CH127</f>
        <v>0</v>
      </c>
      <c r="CI131" s="357">
        <f>'Hodnocení '!CI127</f>
        <v>0</v>
      </c>
      <c r="CJ131" s="357">
        <f>'Hodnocení '!CJ127</f>
        <v>0</v>
      </c>
      <c r="CK131" s="357">
        <f>'Hodnocení '!CK127</f>
        <v>0</v>
      </c>
      <c r="CL131" s="357">
        <f>'Hodnocení '!CL127</f>
        <v>0</v>
      </c>
      <c r="CM131" s="357">
        <f>'Hodnocení '!CM127</f>
        <v>0</v>
      </c>
      <c r="CN131" s="357">
        <f>'Hodnocení '!CN127</f>
        <v>0</v>
      </c>
      <c r="CO131" s="357">
        <f>'Hodnocení '!CO127</f>
        <v>0</v>
      </c>
      <c r="CP131" s="357">
        <f>'Hodnocení '!CP127</f>
        <v>0</v>
      </c>
      <c r="CQ131" s="357">
        <f>'Hodnocení '!CQ127</f>
        <v>0</v>
      </c>
      <c r="CR131" s="357">
        <f>'Hodnocení '!CR127</f>
        <v>0</v>
      </c>
      <c r="CS131" s="357">
        <f>'Hodnocení '!CS127</f>
        <v>0</v>
      </c>
      <c r="CT131" s="357">
        <f>'Hodnocení '!CT127</f>
        <v>0</v>
      </c>
      <c r="CU131" s="357">
        <f>'Hodnocení '!CU127</f>
        <v>0</v>
      </c>
      <c r="CV131" s="357">
        <f>'Hodnocení '!CV127</f>
        <v>0</v>
      </c>
      <c r="CW131" s="357">
        <f>'Hodnocení '!CW127</f>
        <v>0</v>
      </c>
      <c r="CX131" s="357">
        <f>'Hodnocení '!CX127</f>
        <v>0</v>
      </c>
      <c r="CY131" s="357">
        <f>'Hodnocení '!CY127</f>
        <v>0</v>
      </c>
      <c r="CZ131" s="357">
        <f>'Hodnocení '!CZ127</f>
        <v>0</v>
      </c>
      <c r="DA131" s="357">
        <f>'Hodnocení '!DA127</f>
        <v>0</v>
      </c>
      <c r="DB131" s="357">
        <f>'Hodnocení '!DB127</f>
        <v>0</v>
      </c>
      <c r="DC131" s="357">
        <f>'Hodnocení '!DC127</f>
        <v>0</v>
      </c>
      <c r="DD131" s="357">
        <f>'Hodnocení '!DD127</f>
        <v>0</v>
      </c>
      <c r="DE131" s="357">
        <f>'Hodnocení '!DE127</f>
        <v>0</v>
      </c>
      <c r="DF131" s="357">
        <f>'Hodnocení '!DF127</f>
        <v>0</v>
      </c>
      <c r="DG131" s="357">
        <f>'Hodnocení '!DG127</f>
        <v>0</v>
      </c>
      <c r="DH131" s="357">
        <f>'Hodnocení '!DH127</f>
        <v>0</v>
      </c>
      <c r="DI131" s="357">
        <f>'Hodnocení '!DI127</f>
        <v>0</v>
      </c>
      <c r="DJ131" s="357">
        <f>'Hodnocení '!DJ127</f>
        <v>0</v>
      </c>
      <c r="DK131" s="357">
        <f>'Hodnocení '!DK127</f>
        <v>0</v>
      </c>
      <c r="DL131" s="357">
        <f>'Hodnocení '!DL127</f>
        <v>0</v>
      </c>
      <c r="DM131" s="357">
        <f>'Hodnocení '!DM127</f>
        <v>0</v>
      </c>
      <c r="DN131" s="357">
        <f>'Hodnocení '!DN127</f>
        <v>0</v>
      </c>
      <c r="DO131" s="357">
        <f>'Hodnocení '!DO127</f>
        <v>0</v>
      </c>
      <c r="DP131" s="357">
        <f>'Hodnocení '!DP127</f>
        <v>0</v>
      </c>
      <c r="DQ131" s="357">
        <f>'Hodnocení '!DQ127</f>
        <v>0</v>
      </c>
      <c r="DR131" s="357">
        <f>'Hodnocení '!DR127</f>
        <v>0</v>
      </c>
      <c r="DS131" s="357">
        <f>'Hodnocení '!DS127</f>
        <v>0</v>
      </c>
      <c r="DT131" s="357">
        <f>'Hodnocení '!DT127</f>
        <v>0</v>
      </c>
      <c r="DU131" s="357">
        <f>'Hodnocení '!DU127</f>
        <v>0</v>
      </c>
      <c r="DV131" s="357">
        <f>'Hodnocení '!DV127</f>
        <v>0</v>
      </c>
      <c r="DW131" s="357">
        <f>'Hodnocení '!DW127</f>
        <v>0</v>
      </c>
      <c r="DX131" s="357">
        <f>'Hodnocení '!DX127</f>
        <v>0</v>
      </c>
      <c r="DY131" s="357">
        <f>'Hodnocení '!DY127</f>
        <v>0</v>
      </c>
      <c r="DZ131" s="357">
        <f>'Hodnocení '!DZ127</f>
        <v>0</v>
      </c>
      <c r="EA131" s="357">
        <f>'Hodnocení '!EA127</f>
        <v>0</v>
      </c>
      <c r="EB131" s="357">
        <f>'Hodnocení '!EB127</f>
        <v>0</v>
      </c>
      <c r="EC131" s="357">
        <f>'Hodnocení '!EC127</f>
        <v>0</v>
      </c>
      <c r="ED131" s="357">
        <f>'Hodnocení '!ED127</f>
        <v>0</v>
      </c>
      <c r="EE131" s="357">
        <f>'Hodnocení '!EE127</f>
        <v>0</v>
      </c>
      <c r="EF131" s="357">
        <f>'Hodnocení '!EF127</f>
        <v>0</v>
      </c>
      <c r="EG131" s="357">
        <f>'Hodnocení '!EG127</f>
        <v>0</v>
      </c>
      <c r="EH131" s="357">
        <f>'Hodnocení '!EH127</f>
        <v>0</v>
      </c>
      <c r="EI131" s="357">
        <f>'Hodnocení '!EI127</f>
        <v>0</v>
      </c>
      <c r="EJ131" s="357">
        <f>'Hodnocení '!EJ127</f>
        <v>0</v>
      </c>
      <c r="EK131" s="357">
        <f>'Hodnocení '!EK127</f>
        <v>0</v>
      </c>
      <c r="EL131" s="357">
        <f>'Hodnocení '!EL127</f>
        <v>0</v>
      </c>
      <c r="EM131" s="357">
        <f>'Hodnocení '!EM127</f>
        <v>0</v>
      </c>
      <c r="EN131" s="357">
        <f>'Hodnocení '!EN127</f>
        <v>0</v>
      </c>
      <c r="EO131" s="357">
        <f>'Hodnocení '!EO127</f>
        <v>0</v>
      </c>
      <c r="EP131" s="357">
        <f>'Hodnocení '!EP127</f>
        <v>0</v>
      </c>
      <c r="EQ131" s="357">
        <f>'Hodnocení '!EQ127</f>
        <v>0</v>
      </c>
      <c r="ER131" s="357">
        <f>'Hodnocení '!ER127</f>
        <v>0</v>
      </c>
      <c r="ES131" s="357">
        <f>'Hodnocení '!ES127</f>
        <v>0</v>
      </c>
      <c r="ET131" s="357">
        <f>'Hodnocení '!ET127</f>
        <v>0</v>
      </c>
      <c r="EU131" s="357">
        <f>'Hodnocení '!EU127</f>
        <v>0</v>
      </c>
      <c r="EV131" s="357">
        <f>'Hodnocení '!EV127</f>
        <v>0</v>
      </c>
      <c r="EW131" s="357">
        <f>'Hodnocení '!EW127</f>
        <v>0</v>
      </c>
      <c r="EX131" s="357">
        <f>'Hodnocení '!EX127</f>
        <v>0</v>
      </c>
      <c r="EY131" s="357">
        <f>'Hodnocení '!EY127</f>
        <v>0</v>
      </c>
      <c r="EZ131" s="357">
        <f>'Hodnocení '!EZ127</f>
        <v>0</v>
      </c>
      <c r="FA131" s="357">
        <f>'Hodnocení '!FA127</f>
        <v>0</v>
      </c>
      <c r="FB131" s="357">
        <f>'Hodnocení '!FB127</f>
        <v>0</v>
      </c>
      <c r="FC131" s="357">
        <f>'Hodnocení '!FC127</f>
        <v>0</v>
      </c>
      <c r="FD131" s="357">
        <f>'Hodnocení '!FD127</f>
        <v>0</v>
      </c>
      <c r="FE131" s="357">
        <f>'Hodnocení '!FE127</f>
        <v>0</v>
      </c>
      <c r="FF131" s="357">
        <f>'Hodnocení '!FF127</f>
        <v>0</v>
      </c>
      <c r="FG131" s="357">
        <f>'Hodnocení '!FG127</f>
        <v>0</v>
      </c>
      <c r="FH131" s="357">
        <f>'Hodnocení '!FH127</f>
        <v>0</v>
      </c>
      <c r="FI131" s="357">
        <f>'Hodnocení '!FI127</f>
        <v>0</v>
      </c>
      <c r="FJ131" s="357">
        <f>'Hodnocení '!FJ127</f>
        <v>0</v>
      </c>
      <c r="FK131" s="357">
        <f>'Hodnocení '!FK127</f>
        <v>0</v>
      </c>
      <c r="FL131" s="357">
        <f>'Hodnocení '!FL127</f>
        <v>0</v>
      </c>
      <c r="FM131" s="357">
        <f>'Hodnocení '!FM127</f>
        <v>0</v>
      </c>
      <c r="FN131" s="357">
        <f>'Hodnocení '!FN127</f>
        <v>0</v>
      </c>
      <c r="FO131" s="357">
        <f>'Hodnocení '!FO127</f>
        <v>0</v>
      </c>
      <c r="FP131" s="357">
        <f>'Hodnocení '!FP127</f>
        <v>0</v>
      </c>
      <c r="FQ131" s="357">
        <f>'Hodnocení '!FQ127</f>
        <v>0</v>
      </c>
      <c r="FR131" s="357">
        <f>'Hodnocení '!FR127</f>
        <v>0</v>
      </c>
      <c r="FS131" s="357">
        <f>'Hodnocení '!FS127</f>
        <v>0</v>
      </c>
      <c r="FT131" s="357">
        <f>'Hodnocení '!FT127</f>
        <v>0</v>
      </c>
      <c r="FU131" s="357">
        <f>'Hodnocení '!FU127</f>
        <v>0</v>
      </c>
      <c r="FV131" s="357">
        <f>'Hodnocení '!FV127</f>
        <v>0</v>
      </c>
      <c r="FW131" s="357">
        <f>'Hodnocení '!FW127</f>
        <v>0</v>
      </c>
      <c r="FX131" s="357">
        <f>'Hodnocení '!FX127</f>
        <v>0</v>
      </c>
      <c r="FY131" s="357">
        <f>'Hodnocení '!FY127</f>
        <v>0</v>
      </c>
      <c r="FZ131" s="357">
        <f>'Hodnocení '!FZ127</f>
        <v>0</v>
      </c>
      <c r="GA131" s="357">
        <f>'Hodnocení '!GA127</f>
        <v>0</v>
      </c>
      <c r="GB131" s="357">
        <f>'Hodnocení '!GB127</f>
        <v>0</v>
      </c>
      <c r="GC131" s="357">
        <f>'Hodnocení '!GC127</f>
        <v>0</v>
      </c>
      <c r="GD131" s="357">
        <f>'Hodnocení '!GD127</f>
        <v>0</v>
      </c>
      <c r="GE131" s="357">
        <f>'Hodnocení '!GE127</f>
        <v>0</v>
      </c>
      <c r="GF131" s="357">
        <f>'Hodnocení '!GF127</f>
        <v>0</v>
      </c>
      <c r="GG131" s="357">
        <f>'Hodnocení '!GG127</f>
        <v>0</v>
      </c>
      <c r="GH131" s="357">
        <f>'Hodnocení '!GH127</f>
        <v>0</v>
      </c>
      <c r="GI131" s="357">
        <f>'Hodnocení '!GI127</f>
        <v>0</v>
      </c>
      <c r="GJ131" s="357">
        <f>'Hodnocení '!GJ127</f>
        <v>0</v>
      </c>
      <c r="GK131" s="357">
        <f>'Hodnocení '!GK127</f>
        <v>0</v>
      </c>
      <c r="GL131" s="357">
        <f>'Hodnocení '!GL127</f>
        <v>0</v>
      </c>
      <c r="GM131" s="357">
        <f>'Hodnocení '!GM127</f>
        <v>0</v>
      </c>
      <c r="GN131" s="357">
        <f>'Hodnocení '!GN127</f>
        <v>0</v>
      </c>
      <c r="GO131" s="357">
        <f>'Hodnocení '!GO127</f>
        <v>0</v>
      </c>
      <c r="GP131" s="357">
        <f>'Hodnocení '!GP127</f>
        <v>0</v>
      </c>
      <c r="GQ131" s="357">
        <f>'Hodnocení '!GQ127</f>
        <v>0</v>
      </c>
      <c r="GR131" s="357">
        <f>'Hodnocení '!GR127</f>
        <v>0</v>
      </c>
      <c r="GS131" s="357">
        <f>'Hodnocení '!GS127</f>
        <v>0</v>
      </c>
      <c r="GT131" s="357">
        <f>'Hodnocení '!GT127</f>
        <v>0</v>
      </c>
      <c r="GU131" s="357">
        <f>'Hodnocení '!GU127</f>
        <v>0</v>
      </c>
      <c r="GV131" s="357">
        <f>'Hodnocení '!GV127</f>
        <v>0</v>
      </c>
      <c r="GW131" s="357">
        <f>'Hodnocení '!GW127</f>
        <v>0</v>
      </c>
      <c r="GX131" s="357">
        <f>'Hodnocení '!GX127</f>
        <v>0</v>
      </c>
      <c r="GY131" s="357">
        <f>'Hodnocení '!GY127</f>
        <v>0</v>
      </c>
      <c r="GZ131" s="357">
        <f>'Hodnocení '!GZ127</f>
        <v>0</v>
      </c>
      <c r="HA131" s="357">
        <f>'Hodnocení '!HA127</f>
        <v>0</v>
      </c>
      <c r="HB131" s="357">
        <f>'Hodnocení '!HB127</f>
        <v>0</v>
      </c>
      <c r="HC131" s="357">
        <f>'Hodnocení '!HC127</f>
        <v>0</v>
      </c>
      <c r="HD131" s="357">
        <f>'Hodnocení '!HD127</f>
        <v>0</v>
      </c>
      <c r="HE131" s="357">
        <f>'Hodnocení '!HE127</f>
        <v>0</v>
      </c>
      <c r="HF131" s="357">
        <f>'Hodnocení '!HF127</f>
        <v>0</v>
      </c>
      <c r="HG131" s="357">
        <f>'Hodnocení '!HG127</f>
        <v>0</v>
      </c>
      <c r="HH131" s="357">
        <f>'Hodnocení '!HH127</f>
        <v>0</v>
      </c>
      <c r="HI131" s="357">
        <f>'Hodnocení '!HI127</f>
        <v>0</v>
      </c>
      <c r="HJ131" s="357">
        <f>'Hodnocení '!HJ127</f>
        <v>0</v>
      </c>
      <c r="HK131" s="357">
        <f>'Hodnocení '!HK127</f>
        <v>0</v>
      </c>
      <c r="HL131" s="357">
        <f>'Hodnocení '!HL127</f>
        <v>0</v>
      </c>
      <c r="HM131" s="357">
        <f>'Hodnocení '!HM127</f>
        <v>0</v>
      </c>
      <c r="HN131" s="357">
        <f>'Hodnocení '!HN127</f>
        <v>0</v>
      </c>
      <c r="HO131" s="357">
        <f>'Hodnocení '!HO127</f>
        <v>0</v>
      </c>
      <c r="HP131" s="357">
        <f>'Hodnocení '!HP127</f>
        <v>0</v>
      </c>
      <c r="HQ131" s="357">
        <f>'Hodnocení '!HQ127</f>
        <v>0</v>
      </c>
      <c r="HR131" s="357">
        <f>'Hodnocení '!HR127</f>
        <v>0</v>
      </c>
      <c r="HS131" s="357">
        <f>'Hodnocení '!HS127</f>
        <v>0</v>
      </c>
      <c r="HT131" s="357">
        <f>'Hodnocení '!HT127</f>
        <v>0</v>
      </c>
      <c r="HU131" s="357">
        <f>'Hodnocení '!HU127</f>
        <v>0</v>
      </c>
      <c r="HV131" s="357">
        <f>'Hodnocení '!HV127</f>
        <v>0</v>
      </c>
      <c r="HW131" s="357">
        <f>'Hodnocení '!HW127</f>
        <v>0</v>
      </c>
      <c r="HX131" s="357">
        <f>'Hodnocení '!HX127</f>
        <v>0</v>
      </c>
      <c r="HY131" s="357">
        <f>'Hodnocení '!HY127</f>
        <v>0</v>
      </c>
      <c r="HZ131" s="357">
        <f>'Hodnocení '!HZ127</f>
        <v>0</v>
      </c>
      <c r="IA131" s="357">
        <f>'Hodnocení '!IA127</f>
        <v>0</v>
      </c>
      <c r="IB131" s="357">
        <f>'Hodnocení '!IB127</f>
        <v>0</v>
      </c>
      <c r="IC131" s="357">
        <f>'Hodnocení '!IC127</f>
        <v>0</v>
      </c>
      <c r="ID131" s="357">
        <f>'Hodnocení '!ID127</f>
        <v>0</v>
      </c>
      <c r="IE131" s="357">
        <f>'Hodnocení '!IE127</f>
        <v>0</v>
      </c>
      <c r="IF131" s="357">
        <f>'Hodnocení '!IF127</f>
        <v>0</v>
      </c>
      <c r="IG131" s="357">
        <f>'Hodnocení '!IG127</f>
        <v>0</v>
      </c>
      <c r="IH131" s="357">
        <f>'Hodnocení '!IH127</f>
        <v>0</v>
      </c>
      <c r="II131" s="357">
        <f>'Hodnocení '!II127</f>
        <v>0</v>
      </c>
      <c r="IJ131" s="357">
        <f>'Hodnocení '!IJ127</f>
        <v>0</v>
      </c>
      <c r="IK131" s="357">
        <f>'Hodnocení '!IK127</f>
        <v>0</v>
      </c>
      <c r="IL131" s="357">
        <f>'Hodnocení '!IL127</f>
        <v>0</v>
      </c>
      <c r="IM131" s="357">
        <f>'Hodnocení '!IM127</f>
        <v>0</v>
      </c>
      <c r="IN131" s="357">
        <f>'Hodnocení '!IN127</f>
        <v>0</v>
      </c>
      <c r="IO131" s="357">
        <f>'Hodnocení '!IO127</f>
        <v>0</v>
      </c>
      <c r="IP131" s="357">
        <f>'Hodnocení '!IP127</f>
        <v>0</v>
      </c>
      <c r="IQ131" s="357">
        <f>'Hodnocení '!IQ127</f>
        <v>0</v>
      </c>
      <c r="IR131" s="357">
        <f>'Hodnocení '!IR127</f>
        <v>0</v>
      </c>
      <c r="IS131" s="357">
        <f>'Hodnocení '!IS127</f>
        <v>0</v>
      </c>
      <c r="IT131" s="357">
        <f>'Hodnocení '!IT127</f>
        <v>0</v>
      </c>
      <c r="IU131" s="357">
        <f>'Hodnocení '!IU127</f>
        <v>0</v>
      </c>
      <c r="IV131" s="357">
        <f>'Hodnocení '!IV127</f>
        <v>0</v>
      </c>
      <c r="IW131" s="357">
        <f>'Hodnocení '!IW127</f>
        <v>0</v>
      </c>
      <c r="IX131" s="357">
        <f>'Hodnocení '!IX127</f>
        <v>0</v>
      </c>
      <c r="IY131" s="357">
        <f>'Hodnocení '!IY127</f>
        <v>0</v>
      </c>
      <c r="IZ131" s="357">
        <f>'Hodnocení '!IZ127</f>
        <v>0</v>
      </c>
      <c r="JA131" s="357">
        <f>'Hodnocení '!JA127</f>
        <v>0</v>
      </c>
      <c r="JB131" s="357">
        <f>'Hodnocení '!JB127</f>
        <v>0</v>
      </c>
      <c r="JC131" s="357">
        <f>'Hodnocení '!JC127</f>
        <v>0</v>
      </c>
      <c r="JD131" s="357">
        <f>'Hodnocení '!JD127</f>
        <v>0</v>
      </c>
      <c r="JE131" s="357">
        <f>'Hodnocení '!JE127</f>
        <v>0</v>
      </c>
      <c r="JF131" s="357">
        <f>'Hodnocení '!JF127</f>
        <v>0</v>
      </c>
      <c r="JG131" s="357">
        <f>'Hodnocení '!JG127</f>
        <v>0</v>
      </c>
      <c r="JH131" s="772">
        <f>'Hodnocení '!JH127</f>
        <v>0</v>
      </c>
      <c r="JI131" s="315">
        <f>'Hodnocení '!JI127</f>
        <v>0</v>
      </c>
    </row>
    <row r="132" spans="1:276" hidden="1" x14ac:dyDescent="0.25">
      <c r="B132" s="743" t="s">
        <v>2616</v>
      </c>
      <c r="C132" s="779">
        <f>'Hodnocení '!C128</f>
        <v>8934422.5558247231</v>
      </c>
      <c r="D132" s="479">
        <f>'Hodnocení '!D128</f>
        <v>8030000</v>
      </c>
      <c r="E132" s="479">
        <f>'Hodnocení '!E128</f>
        <v>8479184.4088107012</v>
      </c>
      <c r="F132" s="479">
        <f>'Hodnocení '!F128</f>
        <v>3978884.7088353573</v>
      </c>
      <c r="G132" s="479">
        <f>'Hodnocení '!G128</f>
        <v>11754503.127290595</v>
      </c>
      <c r="H132" s="479">
        <f>'Hodnocení '!H128</f>
        <v>1616710.4161113091</v>
      </c>
      <c r="I132" s="479">
        <f>'Hodnocení '!I128</f>
        <v>3882379.4741952131</v>
      </c>
      <c r="J132" s="479">
        <f>'Hodnocení '!J128</f>
        <v>2983617.8557661893</v>
      </c>
      <c r="K132" s="479">
        <f>'Hodnocení '!K128</f>
        <v>6343551.1287726387</v>
      </c>
      <c r="L132" s="479">
        <f>'Hodnocení '!L128</f>
        <v>4056720</v>
      </c>
      <c r="M132" s="479">
        <f>'Hodnocení '!M128</f>
        <v>3984275.238895766</v>
      </c>
      <c r="N132" s="479">
        <f>'Hodnocení '!N128</f>
        <v>5909828.6030266704</v>
      </c>
      <c r="O132" s="479">
        <f>'Hodnocení '!O128</f>
        <v>4613641</v>
      </c>
      <c r="P132" s="479">
        <f>'Hodnocení '!P128</f>
        <v>2881026.0021816893</v>
      </c>
      <c r="Q132" s="479">
        <f>'Hodnocení '!Q128</f>
        <v>2005488.4791010155</v>
      </c>
      <c r="R132" s="479">
        <f>'Hodnocení '!R128</f>
        <v>2486000</v>
      </c>
      <c r="S132" s="479">
        <f>'Hodnocení '!S128</f>
        <v>1753236.8</v>
      </c>
      <c r="T132" s="479">
        <f>'Hodnocení '!T128</f>
        <v>742773.51077815378</v>
      </c>
      <c r="U132" s="479">
        <f>'Hodnocení '!U128</f>
        <v>1252500</v>
      </c>
      <c r="V132" s="479">
        <f>'Hodnocení '!V128</f>
        <v>12810620</v>
      </c>
      <c r="W132" s="479">
        <f>'Hodnocení '!W128</f>
        <v>3064000</v>
      </c>
      <c r="X132" s="479">
        <f>'Hodnocení '!X128</f>
        <v>2426335.8095085779</v>
      </c>
      <c r="Y132" s="479">
        <f>'Hodnocení '!Y128</f>
        <v>1870700</v>
      </c>
      <c r="Z132" s="479">
        <f>'Hodnocení '!Z128</f>
        <v>7231924</v>
      </c>
      <c r="AA132" s="479">
        <f>'Hodnocení '!AA128</f>
        <v>4539705.4490248738</v>
      </c>
      <c r="AB132" s="479">
        <f>'Hodnocení '!AB128</f>
        <v>3832465.2857224136</v>
      </c>
      <c r="AC132" s="479">
        <f>'Hodnocení '!AC128</f>
        <v>640000.31194833247</v>
      </c>
      <c r="AD132" s="479">
        <f>'Hodnocení '!AD128</f>
        <v>2747029.1206235653</v>
      </c>
      <c r="AE132" s="479">
        <f>'Hodnocení '!AE128</f>
        <v>1222248.5258989439</v>
      </c>
      <c r="AF132" s="479">
        <f>'Hodnocení '!AF128</f>
        <v>3535587.1590829347</v>
      </c>
      <c r="AG132" s="479">
        <f>'Hodnocení '!AG128</f>
        <v>3718312.7548698969</v>
      </c>
      <c r="AH132" s="479">
        <f>'Hodnocení '!AH128</f>
        <v>861700</v>
      </c>
      <c r="AI132" s="479">
        <f>'Hodnocení '!AI128</f>
        <v>3682820</v>
      </c>
      <c r="AJ132" s="479">
        <f>'Hodnocení '!AJ128</f>
        <v>2762960</v>
      </c>
      <c r="AK132" s="479">
        <f>'Hodnocení '!AK128</f>
        <v>1339732</v>
      </c>
      <c r="AL132" s="479">
        <f>'Hodnocení '!AL128</f>
        <v>2156909.1633510776</v>
      </c>
      <c r="AM132" s="479">
        <f>'Hodnocení '!AM128</f>
        <v>1559824.3726341231</v>
      </c>
      <c r="AN132" s="479">
        <f>'Hodnocení '!AN128</f>
        <v>1243955.198498779</v>
      </c>
      <c r="AO132" s="479">
        <f>'Hodnocení '!AO128</f>
        <v>7464755.5596356187</v>
      </c>
      <c r="AP132" s="479">
        <f>'Hodnocení '!AP128</f>
        <v>2264025.1162296012</v>
      </c>
      <c r="AQ132" s="479">
        <f>'Hodnocení '!AQ128</f>
        <v>541000</v>
      </c>
      <c r="AR132" s="479">
        <f>'Hodnocení '!AR128</f>
        <v>1671240.3992508459</v>
      </c>
      <c r="AS132" s="479">
        <f>'Hodnocení '!AS128</f>
        <v>532253.22022333392</v>
      </c>
      <c r="AT132" s="479">
        <f>'Hodnocení '!AT128</f>
        <v>2667113.4323683418</v>
      </c>
      <c r="AU132" s="479">
        <f>'Hodnocení '!AU128</f>
        <v>1152216.9394664213</v>
      </c>
      <c r="AV132" s="479">
        <f>'Hodnocení '!AV128</f>
        <v>2120960.6772952261</v>
      </c>
      <c r="AW132" s="479">
        <f>'Hodnocení '!AW128</f>
        <v>3515922.5550434329</v>
      </c>
      <c r="AX132" s="479">
        <f>'Hodnocení '!AX128</f>
        <v>3498135.311080751</v>
      </c>
      <c r="AY132" s="479">
        <f>'Hodnocení '!AY128</f>
        <v>3538190.5406568907</v>
      </c>
      <c r="AZ132" s="479">
        <f>'Hodnocení '!AZ128</f>
        <v>3137185</v>
      </c>
      <c r="BA132" s="479">
        <f>'Hodnocení '!BA128</f>
        <v>10350000</v>
      </c>
      <c r="BB132" s="479">
        <f>'Hodnocení '!BB128</f>
        <v>1452920</v>
      </c>
      <c r="BC132" s="479">
        <f>'Hodnocení '!BC128</f>
        <v>1360742.4938025323</v>
      </c>
      <c r="BD132" s="479">
        <f>'Hodnocení '!BD128</f>
        <v>2220258.3325785431</v>
      </c>
      <c r="BE132" s="479">
        <f>'Hodnocení '!BE128</f>
        <v>1466934.3566507786</v>
      </c>
      <c r="BF132" s="479">
        <f>'Hodnocení '!BF128</f>
        <v>2396000</v>
      </c>
      <c r="BG132" s="479">
        <f>'Hodnocení '!BG128</f>
        <v>2989000</v>
      </c>
      <c r="BH132" s="479">
        <f>'Hodnocení '!BH128</f>
        <v>3603000</v>
      </c>
      <c r="BI132" s="479">
        <f>'Hodnocení '!BI128</f>
        <v>1370000</v>
      </c>
      <c r="BJ132" s="479">
        <f>'Hodnocení '!BJ128</f>
        <v>2953458.8535647267</v>
      </c>
      <c r="BK132" s="479">
        <f>'Hodnocení '!BK128</f>
        <v>1036000</v>
      </c>
      <c r="BL132" s="479">
        <f>'Hodnocení '!BL128</f>
        <v>484189.8882988008</v>
      </c>
      <c r="BM132" s="479">
        <f>'Hodnocení '!BM128</f>
        <v>1594642.96</v>
      </c>
      <c r="BN132" s="479">
        <f>'Hodnocení '!BN128</f>
        <v>1967101.9931537434</v>
      </c>
      <c r="BO132" s="479">
        <f>'Hodnocení '!BO128</f>
        <v>1247279.6524752458</v>
      </c>
      <c r="BP132" s="479">
        <f>'Hodnocení '!BP128</f>
        <v>5429080</v>
      </c>
      <c r="BQ132" s="479">
        <f>'Hodnocení '!BQ128</f>
        <v>965265.02928326302</v>
      </c>
      <c r="BR132" s="479">
        <f>'Hodnocení '!BR128</f>
        <v>1093021</v>
      </c>
      <c r="BS132" s="479">
        <f>'Hodnocení '!BS128</f>
        <v>1530282.2989678741</v>
      </c>
      <c r="BT132" s="479">
        <f>'Hodnocení '!BT128</f>
        <v>1114160.2661672307</v>
      </c>
      <c r="BU132" s="479">
        <f>'Hodnocení '!BU128</f>
        <v>5089338</v>
      </c>
      <c r="BV132" s="479">
        <f>'Hodnocení '!BV128</f>
        <v>1246445.7150743008</v>
      </c>
      <c r="BW132" s="479">
        <f>'Hodnocení '!BW128</f>
        <v>550509.56425867567</v>
      </c>
      <c r="BX132" s="479">
        <f>'Hodnocení '!BX128</f>
        <v>6518650.1910633538</v>
      </c>
      <c r="BY132" s="479">
        <f>'Hodnocení '!BY128</f>
        <v>2250144</v>
      </c>
      <c r="BZ132" s="479">
        <f>'Hodnocení '!BZ128</f>
        <v>474150</v>
      </c>
      <c r="CA132" s="479">
        <f>'Hodnocení '!CA128</f>
        <v>0</v>
      </c>
      <c r="CB132" s="479">
        <f>'Hodnocení '!CB128</f>
        <v>584244.89971290843</v>
      </c>
      <c r="CC132" s="479">
        <f>'Hodnocení '!CC128</f>
        <v>2642055.6625416637</v>
      </c>
      <c r="CD132" s="479">
        <f>'Hodnocení '!CD128</f>
        <v>793848.21685573971</v>
      </c>
      <c r="CE132" s="479">
        <f>'Hodnocení '!CE128</f>
        <v>14096350.125316771</v>
      </c>
      <c r="CF132" s="479">
        <f>'Hodnocení '!CF128</f>
        <v>4820517.8393289512</v>
      </c>
      <c r="CG132" s="479">
        <f>'Hodnocení '!CG128</f>
        <v>10624581.496070446</v>
      </c>
      <c r="CH132" s="479">
        <f>'Hodnocení '!CH128</f>
        <v>4849479.0792496316</v>
      </c>
      <c r="CI132" s="479">
        <f>'Hodnocení '!CI128</f>
        <v>3518851.9671994289</v>
      </c>
      <c r="CJ132" s="479">
        <f>'Hodnocení '!CJ128</f>
        <v>4666195.0818283353</v>
      </c>
      <c r="CK132" s="479">
        <f>'Hodnocení '!CK128</f>
        <v>5065000</v>
      </c>
      <c r="CL132" s="479">
        <f>'Hodnocení '!CL128</f>
        <v>3322364.0281396648</v>
      </c>
      <c r="CM132" s="479">
        <f>'Hodnocení '!CM128</f>
        <v>6951836.4399863137</v>
      </c>
      <c r="CN132" s="479">
        <f>'Hodnocení '!CN128</f>
        <v>1507009.9127194914</v>
      </c>
      <c r="CO132" s="479">
        <f>'Hodnocení '!CO128</f>
        <v>1464500</v>
      </c>
      <c r="CP132" s="479">
        <f>'Hodnocení '!CP128</f>
        <v>1483807.7168003041</v>
      </c>
      <c r="CQ132" s="479">
        <f>'Hodnocení '!CQ128</f>
        <v>6255036.573718125</v>
      </c>
      <c r="CR132" s="479">
        <f>'Hodnocení '!CR128</f>
        <v>2381094</v>
      </c>
      <c r="CS132" s="479">
        <f>'Hodnocení '!CS128</f>
        <v>3818929</v>
      </c>
      <c r="CT132" s="479">
        <f>'Hodnocení '!CT128</f>
        <v>6529679.8103662794</v>
      </c>
      <c r="CU132" s="479">
        <f>'Hodnocení '!CU128</f>
        <v>1966500</v>
      </c>
      <c r="CV132" s="479">
        <f>'Hodnocení '!CV128</f>
        <v>5979312.4157442451</v>
      </c>
      <c r="CW132" s="479">
        <f>'Hodnocení '!CW128</f>
        <v>400000</v>
      </c>
      <c r="CX132" s="479">
        <f>'Hodnocení '!CX128</f>
        <v>3830468</v>
      </c>
      <c r="CY132" s="479">
        <f>'Hodnocení '!CY128</f>
        <v>3158756.2839012085</v>
      </c>
      <c r="CZ132" s="479">
        <f>'Hodnocení '!CZ128</f>
        <v>1424700</v>
      </c>
      <c r="DA132" s="479">
        <f>'Hodnocení '!DA128</f>
        <v>7650000</v>
      </c>
      <c r="DB132" s="479">
        <f>'Hodnocení '!DB128</f>
        <v>960808</v>
      </c>
      <c r="DC132" s="479">
        <f>'Hodnocení '!DC128</f>
        <v>2217214.4635382527</v>
      </c>
      <c r="DD132" s="479">
        <f>'Hodnocení '!DD128</f>
        <v>6014369.6959123211</v>
      </c>
      <c r="DE132" s="479">
        <f>'Hodnocení '!DE128</f>
        <v>7831996.8713862468</v>
      </c>
      <c r="DF132" s="479">
        <f>'Hodnocení '!DF128</f>
        <v>5110760</v>
      </c>
      <c r="DG132" s="479">
        <f>'Hodnocení '!DG128</f>
        <v>854189.53739487671</v>
      </c>
      <c r="DH132" s="479">
        <f>'Hodnocení '!DH128</f>
        <v>2542541.0743335127</v>
      </c>
      <c r="DI132" s="479">
        <f>'Hodnocení '!DI128</f>
        <v>1171285.3840966881</v>
      </c>
      <c r="DJ132" s="479">
        <f>'Hodnocení '!DJ128</f>
        <v>2010826</v>
      </c>
      <c r="DK132" s="479">
        <f>'Hodnocení '!DK128</f>
        <v>2844260.6534043886</v>
      </c>
      <c r="DL132" s="479">
        <f>'Hodnocení '!DL128</f>
        <v>5546296.221800454</v>
      </c>
      <c r="DM132" s="479">
        <f>'Hodnocení '!DM128</f>
        <v>2413503.0838138554</v>
      </c>
      <c r="DN132" s="479">
        <f>'Hodnocení '!DN128</f>
        <v>4158667</v>
      </c>
      <c r="DO132" s="479">
        <f>'Hodnocení '!DO128</f>
        <v>1491808.9278830946</v>
      </c>
      <c r="DP132" s="479">
        <f>'Hodnocení '!DP128</f>
        <v>4460363.7799999993</v>
      </c>
      <c r="DQ132" s="479">
        <f>'Hodnocení '!DQ128</f>
        <v>4269645</v>
      </c>
      <c r="DR132" s="479">
        <f>'Hodnocení '!DR128</f>
        <v>4741236.5</v>
      </c>
      <c r="DS132" s="479">
        <f>'Hodnocení '!DS128</f>
        <v>981758.6533991067</v>
      </c>
      <c r="DT132" s="479">
        <f>'Hodnocení '!DT128</f>
        <v>3594364.0513730422</v>
      </c>
      <c r="DU132" s="479">
        <f>'Hodnocení '!DU128</f>
        <v>2379508.9633388799</v>
      </c>
      <c r="DV132" s="479">
        <f>'Hodnocení '!DV128</f>
        <v>5023333</v>
      </c>
      <c r="DW132" s="479">
        <f>'Hodnocení '!DW128</f>
        <v>1463011.5734570101</v>
      </c>
      <c r="DX132" s="479">
        <f>'Hodnocení '!DX128</f>
        <v>4919719.1541079516</v>
      </c>
      <c r="DY132" s="479">
        <f>'Hodnocení '!DY128</f>
        <v>4731142.7504826486</v>
      </c>
      <c r="DZ132" s="479">
        <f>'Hodnocení '!DZ128</f>
        <v>770133.71150518791</v>
      </c>
      <c r="EA132" s="479">
        <f>'Hodnocení '!EA128</f>
        <v>4040500</v>
      </c>
      <c r="EB132" s="479">
        <f>'Hodnocení '!EB128</f>
        <v>5976412.8583436497</v>
      </c>
      <c r="EC132" s="479">
        <f>'Hodnocení '!EC128</f>
        <v>3628637.7512384658</v>
      </c>
      <c r="ED132" s="479">
        <f>'Hodnocení '!ED128</f>
        <v>4180855.4215401057</v>
      </c>
      <c r="EE132" s="479">
        <f>'Hodnocení '!EE128</f>
        <v>720000</v>
      </c>
      <c r="EF132" s="479">
        <f>'Hodnocení '!EF128</f>
        <v>781000</v>
      </c>
      <c r="EG132" s="479">
        <f>'Hodnocení '!EG128</f>
        <v>451739.84638801351</v>
      </c>
      <c r="EH132" s="479">
        <f>'Hodnocení '!EH128</f>
        <v>675000</v>
      </c>
      <c r="EI132" s="479">
        <f>'Hodnocení '!EI128</f>
        <v>1147000</v>
      </c>
      <c r="EJ132" s="479">
        <f>'Hodnocení '!EJ128</f>
        <v>1326103.9468203406</v>
      </c>
      <c r="EK132" s="479">
        <f>'Hodnocení '!EK128</f>
        <v>4591042</v>
      </c>
      <c r="EL132" s="479">
        <f>'Hodnocení '!EL128</f>
        <v>11911075.920121742</v>
      </c>
      <c r="EM132" s="479">
        <f>'Hodnocení '!EM128</f>
        <v>3346690.3194428757</v>
      </c>
      <c r="EN132" s="479">
        <f>'Hodnocení '!EN128</f>
        <v>2677585.6414345754</v>
      </c>
      <c r="EO132" s="479">
        <f>'Hodnocení '!EO128</f>
        <v>341536.14681555587</v>
      </c>
      <c r="EP132" s="479">
        <f>'Hodnocení '!EP128</f>
        <v>3172065</v>
      </c>
      <c r="EQ132" s="479">
        <f>'Hodnocení '!EQ128</f>
        <v>2430038.1740156598</v>
      </c>
      <c r="ER132" s="479">
        <f>'Hodnocení '!ER128</f>
        <v>10464000</v>
      </c>
      <c r="ES132" s="479">
        <f>'Hodnocení '!ES128</f>
        <v>4508469.4473401569</v>
      </c>
      <c r="ET132" s="479">
        <f>'Hodnocení '!ET128</f>
        <v>901340</v>
      </c>
      <c r="EU132" s="479">
        <f>'Hodnocení '!EU128</f>
        <v>2068000</v>
      </c>
      <c r="EV132" s="479">
        <f>'Hodnocení '!EV128</f>
        <v>708085.98782481393</v>
      </c>
      <c r="EW132" s="479">
        <f>'Hodnocení '!EW128</f>
        <v>4265057.7705038227</v>
      </c>
      <c r="EX132" s="479">
        <f>'Hodnocení '!EX128</f>
        <v>9174308.9853405356</v>
      </c>
      <c r="EY132" s="479">
        <f>'Hodnocení '!EY128</f>
        <v>3084272.2581338729</v>
      </c>
      <c r="EZ132" s="479">
        <f>'Hodnocení '!EZ128</f>
        <v>1761805</v>
      </c>
      <c r="FA132" s="479">
        <f>'Hodnocení '!FA128</f>
        <v>1986261</v>
      </c>
      <c r="FB132" s="479">
        <f>'Hodnocení '!FB128</f>
        <v>177814.53304874955</v>
      </c>
      <c r="FC132" s="479">
        <f>'Hodnocení '!FC128</f>
        <v>7704203.9813623689</v>
      </c>
      <c r="FD132" s="479">
        <f>'Hodnocení '!FD128</f>
        <v>2611204.6825002879</v>
      </c>
      <c r="FE132" s="479">
        <f>'Hodnocení '!FE128</f>
        <v>775452.91334718862</v>
      </c>
      <c r="FF132" s="479">
        <f>'Hodnocení '!FF128</f>
        <v>2441591.96</v>
      </c>
      <c r="FG132" s="479">
        <f>'Hodnocení '!FG128</f>
        <v>8134700</v>
      </c>
      <c r="FH132" s="479">
        <f>'Hodnocení '!FH128</f>
        <v>7432106.0491879787</v>
      </c>
      <c r="FI132" s="479">
        <f>'Hodnocení '!FI128</f>
        <v>9382387.4650456514</v>
      </c>
      <c r="FJ132" s="479">
        <f>'Hodnocení '!FJ128</f>
        <v>3031903.9697589939</v>
      </c>
      <c r="FK132" s="479">
        <f>'Hodnocení '!FK128</f>
        <v>750559.20273714163</v>
      </c>
      <c r="FL132" s="479">
        <f>'Hodnocení '!FL128</f>
        <v>789530.78772289003</v>
      </c>
      <c r="FM132" s="479">
        <f>'Hodnocení '!FM128</f>
        <v>2756028.1290333569</v>
      </c>
      <c r="FN132" s="479">
        <f>'Hodnocení '!FN128</f>
        <v>7591920.5498415343</v>
      </c>
      <c r="FO132" s="479">
        <f>'Hodnocení '!FO128</f>
        <v>2732804.1373999999</v>
      </c>
      <c r="FP132" s="479">
        <f>'Hodnocení '!FP128</f>
        <v>15675748.308851836</v>
      </c>
      <c r="FQ132" s="479">
        <f>'Hodnocení '!FQ128</f>
        <v>2090478.2238</v>
      </c>
      <c r="FR132" s="479">
        <f>'Hodnocení '!FR128</f>
        <v>3667538.8959850422</v>
      </c>
      <c r="FS132" s="479">
        <f>'Hodnocení '!FS128</f>
        <v>621074.94999999995</v>
      </c>
      <c r="FT132" s="479">
        <f>'Hodnocení '!FT128</f>
        <v>5496114.9640901601</v>
      </c>
      <c r="FU132" s="479">
        <f>'Hodnocení '!FU128</f>
        <v>670129.80444292724</v>
      </c>
      <c r="FV132" s="479">
        <f>'Hodnocení '!FV128</f>
        <v>1777591.1692367394</v>
      </c>
      <c r="FW132" s="479">
        <f>'Hodnocení '!FW128</f>
        <v>1559001.0304257704</v>
      </c>
      <c r="FX132" s="479">
        <f>'Hodnocení '!FX128</f>
        <v>786737.68336206744</v>
      </c>
      <c r="FY132" s="479">
        <f>'Hodnocení '!FY128</f>
        <v>347190</v>
      </c>
      <c r="FZ132" s="479">
        <f>'Hodnocení '!FZ128</f>
        <v>7479444.0852688877</v>
      </c>
      <c r="GA132" s="479">
        <f>'Hodnocení '!GA128</f>
        <v>945836.12772381899</v>
      </c>
      <c r="GB132" s="479">
        <f>'Hodnocení '!GB128</f>
        <v>6407540.119887175</v>
      </c>
      <c r="GC132" s="479">
        <f>'Hodnocení '!GC128</f>
        <v>3598084.1398516875</v>
      </c>
      <c r="GD132" s="479">
        <f>'Hodnocení '!GD128</f>
        <v>12815479.70740211</v>
      </c>
      <c r="GE132" s="479">
        <f>'Hodnocení '!GE128</f>
        <v>2192590</v>
      </c>
      <c r="GF132" s="479">
        <f>'Hodnocení '!GF128</f>
        <v>5042575.8495693263</v>
      </c>
      <c r="GG132" s="479">
        <f>'Hodnocení '!GG128</f>
        <v>1597418.4633801784</v>
      </c>
      <c r="GH132" s="479">
        <f>'Hodnocení '!GH128</f>
        <v>1334717</v>
      </c>
      <c r="GI132" s="479">
        <f>'Hodnocení '!GI128</f>
        <v>14199404.174783316</v>
      </c>
      <c r="GJ132" s="479">
        <f>'Hodnocení '!GJ128</f>
        <v>2830470.3392906617</v>
      </c>
      <c r="GK132" s="479">
        <f>'Hodnocení '!GK128</f>
        <v>1842000</v>
      </c>
      <c r="GL132" s="479">
        <f>'Hodnocení '!GL128</f>
        <v>1122954.0282560983</v>
      </c>
      <c r="GM132" s="479">
        <f>'Hodnocení '!GM128</f>
        <v>1287537.5227555283</v>
      </c>
      <c r="GN132" s="479">
        <f>'Hodnocení '!GN128</f>
        <v>995166.72011215368</v>
      </c>
      <c r="GO132" s="479">
        <f>'Hodnocení '!GO128</f>
        <v>5972795.486137961</v>
      </c>
      <c r="GP132" s="479">
        <f>'Hodnocení '!GP128</f>
        <v>1262794.6236577039</v>
      </c>
      <c r="GQ132" s="479">
        <f>'Hodnocení '!GQ128</f>
        <v>1375996.788716861</v>
      </c>
      <c r="GR132" s="479">
        <f>'Hodnocení '!GR128</f>
        <v>1553990</v>
      </c>
      <c r="GS132" s="479">
        <f>'Hodnocení '!GS128</f>
        <v>849738.18</v>
      </c>
      <c r="GT132" s="479">
        <f>'Hodnocení '!GT128</f>
        <v>14089153.908943567</v>
      </c>
      <c r="GU132" s="479">
        <f>'Hodnocení '!GU128</f>
        <v>1287440</v>
      </c>
      <c r="GV132" s="479">
        <f>'Hodnocení '!GV128</f>
        <v>7486744.54</v>
      </c>
      <c r="GW132" s="479">
        <f>'Hodnocení '!GW128</f>
        <v>2130557.8890742715</v>
      </c>
      <c r="GX132" s="479">
        <f>'Hodnocení '!GX128</f>
        <v>653673.85</v>
      </c>
      <c r="GY132" s="479">
        <f>'Hodnocení '!GY128</f>
        <v>25759700.678891905</v>
      </c>
      <c r="GZ132" s="479">
        <f>'Hodnocení '!GZ128</f>
        <v>4427622.0821035299</v>
      </c>
      <c r="HA132" s="479">
        <f>'Hodnocení '!HA128</f>
        <v>11250847.457627118</v>
      </c>
      <c r="HB132" s="479">
        <f>'Hodnocení '!HB128</f>
        <v>9791824.8575916179</v>
      </c>
      <c r="HC132" s="479">
        <f>'Hodnocení '!HC128</f>
        <v>12220657.458143093</v>
      </c>
      <c r="HD132" s="479">
        <f>'Hodnocení '!HD128</f>
        <v>3805859.7255373849</v>
      </c>
      <c r="HE132" s="479">
        <f>'Hodnocení '!HE128</f>
        <v>7916545</v>
      </c>
      <c r="HF132" s="479">
        <f>'Hodnocení '!HF128</f>
        <v>2111175.9347607326</v>
      </c>
      <c r="HG132" s="479">
        <f>'Hodnocení '!HG128</f>
        <v>789691.77760522265</v>
      </c>
      <c r="HH132" s="479">
        <f>'Hodnocení '!HH128</f>
        <v>3346661.6805709461</v>
      </c>
      <c r="HI132" s="479">
        <f>'Hodnocení '!HI128</f>
        <v>3833943.1770259617</v>
      </c>
      <c r="HJ132" s="479">
        <f>'Hodnocení '!HJ128</f>
        <v>1389108.8310215683</v>
      </c>
      <c r="HK132" s="479">
        <f>'Hodnocení '!HK128</f>
        <v>992500</v>
      </c>
      <c r="HL132" s="479">
        <f>'Hodnocení '!HL128</f>
        <v>37616967.243574739</v>
      </c>
      <c r="HM132" s="479">
        <f>'Hodnocení '!HM128</f>
        <v>25001512.541579325</v>
      </c>
      <c r="HN132" s="479">
        <f>'Hodnocení '!HN128</f>
        <v>992757.48207886913</v>
      </c>
      <c r="HO132" s="479">
        <f>'Hodnocení '!HO128</f>
        <v>2847160.6666890793</v>
      </c>
      <c r="HP132" s="479">
        <f>'Hodnocení '!HP128</f>
        <v>27787218</v>
      </c>
      <c r="HQ132" s="479">
        <f>'Hodnocení '!HQ128</f>
        <v>978043.38080963399</v>
      </c>
      <c r="HR132" s="479">
        <f>'Hodnocení '!HR128</f>
        <v>34333691.281565279</v>
      </c>
      <c r="HS132" s="479">
        <f>'Hodnocení '!HS128</f>
        <v>6456227.33762509</v>
      </c>
      <c r="HT132" s="479">
        <f>'Hodnocení '!HT128</f>
        <v>22599685</v>
      </c>
      <c r="HU132" s="479">
        <f>'Hodnocení '!HU128</f>
        <v>21556860</v>
      </c>
      <c r="HV132" s="479">
        <f>'Hodnocení '!HV128</f>
        <v>18189127</v>
      </c>
      <c r="HW132" s="479">
        <f>'Hodnocení '!HW128</f>
        <v>4980541.9659980796</v>
      </c>
      <c r="HX132" s="479">
        <f>'Hodnocení '!HX128</f>
        <v>20768528.03400192</v>
      </c>
      <c r="HY132" s="479">
        <f>'Hodnocení '!HY128</f>
        <v>21115762</v>
      </c>
      <c r="HZ132" s="479">
        <f>'Hodnocení '!HZ128</f>
        <v>9565941</v>
      </c>
      <c r="IA132" s="479">
        <f>'Hodnocení '!IA128</f>
        <v>9107487</v>
      </c>
      <c r="IB132" s="479">
        <f>'Hodnocení '!IB128</f>
        <v>9035181</v>
      </c>
      <c r="IC132" s="479">
        <f>'Hodnocení '!IC128</f>
        <v>11233714.822746631</v>
      </c>
      <c r="ID132" s="479">
        <f>'Hodnocení '!ID128</f>
        <v>9255791.1772533692</v>
      </c>
      <c r="IE132" s="479">
        <f>'Hodnocení '!IE128</f>
        <v>16688892</v>
      </c>
      <c r="IF132" s="479">
        <f>'Hodnocení '!IF128</f>
        <v>20509987.198794641</v>
      </c>
      <c r="IG132" s="479">
        <f>'Hodnocení '!IG128</f>
        <v>5446079.8012053594</v>
      </c>
      <c r="IH132" s="479">
        <f>'Hodnocení '!IH128</f>
        <v>3012886.5890955012</v>
      </c>
      <c r="II132" s="479">
        <f>'Hodnocení '!II128</f>
        <v>21271865.049244203</v>
      </c>
      <c r="IJ132" s="479">
        <f>'Hodnocení '!IJ128</f>
        <v>1774908.5338407224</v>
      </c>
      <c r="IK132" s="479">
        <f>'Hodnocení '!IK128</f>
        <v>3740263.7456418383</v>
      </c>
      <c r="IL132" s="479">
        <f>'Hodnocení '!IL128</f>
        <v>10104656</v>
      </c>
      <c r="IM132" s="479">
        <f>'Hodnocení '!IM128</f>
        <v>701837.84282009513</v>
      </c>
      <c r="IN132" s="479">
        <f>'Hodnocení '!IN128</f>
        <v>10213951.504810652</v>
      </c>
      <c r="IO132" s="479">
        <f>'Hodnocení '!IO128</f>
        <v>3412493.6523692533</v>
      </c>
      <c r="IP132" s="479">
        <f>'Hodnocení '!IP128</f>
        <v>22515867</v>
      </c>
      <c r="IQ132" s="479">
        <f>'Hodnocení '!IQ128</f>
        <v>22563962.666168727</v>
      </c>
      <c r="IR132" s="479">
        <f>'Hodnocení '!IR128</f>
        <v>1003066.3338312713</v>
      </c>
      <c r="IS132" s="479">
        <f>'Hodnocení '!IS128</f>
        <v>54465674.509968989</v>
      </c>
      <c r="IT132" s="479">
        <f>'Hodnocení '!IT128</f>
        <v>12509859.490031006</v>
      </c>
      <c r="IU132" s="479">
        <f>'Hodnocení '!IU128</f>
        <v>3182630.0362361362</v>
      </c>
      <c r="IV132" s="479">
        <f>'Hodnocení '!IV128</f>
        <v>8522404.8188311569</v>
      </c>
      <c r="IW132" s="479">
        <f>'Hodnocení '!IW128</f>
        <v>15638894.711101327</v>
      </c>
      <c r="IX132" s="479">
        <f>'Hodnocení '!IX128</f>
        <v>1813436.4338313788</v>
      </c>
      <c r="IY132" s="479">
        <f>'Hodnocení '!IY128</f>
        <v>5604648.4471565681</v>
      </c>
      <c r="IZ132" s="479">
        <f>'Hodnocení '!IZ128</f>
        <v>20877943.552843433</v>
      </c>
      <c r="JA132" s="479">
        <f>'Hodnocení '!JA128</f>
        <v>3115151.73</v>
      </c>
      <c r="JB132" s="479">
        <f>'Hodnocení '!JB128</f>
        <v>3055174.04</v>
      </c>
      <c r="JC132" s="479">
        <f>'Hodnocení '!JC128</f>
        <v>2348778.09</v>
      </c>
      <c r="JD132" s="479">
        <f>'Hodnocení '!JD128</f>
        <v>5154880.7</v>
      </c>
      <c r="JE132" s="479">
        <f>'Hodnocení '!JE128</f>
        <v>1159105.145059247</v>
      </c>
      <c r="JF132" s="479">
        <f>'Hodnocení '!JF128</f>
        <v>33383599.85494075</v>
      </c>
      <c r="JG132" s="479">
        <f>'Hodnocení '!JG128</f>
        <v>30062537</v>
      </c>
      <c r="JH132" s="780">
        <f>'Hodnocení '!JH128</f>
        <v>868740</v>
      </c>
      <c r="JI132" s="470">
        <f>'Hodnocení '!JI128</f>
        <v>1439538320.8919697</v>
      </c>
      <c r="JL132" s="307">
        <f>SUMIFS($C132:$JH132,$C$5:$JH$5,JL$5)</f>
        <v>25443606.964635424</v>
      </c>
      <c r="JM132" s="307">
        <f>SUMIFS($C132:$JH132,$C$5:$JH$5,JM$5)</f>
        <v>475005153.91691548</v>
      </c>
      <c r="JN132" s="307">
        <f>SUMIFS($C132:$JH132,$C$5:$JH$5,JN$5)</f>
        <v>300943186.59867406</v>
      </c>
      <c r="JO132" s="307">
        <f>SUMIFS($C132:$JH132,$C$5:$JH$5,JO$5)</f>
        <v>638146373.41174436</v>
      </c>
      <c r="JP132" s="307">
        <f t="shared" ref="JP132" si="71">SUM(JL132:JO132)</f>
        <v>1439538320.8919692</v>
      </c>
    </row>
    <row r="133" spans="1:276" hidden="1" x14ac:dyDescent="0.25">
      <c r="B133" s="743" t="s">
        <v>2617</v>
      </c>
      <c r="C133" s="815">
        <f>'Hodnocení '!C129</f>
        <v>5.5963325763457332E-3</v>
      </c>
      <c r="D133" s="484">
        <f>'Hodnocení '!D129</f>
        <v>3.7359900373599E-2</v>
      </c>
      <c r="E133" s="484">
        <f>'Hodnocení '!E129</f>
        <v>2.1228456809237739E-2</v>
      </c>
      <c r="F133" s="484">
        <f>'Hodnocení '!F129</f>
        <v>9.0980268716044171E-2</v>
      </c>
      <c r="G133" s="484">
        <f>'Hodnocení '!G129</f>
        <v>0.1213577455850154</v>
      </c>
      <c r="H133" s="484">
        <f>'Hodnocení '!H129</f>
        <v>0.43297797368295399</v>
      </c>
      <c r="I133" s="484">
        <f>'Hodnocení '!I129</f>
        <v>0.18532449101955617</v>
      </c>
      <c r="J133" s="484">
        <f>'Hodnocení '!J129</f>
        <v>0.06</v>
      </c>
      <c r="K133" s="484">
        <f>'Hodnocení '!K129</f>
        <v>5.6036614438294323E-2</v>
      </c>
      <c r="L133" s="484">
        <f>'Hodnocení '!L129</f>
        <v>6.94526612632866E-2</v>
      </c>
      <c r="M133" s="484">
        <f>'Hodnocení '!M129</f>
        <v>7.9437283074780082E-2</v>
      </c>
      <c r="N133" s="484">
        <f>'Hodnocení '!N129</f>
        <v>9.289609511159666E-2</v>
      </c>
      <c r="O133" s="484">
        <f>'Hodnocení '!O129</f>
        <v>6.6650179326913389E-2</v>
      </c>
      <c r="P133" s="484">
        <f>'Hodnocení '!P129</f>
        <v>0.1485581871444035</v>
      </c>
      <c r="Q133" s="484">
        <f>'Hodnocení '!Q129</f>
        <v>8.4268746373330594E-2</v>
      </c>
      <c r="R133" s="484">
        <f>'Hodnocení '!R129</f>
        <v>0.18342719227674981</v>
      </c>
      <c r="S133" s="484">
        <f>'Hodnocení '!S129</f>
        <v>6.6211249957792345E-2</v>
      </c>
      <c r="T133" s="484">
        <f>'Hodnocení '!T129</f>
        <v>0.1615566498518291</v>
      </c>
      <c r="U133" s="484">
        <f>'Hodnocení '!U129</f>
        <v>0.1317365269461078</v>
      </c>
      <c r="V133" s="484">
        <f>'Hodnocení '!V129</f>
        <v>0.3369860319016566</v>
      </c>
      <c r="W133" s="484">
        <f>'Hodnocení '!W129</f>
        <v>0.30483028720626631</v>
      </c>
      <c r="X133" s="484">
        <f>'Hodnocení '!X129</f>
        <v>5.0281580777851803E-2</v>
      </c>
      <c r="Y133" s="484">
        <f>'Hodnocení '!Y129</f>
        <v>5.3455925589351583E-2</v>
      </c>
      <c r="Z133" s="484">
        <f>'Hodnocení '!Z129</f>
        <v>0</v>
      </c>
      <c r="AA133" s="484">
        <f>'Hodnocení '!AA129</f>
        <v>6.498218955226838E-2</v>
      </c>
      <c r="AB133" s="484">
        <f>'Hodnocení '!AB129</f>
        <v>4.027031388254524E-2</v>
      </c>
      <c r="AC133" s="484">
        <f>'Hodnocení '!AC129</f>
        <v>0</v>
      </c>
      <c r="AD133" s="484">
        <f>'Hodnocení '!AD129</f>
        <v>5.7079846304798905E-2</v>
      </c>
      <c r="AE133" s="484">
        <f>'Hodnocení '!AE129</f>
        <v>7.2652981875915165E-2</v>
      </c>
      <c r="AF133" s="484">
        <f>'Hodnocení '!AF129</f>
        <v>5.9999999999999991E-2</v>
      </c>
      <c r="AG133" s="484">
        <f>'Hodnocení '!AG129</f>
        <v>7.194123185298322E-2</v>
      </c>
      <c r="AH133" s="484">
        <f>'Hodnocení '!AH129</f>
        <v>0.11802251363583614</v>
      </c>
      <c r="AI133" s="484">
        <f>'Hodnocení '!AI129</f>
        <v>7.570828875698514E-2</v>
      </c>
      <c r="AJ133" s="484">
        <f>'Hodnocení '!AJ129</f>
        <v>6.4409184353012711E-2</v>
      </c>
      <c r="AK133" s="484">
        <f>'Hodnocení '!AK129</f>
        <v>6.5932589502975217E-2</v>
      </c>
      <c r="AL133" s="484">
        <f>'Hodnocení '!AL129</f>
        <v>9.4579782712340008E-2</v>
      </c>
      <c r="AM133" s="484">
        <f>'Hodnocení '!AM129</f>
        <v>3.8540236359097452E-2</v>
      </c>
      <c r="AN133" s="484">
        <f>'Hodnocení '!AN129</f>
        <v>7.63693098550874E-2</v>
      </c>
      <c r="AO133" s="484">
        <f>'Hodnocení '!AO129</f>
        <v>0.34575814028744806</v>
      </c>
      <c r="AP133" s="484">
        <f>'Hodnocení '!AP129</f>
        <v>6.1509918331611499E-2</v>
      </c>
      <c r="AQ133" s="484">
        <f>'Hodnocení '!AQ129</f>
        <v>9.2421441774491686E-2</v>
      </c>
      <c r="AR133" s="484">
        <f>'Hodnocení '!AR129</f>
        <v>8.3470935756778372E-2</v>
      </c>
      <c r="AS133" s="484">
        <f>'Hodnocení '!AS129</f>
        <v>6.9515784206011511E-2</v>
      </c>
      <c r="AT133" s="484">
        <f>'Hodnocení '!AT129</f>
        <v>6.336438411242655E-2</v>
      </c>
      <c r="AU133" s="484">
        <f>'Hodnocení '!AU129</f>
        <v>0.13886273888152886</v>
      </c>
      <c r="AV133" s="484">
        <f>'Hodnocení '!AV129</f>
        <v>5.5305127179249673E-2</v>
      </c>
      <c r="AW133" s="484">
        <f>'Hodnocení '!AW129</f>
        <v>4.4483346135042491E-2</v>
      </c>
      <c r="AX133" s="484">
        <f>'Hodnocení '!AX129</f>
        <v>7.3753579280582696E-2</v>
      </c>
      <c r="AY133" s="484">
        <f>'Hodnocení '!AY129</f>
        <v>6.7266021223326644E-2</v>
      </c>
      <c r="AZ133" s="484">
        <f>'Hodnocení '!AZ129</f>
        <v>4.9785078023769719E-2</v>
      </c>
      <c r="BA133" s="484">
        <f>'Hodnocení '!BA129</f>
        <v>0.10821256038647344</v>
      </c>
      <c r="BB133" s="484">
        <f>'Hodnocení '!BB129</f>
        <v>9.6357679707072652E-2</v>
      </c>
      <c r="BC133" s="484">
        <f>'Hodnocení '!BC129</f>
        <v>0.10068032755937517</v>
      </c>
      <c r="BD133" s="484">
        <f>'Hodnocení '!BD129</f>
        <v>0.13692100398377666</v>
      </c>
      <c r="BE133" s="484">
        <f>'Hodnocení '!BE129</f>
        <v>0.11997810208892594</v>
      </c>
      <c r="BF133" s="484">
        <f>'Hodnocení '!BF129</f>
        <v>0.15692821368948248</v>
      </c>
      <c r="BG133" s="484">
        <f>'Hodnocení '!BG129</f>
        <v>0.16393442622950818</v>
      </c>
      <c r="BH133" s="484">
        <f>'Hodnocení '!BH129</f>
        <v>0.11018595614765474</v>
      </c>
      <c r="BI133" s="484">
        <f>'Hodnocení '!BI129</f>
        <v>7.2992700729927001E-2</v>
      </c>
      <c r="BJ133" s="484">
        <f>'Hodnocení '!BJ129</f>
        <v>7.4150347392066857E-2</v>
      </c>
      <c r="BK133" s="484">
        <f>'Hodnocení '!BK129</f>
        <v>4.633204633204633E-2</v>
      </c>
      <c r="BL133" s="484">
        <f>'Hodnocení '!BL129</f>
        <v>0.06</v>
      </c>
      <c r="BM133" s="484">
        <f>'Hodnocení '!BM129</f>
        <v>8.1408166753515782E-2</v>
      </c>
      <c r="BN133" s="484">
        <f>'Hodnocení '!BN129</f>
        <v>0.16572602800190478</v>
      </c>
      <c r="BO133" s="484">
        <f>'Hodnocení '!BO129</f>
        <v>0.17798734995751558</v>
      </c>
      <c r="BP133" s="484">
        <f>'Hodnocení '!BP129</f>
        <v>0.14311817103450308</v>
      </c>
      <c r="BQ133" s="484">
        <f>'Hodnocení '!BQ129</f>
        <v>5.331945781790394E-2</v>
      </c>
      <c r="BR133" s="484">
        <f>'Hodnocení '!BR129</f>
        <v>7.3191640416789799E-2</v>
      </c>
      <c r="BS133" s="484">
        <f>'Hodnocení '!BS129</f>
        <v>0.15029906583584451</v>
      </c>
      <c r="BT133" s="484">
        <f>'Hodnocení '!BT129</f>
        <v>0.17950738872425456</v>
      </c>
      <c r="BU133" s="484">
        <f>'Hodnocení '!BU129</f>
        <v>0.22596259081240036</v>
      </c>
      <c r="BV133" s="484">
        <f>'Hodnocení '!BV129</f>
        <v>5.4986493938054909E-2</v>
      </c>
      <c r="BW133" s="484">
        <f>'Hodnocení '!BW129</f>
        <v>3.2381933786529579E-2</v>
      </c>
      <c r="BX133" s="484">
        <f>'Hodnocení '!BX129</f>
        <v>0.20092518567656803</v>
      </c>
      <c r="BY133" s="484">
        <f>'Hodnocení '!BY129</f>
        <v>0.32442368132883942</v>
      </c>
      <c r="BZ133" s="484">
        <f>'Hodnocení '!BZ129</f>
        <v>0.31635558367605188</v>
      </c>
      <c r="CA133" s="484" t="e">
        <f>'Hodnocení '!CA129</f>
        <v>#DIV/0!</v>
      </c>
      <c r="CB133" s="484">
        <f>'Hodnocení '!CB129</f>
        <v>2.1781616403830899E-2</v>
      </c>
      <c r="CC133" s="484">
        <f>'Hodnocení '!CC129</f>
        <v>0.15291123715817215</v>
      </c>
      <c r="CD133" s="484">
        <f>'Hodnocení '!CD129</f>
        <v>0.19651111722324213</v>
      </c>
      <c r="CE133" s="484">
        <f>'Hodnocení '!CE129</f>
        <v>0.31081095184570295</v>
      </c>
      <c r="CF133" s="484">
        <f>'Hodnocení '!CF129</f>
        <v>7.6112154799343093E-2</v>
      </c>
      <c r="CG133" s="484">
        <f>'Hodnocení '!CG129</f>
        <v>0.17224207849286435</v>
      </c>
      <c r="CH133" s="484">
        <f>'Hodnocení '!CH129</f>
        <v>0.18352486637342319</v>
      </c>
      <c r="CI133" s="484">
        <f>'Hodnocení '!CI129</f>
        <v>5.6836718868618755E-2</v>
      </c>
      <c r="CJ133" s="484">
        <f>'Hodnocení '!CJ129</f>
        <v>0.17401758515459184</v>
      </c>
      <c r="CK133" s="484">
        <f>'Hodnocení '!CK129</f>
        <v>0.11826258637709773</v>
      </c>
      <c r="CL133" s="484">
        <f>'Hodnocení '!CL129</f>
        <v>0.15681604892999351</v>
      </c>
      <c r="CM133" s="484">
        <f>'Hodnocení '!CM129</f>
        <v>0.13514414617065554</v>
      </c>
      <c r="CN133" s="484">
        <f>'Hodnocení '!CN129</f>
        <v>0.10948833090437171</v>
      </c>
      <c r="CO133" s="484">
        <f>'Hodnocení '!CO129</f>
        <v>0.1707067258449983</v>
      </c>
      <c r="CP133" s="484">
        <f>'Hodnocení '!CP129</f>
        <v>0.14489748069488942</v>
      </c>
      <c r="CQ133" s="484">
        <f>'Hodnocení '!CQ129</f>
        <v>0.11830466397419136</v>
      </c>
      <c r="CR133" s="484">
        <f>'Hodnocení '!CR129</f>
        <v>2.0998750994290858E-2</v>
      </c>
      <c r="CS133" s="484">
        <f>'Hodnocení '!CS129</f>
        <v>0.06</v>
      </c>
      <c r="CT133" s="484">
        <f>'Hodnocení '!CT129</f>
        <v>9.1888119697303081E-2</v>
      </c>
      <c r="CU133" s="484">
        <f>'Hodnocení '!CU129</f>
        <v>4.6529366895499621E-2</v>
      </c>
      <c r="CV133" s="484">
        <f>'Hodnocení '!CV129</f>
        <v>5.5913022531303827E-2</v>
      </c>
      <c r="CW133" s="484">
        <f>'Hodnocení '!CW129</f>
        <v>0</v>
      </c>
      <c r="CX133" s="484">
        <f>'Hodnocení '!CX129</f>
        <v>9.7499313399824775E-2</v>
      </c>
      <c r="CY133" s="484">
        <f>'Hodnocení '!CY129</f>
        <v>8.7905800588407898E-2</v>
      </c>
      <c r="CZ133" s="484">
        <f>'Hodnocení '!CZ129</f>
        <v>3.5095107741980769E-2</v>
      </c>
      <c r="DA133" s="484">
        <f>'Hodnocení '!DA129</f>
        <v>0</v>
      </c>
      <c r="DB133" s="484">
        <f>'Hodnocení '!DB129</f>
        <v>0.20815813357091115</v>
      </c>
      <c r="DC133" s="484">
        <f>'Hodnocení '!DC129</f>
        <v>0.11951933579628124</v>
      </c>
      <c r="DD133" s="484">
        <f>'Hodnocení '!DD129</f>
        <v>3.5747719357212979E-2</v>
      </c>
      <c r="DE133" s="484">
        <f>'Hodnocení '!DE129</f>
        <v>3.0005119238308058E-2</v>
      </c>
      <c r="DF133" s="484">
        <f>'Hodnocení '!DF129</f>
        <v>8.8049526880542225E-2</v>
      </c>
      <c r="DG133" s="484">
        <f>'Hodnocení '!DG129</f>
        <v>6.0000000000000005E-2</v>
      </c>
      <c r="DH133" s="484">
        <f>'Hodnocení '!DH129</f>
        <v>4.1375929404631757E-2</v>
      </c>
      <c r="DI133" s="484">
        <f>'Hodnocení '!DI129</f>
        <v>2.8583981713235711E-2</v>
      </c>
      <c r="DJ133" s="484">
        <f>'Hodnocení '!DJ129</f>
        <v>4.4757726426851455E-2</v>
      </c>
      <c r="DK133" s="484">
        <f>'Hodnocení '!DK129</f>
        <v>1.4935340032621236E-2</v>
      </c>
      <c r="DL133" s="484">
        <f>'Hodnocení '!DL129</f>
        <v>0.26179633072837349</v>
      </c>
      <c r="DM133" s="484">
        <f>'Hodnocení '!DM129</f>
        <v>0.21048243253008422</v>
      </c>
      <c r="DN133" s="484">
        <f>'Hodnocení '!DN129</f>
        <v>0.13321576360886794</v>
      </c>
      <c r="DO133" s="484">
        <f>'Hodnocení '!DO129</f>
        <v>0.06</v>
      </c>
      <c r="DP133" s="484">
        <f>'Hodnocení '!DP129</f>
        <v>9.3041738402781141E-2</v>
      </c>
      <c r="DQ133" s="484">
        <f>'Hodnocení '!DQ129</f>
        <v>7.7289798097968335E-2</v>
      </c>
      <c r="DR133" s="484">
        <f>'Hodnocení '!DR129</f>
        <v>6.7115719707295768E-2</v>
      </c>
      <c r="DS133" s="484">
        <f>'Hodnocení '!DS129</f>
        <v>0.10568651780136287</v>
      </c>
      <c r="DT133" s="484">
        <f>'Hodnocení '!DT129</f>
        <v>5.9676759764515586E-2</v>
      </c>
      <c r="DU133" s="484">
        <f>'Hodnocení '!DU129</f>
        <v>0.10926624106310284</v>
      </c>
      <c r="DV133" s="484">
        <f>'Hodnocení '!DV129</f>
        <v>0.11944260912027931</v>
      </c>
      <c r="DW133" s="484">
        <f>'Hodnocení '!DW129</f>
        <v>0</v>
      </c>
      <c r="DX133" s="484">
        <f>'Hodnocení '!DX129</f>
        <v>9.2484954068989142E-2</v>
      </c>
      <c r="DY133" s="484">
        <f>'Hodnocení '!DY129</f>
        <v>3.1704813807340249E-2</v>
      </c>
      <c r="DZ133" s="484">
        <f>'Hodnocení '!DZ129</f>
        <v>0.06</v>
      </c>
      <c r="EA133" s="484">
        <f>'Hodnocení '!EA129</f>
        <v>3.2174235861898277E-2</v>
      </c>
      <c r="EB133" s="484">
        <f>'Hodnocení '!EB129</f>
        <v>3.7648001457241738E-2</v>
      </c>
      <c r="EC133" s="484">
        <f>'Hodnocení '!EC129</f>
        <v>3.3345847200840675E-2</v>
      </c>
      <c r="ED133" s="484">
        <f>'Hodnocení '!ED129</f>
        <v>9.3521531021028934E-2</v>
      </c>
      <c r="EE133" s="484">
        <f>'Hodnocení '!EE129</f>
        <v>0.15277777777777779</v>
      </c>
      <c r="EF133" s="484">
        <f>'Hodnocení '!EF129</f>
        <v>0.147247119078105</v>
      </c>
      <c r="EG133" s="484">
        <f>'Hodnocení '!EG129</f>
        <v>5.9193021385688972E-2</v>
      </c>
      <c r="EH133" s="484">
        <f>'Hodnocení '!EH129</f>
        <v>0.11851851851851852</v>
      </c>
      <c r="EI133" s="484">
        <f>'Hodnocení '!EI129</f>
        <v>0.10636442894507411</v>
      </c>
      <c r="EJ133" s="484">
        <f>'Hodnocení '!EJ129</f>
        <v>5.399790017221763E-2</v>
      </c>
      <c r="EK133" s="484">
        <f>'Hodnocení '!EK129</f>
        <v>0.14354039888983808</v>
      </c>
      <c r="EL133" s="484">
        <f>'Hodnocení '!EL129</f>
        <v>0.25312574785176783</v>
      </c>
      <c r="EM133" s="484">
        <f>'Hodnocení '!EM129</f>
        <v>0.17360435072962449</v>
      </c>
      <c r="EN133" s="484">
        <f>'Hodnocení '!EN129</f>
        <v>5.6387978445269306E-2</v>
      </c>
      <c r="EO133" s="484">
        <f>'Hodnocení '!EO129</f>
        <v>4.391921657446303E-2</v>
      </c>
      <c r="EP133" s="484">
        <f>'Hodnocení '!EP129</f>
        <v>6.3680914483152148E-2</v>
      </c>
      <c r="EQ133" s="484">
        <f>'Hodnocení '!EQ129</f>
        <v>4.6042762121032865E-2</v>
      </c>
      <c r="ER133" s="484">
        <f>'Hodnocení '!ER129</f>
        <v>0.40472094801223241</v>
      </c>
      <c r="ES133" s="484">
        <f>'Hodnocení '!ES129</f>
        <v>0.35912409275729124</v>
      </c>
      <c r="ET133" s="484">
        <f>'Hodnocení '!ET129</f>
        <v>0</v>
      </c>
      <c r="EU133" s="484">
        <f>'Hodnocení '!EU129</f>
        <v>5.8027079303675051E-3</v>
      </c>
      <c r="EV133" s="484">
        <f>'Hodnocení '!EV129</f>
        <v>0.37424833220335252</v>
      </c>
      <c r="EW133" s="484">
        <f>'Hodnocení '!EW129</f>
        <v>0.41265560625503434</v>
      </c>
      <c r="EX133" s="484">
        <f>'Hodnocení '!EX129</f>
        <v>0.3924001258026491</v>
      </c>
      <c r="EY133" s="484">
        <f>'Hodnocení '!EY129</f>
        <v>0.33236572428886679</v>
      </c>
      <c r="EZ133" s="484">
        <f>'Hodnocení '!EZ129</f>
        <v>1</v>
      </c>
      <c r="FA133" s="484">
        <f>'Hodnocení '!FA129</f>
        <v>0.50157607685998973</v>
      </c>
      <c r="FB133" s="484">
        <f>'Hodnocení '!FB129</f>
        <v>0</v>
      </c>
      <c r="FC133" s="484">
        <f>'Hodnocení '!FC129</f>
        <v>0.6051241648427379</v>
      </c>
      <c r="FD133" s="484">
        <f>'Hodnocení '!FD129</f>
        <v>0.59439997576667525</v>
      </c>
      <c r="FE133" s="484">
        <f>'Hodnocení '!FE129</f>
        <v>0.55735170061382411</v>
      </c>
      <c r="FF133" s="484">
        <f>'Hodnocení '!FF129</f>
        <v>0.40956884540199751</v>
      </c>
      <c r="FG133" s="484">
        <f>'Hodnocení '!FG129</f>
        <v>0.29890469224433597</v>
      </c>
      <c r="FH133" s="484">
        <f>'Hodnocení '!FH129</f>
        <v>0.22086606261213776</v>
      </c>
      <c r="FI133" s="484">
        <f>'Hodnocení '!FI129</f>
        <v>0.19184882384211382</v>
      </c>
      <c r="FJ133" s="484">
        <f>'Hodnocení '!FJ129</f>
        <v>0.38833123071955017</v>
      </c>
      <c r="FK133" s="484">
        <f>'Hodnocení '!FK129</f>
        <v>0.84390811236489272</v>
      </c>
      <c r="FL133" s="484">
        <f>'Hodnocení '!FL129</f>
        <v>0.63328752693997581</v>
      </c>
      <c r="FM133" s="484">
        <f>'Hodnocení '!FM129</f>
        <v>0.65783544837617169</v>
      </c>
      <c r="FN133" s="484">
        <f>'Hodnocení '!FN129</f>
        <v>7.7568646317339549E-2</v>
      </c>
      <c r="FO133" s="484">
        <f>'Hodnocení '!FO129</f>
        <v>0.39453358008517486</v>
      </c>
      <c r="FP133" s="484">
        <f>'Hodnocení '!FP129</f>
        <v>0.21208199662932103</v>
      </c>
      <c r="FQ133" s="484">
        <f>'Hodnocení '!FQ129</f>
        <v>5.6542086233809255E-2</v>
      </c>
      <c r="FR133" s="484">
        <f>'Hodnocení '!FR129</f>
        <v>0.2097975453687192</v>
      </c>
      <c r="FS133" s="484">
        <f>'Hodnocení '!FS129</f>
        <v>0.25289540336476302</v>
      </c>
      <c r="FT133" s="484">
        <f>'Hodnocení '!FT129</f>
        <v>0.40760121915878667</v>
      </c>
      <c r="FU133" s="484">
        <f>'Hodnocení '!FU129</f>
        <v>0.30486780120134122</v>
      </c>
      <c r="FV133" s="484">
        <f>'Hodnocení '!FV129</f>
        <v>0.68539044358727974</v>
      </c>
      <c r="FW133" s="484">
        <f>'Hodnocení '!FW129</f>
        <v>0.39853790207586609</v>
      </c>
      <c r="FX133" s="484">
        <f>'Hodnocení '!FX129</f>
        <v>0.51123034844499771</v>
      </c>
      <c r="FY133" s="484">
        <f>'Hodnocení '!FY129</f>
        <v>0.42394654223911982</v>
      </c>
      <c r="FZ133" s="484">
        <f>'Hodnocení '!FZ129</f>
        <v>0.65623727432725987</v>
      </c>
      <c r="GA133" s="484">
        <f>'Hodnocení '!GA129</f>
        <v>0.75145152438873286</v>
      </c>
      <c r="GB133" s="484">
        <f>'Hodnocení '!GB129</f>
        <v>0.64948169221502705</v>
      </c>
      <c r="GC133" s="484">
        <f>'Hodnocení '!GC129</f>
        <v>0.39659995279010368</v>
      </c>
      <c r="GD133" s="484">
        <f>'Hodnocení '!GD129</f>
        <v>0.38129969170924116</v>
      </c>
      <c r="GE133" s="484">
        <f>'Hodnocení '!GE129</f>
        <v>0.36817599277566715</v>
      </c>
      <c r="GF133" s="484">
        <f>'Hodnocení '!GF129</f>
        <v>0.23023947177694076</v>
      </c>
      <c r="GG133" s="484">
        <f>'Hodnocení '!GG129</f>
        <v>0.27544441865843261</v>
      </c>
      <c r="GH133" s="484">
        <f>'Hodnocení '!GH129</f>
        <v>0.20978229841981483</v>
      </c>
      <c r="GI133" s="484">
        <f>'Hodnocení '!GI129</f>
        <v>0.45389228454005548</v>
      </c>
      <c r="GJ133" s="484">
        <f>'Hodnocení '!GJ129</f>
        <v>0.35021388008906679</v>
      </c>
      <c r="GK133" s="484">
        <f>'Hodnocení '!GK129</f>
        <v>0.40282301845819762</v>
      </c>
      <c r="GL133" s="484">
        <f>'Hodnocení '!GL129</f>
        <v>0.58150198812152831</v>
      </c>
      <c r="GM133" s="484">
        <f>'Hodnocení '!GM129</f>
        <v>0.46212245428514465</v>
      </c>
      <c r="GN133" s="484">
        <f>'Hodnocení '!GN129</f>
        <v>0.20740008264820123</v>
      </c>
      <c r="GO133" s="484">
        <f>'Hodnocení '!GO129</f>
        <v>0.25180838746121104</v>
      </c>
      <c r="GP133" s="484">
        <f>'Hodnocení '!GP129</f>
        <v>0.6163599253737222</v>
      </c>
      <c r="GQ133" s="484">
        <f>'Hodnocení '!GQ129</f>
        <v>0.77500471566829654</v>
      </c>
      <c r="GR133" s="484">
        <f>'Hodnocení '!GR129</f>
        <v>0.60746208148057579</v>
      </c>
      <c r="GS133" s="484">
        <f>'Hodnocení '!GS129</f>
        <v>1</v>
      </c>
      <c r="GT133" s="484">
        <f>'Hodnocení '!GT129</f>
        <v>0.38358314735772731</v>
      </c>
      <c r="GU133" s="484">
        <f>'Hodnocení '!GU129</f>
        <v>0.37283290871807617</v>
      </c>
      <c r="GV133" s="484">
        <f>'Hodnocení '!GV129</f>
        <v>0.33215298407924576</v>
      </c>
      <c r="GW133" s="484">
        <f>'Hodnocení '!GW129</f>
        <v>0.55799140971313788</v>
      </c>
      <c r="GX133" s="484">
        <f>'Hodnocení '!GX129</f>
        <v>0.77052776396057454</v>
      </c>
      <c r="GY133" s="484">
        <f>'Hodnocení '!GY129</f>
        <v>0.56638856879091704</v>
      </c>
      <c r="GZ133" s="484">
        <f>'Hodnocení '!GZ129</f>
        <v>0.27211023625500069</v>
      </c>
      <c r="HA133" s="484">
        <f>'Hodnocení '!HA129</f>
        <v>0.53781259415486593</v>
      </c>
      <c r="HB133" s="484">
        <f>'Hodnocení '!HB129</f>
        <v>0.77105137293652393</v>
      </c>
      <c r="HC133" s="484">
        <f>'Hodnocení '!HC129</f>
        <v>0.54710640756441964</v>
      </c>
      <c r="HD133" s="484">
        <f>'Hodnocení '!HD129</f>
        <v>0.49852257750569129</v>
      </c>
      <c r="HE133" s="484">
        <f>'Hodnocení '!HE129</f>
        <v>0.375333557757835</v>
      </c>
      <c r="HF133" s="484">
        <f>'Hodnocení '!HF129</f>
        <v>0.63010238895640069</v>
      </c>
      <c r="HG133" s="484">
        <f>'Hodnocení '!HG129</f>
        <v>0.38740132375157804</v>
      </c>
      <c r="HH133" s="484">
        <f>'Hodnocení '!HH129</f>
        <v>0.44106231847976257</v>
      </c>
      <c r="HI133" s="484">
        <f>'Hodnocení '!HI129</f>
        <v>0.675544701736841</v>
      </c>
      <c r="HJ133" s="484">
        <f>'Hodnocení '!HJ129</f>
        <v>0.28161940322005335</v>
      </c>
      <c r="HK133" s="484">
        <f>'Hodnocení '!HK129</f>
        <v>1</v>
      </c>
      <c r="HL133" s="484">
        <f>'Hodnocení '!HL129</f>
        <v>0.32659412657433806</v>
      </c>
      <c r="HM133" s="484">
        <f>'Hodnocení '!HM129</f>
        <v>0.27755937979598994</v>
      </c>
      <c r="HN133" s="484">
        <f>'Hodnocení '!HN129</f>
        <v>0.22236493907400254</v>
      </c>
      <c r="HO133" s="484">
        <f>'Hodnocení '!HO129</f>
        <v>0.26916663876937746</v>
      </c>
      <c r="HP133" s="484">
        <f>'Hodnocení '!HP129</f>
        <v>0.30532023752791659</v>
      </c>
      <c r="HQ133" s="484">
        <f>'Hodnocení '!HQ129</f>
        <v>0.29720875632723909</v>
      </c>
      <c r="HR133" s="484">
        <f>'Hodnocení '!HR129</f>
        <v>0.30022074098414891</v>
      </c>
      <c r="HS133" s="484">
        <f>'Hodnocení '!HS129</f>
        <v>0.31374835487562985</v>
      </c>
      <c r="HT133" s="484">
        <f>'Hodnocení '!HT129</f>
        <v>0.2947828697612378</v>
      </c>
      <c r="HU133" s="484">
        <f>'Hodnocení '!HU129</f>
        <v>0.28213134937091949</v>
      </c>
      <c r="HV133" s="484">
        <f>'Hodnocení '!HV129</f>
        <v>0.28989846516548046</v>
      </c>
      <c r="HW133" s="484">
        <f>'Hodnocení '!HW129</f>
        <v>0.32979330790685862</v>
      </c>
      <c r="HX133" s="484">
        <f>'Hodnocení '!HX129</f>
        <v>0.36258951898448577</v>
      </c>
      <c r="HY133" s="484">
        <f>'Hodnocení '!HY129</f>
        <v>0.31777209839739623</v>
      </c>
      <c r="HZ133" s="484">
        <f>'Hodnocení '!HZ129</f>
        <v>0.28935992810325717</v>
      </c>
      <c r="IA133" s="484">
        <f>'Hodnocení '!IA129</f>
        <v>0.2940437905648397</v>
      </c>
      <c r="IB133" s="484">
        <f>'Hodnocení '!IB129</f>
        <v>0.30657935906319972</v>
      </c>
      <c r="IC133" s="484">
        <f>'Hodnocení '!IC129</f>
        <v>0.33964645852900444</v>
      </c>
      <c r="ID133" s="484">
        <f>'Hodnocení '!ID129</f>
        <v>0.27771894321108864</v>
      </c>
      <c r="IE133" s="484">
        <f>'Hodnocení '!IE129</f>
        <v>0.21900794852048899</v>
      </c>
      <c r="IF133" s="484">
        <f>'Hodnocení '!IF129</f>
        <v>0.37358173287543461</v>
      </c>
      <c r="IG133" s="484">
        <f>'Hodnocení '!IG129</f>
        <v>0.43275962289419395</v>
      </c>
      <c r="IH133" s="484">
        <f>'Hodnocení '!IH129</f>
        <v>0.41773229546903101</v>
      </c>
      <c r="II133" s="484">
        <f>'Hodnocení '!II129</f>
        <v>0.2920943805738806</v>
      </c>
      <c r="IJ133" s="484">
        <f>'Hodnocení '!IJ129</f>
        <v>0.38577986709861628</v>
      </c>
      <c r="IK133" s="484">
        <f>'Hodnocení '!IK129</f>
        <v>0.2882961788184803</v>
      </c>
      <c r="IL133" s="484">
        <f>'Hodnocení '!IL129</f>
        <v>0.27838651805662656</v>
      </c>
      <c r="IM133" s="484">
        <f>'Hodnocení '!IM129</f>
        <v>0.243644519447098</v>
      </c>
      <c r="IN133" s="484">
        <f>'Hodnocení '!IN129</f>
        <v>0.31887303304648135</v>
      </c>
      <c r="IO133" s="484">
        <f>'Hodnocení '!IO129</f>
        <v>0.36279843611375051</v>
      </c>
      <c r="IP133" s="484">
        <f>'Hodnocení '!IP129</f>
        <v>0.29308220731628942</v>
      </c>
      <c r="IQ133" s="484">
        <f>'Hodnocení '!IQ129</f>
        <v>0.31949845948123656</v>
      </c>
      <c r="IR133" s="484">
        <f>'Hodnocení '!IR129</f>
        <v>0.34080367054215149</v>
      </c>
      <c r="IS133" s="484">
        <f>'Hodnocení '!IS129</f>
        <v>0.29940930502817209</v>
      </c>
      <c r="IT133" s="484">
        <f>'Hodnocení '!IT129</f>
        <v>0.33145618065365517</v>
      </c>
      <c r="IU133" s="484">
        <f>'Hodnocení '!IU129</f>
        <v>0.36875732510401549</v>
      </c>
      <c r="IV133" s="484">
        <f>'Hodnocení '!IV129</f>
        <v>0.33292257722869462</v>
      </c>
      <c r="IW133" s="484">
        <f>'Hodnocení '!IW129</f>
        <v>0.28898325041222311</v>
      </c>
      <c r="IX133" s="484">
        <f>'Hodnocení '!IX129</f>
        <v>0.37922600719386984</v>
      </c>
      <c r="IY133" s="484">
        <f>'Hodnocení '!IY129</f>
        <v>0.41725132386103997</v>
      </c>
      <c r="IZ133" s="484">
        <f>'Hodnocení '!IZ129</f>
        <v>0.24889678442206914</v>
      </c>
      <c r="JA133" s="484">
        <f>'Hodnocení '!JA129</f>
        <v>0.26215151003254661</v>
      </c>
      <c r="JB133" s="484">
        <f>'Hodnocení '!JB129</f>
        <v>0.32344279804105697</v>
      </c>
      <c r="JC133" s="484">
        <f>'Hodnocení '!JC129</f>
        <v>0.30815090326391797</v>
      </c>
      <c r="JD133" s="484">
        <f>'Hodnocení '!JD129</f>
        <v>0.18981791372979784</v>
      </c>
      <c r="JE133" s="484">
        <f>'Hodnocení '!JE129</f>
        <v>0.60858232059820117</v>
      </c>
      <c r="JF133" s="484">
        <f>'Hodnocení '!JF129</f>
        <v>0.2444490449341031</v>
      </c>
      <c r="JG133" s="484">
        <f>'Hodnocení '!JG129</f>
        <v>0.23986406752649053</v>
      </c>
      <c r="JH133" s="816">
        <f>'Hodnocení '!JH129</f>
        <v>0</v>
      </c>
      <c r="JI133" s="768">
        <f>'Hodnocení '!JI129</f>
        <v>0.26564757067527905</v>
      </c>
      <c r="JL133" s="507">
        <f>(JL52+JL53)/JL132</f>
        <v>2.0830379935386424E-2</v>
      </c>
      <c r="JM133" s="507">
        <f>(JM52+JM53)/JM132</f>
        <v>0.12871094881584183</v>
      </c>
      <c r="JN133" s="507">
        <f>(JN52+JN53)/JN132</f>
        <v>0.43061490869933616</v>
      </c>
      <c r="JO133" s="507">
        <f>(JO52+JO53)/JO132</f>
        <v>0.38171015100767952</v>
      </c>
      <c r="JP133" s="507">
        <f>(JP52+JP53)/JP132</f>
        <v>0.30207319188592108</v>
      </c>
    </row>
    <row r="134" spans="1:276" hidden="1" x14ac:dyDescent="0.25">
      <c r="B134" s="743" t="s">
        <v>2618</v>
      </c>
      <c r="C134" s="360">
        <f>'Hodnocení '!C130</f>
        <v>0</v>
      </c>
      <c r="D134" s="357">
        <f>'Hodnocení '!D130</f>
        <v>0</v>
      </c>
      <c r="E134" s="357">
        <f>'Hodnocení '!E130</f>
        <v>0</v>
      </c>
      <c r="F134" s="357">
        <f>'Hodnocení '!F130</f>
        <v>0</v>
      </c>
      <c r="G134" s="357">
        <f>'Hodnocení '!G130</f>
        <v>0</v>
      </c>
      <c r="H134" s="357">
        <f>'Hodnocení '!H130</f>
        <v>0</v>
      </c>
      <c r="I134" s="357">
        <f>'Hodnocení '!I130</f>
        <v>0</v>
      </c>
      <c r="J134" s="357">
        <f>'Hodnocení '!J130</f>
        <v>0</v>
      </c>
      <c r="K134" s="357">
        <f>'Hodnocení '!K130</f>
        <v>0</v>
      </c>
      <c r="L134" s="357">
        <f>'Hodnocení '!L130</f>
        <v>0</v>
      </c>
      <c r="M134" s="357">
        <f>'Hodnocení '!M130</f>
        <v>0</v>
      </c>
      <c r="N134" s="357">
        <f>'Hodnocení '!N130</f>
        <v>0</v>
      </c>
      <c r="O134" s="357">
        <f>'Hodnocení '!O130</f>
        <v>0</v>
      </c>
      <c r="P134" s="357">
        <f>'Hodnocení '!P130</f>
        <v>0</v>
      </c>
      <c r="Q134" s="357">
        <f>'Hodnocení '!Q130</f>
        <v>0</v>
      </c>
      <c r="R134" s="357">
        <f>'Hodnocení '!R130</f>
        <v>0</v>
      </c>
      <c r="S134" s="357">
        <f>'Hodnocení '!S130</f>
        <v>0</v>
      </c>
      <c r="T134" s="357">
        <f>'Hodnocení '!T130</f>
        <v>0</v>
      </c>
      <c r="U134" s="357">
        <f>'Hodnocení '!U130</f>
        <v>0</v>
      </c>
      <c r="V134" s="357">
        <f>'Hodnocení '!V130</f>
        <v>0</v>
      </c>
      <c r="W134" s="357">
        <f>'Hodnocení '!W130</f>
        <v>0</v>
      </c>
      <c r="X134" s="357">
        <f>'Hodnocení '!X130</f>
        <v>0</v>
      </c>
      <c r="Y134" s="357">
        <f>'Hodnocení '!Y130</f>
        <v>0</v>
      </c>
      <c r="Z134" s="357">
        <f>'Hodnocení '!Z130</f>
        <v>0</v>
      </c>
      <c r="AA134" s="357">
        <f>'Hodnocení '!AA130</f>
        <v>0</v>
      </c>
      <c r="AB134" s="357">
        <f>'Hodnocení '!AB130</f>
        <v>0</v>
      </c>
      <c r="AC134" s="357">
        <f>'Hodnocení '!AC130</f>
        <v>0</v>
      </c>
      <c r="AD134" s="357">
        <f>'Hodnocení '!AD130</f>
        <v>0</v>
      </c>
      <c r="AE134" s="357">
        <f>'Hodnocení '!AE130</f>
        <v>0</v>
      </c>
      <c r="AF134" s="357">
        <f>'Hodnocení '!AF130</f>
        <v>0</v>
      </c>
      <c r="AG134" s="357">
        <f>'Hodnocení '!AG130</f>
        <v>0</v>
      </c>
      <c r="AH134" s="357">
        <f>'Hodnocení '!AH130</f>
        <v>0</v>
      </c>
      <c r="AI134" s="357">
        <f>'Hodnocení '!AI130</f>
        <v>0</v>
      </c>
      <c r="AJ134" s="357">
        <f>'Hodnocení '!AJ130</f>
        <v>0</v>
      </c>
      <c r="AK134" s="357">
        <f>'Hodnocení '!AK130</f>
        <v>0</v>
      </c>
      <c r="AL134" s="357">
        <f>'Hodnocení '!AL130</f>
        <v>0</v>
      </c>
      <c r="AM134" s="357">
        <f>'Hodnocení '!AM130</f>
        <v>0</v>
      </c>
      <c r="AN134" s="357">
        <f>'Hodnocení '!AN130</f>
        <v>0</v>
      </c>
      <c r="AO134" s="357">
        <f>'Hodnocení '!AO130</f>
        <v>0</v>
      </c>
      <c r="AP134" s="357">
        <f>'Hodnocení '!AP130</f>
        <v>0</v>
      </c>
      <c r="AQ134" s="357">
        <f>'Hodnocení '!AQ130</f>
        <v>0</v>
      </c>
      <c r="AR134" s="357">
        <f>'Hodnocení '!AR130</f>
        <v>0</v>
      </c>
      <c r="AS134" s="357">
        <f>'Hodnocení '!AS130</f>
        <v>0</v>
      </c>
      <c r="AT134" s="357">
        <f>'Hodnocení '!AT130</f>
        <v>0</v>
      </c>
      <c r="AU134" s="357">
        <f>'Hodnocení '!AU130</f>
        <v>0</v>
      </c>
      <c r="AV134" s="357">
        <f>'Hodnocení '!AV130</f>
        <v>0</v>
      </c>
      <c r="AW134" s="357">
        <f>'Hodnocení '!AW130</f>
        <v>0</v>
      </c>
      <c r="AX134" s="357">
        <f>'Hodnocení '!AX130</f>
        <v>0</v>
      </c>
      <c r="AY134" s="357">
        <f>'Hodnocení '!AY130</f>
        <v>0</v>
      </c>
      <c r="AZ134" s="357">
        <f>'Hodnocení '!AZ130</f>
        <v>0</v>
      </c>
      <c r="BA134" s="357">
        <f>'Hodnocení '!BA130</f>
        <v>0</v>
      </c>
      <c r="BB134" s="357">
        <f>'Hodnocení '!BB130</f>
        <v>0</v>
      </c>
      <c r="BC134" s="357">
        <f>'Hodnocení '!BC130</f>
        <v>0</v>
      </c>
      <c r="BD134" s="357">
        <f>'Hodnocení '!BD130</f>
        <v>0</v>
      </c>
      <c r="BE134" s="357">
        <f>'Hodnocení '!BE130</f>
        <v>0</v>
      </c>
      <c r="BF134" s="357">
        <f>'Hodnocení '!BF130</f>
        <v>0</v>
      </c>
      <c r="BG134" s="357">
        <f>'Hodnocení '!BG130</f>
        <v>0</v>
      </c>
      <c r="BH134" s="357">
        <f>'Hodnocení '!BH130</f>
        <v>0</v>
      </c>
      <c r="BI134" s="357">
        <f>'Hodnocení '!BI130</f>
        <v>0</v>
      </c>
      <c r="BJ134" s="357">
        <f>'Hodnocení '!BJ130</f>
        <v>0</v>
      </c>
      <c r="BK134" s="357">
        <f>'Hodnocení '!BK130</f>
        <v>0</v>
      </c>
      <c r="BL134" s="357">
        <f>'Hodnocení '!BL130</f>
        <v>0</v>
      </c>
      <c r="BM134" s="357">
        <f>'Hodnocení '!BM130</f>
        <v>0</v>
      </c>
      <c r="BN134" s="357">
        <f>'Hodnocení '!BN130</f>
        <v>0</v>
      </c>
      <c r="BO134" s="357">
        <f>'Hodnocení '!BO130</f>
        <v>0</v>
      </c>
      <c r="BP134" s="357">
        <f>'Hodnocení '!BP130</f>
        <v>0</v>
      </c>
      <c r="BQ134" s="357">
        <f>'Hodnocení '!BQ130</f>
        <v>0</v>
      </c>
      <c r="BR134" s="357">
        <f>'Hodnocení '!BR130</f>
        <v>0</v>
      </c>
      <c r="BS134" s="357">
        <f>'Hodnocení '!BS130</f>
        <v>0</v>
      </c>
      <c r="BT134" s="357">
        <f>'Hodnocení '!BT130</f>
        <v>0</v>
      </c>
      <c r="BU134" s="357">
        <f>'Hodnocení '!BU130</f>
        <v>0</v>
      </c>
      <c r="BV134" s="357">
        <f>'Hodnocení '!BV130</f>
        <v>0</v>
      </c>
      <c r="BW134" s="357">
        <f>'Hodnocení '!BW130</f>
        <v>0</v>
      </c>
      <c r="BX134" s="357">
        <f>'Hodnocení '!BX130</f>
        <v>0</v>
      </c>
      <c r="BY134" s="357">
        <f>'Hodnocení '!BY130</f>
        <v>0</v>
      </c>
      <c r="BZ134" s="357">
        <f>'Hodnocení '!BZ130</f>
        <v>0</v>
      </c>
      <c r="CA134" s="357">
        <f>'Hodnocení '!CA130</f>
        <v>0</v>
      </c>
      <c r="CB134" s="357">
        <f>'Hodnocení '!CB130</f>
        <v>0</v>
      </c>
      <c r="CC134" s="357">
        <f>'Hodnocení '!CC130</f>
        <v>0</v>
      </c>
      <c r="CD134" s="357">
        <f>'Hodnocení '!CD130</f>
        <v>0</v>
      </c>
      <c r="CE134" s="357">
        <f>'Hodnocení '!CE130</f>
        <v>0</v>
      </c>
      <c r="CF134" s="357">
        <f>'Hodnocení '!CF130</f>
        <v>0</v>
      </c>
      <c r="CG134" s="357">
        <f>'Hodnocení '!CG130</f>
        <v>0</v>
      </c>
      <c r="CH134" s="357">
        <f>'Hodnocení '!CH130</f>
        <v>0</v>
      </c>
      <c r="CI134" s="357">
        <f>'Hodnocení '!CI130</f>
        <v>0</v>
      </c>
      <c r="CJ134" s="357">
        <f>'Hodnocení '!CJ130</f>
        <v>0</v>
      </c>
      <c r="CK134" s="357">
        <f>'Hodnocení '!CK130</f>
        <v>0</v>
      </c>
      <c r="CL134" s="357">
        <f>'Hodnocení '!CL130</f>
        <v>0</v>
      </c>
      <c r="CM134" s="357">
        <f>'Hodnocení '!CM130</f>
        <v>0</v>
      </c>
      <c r="CN134" s="357">
        <f>'Hodnocení '!CN130</f>
        <v>0</v>
      </c>
      <c r="CO134" s="357">
        <f>'Hodnocení '!CO130</f>
        <v>0</v>
      </c>
      <c r="CP134" s="357">
        <f>'Hodnocení '!CP130</f>
        <v>0</v>
      </c>
      <c r="CQ134" s="357">
        <f>'Hodnocení '!CQ130</f>
        <v>0</v>
      </c>
      <c r="CR134" s="357">
        <f>'Hodnocení '!CR130</f>
        <v>0</v>
      </c>
      <c r="CS134" s="357">
        <f>'Hodnocení '!CS130</f>
        <v>0</v>
      </c>
      <c r="CT134" s="357">
        <f>'Hodnocení '!CT130</f>
        <v>0</v>
      </c>
      <c r="CU134" s="357">
        <f>'Hodnocení '!CU130</f>
        <v>0</v>
      </c>
      <c r="CV134" s="357">
        <f>'Hodnocení '!CV130</f>
        <v>0</v>
      </c>
      <c r="CW134" s="357">
        <f>'Hodnocení '!CW130</f>
        <v>0</v>
      </c>
      <c r="CX134" s="357">
        <f>'Hodnocení '!CX130</f>
        <v>0</v>
      </c>
      <c r="CY134" s="357">
        <f>'Hodnocení '!CY130</f>
        <v>0</v>
      </c>
      <c r="CZ134" s="357">
        <f>'Hodnocení '!CZ130</f>
        <v>0</v>
      </c>
      <c r="DA134" s="357">
        <f>'Hodnocení '!DA130</f>
        <v>0</v>
      </c>
      <c r="DB134" s="357">
        <f>'Hodnocení '!DB130</f>
        <v>0</v>
      </c>
      <c r="DC134" s="357">
        <f>'Hodnocení '!DC130</f>
        <v>0</v>
      </c>
      <c r="DD134" s="357">
        <f>'Hodnocení '!DD130</f>
        <v>0</v>
      </c>
      <c r="DE134" s="357">
        <f>'Hodnocení '!DE130</f>
        <v>0</v>
      </c>
      <c r="DF134" s="357">
        <f>'Hodnocení '!DF130</f>
        <v>0</v>
      </c>
      <c r="DG134" s="357">
        <f>'Hodnocení '!DG130</f>
        <v>0</v>
      </c>
      <c r="DH134" s="357">
        <f>'Hodnocení '!DH130</f>
        <v>0</v>
      </c>
      <c r="DI134" s="357">
        <f>'Hodnocení '!DI130</f>
        <v>0</v>
      </c>
      <c r="DJ134" s="357">
        <f>'Hodnocení '!DJ130</f>
        <v>0</v>
      </c>
      <c r="DK134" s="357">
        <f>'Hodnocení '!DK130</f>
        <v>0</v>
      </c>
      <c r="DL134" s="357">
        <f>'Hodnocení '!DL130</f>
        <v>0</v>
      </c>
      <c r="DM134" s="357">
        <f>'Hodnocení '!DM130</f>
        <v>0</v>
      </c>
      <c r="DN134" s="357">
        <f>'Hodnocení '!DN130</f>
        <v>0</v>
      </c>
      <c r="DO134" s="357">
        <f>'Hodnocení '!DO130</f>
        <v>0</v>
      </c>
      <c r="DP134" s="357">
        <f>'Hodnocení '!DP130</f>
        <v>0</v>
      </c>
      <c r="DQ134" s="357">
        <f>'Hodnocení '!DQ130</f>
        <v>0</v>
      </c>
      <c r="DR134" s="357">
        <f>'Hodnocení '!DR130</f>
        <v>0</v>
      </c>
      <c r="DS134" s="357">
        <f>'Hodnocení '!DS130</f>
        <v>0</v>
      </c>
      <c r="DT134" s="357">
        <f>'Hodnocení '!DT130</f>
        <v>0</v>
      </c>
      <c r="DU134" s="357">
        <f>'Hodnocení '!DU130</f>
        <v>0</v>
      </c>
      <c r="DV134" s="357">
        <f>'Hodnocení '!DV130</f>
        <v>0</v>
      </c>
      <c r="DW134" s="357">
        <f>'Hodnocení '!DW130</f>
        <v>0</v>
      </c>
      <c r="DX134" s="357">
        <f>'Hodnocení '!DX130</f>
        <v>0</v>
      </c>
      <c r="DY134" s="357">
        <f>'Hodnocení '!DY130</f>
        <v>0</v>
      </c>
      <c r="DZ134" s="357">
        <f>'Hodnocení '!DZ130</f>
        <v>0</v>
      </c>
      <c r="EA134" s="357">
        <f>'Hodnocení '!EA130</f>
        <v>0</v>
      </c>
      <c r="EB134" s="357">
        <f>'Hodnocení '!EB130</f>
        <v>0</v>
      </c>
      <c r="EC134" s="357">
        <f>'Hodnocení '!EC130</f>
        <v>0</v>
      </c>
      <c r="ED134" s="357">
        <f>'Hodnocení '!ED130</f>
        <v>0</v>
      </c>
      <c r="EE134" s="357">
        <f>'Hodnocení '!EE130</f>
        <v>0</v>
      </c>
      <c r="EF134" s="357">
        <f>'Hodnocení '!EF130</f>
        <v>0</v>
      </c>
      <c r="EG134" s="357">
        <f>'Hodnocení '!EG130</f>
        <v>0</v>
      </c>
      <c r="EH134" s="357">
        <f>'Hodnocení '!EH130</f>
        <v>0</v>
      </c>
      <c r="EI134" s="357">
        <f>'Hodnocení '!EI130</f>
        <v>0</v>
      </c>
      <c r="EJ134" s="357">
        <f>'Hodnocení '!EJ130</f>
        <v>0</v>
      </c>
      <c r="EK134" s="357">
        <f>'Hodnocení '!EK130</f>
        <v>0</v>
      </c>
      <c r="EL134" s="357">
        <f>'Hodnocení '!EL130</f>
        <v>0</v>
      </c>
      <c r="EM134" s="357">
        <f>'Hodnocení '!EM130</f>
        <v>0</v>
      </c>
      <c r="EN134" s="357">
        <f>'Hodnocení '!EN130</f>
        <v>0</v>
      </c>
      <c r="EO134" s="357">
        <f>'Hodnocení '!EO130</f>
        <v>0</v>
      </c>
      <c r="EP134" s="357">
        <f>'Hodnocení '!EP130</f>
        <v>0</v>
      </c>
      <c r="EQ134" s="357">
        <f>'Hodnocení '!EQ130</f>
        <v>0</v>
      </c>
      <c r="ER134" s="357">
        <f>'Hodnocení '!ER130</f>
        <v>0</v>
      </c>
      <c r="ES134" s="357">
        <f>'Hodnocení '!ES130</f>
        <v>0</v>
      </c>
      <c r="ET134" s="357">
        <f>'Hodnocení '!ET130</f>
        <v>0</v>
      </c>
      <c r="EU134" s="357">
        <f>'Hodnocení '!EU130</f>
        <v>0</v>
      </c>
      <c r="EV134" s="357">
        <f>'Hodnocení '!EV130</f>
        <v>0</v>
      </c>
      <c r="EW134" s="357">
        <f>'Hodnocení '!EW130</f>
        <v>0</v>
      </c>
      <c r="EX134" s="357">
        <f>'Hodnocení '!EX130</f>
        <v>0</v>
      </c>
      <c r="EY134" s="357">
        <f>'Hodnocení '!EY130</f>
        <v>0</v>
      </c>
      <c r="EZ134" s="357">
        <f>'Hodnocení '!EZ130</f>
        <v>0</v>
      </c>
      <c r="FA134" s="357">
        <f>'Hodnocení '!FA130</f>
        <v>0</v>
      </c>
      <c r="FB134" s="357">
        <f>'Hodnocení '!FB130</f>
        <v>0</v>
      </c>
      <c r="FC134" s="357">
        <f>'Hodnocení '!FC130</f>
        <v>0</v>
      </c>
      <c r="FD134" s="357">
        <f>'Hodnocení '!FD130</f>
        <v>0</v>
      </c>
      <c r="FE134" s="357">
        <f>'Hodnocení '!FE130</f>
        <v>0</v>
      </c>
      <c r="FF134" s="357">
        <f>'Hodnocení '!FF130</f>
        <v>0</v>
      </c>
      <c r="FG134" s="357">
        <f>'Hodnocení '!FG130</f>
        <v>0</v>
      </c>
      <c r="FH134" s="357">
        <f>'Hodnocení '!FH130</f>
        <v>0</v>
      </c>
      <c r="FI134" s="357">
        <f>'Hodnocení '!FI130</f>
        <v>0</v>
      </c>
      <c r="FJ134" s="357">
        <f>'Hodnocení '!FJ130</f>
        <v>0</v>
      </c>
      <c r="FK134" s="357">
        <f>'Hodnocení '!FK130</f>
        <v>0</v>
      </c>
      <c r="FL134" s="357">
        <f>'Hodnocení '!FL130</f>
        <v>0</v>
      </c>
      <c r="FM134" s="357">
        <f>'Hodnocení '!FM130</f>
        <v>0</v>
      </c>
      <c r="FN134" s="357">
        <f>'Hodnocení '!FN130</f>
        <v>0</v>
      </c>
      <c r="FO134" s="357">
        <f>'Hodnocení '!FO130</f>
        <v>0</v>
      </c>
      <c r="FP134" s="357">
        <f>'Hodnocení '!FP130</f>
        <v>0</v>
      </c>
      <c r="FQ134" s="357">
        <f>'Hodnocení '!FQ130</f>
        <v>0</v>
      </c>
      <c r="FR134" s="357">
        <f>'Hodnocení '!FR130</f>
        <v>0</v>
      </c>
      <c r="FS134" s="357">
        <f>'Hodnocení '!FS130</f>
        <v>0</v>
      </c>
      <c r="FT134" s="357">
        <f>'Hodnocení '!FT130</f>
        <v>0</v>
      </c>
      <c r="FU134" s="357">
        <f>'Hodnocení '!FU130</f>
        <v>0</v>
      </c>
      <c r="FV134" s="357">
        <f>'Hodnocení '!FV130</f>
        <v>0</v>
      </c>
      <c r="FW134" s="357">
        <f>'Hodnocení '!FW130</f>
        <v>0</v>
      </c>
      <c r="FX134" s="357">
        <f>'Hodnocení '!FX130</f>
        <v>0</v>
      </c>
      <c r="FY134" s="357">
        <f>'Hodnocení '!FY130</f>
        <v>0</v>
      </c>
      <c r="FZ134" s="357">
        <f>'Hodnocení '!FZ130</f>
        <v>0</v>
      </c>
      <c r="GA134" s="357">
        <f>'Hodnocení '!GA130</f>
        <v>0</v>
      </c>
      <c r="GB134" s="357">
        <f>'Hodnocení '!GB130</f>
        <v>0</v>
      </c>
      <c r="GC134" s="357">
        <f>'Hodnocení '!GC130</f>
        <v>0</v>
      </c>
      <c r="GD134" s="357">
        <f>'Hodnocení '!GD130</f>
        <v>0</v>
      </c>
      <c r="GE134" s="357">
        <f>'Hodnocení '!GE130</f>
        <v>0</v>
      </c>
      <c r="GF134" s="357">
        <f>'Hodnocení '!GF130</f>
        <v>0</v>
      </c>
      <c r="GG134" s="357">
        <f>'Hodnocení '!GG130</f>
        <v>0</v>
      </c>
      <c r="GH134" s="357">
        <f>'Hodnocení '!GH130</f>
        <v>0</v>
      </c>
      <c r="GI134" s="357">
        <f>'Hodnocení '!GI130</f>
        <v>0</v>
      </c>
      <c r="GJ134" s="357">
        <f>'Hodnocení '!GJ130</f>
        <v>0</v>
      </c>
      <c r="GK134" s="357">
        <f>'Hodnocení '!GK130</f>
        <v>0</v>
      </c>
      <c r="GL134" s="357">
        <f>'Hodnocení '!GL130</f>
        <v>0</v>
      </c>
      <c r="GM134" s="357">
        <f>'Hodnocení '!GM130</f>
        <v>0</v>
      </c>
      <c r="GN134" s="357">
        <f>'Hodnocení '!GN130</f>
        <v>0</v>
      </c>
      <c r="GO134" s="357">
        <f>'Hodnocení '!GO130</f>
        <v>0</v>
      </c>
      <c r="GP134" s="357">
        <f>'Hodnocení '!GP130</f>
        <v>0</v>
      </c>
      <c r="GQ134" s="357">
        <f>'Hodnocení '!GQ130</f>
        <v>0</v>
      </c>
      <c r="GR134" s="357">
        <f>'Hodnocení '!GR130</f>
        <v>0</v>
      </c>
      <c r="GS134" s="357">
        <f>'Hodnocení '!GS130</f>
        <v>0</v>
      </c>
      <c r="GT134" s="357">
        <f>'Hodnocení '!GT130</f>
        <v>0</v>
      </c>
      <c r="GU134" s="357">
        <f>'Hodnocení '!GU130</f>
        <v>0</v>
      </c>
      <c r="GV134" s="357">
        <f>'Hodnocení '!GV130</f>
        <v>0</v>
      </c>
      <c r="GW134" s="357">
        <f>'Hodnocení '!GW130</f>
        <v>0</v>
      </c>
      <c r="GX134" s="357">
        <f>'Hodnocení '!GX130</f>
        <v>0</v>
      </c>
      <c r="GY134" s="357">
        <f>'Hodnocení '!GY130</f>
        <v>0</v>
      </c>
      <c r="GZ134" s="357">
        <f>'Hodnocení '!GZ130</f>
        <v>0</v>
      </c>
      <c r="HA134" s="357">
        <f>'Hodnocení '!HA130</f>
        <v>0</v>
      </c>
      <c r="HB134" s="357">
        <f>'Hodnocení '!HB130</f>
        <v>0</v>
      </c>
      <c r="HC134" s="357">
        <f>'Hodnocení '!HC130</f>
        <v>0</v>
      </c>
      <c r="HD134" s="357">
        <f>'Hodnocení '!HD130</f>
        <v>0</v>
      </c>
      <c r="HE134" s="357">
        <f>'Hodnocení '!HE130</f>
        <v>0</v>
      </c>
      <c r="HF134" s="357">
        <f>'Hodnocení '!HF130</f>
        <v>0</v>
      </c>
      <c r="HG134" s="357">
        <f>'Hodnocení '!HG130</f>
        <v>0</v>
      </c>
      <c r="HH134" s="357">
        <f>'Hodnocení '!HH130</f>
        <v>0</v>
      </c>
      <c r="HI134" s="357">
        <f>'Hodnocení '!HI130</f>
        <v>0</v>
      </c>
      <c r="HJ134" s="357">
        <f>'Hodnocení '!HJ130</f>
        <v>0</v>
      </c>
      <c r="HK134" s="357">
        <f>'Hodnocení '!HK130</f>
        <v>0</v>
      </c>
      <c r="HL134" s="357">
        <f>'Hodnocení '!HL130</f>
        <v>0</v>
      </c>
      <c r="HM134" s="357">
        <f>'Hodnocení '!HM130</f>
        <v>0</v>
      </c>
      <c r="HN134" s="357">
        <f>'Hodnocení '!HN130</f>
        <v>0</v>
      </c>
      <c r="HO134" s="357">
        <f>'Hodnocení '!HO130</f>
        <v>0</v>
      </c>
      <c r="HP134" s="357">
        <f>'Hodnocení '!HP130</f>
        <v>0</v>
      </c>
      <c r="HQ134" s="357">
        <f>'Hodnocení '!HQ130</f>
        <v>0</v>
      </c>
      <c r="HR134" s="357">
        <f>'Hodnocení '!HR130</f>
        <v>0</v>
      </c>
      <c r="HS134" s="357">
        <f>'Hodnocení '!HS130</f>
        <v>0</v>
      </c>
      <c r="HT134" s="357">
        <f>'Hodnocení '!HT130</f>
        <v>0</v>
      </c>
      <c r="HU134" s="357">
        <f>'Hodnocení '!HU130</f>
        <v>0</v>
      </c>
      <c r="HV134" s="357">
        <f>'Hodnocení '!HV130</f>
        <v>0</v>
      </c>
      <c r="HW134" s="357">
        <f>'Hodnocení '!HW130</f>
        <v>0</v>
      </c>
      <c r="HX134" s="357">
        <f>'Hodnocení '!HX130</f>
        <v>0</v>
      </c>
      <c r="HY134" s="357">
        <f>'Hodnocení '!HY130</f>
        <v>0</v>
      </c>
      <c r="HZ134" s="357">
        <f>'Hodnocení '!HZ130</f>
        <v>0</v>
      </c>
      <c r="IA134" s="357">
        <f>'Hodnocení '!IA130</f>
        <v>0</v>
      </c>
      <c r="IB134" s="357">
        <f>'Hodnocení '!IB130</f>
        <v>0</v>
      </c>
      <c r="IC134" s="357">
        <f>'Hodnocení '!IC130</f>
        <v>0</v>
      </c>
      <c r="ID134" s="357">
        <f>'Hodnocení '!ID130</f>
        <v>0</v>
      </c>
      <c r="IE134" s="357">
        <f>'Hodnocení '!IE130</f>
        <v>0</v>
      </c>
      <c r="IF134" s="357">
        <f>'Hodnocení '!IF130</f>
        <v>0</v>
      </c>
      <c r="IG134" s="357">
        <f>'Hodnocení '!IG130</f>
        <v>0</v>
      </c>
      <c r="IH134" s="357">
        <f>'Hodnocení '!IH130</f>
        <v>0</v>
      </c>
      <c r="II134" s="357">
        <f>'Hodnocení '!II130</f>
        <v>0</v>
      </c>
      <c r="IJ134" s="357">
        <f>'Hodnocení '!IJ130</f>
        <v>0</v>
      </c>
      <c r="IK134" s="357">
        <f>'Hodnocení '!IK130</f>
        <v>0</v>
      </c>
      <c r="IL134" s="357">
        <f>'Hodnocení '!IL130</f>
        <v>0</v>
      </c>
      <c r="IM134" s="357">
        <f>'Hodnocení '!IM130</f>
        <v>0</v>
      </c>
      <c r="IN134" s="357">
        <f>'Hodnocení '!IN130</f>
        <v>0</v>
      </c>
      <c r="IO134" s="357">
        <f>'Hodnocení '!IO130</f>
        <v>0</v>
      </c>
      <c r="IP134" s="357">
        <f>'Hodnocení '!IP130</f>
        <v>0</v>
      </c>
      <c r="IQ134" s="357">
        <f>'Hodnocení '!IQ130</f>
        <v>0</v>
      </c>
      <c r="IR134" s="357">
        <f>'Hodnocení '!IR130</f>
        <v>0</v>
      </c>
      <c r="IS134" s="357">
        <f>'Hodnocení '!IS130</f>
        <v>0</v>
      </c>
      <c r="IT134" s="357">
        <f>'Hodnocení '!IT130</f>
        <v>0</v>
      </c>
      <c r="IU134" s="357">
        <f>'Hodnocení '!IU130</f>
        <v>0</v>
      </c>
      <c r="IV134" s="357">
        <f>'Hodnocení '!IV130</f>
        <v>0</v>
      </c>
      <c r="IW134" s="357">
        <f>'Hodnocení '!IW130</f>
        <v>0</v>
      </c>
      <c r="IX134" s="357">
        <f>'Hodnocení '!IX130</f>
        <v>0</v>
      </c>
      <c r="IY134" s="357">
        <f>'Hodnocení '!IY130</f>
        <v>0</v>
      </c>
      <c r="IZ134" s="357">
        <f>'Hodnocení '!IZ130</f>
        <v>0</v>
      </c>
      <c r="JA134" s="357">
        <f>'Hodnocení '!JA130</f>
        <v>0</v>
      </c>
      <c r="JB134" s="357">
        <f>'Hodnocení '!JB130</f>
        <v>0</v>
      </c>
      <c r="JC134" s="357">
        <f>'Hodnocení '!JC130</f>
        <v>0</v>
      </c>
      <c r="JD134" s="357">
        <f>'Hodnocení '!JD130</f>
        <v>0</v>
      </c>
      <c r="JE134" s="357">
        <f>'Hodnocení '!JE130</f>
        <v>0</v>
      </c>
      <c r="JF134" s="357">
        <f>'Hodnocení '!JF130</f>
        <v>0</v>
      </c>
      <c r="JG134" s="357">
        <f>'Hodnocení '!JG130</f>
        <v>0</v>
      </c>
      <c r="JH134" s="772">
        <f>'Hodnocení '!JH130</f>
        <v>0</v>
      </c>
      <c r="JI134" s="315">
        <f>'Hodnocení '!JI130</f>
        <v>0</v>
      </c>
      <c r="JL134" s="591">
        <f>JL117/JL132</f>
        <v>0.97916962006461361</v>
      </c>
      <c r="JM134" s="591">
        <f t="shared" ref="JM134:JP134" si="72">JM117/JM132</f>
        <v>0.71819740165790436</v>
      </c>
      <c r="JN134" s="591">
        <f t="shared" si="72"/>
        <v>0.53831580573274695</v>
      </c>
      <c r="JO134" s="591">
        <f t="shared" si="72"/>
        <v>0.69205241590670119</v>
      </c>
      <c r="JP134" s="591">
        <f t="shared" si="72"/>
        <v>0.67361477885241472</v>
      </c>
    </row>
    <row r="135" spans="1:276" ht="15.75" hidden="1" thickBot="1" x14ac:dyDescent="0.3">
      <c r="B135" s="733"/>
      <c r="C135" s="360">
        <f>'Hodnocení '!C131</f>
        <v>0</v>
      </c>
      <c r="D135" s="357">
        <f>'Hodnocení '!D131</f>
        <v>0</v>
      </c>
      <c r="E135" s="357">
        <f>'Hodnocení '!E131</f>
        <v>0</v>
      </c>
      <c r="F135" s="357">
        <f>'Hodnocení '!F131</f>
        <v>0</v>
      </c>
      <c r="G135" s="357">
        <f>'Hodnocení '!G131</f>
        <v>0</v>
      </c>
      <c r="H135" s="357">
        <f>'Hodnocení '!H131</f>
        <v>0</v>
      </c>
      <c r="I135" s="357">
        <f>'Hodnocení '!I131</f>
        <v>0</v>
      </c>
      <c r="J135" s="357">
        <f>'Hodnocení '!J131</f>
        <v>0</v>
      </c>
      <c r="K135" s="357">
        <f>'Hodnocení '!K131</f>
        <v>0</v>
      </c>
      <c r="L135" s="357">
        <f>'Hodnocení '!L131</f>
        <v>0</v>
      </c>
      <c r="M135" s="357">
        <f>'Hodnocení '!M131</f>
        <v>0</v>
      </c>
      <c r="N135" s="357">
        <f>'Hodnocení '!N131</f>
        <v>0</v>
      </c>
      <c r="O135" s="357">
        <f>'Hodnocení '!O131</f>
        <v>0</v>
      </c>
      <c r="P135" s="357">
        <f>'Hodnocení '!P131</f>
        <v>0</v>
      </c>
      <c r="Q135" s="357">
        <f>'Hodnocení '!Q131</f>
        <v>0</v>
      </c>
      <c r="R135" s="357">
        <f>'Hodnocení '!R131</f>
        <v>0</v>
      </c>
      <c r="S135" s="357">
        <f>'Hodnocení '!S131</f>
        <v>0</v>
      </c>
      <c r="T135" s="357">
        <f>'Hodnocení '!T131</f>
        <v>0</v>
      </c>
      <c r="U135" s="357">
        <f>'Hodnocení '!U131</f>
        <v>0</v>
      </c>
      <c r="V135" s="357">
        <f>'Hodnocení '!V131</f>
        <v>0</v>
      </c>
      <c r="W135" s="357">
        <f>'Hodnocení '!W131</f>
        <v>0</v>
      </c>
      <c r="X135" s="357">
        <f>'Hodnocení '!X131</f>
        <v>0</v>
      </c>
      <c r="Y135" s="357">
        <f>'Hodnocení '!Y131</f>
        <v>0</v>
      </c>
      <c r="Z135" s="357">
        <f>'Hodnocení '!Z131</f>
        <v>0</v>
      </c>
      <c r="AA135" s="357">
        <f>'Hodnocení '!AA131</f>
        <v>0</v>
      </c>
      <c r="AB135" s="357">
        <f>'Hodnocení '!AB131</f>
        <v>0</v>
      </c>
      <c r="AC135" s="357">
        <f>'Hodnocení '!AC131</f>
        <v>0</v>
      </c>
      <c r="AD135" s="357">
        <f>'Hodnocení '!AD131</f>
        <v>0</v>
      </c>
      <c r="AE135" s="357">
        <f>'Hodnocení '!AE131</f>
        <v>0</v>
      </c>
      <c r="AF135" s="357">
        <f>'Hodnocení '!AF131</f>
        <v>0</v>
      </c>
      <c r="AG135" s="357">
        <f>'Hodnocení '!AG131</f>
        <v>0</v>
      </c>
      <c r="AH135" s="357">
        <f>'Hodnocení '!AH131</f>
        <v>0</v>
      </c>
      <c r="AI135" s="357">
        <f>'Hodnocení '!AI131</f>
        <v>0</v>
      </c>
      <c r="AJ135" s="357">
        <f>'Hodnocení '!AJ131</f>
        <v>0</v>
      </c>
      <c r="AK135" s="357">
        <f>'Hodnocení '!AK131</f>
        <v>0</v>
      </c>
      <c r="AL135" s="357">
        <f>'Hodnocení '!AL131</f>
        <v>0</v>
      </c>
      <c r="AM135" s="357">
        <f>'Hodnocení '!AM131</f>
        <v>0</v>
      </c>
      <c r="AN135" s="357">
        <f>'Hodnocení '!AN131</f>
        <v>0</v>
      </c>
      <c r="AO135" s="357">
        <f>'Hodnocení '!AO131</f>
        <v>0</v>
      </c>
      <c r="AP135" s="357">
        <f>'Hodnocení '!AP131</f>
        <v>0</v>
      </c>
      <c r="AQ135" s="357">
        <f>'Hodnocení '!AQ131</f>
        <v>0</v>
      </c>
      <c r="AR135" s="357">
        <f>'Hodnocení '!AR131</f>
        <v>0</v>
      </c>
      <c r="AS135" s="357">
        <f>'Hodnocení '!AS131</f>
        <v>0</v>
      </c>
      <c r="AT135" s="357">
        <f>'Hodnocení '!AT131</f>
        <v>0</v>
      </c>
      <c r="AU135" s="357">
        <f>'Hodnocení '!AU131</f>
        <v>0</v>
      </c>
      <c r="AV135" s="357">
        <f>'Hodnocení '!AV131</f>
        <v>0</v>
      </c>
      <c r="AW135" s="357">
        <f>'Hodnocení '!AW131</f>
        <v>0</v>
      </c>
      <c r="AX135" s="357">
        <f>'Hodnocení '!AX131</f>
        <v>0</v>
      </c>
      <c r="AY135" s="357">
        <f>'Hodnocení '!AY131</f>
        <v>0</v>
      </c>
      <c r="AZ135" s="357">
        <f>'Hodnocení '!AZ131</f>
        <v>0</v>
      </c>
      <c r="BA135" s="357">
        <f>'Hodnocení '!BA131</f>
        <v>0</v>
      </c>
      <c r="BB135" s="357">
        <f>'Hodnocení '!BB131</f>
        <v>0</v>
      </c>
      <c r="BC135" s="357">
        <f>'Hodnocení '!BC131</f>
        <v>0</v>
      </c>
      <c r="BD135" s="357">
        <f>'Hodnocení '!BD131</f>
        <v>0</v>
      </c>
      <c r="BE135" s="357">
        <f>'Hodnocení '!BE131</f>
        <v>0</v>
      </c>
      <c r="BF135" s="357">
        <f>'Hodnocení '!BF131</f>
        <v>0</v>
      </c>
      <c r="BG135" s="357">
        <f>'Hodnocení '!BG131</f>
        <v>0</v>
      </c>
      <c r="BH135" s="357">
        <f>'Hodnocení '!BH131</f>
        <v>0</v>
      </c>
      <c r="BI135" s="357">
        <f>'Hodnocení '!BI131</f>
        <v>0</v>
      </c>
      <c r="BJ135" s="357">
        <f>'Hodnocení '!BJ131</f>
        <v>0</v>
      </c>
      <c r="BK135" s="357">
        <f>'Hodnocení '!BK131</f>
        <v>0</v>
      </c>
      <c r="BL135" s="357">
        <f>'Hodnocení '!BL131</f>
        <v>0</v>
      </c>
      <c r="BM135" s="357">
        <f>'Hodnocení '!BM131</f>
        <v>0</v>
      </c>
      <c r="BN135" s="357">
        <f>'Hodnocení '!BN131</f>
        <v>0</v>
      </c>
      <c r="BO135" s="357">
        <f>'Hodnocení '!BO131</f>
        <v>0</v>
      </c>
      <c r="BP135" s="357">
        <f>'Hodnocení '!BP131</f>
        <v>0</v>
      </c>
      <c r="BQ135" s="357">
        <f>'Hodnocení '!BQ131</f>
        <v>0</v>
      </c>
      <c r="BR135" s="357">
        <f>'Hodnocení '!BR131</f>
        <v>0</v>
      </c>
      <c r="BS135" s="357">
        <f>'Hodnocení '!BS131</f>
        <v>0</v>
      </c>
      <c r="BT135" s="357">
        <f>'Hodnocení '!BT131</f>
        <v>0</v>
      </c>
      <c r="BU135" s="357">
        <f>'Hodnocení '!BU131</f>
        <v>0</v>
      </c>
      <c r="BV135" s="357">
        <f>'Hodnocení '!BV131</f>
        <v>0</v>
      </c>
      <c r="BW135" s="357">
        <f>'Hodnocení '!BW131</f>
        <v>0</v>
      </c>
      <c r="BX135" s="357">
        <f>'Hodnocení '!BX131</f>
        <v>0</v>
      </c>
      <c r="BY135" s="357">
        <f>'Hodnocení '!BY131</f>
        <v>0</v>
      </c>
      <c r="BZ135" s="357">
        <f>'Hodnocení '!BZ131</f>
        <v>0</v>
      </c>
      <c r="CA135" s="357">
        <f>'Hodnocení '!CA131</f>
        <v>0</v>
      </c>
      <c r="CB135" s="357">
        <f>'Hodnocení '!CB131</f>
        <v>0</v>
      </c>
      <c r="CC135" s="357">
        <f>'Hodnocení '!CC131</f>
        <v>0</v>
      </c>
      <c r="CD135" s="357">
        <f>'Hodnocení '!CD131</f>
        <v>0</v>
      </c>
      <c r="CE135" s="357">
        <f>'Hodnocení '!CE131</f>
        <v>0</v>
      </c>
      <c r="CF135" s="357">
        <f>'Hodnocení '!CF131</f>
        <v>0</v>
      </c>
      <c r="CG135" s="357">
        <f>'Hodnocení '!CG131</f>
        <v>0</v>
      </c>
      <c r="CH135" s="357">
        <f>'Hodnocení '!CH131</f>
        <v>0</v>
      </c>
      <c r="CI135" s="357">
        <f>'Hodnocení '!CI131</f>
        <v>0</v>
      </c>
      <c r="CJ135" s="357">
        <f>'Hodnocení '!CJ131</f>
        <v>0</v>
      </c>
      <c r="CK135" s="357">
        <f>'Hodnocení '!CK131</f>
        <v>0</v>
      </c>
      <c r="CL135" s="357">
        <f>'Hodnocení '!CL131</f>
        <v>0</v>
      </c>
      <c r="CM135" s="357">
        <f>'Hodnocení '!CM131</f>
        <v>0</v>
      </c>
      <c r="CN135" s="357">
        <f>'Hodnocení '!CN131</f>
        <v>0</v>
      </c>
      <c r="CO135" s="357">
        <f>'Hodnocení '!CO131</f>
        <v>0</v>
      </c>
      <c r="CP135" s="357">
        <f>'Hodnocení '!CP131</f>
        <v>0</v>
      </c>
      <c r="CQ135" s="357">
        <f>'Hodnocení '!CQ131</f>
        <v>0</v>
      </c>
      <c r="CR135" s="357">
        <f>'Hodnocení '!CR131</f>
        <v>0</v>
      </c>
      <c r="CS135" s="357">
        <f>'Hodnocení '!CS131</f>
        <v>0</v>
      </c>
      <c r="CT135" s="357">
        <f>'Hodnocení '!CT131</f>
        <v>0</v>
      </c>
      <c r="CU135" s="357">
        <f>'Hodnocení '!CU131</f>
        <v>0</v>
      </c>
      <c r="CV135" s="357">
        <f>'Hodnocení '!CV131</f>
        <v>0</v>
      </c>
      <c r="CW135" s="357">
        <f>'Hodnocení '!CW131</f>
        <v>0</v>
      </c>
      <c r="CX135" s="357">
        <f>'Hodnocení '!CX131</f>
        <v>0</v>
      </c>
      <c r="CY135" s="357">
        <f>'Hodnocení '!CY131</f>
        <v>0</v>
      </c>
      <c r="CZ135" s="357">
        <f>'Hodnocení '!CZ131</f>
        <v>0</v>
      </c>
      <c r="DA135" s="357">
        <f>'Hodnocení '!DA131</f>
        <v>0</v>
      </c>
      <c r="DB135" s="357">
        <f>'Hodnocení '!DB131</f>
        <v>0</v>
      </c>
      <c r="DC135" s="357">
        <f>'Hodnocení '!DC131</f>
        <v>0</v>
      </c>
      <c r="DD135" s="357">
        <f>'Hodnocení '!DD131</f>
        <v>0</v>
      </c>
      <c r="DE135" s="357">
        <f>'Hodnocení '!DE131</f>
        <v>0</v>
      </c>
      <c r="DF135" s="357">
        <f>'Hodnocení '!DF131</f>
        <v>0</v>
      </c>
      <c r="DG135" s="357">
        <f>'Hodnocení '!DG131</f>
        <v>0</v>
      </c>
      <c r="DH135" s="357">
        <f>'Hodnocení '!DH131</f>
        <v>0</v>
      </c>
      <c r="DI135" s="357">
        <f>'Hodnocení '!DI131</f>
        <v>0</v>
      </c>
      <c r="DJ135" s="357">
        <f>'Hodnocení '!DJ131</f>
        <v>0</v>
      </c>
      <c r="DK135" s="357">
        <f>'Hodnocení '!DK131</f>
        <v>0</v>
      </c>
      <c r="DL135" s="357">
        <f>'Hodnocení '!DL131</f>
        <v>0</v>
      </c>
      <c r="DM135" s="357">
        <f>'Hodnocení '!DM131</f>
        <v>0</v>
      </c>
      <c r="DN135" s="357">
        <f>'Hodnocení '!DN131</f>
        <v>0</v>
      </c>
      <c r="DO135" s="357">
        <f>'Hodnocení '!DO131</f>
        <v>0</v>
      </c>
      <c r="DP135" s="357">
        <f>'Hodnocení '!DP131</f>
        <v>0</v>
      </c>
      <c r="DQ135" s="357">
        <f>'Hodnocení '!DQ131</f>
        <v>0</v>
      </c>
      <c r="DR135" s="357">
        <f>'Hodnocení '!DR131</f>
        <v>0</v>
      </c>
      <c r="DS135" s="357">
        <f>'Hodnocení '!DS131</f>
        <v>0</v>
      </c>
      <c r="DT135" s="357">
        <f>'Hodnocení '!DT131</f>
        <v>0</v>
      </c>
      <c r="DU135" s="357">
        <f>'Hodnocení '!DU131</f>
        <v>0</v>
      </c>
      <c r="DV135" s="357">
        <f>'Hodnocení '!DV131</f>
        <v>0</v>
      </c>
      <c r="DW135" s="357">
        <f>'Hodnocení '!DW131</f>
        <v>0</v>
      </c>
      <c r="DX135" s="357">
        <f>'Hodnocení '!DX131</f>
        <v>0</v>
      </c>
      <c r="DY135" s="357">
        <f>'Hodnocení '!DY131</f>
        <v>0</v>
      </c>
      <c r="DZ135" s="357">
        <f>'Hodnocení '!DZ131</f>
        <v>0</v>
      </c>
      <c r="EA135" s="357">
        <f>'Hodnocení '!EA131</f>
        <v>0</v>
      </c>
      <c r="EB135" s="357">
        <f>'Hodnocení '!EB131</f>
        <v>0</v>
      </c>
      <c r="EC135" s="357">
        <f>'Hodnocení '!EC131</f>
        <v>0</v>
      </c>
      <c r="ED135" s="357">
        <f>'Hodnocení '!ED131</f>
        <v>0</v>
      </c>
      <c r="EE135" s="357">
        <f>'Hodnocení '!EE131</f>
        <v>0</v>
      </c>
      <c r="EF135" s="357">
        <f>'Hodnocení '!EF131</f>
        <v>0</v>
      </c>
      <c r="EG135" s="357">
        <f>'Hodnocení '!EG131</f>
        <v>0</v>
      </c>
      <c r="EH135" s="357">
        <f>'Hodnocení '!EH131</f>
        <v>0</v>
      </c>
      <c r="EI135" s="357">
        <f>'Hodnocení '!EI131</f>
        <v>0</v>
      </c>
      <c r="EJ135" s="357">
        <f>'Hodnocení '!EJ131</f>
        <v>0</v>
      </c>
      <c r="EK135" s="357">
        <f>'Hodnocení '!EK131</f>
        <v>0</v>
      </c>
      <c r="EL135" s="357">
        <f>'Hodnocení '!EL131</f>
        <v>0</v>
      </c>
      <c r="EM135" s="357">
        <f>'Hodnocení '!EM131</f>
        <v>0</v>
      </c>
      <c r="EN135" s="357">
        <f>'Hodnocení '!EN131</f>
        <v>0</v>
      </c>
      <c r="EO135" s="357">
        <f>'Hodnocení '!EO131</f>
        <v>0</v>
      </c>
      <c r="EP135" s="357">
        <f>'Hodnocení '!EP131</f>
        <v>0</v>
      </c>
      <c r="EQ135" s="357">
        <f>'Hodnocení '!EQ131</f>
        <v>0</v>
      </c>
      <c r="ER135" s="357">
        <f>'Hodnocení '!ER131</f>
        <v>0</v>
      </c>
      <c r="ES135" s="357">
        <f>'Hodnocení '!ES131</f>
        <v>0</v>
      </c>
      <c r="ET135" s="357">
        <f>'Hodnocení '!ET131</f>
        <v>0</v>
      </c>
      <c r="EU135" s="357">
        <f>'Hodnocení '!EU131</f>
        <v>0</v>
      </c>
      <c r="EV135" s="357">
        <f>'Hodnocení '!EV131</f>
        <v>0</v>
      </c>
      <c r="EW135" s="357">
        <f>'Hodnocení '!EW131</f>
        <v>0</v>
      </c>
      <c r="EX135" s="357">
        <f>'Hodnocení '!EX131</f>
        <v>0</v>
      </c>
      <c r="EY135" s="357">
        <f>'Hodnocení '!EY131</f>
        <v>0</v>
      </c>
      <c r="EZ135" s="357">
        <f>'Hodnocení '!EZ131</f>
        <v>0</v>
      </c>
      <c r="FA135" s="357">
        <f>'Hodnocení '!FA131</f>
        <v>0</v>
      </c>
      <c r="FB135" s="357">
        <f>'Hodnocení '!FB131</f>
        <v>0</v>
      </c>
      <c r="FC135" s="357">
        <f>'Hodnocení '!FC131</f>
        <v>0</v>
      </c>
      <c r="FD135" s="357">
        <f>'Hodnocení '!FD131</f>
        <v>0</v>
      </c>
      <c r="FE135" s="357">
        <f>'Hodnocení '!FE131</f>
        <v>0</v>
      </c>
      <c r="FF135" s="357">
        <f>'Hodnocení '!FF131</f>
        <v>0</v>
      </c>
      <c r="FG135" s="357">
        <f>'Hodnocení '!FG131</f>
        <v>0</v>
      </c>
      <c r="FH135" s="357">
        <f>'Hodnocení '!FH131</f>
        <v>0</v>
      </c>
      <c r="FI135" s="357">
        <f>'Hodnocení '!FI131</f>
        <v>0</v>
      </c>
      <c r="FJ135" s="357">
        <f>'Hodnocení '!FJ131</f>
        <v>0</v>
      </c>
      <c r="FK135" s="357">
        <f>'Hodnocení '!FK131</f>
        <v>0</v>
      </c>
      <c r="FL135" s="357">
        <f>'Hodnocení '!FL131</f>
        <v>0</v>
      </c>
      <c r="FM135" s="357">
        <f>'Hodnocení '!FM131</f>
        <v>0</v>
      </c>
      <c r="FN135" s="357">
        <f>'Hodnocení '!FN131</f>
        <v>0</v>
      </c>
      <c r="FO135" s="357">
        <f>'Hodnocení '!FO131</f>
        <v>0</v>
      </c>
      <c r="FP135" s="357">
        <f>'Hodnocení '!FP131</f>
        <v>0</v>
      </c>
      <c r="FQ135" s="357">
        <f>'Hodnocení '!FQ131</f>
        <v>0</v>
      </c>
      <c r="FR135" s="357">
        <f>'Hodnocení '!FR131</f>
        <v>0</v>
      </c>
      <c r="FS135" s="357">
        <f>'Hodnocení '!FS131</f>
        <v>0</v>
      </c>
      <c r="FT135" s="357">
        <f>'Hodnocení '!FT131</f>
        <v>0</v>
      </c>
      <c r="FU135" s="357">
        <f>'Hodnocení '!FU131</f>
        <v>0</v>
      </c>
      <c r="FV135" s="357">
        <f>'Hodnocení '!FV131</f>
        <v>0</v>
      </c>
      <c r="FW135" s="357">
        <f>'Hodnocení '!FW131</f>
        <v>0</v>
      </c>
      <c r="FX135" s="357">
        <f>'Hodnocení '!FX131</f>
        <v>0</v>
      </c>
      <c r="FY135" s="357">
        <f>'Hodnocení '!FY131</f>
        <v>0</v>
      </c>
      <c r="FZ135" s="357">
        <f>'Hodnocení '!FZ131</f>
        <v>0</v>
      </c>
      <c r="GA135" s="357">
        <f>'Hodnocení '!GA131</f>
        <v>0</v>
      </c>
      <c r="GB135" s="357">
        <f>'Hodnocení '!GB131</f>
        <v>0</v>
      </c>
      <c r="GC135" s="357">
        <f>'Hodnocení '!GC131</f>
        <v>0</v>
      </c>
      <c r="GD135" s="357">
        <f>'Hodnocení '!GD131</f>
        <v>0</v>
      </c>
      <c r="GE135" s="357">
        <f>'Hodnocení '!GE131</f>
        <v>0</v>
      </c>
      <c r="GF135" s="357">
        <f>'Hodnocení '!GF131</f>
        <v>0</v>
      </c>
      <c r="GG135" s="357">
        <f>'Hodnocení '!GG131</f>
        <v>0</v>
      </c>
      <c r="GH135" s="357">
        <f>'Hodnocení '!GH131</f>
        <v>0</v>
      </c>
      <c r="GI135" s="357">
        <f>'Hodnocení '!GI131</f>
        <v>0</v>
      </c>
      <c r="GJ135" s="357">
        <f>'Hodnocení '!GJ131</f>
        <v>0</v>
      </c>
      <c r="GK135" s="357">
        <f>'Hodnocení '!GK131</f>
        <v>0</v>
      </c>
      <c r="GL135" s="357">
        <f>'Hodnocení '!GL131</f>
        <v>0</v>
      </c>
      <c r="GM135" s="357">
        <f>'Hodnocení '!GM131</f>
        <v>0</v>
      </c>
      <c r="GN135" s="357">
        <f>'Hodnocení '!GN131</f>
        <v>0</v>
      </c>
      <c r="GO135" s="357">
        <f>'Hodnocení '!GO131</f>
        <v>0</v>
      </c>
      <c r="GP135" s="357">
        <f>'Hodnocení '!GP131</f>
        <v>0</v>
      </c>
      <c r="GQ135" s="357">
        <f>'Hodnocení '!GQ131</f>
        <v>0</v>
      </c>
      <c r="GR135" s="357">
        <f>'Hodnocení '!GR131</f>
        <v>0</v>
      </c>
      <c r="GS135" s="357">
        <f>'Hodnocení '!GS131</f>
        <v>0</v>
      </c>
      <c r="GT135" s="357">
        <f>'Hodnocení '!GT131</f>
        <v>0</v>
      </c>
      <c r="GU135" s="357">
        <f>'Hodnocení '!GU131</f>
        <v>0</v>
      </c>
      <c r="GV135" s="357">
        <f>'Hodnocení '!GV131</f>
        <v>0</v>
      </c>
      <c r="GW135" s="357">
        <f>'Hodnocení '!GW131</f>
        <v>0</v>
      </c>
      <c r="GX135" s="357">
        <f>'Hodnocení '!GX131</f>
        <v>0</v>
      </c>
      <c r="GY135" s="357">
        <f>'Hodnocení '!GY131</f>
        <v>0</v>
      </c>
      <c r="GZ135" s="357">
        <f>'Hodnocení '!GZ131</f>
        <v>0</v>
      </c>
      <c r="HA135" s="357">
        <f>'Hodnocení '!HA131</f>
        <v>0</v>
      </c>
      <c r="HB135" s="357">
        <f>'Hodnocení '!HB131</f>
        <v>0</v>
      </c>
      <c r="HC135" s="357">
        <f>'Hodnocení '!HC131</f>
        <v>0</v>
      </c>
      <c r="HD135" s="357">
        <f>'Hodnocení '!HD131</f>
        <v>0</v>
      </c>
      <c r="HE135" s="357">
        <f>'Hodnocení '!HE131</f>
        <v>0</v>
      </c>
      <c r="HF135" s="357">
        <f>'Hodnocení '!HF131</f>
        <v>0</v>
      </c>
      <c r="HG135" s="357">
        <f>'Hodnocení '!HG131</f>
        <v>0</v>
      </c>
      <c r="HH135" s="357">
        <f>'Hodnocení '!HH131</f>
        <v>0</v>
      </c>
      <c r="HI135" s="357">
        <f>'Hodnocení '!HI131</f>
        <v>0</v>
      </c>
      <c r="HJ135" s="357">
        <f>'Hodnocení '!HJ131</f>
        <v>0</v>
      </c>
      <c r="HK135" s="357">
        <f>'Hodnocení '!HK131</f>
        <v>0</v>
      </c>
      <c r="HL135" s="357">
        <f>'Hodnocení '!HL131</f>
        <v>0</v>
      </c>
      <c r="HM135" s="357">
        <f>'Hodnocení '!HM131</f>
        <v>0</v>
      </c>
      <c r="HN135" s="357">
        <f>'Hodnocení '!HN131</f>
        <v>0</v>
      </c>
      <c r="HO135" s="357">
        <f>'Hodnocení '!HO131</f>
        <v>0</v>
      </c>
      <c r="HP135" s="357">
        <f>'Hodnocení '!HP131</f>
        <v>0</v>
      </c>
      <c r="HQ135" s="357">
        <f>'Hodnocení '!HQ131</f>
        <v>0</v>
      </c>
      <c r="HR135" s="357">
        <f>'Hodnocení '!HR131</f>
        <v>0</v>
      </c>
      <c r="HS135" s="357">
        <f>'Hodnocení '!HS131</f>
        <v>0</v>
      </c>
      <c r="HT135" s="357">
        <f>'Hodnocení '!HT131</f>
        <v>0</v>
      </c>
      <c r="HU135" s="357">
        <f>'Hodnocení '!HU131</f>
        <v>0</v>
      </c>
      <c r="HV135" s="357">
        <f>'Hodnocení '!HV131</f>
        <v>0</v>
      </c>
      <c r="HW135" s="357">
        <f>'Hodnocení '!HW131</f>
        <v>0</v>
      </c>
      <c r="HX135" s="357">
        <f>'Hodnocení '!HX131</f>
        <v>0</v>
      </c>
      <c r="HY135" s="357">
        <f>'Hodnocení '!HY131</f>
        <v>0</v>
      </c>
      <c r="HZ135" s="357">
        <f>'Hodnocení '!HZ131</f>
        <v>0</v>
      </c>
      <c r="IA135" s="357">
        <f>'Hodnocení '!IA131</f>
        <v>0</v>
      </c>
      <c r="IB135" s="357">
        <f>'Hodnocení '!IB131</f>
        <v>0</v>
      </c>
      <c r="IC135" s="357">
        <f>'Hodnocení '!IC131</f>
        <v>0</v>
      </c>
      <c r="ID135" s="357">
        <f>'Hodnocení '!ID131</f>
        <v>0</v>
      </c>
      <c r="IE135" s="357">
        <f>'Hodnocení '!IE131</f>
        <v>0</v>
      </c>
      <c r="IF135" s="357">
        <f>'Hodnocení '!IF131</f>
        <v>0</v>
      </c>
      <c r="IG135" s="357">
        <f>'Hodnocení '!IG131</f>
        <v>0</v>
      </c>
      <c r="IH135" s="357">
        <f>'Hodnocení '!IH131</f>
        <v>0</v>
      </c>
      <c r="II135" s="357">
        <f>'Hodnocení '!II131</f>
        <v>0</v>
      </c>
      <c r="IJ135" s="357">
        <f>'Hodnocení '!IJ131</f>
        <v>0</v>
      </c>
      <c r="IK135" s="357">
        <f>'Hodnocení '!IK131</f>
        <v>0</v>
      </c>
      <c r="IL135" s="357">
        <f>'Hodnocení '!IL131</f>
        <v>0</v>
      </c>
      <c r="IM135" s="357">
        <f>'Hodnocení '!IM131</f>
        <v>0</v>
      </c>
      <c r="IN135" s="357">
        <f>'Hodnocení '!IN131</f>
        <v>0</v>
      </c>
      <c r="IO135" s="357">
        <f>'Hodnocení '!IO131</f>
        <v>0</v>
      </c>
      <c r="IP135" s="357">
        <f>'Hodnocení '!IP131</f>
        <v>0</v>
      </c>
      <c r="IQ135" s="357">
        <f>'Hodnocení '!IQ131</f>
        <v>0</v>
      </c>
      <c r="IR135" s="357">
        <f>'Hodnocení '!IR131</f>
        <v>0</v>
      </c>
      <c r="IS135" s="357">
        <f>'Hodnocení '!IS131</f>
        <v>0</v>
      </c>
      <c r="IT135" s="357">
        <f>'Hodnocení '!IT131</f>
        <v>0</v>
      </c>
      <c r="IU135" s="357">
        <f>'Hodnocení '!IU131</f>
        <v>0</v>
      </c>
      <c r="IV135" s="357">
        <f>'Hodnocení '!IV131</f>
        <v>0</v>
      </c>
      <c r="IW135" s="357">
        <f>'Hodnocení '!IW131</f>
        <v>0</v>
      </c>
      <c r="IX135" s="357">
        <f>'Hodnocení '!IX131</f>
        <v>0</v>
      </c>
      <c r="IY135" s="357">
        <f>'Hodnocení '!IY131</f>
        <v>0</v>
      </c>
      <c r="IZ135" s="357">
        <f>'Hodnocení '!IZ131</f>
        <v>0</v>
      </c>
      <c r="JA135" s="357">
        <f>'Hodnocení '!JA131</f>
        <v>0</v>
      </c>
      <c r="JB135" s="357">
        <f>'Hodnocení '!JB131</f>
        <v>0</v>
      </c>
      <c r="JC135" s="357">
        <f>'Hodnocení '!JC131</f>
        <v>0</v>
      </c>
      <c r="JD135" s="357">
        <f>'Hodnocení '!JD131</f>
        <v>0</v>
      </c>
      <c r="JE135" s="357">
        <f>'Hodnocení '!JE131</f>
        <v>0</v>
      </c>
      <c r="JF135" s="357">
        <f>'Hodnocení '!JF131</f>
        <v>0</v>
      </c>
      <c r="JG135" s="357">
        <f>'Hodnocení '!JG131</f>
        <v>0</v>
      </c>
      <c r="JH135" s="772">
        <f>'Hodnocení '!JH131</f>
        <v>0</v>
      </c>
      <c r="JI135" s="315">
        <f>'Hodnocení '!JI131</f>
        <v>0</v>
      </c>
    </row>
    <row r="136" spans="1:276" ht="15.75" hidden="1" thickBot="1" x14ac:dyDescent="0.3">
      <c r="B136" s="608" t="str">
        <f>B13</f>
        <v>Výpočet VP 2020</v>
      </c>
      <c r="C136" s="696">
        <f>'Hodnocení '!C132</f>
        <v>9296049.1510793846</v>
      </c>
      <c r="D136" s="697">
        <f>'Hodnocení '!D132</f>
        <v>9345564.764516497</v>
      </c>
      <c r="E136" s="697">
        <f>'Hodnocení '!E132</f>
        <v>8887194.8468445688</v>
      </c>
      <c r="F136" s="697">
        <f>'Hodnocení '!F132</f>
        <v>3978884.7088353573</v>
      </c>
      <c r="G136" s="697">
        <f>'Hodnocení '!G132</f>
        <v>11754503.127290595</v>
      </c>
      <c r="H136" s="697">
        <f>'Hodnocení '!H132</f>
        <v>1265732.1198156357</v>
      </c>
      <c r="I136" s="697">
        <f>'Hodnocení '!I132</f>
        <v>3505750.9805252724</v>
      </c>
      <c r="J136" s="697">
        <f>'Hodnocení '!J132</f>
        <v>2983617.8557661893</v>
      </c>
      <c r="K136" s="697">
        <f>'Hodnocení '!K132</f>
        <v>5924518.8128773188</v>
      </c>
      <c r="L136" s="697">
        <f>'Hodnocení '!L132</f>
        <v>4031705.8292569402</v>
      </c>
      <c r="M136" s="697">
        <f>'Hodnocení '!M132</f>
        <v>3984275.238895766</v>
      </c>
      <c r="N136" s="697">
        <f>'Hodnocení '!N132</f>
        <v>5017302.8370803231</v>
      </c>
      <c r="O136" s="697">
        <f>'Hodnocení '!O132</f>
        <v>4508635.2104233941</v>
      </c>
      <c r="P136" s="697">
        <f>'Hodnocení '!P132</f>
        <v>2998026.0021816893</v>
      </c>
      <c r="Q136" s="697">
        <f>'Hodnocení '!Q132</f>
        <v>2005488.4791010155</v>
      </c>
      <c r="R136" s="697">
        <f>'Hodnocení '!R132</f>
        <v>2451152.5855679074</v>
      </c>
      <c r="S136" s="697">
        <f>'Hodnocení '!S132</f>
        <v>1708379.0747897534</v>
      </c>
      <c r="T136" s="697">
        <f>'Hodnocení '!T132</f>
        <v>742773.51077815378</v>
      </c>
      <c r="U136" s="697">
        <f>'Hodnocení '!U132</f>
        <v>1114160.2661672307</v>
      </c>
      <c r="V136" s="697">
        <f>'Hodnocení '!V132</f>
        <v>15268375.428234249</v>
      </c>
      <c r="W136" s="697">
        <f>'Hodnocení '!W132</f>
        <v>4127146.9193722606</v>
      </c>
      <c r="X136" s="697">
        <f>'Hodnocení '!X132</f>
        <v>2191081.086187847</v>
      </c>
      <c r="Y136" s="697">
        <f>'Hodnocení '!Y132</f>
        <v>2069745.4492107111</v>
      </c>
      <c r="Z136" s="697">
        <f>'Hodnocení '!Z132</f>
        <v>9676854.0623107646</v>
      </c>
      <c r="AA136" s="697">
        <f>'Hodnocení '!AA132</f>
        <v>4313818.3267021552</v>
      </c>
      <c r="AB136" s="697">
        <f>'Hodnocení '!AB132</f>
        <v>3153482.7159662391</v>
      </c>
      <c r="AC136" s="697">
        <f>'Hodnocení '!AC132</f>
        <v>471661.84132364974</v>
      </c>
      <c r="AD136" s="697">
        <f>'Hodnocení '!AD132</f>
        <v>2497904.6985613657</v>
      </c>
      <c r="AE136" s="697">
        <f>'Hodnocení '!AE132</f>
        <v>1222248.5258989439</v>
      </c>
      <c r="AF136" s="697">
        <f>'Hodnocení '!AF132</f>
        <v>3535587.1590829343</v>
      </c>
      <c r="AG136" s="697">
        <f>'Hodnocení '!AG132</f>
        <v>3510607.0288166855</v>
      </c>
      <c r="AH136" s="697">
        <f>'Hodnocení '!AH132</f>
        <v>1327900.8936605309</v>
      </c>
      <c r="AI136" s="697">
        <f>'Hodnocení '!AI132</f>
        <v>5529368.7225791952</v>
      </c>
      <c r="AJ136" s="697">
        <f>'Hodnocení '!AJ132</f>
        <v>4314044.4365202505</v>
      </c>
      <c r="AK136" s="697">
        <f>'Hodnocení '!AK132</f>
        <v>1559824.3726341228</v>
      </c>
      <c r="AL136" s="697">
        <f>'Hodnocení '!AL132</f>
        <v>2156909.1633510776</v>
      </c>
      <c r="AM136" s="697">
        <f>'Hodnocení '!AM132</f>
        <v>1559824.3726341231</v>
      </c>
      <c r="AN136" s="697">
        <f>'Hodnocení '!AN132</f>
        <v>995316.50444272615</v>
      </c>
      <c r="AO136" s="697">
        <f>'Hodnocení '!AO132</f>
        <v>6314033.6631408297</v>
      </c>
      <c r="AP136" s="697">
        <f>'Hodnocení '!AP132</f>
        <v>2385174.6132770502</v>
      </c>
      <c r="AQ136" s="697">
        <f>'Hodnocení '!AQ132</f>
        <v>297109.40431126149</v>
      </c>
      <c r="AR136" s="697">
        <f>'Hodnocení '!AR132</f>
        <v>1671240.3992508459</v>
      </c>
      <c r="AS136" s="697">
        <f>'Hodnocení '!AS132</f>
        <v>445664.10646689229</v>
      </c>
      <c r="AT136" s="697">
        <f>'Hodnocení '!AT132</f>
        <v>2109142.1939772759</v>
      </c>
      <c r="AU136" s="697">
        <f>'Hodnocení '!AU132</f>
        <v>1051886.2833224081</v>
      </c>
      <c r="AV136" s="697">
        <f>'Hodnocení '!AV132</f>
        <v>2120960.6772952261</v>
      </c>
      <c r="AW136" s="697">
        <f>'Hodnocení '!AW132</f>
        <v>3515922.5550434329</v>
      </c>
      <c r="AX136" s="697">
        <f>'Hodnocení '!AX132</f>
        <v>2889815.8082949743</v>
      </c>
      <c r="AY136" s="697">
        <f>'Hodnocení '!AY132</f>
        <v>3192681.8379533906</v>
      </c>
      <c r="AZ136" s="697">
        <f>'Hodnocení '!AZ132</f>
        <v>3892622.7779548438</v>
      </c>
      <c r="BA136" s="697">
        <f>'Hodnocení '!BA132</f>
        <v>11288288.921655141</v>
      </c>
      <c r="BB136" s="697">
        <f>'Hodnocení '!BB132</f>
        <v>1411269.6704784923</v>
      </c>
      <c r="BC136" s="697">
        <f>'Hodnocení '!BC132</f>
        <v>1360742.4938025323</v>
      </c>
      <c r="BD136" s="697">
        <f>'Hodnocení '!BD132</f>
        <v>2020343.9493165785</v>
      </c>
      <c r="BE136" s="697">
        <f>'Hodnocení '!BE132</f>
        <v>1305332.8118977079</v>
      </c>
      <c r="BF136" s="697">
        <f>'Hodnocení '!BF132</f>
        <v>3045371.3941904306</v>
      </c>
      <c r="BG136" s="697">
        <f>'Hodnocení '!BG132</f>
        <v>4025254.0656860587</v>
      </c>
      <c r="BH136" s="697">
        <f>'Hodnocení '!BH132</f>
        <v>3785109.2415605099</v>
      </c>
      <c r="BI136" s="697">
        <f>'Hodnocení '!BI132</f>
        <v>3112669.1129161981</v>
      </c>
      <c r="BJ136" s="697">
        <f>'Hodnocení '!BJ132</f>
        <v>2836236.6701121721</v>
      </c>
      <c r="BK136" s="697">
        <f>'Hodnocení '!BK132</f>
        <v>1305332.8118977079</v>
      </c>
      <c r="BL136" s="697">
        <f>'Hodnocení '!BL132</f>
        <v>484189.8882988008</v>
      </c>
      <c r="BM136" s="697">
        <f>'Hodnocení '!BM132</f>
        <v>2386894.2846129518</v>
      </c>
      <c r="BN136" s="697">
        <f>'Hodnocení '!BN132</f>
        <v>1946066.5982387629</v>
      </c>
      <c r="BO136" s="697">
        <f>'Hodnocení '!BO132</f>
        <v>1115754.3738330903</v>
      </c>
      <c r="BP136" s="697">
        <f>'Hodnocení '!BP132</f>
        <v>5612904.2616406893</v>
      </c>
      <c r="BQ136" s="697">
        <f>'Hodnocení '!BQ132</f>
        <v>857790.13353277929</v>
      </c>
      <c r="BR136" s="697">
        <f>'Hodnocení '!BR132</f>
        <v>1002744.2395505077</v>
      </c>
      <c r="BS136" s="697">
        <f>'Hodnocení '!BS132</f>
        <v>1336992.3194006768</v>
      </c>
      <c r="BT136" s="697">
        <f>'Hodnocení '!BT132</f>
        <v>1114160.2661672307</v>
      </c>
      <c r="BU136" s="697">
        <f>'Hodnocení '!BU132</f>
        <v>4446637.2294955002</v>
      </c>
      <c r="BV136" s="697">
        <f>'Hodnocení '!BV132</f>
        <v>1142294.6626007925</v>
      </c>
      <c r="BW136" s="697">
        <f>'Hodnocení '!BW132</f>
        <v>297109.40431126149</v>
      </c>
      <c r="BX136" s="697">
        <f>'Hodnocení '!BX132</f>
        <v>5062234.123708467</v>
      </c>
      <c r="BY136" s="697">
        <f>'Hodnocení '!BY132</f>
        <v>2065527.6887355854</v>
      </c>
      <c r="BZ136" s="697">
        <f>'Hodnocení '!BZ132</f>
        <v>249019.98755359586</v>
      </c>
      <c r="CA136" s="697">
        <f>'Hodnocení '!CA132</f>
        <v>0</v>
      </c>
      <c r="CB136" s="697">
        <f>'Hodnocení '!CB132</f>
        <v>212096.63819068708</v>
      </c>
      <c r="CC136" s="697">
        <f>'Hodnocení '!CC132</f>
        <v>2414013.9100289997</v>
      </c>
      <c r="CD136" s="697">
        <f>'Hodnocení '!CD132</f>
        <v>742773.51077815378</v>
      </c>
      <c r="CE136" s="697">
        <f>'Hodnocení '!CE132</f>
        <v>14096350.125316771</v>
      </c>
      <c r="CF136" s="697">
        <f>'Hodnocení '!CF132</f>
        <v>4820517.8393289512</v>
      </c>
      <c r="CG136" s="697">
        <f>'Hodnocení '!CG132</f>
        <v>10598581.496070446</v>
      </c>
      <c r="CH136" s="697">
        <f>'Hodnocení '!CH132</f>
        <v>4534503.8765709288</v>
      </c>
      <c r="CI136" s="697">
        <f>'Hodnocení '!CI132</f>
        <v>3518851.9671994289</v>
      </c>
      <c r="CJ136" s="697">
        <f>'Hodnocení '!CJ132</f>
        <v>4666195.0818283353</v>
      </c>
      <c r="CK136" s="697">
        <f>'Hodnocení '!CK132</f>
        <v>5333901.2291703308</v>
      </c>
      <c r="CL136" s="697">
        <f>'Hodnocení '!CL132</f>
        <v>3132798.7485544984</v>
      </c>
      <c r="CM136" s="697">
        <f>'Hodnocení '!CM132</f>
        <v>6951836.4399863137</v>
      </c>
      <c r="CN136" s="697">
        <f>'Hodnocení '!CN132</f>
        <v>1314857.8541530101</v>
      </c>
      <c r="CO136" s="697">
        <f>'Hodnocení '!CO132</f>
        <v>1314857.8541530101</v>
      </c>
      <c r="CP136" s="697">
        <f>'Hodnocení '!CP132</f>
        <v>1314857.8541530101</v>
      </c>
      <c r="CQ136" s="697">
        <f>'Hodnocení '!CQ132</f>
        <v>6255036.573718125</v>
      </c>
      <c r="CR136" s="697">
        <f>'Hodnocení '!CR132</f>
        <v>2477843.1844488932</v>
      </c>
      <c r="CS136" s="697">
        <f>'Hodnocení '!CS132</f>
        <v>4256553.8028849224</v>
      </c>
      <c r="CT136" s="697">
        <f>'Hodnocení '!CT132</f>
        <v>4823200.6433408242</v>
      </c>
      <c r="CU136" s="697">
        <f>'Hodnocení '!CU132</f>
        <v>2065527.6887355854</v>
      </c>
      <c r="CV136" s="697">
        <f>'Hodnocení '!CV132</f>
        <v>5572023.830386878</v>
      </c>
      <c r="CW136" s="697">
        <f>'Hodnocení '!CW132</f>
        <v>445664.10646689229</v>
      </c>
      <c r="CX136" s="697">
        <f>'Hodnocení '!CX132</f>
        <v>4855375.2081390303</v>
      </c>
      <c r="CY136" s="697">
        <f>'Hodnocení '!CY132</f>
        <v>3158756.2839012085</v>
      </c>
      <c r="CZ136" s="697">
        <f>'Hodnocení '!CZ132</f>
        <v>1617681.872513308</v>
      </c>
      <c r="DA136" s="697">
        <f>'Hodnocení '!DA132</f>
        <v>8578781.7210858986</v>
      </c>
      <c r="DB136" s="697">
        <f>'Hodnocení '!DB132</f>
        <v>854189.53739487671</v>
      </c>
      <c r="DC136" s="697">
        <f>'Hodnocení '!DC132</f>
        <v>1972286.7812295151</v>
      </c>
      <c r="DD136" s="697">
        <f>'Hodnocení '!DD132</f>
        <v>5594283.4795616046</v>
      </c>
      <c r="DE136" s="697">
        <f>'Hodnocení '!DE132</f>
        <v>7831996.8713862468</v>
      </c>
      <c r="DF136" s="697">
        <f>'Hodnocení '!DF132</f>
        <v>7831996.8713862468</v>
      </c>
      <c r="DG136" s="697">
        <f>'Hodnocení '!DG132</f>
        <v>854189.53739487671</v>
      </c>
      <c r="DH136" s="697">
        <f>'Hodnocení '!DH132</f>
        <v>2542541.0743335127</v>
      </c>
      <c r="DI136" s="697">
        <f>'Hodnocení '!DI132</f>
        <v>1139158.9078340724</v>
      </c>
      <c r="DJ136" s="697">
        <f>'Hodnocení '!DJ132</f>
        <v>2237713.3918246417</v>
      </c>
      <c r="DK136" s="697">
        <f>'Hodnocení '!DK132</f>
        <v>2610665.6237954157</v>
      </c>
      <c r="DL136" s="697">
        <f>'Hodnocení '!DL132</f>
        <v>4473993.2555374205</v>
      </c>
      <c r="DM136" s="697">
        <f>'Hodnocení '!DM132</f>
        <v>2420949.4414940039</v>
      </c>
      <c r="DN136" s="697">
        <f>'Hodnocení '!DN132</f>
        <v>3944573.5624590302</v>
      </c>
      <c r="DO136" s="697">
        <f>'Hodnocení '!DO132</f>
        <v>1491808.9278830946</v>
      </c>
      <c r="DP136" s="697">
        <f>'Hodnocení '!DP132</f>
        <v>4273288.0259972829</v>
      </c>
      <c r="DQ136" s="697">
        <f>'Hodnocení '!DQ132</f>
        <v>4709251.6733165188</v>
      </c>
      <c r="DR136" s="697">
        <f>'Hodnocení '!DR132</f>
        <v>5392272.908377694</v>
      </c>
      <c r="DS136" s="697">
        <f>'Hodnocení '!DS132</f>
        <v>1729310.8899851122</v>
      </c>
      <c r="DT136" s="697">
        <f>'Hodnocení '!DT132</f>
        <v>4430608.8151310459</v>
      </c>
      <c r="DU136" s="697">
        <f>'Hodnocení '!DU132</f>
        <v>2538154.1570197763</v>
      </c>
      <c r="DV136" s="697">
        <f>'Hodnocení '!DV132</f>
        <v>7715066.8911256026</v>
      </c>
      <c r="DW136" s="697">
        <f>'Hodnocení '!DW132</f>
        <v>1406369.022017373</v>
      </c>
      <c r="DX136" s="697">
        <f>'Hodnocení '!DX132</f>
        <v>4475426.7836492835</v>
      </c>
      <c r="DY136" s="697">
        <f>'Hodnocení '!DY132</f>
        <v>4731142.7504826486</v>
      </c>
      <c r="DZ136" s="697">
        <f>'Hodnocení '!DZ132</f>
        <v>770133.71150518791</v>
      </c>
      <c r="EA136" s="697">
        <f>'Hodnocení '!EA132</f>
        <v>3517972.7647054419</v>
      </c>
      <c r="EB136" s="697">
        <f>'Hodnocení '!EB132</f>
        <v>5976412.8583436497</v>
      </c>
      <c r="EC136" s="697">
        <f>'Hodnocení '!EC132</f>
        <v>3312237.7834975314</v>
      </c>
      <c r="ED136" s="697">
        <f>'Hodnocení '!ED132</f>
        <v>3891133.2612115145</v>
      </c>
      <c r="EE136" s="697">
        <f>'Hodnocení '!EE132</f>
        <v>854189.53739487671</v>
      </c>
      <c r="EF136" s="697">
        <f>'Hodnocení '!EF132</f>
        <v>928466.88847269223</v>
      </c>
      <c r="EG136" s="697">
        <f>'Hodnocení '!EG132</f>
        <v>445664.10646689229</v>
      </c>
      <c r="EH136" s="697">
        <f>'Hodnocení '!EH132</f>
        <v>799811.80860682938</v>
      </c>
      <c r="EI136" s="697">
        <f>'Hodnocení '!EI132</f>
        <v>1311636.3759544892</v>
      </c>
      <c r="EJ136" s="697">
        <f>'Hodnocení '!EJ132</f>
        <v>1193447.1423064759</v>
      </c>
      <c r="EK136" s="697">
        <f>'Hodnocení '!EK132</f>
        <v>3733481.0875684507</v>
      </c>
      <c r="EL136" s="697">
        <f>'Hodnocení '!EL132</f>
        <v>11834171.525295848</v>
      </c>
      <c r="EM136" s="697">
        <f>'Hodnocení '!EM132</f>
        <v>3398690.3194428757</v>
      </c>
      <c r="EN136" s="697">
        <f>'Hodnocení '!EN132</f>
        <v>2516394.0239095907</v>
      </c>
      <c r="EO136" s="697">
        <f>'Hodnocení '!EO132</f>
        <v>297109.40431126149</v>
      </c>
      <c r="EP136" s="697">
        <f>'Hodnocení '!EP132</f>
        <v>3184329.1261055968</v>
      </c>
      <c r="EQ136" s="697">
        <f>'Hodnocení '!EQ132</f>
        <v>1864761.1598538682</v>
      </c>
      <c r="ER136" s="697">
        <f>'Hodnocení '!ER132</f>
        <v>12801531.417957775</v>
      </c>
      <c r="ES136" s="697">
        <f>'Hodnocení '!ES132</f>
        <v>4377510.420380271</v>
      </c>
      <c r="ET136" s="697">
        <f>'Hodnocení '!ET132</f>
        <v>1009463.051162631</v>
      </c>
      <c r="EU136" s="697">
        <f>'Hodnocení '!EU132</f>
        <v>2867783.9144364195</v>
      </c>
      <c r="EV136" s="697">
        <f>'Hodnocení '!EV132</f>
        <v>742773.51077815378</v>
      </c>
      <c r="EW136" s="697">
        <f>'Hodnocení '!EW132</f>
        <v>4473993.2555374205</v>
      </c>
      <c r="EX136" s="697">
        <f>'Hodnocení '!EX132</f>
        <v>12601454.267581619</v>
      </c>
      <c r="EY136" s="697">
        <f>'Hodnocení '!EY132</f>
        <v>3235363.7450266159</v>
      </c>
      <c r="EZ136" s="697">
        <f>'Hodnocení '!EZ132</f>
        <v>1180543.1487498037</v>
      </c>
      <c r="FA136" s="697">
        <f>'Hodnocení '!FA132</f>
        <v>2643559.424768026</v>
      </c>
      <c r="FB136" s="697">
        <f>'Hodnocení '!FB132</f>
        <v>265664.49062636285</v>
      </c>
      <c r="FC136" s="697">
        <f>'Hodnocení '!FC132</f>
        <v>8081615.4215486925</v>
      </c>
      <c r="FD136" s="697">
        <f>'Hodnocení '!FD132</f>
        <v>1664055.933514433</v>
      </c>
      <c r="FE136" s="697">
        <f>'Hodnocení '!FE132</f>
        <v>813440.58884631132</v>
      </c>
      <c r="FF136" s="697">
        <f>'Hodnocení '!FF132</f>
        <v>3200382.8544894438</v>
      </c>
      <c r="FG136" s="697">
        <f>'Hodnocení '!FG132</f>
        <v>10234922.019552525</v>
      </c>
      <c r="FH136" s="697">
        <f>'Hodnocení '!FH132</f>
        <v>12020924.688991101</v>
      </c>
      <c r="FI136" s="697">
        <f>'Hodnocení '!FI132</f>
        <v>12032157.560676448</v>
      </c>
      <c r="FJ136" s="697">
        <f>'Hodnocení '!FJ132</f>
        <v>3992300.1421770533</v>
      </c>
      <c r="FK136" s="697">
        <f>'Hodnocení '!FK132</f>
        <v>963386.22672073392</v>
      </c>
      <c r="FL136" s="697">
        <f>'Hodnocení '!FL132</f>
        <v>1203612.7840607695</v>
      </c>
      <c r="FM136" s="697">
        <f>'Hodnocení '!FM132</f>
        <v>5747603.6565853953</v>
      </c>
      <c r="FN136" s="697">
        <f>'Hodnocení '!FN132</f>
        <v>7963831.4799554544</v>
      </c>
      <c r="FO136" s="697">
        <f>'Hodnocení '!FO132</f>
        <v>3142946.1483755559</v>
      </c>
      <c r="FP136" s="697">
        <f>'Hodnocení '!FP132</f>
        <v>19436918.394972485</v>
      </c>
      <c r="FQ136" s="697">
        <f>'Hodnocení '!FQ132</f>
        <v>2412521.9484436484</v>
      </c>
      <c r="FR136" s="697">
        <f>'Hodnocení '!FR132</f>
        <v>3847203.2896098206</v>
      </c>
      <c r="FS136" s="697">
        <f>'Hodnocení '!FS132</f>
        <v>975513.36972985521</v>
      </c>
      <c r="FT136" s="697">
        <f>'Hodnocení '!FT132</f>
        <v>5871693.3263162933</v>
      </c>
      <c r="FU136" s="697">
        <f>'Hodnocení '!FU132</f>
        <v>840045.66849283664</v>
      </c>
      <c r="FV136" s="697">
        <f>'Hodnocení '!FV132</f>
        <v>1864671.3198748971</v>
      </c>
      <c r="FW136" s="697">
        <f>'Hodnocení '!FW132</f>
        <v>2485175.9672305044</v>
      </c>
      <c r="FX136" s="697">
        <f>'Hodnocení '!FX132</f>
        <v>1025431.0615861824</v>
      </c>
      <c r="FY136" s="697">
        <f>'Hodnocení '!FY132</f>
        <v>591907.25956185197</v>
      </c>
      <c r="FZ136" s="697">
        <f>'Hodnocení '!FZ132</f>
        <v>7845845.0490599889</v>
      </c>
      <c r="GA136" s="697">
        <f>'Hodnocení '!GA132</f>
        <v>992170.48958755797</v>
      </c>
      <c r="GB136" s="697">
        <f>'Hodnocení '!GB132</f>
        <v>7078594.4862977713</v>
      </c>
      <c r="GC136" s="697">
        <f>'Hodnocení '!GC132</f>
        <v>3992300.1421770533</v>
      </c>
      <c r="GD136" s="697">
        <f>'Hodnocení '!GD132</f>
        <v>14793188.350004137</v>
      </c>
      <c r="GE136" s="697">
        <f>'Hodnocení '!GE132</f>
        <v>2386894.2846129518</v>
      </c>
      <c r="GF136" s="697">
        <f>'Hodnocení '!GF132</f>
        <v>5289600.1778761428</v>
      </c>
      <c r="GG136" s="697">
        <f>'Hodnocení '!GG132</f>
        <v>1675672.3627191633</v>
      </c>
      <c r="GH136" s="697">
        <f>'Hodnocení '!GH132</f>
        <v>1500741.4312772285</v>
      </c>
      <c r="GI136" s="697">
        <f>'Hodnocení '!GI132</f>
        <v>15318249.086967468</v>
      </c>
      <c r="GJ136" s="697">
        <f>'Hodnocení '!GJ132</f>
        <v>3655791.4773473097</v>
      </c>
      <c r="GK136" s="697">
        <f>'Hodnocení '!GK132</f>
        <v>3315671.4994501965</v>
      </c>
      <c r="GL136" s="697">
        <f>'Hodnocení '!GL132</f>
        <v>1306920.953704515</v>
      </c>
      <c r="GM136" s="697">
        <f>'Hodnocení '!GM132</f>
        <v>1544957.978629787</v>
      </c>
      <c r="GN136" s="697">
        <f>'Hodnocení '!GN132</f>
        <v>1437939.4422340516</v>
      </c>
      <c r="GO136" s="697">
        <f>'Hodnocení '!GO132</f>
        <v>9403110.7931909356</v>
      </c>
      <c r="GP136" s="697">
        <f>'Hodnocení '!GP132</f>
        <v>1324656.0617410089</v>
      </c>
      <c r="GQ136" s="697">
        <f>'Hodnocení '!GQ132</f>
        <v>2857444.9764231946</v>
      </c>
      <c r="GR136" s="697">
        <f>'Hodnocení '!GR132</f>
        <v>1671114.6056514834</v>
      </c>
      <c r="GS136" s="697">
        <f>'Hodnocení '!GS132</f>
        <v>963386.22672073392</v>
      </c>
      <c r="GT136" s="697">
        <f>'Hodnocení '!GT132</f>
        <v>14779349.532092277</v>
      </c>
      <c r="GU136" s="697">
        <f>'Hodnocení '!GU132</f>
        <v>2162643.1188159068</v>
      </c>
      <c r="GV136" s="697">
        <f>'Hodnocení '!GV132</f>
        <v>8312921.1856662463</v>
      </c>
      <c r="GW136" s="697">
        <f>'Hodnocení '!GW132</f>
        <v>2236996.6277687103</v>
      </c>
      <c r="GX136" s="697">
        <f>'Hodnocení '!GX132</f>
        <v>846629.33977144712</v>
      </c>
      <c r="GY136" s="697">
        <f>'Hodnocení '!GY132</f>
        <v>34757171.494393662</v>
      </c>
      <c r="GZ136" s="697">
        <f>'Hodnocení '!GZ132</f>
        <v>4016004.3026968315</v>
      </c>
      <c r="HA136" s="697">
        <f>'Hodnocení '!HA132</f>
        <v>11838145.191237042</v>
      </c>
      <c r="HB136" s="697">
        <f>'Hodnocení '!HB132</f>
        <v>10271504.099015649</v>
      </c>
      <c r="HC136" s="697">
        <f>'Hodnocení '!HC132</f>
        <v>14671141.782730402</v>
      </c>
      <c r="HD136" s="697">
        <f>'Hodnocení '!HD132</f>
        <v>3992300.1421770533</v>
      </c>
      <c r="HE136" s="697">
        <f>'Hodnocení '!HE132</f>
        <v>11616198.576157156</v>
      </c>
      <c r="HF136" s="697">
        <f>'Hodnocení '!HF132</f>
        <v>2842779.4108599741</v>
      </c>
      <c r="HG136" s="697">
        <f>'Hodnocení '!HG132</f>
        <v>1616456.7877398005</v>
      </c>
      <c r="HH136" s="697">
        <f>'Hodnocení '!HH132</f>
        <v>3510607.0288166855</v>
      </c>
      <c r="HI136" s="697">
        <f>'Hodnocení '!HI132</f>
        <v>4955686.3688977864</v>
      </c>
      <c r="HJ136" s="697">
        <f>'Hodnocení '!HJ132</f>
        <v>1491808.9278830946</v>
      </c>
      <c r="HK136" s="697">
        <f>'Hodnocení '!HK132</f>
        <v>1266277.618266366</v>
      </c>
      <c r="HL136" s="697">
        <f>'Hodnocení '!HL132</f>
        <v>43047174.374081343</v>
      </c>
      <c r="HM136" s="697">
        <f>'Hodnocení '!HM132</f>
        <v>24315023.422150649</v>
      </c>
      <c r="HN136" s="697">
        <f>'Hodnocení '!HN132</f>
        <v>773502.96210955526</v>
      </c>
      <c r="HO136" s="697">
        <f>'Hodnocení '!HO132</f>
        <v>2685256.0701895705</v>
      </c>
      <c r="HP136" s="697">
        <f>'Hodnocení '!HP132</f>
        <v>33215261.641752195</v>
      </c>
      <c r="HQ136" s="697">
        <f>'Hodnocení '!HQ132</f>
        <v>1032559.9409537764</v>
      </c>
      <c r="HR136" s="697">
        <f>'Hodnocení '!HR132</f>
        <v>36614806.545883656</v>
      </c>
      <c r="HS136" s="697">
        <f>'Hodnocení '!HS132</f>
        <v>7195414.637391096</v>
      </c>
      <c r="HT136" s="697">
        <f>'Hodnocení '!HT132</f>
        <v>18595469.590470783</v>
      </c>
      <c r="HU136" s="697">
        <f>'Hodnocení '!HU132</f>
        <v>27484085.005208258</v>
      </c>
      <c r="HV136" s="697">
        <f>'Hodnocení '!HV132</f>
        <v>23544168.980021723</v>
      </c>
      <c r="HW136" s="697">
        <f>'Hodnocení '!HW132</f>
        <v>5603903.9405486807</v>
      </c>
      <c r="HX136" s="697">
        <f>'Hodnocení '!HX132</f>
        <v>25691721.341380894</v>
      </c>
      <c r="HY136" s="697">
        <f>'Hodnocení '!HY132</f>
        <v>20392282.173444685</v>
      </c>
      <c r="HZ136" s="697">
        <f>'Hodnocení '!HZ132</f>
        <v>10920004.97769383</v>
      </c>
      <c r="IA136" s="697">
        <f>'Hodnocení '!IA132</f>
        <v>11964721.15817537</v>
      </c>
      <c r="IB136" s="697">
        <f>'Hodnocení '!IB132</f>
        <v>9823113.9004964307</v>
      </c>
      <c r="IC136" s="697">
        <f>'Hodnocení '!IC132</f>
        <v>18429766.354838438</v>
      </c>
      <c r="ID136" s="697">
        <f>'Hodnocení '!ID132</f>
        <v>12416191.317817554</v>
      </c>
      <c r="IE136" s="697">
        <f>'Hodnocení '!IE132</f>
        <v>19994059.517665572</v>
      </c>
      <c r="IF136" s="697">
        <f>'Hodnocení '!IF132</f>
        <v>17198633.588044822</v>
      </c>
      <c r="IG136" s="697">
        <f>'Hodnocení '!IG132</f>
        <v>5290219.0727247903</v>
      </c>
      <c r="IH136" s="697">
        <f>'Hodnocení '!IH132</f>
        <v>4013505.4274126575</v>
      </c>
      <c r="II136" s="697">
        <f>'Hodnocení '!II132</f>
        <v>19813983.129812181</v>
      </c>
      <c r="IJ136" s="697">
        <f>'Hodnocení '!IJ132</f>
        <v>2183526.9397355039</v>
      </c>
      <c r="IK136" s="697">
        <f>'Hodnocení '!IK132</f>
        <v>3438619.5787705323</v>
      </c>
      <c r="IL136" s="697">
        <f>'Hodnocení '!IL132</f>
        <v>10265880.700098794</v>
      </c>
      <c r="IM136" s="697">
        <f>'Hodnocení '!IM132</f>
        <v>576689.35844624322</v>
      </c>
      <c r="IN136" s="697">
        <f>'Hodnocení '!IN132</f>
        <v>10983989.105203958</v>
      </c>
      <c r="IO136" s="697">
        <f>'Hodnocení '!IO132</f>
        <v>4175281.5630752468</v>
      </c>
      <c r="IP136" s="697">
        <f>'Hodnocení '!IP132</f>
        <v>22497527.177580558</v>
      </c>
      <c r="IQ136" s="697">
        <f>'Hodnocení '!IQ132</f>
        <v>22486957.282894928</v>
      </c>
      <c r="IR136" s="697">
        <f>'Hodnocení '!IR132</f>
        <v>1066302.6090348614</v>
      </c>
      <c r="IS136" s="697">
        <f>'Hodnocení '!IS132</f>
        <v>65767680.859087437</v>
      </c>
      <c r="IT136" s="697">
        <f>'Hodnocení '!IT132</f>
        <v>16722565.344563767</v>
      </c>
      <c r="IU136" s="697">
        <f>'Hodnocení '!IU132</f>
        <v>3667436.7806406175</v>
      </c>
      <c r="IV136" s="697">
        <f>'Hodnocení '!IV132</f>
        <v>8866275.6764279809</v>
      </c>
      <c r="IW136" s="697">
        <f>'Hodnocení '!IW132</f>
        <v>14122596.481906652</v>
      </c>
      <c r="IX136" s="697">
        <f>'Hodnocení '!IX132</f>
        <v>2148999.2969357027</v>
      </c>
      <c r="IY136" s="697">
        <f>'Hodnocení '!IY132</f>
        <v>11376964.50882945</v>
      </c>
      <c r="IZ136" s="697">
        <f>'Hodnocení '!IZ132</f>
        <v>25280595.996755749</v>
      </c>
      <c r="JA136" s="697">
        <f>'Hodnocení '!JA132</f>
        <v>3082510.0697293384</v>
      </c>
      <c r="JB136" s="697">
        <f>'Hodnocení '!JB132</f>
        <v>3801963.0001571975</v>
      </c>
      <c r="JC136" s="697">
        <f>'Hodnocení '!JC132</f>
        <v>2169515.4593524667</v>
      </c>
      <c r="JD136" s="697">
        <f>'Hodnocení '!JD132</f>
        <v>6713140.1754739247</v>
      </c>
      <c r="JE136" s="697">
        <f>'Hodnocení '!JE132</f>
        <v>3693178.4081448922</v>
      </c>
      <c r="JF136" s="697">
        <f>'Hodnocení '!JF132</f>
        <v>42724760.148160294</v>
      </c>
      <c r="JG136" s="697">
        <f>'Hodnocení '!JG132</f>
        <v>30609469.164951172</v>
      </c>
      <c r="JH136" s="698">
        <f>'Hodnocení '!JH132</f>
        <v>1432360.5197921393</v>
      </c>
      <c r="JI136" s="470">
        <f>'Hodnocení '!JI132</f>
        <v>1595653051.8864341</v>
      </c>
    </row>
    <row r="137" spans="1:276" ht="15.75" hidden="1" thickBot="1" x14ac:dyDescent="0.3">
      <c r="B137" s="753" t="s">
        <v>2620</v>
      </c>
      <c r="C137" s="817">
        <f>'Hodnocení '!C133</f>
        <v>722950.84892061539</v>
      </c>
      <c r="D137" s="722">
        <f>'Hodnocení '!D133</f>
        <v>-965564.76451649703</v>
      </c>
      <c r="E137" s="722">
        <f>'Hodnocení '!E133</f>
        <v>1977805.1531554312</v>
      </c>
      <c r="F137" s="722">
        <f>'Hodnocení '!F133</f>
        <v>1019973.2911646427</v>
      </c>
      <c r="G137" s="722">
        <f>'Hodnocení '!G133</f>
        <v>896747.87270940468</v>
      </c>
      <c r="H137" s="722">
        <f>'Hodnocení '!H133</f>
        <v>625844.88018436427</v>
      </c>
      <c r="I137" s="722">
        <f>'Hodnocení '!I133</f>
        <v>423464.01947472757</v>
      </c>
      <c r="J137" s="722">
        <f>'Hodnocení '!J133</f>
        <v>11782.144233810715</v>
      </c>
      <c r="K137" s="722">
        <f>'Hodnocení '!K133</f>
        <v>123561.18712268118</v>
      </c>
      <c r="L137" s="722">
        <f>'Hodnocení '!L133</f>
        <v>1059394.1707430598</v>
      </c>
      <c r="M137" s="722">
        <f>'Hodnocení '!M133</f>
        <v>1255724.761104234</v>
      </c>
      <c r="N137" s="722">
        <f>'Hodnocení '!N133</f>
        <v>1922697.1629196769</v>
      </c>
      <c r="O137" s="722">
        <f>'Hodnocení '!O133</f>
        <v>489505.78957660589</v>
      </c>
      <c r="P137" s="722">
        <f>'Hodnocení '!P133</f>
        <v>146901.99781831075</v>
      </c>
      <c r="Q137" s="722">
        <f>'Hodnocení '!Q133</f>
        <v>989011.52089898451</v>
      </c>
      <c r="R137" s="722">
        <f>'Hodnocení '!R133</f>
        <v>124447.41443209257</v>
      </c>
      <c r="S137" s="722">
        <f>'Hodnocení '!S133</f>
        <v>701980.92521024658</v>
      </c>
      <c r="T137" s="722">
        <f>'Hodnocení '!T133</f>
        <v>158926.48922184622</v>
      </c>
      <c r="U137" s="722">
        <f>'Hodnocení '!U133</f>
        <v>405639.73383276933</v>
      </c>
      <c r="V137" s="722">
        <f>'Hodnocení '!V133</f>
        <v>-1920475.4282342494</v>
      </c>
      <c r="W137" s="722">
        <f>'Hodnocení '!W133</f>
        <v>-813546.91937226057</v>
      </c>
      <c r="X137" s="722">
        <f>'Hodnocení '!X133</f>
        <v>962418.91381215304</v>
      </c>
      <c r="Y137" s="722">
        <f>'Hodnocení '!Y133</f>
        <v>294154.55078928894</v>
      </c>
      <c r="Z137" s="722">
        <f>'Hodnocení '!Z133</f>
        <v>-2234930.0623107646</v>
      </c>
      <c r="AA137" s="722">
        <f>'Hodnocení '!AA133</f>
        <v>602964.67329784483</v>
      </c>
      <c r="AB137" s="722">
        <f>'Hodnocení '!AB133</f>
        <v>1566517.2840337609</v>
      </c>
      <c r="AC137" s="722">
        <f>'Hodnocení '!AC133</f>
        <v>348338.15867635026</v>
      </c>
      <c r="AD137" s="722">
        <f>'Hodnocení '!AD133</f>
        <v>340095.30143863428</v>
      </c>
      <c r="AE137" s="722">
        <f>'Hodnocení '!AE133</f>
        <v>663375.47410105611</v>
      </c>
      <c r="AF137" s="722">
        <f>'Hodnocení '!AF133</f>
        <v>46412.84091706574</v>
      </c>
      <c r="AG137" s="722">
        <f>'Hodnocení '!AG133</f>
        <v>1190392.9711833145</v>
      </c>
      <c r="AH137" s="722">
        <f>'Hodnocení '!AH133</f>
        <v>-418900.89366053091</v>
      </c>
      <c r="AI137" s="722">
        <f>'Hodnocení '!AI133</f>
        <v>-882368.72257919516</v>
      </c>
      <c r="AJ137" s="722">
        <f>'Hodnocení '!AJ133</f>
        <v>-1348044.4365202505</v>
      </c>
      <c r="AK137" s="722">
        <f>'Hodnocení '!AK133</f>
        <v>-87624.372634122847</v>
      </c>
      <c r="AL137" s="722">
        <f>'Hodnocení '!AL133</f>
        <v>712090.83664892241</v>
      </c>
      <c r="AM137" s="722">
        <f>'Hodnocení '!AM133</f>
        <v>159667.62736587692</v>
      </c>
      <c r="AN137" s="722">
        <f>'Hodnocení '!AN133</f>
        <v>409683.49555727385</v>
      </c>
      <c r="AO137" s="722">
        <f>'Hodnocení '!AO133</f>
        <v>559986.33685917035</v>
      </c>
      <c r="AP137" s="722">
        <f>'Hodnocení '!AP133</f>
        <v>-64174.613277050201</v>
      </c>
      <c r="AQ137" s="722">
        <f>'Hodnocení '!AQ133</f>
        <v>280890.59568873851</v>
      </c>
      <c r="AR137" s="722">
        <f>'Hodnocení '!AR133</f>
        <v>693959.60074915411</v>
      </c>
      <c r="AS137" s="722">
        <f>'Hodnocení '!AS133</f>
        <v>315335.89353310771</v>
      </c>
      <c r="AT137" s="722">
        <f>'Hodnocení '!AT133</f>
        <v>1286357.8060227241</v>
      </c>
      <c r="AU137" s="722">
        <f>'Hodnocení '!AU133</f>
        <v>614613.7166775919</v>
      </c>
      <c r="AV137" s="722">
        <f>'Hodnocení '!AV133</f>
        <v>510039.32270477386</v>
      </c>
      <c r="AW137" s="722">
        <f>'Hodnocení '!AW133</f>
        <v>186077.44495656714</v>
      </c>
      <c r="AX137" s="722">
        <f>'Hodnocení '!AX133</f>
        <v>986285.19170502573</v>
      </c>
      <c r="AY137" s="722">
        <f>'Hodnocení '!AY133</f>
        <v>797620.16204660945</v>
      </c>
      <c r="AZ137" s="722">
        <f>'Hodnocení '!AZ133</f>
        <v>-301930.77795484383</v>
      </c>
      <c r="BA137" s="722">
        <f>'Hodnocení '!BA133</f>
        <v>-255288.92165514082</v>
      </c>
      <c r="BB137" s="722">
        <f>'Hodnocení '!BB133</f>
        <v>219250.32952150772</v>
      </c>
      <c r="BC137" s="722">
        <f>'Hodnocení '!BC133</f>
        <v>448057.50619746768</v>
      </c>
      <c r="BD137" s="722">
        <f>'Hodnocení '!BD133</f>
        <v>425116.05068342155</v>
      </c>
      <c r="BE137" s="722">
        <f>'Hodnocení '!BE133</f>
        <v>257187.18810229213</v>
      </c>
      <c r="BF137" s="722">
        <f>'Hodnocení '!BF133</f>
        <v>366628.60580956936</v>
      </c>
      <c r="BG137" s="722">
        <f>'Hodnocení '!BG133</f>
        <v>-193254.06568605872</v>
      </c>
      <c r="BH137" s="722">
        <f>'Hodnocení '!BH133</f>
        <v>847890.75843949011</v>
      </c>
      <c r="BI137" s="722">
        <f>'Hodnocení '!BI133</f>
        <v>-642669.11291619809</v>
      </c>
      <c r="BJ137" s="722">
        <f>'Hodnocení '!BJ133</f>
        <v>918763.32988782786</v>
      </c>
      <c r="BK137" s="722">
        <f>'Hodnocení '!BK133</f>
        <v>-247332.81189770787</v>
      </c>
      <c r="BL137" s="722">
        <f>'Hodnocení '!BL133</f>
        <v>748910.1117011992</v>
      </c>
      <c r="BM137" s="722">
        <f>'Hodnocení '!BM133</f>
        <v>-223278.2846129518</v>
      </c>
      <c r="BN137" s="722">
        <f>'Hodnocení '!BN133</f>
        <v>281933.40176123707</v>
      </c>
      <c r="BO137" s="722">
        <f>'Hodnocení '!BO133</f>
        <v>178245.6261669097</v>
      </c>
      <c r="BP137" s="722">
        <f>'Hodnocení '!BP133</f>
        <v>-183824.26164068934</v>
      </c>
      <c r="BQ137" s="722">
        <f>'Hodnocení '!BQ133</f>
        <v>102169.86646722071</v>
      </c>
      <c r="BR137" s="722">
        <f>'Hodnocení '!BR133</f>
        <v>110276.76044949226</v>
      </c>
      <c r="BS137" s="722">
        <f>'Hodnocení '!BS133</f>
        <v>406034.68059932324</v>
      </c>
      <c r="BT137" s="722">
        <f>'Hodnocení '!BT133</f>
        <v>62481.733832769329</v>
      </c>
      <c r="BU137" s="722">
        <f>'Hodnocení '!BU133</f>
        <v>3128312.7705044998</v>
      </c>
      <c r="BV137" s="722">
        <f>'Hodnocení '!BV133</f>
        <v>188325.33739920752</v>
      </c>
      <c r="BW137" s="722">
        <f>'Hodnocení '!BW133</f>
        <v>325790.59568873851</v>
      </c>
      <c r="BX137" s="722">
        <f>'Hodnocení '!BX133</f>
        <v>3883265.876291533</v>
      </c>
      <c r="BY137" s="722">
        <f>'Hodnocení '!BY133</f>
        <v>738472.31126441457</v>
      </c>
      <c r="BZ137" s="722">
        <f>'Hodnocení '!BZ133</f>
        <v>299780.01244640414</v>
      </c>
      <c r="CA137" s="722">
        <f>'Hodnocení '!CA133</f>
        <v>0</v>
      </c>
      <c r="CB137" s="722">
        <f>'Hodnocení '!CB133</f>
        <v>861903.36180931295</v>
      </c>
      <c r="CC137" s="722">
        <f>'Hodnocení '!CC133</f>
        <v>817986.08997100033</v>
      </c>
      <c r="CD137" s="722">
        <f>'Hodnocení '!CD133</f>
        <v>452226.48922184622</v>
      </c>
      <c r="CE137" s="722">
        <f>'Hodnocení '!CE133</f>
        <v>1243649.8746832293</v>
      </c>
      <c r="CF137" s="722">
        <f>'Hodnocení '!CF133</f>
        <v>566002.1606710488</v>
      </c>
      <c r="CG137" s="722">
        <f>'Hodnocení '!CG133</f>
        <v>1505162.5039295536</v>
      </c>
      <c r="CH137" s="722">
        <f>'Hodnocení '!CH133</f>
        <v>-1173.8765709288418</v>
      </c>
      <c r="CI137" s="722">
        <f>'Hodnocení '!CI133</f>
        <v>25148.032800571062</v>
      </c>
      <c r="CJ137" s="722">
        <f>'Hodnocení '!CJ133</f>
        <v>627094.9181716647</v>
      </c>
      <c r="CK137" s="722">
        <f>'Hodnocení '!CK133</f>
        <v>-163121.2291703308</v>
      </c>
      <c r="CL137" s="722">
        <f>'Hodnocení '!CL133</f>
        <v>579471.25144550158</v>
      </c>
      <c r="CM137" s="722">
        <f>'Hodnocení '!CM133</f>
        <v>1501177.5600136863</v>
      </c>
      <c r="CN137" s="722">
        <f>'Hodnocení '!CN133</f>
        <v>352504.14584698994</v>
      </c>
      <c r="CO137" s="722">
        <f>'Hodnocení '!CO133</f>
        <v>481910.14584698994</v>
      </c>
      <c r="CP137" s="722">
        <f>'Hodnocení '!CP133</f>
        <v>378994.14584698994</v>
      </c>
      <c r="CQ137" s="722">
        <f>'Hodnocení '!CQ133</f>
        <v>928335.426281875</v>
      </c>
      <c r="CR137" s="722">
        <f>'Hodnocení '!CR133</f>
        <v>-60026.184448893182</v>
      </c>
      <c r="CS137" s="722">
        <f>'Hodnocení '!CS133</f>
        <v>-437624.80288492236</v>
      </c>
      <c r="CT137" s="722">
        <f>'Hodnocení '!CT133</f>
        <v>1527717.3566591758</v>
      </c>
      <c r="CU137" s="722">
        <f>'Hodnocení '!CU133</f>
        <v>696472.31126441457</v>
      </c>
      <c r="CV137" s="722">
        <f>'Hodnocení '!CV133</f>
        <v>4510976.169613122</v>
      </c>
      <c r="CW137" s="722">
        <f>'Hodnocení '!CW133</f>
        <v>54335.893533107708</v>
      </c>
      <c r="CX137" s="722">
        <f>'Hodnocení '!CX133</f>
        <v>-795375.20813903026</v>
      </c>
      <c r="CY137" s="722">
        <f>'Hodnocení '!CY133</f>
        <v>953243.71609879145</v>
      </c>
      <c r="CZ137" s="722">
        <f>'Hodnocení '!CZ133</f>
        <v>-117881.87251330796</v>
      </c>
      <c r="DA137" s="722">
        <f>'Hodnocení '!DA133</f>
        <v>1584218.2789141014</v>
      </c>
      <c r="DB137" s="722">
        <f>'Hodnocení '!DB133</f>
        <v>112891.46260512329</v>
      </c>
      <c r="DC137" s="722">
        <f>'Hodnocení '!DC133</f>
        <v>367713.21877048491</v>
      </c>
      <c r="DD137" s="722">
        <f>'Hodnocení '!DD133</f>
        <v>82716.520438395441</v>
      </c>
      <c r="DE137" s="722">
        <f>'Hodnocení '!DE133</f>
        <v>2170453.1286137532</v>
      </c>
      <c r="DF137" s="722">
        <f>'Hodnocení '!DF133</f>
        <v>1743763.1286137532</v>
      </c>
      <c r="DG137" s="722">
        <f>'Hodnocení '!DG133</f>
        <v>1210610.4626051234</v>
      </c>
      <c r="DH137" s="722">
        <f>'Hodnocení '!DH133</f>
        <v>355738.92566648731</v>
      </c>
      <c r="DI137" s="722">
        <f>'Hodnocení '!DI133</f>
        <v>288715.09216592764</v>
      </c>
      <c r="DJ137" s="722">
        <f>'Hodnocení '!DJ133</f>
        <v>-226887.39182464173</v>
      </c>
      <c r="DK137" s="722">
        <f>'Hodnocení '!DK133</f>
        <v>-99519.62379541574</v>
      </c>
      <c r="DL137" s="722">
        <f>'Hodnocení '!DL133</f>
        <v>4832539.7444625795</v>
      </c>
      <c r="DM137" s="722">
        <f>'Hodnocení '!DM133</f>
        <v>1074050.5585059961</v>
      </c>
      <c r="DN137" s="722">
        <f>'Hodnocení '!DN133</f>
        <v>517093.43754096981</v>
      </c>
      <c r="DO137" s="722">
        <f>'Hodnocení '!DO133</f>
        <v>4271191.0721169058</v>
      </c>
      <c r="DP137" s="722">
        <f>'Hodnocení '!DP133</f>
        <v>464474.97400271706</v>
      </c>
      <c r="DQ137" s="722">
        <f>'Hodnocení '!DQ133</f>
        <v>-49456.673316518776</v>
      </c>
      <c r="DR137" s="722">
        <f>'Hodnocení '!DR133</f>
        <v>-88747.908377693966</v>
      </c>
      <c r="DS137" s="722">
        <f>'Hodnocení '!DS133</f>
        <v>426689.11001488776</v>
      </c>
      <c r="DT137" s="722">
        <f>'Hodnocení '!DT133</f>
        <v>-855608.81513104588</v>
      </c>
      <c r="DU137" s="722">
        <f>'Hodnocení '!DU133</f>
        <v>-2538154.1570197763</v>
      </c>
      <c r="DV137" s="722">
        <f>'Hodnocení '!DV133</f>
        <v>-675066.89112560265</v>
      </c>
      <c r="DW137" s="722">
        <f>'Hodnocení '!DW133</f>
        <v>-1406369.022017373</v>
      </c>
      <c r="DX137" s="722">
        <f>'Hodnocení '!DX133</f>
        <v>-4475426.7836492835</v>
      </c>
      <c r="DY137" s="722">
        <f>'Hodnocení '!DY133</f>
        <v>2247857.2495173514</v>
      </c>
      <c r="DZ137" s="722">
        <f>'Hodnocení '!DZ133</f>
        <v>324866.28849481209</v>
      </c>
      <c r="EA137" s="722">
        <f>'Hodnocení '!EA133</f>
        <v>622527.23529455811</v>
      </c>
      <c r="EB137" s="722">
        <f>'Hodnocení '!EB133</f>
        <v>539359.14165635034</v>
      </c>
      <c r="EC137" s="722">
        <f>'Hodnocení '!EC133</f>
        <v>1197382.2165024686</v>
      </c>
      <c r="ED137" s="722">
        <f>'Hodnocení '!ED133</f>
        <v>404216.73878848553</v>
      </c>
      <c r="EE137" s="722">
        <f>'Hodnocení '!EE133</f>
        <v>31810.462605123292</v>
      </c>
      <c r="EF137" s="722">
        <f>'Hodnocení '!EF133</f>
        <v>21533.111527307774</v>
      </c>
      <c r="EG137" s="722">
        <f>'Hodnocení '!EG133</f>
        <v>15335.893533107708</v>
      </c>
      <c r="EH137" s="722">
        <f>'Hodnocení '!EH133</f>
        <v>82188.191393170622</v>
      </c>
      <c r="EI137" s="722">
        <f>'Hodnocení '!EI133</f>
        <v>-11636.375954489224</v>
      </c>
      <c r="EJ137" s="722">
        <f>'Hodnocení '!EJ133</f>
        <v>250052.8576935241</v>
      </c>
      <c r="EK137" s="722">
        <f>'Hodnocení '!EK133</f>
        <v>2931118.9124315493</v>
      </c>
      <c r="EL137" s="722">
        <f>'Hodnocení '!EL133</f>
        <v>4797428.474704152</v>
      </c>
      <c r="EM137" s="722">
        <f>'Hodnocení '!EM133</f>
        <v>1870809.6805571243</v>
      </c>
      <c r="EN137" s="722">
        <f>'Hodnocení '!EN133</f>
        <v>99507.976090409327</v>
      </c>
      <c r="EO137" s="722">
        <f>'Hodnocení '!EO133</f>
        <v>328682.59568873851</v>
      </c>
      <c r="EP137" s="722">
        <f>'Hodnocení '!EP133</f>
        <v>761242.87389440322</v>
      </c>
      <c r="EQ137" s="722">
        <f>'Hodnocení '!EQ133</f>
        <v>2162261.8401461318</v>
      </c>
      <c r="ER137" s="722">
        <f>'Hodnocení '!ER133</f>
        <v>-1680531.4179577753</v>
      </c>
      <c r="ES137" s="722">
        <f>'Hodnocení '!ES133</f>
        <v>-4377510.420380271</v>
      </c>
      <c r="ET137" s="722">
        <f>'Hodnocení '!ET133</f>
        <v>1741536.948837369</v>
      </c>
      <c r="EU137" s="722">
        <f>'Hodnocení '!EU133</f>
        <v>1874216.0855635805</v>
      </c>
      <c r="EV137" s="722">
        <f>'Hodnocení '!EV133</f>
        <v>22226.489221846219</v>
      </c>
      <c r="EW137" s="722">
        <f>'Hodnocení '!EW133</f>
        <v>684006.74446257949</v>
      </c>
      <c r="EX137" s="722">
        <f>'Hodnocení '!EX133</f>
        <v>-2601454.2675816193</v>
      </c>
      <c r="EY137" s="722">
        <f>'Hodnocení '!EY133</f>
        <v>264636.25497338409</v>
      </c>
      <c r="EZ137" s="722">
        <f>'Hodnocení '!EZ133</f>
        <v>558852.85125019634</v>
      </c>
      <c r="FA137" s="722">
        <f>'Hodnocení '!FA133</f>
        <v>4440.5752319740131</v>
      </c>
      <c r="FB137" s="722">
        <f>'Hodnocení '!FB133</f>
        <v>79047.509373637149</v>
      </c>
      <c r="FC137" s="722">
        <f>'Hodnocení '!FC133</f>
        <v>2308384.5784513075</v>
      </c>
      <c r="FD137" s="722">
        <f>'Hodnocení '!FD133</f>
        <v>535944.06648556702</v>
      </c>
      <c r="FE137" s="722">
        <f>'Hodnocení '!FE133</f>
        <v>409559.41115368868</v>
      </c>
      <c r="FF137" s="722">
        <f>'Hodnocení '!FF133</f>
        <v>-639182.85448944382</v>
      </c>
      <c r="FG137" s="722">
        <f>'Hodnocení '!FG133</f>
        <v>90277.980447474867</v>
      </c>
      <c r="FH137" s="722">
        <f>'Hodnocení '!FH133</f>
        <v>-3826321.6889911015</v>
      </c>
      <c r="FI137" s="722">
        <f>'Hodnocení '!FI133</f>
        <v>-1522157.560676448</v>
      </c>
      <c r="FJ137" s="722">
        <f>'Hodnocení '!FJ133</f>
        <v>-766060.14217705326</v>
      </c>
      <c r="FK137" s="722">
        <f>'Hodnocení '!FK133</f>
        <v>75713.773279266083</v>
      </c>
      <c r="FL137" s="722">
        <f>'Hodnocení '!FL133</f>
        <v>67287.215939230518</v>
      </c>
      <c r="FM137" s="722">
        <f>'Hodnocení '!FM133</f>
        <v>356396.34341460466</v>
      </c>
      <c r="FN137" s="722">
        <f>'Hodnocení '!FN133</f>
        <v>321587.52004454564</v>
      </c>
      <c r="FO137" s="722">
        <f>'Hodnocení '!FO133</f>
        <v>-276268.14837555587</v>
      </c>
      <c r="FP137" s="722">
        <f>'Hodnocení '!FP133</f>
        <v>-2428918.3949724846</v>
      </c>
      <c r="FQ137" s="722">
        <f>'Hodnocení '!FQ133</f>
        <v>-219635.94844364841</v>
      </c>
      <c r="FR137" s="722">
        <f>'Hodnocení '!FR133</f>
        <v>239504.71039017942</v>
      </c>
      <c r="FS137" s="722">
        <f>'Hodnocení '!FS133</f>
        <v>-324013.36972985521</v>
      </c>
      <c r="FT137" s="722">
        <f>'Hodnocení '!FT133</f>
        <v>415306.67368370667</v>
      </c>
      <c r="FU137" s="722">
        <f>'Hodnocení '!FU133</f>
        <v>-122045.66849283664</v>
      </c>
      <c r="FV137" s="722">
        <f>'Hodnocení '!FV133</f>
        <v>283827.68012510287</v>
      </c>
      <c r="FW137" s="722">
        <f>'Hodnocení '!FW133</f>
        <v>-380675.96723050438</v>
      </c>
      <c r="FX137" s="722">
        <f>'Hodnocení '!FX133</f>
        <v>-37431.061586182448</v>
      </c>
      <c r="FY137" s="722">
        <f>'Hodnocení '!FY133</f>
        <v>-107907.25956185197</v>
      </c>
      <c r="FZ137" s="722">
        <f>'Hodnocení '!FZ133</f>
        <v>1517154.9509400111</v>
      </c>
      <c r="GA137" s="722">
        <f>'Hodnocení '!GA133</f>
        <v>505829.51041244203</v>
      </c>
      <c r="GB137" s="722">
        <f>'Hodnocení '!GB133</f>
        <v>3515405.5137022287</v>
      </c>
      <c r="GC137" s="722">
        <f>'Hodnocení '!GC133</f>
        <v>185699.85782294674</v>
      </c>
      <c r="GD137" s="722">
        <f>'Hodnocení '!GD133</f>
        <v>652811.64999586344</v>
      </c>
      <c r="GE137" s="722">
        <f>'Hodnocení '!GE133</f>
        <v>-86894.2846129518</v>
      </c>
      <c r="GF137" s="722">
        <f>'Hodnocení '!GF133</f>
        <v>355044.82212385722</v>
      </c>
      <c r="GG137" s="722">
        <f>'Hodnocení '!GG133</f>
        <v>933364.6372808367</v>
      </c>
      <c r="GH137" s="722">
        <f>'Hodnocení '!GH133</f>
        <v>325844.56872277148</v>
      </c>
      <c r="GI137" s="722">
        <f>'Hodnocení '!GI133</f>
        <v>376798.91303253174</v>
      </c>
      <c r="GJ137" s="722">
        <f>'Hodnocení '!GJ133</f>
        <v>-419611.4773473097</v>
      </c>
      <c r="GK137" s="722">
        <f>'Hodnocení '!GK133</f>
        <v>-1027718.4994501965</v>
      </c>
      <c r="GL137" s="722">
        <f>'Hodnocení '!GL133</f>
        <v>-58074.953704515006</v>
      </c>
      <c r="GM137" s="722">
        <f>'Hodnocení '!GM133</f>
        <v>-92323.978629786987</v>
      </c>
      <c r="GN137" s="722">
        <f>'Hodnocení '!GN133</f>
        <v>-280939.44223405165</v>
      </c>
      <c r="GO137" s="722">
        <f>'Hodnocení '!GO133</f>
        <v>-2683469.7931909356</v>
      </c>
      <c r="GP137" s="722">
        <f>'Hodnocení '!GP133</f>
        <v>851843.93825899111</v>
      </c>
      <c r="GQ137" s="722">
        <f>'Hodnocení '!GQ133</f>
        <v>-1091244.9764231946</v>
      </c>
      <c r="GR137" s="722">
        <f>'Hodnocení '!GR133</f>
        <v>38085.394348516595</v>
      </c>
      <c r="GS137" s="722">
        <f>'Hodnocení '!GS133</f>
        <v>174913.77327926608</v>
      </c>
      <c r="GT137" s="722">
        <f>'Hodnocení '!GT133</f>
        <v>1347650.467907723</v>
      </c>
      <c r="GU137" s="722">
        <f>'Hodnocení '!GU133</f>
        <v>-558203.11881590681</v>
      </c>
      <c r="GV137" s="722">
        <f>'Hodnocení '!GV133</f>
        <v>4887078.8143337537</v>
      </c>
      <c r="GW137" s="722">
        <f>'Hodnocení '!GW133</f>
        <v>736503.37223128974</v>
      </c>
      <c r="GX137" s="722">
        <f>'Hodnocení '!GX133</f>
        <v>89870.660228552879</v>
      </c>
      <c r="GY137" s="722">
        <f>'Hodnocení '!GY133</f>
        <v>-6663196.4943936616</v>
      </c>
      <c r="GZ137" s="722">
        <f>'Hodnocení '!GZ133</f>
        <v>1744816.6973031685</v>
      </c>
      <c r="HA137" s="722">
        <f>'Hodnocení '!HA133</f>
        <v>1890354.8087629583</v>
      </c>
      <c r="HB137" s="722">
        <f>'Hodnocení '!HB133</f>
        <v>1728495.9009843506</v>
      </c>
      <c r="HC137" s="722">
        <f>'Hodnocení '!HC133</f>
        <v>-1392141.7827304024</v>
      </c>
      <c r="HD137" s="722">
        <f>'Hodnocení '!HD133</f>
        <v>394279.85782294674</v>
      </c>
      <c r="HE137" s="722">
        <f>'Hodnocení '!HE133</f>
        <v>-1854498.5761571564</v>
      </c>
      <c r="HF137" s="722">
        <f>'Hodnocení '!HF133</f>
        <v>-389872.4108599741</v>
      </c>
      <c r="HG137" s="722">
        <f>'Hodnocení '!HG133</f>
        <v>-647291.78773980052</v>
      </c>
      <c r="HH137" s="722">
        <f>'Hodnocení '!HH133</f>
        <v>1016392.9711833145</v>
      </c>
      <c r="HI137" s="722">
        <f>'Hodnocení '!HI133</f>
        <v>991473.63110221364</v>
      </c>
      <c r="HJ137" s="722">
        <f>'Hodnocení '!HJ133</f>
        <v>-1491808.9278830946</v>
      </c>
      <c r="HK137" s="722">
        <f>'Hodnocení '!HK133</f>
        <v>-64477.618266365957</v>
      </c>
      <c r="HL137" s="722">
        <f>'Hodnocení '!HL133</f>
        <v>16368221.625918657</v>
      </c>
      <c r="HM137" s="722">
        <f>'Hodnocení '!HM133</f>
        <v>12259125.577849351</v>
      </c>
      <c r="HN137" s="722">
        <f>'Hodnocení '!HN133</f>
        <v>429497.03789044474</v>
      </c>
      <c r="HO137" s="722">
        <f>'Hodnocení '!HO133</f>
        <v>-2685256.0701895705</v>
      </c>
      <c r="HP137" s="722">
        <f>'Hodnocení '!HP133</f>
        <v>-182261.64175219461</v>
      </c>
      <c r="HQ137" s="722">
        <f>'Hodnocení '!HQ133</f>
        <v>195505.05904622364</v>
      </c>
      <c r="HR137" s="722">
        <f>'Hodnocení '!HR133</f>
        <v>2347315.4541163445</v>
      </c>
      <c r="HS137" s="722">
        <f>'Hodnocení '!HS133</f>
        <v>1735954.362608904</v>
      </c>
      <c r="HT137" s="722">
        <f>'Hodnocení '!HT133</f>
        <v>8859530.4095292166</v>
      </c>
      <c r="HU137" s="722">
        <f>'Hodnocení '!HU133</f>
        <v>4446664.9947917424</v>
      </c>
      <c r="HV137" s="722">
        <f>'Hodnocení '!HV133</f>
        <v>-2036168.9800217226</v>
      </c>
      <c r="HW137" s="722">
        <f>'Hodnocení '!HW133</f>
        <v>-41983.940548680723</v>
      </c>
      <c r="HX137" s="722">
        <f>'Hodnocení '!HX133</f>
        <v>3508358.6586191058</v>
      </c>
      <c r="HY137" s="722">
        <f>'Hodnocení '!HY133</f>
        <v>5040717.8265553154</v>
      </c>
      <c r="HZ137" s="722">
        <f>'Hodnocení '!HZ133</f>
        <v>2720995.0223061703</v>
      </c>
      <c r="IA137" s="722">
        <f>'Hodnocení '!IA133</f>
        <v>-1984841.1581753697</v>
      </c>
      <c r="IB137" s="722">
        <f>'Hodnocení '!IB133</f>
        <v>2526886.0995035693</v>
      </c>
      <c r="IC137" s="722">
        <f>'Hodnocení '!IC133</f>
        <v>-3940266.3548384383</v>
      </c>
      <c r="ID137" s="722">
        <f>'Hodnocení '!ID133</f>
        <v>-600191.31781755388</v>
      </c>
      <c r="IE137" s="722">
        <f>'Hodnocení '!IE133</f>
        <v>718940.48233442754</v>
      </c>
      <c r="IF137" s="722">
        <f>'Hodnocení '!IF133</f>
        <v>13034766.411955178</v>
      </c>
      <c r="IG137" s="722">
        <f>'Hodnocení '!IG133</f>
        <v>3541380.9272752097</v>
      </c>
      <c r="IH137" s="722">
        <f>'Hodnocení '!IH133</f>
        <v>89957.572587342467</v>
      </c>
      <c r="II137" s="722">
        <f>'Hodnocení '!II133</f>
        <v>10878519.870187819</v>
      </c>
      <c r="IJ137" s="722">
        <f>'Hodnocení '!IJ133</f>
        <v>53923.060264496133</v>
      </c>
      <c r="IK137" s="722">
        <f>'Hodnocení '!IK133</f>
        <v>-117704.57877053227</v>
      </c>
      <c r="IL137" s="722">
        <f>'Hodnocení '!IL133</f>
        <v>2962119.299901206</v>
      </c>
      <c r="IM137" s="722">
        <f>'Hodnocení '!IM133</f>
        <v>353607.64155375678</v>
      </c>
      <c r="IN137" s="722">
        <f>'Hodnocení '!IN133</f>
        <v>2202725.8947960418</v>
      </c>
      <c r="IO137" s="722">
        <f>'Hodnocení '!IO133</f>
        <v>295240.43692475324</v>
      </c>
      <c r="IP137" s="722">
        <f>'Hodnocení '!IP133</f>
        <v>3355472.8224194422</v>
      </c>
      <c r="IQ137" s="722">
        <f>'Hodnocení '!IQ133</f>
        <v>4386342.717105072</v>
      </c>
      <c r="IR137" s="722">
        <f>'Hodnocení '!IR133</f>
        <v>13697.390965138562</v>
      </c>
      <c r="IS137" s="722">
        <f>'Hodnocení '!IS133</f>
        <v>-10159180.859087437</v>
      </c>
      <c r="IT137" s="722">
        <f>'Hodnocení '!IT133</f>
        <v>-2375465.3445637673</v>
      </c>
      <c r="IU137" s="722">
        <f>'Hodnocení '!IU133</f>
        <v>2221193.2193593825</v>
      </c>
      <c r="IV137" s="722">
        <f>'Hodnocení '!IV133</f>
        <v>997288.32357201912</v>
      </c>
      <c r="IW137" s="722">
        <f>'Hodnocení '!IW133</f>
        <v>3578685.5180933475</v>
      </c>
      <c r="IX137" s="722">
        <f>'Hodnocení '!IX133</f>
        <v>394998.70306429733</v>
      </c>
      <c r="IY137" s="722">
        <f>'Hodnocení '!IY133</f>
        <v>1272035.4911705498</v>
      </c>
      <c r="IZ137" s="722">
        <f>'Hodnocení '!IZ133</f>
        <v>3461904.003244251</v>
      </c>
      <c r="JA137" s="722">
        <f>'Hodnocení '!JA133</f>
        <v>703689.9302706616</v>
      </c>
      <c r="JB137" s="722">
        <f>'Hodnocení '!JB133</f>
        <v>111951.99984280253</v>
      </c>
      <c r="JC137" s="722">
        <f>'Hodnocení '!JC133</f>
        <v>1034440.5406475333</v>
      </c>
      <c r="JD137" s="722">
        <f>'Hodnocení '!JD133</f>
        <v>1398999.8245260753</v>
      </c>
      <c r="JE137" s="722">
        <f>'Hodnocení '!JE133</f>
        <v>-2843178.4081448922</v>
      </c>
      <c r="JF137" s="722">
        <f>'Hodnocení '!JF133</f>
        <v>-2246960.1481602937</v>
      </c>
      <c r="JG137" s="722">
        <f>'Hodnocení '!JG133</f>
        <v>4796571.8350488283</v>
      </c>
      <c r="JH137" s="818">
        <f>'Hodnocení '!JH133</f>
        <v>1944911.4802078607</v>
      </c>
      <c r="JI137" s="315">
        <f>'Hodnocení '!JI133</f>
        <v>0</v>
      </c>
    </row>
    <row r="138" spans="1:276" ht="15.75" hidden="1" thickBot="1" x14ac:dyDescent="0.3">
      <c r="A138" s="313">
        <v>471</v>
      </c>
      <c r="B138" s="608" t="s">
        <v>2623</v>
      </c>
      <c r="C138" s="696">
        <f>'Hodnocení '!C134</f>
        <v>10019000</v>
      </c>
      <c r="D138" s="697">
        <f>'Hodnocení '!D134</f>
        <v>8380000</v>
      </c>
      <c r="E138" s="697">
        <f>'Hodnocení '!E134</f>
        <v>10865000</v>
      </c>
      <c r="F138" s="697">
        <f>'Hodnocení '!F134</f>
        <v>4998858</v>
      </c>
      <c r="G138" s="697">
        <f>'Hodnocení '!G134</f>
        <v>12651251</v>
      </c>
      <c r="H138" s="697">
        <f>'Hodnocení '!H134</f>
        <v>1891577</v>
      </c>
      <c r="I138" s="697">
        <f>'Hodnocení '!I134</f>
        <v>3929215</v>
      </c>
      <c r="J138" s="697">
        <f>'Hodnocení '!J134</f>
        <v>2995400</v>
      </c>
      <c r="K138" s="697">
        <f>'Hodnocení '!K134</f>
        <v>6048080</v>
      </c>
      <c r="L138" s="697">
        <f>'Hodnocení '!L134</f>
        <v>5091100</v>
      </c>
      <c r="M138" s="697">
        <f>'Hodnocení '!M134</f>
        <v>5240000</v>
      </c>
      <c r="N138" s="697">
        <f>'Hodnocení '!N134</f>
        <v>6940000</v>
      </c>
      <c r="O138" s="697">
        <f>'Hodnocení '!O134</f>
        <v>4998141</v>
      </c>
      <c r="P138" s="697">
        <f>'Hodnocení '!P134</f>
        <v>3144928</v>
      </c>
      <c r="Q138" s="697">
        <f>'Hodnocení '!Q134</f>
        <v>2994500</v>
      </c>
      <c r="R138" s="697">
        <f>'Hodnocení '!R134</f>
        <v>2575600</v>
      </c>
      <c r="S138" s="697">
        <f>'Hodnocení '!S134</f>
        <v>2410360</v>
      </c>
      <c r="T138" s="697">
        <f>'Hodnocení '!T134</f>
        <v>901700</v>
      </c>
      <c r="U138" s="697">
        <f>'Hodnocení '!U134</f>
        <v>1519800</v>
      </c>
      <c r="V138" s="697">
        <f>'Hodnocení '!V134</f>
        <v>13347900</v>
      </c>
      <c r="W138" s="697">
        <f>'Hodnocení '!W134</f>
        <v>3313600</v>
      </c>
      <c r="X138" s="697">
        <f>'Hodnocení '!X134</f>
        <v>3153500</v>
      </c>
      <c r="Y138" s="697">
        <f>'Hodnocení '!Y134</f>
        <v>2363900</v>
      </c>
      <c r="Z138" s="697">
        <f>'Hodnocení '!Z134</f>
        <v>7441924</v>
      </c>
      <c r="AA138" s="697">
        <f>'Hodnocení '!AA134</f>
        <v>4916783</v>
      </c>
      <c r="AB138" s="697">
        <f>'Hodnocení '!AB134</f>
        <v>4720000</v>
      </c>
      <c r="AC138" s="697">
        <f>'Hodnocení '!AC134</f>
        <v>820000</v>
      </c>
      <c r="AD138" s="697">
        <f>'Hodnocení '!AD134</f>
        <v>2838000</v>
      </c>
      <c r="AE138" s="697">
        <f>'Hodnocení '!AE134</f>
        <v>1885624</v>
      </c>
      <c r="AF138" s="697">
        <f>'Hodnocení '!AF134</f>
        <v>3582000</v>
      </c>
      <c r="AG138" s="697">
        <f>'Hodnocení '!AG134</f>
        <v>4701000</v>
      </c>
      <c r="AH138" s="697">
        <f>'Hodnocení '!AH134</f>
        <v>909000</v>
      </c>
      <c r="AI138" s="697">
        <f>'Hodnocení '!AI134</f>
        <v>4647000</v>
      </c>
      <c r="AJ138" s="697">
        <f>'Hodnocení '!AJ134</f>
        <v>2966000</v>
      </c>
      <c r="AK138" s="697">
        <f>'Hodnocení '!AK134</f>
        <v>1472200</v>
      </c>
      <c r="AL138" s="697">
        <f>'Hodnocení '!AL134</f>
        <v>2869000</v>
      </c>
      <c r="AM138" s="697">
        <f>'Hodnocení '!AM134</f>
        <v>1719492</v>
      </c>
      <c r="AN138" s="697">
        <f>'Hodnocení '!AN134</f>
        <v>1405000</v>
      </c>
      <c r="AO138" s="697">
        <f>'Hodnocení '!AO134</f>
        <v>6874020</v>
      </c>
      <c r="AP138" s="697">
        <f>'Hodnocení '!AP134</f>
        <v>2321000</v>
      </c>
      <c r="AQ138" s="697">
        <f>'Hodnocení '!AQ134</f>
        <v>578000</v>
      </c>
      <c r="AR138" s="697">
        <f>'Hodnocení '!AR134</f>
        <v>2365200</v>
      </c>
      <c r="AS138" s="697">
        <f>'Hodnocení '!AS134</f>
        <v>761000</v>
      </c>
      <c r="AT138" s="697">
        <f>'Hodnocení '!AT134</f>
        <v>3395500</v>
      </c>
      <c r="AU138" s="697">
        <f>'Hodnocení '!AU134</f>
        <v>1666500</v>
      </c>
      <c r="AV138" s="697">
        <f>'Hodnocení '!AV134</f>
        <v>2631000</v>
      </c>
      <c r="AW138" s="697">
        <f>'Hodnocení '!AW134</f>
        <v>3702000</v>
      </c>
      <c r="AX138" s="697">
        <f>'Hodnocení '!AX134</f>
        <v>3876101</v>
      </c>
      <c r="AY138" s="697">
        <f>'Hodnocení '!AY134</f>
        <v>3990302</v>
      </c>
      <c r="AZ138" s="697">
        <f>'Hodnocení '!AZ134</f>
        <v>3590692</v>
      </c>
      <c r="BA138" s="697">
        <f>'Hodnocení '!BA134</f>
        <v>11033000</v>
      </c>
      <c r="BB138" s="697">
        <f>'Hodnocení '!BB134</f>
        <v>1630520</v>
      </c>
      <c r="BC138" s="697">
        <f>'Hodnocení '!BC134</f>
        <v>1808800</v>
      </c>
      <c r="BD138" s="697">
        <f>'Hodnocení '!BD134</f>
        <v>2445460</v>
      </c>
      <c r="BE138" s="697">
        <f>'Hodnocení '!BE134</f>
        <v>1562520</v>
      </c>
      <c r="BF138" s="697">
        <f>'Hodnocení '!BF134</f>
        <v>3412000</v>
      </c>
      <c r="BG138" s="697">
        <f>'Hodnocení '!BG134</f>
        <v>3832000</v>
      </c>
      <c r="BH138" s="697">
        <f>'Hodnocení '!BH134</f>
        <v>4633000</v>
      </c>
      <c r="BI138" s="697">
        <f>'Hodnocení '!BI134</f>
        <v>2470000</v>
      </c>
      <c r="BJ138" s="697">
        <f>'Hodnocení '!BJ134</f>
        <v>3755000</v>
      </c>
      <c r="BK138" s="697">
        <f>'Hodnocení '!BK134</f>
        <v>1058000</v>
      </c>
      <c r="BL138" s="697">
        <f>'Hodnocení '!BL134</f>
        <v>1233100</v>
      </c>
      <c r="BM138" s="697">
        <f>'Hodnocení '!BM134</f>
        <v>2163616</v>
      </c>
      <c r="BN138" s="697">
        <f>'Hodnocení '!BN134</f>
        <v>2228000</v>
      </c>
      <c r="BO138" s="697">
        <f>'Hodnocení '!BO134</f>
        <v>1294000</v>
      </c>
      <c r="BP138" s="697">
        <f>'Hodnocení '!BP134</f>
        <v>5429080</v>
      </c>
      <c r="BQ138" s="697">
        <f>'Hodnocení '!BQ134</f>
        <v>959960</v>
      </c>
      <c r="BR138" s="697">
        <f>'Hodnocení '!BR134</f>
        <v>1113021</v>
      </c>
      <c r="BS138" s="697">
        <f>'Hodnocení '!BS134</f>
        <v>1743027</v>
      </c>
      <c r="BT138" s="697">
        <f>'Hodnocení '!BT134</f>
        <v>1176642</v>
      </c>
      <c r="BU138" s="697">
        <f>'Hodnocení '!BU134</f>
        <v>7574950</v>
      </c>
      <c r="BV138" s="697">
        <f>'Hodnocení '!BV134</f>
        <v>1330620</v>
      </c>
      <c r="BW138" s="697">
        <f>'Hodnocení '!BW134</f>
        <v>622900</v>
      </c>
      <c r="BX138" s="697">
        <f>'Hodnocení '!BX134</f>
        <v>8945500</v>
      </c>
      <c r="BY138" s="697">
        <f>'Hodnocení '!BY134</f>
        <v>2804000</v>
      </c>
      <c r="BZ138" s="697">
        <f>'Hodnocení '!BZ134</f>
        <v>548800</v>
      </c>
      <c r="CA138" s="697">
        <f>'Hodnocení '!CA134</f>
        <v>0</v>
      </c>
      <c r="CB138" s="697">
        <f>'Hodnocení '!CB134</f>
        <v>1074000</v>
      </c>
      <c r="CC138" s="697">
        <f>'Hodnocení '!CC134</f>
        <v>3232000</v>
      </c>
      <c r="CD138" s="697">
        <f>'Hodnocení '!CD134</f>
        <v>1195000</v>
      </c>
      <c r="CE138" s="697">
        <f>'Hodnocení '!CE134</f>
        <v>15340000</v>
      </c>
      <c r="CF138" s="697">
        <f>'Hodnocení '!CF134</f>
        <v>5386520</v>
      </c>
      <c r="CG138" s="697">
        <f>'Hodnocení '!CG134</f>
        <v>12103744</v>
      </c>
      <c r="CH138" s="697">
        <f>'Hodnocení '!CH134</f>
        <v>4533330</v>
      </c>
      <c r="CI138" s="697">
        <f>'Hodnocení '!CI134</f>
        <v>3544000</v>
      </c>
      <c r="CJ138" s="697">
        <f>'Hodnocení '!CJ134</f>
        <v>5293290</v>
      </c>
      <c r="CK138" s="697">
        <f>'Hodnocení '!CK134</f>
        <v>5170780</v>
      </c>
      <c r="CL138" s="697">
        <f>'Hodnocení '!CL134</f>
        <v>3712270</v>
      </c>
      <c r="CM138" s="697">
        <f>'Hodnocení '!CM134</f>
        <v>8453014</v>
      </c>
      <c r="CN138" s="697">
        <f>'Hodnocení '!CN134</f>
        <v>1667362</v>
      </c>
      <c r="CO138" s="697">
        <f>'Hodnocení '!CO134</f>
        <v>1796768</v>
      </c>
      <c r="CP138" s="697">
        <f>'Hodnocení '!CP134</f>
        <v>1693852</v>
      </c>
      <c r="CQ138" s="697">
        <f>'Hodnocení '!CQ134</f>
        <v>7183372</v>
      </c>
      <c r="CR138" s="697">
        <f>'Hodnocení '!CR134</f>
        <v>2417817</v>
      </c>
      <c r="CS138" s="697">
        <f>'Hodnocení '!CS134</f>
        <v>3818929</v>
      </c>
      <c r="CT138" s="697">
        <f>'Hodnocení '!CT134</f>
        <v>6350918</v>
      </c>
      <c r="CU138" s="697">
        <f>'Hodnocení '!CU134</f>
        <v>2762000</v>
      </c>
      <c r="CV138" s="697">
        <f>'Hodnocení '!CV134</f>
        <v>10083000</v>
      </c>
      <c r="CW138" s="697">
        <f>'Hodnocení '!CW134</f>
        <v>500000</v>
      </c>
      <c r="CX138" s="697">
        <f>'Hodnocení '!CX134</f>
        <v>4060000</v>
      </c>
      <c r="CY138" s="697">
        <f>'Hodnocení '!CY134</f>
        <v>4112000</v>
      </c>
      <c r="CZ138" s="697">
        <f>'Hodnocení '!CZ134</f>
        <v>1499800</v>
      </c>
      <c r="DA138" s="697">
        <f>'Hodnocení '!DA134</f>
        <v>10163000</v>
      </c>
      <c r="DB138" s="697">
        <f>'Hodnocení '!DB134</f>
        <v>967081</v>
      </c>
      <c r="DC138" s="697">
        <f>'Hodnocení '!DC134</f>
        <v>2340000</v>
      </c>
      <c r="DD138" s="697">
        <f>'Hodnocení '!DD134</f>
        <v>5677000</v>
      </c>
      <c r="DE138" s="697">
        <f>'Hodnocení '!DE134</f>
        <v>10002450</v>
      </c>
      <c r="DF138" s="697">
        <f>'Hodnocení '!DF134</f>
        <v>9575760</v>
      </c>
      <c r="DG138" s="697">
        <f>'Hodnocení '!DG134</f>
        <v>2064800</v>
      </c>
      <c r="DH138" s="697">
        <f>'Hodnocení '!DH134</f>
        <v>2898280</v>
      </c>
      <c r="DI138" s="697">
        <f>'Hodnocení '!DI134</f>
        <v>1427874</v>
      </c>
      <c r="DJ138" s="697">
        <f>'Hodnocení '!DJ134</f>
        <v>2010826</v>
      </c>
      <c r="DK138" s="697">
        <f>'Hodnocení '!DK134</f>
        <v>2511146</v>
      </c>
      <c r="DL138" s="697">
        <f>'Hodnocení '!DL134</f>
        <v>9306533</v>
      </c>
      <c r="DM138" s="697">
        <f>'Hodnocení '!DM134</f>
        <v>3495000</v>
      </c>
      <c r="DN138" s="697">
        <f>'Hodnocení '!DN134</f>
        <v>4461667</v>
      </c>
      <c r="DO138" s="697">
        <f>'Hodnocení '!DO134</f>
        <v>5763000</v>
      </c>
      <c r="DP138" s="697">
        <f>'Hodnocení '!DP134</f>
        <v>4737763</v>
      </c>
      <c r="DQ138" s="697">
        <f>'Hodnocení '!DQ134</f>
        <v>4659795</v>
      </c>
      <c r="DR138" s="697">
        <f>'Hodnocení '!DR134</f>
        <v>5303525</v>
      </c>
      <c r="DS138" s="697">
        <f>'Hodnocení '!DS134</f>
        <v>2156000</v>
      </c>
      <c r="DT138" s="697">
        <f>'Hodnocení '!DT134</f>
        <v>3575000</v>
      </c>
      <c r="DU138" s="697">
        <f>'Hodnocení '!DU134</f>
        <v>0</v>
      </c>
      <c r="DV138" s="697">
        <f>'Hodnocení '!DV134</f>
        <v>7040000</v>
      </c>
      <c r="DW138" s="697">
        <f>'Hodnocení '!DW134</f>
        <v>0</v>
      </c>
      <c r="DX138" s="697">
        <f>'Hodnocení '!DX134</f>
        <v>0</v>
      </c>
      <c r="DY138" s="697">
        <f>'Hodnocení '!DY134</f>
        <v>6979000</v>
      </c>
      <c r="DZ138" s="697">
        <f>'Hodnocení '!DZ134</f>
        <v>1095000</v>
      </c>
      <c r="EA138" s="697">
        <f>'Hodnocení '!EA134</f>
        <v>4140500</v>
      </c>
      <c r="EB138" s="697">
        <f>'Hodnocení '!EB134</f>
        <v>6515772</v>
      </c>
      <c r="EC138" s="697">
        <f>'Hodnocení '!EC134</f>
        <v>4509620</v>
      </c>
      <c r="ED138" s="697">
        <f>'Hodnocení '!ED134</f>
        <v>4295350</v>
      </c>
      <c r="EE138" s="697">
        <f>'Hodnocení '!EE134</f>
        <v>886000</v>
      </c>
      <c r="EF138" s="697">
        <f>'Hodnocení '!EF134</f>
        <v>950000</v>
      </c>
      <c r="EG138" s="697">
        <f>'Hodnocení '!EG134</f>
        <v>461000</v>
      </c>
      <c r="EH138" s="697">
        <f>'Hodnocení '!EH134</f>
        <v>882000</v>
      </c>
      <c r="EI138" s="697">
        <f>'Hodnocení '!EI134</f>
        <v>1300000</v>
      </c>
      <c r="EJ138" s="697">
        <f>'Hodnocení '!EJ134</f>
        <v>1443500</v>
      </c>
      <c r="EK138" s="697">
        <f>'Hodnocení '!EK134</f>
        <v>6664600</v>
      </c>
      <c r="EL138" s="697">
        <f>'Hodnocení '!EL134</f>
        <v>16631600</v>
      </c>
      <c r="EM138" s="697">
        <f>'Hodnocení '!EM134</f>
        <v>5269500</v>
      </c>
      <c r="EN138" s="697">
        <f>'Hodnocení '!EN134</f>
        <v>2615902</v>
      </c>
      <c r="EO138" s="697">
        <f>'Hodnocení '!EO134</f>
        <v>625792</v>
      </c>
      <c r="EP138" s="697">
        <f>'Hodnocení '!EP134</f>
        <v>3945572</v>
      </c>
      <c r="EQ138" s="697">
        <f>'Hodnocení '!EQ134</f>
        <v>4027023</v>
      </c>
      <c r="ER138" s="697">
        <f>'Hodnocení '!ER134</f>
        <v>11121000</v>
      </c>
      <c r="ES138" s="697">
        <f>'Hodnocení '!ES134</f>
        <v>0</v>
      </c>
      <c r="ET138" s="697">
        <f>'Hodnocení '!ET134</f>
        <v>2751000</v>
      </c>
      <c r="EU138" s="697">
        <f>'Hodnocení '!EU134</f>
        <v>4742000</v>
      </c>
      <c r="EV138" s="697">
        <f>'Hodnocení '!EV134</f>
        <v>765000</v>
      </c>
      <c r="EW138" s="697">
        <f>'Hodnocení '!EW134</f>
        <v>5158000</v>
      </c>
      <c r="EX138" s="697">
        <f>'Hodnocení '!EX134</f>
        <v>10000000</v>
      </c>
      <c r="EY138" s="697">
        <f>'Hodnocení '!EY134</f>
        <v>3500000</v>
      </c>
      <c r="EZ138" s="697">
        <f>'Hodnocení '!EZ134</f>
        <v>1739396</v>
      </c>
      <c r="FA138" s="697">
        <f>'Hodnocení '!FA134</f>
        <v>2648000</v>
      </c>
      <c r="FB138" s="697">
        <f>'Hodnocení '!FB134</f>
        <v>344712</v>
      </c>
      <c r="FC138" s="697">
        <f>'Hodnocení '!FC134</f>
        <v>10390000</v>
      </c>
      <c r="FD138" s="697">
        <f>'Hodnocení '!FD134</f>
        <v>2200000</v>
      </c>
      <c r="FE138" s="697">
        <f>'Hodnocení '!FE134</f>
        <v>1223000</v>
      </c>
      <c r="FF138" s="697">
        <f>'Hodnocení '!FF134</f>
        <v>2561200</v>
      </c>
      <c r="FG138" s="697">
        <f>'Hodnocení '!FG134</f>
        <v>10325200</v>
      </c>
      <c r="FH138" s="697">
        <f>'Hodnocení '!FH134</f>
        <v>8194603</v>
      </c>
      <c r="FI138" s="697">
        <f>'Hodnocení '!FI134</f>
        <v>10510000</v>
      </c>
      <c r="FJ138" s="697">
        <f>'Hodnocení '!FJ134</f>
        <v>3226240</v>
      </c>
      <c r="FK138" s="697">
        <f>'Hodnocení '!FK134</f>
        <v>1039100</v>
      </c>
      <c r="FL138" s="697">
        <f>'Hodnocení '!FL134</f>
        <v>1270900</v>
      </c>
      <c r="FM138" s="697">
        <f>'Hodnocení '!FM134</f>
        <v>6104000</v>
      </c>
      <c r="FN138" s="697">
        <f>'Hodnocení '!FN134</f>
        <v>8285419</v>
      </c>
      <c r="FO138" s="697">
        <f>'Hodnocení '!FO134</f>
        <v>2866678</v>
      </c>
      <c r="FP138" s="697">
        <f>'Hodnocení '!FP134</f>
        <v>17008000</v>
      </c>
      <c r="FQ138" s="697">
        <f>'Hodnocení '!FQ134</f>
        <v>2192886</v>
      </c>
      <c r="FR138" s="697">
        <f>'Hodnocení '!FR134</f>
        <v>4086708</v>
      </c>
      <c r="FS138" s="697">
        <f>'Hodnocení '!FS134</f>
        <v>651500</v>
      </c>
      <c r="FT138" s="697">
        <f>'Hodnocení '!FT134</f>
        <v>6287000</v>
      </c>
      <c r="FU138" s="697">
        <f>'Hodnocení '!FU134</f>
        <v>718000</v>
      </c>
      <c r="FV138" s="697">
        <f>'Hodnocení '!FV134</f>
        <v>2148499</v>
      </c>
      <c r="FW138" s="697">
        <f>'Hodnocení '!FW134</f>
        <v>2104500</v>
      </c>
      <c r="FX138" s="697">
        <f>'Hodnocení '!FX134</f>
        <v>988000</v>
      </c>
      <c r="FY138" s="697">
        <f>'Hodnocení '!FY134</f>
        <v>484000</v>
      </c>
      <c r="FZ138" s="697">
        <f>'Hodnocení '!FZ134</f>
        <v>9363000</v>
      </c>
      <c r="GA138" s="697">
        <f>'Hodnocení '!GA134</f>
        <v>1498000</v>
      </c>
      <c r="GB138" s="697">
        <f>'Hodnocení '!GB134</f>
        <v>10594000</v>
      </c>
      <c r="GC138" s="697">
        <f>'Hodnocení '!GC134</f>
        <v>4178000</v>
      </c>
      <c r="GD138" s="697">
        <f>'Hodnocení '!GD134</f>
        <v>15446000</v>
      </c>
      <c r="GE138" s="697">
        <f>'Hodnocení '!GE134</f>
        <v>2300000</v>
      </c>
      <c r="GF138" s="697">
        <f>'Hodnocení '!GF134</f>
        <v>5644645</v>
      </c>
      <c r="GG138" s="697">
        <f>'Hodnocení '!GG134</f>
        <v>2609037</v>
      </c>
      <c r="GH138" s="697">
        <f>'Hodnocení '!GH134</f>
        <v>1826586</v>
      </c>
      <c r="GI138" s="697">
        <f>'Hodnocení '!GI134</f>
        <v>15695048</v>
      </c>
      <c r="GJ138" s="697">
        <f>'Hodnocení '!GJ134</f>
        <v>3236180</v>
      </c>
      <c r="GK138" s="697">
        <f>'Hodnocení '!GK134</f>
        <v>2287953</v>
      </c>
      <c r="GL138" s="697">
        <f>'Hodnocení '!GL134</f>
        <v>1248846</v>
      </c>
      <c r="GM138" s="697">
        <f>'Hodnocení '!GM134</f>
        <v>1452634</v>
      </c>
      <c r="GN138" s="697">
        <f>'Hodnocení '!GN134</f>
        <v>1157000</v>
      </c>
      <c r="GO138" s="697">
        <f>'Hodnocení '!GO134</f>
        <v>6719641</v>
      </c>
      <c r="GP138" s="697">
        <f>'Hodnocení '!GP134</f>
        <v>2176500</v>
      </c>
      <c r="GQ138" s="697">
        <f>'Hodnocení '!GQ134</f>
        <v>1766200</v>
      </c>
      <c r="GR138" s="697">
        <f>'Hodnocení '!GR134</f>
        <v>1709200</v>
      </c>
      <c r="GS138" s="697">
        <f>'Hodnocení '!GS134</f>
        <v>1138300</v>
      </c>
      <c r="GT138" s="697">
        <f>'Hodnocení '!GT134</f>
        <v>16127000</v>
      </c>
      <c r="GU138" s="697">
        <f>'Hodnocení '!GU134</f>
        <v>1604440</v>
      </c>
      <c r="GV138" s="697">
        <f>'Hodnocení '!GV134</f>
        <v>13200000</v>
      </c>
      <c r="GW138" s="697">
        <f>'Hodnocení '!GW134</f>
        <v>2973500</v>
      </c>
      <c r="GX138" s="697">
        <f>'Hodnocení '!GX134</f>
        <v>936500</v>
      </c>
      <c r="GY138" s="697">
        <f>'Hodnocení '!GY134</f>
        <v>28093975</v>
      </c>
      <c r="GZ138" s="697">
        <f>'Hodnocení '!GZ134</f>
        <v>5760821</v>
      </c>
      <c r="HA138" s="697">
        <f>'Hodnocení '!HA134</f>
        <v>13728500</v>
      </c>
      <c r="HB138" s="697">
        <f>'Hodnocení '!HB134</f>
        <v>12000000</v>
      </c>
      <c r="HC138" s="697">
        <f>'Hodnocení '!HC134</f>
        <v>13279000</v>
      </c>
      <c r="HD138" s="697">
        <f>'Hodnocení '!HD134</f>
        <v>4386580</v>
      </c>
      <c r="HE138" s="697">
        <f>'Hodnocení '!HE134</f>
        <v>9761700</v>
      </c>
      <c r="HF138" s="697">
        <f>'Hodnocení '!HF134</f>
        <v>2452907</v>
      </c>
      <c r="HG138" s="697">
        <f>'Hodnocení '!HG134</f>
        <v>969165</v>
      </c>
      <c r="HH138" s="697">
        <f>'Hodnocení '!HH134</f>
        <v>4527000</v>
      </c>
      <c r="HI138" s="697">
        <f>'Hodnocení '!HI134</f>
        <v>5947160</v>
      </c>
      <c r="HJ138" s="697">
        <f>'Hodnocení '!HJ134</f>
        <v>0</v>
      </c>
      <c r="HK138" s="697">
        <f>'Hodnocení '!HK134</f>
        <v>1201800</v>
      </c>
      <c r="HL138" s="697">
        <f>'Hodnocení '!HL134</f>
        <v>59415396</v>
      </c>
      <c r="HM138" s="697">
        <f>'Hodnocení '!HM134</f>
        <v>36574149</v>
      </c>
      <c r="HN138" s="697">
        <f>'Hodnocení '!HN134</f>
        <v>1203000</v>
      </c>
      <c r="HO138" s="697">
        <f>'Hodnocení '!HO134</f>
        <v>0</v>
      </c>
      <c r="HP138" s="697">
        <f>'Hodnocení '!HP134</f>
        <v>33033000</v>
      </c>
      <c r="HQ138" s="697">
        <f>'Hodnocení '!HQ134</f>
        <v>1228065</v>
      </c>
      <c r="HR138" s="697">
        <f>'Hodnocení '!HR134</f>
        <v>38962122</v>
      </c>
      <c r="HS138" s="697">
        <f>'Hodnocení '!HS134</f>
        <v>8931369</v>
      </c>
      <c r="HT138" s="697">
        <f>'Hodnocení '!HT134</f>
        <v>27455000</v>
      </c>
      <c r="HU138" s="697">
        <f>'Hodnocení '!HU134</f>
        <v>31930750</v>
      </c>
      <c r="HV138" s="697">
        <f>'Hodnocení '!HV134</f>
        <v>21508000</v>
      </c>
      <c r="HW138" s="697">
        <f>'Hodnocení '!HW134</f>
        <v>5561920</v>
      </c>
      <c r="HX138" s="697">
        <f>'Hodnocení '!HX134</f>
        <v>29200080</v>
      </c>
      <c r="HY138" s="697">
        <f>'Hodnocení '!HY134</f>
        <v>25433000</v>
      </c>
      <c r="HZ138" s="697">
        <f>'Hodnocení '!HZ134</f>
        <v>13641000</v>
      </c>
      <c r="IA138" s="697">
        <f>'Hodnocení '!IA134</f>
        <v>9979880</v>
      </c>
      <c r="IB138" s="697">
        <f>'Hodnocení '!IB134</f>
        <v>12350000</v>
      </c>
      <c r="IC138" s="697">
        <f>'Hodnocení '!IC134</f>
        <v>14489500</v>
      </c>
      <c r="ID138" s="697">
        <f>'Hodnocení '!ID134</f>
        <v>11816000</v>
      </c>
      <c r="IE138" s="697">
        <f>'Hodnocení '!IE134</f>
        <v>20713000</v>
      </c>
      <c r="IF138" s="697">
        <f>'Hodnocení '!IF134</f>
        <v>30233400</v>
      </c>
      <c r="IG138" s="697">
        <f>'Hodnocení '!IG134</f>
        <v>8831600</v>
      </c>
      <c r="IH138" s="697">
        <f>'Hodnocení '!IH134</f>
        <v>4103463</v>
      </c>
      <c r="II138" s="697">
        <f>'Hodnocení '!II134</f>
        <v>30692503</v>
      </c>
      <c r="IJ138" s="697">
        <f>'Hodnocení '!IJ134</f>
        <v>2237450</v>
      </c>
      <c r="IK138" s="697">
        <f>'Hodnocení '!IK134</f>
        <v>3320915</v>
      </c>
      <c r="IL138" s="697">
        <f>'Hodnocení '!IL134</f>
        <v>13228000</v>
      </c>
      <c r="IM138" s="697">
        <f>'Hodnocení '!IM134</f>
        <v>930297</v>
      </c>
      <c r="IN138" s="697">
        <f>'Hodnocení '!IN134</f>
        <v>13186715</v>
      </c>
      <c r="IO138" s="697">
        <f>'Hodnocení '!IO134</f>
        <v>4470522</v>
      </c>
      <c r="IP138" s="697">
        <f>'Hodnocení '!IP134</f>
        <v>25853000</v>
      </c>
      <c r="IQ138" s="697">
        <f>'Hodnocení '!IQ134</f>
        <v>26873300</v>
      </c>
      <c r="IR138" s="697">
        <f>'Hodnocení '!IR134</f>
        <v>1080000</v>
      </c>
      <c r="IS138" s="697">
        <f>'Hodnocení '!IS134</f>
        <v>55608500</v>
      </c>
      <c r="IT138" s="697">
        <f>'Hodnocení '!IT134</f>
        <v>14347100</v>
      </c>
      <c r="IU138" s="697">
        <f>'Hodnocení '!IU134</f>
        <v>5888630</v>
      </c>
      <c r="IV138" s="697">
        <f>'Hodnocení '!IV134</f>
        <v>9863564</v>
      </c>
      <c r="IW138" s="697">
        <f>'Hodnocení '!IW134</f>
        <v>17701282</v>
      </c>
      <c r="IX138" s="697">
        <f>'Hodnocení '!IX134</f>
        <v>2543998</v>
      </c>
      <c r="IY138" s="697">
        <f>'Hodnocení '!IY134</f>
        <v>12649000</v>
      </c>
      <c r="IZ138" s="697">
        <f>'Hodnocení '!IZ134</f>
        <v>28742500</v>
      </c>
      <c r="JA138" s="697">
        <f>'Hodnocení '!JA134</f>
        <v>3786200</v>
      </c>
      <c r="JB138" s="697">
        <f>'Hodnocení '!JB134</f>
        <v>3913915</v>
      </c>
      <c r="JC138" s="697">
        <f>'Hodnocení '!JC134</f>
        <v>3203956</v>
      </c>
      <c r="JD138" s="697">
        <f>'Hodnocení '!JD134</f>
        <v>8112140</v>
      </c>
      <c r="JE138" s="697">
        <f>'Hodnocení '!JE134</f>
        <v>850000</v>
      </c>
      <c r="JF138" s="697">
        <f>'Hodnocení '!JF134</f>
        <v>40477800</v>
      </c>
      <c r="JG138" s="697">
        <f>'Hodnocení '!JG134</f>
        <v>35406041</v>
      </c>
      <c r="JH138" s="698">
        <f>'Hodnocení '!JH134</f>
        <v>3377272</v>
      </c>
      <c r="JI138" s="470">
        <f>'Hodnocení '!JI134</f>
        <v>1761152914</v>
      </c>
    </row>
    <row r="139" spans="1:276" s="307" customFormat="1" hidden="1" x14ac:dyDescent="0.25">
      <c r="A139" s="314">
        <v>440</v>
      </c>
      <c r="B139" s="743" t="s">
        <v>59</v>
      </c>
      <c r="C139" s="779">
        <f>'Hodnocení '!C135</f>
        <v>0</v>
      </c>
      <c r="D139" s="479">
        <f>'Hodnocení '!D135</f>
        <v>0</v>
      </c>
      <c r="E139" s="479">
        <f>'Hodnocení '!E135</f>
        <v>0</v>
      </c>
      <c r="F139" s="479">
        <f>'Hodnocení '!F135</f>
        <v>0</v>
      </c>
      <c r="G139" s="479">
        <f>'Hodnocení '!G135</f>
        <v>0</v>
      </c>
      <c r="H139" s="479">
        <f>'Hodnocení '!H135</f>
        <v>0</v>
      </c>
      <c r="I139" s="479">
        <f>'Hodnocení '!I135</f>
        <v>0</v>
      </c>
      <c r="J139" s="479">
        <f>'Hodnocení '!J135</f>
        <v>0</v>
      </c>
      <c r="K139" s="479">
        <f>'Hodnocení '!K135</f>
        <v>0</v>
      </c>
      <c r="L139" s="479">
        <f>'Hodnocení '!L135</f>
        <v>0</v>
      </c>
      <c r="M139" s="479">
        <f>'Hodnocení '!M135</f>
        <v>0</v>
      </c>
      <c r="N139" s="479">
        <f>'Hodnocení '!N135</f>
        <v>0</v>
      </c>
      <c r="O139" s="479">
        <f>'Hodnocení '!O135</f>
        <v>0</v>
      </c>
      <c r="P139" s="479">
        <f>'Hodnocení '!P135</f>
        <v>0</v>
      </c>
      <c r="Q139" s="479">
        <f>'Hodnocení '!Q135</f>
        <v>0</v>
      </c>
      <c r="R139" s="479">
        <f>'Hodnocení '!R135</f>
        <v>0</v>
      </c>
      <c r="S139" s="479">
        <f>'Hodnocení '!S135</f>
        <v>0</v>
      </c>
      <c r="T139" s="479">
        <f>'Hodnocení '!T135</f>
        <v>0</v>
      </c>
      <c r="U139" s="479">
        <f>'Hodnocení '!U135</f>
        <v>0</v>
      </c>
      <c r="V139" s="479">
        <f>'Hodnocení '!V135</f>
        <v>0</v>
      </c>
      <c r="W139" s="479">
        <f>'Hodnocení '!W135</f>
        <v>0</v>
      </c>
      <c r="X139" s="479">
        <f>'Hodnocení '!X135</f>
        <v>0</v>
      </c>
      <c r="Y139" s="479">
        <f>'Hodnocení '!Y135</f>
        <v>0</v>
      </c>
      <c r="Z139" s="479">
        <f>'Hodnocení '!Z135</f>
        <v>0</v>
      </c>
      <c r="AA139" s="479">
        <f>'Hodnocení '!AA135</f>
        <v>0</v>
      </c>
      <c r="AB139" s="479">
        <f>'Hodnocení '!AB135</f>
        <v>0</v>
      </c>
      <c r="AC139" s="479">
        <f>'Hodnocení '!AC135</f>
        <v>0</v>
      </c>
      <c r="AD139" s="479">
        <f>'Hodnocení '!AD135</f>
        <v>0</v>
      </c>
      <c r="AE139" s="479">
        <f>'Hodnocení '!AE135</f>
        <v>0</v>
      </c>
      <c r="AF139" s="479">
        <f>'Hodnocení '!AF135</f>
        <v>0</v>
      </c>
      <c r="AG139" s="479">
        <f>'Hodnocení '!AG135</f>
        <v>0</v>
      </c>
      <c r="AH139" s="479">
        <f>'Hodnocení '!AH135</f>
        <v>0</v>
      </c>
      <c r="AI139" s="479">
        <f>'Hodnocení '!AI135</f>
        <v>0</v>
      </c>
      <c r="AJ139" s="479">
        <f>'Hodnocení '!AJ135</f>
        <v>0</v>
      </c>
      <c r="AK139" s="479">
        <f>'Hodnocení '!AK135</f>
        <v>0</v>
      </c>
      <c r="AL139" s="479">
        <f>'Hodnocení '!AL135</f>
        <v>0</v>
      </c>
      <c r="AM139" s="479">
        <f>'Hodnocení '!AM135</f>
        <v>0</v>
      </c>
      <c r="AN139" s="479">
        <f>'Hodnocení '!AN135</f>
        <v>0</v>
      </c>
      <c r="AO139" s="479">
        <f>'Hodnocení '!AO135</f>
        <v>0</v>
      </c>
      <c r="AP139" s="479">
        <f>'Hodnocení '!AP135</f>
        <v>0</v>
      </c>
      <c r="AQ139" s="479">
        <f>'Hodnocení '!AQ135</f>
        <v>0</v>
      </c>
      <c r="AR139" s="479">
        <f>'Hodnocení '!AR135</f>
        <v>0</v>
      </c>
      <c r="AS139" s="479">
        <f>'Hodnocení '!AS135</f>
        <v>0</v>
      </c>
      <c r="AT139" s="479">
        <f>'Hodnocení '!AT135</f>
        <v>0</v>
      </c>
      <c r="AU139" s="479">
        <f>'Hodnocení '!AU135</f>
        <v>0</v>
      </c>
      <c r="AV139" s="479">
        <f>'Hodnocení '!AV135</f>
        <v>0</v>
      </c>
      <c r="AW139" s="479">
        <f>'Hodnocení '!AW135</f>
        <v>0</v>
      </c>
      <c r="AX139" s="479">
        <f>'Hodnocení '!AX135</f>
        <v>0</v>
      </c>
      <c r="AY139" s="479">
        <f>'Hodnocení '!AY135</f>
        <v>0</v>
      </c>
      <c r="AZ139" s="479">
        <f>'Hodnocení '!AZ135</f>
        <v>0</v>
      </c>
      <c r="BA139" s="479">
        <f>'Hodnocení '!BA135</f>
        <v>0</v>
      </c>
      <c r="BB139" s="479">
        <f>'Hodnocení '!BB135</f>
        <v>0</v>
      </c>
      <c r="BC139" s="479">
        <f>'Hodnocení '!BC135</f>
        <v>0</v>
      </c>
      <c r="BD139" s="479">
        <f>'Hodnocení '!BD135</f>
        <v>0</v>
      </c>
      <c r="BE139" s="479">
        <f>'Hodnocení '!BE135</f>
        <v>0</v>
      </c>
      <c r="BF139" s="479">
        <f>'Hodnocení '!BF135</f>
        <v>0</v>
      </c>
      <c r="BG139" s="479">
        <f>'Hodnocení '!BG135</f>
        <v>0</v>
      </c>
      <c r="BH139" s="479">
        <f>'Hodnocení '!BH135</f>
        <v>0</v>
      </c>
      <c r="BI139" s="479">
        <f>'Hodnocení '!BI135</f>
        <v>1100000</v>
      </c>
      <c r="BJ139" s="479">
        <f>'Hodnocení '!BJ135</f>
        <v>0</v>
      </c>
      <c r="BK139" s="479">
        <f>'Hodnocení '!BK135</f>
        <v>0</v>
      </c>
      <c r="BL139" s="479">
        <f>'Hodnocení '!BL135</f>
        <v>0</v>
      </c>
      <c r="BM139" s="479">
        <f>'Hodnocení '!BM135</f>
        <v>0</v>
      </c>
      <c r="BN139" s="479">
        <f>'Hodnocení '!BN135</f>
        <v>0</v>
      </c>
      <c r="BO139" s="479">
        <f>'Hodnocení '!BO135</f>
        <v>0</v>
      </c>
      <c r="BP139" s="479">
        <f>'Hodnocení '!BP135</f>
        <v>0</v>
      </c>
      <c r="BQ139" s="479">
        <f>'Hodnocení '!BQ135</f>
        <v>0</v>
      </c>
      <c r="BR139" s="479">
        <f>'Hodnocení '!BR135</f>
        <v>0</v>
      </c>
      <c r="BS139" s="479">
        <f>'Hodnocení '!BS135</f>
        <v>0</v>
      </c>
      <c r="BT139" s="479">
        <f>'Hodnocení '!BT135</f>
        <v>0</v>
      </c>
      <c r="BU139" s="479">
        <f>'Hodnocení '!BU135</f>
        <v>0</v>
      </c>
      <c r="BV139" s="479">
        <f>'Hodnocení '!BV135</f>
        <v>0</v>
      </c>
      <c r="BW139" s="479">
        <f>'Hodnocení '!BW135</f>
        <v>0</v>
      </c>
      <c r="BX139" s="479">
        <f>'Hodnocení '!BX135</f>
        <v>0</v>
      </c>
      <c r="BY139" s="479">
        <f>'Hodnocení '!BY135</f>
        <v>0</v>
      </c>
      <c r="BZ139" s="479">
        <f>'Hodnocení '!BZ135</f>
        <v>0</v>
      </c>
      <c r="CA139" s="479">
        <f>'Hodnocení '!CA135</f>
        <v>0</v>
      </c>
      <c r="CB139" s="479">
        <f>'Hodnocení '!CB135</f>
        <v>0</v>
      </c>
      <c r="CC139" s="479">
        <f>'Hodnocení '!CC135</f>
        <v>0</v>
      </c>
      <c r="CD139" s="479">
        <f>'Hodnocení '!CD135</f>
        <v>0</v>
      </c>
      <c r="CE139" s="479">
        <f>'Hodnocení '!CE135</f>
        <v>0</v>
      </c>
      <c r="CF139" s="479">
        <f>'Hodnocení '!CF135</f>
        <v>0</v>
      </c>
      <c r="CG139" s="479">
        <f>'Hodnocení '!CG135</f>
        <v>90000</v>
      </c>
      <c r="CH139" s="479">
        <f>'Hodnocení '!CH135</f>
        <v>0</v>
      </c>
      <c r="CI139" s="479">
        <f>'Hodnocení '!CI135</f>
        <v>0</v>
      </c>
      <c r="CJ139" s="479">
        <f>'Hodnocení '!CJ135</f>
        <v>0</v>
      </c>
      <c r="CK139" s="479">
        <f>'Hodnocení '!CK135</f>
        <v>0</v>
      </c>
      <c r="CL139" s="479">
        <f>'Hodnocení '!CL135</f>
        <v>0</v>
      </c>
      <c r="CM139" s="479">
        <f>'Hodnocení '!CM135</f>
        <v>0</v>
      </c>
      <c r="CN139" s="479">
        <f>'Hodnocení '!CN135</f>
        <v>0</v>
      </c>
      <c r="CO139" s="479">
        <f>'Hodnocení '!CO135</f>
        <v>0</v>
      </c>
      <c r="CP139" s="479">
        <f>'Hodnocení '!CP135</f>
        <v>0</v>
      </c>
      <c r="CQ139" s="479">
        <f>'Hodnocení '!CQ135</f>
        <v>0</v>
      </c>
      <c r="CR139" s="479">
        <f>'Hodnocení '!CR135</f>
        <v>0</v>
      </c>
      <c r="CS139" s="479">
        <f>'Hodnocení '!CS135</f>
        <v>0</v>
      </c>
      <c r="CT139" s="479">
        <f>'Hodnocení '!CT135</f>
        <v>0</v>
      </c>
      <c r="CU139" s="479">
        <f>'Hodnocení '!CU135</f>
        <v>0</v>
      </c>
      <c r="CV139" s="479">
        <f>'Hodnocení '!CV135</f>
        <v>0</v>
      </c>
      <c r="CW139" s="479">
        <f>'Hodnocení '!CW135</f>
        <v>0</v>
      </c>
      <c r="CX139" s="479">
        <f>'Hodnocení '!CX135</f>
        <v>0</v>
      </c>
      <c r="CY139" s="479">
        <f>'Hodnocení '!CY135</f>
        <v>0</v>
      </c>
      <c r="CZ139" s="479">
        <f>'Hodnocení '!CZ135</f>
        <v>0</v>
      </c>
      <c r="DA139" s="479">
        <f>'Hodnocení '!DA135</f>
        <v>2513000</v>
      </c>
      <c r="DB139" s="479">
        <f>'Hodnocení '!DB135</f>
        <v>0</v>
      </c>
      <c r="DC139" s="479">
        <f>'Hodnocení '!DC135</f>
        <v>0</v>
      </c>
      <c r="DD139" s="479">
        <f>'Hodnocení '!DD135</f>
        <v>0</v>
      </c>
      <c r="DE139" s="479">
        <f>'Hodnocení '!DE135</f>
        <v>0</v>
      </c>
      <c r="DF139" s="479">
        <f>'Hodnocení '!DF135</f>
        <v>0</v>
      </c>
      <c r="DG139" s="479">
        <f>'Hodnocení '!DG135</f>
        <v>0</v>
      </c>
      <c r="DH139" s="479">
        <f>'Hodnocení '!DH135</f>
        <v>0</v>
      </c>
      <c r="DI139" s="479">
        <f>'Hodnocení '!DI135</f>
        <v>0</v>
      </c>
      <c r="DJ139" s="479">
        <f>'Hodnocení '!DJ135</f>
        <v>0</v>
      </c>
      <c r="DK139" s="479">
        <f>'Hodnocení '!DK135</f>
        <v>0</v>
      </c>
      <c r="DL139" s="479">
        <f>'Hodnocení '!DL135</f>
        <v>0</v>
      </c>
      <c r="DM139" s="479">
        <f>'Hodnocení '!DM135</f>
        <v>0</v>
      </c>
      <c r="DN139" s="479">
        <f>'Hodnocení '!DN135</f>
        <v>0</v>
      </c>
      <c r="DO139" s="479">
        <f>'Hodnocení '!DO135</f>
        <v>0</v>
      </c>
      <c r="DP139" s="479">
        <f>'Hodnocení '!DP135</f>
        <v>0</v>
      </c>
      <c r="DQ139" s="479">
        <f>'Hodnocení '!DQ135</f>
        <v>0</v>
      </c>
      <c r="DR139" s="479">
        <f>'Hodnocení '!DR135</f>
        <v>0</v>
      </c>
      <c r="DS139" s="479">
        <f>'Hodnocení '!DS135</f>
        <v>0</v>
      </c>
      <c r="DT139" s="479">
        <f>'Hodnocení '!DT135</f>
        <v>0</v>
      </c>
      <c r="DU139" s="479">
        <f>'Hodnocení '!DU135</f>
        <v>0</v>
      </c>
      <c r="DV139" s="479">
        <f>'Hodnocení '!DV135</f>
        <v>0</v>
      </c>
      <c r="DW139" s="479">
        <f>'Hodnocení '!DW135</f>
        <v>0</v>
      </c>
      <c r="DX139" s="479">
        <f>'Hodnocení '!DX135</f>
        <v>0</v>
      </c>
      <c r="DY139" s="479">
        <f>'Hodnocení '!DY135</f>
        <v>0</v>
      </c>
      <c r="DZ139" s="479">
        <f>'Hodnocení '!DZ135</f>
        <v>0</v>
      </c>
      <c r="EA139" s="479">
        <f>'Hodnocení '!EA135</f>
        <v>0</v>
      </c>
      <c r="EB139" s="479">
        <f>'Hodnocení '!EB135</f>
        <v>0</v>
      </c>
      <c r="EC139" s="479">
        <f>'Hodnocení '!EC135</f>
        <v>0</v>
      </c>
      <c r="ED139" s="479">
        <f>'Hodnocení '!ED135</f>
        <v>0</v>
      </c>
      <c r="EE139" s="479">
        <f>'Hodnocení '!EE135</f>
        <v>144000</v>
      </c>
      <c r="EF139" s="479">
        <f>'Hodnocení '!EF135</f>
        <v>144000</v>
      </c>
      <c r="EG139" s="479">
        <f>'Hodnocení '!EG135</f>
        <v>0</v>
      </c>
      <c r="EH139" s="479">
        <f>'Hodnocení '!EH135</f>
        <v>154000</v>
      </c>
      <c r="EI139" s="479">
        <f>'Hodnocení '!EI135</f>
        <v>30000</v>
      </c>
      <c r="EJ139" s="479">
        <f>'Hodnocení '!EJ135</f>
        <v>144000</v>
      </c>
      <c r="EK139" s="479">
        <f>'Hodnocení '!EK135</f>
        <v>0</v>
      </c>
      <c r="EL139" s="479">
        <f>'Hodnocení '!EL135</f>
        <v>0</v>
      </c>
      <c r="EM139" s="479">
        <f>'Hodnocení '!EM135</f>
        <v>0</v>
      </c>
      <c r="EN139" s="479">
        <f>'Hodnocení '!EN135</f>
        <v>0</v>
      </c>
      <c r="EO139" s="479">
        <f>'Hodnocení '!EO135</f>
        <v>0</v>
      </c>
      <c r="EP139" s="479">
        <f>'Hodnocení '!EP135</f>
        <v>144000</v>
      </c>
      <c r="EQ139" s="479">
        <f>'Hodnocení '!EQ135</f>
        <v>250000</v>
      </c>
      <c r="ER139" s="479">
        <f>'Hodnocení '!ER135</f>
        <v>0</v>
      </c>
      <c r="ES139" s="479">
        <f>'Hodnocení '!ES135</f>
        <v>0</v>
      </c>
      <c r="ET139" s="479">
        <f>'Hodnocení '!ET135</f>
        <v>0</v>
      </c>
      <c r="EU139" s="479">
        <f>'Hodnocení '!EU135</f>
        <v>0</v>
      </c>
      <c r="EV139" s="479">
        <f>'Hodnocení '!EV135</f>
        <v>0</v>
      </c>
      <c r="EW139" s="479">
        <f>'Hodnocení '!EW135</f>
        <v>0</v>
      </c>
      <c r="EX139" s="479">
        <f>'Hodnocení '!EX135</f>
        <v>0</v>
      </c>
      <c r="EY139" s="479">
        <f>'Hodnocení '!EY135</f>
        <v>0</v>
      </c>
      <c r="EZ139" s="479">
        <f>'Hodnocení '!EZ135</f>
        <v>0</v>
      </c>
      <c r="FA139" s="479">
        <f>'Hodnocení '!FA135</f>
        <v>0</v>
      </c>
      <c r="FB139" s="479">
        <f>'Hodnocení '!FB135</f>
        <v>0</v>
      </c>
      <c r="FC139" s="479">
        <f>'Hodnocení '!FC135</f>
        <v>0</v>
      </c>
      <c r="FD139" s="479">
        <f>'Hodnocení '!FD135</f>
        <v>0</v>
      </c>
      <c r="FE139" s="479">
        <f>'Hodnocení '!FE135</f>
        <v>0</v>
      </c>
      <c r="FF139" s="479">
        <f>'Hodnocení '!FF135</f>
        <v>0</v>
      </c>
      <c r="FG139" s="479">
        <f>'Hodnocení '!FG135</f>
        <v>0</v>
      </c>
      <c r="FH139" s="479">
        <f>'Hodnocení '!FH135</f>
        <v>0</v>
      </c>
      <c r="FI139" s="479">
        <f>'Hodnocení '!FI135</f>
        <v>0</v>
      </c>
      <c r="FJ139" s="479">
        <f>'Hodnocení '!FJ135</f>
        <v>0</v>
      </c>
      <c r="FK139" s="479">
        <f>'Hodnocení '!FK135</f>
        <v>0</v>
      </c>
      <c r="FL139" s="479">
        <f>'Hodnocení '!FL135</f>
        <v>0</v>
      </c>
      <c r="FM139" s="479">
        <f>'Hodnocení '!FM135</f>
        <v>0</v>
      </c>
      <c r="FN139" s="479">
        <f>'Hodnocení '!FN135</f>
        <v>0</v>
      </c>
      <c r="FO139" s="479">
        <f>'Hodnocení '!FO135</f>
        <v>0</v>
      </c>
      <c r="FP139" s="479">
        <f>'Hodnocení '!FP135</f>
        <v>0</v>
      </c>
      <c r="FQ139" s="479">
        <f>'Hodnocení '!FQ135</f>
        <v>0</v>
      </c>
      <c r="FR139" s="479">
        <f>'Hodnocení '!FR135</f>
        <v>0</v>
      </c>
      <c r="FS139" s="479">
        <f>'Hodnocení '!FS135</f>
        <v>0</v>
      </c>
      <c r="FT139" s="479">
        <f>'Hodnocení '!FT135</f>
        <v>0</v>
      </c>
      <c r="FU139" s="479">
        <f>'Hodnocení '!FU135</f>
        <v>0</v>
      </c>
      <c r="FV139" s="479">
        <f>'Hodnocení '!FV135</f>
        <v>0</v>
      </c>
      <c r="FW139" s="479">
        <f>'Hodnocení '!FW135</f>
        <v>0</v>
      </c>
      <c r="FX139" s="479">
        <f>'Hodnocení '!FX135</f>
        <v>0</v>
      </c>
      <c r="FY139" s="479">
        <f>'Hodnocení '!FY135</f>
        <v>0</v>
      </c>
      <c r="FZ139" s="479">
        <f>'Hodnocení '!FZ135</f>
        <v>0</v>
      </c>
      <c r="GA139" s="479">
        <f>'Hodnocení '!GA135</f>
        <v>0</v>
      </c>
      <c r="GB139" s="479">
        <f>'Hodnocení '!GB135</f>
        <v>3520000</v>
      </c>
      <c r="GC139" s="479">
        <f>'Hodnocení '!GC135</f>
        <v>0</v>
      </c>
      <c r="GD139" s="479">
        <f>'Hodnocení '!GD135</f>
        <v>0</v>
      </c>
      <c r="GE139" s="479">
        <f>'Hodnocení '!GE135</f>
        <v>0</v>
      </c>
      <c r="GF139" s="479">
        <f>'Hodnocení '!GF135</f>
        <v>0</v>
      </c>
      <c r="GG139" s="479">
        <f>'Hodnocení '!GG135</f>
        <v>0</v>
      </c>
      <c r="GH139" s="479">
        <f>'Hodnocení '!GH135</f>
        <v>0</v>
      </c>
      <c r="GI139" s="479">
        <f>'Hodnocení '!GI135</f>
        <v>0</v>
      </c>
      <c r="GJ139" s="479">
        <f>'Hodnocení '!GJ135</f>
        <v>0</v>
      </c>
      <c r="GK139" s="479">
        <f>'Hodnocení '!GK135</f>
        <v>0</v>
      </c>
      <c r="GL139" s="479">
        <f>'Hodnocení '!GL135</f>
        <v>0</v>
      </c>
      <c r="GM139" s="479">
        <f>'Hodnocení '!GM135</f>
        <v>0</v>
      </c>
      <c r="GN139" s="479">
        <f>'Hodnocení '!GN135</f>
        <v>0</v>
      </c>
      <c r="GO139" s="479">
        <f>'Hodnocení '!GO135</f>
        <v>0</v>
      </c>
      <c r="GP139" s="479">
        <f>'Hodnocení '!GP135</f>
        <v>0</v>
      </c>
      <c r="GQ139" s="479">
        <f>'Hodnocení '!GQ135</f>
        <v>0</v>
      </c>
      <c r="GR139" s="479">
        <f>'Hodnocení '!GR135</f>
        <v>0</v>
      </c>
      <c r="GS139" s="479">
        <f>'Hodnocení '!GS135</f>
        <v>0</v>
      </c>
      <c r="GT139" s="479">
        <f>'Hodnocení '!GT135</f>
        <v>0</v>
      </c>
      <c r="GU139" s="479">
        <f>'Hodnocení '!GU135</f>
        <v>0</v>
      </c>
      <c r="GV139" s="479">
        <f>'Hodnocení '!GV135</f>
        <v>0</v>
      </c>
      <c r="GW139" s="479">
        <f>'Hodnocení '!GW135</f>
        <v>0</v>
      </c>
      <c r="GX139" s="479">
        <f>'Hodnocení '!GX135</f>
        <v>0</v>
      </c>
      <c r="GY139" s="479">
        <f>'Hodnocení '!GY135</f>
        <v>0</v>
      </c>
      <c r="GZ139" s="479">
        <f>'Hodnocení '!GZ135</f>
        <v>0</v>
      </c>
      <c r="HA139" s="479">
        <f>'Hodnocení '!HA135</f>
        <v>0</v>
      </c>
      <c r="HB139" s="479">
        <f>'Hodnocení '!HB135</f>
        <v>0</v>
      </c>
      <c r="HC139" s="479">
        <f>'Hodnocení '!HC135</f>
        <v>0</v>
      </c>
      <c r="HD139" s="479">
        <f>'Hodnocení '!HD135</f>
        <v>0</v>
      </c>
      <c r="HE139" s="479">
        <f>'Hodnocení '!HE135</f>
        <v>0</v>
      </c>
      <c r="HF139" s="479">
        <f>'Hodnocení '!HF135</f>
        <v>0</v>
      </c>
      <c r="HG139" s="479">
        <f>'Hodnocení '!HG135</f>
        <v>0</v>
      </c>
      <c r="HH139" s="479">
        <f>'Hodnocení '!HH135</f>
        <v>0</v>
      </c>
      <c r="HI139" s="479">
        <f>'Hodnocení '!HI135</f>
        <v>0</v>
      </c>
      <c r="HJ139" s="479">
        <f>'Hodnocení '!HJ135</f>
        <v>0</v>
      </c>
      <c r="HK139" s="479">
        <f>'Hodnocení '!HK135</f>
        <v>0</v>
      </c>
      <c r="HL139" s="479">
        <f>'Hodnocení '!HL135</f>
        <v>0</v>
      </c>
      <c r="HM139" s="479">
        <f>'Hodnocení '!HM135</f>
        <v>0</v>
      </c>
      <c r="HN139" s="479">
        <f>'Hodnocení '!HN135</f>
        <v>0</v>
      </c>
      <c r="HO139" s="479">
        <f>'Hodnocení '!HO135</f>
        <v>0</v>
      </c>
      <c r="HP139" s="479">
        <f>'Hodnocení '!HP135</f>
        <v>0</v>
      </c>
      <c r="HQ139" s="479">
        <f>'Hodnocení '!HQ135</f>
        <v>0</v>
      </c>
      <c r="HR139" s="479">
        <f>'Hodnocení '!HR135</f>
        <v>0</v>
      </c>
      <c r="HS139" s="479">
        <f>'Hodnocení '!HS135</f>
        <v>0</v>
      </c>
      <c r="HT139" s="479">
        <f>'Hodnocení '!HT135</f>
        <v>0</v>
      </c>
      <c r="HU139" s="479">
        <f>'Hodnocení '!HU135</f>
        <v>285750</v>
      </c>
      <c r="HV139" s="479">
        <f>'Hodnocení '!HV135</f>
        <v>0</v>
      </c>
      <c r="HW139" s="479">
        <f>'Hodnocení '!HW135</f>
        <v>0</v>
      </c>
      <c r="HX139" s="479">
        <f>'Hodnocení '!HX135</f>
        <v>0</v>
      </c>
      <c r="HY139" s="479">
        <f>'Hodnocení '!HY135</f>
        <v>0</v>
      </c>
      <c r="HZ139" s="479">
        <f>'Hodnocení '!HZ135</f>
        <v>0</v>
      </c>
      <c r="IA139" s="479">
        <f>'Hodnocení '!IA135</f>
        <v>0</v>
      </c>
      <c r="IB139" s="479">
        <f>'Hodnocení '!IB135</f>
        <v>0</v>
      </c>
      <c r="IC139" s="479">
        <f>'Hodnocení '!IC135</f>
        <v>0</v>
      </c>
      <c r="ID139" s="479">
        <f>'Hodnocení '!ID135</f>
        <v>0</v>
      </c>
      <c r="IE139" s="479">
        <f>'Hodnocení '!IE135</f>
        <v>0</v>
      </c>
      <c r="IF139" s="479">
        <f>'Hodnocení '!IF135</f>
        <v>0</v>
      </c>
      <c r="IG139" s="479">
        <f>'Hodnocení '!IG135</f>
        <v>0</v>
      </c>
      <c r="IH139" s="479">
        <f>'Hodnocení '!IH135</f>
        <v>0</v>
      </c>
      <c r="II139" s="479">
        <f>'Hodnocení '!II135</f>
        <v>0</v>
      </c>
      <c r="IJ139" s="479">
        <f>'Hodnocení '!IJ135</f>
        <v>0</v>
      </c>
      <c r="IK139" s="479">
        <f>'Hodnocení '!IK135</f>
        <v>0</v>
      </c>
      <c r="IL139" s="479">
        <f>'Hodnocení '!IL135</f>
        <v>0</v>
      </c>
      <c r="IM139" s="479">
        <f>'Hodnocení '!IM135</f>
        <v>0</v>
      </c>
      <c r="IN139" s="479">
        <f>'Hodnocení '!IN135</f>
        <v>0</v>
      </c>
      <c r="IO139" s="479">
        <f>'Hodnocení '!IO135</f>
        <v>0</v>
      </c>
      <c r="IP139" s="479">
        <f>'Hodnocení '!IP135</f>
        <v>0</v>
      </c>
      <c r="IQ139" s="479">
        <f>'Hodnocení '!IQ135</f>
        <v>0</v>
      </c>
      <c r="IR139" s="479">
        <f>'Hodnocení '!IR135</f>
        <v>0</v>
      </c>
      <c r="IS139" s="479">
        <f>'Hodnocení '!IS135</f>
        <v>0</v>
      </c>
      <c r="IT139" s="479">
        <f>'Hodnocení '!IT135</f>
        <v>0</v>
      </c>
      <c r="IU139" s="479">
        <f>'Hodnocení '!IU135</f>
        <v>0</v>
      </c>
      <c r="IV139" s="479">
        <f>'Hodnocení '!IV135</f>
        <v>0</v>
      </c>
      <c r="IW139" s="479">
        <f>'Hodnocení '!IW135</f>
        <v>0</v>
      </c>
      <c r="IX139" s="479">
        <f>'Hodnocení '!IX135</f>
        <v>0</v>
      </c>
      <c r="IY139" s="479">
        <f>'Hodnocení '!IY135</f>
        <v>0</v>
      </c>
      <c r="IZ139" s="479">
        <f>'Hodnocení '!IZ135</f>
        <v>0</v>
      </c>
      <c r="JA139" s="479">
        <f>'Hodnocení '!JA135</f>
        <v>0</v>
      </c>
      <c r="JB139" s="479">
        <f>'Hodnocení '!JB135</f>
        <v>0</v>
      </c>
      <c r="JC139" s="479">
        <f>'Hodnocení '!JC135</f>
        <v>0</v>
      </c>
      <c r="JD139" s="479">
        <f>'Hodnocení '!JD135</f>
        <v>0</v>
      </c>
      <c r="JE139" s="479">
        <f>'Hodnocení '!JE135</f>
        <v>0</v>
      </c>
      <c r="JF139" s="479">
        <f>'Hodnocení '!JF135</f>
        <v>0</v>
      </c>
      <c r="JG139" s="479">
        <f>'Hodnocení '!JG135</f>
        <v>0</v>
      </c>
      <c r="JH139" s="780">
        <f>'Hodnocení '!JH135</f>
        <v>0</v>
      </c>
      <c r="JI139" s="470">
        <f>'Hodnocení '!JI135</f>
        <v>8518750</v>
      </c>
    </row>
    <row r="140" spans="1:276" s="307" customFormat="1" hidden="1" x14ac:dyDescent="0.25">
      <c r="A140" s="314">
        <v>457</v>
      </c>
      <c r="B140" s="743" t="s">
        <v>64</v>
      </c>
      <c r="C140" s="779">
        <f>'Hodnocení '!C136</f>
        <v>0</v>
      </c>
      <c r="D140" s="479">
        <f>'Hodnocení '!D136</f>
        <v>0</v>
      </c>
      <c r="E140" s="479">
        <f>'Hodnocení '!E136</f>
        <v>0</v>
      </c>
      <c r="F140" s="479">
        <f>'Hodnocení '!F136</f>
        <v>0</v>
      </c>
      <c r="G140" s="479">
        <f>'Hodnocení '!G136</f>
        <v>0</v>
      </c>
      <c r="H140" s="479">
        <f>'Hodnocení '!H136</f>
        <v>0</v>
      </c>
      <c r="I140" s="479">
        <f>'Hodnocení '!I136</f>
        <v>0</v>
      </c>
      <c r="J140" s="479">
        <f>'Hodnocení '!J136</f>
        <v>0</v>
      </c>
      <c r="K140" s="479">
        <f>'Hodnocení '!K136</f>
        <v>0</v>
      </c>
      <c r="L140" s="479">
        <f>'Hodnocení '!L136</f>
        <v>0</v>
      </c>
      <c r="M140" s="479">
        <f>'Hodnocení '!M136</f>
        <v>0</v>
      </c>
      <c r="N140" s="479">
        <f>'Hodnocení '!N136</f>
        <v>0</v>
      </c>
      <c r="O140" s="479">
        <f>'Hodnocení '!O136</f>
        <v>0</v>
      </c>
      <c r="P140" s="479">
        <f>'Hodnocení '!P136</f>
        <v>0</v>
      </c>
      <c r="Q140" s="479">
        <f>'Hodnocení '!Q136</f>
        <v>0</v>
      </c>
      <c r="R140" s="479">
        <f>'Hodnocení '!R136</f>
        <v>0</v>
      </c>
      <c r="S140" s="479">
        <f>'Hodnocení '!S136</f>
        <v>0</v>
      </c>
      <c r="T140" s="479">
        <f>'Hodnocení '!T136</f>
        <v>0</v>
      </c>
      <c r="U140" s="479">
        <f>'Hodnocení '!U136</f>
        <v>0</v>
      </c>
      <c r="V140" s="479">
        <f>'Hodnocení '!V136</f>
        <v>0</v>
      </c>
      <c r="W140" s="479">
        <f>'Hodnocení '!W136</f>
        <v>0</v>
      </c>
      <c r="X140" s="479">
        <f>'Hodnocení '!X136</f>
        <v>0</v>
      </c>
      <c r="Y140" s="479">
        <f>'Hodnocení '!Y136</f>
        <v>0</v>
      </c>
      <c r="Z140" s="479">
        <f>'Hodnocení '!Z136</f>
        <v>0</v>
      </c>
      <c r="AA140" s="479">
        <f>'Hodnocení '!AA136</f>
        <v>0</v>
      </c>
      <c r="AB140" s="479">
        <f>'Hodnocení '!AB136</f>
        <v>0</v>
      </c>
      <c r="AC140" s="479">
        <f>'Hodnocení '!AC136</f>
        <v>0</v>
      </c>
      <c r="AD140" s="479">
        <f>'Hodnocení '!AD136</f>
        <v>0</v>
      </c>
      <c r="AE140" s="479">
        <f>'Hodnocení '!AE136</f>
        <v>0</v>
      </c>
      <c r="AF140" s="479">
        <f>'Hodnocení '!AF136</f>
        <v>0</v>
      </c>
      <c r="AG140" s="479">
        <f>'Hodnocení '!AG136</f>
        <v>0</v>
      </c>
      <c r="AH140" s="479">
        <f>'Hodnocení '!AH136</f>
        <v>0</v>
      </c>
      <c r="AI140" s="479">
        <f>'Hodnocení '!AI136</f>
        <v>0</v>
      </c>
      <c r="AJ140" s="479">
        <f>'Hodnocení '!AJ136</f>
        <v>0</v>
      </c>
      <c r="AK140" s="479">
        <f>'Hodnocení '!AK136</f>
        <v>0</v>
      </c>
      <c r="AL140" s="479">
        <f>'Hodnocení '!AL136</f>
        <v>0</v>
      </c>
      <c r="AM140" s="479">
        <f>'Hodnocení '!AM136</f>
        <v>0</v>
      </c>
      <c r="AN140" s="479">
        <f>'Hodnocení '!AN136</f>
        <v>0</v>
      </c>
      <c r="AO140" s="479">
        <f>'Hodnocení '!AO136</f>
        <v>0</v>
      </c>
      <c r="AP140" s="479">
        <f>'Hodnocení '!AP136</f>
        <v>0</v>
      </c>
      <c r="AQ140" s="479">
        <f>'Hodnocení '!AQ136</f>
        <v>0</v>
      </c>
      <c r="AR140" s="479">
        <f>'Hodnocení '!AR136</f>
        <v>0</v>
      </c>
      <c r="AS140" s="479">
        <f>'Hodnocení '!AS136</f>
        <v>0</v>
      </c>
      <c r="AT140" s="479">
        <f>'Hodnocení '!AT136</f>
        <v>0</v>
      </c>
      <c r="AU140" s="479">
        <f>'Hodnocení '!AU136</f>
        <v>0</v>
      </c>
      <c r="AV140" s="479">
        <f>'Hodnocení '!AV136</f>
        <v>0</v>
      </c>
      <c r="AW140" s="479">
        <f>'Hodnocení '!AW136</f>
        <v>0</v>
      </c>
      <c r="AX140" s="479">
        <f>'Hodnocení '!AX136</f>
        <v>0</v>
      </c>
      <c r="AY140" s="479">
        <f>'Hodnocení '!AY136</f>
        <v>0</v>
      </c>
      <c r="AZ140" s="479">
        <f>'Hodnocení '!AZ136</f>
        <v>0</v>
      </c>
      <c r="BA140" s="479">
        <f>'Hodnocení '!BA136</f>
        <v>0</v>
      </c>
      <c r="BB140" s="479">
        <f>'Hodnocení '!BB136</f>
        <v>0</v>
      </c>
      <c r="BC140" s="479">
        <f>'Hodnocení '!BC136</f>
        <v>0</v>
      </c>
      <c r="BD140" s="479">
        <f>'Hodnocení '!BD136</f>
        <v>0</v>
      </c>
      <c r="BE140" s="479">
        <f>'Hodnocení '!BE136</f>
        <v>0</v>
      </c>
      <c r="BF140" s="479">
        <f>'Hodnocení '!BF136</f>
        <v>972000</v>
      </c>
      <c r="BG140" s="479">
        <f>'Hodnocení '!BG136</f>
        <v>840000</v>
      </c>
      <c r="BH140" s="479">
        <f>'Hodnocení '!BH136</f>
        <v>980000</v>
      </c>
      <c r="BI140" s="479">
        <f>'Hodnocení '!BI136</f>
        <v>0</v>
      </c>
      <c r="BJ140" s="479">
        <f>'Hodnocení '!BJ136</f>
        <v>0</v>
      </c>
      <c r="BK140" s="479">
        <f>'Hodnocení '!BK136</f>
        <v>0</v>
      </c>
      <c r="BL140" s="479">
        <f>'Hodnocení '!BL136</f>
        <v>0</v>
      </c>
      <c r="BM140" s="479">
        <f>'Hodnocení '!BM136</f>
        <v>0</v>
      </c>
      <c r="BN140" s="479">
        <f>'Hodnocení '!BN136</f>
        <v>0</v>
      </c>
      <c r="BO140" s="479">
        <f>'Hodnocení '!BO136</f>
        <v>0</v>
      </c>
      <c r="BP140" s="479">
        <f>'Hodnocení '!BP136</f>
        <v>0</v>
      </c>
      <c r="BQ140" s="479">
        <f>'Hodnocení '!BQ136</f>
        <v>0</v>
      </c>
      <c r="BR140" s="479">
        <f>'Hodnocení '!BR136</f>
        <v>0</v>
      </c>
      <c r="BS140" s="479">
        <f>'Hodnocení '!BS136</f>
        <v>0</v>
      </c>
      <c r="BT140" s="479">
        <f>'Hodnocení '!BT136</f>
        <v>0</v>
      </c>
      <c r="BU140" s="479">
        <f>'Hodnocení '!BU136</f>
        <v>0</v>
      </c>
      <c r="BV140" s="479">
        <f>'Hodnocení '!BV136</f>
        <v>0</v>
      </c>
      <c r="BW140" s="479">
        <f>'Hodnocení '!BW136</f>
        <v>0</v>
      </c>
      <c r="BX140" s="479">
        <f>'Hodnocení '!BX136</f>
        <v>0</v>
      </c>
      <c r="BY140" s="479">
        <f>'Hodnocení '!BY136</f>
        <v>0</v>
      </c>
      <c r="BZ140" s="479">
        <f>'Hodnocení '!BZ136</f>
        <v>0</v>
      </c>
      <c r="CA140" s="479">
        <f>'Hodnocení '!CA136</f>
        <v>0</v>
      </c>
      <c r="CB140" s="479">
        <f>'Hodnocení '!CB136</f>
        <v>0</v>
      </c>
      <c r="CC140" s="479">
        <f>'Hodnocení '!CC136</f>
        <v>0</v>
      </c>
      <c r="CD140" s="479">
        <f>'Hodnocení '!CD136</f>
        <v>0</v>
      </c>
      <c r="CE140" s="479">
        <f>'Hodnocení '!CE136</f>
        <v>0</v>
      </c>
      <c r="CF140" s="479">
        <f>'Hodnocení '!CF136</f>
        <v>0</v>
      </c>
      <c r="CG140" s="479">
        <f>'Hodnocení '!CG136</f>
        <v>0</v>
      </c>
      <c r="CH140" s="479">
        <f>'Hodnocení '!CH136</f>
        <v>0</v>
      </c>
      <c r="CI140" s="479">
        <f>'Hodnocení '!CI136</f>
        <v>0</v>
      </c>
      <c r="CJ140" s="479">
        <f>'Hodnocení '!CJ136</f>
        <v>0</v>
      </c>
      <c r="CK140" s="479">
        <f>'Hodnocení '!CK136</f>
        <v>0</v>
      </c>
      <c r="CL140" s="479">
        <f>'Hodnocení '!CL136</f>
        <v>0</v>
      </c>
      <c r="CM140" s="479">
        <f>'Hodnocení '!CM136</f>
        <v>0</v>
      </c>
      <c r="CN140" s="479">
        <f>'Hodnocení '!CN136</f>
        <v>0</v>
      </c>
      <c r="CO140" s="479">
        <f>'Hodnocení '!CO136</f>
        <v>0</v>
      </c>
      <c r="CP140" s="479">
        <f>'Hodnocení '!CP136</f>
        <v>0</v>
      </c>
      <c r="CQ140" s="479">
        <f>'Hodnocení '!CQ136</f>
        <v>0</v>
      </c>
      <c r="CR140" s="479">
        <f>'Hodnocení '!CR136</f>
        <v>0</v>
      </c>
      <c r="CS140" s="479">
        <f>'Hodnocení '!CS136</f>
        <v>0</v>
      </c>
      <c r="CT140" s="479">
        <f>'Hodnocení '!CT136</f>
        <v>0</v>
      </c>
      <c r="CU140" s="479">
        <f>'Hodnocení '!CU136</f>
        <v>0</v>
      </c>
      <c r="CV140" s="479">
        <f>'Hodnocení '!CV136</f>
        <v>0</v>
      </c>
      <c r="CW140" s="479">
        <f>'Hodnocení '!CW136</f>
        <v>0</v>
      </c>
      <c r="CX140" s="479">
        <f>'Hodnocení '!CX136</f>
        <v>0</v>
      </c>
      <c r="CY140" s="479">
        <f>'Hodnocení '!CY136</f>
        <v>0</v>
      </c>
      <c r="CZ140" s="479">
        <f>'Hodnocení '!CZ136</f>
        <v>0</v>
      </c>
      <c r="DA140" s="479">
        <f>'Hodnocení '!DA136</f>
        <v>0</v>
      </c>
      <c r="DB140" s="479">
        <f>'Hodnocení '!DB136</f>
        <v>0</v>
      </c>
      <c r="DC140" s="479">
        <f>'Hodnocení '!DC136</f>
        <v>0</v>
      </c>
      <c r="DD140" s="479">
        <f>'Hodnocení '!DD136</f>
        <v>0</v>
      </c>
      <c r="DE140" s="479">
        <f>'Hodnocení '!DE136</f>
        <v>0</v>
      </c>
      <c r="DF140" s="479">
        <f>'Hodnocení '!DF136</f>
        <v>3578225</v>
      </c>
      <c r="DG140" s="479">
        <f>'Hodnocení '!DG136</f>
        <v>0</v>
      </c>
      <c r="DH140" s="479">
        <f>'Hodnocení '!DH136</f>
        <v>0</v>
      </c>
      <c r="DI140" s="479">
        <f>'Hodnocení '!DI136</f>
        <v>0</v>
      </c>
      <c r="DJ140" s="479">
        <f>'Hodnocení '!DJ136</f>
        <v>0</v>
      </c>
      <c r="DK140" s="479">
        <f>'Hodnocení '!DK136</f>
        <v>0</v>
      </c>
      <c r="DL140" s="479">
        <f>'Hodnocení '!DL136</f>
        <v>0</v>
      </c>
      <c r="DM140" s="479">
        <f>'Hodnocení '!DM136</f>
        <v>0</v>
      </c>
      <c r="DN140" s="479">
        <f>'Hodnocení '!DN136</f>
        <v>0</v>
      </c>
      <c r="DO140" s="479">
        <f>'Hodnocení '!DO136</f>
        <v>0</v>
      </c>
      <c r="DP140" s="479">
        <f>'Hodnocení '!DP136</f>
        <v>0</v>
      </c>
      <c r="DQ140" s="479">
        <f>'Hodnocení '!DQ136</f>
        <v>0</v>
      </c>
      <c r="DR140" s="479">
        <f>'Hodnocení '!DR136</f>
        <v>0</v>
      </c>
      <c r="DS140" s="479">
        <f>'Hodnocení '!DS136</f>
        <v>0</v>
      </c>
      <c r="DT140" s="479">
        <f>'Hodnocení '!DT136</f>
        <v>0</v>
      </c>
      <c r="DU140" s="479">
        <f>'Hodnocení '!DU136</f>
        <v>0</v>
      </c>
      <c r="DV140" s="479">
        <f>'Hodnocení '!DV136</f>
        <v>0</v>
      </c>
      <c r="DW140" s="479">
        <f>'Hodnocení '!DW136</f>
        <v>0</v>
      </c>
      <c r="DX140" s="479">
        <f>'Hodnocení '!DX136</f>
        <v>0</v>
      </c>
      <c r="DY140" s="479">
        <f>'Hodnocení '!DY136</f>
        <v>0</v>
      </c>
      <c r="DZ140" s="479">
        <f>'Hodnocení '!DZ136</f>
        <v>0</v>
      </c>
      <c r="EA140" s="479">
        <f>'Hodnocení '!EA136</f>
        <v>0</v>
      </c>
      <c r="EB140" s="563">
        <f>'Hodnocení '!EB136</f>
        <v>1400000</v>
      </c>
      <c r="EC140" s="479">
        <f>'Hodnocení '!EC136</f>
        <v>0</v>
      </c>
      <c r="ED140" s="479">
        <f>'Hodnocení '!ED136</f>
        <v>0</v>
      </c>
      <c r="EE140" s="479">
        <f>'Hodnocení '!EE136</f>
        <v>0</v>
      </c>
      <c r="EF140" s="479">
        <f>'Hodnocení '!EF136</f>
        <v>0</v>
      </c>
      <c r="EG140" s="479">
        <f>'Hodnocení '!EG136</f>
        <v>0</v>
      </c>
      <c r="EH140" s="479">
        <f>'Hodnocení '!EH136</f>
        <v>0</v>
      </c>
      <c r="EI140" s="479">
        <f>'Hodnocení '!EI136</f>
        <v>0</v>
      </c>
      <c r="EJ140" s="479">
        <f>'Hodnocení '!EJ136</f>
        <v>0</v>
      </c>
      <c r="EK140" s="479">
        <f>'Hodnocení '!EK136</f>
        <v>0</v>
      </c>
      <c r="EL140" s="479">
        <f>'Hodnocení '!EL136</f>
        <v>0</v>
      </c>
      <c r="EM140" s="479">
        <f>'Hodnocení '!EM136</f>
        <v>0</v>
      </c>
      <c r="EN140" s="479">
        <f>'Hodnocení '!EN136</f>
        <v>0</v>
      </c>
      <c r="EO140" s="479">
        <f>'Hodnocení '!EO136</f>
        <v>0</v>
      </c>
      <c r="EP140" s="479">
        <f>'Hodnocení '!EP136</f>
        <v>0</v>
      </c>
      <c r="EQ140" s="479">
        <f>'Hodnocení '!EQ136</f>
        <v>0</v>
      </c>
      <c r="ER140" s="479">
        <f>'Hodnocení '!ER136</f>
        <v>0</v>
      </c>
      <c r="ES140" s="479">
        <f>'Hodnocení '!ES136</f>
        <v>0</v>
      </c>
      <c r="ET140" s="479">
        <f>'Hodnocení '!ET136</f>
        <v>0</v>
      </c>
      <c r="EU140" s="479">
        <f>'Hodnocení '!EU136</f>
        <v>0</v>
      </c>
      <c r="EV140" s="479">
        <f>'Hodnocení '!EV136</f>
        <v>0</v>
      </c>
      <c r="EW140" s="479">
        <f>'Hodnocení '!EW136</f>
        <v>0</v>
      </c>
      <c r="EX140" s="479">
        <f>'Hodnocení '!EX136</f>
        <v>0</v>
      </c>
      <c r="EY140" s="479">
        <f>'Hodnocení '!EY136</f>
        <v>0</v>
      </c>
      <c r="EZ140" s="479">
        <f>'Hodnocení '!EZ136</f>
        <v>0</v>
      </c>
      <c r="FA140" s="479">
        <f>'Hodnocení '!FA136</f>
        <v>0</v>
      </c>
      <c r="FB140" s="479">
        <f>'Hodnocení '!FB136</f>
        <v>0</v>
      </c>
      <c r="FC140" s="479">
        <f>'Hodnocení '!FC136</f>
        <v>0</v>
      </c>
      <c r="FD140" s="479">
        <f>'Hodnocení '!FD136</f>
        <v>0</v>
      </c>
      <c r="FE140" s="479">
        <f>'Hodnocení '!FE136</f>
        <v>0</v>
      </c>
      <c r="FF140" s="479">
        <f>'Hodnocení '!FF136</f>
        <v>0</v>
      </c>
      <c r="FG140" s="479">
        <f>'Hodnocení '!FG136</f>
        <v>0</v>
      </c>
      <c r="FH140" s="479">
        <f>'Hodnocení '!FH136</f>
        <v>0</v>
      </c>
      <c r="FI140" s="479">
        <f>'Hodnocení '!FI136</f>
        <v>0</v>
      </c>
      <c r="FJ140" s="479">
        <f>'Hodnocení '!FJ136</f>
        <v>0</v>
      </c>
      <c r="FK140" s="479">
        <f>'Hodnocení '!FK136</f>
        <v>0</v>
      </c>
      <c r="FL140" s="479">
        <f>'Hodnocení '!FL136</f>
        <v>0</v>
      </c>
      <c r="FM140" s="479">
        <f>'Hodnocení '!FM136</f>
        <v>0</v>
      </c>
      <c r="FN140" s="479">
        <f>'Hodnocení '!FN136</f>
        <v>0</v>
      </c>
      <c r="FO140" s="479">
        <f>'Hodnocení '!FO136</f>
        <v>0</v>
      </c>
      <c r="FP140" s="479">
        <f>'Hodnocení '!FP136</f>
        <v>0</v>
      </c>
      <c r="FQ140" s="479">
        <f>'Hodnocení '!FQ136</f>
        <v>0</v>
      </c>
      <c r="FR140" s="479">
        <f>'Hodnocení '!FR136</f>
        <v>0</v>
      </c>
      <c r="FS140" s="479">
        <f>'Hodnocení '!FS136</f>
        <v>0</v>
      </c>
      <c r="FT140" s="479">
        <f>'Hodnocení '!FT136</f>
        <v>0</v>
      </c>
      <c r="FU140" s="479">
        <f>'Hodnocení '!FU136</f>
        <v>0</v>
      </c>
      <c r="FV140" s="479">
        <f>'Hodnocení '!FV136</f>
        <v>0</v>
      </c>
      <c r="FW140" s="479">
        <f>'Hodnocení '!FW136</f>
        <v>0</v>
      </c>
      <c r="FX140" s="479">
        <f>'Hodnocení '!FX136</f>
        <v>0</v>
      </c>
      <c r="FY140" s="479">
        <f>'Hodnocení '!FY136</f>
        <v>0</v>
      </c>
      <c r="FZ140" s="479">
        <f>'Hodnocení '!FZ136</f>
        <v>0</v>
      </c>
      <c r="GA140" s="479">
        <f>'Hodnocení '!GA136</f>
        <v>0</v>
      </c>
      <c r="GB140" s="479">
        <f>'Hodnocení '!GB136</f>
        <v>0</v>
      </c>
      <c r="GC140" s="479">
        <f>'Hodnocení '!GC136</f>
        <v>0</v>
      </c>
      <c r="GD140" s="479">
        <f>'Hodnocení '!GD136</f>
        <v>0</v>
      </c>
      <c r="GE140" s="479">
        <f>'Hodnocení '!GE136</f>
        <v>0</v>
      </c>
      <c r="GF140" s="479">
        <f>'Hodnocení '!GF136</f>
        <v>0</v>
      </c>
      <c r="GG140" s="479">
        <f>'Hodnocení '!GG136</f>
        <v>0</v>
      </c>
      <c r="GH140" s="479">
        <f>'Hodnocení '!GH136</f>
        <v>0</v>
      </c>
      <c r="GI140" s="479">
        <f>'Hodnocení '!GI136</f>
        <v>0</v>
      </c>
      <c r="GJ140" s="479">
        <f>'Hodnocení '!GJ136</f>
        <v>0</v>
      </c>
      <c r="GK140" s="479">
        <f>'Hodnocení '!GK136</f>
        <v>0</v>
      </c>
      <c r="GL140" s="479">
        <f>'Hodnocení '!GL136</f>
        <v>0</v>
      </c>
      <c r="GM140" s="479">
        <f>'Hodnocení '!GM136</f>
        <v>0</v>
      </c>
      <c r="GN140" s="479">
        <f>'Hodnocení '!GN136</f>
        <v>0</v>
      </c>
      <c r="GO140" s="479">
        <f>'Hodnocení '!GO136</f>
        <v>0</v>
      </c>
      <c r="GP140" s="479">
        <f>'Hodnocení '!GP136</f>
        <v>0</v>
      </c>
      <c r="GQ140" s="479">
        <f>'Hodnocení '!GQ136</f>
        <v>0</v>
      </c>
      <c r="GR140" s="479">
        <f>'Hodnocení '!GR136</f>
        <v>0</v>
      </c>
      <c r="GS140" s="479">
        <f>'Hodnocení '!GS136</f>
        <v>0</v>
      </c>
      <c r="GT140" s="479">
        <f>'Hodnocení '!GT136</f>
        <v>0</v>
      </c>
      <c r="GU140" s="479">
        <f>'Hodnocení '!GU136</f>
        <v>0</v>
      </c>
      <c r="GV140" s="479">
        <f>'Hodnocení '!GV136</f>
        <v>0</v>
      </c>
      <c r="GW140" s="479">
        <f>'Hodnocení '!GW136</f>
        <v>0</v>
      </c>
      <c r="GX140" s="479">
        <f>'Hodnocení '!GX136</f>
        <v>0</v>
      </c>
      <c r="GY140" s="479">
        <f>'Hodnocení '!GY136</f>
        <v>0</v>
      </c>
      <c r="GZ140" s="479">
        <f>'Hodnocení '!GZ136</f>
        <v>0</v>
      </c>
      <c r="HA140" s="479">
        <f>'Hodnocení '!HA136</f>
        <v>0</v>
      </c>
      <c r="HB140" s="479">
        <f>'Hodnocení '!HB136</f>
        <v>0</v>
      </c>
      <c r="HC140" s="479">
        <f>'Hodnocení '!HC136</f>
        <v>0</v>
      </c>
      <c r="HD140" s="479">
        <f>'Hodnocení '!HD136</f>
        <v>0</v>
      </c>
      <c r="HE140" s="479">
        <f>'Hodnocení '!HE136</f>
        <v>0</v>
      </c>
      <c r="HF140" s="479">
        <f>'Hodnocení '!HF136</f>
        <v>0</v>
      </c>
      <c r="HG140" s="479">
        <f>'Hodnocení '!HG136</f>
        <v>0</v>
      </c>
      <c r="HH140" s="479">
        <f>'Hodnocení '!HH136</f>
        <v>0</v>
      </c>
      <c r="HI140" s="479">
        <f>'Hodnocení '!HI136</f>
        <v>0</v>
      </c>
      <c r="HJ140" s="479">
        <f>'Hodnocení '!HJ136</f>
        <v>0</v>
      </c>
      <c r="HK140" s="479">
        <f>'Hodnocení '!HK136</f>
        <v>0</v>
      </c>
      <c r="HL140" s="479">
        <f>'Hodnocení '!HL136</f>
        <v>0</v>
      </c>
      <c r="HM140" s="479">
        <f>'Hodnocení '!HM136</f>
        <v>0</v>
      </c>
      <c r="HN140" s="479">
        <f>'Hodnocení '!HN136</f>
        <v>0</v>
      </c>
      <c r="HO140" s="479">
        <f>'Hodnocení '!HO136</f>
        <v>0</v>
      </c>
      <c r="HP140" s="479">
        <f>'Hodnocení '!HP136</f>
        <v>0</v>
      </c>
      <c r="HQ140" s="479">
        <f>'Hodnocení '!HQ136</f>
        <v>0</v>
      </c>
      <c r="HR140" s="479">
        <f>'Hodnocení '!HR136</f>
        <v>0</v>
      </c>
      <c r="HS140" s="479">
        <f>'Hodnocení '!HS136</f>
        <v>0</v>
      </c>
      <c r="HT140" s="479">
        <f>'Hodnocení '!HT136</f>
        <v>0</v>
      </c>
      <c r="HU140" s="479">
        <f>'Hodnocení '!HU136</f>
        <v>0</v>
      </c>
      <c r="HV140" s="479">
        <f>'Hodnocení '!HV136</f>
        <v>0</v>
      </c>
      <c r="HW140" s="479">
        <f>'Hodnocení '!HW136</f>
        <v>59840</v>
      </c>
      <c r="HX140" s="479">
        <f>'Hodnocení '!HX136</f>
        <v>314160</v>
      </c>
      <c r="HY140" s="479">
        <f>'Hodnocení '!HY136</f>
        <v>0</v>
      </c>
      <c r="HZ140" s="479">
        <f>'Hodnocení '!HZ136</f>
        <v>0</v>
      </c>
      <c r="IA140" s="479">
        <f>'Hodnocení '!IA136</f>
        <v>0</v>
      </c>
      <c r="IB140" s="479">
        <f>'Hodnocení '!IB136</f>
        <v>0</v>
      </c>
      <c r="IC140" s="479">
        <f>'Hodnocení '!IC136</f>
        <v>0</v>
      </c>
      <c r="ID140" s="479">
        <f>'Hodnocení '!ID136</f>
        <v>0</v>
      </c>
      <c r="IE140" s="479">
        <f>'Hodnocení '!IE136</f>
        <v>0</v>
      </c>
      <c r="IF140" s="479">
        <f>'Hodnocení '!IF136</f>
        <v>0</v>
      </c>
      <c r="IG140" s="479">
        <f>'Hodnocení '!IG136</f>
        <v>0</v>
      </c>
      <c r="IH140" s="479">
        <f>'Hodnocení '!IH136</f>
        <v>0</v>
      </c>
      <c r="II140" s="479">
        <f>'Hodnocení '!II136</f>
        <v>0</v>
      </c>
      <c r="IJ140" s="479">
        <f>'Hodnocení '!IJ136</f>
        <v>0</v>
      </c>
      <c r="IK140" s="479">
        <f>'Hodnocení '!IK136</f>
        <v>0</v>
      </c>
      <c r="IL140" s="479">
        <f>'Hodnocení '!IL136</f>
        <v>0</v>
      </c>
      <c r="IM140" s="479">
        <f>'Hodnocení '!IM136</f>
        <v>1040</v>
      </c>
      <c r="IN140" s="479">
        <f>'Hodnocení '!IN136</f>
        <v>21060</v>
      </c>
      <c r="IO140" s="479">
        <f>'Hodnocení '!IO136</f>
        <v>3900</v>
      </c>
      <c r="IP140" s="479">
        <f>'Hodnocení '!IP136</f>
        <v>0</v>
      </c>
      <c r="IQ140" s="479">
        <f>'Hodnocení '!IQ136</f>
        <v>0</v>
      </c>
      <c r="IR140" s="479">
        <f>'Hodnocení '!IR136</f>
        <v>0</v>
      </c>
      <c r="IS140" s="479">
        <f>'Hodnocení '!IS136</f>
        <v>0</v>
      </c>
      <c r="IT140" s="479">
        <f>'Hodnocení '!IT136</f>
        <v>0</v>
      </c>
      <c r="IU140" s="479">
        <f>'Hodnocení '!IU136</f>
        <v>0</v>
      </c>
      <c r="IV140" s="479">
        <f>'Hodnocení '!IV136</f>
        <v>0</v>
      </c>
      <c r="IW140" s="479">
        <f>'Hodnocení '!IW136</f>
        <v>0</v>
      </c>
      <c r="IX140" s="479">
        <f>'Hodnocení '!IX136</f>
        <v>0</v>
      </c>
      <c r="IY140" s="479">
        <f>'Hodnocení '!IY136</f>
        <v>0</v>
      </c>
      <c r="IZ140" s="479">
        <f>'Hodnocení '!IZ136</f>
        <v>0</v>
      </c>
      <c r="JA140" s="479">
        <f>'Hodnocení '!JA136</f>
        <v>0</v>
      </c>
      <c r="JB140" s="479">
        <f>'Hodnocení '!JB136</f>
        <v>465400</v>
      </c>
      <c r="JC140" s="479">
        <f>'Hodnocení '!JC136</f>
        <v>0</v>
      </c>
      <c r="JD140" s="479">
        <f>'Hodnocení '!JD136</f>
        <v>3908439</v>
      </c>
      <c r="JE140" s="479">
        <f>'Hodnocení '!JE136</f>
        <v>0</v>
      </c>
      <c r="JF140" s="479">
        <f>'Hodnocení '!JF136</f>
        <v>0</v>
      </c>
      <c r="JG140" s="479">
        <f>'Hodnocení '!JG136</f>
        <v>0</v>
      </c>
      <c r="JH140" s="780">
        <f>'Hodnocení '!JH136</f>
        <v>0</v>
      </c>
      <c r="JI140" s="470">
        <f>'Hodnocení '!JI136</f>
        <v>12544064</v>
      </c>
    </row>
    <row r="141" spans="1:276" s="307" customFormat="1" hidden="1" x14ac:dyDescent="0.25">
      <c r="A141" s="314">
        <v>466</v>
      </c>
      <c r="B141" s="743" t="s">
        <v>67</v>
      </c>
      <c r="C141" s="779">
        <f>'Hodnocení '!C137</f>
        <v>0</v>
      </c>
      <c r="D141" s="479">
        <f>'Hodnocení '!D137</f>
        <v>0</v>
      </c>
      <c r="E141" s="479">
        <f>'Hodnocení '!E137</f>
        <v>0</v>
      </c>
      <c r="F141" s="479">
        <f>'Hodnocení '!F137</f>
        <v>0</v>
      </c>
      <c r="G141" s="479">
        <f>'Hodnocení '!G137</f>
        <v>0</v>
      </c>
      <c r="H141" s="479">
        <f>'Hodnocení '!H137</f>
        <v>0</v>
      </c>
      <c r="I141" s="479">
        <f>'Hodnocení '!I137</f>
        <v>0</v>
      </c>
      <c r="J141" s="479">
        <f>'Hodnocení '!J137</f>
        <v>0</v>
      </c>
      <c r="K141" s="479">
        <f>'Hodnocení '!K137</f>
        <v>0</v>
      </c>
      <c r="L141" s="479">
        <f>'Hodnocení '!L137</f>
        <v>0</v>
      </c>
      <c r="M141" s="479">
        <f>'Hodnocení '!M137</f>
        <v>0</v>
      </c>
      <c r="N141" s="479">
        <f>'Hodnocení '!N137</f>
        <v>0</v>
      </c>
      <c r="O141" s="479">
        <f>'Hodnocení '!O137</f>
        <v>0</v>
      </c>
      <c r="P141" s="479">
        <f>'Hodnocení '!P137</f>
        <v>0</v>
      </c>
      <c r="Q141" s="479">
        <f>'Hodnocení '!Q137</f>
        <v>0</v>
      </c>
      <c r="R141" s="479">
        <f>'Hodnocení '!R137</f>
        <v>0</v>
      </c>
      <c r="S141" s="479">
        <f>'Hodnocení '!S137</f>
        <v>0</v>
      </c>
      <c r="T141" s="479">
        <f>'Hodnocení '!T137</f>
        <v>0</v>
      </c>
      <c r="U141" s="479">
        <f>'Hodnocení '!U137</f>
        <v>0</v>
      </c>
      <c r="V141" s="479">
        <f>'Hodnocení '!V137</f>
        <v>0</v>
      </c>
      <c r="W141" s="479">
        <f>'Hodnocení '!W137</f>
        <v>0</v>
      </c>
      <c r="X141" s="479">
        <f>'Hodnocení '!X137</f>
        <v>0</v>
      </c>
      <c r="Y141" s="479">
        <f>'Hodnocení '!Y137</f>
        <v>0</v>
      </c>
      <c r="Z141" s="479">
        <f>'Hodnocení '!Z137</f>
        <v>0</v>
      </c>
      <c r="AA141" s="479">
        <f>'Hodnocení '!AA137</f>
        <v>0</v>
      </c>
      <c r="AB141" s="479">
        <f>'Hodnocení '!AB137</f>
        <v>0</v>
      </c>
      <c r="AC141" s="479">
        <f>'Hodnocení '!AC137</f>
        <v>0</v>
      </c>
      <c r="AD141" s="479">
        <f>'Hodnocení '!AD137</f>
        <v>0</v>
      </c>
      <c r="AE141" s="479">
        <f>'Hodnocení '!AE137</f>
        <v>0</v>
      </c>
      <c r="AF141" s="479">
        <f>'Hodnocení '!AF137</f>
        <v>0</v>
      </c>
      <c r="AG141" s="479">
        <f>'Hodnocení '!AG137</f>
        <v>0</v>
      </c>
      <c r="AH141" s="479">
        <f>'Hodnocení '!AH137</f>
        <v>0</v>
      </c>
      <c r="AI141" s="479">
        <f>'Hodnocení '!AI137</f>
        <v>0</v>
      </c>
      <c r="AJ141" s="479">
        <f>'Hodnocení '!AJ137</f>
        <v>0</v>
      </c>
      <c r="AK141" s="479">
        <f>'Hodnocení '!AK137</f>
        <v>0</v>
      </c>
      <c r="AL141" s="479">
        <f>'Hodnocení '!AL137</f>
        <v>0</v>
      </c>
      <c r="AM141" s="479">
        <f>'Hodnocení '!AM137</f>
        <v>0</v>
      </c>
      <c r="AN141" s="479">
        <f>'Hodnocení '!AN137</f>
        <v>0</v>
      </c>
      <c r="AO141" s="479">
        <f>'Hodnocení '!AO137</f>
        <v>0</v>
      </c>
      <c r="AP141" s="479">
        <f>'Hodnocení '!AP137</f>
        <v>0</v>
      </c>
      <c r="AQ141" s="479">
        <f>'Hodnocení '!AQ137</f>
        <v>0</v>
      </c>
      <c r="AR141" s="479">
        <f>'Hodnocení '!AR137</f>
        <v>0</v>
      </c>
      <c r="AS141" s="479">
        <f>'Hodnocení '!AS137</f>
        <v>0</v>
      </c>
      <c r="AT141" s="479">
        <f>'Hodnocení '!AT137</f>
        <v>0</v>
      </c>
      <c r="AU141" s="479">
        <f>'Hodnocení '!AU137</f>
        <v>0</v>
      </c>
      <c r="AV141" s="479">
        <f>'Hodnocení '!AV137</f>
        <v>0</v>
      </c>
      <c r="AW141" s="479">
        <f>'Hodnocení '!AW137</f>
        <v>0</v>
      </c>
      <c r="AX141" s="479">
        <f>'Hodnocení '!AX137</f>
        <v>0</v>
      </c>
      <c r="AY141" s="479">
        <f>'Hodnocení '!AY137</f>
        <v>0</v>
      </c>
      <c r="AZ141" s="479">
        <f>'Hodnocení '!AZ137</f>
        <v>0</v>
      </c>
      <c r="BA141" s="479">
        <f>'Hodnocení '!BA137</f>
        <v>0</v>
      </c>
      <c r="BB141" s="479">
        <f>'Hodnocení '!BB137</f>
        <v>0</v>
      </c>
      <c r="BC141" s="479">
        <f>'Hodnocení '!BC137</f>
        <v>0</v>
      </c>
      <c r="BD141" s="479">
        <f>'Hodnocení '!BD137</f>
        <v>0</v>
      </c>
      <c r="BE141" s="479">
        <f>'Hodnocení '!BE137</f>
        <v>0</v>
      </c>
      <c r="BF141" s="479">
        <f>'Hodnocení '!BF137</f>
        <v>0</v>
      </c>
      <c r="BG141" s="479">
        <f>'Hodnocení '!BG137</f>
        <v>0</v>
      </c>
      <c r="BH141" s="479">
        <f>'Hodnocení '!BH137</f>
        <v>0</v>
      </c>
      <c r="BI141" s="479">
        <f>'Hodnocení '!BI137</f>
        <v>0</v>
      </c>
      <c r="BJ141" s="479">
        <f>'Hodnocení '!BJ137</f>
        <v>0</v>
      </c>
      <c r="BK141" s="479">
        <f>'Hodnocení '!BK137</f>
        <v>0</v>
      </c>
      <c r="BL141" s="479">
        <f>'Hodnocení '!BL137</f>
        <v>0</v>
      </c>
      <c r="BM141" s="479">
        <f>'Hodnocení '!BM137</f>
        <v>623790</v>
      </c>
      <c r="BN141" s="479">
        <f>'Hodnocení '!BN137</f>
        <v>0</v>
      </c>
      <c r="BO141" s="479">
        <f>'Hodnocení '!BO137</f>
        <v>0</v>
      </c>
      <c r="BP141" s="479">
        <f>'Hodnocení '!BP137</f>
        <v>0</v>
      </c>
      <c r="BQ141" s="479">
        <f>'Hodnocení '!BQ137</f>
        <v>805234</v>
      </c>
      <c r="BR141" s="479">
        <f>'Hodnocení '!BR137</f>
        <v>0</v>
      </c>
      <c r="BS141" s="479">
        <f>'Hodnocení '!BS137</f>
        <v>0</v>
      </c>
      <c r="BT141" s="479">
        <f>'Hodnocení '!BT137</f>
        <v>0</v>
      </c>
      <c r="BU141" s="479">
        <f>'Hodnocení '!BU137</f>
        <v>0</v>
      </c>
      <c r="BV141" s="479">
        <f>'Hodnocení '!BV137</f>
        <v>0</v>
      </c>
      <c r="BW141" s="479">
        <f>'Hodnocení '!BW137</f>
        <v>0</v>
      </c>
      <c r="BX141" s="479">
        <f>'Hodnocení '!BX137</f>
        <v>0</v>
      </c>
      <c r="BY141" s="479">
        <f>'Hodnocení '!BY137</f>
        <v>0</v>
      </c>
      <c r="BZ141" s="479">
        <f>'Hodnocení '!BZ137</f>
        <v>0</v>
      </c>
      <c r="CA141" s="479">
        <f>'Hodnocení '!CA137</f>
        <v>0</v>
      </c>
      <c r="CB141" s="479">
        <f>'Hodnocení '!CB137</f>
        <v>0</v>
      </c>
      <c r="CC141" s="479">
        <f>'Hodnocení '!CC137</f>
        <v>16324</v>
      </c>
      <c r="CD141" s="479">
        <f>'Hodnocení '!CD137</f>
        <v>14000</v>
      </c>
      <c r="CE141" s="479">
        <f>'Hodnocení '!CE137</f>
        <v>0</v>
      </c>
      <c r="CF141" s="479">
        <f>'Hodnocení '!CF137</f>
        <v>0</v>
      </c>
      <c r="CG141" s="479">
        <f>'Hodnocení '!CG137</f>
        <v>156324</v>
      </c>
      <c r="CH141" s="479">
        <f>'Hodnocení '!CH137</f>
        <v>30330</v>
      </c>
      <c r="CI141" s="479">
        <f>'Hodnocení '!CI137</f>
        <v>16324</v>
      </c>
      <c r="CJ141" s="479">
        <f>'Hodnocení '!CJ137</f>
        <v>59775</v>
      </c>
      <c r="CK141" s="479">
        <f>'Hodnocení '!CK137</f>
        <v>32000</v>
      </c>
      <c r="CL141" s="479">
        <f>'Hodnocení '!CL137</f>
        <v>53270</v>
      </c>
      <c r="CM141" s="479">
        <f>'Hodnocení '!CM137</f>
        <v>0</v>
      </c>
      <c r="CN141" s="479">
        <f>'Hodnocení '!CN137</f>
        <v>0</v>
      </c>
      <c r="CO141" s="479">
        <f>'Hodnocení '!CO137</f>
        <v>0</v>
      </c>
      <c r="CP141" s="479">
        <f>'Hodnocení '!CP137</f>
        <v>0</v>
      </c>
      <c r="CQ141" s="479">
        <f>'Hodnocení '!CQ137</f>
        <v>0</v>
      </c>
      <c r="CR141" s="479">
        <f>'Hodnocení '!CR137</f>
        <v>0</v>
      </c>
      <c r="CS141" s="479">
        <f>'Hodnocení '!CS137</f>
        <v>0</v>
      </c>
      <c r="CT141" s="479">
        <f>'Hodnocení '!CT137</f>
        <v>0</v>
      </c>
      <c r="CU141" s="479">
        <f>'Hodnocení '!CU137</f>
        <v>0</v>
      </c>
      <c r="CV141" s="479">
        <f>'Hodnocení '!CV137</f>
        <v>0</v>
      </c>
      <c r="CW141" s="479">
        <f>'Hodnocení '!CW137</f>
        <v>0</v>
      </c>
      <c r="CX141" s="479">
        <f>'Hodnocení '!CX137</f>
        <v>0</v>
      </c>
      <c r="CY141" s="479">
        <f>'Hodnocení '!CY137</f>
        <v>0</v>
      </c>
      <c r="CZ141" s="479">
        <f>'Hodnocení '!CZ137</f>
        <v>0</v>
      </c>
      <c r="DA141" s="479">
        <f>'Hodnocení '!DA137</f>
        <v>0</v>
      </c>
      <c r="DB141" s="479">
        <f>'Hodnocení '!DB137</f>
        <v>0</v>
      </c>
      <c r="DC141" s="479">
        <f>'Hodnocení '!DC137</f>
        <v>0</v>
      </c>
      <c r="DD141" s="479">
        <f>'Hodnocení '!DD137</f>
        <v>0</v>
      </c>
      <c r="DE141" s="479">
        <f>'Hodnocení '!DE137</f>
        <v>0</v>
      </c>
      <c r="DF141" s="479">
        <f>'Hodnocení '!DF137</f>
        <v>0</v>
      </c>
      <c r="DG141" s="479">
        <f>'Hodnocení '!DG137</f>
        <v>0</v>
      </c>
      <c r="DH141" s="479">
        <f>'Hodnocení '!DH137</f>
        <v>317574</v>
      </c>
      <c r="DI141" s="479">
        <f>'Hodnocení '!DI137</f>
        <v>0</v>
      </c>
      <c r="DJ141" s="479">
        <f>'Hodnocení '!DJ137</f>
        <v>0</v>
      </c>
      <c r="DK141" s="479">
        <f>'Hodnocení '!DK137</f>
        <v>0</v>
      </c>
      <c r="DL141" s="479">
        <f>'Hodnocení '!DL137</f>
        <v>0</v>
      </c>
      <c r="DM141" s="479">
        <f>'Hodnocení '!DM137</f>
        <v>0</v>
      </c>
      <c r="DN141" s="479">
        <f>'Hodnocení '!DN137</f>
        <v>0</v>
      </c>
      <c r="DO141" s="479">
        <f>'Hodnocení '!DO137</f>
        <v>0</v>
      </c>
      <c r="DP141" s="479">
        <f>'Hodnocení '!DP137</f>
        <v>0</v>
      </c>
      <c r="DQ141" s="479">
        <f>'Hodnocení '!DQ137</f>
        <v>0</v>
      </c>
      <c r="DR141" s="479">
        <f>'Hodnocení '!DR137</f>
        <v>0</v>
      </c>
      <c r="DS141" s="479">
        <f>'Hodnocení '!DS137</f>
        <v>0</v>
      </c>
      <c r="DT141" s="479">
        <f>'Hodnocení '!DT137</f>
        <v>0</v>
      </c>
      <c r="DU141" s="479">
        <f>'Hodnocení '!DU137</f>
        <v>0</v>
      </c>
      <c r="DV141" s="479">
        <f>'Hodnocení '!DV137</f>
        <v>0</v>
      </c>
      <c r="DW141" s="479">
        <f>'Hodnocení '!DW137</f>
        <v>0</v>
      </c>
      <c r="DX141" s="479">
        <f>'Hodnocení '!DX137</f>
        <v>0</v>
      </c>
      <c r="DY141" s="479">
        <f>'Hodnocení '!DY137</f>
        <v>0</v>
      </c>
      <c r="DZ141" s="479">
        <f>'Hodnocení '!DZ137</f>
        <v>0</v>
      </c>
      <c r="EA141" s="479">
        <f>'Hodnocení '!EA137</f>
        <v>0</v>
      </c>
      <c r="EB141" s="479">
        <f>'Hodnocení '!EB137</f>
        <v>0</v>
      </c>
      <c r="EC141" s="479">
        <f>'Hodnocení '!EC137</f>
        <v>0</v>
      </c>
      <c r="ED141" s="479">
        <f>'Hodnocení '!ED137</f>
        <v>0</v>
      </c>
      <c r="EE141" s="479">
        <f>'Hodnocení '!EE137</f>
        <v>0</v>
      </c>
      <c r="EF141" s="479">
        <f>'Hodnocení '!EF137</f>
        <v>0</v>
      </c>
      <c r="EG141" s="479">
        <f>'Hodnocení '!EG137</f>
        <v>0</v>
      </c>
      <c r="EH141" s="479">
        <f>'Hodnocení '!EH137</f>
        <v>0</v>
      </c>
      <c r="EI141" s="479">
        <f>'Hodnocení '!EI137</f>
        <v>0</v>
      </c>
      <c r="EJ141" s="479">
        <f>'Hodnocení '!EJ137</f>
        <v>0</v>
      </c>
      <c r="EK141" s="479">
        <f>'Hodnocení '!EK137</f>
        <v>0</v>
      </c>
      <c r="EL141" s="479">
        <f>'Hodnocení '!EL137</f>
        <v>0</v>
      </c>
      <c r="EM141" s="479">
        <f>'Hodnocení '!EM137</f>
        <v>0</v>
      </c>
      <c r="EN141" s="479">
        <f>'Hodnocení '!EN137</f>
        <v>0</v>
      </c>
      <c r="EO141" s="479">
        <f>'Hodnocení '!EO137</f>
        <v>0</v>
      </c>
      <c r="EP141" s="479">
        <f>'Hodnocení '!EP137</f>
        <v>0</v>
      </c>
      <c r="EQ141" s="479">
        <f>'Hodnocení '!EQ137</f>
        <v>0</v>
      </c>
      <c r="ER141" s="479">
        <f>'Hodnocení '!ER137</f>
        <v>0</v>
      </c>
      <c r="ES141" s="479">
        <f>'Hodnocení '!ES137</f>
        <v>0</v>
      </c>
      <c r="ET141" s="479">
        <f>'Hodnocení '!ET137</f>
        <v>0</v>
      </c>
      <c r="EU141" s="479">
        <f>'Hodnocení '!EU137</f>
        <v>0</v>
      </c>
      <c r="EV141" s="479">
        <f>'Hodnocení '!EV137</f>
        <v>0</v>
      </c>
      <c r="EW141" s="479">
        <f>'Hodnocení '!EW137</f>
        <v>0</v>
      </c>
      <c r="EX141" s="479">
        <f>'Hodnocení '!EX137</f>
        <v>0</v>
      </c>
      <c r="EY141" s="479">
        <f>'Hodnocení '!EY137</f>
        <v>0</v>
      </c>
      <c r="EZ141" s="479">
        <f>'Hodnocení '!EZ137</f>
        <v>0</v>
      </c>
      <c r="FA141" s="479">
        <f>'Hodnocení '!FA137</f>
        <v>0</v>
      </c>
      <c r="FB141" s="479">
        <f>'Hodnocení '!FB137</f>
        <v>0</v>
      </c>
      <c r="FC141" s="479">
        <f>'Hodnocení '!FC137</f>
        <v>0</v>
      </c>
      <c r="FD141" s="479">
        <f>'Hodnocení '!FD137</f>
        <v>0</v>
      </c>
      <c r="FE141" s="479">
        <f>'Hodnocení '!FE137</f>
        <v>0</v>
      </c>
      <c r="FF141" s="479">
        <f>'Hodnocení '!FF137</f>
        <v>0</v>
      </c>
      <c r="FG141" s="479">
        <f>'Hodnocení '!FG137</f>
        <v>0</v>
      </c>
      <c r="FH141" s="479">
        <f>'Hodnocení '!FH137</f>
        <v>0</v>
      </c>
      <c r="FI141" s="479">
        <f>'Hodnocení '!FI137</f>
        <v>0</v>
      </c>
      <c r="FJ141" s="479">
        <f>'Hodnocení '!FJ137</f>
        <v>0</v>
      </c>
      <c r="FK141" s="479">
        <f>'Hodnocení '!FK137</f>
        <v>0</v>
      </c>
      <c r="FL141" s="479">
        <f>'Hodnocení '!FL137</f>
        <v>0</v>
      </c>
      <c r="FM141" s="479">
        <f>'Hodnocení '!FM137</f>
        <v>0</v>
      </c>
      <c r="FN141" s="479">
        <f>'Hodnocení '!FN137</f>
        <v>0</v>
      </c>
      <c r="FO141" s="479">
        <f>'Hodnocení '!FO137</f>
        <v>0</v>
      </c>
      <c r="FP141" s="479">
        <f>'Hodnocení '!FP137</f>
        <v>0</v>
      </c>
      <c r="FQ141" s="479">
        <f>'Hodnocení '!FQ137</f>
        <v>0</v>
      </c>
      <c r="FR141" s="479">
        <f>'Hodnocení '!FR137</f>
        <v>0</v>
      </c>
      <c r="FS141" s="479">
        <f>'Hodnocení '!FS137</f>
        <v>0</v>
      </c>
      <c r="FT141" s="479">
        <f>'Hodnocení '!FT137</f>
        <v>0</v>
      </c>
      <c r="FU141" s="479">
        <f>'Hodnocení '!FU137</f>
        <v>0</v>
      </c>
      <c r="FV141" s="479">
        <f>'Hodnocení '!FV137</f>
        <v>0</v>
      </c>
      <c r="FW141" s="479">
        <f>'Hodnocení '!FW137</f>
        <v>0</v>
      </c>
      <c r="FX141" s="479">
        <f>'Hodnocení '!FX137</f>
        <v>0</v>
      </c>
      <c r="FY141" s="479">
        <f>'Hodnocení '!FY137</f>
        <v>0</v>
      </c>
      <c r="FZ141" s="479">
        <f>'Hodnocení '!FZ137</f>
        <v>0</v>
      </c>
      <c r="GA141" s="479">
        <f>'Hodnocení '!GA137</f>
        <v>0</v>
      </c>
      <c r="GB141" s="479">
        <f>'Hodnocení '!GB137</f>
        <v>0</v>
      </c>
      <c r="GC141" s="479">
        <f>'Hodnocení '!GC137</f>
        <v>0</v>
      </c>
      <c r="GD141" s="479">
        <f>'Hodnocení '!GD137</f>
        <v>0</v>
      </c>
      <c r="GE141" s="479">
        <f>'Hodnocení '!GE137</f>
        <v>0</v>
      </c>
      <c r="GF141" s="479">
        <f>'Hodnocení '!GF137</f>
        <v>0</v>
      </c>
      <c r="GG141" s="479">
        <f>'Hodnocení '!GG137</f>
        <v>0</v>
      </c>
      <c r="GH141" s="479">
        <f>'Hodnocení '!GH137</f>
        <v>0</v>
      </c>
      <c r="GI141" s="479">
        <f>'Hodnocení '!GI137</f>
        <v>0</v>
      </c>
      <c r="GJ141" s="479">
        <f>'Hodnocení '!GJ137</f>
        <v>0</v>
      </c>
      <c r="GK141" s="479">
        <f>'Hodnocení '!GK137</f>
        <v>500000</v>
      </c>
      <c r="GL141" s="479">
        <f>'Hodnocení '!GL137</f>
        <v>0</v>
      </c>
      <c r="GM141" s="479">
        <f>'Hodnocení '!GM137</f>
        <v>0</v>
      </c>
      <c r="GN141" s="479">
        <f>'Hodnocení '!GN137</f>
        <v>0</v>
      </c>
      <c r="GO141" s="479">
        <f>'Hodnocení '!GO137</f>
        <v>0</v>
      </c>
      <c r="GP141" s="479">
        <f>'Hodnocení '!GP137</f>
        <v>0</v>
      </c>
      <c r="GQ141" s="479">
        <f>'Hodnocení '!GQ137</f>
        <v>0</v>
      </c>
      <c r="GR141" s="479">
        <f>'Hodnocení '!GR137</f>
        <v>0</v>
      </c>
      <c r="GS141" s="479">
        <f>'Hodnocení '!GS137</f>
        <v>0</v>
      </c>
      <c r="GT141" s="479">
        <f>'Hodnocení '!GT137</f>
        <v>0</v>
      </c>
      <c r="GU141" s="479">
        <f>'Hodnocení '!GU137</f>
        <v>0</v>
      </c>
      <c r="GV141" s="479">
        <f>'Hodnocení '!GV137</f>
        <v>0</v>
      </c>
      <c r="GW141" s="479">
        <f>'Hodnocení '!GW137</f>
        <v>0</v>
      </c>
      <c r="GX141" s="479">
        <f>'Hodnocení '!GX137</f>
        <v>0</v>
      </c>
      <c r="GY141" s="479">
        <f>'Hodnocení '!GY137</f>
        <v>0</v>
      </c>
      <c r="GZ141" s="479">
        <f>'Hodnocení '!GZ137</f>
        <v>0</v>
      </c>
      <c r="HA141" s="479">
        <f>'Hodnocení '!HA137</f>
        <v>0</v>
      </c>
      <c r="HB141" s="479">
        <f>'Hodnocení '!HB137</f>
        <v>0</v>
      </c>
      <c r="HC141" s="479">
        <f>'Hodnocení '!HC137</f>
        <v>0</v>
      </c>
      <c r="HD141" s="479">
        <f>'Hodnocení '!HD137</f>
        <v>0</v>
      </c>
      <c r="HE141" s="479">
        <f>'Hodnocení '!HE137</f>
        <v>0</v>
      </c>
      <c r="HF141" s="479">
        <f>'Hodnocení '!HF137</f>
        <v>0</v>
      </c>
      <c r="HG141" s="479">
        <f>'Hodnocení '!HG137</f>
        <v>0</v>
      </c>
      <c r="HH141" s="479">
        <f>'Hodnocení '!HH137</f>
        <v>0</v>
      </c>
      <c r="HI141" s="479">
        <f>'Hodnocení '!HI137</f>
        <v>0</v>
      </c>
      <c r="HJ141" s="479">
        <f>'Hodnocení '!HJ137</f>
        <v>0</v>
      </c>
      <c r="HK141" s="479">
        <f>'Hodnocení '!HK137</f>
        <v>0</v>
      </c>
      <c r="HL141" s="479">
        <f>'Hodnocení '!HL137</f>
        <v>0</v>
      </c>
      <c r="HM141" s="479">
        <f>'Hodnocení '!HM137</f>
        <v>0</v>
      </c>
      <c r="HN141" s="479">
        <f>'Hodnocení '!HN137</f>
        <v>0</v>
      </c>
      <c r="HO141" s="479">
        <f>'Hodnocení '!HO137</f>
        <v>0</v>
      </c>
      <c r="HP141" s="479">
        <f>'Hodnocení '!HP137</f>
        <v>0</v>
      </c>
      <c r="HQ141" s="479">
        <f>'Hodnocení '!HQ137</f>
        <v>0</v>
      </c>
      <c r="HR141" s="479">
        <f>'Hodnocení '!HR137</f>
        <v>0</v>
      </c>
      <c r="HS141" s="479">
        <f>'Hodnocení '!HS137</f>
        <v>0</v>
      </c>
      <c r="HT141" s="479">
        <f>'Hodnocení '!HT137</f>
        <v>0</v>
      </c>
      <c r="HU141" s="479">
        <f>'Hodnocení '!HU137</f>
        <v>0</v>
      </c>
      <c r="HV141" s="479">
        <f>'Hodnocení '!HV137</f>
        <v>0</v>
      </c>
      <c r="HW141" s="479">
        <f>'Hodnocení '!HW137</f>
        <v>0</v>
      </c>
      <c r="HX141" s="479">
        <f>'Hodnocení '!HX137</f>
        <v>0</v>
      </c>
      <c r="HY141" s="479">
        <f>'Hodnocení '!HY137</f>
        <v>0</v>
      </c>
      <c r="HZ141" s="479">
        <f>'Hodnocení '!HZ137</f>
        <v>0</v>
      </c>
      <c r="IA141" s="479">
        <f>'Hodnocení '!IA137</f>
        <v>0</v>
      </c>
      <c r="IB141" s="479">
        <f>'Hodnocení '!IB137</f>
        <v>0</v>
      </c>
      <c r="IC141" s="479">
        <f>'Hodnocení '!IC137</f>
        <v>0</v>
      </c>
      <c r="ID141" s="479">
        <f>'Hodnocení '!ID137</f>
        <v>0</v>
      </c>
      <c r="IE141" s="479">
        <f>'Hodnocení '!IE137</f>
        <v>0</v>
      </c>
      <c r="IF141" s="479">
        <f>'Hodnocení '!IF137</f>
        <v>0</v>
      </c>
      <c r="IG141" s="479">
        <f>'Hodnocení '!IG137</f>
        <v>0</v>
      </c>
      <c r="IH141" s="479">
        <f>'Hodnocení '!IH137</f>
        <v>0</v>
      </c>
      <c r="II141" s="479">
        <f>'Hodnocení '!II137</f>
        <v>0</v>
      </c>
      <c r="IJ141" s="479">
        <f>'Hodnocení '!IJ137</f>
        <v>0</v>
      </c>
      <c r="IK141" s="479">
        <f>'Hodnocení '!IK137</f>
        <v>0</v>
      </c>
      <c r="IL141" s="479">
        <f>'Hodnocení '!IL137</f>
        <v>0</v>
      </c>
      <c r="IM141" s="479">
        <f>'Hodnocení '!IM137</f>
        <v>0</v>
      </c>
      <c r="IN141" s="479">
        <f>'Hodnocení '!IN137</f>
        <v>0</v>
      </c>
      <c r="IO141" s="479">
        <f>'Hodnocení '!IO137</f>
        <v>0</v>
      </c>
      <c r="IP141" s="479">
        <f>'Hodnocení '!IP137</f>
        <v>0</v>
      </c>
      <c r="IQ141" s="479">
        <f>'Hodnocení '!IQ137</f>
        <v>0</v>
      </c>
      <c r="IR141" s="479">
        <f>'Hodnocení '!IR137</f>
        <v>0</v>
      </c>
      <c r="IS141" s="479">
        <f>'Hodnocení '!IS137</f>
        <v>0</v>
      </c>
      <c r="IT141" s="479">
        <f>'Hodnocení '!IT137</f>
        <v>0</v>
      </c>
      <c r="IU141" s="479">
        <f>'Hodnocení '!IU137</f>
        <v>0</v>
      </c>
      <c r="IV141" s="479">
        <f>'Hodnocení '!IV137</f>
        <v>0</v>
      </c>
      <c r="IW141" s="479">
        <f>'Hodnocení '!IW137</f>
        <v>0</v>
      </c>
      <c r="IX141" s="479">
        <f>'Hodnocení '!IX137</f>
        <v>0</v>
      </c>
      <c r="IY141" s="479">
        <f>'Hodnocení '!IY137</f>
        <v>0</v>
      </c>
      <c r="IZ141" s="479">
        <f>'Hodnocení '!IZ137</f>
        <v>0</v>
      </c>
      <c r="JA141" s="479">
        <f>'Hodnocení '!JA137</f>
        <v>0</v>
      </c>
      <c r="JB141" s="479">
        <f>'Hodnocení '!JB137</f>
        <v>0</v>
      </c>
      <c r="JC141" s="479">
        <f>'Hodnocení '!JC137</f>
        <v>0</v>
      </c>
      <c r="JD141" s="479">
        <f>'Hodnocení '!JD137</f>
        <v>0</v>
      </c>
      <c r="JE141" s="479">
        <f>'Hodnocení '!JE137</f>
        <v>0</v>
      </c>
      <c r="JF141" s="479">
        <f>'Hodnocení '!JF137</f>
        <v>0</v>
      </c>
      <c r="JG141" s="479">
        <f>'Hodnocení '!JG137</f>
        <v>0</v>
      </c>
      <c r="JH141" s="780">
        <f>'Hodnocení '!JH137</f>
        <v>0</v>
      </c>
      <c r="JI141" s="470">
        <f>'Hodnocení '!JI137</f>
        <v>2624945</v>
      </c>
    </row>
    <row r="142" spans="1:276" hidden="1" x14ac:dyDescent="0.25">
      <c r="B142" s="733"/>
      <c r="C142" s="779">
        <f>'Hodnocení '!C138</f>
        <v>0</v>
      </c>
      <c r="D142" s="479">
        <f>'Hodnocení '!D138</f>
        <v>0</v>
      </c>
      <c r="E142" s="479">
        <f>'Hodnocení '!E138</f>
        <v>0</v>
      </c>
      <c r="F142" s="479">
        <f>'Hodnocení '!F138</f>
        <v>0</v>
      </c>
      <c r="G142" s="479">
        <f>'Hodnocení '!G138</f>
        <v>0</v>
      </c>
      <c r="H142" s="479">
        <f>'Hodnocení '!H138</f>
        <v>0</v>
      </c>
      <c r="I142" s="479">
        <f>'Hodnocení '!I138</f>
        <v>0</v>
      </c>
      <c r="J142" s="479">
        <f>'Hodnocení '!J138</f>
        <v>0</v>
      </c>
      <c r="K142" s="479">
        <f>'Hodnocení '!K138</f>
        <v>0</v>
      </c>
      <c r="L142" s="479">
        <f>'Hodnocení '!L138</f>
        <v>0</v>
      </c>
      <c r="M142" s="479">
        <f>'Hodnocení '!M138</f>
        <v>0</v>
      </c>
      <c r="N142" s="479">
        <f>'Hodnocení '!N138</f>
        <v>0</v>
      </c>
      <c r="O142" s="479">
        <f>'Hodnocení '!O138</f>
        <v>0</v>
      </c>
      <c r="P142" s="479">
        <f>'Hodnocení '!P138</f>
        <v>0</v>
      </c>
      <c r="Q142" s="479">
        <f>'Hodnocení '!Q138</f>
        <v>0</v>
      </c>
      <c r="R142" s="479">
        <f>'Hodnocení '!R138</f>
        <v>0</v>
      </c>
      <c r="S142" s="479">
        <f>'Hodnocení '!S138</f>
        <v>0</v>
      </c>
      <c r="T142" s="479">
        <f>'Hodnocení '!T138</f>
        <v>0</v>
      </c>
      <c r="U142" s="479">
        <f>'Hodnocení '!U138</f>
        <v>0</v>
      </c>
      <c r="V142" s="479">
        <f>'Hodnocení '!V138</f>
        <v>0</v>
      </c>
      <c r="W142" s="479">
        <f>'Hodnocení '!W138</f>
        <v>0</v>
      </c>
      <c r="X142" s="479">
        <f>'Hodnocení '!X138</f>
        <v>0</v>
      </c>
      <c r="Y142" s="479">
        <f>'Hodnocení '!Y138</f>
        <v>0</v>
      </c>
      <c r="Z142" s="479">
        <f>'Hodnocení '!Z138</f>
        <v>0</v>
      </c>
      <c r="AA142" s="479">
        <f>'Hodnocení '!AA138</f>
        <v>0</v>
      </c>
      <c r="AB142" s="479">
        <f>'Hodnocení '!AB138</f>
        <v>0</v>
      </c>
      <c r="AC142" s="479">
        <f>'Hodnocení '!AC138</f>
        <v>0</v>
      </c>
      <c r="AD142" s="479">
        <f>'Hodnocení '!AD138</f>
        <v>0</v>
      </c>
      <c r="AE142" s="479">
        <f>'Hodnocení '!AE138</f>
        <v>0</v>
      </c>
      <c r="AF142" s="479">
        <f>'Hodnocení '!AF138</f>
        <v>0</v>
      </c>
      <c r="AG142" s="479">
        <f>'Hodnocení '!AG138</f>
        <v>0</v>
      </c>
      <c r="AH142" s="479">
        <f>'Hodnocení '!AH138</f>
        <v>0</v>
      </c>
      <c r="AI142" s="479">
        <f>'Hodnocení '!AI138</f>
        <v>0</v>
      </c>
      <c r="AJ142" s="479">
        <f>'Hodnocení '!AJ138</f>
        <v>0</v>
      </c>
      <c r="AK142" s="479">
        <f>'Hodnocení '!AK138</f>
        <v>0</v>
      </c>
      <c r="AL142" s="479">
        <f>'Hodnocení '!AL138</f>
        <v>0</v>
      </c>
      <c r="AM142" s="479">
        <f>'Hodnocení '!AM138</f>
        <v>0</v>
      </c>
      <c r="AN142" s="479">
        <f>'Hodnocení '!AN138</f>
        <v>0</v>
      </c>
      <c r="AO142" s="479">
        <f>'Hodnocení '!AO138</f>
        <v>0</v>
      </c>
      <c r="AP142" s="479">
        <f>'Hodnocení '!AP138</f>
        <v>0</v>
      </c>
      <c r="AQ142" s="479">
        <f>'Hodnocení '!AQ138</f>
        <v>0</v>
      </c>
      <c r="AR142" s="479">
        <f>'Hodnocení '!AR138</f>
        <v>0</v>
      </c>
      <c r="AS142" s="479">
        <f>'Hodnocení '!AS138</f>
        <v>0</v>
      </c>
      <c r="AT142" s="479">
        <f>'Hodnocení '!AT138</f>
        <v>0</v>
      </c>
      <c r="AU142" s="479">
        <f>'Hodnocení '!AU138</f>
        <v>0</v>
      </c>
      <c r="AV142" s="479">
        <f>'Hodnocení '!AV138</f>
        <v>0</v>
      </c>
      <c r="AW142" s="479">
        <f>'Hodnocení '!AW138</f>
        <v>0</v>
      </c>
      <c r="AX142" s="479">
        <f>'Hodnocení '!AX138</f>
        <v>0</v>
      </c>
      <c r="AY142" s="479">
        <f>'Hodnocení '!AY138</f>
        <v>0</v>
      </c>
      <c r="AZ142" s="479">
        <f>'Hodnocení '!AZ138</f>
        <v>0</v>
      </c>
      <c r="BA142" s="479">
        <f>'Hodnocení '!BA138</f>
        <v>0</v>
      </c>
      <c r="BB142" s="479">
        <f>'Hodnocení '!BB138</f>
        <v>0</v>
      </c>
      <c r="BC142" s="479">
        <f>'Hodnocení '!BC138</f>
        <v>0</v>
      </c>
      <c r="BD142" s="479">
        <f>'Hodnocení '!BD138</f>
        <v>0</v>
      </c>
      <c r="BE142" s="479">
        <f>'Hodnocení '!BE138</f>
        <v>0</v>
      </c>
      <c r="BF142" s="479">
        <f>'Hodnocení '!BF138</f>
        <v>972000</v>
      </c>
      <c r="BG142" s="479">
        <f>'Hodnocení '!BG138</f>
        <v>840000</v>
      </c>
      <c r="BH142" s="479">
        <f>'Hodnocení '!BH138</f>
        <v>980000</v>
      </c>
      <c r="BI142" s="479">
        <f>'Hodnocení '!BI138</f>
        <v>1100000</v>
      </c>
      <c r="BJ142" s="479">
        <f>'Hodnocení '!BJ138</f>
        <v>0</v>
      </c>
      <c r="BK142" s="479">
        <f>'Hodnocení '!BK138</f>
        <v>0</v>
      </c>
      <c r="BL142" s="479">
        <f>'Hodnocení '!BL138</f>
        <v>0</v>
      </c>
      <c r="BM142" s="479">
        <f>'Hodnocení '!BM138</f>
        <v>623790</v>
      </c>
      <c r="BN142" s="479">
        <f>'Hodnocení '!BN138</f>
        <v>0</v>
      </c>
      <c r="BO142" s="479">
        <f>'Hodnocení '!BO138</f>
        <v>0</v>
      </c>
      <c r="BP142" s="479">
        <f>'Hodnocení '!BP138</f>
        <v>0</v>
      </c>
      <c r="BQ142" s="479">
        <f>'Hodnocení '!BQ138</f>
        <v>805234</v>
      </c>
      <c r="BR142" s="479">
        <f>'Hodnocení '!BR138</f>
        <v>0</v>
      </c>
      <c r="BS142" s="479">
        <f>'Hodnocení '!BS138</f>
        <v>0</v>
      </c>
      <c r="BT142" s="479">
        <f>'Hodnocení '!BT138</f>
        <v>0</v>
      </c>
      <c r="BU142" s="479">
        <f>'Hodnocení '!BU138</f>
        <v>0</v>
      </c>
      <c r="BV142" s="479">
        <f>'Hodnocení '!BV138</f>
        <v>0</v>
      </c>
      <c r="BW142" s="479">
        <f>'Hodnocení '!BW138</f>
        <v>0</v>
      </c>
      <c r="BX142" s="479">
        <f>'Hodnocení '!BX138</f>
        <v>0</v>
      </c>
      <c r="BY142" s="479">
        <f>'Hodnocení '!BY138</f>
        <v>0</v>
      </c>
      <c r="BZ142" s="479">
        <f>'Hodnocení '!BZ138</f>
        <v>0</v>
      </c>
      <c r="CA142" s="479">
        <f>'Hodnocení '!CA138</f>
        <v>0</v>
      </c>
      <c r="CB142" s="479">
        <f>'Hodnocení '!CB138</f>
        <v>0</v>
      </c>
      <c r="CC142" s="479">
        <f>'Hodnocení '!CC138</f>
        <v>16324</v>
      </c>
      <c r="CD142" s="479">
        <f>'Hodnocení '!CD138</f>
        <v>14000</v>
      </c>
      <c r="CE142" s="479">
        <f>'Hodnocení '!CE138</f>
        <v>0</v>
      </c>
      <c r="CF142" s="479">
        <f>'Hodnocení '!CF138</f>
        <v>0</v>
      </c>
      <c r="CG142" s="479">
        <f>'Hodnocení '!CG138</f>
        <v>246324</v>
      </c>
      <c r="CH142" s="479">
        <f>'Hodnocení '!CH138</f>
        <v>30330</v>
      </c>
      <c r="CI142" s="479">
        <f>'Hodnocení '!CI138</f>
        <v>16324</v>
      </c>
      <c r="CJ142" s="479">
        <f>'Hodnocení '!CJ138</f>
        <v>59775</v>
      </c>
      <c r="CK142" s="479">
        <f>'Hodnocení '!CK138</f>
        <v>32000</v>
      </c>
      <c r="CL142" s="479">
        <f>'Hodnocení '!CL138</f>
        <v>53270</v>
      </c>
      <c r="CM142" s="479">
        <f>'Hodnocení '!CM138</f>
        <v>0</v>
      </c>
      <c r="CN142" s="479">
        <f>'Hodnocení '!CN138</f>
        <v>0</v>
      </c>
      <c r="CO142" s="479">
        <f>'Hodnocení '!CO138</f>
        <v>0</v>
      </c>
      <c r="CP142" s="479">
        <f>'Hodnocení '!CP138</f>
        <v>0</v>
      </c>
      <c r="CQ142" s="479">
        <f>'Hodnocení '!CQ138</f>
        <v>0</v>
      </c>
      <c r="CR142" s="479">
        <f>'Hodnocení '!CR138</f>
        <v>0</v>
      </c>
      <c r="CS142" s="479">
        <f>'Hodnocení '!CS138</f>
        <v>0</v>
      </c>
      <c r="CT142" s="479">
        <f>'Hodnocení '!CT138</f>
        <v>0</v>
      </c>
      <c r="CU142" s="479">
        <f>'Hodnocení '!CU138</f>
        <v>0</v>
      </c>
      <c r="CV142" s="479">
        <f>'Hodnocení '!CV138</f>
        <v>0</v>
      </c>
      <c r="CW142" s="479">
        <f>'Hodnocení '!CW138</f>
        <v>0</v>
      </c>
      <c r="CX142" s="479">
        <f>'Hodnocení '!CX138</f>
        <v>0</v>
      </c>
      <c r="CY142" s="479">
        <f>'Hodnocení '!CY138</f>
        <v>0</v>
      </c>
      <c r="CZ142" s="479">
        <f>'Hodnocení '!CZ138</f>
        <v>0</v>
      </c>
      <c r="DA142" s="479">
        <f>'Hodnocení '!DA138</f>
        <v>2513000</v>
      </c>
      <c r="DB142" s="479">
        <f>'Hodnocení '!DB138</f>
        <v>0</v>
      </c>
      <c r="DC142" s="479">
        <f>'Hodnocení '!DC138</f>
        <v>0</v>
      </c>
      <c r="DD142" s="479">
        <f>'Hodnocení '!DD138</f>
        <v>0</v>
      </c>
      <c r="DE142" s="479">
        <f>'Hodnocení '!DE138</f>
        <v>0</v>
      </c>
      <c r="DF142" s="479">
        <f>'Hodnocení '!DF138</f>
        <v>3578225</v>
      </c>
      <c r="DG142" s="479">
        <f>'Hodnocení '!DG138</f>
        <v>0</v>
      </c>
      <c r="DH142" s="479">
        <f>'Hodnocení '!DH138</f>
        <v>317574</v>
      </c>
      <c r="DI142" s="479">
        <f>'Hodnocení '!DI138</f>
        <v>0</v>
      </c>
      <c r="DJ142" s="479">
        <f>'Hodnocení '!DJ138</f>
        <v>0</v>
      </c>
      <c r="DK142" s="479">
        <f>'Hodnocení '!DK138</f>
        <v>0</v>
      </c>
      <c r="DL142" s="479">
        <f>'Hodnocení '!DL138</f>
        <v>0</v>
      </c>
      <c r="DM142" s="479">
        <f>'Hodnocení '!DM138</f>
        <v>0</v>
      </c>
      <c r="DN142" s="479">
        <f>'Hodnocení '!DN138</f>
        <v>0</v>
      </c>
      <c r="DO142" s="479">
        <f>'Hodnocení '!DO138</f>
        <v>0</v>
      </c>
      <c r="DP142" s="479">
        <f>'Hodnocení '!DP138</f>
        <v>0</v>
      </c>
      <c r="DQ142" s="479">
        <f>'Hodnocení '!DQ138</f>
        <v>0</v>
      </c>
      <c r="DR142" s="479">
        <f>'Hodnocení '!DR138</f>
        <v>0</v>
      </c>
      <c r="DS142" s="479">
        <f>'Hodnocení '!DS138</f>
        <v>0</v>
      </c>
      <c r="DT142" s="479">
        <f>'Hodnocení '!DT138</f>
        <v>0</v>
      </c>
      <c r="DU142" s="479">
        <f>'Hodnocení '!DU138</f>
        <v>0</v>
      </c>
      <c r="DV142" s="479">
        <f>'Hodnocení '!DV138</f>
        <v>0</v>
      </c>
      <c r="DW142" s="479">
        <f>'Hodnocení '!DW138</f>
        <v>0</v>
      </c>
      <c r="DX142" s="479">
        <f>'Hodnocení '!DX138</f>
        <v>0</v>
      </c>
      <c r="DY142" s="479">
        <f>'Hodnocení '!DY138</f>
        <v>0</v>
      </c>
      <c r="DZ142" s="479">
        <f>'Hodnocení '!DZ138</f>
        <v>0</v>
      </c>
      <c r="EA142" s="479">
        <f>'Hodnocení '!EA138</f>
        <v>0</v>
      </c>
      <c r="EB142" s="479">
        <f>'Hodnocení '!EB138</f>
        <v>1400000</v>
      </c>
      <c r="EC142" s="479">
        <f>'Hodnocení '!EC138</f>
        <v>0</v>
      </c>
      <c r="ED142" s="479">
        <f>'Hodnocení '!ED138</f>
        <v>0</v>
      </c>
      <c r="EE142" s="479">
        <f>'Hodnocení '!EE138</f>
        <v>144000</v>
      </c>
      <c r="EF142" s="479">
        <f>'Hodnocení '!EF138</f>
        <v>144000</v>
      </c>
      <c r="EG142" s="479">
        <f>'Hodnocení '!EG138</f>
        <v>0</v>
      </c>
      <c r="EH142" s="479">
        <f>'Hodnocení '!EH138</f>
        <v>154000</v>
      </c>
      <c r="EI142" s="479">
        <f>'Hodnocení '!EI138</f>
        <v>30000</v>
      </c>
      <c r="EJ142" s="479">
        <f>'Hodnocení '!EJ138</f>
        <v>144000</v>
      </c>
      <c r="EK142" s="479">
        <f>'Hodnocení '!EK138</f>
        <v>0</v>
      </c>
      <c r="EL142" s="479">
        <f>'Hodnocení '!EL138</f>
        <v>0</v>
      </c>
      <c r="EM142" s="479">
        <f>'Hodnocení '!EM138</f>
        <v>0</v>
      </c>
      <c r="EN142" s="479">
        <f>'Hodnocení '!EN138</f>
        <v>0</v>
      </c>
      <c r="EO142" s="479">
        <f>'Hodnocení '!EO138</f>
        <v>0</v>
      </c>
      <c r="EP142" s="479">
        <f>'Hodnocení '!EP138</f>
        <v>144000</v>
      </c>
      <c r="EQ142" s="479">
        <f>'Hodnocení '!EQ138</f>
        <v>250000</v>
      </c>
      <c r="ER142" s="479">
        <f>'Hodnocení '!ER138</f>
        <v>0</v>
      </c>
      <c r="ES142" s="479">
        <f>'Hodnocení '!ES138</f>
        <v>0</v>
      </c>
      <c r="ET142" s="479">
        <f>'Hodnocení '!ET138</f>
        <v>0</v>
      </c>
      <c r="EU142" s="479">
        <f>'Hodnocení '!EU138</f>
        <v>0</v>
      </c>
      <c r="EV142" s="479">
        <f>'Hodnocení '!EV138</f>
        <v>0</v>
      </c>
      <c r="EW142" s="479">
        <f>'Hodnocení '!EW138</f>
        <v>0</v>
      </c>
      <c r="EX142" s="479">
        <f>'Hodnocení '!EX138</f>
        <v>0</v>
      </c>
      <c r="EY142" s="479">
        <f>'Hodnocení '!EY138</f>
        <v>0</v>
      </c>
      <c r="EZ142" s="479">
        <f>'Hodnocení '!EZ138</f>
        <v>0</v>
      </c>
      <c r="FA142" s="479">
        <f>'Hodnocení '!FA138</f>
        <v>0</v>
      </c>
      <c r="FB142" s="479">
        <f>'Hodnocení '!FB138</f>
        <v>0</v>
      </c>
      <c r="FC142" s="479">
        <f>'Hodnocení '!FC138</f>
        <v>0</v>
      </c>
      <c r="FD142" s="479">
        <f>'Hodnocení '!FD138</f>
        <v>0</v>
      </c>
      <c r="FE142" s="479">
        <f>'Hodnocení '!FE138</f>
        <v>0</v>
      </c>
      <c r="FF142" s="479">
        <f>'Hodnocení '!FF138</f>
        <v>0</v>
      </c>
      <c r="FG142" s="479">
        <f>'Hodnocení '!FG138</f>
        <v>0</v>
      </c>
      <c r="FH142" s="479">
        <f>'Hodnocení '!FH138</f>
        <v>0</v>
      </c>
      <c r="FI142" s="479">
        <f>'Hodnocení '!FI138</f>
        <v>0</v>
      </c>
      <c r="FJ142" s="479">
        <f>'Hodnocení '!FJ138</f>
        <v>0</v>
      </c>
      <c r="FK142" s="479">
        <f>'Hodnocení '!FK138</f>
        <v>0</v>
      </c>
      <c r="FL142" s="479">
        <f>'Hodnocení '!FL138</f>
        <v>0</v>
      </c>
      <c r="FM142" s="479">
        <f>'Hodnocení '!FM138</f>
        <v>0</v>
      </c>
      <c r="FN142" s="479">
        <f>'Hodnocení '!FN138</f>
        <v>0</v>
      </c>
      <c r="FO142" s="479">
        <f>'Hodnocení '!FO138</f>
        <v>0</v>
      </c>
      <c r="FP142" s="479">
        <f>'Hodnocení '!FP138</f>
        <v>0</v>
      </c>
      <c r="FQ142" s="479">
        <f>'Hodnocení '!FQ138</f>
        <v>0</v>
      </c>
      <c r="FR142" s="479">
        <f>'Hodnocení '!FR138</f>
        <v>0</v>
      </c>
      <c r="FS142" s="479">
        <f>'Hodnocení '!FS138</f>
        <v>0</v>
      </c>
      <c r="FT142" s="479">
        <f>'Hodnocení '!FT138</f>
        <v>0</v>
      </c>
      <c r="FU142" s="479">
        <f>'Hodnocení '!FU138</f>
        <v>0</v>
      </c>
      <c r="FV142" s="479">
        <f>'Hodnocení '!FV138</f>
        <v>0</v>
      </c>
      <c r="FW142" s="479">
        <f>'Hodnocení '!FW138</f>
        <v>0</v>
      </c>
      <c r="FX142" s="479">
        <f>'Hodnocení '!FX138</f>
        <v>0</v>
      </c>
      <c r="FY142" s="479">
        <f>'Hodnocení '!FY138</f>
        <v>0</v>
      </c>
      <c r="FZ142" s="479">
        <f>'Hodnocení '!FZ138</f>
        <v>0</v>
      </c>
      <c r="GA142" s="479">
        <f>'Hodnocení '!GA138</f>
        <v>0</v>
      </c>
      <c r="GB142" s="479">
        <f>'Hodnocení '!GB138</f>
        <v>3520000</v>
      </c>
      <c r="GC142" s="479">
        <f>'Hodnocení '!GC138</f>
        <v>0</v>
      </c>
      <c r="GD142" s="479">
        <f>'Hodnocení '!GD138</f>
        <v>0</v>
      </c>
      <c r="GE142" s="479">
        <f>'Hodnocení '!GE138</f>
        <v>0</v>
      </c>
      <c r="GF142" s="479">
        <f>'Hodnocení '!GF138</f>
        <v>0</v>
      </c>
      <c r="GG142" s="479">
        <f>'Hodnocení '!GG138</f>
        <v>0</v>
      </c>
      <c r="GH142" s="479">
        <f>'Hodnocení '!GH138</f>
        <v>0</v>
      </c>
      <c r="GI142" s="479">
        <f>'Hodnocení '!GI138</f>
        <v>0</v>
      </c>
      <c r="GJ142" s="479">
        <f>'Hodnocení '!GJ138</f>
        <v>0</v>
      </c>
      <c r="GK142" s="479">
        <f>'Hodnocení '!GK138</f>
        <v>500000</v>
      </c>
      <c r="GL142" s="479">
        <f>'Hodnocení '!GL138</f>
        <v>0</v>
      </c>
      <c r="GM142" s="479">
        <f>'Hodnocení '!GM138</f>
        <v>0</v>
      </c>
      <c r="GN142" s="479">
        <f>'Hodnocení '!GN138</f>
        <v>0</v>
      </c>
      <c r="GO142" s="479">
        <f>'Hodnocení '!GO138</f>
        <v>0</v>
      </c>
      <c r="GP142" s="479">
        <f>'Hodnocení '!GP138</f>
        <v>0</v>
      </c>
      <c r="GQ142" s="479">
        <f>'Hodnocení '!GQ138</f>
        <v>0</v>
      </c>
      <c r="GR142" s="479">
        <f>'Hodnocení '!GR138</f>
        <v>0</v>
      </c>
      <c r="GS142" s="479">
        <f>'Hodnocení '!GS138</f>
        <v>0</v>
      </c>
      <c r="GT142" s="479">
        <f>'Hodnocení '!GT138</f>
        <v>0</v>
      </c>
      <c r="GU142" s="479">
        <f>'Hodnocení '!GU138</f>
        <v>0</v>
      </c>
      <c r="GV142" s="479">
        <f>'Hodnocení '!GV138</f>
        <v>0</v>
      </c>
      <c r="GW142" s="479">
        <f>'Hodnocení '!GW138</f>
        <v>0</v>
      </c>
      <c r="GX142" s="479">
        <f>'Hodnocení '!GX138</f>
        <v>0</v>
      </c>
      <c r="GY142" s="479">
        <f>'Hodnocení '!GY138</f>
        <v>0</v>
      </c>
      <c r="GZ142" s="479">
        <f>'Hodnocení '!GZ138</f>
        <v>0</v>
      </c>
      <c r="HA142" s="479">
        <f>'Hodnocení '!HA138</f>
        <v>0</v>
      </c>
      <c r="HB142" s="479">
        <f>'Hodnocení '!HB138</f>
        <v>0</v>
      </c>
      <c r="HC142" s="479">
        <f>'Hodnocení '!HC138</f>
        <v>0</v>
      </c>
      <c r="HD142" s="479">
        <f>'Hodnocení '!HD138</f>
        <v>0</v>
      </c>
      <c r="HE142" s="479">
        <f>'Hodnocení '!HE138</f>
        <v>0</v>
      </c>
      <c r="HF142" s="479">
        <f>'Hodnocení '!HF138</f>
        <v>0</v>
      </c>
      <c r="HG142" s="479">
        <f>'Hodnocení '!HG138</f>
        <v>0</v>
      </c>
      <c r="HH142" s="479">
        <f>'Hodnocení '!HH138</f>
        <v>0</v>
      </c>
      <c r="HI142" s="479">
        <f>'Hodnocení '!HI138</f>
        <v>0</v>
      </c>
      <c r="HJ142" s="479">
        <f>'Hodnocení '!HJ138</f>
        <v>0</v>
      </c>
      <c r="HK142" s="479">
        <f>'Hodnocení '!HK138</f>
        <v>0</v>
      </c>
      <c r="HL142" s="479">
        <f>'Hodnocení '!HL138</f>
        <v>0</v>
      </c>
      <c r="HM142" s="479">
        <f>'Hodnocení '!HM138</f>
        <v>0</v>
      </c>
      <c r="HN142" s="479">
        <f>'Hodnocení '!HN138</f>
        <v>0</v>
      </c>
      <c r="HO142" s="479">
        <f>'Hodnocení '!HO138</f>
        <v>0</v>
      </c>
      <c r="HP142" s="479">
        <f>'Hodnocení '!HP138</f>
        <v>0</v>
      </c>
      <c r="HQ142" s="479">
        <f>'Hodnocení '!HQ138</f>
        <v>0</v>
      </c>
      <c r="HR142" s="479">
        <f>'Hodnocení '!HR138</f>
        <v>0</v>
      </c>
      <c r="HS142" s="479">
        <f>'Hodnocení '!HS138</f>
        <v>0</v>
      </c>
      <c r="HT142" s="479">
        <f>'Hodnocení '!HT138</f>
        <v>0</v>
      </c>
      <c r="HU142" s="479">
        <f>'Hodnocení '!HU138</f>
        <v>285750</v>
      </c>
      <c r="HV142" s="479">
        <f>'Hodnocení '!HV138</f>
        <v>0</v>
      </c>
      <c r="HW142" s="479">
        <f>'Hodnocení '!HW138</f>
        <v>59840</v>
      </c>
      <c r="HX142" s="479">
        <f>'Hodnocení '!HX138</f>
        <v>314160</v>
      </c>
      <c r="HY142" s="479">
        <f>'Hodnocení '!HY138</f>
        <v>0</v>
      </c>
      <c r="HZ142" s="479">
        <f>'Hodnocení '!HZ138</f>
        <v>0</v>
      </c>
      <c r="IA142" s="479">
        <f>'Hodnocení '!IA138</f>
        <v>0</v>
      </c>
      <c r="IB142" s="479">
        <f>'Hodnocení '!IB138</f>
        <v>0</v>
      </c>
      <c r="IC142" s="479">
        <f>'Hodnocení '!IC138</f>
        <v>0</v>
      </c>
      <c r="ID142" s="479">
        <f>'Hodnocení '!ID138</f>
        <v>0</v>
      </c>
      <c r="IE142" s="479">
        <f>'Hodnocení '!IE138</f>
        <v>0</v>
      </c>
      <c r="IF142" s="479">
        <f>'Hodnocení '!IF138</f>
        <v>0</v>
      </c>
      <c r="IG142" s="479">
        <f>'Hodnocení '!IG138</f>
        <v>0</v>
      </c>
      <c r="IH142" s="479">
        <f>'Hodnocení '!IH138</f>
        <v>0</v>
      </c>
      <c r="II142" s="479">
        <f>'Hodnocení '!II138</f>
        <v>0</v>
      </c>
      <c r="IJ142" s="479">
        <f>'Hodnocení '!IJ138</f>
        <v>0</v>
      </c>
      <c r="IK142" s="479">
        <f>'Hodnocení '!IK138</f>
        <v>0</v>
      </c>
      <c r="IL142" s="479">
        <f>'Hodnocení '!IL138</f>
        <v>0</v>
      </c>
      <c r="IM142" s="479">
        <f>'Hodnocení '!IM138</f>
        <v>1040</v>
      </c>
      <c r="IN142" s="479">
        <f>'Hodnocení '!IN138</f>
        <v>21060</v>
      </c>
      <c r="IO142" s="479">
        <f>'Hodnocení '!IO138</f>
        <v>3900</v>
      </c>
      <c r="IP142" s="479">
        <f>'Hodnocení '!IP138</f>
        <v>0</v>
      </c>
      <c r="IQ142" s="479">
        <f>'Hodnocení '!IQ138</f>
        <v>0</v>
      </c>
      <c r="IR142" s="479">
        <f>'Hodnocení '!IR138</f>
        <v>0</v>
      </c>
      <c r="IS142" s="479">
        <f>'Hodnocení '!IS138</f>
        <v>0</v>
      </c>
      <c r="IT142" s="479">
        <f>'Hodnocení '!IT138</f>
        <v>0</v>
      </c>
      <c r="IU142" s="479">
        <f>'Hodnocení '!IU138</f>
        <v>0</v>
      </c>
      <c r="IV142" s="479">
        <f>'Hodnocení '!IV138</f>
        <v>0</v>
      </c>
      <c r="IW142" s="479">
        <f>'Hodnocení '!IW138</f>
        <v>0</v>
      </c>
      <c r="IX142" s="479">
        <f>'Hodnocení '!IX138</f>
        <v>0</v>
      </c>
      <c r="IY142" s="479">
        <f>'Hodnocení '!IY138</f>
        <v>0</v>
      </c>
      <c r="IZ142" s="479">
        <f>'Hodnocení '!IZ138</f>
        <v>0</v>
      </c>
      <c r="JA142" s="479">
        <f>'Hodnocení '!JA138</f>
        <v>0</v>
      </c>
      <c r="JB142" s="479">
        <f>'Hodnocení '!JB138</f>
        <v>465400</v>
      </c>
      <c r="JC142" s="479">
        <f>'Hodnocení '!JC138</f>
        <v>0</v>
      </c>
      <c r="JD142" s="479">
        <f>'Hodnocení '!JD138</f>
        <v>3908439</v>
      </c>
      <c r="JE142" s="479">
        <f>'Hodnocení '!JE138</f>
        <v>0</v>
      </c>
      <c r="JF142" s="479">
        <f>'Hodnocení '!JF138</f>
        <v>0</v>
      </c>
      <c r="JG142" s="479">
        <f>'Hodnocení '!JG138</f>
        <v>0</v>
      </c>
      <c r="JH142" s="780">
        <f>'Hodnocení '!JH138</f>
        <v>0</v>
      </c>
      <c r="JI142" s="470">
        <f>'Hodnocení '!JI138</f>
        <v>23687759</v>
      </c>
    </row>
    <row r="143" spans="1:276" ht="15.75" hidden="1" thickBot="1" x14ac:dyDescent="0.3">
      <c r="B143" s="753" t="s">
        <v>2622</v>
      </c>
      <c r="C143" s="360">
        <f>'Hodnocení '!C139</f>
        <v>0</v>
      </c>
      <c r="D143" s="357">
        <f>'Hodnocení '!D139</f>
        <v>0</v>
      </c>
      <c r="E143" s="357">
        <f>'Hodnocení '!E139</f>
        <v>0</v>
      </c>
      <c r="F143" s="357">
        <f>'Hodnocení '!F139</f>
        <v>0</v>
      </c>
      <c r="G143" s="357">
        <f>'Hodnocení '!G139</f>
        <v>0</v>
      </c>
      <c r="H143" s="357">
        <f>'Hodnocení '!H139</f>
        <v>0</v>
      </c>
      <c r="I143" s="357">
        <f>'Hodnocení '!I139</f>
        <v>0</v>
      </c>
      <c r="J143" s="357">
        <f>'Hodnocení '!J139</f>
        <v>0</v>
      </c>
      <c r="K143" s="357">
        <f>'Hodnocení '!K139</f>
        <v>0</v>
      </c>
      <c r="L143" s="357">
        <f>'Hodnocení '!L139</f>
        <v>0</v>
      </c>
      <c r="M143" s="357">
        <f>'Hodnocení '!M139</f>
        <v>0</v>
      </c>
      <c r="N143" s="357">
        <f>'Hodnocení '!N139</f>
        <v>0</v>
      </c>
      <c r="O143" s="357">
        <f>'Hodnocení '!O139</f>
        <v>0</v>
      </c>
      <c r="P143" s="357">
        <f>'Hodnocení '!P139</f>
        <v>0</v>
      </c>
      <c r="Q143" s="357">
        <f>'Hodnocení '!Q139</f>
        <v>0</v>
      </c>
      <c r="R143" s="357">
        <f>'Hodnocení '!R139</f>
        <v>0</v>
      </c>
      <c r="S143" s="357">
        <f>'Hodnocení '!S139</f>
        <v>0</v>
      </c>
      <c r="T143" s="357">
        <f>'Hodnocení '!T139</f>
        <v>0</v>
      </c>
      <c r="U143" s="357">
        <f>'Hodnocení '!U139</f>
        <v>0</v>
      </c>
      <c r="V143" s="357">
        <f>'Hodnocení '!V139</f>
        <v>0</v>
      </c>
      <c r="W143" s="357">
        <f>'Hodnocení '!W139</f>
        <v>0</v>
      </c>
      <c r="X143" s="357">
        <f>'Hodnocení '!X139</f>
        <v>0</v>
      </c>
      <c r="Y143" s="357">
        <f>'Hodnocení '!Y139</f>
        <v>0</v>
      </c>
      <c r="Z143" s="357">
        <f>'Hodnocení '!Z139</f>
        <v>0</v>
      </c>
      <c r="AA143" s="357">
        <f>'Hodnocení '!AA139</f>
        <v>0</v>
      </c>
      <c r="AB143" s="357">
        <f>'Hodnocení '!AB139</f>
        <v>0</v>
      </c>
      <c r="AC143" s="357">
        <f>'Hodnocení '!AC139</f>
        <v>0</v>
      </c>
      <c r="AD143" s="357">
        <f>'Hodnocení '!AD139</f>
        <v>0</v>
      </c>
      <c r="AE143" s="357">
        <f>'Hodnocení '!AE139</f>
        <v>0</v>
      </c>
      <c r="AF143" s="357">
        <f>'Hodnocení '!AF139</f>
        <v>0</v>
      </c>
      <c r="AG143" s="357">
        <f>'Hodnocení '!AG139</f>
        <v>0</v>
      </c>
      <c r="AH143" s="357">
        <f>'Hodnocení '!AH139</f>
        <v>0</v>
      </c>
      <c r="AI143" s="357">
        <f>'Hodnocení '!AI139</f>
        <v>0</v>
      </c>
      <c r="AJ143" s="357">
        <f>'Hodnocení '!AJ139</f>
        <v>0</v>
      </c>
      <c r="AK143" s="357">
        <f>'Hodnocení '!AK139</f>
        <v>0</v>
      </c>
      <c r="AL143" s="357">
        <f>'Hodnocení '!AL139</f>
        <v>0</v>
      </c>
      <c r="AM143" s="357">
        <f>'Hodnocení '!AM139</f>
        <v>0</v>
      </c>
      <c r="AN143" s="357">
        <f>'Hodnocení '!AN139</f>
        <v>0</v>
      </c>
      <c r="AO143" s="357">
        <f>'Hodnocení '!AO139</f>
        <v>0</v>
      </c>
      <c r="AP143" s="357">
        <f>'Hodnocení '!AP139</f>
        <v>0</v>
      </c>
      <c r="AQ143" s="357">
        <f>'Hodnocení '!AQ139</f>
        <v>0</v>
      </c>
      <c r="AR143" s="357">
        <f>'Hodnocení '!AR139</f>
        <v>0</v>
      </c>
      <c r="AS143" s="357">
        <f>'Hodnocení '!AS139</f>
        <v>0</v>
      </c>
      <c r="AT143" s="357">
        <f>'Hodnocení '!AT139</f>
        <v>0</v>
      </c>
      <c r="AU143" s="357">
        <f>'Hodnocení '!AU139</f>
        <v>0</v>
      </c>
      <c r="AV143" s="357">
        <f>'Hodnocení '!AV139</f>
        <v>0</v>
      </c>
      <c r="AW143" s="357">
        <f>'Hodnocení '!AW139</f>
        <v>0</v>
      </c>
      <c r="AX143" s="357">
        <f>'Hodnocení '!AX139</f>
        <v>0</v>
      </c>
      <c r="AY143" s="357">
        <f>'Hodnocení '!AY139</f>
        <v>0</v>
      </c>
      <c r="AZ143" s="357">
        <f>'Hodnocení '!AZ139</f>
        <v>0</v>
      </c>
      <c r="BA143" s="357">
        <f>'Hodnocení '!BA139</f>
        <v>0</v>
      </c>
      <c r="BB143" s="357">
        <f>'Hodnocení '!BB139</f>
        <v>0</v>
      </c>
      <c r="BC143" s="357">
        <f>'Hodnocení '!BC139</f>
        <v>0</v>
      </c>
      <c r="BD143" s="357">
        <f>'Hodnocení '!BD139</f>
        <v>0</v>
      </c>
      <c r="BE143" s="357">
        <f>'Hodnocení '!BE139</f>
        <v>0</v>
      </c>
      <c r="BF143" s="357">
        <f>'Hodnocení '!BF139</f>
        <v>0</v>
      </c>
      <c r="BG143" s="357">
        <f>'Hodnocení '!BG139</f>
        <v>0</v>
      </c>
      <c r="BH143" s="357">
        <f>'Hodnocení '!BH139</f>
        <v>0</v>
      </c>
      <c r="BI143" s="357">
        <f>'Hodnocení '!BI139</f>
        <v>0</v>
      </c>
      <c r="BJ143" s="357">
        <f>'Hodnocení '!BJ139</f>
        <v>0</v>
      </c>
      <c r="BK143" s="357">
        <f>'Hodnocení '!BK139</f>
        <v>0</v>
      </c>
      <c r="BL143" s="357">
        <f>'Hodnocení '!BL139</f>
        <v>0</v>
      </c>
      <c r="BM143" s="357">
        <f>'Hodnocení '!BM139</f>
        <v>0</v>
      </c>
      <c r="BN143" s="357">
        <f>'Hodnocení '!BN139</f>
        <v>0</v>
      </c>
      <c r="BO143" s="357">
        <f>'Hodnocení '!BO139</f>
        <v>0</v>
      </c>
      <c r="BP143" s="357">
        <f>'Hodnocení '!BP139</f>
        <v>0</v>
      </c>
      <c r="BQ143" s="357">
        <f>'Hodnocení '!BQ139</f>
        <v>0</v>
      </c>
      <c r="BR143" s="357">
        <f>'Hodnocení '!BR139</f>
        <v>0</v>
      </c>
      <c r="BS143" s="357">
        <f>'Hodnocení '!BS139</f>
        <v>0</v>
      </c>
      <c r="BT143" s="357">
        <f>'Hodnocení '!BT139</f>
        <v>0</v>
      </c>
      <c r="BU143" s="357">
        <f>'Hodnocení '!BU139</f>
        <v>0</v>
      </c>
      <c r="BV143" s="357">
        <f>'Hodnocení '!BV139</f>
        <v>0</v>
      </c>
      <c r="BW143" s="357">
        <f>'Hodnocení '!BW139</f>
        <v>0</v>
      </c>
      <c r="BX143" s="357">
        <f>'Hodnocení '!BX139</f>
        <v>0</v>
      </c>
      <c r="BY143" s="357">
        <f>'Hodnocení '!BY139</f>
        <v>0</v>
      </c>
      <c r="BZ143" s="357">
        <f>'Hodnocení '!BZ139</f>
        <v>0</v>
      </c>
      <c r="CA143" s="357">
        <f>'Hodnocení '!CA139</f>
        <v>0</v>
      </c>
      <c r="CB143" s="357">
        <f>'Hodnocení '!CB139</f>
        <v>0</v>
      </c>
      <c r="CC143" s="357">
        <f>'Hodnocení '!CC139</f>
        <v>0</v>
      </c>
      <c r="CD143" s="357">
        <f>'Hodnocení '!CD139</f>
        <v>0</v>
      </c>
      <c r="CE143" s="357">
        <f>'Hodnocení '!CE139</f>
        <v>0</v>
      </c>
      <c r="CF143" s="357">
        <f>'Hodnocení '!CF139</f>
        <v>0</v>
      </c>
      <c r="CG143" s="357">
        <f>'Hodnocení '!CG139</f>
        <v>0</v>
      </c>
      <c r="CH143" s="357">
        <f>'Hodnocení '!CH139</f>
        <v>0</v>
      </c>
      <c r="CI143" s="357">
        <f>'Hodnocení '!CI139</f>
        <v>0</v>
      </c>
      <c r="CJ143" s="357">
        <f>'Hodnocení '!CJ139</f>
        <v>0</v>
      </c>
      <c r="CK143" s="357">
        <f>'Hodnocení '!CK139</f>
        <v>0</v>
      </c>
      <c r="CL143" s="357">
        <f>'Hodnocení '!CL139</f>
        <v>0</v>
      </c>
      <c r="CM143" s="357">
        <f>'Hodnocení '!CM139</f>
        <v>0</v>
      </c>
      <c r="CN143" s="357">
        <f>'Hodnocení '!CN139</f>
        <v>0</v>
      </c>
      <c r="CO143" s="357">
        <f>'Hodnocení '!CO139</f>
        <v>0</v>
      </c>
      <c r="CP143" s="357">
        <f>'Hodnocení '!CP139</f>
        <v>0</v>
      </c>
      <c r="CQ143" s="357">
        <f>'Hodnocení '!CQ139</f>
        <v>0</v>
      </c>
      <c r="CR143" s="357">
        <f>'Hodnocení '!CR139</f>
        <v>0</v>
      </c>
      <c r="CS143" s="357">
        <f>'Hodnocení '!CS139</f>
        <v>0</v>
      </c>
      <c r="CT143" s="357">
        <f>'Hodnocení '!CT139</f>
        <v>0</v>
      </c>
      <c r="CU143" s="357">
        <f>'Hodnocení '!CU139</f>
        <v>0</v>
      </c>
      <c r="CV143" s="357">
        <f>'Hodnocení '!CV139</f>
        <v>0</v>
      </c>
      <c r="CW143" s="357">
        <f>'Hodnocení '!CW139</f>
        <v>0</v>
      </c>
      <c r="CX143" s="357">
        <f>'Hodnocení '!CX139</f>
        <v>0</v>
      </c>
      <c r="CY143" s="357">
        <f>'Hodnocení '!CY139</f>
        <v>0</v>
      </c>
      <c r="CZ143" s="357">
        <f>'Hodnocení '!CZ139</f>
        <v>0</v>
      </c>
      <c r="DA143" s="357">
        <f>'Hodnocení '!DA139</f>
        <v>0</v>
      </c>
      <c r="DB143" s="357">
        <f>'Hodnocení '!DB139</f>
        <v>0</v>
      </c>
      <c r="DC143" s="357">
        <f>'Hodnocení '!DC139</f>
        <v>0</v>
      </c>
      <c r="DD143" s="357">
        <f>'Hodnocení '!DD139</f>
        <v>0</v>
      </c>
      <c r="DE143" s="357">
        <f>'Hodnocení '!DE139</f>
        <v>0</v>
      </c>
      <c r="DF143" s="357">
        <f>'Hodnocení '!DF139</f>
        <v>0</v>
      </c>
      <c r="DG143" s="357">
        <f>'Hodnocení '!DG139</f>
        <v>0</v>
      </c>
      <c r="DH143" s="357">
        <f>'Hodnocení '!DH139</f>
        <v>0</v>
      </c>
      <c r="DI143" s="357">
        <f>'Hodnocení '!DI139</f>
        <v>0</v>
      </c>
      <c r="DJ143" s="357">
        <f>'Hodnocení '!DJ139</f>
        <v>0</v>
      </c>
      <c r="DK143" s="357">
        <f>'Hodnocení '!DK139</f>
        <v>0</v>
      </c>
      <c r="DL143" s="357">
        <f>'Hodnocení '!DL139</f>
        <v>0</v>
      </c>
      <c r="DM143" s="357">
        <f>'Hodnocení '!DM139</f>
        <v>0</v>
      </c>
      <c r="DN143" s="357">
        <f>'Hodnocení '!DN139</f>
        <v>0</v>
      </c>
      <c r="DO143" s="357">
        <f>'Hodnocení '!DO139</f>
        <v>0</v>
      </c>
      <c r="DP143" s="357">
        <f>'Hodnocení '!DP139</f>
        <v>0</v>
      </c>
      <c r="DQ143" s="357">
        <f>'Hodnocení '!DQ139</f>
        <v>0</v>
      </c>
      <c r="DR143" s="357">
        <f>'Hodnocení '!DR139</f>
        <v>0</v>
      </c>
      <c r="DS143" s="357">
        <f>'Hodnocení '!DS139</f>
        <v>0</v>
      </c>
      <c r="DT143" s="357">
        <f>'Hodnocení '!DT139</f>
        <v>0</v>
      </c>
      <c r="DU143" s="357">
        <f>'Hodnocení '!DU139</f>
        <v>0</v>
      </c>
      <c r="DV143" s="357">
        <f>'Hodnocení '!DV139</f>
        <v>0</v>
      </c>
      <c r="DW143" s="357">
        <f>'Hodnocení '!DW139</f>
        <v>0</v>
      </c>
      <c r="DX143" s="357">
        <f>'Hodnocení '!DX139</f>
        <v>0</v>
      </c>
      <c r="DY143" s="357">
        <f>'Hodnocení '!DY139</f>
        <v>0</v>
      </c>
      <c r="DZ143" s="357">
        <f>'Hodnocení '!DZ139</f>
        <v>0</v>
      </c>
      <c r="EA143" s="357">
        <f>'Hodnocení '!EA139</f>
        <v>0</v>
      </c>
      <c r="EB143" s="357">
        <f>'Hodnocení '!EB139</f>
        <v>0</v>
      </c>
      <c r="EC143" s="357">
        <f>'Hodnocení '!EC139</f>
        <v>0</v>
      </c>
      <c r="ED143" s="357">
        <f>'Hodnocení '!ED139</f>
        <v>0</v>
      </c>
      <c r="EE143" s="357">
        <f>'Hodnocení '!EE139</f>
        <v>0</v>
      </c>
      <c r="EF143" s="357">
        <f>'Hodnocení '!EF139</f>
        <v>0</v>
      </c>
      <c r="EG143" s="357">
        <f>'Hodnocení '!EG139</f>
        <v>0</v>
      </c>
      <c r="EH143" s="357">
        <f>'Hodnocení '!EH139</f>
        <v>0</v>
      </c>
      <c r="EI143" s="357">
        <f>'Hodnocení '!EI139</f>
        <v>0</v>
      </c>
      <c r="EJ143" s="357">
        <f>'Hodnocení '!EJ139</f>
        <v>0</v>
      </c>
      <c r="EK143" s="357">
        <f>'Hodnocení '!EK139</f>
        <v>0</v>
      </c>
      <c r="EL143" s="357">
        <f>'Hodnocení '!EL139</f>
        <v>0</v>
      </c>
      <c r="EM143" s="357">
        <f>'Hodnocení '!EM139</f>
        <v>0</v>
      </c>
      <c r="EN143" s="357">
        <f>'Hodnocení '!EN139</f>
        <v>0</v>
      </c>
      <c r="EO143" s="357">
        <f>'Hodnocení '!EO139</f>
        <v>0</v>
      </c>
      <c r="EP143" s="357">
        <f>'Hodnocení '!EP139</f>
        <v>0</v>
      </c>
      <c r="EQ143" s="357">
        <f>'Hodnocení '!EQ139</f>
        <v>0</v>
      </c>
      <c r="ER143" s="357">
        <f>'Hodnocení '!ER139</f>
        <v>0</v>
      </c>
      <c r="ES143" s="357">
        <f>'Hodnocení '!ES139</f>
        <v>0</v>
      </c>
      <c r="ET143" s="357">
        <f>'Hodnocení '!ET139</f>
        <v>0</v>
      </c>
      <c r="EU143" s="357">
        <f>'Hodnocení '!EU139</f>
        <v>0</v>
      </c>
      <c r="EV143" s="357">
        <f>'Hodnocení '!EV139</f>
        <v>0</v>
      </c>
      <c r="EW143" s="357">
        <f>'Hodnocení '!EW139</f>
        <v>0</v>
      </c>
      <c r="EX143" s="357">
        <f>'Hodnocení '!EX139</f>
        <v>0</v>
      </c>
      <c r="EY143" s="357">
        <f>'Hodnocení '!EY139</f>
        <v>0</v>
      </c>
      <c r="EZ143" s="357">
        <f>'Hodnocení '!EZ139</f>
        <v>0</v>
      </c>
      <c r="FA143" s="357">
        <f>'Hodnocení '!FA139</f>
        <v>0</v>
      </c>
      <c r="FB143" s="357">
        <f>'Hodnocení '!FB139</f>
        <v>0</v>
      </c>
      <c r="FC143" s="357">
        <f>'Hodnocení '!FC139</f>
        <v>0</v>
      </c>
      <c r="FD143" s="357">
        <f>'Hodnocení '!FD139</f>
        <v>0</v>
      </c>
      <c r="FE143" s="357">
        <f>'Hodnocení '!FE139</f>
        <v>0</v>
      </c>
      <c r="FF143" s="357">
        <f>'Hodnocení '!FF139</f>
        <v>0</v>
      </c>
      <c r="FG143" s="357">
        <f>'Hodnocení '!FG139</f>
        <v>0</v>
      </c>
      <c r="FH143" s="357">
        <f>'Hodnocení '!FH139</f>
        <v>0</v>
      </c>
      <c r="FI143" s="357">
        <f>'Hodnocení '!FI139</f>
        <v>0</v>
      </c>
      <c r="FJ143" s="357">
        <f>'Hodnocení '!FJ139</f>
        <v>0</v>
      </c>
      <c r="FK143" s="357">
        <f>'Hodnocení '!FK139</f>
        <v>0</v>
      </c>
      <c r="FL143" s="357">
        <f>'Hodnocení '!FL139</f>
        <v>0</v>
      </c>
      <c r="FM143" s="357">
        <f>'Hodnocení '!FM139</f>
        <v>0</v>
      </c>
      <c r="FN143" s="357">
        <f>'Hodnocení '!FN139</f>
        <v>0</v>
      </c>
      <c r="FO143" s="357">
        <f>'Hodnocení '!FO139</f>
        <v>0</v>
      </c>
      <c r="FP143" s="357">
        <f>'Hodnocení '!FP139</f>
        <v>0</v>
      </c>
      <c r="FQ143" s="357">
        <f>'Hodnocení '!FQ139</f>
        <v>0</v>
      </c>
      <c r="FR143" s="357">
        <f>'Hodnocení '!FR139</f>
        <v>0</v>
      </c>
      <c r="FS143" s="357">
        <f>'Hodnocení '!FS139</f>
        <v>0</v>
      </c>
      <c r="FT143" s="357">
        <f>'Hodnocení '!FT139</f>
        <v>0</v>
      </c>
      <c r="FU143" s="357">
        <f>'Hodnocení '!FU139</f>
        <v>0</v>
      </c>
      <c r="FV143" s="357">
        <f>'Hodnocení '!FV139</f>
        <v>0</v>
      </c>
      <c r="FW143" s="357">
        <f>'Hodnocení '!FW139</f>
        <v>0</v>
      </c>
      <c r="FX143" s="357">
        <f>'Hodnocení '!FX139</f>
        <v>0</v>
      </c>
      <c r="FY143" s="357">
        <f>'Hodnocení '!FY139</f>
        <v>0</v>
      </c>
      <c r="FZ143" s="357">
        <f>'Hodnocení '!FZ139</f>
        <v>0</v>
      </c>
      <c r="GA143" s="357">
        <f>'Hodnocení '!GA139</f>
        <v>0</v>
      </c>
      <c r="GB143" s="357">
        <f>'Hodnocení '!GB139</f>
        <v>0</v>
      </c>
      <c r="GC143" s="357">
        <f>'Hodnocení '!GC139</f>
        <v>0</v>
      </c>
      <c r="GD143" s="357">
        <f>'Hodnocení '!GD139</f>
        <v>0</v>
      </c>
      <c r="GE143" s="357">
        <f>'Hodnocení '!GE139</f>
        <v>0</v>
      </c>
      <c r="GF143" s="357">
        <f>'Hodnocení '!GF139</f>
        <v>0</v>
      </c>
      <c r="GG143" s="357">
        <f>'Hodnocení '!GG139</f>
        <v>0</v>
      </c>
      <c r="GH143" s="357">
        <f>'Hodnocení '!GH139</f>
        <v>0</v>
      </c>
      <c r="GI143" s="357">
        <f>'Hodnocení '!GI139</f>
        <v>0</v>
      </c>
      <c r="GJ143" s="357">
        <f>'Hodnocení '!GJ139</f>
        <v>0</v>
      </c>
      <c r="GK143" s="357">
        <f>'Hodnocení '!GK139</f>
        <v>0</v>
      </c>
      <c r="GL143" s="357">
        <f>'Hodnocení '!GL139</f>
        <v>0</v>
      </c>
      <c r="GM143" s="357">
        <f>'Hodnocení '!GM139</f>
        <v>0</v>
      </c>
      <c r="GN143" s="357">
        <f>'Hodnocení '!GN139</f>
        <v>0</v>
      </c>
      <c r="GO143" s="357">
        <f>'Hodnocení '!GO139</f>
        <v>0</v>
      </c>
      <c r="GP143" s="357">
        <f>'Hodnocení '!GP139</f>
        <v>0</v>
      </c>
      <c r="GQ143" s="357">
        <f>'Hodnocení '!GQ139</f>
        <v>0</v>
      </c>
      <c r="GR143" s="357">
        <f>'Hodnocení '!GR139</f>
        <v>0</v>
      </c>
      <c r="GS143" s="357">
        <f>'Hodnocení '!GS139</f>
        <v>0</v>
      </c>
      <c r="GT143" s="357">
        <f>'Hodnocení '!GT139</f>
        <v>0</v>
      </c>
      <c r="GU143" s="357">
        <f>'Hodnocení '!GU139</f>
        <v>0</v>
      </c>
      <c r="GV143" s="357">
        <f>'Hodnocení '!GV139</f>
        <v>0</v>
      </c>
      <c r="GW143" s="357">
        <f>'Hodnocení '!GW139</f>
        <v>0</v>
      </c>
      <c r="GX143" s="357">
        <f>'Hodnocení '!GX139</f>
        <v>0</v>
      </c>
      <c r="GY143" s="357">
        <f>'Hodnocení '!GY139</f>
        <v>0</v>
      </c>
      <c r="GZ143" s="357">
        <f>'Hodnocení '!GZ139</f>
        <v>0</v>
      </c>
      <c r="HA143" s="357">
        <f>'Hodnocení '!HA139</f>
        <v>0</v>
      </c>
      <c r="HB143" s="357">
        <f>'Hodnocení '!HB139</f>
        <v>0</v>
      </c>
      <c r="HC143" s="357">
        <f>'Hodnocení '!HC139</f>
        <v>0</v>
      </c>
      <c r="HD143" s="357">
        <f>'Hodnocení '!HD139</f>
        <v>0</v>
      </c>
      <c r="HE143" s="357">
        <f>'Hodnocení '!HE139</f>
        <v>0</v>
      </c>
      <c r="HF143" s="357">
        <f>'Hodnocení '!HF139</f>
        <v>0</v>
      </c>
      <c r="HG143" s="357">
        <f>'Hodnocení '!HG139</f>
        <v>0</v>
      </c>
      <c r="HH143" s="357">
        <f>'Hodnocení '!HH139</f>
        <v>0</v>
      </c>
      <c r="HI143" s="357">
        <f>'Hodnocení '!HI139</f>
        <v>0</v>
      </c>
      <c r="HJ143" s="357">
        <f>'Hodnocení '!HJ139</f>
        <v>0</v>
      </c>
      <c r="HK143" s="357">
        <f>'Hodnocení '!HK139</f>
        <v>0</v>
      </c>
      <c r="HL143" s="357">
        <f>'Hodnocení '!HL139</f>
        <v>0</v>
      </c>
      <c r="HM143" s="357">
        <f>'Hodnocení '!HM139</f>
        <v>0</v>
      </c>
      <c r="HN143" s="357">
        <f>'Hodnocení '!HN139</f>
        <v>0</v>
      </c>
      <c r="HO143" s="357">
        <f>'Hodnocení '!HO139</f>
        <v>0</v>
      </c>
      <c r="HP143" s="357">
        <f>'Hodnocení '!HP139</f>
        <v>0</v>
      </c>
      <c r="HQ143" s="357">
        <f>'Hodnocení '!HQ139</f>
        <v>0</v>
      </c>
      <c r="HR143" s="357">
        <f>'Hodnocení '!HR139</f>
        <v>0</v>
      </c>
      <c r="HS143" s="357">
        <f>'Hodnocení '!HS139</f>
        <v>0</v>
      </c>
      <c r="HT143" s="357">
        <f>'Hodnocení '!HT139</f>
        <v>0</v>
      </c>
      <c r="HU143" s="357">
        <f>'Hodnocení '!HU139</f>
        <v>0</v>
      </c>
      <c r="HV143" s="357">
        <f>'Hodnocení '!HV139</f>
        <v>0</v>
      </c>
      <c r="HW143" s="357">
        <f>'Hodnocení '!HW139</f>
        <v>0</v>
      </c>
      <c r="HX143" s="357">
        <f>'Hodnocení '!HX139</f>
        <v>0</v>
      </c>
      <c r="HY143" s="357">
        <f>'Hodnocení '!HY139</f>
        <v>0</v>
      </c>
      <c r="HZ143" s="357">
        <f>'Hodnocení '!HZ139</f>
        <v>0</v>
      </c>
      <c r="IA143" s="357">
        <f>'Hodnocení '!IA139</f>
        <v>0</v>
      </c>
      <c r="IB143" s="357">
        <f>'Hodnocení '!IB139</f>
        <v>0</v>
      </c>
      <c r="IC143" s="357">
        <f>'Hodnocení '!IC139</f>
        <v>0</v>
      </c>
      <c r="ID143" s="357">
        <f>'Hodnocení '!ID139</f>
        <v>0</v>
      </c>
      <c r="IE143" s="357">
        <f>'Hodnocení '!IE139</f>
        <v>0</v>
      </c>
      <c r="IF143" s="357">
        <f>'Hodnocení '!IF139</f>
        <v>0</v>
      </c>
      <c r="IG143" s="357">
        <f>'Hodnocení '!IG139</f>
        <v>0</v>
      </c>
      <c r="IH143" s="357">
        <f>'Hodnocení '!IH139</f>
        <v>0</v>
      </c>
      <c r="II143" s="357">
        <f>'Hodnocení '!II139</f>
        <v>0</v>
      </c>
      <c r="IJ143" s="357">
        <f>'Hodnocení '!IJ139</f>
        <v>0</v>
      </c>
      <c r="IK143" s="357">
        <f>'Hodnocení '!IK139</f>
        <v>0</v>
      </c>
      <c r="IL143" s="357">
        <f>'Hodnocení '!IL139</f>
        <v>0</v>
      </c>
      <c r="IM143" s="357">
        <f>'Hodnocení '!IM139</f>
        <v>0</v>
      </c>
      <c r="IN143" s="357">
        <f>'Hodnocení '!IN139</f>
        <v>0</v>
      </c>
      <c r="IO143" s="357">
        <f>'Hodnocení '!IO139</f>
        <v>0</v>
      </c>
      <c r="IP143" s="357">
        <f>'Hodnocení '!IP139</f>
        <v>0</v>
      </c>
      <c r="IQ143" s="357">
        <f>'Hodnocení '!IQ139</f>
        <v>0</v>
      </c>
      <c r="IR143" s="357">
        <f>'Hodnocení '!IR139</f>
        <v>0</v>
      </c>
      <c r="IS143" s="357">
        <f>'Hodnocení '!IS139</f>
        <v>0</v>
      </c>
      <c r="IT143" s="357">
        <f>'Hodnocení '!IT139</f>
        <v>0</v>
      </c>
      <c r="IU143" s="357">
        <f>'Hodnocení '!IU139</f>
        <v>0</v>
      </c>
      <c r="IV143" s="357">
        <f>'Hodnocení '!IV139</f>
        <v>0</v>
      </c>
      <c r="IW143" s="357">
        <f>'Hodnocení '!IW139</f>
        <v>0</v>
      </c>
      <c r="IX143" s="357">
        <f>'Hodnocení '!IX139</f>
        <v>0</v>
      </c>
      <c r="IY143" s="357">
        <f>'Hodnocení '!IY139</f>
        <v>0</v>
      </c>
      <c r="IZ143" s="357">
        <f>'Hodnocení '!IZ139</f>
        <v>0</v>
      </c>
      <c r="JA143" s="357">
        <f>'Hodnocení '!JA139</f>
        <v>0</v>
      </c>
      <c r="JB143" s="357">
        <f>'Hodnocení '!JB139</f>
        <v>0</v>
      </c>
      <c r="JC143" s="357">
        <f>'Hodnocení '!JC139</f>
        <v>0</v>
      </c>
      <c r="JD143" s="357">
        <f>'Hodnocení '!JD139</f>
        <v>0</v>
      </c>
      <c r="JE143" s="357">
        <f>'Hodnocení '!JE139</f>
        <v>0</v>
      </c>
      <c r="JF143" s="357">
        <f>'Hodnocení '!JF139</f>
        <v>0</v>
      </c>
      <c r="JG143" s="357">
        <f>'Hodnocení '!JG139</f>
        <v>0</v>
      </c>
      <c r="JH143" s="772">
        <f>'Hodnocení '!JH139</f>
        <v>0</v>
      </c>
      <c r="JI143" s="315">
        <f>'Hodnocení '!JI139</f>
        <v>0</v>
      </c>
    </row>
    <row r="144" spans="1:276" hidden="1" x14ac:dyDescent="0.25">
      <c r="A144" s="724">
        <v>439</v>
      </c>
      <c r="B144" s="754" t="s">
        <v>59</v>
      </c>
      <c r="C144" s="615">
        <f>'Hodnocení '!C140</f>
        <v>0</v>
      </c>
      <c r="D144" s="616">
        <f>'Hodnocení '!D140</f>
        <v>0</v>
      </c>
      <c r="E144" s="616">
        <f>'Hodnocení '!E140</f>
        <v>0</v>
      </c>
      <c r="F144" s="616">
        <f>'Hodnocení '!F140</f>
        <v>0</v>
      </c>
      <c r="G144" s="616">
        <f>'Hodnocení '!G140</f>
        <v>0</v>
      </c>
      <c r="H144" s="616">
        <f>'Hodnocení '!H140</f>
        <v>0</v>
      </c>
      <c r="I144" s="616">
        <f>'Hodnocení '!I140</f>
        <v>0</v>
      </c>
      <c r="J144" s="616">
        <f>'Hodnocení '!J140</f>
        <v>0</v>
      </c>
      <c r="K144" s="616">
        <f>'Hodnocení '!K140</f>
        <v>0</v>
      </c>
      <c r="L144" s="616">
        <f>'Hodnocení '!L140</f>
        <v>0</v>
      </c>
      <c r="M144" s="616">
        <f>'Hodnocení '!M140</f>
        <v>0</v>
      </c>
      <c r="N144" s="616">
        <f>'Hodnocení '!N140</f>
        <v>0</v>
      </c>
      <c r="O144" s="616">
        <f>'Hodnocení '!O140</f>
        <v>0</v>
      </c>
      <c r="P144" s="616">
        <f>'Hodnocení '!P140</f>
        <v>0</v>
      </c>
      <c r="Q144" s="616">
        <f>'Hodnocení '!Q140</f>
        <v>0</v>
      </c>
      <c r="R144" s="616">
        <f>'Hodnocení '!R140</f>
        <v>0</v>
      </c>
      <c r="S144" s="616">
        <f>'Hodnocení '!S140</f>
        <v>0</v>
      </c>
      <c r="T144" s="616">
        <f>'Hodnocení '!T140</f>
        <v>0</v>
      </c>
      <c r="U144" s="616">
        <f>'Hodnocení '!U140</f>
        <v>0</v>
      </c>
      <c r="V144" s="616">
        <f>'Hodnocení '!V140</f>
        <v>0</v>
      </c>
      <c r="W144" s="616">
        <f>'Hodnocení '!W140</f>
        <v>0</v>
      </c>
      <c r="X144" s="616">
        <f>'Hodnocení '!X140</f>
        <v>0</v>
      </c>
      <c r="Y144" s="616">
        <f>'Hodnocení '!Y140</f>
        <v>0</v>
      </c>
      <c r="Z144" s="616">
        <f>'Hodnocení '!Z140</f>
        <v>0</v>
      </c>
      <c r="AA144" s="616">
        <f>'Hodnocení '!AA140</f>
        <v>0</v>
      </c>
      <c r="AB144" s="616">
        <f>'Hodnocení '!AB140</f>
        <v>0</v>
      </c>
      <c r="AC144" s="616">
        <f>'Hodnocení '!AC140</f>
        <v>0</v>
      </c>
      <c r="AD144" s="616">
        <f>'Hodnocení '!AD140</f>
        <v>0</v>
      </c>
      <c r="AE144" s="616">
        <f>'Hodnocení '!AE140</f>
        <v>0</v>
      </c>
      <c r="AF144" s="616">
        <f>'Hodnocení '!AF140</f>
        <v>0</v>
      </c>
      <c r="AG144" s="616">
        <f>'Hodnocení '!AG140</f>
        <v>0</v>
      </c>
      <c r="AH144" s="616">
        <f>'Hodnocení '!AH140</f>
        <v>0</v>
      </c>
      <c r="AI144" s="616">
        <f>'Hodnocení '!AI140</f>
        <v>0</v>
      </c>
      <c r="AJ144" s="616">
        <f>'Hodnocení '!AJ140</f>
        <v>0</v>
      </c>
      <c r="AK144" s="616">
        <f>'Hodnocení '!AK140</f>
        <v>0</v>
      </c>
      <c r="AL144" s="616">
        <f>'Hodnocení '!AL140</f>
        <v>0</v>
      </c>
      <c r="AM144" s="616">
        <f>'Hodnocení '!AM140</f>
        <v>0</v>
      </c>
      <c r="AN144" s="616">
        <f>'Hodnocení '!AN140</f>
        <v>0</v>
      </c>
      <c r="AO144" s="616">
        <f>'Hodnocení '!AO140</f>
        <v>0</v>
      </c>
      <c r="AP144" s="616">
        <f>'Hodnocení '!AP140</f>
        <v>42000</v>
      </c>
      <c r="AQ144" s="616">
        <f>'Hodnocení '!AQ140</f>
        <v>0</v>
      </c>
      <c r="AR144" s="616">
        <f>'Hodnocení '!AR140</f>
        <v>0</v>
      </c>
      <c r="AS144" s="616">
        <f>'Hodnocení '!AS140</f>
        <v>0</v>
      </c>
      <c r="AT144" s="616">
        <f>'Hodnocení '!AT140</f>
        <v>0</v>
      </c>
      <c r="AU144" s="616">
        <f>'Hodnocení '!AU140</f>
        <v>0</v>
      </c>
      <c r="AV144" s="616">
        <f>'Hodnocení '!AV140</f>
        <v>0</v>
      </c>
      <c r="AW144" s="616">
        <f>'Hodnocení '!AW140</f>
        <v>0</v>
      </c>
      <c r="AX144" s="616">
        <f>'Hodnocení '!AX140</f>
        <v>4875</v>
      </c>
      <c r="AY144" s="616">
        <f>'Hodnocení '!AY140</f>
        <v>3700</v>
      </c>
      <c r="AZ144" s="616">
        <f>'Hodnocení '!AZ140</f>
        <v>3656</v>
      </c>
      <c r="BA144" s="616">
        <f>'Hodnocení '!BA140</f>
        <v>0</v>
      </c>
      <c r="BB144" s="616">
        <f>'Hodnocení '!BB140</f>
        <v>0</v>
      </c>
      <c r="BC144" s="616">
        <f>'Hodnocení '!BC140</f>
        <v>0</v>
      </c>
      <c r="BD144" s="616">
        <f>'Hodnocení '!BD140</f>
        <v>0</v>
      </c>
      <c r="BE144" s="616">
        <f>'Hodnocení '!BE140</f>
        <v>0</v>
      </c>
      <c r="BF144" s="616">
        <f>'Hodnocení '!BF140</f>
        <v>0</v>
      </c>
      <c r="BG144" s="616">
        <f>'Hodnocení '!BG140</f>
        <v>0</v>
      </c>
      <c r="BH144" s="616">
        <f>'Hodnocení '!BH140</f>
        <v>0</v>
      </c>
      <c r="BI144" s="616">
        <f>'Hodnocení '!BI140</f>
        <v>1100000</v>
      </c>
      <c r="BJ144" s="616">
        <f>'Hodnocení '!BJ140</f>
        <v>0</v>
      </c>
      <c r="BK144" s="616">
        <f>'Hodnocení '!BK140</f>
        <v>0</v>
      </c>
      <c r="BL144" s="616">
        <f>'Hodnocení '!BL140</f>
        <v>0</v>
      </c>
      <c r="BM144" s="616">
        <f>'Hodnocení '!BM140</f>
        <v>0</v>
      </c>
      <c r="BN144" s="616">
        <f>'Hodnocení '!BN140</f>
        <v>0</v>
      </c>
      <c r="BO144" s="616">
        <f>'Hodnocení '!BO140</f>
        <v>0</v>
      </c>
      <c r="BP144" s="616">
        <f>'Hodnocení '!BP140</f>
        <v>0</v>
      </c>
      <c r="BQ144" s="616">
        <f>'Hodnocení '!BQ140</f>
        <v>0</v>
      </c>
      <c r="BR144" s="616">
        <f>'Hodnocení '!BR140</f>
        <v>0</v>
      </c>
      <c r="BS144" s="616">
        <f>'Hodnocení '!BS140</f>
        <v>0</v>
      </c>
      <c r="BT144" s="616">
        <f>'Hodnocení '!BT140</f>
        <v>0</v>
      </c>
      <c r="BU144" s="616">
        <f>'Hodnocení '!BU140</f>
        <v>0</v>
      </c>
      <c r="BV144" s="616">
        <f>'Hodnocení '!BV140</f>
        <v>0</v>
      </c>
      <c r="BW144" s="616">
        <f>'Hodnocení '!BW140</f>
        <v>0</v>
      </c>
      <c r="BX144" s="616">
        <f>'Hodnocení '!BX140</f>
        <v>0</v>
      </c>
      <c r="BY144" s="616">
        <f>'Hodnocení '!BY140</f>
        <v>0</v>
      </c>
      <c r="BZ144" s="616">
        <f>'Hodnocení '!BZ140</f>
        <v>0</v>
      </c>
      <c r="CA144" s="616">
        <f>'Hodnocení '!CA140</f>
        <v>0</v>
      </c>
      <c r="CB144" s="616">
        <f>'Hodnocení '!CB140</f>
        <v>0</v>
      </c>
      <c r="CC144" s="616">
        <f>'Hodnocení '!CC140</f>
        <v>0</v>
      </c>
      <c r="CD144" s="616">
        <f>'Hodnocení '!CD140</f>
        <v>0</v>
      </c>
      <c r="CE144" s="616">
        <f>'Hodnocení '!CE140</f>
        <v>0</v>
      </c>
      <c r="CF144" s="616">
        <f>'Hodnocení '!CF140</f>
        <v>0</v>
      </c>
      <c r="CG144" s="616">
        <f>'Hodnocení '!CG140</f>
        <v>126000</v>
      </c>
      <c r="CH144" s="616">
        <f>'Hodnocení '!CH140</f>
        <v>0</v>
      </c>
      <c r="CI144" s="616">
        <f>'Hodnocení '!CI140</f>
        <v>0</v>
      </c>
      <c r="CJ144" s="616">
        <f>'Hodnocení '!CJ140</f>
        <v>0</v>
      </c>
      <c r="CK144" s="616">
        <f>'Hodnocení '!CK140</f>
        <v>0</v>
      </c>
      <c r="CL144" s="616">
        <f>'Hodnocení '!CL140</f>
        <v>0</v>
      </c>
      <c r="CM144" s="616">
        <f>'Hodnocení '!CM140</f>
        <v>0</v>
      </c>
      <c r="CN144" s="616">
        <f>'Hodnocení '!CN140</f>
        <v>0</v>
      </c>
      <c r="CO144" s="616">
        <f>'Hodnocení '!CO140</f>
        <v>0</v>
      </c>
      <c r="CP144" s="616">
        <f>'Hodnocení '!CP140</f>
        <v>0</v>
      </c>
      <c r="CQ144" s="616">
        <f>'Hodnocení '!CQ140</f>
        <v>0</v>
      </c>
      <c r="CR144" s="616">
        <f>'Hodnocení '!CR140</f>
        <v>0</v>
      </c>
      <c r="CS144" s="616">
        <f>'Hodnocení '!CS140</f>
        <v>0</v>
      </c>
      <c r="CT144" s="616">
        <f>'Hodnocení '!CT140</f>
        <v>0</v>
      </c>
      <c r="CU144" s="616">
        <f>'Hodnocení '!CU140</f>
        <v>0</v>
      </c>
      <c r="CV144" s="616">
        <f>'Hodnocení '!CV140</f>
        <v>0</v>
      </c>
      <c r="CW144" s="616">
        <f>'Hodnocení '!CW140</f>
        <v>0</v>
      </c>
      <c r="CX144" s="616">
        <f>'Hodnocení '!CX140</f>
        <v>0</v>
      </c>
      <c r="CY144" s="616">
        <f>'Hodnocení '!CY140</f>
        <v>0</v>
      </c>
      <c r="CZ144" s="616">
        <f>'Hodnocení '!CZ140</f>
        <v>0</v>
      </c>
      <c r="DA144" s="616">
        <f>'Hodnocení '!DA140</f>
        <v>2100000</v>
      </c>
      <c r="DB144" s="616">
        <f>'Hodnocení '!DB140</f>
        <v>0</v>
      </c>
      <c r="DC144" s="616">
        <f>'Hodnocení '!DC140</f>
        <v>120000</v>
      </c>
      <c r="DD144" s="616">
        <f>'Hodnocení '!DD140</f>
        <v>0</v>
      </c>
      <c r="DE144" s="616">
        <f>'Hodnocení '!DE140</f>
        <v>0</v>
      </c>
      <c r="DF144" s="616">
        <f>'Hodnocení '!DF140</f>
        <v>0</v>
      </c>
      <c r="DG144" s="616">
        <f>'Hodnocení '!DG140</f>
        <v>0</v>
      </c>
      <c r="DH144" s="616">
        <f>'Hodnocení '!DH140</f>
        <v>0</v>
      </c>
      <c r="DI144" s="616">
        <f>'Hodnocení '!DI140</f>
        <v>0</v>
      </c>
      <c r="DJ144" s="616">
        <f>'Hodnocení '!DJ140</f>
        <v>0</v>
      </c>
      <c r="DK144" s="616">
        <f>'Hodnocení '!DK140</f>
        <v>0</v>
      </c>
      <c r="DL144" s="616">
        <f>'Hodnocení '!DL140</f>
        <v>0</v>
      </c>
      <c r="DM144" s="616">
        <f>'Hodnocení '!DM140</f>
        <v>0</v>
      </c>
      <c r="DN144" s="616">
        <f>'Hodnocení '!DN140</f>
        <v>0</v>
      </c>
      <c r="DO144" s="616">
        <f>'Hodnocení '!DO140</f>
        <v>0</v>
      </c>
      <c r="DP144" s="616">
        <f>'Hodnocení '!DP140</f>
        <v>0</v>
      </c>
      <c r="DQ144" s="616">
        <f>'Hodnocení '!DQ140</f>
        <v>0</v>
      </c>
      <c r="DR144" s="616">
        <f>'Hodnocení '!DR140</f>
        <v>0</v>
      </c>
      <c r="DS144" s="616">
        <f>'Hodnocení '!DS140</f>
        <v>0</v>
      </c>
      <c r="DT144" s="616">
        <f>'Hodnocení '!DT140</f>
        <v>0</v>
      </c>
      <c r="DU144" s="616">
        <f>'Hodnocení '!DU140</f>
        <v>0</v>
      </c>
      <c r="DV144" s="616">
        <f>'Hodnocení '!DV140</f>
        <v>1000000</v>
      </c>
      <c r="DW144" s="616">
        <f>'Hodnocení '!DW140</f>
        <v>0</v>
      </c>
      <c r="DX144" s="616">
        <f>'Hodnocení '!DX140</f>
        <v>0</v>
      </c>
      <c r="DY144" s="616">
        <f>'Hodnocení '!DY140</f>
        <v>0</v>
      </c>
      <c r="DZ144" s="616">
        <f>'Hodnocení '!DZ140</f>
        <v>0</v>
      </c>
      <c r="EA144" s="616">
        <f>'Hodnocení '!EA140</f>
        <v>0</v>
      </c>
      <c r="EB144" s="616">
        <f>'Hodnocení '!EB140</f>
        <v>0</v>
      </c>
      <c r="EC144" s="616">
        <f>'Hodnocení '!EC140</f>
        <v>108000</v>
      </c>
      <c r="ED144" s="616">
        <f>'Hodnocení '!ED140</f>
        <v>0</v>
      </c>
      <c r="EE144" s="616">
        <f>'Hodnocení '!EE140</f>
        <v>157376</v>
      </c>
      <c r="EF144" s="616">
        <f>'Hodnocení '!EF140</f>
        <v>145000</v>
      </c>
      <c r="EG144" s="616">
        <f>'Hodnocení '!EG140</f>
        <v>0</v>
      </c>
      <c r="EH144" s="616">
        <f>'Hodnocení '!EH140</f>
        <v>165000</v>
      </c>
      <c r="EI144" s="616">
        <f>'Hodnocení '!EI140</f>
        <v>116247</v>
      </c>
      <c r="EJ144" s="616">
        <f>'Hodnocení '!EJ140</f>
        <v>174460</v>
      </c>
      <c r="EK144" s="616">
        <f>'Hodnocení '!EK140</f>
        <v>0</v>
      </c>
      <c r="EL144" s="616">
        <f>'Hodnocení '!EL140</f>
        <v>0</v>
      </c>
      <c r="EM144" s="616">
        <f>'Hodnocení '!EM140</f>
        <v>0</v>
      </c>
      <c r="EN144" s="616">
        <f>'Hodnocení '!EN140</f>
        <v>0</v>
      </c>
      <c r="EO144" s="616">
        <f>'Hodnocení '!EO140</f>
        <v>0</v>
      </c>
      <c r="EP144" s="616">
        <f>'Hodnocení '!EP140</f>
        <v>320000</v>
      </c>
      <c r="EQ144" s="616">
        <f>'Hodnocení '!EQ140</f>
        <v>200000</v>
      </c>
      <c r="ER144" s="616">
        <f>'Hodnocení '!ER140</f>
        <v>0</v>
      </c>
      <c r="ES144" s="616">
        <f>'Hodnocení '!ES140</f>
        <v>0</v>
      </c>
      <c r="ET144" s="616">
        <f>'Hodnocení '!ET140</f>
        <v>0</v>
      </c>
      <c r="EU144" s="616">
        <f>'Hodnocení '!EU140</f>
        <v>0</v>
      </c>
      <c r="EV144" s="616">
        <f>'Hodnocení '!EV140</f>
        <v>0</v>
      </c>
      <c r="EW144" s="616">
        <f>'Hodnocení '!EW140</f>
        <v>0</v>
      </c>
      <c r="EX144" s="616">
        <f>'Hodnocení '!EX140</f>
        <v>0</v>
      </c>
      <c r="EY144" s="616">
        <f>'Hodnocení '!EY140</f>
        <v>0</v>
      </c>
      <c r="EZ144" s="616">
        <f>'Hodnocení '!EZ140</f>
        <v>0</v>
      </c>
      <c r="FA144" s="616">
        <f>'Hodnocení '!FA140</f>
        <v>0</v>
      </c>
      <c r="FB144" s="616">
        <f>'Hodnocení '!FB140</f>
        <v>0</v>
      </c>
      <c r="FC144" s="616">
        <f>'Hodnocení '!FC140</f>
        <v>0</v>
      </c>
      <c r="FD144" s="616">
        <f>'Hodnocení '!FD140</f>
        <v>0</v>
      </c>
      <c r="FE144" s="616">
        <f>'Hodnocení '!FE140</f>
        <v>0</v>
      </c>
      <c r="FF144" s="616">
        <f>'Hodnocení '!FF140</f>
        <v>0</v>
      </c>
      <c r="FG144" s="616">
        <f>'Hodnocení '!FG140</f>
        <v>0</v>
      </c>
      <c r="FH144" s="616">
        <f>'Hodnocení '!FH140</f>
        <v>0</v>
      </c>
      <c r="FI144" s="616">
        <f>'Hodnocení '!FI140</f>
        <v>0</v>
      </c>
      <c r="FJ144" s="616">
        <f>'Hodnocení '!FJ140</f>
        <v>0</v>
      </c>
      <c r="FK144" s="616">
        <f>'Hodnocení '!FK140</f>
        <v>0</v>
      </c>
      <c r="FL144" s="616">
        <f>'Hodnocení '!FL140</f>
        <v>0</v>
      </c>
      <c r="FM144" s="616">
        <f>'Hodnocení '!FM140</f>
        <v>0</v>
      </c>
      <c r="FN144" s="616">
        <f>'Hodnocení '!FN140</f>
        <v>0</v>
      </c>
      <c r="FO144" s="616">
        <f>'Hodnocení '!FO140</f>
        <v>0</v>
      </c>
      <c r="FP144" s="616">
        <f>'Hodnocení '!FP140</f>
        <v>0</v>
      </c>
      <c r="FQ144" s="616">
        <f>'Hodnocení '!FQ140</f>
        <v>0</v>
      </c>
      <c r="FR144" s="616">
        <f>'Hodnocení '!FR140</f>
        <v>0</v>
      </c>
      <c r="FS144" s="616">
        <f>'Hodnocení '!FS140</f>
        <v>0</v>
      </c>
      <c r="FT144" s="616">
        <f>'Hodnocení '!FT140</f>
        <v>0</v>
      </c>
      <c r="FU144" s="616">
        <f>'Hodnocení '!FU140</f>
        <v>0</v>
      </c>
      <c r="FV144" s="616">
        <f>'Hodnocení '!FV140</f>
        <v>0</v>
      </c>
      <c r="FW144" s="616">
        <f>'Hodnocení '!FW140</f>
        <v>0</v>
      </c>
      <c r="FX144" s="616">
        <f>'Hodnocení '!FX140</f>
        <v>0</v>
      </c>
      <c r="FY144" s="616">
        <f>'Hodnocení '!FY140</f>
        <v>0</v>
      </c>
      <c r="FZ144" s="616">
        <f>'Hodnocení '!FZ140</f>
        <v>0</v>
      </c>
      <c r="GA144" s="616">
        <f>'Hodnocení '!GA140</f>
        <v>0</v>
      </c>
      <c r="GB144" s="616">
        <f>'Hodnocení '!GB140</f>
        <v>3520000</v>
      </c>
      <c r="GC144" s="616">
        <f>'Hodnocení '!GC140</f>
        <v>0</v>
      </c>
      <c r="GD144" s="616">
        <f>'Hodnocení '!GD140</f>
        <v>0</v>
      </c>
      <c r="GE144" s="616">
        <f>'Hodnocení '!GE140</f>
        <v>0</v>
      </c>
      <c r="GF144" s="616">
        <f>'Hodnocení '!GF140</f>
        <v>0</v>
      </c>
      <c r="GG144" s="616">
        <f>'Hodnocení '!GG140</f>
        <v>0</v>
      </c>
      <c r="GH144" s="616">
        <f>'Hodnocení '!GH140</f>
        <v>0</v>
      </c>
      <c r="GI144" s="616">
        <f>'Hodnocení '!GI140</f>
        <v>0</v>
      </c>
      <c r="GJ144" s="616">
        <f>'Hodnocení '!GJ140</f>
        <v>0</v>
      </c>
      <c r="GK144" s="616">
        <f>'Hodnocení '!GK140</f>
        <v>0</v>
      </c>
      <c r="GL144" s="616">
        <f>'Hodnocení '!GL140</f>
        <v>0</v>
      </c>
      <c r="GM144" s="616">
        <f>'Hodnocení '!GM140</f>
        <v>0</v>
      </c>
      <c r="GN144" s="616">
        <f>'Hodnocení '!GN140</f>
        <v>0</v>
      </c>
      <c r="GO144" s="616">
        <f>'Hodnocení '!GO140</f>
        <v>0</v>
      </c>
      <c r="GP144" s="616">
        <f>'Hodnocení '!GP140</f>
        <v>0</v>
      </c>
      <c r="GQ144" s="616">
        <f>'Hodnocení '!GQ140</f>
        <v>0</v>
      </c>
      <c r="GR144" s="616">
        <f>'Hodnocení '!GR140</f>
        <v>0</v>
      </c>
      <c r="GS144" s="616">
        <f>'Hodnocení '!GS140</f>
        <v>0</v>
      </c>
      <c r="GT144" s="616">
        <f>'Hodnocení '!GT140</f>
        <v>0</v>
      </c>
      <c r="GU144" s="616">
        <f>'Hodnocení '!GU140</f>
        <v>0</v>
      </c>
      <c r="GV144" s="616">
        <f>'Hodnocení '!GV140</f>
        <v>0</v>
      </c>
      <c r="GW144" s="616">
        <f>'Hodnocení '!GW140</f>
        <v>0</v>
      </c>
      <c r="GX144" s="616">
        <f>'Hodnocení '!GX140</f>
        <v>0</v>
      </c>
      <c r="GY144" s="616">
        <f>'Hodnocení '!GY140</f>
        <v>0</v>
      </c>
      <c r="GZ144" s="616">
        <f>'Hodnocení '!GZ140</f>
        <v>0</v>
      </c>
      <c r="HA144" s="616">
        <f>'Hodnocení '!HA140</f>
        <v>0</v>
      </c>
      <c r="HB144" s="616">
        <f>'Hodnocení '!HB140</f>
        <v>0</v>
      </c>
      <c r="HC144" s="616">
        <f>'Hodnocení '!HC140</f>
        <v>0</v>
      </c>
      <c r="HD144" s="616">
        <f>'Hodnocení '!HD140</f>
        <v>0</v>
      </c>
      <c r="HE144" s="616">
        <f>'Hodnocení '!HE140</f>
        <v>0</v>
      </c>
      <c r="HF144" s="616">
        <f>'Hodnocení '!HF140</f>
        <v>0</v>
      </c>
      <c r="HG144" s="616">
        <f>'Hodnocení '!HG140</f>
        <v>0</v>
      </c>
      <c r="HH144" s="616">
        <f>'Hodnocení '!HH140</f>
        <v>0</v>
      </c>
      <c r="HI144" s="616">
        <f>'Hodnocení '!HI140</f>
        <v>0</v>
      </c>
      <c r="HJ144" s="616">
        <f>'Hodnocení '!HJ140</f>
        <v>0</v>
      </c>
      <c r="HK144" s="616">
        <f>'Hodnocení '!HK140</f>
        <v>0</v>
      </c>
      <c r="HL144" s="616">
        <f>'Hodnocení '!HL140</f>
        <v>0</v>
      </c>
      <c r="HM144" s="616">
        <f>'Hodnocení '!HM140</f>
        <v>0</v>
      </c>
      <c r="HN144" s="616">
        <f>'Hodnocení '!HN140</f>
        <v>0</v>
      </c>
      <c r="HO144" s="616">
        <f>'Hodnocení '!HO140</f>
        <v>0</v>
      </c>
      <c r="HP144" s="616">
        <f>'Hodnocení '!HP140</f>
        <v>0</v>
      </c>
      <c r="HQ144" s="616">
        <f>'Hodnocení '!HQ140</f>
        <v>0</v>
      </c>
      <c r="HR144" s="616">
        <f>'Hodnocení '!HR140</f>
        <v>0</v>
      </c>
      <c r="HS144" s="616">
        <f>'Hodnocení '!HS140</f>
        <v>0</v>
      </c>
      <c r="HT144" s="616">
        <f>'Hodnocení '!HT140</f>
        <v>0</v>
      </c>
      <c r="HU144" s="616">
        <f>'Hodnocení '!HU140</f>
        <v>334115</v>
      </c>
      <c r="HV144" s="616">
        <f>'Hodnocení '!HV140</f>
        <v>0</v>
      </c>
      <c r="HW144" s="616">
        <f>'Hodnocení '!HW140</f>
        <v>0</v>
      </c>
      <c r="HX144" s="616">
        <f>'Hodnocení '!HX140</f>
        <v>0</v>
      </c>
      <c r="HY144" s="616">
        <f>'Hodnocení '!HY140</f>
        <v>0</v>
      </c>
      <c r="HZ144" s="616">
        <f>'Hodnocení '!HZ140</f>
        <v>0</v>
      </c>
      <c r="IA144" s="616">
        <f>'Hodnocení '!IA140</f>
        <v>0</v>
      </c>
      <c r="IB144" s="616">
        <f>'Hodnocení '!IB140</f>
        <v>0</v>
      </c>
      <c r="IC144" s="616">
        <f>'Hodnocení '!IC140</f>
        <v>0</v>
      </c>
      <c r="ID144" s="616">
        <f>'Hodnocení '!ID140</f>
        <v>0</v>
      </c>
      <c r="IE144" s="616">
        <f>'Hodnocení '!IE140</f>
        <v>0</v>
      </c>
      <c r="IF144" s="616">
        <f>'Hodnocení '!IF140</f>
        <v>0</v>
      </c>
      <c r="IG144" s="616">
        <f>'Hodnocení '!IG140</f>
        <v>0</v>
      </c>
      <c r="IH144" s="616">
        <f>'Hodnocení '!IH140</f>
        <v>0</v>
      </c>
      <c r="II144" s="616">
        <f>'Hodnocení '!II140</f>
        <v>0</v>
      </c>
      <c r="IJ144" s="616">
        <f>'Hodnocení '!IJ140</f>
        <v>0</v>
      </c>
      <c r="IK144" s="616">
        <f>'Hodnocení '!IK140</f>
        <v>0</v>
      </c>
      <c r="IL144" s="616">
        <f>'Hodnocení '!IL140</f>
        <v>0</v>
      </c>
      <c r="IM144" s="616">
        <f>'Hodnocení '!IM140</f>
        <v>0</v>
      </c>
      <c r="IN144" s="616">
        <f>'Hodnocení '!IN140</f>
        <v>0</v>
      </c>
      <c r="IO144" s="616">
        <f>'Hodnocení '!IO140</f>
        <v>0</v>
      </c>
      <c r="IP144" s="616">
        <f>'Hodnocení '!IP140</f>
        <v>0</v>
      </c>
      <c r="IQ144" s="616">
        <f>'Hodnocení '!IQ140</f>
        <v>0</v>
      </c>
      <c r="IR144" s="616">
        <f>'Hodnocení '!IR140</f>
        <v>0</v>
      </c>
      <c r="IS144" s="616">
        <f>'Hodnocení '!IS140</f>
        <v>0</v>
      </c>
      <c r="IT144" s="616">
        <f>'Hodnocení '!IT140</f>
        <v>0</v>
      </c>
      <c r="IU144" s="616">
        <f>'Hodnocení '!IU140</f>
        <v>0</v>
      </c>
      <c r="IV144" s="616">
        <f>'Hodnocení '!IV140</f>
        <v>0</v>
      </c>
      <c r="IW144" s="616">
        <f>'Hodnocení '!IW140</f>
        <v>0</v>
      </c>
      <c r="IX144" s="616">
        <f>'Hodnocení '!IX140</f>
        <v>0</v>
      </c>
      <c r="IY144" s="616">
        <f>'Hodnocení '!IY140</f>
        <v>0</v>
      </c>
      <c r="IZ144" s="616">
        <f>'Hodnocení '!IZ140</f>
        <v>0</v>
      </c>
      <c r="JA144" s="616">
        <f>'Hodnocení '!JA140</f>
        <v>0</v>
      </c>
      <c r="JB144" s="616">
        <f>'Hodnocení '!JB140</f>
        <v>0</v>
      </c>
      <c r="JC144" s="616">
        <f>'Hodnocení '!JC140</f>
        <v>0</v>
      </c>
      <c r="JD144" s="616">
        <f>'Hodnocení '!JD140</f>
        <v>0</v>
      </c>
      <c r="JE144" s="616">
        <f>'Hodnocení '!JE140</f>
        <v>0</v>
      </c>
      <c r="JF144" s="616">
        <f>'Hodnocení '!JF140</f>
        <v>0</v>
      </c>
      <c r="JG144" s="616">
        <f>'Hodnocení '!JG140</f>
        <v>0</v>
      </c>
      <c r="JH144" s="617">
        <f>'Hodnocení '!JH140</f>
        <v>0</v>
      </c>
      <c r="JI144" s="470">
        <f>'Hodnocení '!JI140</f>
        <v>9740429</v>
      </c>
    </row>
    <row r="145" spans="1:276" hidden="1" x14ac:dyDescent="0.25">
      <c r="A145" s="725">
        <v>456</v>
      </c>
      <c r="B145" s="755" t="s">
        <v>64</v>
      </c>
      <c r="C145" s="618">
        <f>'Hodnocení '!C141</f>
        <v>0</v>
      </c>
      <c r="D145" s="465">
        <f>'Hodnocení '!D141</f>
        <v>0</v>
      </c>
      <c r="E145" s="465">
        <f>'Hodnocení '!E141</f>
        <v>0</v>
      </c>
      <c r="F145" s="465">
        <f>'Hodnocení '!F141</f>
        <v>0</v>
      </c>
      <c r="G145" s="465">
        <f>'Hodnocení '!G141</f>
        <v>0</v>
      </c>
      <c r="H145" s="465">
        <f>'Hodnocení '!H141</f>
        <v>0</v>
      </c>
      <c r="I145" s="465">
        <f>'Hodnocení '!I141</f>
        <v>0</v>
      </c>
      <c r="J145" s="465">
        <f>'Hodnocení '!J141</f>
        <v>0</v>
      </c>
      <c r="K145" s="465">
        <f>'Hodnocení '!K141</f>
        <v>0</v>
      </c>
      <c r="L145" s="465">
        <f>'Hodnocení '!L141</f>
        <v>0</v>
      </c>
      <c r="M145" s="465">
        <f>'Hodnocení '!M141</f>
        <v>0</v>
      </c>
      <c r="N145" s="465">
        <f>'Hodnocení '!N141</f>
        <v>0</v>
      </c>
      <c r="O145" s="465">
        <f>'Hodnocení '!O141</f>
        <v>0</v>
      </c>
      <c r="P145" s="465">
        <f>'Hodnocení '!P141</f>
        <v>0</v>
      </c>
      <c r="Q145" s="465">
        <f>'Hodnocení '!Q141</f>
        <v>0</v>
      </c>
      <c r="R145" s="465">
        <f>'Hodnocení '!R141</f>
        <v>0</v>
      </c>
      <c r="S145" s="465">
        <f>'Hodnocení '!S141</f>
        <v>0</v>
      </c>
      <c r="T145" s="465">
        <f>'Hodnocení '!T141</f>
        <v>0</v>
      </c>
      <c r="U145" s="465">
        <f>'Hodnocení '!U141</f>
        <v>0</v>
      </c>
      <c r="V145" s="465">
        <f>'Hodnocení '!V141</f>
        <v>0</v>
      </c>
      <c r="W145" s="465">
        <f>'Hodnocení '!W141</f>
        <v>0</v>
      </c>
      <c r="X145" s="465">
        <f>'Hodnocení '!X141</f>
        <v>0</v>
      </c>
      <c r="Y145" s="465">
        <f>'Hodnocení '!Y141</f>
        <v>0</v>
      </c>
      <c r="Z145" s="465">
        <f>'Hodnocení '!Z141</f>
        <v>0</v>
      </c>
      <c r="AA145" s="465">
        <f>'Hodnocení '!AA141</f>
        <v>0</v>
      </c>
      <c r="AB145" s="465">
        <f>'Hodnocení '!AB141</f>
        <v>0</v>
      </c>
      <c r="AC145" s="465">
        <f>'Hodnocení '!AC141</f>
        <v>0</v>
      </c>
      <c r="AD145" s="465">
        <f>'Hodnocení '!AD141</f>
        <v>0</v>
      </c>
      <c r="AE145" s="465">
        <f>'Hodnocení '!AE141</f>
        <v>0</v>
      </c>
      <c r="AF145" s="465">
        <f>'Hodnocení '!AF141</f>
        <v>0</v>
      </c>
      <c r="AG145" s="465">
        <f>'Hodnocení '!AG141</f>
        <v>0</v>
      </c>
      <c r="AH145" s="465">
        <f>'Hodnocení '!AH141</f>
        <v>0</v>
      </c>
      <c r="AI145" s="465">
        <f>'Hodnocení '!AI141</f>
        <v>0</v>
      </c>
      <c r="AJ145" s="465">
        <f>'Hodnocení '!AJ141</f>
        <v>0</v>
      </c>
      <c r="AK145" s="465">
        <f>'Hodnocení '!AK141</f>
        <v>40000</v>
      </c>
      <c r="AL145" s="465">
        <f>'Hodnocení '!AL141</f>
        <v>0</v>
      </c>
      <c r="AM145" s="465">
        <f>'Hodnocení '!AM141</f>
        <v>0</v>
      </c>
      <c r="AN145" s="465">
        <f>'Hodnocení '!AN141</f>
        <v>0</v>
      </c>
      <c r="AO145" s="465">
        <f>'Hodnocení '!AO141</f>
        <v>0</v>
      </c>
      <c r="AP145" s="465">
        <f>'Hodnocení '!AP141</f>
        <v>0</v>
      </c>
      <c r="AQ145" s="465">
        <f>'Hodnocení '!AQ141</f>
        <v>0</v>
      </c>
      <c r="AR145" s="465">
        <f>'Hodnocení '!AR141</f>
        <v>0</v>
      </c>
      <c r="AS145" s="465">
        <f>'Hodnocení '!AS141</f>
        <v>0</v>
      </c>
      <c r="AT145" s="465">
        <f>'Hodnocení '!AT141</f>
        <v>0</v>
      </c>
      <c r="AU145" s="465">
        <f>'Hodnocení '!AU141</f>
        <v>0</v>
      </c>
      <c r="AV145" s="465">
        <f>'Hodnocení '!AV141</f>
        <v>0</v>
      </c>
      <c r="AW145" s="465">
        <f>'Hodnocení '!AW141</f>
        <v>0</v>
      </c>
      <c r="AX145" s="465">
        <f>'Hodnocení '!AX141</f>
        <v>0</v>
      </c>
      <c r="AY145" s="465">
        <f>'Hodnocení '!AY141</f>
        <v>0</v>
      </c>
      <c r="AZ145" s="465">
        <f>'Hodnocení '!AZ141</f>
        <v>0</v>
      </c>
      <c r="BA145" s="465">
        <f>'Hodnocení '!BA141</f>
        <v>0</v>
      </c>
      <c r="BB145" s="465">
        <f>'Hodnocení '!BB141</f>
        <v>0</v>
      </c>
      <c r="BC145" s="465">
        <f>'Hodnocení '!BC141</f>
        <v>0</v>
      </c>
      <c r="BD145" s="465">
        <f>'Hodnocení '!BD141</f>
        <v>0</v>
      </c>
      <c r="BE145" s="465">
        <f>'Hodnocení '!BE141</f>
        <v>0</v>
      </c>
      <c r="BF145" s="465">
        <f>'Hodnocení '!BF141</f>
        <v>847190</v>
      </c>
      <c r="BG145" s="465">
        <f>'Hodnocení '!BG141</f>
        <v>645000</v>
      </c>
      <c r="BH145" s="465">
        <f>'Hodnocení '!BH141</f>
        <v>667000</v>
      </c>
      <c r="BI145" s="465">
        <f>'Hodnocení '!BI141</f>
        <v>0</v>
      </c>
      <c r="BJ145" s="465">
        <f>'Hodnocení '!BJ141</f>
        <v>0</v>
      </c>
      <c r="BK145" s="465">
        <f>'Hodnocení '!BK141</f>
        <v>0</v>
      </c>
      <c r="BL145" s="465">
        <f>'Hodnocení '!BL141</f>
        <v>0</v>
      </c>
      <c r="BM145" s="465">
        <f>'Hodnocení '!BM141</f>
        <v>0</v>
      </c>
      <c r="BN145" s="465">
        <f>'Hodnocení '!BN141</f>
        <v>0</v>
      </c>
      <c r="BO145" s="465">
        <f>'Hodnocení '!BO141</f>
        <v>0</v>
      </c>
      <c r="BP145" s="465">
        <f>'Hodnocení '!BP141</f>
        <v>0</v>
      </c>
      <c r="BQ145" s="465">
        <f>'Hodnocení '!BQ141</f>
        <v>0</v>
      </c>
      <c r="BR145" s="465">
        <f>'Hodnocení '!BR141</f>
        <v>0</v>
      </c>
      <c r="BS145" s="465">
        <f>'Hodnocení '!BS141</f>
        <v>0</v>
      </c>
      <c r="BT145" s="465">
        <f>'Hodnocení '!BT141</f>
        <v>0</v>
      </c>
      <c r="BU145" s="465">
        <f>'Hodnocení '!BU141</f>
        <v>0</v>
      </c>
      <c r="BV145" s="465">
        <f>'Hodnocení '!BV141</f>
        <v>0</v>
      </c>
      <c r="BW145" s="465">
        <f>'Hodnocení '!BW141</f>
        <v>0</v>
      </c>
      <c r="BX145" s="465">
        <f>'Hodnocení '!BX141</f>
        <v>0</v>
      </c>
      <c r="BY145" s="465">
        <f>'Hodnocení '!BY141</f>
        <v>0</v>
      </c>
      <c r="BZ145" s="465">
        <f>'Hodnocení '!BZ141</f>
        <v>0</v>
      </c>
      <c r="CA145" s="465">
        <f>'Hodnocení '!CA141</f>
        <v>0</v>
      </c>
      <c r="CB145" s="465">
        <f>'Hodnocení '!CB141</f>
        <v>0</v>
      </c>
      <c r="CC145" s="465">
        <f>'Hodnocení '!CC141</f>
        <v>0</v>
      </c>
      <c r="CD145" s="465">
        <f>'Hodnocení '!CD141</f>
        <v>0</v>
      </c>
      <c r="CE145" s="465">
        <f>'Hodnocení '!CE141</f>
        <v>0</v>
      </c>
      <c r="CF145" s="465">
        <f>'Hodnocení '!CF141</f>
        <v>0</v>
      </c>
      <c r="CG145" s="465">
        <f>'Hodnocení '!CG141</f>
        <v>0</v>
      </c>
      <c r="CH145" s="465">
        <f>'Hodnocení '!CH141</f>
        <v>0</v>
      </c>
      <c r="CI145" s="465">
        <f>'Hodnocení '!CI141</f>
        <v>0</v>
      </c>
      <c r="CJ145" s="465">
        <f>'Hodnocení '!CJ141</f>
        <v>0</v>
      </c>
      <c r="CK145" s="465">
        <f>'Hodnocení '!CK141</f>
        <v>0</v>
      </c>
      <c r="CL145" s="465">
        <f>'Hodnocení '!CL141</f>
        <v>0</v>
      </c>
      <c r="CM145" s="465">
        <f>'Hodnocení '!CM141</f>
        <v>0</v>
      </c>
      <c r="CN145" s="465">
        <f>'Hodnocení '!CN141</f>
        <v>0</v>
      </c>
      <c r="CO145" s="465">
        <f>'Hodnocení '!CO141</f>
        <v>0</v>
      </c>
      <c r="CP145" s="465">
        <f>'Hodnocení '!CP141</f>
        <v>0</v>
      </c>
      <c r="CQ145" s="465">
        <f>'Hodnocení '!CQ141</f>
        <v>0</v>
      </c>
      <c r="CR145" s="465">
        <f>'Hodnocení '!CR141</f>
        <v>0</v>
      </c>
      <c r="CS145" s="465">
        <f>'Hodnocení '!CS141</f>
        <v>0</v>
      </c>
      <c r="CT145" s="465">
        <f>'Hodnocení '!CT141</f>
        <v>0</v>
      </c>
      <c r="CU145" s="465">
        <f>'Hodnocení '!CU141</f>
        <v>0</v>
      </c>
      <c r="CV145" s="465">
        <f>'Hodnocení '!CV141</f>
        <v>0</v>
      </c>
      <c r="CW145" s="465">
        <f>'Hodnocení '!CW141</f>
        <v>0</v>
      </c>
      <c r="CX145" s="465">
        <f>'Hodnocení '!CX141</f>
        <v>0</v>
      </c>
      <c r="CY145" s="465">
        <f>'Hodnocení '!CY141</f>
        <v>0</v>
      </c>
      <c r="CZ145" s="465">
        <f>'Hodnocení '!CZ141</f>
        <v>0</v>
      </c>
      <c r="DA145" s="465">
        <f>'Hodnocení '!DA141</f>
        <v>0</v>
      </c>
      <c r="DB145" s="465">
        <f>'Hodnocení '!DB141</f>
        <v>0</v>
      </c>
      <c r="DC145" s="465">
        <f>'Hodnocení '!DC141</f>
        <v>0</v>
      </c>
      <c r="DD145" s="465">
        <f>'Hodnocení '!DD141</f>
        <v>0</v>
      </c>
      <c r="DE145" s="465">
        <f>'Hodnocení '!DE141</f>
        <v>0</v>
      </c>
      <c r="DF145" s="465">
        <f>'Hodnocení '!DF141</f>
        <v>1789112</v>
      </c>
      <c r="DG145" s="465">
        <f>'Hodnocení '!DG141</f>
        <v>0</v>
      </c>
      <c r="DH145" s="465">
        <f>'Hodnocení '!DH141</f>
        <v>0</v>
      </c>
      <c r="DI145" s="465">
        <f>'Hodnocení '!DI141</f>
        <v>0</v>
      </c>
      <c r="DJ145" s="465">
        <f>'Hodnocení '!DJ141</f>
        <v>0</v>
      </c>
      <c r="DK145" s="465">
        <f>'Hodnocení '!DK141</f>
        <v>0</v>
      </c>
      <c r="DL145" s="465">
        <f>'Hodnocení '!DL141</f>
        <v>0</v>
      </c>
      <c r="DM145" s="465">
        <f>'Hodnocení '!DM141</f>
        <v>0</v>
      </c>
      <c r="DN145" s="465">
        <f>'Hodnocení '!DN141</f>
        <v>0</v>
      </c>
      <c r="DO145" s="465">
        <f>'Hodnocení '!DO141</f>
        <v>0</v>
      </c>
      <c r="DP145" s="465">
        <f>'Hodnocení '!DP141</f>
        <v>0</v>
      </c>
      <c r="DQ145" s="465">
        <f>'Hodnocení '!DQ141</f>
        <v>0</v>
      </c>
      <c r="DR145" s="465">
        <f>'Hodnocení '!DR141</f>
        <v>0</v>
      </c>
      <c r="DS145" s="465">
        <f>'Hodnocení '!DS141</f>
        <v>0</v>
      </c>
      <c r="DT145" s="465">
        <f>'Hodnocení '!DT141</f>
        <v>0</v>
      </c>
      <c r="DU145" s="465">
        <f>'Hodnocení '!DU141</f>
        <v>0</v>
      </c>
      <c r="DV145" s="465">
        <f>'Hodnocení '!DV141</f>
        <v>0</v>
      </c>
      <c r="DW145" s="465">
        <f>'Hodnocení '!DW141</f>
        <v>0</v>
      </c>
      <c r="DX145" s="465">
        <f>'Hodnocení '!DX141</f>
        <v>0</v>
      </c>
      <c r="DY145" s="465">
        <f>'Hodnocení '!DY141</f>
        <v>0</v>
      </c>
      <c r="DZ145" s="465">
        <f>'Hodnocení '!DZ141</f>
        <v>0</v>
      </c>
      <c r="EA145" s="465">
        <f>'Hodnocení '!EA141</f>
        <v>0</v>
      </c>
      <c r="EB145" s="465">
        <f>'Hodnocení '!EB141</f>
        <v>0</v>
      </c>
      <c r="EC145" s="465">
        <f>'Hodnocení '!EC141</f>
        <v>0</v>
      </c>
      <c r="ED145" s="465">
        <f>'Hodnocení '!ED141</f>
        <v>0</v>
      </c>
      <c r="EE145" s="465">
        <f>'Hodnocení '!EE141</f>
        <v>0</v>
      </c>
      <c r="EF145" s="465">
        <f>'Hodnocení '!EF141</f>
        <v>0</v>
      </c>
      <c r="EG145" s="465">
        <f>'Hodnocení '!EG141</f>
        <v>0</v>
      </c>
      <c r="EH145" s="465">
        <f>'Hodnocení '!EH141</f>
        <v>0</v>
      </c>
      <c r="EI145" s="465">
        <f>'Hodnocení '!EI141</f>
        <v>0</v>
      </c>
      <c r="EJ145" s="465">
        <f>'Hodnocení '!EJ141</f>
        <v>0</v>
      </c>
      <c r="EK145" s="465">
        <f>'Hodnocení '!EK141</f>
        <v>0</v>
      </c>
      <c r="EL145" s="465">
        <f>'Hodnocení '!EL141</f>
        <v>0</v>
      </c>
      <c r="EM145" s="465">
        <f>'Hodnocení '!EM141</f>
        <v>0</v>
      </c>
      <c r="EN145" s="465">
        <f>'Hodnocení '!EN141</f>
        <v>0</v>
      </c>
      <c r="EO145" s="465">
        <f>'Hodnocení '!EO141</f>
        <v>0</v>
      </c>
      <c r="EP145" s="465">
        <f>'Hodnocení '!EP141</f>
        <v>0</v>
      </c>
      <c r="EQ145" s="465">
        <f>'Hodnocení '!EQ141</f>
        <v>0</v>
      </c>
      <c r="ER145" s="465">
        <f>'Hodnocení '!ER141</f>
        <v>0</v>
      </c>
      <c r="ES145" s="465">
        <f>'Hodnocení '!ES141</f>
        <v>0</v>
      </c>
      <c r="ET145" s="465">
        <f>'Hodnocení '!ET141</f>
        <v>0</v>
      </c>
      <c r="EU145" s="465">
        <f>'Hodnocení '!EU141</f>
        <v>0</v>
      </c>
      <c r="EV145" s="465">
        <f>'Hodnocení '!EV141</f>
        <v>0</v>
      </c>
      <c r="EW145" s="465">
        <f>'Hodnocení '!EW141</f>
        <v>0</v>
      </c>
      <c r="EX145" s="465">
        <f>'Hodnocení '!EX141</f>
        <v>0</v>
      </c>
      <c r="EY145" s="465">
        <f>'Hodnocení '!EY141</f>
        <v>0</v>
      </c>
      <c r="EZ145" s="465">
        <f>'Hodnocení '!EZ141</f>
        <v>0</v>
      </c>
      <c r="FA145" s="465">
        <f>'Hodnocení '!FA141</f>
        <v>0</v>
      </c>
      <c r="FB145" s="465">
        <f>'Hodnocení '!FB141</f>
        <v>0</v>
      </c>
      <c r="FC145" s="465">
        <f>'Hodnocení '!FC141</f>
        <v>0</v>
      </c>
      <c r="FD145" s="465">
        <f>'Hodnocení '!FD141</f>
        <v>0</v>
      </c>
      <c r="FE145" s="465">
        <f>'Hodnocení '!FE141</f>
        <v>0</v>
      </c>
      <c r="FF145" s="465">
        <f>'Hodnocení '!FF141</f>
        <v>0</v>
      </c>
      <c r="FG145" s="465">
        <f>'Hodnocení '!FG141</f>
        <v>0</v>
      </c>
      <c r="FH145" s="465">
        <f>'Hodnocení '!FH141</f>
        <v>0</v>
      </c>
      <c r="FI145" s="465">
        <f>'Hodnocení '!FI141</f>
        <v>0</v>
      </c>
      <c r="FJ145" s="465">
        <f>'Hodnocení '!FJ141</f>
        <v>0</v>
      </c>
      <c r="FK145" s="465">
        <f>'Hodnocení '!FK141</f>
        <v>0</v>
      </c>
      <c r="FL145" s="465">
        <f>'Hodnocení '!FL141</f>
        <v>0</v>
      </c>
      <c r="FM145" s="465">
        <f>'Hodnocení '!FM141</f>
        <v>0</v>
      </c>
      <c r="FN145" s="465">
        <f>'Hodnocení '!FN141</f>
        <v>0</v>
      </c>
      <c r="FO145" s="465">
        <f>'Hodnocení '!FO141</f>
        <v>0</v>
      </c>
      <c r="FP145" s="465">
        <f>'Hodnocení '!FP141</f>
        <v>0</v>
      </c>
      <c r="FQ145" s="465">
        <f>'Hodnocení '!FQ141</f>
        <v>0</v>
      </c>
      <c r="FR145" s="465">
        <f>'Hodnocení '!FR141</f>
        <v>0</v>
      </c>
      <c r="FS145" s="465">
        <f>'Hodnocení '!FS141</f>
        <v>0</v>
      </c>
      <c r="FT145" s="465">
        <f>'Hodnocení '!FT141</f>
        <v>0</v>
      </c>
      <c r="FU145" s="465">
        <f>'Hodnocení '!FU141</f>
        <v>0</v>
      </c>
      <c r="FV145" s="465">
        <f>'Hodnocení '!FV141</f>
        <v>0</v>
      </c>
      <c r="FW145" s="465">
        <f>'Hodnocení '!FW141</f>
        <v>0</v>
      </c>
      <c r="FX145" s="465">
        <f>'Hodnocení '!FX141</f>
        <v>0</v>
      </c>
      <c r="FY145" s="465">
        <f>'Hodnocení '!FY141</f>
        <v>0</v>
      </c>
      <c r="FZ145" s="465">
        <f>'Hodnocení '!FZ141</f>
        <v>0</v>
      </c>
      <c r="GA145" s="465">
        <f>'Hodnocení '!GA141</f>
        <v>0</v>
      </c>
      <c r="GB145" s="465">
        <f>'Hodnocení '!GB141</f>
        <v>0</v>
      </c>
      <c r="GC145" s="465">
        <f>'Hodnocení '!GC141</f>
        <v>0</v>
      </c>
      <c r="GD145" s="465">
        <f>'Hodnocení '!GD141</f>
        <v>0</v>
      </c>
      <c r="GE145" s="465">
        <f>'Hodnocení '!GE141</f>
        <v>0</v>
      </c>
      <c r="GF145" s="465">
        <f>'Hodnocení '!GF141</f>
        <v>0</v>
      </c>
      <c r="GG145" s="465">
        <f>'Hodnocení '!GG141</f>
        <v>0</v>
      </c>
      <c r="GH145" s="465">
        <f>'Hodnocení '!GH141</f>
        <v>0</v>
      </c>
      <c r="GI145" s="465">
        <f>'Hodnocení '!GI141</f>
        <v>0</v>
      </c>
      <c r="GJ145" s="465">
        <f>'Hodnocení '!GJ141</f>
        <v>0</v>
      </c>
      <c r="GK145" s="465">
        <f>'Hodnocení '!GK141</f>
        <v>0</v>
      </c>
      <c r="GL145" s="465">
        <f>'Hodnocení '!GL141</f>
        <v>0</v>
      </c>
      <c r="GM145" s="465">
        <f>'Hodnocení '!GM141</f>
        <v>0</v>
      </c>
      <c r="GN145" s="465">
        <f>'Hodnocení '!GN141</f>
        <v>0</v>
      </c>
      <c r="GO145" s="465">
        <f>'Hodnocení '!GO141</f>
        <v>0</v>
      </c>
      <c r="GP145" s="465">
        <f>'Hodnocení '!GP141</f>
        <v>0</v>
      </c>
      <c r="GQ145" s="465">
        <f>'Hodnocení '!GQ141</f>
        <v>0</v>
      </c>
      <c r="GR145" s="465">
        <f>'Hodnocení '!GR141</f>
        <v>0</v>
      </c>
      <c r="GS145" s="465">
        <f>'Hodnocení '!GS141</f>
        <v>0</v>
      </c>
      <c r="GT145" s="465">
        <f>'Hodnocení '!GT141</f>
        <v>0</v>
      </c>
      <c r="GU145" s="465">
        <f>'Hodnocení '!GU141</f>
        <v>0</v>
      </c>
      <c r="GV145" s="465">
        <f>'Hodnocení '!GV141</f>
        <v>0</v>
      </c>
      <c r="GW145" s="465">
        <f>'Hodnocení '!GW141</f>
        <v>0</v>
      </c>
      <c r="GX145" s="465">
        <f>'Hodnocení '!GX141</f>
        <v>0</v>
      </c>
      <c r="GY145" s="465">
        <f>'Hodnocení '!GY141</f>
        <v>0</v>
      </c>
      <c r="GZ145" s="465">
        <f>'Hodnocení '!GZ141</f>
        <v>0</v>
      </c>
      <c r="HA145" s="465">
        <f>'Hodnocení '!HA141</f>
        <v>0</v>
      </c>
      <c r="HB145" s="465">
        <f>'Hodnocení '!HB141</f>
        <v>0</v>
      </c>
      <c r="HC145" s="465">
        <f>'Hodnocení '!HC141</f>
        <v>0</v>
      </c>
      <c r="HD145" s="465">
        <f>'Hodnocení '!HD141</f>
        <v>0</v>
      </c>
      <c r="HE145" s="465">
        <f>'Hodnocení '!HE141</f>
        <v>0</v>
      </c>
      <c r="HF145" s="465">
        <f>'Hodnocení '!HF141</f>
        <v>0</v>
      </c>
      <c r="HG145" s="465">
        <f>'Hodnocení '!HG141</f>
        <v>0</v>
      </c>
      <c r="HH145" s="465">
        <f>'Hodnocení '!HH141</f>
        <v>0</v>
      </c>
      <c r="HI145" s="465">
        <f>'Hodnocení '!HI141</f>
        <v>0</v>
      </c>
      <c r="HJ145" s="465">
        <f>'Hodnocení '!HJ141</f>
        <v>0</v>
      </c>
      <c r="HK145" s="465">
        <f>'Hodnocení '!HK141</f>
        <v>0</v>
      </c>
      <c r="HL145" s="465">
        <f>'Hodnocení '!HL141</f>
        <v>0</v>
      </c>
      <c r="HM145" s="465">
        <f>'Hodnocení '!HM141</f>
        <v>0</v>
      </c>
      <c r="HN145" s="465">
        <f>'Hodnocení '!HN141</f>
        <v>0</v>
      </c>
      <c r="HO145" s="465">
        <f>'Hodnocení '!HO141</f>
        <v>0</v>
      </c>
      <c r="HP145" s="465">
        <f>'Hodnocení '!HP141</f>
        <v>0</v>
      </c>
      <c r="HQ145" s="465">
        <f>'Hodnocení '!HQ141</f>
        <v>0</v>
      </c>
      <c r="HR145" s="465">
        <f>'Hodnocení '!HR141</f>
        <v>0</v>
      </c>
      <c r="HS145" s="465">
        <f>'Hodnocení '!HS141</f>
        <v>0</v>
      </c>
      <c r="HT145" s="465">
        <f>'Hodnocení '!HT141</f>
        <v>0</v>
      </c>
      <c r="HU145" s="465">
        <f>'Hodnocení '!HU141</f>
        <v>0</v>
      </c>
      <c r="HV145" s="465">
        <f>'Hodnocení '!HV141</f>
        <v>0</v>
      </c>
      <c r="HW145" s="465">
        <f>'Hodnocení '!HW141</f>
        <v>89800</v>
      </c>
      <c r="HX145" s="465">
        <f>'Hodnocení '!HX141</f>
        <v>284200</v>
      </c>
      <c r="HY145" s="465">
        <f>'Hodnocení '!HY141</f>
        <v>0</v>
      </c>
      <c r="HZ145" s="465">
        <f>'Hodnocení '!HZ141</f>
        <v>0</v>
      </c>
      <c r="IA145" s="465">
        <f>'Hodnocení '!IA141</f>
        <v>0</v>
      </c>
      <c r="IB145" s="465">
        <f>'Hodnocení '!IB141</f>
        <v>0</v>
      </c>
      <c r="IC145" s="465">
        <f>'Hodnocení '!IC141</f>
        <v>0</v>
      </c>
      <c r="ID145" s="465">
        <f>'Hodnocení '!ID141</f>
        <v>0</v>
      </c>
      <c r="IE145" s="465">
        <f>'Hodnocení '!IE141</f>
        <v>0</v>
      </c>
      <c r="IF145" s="465">
        <f>'Hodnocení '!IF141</f>
        <v>0</v>
      </c>
      <c r="IG145" s="465">
        <f>'Hodnocení '!IG141</f>
        <v>0</v>
      </c>
      <c r="IH145" s="465">
        <f>'Hodnocení '!IH141</f>
        <v>0</v>
      </c>
      <c r="II145" s="465">
        <f>'Hodnocení '!II141</f>
        <v>0</v>
      </c>
      <c r="IJ145" s="465">
        <f>'Hodnocení '!IJ141</f>
        <v>0</v>
      </c>
      <c r="IK145" s="465">
        <f>'Hodnocení '!IK141</f>
        <v>0</v>
      </c>
      <c r="IL145" s="465">
        <f>'Hodnocení '!IL141</f>
        <v>0</v>
      </c>
      <c r="IM145" s="465">
        <f>'Hodnocení '!IM141</f>
        <v>1040</v>
      </c>
      <c r="IN145" s="465">
        <f>'Hodnocení '!IN141</f>
        <v>21199</v>
      </c>
      <c r="IO145" s="465">
        <f>'Hodnocení '!IO141</f>
        <v>3900</v>
      </c>
      <c r="IP145" s="465">
        <f>'Hodnocení '!IP141</f>
        <v>0</v>
      </c>
      <c r="IQ145" s="465">
        <f>'Hodnocení '!IQ141</f>
        <v>0</v>
      </c>
      <c r="IR145" s="465">
        <f>'Hodnocení '!IR141</f>
        <v>0</v>
      </c>
      <c r="IS145" s="465">
        <f>'Hodnocení '!IS141</f>
        <v>0</v>
      </c>
      <c r="IT145" s="465">
        <f>'Hodnocení '!IT141</f>
        <v>0</v>
      </c>
      <c r="IU145" s="465">
        <f>'Hodnocení '!IU141</f>
        <v>0</v>
      </c>
      <c r="IV145" s="465">
        <f>'Hodnocení '!IV141</f>
        <v>0</v>
      </c>
      <c r="IW145" s="465">
        <f>'Hodnocení '!IW141</f>
        <v>0</v>
      </c>
      <c r="IX145" s="465">
        <f>'Hodnocení '!IX141</f>
        <v>0</v>
      </c>
      <c r="IY145" s="465">
        <f>'Hodnocení '!IY141</f>
        <v>0</v>
      </c>
      <c r="IZ145" s="465">
        <f>'Hodnocení '!IZ141</f>
        <v>0</v>
      </c>
      <c r="JA145" s="465">
        <f>'Hodnocení '!JA141</f>
        <v>0</v>
      </c>
      <c r="JB145" s="465">
        <f>'Hodnocení '!JB141</f>
        <v>280000</v>
      </c>
      <c r="JC145" s="465">
        <f>'Hodnocení '!JC141</f>
        <v>0</v>
      </c>
      <c r="JD145" s="465">
        <f>'Hodnocení '!JD141</f>
        <v>1600000</v>
      </c>
      <c r="JE145" s="465">
        <f>'Hodnocení '!JE141</f>
        <v>0</v>
      </c>
      <c r="JF145" s="465">
        <f>'Hodnocení '!JF141</f>
        <v>0</v>
      </c>
      <c r="JG145" s="465">
        <f>'Hodnocení '!JG141</f>
        <v>0</v>
      </c>
      <c r="JH145" s="459">
        <f>'Hodnocení '!JH141</f>
        <v>0</v>
      </c>
      <c r="JI145" s="470">
        <f>'Hodnocení '!JI141</f>
        <v>6268441</v>
      </c>
    </row>
    <row r="146" spans="1:276" hidden="1" x14ac:dyDescent="0.25">
      <c r="A146" s="725">
        <v>466</v>
      </c>
      <c r="B146" s="755" t="s">
        <v>67</v>
      </c>
      <c r="C146" s="618">
        <f>'Hodnocení '!C142</f>
        <v>0</v>
      </c>
      <c r="D146" s="465">
        <f>'Hodnocení '!D142</f>
        <v>0</v>
      </c>
      <c r="E146" s="465">
        <f>'Hodnocení '!E142</f>
        <v>0</v>
      </c>
      <c r="F146" s="465">
        <f>'Hodnocení '!F142</f>
        <v>0</v>
      </c>
      <c r="G146" s="465">
        <f>'Hodnocení '!G142</f>
        <v>0</v>
      </c>
      <c r="H146" s="465">
        <f>'Hodnocení '!H142</f>
        <v>0</v>
      </c>
      <c r="I146" s="465">
        <f>'Hodnocení '!I142</f>
        <v>0</v>
      </c>
      <c r="J146" s="465">
        <f>'Hodnocení '!J142</f>
        <v>0</v>
      </c>
      <c r="K146" s="465">
        <f>'Hodnocení '!K142</f>
        <v>0</v>
      </c>
      <c r="L146" s="465">
        <f>'Hodnocení '!L142</f>
        <v>0</v>
      </c>
      <c r="M146" s="465">
        <f>'Hodnocení '!M142</f>
        <v>0</v>
      </c>
      <c r="N146" s="465">
        <f>'Hodnocení '!N142</f>
        <v>0</v>
      </c>
      <c r="O146" s="465">
        <f>'Hodnocení '!O142</f>
        <v>0</v>
      </c>
      <c r="P146" s="465">
        <f>'Hodnocení '!P142</f>
        <v>0</v>
      </c>
      <c r="Q146" s="465">
        <f>'Hodnocení '!Q142</f>
        <v>0</v>
      </c>
      <c r="R146" s="465">
        <f>'Hodnocení '!R142</f>
        <v>0</v>
      </c>
      <c r="S146" s="465">
        <f>'Hodnocení '!S142</f>
        <v>0</v>
      </c>
      <c r="T146" s="465">
        <f>'Hodnocení '!T142</f>
        <v>0</v>
      </c>
      <c r="U146" s="465">
        <f>'Hodnocení '!U142</f>
        <v>0</v>
      </c>
      <c r="V146" s="465">
        <f>'Hodnocení '!V142</f>
        <v>0</v>
      </c>
      <c r="W146" s="465">
        <f>'Hodnocení '!W142</f>
        <v>0</v>
      </c>
      <c r="X146" s="465">
        <f>'Hodnocení '!X142</f>
        <v>0</v>
      </c>
      <c r="Y146" s="465">
        <f>'Hodnocení '!Y142</f>
        <v>0</v>
      </c>
      <c r="Z146" s="465">
        <f>'Hodnocení '!Z142</f>
        <v>0</v>
      </c>
      <c r="AA146" s="465">
        <f>'Hodnocení '!AA142</f>
        <v>0</v>
      </c>
      <c r="AB146" s="465">
        <f>'Hodnocení '!AB142</f>
        <v>0</v>
      </c>
      <c r="AC146" s="465">
        <f>'Hodnocení '!AC142</f>
        <v>0</v>
      </c>
      <c r="AD146" s="465">
        <f>'Hodnocení '!AD142</f>
        <v>0</v>
      </c>
      <c r="AE146" s="465">
        <f>'Hodnocení '!AE142</f>
        <v>0</v>
      </c>
      <c r="AF146" s="465">
        <f>'Hodnocení '!AF142</f>
        <v>0</v>
      </c>
      <c r="AG146" s="465">
        <f>'Hodnocení '!AG142</f>
        <v>0</v>
      </c>
      <c r="AH146" s="465">
        <f>'Hodnocení '!AH142</f>
        <v>0</v>
      </c>
      <c r="AI146" s="465">
        <f>'Hodnocení '!AI142</f>
        <v>0</v>
      </c>
      <c r="AJ146" s="465">
        <f>'Hodnocení '!AJ142</f>
        <v>0</v>
      </c>
      <c r="AK146" s="465">
        <f>'Hodnocení '!AK142</f>
        <v>0</v>
      </c>
      <c r="AL146" s="465">
        <f>'Hodnocení '!AL142</f>
        <v>0</v>
      </c>
      <c r="AM146" s="465">
        <f>'Hodnocení '!AM142</f>
        <v>0</v>
      </c>
      <c r="AN146" s="465">
        <f>'Hodnocení '!AN142</f>
        <v>0</v>
      </c>
      <c r="AO146" s="465">
        <f>'Hodnocení '!AO142</f>
        <v>0</v>
      </c>
      <c r="AP146" s="465">
        <f>'Hodnocení '!AP142</f>
        <v>0</v>
      </c>
      <c r="AQ146" s="465">
        <f>'Hodnocení '!AQ142</f>
        <v>0</v>
      </c>
      <c r="AR146" s="465">
        <f>'Hodnocení '!AR142</f>
        <v>0</v>
      </c>
      <c r="AS146" s="465">
        <f>'Hodnocení '!AS142</f>
        <v>0</v>
      </c>
      <c r="AT146" s="465">
        <f>'Hodnocení '!AT142</f>
        <v>0</v>
      </c>
      <c r="AU146" s="465">
        <f>'Hodnocení '!AU142</f>
        <v>0</v>
      </c>
      <c r="AV146" s="465">
        <f>'Hodnocení '!AV142</f>
        <v>0</v>
      </c>
      <c r="AW146" s="465">
        <f>'Hodnocení '!AW142</f>
        <v>0</v>
      </c>
      <c r="AX146" s="465">
        <f>'Hodnocení '!AX142</f>
        <v>0</v>
      </c>
      <c r="AY146" s="465">
        <f>'Hodnocení '!AY142</f>
        <v>0</v>
      </c>
      <c r="AZ146" s="465">
        <f>'Hodnocení '!AZ142</f>
        <v>0</v>
      </c>
      <c r="BA146" s="465">
        <f>'Hodnocení '!BA142</f>
        <v>0</v>
      </c>
      <c r="BB146" s="465">
        <f>'Hodnocení '!BB142</f>
        <v>0</v>
      </c>
      <c r="BC146" s="465">
        <f>'Hodnocení '!BC142</f>
        <v>0</v>
      </c>
      <c r="BD146" s="465">
        <f>'Hodnocení '!BD142</f>
        <v>0</v>
      </c>
      <c r="BE146" s="465">
        <f>'Hodnocení '!BE142</f>
        <v>0</v>
      </c>
      <c r="BF146" s="465">
        <f>'Hodnocení '!BF142</f>
        <v>0</v>
      </c>
      <c r="BG146" s="465">
        <f>'Hodnocení '!BG142</f>
        <v>0</v>
      </c>
      <c r="BH146" s="465">
        <f>'Hodnocení '!BH142</f>
        <v>0</v>
      </c>
      <c r="BI146" s="465">
        <f>'Hodnocení '!BI142</f>
        <v>0</v>
      </c>
      <c r="BJ146" s="465">
        <f>'Hodnocení '!BJ142</f>
        <v>0</v>
      </c>
      <c r="BK146" s="465">
        <f>'Hodnocení '!BK142</f>
        <v>0</v>
      </c>
      <c r="BL146" s="465">
        <f>'Hodnocení '!BL142</f>
        <v>0</v>
      </c>
      <c r="BM146" s="465">
        <f>'Hodnocení '!BM142</f>
        <v>623790</v>
      </c>
      <c r="BN146" s="465">
        <f>'Hodnocení '!BN142</f>
        <v>0</v>
      </c>
      <c r="BO146" s="465">
        <f>'Hodnocení '!BO142</f>
        <v>0</v>
      </c>
      <c r="BP146" s="465">
        <f>'Hodnocení '!BP142</f>
        <v>0</v>
      </c>
      <c r="BQ146" s="465">
        <f>'Hodnocení '!BQ142</f>
        <v>805234</v>
      </c>
      <c r="BR146" s="465">
        <f>'Hodnocení '!BR142</f>
        <v>0</v>
      </c>
      <c r="BS146" s="465">
        <f>'Hodnocení '!BS142</f>
        <v>0</v>
      </c>
      <c r="BT146" s="465">
        <f>'Hodnocení '!BT142</f>
        <v>0</v>
      </c>
      <c r="BU146" s="465">
        <f>'Hodnocení '!BU142</f>
        <v>0</v>
      </c>
      <c r="BV146" s="465">
        <f>'Hodnocení '!BV142</f>
        <v>0</v>
      </c>
      <c r="BW146" s="465">
        <f>'Hodnocení '!BW142</f>
        <v>0</v>
      </c>
      <c r="BX146" s="465">
        <f>'Hodnocení '!BX142</f>
        <v>0</v>
      </c>
      <c r="BY146" s="465">
        <f>'Hodnocení '!BY142</f>
        <v>0</v>
      </c>
      <c r="BZ146" s="465">
        <f>'Hodnocení '!BZ142</f>
        <v>0</v>
      </c>
      <c r="CA146" s="465">
        <f>'Hodnocení '!CA142</f>
        <v>0</v>
      </c>
      <c r="CB146" s="465">
        <f>'Hodnocení '!CB142</f>
        <v>0</v>
      </c>
      <c r="CC146" s="465">
        <f>'Hodnocení '!CC142</f>
        <v>16324</v>
      </c>
      <c r="CD146" s="465">
        <f>'Hodnocení '!CD142</f>
        <v>14000</v>
      </c>
      <c r="CE146" s="465">
        <f>'Hodnocení '!CE142</f>
        <v>0</v>
      </c>
      <c r="CF146" s="465">
        <f>'Hodnocení '!CF142</f>
        <v>0</v>
      </c>
      <c r="CG146" s="465">
        <f>'Hodnocení '!CG142</f>
        <v>156324</v>
      </c>
      <c r="CH146" s="465">
        <f>'Hodnocení '!CH142</f>
        <v>30330</v>
      </c>
      <c r="CI146" s="465">
        <f>'Hodnocení '!CI142</f>
        <v>16324</v>
      </c>
      <c r="CJ146" s="465">
        <f>'Hodnocení '!CJ142</f>
        <v>59775</v>
      </c>
      <c r="CK146" s="465">
        <f>'Hodnocení '!CK142</f>
        <v>32000</v>
      </c>
      <c r="CL146" s="465">
        <f>'Hodnocení '!CL142</f>
        <v>53270</v>
      </c>
      <c r="CM146" s="465">
        <f>'Hodnocení '!CM142</f>
        <v>0</v>
      </c>
      <c r="CN146" s="465">
        <f>'Hodnocení '!CN142</f>
        <v>0</v>
      </c>
      <c r="CO146" s="465">
        <f>'Hodnocení '!CO142</f>
        <v>0</v>
      </c>
      <c r="CP146" s="465">
        <f>'Hodnocení '!CP142</f>
        <v>0</v>
      </c>
      <c r="CQ146" s="465">
        <f>'Hodnocení '!CQ142</f>
        <v>0</v>
      </c>
      <c r="CR146" s="465">
        <f>'Hodnocení '!CR142</f>
        <v>0</v>
      </c>
      <c r="CS146" s="465">
        <f>'Hodnocení '!CS142</f>
        <v>0</v>
      </c>
      <c r="CT146" s="465">
        <f>'Hodnocení '!CT142</f>
        <v>0</v>
      </c>
      <c r="CU146" s="465">
        <f>'Hodnocení '!CU142</f>
        <v>0</v>
      </c>
      <c r="CV146" s="465">
        <f>'Hodnocení '!CV142</f>
        <v>0</v>
      </c>
      <c r="CW146" s="465">
        <f>'Hodnocení '!CW142</f>
        <v>0</v>
      </c>
      <c r="CX146" s="465">
        <f>'Hodnocení '!CX142</f>
        <v>0</v>
      </c>
      <c r="CY146" s="465">
        <f>'Hodnocení '!CY142</f>
        <v>0</v>
      </c>
      <c r="CZ146" s="465">
        <f>'Hodnocení '!CZ142</f>
        <v>0</v>
      </c>
      <c r="DA146" s="465">
        <f>'Hodnocení '!DA142</f>
        <v>0</v>
      </c>
      <c r="DB146" s="465">
        <f>'Hodnocení '!DB142</f>
        <v>0</v>
      </c>
      <c r="DC146" s="465">
        <f>'Hodnocení '!DC142</f>
        <v>0</v>
      </c>
      <c r="DD146" s="465">
        <f>'Hodnocení '!DD142</f>
        <v>0</v>
      </c>
      <c r="DE146" s="465">
        <f>'Hodnocení '!DE142</f>
        <v>0</v>
      </c>
      <c r="DF146" s="465">
        <f>'Hodnocení '!DF142</f>
        <v>0</v>
      </c>
      <c r="DG146" s="465">
        <f>'Hodnocení '!DG142</f>
        <v>0</v>
      </c>
      <c r="DH146" s="465">
        <f>'Hodnocení '!DH142</f>
        <v>317574</v>
      </c>
      <c r="DI146" s="465">
        <f>'Hodnocení '!DI142</f>
        <v>0</v>
      </c>
      <c r="DJ146" s="465">
        <f>'Hodnocení '!DJ142</f>
        <v>0</v>
      </c>
      <c r="DK146" s="465">
        <f>'Hodnocení '!DK142</f>
        <v>0</v>
      </c>
      <c r="DL146" s="465">
        <f>'Hodnocení '!DL142</f>
        <v>0</v>
      </c>
      <c r="DM146" s="465">
        <f>'Hodnocení '!DM142</f>
        <v>0</v>
      </c>
      <c r="DN146" s="465">
        <f>'Hodnocení '!DN142</f>
        <v>0</v>
      </c>
      <c r="DO146" s="465">
        <f>'Hodnocení '!DO142</f>
        <v>0</v>
      </c>
      <c r="DP146" s="465">
        <f>'Hodnocení '!DP142</f>
        <v>0</v>
      </c>
      <c r="DQ146" s="465">
        <f>'Hodnocení '!DQ142</f>
        <v>0</v>
      </c>
      <c r="DR146" s="465">
        <f>'Hodnocení '!DR142</f>
        <v>0</v>
      </c>
      <c r="DS146" s="465">
        <f>'Hodnocení '!DS142</f>
        <v>0</v>
      </c>
      <c r="DT146" s="465">
        <f>'Hodnocení '!DT142</f>
        <v>0</v>
      </c>
      <c r="DU146" s="465">
        <f>'Hodnocení '!DU142</f>
        <v>0</v>
      </c>
      <c r="DV146" s="465">
        <f>'Hodnocení '!DV142</f>
        <v>0</v>
      </c>
      <c r="DW146" s="465">
        <f>'Hodnocení '!DW142</f>
        <v>0</v>
      </c>
      <c r="DX146" s="465">
        <f>'Hodnocení '!DX142</f>
        <v>0</v>
      </c>
      <c r="DY146" s="465">
        <f>'Hodnocení '!DY142</f>
        <v>0</v>
      </c>
      <c r="DZ146" s="465">
        <f>'Hodnocení '!DZ142</f>
        <v>0</v>
      </c>
      <c r="EA146" s="465">
        <f>'Hodnocení '!EA142</f>
        <v>0</v>
      </c>
      <c r="EB146" s="465">
        <f>'Hodnocení '!EB142</f>
        <v>0</v>
      </c>
      <c r="EC146" s="465">
        <f>'Hodnocení '!EC142</f>
        <v>0</v>
      </c>
      <c r="ED146" s="465">
        <f>'Hodnocení '!ED142</f>
        <v>0</v>
      </c>
      <c r="EE146" s="465">
        <f>'Hodnocení '!EE142</f>
        <v>0</v>
      </c>
      <c r="EF146" s="465">
        <f>'Hodnocení '!EF142</f>
        <v>0</v>
      </c>
      <c r="EG146" s="465">
        <f>'Hodnocení '!EG142</f>
        <v>0</v>
      </c>
      <c r="EH146" s="465">
        <f>'Hodnocení '!EH142</f>
        <v>0</v>
      </c>
      <c r="EI146" s="465">
        <f>'Hodnocení '!EI142</f>
        <v>0</v>
      </c>
      <c r="EJ146" s="465">
        <f>'Hodnocení '!EJ142</f>
        <v>0</v>
      </c>
      <c r="EK146" s="465">
        <f>'Hodnocení '!EK142</f>
        <v>0</v>
      </c>
      <c r="EL146" s="465">
        <f>'Hodnocení '!EL142</f>
        <v>0</v>
      </c>
      <c r="EM146" s="465">
        <f>'Hodnocení '!EM142</f>
        <v>0</v>
      </c>
      <c r="EN146" s="465">
        <f>'Hodnocení '!EN142</f>
        <v>0</v>
      </c>
      <c r="EO146" s="465">
        <f>'Hodnocení '!EO142</f>
        <v>0</v>
      </c>
      <c r="EP146" s="465">
        <f>'Hodnocení '!EP142</f>
        <v>0</v>
      </c>
      <c r="EQ146" s="465">
        <f>'Hodnocení '!EQ142</f>
        <v>0</v>
      </c>
      <c r="ER146" s="465">
        <f>'Hodnocení '!ER142</f>
        <v>0</v>
      </c>
      <c r="ES146" s="465">
        <f>'Hodnocení '!ES142</f>
        <v>0</v>
      </c>
      <c r="ET146" s="465">
        <f>'Hodnocení '!ET142</f>
        <v>0</v>
      </c>
      <c r="EU146" s="465">
        <f>'Hodnocení '!EU142</f>
        <v>0</v>
      </c>
      <c r="EV146" s="465">
        <f>'Hodnocení '!EV142</f>
        <v>0</v>
      </c>
      <c r="EW146" s="465">
        <f>'Hodnocení '!EW142</f>
        <v>0</v>
      </c>
      <c r="EX146" s="465">
        <f>'Hodnocení '!EX142</f>
        <v>0</v>
      </c>
      <c r="EY146" s="465">
        <f>'Hodnocení '!EY142</f>
        <v>0</v>
      </c>
      <c r="EZ146" s="465">
        <f>'Hodnocení '!EZ142</f>
        <v>0</v>
      </c>
      <c r="FA146" s="465">
        <f>'Hodnocení '!FA142</f>
        <v>0</v>
      </c>
      <c r="FB146" s="465">
        <f>'Hodnocení '!FB142</f>
        <v>0</v>
      </c>
      <c r="FC146" s="465">
        <f>'Hodnocení '!FC142</f>
        <v>0</v>
      </c>
      <c r="FD146" s="465">
        <f>'Hodnocení '!FD142</f>
        <v>0</v>
      </c>
      <c r="FE146" s="465">
        <f>'Hodnocení '!FE142</f>
        <v>0</v>
      </c>
      <c r="FF146" s="465">
        <f>'Hodnocení '!FF142</f>
        <v>0</v>
      </c>
      <c r="FG146" s="465">
        <f>'Hodnocení '!FG142</f>
        <v>0</v>
      </c>
      <c r="FH146" s="465">
        <f>'Hodnocení '!FH142</f>
        <v>0</v>
      </c>
      <c r="FI146" s="465">
        <f>'Hodnocení '!FI142</f>
        <v>0</v>
      </c>
      <c r="FJ146" s="465">
        <f>'Hodnocení '!FJ142</f>
        <v>0</v>
      </c>
      <c r="FK146" s="465">
        <f>'Hodnocení '!FK142</f>
        <v>0</v>
      </c>
      <c r="FL146" s="465">
        <f>'Hodnocení '!FL142</f>
        <v>0</v>
      </c>
      <c r="FM146" s="465">
        <f>'Hodnocení '!FM142</f>
        <v>0</v>
      </c>
      <c r="FN146" s="465">
        <f>'Hodnocení '!FN142</f>
        <v>0</v>
      </c>
      <c r="FO146" s="465">
        <f>'Hodnocení '!FO142</f>
        <v>0</v>
      </c>
      <c r="FP146" s="465">
        <f>'Hodnocení '!FP142</f>
        <v>0</v>
      </c>
      <c r="FQ146" s="465">
        <f>'Hodnocení '!FQ142</f>
        <v>0</v>
      </c>
      <c r="FR146" s="465">
        <f>'Hodnocení '!FR142</f>
        <v>0</v>
      </c>
      <c r="FS146" s="465">
        <f>'Hodnocení '!FS142</f>
        <v>0</v>
      </c>
      <c r="FT146" s="465">
        <f>'Hodnocení '!FT142</f>
        <v>0</v>
      </c>
      <c r="FU146" s="465">
        <f>'Hodnocení '!FU142</f>
        <v>0</v>
      </c>
      <c r="FV146" s="465">
        <f>'Hodnocení '!FV142</f>
        <v>0</v>
      </c>
      <c r="FW146" s="465">
        <f>'Hodnocení '!FW142</f>
        <v>0</v>
      </c>
      <c r="FX146" s="465">
        <f>'Hodnocení '!FX142</f>
        <v>0</v>
      </c>
      <c r="FY146" s="465">
        <f>'Hodnocení '!FY142</f>
        <v>0</v>
      </c>
      <c r="FZ146" s="465">
        <f>'Hodnocení '!FZ142</f>
        <v>0</v>
      </c>
      <c r="GA146" s="465">
        <f>'Hodnocení '!GA142</f>
        <v>0</v>
      </c>
      <c r="GB146" s="465">
        <f>'Hodnocení '!GB142</f>
        <v>0</v>
      </c>
      <c r="GC146" s="465">
        <f>'Hodnocení '!GC142</f>
        <v>0</v>
      </c>
      <c r="GD146" s="465">
        <f>'Hodnocení '!GD142</f>
        <v>0</v>
      </c>
      <c r="GE146" s="465">
        <f>'Hodnocení '!GE142</f>
        <v>0</v>
      </c>
      <c r="GF146" s="465">
        <f>'Hodnocení '!GF142</f>
        <v>0</v>
      </c>
      <c r="GG146" s="465">
        <f>'Hodnocení '!GG142</f>
        <v>0</v>
      </c>
      <c r="GH146" s="465">
        <f>'Hodnocení '!GH142</f>
        <v>0</v>
      </c>
      <c r="GI146" s="465">
        <f>'Hodnocení '!GI142</f>
        <v>0</v>
      </c>
      <c r="GJ146" s="465">
        <f>'Hodnocení '!GJ142</f>
        <v>0</v>
      </c>
      <c r="GK146" s="465">
        <f>'Hodnocení '!GK142</f>
        <v>500000</v>
      </c>
      <c r="GL146" s="465">
        <f>'Hodnocení '!GL142</f>
        <v>0</v>
      </c>
      <c r="GM146" s="465">
        <f>'Hodnocení '!GM142</f>
        <v>0</v>
      </c>
      <c r="GN146" s="465">
        <f>'Hodnocení '!GN142</f>
        <v>0</v>
      </c>
      <c r="GO146" s="465">
        <f>'Hodnocení '!GO142</f>
        <v>0</v>
      </c>
      <c r="GP146" s="465">
        <f>'Hodnocení '!GP142</f>
        <v>0</v>
      </c>
      <c r="GQ146" s="465">
        <f>'Hodnocení '!GQ142</f>
        <v>0</v>
      </c>
      <c r="GR146" s="465">
        <f>'Hodnocení '!GR142</f>
        <v>0</v>
      </c>
      <c r="GS146" s="465">
        <f>'Hodnocení '!GS142</f>
        <v>0</v>
      </c>
      <c r="GT146" s="465">
        <f>'Hodnocení '!GT142</f>
        <v>0</v>
      </c>
      <c r="GU146" s="465">
        <f>'Hodnocení '!GU142</f>
        <v>0</v>
      </c>
      <c r="GV146" s="465">
        <f>'Hodnocení '!GV142</f>
        <v>0</v>
      </c>
      <c r="GW146" s="465">
        <f>'Hodnocení '!GW142</f>
        <v>0</v>
      </c>
      <c r="GX146" s="465">
        <f>'Hodnocení '!GX142</f>
        <v>0</v>
      </c>
      <c r="GY146" s="465">
        <f>'Hodnocení '!GY142</f>
        <v>0</v>
      </c>
      <c r="GZ146" s="465">
        <f>'Hodnocení '!GZ142</f>
        <v>0</v>
      </c>
      <c r="HA146" s="465">
        <f>'Hodnocení '!HA142</f>
        <v>0</v>
      </c>
      <c r="HB146" s="465">
        <f>'Hodnocení '!HB142</f>
        <v>0</v>
      </c>
      <c r="HC146" s="465">
        <f>'Hodnocení '!HC142</f>
        <v>0</v>
      </c>
      <c r="HD146" s="465">
        <f>'Hodnocení '!HD142</f>
        <v>0</v>
      </c>
      <c r="HE146" s="465">
        <f>'Hodnocení '!HE142</f>
        <v>0</v>
      </c>
      <c r="HF146" s="465">
        <f>'Hodnocení '!HF142</f>
        <v>0</v>
      </c>
      <c r="HG146" s="465">
        <f>'Hodnocení '!HG142</f>
        <v>0</v>
      </c>
      <c r="HH146" s="465">
        <f>'Hodnocení '!HH142</f>
        <v>0</v>
      </c>
      <c r="HI146" s="465">
        <f>'Hodnocení '!HI142</f>
        <v>0</v>
      </c>
      <c r="HJ146" s="465">
        <f>'Hodnocení '!HJ142</f>
        <v>0</v>
      </c>
      <c r="HK146" s="465">
        <f>'Hodnocení '!HK142</f>
        <v>0</v>
      </c>
      <c r="HL146" s="465">
        <f>'Hodnocení '!HL142</f>
        <v>0</v>
      </c>
      <c r="HM146" s="465">
        <f>'Hodnocení '!HM142</f>
        <v>0</v>
      </c>
      <c r="HN146" s="465">
        <f>'Hodnocení '!HN142</f>
        <v>0</v>
      </c>
      <c r="HO146" s="465">
        <f>'Hodnocení '!HO142</f>
        <v>0</v>
      </c>
      <c r="HP146" s="465">
        <f>'Hodnocení '!HP142</f>
        <v>0</v>
      </c>
      <c r="HQ146" s="465">
        <f>'Hodnocení '!HQ142</f>
        <v>0</v>
      </c>
      <c r="HR146" s="465">
        <f>'Hodnocení '!HR142</f>
        <v>0</v>
      </c>
      <c r="HS146" s="465">
        <f>'Hodnocení '!HS142</f>
        <v>0</v>
      </c>
      <c r="HT146" s="465">
        <f>'Hodnocení '!HT142</f>
        <v>0</v>
      </c>
      <c r="HU146" s="465">
        <f>'Hodnocení '!HU142</f>
        <v>0</v>
      </c>
      <c r="HV146" s="465">
        <f>'Hodnocení '!HV142</f>
        <v>0</v>
      </c>
      <c r="HW146" s="465">
        <f>'Hodnocení '!HW142</f>
        <v>0</v>
      </c>
      <c r="HX146" s="465">
        <f>'Hodnocení '!HX142</f>
        <v>0</v>
      </c>
      <c r="HY146" s="465">
        <f>'Hodnocení '!HY142</f>
        <v>0</v>
      </c>
      <c r="HZ146" s="465">
        <f>'Hodnocení '!HZ142</f>
        <v>0</v>
      </c>
      <c r="IA146" s="465">
        <f>'Hodnocení '!IA142</f>
        <v>0</v>
      </c>
      <c r="IB146" s="465">
        <f>'Hodnocení '!IB142</f>
        <v>0</v>
      </c>
      <c r="IC146" s="465">
        <f>'Hodnocení '!IC142</f>
        <v>0</v>
      </c>
      <c r="ID146" s="465">
        <f>'Hodnocení '!ID142</f>
        <v>0</v>
      </c>
      <c r="IE146" s="465">
        <f>'Hodnocení '!IE142</f>
        <v>0</v>
      </c>
      <c r="IF146" s="465">
        <f>'Hodnocení '!IF142</f>
        <v>0</v>
      </c>
      <c r="IG146" s="465">
        <f>'Hodnocení '!IG142</f>
        <v>0</v>
      </c>
      <c r="IH146" s="465">
        <f>'Hodnocení '!IH142</f>
        <v>0</v>
      </c>
      <c r="II146" s="465">
        <f>'Hodnocení '!II142</f>
        <v>0</v>
      </c>
      <c r="IJ146" s="465">
        <f>'Hodnocení '!IJ142</f>
        <v>0</v>
      </c>
      <c r="IK146" s="465">
        <f>'Hodnocení '!IK142</f>
        <v>0</v>
      </c>
      <c r="IL146" s="465">
        <f>'Hodnocení '!IL142</f>
        <v>0</v>
      </c>
      <c r="IM146" s="465">
        <f>'Hodnocení '!IM142</f>
        <v>0</v>
      </c>
      <c r="IN146" s="465">
        <f>'Hodnocení '!IN142</f>
        <v>0</v>
      </c>
      <c r="IO146" s="465">
        <f>'Hodnocení '!IO142</f>
        <v>0</v>
      </c>
      <c r="IP146" s="465">
        <f>'Hodnocení '!IP142</f>
        <v>0</v>
      </c>
      <c r="IQ146" s="465">
        <f>'Hodnocení '!IQ142</f>
        <v>0</v>
      </c>
      <c r="IR146" s="465">
        <f>'Hodnocení '!IR142</f>
        <v>0</v>
      </c>
      <c r="IS146" s="465">
        <f>'Hodnocení '!IS142</f>
        <v>0</v>
      </c>
      <c r="IT146" s="465">
        <f>'Hodnocení '!IT142</f>
        <v>0</v>
      </c>
      <c r="IU146" s="465">
        <f>'Hodnocení '!IU142</f>
        <v>0</v>
      </c>
      <c r="IV146" s="465">
        <f>'Hodnocení '!IV142</f>
        <v>0</v>
      </c>
      <c r="IW146" s="465">
        <f>'Hodnocení '!IW142</f>
        <v>0</v>
      </c>
      <c r="IX146" s="465">
        <f>'Hodnocení '!IX142</f>
        <v>0</v>
      </c>
      <c r="IY146" s="465">
        <f>'Hodnocení '!IY142</f>
        <v>0</v>
      </c>
      <c r="IZ146" s="465">
        <f>'Hodnocení '!IZ142</f>
        <v>0</v>
      </c>
      <c r="JA146" s="465">
        <f>'Hodnocení '!JA142</f>
        <v>0</v>
      </c>
      <c r="JB146" s="465">
        <f>'Hodnocení '!JB142</f>
        <v>0</v>
      </c>
      <c r="JC146" s="465">
        <f>'Hodnocení '!JC142</f>
        <v>0</v>
      </c>
      <c r="JD146" s="465">
        <f>'Hodnocení '!JD142</f>
        <v>0</v>
      </c>
      <c r="JE146" s="465">
        <f>'Hodnocení '!JE142</f>
        <v>0</v>
      </c>
      <c r="JF146" s="465">
        <f>'Hodnocení '!JF142</f>
        <v>0</v>
      </c>
      <c r="JG146" s="465">
        <f>'Hodnocení '!JG142</f>
        <v>0</v>
      </c>
      <c r="JH146" s="459">
        <f>'Hodnocení '!JH142</f>
        <v>0</v>
      </c>
      <c r="JI146" s="470">
        <f>'Hodnocení '!JI142</f>
        <v>2624945</v>
      </c>
    </row>
    <row r="147" spans="1:276" hidden="1" x14ac:dyDescent="0.25">
      <c r="A147" s="725"/>
      <c r="B147" s="755"/>
      <c r="C147" s="618">
        <f>'Hodnocení '!C143</f>
        <v>0</v>
      </c>
      <c r="D147" s="465">
        <f>'Hodnocení '!D143</f>
        <v>0</v>
      </c>
      <c r="E147" s="465">
        <f>'Hodnocení '!E143</f>
        <v>0</v>
      </c>
      <c r="F147" s="465">
        <f>'Hodnocení '!F143</f>
        <v>0</v>
      </c>
      <c r="G147" s="465">
        <f>'Hodnocení '!G143</f>
        <v>0</v>
      </c>
      <c r="H147" s="465">
        <f>'Hodnocení '!H143</f>
        <v>0</v>
      </c>
      <c r="I147" s="465">
        <f>'Hodnocení '!I143</f>
        <v>0</v>
      </c>
      <c r="J147" s="465">
        <f>'Hodnocení '!J143</f>
        <v>0</v>
      </c>
      <c r="K147" s="465">
        <f>'Hodnocení '!K143</f>
        <v>0</v>
      </c>
      <c r="L147" s="465">
        <f>'Hodnocení '!L143</f>
        <v>0</v>
      </c>
      <c r="M147" s="465">
        <f>'Hodnocení '!M143</f>
        <v>0</v>
      </c>
      <c r="N147" s="465">
        <f>'Hodnocení '!N143</f>
        <v>0</v>
      </c>
      <c r="O147" s="465">
        <f>'Hodnocení '!O143</f>
        <v>0</v>
      </c>
      <c r="P147" s="465">
        <f>'Hodnocení '!P143</f>
        <v>0</v>
      </c>
      <c r="Q147" s="465">
        <f>'Hodnocení '!Q143</f>
        <v>0</v>
      </c>
      <c r="R147" s="465">
        <f>'Hodnocení '!R143</f>
        <v>0</v>
      </c>
      <c r="S147" s="465">
        <f>'Hodnocení '!S143</f>
        <v>0</v>
      </c>
      <c r="T147" s="465">
        <f>'Hodnocení '!T143</f>
        <v>0</v>
      </c>
      <c r="U147" s="465">
        <f>'Hodnocení '!U143</f>
        <v>0</v>
      </c>
      <c r="V147" s="465">
        <f>'Hodnocení '!V143</f>
        <v>0</v>
      </c>
      <c r="W147" s="465">
        <f>'Hodnocení '!W143</f>
        <v>0</v>
      </c>
      <c r="X147" s="465">
        <f>'Hodnocení '!X143</f>
        <v>0</v>
      </c>
      <c r="Y147" s="465">
        <f>'Hodnocení '!Y143</f>
        <v>0</v>
      </c>
      <c r="Z147" s="465">
        <f>'Hodnocení '!Z143</f>
        <v>0</v>
      </c>
      <c r="AA147" s="465">
        <f>'Hodnocení '!AA143</f>
        <v>0</v>
      </c>
      <c r="AB147" s="465">
        <f>'Hodnocení '!AB143</f>
        <v>0</v>
      </c>
      <c r="AC147" s="465">
        <f>'Hodnocení '!AC143</f>
        <v>0</v>
      </c>
      <c r="AD147" s="465">
        <f>'Hodnocení '!AD143</f>
        <v>0</v>
      </c>
      <c r="AE147" s="465">
        <f>'Hodnocení '!AE143</f>
        <v>0</v>
      </c>
      <c r="AF147" s="465">
        <f>'Hodnocení '!AF143</f>
        <v>0</v>
      </c>
      <c r="AG147" s="465">
        <f>'Hodnocení '!AG143</f>
        <v>0</v>
      </c>
      <c r="AH147" s="465">
        <f>'Hodnocení '!AH143</f>
        <v>0</v>
      </c>
      <c r="AI147" s="465">
        <f>'Hodnocení '!AI143</f>
        <v>0</v>
      </c>
      <c r="AJ147" s="465">
        <f>'Hodnocení '!AJ143</f>
        <v>0</v>
      </c>
      <c r="AK147" s="465">
        <f>'Hodnocení '!AK143</f>
        <v>40000</v>
      </c>
      <c r="AL147" s="465">
        <f>'Hodnocení '!AL143</f>
        <v>0</v>
      </c>
      <c r="AM147" s="465">
        <f>'Hodnocení '!AM143</f>
        <v>0</v>
      </c>
      <c r="AN147" s="465">
        <f>'Hodnocení '!AN143</f>
        <v>0</v>
      </c>
      <c r="AO147" s="465">
        <f>'Hodnocení '!AO143</f>
        <v>0</v>
      </c>
      <c r="AP147" s="465">
        <f>'Hodnocení '!AP143</f>
        <v>42000</v>
      </c>
      <c r="AQ147" s="465">
        <f>'Hodnocení '!AQ143</f>
        <v>0</v>
      </c>
      <c r="AR147" s="465">
        <f>'Hodnocení '!AR143</f>
        <v>0</v>
      </c>
      <c r="AS147" s="465">
        <f>'Hodnocení '!AS143</f>
        <v>0</v>
      </c>
      <c r="AT147" s="465">
        <f>'Hodnocení '!AT143</f>
        <v>0</v>
      </c>
      <c r="AU147" s="465">
        <f>'Hodnocení '!AU143</f>
        <v>0</v>
      </c>
      <c r="AV147" s="465">
        <f>'Hodnocení '!AV143</f>
        <v>0</v>
      </c>
      <c r="AW147" s="465">
        <f>'Hodnocení '!AW143</f>
        <v>0</v>
      </c>
      <c r="AX147" s="465">
        <f>'Hodnocení '!AX143</f>
        <v>4875</v>
      </c>
      <c r="AY147" s="465">
        <f>'Hodnocení '!AY143</f>
        <v>3700</v>
      </c>
      <c r="AZ147" s="465">
        <f>'Hodnocení '!AZ143</f>
        <v>3656</v>
      </c>
      <c r="BA147" s="465">
        <f>'Hodnocení '!BA143</f>
        <v>0</v>
      </c>
      <c r="BB147" s="465">
        <f>'Hodnocení '!BB143</f>
        <v>0</v>
      </c>
      <c r="BC147" s="465">
        <f>'Hodnocení '!BC143</f>
        <v>0</v>
      </c>
      <c r="BD147" s="465">
        <f>'Hodnocení '!BD143</f>
        <v>0</v>
      </c>
      <c r="BE147" s="465">
        <f>'Hodnocení '!BE143</f>
        <v>0</v>
      </c>
      <c r="BF147" s="465">
        <f>'Hodnocení '!BF143</f>
        <v>847190</v>
      </c>
      <c r="BG147" s="465">
        <f>'Hodnocení '!BG143</f>
        <v>645000</v>
      </c>
      <c r="BH147" s="465">
        <f>'Hodnocení '!BH143</f>
        <v>667000</v>
      </c>
      <c r="BI147" s="465">
        <f>'Hodnocení '!BI143</f>
        <v>1100000</v>
      </c>
      <c r="BJ147" s="465">
        <f>'Hodnocení '!BJ143</f>
        <v>0</v>
      </c>
      <c r="BK147" s="465">
        <f>'Hodnocení '!BK143</f>
        <v>0</v>
      </c>
      <c r="BL147" s="465">
        <f>'Hodnocení '!BL143</f>
        <v>0</v>
      </c>
      <c r="BM147" s="465">
        <f>'Hodnocení '!BM143</f>
        <v>623790</v>
      </c>
      <c r="BN147" s="465">
        <f>'Hodnocení '!BN143</f>
        <v>0</v>
      </c>
      <c r="BO147" s="465">
        <f>'Hodnocení '!BO143</f>
        <v>0</v>
      </c>
      <c r="BP147" s="465">
        <f>'Hodnocení '!BP143</f>
        <v>0</v>
      </c>
      <c r="BQ147" s="465">
        <f>'Hodnocení '!BQ143</f>
        <v>805234</v>
      </c>
      <c r="BR147" s="465">
        <f>'Hodnocení '!BR143</f>
        <v>0</v>
      </c>
      <c r="BS147" s="465">
        <f>'Hodnocení '!BS143</f>
        <v>0</v>
      </c>
      <c r="BT147" s="465">
        <f>'Hodnocení '!BT143</f>
        <v>0</v>
      </c>
      <c r="BU147" s="465">
        <f>'Hodnocení '!BU143</f>
        <v>0</v>
      </c>
      <c r="BV147" s="465">
        <f>'Hodnocení '!BV143</f>
        <v>0</v>
      </c>
      <c r="BW147" s="465">
        <f>'Hodnocení '!BW143</f>
        <v>0</v>
      </c>
      <c r="BX147" s="465">
        <f>'Hodnocení '!BX143</f>
        <v>0</v>
      </c>
      <c r="BY147" s="465">
        <f>'Hodnocení '!BY143</f>
        <v>0</v>
      </c>
      <c r="BZ147" s="465">
        <f>'Hodnocení '!BZ143</f>
        <v>0</v>
      </c>
      <c r="CA147" s="465">
        <f>'Hodnocení '!CA143</f>
        <v>0</v>
      </c>
      <c r="CB147" s="465">
        <f>'Hodnocení '!CB143</f>
        <v>0</v>
      </c>
      <c r="CC147" s="465">
        <f>'Hodnocení '!CC143</f>
        <v>16324</v>
      </c>
      <c r="CD147" s="465">
        <f>'Hodnocení '!CD143</f>
        <v>14000</v>
      </c>
      <c r="CE147" s="465">
        <f>'Hodnocení '!CE143</f>
        <v>0</v>
      </c>
      <c r="CF147" s="465">
        <f>'Hodnocení '!CF143</f>
        <v>0</v>
      </c>
      <c r="CG147" s="465">
        <f>'Hodnocení '!CG143</f>
        <v>282324</v>
      </c>
      <c r="CH147" s="465">
        <f>'Hodnocení '!CH143</f>
        <v>30330</v>
      </c>
      <c r="CI147" s="465">
        <f>'Hodnocení '!CI143</f>
        <v>16324</v>
      </c>
      <c r="CJ147" s="465">
        <f>'Hodnocení '!CJ143</f>
        <v>59775</v>
      </c>
      <c r="CK147" s="465">
        <f>'Hodnocení '!CK143</f>
        <v>32000</v>
      </c>
      <c r="CL147" s="465">
        <f>'Hodnocení '!CL143</f>
        <v>53270</v>
      </c>
      <c r="CM147" s="465">
        <f>'Hodnocení '!CM143</f>
        <v>0</v>
      </c>
      <c r="CN147" s="465">
        <f>'Hodnocení '!CN143</f>
        <v>0</v>
      </c>
      <c r="CO147" s="465">
        <f>'Hodnocení '!CO143</f>
        <v>0</v>
      </c>
      <c r="CP147" s="465">
        <f>'Hodnocení '!CP143</f>
        <v>0</v>
      </c>
      <c r="CQ147" s="465">
        <f>'Hodnocení '!CQ143</f>
        <v>0</v>
      </c>
      <c r="CR147" s="465">
        <f>'Hodnocení '!CR143</f>
        <v>0</v>
      </c>
      <c r="CS147" s="465">
        <f>'Hodnocení '!CS143</f>
        <v>0</v>
      </c>
      <c r="CT147" s="465">
        <f>'Hodnocení '!CT143</f>
        <v>0</v>
      </c>
      <c r="CU147" s="465">
        <f>'Hodnocení '!CU143</f>
        <v>0</v>
      </c>
      <c r="CV147" s="465">
        <f>'Hodnocení '!CV143</f>
        <v>0</v>
      </c>
      <c r="CW147" s="465">
        <f>'Hodnocení '!CW143</f>
        <v>0</v>
      </c>
      <c r="CX147" s="465">
        <f>'Hodnocení '!CX143</f>
        <v>0</v>
      </c>
      <c r="CY147" s="465">
        <f>'Hodnocení '!CY143</f>
        <v>0</v>
      </c>
      <c r="CZ147" s="465">
        <f>'Hodnocení '!CZ143</f>
        <v>0</v>
      </c>
      <c r="DA147" s="465">
        <f>'Hodnocení '!DA143</f>
        <v>2100000</v>
      </c>
      <c r="DB147" s="465">
        <f>'Hodnocení '!DB143</f>
        <v>0</v>
      </c>
      <c r="DC147" s="465">
        <f>'Hodnocení '!DC143</f>
        <v>120000</v>
      </c>
      <c r="DD147" s="465">
        <f>'Hodnocení '!DD143</f>
        <v>0</v>
      </c>
      <c r="DE147" s="465">
        <f>'Hodnocení '!DE143</f>
        <v>0</v>
      </c>
      <c r="DF147" s="465">
        <f>'Hodnocení '!DF143</f>
        <v>1789112</v>
      </c>
      <c r="DG147" s="465">
        <f>'Hodnocení '!DG143</f>
        <v>0</v>
      </c>
      <c r="DH147" s="465">
        <f>'Hodnocení '!DH143</f>
        <v>317574</v>
      </c>
      <c r="DI147" s="465">
        <f>'Hodnocení '!DI143</f>
        <v>0</v>
      </c>
      <c r="DJ147" s="465">
        <f>'Hodnocení '!DJ143</f>
        <v>0</v>
      </c>
      <c r="DK147" s="465">
        <f>'Hodnocení '!DK143</f>
        <v>0</v>
      </c>
      <c r="DL147" s="465">
        <f>'Hodnocení '!DL143</f>
        <v>0</v>
      </c>
      <c r="DM147" s="465">
        <f>'Hodnocení '!DM143</f>
        <v>0</v>
      </c>
      <c r="DN147" s="465">
        <f>'Hodnocení '!DN143</f>
        <v>0</v>
      </c>
      <c r="DO147" s="465">
        <f>'Hodnocení '!DO143</f>
        <v>0</v>
      </c>
      <c r="DP147" s="465">
        <f>'Hodnocení '!DP143</f>
        <v>0</v>
      </c>
      <c r="DQ147" s="465">
        <f>'Hodnocení '!DQ143</f>
        <v>0</v>
      </c>
      <c r="DR147" s="465">
        <f>'Hodnocení '!DR143</f>
        <v>0</v>
      </c>
      <c r="DS147" s="465">
        <f>'Hodnocení '!DS143</f>
        <v>0</v>
      </c>
      <c r="DT147" s="465">
        <f>'Hodnocení '!DT143</f>
        <v>0</v>
      </c>
      <c r="DU147" s="465">
        <f>'Hodnocení '!DU143</f>
        <v>0</v>
      </c>
      <c r="DV147" s="465">
        <f>'Hodnocení '!DV143</f>
        <v>1000000</v>
      </c>
      <c r="DW147" s="465">
        <f>'Hodnocení '!DW143</f>
        <v>0</v>
      </c>
      <c r="DX147" s="465">
        <f>'Hodnocení '!DX143</f>
        <v>0</v>
      </c>
      <c r="DY147" s="465">
        <f>'Hodnocení '!DY143</f>
        <v>0</v>
      </c>
      <c r="DZ147" s="465">
        <f>'Hodnocení '!DZ143</f>
        <v>0</v>
      </c>
      <c r="EA147" s="465">
        <f>'Hodnocení '!EA143</f>
        <v>0</v>
      </c>
      <c r="EB147" s="465">
        <f>'Hodnocení '!EB143</f>
        <v>0</v>
      </c>
      <c r="EC147" s="465">
        <f>'Hodnocení '!EC143</f>
        <v>108000</v>
      </c>
      <c r="ED147" s="465">
        <f>'Hodnocení '!ED143</f>
        <v>0</v>
      </c>
      <c r="EE147" s="465">
        <f>'Hodnocení '!EE143</f>
        <v>157376</v>
      </c>
      <c r="EF147" s="465">
        <f>'Hodnocení '!EF143</f>
        <v>145000</v>
      </c>
      <c r="EG147" s="465">
        <f>'Hodnocení '!EG143</f>
        <v>0</v>
      </c>
      <c r="EH147" s="465">
        <f>'Hodnocení '!EH143</f>
        <v>165000</v>
      </c>
      <c r="EI147" s="465">
        <f>'Hodnocení '!EI143</f>
        <v>116247</v>
      </c>
      <c r="EJ147" s="465">
        <f>'Hodnocení '!EJ143</f>
        <v>174460</v>
      </c>
      <c r="EK147" s="465">
        <f>'Hodnocení '!EK143</f>
        <v>0</v>
      </c>
      <c r="EL147" s="465">
        <f>'Hodnocení '!EL143</f>
        <v>0</v>
      </c>
      <c r="EM147" s="465">
        <f>'Hodnocení '!EM143</f>
        <v>0</v>
      </c>
      <c r="EN147" s="465">
        <f>'Hodnocení '!EN143</f>
        <v>0</v>
      </c>
      <c r="EO147" s="465">
        <f>'Hodnocení '!EO143</f>
        <v>0</v>
      </c>
      <c r="EP147" s="465">
        <f>'Hodnocení '!EP143</f>
        <v>320000</v>
      </c>
      <c r="EQ147" s="465">
        <f>'Hodnocení '!EQ143</f>
        <v>200000</v>
      </c>
      <c r="ER147" s="465">
        <f>'Hodnocení '!ER143</f>
        <v>0</v>
      </c>
      <c r="ES147" s="465">
        <f>'Hodnocení '!ES143</f>
        <v>0</v>
      </c>
      <c r="ET147" s="465">
        <f>'Hodnocení '!ET143</f>
        <v>0</v>
      </c>
      <c r="EU147" s="465">
        <f>'Hodnocení '!EU143</f>
        <v>0</v>
      </c>
      <c r="EV147" s="465">
        <f>'Hodnocení '!EV143</f>
        <v>0</v>
      </c>
      <c r="EW147" s="465">
        <f>'Hodnocení '!EW143</f>
        <v>0</v>
      </c>
      <c r="EX147" s="465">
        <f>'Hodnocení '!EX143</f>
        <v>0</v>
      </c>
      <c r="EY147" s="465">
        <f>'Hodnocení '!EY143</f>
        <v>0</v>
      </c>
      <c r="EZ147" s="465">
        <f>'Hodnocení '!EZ143</f>
        <v>0</v>
      </c>
      <c r="FA147" s="465">
        <f>'Hodnocení '!FA143</f>
        <v>0</v>
      </c>
      <c r="FB147" s="465">
        <f>'Hodnocení '!FB143</f>
        <v>0</v>
      </c>
      <c r="FC147" s="465">
        <f>'Hodnocení '!FC143</f>
        <v>0</v>
      </c>
      <c r="FD147" s="465">
        <f>'Hodnocení '!FD143</f>
        <v>0</v>
      </c>
      <c r="FE147" s="465">
        <f>'Hodnocení '!FE143</f>
        <v>0</v>
      </c>
      <c r="FF147" s="465">
        <f>'Hodnocení '!FF143</f>
        <v>0</v>
      </c>
      <c r="FG147" s="465">
        <f>'Hodnocení '!FG143</f>
        <v>0</v>
      </c>
      <c r="FH147" s="465">
        <f>'Hodnocení '!FH143</f>
        <v>0</v>
      </c>
      <c r="FI147" s="465">
        <f>'Hodnocení '!FI143</f>
        <v>0</v>
      </c>
      <c r="FJ147" s="465">
        <f>'Hodnocení '!FJ143</f>
        <v>0</v>
      </c>
      <c r="FK147" s="465">
        <f>'Hodnocení '!FK143</f>
        <v>0</v>
      </c>
      <c r="FL147" s="465">
        <f>'Hodnocení '!FL143</f>
        <v>0</v>
      </c>
      <c r="FM147" s="465">
        <f>'Hodnocení '!FM143</f>
        <v>0</v>
      </c>
      <c r="FN147" s="465">
        <f>'Hodnocení '!FN143</f>
        <v>0</v>
      </c>
      <c r="FO147" s="465">
        <f>'Hodnocení '!FO143</f>
        <v>0</v>
      </c>
      <c r="FP147" s="465">
        <f>'Hodnocení '!FP143</f>
        <v>0</v>
      </c>
      <c r="FQ147" s="465">
        <f>'Hodnocení '!FQ143</f>
        <v>0</v>
      </c>
      <c r="FR147" s="465">
        <f>'Hodnocení '!FR143</f>
        <v>0</v>
      </c>
      <c r="FS147" s="465">
        <f>'Hodnocení '!FS143</f>
        <v>0</v>
      </c>
      <c r="FT147" s="465">
        <f>'Hodnocení '!FT143</f>
        <v>0</v>
      </c>
      <c r="FU147" s="465">
        <f>'Hodnocení '!FU143</f>
        <v>0</v>
      </c>
      <c r="FV147" s="465">
        <f>'Hodnocení '!FV143</f>
        <v>0</v>
      </c>
      <c r="FW147" s="465">
        <f>'Hodnocení '!FW143</f>
        <v>0</v>
      </c>
      <c r="FX147" s="465">
        <f>'Hodnocení '!FX143</f>
        <v>0</v>
      </c>
      <c r="FY147" s="465">
        <f>'Hodnocení '!FY143</f>
        <v>0</v>
      </c>
      <c r="FZ147" s="465">
        <f>'Hodnocení '!FZ143</f>
        <v>0</v>
      </c>
      <c r="GA147" s="465">
        <f>'Hodnocení '!GA143</f>
        <v>0</v>
      </c>
      <c r="GB147" s="465">
        <f>'Hodnocení '!GB143</f>
        <v>3520000</v>
      </c>
      <c r="GC147" s="465">
        <f>'Hodnocení '!GC143</f>
        <v>0</v>
      </c>
      <c r="GD147" s="465">
        <f>'Hodnocení '!GD143</f>
        <v>0</v>
      </c>
      <c r="GE147" s="465">
        <f>'Hodnocení '!GE143</f>
        <v>0</v>
      </c>
      <c r="GF147" s="465">
        <f>'Hodnocení '!GF143</f>
        <v>0</v>
      </c>
      <c r="GG147" s="465">
        <f>'Hodnocení '!GG143</f>
        <v>0</v>
      </c>
      <c r="GH147" s="465">
        <f>'Hodnocení '!GH143</f>
        <v>0</v>
      </c>
      <c r="GI147" s="465">
        <f>'Hodnocení '!GI143</f>
        <v>0</v>
      </c>
      <c r="GJ147" s="465">
        <f>'Hodnocení '!GJ143</f>
        <v>0</v>
      </c>
      <c r="GK147" s="465">
        <f>'Hodnocení '!GK143</f>
        <v>500000</v>
      </c>
      <c r="GL147" s="465">
        <f>'Hodnocení '!GL143</f>
        <v>0</v>
      </c>
      <c r="GM147" s="465">
        <f>'Hodnocení '!GM143</f>
        <v>0</v>
      </c>
      <c r="GN147" s="465">
        <f>'Hodnocení '!GN143</f>
        <v>0</v>
      </c>
      <c r="GO147" s="465">
        <f>'Hodnocení '!GO143</f>
        <v>0</v>
      </c>
      <c r="GP147" s="465">
        <f>'Hodnocení '!GP143</f>
        <v>0</v>
      </c>
      <c r="GQ147" s="465">
        <f>'Hodnocení '!GQ143</f>
        <v>0</v>
      </c>
      <c r="GR147" s="465">
        <f>'Hodnocení '!GR143</f>
        <v>0</v>
      </c>
      <c r="GS147" s="465">
        <f>'Hodnocení '!GS143</f>
        <v>0</v>
      </c>
      <c r="GT147" s="465">
        <f>'Hodnocení '!GT143</f>
        <v>0</v>
      </c>
      <c r="GU147" s="465">
        <f>'Hodnocení '!GU143</f>
        <v>0</v>
      </c>
      <c r="GV147" s="465">
        <f>'Hodnocení '!GV143</f>
        <v>0</v>
      </c>
      <c r="GW147" s="465">
        <f>'Hodnocení '!GW143</f>
        <v>0</v>
      </c>
      <c r="GX147" s="465">
        <f>'Hodnocení '!GX143</f>
        <v>0</v>
      </c>
      <c r="GY147" s="465">
        <f>'Hodnocení '!GY143</f>
        <v>0</v>
      </c>
      <c r="GZ147" s="465">
        <f>'Hodnocení '!GZ143</f>
        <v>0</v>
      </c>
      <c r="HA147" s="465">
        <f>'Hodnocení '!HA143</f>
        <v>0</v>
      </c>
      <c r="HB147" s="465">
        <f>'Hodnocení '!HB143</f>
        <v>0</v>
      </c>
      <c r="HC147" s="465">
        <f>'Hodnocení '!HC143</f>
        <v>0</v>
      </c>
      <c r="HD147" s="465">
        <f>'Hodnocení '!HD143</f>
        <v>0</v>
      </c>
      <c r="HE147" s="465">
        <f>'Hodnocení '!HE143</f>
        <v>0</v>
      </c>
      <c r="HF147" s="465">
        <f>'Hodnocení '!HF143</f>
        <v>0</v>
      </c>
      <c r="HG147" s="465">
        <f>'Hodnocení '!HG143</f>
        <v>0</v>
      </c>
      <c r="HH147" s="465">
        <f>'Hodnocení '!HH143</f>
        <v>0</v>
      </c>
      <c r="HI147" s="465">
        <f>'Hodnocení '!HI143</f>
        <v>0</v>
      </c>
      <c r="HJ147" s="465">
        <f>'Hodnocení '!HJ143</f>
        <v>0</v>
      </c>
      <c r="HK147" s="465">
        <f>'Hodnocení '!HK143</f>
        <v>0</v>
      </c>
      <c r="HL147" s="465">
        <f>'Hodnocení '!HL143</f>
        <v>0</v>
      </c>
      <c r="HM147" s="465">
        <f>'Hodnocení '!HM143</f>
        <v>0</v>
      </c>
      <c r="HN147" s="465">
        <f>'Hodnocení '!HN143</f>
        <v>0</v>
      </c>
      <c r="HO147" s="465">
        <f>'Hodnocení '!HO143</f>
        <v>0</v>
      </c>
      <c r="HP147" s="465">
        <f>'Hodnocení '!HP143</f>
        <v>0</v>
      </c>
      <c r="HQ147" s="465">
        <f>'Hodnocení '!HQ143</f>
        <v>0</v>
      </c>
      <c r="HR147" s="465">
        <f>'Hodnocení '!HR143</f>
        <v>0</v>
      </c>
      <c r="HS147" s="465">
        <f>'Hodnocení '!HS143</f>
        <v>0</v>
      </c>
      <c r="HT147" s="465">
        <f>'Hodnocení '!HT143</f>
        <v>0</v>
      </c>
      <c r="HU147" s="465">
        <f>'Hodnocení '!HU143</f>
        <v>334115</v>
      </c>
      <c r="HV147" s="465">
        <f>'Hodnocení '!HV143</f>
        <v>0</v>
      </c>
      <c r="HW147" s="465">
        <f>'Hodnocení '!HW143</f>
        <v>89800</v>
      </c>
      <c r="HX147" s="465">
        <f>'Hodnocení '!HX143</f>
        <v>284200</v>
      </c>
      <c r="HY147" s="465">
        <f>'Hodnocení '!HY143</f>
        <v>0</v>
      </c>
      <c r="HZ147" s="465">
        <f>'Hodnocení '!HZ143</f>
        <v>0</v>
      </c>
      <c r="IA147" s="465">
        <f>'Hodnocení '!IA143</f>
        <v>0</v>
      </c>
      <c r="IB147" s="465">
        <f>'Hodnocení '!IB143</f>
        <v>0</v>
      </c>
      <c r="IC147" s="465">
        <f>'Hodnocení '!IC143</f>
        <v>0</v>
      </c>
      <c r="ID147" s="465">
        <f>'Hodnocení '!ID143</f>
        <v>0</v>
      </c>
      <c r="IE147" s="465">
        <f>'Hodnocení '!IE143</f>
        <v>0</v>
      </c>
      <c r="IF147" s="465">
        <f>'Hodnocení '!IF143</f>
        <v>0</v>
      </c>
      <c r="IG147" s="465">
        <f>'Hodnocení '!IG143</f>
        <v>0</v>
      </c>
      <c r="IH147" s="465">
        <f>'Hodnocení '!IH143</f>
        <v>0</v>
      </c>
      <c r="II147" s="465">
        <f>'Hodnocení '!II143</f>
        <v>0</v>
      </c>
      <c r="IJ147" s="465">
        <f>'Hodnocení '!IJ143</f>
        <v>0</v>
      </c>
      <c r="IK147" s="465">
        <f>'Hodnocení '!IK143</f>
        <v>0</v>
      </c>
      <c r="IL147" s="465">
        <f>'Hodnocení '!IL143</f>
        <v>0</v>
      </c>
      <c r="IM147" s="465">
        <f>'Hodnocení '!IM143</f>
        <v>1040</v>
      </c>
      <c r="IN147" s="465">
        <f>'Hodnocení '!IN143</f>
        <v>21199</v>
      </c>
      <c r="IO147" s="465">
        <f>'Hodnocení '!IO143</f>
        <v>3900</v>
      </c>
      <c r="IP147" s="465">
        <f>'Hodnocení '!IP143</f>
        <v>0</v>
      </c>
      <c r="IQ147" s="465">
        <f>'Hodnocení '!IQ143</f>
        <v>0</v>
      </c>
      <c r="IR147" s="465">
        <f>'Hodnocení '!IR143</f>
        <v>0</v>
      </c>
      <c r="IS147" s="465">
        <f>'Hodnocení '!IS143</f>
        <v>0</v>
      </c>
      <c r="IT147" s="465">
        <f>'Hodnocení '!IT143</f>
        <v>0</v>
      </c>
      <c r="IU147" s="465">
        <f>'Hodnocení '!IU143</f>
        <v>0</v>
      </c>
      <c r="IV147" s="465">
        <f>'Hodnocení '!IV143</f>
        <v>0</v>
      </c>
      <c r="IW147" s="465">
        <f>'Hodnocení '!IW143</f>
        <v>0</v>
      </c>
      <c r="IX147" s="465">
        <f>'Hodnocení '!IX143</f>
        <v>0</v>
      </c>
      <c r="IY147" s="465">
        <f>'Hodnocení '!IY143</f>
        <v>0</v>
      </c>
      <c r="IZ147" s="465">
        <f>'Hodnocení '!IZ143</f>
        <v>0</v>
      </c>
      <c r="JA147" s="465">
        <f>'Hodnocení '!JA143</f>
        <v>0</v>
      </c>
      <c r="JB147" s="465">
        <f>'Hodnocení '!JB143</f>
        <v>280000</v>
      </c>
      <c r="JC147" s="465">
        <f>'Hodnocení '!JC143</f>
        <v>0</v>
      </c>
      <c r="JD147" s="465">
        <f>'Hodnocení '!JD143</f>
        <v>1600000</v>
      </c>
      <c r="JE147" s="465">
        <f>'Hodnocení '!JE143</f>
        <v>0</v>
      </c>
      <c r="JF147" s="465">
        <f>'Hodnocení '!JF143</f>
        <v>0</v>
      </c>
      <c r="JG147" s="465">
        <f>'Hodnocení '!JG143</f>
        <v>0</v>
      </c>
      <c r="JH147" s="459">
        <f>'Hodnocení '!JH143</f>
        <v>0</v>
      </c>
      <c r="JI147" s="470">
        <f>'Hodnocení '!JI143</f>
        <v>18633815</v>
      </c>
    </row>
    <row r="148" spans="1:276" hidden="1" x14ac:dyDescent="0.25">
      <c r="A148" s="725"/>
      <c r="B148" s="755" t="s">
        <v>2625</v>
      </c>
      <c r="C148" s="618">
        <f>'Hodnocení '!C144</f>
        <v>0</v>
      </c>
      <c r="D148" s="465">
        <f>'Hodnocení '!D144</f>
        <v>0</v>
      </c>
      <c r="E148" s="465">
        <f>'Hodnocení '!E144</f>
        <v>0</v>
      </c>
      <c r="F148" s="465">
        <f>'Hodnocení '!F144</f>
        <v>0</v>
      </c>
      <c r="G148" s="465">
        <f>'Hodnocení '!G144</f>
        <v>0</v>
      </c>
      <c r="H148" s="465">
        <f>'Hodnocení '!H144</f>
        <v>0</v>
      </c>
      <c r="I148" s="465">
        <f>'Hodnocení '!I144</f>
        <v>0</v>
      </c>
      <c r="J148" s="465">
        <f>'Hodnocení '!J144</f>
        <v>0</v>
      </c>
      <c r="K148" s="465">
        <f>'Hodnocení '!K144</f>
        <v>0</v>
      </c>
      <c r="L148" s="465">
        <f>'Hodnocení '!L144</f>
        <v>0</v>
      </c>
      <c r="M148" s="465">
        <f>'Hodnocení '!M144</f>
        <v>0</v>
      </c>
      <c r="N148" s="465">
        <f>'Hodnocení '!N144</f>
        <v>0</v>
      </c>
      <c r="O148" s="465">
        <f>'Hodnocení '!O144</f>
        <v>0</v>
      </c>
      <c r="P148" s="465">
        <f>'Hodnocení '!P144</f>
        <v>0</v>
      </c>
      <c r="Q148" s="465">
        <f>'Hodnocení '!Q144</f>
        <v>0</v>
      </c>
      <c r="R148" s="465">
        <f>'Hodnocení '!R144</f>
        <v>0</v>
      </c>
      <c r="S148" s="465">
        <f>'Hodnocení '!S144</f>
        <v>0</v>
      </c>
      <c r="T148" s="465">
        <f>'Hodnocení '!T144</f>
        <v>0</v>
      </c>
      <c r="U148" s="465">
        <f>'Hodnocení '!U144</f>
        <v>0</v>
      </c>
      <c r="V148" s="465">
        <f>'Hodnocení '!V144</f>
        <v>0</v>
      </c>
      <c r="W148" s="465">
        <f>'Hodnocení '!W144</f>
        <v>0</v>
      </c>
      <c r="X148" s="465">
        <f>'Hodnocení '!X144</f>
        <v>0</v>
      </c>
      <c r="Y148" s="465">
        <f>'Hodnocení '!Y144</f>
        <v>0</v>
      </c>
      <c r="Z148" s="465">
        <f>'Hodnocení '!Z144</f>
        <v>0</v>
      </c>
      <c r="AA148" s="465">
        <f>'Hodnocení '!AA144</f>
        <v>0</v>
      </c>
      <c r="AB148" s="465">
        <f>'Hodnocení '!AB144</f>
        <v>0</v>
      </c>
      <c r="AC148" s="465">
        <f>'Hodnocení '!AC144</f>
        <v>0</v>
      </c>
      <c r="AD148" s="465">
        <f>'Hodnocení '!AD144</f>
        <v>0</v>
      </c>
      <c r="AE148" s="465">
        <f>'Hodnocení '!AE144</f>
        <v>0</v>
      </c>
      <c r="AF148" s="465">
        <f>'Hodnocení '!AF144</f>
        <v>0</v>
      </c>
      <c r="AG148" s="465">
        <f>'Hodnocení '!AG144</f>
        <v>0</v>
      </c>
      <c r="AH148" s="465">
        <f>'Hodnocení '!AH144</f>
        <v>0</v>
      </c>
      <c r="AI148" s="465">
        <f>'Hodnocení '!AI144</f>
        <v>0</v>
      </c>
      <c r="AJ148" s="465">
        <f>'Hodnocení '!AJ144</f>
        <v>0</v>
      </c>
      <c r="AK148" s="465">
        <f>'Hodnocení '!AK144</f>
        <v>-40000</v>
      </c>
      <c r="AL148" s="465">
        <f>'Hodnocení '!AL144</f>
        <v>0</v>
      </c>
      <c r="AM148" s="465">
        <f>'Hodnocení '!AM144</f>
        <v>0</v>
      </c>
      <c r="AN148" s="465">
        <f>'Hodnocení '!AN144</f>
        <v>0</v>
      </c>
      <c r="AO148" s="465">
        <f>'Hodnocení '!AO144</f>
        <v>0</v>
      </c>
      <c r="AP148" s="465">
        <f>'Hodnocení '!AP144</f>
        <v>-42000</v>
      </c>
      <c r="AQ148" s="465">
        <f>'Hodnocení '!AQ144</f>
        <v>0</v>
      </c>
      <c r="AR148" s="465">
        <f>'Hodnocení '!AR144</f>
        <v>0</v>
      </c>
      <c r="AS148" s="465">
        <f>'Hodnocení '!AS144</f>
        <v>0</v>
      </c>
      <c r="AT148" s="465">
        <f>'Hodnocení '!AT144</f>
        <v>0</v>
      </c>
      <c r="AU148" s="465">
        <f>'Hodnocení '!AU144</f>
        <v>0</v>
      </c>
      <c r="AV148" s="465">
        <f>'Hodnocení '!AV144</f>
        <v>0</v>
      </c>
      <c r="AW148" s="465">
        <f>'Hodnocení '!AW144</f>
        <v>0</v>
      </c>
      <c r="AX148" s="465">
        <f>'Hodnocení '!AX144</f>
        <v>-4875</v>
      </c>
      <c r="AY148" s="465">
        <f>'Hodnocení '!AY144</f>
        <v>-3700</v>
      </c>
      <c r="AZ148" s="465">
        <f>'Hodnocení '!AZ144</f>
        <v>-3656</v>
      </c>
      <c r="BA148" s="465">
        <f>'Hodnocení '!BA144</f>
        <v>0</v>
      </c>
      <c r="BB148" s="465">
        <f>'Hodnocení '!BB144</f>
        <v>0</v>
      </c>
      <c r="BC148" s="465">
        <f>'Hodnocení '!BC144</f>
        <v>0</v>
      </c>
      <c r="BD148" s="465">
        <f>'Hodnocení '!BD144</f>
        <v>0</v>
      </c>
      <c r="BE148" s="465">
        <f>'Hodnocení '!BE144</f>
        <v>0</v>
      </c>
      <c r="BF148" s="465">
        <f>'Hodnocení '!BF144</f>
        <v>124810</v>
      </c>
      <c r="BG148" s="465">
        <f>'Hodnocení '!BG144</f>
        <v>195000</v>
      </c>
      <c r="BH148" s="465">
        <f>'Hodnocení '!BH144</f>
        <v>313000</v>
      </c>
      <c r="BI148" s="465">
        <f>'Hodnocení '!BI144</f>
        <v>0</v>
      </c>
      <c r="BJ148" s="465">
        <f>'Hodnocení '!BJ144</f>
        <v>0</v>
      </c>
      <c r="BK148" s="465">
        <f>'Hodnocení '!BK144</f>
        <v>0</v>
      </c>
      <c r="BL148" s="465">
        <f>'Hodnocení '!BL144</f>
        <v>0</v>
      </c>
      <c r="BM148" s="465">
        <f>'Hodnocení '!BM144</f>
        <v>0</v>
      </c>
      <c r="BN148" s="465">
        <f>'Hodnocení '!BN144</f>
        <v>0</v>
      </c>
      <c r="BO148" s="465">
        <f>'Hodnocení '!BO144</f>
        <v>0</v>
      </c>
      <c r="BP148" s="465">
        <f>'Hodnocení '!BP144</f>
        <v>0</v>
      </c>
      <c r="BQ148" s="465">
        <f>'Hodnocení '!BQ144</f>
        <v>0</v>
      </c>
      <c r="BR148" s="465">
        <f>'Hodnocení '!BR144</f>
        <v>0</v>
      </c>
      <c r="BS148" s="465">
        <f>'Hodnocení '!BS144</f>
        <v>0</v>
      </c>
      <c r="BT148" s="465">
        <f>'Hodnocení '!BT144</f>
        <v>0</v>
      </c>
      <c r="BU148" s="465">
        <f>'Hodnocení '!BU144</f>
        <v>0</v>
      </c>
      <c r="BV148" s="465">
        <f>'Hodnocení '!BV144</f>
        <v>0</v>
      </c>
      <c r="BW148" s="465">
        <f>'Hodnocení '!BW144</f>
        <v>0</v>
      </c>
      <c r="BX148" s="465">
        <f>'Hodnocení '!BX144</f>
        <v>0</v>
      </c>
      <c r="BY148" s="465">
        <f>'Hodnocení '!BY144</f>
        <v>0</v>
      </c>
      <c r="BZ148" s="465">
        <f>'Hodnocení '!BZ144</f>
        <v>0</v>
      </c>
      <c r="CA148" s="465">
        <f>'Hodnocení '!CA144</f>
        <v>0</v>
      </c>
      <c r="CB148" s="465">
        <f>'Hodnocení '!CB144</f>
        <v>0</v>
      </c>
      <c r="CC148" s="465">
        <f>'Hodnocení '!CC144</f>
        <v>0</v>
      </c>
      <c r="CD148" s="465">
        <f>'Hodnocení '!CD144</f>
        <v>0</v>
      </c>
      <c r="CE148" s="465">
        <f>'Hodnocení '!CE144</f>
        <v>0</v>
      </c>
      <c r="CF148" s="465">
        <f>'Hodnocení '!CF144</f>
        <v>0</v>
      </c>
      <c r="CG148" s="465">
        <f>'Hodnocení '!CG144</f>
        <v>-36000</v>
      </c>
      <c r="CH148" s="465">
        <f>'Hodnocení '!CH144</f>
        <v>0</v>
      </c>
      <c r="CI148" s="465">
        <f>'Hodnocení '!CI144</f>
        <v>0</v>
      </c>
      <c r="CJ148" s="465">
        <f>'Hodnocení '!CJ144</f>
        <v>0</v>
      </c>
      <c r="CK148" s="465">
        <f>'Hodnocení '!CK144</f>
        <v>0</v>
      </c>
      <c r="CL148" s="465">
        <f>'Hodnocení '!CL144</f>
        <v>0</v>
      </c>
      <c r="CM148" s="465">
        <f>'Hodnocení '!CM144</f>
        <v>0</v>
      </c>
      <c r="CN148" s="465">
        <f>'Hodnocení '!CN144</f>
        <v>0</v>
      </c>
      <c r="CO148" s="465">
        <f>'Hodnocení '!CO144</f>
        <v>0</v>
      </c>
      <c r="CP148" s="465">
        <f>'Hodnocení '!CP144</f>
        <v>0</v>
      </c>
      <c r="CQ148" s="465">
        <f>'Hodnocení '!CQ144</f>
        <v>0</v>
      </c>
      <c r="CR148" s="465">
        <f>'Hodnocení '!CR144</f>
        <v>0</v>
      </c>
      <c r="CS148" s="465">
        <f>'Hodnocení '!CS144</f>
        <v>0</v>
      </c>
      <c r="CT148" s="465">
        <f>'Hodnocení '!CT144</f>
        <v>0</v>
      </c>
      <c r="CU148" s="465">
        <f>'Hodnocení '!CU144</f>
        <v>0</v>
      </c>
      <c r="CV148" s="465">
        <f>'Hodnocení '!CV144</f>
        <v>0</v>
      </c>
      <c r="CW148" s="465">
        <f>'Hodnocení '!CW144</f>
        <v>0</v>
      </c>
      <c r="CX148" s="465">
        <f>'Hodnocení '!CX144</f>
        <v>0</v>
      </c>
      <c r="CY148" s="465">
        <f>'Hodnocení '!CY144</f>
        <v>0</v>
      </c>
      <c r="CZ148" s="465">
        <f>'Hodnocení '!CZ144</f>
        <v>0</v>
      </c>
      <c r="DA148" s="465">
        <f>'Hodnocení '!DA144</f>
        <v>413000</v>
      </c>
      <c r="DB148" s="465">
        <f>'Hodnocení '!DB144</f>
        <v>0</v>
      </c>
      <c r="DC148" s="465">
        <f>'Hodnocení '!DC144</f>
        <v>-120000</v>
      </c>
      <c r="DD148" s="465">
        <f>'Hodnocení '!DD144</f>
        <v>0</v>
      </c>
      <c r="DE148" s="465">
        <f>'Hodnocení '!DE144</f>
        <v>0</v>
      </c>
      <c r="DF148" s="465">
        <f>'Hodnocení '!DF144</f>
        <v>1789113</v>
      </c>
      <c r="DG148" s="465">
        <f>'Hodnocení '!DG144</f>
        <v>0</v>
      </c>
      <c r="DH148" s="465">
        <f>'Hodnocení '!DH144</f>
        <v>0</v>
      </c>
      <c r="DI148" s="465">
        <f>'Hodnocení '!DI144</f>
        <v>0</v>
      </c>
      <c r="DJ148" s="465">
        <f>'Hodnocení '!DJ144</f>
        <v>0</v>
      </c>
      <c r="DK148" s="465">
        <f>'Hodnocení '!DK144</f>
        <v>0</v>
      </c>
      <c r="DL148" s="465">
        <f>'Hodnocení '!DL144</f>
        <v>0</v>
      </c>
      <c r="DM148" s="465">
        <f>'Hodnocení '!DM144</f>
        <v>0</v>
      </c>
      <c r="DN148" s="465">
        <f>'Hodnocení '!DN144</f>
        <v>0</v>
      </c>
      <c r="DO148" s="465">
        <f>'Hodnocení '!DO144</f>
        <v>0</v>
      </c>
      <c r="DP148" s="465">
        <f>'Hodnocení '!DP144</f>
        <v>0</v>
      </c>
      <c r="DQ148" s="465">
        <f>'Hodnocení '!DQ144</f>
        <v>0</v>
      </c>
      <c r="DR148" s="465">
        <f>'Hodnocení '!DR144</f>
        <v>0</v>
      </c>
      <c r="DS148" s="465">
        <f>'Hodnocení '!DS144</f>
        <v>0</v>
      </c>
      <c r="DT148" s="465">
        <f>'Hodnocení '!DT144</f>
        <v>0</v>
      </c>
      <c r="DU148" s="465">
        <f>'Hodnocení '!DU144</f>
        <v>0</v>
      </c>
      <c r="DV148" s="465">
        <f>'Hodnocení '!DV144</f>
        <v>-1000000</v>
      </c>
      <c r="DW148" s="465">
        <f>'Hodnocení '!DW144</f>
        <v>0</v>
      </c>
      <c r="DX148" s="465">
        <f>'Hodnocení '!DX144</f>
        <v>0</v>
      </c>
      <c r="DY148" s="465">
        <f>'Hodnocení '!DY144</f>
        <v>0</v>
      </c>
      <c r="DZ148" s="465">
        <f>'Hodnocení '!DZ144</f>
        <v>0</v>
      </c>
      <c r="EA148" s="465">
        <f>'Hodnocení '!EA144</f>
        <v>0</v>
      </c>
      <c r="EB148" s="465">
        <f>'Hodnocení '!EB144</f>
        <v>1679800</v>
      </c>
      <c r="EC148" s="465">
        <f>'Hodnocení '!EC144</f>
        <v>-108000</v>
      </c>
      <c r="ED148" s="465">
        <f>'Hodnocení '!ED144</f>
        <v>0</v>
      </c>
      <c r="EE148" s="465">
        <f>'Hodnocení '!EE144</f>
        <v>-13376</v>
      </c>
      <c r="EF148" s="465">
        <f>'Hodnocení '!EF144</f>
        <v>-1000</v>
      </c>
      <c r="EG148" s="465">
        <f>'Hodnocení '!EG144</f>
        <v>0</v>
      </c>
      <c r="EH148" s="465">
        <f>'Hodnocení '!EH144</f>
        <v>-11000</v>
      </c>
      <c r="EI148" s="465">
        <f>'Hodnocení '!EI144</f>
        <v>-86247</v>
      </c>
      <c r="EJ148" s="465">
        <f>'Hodnocení '!EJ144</f>
        <v>-30460</v>
      </c>
      <c r="EK148" s="465">
        <f>'Hodnocení '!EK144</f>
        <v>0</v>
      </c>
      <c r="EL148" s="465">
        <f>'Hodnocení '!EL144</f>
        <v>0</v>
      </c>
      <c r="EM148" s="465">
        <f>'Hodnocení '!EM144</f>
        <v>0</v>
      </c>
      <c r="EN148" s="465">
        <f>'Hodnocení '!EN144</f>
        <v>0</v>
      </c>
      <c r="EO148" s="465">
        <f>'Hodnocení '!EO144</f>
        <v>0</v>
      </c>
      <c r="EP148" s="465">
        <f>'Hodnocení '!EP144</f>
        <v>-176000</v>
      </c>
      <c r="EQ148" s="465">
        <f>'Hodnocení '!EQ144</f>
        <v>50000</v>
      </c>
      <c r="ER148" s="465">
        <f>'Hodnocení '!ER144</f>
        <v>0</v>
      </c>
      <c r="ES148" s="465">
        <f>'Hodnocení '!ES144</f>
        <v>0</v>
      </c>
      <c r="ET148" s="465">
        <f>'Hodnocení '!ET144</f>
        <v>0</v>
      </c>
      <c r="EU148" s="465">
        <f>'Hodnocení '!EU144</f>
        <v>0</v>
      </c>
      <c r="EV148" s="465">
        <f>'Hodnocení '!EV144</f>
        <v>0</v>
      </c>
      <c r="EW148" s="465">
        <f>'Hodnocení '!EW144</f>
        <v>0</v>
      </c>
      <c r="EX148" s="465">
        <f>'Hodnocení '!EX144</f>
        <v>0</v>
      </c>
      <c r="EY148" s="465">
        <f>'Hodnocení '!EY144</f>
        <v>0</v>
      </c>
      <c r="EZ148" s="465">
        <f>'Hodnocení '!EZ144</f>
        <v>0</v>
      </c>
      <c r="FA148" s="465">
        <f>'Hodnocení '!FA144</f>
        <v>0</v>
      </c>
      <c r="FB148" s="465">
        <f>'Hodnocení '!FB144</f>
        <v>0</v>
      </c>
      <c r="FC148" s="465">
        <f>'Hodnocení '!FC144</f>
        <v>0</v>
      </c>
      <c r="FD148" s="465">
        <f>'Hodnocení '!FD144</f>
        <v>0</v>
      </c>
      <c r="FE148" s="465">
        <f>'Hodnocení '!FE144</f>
        <v>0</v>
      </c>
      <c r="FF148" s="465">
        <f>'Hodnocení '!FF144</f>
        <v>0</v>
      </c>
      <c r="FG148" s="465">
        <f>'Hodnocení '!FG144</f>
        <v>0</v>
      </c>
      <c r="FH148" s="465">
        <f>'Hodnocení '!FH144</f>
        <v>0</v>
      </c>
      <c r="FI148" s="465">
        <f>'Hodnocení '!FI144</f>
        <v>0</v>
      </c>
      <c r="FJ148" s="465">
        <f>'Hodnocení '!FJ144</f>
        <v>0</v>
      </c>
      <c r="FK148" s="465">
        <f>'Hodnocení '!FK144</f>
        <v>0</v>
      </c>
      <c r="FL148" s="465">
        <f>'Hodnocení '!FL144</f>
        <v>0</v>
      </c>
      <c r="FM148" s="465">
        <f>'Hodnocení '!FM144</f>
        <v>0</v>
      </c>
      <c r="FN148" s="465">
        <f>'Hodnocení '!FN144</f>
        <v>0</v>
      </c>
      <c r="FO148" s="465">
        <f>'Hodnocení '!FO144</f>
        <v>0</v>
      </c>
      <c r="FP148" s="465">
        <f>'Hodnocení '!FP144</f>
        <v>0</v>
      </c>
      <c r="FQ148" s="465">
        <f>'Hodnocení '!FQ144</f>
        <v>0</v>
      </c>
      <c r="FR148" s="465">
        <f>'Hodnocení '!FR144</f>
        <v>0</v>
      </c>
      <c r="FS148" s="465">
        <f>'Hodnocení '!FS144</f>
        <v>0</v>
      </c>
      <c r="FT148" s="465">
        <f>'Hodnocení '!FT144</f>
        <v>0</v>
      </c>
      <c r="FU148" s="465">
        <f>'Hodnocení '!FU144</f>
        <v>0</v>
      </c>
      <c r="FV148" s="465">
        <f>'Hodnocení '!FV144</f>
        <v>0</v>
      </c>
      <c r="FW148" s="465">
        <f>'Hodnocení '!FW144</f>
        <v>0</v>
      </c>
      <c r="FX148" s="465">
        <f>'Hodnocení '!FX144</f>
        <v>0</v>
      </c>
      <c r="FY148" s="465">
        <f>'Hodnocení '!FY144</f>
        <v>0</v>
      </c>
      <c r="FZ148" s="465">
        <f>'Hodnocení '!FZ144</f>
        <v>0</v>
      </c>
      <c r="GA148" s="465">
        <f>'Hodnocení '!GA144</f>
        <v>0</v>
      </c>
      <c r="GB148" s="465">
        <f>'Hodnocení '!GB144</f>
        <v>0</v>
      </c>
      <c r="GC148" s="465">
        <f>'Hodnocení '!GC144</f>
        <v>0</v>
      </c>
      <c r="GD148" s="465">
        <f>'Hodnocení '!GD144</f>
        <v>0</v>
      </c>
      <c r="GE148" s="465">
        <f>'Hodnocení '!GE144</f>
        <v>0</v>
      </c>
      <c r="GF148" s="465">
        <f>'Hodnocení '!GF144</f>
        <v>0</v>
      </c>
      <c r="GG148" s="465">
        <f>'Hodnocení '!GG144</f>
        <v>0</v>
      </c>
      <c r="GH148" s="465">
        <f>'Hodnocení '!GH144</f>
        <v>0</v>
      </c>
      <c r="GI148" s="465">
        <f>'Hodnocení '!GI144</f>
        <v>0</v>
      </c>
      <c r="GJ148" s="465">
        <f>'Hodnocení '!GJ144</f>
        <v>0</v>
      </c>
      <c r="GK148" s="465">
        <f>'Hodnocení '!GK144</f>
        <v>0</v>
      </c>
      <c r="GL148" s="465">
        <f>'Hodnocení '!GL144</f>
        <v>0</v>
      </c>
      <c r="GM148" s="465">
        <f>'Hodnocení '!GM144</f>
        <v>0</v>
      </c>
      <c r="GN148" s="465">
        <f>'Hodnocení '!GN144</f>
        <v>0</v>
      </c>
      <c r="GO148" s="465">
        <f>'Hodnocení '!GO144</f>
        <v>0</v>
      </c>
      <c r="GP148" s="465">
        <f>'Hodnocení '!GP144</f>
        <v>0</v>
      </c>
      <c r="GQ148" s="465">
        <f>'Hodnocení '!GQ144</f>
        <v>0</v>
      </c>
      <c r="GR148" s="465">
        <f>'Hodnocení '!GR144</f>
        <v>0</v>
      </c>
      <c r="GS148" s="465">
        <f>'Hodnocení '!GS144</f>
        <v>0</v>
      </c>
      <c r="GT148" s="465">
        <f>'Hodnocení '!GT144</f>
        <v>0</v>
      </c>
      <c r="GU148" s="465">
        <f>'Hodnocení '!GU144</f>
        <v>0</v>
      </c>
      <c r="GV148" s="465">
        <f>'Hodnocení '!GV144</f>
        <v>0</v>
      </c>
      <c r="GW148" s="465">
        <f>'Hodnocení '!GW144</f>
        <v>0</v>
      </c>
      <c r="GX148" s="465">
        <f>'Hodnocení '!GX144</f>
        <v>0</v>
      </c>
      <c r="GY148" s="465">
        <f>'Hodnocení '!GY144</f>
        <v>0</v>
      </c>
      <c r="GZ148" s="465">
        <f>'Hodnocení '!GZ144</f>
        <v>0</v>
      </c>
      <c r="HA148" s="465">
        <f>'Hodnocení '!HA144</f>
        <v>0</v>
      </c>
      <c r="HB148" s="465">
        <f>'Hodnocení '!HB144</f>
        <v>0</v>
      </c>
      <c r="HC148" s="465">
        <f>'Hodnocení '!HC144</f>
        <v>0</v>
      </c>
      <c r="HD148" s="465">
        <f>'Hodnocení '!HD144</f>
        <v>0</v>
      </c>
      <c r="HE148" s="465">
        <f>'Hodnocení '!HE144</f>
        <v>0</v>
      </c>
      <c r="HF148" s="465">
        <f>'Hodnocení '!HF144</f>
        <v>0</v>
      </c>
      <c r="HG148" s="465">
        <f>'Hodnocení '!HG144</f>
        <v>0</v>
      </c>
      <c r="HH148" s="465">
        <f>'Hodnocení '!HH144</f>
        <v>0</v>
      </c>
      <c r="HI148" s="465">
        <f>'Hodnocení '!HI144</f>
        <v>0</v>
      </c>
      <c r="HJ148" s="465">
        <f>'Hodnocení '!HJ144</f>
        <v>0</v>
      </c>
      <c r="HK148" s="465">
        <f>'Hodnocení '!HK144</f>
        <v>0</v>
      </c>
      <c r="HL148" s="465">
        <f>'Hodnocení '!HL144</f>
        <v>0</v>
      </c>
      <c r="HM148" s="465">
        <f>'Hodnocení '!HM144</f>
        <v>0</v>
      </c>
      <c r="HN148" s="465">
        <f>'Hodnocení '!HN144</f>
        <v>0</v>
      </c>
      <c r="HO148" s="465">
        <f>'Hodnocení '!HO144</f>
        <v>0</v>
      </c>
      <c r="HP148" s="465">
        <f>'Hodnocení '!HP144</f>
        <v>0</v>
      </c>
      <c r="HQ148" s="465">
        <f>'Hodnocení '!HQ144</f>
        <v>0</v>
      </c>
      <c r="HR148" s="465">
        <f>'Hodnocení '!HR144</f>
        <v>0</v>
      </c>
      <c r="HS148" s="465">
        <f>'Hodnocení '!HS144</f>
        <v>0</v>
      </c>
      <c r="HT148" s="465">
        <f>'Hodnocení '!HT144</f>
        <v>0</v>
      </c>
      <c r="HU148" s="465">
        <f>'Hodnocení '!HU144</f>
        <v>-48365</v>
      </c>
      <c r="HV148" s="465">
        <f>'Hodnocení '!HV144</f>
        <v>0</v>
      </c>
      <c r="HW148" s="465">
        <f>'Hodnocení '!HW144</f>
        <v>-29960</v>
      </c>
      <c r="HX148" s="465">
        <f>'Hodnocení '!HX144</f>
        <v>29960</v>
      </c>
      <c r="HY148" s="465">
        <f>'Hodnocení '!HY144</f>
        <v>0</v>
      </c>
      <c r="HZ148" s="465">
        <f>'Hodnocení '!HZ144</f>
        <v>0</v>
      </c>
      <c r="IA148" s="465">
        <f>'Hodnocení '!IA144</f>
        <v>0</v>
      </c>
      <c r="IB148" s="465">
        <f>'Hodnocení '!IB144</f>
        <v>0</v>
      </c>
      <c r="IC148" s="465">
        <f>'Hodnocení '!IC144</f>
        <v>0</v>
      </c>
      <c r="ID148" s="465">
        <f>'Hodnocení '!ID144</f>
        <v>0</v>
      </c>
      <c r="IE148" s="465">
        <f>'Hodnocení '!IE144</f>
        <v>0</v>
      </c>
      <c r="IF148" s="465">
        <f>'Hodnocení '!IF144</f>
        <v>0</v>
      </c>
      <c r="IG148" s="465">
        <f>'Hodnocení '!IG144</f>
        <v>0</v>
      </c>
      <c r="IH148" s="465">
        <f>'Hodnocení '!IH144</f>
        <v>0</v>
      </c>
      <c r="II148" s="465">
        <f>'Hodnocení '!II144</f>
        <v>0</v>
      </c>
      <c r="IJ148" s="465">
        <f>'Hodnocení '!IJ144</f>
        <v>0</v>
      </c>
      <c r="IK148" s="465">
        <f>'Hodnocení '!IK144</f>
        <v>0</v>
      </c>
      <c r="IL148" s="465">
        <f>'Hodnocení '!IL144</f>
        <v>0</v>
      </c>
      <c r="IM148" s="465">
        <f>'Hodnocení '!IM144</f>
        <v>0</v>
      </c>
      <c r="IN148" s="465">
        <f>'Hodnocení '!IN144</f>
        <v>-139</v>
      </c>
      <c r="IO148" s="465">
        <f>'Hodnocení '!IO144</f>
        <v>0</v>
      </c>
      <c r="IP148" s="465">
        <f>'Hodnocení '!IP144</f>
        <v>0</v>
      </c>
      <c r="IQ148" s="465">
        <f>'Hodnocení '!IQ144</f>
        <v>0</v>
      </c>
      <c r="IR148" s="465">
        <f>'Hodnocení '!IR144</f>
        <v>0</v>
      </c>
      <c r="IS148" s="465">
        <f>'Hodnocení '!IS144</f>
        <v>0</v>
      </c>
      <c r="IT148" s="465">
        <f>'Hodnocení '!IT144</f>
        <v>0</v>
      </c>
      <c r="IU148" s="465">
        <f>'Hodnocení '!IU144</f>
        <v>0</v>
      </c>
      <c r="IV148" s="465">
        <f>'Hodnocení '!IV144</f>
        <v>0</v>
      </c>
      <c r="IW148" s="465">
        <f>'Hodnocení '!IW144</f>
        <v>0</v>
      </c>
      <c r="IX148" s="465">
        <f>'Hodnocení '!IX144</f>
        <v>0</v>
      </c>
      <c r="IY148" s="465">
        <f>'Hodnocení '!IY144</f>
        <v>0</v>
      </c>
      <c r="IZ148" s="465">
        <f>'Hodnocení '!IZ144</f>
        <v>0</v>
      </c>
      <c r="JA148" s="465">
        <f>'Hodnocení '!JA144</f>
        <v>0</v>
      </c>
      <c r="JB148" s="465">
        <f>'Hodnocení '!JB144</f>
        <v>185400</v>
      </c>
      <c r="JC148" s="465">
        <f>'Hodnocení '!JC144</f>
        <v>0</v>
      </c>
      <c r="JD148" s="465">
        <f>'Hodnocení '!JD144</f>
        <v>2308439</v>
      </c>
      <c r="JE148" s="465">
        <f>'Hodnocení '!JE144</f>
        <v>0</v>
      </c>
      <c r="JF148" s="465">
        <f>'Hodnocení '!JF144</f>
        <v>0</v>
      </c>
      <c r="JG148" s="465">
        <f>'Hodnocení '!JG144</f>
        <v>0</v>
      </c>
      <c r="JH148" s="459">
        <f>'Hodnocení '!JH144</f>
        <v>0</v>
      </c>
      <c r="JI148" s="470">
        <f>'Hodnocení '!JI144</f>
        <v>5333744</v>
      </c>
    </row>
    <row r="149" spans="1:276" ht="15.75" hidden="1" thickBot="1" x14ac:dyDescent="0.3">
      <c r="A149" s="726"/>
      <c r="B149" s="756" t="s">
        <v>2626</v>
      </c>
      <c r="C149" s="819">
        <f>'Hodnocení '!C145</f>
        <v>0</v>
      </c>
      <c r="D149" s="620">
        <f>'Hodnocení '!D145</f>
        <v>0</v>
      </c>
      <c r="E149" s="620">
        <f>'Hodnocení '!E145</f>
        <v>0</v>
      </c>
      <c r="F149" s="620">
        <f>'Hodnocení '!F145</f>
        <v>0</v>
      </c>
      <c r="G149" s="620">
        <f>'Hodnocení '!G145</f>
        <v>0</v>
      </c>
      <c r="H149" s="620">
        <f>'Hodnocení '!H145</f>
        <v>0</v>
      </c>
      <c r="I149" s="620">
        <f>'Hodnocení '!I145</f>
        <v>0</v>
      </c>
      <c r="J149" s="620">
        <f>'Hodnocení '!J145</f>
        <v>0</v>
      </c>
      <c r="K149" s="620">
        <f>'Hodnocení '!K145</f>
        <v>0</v>
      </c>
      <c r="L149" s="620">
        <f>'Hodnocení '!L145</f>
        <v>0</v>
      </c>
      <c r="M149" s="620">
        <f>'Hodnocení '!M145</f>
        <v>0</v>
      </c>
      <c r="N149" s="620">
        <f>'Hodnocení '!N145</f>
        <v>0</v>
      </c>
      <c r="O149" s="620">
        <f>'Hodnocení '!O145</f>
        <v>0</v>
      </c>
      <c r="P149" s="620">
        <f>'Hodnocení '!P145</f>
        <v>0</v>
      </c>
      <c r="Q149" s="620">
        <f>'Hodnocení '!Q145</f>
        <v>0</v>
      </c>
      <c r="R149" s="620">
        <f>'Hodnocení '!R145</f>
        <v>0</v>
      </c>
      <c r="S149" s="620">
        <f>'Hodnocení '!S145</f>
        <v>0</v>
      </c>
      <c r="T149" s="620">
        <f>'Hodnocení '!T145</f>
        <v>0</v>
      </c>
      <c r="U149" s="620">
        <f>'Hodnocení '!U145</f>
        <v>0</v>
      </c>
      <c r="V149" s="620">
        <f>'Hodnocení '!V145</f>
        <v>0</v>
      </c>
      <c r="W149" s="620">
        <f>'Hodnocení '!W145</f>
        <v>0</v>
      </c>
      <c r="X149" s="620">
        <f>'Hodnocení '!X145</f>
        <v>0</v>
      </c>
      <c r="Y149" s="620">
        <f>'Hodnocení '!Y145</f>
        <v>0</v>
      </c>
      <c r="Z149" s="620">
        <f>'Hodnocení '!Z145</f>
        <v>0</v>
      </c>
      <c r="AA149" s="620">
        <f>'Hodnocení '!AA145</f>
        <v>0</v>
      </c>
      <c r="AB149" s="620">
        <f>'Hodnocení '!AB145</f>
        <v>0</v>
      </c>
      <c r="AC149" s="620">
        <f>'Hodnocení '!AC145</f>
        <v>0</v>
      </c>
      <c r="AD149" s="620">
        <f>'Hodnocení '!AD145</f>
        <v>0</v>
      </c>
      <c r="AE149" s="620">
        <f>'Hodnocení '!AE145</f>
        <v>0</v>
      </c>
      <c r="AF149" s="620">
        <f>'Hodnocení '!AF145</f>
        <v>0</v>
      </c>
      <c r="AG149" s="620">
        <f>'Hodnocení '!AG145</f>
        <v>0</v>
      </c>
      <c r="AH149" s="620">
        <f>'Hodnocení '!AH145</f>
        <v>0</v>
      </c>
      <c r="AI149" s="620">
        <f>'Hodnocení '!AI145</f>
        <v>0</v>
      </c>
      <c r="AJ149" s="620">
        <f>'Hodnocení '!AJ145</f>
        <v>0</v>
      </c>
      <c r="AK149" s="620">
        <f>'Hodnocení '!AK145</f>
        <v>0</v>
      </c>
      <c r="AL149" s="620">
        <f>'Hodnocení '!AL145</f>
        <v>0</v>
      </c>
      <c r="AM149" s="620">
        <f>'Hodnocení '!AM145</f>
        <v>0</v>
      </c>
      <c r="AN149" s="620">
        <f>'Hodnocení '!AN145</f>
        <v>0</v>
      </c>
      <c r="AO149" s="620">
        <f>'Hodnocení '!AO145</f>
        <v>0</v>
      </c>
      <c r="AP149" s="620">
        <f>'Hodnocení '!AP145</f>
        <v>0</v>
      </c>
      <c r="AQ149" s="620">
        <f>'Hodnocení '!AQ145</f>
        <v>0</v>
      </c>
      <c r="AR149" s="620">
        <f>'Hodnocení '!AR145</f>
        <v>0</v>
      </c>
      <c r="AS149" s="620">
        <f>'Hodnocení '!AS145</f>
        <v>0</v>
      </c>
      <c r="AT149" s="620">
        <f>'Hodnocení '!AT145</f>
        <v>0</v>
      </c>
      <c r="AU149" s="620">
        <f>'Hodnocení '!AU145</f>
        <v>0</v>
      </c>
      <c r="AV149" s="620">
        <f>'Hodnocení '!AV145</f>
        <v>0</v>
      </c>
      <c r="AW149" s="620">
        <f>'Hodnocení '!AW145</f>
        <v>0</v>
      </c>
      <c r="AX149" s="620">
        <f>'Hodnocení '!AX145</f>
        <v>0</v>
      </c>
      <c r="AY149" s="620">
        <f>'Hodnocení '!AY145</f>
        <v>0</v>
      </c>
      <c r="AZ149" s="620">
        <f>'Hodnocení '!AZ145</f>
        <v>0</v>
      </c>
      <c r="BA149" s="620">
        <f>'Hodnocení '!BA145</f>
        <v>0</v>
      </c>
      <c r="BB149" s="620">
        <f>'Hodnocení '!BB145</f>
        <v>0</v>
      </c>
      <c r="BC149" s="620">
        <f>'Hodnocení '!BC145</f>
        <v>0</v>
      </c>
      <c r="BD149" s="620">
        <f>'Hodnocení '!BD145</f>
        <v>0</v>
      </c>
      <c r="BE149" s="620">
        <f>'Hodnocení '!BE145</f>
        <v>0</v>
      </c>
      <c r="BF149" s="623">
        <f>'Hodnocení '!BF145</f>
        <v>0</v>
      </c>
      <c r="BG149" s="623">
        <f>'Hodnocení '!BG145</f>
        <v>0</v>
      </c>
      <c r="BH149" s="623">
        <f>'Hodnocení '!BH145</f>
        <v>130890.75843949011</v>
      </c>
      <c r="BI149" s="620">
        <f>'Hodnocení '!BI145</f>
        <v>0</v>
      </c>
      <c r="BJ149" s="620">
        <f>'Hodnocení '!BJ145</f>
        <v>0</v>
      </c>
      <c r="BK149" s="620">
        <f>'Hodnocení '!BK145</f>
        <v>0</v>
      </c>
      <c r="BL149" s="620">
        <f>'Hodnocení '!BL145</f>
        <v>0</v>
      </c>
      <c r="BM149" s="620">
        <f>'Hodnocení '!BM145</f>
        <v>0</v>
      </c>
      <c r="BN149" s="620">
        <f>'Hodnocení '!BN145</f>
        <v>0</v>
      </c>
      <c r="BO149" s="620">
        <f>'Hodnocení '!BO145</f>
        <v>0</v>
      </c>
      <c r="BP149" s="620">
        <f>'Hodnocení '!BP145</f>
        <v>0</v>
      </c>
      <c r="BQ149" s="620">
        <f>'Hodnocení '!BQ145</f>
        <v>0</v>
      </c>
      <c r="BR149" s="620">
        <f>'Hodnocení '!BR145</f>
        <v>0</v>
      </c>
      <c r="BS149" s="620">
        <f>'Hodnocení '!BS145</f>
        <v>0</v>
      </c>
      <c r="BT149" s="620">
        <f>'Hodnocení '!BT145</f>
        <v>0</v>
      </c>
      <c r="BU149" s="620">
        <f>'Hodnocení '!BU145</f>
        <v>0</v>
      </c>
      <c r="BV149" s="620">
        <f>'Hodnocení '!BV145</f>
        <v>0</v>
      </c>
      <c r="BW149" s="620">
        <f>'Hodnocení '!BW145</f>
        <v>0</v>
      </c>
      <c r="BX149" s="620">
        <f>'Hodnocení '!BX145</f>
        <v>0</v>
      </c>
      <c r="BY149" s="620">
        <f>'Hodnocení '!BY145</f>
        <v>0</v>
      </c>
      <c r="BZ149" s="620">
        <f>'Hodnocení '!BZ145</f>
        <v>0</v>
      </c>
      <c r="CA149" s="620">
        <f>'Hodnocení '!CA145</f>
        <v>0</v>
      </c>
      <c r="CB149" s="620">
        <f>'Hodnocení '!CB145</f>
        <v>0</v>
      </c>
      <c r="CC149" s="620">
        <f>'Hodnocení '!CC145</f>
        <v>0</v>
      </c>
      <c r="CD149" s="620">
        <f>'Hodnocení '!CD145</f>
        <v>0</v>
      </c>
      <c r="CE149" s="620">
        <f>'Hodnocení '!CE145</f>
        <v>0</v>
      </c>
      <c r="CF149" s="620">
        <f>'Hodnocení '!CF145</f>
        <v>0</v>
      </c>
      <c r="CG149" s="620">
        <f>'Hodnocení '!CG145</f>
        <v>0</v>
      </c>
      <c r="CH149" s="620">
        <f>'Hodnocení '!CH145</f>
        <v>0</v>
      </c>
      <c r="CI149" s="620">
        <f>'Hodnocení '!CI145</f>
        <v>0</v>
      </c>
      <c r="CJ149" s="620">
        <f>'Hodnocení '!CJ145</f>
        <v>0</v>
      </c>
      <c r="CK149" s="620">
        <f>'Hodnocení '!CK145</f>
        <v>0</v>
      </c>
      <c r="CL149" s="620">
        <f>'Hodnocení '!CL145</f>
        <v>0</v>
      </c>
      <c r="CM149" s="620">
        <f>'Hodnocení '!CM145</f>
        <v>0</v>
      </c>
      <c r="CN149" s="620">
        <f>'Hodnocení '!CN145</f>
        <v>0</v>
      </c>
      <c r="CO149" s="620">
        <f>'Hodnocení '!CO145</f>
        <v>0</v>
      </c>
      <c r="CP149" s="620">
        <f>'Hodnocení '!CP145</f>
        <v>0</v>
      </c>
      <c r="CQ149" s="620">
        <f>'Hodnocení '!CQ145</f>
        <v>0</v>
      </c>
      <c r="CR149" s="620">
        <f>'Hodnocení '!CR145</f>
        <v>0</v>
      </c>
      <c r="CS149" s="620">
        <f>'Hodnocení '!CS145</f>
        <v>0</v>
      </c>
      <c r="CT149" s="620">
        <f>'Hodnocení '!CT145</f>
        <v>0</v>
      </c>
      <c r="CU149" s="620">
        <f>'Hodnocení '!CU145</f>
        <v>0</v>
      </c>
      <c r="CV149" s="620">
        <f>'Hodnocení '!CV145</f>
        <v>0</v>
      </c>
      <c r="CW149" s="620">
        <f>'Hodnocení '!CW145</f>
        <v>0</v>
      </c>
      <c r="CX149" s="620">
        <f>'Hodnocení '!CX145</f>
        <v>0</v>
      </c>
      <c r="CY149" s="620">
        <f>'Hodnocení '!CY145</f>
        <v>0</v>
      </c>
      <c r="CZ149" s="620">
        <f>'Hodnocení '!CZ145</f>
        <v>0</v>
      </c>
      <c r="DA149" s="620">
        <f>'Hodnocení '!DA145</f>
        <v>0</v>
      </c>
      <c r="DB149" s="620">
        <f>'Hodnocení '!DB145</f>
        <v>0</v>
      </c>
      <c r="DC149" s="620">
        <f>'Hodnocení '!DC145</f>
        <v>0</v>
      </c>
      <c r="DD149" s="620">
        <f>'Hodnocení '!DD145</f>
        <v>0</v>
      </c>
      <c r="DE149" s="620">
        <f>'Hodnocení '!DE145</f>
        <v>0</v>
      </c>
      <c r="DF149" s="623">
        <f>'Hodnocení '!DF145</f>
        <v>0</v>
      </c>
      <c r="DG149" s="620">
        <f>'Hodnocení '!DG145</f>
        <v>0</v>
      </c>
      <c r="DH149" s="620">
        <f>'Hodnocení '!DH145</f>
        <v>0</v>
      </c>
      <c r="DI149" s="620">
        <f>'Hodnocení '!DI145</f>
        <v>0</v>
      </c>
      <c r="DJ149" s="620">
        <f>'Hodnocení '!DJ145</f>
        <v>0</v>
      </c>
      <c r="DK149" s="620">
        <f>'Hodnocení '!DK145</f>
        <v>0</v>
      </c>
      <c r="DL149" s="620">
        <f>'Hodnocení '!DL145</f>
        <v>0</v>
      </c>
      <c r="DM149" s="620">
        <f>'Hodnocení '!DM145</f>
        <v>0</v>
      </c>
      <c r="DN149" s="620">
        <f>'Hodnocení '!DN145</f>
        <v>0</v>
      </c>
      <c r="DO149" s="620">
        <f>'Hodnocení '!DO145</f>
        <v>0</v>
      </c>
      <c r="DP149" s="620">
        <f>'Hodnocení '!DP145</f>
        <v>0</v>
      </c>
      <c r="DQ149" s="620">
        <f>'Hodnocení '!DQ145</f>
        <v>0</v>
      </c>
      <c r="DR149" s="620">
        <f>'Hodnocení '!DR145</f>
        <v>0</v>
      </c>
      <c r="DS149" s="620">
        <f>'Hodnocení '!DS145</f>
        <v>0</v>
      </c>
      <c r="DT149" s="620">
        <f>'Hodnocení '!DT145</f>
        <v>0</v>
      </c>
      <c r="DU149" s="620">
        <f>'Hodnocení '!DU145</f>
        <v>0</v>
      </c>
      <c r="DV149" s="620">
        <f>'Hodnocení '!DV145</f>
        <v>0</v>
      </c>
      <c r="DW149" s="620">
        <f>'Hodnocení '!DW145</f>
        <v>0</v>
      </c>
      <c r="DX149" s="620">
        <f>'Hodnocení '!DX145</f>
        <v>0</v>
      </c>
      <c r="DY149" s="620">
        <f>'Hodnocení '!DY145</f>
        <v>0</v>
      </c>
      <c r="DZ149" s="620">
        <f>'Hodnocení '!DZ145</f>
        <v>0</v>
      </c>
      <c r="EA149" s="620">
        <f>'Hodnocení '!EA145</f>
        <v>0</v>
      </c>
      <c r="EB149" s="620">
        <f>'Hodnocení '!EB145</f>
        <v>1679800</v>
      </c>
      <c r="EC149" s="620">
        <f>'Hodnocení '!EC145</f>
        <v>0</v>
      </c>
      <c r="ED149" s="620">
        <f>'Hodnocení '!ED145</f>
        <v>0</v>
      </c>
      <c r="EE149" s="620">
        <f>'Hodnocení '!EE145</f>
        <v>0</v>
      </c>
      <c r="EF149" s="620">
        <f>'Hodnocení '!EF145</f>
        <v>0</v>
      </c>
      <c r="EG149" s="620">
        <f>'Hodnocení '!EG145</f>
        <v>0</v>
      </c>
      <c r="EH149" s="620">
        <f>'Hodnocení '!EH145</f>
        <v>0</v>
      </c>
      <c r="EI149" s="620">
        <f>'Hodnocení '!EI145</f>
        <v>0</v>
      </c>
      <c r="EJ149" s="620">
        <f>'Hodnocení '!EJ145</f>
        <v>0</v>
      </c>
      <c r="EK149" s="620">
        <f>'Hodnocení '!EK145</f>
        <v>0</v>
      </c>
      <c r="EL149" s="620">
        <f>'Hodnocení '!EL145</f>
        <v>0</v>
      </c>
      <c r="EM149" s="620">
        <f>'Hodnocení '!EM145</f>
        <v>0</v>
      </c>
      <c r="EN149" s="620">
        <f>'Hodnocení '!EN145</f>
        <v>0</v>
      </c>
      <c r="EO149" s="620">
        <f>'Hodnocení '!EO145</f>
        <v>0</v>
      </c>
      <c r="EP149" s="620">
        <f>'Hodnocení '!EP145</f>
        <v>0</v>
      </c>
      <c r="EQ149" s="620">
        <f>'Hodnocení '!EQ145</f>
        <v>50000</v>
      </c>
      <c r="ER149" s="620">
        <f>'Hodnocení '!ER145</f>
        <v>0</v>
      </c>
      <c r="ES149" s="620">
        <f>'Hodnocení '!ES145</f>
        <v>0</v>
      </c>
      <c r="ET149" s="620">
        <f>'Hodnocení '!ET145</f>
        <v>0</v>
      </c>
      <c r="EU149" s="620">
        <f>'Hodnocení '!EU145</f>
        <v>0</v>
      </c>
      <c r="EV149" s="620">
        <f>'Hodnocení '!EV145</f>
        <v>0</v>
      </c>
      <c r="EW149" s="620">
        <f>'Hodnocení '!EW145</f>
        <v>0</v>
      </c>
      <c r="EX149" s="620">
        <f>'Hodnocení '!EX145</f>
        <v>0</v>
      </c>
      <c r="EY149" s="620">
        <f>'Hodnocení '!EY145</f>
        <v>0</v>
      </c>
      <c r="EZ149" s="620">
        <f>'Hodnocení '!EZ145</f>
        <v>0</v>
      </c>
      <c r="FA149" s="620">
        <f>'Hodnocení '!FA145</f>
        <v>0</v>
      </c>
      <c r="FB149" s="620">
        <f>'Hodnocení '!FB145</f>
        <v>0</v>
      </c>
      <c r="FC149" s="620">
        <f>'Hodnocení '!FC145</f>
        <v>0</v>
      </c>
      <c r="FD149" s="620">
        <f>'Hodnocení '!FD145</f>
        <v>0</v>
      </c>
      <c r="FE149" s="620">
        <f>'Hodnocení '!FE145</f>
        <v>0</v>
      </c>
      <c r="FF149" s="620">
        <f>'Hodnocení '!FF145</f>
        <v>0</v>
      </c>
      <c r="FG149" s="620">
        <f>'Hodnocení '!FG145</f>
        <v>0</v>
      </c>
      <c r="FH149" s="620">
        <f>'Hodnocení '!FH145</f>
        <v>0</v>
      </c>
      <c r="FI149" s="620">
        <f>'Hodnocení '!FI145</f>
        <v>0</v>
      </c>
      <c r="FJ149" s="620">
        <f>'Hodnocení '!FJ145</f>
        <v>0</v>
      </c>
      <c r="FK149" s="620">
        <f>'Hodnocení '!FK145</f>
        <v>0</v>
      </c>
      <c r="FL149" s="620">
        <f>'Hodnocení '!FL145</f>
        <v>0</v>
      </c>
      <c r="FM149" s="620">
        <f>'Hodnocení '!FM145</f>
        <v>0</v>
      </c>
      <c r="FN149" s="620">
        <f>'Hodnocení '!FN145</f>
        <v>0</v>
      </c>
      <c r="FO149" s="620">
        <f>'Hodnocení '!FO145</f>
        <v>0</v>
      </c>
      <c r="FP149" s="620">
        <f>'Hodnocení '!FP145</f>
        <v>0</v>
      </c>
      <c r="FQ149" s="620">
        <f>'Hodnocení '!FQ145</f>
        <v>0</v>
      </c>
      <c r="FR149" s="620">
        <f>'Hodnocení '!FR145</f>
        <v>0</v>
      </c>
      <c r="FS149" s="620">
        <f>'Hodnocení '!FS145</f>
        <v>0</v>
      </c>
      <c r="FT149" s="620">
        <f>'Hodnocení '!FT145</f>
        <v>0</v>
      </c>
      <c r="FU149" s="620">
        <f>'Hodnocení '!FU145</f>
        <v>0</v>
      </c>
      <c r="FV149" s="620">
        <f>'Hodnocení '!FV145</f>
        <v>0</v>
      </c>
      <c r="FW149" s="620">
        <f>'Hodnocení '!FW145</f>
        <v>0</v>
      </c>
      <c r="FX149" s="620">
        <f>'Hodnocení '!FX145</f>
        <v>0</v>
      </c>
      <c r="FY149" s="620">
        <f>'Hodnocení '!FY145</f>
        <v>0</v>
      </c>
      <c r="FZ149" s="620">
        <f>'Hodnocení '!FZ145</f>
        <v>0</v>
      </c>
      <c r="GA149" s="620">
        <f>'Hodnocení '!GA145</f>
        <v>0</v>
      </c>
      <c r="GB149" s="620">
        <f>'Hodnocení '!GB145</f>
        <v>0</v>
      </c>
      <c r="GC149" s="620">
        <f>'Hodnocení '!GC145</f>
        <v>0</v>
      </c>
      <c r="GD149" s="620">
        <f>'Hodnocení '!GD145</f>
        <v>0</v>
      </c>
      <c r="GE149" s="620">
        <f>'Hodnocení '!GE145</f>
        <v>0</v>
      </c>
      <c r="GF149" s="620">
        <f>'Hodnocení '!GF145</f>
        <v>0</v>
      </c>
      <c r="GG149" s="620">
        <f>'Hodnocení '!GG145</f>
        <v>0</v>
      </c>
      <c r="GH149" s="620">
        <f>'Hodnocení '!GH145</f>
        <v>0</v>
      </c>
      <c r="GI149" s="620">
        <f>'Hodnocení '!GI145</f>
        <v>0</v>
      </c>
      <c r="GJ149" s="620">
        <f>'Hodnocení '!GJ145</f>
        <v>0</v>
      </c>
      <c r="GK149" s="620">
        <f>'Hodnocení '!GK145</f>
        <v>0</v>
      </c>
      <c r="GL149" s="620">
        <f>'Hodnocení '!GL145</f>
        <v>0</v>
      </c>
      <c r="GM149" s="620">
        <f>'Hodnocení '!GM145</f>
        <v>0</v>
      </c>
      <c r="GN149" s="620">
        <f>'Hodnocení '!GN145</f>
        <v>0</v>
      </c>
      <c r="GO149" s="620">
        <f>'Hodnocení '!GO145</f>
        <v>0</v>
      </c>
      <c r="GP149" s="620">
        <f>'Hodnocení '!GP145</f>
        <v>0</v>
      </c>
      <c r="GQ149" s="620">
        <f>'Hodnocení '!GQ145</f>
        <v>0</v>
      </c>
      <c r="GR149" s="620">
        <f>'Hodnocení '!GR145</f>
        <v>0</v>
      </c>
      <c r="GS149" s="620">
        <f>'Hodnocení '!GS145</f>
        <v>0</v>
      </c>
      <c r="GT149" s="620">
        <f>'Hodnocení '!GT145</f>
        <v>0</v>
      </c>
      <c r="GU149" s="620">
        <f>'Hodnocení '!GU145</f>
        <v>0</v>
      </c>
      <c r="GV149" s="620">
        <f>'Hodnocení '!GV145</f>
        <v>0</v>
      </c>
      <c r="GW149" s="620">
        <f>'Hodnocení '!GW145</f>
        <v>0</v>
      </c>
      <c r="GX149" s="620">
        <f>'Hodnocení '!GX145</f>
        <v>0</v>
      </c>
      <c r="GY149" s="620">
        <f>'Hodnocení '!GY145</f>
        <v>0</v>
      </c>
      <c r="GZ149" s="620">
        <f>'Hodnocení '!GZ145</f>
        <v>0</v>
      </c>
      <c r="HA149" s="620">
        <f>'Hodnocení '!HA145</f>
        <v>0</v>
      </c>
      <c r="HB149" s="620">
        <f>'Hodnocení '!HB145</f>
        <v>0</v>
      </c>
      <c r="HC149" s="620">
        <f>'Hodnocení '!HC145</f>
        <v>0</v>
      </c>
      <c r="HD149" s="620">
        <f>'Hodnocení '!HD145</f>
        <v>0</v>
      </c>
      <c r="HE149" s="620">
        <f>'Hodnocení '!HE145</f>
        <v>0</v>
      </c>
      <c r="HF149" s="620">
        <f>'Hodnocení '!HF145</f>
        <v>0</v>
      </c>
      <c r="HG149" s="620">
        <f>'Hodnocení '!HG145</f>
        <v>0</v>
      </c>
      <c r="HH149" s="620">
        <f>'Hodnocení '!HH145</f>
        <v>0</v>
      </c>
      <c r="HI149" s="620">
        <f>'Hodnocení '!HI145</f>
        <v>0</v>
      </c>
      <c r="HJ149" s="620">
        <f>'Hodnocení '!HJ145</f>
        <v>0</v>
      </c>
      <c r="HK149" s="620">
        <f>'Hodnocení '!HK145</f>
        <v>0</v>
      </c>
      <c r="HL149" s="620">
        <f>'Hodnocení '!HL145</f>
        <v>0</v>
      </c>
      <c r="HM149" s="620">
        <f>'Hodnocení '!HM145</f>
        <v>0</v>
      </c>
      <c r="HN149" s="620">
        <f>'Hodnocení '!HN145</f>
        <v>0</v>
      </c>
      <c r="HO149" s="620">
        <f>'Hodnocení '!HO145</f>
        <v>0</v>
      </c>
      <c r="HP149" s="620">
        <f>'Hodnocení '!HP145</f>
        <v>0</v>
      </c>
      <c r="HQ149" s="620">
        <f>'Hodnocení '!HQ145</f>
        <v>0</v>
      </c>
      <c r="HR149" s="620">
        <f>'Hodnocení '!HR145</f>
        <v>0</v>
      </c>
      <c r="HS149" s="620">
        <f>'Hodnocení '!HS145</f>
        <v>0</v>
      </c>
      <c r="HT149" s="620">
        <f>'Hodnocení '!HT145</f>
        <v>0</v>
      </c>
      <c r="HU149" s="620">
        <f>'Hodnocení '!HU145</f>
        <v>0</v>
      </c>
      <c r="HV149" s="620">
        <f>'Hodnocení '!HV145</f>
        <v>0</v>
      </c>
      <c r="HW149" s="620">
        <f>'Hodnocení '!HW145</f>
        <v>0</v>
      </c>
      <c r="HX149" s="620">
        <f>'Hodnocení '!HX145</f>
        <v>29960</v>
      </c>
      <c r="HY149" s="620">
        <f>'Hodnocení '!HY145</f>
        <v>0</v>
      </c>
      <c r="HZ149" s="620">
        <f>'Hodnocení '!HZ145</f>
        <v>0</v>
      </c>
      <c r="IA149" s="620">
        <f>'Hodnocení '!IA145</f>
        <v>0</v>
      </c>
      <c r="IB149" s="620">
        <f>'Hodnocení '!IB145</f>
        <v>0</v>
      </c>
      <c r="IC149" s="620">
        <f>'Hodnocení '!IC145</f>
        <v>0</v>
      </c>
      <c r="ID149" s="620">
        <f>'Hodnocení '!ID145</f>
        <v>0</v>
      </c>
      <c r="IE149" s="620">
        <f>'Hodnocení '!IE145</f>
        <v>0</v>
      </c>
      <c r="IF149" s="620">
        <f>'Hodnocení '!IF145</f>
        <v>0</v>
      </c>
      <c r="IG149" s="620">
        <f>'Hodnocení '!IG145</f>
        <v>0</v>
      </c>
      <c r="IH149" s="620">
        <f>'Hodnocení '!IH145</f>
        <v>0</v>
      </c>
      <c r="II149" s="620">
        <f>'Hodnocení '!II145</f>
        <v>0</v>
      </c>
      <c r="IJ149" s="620">
        <f>'Hodnocení '!IJ145</f>
        <v>0</v>
      </c>
      <c r="IK149" s="620">
        <f>'Hodnocení '!IK145</f>
        <v>0</v>
      </c>
      <c r="IL149" s="620">
        <f>'Hodnocení '!IL145</f>
        <v>0</v>
      </c>
      <c r="IM149" s="620">
        <f>'Hodnocení '!IM145</f>
        <v>0</v>
      </c>
      <c r="IN149" s="620">
        <f>'Hodnocení '!IN145</f>
        <v>0</v>
      </c>
      <c r="IO149" s="620">
        <f>'Hodnocení '!IO145</f>
        <v>0</v>
      </c>
      <c r="IP149" s="620">
        <f>'Hodnocení '!IP145</f>
        <v>0</v>
      </c>
      <c r="IQ149" s="620">
        <f>'Hodnocení '!IQ145</f>
        <v>0</v>
      </c>
      <c r="IR149" s="620">
        <f>'Hodnocení '!IR145</f>
        <v>0</v>
      </c>
      <c r="IS149" s="620">
        <f>'Hodnocení '!IS145</f>
        <v>0</v>
      </c>
      <c r="IT149" s="620">
        <f>'Hodnocení '!IT145</f>
        <v>0</v>
      </c>
      <c r="IU149" s="620">
        <f>'Hodnocení '!IU145</f>
        <v>0</v>
      </c>
      <c r="IV149" s="620">
        <f>'Hodnocení '!IV145</f>
        <v>0</v>
      </c>
      <c r="IW149" s="620">
        <f>'Hodnocení '!IW145</f>
        <v>0</v>
      </c>
      <c r="IX149" s="620">
        <f>'Hodnocení '!IX145</f>
        <v>0</v>
      </c>
      <c r="IY149" s="620">
        <f>'Hodnocení '!IY145</f>
        <v>0</v>
      </c>
      <c r="IZ149" s="620">
        <f>'Hodnocení '!IZ145</f>
        <v>0</v>
      </c>
      <c r="JA149" s="620">
        <f>'Hodnocení '!JA145</f>
        <v>0</v>
      </c>
      <c r="JB149" s="623">
        <f>'Hodnocení '!JB145</f>
        <v>0</v>
      </c>
      <c r="JC149" s="620">
        <f>'Hodnocení '!JC145</f>
        <v>0</v>
      </c>
      <c r="JD149" s="623">
        <f>'Hodnocení '!JD145</f>
        <v>0</v>
      </c>
      <c r="JE149" s="620">
        <f>'Hodnocení '!JE145</f>
        <v>0</v>
      </c>
      <c r="JF149" s="620">
        <f>'Hodnocení '!JF145</f>
        <v>0</v>
      </c>
      <c r="JG149" s="620">
        <f>'Hodnocení '!JG145</f>
        <v>0</v>
      </c>
      <c r="JH149" s="621">
        <f>'Hodnocení '!JH145</f>
        <v>0</v>
      </c>
      <c r="JI149" s="555">
        <f>'Hodnocení '!JI145</f>
        <v>1890650.7584394901</v>
      </c>
    </row>
    <row r="150" spans="1:276" hidden="1" x14ac:dyDescent="0.25">
      <c r="B150" s="757" t="s">
        <v>2634</v>
      </c>
      <c r="C150" s="820">
        <f>'Hodnocení '!C146</f>
        <v>96049.15107938461</v>
      </c>
      <c r="D150" s="723">
        <f>'Hodnocení '!D146</f>
        <v>350000</v>
      </c>
      <c r="E150" s="723">
        <f>'Hodnocení '!E146</f>
        <v>-592805.15315543115</v>
      </c>
      <c r="F150" s="723">
        <f>'Hodnocení '!F146</f>
        <v>-1001950.2911646427</v>
      </c>
      <c r="G150" s="723">
        <f>'Hodnocení '!G146</f>
        <v>-419747.87270940468</v>
      </c>
      <c r="H150" s="723">
        <f>'Hodnocení '!H146</f>
        <v>-1157858</v>
      </c>
      <c r="I150" s="723">
        <f>'Hodnocení '!I146</f>
        <v>-3164198</v>
      </c>
      <c r="J150" s="723">
        <f>'Hodnocení '!J146</f>
        <v>-2788914.7639159658</v>
      </c>
      <c r="K150" s="723">
        <f>'Hodnocení '!K146</f>
        <v>-419032.31589531992</v>
      </c>
      <c r="L150" s="723">
        <f>'Hodnocení '!L146</f>
        <v>-952444.17074305983</v>
      </c>
      <c r="M150" s="723">
        <f>'Hodnocení '!M146</f>
        <v>-1132224.761104234</v>
      </c>
      <c r="N150" s="723">
        <f>'Hodnocení '!N146</f>
        <v>-1831697.1629196769</v>
      </c>
      <c r="O150" s="723">
        <f>'Hodnocení '!O146</f>
        <v>-145005.78957660589</v>
      </c>
      <c r="P150" s="723">
        <f>'Hodnocení '!P146</f>
        <v>-124901.99781831075</v>
      </c>
      <c r="Q150" s="723">
        <f>'Hodnocení '!Q146</f>
        <v>-958511.52089898451</v>
      </c>
      <c r="R150" s="723">
        <f>'Hodnocení '!R146</f>
        <v>-95847.41443209257</v>
      </c>
      <c r="S150" s="723">
        <f>'Hodnocení '!S146</f>
        <v>-142704.92521024658</v>
      </c>
      <c r="T150" s="723">
        <f>'Hodnocení '!T146</f>
        <v>-75226.489221846219</v>
      </c>
      <c r="U150" s="723">
        <f>'Hodnocení '!U146</f>
        <v>-138339.73383276933</v>
      </c>
      <c r="V150" s="723">
        <f>'Hodnocení '!V146</f>
        <v>-254100</v>
      </c>
      <c r="W150" s="723">
        <f>'Hodnocení '!W146</f>
        <v>249600</v>
      </c>
      <c r="X150" s="723">
        <f>'Hodnocení '!X146</f>
        <v>-919418.91381215304</v>
      </c>
      <c r="Y150" s="723">
        <f>'Hodnocení '!Y146</f>
        <v>199045.44921071106</v>
      </c>
      <c r="Z150" s="723">
        <f>'Hodnocení '!Z146</f>
        <v>210000</v>
      </c>
      <c r="AA150" s="723">
        <f>'Hodnocení '!AA146</f>
        <v>-602964.67329784483</v>
      </c>
      <c r="AB150" s="723">
        <f>'Hodnocení '!AB146</f>
        <v>-1630851.864033761</v>
      </c>
      <c r="AC150" s="723">
        <f>'Hodnocení '!AC146</f>
        <v>-277338.15867635026</v>
      </c>
      <c r="AD150" s="723">
        <f>'Hodnocení '!AD146</f>
        <v>-330895.30143863428</v>
      </c>
      <c r="AE150" s="723">
        <f>'Hodnocení '!AE146</f>
        <v>-701902.47410105611</v>
      </c>
      <c r="AF150" s="723">
        <f>'Hodnocení '!AF146</f>
        <v>-206047.07046204177</v>
      </c>
      <c r="AG150" s="723">
        <f>'Hodnocení '!AG146</f>
        <v>-352892.97118331445</v>
      </c>
      <c r="AH150" s="723">
        <f>'Hodnocení '!AH146</f>
        <v>47300</v>
      </c>
      <c r="AI150" s="723">
        <f>'Hodnocení '!AI146</f>
        <v>964180</v>
      </c>
      <c r="AJ150" s="723">
        <f>'Hodnocení '!AJ146</f>
        <v>203040</v>
      </c>
      <c r="AK150" s="723">
        <f>'Hodnocení '!AK146</f>
        <v>132468</v>
      </c>
      <c r="AL150" s="723">
        <f>'Hodnocení '!AL146</f>
        <v>-677090.83664892241</v>
      </c>
      <c r="AM150" s="723">
        <f>'Hodnocení '!AM146</f>
        <v>-134783.62736587692</v>
      </c>
      <c r="AN150" s="723">
        <f>'Hodnocení '!AN146</f>
        <v>-276683.49555727385</v>
      </c>
      <c r="AO150" s="723">
        <f>'Hodnocení '!AO146</f>
        <v>-1766966.3368591703</v>
      </c>
      <c r="AP150" s="723">
        <f>'Hodnocení '!AP146</f>
        <v>-38260</v>
      </c>
      <c r="AQ150" s="723">
        <f>'Hodnocení '!AQ146</f>
        <v>-243890.59568873851</v>
      </c>
      <c r="AR150" s="723">
        <f>'Hodnocení '!AR146</f>
        <v>-397259.60074915411</v>
      </c>
      <c r="AS150" s="723">
        <f>'Hodnocení '!AS146</f>
        <v>-231535.89353310771</v>
      </c>
      <c r="AT150" s="723">
        <f>'Hodnocení '!AT146</f>
        <v>-959857.80602272414</v>
      </c>
      <c r="AU150" s="723">
        <f>'Hodnocení '!AU146</f>
        <v>-524413.7166775919</v>
      </c>
      <c r="AV150" s="723">
        <f>'Hodnocení '!AV146</f>
        <v>-231839.32270477386</v>
      </c>
      <c r="AW150" s="723">
        <f>'Hodnocení '!AW146</f>
        <v>-3125987.9876498799</v>
      </c>
      <c r="AX150" s="723">
        <f>'Hodnocení '!AX146</f>
        <v>-763184.19170502573</v>
      </c>
      <c r="AY150" s="723">
        <f>'Hodnocení '!AY146</f>
        <v>-516318.16204660945</v>
      </c>
      <c r="AZ150" s="723">
        <f>'Hodnocení '!AZ146</f>
        <v>453507</v>
      </c>
      <c r="BA150" s="723">
        <f>'Hodnocení '!BA146</f>
        <v>683000</v>
      </c>
      <c r="BB150" s="723">
        <f>'Hodnocení '!BB146</f>
        <v>-41650.329521507723</v>
      </c>
      <c r="BC150" s="723">
        <f>'Hodnocení '!BC146</f>
        <v>-445057.50619746768</v>
      </c>
      <c r="BD150" s="723">
        <f>'Hodnocení '!BD146</f>
        <v>-492256.05068342155</v>
      </c>
      <c r="BE150" s="723">
        <f>'Hodnocení '!BE146</f>
        <v>-1290900</v>
      </c>
      <c r="BF150" s="723">
        <f>'Hodnocení '!BF146</f>
        <v>649371.39419043064</v>
      </c>
      <c r="BG150" s="723">
        <f>'Hodnocení '!BG146</f>
        <v>843000</v>
      </c>
      <c r="BH150" s="723">
        <f>'Hodnocení '!BH146</f>
        <v>182109.24156050989</v>
      </c>
      <c r="BI150" s="723">
        <f>'Hodnocení '!BI146</f>
        <v>1100000</v>
      </c>
      <c r="BJ150" s="723">
        <f>'Hodnocení '!BJ146</f>
        <v>-921763.32988782786</v>
      </c>
      <c r="BK150" s="723">
        <f>'Hodnocení '!BK146</f>
        <v>22000</v>
      </c>
      <c r="BL150" s="723">
        <f>'Hodnocení '!BL146</f>
        <v>-544861.50499912724</v>
      </c>
      <c r="BM150" s="723">
        <f>'Hodnocení '!BM146</f>
        <v>568973.04</v>
      </c>
      <c r="BN150" s="723">
        <f>'Hodnocení '!BN146</f>
        <v>-281933.40176123707</v>
      </c>
      <c r="BO150" s="723">
        <f>'Hodnocení '!BO146</f>
        <v>-178245.6261669097</v>
      </c>
      <c r="BP150" s="723">
        <f>'Hodnocení '!BP146</f>
        <v>-87000</v>
      </c>
      <c r="BQ150" s="723">
        <f>'Hodnocení '!BQ146</f>
        <v>-112726</v>
      </c>
      <c r="BR150" s="723">
        <f>'Hodnocení '!BR146</f>
        <v>-90276.760449492256</v>
      </c>
      <c r="BS150" s="723">
        <f>'Hodnocení '!BS146</f>
        <v>-301034.68059932324</v>
      </c>
      <c r="BT150" s="723">
        <f>'Hodnocení '!BT146</f>
        <v>-42481.733832769329</v>
      </c>
      <c r="BU150" s="723">
        <f>'Hodnocení '!BU146</f>
        <v>-2258312.7705044998</v>
      </c>
      <c r="BV150" s="723">
        <f>'Hodnocení '!BV146</f>
        <v>-236863.01715525519</v>
      </c>
      <c r="BW150" s="723">
        <f>'Hodnocení '!BW146</f>
        <v>-310717.15994741418</v>
      </c>
      <c r="BX150" s="723">
        <f>'Hodnocení '!BX146</f>
        <v>-1475526.876291533</v>
      </c>
      <c r="BY150" s="723">
        <f>'Hodnocení '!BY146</f>
        <v>-609472.31126441457</v>
      </c>
      <c r="BZ150" s="723">
        <f>'Hodnocení '!BZ146</f>
        <v>-298980.01244640414</v>
      </c>
      <c r="CA150" s="723">
        <f>'Hodnocení '!CA146</f>
        <v>0</v>
      </c>
      <c r="CB150" s="723">
        <f>'Hodnocení '!CB146</f>
        <v>-495629.16010075412</v>
      </c>
      <c r="CC150" s="723">
        <f>'Hodnocení '!CC146</f>
        <v>-736986.08997100033</v>
      </c>
      <c r="CD150" s="723">
        <f>'Hodnocení '!CD146</f>
        <v>-404226.48922184622</v>
      </c>
      <c r="CE150" s="723">
        <f>'Hodnocení '!CE146</f>
        <v>-1776949.8746832293</v>
      </c>
      <c r="CF150" s="723">
        <f>'Hodnocení '!CF146</f>
        <v>-267172.1606710488</v>
      </c>
      <c r="CG150" s="723">
        <f>'Hodnocení '!CG146</f>
        <v>-1158840.5039295536</v>
      </c>
      <c r="CH150" s="723">
        <f>'Hodnocení '!CH146</f>
        <v>-3703000</v>
      </c>
      <c r="CI150" s="723">
        <f>'Hodnocení '!CI146</f>
        <v>-3248366.8442031313</v>
      </c>
      <c r="CJ150" s="723">
        <f>'Hodnocení '!CJ146</f>
        <v>-659319.9181716647</v>
      </c>
      <c r="CK150" s="723">
        <f>'Hodnocení '!CK146</f>
        <v>29780</v>
      </c>
      <c r="CL150" s="723">
        <f>'Hodnocení '!CL146</f>
        <v>-2958561.4027179093</v>
      </c>
      <c r="CM150" s="723">
        <f>'Hodnocení '!CM146</f>
        <v>-1592177.5600136863</v>
      </c>
      <c r="CN150" s="723">
        <f>'Hodnocení '!CN146</f>
        <v>-357504.14584698994</v>
      </c>
      <c r="CO150" s="723">
        <f>'Hodnocení '!CO146</f>
        <v>-481910.14584698994</v>
      </c>
      <c r="CP150" s="723">
        <f>'Hodnocení '!CP146</f>
        <v>-378994.14584698994</v>
      </c>
      <c r="CQ150" s="723">
        <f>'Hodnocení '!CQ146</f>
        <v>-955727.426281875</v>
      </c>
      <c r="CR150" s="723">
        <f>'Hodnocení '!CR146</f>
        <v>36723</v>
      </c>
      <c r="CS150" s="723">
        <f>'Hodnocení '!CS146</f>
        <v>-3111373.3258069074</v>
      </c>
      <c r="CT150" s="723">
        <f>'Hodnocení '!CT146</f>
        <v>-5705918</v>
      </c>
      <c r="CU150" s="723">
        <f>'Hodnocení '!CU146</f>
        <v>99027.688735585427</v>
      </c>
      <c r="CV150" s="723">
        <f>'Hodnocení '!CV146</f>
        <v>-1722297.5994363343</v>
      </c>
      <c r="CW150" s="723">
        <f>'Hodnocení '!CW146</f>
        <v>45664.106466892292</v>
      </c>
      <c r="CX150" s="723">
        <f>'Hodnocení '!CX146</f>
        <v>229532</v>
      </c>
      <c r="CY150" s="723">
        <f>'Hodnocení '!CY146</f>
        <v>-358916.71609879145</v>
      </c>
      <c r="CZ150" s="723">
        <f>'Hodnocení '!CZ146</f>
        <v>75100</v>
      </c>
      <c r="DA150" s="723">
        <f>'Hodnocení '!DA146</f>
        <v>928781.72108589858</v>
      </c>
      <c r="DB150" s="723">
        <f>'Hodnocení '!DB146</f>
        <v>-106618.46260512329</v>
      </c>
      <c r="DC150" s="723">
        <f>'Hodnocení '!DC146</f>
        <v>-322713.21877048491</v>
      </c>
      <c r="DD150" s="723">
        <f>'Hodnocení '!DD146</f>
        <v>-5291346.1661662124</v>
      </c>
      <c r="DE150" s="723">
        <f>'Hodnocení '!DE146</f>
        <v>-1214595.1286137532</v>
      </c>
      <c r="DF150" s="723">
        <f>'Hodnocení '!DF146</f>
        <v>2721236.8713862468</v>
      </c>
      <c r="DG150" s="723">
        <f>'Hodnocení '!DG146</f>
        <v>-1062487.834848816</v>
      </c>
      <c r="DH150" s="723">
        <f>'Hodnocení '!DH146</f>
        <v>-1517189.559797849</v>
      </c>
      <c r="DI150" s="723">
        <f>'Hodnocení '!DI146</f>
        <v>-1393074</v>
      </c>
      <c r="DJ150" s="723">
        <f>'Hodnocení '!DJ146</f>
        <v>-1854835.0236859601</v>
      </c>
      <c r="DK150" s="723">
        <f>'Hodnocení '!DK146</f>
        <v>-2417346</v>
      </c>
      <c r="DL150" s="723">
        <f>'Hodnocení '!DL146</f>
        <v>-4284539.7444625795</v>
      </c>
      <c r="DM150" s="723">
        <f>'Hodnocení '!DM146</f>
        <v>-482050.55850599613</v>
      </c>
      <c r="DN150" s="723">
        <f>'Hodnocení '!DN146</f>
        <v>-299093.43754096981</v>
      </c>
      <c r="DO150" s="723">
        <f>'Hodnocení '!DO146</f>
        <v>-331699.60778989107</v>
      </c>
      <c r="DP150" s="723">
        <f>'Hodnocení '!DP146</f>
        <v>-457474.97400271706</v>
      </c>
      <c r="DQ150" s="723">
        <f>'Hodnocení '!DQ146</f>
        <v>316150</v>
      </c>
      <c r="DR150" s="723">
        <f>'Hodnocení '!DR146</f>
        <v>562288.5</v>
      </c>
      <c r="DS150" s="723">
        <f>'Hodnocení '!DS146</f>
        <v>747552.23658600543</v>
      </c>
      <c r="DT150" s="723">
        <f>'Hodnocení '!DT146</f>
        <v>345500</v>
      </c>
      <c r="DU150" s="723">
        <f>'Hodnocení '!DU146</f>
        <v>0</v>
      </c>
      <c r="DV150" s="723">
        <f>'Hodnocení '!DV146</f>
        <v>2016667</v>
      </c>
      <c r="DW150" s="723">
        <f>'Hodnocení '!DW146</f>
        <v>0</v>
      </c>
      <c r="DX150" s="723">
        <f>'Hodnocení '!DX146</f>
        <v>0</v>
      </c>
      <c r="DY150" s="723">
        <f>'Hodnocení '!DY146</f>
        <v>-1488857.2495173514</v>
      </c>
      <c r="DZ150" s="723">
        <f>'Hodnocení '!DZ146</f>
        <v>-200074.3111851234</v>
      </c>
      <c r="EA150" s="723">
        <f>'Hodnocení '!EA146</f>
        <v>-522527.23529455811</v>
      </c>
      <c r="EB150" s="723">
        <f>'Hodnocení '!EB146</f>
        <v>76640.858343649656</v>
      </c>
      <c r="EC150" s="723">
        <f>'Hodnocení '!EC146</f>
        <v>-1318382.2165024686</v>
      </c>
      <c r="ED150" s="723">
        <f>'Hodnocení '!ED146</f>
        <v>-445216.73878848553</v>
      </c>
      <c r="EE150" s="723">
        <f>'Hodnocení '!EE146</f>
        <v>134189.53739487671</v>
      </c>
      <c r="EF150" s="723">
        <f>'Hodnocení '!EF146</f>
        <v>147466.88847269223</v>
      </c>
      <c r="EG150" s="723">
        <f>'Hodnocení '!EG146</f>
        <v>-6075.7399211212178</v>
      </c>
      <c r="EH150" s="723">
        <f>'Hodnocení '!EH146</f>
        <v>124811.80860682938</v>
      </c>
      <c r="EI150" s="723">
        <f>'Hodnocení '!EI146</f>
        <v>153000</v>
      </c>
      <c r="EJ150" s="723">
        <f>'Hodnocení '!EJ146</f>
        <v>-1254497</v>
      </c>
      <c r="EK150" s="723">
        <f>'Hodnocení '!EK146</f>
        <v>-2176218.9124315493</v>
      </c>
      <c r="EL150" s="723">
        <f>'Hodnocení '!EL146</f>
        <v>-2102428.474704152</v>
      </c>
      <c r="EM150" s="723">
        <f>'Hodnocení '!EM146</f>
        <v>-1438309.6805571243</v>
      </c>
      <c r="EN150" s="723">
        <f>'Hodnocení '!EN146</f>
        <v>-161191.61752498476</v>
      </c>
      <c r="EO150" s="723">
        <f>'Hodnocení '!EO146</f>
        <v>-131650.59568873851</v>
      </c>
      <c r="EP150" s="723">
        <f>'Hodnocení '!EP146</f>
        <v>12264.126105596777</v>
      </c>
      <c r="EQ150" s="723">
        <f>'Hodnocení '!EQ146</f>
        <v>-1133610.509737364</v>
      </c>
      <c r="ER150" s="723">
        <f>'Hodnocení '!ER146</f>
        <v>657000</v>
      </c>
      <c r="ES150" s="723">
        <f>'Hodnocení '!ES146</f>
        <v>-3480000</v>
      </c>
      <c r="ET150" s="357">
        <f>'Hodnocení '!ET146</f>
        <v>0</v>
      </c>
      <c r="EU150" s="357">
        <f>'Hodnocení '!EU146</f>
        <v>0</v>
      </c>
      <c r="EV150" s="357">
        <f>'Hodnocení '!EV146</f>
        <v>0</v>
      </c>
      <c r="EW150" s="357">
        <f>'Hodnocení '!EW146</f>
        <v>0</v>
      </c>
      <c r="EX150" s="357">
        <f>'Hodnocení '!EX146</f>
        <v>0</v>
      </c>
      <c r="EY150" s="357">
        <f>'Hodnocení '!EY146</f>
        <v>0</v>
      </c>
      <c r="EZ150" s="357">
        <f>'Hodnocení '!EZ146</f>
        <v>0</v>
      </c>
      <c r="FA150" s="357">
        <f>'Hodnocení '!FA146</f>
        <v>0</v>
      </c>
      <c r="FB150" s="357">
        <f>'Hodnocení '!FB146</f>
        <v>0</v>
      </c>
      <c r="FC150" s="357">
        <f>'Hodnocení '!FC146</f>
        <v>0</v>
      </c>
      <c r="FD150" s="357">
        <f>'Hodnocení '!FD146</f>
        <v>0</v>
      </c>
      <c r="FE150" s="357">
        <f>'Hodnocení '!FE146</f>
        <v>0</v>
      </c>
      <c r="FF150" s="357">
        <f>'Hodnocení '!FF146</f>
        <v>0</v>
      </c>
      <c r="FG150" s="357">
        <f>'Hodnocení '!FG146</f>
        <v>0</v>
      </c>
      <c r="FH150" s="357">
        <f>'Hodnocení '!FH146</f>
        <v>0</v>
      </c>
      <c r="FI150" s="357">
        <f>'Hodnocení '!FI146</f>
        <v>0</v>
      </c>
      <c r="FJ150" s="357">
        <f>'Hodnocení '!FJ146</f>
        <v>0</v>
      </c>
      <c r="FK150" s="357">
        <f>'Hodnocení '!FK146</f>
        <v>0</v>
      </c>
      <c r="FL150" s="357">
        <f>'Hodnocení '!FL146</f>
        <v>0</v>
      </c>
      <c r="FM150" s="357">
        <f>'Hodnocení '!FM146</f>
        <v>0</v>
      </c>
      <c r="FN150" s="357">
        <f>'Hodnocení '!FN146</f>
        <v>0</v>
      </c>
      <c r="FO150" s="357">
        <f>'Hodnocení '!FO146</f>
        <v>0</v>
      </c>
      <c r="FP150" s="357">
        <f>'Hodnocení '!FP146</f>
        <v>0</v>
      </c>
      <c r="FQ150" s="357">
        <f>'Hodnocení '!FQ146</f>
        <v>0</v>
      </c>
      <c r="FR150" s="357">
        <f>'Hodnocení '!FR146</f>
        <v>0</v>
      </c>
      <c r="FS150" s="357">
        <f>'Hodnocení '!FS146</f>
        <v>0</v>
      </c>
      <c r="FT150" s="357">
        <f>'Hodnocení '!FT146</f>
        <v>0</v>
      </c>
      <c r="FU150" s="357">
        <f>'Hodnocení '!FU146</f>
        <v>0</v>
      </c>
      <c r="FV150" s="357">
        <f>'Hodnocení '!FV146</f>
        <v>0</v>
      </c>
      <c r="FW150" s="357">
        <f>'Hodnocení '!FW146</f>
        <v>0</v>
      </c>
      <c r="FX150" s="357">
        <f>'Hodnocení '!FX146</f>
        <v>0</v>
      </c>
      <c r="FY150" s="357">
        <f>'Hodnocení '!FY146</f>
        <v>0</v>
      </c>
      <c r="FZ150" s="357">
        <f>'Hodnocení '!FZ146</f>
        <v>0</v>
      </c>
      <c r="GA150" s="357">
        <f>'Hodnocení '!GA146</f>
        <v>0</v>
      </c>
      <c r="GB150" s="357">
        <f>'Hodnocení '!GB146</f>
        <v>0</v>
      </c>
      <c r="GC150" s="357">
        <f>'Hodnocení '!GC146</f>
        <v>0</v>
      </c>
      <c r="GD150" s="357">
        <f>'Hodnocení '!GD146</f>
        <v>0</v>
      </c>
      <c r="GE150" s="357">
        <f>'Hodnocení '!GE146</f>
        <v>0</v>
      </c>
      <c r="GF150" s="357">
        <f>'Hodnocení '!GF146</f>
        <v>0</v>
      </c>
      <c r="GG150" s="357">
        <f>'Hodnocení '!GG146</f>
        <v>0</v>
      </c>
      <c r="GH150" s="357">
        <f>'Hodnocení '!GH146</f>
        <v>0</v>
      </c>
      <c r="GI150" s="357">
        <f>'Hodnocení '!GI146</f>
        <v>0</v>
      </c>
      <c r="GJ150" s="357">
        <f>'Hodnocení '!GJ146</f>
        <v>0</v>
      </c>
      <c r="GK150" s="357">
        <f>'Hodnocení '!GK146</f>
        <v>0</v>
      </c>
      <c r="GL150" s="357">
        <f>'Hodnocení '!GL146</f>
        <v>0</v>
      </c>
      <c r="GM150" s="357">
        <f>'Hodnocení '!GM146</f>
        <v>0</v>
      </c>
      <c r="GN150" s="357">
        <f>'Hodnocení '!GN146</f>
        <v>0</v>
      </c>
      <c r="GO150" s="357">
        <f>'Hodnocení '!GO146</f>
        <v>0</v>
      </c>
      <c r="GP150" s="357">
        <f>'Hodnocení '!GP146</f>
        <v>0</v>
      </c>
      <c r="GQ150" s="357">
        <f>'Hodnocení '!GQ146</f>
        <v>0</v>
      </c>
      <c r="GR150" s="357">
        <f>'Hodnocení '!GR146</f>
        <v>0</v>
      </c>
      <c r="GS150" s="357">
        <f>'Hodnocení '!GS146</f>
        <v>0</v>
      </c>
      <c r="GT150" s="357">
        <f>'Hodnocení '!GT146</f>
        <v>0</v>
      </c>
      <c r="GU150" s="357">
        <f>'Hodnocení '!GU146</f>
        <v>0</v>
      </c>
      <c r="GV150" s="357">
        <f>'Hodnocení '!GV146</f>
        <v>0</v>
      </c>
      <c r="GW150" s="357">
        <f>'Hodnocení '!GW146</f>
        <v>0</v>
      </c>
      <c r="GX150" s="357">
        <f>'Hodnocení '!GX146</f>
        <v>0</v>
      </c>
      <c r="GY150" s="357">
        <f>'Hodnocení '!GY146</f>
        <v>0</v>
      </c>
      <c r="GZ150" s="357">
        <f>'Hodnocení '!GZ146</f>
        <v>0</v>
      </c>
      <c r="HA150" s="357">
        <f>'Hodnocení '!HA146</f>
        <v>0</v>
      </c>
      <c r="HB150" s="357">
        <f>'Hodnocení '!HB146</f>
        <v>0</v>
      </c>
      <c r="HC150" s="357">
        <f>'Hodnocení '!HC146</f>
        <v>0</v>
      </c>
      <c r="HD150" s="357">
        <f>'Hodnocení '!HD146</f>
        <v>0</v>
      </c>
      <c r="HE150" s="357">
        <f>'Hodnocení '!HE146</f>
        <v>0</v>
      </c>
      <c r="HF150" s="357">
        <f>'Hodnocení '!HF146</f>
        <v>0</v>
      </c>
      <c r="HG150" s="357">
        <f>'Hodnocení '!HG146</f>
        <v>0</v>
      </c>
      <c r="HH150" s="357">
        <f>'Hodnocení '!HH146</f>
        <v>0</v>
      </c>
      <c r="HI150" s="357">
        <f>'Hodnocení '!HI146</f>
        <v>0</v>
      </c>
      <c r="HJ150" s="357">
        <f>'Hodnocení '!HJ146</f>
        <v>0</v>
      </c>
      <c r="HK150" s="357">
        <f>'Hodnocení '!HK146</f>
        <v>0</v>
      </c>
      <c r="HL150" s="357">
        <f>'Hodnocení '!HL146</f>
        <v>0</v>
      </c>
      <c r="HM150" s="357">
        <f>'Hodnocení '!HM146</f>
        <v>0</v>
      </c>
      <c r="HN150" s="357">
        <f>'Hodnocení '!HN146</f>
        <v>0</v>
      </c>
      <c r="HO150" s="357">
        <f>'Hodnocení '!HO146</f>
        <v>0</v>
      </c>
      <c r="HP150" s="357">
        <f>'Hodnocení '!HP146</f>
        <v>0</v>
      </c>
      <c r="HQ150" s="357">
        <f>'Hodnocení '!HQ146</f>
        <v>0</v>
      </c>
      <c r="HR150" s="357">
        <f>'Hodnocení '!HR146</f>
        <v>0</v>
      </c>
      <c r="HS150" s="357">
        <f>'Hodnocení '!HS146</f>
        <v>0</v>
      </c>
      <c r="HT150" s="357">
        <f>'Hodnocení '!HT146</f>
        <v>0</v>
      </c>
      <c r="HU150" s="357">
        <f>'Hodnocení '!HU146</f>
        <v>0</v>
      </c>
      <c r="HV150" s="357">
        <f>'Hodnocení '!HV146</f>
        <v>0</v>
      </c>
      <c r="HW150" s="357">
        <f>'Hodnocení '!HW146</f>
        <v>0</v>
      </c>
      <c r="HX150" s="357">
        <f>'Hodnocení '!HX146</f>
        <v>0</v>
      </c>
      <c r="HY150" s="357">
        <f>'Hodnocení '!HY146</f>
        <v>0</v>
      </c>
      <c r="HZ150" s="357">
        <f>'Hodnocení '!HZ146</f>
        <v>0</v>
      </c>
      <c r="IA150" s="357">
        <f>'Hodnocení '!IA146</f>
        <v>0</v>
      </c>
      <c r="IB150" s="357">
        <f>'Hodnocení '!IB146</f>
        <v>0</v>
      </c>
      <c r="IC150" s="357">
        <f>'Hodnocení '!IC146</f>
        <v>0</v>
      </c>
      <c r="ID150" s="357">
        <f>'Hodnocení '!ID146</f>
        <v>0</v>
      </c>
      <c r="IE150" s="357">
        <f>'Hodnocení '!IE146</f>
        <v>0</v>
      </c>
      <c r="IF150" s="357">
        <f>'Hodnocení '!IF146</f>
        <v>0</v>
      </c>
      <c r="IG150" s="357">
        <f>'Hodnocení '!IG146</f>
        <v>0</v>
      </c>
      <c r="IH150" s="357">
        <f>'Hodnocení '!IH146</f>
        <v>0</v>
      </c>
      <c r="II150" s="357">
        <f>'Hodnocení '!II146</f>
        <v>0</v>
      </c>
      <c r="IJ150" s="357">
        <f>'Hodnocení '!IJ146</f>
        <v>0</v>
      </c>
      <c r="IK150" s="357">
        <f>'Hodnocení '!IK146</f>
        <v>0</v>
      </c>
      <c r="IL150" s="357">
        <f>'Hodnocení '!IL146</f>
        <v>0</v>
      </c>
      <c r="IM150" s="357">
        <f>'Hodnocení '!IM146</f>
        <v>0</v>
      </c>
      <c r="IN150" s="357">
        <f>'Hodnocení '!IN146</f>
        <v>0</v>
      </c>
      <c r="IO150" s="357">
        <f>'Hodnocení '!IO146</f>
        <v>0</v>
      </c>
      <c r="IP150" s="357">
        <f>'Hodnocení '!IP146</f>
        <v>0</v>
      </c>
      <c r="IQ150" s="357">
        <f>'Hodnocení '!IQ146</f>
        <v>0</v>
      </c>
      <c r="IR150" s="357">
        <f>'Hodnocení '!IR146</f>
        <v>0</v>
      </c>
      <c r="IS150" s="357">
        <f>'Hodnocení '!IS146</f>
        <v>0</v>
      </c>
      <c r="IT150" s="357">
        <f>'Hodnocení '!IT146</f>
        <v>0</v>
      </c>
      <c r="IU150" s="357">
        <f>'Hodnocení '!IU146</f>
        <v>0</v>
      </c>
      <c r="IV150" s="357">
        <f>'Hodnocení '!IV146</f>
        <v>0</v>
      </c>
      <c r="IW150" s="357">
        <f>'Hodnocení '!IW146</f>
        <v>0</v>
      </c>
      <c r="IX150" s="357">
        <f>'Hodnocení '!IX146</f>
        <v>0</v>
      </c>
      <c r="IY150" s="357">
        <f>'Hodnocení '!IY146</f>
        <v>0</v>
      </c>
      <c r="IZ150" s="357">
        <f>'Hodnocení '!IZ146</f>
        <v>0</v>
      </c>
      <c r="JA150" s="357">
        <f>'Hodnocení '!JA146</f>
        <v>0</v>
      </c>
      <c r="JB150" s="723">
        <f>'Hodnocení '!JB146</f>
        <v>473788.96015719743</v>
      </c>
      <c r="JC150" s="357">
        <f>'Hodnocení '!JC146</f>
        <v>0</v>
      </c>
      <c r="JD150" s="723">
        <f>'Hodnocení '!JD146</f>
        <v>2734651.4754739245</v>
      </c>
      <c r="JE150" s="357">
        <f>'Hodnocení '!JE146</f>
        <v>0</v>
      </c>
      <c r="JF150" s="357">
        <f>'Hodnocení '!JF146</f>
        <v>0</v>
      </c>
      <c r="JG150" s="357">
        <f>'Hodnocení '!JG146</f>
        <v>0</v>
      </c>
      <c r="JH150" s="772">
        <f>'Hodnocení '!JH146</f>
        <v>0</v>
      </c>
      <c r="JI150" s="315">
        <f>'Hodnocení '!JI146</f>
        <v>0</v>
      </c>
    </row>
    <row r="151" spans="1:276" hidden="1" x14ac:dyDescent="0.25">
      <c r="B151" s="758" t="s">
        <v>2627</v>
      </c>
      <c r="C151" s="779">
        <f>'Hodnocení '!C147</f>
        <v>0</v>
      </c>
      <c r="D151" s="479">
        <f>'Hodnocení '!D147</f>
        <v>0</v>
      </c>
      <c r="E151" s="479">
        <f>'Hodnocení '!E147</f>
        <v>0</v>
      </c>
      <c r="F151" s="479">
        <f>'Hodnocení '!F147</f>
        <v>0</v>
      </c>
      <c r="G151" s="479">
        <f>'Hodnocení '!G147</f>
        <v>0</v>
      </c>
      <c r="H151" s="479">
        <f>'Hodnocení '!H147</f>
        <v>0</v>
      </c>
      <c r="I151" s="479">
        <f>'Hodnocení '!I147</f>
        <v>0</v>
      </c>
      <c r="J151" s="479">
        <f>'Hodnocení '!J147</f>
        <v>0</v>
      </c>
      <c r="K151" s="479">
        <f>'Hodnocení '!K147</f>
        <v>0</v>
      </c>
      <c r="L151" s="479">
        <f>'Hodnocení '!L147</f>
        <v>0</v>
      </c>
      <c r="M151" s="479">
        <f>'Hodnocení '!M147</f>
        <v>0</v>
      </c>
      <c r="N151" s="479">
        <f>'Hodnocení '!N147</f>
        <v>0</v>
      </c>
      <c r="O151" s="479">
        <f>'Hodnocení '!O147</f>
        <v>0</v>
      </c>
      <c r="P151" s="479">
        <f>'Hodnocení '!P147</f>
        <v>0</v>
      </c>
      <c r="Q151" s="479">
        <f>'Hodnocení '!Q147</f>
        <v>0</v>
      </c>
      <c r="R151" s="479">
        <f>'Hodnocení '!R147</f>
        <v>0</v>
      </c>
      <c r="S151" s="479">
        <f>'Hodnocení '!S147</f>
        <v>0</v>
      </c>
      <c r="T151" s="479">
        <f>'Hodnocení '!T147</f>
        <v>0</v>
      </c>
      <c r="U151" s="479">
        <f>'Hodnocení '!U147</f>
        <v>0</v>
      </c>
      <c r="V151" s="479">
        <f>'Hodnocení '!V147</f>
        <v>0</v>
      </c>
      <c r="W151" s="479">
        <f>'Hodnocení '!W147</f>
        <v>0</v>
      </c>
      <c r="X151" s="479">
        <f>'Hodnocení '!X147</f>
        <v>0</v>
      </c>
      <c r="Y151" s="479">
        <f>'Hodnocení '!Y147</f>
        <v>0</v>
      </c>
      <c r="Z151" s="479">
        <f>'Hodnocení '!Z147</f>
        <v>0</v>
      </c>
      <c r="AA151" s="479">
        <f>'Hodnocení '!AA147</f>
        <v>0</v>
      </c>
      <c r="AB151" s="479">
        <f>'Hodnocení '!AB147</f>
        <v>0</v>
      </c>
      <c r="AC151" s="479">
        <f>'Hodnocení '!AC147</f>
        <v>0</v>
      </c>
      <c r="AD151" s="479">
        <f>'Hodnocení '!AD147</f>
        <v>0</v>
      </c>
      <c r="AE151" s="479">
        <f>'Hodnocení '!AE147</f>
        <v>0</v>
      </c>
      <c r="AF151" s="479">
        <f>'Hodnocení '!AF147</f>
        <v>0</v>
      </c>
      <c r="AG151" s="479">
        <f>'Hodnocení '!AG147</f>
        <v>0</v>
      </c>
      <c r="AH151" s="479">
        <f>'Hodnocení '!AH147</f>
        <v>0</v>
      </c>
      <c r="AI151" s="479">
        <f>'Hodnocení '!AI147</f>
        <v>0</v>
      </c>
      <c r="AJ151" s="479">
        <f>'Hodnocení '!AJ147</f>
        <v>0</v>
      </c>
      <c r="AK151" s="479">
        <f>'Hodnocení '!AK147</f>
        <v>0</v>
      </c>
      <c r="AL151" s="479">
        <f>'Hodnocení '!AL147</f>
        <v>0</v>
      </c>
      <c r="AM151" s="479">
        <f>'Hodnocení '!AM147</f>
        <v>0</v>
      </c>
      <c r="AN151" s="479">
        <f>'Hodnocení '!AN147</f>
        <v>0</v>
      </c>
      <c r="AO151" s="479">
        <f>'Hodnocení '!AO147</f>
        <v>0</v>
      </c>
      <c r="AP151" s="479">
        <f>'Hodnocení '!AP147</f>
        <v>0</v>
      </c>
      <c r="AQ151" s="479">
        <f>'Hodnocení '!AQ147</f>
        <v>0</v>
      </c>
      <c r="AR151" s="479">
        <f>'Hodnocení '!AR147</f>
        <v>0</v>
      </c>
      <c r="AS151" s="479">
        <f>'Hodnocení '!AS147</f>
        <v>0</v>
      </c>
      <c r="AT151" s="479">
        <f>'Hodnocení '!AT147</f>
        <v>0</v>
      </c>
      <c r="AU151" s="479">
        <f>'Hodnocení '!AU147</f>
        <v>0</v>
      </c>
      <c r="AV151" s="479">
        <f>'Hodnocení '!AV147</f>
        <v>0</v>
      </c>
      <c r="AW151" s="479">
        <f>'Hodnocení '!AW147</f>
        <v>0</v>
      </c>
      <c r="AX151" s="479">
        <f>'Hodnocení '!AX147</f>
        <v>0</v>
      </c>
      <c r="AY151" s="479">
        <f>'Hodnocení '!AY147</f>
        <v>0</v>
      </c>
      <c r="AZ151" s="479">
        <f>'Hodnocení '!AZ147</f>
        <v>0</v>
      </c>
      <c r="BA151" s="479">
        <f>'Hodnocení '!BA147</f>
        <v>0</v>
      </c>
      <c r="BB151" s="479">
        <f>'Hodnocení '!BB147</f>
        <v>0</v>
      </c>
      <c r="BC151" s="479">
        <f>'Hodnocení '!BC147</f>
        <v>0</v>
      </c>
      <c r="BD151" s="479">
        <f>'Hodnocení '!BD147</f>
        <v>0</v>
      </c>
      <c r="BE151" s="479">
        <f>'Hodnocení '!BE147</f>
        <v>0</v>
      </c>
      <c r="BF151" s="479">
        <f>'Hodnocení '!BF147</f>
        <v>0</v>
      </c>
      <c r="BG151" s="479">
        <f>'Hodnocení '!BG147</f>
        <v>0</v>
      </c>
      <c r="BH151" s="479">
        <f>'Hodnocení '!BH147</f>
        <v>-130890.75843949011</v>
      </c>
      <c r="BI151" s="479">
        <f>'Hodnocení '!BI147</f>
        <v>0</v>
      </c>
      <c r="BJ151" s="479">
        <f>'Hodnocení '!BJ147</f>
        <v>0</v>
      </c>
      <c r="BK151" s="479">
        <f>'Hodnocení '!BK147</f>
        <v>0</v>
      </c>
      <c r="BL151" s="479">
        <f>'Hodnocení '!BL147</f>
        <v>0</v>
      </c>
      <c r="BM151" s="479">
        <f>'Hodnocení '!BM147</f>
        <v>0</v>
      </c>
      <c r="BN151" s="479">
        <f>'Hodnocení '!BN147</f>
        <v>0</v>
      </c>
      <c r="BO151" s="479">
        <f>'Hodnocení '!BO147</f>
        <v>0</v>
      </c>
      <c r="BP151" s="479">
        <f>'Hodnocení '!BP147</f>
        <v>0</v>
      </c>
      <c r="BQ151" s="479">
        <f>'Hodnocení '!BQ147</f>
        <v>0</v>
      </c>
      <c r="BR151" s="479">
        <f>'Hodnocení '!BR147</f>
        <v>0</v>
      </c>
      <c r="BS151" s="479">
        <f>'Hodnocení '!BS147</f>
        <v>0</v>
      </c>
      <c r="BT151" s="479">
        <f>'Hodnocení '!BT147</f>
        <v>0</v>
      </c>
      <c r="BU151" s="479">
        <f>'Hodnocení '!BU147</f>
        <v>0</v>
      </c>
      <c r="BV151" s="479">
        <f>'Hodnocení '!BV147</f>
        <v>0</v>
      </c>
      <c r="BW151" s="479">
        <f>'Hodnocení '!BW147</f>
        <v>0</v>
      </c>
      <c r="BX151" s="479">
        <f>'Hodnocení '!BX147</f>
        <v>0</v>
      </c>
      <c r="BY151" s="479">
        <f>'Hodnocení '!BY147</f>
        <v>0</v>
      </c>
      <c r="BZ151" s="479">
        <f>'Hodnocení '!BZ147</f>
        <v>0</v>
      </c>
      <c r="CA151" s="479">
        <f>'Hodnocení '!CA147</f>
        <v>0</v>
      </c>
      <c r="CB151" s="479">
        <f>'Hodnocení '!CB147</f>
        <v>0</v>
      </c>
      <c r="CC151" s="479">
        <f>'Hodnocení '!CC147</f>
        <v>0</v>
      </c>
      <c r="CD151" s="479">
        <f>'Hodnocení '!CD147</f>
        <v>0</v>
      </c>
      <c r="CE151" s="479">
        <f>'Hodnocení '!CE147</f>
        <v>0</v>
      </c>
      <c r="CF151" s="479">
        <f>'Hodnocení '!CF147</f>
        <v>0</v>
      </c>
      <c r="CG151" s="479">
        <f>'Hodnocení '!CG147</f>
        <v>0</v>
      </c>
      <c r="CH151" s="479">
        <f>'Hodnocení '!CH147</f>
        <v>0</v>
      </c>
      <c r="CI151" s="479">
        <f>'Hodnocení '!CI147</f>
        <v>0</v>
      </c>
      <c r="CJ151" s="479">
        <f>'Hodnocení '!CJ147</f>
        <v>0</v>
      </c>
      <c r="CK151" s="479">
        <f>'Hodnocení '!CK147</f>
        <v>0</v>
      </c>
      <c r="CL151" s="479">
        <f>'Hodnocení '!CL147</f>
        <v>0</v>
      </c>
      <c r="CM151" s="479">
        <f>'Hodnocení '!CM147</f>
        <v>0</v>
      </c>
      <c r="CN151" s="479">
        <f>'Hodnocení '!CN147</f>
        <v>0</v>
      </c>
      <c r="CO151" s="479">
        <f>'Hodnocení '!CO147</f>
        <v>0</v>
      </c>
      <c r="CP151" s="479">
        <f>'Hodnocení '!CP147</f>
        <v>0</v>
      </c>
      <c r="CQ151" s="479">
        <f>'Hodnocení '!CQ147</f>
        <v>0</v>
      </c>
      <c r="CR151" s="479">
        <f>'Hodnocení '!CR147</f>
        <v>0</v>
      </c>
      <c r="CS151" s="479">
        <f>'Hodnocení '!CS147</f>
        <v>0</v>
      </c>
      <c r="CT151" s="479">
        <f>'Hodnocení '!CT147</f>
        <v>0</v>
      </c>
      <c r="CU151" s="479">
        <f>'Hodnocení '!CU147</f>
        <v>0</v>
      </c>
      <c r="CV151" s="479">
        <f>'Hodnocení '!CV147</f>
        <v>0</v>
      </c>
      <c r="CW151" s="479">
        <f>'Hodnocení '!CW147</f>
        <v>0</v>
      </c>
      <c r="CX151" s="479">
        <f>'Hodnocení '!CX147</f>
        <v>0</v>
      </c>
      <c r="CY151" s="479">
        <f>'Hodnocení '!CY147</f>
        <v>0</v>
      </c>
      <c r="CZ151" s="479">
        <f>'Hodnocení '!CZ147</f>
        <v>0</v>
      </c>
      <c r="DA151" s="479">
        <f>'Hodnocení '!DA147</f>
        <v>0</v>
      </c>
      <c r="DB151" s="479">
        <f>'Hodnocení '!DB147</f>
        <v>0</v>
      </c>
      <c r="DC151" s="479">
        <f>'Hodnocení '!DC147</f>
        <v>0</v>
      </c>
      <c r="DD151" s="479">
        <f>'Hodnocení '!DD147</f>
        <v>0</v>
      </c>
      <c r="DE151" s="479">
        <f>'Hodnocení '!DE147</f>
        <v>0</v>
      </c>
      <c r="DF151" s="479">
        <f>'Hodnocení '!DF147</f>
        <v>0</v>
      </c>
      <c r="DG151" s="479">
        <f>'Hodnocení '!DG147</f>
        <v>0</v>
      </c>
      <c r="DH151" s="479">
        <f>'Hodnocení '!DH147</f>
        <v>0</v>
      </c>
      <c r="DI151" s="479">
        <f>'Hodnocení '!DI147</f>
        <v>0</v>
      </c>
      <c r="DJ151" s="479">
        <f>'Hodnocení '!DJ147</f>
        <v>0</v>
      </c>
      <c r="DK151" s="479">
        <f>'Hodnocení '!DK147</f>
        <v>0</v>
      </c>
      <c r="DL151" s="479">
        <f>'Hodnocení '!DL147</f>
        <v>0</v>
      </c>
      <c r="DM151" s="479">
        <f>'Hodnocení '!DM147</f>
        <v>0</v>
      </c>
      <c r="DN151" s="479">
        <f>'Hodnocení '!DN147</f>
        <v>0</v>
      </c>
      <c r="DO151" s="479">
        <f>'Hodnocení '!DO147</f>
        <v>0</v>
      </c>
      <c r="DP151" s="479">
        <f>'Hodnocení '!DP147</f>
        <v>0</v>
      </c>
      <c r="DQ151" s="479">
        <f>'Hodnocení '!DQ147</f>
        <v>0</v>
      </c>
      <c r="DR151" s="479">
        <f>'Hodnocení '!DR147</f>
        <v>0</v>
      </c>
      <c r="DS151" s="479">
        <f>'Hodnocení '!DS147</f>
        <v>0</v>
      </c>
      <c r="DT151" s="479">
        <f>'Hodnocení '!DT147</f>
        <v>0</v>
      </c>
      <c r="DU151" s="479">
        <f>'Hodnocení '!DU147</f>
        <v>0</v>
      </c>
      <c r="DV151" s="479">
        <f>'Hodnocení '!DV147</f>
        <v>0</v>
      </c>
      <c r="DW151" s="479">
        <f>'Hodnocení '!DW147</f>
        <v>0</v>
      </c>
      <c r="DX151" s="479">
        <f>'Hodnocení '!DX147</f>
        <v>0</v>
      </c>
      <c r="DY151" s="479">
        <f>'Hodnocení '!DY147</f>
        <v>0</v>
      </c>
      <c r="DZ151" s="479">
        <f>'Hodnocení '!DZ147</f>
        <v>0</v>
      </c>
      <c r="EA151" s="479">
        <f>'Hodnocení '!EA147</f>
        <v>0</v>
      </c>
      <c r="EB151" s="479">
        <f>'Hodnocení '!EB147</f>
        <v>-1679800</v>
      </c>
      <c r="EC151" s="479">
        <f>'Hodnocení '!EC147</f>
        <v>0</v>
      </c>
      <c r="ED151" s="479">
        <f>'Hodnocení '!ED147</f>
        <v>0</v>
      </c>
      <c r="EE151" s="479">
        <f>'Hodnocení '!EE147</f>
        <v>0</v>
      </c>
      <c r="EF151" s="479">
        <f>'Hodnocení '!EF147</f>
        <v>0</v>
      </c>
      <c r="EG151" s="479">
        <f>'Hodnocení '!EG147</f>
        <v>0</v>
      </c>
      <c r="EH151" s="479">
        <f>'Hodnocení '!EH147</f>
        <v>0</v>
      </c>
      <c r="EI151" s="479">
        <f>'Hodnocení '!EI147</f>
        <v>0</v>
      </c>
      <c r="EJ151" s="479">
        <f>'Hodnocení '!EJ147</f>
        <v>0</v>
      </c>
      <c r="EK151" s="479">
        <f>'Hodnocení '!EK147</f>
        <v>0</v>
      </c>
      <c r="EL151" s="479">
        <f>'Hodnocení '!EL147</f>
        <v>0</v>
      </c>
      <c r="EM151" s="479">
        <f>'Hodnocení '!EM147</f>
        <v>0</v>
      </c>
      <c r="EN151" s="479">
        <f>'Hodnocení '!EN147</f>
        <v>0</v>
      </c>
      <c r="EO151" s="479">
        <f>'Hodnocení '!EO147</f>
        <v>0</v>
      </c>
      <c r="EP151" s="479">
        <f>'Hodnocení '!EP147</f>
        <v>0</v>
      </c>
      <c r="EQ151" s="479">
        <f>'Hodnocení '!EQ147</f>
        <v>-50000</v>
      </c>
      <c r="ER151" s="479">
        <f>'Hodnocení '!ER147</f>
        <v>0</v>
      </c>
      <c r="ES151" s="479">
        <f>'Hodnocení '!ES147</f>
        <v>0</v>
      </c>
      <c r="ET151" s="479">
        <f>'Hodnocení '!ET147</f>
        <v>0</v>
      </c>
      <c r="EU151" s="479">
        <f>'Hodnocení '!EU147</f>
        <v>0</v>
      </c>
      <c r="EV151" s="479">
        <f>'Hodnocení '!EV147</f>
        <v>0</v>
      </c>
      <c r="EW151" s="479">
        <f>'Hodnocení '!EW147</f>
        <v>0</v>
      </c>
      <c r="EX151" s="479">
        <f>'Hodnocení '!EX147</f>
        <v>0</v>
      </c>
      <c r="EY151" s="479">
        <f>'Hodnocení '!EY147</f>
        <v>0</v>
      </c>
      <c r="EZ151" s="479">
        <f>'Hodnocení '!EZ147</f>
        <v>0</v>
      </c>
      <c r="FA151" s="479">
        <f>'Hodnocení '!FA147</f>
        <v>0</v>
      </c>
      <c r="FB151" s="479">
        <f>'Hodnocení '!FB147</f>
        <v>0</v>
      </c>
      <c r="FC151" s="479">
        <f>'Hodnocení '!FC147</f>
        <v>0</v>
      </c>
      <c r="FD151" s="479">
        <f>'Hodnocení '!FD147</f>
        <v>0</v>
      </c>
      <c r="FE151" s="479">
        <f>'Hodnocení '!FE147</f>
        <v>0</v>
      </c>
      <c r="FF151" s="479">
        <f>'Hodnocení '!FF147</f>
        <v>0</v>
      </c>
      <c r="FG151" s="479">
        <f>'Hodnocení '!FG147</f>
        <v>0</v>
      </c>
      <c r="FH151" s="479">
        <f>'Hodnocení '!FH147</f>
        <v>0</v>
      </c>
      <c r="FI151" s="479">
        <f>'Hodnocení '!FI147</f>
        <v>0</v>
      </c>
      <c r="FJ151" s="479">
        <f>'Hodnocení '!FJ147</f>
        <v>0</v>
      </c>
      <c r="FK151" s="479">
        <f>'Hodnocení '!FK147</f>
        <v>0</v>
      </c>
      <c r="FL151" s="479">
        <f>'Hodnocení '!FL147</f>
        <v>0</v>
      </c>
      <c r="FM151" s="479">
        <f>'Hodnocení '!FM147</f>
        <v>0</v>
      </c>
      <c r="FN151" s="479">
        <f>'Hodnocení '!FN147</f>
        <v>0</v>
      </c>
      <c r="FO151" s="479">
        <f>'Hodnocení '!FO147</f>
        <v>0</v>
      </c>
      <c r="FP151" s="479">
        <f>'Hodnocení '!FP147</f>
        <v>0</v>
      </c>
      <c r="FQ151" s="479">
        <f>'Hodnocení '!FQ147</f>
        <v>0</v>
      </c>
      <c r="FR151" s="479">
        <f>'Hodnocení '!FR147</f>
        <v>0</v>
      </c>
      <c r="FS151" s="479">
        <f>'Hodnocení '!FS147</f>
        <v>0</v>
      </c>
      <c r="FT151" s="479">
        <f>'Hodnocení '!FT147</f>
        <v>0</v>
      </c>
      <c r="FU151" s="479">
        <f>'Hodnocení '!FU147</f>
        <v>0</v>
      </c>
      <c r="FV151" s="479">
        <f>'Hodnocení '!FV147</f>
        <v>0</v>
      </c>
      <c r="FW151" s="479">
        <f>'Hodnocení '!FW147</f>
        <v>0</v>
      </c>
      <c r="FX151" s="479">
        <f>'Hodnocení '!FX147</f>
        <v>0</v>
      </c>
      <c r="FY151" s="479">
        <f>'Hodnocení '!FY147</f>
        <v>0</v>
      </c>
      <c r="FZ151" s="479">
        <f>'Hodnocení '!FZ147</f>
        <v>0</v>
      </c>
      <c r="GA151" s="479">
        <f>'Hodnocení '!GA147</f>
        <v>0</v>
      </c>
      <c r="GB151" s="479">
        <f>'Hodnocení '!GB147</f>
        <v>0</v>
      </c>
      <c r="GC151" s="479">
        <f>'Hodnocení '!GC147</f>
        <v>0</v>
      </c>
      <c r="GD151" s="479">
        <f>'Hodnocení '!GD147</f>
        <v>0</v>
      </c>
      <c r="GE151" s="479">
        <f>'Hodnocení '!GE147</f>
        <v>0</v>
      </c>
      <c r="GF151" s="479">
        <f>'Hodnocení '!GF147</f>
        <v>0</v>
      </c>
      <c r="GG151" s="479">
        <f>'Hodnocení '!GG147</f>
        <v>0</v>
      </c>
      <c r="GH151" s="479">
        <f>'Hodnocení '!GH147</f>
        <v>0</v>
      </c>
      <c r="GI151" s="479">
        <f>'Hodnocení '!GI147</f>
        <v>0</v>
      </c>
      <c r="GJ151" s="479">
        <f>'Hodnocení '!GJ147</f>
        <v>0</v>
      </c>
      <c r="GK151" s="479">
        <f>'Hodnocení '!GK147</f>
        <v>0</v>
      </c>
      <c r="GL151" s="479">
        <f>'Hodnocení '!GL147</f>
        <v>0</v>
      </c>
      <c r="GM151" s="479">
        <f>'Hodnocení '!GM147</f>
        <v>0</v>
      </c>
      <c r="GN151" s="479">
        <f>'Hodnocení '!GN147</f>
        <v>0</v>
      </c>
      <c r="GO151" s="479">
        <f>'Hodnocení '!GO147</f>
        <v>0</v>
      </c>
      <c r="GP151" s="479">
        <f>'Hodnocení '!GP147</f>
        <v>0</v>
      </c>
      <c r="GQ151" s="479">
        <f>'Hodnocení '!GQ147</f>
        <v>0</v>
      </c>
      <c r="GR151" s="479">
        <f>'Hodnocení '!GR147</f>
        <v>0</v>
      </c>
      <c r="GS151" s="479">
        <f>'Hodnocení '!GS147</f>
        <v>0</v>
      </c>
      <c r="GT151" s="479">
        <f>'Hodnocení '!GT147</f>
        <v>0</v>
      </c>
      <c r="GU151" s="479">
        <f>'Hodnocení '!GU147</f>
        <v>0</v>
      </c>
      <c r="GV151" s="479">
        <f>'Hodnocení '!GV147</f>
        <v>0</v>
      </c>
      <c r="GW151" s="479">
        <f>'Hodnocení '!GW147</f>
        <v>0</v>
      </c>
      <c r="GX151" s="479">
        <f>'Hodnocení '!GX147</f>
        <v>0</v>
      </c>
      <c r="GY151" s="479">
        <f>'Hodnocení '!GY147</f>
        <v>0</v>
      </c>
      <c r="GZ151" s="479">
        <f>'Hodnocení '!GZ147</f>
        <v>0</v>
      </c>
      <c r="HA151" s="479">
        <f>'Hodnocení '!HA147</f>
        <v>0</v>
      </c>
      <c r="HB151" s="479">
        <f>'Hodnocení '!HB147</f>
        <v>0</v>
      </c>
      <c r="HC151" s="479">
        <f>'Hodnocení '!HC147</f>
        <v>0</v>
      </c>
      <c r="HD151" s="479">
        <f>'Hodnocení '!HD147</f>
        <v>0</v>
      </c>
      <c r="HE151" s="479">
        <f>'Hodnocení '!HE147</f>
        <v>0</v>
      </c>
      <c r="HF151" s="479">
        <f>'Hodnocení '!HF147</f>
        <v>0</v>
      </c>
      <c r="HG151" s="479">
        <f>'Hodnocení '!HG147</f>
        <v>0</v>
      </c>
      <c r="HH151" s="479">
        <f>'Hodnocení '!HH147</f>
        <v>0</v>
      </c>
      <c r="HI151" s="479">
        <f>'Hodnocení '!HI147</f>
        <v>0</v>
      </c>
      <c r="HJ151" s="479">
        <f>'Hodnocení '!HJ147</f>
        <v>0</v>
      </c>
      <c r="HK151" s="479">
        <f>'Hodnocení '!HK147</f>
        <v>0</v>
      </c>
      <c r="HL151" s="479">
        <f>'Hodnocení '!HL147</f>
        <v>0</v>
      </c>
      <c r="HM151" s="479">
        <f>'Hodnocení '!HM147</f>
        <v>0</v>
      </c>
      <c r="HN151" s="479">
        <f>'Hodnocení '!HN147</f>
        <v>0</v>
      </c>
      <c r="HO151" s="479">
        <f>'Hodnocení '!HO147</f>
        <v>0</v>
      </c>
      <c r="HP151" s="479">
        <f>'Hodnocení '!HP147</f>
        <v>0</v>
      </c>
      <c r="HQ151" s="479">
        <f>'Hodnocení '!HQ147</f>
        <v>0</v>
      </c>
      <c r="HR151" s="479">
        <f>'Hodnocení '!HR147</f>
        <v>0</v>
      </c>
      <c r="HS151" s="479">
        <f>'Hodnocení '!HS147</f>
        <v>0</v>
      </c>
      <c r="HT151" s="479">
        <f>'Hodnocení '!HT147</f>
        <v>0</v>
      </c>
      <c r="HU151" s="479">
        <f>'Hodnocení '!HU147</f>
        <v>0</v>
      </c>
      <c r="HV151" s="479">
        <f>'Hodnocení '!HV147</f>
        <v>0</v>
      </c>
      <c r="HW151" s="479">
        <f>'Hodnocení '!HW147</f>
        <v>0</v>
      </c>
      <c r="HX151" s="479">
        <f>'Hodnocení '!HX147</f>
        <v>-29960</v>
      </c>
      <c r="HY151" s="479">
        <f>'Hodnocení '!HY147</f>
        <v>0</v>
      </c>
      <c r="HZ151" s="479">
        <f>'Hodnocení '!HZ147</f>
        <v>0</v>
      </c>
      <c r="IA151" s="479">
        <f>'Hodnocení '!IA147</f>
        <v>0</v>
      </c>
      <c r="IB151" s="479">
        <f>'Hodnocení '!IB147</f>
        <v>0</v>
      </c>
      <c r="IC151" s="479">
        <f>'Hodnocení '!IC147</f>
        <v>0</v>
      </c>
      <c r="ID151" s="479">
        <f>'Hodnocení '!ID147</f>
        <v>0</v>
      </c>
      <c r="IE151" s="479">
        <f>'Hodnocení '!IE147</f>
        <v>0</v>
      </c>
      <c r="IF151" s="479">
        <f>'Hodnocení '!IF147</f>
        <v>0</v>
      </c>
      <c r="IG151" s="479">
        <f>'Hodnocení '!IG147</f>
        <v>0</v>
      </c>
      <c r="IH151" s="479">
        <f>'Hodnocení '!IH147</f>
        <v>0</v>
      </c>
      <c r="II151" s="479">
        <f>'Hodnocení '!II147</f>
        <v>0</v>
      </c>
      <c r="IJ151" s="479">
        <f>'Hodnocení '!IJ147</f>
        <v>0</v>
      </c>
      <c r="IK151" s="479">
        <f>'Hodnocení '!IK147</f>
        <v>0</v>
      </c>
      <c r="IL151" s="479">
        <f>'Hodnocení '!IL147</f>
        <v>0</v>
      </c>
      <c r="IM151" s="479">
        <f>'Hodnocení '!IM147</f>
        <v>0</v>
      </c>
      <c r="IN151" s="479">
        <f>'Hodnocení '!IN147</f>
        <v>0</v>
      </c>
      <c r="IO151" s="479">
        <f>'Hodnocení '!IO147</f>
        <v>0</v>
      </c>
      <c r="IP151" s="479">
        <f>'Hodnocení '!IP147</f>
        <v>0</v>
      </c>
      <c r="IQ151" s="479">
        <f>'Hodnocení '!IQ147</f>
        <v>0</v>
      </c>
      <c r="IR151" s="479">
        <f>'Hodnocení '!IR147</f>
        <v>0</v>
      </c>
      <c r="IS151" s="479">
        <f>'Hodnocení '!IS147</f>
        <v>0</v>
      </c>
      <c r="IT151" s="479">
        <f>'Hodnocení '!IT147</f>
        <v>0</v>
      </c>
      <c r="IU151" s="479">
        <f>'Hodnocení '!IU147</f>
        <v>0</v>
      </c>
      <c r="IV151" s="479">
        <f>'Hodnocení '!IV147</f>
        <v>0</v>
      </c>
      <c r="IW151" s="479">
        <f>'Hodnocení '!IW147</f>
        <v>0</v>
      </c>
      <c r="IX151" s="479">
        <f>'Hodnocení '!IX147</f>
        <v>0</v>
      </c>
      <c r="IY151" s="479">
        <f>'Hodnocení '!IY147</f>
        <v>0</v>
      </c>
      <c r="IZ151" s="479">
        <f>'Hodnocení '!IZ147</f>
        <v>0</v>
      </c>
      <c r="JA151" s="479">
        <f>'Hodnocení '!JA147</f>
        <v>0</v>
      </c>
      <c r="JB151" s="479">
        <f>'Hodnocení '!JB147</f>
        <v>0</v>
      </c>
      <c r="JC151" s="479">
        <f>'Hodnocení '!JC147</f>
        <v>0</v>
      </c>
      <c r="JD151" s="479">
        <f>'Hodnocení '!JD147</f>
        <v>0</v>
      </c>
      <c r="JE151" s="479">
        <f>'Hodnocení '!JE147</f>
        <v>0</v>
      </c>
      <c r="JF151" s="479">
        <f>'Hodnocení '!JF147</f>
        <v>0</v>
      </c>
      <c r="JG151" s="479">
        <f>'Hodnocení '!JG147</f>
        <v>0</v>
      </c>
      <c r="JH151" s="780">
        <f>'Hodnocení '!JH147</f>
        <v>0</v>
      </c>
      <c r="JI151" s="470">
        <f>'Hodnocení '!JI147</f>
        <v>-1890650.7584394901</v>
      </c>
    </row>
    <row r="152" spans="1:276" x14ac:dyDescent="0.25">
      <c r="A152" s="565"/>
      <c r="B152" s="752" t="s">
        <v>2635</v>
      </c>
      <c r="C152" s="813">
        <f>'Hodnocení '!C148</f>
        <v>8884422.5558247231</v>
      </c>
      <c r="D152" s="720">
        <f>'Hodnocení '!D148</f>
        <v>7730000</v>
      </c>
      <c r="E152" s="720">
        <f>'Hodnocení '!E148</f>
        <v>8299184.4088107003</v>
      </c>
      <c r="F152" s="720">
        <f>'Hodnocení '!F148</f>
        <v>3616884.7088353573</v>
      </c>
      <c r="G152" s="720">
        <f>'Hodnocení '!G148</f>
        <v>10328003.127290595</v>
      </c>
      <c r="H152" s="720">
        <f>'Hodnocení '!H148</f>
        <v>0</v>
      </c>
      <c r="I152" s="720">
        <f>'Hodnocení '!I148</f>
        <v>0</v>
      </c>
      <c r="J152" s="720">
        <f>'Hodnocení '!J148</f>
        <v>0</v>
      </c>
      <c r="K152" s="720">
        <f>'Hodnocení '!K148</f>
        <v>5988080</v>
      </c>
      <c r="L152" s="720">
        <f>'Hodnocení '!L148</f>
        <v>3774970</v>
      </c>
      <c r="M152" s="720">
        <f>'Hodnocení '!M148</f>
        <v>3667775.238895766</v>
      </c>
      <c r="N152" s="720">
        <f>'Hodnocení '!N148</f>
        <v>5360828.6030266704</v>
      </c>
      <c r="O152" s="720">
        <f>'Hodnocení '!O148</f>
        <v>4306141</v>
      </c>
      <c r="P152" s="720">
        <f>'Hodnocení '!P148</f>
        <v>2453026.0021816893</v>
      </c>
      <c r="Q152" s="720">
        <f>'Hodnocení '!Q148</f>
        <v>1836488.4791010155</v>
      </c>
      <c r="R152" s="720">
        <f>'Hodnocení '!R148</f>
        <v>2030000</v>
      </c>
      <c r="S152" s="720">
        <f>'Hodnocení '!S148</f>
        <v>1637152.8</v>
      </c>
      <c r="T152" s="720">
        <f>'Hodnocení '!T148</f>
        <v>622773.51077815378</v>
      </c>
      <c r="U152" s="720">
        <f>'Hodnocení '!U148</f>
        <v>1087500</v>
      </c>
      <c r="V152" s="720">
        <f>'Hodnocení '!V148</f>
        <v>8493620</v>
      </c>
      <c r="W152" s="720">
        <f>'Hodnocení '!W148</f>
        <v>2130000</v>
      </c>
      <c r="X152" s="720">
        <f>'Hodnocení '!X148</f>
        <v>2304335.8095085779</v>
      </c>
      <c r="Y152" s="720">
        <f>'Hodnocení '!Y148</f>
        <v>1770700</v>
      </c>
      <c r="Z152" s="720">
        <f>'Hodnocení '!Z148</f>
        <v>7231924</v>
      </c>
      <c r="AA152" s="720">
        <f>'Hodnocení '!AA148</f>
        <v>4244705.4490248738</v>
      </c>
      <c r="AB152" s="720">
        <f>'Hodnocení '!AB148</f>
        <v>3678130.7057224135</v>
      </c>
      <c r="AC152" s="720">
        <f>'Hodnocení '!AC148</f>
        <v>640000.31194833247</v>
      </c>
      <c r="AD152" s="720">
        <f>'Hodnocení '!AD148</f>
        <v>2590229.1206235653</v>
      </c>
      <c r="AE152" s="720">
        <f>'Hodnocení '!AE148</f>
        <v>103737.52589894389</v>
      </c>
      <c r="AF152" s="720">
        <f>'Hodnocení '!AF148</f>
        <v>1219244.9295379582</v>
      </c>
      <c r="AG152" s="720">
        <f>'Hodnocení '!AG148</f>
        <v>3450812.7548698969</v>
      </c>
      <c r="AH152" s="720">
        <f>'Hodnocení '!AH148</f>
        <v>760000</v>
      </c>
      <c r="AI152" s="720">
        <f>'Hodnocení '!AI148</f>
        <v>3404000</v>
      </c>
      <c r="AJ152" s="720">
        <f>'Hodnocení '!AJ148</f>
        <v>2585000</v>
      </c>
      <c r="AK152" s="720">
        <f>'Hodnocení '!AK148</f>
        <v>1251400</v>
      </c>
      <c r="AL152" s="720">
        <f>'Hodnocení '!AL148</f>
        <v>1952909.1633510776</v>
      </c>
      <c r="AM152" s="720">
        <f>'Hodnocení '!AM148</f>
        <v>1499708.3726341231</v>
      </c>
      <c r="AN152" s="720">
        <f>'Hodnocení '!AN148</f>
        <v>1148955.198498779</v>
      </c>
      <c r="AO152" s="720">
        <f>'Hodnocení '!AO148</f>
        <v>4883755.5596356187</v>
      </c>
      <c r="AP152" s="720">
        <f>'Hodnocení '!AP148</f>
        <v>2124765.1162296012</v>
      </c>
      <c r="AQ152" s="720">
        <f>'Hodnocení '!AQ148</f>
        <v>491000</v>
      </c>
      <c r="AR152" s="720">
        <f>'Hodnocení '!AR148</f>
        <v>1531740.3992508459</v>
      </c>
      <c r="AS152" s="720">
        <f>'Hodnocení '!AS148</f>
        <v>495253.22022333386</v>
      </c>
      <c r="AT152" s="720">
        <f>'Hodnocení '!AT148</f>
        <v>2498113.4323683418</v>
      </c>
      <c r="AU152" s="720">
        <f>'Hodnocení '!AU148</f>
        <v>992216.93946642126</v>
      </c>
      <c r="AV152" s="720">
        <f>'Hodnocení '!AV148</f>
        <v>2003660.6772952261</v>
      </c>
      <c r="AW152" s="720">
        <f>'Hodnocení '!AW148</f>
        <v>0</v>
      </c>
      <c r="AX152" s="720">
        <f>'Hodnocení '!AX148</f>
        <v>3240135.311080751</v>
      </c>
      <c r="AY152" s="720">
        <f>'Hodnocení '!AY148</f>
        <v>3300190.5406568907</v>
      </c>
      <c r="AZ152" s="720">
        <f>'Hodnocení '!AZ148</f>
        <v>2981000</v>
      </c>
      <c r="BA152" s="720">
        <f>'Hodnocení '!BA148</f>
        <v>9230000</v>
      </c>
      <c r="BB152" s="720">
        <f>'Hodnocení '!BB148</f>
        <v>1312920</v>
      </c>
      <c r="BC152" s="720">
        <f>'Hodnocení '!BC148</f>
        <v>1223742.4938025323</v>
      </c>
      <c r="BD152" s="720">
        <f>'Hodnocení '!BD148</f>
        <v>1916258.3325785431</v>
      </c>
      <c r="BE152" s="720">
        <f>'Hodnocení '!BE148</f>
        <v>0</v>
      </c>
      <c r="BF152" s="720">
        <f>'Hodnocení '!BF148</f>
        <v>2020000</v>
      </c>
      <c r="BG152" s="720">
        <f>'Hodnocení '!BG148</f>
        <v>2499000</v>
      </c>
      <c r="BH152" s="720">
        <f>'Hodnocení '!BH148</f>
        <v>3075109.2415605099</v>
      </c>
      <c r="BI152" s="720">
        <f>'Hodnocení '!BI148</f>
        <v>1270000</v>
      </c>
      <c r="BJ152" s="720">
        <f>'Hodnocení '!BJ148</f>
        <v>2734458.8535647267</v>
      </c>
      <c r="BK152" s="720">
        <f>'Hodnocení '!BK148</f>
        <v>100000</v>
      </c>
      <c r="BL152" s="720">
        <f>'Hodnocení '!BL148</f>
        <v>455138.49500087276</v>
      </c>
      <c r="BM152" s="720">
        <f>'Hodnocení '!BM148</f>
        <v>1464826</v>
      </c>
      <c r="BN152" s="720">
        <f>'Hodnocení '!BN148</f>
        <v>1641101.9931537434</v>
      </c>
      <c r="BO152" s="720">
        <f>'Hodnocení '!BO148</f>
        <v>1025279.6524752458</v>
      </c>
      <c r="BP152" s="720">
        <f>'Hodnocení '!BP148</f>
        <v>4652080</v>
      </c>
      <c r="BQ152" s="720">
        <f>'Hodnocení '!BQ148</f>
        <v>0</v>
      </c>
      <c r="BR152" s="720">
        <f>'Hodnocení '!BR148</f>
        <v>1013021</v>
      </c>
      <c r="BS152" s="720">
        <f>'Hodnocení '!BS148</f>
        <v>1300282.2989678741</v>
      </c>
      <c r="BT152" s="720">
        <f>'Hodnocení '!BT148</f>
        <v>914160.26616723067</v>
      </c>
      <c r="BU152" s="720">
        <f>'Hodnocení '!BU148</f>
        <v>3939338</v>
      </c>
      <c r="BV152" s="720">
        <f>'Hodnocení '!BV148</f>
        <v>1177908.0353182531</v>
      </c>
      <c r="BW152" s="720">
        <f>'Hodnocení '!BW148</f>
        <v>532683</v>
      </c>
      <c r="BX152" s="720">
        <f>'Hodnocení '!BX148</f>
        <v>5208889.1910633538</v>
      </c>
      <c r="BY152" s="720">
        <f>'Hodnocení '!BY148</f>
        <v>1520144</v>
      </c>
      <c r="BZ152" s="720">
        <f>'Hodnocení '!BZ148</f>
        <v>324150</v>
      </c>
      <c r="CA152" s="720">
        <f>'Hodnocení '!CA148</f>
        <v>0</v>
      </c>
      <c r="CB152" s="720">
        <f>'Hodnocení '!CB148</f>
        <v>571519.10142146726</v>
      </c>
      <c r="CC152" s="720">
        <f>'Hodnocení '!CC148</f>
        <v>2238055.6625416637</v>
      </c>
      <c r="CD152" s="720">
        <f>'Hodnocení '!CD148</f>
        <v>637848.21685573971</v>
      </c>
      <c r="CE152" s="720">
        <f>'Hodnocení '!CE148</f>
        <v>9715050.1253167707</v>
      </c>
      <c r="CF152" s="720">
        <f>'Hodnocení '!CF148</f>
        <v>4453617.8393289512</v>
      </c>
      <c r="CG152" s="720">
        <f>'Hodnocení '!CG148</f>
        <v>257159.49607044645</v>
      </c>
      <c r="CH152" s="720">
        <f>'Hodnocení '!CH148</f>
        <v>0</v>
      </c>
      <c r="CI152" s="720">
        <f>'Hodnocení '!CI148</f>
        <v>0</v>
      </c>
      <c r="CJ152" s="720">
        <f>'Hodnocení '!CJ148</f>
        <v>3854195.0818283353</v>
      </c>
      <c r="CK152" s="720">
        <f>'Hodnocení '!CK148</f>
        <v>4466000</v>
      </c>
      <c r="CL152" s="720">
        <f>'Hodnocení '!CL148</f>
        <v>0</v>
      </c>
      <c r="CM152" s="720">
        <f>'Hodnocení '!CM148</f>
        <v>6012336.4399863137</v>
      </c>
      <c r="CN152" s="720">
        <f>'Hodnocení '!CN148</f>
        <v>1342009.9127194914</v>
      </c>
      <c r="CO152" s="720">
        <f>'Hodnocení '!CO148</f>
        <v>1214500</v>
      </c>
      <c r="CP152" s="720">
        <f>'Hodnocení '!CP148</f>
        <v>1268807.7168003041</v>
      </c>
      <c r="CQ152" s="720">
        <f>'Hodnocení '!CQ148</f>
        <v>5515036.573718125</v>
      </c>
      <c r="CR152" s="720">
        <f>'Hodnocení '!CR148</f>
        <v>2331094</v>
      </c>
      <c r="CS152" s="720">
        <f>'Hodnocení '!CS148</f>
        <v>0</v>
      </c>
      <c r="CT152" s="720">
        <f>'Hodnocení '!CT148</f>
        <v>0</v>
      </c>
      <c r="CU152" s="720">
        <f>'Hodnocení '!CU148</f>
        <v>1875000</v>
      </c>
      <c r="CV152" s="720">
        <f>'Hodnocení '!CV148</f>
        <v>5644990.9859210327</v>
      </c>
      <c r="CW152" s="720">
        <f>'Hodnocení '!CW148</f>
        <v>400000</v>
      </c>
      <c r="CX152" s="720">
        <f>'Hodnocení '!CX148</f>
        <v>3457000</v>
      </c>
      <c r="CY152" s="720">
        <f>'Hodnocení '!CY148</f>
        <v>2881083.2839012085</v>
      </c>
      <c r="CZ152" s="720">
        <f>'Hodnocení '!CZ148</f>
        <v>371000</v>
      </c>
      <c r="DA152" s="720">
        <f>'Hodnocení '!DA148</f>
        <v>7650000</v>
      </c>
      <c r="DB152" s="720">
        <f>'Hodnocení '!DB148</f>
        <v>760808</v>
      </c>
      <c r="DC152" s="720">
        <f>'Hodnocení '!DC148</f>
        <v>1952214.4635382525</v>
      </c>
      <c r="DD152" s="720">
        <f>'Hodnocení '!DD148</f>
        <v>0</v>
      </c>
      <c r="DE152" s="720">
        <f>'Hodnocení '!DE148</f>
        <v>1595404.8713862468</v>
      </c>
      <c r="DF152" s="720">
        <f>'Hodnocení '!DF148</f>
        <v>4660760</v>
      </c>
      <c r="DG152" s="720">
        <f>'Hodnocení '!DG148</f>
        <v>802938.16515118408</v>
      </c>
      <c r="DH152" s="720">
        <f>'Hodnocení '!DH148</f>
        <v>908244.44020215096</v>
      </c>
      <c r="DI152" s="720">
        <f>'Hodnocení '!DI148</f>
        <v>0</v>
      </c>
      <c r="DJ152" s="720">
        <f>'Hodnocení '!DJ148</f>
        <v>0</v>
      </c>
      <c r="DK152" s="720">
        <f>'Hodnocení '!DK148</f>
        <v>0</v>
      </c>
      <c r="DL152" s="720">
        <f>'Hodnocení '!DL148</f>
        <v>4094296.2218004535</v>
      </c>
      <c r="DM152" s="720">
        <f>'Hodnocení '!DM148</f>
        <v>1905503.0838138557</v>
      </c>
      <c r="DN152" s="720">
        <f>'Hodnocení '!DN148</f>
        <v>3604667</v>
      </c>
      <c r="DO152" s="720">
        <f>'Hodnocení '!DO148</f>
        <v>1402300.3922101089</v>
      </c>
      <c r="DP152" s="720">
        <f>'Hodnocení '!DP148</f>
        <v>4045363.78</v>
      </c>
      <c r="DQ152" s="720">
        <f>'Hodnocení '!DQ148</f>
        <v>3939645</v>
      </c>
      <c r="DR152" s="720">
        <f>'Hodnocení '!DR148</f>
        <v>4423025</v>
      </c>
      <c r="DS152" s="720">
        <f>'Hodnocení '!DS148</f>
        <v>878000</v>
      </c>
      <c r="DT152" s="720">
        <f>'Hodnocení '!DT148</f>
        <v>3015000</v>
      </c>
      <c r="DU152" s="720">
        <f>'Hodnocení '!DU148</f>
        <v>0</v>
      </c>
      <c r="DV152" s="720">
        <f>'Hodnocení '!DV148</f>
        <v>4423333</v>
      </c>
      <c r="DW152" s="720">
        <f>'Hodnocení '!DW148</f>
        <v>0</v>
      </c>
      <c r="DX152" s="720">
        <f>'Hodnocení '!DX148</f>
        <v>0</v>
      </c>
      <c r="DY152" s="720">
        <f>'Hodnocení '!DY148</f>
        <v>4581142.7504826486</v>
      </c>
      <c r="DZ152" s="720">
        <f>'Hodnocení '!DZ148</f>
        <v>723925.6888148766</v>
      </c>
      <c r="EA152" s="720">
        <f>'Hodnocení '!EA148</f>
        <v>3910500</v>
      </c>
      <c r="EB152" s="720">
        <f>'Hodnocení '!EB148</f>
        <v>4071612.8583436497</v>
      </c>
      <c r="EC152" s="720">
        <f>'Hodnocení '!EC148</f>
        <v>3507637.7512384658</v>
      </c>
      <c r="ED152" s="720">
        <f>'Hodnocení '!ED148</f>
        <v>3789855.4215401057</v>
      </c>
      <c r="EE152" s="720">
        <f>'Hodnocení '!EE148</f>
        <v>610000</v>
      </c>
      <c r="EF152" s="720">
        <f>'Hodnocení '!EF148</f>
        <v>666000</v>
      </c>
      <c r="EG152" s="720">
        <f>'Hodnocení '!EG148</f>
        <v>425000</v>
      </c>
      <c r="EH152" s="720">
        <f>'Hodnocení '!EH148</f>
        <v>595000</v>
      </c>
      <c r="EI152" s="720">
        <f>'Hodnocení '!EI148</f>
        <v>1025000</v>
      </c>
      <c r="EJ152" s="720">
        <f>'Hodnocení '!EJ148</f>
        <v>0</v>
      </c>
      <c r="EK152" s="720">
        <f>'Hodnocení '!EK148</f>
        <v>3932042</v>
      </c>
      <c r="EL152" s="720">
        <f>'Hodnocení '!EL148</f>
        <v>8896075.9201217424</v>
      </c>
      <c r="EM152" s="720">
        <f>'Hodnocení '!EM148</f>
        <v>2765690.3194428757</v>
      </c>
      <c r="EN152" s="720">
        <f>'Hodnocení '!EN148</f>
        <v>2526602</v>
      </c>
      <c r="EO152" s="720">
        <f>'Hodnocení '!EO148</f>
        <v>326536.14681555587</v>
      </c>
      <c r="EP152" s="720">
        <f>'Hodnocení '!EP148</f>
        <v>2970065</v>
      </c>
      <c r="EQ152" s="720">
        <f>'Hodnocení '!EQ148</f>
        <v>2268152.5044244276</v>
      </c>
      <c r="ER152" s="720">
        <f>'Hodnocení '!ER148</f>
        <v>6229000</v>
      </c>
      <c r="ES152" s="720">
        <f>'Hodnocení '!ES148</f>
        <v>2889369.4473401564</v>
      </c>
      <c r="ET152" s="720">
        <f>'Hodnocení '!ET148</f>
        <v>901340</v>
      </c>
      <c r="EU152" s="720">
        <f>'Hodnocení '!EU148</f>
        <v>2056000</v>
      </c>
      <c r="EV152" s="720">
        <f>'Hodnocení '!EV148</f>
        <v>443085.98782481399</v>
      </c>
      <c r="EW152" s="720">
        <f>'Hodnocení '!EW148</f>
        <v>2505057.7705038232</v>
      </c>
      <c r="EX152" s="720">
        <f>'Hodnocení '!EX148</f>
        <v>5574308.9853405347</v>
      </c>
      <c r="EY152" s="720">
        <f>'Hodnocení '!EY148</f>
        <v>2059165.8751551495</v>
      </c>
      <c r="EZ152" s="720">
        <f>'Hodnocení '!EZ148</f>
        <v>0</v>
      </c>
      <c r="FA152" s="720">
        <f>'Hodnocení '!FA148</f>
        <v>990000</v>
      </c>
      <c r="FB152" s="720">
        <f>'Hodnocení '!FB148</f>
        <v>177814.53304874955</v>
      </c>
      <c r="FC152" s="720">
        <f>'Hodnocení '!FC148</f>
        <v>3042203.9813623684</v>
      </c>
      <c r="FD152" s="720">
        <f>'Hodnocení '!FD148</f>
        <v>0</v>
      </c>
      <c r="FE152" s="720">
        <f>'Hodnocení '!FE148</f>
        <v>343252.91334718862</v>
      </c>
      <c r="FF152" s="720">
        <f>'Hodnocení '!FF148</f>
        <v>1441591.96</v>
      </c>
      <c r="FG152" s="720">
        <f>'Hodnocení '!FG148</f>
        <v>5703200</v>
      </c>
      <c r="FH152" s="720">
        <f>'Hodnocení '!FH148</f>
        <v>5790606.0491879787</v>
      </c>
      <c r="FI152" s="720">
        <f>'Hodnocení '!FI148</f>
        <v>7582387.4650456514</v>
      </c>
      <c r="FJ152" s="720">
        <f>'Hodnocení '!FJ148</f>
        <v>1854520.9697589942</v>
      </c>
      <c r="FK152" s="720">
        <f>'Hodnocení '!FK148</f>
        <v>117156.2027371416</v>
      </c>
      <c r="FL152" s="720">
        <f>'Hodnocení '!FL148</f>
        <v>289530.78772289003</v>
      </c>
      <c r="FM152" s="720">
        <f>'Hodnocení '!FM148</f>
        <v>943015.1290333569</v>
      </c>
      <c r="FN152" s="720">
        <f>'Hodnocení '!FN148</f>
        <v>7003025.5498415343</v>
      </c>
      <c r="FO152" s="720">
        <f>'Hodnocení '!FO148</f>
        <v>1654621.1373999999</v>
      </c>
      <c r="FP152" s="720">
        <f>'Hodnocení '!FP148</f>
        <v>12351204.308851836</v>
      </c>
      <c r="FQ152" s="720">
        <f>'Hodnocení '!FQ148</f>
        <v>1972278.2238</v>
      </c>
      <c r="FR152" s="720">
        <f>'Hodnocení '!FR148</f>
        <v>0</v>
      </c>
      <c r="FS152" s="720">
        <f>'Hodnocení '!FS148</f>
        <v>464007.95</v>
      </c>
      <c r="FT152" s="720">
        <f>'Hodnocení '!FT148</f>
        <v>3255891.8040901599</v>
      </c>
      <c r="FU152" s="720">
        <f>'Hodnocení '!FU148</f>
        <v>465828.80444292724</v>
      </c>
      <c r="FV152" s="720">
        <f>'Hodnocení '!FV148</f>
        <v>559247.1692367394</v>
      </c>
      <c r="FW152" s="720">
        <f>'Hodnocení '!FW148</f>
        <v>937680.03042577044</v>
      </c>
      <c r="FX152" s="720">
        <f>'Hodnocení '!FX148</f>
        <v>384533.50336206751</v>
      </c>
      <c r="FY152" s="720">
        <f>'Hodnocení '!FY148</f>
        <v>200000</v>
      </c>
      <c r="FZ152" s="720">
        <f>'Hodnocení '!FZ148</f>
        <v>2571154.0852688877</v>
      </c>
      <c r="GA152" s="720">
        <f>'Hodnocení '!GA148</f>
        <v>235086.12772381899</v>
      </c>
      <c r="GB152" s="720">
        <f>'Hodnocení '!GB148</f>
        <v>2245960.1198871755</v>
      </c>
      <c r="GC152" s="720">
        <f>'Hodnocení '!GC148</f>
        <v>2171084.1398516875</v>
      </c>
      <c r="GD152" s="720">
        <f>'Hodnocení '!GD148</f>
        <v>7928941.2458636481</v>
      </c>
      <c r="GE152" s="720">
        <f>'Hodnocení '!GE148</f>
        <v>0</v>
      </c>
      <c r="GF152" s="720">
        <f>'Hodnocení '!GF148</f>
        <v>3881575.8495693267</v>
      </c>
      <c r="GG152" s="720">
        <f>'Hodnocení '!GG148</f>
        <v>1157418.4633801784</v>
      </c>
      <c r="GH152" s="720">
        <f>'Hodnocení '!GH148</f>
        <v>1054717</v>
      </c>
      <c r="GI152" s="720">
        <f>'Hodnocení '!GI148</f>
        <v>7754404.1747833164</v>
      </c>
      <c r="GJ152" s="720">
        <f>'Hodnocení '!GJ148</f>
        <v>1839200.3392906617</v>
      </c>
      <c r="GK152" s="563">
        <f>'Hodnocení '!GK148</f>
        <v>600000</v>
      </c>
      <c r="GL152" s="720">
        <f>'Hodnocení '!GL148</f>
        <v>469954.02825609827</v>
      </c>
      <c r="GM152" s="720">
        <f>'Hodnocení '!GM148</f>
        <v>692537.52275552833</v>
      </c>
      <c r="GN152" s="720">
        <f>'Hodnocení '!GN148</f>
        <v>788769.06011215365</v>
      </c>
      <c r="GO152" s="720">
        <f>'Hodnocení '!GO148</f>
        <v>4468795.486137961</v>
      </c>
      <c r="GP152" s="720">
        <f>'Hodnocení '!GP148</f>
        <v>484458.62365770375</v>
      </c>
      <c r="GQ152" s="720">
        <f>'Hodnocení '!GQ148</f>
        <v>309592.78871686111</v>
      </c>
      <c r="GR152" s="720">
        <f>'Hodnocení '!GR148</f>
        <v>610000</v>
      </c>
      <c r="GS152" s="720">
        <f>'Hodnocení '!GS148</f>
        <v>0</v>
      </c>
      <c r="GT152" s="720">
        <f>'Hodnocení '!GT148</f>
        <v>8684791.9089435674</v>
      </c>
      <c r="GU152" s="720">
        <f>'Hodnocení '!GU148</f>
        <v>807440</v>
      </c>
      <c r="GV152" s="720">
        <f>'Hodnocení '!GV148</f>
        <v>5000000</v>
      </c>
      <c r="GW152" s="720">
        <f>'Hodnocení '!GW148</f>
        <v>941724.88907427166</v>
      </c>
      <c r="GX152" s="720">
        <f>'Hodnocení '!GX148</f>
        <v>150000</v>
      </c>
      <c r="GY152" s="720">
        <f>'Hodnocení '!GY148</f>
        <v>11169700.678891907</v>
      </c>
      <c r="GZ152" s="720">
        <f>'Hodnocení '!GZ148</f>
        <v>0</v>
      </c>
      <c r="HA152" s="720">
        <f>'Hodnocení '!HA148</f>
        <v>5200000</v>
      </c>
      <c r="HB152" s="720">
        <f>'Hodnocení '!HB148</f>
        <v>2241824.8575916188</v>
      </c>
      <c r="HC152" s="720">
        <f>'Hodnocení '!HC148</f>
        <v>5534657.4581430918</v>
      </c>
      <c r="HD152" s="720">
        <f>'Hodnocení '!HD148</f>
        <v>1908552.7255373849</v>
      </c>
      <c r="HE152" s="720">
        <f>'Hodnocení '!HE148</f>
        <v>4945200</v>
      </c>
      <c r="HF152" s="720">
        <f>'Hodnocení '!HF148</f>
        <v>780918.93476073246</v>
      </c>
      <c r="HG152" s="720">
        <f>'Hodnocení '!HG148</f>
        <v>483764.13760522264</v>
      </c>
      <c r="HH152" s="720">
        <f>'Hodnocení '!HH148</f>
        <v>1870575.3205709462</v>
      </c>
      <c r="HI152" s="720">
        <f>'Hodnocení '!HI148</f>
        <v>1243943.1770259617</v>
      </c>
      <c r="HJ152" s="720">
        <f>'Hodnocení '!HJ148</f>
        <v>0</v>
      </c>
      <c r="HK152" s="720">
        <f>'Hodnocení '!HK148</f>
        <v>0</v>
      </c>
      <c r="HL152" s="720">
        <f>'Hodnocení '!HL148</f>
        <v>25331486.682283964</v>
      </c>
      <c r="HM152" s="720">
        <f>'Hodnocení '!HM148</f>
        <v>18062108.226576902</v>
      </c>
      <c r="HN152" s="720">
        <f>'Hodnocení '!HN148</f>
        <v>0</v>
      </c>
      <c r="HO152" s="720">
        <f>'Hodnocení '!HO148</f>
        <v>0</v>
      </c>
      <c r="HP152" s="720">
        <f>'Hodnocení '!HP148</f>
        <v>19303218</v>
      </c>
      <c r="HQ152" s="720">
        <f>'Hodnocení '!HQ148</f>
        <v>687360.32396511442</v>
      </c>
      <c r="HR152" s="720">
        <f>'Hodnocení '!HR148</f>
        <v>24026005.044292737</v>
      </c>
      <c r="HS152" s="720">
        <f>'Hodnocení '!HS148</f>
        <v>4430596.6317421505</v>
      </c>
      <c r="HT152" s="720">
        <f>'Hodnocení '!HT148</f>
        <v>15937684.999999998</v>
      </c>
      <c r="HU152" s="720">
        <f>'Hodnocení '!HU148</f>
        <v>15474994</v>
      </c>
      <c r="HV152" s="720">
        <f>'Hodnocení '!HV148</f>
        <v>12916127</v>
      </c>
      <c r="HW152" s="720">
        <f>'Hodnocení '!HW148</f>
        <v>3337992.5558626438</v>
      </c>
      <c r="HX152" s="720">
        <f>'Hodnocení '!HX148</f>
        <v>13208117.444137355</v>
      </c>
      <c r="HY152" s="720">
        <f>'Hodnocení '!HY148</f>
        <v>14405761.999999998</v>
      </c>
      <c r="HZ152" s="720">
        <f>'Hodnocení '!HZ148</f>
        <v>6797941</v>
      </c>
      <c r="IA152" s="720">
        <f>'Hodnocení '!IA148</f>
        <v>6429487</v>
      </c>
      <c r="IB152" s="720">
        <f>'Hodnocení '!IB148</f>
        <v>6265181.0000000009</v>
      </c>
      <c r="IC152" s="720">
        <f>'Hodnocení '!IC148</f>
        <v>7418223.3670759555</v>
      </c>
      <c r="ID152" s="720">
        <f>'Hodnocení '!ID148</f>
        <v>6685282.6329240454</v>
      </c>
      <c r="IE152" s="720">
        <f>'Hodnocení '!IE148</f>
        <v>13033892</v>
      </c>
      <c r="IF152" s="720">
        <f>'Hodnocení '!IF148</f>
        <v>12847830.639815958</v>
      </c>
      <c r="IG152" s="720">
        <f>'Hodnocení '!IG148</f>
        <v>3089236.3601840409</v>
      </c>
      <c r="IH152" s="720">
        <f>'Hodnocení '!IH148</f>
        <v>1754306.5582447783</v>
      </c>
      <c r="II152" s="720">
        <f>'Hodnocení '!II148</f>
        <v>15058472.804034036</v>
      </c>
      <c r="IJ152" s="720">
        <f>'Hodnocení '!IJ148</f>
        <v>1090184.5555434485</v>
      </c>
      <c r="IK152" s="720">
        <f>'Hodnocení '!IK148</f>
        <v>150000</v>
      </c>
      <c r="IL152" s="720">
        <f>'Hodnocení '!IL148</f>
        <v>7291656</v>
      </c>
      <c r="IM152" s="720">
        <f>'Hodnocení '!IM148</f>
        <v>530838.89887640509</v>
      </c>
      <c r="IN152" s="720">
        <f>'Hodnocení '!IN148</f>
        <v>6956997.809082007</v>
      </c>
      <c r="IO152" s="720">
        <f>'Hodnocení '!IO148</f>
        <v>2174446.2920415876</v>
      </c>
      <c r="IP152" s="720">
        <f>'Hodnocení '!IP148</f>
        <v>15916866.999999998</v>
      </c>
      <c r="IQ152" s="720">
        <f>'Hodnocení '!IQ148</f>
        <v>15354811.354535684</v>
      </c>
      <c r="IR152" s="720">
        <f>'Hodnocení '!IR148</f>
        <v>661217.64546431496</v>
      </c>
      <c r="IS152" s="720">
        <f>'Hodnocení '!IS148</f>
        <v>38158144.757048547</v>
      </c>
      <c r="IT152" s="720">
        <f>'Hodnocení '!IT148</f>
        <v>8363389.2429514462</v>
      </c>
      <c r="IU152" s="720">
        <f>'Hodnocení '!IU148</f>
        <v>2009011.8972780025</v>
      </c>
      <c r="IV152" s="720">
        <f>'Hodnocení '!IV148</f>
        <v>5685103.8423596416</v>
      </c>
      <c r="IW152" s="720">
        <f>'Hodnocení '!IW148</f>
        <v>11119516.084632741</v>
      </c>
      <c r="IX152" s="720">
        <f>'Hodnocení '!IX148</f>
        <v>1125734.1757296147</v>
      </c>
      <c r="IY152" s="720">
        <f>'Hodnocení '!IY148</f>
        <v>3266101.4628047682</v>
      </c>
      <c r="IZ152" s="720">
        <f>'Hodnocení '!IZ148</f>
        <v>15681490.537195232</v>
      </c>
      <c r="JA152" s="720">
        <f>'Hodnocení '!JA148</f>
        <v>2298510</v>
      </c>
      <c r="JB152" s="720">
        <f>'Hodnocení '!JB148</f>
        <v>2067000</v>
      </c>
      <c r="JC152" s="720">
        <f>'Hodnocení '!JC148</f>
        <v>1625000</v>
      </c>
      <c r="JD152" s="720">
        <f>'Hodnocení '!JD148</f>
        <v>3000000</v>
      </c>
      <c r="JE152" s="720">
        <f>'Hodnocení '!JE148</f>
        <v>453694.24606177595</v>
      </c>
      <c r="JF152" s="720">
        <f>'Hodnocení '!JF148</f>
        <v>25223010.75393822</v>
      </c>
      <c r="JG152" s="720">
        <f>'Hodnocení '!JG148</f>
        <v>22851614.595014382</v>
      </c>
      <c r="JH152" s="814">
        <f>'Hodnocení '!JH148</f>
        <v>868740</v>
      </c>
      <c r="JI152" s="767">
        <f>'Hodnocení '!JI148</f>
        <v>964165669.14591622</v>
      </c>
      <c r="JL152" s="307"/>
      <c r="JM152" s="307"/>
      <c r="JN152" s="307"/>
      <c r="JO152" s="307"/>
      <c r="JP152" s="307"/>
    </row>
    <row r="153" spans="1:276" s="307" customFormat="1" hidden="1" x14ac:dyDescent="0.25">
      <c r="A153" s="314"/>
      <c r="B153" s="743" t="s">
        <v>2537</v>
      </c>
      <c r="C153" s="779">
        <f>'Hodnocení '!C149</f>
        <v>0</v>
      </c>
      <c r="D153" s="479">
        <f>'Hodnocení '!D149</f>
        <v>0</v>
      </c>
      <c r="E153" s="479">
        <f>'Hodnocení '!E149</f>
        <v>0</v>
      </c>
      <c r="F153" s="479">
        <f>'Hodnocení '!F149</f>
        <v>0</v>
      </c>
      <c r="G153" s="479">
        <f>'Hodnocení '!G149</f>
        <v>0</v>
      </c>
      <c r="H153" s="479">
        <f>'Hodnocení '!H149</f>
        <v>1</v>
      </c>
      <c r="I153" s="479">
        <f>'Hodnocení '!I149</f>
        <v>1</v>
      </c>
      <c r="J153" s="479">
        <f>'Hodnocení '!J149</f>
        <v>1</v>
      </c>
      <c r="K153" s="479">
        <f>'Hodnocení '!K149</f>
        <v>0</v>
      </c>
      <c r="L153" s="479">
        <f>'Hodnocení '!L149</f>
        <v>0</v>
      </c>
      <c r="M153" s="479">
        <f>'Hodnocení '!M149</f>
        <v>0</v>
      </c>
      <c r="N153" s="479">
        <f>'Hodnocení '!N149</f>
        <v>0</v>
      </c>
      <c r="O153" s="479">
        <f>'Hodnocení '!O149</f>
        <v>0</v>
      </c>
      <c r="P153" s="479">
        <f>'Hodnocení '!P149</f>
        <v>0</v>
      </c>
      <c r="Q153" s="479">
        <f>'Hodnocení '!Q149</f>
        <v>0</v>
      </c>
      <c r="R153" s="479">
        <f>'Hodnocení '!R149</f>
        <v>0</v>
      </c>
      <c r="S153" s="479">
        <f>'Hodnocení '!S149</f>
        <v>0</v>
      </c>
      <c r="T153" s="479">
        <f>'Hodnocení '!T149</f>
        <v>0</v>
      </c>
      <c r="U153" s="479">
        <f>'Hodnocení '!U149</f>
        <v>0</v>
      </c>
      <c r="V153" s="479">
        <f>'Hodnocení '!V149</f>
        <v>0</v>
      </c>
      <c r="W153" s="479">
        <f>'Hodnocení '!W149</f>
        <v>0</v>
      </c>
      <c r="X153" s="479">
        <f>'Hodnocení '!X149</f>
        <v>0</v>
      </c>
      <c r="Y153" s="479">
        <f>'Hodnocení '!Y149</f>
        <v>0</v>
      </c>
      <c r="Z153" s="479">
        <f>'Hodnocení '!Z149</f>
        <v>0</v>
      </c>
      <c r="AA153" s="479">
        <f>'Hodnocení '!AA149</f>
        <v>0</v>
      </c>
      <c r="AB153" s="479">
        <f>'Hodnocení '!AB149</f>
        <v>0</v>
      </c>
      <c r="AC153" s="479">
        <f>'Hodnocení '!AC149</f>
        <v>0</v>
      </c>
      <c r="AD153" s="479">
        <f>'Hodnocení '!AD149</f>
        <v>0</v>
      </c>
      <c r="AE153" s="479">
        <f>'Hodnocení '!AE149</f>
        <v>0</v>
      </c>
      <c r="AF153" s="479">
        <f>'Hodnocení '!AF149</f>
        <v>0</v>
      </c>
      <c r="AG153" s="479">
        <f>'Hodnocení '!AG149</f>
        <v>0</v>
      </c>
      <c r="AH153" s="479">
        <f>'Hodnocení '!AH149</f>
        <v>0</v>
      </c>
      <c r="AI153" s="479">
        <f>'Hodnocení '!AI149</f>
        <v>0</v>
      </c>
      <c r="AJ153" s="479">
        <f>'Hodnocení '!AJ149</f>
        <v>0</v>
      </c>
      <c r="AK153" s="479">
        <f>'Hodnocení '!AK149</f>
        <v>0</v>
      </c>
      <c r="AL153" s="479">
        <f>'Hodnocení '!AL149</f>
        <v>0</v>
      </c>
      <c r="AM153" s="479">
        <f>'Hodnocení '!AM149</f>
        <v>0</v>
      </c>
      <c r="AN153" s="479">
        <f>'Hodnocení '!AN149</f>
        <v>0</v>
      </c>
      <c r="AO153" s="479">
        <f>'Hodnocení '!AO149</f>
        <v>0</v>
      </c>
      <c r="AP153" s="479">
        <f>'Hodnocení '!AP149</f>
        <v>0</v>
      </c>
      <c r="AQ153" s="479">
        <f>'Hodnocení '!AQ149</f>
        <v>0</v>
      </c>
      <c r="AR153" s="479">
        <f>'Hodnocení '!AR149</f>
        <v>0</v>
      </c>
      <c r="AS153" s="479">
        <f>'Hodnocení '!AS149</f>
        <v>0</v>
      </c>
      <c r="AT153" s="479">
        <f>'Hodnocení '!AT149</f>
        <v>0</v>
      </c>
      <c r="AU153" s="479">
        <f>'Hodnocení '!AU149</f>
        <v>0</v>
      </c>
      <c r="AV153" s="479">
        <f>'Hodnocení '!AV149</f>
        <v>0</v>
      </c>
      <c r="AW153" s="479">
        <f>'Hodnocení '!AW149</f>
        <v>1</v>
      </c>
      <c r="AX153" s="479">
        <f>'Hodnocení '!AX149</f>
        <v>0</v>
      </c>
      <c r="AY153" s="479">
        <f>'Hodnocení '!AY149</f>
        <v>0</v>
      </c>
      <c r="AZ153" s="479">
        <f>'Hodnocení '!AZ149</f>
        <v>0</v>
      </c>
      <c r="BA153" s="479">
        <f>'Hodnocení '!BA149</f>
        <v>0</v>
      </c>
      <c r="BB153" s="479">
        <f>'Hodnocení '!BB149</f>
        <v>0</v>
      </c>
      <c r="BC153" s="479">
        <f>'Hodnocení '!BC149</f>
        <v>0</v>
      </c>
      <c r="BD153" s="479">
        <f>'Hodnocení '!BD149</f>
        <v>0</v>
      </c>
      <c r="BE153" s="479">
        <f>'Hodnocení '!BE149</f>
        <v>1</v>
      </c>
      <c r="BF153" s="479">
        <f>'Hodnocení '!BF149</f>
        <v>0</v>
      </c>
      <c r="BG153" s="479">
        <f>'Hodnocení '!BG149</f>
        <v>0</v>
      </c>
      <c r="BH153" s="479">
        <f>'Hodnocení '!BH149</f>
        <v>0</v>
      </c>
      <c r="BI153" s="479">
        <f>'Hodnocení '!BI149</f>
        <v>0</v>
      </c>
      <c r="BJ153" s="479">
        <f>'Hodnocení '!BJ149</f>
        <v>0</v>
      </c>
      <c r="BK153" s="479">
        <f>'Hodnocení '!BK149</f>
        <v>0</v>
      </c>
      <c r="BL153" s="479">
        <f>'Hodnocení '!BL149</f>
        <v>0</v>
      </c>
      <c r="BM153" s="479">
        <f>'Hodnocení '!BM149</f>
        <v>0</v>
      </c>
      <c r="BN153" s="479">
        <f>'Hodnocení '!BN149</f>
        <v>0</v>
      </c>
      <c r="BO153" s="479">
        <f>'Hodnocení '!BO149</f>
        <v>0</v>
      </c>
      <c r="BP153" s="479">
        <f>'Hodnocení '!BP149</f>
        <v>0</v>
      </c>
      <c r="BQ153" s="479">
        <f>'Hodnocení '!BQ149</f>
        <v>1</v>
      </c>
      <c r="BR153" s="479">
        <f>'Hodnocení '!BR149</f>
        <v>0</v>
      </c>
      <c r="BS153" s="479">
        <f>'Hodnocení '!BS149</f>
        <v>0</v>
      </c>
      <c r="BT153" s="479">
        <f>'Hodnocení '!BT149</f>
        <v>0</v>
      </c>
      <c r="BU153" s="479">
        <f>'Hodnocení '!BU149</f>
        <v>0</v>
      </c>
      <c r="BV153" s="479">
        <f>'Hodnocení '!BV149</f>
        <v>0</v>
      </c>
      <c r="BW153" s="479">
        <f>'Hodnocení '!BW149</f>
        <v>0</v>
      </c>
      <c r="BX153" s="479">
        <f>'Hodnocení '!BX149</f>
        <v>0</v>
      </c>
      <c r="BY153" s="479">
        <f>'Hodnocení '!BY149</f>
        <v>0</v>
      </c>
      <c r="BZ153" s="479">
        <f>'Hodnocení '!BZ149</f>
        <v>0</v>
      </c>
      <c r="CA153" s="479">
        <f>'Hodnocení '!CA149</f>
        <v>0</v>
      </c>
      <c r="CB153" s="479">
        <f>'Hodnocení '!CB149</f>
        <v>0</v>
      </c>
      <c r="CC153" s="479">
        <f>'Hodnocení '!CC149</f>
        <v>0</v>
      </c>
      <c r="CD153" s="479">
        <f>'Hodnocení '!CD149</f>
        <v>0</v>
      </c>
      <c r="CE153" s="479">
        <f>'Hodnocení '!CE149</f>
        <v>0</v>
      </c>
      <c r="CF153" s="479">
        <f>'Hodnocení '!CF149</f>
        <v>0</v>
      </c>
      <c r="CG153" s="479">
        <f>'Hodnocení '!CG149</f>
        <v>0</v>
      </c>
      <c r="CH153" s="479">
        <f>'Hodnocení '!CH149</f>
        <v>1</v>
      </c>
      <c r="CI153" s="479">
        <f>'Hodnocení '!CI149</f>
        <v>1</v>
      </c>
      <c r="CJ153" s="479">
        <f>'Hodnocení '!CJ149</f>
        <v>0</v>
      </c>
      <c r="CK153" s="479">
        <f>'Hodnocení '!CK149</f>
        <v>0</v>
      </c>
      <c r="CL153" s="695">
        <f>'Hodnocení '!CL149</f>
        <v>1</v>
      </c>
      <c r="CM153" s="479">
        <f>'Hodnocení '!CM149</f>
        <v>0</v>
      </c>
      <c r="CN153" s="479">
        <f>'Hodnocení '!CN149</f>
        <v>0</v>
      </c>
      <c r="CO153" s="479">
        <f>'Hodnocení '!CO149</f>
        <v>0</v>
      </c>
      <c r="CP153" s="479">
        <f>'Hodnocení '!CP149</f>
        <v>0</v>
      </c>
      <c r="CQ153" s="479">
        <f>'Hodnocení '!CQ149</f>
        <v>0</v>
      </c>
      <c r="CR153" s="479">
        <f>'Hodnocení '!CR149</f>
        <v>0</v>
      </c>
      <c r="CS153" s="479">
        <f>'Hodnocení '!CS149</f>
        <v>1</v>
      </c>
      <c r="CT153" s="479">
        <f>'Hodnocení '!CT149</f>
        <v>1</v>
      </c>
      <c r="CU153" s="479">
        <f>'Hodnocení '!CU149</f>
        <v>0</v>
      </c>
      <c r="CV153" s="479">
        <f>'Hodnocení '!CV149</f>
        <v>0</v>
      </c>
      <c r="CW153" s="479">
        <f>'Hodnocení '!CW149</f>
        <v>0</v>
      </c>
      <c r="CX153" s="479">
        <f>'Hodnocení '!CX149</f>
        <v>0</v>
      </c>
      <c r="CY153" s="479">
        <f>'Hodnocení '!CY149</f>
        <v>0</v>
      </c>
      <c r="CZ153" s="479">
        <f>'Hodnocení '!CZ149</f>
        <v>0</v>
      </c>
      <c r="DA153" s="479">
        <f>'Hodnocení '!DA149</f>
        <v>0</v>
      </c>
      <c r="DB153" s="479">
        <f>'Hodnocení '!DB149</f>
        <v>0</v>
      </c>
      <c r="DC153" s="479">
        <f>'Hodnocení '!DC149</f>
        <v>0</v>
      </c>
      <c r="DD153" s="479">
        <f>'Hodnocení '!DD149</f>
        <v>1</v>
      </c>
      <c r="DE153" s="479">
        <f>'Hodnocení '!DE149</f>
        <v>0</v>
      </c>
      <c r="DF153" s="479">
        <f>'Hodnocení '!DF149</f>
        <v>0</v>
      </c>
      <c r="DG153" s="479">
        <f>'Hodnocení '!DG149</f>
        <v>0</v>
      </c>
      <c r="DH153" s="479">
        <f>'Hodnocení '!DH149</f>
        <v>2</v>
      </c>
      <c r="DI153" s="479">
        <f>'Hodnocení '!DI149</f>
        <v>1</v>
      </c>
      <c r="DJ153" s="479">
        <f>'Hodnocení '!DJ149</f>
        <v>1</v>
      </c>
      <c r="DK153" s="479">
        <f>'Hodnocení '!DK149</f>
        <v>1</v>
      </c>
      <c r="DL153" s="479">
        <f>'Hodnocení '!DL149</f>
        <v>0</v>
      </c>
      <c r="DM153" s="479">
        <f>'Hodnocení '!DM149</f>
        <v>0</v>
      </c>
      <c r="DN153" s="479">
        <f>'Hodnocení '!DN149</f>
        <v>0</v>
      </c>
      <c r="DO153" s="479">
        <f>'Hodnocení '!DO149</f>
        <v>0</v>
      </c>
      <c r="DP153" s="479">
        <f>'Hodnocení '!DP149</f>
        <v>0</v>
      </c>
      <c r="DQ153" s="479">
        <f>'Hodnocení '!DQ149</f>
        <v>0</v>
      </c>
      <c r="DR153" s="479">
        <f>'Hodnocení '!DR149</f>
        <v>0</v>
      </c>
      <c r="DS153" s="479">
        <f>'Hodnocení '!DS149</f>
        <v>0</v>
      </c>
      <c r="DT153" s="479">
        <f>'Hodnocení '!DT149</f>
        <v>0</v>
      </c>
      <c r="DU153" s="479">
        <f>'Hodnocení '!DU149</f>
        <v>1</v>
      </c>
      <c r="DV153" s="479">
        <f>'Hodnocení '!DV149</f>
        <v>0</v>
      </c>
      <c r="DW153" s="479">
        <f>'Hodnocení '!DW149</f>
        <v>1</v>
      </c>
      <c r="DX153" s="479">
        <f>'Hodnocení '!DX149</f>
        <v>1</v>
      </c>
      <c r="DY153" s="479">
        <f>'Hodnocení '!DY149</f>
        <v>0</v>
      </c>
      <c r="DZ153" s="479">
        <f>'Hodnocení '!DZ149</f>
        <v>0</v>
      </c>
      <c r="EA153" s="479">
        <f>'Hodnocení '!EA149</f>
        <v>0</v>
      </c>
      <c r="EB153" s="479">
        <f>'Hodnocení '!EB149</f>
        <v>0</v>
      </c>
      <c r="EC153" s="479">
        <f>'Hodnocení '!EC149</f>
        <v>0</v>
      </c>
      <c r="ED153" s="479">
        <f>'Hodnocení '!ED149</f>
        <v>0</v>
      </c>
      <c r="EE153" s="479">
        <f>'Hodnocení '!EE149</f>
        <v>0</v>
      </c>
      <c r="EF153" s="479">
        <f>'Hodnocení '!EF149</f>
        <v>0</v>
      </c>
      <c r="EG153" s="479">
        <f>'Hodnocení '!EG149</f>
        <v>0</v>
      </c>
      <c r="EH153" s="479">
        <f>'Hodnocení '!EH149</f>
        <v>0</v>
      </c>
      <c r="EI153" s="479">
        <f>'Hodnocení '!EI149</f>
        <v>0</v>
      </c>
      <c r="EJ153" s="479">
        <f>'Hodnocení '!EJ149</f>
        <v>1</v>
      </c>
      <c r="EK153" s="479">
        <f>'Hodnocení '!EK149</f>
        <v>0</v>
      </c>
      <c r="EL153" s="479">
        <f>'Hodnocení '!EL149</f>
        <v>0</v>
      </c>
      <c r="EM153" s="479">
        <f>'Hodnocení '!EM149</f>
        <v>0</v>
      </c>
      <c r="EN153" s="479">
        <f>'Hodnocení '!EN149</f>
        <v>0</v>
      </c>
      <c r="EO153" s="479">
        <f>'Hodnocení '!EO149</f>
        <v>0</v>
      </c>
      <c r="EP153" s="479">
        <f>'Hodnocení '!EP149</f>
        <v>0</v>
      </c>
      <c r="EQ153" s="479">
        <f>'Hodnocení '!EQ149</f>
        <v>0</v>
      </c>
      <c r="ER153" s="479">
        <f>'Hodnocení '!ER149</f>
        <v>0</v>
      </c>
      <c r="ES153" s="479">
        <f>'Hodnocení '!ES149</f>
        <v>0</v>
      </c>
      <c r="ET153" s="479">
        <f>'Hodnocení '!ET149</f>
        <v>0</v>
      </c>
      <c r="EU153" s="479">
        <f>'Hodnocení '!EU149</f>
        <v>0</v>
      </c>
      <c r="EV153" s="479">
        <f>'Hodnocení '!EV149</f>
        <v>0</v>
      </c>
      <c r="EW153" s="479">
        <f>'Hodnocení '!EW149</f>
        <v>0</v>
      </c>
      <c r="EX153" s="479">
        <f>'Hodnocení '!EX149</f>
        <v>0</v>
      </c>
      <c r="EY153" s="479">
        <f>'Hodnocení '!EY149</f>
        <v>0</v>
      </c>
      <c r="EZ153" s="479">
        <f>'Hodnocení '!EZ149</f>
        <v>0</v>
      </c>
      <c r="FA153" s="479">
        <f>'Hodnocení '!FA149</f>
        <v>0</v>
      </c>
      <c r="FB153" s="479">
        <f>'Hodnocení '!FB149</f>
        <v>0</v>
      </c>
      <c r="FC153" s="479">
        <f>'Hodnocení '!FC149</f>
        <v>0</v>
      </c>
      <c r="FD153" s="479">
        <f>'Hodnocení '!FD149</f>
        <v>1</v>
      </c>
      <c r="FE153" s="479">
        <f>'Hodnocení '!FE149</f>
        <v>0</v>
      </c>
      <c r="FF153" s="479">
        <f>'Hodnocení '!FF149</f>
        <v>0</v>
      </c>
      <c r="FG153" s="479">
        <f>'Hodnocení '!FG149</f>
        <v>0</v>
      </c>
      <c r="FH153" s="479">
        <f>'Hodnocení '!FH149</f>
        <v>0</v>
      </c>
      <c r="FI153" s="479">
        <f>'Hodnocení '!FI149</f>
        <v>0</v>
      </c>
      <c r="FJ153" s="479">
        <f>'Hodnocení '!FJ149</f>
        <v>0</v>
      </c>
      <c r="FK153" s="479">
        <f>'Hodnocení '!FK149</f>
        <v>0</v>
      </c>
      <c r="FL153" s="479">
        <f>'Hodnocení '!FL149</f>
        <v>0</v>
      </c>
      <c r="FM153" s="479">
        <f>'Hodnocení '!FM149</f>
        <v>0</v>
      </c>
      <c r="FN153" s="479">
        <f>'Hodnocení '!FN149</f>
        <v>0</v>
      </c>
      <c r="FO153" s="479">
        <f>'Hodnocení '!FO149</f>
        <v>0</v>
      </c>
      <c r="FP153" s="479">
        <f>'Hodnocení '!FP149</f>
        <v>0</v>
      </c>
      <c r="FQ153" s="479">
        <f>'Hodnocení '!FQ149</f>
        <v>0</v>
      </c>
      <c r="FR153" s="479">
        <f>'Hodnocení '!FR149</f>
        <v>1</v>
      </c>
      <c r="FS153" s="479">
        <f>'Hodnocení '!FS149</f>
        <v>0</v>
      </c>
      <c r="FT153" s="479">
        <f>'Hodnocení '!FT149</f>
        <v>0</v>
      </c>
      <c r="FU153" s="479">
        <f>'Hodnocení '!FU149</f>
        <v>0</v>
      </c>
      <c r="FV153" s="479">
        <f>'Hodnocení '!FV149</f>
        <v>0</v>
      </c>
      <c r="FW153" s="479">
        <f>'Hodnocení '!FW149</f>
        <v>0</v>
      </c>
      <c r="FX153" s="479">
        <f>'Hodnocení '!FX149</f>
        <v>0</v>
      </c>
      <c r="FY153" s="479">
        <f>'Hodnocení '!FY149</f>
        <v>0</v>
      </c>
      <c r="FZ153" s="479">
        <f>'Hodnocení '!FZ149</f>
        <v>0</v>
      </c>
      <c r="GA153" s="479">
        <f>'Hodnocení '!GA149</f>
        <v>0</v>
      </c>
      <c r="GB153" s="479">
        <f>'Hodnocení '!GB149</f>
        <v>0</v>
      </c>
      <c r="GC153" s="479">
        <f>'Hodnocení '!GC149</f>
        <v>0</v>
      </c>
      <c r="GD153" s="479">
        <f>'Hodnocení '!GD149</f>
        <v>0</v>
      </c>
      <c r="GE153" s="479">
        <f>'Hodnocení '!GE149</f>
        <v>1</v>
      </c>
      <c r="GF153" s="479">
        <f>'Hodnocení '!GF149</f>
        <v>0</v>
      </c>
      <c r="GG153" s="479">
        <f>'Hodnocení '!GG149</f>
        <v>0</v>
      </c>
      <c r="GH153" s="479">
        <f>'Hodnocení '!GH149</f>
        <v>0</v>
      </c>
      <c r="GI153" s="479">
        <f>'Hodnocení '!GI149</f>
        <v>0</v>
      </c>
      <c r="GJ153" s="479">
        <f>'Hodnocení '!GJ149</f>
        <v>0</v>
      </c>
      <c r="GK153" s="479">
        <f>'Hodnocení '!GK149</f>
        <v>0</v>
      </c>
      <c r="GL153" s="479">
        <f>'Hodnocení '!GL149</f>
        <v>0</v>
      </c>
      <c r="GM153" s="479">
        <f>'Hodnocení '!GM149</f>
        <v>0</v>
      </c>
      <c r="GN153" s="479">
        <f>'Hodnocení '!GN149</f>
        <v>0</v>
      </c>
      <c r="GO153" s="479">
        <f>'Hodnocení '!GO149</f>
        <v>0</v>
      </c>
      <c r="GP153" s="479">
        <f>'Hodnocení '!GP149</f>
        <v>0</v>
      </c>
      <c r="GQ153" s="479">
        <f>'Hodnocení '!GQ149</f>
        <v>0</v>
      </c>
      <c r="GR153" s="479">
        <f>'Hodnocení '!GR149</f>
        <v>0</v>
      </c>
      <c r="GS153" s="479">
        <f>'Hodnocení '!GS149</f>
        <v>0</v>
      </c>
      <c r="GT153" s="479">
        <f>'Hodnocení '!GT149</f>
        <v>0</v>
      </c>
      <c r="GU153" s="479">
        <f>'Hodnocení '!GU149</f>
        <v>0</v>
      </c>
      <c r="GV153" s="479">
        <f>'Hodnocení '!GV149</f>
        <v>0</v>
      </c>
      <c r="GW153" s="479">
        <f>'Hodnocení '!GW149</f>
        <v>0</v>
      </c>
      <c r="GX153" s="479">
        <f>'Hodnocení '!GX149</f>
        <v>0</v>
      </c>
      <c r="GY153" s="479">
        <f>'Hodnocení '!GY149</f>
        <v>0</v>
      </c>
      <c r="GZ153" s="479">
        <f>'Hodnocení '!GZ149</f>
        <v>1</v>
      </c>
      <c r="HA153" s="479">
        <f>'Hodnocení '!HA149</f>
        <v>0</v>
      </c>
      <c r="HB153" s="479">
        <f>'Hodnocení '!HB149</f>
        <v>0</v>
      </c>
      <c r="HC153" s="479">
        <f>'Hodnocení '!HC149</f>
        <v>0</v>
      </c>
      <c r="HD153" s="479">
        <f>'Hodnocení '!HD149</f>
        <v>0</v>
      </c>
      <c r="HE153" s="479">
        <f>'Hodnocení '!HE149</f>
        <v>0</v>
      </c>
      <c r="HF153" s="479">
        <f>'Hodnocení '!HF149</f>
        <v>0</v>
      </c>
      <c r="HG153" s="479">
        <f>'Hodnocení '!HG149</f>
        <v>0</v>
      </c>
      <c r="HH153" s="479">
        <f>'Hodnocení '!HH149</f>
        <v>0</v>
      </c>
      <c r="HI153" s="479">
        <f>'Hodnocení '!HI149</f>
        <v>0</v>
      </c>
      <c r="HJ153" s="479">
        <f>'Hodnocení '!HJ149</f>
        <v>1</v>
      </c>
      <c r="HK153" s="479">
        <f>'Hodnocení '!HK149</f>
        <v>0</v>
      </c>
      <c r="HL153" s="479">
        <f>'Hodnocení '!HL149</f>
        <v>0</v>
      </c>
      <c r="HM153" s="479">
        <f>'Hodnocení '!HM149</f>
        <v>0</v>
      </c>
      <c r="HN153" s="479">
        <f>'Hodnocení '!HN149</f>
        <v>0</v>
      </c>
      <c r="HO153" s="479">
        <f>'Hodnocení '!HO149</f>
        <v>1</v>
      </c>
      <c r="HP153" s="479">
        <f>'Hodnocení '!HP149</f>
        <v>0</v>
      </c>
      <c r="HQ153" s="479">
        <f>'Hodnocení '!HQ149</f>
        <v>0</v>
      </c>
      <c r="HR153" s="479">
        <f>'Hodnocení '!HR149</f>
        <v>0</v>
      </c>
      <c r="HS153" s="479">
        <f>'Hodnocení '!HS149</f>
        <v>0</v>
      </c>
      <c r="HT153" s="479">
        <f>'Hodnocení '!HT149</f>
        <v>0</v>
      </c>
      <c r="HU153" s="479">
        <f>'Hodnocení '!HU149</f>
        <v>0</v>
      </c>
      <c r="HV153" s="479">
        <f>'Hodnocení '!HV149</f>
        <v>0</v>
      </c>
      <c r="HW153" s="479">
        <f>'Hodnocení '!HW149</f>
        <v>0</v>
      </c>
      <c r="HX153" s="479">
        <f>'Hodnocení '!HX149</f>
        <v>0</v>
      </c>
      <c r="HY153" s="479">
        <f>'Hodnocení '!HY149</f>
        <v>0</v>
      </c>
      <c r="HZ153" s="479">
        <f>'Hodnocení '!HZ149</f>
        <v>0</v>
      </c>
      <c r="IA153" s="479">
        <f>'Hodnocení '!IA149</f>
        <v>0</v>
      </c>
      <c r="IB153" s="479">
        <f>'Hodnocení '!IB149</f>
        <v>0</v>
      </c>
      <c r="IC153" s="479">
        <f>'Hodnocení '!IC149</f>
        <v>0</v>
      </c>
      <c r="ID153" s="479">
        <f>'Hodnocení '!ID149</f>
        <v>0</v>
      </c>
      <c r="IE153" s="479">
        <f>'Hodnocení '!IE149</f>
        <v>0</v>
      </c>
      <c r="IF153" s="479">
        <f>'Hodnocení '!IF149</f>
        <v>0</v>
      </c>
      <c r="IG153" s="479">
        <f>'Hodnocení '!IG149</f>
        <v>0</v>
      </c>
      <c r="IH153" s="479">
        <f>'Hodnocení '!IH149</f>
        <v>0</v>
      </c>
      <c r="II153" s="479">
        <f>'Hodnocení '!II149</f>
        <v>0</v>
      </c>
      <c r="IJ153" s="479">
        <f>'Hodnocení '!IJ149</f>
        <v>0</v>
      </c>
      <c r="IK153" s="479">
        <f>'Hodnocení '!IK149</f>
        <v>0</v>
      </c>
      <c r="IL153" s="479">
        <f>'Hodnocení '!IL149</f>
        <v>0</v>
      </c>
      <c r="IM153" s="479">
        <f>'Hodnocení '!IM149</f>
        <v>0</v>
      </c>
      <c r="IN153" s="479">
        <f>'Hodnocení '!IN149</f>
        <v>0</v>
      </c>
      <c r="IO153" s="479">
        <f>'Hodnocení '!IO149</f>
        <v>0</v>
      </c>
      <c r="IP153" s="479">
        <f>'Hodnocení '!IP149</f>
        <v>0</v>
      </c>
      <c r="IQ153" s="479">
        <f>'Hodnocení '!IQ149</f>
        <v>0</v>
      </c>
      <c r="IR153" s="479">
        <f>'Hodnocení '!IR149</f>
        <v>0</v>
      </c>
      <c r="IS153" s="479">
        <f>'Hodnocení '!IS149</f>
        <v>0</v>
      </c>
      <c r="IT153" s="479">
        <f>'Hodnocení '!IT149</f>
        <v>0</v>
      </c>
      <c r="IU153" s="479">
        <f>'Hodnocení '!IU149</f>
        <v>0</v>
      </c>
      <c r="IV153" s="479">
        <f>'Hodnocení '!IV149</f>
        <v>0</v>
      </c>
      <c r="IW153" s="479">
        <f>'Hodnocení '!IW149</f>
        <v>0</v>
      </c>
      <c r="IX153" s="479">
        <f>'Hodnocení '!IX149</f>
        <v>0</v>
      </c>
      <c r="IY153" s="479">
        <f>'Hodnocení '!IY149</f>
        <v>0</v>
      </c>
      <c r="IZ153" s="479">
        <f>'Hodnocení '!IZ149</f>
        <v>0</v>
      </c>
      <c r="JA153" s="479">
        <f>'Hodnocení '!JA149</f>
        <v>0</v>
      </c>
      <c r="JB153" s="479">
        <f>'Hodnocení '!JB149</f>
        <v>0</v>
      </c>
      <c r="JC153" s="479">
        <f>'Hodnocení '!JC149</f>
        <v>0</v>
      </c>
      <c r="JD153" s="479">
        <f>'Hodnocení '!JD149</f>
        <v>0</v>
      </c>
      <c r="JE153" s="479">
        <f>'Hodnocení '!JE149</f>
        <v>0</v>
      </c>
      <c r="JF153" s="479">
        <f>'Hodnocení '!JF149</f>
        <v>0</v>
      </c>
      <c r="JG153" s="479">
        <f>'Hodnocení '!JG149</f>
        <v>0</v>
      </c>
      <c r="JH153" s="780">
        <f>'Hodnocení '!JH149</f>
        <v>0</v>
      </c>
      <c r="JI153" s="470">
        <f>'Hodnocení '!JI149</f>
        <v>0</v>
      </c>
    </row>
    <row r="154" spans="1:276" hidden="1" x14ac:dyDescent="0.25">
      <c r="B154" s="743" t="str">
        <f>B119</f>
        <v>Celkem 2019 (přes KHK)</v>
      </c>
      <c r="C154" s="779">
        <f>'Hodnocení '!C150</f>
        <v>7649000</v>
      </c>
      <c r="D154" s="479">
        <f>'Hodnocení '!D150</f>
        <v>6323100</v>
      </c>
      <c r="E154" s="479">
        <f>'Hodnocení '!E150</f>
        <v>8196405</v>
      </c>
      <c r="F154" s="479">
        <f>'Hodnocení '!F150</f>
        <v>3484600</v>
      </c>
      <c r="G154" s="479">
        <f>'Hodnocení '!G150</f>
        <v>8898350</v>
      </c>
      <c r="H154" s="479">
        <f>'Hodnocení '!H150</f>
        <v>851000</v>
      </c>
      <c r="I154" s="479">
        <f>'Hodnocení '!I150</f>
        <v>2220902</v>
      </c>
      <c r="J154" s="479">
        <f>'Hodnocení '!J150</f>
        <v>2592445</v>
      </c>
      <c r="K154" s="479">
        <f>'Hodnocení '!K150</f>
        <v>5369542</v>
      </c>
      <c r="L154" s="479">
        <f>'Hodnocení '!L150</f>
        <v>3774970</v>
      </c>
      <c r="M154" s="479">
        <f>'Hodnocení '!M150</f>
        <v>3637289</v>
      </c>
      <c r="N154" s="479">
        <f>'Hodnocení '!N150</f>
        <v>5245000</v>
      </c>
      <c r="O154" s="479">
        <f>'Hodnocení '!O150</f>
        <v>4154929</v>
      </c>
      <c r="P154" s="479">
        <f>'Hodnocení '!P150</f>
        <v>2345016</v>
      </c>
      <c r="Q154" s="479">
        <f>'Hodnocení '!Q150</f>
        <v>1465267</v>
      </c>
      <c r="R154" s="479">
        <f>'Hodnocení '!R150</f>
        <v>2124718.1</v>
      </c>
      <c r="S154" s="479">
        <f>'Hodnocení '!S150</f>
        <v>1637152.8</v>
      </c>
      <c r="T154" s="479">
        <f>'Hodnocení '!T150</f>
        <v>591336</v>
      </c>
      <c r="U154" s="479">
        <f>'Hodnocení '!U150</f>
        <v>1099204</v>
      </c>
      <c r="V154" s="479">
        <f>'Hodnocení '!V150</f>
        <v>9233620</v>
      </c>
      <c r="W154" s="479">
        <f>'Hodnocení '!W150</f>
        <v>1825000</v>
      </c>
      <c r="X154" s="479">
        <f>'Hodnocení '!X150</f>
        <v>1309890</v>
      </c>
      <c r="Y154" s="479">
        <f>'Hodnocení '!Y150</f>
        <v>1757810</v>
      </c>
      <c r="Z154" s="479">
        <f>'Hodnocení '!Z150</f>
        <v>6852000</v>
      </c>
      <c r="AA154" s="479">
        <f>'Hodnocení '!AA150</f>
        <v>3849820</v>
      </c>
      <c r="AB154" s="479">
        <f>'Hodnocení '!AB150</f>
        <v>3047940</v>
      </c>
      <c r="AC154" s="479">
        <f>'Hodnocení '!AC150</f>
        <v>2007500</v>
      </c>
      <c r="AD154" s="479">
        <f>'Hodnocení '!AD150</f>
        <v>1845240</v>
      </c>
      <c r="AE154" s="479">
        <f>'Hodnocení '!AE150</f>
        <v>1056608</v>
      </c>
      <c r="AF154" s="479">
        <f>'Hodnocení '!AF150</f>
        <v>2104207</v>
      </c>
      <c r="AG154" s="479">
        <f>'Hodnocení '!AG150</f>
        <v>3325752</v>
      </c>
      <c r="AH154" s="479">
        <f>'Hodnocení '!AH150</f>
        <v>767266</v>
      </c>
      <c r="AI154" s="479">
        <f>'Hodnocení '!AI150</f>
        <v>2893700</v>
      </c>
      <c r="AJ154" s="479">
        <f>'Hodnocení '!AJ150</f>
        <v>2450300</v>
      </c>
      <c r="AK154" s="479">
        <f>'Hodnocení '!AK150</f>
        <v>1197405</v>
      </c>
      <c r="AL154" s="479">
        <f>'Hodnocení '!AL150</f>
        <v>1860416</v>
      </c>
      <c r="AM154" s="479">
        <f>'Hodnocení '!AM150</f>
        <v>1374492</v>
      </c>
      <c r="AN154" s="479">
        <f>'Hodnocení '!AN150</f>
        <v>1027900</v>
      </c>
      <c r="AO154" s="479">
        <f>'Hodnocení '!AO150</f>
        <v>3729028</v>
      </c>
      <c r="AP154" s="479">
        <f>'Hodnocení '!AP150</f>
        <v>2259775</v>
      </c>
      <c r="AQ154" s="479">
        <f>'Hodnocení '!AQ150</f>
        <v>327938</v>
      </c>
      <c r="AR154" s="479">
        <f>'Hodnocení '!AR150</f>
        <v>1130591</v>
      </c>
      <c r="AS154" s="479">
        <f>'Hodnocení '!AS150</f>
        <v>450572</v>
      </c>
      <c r="AT154" s="479">
        <f>'Hodnocení '!AT150</f>
        <v>2175746</v>
      </c>
      <c r="AU154" s="479">
        <f>'Hodnocení '!AU150</f>
        <v>894272</v>
      </c>
      <c r="AV154" s="479">
        <f>'Hodnocení '!AV150</f>
        <v>1866618</v>
      </c>
      <c r="AW154" s="479">
        <f>'Hodnocení '!AW150</f>
        <v>3070875</v>
      </c>
      <c r="AX154" s="479">
        <f>'Hodnocení '!AX150</f>
        <v>2970020</v>
      </c>
      <c r="AY154" s="479">
        <f>'Hodnocení '!AY150</f>
        <v>3091452</v>
      </c>
      <c r="AZ154" s="479">
        <f>'Hodnocení '!AZ150</f>
        <v>2931235</v>
      </c>
      <c r="BA154" s="479">
        <f>'Hodnocení '!BA150</f>
        <v>7415268</v>
      </c>
      <c r="BB154" s="479">
        <f>'Hodnocení '!BB150</f>
        <v>1020124</v>
      </c>
      <c r="BC154" s="479">
        <f>'Hodnocení '!BC150</f>
        <v>1008745</v>
      </c>
      <c r="BD154" s="479">
        <f>'Hodnocení '!BD150</f>
        <v>1277820</v>
      </c>
      <c r="BE154" s="479">
        <f>'Hodnocení '!BE150</f>
        <v>1204150</v>
      </c>
      <c r="BF154" s="479">
        <f>'Hodnocení '!BF150</f>
        <v>1888960</v>
      </c>
      <c r="BG154" s="479">
        <f>'Hodnocení '!BG150</f>
        <v>2344216</v>
      </c>
      <c r="BH154" s="479">
        <f>'Hodnocení '!BH150</f>
        <v>2948068</v>
      </c>
      <c r="BI154" s="479">
        <f>'Hodnocení '!BI150</f>
        <v>1468100</v>
      </c>
      <c r="BJ154" s="479">
        <f>'Hodnocení '!BJ150</f>
        <v>2652621</v>
      </c>
      <c r="BK154" s="479">
        <f>'Hodnocení '!BK150</f>
        <v>852000</v>
      </c>
      <c r="BL154" s="479">
        <f>'Hodnocení '!BL150</f>
        <v>0</v>
      </c>
      <c r="BM154" s="479">
        <f>'Hodnocení '!BM150</f>
        <v>615100</v>
      </c>
      <c r="BN154" s="479">
        <f>'Hodnocení '!BN150</f>
        <v>1582000</v>
      </c>
      <c r="BO154" s="479">
        <f>'Hodnocení '!BO150</f>
        <v>762010</v>
      </c>
      <c r="BP154" s="479">
        <f>'Hodnocení '!BP150</f>
        <v>3919307</v>
      </c>
      <c r="BQ154" s="479">
        <f>'Hodnocení '!BQ150</f>
        <v>815436</v>
      </c>
      <c r="BR154" s="479">
        <f>'Hodnocení '!BR150</f>
        <v>874340</v>
      </c>
      <c r="BS154" s="479">
        <f>'Hodnocení '!BS150</f>
        <v>1297900</v>
      </c>
      <c r="BT154" s="479">
        <f>'Hodnocení '!BT150</f>
        <v>860100</v>
      </c>
      <c r="BU154" s="479">
        <f>'Hodnocení '!BU150</f>
        <v>3939338</v>
      </c>
      <c r="BV154" s="479">
        <f>'Hodnocení '!BV150</f>
        <v>588910</v>
      </c>
      <c r="BW154" s="479">
        <f>'Hodnocení '!BW150</f>
        <v>532683</v>
      </c>
      <c r="BX154" s="479">
        <f>'Hodnocení '!BX150</f>
        <v>4055253</v>
      </c>
      <c r="BY154" s="479">
        <f>'Hodnocení '!BY150</f>
        <v>1520144</v>
      </c>
      <c r="BZ154" s="479">
        <f>'Hodnocení '!BZ150</f>
        <v>324150</v>
      </c>
      <c r="CA154" s="479">
        <f>'Hodnocení '!CA150</f>
        <v>0</v>
      </c>
      <c r="CB154" s="479">
        <f>'Hodnocení '!CB150</f>
        <v>532263</v>
      </c>
      <c r="CC154" s="479">
        <f>'Hodnocení '!CC150</f>
        <v>2120418</v>
      </c>
      <c r="CD154" s="479">
        <f>'Hodnocení '!CD150</f>
        <v>647336</v>
      </c>
      <c r="CE154" s="479">
        <f>'Hodnocení '!CE150</f>
        <v>8268855</v>
      </c>
      <c r="CF154" s="479">
        <f>'Hodnocení '!CF150</f>
        <v>4326000</v>
      </c>
      <c r="CG154" s="479">
        <f>'Hodnocení '!CG150</f>
        <v>8224486</v>
      </c>
      <c r="CH154" s="479">
        <f>'Hodnocení '!CH150</f>
        <v>3654346</v>
      </c>
      <c r="CI154" s="479">
        <f>'Hodnocení '!CI150</f>
        <v>2882766</v>
      </c>
      <c r="CJ154" s="479">
        <f>'Hodnocení '!CJ150</f>
        <v>3459530</v>
      </c>
      <c r="CK154" s="479">
        <f>'Hodnocení '!CK150</f>
        <v>4176623</v>
      </c>
      <c r="CL154" s="479">
        <f>'Hodnocení '!CL150</f>
        <v>2384969</v>
      </c>
      <c r="CM154" s="479">
        <f>'Hodnocení '!CM150</f>
        <v>5320660</v>
      </c>
      <c r="CN154" s="479">
        <f>'Hodnocení '!CN150</f>
        <v>1282575.1399999999</v>
      </c>
      <c r="CO154" s="479">
        <f>'Hodnocení '!CO150</f>
        <v>1214500</v>
      </c>
      <c r="CP154" s="479">
        <f>'Hodnocení '!CP150</f>
        <v>1238425.46</v>
      </c>
      <c r="CQ154" s="479">
        <f>'Hodnocení '!CQ150</f>
        <v>4606266</v>
      </c>
      <c r="CR154" s="479">
        <f>'Hodnocení '!CR150</f>
        <v>1616800</v>
      </c>
      <c r="CS154" s="479">
        <f>'Hodnocení '!CS150</f>
        <v>0</v>
      </c>
      <c r="CT154" s="479">
        <f>'Hodnocení '!CT150</f>
        <v>5070000</v>
      </c>
      <c r="CU154" s="479">
        <f>'Hodnocení '!CU150</f>
        <v>1400500</v>
      </c>
      <c r="CV154" s="479">
        <f>'Hodnocení '!CV150</f>
        <v>5031500</v>
      </c>
      <c r="CW154" s="479">
        <f>'Hodnocení '!CW150</f>
        <v>271401</v>
      </c>
      <c r="CX154" s="479">
        <f>'Hodnocení '!CX150</f>
        <v>3128000</v>
      </c>
      <c r="CY154" s="479">
        <f>'Hodnocení '!CY150</f>
        <v>2748954</v>
      </c>
      <c r="CZ154" s="479">
        <f>'Hodnocení '!CZ150</f>
        <v>1006700</v>
      </c>
      <c r="DA154" s="479">
        <f>'Hodnocení '!DA150</f>
        <v>5580860</v>
      </c>
      <c r="DB154" s="479">
        <f>'Hodnocení '!DB150</f>
        <v>665328</v>
      </c>
      <c r="DC154" s="479">
        <f>'Hodnocení '!DC150</f>
        <v>1623500</v>
      </c>
      <c r="DD154" s="479">
        <f>'Hodnocení '!DD150</f>
        <v>4680513</v>
      </c>
      <c r="DE154" s="479">
        <f>'Hodnocení '!DE150</f>
        <v>7167606</v>
      </c>
      <c r="DF154" s="479">
        <f>'Hodnocení '!DF150</f>
        <v>5216852</v>
      </c>
      <c r="DG154" s="479">
        <f>'Hodnocení '!DG150</f>
        <v>605740</v>
      </c>
      <c r="DH154" s="479">
        <f>'Hodnocení '!DH150</f>
        <v>1606367.6400000001</v>
      </c>
      <c r="DI154" s="479">
        <f>'Hodnocení '!DI150</f>
        <v>1093940</v>
      </c>
      <c r="DJ154" s="479">
        <f>'Hodnocení '!DJ150</f>
        <v>1816958</v>
      </c>
      <c r="DK154" s="479">
        <f>'Hodnocení '!DK150</f>
        <v>910471</v>
      </c>
      <c r="DL154" s="479">
        <f>'Hodnocení '!DL150</f>
        <v>3817224</v>
      </c>
      <c r="DM154" s="479">
        <f>'Hodnocení '!DM150</f>
        <v>1734348</v>
      </c>
      <c r="DN154" s="479">
        <f>'Hodnocení '!DN150</f>
        <v>2980765</v>
      </c>
      <c r="DO154" s="479">
        <f>'Hodnocení '!DO150</f>
        <v>1397775</v>
      </c>
      <c r="DP154" s="479">
        <f>'Hodnocení '!DP150</f>
        <v>4045363.78</v>
      </c>
      <c r="DQ154" s="479">
        <f>'Hodnocení '!DQ150</f>
        <v>3907852</v>
      </c>
      <c r="DR154" s="479">
        <f>'Hodnocení '!DR150</f>
        <v>4477376</v>
      </c>
      <c r="DS154" s="479">
        <f>'Hodnocení '!DS150</f>
        <v>331000</v>
      </c>
      <c r="DT154" s="479">
        <f>'Hodnocení '!DT150</f>
        <v>2906291</v>
      </c>
      <c r="DU154" s="479">
        <f>'Hodnocení '!DU150</f>
        <v>2100600</v>
      </c>
      <c r="DV154" s="479">
        <f>'Hodnocení '!DV150</f>
        <v>3145477</v>
      </c>
      <c r="DW154" s="479">
        <f>'Hodnocení '!DW150</f>
        <v>1211410</v>
      </c>
      <c r="DX154" s="479">
        <f>'Hodnocení '!DX150</f>
        <v>4030918</v>
      </c>
      <c r="DY154" s="479">
        <f>'Hodnocení '!DY150</f>
        <v>3755150</v>
      </c>
      <c r="DZ154" s="479">
        <f>'Hodnocení '!DZ150</f>
        <v>716300</v>
      </c>
      <c r="EA154" s="479">
        <f>'Hodnocení '!EA150</f>
        <v>3895188</v>
      </c>
      <c r="EB154" s="479">
        <f>'Hodnocení '!EB150</f>
        <v>3882690</v>
      </c>
      <c r="EC154" s="479">
        <f>'Hodnocení '!EC150</f>
        <v>3345254</v>
      </c>
      <c r="ED154" s="479">
        <f>'Hodnocení '!ED150</f>
        <v>3472808</v>
      </c>
      <c r="EE154" s="479">
        <f>'Hodnocení '!EE150</f>
        <v>563624</v>
      </c>
      <c r="EF154" s="479">
        <f>'Hodnocení '!EF150</f>
        <v>669087.59</v>
      </c>
      <c r="EG154" s="479">
        <f>'Hodnocení '!EG150</f>
        <v>427828.99</v>
      </c>
      <c r="EH154" s="479">
        <f>'Hodnocení '!EH150</f>
        <v>559670</v>
      </c>
      <c r="EI154" s="479">
        <f>'Hodnocení '!EI150</f>
        <v>910753</v>
      </c>
      <c r="EJ154" s="479">
        <f>'Hodnocení '!EJ150</f>
        <v>1034374</v>
      </c>
      <c r="EK154" s="479">
        <f>'Hodnocení '!EK150</f>
        <v>3932042</v>
      </c>
      <c r="EL154" s="479">
        <f>'Hodnocení '!EL150</f>
        <v>8624026</v>
      </c>
      <c r="EM154" s="479">
        <f>'Hodnocení '!EM150</f>
        <v>2698808</v>
      </c>
      <c r="EN154" s="479">
        <f>'Hodnocení '!EN150</f>
        <v>2394473</v>
      </c>
      <c r="EO154" s="479">
        <f>'Hodnocení '!EO150</f>
        <v>236418</v>
      </c>
      <c r="EP154" s="479">
        <f>'Hodnocení '!EP150</f>
        <v>2171123</v>
      </c>
      <c r="EQ154" s="479">
        <f>'Hodnocení '!EQ150</f>
        <v>1844122</v>
      </c>
      <c r="ER154" s="479">
        <f>'Hodnocení '!ER150</f>
        <v>5251868</v>
      </c>
      <c r="ES154" s="479">
        <f>'Hodnocení '!ES150</f>
        <v>2770560</v>
      </c>
      <c r="ET154" s="479">
        <f>'Hodnocení '!ET150</f>
        <v>0</v>
      </c>
      <c r="EU154" s="479">
        <f>'Hodnocení '!EU150</f>
        <v>804000</v>
      </c>
      <c r="EV154" s="479">
        <f>'Hodnocení '!EV150</f>
        <v>225535</v>
      </c>
      <c r="EW154" s="479">
        <f>'Hodnocení '!EW150</f>
        <v>2356313</v>
      </c>
      <c r="EX154" s="479">
        <f>'Hodnocení '!EX150</f>
        <v>5404290</v>
      </c>
      <c r="EY154" s="479">
        <f>'Hodnocení '!EY150</f>
        <v>2044845</v>
      </c>
      <c r="EZ154" s="479">
        <f>'Hodnocení '!EZ150</f>
        <v>111326</v>
      </c>
      <c r="FA154" s="479">
        <f>'Hodnocení '!FA150</f>
        <v>793692</v>
      </c>
      <c r="FB154" s="479">
        <f>'Hodnocení '!FB150</f>
        <v>139761</v>
      </c>
      <c r="FC154" s="479">
        <f>'Hodnocení '!FC150</f>
        <v>3000000</v>
      </c>
      <c r="FD154" s="479">
        <f>'Hodnocení '!FD150</f>
        <v>772461</v>
      </c>
      <c r="FE154" s="479">
        <f>'Hodnocení '!FE150</f>
        <v>262500</v>
      </c>
      <c r="FF154" s="479">
        <f>'Hodnocení '!FF150</f>
        <v>1117120</v>
      </c>
      <c r="FG154" s="479">
        <f>'Hodnocení '!FG150</f>
        <v>4683650</v>
      </c>
      <c r="FH154" s="479">
        <f>'Hodnocení '!FH150</f>
        <v>5519580</v>
      </c>
      <c r="FI154" s="479">
        <f>'Hodnocení '!FI150</f>
        <v>5568487</v>
      </c>
      <c r="FJ154" s="479">
        <f>'Hodnocení '!FJ150</f>
        <v>1579046</v>
      </c>
      <c r="FK154" s="479">
        <f>'Hodnocení '!FK150</f>
        <v>281852</v>
      </c>
      <c r="FL154" s="479">
        <f>'Hodnocení '!FL150</f>
        <v>601762</v>
      </c>
      <c r="FM154" s="479">
        <f>'Hodnocení '!FM150</f>
        <v>2626403</v>
      </c>
      <c r="FN154" s="479">
        <f>'Hodnocení '!FN150</f>
        <v>6459380</v>
      </c>
      <c r="FO154" s="479">
        <f>'Hodnocení '!FO150</f>
        <v>1659657</v>
      </c>
      <c r="FP154" s="479">
        <f>'Hodnocení '!FP150</f>
        <v>12144452</v>
      </c>
      <c r="FQ154" s="479">
        <f>'Hodnocení '!FQ150</f>
        <v>1909423</v>
      </c>
      <c r="FR154" s="479">
        <f>'Hodnocení '!FR150</f>
        <v>0</v>
      </c>
      <c r="FS154" s="479">
        <f>'Hodnocení '!FS150</f>
        <v>477570</v>
      </c>
      <c r="FT154" s="479">
        <f>'Hodnocení '!FT150</f>
        <v>2948610</v>
      </c>
      <c r="FU154" s="479">
        <f>'Hodnocení '!FU150</f>
        <v>426547</v>
      </c>
      <c r="FV154" s="479">
        <f>'Hodnocení '!FV150</f>
        <v>559074</v>
      </c>
      <c r="FW154" s="479">
        <f>'Hodnocení '!FW150</f>
        <v>1013735</v>
      </c>
      <c r="FX154" s="479">
        <f>'Hodnocení '!FX150</f>
        <v>364926</v>
      </c>
      <c r="FY154" s="479">
        <f>'Hodnocení '!FY150</f>
        <v>209591</v>
      </c>
      <c r="FZ154" s="479">
        <f>'Hodnocení '!FZ150</f>
        <v>2576210</v>
      </c>
      <c r="GA154" s="479">
        <f>'Hodnocení '!GA150</f>
        <v>234850</v>
      </c>
      <c r="GB154" s="479">
        <f>'Hodnocení '!GB150</f>
        <v>1751320</v>
      </c>
      <c r="GC154" s="479">
        <f>'Hodnocení '!GC150</f>
        <v>2155529</v>
      </c>
      <c r="GD154" s="479">
        <f>'Hodnocení '!GD150</f>
        <v>7122291</v>
      </c>
      <c r="GE154" s="479">
        <f>'Hodnocení '!GE150</f>
        <v>1339065</v>
      </c>
      <c r="GF154" s="479">
        <f>'Hodnocení '!GF150</f>
        <v>3590557</v>
      </c>
      <c r="GG154" s="479">
        <f>'Hodnocení '!GG150</f>
        <v>1289981</v>
      </c>
      <c r="GH154" s="479">
        <f>'Hodnocení '!GH150</f>
        <v>1089582</v>
      </c>
      <c r="GI154" s="479">
        <f>'Hodnocení '!GI150</f>
        <v>6898917</v>
      </c>
      <c r="GJ154" s="479">
        <f>'Hodnocení '!GJ150</f>
        <v>1667501</v>
      </c>
      <c r="GK154" s="479">
        <f>'Hodnocení '!GK150</f>
        <v>666130</v>
      </c>
      <c r="GL154" s="479">
        <f>'Hodnocení '!GL150</f>
        <v>529296</v>
      </c>
      <c r="GM154" s="479">
        <f>'Hodnocení '!GM150</f>
        <v>753240</v>
      </c>
      <c r="GN154" s="479">
        <f>'Hodnocení '!GN150</f>
        <v>603116</v>
      </c>
      <c r="GO154" s="479">
        <f>'Hodnocení '!GO150</f>
        <v>3581549</v>
      </c>
      <c r="GP154" s="479">
        <f>'Hodnocení '!GP150</f>
        <v>520270</v>
      </c>
      <c r="GQ154" s="479">
        <f>'Hodnocení '!GQ150</f>
        <v>740230</v>
      </c>
      <c r="GR154" s="479">
        <f>'Hodnocení '!GR150</f>
        <v>693152</v>
      </c>
      <c r="GS154" s="479">
        <f>'Hodnocení '!GS150</f>
        <v>165886</v>
      </c>
      <c r="GT154" s="479">
        <f>'Hodnocení '!GT150</f>
        <v>8345502</v>
      </c>
      <c r="GU154" s="479">
        <f>'Hodnocení '!GU150</f>
        <v>761571</v>
      </c>
      <c r="GV154" s="479">
        <f>'Hodnocení '!GV150</f>
        <v>4959810</v>
      </c>
      <c r="GW154" s="479">
        <f>'Hodnocení '!GW150</f>
        <v>1133866</v>
      </c>
      <c r="GX154" s="479">
        <f>'Hodnocení '!GX150</f>
        <v>154333</v>
      </c>
      <c r="GY154" s="479">
        <f>'Hodnocení '!GY150</f>
        <v>10721860</v>
      </c>
      <c r="GZ154" s="479">
        <f>'Hodnocení '!GZ150</f>
        <v>0</v>
      </c>
      <c r="HA154" s="479">
        <f>'Hodnocení '!HA150</f>
        <v>4876560</v>
      </c>
      <c r="HB154" s="479">
        <f>'Hodnocení '!HB150</f>
        <v>1991460</v>
      </c>
      <c r="HC154" s="479">
        <f>'Hodnocení '!HC150</f>
        <v>5134000</v>
      </c>
      <c r="HD154" s="479">
        <f>'Hodnocení '!HD150</f>
        <v>1401300</v>
      </c>
      <c r="HE154" s="479">
        <f>'Hodnocení '!HE150</f>
        <v>4443200</v>
      </c>
      <c r="HF154" s="479">
        <f>'Hodnocení '!HF150</f>
        <v>707286</v>
      </c>
      <c r="HG154" s="479">
        <f>'Hodnocení '!HG150</f>
        <v>518077</v>
      </c>
      <c r="HH154" s="479">
        <f>'Hodnocení '!HH150</f>
        <v>1985778</v>
      </c>
      <c r="HI154" s="479">
        <f>'Hodnocení '!HI150</f>
        <v>1514623</v>
      </c>
      <c r="HJ154" s="479">
        <f>'Hodnocení '!HJ150</f>
        <v>495460</v>
      </c>
      <c r="HK154" s="479">
        <f>'Hodnocení '!HK150</f>
        <v>144000</v>
      </c>
      <c r="HL154" s="479">
        <f>'Hodnocení '!HL150</f>
        <v>37366967.243574739</v>
      </c>
      <c r="HM154" s="479">
        <f>'Hodnocení '!HM150</f>
        <v>25001512.541579321</v>
      </c>
      <c r="HN154" s="479">
        <f>'Hodnocení '!HN150</f>
        <v>808776.41538817156</v>
      </c>
      <c r="HO154" s="479">
        <f>'Hodnocení '!HO150</f>
        <v>2876769.799457768</v>
      </c>
      <c r="HP154" s="479">
        <f>'Hodnocení '!HP150</f>
        <v>27787218</v>
      </c>
      <c r="HQ154" s="479">
        <f>'Hodnocení '!HQ150</f>
        <v>978043.38080963399</v>
      </c>
      <c r="HR154" s="479">
        <f>'Hodnocení '!HR150</f>
        <v>33541191.281565275</v>
      </c>
      <c r="HS154" s="479">
        <f>'Hodnocení '!HS150</f>
        <v>5691227.33762509</v>
      </c>
      <c r="HT154" s="479">
        <f>'Hodnocení '!HT150</f>
        <v>22599685</v>
      </c>
      <c r="HU154" s="479">
        <f>'Hodnocení '!HU150</f>
        <v>21507994</v>
      </c>
      <c r="HV154" s="479">
        <f>'Hodnocení '!HV150</f>
        <v>16689127</v>
      </c>
      <c r="HW154" s="479">
        <f>'Hodnocení '!HW150</f>
        <v>6965541.9659980796</v>
      </c>
      <c r="HX154" s="479">
        <f>'Hodnocení '!HX150</f>
        <v>17983528.03400192</v>
      </c>
      <c r="HY154" s="479">
        <f>'Hodnocení '!HY150</f>
        <v>21105762</v>
      </c>
      <c r="HZ154" s="479">
        <f>'Hodnocení '!HZ150</f>
        <v>9565941</v>
      </c>
      <c r="IA154" s="479">
        <f>'Hodnocení '!IA150</f>
        <v>9107487</v>
      </c>
      <c r="IB154" s="479">
        <f>'Hodnocení '!IB150</f>
        <v>8575181</v>
      </c>
      <c r="IC154" s="479">
        <f>'Hodnocení '!IC150</f>
        <v>11233714.822746631</v>
      </c>
      <c r="ID154" s="479">
        <f>'Hodnocení '!ID150</f>
        <v>9255791.1772533692</v>
      </c>
      <c r="IE154" s="479">
        <f>'Hodnocení '!IE150</f>
        <v>16188892</v>
      </c>
      <c r="IF154" s="479">
        <f>'Hodnocení '!IF150</f>
        <v>20259987.198794641</v>
      </c>
      <c r="IG154" s="479">
        <f>'Hodnocení '!IG150</f>
        <v>5446079.8012053594</v>
      </c>
      <c r="IH154" s="479">
        <f>'Hodnocení '!IH150</f>
        <v>3012886.5890955012</v>
      </c>
      <c r="II154" s="479">
        <f>'Hodnocení '!II150</f>
        <v>20841865.049244203</v>
      </c>
      <c r="IJ154" s="479">
        <f>'Hodnocení '!IJ150</f>
        <v>1674908.5338407224</v>
      </c>
      <c r="IK154" s="479">
        <f>'Hodnocení '!IK150</f>
        <v>3577558.8278195728</v>
      </c>
      <c r="IL154" s="479">
        <f>'Hodnocení '!IL150</f>
        <v>9204656</v>
      </c>
      <c r="IM154" s="479">
        <f>'Hodnocení '!IM150</f>
        <v>701837.84282009513</v>
      </c>
      <c r="IN154" s="479">
        <f>'Hodnocení '!IN150</f>
        <v>10213951.504810652</v>
      </c>
      <c r="IO154" s="479">
        <f>'Hodnocení '!IO150</f>
        <v>3412493.6523692533</v>
      </c>
      <c r="IP154" s="479">
        <f>'Hodnocení '!IP150</f>
        <v>22515867</v>
      </c>
      <c r="IQ154" s="479">
        <f>'Hodnocení '!IQ150</f>
        <v>22563962.666168727</v>
      </c>
      <c r="IR154" s="479">
        <f>'Hodnocení '!IR150</f>
        <v>1003066.3338312713</v>
      </c>
      <c r="IS154" s="479">
        <f>'Hodnocení '!IS150</f>
        <v>53065674.509968996</v>
      </c>
      <c r="IT154" s="479">
        <f>'Hodnocení '!IT150</f>
        <v>12209859.490031004</v>
      </c>
      <c r="IU154" s="479">
        <f>'Hodnocení '!IU150</f>
        <v>3182630.0362361362</v>
      </c>
      <c r="IV154" s="479">
        <f>'Hodnocení '!IV150</f>
        <v>8522404.8188311569</v>
      </c>
      <c r="IW154" s="479">
        <f>'Hodnocení '!IW150</f>
        <v>15638894.711101327</v>
      </c>
      <c r="IX154" s="479">
        <f>'Hodnocení '!IX150</f>
        <v>1813436.4338313788</v>
      </c>
      <c r="IY154" s="479">
        <f>'Hodnocení '!IY150</f>
        <v>7604648.4471565671</v>
      </c>
      <c r="IZ154" s="479">
        <f>'Hodnocení '!IZ150</f>
        <v>18227943.552843433</v>
      </c>
      <c r="JA154" s="479">
        <f>'Hodnocení '!JA150</f>
        <v>3037151.73</v>
      </c>
      <c r="JB154" s="479">
        <f>'Hodnocení '!JB150</f>
        <v>2895174.04</v>
      </c>
      <c r="JC154" s="479">
        <f>'Hodnocení '!JC150</f>
        <v>2268778.09</v>
      </c>
      <c r="JD154" s="479">
        <f>'Hodnocení '!JD150</f>
        <v>5052980.7</v>
      </c>
      <c r="JE154" s="479">
        <f>'Hodnocení '!JE150</f>
        <v>1159105.145059247</v>
      </c>
      <c r="JF154" s="479">
        <f>'Hodnocení '!JF150</f>
        <v>29898599.85494075</v>
      </c>
      <c r="JG154" s="479">
        <f>'Hodnocení '!JG150</f>
        <v>30541537</v>
      </c>
      <c r="JH154" s="780">
        <f>'Hodnocení '!JH150</f>
        <v>868740</v>
      </c>
      <c r="JI154" s="470">
        <f>'Hodnocení '!JI150</f>
        <v>1165506510.0600002</v>
      </c>
    </row>
    <row r="155" spans="1:276" hidden="1" x14ac:dyDescent="0.25">
      <c r="B155" s="743" t="str">
        <f>B120</f>
        <v>Celkem 2020 (přes KHK) po korekcích</v>
      </c>
      <c r="C155" s="779">
        <f>'Hodnocení '!C151</f>
        <v>8884422.5558247231</v>
      </c>
      <c r="D155" s="479">
        <f>'Hodnocení '!D151</f>
        <v>7730000</v>
      </c>
      <c r="E155" s="479">
        <f>'Hodnocení '!E151</f>
        <v>8299184.4088107003</v>
      </c>
      <c r="F155" s="479">
        <f>'Hodnocení '!F151</f>
        <v>3616884.7088353573</v>
      </c>
      <c r="G155" s="479">
        <f>'Hodnocení '!G151</f>
        <v>10328003.127290595</v>
      </c>
      <c r="H155" s="479">
        <f>'Hodnocení '!H151</f>
        <v>916710.41611130896</v>
      </c>
      <c r="I155" s="479">
        <f>'Hodnocení '!I151</f>
        <v>3162879.4741952131</v>
      </c>
      <c r="J155" s="479">
        <f>'Hodnocení '!J151</f>
        <v>2678115.5483361837</v>
      </c>
      <c r="K155" s="479">
        <f>'Hodnocení '!K151</f>
        <v>5988080</v>
      </c>
      <c r="L155" s="479">
        <f>'Hodnocení '!L151</f>
        <v>3774970</v>
      </c>
      <c r="M155" s="479">
        <f>'Hodnocení '!M151</f>
        <v>3667775.238895766</v>
      </c>
      <c r="N155" s="479">
        <f>'Hodnocení '!N151</f>
        <v>5360828.6030266704</v>
      </c>
      <c r="O155" s="479">
        <f>'Hodnocení '!O151</f>
        <v>4306141</v>
      </c>
      <c r="P155" s="479">
        <f>'Hodnocení '!P151</f>
        <v>2453026.0021816893</v>
      </c>
      <c r="Q155" s="479">
        <f>'Hodnocení '!Q151</f>
        <v>1836488.4791010155</v>
      </c>
      <c r="R155" s="479">
        <f>'Hodnocení '!R151</f>
        <v>2030000</v>
      </c>
      <c r="S155" s="479">
        <f>'Hodnocení '!S151</f>
        <v>1637152.8</v>
      </c>
      <c r="T155" s="479">
        <f>'Hodnocení '!T151</f>
        <v>622773.51077815378</v>
      </c>
      <c r="U155" s="479">
        <f>'Hodnocení '!U151</f>
        <v>1087500</v>
      </c>
      <c r="V155" s="479">
        <f>'Hodnocení '!V151</f>
        <v>8493620</v>
      </c>
      <c r="W155" s="479">
        <f>'Hodnocení '!W151</f>
        <v>2130000</v>
      </c>
      <c r="X155" s="479">
        <f>'Hodnocení '!X151</f>
        <v>2304335.8095085779</v>
      </c>
      <c r="Y155" s="479">
        <f>'Hodnocení '!Y151</f>
        <v>1770700</v>
      </c>
      <c r="Z155" s="479">
        <f>'Hodnocení '!Z151</f>
        <v>7231924</v>
      </c>
      <c r="AA155" s="479">
        <f>'Hodnocení '!AA151</f>
        <v>4244705.4490248738</v>
      </c>
      <c r="AB155" s="479">
        <f>'Hodnocení '!AB151</f>
        <v>3678130.7057224135</v>
      </c>
      <c r="AC155" s="479">
        <f>'Hodnocení '!AC151</f>
        <v>640000.31194833247</v>
      </c>
      <c r="AD155" s="479">
        <f>'Hodnocení '!AD151</f>
        <v>2590229.1206235653</v>
      </c>
      <c r="AE155" s="479">
        <f>'Hodnocení '!AE151</f>
        <v>1133448.5258989439</v>
      </c>
      <c r="AF155" s="479">
        <f>'Hodnocení '!AF151</f>
        <v>3323451.9295379585</v>
      </c>
      <c r="AG155" s="479">
        <f>'Hodnocení '!AG151</f>
        <v>3450812.7548698969</v>
      </c>
      <c r="AH155" s="479">
        <f>'Hodnocení '!AH151</f>
        <v>760000</v>
      </c>
      <c r="AI155" s="479">
        <f>'Hodnocení '!AI151</f>
        <v>3404000</v>
      </c>
      <c r="AJ155" s="479">
        <f>'Hodnocení '!AJ151</f>
        <v>2585000</v>
      </c>
      <c r="AK155" s="479">
        <f>'Hodnocení '!AK151</f>
        <v>1251400</v>
      </c>
      <c r="AL155" s="479">
        <f>'Hodnocení '!AL151</f>
        <v>1952909.1633510776</v>
      </c>
      <c r="AM155" s="479">
        <f>'Hodnocení '!AM151</f>
        <v>1499708.3726341231</v>
      </c>
      <c r="AN155" s="479">
        <f>'Hodnocení '!AN151</f>
        <v>1148955.198498779</v>
      </c>
      <c r="AO155" s="479">
        <f>'Hodnocení '!AO151</f>
        <v>4883755.5596356187</v>
      </c>
      <c r="AP155" s="479">
        <f>'Hodnocení '!AP151</f>
        <v>2124765.1162296012</v>
      </c>
      <c r="AQ155" s="479">
        <f>'Hodnocení '!AQ151</f>
        <v>491000</v>
      </c>
      <c r="AR155" s="479">
        <f>'Hodnocení '!AR151</f>
        <v>1531740.3992508459</v>
      </c>
      <c r="AS155" s="479">
        <f>'Hodnocení '!AS151</f>
        <v>495253.22022333386</v>
      </c>
      <c r="AT155" s="479">
        <f>'Hodnocení '!AT151</f>
        <v>2498113.4323683418</v>
      </c>
      <c r="AU155" s="479">
        <f>'Hodnocení '!AU151</f>
        <v>992216.93946642126</v>
      </c>
      <c r="AV155" s="479">
        <f>'Hodnocení '!AV151</f>
        <v>2003660.6772952261</v>
      </c>
      <c r="AW155" s="479">
        <f>'Hodnocení '!AW151</f>
        <v>3343410.5426933127</v>
      </c>
      <c r="AX155" s="479">
        <f>'Hodnocení '!AX151</f>
        <v>3240135.311080751</v>
      </c>
      <c r="AY155" s="479">
        <f>'Hodnocení '!AY151</f>
        <v>3300190.5406568907</v>
      </c>
      <c r="AZ155" s="479">
        <f>'Hodnocení '!AZ151</f>
        <v>2981000</v>
      </c>
      <c r="BA155" s="479">
        <f>'Hodnocení '!BA151</f>
        <v>9230000</v>
      </c>
      <c r="BB155" s="479">
        <f>'Hodnocení '!BB151</f>
        <v>1312920</v>
      </c>
      <c r="BC155" s="479">
        <f>'Hodnocení '!BC151</f>
        <v>1223742.4938025323</v>
      </c>
      <c r="BD155" s="479">
        <f>'Hodnocení '!BD151</f>
        <v>1916258.3325785431</v>
      </c>
      <c r="BE155" s="479">
        <f>'Hodnocení '!BE151</f>
        <v>1290934.3566507786</v>
      </c>
      <c r="BF155" s="479">
        <f>'Hodnocení '!BF151</f>
        <v>2020000</v>
      </c>
      <c r="BG155" s="479">
        <f>'Hodnocení '!BG151</f>
        <v>2499000</v>
      </c>
      <c r="BH155" s="479">
        <f>'Hodnocení '!BH151</f>
        <v>3075109.2415605099</v>
      </c>
      <c r="BI155" s="479">
        <f>'Hodnocení '!BI151</f>
        <v>1270000</v>
      </c>
      <c r="BJ155" s="479">
        <f>'Hodnocení '!BJ151</f>
        <v>2734458.8535647267</v>
      </c>
      <c r="BK155" s="479">
        <f>'Hodnocení '!BK151</f>
        <v>988000</v>
      </c>
      <c r="BL155" s="479">
        <f>'Hodnocení '!BL151</f>
        <v>455138.49500087276</v>
      </c>
      <c r="BM155" s="479">
        <f>'Hodnocení '!BM151</f>
        <v>1464826</v>
      </c>
      <c r="BN155" s="479">
        <f>'Hodnocení '!BN151</f>
        <v>1641101.9931537434</v>
      </c>
      <c r="BO155" s="479">
        <f>'Hodnocení '!BO151</f>
        <v>1025279.6524752458</v>
      </c>
      <c r="BP155" s="479">
        <f>'Hodnocení '!BP151</f>
        <v>4652080</v>
      </c>
      <c r="BQ155" s="479">
        <f>'Hodnocení '!BQ151</f>
        <v>847233.45560883218</v>
      </c>
      <c r="BR155" s="479">
        <f>'Hodnocení '!BR151</f>
        <v>1013021</v>
      </c>
      <c r="BS155" s="479">
        <f>'Hodnocení '!BS151</f>
        <v>1300282.2989678741</v>
      </c>
      <c r="BT155" s="479">
        <f>'Hodnocení '!BT151</f>
        <v>914160.26616723067</v>
      </c>
      <c r="BU155" s="479">
        <f>'Hodnocení '!BU151</f>
        <v>3939338</v>
      </c>
      <c r="BV155" s="479">
        <f>'Hodnocení '!BV151</f>
        <v>1177908.0353182531</v>
      </c>
      <c r="BW155" s="479">
        <f>'Hodnocení '!BW151</f>
        <v>532683</v>
      </c>
      <c r="BX155" s="479">
        <f>'Hodnocení '!BX151</f>
        <v>5208889.1910633538</v>
      </c>
      <c r="BY155" s="479">
        <f>'Hodnocení '!BY151</f>
        <v>1520144</v>
      </c>
      <c r="BZ155" s="479">
        <f>'Hodnocení '!BZ151</f>
        <v>324150</v>
      </c>
      <c r="CA155" s="479">
        <f>'Hodnocení '!CA151</f>
        <v>0</v>
      </c>
      <c r="CB155" s="479">
        <f>'Hodnocení '!CB151</f>
        <v>571519.10142146726</v>
      </c>
      <c r="CC155" s="479">
        <f>'Hodnocení '!CC151</f>
        <v>2238055.6625416637</v>
      </c>
      <c r="CD155" s="479">
        <f>'Hodnocení '!CD151</f>
        <v>637848.21685573971</v>
      </c>
      <c r="CE155" s="479">
        <f>'Hodnocení '!CE151</f>
        <v>9715050.1253167707</v>
      </c>
      <c r="CF155" s="479">
        <f>'Hodnocení '!CF151</f>
        <v>4453617.8393289512</v>
      </c>
      <c r="CG155" s="479">
        <f>'Hodnocení '!CG151</f>
        <v>8794581.4960704464</v>
      </c>
      <c r="CH155" s="479">
        <f>'Hodnocení '!CH151</f>
        <v>3959479.0792496316</v>
      </c>
      <c r="CI155" s="479">
        <f>'Hodnocení '!CI151</f>
        <v>3297218.8114025602</v>
      </c>
      <c r="CJ155" s="479">
        <f>'Hodnocení '!CJ151</f>
        <v>3854195.0818283353</v>
      </c>
      <c r="CK155" s="479">
        <f>'Hodnocení '!CK151</f>
        <v>4466000</v>
      </c>
      <c r="CL155" s="479">
        <f>'Hodnocení '!CL151</f>
        <v>2555360.1512724077</v>
      </c>
      <c r="CM155" s="479">
        <f>'Hodnocení '!CM151</f>
        <v>6012336.4399863137</v>
      </c>
      <c r="CN155" s="479">
        <f>'Hodnocení '!CN151</f>
        <v>1342009.9127194914</v>
      </c>
      <c r="CO155" s="479">
        <f>'Hodnocení '!CO151</f>
        <v>1214500</v>
      </c>
      <c r="CP155" s="479">
        <f>'Hodnocení '!CP151</f>
        <v>1268807.7168003041</v>
      </c>
      <c r="CQ155" s="479">
        <f>'Hodnocení '!CQ151</f>
        <v>5515036.573718125</v>
      </c>
      <c r="CR155" s="479">
        <f>'Hodnocení '!CR151</f>
        <v>2331094</v>
      </c>
      <c r="CS155" s="479">
        <f>'Hodnocení '!CS151</f>
        <v>3402237.5858069072</v>
      </c>
      <c r="CT155" s="479">
        <f>'Hodnocení '!CT151</f>
        <v>5929679.8103662794</v>
      </c>
      <c r="CU155" s="479">
        <f>'Hodnocení '!CU151</f>
        <v>1875000</v>
      </c>
      <c r="CV155" s="479">
        <f>'Hodnocení '!CV151</f>
        <v>5644990.9859210327</v>
      </c>
      <c r="CW155" s="479">
        <f>'Hodnocení '!CW151</f>
        <v>400000</v>
      </c>
      <c r="CX155" s="479">
        <f>'Hodnocení '!CX151</f>
        <v>3457000</v>
      </c>
      <c r="CY155" s="479">
        <f>'Hodnocení '!CY151</f>
        <v>2881083.2839012085</v>
      </c>
      <c r="CZ155" s="479">
        <f>'Hodnocení '!CZ151</f>
        <v>1374700</v>
      </c>
      <c r="DA155" s="479">
        <f>'Hodnocení '!DA151</f>
        <v>7650000</v>
      </c>
      <c r="DB155" s="479">
        <f>'Hodnocení '!DB151</f>
        <v>760808</v>
      </c>
      <c r="DC155" s="479">
        <f>'Hodnocení '!DC151</f>
        <v>1952214.4635382525</v>
      </c>
      <c r="DD155" s="479">
        <f>'Hodnocení '!DD151</f>
        <v>5370629.645727817</v>
      </c>
      <c r="DE155" s="479">
        <f>'Hodnocení '!DE151</f>
        <v>7596996.8713862468</v>
      </c>
      <c r="DF155" s="479">
        <f>'Hodnocení '!DF151</f>
        <v>4660760</v>
      </c>
      <c r="DG155" s="479">
        <f>'Hodnocení '!DG151</f>
        <v>802938.16515118408</v>
      </c>
      <c r="DH155" s="479">
        <f>'Hodnocení '!DH151</f>
        <v>2437341.0743335127</v>
      </c>
      <c r="DI155" s="479">
        <f>'Hodnocení '!DI151</f>
        <v>1137805.3840966881</v>
      </c>
      <c r="DJ155" s="479">
        <f>'Hodnocení '!DJ151</f>
        <v>1854835.0236859601</v>
      </c>
      <c r="DK155" s="479">
        <f>'Hodnocení '!DK151</f>
        <v>2577327.818091928</v>
      </c>
      <c r="DL155" s="479">
        <f>'Hodnocení '!DL151</f>
        <v>4094296.2218004535</v>
      </c>
      <c r="DM155" s="479">
        <f>'Hodnocení '!DM151</f>
        <v>1905503.0838138557</v>
      </c>
      <c r="DN155" s="479">
        <f>'Hodnocení '!DN151</f>
        <v>3604667</v>
      </c>
      <c r="DO155" s="479">
        <f>'Hodnocení '!DO151</f>
        <v>1402300.3922101089</v>
      </c>
      <c r="DP155" s="479">
        <f>'Hodnocení '!DP151</f>
        <v>4045363.78</v>
      </c>
      <c r="DQ155" s="479">
        <f>'Hodnocení '!DQ151</f>
        <v>3939645</v>
      </c>
      <c r="DR155" s="479">
        <f>'Hodnocení '!DR151</f>
        <v>4423025</v>
      </c>
      <c r="DS155" s="479">
        <f>'Hodnocení '!DS151</f>
        <v>878000</v>
      </c>
      <c r="DT155" s="479">
        <f>'Hodnocení '!DT151</f>
        <v>3015000</v>
      </c>
      <c r="DU155" s="479">
        <f>'Hodnocení '!DU151</f>
        <v>2119508.9633388799</v>
      </c>
      <c r="DV155" s="479">
        <f>'Hodnocení '!DV151</f>
        <v>4423333</v>
      </c>
      <c r="DW155" s="479">
        <f>'Hodnocení '!DW151</f>
        <v>1463011.5734570101</v>
      </c>
      <c r="DX155" s="479">
        <f>'Hodnocení '!DX151</f>
        <v>4464719.1541079516</v>
      </c>
      <c r="DY155" s="479">
        <f>'Hodnocení '!DY151</f>
        <v>4581142.7504826486</v>
      </c>
      <c r="DZ155" s="479">
        <f>'Hodnocení '!DZ151</f>
        <v>723925.6888148766</v>
      </c>
      <c r="EA155" s="479">
        <f>'Hodnocení '!EA151</f>
        <v>3910500</v>
      </c>
      <c r="EB155" s="479">
        <f>'Hodnocení '!EB151</f>
        <v>4071612.8583436497</v>
      </c>
      <c r="EC155" s="479">
        <f>'Hodnocení '!EC151</f>
        <v>3507637.7512384658</v>
      </c>
      <c r="ED155" s="479">
        <f>'Hodnocení '!ED151</f>
        <v>3789855.4215401057</v>
      </c>
      <c r="EE155" s="479">
        <f>'Hodnocení '!EE151</f>
        <v>610000</v>
      </c>
      <c r="EF155" s="479">
        <f>'Hodnocení '!EF151</f>
        <v>666000</v>
      </c>
      <c r="EG155" s="479">
        <f>'Hodnocení '!EG151</f>
        <v>425000</v>
      </c>
      <c r="EH155" s="479">
        <f>'Hodnocení '!EH151</f>
        <v>595000</v>
      </c>
      <c r="EI155" s="479">
        <f>'Hodnocení '!EI151</f>
        <v>1025000</v>
      </c>
      <c r="EJ155" s="479">
        <f>'Hodnocení '!EJ151</f>
        <v>1254497.1182819521</v>
      </c>
      <c r="EK155" s="479">
        <f>'Hodnocení '!EK151</f>
        <v>3932042</v>
      </c>
      <c r="EL155" s="479">
        <f>'Hodnocení '!EL151</f>
        <v>8896075.9201217424</v>
      </c>
      <c r="EM155" s="479">
        <f>'Hodnocení '!EM151</f>
        <v>2765690.3194428757</v>
      </c>
      <c r="EN155" s="479">
        <f>'Hodnocení '!EN151</f>
        <v>2526602</v>
      </c>
      <c r="EO155" s="479">
        <f>'Hodnocení '!EO151</f>
        <v>326536.14681555587</v>
      </c>
      <c r="EP155" s="479">
        <f>'Hodnocení '!EP151</f>
        <v>2970065</v>
      </c>
      <c r="EQ155" s="479">
        <f>'Hodnocení '!EQ151</f>
        <v>2268152.5044244276</v>
      </c>
      <c r="ER155" s="479">
        <f>'Hodnocení '!ER151</f>
        <v>6229000</v>
      </c>
      <c r="ES155" s="479">
        <f>'Hodnocení '!ES151</f>
        <v>2889369.4473401564</v>
      </c>
      <c r="ET155" s="479">
        <f>'Hodnocení '!ET151</f>
        <v>901340</v>
      </c>
      <c r="EU155" s="479">
        <f>'Hodnocení '!EU151</f>
        <v>2056000</v>
      </c>
      <c r="EV155" s="479">
        <f>'Hodnocení '!EV151</f>
        <v>443085.98782481399</v>
      </c>
      <c r="EW155" s="479">
        <f>'Hodnocení '!EW151</f>
        <v>2505057.7705038232</v>
      </c>
      <c r="EX155" s="479">
        <f>'Hodnocení '!EX151</f>
        <v>5574308.9853405347</v>
      </c>
      <c r="EY155" s="479">
        <f>'Hodnocení '!EY151</f>
        <v>2059165.8751551495</v>
      </c>
      <c r="EZ155" s="479">
        <f>'Hodnocení '!EZ151</f>
        <v>0</v>
      </c>
      <c r="FA155" s="479">
        <f>'Hodnocení '!FA151</f>
        <v>990000</v>
      </c>
      <c r="FB155" s="479">
        <f>'Hodnocení '!FB151</f>
        <v>177814.53304874955</v>
      </c>
      <c r="FC155" s="479">
        <f>'Hodnocení '!FC151</f>
        <v>3042203.9813623684</v>
      </c>
      <c r="FD155" s="479">
        <f>'Hodnocení '!FD151</f>
        <v>1059104.6825002881</v>
      </c>
      <c r="FE155" s="479">
        <f>'Hodnocení '!FE151</f>
        <v>343252.91334718862</v>
      </c>
      <c r="FF155" s="479">
        <f>'Hodnocení '!FF151</f>
        <v>1441591.96</v>
      </c>
      <c r="FG155" s="479">
        <f>'Hodnocení '!FG151</f>
        <v>5703200</v>
      </c>
      <c r="FH155" s="479">
        <f>'Hodnocení '!FH151</f>
        <v>5790606.0491879787</v>
      </c>
      <c r="FI155" s="479">
        <f>'Hodnocení '!FI151</f>
        <v>7582387.4650456514</v>
      </c>
      <c r="FJ155" s="479">
        <f>'Hodnocení '!FJ151</f>
        <v>1854520.9697589942</v>
      </c>
      <c r="FK155" s="479">
        <f>'Hodnocení '!FK151</f>
        <v>117156.2027371416</v>
      </c>
      <c r="FL155" s="479">
        <f>'Hodnocení '!FL151</f>
        <v>289530.78772289003</v>
      </c>
      <c r="FM155" s="479">
        <f>'Hodnocení '!FM151</f>
        <v>943015.1290333569</v>
      </c>
      <c r="FN155" s="479">
        <f>'Hodnocení '!FN151</f>
        <v>7003025.5498415343</v>
      </c>
      <c r="FO155" s="479">
        <f>'Hodnocení '!FO151</f>
        <v>1654621.1373999999</v>
      </c>
      <c r="FP155" s="479">
        <f>'Hodnocení '!FP151</f>
        <v>12351204.308851836</v>
      </c>
      <c r="FQ155" s="479">
        <f>'Hodnocení '!FQ151</f>
        <v>1972278.2238</v>
      </c>
      <c r="FR155" s="479">
        <f>'Hodnocení '!FR151</f>
        <v>2840805.433337939</v>
      </c>
      <c r="FS155" s="479">
        <f>'Hodnocení '!FS151</f>
        <v>464007.95</v>
      </c>
      <c r="FT155" s="479">
        <f>'Hodnocení '!FT151</f>
        <v>3255891.8040901599</v>
      </c>
      <c r="FU155" s="479">
        <f>'Hodnocení '!FU151</f>
        <v>465828.80444292724</v>
      </c>
      <c r="FV155" s="479">
        <f>'Hodnocení '!FV151</f>
        <v>559247.1692367394</v>
      </c>
      <c r="FW155" s="479">
        <f>'Hodnocení '!FW151</f>
        <v>937680.03042577044</v>
      </c>
      <c r="FX155" s="479">
        <f>'Hodnocení '!FX151</f>
        <v>384533.50336206751</v>
      </c>
      <c r="FY155" s="479">
        <f>'Hodnocení '!FY151</f>
        <v>200000</v>
      </c>
      <c r="FZ155" s="479">
        <f>'Hodnocení '!FZ151</f>
        <v>2571154.0852688877</v>
      </c>
      <c r="GA155" s="479">
        <f>'Hodnocení '!GA151</f>
        <v>235086.12772381899</v>
      </c>
      <c r="GB155" s="479">
        <f>'Hodnocení '!GB151</f>
        <v>2245960.1198871755</v>
      </c>
      <c r="GC155" s="479">
        <f>'Hodnocení '!GC151</f>
        <v>2171084.1398516875</v>
      </c>
      <c r="GD155" s="479">
        <f>'Hodnocení '!GD151</f>
        <v>7928941.2458636481</v>
      </c>
      <c r="GE155" s="479">
        <f>'Hodnocení '!GE151</f>
        <v>1229450.065998916</v>
      </c>
      <c r="GF155" s="479">
        <f>'Hodnocení '!GF151</f>
        <v>3881575.8495693267</v>
      </c>
      <c r="GG155" s="479">
        <f>'Hodnocení '!GG151</f>
        <v>1157418.4633801784</v>
      </c>
      <c r="GH155" s="479">
        <f>'Hodnocení '!GH151</f>
        <v>1054717</v>
      </c>
      <c r="GI155" s="479">
        <f>'Hodnocení '!GI151</f>
        <v>7754404.1747833164</v>
      </c>
      <c r="GJ155" s="479">
        <f>'Hodnocení '!GJ151</f>
        <v>1839200.3392906617</v>
      </c>
      <c r="GK155" s="479">
        <f>'Hodnocení '!GK151</f>
        <v>600000</v>
      </c>
      <c r="GL155" s="479">
        <f>'Hodnocení '!GL151</f>
        <v>469954.02825609827</v>
      </c>
      <c r="GM155" s="479">
        <f>'Hodnocení '!GM151</f>
        <v>692537.52275552833</v>
      </c>
      <c r="GN155" s="479">
        <f>'Hodnocení '!GN151</f>
        <v>788769.06011215365</v>
      </c>
      <c r="GO155" s="479">
        <f>'Hodnocení '!GO151</f>
        <v>4468795.486137961</v>
      </c>
      <c r="GP155" s="479">
        <f>'Hodnocení '!GP151</f>
        <v>484458.62365770375</v>
      </c>
      <c r="GQ155" s="479">
        <f>'Hodnocení '!GQ151</f>
        <v>309592.78871686111</v>
      </c>
      <c r="GR155" s="479">
        <f>'Hodnocení '!GR151</f>
        <v>610000</v>
      </c>
      <c r="GS155" s="479">
        <f>'Hodnocení '!GS151</f>
        <v>0</v>
      </c>
      <c r="GT155" s="479">
        <f>'Hodnocení '!GT151</f>
        <v>8684791.9089435674</v>
      </c>
      <c r="GU155" s="479">
        <f>'Hodnocení '!GU151</f>
        <v>807440</v>
      </c>
      <c r="GV155" s="479">
        <f>'Hodnocení '!GV151</f>
        <v>5000000</v>
      </c>
      <c r="GW155" s="479">
        <f>'Hodnocení '!GW151</f>
        <v>941724.88907427166</v>
      </c>
      <c r="GX155" s="479">
        <f>'Hodnocení '!GX151</f>
        <v>150000</v>
      </c>
      <c r="GY155" s="479">
        <f>'Hodnocení '!GY151</f>
        <v>11169700.678891907</v>
      </c>
      <c r="GZ155" s="479">
        <f>'Hodnocení '!GZ151</f>
        <v>3222820.7912944802</v>
      </c>
      <c r="HA155" s="479">
        <f>'Hodnocení '!HA151</f>
        <v>5200000</v>
      </c>
      <c r="HB155" s="479">
        <f>'Hodnocení '!HB151</f>
        <v>2241824.8575916188</v>
      </c>
      <c r="HC155" s="479">
        <f>'Hodnocení '!HC151</f>
        <v>5534657.4581430918</v>
      </c>
      <c r="HD155" s="479">
        <f>'Hodnocení '!HD151</f>
        <v>1908552.7255373849</v>
      </c>
      <c r="HE155" s="479">
        <f>'Hodnocení '!HE151</f>
        <v>4945200</v>
      </c>
      <c r="HF155" s="479">
        <f>'Hodnocení '!HF151</f>
        <v>780918.93476073246</v>
      </c>
      <c r="HG155" s="479">
        <f>'Hodnocení '!HG151</f>
        <v>483764.13760522264</v>
      </c>
      <c r="HH155" s="479">
        <f>'Hodnocení '!HH151</f>
        <v>1870575.3205709462</v>
      </c>
      <c r="HI155" s="479">
        <f>'Hodnocení '!HI151</f>
        <v>1243943.1770259617</v>
      </c>
      <c r="HJ155" s="479">
        <f>'Hodnocení '!HJ151</f>
        <v>997908.83102156827</v>
      </c>
      <c r="HK155" s="479">
        <f>'Hodnocení '!HK151</f>
        <v>0</v>
      </c>
      <c r="HL155" s="479">
        <f>'Hodnocení '!HL151</f>
        <v>37616967.243574739</v>
      </c>
      <c r="HM155" s="479">
        <f>'Hodnocení '!HM151</f>
        <v>25001512.541579325</v>
      </c>
      <c r="HN155" s="479">
        <f>'Hodnocení '!HN151</f>
        <v>992757.48207886913</v>
      </c>
      <c r="HO155" s="479">
        <f>'Hodnocení '!HO151</f>
        <v>2847160.6666890793</v>
      </c>
      <c r="HP155" s="479">
        <f>'Hodnocení '!HP151</f>
        <v>27787218</v>
      </c>
      <c r="HQ155" s="479">
        <f>'Hodnocení '!HQ151</f>
        <v>978043.38080963399</v>
      </c>
      <c r="HR155" s="479">
        <f>'Hodnocení '!HR151</f>
        <v>34333691.281565279</v>
      </c>
      <c r="HS155" s="479">
        <f>'Hodnocení '!HS151</f>
        <v>6456227.33762509</v>
      </c>
      <c r="HT155" s="479">
        <f>'Hodnocení '!HT151</f>
        <v>22599685</v>
      </c>
      <c r="HU155" s="479">
        <f>'Hodnocení '!HU151</f>
        <v>21507994</v>
      </c>
      <c r="HV155" s="479">
        <f>'Hodnocení '!HV151</f>
        <v>18189127</v>
      </c>
      <c r="HW155" s="479">
        <f>'Hodnocení '!HW151</f>
        <v>4980541.9659980796</v>
      </c>
      <c r="HX155" s="479">
        <f>'Hodnocení '!HX151</f>
        <v>20738568.03400192</v>
      </c>
      <c r="HY155" s="479">
        <f>'Hodnocení '!HY151</f>
        <v>21105762</v>
      </c>
      <c r="HZ155" s="479">
        <f>'Hodnocení '!HZ151</f>
        <v>9565941</v>
      </c>
      <c r="IA155" s="479">
        <f>'Hodnocení '!IA151</f>
        <v>9107487</v>
      </c>
      <c r="IB155" s="479">
        <f>'Hodnocení '!IB151</f>
        <v>9035181</v>
      </c>
      <c r="IC155" s="479">
        <f>'Hodnocení '!IC151</f>
        <v>11233714.822746631</v>
      </c>
      <c r="ID155" s="479">
        <f>'Hodnocení '!ID151</f>
        <v>9255791.1772533692</v>
      </c>
      <c r="IE155" s="479">
        <f>'Hodnocení '!IE151</f>
        <v>16688892</v>
      </c>
      <c r="IF155" s="479">
        <f>'Hodnocení '!IF151</f>
        <v>20509987.198794641</v>
      </c>
      <c r="IG155" s="479">
        <f>'Hodnocení '!IG151</f>
        <v>5446079.8012053594</v>
      </c>
      <c r="IH155" s="479">
        <f>'Hodnocení '!IH151</f>
        <v>3012886.5890955012</v>
      </c>
      <c r="II155" s="479">
        <f>'Hodnocení '!II151</f>
        <v>21271865.049244203</v>
      </c>
      <c r="IJ155" s="479">
        <f>'Hodnocení '!IJ151</f>
        <v>1774908.5338407224</v>
      </c>
      <c r="IK155" s="479">
        <f>'Hodnocení '!IK151</f>
        <v>3740263.7456418383</v>
      </c>
      <c r="IL155" s="479">
        <f>'Hodnocení '!IL151</f>
        <v>10104656</v>
      </c>
      <c r="IM155" s="479">
        <f>'Hodnocení '!IM151</f>
        <v>701837.84282009513</v>
      </c>
      <c r="IN155" s="479">
        <f>'Hodnocení '!IN151</f>
        <v>10213951.504810652</v>
      </c>
      <c r="IO155" s="479">
        <f>'Hodnocení '!IO151</f>
        <v>3412493.6523692533</v>
      </c>
      <c r="IP155" s="479">
        <f>'Hodnocení '!IP151</f>
        <v>22515867</v>
      </c>
      <c r="IQ155" s="479">
        <f>'Hodnocení '!IQ151</f>
        <v>22563962.666168727</v>
      </c>
      <c r="IR155" s="479">
        <f>'Hodnocení '!IR151</f>
        <v>1003066.3338312713</v>
      </c>
      <c r="IS155" s="479">
        <f>'Hodnocení '!IS151</f>
        <v>54465674.509968989</v>
      </c>
      <c r="IT155" s="479">
        <f>'Hodnocení '!IT151</f>
        <v>12509859.490031006</v>
      </c>
      <c r="IU155" s="479">
        <f>'Hodnocení '!IU151</f>
        <v>3182630.0362361362</v>
      </c>
      <c r="IV155" s="479">
        <f>'Hodnocení '!IV151</f>
        <v>8522404.8188311569</v>
      </c>
      <c r="IW155" s="479">
        <f>'Hodnocení '!IW151</f>
        <v>15638894.711101327</v>
      </c>
      <c r="IX155" s="479">
        <f>'Hodnocení '!IX151</f>
        <v>1813436.4338313788</v>
      </c>
      <c r="IY155" s="479">
        <f>'Hodnocení '!IY151</f>
        <v>5604648.4471565681</v>
      </c>
      <c r="IZ155" s="479">
        <f>'Hodnocení '!IZ151</f>
        <v>20877943.552843433</v>
      </c>
      <c r="JA155" s="479">
        <f>'Hodnocení '!JA151</f>
        <v>3037151.73</v>
      </c>
      <c r="JB155" s="479">
        <f>'Hodnocení '!JB151</f>
        <v>2895174.04</v>
      </c>
      <c r="JC155" s="479">
        <f>'Hodnocení '!JC151</f>
        <v>2268778.09</v>
      </c>
      <c r="JD155" s="479">
        <f>'Hodnocení '!JD151</f>
        <v>3876588.7</v>
      </c>
      <c r="JE155" s="479">
        <f>'Hodnocení '!JE151</f>
        <v>1159105.145059247</v>
      </c>
      <c r="JF155" s="479">
        <f>'Hodnocení '!JF151</f>
        <v>33383599.85494075</v>
      </c>
      <c r="JG155" s="479">
        <f>'Hodnocení '!JG151</f>
        <v>30041537</v>
      </c>
      <c r="JH155" s="780">
        <f>'Hodnocení '!JH151</f>
        <v>868740</v>
      </c>
      <c r="JI155" s="470">
        <f>'Hodnocení '!JI151</f>
        <v>1242250949.4867289</v>
      </c>
    </row>
    <row r="156" spans="1:276" hidden="1" x14ac:dyDescent="0.25">
      <c r="B156" s="733" t="s">
        <v>1828</v>
      </c>
      <c r="C156" s="779">
        <f>'Hodnocení '!C152</f>
        <v>1235422.5558247231</v>
      </c>
      <c r="D156" s="479">
        <f>'Hodnocení '!D152</f>
        <v>1406900</v>
      </c>
      <c r="E156" s="479">
        <f>'Hodnocení '!E152</f>
        <v>102779.40881070029</v>
      </c>
      <c r="F156" s="479">
        <f>'Hodnocení '!F152</f>
        <v>132284.70883535733</v>
      </c>
      <c r="G156" s="479">
        <f>'Hodnocení '!G152</f>
        <v>1429653.1272905953</v>
      </c>
      <c r="H156" s="479">
        <f>'Hodnocení '!H152</f>
        <v>65710.416111308965</v>
      </c>
      <c r="I156" s="479">
        <f>'Hodnocení '!I152</f>
        <v>941977.47419521306</v>
      </c>
      <c r="J156" s="479">
        <f>'Hodnocení '!J152</f>
        <v>85670.548336183652</v>
      </c>
      <c r="K156" s="479">
        <f>'Hodnocení '!K152</f>
        <v>618538</v>
      </c>
      <c r="L156" s="479">
        <f>'Hodnocení '!L152</f>
        <v>0</v>
      </c>
      <c r="M156" s="479">
        <f>'Hodnocení '!M152</f>
        <v>30486.238895765971</v>
      </c>
      <c r="N156" s="479">
        <f>'Hodnocení '!N152</f>
        <v>115828.6030266704</v>
      </c>
      <c r="O156" s="479">
        <f>'Hodnocení '!O152</f>
        <v>151212</v>
      </c>
      <c r="P156" s="479">
        <f>'Hodnocení '!P152</f>
        <v>108010.00218168925</v>
      </c>
      <c r="Q156" s="479">
        <f>'Hodnocení '!Q152</f>
        <v>371221.47910101549</v>
      </c>
      <c r="R156" s="479">
        <f>'Hodnocení '!R152</f>
        <v>-94718.100000000093</v>
      </c>
      <c r="S156" s="479">
        <f>'Hodnocení '!S152</f>
        <v>0</v>
      </c>
      <c r="T156" s="479">
        <f>'Hodnocení '!T152</f>
        <v>31437.510778153781</v>
      </c>
      <c r="U156" s="479">
        <f>'Hodnocení '!U152</f>
        <v>-11704</v>
      </c>
      <c r="V156" s="479">
        <f>'Hodnocení '!V152</f>
        <v>-740000</v>
      </c>
      <c r="W156" s="479">
        <f>'Hodnocení '!W152</f>
        <v>305000</v>
      </c>
      <c r="X156" s="479">
        <f>'Hodnocení '!X152</f>
        <v>994445.80950857792</v>
      </c>
      <c r="Y156" s="479">
        <f>'Hodnocení '!Y152</f>
        <v>12890</v>
      </c>
      <c r="Z156" s="479">
        <f>'Hodnocení '!Z152</f>
        <v>379924</v>
      </c>
      <c r="AA156" s="479">
        <f>'Hodnocení '!AA152</f>
        <v>394885.44902487379</v>
      </c>
      <c r="AB156" s="479">
        <f>'Hodnocení '!AB152</f>
        <v>630190.70572241349</v>
      </c>
      <c r="AC156" s="479">
        <f>'Hodnocení '!AC152</f>
        <v>-1367499.6880516675</v>
      </c>
      <c r="AD156" s="479">
        <f>'Hodnocení '!AD152</f>
        <v>744989.12062356528</v>
      </c>
      <c r="AE156" s="479">
        <f>'Hodnocení '!AE152</f>
        <v>76840.525898943888</v>
      </c>
      <c r="AF156" s="479">
        <f>'Hodnocení '!AF152</f>
        <v>1219244.9295379585</v>
      </c>
      <c r="AG156" s="479">
        <f>'Hodnocení '!AG152</f>
        <v>125060.75486989692</v>
      </c>
      <c r="AH156" s="479">
        <f>'Hodnocení '!AH152</f>
        <v>-7266</v>
      </c>
      <c r="AI156" s="479">
        <f>'Hodnocení '!AI152</f>
        <v>510300</v>
      </c>
      <c r="AJ156" s="479">
        <f>'Hodnocení '!AJ152</f>
        <v>134700</v>
      </c>
      <c r="AK156" s="479">
        <f>'Hodnocení '!AK152</f>
        <v>53995</v>
      </c>
      <c r="AL156" s="479">
        <f>'Hodnocení '!AL152</f>
        <v>92493.163351077586</v>
      </c>
      <c r="AM156" s="479">
        <f>'Hodnocení '!AM152</f>
        <v>125216.37263412308</v>
      </c>
      <c r="AN156" s="479">
        <f>'Hodnocení '!AN152</f>
        <v>121055.19849877898</v>
      </c>
      <c r="AO156" s="479">
        <f>'Hodnocení '!AO152</f>
        <v>1154727.5596356187</v>
      </c>
      <c r="AP156" s="479">
        <f>'Hodnocení '!AP152</f>
        <v>-135009.8837703988</v>
      </c>
      <c r="AQ156" s="479">
        <f>'Hodnocení '!AQ152</f>
        <v>163062</v>
      </c>
      <c r="AR156" s="479">
        <f>'Hodnocení '!AR152</f>
        <v>401149.39925084589</v>
      </c>
      <c r="AS156" s="479">
        <f>'Hodnocení '!AS152</f>
        <v>44681.220223333861</v>
      </c>
      <c r="AT156" s="479">
        <f>'Hodnocení '!AT152</f>
        <v>322367.43236834183</v>
      </c>
      <c r="AU156" s="479">
        <f>'Hodnocení '!AU152</f>
        <v>97944.93946642126</v>
      </c>
      <c r="AV156" s="479">
        <f>'Hodnocení '!AV152</f>
        <v>137042.67729522614</v>
      </c>
      <c r="AW156" s="479">
        <f>'Hodnocení '!AW152</f>
        <v>272535.54269331275</v>
      </c>
      <c r="AX156" s="479">
        <f>'Hodnocení '!AX152</f>
        <v>270115.31108075101</v>
      </c>
      <c r="AY156" s="479">
        <f>'Hodnocení '!AY152</f>
        <v>208738.54065689072</v>
      </c>
      <c r="AZ156" s="479">
        <f>'Hodnocení '!AZ152</f>
        <v>49765</v>
      </c>
      <c r="BA156" s="479">
        <f>'Hodnocení '!BA152</f>
        <v>1814732</v>
      </c>
      <c r="BB156" s="479">
        <f>'Hodnocení '!BB152</f>
        <v>292796</v>
      </c>
      <c r="BC156" s="479">
        <f>'Hodnocení '!BC152</f>
        <v>214997.49380253232</v>
      </c>
      <c r="BD156" s="479">
        <f>'Hodnocení '!BD152</f>
        <v>638438.33257854311</v>
      </c>
      <c r="BE156" s="479">
        <f>'Hodnocení '!BE152</f>
        <v>86784.356650778558</v>
      </c>
      <c r="BF156" s="479">
        <f>'Hodnocení '!BF152</f>
        <v>131040</v>
      </c>
      <c r="BG156" s="479">
        <f>'Hodnocení '!BG152</f>
        <v>154784</v>
      </c>
      <c r="BH156" s="479">
        <f>'Hodnocení '!BH152</f>
        <v>127041.24156050989</v>
      </c>
      <c r="BI156" s="479">
        <f>'Hodnocení '!BI152</f>
        <v>-198100</v>
      </c>
      <c r="BJ156" s="479">
        <f>'Hodnocení '!BJ152</f>
        <v>81837.853564726654</v>
      </c>
      <c r="BK156" s="479">
        <f>'Hodnocení '!BK152</f>
        <v>136000</v>
      </c>
      <c r="BL156" s="479">
        <f>'Hodnocení '!BL152</f>
        <v>455138.49500087276</v>
      </c>
      <c r="BM156" s="479">
        <f>'Hodnocení '!BM152</f>
        <v>849726</v>
      </c>
      <c r="BN156" s="479">
        <f>'Hodnocení '!BN152</f>
        <v>59101.993153743446</v>
      </c>
      <c r="BO156" s="479">
        <f>'Hodnocení '!BO152</f>
        <v>263269.65247524576</v>
      </c>
      <c r="BP156" s="479">
        <f>'Hodnocení '!BP152</f>
        <v>732773</v>
      </c>
      <c r="BQ156" s="479">
        <f>'Hodnocení '!BQ152</f>
        <v>31797.455608832184</v>
      </c>
      <c r="BR156" s="479">
        <f>'Hodnocení '!BR152</f>
        <v>138681</v>
      </c>
      <c r="BS156" s="479">
        <f>'Hodnocení '!BS152</f>
        <v>2382.2989678741433</v>
      </c>
      <c r="BT156" s="479">
        <f>'Hodnocení '!BT152</f>
        <v>54060.266167230671</v>
      </c>
      <c r="BU156" s="479">
        <f>'Hodnocení '!BU152</f>
        <v>0</v>
      </c>
      <c r="BV156" s="479">
        <f>'Hodnocení '!BV152</f>
        <v>588998.0353182531</v>
      </c>
      <c r="BW156" s="479">
        <f>'Hodnocení '!BW152</f>
        <v>0</v>
      </c>
      <c r="BX156" s="479">
        <f>'Hodnocení '!BX152</f>
        <v>1153636.1910633538</v>
      </c>
      <c r="BY156" s="479">
        <f>'Hodnocení '!BY152</f>
        <v>0</v>
      </c>
      <c r="BZ156" s="479">
        <f>'Hodnocení '!BZ152</f>
        <v>0</v>
      </c>
      <c r="CA156" s="479">
        <f>'Hodnocení '!CA152</f>
        <v>0</v>
      </c>
      <c r="CB156" s="479">
        <f>'Hodnocení '!CB152</f>
        <v>39256.101421467261</v>
      </c>
      <c r="CC156" s="479">
        <f>'Hodnocení '!CC152</f>
        <v>117637.66254166374</v>
      </c>
      <c r="CD156" s="479">
        <f>'Hodnocení '!CD152</f>
        <v>-9487.783144260291</v>
      </c>
      <c r="CE156" s="479">
        <f>'Hodnocení '!CE152</f>
        <v>1446195.1253167707</v>
      </c>
      <c r="CF156" s="479">
        <f>'Hodnocení '!CF152</f>
        <v>127617.8393289512</v>
      </c>
      <c r="CG156" s="479">
        <f>'Hodnocení '!CG152</f>
        <v>570095.49607044645</v>
      </c>
      <c r="CH156" s="479">
        <f>'Hodnocení '!CH152</f>
        <v>305133.07924963161</v>
      </c>
      <c r="CI156" s="479">
        <f>'Hodnocení '!CI152</f>
        <v>414452.81140256021</v>
      </c>
      <c r="CJ156" s="479">
        <f>'Hodnocení '!CJ152</f>
        <v>394665.0818283353</v>
      </c>
      <c r="CK156" s="479">
        <f>'Hodnocení '!CK152</f>
        <v>289377</v>
      </c>
      <c r="CL156" s="479">
        <f>'Hodnocení '!CL152</f>
        <v>170391.15127240773</v>
      </c>
      <c r="CM156" s="479">
        <f>'Hodnocení '!CM152</f>
        <v>691676.43998631369</v>
      </c>
      <c r="CN156" s="479">
        <f>'Hodnocení '!CN152</f>
        <v>59434.772719491506</v>
      </c>
      <c r="CO156" s="479">
        <f>'Hodnocení '!CO152</f>
        <v>0</v>
      </c>
      <c r="CP156" s="479">
        <f>'Hodnocení '!CP152</f>
        <v>30382.256800304167</v>
      </c>
      <c r="CQ156" s="479">
        <f>'Hodnocení '!CQ152</f>
        <v>908770.573718125</v>
      </c>
      <c r="CR156" s="479">
        <f>'Hodnocení '!CR152</f>
        <v>714294</v>
      </c>
      <c r="CS156" s="479">
        <f>'Hodnocení '!CS152</f>
        <v>3402237.5858069072</v>
      </c>
      <c r="CT156" s="479">
        <f>'Hodnocení '!CT152</f>
        <v>859679.81036627945</v>
      </c>
      <c r="CU156" s="479">
        <f>'Hodnocení '!CU152</f>
        <v>474500</v>
      </c>
      <c r="CV156" s="479">
        <f>'Hodnocení '!CV152</f>
        <v>613490.98592103273</v>
      </c>
      <c r="CW156" s="479">
        <f>'Hodnocení '!CW152</f>
        <v>128599</v>
      </c>
      <c r="CX156" s="479">
        <f>'Hodnocení '!CX152</f>
        <v>329000</v>
      </c>
      <c r="CY156" s="479">
        <f>'Hodnocení '!CY152</f>
        <v>132129.28390120855</v>
      </c>
      <c r="CZ156" s="479">
        <f>'Hodnocení '!CZ152</f>
        <v>368000</v>
      </c>
      <c r="DA156" s="479">
        <f>'Hodnocení '!DA152</f>
        <v>2069140</v>
      </c>
      <c r="DB156" s="479">
        <f>'Hodnocení '!DB152</f>
        <v>95480</v>
      </c>
      <c r="DC156" s="479">
        <f>'Hodnocení '!DC152</f>
        <v>328714.46353825252</v>
      </c>
      <c r="DD156" s="479">
        <f>'Hodnocení '!DD152</f>
        <v>690116.64572781697</v>
      </c>
      <c r="DE156" s="479">
        <f>'Hodnocení '!DE152</f>
        <v>429390.87138624676</v>
      </c>
      <c r="DF156" s="479">
        <f>'Hodnocení '!DF152</f>
        <v>-556092</v>
      </c>
      <c r="DG156" s="479">
        <f>'Hodnocení '!DG152</f>
        <v>197198.16515118408</v>
      </c>
      <c r="DH156" s="479">
        <f>'Hodnocení '!DH152</f>
        <v>830973.43433351256</v>
      </c>
      <c r="DI156" s="479">
        <f>'Hodnocení '!DI152</f>
        <v>43865.384096688125</v>
      </c>
      <c r="DJ156" s="479">
        <f>'Hodnocení '!DJ152</f>
        <v>37877.023685960099</v>
      </c>
      <c r="DK156" s="479">
        <f>'Hodnocení '!DK152</f>
        <v>1666856.818091928</v>
      </c>
      <c r="DL156" s="479">
        <f>'Hodnocení '!DL152</f>
        <v>277072.2218004535</v>
      </c>
      <c r="DM156" s="479">
        <f>'Hodnocení '!DM152</f>
        <v>171155.08381385566</v>
      </c>
      <c r="DN156" s="479">
        <f>'Hodnocení '!DN152</f>
        <v>623902</v>
      </c>
      <c r="DO156" s="479">
        <f>'Hodnocení '!DO152</f>
        <v>4525.3922101089265</v>
      </c>
      <c r="DP156" s="479">
        <f>'Hodnocení '!DP152</f>
        <v>0</v>
      </c>
      <c r="DQ156" s="479">
        <f>'Hodnocení '!DQ152</f>
        <v>31793</v>
      </c>
      <c r="DR156" s="479">
        <f>'Hodnocení '!DR152</f>
        <v>-54351</v>
      </c>
      <c r="DS156" s="479">
        <f>'Hodnocení '!DS152</f>
        <v>547000</v>
      </c>
      <c r="DT156" s="479">
        <f>'Hodnocení '!DT152</f>
        <v>108709</v>
      </c>
      <c r="DU156" s="479">
        <f>'Hodnocení '!DU152</f>
        <v>18908.963338879868</v>
      </c>
      <c r="DV156" s="479">
        <f>'Hodnocení '!DV152</f>
        <v>1277856</v>
      </c>
      <c r="DW156" s="479">
        <f>'Hodnocení '!DW152</f>
        <v>251601.57345701009</v>
      </c>
      <c r="DX156" s="479">
        <f>'Hodnocení '!DX152</f>
        <v>433801.15410795156</v>
      </c>
      <c r="DY156" s="479">
        <f>'Hodnocení '!DY152</f>
        <v>825992.75048264861</v>
      </c>
      <c r="DZ156" s="479">
        <f>'Hodnocení '!DZ152</f>
        <v>7625.6888148766011</v>
      </c>
      <c r="EA156" s="479">
        <f>'Hodnocení '!EA152</f>
        <v>15312</v>
      </c>
      <c r="EB156" s="479">
        <f>'Hodnocení '!EB152</f>
        <v>188922.85834364966</v>
      </c>
      <c r="EC156" s="479">
        <f>'Hodnocení '!EC152</f>
        <v>162383.75123846577</v>
      </c>
      <c r="ED156" s="479">
        <f>'Hodnocení '!ED152</f>
        <v>317047.42154010572</v>
      </c>
      <c r="EE156" s="479">
        <f>'Hodnocení '!EE152</f>
        <v>46376</v>
      </c>
      <c r="EF156" s="479">
        <f>'Hodnocení '!EF152</f>
        <v>-3087.5899999999674</v>
      </c>
      <c r="EG156" s="479">
        <f>'Hodnocení '!EG152</f>
        <v>-2828.9899999999907</v>
      </c>
      <c r="EH156" s="479">
        <f>'Hodnocení '!EH152</f>
        <v>35330</v>
      </c>
      <c r="EI156" s="479">
        <f>'Hodnocení '!EI152</f>
        <v>114247</v>
      </c>
      <c r="EJ156" s="479">
        <f>'Hodnocení '!EJ152</f>
        <v>220123.11828195211</v>
      </c>
      <c r="EK156" s="479">
        <f>'Hodnocení '!EK152</f>
        <v>0</v>
      </c>
      <c r="EL156" s="479">
        <f>'Hodnocení '!EL152</f>
        <v>272049.92012174241</v>
      </c>
      <c r="EM156" s="479">
        <f>'Hodnocení '!EM152</f>
        <v>66882.319442875683</v>
      </c>
      <c r="EN156" s="479">
        <f>'Hodnocení '!EN152</f>
        <v>132129</v>
      </c>
      <c r="EO156" s="479">
        <f>'Hodnocení '!EO152</f>
        <v>90118.146815555869</v>
      </c>
      <c r="EP156" s="479">
        <f>'Hodnocení '!EP152</f>
        <v>798942</v>
      </c>
      <c r="EQ156" s="479">
        <f>'Hodnocení '!EQ152</f>
        <v>424030.50442442764</v>
      </c>
      <c r="ER156" s="479">
        <f>'Hodnocení '!ER152</f>
        <v>977132</v>
      </c>
      <c r="ES156" s="479">
        <f>'Hodnocení '!ES152</f>
        <v>118809.44734015642</v>
      </c>
      <c r="ET156" s="479">
        <f>'Hodnocení '!ET152</f>
        <v>901340</v>
      </c>
      <c r="EU156" s="479">
        <f>'Hodnocení '!EU152</f>
        <v>1252000</v>
      </c>
      <c r="EV156" s="479">
        <f>'Hodnocení '!EV152</f>
        <v>217550.98782481399</v>
      </c>
      <c r="EW156" s="479">
        <f>'Hodnocení '!EW152</f>
        <v>148744.77050382318</v>
      </c>
      <c r="EX156" s="479">
        <f>'Hodnocení '!EX152</f>
        <v>170018.98534053471</v>
      </c>
      <c r="EY156" s="479">
        <f>'Hodnocení '!EY152</f>
        <v>14320.875155149493</v>
      </c>
      <c r="EZ156" s="479">
        <f>'Hodnocení '!EZ152</f>
        <v>-111326</v>
      </c>
      <c r="FA156" s="479">
        <f>'Hodnocení '!FA152</f>
        <v>196308</v>
      </c>
      <c r="FB156" s="479">
        <f>'Hodnocení '!FB152</f>
        <v>38053.533048749552</v>
      </c>
      <c r="FC156" s="479">
        <f>'Hodnocení '!FC152</f>
        <v>42203.981362368446</v>
      </c>
      <c r="FD156" s="479">
        <f>'Hodnocení '!FD152</f>
        <v>286643.68250028812</v>
      </c>
      <c r="FE156" s="479">
        <f>'Hodnocení '!FE152</f>
        <v>80752.913347188616</v>
      </c>
      <c r="FF156" s="479">
        <f>'Hodnocení '!FF152</f>
        <v>324471.95999999996</v>
      </c>
      <c r="FG156" s="479">
        <f>'Hodnocení '!FG152</f>
        <v>1019550</v>
      </c>
      <c r="FH156" s="479">
        <f>'Hodnocení '!FH152</f>
        <v>271026.04918797873</v>
      </c>
      <c r="FI156" s="479">
        <f>'Hodnocení '!FI152</f>
        <v>2013900.4650456514</v>
      </c>
      <c r="FJ156" s="479">
        <f>'Hodnocení '!FJ152</f>
        <v>275474.96975899418</v>
      </c>
      <c r="FK156" s="479">
        <f>'Hodnocení '!FK152</f>
        <v>-164695.7972628584</v>
      </c>
      <c r="FL156" s="479">
        <f>'Hodnocení '!FL152</f>
        <v>-312231.21227710997</v>
      </c>
      <c r="FM156" s="479">
        <f>'Hodnocení '!FM152</f>
        <v>-1683387.8709666431</v>
      </c>
      <c r="FN156" s="479">
        <f>'Hodnocení '!FN152</f>
        <v>543645.54984153435</v>
      </c>
      <c r="FO156" s="479">
        <f>'Hodnocení '!FO152</f>
        <v>-5035.8626000001095</v>
      </c>
      <c r="FP156" s="479">
        <f>'Hodnocení '!FP152</f>
        <v>206752.30885183625</v>
      </c>
      <c r="FQ156" s="479">
        <f>'Hodnocení '!FQ152</f>
        <v>62855.223800000036</v>
      </c>
      <c r="FR156" s="479">
        <f>'Hodnocení '!FR152</f>
        <v>2840805.433337939</v>
      </c>
      <c r="FS156" s="479">
        <f>'Hodnocení '!FS152</f>
        <v>-13562.049999999988</v>
      </c>
      <c r="FT156" s="479">
        <f>'Hodnocení '!FT152</f>
        <v>307281.80409015995</v>
      </c>
      <c r="FU156" s="479">
        <f>'Hodnocení '!FU152</f>
        <v>39281.804442927241</v>
      </c>
      <c r="FV156" s="479">
        <f>'Hodnocení '!FV152</f>
        <v>173.16923673939891</v>
      </c>
      <c r="FW156" s="479">
        <f>'Hodnocení '!FW152</f>
        <v>-76054.969574229559</v>
      </c>
      <c r="FX156" s="479">
        <f>'Hodnocení '!FX152</f>
        <v>19607.503362067509</v>
      </c>
      <c r="FY156" s="479">
        <f>'Hodnocení '!FY152</f>
        <v>-9591</v>
      </c>
      <c r="FZ156" s="479">
        <f>'Hodnocení '!FZ152</f>
        <v>-5055.9147311123088</v>
      </c>
      <c r="GA156" s="479">
        <f>'Hodnocení '!GA152</f>
        <v>236.12772381899413</v>
      </c>
      <c r="GB156" s="479">
        <f>'Hodnocení '!GB152</f>
        <v>494640.1198871755</v>
      </c>
      <c r="GC156" s="479">
        <f>'Hodnocení '!GC152</f>
        <v>15555.139851687476</v>
      </c>
      <c r="GD156" s="479">
        <f>'Hodnocení '!GD152</f>
        <v>806650.24586364813</v>
      </c>
      <c r="GE156" s="479">
        <f>'Hodnocení '!GE152</f>
        <v>-109614.93400108395</v>
      </c>
      <c r="GF156" s="479">
        <f>'Hodnocení '!GF152</f>
        <v>291018.84956932673</v>
      </c>
      <c r="GG156" s="479">
        <f>'Hodnocení '!GG152</f>
        <v>-132562.53661982156</v>
      </c>
      <c r="GH156" s="479">
        <f>'Hodnocení '!GH152</f>
        <v>-34865</v>
      </c>
      <c r="GI156" s="479">
        <f>'Hodnocení '!GI152</f>
        <v>855487.17478331644</v>
      </c>
      <c r="GJ156" s="479">
        <f>'Hodnocení '!GJ152</f>
        <v>171699.33929066174</v>
      </c>
      <c r="GK156" s="479">
        <f>'Hodnocení '!GK152</f>
        <v>-66130</v>
      </c>
      <c r="GL156" s="479">
        <f>'Hodnocení '!GL152</f>
        <v>-59341.971743901726</v>
      </c>
      <c r="GM156" s="479">
        <f>'Hodnocení '!GM152</f>
        <v>-60702.477244471665</v>
      </c>
      <c r="GN156" s="479">
        <f>'Hodnocení '!GN152</f>
        <v>185653.06011215365</v>
      </c>
      <c r="GO156" s="479">
        <f>'Hodnocení '!GO152</f>
        <v>887246.48613796104</v>
      </c>
      <c r="GP156" s="479">
        <f>'Hodnocení '!GP152</f>
        <v>-35811.376342296251</v>
      </c>
      <c r="GQ156" s="479">
        <f>'Hodnocení '!GQ152</f>
        <v>-430637.21128313889</v>
      </c>
      <c r="GR156" s="479">
        <f>'Hodnocení '!GR152</f>
        <v>-83152</v>
      </c>
      <c r="GS156" s="479">
        <f>'Hodnocení '!GS152</f>
        <v>-165886</v>
      </c>
      <c r="GT156" s="479">
        <f>'Hodnocení '!GT152</f>
        <v>339289.90894356743</v>
      </c>
      <c r="GU156" s="479">
        <f>'Hodnocení '!GU152</f>
        <v>45869</v>
      </c>
      <c r="GV156" s="479">
        <f>'Hodnocení '!GV152</f>
        <v>40190</v>
      </c>
      <c r="GW156" s="479">
        <f>'Hodnocení '!GW152</f>
        <v>-192141.11092572834</v>
      </c>
      <c r="GX156" s="479">
        <f>'Hodnocení '!GX152</f>
        <v>-4333</v>
      </c>
      <c r="GY156" s="479">
        <f>'Hodnocení '!GY152</f>
        <v>447840.67889190651</v>
      </c>
      <c r="GZ156" s="479">
        <f>'Hodnocení '!GZ152</f>
        <v>3222820.7912944802</v>
      </c>
      <c r="HA156" s="479">
        <f>'Hodnocení '!HA152</f>
        <v>323440</v>
      </c>
      <c r="HB156" s="479">
        <f>'Hodnocení '!HB152</f>
        <v>250364.85759161878</v>
      </c>
      <c r="HC156" s="479">
        <f>'Hodnocení '!HC152</f>
        <v>400657.45814309176</v>
      </c>
      <c r="HD156" s="479">
        <f>'Hodnocení '!HD152</f>
        <v>507252.72553738486</v>
      </c>
      <c r="HE156" s="479">
        <f>'Hodnocení '!HE152</f>
        <v>502000</v>
      </c>
      <c r="HF156" s="479">
        <f>'Hodnocení '!HF152</f>
        <v>73632.93476073246</v>
      </c>
      <c r="HG156" s="479">
        <f>'Hodnocení '!HG152</f>
        <v>-34312.862394777359</v>
      </c>
      <c r="HH156" s="479">
        <f>'Hodnocení '!HH152</f>
        <v>-115202.67942905379</v>
      </c>
      <c r="HI156" s="479">
        <f>'Hodnocení '!HI152</f>
        <v>-270679.82297403831</v>
      </c>
      <c r="HJ156" s="479">
        <f>'Hodnocení '!HJ152</f>
        <v>502448.83102156827</v>
      </c>
      <c r="HK156" s="479">
        <f>'Hodnocení '!HK152</f>
        <v>-144000</v>
      </c>
      <c r="HL156" s="479">
        <f>'Hodnocení '!HL152</f>
        <v>250000</v>
      </c>
      <c r="HM156" s="479">
        <f>'Hodnocení '!HM152</f>
        <v>0</v>
      </c>
      <c r="HN156" s="479">
        <f>'Hodnocení '!HN152</f>
        <v>183981.06669069757</v>
      </c>
      <c r="HO156" s="479">
        <f>'Hodnocení '!HO152</f>
        <v>-29609.132768688723</v>
      </c>
      <c r="HP156" s="479">
        <f>'Hodnocení '!HP152</f>
        <v>0</v>
      </c>
      <c r="HQ156" s="479">
        <f>'Hodnocení '!HQ152</f>
        <v>0</v>
      </c>
      <c r="HR156" s="479">
        <f>'Hodnocení '!HR152</f>
        <v>792500.00000000373</v>
      </c>
      <c r="HS156" s="479">
        <f>'Hodnocení '!HS152</f>
        <v>765000</v>
      </c>
      <c r="HT156" s="479">
        <f>'Hodnocení '!HT152</f>
        <v>0</v>
      </c>
      <c r="HU156" s="479">
        <f>'Hodnocení '!HU152</f>
        <v>0</v>
      </c>
      <c r="HV156" s="479">
        <f>'Hodnocení '!HV152</f>
        <v>1500000</v>
      </c>
      <c r="HW156" s="479">
        <f>'Hodnocení '!HW152</f>
        <v>-1985000</v>
      </c>
      <c r="HX156" s="479">
        <f>'Hodnocení '!HX152</f>
        <v>2755040</v>
      </c>
      <c r="HY156" s="479">
        <f>'Hodnocení '!HY152</f>
        <v>0</v>
      </c>
      <c r="HZ156" s="479">
        <f>'Hodnocení '!HZ152</f>
        <v>0</v>
      </c>
      <c r="IA156" s="479">
        <f>'Hodnocení '!IA152</f>
        <v>0</v>
      </c>
      <c r="IB156" s="479">
        <f>'Hodnocení '!IB152</f>
        <v>460000</v>
      </c>
      <c r="IC156" s="479">
        <f>'Hodnocení '!IC152</f>
        <v>0</v>
      </c>
      <c r="ID156" s="479">
        <f>'Hodnocení '!ID152</f>
        <v>0</v>
      </c>
      <c r="IE156" s="479">
        <f>'Hodnocení '!IE152</f>
        <v>500000</v>
      </c>
      <c r="IF156" s="479">
        <f>'Hodnocení '!IF152</f>
        <v>250000</v>
      </c>
      <c r="IG156" s="479">
        <f>'Hodnocení '!IG152</f>
        <v>0</v>
      </c>
      <c r="IH156" s="479">
        <f>'Hodnocení '!IH152</f>
        <v>0</v>
      </c>
      <c r="II156" s="479">
        <f>'Hodnocení '!II152</f>
        <v>430000</v>
      </c>
      <c r="IJ156" s="479">
        <f>'Hodnocení '!IJ152</f>
        <v>100000</v>
      </c>
      <c r="IK156" s="479">
        <f>'Hodnocení '!IK152</f>
        <v>162704.91782226553</v>
      </c>
      <c r="IL156" s="479">
        <f>'Hodnocení '!IL152</f>
        <v>900000</v>
      </c>
      <c r="IM156" s="479">
        <f>'Hodnocení '!IM152</f>
        <v>0</v>
      </c>
      <c r="IN156" s="479">
        <f>'Hodnocení '!IN152</f>
        <v>0</v>
      </c>
      <c r="IO156" s="479">
        <f>'Hodnocení '!IO152</f>
        <v>0</v>
      </c>
      <c r="IP156" s="479">
        <f>'Hodnocení '!IP152</f>
        <v>0</v>
      </c>
      <c r="IQ156" s="479">
        <f>'Hodnocení '!IQ152</f>
        <v>0</v>
      </c>
      <c r="IR156" s="479">
        <f>'Hodnocení '!IR152</f>
        <v>0</v>
      </c>
      <c r="IS156" s="479">
        <f>'Hodnocení '!IS152</f>
        <v>1399999.9999999925</v>
      </c>
      <c r="IT156" s="479">
        <f>'Hodnocení '!IT152</f>
        <v>300000.00000000186</v>
      </c>
      <c r="IU156" s="479">
        <f>'Hodnocení '!IU152</f>
        <v>0</v>
      </c>
      <c r="IV156" s="479">
        <f>'Hodnocení '!IV152</f>
        <v>0</v>
      </c>
      <c r="IW156" s="479">
        <f>'Hodnocení '!IW152</f>
        <v>0</v>
      </c>
      <c r="IX156" s="479">
        <f>'Hodnocení '!IX152</f>
        <v>0</v>
      </c>
      <c r="IY156" s="479">
        <f>'Hodnocení '!IY152</f>
        <v>-1999999.9999999991</v>
      </c>
      <c r="IZ156" s="479">
        <f>'Hodnocení '!IZ152</f>
        <v>2650000</v>
      </c>
      <c r="JA156" s="479">
        <f>'Hodnocení '!JA152</f>
        <v>0</v>
      </c>
      <c r="JB156" s="479">
        <f>'Hodnocení '!JB152</f>
        <v>0</v>
      </c>
      <c r="JC156" s="479">
        <f>'Hodnocení '!JC152</f>
        <v>0</v>
      </c>
      <c r="JD156" s="479">
        <f>'Hodnocení '!JD152</f>
        <v>-1176392</v>
      </c>
      <c r="JE156" s="479">
        <f>'Hodnocení '!JE152</f>
        <v>0</v>
      </c>
      <c r="JF156" s="479">
        <f>'Hodnocení '!JF152</f>
        <v>3485000</v>
      </c>
      <c r="JG156" s="479">
        <f>'Hodnocení '!JG152</f>
        <v>-500000</v>
      </c>
      <c r="JH156" s="780">
        <f>'Hodnocení '!JH152</f>
        <v>0</v>
      </c>
      <c r="JI156" s="470">
        <f>'Hodnocení '!JI152</f>
        <v>76744439.42672959</v>
      </c>
      <c r="JL156" s="307"/>
      <c r="JM156" s="307"/>
      <c r="JN156" s="307"/>
      <c r="JO156" s="307"/>
      <c r="JP156" s="307"/>
    </row>
    <row r="157" spans="1:276" hidden="1" x14ac:dyDescent="0.25">
      <c r="B157" s="733"/>
      <c r="C157" s="360"/>
      <c r="D157" s="357"/>
      <c r="E157" s="357"/>
      <c r="F157" s="357"/>
      <c r="G157" s="357"/>
      <c r="H157" s="357"/>
      <c r="I157" s="357"/>
      <c r="J157" s="357"/>
      <c r="K157" s="357"/>
      <c r="L157" s="357"/>
      <c r="M157" s="357"/>
      <c r="N157" s="357"/>
      <c r="O157" s="357"/>
      <c r="P157" s="357"/>
      <c r="Q157" s="357"/>
      <c r="R157" s="357"/>
      <c r="S157" s="357"/>
      <c r="T157" s="357"/>
      <c r="U157" s="357"/>
      <c r="V157" s="357"/>
      <c r="W157" s="357"/>
      <c r="X157" s="357"/>
      <c r="Y157" s="357"/>
      <c r="Z157" s="357"/>
      <c r="AA157" s="357"/>
      <c r="AB157" s="357"/>
      <c r="AC157" s="357"/>
      <c r="AD157" s="357"/>
      <c r="AE157" s="357"/>
      <c r="AF157" s="357"/>
      <c r="AG157" s="357"/>
      <c r="AH157" s="357"/>
      <c r="AI157" s="357"/>
      <c r="AJ157" s="357"/>
      <c r="AK157" s="357"/>
      <c r="AL157" s="357"/>
      <c r="AM157" s="357"/>
      <c r="AN157" s="357"/>
      <c r="AO157" s="357"/>
      <c r="AP157" s="357"/>
      <c r="AQ157" s="357"/>
      <c r="AR157" s="357"/>
      <c r="AS157" s="357"/>
      <c r="AT157" s="357"/>
      <c r="AU157" s="357"/>
      <c r="AV157" s="357"/>
      <c r="AW157" s="357"/>
      <c r="AX157" s="357"/>
      <c r="AY157" s="357"/>
      <c r="AZ157" s="357"/>
      <c r="BA157" s="357"/>
      <c r="BB157" s="357"/>
      <c r="BC157" s="357"/>
      <c r="BD157" s="357"/>
      <c r="BE157" s="357"/>
      <c r="BF157" s="357"/>
      <c r="BG157" s="357"/>
      <c r="BH157" s="357"/>
      <c r="BI157" s="357"/>
      <c r="BJ157" s="357"/>
      <c r="BK157" s="357"/>
      <c r="BL157" s="357"/>
      <c r="BM157" s="357"/>
      <c r="BN157" s="357"/>
      <c r="BO157" s="357"/>
      <c r="BP157" s="357"/>
      <c r="BQ157" s="357"/>
      <c r="BR157" s="357"/>
      <c r="BS157" s="357"/>
      <c r="BT157" s="357"/>
      <c r="BU157" s="357"/>
      <c r="BV157" s="357"/>
      <c r="BW157" s="357"/>
      <c r="BX157" s="357"/>
      <c r="BY157" s="357"/>
      <c r="BZ157" s="357"/>
      <c r="CA157" s="357"/>
      <c r="CB157" s="357"/>
      <c r="CC157" s="357"/>
      <c r="CD157" s="357"/>
      <c r="CE157" s="357"/>
      <c r="CF157" s="357"/>
      <c r="CG157" s="357"/>
      <c r="CH157" s="357"/>
      <c r="CI157" s="357"/>
      <c r="CJ157" s="357"/>
      <c r="CK157" s="357"/>
      <c r="CL157" s="357"/>
      <c r="CM157" s="357"/>
      <c r="CN157" s="357"/>
      <c r="CO157" s="357"/>
      <c r="CP157" s="357"/>
      <c r="CQ157" s="357"/>
      <c r="CR157" s="357"/>
      <c r="CS157" s="357"/>
      <c r="CT157" s="357"/>
      <c r="CU157" s="357"/>
      <c r="CV157" s="357"/>
      <c r="CW157" s="357"/>
      <c r="CX157" s="357"/>
      <c r="CY157" s="357"/>
      <c r="CZ157" s="357"/>
      <c r="DA157" s="357"/>
      <c r="DB157" s="357"/>
      <c r="DC157" s="357"/>
      <c r="DD157" s="357"/>
      <c r="DE157" s="357"/>
      <c r="DF157" s="357"/>
      <c r="DG157" s="357"/>
      <c r="DH157" s="357"/>
      <c r="DI157" s="357"/>
      <c r="DJ157" s="357"/>
      <c r="DK157" s="357"/>
      <c r="DL157" s="357"/>
      <c r="DM157" s="357"/>
      <c r="DN157" s="357"/>
      <c r="DO157" s="357"/>
      <c r="DP157" s="357"/>
      <c r="DQ157" s="357"/>
      <c r="DR157" s="357"/>
      <c r="DS157" s="357"/>
      <c r="DT157" s="357"/>
      <c r="DU157" s="357"/>
      <c r="DV157" s="357"/>
      <c r="DW157" s="357"/>
      <c r="DX157" s="357"/>
      <c r="DY157" s="357"/>
      <c r="DZ157" s="357"/>
      <c r="EA157" s="357"/>
      <c r="EB157" s="357"/>
      <c r="EC157" s="357"/>
      <c r="ED157" s="357"/>
      <c r="EE157" s="357"/>
      <c r="EF157" s="357"/>
      <c r="EG157" s="357"/>
      <c r="EH157" s="357"/>
      <c r="EI157" s="357"/>
      <c r="EJ157" s="357"/>
      <c r="EK157" s="357"/>
      <c r="EL157" s="357"/>
      <c r="EM157" s="357"/>
      <c r="EN157" s="357"/>
      <c r="EO157" s="357"/>
      <c r="EP157" s="357"/>
      <c r="EQ157" s="357"/>
      <c r="ER157" s="357"/>
      <c r="ES157" s="357"/>
      <c r="ET157" s="357"/>
      <c r="EU157" s="357"/>
      <c r="EV157" s="357"/>
      <c r="EW157" s="357"/>
      <c r="EX157" s="357"/>
      <c r="EY157" s="357"/>
      <c r="EZ157" s="357"/>
      <c r="FA157" s="357"/>
      <c r="FB157" s="357"/>
      <c r="FC157" s="357"/>
      <c r="FD157" s="357"/>
      <c r="FE157" s="357"/>
      <c r="FF157" s="357"/>
      <c r="FG157" s="357"/>
      <c r="FH157" s="357"/>
      <c r="FI157" s="357"/>
      <c r="FJ157" s="357"/>
      <c r="FK157" s="357"/>
      <c r="FL157" s="357"/>
      <c r="FM157" s="357"/>
      <c r="FN157" s="357"/>
      <c r="FO157" s="357"/>
      <c r="FP157" s="357"/>
      <c r="FQ157" s="357"/>
      <c r="FR157" s="357"/>
      <c r="FS157" s="357"/>
      <c r="FT157" s="357"/>
      <c r="FU157" s="357"/>
      <c r="FV157" s="357"/>
      <c r="FW157" s="357"/>
      <c r="FX157" s="357"/>
      <c r="FY157" s="357"/>
      <c r="FZ157" s="357"/>
      <c r="GA157" s="357"/>
      <c r="GB157" s="357"/>
      <c r="GC157" s="357"/>
      <c r="GD157" s="357"/>
      <c r="GE157" s="357"/>
      <c r="GF157" s="357"/>
      <c r="GG157" s="357"/>
      <c r="GH157" s="357"/>
      <c r="GI157" s="357"/>
      <c r="GJ157" s="357"/>
      <c r="GK157" s="357"/>
      <c r="GL157" s="357"/>
      <c r="GM157" s="357"/>
      <c r="GN157" s="357"/>
      <c r="GO157" s="357"/>
      <c r="GP157" s="357"/>
      <c r="GQ157" s="357"/>
      <c r="GR157" s="357"/>
      <c r="GS157" s="357"/>
      <c r="GT157" s="357"/>
      <c r="GU157" s="357"/>
      <c r="GV157" s="357"/>
      <c r="GW157" s="357"/>
      <c r="GX157" s="357"/>
      <c r="GY157" s="357"/>
      <c r="GZ157" s="357"/>
      <c r="HA157" s="357"/>
      <c r="HB157" s="357"/>
      <c r="HC157" s="357"/>
      <c r="HD157" s="357"/>
      <c r="HE157" s="357"/>
      <c r="HF157" s="357"/>
      <c r="HG157" s="357"/>
      <c r="HH157" s="357"/>
      <c r="HI157" s="357"/>
      <c r="HJ157" s="357"/>
      <c r="HK157" s="357"/>
      <c r="HL157" s="357"/>
      <c r="HM157" s="357"/>
      <c r="HN157" s="357"/>
      <c r="HO157" s="357"/>
      <c r="HP157" s="357"/>
      <c r="HQ157" s="357"/>
      <c r="HR157" s="357"/>
      <c r="HS157" s="357"/>
      <c r="HT157" s="357"/>
      <c r="HU157" s="357"/>
      <c r="HV157" s="357"/>
      <c r="HW157" s="357"/>
      <c r="HX157" s="357"/>
      <c r="HY157" s="357"/>
      <c r="HZ157" s="357"/>
      <c r="IA157" s="357"/>
      <c r="IB157" s="357"/>
      <c r="IC157" s="357"/>
      <c r="ID157" s="357"/>
      <c r="IE157" s="357"/>
      <c r="IF157" s="357"/>
      <c r="IG157" s="357"/>
      <c r="IH157" s="357"/>
      <c r="II157" s="357"/>
      <c r="IJ157" s="357"/>
      <c r="IK157" s="357"/>
      <c r="IL157" s="357"/>
      <c r="IM157" s="357"/>
      <c r="IN157" s="357"/>
      <c r="IO157" s="357"/>
      <c r="IP157" s="357"/>
      <c r="IQ157" s="357"/>
      <c r="IR157" s="357"/>
      <c r="IS157" s="357"/>
      <c r="IT157" s="357"/>
      <c r="IU157" s="357"/>
      <c r="IV157" s="357"/>
      <c r="IW157" s="357"/>
      <c r="IX157" s="357"/>
      <c r="IY157" s="357"/>
      <c r="IZ157" s="357"/>
      <c r="JA157" s="357"/>
      <c r="JB157" s="357"/>
      <c r="JC157" s="357"/>
      <c r="JD157" s="357"/>
      <c r="JE157" s="357"/>
      <c r="JF157" s="357"/>
      <c r="JG157" s="357"/>
      <c r="JH157" s="772"/>
      <c r="JI157" s="315"/>
    </row>
    <row r="158" spans="1:276" ht="13.15" hidden="1" customHeight="1" x14ac:dyDescent="0.3">
      <c r="A158" s="624"/>
      <c r="B158" s="746"/>
      <c r="C158" s="779"/>
      <c r="D158" s="479"/>
      <c r="E158" s="479"/>
      <c r="F158" s="479"/>
      <c r="G158" s="479"/>
      <c r="H158" s="479"/>
      <c r="I158" s="479"/>
      <c r="J158" s="479"/>
      <c r="K158" s="479"/>
      <c r="L158" s="479"/>
      <c r="M158" s="479"/>
      <c r="N158" s="479"/>
      <c r="O158" s="479"/>
      <c r="P158" s="479"/>
      <c r="Q158" s="479"/>
      <c r="R158" s="479"/>
      <c r="S158" s="479"/>
      <c r="T158" s="479"/>
      <c r="U158" s="479"/>
      <c r="V158" s="479"/>
      <c r="W158" s="479"/>
      <c r="X158" s="479"/>
      <c r="Y158" s="479"/>
      <c r="Z158" s="479"/>
      <c r="AA158" s="479"/>
      <c r="AB158" s="479"/>
      <c r="AC158" s="479"/>
      <c r="AD158" s="479"/>
      <c r="AE158" s="479"/>
      <c r="AF158" s="479"/>
      <c r="AG158" s="479"/>
      <c r="AH158" s="479"/>
      <c r="AI158" s="479"/>
      <c r="AJ158" s="479"/>
      <c r="AK158" s="479"/>
      <c r="AL158" s="479"/>
      <c r="AM158" s="479"/>
      <c r="AN158" s="479"/>
      <c r="AO158" s="479"/>
      <c r="AP158" s="479"/>
      <c r="AQ158" s="479"/>
      <c r="AR158" s="479"/>
      <c r="AS158" s="479"/>
      <c r="AT158" s="479"/>
      <c r="AU158" s="479"/>
      <c r="AV158" s="479"/>
      <c r="AW158" s="479"/>
      <c r="AX158" s="479"/>
      <c r="AY158" s="479"/>
      <c r="AZ158" s="479"/>
      <c r="BA158" s="479"/>
      <c r="BB158" s="479"/>
      <c r="BC158" s="479"/>
      <c r="BD158" s="479"/>
      <c r="BE158" s="479"/>
      <c r="BF158" s="479"/>
      <c r="BG158" s="479"/>
      <c r="BH158" s="479"/>
      <c r="BI158" s="479"/>
      <c r="BJ158" s="479"/>
      <c r="BK158" s="479"/>
      <c r="BL158" s="479"/>
      <c r="BM158" s="479"/>
      <c r="BN158" s="479"/>
      <c r="BO158" s="479"/>
      <c r="BP158" s="479"/>
      <c r="BQ158" s="479"/>
      <c r="BR158" s="479"/>
      <c r="BS158" s="479"/>
      <c r="BT158" s="479"/>
      <c r="BU158" s="479"/>
      <c r="BV158" s="479"/>
      <c r="BW158" s="479"/>
      <c r="BX158" s="479"/>
      <c r="BY158" s="479"/>
      <c r="BZ158" s="479"/>
      <c r="CA158" s="479"/>
      <c r="CB158" s="479"/>
      <c r="CC158" s="479"/>
      <c r="CD158" s="479"/>
      <c r="CE158" s="479"/>
      <c r="CF158" s="479"/>
      <c r="CG158" s="479"/>
      <c r="CH158" s="479"/>
      <c r="CI158" s="479"/>
      <c r="CJ158" s="479"/>
      <c r="CK158" s="479"/>
      <c r="CL158" s="479"/>
      <c r="CM158" s="479"/>
      <c r="CN158" s="479"/>
      <c r="CO158" s="479"/>
      <c r="CP158" s="479"/>
      <c r="CQ158" s="479"/>
      <c r="CR158" s="479"/>
      <c r="CS158" s="479"/>
      <c r="CT158" s="479"/>
      <c r="CU158" s="479"/>
      <c r="CV158" s="479"/>
      <c r="CW158" s="479"/>
      <c r="CX158" s="479"/>
      <c r="CY158" s="479"/>
      <c r="CZ158" s="479"/>
      <c r="DA158" s="479"/>
      <c r="DB158" s="479"/>
      <c r="DC158" s="479"/>
      <c r="DD158" s="479"/>
      <c r="DE158" s="479"/>
      <c r="DF158" s="479"/>
      <c r="DG158" s="479"/>
      <c r="DH158" s="479"/>
      <c r="DI158" s="479"/>
      <c r="DJ158" s="479"/>
      <c r="DK158" s="479"/>
      <c r="DL158" s="479"/>
      <c r="DM158" s="479"/>
      <c r="DN158" s="479"/>
      <c r="DO158" s="479"/>
      <c r="DP158" s="479"/>
      <c r="DQ158" s="479"/>
      <c r="DR158" s="479"/>
      <c r="DS158" s="479"/>
      <c r="DT158" s="479"/>
      <c r="DU158" s="479"/>
      <c r="DV158" s="479"/>
      <c r="DW158" s="479"/>
      <c r="DX158" s="479"/>
      <c r="DY158" s="479"/>
      <c r="DZ158" s="479"/>
      <c r="EA158" s="479"/>
      <c r="EB158" s="479"/>
      <c r="EC158" s="479"/>
      <c r="ED158" s="479"/>
      <c r="EE158" s="479"/>
      <c r="EF158" s="479"/>
      <c r="EG158" s="479"/>
      <c r="EH158" s="479"/>
      <c r="EI158" s="479"/>
      <c r="EJ158" s="479"/>
      <c r="EK158" s="479"/>
      <c r="EL158" s="479"/>
      <c r="EM158" s="479"/>
      <c r="EN158" s="479"/>
      <c r="EO158" s="479"/>
      <c r="EP158" s="479"/>
      <c r="EQ158" s="479"/>
      <c r="ER158" s="479"/>
      <c r="ES158" s="479"/>
      <c r="ET158" s="479"/>
      <c r="EU158" s="479"/>
      <c r="EV158" s="479"/>
      <c r="EW158" s="479"/>
      <c r="EX158" s="479"/>
      <c r="EY158" s="479"/>
      <c r="EZ158" s="479"/>
      <c r="FA158" s="479"/>
      <c r="FB158" s="479"/>
      <c r="FC158" s="479"/>
      <c r="FD158" s="479"/>
      <c r="FE158" s="479"/>
      <c r="FF158" s="479"/>
      <c r="FG158" s="479"/>
      <c r="FH158" s="479"/>
      <c r="FI158" s="479"/>
      <c r="FJ158" s="479"/>
      <c r="FK158" s="479"/>
      <c r="FL158" s="479"/>
      <c r="FM158" s="479"/>
      <c r="FN158" s="479"/>
      <c r="FO158" s="479"/>
      <c r="FP158" s="479"/>
      <c r="FQ158" s="479"/>
      <c r="FR158" s="479"/>
      <c r="FS158" s="479"/>
      <c r="FT158" s="479"/>
      <c r="FU158" s="479"/>
      <c r="FV158" s="479"/>
      <c r="FW158" s="479"/>
      <c r="FX158" s="479"/>
      <c r="FY158" s="479"/>
      <c r="FZ158" s="479"/>
      <c r="GA158" s="479"/>
      <c r="GB158" s="479"/>
      <c r="GC158" s="479"/>
      <c r="GD158" s="479"/>
      <c r="GE158" s="479"/>
      <c r="GF158" s="479"/>
      <c r="GG158" s="479"/>
      <c r="GH158" s="479"/>
      <c r="GI158" s="479"/>
      <c r="GJ158" s="479"/>
      <c r="GK158" s="479"/>
      <c r="GL158" s="479"/>
      <c r="GM158" s="479"/>
      <c r="GN158" s="479"/>
      <c r="GO158" s="479"/>
      <c r="GP158" s="479"/>
      <c r="GQ158" s="479"/>
      <c r="GR158" s="479"/>
      <c r="GS158" s="479"/>
      <c r="GT158" s="479"/>
      <c r="GU158" s="479"/>
      <c r="GV158" s="479"/>
      <c r="GW158" s="479"/>
      <c r="GX158" s="479"/>
      <c r="GY158" s="479"/>
      <c r="GZ158" s="479"/>
      <c r="HA158" s="479"/>
      <c r="HB158" s="479"/>
      <c r="HC158" s="479"/>
      <c r="HD158" s="479"/>
      <c r="HE158" s="479"/>
      <c r="HF158" s="479"/>
      <c r="HG158" s="479"/>
      <c r="HH158" s="479"/>
      <c r="HI158" s="479"/>
      <c r="HJ158" s="479"/>
      <c r="HK158" s="479"/>
      <c r="HL158" s="479"/>
      <c r="HM158" s="479"/>
      <c r="HN158" s="479"/>
      <c r="HO158" s="479"/>
      <c r="HP158" s="479"/>
      <c r="HQ158" s="479"/>
      <c r="HR158" s="479"/>
      <c r="HS158" s="479"/>
      <c r="HT158" s="479"/>
      <c r="HU158" s="479"/>
      <c r="HV158" s="479"/>
      <c r="HW158" s="479"/>
      <c r="HX158" s="479"/>
      <c r="HY158" s="479"/>
      <c r="HZ158" s="479"/>
      <c r="IA158" s="479"/>
      <c r="IB158" s="479"/>
      <c r="IC158" s="479"/>
      <c r="ID158" s="479"/>
      <c r="IE158" s="479"/>
      <c r="IF158" s="479"/>
      <c r="IG158" s="479"/>
      <c r="IH158" s="479"/>
      <c r="II158" s="479"/>
      <c r="IJ158" s="479"/>
      <c r="IK158" s="479"/>
      <c r="IL158" s="479"/>
      <c r="IM158" s="479"/>
      <c r="IN158" s="479"/>
      <c r="IO158" s="479"/>
      <c r="IP158" s="479"/>
      <c r="IQ158" s="479"/>
      <c r="IR158" s="479"/>
      <c r="IS158" s="479"/>
      <c r="IT158" s="479"/>
      <c r="IU158" s="479"/>
      <c r="IV158" s="479"/>
      <c r="IW158" s="479"/>
      <c r="IX158" s="479"/>
      <c r="IY158" s="479"/>
      <c r="IZ158" s="479"/>
      <c r="JA158" s="479"/>
      <c r="JB158" s="479"/>
      <c r="JC158" s="479"/>
      <c r="JD158" s="479"/>
      <c r="JE158" s="479"/>
      <c r="JF158" s="479"/>
      <c r="JG158" s="479"/>
      <c r="JH158" s="780"/>
      <c r="JI158" s="678">
        <v>960818679</v>
      </c>
      <c r="JL158" s="307"/>
      <c r="JM158" s="307"/>
      <c r="JN158" s="307"/>
      <c r="JO158" s="307"/>
      <c r="JP158" s="307"/>
    </row>
    <row r="159" spans="1:276" x14ac:dyDescent="0.25">
      <c r="A159" s="565"/>
      <c r="B159" s="565" t="s">
        <v>2629</v>
      </c>
      <c r="C159" s="566">
        <f>'Hodnocení '!C155</f>
        <v>8884420</v>
      </c>
      <c r="D159" s="566">
        <f>'Hodnocení '!D155</f>
        <v>7730000</v>
      </c>
      <c r="E159" s="566">
        <f>'Hodnocení '!E155</f>
        <v>8299180</v>
      </c>
      <c r="F159" s="566">
        <f>'Hodnocení '!F155</f>
        <v>3616880</v>
      </c>
      <c r="G159" s="566">
        <f>'Hodnocení '!G155</f>
        <v>10328000</v>
      </c>
      <c r="H159" s="566">
        <f>'Hodnocení '!H155</f>
        <v>0</v>
      </c>
      <c r="I159" s="566">
        <f>'Hodnocení '!I155</f>
        <v>0</v>
      </c>
      <c r="J159" s="566">
        <f>'Hodnocení '!J155</f>
        <v>0</v>
      </c>
      <c r="K159" s="566">
        <f>'Hodnocení '!K155</f>
        <v>5988080</v>
      </c>
      <c r="L159" s="566">
        <f>'Hodnocení '!L155</f>
        <v>3774970</v>
      </c>
      <c r="M159" s="566">
        <f>'Hodnocení '!M155</f>
        <v>3667780</v>
      </c>
      <c r="N159" s="566">
        <f>'Hodnocení '!N155</f>
        <v>5245000</v>
      </c>
      <c r="O159" s="566">
        <f>'Hodnocení '!O155</f>
        <v>4306140</v>
      </c>
      <c r="P159" s="566">
        <f>'Hodnocení '!P155</f>
        <v>2453030</v>
      </c>
      <c r="Q159" s="566">
        <f>'Hodnocení '!Q155</f>
        <v>1836490</v>
      </c>
      <c r="R159" s="566">
        <f>'Hodnocení '!R155</f>
        <v>2030000</v>
      </c>
      <c r="S159" s="566">
        <f>'Hodnocení '!S155</f>
        <v>1637150</v>
      </c>
      <c r="T159" s="566">
        <f>'Hodnocení '!T155</f>
        <v>622770</v>
      </c>
      <c r="U159" s="566">
        <f>'Hodnocení '!U155</f>
        <v>1087500</v>
      </c>
      <c r="V159" s="566">
        <f>'Hodnocení '!V155</f>
        <v>8493620</v>
      </c>
      <c r="W159" s="566">
        <f>'Hodnocení '!W155</f>
        <v>2130000</v>
      </c>
      <c r="X159" s="566">
        <f>'Hodnocení '!X155</f>
        <v>2288190</v>
      </c>
      <c r="Y159" s="566">
        <f>'Hodnocení '!Y155</f>
        <v>1770700</v>
      </c>
      <c r="Z159" s="566">
        <f>'Hodnocení '!Z155</f>
        <v>7231920</v>
      </c>
      <c r="AA159" s="566">
        <f>'Hodnocení '!AA155</f>
        <v>4244710</v>
      </c>
      <c r="AB159" s="566">
        <f>'Hodnocení '!AB155</f>
        <v>3314500</v>
      </c>
      <c r="AC159" s="566">
        <f>'Hodnocení '!AC155</f>
        <v>640000</v>
      </c>
      <c r="AD159" s="566">
        <f>'Hodnocení '!AD155</f>
        <v>2590230</v>
      </c>
      <c r="AE159" s="566">
        <f>'Hodnocení '!AE155</f>
        <v>103740</v>
      </c>
      <c r="AF159" s="566">
        <f>'Hodnocení '!AF155</f>
        <v>1219240</v>
      </c>
      <c r="AG159" s="566">
        <f>'Hodnocení '!AG155</f>
        <v>3450810</v>
      </c>
      <c r="AH159" s="566">
        <f>'Hodnocení '!AH155</f>
        <v>760000</v>
      </c>
      <c r="AI159" s="566">
        <f>'Hodnocení '!AI155</f>
        <v>3404000</v>
      </c>
      <c r="AJ159" s="566">
        <f>'Hodnocení '!AJ155</f>
        <v>2585000</v>
      </c>
      <c r="AK159" s="566">
        <f>'Hodnocení '!AK155</f>
        <v>1251400</v>
      </c>
      <c r="AL159" s="566">
        <f>'Hodnocení '!AL155</f>
        <v>1952910</v>
      </c>
      <c r="AM159" s="566">
        <f>'Hodnocení '!AM155</f>
        <v>1499710</v>
      </c>
      <c r="AN159" s="566">
        <f>'Hodnocení '!AN155</f>
        <v>1027900</v>
      </c>
      <c r="AO159" s="566">
        <f>'Hodnocení '!AO155</f>
        <v>4344440</v>
      </c>
      <c r="AP159" s="566">
        <f>'Hodnocení '!AP155</f>
        <v>2220000</v>
      </c>
      <c r="AQ159" s="566">
        <f>'Hodnocení '!AQ155</f>
        <v>327940</v>
      </c>
      <c r="AR159" s="566">
        <f>'Hodnocení '!AR155</f>
        <v>1531740</v>
      </c>
      <c r="AS159" s="566">
        <f>'Hodnocení '!AS155</f>
        <v>453230</v>
      </c>
      <c r="AT159" s="566">
        <f>'Hodnocení '!AT155</f>
        <v>2175750</v>
      </c>
      <c r="AU159" s="566">
        <f>'Hodnocení '!AU155</f>
        <v>992220</v>
      </c>
      <c r="AV159" s="566">
        <f>'Hodnocení '!AV155</f>
        <v>2003660</v>
      </c>
      <c r="AW159" s="566">
        <f>'Hodnocení '!AW155</f>
        <v>0</v>
      </c>
      <c r="AX159" s="566">
        <f>'Hodnocení '!AX155</f>
        <v>2970020</v>
      </c>
      <c r="AY159" s="566">
        <f>'Hodnocení '!AY155</f>
        <v>3273950</v>
      </c>
      <c r="AZ159" s="566">
        <f>'Hodnocení '!AZ155</f>
        <v>2981000</v>
      </c>
      <c r="BA159" s="566">
        <f>'Hodnocení '!BA155</f>
        <v>9230000</v>
      </c>
      <c r="BB159" s="566">
        <f>'Hodnocení '!BB155</f>
        <v>1312920</v>
      </c>
      <c r="BC159" s="566">
        <f>'Hodnocení '!BC155</f>
        <v>1223740</v>
      </c>
      <c r="BD159" s="566">
        <f>'Hodnocení '!BD155</f>
        <v>1916260</v>
      </c>
      <c r="BE159" s="566">
        <f>'Hodnocení '!BE155</f>
        <v>0</v>
      </c>
      <c r="BF159" s="566">
        <f>'Hodnocení '!BF155</f>
        <v>2020000</v>
      </c>
      <c r="BG159" s="566">
        <f>'Hodnocení '!BG155</f>
        <v>2499000</v>
      </c>
      <c r="BH159" s="566">
        <f>'Hodnocení '!BH155</f>
        <v>3075110</v>
      </c>
      <c r="BI159" s="566">
        <f>'Hodnocení '!BI155</f>
        <v>1270000</v>
      </c>
      <c r="BJ159" s="566">
        <f>'Hodnocení '!BJ155</f>
        <v>2734460</v>
      </c>
      <c r="BK159" s="566">
        <f>'Hodnocení '!BK155</f>
        <v>100000</v>
      </c>
      <c r="BL159" s="566">
        <f>'Hodnocení '!BL155</f>
        <v>455140</v>
      </c>
      <c r="BM159" s="566">
        <f>'Hodnocení '!BM155</f>
        <v>1464820</v>
      </c>
      <c r="BN159" s="566">
        <f>'Hodnocení '!BN155</f>
        <v>1641100</v>
      </c>
      <c r="BO159" s="566">
        <f>'Hodnocení '!BO155</f>
        <v>979330</v>
      </c>
      <c r="BP159" s="566">
        <f>'Hodnocení '!BP155</f>
        <v>4652080</v>
      </c>
      <c r="BQ159" s="566">
        <f>'Hodnocení '!BQ155</f>
        <v>0</v>
      </c>
      <c r="BR159" s="566">
        <f>'Hodnocení '!BR155</f>
        <v>1013020</v>
      </c>
      <c r="BS159" s="566">
        <f>'Hodnocení '!BS155</f>
        <v>1287900</v>
      </c>
      <c r="BT159" s="566">
        <f>'Hodnocení '!BT155</f>
        <v>914160</v>
      </c>
      <c r="BU159" s="566">
        <f>'Hodnocení '!BU155</f>
        <v>3939340</v>
      </c>
      <c r="BV159" s="566">
        <f>'Hodnocení '!BV155</f>
        <v>1177910</v>
      </c>
      <c r="BW159" s="566">
        <f>'Hodnocení '!BW155</f>
        <v>532680</v>
      </c>
      <c r="BX159" s="566">
        <f>'Hodnocení '!BX155</f>
        <v>4758700</v>
      </c>
      <c r="BY159" s="566">
        <f>'Hodnocení '!BY155</f>
        <v>1520140</v>
      </c>
      <c r="BZ159" s="566">
        <f>'Hodnocení '!BZ155</f>
        <v>324150</v>
      </c>
      <c r="CA159" s="566">
        <f>'Hodnocení '!CA155</f>
        <v>0</v>
      </c>
      <c r="CB159" s="566">
        <f>'Hodnocení '!CB155</f>
        <v>532260</v>
      </c>
      <c r="CC159" s="566">
        <f>'Hodnocení '!CC155</f>
        <v>2238060</v>
      </c>
      <c r="CD159" s="566">
        <f>'Hodnocení '!CD155</f>
        <v>637850</v>
      </c>
      <c r="CE159" s="566">
        <f>'Hodnocení '!CE155</f>
        <v>9715050</v>
      </c>
      <c r="CF159" s="566">
        <f>'Hodnocení '!CF155</f>
        <v>4453620</v>
      </c>
      <c r="CG159" s="566">
        <f>'Hodnocení '!CG155</f>
        <v>257160</v>
      </c>
      <c r="CH159" s="566">
        <f>'Hodnocení '!CH155</f>
        <v>0</v>
      </c>
      <c r="CI159" s="566">
        <f>'Hodnocení '!CI155</f>
        <v>0</v>
      </c>
      <c r="CJ159" s="566">
        <f>'Hodnocení '!CJ155</f>
        <v>3854200</v>
      </c>
      <c r="CK159" s="566">
        <f>'Hodnocení '!CK155</f>
        <v>4466000</v>
      </c>
      <c r="CL159" s="566">
        <f>'Hodnocení '!CL155</f>
        <v>0</v>
      </c>
      <c r="CM159" s="566">
        <f>'Hodnocení '!CM155</f>
        <v>6012340</v>
      </c>
      <c r="CN159" s="566">
        <f>'Hodnocení '!CN155</f>
        <v>1282580</v>
      </c>
      <c r="CO159" s="566">
        <f>'Hodnocení '!CO155</f>
        <v>1214500</v>
      </c>
      <c r="CP159" s="566">
        <f>'Hodnocení '!CP155</f>
        <v>1238430</v>
      </c>
      <c r="CQ159" s="566">
        <f>'Hodnocení '!CQ155</f>
        <v>5515040</v>
      </c>
      <c r="CR159" s="566">
        <f>'Hodnocení '!CR155</f>
        <v>2331090</v>
      </c>
      <c r="CS159" s="566">
        <f>'Hodnocení '!CS155</f>
        <v>0</v>
      </c>
      <c r="CT159" s="566">
        <f>'Hodnocení '!CT155</f>
        <v>0</v>
      </c>
      <c r="CU159" s="566">
        <f>'Hodnocení '!CU155</f>
        <v>1875000</v>
      </c>
      <c r="CV159" s="566">
        <f>'Hodnocení '!CV155</f>
        <v>5644990</v>
      </c>
      <c r="CW159" s="566">
        <f>'Hodnocení '!CW155</f>
        <v>400000</v>
      </c>
      <c r="CX159" s="566">
        <f>'Hodnocení '!CX155</f>
        <v>3457000</v>
      </c>
      <c r="CY159" s="566">
        <f>'Hodnocení '!CY155</f>
        <v>2881080</v>
      </c>
      <c r="CZ159" s="566">
        <f>'Hodnocení '!CZ155</f>
        <v>371000</v>
      </c>
      <c r="DA159" s="566">
        <f>'Hodnocení '!DA155</f>
        <v>7650000</v>
      </c>
      <c r="DB159" s="566">
        <f>'Hodnocení '!DB155</f>
        <v>739610</v>
      </c>
      <c r="DC159" s="566">
        <f>'Hodnocení '!DC155</f>
        <v>1904520</v>
      </c>
      <c r="DD159" s="566">
        <f>'Hodnocení '!DD155</f>
        <v>0</v>
      </c>
      <c r="DE159" s="566">
        <f>'Hodnocení '!DE155</f>
        <v>1595400</v>
      </c>
      <c r="DF159" s="566">
        <f>'Hodnocení '!DF155</f>
        <v>4660760</v>
      </c>
      <c r="DG159" s="566">
        <f>'Hodnocení '!DG155</f>
        <v>802940</v>
      </c>
      <c r="DH159" s="566">
        <f>'Hodnocení '!DH155</f>
        <v>908240</v>
      </c>
      <c r="DI159" s="566">
        <f>'Hodnocení '!DI155</f>
        <v>0</v>
      </c>
      <c r="DJ159" s="566">
        <f>'Hodnocení '!DJ155</f>
        <v>0</v>
      </c>
      <c r="DK159" s="566">
        <f>'Hodnocení '!DK155</f>
        <v>0</v>
      </c>
      <c r="DL159" s="566">
        <f>'Hodnocení '!DL155</f>
        <v>3817220</v>
      </c>
      <c r="DM159" s="566">
        <f>'Hodnocení '!DM155</f>
        <v>1905500</v>
      </c>
      <c r="DN159" s="566">
        <f>'Hodnocení '!DN155</f>
        <v>3604670</v>
      </c>
      <c r="DO159" s="566">
        <f>'Hodnocení '!DO155</f>
        <v>1402300</v>
      </c>
      <c r="DP159" s="566">
        <f>'Hodnocení '!DP155</f>
        <v>4045360</v>
      </c>
      <c r="DQ159" s="566">
        <f>'Hodnocení '!DQ155</f>
        <v>3939650</v>
      </c>
      <c r="DR159" s="566">
        <f>'Hodnocení '!DR155</f>
        <v>4423020</v>
      </c>
      <c r="DS159" s="566">
        <f>'Hodnocení '!DS155</f>
        <v>878000</v>
      </c>
      <c r="DT159" s="566">
        <f>'Hodnocení '!DT155</f>
        <v>3015000</v>
      </c>
      <c r="DU159" s="566">
        <f>'Hodnocení '!DU155</f>
        <v>0</v>
      </c>
      <c r="DV159" s="566">
        <f>'Hodnocení '!DV155</f>
        <v>4423330</v>
      </c>
      <c r="DW159" s="566">
        <f>'Hodnocení '!DW155</f>
        <v>0</v>
      </c>
      <c r="DX159" s="566">
        <f>'Hodnocení '!DX155</f>
        <v>0</v>
      </c>
      <c r="DY159" s="566">
        <f>'Hodnocení '!DY155</f>
        <v>4581140</v>
      </c>
      <c r="DZ159" s="566">
        <f>'Hodnocení '!DZ155</f>
        <v>723930</v>
      </c>
      <c r="EA159" s="566">
        <f>'Hodnocení '!EA155</f>
        <v>3895190</v>
      </c>
      <c r="EB159" s="566">
        <f>'Hodnocení '!EB155</f>
        <v>4071610</v>
      </c>
      <c r="EC159" s="566">
        <f>'Hodnocení '!EC155</f>
        <v>3507640</v>
      </c>
      <c r="ED159" s="566">
        <f>'Hodnocení '!ED155</f>
        <v>3789860</v>
      </c>
      <c r="EE159" s="566">
        <f>'Hodnocení '!EE155</f>
        <v>610000</v>
      </c>
      <c r="EF159" s="566">
        <f>'Hodnocení '!EF155</f>
        <v>666000</v>
      </c>
      <c r="EG159" s="566">
        <f>'Hodnocení '!EG155</f>
        <v>425000</v>
      </c>
      <c r="EH159" s="566">
        <f>'Hodnocení '!EH155</f>
        <v>595000</v>
      </c>
      <c r="EI159" s="566">
        <f>'Hodnocení '!EI155</f>
        <v>1025000</v>
      </c>
      <c r="EJ159" s="566">
        <f>'Hodnocení '!EJ155</f>
        <v>0</v>
      </c>
      <c r="EK159" s="566">
        <f>'Hodnocení '!EK155</f>
        <v>3773040</v>
      </c>
      <c r="EL159" s="566">
        <f>'Hodnocení '!EL155</f>
        <v>8896080</v>
      </c>
      <c r="EM159" s="566">
        <f>'Hodnocení '!EM155</f>
        <v>2765690</v>
      </c>
      <c r="EN159" s="566">
        <f>'Hodnocení '!EN155</f>
        <v>2526600</v>
      </c>
      <c r="EO159" s="566">
        <f>'Hodnocení '!EO155</f>
        <v>311820</v>
      </c>
      <c r="EP159" s="566">
        <f>'Hodnocení '!EP155</f>
        <v>2970060</v>
      </c>
      <c r="EQ159" s="566">
        <f>'Hodnocení '!EQ155</f>
        <v>1939350</v>
      </c>
      <c r="ER159" s="566">
        <f>'Hodnocení '!ER155</f>
        <v>6229000</v>
      </c>
      <c r="ES159" s="566">
        <f>'Hodnocení '!ES155</f>
        <v>2889370</v>
      </c>
      <c r="ET159" s="566">
        <f>'Hodnocení '!ET155</f>
        <v>901340</v>
      </c>
      <c r="EU159" s="566">
        <f>'Hodnocení '!EU155</f>
        <v>2056000</v>
      </c>
      <c r="EV159" s="566">
        <f>'Hodnocení '!EV155</f>
        <v>443090</v>
      </c>
      <c r="EW159" s="566">
        <f>'Hodnocení '!EW155</f>
        <v>2505060</v>
      </c>
      <c r="EX159" s="566">
        <f>'Hodnocení '!EX155</f>
        <v>5574310</v>
      </c>
      <c r="EY159" s="566">
        <f>'Hodnocení '!EY155</f>
        <v>2059170</v>
      </c>
      <c r="EZ159" s="566">
        <f>'Hodnocení '!EZ155</f>
        <v>0</v>
      </c>
      <c r="FA159" s="566">
        <f>'Hodnocení '!FA155</f>
        <v>990000</v>
      </c>
      <c r="FB159" s="566">
        <f>'Hodnocení '!FB155</f>
        <v>177810</v>
      </c>
      <c r="FC159" s="566">
        <f>'Hodnocení '!FC155</f>
        <v>3042200</v>
      </c>
      <c r="FD159" s="566">
        <f>'Hodnocení '!FD155</f>
        <v>0</v>
      </c>
      <c r="FE159" s="566">
        <f>'Hodnocení '!FE155</f>
        <v>343250</v>
      </c>
      <c r="FF159" s="566">
        <f>'Hodnocení '!FF155</f>
        <v>1441590</v>
      </c>
      <c r="FG159" s="566">
        <f>'Hodnocení '!FG155</f>
        <v>5703200</v>
      </c>
      <c r="FH159" s="566">
        <f>'Hodnocení '!FH155</f>
        <v>5790610</v>
      </c>
      <c r="FI159" s="566">
        <f>'Hodnocení '!FI155</f>
        <v>7582390</v>
      </c>
      <c r="FJ159" s="566">
        <f>'Hodnocení '!FJ155</f>
        <v>1854520</v>
      </c>
      <c r="FK159" s="566">
        <f>'Hodnocení '!FK155</f>
        <v>117160</v>
      </c>
      <c r="FL159" s="566">
        <f>'Hodnocení '!FL155</f>
        <v>289530</v>
      </c>
      <c r="FM159" s="566">
        <f>'Hodnocení '!FM155</f>
        <v>943020</v>
      </c>
      <c r="FN159" s="566">
        <f>'Hodnocení '!FN155</f>
        <v>7003030</v>
      </c>
      <c r="FO159" s="566">
        <f>'Hodnocení '!FO155</f>
        <v>1654620</v>
      </c>
      <c r="FP159" s="566">
        <f>'Hodnocení '!FP155</f>
        <v>12351200</v>
      </c>
      <c r="FQ159" s="566">
        <f>'Hodnocení '!FQ155</f>
        <v>1972280</v>
      </c>
      <c r="FR159" s="566">
        <f>'Hodnocení '!FR155</f>
        <v>0</v>
      </c>
      <c r="FS159" s="566">
        <f>'Hodnocení '!FS155</f>
        <v>464010</v>
      </c>
      <c r="FT159" s="566">
        <f>'Hodnocení '!FT155</f>
        <v>3255890</v>
      </c>
      <c r="FU159" s="566">
        <f>'Hodnocení '!FU155</f>
        <v>465830</v>
      </c>
      <c r="FV159" s="566">
        <f>'Hodnocení '!FV155</f>
        <v>559250</v>
      </c>
      <c r="FW159" s="566">
        <f>'Hodnocení '!FW155</f>
        <v>937680</v>
      </c>
      <c r="FX159" s="566">
        <f>'Hodnocení '!FX155</f>
        <v>384530</v>
      </c>
      <c r="FY159" s="566">
        <f>'Hodnocení '!FY155</f>
        <v>200000</v>
      </c>
      <c r="FZ159" s="566">
        <f>'Hodnocení '!FZ155</f>
        <v>2571150</v>
      </c>
      <c r="GA159" s="566">
        <f>'Hodnocení '!GA155</f>
        <v>235090</v>
      </c>
      <c r="GB159" s="566">
        <f>'Hodnocení '!GB155</f>
        <v>2245960</v>
      </c>
      <c r="GC159" s="566">
        <f>'Hodnocení '!GC155</f>
        <v>2171080</v>
      </c>
      <c r="GD159" s="566">
        <f>'Hodnocení '!GD155</f>
        <v>7928940</v>
      </c>
      <c r="GE159" s="566">
        <f>'Hodnocení '!GE155</f>
        <v>0</v>
      </c>
      <c r="GF159" s="566">
        <f>'Hodnocení '!GF155</f>
        <v>3881580</v>
      </c>
      <c r="GG159" s="566">
        <f>'Hodnocení '!GG155</f>
        <v>1157420</v>
      </c>
      <c r="GH159" s="566">
        <f>'Hodnocení '!GH155</f>
        <v>1054710</v>
      </c>
      <c r="GI159" s="566">
        <f>'Hodnocení '!GI155</f>
        <v>7754400</v>
      </c>
      <c r="GJ159" s="566">
        <f>'Hodnocení '!GJ155</f>
        <v>1839200</v>
      </c>
      <c r="GK159" s="566">
        <f>'Hodnocení '!GK155</f>
        <v>600000</v>
      </c>
      <c r="GL159" s="566">
        <f>'Hodnocení '!GL155</f>
        <v>469950</v>
      </c>
      <c r="GM159" s="566">
        <f>'Hodnocení '!GM155</f>
        <v>692540</v>
      </c>
      <c r="GN159" s="566">
        <f>'Hodnocení '!GN155</f>
        <v>788770</v>
      </c>
      <c r="GO159" s="566">
        <f>'Hodnocení '!GO155</f>
        <v>4468800</v>
      </c>
      <c r="GP159" s="566">
        <f>'Hodnocení '!GP155</f>
        <v>484460</v>
      </c>
      <c r="GQ159" s="566">
        <f>'Hodnocení '!GQ155</f>
        <v>309590</v>
      </c>
      <c r="GR159" s="566">
        <f>'Hodnocení '!GR155</f>
        <v>610000</v>
      </c>
      <c r="GS159" s="566">
        <f>'Hodnocení '!GS155</f>
        <v>0</v>
      </c>
      <c r="GT159" s="566">
        <f>'Hodnocení '!GT155</f>
        <v>8684790</v>
      </c>
      <c r="GU159" s="566">
        <f>'Hodnocení '!GU155</f>
        <v>807440</v>
      </c>
      <c r="GV159" s="566">
        <f>'Hodnocení '!GV155</f>
        <v>5000000</v>
      </c>
      <c r="GW159" s="566">
        <f>'Hodnocení '!GW155</f>
        <v>941720</v>
      </c>
      <c r="GX159" s="566">
        <f>'Hodnocení '!GX155</f>
        <v>150000</v>
      </c>
      <c r="GY159" s="566">
        <f>'Hodnocení '!GY155</f>
        <v>11169700</v>
      </c>
      <c r="GZ159" s="566">
        <f>'Hodnocení '!GZ155</f>
        <v>0</v>
      </c>
      <c r="HA159" s="566">
        <f>'Hodnocení '!HA155</f>
        <v>5200000</v>
      </c>
      <c r="HB159" s="566">
        <f>'Hodnocení '!HB155</f>
        <v>2241820</v>
      </c>
      <c r="HC159" s="566">
        <f>'Hodnocení '!HC155</f>
        <v>5534660</v>
      </c>
      <c r="HD159" s="566">
        <f>'Hodnocení '!HD155</f>
        <v>1908550</v>
      </c>
      <c r="HE159" s="566">
        <f>'Hodnocení '!HE155</f>
        <v>4945200</v>
      </c>
      <c r="HF159" s="566">
        <f>'Hodnocení '!HF155</f>
        <v>780920</v>
      </c>
      <c r="HG159" s="566">
        <f>'Hodnocení '!HG155</f>
        <v>483760</v>
      </c>
      <c r="HH159" s="566">
        <f>'Hodnocení '!HH155</f>
        <v>1870580</v>
      </c>
      <c r="HI159" s="566">
        <f>'Hodnocení '!HI155</f>
        <v>1243940</v>
      </c>
      <c r="HJ159" s="566">
        <f>'Hodnocení '!HJ155</f>
        <v>0</v>
      </c>
      <c r="HK159" s="566">
        <f>'Hodnocení '!HK155</f>
        <v>0</v>
      </c>
      <c r="HL159" s="566">
        <f>'Hodnocení '!HL155</f>
        <v>25331490</v>
      </c>
      <c r="HM159" s="566">
        <f>'Hodnocení '!HM155</f>
        <v>18062110</v>
      </c>
      <c r="HN159" s="566">
        <f>'Hodnocení '!HN155</f>
        <v>0</v>
      </c>
      <c r="HO159" s="566">
        <f>'Hodnocení '!HO155</f>
        <v>0</v>
      </c>
      <c r="HP159" s="566">
        <f>'Hodnocení '!HP155</f>
        <v>19303220</v>
      </c>
      <c r="HQ159" s="566">
        <f>'Hodnocení '!HQ155</f>
        <v>687360</v>
      </c>
      <c r="HR159" s="566">
        <f>'Hodnocení '!HR155</f>
        <v>24026010</v>
      </c>
      <c r="HS159" s="566">
        <f>'Hodnocení '!HS155</f>
        <v>4430600</v>
      </c>
      <c r="HT159" s="566">
        <f>'Hodnocení '!HT155</f>
        <v>15937690</v>
      </c>
      <c r="HU159" s="566">
        <f>'Hodnocení '!HU155</f>
        <v>15474990</v>
      </c>
      <c r="HV159" s="566">
        <f>'Hodnocení '!HV155</f>
        <v>12916130</v>
      </c>
      <c r="HW159" s="566">
        <f>'Hodnocení '!HW155</f>
        <v>3337990</v>
      </c>
      <c r="HX159" s="566">
        <f>'Hodnocení '!HX155</f>
        <v>13208120</v>
      </c>
      <c r="HY159" s="566">
        <f>'Hodnocení '!HY155</f>
        <v>14405760</v>
      </c>
      <c r="HZ159" s="566">
        <f>'Hodnocení '!HZ155</f>
        <v>6797940</v>
      </c>
      <c r="IA159" s="566">
        <f>'Hodnocení '!IA155</f>
        <v>6429490</v>
      </c>
      <c r="IB159" s="566">
        <f>'Hodnocení '!IB155</f>
        <v>6265180</v>
      </c>
      <c r="IC159" s="566">
        <f>'Hodnocení '!IC155</f>
        <v>7418220</v>
      </c>
      <c r="ID159" s="566">
        <f>'Hodnocení '!ID155</f>
        <v>6685280</v>
      </c>
      <c r="IE159" s="566">
        <f>'Hodnocení '!IE155</f>
        <v>13033890</v>
      </c>
      <c r="IF159" s="566">
        <f>'Hodnocení '!IF155</f>
        <v>12847830</v>
      </c>
      <c r="IG159" s="566">
        <f>'Hodnocení '!IG155</f>
        <v>3089240</v>
      </c>
      <c r="IH159" s="566">
        <f>'Hodnocení '!IH155</f>
        <v>1754310</v>
      </c>
      <c r="II159" s="566">
        <f>'Hodnocení '!II155</f>
        <v>15058470</v>
      </c>
      <c r="IJ159" s="566">
        <f>'Hodnocení '!IJ155</f>
        <v>1090180</v>
      </c>
      <c r="IK159" s="566">
        <f>'Hodnocení '!IK155</f>
        <v>150000</v>
      </c>
      <c r="IL159" s="566">
        <f>'Hodnocení '!IL155</f>
        <v>7291660</v>
      </c>
      <c r="IM159" s="566">
        <f>'Hodnocení '!IM155</f>
        <v>530840</v>
      </c>
      <c r="IN159" s="566">
        <f>'Hodnocení '!IN155</f>
        <v>6957000</v>
      </c>
      <c r="IO159" s="566">
        <f>'Hodnocení '!IO155</f>
        <v>2174450</v>
      </c>
      <c r="IP159" s="566">
        <f>'Hodnocení '!IP155</f>
        <v>15916870</v>
      </c>
      <c r="IQ159" s="566">
        <f>'Hodnocení '!IQ155</f>
        <v>15354810</v>
      </c>
      <c r="IR159" s="566">
        <f>'Hodnocení '!IR155</f>
        <v>661220</v>
      </c>
      <c r="IS159" s="566">
        <f>'Hodnocení '!IS155</f>
        <v>38158140</v>
      </c>
      <c r="IT159" s="566">
        <f>'Hodnocení '!IT155</f>
        <v>8363390</v>
      </c>
      <c r="IU159" s="566">
        <f>'Hodnocení '!IU155</f>
        <v>2009010</v>
      </c>
      <c r="IV159" s="566">
        <f>'Hodnocení '!IV155</f>
        <v>5685100</v>
      </c>
      <c r="IW159" s="566">
        <f>'Hodnocení '!IW155</f>
        <v>11119520</v>
      </c>
      <c r="IX159" s="566">
        <f>'Hodnocení '!IX155</f>
        <v>1125730</v>
      </c>
      <c r="IY159" s="566">
        <f>'Hodnocení '!IY155</f>
        <v>3266100</v>
      </c>
      <c r="IZ159" s="566">
        <f>'Hodnocení '!IZ155</f>
        <v>15681490</v>
      </c>
      <c r="JA159" s="566">
        <f>'Hodnocení '!JA155</f>
        <v>2298510</v>
      </c>
      <c r="JB159" s="566">
        <f>'Hodnocení '!JB155</f>
        <v>2067000</v>
      </c>
      <c r="JC159" s="566">
        <f>'Hodnocení '!JC155</f>
        <v>1625000</v>
      </c>
      <c r="JD159" s="566">
        <f>'Hodnocení '!JD155</f>
        <v>3000000</v>
      </c>
      <c r="JE159" s="566">
        <f>'Hodnocení '!JE155</f>
        <v>453690</v>
      </c>
      <c r="JF159" s="566">
        <f>'Hodnocení '!JF155</f>
        <v>25223010</v>
      </c>
      <c r="JG159" s="566">
        <f>'Hodnocení '!JG155</f>
        <v>22890579</v>
      </c>
      <c r="JH159" s="566">
        <f>'Hodnocení '!JH155</f>
        <v>868740</v>
      </c>
      <c r="JI159" s="314">
        <f t="shared" ref="JI159" si="73">SUM(C159:JH159)</f>
        <v>960818679</v>
      </c>
      <c r="JL159" s="307">
        <f>SUMIFS($C159:$JH159,$C$5:$JH$5,JL$5)</f>
        <v>24913600</v>
      </c>
      <c r="JM159" s="307">
        <f>SUMIFS($C159:$JH159,$C$5:$JH$5,JM$5)</f>
        <v>334152430</v>
      </c>
      <c r="JN159" s="307">
        <f>SUMIFS($C159:$JH159,$C$5:$JH$5,JN$5)</f>
        <v>161289290</v>
      </c>
      <c r="JO159" s="307">
        <f>SUMIFS($C159:$JH159,$C$5:$JH$5,JO$5)</f>
        <v>440463359</v>
      </c>
      <c r="JP159" s="307">
        <f t="shared" ref="JP159" si="74">SUM(JL159:JO159)</f>
        <v>960818679</v>
      </c>
    </row>
    <row r="160" spans="1:276" s="266" customFormat="1" ht="11.45" customHeight="1" x14ac:dyDescent="0.25">
      <c r="A160" s="315"/>
      <c r="B160" s="315"/>
      <c r="C160" s="769"/>
      <c r="D160" s="769"/>
      <c r="E160" s="769"/>
      <c r="F160" s="769"/>
      <c r="G160" s="769"/>
      <c r="H160" s="769"/>
      <c r="I160" s="769"/>
      <c r="J160" s="769"/>
      <c r="K160" s="769"/>
      <c r="L160" s="769"/>
      <c r="M160" s="769"/>
      <c r="N160" s="769"/>
      <c r="O160" s="769"/>
      <c r="P160" s="769"/>
      <c r="Q160" s="769"/>
      <c r="R160" s="769"/>
      <c r="S160" s="769"/>
      <c r="T160" s="769"/>
      <c r="U160" s="769"/>
      <c r="V160" s="769"/>
      <c r="W160" s="769"/>
      <c r="X160" s="769"/>
      <c r="Y160" s="769"/>
      <c r="Z160" s="769"/>
      <c r="AA160" s="769"/>
      <c r="AB160" s="769"/>
      <c r="AC160" s="769"/>
      <c r="AD160" s="769"/>
      <c r="AE160" s="769"/>
      <c r="AF160" s="769"/>
      <c r="AG160" s="769"/>
      <c r="AH160" s="769"/>
      <c r="AI160" s="769"/>
      <c r="AJ160" s="769"/>
      <c r="AK160" s="769"/>
      <c r="AL160" s="769"/>
      <c r="AM160" s="769"/>
      <c r="AN160" s="769"/>
      <c r="AO160" s="769"/>
      <c r="AP160" s="769"/>
      <c r="AQ160" s="769"/>
      <c r="AR160" s="769"/>
      <c r="AS160" s="769"/>
      <c r="AT160" s="769"/>
      <c r="AU160" s="769"/>
      <c r="AV160" s="769"/>
      <c r="AW160" s="769"/>
      <c r="AX160" s="769"/>
      <c r="AY160" s="769"/>
      <c r="AZ160" s="769"/>
      <c r="BA160" s="769"/>
      <c r="BB160" s="769"/>
      <c r="BC160" s="769"/>
      <c r="BD160" s="769"/>
      <c r="BE160" s="769"/>
      <c r="BF160" s="769"/>
      <c r="BG160" s="769"/>
      <c r="BH160" s="769"/>
      <c r="BI160" s="769"/>
      <c r="BJ160" s="769"/>
      <c r="BK160" s="769"/>
      <c r="BL160" s="769"/>
      <c r="BM160" s="769"/>
      <c r="BN160" s="769"/>
      <c r="BO160" s="769"/>
      <c r="BP160" s="769"/>
      <c r="BQ160" s="769"/>
      <c r="BR160" s="769"/>
      <c r="BS160" s="769"/>
      <c r="BT160" s="769"/>
      <c r="BU160" s="769"/>
      <c r="BV160" s="769"/>
      <c r="BW160" s="769"/>
      <c r="BX160" s="769"/>
      <c r="BY160" s="769"/>
      <c r="BZ160" s="769"/>
      <c r="CA160" s="769"/>
      <c r="CB160" s="769"/>
      <c r="CC160" s="769"/>
      <c r="CD160" s="769"/>
      <c r="CE160" s="769"/>
      <c r="CF160" s="769"/>
      <c r="CG160" s="769"/>
      <c r="CH160" s="769"/>
      <c r="CI160" s="769"/>
      <c r="CJ160" s="769"/>
      <c r="CK160" s="769"/>
      <c r="CL160" s="769"/>
      <c r="CM160" s="769"/>
      <c r="CN160" s="769"/>
      <c r="CO160" s="769"/>
      <c r="CP160" s="769"/>
      <c r="CQ160" s="769"/>
      <c r="CR160" s="769"/>
      <c r="CS160" s="769"/>
      <c r="CT160" s="769"/>
      <c r="CU160" s="769"/>
      <c r="CV160" s="769"/>
      <c r="CW160" s="769"/>
      <c r="CX160" s="769"/>
      <c r="CY160" s="769"/>
      <c r="CZ160" s="769"/>
      <c r="DA160" s="769"/>
      <c r="DB160" s="769"/>
      <c r="DC160" s="769"/>
      <c r="DD160" s="769"/>
      <c r="DE160" s="769"/>
      <c r="DF160" s="769"/>
      <c r="DG160" s="769"/>
      <c r="DH160" s="769"/>
      <c r="DI160" s="769"/>
      <c r="DJ160" s="769"/>
      <c r="DK160" s="769"/>
      <c r="DL160" s="769"/>
      <c r="DM160" s="769"/>
      <c r="DN160" s="769"/>
      <c r="DO160" s="769"/>
      <c r="DP160" s="769"/>
      <c r="DQ160" s="769"/>
      <c r="DR160" s="769"/>
      <c r="DS160" s="769"/>
      <c r="DT160" s="769"/>
      <c r="DU160" s="769"/>
      <c r="DV160" s="769"/>
      <c r="DW160" s="769"/>
      <c r="DX160" s="769"/>
      <c r="DY160" s="769"/>
      <c r="DZ160" s="769"/>
      <c r="EA160" s="769"/>
      <c r="EB160" s="769"/>
      <c r="EC160" s="769"/>
      <c r="ED160" s="769"/>
      <c r="EE160" s="769"/>
      <c r="EF160" s="769"/>
      <c r="EG160" s="769"/>
      <c r="EH160" s="769"/>
      <c r="EI160" s="769"/>
      <c r="EJ160" s="769"/>
      <c r="EK160" s="769"/>
      <c r="EL160" s="769"/>
      <c r="EM160" s="769"/>
      <c r="EN160" s="769"/>
      <c r="EO160" s="769"/>
      <c r="EP160" s="769"/>
      <c r="EQ160" s="769"/>
      <c r="ER160" s="769"/>
      <c r="ES160" s="769"/>
      <c r="ET160" s="769"/>
      <c r="EU160" s="769"/>
      <c r="EV160" s="769"/>
      <c r="EW160" s="769"/>
      <c r="EX160" s="769"/>
      <c r="EY160" s="769"/>
      <c r="EZ160" s="769"/>
      <c r="FA160" s="769"/>
      <c r="FB160" s="769"/>
      <c r="FC160" s="769"/>
      <c r="FD160" s="769"/>
      <c r="FE160" s="769"/>
      <c r="FF160" s="769"/>
      <c r="FG160" s="769"/>
      <c r="FH160" s="769"/>
      <c r="FI160" s="769"/>
      <c r="FJ160" s="769"/>
      <c r="FK160" s="769"/>
      <c r="FL160" s="769"/>
      <c r="FM160" s="769"/>
      <c r="FN160" s="769"/>
      <c r="FO160" s="769"/>
      <c r="FP160" s="769"/>
      <c r="FQ160" s="769"/>
      <c r="FR160" s="769"/>
      <c r="FS160" s="769"/>
      <c r="FT160" s="769"/>
      <c r="FU160" s="769"/>
      <c r="FV160" s="769"/>
      <c r="FW160" s="769"/>
      <c r="FX160" s="769"/>
      <c r="FY160" s="769"/>
      <c r="FZ160" s="769"/>
      <c r="GA160" s="769"/>
      <c r="GB160" s="769"/>
      <c r="GC160" s="769"/>
      <c r="GD160" s="769"/>
      <c r="GE160" s="769"/>
      <c r="GF160" s="769"/>
      <c r="GG160" s="769"/>
      <c r="GH160" s="769"/>
      <c r="GI160" s="769"/>
      <c r="GJ160" s="769"/>
      <c r="GK160" s="769"/>
      <c r="GL160" s="769"/>
      <c r="GM160" s="769"/>
      <c r="GN160" s="769"/>
      <c r="GO160" s="769"/>
      <c r="GP160" s="769"/>
      <c r="GQ160" s="769"/>
      <c r="GR160" s="769"/>
      <c r="GS160" s="769"/>
      <c r="GT160" s="769"/>
      <c r="GU160" s="769"/>
      <c r="GV160" s="769"/>
      <c r="GW160" s="769"/>
      <c r="GX160" s="769"/>
      <c r="GY160" s="769"/>
      <c r="GZ160" s="769"/>
      <c r="HA160" s="769"/>
      <c r="HB160" s="769"/>
      <c r="HC160" s="769"/>
      <c r="HD160" s="769"/>
      <c r="HE160" s="769"/>
      <c r="HF160" s="769"/>
      <c r="HG160" s="769"/>
      <c r="HH160" s="769"/>
      <c r="HI160" s="769"/>
      <c r="HJ160" s="769"/>
      <c r="HK160" s="769"/>
      <c r="HL160" s="769"/>
      <c r="HM160" s="769"/>
      <c r="HN160" s="769"/>
      <c r="HO160" s="769"/>
      <c r="HP160" s="769"/>
      <c r="HQ160" s="769"/>
      <c r="HR160" s="769"/>
      <c r="HS160" s="769"/>
      <c r="HT160" s="769"/>
      <c r="HU160" s="769"/>
      <c r="HV160" s="769"/>
      <c r="HW160" s="769"/>
      <c r="HX160" s="769"/>
      <c r="HY160" s="769"/>
      <c r="HZ160" s="769"/>
      <c r="IA160" s="769"/>
      <c r="IB160" s="769"/>
      <c r="IC160" s="769"/>
      <c r="ID160" s="769"/>
      <c r="IE160" s="769"/>
      <c r="IF160" s="769"/>
      <c r="IG160" s="769"/>
      <c r="IH160" s="769"/>
      <c r="II160" s="769"/>
      <c r="IJ160" s="769"/>
      <c r="IK160" s="769"/>
      <c r="IL160" s="769"/>
      <c r="IM160" s="769"/>
      <c r="IN160" s="769"/>
      <c r="IO160" s="769"/>
      <c r="IP160" s="769"/>
      <c r="IQ160" s="769"/>
      <c r="IR160" s="769"/>
      <c r="IS160" s="769"/>
      <c r="IT160" s="769"/>
      <c r="IU160" s="769"/>
      <c r="IV160" s="769"/>
      <c r="IW160" s="769"/>
      <c r="IX160" s="769"/>
      <c r="IY160" s="769"/>
      <c r="IZ160" s="769"/>
      <c r="JA160" s="769"/>
      <c r="JB160" s="769"/>
      <c r="JC160" s="769"/>
      <c r="JD160" s="769"/>
      <c r="JE160" s="769"/>
      <c r="JF160" s="769"/>
      <c r="JG160" s="769"/>
      <c r="JH160" s="769"/>
      <c r="JI160" s="315"/>
      <c r="JL160" s="769"/>
      <c r="JM160" s="769"/>
      <c r="JN160" s="769"/>
      <c r="JO160" s="769"/>
      <c r="JP160" s="769"/>
    </row>
    <row r="161" spans="2:276" x14ac:dyDescent="0.25">
      <c r="B161" s="755" t="str">
        <f>B154</f>
        <v>Celkem 2019 (přes KHK)</v>
      </c>
      <c r="C161" s="618">
        <f>'Hodnocení '!C157</f>
        <v>7649000</v>
      </c>
      <c r="D161" s="465">
        <f>'Hodnocení '!D157</f>
        <v>6323100</v>
      </c>
      <c r="E161" s="465">
        <f>'Hodnocení '!E157</f>
        <v>8196405</v>
      </c>
      <c r="F161" s="465">
        <f>'Hodnocení '!F157</f>
        <v>3484600</v>
      </c>
      <c r="G161" s="465">
        <f>'Hodnocení '!G157</f>
        <v>8898350</v>
      </c>
      <c r="H161" s="465">
        <f>'Hodnocení '!H157</f>
        <v>851000</v>
      </c>
      <c r="I161" s="465">
        <f>'Hodnocení '!I157</f>
        <v>2220902</v>
      </c>
      <c r="J161" s="465">
        <f>'Hodnocení '!J157</f>
        <v>2592445</v>
      </c>
      <c r="K161" s="465">
        <f>'Hodnocení '!K157</f>
        <v>5369542</v>
      </c>
      <c r="L161" s="465">
        <f>'Hodnocení '!L157</f>
        <v>3774970</v>
      </c>
      <c r="M161" s="465">
        <f>'Hodnocení '!M157</f>
        <v>3637289</v>
      </c>
      <c r="N161" s="465">
        <f>'Hodnocení '!N157</f>
        <v>5245000</v>
      </c>
      <c r="O161" s="465">
        <f>'Hodnocení '!O157</f>
        <v>4154929</v>
      </c>
      <c r="P161" s="465">
        <f>'Hodnocení '!P157</f>
        <v>2345016</v>
      </c>
      <c r="Q161" s="465">
        <f>'Hodnocení '!Q157</f>
        <v>1465267</v>
      </c>
      <c r="R161" s="465">
        <f>'Hodnocení '!R157</f>
        <v>2124718.1</v>
      </c>
      <c r="S161" s="465">
        <f>'Hodnocení '!S157</f>
        <v>1637152.8</v>
      </c>
      <c r="T161" s="465">
        <f>'Hodnocení '!T157</f>
        <v>591336</v>
      </c>
      <c r="U161" s="465">
        <f>'Hodnocení '!U157</f>
        <v>1099204</v>
      </c>
      <c r="V161" s="465">
        <f>'Hodnocení '!V157</f>
        <v>9233620</v>
      </c>
      <c r="W161" s="465">
        <f>'Hodnocení '!W157</f>
        <v>1825000</v>
      </c>
      <c r="X161" s="465">
        <f>'Hodnocení '!X157</f>
        <v>1309890</v>
      </c>
      <c r="Y161" s="465">
        <f>'Hodnocení '!Y157</f>
        <v>1757810</v>
      </c>
      <c r="Z161" s="465">
        <f>'Hodnocení '!Z157</f>
        <v>6852000</v>
      </c>
      <c r="AA161" s="465">
        <f>'Hodnocení '!AA157</f>
        <v>3849820</v>
      </c>
      <c r="AB161" s="465">
        <f>'Hodnocení '!AB157</f>
        <v>3047940</v>
      </c>
      <c r="AC161" s="465">
        <f>'Hodnocení '!AC157</f>
        <v>2007500</v>
      </c>
      <c r="AD161" s="465">
        <f>'Hodnocení '!AD157</f>
        <v>1845240</v>
      </c>
      <c r="AE161" s="465">
        <f>'Hodnocení '!AE157</f>
        <v>1056608</v>
      </c>
      <c r="AF161" s="465">
        <f>'Hodnocení '!AF157</f>
        <v>2104207</v>
      </c>
      <c r="AG161" s="465">
        <f>'Hodnocení '!AG157</f>
        <v>3325752</v>
      </c>
      <c r="AH161" s="465">
        <f>'Hodnocení '!AH157</f>
        <v>767266</v>
      </c>
      <c r="AI161" s="465">
        <f>'Hodnocení '!AI157</f>
        <v>2893700</v>
      </c>
      <c r="AJ161" s="465">
        <f>'Hodnocení '!AJ157</f>
        <v>2450300</v>
      </c>
      <c r="AK161" s="465">
        <f>'Hodnocení '!AK157</f>
        <v>1197405</v>
      </c>
      <c r="AL161" s="465">
        <f>'Hodnocení '!AL157</f>
        <v>1860416</v>
      </c>
      <c r="AM161" s="465">
        <f>'Hodnocení '!AM157</f>
        <v>1374492</v>
      </c>
      <c r="AN161" s="465">
        <f>'Hodnocení '!AN157</f>
        <v>1027900</v>
      </c>
      <c r="AO161" s="465">
        <f>'Hodnocení '!AO157</f>
        <v>3729028</v>
      </c>
      <c r="AP161" s="465">
        <f>'Hodnocení '!AP157</f>
        <v>2259775</v>
      </c>
      <c r="AQ161" s="465">
        <f>'Hodnocení '!AQ157</f>
        <v>327938</v>
      </c>
      <c r="AR161" s="465">
        <f>'Hodnocení '!AR157</f>
        <v>1130591</v>
      </c>
      <c r="AS161" s="465">
        <f>'Hodnocení '!AS157</f>
        <v>450572</v>
      </c>
      <c r="AT161" s="465">
        <f>'Hodnocení '!AT157</f>
        <v>2175746</v>
      </c>
      <c r="AU161" s="465">
        <f>'Hodnocení '!AU157</f>
        <v>894272</v>
      </c>
      <c r="AV161" s="465">
        <f>'Hodnocení '!AV157</f>
        <v>1866618</v>
      </c>
      <c r="AW161" s="465">
        <f>'Hodnocení '!AW157</f>
        <v>3070875</v>
      </c>
      <c r="AX161" s="465">
        <f>'Hodnocení '!AX157</f>
        <v>2970020</v>
      </c>
      <c r="AY161" s="465">
        <f>'Hodnocení '!AY157</f>
        <v>3091452</v>
      </c>
      <c r="AZ161" s="465">
        <f>'Hodnocení '!AZ157</f>
        <v>2931235</v>
      </c>
      <c r="BA161" s="465">
        <f>'Hodnocení '!BA157</f>
        <v>7415268</v>
      </c>
      <c r="BB161" s="465">
        <f>'Hodnocení '!BB157</f>
        <v>1020124</v>
      </c>
      <c r="BC161" s="465">
        <f>'Hodnocení '!BC157</f>
        <v>1008745</v>
      </c>
      <c r="BD161" s="465">
        <f>'Hodnocení '!BD157</f>
        <v>1277820</v>
      </c>
      <c r="BE161" s="465">
        <f>'Hodnocení '!BE157</f>
        <v>1204150</v>
      </c>
      <c r="BF161" s="465">
        <f>'Hodnocení '!BF157</f>
        <v>1888960</v>
      </c>
      <c r="BG161" s="465">
        <f>'Hodnocení '!BG157</f>
        <v>2344216</v>
      </c>
      <c r="BH161" s="465">
        <f>'Hodnocení '!BH157</f>
        <v>2948068</v>
      </c>
      <c r="BI161" s="465">
        <f>'Hodnocení '!BI157</f>
        <v>1468100</v>
      </c>
      <c r="BJ161" s="465">
        <f>'Hodnocení '!BJ157</f>
        <v>2652621</v>
      </c>
      <c r="BK161" s="465">
        <f>'Hodnocení '!BK157</f>
        <v>852000</v>
      </c>
      <c r="BL161" s="465">
        <f>'Hodnocení '!BL157</f>
        <v>0</v>
      </c>
      <c r="BM161" s="465">
        <f>'Hodnocení '!BM157</f>
        <v>615100</v>
      </c>
      <c r="BN161" s="465">
        <f>'Hodnocení '!BN157</f>
        <v>1582000</v>
      </c>
      <c r="BO161" s="465">
        <f>'Hodnocení '!BO157</f>
        <v>762010</v>
      </c>
      <c r="BP161" s="465">
        <f>'Hodnocení '!BP157</f>
        <v>3919307</v>
      </c>
      <c r="BQ161" s="465">
        <f>'Hodnocení '!BQ157</f>
        <v>815436</v>
      </c>
      <c r="BR161" s="465">
        <f>'Hodnocení '!BR157</f>
        <v>874340</v>
      </c>
      <c r="BS161" s="465">
        <f>'Hodnocení '!BS157</f>
        <v>1297900</v>
      </c>
      <c r="BT161" s="465">
        <f>'Hodnocení '!BT157</f>
        <v>860100</v>
      </c>
      <c r="BU161" s="465">
        <f>'Hodnocení '!BU157</f>
        <v>3939338</v>
      </c>
      <c r="BV161" s="465">
        <f>'Hodnocení '!BV157</f>
        <v>588910</v>
      </c>
      <c r="BW161" s="465">
        <f>'Hodnocení '!BW157</f>
        <v>532683</v>
      </c>
      <c r="BX161" s="465">
        <f>'Hodnocení '!BX157</f>
        <v>4055253</v>
      </c>
      <c r="BY161" s="465">
        <f>'Hodnocení '!BY157</f>
        <v>1520144</v>
      </c>
      <c r="BZ161" s="465">
        <f>'Hodnocení '!BZ157</f>
        <v>324150</v>
      </c>
      <c r="CA161" s="465">
        <f>'Hodnocení '!CA157</f>
        <v>0</v>
      </c>
      <c r="CB161" s="465">
        <f>'Hodnocení '!CB157</f>
        <v>532263</v>
      </c>
      <c r="CC161" s="465">
        <f>'Hodnocení '!CC157</f>
        <v>2120418</v>
      </c>
      <c r="CD161" s="465">
        <f>'Hodnocení '!CD157</f>
        <v>647336</v>
      </c>
      <c r="CE161" s="465">
        <f>'Hodnocení '!CE157</f>
        <v>8268855</v>
      </c>
      <c r="CF161" s="465">
        <f>'Hodnocení '!CF157</f>
        <v>4326000</v>
      </c>
      <c r="CG161" s="465">
        <f>'Hodnocení '!CG157</f>
        <v>8224486</v>
      </c>
      <c r="CH161" s="465">
        <f>'Hodnocení '!CH157</f>
        <v>3654346</v>
      </c>
      <c r="CI161" s="465">
        <f>'Hodnocení '!CI157</f>
        <v>2882766</v>
      </c>
      <c r="CJ161" s="465">
        <f>'Hodnocení '!CJ157</f>
        <v>3459530</v>
      </c>
      <c r="CK161" s="465">
        <f>'Hodnocení '!CK157</f>
        <v>4176623</v>
      </c>
      <c r="CL161" s="465">
        <f>'Hodnocení '!CL157</f>
        <v>2384969</v>
      </c>
      <c r="CM161" s="465">
        <f>'Hodnocení '!CM157</f>
        <v>5320660</v>
      </c>
      <c r="CN161" s="465">
        <f>'Hodnocení '!CN157</f>
        <v>1282575.1399999999</v>
      </c>
      <c r="CO161" s="465">
        <f>'Hodnocení '!CO157</f>
        <v>1214500</v>
      </c>
      <c r="CP161" s="465">
        <f>'Hodnocení '!CP157</f>
        <v>1238425.46</v>
      </c>
      <c r="CQ161" s="465">
        <f>'Hodnocení '!CQ157</f>
        <v>4606266</v>
      </c>
      <c r="CR161" s="465">
        <f>'Hodnocení '!CR157</f>
        <v>1616800</v>
      </c>
      <c r="CS161" s="465">
        <f>'Hodnocení '!CS157</f>
        <v>0</v>
      </c>
      <c r="CT161" s="465">
        <f>'Hodnocení '!CT157</f>
        <v>5070000</v>
      </c>
      <c r="CU161" s="465">
        <f>'Hodnocení '!CU157</f>
        <v>1400500</v>
      </c>
      <c r="CV161" s="465">
        <f>'Hodnocení '!CV157</f>
        <v>5031500</v>
      </c>
      <c r="CW161" s="465">
        <f>'Hodnocení '!CW157</f>
        <v>271401</v>
      </c>
      <c r="CX161" s="465">
        <f>'Hodnocení '!CX157</f>
        <v>3128000</v>
      </c>
      <c r="CY161" s="465">
        <f>'Hodnocení '!CY157</f>
        <v>2748954</v>
      </c>
      <c r="CZ161" s="465">
        <f>'Hodnocení '!CZ157</f>
        <v>1006700</v>
      </c>
      <c r="DA161" s="465">
        <f>'Hodnocení '!DA157</f>
        <v>5580860</v>
      </c>
      <c r="DB161" s="465">
        <f>'Hodnocení '!DB157</f>
        <v>665328</v>
      </c>
      <c r="DC161" s="465">
        <f>'Hodnocení '!DC157</f>
        <v>1623500</v>
      </c>
      <c r="DD161" s="465">
        <f>'Hodnocení '!DD157</f>
        <v>4680513</v>
      </c>
      <c r="DE161" s="465">
        <f>'Hodnocení '!DE157</f>
        <v>7167606</v>
      </c>
      <c r="DF161" s="465">
        <f>'Hodnocení '!DF157</f>
        <v>5216852</v>
      </c>
      <c r="DG161" s="465">
        <f>'Hodnocení '!DG157</f>
        <v>605740</v>
      </c>
      <c r="DH161" s="465">
        <f>'Hodnocení '!DH157</f>
        <v>1606367.6400000001</v>
      </c>
      <c r="DI161" s="465">
        <f>'Hodnocení '!DI157</f>
        <v>1093940</v>
      </c>
      <c r="DJ161" s="465">
        <f>'Hodnocení '!DJ157</f>
        <v>1816958</v>
      </c>
      <c r="DK161" s="465">
        <f>'Hodnocení '!DK157</f>
        <v>910471</v>
      </c>
      <c r="DL161" s="465">
        <f>'Hodnocení '!DL157</f>
        <v>3817224</v>
      </c>
      <c r="DM161" s="465">
        <f>'Hodnocení '!DM157</f>
        <v>1734348</v>
      </c>
      <c r="DN161" s="465">
        <f>'Hodnocení '!DN157</f>
        <v>2980765</v>
      </c>
      <c r="DO161" s="465">
        <f>'Hodnocení '!DO157</f>
        <v>1397775</v>
      </c>
      <c r="DP161" s="465">
        <f>'Hodnocení '!DP157</f>
        <v>4045363.78</v>
      </c>
      <c r="DQ161" s="465">
        <f>'Hodnocení '!DQ157</f>
        <v>3907852</v>
      </c>
      <c r="DR161" s="465">
        <f>'Hodnocení '!DR157</f>
        <v>4477376</v>
      </c>
      <c r="DS161" s="465">
        <f>'Hodnocení '!DS157</f>
        <v>331000</v>
      </c>
      <c r="DT161" s="465">
        <f>'Hodnocení '!DT157</f>
        <v>2906291</v>
      </c>
      <c r="DU161" s="465">
        <f>'Hodnocení '!DU157</f>
        <v>2100600</v>
      </c>
      <c r="DV161" s="465">
        <f>'Hodnocení '!DV157</f>
        <v>3145477</v>
      </c>
      <c r="DW161" s="465">
        <f>'Hodnocení '!DW157</f>
        <v>1211410</v>
      </c>
      <c r="DX161" s="465">
        <f>'Hodnocení '!DX157</f>
        <v>4030918</v>
      </c>
      <c r="DY161" s="465">
        <f>'Hodnocení '!DY157</f>
        <v>3755150</v>
      </c>
      <c r="DZ161" s="465">
        <f>'Hodnocení '!DZ157</f>
        <v>716300</v>
      </c>
      <c r="EA161" s="465">
        <f>'Hodnocení '!EA157</f>
        <v>3895188</v>
      </c>
      <c r="EB161" s="465">
        <f>'Hodnocení '!EB157</f>
        <v>3882690</v>
      </c>
      <c r="EC161" s="465">
        <f>'Hodnocení '!EC157</f>
        <v>3345254</v>
      </c>
      <c r="ED161" s="465">
        <f>'Hodnocení '!ED157</f>
        <v>3472808</v>
      </c>
      <c r="EE161" s="465">
        <f>'Hodnocení '!EE157</f>
        <v>563624</v>
      </c>
      <c r="EF161" s="465">
        <f>'Hodnocení '!EF157</f>
        <v>669087.59</v>
      </c>
      <c r="EG161" s="465">
        <f>'Hodnocení '!EG157</f>
        <v>427828.99</v>
      </c>
      <c r="EH161" s="465">
        <f>'Hodnocení '!EH157</f>
        <v>559670</v>
      </c>
      <c r="EI161" s="465">
        <f>'Hodnocení '!EI157</f>
        <v>910753</v>
      </c>
      <c r="EJ161" s="465">
        <f>'Hodnocení '!EJ157</f>
        <v>1034374</v>
      </c>
      <c r="EK161" s="465">
        <f>'Hodnocení '!EK157</f>
        <v>3932042</v>
      </c>
      <c r="EL161" s="465">
        <f>'Hodnocení '!EL157</f>
        <v>8624026</v>
      </c>
      <c r="EM161" s="465">
        <f>'Hodnocení '!EM157</f>
        <v>2698808</v>
      </c>
      <c r="EN161" s="465">
        <f>'Hodnocení '!EN157</f>
        <v>2394473</v>
      </c>
      <c r="EO161" s="465">
        <f>'Hodnocení '!EO157</f>
        <v>236418</v>
      </c>
      <c r="EP161" s="465">
        <f>'Hodnocení '!EP157</f>
        <v>2171123</v>
      </c>
      <c r="EQ161" s="465">
        <f>'Hodnocení '!EQ157</f>
        <v>1844122</v>
      </c>
      <c r="ER161" s="465">
        <f>'Hodnocení '!ER157</f>
        <v>5251868</v>
      </c>
      <c r="ES161" s="465">
        <f>'Hodnocení '!ES157</f>
        <v>2770560</v>
      </c>
      <c r="ET161" s="465">
        <f>'Hodnocení '!ET157</f>
        <v>0</v>
      </c>
      <c r="EU161" s="465">
        <f>'Hodnocení '!EU157</f>
        <v>804000</v>
      </c>
      <c r="EV161" s="465">
        <f>'Hodnocení '!EV157</f>
        <v>225535</v>
      </c>
      <c r="EW161" s="465">
        <f>'Hodnocení '!EW157</f>
        <v>2356313</v>
      </c>
      <c r="EX161" s="465">
        <f>'Hodnocení '!EX157</f>
        <v>5404290</v>
      </c>
      <c r="EY161" s="465">
        <f>'Hodnocení '!EY157</f>
        <v>2044845</v>
      </c>
      <c r="EZ161" s="465">
        <f>'Hodnocení '!EZ157</f>
        <v>111326</v>
      </c>
      <c r="FA161" s="465">
        <f>'Hodnocení '!FA157</f>
        <v>793692</v>
      </c>
      <c r="FB161" s="465">
        <f>'Hodnocení '!FB157</f>
        <v>139761</v>
      </c>
      <c r="FC161" s="465">
        <f>'Hodnocení '!FC157</f>
        <v>3000000</v>
      </c>
      <c r="FD161" s="465">
        <f>'Hodnocení '!FD157</f>
        <v>772461</v>
      </c>
      <c r="FE161" s="465">
        <f>'Hodnocení '!FE157</f>
        <v>262500</v>
      </c>
      <c r="FF161" s="465">
        <f>'Hodnocení '!FF157</f>
        <v>1117120</v>
      </c>
      <c r="FG161" s="465">
        <f>'Hodnocení '!FG157</f>
        <v>4683650</v>
      </c>
      <c r="FH161" s="465">
        <f>'Hodnocení '!FH157</f>
        <v>5519580</v>
      </c>
      <c r="FI161" s="465">
        <f>'Hodnocení '!FI157</f>
        <v>5568487</v>
      </c>
      <c r="FJ161" s="465">
        <f>'Hodnocení '!FJ157</f>
        <v>1579046</v>
      </c>
      <c r="FK161" s="465">
        <f>'Hodnocení '!FK157</f>
        <v>281852</v>
      </c>
      <c r="FL161" s="465">
        <f>'Hodnocení '!FL157</f>
        <v>601762</v>
      </c>
      <c r="FM161" s="465">
        <f>'Hodnocení '!FM157</f>
        <v>2626403</v>
      </c>
      <c r="FN161" s="465">
        <f>'Hodnocení '!FN157</f>
        <v>6459380</v>
      </c>
      <c r="FO161" s="465">
        <f>'Hodnocení '!FO157</f>
        <v>1659657</v>
      </c>
      <c r="FP161" s="465">
        <f>'Hodnocení '!FP157</f>
        <v>12144452</v>
      </c>
      <c r="FQ161" s="465">
        <f>'Hodnocení '!FQ157</f>
        <v>1909423</v>
      </c>
      <c r="FR161" s="465">
        <f>'Hodnocení '!FR157</f>
        <v>0</v>
      </c>
      <c r="FS161" s="465">
        <f>'Hodnocení '!FS157</f>
        <v>477570</v>
      </c>
      <c r="FT161" s="465">
        <f>'Hodnocení '!FT157</f>
        <v>2948610</v>
      </c>
      <c r="FU161" s="465">
        <f>'Hodnocení '!FU157</f>
        <v>426547</v>
      </c>
      <c r="FV161" s="465">
        <f>'Hodnocení '!FV157</f>
        <v>559074</v>
      </c>
      <c r="FW161" s="465">
        <f>'Hodnocení '!FW157</f>
        <v>1013735</v>
      </c>
      <c r="FX161" s="465">
        <f>'Hodnocení '!FX157</f>
        <v>364926</v>
      </c>
      <c r="FY161" s="465">
        <f>'Hodnocení '!FY157</f>
        <v>209591</v>
      </c>
      <c r="FZ161" s="465">
        <f>'Hodnocení '!FZ157</f>
        <v>2576210</v>
      </c>
      <c r="GA161" s="465">
        <f>'Hodnocení '!GA157</f>
        <v>234850</v>
      </c>
      <c r="GB161" s="465">
        <f>'Hodnocení '!GB157</f>
        <v>1751320</v>
      </c>
      <c r="GC161" s="465">
        <f>'Hodnocení '!GC157</f>
        <v>2155529</v>
      </c>
      <c r="GD161" s="465">
        <f>'Hodnocení '!GD157</f>
        <v>7122291</v>
      </c>
      <c r="GE161" s="465">
        <f>'Hodnocení '!GE157</f>
        <v>1339065</v>
      </c>
      <c r="GF161" s="465">
        <f>'Hodnocení '!GF157</f>
        <v>3590557</v>
      </c>
      <c r="GG161" s="465">
        <f>'Hodnocení '!GG157</f>
        <v>1289981</v>
      </c>
      <c r="GH161" s="465">
        <f>'Hodnocení '!GH157</f>
        <v>1089582</v>
      </c>
      <c r="GI161" s="465">
        <f>'Hodnocení '!GI157</f>
        <v>6898917</v>
      </c>
      <c r="GJ161" s="465">
        <f>'Hodnocení '!GJ157</f>
        <v>1667501</v>
      </c>
      <c r="GK161" s="465">
        <f>'Hodnocení '!GK157</f>
        <v>666130</v>
      </c>
      <c r="GL161" s="465">
        <f>'Hodnocení '!GL157</f>
        <v>529296</v>
      </c>
      <c r="GM161" s="465">
        <f>'Hodnocení '!GM157</f>
        <v>753240</v>
      </c>
      <c r="GN161" s="465">
        <f>'Hodnocení '!GN157</f>
        <v>603116</v>
      </c>
      <c r="GO161" s="465">
        <f>'Hodnocení '!GO157</f>
        <v>3581549</v>
      </c>
      <c r="GP161" s="465">
        <f>'Hodnocení '!GP157</f>
        <v>520270</v>
      </c>
      <c r="GQ161" s="465">
        <f>'Hodnocení '!GQ157</f>
        <v>740230</v>
      </c>
      <c r="GR161" s="465">
        <f>'Hodnocení '!GR157</f>
        <v>693152</v>
      </c>
      <c r="GS161" s="465">
        <f>'Hodnocení '!GS157</f>
        <v>165886</v>
      </c>
      <c r="GT161" s="465">
        <f>'Hodnocení '!GT157</f>
        <v>8345502</v>
      </c>
      <c r="GU161" s="465">
        <f>'Hodnocení '!GU157</f>
        <v>761571</v>
      </c>
      <c r="GV161" s="465">
        <f>'Hodnocení '!GV157</f>
        <v>4959810</v>
      </c>
      <c r="GW161" s="465">
        <f>'Hodnocení '!GW157</f>
        <v>1133866</v>
      </c>
      <c r="GX161" s="465">
        <f>'Hodnocení '!GX157</f>
        <v>154333</v>
      </c>
      <c r="GY161" s="465">
        <f>'Hodnocení '!GY157</f>
        <v>10721860</v>
      </c>
      <c r="GZ161" s="465">
        <f>'Hodnocení '!GZ157</f>
        <v>0</v>
      </c>
      <c r="HA161" s="465">
        <f>'Hodnocení '!HA157</f>
        <v>4876560</v>
      </c>
      <c r="HB161" s="465">
        <f>'Hodnocení '!HB157</f>
        <v>1991460</v>
      </c>
      <c r="HC161" s="465">
        <f>'Hodnocení '!HC157</f>
        <v>5134000</v>
      </c>
      <c r="HD161" s="465">
        <f>'Hodnocení '!HD157</f>
        <v>1401300</v>
      </c>
      <c r="HE161" s="465">
        <f>'Hodnocení '!HE157</f>
        <v>4443200</v>
      </c>
      <c r="HF161" s="465">
        <f>'Hodnocení '!HF157</f>
        <v>707286</v>
      </c>
      <c r="HG161" s="465">
        <f>'Hodnocení '!HG157</f>
        <v>518077</v>
      </c>
      <c r="HH161" s="465">
        <f>'Hodnocení '!HH157</f>
        <v>1985778</v>
      </c>
      <c r="HI161" s="465">
        <f>'Hodnocení '!HI157</f>
        <v>1514623</v>
      </c>
      <c r="HJ161" s="465">
        <f>'Hodnocení '!HJ157</f>
        <v>495460</v>
      </c>
      <c r="HK161" s="465">
        <f>'Hodnocení '!HK157</f>
        <v>144000</v>
      </c>
      <c r="HL161" s="465">
        <f>'Hodnocení '!HL157</f>
        <v>37366967.243574739</v>
      </c>
      <c r="HM161" s="465">
        <f>'Hodnocení '!HM157</f>
        <v>25001512.541579321</v>
      </c>
      <c r="HN161" s="465">
        <f>'Hodnocení '!HN157</f>
        <v>808776.41538817156</v>
      </c>
      <c r="HO161" s="465">
        <f>'Hodnocení '!HO157</f>
        <v>2876769.799457768</v>
      </c>
      <c r="HP161" s="465">
        <f>'Hodnocení '!HP157</f>
        <v>27787218</v>
      </c>
      <c r="HQ161" s="465">
        <f>'Hodnocení '!HQ157</f>
        <v>978043.38080963399</v>
      </c>
      <c r="HR161" s="465">
        <f>'Hodnocení '!HR157</f>
        <v>33541191.281565275</v>
      </c>
      <c r="HS161" s="465">
        <f>'Hodnocení '!HS157</f>
        <v>5691227.33762509</v>
      </c>
      <c r="HT161" s="465">
        <f>'Hodnocení '!HT157</f>
        <v>22599685</v>
      </c>
      <c r="HU161" s="465">
        <f>'Hodnocení '!HU157</f>
        <v>21507994</v>
      </c>
      <c r="HV161" s="465">
        <f>'Hodnocení '!HV157</f>
        <v>16689127</v>
      </c>
      <c r="HW161" s="465">
        <f>'Hodnocení '!HW157</f>
        <v>6965541.9659980796</v>
      </c>
      <c r="HX161" s="465">
        <f>'Hodnocení '!HX157</f>
        <v>17983528.03400192</v>
      </c>
      <c r="HY161" s="465">
        <f>'Hodnocení '!HY157</f>
        <v>21105762</v>
      </c>
      <c r="HZ161" s="465">
        <f>'Hodnocení '!HZ157</f>
        <v>9565941</v>
      </c>
      <c r="IA161" s="465">
        <f>'Hodnocení '!IA157</f>
        <v>9107487</v>
      </c>
      <c r="IB161" s="465">
        <f>'Hodnocení '!IB157</f>
        <v>8575181</v>
      </c>
      <c r="IC161" s="465">
        <f>'Hodnocení '!IC157</f>
        <v>11233714.822746631</v>
      </c>
      <c r="ID161" s="465">
        <f>'Hodnocení '!ID157</f>
        <v>9255791.1772533692</v>
      </c>
      <c r="IE161" s="465">
        <f>'Hodnocení '!IE157</f>
        <v>16188892</v>
      </c>
      <c r="IF161" s="465">
        <f>'Hodnocení '!IF157</f>
        <v>20259987.198794641</v>
      </c>
      <c r="IG161" s="465">
        <f>'Hodnocení '!IG157</f>
        <v>5446079.8012053594</v>
      </c>
      <c r="IH161" s="465">
        <f>'Hodnocení '!IH157</f>
        <v>3012886.5890955012</v>
      </c>
      <c r="II161" s="465">
        <f>'Hodnocení '!II157</f>
        <v>20841865.049244203</v>
      </c>
      <c r="IJ161" s="465">
        <f>'Hodnocení '!IJ157</f>
        <v>1674908.5338407224</v>
      </c>
      <c r="IK161" s="465">
        <f>'Hodnocení '!IK157</f>
        <v>3577558.8278195728</v>
      </c>
      <c r="IL161" s="465">
        <f>'Hodnocení '!IL157</f>
        <v>9204656</v>
      </c>
      <c r="IM161" s="465">
        <f>'Hodnocení '!IM157</f>
        <v>701837.84282009513</v>
      </c>
      <c r="IN161" s="465">
        <f>'Hodnocení '!IN157</f>
        <v>10213951.504810652</v>
      </c>
      <c r="IO161" s="465">
        <f>'Hodnocení '!IO157</f>
        <v>3412493.6523692533</v>
      </c>
      <c r="IP161" s="465">
        <f>'Hodnocení '!IP157</f>
        <v>22515867</v>
      </c>
      <c r="IQ161" s="465">
        <f>'Hodnocení '!IQ157</f>
        <v>22563962.666168727</v>
      </c>
      <c r="IR161" s="465">
        <f>'Hodnocení '!IR157</f>
        <v>1003066.3338312713</v>
      </c>
      <c r="IS161" s="465">
        <f>'Hodnocení '!IS157</f>
        <v>53065674.509968996</v>
      </c>
      <c r="IT161" s="465">
        <f>'Hodnocení '!IT157</f>
        <v>12209859.490031004</v>
      </c>
      <c r="IU161" s="465">
        <f>'Hodnocení '!IU157</f>
        <v>3182630.0362361362</v>
      </c>
      <c r="IV161" s="465">
        <f>'Hodnocení '!IV157</f>
        <v>8522404.8188311569</v>
      </c>
      <c r="IW161" s="465">
        <f>'Hodnocení '!IW157</f>
        <v>15638894.711101327</v>
      </c>
      <c r="IX161" s="465">
        <f>'Hodnocení '!IX157</f>
        <v>1813436.4338313788</v>
      </c>
      <c r="IY161" s="465">
        <f>'Hodnocení '!IY157</f>
        <v>7604648.4471565671</v>
      </c>
      <c r="IZ161" s="465">
        <f>'Hodnocení '!IZ157</f>
        <v>18227943.552843433</v>
      </c>
      <c r="JA161" s="465">
        <f>'Hodnocení '!JA157</f>
        <v>3037151.73</v>
      </c>
      <c r="JB161" s="465">
        <f>'Hodnocení '!JB157</f>
        <v>2895174.04</v>
      </c>
      <c r="JC161" s="465">
        <f>'Hodnocení '!JC157</f>
        <v>2268778.09</v>
      </c>
      <c r="JD161" s="465">
        <f>'Hodnocení '!JD157</f>
        <v>5052980.7</v>
      </c>
      <c r="JE161" s="465">
        <f>'Hodnocení '!JE157</f>
        <v>1159105.145059247</v>
      </c>
      <c r="JF161" s="465">
        <f>'Hodnocení '!JF157</f>
        <v>29898599.85494075</v>
      </c>
      <c r="JG161" s="465">
        <f>'Hodnocení '!JG157</f>
        <v>30541537</v>
      </c>
      <c r="JH161" s="459">
        <f>'Hodnocení '!JH157</f>
        <v>868740</v>
      </c>
      <c r="JI161" s="727">
        <f>'Hodnocení '!JI157</f>
        <v>1165506510.0600002</v>
      </c>
      <c r="JL161" s="307">
        <f t="shared" ref="JL161:JO165" si="75">SUMIFS($C161:$JH161,$C$5:$JH$5,JL$5)</f>
        <v>22168505</v>
      </c>
      <c r="JM161" s="307">
        <f t="shared" si="75"/>
        <v>364768028.49999994</v>
      </c>
      <c r="JN161" s="307">
        <f t="shared" si="75"/>
        <v>153322946</v>
      </c>
      <c r="JO161" s="307">
        <f t="shared" si="75"/>
        <v>625247030.56000006</v>
      </c>
      <c r="JP161" s="307">
        <f t="shared" ref="JP161:JP165" si="76">SUM(JL161:JO161)</f>
        <v>1165506510.0599999</v>
      </c>
    </row>
    <row r="162" spans="2:276" x14ac:dyDescent="0.25">
      <c r="B162" s="755" t="s">
        <v>2631</v>
      </c>
      <c r="C162" s="618">
        <f>'Hodnocení '!C158</f>
        <v>8884420</v>
      </c>
      <c r="D162" s="465">
        <f>'Hodnocení '!D158</f>
        <v>7730000</v>
      </c>
      <c r="E162" s="465">
        <f>'Hodnocení '!E158</f>
        <v>8299180</v>
      </c>
      <c r="F162" s="465">
        <f>'Hodnocení '!F158</f>
        <v>3616880</v>
      </c>
      <c r="G162" s="465">
        <f>'Hodnocení '!G158</f>
        <v>10328000</v>
      </c>
      <c r="H162" s="465">
        <f>'Hodnocení '!H158</f>
        <v>916710.41611130896</v>
      </c>
      <c r="I162" s="465">
        <f>'Hodnocení '!I158</f>
        <v>3162879.4741952131</v>
      </c>
      <c r="J162" s="465">
        <f>'Hodnocení '!J158</f>
        <v>2678115.5483361837</v>
      </c>
      <c r="K162" s="465">
        <f>'Hodnocení '!K158</f>
        <v>5988080</v>
      </c>
      <c r="L162" s="465">
        <f>'Hodnocení '!L158</f>
        <v>3774970</v>
      </c>
      <c r="M162" s="465">
        <f>'Hodnocení '!M158</f>
        <v>3667780</v>
      </c>
      <c r="N162" s="465">
        <f>'Hodnocení '!N158</f>
        <v>5245000</v>
      </c>
      <c r="O162" s="465">
        <f>'Hodnocení '!O158</f>
        <v>4306140</v>
      </c>
      <c r="P162" s="465">
        <f>'Hodnocení '!P158</f>
        <v>2453030</v>
      </c>
      <c r="Q162" s="465">
        <f>'Hodnocení '!Q158</f>
        <v>1836490</v>
      </c>
      <c r="R162" s="465">
        <f>'Hodnocení '!R158</f>
        <v>2030000</v>
      </c>
      <c r="S162" s="465">
        <f>'Hodnocení '!S158</f>
        <v>1637150</v>
      </c>
      <c r="T162" s="465">
        <f>'Hodnocení '!T158</f>
        <v>622770</v>
      </c>
      <c r="U162" s="465">
        <f>'Hodnocení '!U158</f>
        <v>1087500</v>
      </c>
      <c r="V162" s="465">
        <f>'Hodnocení '!V158</f>
        <v>8493620</v>
      </c>
      <c r="W162" s="465">
        <f>'Hodnocení '!W158</f>
        <v>2130000</v>
      </c>
      <c r="X162" s="465">
        <f>'Hodnocení '!X158</f>
        <v>2288190</v>
      </c>
      <c r="Y162" s="465">
        <f>'Hodnocení '!Y158</f>
        <v>1770700</v>
      </c>
      <c r="Z162" s="465">
        <f>'Hodnocení '!Z158</f>
        <v>7231920</v>
      </c>
      <c r="AA162" s="465">
        <f>'Hodnocení '!AA158</f>
        <v>4244710</v>
      </c>
      <c r="AB162" s="465">
        <f>'Hodnocení '!AB158</f>
        <v>3314500</v>
      </c>
      <c r="AC162" s="465">
        <f>'Hodnocení '!AC158</f>
        <v>640000</v>
      </c>
      <c r="AD162" s="465">
        <f>'Hodnocení '!AD158</f>
        <v>2590230</v>
      </c>
      <c r="AE162" s="465">
        <f>'Hodnocení '!AE158</f>
        <v>1133451</v>
      </c>
      <c r="AF162" s="465">
        <f>'Hodnocení '!AF158</f>
        <v>3323447</v>
      </c>
      <c r="AG162" s="465">
        <f>'Hodnocení '!AG158</f>
        <v>3450810</v>
      </c>
      <c r="AH162" s="465">
        <f>'Hodnocení '!AH158</f>
        <v>760000</v>
      </c>
      <c r="AI162" s="465">
        <f>'Hodnocení '!AI158</f>
        <v>3404000</v>
      </c>
      <c r="AJ162" s="465">
        <f>'Hodnocení '!AJ158</f>
        <v>2585000</v>
      </c>
      <c r="AK162" s="465">
        <f>'Hodnocení '!AK158</f>
        <v>1251400</v>
      </c>
      <c r="AL162" s="465">
        <f>'Hodnocení '!AL158</f>
        <v>1952910</v>
      </c>
      <c r="AM162" s="465">
        <f>'Hodnocení '!AM158</f>
        <v>1499710</v>
      </c>
      <c r="AN162" s="465">
        <f>'Hodnocení '!AN158</f>
        <v>1027900</v>
      </c>
      <c r="AO162" s="465">
        <f>'Hodnocení '!AO158</f>
        <v>4344440</v>
      </c>
      <c r="AP162" s="465">
        <f>'Hodnocení '!AP158</f>
        <v>2220000</v>
      </c>
      <c r="AQ162" s="465">
        <f>'Hodnocení '!AQ158</f>
        <v>327940</v>
      </c>
      <c r="AR162" s="465">
        <f>'Hodnocení '!AR158</f>
        <v>1531740</v>
      </c>
      <c r="AS162" s="465">
        <f>'Hodnocení '!AS158</f>
        <v>453230</v>
      </c>
      <c r="AT162" s="465">
        <f>'Hodnocení '!AT158</f>
        <v>2175750</v>
      </c>
      <c r="AU162" s="465">
        <f>'Hodnocení '!AU158</f>
        <v>992220</v>
      </c>
      <c r="AV162" s="465">
        <f>'Hodnocení '!AV158</f>
        <v>2003660</v>
      </c>
      <c r="AW162" s="465">
        <f>'Hodnocení '!AW158</f>
        <v>3343410.5426933127</v>
      </c>
      <c r="AX162" s="465">
        <f>'Hodnocení '!AX158</f>
        <v>2970020</v>
      </c>
      <c r="AY162" s="465">
        <f>'Hodnocení '!AY158</f>
        <v>3273950</v>
      </c>
      <c r="AZ162" s="465">
        <f>'Hodnocení '!AZ158</f>
        <v>2981000</v>
      </c>
      <c r="BA162" s="465">
        <f>'Hodnocení '!BA158</f>
        <v>9230000</v>
      </c>
      <c r="BB162" s="465">
        <f>'Hodnocení '!BB158</f>
        <v>1312920</v>
      </c>
      <c r="BC162" s="465">
        <f>'Hodnocení '!BC158</f>
        <v>1223740</v>
      </c>
      <c r="BD162" s="465">
        <f>'Hodnocení '!BD158</f>
        <v>1916260</v>
      </c>
      <c r="BE162" s="465">
        <f>'Hodnocení '!BE158</f>
        <v>1290934.3566507786</v>
      </c>
      <c r="BF162" s="465">
        <f>'Hodnocení '!BF158</f>
        <v>2020000</v>
      </c>
      <c r="BG162" s="465">
        <f>'Hodnocení '!BG158</f>
        <v>2499000</v>
      </c>
      <c r="BH162" s="465">
        <f>'Hodnocení '!BH158</f>
        <v>3075110</v>
      </c>
      <c r="BI162" s="465">
        <f>'Hodnocení '!BI158</f>
        <v>1270000</v>
      </c>
      <c r="BJ162" s="465">
        <f>'Hodnocení '!BJ158</f>
        <v>2734460</v>
      </c>
      <c r="BK162" s="465">
        <f>'Hodnocení '!BK158</f>
        <v>988000</v>
      </c>
      <c r="BL162" s="465">
        <f>'Hodnocení '!BL158</f>
        <v>455140</v>
      </c>
      <c r="BM162" s="465">
        <f>'Hodnocení '!BM158</f>
        <v>1464820</v>
      </c>
      <c r="BN162" s="465">
        <f>'Hodnocení '!BN158</f>
        <v>1641100</v>
      </c>
      <c r="BO162" s="465">
        <f>'Hodnocení '!BO158</f>
        <v>979330</v>
      </c>
      <c r="BP162" s="465">
        <f>'Hodnocení '!BP158</f>
        <v>4652080</v>
      </c>
      <c r="BQ162" s="465">
        <f>'Hodnocení '!BQ158</f>
        <v>847233.45560883218</v>
      </c>
      <c r="BR162" s="465">
        <f>'Hodnocení '!BR158</f>
        <v>1013020</v>
      </c>
      <c r="BS162" s="465">
        <f>'Hodnocení '!BS158</f>
        <v>1287900</v>
      </c>
      <c r="BT162" s="465">
        <f>'Hodnocení '!BT158</f>
        <v>914160</v>
      </c>
      <c r="BU162" s="465">
        <f>'Hodnocení '!BU158</f>
        <v>3939340</v>
      </c>
      <c r="BV162" s="465">
        <f>'Hodnocení '!BV158</f>
        <v>1177910</v>
      </c>
      <c r="BW162" s="465">
        <f>'Hodnocení '!BW158</f>
        <v>532680</v>
      </c>
      <c r="BX162" s="465">
        <f>'Hodnocení '!BX158</f>
        <v>4758700</v>
      </c>
      <c r="BY162" s="465">
        <f>'Hodnocení '!BY158</f>
        <v>1520140</v>
      </c>
      <c r="BZ162" s="465">
        <f>'Hodnocení '!BZ158</f>
        <v>324150</v>
      </c>
      <c r="CA162" s="465">
        <f>'Hodnocení '!CA158</f>
        <v>0</v>
      </c>
      <c r="CB162" s="465">
        <f>'Hodnocení '!CB158</f>
        <v>532260</v>
      </c>
      <c r="CC162" s="465">
        <f>'Hodnocení '!CC158</f>
        <v>2238060</v>
      </c>
      <c r="CD162" s="465">
        <f>'Hodnocení '!CD158</f>
        <v>637850</v>
      </c>
      <c r="CE162" s="465">
        <f>'Hodnocení '!CE158</f>
        <v>9715050</v>
      </c>
      <c r="CF162" s="465">
        <f>'Hodnocení '!CF158</f>
        <v>4453620</v>
      </c>
      <c r="CG162" s="465">
        <f>'Hodnocení '!CG158</f>
        <v>8794582</v>
      </c>
      <c r="CH162" s="465">
        <f>'Hodnocení '!CH158</f>
        <v>3959479.0792496316</v>
      </c>
      <c r="CI162" s="465">
        <f>'Hodnocení '!CI158</f>
        <v>3297218.8114025602</v>
      </c>
      <c r="CJ162" s="465">
        <f>'Hodnocení '!CJ158</f>
        <v>3854200</v>
      </c>
      <c r="CK162" s="465">
        <f>'Hodnocení '!CK158</f>
        <v>4466000</v>
      </c>
      <c r="CL162" s="465">
        <f>'Hodnocení '!CL158</f>
        <v>2555360.1512724077</v>
      </c>
      <c r="CM162" s="465">
        <f>'Hodnocení '!CM158</f>
        <v>6012340</v>
      </c>
      <c r="CN162" s="465">
        <f>'Hodnocení '!CN158</f>
        <v>1282580</v>
      </c>
      <c r="CO162" s="465">
        <f>'Hodnocení '!CO158</f>
        <v>1214500</v>
      </c>
      <c r="CP162" s="465">
        <f>'Hodnocení '!CP158</f>
        <v>1238430</v>
      </c>
      <c r="CQ162" s="465">
        <f>'Hodnocení '!CQ158</f>
        <v>5515040</v>
      </c>
      <c r="CR162" s="465">
        <f>'Hodnocení '!CR158</f>
        <v>2331090</v>
      </c>
      <c r="CS162" s="465">
        <f>'Hodnocení '!CS158</f>
        <v>3402237.5858069072</v>
      </c>
      <c r="CT162" s="465">
        <f>'Hodnocení '!CT158</f>
        <v>5929679.8103662794</v>
      </c>
      <c r="CU162" s="465">
        <f>'Hodnocení '!CU158</f>
        <v>1875000</v>
      </c>
      <c r="CV162" s="465">
        <f>'Hodnocení '!CV158</f>
        <v>5644990</v>
      </c>
      <c r="CW162" s="465">
        <f>'Hodnocení '!CW158</f>
        <v>400000</v>
      </c>
      <c r="CX162" s="465">
        <f>'Hodnocení '!CX158</f>
        <v>3457000</v>
      </c>
      <c r="CY162" s="465">
        <f>'Hodnocení '!CY158</f>
        <v>2881080</v>
      </c>
      <c r="CZ162" s="465">
        <f>'Hodnocení '!CZ158</f>
        <v>1374700</v>
      </c>
      <c r="DA162" s="465">
        <f>'Hodnocení '!DA158</f>
        <v>7650000</v>
      </c>
      <c r="DB162" s="465">
        <f>'Hodnocení '!DB158</f>
        <v>739610</v>
      </c>
      <c r="DC162" s="465">
        <f>'Hodnocení '!DC158</f>
        <v>1904520</v>
      </c>
      <c r="DD162" s="465">
        <f>'Hodnocení '!DD158</f>
        <v>5370629.645727817</v>
      </c>
      <c r="DE162" s="465">
        <f>'Hodnocení '!DE158</f>
        <v>7596992</v>
      </c>
      <c r="DF162" s="465">
        <f>'Hodnocení '!DF158</f>
        <v>4660760</v>
      </c>
      <c r="DG162" s="465">
        <f>'Hodnocení '!DG158</f>
        <v>802940</v>
      </c>
      <c r="DH162" s="465">
        <f>'Hodnocení '!DH158</f>
        <v>2437336.6341313617</v>
      </c>
      <c r="DI162" s="465">
        <f>'Hodnocení '!DI158</f>
        <v>1137805.3840966881</v>
      </c>
      <c r="DJ162" s="465">
        <f>'Hodnocení '!DJ158</f>
        <v>1854835.0236859601</v>
      </c>
      <c r="DK162" s="465">
        <f>'Hodnocení '!DK158</f>
        <v>2577327.818091928</v>
      </c>
      <c r="DL162" s="465">
        <f>'Hodnocení '!DL158</f>
        <v>3817220</v>
      </c>
      <c r="DM162" s="465">
        <f>'Hodnocení '!DM158</f>
        <v>1905500</v>
      </c>
      <c r="DN162" s="465">
        <f>'Hodnocení '!DN158</f>
        <v>3604670</v>
      </c>
      <c r="DO162" s="465">
        <f>'Hodnocení '!DO158</f>
        <v>1402300</v>
      </c>
      <c r="DP162" s="465">
        <f>'Hodnocení '!DP158</f>
        <v>4045360</v>
      </c>
      <c r="DQ162" s="465">
        <f>'Hodnocení '!DQ158</f>
        <v>3939650</v>
      </c>
      <c r="DR162" s="465">
        <f>'Hodnocení '!DR158</f>
        <v>4423020</v>
      </c>
      <c r="DS162" s="465">
        <f>'Hodnocení '!DS158</f>
        <v>878000</v>
      </c>
      <c r="DT162" s="465">
        <f>'Hodnocení '!DT158</f>
        <v>3015000</v>
      </c>
      <c r="DU162" s="465">
        <f>'Hodnocení '!DU158</f>
        <v>2119508.9633388799</v>
      </c>
      <c r="DV162" s="465">
        <f>'Hodnocení '!DV158</f>
        <v>4423330</v>
      </c>
      <c r="DW162" s="465">
        <f>'Hodnocení '!DW158</f>
        <v>1463011.5734570101</v>
      </c>
      <c r="DX162" s="465">
        <f>'Hodnocení '!DX158</f>
        <v>4464719.1541079516</v>
      </c>
      <c r="DY162" s="465">
        <f>'Hodnocení '!DY158</f>
        <v>4581140</v>
      </c>
      <c r="DZ162" s="465">
        <f>'Hodnocení '!DZ158</f>
        <v>723930</v>
      </c>
      <c r="EA162" s="465">
        <f>'Hodnocení '!EA158</f>
        <v>3895190</v>
      </c>
      <c r="EB162" s="465">
        <f>'Hodnocení '!EB158</f>
        <v>4071610</v>
      </c>
      <c r="EC162" s="465">
        <f>'Hodnocení '!EC158</f>
        <v>3507640</v>
      </c>
      <c r="ED162" s="465">
        <f>'Hodnocení '!ED158</f>
        <v>3789860</v>
      </c>
      <c r="EE162" s="465">
        <f>'Hodnocení '!EE158</f>
        <v>610000</v>
      </c>
      <c r="EF162" s="465">
        <f>'Hodnocení '!EF158</f>
        <v>666000</v>
      </c>
      <c r="EG162" s="465">
        <f>'Hodnocení '!EG158</f>
        <v>425000</v>
      </c>
      <c r="EH162" s="465">
        <f>'Hodnocení '!EH158</f>
        <v>595000</v>
      </c>
      <c r="EI162" s="465">
        <f>'Hodnocení '!EI158</f>
        <v>1025000</v>
      </c>
      <c r="EJ162" s="465">
        <f>'Hodnocení '!EJ158</f>
        <v>1254497.1182819521</v>
      </c>
      <c r="EK162" s="465">
        <f>'Hodnocení '!EK158</f>
        <v>3773040</v>
      </c>
      <c r="EL162" s="465">
        <f>'Hodnocení '!EL158</f>
        <v>8896080</v>
      </c>
      <c r="EM162" s="465">
        <f>'Hodnocení '!EM158</f>
        <v>2765690</v>
      </c>
      <c r="EN162" s="465">
        <f>'Hodnocení '!EN158</f>
        <v>2526600</v>
      </c>
      <c r="EO162" s="465">
        <f>'Hodnocení '!EO158</f>
        <v>311820</v>
      </c>
      <c r="EP162" s="465">
        <f>'Hodnocení '!EP158</f>
        <v>2970060</v>
      </c>
      <c r="EQ162" s="465">
        <f>'Hodnocení '!EQ158</f>
        <v>1939350</v>
      </c>
      <c r="ER162" s="465">
        <f>'Hodnocení '!ER158</f>
        <v>6229000</v>
      </c>
      <c r="ES162" s="465">
        <f>'Hodnocení '!ES158</f>
        <v>2889370</v>
      </c>
      <c r="ET162" s="465">
        <f>'Hodnocení '!ET158</f>
        <v>901340</v>
      </c>
      <c r="EU162" s="465">
        <f>'Hodnocení '!EU158</f>
        <v>2056000</v>
      </c>
      <c r="EV162" s="465">
        <f>'Hodnocení '!EV158</f>
        <v>443090</v>
      </c>
      <c r="EW162" s="465">
        <f>'Hodnocení '!EW158</f>
        <v>2505060</v>
      </c>
      <c r="EX162" s="465">
        <f>'Hodnocení '!EX158</f>
        <v>5574310</v>
      </c>
      <c r="EY162" s="465">
        <f>'Hodnocení '!EY158</f>
        <v>2059170</v>
      </c>
      <c r="EZ162" s="465">
        <f>'Hodnocení '!EZ158</f>
        <v>0</v>
      </c>
      <c r="FA162" s="465">
        <f>'Hodnocení '!FA158</f>
        <v>990000</v>
      </c>
      <c r="FB162" s="465">
        <f>'Hodnocení '!FB158</f>
        <v>177810</v>
      </c>
      <c r="FC162" s="465">
        <f>'Hodnocení '!FC158</f>
        <v>3042200</v>
      </c>
      <c r="FD162" s="465">
        <f>'Hodnocení '!FD158</f>
        <v>1059104.6825002881</v>
      </c>
      <c r="FE162" s="465">
        <f>'Hodnocení '!FE158</f>
        <v>343250</v>
      </c>
      <c r="FF162" s="465">
        <f>'Hodnocení '!FF158</f>
        <v>1441590</v>
      </c>
      <c r="FG162" s="465">
        <f>'Hodnocení '!FG158</f>
        <v>5703200</v>
      </c>
      <c r="FH162" s="465">
        <f>'Hodnocení '!FH158</f>
        <v>5790610</v>
      </c>
      <c r="FI162" s="465">
        <f>'Hodnocení '!FI158</f>
        <v>7582390</v>
      </c>
      <c r="FJ162" s="465">
        <f>'Hodnocení '!FJ158</f>
        <v>1854520</v>
      </c>
      <c r="FK162" s="465">
        <f>'Hodnocení '!FK158</f>
        <v>117160</v>
      </c>
      <c r="FL162" s="465">
        <f>'Hodnocení '!FL158</f>
        <v>289530</v>
      </c>
      <c r="FM162" s="465">
        <f>'Hodnocení '!FM158</f>
        <v>943020</v>
      </c>
      <c r="FN162" s="465">
        <f>'Hodnocení '!FN158</f>
        <v>7003030</v>
      </c>
      <c r="FO162" s="465">
        <f>'Hodnocení '!FO158</f>
        <v>1654620</v>
      </c>
      <c r="FP162" s="465">
        <f>'Hodnocení '!FP158</f>
        <v>12351200</v>
      </c>
      <c r="FQ162" s="465">
        <f>'Hodnocení '!FQ158</f>
        <v>1972280</v>
      </c>
      <c r="FR162" s="465">
        <f>'Hodnocení '!FR158</f>
        <v>2840805.433337939</v>
      </c>
      <c r="FS162" s="465">
        <f>'Hodnocení '!FS158</f>
        <v>464010</v>
      </c>
      <c r="FT162" s="465">
        <f>'Hodnocení '!FT158</f>
        <v>3255890</v>
      </c>
      <c r="FU162" s="465">
        <f>'Hodnocení '!FU158</f>
        <v>465830</v>
      </c>
      <c r="FV162" s="465">
        <f>'Hodnocení '!FV158</f>
        <v>559250</v>
      </c>
      <c r="FW162" s="465">
        <f>'Hodnocení '!FW158</f>
        <v>937680</v>
      </c>
      <c r="FX162" s="465">
        <f>'Hodnocení '!FX158</f>
        <v>384530</v>
      </c>
      <c r="FY162" s="465">
        <f>'Hodnocení '!FY158</f>
        <v>200000</v>
      </c>
      <c r="FZ162" s="465">
        <f>'Hodnocení '!FZ158</f>
        <v>2571150</v>
      </c>
      <c r="GA162" s="465">
        <f>'Hodnocení '!GA158</f>
        <v>235090</v>
      </c>
      <c r="GB162" s="465">
        <f>'Hodnocení '!GB158</f>
        <v>2245960</v>
      </c>
      <c r="GC162" s="465">
        <f>'Hodnocení '!GC158</f>
        <v>2171080</v>
      </c>
      <c r="GD162" s="465">
        <f>'Hodnocení '!GD158</f>
        <v>7928940</v>
      </c>
      <c r="GE162" s="465">
        <f>'Hodnocení '!GE158</f>
        <v>1229450.065998916</v>
      </c>
      <c r="GF162" s="465">
        <f>'Hodnocení '!GF158</f>
        <v>3881580</v>
      </c>
      <c r="GG162" s="465">
        <f>'Hodnocení '!GG158</f>
        <v>1157420</v>
      </c>
      <c r="GH162" s="465">
        <f>'Hodnocení '!GH158</f>
        <v>1054710</v>
      </c>
      <c r="GI162" s="465">
        <f>'Hodnocení '!GI158</f>
        <v>7754400</v>
      </c>
      <c r="GJ162" s="465">
        <f>'Hodnocení '!GJ158</f>
        <v>1839200</v>
      </c>
      <c r="GK162" s="465">
        <f>'Hodnocení '!GK158</f>
        <v>600000</v>
      </c>
      <c r="GL162" s="465">
        <f>'Hodnocení '!GL158</f>
        <v>469950</v>
      </c>
      <c r="GM162" s="465">
        <f>'Hodnocení '!GM158</f>
        <v>692540</v>
      </c>
      <c r="GN162" s="465">
        <f>'Hodnocení '!GN158</f>
        <v>788770</v>
      </c>
      <c r="GO162" s="465">
        <f>'Hodnocení '!GO158</f>
        <v>4468800</v>
      </c>
      <c r="GP162" s="465">
        <f>'Hodnocení '!GP158</f>
        <v>484460</v>
      </c>
      <c r="GQ162" s="465">
        <f>'Hodnocení '!GQ158</f>
        <v>309590</v>
      </c>
      <c r="GR162" s="465">
        <f>'Hodnocení '!GR158</f>
        <v>610000</v>
      </c>
      <c r="GS162" s="465">
        <f>'Hodnocení '!GS158</f>
        <v>0</v>
      </c>
      <c r="GT162" s="465">
        <f>'Hodnocení '!GT158</f>
        <v>8684790</v>
      </c>
      <c r="GU162" s="465">
        <f>'Hodnocení '!GU158</f>
        <v>807440</v>
      </c>
      <c r="GV162" s="465">
        <f>'Hodnocení '!GV158</f>
        <v>5000000</v>
      </c>
      <c r="GW162" s="465">
        <f>'Hodnocení '!GW158</f>
        <v>941720</v>
      </c>
      <c r="GX162" s="465">
        <f>'Hodnocení '!GX158</f>
        <v>150000</v>
      </c>
      <c r="GY162" s="465">
        <f>'Hodnocení '!GY158</f>
        <v>11169700</v>
      </c>
      <c r="GZ162" s="465">
        <f>'Hodnocení '!GZ158</f>
        <v>3222820.7912944802</v>
      </c>
      <c r="HA162" s="465">
        <f>'Hodnocení '!HA158</f>
        <v>5200000</v>
      </c>
      <c r="HB162" s="465">
        <f>'Hodnocení '!HB158</f>
        <v>2241820</v>
      </c>
      <c r="HC162" s="465">
        <f>'Hodnocení '!HC158</f>
        <v>5534660</v>
      </c>
      <c r="HD162" s="465">
        <f>'Hodnocení '!HD158</f>
        <v>1908550</v>
      </c>
      <c r="HE162" s="465">
        <f>'Hodnocení '!HE158</f>
        <v>4945200</v>
      </c>
      <c r="HF162" s="465">
        <f>'Hodnocení '!HF158</f>
        <v>780920</v>
      </c>
      <c r="HG162" s="465">
        <f>'Hodnocení '!HG158</f>
        <v>483760</v>
      </c>
      <c r="HH162" s="465">
        <f>'Hodnocení '!HH158</f>
        <v>1870580</v>
      </c>
      <c r="HI162" s="465">
        <f>'Hodnocení '!HI158</f>
        <v>1243940</v>
      </c>
      <c r="HJ162" s="465">
        <f>'Hodnocení '!HJ158</f>
        <v>997908.83102156827</v>
      </c>
      <c r="HK162" s="465">
        <f>'Hodnocení '!HK158</f>
        <v>0</v>
      </c>
      <c r="HL162" s="465">
        <f t="shared" ref="HL162:IY162" si="77">HL159+HL52+HL51</f>
        <v>40427490</v>
      </c>
      <c r="HM162" s="465">
        <f t="shared" si="77"/>
        <v>26616510</v>
      </c>
      <c r="HN162" s="465">
        <f t="shared" si="77"/>
        <v>1275203.0250611412</v>
      </c>
      <c r="HO162" s="465">
        <f t="shared" si="77"/>
        <v>3087200</v>
      </c>
      <c r="HP162" s="465">
        <f t="shared" si="77"/>
        <v>29960220</v>
      </c>
      <c r="HQ162" s="465">
        <f t="shared" si="77"/>
        <v>1336280</v>
      </c>
      <c r="HR162" s="465">
        <f t="shared" si="77"/>
        <v>37004410</v>
      </c>
      <c r="HS162" s="465">
        <f t="shared" si="77"/>
        <v>7026280</v>
      </c>
      <c r="HT162" s="465">
        <f t="shared" si="77"/>
        <v>23877690</v>
      </c>
      <c r="HU162" s="465">
        <f t="shared" si="77"/>
        <v>22331990</v>
      </c>
      <c r="HV162" s="465">
        <f t="shared" si="77"/>
        <v>19837130</v>
      </c>
      <c r="HW162" s="465">
        <f t="shared" si="77"/>
        <v>5620590</v>
      </c>
      <c r="HX162" s="465">
        <f t="shared" si="77"/>
        <v>22338520</v>
      </c>
      <c r="HY162" s="465">
        <f t="shared" si="77"/>
        <v>23094760</v>
      </c>
      <c r="HZ162" s="465">
        <f t="shared" si="77"/>
        <v>10788940</v>
      </c>
      <c r="IA162" s="465">
        <f t="shared" si="77"/>
        <v>9795490</v>
      </c>
      <c r="IB162" s="465">
        <f t="shared" si="77"/>
        <v>9865180</v>
      </c>
      <c r="IC162" s="465">
        <f t="shared" si="77"/>
        <v>12434220</v>
      </c>
      <c r="ID162" s="465">
        <f t="shared" si="77"/>
        <v>10029280</v>
      </c>
      <c r="IE162" s="465">
        <f t="shared" si="77"/>
        <v>18544890</v>
      </c>
      <c r="IF162" s="465">
        <f t="shared" si="77"/>
        <v>20809987</v>
      </c>
      <c r="IG162" s="465">
        <f t="shared" si="77"/>
        <v>5546083</v>
      </c>
      <c r="IH162" s="465">
        <f t="shared" si="77"/>
        <v>3570410</v>
      </c>
      <c r="II162" s="465">
        <f t="shared" si="77"/>
        <v>24418370</v>
      </c>
      <c r="IJ162" s="465">
        <f t="shared" si="77"/>
        <v>2347480</v>
      </c>
      <c r="IK162" s="465">
        <f t="shared" si="77"/>
        <v>4198660</v>
      </c>
      <c r="IL162" s="465">
        <f t="shared" si="77"/>
        <v>10594660</v>
      </c>
      <c r="IM162" s="465">
        <f t="shared" si="77"/>
        <v>731480</v>
      </c>
      <c r="IN162" s="465">
        <f t="shared" si="77"/>
        <v>10468200</v>
      </c>
      <c r="IO162" s="465">
        <f t="shared" si="77"/>
        <v>3478610</v>
      </c>
      <c r="IP162" s="465">
        <f t="shared" si="77"/>
        <v>24388870</v>
      </c>
      <c r="IQ162" s="465">
        <f t="shared" si="77"/>
        <v>24352260</v>
      </c>
      <c r="IR162" s="465">
        <f t="shared" si="77"/>
        <v>1134770</v>
      </c>
      <c r="IS162" s="465">
        <f t="shared" si="77"/>
        <v>58775740</v>
      </c>
      <c r="IT162" s="465">
        <f t="shared" si="77"/>
        <v>13517790</v>
      </c>
      <c r="IU162" s="465">
        <f t="shared" si="77"/>
        <v>3299610</v>
      </c>
      <c r="IV162" s="465">
        <f t="shared" si="77"/>
        <v>8911600</v>
      </c>
      <c r="IW162" s="465">
        <f t="shared" si="77"/>
        <v>16497020</v>
      </c>
      <c r="IX162" s="465">
        <f t="shared" si="77"/>
        <v>1986130</v>
      </c>
      <c r="IY162" s="465">
        <f t="shared" si="77"/>
        <v>5814300</v>
      </c>
      <c r="IZ162" s="465">
        <f t="shared" ref="IZ162:JH162" si="78">IZ159+IZ52+IZ51</f>
        <v>21627290</v>
      </c>
      <c r="JA162" s="465">
        <f t="shared" si="78"/>
        <v>3037151.73</v>
      </c>
      <c r="JB162" s="465">
        <f t="shared" si="78"/>
        <v>2895174.04</v>
      </c>
      <c r="JC162" s="465">
        <f t="shared" si="78"/>
        <v>2268778.09</v>
      </c>
      <c r="JD162" s="465">
        <f t="shared" si="78"/>
        <v>3876588.7</v>
      </c>
      <c r="JE162" s="465">
        <f t="shared" si="78"/>
        <v>1554890</v>
      </c>
      <c r="JF162" s="465">
        <f t="shared" si="78"/>
        <v>35133810</v>
      </c>
      <c r="JG162" s="465">
        <f t="shared" si="78"/>
        <v>37518579</v>
      </c>
      <c r="JH162" s="465">
        <f t="shared" si="78"/>
        <v>868740</v>
      </c>
      <c r="JI162" s="727">
        <f>'Hodnocení '!JI158</f>
        <v>1238903959.3408129</v>
      </c>
      <c r="JL162" s="307">
        <f t="shared" si="75"/>
        <v>24913600</v>
      </c>
      <c r="JM162" s="307">
        <f t="shared" si="75"/>
        <v>406871752.54661286</v>
      </c>
      <c r="JN162" s="307">
        <f t="shared" si="75"/>
        <v>170639379.8041532</v>
      </c>
      <c r="JO162" s="307">
        <f t="shared" si="75"/>
        <v>688915304.58506119</v>
      </c>
      <c r="JP162" s="307">
        <f t="shared" si="76"/>
        <v>1291340036.9358273</v>
      </c>
    </row>
    <row r="163" spans="2:276" x14ac:dyDescent="0.25">
      <c r="B163" s="191" t="s">
        <v>1828</v>
      </c>
      <c r="C163" s="618">
        <f>'Hodnocení '!C159</f>
        <v>1235420</v>
      </c>
      <c r="D163" s="465">
        <f>'Hodnocení '!D159</f>
        <v>1406900</v>
      </c>
      <c r="E163" s="465">
        <f>'Hodnocení '!E159</f>
        <v>102775</v>
      </c>
      <c r="F163" s="465">
        <f>'Hodnocení '!F159</f>
        <v>132280</v>
      </c>
      <c r="G163" s="465">
        <f>'Hodnocení '!G159</f>
        <v>1429650</v>
      </c>
      <c r="H163" s="465">
        <f>'Hodnocení '!H159</f>
        <v>65710.416111308965</v>
      </c>
      <c r="I163" s="465">
        <f>'Hodnocení '!I159</f>
        <v>941977.47419521306</v>
      </c>
      <c r="J163" s="465">
        <f>'Hodnocení '!J159</f>
        <v>85670.548336183652</v>
      </c>
      <c r="K163" s="465">
        <f>'Hodnocení '!K159</f>
        <v>618538</v>
      </c>
      <c r="L163" s="465">
        <f>'Hodnocení '!L159</f>
        <v>0</v>
      </c>
      <c r="M163" s="465">
        <f>'Hodnocení '!M159</f>
        <v>30491</v>
      </c>
      <c r="N163" s="465">
        <f>'Hodnocení '!N159</f>
        <v>0</v>
      </c>
      <c r="O163" s="465">
        <f>'Hodnocení '!O159</f>
        <v>151211</v>
      </c>
      <c r="P163" s="465">
        <f>'Hodnocení '!P159</f>
        <v>108014</v>
      </c>
      <c r="Q163" s="465">
        <f>'Hodnocení '!Q159</f>
        <v>371223</v>
      </c>
      <c r="R163" s="465">
        <f>'Hodnocení '!R159</f>
        <v>-94718.100000000093</v>
      </c>
      <c r="S163" s="465">
        <f>'Hodnocení '!S159</f>
        <v>-2.8000000000465661</v>
      </c>
      <c r="T163" s="465">
        <f>'Hodnocení '!T159</f>
        <v>31434</v>
      </c>
      <c r="U163" s="465">
        <f>'Hodnocení '!U159</f>
        <v>-11704</v>
      </c>
      <c r="V163" s="465">
        <f>'Hodnocení '!V159</f>
        <v>-740000</v>
      </c>
      <c r="W163" s="465">
        <f>'Hodnocení '!W159</f>
        <v>305000</v>
      </c>
      <c r="X163" s="465">
        <f>'Hodnocení '!X159</f>
        <v>978300</v>
      </c>
      <c r="Y163" s="465">
        <f>'Hodnocení '!Y159</f>
        <v>12890</v>
      </c>
      <c r="Z163" s="465">
        <f>'Hodnocení '!Z159</f>
        <v>379920</v>
      </c>
      <c r="AA163" s="465">
        <f>'Hodnocení '!AA159</f>
        <v>394890</v>
      </c>
      <c r="AB163" s="465">
        <f>'Hodnocení '!AB159</f>
        <v>266560</v>
      </c>
      <c r="AC163" s="465">
        <f>'Hodnocení '!AC159</f>
        <v>-1367500</v>
      </c>
      <c r="AD163" s="465">
        <f>'Hodnocení '!AD159</f>
        <v>744990</v>
      </c>
      <c r="AE163" s="465">
        <f>'Hodnocení '!AE159</f>
        <v>76843</v>
      </c>
      <c r="AF163" s="465">
        <f>'Hodnocení '!AF159</f>
        <v>1219240</v>
      </c>
      <c r="AG163" s="465">
        <f>'Hodnocení '!AG159</f>
        <v>125058</v>
      </c>
      <c r="AH163" s="465">
        <f>'Hodnocení '!AH159</f>
        <v>-7266</v>
      </c>
      <c r="AI163" s="465">
        <f>'Hodnocení '!AI159</f>
        <v>510300</v>
      </c>
      <c r="AJ163" s="465">
        <f>'Hodnocení '!AJ159</f>
        <v>134700</v>
      </c>
      <c r="AK163" s="465">
        <f>'Hodnocení '!AK159</f>
        <v>53995</v>
      </c>
      <c r="AL163" s="465">
        <f>'Hodnocení '!AL159</f>
        <v>92494</v>
      </c>
      <c r="AM163" s="465">
        <f>'Hodnocení '!AM159</f>
        <v>125218</v>
      </c>
      <c r="AN163" s="465">
        <f>'Hodnocení '!AN159</f>
        <v>0</v>
      </c>
      <c r="AO163" s="465">
        <f>'Hodnocení '!AO159</f>
        <v>615412</v>
      </c>
      <c r="AP163" s="465">
        <f>'Hodnocení '!AP159</f>
        <v>-39775</v>
      </c>
      <c r="AQ163" s="465">
        <f>'Hodnocení '!AQ159</f>
        <v>2</v>
      </c>
      <c r="AR163" s="465">
        <f>'Hodnocení '!AR159</f>
        <v>401149</v>
      </c>
      <c r="AS163" s="465">
        <f>'Hodnocení '!AS159</f>
        <v>2658</v>
      </c>
      <c r="AT163" s="465">
        <f>'Hodnocení '!AT159</f>
        <v>4</v>
      </c>
      <c r="AU163" s="465">
        <f>'Hodnocení '!AU159</f>
        <v>97948</v>
      </c>
      <c r="AV163" s="465">
        <f>'Hodnocení '!AV159</f>
        <v>137042</v>
      </c>
      <c r="AW163" s="465">
        <f>'Hodnocení '!AW159</f>
        <v>272535.54269331275</v>
      </c>
      <c r="AX163" s="465">
        <f>'Hodnocení '!AX159</f>
        <v>0</v>
      </c>
      <c r="AY163" s="465">
        <f>'Hodnocení '!AY159</f>
        <v>182498</v>
      </c>
      <c r="AZ163" s="465">
        <f>'Hodnocení '!AZ159</f>
        <v>49765</v>
      </c>
      <c r="BA163" s="465">
        <f>'Hodnocení '!BA159</f>
        <v>1814732</v>
      </c>
      <c r="BB163" s="465">
        <f>'Hodnocení '!BB159</f>
        <v>292796</v>
      </c>
      <c r="BC163" s="465">
        <f>'Hodnocení '!BC159</f>
        <v>214995</v>
      </c>
      <c r="BD163" s="465">
        <f>'Hodnocení '!BD159</f>
        <v>638440</v>
      </c>
      <c r="BE163" s="465">
        <f>'Hodnocení '!BE159</f>
        <v>86784.356650778558</v>
      </c>
      <c r="BF163" s="465">
        <f>'Hodnocení '!BF159</f>
        <v>131040</v>
      </c>
      <c r="BG163" s="465">
        <f>'Hodnocení '!BG159</f>
        <v>154784</v>
      </c>
      <c r="BH163" s="465">
        <f>'Hodnocení '!BH159</f>
        <v>127042</v>
      </c>
      <c r="BI163" s="465">
        <f>'Hodnocení '!BI159</f>
        <v>-198100</v>
      </c>
      <c r="BJ163" s="465">
        <f>'Hodnocení '!BJ159</f>
        <v>81839</v>
      </c>
      <c r="BK163" s="465">
        <f>'Hodnocení '!BK159</f>
        <v>136000</v>
      </c>
      <c r="BL163" s="465">
        <f>'Hodnocení '!BL159</f>
        <v>455140</v>
      </c>
      <c r="BM163" s="465">
        <f>'Hodnocení '!BM159</f>
        <v>849720</v>
      </c>
      <c r="BN163" s="465">
        <f>'Hodnocení '!BN159</f>
        <v>59100</v>
      </c>
      <c r="BO163" s="465">
        <f>'Hodnocení '!BO159</f>
        <v>217320</v>
      </c>
      <c r="BP163" s="465">
        <f>'Hodnocení '!BP159</f>
        <v>732773</v>
      </c>
      <c r="BQ163" s="465">
        <f>'Hodnocení '!BQ159</f>
        <v>31797.455608832184</v>
      </c>
      <c r="BR163" s="465">
        <f>'Hodnocení '!BR159</f>
        <v>138680</v>
      </c>
      <c r="BS163" s="465">
        <f>'Hodnocení '!BS159</f>
        <v>-10000</v>
      </c>
      <c r="BT163" s="465">
        <f>'Hodnocení '!BT159</f>
        <v>54060</v>
      </c>
      <c r="BU163" s="465">
        <f>'Hodnocení '!BU159</f>
        <v>2</v>
      </c>
      <c r="BV163" s="465">
        <f>'Hodnocení '!BV159</f>
        <v>589000</v>
      </c>
      <c r="BW163" s="465">
        <f>'Hodnocení '!BW159</f>
        <v>-3</v>
      </c>
      <c r="BX163" s="465">
        <f>'Hodnocení '!BX159</f>
        <v>703447</v>
      </c>
      <c r="BY163" s="465">
        <f>'Hodnocení '!BY159</f>
        <v>-4</v>
      </c>
      <c r="BZ163" s="465">
        <f>'Hodnocení '!BZ159</f>
        <v>0</v>
      </c>
      <c r="CA163" s="465">
        <f>'Hodnocení '!CA159</f>
        <v>0</v>
      </c>
      <c r="CB163" s="465">
        <f>'Hodnocení '!CB159</f>
        <v>-3</v>
      </c>
      <c r="CC163" s="465">
        <f>'Hodnocení '!CC159</f>
        <v>117642</v>
      </c>
      <c r="CD163" s="465">
        <f>'Hodnocení '!CD159</f>
        <v>-9486</v>
      </c>
      <c r="CE163" s="465">
        <f>'Hodnocení '!CE159</f>
        <v>1446195</v>
      </c>
      <c r="CF163" s="465">
        <f>'Hodnocení '!CF159</f>
        <v>127620</v>
      </c>
      <c r="CG163" s="465">
        <f>'Hodnocení '!CG159</f>
        <v>570096</v>
      </c>
      <c r="CH163" s="465">
        <f>'Hodnocení '!CH159</f>
        <v>305133.07924963161</v>
      </c>
      <c r="CI163" s="465">
        <f>'Hodnocení '!CI159</f>
        <v>414452.81140256021</v>
      </c>
      <c r="CJ163" s="465">
        <f>'Hodnocení '!CJ159</f>
        <v>394670</v>
      </c>
      <c r="CK163" s="465">
        <f>'Hodnocení '!CK159</f>
        <v>289377</v>
      </c>
      <c r="CL163" s="465">
        <f>'Hodnocení '!CL159</f>
        <v>170391.15127240773</v>
      </c>
      <c r="CM163" s="465">
        <f>'Hodnocení '!CM159</f>
        <v>691680</v>
      </c>
      <c r="CN163" s="465">
        <f>'Hodnocení '!CN159</f>
        <v>4.8600000001024455</v>
      </c>
      <c r="CO163" s="465">
        <f>'Hodnocení '!CO159</f>
        <v>0</v>
      </c>
      <c r="CP163" s="465">
        <f>'Hodnocení '!CP159</f>
        <v>4.5400000000372529</v>
      </c>
      <c r="CQ163" s="465">
        <f>'Hodnocení '!CQ159</f>
        <v>908774</v>
      </c>
      <c r="CR163" s="465">
        <f>'Hodnocení '!CR159</f>
        <v>714290</v>
      </c>
      <c r="CS163" s="465">
        <f>'Hodnocení '!CS159</f>
        <v>3402237.5858069072</v>
      </c>
      <c r="CT163" s="465">
        <f>'Hodnocení '!CT159</f>
        <v>859679.81036627945</v>
      </c>
      <c r="CU163" s="465">
        <f>'Hodnocení '!CU159</f>
        <v>474500</v>
      </c>
      <c r="CV163" s="465">
        <f>'Hodnocení '!CV159</f>
        <v>613490</v>
      </c>
      <c r="CW163" s="465">
        <f>'Hodnocení '!CW159</f>
        <v>128599</v>
      </c>
      <c r="CX163" s="465">
        <f>'Hodnocení '!CX159</f>
        <v>329000</v>
      </c>
      <c r="CY163" s="465">
        <f>'Hodnocení '!CY159</f>
        <v>132126</v>
      </c>
      <c r="CZ163" s="465">
        <f>'Hodnocení '!CZ159</f>
        <v>368000</v>
      </c>
      <c r="DA163" s="465">
        <f>'Hodnocení '!DA159</f>
        <v>2069140</v>
      </c>
      <c r="DB163" s="465">
        <f>'Hodnocení '!DB159</f>
        <v>74282</v>
      </c>
      <c r="DC163" s="465">
        <f>'Hodnocení '!DC159</f>
        <v>281020</v>
      </c>
      <c r="DD163" s="465">
        <f>'Hodnocení '!DD159</f>
        <v>690116.64572781697</v>
      </c>
      <c r="DE163" s="465">
        <f>'Hodnocení '!DE159</f>
        <v>429386</v>
      </c>
      <c r="DF163" s="465">
        <f>'Hodnocení '!DF159</f>
        <v>-556092</v>
      </c>
      <c r="DG163" s="465">
        <f>'Hodnocení '!DG159</f>
        <v>197200</v>
      </c>
      <c r="DH163" s="465">
        <f>'Hodnocení '!DH159</f>
        <v>830968.9941313616</v>
      </c>
      <c r="DI163" s="465">
        <f>'Hodnocení '!DI159</f>
        <v>43865.384096688125</v>
      </c>
      <c r="DJ163" s="465">
        <f>'Hodnocení '!DJ159</f>
        <v>37877.023685960099</v>
      </c>
      <c r="DK163" s="465">
        <f>'Hodnocení '!DK159</f>
        <v>1666856.818091928</v>
      </c>
      <c r="DL163" s="465">
        <f>'Hodnocení '!DL159</f>
        <v>-4</v>
      </c>
      <c r="DM163" s="465">
        <f>'Hodnocení '!DM159</f>
        <v>171152</v>
      </c>
      <c r="DN163" s="465">
        <f>'Hodnocení '!DN159</f>
        <v>623905</v>
      </c>
      <c r="DO163" s="465">
        <f>'Hodnocení '!DO159</f>
        <v>4525</v>
      </c>
      <c r="DP163" s="465">
        <f>'Hodnocení '!DP159</f>
        <v>-3.779999999795109</v>
      </c>
      <c r="DQ163" s="465">
        <f>'Hodnocení '!DQ159</f>
        <v>31798</v>
      </c>
      <c r="DR163" s="465">
        <f>'Hodnocení '!DR159</f>
        <v>-54356</v>
      </c>
      <c r="DS163" s="465">
        <f>'Hodnocení '!DS159</f>
        <v>547000</v>
      </c>
      <c r="DT163" s="465">
        <f>'Hodnocení '!DT159</f>
        <v>108709</v>
      </c>
      <c r="DU163" s="465">
        <f>'Hodnocení '!DU159</f>
        <v>18908.963338879868</v>
      </c>
      <c r="DV163" s="465">
        <f>'Hodnocení '!DV159</f>
        <v>1277853</v>
      </c>
      <c r="DW163" s="465">
        <f>'Hodnocení '!DW159</f>
        <v>251601.57345701009</v>
      </c>
      <c r="DX163" s="465">
        <f>'Hodnocení '!DX159</f>
        <v>433801.15410795156</v>
      </c>
      <c r="DY163" s="465">
        <f>'Hodnocení '!DY159</f>
        <v>825990</v>
      </c>
      <c r="DZ163" s="465">
        <f>'Hodnocení '!DZ159</f>
        <v>7630</v>
      </c>
      <c r="EA163" s="465">
        <f>'Hodnocení '!EA159</f>
        <v>2</v>
      </c>
      <c r="EB163" s="465">
        <f>'Hodnocení '!EB159</f>
        <v>188920</v>
      </c>
      <c r="EC163" s="465">
        <f>'Hodnocení '!EC159</f>
        <v>162386</v>
      </c>
      <c r="ED163" s="465">
        <f>'Hodnocení '!ED159</f>
        <v>317052</v>
      </c>
      <c r="EE163" s="465">
        <f>'Hodnocení '!EE159</f>
        <v>46376</v>
      </c>
      <c r="EF163" s="465">
        <f>'Hodnocení '!EF159</f>
        <v>-3087.5899999999674</v>
      </c>
      <c r="EG163" s="465">
        <f>'Hodnocení '!EG159</f>
        <v>-2828.9899999999907</v>
      </c>
      <c r="EH163" s="465">
        <f>'Hodnocení '!EH159</f>
        <v>35330</v>
      </c>
      <c r="EI163" s="465">
        <f>'Hodnocení '!EI159</f>
        <v>114247</v>
      </c>
      <c r="EJ163" s="465">
        <f>'Hodnocení '!EJ159</f>
        <v>220123.11828195211</v>
      </c>
      <c r="EK163" s="465">
        <f>'Hodnocení '!EK159</f>
        <v>-159002</v>
      </c>
      <c r="EL163" s="465">
        <f>'Hodnocení '!EL159</f>
        <v>272054</v>
      </c>
      <c r="EM163" s="465">
        <f>'Hodnocení '!EM159</f>
        <v>66882</v>
      </c>
      <c r="EN163" s="465">
        <f>'Hodnocení '!EN159</f>
        <v>132127</v>
      </c>
      <c r="EO163" s="465">
        <f>'Hodnocení '!EO159</f>
        <v>75402</v>
      </c>
      <c r="EP163" s="465">
        <f>'Hodnocení '!EP159</f>
        <v>798937</v>
      </c>
      <c r="EQ163" s="465">
        <f>'Hodnocení '!EQ159</f>
        <v>95228</v>
      </c>
      <c r="ER163" s="465">
        <f>'Hodnocení '!ER159</f>
        <v>977132</v>
      </c>
      <c r="ES163" s="465">
        <f>'Hodnocení '!ES159</f>
        <v>118810</v>
      </c>
      <c r="ET163" s="465">
        <f>'Hodnocení '!ET159</f>
        <v>901340</v>
      </c>
      <c r="EU163" s="465">
        <f>'Hodnocení '!EU159</f>
        <v>1252000</v>
      </c>
      <c r="EV163" s="465">
        <f>'Hodnocení '!EV159</f>
        <v>217555</v>
      </c>
      <c r="EW163" s="465">
        <f>'Hodnocení '!EW159</f>
        <v>148747</v>
      </c>
      <c r="EX163" s="465">
        <f>'Hodnocení '!EX159</f>
        <v>170020</v>
      </c>
      <c r="EY163" s="465">
        <f>'Hodnocení '!EY159</f>
        <v>14325</v>
      </c>
      <c r="EZ163" s="465">
        <f>'Hodnocení '!EZ159</f>
        <v>-111326</v>
      </c>
      <c r="FA163" s="465">
        <f>'Hodnocení '!FA159</f>
        <v>196308</v>
      </c>
      <c r="FB163" s="465">
        <f>'Hodnocení '!FB159</f>
        <v>38049</v>
      </c>
      <c r="FC163" s="465">
        <f>'Hodnocení '!FC159</f>
        <v>42200</v>
      </c>
      <c r="FD163" s="465">
        <f>'Hodnocení '!FD159</f>
        <v>286643.68250028812</v>
      </c>
      <c r="FE163" s="465">
        <f>'Hodnocení '!FE159</f>
        <v>80750</v>
      </c>
      <c r="FF163" s="465">
        <f>'Hodnocení '!FF159</f>
        <v>324470</v>
      </c>
      <c r="FG163" s="465">
        <f>'Hodnocení '!FG159</f>
        <v>1019550</v>
      </c>
      <c r="FH163" s="465">
        <f>'Hodnocení '!FH159</f>
        <v>271030</v>
      </c>
      <c r="FI163" s="465">
        <f>'Hodnocení '!FI159</f>
        <v>2013903</v>
      </c>
      <c r="FJ163" s="465">
        <f>'Hodnocení '!FJ159</f>
        <v>275474</v>
      </c>
      <c r="FK163" s="465">
        <f>'Hodnocení '!FK159</f>
        <v>-164692</v>
      </c>
      <c r="FL163" s="465">
        <f>'Hodnocení '!FL159</f>
        <v>-312232</v>
      </c>
      <c r="FM163" s="465">
        <f>'Hodnocení '!FM159</f>
        <v>-1683383</v>
      </c>
      <c r="FN163" s="465">
        <f>'Hodnocení '!FN159</f>
        <v>543650</v>
      </c>
      <c r="FO163" s="465">
        <f>'Hodnocení '!FO159</f>
        <v>-5037</v>
      </c>
      <c r="FP163" s="465">
        <f>'Hodnocení '!FP159</f>
        <v>206748</v>
      </c>
      <c r="FQ163" s="465">
        <f>'Hodnocení '!FQ159</f>
        <v>62857</v>
      </c>
      <c r="FR163" s="465">
        <f>'Hodnocení '!FR159</f>
        <v>0</v>
      </c>
      <c r="FS163" s="465">
        <f>'Hodnocení '!FS159</f>
        <v>-13560</v>
      </c>
      <c r="FT163" s="465">
        <f>'Hodnocení '!FT159</f>
        <v>307280</v>
      </c>
      <c r="FU163" s="465">
        <f>'Hodnocení '!FU159</f>
        <v>39283</v>
      </c>
      <c r="FV163" s="465">
        <f>'Hodnocení '!FV159</f>
        <v>176</v>
      </c>
      <c r="FW163" s="465">
        <f>'Hodnocení '!FW159</f>
        <v>-76055</v>
      </c>
      <c r="FX163" s="465">
        <f>'Hodnocení '!FX159</f>
        <v>19604</v>
      </c>
      <c r="FY163" s="465">
        <f>'Hodnocení '!FY159</f>
        <v>-9591</v>
      </c>
      <c r="FZ163" s="465">
        <f>'Hodnocení '!FZ159</f>
        <v>-5060</v>
      </c>
      <c r="GA163" s="465">
        <f>'Hodnocení '!GA159</f>
        <v>240</v>
      </c>
      <c r="GB163" s="465">
        <f>'Hodnocení '!GB159</f>
        <v>494640</v>
      </c>
      <c r="GC163" s="465">
        <f>'Hodnocení '!GC159</f>
        <v>15551</v>
      </c>
      <c r="GD163" s="465">
        <f>'Hodnocení '!GD159</f>
        <v>806649</v>
      </c>
      <c r="GE163" s="465">
        <f>'Hodnocení '!GE159</f>
        <v>-109614.93400108395</v>
      </c>
      <c r="GF163" s="465">
        <f>'Hodnocení '!GF159</f>
        <v>291023</v>
      </c>
      <c r="GG163" s="465">
        <f>'Hodnocení '!GG159</f>
        <v>-132561</v>
      </c>
      <c r="GH163" s="465">
        <f>'Hodnocení '!GH159</f>
        <v>-34872</v>
      </c>
      <c r="GI163" s="465">
        <f>'Hodnocení '!GI159</f>
        <v>855483</v>
      </c>
      <c r="GJ163" s="465">
        <f>'Hodnocení '!GJ159</f>
        <v>171699</v>
      </c>
      <c r="GK163" s="465">
        <f>'Hodnocení '!GK159</f>
        <v>-66130</v>
      </c>
      <c r="GL163" s="465">
        <f>'Hodnocení '!GL159</f>
        <v>-59346</v>
      </c>
      <c r="GM163" s="465">
        <f>'Hodnocení '!GM159</f>
        <v>-60700</v>
      </c>
      <c r="GN163" s="465">
        <f>'Hodnocení '!GN159</f>
        <v>185654</v>
      </c>
      <c r="GO163" s="465">
        <f>'Hodnocení '!GO159</f>
        <v>887251</v>
      </c>
      <c r="GP163" s="465">
        <f>'Hodnocení '!GP159</f>
        <v>-35810</v>
      </c>
      <c r="GQ163" s="465">
        <f>'Hodnocení '!GQ159</f>
        <v>-430640</v>
      </c>
      <c r="GR163" s="465">
        <f>'Hodnocení '!GR159</f>
        <v>-83152</v>
      </c>
      <c r="GS163" s="465">
        <f>'Hodnocení '!GS159</f>
        <v>-165886</v>
      </c>
      <c r="GT163" s="465">
        <f>'Hodnocení '!GT159</f>
        <v>339288</v>
      </c>
      <c r="GU163" s="465">
        <f>'Hodnocení '!GU159</f>
        <v>45869</v>
      </c>
      <c r="GV163" s="465">
        <f>'Hodnocení '!GV159</f>
        <v>40190</v>
      </c>
      <c r="GW163" s="465">
        <f>'Hodnocení '!GW159</f>
        <v>-192146</v>
      </c>
      <c r="GX163" s="465">
        <f>'Hodnocení '!GX159</f>
        <v>-4333</v>
      </c>
      <c r="GY163" s="465">
        <f>'Hodnocení '!GY159</f>
        <v>447840</v>
      </c>
      <c r="GZ163" s="465">
        <f>'Hodnocení '!GZ159</f>
        <v>3222820.7912944802</v>
      </c>
      <c r="HA163" s="465">
        <f>'Hodnocení '!HA159</f>
        <v>323440</v>
      </c>
      <c r="HB163" s="465">
        <f>'Hodnocení '!HB159</f>
        <v>250360</v>
      </c>
      <c r="HC163" s="465">
        <f>'Hodnocení '!HC159</f>
        <v>400660</v>
      </c>
      <c r="HD163" s="465">
        <f>'Hodnocení '!HD159</f>
        <v>507250</v>
      </c>
      <c r="HE163" s="465">
        <f>'Hodnocení '!HE159</f>
        <v>502000</v>
      </c>
      <c r="HF163" s="465">
        <f>'Hodnocení '!HF159</f>
        <v>73634</v>
      </c>
      <c r="HG163" s="465">
        <f>'Hodnocení '!HG159</f>
        <v>-34317</v>
      </c>
      <c r="HH163" s="465">
        <f>'Hodnocení '!HH159</f>
        <v>-115198</v>
      </c>
      <c r="HI163" s="465">
        <f>'Hodnocení '!HI159</f>
        <v>-270683</v>
      </c>
      <c r="HJ163" s="465">
        <f>'Hodnocení '!HJ159</f>
        <v>502448.83102156827</v>
      </c>
      <c r="HK163" s="465">
        <f>'Hodnocení '!HK159</f>
        <v>-144000</v>
      </c>
      <c r="HL163" s="465">
        <f t="shared" ref="HL163:IY163" si="79">HL162-HL161</f>
        <v>3060522.7564252615</v>
      </c>
      <c r="HM163" s="465">
        <f t="shared" si="79"/>
        <v>1614997.458420679</v>
      </c>
      <c r="HN163" s="465">
        <f t="shared" si="79"/>
        <v>466426.60967296967</v>
      </c>
      <c r="HO163" s="465">
        <f t="shared" si="79"/>
        <v>210430.20054223202</v>
      </c>
      <c r="HP163" s="465">
        <f t="shared" si="79"/>
        <v>2173002</v>
      </c>
      <c r="HQ163" s="465">
        <f t="shared" si="79"/>
        <v>358236.61919036601</v>
      </c>
      <c r="HR163" s="465">
        <f t="shared" si="79"/>
        <v>3463218.718434725</v>
      </c>
      <c r="HS163" s="465">
        <f t="shared" si="79"/>
        <v>1335052.66237491</v>
      </c>
      <c r="HT163" s="465">
        <f t="shared" si="79"/>
        <v>1278005</v>
      </c>
      <c r="HU163" s="465">
        <f t="shared" si="79"/>
        <v>823996</v>
      </c>
      <c r="HV163" s="465">
        <f t="shared" si="79"/>
        <v>3148003</v>
      </c>
      <c r="HW163" s="465">
        <f t="shared" si="79"/>
        <v>-1344951.9659980796</v>
      </c>
      <c r="HX163" s="465">
        <f t="shared" si="79"/>
        <v>4354991.9659980796</v>
      </c>
      <c r="HY163" s="465">
        <f t="shared" si="79"/>
        <v>1988998</v>
      </c>
      <c r="HZ163" s="465">
        <f t="shared" si="79"/>
        <v>1222999</v>
      </c>
      <c r="IA163" s="465">
        <f t="shared" si="79"/>
        <v>688003</v>
      </c>
      <c r="IB163" s="465">
        <f t="shared" si="79"/>
        <v>1289999</v>
      </c>
      <c r="IC163" s="465">
        <f t="shared" si="79"/>
        <v>1200505.1772533692</v>
      </c>
      <c r="ID163" s="465">
        <f t="shared" si="79"/>
        <v>773488.82274663076</v>
      </c>
      <c r="IE163" s="465">
        <f t="shared" si="79"/>
        <v>2355998</v>
      </c>
      <c r="IF163" s="465">
        <f t="shared" si="79"/>
        <v>549999.8012053594</v>
      </c>
      <c r="IG163" s="465">
        <f t="shared" si="79"/>
        <v>100003.1987946406</v>
      </c>
      <c r="IH163" s="465">
        <f t="shared" si="79"/>
        <v>557523.41090449877</v>
      </c>
      <c r="II163" s="465">
        <f t="shared" si="79"/>
        <v>3576504.9507557973</v>
      </c>
      <c r="IJ163" s="465">
        <f t="shared" si="79"/>
        <v>672571.4661592776</v>
      </c>
      <c r="IK163" s="465">
        <f t="shared" si="79"/>
        <v>621101.17218042724</v>
      </c>
      <c r="IL163" s="465">
        <f t="shared" si="79"/>
        <v>1390004</v>
      </c>
      <c r="IM163" s="465">
        <f t="shared" si="79"/>
        <v>29642.157179904869</v>
      </c>
      <c r="IN163" s="465">
        <f t="shared" si="79"/>
        <v>254248.49518934824</v>
      </c>
      <c r="IO163" s="465">
        <f t="shared" si="79"/>
        <v>66116.347630746663</v>
      </c>
      <c r="IP163" s="465">
        <f t="shared" si="79"/>
        <v>1873003</v>
      </c>
      <c r="IQ163" s="465">
        <f t="shared" si="79"/>
        <v>1788297.333831273</v>
      </c>
      <c r="IR163" s="465">
        <f t="shared" si="79"/>
        <v>131703.66616872873</v>
      </c>
      <c r="IS163" s="465">
        <f t="shared" si="79"/>
        <v>5710065.490031004</v>
      </c>
      <c r="IT163" s="465">
        <f t="shared" si="79"/>
        <v>1307930.509968996</v>
      </c>
      <c r="IU163" s="465">
        <f t="shared" si="79"/>
        <v>116979.96376386378</v>
      </c>
      <c r="IV163" s="465">
        <f t="shared" si="79"/>
        <v>389195.18116884306</v>
      </c>
      <c r="IW163" s="465">
        <f t="shared" si="79"/>
        <v>858125.28889867291</v>
      </c>
      <c r="IX163" s="465">
        <f t="shared" si="79"/>
        <v>172693.56616862118</v>
      </c>
      <c r="IY163" s="465">
        <f t="shared" si="79"/>
        <v>-1790348.4471565671</v>
      </c>
      <c r="IZ163" s="465">
        <f>IZ162-IZ161</f>
        <v>3399346.4471565671</v>
      </c>
      <c r="JA163" s="465">
        <f t="shared" ref="JA163:JH163" si="80">JA162-JA161</f>
        <v>0</v>
      </c>
      <c r="JB163" s="465">
        <f t="shared" si="80"/>
        <v>0</v>
      </c>
      <c r="JC163" s="465">
        <f t="shared" si="80"/>
        <v>0</v>
      </c>
      <c r="JD163" s="465">
        <f t="shared" si="80"/>
        <v>-1176392</v>
      </c>
      <c r="JE163" s="465">
        <f t="shared" si="80"/>
        <v>395784.85494075296</v>
      </c>
      <c r="JF163" s="465">
        <f t="shared" si="80"/>
        <v>5235210.1450592503</v>
      </c>
      <c r="JG163" s="465">
        <f t="shared" si="80"/>
        <v>6977042</v>
      </c>
      <c r="JH163" s="465">
        <f t="shared" si="80"/>
        <v>0</v>
      </c>
      <c r="JI163" s="727">
        <f>'Hodnocení '!JI159</f>
        <v>70556643.847474977</v>
      </c>
      <c r="JL163" s="307">
        <f t="shared" si="75"/>
        <v>2745095</v>
      </c>
      <c r="JM163" s="307">
        <f t="shared" si="75"/>
        <v>42103724.046612956</v>
      </c>
      <c r="JN163" s="307">
        <f t="shared" si="75"/>
        <v>14475628.370815251</v>
      </c>
      <c r="JO163" s="307">
        <f t="shared" si="75"/>
        <v>63668274.025061145</v>
      </c>
      <c r="JP163" s="307">
        <f t="shared" si="76"/>
        <v>122992721.44248936</v>
      </c>
    </row>
    <row r="164" spans="2:276" hidden="1" x14ac:dyDescent="0.25">
      <c r="B164" s="759" t="s">
        <v>2580</v>
      </c>
      <c r="C164" s="821">
        <f>'Hodnocení '!C160</f>
        <v>1235420</v>
      </c>
      <c r="D164" s="491">
        <f>'Hodnocení '!D160</f>
        <v>1406900</v>
      </c>
      <c r="E164" s="491">
        <f>'Hodnocení '!E160</f>
        <v>102775</v>
      </c>
      <c r="F164" s="491">
        <f>'Hodnocení '!F160</f>
        <v>132280</v>
      </c>
      <c r="G164" s="491">
        <f>'Hodnocení '!G160</f>
        <v>1429650</v>
      </c>
      <c r="H164" s="491">
        <f>'Hodnocení '!H160</f>
        <v>65710.416111308965</v>
      </c>
      <c r="I164" s="491">
        <f>'Hodnocení '!I160</f>
        <v>941977.47419521306</v>
      </c>
      <c r="J164" s="491">
        <f>'Hodnocení '!J160</f>
        <v>85670.548336183652</v>
      </c>
      <c r="K164" s="491">
        <f>'Hodnocení '!K160</f>
        <v>618538</v>
      </c>
      <c r="L164" s="491">
        <f>'Hodnocení '!L160</f>
        <v>0</v>
      </c>
      <c r="M164" s="491">
        <f>'Hodnocení '!M160</f>
        <v>30491</v>
      </c>
      <c r="N164" s="491">
        <f>'Hodnocení '!N160</f>
        <v>0</v>
      </c>
      <c r="O164" s="491">
        <f>'Hodnocení '!O160</f>
        <v>151211</v>
      </c>
      <c r="P164" s="491">
        <f>'Hodnocení '!P160</f>
        <v>108014</v>
      </c>
      <c r="Q164" s="491">
        <f>'Hodnocení '!Q160</f>
        <v>371223</v>
      </c>
      <c r="R164" s="491">
        <f>'Hodnocení '!R160</f>
        <v>0</v>
      </c>
      <c r="S164" s="491">
        <f>'Hodnocení '!S160</f>
        <v>0</v>
      </c>
      <c r="T164" s="491">
        <f>'Hodnocení '!T160</f>
        <v>31434</v>
      </c>
      <c r="U164" s="491">
        <f>'Hodnocení '!U160</f>
        <v>0</v>
      </c>
      <c r="V164" s="491">
        <f>'Hodnocení '!V160</f>
        <v>0</v>
      </c>
      <c r="W164" s="491">
        <f>'Hodnocení '!W160</f>
        <v>305000</v>
      </c>
      <c r="X164" s="491">
        <f>'Hodnocení '!X160</f>
        <v>978300</v>
      </c>
      <c r="Y164" s="491">
        <f>'Hodnocení '!Y160</f>
        <v>12890</v>
      </c>
      <c r="Z164" s="491">
        <f>'Hodnocení '!Z160</f>
        <v>379920</v>
      </c>
      <c r="AA164" s="491">
        <f>'Hodnocení '!AA160</f>
        <v>394890</v>
      </c>
      <c r="AB164" s="491">
        <f>'Hodnocení '!AB160</f>
        <v>266560</v>
      </c>
      <c r="AC164" s="491">
        <f>'Hodnocení '!AC160</f>
        <v>0</v>
      </c>
      <c r="AD164" s="491">
        <f>'Hodnocení '!AD160</f>
        <v>744990</v>
      </c>
      <c r="AE164" s="491">
        <f>'Hodnocení '!AE160</f>
        <v>76843</v>
      </c>
      <c r="AF164" s="491">
        <f>'Hodnocení '!AF160</f>
        <v>1219240</v>
      </c>
      <c r="AG164" s="491">
        <f>'Hodnocení '!AG160</f>
        <v>125058</v>
      </c>
      <c r="AH164" s="491">
        <f>'Hodnocení '!AH160</f>
        <v>0</v>
      </c>
      <c r="AI164" s="491">
        <f>'Hodnocení '!AI160</f>
        <v>510300</v>
      </c>
      <c r="AJ164" s="491">
        <f>'Hodnocení '!AJ160</f>
        <v>134700</v>
      </c>
      <c r="AK164" s="491">
        <f>'Hodnocení '!AK160</f>
        <v>53995</v>
      </c>
      <c r="AL164" s="491">
        <f>'Hodnocení '!AL160</f>
        <v>92494</v>
      </c>
      <c r="AM164" s="491">
        <f>'Hodnocení '!AM160</f>
        <v>125218</v>
      </c>
      <c r="AN164" s="491">
        <f>'Hodnocení '!AN160</f>
        <v>0</v>
      </c>
      <c r="AO164" s="491">
        <f>'Hodnocení '!AO160</f>
        <v>615412</v>
      </c>
      <c r="AP164" s="491">
        <f>'Hodnocení '!AP160</f>
        <v>0</v>
      </c>
      <c r="AQ164" s="491">
        <f>'Hodnocení '!AQ160</f>
        <v>2</v>
      </c>
      <c r="AR164" s="491">
        <f>'Hodnocení '!AR160</f>
        <v>401149</v>
      </c>
      <c r="AS164" s="491">
        <f>'Hodnocení '!AS160</f>
        <v>2658</v>
      </c>
      <c r="AT164" s="491">
        <f>'Hodnocení '!AT160</f>
        <v>4</v>
      </c>
      <c r="AU164" s="491">
        <f>'Hodnocení '!AU160</f>
        <v>97948</v>
      </c>
      <c r="AV164" s="491">
        <f>'Hodnocení '!AV160</f>
        <v>137042</v>
      </c>
      <c r="AW164" s="491">
        <f>'Hodnocení '!AW160</f>
        <v>272535.54269331275</v>
      </c>
      <c r="AX164" s="491">
        <f>'Hodnocení '!AX160</f>
        <v>0</v>
      </c>
      <c r="AY164" s="491">
        <f>'Hodnocení '!AY160</f>
        <v>182498</v>
      </c>
      <c r="AZ164" s="491">
        <f>'Hodnocení '!AZ160</f>
        <v>49765</v>
      </c>
      <c r="BA164" s="491">
        <f>'Hodnocení '!BA160</f>
        <v>1814732</v>
      </c>
      <c r="BB164" s="491">
        <f>'Hodnocení '!BB160</f>
        <v>292796</v>
      </c>
      <c r="BC164" s="491">
        <f>'Hodnocení '!BC160</f>
        <v>214995</v>
      </c>
      <c r="BD164" s="491">
        <f>'Hodnocení '!BD160</f>
        <v>638440</v>
      </c>
      <c r="BE164" s="491">
        <f>'Hodnocení '!BE160</f>
        <v>86784.356650778558</v>
      </c>
      <c r="BF164" s="491">
        <f>'Hodnocení '!BF160</f>
        <v>131040</v>
      </c>
      <c r="BG164" s="491">
        <f>'Hodnocení '!BG160</f>
        <v>154784</v>
      </c>
      <c r="BH164" s="491">
        <f>'Hodnocení '!BH160</f>
        <v>127042</v>
      </c>
      <c r="BI164" s="491">
        <f>'Hodnocení '!BI160</f>
        <v>0</v>
      </c>
      <c r="BJ164" s="491">
        <f>'Hodnocení '!BJ160</f>
        <v>81839</v>
      </c>
      <c r="BK164" s="491">
        <f>'Hodnocení '!BK160</f>
        <v>136000</v>
      </c>
      <c r="BL164" s="491">
        <f>'Hodnocení '!BL160</f>
        <v>455140</v>
      </c>
      <c r="BM164" s="491">
        <f>'Hodnocení '!BM160</f>
        <v>849720</v>
      </c>
      <c r="BN164" s="491">
        <f>'Hodnocení '!BN160</f>
        <v>59100</v>
      </c>
      <c r="BO164" s="491">
        <f>'Hodnocení '!BO160</f>
        <v>217320</v>
      </c>
      <c r="BP164" s="491">
        <f>'Hodnocení '!BP160</f>
        <v>732773</v>
      </c>
      <c r="BQ164" s="491">
        <f>'Hodnocení '!BQ160</f>
        <v>31797.455608832184</v>
      </c>
      <c r="BR164" s="491">
        <f>'Hodnocení '!BR160</f>
        <v>138680</v>
      </c>
      <c r="BS164" s="491">
        <f>'Hodnocení '!BS160</f>
        <v>0</v>
      </c>
      <c r="BT164" s="491">
        <f>'Hodnocení '!BT160</f>
        <v>54060</v>
      </c>
      <c r="BU164" s="491">
        <f>'Hodnocení '!BU160</f>
        <v>2</v>
      </c>
      <c r="BV164" s="491">
        <f>'Hodnocení '!BV160</f>
        <v>589000</v>
      </c>
      <c r="BW164" s="491">
        <f>'Hodnocení '!BW160</f>
        <v>0</v>
      </c>
      <c r="BX164" s="491">
        <f>'Hodnocení '!BX160</f>
        <v>703447</v>
      </c>
      <c r="BY164" s="491">
        <f>'Hodnocení '!BY160</f>
        <v>0</v>
      </c>
      <c r="BZ164" s="491">
        <f>'Hodnocení '!BZ160</f>
        <v>0</v>
      </c>
      <c r="CA164" s="491">
        <f>'Hodnocení '!CA160</f>
        <v>0</v>
      </c>
      <c r="CB164" s="491">
        <f>'Hodnocení '!CB160</f>
        <v>0</v>
      </c>
      <c r="CC164" s="491">
        <f>'Hodnocení '!CC160</f>
        <v>117642</v>
      </c>
      <c r="CD164" s="491">
        <f>'Hodnocení '!CD160</f>
        <v>0</v>
      </c>
      <c r="CE164" s="491">
        <f>'Hodnocení '!CE160</f>
        <v>1446195</v>
      </c>
      <c r="CF164" s="491">
        <f>'Hodnocení '!CF160</f>
        <v>127620</v>
      </c>
      <c r="CG164" s="491">
        <f>'Hodnocení '!CG160</f>
        <v>570096</v>
      </c>
      <c r="CH164" s="491">
        <f>'Hodnocení '!CH160</f>
        <v>305133.07924963161</v>
      </c>
      <c r="CI164" s="491">
        <f>'Hodnocení '!CI160</f>
        <v>414452.81140256021</v>
      </c>
      <c r="CJ164" s="491">
        <f>'Hodnocení '!CJ160</f>
        <v>394670</v>
      </c>
      <c r="CK164" s="491">
        <f>'Hodnocení '!CK160</f>
        <v>289377</v>
      </c>
      <c r="CL164" s="491">
        <f>'Hodnocení '!CL160</f>
        <v>170391.15127240773</v>
      </c>
      <c r="CM164" s="491">
        <f>'Hodnocení '!CM160</f>
        <v>691680</v>
      </c>
      <c r="CN164" s="491">
        <f>'Hodnocení '!CN160</f>
        <v>4.8600000001024455</v>
      </c>
      <c r="CO164" s="491">
        <f>'Hodnocení '!CO160</f>
        <v>0</v>
      </c>
      <c r="CP164" s="491">
        <f>'Hodnocení '!CP160</f>
        <v>4.5400000000372529</v>
      </c>
      <c r="CQ164" s="491">
        <f>'Hodnocení '!CQ160</f>
        <v>908774</v>
      </c>
      <c r="CR164" s="491">
        <f>'Hodnocení '!CR160</f>
        <v>714290</v>
      </c>
      <c r="CS164" s="491">
        <f>'Hodnocení '!CS160</f>
        <v>3402237.5858069072</v>
      </c>
      <c r="CT164" s="491">
        <f>'Hodnocení '!CT160</f>
        <v>859679.81036627945</v>
      </c>
      <c r="CU164" s="491">
        <f>'Hodnocení '!CU160</f>
        <v>474500</v>
      </c>
      <c r="CV164" s="491">
        <f>'Hodnocení '!CV160</f>
        <v>613490</v>
      </c>
      <c r="CW164" s="491">
        <f>'Hodnocení '!CW160</f>
        <v>128599</v>
      </c>
      <c r="CX164" s="491">
        <f>'Hodnocení '!CX160</f>
        <v>329000</v>
      </c>
      <c r="CY164" s="491">
        <f>'Hodnocení '!CY160</f>
        <v>132126</v>
      </c>
      <c r="CZ164" s="491">
        <f>'Hodnocení '!CZ160</f>
        <v>368000</v>
      </c>
      <c r="DA164" s="491">
        <f>'Hodnocení '!DA160</f>
        <v>2069140</v>
      </c>
      <c r="DB164" s="491">
        <f>'Hodnocení '!DB160</f>
        <v>74282</v>
      </c>
      <c r="DC164" s="491">
        <f>'Hodnocení '!DC160</f>
        <v>281020</v>
      </c>
      <c r="DD164" s="491">
        <f>'Hodnocení '!DD160</f>
        <v>690116.64572781697</v>
      </c>
      <c r="DE164" s="491">
        <f>'Hodnocení '!DE160</f>
        <v>429386</v>
      </c>
      <c r="DF164" s="491">
        <f>'Hodnocení '!DF160</f>
        <v>0</v>
      </c>
      <c r="DG164" s="491">
        <f>'Hodnocení '!DG160</f>
        <v>197200</v>
      </c>
      <c r="DH164" s="491">
        <f>'Hodnocení '!DH160</f>
        <v>830968.9941313616</v>
      </c>
      <c r="DI164" s="491">
        <f>'Hodnocení '!DI160</f>
        <v>43865.384096688125</v>
      </c>
      <c r="DJ164" s="491">
        <f>'Hodnocení '!DJ160</f>
        <v>37877.023685960099</v>
      </c>
      <c r="DK164" s="491">
        <f>'Hodnocení '!DK160</f>
        <v>1666856.818091928</v>
      </c>
      <c r="DL164" s="491">
        <f>'Hodnocení '!DL160</f>
        <v>0</v>
      </c>
      <c r="DM164" s="491">
        <f>'Hodnocení '!DM160</f>
        <v>171152</v>
      </c>
      <c r="DN164" s="491">
        <f>'Hodnocení '!DN160</f>
        <v>623905</v>
      </c>
      <c r="DO164" s="491">
        <f>'Hodnocení '!DO160</f>
        <v>4525</v>
      </c>
      <c r="DP164" s="491">
        <f>'Hodnocení '!DP160</f>
        <v>0</v>
      </c>
      <c r="DQ164" s="491">
        <f>'Hodnocení '!DQ160</f>
        <v>31798</v>
      </c>
      <c r="DR164" s="491">
        <f>'Hodnocení '!DR160</f>
        <v>0</v>
      </c>
      <c r="DS164" s="491">
        <f>'Hodnocení '!DS160</f>
        <v>547000</v>
      </c>
      <c r="DT164" s="491">
        <f>'Hodnocení '!DT160</f>
        <v>108709</v>
      </c>
      <c r="DU164" s="491">
        <f>'Hodnocení '!DU160</f>
        <v>18908.963338879868</v>
      </c>
      <c r="DV164" s="491">
        <f>'Hodnocení '!DV160</f>
        <v>1277853</v>
      </c>
      <c r="DW164" s="491">
        <f>'Hodnocení '!DW160</f>
        <v>251601.57345701009</v>
      </c>
      <c r="DX164" s="491">
        <f>'Hodnocení '!DX160</f>
        <v>433801.15410795156</v>
      </c>
      <c r="DY164" s="491">
        <f>'Hodnocení '!DY160</f>
        <v>825990</v>
      </c>
      <c r="DZ164" s="491">
        <f>'Hodnocení '!DZ160</f>
        <v>7630</v>
      </c>
      <c r="EA164" s="491">
        <f>'Hodnocení '!EA160</f>
        <v>2</v>
      </c>
      <c r="EB164" s="491">
        <f>'Hodnocení '!EB160</f>
        <v>188920</v>
      </c>
      <c r="EC164" s="491">
        <f>'Hodnocení '!EC160</f>
        <v>162386</v>
      </c>
      <c r="ED164" s="491">
        <f>'Hodnocení '!ED160</f>
        <v>317052</v>
      </c>
      <c r="EE164" s="491">
        <f>'Hodnocení '!EE160</f>
        <v>46376</v>
      </c>
      <c r="EF164" s="491">
        <f>'Hodnocení '!EF160</f>
        <v>0</v>
      </c>
      <c r="EG164" s="491">
        <f>'Hodnocení '!EG160</f>
        <v>0</v>
      </c>
      <c r="EH164" s="491">
        <f>'Hodnocení '!EH160</f>
        <v>35330</v>
      </c>
      <c r="EI164" s="491">
        <f>'Hodnocení '!EI160</f>
        <v>114247</v>
      </c>
      <c r="EJ164" s="491">
        <f>'Hodnocení '!EJ160</f>
        <v>220123.11828195211</v>
      </c>
      <c r="EK164" s="491">
        <f>'Hodnocení '!EK160</f>
        <v>0</v>
      </c>
      <c r="EL164" s="491">
        <f>'Hodnocení '!EL160</f>
        <v>272054</v>
      </c>
      <c r="EM164" s="491">
        <f>'Hodnocení '!EM160</f>
        <v>66882</v>
      </c>
      <c r="EN164" s="491">
        <f>'Hodnocení '!EN160</f>
        <v>132127</v>
      </c>
      <c r="EO164" s="491">
        <f>'Hodnocení '!EO160</f>
        <v>75402</v>
      </c>
      <c r="EP164" s="491">
        <f>'Hodnocení '!EP160</f>
        <v>798937</v>
      </c>
      <c r="EQ164" s="491">
        <f>'Hodnocení '!EQ160</f>
        <v>95228</v>
      </c>
      <c r="ER164" s="491">
        <f>'Hodnocení '!ER160</f>
        <v>977132</v>
      </c>
      <c r="ES164" s="491">
        <f>'Hodnocení '!ES160</f>
        <v>118810</v>
      </c>
      <c r="ET164" s="491">
        <f>'Hodnocení '!ET160</f>
        <v>901340</v>
      </c>
      <c r="EU164" s="491">
        <f>'Hodnocení '!EU160</f>
        <v>1252000</v>
      </c>
      <c r="EV164" s="491">
        <f>'Hodnocení '!EV160</f>
        <v>217555</v>
      </c>
      <c r="EW164" s="491">
        <f>'Hodnocení '!EW160</f>
        <v>148747</v>
      </c>
      <c r="EX164" s="491">
        <f>'Hodnocení '!EX160</f>
        <v>170020</v>
      </c>
      <c r="EY164" s="491">
        <f>'Hodnocení '!EY160</f>
        <v>14325</v>
      </c>
      <c r="EZ164" s="491">
        <f>'Hodnocení '!EZ160</f>
        <v>0</v>
      </c>
      <c r="FA164" s="491">
        <f>'Hodnocení '!FA160</f>
        <v>196308</v>
      </c>
      <c r="FB164" s="491">
        <f>'Hodnocení '!FB160</f>
        <v>38049</v>
      </c>
      <c r="FC164" s="491">
        <f>'Hodnocení '!FC160</f>
        <v>42200</v>
      </c>
      <c r="FD164" s="491">
        <f>'Hodnocení '!FD160</f>
        <v>286643.68250028812</v>
      </c>
      <c r="FE164" s="491">
        <f>'Hodnocení '!FE160</f>
        <v>80750</v>
      </c>
      <c r="FF164" s="491">
        <f>'Hodnocení '!FF160</f>
        <v>324470</v>
      </c>
      <c r="FG164" s="491">
        <f>'Hodnocení '!FG160</f>
        <v>1019550</v>
      </c>
      <c r="FH164" s="491">
        <f>'Hodnocení '!FH160</f>
        <v>271030</v>
      </c>
      <c r="FI164" s="491">
        <f>'Hodnocení '!FI160</f>
        <v>2013903</v>
      </c>
      <c r="FJ164" s="491">
        <f>'Hodnocení '!FJ160</f>
        <v>275474</v>
      </c>
      <c r="FK164" s="491">
        <f>'Hodnocení '!FK160</f>
        <v>0</v>
      </c>
      <c r="FL164" s="491">
        <f>'Hodnocení '!FL160</f>
        <v>0</v>
      </c>
      <c r="FM164" s="491">
        <f>'Hodnocení '!FM160</f>
        <v>0</v>
      </c>
      <c r="FN164" s="491">
        <f>'Hodnocení '!FN160</f>
        <v>543650</v>
      </c>
      <c r="FO164" s="491">
        <f>'Hodnocení '!FO160</f>
        <v>0</v>
      </c>
      <c r="FP164" s="491">
        <f>'Hodnocení '!FP160</f>
        <v>206748</v>
      </c>
      <c r="FQ164" s="491">
        <f>'Hodnocení '!FQ160</f>
        <v>62857</v>
      </c>
      <c r="FR164" s="491">
        <f>'Hodnocení '!FR160</f>
        <v>0</v>
      </c>
      <c r="FS164" s="491">
        <f>'Hodnocení '!FS160</f>
        <v>0</v>
      </c>
      <c r="FT164" s="491">
        <f>'Hodnocení '!FT160</f>
        <v>307280</v>
      </c>
      <c r="FU164" s="491">
        <f>'Hodnocení '!FU160</f>
        <v>39283</v>
      </c>
      <c r="FV164" s="491">
        <f>'Hodnocení '!FV160</f>
        <v>176</v>
      </c>
      <c r="FW164" s="491">
        <f>'Hodnocení '!FW160</f>
        <v>0</v>
      </c>
      <c r="FX164" s="491">
        <f>'Hodnocení '!FX160</f>
        <v>19604</v>
      </c>
      <c r="FY164" s="491">
        <f>'Hodnocení '!FY160</f>
        <v>0</v>
      </c>
      <c r="FZ164" s="491">
        <f>'Hodnocení '!FZ160</f>
        <v>0</v>
      </c>
      <c r="GA164" s="491">
        <f>'Hodnocení '!GA160</f>
        <v>240</v>
      </c>
      <c r="GB164" s="491">
        <f>'Hodnocení '!GB160</f>
        <v>494640</v>
      </c>
      <c r="GC164" s="491">
        <f>'Hodnocení '!GC160</f>
        <v>15551</v>
      </c>
      <c r="GD164" s="491">
        <f>'Hodnocení '!GD160</f>
        <v>806649</v>
      </c>
      <c r="GE164" s="491">
        <f>'Hodnocení '!GE160</f>
        <v>0</v>
      </c>
      <c r="GF164" s="491">
        <f>'Hodnocení '!GF160</f>
        <v>291023</v>
      </c>
      <c r="GG164" s="491">
        <f>'Hodnocení '!GG160</f>
        <v>0</v>
      </c>
      <c r="GH164" s="491">
        <f>'Hodnocení '!GH160</f>
        <v>0</v>
      </c>
      <c r="GI164" s="491">
        <f>'Hodnocení '!GI160</f>
        <v>855483</v>
      </c>
      <c r="GJ164" s="491">
        <f>'Hodnocení '!GJ160</f>
        <v>171699</v>
      </c>
      <c r="GK164" s="491">
        <f>'Hodnocení '!GK160</f>
        <v>0</v>
      </c>
      <c r="GL164" s="491">
        <f>'Hodnocení '!GL160</f>
        <v>0</v>
      </c>
      <c r="GM164" s="491">
        <f>'Hodnocení '!GM160</f>
        <v>0</v>
      </c>
      <c r="GN164" s="491">
        <f>'Hodnocení '!GN160</f>
        <v>185654</v>
      </c>
      <c r="GO164" s="491">
        <f>'Hodnocení '!GO160</f>
        <v>887251</v>
      </c>
      <c r="GP164" s="491">
        <f>'Hodnocení '!GP160</f>
        <v>0</v>
      </c>
      <c r="GQ164" s="491">
        <f>'Hodnocení '!GQ160</f>
        <v>0</v>
      </c>
      <c r="GR164" s="491">
        <f>'Hodnocení '!GR160</f>
        <v>0</v>
      </c>
      <c r="GS164" s="491">
        <f>'Hodnocení '!GS160</f>
        <v>0</v>
      </c>
      <c r="GT164" s="491">
        <f>'Hodnocení '!GT160</f>
        <v>339288</v>
      </c>
      <c r="GU164" s="491">
        <f>'Hodnocení '!GU160</f>
        <v>45869</v>
      </c>
      <c r="GV164" s="491">
        <f>'Hodnocení '!GV160</f>
        <v>40190</v>
      </c>
      <c r="GW164" s="491">
        <f>'Hodnocení '!GW160</f>
        <v>0</v>
      </c>
      <c r="GX164" s="491">
        <f>'Hodnocení '!GX160</f>
        <v>0</v>
      </c>
      <c r="GY164" s="491">
        <f>'Hodnocení '!GY160</f>
        <v>447840</v>
      </c>
      <c r="GZ164" s="491">
        <f>'Hodnocení '!GZ160</f>
        <v>3222820.7912944802</v>
      </c>
      <c r="HA164" s="491">
        <f>'Hodnocení '!HA160</f>
        <v>323440</v>
      </c>
      <c r="HB164" s="491">
        <f>'Hodnocení '!HB160</f>
        <v>250360</v>
      </c>
      <c r="HC164" s="491">
        <f>'Hodnocení '!HC160</f>
        <v>400660</v>
      </c>
      <c r="HD164" s="491">
        <f>'Hodnocení '!HD160</f>
        <v>507250</v>
      </c>
      <c r="HE164" s="491">
        <f>'Hodnocení '!HE160</f>
        <v>502000</v>
      </c>
      <c r="HF164" s="491">
        <f>'Hodnocení '!HF160</f>
        <v>73634</v>
      </c>
      <c r="HG164" s="491">
        <f>'Hodnocení '!HG160</f>
        <v>0</v>
      </c>
      <c r="HH164" s="491">
        <f>'Hodnocení '!HH160</f>
        <v>0</v>
      </c>
      <c r="HI164" s="491">
        <f>'Hodnocení '!HI160</f>
        <v>0</v>
      </c>
      <c r="HJ164" s="491">
        <f>'Hodnocení '!HJ160</f>
        <v>502448.83102156827</v>
      </c>
      <c r="HK164" s="491">
        <f>'Hodnocení '!HK160</f>
        <v>0</v>
      </c>
      <c r="HL164" s="491">
        <f>'Hodnocení '!HL160</f>
        <v>250003.31771603972</v>
      </c>
      <c r="HM164" s="491">
        <f>'Hodnocení '!HM160</f>
        <v>1.7734231017529964</v>
      </c>
      <c r="HN164" s="491">
        <f>'Hodnocení '!HN160</f>
        <v>183981.06669069757</v>
      </c>
      <c r="HO164" s="491">
        <f>'Hodnocení '!HO160</f>
        <v>0</v>
      </c>
      <c r="HP164" s="491">
        <f>'Hodnocení '!HP160</f>
        <v>2</v>
      </c>
      <c r="HQ164" s="491">
        <f>'Hodnocení '!HQ160</f>
        <v>0</v>
      </c>
      <c r="HR164" s="491">
        <f>'Hodnocení '!HR160</f>
        <v>792504.95570727065</v>
      </c>
      <c r="HS164" s="491">
        <f>'Hodnocení '!HS160</f>
        <v>765003.36825784948</v>
      </c>
      <c r="HT164" s="491">
        <f>'Hodnocení '!HT160</f>
        <v>5</v>
      </c>
      <c r="HU164" s="491">
        <f>'Hodnocení '!HU160</f>
        <v>0</v>
      </c>
      <c r="HV164" s="491">
        <f>'Hodnocení '!HV160</f>
        <v>1500003</v>
      </c>
      <c r="HW164" s="491">
        <f>'Hodnocení '!HW160</f>
        <v>0</v>
      </c>
      <c r="HX164" s="491">
        <f>'Hodnocení '!HX160</f>
        <v>2755042.5558626428</v>
      </c>
      <c r="HY164" s="491">
        <f>'Hodnocení '!HY160</f>
        <v>0</v>
      </c>
      <c r="HZ164" s="491">
        <f>'Hodnocení '!HZ160</f>
        <v>0</v>
      </c>
      <c r="IA164" s="491">
        <f>'Hodnocení '!IA160</f>
        <v>3</v>
      </c>
      <c r="IB164" s="491">
        <f>'Hodnocení '!IB160</f>
        <v>459999</v>
      </c>
      <c r="IC164" s="491">
        <f>'Hodnocení '!IC160</f>
        <v>0</v>
      </c>
      <c r="ID164" s="491">
        <f>'Hodnocení '!ID160</f>
        <v>0</v>
      </c>
      <c r="IE164" s="491">
        <f>'Hodnocení '!IE160</f>
        <v>499998</v>
      </c>
      <c r="IF164" s="491">
        <f>'Hodnocení '!IF160</f>
        <v>249999.36018404365</v>
      </c>
      <c r="IG164" s="491">
        <f>'Hodnocení '!IG160</f>
        <v>3.6398159582167864</v>
      </c>
      <c r="IH164" s="491">
        <f>'Hodnocení '!IH160</f>
        <v>3.4417552216909826</v>
      </c>
      <c r="II164" s="491">
        <f>'Hodnocení '!II160</f>
        <v>429997.19596596062</v>
      </c>
      <c r="IJ164" s="491">
        <f>'Hodnocení '!IJ160</f>
        <v>99995.444456551224</v>
      </c>
      <c r="IK164" s="491">
        <f>'Hodnocení '!IK160</f>
        <v>162704.91782226553</v>
      </c>
      <c r="IL164" s="491">
        <f>'Hodnocení '!IL160</f>
        <v>900004</v>
      </c>
      <c r="IM164" s="491">
        <f>'Hodnocení '!IM160</f>
        <v>1.101123594911769</v>
      </c>
      <c r="IN164" s="491">
        <f>'Hodnocení '!IN160</f>
        <v>2.1909179929643869</v>
      </c>
      <c r="IO164" s="491">
        <f>'Hodnocení '!IO160</f>
        <v>3.7079584123566747</v>
      </c>
      <c r="IP164" s="491">
        <f>'Hodnocení '!IP160</f>
        <v>3</v>
      </c>
      <c r="IQ164" s="491">
        <f>'Hodnocení '!IQ160</f>
        <v>0</v>
      </c>
      <c r="IR164" s="491">
        <f>'Hodnocení '!IR160</f>
        <v>2.3545356850372627</v>
      </c>
      <c r="IS164" s="491">
        <f>'Hodnocení '!IS160</f>
        <v>1399995.2429514453</v>
      </c>
      <c r="IT164" s="491">
        <f>'Hodnocení '!IT160</f>
        <v>300000.75704855472</v>
      </c>
      <c r="IU164" s="491">
        <f>'Hodnocení '!IU160</f>
        <v>0</v>
      </c>
      <c r="IV164" s="491">
        <f>'Hodnocení '!IV160</f>
        <v>0</v>
      </c>
      <c r="IW164" s="491">
        <f>'Hodnocení '!IW160</f>
        <v>3.9153672605752945</v>
      </c>
      <c r="IX164" s="491">
        <f>'Hodnocení '!IX160</f>
        <v>0</v>
      </c>
      <c r="IY164" s="491">
        <f>'Hodnocení '!IY160</f>
        <v>0</v>
      </c>
      <c r="IZ164" s="491">
        <f>'Hodnocení '!IZ160</f>
        <v>2649999.4628047682</v>
      </c>
      <c r="JA164" s="491">
        <f>'Hodnocení '!JA160</f>
        <v>0</v>
      </c>
      <c r="JB164" s="491">
        <f>'Hodnocení '!JB160</f>
        <v>0</v>
      </c>
      <c r="JC164" s="491">
        <f>'Hodnocení '!JC160</f>
        <v>0</v>
      </c>
      <c r="JD164" s="491">
        <f>'Hodnocení '!JD160</f>
        <v>0</v>
      </c>
      <c r="JE164" s="491">
        <f>'Hodnocení '!JE160</f>
        <v>0</v>
      </c>
      <c r="JF164" s="491">
        <f>'Hodnocení '!JF160</f>
        <v>3484999.2460617796</v>
      </c>
      <c r="JG164" s="491">
        <f>'Hodnocení '!JG160</f>
        <v>0</v>
      </c>
      <c r="JH164" s="822">
        <f>'Hodnocení '!JH160</f>
        <v>0</v>
      </c>
      <c r="JI164" s="728">
        <f>'Hodnocení '!JI160</f>
        <v>83782974.627856433</v>
      </c>
      <c r="JL164" s="307">
        <f t="shared" si="75"/>
        <v>2745095</v>
      </c>
      <c r="JM164" s="307">
        <f t="shared" si="75"/>
        <v>45357660.306612976</v>
      </c>
      <c r="JN164" s="307">
        <f t="shared" si="75"/>
        <v>18795953.304816335</v>
      </c>
      <c r="JO164" s="307">
        <f t="shared" si="75"/>
        <v>16884266.0164271</v>
      </c>
      <c r="JP164" s="307">
        <f t="shared" si="76"/>
        <v>83782974.627856404</v>
      </c>
    </row>
    <row r="165" spans="2:276" ht="15.75" hidden="1" thickBot="1" x14ac:dyDescent="0.3">
      <c r="B165" s="760" t="s">
        <v>2572</v>
      </c>
      <c r="C165" s="823">
        <f>'Hodnocení '!C161</f>
        <v>0</v>
      </c>
      <c r="D165" s="824">
        <f>'Hodnocení '!D161</f>
        <v>0</v>
      </c>
      <c r="E165" s="824">
        <f>'Hodnocení '!E161</f>
        <v>0</v>
      </c>
      <c r="F165" s="824">
        <f>'Hodnocení '!F161</f>
        <v>0</v>
      </c>
      <c r="G165" s="824">
        <f>'Hodnocení '!G161</f>
        <v>0</v>
      </c>
      <c r="H165" s="824">
        <f>'Hodnocení '!H161</f>
        <v>0</v>
      </c>
      <c r="I165" s="824">
        <f>'Hodnocení '!I161</f>
        <v>0</v>
      </c>
      <c r="J165" s="824">
        <f>'Hodnocení '!J161</f>
        <v>0</v>
      </c>
      <c r="K165" s="824">
        <f>'Hodnocení '!K161</f>
        <v>0</v>
      </c>
      <c r="L165" s="824">
        <f>'Hodnocení '!L161</f>
        <v>0</v>
      </c>
      <c r="M165" s="824">
        <f>'Hodnocení '!M161</f>
        <v>0</v>
      </c>
      <c r="N165" s="824">
        <f>'Hodnocení '!N161</f>
        <v>0</v>
      </c>
      <c r="O165" s="824">
        <f>'Hodnocení '!O161</f>
        <v>0</v>
      </c>
      <c r="P165" s="824">
        <f>'Hodnocení '!P161</f>
        <v>0</v>
      </c>
      <c r="Q165" s="824">
        <f>'Hodnocení '!Q161</f>
        <v>0</v>
      </c>
      <c r="R165" s="824">
        <f>'Hodnocení '!R161</f>
        <v>-94718.100000000093</v>
      </c>
      <c r="S165" s="824">
        <f>'Hodnocení '!S161</f>
        <v>-2.8000000000465661</v>
      </c>
      <c r="T165" s="824">
        <f>'Hodnocení '!T161</f>
        <v>0</v>
      </c>
      <c r="U165" s="824">
        <f>'Hodnocení '!U161</f>
        <v>-11704</v>
      </c>
      <c r="V165" s="824">
        <f>'Hodnocení '!V161</f>
        <v>-740000</v>
      </c>
      <c r="W165" s="824">
        <f>'Hodnocení '!W161</f>
        <v>0</v>
      </c>
      <c r="X165" s="824">
        <f>'Hodnocení '!X161</f>
        <v>0</v>
      </c>
      <c r="Y165" s="824">
        <f>'Hodnocení '!Y161</f>
        <v>0</v>
      </c>
      <c r="Z165" s="824">
        <f>'Hodnocení '!Z161</f>
        <v>0</v>
      </c>
      <c r="AA165" s="824">
        <f>'Hodnocení '!AA161</f>
        <v>0</v>
      </c>
      <c r="AB165" s="824">
        <f>'Hodnocení '!AB161</f>
        <v>0</v>
      </c>
      <c r="AC165" s="824">
        <f>'Hodnocení '!AC161</f>
        <v>-1367500</v>
      </c>
      <c r="AD165" s="824">
        <f>'Hodnocení '!AD161</f>
        <v>0</v>
      </c>
      <c r="AE165" s="824">
        <f>'Hodnocení '!AE161</f>
        <v>0</v>
      </c>
      <c r="AF165" s="824">
        <f>'Hodnocení '!AF161</f>
        <v>0</v>
      </c>
      <c r="AG165" s="824">
        <f>'Hodnocení '!AG161</f>
        <v>0</v>
      </c>
      <c r="AH165" s="824">
        <f>'Hodnocení '!AH161</f>
        <v>-7266</v>
      </c>
      <c r="AI165" s="824">
        <f>'Hodnocení '!AI161</f>
        <v>0</v>
      </c>
      <c r="AJ165" s="824">
        <f>'Hodnocení '!AJ161</f>
        <v>0</v>
      </c>
      <c r="AK165" s="824">
        <f>'Hodnocení '!AK161</f>
        <v>0</v>
      </c>
      <c r="AL165" s="824">
        <f>'Hodnocení '!AL161</f>
        <v>0</v>
      </c>
      <c r="AM165" s="824">
        <f>'Hodnocení '!AM161</f>
        <v>0</v>
      </c>
      <c r="AN165" s="824">
        <f>'Hodnocení '!AN161</f>
        <v>0</v>
      </c>
      <c r="AO165" s="824">
        <f>'Hodnocení '!AO161</f>
        <v>0</v>
      </c>
      <c r="AP165" s="824">
        <f>'Hodnocení '!AP161</f>
        <v>-39775</v>
      </c>
      <c r="AQ165" s="824">
        <f>'Hodnocení '!AQ161</f>
        <v>0</v>
      </c>
      <c r="AR165" s="824">
        <f>'Hodnocení '!AR161</f>
        <v>0</v>
      </c>
      <c r="AS165" s="824">
        <f>'Hodnocení '!AS161</f>
        <v>0</v>
      </c>
      <c r="AT165" s="824">
        <f>'Hodnocení '!AT161</f>
        <v>0</v>
      </c>
      <c r="AU165" s="824">
        <f>'Hodnocení '!AU161</f>
        <v>0</v>
      </c>
      <c r="AV165" s="824">
        <f>'Hodnocení '!AV161</f>
        <v>0</v>
      </c>
      <c r="AW165" s="824">
        <f>'Hodnocení '!AW161</f>
        <v>0</v>
      </c>
      <c r="AX165" s="824">
        <f>'Hodnocení '!AX161</f>
        <v>0</v>
      </c>
      <c r="AY165" s="824">
        <f>'Hodnocení '!AY161</f>
        <v>0</v>
      </c>
      <c r="AZ165" s="824">
        <f>'Hodnocení '!AZ161</f>
        <v>0</v>
      </c>
      <c r="BA165" s="824">
        <f>'Hodnocení '!BA161</f>
        <v>0</v>
      </c>
      <c r="BB165" s="824">
        <f>'Hodnocení '!BB161</f>
        <v>0</v>
      </c>
      <c r="BC165" s="824">
        <f>'Hodnocení '!BC161</f>
        <v>0</v>
      </c>
      <c r="BD165" s="824">
        <f>'Hodnocení '!BD161</f>
        <v>0</v>
      </c>
      <c r="BE165" s="824">
        <f>'Hodnocení '!BE161</f>
        <v>0</v>
      </c>
      <c r="BF165" s="824">
        <f>'Hodnocení '!BF161</f>
        <v>0</v>
      </c>
      <c r="BG165" s="824">
        <f>'Hodnocení '!BG161</f>
        <v>0</v>
      </c>
      <c r="BH165" s="824">
        <f>'Hodnocení '!BH161</f>
        <v>0</v>
      </c>
      <c r="BI165" s="824">
        <f>'Hodnocení '!BI161</f>
        <v>-198100</v>
      </c>
      <c r="BJ165" s="824">
        <f>'Hodnocení '!BJ161</f>
        <v>0</v>
      </c>
      <c r="BK165" s="824">
        <f>'Hodnocení '!BK161</f>
        <v>0</v>
      </c>
      <c r="BL165" s="824">
        <f>'Hodnocení '!BL161</f>
        <v>0</v>
      </c>
      <c r="BM165" s="824">
        <f>'Hodnocení '!BM161</f>
        <v>0</v>
      </c>
      <c r="BN165" s="824">
        <f>'Hodnocení '!BN161</f>
        <v>0</v>
      </c>
      <c r="BO165" s="824">
        <f>'Hodnocení '!BO161</f>
        <v>0</v>
      </c>
      <c r="BP165" s="824">
        <f>'Hodnocení '!BP161</f>
        <v>0</v>
      </c>
      <c r="BQ165" s="824">
        <f>'Hodnocení '!BQ161</f>
        <v>0</v>
      </c>
      <c r="BR165" s="824">
        <f>'Hodnocení '!BR161</f>
        <v>0</v>
      </c>
      <c r="BS165" s="824">
        <f>'Hodnocení '!BS161</f>
        <v>-10000</v>
      </c>
      <c r="BT165" s="824">
        <f>'Hodnocení '!BT161</f>
        <v>0</v>
      </c>
      <c r="BU165" s="824">
        <f>'Hodnocení '!BU161</f>
        <v>0</v>
      </c>
      <c r="BV165" s="824">
        <f>'Hodnocení '!BV161</f>
        <v>0</v>
      </c>
      <c r="BW165" s="824">
        <f>'Hodnocení '!BW161</f>
        <v>-3</v>
      </c>
      <c r="BX165" s="824">
        <f>'Hodnocení '!BX161</f>
        <v>0</v>
      </c>
      <c r="BY165" s="824">
        <f>'Hodnocení '!BY161</f>
        <v>-4</v>
      </c>
      <c r="BZ165" s="824">
        <f>'Hodnocení '!BZ161</f>
        <v>0</v>
      </c>
      <c r="CA165" s="824">
        <f>'Hodnocení '!CA161</f>
        <v>0</v>
      </c>
      <c r="CB165" s="824">
        <f>'Hodnocení '!CB161</f>
        <v>-3</v>
      </c>
      <c r="CC165" s="824">
        <f>'Hodnocení '!CC161</f>
        <v>0</v>
      </c>
      <c r="CD165" s="824">
        <f>'Hodnocení '!CD161</f>
        <v>-9486</v>
      </c>
      <c r="CE165" s="824">
        <f>'Hodnocení '!CE161</f>
        <v>0</v>
      </c>
      <c r="CF165" s="824">
        <f>'Hodnocení '!CF161</f>
        <v>0</v>
      </c>
      <c r="CG165" s="824">
        <f>'Hodnocení '!CG161</f>
        <v>0</v>
      </c>
      <c r="CH165" s="824">
        <f>'Hodnocení '!CH161</f>
        <v>0</v>
      </c>
      <c r="CI165" s="824">
        <f>'Hodnocení '!CI161</f>
        <v>0</v>
      </c>
      <c r="CJ165" s="824">
        <f>'Hodnocení '!CJ161</f>
        <v>0</v>
      </c>
      <c r="CK165" s="824">
        <f>'Hodnocení '!CK161</f>
        <v>0</v>
      </c>
      <c r="CL165" s="824">
        <f>'Hodnocení '!CL161</f>
        <v>0</v>
      </c>
      <c r="CM165" s="824">
        <f>'Hodnocení '!CM161</f>
        <v>0</v>
      </c>
      <c r="CN165" s="824">
        <f>'Hodnocení '!CN161</f>
        <v>0</v>
      </c>
      <c r="CO165" s="824">
        <f>'Hodnocení '!CO161</f>
        <v>0</v>
      </c>
      <c r="CP165" s="824">
        <f>'Hodnocení '!CP161</f>
        <v>0</v>
      </c>
      <c r="CQ165" s="824">
        <f>'Hodnocení '!CQ161</f>
        <v>0</v>
      </c>
      <c r="CR165" s="824">
        <f>'Hodnocení '!CR161</f>
        <v>0</v>
      </c>
      <c r="CS165" s="824">
        <f>'Hodnocení '!CS161</f>
        <v>0</v>
      </c>
      <c r="CT165" s="824">
        <f>'Hodnocení '!CT161</f>
        <v>0</v>
      </c>
      <c r="CU165" s="824">
        <f>'Hodnocení '!CU161</f>
        <v>0</v>
      </c>
      <c r="CV165" s="824">
        <f>'Hodnocení '!CV161</f>
        <v>0</v>
      </c>
      <c r="CW165" s="824">
        <f>'Hodnocení '!CW161</f>
        <v>0</v>
      </c>
      <c r="CX165" s="824">
        <f>'Hodnocení '!CX161</f>
        <v>0</v>
      </c>
      <c r="CY165" s="824">
        <f>'Hodnocení '!CY161</f>
        <v>0</v>
      </c>
      <c r="CZ165" s="824">
        <f>'Hodnocení '!CZ161</f>
        <v>0</v>
      </c>
      <c r="DA165" s="824">
        <f>'Hodnocení '!DA161</f>
        <v>0</v>
      </c>
      <c r="DB165" s="824">
        <f>'Hodnocení '!DB161</f>
        <v>0</v>
      </c>
      <c r="DC165" s="824">
        <f>'Hodnocení '!DC161</f>
        <v>0</v>
      </c>
      <c r="DD165" s="824">
        <f>'Hodnocení '!DD161</f>
        <v>0</v>
      </c>
      <c r="DE165" s="824">
        <f>'Hodnocení '!DE161</f>
        <v>0</v>
      </c>
      <c r="DF165" s="824">
        <f>'Hodnocení '!DF161</f>
        <v>-556092</v>
      </c>
      <c r="DG165" s="824">
        <f>'Hodnocení '!DG161</f>
        <v>0</v>
      </c>
      <c r="DH165" s="824">
        <f>'Hodnocení '!DH161</f>
        <v>0</v>
      </c>
      <c r="DI165" s="824">
        <f>'Hodnocení '!DI161</f>
        <v>0</v>
      </c>
      <c r="DJ165" s="824">
        <f>'Hodnocení '!DJ161</f>
        <v>0</v>
      </c>
      <c r="DK165" s="824">
        <f>'Hodnocení '!DK161</f>
        <v>0</v>
      </c>
      <c r="DL165" s="824">
        <f>'Hodnocení '!DL161</f>
        <v>-4</v>
      </c>
      <c r="DM165" s="824">
        <f>'Hodnocení '!DM161</f>
        <v>0</v>
      </c>
      <c r="DN165" s="824">
        <f>'Hodnocení '!DN161</f>
        <v>0</v>
      </c>
      <c r="DO165" s="824">
        <f>'Hodnocení '!DO161</f>
        <v>0</v>
      </c>
      <c r="DP165" s="824">
        <f>'Hodnocení '!DP161</f>
        <v>-3.779999999795109</v>
      </c>
      <c r="DQ165" s="824">
        <f>'Hodnocení '!DQ161</f>
        <v>0</v>
      </c>
      <c r="DR165" s="824">
        <f>'Hodnocení '!DR161</f>
        <v>-54356</v>
      </c>
      <c r="DS165" s="824">
        <f>'Hodnocení '!DS161</f>
        <v>0</v>
      </c>
      <c r="DT165" s="824">
        <f>'Hodnocení '!DT161</f>
        <v>0</v>
      </c>
      <c r="DU165" s="824">
        <f>'Hodnocení '!DU161</f>
        <v>0</v>
      </c>
      <c r="DV165" s="824">
        <f>'Hodnocení '!DV161</f>
        <v>0</v>
      </c>
      <c r="DW165" s="824">
        <f>'Hodnocení '!DW161</f>
        <v>0</v>
      </c>
      <c r="DX165" s="824">
        <f>'Hodnocení '!DX161</f>
        <v>0</v>
      </c>
      <c r="DY165" s="824">
        <f>'Hodnocení '!DY161</f>
        <v>0</v>
      </c>
      <c r="DZ165" s="824">
        <f>'Hodnocení '!DZ161</f>
        <v>0</v>
      </c>
      <c r="EA165" s="824">
        <f>'Hodnocení '!EA161</f>
        <v>0</v>
      </c>
      <c r="EB165" s="824">
        <f>'Hodnocení '!EB161</f>
        <v>0</v>
      </c>
      <c r="EC165" s="824">
        <f>'Hodnocení '!EC161</f>
        <v>0</v>
      </c>
      <c r="ED165" s="824">
        <f>'Hodnocení '!ED161</f>
        <v>0</v>
      </c>
      <c r="EE165" s="824">
        <f>'Hodnocení '!EE161</f>
        <v>0</v>
      </c>
      <c r="EF165" s="824">
        <f>'Hodnocení '!EF161</f>
        <v>-3087.5899999999674</v>
      </c>
      <c r="EG165" s="824">
        <f>'Hodnocení '!EG161</f>
        <v>-2828.9899999999907</v>
      </c>
      <c r="EH165" s="824">
        <f>'Hodnocení '!EH161</f>
        <v>0</v>
      </c>
      <c r="EI165" s="824">
        <f>'Hodnocení '!EI161</f>
        <v>0</v>
      </c>
      <c r="EJ165" s="824">
        <f>'Hodnocení '!EJ161</f>
        <v>0</v>
      </c>
      <c r="EK165" s="824">
        <f>'Hodnocení '!EK161</f>
        <v>-159002</v>
      </c>
      <c r="EL165" s="824">
        <f>'Hodnocení '!EL161</f>
        <v>0</v>
      </c>
      <c r="EM165" s="824">
        <f>'Hodnocení '!EM161</f>
        <v>0</v>
      </c>
      <c r="EN165" s="824">
        <f>'Hodnocení '!EN161</f>
        <v>0</v>
      </c>
      <c r="EO165" s="824">
        <f>'Hodnocení '!EO161</f>
        <v>0</v>
      </c>
      <c r="EP165" s="824">
        <f>'Hodnocení '!EP161</f>
        <v>0</v>
      </c>
      <c r="EQ165" s="824">
        <f>'Hodnocení '!EQ161</f>
        <v>0</v>
      </c>
      <c r="ER165" s="824">
        <f>'Hodnocení '!ER161</f>
        <v>0</v>
      </c>
      <c r="ES165" s="824">
        <f>'Hodnocení '!ES161</f>
        <v>0</v>
      </c>
      <c r="ET165" s="824">
        <f>'Hodnocení '!ET161</f>
        <v>0</v>
      </c>
      <c r="EU165" s="824">
        <f>'Hodnocení '!EU161</f>
        <v>0</v>
      </c>
      <c r="EV165" s="824">
        <f>'Hodnocení '!EV161</f>
        <v>0</v>
      </c>
      <c r="EW165" s="824">
        <f>'Hodnocení '!EW161</f>
        <v>0</v>
      </c>
      <c r="EX165" s="824">
        <f>'Hodnocení '!EX161</f>
        <v>0</v>
      </c>
      <c r="EY165" s="824">
        <f>'Hodnocení '!EY161</f>
        <v>0</v>
      </c>
      <c r="EZ165" s="824">
        <f>'Hodnocení '!EZ161</f>
        <v>-111326</v>
      </c>
      <c r="FA165" s="824">
        <f>'Hodnocení '!FA161</f>
        <v>0</v>
      </c>
      <c r="FB165" s="824">
        <f>'Hodnocení '!FB161</f>
        <v>0</v>
      </c>
      <c r="FC165" s="824">
        <f>'Hodnocení '!FC161</f>
        <v>0</v>
      </c>
      <c r="FD165" s="824">
        <f>'Hodnocení '!FD161</f>
        <v>0</v>
      </c>
      <c r="FE165" s="824">
        <f>'Hodnocení '!FE161</f>
        <v>0</v>
      </c>
      <c r="FF165" s="824">
        <f>'Hodnocení '!FF161</f>
        <v>0</v>
      </c>
      <c r="FG165" s="824">
        <f>'Hodnocení '!FG161</f>
        <v>0</v>
      </c>
      <c r="FH165" s="824">
        <f>'Hodnocení '!FH161</f>
        <v>0</v>
      </c>
      <c r="FI165" s="824">
        <f>'Hodnocení '!FI161</f>
        <v>0</v>
      </c>
      <c r="FJ165" s="824">
        <f>'Hodnocení '!FJ161</f>
        <v>0</v>
      </c>
      <c r="FK165" s="824">
        <f>'Hodnocení '!FK161</f>
        <v>-164692</v>
      </c>
      <c r="FL165" s="824">
        <f>'Hodnocení '!FL161</f>
        <v>-312232</v>
      </c>
      <c r="FM165" s="824">
        <f>'Hodnocení '!FM161</f>
        <v>-1683383</v>
      </c>
      <c r="FN165" s="824">
        <f>'Hodnocení '!FN161</f>
        <v>0</v>
      </c>
      <c r="FO165" s="824">
        <f>'Hodnocení '!FO161</f>
        <v>-5037</v>
      </c>
      <c r="FP165" s="824">
        <f>'Hodnocení '!FP161</f>
        <v>0</v>
      </c>
      <c r="FQ165" s="824">
        <f>'Hodnocení '!FQ161</f>
        <v>0</v>
      </c>
      <c r="FR165" s="824">
        <f>'Hodnocení '!FR161</f>
        <v>0</v>
      </c>
      <c r="FS165" s="824">
        <f>'Hodnocení '!FS161</f>
        <v>-13560</v>
      </c>
      <c r="FT165" s="824">
        <f>'Hodnocení '!FT161</f>
        <v>0</v>
      </c>
      <c r="FU165" s="824">
        <f>'Hodnocení '!FU161</f>
        <v>0</v>
      </c>
      <c r="FV165" s="824">
        <f>'Hodnocení '!FV161</f>
        <v>0</v>
      </c>
      <c r="FW165" s="824">
        <f>'Hodnocení '!FW161</f>
        <v>-76055</v>
      </c>
      <c r="FX165" s="824">
        <f>'Hodnocení '!FX161</f>
        <v>0</v>
      </c>
      <c r="FY165" s="824">
        <f>'Hodnocení '!FY161</f>
        <v>-9591</v>
      </c>
      <c r="FZ165" s="824">
        <f>'Hodnocení '!FZ161</f>
        <v>-5060</v>
      </c>
      <c r="GA165" s="824">
        <f>'Hodnocení '!GA161</f>
        <v>0</v>
      </c>
      <c r="GB165" s="824">
        <f>'Hodnocení '!GB161</f>
        <v>0</v>
      </c>
      <c r="GC165" s="824">
        <f>'Hodnocení '!GC161</f>
        <v>0</v>
      </c>
      <c r="GD165" s="824">
        <f>'Hodnocení '!GD161</f>
        <v>0</v>
      </c>
      <c r="GE165" s="824">
        <f>'Hodnocení '!GE161</f>
        <v>-109614.93400108395</v>
      </c>
      <c r="GF165" s="824">
        <f>'Hodnocení '!GF161</f>
        <v>0</v>
      </c>
      <c r="GG165" s="824">
        <f>'Hodnocení '!GG161</f>
        <v>-132561</v>
      </c>
      <c r="GH165" s="824">
        <f>'Hodnocení '!GH161</f>
        <v>-34872</v>
      </c>
      <c r="GI165" s="824">
        <f>'Hodnocení '!GI161</f>
        <v>0</v>
      </c>
      <c r="GJ165" s="824">
        <f>'Hodnocení '!GJ161</f>
        <v>0</v>
      </c>
      <c r="GK165" s="824">
        <f>'Hodnocení '!GK161</f>
        <v>-66130</v>
      </c>
      <c r="GL165" s="824">
        <f>'Hodnocení '!GL161</f>
        <v>-59346</v>
      </c>
      <c r="GM165" s="824">
        <f>'Hodnocení '!GM161</f>
        <v>-60700</v>
      </c>
      <c r="GN165" s="824">
        <f>'Hodnocení '!GN161</f>
        <v>0</v>
      </c>
      <c r="GO165" s="824">
        <f>'Hodnocení '!GO161</f>
        <v>0</v>
      </c>
      <c r="GP165" s="824">
        <f>'Hodnocení '!GP161</f>
        <v>-35810</v>
      </c>
      <c r="GQ165" s="824">
        <f>'Hodnocení '!GQ161</f>
        <v>-430640</v>
      </c>
      <c r="GR165" s="824">
        <f>'Hodnocení '!GR161</f>
        <v>-83152</v>
      </c>
      <c r="GS165" s="824">
        <f>'Hodnocení '!GS161</f>
        <v>-165886</v>
      </c>
      <c r="GT165" s="824">
        <f>'Hodnocení '!GT161</f>
        <v>0</v>
      </c>
      <c r="GU165" s="824">
        <f>'Hodnocení '!GU161</f>
        <v>0</v>
      </c>
      <c r="GV165" s="824">
        <f>'Hodnocení '!GV161</f>
        <v>0</v>
      </c>
      <c r="GW165" s="824">
        <f>'Hodnocení '!GW161</f>
        <v>-192146</v>
      </c>
      <c r="GX165" s="824">
        <f>'Hodnocení '!GX161</f>
        <v>-4333</v>
      </c>
      <c r="GY165" s="824">
        <f>'Hodnocení '!GY161</f>
        <v>0</v>
      </c>
      <c r="GZ165" s="824">
        <f>'Hodnocení '!GZ161</f>
        <v>0</v>
      </c>
      <c r="HA165" s="824">
        <f>'Hodnocení '!HA161</f>
        <v>0</v>
      </c>
      <c r="HB165" s="824">
        <f>'Hodnocení '!HB161</f>
        <v>0</v>
      </c>
      <c r="HC165" s="824">
        <f>'Hodnocení '!HC161</f>
        <v>0</v>
      </c>
      <c r="HD165" s="824">
        <f>'Hodnocení '!HD161</f>
        <v>0</v>
      </c>
      <c r="HE165" s="824">
        <f>'Hodnocení '!HE161</f>
        <v>0</v>
      </c>
      <c r="HF165" s="824">
        <f>'Hodnocení '!HF161</f>
        <v>0</v>
      </c>
      <c r="HG165" s="824">
        <f>'Hodnocení '!HG161</f>
        <v>-34317</v>
      </c>
      <c r="HH165" s="824">
        <f>'Hodnocení '!HH161</f>
        <v>-115198</v>
      </c>
      <c r="HI165" s="824">
        <f>'Hodnocení '!HI161</f>
        <v>-270683</v>
      </c>
      <c r="HJ165" s="824">
        <f>'Hodnocení '!HJ161</f>
        <v>0</v>
      </c>
      <c r="HK165" s="824">
        <f>'Hodnocení '!HK161</f>
        <v>-144000</v>
      </c>
      <c r="HL165" s="824">
        <f>'Hodnocení '!HL161</f>
        <v>0</v>
      </c>
      <c r="HM165" s="824">
        <f>'Hodnocení '!HM161</f>
        <v>0</v>
      </c>
      <c r="HN165" s="824">
        <f>'Hodnocení '!HN161</f>
        <v>0</v>
      </c>
      <c r="HO165" s="824">
        <f>'Hodnocení '!HO161</f>
        <v>-29609.132768688723</v>
      </c>
      <c r="HP165" s="824">
        <f>'Hodnocení '!HP161</f>
        <v>0</v>
      </c>
      <c r="HQ165" s="824">
        <f>'Hodnocení '!HQ161</f>
        <v>-0.32396511430852115</v>
      </c>
      <c r="HR165" s="824">
        <f>'Hodnocení '!HR161</f>
        <v>0</v>
      </c>
      <c r="HS165" s="824">
        <f>'Hodnocení '!HS161</f>
        <v>0</v>
      </c>
      <c r="HT165" s="824">
        <f>'Hodnocení '!HT161</f>
        <v>0</v>
      </c>
      <c r="HU165" s="824">
        <f>'Hodnocení '!HU161</f>
        <v>-4</v>
      </c>
      <c r="HV165" s="824">
        <f>'Hodnocení '!HV161</f>
        <v>0</v>
      </c>
      <c r="HW165" s="824">
        <f>'Hodnocení '!HW161</f>
        <v>-1985002.5558626438</v>
      </c>
      <c r="HX165" s="824">
        <f>'Hodnocení '!HX161</f>
        <v>0</v>
      </c>
      <c r="HY165" s="824">
        <f>'Hodnocení '!HY161</f>
        <v>-2</v>
      </c>
      <c r="HZ165" s="824">
        <f>'Hodnocení '!HZ161</f>
        <v>-1</v>
      </c>
      <c r="IA165" s="824">
        <f>'Hodnocení '!IA161</f>
        <v>0</v>
      </c>
      <c r="IB165" s="824">
        <f>'Hodnocení '!IB161</f>
        <v>0</v>
      </c>
      <c r="IC165" s="824">
        <f>'Hodnocení '!IC161</f>
        <v>-3.3670759554952383</v>
      </c>
      <c r="ID165" s="824">
        <f>'Hodnocení '!ID161</f>
        <v>-2.6329240463674068</v>
      </c>
      <c r="IE165" s="824">
        <f>'Hodnocení '!IE161</f>
        <v>0</v>
      </c>
      <c r="IF165" s="824">
        <f>'Hodnocení '!IF161</f>
        <v>0</v>
      </c>
      <c r="IG165" s="824">
        <f>'Hodnocení '!IG161</f>
        <v>0</v>
      </c>
      <c r="IH165" s="824">
        <f>'Hodnocení '!IH161</f>
        <v>0</v>
      </c>
      <c r="II165" s="824">
        <f>'Hodnocení '!II161</f>
        <v>0</v>
      </c>
      <c r="IJ165" s="824">
        <f>'Hodnocení '!IJ161</f>
        <v>0</v>
      </c>
      <c r="IK165" s="824">
        <f>'Hodnocení '!IK161</f>
        <v>0</v>
      </c>
      <c r="IL165" s="824">
        <f>'Hodnocení '!IL161</f>
        <v>0</v>
      </c>
      <c r="IM165" s="824">
        <f>'Hodnocení '!IM161</f>
        <v>0</v>
      </c>
      <c r="IN165" s="824">
        <f>'Hodnocení '!IN161</f>
        <v>0</v>
      </c>
      <c r="IO165" s="824">
        <f>'Hodnocení '!IO161</f>
        <v>0</v>
      </c>
      <c r="IP165" s="824">
        <f>'Hodnocení '!IP161</f>
        <v>0</v>
      </c>
      <c r="IQ165" s="824">
        <f>'Hodnocení '!IQ161</f>
        <v>-1.3545356839895248</v>
      </c>
      <c r="IR165" s="824">
        <f>'Hodnocení '!IR161</f>
        <v>0</v>
      </c>
      <c r="IS165" s="824">
        <f>'Hodnocení '!IS161</f>
        <v>0</v>
      </c>
      <c r="IT165" s="824">
        <f>'Hodnocení '!IT161</f>
        <v>0</v>
      </c>
      <c r="IU165" s="824">
        <f>'Hodnocení '!IU161</f>
        <v>-1.8972780024632812</v>
      </c>
      <c r="IV165" s="824">
        <f>'Hodnocení '!IV161</f>
        <v>-3.8423596415668726</v>
      </c>
      <c r="IW165" s="824">
        <f>'Hodnocení '!IW161</f>
        <v>0</v>
      </c>
      <c r="IX165" s="824">
        <f>'Hodnocení '!IX161</f>
        <v>-4.1757296146824956</v>
      </c>
      <c r="IY165" s="824">
        <f>'Hodnocení '!IY161</f>
        <v>-2000001.4628047673</v>
      </c>
      <c r="IZ165" s="824">
        <f>'Hodnocení '!IZ161</f>
        <v>0</v>
      </c>
      <c r="JA165" s="824">
        <f>'Hodnocení '!JA161</f>
        <v>0</v>
      </c>
      <c r="JB165" s="824">
        <f>'Hodnocení '!JB161</f>
        <v>0</v>
      </c>
      <c r="JC165" s="824">
        <f>'Hodnocení '!JC161</f>
        <v>0</v>
      </c>
      <c r="JD165" s="824">
        <f>'Hodnocení '!JD161</f>
        <v>-1176392</v>
      </c>
      <c r="JE165" s="824">
        <f>'Hodnocení '!JE161</f>
        <v>-4.2460617758333683</v>
      </c>
      <c r="JF165" s="824">
        <f>'Hodnocení '!JF161</f>
        <v>0</v>
      </c>
      <c r="JG165" s="824">
        <f>'Hodnocení '!JG161</f>
        <v>-461035.59501437843</v>
      </c>
      <c r="JH165" s="825">
        <f>'Hodnocení '!JH161</f>
        <v>0</v>
      </c>
      <c r="JI165" s="728">
        <f>'Hodnocení '!JI161</f>
        <v>-13226330.7803814</v>
      </c>
      <c r="JL165" s="307">
        <f t="shared" si="75"/>
        <v>0</v>
      </c>
      <c r="JM165" s="307">
        <f t="shared" si="75"/>
        <v>-3253936.26</v>
      </c>
      <c r="JN165" s="307">
        <f t="shared" si="75"/>
        <v>-4320324.9340010844</v>
      </c>
      <c r="JO165" s="307">
        <f t="shared" si="75"/>
        <v>-5652069.5863803132</v>
      </c>
      <c r="JP165" s="307">
        <f t="shared" si="76"/>
        <v>-13226330.780381396</v>
      </c>
    </row>
    <row r="166" spans="2:276" hidden="1" x14ac:dyDescent="0.25">
      <c r="B166" s="313" t="s">
        <v>2637</v>
      </c>
      <c r="C166" s="313">
        <f>'Hodnocení '!C162</f>
        <v>0</v>
      </c>
      <c r="D166" s="313">
        <f>'Hodnocení '!D162</f>
        <v>0</v>
      </c>
      <c r="E166" s="313">
        <f>'Hodnocení '!E162</f>
        <v>0</v>
      </c>
      <c r="F166" s="313">
        <f>'Hodnocení '!F162</f>
        <v>0</v>
      </c>
      <c r="G166" s="313">
        <f>'Hodnocení '!G162</f>
        <v>0</v>
      </c>
      <c r="H166" s="313">
        <f>'Hodnocení '!H162</f>
        <v>0</v>
      </c>
      <c r="I166" s="313">
        <f>'Hodnocení '!I162</f>
        <v>0</v>
      </c>
      <c r="J166" s="313">
        <f>'Hodnocení '!J162</f>
        <v>0</v>
      </c>
      <c r="K166" s="313">
        <f>'Hodnocení '!K162</f>
        <v>0</v>
      </c>
      <c r="L166" s="313">
        <f>'Hodnocení '!L162</f>
        <v>0</v>
      </c>
      <c r="M166" s="313">
        <f>'Hodnocení '!M162</f>
        <v>0</v>
      </c>
      <c r="N166" s="313">
        <f>'Hodnocení '!N162</f>
        <v>0</v>
      </c>
      <c r="O166" s="313">
        <f>'Hodnocení '!O162</f>
        <v>0</v>
      </c>
      <c r="P166" s="313">
        <f>'Hodnocení '!P162</f>
        <v>0</v>
      </c>
      <c r="Q166" s="313">
        <f>'Hodnocení '!Q162</f>
        <v>0</v>
      </c>
      <c r="R166" s="313">
        <f>'Hodnocení '!R162</f>
        <v>0</v>
      </c>
      <c r="S166" s="313">
        <f>'Hodnocení '!S162</f>
        <v>0</v>
      </c>
      <c r="T166" s="313">
        <f>'Hodnocení '!T162</f>
        <v>0</v>
      </c>
      <c r="U166" s="313">
        <f>'Hodnocení '!U162</f>
        <v>0</v>
      </c>
      <c r="V166" s="313">
        <f>'Hodnocení '!V162</f>
        <v>0</v>
      </c>
      <c r="W166" s="313">
        <f>'Hodnocení '!W162</f>
        <v>0</v>
      </c>
      <c r="X166" s="313">
        <f>'Hodnocení '!X162</f>
        <v>0</v>
      </c>
      <c r="Y166" s="313">
        <f>'Hodnocení '!Y162</f>
        <v>0</v>
      </c>
      <c r="Z166" s="313">
        <f>'Hodnocení '!Z162</f>
        <v>0</v>
      </c>
      <c r="AA166" s="313">
        <f>'Hodnocení '!AA162</f>
        <v>0</v>
      </c>
      <c r="AB166" s="313">
        <f>'Hodnocení '!AB162</f>
        <v>0</v>
      </c>
      <c r="AC166" s="313">
        <f>'Hodnocení '!AC162</f>
        <v>0</v>
      </c>
      <c r="AD166" s="313">
        <f>'Hodnocení '!AD162</f>
        <v>0</v>
      </c>
      <c r="AE166" s="313">
        <f>'Hodnocení '!AE162</f>
        <v>0</v>
      </c>
      <c r="AF166" s="313">
        <f>'Hodnocení '!AF162</f>
        <v>0</v>
      </c>
      <c r="AG166" s="313">
        <f>'Hodnocení '!AG162</f>
        <v>0</v>
      </c>
      <c r="AH166" s="313">
        <f>'Hodnocení '!AH162</f>
        <v>0</v>
      </c>
      <c r="AI166" s="313">
        <f>'Hodnocení '!AI162</f>
        <v>0</v>
      </c>
      <c r="AJ166" s="313">
        <f>'Hodnocení '!AJ162</f>
        <v>0</v>
      </c>
      <c r="AK166" s="313">
        <f>'Hodnocení '!AK162</f>
        <v>0</v>
      </c>
      <c r="AL166" s="313">
        <f>'Hodnocení '!AL162</f>
        <v>0</v>
      </c>
      <c r="AM166" s="313">
        <f>'Hodnocení '!AM162</f>
        <v>0</v>
      </c>
      <c r="AN166" s="313">
        <f>'Hodnocení '!AN162</f>
        <v>0</v>
      </c>
      <c r="AO166" s="313">
        <f>'Hodnocení '!AO162</f>
        <v>0</v>
      </c>
      <c r="AP166" s="313">
        <f>'Hodnocení '!AP162</f>
        <v>0</v>
      </c>
      <c r="AQ166" s="313">
        <f>'Hodnocení '!AQ162</f>
        <v>0</v>
      </c>
      <c r="AR166" s="313">
        <f>'Hodnocení '!AR162</f>
        <v>0</v>
      </c>
      <c r="AS166" s="313">
        <f>'Hodnocení '!AS162</f>
        <v>0</v>
      </c>
      <c r="AT166" s="313">
        <f>'Hodnocení '!AT162</f>
        <v>0</v>
      </c>
      <c r="AU166" s="313">
        <f>'Hodnocení '!AU162</f>
        <v>0</v>
      </c>
      <c r="AV166" s="313">
        <f>'Hodnocení '!AV162</f>
        <v>0</v>
      </c>
      <c r="AW166" s="313">
        <f>'Hodnocení '!AW162</f>
        <v>0</v>
      </c>
      <c r="AX166" s="313">
        <f>'Hodnocení '!AX162</f>
        <v>0</v>
      </c>
      <c r="AY166" s="313">
        <f>'Hodnocení '!AY162</f>
        <v>0</v>
      </c>
      <c r="AZ166" s="313">
        <f>'Hodnocení '!AZ162</f>
        <v>0</v>
      </c>
      <c r="BA166" s="313">
        <f>'Hodnocení '!BA162</f>
        <v>0</v>
      </c>
      <c r="BB166" s="313">
        <f>'Hodnocení '!BB162</f>
        <v>0</v>
      </c>
      <c r="BC166" s="313">
        <f>'Hodnocení '!BC162</f>
        <v>0</v>
      </c>
      <c r="BD166" s="313">
        <f>'Hodnocení '!BD162</f>
        <v>0</v>
      </c>
      <c r="BE166" s="313">
        <f>'Hodnocení '!BE162</f>
        <v>0</v>
      </c>
      <c r="BF166" s="313">
        <f>'Hodnocení '!BF162</f>
        <v>0</v>
      </c>
      <c r="BG166" s="313">
        <f>'Hodnocení '!BG162</f>
        <v>0</v>
      </c>
      <c r="BH166" s="313">
        <f>'Hodnocení '!BH162</f>
        <v>0</v>
      </c>
      <c r="BI166" s="313">
        <f>'Hodnocení '!BI162</f>
        <v>0</v>
      </c>
      <c r="BJ166" s="313">
        <f>'Hodnocení '!BJ162</f>
        <v>0</v>
      </c>
      <c r="BK166" s="313">
        <f>'Hodnocení '!BK162</f>
        <v>0</v>
      </c>
      <c r="BL166" s="313">
        <f>'Hodnocení '!BL162</f>
        <v>0</v>
      </c>
      <c r="BM166" s="313">
        <f>'Hodnocení '!BM162</f>
        <v>0</v>
      </c>
      <c r="BN166" s="313">
        <f>'Hodnocení '!BN162</f>
        <v>0</v>
      </c>
      <c r="BO166" s="313">
        <f>'Hodnocení '!BO162</f>
        <v>0</v>
      </c>
      <c r="BP166" s="313">
        <f>'Hodnocení '!BP162</f>
        <v>0</v>
      </c>
      <c r="BQ166" s="313">
        <f>'Hodnocení '!BQ162</f>
        <v>0</v>
      </c>
      <c r="BR166" s="313">
        <f>'Hodnocení '!BR162</f>
        <v>0</v>
      </c>
      <c r="BS166" s="313">
        <f>'Hodnocení '!BS162</f>
        <v>0</v>
      </c>
      <c r="BT166" s="313">
        <f>'Hodnocení '!BT162</f>
        <v>0</v>
      </c>
      <c r="BU166" s="313">
        <f>'Hodnocení '!BU162</f>
        <v>0</v>
      </c>
      <c r="BV166" s="313">
        <f>'Hodnocení '!BV162</f>
        <v>0</v>
      </c>
      <c r="BW166" s="313">
        <f>'Hodnocení '!BW162</f>
        <v>0</v>
      </c>
      <c r="BX166" s="313">
        <f>'Hodnocení '!BX162</f>
        <v>0</v>
      </c>
      <c r="BY166" s="313">
        <f>'Hodnocení '!BY162</f>
        <v>0</v>
      </c>
      <c r="BZ166" s="313">
        <f>'Hodnocení '!BZ162</f>
        <v>0</v>
      </c>
      <c r="CA166" s="313">
        <f>'Hodnocení '!CA162</f>
        <v>0</v>
      </c>
      <c r="CB166" s="313">
        <f>'Hodnocení '!CB162</f>
        <v>0</v>
      </c>
      <c r="CC166" s="313">
        <f>'Hodnocení '!CC162</f>
        <v>0</v>
      </c>
      <c r="CD166" s="313">
        <f>'Hodnocení '!CD162</f>
        <v>0</v>
      </c>
      <c r="CE166" s="313">
        <f>'Hodnocení '!CE162</f>
        <v>0</v>
      </c>
      <c r="CF166" s="313">
        <f>'Hodnocení '!CF162</f>
        <v>0</v>
      </c>
      <c r="CG166" s="313">
        <f>'Hodnocení '!CG162</f>
        <v>0</v>
      </c>
      <c r="CH166" s="313">
        <f>'Hodnocení '!CH162</f>
        <v>0</v>
      </c>
      <c r="CI166" s="313">
        <f>'Hodnocení '!CI162</f>
        <v>0</v>
      </c>
      <c r="CJ166" s="313">
        <f>'Hodnocení '!CJ162</f>
        <v>0</v>
      </c>
      <c r="CK166" s="313">
        <f>'Hodnocení '!CK162</f>
        <v>0</v>
      </c>
      <c r="CL166" s="313">
        <f>'Hodnocení '!CL162</f>
        <v>0</v>
      </c>
      <c r="CM166" s="313">
        <f>'Hodnocení '!CM162</f>
        <v>0</v>
      </c>
      <c r="CN166" s="313">
        <f>'Hodnocení '!CN162</f>
        <v>0</v>
      </c>
      <c r="CO166" s="313">
        <f>'Hodnocení '!CO162</f>
        <v>0</v>
      </c>
      <c r="CP166" s="313">
        <f>'Hodnocení '!CP162</f>
        <v>0</v>
      </c>
      <c r="CQ166" s="313">
        <f>'Hodnocení '!CQ162</f>
        <v>0</v>
      </c>
      <c r="CR166" s="313">
        <f>'Hodnocení '!CR162</f>
        <v>0</v>
      </c>
      <c r="CS166" s="313">
        <f>'Hodnocení '!CS162</f>
        <v>0</v>
      </c>
      <c r="CT166" s="313">
        <f>'Hodnocení '!CT162</f>
        <v>0</v>
      </c>
      <c r="CU166" s="313">
        <f>'Hodnocení '!CU162</f>
        <v>0</v>
      </c>
      <c r="CV166" s="313">
        <f>'Hodnocení '!CV162</f>
        <v>0</v>
      </c>
      <c r="CW166" s="313">
        <f>'Hodnocení '!CW162</f>
        <v>0</v>
      </c>
      <c r="CX166" s="313">
        <f>'Hodnocení '!CX162</f>
        <v>0</v>
      </c>
      <c r="CY166" s="313">
        <f>'Hodnocení '!CY162</f>
        <v>0</v>
      </c>
      <c r="CZ166" s="313">
        <f>'Hodnocení '!CZ162</f>
        <v>0</v>
      </c>
      <c r="DA166" s="313">
        <f>'Hodnocení '!DA162</f>
        <v>0</v>
      </c>
      <c r="DB166" s="313">
        <f>'Hodnocení '!DB162</f>
        <v>0</v>
      </c>
      <c r="DC166" s="313">
        <f>'Hodnocení '!DC162</f>
        <v>0</v>
      </c>
      <c r="DD166" s="313">
        <f>'Hodnocení '!DD162</f>
        <v>0</v>
      </c>
      <c r="DE166" s="313">
        <f>'Hodnocení '!DE162</f>
        <v>0</v>
      </c>
      <c r="DF166" s="313">
        <f>'Hodnocení '!DF162</f>
        <v>0</v>
      </c>
      <c r="DG166" s="313">
        <f>'Hodnocení '!DG162</f>
        <v>0</v>
      </c>
      <c r="DH166" s="313">
        <f>'Hodnocení '!DH162</f>
        <v>0</v>
      </c>
      <c r="DI166" s="313">
        <f>'Hodnocení '!DI162</f>
        <v>0</v>
      </c>
      <c r="DJ166" s="313">
        <f>'Hodnocení '!DJ162</f>
        <v>0</v>
      </c>
      <c r="DK166" s="313">
        <f>'Hodnocení '!DK162</f>
        <v>0</v>
      </c>
      <c r="DL166" s="313">
        <f>'Hodnocení '!DL162</f>
        <v>0</v>
      </c>
      <c r="DM166" s="313">
        <f>'Hodnocení '!DM162</f>
        <v>0</v>
      </c>
      <c r="DN166" s="313">
        <f>'Hodnocení '!DN162</f>
        <v>0</v>
      </c>
      <c r="DO166" s="313">
        <f>'Hodnocení '!DO162</f>
        <v>0</v>
      </c>
      <c r="DP166" s="313">
        <f>'Hodnocení '!DP162</f>
        <v>0</v>
      </c>
      <c r="DQ166" s="313">
        <f>'Hodnocení '!DQ162</f>
        <v>0</v>
      </c>
      <c r="DR166" s="313">
        <f>'Hodnocení '!DR162</f>
        <v>0</v>
      </c>
      <c r="DS166" s="313">
        <f>'Hodnocení '!DS162</f>
        <v>0</v>
      </c>
      <c r="DT166" s="313">
        <f>'Hodnocení '!DT162</f>
        <v>0</v>
      </c>
      <c r="DU166" s="313">
        <f>'Hodnocení '!DU162</f>
        <v>0</v>
      </c>
      <c r="DV166" s="313">
        <f>'Hodnocení '!DV162</f>
        <v>0</v>
      </c>
      <c r="DW166" s="313">
        <f>'Hodnocení '!DW162</f>
        <v>0</v>
      </c>
      <c r="DX166" s="313">
        <f>'Hodnocení '!DX162</f>
        <v>0</v>
      </c>
      <c r="DY166" s="313">
        <f>'Hodnocení '!DY162</f>
        <v>0</v>
      </c>
      <c r="DZ166" s="313">
        <f>'Hodnocení '!DZ162</f>
        <v>0</v>
      </c>
      <c r="EA166" s="313">
        <f>'Hodnocení '!EA162</f>
        <v>0</v>
      </c>
      <c r="EB166" s="313">
        <f>'Hodnocení '!EB162</f>
        <v>0</v>
      </c>
      <c r="EC166" s="313">
        <f>'Hodnocení '!EC162</f>
        <v>0</v>
      </c>
      <c r="ED166" s="313">
        <f>'Hodnocení '!ED162</f>
        <v>0</v>
      </c>
      <c r="EE166" s="313">
        <f>'Hodnocení '!EE162</f>
        <v>0</v>
      </c>
      <c r="EF166" s="313">
        <f>'Hodnocení '!EF162</f>
        <v>0</v>
      </c>
      <c r="EG166" s="313">
        <f>'Hodnocení '!EG162</f>
        <v>0</v>
      </c>
      <c r="EH166" s="313">
        <f>'Hodnocení '!EH162</f>
        <v>0</v>
      </c>
      <c r="EI166" s="313">
        <f>'Hodnocení '!EI162</f>
        <v>0</v>
      </c>
      <c r="EJ166" s="313">
        <f>'Hodnocení '!EJ162</f>
        <v>0</v>
      </c>
      <c r="EK166" s="313">
        <f>'Hodnocení '!EK162</f>
        <v>0</v>
      </c>
      <c r="EL166" s="313">
        <f>'Hodnocení '!EL162</f>
        <v>0</v>
      </c>
      <c r="EM166" s="313">
        <f>'Hodnocení '!EM162</f>
        <v>0</v>
      </c>
      <c r="EN166" s="313">
        <f>'Hodnocení '!EN162</f>
        <v>0</v>
      </c>
      <c r="EO166" s="313">
        <f>'Hodnocení '!EO162</f>
        <v>0</v>
      </c>
      <c r="EP166" s="313">
        <f>'Hodnocení '!EP162</f>
        <v>0</v>
      </c>
      <c r="EQ166" s="313">
        <f>'Hodnocení '!EQ162</f>
        <v>0</v>
      </c>
      <c r="ER166" s="313">
        <f>'Hodnocení '!ER162</f>
        <v>0</v>
      </c>
      <c r="ES166" s="313">
        <f>'Hodnocení '!ES162</f>
        <v>0</v>
      </c>
      <c r="ET166" s="313">
        <f>'Hodnocení '!ET162</f>
        <v>0</v>
      </c>
      <c r="EU166" s="313">
        <f>'Hodnocení '!EU162</f>
        <v>0</v>
      </c>
      <c r="EV166" s="313">
        <f>'Hodnocení '!EV162</f>
        <v>0</v>
      </c>
      <c r="EW166" s="313">
        <f>'Hodnocení '!EW162</f>
        <v>0</v>
      </c>
      <c r="EX166" s="313">
        <f>'Hodnocení '!EX162</f>
        <v>0</v>
      </c>
      <c r="EY166" s="313">
        <f>'Hodnocení '!EY162</f>
        <v>0</v>
      </c>
      <c r="EZ166" s="313">
        <f>'Hodnocení '!EZ162</f>
        <v>0</v>
      </c>
      <c r="FA166" s="313">
        <f>'Hodnocení '!FA162</f>
        <v>0</v>
      </c>
      <c r="FB166" s="313">
        <f>'Hodnocení '!FB162</f>
        <v>0</v>
      </c>
      <c r="FC166" s="313">
        <f>'Hodnocení '!FC162</f>
        <v>0</v>
      </c>
      <c r="FD166" s="313">
        <f>'Hodnocení '!FD162</f>
        <v>0</v>
      </c>
      <c r="FE166" s="313">
        <f>'Hodnocení '!FE162</f>
        <v>0</v>
      </c>
      <c r="FF166" s="313">
        <f>'Hodnocení '!FF162</f>
        <v>0</v>
      </c>
      <c r="FG166" s="313">
        <f>'Hodnocení '!FG162</f>
        <v>0</v>
      </c>
      <c r="FH166" s="313">
        <f>'Hodnocení '!FH162</f>
        <v>0</v>
      </c>
      <c r="FI166" s="313">
        <f>'Hodnocení '!FI162</f>
        <v>0</v>
      </c>
      <c r="FJ166" s="313">
        <f>'Hodnocení '!FJ162</f>
        <v>0</v>
      </c>
      <c r="FK166" s="313">
        <f>'Hodnocení '!FK162</f>
        <v>0</v>
      </c>
      <c r="FL166" s="313">
        <f>'Hodnocení '!FL162</f>
        <v>0</v>
      </c>
      <c r="FM166" s="313">
        <f>'Hodnocení '!FM162</f>
        <v>0</v>
      </c>
      <c r="FN166" s="313">
        <f>'Hodnocení '!FN162</f>
        <v>0</v>
      </c>
      <c r="FO166" s="313">
        <f>'Hodnocení '!FO162</f>
        <v>0</v>
      </c>
      <c r="FP166" s="313">
        <f>'Hodnocení '!FP162</f>
        <v>0</v>
      </c>
      <c r="FQ166" s="313">
        <f>'Hodnocení '!FQ162</f>
        <v>0</v>
      </c>
      <c r="FR166" s="313">
        <f>'Hodnocení '!FR162</f>
        <v>0</v>
      </c>
      <c r="FS166" s="313">
        <f>'Hodnocení '!FS162</f>
        <v>0</v>
      </c>
      <c r="FT166" s="313">
        <f>'Hodnocení '!FT162</f>
        <v>0</v>
      </c>
      <c r="FU166" s="313">
        <f>'Hodnocení '!FU162</f>
        <v>0</v>
      </c>
      <c r="FV166" s="313">
        <f>'Hodnocení '!FV162</f>
        <v>0</v>
      </c>
      <c r="FW166" s="313">
        <f>'Hodnocení '!FW162</f>
        <v>0</v>
      </c>
      <c r="FX166" s="313">
        <f>'Hodnocení '!FX162</f>
        <v>0</v>
      </c>
      <c r="FY166" s="313">
        <f>'Hodnocení '!FY162</f>
        <v>0</v>
      </c>
      <c r="FZ166" s="313">
        <f>'Hodnocení '!FZ162</f>
        <v>0</v>
      </c>
      <c r="GA166" s="313">
        <f>'Hodnocení '!GA162</f>
        <v>0</v>
      </c>
      <c r="GB166" s="313">
        <f>'Hodnocení '!GB162</f>
        <v>0</v>
      </c>
      <c r="GC166" s="313">
        <f>'Hodnocení '!GC162</f>
        <v>0</v>
      </c>
      <c r="GD166" s="313">
        <f>'Hodnocení '!GD162</f>
        <v>0</v>
      </c>
      <c r="GE166" s="313">
        <f>'Hodnocení '!GE162</f>
        <v>0</v>
      </c>
      <c r="GF166" s="313">
        <f>'Hodnocení '!GF162</f>
        <v>0</v>
      </c>
      <c r="GG166" s="313">
        <f>'Hodnocení '!GG162</f>
        <v>0</v>
      </c>
      <c r="GH166" s="313">
        <f>'Hodnocení '!GH162</f>
        <v>0</v>
      </c>
      <c r="GI166" s="313">
        <f>'Hodnocení '!GI162</f>
        <v>0</v>
      </c>
      <c r="GJ166" s="313">
        <f>'Hodnocení '!GJ162</f>
        <v>0</v>
      </c>
      <c r="GK166" s="313">
        <f>'Hodnocení '!GK162</f>
        <v>0</v>
      </c>
      <c r="GL166" s="313">
        <f>'Hodnocení '!GL162</f>
        <v>0</v>
      </c>
      <c r="GM166" s="313">
        <f>'Hodnocení '!GM162</f>
        <v>0</v>
      </c>
      <c r="GN166" s="313">
        <f>'Hodnocení '!GN162</f>
        <v>0</v>
      </c>
      <c r="GO166" s="313">
        <f>'Hodnocení '!GO162</f>
        <v>0</v>
      </c>
      <c r="GP166" s="313">
        <f>'Hodnocení '!GP162</f>
        <v>0</v>
      </c>
      <c r="GQ166" s="313">
        <f>'Hodnocení '!GQ162</f>
        <v>0</v>
      </c>
      <c r="GR166" s="313">
        <f>'Hodnocení '!GR162</f>
        <v>0</v>
      </c>
      <c r="GS166" s="313">
        <f>'Hodnocení '!GS162</f>
        <v>0</v>
      </c>
      <c r="GT166" s="313">
        <f>'Hodnocení '!GT162</f>
        <v>0</v>
      </c>
      <c r="GU166" s="313">
        <f>'Hodnocení '!GU162</f>
        <v>0</v>
      </c>
      <c r="GV166" s="313">
        <f>'Hodnocení '!GV162</f>
        <v>0</v>
      </c>
      <c r="GW166" s="313">
        <f>'Hodnocení '!GW162</f>
        <v>0</v>
      </c>
      <c r="GX166" s="313">
        <f>'Hodnocení '!GX162</f>
        <v>0</v>
      </c>
      <c r="GY166" s="313">
        <f>'Hodnocení '!GY162</f>
        <v>0</v>
      </c>
      <c r="GZ166" s="313">
        <f>'Hodnocení '!GZ162</f>
        <v>0</v>
      </c>
      <c r="HA166" s="313">
        <f>'Hodnocení '!HA162</f>
        <v>0</v>
      </c>
      <c r="HB166" s="313">
        <f>'Hodnocení '!HB162</f>
        <v>0</v>
      </c>
      <c r="HC166" s="313">
        <f>'Hodnocení '!HC162</f>
        <v>0</v>
      </c>
      <c r="HD166" s="313">
        <f>'Hodnocení '!HD162</f>
        <v>0</v>
      </c>
      <c r="HE166" s="313">
        <f>'Hodnocení '!HE162</f>
        <v>0</v>
      </c>
      <c r="HF166" s="313">
        <f>'Hodnocení '!HF162</f>
        <v>0</v>
      </c>
      <c r="HG166" s="313">
        <f>'Hodnocení '!HG162</f>
        <v>0</v>
      </c>
      <c r="HH166" s="313">
        <f>'Hodnocení '!HH162</f>
        <v>0</v>
      </c>
      <c r="HI166" s="313">
        <f>'Hodnocení '!HI162</f>
        <v>0</v>
      </c>
      <c r="HJ166" s="313">
        <f>'Hodnocení '!HJ162</f>
        <v>0</v>
      </c>
      <c r="HK166" s="313">
        <f>'Hodnocení '!HK162</f>
        <v>0</v>
      </c>
      <c r="HL166" s="313">
        <f>'Hodnocení '!HL162</f>
        <v>0</v>
      </c>
      <c r="HM166" s="313">
        <f>'Hodnocení '!HM162</f>
        <v>0</v>
      </c>
      <c r="HN166" s="313">
        <f>'Hodnocení '!HN162</f>
        <v>0</v>
      </c>
      <c r="HO166" s="313">
        <f>'Hodnocení '!HO162</f>
        <v>0</v>
      </c>
      <c r="HP166" s="313">
        <f>'Hodnocení '!HP162</f>
        <v>0</v>
      </c>
      <c r="HQ166" s="313">
        <f>'Hodnocení '!HQ162</f>
        <v>0</v>
      </c>
      <c r="HR166" s="313">
        <f>'Hodnocení '!HR162</f>
        <v>0</v>
      </c>
      <c r="HS166" s="313">
        <f>'Hodnocení '!HS162</f>
        <v>0</v>
      </c>
      <c r="HT166" s="313">
        <f>'Hodnocení '!HT162</f>
        <v>0</v>
      </c>
      <c r="HU166" s="313">
        <f>'Hodnocení '!HU162</f>
        <v>0</v>
      </c>
      <c r="HV166" s="313">
        <f>'Hodnocení '!HV162</f>
        <v>0</v>
      </c>
      <c r="HW166" s="313">
        <f>'Hodnocení '!HW162</f>
        <v>0</v>
      </c>
      <c r="HX166" s="313">
        <f>'Hodnocení '!HX162</f>
        <v>0</v>
      </c>
      <c r="HY166" s="313">
        <f>'Hodnocení '!HY162</f>
        <v>0</v>
      </c>
      <c r="HZ166" s="313">
        <f>'Hodnocení '!HZ162</f>
        <v>0</v>
      </c>
      <c r="IA166" s="313">
        <f>'Hodnocení '!IA162</f>
        <v>0</v>
      </c>
      <c r="IB166" s="313">
        <f>'Hodnocení '!IB162</f>
        <v>0</v>
      </c>
      <c r="IC166" s="313">
        <f>'Hodnocení '!IC162</f>
        <v>0</v>
      </c>
      <c r="ID166" s="313">
        <f>'Hodnocení '!ID162</f>
        <v>0</v>
      </c>
      <c r="IE166" s="313">
        <f>'Hodnocení '!IE162</f>
        <v>0</v>
      </c>
      <c r="IF166" s="313">
        <f>'Hodnocení '!IF162</f>
        <v>0</v>
      </c>
      <c r="IG166" s="313">
        <f>'Hodnocení '!IG162</f>
        <v>0</v>
      </c>
      <c r="IH166" s="313">
        <f>'Hodnocení '!IH162</f>
        <v>0</v>
      </c>
      <c r="II166" s="313">
        <f>'Hodnocení '!II162</f>
        <v>0</v>
      </c>
      <c r="IJ166" s="313">
        <f>'Hodnocení '!IJ162</f>
        <v>0</v>
      </c>
      <c r="IK166" s="313">
        <f>'Hodnocení '!IK162</f>
        <v>0</v>
      </c>
      <c r="IL166" s="313">
        <f>'Hodnocení '!IL162</f>
        <v>0</v>
      </c>
      <c r="IM166" s="313">
        <f>'Hodnocení '!IM162</f>
        <v>0</v>
      </c>
      <c r="IN166" s="313">
        <f>'Hodnocení '!IN162</f>
        <v>0</v>
      </c>
      <c r="IO166" s="313">
        <f>'Hodnocení '!IO162</f>
        <v>0</v>
      </c>
      <c r="IP166" s="313">
        <f>'Hodnocení '!IP162</f>
        <v>0</v>
      </c>
      <c r="IQ166" s="313">
        <f>'Hodnocení '!IQ162</f>
        <v>0</v>
      </c>
      <c r="IR166" s="313">
        <f>'Hodnocení '!IR162</f>
        <v>0</v>
      </c>
      <c r="IS166" s="313">
        <f>'Hodnocení '!IS162</f>
        <v>0</v>
      </c>
      <c r="IT166" s="313">
        <f>'Hodnocení '!IT162</f>
        <v>0</v>
      </c>
      <c r="IU166" s="313">
        <f>'Hodnocení '!IU162</f>
        <v>0</v>
      </c>
      <c r="IV166" s="313">
        <f>'Hodnocení '!IV162</f>
        <v>0</v>
      </c>
      <c r="IW166" s="313">
        <f>'Hodnocení '!IW162</f>
        <v>0</v>
      </c>
      <c r="IX166" s="313">
        <f>'Hodnocení '!IX162</f>
        <v>0</v>
      </c>
      <c r="IY166" s="313">
        <f>'Hodnocení '!IY162</f>
        <v>0</v>
      </c>
      <c r="IZ166" s="313">
        <f>'Hodnocení '!IZ162</f>
        <v>0</v>
      </c>
      <c r="JA166" s="313">
        <f>'Hodnocení '!JA162</f>
        <v>0</v>
      </c>
      <c r="JB166" s="313">
        <f>'Hodnocení '!JB162</f>
        <v>0</v>
      </c>
      <c r="JC166" s="313">
        <f>'Hodnocení '!JC162</f>
        <v>0</v>
      </c>
      <c r="JD166" s="313">
        <f>'Hodnocení '!JD162</f>
        <v>0</v>
      </c>
      <c r="JE166" s="313">
        <f>'Hodnocení '!JE162</f>
        <v>0</v>
      </c>
      <c r="JF166" s="313">
        <f>'Hodnocení '!JF162</f>
        <v>0</v>
      </c>
      <c r="JG166" s="313">
        <f>'Hodnocení '!JG162</f>
        <v>0</v>
      </c>
      <c r="JH166" s="313">
        <f>'Hodnocení '!JH162</f>
        <v>0</v>
      </c>
      <c r="JI166" s="313">
        <f>'Hodnocení '!JI162</f>
        <v>0</v>
      </c>
      <c r="JL166" s="307"/>
      <c r="JM166" s="307"/>
      <c r="JN166" s="307"/>
      <c r="JO166" s="307"/>
      <c r="JP166" s="307"/>
    </row>
    <row r="167" spans="2:276" hidden="1" x14ac:dyDescent="0.25">
      <c r="B167" s="313" t="s">
        <v>2632</v>
      </c>
      <c r="C167" s="307">
        <f>'Hodnocení '!C163</f>
        <v>361626.59525466152</v>
      </c>
      <c r="D167" s="307">
        <f>'Hodnocení '!D163</f>
        <v>350000</v>
      </c>
      <c r="E167" s="307">
        <f>'Hodnocení '!E163</f>
        <v>408010.43803386856</v>
      </c>
      <c r="F167" s="307">
        <f>'Hodnocení '!F163</f>
        <v>0</v>
      </c>
      <c r="G167" s="307">
        <f>'Hodnocení '!G163</f>
        <v>0</v>
      </c>
      <c r="H167" s="307">
        <f>'Hodnocení '!H163</f>
        <v>-350978.29629567324</v>
      </c>
      <c r="I167" s="307">
        <f>'Hodnocení '!I163</f>
        <v>-376628.49366994062</v>
      </c>
      <c r="J167" s="307">
        <f>'Hodnocení '!J163</f>
        <v>126485.23608403429</v>
      </c>
      <c r="K167" s="307">
        <f>'Hodnocení '!K163</f>
        <v>-419032.31589531992</v>
      </c>
      <c r="L167" s="307">
        <f>'Hodnocení '!L163</f>
        <v>-25014.170743059833</v>
      </c>
      <c r="M167" s="307">
        <f>'Hodnocení '!M163</f>
        <v>0</v>
      </c>
      <c r="N167" s="307">
        <f>'Hodnocení '!N163</f>
        <v>-892525.76594634727</v>
      </c>
      <c r="O167" s="307">
        <f>'Hodnocení '!O163</f>
        <v>-105005.78957660589</v>
      </c>
      <c r="P167" s="307">
        <f>'Hodnocení '!P163</f>
        <v>117000</v>
      </c>
      <c r="Q167" s="307">
        <f>'Hodnocení '!Q163</f>
        <v>0</v>
      </c>
      <c r="R167" s="307">
        <f>'Hodnocení '!R163</f>
        <v>-34847.41443209257</v>
      </c>
      <c r="S167" s="307">
        <f>'Hodnocení '!S163</f>
        <v>-44857.72521024663</v>
      </c>
      <c r="T167" s="307">
        <f>'Hodnocení '!T163</f>
        <v>0</v>
      </c>
      <c r="U167" s="307">
        <f>'Hodnocení '!U163</f>
        <v>-138339.73383276933</v>
      </c>
      <c r="V167" s="307">
        <f>'Hodnocení '!V163</f>
        <v>537280</v>
      </c>
      <c r="W167" s="307">
        <f>'Hodnocení '!W163</f>
        <v>249600</v>
      </c>
      <c r="X167" s="307">
        <f>'Hodnocení '!X163</f>
        <v>-235254.72332073096</v>
      </c>
      <c r="Y167" s="307">
        <f>'Hodnocení '!Y163</f>
        <v>199045.44921071106</v>
      </c>
      <c r="Z167" s="307">
        <f>'Hodnocení '!Z163</f>
        <v>210000</v>
      </c>
      <c r="AA167" s="307">
        <f>'Hodnocení '!AA163</f>
        <v>-225887.12232271861</v>
      </c>
      <c r="AB167" s="307">
        <f>'Hodnocení '!AB163</f>
        <v>-678982.56975617446</v>
      </c>
      <c r="AC167" s="307">
        <f>'Hodnocení '!AC163</f>
        <v>-168338.47062468273</v>
      </c>
      <c r="AD167" s="307">
        <f>'Hodnocení '!AD163</f>
        <v>-249124.42206219956</v>
      </c>
      <c r="AE167" s="307">
        <f>'Hodnocení '!AE163</f>
        <v>0</v>
      </c>
      <c r="AF167" s="307">
        <f>'Hodnocení '!AF163</f>
        <v>0</v>
      </c>
      <c r="AG167" s="307">
        <f>'Hodnocení '!AG163</f>
        <v>-207705.72605321137</v>
      </c>
      <c r="AH167" s="307">
        <f>'Hodnocení '!AH163</f>
        <v>47300</v>
      </c>
      <c r="AI167" s="307">
        <f>'Hodnocení '!AI163</f>
        <v>964180</v>
      </c>
      <c r="AJ167" s="307">
        <f>'Hodnocení '!AJ163</f>
        <v>203040</v>
      </c>
      <c r="AK167" s="307">
        <f>'Hodnocení '!AK163</f>
        <v>132468</v>
      </c>
      <c r="AL167" s="307">
        <f>'Hodnocení '!AL163</f>
        <v>0</v>
      </c>
      <c r="AM167" s="307">
        <f>'Hodnocení '!AM163</f>
        <v>0</v>
      </c>
      <c r="AN167" s="307">
        <f>'Hodnocení '!AN163</f>
        <v>-248638.69405605283</v>
      </c>
      <c r="AO167" s="307">
        <f>'Hodnocení '!AO163</f>
        <v>-1150721.896494789</v>
      </c>
      <c r="AP167" s="307">
        <f>'Hodnocení '!AP163</f>
        <v>56974.883770398796</v>
      </c>
      <c r="AQ167" s="307">
        <f>'Hodnocení '!AQ163</f>
        <v>-243890.59568873851</v>
      </c>
      <c r="AR167" s="307">
        <f>'Hodnocení '!AR163</f>
        <v>0</v>
      </c>
      <c r="AS167" s="307">
        <f>'Hodnocení '!AS163</f>
        <v>-86589.113756441569</v>
      </c>
      <c r="AT167" s="307">
        <f>'Hodnocení '!AT163</f>
        <v>-557971.23839106597</v>
      </c>
      <c r="AU167" s="307">
        <f>'Hodnocení '!AU163</f>
        <v>-100330.65614401316</v>
      </c>
      <c r="AV167" s="307">
        <f>'Hodnocení '!AV163</f>
        <v>0</v>
      </c>
      <c r="AW167" s="307">
        <f>'Hodnocení '!AW163</f>
        <v>16112.012350120116</v>
      </c>
      <c r="AX167" s="307">
        <f>'Hodnocení '!AX163</f>
        <v>-608319.50278577674</v>
      </c>
      <c r="AY167" s="307">
        <f>'Hodnocení '!AY163</f>
        <v>-345508.70270350017</v>
      </c>
      <c r="AZ167" s="307">
        <f>'Hodnocení '!AZ163</f>
        <v>453507</v>
      </c>
      <c r="BA167" s="307">
        <f>'Hodnocení '!BA163</f>
        <v>683000</v>
      </c>
      <c r="BB167" s="307">
        <f>'Hodnocení '!BB163</f>
        <v>-41650.329521507723</v>
      </c>
      <c r="BC167" s="307">
        <f>'Hodnocení '!BC163</f>
        <v>0</v>
      </c>
      <c r="BD167" s="307">
        <f>'Hodnocení '!BD163</f>
        <v>-199914.38326196466</v>
      </c>
      <c r="BE167" s="307">
        <f>'Hodnocení '!BE163</f>
        <v>-161601.54475307069</v>
      </c>
      <c r="BF167" s="307">
        <f>'Hodnocení '!BF163</f>
        <v>649371.39419043064</v>
      </c>
      <c r="BG167" s="307">
        <f>'Hodnocení '!BG163</f>
        <v>843000</v>
      </c>
      <c r="BH167" s="307">
        <f>'Hodnocení '!BH163</f>
        <v>182109.24156050989</v>
      </c>
      <c r="BI167" s="307">
        <f>'Hodnocení '!BI163</f>
        <v>1100000</v>
      </c>
      <c r="BJ167" s="307">
        <f>'Hodnocení '!BJ163</f>
        <v>-117222.18345255451</v>
      </c>
      <c r="BK167" s="307">
        <f>'Hodnocení '!BK163</f>
        <v>22000</v>
      </c>
      <c r="BL167" s="307">
        <f>'Hodnocení '!BL163</f>
        <v>0</v>
      </c>
      <c r="BM167" s="307">
        <f>'Hodnocení '!BM163</f>
        <v>568973.04</v>
      </c>
      <c r="BN167" s="307">
        <f>'Hodnocení '!BN163</f>
        <v>-21035.394914980512</v>
      </c>
      <c r="BO167" s="307">
        <f>'Hodnocení '!BO163</f>
        <v>-131525.27864215546</v>
      </c>
      <c r="BP167" s="307">
        <f>'Hodnocení '!BP163</f>
        <v>0</v>
      </c>
      <c r="BQ167" s="307">
        <f>'Hodnocení '!BQ163</f>
        <v>-40910.730088019649</v>
      </c>
      <c r="BR167" s="307">
        <f>'Hodnocení '!BR163</f>
        <v>-90276.760449492256</v>
      </c>
      <c r="BS167" s="307">
        <f>'Hodnocení '!BS163</f>
        <v>-193289.97956719738</v>
      </c>
      <c r="BT167" s="307">
        <f>'Hodnocení '!BT163</f>
        <v>0</v>
      </c>
      <c r="BU167" s="307">
        <f>'Hodnocení '!BU163</f>
        <v>-642700.77050449979</v>
      </c>
      <c r="BV167" s="307">
        <f>'Hodnocení '!BV163</f>
        <v>-104151.05247350829</v>
      </c>
      <c r="BW167" s="307">
        <f>'Hodnocení '!BW163</f>
        <v>-253400.15994741418</v>
      </c>
      <c r="BX167" s="307">
        <f>'Hodnocení '!BX163</f>
        <v>-1456416.0673548868</v>
      </c>
      <c r="BY167" s="307">
        <f>'Hodnocení '!BY163</f>
        <v>-184616.31126441457</v>
      </c>
      <c r="BZ167" s="307">
        <f>'Hodnocení '!BZ163</f>
        <v>-225130.01244640414</v>
      </c>
      <c r="CA167" s="307">
        <f>'Hodnocení '!CA163</f>
        <v>0</v>
      </c>
      <c r="CB167" s="307">
        <f>'Hodnocení '!CB163</f>
        <v>-372148.26152222138</v>
      </c>
      <c r="CC167" s="307">
        <f>'Hodnocení '!CC163</f>
        <v>-228041.75251266407</v>
      </c>
      <c r="CD167" s="307">
        <f>'Hodnocení '!CD163</f>
        <v>-51074.706077585928</v>
      </c>
      <c r="CE167" s="307">
        <f>'Hodnocení '!CE163</f>
        <v>0</v>
      </c>
      <c r="CF167" s="307">
        <f>'Hodnocení '!CF163</f>
        <v>0</v>
      </c>
      <c r="CG167" s="307">
        <f>'Hodnocení '!CG163</f>
        <v>-26000</v>
      </c>
      <c r="CH167" s="307">
        <f>'Hodnocení '!CH163</f>
        <v>-316149.07924963161</v>
      </c>
      <c r="CI167" s="307">
        <f>'Hodnocení '!CI163</f>
        <v>21633.155796868727</v>
      </c>
      <c r="CJ167" s="307">
        <f>'Hodnocení '!CJ163</f>
        <v>0</v>
      </c>
      <c r="CK167" s="307">
        <f>'Hodnocení '!CK163</f>
        <v>105780</v>
      </c>
      <c r="CL167" s="307">
        <f>'Hodnocení '!CL163</f>
        <v>56438.59728209069</v>
      </c>
      <c r="CM167" s="307">
        <f>'Hodnocení '!CM163</f>
        <v>0</v>
      </c>
      <c r="CN167" s="307">
        <f>'Hodnocení '!CN163</f>
        <v>-192152.05856648134</v>
      </c>
      <c r="CO167" s="307">
        <f>'Hodnocení '!CO163</f>
        <v>-149642.14584698994</v>
      </c>
      <c r="CP167" s="307">
        <f>'Hodnocení '!CP163</f>
        <v>-168949.86264729407</v>
      </c>
      <c r="CQ167" s="307">
        <f>'Hodnocení '!CQ163</f>
        <v>0</v>
      </c>
      <c r="CR167" s="307">
        <f>'Hodnocení '!CR163</f>
        <v>36723</v>
      </c>
      <c r="CS167" s="307">
        <f>'Hodnocení '!CS163</f>
        <v>187555.67419309285</v>
      </c>
      <c r="CT167" s="307">
        <f>'Hodnocení '!CT163</f>
        <v>-1706479.1670254553</v>
      </c>
      <c r="CU167" s="307">
        <f>'Hodnocení '!CU163</f>
        <v>99027.688735585427</v>
      </c>
      <c r="CV167" s="307">
        <f>'Hodnocení '!CV163</f>
        <v>-407288.58535736706</v>
      </c>
      <c r="CW167" s="307">
        <f>'Hodnocení '!CW163</f>
        <v>45664.106466892292</v>
      </c>
      <c r="CX167" s="307">
        <f>'Hodnocení '!CX163</f>
        <v>229532</v>
      </c>
      <c r="CY167" s="307">
        <f>'Hodnocení '!CY163</f>
        <v>0</v>
      </c>
      <c r="CZ167" s="307">
        <f>'Hodnocení '!CZ163</f>
        <v>75100</v>
      </c>
      <c r="DA167" s="307">
        <f>'Hodnocení '!DA163</f>
        <v>928781.72108589858</v>
      </c>
      <c r="DB167" s="307">
        <f>'Hodnocení '!DB163</f>
        <v>-106618.46260512329</v>
      </c>
      <c r="DC167" s="307">
        <f>'Hodnocení '!DC163</f>
        <v>-244927.68230873742</v>
      </c>
      <c r="DD167" s="307">
        <f>'Hodnocení '!DD163</f>
        <v>8653.8338337875903</v>
      </c>
      <c r="DE167" s="307">
        <f>'Hodnocení '!DE163</f>
        <v>0</v>
      </c>
      <c r="DF167" s="307">
        <f>'Hodnocení '!DF163</f>
        <v>2721236.8713862468</v>
      </c>
      <c r="DG167" s="307">
        <f>'Hodnocení '!DG163</f>
        <v>0</v>
      </c>
      <c r="DH167" s="307">
        <f>'Hodnocení '!DH163</f>
        <v>0</v>
      </c>
      <c r="DI167" s="307">
        <f>'Hodnocení '!DI163</f>
        <v>-32126.476262615761</v>
      </c>
      <c r="DJ167" s="307">
        <f>'Hodnocení '!DJ163</f>
        <v>65990.976314039901</v>
      </c>
      <c r="DK167" s="307">
        <f>'Hodnocení '!DK163</f>
        <v>-108661.81809192803</v>
      </c>
      <c r="DL167" s="307">
        <f>'Hodnocení '!DL163</f>
        <v>-1072302.966263033</v>
      </c>
      <c r="DM167" s="307">
        <f>'Hodnocení '!DM163</f>
        <v>7446.3576801482122</v>
      </c>
      <c r="DN167" s="307">
        <f>'Hodnocení '!DN163</f>
        <v>-214093.43754096981</v>
      </c>
      <c r="DO167" s="307">
        <f>'Hodnocení '!DO163</f>
        <v>0</v>
      </c>
      <c r="DP167" s="307">
        <f>'Hodnocení '!DP163</f>
        <v>-187075.75400271686</v>
      </c>
      <c r="DQ167" s="307">
        <f>'Hodnocení '!DQ163</f>
        <v>390150</v>
      </c>
      <c r="DR167" s="307">
        <f>'Hodnocení '!DR163</f>
        <v>562288.5</v>
      </c>
      <c r="DS167" s="307">
        <f>'Hodnocení '!DS163</f>
        <v>747552.23658600543</v>
      </c>
      <c r="DT167" s="307">
        <f>'Hodnocení '!DT163</f>
        <v>345500</v>
      </c>
      <c r="DU167" s="307">
        <f>'Hodnocení '!DU163</f>
        <v>-2379508.9633388799</v>
      </c>
      <c r="DV167" s="307">
        <f>'Hodnocení '!DV163</f>
        <v>2016667</v>
      </c>
      <c r="DW167" s="307">
        <f>'Hodnocení '!DW163</f>
        <v>-1463011.5734570101</v>
      </c>
      <c r="DX167" s="307">
        <f>'Hodnocení '!DX163</f>
        <v>-4919719.1541079516</v>
      </c>
      <c r="DY167" s="307">
        <f>'Hodnocení '!DY163</f>
        <v>0</v>
      </c>
      <c r="DZ167" s="307">
        <f>'Hodnocení '!DZ163</f>
        <v>0</v>
      </c>
      <c r="EA167" s="307">
        <f>'Hodnocení '!EA163</f>
        <v>-522527.23529455811</v>
      </c>
      <c r="EB167" s="307">
        <f>'Hodnocení '!EB163</f>
        <v>0</v>
      </c>
      <c r="EC167" s="307">
        <f>'Hodnocení '!EC163</f>
        <v>-316399.96774093434</v>
      </c>
      <c r="ED167" s="307">
        <f>'Hodnocení '!ED163</f>
        <v>-289722.16032859124</v>
      </c>
      <c r="EE167" s="307">
        <f>'Hodnocení '!EE163</f>
        <v>134189.53739487671</v>
      </c>
      <c r="EF167" s="307">
        <f>'Hodnocení '!EF163</f>
        <v>147466.88847269223</v>
      </c>
      <c r="EG167" s="307">
        <f>'Hodnocení '!EG163</f>
        <v>-6075.7399211212178</v>
      </c>
      <c r="EH167" s="307">
        <f>'Hodnocení '!EH163</f>
        <v>124811.80860682938</v>
      </c>
      <c r="EI167" s="307">
        <f>'Hodnocení '!EI163</f>
        <v>153000</v>
      </c>
      <c r="EJ167" s="307">
        <f>'Hodnocení '!EJ163</f>
        <v>-132656.80451386474</v>
      </c>
      <c r="EK167" s="307">
        <f>'Hodnocení '!EK163</f>
        <v>-857560.91243154928</v>
      </c>
      <c r="EL167" s="307">
        <f>'Hodnocení '!EL163</f>
        <v>-76904.394825894386</v>
      </c>
      <c r="EM167" s="307">
        <f>'Hodnocení '!EM163</f>
        <v>52000</v>
      </c>
      <c r="EN167" s="307">
        <f>'Hodnocení '!EN163</f>
        <v>-161191.61752498476</v>
      </c>
      <c r="EO167" s="307">
        <f>'Hodnocení '!EO163</f>
        <v>-44426.74250429438</v>
      </c>
      <c r="EP167" s="307">
        <f>'Hodnocení '!EP163</f>
        <v>12264.126105596777</v>
      </c>
      <c r="EQ167" s="307">
        <f>'Hodnocení '!EQ163</f>
        <v>-565277.01416179165</v>
      </c>
      <c r="ER167" s="307">
        <f>'Hodnocení '!ER163</f>
        <v>657000</v>
      </c>
      <c r="ES167" s="307">
        <f>'Hodnocení '!ES163</f>
        <v>-4508469.4473401569</v>
      </c>
      <c r="ET167" s="307">
        <f>'Hodnocení '!ET163</f>
        <v>108123.05116263102</v>
      </c>
      <c r="EU167" s="307">
        <f>'Hodnocení '!EU163</f>
        <v>799783.91443641949</v>
      </c>
      <c r="EV167" s="307">
        <f>'Hodnocení '!EV163</f>
        <v>34687.522953339794</v>
      </c>
      <c r="EW167" s="307">
        <f>'Hodnocení '!EW163</f>
        <v>208935.48503359733</v>
      </c>
      <c r="EX167" s="307">
        <f>'Hodnocení '!EX163</f>
        <v>825691.01465946529</v>
      </c>
      <c r="EY167" s="307">
        <f>'Hodnocení '!EY163</f>
        <v>151091.48689274304</v>
      </c>
      <c r="EZ167" s="307">
        <f>'Hodnocení '!EZ163</f>
        <v>-581261.85125019634</v>
      </c>
      <c r="FA167" s="307">
        <f>'Hodnocení '!FA163</f>
        <v>657298.42476802599</v>
      </c>
      <c r="FB167" s="307">
        <f>'Hodnocení '!FB163</f>
        <v>87849.957577613299</v>
      </c>
      <c r="FC167" s="307">
        <f>'Hodnocení '!FC163</f>
        <v>377411.44018632406</v>
      </c>
      <c r="FD167" s="307">
        <f>'Hodnocení '!FD163</f>
        <v>-947148.74898585514</v>
      </c>
      <c r="FE167" s="307">
        <f>'Hodnocení '!FE163</f>
        <v>37987.675499122706</v>
      </c>
      <c r="FF167" s="307">
        <f>'Hodnocení '!FF163</f>
        <v>119608.04000000004</v>
      </c>
      <c r="FG167" s="307">
        <f>'Hodnocení '!FG163</f>
        <v>2100222.0195525251</v>
      </c>
      <c r="FH167" s="307">
        <f>'Hodnocení '!FH163</f>
        <v>762496.95081202127</v>
      </c>
      <c r="FI167" s="307">
        <f>'Hodnocení '!FI163</f>
        <v>1127612.5349543486</v>
      </c>
      <c r="FJ167" s="307">
        <f>'Hodnocení '!FJ163</f>
        <v>194336.03024100582</v>
      </c>
      <c r="FK167" s="307">
        <f>'Hodnocení '!FK163</f>
        <v>212827.02398359231</v>
      </c>
      <c r="FL167" s="307">
        <f>'Hodnocení '!FL163</f>
        <v>414081.99633787945</v>
      </c>
      <c r="FM167" s="307">
        <f>'Hodnocení '!FM163</f>
        <v>2991575.5275520384</v>
      </c>
      <c r="FN167" s="307">
        <f>'Hodnocení '!FN163</f>
        <v>371910.93011392001</v>
      </c>
      <c r="FO167" s="307">
        <f>'Hodnocení '!FO163</f>
        <v>133873.86260000011</v>
      </c>
      <c r="FP167" s="307">
        <f>'Hodnocení '!FP163</f>
        <v>1332251.6911481638</v>
      </c>
      <c r="FQ167" s="307">
        <f>'Hodnocení '!FQ163</f>
        <v>102407.77619999996</v>
      </c>
      <c r="FR167" s="307">
        <f>'Hodnocení '!FR163</f>
        <v>236957.19834991742</v>
      </c>
      <c r="FS167" s="307">
        <f>'Hodnocení '!FS163</f>
        <v>30425.049999999988</v>
      </c>
      <c r="FT167" s="307">
        <f>'Hodnocení '!FT163</f>
        <v>375578.36222613323</v>
      </c>
      <c r="FU167" s="307">
        <f>'Hodnocení '!FU163</f>
        <v>47870.195557072759</v>
      </c>
      <c r="FV167" s="307">
        <f>'Hodnocení '!FV163</f>
        <v>87080.150638157735</v>
      </c>
      <c r="FW167" s="307">
        <f>'Hodnocení '!FW163</f>
        <v>545498.96957422956</v>
      </c>
      <c r="FX167" s="307">
        <f>'Hodnocení '!FX163</f>
        <v>201262.31663793256</v>
      </c>
      <c r="FY167" s="307">
        <f>'Hodnocení '!FY163</f>
        <v>136810</v>
      </c>
      <c r="FZ167" s="307">
        <f>'Hodnocení '!FZ163</f>
        <v>366400.96379110124</v>
      </c>
      <c r="GA167" s="307">
        <f>'Hodnocení '!GA163</f>
        <v>46334.361863738974</v>
      </c>
      <c r="GB167" s="307">
        <f>'Hodnocení '!GB163</f>
        <v>671054.36641059583</v>
      </c>
      <c r="GC167" s="307">
        <f>'Hodnocení '!GC163</f>
        <v>394216.00232536579</v>
      </c>
      <c r="GD167" s="307">
        <f>'Hodnocení '!GD163</f>
        <v>1977708.6426020283</v>
      </c>
      <c r="GE167" s="307">
        <f>'Hodnocení '!GE163</f>
        <v>263290.93400108395</v>
      </c>
      <c r="GF167" s="307">
        <f>'Hodnocení '!GF163</f>
        <v>247024.32830681605</v>
      </c>
      <c r="GG167" s="307">
        <f>'Hodnocení '!GG163</f>
        <v>78253.899338984862</v>
      </c>
      <c r="GH167" s="307">
        <f>'Hodnocení '!GH163</f>
        <v>166024.43127722852</v>
      </c>
      <c r="GI167" s="307">
        <f>'Hodnocení '!GI163</f>
        <v>1118844.9121841518</v>
      </c>
      <c r="GJ167" s="307">
        <f>'Hodnocení '!GJ163</f>
        <v>405709.66070933826</v>
      </c>
      <c r="GK167" s="307">
        <f>'Hodnocení '!GK163</f>
        <v>945953</v>
      </c>
      <c r="GL167" s="307">
        <f>'Hodnocení '!GL163</f>
        <v>125891.97174390173</v>
      </c>
      <c r="GM167" s="307">
        <f>'Hodnocení '!GM163</f>
        <v>165096.47724447167</v>
      </c>
      <c r="GN167" s="307">
        <f>'Hodnocení '!GN163</f>
        <v>161833.27988784632</v>
      </c>
      <c r="GO167" s="307">
        <f>'Hodnocení '!GO163</f>
        <v>746845.51386203896</v>
      </c>
      <c r="GP167" s="307">
        <f>'Hodnocení '!GP163</f>
        <v>61861.43808330514</v>
      </c>
      <c r="GQ167" s="307">
        <f>'Hodnocení '!GQ163</f>
        <v>390203.21128313889</v>
      </c>
      <c r="GR167" s="307">
        <f>'Hodnocení '!GR163</f>
        <v>117124.60565148341</v>
      </c>
      <c r="GS167" s="307">
        <f>'Hodnocení '!GS163</f>
        <v>113648.04672073387</v>
      </c>
      <c r="GT167" s="307">
        <f>'Hodnocení '!GT163</f>
        <v>690195.62314870954</v>
      </c>
      <c r="GU167" s="307">
        <f>'Hodnocení '!GU163</f>
        <v>317000</v>
      </c>
      <c r="GV167" s="307">
        <f>'Hodnocení '!GV163</f>
        <v>826176.6456662463</v>
      </c>
      <c r="GW167" s="307">
        <f>'Hodnocení '!GW163</f>
        <v>106438.73869443859</v>
      </c>
      <c r="GX167" s="307">
        <f>'Hodnocení '!GX163</f>
        <v>192955.48977144714</v>
      </c>
      <c r="GY167" s="307">
        <f>'Hodnocení '!GY163</f>
        <v>2334274.3211080935</v>
      </c>
      <c r="GZ167" s="307">
        <f>'Hodnocení '!GZ163</f>
        <v>-411617.77940669819</v>
      </c>
      <c r="HA167" s="307">
        <f>'Hodnocení '!HA163</f>
        <v>587297.73360992316</v>
      </c>
      <c r="HB167" s="307">
        <f>'Hodnocení '!HB163</f>
        <v>479679.24142403062</v>
      </c>
      <c r="HC167" s="307">
        <f>'Hodnocení '!HC163</f>
        <v>1058342.5418569082</v>
      </c>
      <c r="HD167" s="307">
        <f>'Hodnocení '!HD163</f>
        <v>186440.4166396684</v>
      </c>
      <c r="HE167" s="307">
        <f>'Hodnocení '!HE163</f>
        <v>1845155</v>
      </c>
      <c r="HF167" s="307">
        <f>'Hodnocení '!HF163</f>
        <v>341731.06523926754</v>
      </c>
      <c r="HG167" s="307">
        <f>'Hodnocení '!HG163</f>
        <v>179473.22239477735</v>
      </c>
      <c r="HH167" s="307">
        <f>'Hodnocení '!HH163</f>
        <v>163945.34824573924</v>
      </c>
      <c r="HI167" s="307">
        <f>'Hodnocení '!HI163</f>
        <v>1121743.1918718247</v>
      </c>
      <c r="HJ167" s="307">
        <f>'Hodnocení '!HJ163</f>
        <v>-1389108.8310215683</v>
      </c>
      <c r="HK167" s="307">
        <f>'Hodnocení '!HK163</f>
        <v>209300</v>
      </c>
      <c r="HL167" s="307">
        <f>'Hodnocení '!HL163</f>
        <v>5430207.1305066012</v>
      </c>
      <c r="HM167" s="307">
        <f>'Hodnocení '!HM163</f>
        <v>-686489.11942867562</v>
      </c>
      <c r="HN167" s="307">
        <f>'Hodnocení '!HN163</f>
        <v>-219254.51996931387</v>
      </c>
      <c r="HO167" s="307">
        <f>'Hodnocení '!HO163</f>
        <v>-2847160.6666890793</v>
      </c>
      <c r="HP167" s="307">
        <f>'Hodnocení '!HP163</f>
        <v>5245782</v>
      </c>
      <c r="HQ167" s="307">
        <f>'Hodnocení '!HQ163</f>
        <v>54516.560144142364</v>
      </c>
      <c r="HR167" s="307">
        <f>'Hodnocení '!HR163</f>
        <v>2281115.2643183768</v>
      </c>
      <c r="HS167" s="307">
        <f>'Hodnocení '!HS163</f>
        <v>739187.29976600595</v>
      </c>
      <c r="HT167" s="307">
        <f>'Hodnocení '!HT163</f>
        <v>-4004215.4095292147</v>
      </c>
      <c r="HU167" s="307">
        <f>'Hodnocení '!HU163</f>
        <v>5927225.0052082576</v>
      </c>
      <c r="HV167" s="307">
        <f>'Hodnocení '!HV163</f>
        <v>3318873</v>
      </c>
      <c r="HW167" s="307">
        <f>'Hodnocení '!HW163</f>
        <v>581378.03400192037</v>
      </c>
      <c r="HX167" s="307">
        <f>'Hodnocení '!HX163</f>
        <v>4923193.3073789757</v>
      </c>
      <c r="HY167" s="307">
        <f>'Hodnocení '!HY163</f>
        <v>-723479.82655531354</v>
      </c>
      <c r="HZ167" s="307">
        <f>'Hodnocení '!HZ163</f>
        <v>1354063.9776938297</v>
      </c>
      <c r="IA167" s="307">
        <f>'Hodnocení '!IA163</f>
        <v>872393</v>
      </c>
      <c r="IB167" s="307">
        <f>'Hodnocení '!IB163</f>
        <v>787932.90049642976</v>
      </c>
      <c r="IC167" s="307">
        <f>'Hodnocení '!IC163</f>
        <v>3255785.1772533692</v>
      </c>
      <c r="ID167" s="307">
        <f>'Hodnocení '!ID163</f>
        <v>2560208.8227466317</v>
      </c>
      <c r="IE167" s="307">
        <f>'Hodnocení '!IE163</f>
        <v>3305167.5176655725</v>
      </c>
      <c r="IF167" s="307">
        <f>'Hodnocení '!IF163</f>
        <v>-3311353.6107498184</v>
      </c>
      <c r="IG167" s="307">
        <f>'Hodnocení '!IG163</f>
        <v>-155860.72848056862</v>
      </c>
      <c r="IH167" s="307">
        <f>'Hodnocení '!IH163</f>
        <v>1000618.8383171563</v>
      </c>
      <c r="II167" s="307">
        <f>'Hodnocení '!II163</f>
        <v>-1457881.9194320198</v>
      </c>
      <c r="IJ167" s="307">
        <f>'Hodnocení '!IJ163</f>
        <v>408618.4058947817</v>
      </c>
      <c r="IK167" s="307">
        <f>'Hodnocení '!IK163</f>
        <v>-419348.74564183829</v>
      </c>
      <c r="IL167" s="307">
        <f>'Hodnocení '!IL163</f>
        <v>161224.70009879395</v>
      </c>
      <c r="IM167" s="307">
        <f>'Hodnocení '!IM163</f>
        <v>-125148.48437385185</v>
      </c>
      <c r="IN167" s="307">
        <f>'Hodnocení '!IN163</f>
        <v>770037.60039330646</v>
      </c>
      <c r="IO167" s="307">
        <f>'Hodnocení '!IO163</f>
        <v>762787.91070599342</v>
      </c>
      <c r="IP167" s="307">
        <f>'Hodnocení '!IP163</f>
        <v>-18339.822419440374</v>
      </c>
      <c r="IQ167" s="307">
        <f>'Hodnocení '!IQ163</f>
        <v>-77005.383273798972</v>
      </c>
      <c r="IR167" s="307">
        <f>'Hodnocení '!IR163</f>
        <v>63236.275203590165</v>
      </c>
      <c r="IS167" s="307">
        <f>'Hodnocení '!IS163</f>
        <v>1142825.4900310114</v>
      </c>
      <c r="IT167" s="307">
        <f>'Hodnocení '!IT163</f>
        <v>1837240.5099689951</v>
      </c>
      <c r="IU167" s="307">
        <f>'Hodnocení '!IU163</f>
        <v>484806.74440448172</v>
      </c>
      <c r="IV167" s="307">
        <f>'Hodnocení '!IV163</f>
        <v>343870.85759682395</v>
      </c>
      <c r="IW167" s="307">
        <f>'Hodnocení '!IW163</f>
        <v>-1516298.2291946765</v>
      </c>
      <c r="IX167" s="307">
        <f>'Hodnocení '!IX163</f>
        <v>335562.86310432386</v>
      </c>
      <c r="IY167" s="307">
        <f>'Hodnocení '!IY163</f>
        <v>5772316.0616728812</v>
      </c>
      <c r="IZ167" s="307">
        <f>'Hodnocení '!IZ163</f>
        <v>4402652.4439123161</v>
      </c>
      <c r="JA167" s="307">
        <f>'Hodnocení '!JA163</f>
        <v>-32641.660270661581</v>
      </c>
      <c r="JB167" s="307">
        <f>'Hodnocení '!JB163</f>
        <v>746788.96015719743</v>
      </c>
      <c r="JC167" s="307">
        <f>'Hodnocení '!JC163</f>
        <v>-179262.63064753311</v>
      </c>
      <c r="JD167" s="307">
        <f>'Hodnocení '!JD163</f>
        <v>2734651.4754739245</v>
      </c>
      <c r="JE167" s="307">
        <f>'Hodnocení '!JE163</f>
        <v>-309105.14505924704</v>
      </c>
      <c r="JF167" s="307">
        <f>'Hodnocení '!JF163</f>
        <v>7094200.1450592503</v>
      </c>
      <c r="JG167" s="307">
        <f>'Hodnocení '!JG163</f>
        <v>546932.16495117173</v>
      </c>
      <c r="JH167" s="307">
        <f>'Hodnocení '!JH163</f>
        <v>563620.5197921393</v>
      </c>
      <c r="JI167" s="314">
        <f>'Hodnocení '!JI163</f>
        <v>69642072.406764299</v>
      </c>
      <c r="JL167" s="307">
        <f>JL13-JL162</f>
        <v>2615208.7624404505</v>
      </c>
      <c r="JM167" s="307">
        <f>JM13-JM162</f>
        <v>78371143.970724463</v>
      </c>
      <c r="JN167" s="307">
        <f>JN13-JN162</f>
        <v>192332351.52648485</v>
      </c>
      <c r="JO167" s="307">
        <f>JO13-JO162</f>
        <v>30994310.690956712</v>
      </c>
      <c r="JP167" s="307">
        <f>JP13-JP162</f>
        <v>304313014.95060635</v>
      </c>
    </row>
    <row r="168" spans="2:276" hidden="1" x14ac:dyDescent="0.25">
      <c r="B168" s="313" t="s">
        <v>2633</v>
      </c>
      <c r="C168" s="314">
        <f>'Hodnocení '!C164</f>
        <v>361626.59525466111</v>
      </c>
      <c r="D168" s="314">
        <f>'Hodnocení '!D164</f>
        <v>289653.95775090024</v>
      </c>
      <c r="E168" s="314">
        <f>'Hodnocení '!E164</f>
        <v>408010.43803386827</v>
      </c>
      <c r="F168" s="314">
        <f>'Hodnocení '!F164</f>
        <v>0</v>
      </c>
      <c r="G168" s="314">
        <f>'Hodnocení '!G164</f>
        <v>0</v>
      </c>
      <c r="H168" s="314">
        <f>'Hodnocení '!H164</f>
        <v>0</v>
      </c>
      <c r="I168" s="314">
        <f>'Hodnocení '!I164</f>
        <v>0</v>
      </c>
      <c r="J168" s="314">
        <f>'Hodnocení '!J164</f>
        <v>0</v>
      </c>
      <c r="K168" s="314">
        <f>'Hodnocení '!K164</f>
        <v>0</v>
      </c>
      <c r="L168" s="314">
        <f>'Hodnocení '!L164</f>
        <v>0</v>
      </c>
      <c r="M168" s="314">
        <f>'Hodnocení '!M164</f>
        <v>0</v>
      </c>
      <c r="N168" s="314">
        <f>'Hodnocení '!N164</f>
        <v>0</v>
      </c>
      <c r="O168" s="314">
        <f>'Hodnocení '!O164</f>
        <v>0</v>
      </c>
      <c r="P168" s="314">
        <f>'Hodnocení '!P164</f>
        <v>0</v>
      </c>
      <c r="Q168" s="314">
        <f>'Hodnocení '!Q164</f>
        <v>0</v>
      </c>
      <c r="R168" s="314">
        <f>'Hodnocení '!R164</f>
        <v>0</v>
      </c>
      <c r="S168" s="314">
        <f>'Hodnocení '!S164</f>
        <v>0</v>
      </c>
      <c r="T168" s="314">
        <f>'Hodnocení '!T164</f>
        <v>0</v>
      </c>
      <c r="U168" s="314">
        <f>'Hodnocení '!U164</f>
        <v>0</v>
      </c>
      <c r="V168" s="314">
        <f>'Hodnocení '!V164</f>
        <v>0</v>
      </c>
      <c r="W168" s="314">
        <f>'Hodnocení '!W164</f>
        <v>0</v>
      </c>
      <c r="X168" s="314">
        <f>'Hodnocení '!X164</f>
        <v>0</v>
      </c>
      <c r="Y168" s="314">
        <f>'Hodnocení '!Y164</f>
        <v>0</v>
      </c>
      <c r="Z168" s="314">
        <f>'Hodnocení '!Z164</f>
        <v>199290.80962196799</v>
      </c>
      <c r="AA168" s="314">
        <f>'Hodnocení '!AA164</f>
        <v>0</v>
      </c>
      <c r="AB168" s="314">
        <f>'Hodnocení '!AB164</f>
        <v>0</v>
      </c>
      <c r="AC168" s="314">
        <f>'Hodnocení '!AC164</f>
        <v>0</v>
      </c>
      <c r="AD168" s="314">
        <f>'Hodnocení '!AD164</f>
        <v>0</v>
      </c>
      <c r="AE168" s="314">
        <f>'Hodnocení '!AE164</f>
        <v>0</v>
      </c>
      <c r="AF168" s="314">
        <f>'Hodnocení '!AF164</f>
        <v>0</v>
      </c>
      <c r="AG168" s="314">
        <f>'Hodnocení '!AG164</f>
        <v>0</v>
      </c>
      <c r="AH168" s="314">
        <f>'Hodnocení '!AH164</f>
        <v>0</v>
      </c>
      <c r="AI168" s="314">
        <f>'Hodnocení '!AI164</f>
        <v>175854.6169065937</v>
      </c>
      <c r="AJ168" s="314">
        <f>'Hodnocení '!AJ164</f>
        <v>104609.69062323478</v>
      </c>
      <c r="AK168" s="314">
        <f>'Hodnocení '!AK164</f>
        <v>0</v>
      </c>
      <c r="AL168" s="314">
        <f>'Hodnocení '!AL164</f>
        <v>0</v>
      </c>
      <c r="AM168" s="314">
        <f>'Hodnocení '!AM164</f>
        <v>0</v>
      </c>
      <c r="AN168" s="314">
        <f>'Hodnocení '!AN164</f>
        <v>0</v>
      </c>
      <c r="AO168" s="314">
        <f>'Hodnocení '!AO164</f>
        <v>0</v>
      </c>
      <c r="AP168" s="314">
        <f>'Hodnocení '!AP164</f>
        <v>0</v>
      </c>
      <c r="AQ168" s="314">
        <f>'Hodnocení '!AQ164</f>
        <v>0</v>
      </c>
      <c r="AR168" s="314">
        <f>'Hodnocení '!AR164</f>
        <v>0</v>
      </c>
      <c r="AS168" s="314">
        <f>'Hodnocení '!AS164</f>
        <v>0</v>
      </c>
      <c r="AT168" s="314">
        <f>'Hodnocení '!AT164</f>
        <v>0</v>
      </c>
      <c r="AU168" s="314">
        <f>'Hodnocení '!AU164</f>
        <v>0</v>
      </c>
      <c r="AV168" s="314">
        <f>'Hodnocení '!AV164</f>
        <v>0</v>
      </c>
      <c r="AW168" s="314">
        <f>'Hodnocení '!AW164</f>
        <v>0</v>
      </c>
      <c r="AX168" s="314">
        <f>'Hodnocení '!AX164</f>
        <v>0</v>
      </c>
      <c r="AY168" s="314">
        <f>'Hodnocení '!AY164</f>
        <v>0</v>
      </c>
      <c r="AZ168" s="314">
        <f>'Hodnocení '!AZ164</f>
        <v>74878.331669322652</v>
      </c>
      <c r="BA168" s="314">
        <f>'Hodnocení '!BA164</f>
        <v>0</v>
      </c>
      <c r="BB168" s="314">
        <f>'Hodnocení '!BB164</f>
        <v>0</v>
      </c>
      <c r="BC168" s="314">
        <f>'Hodnocení '!BC164</f>
        <v>0</v>
      </c>
      <c r="BD168" s="314">
        <f>'Hodnocení '!BD164</f>
        <v>0</v>
      </c>
      <c r="BE168" s="314">
        <f>'Hodnocení '!BE164</f>
        <v>0</v>
      </c>
      <c r="BF168" s="314">
        <f>'Hodnocení '!BF164</f>
        <v>0</v>
      </c>
      <c r="BG168" s="314">
        <f>'Hodnocení '!BG164</f>
        <v>0</v>
      </c>
      <c r="BH168" s="314">
        <f>'Hodnocení '!BH164</f>
        <v>0</v>
      </c>
      <c r="BI168" s="314">
        <f>'Hodnocení '!BI164</f>
        <v>67913.110693742972</v>
      </c>
      <c r="BJ168" s="314">
        <f>'Hodnocení '!BJ164</f>
        <v>0</v>
      </c>
      <c r="BK168" s="314">
        <f>'Hodnocení '!BK164</f>
        <v>0</v>
      </c>
      <c r="BL168" s="314">
        <f>'Hodnocení '!BL164</f>
        <v>0</v>
      </c>
      <c r="BM168" s="314">
        <f>'Hodnocení '!BM164</f>
        <v>0</v>
      </c>
      <c r="BN168" s="314">
        <f>'Hodnocení '!BN164</f>
        <v>0</v>
      </c>
      <c r="BO168" s="314">
        <f>'Hodnocení '!BO164</f>
        <v>0</v>
      </c>
      <c r="BP168" s="314">
        <f>'Hodnocení '!BP164</f>
        <v>0</v>
      </c>
      <c r="BQ168" s="314">
        <f>'Hodnocení '!BQ164</f>
        <v>0</v>
      </c>
      <c r="BR168" s="314">
        <f>'Hodnocení '!BR164</f>
        <v>0</v>
      </c>
      <c r="BS168" s="314">
        <f>'Hodnocení '!BS164</f>
        <v>0</v>
      </c>
      <c r="BT168" s="314">
        <f>'Hodnocení '!BT164</f>
        <v>0</v>
      </c>
      <c r="BU168" s="314">
        <f>'Hodnocení '!BU164</f>
        <v>0</v>
      </c>
      <c r="BV168" s="314">
        <f>'Hodnocení '!BV164</f>
        <v>0</v>
      </c>
      <c r="BW168" s="314">
        <f>'Hodnocení '!BW164</f>
        <v>0</v>
      </c>
      <c r="BX168" s="314">
        <f>'Hodnocení '!BX164</f>
        <v>0</v>
      </c>
      <c r="BY168" s="314">
        <f>'Hodnocení '!BY164</f>
        <v>0</v>
      </c>
      <c r="BZ168" s="314">
        <f>'Hodnocení '!BZ164</f>
        <v>0</v>
      </c>
      <c r="CA168" s="314">
        <f>'Hodnocení '!CA164</f>
        <v>0</v>
      </c>
      <c r="CB168" s="314">
        <f>'Hodnocení '!CB164</f>
        <v>0</v>
      </c>
      <c r="CC168" s="314">
        <f>'Hodnocení '!CC164</f>
        <v>0</v>
      </c>
      <c r="CD168" s="314">
        <f>'Hodnocení '!CD164</f>
        <v>0</v>
      </c>
      <c r="CE168" s="314">
        <f>'Hodnocení '!CE164</f>
        <v>0</v>
      </c>
      <c r="CF168" s="314">
        <f>'Hodnocení '!CF164</f>
        <v>0</v>
      </c>
      <c r="CG168" s="314">
        <f>'Hodnocení '!CG164</f>
        <v>0</v>
      </c>
      <c r="CH168" s="314">
        <f>'Hodnocení '!CH164</f>
        <v>0</v>
      </c>
      <c r="CI168" s="314">
        <f>'Hodnocení '!CI164</f>
        <v>0</v>
      </c>
      <c r="CJ168" s="314">
        <f>'Hodnocení '!CJ164</f>
        <v>0</v>
      </c>
      <c r="CK168" s="314">
        <f>'Hodnocení '!CK164</f>
        <v>0</v>
      </c>
      <c r="CL168" s="314">
        <f>'Hodnocení '!CL164</f>
        <v>0</v>
      </c>
      <c r="CM168" s="314">
        <f>'Hodnocení '!CM164</f>
        <v>0</v>
      </c>
      <c r="CN168" s="314">
        <f>'Hodnocení '!CN164</f>
        <v>0</v>
      </c>
      <c r="CO168" s="314">
        <f>'Hodnocení '!CO164</f>
        <v>0</v>
      </c>
      <c r="CP168" s="314">
        <f>'Hodnocení '!CP164</f>
        <v>0</v>
      </c>
      <c r="CQ168" s="314">
        <f>'Hodnocení '!CQ164</f>
        <v>0</v>
      </c>
      <c r="CR168" s="314">
        <f>'Hodnocení '!CR164</f>
        <v>0</v>
      </c>
      <c r="CS168" s="314">
        <f>'Hodnocení '!CS164</f>
        <v>0</v>
      </c>
      <c r="CT168" s="314">
        <f>'Hodnocení '!CT164</f>
        <v>0</v>
      </c>
      <c r="CU168" s="314">
        <f>'Hodnocení '!CU164</f>
        <v>0</v>
      </c>
      <c r="CV168" s="314">
        <f>'Hodnocení '!CV164</f>
        <v>184573.92926874422</v>
      </c>
      <c r="CW168" s="314">
        <f>'Hodnocení '!CW164</f>
        <v>0</v>
      </c>
      <c r="CX168" s="314">
        <f>'Hodnocení '!CX164</f>
        <v>0</v>
      </c>
      <c r="CY168" s="314">
        <f>'Hodnocení '!CY164</f>
        <v>0</v>
      </c>
      <c r="CZ168" s="314">
        <f>'Hodnocení '!CZ164</f>
        <v>0</v>
      </c>
      <c r="DA168" s="314">
        <f>'Hodnocení '!DA164</f>
        <v>187634.70914962181</v>
      </c>
      <c r="DB168" s="314">
        <f>'Hodnocení '!DB164</f>
        <v>0</v>
      </c>
      <c r="DC168" s="314">
        <f>'Hodnocení '!DC164</f>
        <v>0</v>
      </c>
      <c r="DD168" s="314">
        <f>'Hodnocení '!DD164</f>
        <v>0</v>
      </c>
      <c r="DE168" s="314">
        <f>'Hodnocení '!DE164</f>
        <v>0</v>
      </c>
      <c r="DF168" s="314">
        <f>'Hodnocení '!DF164</f>
        <v>0</v>
      </c>
      <c r="DG168" s="314">
        <f>'Hodnocení '!DG164</f>
        <v>0</v>
      </c>
      <c r="DH168" s="314">
        <f>'Hodnocení '!DH164</f>
        <v>0</v>
      </c>
      <c r="DI168" s="314">
        <f>'Hodnocení '!DI164</f>
        <v>0</v>
      </c>
      <c r="DJ168" s="314">
        <f>'Hodnocení '!DJ164</f>
        <v>0</v>
      </c>
      <c r="DK168" s="314">
        <f>'Hodnocení '!DK164</f>
        <v>0</v>
      </c>
      <c r="DL168" s="314">
        <f>'Hodnocení '!DL164</f>
        <v>0</v>
      </c>
      <c r="DM168" s="314">
        <f>'Hodnocení '!DM164</f>
        <v>0</v>
      </c>
      <c r="DN168" s="314">
        <f>'Hodnocení '!DN164</f>
        <v>0</v>
      </c>
      <c r="DO168" s="314">
        <f>'Hodnocení '!DO164</f>
        <v>0</v>
      </c>
      <c r="DP168" s="314">
        <f>'Hodnocení '!DP164</f>
        <v>0</v>
      </c>
      <c r="DQ168" s="314">
        <f>'Hodnocení '!DQ164</f>
        <v>0</v>
      </c>
      <c r="DR168" s="314">
        <f>'Hodnocení '!DR164</f>
        <v>0</v>
      </c>
      <c r="DS168" s="314">
        <f>'Hodnocení '!DS164</f>
        <v>0</v>
      </c>
      <c r="DT168" s="314">
        <f>'Hodnocení '!DT164</f>
        <v>0</v>
      </c>
      <c r="DU168" s="314">
        <f>'Hodnocení '!DU164</f>
        <v>0</v>
      </c>
      <c r="DV168" s="314">
        <f>'Hodnocení '!DV164</f>
        <v>0</v>
      </c>
      <c r="DW168" s="314">
        <f>'Hodnocení '!DW164</f>
        <v>0</v>
      </c>
      <c r="DX168" s="314">
        <f>'Hodnocení '!DX164</f>
        <v>0</v>
      </c>
      <c r="DY168" s="314">
        <f>'Hodnocení '!DY164</f>
        <v>0</v>
      </c>
      <c r="DZ168" s="314">
        <f>'Hodnocení '!DZ164</f>
        <v>0</v>
      </c>
      <c r="EA168" s="314">
        <f>'Hodnocení '!EA164</f>
        <v>0</v>
      </c>
      <c r="EB168" s="314">
        <f>'Hodnocení '!EB164</f>
        <v>0</v>
      </c>
      <c r="EC168" s="314">
        <f>'Hodnocení '!EC164</f>
        <v>0</v>
      </c>
      <c r="ED168" s="314">
        <f>'Hodnocení '!ED164</f>
        <v>0</v>
      </c>
      <c r="EE168" s="314">
        <f>'Hodnocení '!EE164</f>
        <v>0</v>
      </c>
      <c r="EF168" s="314">
        <f>'Hodnocení '!EF164</f>
        <v>0</v>
      </c>
      <c r="EG168" s="314">
        <f>'Hodnocení '!EG164</f>
        <v>0</v>
      </c>
      <c r="EH168" s="314">
        <f>'Hodnocení '!EH164</f>
        <v>0</v>
      </c>
      <c r="EI168" s="314">
        <f>'Hodnocení '!EI164</f>
        <v>0</v>
      </c>
      <c r="EJ168" s="314">
        <f>'Hodnocení '!EJ164</f>
        <v>0</v>
      </c>
      <c r="EK168" s="314">
        <f>'Hodnocení '!EK164</f>
        <v>0</v>
      </c>
      <c r="EL168" s="314">
        <f>'Hodnocení '!EL164</f>
        <v>0</v>
      </c>
      <c r="EM168" s="314">
        <f>'Hodnocení '!EM164</f>
        <v>0</v>
      </c>
      <c r="EN168" s="314">
        <f>'Hodnocení '!EN164</f>
        <v>0</v>
      </c>
      <c r="EO168" s="314">
        <f>'Hodnocení '!EO164</f>
        <v>0</v>
      </c>
      <c r="EP168" s="314">
        <f>'Hodnocení '!EP164</f>
        <v>0</v>
      </c>
      <c r="EQ168" s="314">
        <f>'Hodnocení '!EQ164</f>
        <v>0</v>
      </c>
      <c r="ER168" s="314">
        <f>'Hodnocení '!ER164</f>
        <v>0</v>
      </c>
      <c r="ES168" s="314">
        <f>'Hodnocení '!ES164</f>
        <v>0</v>
      </c>
      <c r="ET168" s="314">
        <f>'Hodnocení '!ET164</f>
        <v>47141.92448929487</v>
      </c>
      <c r="EU168" s="314">
        <f>'Hodnocení '!EU164</f>
        <v>186102.81752072705</v>
      </c>
      <c r="EV168" s="314">
        <f>'Hodnocení '!EV164</f>
        <v>34687.52295333978</v>
      </c>
      <c r="EW168" s="314">
        <f>'Hodnocení '!EW164</f>
        <v>208935.48503359754</v>
      </c>
      <c r="EX168" s="314">
        <f>'Hodnocení '!EX164</f>
        <v>825691.01465946529</v>
      </c>
      <c r="EY168" s="314">
        <f>'Hodnocení '!EY164</f>
        <v>151091.48689274295</v>
      </c>
      <c r="EZ168" s="314">
        <f>'Hodnocení '!EZ164</f>
        <v>1030227.3544207796</v>
      </c>
      <c r="FA168" s="314">
        <f>'Hodnocení '!FA164</f>
        <v>123454.22513666681</v>
      </c>
      <c r="FB168" s="314">
        <f>'Hodnocení '!FB164</f>
        <v>238736.8093083376</v>
      </c>
      <c r="FC168" s="314">
        <f>'Hodnocení '!FC164</f>
        <v>377411.44018632395</v>
      </c>
      <c r="FD168" s="314">
        <f>'Hodnocení '!FD164</f>
        <v>77711.412095124018</v>
      </c>
      <c r="FE168" s="314">
        <f>'Hodnocení '!FE164</f>
        <v>37987.675499122735</v>
      </c>
      <c r="FF168" s="314">
        <f>'Hodnocení '!FF164</f>
        <v>119608.04</v>
      </c>
      <c r="FG168" s="314">
        <f>'Hodnocení '!FG164</f>
        <v>873879.26095744933</v>
      </c>
      <c r="FH168" s="314">
        <f>'Hodnocení '!FH164</f>
        <v>762496.95081202174</v>
      </c>
      <c r="FI168" s="314">
        <f>'Hodnocení '!FI164</f>
        <v>1400604.1785218783</v>
      </c>
      <c r="FJ168" s="314">
        <f>'Hodnocení '!FJ164</f>
        <v>609307.45065304963</v>
      </c>
      <c r="FK168" s="314">
        <f>'Hodnocení '!FK164</f>
        <v>1096410.4698238093</v>
      </c>
      <c r="FL168" s="314">
        <f>'Hodnocení '!FL164</f>
        <v>1107629.050051589</v>
      </c>
      <c r="FM168" s="314">
        <f>'Hodnocení '!FM164</f>
        <v>2991575.5275520384</v>
      </c>
      <c r="FN168" s="314">
        <f>'Hodnocení '!FN164</f>
        <v>371910.93011391972</v>
      </c>
      <c r="FO168" s="314">
        <f>'Hodnocení '!FO164</f>
        <v>133873.86259999999</v>
      </c>
      <c r="FP168" s="314">
        <f>'Hodnocení '!FP164</f>
        <v>1332251.6911481633</v>
      </c>
      <c r="FQ168" s="314">
        <f>'Hodnocení '!FQ164</f>
        <v>102407.77619999999</v>
      </c>
      <c r="FR168" s="314">
        <f>'Hodnocení '!FR164</f>
        <v>179664.3936247786</v>
      </c>
      <c r="FS168" s="314">
        <f>'Hodnocení '!FS164</f>
        <v>30425.05</v>
      </c>
      <c r="FT168" s="314">
        <f>'Hodnocení '!FT164</f>
        <v>505627.83722744149</v>
      </c>
      <c r="FU168" s="314">
        <f>'Hodnocení '!FU164</f>
        <v>264950.35888847063</v>
      </c>
      <c r="FV168" s="314">
        <f>'Hodnocení '!FV164</f>
        <v>87080.150638157691</v>
      </c>
      <c r="FW168" s="314">
        <f>'Hodnocení '!FW164</f>
        <v>992717.78914845909</v>
      </c>
      <c r="FX168" s="314">
        <f>'Hodnocení '!FX164</f>
        <v>511507.74991379777</v>
      </c>
      <c r="FY168" s="314">
        <f>'Hodnocení '!FY164</f>
        <v>292044.8576041882</v>
      </c>
      <c r="FZ168" s="314">
        <f>'Hodnocení '!FZ164</f>
        <v>366400.96379110147</v>
      </c>
      <c r="GA168" s="314">
        <f>'Hodnocení '!GA164</f>
        <v>46334.361863738959</v>
      </c>
      <c r="GB168" s="314">
        <f>'Hodnocení '!GB164</f>
        <v>671054.36641059571</v>
      </c>
      <c r="GC168" s="314">
        <f>'Hodnocení '!GC164</f>
        <v>1196601.6370184936</v>
      </c>
      <c r="GD168" s="314">
        <f>'Hodnocení '!GD164</f>
        <v>2185484.2282877271</v>
      </c>
      <c r="GE168" s="314">
        <f>'Hodnocení '!GE164</f>
        <v>107410</v>
      </c>
      <c r="GF168" s="314">
        <f>'Hodnocení '!GF164</f>
        <v>247024.32830681585</v>
      </c>
      <c r="GG168" s="314">
        <f>'Hodnocení '!GG164</f>
        <v>78253.89933898492</v>
      </c>
      <c r="GH168" s="314">
        <f>'Hodnocení '!GH164</f>
        <v>70084.624840646575</v>
      </c>
      <c r="GI168" s="314">
        <f>'Hodnocení '!GI164</f>
        <v>1118844.9121841514</v>
      </c>
      <c r="GJ168" s="314">
        <f>'Hodnocení '!GJ164</f>
        <v>1556183.2817184574</v>
      </c>
      <c r="GK168" s="314">
        <f>'Hodnocení '!GK164</f>
        <v>1511901.0808184575</v>
      </c>
      <c r="GL168" s="314">
        <f>'Hodnocení '!GL164</f>
        <v>1463374.7839184573</v>
      </c>
      <c r="GM168" s="314">
        <f>'Hodnocení '!GM164</f>
        <v>1472891.6835184575</v>
      </c>
      <c r="GN168" s="314">
        <f>'Hodnocení '!GN164</f>
        <v>1459085.5757184573</v>
      </c>
      <c r="GO168" s="314">
        <f>'Hodnocení '!GO164</f>
        <v>897446.13058809715</v>
      </c>
      <c r="GP168" s="314">
        <f>'Hodnocení '!GP164</f>
        <v>61861.438083305111</v>
      </c>
      <c r="GQ168" s="314">
        <f>'Hodnocení '!GQ164</f>
        <v>697924.88256627787</v>
      </c>
      <c r="GR168" s="314">
        <f>'Hodnocení '!GR164</f>
        <v>78041.052083924267</v>
      </c>
      <c r="GS168" s="314">
        <f>'Hodnocení '!GS164</f>
        <v>384433.12621784816</v>
      </c>
      <c r="GT168" s="314">
        <f>'Hodnocení '!GT164</f>
        <v>690195.6231487093</v>
      </c>
      <c r="GU168" s="314">
        <f>'Hodnocení '!GU164</f>
        <v>74927.347999999998</v>
      </c>
      <c r="GV168" s="314">
        <f>'Hodnocení '!GV164</f>
        <v>634099.52333113668</v>
      </c>
      <c r="GW168" s="314">
        <f>'Hodnocení '!GW164</f>
        <v>110380.7310497182</v>
      </c>
      <c r="GX168" s="314">
        <f>'Hodnocení '!GX164</f>
        <v>425274.8380394461</v>
      </c>
      <c r="GY168" s="314">
        <f>'Hodnocení '!GY164</f>
        <v>2334274.3211080926</v>
      </c>
      <c r="GZ168" s="314">
        <f>'Hodnocení '!GZ164</f>
        <v>187547.40093594202</v>
      </c>
      <c r="HA168" s="314">
        <f>'Hodnocení '!HA164</f>
        <v>552841.38043076987</v>
      </c>
      <c r="HB168" s="314">
        <f>'Hodnocení '!HB164</f>
        <v>479679.2414240308</v>
      </c>
      <c r="HC168" s="314">
        <f>'Hodnocení '!HC164</f>
        <v>1058342.5418569087</v>
      </c>
      <c r="HD168" s="314">
        <f>'Hodnocení '!HD164</f>
        <v>186440.41663966837</v>
      </c>
      <c r="HE168" s="314">
        <f>'Hodnocení '!HE164</f>
        <v>799783.56928809825</v>
      </c>
      <c r="HF168" s="314">
        <f>'Hodnocení '!HF164</f>
        <v>837337.80736808968</v>
      </c>
      <c r="HG168" s="314">
        <f>'Hodnocení '!HG164</f>
        <v>768047.05596808961</v>
      </c>
      <c r="HH168" s="314">
        <f>'Hodnocení '!HH164</f>
        <v>163945.34824573921</v>
      </c>
      <c r="HI168" s="314">
        <f>'Hodnocení '!HI164</f>
        <v>1121743.1918718247</v>
      </c>
      <c r="HJ168" s="314">
        <f>'Hodnocení '!HJ164</f>
        <v>890312.63844429795</v>
      </c>
      <c r="HK168" s="314">
        <f>'Hodnocení '!HK164</f>
        <v>708061.35040160897</v>
      </c>
      <c r="HL168" s="314">
        <f>'Hodnocení '!HL164</f>
        <v>2852260.9041223046</v>
      </c>
      <c r="HM168" s="314">
        <f>'Hodnocení '!HM164</f>
        <v>1135511.5938144352</v>
      </c>
      <c r="HN168" s="314">
        <f>'Hodnocení '!HN164</f>
        <v>36122.588330516228</v>
      </c>
      <c r="HO168" s="314">
        <f>'Hodnocení '!HO164</f>
        <v>0</v>
      </c>
      <c r="HP168" s="314">
        <f>'Hodnocení '!HP164</f>
        <v>2308176.3931448585</v>
      </c>
      <c r="HQ168" s="314">
        <f>'Hodnocení '!HQ164</f>
        <v>48220.549242541354</v>
      </c>
      <c r="HR168" s="314">
        <f>'Hodnocení '!HR164</f>
        <v>2627948.6799382968</v>
      </c>
      <c r="HS168" s="314">
        <f>'Hodnocení '!HS164</f>
        <v>336025.86356616416</v>
      </c>
      <c r="HT168" s="314">
        <f>'Hodnocení '!HT164</f>
        <v>1342845.6917016595</v>
      </c>
      <c r="HU168" s="314">
        <f>'Hodnocení '!HU164</f>
        <v>2018950.1398323406</v>
      </c>
      <c r="HV168" s="314">
        <f>'Hodnocení '!HV164</f>
        <v>1822156.5650398545</v>
      </c>
      <c r="HW168" s="314">
        <f>'Hodnocení '!HW164</f>
        <v>408436.10906851245</v>
      </c>
      <c r="HX168" s="314">
        <f>'Hodnocení '!HX164</f>
        <v>1928310.813811908</v>
      </c>
      <c r="HY168" s="314">
        <f>'Hodnocení '!HY164</f>
        <v>1581383.2399029485</v>
      </c>
      <c r="HZ168" s="314">
        <f>'Hodnocení '!HZ164</f>
        <v>863632.22213203844</v>
      </c>
      <c r="IA168" s="314">
        <f>'Hodnocení '!IA164</f>
        <v>855597.84274354787</v>
      </c>
      <c r="IB168" s="314">
        <f>'Hodnocení '!IB164</f>
        <v>820192.49990406481</v>
      </c>
      <c r="IC168" s="314">
        <f>'Hodnocení '!IC164</f>
        <v>1300524.0323590939</v>
      </c>
      <c r="ID168" s="314">
        <f>'Hodnocení '!ID164</f>
        <v>977444.21421984944</v>
      </c>
      <c r="IE168" s="314">
        <f>'Hodnocení '!IE164</f>
        <v>1492177.016081095</v>
      </c>
      <c r="IF168" s="314">
        <f>'Hodnocení '!IF164</f>
        <v>1400494.0936738476</v>
      </c>
      <c r="IG168" s="314">
        <f>'Hodnocení '!IG164</f>
        <v>390244.95530780917</v>
      </c>
      <c r="IH168" s="314">
        <f>'Hodnocení '!IH164</f>
        <v>264551.40946114424</v>
      </c>
      <c r="II168" s="314">
        <f>'Hodnocení '!II164</f>
        <v>1382118.8554111356</v>
      </c>
      <c r="IJ168" s="314">
        <f>'Hodnocení '!IJ164</f>
        <v>101970.70808564803</v>
      </c>
      <c r="IK168" s="314">
        <f>'Hodnocení '!IK164</f>
        <v>155086.73050000001</v>
      </c>
      <c r="IL168" s="314">
        <f>'Hodnocení '!IL164</f>
        <v>815193.26845938945</v>
      </c>
      <c r="IM168" s="314">
        <f>'Hodnocení '!IM164</f>
        <v>26931.393039439557</v>
      </c>
      <c r="IN168" s="314">
        <f>'Hodnocení '!IN164</f>
        <v>899897.98577955458</v>
      </c>
      <c r="IO168" s="314">
        <f>'Hodnocení '!IO164</f>
        <v>297513.89651717374</v>
      </c>
      <c r="IP168" s="314">
        <f>'Hodnocení '!IP164</f>
        <v>1624951.1711136862</v>
      </c>
      <c r="IQ168" s="314">
        <f>'Hodnocení '!IQ164</f>
        <v>1637833.5082834098</v>
      </c>
      <c r="IR168" s="314">
        <f>'Hodnocení '!IR164</f>
        <v>49796.331841928026</v>
      </c>
      <c r="IS168" s="314">
        <f>'Hodnocení '!IS164</f>
        <v>4722639.6529362872</v>
      </c>
      <c r="IT168" s="314">
        <f>'Hodnocení '!IT164</f>
        <v>1152262.3898059563</v>
      </c>
      <c r="IU168" s="314">
        <f>'Hodnocení '!IU164</f>
        <v>171269.29765591683</v>
      </c>
      <c r="IV168" s="314">
        <f>'Hodnocení '!IV164</f>
        <v>740956.86711645324</v>
      </c>
      <c r="IW168" s="314">
        <f>'Hodnocení '!IW164</f>
        <v>1174596.7859069163</v>
      </c>
      <c r="IX168" s="314">
        <f>'Hodnocení '!IX164</f>
        <v>100358.26716689731</v>
      </c>
      <c r="IY168" s="314">
        <f>'Hodnocení '!IY164</f>
        <v>847454.58166691335</v>
      </c>
      <c r="IZ168" s="314">
        <f>'Hodnocení '!IZ164</f>
        <v>1975906.2888691467</v>
      </c>
      <c r="JA168" s="314">
        <f>'Hodnocení '!JA164</f>
        <v>143953.2202563601</v>
      </c>
      <c r="JB168" s="314">
        <f>'Hodnocení '!JB164</f>
        <v>177551.67210734112</v>
      </c>
      <c r="JC168" s="314">
        <f>'Hodnocení '!JC164</f>
        <v>101316.3719517602</v>
      </c>
      <c r="JD168" s="314">
        <f>'Hodnocení '!JD164</f>
        <v>313503.64619463228</v>
      </c>
      <c r="JE168" s="314">
        <f>'Hodnocení '!JE164</f>
        <v>39695</v>
      </c>
      <c r="JF168" s="314">
        <f>'Hodnocení '!JF164</f>
        <v>2862779.9041821565</v>
      </c>
      <c r="JG168" s="314">
        <f>'Hodnocení '!JG164</f>
        <v>2108539.8671446699</v>
      </c>
      <c r="JH168" s="314">
        <f>'Hodnocení '!JH164</f>
        <v>66891.236274292896</v>
      </c>
      <c r="JI168" s="314">
        <f>'Hodnocení '!JI164</f>
        <v>97355245.733139426</v>
      </c>
    </row>
    <row r="169" spans="2:276" hidden="1" x14ac:dyDescent="0.25">
      <c r="C169" s="314">
        <f>'Hodnocení '!C165</f>
        <v>0</v>
      </c>
      <c r="D169" s="314">
        <f>'Hodnocení '!D165</f>
        <v>60346.042249099759</v>
      </c>
      <c r="E169" s="314">
        <f>'Hodnocení '!E165</f>
        <v>0</v>
      </c>
      <c r="F169" s="314">
        <f>'Hodnocení '!F165</f>
        <v>0</v>
      </c>
      <c r="G169" s="314">
        <f>'Hodnocení '!G165</f>
        <v>0</v>
      </c>
      <c r="H169" s="314">
        <f>'Hodnocení '!H165</f>
        <v>-350978.29629567324</v>
      </c>
      <c r="I169" s="314">
        <f>'Hodnocení '!I165</f>
        <v>-376628.49366994062</v>
      </c>
      <c r="J169" s="314">
        <f>'Hodnocení '!J165</f>
        <v>126485.23608403429</v>
      </c>
      <c r="K169" s="314">
        <f>'Hodnocení '!K165</f>
        <v>-419032.31589531992</v>
      </c>
      <c r="L169" s="314">
        <f>'Hodnocení '!L165</f>
        <v>-25014.170743059833</v>
      </c>
      <c r="M169" s="314">
        <f>'Hodnocení '!M165</f>
        <v>0</v>
      </c>
      <c r="N169" s="314">
        <f>'Hodnocení '!N165</f>
        <v>-892525.76594634727</v>
      </c>
      <c r="O169" s="314">
        <f>'Hodnocení '!O165</f>
        <v>-105005.78957660589</v>
      </c>
      <c r="P169" s="314">
        <f>'Hodnocení '!P165</f>
        <v>117000</v>
      </c>
      <c r="Q169" s="314">
        <f>'Hodnocení '!Q165</f>
        <v>0</v>
      </c>
      <c r="R169" s="314">
        <f>'Hodnocení '!R165</f>
        <v>-34847.41443209257</v>
      </c>
      <c r="S169" s="314">
        <f>'Hodnocení '!S165</f>
        <v>-44857.72521024663</v>
      </c>
      <c r="T169" s="314">
        <f>'Hodnocení '!T165</f>
        <v>0</v>
      </c>
      <c r="U169" s="314">
        <f>'Hodnocení '!U165</f>
        <v>-138339.73383276933</v>
      </c>
      <c r="V169" s="314">
        <f>'Hodnocení '!V165</f>
        <v>537280</v>
      </c>
      <c r="W169" s="314">
        <f>'Hodnocení '!W165</f>
        <v>249600</v>
      </c>
      <c r="X169" s="314">
        <f>'Hodnocení '!X165</f>
        <v>-235254.72332073096</v>
      </c>
      <c r="Y169" s="314">
        <f>'Hodnocení '!Y165</f>
        <v>199045.44921071106</v>
      </c>
      <c r="Z169" s="314">
        <f>'Hodnocení '!Z165</f>
        <v>10709.190378032014</v>
      </c>
      <c r="AA169" s="314">
        <f>'Hodnocení '!AA165</f>
        <v>-225887.12232271861</v>
      </c>
      <c r="AB169" s="314">
        <f>'Hodnocení '!AB165</f>
        <v>-678982.56975617446</v>
      </c>
      <c r="AC169" s="314">
        <f>'Hodnocení '!AC165</f>
        <v>-168338.47062468273</v>
      </c>
      <c r="AD169" s="314">
        <f>'Hodnocení '!AD165</f>
        <v>-249124.42206219956</v>
      </c>
      <c r="AE169" s="314">
        <f>'Hodnocení '!AE165</f>
        <v>0</v>
      </c>
      <c r="AF169" s="314">
        <f>'Hodnocení '!AF165</f>
        <v>0</v>
      </c>
      <c r="AG169" s="314">
        <f>'Hodnocení '!AG165</f>
        <v>-207705.72605321137</v>
      </c>
      <c r="AH169" s="314">
        <f>'Hodnocení '!AH165</f>
        <v>47300</v>
      </c>
      <c r="AI169" s="314">
        <f>'Hodnocení '!AI165</f>
        <v>788325.38309340633</v>
      </c>
      <c r="AJ169" s="314">
        <f>'Hodnocení '!AJ165</f>
        <v>98430.309376765217</v>
      </c>
      <c r="AK169" s="314">
        <f>'Hodnocení '!AK165</f>
        <v>132468</v>
      </c>
      <c r="AL169" s="314">
        <f>'Hodnocení '!AL165</f>
        <v>0</v>
      </c>
      <c r="AM169" s="314">
        <f>'Hodnocení '!AM165</f>
        <v>0</v>
      </c>
      <c r="AN169" s="314">
        <f>'Hodnocení '!AN165</f>
        <v>-248638.69405605283</v>
      </c>
      <c r="AO169" s="314">
        <f>'Hodnocení '!AO165</f>
        <v>-1150721.896494789</v>
      </c>
      <c r="AP169" s="314">
        <f>'Hodnocení '!AP165</f>
        <v>56974.883770398796</v>
      </c>
      <c r="AQ169" s="314">
        <f>'Hodnocení '!AQ165</f>
        <v>-243890.59568873851</v>
      </c>
      <c r="AR169" s="314">
        <f>'Hodnocení '!AR165</f>
        <v>0</v>
      </c>
      <c r="AS169" s="314">
        <f>'Hodnocení '!AS165</f>
        <v>-86589.113756441569</v>
      </c>
      <c r="AT169" s="314">
        <f>'Hodnocení '!AT165</f>
        <v>-557971.23839106597</v>
      </c>
      <c r="AU169" s="314">
        <f>'Hodnocení '!AU165</f>
        <v>-100330.65614401316</v>
      </c>
      <c r="AV169" s="314">
        <f>'Hodnocení '!AV165</f>
        <v>0</v>
      </c>
      <c r="AW169" s="314">
        <f>'Hodnocení '!AW165</f>
        <v>16112.012350120116</v>
      </c>
      <c r="AX169" s="314">
        <f>'Hodnocení '!AX165</f>
        <v>-608319.50278577674</v>
      </c>
      <c r="AY169" s="314">
        <f>'Hodnocení '!AY165</f>
        <v>-345508.70270350017</v>
      </c>
      <c r="AZ169" s="314">
        <f>'Hodnocení '!AZ165</f>
        <v>378628.66833067732</v>
      </c>
      <c r="BA169" s="314">
        <f>'Hodnocení '!BA165</f>
        <v>683000</v>
      </c>
      <c r="BB169" s="314">
        <f>'Hodnocení '!BB165</f>
        <v>-41650.329521507723</v>
      </c>
      <c r="BC169" s="314">
        <f>'Hodnocení '!BC165</f>
        <v>0</v>
      </c>
      <c r="BD169" s="314">
        <f>'Hodnocení '!BD165</f>
        <v>-199914.38326196466</v>
      </c>
      <c r="BE169" s="314">
        <f>'Hodnocení '!BE165</f>
        <v>-161601.54475307069</v>
      </c>
      <c r="BF169" s="314">
        <f>'Hodnocení '!BF165</f>
        <v>649371.39419043064</v>
      </c>
      <c r="BG169" s="314">
        <f>'Hodnocení '!BG165</f>
        <v>843000</v>
      </c>
      <c r="BH169" s="314">
        <f>'Hodnocení '!BH165</f>
        <v>182109.24156050989</v>
      </c>
      <c r="BI169" s="314">
        <f>'Hodnocení '!BI165</f>
        <v>1032086.889306257</v>
      </c>
      <c r="BJ169" s="314">
        <f>'Hodnocení '!BJ165</f>
        <v>-117222.18345255451</v>
      </c>
      <c r="BK169" s="314">
        <f>'Hodnocení '!BK165</f>
        <v>22000</v>
      </c>
      <c r="BL169" s="314">
        <f>'Hodnocení '!BL165</f>
        <v>0</v>
      </c>
      <c r="BM169" s="314">
        <f>'Hodnocení '!BM165</f>
        <v>568973.04</v>
      </c>
      <c r="BN169" s="314">
        <f>'Hodnocení '!BN165</f>
        <v>-21035.394914980512</v>
      </c>
      <c r="BO169" s="314">
        <f>'Hodnocení '!BO165</f>
        <v>-131525.27864215546</v>
      </c>
      <c r="BP169" s="314">
        <f>'Hodnocení '!BP165</f>
        <v>0</v>
      </c>
      <c r="BQ169" s="314">
        <f>'Hodnocení '!BQ165</f>
        <v>-40910.730088019649</v>
      </c>
      <c r="BR169" s="314">
        <f>'Hodnocení '!BR165</f>
        <v>-90276.760449492256</v>
      </c>
      <c r="BS169" s="314">
        <f>'Hodnocení '!BS165</f>
        <v>-193289.97956719738</v>
      </c>
      <c r="BT169" s="314">
        <f>'Hodnocení '!BT165</f>
        <v>0</v>
      </c>
      <c r="BU169" s="314">
        <f>'Hodnocení '!BU165</f>
        <v>-642700.77050449979</v>
      </c>
      <c r="BV169" s="314">
        <f>'Hodnocení '!BV165</f>
        <v>-104151.05247350829</v>
      </c>
      <c r="BW169" s="314">
        <f>'Hodnocení '!BW165</f>
        <v>-253400.15994741418</v>
      </c>
      <c r="BX169" s="314">
        <f>'Hodnocení '!BX165</f>
        <v>-1456416.0673548868</v>
      </c>
      <c r="BY169" s="314">
        <f>'Hodnocení '!BY165</f>
        <v>-184616.31126441457</v>
      </c>
      <c r="BZ169" s="314">
        <f>'Hodnocení '!BZ165</f>
        <v>-225130.01244640414</v>
      </c>
      <c r="CA169" s="314">
        <f>'Hodnocení '!CA165</f>
        <v>0</v>
      </c>
      <c r="CB169" s="314">
        <f>'Hodnocení '!CB165</f>
        <v>-372148.26152222138</v>
      </c>
      <c r="CC169" s="314">
        <f>'Hodnocení '!CC165</f>
        <v>-228041.75251266407</v>
      </c>
      <c r="CD169" s="314">
        <f>'Hodnocení '!CD165</f>
        <v>-51074.706077585928</v>
      </c>
      <c r="CE169" s="314">
        <f>'Hodnocení '!CE165</f>
        <v>0</v>
      </c>
      <c r="CF169" s="314">
        <f>'Hodnocení '!CF165</f>
        <v>0</v>
      </c>
      <c r="CG169" s="314">
        <f>'Hodnocení '!CG165</f>
        <v>-26000</v>
      </c>
      <c r="CH169" s="314">
        <f>'Hodnocení '!CH165</f>
        <v>-316149.07924963161</v>
      </c>
      <c r="CI169" s="314">
        <f>'Hodnocení '!CI165</f>
        <v>21633.155796868727</v>
      </c>
      <c r="CJ169" s="314">
        <f>'Hodnocení '!CJ165</f>
        <v>0</v>
      </c>
      <c r="CK169" s="314">
        <f>'Hodnocení '!CK165</f>
        <v>105780</v>
      </c>
      <c r="CL169" s="314">
        <f>'Hodnocení '!CL165</f>
        <v>56438.59728209069</v>
      </c>
      <c r="CM169" s="314">
        <f>'Hodnocení '!CM165</f>
        <v>0</v>
      </c>
      <c r="CN169" s="314">
        <f>'Hodnocení '!CN165</f>
        <v>-192152.05856648134</v>
      </c>
      <c r="CO169" s="314">
        <f>'Hodnocení '!CO165</f>
        <v>-149642.14584698994</v>
      </c>
      <c r="CP169" s="314">
        <f>'Hodnocení '!CP165</f>
        <v>-168949.86264729407</v>
      </c>
      <c r="CQ169" s="314">
        <f>'Hodnocení '!CQ165</f>
        <v>0</v>
      </c>
      <c r="CR169" s="314">
        <f>'Hodnocení '!CR165</f>
        <v>36723</v>
      </c>
      <c r="CS169" s="314">
        <f>'Hodnocení '!CS165</f>
        <v>187555.67419309285</v>
      </c>
      <c r="CT169" s="314">
        <f>'Hodnocení '!CT165</f>
        <v>-1706479.1670254553</v>
      </c>
      <c r="CU169" s="314">
        <f>'Hodnocení '!CU165</f>
        <v>99027.688735585427</v>
      </c>
      <c r="CV169" s="314">
        <f>'Hodnocení '!CV165</f>
        <v>-591862.51462611125</v>
      </c>
      <c r="CW169" s="314">
        <f>'Hodnocení '!CW165</f>
        <v>45664.106466892292</v>
      </c>
      <c r="CX169" s="314">
        <f>'Hodnocení '!CX165</f>
        <v>229532</v>
      </c>
      <c r="CY169" s="314">
        <f>'Hodnocení '!CY165</f>
        <v>0</v>
      </c>
      <c r="CZ169" s="314">
        <f>'Hodnocení '!CZ165</f>
        <v>75100</v>
      </c>
      <c r="DA169" s="314">
        <f>'Hodnocení '!DA165</f>
        <v>741147.0119362768</v>
      </c>
      <c r="DB169" s="314">
        <f>'Hodnocení '!DB165</f>
        <v>-106618.46260512329</v>
      </c>
      <c r="DC169" s="314">
        <f>'Hodnocení '!DC165</f>
        <v>-244927.68230873742</v>
      </c>
      <c r="DD169" s="314">
        <f>'Hodnocení '!DD165</f>
        <v>8653.8338337875903</v>
      </c>
      <c r="DE169" s="314">
        <f>'Hodnocení '!DE165</f>
        <v>0</v>
      </c>
      <c r="DF169" s="314">
        <f>'Hodnocení '!DF165</f>
        <v>2721236.8713862468</v>
      </c>
      <c r="DG169" s="314">
        <f>'Hodnocení '!DG165</f>
        <v>0</v>
      </c>
      <c r="DH169" s="314">
        <f>'Hodnocení '!DH165</f>
        <v>0</v>
      </c>
      <c r="DI169" s="314">
        <f>'Hodnocení '!DI165</f>
        <v>-32126.476262615761</v>
      </c>
      <c r="DJ169" s="314">
        <f>'Hodnocení '!DJ165</f>
        <v>65990.976314039901</v>
      </c>
      <c r="DK169" s="314">
        <f>'Hodnocení '!DK165</f>
        <v>-108661.81809192803</v>
      </c>
      <c r="DL169" s="314">
        <f>'Hodnocení '!DL165</f>
        <v>-1072302.966263033</v>
      </c>
      <c r="DM169" s="314">
        <f>'Hodnocení '!DM165</f>
        <v>7446.3576801482122</v>
      </c>
      <c r="DN169" s="314">
        <f>'Hodnocení '!DN165</f>
        <v>-214093.43754096981</v>
      </c>
      <c r="DO169" s="314">
        <f>'Hodnocení '!DO165</f>
        <v>0</v>
      </c>
      <c r="DP169" s="314">
        <f>'Hodnocení '!DP165</f>
        <v>-187075.75400271686</v>
      </c>
      <c r="DQ169" s="314">
        <f>'Hodnocení '!DQ165</f>
        <v>390150</v>
      </c>
      <c r="DR169" s="314">
        <f>'Hodnocení '!DR165</f>
        <v>562288.5</v>
      </c>
      <c r="DS169" s="314">
        <f>'Hodnocení '!DS165</f>
        <v>747552.23658600543</v>
      </c>
      <c r="DT169" s="314">
        <f>'Hodnocení '!DT165</f>
        <v>345500</v>
      </c>
      <c r="DU169" s="314">
        <f>'Hodnocení '!DU165</f>
        <v>-2379508.9633388799</v>
      </c>
      <c r="DV169" s="314">
        <f>'Hodnocení '!DV165</f>
        <v>2016667</v>
      </c>
      <c r="DW169" s="314">
        <f>'Hodnocení '!DW165</f>
        <v>-1463011.5734570101</v>
      </c>
      <c r="DX169" s="314">
        <f>'Hodnocení '!DX165</f>
        <v>-4919719.1541079516</v>
      </c>
      <c r="DY169" s="314">
        <f>'Hodnocení '!DY165</f>
        <v>0</v>
      </c>
      <c r="DZ169" s="314">
        <f>'Hodnocení '!DZ165</f>
        <v>0</v>
      </c>
      <c r="EA169" s="314">
        <f>'Hodnocení '!EA165</f>
        <v>-522527.23529455811</v>
      </c>
      <c r="EB169" s="314">
        <f>'Hodnocení '!EB165</f>
        <v>0</v>
      </c>
      <c r="EC169" s="314">
        <f>'Hodnocení '!EC165</f>
        <v>-316399.96774093434</v>
      </c>
      <c r="ED169" s="314">
        <f>'Hodnocení '!ED165</f>
        <v>-289722.16032859124</v>
      </c>
      <c r="EE169" s="314">
        <f>'Hodnocení '!EE165</f>
        <v>134189.53739487671</v>
      </c>
      <c r="EF169" s="314">
        <f>'Hodnocení '!EF165</f>
        <v>147466.88847269223</v>
      </c>
      <c r="EG169" s="314">
        <f>'Hodnocení '!EG165</f>
        <v>-6075.7399211212178</v>
      </c>
      <c r="EH169" s="314">
        <f>'Hodnocení '!EH165</f>
        <v>124811.80860682938</v>
      </c>
      <c r="EI169" s="314">
        <f>'Hodnocení '!EI165</f>
        <v>153000</v>
      </c>
      <c r="EJ169" s="314">
        <f>'Hodnocení '!EJ165</f>
        <v>-132656.80451386474</v>
      </c>
      <c r="EK169" s="314">
        <f>'Hodnocení '!EK165</f>
        <v>-857560.91243154928</v>
      </c>
      <c r="EL169" s="314">
        <f>'Hodnocení '!EL165</f>
        <v>-76904.394825894386</v>
      </c>
      <c r="EM169" s="314">
        <f>'Hodnocení '!EM165</f>
        <v>52000</v>
      </c>
      <c r="EN169" s="314">
        <f>'Hodnocení '!EN165</f>
        <v>-161191.61752498476</v>
      </c>
      <c r="EO169" s="314">
        <f>'Hodnocení '!EO165</f>
        <v>-44426.74250429438</v>
      </c>
      <c r="EP169" s="314">
        <f>'Hodnocení '!EP165</f>
        <v>12264.126105596777</v>
      </c>
      <c r="EQ169" s="314">
        <f>'Hodnocení '!EQ165</f>
        <v>-565277.01416179165</v>
      </c>
      <c r="ER169" s="314">
        <f>'Hodnocení '!ER165</f>
        <v>657000</v>
      </c>
      <c r="ES169" s="314">
        <f>'Hodnocení '!ES165</f>
        <v>-4508469.4473401569</v>
      </c>
      <c r="ET169" s="314">
        <f>'Hodnocení '!ET165</f>
        <v>60981.126673336148</v>
      </c>
      <c r="EU169" s="314">
        <f>'Hodnocení '!EU165</f>
        <v>613681.09691569244</v>
      </c>
      <c r="EV169" s="314">
        <f>'Hodnocení '!EV165</f>
        <v>0</v>
      </c>
      <c r="EW169" s="314">
        <f>'Hodnocení '!EW165</f>
        <v>0</v>
      </c>
      <c r="EX169" s="314">
        <f>'Hodnocení '!EX165</f>
        <v>0</v>
      </c>
      <c r="EY169" s="314">
        <f>'Hodnocení '!EY165</f>
        <v>0</v>
      </c>
      <c r="EZ169" s="314">
        <f>'Hodnocení '!EZ165</f>
        <v>-1611489.2056709761</v>
      </c>
      <c r="FA169" s="314">
        <f>'Hodnocení '!FA165</f>
        <v>533844.1996313592</v>
      </c>
      <c r="FB169" s="314">
        <f>'Hodnocení '!FB165</f>
        <v>-150886.8517307243</v>
      </c>
      <c r="FC169" s="314">
        <f>'Hodnocení '!FC165</f>
        <v>0</v>
      </c>
      <c r="FD169" s="314">
        <f>'Hodnocení '!FD165</f>
        <v>-1024860.1610809792</v>
      </c>
      <c r="FE169" s="314">
        <f>'Hodnocení '!FE165</f>
        <v>0</v>
      </c>
      <c r="FF169" s="314">
        <f>'Hodnocení '!FF165</f>
        <v>0</v>
      </c>
      <c r="FG169" s="314">
        <f>'Hodnocení '!FG165</f>
        <v>1226342.7585950759</v>
      </c>
      <c r="FH169" s="314">
        <f>'Hodnocení '!FH165</f>
        <v>0</v>
      </c>
      <c r="FI169" s="314">
        <f>'Hodnocení '!FI165</f>
        <v>-272991.64356752974</v>
      </c>
      <c r="FJ169" s="314">
        <f>'Hodnocení '!FJ165</f>
        <v>-414971.42041204381</v>
      </c>
      <c r="FK169" s="314">
        <f>'Hodnocení '!FK165</f>
        <v>-883583.44584021706</v>
      </c>
      <c r="FL169" s="314">
        <f>'Hodnocení '!FL165</f>
        <v>-693547.05371370958</v>
      </c>
      <c r="FM169" s="314">
        <f>'Hodnocení '!FM165</f>
        <v>0</v>
      </c>
      <c r="FN169" s="314">
        <f>'Hodnocení '!FN165</f>
        <v>0</v>
      </c>
      <c r="FO169" s="314">
        <f>'Hodnocení '!FO165</f>
        <v>0</v>
      </c>
      <c r="FP169" s="314">
        <f>'Hodnocení '!FP165</f>
        <v>0</v>
      </c>
      <c r="FQ169" s="314">
        <f>'Hodnocení '!FQ165</f>
        <v>0</v>
      </c>
      <c r="FR169" s="314">
        <f>'Hodnocení '!FR165</f>
        <v>57292.80472513882</v>
      </c>
      <c r="FS169" s="314">
        <f>'Hodnocení '!FS165</f>
        <v>0</v>
      </c>
      <c r="FT169" s="314">
        <f>'Hodnocení '!FT165</f>
        <v>-130049.47500130825</v>
      </c>
      <c r="FU169" s="314">
        <f>'Hodnocení '!FU165</f>
        <v>-217080.16333139787</v>
      </c>
      <c r="FV169" s="314">
        <f>'Hodnocení '!FV165</f>
        <v>0</v>
      </c>
      <c r="FW169" s="314">
        <f>'Hodnocení '!FW165</f>
        <v>-447218.81957422954</v>
      </c>
      <c r="FX169" s="314">
        <f>'Hodnocení '!FX165</f>
        <v>-310245.43327586522</v>
      </c>
      <c r="FY169" s="314">
        <f>'Hodnocení '!FY165</f>
        <v>-155234.8576041882</v>
      </c>
      <c r="FZ169" s="314">
        <f>'Hodnocení '!FZ165</f>
        <v>0</v>
      </c>
      <c r="GA169" s="314">
        <f>'Hodnocení '!GA165</f>
        <v>0</v>
      </c>
      <c r="GB169" s="314">
        <f>'Hodnocení '!GB165</f>
        <v>0</v>
      </c>
      <c r="GC169" s="314">
        <f>'Hodnocení '!GC165</f>
        <v>-802385.63469312782</v>
      </c>
      <c r="GD169" s="314">
        <f>'Hodnocení '!GD165</f>
        <v>-207775.58568569878</v>
      </c>
      <c r="GE169" s="314">
        <f>'Hodnocení '!GE165</f>
        <v>155880.93400108395</v>
      </c>
      <c r="GF169" s="314">
        <f>'Hodnocení '!GF165</f>
        <v>0</v>
      </c>
      <c r="GG169" s="314">
        <f>'Hodnocení '!GG165</f>
        <v>0</v>
      </c>
      <c r="GH169" s="314">
        <f>'Hodnocení '!GH165</f>
        <v>95939.806436581945</v>
      </c>
      <c r="GI169" s="314">
        <f>'Hodnocení '!GI165</f>
        <v>0</v>
      </c>
      <c r="GJ169" s="314">
        <f>'Hodnocení '!GJ165</f>
        <v>-1150473.6210091191</v>
      </c>
      <c r="GK169" s="314">
        <f>'Hodnocení '!GK165</f>
        <v>-565948.08081845753</v>
      </c>
      <c r="GL169" s="314">
        <f>'Hodnocení '!GL165</f>
        <v>-1337482.8121745556</v>
      </c>
      <c r="GM169" s="314">
        <f>'Hodnocení '!GM165</f>
        <v>-1307795.2062739858</v>
      </c>
      <c r="GN169" s="314">
        <f>'Hodnocení '!GN165</f>
        <v>-1297252.2958306111</v>
      </c>
      <c r="GO169" s="314">
        <f>'Hodnocení '!GO165</f>
        <v>-150600.61672605819</v>
      </c>
      <c r="GP169" s="314">
        <f>'Hodnocení '!GP165</f>
        <v>0</v>
      </c>
      <c r="GQ169" s="314">
        <f>'Hodnocení '!GQ165</f>
        <v>-307721.67128313897</v>
      </c>
      <c r="GR169" s="314">
        <f>'Hodnocení '!GR165</f>
        <v>39083.553567559138</v>
      </c>
      <c r="GS169" s="314">
        <f>'Hodnocení '!GS165</f>
        <v>-270785.07949711429</v>
      </c>
      <c r="GT169" s="314">
        <f>'Hodnocení '!GT165</f>
        <v>0</v>
      </c>
      <c r="GU169" s="314">
        <f>'Hodnocení '!GU165</f>
        <v>242072.652</v>
      </c>
      <c r="GV169" s="314">
        <f>'Hodnocení '!GV165</f>
        <v>192077.12233510963</v>
      </c>
      <c r="GW169" s="314">
        <f>'Hodnocení '!GW165</f>
        <v>-3941.9923552796099</v>
      </c>
      <c r="GX169" s="314">
        <f>'Hodnocení '!GX165</f>
        <v>-232319.34826799895</v>
      </c>
      <c r="GY169" s="314">
        <f>'Hodnocení '!GY165</f>
        <v>0</v>
      </c>
      <c r="GZ169" s="314">
        <f>'Hodnocení '!GZ165</f>
        <v>-599165.18034264026</v>
      </c>
      <c r="HA169" s="314">
        <f>'Hodnocení '!HA165</f>
        <v>34456.353179153288</v>
      </c>
      <c r="HB169" s="314">
        <f>'Hodnocení '!HB165</f>
        <v>0</v>
      </c>
      <c r="HC169" s="314">
        <f>'Hodnocení '!HC165</f>
        <v>0</v>
      </c>
      <c r="HD169" s="314">
        <f>'Hodnocení '!HD165</f>
        <v>0</v>
      </c>
      <c r="HE169" s="314">
        <f>'Hodnocení '!HE165</f>
        <v>1045371.4307119017</v>
      </c>
      <c r="HF169" s="314">
        <f>'Hodnocení '!HF165</f>
        <v>-495606.74212882214</v>
      </c>
      <c r="HG169" s="314">
        <f>'Hodnocení '!HG165</f>
        <v>-588573.83357331227</v>
      </c>
      <c r="HH169" s="314">
        <f>'Hodnocení '!HH165</f>
        <v>0</v>
      </c>
      <c r="HI169" s="314">
        <f>'Hodnocení '!HI165</f>
        <v>0</v>
      </c>
      <c r="HJ169" s="314">
        <f>'Hodnocení '!HJ165</f>
        <v>-2279421.4694658662</v>
      </c>
      <c r="HK169" s="314">
        <f>'Hodnocení '!HK165</f>
        <v>-498761.35040160897</v>
      </c>
      <c r="HL169" s="314">
        <f>'Hodnocení '!HL165</f>
        <v>2577946.2263842965</v>
      </c>
      <c r="HM169" s="314">
        <f>'Hodnocení '!HM165</f>
        <v>-1822000.7132431108</v>
      </c>
      <c r="HN169" s="314">
        <f>'Hodnocení '!HN165</f>
        <v>-255377.10829983011</v>
      </c>
      <c r="HO169" s="314">
        <f>'Hodnocení '!HO165</f>
        <v>-2847160.6666890793</v>
      </c>
      <c r="HP169" s="314">
        <f>'Hodnocení '!HP165</f>
        <v>2937605.6068551415</v>
      </c>
      <c r="HQ169" s="314">
        <f>'Hodnocení '!HQ165</f>
        <v>6296.0109016010101</v>
      </c>
      <c r="HR169" s="314">
        <f>'Hodnocení '!HR165</f>
        <v>-346833.41561992001</v>
      </c>
      <c r="HS169" s="314">
        <f>'Hodnocení '!HS165</f>
        <v>403161.43619984179</v>
      </c>
      <c r="HT169" s="314">
        <f>'Hodnocení '!HT165</f>
        <v>-5347061.1012308747</v>
      </c>
      <c r="HU169" s="314">
        <f>'Hodnocení '!HU165</f>
        <v>3908274.8653759169</v>
      </c>
      <c r="HV169" s="314">
        <f>'Hodnocení '!HV165</f>
        <v>1496716.4349601455</v>
      </c>
      <c r="HW169" s="314">
        <f>'Hodnocení '!HW165</f>
        <v>172941.92493340792</v>
      </c>
      <c r="HX169" s="314">
        <f>'Hodnocení '!HX165</f>
        <v>2994882.4935670677</v>
      </c>
      <c r="HY169" s="314">
        <f>'Hodnocení '!HY165</f>
        <v>-2304863.066458262</v>
      </c>
      <c r="HZ169" s="314">
        <f>'Hodnocení '!HZ165</f>
        <v>490431.75556179124</v>
      </c>
      <c r="IA169" s="314">
        <f>'Hodnocení '!IA165</f>
        <v>16795.157256452134</v>
      </c>
      <c r="IB169" s="314">
        <f>'Hodnocení '!IB165</f>
        <v>-32259.599407635047</v>
      </c>
      <c r="IC169" s="314">
        <f>'Hodnocení '!IC165</f>
        <v>1955261.1448942753</v>
      </c>
      <c r="ID169" s="314">
        <f>'Hodnocení '!ID165</f>
        <v>1582764.6085267821</v>
      </c>
      <c r="IE169" s="314">
        <f>'Hodnocení '!IE165</f>
        <v>1812990.5015844775</v>
      </c>
      <c r="IF169" s="314">
        <f>'Hodnocení '!IF165</f>
        <v>-4711847.704423666</v>
      </c>
      <c r="IG169" s="314">
        <f>'Hodnocení '!IG165</f>
        <v>-546105.68378837779</v>
      </c>
      <c r="IH169" s="314">
        <f>'Hodnocení '!IH165</f>
        <v>736067.42885601206</v>
      </c>
      <c r="II169" s="314">
        <f>'Hodnocení '!II165</f>
        <v>-2840000.7748431554</v>
      </c>
      <c r="IJ169" s="314">
        <f>'Hodnocení '!IJ165</f>
        <v>306647.69780913368</v>
      </c>
      <c r="IK169" s="314">
        <f>'Hodnocení '!IK165</f>
        <v>-574435.47614183836</v>
      </c>
      <c r="IL169" s="314">
        <f>'Hodnocení '!IL165</f>
        <v>-653968.5683605955</v>
      </c>
      <c r="IM169" s="314">
        <f>'Hodnocení '!IM165</f>
        <v>-152079.87741329143</v>
      </c>
      <c r="IN169" s="314">
        <f>'Hodnocení '!IN165</f>
        <v>-129860.38538624812</v>
      </c>
      <c r="IO169" s="314">
        <f>'Hodnocení '!IO165</f>
        <v>465274.01418881968</v>
      </c>
      <c r="IP169" s="314">
        <f>'Hodnocení '!IP165</f>
        <v>-1643290.9935331265</v>
      </c>
      <c r="IQ169" s="314">
        <f>'Hodnocení '!IQ165</f>
        <v>-1714838.8915572087</v>
      </c>
      <c r="IR169" s="314">
        <f>'Hodnocení '!IR165</f>
        <v>13439.943361662139</v>
      </c>
      <c r="IS169" s="314">
        <f>'Hodnocení '!IS165</f>
        <v>-3579814.1629052758</v>
      </c>
      <c r="IT169" s="314">
        <f>'Hodnocení '!IT165</f>
        <v>684978.12016303884</v>
      </c>
      <c r="IU169" s="314">
        <f>'Hodnocení '!IU165</f>
        <v>313537.44674856489</v>
      </c>
      <c r="IV169" s="314">
        <f>'Hodnocení '!IV165</f>
        <v>-397086.0095196293</v>
      </c>
      <c r="IW169" s="314">
        <f>'Hodnocení '!IW165</f>
        <v>-2690895.015101593</v>
      </c>
      <c r="IX169" s="314">
        <f>'Hodnocení '!IX165</f>
        <v>235204.59593742655</v>
      </c>
      <c r="IY169" s="314">
        <f>'Hodnocení '!IY165</f>
        <v>4924861.4800059684</v>
      </c>
      <c r="IZ169" s="314">
        <f>'Hodnocení '!IZ165</f>
        <v>2426746.1550431694</v>
      </c>
      <c r="JA169" s="314">
        <f>'Hodnocení '!JA165</f>
        <v>-176594.88052702168</v>
      </c>
      <c r="JB169" s="314">
        <f>'Hodnocení '!JB165</f>
        <v>569237.28804985632</v>
      </c>
      <c r="JC169" s="314">
        <f>'Hodnocení '!JC165</f>
        <v>-280579.00259929331</v>
      </c>
      <c r="JD169" s="314">
        <f>'Hodnocení '!JD165</f>
        <v>2421147.8292792924</v>
      </c>
      <c r="JE169" s="314">
        <f>'Hodnocení '!JE165</f>
        <v>-348800.14505924704</v>
      </c>
      <c r="JF169" s="314">
        <f>'Hodnocení '!JF165</f>
        <v>4231420.2408770937</v>
      </c>
      <c r="JG169" s="314">
        <f>'Hodnocení '!JG165</f>
        <v>-1561607.7021934981</v>
      </c>
      <c r="JH169" s="314">
        <f>'Hodnocení '!JH165</f>
        <v>496729.28351784637</v>
      </c>
      <c r="JI169" s="314">
        <f>'Hodnocení '!JI165</f>
        <v>-27713173.326375164</v>
      </c>
    </row>
    <row r="170" spans="2:276" hidden="1" x14ac:dyDescent="0.25">
      <c r="B170" s="266" t="s">
        <v>2639</v>
      </c>
      <c r="C170" s="313">
        <f>'Hodnocení '!C166</f>
        <v>0</v>
      </c>
      <c r="D170" s="313">
        <f>'Hodnocení '!D166</f>
        <v>0</v>
      </c>
      <c r="E170" s="313">
        <f>'Hodnocení '!E166</f>
        <v>0</v>
      </c>
      <c r="F170" s="313">
        <f>'Hodnocení '!F166</f>
        <v>0</v>
      </c>
      <c r="G170" s="313">
        <f>'Hodnocení '!G166</f>
        <v>0</v>
      </c>
      <c r="H170" s="632">
        <f>'Hodnocení '!H166</f>
        <v>1</v>
      </c>
      <c r="I170" s="632">
        <f>'Hodnocení '!I166</f>
        <v>1</v>
      </c>
      <c r="J170" s="632">
        <f>'Hodnocení '!J166</f>
        <v>1</v>
      </c>
      <c r="K170" s="313">
        <f>'Hodnocení '!K166</f>
        <v>0</v>
      </c>
      <c r="L170" s="313">
        <f>'Hodnocení '!L166</f>
        <v>0</v>
      </c>
      <c r="M170" s="313">
        <f>'Hodnocení '!M166</f>
        <v>0</v>
      </c>
      <c r="N170" s="313">
        <f>'Hodnocení '!N166</f>
        <v>0</v>
      </c>
      <c r="O170" s="313">
        <f>'Hodnocení '!O166</f>
        <v>0</v>
      </c>
      <c r="P170" s="313">
        <f>'Hodnocení '!P166</f>
        <v>0</v>
      </c>
      <c r="Q170" s="313">
        <f>'Hodnocení '!Q166</f>
        <v>0</v>
      </c>
      <c r="R170" s="313">
        <f>'Hodnocení '!R166</f>
        <v>0</v>
      </c>
      <c r="S170" s="313">
        <f>'Hodnocení '!S166</f>
        <v>0</v>
      </c>
      <c r="T170" s="313">
        <f>'Hodnocení '!T166</f>
        <v>0</v>
      </c>
      <c r="U170" s="313">
        <f>'Hodnocení '!U166</f>
        <v>0</v>
      </c>
      <c r="V170" s="313">
        <f>'Hodnocení '!V166</f>
        <v>0</v>
      </c>
      <c r="W170" s="313">
        <f>'Hodnocení '!W166</f>
        <v>0</v>
      </c>
      <c r="X170" s="313">
        <f>'Hodnocení '!X166</f>
        <v>0</v>
      </c>
      <c r="Y170" s="313">
        <f>'Hodnocení '!Y166</f>
        <v>0</v>
      </c>
      <c r="Z170" s="313">
        <f>'Hodnocení '!Z166</f>
        <v>0</v>
      </c>
      <c r="AA170" s="313">
        <f>'Hodnocení '!AA166</f>
        <v>0</v>
      </c>
      <c r="AB170" s="313">
        <f>'Hodnocení '!AB166</f>
        <v>0</v>
      </c>
      <c r="AC170" s="313">
        <f>'Hodnocení '!AC166</f>
        <v>0</v>
      </c>
      <c r="AD170" s="313">
        <f>'Hodnocení '!AD166</f>
        <v>0</v>
      </c>
      <c r="AE170" s="313">
        <f>'Hodnocení '!AE166</f>
        <v>0</v>
      </c>
      <c r="AF170" s="313">
        <f>'Hodnocení '!AF166</f>
        <v>0</v>
      </c>
      <c r="AG170" s="313">
        <f>'Hodnocení '!AG166</f>
        <v>0</v>
      </c>
      <c r="AH170" s="313">
        <f>'Hodnocení '!AH166</f>
        <v>0</v>
      </c>
      <c r="AI170" s="313">
        <f>'Hodnocení '!AI166</f>
        <v>0</v>
      </c>
      <c r="AJ170" s="313">
        <f>'Hodnocení '!AJ166</f>
        <v>0</v>
      </c>
      <c r="AK170" s="313">
        <f>'Hodnocení '!AK166</f>
        <v>0</v>
      </c>
      <c r="AL170" s="313">
        <f>'Hodnocení '!AL166</f>
        <v>0</v>
      </c>
      <c r="AM170" s="313">
        <f>'Hodnocení '!AM166</f>
        <v>0</v>
      </c>
      <c r="AN170" s="313">
        <f>'Hodnocení '!AN166</f>
        <v>0</v>
      </c>
      <c r="AO170" s="313">
        <f>'Hodnocení '!AO166</f>
        <v>0</v>
      </c>
      <c r="AP170" s="313">
        <f>'Hodnocení '!AP166</f>
        <v>0</v>
      </c>
      <c r="AQ170" s="313">
        <f>'Hodnocení '!AQ166</f>
        <v>0</v>
      </c>
      <c r="AR170" s="313">
        <f>'Hodnocení '!AR166</f>
        <v>0</v>
      </c>
      <c r="AS170" s="313">
        <f>'Hodnocení '!AS166</f>
        <v>0</v>
      </c>
      <c r="AT170" s="313">
        <f>'Hodnocení '!AT166</f>
        <v>0</v>
      </c>
      <c r="AU170" s="313">
        <f>'Hodnocení '!AU166</f>
        <v>0</v>
      </c>
      <c r="AV170" s="313">
        <f>'Hodnocení '!AV166</f>
        <v>0</v>
      </c>
      <c r="AW170" s="632">
        <f>'Hodnocení '!AW166</f>
        <v>1</v>
      </c>
      <c r="AX170" s="313">
        <f>'Hodnocení '!AX166</f>
        <v>0</v>
      </c>
      <c r="AY170" s="313">
        <f>'Hodnocení '!AY166</f>
        <v>0</v>
      </c>
      <c r="AZ170" s="313">
        <f>'Hodnocení '!AZ166</f>
        <v>0</v>
      </c>
      <c r="BA170" s="313">
        <f>'Hodnocení '!BA166</f>
        <v>0</v>
      </c>
      <c r="BB170" s="313">
        <f>'Hodnocení '!BB166</f>
        <v>0</v>
      </c>
      <c r="BC170" s="313">
        <f>'Hodnocení '!BC166</f>
        <v>0</v>
      </c>
      <c r="BD170" s="633">
        <f>'Hodnocení '!BD166</f>
        <v>0</v>
      </c>
      <c r="BE170" s="632">
        <f>'Hodnocení '!BE166</f>
        <v>1</v>
      </c>
      <c r="BF170" s="263">
        <f>'Hodnocení '!BF166</f>
        <v>0</v>
      </c>
      <c r="BG170" s="313">
        <f>'Hodnocení '!BG166</f>
        <v>0</v>
      </c>
      <c r="BH170" s="313">
        <f>'Hodnocení '!BH166</f>
        <v>0</v>
      </c>
      <c r="BI170" s="313">
        <f>'Hodnocení '!BI166</f>
        <v>0</v>
      </c>
      <c r="BJ170" s="313">
        <f>'Hodnocení '!BJ166</f>
        <v>0</v>
      </c>
      <c r="BK170" s="313">
        <f>'Hodnocení '!BK166</f>
        <v>0</v>
      </c>
      <c r="BL170" s="313">
        <f>'Hodnocení '!BL166</f>
        <v>0</v>
      </c>
      <c r="BM170" s="313">
        <f>'Hodnocení '!BM166</f>
        <v>0</v>
      </c>
      <c r="BN170" s="313">
        <f>'Hodnocení '!BN166</f>
        <v>0</v>
      </c>
      <c r="BO170" s="313">
        <f>'Hodnocení '!BO166</f>
        <v>0</v>
      </c>
      <c r="BP170" s="313">
        <f>'Hodnocení '!BP166</f>
        <v>0</v>
      </c>
      <c r="BQ170" s="632">
        <f>'Hodnocení '!BQ166</f>
        <v>1</v>
      </c>
      <c r="BR170" s="313">
        <f>'Hodnocení '!BR166</f>
        <v>0</v>
      </c>
      <c r="BS170" s="313">
        <f>'Hodnocení '!BS166</f>
        <v>0</v>
      </c>
      <c r="BT170" s="313">
        <f>'Hodnocení '!BT166</f>
        <v>0</v>
      </c>
      <c r="BU170" s="313">
        <f>'Hodnocení '!BU166</f>
        <v>0</v>
      </c>
      <c r="BV170" s="313">
        <f>'Hodnocení '!BV166</f>
        <v>0</v>
      </c>
      <c r="BW170" s="313">
        <f>'Hodnocení '!BW166</f>
        <v>0</v>
      </c>
      <c r="BX170" s="313">
        <f>'Hodnocení '!BX166</f>
        <v>0</v>
      </c>
      <c r="BY170" s="313">
        <f>'Hodnocení '!BY166</f>
        <v>0</v>
      </c>
      <c r="BZ170" s="313">
        <f>'Hodnocení '!BZ166</f>
        <v>0</v>
      </c>
      <c r="CA170" s="313">
        <f>'Hodnocení '!CA166</f>
        <v>0</v>
      </c>
      <c r="CB170" s="313">
        <f>'Hodnocení '!CB166</f>
        <v>0</v>
      </c>
      <c r="CC170" s="313">
        <f>'Hodnocení '!CC166</f>
        <v>0</v>
      </c>
      <c r="CD170" s="313">
        <f>'Hodnocení '!CD166</f>
        <v>0</v>
      </c>
      <c r="CE170" s="313">
        <f>'Hodnocení '!CE166</f>
        <v>0</v>
      </c>
      <c r="CF170" s="313">
        <f>'Hodnocení '!CF166</f>
        <v>0</v>
      </c>
      <c r="CG170" s="313">
        <f>'Hodnocení '!CG166</f>
        <v>0</v>
      </c>
      <c r="CH170" s="632">
        <f>'Hodnocení '!CH166</f>
        <v>1</v>
      </c>
      <c r="CI170" s="632">
        <f>'Hodnocení '!CI166</f>
        <v>1</v>
      </c>
      <c r="CJ170" s="313">
        <f>'Hodnocení '!CJ166</f>
        <v>0</v>
      </c>
      <c r="CK170" s="313">
        <f>'Hodnocení '!CK166</f>
        <v>0</v>
      </c>
      <c r="CL170" s="353">
        <f>'Hodnocení '!CL166</f>
        <v>2</v>
      </c>
      <c r="CM170" s="313">
        <f>'Hodnocení '!CM166</f>
        <v>0</v>
      </c>
      <c r="CN170" s="313">
        <f>'Hodnocení '!CN166</f>
        <v>0</v>
      </c>
      <c r="CO170" s="313">
        <f>'Hodnocení '!CO166</f>
        <v>0</v>
      </c>
      <c r="CP170" s="313">
        <f>'Hodnocení '!CP166</f>
        <v>0</v>
      </c>
      <c r="CQ170" s="313">
        <f>'Hodnocení '!CQ166</f>
        <v>0</v>
      </c>
      <c r="CR170" s="313">
        <f>'Hodnocení '!CR166</f>
        <v>0</v>
      </c>
      <c r="CS170" s="632">
        <f>'Hodnocení '!CS166</f>
        <v>1</v>
      </c>
      <c r="CT170" s="632">
        <f>'Hodnocení '!CT166</f>
        <v>1</v>
      </c>
      <c r="CU170" s="313">
        <f>'Hodnocení '!CU166</f>
        <v>0</v>
      </c>
      <c r="CV170" s="313">
        <f>'Hodnocení '!CV166</f>
        <v>0</v>
      </c>
      <c r="CW170" s="313">
        <f>'Hodnocení '!CW166</f>
        <v>0</v>
      </c>
      <c r="CX170" s="313">
        <f>'Hodnocení '!CX166</f>
        <v>0</v>
      </c>
      <c r="CY170" s="313">
        <f>'Hodnocení '!CY166</f>
        <v>0</v>
      </c>
      <c r="CZ170" s="313">
        <f>'Hodnocení '!CZ166</f>
        <v>0</v>
      </c>
      <c r="DA170" s="313">
        <f>'Hodnocení '!DA166</f>
        <v>0</v>
      </c>
      <c r="DB170" s="313">
        <f>'Hodnocení '!DB166</f>
        <v>0</v>
      </c>
      <c r="DC170" s="313">
        <f>'Hodnocení '!DC166</f>
        <v>0</v>
      </c>
      <c r="DD170" s="632">
        <f>'Hodnocení '!DD166</f>
        <v>1</v>
      </c>
      <c r="DE170" s="313">
        <f>'Hodnocení '!DE166</f>
        <v>0</v>
      </c>
      <c r="DF170" s="263">
        <f>'Hodnocení '!DF166</f>
        <v>0</v>
      </c>
      <c r="DG170" s="313">
        <f>'Hodnocení '!DG166</f>
        <v>0</v>
      </c>
      <c r="DH170" s="353">
        <f>'Hodnocení '!DH166</f>
        <v>2</v>
      </c>
      <c r="DI170" s="632">
        <f>'Hodnocení '!DI166</f>
        <v>1</v>
      </c>
      <c r="DJ170" s="632">
        <f>'Hodnocení '!DJ166</f>
        <v>1</v>
      </c>
      <c r="DK170" s="632">
        <f>'Hodnocení '!DK166</f>
        <v>1</v>
      </c>
      <c r="DL170" s="313">
        <f>'Hodnocení '!DL166</f>
        <v>0</v>
      </c>
      <c r="DM170" s="313">
        <f>'Hodnocení '!DM166</f>
        <v>0</v>
      </c>
      <c r="DN170" s="313">
        <f>'Hodnocení '!DN166</f>
        <v>0</v>
      </c>
      <c r="DO170" s="313">
        <f>'Hodnocení '!DO166</f>
        <v>0</v>
      </c>
      <c r="DP170" s="313">
        <f>'Hodnocení '!DP166</f>
        <v>0</v>
      </c>
      <c r="DQ170" s="313">
        <f>'Hodnocení '!DQ166</f>
        <v>0</v>
      </c>
      <c r="DR170" s="313">
        <f>'Hodnocení '!DR166</f>
        <v>0</v>
      </c>
      <c r="DS170" s="313">
        <f>'Hodnocení '!DS166</f>
        <v>0</v>
      </c>
      <c r="DT170" s="313">
        <f>'Hodnocení '!DT166</f>
        <v>0</v>
      </c>
      <c r="DU170" s="632">
        <f>'Hodnocení '!DU166</f>
        <v>1</v>
      </c>
      <c r="DV170" s="313">
        <f>'Hodnocení '!DV166</f>
        <v>0</v>
      </c>
      <c r="DW170" s="632">
        <f>'Hodnocení '!DW166</f>
        <v>1</v>
      </c>
      <c r="DX170" s="632">
        <f>'Hodnocení '!DX166</f>
        <v>1</v>
      </c>
      <c r="DY170" s="313">
        <f>'Hodnocení '!DY166</f>
        <v>0</v>
      </c>
      <c r="DZ170" s="313">
        <f>'Hodnocení '!DZ166</f>
        <v>0</v>
      </c>
      <c r="EA170" s="313" t="str">
        <f>'Hodnocení '!EA166</f>
        <v>stejně jako loni</v>
      </c>
      <c r="EB170" s="263">
        <f>'Hodnocení '!EB166</f>
        <v>0</v>
      </c>
      <c r="EC170" s="313">
        <f>'Hodnocení '!EC166</f>
        <v>0</v>
      </c>
      <c r="ED170" s="313">
        <f>'Hodnocení '!ED166</f>
        <v>0</v>
      </c>
      <c r="EE170" s="313">
        <f>'Hodnocení '!EE166</f>
        <v>0</v>
      </c>
      <c r="EF170" s="313">
        <f>'Hodnocení '!EF166</f>
        <v>0</v>
      </c>
      <c r="EG170" s="313">
        <f>'Hodnocení '!EG166</f>
        <v>0</v>
      </c>
      <c r="EH170" s="313">
        <f>'Hodnocení '!EH166</f>
        <v>0</v>
      </c>
      <c r="EI170" s="313">
        <f>'Hodnocení '!EI166</f>
        <v>0</v>
      </c>
      <c r="EJ170" s="632">
        <f>'Hodnocení '!EJ166</f>
        <v>1</v>
      </c>
      <c r="EK170" s="313">
        <f>'Hodnocení '!EK166</f>
        <v>0</v>
      </c>
      <c r="EL170" s="313">
        <f>'Hodnocení '!EL166</f>
        <v>0</v>
      </c>
      <c r="EM170" s="313">
        <f>'Hodnocení '!EM166</f>
        <v>0</v>
      </c>
      <c r="EN170" s="313">
        <f>'Hodnocení '!EN166</f>
        <v>0</v>
      </c>
      <c r="EO170" s="313">
        <f>'Hodnocení '!EO166</f>
        <v>0</v>
      </c>
      <c r="EP170" s="313">
        <f>'Hodnocení '!EP166</f>
        <v>0</v>
      </c>
      <c r="EQ170" s="313">
        <f>'Hodnocení '!EQ166</f>
        <v>0</v>
      </c>
      <c r="ER170" s="313">
        <f>'Hodnocení '!ER166</f>
        <v>0</v>
      </c>
      <c r="ES170" s="313">
        <f>'Hodnocení '!ES166</f>
        <v>0</v>
      </c>
      <c r="ET170" s="313">
        <f>'Hodnocení '!ET166</f>
        <v>0</v>
      </c>
      <c r="EU170" s="313">
        <f>'Hodnocení '!EU166</f>
        <v>0</v>
      </c>
      <c r="EV170" s="313">
        <f>'Hodnocení '!EV166</f>
        <v>0</v>
      </c>
      <c r="EW170" s="313">
        <f>'Hodnocení '!EW166</f>
        <v>0</v>
      </c>
      <c r="EX170" s="313">
        <f>'Hodnocení '!EX166</f>
        <v>0</v>
      </c>
      <c r="EY170" s="313">
        <f>'Hodnocení '!EY166</f>
        <v>0</v>
      </c>
      <c r="EZ170" s="313">
        <f>'Hodnocení '!EZ166</f>
        <v>0</v>
      </c>
      <c r="FA170" s="263">
        <f>'Hodnocení '!FA166</f>
        <v>0</v>
      </c>
      <c r="FB170" s="313">
        <f>'Hodnocení '!FB166</f>
        <v>0</v>
      </c>
      <c r="FC170" s="313">
        <f>'Hodnocení '!FC166</f>
        <v>0</v>
      </c>
      <c r="FD170" s="632">
        <f>'Hodnocení '!FD166</f>
        <v>1</v>
      </c>
      <c r="FE170" s="313">
        <f>'Hodnocení '!FE166</f>
        <v>0</v>
      </c>
      <c r="FF170" s="313">
        <f>'Hodnocení '!FF166</f>
        <v>0</v>
      </c>
      <c r="FG170" s="313">
        <f>'Hodnocení '!FG166</f>
        <v>0</v>
      </c>
      <c r="FH170" s="313">
        <f>'Hodnocení '!FH166</f>
        <v>0</v>
      </c>
      <c r="FI170" s="313">
        <f>'Hodnocení '!FI166</f>
        <v>0</v>
      </c>
      <c r="FJ170" s="313">
        <f>'Hodnocení '!FJ166</f>
        <v>0</v>
      </c>
      <c r="FK170" s="313">
        <f>'Hodnocení '!FK166</f>
        <v>0</v>
      </c>
      <c r="FL170" s="313">
        <f>'Hodnocení '!FL166</f>
        <v>0</v>
      </c>
      <c r="FM170" s="313">
        <f>'Hodnocení '!FM166</f>
        <v>0</v>
      </c>
      <c r="FN170" s="313">
        <f>'Hodnocení '!FN166</f>
        <v>0</v>
      </c>
      <c r="FO170" s="313">
        <f>'Hodnocení '!FO166</f>
        <v>0</v>
      </c>
      <c r="FP170" s="313">
        <f>'Hodnocení '!FP166</f>
        <v>0</v>
      </c>
      <c r="FQ170" s="313">
        <f>'Hodnocení '!FQ166</f>
        <v>0</v>
      </c>
      <c r="FR170" s="632">
        <f>'Hodnocení '!FR166</f>
        <v>1</v>
      </c>
      <c r="FS170" s="313">
        <f>'Hodnocení '!FS166</f>
        <v>0</v>
      </c>
      <c r="FT170" s="313">
        <f>'Hodnocení '!FT166</f>
        <v>0</v>
      </c>
      <c r="FU170" s="313">
        <f>'Hodnocení '!FU166</f>
        <v>0</v>
      </c>
      <c r="FV170" s="313">
        <f>'Hodnocení '!FV166</f>
        <v>0</v>
      </c>
      <c r="FW170" s="313">
        <f>'Hodnocení '!FW166</f>
        <v>0</v>
      </c>
      <c r="FX170" s="313">
        <f>'Hodnocení '!FX166</f>
        <v>0</v>
      </c>
      <c r="FY170" s="313">
        <f>'Hodnocení '!FY166</f>
        <v>0</v>
      </c>
      <c r="FZ170" s="313">
        <f>'Hodnocení '!FZ166</f>
        <v>0</v>
      </c>
      <c r="GA170" s="313">
        <f>'Hodnocení '!GA166</f>
        <v>0</v>
      </c>
      <c r="GB170" s="313">
        <f>'Hodnocení '!GB166</f>
        <v>0</v>
      </c>
      <c r="GC170" s="313">
        <f>'Hodnocení '!GC166</f>
        <v>0</v>
      </c>
      <c r="GD170" s="313">
        <f>'Hodnocení '!GD166</f>
        <v>0</v>
      </c>
      <c r="GE170" s="632">
        <f>'Hodnocení '!GE166</f>
        <v>1</v>
      </c>
      <c r="GF170" s="313">
        <f>'Hodnocení '!GF166</f>
        <v>0</v>
      </c>
      <c r="GG170" s="313">
        <f>'Hodnocení '!GG166</f>
        <v>0</v>
      </c>
      <c r="GH170" s="313">
        <f>'Hodnocení '!GH166</f>
        <v>0</v>
      </c>
      <c r="GI170" s="313">
        <f>'Hodnocení '!GI166</f>
        <v>0</v>
      </c>
      <c r="GJ170" s="313">
        <f>'Hodnocení '!GJ166</f>
        <v>0</v>
      </c>
      <c r="GK170" s="263">
        <f>'Hodnocení '!GK166</f>
        <v>0</v>
      </c>
      <c r="GL170" s="313">
        <f>'Hodnocení '!GL166</f>
        <v>0</v>
      </c>
      <c r="GM170" s="313">
        <f>'Hodnocení '!GM166</f>
        <v>0</v>
      </c>
      <c r="GN170" s="313">
        <f>'Hodnocení '!GN166</f>
        <v>0</v>
      </c>
      <c r="GO170" s="313">
        <f>'Hodnocení '!GO166</f>
        <v>0</v>
      </c>
      <c r="GP170" s="313">
        <f>'Hodnocení '!GP166</f>
        <v>0</v>
      </c>
      <c r="GQ170" s="313">
        <f>'Hodnocení '!GQ166</f>
        <v>0</v>
      </c>
      <c r="GR170" s="313">
        <f>'Hodnocení '!GR166</f>
        <v>0</v>
      </c>
      <c r="GS170" s="313">
        <f>'Hodnocení '!GS166</f>
        <v>0</v>
      </c>
      <c r="GT170" s="313">
        <f>'Hodnocení '!GT166</f>
        <v>0</v>
      </c>
      <c r="GU170" s="313">
        <f>'Hodnocení '!GU166</f>
        <v>0</v>
      </c>
      <c r="GV170" s="313">
        <f>'Hodnocení '!GV166</f>
        <v>0</v>
      </c>
      <c r="GW170" s="313">
        <f>'Hodnocení '!GW166</f>
        <v>0</v>
      </c>
      <c r="GX170" s="313">
        <f>'Hodnocení '!GX166</f>
        <v>0</v>
      </c>
      <c r="GY170" s="313">
        <f>'Hodnocení '!GY166</f>
        <v>0</v>
      </c>
      <c r="GZ170" s="632">
        <f>'Hodnocení '!GZ166</f>
        <v>1</v>
      </c>
      <c r="HA170" s="313">
        <f>'Hodnocení '!HA166</f>
        <v>0</v>
      </c>
      <c r="HB170" s="313">
        <f>'Hodnocení '!HB166</f>
        <v>0</v>
      </c>
      <c r="HC170" s="313">
        <f>'Hodnocení '!HC166</f>
        <v>0</v>
      </c>
      <c r="HD170" s="313">
        <f>'Hodnocení '!HD166</f>
        <v>0</v>
      </c>
      <c r="HE170" s="313">
        <f>'Hodnocení '!HE166</f>
        <v>0</v>
      </c>
      <c r="HF170" s="313">
        <f>'Hodnocení '!HF166</f>
        <v>0</v>
      </c>
      <c r="HG170" s="313">
        <f>'Hodnocení '!HG166</f>
        <v>0</v>
      </c>
      <c r="HH170" s="313">
        <f>'Hodnocení '!HH166</f>
        <v>0</v>
      </c>
      <c r="HI170" s="313">
        <f>'Hodnocení '!HI166</f>
        <v>0</v>
      </c>
      <c r="HJ170" s="632">
        <f>'Hodnocení '!HJ166</f>
        <v>1</v>
      </c>
      <c r="HK170" s="313">
        <f>'Hodnocení '!HK166</f>
        <v>0</v>
      </c>
      <c r="HL170" s="313">
        <f>'Hodnocení '!HL166</f>
        <v>0</v>
      </c>
      <c r="HM170" s="313">
        <f>'Hodnocení '!HM166</f>
        <v>0</v>
      </c>
      <c r="HN170" s="313">
        <f>'Hodnocení '!HN166</f>
        <v>0</v>
      </c>
      <c r="HO170" s="632">
        <f>'Hodnocení '!HO166</f>
        <v>1</v>
      </c>
      <c r="HP170" s="313">
        <f>'Hodnocení '!HP166</f>
        <v>0</v>
      </c>
      <c r="HQ170" s="313">
        <f>'Hodnocení '!HQ166</f>
        <v>0</v>
      </c>
      <c r="HR170" s="313">
        <f>'Hodnocení '!HR166</f>
        <v>0</v>
      </c>
      <c r="HS170" s="313">
        <f>'Hodnocení '!HS166</f>
        <v>0</v>
      </c>
      <c r="HT170" s="313">
        <f>'Hodnocení '!HT166</f>
        <v>0</v>
      </c>
      <c r="HU170" s="313">
        <f>'Hodnocení '!HU166</f>
        <v>0</v>
      </c>
      <c r="HV170" s="313">
        <f>'Hodnocení '!HV166</f>
        <v>0</v>
      </c>
      <c r="HW170" s="313">
        <f>'Hodnocení '!HW166</f>
        <v>0</v>
      </c>
      <c r="HX170" s="313">
        <f>'Hodnocení '!HX166</f>
        <v>0</v>
      </c>
      <c r="HY170" s="313">
        <f>'Hodnocení '!HY166</f>
        <v>0</v>
      </c>
      <c r="HZ170" s="313">
        <f>'Hodnocení '!HZ166</f>
        <v>0</v>
      </c>
      <c r="IA170" s="313">
        <f>'Hodnocení '!IA166</f>
        <v>0</v>
      </c>
      <c r="IB170" s="313">
        <f>'Hodnocení '!IB166</f>
        <v>0</v>
      </c>
      <c r="IC170" s="313">
        <f>'Hodnocení '!IC166</f>
        <v>0</v>
      </c>
      <c r="ID170" s="313">
        <f>'Hodnocení '!ID166</f>
        <v>0</v>
      </c>
      <c r="IE170" s="313">
        <f>'Hodnocení '!IE166</f>
        <v>0</v>
      </c>
      <c r="IF170" s="313">
        <f>'Hodnocení '!IF166</f>
        <v>0</v>
      </c>
      <c r="IG170" s="313">
        <f>'Hodnocení '!IG166</f>
        <v>0</v>
      </c>
      <c r="IH170" s="313">
        <f>'Hodnocení '!IH166</f>
        <v>0</v>
      </c>
      <c r="II170" s="313">
        <f>'Hodnocení '!II166</f>
        <v>0</v>
      </c>
      <c r="IJ170" s="313">
        <f>'Hodnocení '!IJ166</f>
        <v>0</v>
      </c>
      <c r="IK170" s="313">
        <f>'Hodnocení '!IK166</f>
        <v>0</v>
      </c>
      <c r="IL170" s="313">
        <f>'Hodnocení '!IL166</f>
        <v>0</v>
      </c>
      <c r="IM170" s="313">
        <f>'Hodnocení '!IM166</f>
        <v>0</v>
      </c>
      <c r="IN170" s="313">
        <f>'Hodnocení '!IN166</f>
        <v>0</v>
      </c>
      <c r="IO170" s="313">
        <f>'Hodnocení '!IO166</f>
        <v>0</v>
      </c>
      <c r="IP170" s="313">
        <f>'Hodnocení '!IP166</f>
        <v>0</v>
      </c>
      <c r="IQ170" s="313">
        <f>'Hodnocení '!IQ166</f>
        <v>0</v>
      </c>
      <c r="IR170" s="313">
        <f>'Hodnocení '!IR166</f>
        <v>0</v>
      </c>
      <c r="IS170" s="313">
        <f>'Hodnocení '!IS166</f>
        <v>0</v>
      </c>
      <c r="IT170" s="313">
        <f>'Hodnocení '!IT166</f>
        <v>0</v>
      </c>
      <c r="IU170" s="313">
        <f>'Hodnocení '!IU166</f>
        <v>0</v>
      </c>
      <c r="IV170" s="313">
        <f>'Hodnocení '!IV166</f>
        <v>0</v>
      </c>
      <c r="IW170" s="313">
        <f>'Hodnocení '!IW166</f>
        <v>0</v>
      </c>
      <c r="IX170" s="313">
        <f>'Hodnocení '!IX166</f>
        <v>0</v>
      </c>
      <c r="IY170" s="313">
        <f>'Hodnocení '!IY166</f>
        <v>0</v>
      </c>
      <c r="IZ170" s="313">
        <f>'Hodnocení '!IZ166</f>
        <v>0</v>
      </c>
      <c r="JA170" s="313">
        <f>'Hodnocení '!JA166</f>
        <v>0</v>
      </c>
      <c r="JB170" s="313">
        <f>'Hodnocení '!JB166</f>
        <v>0</v>
      </c>
      <c r="JC170" s="313">
        <f>'Hodnocení '!JC166</f>
        <v>0</v>
      </c>
      <c r="JD170" s="313">
        <f>'Hodnocení '!JD166</f>
        <v>0</v>
      </c>
      <c r="JE170" s="313">
        <f>'Hodnocení '!JE166</f>
        <v>0</v>
      </c>
      <c r="JF170" s="313">
        <f>'Hodnocení '!JF166</f>
        <v>0</v>
      </c>
      <c r="JG170" s="632">
        <f>'Hodnocení '!JG166</f>
        <v>0</v>
      </c>
      <c r="JH170" s="313">
        <f>'Hodnocení '!JH166</f>
        <v>0</v>
      </c>
      <c r="JI170" s="313">
        <f>'Hodnocení '!JI166</f>
        <v>0</v>
      </c>
    </row>
    <row r="171" spans="2:276" hidden="1" x14ac:dyDescent="0.25">
      <c r="C171" s="314">
        <f t="shared" ref="C171:AH171" si="81">C163/1.34/12/C30</f>
        <v>3841.4800995024875</v>
      </c>
      <c r="D171" s="314">
        <f t="shared" si="81"/>
        <v>4860.7656163626307</v>
      </c>
      <c r="E171" s="314">
        <f t="shared" si="81"/>
        <v>300.77553409423473</v>
      </c>
      <c r="F171" s="314">
        <f t="shared" si="81"/>
        <v>924.31102912404253</v>
      </c>
      <c r="G171" s="314">
        <f t="shared" si="81"/>
        <v>5154.1207008436077</v>
      </c>
      <c r="H171" s="314">
        <f t="shared" si="81"/>
        <v>2270.2603686881207</v>
      </c>
      <c r="I171" s="314">
        <f t="shared" si="81"/>
        <v>12463.97631781535</v>
      </c>
      <c r="J171" s="314">
        <f t="shared" si="81"/>
        <v>1331.9426047292234</v>
      </c>
      <c r="K171" s="314">
        <f t="shared" si="81"/>
        <v>4274.032614704256</v>
      </c>
      <c r="L171" s="314">
        <f t="shared" si="81"/>
        <v>0</v>
      </c>
      <c r="M171" s="314">
        <f t="shared" si="81"/>
        <v>210.6896075179657</v>
      </c>
      <c r="N171" s="314">
        <f t="shared" si="81"/>
        <v>0</v>
      </c>
      <c r="O171" s="314">
        <f t="shared" si="81"/>
        <v>1549.2041440245227</v>
      </c>
      <c r="P171" s="314">
        <f t="shared" si="81"/>
        <v>1679.3221393034826</v>
      </c>
      <c r="Q171" s="314">
        <f t="shared" si="81"/>
        <v>8550.373134328358</v>
      </c>
      <c r="R171" s="314">
        <f t="shared" si="81"/>
        <v>-1784.978516508369</v>
      </c>
      <c r="S171" s="314">
        <f t="shared" si="81"/>
        <v>-7.5708414450750758E-2</v>
      </c>
      <c r="T171" s="314">
        <f t="shared" si="81"/>
        <v>1954.8507462686566</v>
      </c>
      <c r="U171" s="314">
        <f t="shared" si="81"/>
        <v>-485.24046434494198</v>
      </c>
      <c r="V171" s="314">
        <f t="shared" si="81"/>
        <v>-1477.3643819426143</v>
      </c>
      <c r="W171" s="314">
        <f t="shared" si="81"/>
        <v>3298.723772442137</v>
      </c>
      <c r="X171" s="314">
        <f t="shared" si="81"/>
        <v>20212.475826845839</v>
      </c>
      <c r="Y171" s="314">
        <f t="shared" si="81"/>
        <v>197.93010257355201</v>
      </c>
      <c r="Z171" s="314">
        <f t="shared" si="81"/>
        <v>1693.6821269994116</v>
      </c>
      <c r="AA171" s="314">
        <f t="shared" si="81"/>
        <v>4092.9726368159204</v>
      </c>
      <c r="AB171" s="314">
        <f t="shared" si="81"/>
        <v>2318.4775423581391</v>
      </c>
      <c r="AC171" s="314">
        <f t="shared" si="81"/>
        <v>-102052.23880597013</v>
      </c>
      <c r="AD171" s="314">
        <f t="shared" si="81"/>
        <v>16256.218905472635</v>
      </c>
      <c r="AE171" s="314">
        <f t="shared" si="81"/>
        <v>2811.0550190225345</v>
      </c>
      <c r="AF171" s="314">
        <f t="shared" si="81"/>
        <v>15996.494321640741</v>
      </c>
      <c r="AG171" s="314">
        <f t="shared" si="81"/>
        <v>1111.0341151385926</v>
      </c>
      <c r="AH171" s="314">
        <f t="shared" si="81"/>
        <v>-265.80333625987709</v>
      </c>
      <c r="AI171" s="314">
        <f t="shared" ref="AI171:BN171" si="82">AI163/1.34/12/AI30</f>
        <v>2945.2505454167672</v>
      </c>
      <c r="AJ171" s="314">
        <f t="shared" si="82"/>
        <v>1163.4535655058041</v>
      </c>
      <c r="AK171" s="314">
        <f t="shared" si="82"/>
        <v>1598.999052357261</v>
      </c>
      <c r="AL171" s="314">
        <f t="shared" si="82"/>
        <v>1917.3714759535653</v>
      </c>
      <c r="AM171" s="314">
        <f t="shared" si="82"/>
        <v>3708.1852641554128</v>
      </c>
      <c r="AN171" s="314">
        <f t="shared" si="82"/>
        <v>0</v>
      </c>
      <c r="AO171" s="314">
        <f t="shared" si="82"/>
        <v>3152.5445261337459</v>
      </c>
      <c r="AP171" s="314">
        <f t="shared" si="82"/>
        <v>-466.71125504552708</v>
      </c>
      <c r="AQ171" s="314">
        <f t="shared" si="82"/>
        <v>0.31094527363184077</v>
      </c>
      <c r="AR171" s="314">
        <f t="shared" si="82"/>
        <v>11087.589828634604</v>
      </c>
      <c r="AS171" s="314">
        <f t="shared" si="82"/>
        <v>275.49751243781094</v>
      </c>
      <c r="AT171" s="314">
        <f t="shared" si="82"/>
        <v>5.292685508627077E-2</v>
      </c>
      <c r="AU171" s="314">
        <f t="shared" si="82"/>
        <v>3807.0584577114428</v>
      </c>
      <c r="AV171" s="314">
        <f t="shared" si="82"/>
        <v>2888.9872670545574</v>
      </c>
      <c r="AW171" s="314">
        <f t="shared" si="82"/>
        <v>3389.7455558869742</v>
      </c>
      <c r="AX171" s="314">
        <f t="shared" si="82"/>
        <v>0</v>
      </c>
      <c r="AY171" s="314">
        <f t="shared" si="82"/>
        <v>2708.6821263610354</v>
      </c>
      <c r="AZ171" s="314">
        <f t="shared" si="82"/>
        <v>680.18424361707946</v>
      </c>
      <c r="BA171" s="314">
        <f t="shared" si="82"/>
        <v>4374.2816923136252</v>
      </c>
      <c r="BB171" s="314">
        <f t="shared" si="82"/>
        <v>9583.5297198219432</v>
      </c>
      <c r="BC171" s="314">
        <f t="shared" si="82"/>
        <v>7037.0188531029071</v>
      </c>
      <c r="BD171" s="314">
        <f t="shared" si="82"/>
        <v>14597.05150717003</v>
      </c>
      <c r="BE171" s="314">
        <f t="shared" si="82"/>
        <v>3084.0212029416689</v>
      </c>
      <c r="BF171" s="314">
        <f t="shared" si="82"/>
        <v>1987.6228613032399</v>
      </c>
      <c r="BG171" s="314">
        <f t="shared" si="82"/>
        <v>2406.4676616915422</v>
      </c>
      <c r="BH171" s="314">
        <f t="shared" si="82"/>
        <v>1374.0211983560457</v>
      </c>
      <c r="BI171" s="314">
        <f t="shared" si="82"/>
        <v>-1817.0577789518479</v>
      </c>
      <c r="BJ171" s="314">
        <f t="shared" si="82"/>
        <v>908.83750888415068</v>
      </c>
      <c r="BK171" s="314">
        <f t="shared" si="82"/>
        <v>4832.9779673063249</v>
      </c>
      <c r="BL171" s="314">
        <f t="shared" si="82"/>
        <v>25731.569425599271</v>
      </c>
      <c r="BM171" s="314">
        <f t="shared" si="82"/>
        <v>16513.526119402984</v>
      </c>
      <c r="BN171" s="314">
        <f t="shared" si="82"/>
        <v>1402.8141734077701</v>
      </c>
      <c r="BO171" s="314">
        <f t="shared" ref="BO171:BW171" si="83">BO163/1.34/12/BO30</f>
        <v>10011.055831951353</v>
      </c>
      <c r="BP171" s="314">
        <f t="shared" si="83"/>
        <v>5805.1541654783405</v>
      </c>
      <c r="BQ171" s="314">
        <f t="shared" si="83"/>
        <v>1719.5249626234149</v>
      </c>
      <c r="BR171" s="314">
        <f t="shared" si="83"/>
        <v>6388.4282292242478</v>
      </c>
      <c r="BS171" s="314">
        <f t="shared" si="83"/>
        <v>-345.4947484798231</v>
      </c>
      <c r="BT171" s="314">
        <f t="shared" si="83"/>
        <v>2241.2935323383085</v>
      </c>
      <c r="BU171" s="314">
        <f t="shared" si="83"/>
        <v>1.397506847783554E-2</v>
      </c>
      <c r="BV171" s="314">
        <f t="shared" si="83"/>
        <v>15262.230514096185</v>
      </c>
      <c r="BW171" s="314">
        <f t="shared" si="83"/>
        <v>-0.46641791044776115</v>
      </c>
      <c r="BX171" s="314">
        <f>(BX159-BX161)/1.34/12/BX30</f>
        <v>4267.9711200097072</v>
      </c>
      <c r="BY171" s="314">
        <f t="shared" ref="BY171:DD171" si="84">BY163/1.34/12/BY30</f>
        <v>-0.24875621890547261</v>
      </c>
      <c r="BZ171" s="314">
        <f t="shared" si="84"/>
        <v>0</v>
      </c>
      <c r="CA171" s="314" t="e">
        <f t="shared" si="84"/>
        <v>#DIV/0!</v>
      </c>
      <c r="CB171" s="314">
        <f t="shared" si="84"/>
        <v>-0.62189054726368154</v>
      </c>
      <c r="CC171" s="314">
        <f t="shared" si="84"/>
        <v>2251.0907003444313</v>
      </c>
      <c r="CD171" s="314">
        <f t="shared" si="84"/>
        <v>-589.92537313432831</v>
      </c>
      <c r="CE171" s="314">
        <f t="shared" si="84"/>
        <v>3166.8133802816901</v>
      </c>
      <c r="CF171" s="314">
        <f t="shared" si="84"/>
        <v>1443.0122116689281</v>
      </c>
      <c r="CG171" s="314">
        <f t="shared" si="84"/>
        <v>8863.432835820895</v>
      </c>
      <c r="CH171" s="314">
        <f t="shared" si="84"/>
        <v>18975.937764280574</v>
      </c>
      <c r="CI171" s="314">
        <f t="shared" si="84"/>
        <v>6443.607142452739</v>
      </c>
      <c r="CJ171" s="314">
        <f t="shared" si="84"/>
        <v>3562.2865353927027</v>
      </c>
      <c r="CK171" s="314">
        <f t="shared" si="84"/>
        <v>2945.3489508268799</v>
      </c>
      <c r="CL171" s="314">
        <f t="shared" si="84"/>
        <v>2522.9677693734852</v>
      </c>
      <c r="CM171" s="314">
        <f t="shared" si="84"/>
        <v>3072.4946695095946</v>
      </c>
      <c r="CN171" s="314">
        <f t="shared" si="84"/>
        <v>0.15111940298826013</v>
      </c>
      <c r="CO171" s="314">
        <f t="shared" si="84"/>
        <v>0</v>
      </c>
      <c r="CP171" s="314">
        <f t="shared" si="84"/>
        <v>0.14116915423001408</v>
      </c>
      <c r="CQ171" s="314">
        <f t="shared" si="84"/>
        <v>6496.0685080345402</v>
      </c>
      <c r="CR171" s="314">
        <f t="shared" si="84"/>
        <v>8884.2039800995008</v>
      </c>
      <c r="CS171" s="314">
        <f t="shared" si="84"/>
        <v>32551.067602438834</v>
      </c>
      <c r="CT171" s="314">
        <f t="shared" si="84"/>
        <v>7637.5249677174779</v>
      </c>
      <c r="CU171" s="314">
        <f t="shared" si="84"/>
        <v>7377.1766169154225</v>
      </c>
      <c r="CV171" s="314">
        <f t="shared" si="84"/>
        <v>3468.3966530981456</v>
      </c>
      <c r="CW171" s="314">
        <f t="shared" si="84"/>
        <v>13329.08374792703</v>
      </c>
      <c r="CX171" s="314">
        <f t="shared" si="84"/>
        <v>1818.6843559977885</v>
      </c>
      <c r="CY171" s="314">
        <f t="shared" si="84"/>
        <v>1264.1216991963261</v>
      </c>
      <c r="CZ171" s="314">
        <f t="shared" si="84"/>
        <v>10171.365395245992</v>
      </c>
      <c r="DA171" s="314">
        <f t="shared" si="84"/>
        <v>6127.5171760246376</v>
      </c>
      <c r="DB171" s="314">
        <f t="shared" si="84"/>
        <v>4016.9803158122431</v>
      </c>
      <c r="DC171" s="314">
        <f t="shared" si="84"/>
        <v>5825.4560530679928</v>
      </c>
      <c r="DD171" s="314">
        <f t="shared" si="84"/>
        <v>5722.360246499311</v>
      </c>
      <c r="DE171" s="314">
        <f t="shared" ref="DE171:EJ171" si="85">DE163/1.34/12/DE30</f>
        <v>2543.1532812129826</v>
      </c>
      <c r="DF171" s="314">
        <f t="shared" si="85"/>
        <v>-3293.6034115138596</v>
      </c>
      <c r="DG171" s="314">
        <f t="shared" si="85"/>
        <v>10664.070949599827</v>
      </c>
      <c r="DH171" s="314">
        <f t="shared" si="85"/>
        <v>12159.335588694199</v>
      </c>
      <c r="DI171" s="314">
        <f t="shared" si="85"/>
        <v>1683.9177606062326</v>
      </c>
      <c r="DJ171" s="314">
        <f t="shared" si="85"/>
        <v>785.17876629270529</v>
      </c>
      <c r="DK171" s="314">
        <f t="shared" si="85"/>
        <v>29617.214251811085</v>
      </c>
      <c r="DL171" s="314">
        <f t="shared" si="85"/>
        <v>-2.7639579878385848E-2</v>
      </c>
      <c r="DM171" s="314">
        <f t="shared" si="85"/>
        <v>1935.2329262777021</v>
      </c>
      <c r="DN171" s="314">
        <f t="shared" si="85"/>
        <v>6466.6770315091208</v>
      </c>
      <c r="DO171" s="314">
        <f t="shared" si="85"/>
        <v>140.70273631840794</v>
      </c>
      <c r="DP171" s="314">
        <f t="shared" si="85"/>
        <v>-3.6165327208143021E-2</v>
      </c>
      <c r="DQ171" s="314">
        <f t="shared" si="85"/>
        <v>301.90649804413044</v>
      </c>
      <c r="DR171" s="314">
        <f t="shared" si="85"/>
        <v>-450.71310116086238</v>
      </c>
      <c r="DS171" s="314">
        <f t="shared" si="85"/>
        <v>13606.965174129353</v>
      </c>
      <c r="DT171" s="314">
        <f t="shared" si="85"/>
        <v>986.93575916040243</v>
      </c>
      <c r="DU171" s="314">
        <f t="shared" si="85"/>
        <v>293.98263897512231</v>
      </c>
      <c r="DV171" s="314">
        <f t="shared" si="85"/>
        <v>6567.6421610953494</v>
      </c>
      <c r="DW171" s="314">
        <f t="shared" si="85"/>
        <v>7823.4320104791695</v>
      </c>
      <c r="DX171" s="314">
        <f t="shared" si="85"/>
        <v>4496.2806188635104</v>
      </c>
      <c r="DY171" s="314">
        <f t="shared" si="85"/>
        <v>4756.253454947484</v>
      </c>
      <c r="DZ171" s="314">
        <f t="shared" si="85"/>
        <v>302.23088379757263</v>
      </c>
      <c r="EA171" s="314">
        <f t="shared" si="85"/>
        <v>1.5547263681592038E-2</v>
      </c>
      <c r="EB171" s="314">
        <f t="shared" si="85"/>
        <v>870.27823843744238</v>
      </c>
      <c r="EC171" s="314">
        <f t="shared" si="85"/>
        <v>1496.0936060438546</v>
      </c>
      <c r="ED171" s="314">
        <f t="shared" si="85"/>
        <v>3584.9389416553599</v>
      </c>
      <c r="EE171" s="314">
        <f t="shared" si="85"/>
        <v>2507.8953060783042</v>
      </c>
      <c r="EF171" s="314">
        <f t="shared" si="85"/>
        <v>-153.61144278606801</v>
      </c>
      <c r="EG171" s="314">
        <f t="shared" si="85"/>
        <v>-293.22035655057948</v>
      </c>
      <c r="EH171" s="314">
        <f t="shared" si="85"/>
        <v>1757.7114427860695</v>
      </c>
      <c r="EI171" s="314">
        <f t="shared" si="85"/>
        <v>4059.950248756219</v>
      </c>
      <c r="EJ171" s="314">
        <f t="shared" si="85"/>
        <v>8555.7804058594556</v>
      </c>
      <c r="EK171" s="314">
        <f t="shared" ref="EK171:FP171" si="86">EK163/1.34/12/EK30</f>
        <v>-1151.1273666591374</v>
      </c>
      <c r="EL171" s="314">
        <f t="shared" si="86"/>
        <v>972.34374106479106</v>
      </c>
      <c r="EM171" s="314">
        <f t="shared" si="86"/>
        <v>756.24151967435546</v>
      </c>
      <c r="EN171" s="314">
        <f t="shared" si="86"/>
        <v>2347.6723525230987</v>
      </c>
      <c r="EO171" s="314">
        <f t="shared" si="86"/>
        <v>11722.947761194029</v>
      </c>
      <c r="EP171" s="314">
        <f t="shared" si="86"/>
        <v>11829.794479981045</v>
      </c>
      <c r="EQ171" s="314">
        <f t="shared" si="86"/>
        <v>2368.8557213930344</v>
      </c>
      <c r="ER171" s="314">
        <f t="shared" si="86"/>
        <v>2337.1890547263679</v>
      </c>
      <c r="ES171" s="314">
        <f t="shared" si="86"/>
        <v>1091.3857595332054</v>
      </c>
      <c r="ET171" s="314">
        <f t="shared" si="86"/>
        <v>26692.134565268891</v>
      </c>
      <c r="EU171" s="314">
        <f t="shared" si="86"/>
        <v>26848.516040487219</v>
      </c>
      <c r="EV171" s="314">
        <f t="shared" si="86"/>
        <v>13529.539800995024</v>
      </c>
      <c r="EW171" s="314">
        <f t="shared" si="86"/>
        <v>1027.826147042565</v>
      </c>
      <c r="EX171" s="314">
        <f t="shared" si="86"/>
        <v>459.71230802509189</v>
      </c>
      <c r="EY171" s="314">
        <f t="shared" si="86"/>
        <v>197.96849087893864</v>
      </c>
      <c r="EZ171" s="314">
        <f t="shared" si="86"/>
        <v>-2946.0675346670901</v>
      </c>
      <c r="FA171" s="314">
        <f t="shared" si="86"/>
        <v>2347.732491389208</v>
      </c>
      <c r="FB171" s="314">
        <f t="shared" si="86"/>
        <v>4381.9098949695963</v>
      </c>
      <c r="FC171" s="314">
        <f t="shared" si="86"/>
        <v>160.21844380053335</v>
      </c>
      <c r="FD171" s="314">
        <f t="shared" si="86"/>
        <v>7130.4398631912463</v>
      </c>
      <c r="FE171" s="314">
        <f t="shared" si="86"/>
        <v>5021.766169154228</v>
      </c>
      <c r="FF171" s="314">
        <f t="shared" si="86"/>
        <v>3104.3819364714882</v>
      </c>
      <c r="FG171" s="314">
        <f t="shared" si="86"/>
        <v>2793.1652311131566</v>
      </c>
      <c r="FH171" s="314">
        <f t="shared" si="86"/>
        <v>687.96324499949242</v>
      </c>
      <c r="FI171" s="314">
        <f t="shared" si="86"/>
        <v>4892.2939015858201</v>
      </c>
      <c r="FJ171" s="314">
        <f t="shared" si="86"/>
        <v>2141.4334577114428</v>
      </c>
      <c r="FK171" s="314">
        <f t="shared" si="86"/>
        <v>-5121.019900497512</v>
      </c>
      <c r="FL171" s="314">
        <f t="shared" si="86"/>
        <v>-9708.7064676616919</v>
      </c>
      <c r="FM171" s="314">
        <f t="shared" si="86"/>
        <v>-9103.3041315163318</v>
      </c>
      <c r="FN171" s="314">
        <f t="shared" si="86"/>
        <v>2069.0991188488406</v>
      </c>
      <c r="FO171" s="314">
        <f t="shared" si="86"/>
        <v>-74.228973615335633</v>
      </c>
      <c r="FP171" s="314">
        <f t="shared" si="86"/>
        <v>367.35607675906175</v>
      </c>
      <c r="FQ171" s="314">
        <f t="shared" ref="FQ171:GV171" si="87">FQ163/1.34/12/FQ30</f>
        <v>1023.3029876794041</v>
      </c>
      <c r="FR171" s="314">
        <f t="shared" si="87"/>
        <v>0</v>
      </c>
      <c r="FS171" s="314">
        <f t="shared" si="87"/>
        <v>-674.62686567164178</v>
      </c>
      <c r="FT171" s="314">
        <f t="shared" si="87"/>
        <v>1633.2865586596929</v>
      </c>
      <c r="FU171" s="314" t="e">
        <f t="shared" si="87"/>
        <v>#DIV/0!</v>
      </c>
      <c r="FV171" s="314">
        <f t="shared" si="87"/>
        <v>2.8473656690532771</v>
      </c>
      <c r="FW171" s="314">
        <f t="shared" si="87"/>
        <v>-965.26297085998567</v>
      </c>
      <c r="FX171" s="314">
        <f t="shared" si="87"/>
        <v>580.54963278843877</v>
      </c>
      <c r="FY171" s="314">
        <f t="shared" si="87"/>
        <v>-497.04601990049747</v>
      </c>
      <c r="FZ171" s="314">
        <f t="shared" si="87"/>
        <v>-19.667288557213929</v>
      </c>
      <c r="GA171" s="314">
        <f t="shared" si="87"/>
        <v>7.855459544383347</v>
      </c>
      <c r="GB171" s="314">
        <f t="shared" si="87"/>
        <v>1798.9002356637859</v>
      </c>
      <c r="GC171" s="314">
        <f t="shared" si="87"/>
        <v>120.8877487562189</v>
      </c>
      <c r="GD171" s="314">
        <f t="shared" si="87"/>
        <v>1729.8185795162119</v>
      </c>
      <c r="GE171" s="314">
        <f t="shared" si="87"/>
        <v>-2130.2653529439508</v>
      </c>
      <c r="GF171" s="314">
        <f t="shared" si="87"/>
        <v>1699.3845327353838</v>
      </c>
      <c r="GG171" s="314">
        <f t="shared" si="87"/>
        <v>-2576.2010261194027</v>
      </c>
      <c r="GH171" s="314">
        <f t="shared" si="87"/>
        <v>-899.85755867963064</v>
      </c>
      <c r="GI171" s="314">
        <f t="shared" si="87"/>
        <v>1989.5915895466571</v>
      </c>
      <c r="GJ171" s="314">
        <f t="shared" si="87"/>
        <v>1427.5131694468832</v>
      </c>
      <c r="GK171" s="314">
        <f t="shared" si="87"/>
        <v>-625.4847435824679</v>
      </c>
      <c r="GL171" s="314">
        <f t="shared" si="87"/>
        <v>-1800.3276301419733</v>
      </c>
      <c r="GM171" s="314">
        <f t="shared" si="87"/>
        <v>-1606.3300518683179</v>
      </c>
      <c r="GN171" s="314">
        <f t="shared" si="87"/>
        <v>5772.8233830845775</v>
      </c>
      <c r="GO171" s="314">
        <f t="shared" si="87"/>
        <v>3198.6841156536161</v>
      </c>
      <c r="GP171" s="314">
        <f t="shared" si="87"/>
        <v>-809.81456354590671</v>
      </c>
      <c r="GQ171" s="314">
        <f t="shared" si="87"/>
        <v>-4869.2899140660329</v>
      </c>
      <c r="GR171" s="314">
        <f t="shared" si="87"/>
        <v>-1610.9483733978084</v>
      </c>
      <c r="GS171" s="314">
        <f t="shared" si="87"/>
        <v>-5158.146766169154</v>
      </c>
      <c r="GT171" s="314">
        <f t="shared" si="87"/>
        <v>697.52066115702462</v>
      </c>
      <c r="GU171" s="314">
        <f t="shared" si="87"/>
        <v>1092.9309391738625</v>
      </c>
      <c r="GV171" s="314">
        <f t="shared" si="87"/>
        <v>166.62520729684908</v>
      </c>
      <c r="GW171" s="314">
        <f t="shared" ref="GW171:IB171" si="88">GW163/1.34/12/GW30</f>
        <v>-2655.4173576561639</v>
      </c>
      <c r="GX171" s="314">
        <f t="shared" si="88"/>
        <v>-158.50892595844306</v>
      </c>
      <c r="GY171" s="314">
        <f t="shared" si="88"/>
        <v>435.16791044776119</v>
      </c>
      <c r="GZ171" s="314">
        <f t="shared" si="88"/>
        <v>33404.029760514924</v>
      </c>
      <c r="HA171" s="314">
        <f t="shared" si="88"/>
        <v>838.10116086235485</v>
      </c>
      <c r="HB171" s="314">
        <f t="shared" si="88"/>
        <v>1153.3075363921134</v>
      </c>
      <c r="HC171" s="314">
        <f t="shared" si="88"/>
        <v>906.06060606060612</v>
      </c>
      <c r="HD171" s="314">
        <f t="shared" si="88"/>
        <v>3943.174751243781</v>
      </c>
      <c r="HE171" s="314">
        <f t="shared" si="88"/>
        <v>1464.9885252293204</v>
      </c>
      <c r="HF171" s="314">
        <f t="shared" si="88"/>
        <v>803.37348345989358</v>
      </c>
      <c r="HG171" s="314">
        <f t="shared" si="88"/>
        <v>-790.42288557213908</v>
      </c>
      <c r="HH171" s="314">
        <f t="shared" si="88"/>
        <v>-1023.4363894811655</v>
      </c>
      <c r="HI171" s="314">
        <f t="shared" si="88"/>
        <v>-1683.3519900497511</v>
      </c>
      <c r="HJ171" s="314">
        <f t="shared" si="88"/>
        <v>15623.408924800007</v>
      </c>
      <c r="HK171" s="314">
        <f t="shared" si="88"/>
        <v>-3444.3168771526975</v>
      </c>
      <c r="HL171" s="314">
        <f t="shared" si="88"/>
        <v>2862.1205592575293</v>
      </c>
      <c r="HM171" s="314">
        <f t="shared" si="88"/>
        <v>2523.4966161977159</v>
      </c>
      <c r="HN171" s="314">
        <f t="shared" si="88"/>
        <v>26369.663595260605</v>
      </c>
      <c r="HO171" s="314">
        <f t="shared" si="88"/>
        <v>3635.1264604448588</v>
      </c>
      <c r="HP171" s="314">
        <f t="shared" si="88"/>
        <v>2535.4022570076445</v>
      </c>
      <c r="HQ171" s="314">
        <f t="shared" si="88"/>
        <v>15913.140511299127</v>
      </c>
      <c r="HR171" s="314">
        <f t="shared" si="88"/>
        <v>3497.1876010411574</v>
      </c>
      <c r="HS171" s="314">
        <f t="shared" si="88"/>
        <v>7200.8380817880998</v>
      </c>
      <c r="HT171" s="314">
        <f t="shared" si="88"/>
        <v>2408.4219056233978</v>
      </c>
      <c r="HU171" s="314">
        <f t="shared" si="88"/>
        <v>1024.8706467661691</v>
      </c>
      <c r="HV171" s="314">
        <f t="shared" si="88"/>
        <v>4165.3474648036408</v>
      </c>
      <c r="HW171" s="314">
        <f t="shared" si="88"/>
        <v>-8339.1118063600225</v>
      </c>
      <c r="HX171" s="314">
        <f t="shared" si="88"/>
        <v>5576.134109663335</v>
      </c>
      <c r="HY171" s="314">
        <f t="shared" si="88"/>
        <v>3187.9872544494024</v>
      </c>
      <c r="HZ171" s="314">
        <f t="shared" si="88"/>
        <v>3621.7691305377875</v>
      </c>
      <c r="IA171" s="314">
        <f t="shared" si="88"/>
        <v>1860.2720095176289</v>
      </c>
      <c r="IB171" s="314">
        <f t="shared" si="88"/>
        <v>4011.1909203980094</v>
      </c>
      <c r="IC171" s="314">
        <f t="shared" ref="IC171:JH171" si="89">IC163/1.34/12/IC30</f>
        <v>2062.3834852900022</v>
      </c>
      <c r="ID171" s="314">
        <f t="shared" si="89"/>
        <v>1864.4394855823368</v>
      </c>
      <c r="IE171" s="314">
        <f t="shared" si="89"/>
        <v>4069.9246821448314</v>
      </c>
      <c r="IF171" s="314">
        <f t="shared" si="89"/>
        <v>991.41935468555675</v>
      </c>
      <c r="IG171" s="314">
        <f t="shared" si="89"/>
        <v>654.64256870018721</v>
      </c>
      <c r="IH171" s="314">
        <f t="shared" si="89"/>
        <v>5656.0936234863484</v>
      </c>
      <c r="II171" s="314">
        <f t="shared" si="89"/>
        <v>6568.7968727607476</v>
      </c>
      <c r="IJ171" s="314">
        <f t="shared" si="89"/>
        <v>11950.452490392281</v>
      </c>
      <c r="IK171" s="314">
        <f t="shared" si="89"/>
        <v>8378.6756588590033</v>
      </c>
      <c r="IL171" s="314">
        <f t="shared" si="89"/>
        <v>4322.1517412935318</v>
      </c>
      <c r="IM171" s="314">
        <f t="shared" si="89"/>
        <v>1722.8203131483274</v>
      </c>
      <c r="IN171" s="314">
        <f t="shared" si="89"/>
        <v>729.31151205844685</v>
      </c>
      <c r="IO171" s="314">
        <f t="shared" si="89"/>
        <v>563.24837823508028</v>
      </c>
      <c r="IP171" s="314">
        <f t="shared" si="89"/>
        <v>3148.1158397203171</v>
      </c>
      <c r="IQ171" s="314">
        <f t="shared" si="89"/>
        <v>2981.5689211970862</v>
      </c>
      <c r="IR171" s="314">
        <f t="shared" si="89"/>
        <v>4817.9567664884662</v>
      </c>
      <c r="IS171" s="314">
        <f t="shared" si="89"/>
        <v>2727.3700096058701</v>
      </c>
      <c r="IT171" s="314">
        <f t="shared" si="89"/>
        <v>2495.0601859738808</v>
      </c>
      <c r="IU171" s="314">
        <f t="shared" si="89"/>
        <v>996.55799567116276</v>
      </c>
      <c r="IV171" s="314">
        <f t="shared" si="89"/>
        <v>1322.6054874834945</v>
      </c>
      <c r="IW171" s="314">
        <f t="shared" si="89"/>
        <v>1721.4838888193565</v>
      </c>
      <c r="IX171" s="314">
        <f t="shared" si="89"/>
        <v>3158.7204815741361</v>
      </c>
      <c r="IY171" s="314">
        <f t="shared" si="89"/>
        <v>-5860.0040820783152</v>
      </c>
      <c r="IZ171" s="314">
        <f t="shared" si="89"/>
        <v>4358.8070564145337</v>
      </c>
      <c r="JA171" s="314">
        <f t="shared" si="89"/>
        <v>0</v>
      </c>
      <c r="JB171" s="314">
        <f t="shared" si="89"/>
        <v>0</v>
      </c>
      <c r="JC171" s="314">
        <f t="shared" si="89"/>
        <v>0</v>
      </c>
      <c r="JD171" s="314">
        <f t="shared" si="89"/>
        <v>-8128.7451630735204</v>
      </c>
      <c r="JE171" s="314">
        <f t="shared" si="89"/>
        <v>3238.6165794444955</v>
      </c>
      <c r="JF171" s="314">
        <f t="shared" si="89"/>
        <v>4693.2790862783258</v>
      </c>
      <c r="JG171" s="314">
        <f t="shared" si="89"/>
        <v>8855.0131993095747</v>
      </c>
      <c r="JH171" s="314">
        <f t="shared" si="89"/>
        <v>0</v>
      </c>
      <c r="JI171" s="314"/>
    </row>
    <row r="172" spans="2:276" hidden="1" x14ac:dyDescent="0.25">
      <c r="C172" s="324">
        <f t="shared" ref="C172:BN172" si="90">C30-C29</f>
        <v>0</v>
      </c>
      <c r="D172" s="324">
        <f t="shared" si="90"/>
        <v>2</v>
      </c>
      <c r="E172" s="324">
        <f t="shared" si="90"/>
        <v>0.25</v>
      </c>
      <c r="F172" s="324">
        <f t="shared" si="90"/>
        <v>-9.9999999999999645E-2</v>
      </c>
      <c r="G172" s="324">
        <f t="shared" si="90"/>
        <v>0.25</v>
      </c>
      <c r="H172" s="324">
        <f t="shared" si="90"/>
        <v>-0.19999999999999996</v>
      </c>
      <c r="I172" s="324">
        <f t="shared" si="90"/>
        <v>0.70000000000000018</v>
      </c>
      <c r="J172" s="324">
        <f t="shared" si="90"/>
        <v>0</v>
      </c>
      <c r="K172" s="324">
        <f t="shared" si="90"/>
        <v>0</v>
      </c>
      <c r="L172" s="324">
        <f t="shared" si="90"/>
        <v>-0.40000000000000036</v>
      </c>
      <c r="M172" s="324">
        <f t="shared" si="90"/>
        <v>0</v>
      </c>
      <c r="N172" s="324">
        <f t="shared" si="90"/>
        <v>-0.49000000000000021</v>
      </c>
      <c r="O172" s="324">
        <f t="shared" si="90"/>
        <v>7.0000000000001172E-2</v>
      </c>
      <c r="P172" s="324">
        <f t="shared" si="90"/>
        <v>0</v>
      </c>
      <c r="Q172" s="324">
        <f t="shared" si="90"/>
        <v>-0.29999999999999982</v>
      </c>
      <c r="R172" s="324">
        <f t="shared" si="90"/>
        <v>0.29999999999999982</v>
      </c>
      <c r="S172" s="324">
        <f t="shared" si="90"/>
        <v>0.29999999999999982</v>
      </c>
      <c r="T172" s="324">
        <f t="shared" si="90"/>
        <v>0</v>
      </c>
      <c r="U172" s="324">
        <f t="shared" si="90"/>
        <v>-0.5</v>
      </c>
      <c r="V172" s="324">
        <f t="shared" si="90"/>
        <v>0.14999999999999858</v>
      </c>
      <c r="W172" s="324">
        <f t="shared" si="90"/>
        <v>-0.25</v>
      </c>
      <c r="X172" s="324">
        <f t="shared" si="90"/>
        <v>1.0099999999999998</v>
      </c>
      <c r="Y172" s="324">
        <f t="shared" si="90"/>
        <v>4.9999999999999822E-2</v>
      </c>
      <c r="Z172" s="324">
        <f t="shared" si="90"/>
        <v>-5.0000000000000711E-2</v>
      </c>
      <c r="AA172" s="324">
        <f t="shared" si="90"/>
        <v>0</v>
      </c>
      <c r="AB172" s="324">
        <f t="shared" si="90"/>
        <v>1.1500000000000004</v>
      </c>
      <c r="AC172" s="324">
        <f t="shared" si="90"/>
        <v>-2.1666666666666665</v>
      </c>
      <c r="AD172" s="324">
        <f t="shared" si="90"/>
        <v>0.85000000000000009</v>
      </c>
      <c r="AE172" s="324">
        <f t="shared" si="90"/>
        <v>-0.30000000000000004</v>
      </c>
      <c r="AF172" s="324">
        <f t="shared" si="90"/>
        <v>0.74000000000000021</v>
      </c>
      <c r="AG172" s="324">
        <f t="shared" si="90"/>
        <v>0</v>
      </c>
      <c r="AH172" s="324">
        <f t="shared" si="90"/>
        <v>-0.30000000000000004</v>
      </c>
      <c r="AI172" s="324">
        <f t="shared" si="90"/>
        <v>-0.22499999999999964</v>
      </c>
      <c r="AJ172" s="324">
        <f t="shared" si="90"/>
        <v>0.20000000000000018</v>
      </c>
      <c r="AK172" s="324">
        <f t="shared" si="90"/>
        <v>0.10000000000000009</v>
      </c>
      <c r="AL172" s="324">
        <f t="shared" si="90"/>
        <v>0</v>
      </c>
      <c r="AM172" s="324">
        <f t="shared" si="90"/>
        <v>0.10000000000000009</v>
      </c>
      <c r="AN172" s="324">
        <f t="shared" si="90"/>
        <v>0.34000000000000008</v>
      </c>
      <c r="AO172" s="324">
        <f t="shared" si="90"/>
        <v>0.14000000000000057</v>
      </c>
      <c r="AP172" s="324">
        <f t="shared" si="90"/>
        <v>0.29999999999999982</v>
      </c>
      <c r="AQ172" s="324">
        <f t="shared" si="90"/>
        <v>0.4</v>
      </c>
      <c r="AR172" s="324">
        <f t="shared" si="90"/>
        <v>0.25</v>
      </c>
      <c r="AS172" s="324">
        <f t="shared" si="90"/>
        <v>-0.4</v>
      </c>
      <c r="AT172" s="324">
        <f t="shared" si="90"/>
        <v>-0.29999999999999982</v>
      </c>
      <c r="AU172" s="324">
        <f t="shared" si="90"/>
        <v>-0.39999999999999991</v>
      </c>
      <c r="AV172" s="324">
        <f t="shared" si="90"/>
        <v>-4.9999999999999822E-2</v>
      </c>
      <c r="AW172" s="324">
        <f t="shared" si="90"/>
        <v>0</v>
      </c>
      <c r="AX172" s="324">
        <f t="shared" si="90"/>
        <v>0.34999999999999964</v>
      </c>
      <c r="AY172" s="324">
        <f t="shared" si="90"/>
        <v>0.1899999999999995</v>
      </c>
      <c r="AZ172" s="324">
        <f t="shared" si="90"/>
        <v>-0.45000000000000018</v>
      </c>
      <c r="BA172" s="324">
        <f t="shared" si="90"/>
        <v>-0.19999999999999929</v>
      </c>
      <c r="BB172" s="324">
        <f t="shared" si="90"/>
        <v>-0.10000000000000009</v>
      </c>
      <c r="BC172" s="324">
        <f t="shared" si="90"/>
        <v>-0.10000000000000009</v>
      </c>
      <c r="BD172" s="324">
        <f t="shared" si="90"/>
        <v>0.7200000000000002</v>
      </c>
      <c r="BE172" s="324">
        <f t="shared" si="90"/>
        <v>0.75</v>
      </c>
      <c r="BF172" s="324">
        <f t="shared" si="90"/>
        <v>9.9999999999999645E-2</v>
      </c>
      <c r="BG172" s="324">
        <f t="shared" si="90"/>
        <v>0</v>
      </c>
      <c r="BH172" s="324">
        <f t="shared" si="90"/>
        <v>-0.25</v>
      </c>
      <c r="BI172" s="324">
        <f t="shared" si="90"/>
        <v>-0.21999999999999975</v>
      </c>
      <c r="BJ172" s="324">
        <f t="shared" si="90"/>
        <v>-0.40000000000000036</v>
      </c>
      <c r="BK172" s="324">
        <f t="shared" si="90"/>
        <v>-0.25</v>
      </c>
      <c r="BL172" s="324">
        <f t="shared" si="90"/>
        <v>1.1000000000000001</v>
      </c>
      <c r="BM172" s="324">
        <f t="shared" si="90"/>
        <v>0.20000000000000018</v>
      </c>
      <c r="BN172" s="324">
        <f t="shared" si="90"/>
        <v>-0.37999999999999989</v>
      </c>
      <c r="BO172" s="324">
        <f t="shared" ref="BO172:DZ172" si="91">BO30-BO29</f>
        <v>0.35000000000000009</v>
      </c>
      <c r="BP172" s="324">
        <f t="shared" si="91"/>
        <v>0.84999999999999964</v>
      </c>
      <c r="BQ172" s="324">
        <f t="shared" si="91"/>
        <v>0.14999999999999991</v>
      </c>
      <c r="BR172" s="324">
        <f t="shared" si="91"/>
        <v>0.35000000000000009</v>
      </c>
      <c r="BS172" s="324">
        <f t="shared" si="91"/>
        <v>-0.19999999999999996</v>
      </c>
      <c r="BT172" s="324">
        <f t="shared" si="91"/>
        <v>-0.5</v>
      </c>
      <c r="BU172" s="324">
        <f t="shared" si="91"/>
        <v>-9.9999999999999645E-2</v>
      </c>
      <c r="BV172" s="324">
        <f t="shared" si="91"/>
        <v>0.39999999999999991</v>
      </c>
      <c r="BW172" s="324">
        <f t="shared" si="91"/>
        <v>0.4</v>
      </c>
      <c r="BX172" s="324">
        <f t="shared" si="91"/>
        <v>0.25</v>
      </c>
      <c r="BY172" s="324">
        <f t="shared" si="91"/>
        <v>-3</v>
      </c>
      <c r="BZ172" s="324">
        <f t="shared" si="91"/>
        <v>0.38</v>
      </c>
      <c r="CA172" s="324">
        <f t="shared" si="91"/>
        <v>0</v>
      </c>
      <c r="CB172" s="324">
        <f t="shared" si="91"/>
        <v>0.3</v>
      </c>
      <c r="CC172" s="324">
        <f t="shared" si="91"/>
        <v>0.25</v>
      </c>
      <c r="CD172" s="324">
        <f t="shared" si="91"/>
        <v>0</v>
      </c>
      <c r="CE172" s="324">
        <f t="shared" si="91"/>
        <v>0.39999999999999858</v>
      </c>
      <c r="CF172" s="324">
        <f t="shared" si="91"/>
        <v>-0.5</v>
      </c>
      <c r="CG172" s="324">
        <f t="shared" si="91"/>
        <v>-12</v>
      </c>
      <c r="CH172" s="324">
        <f t="shared" si="91"/>
        <v>-6</v>
      </c>
      <c r="CI172" s="324">
        <f t="shared" si="91"/>
        <v>0</v>
      </c>
      <c r="CJ172" s="324">
        <f t="shared" si="91"/>
        <v>-0.11000000000000032</v>
      </c>
      <c r="CK172" s="324">
        <f t="shared" si="91"/>
        <v>0.11000000000000032</v>
      </c>
      <c r="CL172" s="324">
        <f t="shared" si="91"/>
        <v>0.20000000000000018</v>
      </c>
      <c r="CM172" s="324">
        <f t="shared" si="91"/>
        <v>0</v>
      </c>
      <c r="CN172" s="324">
        <f t="shared" si="91"/>
        <v>0</v>
      </c>
      <c r="CO172" s="324">
        <f t="shared" si="91"/>
        <v>0</v>
      </c>
      <c r="CP172" s="324">
        <f t="shared" si="91"/>
        <v>0</v>
      </c>
      <c r="CQ172" s="324">
        <f t="shared" si="91"/>
        <v>-0.30000000000000071</v>
      </c>
      <c r="CR172" s="324">
        <f t="shared" si="91"/>
        <v>0</v>
      </c>
      <c r="CS172" s="324">
        <f t="shared" si="91"/>
        <v>-0.5</v>
      </c>
      <c r="CT172" s="324">
        <f t="shared" si="91"/>
        <v>0</v>
      </c>
      <c r="CU172" s="324">
        <f t="shared" si="91"/>
        <v>0</v>
      </c>
      <c r="CV172" s="324">
        <f t="shared" si="91"/>
        <v>0</v>
      </c>
      <c r="CW172" s="324">
        <f t="shared" si="91"/>
        <v>-0.4</v>
      </c>
      <c r="CX172" s="324">
        <f t="shared" si="91"/>
        <v>0.25</v>
      </c>
      <c r="CY172" s="324">
        <f t="shared" si="91"/>
        <v>-0.5</v>
      </c>
      <c r="CZ172" s="324">
        <f t="shared" si="91"/>
        <v>0.25</v>
      </c>
      <c r="DA172" s="324">
        <f t="shared" si="91"/>
        <v>0</v>
      </c>
      <c r="DB172" s="324">
        <f t="shared" si="91"/>
        <v>0.14999999999999991</v>
      </c>
      <c r="DC172" s="324">
        <f t="shared" si="91"/>
        <v>0.5</v>
      </c>
      <c r="DD172" s="324">
        <f t="shared" si="91"/>
        <v>1.5</v>
      </c>
      <c r="DE172" s="324">
        <f t="shared" si="91"/>
        <v>-0.5</v>
      </c>
      <c r="DF172" s="324">
        <f t="shared" si="91"/>
        <v>-0.5</v>
      </c>
      <c r="DG172" s="324">
        <f t="shared" si="91"/>
        <v>0.14999999999999991</v>
      </c>
      <c r="DH172" s="324">
        <f t="shared" si="91"/>
        <v>0.25</v>
      </c>
      <c r="DI172" s="324">
        <f t="shared" si="91"/>
        <v>-0.37999999999999989</v>
      </c>
      <c r="DJ172" s="324">
        <f t="shared" si="91"/>
        <v>0</v>
      </c>
      <c r="DK172" s="324">
        <f t="shared" si="91"/>
        <v>2.5</v>
      </c>
      <c r="DL172" s="324">
        <f t="shared" si="91"/>
        <v>0</v>
      </c>
      <c r="DM172" s="324">
        <f t="shared" si="91"/>
        <v>-0.5</v>
      </c>
      <c r="DN172" s="324">
        <f t="shared" si="91"/>
        <v>1</v>
      </c>
      <c r="DO172" s="324">
        <f t="shared" si="91"/>
        <v>0</v>
      </c>
      <c r="DP172" s="324">
        <f t="shared" si="91"/>
        <v>-0.5</v>
      </c>
      <c r="DQ172" s="324">
        <f t="shared" si="91"/>
        <v>-0.45000000000000018</v>
      </c>
      <c r="DR172" s="324">
        <f t="shared" si="91"/>
        <v>1.5</v>
      </c>
      <c r="DS172" s="324">
        <f t="shared" si="91"/>
        <v>-1.5</v>
      </c>
      <c r="DT172" s="324">
        <f t="shared" si="91"/>
        <v>-0.15000000000000036</v>
      </c>
      <c r="DU172" s="324">
        <f t="shared" si="91"/>
        <v>0</v>
      </c>
      <c r="DV172" s="324">
        <f t="shared" si="91"/>
        <v>9.9999999999999645E-2</v>
      </c>
      <c r="DW172" s="324">
        <f t="shared" si="91"/>
        <v>0</v>
      </c>
      <c r="DX172" s="324">
        <f t="shared" si="91"/>
        <v>0</v>
      </c>
      <c r="DY172" s="324">
        <f t="shared" si="91"/>
        <v>-0.19999999999999929</v>
      </c>
      <c r="DZ172" s="324">
        <f t="shared" si="91"/>
        <v>-0.42999999999999994</v>
      </c>
      <c r="EA172" s="324">
        <f t="shared" ref="EA172:GL172" si="92">EA30-EA29</f>
        <v>-4</v>
      </c>
      <c r="EB172" s="324">
        <f t="shared" si="92"/>
        <v>-0.5</v>
      </c>
      <c r="EC172" s="324">
        <f t="shared" si="92"/>
        <v>-0.25</v>
      </c>
      <c r="ED172" s="324">
        <f t="shared" si="92"/>
        <v>-0.5</v>
      </c>
      <c r="EE172" s="324">
        <f t="shared" si="92"/>
        <v>0.14999999999999991</v>
      </c>
      <c r="EF172" s="324">
        <f t="shared" si="92"/>
        <v>0.25</v>
      </c>
      <c r="EG172" s="324">
        <f t="shared" si="92"/>
        <v>-0.4</v>
      </c>
      <c r="EH172" s="324">
        <f t="shared" si="92"/>
        <v>0.25</v>
      </c>
      <c r="EI172" s="324">
        <f t="shared" si="92"/>
        <v>-0.25</v>
      </c>
      <c r="EJ172" s="324">
        <f t="shared" si="92"/>
        <v>-0.39999999999999991</v>
      </c>
      <c r="EK172" s="324">
        <f t="shared" si="92"/>
        <v>-0.41000000000000014</v>
      </c>
      <c r="EL172" s="324">
        <f t="shared" si="92"/>
        <v>0.39999999999999858</v>
      </c>
      <c r="EM172" s="324">
        <f t="shared" si="92"/>
        <v>-0.5</v>
      </c>
      <c r="EN172" s="324">
        <f t="shared" si="92"/>
        <v>-0.5</v>
      </c>
      <c r="EO172" s="324">
        <f t="shared" si="92"/>
        <v>0.4</v>
      </c>
      <c r="EP172" s="324">
        <f t="shared" si="92"/>
        <v>1.2000000000000002</v>
      </c>
      <c r="EQ172" s="324">
        <f t="shared" si="92"/>
        <v>-0.5</v>
      </c>
      <c r="ER172" s="324">
        <f t="shared" si="92"/>
        <v>0</v>
      </c>
      <c r="ES172" s="324">
        <f t="shared" si="92"/>
        <v>0.77000000000000046</v>
      </c>
      <c r="ET172" s="324">
        <f t="shared" si="92"/>
        <v>0.10000000000000009</v>
      </c>
      <c r="EU172" s="324">
        <f t="shared" si="92"/>
        <v>-0.10000000000000009</v>
      </c>
      <c r="EV172" s="324">
        <f t="shared" si="92"/>
        <v>0</v>
      </c>
      <c r="EW172" s="324">
        <f t="shared" si="92"/>
        <v>0</v>
      </c>
      <c r="EX172" s="324">
        <f t="shared" si="92"/>
        <v>2</v>
      </c>
      <c r="EY172" s="324">
        <f t="shared" si="92"/>
        <v>-0.5</v>
      </c>
      <c r="EZ172" s="324">
        <f t="shared" si="92"/>
        <v>0.35000000000000009</v>
      </c>
      <c r="FA172" s="324">
        <f t="shared" si="92"/>
        <v>0.20000000000000018</v>
      </c>
      <c r="FB172" s="324">
        <f t="shared" si="92"/>
        <v>-0.45999999999999996</v>
      </c>
      <c r="FC172" s="324">
        <f t="shared" si="92"/>
        <v>1.379999999999999</v>
      </c>
      <c r="FD172" s="324">
        <f t="shared" si="92"/>
        <v>-0.5</v>
      </c>
      <c r="FE172" s="324">
        <f t="shared" si="92"/>
        <v>0</v>
      </c>
      <c r="FF172" s="324">
        <f t="shared" si="92"/>
        <v>-0.5</v>
      </c>
      <c r="FG172" s="324">
        <f t="shared" si="92"/>
        <v>-0.30000000000000071</v>
      </c>
      <c r="FH172" s="324">
        <f t="shared" si="92"/>
        <v>-0.5</v>
      </c>
      <c r="FI172" s="324">
        <f t="shared" si="92"/>
        <v>-0.39999999999999858</v>
      </c>
      <c r="FJ172" s="324">
        <f t="shared" si="92"/>
        <v>0</v>
      </c>
      <c r="FK172" s="324">
        <f t="shared" si="92"/>
        <v>0</v>
      </c>
      <c r="FL172" s="324">
        <f t="shared" si="92"/>
        <v>0</v>
      </c>
      <c r="FM172" s="324">
        <f t="shared" si="92"/>
        <v>-0.5</v>
      </c>
      <c r="FN172" s="324">
        <f t="shared" si="92"/>
        <v>0.33999999999999986</v>
      </c>
      <c r="FO172" s="324">
        <f t="shared" si="92"/>
        <v>0.21999999999999975</v>
      </c>
      <c r="FP172" s="324">
        <f t="shared" si="92"/>
        <v>0</v>
      </c>
      <c r="FQ172" s="324">
        <f t="shared" si="92"/>
        <v>-0.18000000000000016</v>
      </c>
      <c r="FR172" s="324">
        <f t="shared" si="92"/>
        <v>5.85</v>
      </c>
      <c r="FS172" s="324">
        <f t="shared" si="92"/>
        <v>0.25</v>
      </c>
      <c r="FT172" s="324">
        <f t="shared" si="92"/>
        <v>-0.30000000000000071</v>
      </c>
      <c r="FU172" s="324">
        <f t="shared" si="92"/>
        <v>-1</v>
      </c>
      <c r="FV172" s="324">
        <f t="shared" si="92"/>
        <v>-0.15600000000000014</v>
      </c>
      <c r="FW172" s="324">
        <f t="shared" si="92"/>
        <v>-9.9999999999999645E-2</v>
      </c>
      <c r="FX172" s="324">
        <f t="shared" si="92"/>
        <v>0.10000000000000009</v>
      </c>
      <c r="FY172" s="324">
        <f t="shared" si="92"/>
        <v>0.19999999999999996</v>
      </c>
      <c r="FZ172" s="324">
        <f t="shared" si="92"/>
        <v>0</v>
      </c>
      <c r="GA172" s="324">
        <f t="shared" si="92"/>
        <v>-0.10000000000000009</v>
      </c>
      <c r="GB172" s="324">
        <f t="shared" si="92"/>
        <v>0.10000000000000142</v>
      </c>
      <c r="GC172" s="324">
        <f t="shared" si="92"/>
        <v>0</v>
      </c>
      <c r="GD172" s="324">
        <f t="shared" si="92"/>
        <v>0</v>
      </c>
      <c r="GE172" s="324">
        <f t="shared" si="92"/>
        <v>0.20000000000000018</v>
      </c>
      <c r="GF172" s="324">
        <f t="shared" si="92"/>
        <v>-0.34999999999999964</v>
      </c>
      <c r="GG172" s="324">
        <f t="shared" si="92"/>
        <v>0.20000000000000018</v>
      </c>
      <c r="GH172" s="324">
        <f t="shared" si="92"/>
        <v>0.41000000000000014</v>
      </c>
      <c r="GI172" s="324">
        <f t="shared" si="92"/>
        <v>-0.26000000000000156</v>
      </c>
      <c r="GJ172" s="324">
        <f t="shared" si="92"/>
        <v>0.48000000000000043</v>
      </c>
      <c r="GK172" s="324">
        <f t="shared" si="92"/>
        <v>-0.42499999999999982</v>
      </c>
      <c r="GL172" s="324">
        <f t="shared" si="92"/>
        <v>4.9999999999999822E-2</v>
      </c>
      <c r="GM172" s="324">
        <f t="shared" ref="GM172:IX172" si="93">GM30-GM29</f>
        <v>0.35000000000000009</v>
      </c>
      <c r="GN172" s="324">
        <f t="shared" si="93"/>
        <v>0</v>
      </c>
      <c r="GO172" s="324">
        <f t="shared" si="93"/>
        <v>0.25</v>
      </c>
      <c r="GP172" s="324">
        <f t="shared" si="93"/>
        <v>-0.25</v>
      </c>
      <c r="GQ172" s="324">
        <f t="shared" si="93"/>
        <v>-0.5</v>
      </c>
      <c r="GR172" s="324">
        <f t="shared" si="93"/>
        <v>0.20999999999999996</v>
      </c>
      <c r="GS172" s="324">
        <f t="shared" si="93"/>
        <v>0</v>
      </c>
      <c r="GT172" s="324">
        <f t="shared" si="93"/>
        <v>0.25</v>
      </c>
      <c r="GU172" s="324">
        <f t="shared" si="93"/>
        <v>-0.39000000000000012</v>
      </c>
      <c r="GV172" s="324">
        <f t="shared" si="93"/>
        <v>0</v>
      </c>
      <c r="GW172" s="324">
        <f t="shared" si="93"/>
        <v>-0.5</v>
      </c>
      <c r="GX172" s="324">
        <f t="shared" si="93"/>
        <v>-0.30000000000000004</v>
      </c>
      <c r="GY172" s="324">
        <f t="shared" si="93"/>
        <v>0</v>
      </c>
      <c r="GZ172" s="324">
        <f t="shared" si="93"/>
        <v>6</v>
      </c>
      <c r="HA172" s="324">
        <f t="shared" si="93"/>
        <v>2</v>
      </c>
      <c r="HB172" s="324">
        <f t="shared" si="93"/>
        <v>-0.5</v>
      </c>
      <c r="HC172" s="324">
        <f t="shared" si="93"/>
        <v>-0.5</v>
      </c>
      <c r="HD172" s="324">
        <f t="shared" si="93"/>
        <v>1</v>
      </c>
      <c r="HE172" s="324">
        <f t="shared" si="93"/>
        <v>0.30999999999999872</v>
      </c>
      <c r="HF172" s="324">
        <f t="shared" si="93"/>
        <v>-0.29999999999999982</v>
      </c>
      <c r="HG172" s="324">
        <f t="shared" si="93"/>
        <v>-0.29999999999999982</v>
      </c>
      <c r="HH172" s="324">
        <f t="shared" si="93"/>
        <v>0</v>
      </c>
      <c r="HI172" s="324">
        <f t="shared" si="93"/>
        <v>0</v>
      </c>
      <c r="HJ172" s="324">
        <f t="shared" si="93"/>
        <v>1</v>
      </c>
      <c r="HK172" s="324">
        <f t="shared" si="93"/>
        <v>-0.39999999999999991</v>
      </c>
      <c r="HL172" s="324">
        <f t="shared" si="93"/>
        <v>0.5</v>
      </c>
      <c r="HM172" s="324">
        <f t="shared" si="93"/>
        <v>-0.20000000000000284</v>
      </c>
      <c r="HN172" s="324">
        <f t="shared" si="93"/>
        <v>0.10000000000000009</v>
      </c>
      <c r="HO172" s="324">
        <f t="shared" si="93"/>
        <v>-0.39999999999999991</v>
      </c>
      <c r="HP172" s="324">
        <f t="shared" si="93"/>
        <v>0.29999999999999716</v>
      </c>
      <c r="HQ172" s="324">
        <f t="shared" si="93"/>
        <v>0.39999999999999991</v>
      </c>
      <c r="HR172" s="324">
        <f t="shared" si="93"/>
        <v>1.5850000000000009</v>
      </c>
      <c r="HS172" s="324">
        <f t="shared" si="93"/>
        <v>1.5299999999999994</v>
      </c>
      <c r="HT172" s="324">
        <f t="shared" si="93"/>
        <v>0</v>
      </c>
      <c r="HU172" s="324">
        <f t="shared" si="93"/>
        <v>0</v>
      </c>
      <c r="HV172" s="324">
        <f t="shared" si="93"/>
        <v>3</v>
      </c>
      <c r="HW172" s="324">
        <f t="shared" si="93"/>
        <v>-3.9700000000000006</v>
      </c>
      <c r="HX172" s="324">
        <f t="shared" si="93"/>
        <v>5.57</v>
      </c>
      <c r="HY172" s="324">
        <f t="shared" si="93"/>
        <v>-0.20000000000000284</v>
      </c>
      <c r="HZ172" s="324">
        <f t="shared" si="93"/>
        <v>0</v>
      </c>
      <c r="IA172" s="324">
        <f t="shared" si="93"/>
        <v>0</v>
      </c>
      <c r="IB172" s="324">
        <f t="shared" si="93"/>
        <v>1</v>
      </c>
      <c r="IC172" s="324">
        <f t="shared" si="93"/>
        <v>0.20000000000000284</v>
      </c>
      <c r="ID172" s="324">
        <f t="shared" si="93"/>
        <v>-0.19999999999999929</v>
      </c>
      <c r="IE172" s="324">
        <f t="shared" si="93"/>
        <v>1</v>
      </c>
      <c r="IF172" s="324">
        <f t="shared" si="93"/>
        <v>0.5</v>
      </c>
      <c r="IG172" s="324">
        <f t="shared" si="93"/>
        <v>-0.5</v>
      </c>
      <c r="IH172" s="324">
        <f t="shared" si="93"/>
        <v>0.12999999999999989</v>
      </c>
      <c r="II172" s="324">
        <f t="shared" si="93"/>
        <v>0.85999999999999943</v>
      </c>
      <c r="IJ172" s="324">
        <f t="shared" si="93"/>
        <v>0.5</v>
      </c>
      <c r="IK172" s="324">
        <f t="shared" si="93"/>
        <v>0.60999999999999943</v>
      </c>
      <c r="IL172" s="324">
        <f t="shared" si="93"/>
        <v>2</v>
      </c>
      <c r="IM172" s="324">
        <f t="shared" si="93"/>
        <v>7.0000000000000062E-2</v>
      </c>
      <c r="IN172" s="324">
        <f t="shared" si="93"/>
        <v>-0.32000000000000028</v>
      </c>
      <c r="IO172" s="324">
        <f t="shared" si="93"/>
        <v>0.29999999999999982</v>
      </c>
      <c r="IP172" s="324">
        <f t="shared" si="93"/>
        <v>0</v>
      </c>
      <c r="IQ172" s="324">
        <f t="shared" si="93"/>
        <v>0.29999999999999716</v>
      </c>
      <c r="IR172" s="324">
        <f t="shared" si="93"/>
        <v>-0.30000000000000004</v>
      </c>
      <c r="IS172" s="324">
        <f t="shared" si="93"/>
        <v>3.1999999999999886</v>
      </c>
      <c r="IT172" s="324">
        <f t="shared" si="93"/>
        <v>0.60000000000000142</v>
      </c>
      <c r="IU172" s="324">
        <f t="shared" si="93"/>
        <v>0.29999999999999982</v>
      </c>
      <c r="IV172" s="324">
        <f t="shared" si="93"/>
        <v>0.30000000000000071</v>
      </c>
      <c r="IW172" s="324">
        <f t="shared" si="93"/>
        <v>0</v>
      </c>
      <c r="IX172" s="324">
        <f t="shared" si="93"/>
        <v>0.39999999999999991</v>
      </c>
      <c r="IY172" s="324">
        <f t="shared" ref="IY172:JH172" si="94">IY30-IY29</f>
        <v>-4</v>
      </c>
      <c r="IZ172" s="324">
        <f t="shared" si="94"/>
        <v>5.5</v>
      </c>
      <c r="JA172" s="324">
        <f t="shared" si="94"/>
        <v>0.15000000000000036</v>
      </c>
      <c r="JB172" s="324">
        <f t="shared" si="94"/>
        <v>0.29999999999999982</v>
      </c>
      <c r="JC172" s="324">
        <f t="shared" si="94"/>
        <v>0.29999999999999982</v>
      </c>
      <c r="JD172" s="324">
        <f t="shared" si="94"/>
        <v>0</v>
      </c>
      <c r="JE172" s="324">
        <f t="shared" si="94"/>
        <v>-0.40000000000000036</v>
      </c>
      <c r="JF172" s="324">
        <f t="shared" si="94"/>
        <v>7.3700000000000045</v>
      </c>
      <c r="JG172" s="324">
        <f t="shared" si="94"/>
        <v>-1</v>
      </c>
      <c r="JH172" s="324">
        <f t="shared" si="94"/>
        <v>-2</v>
      </c>
    </row>
    <row r="173" spans="2:276" x14ac:dyDescent="0.25">
      <c r="B173" s="313" t="s">
        <v>2782</v>
      </c>
      <c r="C173" s="314">
        <f>(C$13*1.1-C$53)-C$162</f>
        <v>1291234.066187324</v>
      </c>
      <c r="D173" s="314">
        <f t="shared" ref="D173:W173" si="95">(D13*1.1-D53)-D162</f>
        <v>2250121.2409681473</v>
      </c>
      <c r="E173" s="314">
        <f t="shared" si="95"/>
        <v>1296734.3315290269</v>
      </c>
      <c r="F173" s="314">
        <f t="shared" si="95"/>
        <v>397893.17971889302</v>
      </c>
      <c r="G173" s="314">
        <f t="shared" si="95"/>
        <v>1175453.440019656</v>
      </c>
      <c r="H173" s="314">
        <f t="shared" si="95"/>
        <v>-224405.08431410964</v>
      </c>
      <c r="I173" s="314">
        <f t="shared" si="95"/>
        <v>-26053.395617412869</v>
      </c>
      <c r="J173" s="314">
        <f t="shared" si="95"/>
        <v>424847.02166065341</v>
      </c>
      <c r="K173" s="314">
        <f t="shared" si="95"/>
        <v>173419.56539241225</v>
      </c>
      <c r="L173" s="314">
        <f t="shared" si="95"/>
        <v>378156.4121826347</v>
      </c>
      <c r="M173" s="314">
        <f t="shared" si="95"/>
        <v>398422.76278534252</v>
      </c>
      <c r="N173" s="314">
        <f t="shared" si="95"/>
        <v>-274966.87921164371</v>
      </c>
      <c r="O173" s="314">
        <f t="shared" si="95"/>
        <v>345858.73146573361</v>
      </c>
      <c r="P173" s="314">
        <f t="shared" si="95"/>
        <v>416798.60239985865</v>
      </c>
      <c r="Q173" s="314">
        <f t="shared" si="95"/>
        <v>200547.32701111725</v>
      </c>
      <c r="R173" s="314">
        <f t="shared" si="95"/>
        <v>210267.84412469855</v>
      </c>
      <c r="S173" s="314">
        <f t="shared" si="95"/>
        <v>125982.98226872901</v>
      </c>
      <c r="T173" s="314">
        <f t="shared" si="95"/>
        <v>74280.861855969182</v>
      </c>
      <c r="U173" s="314">
        <f t="shared" si="95"/>
        <v>-26923.707216046052</v>
      </c>
      <c r="V173" s="314">
        <f t="shared" si="95"/>
        <v>3984592.9710576758</v>
      </c>
      <c r="W173" s="314">
        <f t="shared" si="95"/>
        <v>1475861.6113094874</v>
      </c>
      <c r="X173" s="314">
        <f>(X13*1.1-X53)-X152</f>
        <v>-16146.614701946266</v>
      </c>
      <c r="Y173" s="314">
        <f>(Y13*1.1-Y53)-Y162</f>
        <v>406019.99413178256</v>
      </c>
      <c r="Z173" s="314">
        <f>(Z13*1.1-Z53)-Z162</f>
        <v>3412619.468541842</v>
      </c>
      <c r="AA173" s="314">
        <f>(AA13*1.1-AA53)-AA162</f>
        <v>205490.15937237069</v>
      </c>
      <c r="AB173" s="314">
        <f>(AB13*1.1-AB53)-AB152</f>
        <v>-363634.29815955041</v>
      </c>
      <c r="AC173" s="314">
        <f>(AC13*1.1-AC53)-AC152</f>
        <v>-121172.28649231768</v>
      </c>
      <c r="AD173" s="314">
        <f t="shared" ref="AD173:AM173" si="96">(AD13*1.1-AD53)-AD162</f>
        <v>665.1684175026603</v>
      </c>
      <c r="AE173" s="314">
        <f t="shared" si="96"/>
        <v>122222.37848883844</v>
      </c>
      <c r="AF173" s="314">
        <f t="shared" si="96"/>
        <v>353563.64544625161</v>
      </c>
      <c r="AG173" s="314">
        <f t="shared" si="96"/>
        <v>143357.73169835424</v>
      </c>
      <c r="AH173" s="314">
        <f t="shared" si="96"/>
        <v>598990.98302658414</v>
      </c>
      <c r="AI173" s="314">
        <f t="shared" si="96"/>
        <v>2399485.5948371151</v>
      </c>
      <c r="AJ173" s="314">
        <f t="shared" si="96"/>
        <v>1982488.8801722759</v>
      </c>
      <c r="AK173" s="314">
        <f t="shared" si="96"/>
        <v>376074.80989753525</v>
      </c>
      <c r="AL173" s="314">
        <f t="shared" si="96"/>
        <v>215690.07968618535</v>
      </c>
      <c r="AM173" s="314">
        <f t="shared" si="96"/>
        <v>155980.80989753548</v>
      </c>
      <c r="AN173" s="314">
        <f>(AN13*1.1-AN53)-AN152</f>
        <v>-149107.04361178004</v>
      </c>
      <c r="AO173" s="314">
        <f>AO13*1.1-AO53-AO152-(-AO115)</f>
        <v>-539318.53018070571</v>
      </c>
      <c r="AP173" s="314">
        <f>(AP13*1.1-AP53)-AP152</f>
        <v>359666.95837515406</v>
      </c>
      <c r="AQ173" s="314">
        <f>(AQ13*1.1-AQ53)-AQ152</f>
        <v>-214179.65525761235</v>
      </c>
      <c r="AR173" s="314">
        <f>(AR13*1.1-AR53)-AR152</f>
        <v>167124.03992508468</v>
      </c>
      <c r="AS173" s="314">
        <f>(AS13*1.1-AS53)-AS152</f>
        <v>-42022.703109752329</v>
      </c>
      <c r="AT173" s="314">
        <f>(AT13*1.1-AT53)-AT152</f>
        <v>-347057.0189933381</v>
      </c>
      <c r="AU173" s="314">
        <f>(AU13*1.1-AU53)-AU162</f>
        <v>4854.9116546490695</v>
      </c>
      <c r="AV173" s="314">
        <f>(AV13*1.1-AV53)-AV162</f>
        <v>212096.74502474908</v>
      </c>
      <c r="AW173" s="314">
        <f>(AW13*1.1-AW53)-AW162</f>
        <v>367704.26785446377</v>
      </c>
      <c r="AX173" s="314">
        <f>(AX13*1.1-AX53)-AX152</f>
        <v>-319337.92195627885</v>
      </c>
      <c r="AY173" s="314">
        <f>(AY13*1.1-AY53)-AY152</f>
        <v>-26240.518908160739</v>
      </c>
      <c r="AZ173" s="314">
        <f t="shared" ref="AZ173:BN173" si="97">(AZ13*1.1-AZ53)-AZ162</f>
        <v>1144700.0557503281</v>
      </c>
      <c r="BA173" s="314">
        <f t="shared" si="97"/>
        <v>2067117.8138206564</v>
      </c>
      <c r="BB173" s="314">
        <f t="shared" si="97"/>
        <v>99476.637526341714</v>
      </c>
      <c r="BC173" s="314">
        <f t="shared" si="97"/>
        <v>136076.74318278558</v>
      </c>
      <c r="BD173" s="314">
        <f t="shared" si="97"/>
        <v>2118.3442482366227</v>
      </c>
      <c r="BE173" s="314">
        <f t="shared" si="97"/>
        <v>-31068.263563299784</v>
      </c>
      <c r="BF173" s="314">
        <f t="shared" si="97"/>
        <v>953908.53360947408</v>
      </c>
      <c r="BG173" s="314">
        <f t="shared" si="97"/>
        <v>1438779.4722546646</v>
      </c>
      <c r="BH173" s="314">
        <f t="shared" si="97"/>
        <v>691510.16571656102</v>
      </c>
      <c r="BI173" s="314">
        <f t="shared" si="97"/>
        <v>2053936.0242078183</v>
      </c>
      <c r="BJ173" s="314">
        <f t="shared" si="97"/>
        <v>166400.33712338982</v>
      </c>
      <c r="BK173" s="314">
        <f t="shared" si="97"/>
        <v>399866.09308747877</v>
      </c>
      <c r="BL173" s="314">
        <f t="shared" si="97"/>
        <v>48417.483830752899</v>
      </c>
      <c r="BM173" s="314">
        <f t="shared" si="97"/>
        <v>1030946.7530742474</v>
      </c>
      <c r="BN173" s="314">
        <f t="shared" si="97"/>
        <v>173573.25806263927</v>
      </c>
      <c r="BO173" s="314">
        <f>BO13*1.1-BO53-BO152-(-BO115)</f>
        <v>-45949.841258846223</v>
      </c>
      <c r="BP173" s="314">
        <f>(BP13*1.1-BP53)-BP162</f>
        <v>745114.68780475855</v>
      </c>
      <c r="BQ173" s="314">
        <f>(BQ13*1.1-BQ53)-BQ162</f>
        <v>44868.283265258418</v>
      </c>
      <c r="BR173" s="314">
        <f>(BR13*1.1-BR53)-BR162</f>
        <v>9998.663505558623</v>
      </c>
      <c r="BS173" s="314">
        <f>(BS13*1.1-BS53)-BS152</f>
        <v>-59590.747627129545</v>
      </c>
      <c r="BT173" s="314">
        <f>(BT13*1.1-BT53)-BT162</f>
        <v>111416.29278395395</v>
      </c>
      <c r="BU173" s="314">
        <f>(BU13*1.1-BU53)-BU152</f>
        <v>-198037.0475549493</v>
      </c>
      <c r="BV173" s="314">
        <f>(BV13*1.1-BV53)-BV162</f>
        <v>10076.449104824103</v>
      </c>
      <c r="BW173" s="314">
        <f>(BW13*1.1-BW53)-BW162</f>
        <v>-223686.21951628802</v>
      </c>
      <c r="BX173" s="314">
        <f>(BX13*1.1-BX53+500000)-BX152</f>
        <v>-450192.65498403925</v>
      </c>
      <c r="BY173" s="314">
        <f>(BY13*1.1-BY53)-BY162</f>
        <v>21940.457609144039</v>
      </c>
      <c r="BZ173" s="314">
        <f>(BZ13*1.1-BZ53)-BZ162</f>
        <v>-200228.01369104453</v>
      </c>
      <c r="CA173" s="314">
        <f>(CA13*1.1-CA53)-CA162</f>
        <v>0</v>
      </c>
      <c r="CB173" s="314">
        <f>(CB13*1.1-CB53)-CB152</f>
        <v>-350938.59770315269</v>
      </c>
      <c r="CC173" s="314">
        <f>(CC13*1.1-CC53)-CC162</f>
        <v>13355.301031899638</v>
      </c>
      <c r="CD173" s="314">
        <f>(CD13*1.1-CD53)-CD152</f>
        <v>23202.645000229473</v>
      </c>
      <c r="CE173" s="314">
        <f t="shared" ref="CE173:CM173" si="98">(CE13*1.1-CE53)-CE162</f>
        <v>1409635.1378484499</v>
      </c>
      <c r="CF173" s="314">
        <f t="shared" si="98"/>
        <v>482049.6232618466</v>
      </c>
      <c r="CG173" s="314">
        <f t="shared" si="98"/>
        <v>1033857.645677492</v>
      </c>
      <c r="CH173" s="314">
        <f t="shared" si="98"/>
        <v>138475.18497839011</v>
      </c>
      <c r="CI173" s="314">
        <f t="shared" si="98"/>
        <v>373518.35251681181</v>
      </c>
      <c r="CJ173" s="314">
        <f t="shared" si="98"/>
        <v>466614.5900111692</v>
      </c>
      <c r="CK173" s="314">
        <f t="shared" si="98"/>
        <v>802291.35208736453</v>
      </c>
      <c r="CL173" s="314">
        <f t="shared" si="98"/>
        <v>369718.47213754058</v>
      </c>
      <c r="CM173" s="314">
        <f t="shared" si="98"/>
        <v>695180.0839849459</v>
      </c>
      <c r="CN173" s="314">
        <f>(CN13*1.1-CN53)-CN152</f>
        <v>-60666.273151180241</v>
      </c>
      <c r="CO173" s="314">
        <f>(CO13*1.1-CO53)-CO152</f>
        <v>-18156.360431688838</v>
      </c>
      <c r="CP173" s="314">
        <f>(CP13*1.1-CP53)-CP152</f>
        <v>-37464.077231992967</v>
      </c>
      <c r="CQ173" s="314">
        <f t="shared" ref="CQ173:DA173" si="99">(CQ13*1.1-CQ53)-CQ162</f>
        <v>625500.23108993843</v>
      </c>
      <c r="CR173" s="314">
        <f t="shared" si="99"/>
        <v>344537.50289378269</v>
      </c>
      <c r="CS173" s="314">
        <f t="shared" si="99"/>
        <v>1050835.8573665079</v>
      </c>
      <c r="CT173" s="314">
        <f t="shared" si="99"/>
        <v>-1224159.1026913729</v>
      </c>
      <c r="CU173" s="314">
        <f t="shared" si="99"/>
        <v>305580.45760914404</v>
      </c>
      <c r="CV173" s="314">
        <f t="shared" si="99"/>
        <v>149914.78360235412</v>
      </c>
      <c r="CW173" s="314">
        <f t="shared" si="99"/>
        <v>90230.517113581533</v>
      </c>
      <c r="CX173" s="314">
        <f t="shared" si="99"/>
        <v>1510444.728952934</v>
      </c>
      <c r="CY173" s="314">
        <f t="shared" si="99"/>
        <v>315878.91229132982</v>
      </c>
      <c r="CZ173" s="314">
        <f t="shared" si="99"/>
        <v>354750.05976463901</v>
      </c>
      <c r="DA173" s="314">
        <f t="shared" si="99"/>
        <v>1786659.8931944892</v>
      </c>
      <c r="DB173" s="314">
        <f>(DB13*1.1-DB53)-DB152</f>
        <v>-21199.508865635493</v>
      </c>
      <c r="DC173" s="314">
        <f>(DC13*1.1-DC53)-DC152</f>
        <v>-47699.004185785772</v>
      </c>
      <c r="DD173" s="314">
        <f t="shared" ref="DD173:DK173" si="100">(DD13*1.1-DD53)-DD162</f>
        <v>568082.18178994861</v>
      </c>
      <c r="DE173" s="314">
        <f t="shared" si="100"/>
        <v>783204.55852487125</v>
      </c>
      <c r="DF173" s="314">
        <f t="shared" si="100"/>
        <v>3504436.5585248712</v>
      </c>
      <c r="DG173" s="314">
        <f t="shared" si="100"/>
        <v>85417.118890671874</v>
      </c>
      <c r="DH173" s="314">
        <f t="shared" si="100"/>
        <v>254258.54763550265</v>
      </c>
      <c r="DI173" s="314">
        <f t="shared" si="100"/>
        <v>81789.414520791499</v>
      </c>
      <c r="DJ173" s="314">
        <f t="shared" si="100"/>
        <v>516649.70732114604</v>
      </c>
      <c r="DK173" s="314">
        <f t="shared" si="100"/>
        <v>251924.36808302952</v>
      </c>
      <c r="DL173" s="314">
        <f>(DL13*1.1-DL53)-DL152</f>
        <v>-624903.64070929075</v>
      </c>
      <c r="DM173" s="314">
        <f t="shared" ref="DM173:DZ173" si="101">(DM13*1.1-DM53)-DM162</f>
        <v>249544.38564340444</v>
      </c>
      <c r="DN173" s="314">
        <f t="shared" si="101"/>
        <v>180360.91870493349</v>
      </c>
      <c r="DO173" s="314">
        <f t="shared" si="101"/>
        <v>149181.28499841853</v>
      </c>
      <c r="DP173" s="314">
        <f t="shared" si="101"/>
        <v>240256.82859701198</v>
      </c>
      <c r="DQ173" s="314">
        <f t="shared" si="101"/>
        <v>910526.84064817149</v>
      </c>
      <c r="DR173" s="314">
        <f t="shared" si="101"/>
        <v>1190268.6992154643</v>
      </c>
      <c r="DS173" s="314">
        <f t="shared" si="101"/>
        <v>920483.32558451686</v>
      </c>
      <c r="DT173" s="314">
        <f t="shared" si="101"/>
        <v>1644169.6966441507</v>
      </c>
      <c r="DU173" s="314">
        <f t="shared" si="101"/>
        <v>412460.60938287433</v>
      </c>
      <c r="DV173" s="314">
        <f t="shared" si="101"/>
        <v>3463243.5802381635</v>
      </c>
      <c r="DW173" s="314">
        <f t="shared" si="101"/>
        <v>83994.350762100425</v>
      </c>
      <c r="DX173" s="314">
        <f t="shared" si="101"/>
        <v>3250.3079062607139</v>
      </c>
      <c r="DY173" s="314">
        <f t="shared" si="101"/>
        <v>473117.02553091384</v>
      </c>
      <c r="DZ173" s="314">
        <f t="shared" si="101"/>
        <v>77009.059965395485</v>
      </c>
      <c r="EA173" s="314">
        <f>(EA13*1.1-EA53)-EA152</f>
        <v>-170729.95882401383</v>
      </c>
      <c r="EB173" s="314">
        <f t="shared" ref="EB173:EN173" si="102">(EB13*1.1-EB53)-EB162</f>
        <v>2277444.1441780152</v>
      </c>
      <c r="EC173" s="314">
        <f t="shared" si="102"/>
        <v>14821.561847284902</v>
      </c>
      <c r="ED173" s="314">
        <f t="shared" si="102"/>
        <v>99386.58733266592</v>
      </c>
      <c r="EE173" s="314">
        <f t="shared" si="102"/>
        <v>219608.49113436451</v>
      </c>
      <c r="EF173" s="314">
        <f t="shared" si="102"/>
        <v>240313.57731996151</v>
      </c>
      <c r="EG173" s="314">
        <f t="shared" si="102"/>
        <v>38490.670725568023</v>
      </c>
      <c r="EH173" s="314">
        <f t="shared" si="102"/>
        <v>204792.98946751235</v>
      </c>
      <c r="EI173" s="314">
        <f t="shared" si="102"/>
        <v>295800.01354993833</v>
      </c>
      <c r="EJ173" s="314">
        <f t="shared" si="102"/>
        <v>-13312.090283216909</v>
      </c>
      <c r="EK173" s="314">
        <f t="shared" si="102"/>
        <v>-325210.80367470393</v>
      </c>
      <c r="EL173" s="314">
        <f t="shared" si="102"/>
        <v>1106508.6778254341</v>
      </c>
      <c r="EM173" s="314">
        <f t="shared" si="102"/>
        <v>391869.35138716362</v>
      </c>
      <c r="EN173" s="314">
        <f t="shared" si="102"/>
        <v>90449.784865974449</v>
      </c>
      <c r="EO173" s="314">
        <f>(EO13*1.1-EO53)-EO152</f>
        <v>-14715.802073168219</v>
      </c>
      <c r="EP173" s="314">
        <f>(EP13*1.1-EP53)-EP162</f>
        <v>330702.03871615697</v>
      </c>
      <c r="EQ173" s="314">
        <f>(EQ13*1.1-EQ53)-EQ152</f>
        <v>-328800.89817640465</v>
      </c>
      <c r="ER173" s="314">
        <f t="shared" ref="ER173:FW173" si="103">(ER13*1.1-ER53)-ER162</f>
        <v>3617684.5597535539</v>
      </c>
      <c r="ES173" s="314">
        <f t="shared" si="103"/>
        <v>306791.46241829824</v>
      </c>
      <c r="ET173" s="314">
        <f t="shared" si="103"/>
        <v>209069.35627889424</v>
      </c>
      <c r="EU173" s="314">
        <f t="shared" si="103"/>
        <v>1086562.3058800618</v>
      </c>
      <c r="EV173" s="314">
        <f t="shared" si="103"/>
        <v>108960.86185596918</v>
      </c>
      <c r="EW173" s="314">
        <f t="shared" si="103"/>
        <v>656332.58109116275</v>
      </c>
      <c r="EX173" s="314">
        <f t="shared" si="103"/>
        <v>4687289.694339782</v>
      </c>
      <c r="EY173" s="314">
        <f t="shared" si="103"/>
        <v>474623.73655055463</v>
      </c>
      <c r="EZ173" s="314">
        <f t="shared" si="103"/>
        <v>-463207.53637521598</v>
      </c>
      <c r="FA173" s="314">
        <f t="shared" si="103"/>
        <v>921654.36724482896</v>
      </c>
      <c r="FB173" s="314">
        <f t="shared" si="103"/>
        <v>114420.93968899915</v>
      </c>
      <c r="FC173" s="314">
        <f t="shared" si="103"/>
        <v>1185576.9637035616</v>
      </c>
      <c r="FD173" s="314">
        <f t="shared" si="103"/>
        <v>-780743.15563441161</v>
      </c>
      <c r="FE173" s="314">
        <f t="shared" si="103"/>
        <v>119334.64773094258</v>
      </c>
      <c r="FF173" s="314">
        <f t="shared" si="103"/>
        <v>1078831.1399383885</v>
      </c>
      <c r="FG173" s="314">
        <f t="shared" si="103"/>
        <v>3123714.2215077784</v>
      </c>
      <c r="FH173" s="314">
        <f t="shared" si="103"/>
        <v>5790907.1578902118</v>
      </c>
      <c r="FI173" s="314">
        <f t="shared" si="103"/>
        <v>3852983.3167440947</v>
      </c>
      <c r="FJ173" s="314">
        <f t="shared" si="103"/>
        <v>1359627.1563947592</v>
      </c>
      <c r="FK173" s="314">
        <f t="shared" si="103"/>
        <v>309161.84939280734</v>
      </c>
      <c r="FL173" s="314">
        <f t="shared" si="103"/>
        <v>534444.06246684655</v>
      </c>
      <c r="FM173" s="314">
        <f t="shared" si="103"/>
        <v>3566331.0222439356</v>
      </c>
      <c r="FN173" s="314">
        <f t="shared" si="103"/>
        <v>1168289.6279509999</v>
      </c>
      <c r="FO173" s="314">
        <f t="shared" si="103"/>
        <v>724437.76321311155</v>
      </c>
      <c r="FP173" s="314">
        <f t="shared" si="103"/>
        <v>5704866.2344697341</v>
      </c>
      <c r="FQ173" s="314">
        <f t="shared" si="103"/>
        <v>563294.14328801353</v>
      </c>
      <c r="FR173" s="314">
        <f t="shared" si="103"/>
        <v>621677.52731089946</v>
      </c>
      <c r="FS173" s="314">
        <f t="shared" si="103"/>
        <v>451987.70670284075</v>
      </c>
      <c r="FT173" s="314">
        <f t="shared" si="103"/>
        <v>962749.49894792307</v>
      </c>
      <c r="FU173" s="314">
        <f t="shared" si="103"/>
        <v>253919.2353421204</v>
      </c>
      <c r="FV173" s="314">
        <f t="shared" si="103"/>
        <v>273544.45186238713</v>
      </c>
      <c r="FW173" s="314">
        <f t="shared" si="103"/>
        <v>1174692.5639535552</v>
      </c>
      <c r="FX173" s="314">
        <f t="shared" ref="FX173:HC173" si="104">(FX13*1.1-FX53)-FX162</f>
        <v>341239.98774480075</v>
      </c>
      <c r="FY173" s="314">
        <f t="shared" si="104"/>
        <v>303907.98551803723</v>
      </c>
      <c r="FZ173" s="314">
        <f t="shared" si="104"/>
        <v>1150989.5539659876</v>
      </c>
      <c r="GA173" s="314">
        <f t="shared" si="104"/>
        <v>145547.53854631376</v>
      </c>
      <c r="GB173" s="314">
        <f t="shared" si="104"/>
        <v>1378913.9349275492</v>
      </c>
      <c r="GC173" s="314">
        <f t="shared" si="104"/>
        <v>793450.15639475919</v>
      </c>
      <c r="GD173" s="314">
        <f t="shared" si="104"/>
        <v>3457028.7234660909</v>
      </c>
      <c r="GE173" s="314">
        <f t="shared" si="104"/>
        <v>588874.6470753313</v>
      </c>
      <c r="GF173" s="314">
        <f t="shared" si="104"/>
        <v>775980.19566375762</v>
      </c>
      <c r="GG173" s="314">
        <f t="shared" si="104"/>
        <v>245819.59899107972</v>
      </c>
      <c r="GH173" s="314">
        <f t="shared" si="104"/>
        <v>316105.57440495142</v>
      </c>
      <c r="GI173" s="314">
        <f t="shared" si="104"/>
        <v>2650673.9956642166</v>
      </c>
      <c r="GJ173" s="314">
        <f t="shared" si="104"/>
        <v>1190900.6250820411</v>
      </c>
      <c r="GK173" s="314">
        <f t="shared" si="104"/>
        <v>2305238.6493952163</v>
      </c>
      <c r="GL173" s="314">
        <f t="shared" si="104"/>
        <v>314663.04907496669</v>
      </c>
      <c r="GM173" s="314">
        <f t="shared" si="104"/>
        <v>411913.77649276587</v>
      </c>
      <c r="GN173" s="314">
        <f t="shared" si="104"/>
        <v>586565.72645745706</v>
      </c>
      <c r="GO173" s="314">
        <f t="shared" si="104"/>
        <v>4370621.8725100309</v>
      </c>
      <c r="GP173" s="314">
        <f t="shared" si="104"/>
        <v>194325.66791511001</v>
      </c>
      <c r="GQ173" s="314">
        <f t="shared" si="104"/>
        <v>1767195.4740655143</v>
      </c>
      <c r="GR173" s="314">
        <f t="shared" si="104"/>
        <v>284236.06621663179</v>
      </c>
      <c r="GS173" s="314">
        <f t="shared" si="104"/>
        <v>209986.66939280729</v>
      </c>
      <c r="GT173" s="314">
        <f t="shared" si="104"/>
        <v>2168132.4853015058</v>
      </c>
      <c r="GU173" s="314">
        <f t="shared" si="104"/>
        <v>1091467.4306974979</v>
      </c>
      <c r="GV173" s="314">
        <f t="shared" si="104"/>
        <v>1657468.7642328711</v>
      </c>
      <c r="GW173" s="314">
        <f t="shared" si="104"/>
        <v>330143.29054558137</v>
      </c>
      <c r="GX173" s="314">
        <f t="shared" si="104"/>
        <v>277618.42374859191</v>
      </c>
      <c r="GY173" s="314">
        <f t="shared" si="104"/>
        <v>12473188.643833034</v>
      </c>
      <c r="GZ173" s="314">
        <f t="shared" si="104"/>
        <v>-10017.349137014244</v>
      </c>
      <c r="HA173" s="314">
        <f t="shared" si="104"/>
        <v>1771112.2527336283</v>
      </c>
      <c r="HB173" s="314">
        <f t="shared" si="104"/>
        <v>1506834.5089172143</v>
      </c>
      <c r="HC173" s="314">
        <f t="shared" si="104"/>
        <v>3917595.9610034432</v>
      </c>
      <c r="HD173" s="314">
        <f t="shared" ref="HD173:II173" si="105">(HD13*1.1-HD53)-HD162</f>
        <v>585673.15639475919</v>
      </c>
      <c r="HE173" s="314">
        <f t="shared" si="105"/>
        <v>4861273.4337728731</v>
      </c>
      <c r="HF173" s="314">
        <f t="shared" si="105"/>
        <v>1015880.3519459716</v>
      </c>
      <c r="HG173" s="314">
        <f t="shared" si="105"/>
        <v>988414.82651378075</v>
      </c>
      <c r="HH173" s="314">
        <f t="shared" si="105"/>
        <v>515001.37169835437</v>
      </c>
      <c r="HI173" s="314">
        <f t="shared" si="105"/>
        <v>1617315.0057875654</v>
      </c>
      <c r="HJ173" s="314">
        <f t="shared" si="105"/>
        <v>251880.98964983597</v>
      </c>
      <c r="HK173" s="314">
        <f t="shared" si="105"/>
        <v>400405.38009300269</v>
      </c>
      <c r="HL173" s="314">
        <f t="shared" si="105"/>
        <v>6924401.8114894852</v>
      </c>
      <c r="HM173" s="314">
        <f t="shared" si="105"/>
        <v>130015.76436571777</v>
      </c>
      <c r="HN173" s="314">
        <f t="shared" si="105"/>
        <v>-424349.76674063038</v>
      </c>
      <c r="HO173" s="314">
        <f t="shared" si="105"/>
        <v>-133418.32279147208</v>
      </c>
      <c r="HP173" s="314">
        <f t="shared" si="105"/>
        <v>6576567.8059274182</v>
      </c>
      <c r="HQ173" s="314">
        <f t="shared" si="105"/>
        <v>-200464.0649508459</v>
      </c>
      <c r="HR173" s="314">
        <f t="shared" si="105"/>
        <v>3271877.2004720271</v>
      </c>
      <c r="HS173" s="314">
        <f t="shared" si="105"/>
        <v>888676.10113020614</v>
      </c>
      <c r="HT173" s="314">
        <f t="shared" si="105"/>
        <v>-3422673.4504821375</v>
      </c>
      <c r="HU173" s="314">
        <f t="shared" si="105"/>
        <v>7851637.5057290867</v>
      </c>
      <c r="HV173" s="314">
        <f t="shared" si="105"/>
        <v>6061455.8780238964</v>
      </c>
      <c r="HW173" s="314">
        <f t="shared" si="105"/>
        <v>543704.33460354898</v>
      </c>
      <c r="HX173" s="314">
        <f t="shared" si="105"/>
        <v>5922373.4755189866</v>
      </c>
      <c r="HY173" s="314">
        <f t="shared" si="105"/>
        <v>-673249.60921084508</v>
      </c>
      <c r="HZ173" s="314">
        <f t="shared" si="105"/>
        <v>1223065.4754632134</v>
      </c>
      <c r="IA173" s="314">
        <f t="shared" si="105"/>
        <v>3365703.2739929073</v>
      </c>
      <c r="IB173" s="314">
        <f t="shared" si="105"/>
        <v>940245.29054607451</v>
      </c>
      <c r="IC173" s="314">
        <f t="shared" si="105"/>
        <v>7838522.9903222844</v>
      </c>
      <c r="ID173" s="314">
        <f t="shared" si="105"/>
        <v>3628530.4495993108</v>
      </c>
      <c r="IE173" s="314">
        <f t="shared" si="105"/>
        <v>3448575.4694321305</v>
      </c>
      <c r="IF173" s="314">
        <f t="shared" si="105"/>
        <v>-1891490.0531506948</v>
      </c>
      <c r="IG173" s="314">
        <f t="shared" si="105"/>
        <v>273157.97999726981</v>
      </c>
      <c r="IH173" s="314">
        <f t="shared" si="105"/>
        <v>844445.97015392408</v>
      </c>
      <c r="II173" s="314">
        <f t="shared" si="105"/>
        <v>-2622988.5572066009</v>
      </c>
      <c r="IJ173" s="314">
        <f t="shared" ref="IJ173:JH173" si="106">(IJ13*1.1-IJ53)-IJ162</f>
        <v>54399.63370905444</v>
      </c>
      <c r="IK173" s="314">
        <f t="shared" si="106"/>
        <v>-416178.46335241431</v>
      </c>
      <c r="IL173" s="314">
        <f t="shared" si="106"/>
        <v>697808.77010867372</v>
      </c>
      <c r="IM173" s="314">
        <f t="shared" si="106"/>
        <v>-97121.705709132366</v>
      </c>
      <c r="IN173" s="314">
        <f t="shared" si="106"/>
        <v>1614188.0157243554</v>
      </c>
      <c r="IO173" s="314">
        <f t="shared" si="106"/>
        <v>1114199.7193827722</v>
      </c>
      <c r="IP173" s="314">
        <f t="shared" si="106"/>
        <v>358409.89533861727</v>
      </c>
      <c r="IQ173" s="314">
        <f t="shared" si="106"/>
        <v>383393.01118442416</v>
      </c>
      <c r="IR173" s="314">
        <f t="shared" si="106"/>
        <v>38162.869938347721</v>
      </c>
      <c r="IS173" s="314">
        <f t="shared" si="106"/>
        <v>13568708.944996193</v>
      </c>
      <c r="IT173" s="314">
        <f t="shared" si="106"/>
        <v>4877031.879020147</v>
      </c>
      <c r="IU173" s="314">
        <f t="shared" si="106"/>
        <v>734570.45870467974</v>
      </c>
      <c r="IV173" s="314">
        <f t="shared" si="106"/>
        <v>841303.24407077953</v>
      </c>
      <c r="IW173" s="314">
        <f t="shared" si="106"/>
        <v>-962163.86990268156</v>
      </c>
      <c r="IX173" s="314">
        <f t="shared" si="106"/>
        <v>377769.22662927303</v>
      </c>
      <c r="IY173" s="314">
        <f t="shared" si="106"/>
        <v>6700360.9597123954</v>
      </c>
      <c r="IZ173" s="314">
        <f t="shared" si="106"/>
        <v>6181365.5964313261</v>
      </c>
      <c r="JA173" s="314">
        <f t="shared" si="106"/>
        <v>275609.34670227254</v>
      </c>
      <c r="JB173" s="314">
        <f t="shared" si="106"/>
        <v>1126985.2601729175</v>
      </c>
      <c r="JC173" s="314">
        <f t="shared" si="106"/>
        <v>37688.915287713986</v>
      </c>
      <c r="JD173" s="314">
        <f t="shared" si="106"/>
        <v>3405965.4930213178</v>
      </c>
      <c r="JE173" s="314">
        <f t="shared" si="106"/>
        <v>2507606.2489593816</v>
      </c>
      <c r="JF173" s="314">
        <f t="shared" si="106"/>
        <v>11863426.162976325</v>
      </c>
      <c r="JG173" s="314">
        <f t="shared" si="106"/>
        <v>-3869162.91855371</v>
      </c>
      <c r="JH173" s="314">
        <f t="shared" si="106"/>
        <v>706856.57177135325</v>
      </c>
    </row>
    <row r="174" spans="2:276" x14ac:dyDescent="0.25">
      <c r="B174" s="314" t="s">
        <v>2786</v>
      </c>
      <c r="C174" s="314"/>
      <c r="D174" s="314"/>
      <c r="E174" s="314"/>
      <c r="F174" s="314"/>
      <c r="G174" s="314"/>
      <c r="H174" s="314"/>
      <c r="I174" s="314"/>
      <c r="N174" s="314">
        <f>N161</f>
        <v>5245000</v>
      </c>
      <c r="R174" s="632"/>
      <c r="U174" s="314">
        <f>U162</f>
        <v>1087500</v>
      </c>
      <c r="V174" s="632"/>
      <c r="X174" s="314">
        <f>X152+X173</f>
        <v>2288189.1948066317</v>
      </c>
      <c r="AB174" s="314">
        <f>AB152+AB173</f>
        <v>3314496.4075628631</v>
      </c>
      <c r="AC174" s="314">
        <f>AC152+AC173</f>
        <v>518828.02545601479</v>
      </c>
      <c r="AN174" s="314">
        <f>AN161</f>
        <v>1027900</v>
      </c>
      <c r="AO174" s="314">
        <f>AO152+AO173</f>
        <v>4344437.029454913</v>
      </c>
      <c r="AQ174" s="314">
        <f>AQ161</f>
        <v>327938</v>
      </c>
      <c r="AS174" s="314">
        <f>AS152+AS173</f>
        <v>453230.51711358153</v>
      </c>
      <c r="AT174" s="314">
        <f>AT161</f>
        <v>2175746</v>
      </c>
      <c r="AX174" s="314">
        <f>AX152+AX173</f>
        <v>2920797.3891244722</v>
      </c>
      <c r="AY174" s="314">
        <f>AY152+AY173</f>
        <v>3273950.02174873</v>
      </c>
      <c r="BE174" s="314">
        <f>BE162+BE173</f>
        <v>1259866.0930874788</v>
      </c>
      <c r="BO174" s="314">
        <f>BO152+BO173</f>
        <v>979329.81121639954</v>
      </c>
      <c r="BS174" s="314">
        <f>BS152+BS173</f>
        <v>1240691.5513407446</v>
      </c>
      <c r="BU174" s="314">
        <f>BU161</f>
        <v>3939338</v>
      </c>
      <c r="BW174" s="314">
        <f>BW161</f>
        <v>532683</v>
      </c>
      <c r="BX174" s="314">
        <f>BX152+BX173</f>
        <v>4758696.5360793145</v>
      </c>
      <c r="CB174" s="314">
        <f>CB161</f>
        <v>532263</v>
      </c>
      <c r="CD174" s="314">
        <f>CD161</f>
        <v>647336</v>
      </c>
      <c r="CN174" s="314">
        <f>CN152+CN173</f>
        <v>1281343.6395683112</v>
      </c>
      <c r="CO174" s="314">
        <f>CO161</f>
        <v>1214500</v>
      </c>
      <c r="CP174" s="314">
        <f>CP161</f>
        <v>1238425.46</v>
      </c>
      <c r="DB174" s="314">
        <f>DB152+DB173</f>
        <v>739608.49113436451</v>
      </c>
      <c r="DC174" s="314">
        <f>DC152+DC173</f>
        <v>1904515.4593524667</v>
      </c>
      <c r="DL174" s="314">
        <f>DL161</f>
        <v>3817224</v>
      </c>
      <c r="EA174" s="314">
        <f>EA152+EA173</f>
        <v>3739770.0411759862</v>
      </c>
      <c r="EK174" s="314">
        <f>EK161</f>
        <v>3932042</v>
      </c>
      <c r="EO174" s="314">
        <f>EO152+EO173</f>
        <v>311820.34474238765</v>
      </c>
      <c r="EQ174" s="314">
        <f>EQ152+EQ173</f>
        <v>1939351.606248023</v>
      </c>
      <c r="FV174" s="314"/>
      <c r="FY174" s="314"/>
      <c r="JG174" s="313" t="s">
        <v>2855</v>
      </c>
    </row>
    <row r="175" spans="2:276" x14ac:dyDescent="0.25">
      <c r="B175" s="314"/>
      <c r="C175" s="314"/>
      <c r="D175" s="314"/>
      <c r="E175" s="314"/>
      <c r="F175" s="314"/>
      <c r="G175" s="314"/>
      <c r="H175" s="314"/>
      <c r="I175" s="314"/>
      <c r="N175" s="313" t="s">
        <v>2787</v>
      </c>
      <c r="R175" s="313" t="s">
        <v>2792</v>
      </c>
      <c r="U175" s="313" t="s">
        <v>2788</v>
      </c>
      <c r="V175" s="313" t="s">
        <v>2798</v>
      </c>
      <c r="AN175" s="313" t="s">
        <v>2789</v>
      </c>
      <c r="AQ175" s="313" t="s">
        <v>2789</v>
      </c>
      <c r="AT175" s="313" t="s">
        <v>2789</v>
      </c>
      <c r="BS175" s="313" t="s">
        <v>2789</v>
      </c>
      <c r="BU175" s="313" t="s">
        <v>2789</v>
      </c>
      <c r="BW175" s="313" t="s">
        <v>2789</v>
      </c>
      <c r="BX175" s="313" t="s">
        <v>2790</v>
      </c>
      <c r="CB175" s="313" t="s">
        <v>2789</v>
      </c>
      <c r="CD175" s="313" t="s">
        <v>2792</v>
      </c>
      <c r="CN175" s="313" t="s">
        <v>2789</v>
      </c>
      <c r="CO175" s="313" t="s">
        <v>2789</v>
      </c>
      <c r="CP175" s="313" t="s">
        <v>2801</v>
      </c>
      <c r="DL175" s="313" t="s">
        <v>2789</v>
      </c>
      <c r="EK175" s="313" t="s">
        <v>2789</v>
      </c>
      <c r="EO175" s="314"/>
      <c r="EQ175" s="314"/>
      <c r="ES175" s="313" t="s">
        <v>2</v>
      </c>
      <c r="ET175" s="314">
        <f t="shared" ref="ET175:EW175" si="107">ET87</f>
        <v>0</v>
      </c>
      <c r="EU175" s="314">
        <f t="shared" si="107"/>
        <v>0</v>
      </c>
      <c r="EV175" s="314">
        <f t="shared" si="107"/>
        <v>0</v>
      </c>
      <c r="EW175" s="314">
        <f t="shared" si="107"/>
        <v>0</v>
      </c>
      <c r="EX175" s="314">
        <f>EX87</f>
        <v>0</v>
      </c>
      <c r="EY175" s="314">
        <f t="shared" ref="EY175:HJ175" si="108">EY87</f>
        <v>0</v>
      </c>
      <c r="EZ175" s="314">
        <f t="shared" si="108"/>
        <v>0</v>
      </c>
      <c r="FA175" s="314">
        <f t="shared" si="108"/>
        <v>0</v>
      </c>
      <c r="FB175" s="314">
        <f t="shared" si="108"/>
        <v>75443.425865362151</v>
      </c>
      <c r="FC175" s="314">
        <f t="shared" si="108"/>
        <v>0</v>
      </c>
      <c r="FD175" s="314">
        <f t="shared" si="108"/>
        <v>0</v>
      </c>
      <c r="FE175" s="314">
        <f t="shared" si="108"/>
        <v>0</v>
      </c>
      <c r="FF175" s="314">
        <f t="shared" si="108"/>
        <v>0</v>
      </c>
      <c r="FG175" s="314">
        <f t="shared" si="108"/>
        <v>0</v>
      </c>
      <c r="FH175" s="314">
        <f t="shared" si="108"/>
        <v>0</v>
      </c>
      <c r="FI175" s="314">
        <f t="shared" si="108"/>
        <v>185650.39908551914</v>
      </c>
      <c r="FJ175" s="314">
        <f t="shared" si="108"/>
        <v>43670.62224100568</v>
      </c>
      <c r="FK175" s="314">
        <f t="shared" si="108"/>
        <v>167836.88719573405</v>
      </c>
      <c r="FL175" s="314">
        <f t="shared" si="108"/>
        <v>357873.27932224149</v>
      </c>
      <c r="FM175" s="314">
        <f t="shared" si="108"/>
        <v>2723162.4367895005</v>
      </c>
      <c r="FN175" s="314">
        <f t="shared" si="108"/>
        <v>0</v>
      </c>
      <c r="FO175" s="314">
        <f t="shared" si="108"/>
        <v>0</v>
      </c>
      <c r="FP175" s="314">
        <f t="shared" si="108"/>
        <v>0</v>
      </c>
      <c r="FQ175" s="314">
        <f t="shared" si="108"/>
        <v>0</v>
      </c>
      <c r="FR175" s="314">
        <f t="shared" si="108"/>
        <v>0</v>
      </c>
      <c r="FS175" s="314">
        <f t="shared" si="108"/>
        <v>0</v>
      </c>
      <c r="FT175" s="314">
        <f t="shared" si="108"/>
        <v>101370.28388716253</v>
      </c>
      <c r="FU175" s="314">
        <f t="shared" si="108"/>
        <v>14339.595557072789</v>
      </c>
      <c r="FV175" s="314">
        <f t="shared" si="108"/>
        <v>0</v>
      </c>
      <c r="FW175" s="314">
        <f t="shared" si="108"/>
        <v>447218.81957422954</v>
      </c>
      <c r="FX175" s="314">
        <f t="shared" si="108"/>
        <v>155122.71663793261</v>
      </c>
      <c r="FY175" s="314">
        <f t="shared" si="108"/>
        <v>89814.019201396077</v>
      </c>
      <c r="FZ175" s="314">
        <f t="shared" si="108"/>
        <v>0</v>
      </c>
      <c r="GA175" s="314">
        <f t="shared" si="108"/>
        <v>0</v>
      </c>
      <c r="GB175" s="314">
        <f t="shared" si="108"/>
        <v>0</v>
      </c>
      <c r="GC175" s="314">
        <f t="shared" si="108"/>
        <v>207775.5856856975</v>
      </c>
      <c r="GD175" s="314">
        <f t="shared" si="108"/>
        <v>802385.63469312771</v>
      </c>
      <c r="GE175" s="314">
        <f t="shared" si="108"/>
        <v>0</v>
      </c>
      <c r="GF175" s="314">
        <f t="shared" si="108"/>
        <v>0</v>
      </c>
      <c r="GG175" s="314">
        <f t="shared" si="108"/>
        <v>0</v>
      </c>
      <c r="GH175" s="314">
        <f t="shared" si="108"/>
        <v>0</v>
      </c>
      <c r="GI175" s="314">
        <f t="shared" si="108"/>
        <v>0</v>
      </c>
      <c r="GJ175" s="314">
        <f t="shared" si="108"/>
        <v>254580.05470933844</v>
      </c>
      <c r="GK175" s="314">
        <f t="shared" si="108"/>
        <v>175316.0702736706</v>
      </c>
      <c r="GL175" s="314">
        <f t="shared" si="108"/>
        <v>67570.863543901753</v>
      </c>
      <c r="GM175" s="314">
        <f t="shared" si="108"/>
        <v>97258.469444471601</v>
      </c>
      <c r="GN175" s="314">
        <f t="shared" si="108"/>
        <v>107801.37988784634</v>
      </c>
      <c r="GO175" s="314">
        <f t="shared" si="108"/>
        <v>150600.61672605784</v>
      </c>
      <c r="GP175" s="314">
        <f t="shared" si="108"/>
        <v>0</v>
      </c>
      <c r="GQ175" s="314">
        <f t="shared" si="108"/>
        <v>307721.67128313892</v>
      </c>
      <c r="GR175" s="314">
        <f t="shared" si="108"/>
        <v>0</v>
      </c>
      <c r="GS175" s="314">
        <f t="shared" si="108"/>
        <v>113147.66314332996</v>
      </c>
      <c r="GT175" s="314">
        <f t="shared" si="108"/>
        <v>0</v>
      </c>
      <c r="GU175" s="314">
        <f t="shared" si="108"/>
        <v>0</v>
      </c>
      <c r="GV175" s="314">
        <f t="shared" si="108"/>
        <v>0</v>
      </c>
      <c r="GW175" s="314">
        <f t="shared" si="108"/>
        <v>1970.9961776398122</v>
      </c>
      <c r="GX175" s="314">
        <f t="shared" si="108"/>
        <v>128579.08262403985</v>
      </c>
      <c r="GY175" s="314">
        <f t="shared" si="108"/>
        <v>0</v>
      </c>
      <c r="GZ175" s="314">
        <f t="shared" si="108"/>
        <v>0</v>
      </c>
      <c r="HA175" s="314">
        <f t="shared" si="108"/>
        <v>0</v>
      </c>
      <c r="HB175" s="314">
        <f t="shared" si="108"/>
        <v>0</v>
      </c>
      <c r="HC175" s="314">
        <f t="shared" si="108"/>
        <v>0</v>
      </c>
      <c r="HD175" s="314">
        <f t="shared" si="108"/>
        <v>0</v>
      </c>
      <c r="HE175" s="314">
        <f t="shared" si="108"/>
        <v>0</v>
      </c>
      <c r="HF175" s="314">
        <f t="shared" si="108"/>
        <v>227180.3083392675</v>
      </c>
      <c r="HG175" s="314">
        <f t="shared" si="108"/>
        <v>134213.21689477732</v>
      </c>
      <c r="HH175" s="314">
        <f t="shared" si="108"/>
        <v>0</v>
      </c>
      <c r="HI175" s="314">
        <f t="shared" si="108"/>
        <v>890312.63844429795</v>
      </c>
      <c r="HJ175" s="314">
        <f t="shared" si="108"/>
        <v>0</v>
      </c>
      <c r="HK175" s="314">
        <f t="shared" ref="HK175" si="109">HK87</f>
        <v>325968.64520080446</v>
      </c>
    </row>
    <row r="176" spans="2:276" hidden="1" x14ac:dyDescent="0.25">
      <c r="B176" s="313" t="s">
        <v>2791</v>
      </c>
      <c r="N176" s="314">
        <f>N174-N159</f>
        <v>0</v>
      </c>
      <c r="U176" s="314">
        <f>U174-U159</f>
        <v>0</v>
      </c>
      <c r="X176" s="314">
        <f>X174-X159</f>
        <v>-0.80519336834549904</v>
      </c>
      <c r="AB176" s="314">
        <f>AB174-AB159</f>
        <v>-3.5924371369183064</v>
      </c>
      <c r="AC176" s="314">
        <f>AC174-AC159</f>
        <v>-121171.97454398521</v>
      </c>
      <c r="AN176" s="314">
        <f>AN174-AN159</f>
        <v>0</v>
      </c>
      <c r="AO176" s="314">
        <f>AO174-AO159</f>
        <v>-2.9705450870096684</v>
      </c>
      <c r="AQ176" s="314">
        <f>AQ174-AQ159</f>
        <v>-2</v>
      </c>
      <c r="AS176" s="314">
        <f>AS174-AS159</f>
        <v>0.51711358153261244</v>
      </c>
      <c r="AT176" s="314">
        <f>AT174-AT159</f>
        <v>-4</v>
      </c>
      <c r="AX176" s="314">
        <f>AX174-AX159</f>
        <v>-49222.61087552784</v>
      </c>
      <c r="BE176" s="314"/>
      <c r="BO176" s="314">
        <f>BO174-BO159</f>
        <v>-0.18878360046073794</v>
      </c>
      <c r="BR176" s="313" t="s">
        <v>2800</v>
      </c>
      <c r="BS176" s="632">
        <v>10000</v>
      </c>
      <c r="BU176" s="314">
        <f>BU174-BU159</f>
        <v>-2</v>
      </c>
      <c r="BW176" s="314">
        <f>BW174-BW159</f>
        <v>3</v>
      </c>
      <c r="BX176" s="314">
        <f>BX174-BX159</f>
        <v>-3.4639206854626536</v>
      </c>
      <c r="BZ176" s="314">
        <f>BZ174-BZ159</f>
        <v>-324150</v>
      </c>
      <c r="CB176" s="314">
        <f>CB174-CB159</f>
        <v>3</v>
      </c>
      <c r="CD176" s="675">
        <f>CD174-CD159</f>
        <v>9486</v>
      </c>
      <c r="CN176" s="314">
        <f>CN174-CN159</f>
        <v>-1236.3604316888377</v>
      </c>
      <c r="CO176" s="314">
        <f>CO174-CO159</f>
        <v>0</v>
      </c>
      <c r="DB176" s="314">
        <f>DB174-DB159</f>
        <v>-1.5088656354928389</v>
      </c>
      <c r="DL176" s="314">
        <f>DL174-DL159</f>
        <v>4</v>
      </c>
      <c r="EA176" s="314">
        <f>EA174-EA159</f>
        <v>-155419.95882401383</v>
      </c>
      <c r="EJ176" s="313" t="s">
        <v>2795</v>
      </c>
      <c r="EK176" s="675">
        <v>159000</v>
      </c>
      <c r="EO176" s="314">
        <f>EO174-EO159</f>
        <v>0.34474238764960319</v>
      </c>
      <c r="EQ176" s="314">
        <f>EQ174-EQ159</f>
        <v>1.6062480229884386</v>
      </c>
    </row>
    <row r="177" spans="1:269" hidden="1" x14ac:dyDescent="0.25">
      <c r="B177" s="313" t="s">
        <v>2793</v>
      </c>
      <c r="C177" s="314">
        <v>8884420</v>
      </c>
      <c r="D177" s="314">
        <v>7730000</v>
      </c>
      <c r="E177" s="314">
        <v>8299180</v>
      </c>
      <c r="F177" s="314">
        <v>3616880</v>
      </c>
      <c r="G177" s="314">
        <v>10328000</v>
      </c>
      <c r="H177" s="314">
        <v>0</v>
      </c>
      <c r="I177" s="314">
        <v>0</v>
      </c>
      <c r="J177" s="314">
        <v>0</v>
      </c>
      <c r="K177" s="314">
        <v>5569050</v>
      </c>
      <c r="L177" s="314">
        <v>3749960</v>
      </c>
      <c r="M177" s="314">
        <v>3667780</v>
      </c>
      <c r="N177" s="314">
        <v>5360830</v>
      </c>
      <c r="O177" s="314">
        <v>4201140</v>
      </c>
      <c r="P177" s="314">
        <v>2570030</v>
      </c>
      <c r="Q177" s="314">
        <v>1836490</v>
      </c>
      <c r="R177" s="314">
        <v>2086430</v>
      </c>
      <c r="S177" s="314">
        <v>1603640</v>
      </c>
      <c r="T177" s="314">
        <v>622770</v>
      </c>
      <c r="U177" s="314">
        <v>1087500</v>
      </c>
      <c r="V177" s="314">
        <v>9233620</v>
      </c>
      <c r="W177" s="314">
        <v>2130000</v>
      </c>
      <c r="X177" s="314">
        <v>2069080</v>
      </c>
      <c r="Y177" s="314">
        <v>1770700</v>
      </c>
      <c r="Z177" s="314">
        <v>7231920</v>
      </c>
      <c r="AA177" s="314">
        <v>4018820</v>
      </c>
      <c r="AB177" s="314">
        <v>2999150</v>
      </c>
      <c r="AC177" s="314">
        <v>2999150</v>
      </c>
      <c r="AD177" s="314">
        <v>2341100</v>
      </c>
      <c r="AE177" s="314">
        <v>103740</v>
      </c>
      <c r="AF177" s="314">
        <v>1219240</v>
      </c>
      <c r="AG177" s="314">
        <v>3243110</v>
      </c>
      <c r="AH177" s="314">
        <v>760000</v>
      </c>
      <c r="AI177" s="314">
        <v>3404000</v>
      </c>
      <c r="AJ177" s="314">
        <v>2585000</v>
      </c>
      <c r="AK177" s="314">
        <v>1251400</v>
      </c>
      <c r="AL177" s="314">
        <v>1952910</v>
      </c>
      <c r="AM177" s="314">
        <v>1499710</v>
      </c>
      <c r="AN177" s="314">
        <v>1148960</v>
      </c>
      <c r="AO177" s="314">
        <v>3733030</v>
      </c>
      <c r="AP177" s="314">
        <v>2181740</v>
      </c>
      <c r="AQ177" s="314">
        <v>365590</v>
      </c>
      <c r="AR177" s="314">
        <v>1531740</v>
      </c>
      <c r="AS177" s="314">
        <v>477250</v>
      </c>
      <c r="AT177" s="314">
        <v>2498110</v>
      </c>
      <c r="AU177" s="314">
        <v>891890</v>
      </c>
      <c r="AV177" s="314">
        <v>2003660</v>
      </c>
      <c r="AW177" s="314">
        <v>0</v>
      </c>
      <c r="AX177" s="314">
        <v>3067950</v>
      </c>
      <c r="AY177" s="314">
        <v>2954680</v>
      </c>
      <c r="AZ177" s="314">
        <v>2981000</v>
      </c>
      <c r="BA177" s="314">
        <v>9230000</v>
      </c>
      <c r="BB177" s="314">
        <v>1271270</v>
      </c>
      <c r="BC177" s="314">
        <v>1223740</v>
      </c>
      <c r="BD177" s="314">
        <v>1716340</v>
      </c>
      <c r="BE177" s="314">
        <v>0</v>
      </c>
      <c r="BF177" s="314">
        <v>2020000</v>
      </c>
      <c r="BG177" s="314">
        <v>2499000</v>
      </c>
      <c r="BH177" s="314">
        <v>3075110</v>
      </c>
      <c r="BI177" s="314">
        <v>1270000</v>
      </c>
      <c r="BJ177" s="314">
        <v>2734460</v>
      </c>
      <c r="BK177" s="314">
        <v>100000</v>
      </c>
      <c r="BL177" s="314">
        <v>455140</v>
      </c>
      <c r="BM177" s="314">
        <v>1464830</v>
      </c>
      <c r="BN177" s="314">
        <v>1620070</v>
      </c>
      <c r="BO177" s="314">
        <v>893750</v>
      </c>
      <c r="BP177" s="314">
        <v>4652080</v>
      </c>
      <c r="BQ177" s="314">
        <v>0</v>
      </c>
      <c r="BR177" s="314">
        <v>922740</v>
      </c>
      <c r="BS177" s="314">
        <v>1210280</v>
      </c>
      <c r="BT177" s="314">
        <v>914160</v>
      </c>
      <c r="BU177" s="314">
        <v>3939340</v>
      </c>
      <c r="BV177" s="314">
        <v>1073760</v>
      </c>
      <c r="BW177" s="314">
        <v>532680</v>
      </c>
      <c r="BX177" s="314">
        <v>5051920</v>
      </c>
      <c r="BY177" s="314">
        <v>1419140</v>
      </c>
      <c r="BZ177" s="314">
        <v>288150</v>
      </c>
      <c r="CA177" s="314">
        <v>0</v>
      </c>
      <c r="CB177" s="314">
        <v>571520</v>
      </c>
      <c r="CC177" s="314">
        <v>2238060</v>
      </c>
      <c r="CD177" s="314">
        <v>661850</v>
      </c>
      <c r="CE177" s="314">
        <v>9715050</v>
      </c>
      <c r="CF177" s="314">
        <v>4453620</v>
      </c>
      <c r="CG177" s="314">
        <v>231160</v>
      </c>
      <c r="CH177" s="314">
        <v>0</v>
      </c>
      <c r="CI177" s="314">
        <v>0</v>
      </c>
      <c r="CJ177" s="314">
        <v>3854200</v>
      </c>
      <c r="CK177" s="314">
        <v>4542000</v>
      </c>
      <c r="CL177" s="314">
        <v>0</v>
      </c>
      <c r="CM177" s="314">
        <v>6012340</v>
      </c>
      <c r="CN177" s="314">
        <v>1289400</v>
      </c>
      <c r="CO177" s="314">
        <v>1214500</v>
      </c>
      <c r="CP177" s="314">
        <v>1212980</v>
      </c>
      <c r="CQ177" s="314">
        <v>5515040</v>
      </c>
      <c r="CR177" s="314">
        <v>2331090</v>
      </c>
      <c r="CS177" s="314">
        <v>0</v>
      </c>
      <c r="CT177" s="314">
        <v>0</v>
      </c>
      <c r="CU177" s="314">
        <v>1875000</v>
      </c>
      <c r="CV177" s="314">
        <v>5053130</v>
      </c>
      <c r="CW177" s="314">
        <v>400000</v>
      </c>
      <c r="CX177" s="314">
        <v>3457000</v>
      </c>
      <c r="CY177" s="314">
        <v>2881080</v>
      </c>
      <c r="CZ177" s="314">
        <v>371000</v>
      </c>
      <c r="DA177" s="314">
        <v>7650000</v>
      </c>
      <c r="DB177" s="314">
        <v>689840</v>
      </c>
      <c r="DC177" s="314">
        <v>1707290</v>
      </c>
      <c r="DD177" s="314">
        <v>0</v>
      </c>
      <c r="DE177" s="314">
        <v>1595400</v>
      </c>
      <c r="DF177" s="314">
        <v>4660760</v>
      </c>
      <c r="DG177" s="314">
        <v>802940</v>
      </c>
      <c r="DH177" s="314">
        <v>908240</v>
      </c>
      <c r="DI177" s="314">
        <v>0</v>
      </c>
      <c r="DJ177" s="314">
        <v>0</v>
      </c>
      <c r="DK177" s="314">
        <v>0</v>
      </c>
      <c r="DL177" s="314">
        <v>4094300</v>
      </c>
      <c r="DM177" s="314">
        <v>1912950</v>
      </c>
      <c r="DN177" s="314">
        <v>3390570</v>
      </c>
      <c r="DO177" s="314">
        <v>1402300</v>
      </c>
      <c r="DP177" s="314">
        <v>3908920</v>
      </c>
      <c r="DQ177" s="314">
        <v>4013650</v>
      </c>
      <c r="DR177" s="314">
        <v>4423030</v>
      </c>
      <c r="DS177" s="314">
        <v>878000</v>
      </c>
      <c r="DT177" s="314">
        <v>3015000</v>
      </c>
      <c r="DU177" s="314">
        <v>0</v>
      </c>
      <c r="DV177" s="314">
        <v>4423330</v>
      </c>
      <c r="DW177" s="314">
        <v>0</v>
      </c>
      <c r="DX177" s="314">
        <v>0</v>
      </c>
      <c r="DY177" s="314">
        <v>4581140</v>
      </c>
      <c r="DZ177" s="314">
        <v>723930</v>
      </c>
      <c r="EA177" s="314">
        <v>3910500</v>
      </c>
      <c r="EB177" s="314">
        <v>4351410</v>
      </c>
      <c r="EC177" s="314">
        <v>3507640</v>
      </c>
      <c r="ED177" s="314">
        <v>3500130</v>
      </c>
      <c r="EE177" s="314">
        <v>610000</v>
      </c>
      <c r="EF177" s="314">
        <v>666000</v>
      </c>
      <c r="EG177" s="314">
        <v>418920</v>
      </c>
      <c r="EH177" s="314">
        <v>595000</v>
      </c>
      <c r="EI177" s="314">
        <v>1025000</v>
      </c>
      <c r="EJ177" s="314">
        <v>0</v>
      </c>
      <c r="EK177" s="314">
        <v>3656040</v>
      </c>
      <c r="EL177" s="314">
        <v>8819170</v>
      </c>
      <c r="EM177" s="314">
        <v>2817690</v>
      </c>
      <c r="EN177" s="314">
        <v>2526600</v>
      </c>
      <c r="EO177" s="314">
        <v>282110</v>
      </c>
      <c r="EP177" s="314">
        <v>2970070</v>
      </c>
      <c r="EQ177" s="314">
        <v>2268150</v>
      </c>
      <c r="ER177" s="314">
        <v>6229000</v>
      </c>
      <c r="ES177" s="314">
        <v>2889370</v>
      </c>
    </row>
    <row r="178" spans="1:269" hidden="1" x14ac:dyDescent="0.25">
      <c r="B178" s="313" t="s">
        <v>2794</v>
      </c>
      <c r="C178" s="314">
        <f>C159-C177</f>
        <v>0</v>
      </c>
      <c r="D178" s="314">
        <f t="shared" ref="D178:BP178" si="110">D159-D177</f>
        <v>0</v>
      </c>
      <c r="E178" s="314">
        <f t="shared" si="110"/>
        <v>0</v>
      </c>
      <c r="F178" s="314">
        <f t="shared" si="110"/>
        <v>0</v>
      </c>
      <c r="G178" s="314">
        <f t="shared" si="110"/>
        <v>0</v>
      </c>
      <c r="H178" s="314">
        <f t="shared" si="110"/>
        <v>0</v>
      </c>
      <c r="I178" s="314">
        <f t="shared" si="110"/>
        <v>0</v>
      </c>
      <c r="J178" s="314">
        <f t="shared" si="110"/>
        <v>0</v>
      </c>
      <c r="K178" s="314">
        <f t="shared" si="110"/>
        <v>419030</v>
      </c>
      <c r="L178" s="314">
        <f t="shared" si="110"/>
        <v>25010</v>
      </c>
      <c r="M178" s="314">
        <f t="shared" si="110"/>
        <v>0</v>
      </c>
      <c r="N178" s="314">
        <f t="shared" si="110"/>
        <v>-115830</v>
      </c>
      <c r="O178" s="314">
        <f t="shared" si="110"/>
        <v>105000</v>
      </c>
      <c r="P178" s="314">
        <f t="shared" si="110"/>
        <v>-117000</v>
      </c>
      <c r="Q178" s="314">
        <f t="shared" si="110"/>
        <v>0</v>
      </c>
      <c r="R178" s="314">
        <f t="shared" si="110"/>
        <v>-56430</v>
      </c>
      <c r="S178" s="314">
        <f t="shared" si="110"/>
        <v>33510</v>
      </c>
      <c r="T178" s="314">
        <f t="shared" si="110"/>
        <v>0</v>
      </c>
      <c r="U178" s="314">
        <f t="shared" si="110"/>
        <v>0</v>
      </c>
      <c r="V178" s="314">
        <f t="shared" si="110"/>
        <v>-740000</v>
      </c>
      <c r="W178" s="314">
        <f t="shared" si="110"/>
        <v>0</v>
      </c>
      <c r="X178" s="314">
        <f t="shared" si="110"/>
        <v>219110</v>
      </c>
      <c r="Y178" s="314">
        <f t="shared" si="110"/>
        <v>0</v>
      </c>
      <c r="Z178" s="314">
        <f t="shared" si="110"/>
        <v>0</v>
      </c>
      <c r="AA178" s="314">
        <f t="shared" si="110"/>
        <v>225890</v>
      </c>
      <c r="AB178" s="314">
        <f t="shared" si="110"/>
        <v>315350</v>
      </c>
      <c r="AC178" s="314">
        <f t="shared" ref="AC178" si="111">AC159-AC177</f>
        <v>-2359150</v>
      </c>
      <c r="AD178" s="314">
        <f t="shared" si="110"/>
        <v>249130</v>
      </c>
      <c r="AE178" s="314">
        <f t="shared" si="110"/>
        <v>0</v>
      </c>
      <c r="AF178" s="314">
        <f t="shared" si="110"/>
        <v>0</v>
      </c>
      <c r="AG178" s="314">
        <f t="shared" si="110"/>
        <v>207700</v>
      </c>
      <c r="AH178" s="314">
        <f t="shared" si="110"/>
        <v>0</v>
      </c>
      <c r="AI178" s="314">
        <f t="shared" si="110"/>
        <v>0</v>
      </c>
      <c r="AJ178" s="314">
        <f t="shared" si="110"/>
        <v>0</v>
      </c>
      <c r="AK178" s="314">
        <f t="shared" si="110"/>
        <v>0</v>
      </c>
      <c r="AL178" s="314">
        <f t="shared" si="110"/>
        <v>0</v>
      </c>
      <c r="AM178" s="314">
        <f t="shared" si="110"/>
        <v>0</v>
      </c>
      <c r="AN178" s="314">
        <f t="shared" si="110"/>
        <v>-121060</v>
      </c>
      <c r="AO178" s="314">
        <f t="shared" si="110"/>
        <v>611410</v>
      </c>
      <c r="AP178" s="314">
        <f t="shared" si="110"/>
        <v>38260</v>
      </c>
      <c r="AQ178" s="314">
        <f t="shared" si="110"/>
        <v>-37650</v>
      </c>
      <c r="AR178" s="314">
        <f t="shared" si="110"/>
        <v>0</v>
      </c>
      <c r="AS178" s="314">
        <f t="shared" si="110"/>
        <v>-24020</v>
      </c>
      <c r="AT178" s="314">
        <f t="shared" si="110"/>
        <v>-322360</v>
      </c>
      <c r="AU178" s="314">
        <f t="shared" si="110"/>
        <v>100330</v>
      </c>
      <c r="AV178" s="314">
        <f t="shared" si="110"/>
        <v>0</v>
      </c>
      <c r="AW178" s="314">
        <f t="shared" si="110"/>
        <v>0</v>
      </c>
      <c r="AX178" s="314">
        <f t="shared" si="110"/>
        <v>-97930</v>
      </c>
      <c r="AY178" s="314">
        <f t="shared" si="110"/>
        <v>319270</v>
      </c>
      <c r="AZ178" s="314">
        <f t="shared" si="110"/>
        <v>0</v>
      </c>
      <c r="BA178" s="314">
        <f t="shared" si="110"/>
        <v>0</v>
      </c>
      <c r="BB178" s="314">
        <f t="shared" si="110"/>
        <v>41650</v>
      </c>
      <c r="BC178" s="314">
        <f t="shared" si="110"/>
        <v>0</v>
      </c>
      <c r="BD178" s="314">
        <f t="shared" si="110"/>
        <v>199920</v>
      </c>
      <c r="BE178" s="314">
        <f t="shared" si="110"/>
        <v>0</v>
      </c>
      <c r="BF178" s="314">
        <f t="shared" si="110"/>
        <v>0</v>
      </c>
      <c r="BG178" s="314">
        <f t="shared" si="110"/>
        <v>0</v>
      </c>
      <c r="BH178" s="314">
        <f t="shared" si="110"/>
        <v>0</v>
      </c>
      <c r="BI178" s="314">
        <f t="shared" si="110"/>
        <v>0</v>
      </c>
      <c r="BJ178" s="314">
        <f t="shared" si="110"/>
        <v>0</v>
      </c>
      <c r="BK178" s="314">
        <f t="shared" si="110"/>
        <v>0</v>
      </c>
      <c r="BL178" s="314">
        <f t="shared" si="110"/>
        <v>0</v>
      </c>
      <c r="BM178" s="314">
        <f t="shared" si="110"/>
        <v>-10</v>
      </c>
      <c r="BN178" s="314">
        <f t="shared" si="110"/>
        <v>21030</v>
      </c>
      <c r="BO178" s="314">
        <f t="shared" si="110"/>
        <v>85580</v>
      </c>
      <c r="BP178" s="314">
        <f t="shared" si="110"/>
        <v>0</v>
      </c>
      <c r="BQ178" s="314">
        <f t="shared" ref="BQ178:EB178" si="112">BQ159-BQ177</f>
        <v>0</v>
      </c>
      <c r="BR178" s="314">
        <f t="shared" si="112"/>
        <v>90280</v>
      </c>
      <c r="BS178" s="314">
        <f t="shared" si="112"/>
        <v>77620</v>
      </c>
      <c r="BT178" s="314">
        <f t="shared" si="112"/>
        <v>0</v>
      </c>
      <c r="BU178" s="314">
        <f t="shared" si="112"/>
        <v>0</v>
      </c>
      <c r="BV178" s="314">
        <f t="shared" si="112"/>
        <v>104150</v>
      </c>
      <c r="BW178" s="314">
        <f t="shared" si="112"/>
        <v>0</v>
      </c>
      <c r="BX178" s="314">
        <f t="shared" si="112"/>
        <v>-293220</v>
      </c>
      <c r="BY178" s="314">
        <f t="shared" si="112"/>
        <v>101000</v>
      </c>
      <c r="BZ178" s="314">
        <f t="shared" si="112"/>
        <v>36000</v>
      </c>
      <c r="CA178" s="314">
        <f t="shared" si="112"/>
        <v>0</v>
      </c>
      <c r="CB178" s="314">
        <f t="shared" si="112"/>
        <v>-39260</v>
      </c>
      <c r="CC178" s="314">
        <f t="shared" si="112"/>
        <v>0</v>
      </c>
      <c r="CD178" s="314">
        <f t="shared" si="112"/>
        <v>-24000</v>
      </c>
      <c r="CE178" s="314">
        <f t="shared" si="112"/>
        <v>0</v>
      </c>
      <c r="CF178" s="314">
        <f t="shared" si="112"/>
        <v>0</v>
      </c>
      <c r="CG178" s="314">
        <f t="shared" si="112"/>
        <v>26000</v>
      </c>
      <c r="CH178" s="314">
        <f t="shared" si="112"/>
        <v>0</v>
      </c>
      <c r="CI178" s="314">
        <f t="shared" si="112"/>
        <v>0</v>
      </c>
      <c r="CJ178" s="314">
        <f t="shared" si="112"/>
        <v>0</v>
      </c>
      <c r="CK178" s="314">
        <f t="shared" si="112"/>
        <v>-76000</v>
      </c>
      <c r="CL178" s="314">
        <f t="shared" si="112"/>
        <v>0</v>
      </c>
      <c r="CM178" s="314">
        <f t="shared" si="112"/>
        <v>0</v>
      </c>
      <c r="CN178" s="314">
        <f t="shared" si="112"/>
        <v>-6820</v>
      </c>
      <c r="CO178" s="314">
        <f t="shared" si="112"/>
        <v>0</v>
      </c>
      <c r="CP178" s="314">
        <f t="shared" si="112"/>
        <v>25450</v>
      </c>
      <c r="CQ178" s="314">
        <f t="shared" si="112"/>
        <v>0</v>
      </c>
      <c r="CR178" s="314">
        <f t="shared" si="112"/>
        <v>0</v>
      </c>
      <c r="CS178" s="314">
        <f t="shared" si="112"/>
        <v>0</v>
      </c>
      <c r="CT178" s="314">
        <f t="shared" si="112"/>
        <v>0</v>
      </c>
      <c r="CU178" s="314">
        <f t="shared" si="112"/>
        <v>0</v>
      </c>
      <c r="CV178" s="314">
        <f t="shared" si="112"/>
        <v>591860</v>
      </c>
      <c r="CW178" s="314">
        <f t="shared" si="112"/>
        <v>0</v>
      </c>
      <c r="CX178" s="314">
        <f t="shared" si="112"/>
        <v>0</v>
      </c>
      <c r="CY178" s="314">
        <f t="shared" si="112"/>
        <v>0</v>
      </c>
      <c r="CZ178" s="314">
        <f t="shared" si="112"/>
        <v>0</v>
      </c>
      <c r="DA178" s="314">
        <f t="shared" si="112"/>
        <v>0</v>
      </c>
      <c r="DB178" s="314">
        <f t="shared" si="112"/>
        <v>49770</v>
      </c>
      <c r="DC178" s="314">
        <f t="shared" si="112"/>
        <v>197230</v>
      </c>
      <c r="DD178" s="314">
        <f t="shared" si="112"/>
        <v>0</v>
      </c>
      <c r="DE178" s="314">
        <f t="shared" si="112"/>
        <v>0</v>
      </c>
      <c r="DF178" s="314">
        <f t="shared" si="112"/>
        <v>0</v>
      </c>
      <c r="DG178" s="314">
        <f t="shared" si="112"/>
        <v>0</v>
      </c>
      <c r="DH178" s="314">
        <f t="shared" si="112"/>
        <v>0</v>
      </c>
      <c r="DI178" s="314">
        <f t="shared" si="112"/>
        <v>0</v>
      </c>
      <c r="DJ178" s="314">
        <f t="shared" si="112"/>
        <v>0</v>
      </c>
      <c r="DK178" s="314">
        <f t="shared" si="112"/>
        <v>0</v>
      </c>
      <c r="DL178" s="314">
        <f t="shared" si="112"/>
        <v>-277080</v>
      </c>
      <c r="DM178" s="314">
        <f t="shared" si="112"/>
        <v>-7450</v>
      </c>
      <c r="DN178" s="314">
        <f t="shared" si="112"/>
        <v>214100</v>
      </c>
      <c r="DO178" s="314">
        <f t="shared" si="112"/>
        <v>0</v>
      </c>
      <c r="DP178" s="314">
        <f t="shared" si="112"/>
        <v>136440</v>
      </c>
      <c r="DQ178" s="314">
        <f t="shared" si="112"/>
        <v>-74000</v>
      </c>
      <c r="DR178" s="314">
        <f t="shared" si="112"/>
        <v>-10</v>
      </c>
      <c r="DS178" s="314">
        <f t="shared" si="112"/>
        <v>0</v>
      </c>
      <c r="DT178" s="314">
        <f t="shared" si="112"/>
        <v>0</v>
      </c>
      <c r="DU178" s="314">
        <f t="shared" si="112"/>
        <v>0</v>
      </c>
      <c r="DV178" s="314">
        <f t="shared" si="112"/>
        <v>0</v>
      </c>
      <c r="DW178" s="314">
        <f t="shared" si="112"/>
        <v>0</v>
      </c>
      <c r="DX178" s="314">
        <f t="shared" si="112"/>
        <v>0</v>
      </c>
      <c r="DY178" s="314">
        <f t="shared" si="112"/>
        <v>0</v>
      </c>
      <c r="DZ178" s="314">
        <f t="shared" si="112"/>
        <v>0</v>
      </c>
      <c r="EA178" s="314">
        <f t="shared" si="112"/>
        <v>-15310</v>
      </c>
      <c r="EB178" s="314">
        <f t="shared" si="112"/>
        <v>-279800</v>
      </c>
      <c r="EC178" s="314">
        <f t="shared" ref="EC178:ES178" si="113">EC159-EC177</f>
        <v>0</v>
      </c>
      <c r="ED178" s="314">
        <f t="shared" si="113"/>
        <v>289730</v>
      </c>
      <c r="EE178" s="314">
        <f t="shared" si="113"/>
        <v>0</v>
      </c>
      <c r="EF178" s="314">
        <f t="shared" si="113"/>
        <v>0</v>
      </c>
      <c r="EG178" s="314">
        <f t="shared" si="113"/>
        <v>6080</v>
      </c>
      <c r="EH178" s="314">
        <f t="shared" si="113"/>
        <v>0</v>
      </c>
      <c r="EI178" s="314">
        <f t="shared" si="113"/>
        <v>0</v>
      </c>
      <c r="EJ178" s="314">
        <f t="shared" si="113"/>
        <v>0</v>
      </c>
      <c r="EK178" s="314">
        <f t="shared" si="113"/>
        <v>117000</v>
      </c>
      <c r="EL178" s="314">
        <f t="shared" si="113"/>
        <v>76910</v>
      </c>
      <c r="EM178" s="314">
        <f t="shared" si="113"/>
        <v>-52000</v>
      </c>
      <c r="EN178" s="314">
        <f t="shared" si="113"/>
        <v>0</v>
      </c>
      <c r="EO178" s="314">
        <f t="shared" si="113"/>
        <v>29710</v>
      </c>
      <c r="EP178" s="314">
        <f t="shared" si="113"/>
        <v>-10</v>
      </c>
      <c r="EQ178" s="314">
        <f t="shared" si="113"/>
        <v>-328800</v>
      </c>
      <c r="ER178" s="314">
        <f t="shared" si="113"/>
        <v>0</v>
      </c>
      <c r="ES178" s="314">
        <f t="shared" si="113"/>
        <v>0</v>
      </c>
    </row>
    <row r="179" spans="1:269" hidden="1" x14ac:dyDescent="0.25">
      <c r="C179" s="314"/>
      <c r="D179" s="314"/>
      <c r="E179" s="314"/>
      <c r="F179" s="314"/>
      <c r="G179" s="314"/>
      <c r="H179" s="314"/>
      <c r="I179" s="314"/>
      <c r="J179" s="314"/>
      <c r="K179" s="314"/>
      <c r="L179" s="314"/>
      <c r="M179" s="314"/>
      <c r="N179" s="314"/>
      <c r="O179" s="314"/>
      <c r="P179" s="314"/>
      <c r="Q179" s="314"/>
      <c r="R179" s="314"/>
      <c r="S179" s="314"/>
      <c r="T179" s="314"/>
      <c r="U179" s="314"/>
      <c r="V179" s="314"/>
      <c r="W179" s="314"/>
      <c r="X179" s="314"/>
      <c r="Y179" s="314"/>
      <c r="Z179" s="314"/>
      <c r="AA179" s="314"/>
      <c r="AB179" s="314"/>
      <c r="AC179" s="314"/>
      <c r="AD179" s="314"/>
      <c r="AE179" s="314"/>
      <c r="AF179" s="314"/>
      <c r="AG179" s="314"/>
      <c r="AH179" s="314"/>
      <c r="AI179" s="314"/>
      <c r="AJ179" s="314"/>
      <c r="AK179" s="314"/>
      <c r="AL179" s="314"/>
      <c r="AM179" s="314"/>
      <c r="AN179" s="314"/>
      <c r="AO179" s="314"/>
      <c r="AP179" s="314"/>
      <c r="AQ179" s="314"/>
      <c r="AR179" s="314"/>
      <c r="AS179" s="314"/>
      <c r="AT179" s="314"/>
      <c r="AU179" s="314"/>
      <c r="AV179" s="314"/>
      <c r="AW179" s="314"/>
      <c r="AX179" s="314"/>
      <c r="AY179" s="314"/>
      <c r="AZ179" s="314"/>
      <c r="BA179" s="314"/>
      <c r="BB179" s="314"/>
      <c r="BC179" s="314"/>
      <c r="BD179" s="314"/>
      <c r="BE179" s="314"/>
      <c r="BF179" s="314"/>
      <c r="BG179" s="314"/>
      <c r="BH179" s="314"/>
      <c r="BI179" s="314"/>
      <c r="BJ179" s="314"/>
      <c r="BK179" s="314"/>
      <c r="BL179" s="314"/>
      <c r="BM179" s="314"/>
      <c r="BN179" s="314"/>
      <c r="BO179" s="314"/>
      <c r="BP179" s="314"/>
      <c r="BQ179" s="314"/>
      <c r="BR179" s="314"/>
      <c r="BS179" s="314"/>
      <c r="BT179" s="314"/>
      <c r="BU179" s="314"/>
      <c r="BV179" s="314"/>
      <c r="BW179" s="314"/>
      <c r="BX179" s="314"/>
      <c r="BY179" s="314"/>
      <c r="BZ179" s="314"/>
      <c r="CA179" s="314"/>
      <c r="CB179" s="314"/>
      <c r="CC179" s="314"/>
      <c r="CD179" s="314"/>
      <c r="CE179" s="314"/>
      <c r="CF179" s="314"/>
      <c r="CG179" s="314"/>
      <c r="CH179" s="314"/>
      <c r="CI179" s="314"/>
      <c r="CJ179" s="314"/>
      <c r="CK179" s="314"/>
      <c r="CL179" s="314"/>
      <c r="CM179" s="314"/>
      <c r="CN179" s="314"/>
      <c r="CO179" s="314"/>
      <c r="CP179" s="314"/>
      <c r="CQ179" s="314"/>
      <c r="CR179" s="314"/>
      <c r="CS179" s="314"/>
      <c r="CT179" s="314"/>
      <c r="CU179" s="314"/>
      <c r="CV179" s="314"/>
      <c r="CW179" s="314"/>
      <c r="CX179" s="314"/>
      <c r="CY179" s="314"/>
      <c r="CZ179" s="314"/>
      <c r="DA179" s="314"/>
      <c r="DB179" s="314"/>
      <c r="DC179" s="314"/>
      <c r="DD179" s="314"/>
      <c r="DE179" s="314"/>
      <c r="DF179" s="314"/>
      <c r="DG179" s="314"/>
      <c r="DH179" s="314"/>
      <c r="DI179" s="314"/>
      <c r="DJ179" s="314"/>
      <c r="DK179" s="314"/>
      <c r="DL179" s="314"/>
      <c r="DM179" s="314"/>
      <c r="DN179" s="314"/>
      <c r="DO179" s="314"/>
      <c r="DP179" s="314"/>
      <c r="DQ179" s="314"/>
      <c r="DR179" s="314"/>
      <c r="DS179" s="314"/>
      <c r="DT179" s="314"/>
      <c r="DU179" s="314"/>
      <c r="DV179" s="314"/>
      <c r="DW179" s="314"/>
      <c r="DX179" s="314"/>
      <c r="DY179" s="314"/>
      <c r="DZ179" s="314"/>
      <c r="EA179" s="314"/>
      <c r="EB179" s="314"/>
      <c r="EC179" s="314"/>
      <c r="ED179" s="314"/>
      <c r="EE179" s="314"/>
      <c r="EF179" s="314"/>
      <c r="EG179" s="314"/>
      <c r="EH179" s="314"/>
      <c r="EI179" s="314"/>
      <c r="EJ179" s="314"/>
      <c r="EK179" s="314"/>
      <c r="EL179" s="314"/>
      <c r="EM179" s="314"/>
      <c r="EN179" s="314"/>
      <c r="EO179" s="314"/>
      <c r="EP179" s="314"/>
      <c r="EQ179" s="314"/>
      <c r="ER179" s="314"/>
      <c r="ES179" s="314"/>
    </row>
    <row r="180" spans="1:269" hidden="1" x14ac:dyDescent="0.25">
      <c r="A180" s="313">
        <v>2</v>
      </c>
      <c r="B180" s="313" t="s">
        <v>2846</v>
      </c>
      <c r="C180" s="313">
        <f>IFERROR(VLOOKUP(C$1,'síť 2020'!$D$358:$G$621,$A180,FALSE),0)</f>
        <v>20</v>
      </c>
      <c r="D180" s="313">
        <f>IFERROR(VLOOKUP(D$1,'síť 2020'!$D$358:$G$621,$A180,FALSE),0)</f>
        <v>18</v>
      </c>
      <c r="E180" s="313">
        <f>IFERROR(VLOOKUP(E$1,'síť 2020'!$D$358:$G$621,$A180,FALSE),0)</f>
        <v>21.25</v>
      </c>
      <c r="F180" s="313">
        <f>IFERROR(VLOOKUP(F$1,'síť 2020'!$D$358:$G$621,$A180,FALSE),0)</f>
        <v>8.9</v>
      </c>
      <c r="G180" s="313">
        <f>IFERROR(VLOOKUP(G$1,'síť 2020'!$D$358:$G$621,$A180,FALSE),0)</f>
        <v>17.25</v>
      </c>
      <c r="H180" s="313">
        <f>IFERROR(VLOOKUP(H$1,'síť 2020'!$D$358:$G$621,$A180,FALSE),0)</f>
        <v>1.8</v>
      </c>
      <c r="I180" s="313">
        <f>IFERROR(VLOOKUP(I$1,'síť 2020'!$D$358:$G$621,$A180,FALSE),0)</f>
        <v>4.7</v>
      </c>
      <c r="J180" s="313">
        <f>IFERROR(VLOOKUP(J$1,'síť 2020'!$D$358:$G$621,$A180,FALSE),0)</f>
        <v>4</v>
      </c>
      <c r="K180" s="313">
        <f>IFERROR(VLOOKUP(K$1,'síť 2020'!$D$358:$G$621,$A180,FALSE),0)</f>
        <v>9</v>
      </c>
      <c r="L180" s="313">
        <f>IFERROR(VLOOKUP(L$1,'síť 2020'!$D$358:$G$621,$A180,FALSE),0)</f>
        <v>4.5999999999999996</v>
      </c>
      <c r="M180" s="313">
        <f>IFERROR(VLOOKUP(M$1,'síť 2020'!$D$358:$G$621,$A180,FALSE),0)</f>
        <v>9</v>
      </c>
      <c r="N180" s="313">
        <f>IFERROR(VLOOKUP(N$1,'síť 2020'!$D$358:$G$621,$A180,FALSE),0)</f>
        <v>8.51</v>
      </c>
      <c r="O180" s="313">
        <f>IFERROR(VLOOKUP(O$1,'síť 2020'!$D$358:$G$621,$A180,FALSE),0)</f>
        <v>6.0700000000000012</v>
      </c>
      <c r="P180" s="313">
        <f>IFERROR(VLOOKUP(P$1,'síť 2020'!$D$358:$G$621,$A180,FALSE),0)</f>
        <v>4</v>
      </c>
      <c r="Q180" s="313">
        <f>IFERROR(VLOOKUP(Q$1,'síť 2020'!$D$358:$G$621,$A180,FALSE),0)</f>
        <v>2.7</v>
      </c>
      <c r="R180" s="313">
        <f>IFERROR(VLOOKUP(R$1,'síť 2020'!$D$358:$G$621,$A180,FALSE),0)</f>
        <v>3.3</v>
      </c>
      <c r="S180" s="313">
        <f>IFERROR(VLOOKUP(S$1,'síť 2020'!$D$358:$G$621,$A180,FALSE),0)</f>
        <v>2.2999999999999998</v>
      </c>
      <c r="T180" s="313">
        <f>IFERROR(VLOOKUP(T$1,'síť 2020'!$D$358:$G$621,$A180,FALSE),0)</f>
        <v>1</v>
      </c>
      <c r="U180" s="313">
        <f>IFERROR(VLOOKUP(U$1,'síť 2020'!$D$358:$G$621,$A180,FALSE),0)</f>
        <v>1.5</v>
      </c>
      <c r="V180" s="313">
        <f>IFERROR(VLOOKUP(V$1,'síť 2020'!$D$358:$G$621,$A180,FALSE),0)</f>
        <v>31.15</v>
      </c>
      <c r="W180" s="313">
        <f>IFERROR(VLOOKUP(W$1,'síť 2020'!$D$358:$G$621,$A180,FALSE),0)</f>
        <v>5.75</v>
      </c>
      <c r="X180" s="313">
        <f>IFERROR(VLOOKUP(X$1,'síť 2020'!$D$358:$G$621,$A180,FALSE),0)</f>
        <v>3.01</v>
      </c>
      <c r="Y180" s="313">
        <f>IFERROR(VLOOKUP(Y$1,'síť 2020'!$D$358:$G$621,$A180,FALSE),0)</f>
        <v>4.05</v>
      </c>
      <c r="Z180" s="313">
        <f>IFERROR(VLOOKUP(Z$1,'síť 2020'!$D$358:$G$621,$A180,FALSE),0)</f>
        <v>13.95</v>
      </c>
      <c r="AA180" s="313">
        <f>IFERROR(VLOOKUP(AA$1,'síť 2020'!$D$358:$G$621,$A180,FALSE),0)</f>
        <v>6</v>
      </c>
      <c r="AB180" s="313">
        <f>IFERROR(VLOOKUP(AB$1,'síť 2020'!$D$358:$G$621,$A180,FALSE),0)</f>
        <v>7.15</v>
      </c>
      <c r="AC180" s="313">
        <f>IFERROR(VLOOKUP(AC$1,'síť 2020'!$D$358:$G$621,$A180,FALSE),0)</f>
        <v>0</v>
      </c>
      <c r="AD180" s="313">
        <f>IFERROR(VLOOKUP(AD$1,'síť 2020'!$D$358:$G$621,$A180,FALSE),0)</f>
        <v>2.85</v>
      </c>
      <c r="AE180" s="313">
        <f>IFERROR(VLOOKUP(AE$1,'síť 2020'!$D$358:$G$621,$A180,FALSE),0)</f>
        <v>1.7</v>
      </c>
      <c r="AF180" s="313">
        <f>IFERROR(VLOOKUP(AF$1,'síť 2020'!$D$358:$G$621,$A180,FALSE),0)</f>
        <v>4.74</v>
      </c>
      <c r="AG180" s="313">
        <f>IFERROR(VLOOKUP(AG$1,'síť 2020'!$D$358:$G$621,$A180,FALSE),0)</f>
        <v>7</v>
      </c>
      <c r="AH180" s="313">
        <f>IFERROR(VLOOKUP(AH$1,'síť 2020'!$D$358:$G$621,$A180,FALSE),0)</f>
        <v>1.7</v>
      </c>
      <c r="AI180" s="313">
        <f>IFERROR(VLOOKUP(AI$1,'síť 2020'!$D$358:$G$621,$A180,FALSE),0)</f>
        <v>10.775</v>
      </c>
      <c r="AJ180" s="313">
        <f>IFERROR(VLOOKUP(AJ$1,'síť 2020'!$D$358:$G$621,$A180,FALSE),0)</f>
        <v>7.2</v>
      </c>
      <c r="AK180" s="313">
        <f>IFERROR(VLOOKUP(AK$1,'síť 2020'!$D$358:$G$621,$A180,FALSE),0)</f>
        <v>2.1</v>
      </c>
      <c r="AL180" s="313">
        <f>IFERROR(VLOOKUP(AL$1,'síť 2020'!$D$358:$G$621,$A180,FALSE),0)</f>
        <v>3</v>
      </c>
      <c r="AM180" s="313">
        <f>IFERROR(VLOOKUP(AM$1,'síť 2020'!$D$358:$G$621,$A180,FALSE),0)</f>
        <v>2.1</v>
      </c>
      <c r="AN180" s="313">
        <f>IFERROR(VLOOKUP(AN$1,'síť 2020'!$D$358:$G$621,$A180,FALSE),0)</f>
        <v>1.34</v>
      </c>
      <c r="AO180" s="313">
        <f>IFERROR(VLOOKUP(AO$1,'síť 2020'!$D$358:$G$621,$A180,FALSE),0)</f>
        <v>12.14</v>
      </c>
      <c r="AP180" s="313">
        <f>IFERROR(VLOOKUP(AP$1,'síť 2020'!$D$358:$G$621,$A180,FALSE),0)</f>
        <v>5.3</v>
      </c>
      <c r="AQ180" s="313">
        <f>IFERROR(VLOOKUP(AQ$1,'síť 2020'!$D$358:$G$621,$A180,FALSE),0)</f>
        <v>0.4</v>
      </c>
      <c r="AR180" s="313">
        <f>IFERROR(VLOOKUP(AR$1,'síť 2020'!$D$358:$G$621,$A180,FALSE),0)</f>
        <v>2.25</v>
      </c>
      <c r="AS180" s="313">
        <f>IFERROR(VLOOKUP(AS$1,'síť 2020'!$D$358:$G$621,$A180,FALSE),0)</f>
        <v>0.6</v>
      </c>
      <c r="AT180" s="313">
        <f>IFERROR(VLOOKUP(AT$1,'síť 2020'!$D$358:$G$621,$A180,FALSE),0)</f>
        <v>4.7</v>
      </c>
      <c r="AU180" s="313">
        <f>IFERROR(VLOOKUP(AU$1,'síť 2020'!$D$358:$G$621,$A180,FALSE),0)</f>
        <v>1.6</v>
      </c>
      <c r="AV180" s="313">
        <f>IFERROR(VLOOKUP(AV$1,'síť 2020'!$D$358:$G$621,$A180,FALSE),0)</f>
        <v>2.95</v>
      </c>
      <c r="AW180" s="313">
        <f>IFERROR(VLOOKUP(AW$1,'síť 2020'!$D$358:$G$621,$A180,FALSE),0)</f>
        <v>5</v>
      </c>
      <c r="AX180" s="313">
        <f>IFERROR(VLOOKUP(AX$1,'síť 2020'!$D$358:$G$621,$A180,FALSE),0)</f>
        <v>5.35</v>
      </c>
      <c r="AY180" s="313">
        <f>IFERROR(VLOOKUP(AY$1,'síť 2020'!$D$358:$G$621,$A180,FALSE),0)</f>
        <v>4.1899999999999995</v>
      </c>
      <c r="AZ180" s="313">
        <f>IFERROR(VLOOKUP(AZ$1,'síť 2020'!$D$358:$G$621,$A180,FALSE),0)</f>
        <v>4.55</v>
      </c>
      <c r="BA180" s="313">
        <f>IFERROR(VLOOKUP(BA$1,'síť 2020'!$D$358:$G$621,$A180,FALSE),0)</f>
        <v>25.8</v>
      </c>
      <c r="BB180" s="313">
        <f>IFERROR(VLOOKUP(BB$1,'síť 2020'!$D$358:$G$621,$A180,FALSE),0)</f>
        <v>1.9</v>
      </c>
      <c r="BC180" s="313">
        <f>IFERROR(VLOOKUP(BC$1,'síť 2020'!$D$358:$G$621,$A180,FALSE),0)</f>
        <v>1.9</v>
      </c>
      <c r="BD180" s="313">
        <f>IFERROR(VLOOKUP(BD$1,'síť 2020'!$D$358:$G$621,$A180,FALSE),0)</f>
        <v>2.72</v>
      </c>
      <c r="BE180" s="313">
        <f>IFERROR(VLOOKUP(BE$1,'síť 2020'!$D$358:$G$621,$A180,FALSE),0)</f>
        <v>1.75</v>
      </c>
      <c r="BF180" s="313">
        <f>IFERROR(VLOOKUP(BF$1,'síť 2020'!$D$358:$G$621,$A180,FALSE),0)</f>
        <v>4.0999999999999996</v>
      </c>
      <c r="BG180" s="313">
        <f>IFERROR(VLOOKUP(BG$1,'síť 2020'!$D$358:$G$621,$A180,FALSE),0)</f>
        <v>4</v>
      </c>
      <c r="BH180" s="313">
        <f>IFERROR(VLOOKUP(BH$1,'síť 2020'!$D$358:$G$621,$A180,FALSE),0)</f>
        <v>5.75</v>
      </c>
      <c r="BI180" s="313">
        <f>IFERROR(VLOOKUP(BI$1,'síť 2020'!$D$358:$G$621,$A180,FALSE),0)</f>
        <v>6.78</v>
      </c>
      <c r="BJ180" s="313">
        <f>IFERROR(VLOOKUP(BJ$1,'síť 2020'!$D$358:$G$621,$A180,FALSE),0)</f>
        <v>5.6</v>
      </c>
      <c r="BK180" s="313">
        <f>IFERROR(VLOOKUP(BK$1,'síť 2020'!$D$358:$G$621,$A180,FALSE),0)</f>
        <v>1.75</v>
      </c>
      <c r="BL180" s="313">
        <f>IFERROR(VLOOKUP(BL$1,'síť 2020'!$D$358:$G$621,$A180,FALSE),0)</f>
        <v>0</v>
      </c>
      <c r="BM180" s="313">
        <f>IFERROR(VLOOKUP(BM$1,'síť 2020'!$D$358:$G$621,$A180,FALSE),0)</f>
        <v>3.2</v>
      </c>
      <c r="BN180" s="313">
        <f>IFERROR(VLOOKUP(BN$1,'síť 2020'!$D$358:$G$621,$A180,FALSE),0)</f>
        <v>2.62</v>
      </c>
      <c r="BO180" s="313">
        <f>IFERROR(VLOOKUP(BO$1,'síť 2020'!$D$358:$G$621,$A180,FALSE),0)</f>
        <v>1.35</v>
      </c>
      <c r="BP180" s="313">
        <f>IFERROR(VLOOKUP(BP$1,'síť 2020'!$D$358:$G$621,$A180,FALSE),0)</f>
        <v>7.85</v>
      </c>
      <c r="BQ180" s="313">
        <f>IFERROR(VLOOKUP(BQ$1,'síť 2020'!$D$358:$G$621,$A180,FALSE),0)</f>
        <v>1.1499999999999999</v>
      </c>
      <c r="BR180" s="313">
        <f>IFERROR(VLOOKUP(BR$1,'síť 2020'!$D$358:$G$621,$A180,FALSE),0)</f>
        <v>1.35</v>
      </c>
      <c r="BS180" s="313">
        <f>IFERROR(VLOOKUP(BS$1,'síť 2020'!$D$358:$G$621,$A180,FALSE),0)</f>
        <v>1.8</v>
      </c>
      <c r="BT180" s="313">
        <f>IFERROR(VLOOKUP(BT$1,'síť 2020'!$D$358:$G$621,$A180,FALSE),0)</f>
        <v>1.5</v>
      </c>
      <c r="BU180" s="313">
        <f>IFERROR(VLOOKUP(BU$1,'síť 2020'!$D$358:$G$621,$A180,FALSE),0)</f>
        <v>8.9</v>
      </c>
      <c r="BV180" s="313">
        <f>IFERROR(VLOOKUP(BV$1,'síť 2020'!$D$358:$G$621,$A180,FALSE),0)</f>
        <v>2.4</v>
      </c>
      <c r="BW180" s="313">
        <f>IFERROR(VLOOKUP(BW$1,'síť 2020'!$D$358:$G$621,$A180,FALSE),0)</f>
        <v>0.4</v>
      </c>
      <c r="BX180" s="313">
        <f>IFERROR(VLOOKUP(BX$1,'síť 2020'!$D$358:$G$621,$A180,FALSE),0)</f>
        <v>10.25</v>
      </c>
      <c r="BY180" s="313">
        <f>IFERROR(VLOOKUP(BY$1,'síť 2020'!$D$358:$G$621,$A180,FALSE),0)</f>
        <v>4</v>
      </c>
      <c r="BZ180" s="313">
        <f>IFERROR(VLOOKUP(BZ$1,'síť 2020'!$D$358:$G$621,$A180,FALSE),0)</f>
        <v>0.38</v>
      </c>
      <c r="CA180" s="313">
        <f>IFERROR(VLOOKUP(CA$1,'síť 2020'!$D$358:$G$621,$A180,FALSE),0)</f>
        <v>0</v>
      </c>
      <c r="CB180" s="313">
        <f>IFERROR(VLOOKUP(CB$1,'síť 2020'!$D$358:$G$621,$A180,FALSE),0)</f>
        <v>0.3</v>
      </c>
      <c r="CC180" s="313">
        <f>IFERROR(VLOOKUP(CC$1,'síť 2020'!$D$358:$G$621,$A180,FALSE),0)</f>
        <v>3.25</v>
      </c>
      <c r="CD180" s="313">
        <f>IFERROR(VLOOKUP(CD$1,'síť 2020'!$D$358:$G$621,$A180,FALSE),0)</f>
        <v>1</v>
      </c>
      <c r="CE180" s="313">
        <f>IFERROR(VLOOKUP(CE$1,'síť 2020'!$D$358:$G$621,$A180,FALSE),0)</f>
        <v>28.4</v>
      </c>
      <c r="CF180" s="313">
        <f>IFERROR(VLOOKUP(CF$1,'síť 2020'!$D$358:$G$621,$A180,FALSE),0)</f>
        <v>5.5</v>
      </c>
      <c r="CG180" s="313">
        <f>IFERROR(VLOOKUP(CG$1,'síť 2020'!$D$358:$G$621,$A180,FALSE),0)</f>
        <v>15.96</v>
      </c>
      <c r="CH180" s="313">
        <f>IFERROR(VLOOKUP(CH$1,'síť 2020'!$D$358:$G$621,$A180,FALSE),0)</f>
        <v>6.8</v>
      </c>
      <c r="CI180" s="313">
        <f>IFERROR(VLOOKUP(CI$1,'síť 2020'!$D$358:$G$621,$A180,FALSE),0)</f>
        <v>4</v>
      </c>
      <c r="CJ180" s="313">
        <f>IFERROR(VLOOKUP(CJ$1,'síť 2020'!$D$358:$G$621,$A180,FALSE),0)</f>
        <v>6.89</v>
      </c>
      <c r="CK180" s="313">
        <f>IFERROR(VLOOKUP(CK$1,'síť 2020'!$D$358:$G$621,$A180,FALSE),0)</f>
        <v>6.11</v>
      </c>
      <c r="CL180" s="313">
        <f>IFERROR(VLOOKUP(CL$1,'síť 2020'!$D$358:$G$621,$A180,FALSE),0)</f>
        <v>4.2</v>
      </c>
      <c r="CM180" s="313">
        <f>IFERROR(VLOOKUP(CM$1,'síť 2020'!$D$358:$G$621,$A180,FALSE),0)</f>
        <v>14</v>
      </c>
      <c r="CN180" s="313">
        <f>IFERROR(VLOOKUP(CN$1,'síť 2020'!$D$358:$G$621,$A180,FALSE),0)</f>
        <v>2</v>
      </c>
      <c r="CO180" s="313">
        <f>IFERROR(VLOOKUP(CO$1,'síť 2020'!$D$358:$G$621,$A180,FALSE),0)</f>
        <v>2</v>
      </c>
      <c r="CP180" s="313">
        <f>IFERROR(VLOOKUP(CP$1,'síť 2020'!$D$358:$G$621,$A180,FALSE),0)</f>
        <v>2</v>
      </c>
      <c r="CQ180" s="313">
        <f>IFERROR(VLOOKUP(CQ$1,'síť 2020'!$D$358:$G$621,$A180,FALSE),0)</f>
        <v>8.6999999999999993</v>
      </c>
      <c r="CR180" s="313">
        <f>IFERROR(VLOOKUP(CR$1,'síť 2020'!$D$358:$G$621,$A180,FALSE),0)</f>
        <v>5</v>
      </c>
      <c r="CS180" s="313">
        <f>IFERROR(VLOOKUP(CS$1,'síť 2020'!$D$358:$G$621,$A180,FALSE),0)</f>
        <v>6.5</v>
      </c>
      <c r="CT180" s="313">
        <f>IFERROR(VLOOKUP(CT$1,'síť 2020'!$D$358:$G$621,$A180,FALSE),0)</f>
        <v>7</v>
      </c>
      <c r="CU180" s="313">
        <f>IFERROR(VLOOKUP(CU$1,'síť 2020'!$D$358:$G$621,$A180,FALSE),0)</f>
        <v>4</v>
      </c>
      <c r="CV180" s="313">
        <f>IFERROR(VLOOKUP(CV$1,'síť 2020'!$D$358:$G$621,$A180,FALSE),0)</f>
        <v>11</v>
      </c>
      <c r="CW180" s="313">
        <f>IFERROR(VLOOKUP(CW$1,'síť 2020'!$D$358:$G$621,$A180,FALSE),0)</f>
        <v>0.6</v>
      </c>
      <c r="CX180" s="313">
        <f>IFERROR(VLOOKUP(CX$1,'síť 2020'!$D$358:$G$621,$A180,FALSE),0)</f>
        <v>11.25</v>
      </c>
      <c r="CY180" s="313">
        <f>IFERROR(VLOOKUP(CY$1,'síť 2020'!$D$358:$G$621,$A180,FALSE),0)</f>
        <v>6.5000000000000009</v>
      </c>
      <c r="CZ180" s="313">
        <f>IFERROR(VLOOKUP(CZ$1,'síť 2020'!$D$358:$G$621,$A180,FALSE),0)</f>
        <v>2.25</v>
      </c>
      <c r="DA180" s="313">
        <f>IFERROR(VLOOKUP(DA$1,'síť 2020'!$D$358:$G$621,$A180,FALSE),0)</f>
        <v>21</v>
      </c>
      <c r="DB180" s="313">
        <f>IFERROR(VLOOKUP(DB$1,'síť 2020'!$D$358:$G$621,$A180,FALSE),0)</f>
        <v>1.1499999999999999</v>
      </c>
      <c r="DC180" s="313">
        <f>IFERROR(VLOOKUP(DC$1,'síť 2020'!$D$358:$G$621,$A180,FALSE),0)</f>
        <v>3</v>
      </c>
      <c r="DD180" s="313">
        <f>IFERROR(VLOOKUP(DD$1,'síť 2020'!$D$358:$G$621,$A180,FALSE),0)</f>
        <v>7.5</v>
      </c>
      <c r="DE180" s="313">
        <f>IFERROR(VLOOKUP(DE$1,'síť 2020'!$D$358:$G$621,$A180,FALSE),0)</f>
        <v>10.5</v>
      </c>
      <c r="DF180" s="313">
        <f>IFERROR(VLOOKUP(DF$1,'síť 2020'!$D$358:$G$621,$A180,FALSE),0)</f>
        <v>10.5</v>
      </c>
      <c r="DG180" s="313">
        <f>IFERROR(VLOOKUP(DG$1,'síť 2020'!$D$358:$G$621,$A180,FALSE),0)</f>
        <v>1.1499999999999999</v>
      </c>
      <c r="DH180" s="313">
        <f>IFERROR(VLOOKUP(DH$1,'síť 2020'!$D$358:$G$621,$A180,FALSE),0)</f>
        <v>4.25</v>
      </c>
      <c r="DI180" s="313">
        <f>IFERROR(VLOOKUP(DI$1,'síť 2020'!$D$358:$G$621,$A180,FALSE),0)</f>
        <v>1.62</v>
      </c>
      <c r="DJ180" s="313">
        <f>IFERROR(VLOOKUP(DJ$1,'síť 2020'!$D$358:$G$621,$A180,FALSE),0)</f>
        <v>3</v>
      </c>
      <c r="DK180" s="313">
        <f>IFERROR(VLOOKUP(DK$1,'síť 2020'!$D$358:$G$621,$A180,FALSE),0)</f>
        <v>3.5</v>
      </c>
      <c r="DL180" s="313">
        <f>IFERROR(VLOOKUP(DL$1,'síť 2020'!$D$358:$G$621,$A180,FALSE),0)</f>
        <v>9</v>
      </c>
      <c r="DM180" s="313">
        <f>IFERROR(VLOOKUP(DM$1,'síť 2020'!$D$358:$G$621,$A180,FALSE),0)</f>
        <v>5.5</v>
      </c>
      <c r="DN180" s="313">
        <f>IFERROR(VLOOKUP(DN$1,'síť 2020'!$D$358:$G$621,$A180,FALSE),0)</f>
        <v>6</v>
      </c>
      <c r="DO180" s="313">
        <f>IFERROR(VLOOKUP(DO$1,'síť 2020'!$D$358:$G$621,$A180,FALSE),0)</f>
        <v>2</v>
      </c>
      <c r="DP180" s="313">
        <f>IFERROR(VLOOKUP(DP$1,'síť 2020'!$D$358:$G$621,$A180,FALSE),0)</f>
        <v>6.5</v>
      </c>
      <c r="DQ180" s="313">
        <f>IFERROR(VLOOKUP(DQ$1,'síť 2020'!$D$358:$G$621,$A180,FALSE),0)</f>
        <v>6.55</v>
      </c>
      <c r="DR180" s="313">
        <f>IFERROR(VLOOKUP(DR$1,'síť 2020'!$D$358:$G$621,$A180,FALSE),0)</f>
        <v>7.5</v>
      </c>
      <c r="DS180" s="313">
        <f>IFERROR(VLOOKUP(DS$1,'síť 2020'!$D$358:$G$621,$A180,FALSE),0)</f>
        <v>2.5</v>
      </c>
      <c r="DT180" s="313">
        <f>IFERROR(VLOOKUP(DT$1,'síť 2020'!$D$358:$G$621,$A180,FALSE),0)</f>
        <v>6.85</v>
      </c>
      <c r="DU180" s="313">
        <f>IFERROR(VLOOKUP(DU$1,'síť 2020'!$D$358:$G$621,$A180,FALSE),0)</f>
        <v>4</v>
      </c>
      <c r="DV180" s="313">
        <f>IFERROR(VLOOKUP(DV$1,'síť 2020'!$D$358:$G$621,$A180,FALSE),0)</f>
        <v>12.1</v>
      </c>
      <c r="DW180" s="313">
        <f>IFERROR(VLOOKUP(DW$1,'síť 2020'!$D$358:$G$621,$A180,FALSE),0)</f>
        <v>2</v>
      </c>
      <c r="DX180" s="313">
        <f>IFERROR(VLOOKUP(DX$1,'síť 2020'!$D$358:$G$621,$A180,FALSE),0)</f>
        <v>6</v>
      </c>
      <c r="DY180" s="313">
        <f>IFERROR(VLOOKUP(DY$1,'síť 2020'!$D$358:$G$621,$A180,FALSE),0)</f>
        <v>10.8</v>
      </c>
      <c r="DZ180" s="313">
        <f>IFERROR(VLOOKUP(DZ$1,'síť 2020'!$D$358:$G$621,$A180,FALSE),0)</f>
        <v>1.57</v>
      </c>
      <c r="EA180" s="313">
        <f>IFERROR(VLOOKUP(EA$1,'síť 2020'!$D$358:$G$621,$A180,FALSE),0)</f>
        <v>8</v>
      </c>
      <c r="EB180" s="313">
        <f>IFERROR(VLOOKUP(EB$1,'síť 2020'!$D$358:$G$621,$A180,FALSE),0)</f>
        <v>13.5</v>
      </c>
      <c r="EC180" s="313">
        <f>IFERROR(VLOOKUP(EC$1,'síť 2020'!$D$358:$G$621,$A180,FALSE),0)</f>
        <v>6.75</v>
      </c>
      <c r="ED180" s="313">
        <f>IFERROR(VLOOKUP(ED$1,'síť 2020'!$D$358:$G$621,$A180,FALSE),0)</f>
        <v>5.5</v>
      </c>
      <c r="EE180" s="313">
        <f>IFERROR(VLOOKUP(EE$1,'síť 2020'!$D$358:$G$621,$A180,FALSE),0)</f>
        <v>1.1499999999999999</v>
      </c>
      <c r="EF180" s="313">
        <f>IFERROR(VLOOKUP(EF$1,'síť 2020'!$D$358:$G$621,$A180,FALSE),0)</f>
        <v>1.25</v>
      </c>
      <c r="EG180" s="313">
        <f>IFERROR(VLOOKUP(EG$1,'síť 2020'!$D$358:$G$621,$A180,FALSE),0)</f>
        <v>0.6</v>
      </c>
      <c r="EH180" s="313">
        <f>IFERROR(VLOOKUP(EH$1,'síť 2020'!$D$358:$G$621,$A180,FALSE),0)</f>
        <v>1.25</v>
      </c>
      <c r="EI180" s="313">
        <f>IFERROR(VLOOKUP(EI$1,'síť 2020'!$D$358:$G$621,$A180,FALSE),0)</f>
        <v>1.75</v>
      </c>
      <c r="EJ180" s="313">
        <f>IFERROR(VLOOKUP(EJ$1,'síť 2020'!$D$358:$G$621,$A180,FALSE),0)</f>
        <v>1.6</v>
      </c>
      <c r="EK180" s="313">
        <f>IFERROR(VLOOKUP(EK$1,'síť 2020'!$D$358:$G$621,$A180,FALSE),0)</f>
        <v>8.59</v>
      </c>
      <c r="EL180" s="313">
        <f>IFERROR(VLOOKUP(EL$1,'síť 2020'!$D$358:$G$621,$A180,FALSE),0)</f>
        <v>17.399999999999999</v>
      </c>
      <c r="EM180" s="313">
        <f>IFERROR(VLOOKUP(EM$1,'síť 2020'!$D$358:$G$621,$A180,FALSE),0)</f>
        <v>5.5</v>
      </c>
      <c r="EN180" s="313">
        <f>IFERROR(VLOOKUP(EN$1,'síť 2020'!$D$358:$G$621,$A180,FALSE),0)</f>
        <v>3.5</v>
      </c>
      <c r="EO180" s="313">
        <f>IFERROR(VLOOKUP(EO$1,'síť 2020'!$D$358:$G$621,$A180,FALSE),0)</f>
        <v>0.4</v>
      </c>
      <c r="EP180" s="313">
        <f>IFERROR(VLOOKUP(EP$1,'síť 2020'!$D$358:$G$621,$A180,FALSE),0)</f>
        <v>4.2</v>
      </c>
      <c r="EQ180" s="313">
        <f>IFERROR(VLOOKUP(EQ$1,'síť 2020'!$D$358:$G$621,$A180,FALSE),0)</f>
        <v>2.5</v>
      </c>
      <c r="ER180" s="313">
        <f>IFERROR(VLOOKUP(ER$1,'síť 2020'!$D$358:$G$621,$A180,FALSE),0)</f>
        <v>26</v>
      </c>
      <c r="ES180" s="313">
        <f>IFERROR(VLOOKUP(ES$1,'síť 2020'!$D$358:$G$621,$A180,FALSE),0)</f>
        <v>6.7700000000000005</v>
      </c>
      <c r="ET180" s="313">
        <f>IFERROR(VLOOKUP(ET$1,'síť 2020'!$D$358:$G$621,$A180,FALSE),0)</f>
        <v>2.1</v>
      </c>
      <c r="EU180" s="313">
        <f>IFERROR(VLOOKUP(EU$1,'síť 2020'!$D$358:$G$621,$A180,FALSE),0)</f>
        <v>2.9</v>
      </c>
      <c r="EV180" s="313">
        <f>IFERROR(VLOOKUP(EV$1,'síť 2020'!$D$358:$G$621,$A180,FALSE),0)</f>
        <v>1</v>
      </c>
      <c r="EW180" s="313">
        <f>IFERROR(VLOOKUP(EW$1,'síť 2020'!$D$358:$G$621,$A180,FALSE),0)</f>
        <v>9</v>
      </c>
      <c r="EX180" s="313">
        <f>IFERROR(VLOOKUP(EX$1,'síť 2020'!$D$358:$G$621,$A180,FALSE),0)</f>
        <v>23</v>
      </c>
      <c r="EY180" s="313">
        <f>IFERROR(VLOOKUP(EY$1,'síť 2020'!$D$358:$G$621,$A180,FALSE),0)</f>
        <v>4.5</v>
      </c>
      <c r="EZ180" s="313">
        <f>IFERROR(VLOOKUP(EZ$1,'síť 2020'!$D$358:$G$621,$A180,FALSE),0)</f>
        <v>2.35</v>
      </c>
      <c r="FA180" s="313">
        <f>IFERROR(VLOOKUP(FA$1,'síť 2020'!$D$358:$G$621,$A180,FALSE),0)</f>
        <v>5.2</v>
      </c>
      <c r="FB180" s="313">
        <f>IFERROR(VLOOKUP(FB$1,'síť 2020'!$D$358:$G$621,$A180,FALSE),0)</f>
        <v>0.54</v>
      </c>
      <c r="FC180" s="313">
        <f>IFERROR(VLOOKUP(FC$1,'síť 2020'!$D$358:$G$621,$A180,FALSE),0)</f>
        <v>16.38</v>
      </c>
      <c r="FD180" s="313">
        <f>IFERROR(VLOOKUP(FD$1,'síť 2020'!$D$358:$G$621,$A180,FALSE),0)</f>
        <v>2.5</v>
      </c>
      <c r="FE180" s="313">
        <f>IFERROR(VLOOKUP(FE$1,'síť 2020'!$D$358:$G$621,$A180,FALSE),0)</f>
        <v>1</v>
      </c>
      <c r="FF180" s="313">
        <f>IFERROR(VLOOKUP(FF$1,'síť 2020'!$D$358:$G$621,$A180,FALSE),0)</f>
        <v>6.5</v>
      </c>
      <c r="FG180" s="313">
        <f>IFERROR(VLOOKUP(FG$1,'síť 2020'!$D$358:$G$621,$A180,FALSE),0)</f>
        <v>22.7</v>
      </c>
      <c r="FH180" s="313">
        <f>IFERROR(VLOOKUP(FH$1,'síť 2020'!$D$358:$G$621,$A180,FALSE),0)</f>
        <v>24.5</v>
      </c>
      <c r="FI180" s="313">
        <f>IFERROR(VLOOKUP(FI$1,'síť 2020'!$D$358:$G$621,$A180,FALSE),0)</f>
        <v>25.6</v>
      </c>
      <c r="FJ180" s="313">
        <f>IFERROR(VLOOKUP(FJ$1,'síť 2020'!$D$358:$G$621,$A180,FALSE),0)</f>
        <v>8</v>
      </c>
      <c r="FK180" s="313">
        <f>IFERROR(VLOOKUP(FK$1,'síť 2020'!$D$358:$G$621,$A180,FALSE),0)</f>
        <v>2</v>
      </c>
      <c r="FL180" s="313">
        <f>IFERROR(VLOOKUP(FL$1,'síť 2020'!$D$358:$G$621,$A180,FALSE),0)</f>
        <v>2</v>
      </c>
      <c r="FM180" s="313">
        <f>IFERROR(VLOOKUP(FM$1,'síť 2020'!$D$358:$G$621,$A180,FALSE),0)</f>
        <v>11.5</v>
      </c>
      <c r="FN180" s="313">
        <f>IFERROR(VLOOKUP(FN$1,'síť 2020'!$D$358:$G$621,$A180,FALSE),0)</f>
        <v>16.34</v>
      </c>
      <c r="FO180" s="313">
        <f>IFERROR(VLOOKUP(FO$1,'síť 2020'!$D$358:$G$621,$A180,FALSE),0)</f>
        <v>4.22</v>
      </c>
      <c r="FP180" s="313">
        <f>IFERROR(VLOOKUP(FP$1,'síť 2020'!$D$358:$G$621,$A180,FALSE),0)</f>
        <v>35</v>
      </c>
      <c r="FQ180" s="313">
        <f>IFERROR(VLOOKUP(FQ$1,'síť 2020'!$D$358:$G$621,$A180,FALSE),0)</f>
        <v>3.82</v>
      </c>
      <c r="FR180" s="313">
        <f>IFERROR(VLOOKUP(FR$1,'síť 2020'!$D$358:$G$621,$A180,FALSE),0)</f>
        <v>5.85</v>
      </c>
      <c r="FS180" s="313">
        <f>IFERROR(VLOOKUP(FS$1,'síť 2020'!$D$358:$G$621,$A180,FALSE),0)</f>
        <v>1.25</v>
      </c>
      <c r="FT180" s="313">
        <f>IFERROR(VLOOKUP(FT$1,'síť 2020'!$D$358:$G$621,$A180,FALSE),0)</f>
        <v>11.7</v>
      </c>
      <c r="FU180" s="313">
        <f>IFERROR(VLOOKUP(FU$1,'síť 2020'!$D$358:$G$621,$A180,FALSE),0)</f>
        <v>1.3</v>
      </c>
      <c r="FV180" s="313">
        <f>IFERROR(VLOOKUP(FV$1,'síť 2020'!$D$358:$G$621,$A180,FALSE),0)</f>
        <v>3.8439999999999999</v>
      </c>
      <c r="FW180" s="313">
        <f>IFERROR(VLOOKUP(FW$1,'síť 2020'!$D$358:$G$621,$A180,FALSE),0)</f>
        <v>4.9000000000000004</v>
      </c>
      <c r="FX180" s="313">
        <f>IFERROR(VLOOKUP(FX$1,'síť 2020'!$D$358:$G$621,$A180,FALSE),0)</f>
        <v>2.1</v>
      </c>
      <c r="FY180" s="313">
        <f>IFERROR(VLOOKUP(FY$1,'síť 2020'!$D$358:$G$621,$A180,FALSE),0)</f>
        <v>1.2</v>
      </c>
      <c r="FZ180" s="313">
        <f>IFERROR(VLOOKUP(FZ$1,'síť 2020'!$D$358:$G$621,$A180,FALSE),0)</f>
        <v>16</v>
      </c>
      <c r="GA180" s="313">
        <f>IFERROR(VLOOKUP(GA$1,'síť 2020'!$D$358:$G$621,$A180,FALSE),0)</f>
        <v>1.9</v>
      </c>
      <c r="GB180" s="313">
        <f>IFERROR(VLOOKUP(GB$1,'síť 2020'!$D$358:$G$621,$A180,FALSE),0)</f>
        <v>17.100000000000001</v>
      </c>
      <c r="GC180" s="313">
        <f>IFERROR(VLOOKUP(GC$1,'síť 2020'!$D$358:$G$621,$A180,FALSE),0)</f>
        <v>8</v>
      </c>
      <c r="GD180" s="313">
        <f>IFERROR(VLOOKUP(GD$1,'síť 2020'!$D$358:$G$621,$A180,FALSE),0)</f>
        <v>29</v>
      </c>
      <c r="GE180" s="313">
        <f>IFERROR(VLOOKUP(GE$1,'síť 2020'!$D$358:$G$621,$A180,FALSE),0)</f>
        <v>3.2</v>
      </c>
      <c r="GF180" s="313">
        <f>IFERROR(VLOOKUP(GF$1,'síť 2020'!$D$358:$G$621,$A180,FALSE),0)</f>
        <v>10.65</v>
      </c>
      <c r="GG180" s="313">
        <f>IFERROR(VLOOKUP(GG$1,'síť 2020'!$D$358:$G$621,$A180,FALSE),0)</f>
        <v>3.2</v>
      </c>
      <c r="GH180" s="313">
        <f>IFERROR(VLOOKUP(GH$1,'síť 2020'!$D$358:$G$621,$A180,FALSE),0)</f>
        <v>2.41</v>
      </c>
      <c r="GI180" s="313">
        <f>IFERROR(VLOOKUP(GI$1,'síť 2020'!$D$358:$G$621,$A180,FALSE),0)</f>
        <v>26.74</v>
      </c>
      <c r="GJ180" s="313">
        <f>IFERROR(VLOOKUP(GJ$1,'síť 2020'!$D$358:$G$621,$A180,FALSE),0)</f>
        <v>7.48</v>
      </c>
      <c r="GK180" s="313">
        <f>IFERROR(VLOOKUP(GK$1,'síť 2020'!$D$358:$G$621,$A180,FALSE),0)</f>
        <v>6.5750000000000002</v>
      </c>
      <c r="GL180" s="313">
        <f>IFERROR(VLOOKUP(GL$1,'síť 2020'!$D$358:$G$621,$A180,FALSE),0)</f>
        <v>2.0499999999999998</v>
      </c>
      <c r="GM180" s="313">
        <f>IFERROR(VLOOKUP(GM$1,'síť 2020'!$D$358:$G$621,$A180,FALSE),0)</f>
        <v>2.35</v>
      </c>
      <c r="GN180" s="313">
        <f>IFERROR(VLOOKUP(GN$1,'síť 2020'!$D$358:$G$621,$A180,FALSE),0)</f>
        <v>2</v>
      </c>
      <c r="GO180" s="313">
        <f>IFERROR(VLOOKUP(GO$1,'síť 2020'!$D$358:$G$621,$A180,FALSE),0)</f>
        <v>17.25</v>
      </c>
      <c r="GP180" s="313">
        <f>IFERROR(VLOOKUP(GP$1,'síť 2020'!$D$358:$G$621,$A180,FALSE),0)</f>
        <v>2.75</v>
      </c>
      <c r="GQ180" s="313">
        <f>IFERROR(VLOOKUP(GQ$1,'síť 2020'!$D$358:$G$621,$A180,FALSE),0)</f>
        <v>5.5</v>
      </c>
      <c r="GR180" s="313">
        <f>IFERROR(VLOOKUP(GR$1,'síť 2020'!$D$358:$G$621,$A180,FALSE),0)</f>
        <v>3.21</v>
      </c>
      <c r="GS180" s="313">
        <f>IFERROR(VLOOKUP(GS$1,'síť 2020'!$D$358:$G$621,$A180,FALSE),0)</f>
        <v>2</v>
      </c>
      <c r="GT180" s="313">
        <f>IFERROR(VLOOKUP(GT$1,'síť 2020'!$D$358:$G$621,$A180,FALSE),0)</f>
        <v>30.25</v>
      </c>
      <c r="GU180" s="313">
        <f>IFERROR(VLOOKUP(GU$1,'síť 2020'!$D$358:$G$621,$A180,FALSE),0)</f>
        <v>2.61</v>
      </c>
      <c r="GV180" s="313">
        <f>IFERROR(VLOOKUP(GV$1,'síť 2020'!$D$358:$G$621,$A180,FALSE),0)</f>
        <v>15</v>
      </c>
      <c r="GW180" s="313">
        <f>IFERROR(VLOOKUP(GW$1,'síť 2020'!$D$358:$G$621,$A180,FALSE),0)</f>
        <v>4.5</v>
      </c>
      <c r="GX180" s="313">
        <f>IFERROR(VLOOKUP(GX$1,'síť 2020'!$D$358:$G$621,$A180,FALSE),0)</f>
        <v>1.7</v>
      </c>
      <c r="GY180" s="313">
        <f>IFERROR(VLOOKUP(GY$1,'síť 2020'!$D$358:$G$621,$A180,FALSE),0)</f>
        <v>64</v>
      </c>
      <c r="GZ180" s="313">
        <f>IFERROR(VLOOKUP(GZ$1,'síť 2020'!$D$358:$G$621,$A180,FALSE),0)</f>
        <v>6</v>
      </c>
      <c r="HA180" s="313">
        <f>IFERROR(VLOOKUP(HA$1,'síť 2020'!$D$358:$G$621,$A180,FALSE),0)</f>
        <v>24</v>
      </c>
      <c r="HB180" s="313">
        <f>IFERROR(VLOOKUP(HB$1,'síť 2020'!$D$358:$G$621,$A180,FALSE),0)</f>
        <v>13.5</v>
      </c>
      <c r="HC180" s="313">
        <f>IFERROR(VLOOKUP(HC$1,'síť 2020'!$D$358:$G$621,$A180,FALSE),0)</f>
        <v>27.5</v>
      </c>
      <c r="HD180" s="313">
        <f>IFERROR(VLOOKUP(HD$1,'síť 2020'!$D$358:$G$621,$A180,FALSE),0)</f>
        <v>8</v>
      </c>
      <c r="HE180" s="313">
        <f>IFERROR(VLOOKUP(HE$1,'síť 2020'!$D$358:$G$621,$A180,FALSE),0)</f>
        <v>21.31</v>
      </c>
      <c r="HF180" s="313">
        <f>IFERROR(VLOOKUP(HF$1,'síť 2020'!$D$358:$G$621,$A180,FALSE),0)</f>
        <v>5.7</v>
      </c>
      <c r="HG180" s="313">
        <f>IFERROR(VLOOKUP(HG$1,'síť 2020'!$D$358:$G$621,$A180,FALSE),0)</f>
        <v>2.7</v>
      </c>
      <c r="HH180" s="313">
        <f>IFERROR(VLOOKUP(HH$1,'síť 2020'!$D$358:$G$621,$A180,FALSE),0)</f>
        <v>7</v>
      </c>
      <c r="HI180" s="313">
        <f>IFERROR(VLOOKUP(HI$1,'síť 2020'!$D$358:$G$621,$A180,FALSE),0)</f>
        <v>10</v>
      </c>
      <c r="HJ180" s="313">
        <f>IFERROR(VLOOKUP(HJ$1,'síť 2020'!$D$358:$G$621,$A180,FALSE),0)</f>
        <v>2</v>
      </c>
      <c r="HK180" s="313">
        <f>IFERROR(VLOOKUP(HK$1,'síť 2020'!$D$358:$G$621,$A180,FALSE),0)</f>
        <v>2.6</v>
      </c>
      <c r="HL180" s="313">
        <f>IFERROR(VLOOKUP(HL$1,'síť 2020'!$D$358:$G$621,$A180,FALSE),0)</f>
        <v>66.5</v>
      </c>
      <c r="HM180" s="313">
        <f>IFERROR(VLOOKUP(HM$1,'síť 2020'!$D$358:$G$621,$A180,FALSE),0)</f>
        <v>39.799999999999997</v>
      </c>
      <c r="HN180" s="313">
        <f>IFERROR(VLOOKUP(HN$1,'síť 2020'!$D$358:$G$621,$A180,FALSE),0)</f>
        <v>1.1000000000000001</v>
      </c>
      <c r="HO180" s="313">
        <f>IFERROR(VLOOKUP(HO$1,'síť 2020'!$D$358:$G$621,$A180,FALSE),0)</f>
        <v>3.6</v>
      </c>
      <c r="HP180" s="313">
        <f>IFERROR(VLOOKUP(HP$1,'síť 2020'!$D$358:$G$621,$A180,FALSE),0)</f>
        <v>53.3</v>
      </c>
      <c r="HQ180" s="313">
        <f>IFERROR(VLOOKUP(HQ$1,'síť 2020'!$D$358:$G$621,$A180,FALSE),0)</f>
        <v>1.4</v>
      </c>
      <c r="HR180" s="313">
        <f>IFERROR(VLOOKUP(HR$1,'síť 2020'!$D$358:$G$621,$A180,FALSE),0)</f>
        <v>61.585000000000001</v>
      </c>
      <c r="HS180" s="313">
        <f>IFERROR(VLOOKUP(HS$1,'síť 2020'!$D$358:$G$621,$A180,FALSE),0)</f>
        <v>11.53</v>
      </c>
      <c r="HT180" s="313">
        <f>IFERROR(VLOOKUP(HT$1,'síť 2020'!$D$358:$G$621,$A180,FALSE),0)</f>
        <v>33</v>
      </c>
      <c r="HU180" s="313">
        <f>IFERROR(VLOOKUP(HU$1,'síť 2020'!$D$358:$G$621,$A180,FALSE),0)</f>
        <v>50</v>
      </c>
      <c r="HV180" s="313">
        <f>IFERROR(VLOOKUP(HV$1,'síť 2020'!$D$358:$G$621,$A180,FALSE),0)</f>
        <v>47</v>
      </c>
      <c r="HW180" s="313">
        <f>IFERROR(VLOOKUP(HW$1,'síť 2020'!$D$358:$G$621,$A180,FALSE),0)</f>
        <v>10.029999999999999</v>
      </c>
      <c r="HX180" s="313">
        <f>IFERROR(VLOOKUP(HX$1,'síť 2020'!$D$358:$G$621,$A180,FALSE),0)</f>
        <v>48.57</v>
      </c>
      <c r="HY180" s="313">
        <f>IFERROR(VLOOKUP(HY$1,'síť 2020'!$D$358:$G$621,$A180,FALSE),0)</f>
        <v>38.799999999999997</v>
      </c>
      <c r="HZ180" s="313">
        <f>IFERROR(VLOOKUP(HZ$1,'síť 2020'!$D$358:$G$621,$A180,FALSE),0)</f>
        <v>21</v>
      </c>
      <c r="IA180" s="313">
        <f>IFERROR(VLOOKUP(IA$1,'síť 2020'!$D$358:$G$621,$A180,FALSE),0)</f>
        <v>23</v>
      </c>
      <c r="IB180" s="313">
        <f>IFERROR(VLOOKUP(IB$1,'síť 2020'!$D$358:$G$621,$A180,FALSE),0)</f>
        <v>20</v>
      </c>
      <c r="IC180" s="313">
        <f>IFERROR(VLOOKUP(IC$1,'síť 2020'!$D$358:$G$621,$A180,FALSE),0)</f>
        <v>36.200000000000003</v>
      </c>
      <c r="ID180" s="313">
        <f>IFERROR(VLOOKUP(ID$1,'síť 2020'!$D$358:$G$621,$A180,FALSE),0)</f>
        <v>25.8</v>
      </c>
      <c r="IE180" s="313">
        <f>IFERROR(VLOOKUP(IE$1,'síť 2020'!$D$358:$G$621,$A180,FALSE),0)</f>
        <v>36</v>
      </c>
      <c r="IF180" s="313">
        <f>IFERROR(VLOOKUP(IF$1,'síť 2020'!$D$358:$G$621,$A180,FALSE),0)</f>
        <v>34.5</v>
      </c>
      <c r="IG180" s="313">
        <f>IFERROR(VLOOKUP(IG$1,'síť 2020'!$D$358:$G$621,$A180,FALSE),0)</f>
        <v>9.5</v>
      </c>
      <c r="IH180" s="313">
        <f>IFERROR(VLOOKUP(IH$1,'síť 2020'!$D$358:$G$621,$A180,FALSE),0)</f>
        <v>6.13</v>
      </c>
      <c r="II180" s="313">
        <f>IFERROR(VLOOKUP(II$1,'síť 2020'!$D$358:$G$621,$A180,FALSE),0)</f>
        <v>33.86</v>
      </c>
      <c r="IJ180" s="313">
        <f>IFERROR(VLOOKUP(IJ$1,'síť 2020'!$D$358:$G$621,$A180,FALSE),0)</f>
        <v>3.5</v>
      </c>
      <c r="IK180" s="313">
        <f>IFERROR(VLOOKUP(IK$1,'síť 2020'!$D$358:$G$621,$A180,FALSE),0)</f>
        <v>4.6099999999999994</v>
      </c>
      <c r="IL180" s="313">
        <f>IFERROR(VLOOKUP(IL$1,'síť 2020'!$D$358:$G$621,$A180,FALSE),0)</f>
        <v>20</v>
      </c>
      <c r="IM180" s="313">
        <f>IFERROR(VLOOKUP(IM$1,'síť 2020'!$D$358:$G$621,$A180,FALSE),0)</f>
        <v>1.07</v>
      </c>
      <c r="IN180" s="313">
        <f>IFERROR(VLOOKUP(IN$1,'síť 2020'!$D$358:$G$621,$A180,FALSE),0)</f>
        <v>21.68</v>
      </c>
      <c r="IO180" s="313">
        <f>IFERROR(VLOOKUP(IO$1,'síť 2020'!$D$358:$G$621,$A180,FALSE),0)</f>
        <v>7.3</v>
      </c>
      <c r="IP180" s="313">
        <f>IFERROR(VLOOKUP(IP$1,'síť 2020'!$D$358:$G$621,$A180,FALSE),0)</f>
        <v>37</v>
      </c>
      <c r="IQ180" s="313">
        <f>IFERROR(VLOOKUP(IQ$1,'síť 2020'!$D$358:$G$621,$A180,FALSE),0)</f>
        <v>37.299999999999997</v>
      </c>
      <c r="IR180" s="313">
        <f>IFERROR(VLOOKUP(IR$1,'síť 2020'!$D$358:$G$621,$A180,FALSE),0)</f>
        <v>1.7</v>
      </c>
      <c r="IS180" s="313">
        <f>IFERROR(VLOOKUP(IS$1,'síť 2020'!$D$358:$G$621,$A180,FALSE),0)</f>
        <v>130.19999999999999</v>
      </c>
      <c r="IT180" s="313">
        <f>IFERROR(VLOOKUP(IT$1,'síť 2020'!$D$358:$G$621,$A180,FALSE),0)</f>
        <v>32.6</v>
      </c>
      <c r="IU180" s="313">
        <f>IFERROR(VLOOKUP(IU$1,'síť 2020'!$D$358:$G$621,$A180,FALSE),0)</f>
        <v>7.3</v>
      </c>
      <c r="IV180" s="313">
        <f>IFERROR(VLOOKUP(IV$1,'síť 2020'!$D$358:$G$621,$A180,FALSE),0)</f>
        <v>18.3</v>
      </c>
      <c r="IW180" s="313">
        <f>IFERROR(VLOOKUP(IW$1,'síť 2020'!$D$358:$G$621,$A180,FALSE),0)</f>
        <v>31</v>
      </c>
      <c r="IX180" s="313">
        <f>IFERROR(VLOOKUP(IX$1,'síť 2020'!$D$358:$G$621,$A180,FALSE),0)</f>
        <v>3.4</v>
      </c>
      <c r="IY180" s="313">
        <f>IFERROR(VLOOKUP(IY$1,'síť 2020'!$D$358:$G$621,$A180,FALSE),0)</f>
        <v>19</v>
      </c>
      <c r="IZ180" s="313">
        <f>IFERROR(VLOOKUP(IZ$1,'síť 2020'!$D$358:$G$621,$A180,FALSE),0)</f>
        <v>48.5</v>
      </c>
      <c r="JA180" s="313">
        <f>IFERROR(VLOOKUP(JA$1,'síť 2020'!$D$358:$G$621,$A180,FALSE),0)</f>
        <v>4.1500000000000004</v>
      </c>
      <c r="JB180" s="313">
        <f>IFERROR(VLOOKUP(JB$1,'síť 2020'!$D$358:$G$621,$A180,FALSE),0)</f>
        <v>3.3</v>
      </c>
      <c r="JC180" s="313">
        <f>IFERROR(VLOOKUP(JC$1,'síť 2020'!$D$358:$G$621,$A180,FALSE),0)</f>
        <v>3.3</v>
      </c>
      <c r="JD180" s="313">
        <f>IFERROR(VLOOKUP(JD$1,'síť 2020'!$D$358:$G$621,$A180,FALSE),0)</f>
        <v>9</v>
      </c>
      <c r="JE180" s="313">
        <f>IFERROR(VLOOKUP(JE$1,'síť 2020'!$D$358:$G$621,$A180,FALSE),0)</f>
        <v>7.6</v>
      </c>
      <c r="JF180" s="313">
        <f>IFERROR(VLOOKUP(JF$1,'síť 2020'!$D$358:$G$621,$A180,FALSE),0)</f>
        <v>69.37</v>
      </c>
      <c r="JG180" s="313">
        <f>IFERROR(VLOOKUP(JG$1,'síť 2020'!$D$358:$G$621,$A180,FALSE),0)</f>
        <v>49</v>
      </c>
      <c r="JH180" s="313">
        <f>IFERROR(VLOOKUP(JH$1,'síť 2020'!$D$358:$G$621,$A180,FALSE),0)</f>
        <v>2</v>
      </c>
    </row>
    <row r="181" spans="1:269" hidden="1" x14ac:dyDescent="0.25">
      <c r="A181" s="313">
        <v>3</v>
      </c>
      <c r="B181" s="313" t="s">
        <v>2847</v>
      </c>
      <c r="C181" s="313">
        <f>IFERROR(VLOOKUP(C$1,'síť 2020'!$D$358:$G$621,$A181,FALSE),0)</f>
        <v>55</v>
      </c>
      <c r="D181" s="313">
        <f>IFERROR(VLOOKUP(D$1,'síť 2020'!$D$358:$G$621,$A181,FALSE),0)</f>
        <v>37</v>
      </c>
      <c r="E181" s="313">
        <f>IFERROR(VLOOKUP(E$1,'síť 2020'!$D$358:$G$621,$A181,FALSE),0)</f>
        <v>68</v>
      </c>
      <c r="F181" s="313">
        <f>IFERROR(VLOOKUP(F$1,'síť 2020'!$D$358:$G$621,$A181,FALSE),0)</f>
        <v>0</v>
      </c>
      <c r="G181" s="313">
        <f>IFERROR(VLOOKUP(G$1,'síť 2020'!$D$358:$G$621,$A181,FALSE),0)</f>
        <v>0</v>
      </c>
      <c r="H181" s="313">
        <f>IFERROR(VLOOKUP(H$1,'síť 2020'!$D$358:$G$621,$A181,FALSE),0)</f>
        <v>0</v>
      </c>
      <c r="I181" s="313">
        <f>IFERROR(VLOOKUP(I$1,'síť 2020'!$D$358:$G$621,$A181,FALSE),0)</f>
        <v>0</v>
      </c>
      <c r="J181" s="313">
        <f>IFERROR(VLOOKUP(J$1,'síť 2020'!$D$358:$G$621,$A181,FALSE),0)</f>
        <v>0</v>
      </c>
      <c r="K181" s="313">
        <f>IFERROR(VLOOKUP(K$1,'síť 2020'!$D$358:$G$621,$A181,FALSE),0)</f>
        <v>0</v>
      </c>
      <c r="L181" s="313">
        <f>IFERROR(VLOOKUP(L$1,'síť 2020'!$D$358:$G$621,$A181,FALSE),0)</f>
        <v>0</v>
      </c>
      <c r="M181" s="313">
        <f>IFERROR(VLOOKUP(M$1,'síť 2020'!$D$358:$G$621,$A181,FALSE),0)</f>
        <v>0</v>
      </c>
      <c r="N181" s="313">
        <f>IFERROR(VLOOKUP(N$1,'síť 2020'!$D$358:$G$621,$A181,FALSE),0)</f>
        <v>0</v>
      </c>
      <c r="O181" s="313">
        <f>IFERROR(VLOOKUP(O$1,'síť 2020'!$D$358:$G$621,$A181,FALSE),0)</f>
        <v>0</v>
      </c>
      <c r="P181" s="313">
        <f>IFERROR(VLOOKUP(P$1,'síť 2020'!$D$358:$G$621,$A181,FALSE),0)</f>
        <v>0</v>
      </c>
      <c r="Q181" s="313">
        <f>IFERROR(VLOOKUP(Q$1,'síť 2020'!$D$358:$G$621,$A181,FALSE),0)</f>
        <v>0</v>
      </c>
      <c r="R181" s="313">
        <f>IFERROR(VLOOKUP(R$1,'síť 2020'!$D$358:$G$621,$A181,FALSE),0)</f>
        <v>0</v>
      </c>
      <c r="S181" s="313">
        <f>IFERROR(VLOOKUP(S$1,'síť 2020'!$D$358:$G$621,$A181,FALSE),0)</f>
        <v>0</v>
      </c>
      <c r="T181" s="313">
        <f>IFERROR(VLOOKUP(T$1,'síť 2020'!$D$358:$G$621,$A181,FALSE),0)</f>
        <v>0</v>
      </c>
      <c r="U181" s="313">
        <f>IFERROR(VLOOKUP(U$1,'síť 2020'!$D$358:$G$621,$A181,FALSE),0)</f>
        <v>0</v>
      </c>
      <c r="V181" s="313">
        <f>IFERROR(VLOOKUP(V$1,'síť 2020'!$D$358:$G$621,$A181,FALSE),0)</f>
        <v>0</v>
      </c>
      <c r="W181" s="313">
        <f>IFERROR(VLOOKUP(W$1,'síť 2020'!$D$358:$G$621,$A181,FALSE),0)</f>
        <v>0</v>
      </c>
      <c r="X181" s="313">
        <f>IFERROR(VLOOKUP(X$1,'síť 2020'!$D$358:$G$621,$A181,FALSE),0)</f>
        <v>0</v>
      </c>
      <c r="Y181" s="313">
        <f>IFERROR(VLOOKUP(Y$1,'síť 2020'!$D$358:$G$621,$A181,FALSE),0)</f>
        <v>4</v>
      </c>
      <c r="Z181" s="313">
        <f>IFERROR(VLOOKUP(Z$1,'síť 2020'!$D$358:$G$621,$A181,FALSE),0)</f>
        <v>16</v>
      </c>
      <c r="AA181" s="313">
        <f>IFERROR(VLOOKUP(AA$1,'síť 2020'!$D$358:$G$621,$A181,FALSE),0)</f>
        <v>0</v>
      </c>
      <c r="AB181" s="313">
        <f>IFERROR(VLOOKUP(AB$1,'síť 2020'!$D$358:$G$621,$A181,FALSE),0)</f>
        <v>0</v>
      </c>
      <c r="AC181" s="313">
        <f>IFERROR(VLOOKUP(AC$1,'síť 2020'!$D$358:$G$621,$A181,FALSE),0)</f>
        <v>0</v>
      </c>
      <c r="AD181" s="313">
        <f>IFERROR(VLOOKUP(AD$1,'síť 2020'!$D$358:$G$621,$A181,FALSE),0)</f>
        <v>0</v>
      </c>
      <c r="AE181" s="313">
        <f>IFERROR(VLOOKUP(AE$1,'síť 2020'!$D$358:$G$621,$A181,FALSE),0)</f>
        <v>0</v>
      </c>
      <c r="AF181" s="313">
        <f>IFERROR(VLOOKUP(AF$1,'síť 2020'!$D$358:$G$621,$A181,FALSE),0)</f>
        <v>0</v>
      </c>
      <c r="AG181" s="313">
        <f>IFERROR(VLOOKUP(AG$1,'síť 2020'!$D$358:$G$621,$A181,FALSE),0)</f>
        <v>0</v>
      </c>
      <c r="AH181" s="313">
        <f>IFERROR(VLOOKUP(AH$1,'síť 2020'!$D$358:$G$621,$A181,FALSE),0)</f>
        <v>0</v>
      </c>
      <c r="AI181" s="313">
        <f>IFERROR(VLOOKUP(AI$1,'síť 2020'!$D$358:$G$621,$A181,FALSE),0)</f>
        <v>23</v>
      </c>
      <c r="AJ181" s="313">
        <f>IFERROR(VLOOKUP(AJ$1,'síť 2020'!$D$358:$G$621,$A181,FALSE),0)</f>
        <v>10</v>
      </c>
      <c r="AK181" s="313">
        <f>IFERROR(VLOOKUP(AK$1,'síť 2020'!$D$358:$G$621,$A181,FALSE),0)</f>
        <v>0</v>
      </c>
      <c r="AL181" s="313">
        <f>IFERROR(VLOOKUP(AL$1,'síť 2020'!$D$358:$G$621,$A181,FALSE),0)</f>
        <v>0</v>
      </c>
      <c r="AM181" s="313">
        <f>IFERROR(VLOOKUP(AM$1,'síť 2020'!$D$358:$G$621,$A181,FALSE),0)</f>
        <v>0</v>
      </c>
      <c r="AN181" s="313">
        <f>IFERROR(VLOOKUP(AN$1,'síť 2020'!$D$358:$G$621,$A181,FALSE),0)</f>
        <v>0</v>
      </c>
      <c r="AO181" s="313">
        <f>IFERROR(VLOOKUP(AO$1,'síť 2020'!$D$358:$G$621,$A181,FALSE),0)</f>
        <v>22</v>
      </c>
      <c r="AP181" s="313">
        <f>IFERROR(VLOOKUP(AP$1,'síť 2020'!$D$358:$G$621,$A181,FALSE),0)</f>
        <v>0</v>
      </c>
      <c r="AQ181" s="313">
        <f>IFERROR(VLOOKUP(AQ$1,'síť 2020'!$D$358:$G$621,$A181,FALSE),0)</f>
        <v>0</v>
      </c>
      <c r="AR181" s="313">
        <f>IFERROR(VLOOKUP(AR$1,'síť 2020'!$D$358:$G$621,$A181,FALSE),0)</f>
        <v>0</v>
      </c>
      <c r="AS181" s="313">
        <f>IFERROR(VLOOKUP(AS$1,'síť 2020'!$D$358:$G$621,$A181,FALSE),0)</f>
        <v>0</v>
      </c>
      <c r="AT181" s="313">
        <f>IFERROR(VLOOKUP(AT$1,'síť 2020'!$D$358:$G$621,$A181,FALSE),0)</f>
        <v>0</v>
      </c>
      <c r="AU181" s="313">
        <f>IFERROR(VLOOKUP(AU$1,'síť 2020'!$D$358:$G$621,$A181,FALSE),0)</f>
        <v>0</v>
      </c>
      <c r="AV181" s="313">
        <f>IFERROR(VLOOKUP(AV$1,'síť 2020'!$D$358:$G$621,$A181,FALSE),0)</f>
        <v>0</v>
      </c>
      <c r="AW181" s="313">
        <f>IFERROR(VLOOKUP(AW$1,'síť 2020'!$D$358:$G$621,$A181,FALSE),0)</f>
        <v>0</v>
      </c>
      <c r="AX181" s="313">
        <f>IFERROR(VLOOKUP(AX$1,'síť 2020'!$D$358:$G$621,$A181,FALSE),0)</f>
        <v>15</v>
      </c>
      <c r="AY181" s="313">
        <f>IFERROR(VLOOKUP(AY$1,'síť 2020'!$D$358:$G$621,$A181,FALSE),0)</f>
        <v>0</v>
      </c>
      <c r="AZ181" s="313">
        <f>IFERROR(VLOOKUP(AZ$1,'síť 2020'!$D$358:$G$621,$A181,FALSE),0)</f>
        <v>9</v>
      </c>
      <c r="BA181" s="313">
        <f>IFERROR(VLOOKUP(BA$1,'síť 2020'!$D$358:$G$621,$A181,FALSE),0)</f>
        <v>0</v>
      </c>
      <c r="BB181" s="313">
        <f>IFERROR(VLOOKUP(BB$1,'síť 2020'!$D$358:$G$621,$A181,FALSE),0)</f>
        <v>0</v>
      </c>
      <c r="BC181" s="313">
        <f>IFERROR(VLOOKUP(BC$1,'síť 2020'!$D$358:$G$621,$A181,FALSE),0)</f>
        <v>0</v>
      </c>
      <c r="BD181" s="313">
        <f>IFERROR(VLOOKUP(BD$1,'síť 2020'!$D$358:$G$621,$A181,FALSE),0)</f>
        <v>0</v>
      </c>
      <c r="BE181" s="313">
        <f>IFERROR(VLOOKUP(BE$1,'síť 2020'!$D$358:$G$621,$A181,FALSE),0)</f>
        <v>0</v>
      </c>
      <c r="BF181" s="313">
        <f>IFERROR(VLOOKUP(BF$1,'síť 2020'!$D$358:$G$621,$A181,FALSE),0)</f>
        <v>0</v>
      </c>
      <c r="BG181" s="313">
        <f>IFERROR(VLOOKUP(BG$1,'síť 2020'!$D$358:$G$621,$A181,FALSE),0)</f>
        <v>0</v>
      </c>
      <c r="BH181" s="313">
        <f>IFERROR(VLOOKUP(BH$1,'síť 2020'!$D$358:$G$621,$A181,FALSE),0)</f>
        <v>0</v>
      </c>
      <c r="BI181" s="313">
        <f>IFERROR(VLOOKUP(BI$1,'síť 2020'!$D$358:$G$621,$A181,FALSE),0)</f>
        <v>9</v>
      </c>
      <c r="BJ181" s="313">
        <f>IFERROR(VLOOKUP(BJ$1,'síť 2020'!$D$358:$G$621,$A181,FALSE),0)</f>
        <v>0</v>
      </c>
      <c r="BK181" s="313">
        <f>IFERROR(VLOOKUP(BK$1,'síť 2020'!$D$358:$G$621,$A181,FALSE),0)</f>
        <v>0</v>
      </c>
      <c r="BL181" s="313">
        <f>IFERROR(VLOOKUP(BL$1,'síť 2020'!$D$358:$G$621,$A181,FALSE),0)</f>
        <v>0</v>
      </c>
      <c r="BM181" s="313">
        <f>IFERROR(VLOOKUP(BM$1,'síť 2020'!$D$358:$G$621,$A181,FALSE),0)</f>
        <v>0</v>
      </c>
      <c r="BN181" s="313">
        <f>IFERROR(VLOOKUP(BN$1,'síť 2020'!$D$358:$G$621,$A181,FALSE),0)</f>
        <v>0</v>
      </c>
      <c r="BO181" s="313">
        <f>IFERROR(VLOOKUP(BO$1,'síť 2020'!$D$358:$G$621,$A181,FALSE),0)</f>
        <v>0</v>
      </c>
      <c r="BP181" s="313">
        <f>IFERROR(VLOOKUP(BP$1,'síť 2020'!$D$358:$G$621,$A181,FALSE),0)</f>
        <v>0</v>
      </c>
      <c r="BQ181" s="313">
        <f>IFERROR(VLOOKUP(BQ$1,'síť 2020'!$D$358:$G$621,$A181,FALSE),0)</f>
        <v>0</v>
      </c>
      <c r="BR181" s="313">
        <f>IFERROR(VLOOKUP(BR$1,'síť 2020'!$D$358:$G$621,$A181,FALSE),0)</f>
        <v>0</v>
      </c>
      <c r="BS181" s="313">
        <f>IFERROR(VLOOKUP(BS$1,'síť 2020'!$D$358:$G$621,$A181,FALSE),0)</f>
        <v>0</v>
      </c>
      <c r="BT181" s="313">
        <f>IFERROR(VLOOKUP(BT$1,'síť 2020'!$D$358:$G$621,$A181,FALSE),0)</f>
        <v>0</v>
      </c>
      <c r="BU181" s="313">
        <f>IFERROR(VLOOKUP(BU$1,'síť 2020'!$D$358:$G$621,$A181,FALSE),0)</f>
        <v>0</v>
      </c>
      <c r="BV181" s="313">
        <f>IFERROR(VLOOKUP(BV$1,'síť 2020'!$D$358:$G$621,$A181,FALSE),0)</f>
        <v>0</v>
      </c>
      <c r="BW181" s="313">
        <f>IFERROR(VLOOKUP(BW$1,'síť 2020'!$D$358:$G$621,$A181,FALSE),0)</f>
        <v>0</v>
      </c>
      <c r="BX181" s="313">
        <f>IFERROR(VLOOKUP(BX$1,'síť 2020'!$D$358:$G$621,$A181,FALSE),0)</f>
        <v>0</v>
      </c>
      <c r="BY181" s="313">
        <f>IFERROR(VLOOKUP(BY$1,'síť 2020'!$D$358:$G$621,$A181,FALSE),0)</f>
        <v>0</v>
      </c>
      <c r="BZ181" s="313">
        <f>IFERROR(VLOOKUP(BZ$1,'síť 2020'!$D$358:$G$621,$A181,FALSE),0)</f>
        <v>0</v>
      </c>
      <c r="CA181" s="313">
        <f>IFERROR(VLOOKUP(CA$1,'síť 2020'!$D$358:$G$621,$A181,FALSE),0)</f>
        <v>0</v>
      </c>
      <c r="CB181" s="313">
        <f>IFERROR(VLOOKUP(CB$1,'síť 2020'!$D$358:$G$621,$A181,FALSE),0)</f>
        <v>2</v>
      </c>
      <c r="CC181" s="313">
        <f>IFERROR(VLOOKUP(CC$1,'síť 2020'!$D$358:$G$621,$A181,FALSE),0)</f>
        <v>0</v>
      </c>
      <c r="CD181" s="313">
        <f>IFERROR(VLOOKUP(CD$1,'síť 2020'!$D$358:$G$621,$A181,FALSE),0)</f>
        <v>0</v>
      </c>
      <c r="CE181" s="313">
        <f>IFERROR(VLOOKUP(CE$1,'síť 2020'!$D$358:$G$621,$A181,FALSE),0)</f>
        <v>0</v>
      </c>
      <c r="CF181" s="313">
        <f>IFERROR(VLOOKUP(CF$1,'síť 2020'!$D$358:$G$621,$A181,FALSE),0)</f>
        <v>0</v>
      </c>
      <c r="CG181" s="313">
        <f>IFERROR(VLOOKUP(CG$1,'síť 2020'!$D$358:$G$621,$A181,FALSE),0)</f>
        <v>64</v>
      </c>
      <c r="CH181" s="313">
        <f>IFERROR(VLOOKUP(CH$1,'síť 2020'!$D$358:$G$621,$A181,FALSE),0)</f>
        <v>32</v>
      </c>
      <c r="CI181" s="313">
        <f>IFERROR(VLOOKUP(CI$1,'síť 2020'!$D$358:$G$621,$A181,FALSE),0)</f>
        <v>0</v>
      </c>
      <c r="CJ181" s="313">
        <f>IFERROR(VLOOKUP(CJ$1,'síť 2020'!$D$358:$G$621,$A181,FALSE),0)</f>
        <v>0</v>
      </c>
      <c r="CK181" s="313">
        <f>IFERROR(VLOOKUP(CK$1,'síť 2020'!$D$358:$G$621,$A181,FALSE),0)</f>
        <v>67</v>
      </c>
      <c r="CL181" s="313">
        <f>IFERROR(VLOOKUP(CL$1,'síť 2020'!$D$358:$G$621,$A181,FALSE),0)</f>
        <v>0</v>
      </c>
      <c r="CM181" s="313">
        <f>IFERROR(VLOOKUP(CM$1,'síť 2020'!$D$358:$G$621,$A181,FALSE),0)</f>
        <v>0</v>
      </c>
      <c r="CN181" s="313">
        <f>IFERROR(VLOOKUP(CN$1,'síť 2020'!$D$358:$G$621,$A181,FALSE),0)</f>
        <v>0</v>
      </c>
      <c r="CO181" s="313">
        <f>IFERROR(VLOOKUP(CO$1,'síť 2020'!$D$358:$G$621,$A181,FALSE),0)</f>
        <v>0</v>
      </c>
      <c r="CP181" s="313">
        <f>IFERROR(VLOOKUP(CP$1,'síť 2020'!$D$358:$G$621,$A181,FALSE),0)</f>
        <v>0</v>
      </c>
      <c r="CQ181" s="313">
        <f>IFERROR(VLOOKUP(CQ$1,'síť 2020'!$D$358:$G$621,$A181,FALSE),0)</f>
        <v>0</v>
      </c>
      <c r="CR181" s="313">
        <f>IFERROR(VLOOKUP(CR$1,'síť 2020'!$D$358:$G$621,$A181,FALSE),0)</f>
        <v>0</v>
      </c>
      <c r="CS181" s="313">
        <f>IFERROR(VLOOKUP(CS$1,'síť 2020'!$D$358:$G$621,$A181,FALSE),0)</f>
        <v>11</v>
      </c>
      <c r="CT181" s="313">
        <f>IFERROR(VLOOKUP(CT$1,'síť 2020'!$D$358:$G$621,$A181,FALSE),0)</f>
        <v>72</v>
      </c>
      <c r="CU181" s="313">
        <f>IFERROR(VLOOKUP(CU$1,'síť 2020'!$D$358:$G$621,$A181,FALSE),0)</f>
        <v>0</v>
      </c>
      <c r="CV181" s="313">
        <f>IFERROR(VLOOKUP(CV$1,'síť 2020'!$D$358:$G$621,$A181,FALSE),0)</f>
        <v>25</v>
      </c>
      <c r="CW181" s="313">
        <f>IFERROR(VLOOKUP(CW$1,'síť 2020'!$D$358:$G$621,$A181,FALSE),0)</f>
        <v>0</v>
      </c>
      <c r="CX181" s="313">
        <f>IFERROR(VLOOKUP(CX$1,'síť 2020'!$D$358:$G$621,$A181,FALSE),0)</f>
        <v>0</v>
      </c>
      <c r="CY181" s="313">
        <f>IFERROR(VLOOKUP(CY$1,'síť 2020'!$D$358:$G$621,$A181,FALSE),0)</f>
        <v>0</v>
      </c>
      <c r="CZ181" s="313">
        <f>IFERROR(VLOOKUP(CZ$1,'síť 2020'!$D$358:$G$621,$A181,FALSE),0)</f>
        <v>0</v>
      </c>
      <c r="DA181" s="313">
        <f>IFERROR(VLOOKUP(DA$1,'síť 2020'!$D$358:$G$621,$A181,FALSE),0)</f>
        <v>25</v>
      </c>
      <c r="DB181" s="313">
        <f>IFERROR(VLOOKUP(DB$1,'síť 2020'!$D$358:$G$621,$A181,FALSE),0)</f>
        <v>0</v>
      </c>
      <c r="DC181" s="313">
        <f>IFERROR(VLOOKUP(DC$1,'síť 2020'!$D$358:$G$621,$A181,FALSE),0)</f>
        <v>0</v>
      </c>
      <c r="DD181" s="313">
        <f>IFERROR(VLOOKUP(DD$1,'síť 2020'!$D$358:$G$621,$A181,FALSE),0)</f>
        <v>0</v>
      </c>
      <c r="DE181" s="313">
        <f>IFERROR(VLOOKUP(DE$1,'síť 2020'!$D$358:$G$621,$A181,FALSE),0)</f>
        <v>0</v>
      </c>
      <c r="DF181" s="313">
        <f>IFERROR(VLOOKUP(DF$1,'síť 2020'!$D$358:$G$621,$A181,FALSE),0)</f>
        <v>0</v>
      </c>
      <c r="DG181" s="313">
        <f>IFERROR(VLOOKUP(DG$1,'síť 2020'!$D$358:$G$621,$A181,FALSE),0)</f>
        <v>0</v>
      </c>
      <c r="DH181" s="313">
        <f>IFERROR(VLOOKUP(DH$1,'síť 2020'!$D$358:$G$621,$A181,FALSE),0)</f>
        <v>0</v>
      </c>
      <c r="DI181" s="313">
        <f>IFERROR(VLOOKUP(DI$1,'síť 2020'!$D$358:$G$621,$A181,FALSE),0)</f>
        <v>0</v>
      </c>
      <c r="DJ181" s="313">
        <f>IFERROR(VLOOKUP(DJ$1,'síť 2020'!$D$358:$G$621,$A181,FALSE),0)</f>
        <v>0</v>
      </c>
      <c r="DK181" s="313">
        <f>IFERROR(VLOOKUP(DK$1,'síť 2020'!$D$358:$G$621,$A181,FALSE),0)</f>
        <v>0</v>
      </c>
      <c r="DL181" s="313">
        <f>IFERROR(VLOOKUP(DL$1,'síť 2020'!$D$358:$G$621,$A181,FALSE),0)</f>
        <v>0</v>
      </c>
      <c r="DM181" s="313">
        <f>IFERROR(VLOOKUP(DM$1,'síť 2020'!$D$358:$G$621,$A181,FALSE),0)</f>
        <v>0</v>
      </c>
      <c r="DN181" s="313">
        <f>IFERROR(VLOOKUP(DN$1,'síť 2020'!$D$358:$G$621,$A181,FALSE),0)</f>
        <v>0</v>
      </c>
      <c r="DO181" s="313">
        <f>IFERROR(VLOOKUP(DO$1,'síť 2020'!$D$358:$G$621,$A181,FALSE),0)</f>
        <v>0</v>
      </c>
      <c r="DP181" s="313">
        <f>IFERROR(VLOOKUP(DP$1,'síť 2020'!$D$358:$G$621,$A181,FALSE),0)</f>
        <v>0</v>
      </c>
      <c r="DQ181" s="313">
        <f>IFERROR(VLOOKUP(DQ$1,'síť 2020'!$D$358:$G$621,$A181,FALSE),0)</f>
        <v>0</v>
      </c>
      <c r="DR181" s="313">
        <f>IFERROR(VLOOKUP(DR$1,'síť 2020'!$D$358:$G$621,$A181,FALSE),0)</f>
        <v>0</v>
      </c>
      <c r="DS181" s="313">
        <f>IFERROR(VLOOKUP(DS$1,'síť 2020'!$D$358:$G$621,$A181,FALSE),0)</f>
        <v>0</v>
      </c>
      <c r="DT181" s="313">
        <f>IFERROR(VLOOKUP(DT$1,'síť 2020'!$D$358:$G$621,$A181,FALSE),0)</f>
        <v>25</v>
      </c>
      <c r="DU181" s="313">
        <f>IFERROR(VLOOKUP(DU$1,'síť 2020'!$D$358:$G$621,$A181,FALSE),0)</f>
        <v>0</v>
      </c>
      <c r="DV181" s="313">
        <f>IFERROR(VLOOKUP(DV$1,'síť 2020'!$D$358:$G$621,$A181,FALSE),0)</f>
        <v>17</v>
      </c>
      <c r="DW181" s="313">
        <f>IFERROR(VLOOKUP(DW$1,'síť 2020'!$D$358:$G$621,$A181,FALSE),0)</f>
        <v>0</v>
      </c>
      <c r="DX181" s="313">
        <f>IFERROR(VLOOKUP(DX$1,'síť 2020'!$D$358:$G$621,$A181,FALSE),0)</f>
        <v>0</v>
      </c>
      <c r="DY181" s="313">
        <f>IFERROR(VLOOKUP(DY$1,'síť 2020'!$D$358:$G$621,$A181,FALSE),0)</f>
        <v>0</v>
      </c>
      <c r="DZ181" s="313">
        <f>IFERROR(VLOOKUP(DZ$1,'síť 2020'!$D$358:$G$621,$A181,FALSE),0)</f>
        <v>0</v>
      </c>
      <c r="EA181" s="313">
        <f>IFERROR(VLOOKUP(EA$1,'síť 2020'!$D$358:$G$621,$A181,FALSE),0)</f>
        <v>0</v>
      </c>
      <c r="EB181" s="313">
        <f>IFERROR(VLOOKUP(EB$1,'síť 2020'!$D$358:$G$621,$A181,FALSE),0)</f>
        <v>0</v>
      </c>
      <c r="EC181" s="313">
        <f>IFERROR(VLOOKUP(EC$1,'síť 2020'!$D$358:$G$621,$A181,FALSE),0)</f>
        <v>5</v>
      </c>
      <c r="ED181" s="313">
        <f>IFERROR(VLOOKUP(ED$1,'síť 2020'!$D$358:$G$621,$A181,FALSE),0)</f>
        <v>0</v>
      </c>
      <c r="EE181" s="313">
        <f>IFERROR(VLOOKUP(EE$1,'síť 2020'!$D$358:$G$621,$A181,FALSE),0)</f>
        <v>0</v>
      </c>
      <c r="EF181" s="313">
        <f>IFERROR(VLOOKUP(EF$1,'síť 2020'!$D$358:$G$621,$A181,FALSE),0)</f>
        <v>0</v>
      </c>
      <c r="EG181" s="313">
        <f>IFERROR(VLOOKUP(EG$1,'síť 2020'!$D$358:$G$621,$A181,FALSE),0)</f>
        <v>0</v>
      </c>
      <c r="EH181" s="313">
        <f>IFERROR(VLOOKUP(EH$1,'síť 2020'!$D$358:$G$621,$A181,FALSE),0)</f>
        <v>0</v>
      </c>
      <c r="EI181" s="313">
        <f>IFERROR(VLOOKUP(EI$1,'síť 2020'!$D$358:$G$621,$A181,FALSE),0)</f>
        <v>0</v>
      </c>
      <c r="EJ181" s="313">
        <f>IFERROR(VLOOKUP(EJ$1,'síť 2020'!$D$358:$G$621,$A181,FALSE),0)</f>
        <v>0</v>
      </c>
      <c r="EK181" s="313">
        <f>IFERROR(VLOOKUP(EK$1,'síť 2020'!$D$358:$G$621,$A181,FALSE),0)</f>
        <v>0</v>
      </c>
      <c r="EL181" s="313">
        <f>IFERROR(VLOOKUP(EL$1,'síť 2020'!$D$358:$G$621,$A181,FALSE),0)</f>
        <v>0</v>
      </c>
      <c r="EM181" s="313">
        <f>IFERROR(VLOOKUP(EM$1,'síť 2020'!$D$358:$G$621,$A181,FALSE),0)</f>
        <v>8</v>
      </c>
      <c r="EN181" s="313">
        <f>IFERROR(VLOOKUP(EN$1,'síť 2020'!$D$358:$G$621,$A181,FALSE),0)</f>
        <v>0</v>
      </c>
      <c r="EO181" s="313">
        <f>IFERROR(VLOOKUP(EO$1,'síť 2020'!$D$358:$G$621,$A181,FALSE),0)</f>
        <v>0</v>
      </c>
      <c r="EP181" s="313">
        <f>IFERROR(VLOOKUP(EP$1,'síť 2020'!$D$358:$G$621,$A181,FALSE),0)</f>
        <v>0</v>
      </c>
      <c r="EQ181" s="313">
        <f>IFERROR(VLOOKUP(EQ$1,'síť 2020'!$D$358:$G$621,$A181,FALSE),0)</f>
        <v>0</v>
      </c>
      <c r="ER181" s="313">
        <f>IFERROR(VLOOKUP(ER$1,'síť 2020'!$D$358:$G$621,$A181,FALSE),0)</f>
        <v>0</v>
      </c>
      <c r="ES181" s="313">
        <f>IFERROR(VLOOKUP(ES$1,'síť 2020'!$D$358:$G$621,$A181,FALSE),0)</f>
        <v>0</v>
      </c>
      <c r="ET181" s="313">
        <f>IFERROR(VLOOKUP(ET$1,'síť 2020'!$D$358:$G$621,$A181,FALSE),0)</f>
        <v>1</v>
      </c>
      <c r="EU181" s="313">
        <f>IFERROR(VLOOKUP(EU$1,'síť 2020'!$D$358:$G$621,$A181,FALSE),0)</f>
        <v>5</v>
      </c>
      <c r="EV181" s="313">
        <f>IFERROR(VLOOKUP(EV$1,'síť 2020'!$D$358:$G$621,$A181,FALSE),0)</f>
        <v>0</v>
      </c>
      <c r="EW181" s="313">
        <f>IFERROR(VLOOKUP(EW$1,'síť 2020'!$D$358:$G$621,$A181,FALSE),0)</f>
        <v>0</v>
      </c>
      <c r="EX181" s="313">
        <f>IFERROR(VLOOKUP(EX$1,'síť 2020'!$D$358:$G$621,$A181,FALSE),0)</f>
        <v>42</v>
      </c>
      <c r="EY181" s="313">
        <f>IFERROR(VLOOKUP(EY$1,'síť 2020'!$D$358:$G$621,$A181,FALSE),0)</f>
        <v>0</v>
      </c>
      <c r="EZ181" s="313">
        <f>IFERROR(VLOOKUP(EZ$1,'síť 2020'!$D$358:$G$621,$A181,FALSE),0)</f>
        <v>0</v>
      </c>
      <c r="FA181" s="313">
        <f>IFERROR(VLOOKUP(FA$1,'síť 2020'!$D$358:$G$621,$A181,FALSE),0)</f>
        <v>0</v>
      </c>
      <c r="FB181" s="313">
        <f>IFERROR(VLOOKUP(FB$1,'síť 2020'!$D$358:$G$621,$A181,FALSE),0)</f>
        <v>0</v>
      </c>
      <c r="FC181" s="313">
        <f>IFERROR(VLOOKUP(FC$1,'síť 2020'!$D$358:$G$621,$A181,FALSE),0)</f>
        <v>0</v>
      </c>
      <c r="FD181" s="313">
        <f>IFERROR(VLOOKUP(FD$1,'síť 2020'!$D$358:$G$621,$A181,FALSE),0)</f>
        <v>11</v>
      </c>
      <c r="FE181" s="313">
        <f>IFERROR(VLOOKUP(FE$1,'síť 2020'!$D$358:$G$621,$A181,FALSE),0)</f>
        <v>7</v>
      </c>
      <c r="FF181" s="313">
        <f>IFERROR(VLOOKUP(FF$1,'síť 2020'!$D$358:$G$621,$A181,FALSE),0)</f>
        <v>0</v>
      </c>
      <c r="FG181" s="313">
        <f>IFERROR(VLOOKUP(FG$1,'síť 2020'!$D$358:$G$621,$A181,FALSE),0)</f>
        <v>60</v>
      </c>
      <c r="FH181" s="313">
        <f>IFERROR(VLOOKUP(FH$1,'síť 2020'!$D$358:$G$621,$A181,FALSE),0)</f>
        <v>50</v>
      </c>
      <c r="FI181" s="313">
        <f>IFERROR(VLOOKUP(FI$1,'síť 2020'!$D$358:$G$621,$A181,FALSE),0)</f>
        <v>67</v>
      </c>
      <c r="FJ181" s="313">
        <f>IFERROR(VLOOKUP(FJ$1,'síť 2020'!$D$358:$G$621,$A181,FALSE),0)</f>
        <v>0</v>
      </c>
      <c r="FK181" s="313">
        <f>IFERROR(VLOOKUP(FK$1,'síť 2020'!$D$358:$G$621,$A181,FALSE),0)</f>
        <v>0</v>
      </c>
      <c r="FL181" s="313">
        <f>IFERROR(VLOOKUP(FL$1,'síť 2020'!$D$358:$G$621,$A181,FALSE),0)</f>
        <v>0</v>
      </c>
      <c r="FM181" s="313">
        <f>IFERROR(VLOOKUP(FM$1,'síť 2020'!$D$358:$G$621,$A181,FALSE),0)</f>
        <v>0</v>
      </c>
      <c r="FN181" s="313">
        <f>IFERROR(VLOOKUP(FN$1,'síť 2020'!$D$358:$G$621,$A181,FALSE),0)</f>
        <v>0</v>
      </c>
      <c r="FO181" s="313">
        <f>IFERROR(VLOOKUP(FO$1,'síť 2020'!$D$358:$G$621,$A181,FALSE),0)</f>
        <v>0</v>
      </c>
      <c r="FP181" s="313">
        <f>IFERROR(VLOOKUP(FP$1,'síť 2020'!$D$358:$G$621,$A181,FALSE),0)</f>
        <v>61</v>
      </c>
      <c r="FQ181" s="313">
        <f>IFERROR(VLOOKUP(FQ$1,'síť 2020'!$D$358:$G$621,$A181,FALSE),0)</f>
        <v>11</v>
      </c>
      <c r="FR181" s="313">
        <f>IFERROR(VLOOKUP(FR$1,'síť 2020'!$D$358:$G$621,$A181,FALSE),0)</f>
        <v>14</v>
      </c>
      <c r="FS181" s="313">
        <f>IFERROR(VLOOKUP(FS$1,'síť 2020'!$D$358:$G$621,$A181,FALSE),0)</f>
        <v>6</v>
      </c>
      <c r="FT181" s="313">
        <f>IFERROR(VLOOKUP(FT$1,'síť 2020'!$D$358:$G$621,$A181,FALSE),0)</f>
        <v>0</v>
      </c>
      <c r="FU181" s="313">
        <f>IFERROR(VLOOKUP(FU$1,'síť 2020'!$D$358:$G$621,$A181,FALSE),0)</f>
        <v>0</v>
      </c>
      <c r="FV181" s="313">
        <f>IFERROR(VLOOKUP(FV$1,'síť 2020'!$D$358:$G$621,$A181,FALSE),0)</f>
        <v>0</v>
      </c>
      <c r="FW181" s="313">
        <f>IFERROR(VLOOKUP(FW$1,'síť 2020'!$D$358:$G$621,$A181,FALSE),0)</f>
        <v>0</v>
      </c>
      <c r="FX181" s="313">
        <f>IFERROR(VLOOKUP(FX$1,'síť 2020'!$D$358:$G$621,$A181,FALSE),0)</f>
        <v>0</v>
      </c>
      <c r="FY181" s="313">
        <f>IFERROR(VLOOKUP(FY$1,'síť 2020'!$D$358:$G$621,$A181,FALSE),0)</f>
        <v>0</v>
      </c>
      <c r="FZ181" s="313">
        <f>IFERROR(VLOOKUP(FZ$1,'síť 2020'!$D$358:$G$621,$A181,FALSE),0)</f>
        <v>0</v>
      </c>
      <c r="GA181" s="313">
        <f>IFERROR(VLOOKUP(GA$1,'síť 2020'!$D$358:$G$621,$A181,FALSE),0)</f>
        <v>4</v>
      </c>
      <c r="GB181" s="313">
        <f>IFERROR(VLOOKUP(GB$1,'síť 2020'!$D$358:$G$621,$A181,FALSE),0)</f>
        <v>58</v>
      </c>
      <c r="GC181" s="313">
        <f>IFERROR(VLOOKUP(GC$1,'síť 2020'!$D$358:$G$621,$A181,FALSE),0)</f>
        <v>0</v>
      </c>
      <c r="GD181" s="313">
        <f>IFERROR(VLOOKUP(GD$1,'síť 2020'!$D$358:$G$621,$A181,FALSE),0)</f>
        <v>65</v>
      </c>
      <c r="GE181" s="313">
        <f>IFERROR(VLOOKUP(GE$1,'síť 2020'!$D$358:$G$621,$A181,FALSE),0)</f>
        <v>0</v>
      </c>
      <c r="GF181" s="313">
        <f>IFERROR(VLOOKUP(GF$1,'síť 2020'!$D$358:$G$621,$A181,FALSE),0)</f>
        <v>0</v>
      </c>
      <c r="GG181" s="313">
        <f>IFERROR(VLOOKUP(GG$1,'síť 2020'!$D$358:$G$621,$A181,FALSE),0)</f>
        <v>6</v>
      </c>
      <c r="GH181" s="313">
        <f>IFERROR(VLOOKUP(GH$1,'síť 2020'!$D$358:$G$621,$A181,FALSE),0)</f>
        <v>0</v>
      </c>
      <c r="GI181" s="313">
        <f>IFERROR(VLOOKUP(GI$1,'síť 2020'!$D$358:$G$621,$A181,FALSE),0)</f>
        <v>43</v>
      </c>
      <c r="GJ181" s="313">
        <f>IFERROR(VLOOKUP(GJ$1,'síť 2020'!$D$358:$G$621,$A181,FALSE),0)</f>
        <v>0</v>
      </c>
      <c r="GK181" s="313">
        <f>IFERROR(VLOOKUP(GK$1,'síť 2020'!$D$358:$G$621,$A181,FALSE),0)</f>
        <v>9</v>
      </c>
      <c r="GL181" s="313">
        <f>IFERROR(VLOOKUP(GL$1,'síť 2020'!$D$358:$G$621,$A181,FALSE),0)</f>
        <v>0</v>
      </c>
      <c r="GM181" s="313">
        <f>IFERROR(VLOOKUP(GM$1,'síť 2020'!$D$358:$G$621,$A181,FALSE),0)</f>
        <v>0</v>
      </c>
      <c r="GN181" s="313">
        <f>IFERROR(VLOOKUP(GN$1,'síť 2020'!$D$358:$G$621,$A181,FALSE),0)</f>
        <v>0</v>
      </c>
      <c r="GO181" s="313">
        <f>IFERROR(VLOOKUP(GO$1,'síť 2020'!$D$358:$G$621,$A181,FALSE),0)</f>
        <v>35</v>
      </c>
      <c r="GP181" s="313">
        <f>IFERROR(VLOOKUP(GP$1,'síť 2020'!$D$358:$G$621,$A181,FALSE),0)</f>
        <v>0</v>
      </c>
      <c r="GQ181" s="313">
        <f>IFERROR(VLOOKUP(GQ$1,'síť 2020'!$D$358:$G$621,$A181,FALSE),0)</f>
        <v>0</v>
      </c>
      <c r="GR181" s="313">
        <f>IFERROR(VLOOKUP(GR$1,'síť 2020'!$D$358:$G$621,$A181,FALSE),0)</f>
        <v>0</v>
      </c>
      <c r="GS181" s="313">
        <f>IFERROR(VLOOKUP(GS$1,'síť 2020'!$D$358:$G$621,$A181,FALSE),0)</f>
        <v>0</v>
      </c>
      <c r="GT181" s="313">
        <f>IFERROR(VLOOKUP(GT$1,'síť 2020'!$D$358:$G$621,$A181,FALSE),0)</f>
        <v>0</v>
      </c>
      <c r="GU181" s="313">
        <f>IFERROR(VLOOKUP(GU$1,'síť 2020'!$D$358:$G$621,$A181,FALSE),0)</f>
        <v>0</v>
      </c>
      <c r="GV181" s="313">
        <f>IFERROR(VLOOKUP(GV$1,'síť 2020'!$D$358:$G$621,$A181,FALSE),0)</f>
        <v>30</v>
      </c>
      <c r="GW181" s="313">
        <f>IFERROR(VLOOKUP(GW$1,'síť 2020'!$D$358:$G$621,$A181,FALSE),0)</f>
        <v>0</v>
      </c>
      <c r="GX181" s="313">
        <f>IFERROR(VLOOKUP(GX$1,'síť 2020'!$D$358:$G$621,$A181,FALSE),0)</f>
        <v>0</v>
      </c>
      <c r="GY181" s="313">
        <f>IFERROR(VLOOKUP(GY$1,'síť 2020'!$D$358:$G$621,$A181,FALSE),0)</f>
        <v>124</v>
      </c>
      <c r="GZ181" s="313">
        <f>IFERROR(VLOOKUP(GZ$1,'síť 2020'!$D$358:$G$621,$A181,FALSE),0)</f>
        <v>32</v>
      </c>
      <c r="HA181" s="313">
        <f>IFERROR(VLOOKUP(HA$1,'síť 2020'!$D$358:$G$621,$A181,FALSE),0)</f>
        <v>0</v>
      </c>
      <c r="HB181" s="313">
        <f>IFERROR(VLOOKUP(HB$1,'síť 2020'!$D$358:$G$621,$A181,FALSE),0)</f>
        <v>0</v>
      </c>
      <c r="HC181" s="313">
        <f>IFERROR(VLOOKUP(HC$1,'síť 2020'!$D$358:$G$621,$A181,FALSE),0)</f>
        <v>54</v>
      </c>
      <c r="HD181" s="313">
        <f>IFERROR(VLOOKUP(HD$1,'síť 2020'!$D$358:$G$621,$A181,FALSE),0)</f>
        <v>0</v>
      </c>
      <c r="HE181" s="313">
        <f>IFERROR(VLOOKUP(HE$1,'síť 2020'!$D$358:$G$621,$A181,FALSE),0)</f>
        <v>42</v>
      </c>
      <c r="HF181" s="313">
        <f>IFERROR(VLOOKUP(HF$1,'síť 2020'!$D$358:$G$621,$A181,FALSE),0)</f>
        <v>0</v>
      </c>
      <c r="HG181" s="313">
        <f>IFERROR(VLOOKUP(HG$1,'síť 2020'!$D$358:$G$621,$A181,FALSE),0)</f>
        <v>0</v>
      </c>
      <c r="HH181" s="313">
        <f>IFERROR(VLOOKUP(HH$1,'síť 2020'!$D$358:$G$621,$A181,FALSE),0)</f>
        <v>0</v>
      </c>
      <c r="HI181" s="313">
        <f>IFERROR(VLOOKUP(HI$1,'síť 2020'!$D$358:$G$621,$A181,FALSE),0)</f>
        <v>0</v>
      </c>
      <c r="HJ181" s="313">
        <f>IFERROR(VLOOKUP(HJ$1,'síť 2020'!$D$358:$G$621,$A181,FALSE),0)</f>
        <v>0</v>
      </c>
      <c r="HK181" s="313">
        <f>IFERROR(VLOOKUP(HK$1,'síť 2020'!$D$358:$G$621,$A181,FALSE),0)</f>
        <v>0</v>
      </c>
      <c r="HL181" s="313">
        <f>IFERROR(VLOOKUP(HL$1,'síť 2020'!$D$358:$G$621,$A181,FALSE),0)</f>
        <v>58</v>
      </c>
      <c r="HM181" s="313">
        <f>IFERROR(VLOOKUP(HM$1,'síť 2020'!$D$358:$G$621,$A181,FALSE),0)</f>
        <v>45</v>
      </c>
      <c r="HN181" s="313">
        <f>IFERROR(VLOOKUP(HN$1,'síť 2020'!$D$358:$G$621,$A181,FALSE),0)</f>
        <v>0</v>
      </c>
      <c r="HO181" s="313">
        <f>IFERROR(VLOOKUP(HO$1,'síť 2020'!$D$358:$G$621,$A181,FALSE),0)</f>
        <v>0</v>
      </c>
      <c r="HP181" s="313">
        <f>IFERROR(VLOOKUP(HP$1,'síť 2020'!$D$358:$G$621,$A181,FALSE),0)</f>
        <v>79</v>
      </c>
      <c r="HQ181" s="313">
        <f>IFERROR(VLOOKUP(HQ$1,'síť 2020'!$D$358:$G$621,$A181,FALSE),0)</f>
        <v>0</v>
      </c>
      <c r="HR181" s="313">
        <f>IFERROR(VLOOKUP(HR$1,'síť 2020'!$D$358:$G$621,$A181,FALSE),0)</f>
        <v>109</v>
      </c>
      <c r="HS181" s="313">
        <f>IFERROR(VLOOKUP(HS$1,'síť 2020'!$D$358:$G$621,$A181,FALSE),0)</f>
        <v>23</v>
      </c>
      <c r="HT181" s="313">
        <f>IFERROR(VLOOKUP(HT$1,'síť 2020'!$D$358:$G$621,$A181,FALSE),0)</f>
        <v>49</v>
      </c>
      <c r="HU181" s="313">
        <f>IFERROR(VLOOKUP(HU$1,'síť 2020'!$D$358:$G$621,$A181,FALSE),0)</f>
        <v>81</v>
      </c>
      <c r="HV181" s="313">
        <f>IFERROR(VLOOKUP(HV$1,'síť 2020'!$D$358:$G$621,$A181,FALSE),0)</f>
        <v>115</v>
      </c>
      <c r="HW181" s="313">
        <f>IFERROR(VLOOKUP(HW$1,'síť 2020'!$D$358:$G$621,$A181,FALSE),0)</f>
        <v>16</v>
      </c>
      <c r="HX181" s="313">
        <f>IFERROR(VLOOKUP(HX$1,'síť 2020'!$D$358:$G$621,$A181,FALSE),0)</f>
        <v>86</v>
      </c>
      <c r="HY181" s="313">
        <f>IFERROR(VLOOKUP(HY$1,'síť 2020'!$D$358:$G$621,$A181,FALSE),0)</f>
        <v>80</v>
      </c>
      <c r="HZ181" s="313">
        <f>IFERROR(VLOOKUP(HZ$1,'síť 2020'!$D$358:$G$621,$A181,FALSE),0)</f>
        <v>47</v>
      </c>
      <c r="IA181" s="313">
        <f>IFERROR(VLOOKUP(IA$1,'síť 2020'!$D$358:$G$621,$A181,FALSE),0)</f>
        <v>52</v>
      </c>
      <c r="IB181" s="313">
        <f>IFERROR(VLOOKUP(IB$1,'síť 2020'!$D$358:$G$621,$A181,FALSE),0)</f>
        <v>53</v>
      </c>
      <c r="IC181" s="313">
        <f>IFERROR(VLOOKUP(IC$1,'síť 2020'!$D$358:$G$621,$A181,FALSE),0)</f>
        <v>86</v>
      </c>
      <c r="ID181" s="313">
        <f>IFERROR(VLOOKUP(ID$1,'síť 2020'!$D$358:$G$621,$A181,FALSE),0)</f>
        <v>60</v>
      </c>
      <c r="IE181" s="313">
        <f>IFERROR(VLOOKUP(IE$1,'síť 2020'!$D$358:$G$621,$A181,FALSE),0)</f>
        <v>64</v>
      </c>
      <c r="IF181" s="313">
        <f>IFERROR(VLOOKUP(IF$1,'síť 2020'!$D$358:$G$621,$A181,FALSE),0)</f>
        <v>84</v>
      </c>
      <c r="IG181" s="313">
        <f>IFERROR(VLOOKUP(IG$1,'síť 2020'!$D$358:$G$621,$A181,FALSE),0)</f>
        <v>16</v>
      </c>
      <c r="IH181" s="313">
        <f>IFERROR(VLOOKUP(IH$1,'síť 2020'!$D$358:$G$621,$A181,FALSE),0)</f>
        <v>5</v>
      </c>
      <c r="II181" s="313">
        <f>IFERROR(VLOOKUP(II$1,'síť 2020'!$D$358:$G$621,$A181,FALSE),0)</f>
        <v>40</v>
      </c>
      <c r="IJ181" s="313">
        <f>IFERROR(VLOOKUP(IJ$1,'síť 2020'!$D$358:$G$621,$A181,FALSE),0)</f>
        <v>8</v>
      </c>
      <c r="IK181" s="313">
        <f>IFERROR(VLOOKUP(IK$1,'síť 2020'!$D$358:$G$621,$A181,FALSE),0)</f>
        <v>0</v>
      </c>
      <c r="IL181" s="313">
        <f>IFERROR(VLOOKUP(IL$1,'síť 2020'!$D$358:$G$621,$A181,FALSE),0)</f>
        <v>45</v>
      </c>
      <c r="IM181" s="313">
        <f>IFERROR(VLOOKUP(IM$1,'síť 2020'!$D$358:$G$621,$A181,FALSE),0)</f>
        <v>3</v>
      </c>
      <c r="IN181" s="313">
        <f>IFERROR(VLOOKUP(IN$1,'síť 2020'!$D$358:$G$621,$A181,FALSE),0)</f>
        <v>55</v>
      </c>
      <c r="IO181" s="313">
        <f>IFERROR(VLOOKUP(IO$1,'síť 2020'!$D$358:$G$621,$A181,FALSE),0)</f>
        <v>10</v>
      </c>
      <c r="IP181" s="313">
        <f>IFERROR(VLOOKUP(IP$1,'síť 2020'!$D$358:$G$621,$A181,FALSE),0)</f>
        <v>70</v>
      </c>
      <c r="IQ181" s="313">
        <f>IFERROR(VLOOKUP(IQ$1,'síť 2020'!$D$358:$G$621,$A181,FALSE),0)</f>
        <v>74</v>
      </c>
      <c r="IR181" s="313">
        <f>IFERROR(VLOOKUP(IR$1,'síť 2020'!$D$358:$G$621,$A181,FALSE),0)</f>
        <v>4</v>
      </c>
      <c r="IS181" s="313">
        <f>IFERROR(VLOOKUP(IS$1,'síť 2020'!$D$358:$G$621,$A181,FALSE),0)</f>
        <v>282</v>
      </c>
      <c r="IT181" s="313">
        <f>IFERROR(VLOOKUP(IT$1,'síť 2020'!$D$358:$G$621,$A181,FALSE),0)</f>
        <v>58</v>
      </c>
      <c r="IU181" s="313">
        <f>IFERROR(VLOOKUP(IU$1,'síť 2020'!$D$358:$G$621,$A181,FALSE),0)</f>
        <v>8</v>
      </c>
      <c r="IV181" s="313">
        <f>IFERROR(VLOOKUP(IV$1,'síť 2020'!$D$358:$G$621,$A181,FALSE),0)</f>
        <v>48</v>
      </c>
      <c r="IW181" s="313">
        <f>IFERROR(VLOOKUP(IW$1,'síť 2020'!$D$358:$G$621,$A181,FALSE),0)</f>
        <v>76</v>
      </c>
      <c r="IX181" s="313">
        <f>IFERROR(VLOOKUP(IX$1,'síť 2020'!$D$358:$G$621,$A181,FALSE),0)</f>
        <v>8</v>
      </c>
      <c r="IY181" s="313">
        <f>IFERROR(VLOOKUP(IY$1,'síť 2020'!$D$358:$G$621,$A181,FALSE),0)</f>
        <v>43</v>
      </c>
      <c r="IZ181" s="313">
        <f>IFERROR(VLOOKUP(IZ$1,'síť 2020'!$D$358:$G$621,$A181,FALSE),0)</f>
        <v>103</v>
      </c>
      <c r="JA181" s="313">
        <f>IFERROR(VLOOKUP(JA$1,'síť 2020'!$D$358:$G$621,$A181,FALSE),0)</f>
        <v>0</v>
      </c>
      <c r="JB181" s="313">
        <f>IFERROR(VLOOKUP(JB$1,'síť 2020'!$D$358:$G$621,$A181,FALSE),0)</f>
        <v>0</v>
      </c>
      <c r="JC181" s="313">
        <f>IFERROR(VLOOKUP(JC$1,'síť 2020'!$D$358:$G$621,$A181,FALSE),0)</f>
        <v>0</v>
      </c>
      <c r="JD181" s="313">
        <f>IFERROR(VLOOKUP(JD$1,'síť 2020'!$D$358:$G$621,$A181,FALSE),0)</f>
        <v>0</v>
      </c>
      <c r="JE181" s="313">
        <f>IFERROR(VLOOKUP(JE$1,'síť 2020'!$D$358:$G$621,$A181,FALSE),0)</f>
        <v>4</v>
      </c>
      <c r="JF181" s="313">
        <f>IFERROR(VLOOKUP(JF$1,'síť 2020'!$D$358:$G$621,$A181,FALSE),0)</f>
        <v>98</v>
      </c>
      <c r="JG181" s="313">
        <f>IFERROR(VLOOKUP(JG$1,'síť 2020'!$D$358:$G$621,$A181,FALSE),0)</f>
        <v>65</v>
      </c>
      <c r="JH181" s="313">
        <f>IFERROR(VLOOKUP(JH$1,'síť 2020'!$D$358:$G$621,$A181,FALSE),0)</f>
        <v>0</v>
      </c>
    </row>
    <row r="182" spans="1:269" hidden="1" x14ac:dyDescent="0.25">
      <c r="A182" s="313">
        <v>4</v>
      </c>
      <c r="B182" s="313" t="s">
        <v>2848</v>
      </c>
      <c r="C182" s="313">
        <f>IFERROR(VLOOKUP(C$1,'síť 2020'!$D$358:$G$621,$A182,FALSE),0)</f>
        <v>0</v>
      </c>
      <c r="D182" s="313">
        <f>IFERROR(VLOOKUP(D$1,'síť 2020'!$D$358:$G$621,$A182,FALSE),0)</f>
        <v>0</v>
      </c>
      <c r="E182" s="313">
        <f>IFERROR(VLOOKUP(E$1,'síť 2020'!$D$358:$G$621,$A182,FALSE),0)</f>
        <v>0</v>
      </c>
      <c r="F182" s="313">
        <f>IFERROR(VLOOKUP(F$1,'síť 2020'!$D$358:$G$621,$A182,FALSE),0)</f>
        <v>0</v>
      </c>
      <c r="G182" s="313">
        <f>IFERROR(VLOOKUP(G$1,'síť 2020'!$D$358:$G$621,$A182,FALSE),0)</f>
        <v>32</v>
      </c>
      <c r="H182" s="313">
        <f>IFERROR(VLOOKUP(H$1,'síť 2020'!$D$358:$G$621,$A182,FALSE),0)</f>
        <v>20</v>
      </c>
      <c r="I182" s="313">
        <f>IFERROR(VLOOKUP(I$1,'síť 2020'!$D$358:$G$621,$A182,FALSE),0)</f>
        <v>12</v>
      </c>
      <c r="J182" s="313">
        <f>IFERROR(VLOOKUP(J$1,'síť 2020'!$D$358:$G$621,$A182,FALSE),0)</f>
        <v>42</v>
      </c>
      <c r="K182" s="313">
        <f>IFERROR(VLOOKUP(K$1,'síť 2020'!$D$358:$G$621,$A182,FALSE),0)</f>
        <v>0</v>
      </c>
      <c r="L182" s="313">
        <f>IFERROR(VLOOKUP(L$1,'síť 2020'!$D$358:$G$621,$A182,FALSE),0)</f>
        <v>6</v>
      </c>
      <c r="M182" s="313">
        <f>IFERROR(VLOOKUP(M$1,'síť 2020'!$D$358:$G$621,$A182,FALSE),0)</f>
        <v>0</v>
      </c>
      <c r="N182" s="313">
        <f>IFERROR(VLOOKUP(N$1,'síť 2020'!$D$358:$G$621,$A182,FALSE),0)</f>
        <v>40</v>
      </c>
      <c r="O182" s="313">
        <f>IFERROR(VLOOKUP(O$1,'síť 2020'!$D$358:$G$621,$A182,FALSE),0)</f>
        <v>0</v>
      </c>
      <c r="P182" s="313">
        <f>IFERROR(VLOOKUP(P$1,'síť 2020'!$D$358:$G$621,$A182,FALSE),0)</f>
        <v>0</v>
      </c>
      <c r="Q182" s="313">
        <f>IFERROR(VLOOKUP(Q$1,'síť 2020'!$D$358:$G$621,$A182,FALSE),0)</f>
        <v>0</v>
      </c>
      <c r="R182" s="313">
        <f>IFERROR(VLOOKUP(R$1,'síť 2020'!$D$358:$G$621,$A182,FALSE),0)</f>
        <v>0</v>
      </c>
      <c r="S182" s="313">
        <f>IFERROR(VLOOKUP(S$1,'síť 2020'!$D$358:$G$621,$A182,FALSE),0)</f>
        <v>0</v>
      </c>
      <c r="T182" s="313">
        <f>IFERROR(VLOOKUP(T$1,'síť 2020'!$D$358:$G$621,$A182,FALSE),0)</f>
        <v>0</v>
      </c>
      <c r="U182" s="313">
        <f>IFERROR(VLOOKUP(U$1,'síť 2020'!$D$358:$G$621,$A182,FALSE),0)</f>
        <v>0</v>
      </c>
      <c r="V182" s="313">
        <f>IFERROR(VLOOKUP(V$1,'síť 2020'!$D$358:$G$621,$A182,FALSE),0)</f>
        <v>0</v>
      </c>
      <c r="W182" s="313">
        <f>IFERROR(VLOOKUP(W$1,'síť 2020'!$D$358:$G$621,$A182,FALSE),0)</f>
        <v>20</v>
      </c>
      <c r="X182" s="313">
        <f>IFERROR(VLOOKUP(X$1,'síť 2020'!$D$358:$G$621,$A182,FALSE),0)</f>
        <v>8</v>
      </c>
      <c r="Y182" s="313">
        <f>IFERROR(VLOOKUP(Y$1,'síť 2020'!$D$358:$G$621,$A182,FALSE),0)</f>
        <v>0</v>
      </c>
      <c r="Z182" s="313">
        <f>IFERROR(VLOOKUP(Z$1,'síť 2020'!$D$358:$G$621,$A182,FALSE),0)</f>
        <v>0</v>
      </c>
      <c r="AA182" s="313">
        <f>IFERROR(VLOOKUP(AA$1,'síť 2020'!$D$358:$G$621,$A182,FALSE),0)</f>
        <v>0</v>
      </c>
      <c r="AB182" s="313">
        <f>IFERROR(VLOOKUP(AB$1,'síť 2020'!$D$358:$G$621,$A182,FALSE),0)</f>
        <v>6</v>
      </c>
      <c r="AC182" s="313">
        <f>IFERROR(VLOOKUP(AC$1,'síť 2020'!$D$358:$G$621,$A182,FALSE),0)</f>
        <v>0</v>
      </c>
      <c r="AD182" s="313">
        <f>IFERROR(VLOOKUP(AD$1,'síť 2020'!$D$358:$G$621,$A182,FALSE),0)</f>
        <v>3</v>
      </c>
      <c r="AE182" s="313">
        <f>IFERROR(VLOOKUP(AE$1,'síť 2020'!$D$358:$G$621,$A182,FALSE),0)</f>
        <v>0</v>
      </c>
      <c r="AF182" s="313">
        <f>IFERROR(VLOOKUP(AF$1,'síť 2020'!$D$358:$G$621,$A182,FALSE),0)</f>
        <v>9</v>
      </c>
      <c r="AG182" s="313">
        <f>IFERROR(VLOOKUP(AG$1,'síť 2020'!$D$358:$G$621,$A182,FALSE),0)</f>
        <v>6</v>
      </c>
      <c r="AH182" s="313">
        <f>IFERROR(VLOOKUP(AH$1,'síť 2020'!$D$358:$G$621,$A182,FALSE),0)</f>
        <v>10</v>
      </c>
      <c r="AI182" s="313">
        <f>IFERROR(VLOOKUP(AI$1,'síť 2020'!$D$358:$G$621,$A182,FALSE),0)</f>
        <v>0</v>
      </c>
      <c r="AJ182" s="313">
        <f>IFERROR(VLOOKUP(AJ$1,'síť 2020'!$D$358:$G$621,$A182,FALSE),0)</f>
        <v>0</v>
      </c>
      <c r="AK182" s="313">
        <f>IFERROR(VLOOKUP(AK$1,'síť 2020'!$D$358:$G$621,$A182,FALSE),0)</f>
        <v>0</v>
      </c>
      <c r="AL182" s="313">
        <f>IFERROR(VLOOKUP(AL$1,'síť 2020'!$D$358:$G$621,$A182,FALSE),0)</f>
        <v>20</v>
      </c>
      <c r="AM182" s="313">
        <f>IFERROR(VLOOKUP(AM$1,'síť 2020'!$D$358:$G$621,$A182,FALSE),0)</f>
        <v>0</v>
      </c>
      <c r="AN182" s="313">
        <f>IFERROR(VLOOKUP(AN$1,'síť 2020'!$D$358:$G$621,$A182,FALSE),0)</f>
        <v>3</v>
      </c>
      <c r="AO182" s="313">
        <f>IFERROR(VLOOKUP(AO$1,'síť 2020'!$D$358:$G$621,$A182,FALSE),0)</f>
        <v>0</v>
      </c>
      <c r="AP182" s="313">
        <f>IFERROR(VLOOKUP(AP$1,'síť 2020'!$D$358:$G$621,$A182,FALSE),0)</f>
        <v>0</v>
      </c>
      <c r="AQ182" s="313">
        <f>IFERROR(VLOOKUP(AQ$1,'síť 2020'!$D$358:$G$621,$A182,FALSE),0)</f>
        <v>0</v>
      </c>
      <c r="AR182" s="313">
        <f>IFERROR(VLOOKUP(AR$1,'síť 2020'!$D$358:$G$621,$A182,FALSE),0)</f>
        <v>3</v>
      </c>
      <c r="AS182" s="313">
        <f>IFERROR(VLOOKUP(AS$1,'síť 2020'!$D$358:$G$621,$A182,FALSE),0)</f>
        <v>0</v>
      </c>
      <c r="AT182" s="313">
        <f>IFERROR(VLOOKUP(AT$1,'síť 2020'!$D$358:$G$621,$A182,FALSE),0)</f>
        <v>0</v>
      </c>
      <c r="AU182" s="313">
        <f>IFERROR(VLOOKUP(AU$1,'síť 2020'!$D$358:$G$621,$A182,FALSE),0)</f>
        <v>25</v>
      </c>
      <c r="AV182" s="313">
        <f>IFERROR(VLOOKUP(AV$1,'síť 2020'!$D$358:$G$621,$A182,FALSE),0)</f>
        <v>0</v>
      </c>
      <c r="AW182" s="313">
        <f>IFERROR(VLOOKUP(AW$1,'síť 2020'!$D$358:$G$621,$A182,FALSE),0)</f>
        <v>14</v>
      </c>
      <c r="AX182" s="313">
        <f>IFERROR(VLOOKUP(AX$1,'síť 2020'!$D$358:$G$621,$A182,FALSE),0)</f>
        <v>0</v>
      </c>
      <c r="AY182" s="313">
        <f>IFERROR(VLOOKUP(AY$1,'síť 2020'!$D$358:$G$621,$A182,FALSE),0)</f>
        <v>22</v>
      </c>
      <c r="AZ182" s="313">
        <f>IFERROR(VLOOKUP(AZ$1,'síť 2020'!$D$358:$G$621,$A182,FALSE),0)</f>
        <v>0</v>
      </c>
      <c r="BA182" s="313">
        <f>IFERROR(VLOOKUP(BA$1,'síť 2020'!$D$358:$G$621,$A182,FALSE),0)</f>
        <v>0</v>
      </c>
      <c r="BB182" s="313">
        <f>IFERROR(VLOOKUP(BB$1,'síť 2020'!$D$358:$G$621,$A182,FALSE),0)</f>
        <v>1</v>
      </c>
      <c r="BC182" s="313">
        <f>IFERROR(VLOOKUP(BC$1,'síť 2020'!$D$358:$G$621,$A182,FALSE),0)</f>
        <v>2</v>
      </c>
      <c r="BD182" s="313">
        <f>IFERROR(VLOOKUP(BD$1,'síť 2020'!$D$358:$G$621,$A182,FALSE),0)</f>
        <v>0</v>
      </c>
      <c r="BE182" s="313">
        <f>IFERROR(VLOOKUP(BE$1,'síť 2020'!$D$358:$G$621,$A182,FALSE),0)</f>
        <v>2</v>
      </c>
      <c r="BF182" s="313">
        <f>IFERROR(VLOOKUP(BF$1,'síť 2020'!$D$358:$G$621,$A182,FALSE),0)</f>
        <v>0</v>
      </c>
      <c r="BG182" s="313">
        <f>IFERROR(VLOOKUP(BG$1,'síť 2020'!$D$358:$G$621,$A182,FALSE),0)</f>
        <v>4</v>
      </c>
      <c r="BH182" s="313">
        <f>IFERROR(VLOOKUP(BH$1,'síť 2020'!$D$358:$G$621,$A182,FALSE),0)</f>
        <v>0</v>
      </c>
      <c r="BI182" s="313">
        <f>IFERROR(VLOOKUP(BI$1,'síť 2020'!$D$358:$G$621,$A182,FALSE),0)</f>
        <v>0</v>
      </c>
      <c r="BJ182" s="313">
        <f>IFERROR(VLOOKUP(BJ$1,'síť 2020'!$D$358:$G$621,$A182,FALSE),0)</f>
        <v>0</v>
      </c>
      <c r="BK182" s="313">
        <f>IFERROR(VLOOKUP(BK$1,'síť 2020'!$D$358:$G$621,$A182,FALSE),0)</f>
        <v>0</v>
      </c>
      <c r="BL182" s="313">
        <f>IFERROR(VLOOKUP(BL$1,'síť 2020'!$D$358:$G$621,$A182,FALSE),0)</f>
        <v>0</v>
      </c>
      <c r="BM182" s="313">
        <f>IFERROR(VLOOKUP(BM$1,'síť 2020'!$D$358:$G$621,$A182,FALSE),0)</f>
        <v>12</v>
      </c>
      <c r="BN182" s="313">
        <f>IFERROR(VLOOKUP(BN$1,'síť 2020'!$D$358:$G$621,$A182,FALSE),0)</f>
        <v>0</v>
      </c>
      <c r="BO182" s="313">
        <f>IFERROR(VLOOKUP(BO$1,'síť 2020'!$D$358:$G$621,$A182,FALSE),0)</f>
        <v>0</v>
      </c>
      <c r="BP182" s="313">
        <f>IFERROR(VLOOKUP(BP$1,'síť 2020'!$D$358:$G$621,$A182,FALSE),0)</f>
        <v>25</v>
      </c>
      <c r="BQ182" s="313">
        <f>IFERROR(VLOOKUP(BQ$1,'síť 2020'!$D$358:$G$621,$A182,FALSE),0)</f>
        <v>0</v>
      </c>
      <c r="BR182" s="313">
        <f>IFERROR(VLOOKUP(BR$1,'síť 2020'!$D$358:$G$621,$A182,FALSE),0)</f>
        <v>0</v>
      </c>
      <c r="BS182" s="313">
        <f>IFERROR(VLOOKUP(BS$1,'síť 2020'!$D$358:$G$621,$A182,FALSE),0)</f>
        <v>0</v>
      </c>
      <c r="BT182" s="313">
        <f>IFERROR(VLOOKUP(BT$1,'síť 2020'!$D$358:$G$621,$A182,FALSE),0)</f>
        <v>0</v>
      </c>
      <c r="BU182" s="313">
        <f>IFERROR(VLOOKUP(BU$1,'síť 2020'!$D$358:$G$621,$A182,FALSE),0)</f>
        <v>0</v>
      </c>
      <c r="BV182" s="313">
        <f>IFERROR(VLOOKUP(BV$1,'síť 2020'!$D$358:$G$621,$A182,FALSE),0)</f>
        <v>2</v>
      </c>
      <c r="BW182" s="313">
        <f>IFERROR(VLOOKUP(BW$1,'síť 2020'!$D$358:$G$621,$A182,FALSE),0)</f>
        <v>0</v>
      </c>
      <c r="BX182" s="313">
        <f>IFERROR(VLOOKUP(BX$1,'síť 2020'!$D$358:$G$621,$A182,FALSE),0)</f>
        <v>0</v>
      </c>
      <c r="BY182" s="313">
        <f>IFERROR(VLOOKUP(BY$1,'síť 2020'!$D$358:$G$621,$A182,FALSE),0)</f>
        <v>0</v>
      </c>
      <c r="BZ182" s="313">
        <f>IFERROR(VLOOKUP(BZ$1,'síť 2020'!$D$358:$G$621,$A182,FALSE),0)</f>
        <v>0</v>
      </c>
      <c r="CA182" s="313">
        <f>IFERROR(VLOOKUP(CA$1,'síť 2020'!$D$358:$G$621,$A182,FALSE),0)</f>
        <v>0</v>
      </c>
      <c r="CB182" s="313">
        <f>IFERROR(VLOOKUP(CB$1,'síť 2020'!$D$358:$G$621,$A182,FALSE),0)</f>
        <v>0</v>
      </c>
      <c r="CC182" s="313">
        <f>IFERROR(VLOOKUP(CC$1,'síť 2020'!$D$358:$G$621,$A182,FALSE),0)</f>
        <v>0</v>
      </c>
      <c r="CD182" s="313">
        <f>IFERROR(VLOOKUP(CD$1,'síť 2020'!$D$358:$G$621,$A182,FALSE),0)</f>
        <v>0</v>
      </c>
      <c r="CE182" s="313">
        <f>IFERROR(VLOOKUP(CE$1,'síť 2020'!$D$358:$G$621,$A182,FALSE),0)</f>
        <v>0</v>
      </c>
      <c r="CF182" s="313">
        <f>IFERROR(VLOOKUP(CF$1,'síť 2020'!$D$358:$G$621,$A182,FALSE),0)</f>
        <v>0</v>
      </c>
      <c r="CG182" s="313">
        <f>IFERROR(VLOOKUP(CG$1,'síť 2020'!$D$358:$G$621,$A182,FALSE),0)</f>
        <v>0</v>
      </c>
      <c r="CH182" s="313">
        <f>IFERROR(VLOOKUP(CH$1,'síť 2020'!$D$358:$G$621,$A182,FALSE),0)</f>
        <v>0</v>
      </c>
      <c r="CI182" s="313">
        <f>IFERROR(VLOOKUP(CI$1,'síť 2020'!$D$358:$G$621,$A182,FALSE),0)</f>
        <v>0</v>
      </c>
      <c r="CJ182" s="313">
        <f>IFERROR(VLOOKUP(CJ$1,'síť 2020'!$D$358:$G$621,$A182,FALSE),0)</f>
        <v>30</v>
      </c>
      <c r="CK182" s="313">
        <f>IFERROR(VLOOKUP(CK$1,'síť 2020'!$D$358:$G$621,$A182,FALSE),0)</f>
        <v>90</v>
      </c>
      <c r="CL182" s="313">
        <f>IFERROR(VLOOKUP(CL$1,'síť 2020'!$D$358:$G$621,$A182,FALSE),0)</f>
        <v>0</v>
      </c>
      <c r="CM182" s="313">
        <f>IFERROR(VLOOKUP(CM$1,'síť 2020'!$D$358:$G$621,$A182,FALSE),0)</f>
        <v>0</v>
      </c>
      <c r="CN182" s="313">
        <f>IFERROR(VLOOKUP(CN$1,'síť 2020'!$D$358:$G$621,$A182,FALSE),0)</f>
        <v>20</v>
      </c>
      <c r="CO182" s="313">
        <f>IFERROR(VLOOKUP(CO$1,'síť 2020'!$D$358:$G$621,$A182,FALSE),0)</f>
        <v>20</v>
      </c>
      <c r="CP182" s="313">
        <f>IFERROR(VLOOKUP(CP$1,'síť 2020'!$D$358:$G$621,$A182,FALSE),0)</f>
        <v>20</v>
      </c>
      <c r="CQ182" s="313">
        <f>IFERROR(VLOOKUP(CQ$1,'síť 2020'!$D$358:$G$621,$A182,FALSE),0)</f>
        <v>80</v>
      </c>
      <c r="CR182" s="313">
        <f>IFERROR(VLOOKUP(CR$1,'síť 2020'!$D$358:$G$621,$A182,FALSE),0)</f>
        <v>0</v>
      </c>
      <c r="CS182" s="313">
        <f>IFERROR(VLOOKUP(CS$1,'síť 2020'!$D$358:$G$621,$A182,FALSE),0)</f>
        <v>0</v>
      </c>
      <c r="CT182" s="313">
        <f>IFERROR(VLOOKUP(CT$1,'síť 2020'!$D$358:$G$621,$A182,FALSE),0)</f>
        <v>0</v>
      </c>
      <c r="CU182" s="313">
        <f>IFERROR(VLOOKUP(CU$1,'síť 2020'!$D$358:$G$621,$A182,FALSE),0)</f>
        <v>0</v>
      </c>
      <c r="CV182" s="313">
        <f>IFERROR(VLOOKUP(CV$1,'síť 2020'!$D$358:$G$621,$A182,FALSE),0)</f>
        <v>0</v>
      </c>
      <c r="CW182" s="313">
        <f>IFERROR(VLOOKUP(CW$1,'síť 2020'!$D$358:$G$621,$A182,FALSE),0)</f>
        <v>1</v>
      </c>
      <c r="CX182" s="313">
        <f>IFERROR(VLOOKUP(CX$1,'síť 2020'!$D$358:$G$621,$A182,FALSE),0)</f>
        <v>0</v>
      </c>
      <c r="CY182" s="313">
        <f>IFERROR(VLOOKUP(CY$1,'síť 2020'!$D$358:$G$621,$A182,FALSE),0)</f>
        <v>0</v>
      </c>
      <c r="CZ182" s="313">
        <f>IFERROR(VLOOKUP(CZ$1,'síť 2020'!$D$358:$G$621,$A182,FALSE),0)</f>
        <v>3</v>
      </c>
      <c r="DA182" s="313">
        <f>IFERROR(VLOOKUP(DA$1,'síť 2020'!$D$358:$G$621,$A182,FALSE),0)</f>
        <v>0</v>
      </c>
      <c r="DB182" s="313">
        <f>IFERROR(VLOOKUP(DB$1,'síť 2020'!$D$358:$G$621,$A182,FALSE),0)</f>
        <v>0</v>
      </c>
      <c r="DC182" s="313">
        <f>IFERROR(VLOOKUP(DC$1,'síť 2020'!$D$358:$G$621,$A182,FALSE),0)</f>
        <v>50</v>
      </c>
      <c r="DD182" s="313">
        <f>IFERROR(VLOOKUP(DD$1,'síť 2020'!$D$358:$G$621,$A182,FALSE),0)</f>
        <v>0</v>
      </c>
      <c r="DE182" s="313">
        <f>IFERROR(VLOOKUP(DE$1,'síť 2020'!$D$358:$G$621,$A182,FALSE),0)</f>
        <v>0</v>
      </c>
      <c r="DF182" s="313">
        <f>IFERROR(VLOOKUP(DF$1,'síť 2020'!$D$358:$G$621,$A182,FALSE),0)</f>
        <v>0</v>
      </c>
      <c r="DG182" s="313">
        <f>IFERROR(VLOOKUP(DG$1,'síť 2020'!$D$358:$G$621,$A182,FALSE),0)</f>
        <v>0</v>
      </c>
      <c r="DH182" s="313">
        <f>IFERROR(VLOOKUP(DH$1,'síť 2020'!$D$358:$G$621,$A182,FALSE),0)</f>
        <v>0</v>
      </c>
      <c r="DI182" s="313">
        <f>IFERROR(VLOOKUP(DI$1,'síť 2020'!$D$358:$G$621,$A182,FALSE),0)</f>
        <v>3</v>
      </c>
      <c r="DJ182" s="313">
        <f>IFERROR(VLOOKUP(DJ$1,'síť 2020'!$D$358:$G$621,$A182,FALSE),0)</f>
        <v>0</v>
      </c>
      <c r="DK182" s="313">
        <f>IFERROR(VLOOKUP(DK$1,'síť 2020'!$D$358:$G$621,$A182,FALSE),0)</f>
        <v>0</v>
      </c>
      <c r="DL182" s="313">
        <f>IFERROR(VLOOKUP(DL$1,'síť 2020'!$D$358:$G$621,$A182,FALSE),0)</f>
        <v>0</v>
      </c>
      <c r="DM182" s="313">
        <f>IFERROR(VLOOKUP(DM$1,'síť 2020'!$D$358:$G$621,$A182,FALSE),0)</f>
        <v>0</v>
      </c>
      <c r="DN182" s="313">
        <f>IFERROR(VLOOKUP(DN$1,'síť 2020'!$D$358:$G$621,$A182,FALSE),0)</f>
        <v>70</v>
      </c>
      <c r="DO182" s="313">
        <f>IFERROR(VLOOKUP(DO$1,'síť 2020'!$D$358:$G$621,$A182,FALSE),0)</f>
        <v>0</v>
      </c>
      <c r="DP182" s="313">
        <f>IFERROR(VLOOKUP(DP$1,'síť 2020'!$D$358:$G$621,$A182,FALSE),0)</f>
        <v>57</v>
      </c>
      <c r="DQ182" s="313">
        <f>IFERROR(VLOOKUP(DQ$1,'síť 2020'!$D$358:$G$621,$A182,FALSE),0)</f>
        <v>40</v>
      </c>
      <c r="DR182" s="313">
        <f>IFERROR(VLOOKUP(DR$1,'síť 2020'!$D$358:$G$621,$A182,FALSE),0)</f>
        <v>0</v>
      </c>
      <c r="DS182" s="313">
        <f>IFERROR(VLOOKUP(DS$1,'síť 2020'!$D$358:$G$621,$A182,FALSE),0)</f>
        <v>5</v>
      </c>
      <c r="DT182" s="313">
        <f>IFERROR(VLOOKUP(DT$1,'síť 2020'!$D$358:$G$621,$A182,FALSE),0)</f>
        <v>0</v>
      </c>
      <c r="DU182" s="313">
        <f>IFERROR(VLOOKUP(DU$1,'síť 2020'!$D$358:$G$621,$A182,FALSE),0)</f>
        <v>0</v>
      </c>
      <c r="DV182" s="313">
        <f>IFERROR(VLOOKUP(DV$1,'síť 2020'!$D$358:$G$621,$A182,FALSE),0)</f>
        <v>0</v>
      </c>
      <c r="DW182" s="313">
        <f>IFERROR(VLOOKUP(DW$1,'síť 2020'!$D$358:$G$621,$A182,FALSE),0)</f>
        <v>8</v>
      </c>
      <c r="DX182" s="313">
        <f>IFERROR(VLOOKUP(DX$1,'síť 2020'!$D$358:$G$621,$A182,FALSE),0)</f>
        <v>0</v>
      </c>
      <c r="DY182" s="313">
        <f>IFERROR(VLOOKUP(DY$1,'síť 2020'!$D$358:$G$621,$A182,FALSE),0)</f>
        <v>5</v>
      </c>
      <c r="DZ182" s="313">
        <f>IFERROR(VLOOKUP(DZ$1,'síť 2020'!$D$358:$G$621,$A182,FALSE),0)</f>
        <v>3</v>
      </c>
      <c r="EA182" s="313">
        <f>IFERROR(VLOOKUP(EA$1,'síť 2020'!$D$358:$G$621,$A182,FALSE),0)</f>
        <v>0</v>
      </c>
      <c r="EB182" s="313">
        <f>IFERROR(VLOOKUP(EB$1,'síť 2020'!$D$358:$G$621,$A182,FALSE),0)</f>
        <v>0</v>
      </c>
      <c r="EC182" s="313">
        <f>IFERROR(VLOOKUP(EC$1,'síť 2020'!$D$358:$G$621,$A182,FALSE),0)</f>
        <v>5</v>
      </c>
      <c r="ED182" s="313">
        <f>IFERROR(VLOOKUP(ED$1,'síť 2020'!$D$358:$G$621,$A182,FALSE),0)</f>
        <v>17</v>
      </c>
      <c r="EE182" s="313">
        <f>IFERROR(VLOOKUP(EE$1,'síť 2020'!$D$358:$G$621,$A182,FALSE),0)</f>
        <v>0</v>
      </c>
      <c r="EF182" s="313">
        <f>IFERROR(VLOOKUP(EF$1,'síť 2020'!$D$358:$G$621,$A182,FALSE),0)</f>
        <v>0</v>
      </c>
      <c r="EG182" s="313">
        <f>IFERROR(VLOOKUP(EG$1,'síť 2020'!$D$358:$G$621,$A182,FALSE),0)</f>
        <v>0</v>
      </c>
      <c r="EH182" s="313">
        <f>IFERROR(VLOOKUP(EH$1,'síť 2020'!$D$358:$G$621,$A182,FALSE),0)</f>
        <v>0</v>
      </c>
      <c r="EI182" s="313">
        <f>IFERROR(VLOOKUP(EI$1,'síť 2020'!$D$358:$G$621,$A182,FALSE),0)</f>
        <v>5</v>
      </c>
      <c r="EJ182" s="313">
        <f>IFERROR(VLOOKUP(EJ$1,'síť 2020'!$D$358:$G$621,$A182,FALSE),0)</f>
        <v>0</v>
      </c>
      <c r="EK182" s="313">
        <f>IFERROR(VLOOKUP(EK$1,'síť 2020'!$D$358:$G$621,$A182,FALSE),0)</f>
        <v>0</v>
      </c>
      <c r="EL182" s="313">
        <f>IFERROR(VLOOKUP(EL$1,'síť 2020'!$D$358:$G$621,$A182,FALSE),0)</f>
        <v>41</v>
      </c>
      <c r="EM182" s="313">
        <f>IFERROR(VLOOKUP(EM$1,'síť 2020'!$D$358:$G$621,$A182,FALSE),0)</f>
        <v>0</v>
      </c>
      <c r="EN182" s="313">
        <f>IFERROR(VLOOKUP(EN$1,'síť 2020'!$D$358:$G$621,$A182,FALSE),0)</f>
        <v>0</v>
      </c>
      <c r="EO182" s="313">
        <f>IFERROR(VLOOKUP(EO$1,'síť 2020'!$D$358:$G$621,$A182,FALSE),0)</f>
        <v>0</v>
      </c>
      <c r="EP182" s="313">
        <f>IFERROR(VLOOKUP(EP$1,'síť 2020'!$D$358:$G$621,$A182,FALSE),0)</f>
        <v>21</v>
      </c>
      <c r="EQ182" s="313">
        <f>IFERROR(VLOOKUP(EQ$1,'síť 2020'!$D$358:$G$621,$A182,FALSE),0)</f>
        <v>0</v>
      </c>
      <c r="ER182" s="313">
        <f>IFERROR(VLOOKUP(ER$1,'síť 2020'!$D$358:$G$621,$A182,FALSE),0)</f>
        <v>0</v>
      </c>
      <c r="ES182" s="313">
        <f>IFERROR(VLOOKUP(ES$1,'síť 2020'!$D$358:$G$621,$A182,FALSE),0)</f>
        <v>0</v>
      </c>
      <c r="ET182" s="313">
        <f>IFERROR(VLOOKUP(ET$1,'síť 2020'!$D$358:$G$621,$A182,FALSE),0)</f>
        <v>0</v>
      </c>
      <c r="EU182" s="313">
        <f>IFERROR(VLOOKUP(EU$1,'síť 2020'!$D$358:$G$621,$A182,FALSE),0)</f>
        <v>0</v>
      </c>
      <c r="EV182" s="313">
        <f>IFERROR(VLOOKUP(EV$1,'síť 2020'!$D$358:$G$621,$A182,FALSE),0)</f>
        <v>0</v>
      </c>
      <c r="EW182" s="313">
        <f>IFERROR(VLOOKUP(EW$1,'síť 2020'!$D$358:$G$621,$A182,FALSE),0)</f>
        <v>0</v>
      </c>
      <c r="EX182" s="313">
        <f>IFERROR(VLOOKUP(EX$1,'síť 2020'!$D$358:$G$621,$A182,FALSE),0)</f>
        <v>0</v>
      </c>
      <c r="EY182" s="313">
        <f>IFERROR(VLOOKUP(EY$1,'síť 2020'!$D$358:$G$621,$A182,FALSE),0)</f>
        <v>0</v>
      </c>
      <c r="EZ182" s="313">
        <f>IFERROR(VLOOKUP(EZ$1,'síť 2020'!$D$358:$G$621,$A182,FALSE),0)</f>
        <v>0</v>
      </c>
      <c r="FA182" s="313">
        <f>IFERROR(VLOOKUP(FA$1,'síť 2020'!$D$358:$G$621,$A182,FALSE),0)</f>
        <v>0</v>
      </c>
      <c r="FB182" s="313">
        <f>IFERROR(VLOOKUP(FB$1,'síť 2020'!$D$358:$G$621,$A182,FALSE),0)</f>
        <v>0</v>
      </c>
      <c r="FC182" s="313">
        <f>IFERROR(VLOOKUP(FC$1,'síť 2020'!$D$358:$G$621,$A182,FALSE),0)</f>
        <v>11</v>
      </c>
      <c r="FD182" s="313">
        <f>IFERROR(VLOOKUP(FD$1,'síť 2020'!$D$358:$G$621,$A182,FALSE),0)</f>
        <v>0</v>
      </c>
      <c r="FE182" s="313">
        <f>IFERROR(VLOOKUP(FE$1,'síť 2020'!$D$358:$G$621,$A182,FALSE),0)</f>
        <v>0</v>
      </c>
      <c r="FF182" s="313">
        <f>IFERROR(VLOOKUP(FF$1,'síť 2020'!$D$358:$G$621,$A182,FALSE),0)</f>
        <v>0</v>
      </c>
      <c r="FG182" s="313">
        <f>IFERROR(VLOOKUP(FG$1,'síť 2020'!$D$358:$G$621,$A182,FALSE),0)</f>
        <v>0</v>
      </c>
      <c r="FH182" s="313">
        <f>IFERROR(VLOOKUP(FH$1,'síť 2020'!$D$358:$G$621,$A182,FALSE),0)</f>
        <v>0</v>
      </c>
      <c r="FI182" s="313">
        <f>IFERROR(VLOOKUP(FI$1,'síť 2020'!$D$358:$G$621,$A182,FALSE),0)</f>
        <v>0</v>
      </c>
      <c r="FJ182" s="313">
        <f>IFERROR(VLOOKUP(FJ$1,'síť 2020'!$D$358:$G$621,$A182,FALSE),0)</f>
        <v>0</v>
      </c>
      <c r="FK182" s="313">
        <f>IFERROR(VLOOKUP(FK$1,'síť 2020'!$D$358:$G$621,$A182,FALSE),0)</f>
        <v>0</v>
      </c>
      <c r="FL182" s="313">
        <f>IFERROR(VLOOKUP(FL$1,'síť 2020'!$D$358:$G$621,$A182,FALSE),0)</f>
        <v>12</v>
      </c>
      <c r="FM182" s="313">
        <f>IFERROR(VLOOKUP(FM$1,'síť 2020'!$D$358:$G$621,$A182,FALSE),0)</f>
        <v>0</v>
      </c>
      <c r="FN182" s="313">
        <f>IFERROR(VLOOKUP(FN$1,'síť 2020'!$D$358:$G$621,$A182,FALSE),0)</f>
        <v>0</v>
      </c>
      <c r="FO182" s="313">
        <f>IFERROR(VLOOKUP(FO$1,'síť 2020'!$D$358:$G$621,$A182,FALSE),0)</f>
        <v>20</v>
      </c>
      <c r="FP182" s="313">
        <f>IFERROR(VLOOKUP(FP$1,'síť 2020'!$D$358:$G$621,$A182,FALSE),0)</f>
        <v>0</v>
      </c>
      <c r="FQ182" s="313">
        <f>IFERROR(VLOOKUP(FQ$1,'síť 2020'!$D$358:$G$621,$A182,FALSE),0)</f>
        <v>0</v>
      </c>
      <c r="FR182" s="313">
        <f>IFERROR(VLOOKUP(FR$1,'síť 2020'!$D$358:$G$621,$A182,FALSE),0)</f>
        <v>0</v>
      </c>
      <c r="FS182" s="313">
        <f>IFERROR(VLOOKUP(FS$1,'síť 2020'!$D$358:$G$621,$A182,FALSE),0)</f>
        <v>0</v>
      </c>
      <c r="FT182" s="313">
        <f>IFERROR(VLOOKUP(FT$1,'síť 2020'!$D$358:$G$621,$A182,FALSE),0)</f>
        <v>0</v>
      </c>
      <c r="FU182" s="313">
        <f>IFERROR(VLOOKUP(FU$1,'síť 2020'!$D$358:$G$621,$A182,FALSE),0)</f>
        <v>9</v>
      </c>
      <c r="FV182" s="313">
        <f>IFERROR(VLOOKUP(FV$1,'síť 2020'!$D$358:$G$621,$A182,FALSE),0)</f>
        <v>0</v>
      </c>
      <c r="FW182" s="313">
        <f>IFERROR(VLOOKUP(FW$1,'síť 2020'!$D$358:$G$621,$A182,FALSE),0)</f>
        <v>0</v>
      </c>
      <c r="FX182" s="313">
        <f>IFERROR(VLOOKUP(FX$1,'síť 2020'!$D$358:$G$621,$A182,FALSE),0)</f>
        <v>0</v>
      </c>
      <c r="FY182" s="313">
        <f>IFERROR(VLOOKUP(FY$1,'síť 2020'!$D$358:$G$621,$A182,FALSE),0)</f>
        <v>0</v>
      </c>
      <c r="FZ182" s="313">
        <f>IFERROR(VLOOKUP(FZ$1,'síť 2020'!$D$358:$G$621,$A182,FALSE),0)</f>
        <v>0</v>
      </c>
      <c r="GA182" s="313">
        <f>IFERROR(VLOOKUP(GA$1,'síť 2020'!$D$358:$G$621,$A182,FALSE),0)</f>
        <v>0</v>
      </c>
      <c r="GB182" s="313">
        <f>IFERROR(VLOOKUP(GB$1,'síť 2020'!$D$358:$G$621,$A182,FALSE),0)</f>
        <v>0</v>
      </c>
      <c r="GC182" s="313">
        <f>IFERROR(VLOOKUP(GC$1,'síť 2020'!$D$358:$G$621,$A182,FALSE),0)</f>
        <v>0</v>
      </c>
      <c r="GD182" s="313">
        <f>IFERROR(VLOOKUP(GD$1,'síť 2020'!$D$358:$G$621,$A182,FALSE),0)</f>
        <v>0</v>
      </c>
      <c r="GE182" s="313">
        <f>IFERROR(VLOOKUP(GE$1,'síť 2020'!$D$358:$G$621,$A182,FALSE),0)</f>
        <v>25</v>
      </c>
      <c r="GF182" s="313">
        <f>IFERROR(VLOOKUP(GF$1,'síť 2020'!$D$358:$G$621,$A182,FALSE),0)</f>
        <v>0</v>
      </c>
      <c r="GG182" s="313">
        <f>IFERROR(VLOOKUP(GG$1,'síť 2020'!$D$358:$G$621,$A182,FALSE),0)</f>
        <v>0</v>
      </c>
      <c r="GH182" s="313">
        <f>IFERROR(VLOOKUP(GH$1,'síť 2020'!$D$358:$G$621,$A182,FALSE),0)</f>
        <v>15</v>
      </c>
      <c r="GI182" s="313">
        <f>IFERROR(VLOOKUP(GI$1,'síť 2020'!$D$358:$G$621,$A182,FALSE),0)</f>
        <v>0</v>
      </c>
      <c r="GJ182" s="313">
        <f>IFERROR(VLOOKUP(GJ$1,'síť 2020'!$D$358:$G$621,$A182,FALSE),0)</f>
        <v>0</v>
      </c>
      <c r="GK182" s="313">
        <f>IFERROR(VLOOKUP(GK$1,'síť 2020'!$D$358:$G$621,$A182,FALSE),0)</f>
        <v>0</v>
      </c>
      <c r="GL182" s="313">
        <f>IFERROR(VLOOKUP(GL$1,'síť 2020'!$D$358:$G$621,$A182,FALSE),0)</f>
        <v>14</v>
      </c>
      <c r="GM182" s="313">
        <f>IFERROR(VLOOKUP(GM$1,'síť 2020'!$D$358:$G$621,$A182,FALSE),0)</f>
        <v>20</v>
      </c>
      <c r="GN182" s="313">
        <f>IFERROR(VLOOKUP(GN$1,'síť 2020'!$D$358:$G$621,$A182,FALSE),0)</f>
        <v>0</v>
      </c>
      <c r="GO182" s="313">
        <f>IFERROR(VLOOKUP(GO$1,'síť 2020'!$D$358:$G$621,$A182,FALSE),0)</f>
        <v>0</v>
      </c>
      <c r="GP182" s="313">
        <f>IFERROR(VLOOKUP(GP$1,'síť 2020'!$D$358:$G$621,$A182,FALSE),0)</f>
        <v>0</v>
      </c>
      <c r="GQ182" s="313">
        <f>IFERROR(VLOOKUP(GQ$1,'síť 2020'!$D$358:$G$621,$A182,FALSE),0)</f>
        <v>0</v>
      </c>
      <c r="GR182" s="313">
        <f>IFERROR(VLOOKUP(GR$1,'síť 2020'!$D$358:$G$621,$A182,FALSE),0)</f>
        <v>3</v>
      </c>
      <c r="GS182" s="313">
        <f>IFERROR(VLOOKUP(GS$1,'síť 2020'!$D$358:$G$621,$A182,FALSE),0)</f>
        <v>0</v>
      </c>
      <c r="GT182" s="313">
        <f>IFERROR(VLOOKUP(GT$1,'síť 2020'!$D$358:$G$621,$A182,FALSE),0)</f>
        <v>0</v>
      </c>
      <c r="GU182" s="313">
        <f>IFERROR(VLOOKUP(GU$1,'síť 2020'!$D$358:$G$621,$A182,FALSE),0)</f>
        <v>20</v>
      </c>
      <c r="GV182" s="313">
        <f>IFERROR(VLOOKUP(GV$1,'síť 2020'!$D$358:$G$621,$A182,FALSE),0)</f>
        <v>0</v>
      </c>
      <c r="GW182" s="313">
        <f>IFERROR(VLOOKUP(GW$1,'síť 2020'!$D$358:$G$621,$A182,FALSE),0)</f>
        <v>0</v>
      </c>
      <c r="GX182" s="313">
        <f>IFERROR(VLOOKUP(GX$1,'síť 2020'!$D$358:$G$621,$A182,FALSE),0)</f>
        <v>0</v>
      </c>
      <c r="GY182" s="313">
        <f>IFERROR(VLOOKUP(GY$1,'síť 2020'!$D$358:$G$621,$A182,FALSE),0)</f>
        <v>0</v>
      </c>
      <c r="GZ182" s="313">
        <f>IFERROR(VLOOKUP(GZ$1,'síť 2020'!$D$358:$G$621,$A182,FALSE),0)</f>
        <v>0</v>
      </c>
      <c r="HA182" s="313">
        <f>IFERROR(VLOOKUP(HA$1,'síť 2020'!$D$358:$G$621,$A182,FALSE),0)</f>
        <v>0</v>
      </c>
      <c r="HB182" s="313">
        <f>IFERROR(VLOOKUP(HB$1,'síť 2020'!$D$358:$G$621,$A182,FALSE),0)</f>
        <v>65</v>
      </c>
      <c r="HC182" s="313">
        <f>IFERROR(VLOOKUP(HC$1,'síť 2020'!$D$358:$G$621,$A182,FALSE),0)</f>
        <v>0</v>
      </c>
      <c r="HD182" s="313">
        <f>IFERROR(VLOOKUP(HD$1,'síť 2020'!$D$358:$G$621,$A182,FALSE),0)</f>
        <v>0</v>
      </c>
      <c r="HE182" s="313">
        <f>IFERROR(VLOOKUP(HE$1,'síť 2020'!$D$358:$G$621,$A182,FALSE),0)</f>
        <v>0</v>
      </c>
      <c r="HF182" s="313">
        <f>IFERROR(VLOOKUP(HF$1,'síť 2020'!$D$358:$G$621,$A182,FALSE),0)</f>
        <v>0</v>
      </c>
      <c r="HG182" s="313">
        <f>IFERROR(VLOOKUP(HG$1,'síť 2020'!$D$358:$G$621,$A182,FALSE),0)</f>
        <v>10</v>
      </c>
      <c r="HH182" s="313">
        <f>IFERROR(VLOOKUP(HH$1,'síť 2020'!$D$358:$G$621,$A182,FALSE),0)</f>
        <v>0</v>
      </c>
      <c r="HI182" s="313">
        <f>IFERROR(VLOOKUP(HI$1,'síť 2020'!$D$358:$G$621,$A182,FALSE),0)</f>
        <v>0</v>
      </c>
      <c r="HJ182" s="313">
        <f>IFERROR(VLOOKUP(HJ$1,'síť 2020'!$D$358:$G$621,$A182,FALSE),0)</f>
        <v>0</v>
      </c>
      <c r="HK182" s="313">
        <f>IFERROR(VLOOKUP(HK$1,'síť 2020'!$D$358:$G$621,$A182,FALSE),0)</f>
        <v>0</v>
      </c>
      <c r="HL182" s="313">
        <f>IFERROR(VLOOKUP(HL$1,'síť 2020'!$D$358:$G$621,$A182,FALSE),0)</f>
        <v>0</v>
      </c>
      <c r="HM182" s="313">
        <f>IFERROR(VLOOKUP(HM$1,'síť 2020'!$D$358:$G$621,$A182,FALSE),0)</f>
        <v>0</v>
      </c>
      <c r="HN182" s="313">
        <f>IFERROR(VLOOKUP(HN$1,'síť 2020'!$D$358:$G$621,$A182,FALSE),0)</f>
        <v>1</v>
      </c>
      <c r="HO182" s="313">
        <f>IFERROR(VLOOKUP(HO$1,'síť 2020'!$D$358:$G$621,$A182,FALSE),0)</f>
        <v>0</v>
      </c>
      <c r="HP182" s="313">
        <f>IFERROR(VLOOKUP(HP$1,'síť 2020'!$D$358:$G$621,$A182,FALSE),0)</f>
        <v>0</v>
      </c>
      <c r="HQ182" s="313">
        <f>IFERROR(VLOOKUP(HQ$1,'síť 2020'!$D$358:$G$621,$A182,FALSE),0)</f>
        <v>5</v>
      </c>
      <c r="HR182" s="313">
        <f>IFERROR(VLOOKUP(HR$1,'síť 2020'!$D$358:$G$621,$A182,FALSE),0)</f>
        <v>0</v>
      </c>
      <c r="HS182" s="313">
        <f>IFERROR(VLOOKUP(HS$1,'síť 2020'!$D$358:$G$621,$A182,FALSE),0)</f>
        <v>0</v>
      </c>
      <c r="HT182" s="313">
        <f>IFERROR(VLOOKUP(HT$1,'síť 2020'!$D$358:$G$621,$A182,FALSE),0)</f>
        <v>0</v>
      </c>
      <c r="HU182" s="313">
        <f>IFERROR(VLOOKUP(HU$1,'síť 2020'!$D$358:$G$621,$A182,FALSE),0)</f>
        <v>0</v>
      </c>
      <c r="HV182" s="313">
        <f>IFERROR(VLOOKUP(HV$1,'síť 2020'!$D$358:$G$621,$A182,FALSE),0)</f>
        <v>0</v>
      </c>
      <c r="HW182" s="313">
        <f>IFERROR(VLOOKUP(HW$1,'síť 2020'!$D$358:$G$621,$A182,FALSE),0)</f>
        <v>0</v>
      </c>
      <c r="HX182" s="313">
        <f>IFERROR(VLOOKUP(HX$1,'síť 2020'!$D$358:$G$621,$A182,FALSE),0)</f>
        <v>0</v>
      </c>
      <c r="HY182" s="313">
        <f>IFERROR(VLOOKUP(HY$1,'síť 2020'!$D$358:$G$621,$A182,FALSE),0)</f>
        <v>0</v>
      </c>
      <c r="HZ182" s="313">
        <f>IFERROR(VLOOKUP(HZ$1,'síť 2020'!$D$358:$G$621,$A182,FALSE),0)</f>
        <v>0</v>
      </c>
      <c r="IA182" s="313">
        <f>IFERROR(VLOOKUP(IA$1,'síť 2020'!$D$358:$G$621,$A182,FALSE),0)</f>
        <v>0</v>
      </c>
      <c r="IB182" s="313">
        <f>IFERROR(VLOOKUP(IB$1,'síť 2020'!$D$358:$G$621,$A182,FALSE),0)</f>
        <v>0</v>
      </c>
      <c r="IC182" s="313">
        <f>IFERROR(VLOOKUP(IC$1,'síť 2020'!$D$358:$G$621,$A182,FALSE),0)</f>
        <v>0</v>
      </c>
      <c r="ID182" s="313">
        <f>IFERROR(VLOOKUP(ID$1,'síť 2020'!$D$358:$G$621,$A182,FALSE),0)</f>
        <v>0</v>
      </c>
      <c r="IE182" s="313">
        <f>IFERROR(VLOOKUP(IE$1,'síť 2020'!$D$358:$G$621,$A182,FALSE),0)</f>
        <v>0</v>
      </c>
      <c r="IF182" s="313">
        <f>IFERROR(VLOOKUP(IF$1,'síť 2020'!$D$358:$G$621,$A182,FALSE),0)</f>
        <v>0</v>
      </c>
      <c r="IG182" s="313">
        <f>IFERROR(VLOOKUP(IG$1,'síť 2020'!$D$358:$G$621,$A182,FALSE),0)</f>
        <v>0</v>
      </c>
      <c r="IH182" s="313">
        <f>IFERROR(VLOOKUP(IH$1,'síť 2020'!$D$358:$G$621,$A182,FALSE),0)</f>
        <v>0</v>
      </c>
      <c r="II182" s="313">
        <f>IFERROR(VLOOKUP(II$1,'síť 2020'!$D$358:$G$621,$A182,FALSE),0)</f>
        <v>0</v>
      </c>
      <c r="IJ182" s="313">
        <f>IFERROR(VLOOKUP(IJ$1,'síť 2020'!$D$358:$G$621,$A182,FALSE),0)</f>
        <v>0</v>
      </c>
      <c r="IK182" s="313">
        <f>IFERROR(VLOOKUP(IK$1,'síť 2020'!$D$358:$G$621,$A182,FALSE),0)</f>
        <v>15</v>
      </c>
      <c r="IL182" s="313">
        <f>IFERROR(VLOOKUP(IL$1,'síť 2020'!$D$358:$G$621,$A182,FALSE),0)</f>
        <v>0</v>
      </c>
      <c r="IM182" s="313">
        <f>IFERROR(VLOOKUP(IM$1,'síť 2020'!$D$358:$G$621,$A182,FALSE),0)</f>
        <v>0</v>
      </c>
      <c r="IN182" s="313">
        <f>IFERROR(VLOOKUP(IN$1,'síť 2020'!$D$358:$G$621,$A182,FALSE),0)</f>
        <v>0</v>
      </c>
      <c r="IO182" s="313">
        <f>IFERROR(VLOOKUP(IO$1,'síť 2020'!$D$358:$G$621,$A182,FALSE),0)</f>
        <v>0</v>
      </c>
      <c r="IP182" s="313">
        <f>IFERROR(VLOOKUP(IP$1,'síť 2020'!$D$358:$G$621,$A182,FALSE),0)</f>
        <v>0</v>
      </c>
      <c r="IQ182" s="313">
        <f>IFERROR(VLOOKUP(IQ$1,'síť 2020'!$D$358:$G$621,$A182,FALSE),0)</f>
        <v>0</v>
      </c>
      <c r="IR182" s="313">
        <f>IFERROR(VLOOKUP(IR$1,'síť 2020'!$D$358:$G$621,$A182,FALSE),0)</f>
        <v>0</v>
      </c>
      <c r="IS182" s="313">
        <f>IFERROR(VLOOKUP(IS$1,'síť 2020'!$D$358:$G$621,$A182,FALSE),0)</f>
        <v>0</v>
      </c>
      <c r="IT182" s="313">
        <f>IFERROR(VLOOKUP(IT$1,'síť 2020'!$D$358:$G$621,$A182,FALSE),0)</f>
        <v>0</v>
      </c>
      <c r="IU182" s="313">
        <f>IFERROR(VLOOKUP(IU$1,'síť 2020'!$D$358:$G$621,$A182,FALSE),0)</f>
        <v>0</v>
      </c>
      <c r="IV182" s="313">
        <f>IFERROR(VLOOKUP(IV$1,'síť 2020'!$D$358:$G$621,$A182,FALSE),0)</f>
        <v>0</v>
      </c>
      <c r="IW182" s="313">
        <f>IFERROR(VLOOKUP(IW$1,'síť 2020'!$D$358:$G$621,$A182,FALSE),0)</f>
        <v>0</v>
      </c>
      <c r="IX182" s="313">
        <f>IFERROR(VLOOKUP(IX$1,'síť 2020'!$D$358:$G$621,$A182,FALSE),0)</f>
        <v>0</v>
      </c>
      <c r="IY182" s="313">
        <f>IFERROR(VLOOKUP(IY$1,'síť 2020'!$D$358:$G$621,$A182,FALSE),0)</f>
        <v>0</v>
      </c>
      <c r="IZ182" s="313">
        <f>IFERROR(VLOOKUP(IZ$1,'síť 2020'!$D$358:$G$621,$A182,FALSE),0)</f>
        <v>0</v>
      </c>
      <c r="JA182" s="313">
        <f>IFERROR(VLOOKUP(JA$1,'síť 2020'!$D$358:$G$621,$A182,FALSE),0)</f>
        <v>0</v>
      </c>
      <c r="JB182" s="313">
        <f>IFERROR(VLOOKUP(JB$1,'síť 2020'!$D$358:$G$621,$A182,FALSE),0)</f>
        <v>9</v>
      </c>
      <c r="JC182" s="313">
        <f>IFERROR(VLOOKUP(JC$1,'síť 2020'!$D$358:$G$621,$A182,FALSE),0)</f>
        <v>30</v>
      </c>
      <c r="JD182" s="313">
        <f>IFERROR(VLOOKUP(JD$1,'síť 2020'!$D$358:$G$621,$A182,FALSE),0)</f>
        <v>0</v>
      </c>
      <c r="JE182" s="313">
        <f>IFERROR(VLOOKUP(JE$1,'síť 2020'!$D$358:$G$621,$A182,FALSE),0)</f>
        <v>0</v>
      </c>
      <c r="JF182" s="313">
        <f>IFERROR(VLOOKUP(JF$1,'síť 2020'!$D$358:$G$621,$A182,FALSE),0)</f>
        <v>0</v>
      </c>
      <c r="JG182" s="313">
        <f>IFERROR(VLOOKUP(JG$1,'síť 2020'!$D$358:$G$621,$A182,FALSE),0)</f>
        <v>0</v>
      </c>
      <c r="JH182" s="313">
        <f>IFERROR(VLOOKUP(JH$1,'síť 2020'!$D$358:$G$621,$A182,FALSE),0)</f>
        <v>3</v>
      </c>
    </row>
    <row r="183" spans="1:269" x14ac:dyDescent="0.25">
      <c r="AX183" s="314"/>
      <c r="AY183" s="314"/>
      <c r="AZ183" s="314"/>
    </row>
    <row r="184" spans="1:269" s="307" customFormat="1" x14ac:dyDescent="0.25">
      <c r="A184" s="314"/>
      <c r="B184" s="314"/>
      <c r="C184" s="314"/>
      <c r="D184" s="314"/>
      <c r="E184" s="314"/>
      <c r="F184" s="314"/>
      <c r="G184" s="314"/>
      <c r="H184" s="314"/>
      <c r="I184" s="314"/>
      <c r="J184" s="314"/>
      <c r="K184" s="314"/>
      <c r="L184" s="314"/>
      <c r="M184" s="314"/>
      <c r="N184" s="314"/>
      <c r="O184" s="314"/>
      <c r="P184" s="314"/>
      <c r="Q184" s="314"/>
      <c r="R184" s="314"/>
      <c r="S184" s="314"/>
      <c r="T184" s="314"/>
      <c r="U184" s="314"/>
      <c r="V184" s="314"/>
      <c r="W184" s="314"/>
      <c r="X184" s="314"/>
      <c r="Y184" s="314"/>
      <c r="Z184" s="314"/>
      <c r="AA184" s="314"/>
      <c r="AB184" s="314"/>
      <c r="AC184" s="314"/>
      <c r="AD184" s="314"/>
      <c r="AE184" s="314"/>
      <c r="AF184" s="314"/>
      <c r="AG184" s="314"/>
      <c r="AH184" s="314"/>
      <c r="AI184" s="314"/>
      <c r="AJ184" s="314"/>
      <c r="AK184" s="314"/>
      <c r="AL184" s="314"/>
      <c r="AM184" s="314"/>
      <c r="AN184" s="314"/>
      <c r="AO184" s="314"/>
      <c r="AP184" s="314"/>
      <c r="AQ184" s="314"/>
      <c r="AR184" s="314"/>
      <c r="AS184" s="314"/>
      <c r="AT184" s="314"/>
      <c r="AU184" s="314"/>
      <c r="AV184" s="314"/>
      <c r="AW184" s="314"/>
      <c r="AX184" s="314"/>
      <c r="AY184" s="314"/>
      <c r="AZ184" s="314"/>
      <c r="BA184" s="314"/>
      <c r="BB184" s="314"/>
      <c r="BC184" s="314"/>
      <c r="BD184" s="314"/>
      <c r="BE184" s="314"/>
      <c r="BF184" s="314"/>
      <c r="BG184" s="314"/>
      <c r="BH184" s="314"/>
      <c r="BI184" s="314"/>
      <c r="BJ184" s="314"/>
      <c r="BK184" s="314"/>
      <c r="BL184" s="314"/>
      <c r="BM184" s="314"/>
      <c r="BN184" s="314"/>
      <c r="BO184" s="314"/>
      <c r="BP184" s="314"/>
      <c r="BQ184" s="314"/>
      <c r="BR184" s="314"/>
      <c r="BS184" s="314"/>
      <c r="BT184" s="314"/>
      <c r="BU184" s="314"/>
      <c r="BV184" s="314"/>
      <c r="BW184" s="314"/>
      <c r="BX184" s="314"/>
      <c r="BY184" s="314"/>
      <c r="BZ184" s="314"/>
      <c r="CA184" s="314"/>
      <c r="CB184" s="314"/>
      <c r="CC184" s="314"/>
      <c r="CD184" s="314"/>
      <c r="CE184" s="314"/>
      <c r="CF184" s="314"/>
      <c r="CG184" s="314"/>
      <c r="CH184" s="314"/>
      <c r="CI184" s="314"/>
      <c r="CJ184" s="314"/>
      <c r="CK184" s="314"/>
      <c r="CL184" s="314"/>
      <c r="CM184" s="314"/>
      <c r="CN184" s="314"/>
      <c r="CO184" s="314"/>
      <c r="CP184" s="314"/>
      <c r="CQ184" s="314"/>
      <c r="CR184" s="314"/>
      <c r="CS184" s="314"/>
      <c r="CT184" s="314"/>
      <c r="CU184" s="314"/>
      <c r="CV184" s="314"/>
      <c r="CW184" s="314"/>
      <c r="CX184" s="314"/>
      <c r="CY184" s="314"/>
      <c r="CZ184" s="314"/>
      <c r="DA184" s="314"/>
      <c r="DB184" s="314"/>
      <c r="DC184" s="314"/>
      <c r="DD184" s="314"/>
      <c r="DE184" s="314"/>
      <c r="DF184" s="314"/>
      <c r="DG184" s="314"/>
      <c r="DH184" s="314"/>
      <c r="DI184" s="314"/>
      <c r="DJ184" s="314"/>
      <c r="DK184" s="314"/>
      <c r="DL184" s="314"/>
      <c r="DM184" s="314"/>
      <c r="DN184" s="314"/>
      <c r="DO184" s="314"/>
      <c r="DP184" s="314"/>
      <c r="DQ184" s="314"/>
      <c r="DR184" s="314"/>
      <c r="DS184" s="314"/>
      <c r="DT184" s="314"/>
      <c r="DU184" s="314"/>
      <c r="DV184" s="314"/>
      <c r="DW184" s="314"/>
      <c r="DX184" s="314"/>
      <c r="DY184" s="314"/>
      <c r="DZ184" s="314"/>
      <c r="EA184" s="314"/>
      <c r="EB184" s="314"/>
      <c r="EC184" s="314"/>
      <c r="ED184" s="314"/>
      <c r="EE184" s="314"/>
      <c r="EF184" s="314"/>
      <c r="EG184" s="314"/>
      <c r="EH184" s="314"/>
      <c r="EI184" s="314"/>
      <c r="EJ184" s="314"/>
      <c r="EK184" s="314"/>
      <c r="EL184" s="314"/>
      <c r="EM184" s="314"/>
      <c r="EN184" s="314"/>
      <c r="EO184" s="314"/>
      <c r="EP184" s="314"/>
      <c r="EQ184" s="314"/>
      <c r="ER184" s="314"/>
      <c r="ES184" s="314"/>
      <c r="ET184" s="314"/>
      <c r="EU184" s="314"/>
      <c r="EV184" s="314"/>
      <c r="EW184" s="314"/>
      <c r="EX184" s="314"/>
      <c r="EY184" s="314"/>
      <c r="EZ184" s="314"/>
      <c r="FA184" s="314"/>
      <c r="FB184" s="314"/>
      <c r="FC184" s="314"/>
      <c r="FD184" s="314"/>
      <c r="FE184" s="314"/>
      <c r="FF184" s="314"/>
      <c r="FG184" s="314"/>
      <c r="FH184" s="314"/>
      <c r="FI184" s="314"/>
      <c r="FJ184" s="314"/>
      <c r="FK184" s="314"/>
      <c r="FL184" s="314"/>
      <c r="FM184" s="314"/>
      <c r="FN184" s="314"/>
      <c r="FO184" s="314"/>
      <c r="FP184" s="314"/>
      <c r="FQ184" s="314"/>
      <c r="FR184" s="314"/>
      <c r="FS184" s="314"/>
      <c r="FT184" s="314"/>
      <c r="FU184" s="314"/>
      <c r="FV184" s="314"/>
      <c r="FW184" s="314"/>
      <c r="FX184" s="314"/>
      <c r="FY184" s="314"/>
      <c r="FZ184" s="314"/>
      <c r="GA184" s="314"/>
      <c r="GB184" s="314"/>
      <c r="GC184" s="314"/>
      <c r="GD184" s="314"/>
      <c r="GE184" s="314"/>
      <c r="GF184" s="314"/>
      <c r="GG184" s="314"/>
      <c r="GH184" s="314"/>
      <c r="GI184" s="314"/>
      <c r="GJ184" s="314"/>
      <c r="GK184" s="314"/>
      <c r="GL184" s="314"/>
      <c r="GM184" s="314"/>
      <c r="GN184" s="314"/>
      <c r="GO184" s="314"/>
      <c r="GP184" s="314"/>
      <c r="GQ184" s="314"/>
      <c r="GR184" s="314"/>
      <c r="GS184" s="314"/>
      <c r="GT184" s="314"/>
      <c r="GU184" s="314"/>
      <c r="GV184" s="314"/>
      <c r="GW184" s="314"/>
      <c r="GX184" s="314"/>
      <c r="GY184" s="314"/>
      <c r="GZ184" s="314"/>
      <c r="HA184" s="314"/>
      <c r="HB184" s="314"/>
      <c r="HC184" s="314"/>
      <c r="HD184" s="314"/>
      <c r="HE184" s="314"/>
      <c r="HF184" s="314"/>
      <c r="HG184" s="314"/>
      <c r="HH184" s="314"/>
      <c r="HI184" s="314"/>
      <c r="HJ184" s="314"/>
      <c r="HK184" s="314"/>
      <c r="HL184" s="314"/>
      <c r="HM184" s="314"/>
      <c r="HN184" s="314"/>
      <c r="HO184" s="314"/>
      <c r="HP184" s="314"/>
      <c r="HQ184" s="314"/>
      <c r="HR184" s="314"/>
      <c r="HS184" s="314"/>
      <c r="HT184" s="314"/>
      <c r="HU184" s="314"/>
      <c r="HV184" s="314"/>
      <c r="HW184" s="314"/>
      <c r="HX184" s="314"/>
      <c r="HY184" s="314"/>
      <c r="HZ184" s="314"/>
      <c r="IA184" s="314"/>
      <c r="IB184" s="314"/>
      <c r="IC184" s="314"/>
      <c r="ID184" s="314"/>
      <c r="IE184" s="314"/>
      <c r="IF184" s="314"/>
      <c r="IG184" s="314"/>
      <c r="IH184" s="314"/>
      <c r="II184" s="314"/>
      <c r="IJ184" s="314"/>
      <c r="IK184" s="314"/>
      <c r="IL184" s="314"/>
      <c r="IM184" s="314"/>
      <c r="IN184" s="314"/>
      <c r="IO184" s="314"/>
      <c r="IP184" s="314"/>
      <c r="IQ184" s="314"/>
      <c r="IR184" s="314"/>
      <c r="IS184" s="314"/>
      <c r="IT184" s="314"/>
      <c r="IU184" s="314"/>
      <c r="IV184" s="314"/>
      <c r="IW184" s="314"/>
      <c r="IX184" s="314"/>
      <c r="IY184" s="314"/>
      <c r="IZ184" s="314"/>
      <c r="JA184" s="314"/>
      <c r="JB184" s="314"/>
      <c r="JC184" s="314"/>
      <c r="JD184" s="314"/>
      <c r="JE184" s="314"/>
      <c r="JF184" s="314"/>
      <c r="JG184" s="314"/>
      <c r="JH184" s="314"/>
      <c r="JI184" s="314"/>
    </row>
    <row r="185" spans="1:269" x14ac:dyDescent="0.25">
      <c r="C185" s="314"/>
      <c r="D185" s="314"/>
      <c r="E185" s="314"/>
      <c r="F185" s="314"/>
      <c r="G185" s="314"/>
      <c r="H185" s="314"/>
      <c r="I185" s="314"/>
      <c r="J185" s="314"/>
      <c r="K185" s="314"/>
      <c r="L185" s="314"/>
      <c r="M185" s="314"/>
      <c r="N185" s="314"/>
      <c r="O185" s="314"/>
      <c r="P185" s="314"/>
      <c r="Q185" s="314"/>
      <c r="R185" s="314"/>
      <c r="S185" s="314"/>
      <c r="T185" s="314"/>
      <c r="U185" s="314"/>
      <c r="V185" s="314"/>
      <c r="W185" s="314"/>
      <c r="X185" s="314"/>
      <c r="Y185" s="314"/>
      <c r="Z185" s="314"/>
      <c r="AA185" s="314"/>
      <c r="AB185" s="314"/>
      <c r="AC185" s="314"/>
      <c r="AD185" s="314"/>
      <c r="AE185" s="314"/>
      <c r="AF185" s="314"/>
      <c r="AG185" s="314"/>
      <c r="AH185" s="314"/>
      <c r="AI185" s="314"/>
      <c r="AJ185" s="314"/>
      <c r="AK185" s="314"/>
      <c r="AL185" s="314"/>
      <c r="AM185" s="314"/>
      <c r="AN185" s="314"/>
      <c r="AO185" s="314"/>
      <c r="AP185" s="314"/>
      <c r="AQ185" s="314"/>
      <c r="AR185" s="314"/>
      <c r="AS185" s="314"/>
      <c r="AT185" s="314"/>
      <c r="AU185" s="314"/>
      <c r="AV185" s="314"/>
      <c r="AW185" s="314"/>
      <c r="AX185" s="314"/>
      <c r="AY185" s="314"/>
      <c r="AZ185" s="314"/>
      <c r="BA185" s="314"/>
      <c r="BB185" s="314"/>
      <c r="BC185" s="314"/>
      <c r="BD185" s="314"/>
      <c r="BE185" s="314"/>
      <c r="BF185" s="314"/>
      <c r="BG185" s="314"/>
      <c r="BH185" s="314"/>
      <c r="BI185" s="314"/>
      <c r="BJ185" s="314"/>
      <c r="BK185" s="314"/>
      <c r="BL185" s="314"/>
      <c r="BM185" s="314"/>
      <c r="BN185" s="314"/>
      <c r="BO185" s="314"/>
      <c r="BP185" s="314"/>
      <c r="BQ185" s="314"/>
      <c r="BR185" s="314"/>
      <c r="BS185" s="314"/>
      <c r="BT185" s="314"/>
      <c r="BU185" s="314"/>
      <c r="BV185" s="314"/>
      <c r="BW185" s="314"/>
      <c r="BX185" s="314"/>
      <c r="BY185" s="314"/>
      <c r="BZ185" s="314"/>
      <c r="CA185" s="314"/>
      <c r="CB185" s="314"/>
      <c r="CC185" s="314"/>
      <c r="CD185" s="314"/>
      <c r="CE185" s="314"/>
      <c r="CF185" s="314"/>
      <c r="CG185" s="314"/>
      <c r="CH185" s="314"/>
      <c r="CI185" s="314"/>
      <c r="CJ185" s="314"/>
      <c r="CK185" s="314"/>
      <c r="CL185" s="314"/>
      <c r="CM185" s="314"/>
      <c r="CN185" s="314"/>
      <c r="CO185" s="314"/>
      <c r="CP185" s="314"/>
      <c r="CQ185" s="314"/>
      <c r="CR185" s="314"/>
      <c r="CS185" s="314"/>
      <c r="CT185" s="314"/>
      <c r="CU185" s="314"/>
      <c r="CV185" s="314"/>
      <c r="CW185" s="314"/>
      <c r="CX185" s="314"/>
      <c r="CY185" s="314"/>
      <c r="CZ185" s="314"/>
      <c r="DA185" s="314"/>
      <c r="DB185" s="314"/>
      <c r="DC185" s="314"/>
      <c r="DD185" s="314"/>
      <c r="DE185" s="314"/>
      <c r="DF185" s="314"/>
      <c r="DG185" s="314"/>
      <c r="DH185" s="314"/>
      <c r="DI185" s="314"/>
      <c r="DJ185" s="314"/>
      <c r="DK185" s="314"/>
      <c r="DL185" s="314"/>
      <c r="DM185" s="314"/>
      <c r="DN185" s="314"/>
      <c r="DO185" s="314"/>
      <c r="DP185" s="314"/>
      <c r="DQ185" s="314"/>
      <c r="DR185" s="314"/>
      <c r="DS185" s="314"/>
      <c r="DT185" s="314"/>
      <c r="DU185" s="314"/>
      <c r="DV185" s="314"/>
      <c r="DW185" s="314"/>
      <c r="DX185" s="314"/>
      <c r="DY185" s="314"/>
      <c r="DZ185" s="314"/>
      <c r="EA185" s="314"/>
      <c r="EB185" s="314"/>
      <c r="EC185" s="314"/>
      <c r="ED185" s="314"/>
      <c r="EE185" s="314"/>
      <c r="EF185" s="314"/>
      <c r="EG185" s="314"/>
      <c r="EH185" s="314"/>
      <c r="EI185" s="314"/>
      <c r="EJ185" s="314"/>
      <c r="EK185" s="314"/>
      <c r="EL185" s="314"/>
      <c r="EM185" s="314"/>
      <c r="EN185" s="314"/>
      <c r="EO185" s="314"/>
      <c r="EP185" s="314"/>
      <c r="EQ185" s="314"/>
      <c r="ER185" s="314"/>
      <c r="ES185" s="314"/>
    </row>
    <row r="186" spans="1:269" x14ac:dyDescent="0.25">
      <c r="C186" s="677"/>
      <c r="D186" s="677"/>
      <c r="E186" s="677"/>
      <c r="F186" s="677"/>
      <c r="G186" s="677"/>
      <c r="H186" s="677"/>
      <c r="I186" s="677"/>
      <c r="J186" s="677"/>
      <c r="K186" s="677"/>
      <c r="L186" s="677"/>
      <c r="M186" s="677"/>
      <c r="N186" s="677"/>
      <c r="O186" s="677"/>
      <c r="P186" s="677"/>
      <c r="Q186" s="677"/>
      <c r="R186" s="677"/>
      <c r="S186" s="677"/>
      <c r="T186" s="677"/>
      <c r="U186" s="677"/>
      <c r="V186" s="677"/>
      <c r="W186" s="677"/>
      <c r="X186" s="677"/>
      <c r="Y186" s="677"/>
      <c r="Z186" s="677"/>
      <c r="AA186" s="677"/>
      <c r="AB186" s="677"/>
      <c r="AC186" s="677"/>
      <c r="AD186" s="677"/>
      <c r="AE186" s="677"/>
      <c r="AF186" s="677"/>
      <c r="AG186" s="677"/>
      <c r="AH186" s="677"/>
      <c r="AI186" s="677"/>
      <c r="AJ186" s="677"/>
      <c r="AK186" s="677"/>
      <c r="AL186" s="677"/>
      <c r="AM186" s="677"/>
      <c r="AN186" s="677"/>
      <c r="AO186" s="677"/>
      <c r="AP186" s="677"/>
      <c r="AQ186" s="677"/>
      <c r="AR186" s="677"/>
      <c r="AS186" s="677"/>
      <c r="AT186" s="677"/>
      <c r="AU186" s="677"/>
      <c r="AV186" s="677"/>
      <c r="AW186" s="677"/>
      <c r="AX186" s="677"/>
      <c r="AY186" s="677"/>
      <c r="AZ186" s="677"/>
      <c r="BA186" s="677"/>
      <c r="BB186" s="677"/>
      <c r="BC186" s="677"/>
      <c r="BD186" s="677"/>
      <c r="BE186" s="677"/>
      <c r="BF186" s="677"/>
      <c r="BG186" s="677"/>
      <c r="BH186" s="677"/>
      <c r="BI186" s="677"/>
      <c r="BJ186" s="677"/>
      <c r="BK186" s="677"/>
      <c r="BL186" s="677"/>
      <c r="BM186" s="677"/>
      <c r="BN186" s="677"/>
      <c r="BO186" s="677"/>
      <c r="BP186" s="677"/>
      <c r="BQ186" s="677"/>
      <c r="BR186" s="677"/>
      <c r="BS186" s="677"/>
      <c r="BT186" s="677"/>
      <c r="BU186" s="677"/>
      <c r="BV186" s="677"/>
      <c r="BW186" s="677"/>
      <c r="BX186" s="677"/>
      <c r="BY186" s="677"/>
      <c r="BZ186" s="677"/>
      <c r="CA186" s="677"/>
      <c r="CB186" s="677"/>
      <c r="CC186" s="677"/>
      <c r="CD186" s="677"/>
      <c r="CE186" s="677"/>
      <c r="CF186" s="677"/>
      <c r="CG186" s="677"/>
      <c r="CH186" s="677"/>
      <c r="CI186" s="677"/>
      <c r="CJ186" s="677"/>
      <c r="CK186" s="677"/>
      <c r="CL186" s="677"/>
      <c r="CM186" s="677"/>
      <c r="CN186" s="677"/>
      <c r="CO186" s="677"/>
      <c r="CP186" s="677"/>
      <c r="CQ186" s="677"/>
      <c r="CR186" s="677"/>
      <c r="CS186" s="677"/>
      <c r="CT186" s="677"/>
      <c r="CU186" s="677"/>
      <c r="CV186" s="677"/>
      <c r="CW186" s="677"/>
      <c r="CX186" s="677"/>
      <c r="CY186" s="677"/>
      <c r="CZ186" s="677"/>
      <c r="DA186" s="677"/>
      <c r="DB186" s="677"/>
      <c r="DC186" s="677"/>
      <c r="DD186" s="677"/>
      <c r="DE186" s="677"/>
      <c r="DF186" s="677"/>
      <c r="DG186" s="677"/>
      <c r="DH186" s="677"/>
      <c r="DI186" s="677"/>
      <c r="DJ186" s="677"/>
      <c r="DK186" s="677"/>
      <c r="DL186" s="677"/>
      <c r="DM186" s="677"/>
      <c r="DN186" s="677"/>
      <c r="DO186" s="677"/>
      <c r="DP186" s="677"/>
      <c r="DQ186" s="677"/>
      <c r="DR186" s="677"/>
      <c r="DS186" s="677"/>
      <c r="DT186" s="677"/>
      <c r="DU186" s="677"/>
      <c r="DV186" s="677"/>
      <c r="DW186" s="677"/>
      <c r="DX186" s="677"/>
      <c r="DY186" s="677"/>
      <c r="DZ186" s="677"/>
      <c r="EA186" s="677"/>
      <c r="EB186" s="677"/>
      <c r="EC186" s="677"/>
      <c r="ED186" s="677"/>
      <c r="EE186" s="677"/>
      <c r="EF186" s="677"/>
      <c r="EG186" s="677"/>
      <c r="EH186" s="677"/>
      <c r="EI186" s="677"/>
      <c r="EJ186" s="677"/>
      <c r="EK186" s="677"/>
      <c r="EL186" s="677"/>
      <c r="EM186" s="677"/>
      <c r="EN186" s="677"/>
      <c r="EO186" s="677"/>
      <c r="EP186" s="677"/>
      <c r="EQ186" s="677"/>
      <c r="ER186" s="677"/>
      <c r="ES186" s="677"/>
    </row>
    <row r="187" spans="1:269" x14ac:dyDescent="0.25">
      <c r="C187" s="314"/>
    </row>
    <row r="188" spans="1:269" x14ac:dyDescent="0.25">
      <c r="C188" s="314"/>
      <c r="D188" s="314"/>
      <c r="E188" s="314"/>
      <c r="F188" s="314"/>
      <c r="G188" s="314"/>
      <c r="H188" s="314"/>
      <c r="I188" s="314"/>
      <c r="J188" s="314"/>
      <c r="K188" s="314"/>
      <c r="L188" s="314"/>
      <c r="M188" s="314"/>
      <c r="N188" s="314"/>
      <c r="O188" s="314"/>
      <c r="P188" s="314"/>
      <c r="Q188" s="314"/>
      <c r="R188" s="314"/>
      <c r="S188" s="314"/>
      <c r="T188" s="314"/>
      <c r="U188" s="314"/>
      <c r="V188" s="314"/>
      <c r="W188" s="314"/>
      <c r="X188" s="314"/>
      <c r="Y188" s="314"/>
      <c r="Z188" s="314"/>
      <c r="AA188" s="314"/>
      <c r="AB188" s="314"/>
      <c r="AC188" s="314"/>
      <c r="AD188" s="314"/>
      <c r="AE188" s="314"/>
      <c r="AF188" s="314"/>
      <c r="AG188" s="314"/>
      <c r="AH188" s="314"/>
      <c r="AI188" s="314"/>
      <c r="AJ188" s="314"/>
      <c r="AK188" s="314"/>
      <c r="AL188" s="314"/>
      <c r="AM188" s="314"/>
      <c r="AN188" s="314"/>
      <c r="AO188" s="314"/>
      <c r="AP188" s="314"/>
      <c r="AQ188" s="314"/>
      <c r="AR188" s="314"/>
      <c r="AS188" s="314"/>
      <c r="AT188" s="314"/>
      <c r="AU188" s="314"/>
      <c r="AV188" s="314"/>
      <c r="AW188" s="314"/>
      <c r="AX188" s="314"/>
      <c r="AY188" s="314"/>
      <c r="AZ188" s="314"/>
      <c r="BA188" s="314"/>
      <c r="BB188" s="314"/>
      <c r="BC188" s="314"/>
      <c r="BD188" s="314"/>
      <c r="BE188" s="314"/>
      <c r="BF188" s="314"/>
      <c r="BG188" s="314"/>
      <c r="BH188" s="314"/>
      <c r="BI188" s="314"/>
      <c r="BJ188" s="314"/>
      <c r="BK188" s="314"/>
      <c r="BL188" s="314"/>
      <c r="BM188" s="314"/>
      <c r="BN188" s="314"/>
      <c r="BO188" s="314"/>
      <c r="BP188" s="314"/>
      <c r="BQ188" s="314"/>
      <c r="BR188" s="314"/>
      <c r="BS188" s="314"/>
      <c r="BT188" s="314"/>
      <c r="BU188" s="314"/>
      <c r="BV188" s="314"/>
      <c r="BW188" s="314"/>
      <c r="BX188" s="314"/>
      <c r="BY188" s="314"/>
      <c r="BZ188" s="314"/>
      <c r="CA188" s="314"/>
      <c r="CB188" s="314"/>
      <c r="CC188" s="314"/>
      <c r="CD188" s="314"/>
      <c r="CE188" s="314"/>
      <c r="CF188" s="314"/>
      <c r="CG188" s="314"/>
      <c r="CH188" s="314"/>
      <c r="CI188" s="314"/>
      <c r="CJ188" s="314"/>
      <c r="CK188" s="314"/>
      <c r="CL188" s="314"/>
      <c r="CM188" s="314"/>
      <c r="CN188" s="314"/>
      <c r="CO188" s="314"/>
      <c r="CP188" s="314"/>
      <c r="CQ188" s="314"/>
      <c r="CR188" s="314"/>
      <c r="CS188" s="314"/>
      <c r="CT188" s="314"/>
      <c r="CU188" s="314"/>
      <c r="CV188" s="314"/>
      <c r="CW188" s="314"/>
      <c r="CX188" s="314"/>
      <c r="CY188" s="314"/>
      <c r="CZ188" s="314"/>
      <c r="DA188" s="314"/>
      <c r="DB188" s="314"/>
      <c r="DC188" s="314"/>
      <c r="DD188" s="314"/>
      <c r="DE188" s="314"/>
      <c r="DF188" s="314"/>
      <c r="DG188" s="314"/>
      <c r="DH188" s="314"/>
      <c r="DI188" s="314"/>
      <c r="DJ188" s="314"/>
      <c r="DK188" s="314"/>
      <c r="DL188" s="314"/>
      <c r="DM188" s="314"/>
      <c r="DN188" s="314"/>
      <c r="DO188" s="314"/>
      <c r="DP188" s="314"/>
      <c r="DQ188" s="314"/>
      <c r="DR188" s="314"/>
      <c r="DS188" s="314"/>
      <c r="DT188" s="314"/>
      <c r="DU188" s="314"/>
      <c r="DV188" s="314"/>
      <c r="DW188" s="314"/>
      <c r="DX188" s="314"/>
      <c r="DY188" s="314"/>
      <c r="DZ188" s="314"/>
      <c r="EA188" s="314"/>
      <c r="EB188" s="314"/>
      <c r="EC188" s="314"/>
      <c r="ED188" s="314"/>
      <c r="EE188" s="314"/>
      <c r="EF188" s="314"/>
      <c r="EG188" s="314"/>
      <c r="EH188" s="314"/>
      <c r="EI188" s="314"/>
      <c r="EJ188" s="314"/>
      <c r="EK188" s="314"/>
      <c r="EL188" s="314"/>
      <c r="EM188" s="314"/>
      <c r="EN188" s="314"/>
      <c r="EO188" s="314"/>
      <c r="EP188" s="314"/>
      <c r="EQ188" s="314"/>
      <c r="ER188" s="314"/>
      <c r="ES188" s="314"/>
      <c r="ET188" s="314"/>
      <c r="EU188" s="314"/>
      <c r="EV188" s="314"/>
      <c r="EW188" s="314"/>
      <c r="EX188" s="314"/>
      <c r="EY188" s="314"/>
      <c r="EZ188" s="314"/>
      <c r="FA188" s="314"/>
      <c r="FB188" s="314"/>
      <c r="FC188" s="314"/>
      <c r="FD188" s="314"/>
      <c r="FE188" s="314"/>
      <c r="FF188" s="314"/>
      <c r="FG188" s="314"/>
      <c r="FH188" s="314"/>
      <c r="FI188" s="314"/>
      <c r="FJ188" s="314"/>
      <c r="FK188" s="314"/>
      <c r="FL188" s="314"/>
      <c r="FM188" s="314"/>
      <c r="FN188" s="314"/>
      <c r="FO188" s="314"/>
      <c r="FP188" s="314"/>
      <c r="FQ188" s="314"/>
      <c r="FR188" s="314"/>
      <c r="FS188" s="314"/>
      <c r="FT188" s="314"/>
      <c r="FU188" s="314"/>
      <c r="FV188" s="314"/>
      <c r="FW188" s="314"/>
      <c r="FX188" s="314"/>
      <c r="FY188" s="314"/>
      <c r="FZ188" s="314"/>
      <c r="GA188" s="314"/>
      <c r="GB188" s="314"/>
      <c r="GC188" s="314"/>
      <c r="GD188" s="314"/>
      <c r="GE188" s="314"/>
      <c r="GF188" s="314"/>
      <c r="GG188" s="314"/>
      <c r="GH188" s="314"/>
      <c r="GI188" s="314"/>
      <c r="GJ188" s="314"/>
      <c r="GK188" s="314"/>
      <c r="GL188" s="314"/>
      <c r="GM188" s="314"/>
      <c r="GN188" s="314"/>
      <c r="GO188" s="314"/>
      <c r="GP188" s="314"/>
      <c r="GQ188" s="314"/>
      <c r="GR188" s="314"/>
      <c r="GS188" s="314"/>
      <c r="GT188" s="314"/>
      <c r="GU188" s="314"/>
      <c r="GV188" s="314"/>
      <c r="GW188" s="314"/>
      <c r="GX188" s="314"/>
      <c r="GY188" s="314"/>
      <c r="GZ188" s="314"/>
      <c r="HA188" s="314"/>
      <c r="HB188" s="314"/>
      <c r="HC188" s="314"/>
      <c r="HD188" s="314"/>
      <c r="HE188" s="314"/>
      <c r="HF188" s="314"/>
      <c r="HG188" s="314"/>
      <c r="HH188" s="314"/>
      <c r="HI188" s="314"/>
      <c r="HJ188" s="314"/>
      <c r="HK188" s="314"/>
      <c r="HL188" s="314"/>
      <c r="HM188" s="314"/>
      <c r="HN188" s="314"/>
      <c r="HO188" s="314"/>
      <c r="HP188" s="314"/>
      <c r="HQ188" s="314"/>
      <c r="HR188" s="314"/>
      <c r="HS188" s="314"/>
      <c r="HT188" s="314"/>
      <c r="HU188" s="314"/>
      <c r="HV188" s="314"/>
      <c r="HW188" s="314"/>
      <c r="HX188" s="314"/>
      <c r="HY188" s="314"/>
      <c r="HZ188" s="314"/>
      <c r="IA188" s="314"/>
      <c r="IB188" s="314"/>
      <c r="IC188" s="314"/>
      <c r="ID188" s="314"/>
      <c r="IE188" s="314"/>
      <c r="IF188" s="314"/>
      <c r="IG188" s="314"/>
      <c r="IH188" s="314"/>
      <c r="II188" s="314"/>
      <c r="IJ188" s="314"/>
      <c r="IK188" s="314"/>
      <c r="IL188" s="314"/>
      <c r="IM188" s="314"/>
      <c r="IN188" s="314"/>
      <c r="IO188" s="314"/>
      <c r="IP188" s="314"/>
      <c r="IQ188" s="314"/>
      <c r="IR188" s="314"/>
      <c r="IS188" s="314"/>
      <c r="IT188" s="314"/>
      <c r="IU188" s="314"/>
      <c r="IV188" s="314"/>
      <c r="IW188" s="314"/>
      <c r="IX188" s="314"/>
      <c r="IY188" s="314"/>
      <c r="IZ188" s="314"/>
      <c r="JA188" s="314"/>
      <c r="JB188" s="314"/>
      <c r="JC188" s="314"/>
      <c r="JD188" s="314"/>
      <c r="JE188" s="314"/>
      <c r="JF188" s="314"/>
      <c r="JG188" s="314"/>
      <c r="JH188" s="314"/>
    </row>
    <row r="190" spans="1:269" x14ac:dyDescent="0.25">
      <c r="EW190" s="314"/>
      <c r="EX190" s="314"/>
      <c r="EY190" s="314"/>
      <c r="EZ190" s="314"/>
      <c r="FA190" s="314"/>
      <c r="FB190" s="314"/>
      <c r="FC190" s="314"/>
      <c r="FD190" s="314"/>
      <c r="FE190" s="314"/>
      <c r="FF190" s="314"/>
      <c r="FG190" s="314"/>
      <c r="FH190" s="314"/>
      <c r="FI190" s="314"/>
      <c r="FJ190" s="314"/>
      <c r="FK190" s="314"/>
      <c r="FL190" s="314"/>
      <c r="FM190" s="314"/>
      <c r="FN190" s="314"/>
      <c r="FO190" s="314"/>
      <c r="FP190" s="314"/>
      <c r="FQ190" s="314"/>
      <c r="FR190" s="314"/>
      <c r="FS190" s="314"/>
      <c r="FT190" s="314"/>
      <c r="FU190" s="314"/>
      <c r="FV190" s="314"/>
      <c r="FW190" s="314"/>
      <c r="FX190" s="314"/>
      <c r="FY190" s="314"/>
      <c r="FZ190" s="314"/>
      <c r="GA190" s="314"/>
      <c r="GB190" s="314"/>
      <c r="GC190" s="314"/>
      <c r="GD190" s="314"/>
      <c r="GE190" s="314"/>
      <c r="GF190" s="314"/>
      <c r="GG190" s="314"/>
      <c r="GH190" s="314"/>
      <c r="GI190" s="314"/>
      <c r="GJ190" s="314"/>
      <c r="GK190" s="314"/>
      <c r="GL190" s="314"/>
      <c r="GM190" s="314"/>
      <c r="GN190" s="314"/>
      <c r="GO190" s="314"/>
      <c r="GP190" s="314"/>
      <c r="GQ190" s="314"/>
      <c r="GR190" s="314"/>
      <c r="GS190" s="314"/>
      <c r="GT190" s="314"/>
      <c r="GU190" s="314"/>
      <c r="GV190" s="314"/>
      <c r="GW190" s="314"/>
      <c r="GX190" s="314"/>
      <c r="GY190" s="314"/>
      <c r="GZ190" s="314"/>
      <c r="HA190" s="314"/>
      <c r="HB190" s="314"/>
      <c r="HC190" s="314"/>
      <c r="HD190" s="314"/>
      <c r="HE190" s="314"/>
      <c r="HF190" s="314"/>
      <c r="HG190" s="314"/>
      <c r="HH190" s="314"/>
      <c r="HI190" s="314"/>
      <c r="HJ190" s="314"/>
      <c r="HK190" s="314"/>
      <c r="HL190" s="314"/>
      <c r="HM190" s="314"/>
      <c r="HN190" s="314"/>
      <c r="HO190" s="314"/>
      <c r="HP190" s="314"/>
      <c r="HQ190" s="314"/>
      <c r="HR190" s="314"/>
      <c r="HS190" s="314"/>
      <c r="HT190" s="314"/>
      <c r="HU190" s="314"/>
      <c r="HV190" s="314"/>
      <c r="HW190" s="314"/>
      <c r="HX190" s="314"/>
      <c r="HY190" s="314"/>
      <c r="HZ190" s="314"/>
      <c r="IA190" s="314"/>
      <c r="IB190" s="314"/>
      <c r="IC190" s="314"/>
      <c r="ID190" s="314"/>
      <c r="IE190" s="314"/>
      <c r="IF190" s="314"/>
      <c r="IG190" s="314"/>
      <c r="IH190" s="314"/>
      <c r="II190" s="314"/>
      <c r="IJ190" s="314"/>
      <c r="IK190" s="314"/>
      <c r="IL190" s="314"/>
      <c r="IM190" s="314"/>
      <c r="IN190" s="314"/>
      <c r="IO190" s="314"/>
      <c r="IP190" s="314"/>
      <c r="IQ190" s="314"/>
      <c r="IR190" s="314"/>
      <c r="IS190" s="314"/>
      <c r="IT190" s="314"/>
      <c r="IU190" s="314"/>
      <c r="IV190" s="314"/>
      <c r="IW190" s="314"/>
      <c r="IX190" s="314"/>
      <c r="IY190" s="314"/>
      <c r="IZ190" s="314"/>
      <c r="JA190" s="314"/>
      <c r="JB190" s="314"/>
      <c r="JC190" s="314"/>
      <c r="JD190" s="314"/>
      <c r="JE190" s="314"/>
      <c r="JF190" s="314"/>
      <c r="JG190" s="314"/>
      <c r="JH190" s="314"/>
    </row>
    <row r="191" spans="1:269" x14ac:dyDescent="0.25">
      <c r="EW191" s="314"/>
      <c r="EX191" s="314"/>
      <c r="EY191" s="314"/>
      <c r="EZ191" s="314"/>
      <c r="FA191" s="314"/>
      <c r="FB191" s="314"/>
      <c r="FC191" s="314"/>
      <c r="FD191" s="314"/>
      <c r="FE191" s="314"/>
      <c r="FF191" s="314"/>
      <c r="FG191" s="314"/>
      <c r="FH191" s="314"/>
      <c r="FI191" s="314"/>
      <c r="FJ191" s="314"/>
      <c r="FK191" s="314"/>
      <c r="FL191" s="314"/>
      <c r="FM191" s="314"/>
      <c r="FN191" s="314"/>
      <c r="FO191" s="314"/>
      <c r="FP191" s="314"/>
      <c r="FQ191" s="314"/>
      <c r="FR191" s="314"/>
      <c r="FS191" s="314"/>
      <c r="FT191" s="314"/>
      <c r="FU191" s="314"/>
      <c r="FV191" s="314"/>
      <c r="FW191" s="314"/>
      <c r="FX191" s="314"/>
      <c r="FY191" s="314"/>
      <c r="FZ191" s="314"/>
      <c r="GA191" s="314"/>
      <c r="GB191" s="314"/>
      <c r="GC191" s="314"/>
      <c r="GD191" s="314"/>
      <c r="GE191" s="314"/>
      <c r="GF191" s="314"/>
      <c r="GG191" s="314"/>
      <c r="GH191" s="314"/>
      <c r="GI191" s="314"/>
      <c r="GJ191" s="314"/>
      <c r="GK191" s="314"/>
      <c r="GL191" s="314"/>
      <c r="GM191" s="314"/>
      <c r="GN191" s="314"/>
      <c r="GO191" s="314"/>
      <c r="GP191" s="314"/>
      <c r="GQ191" s="314"/>
      <c r="GR191" s="314"/>
      <c r="GS191" s="314"/>
      <c r="GT191" s="314"/>
      <c r="GU191" s="314"/>
      <c r="GV191" s="314"/>
      <c r="GW191" s="314"/>
      <c r="GX191" s="314"/>
      <c r="GY191" s="314"/>
      <c r="GZ191" s="314"/>
      <c r="HA191" s="314"/>
      <c r="HB191" s="314"/>
      <c r="HC191" s="314"/>
      <c r="HD191" s="314"/>
      <c r="HE191" s="314"/>
      <c r="HF191" s="314"/>
      <c r="HG191" s="314"/>
      <c r="HH191" s="314"/>
      <c r="HI191" s="314"/>
      <c r="HJ191" s="314"/>
      <c r="HK191" s="314"/>
      <c r="HL191" s="314"/>
      <c r="HM191" s="314"/>
      <c r="HN191" s="314"/>
      <c r="HO191" s="314"/>
      <c r="HP191" s="314"/>
      <c r="HQ191" s="314"/>
      <c r="HR191" s="314"/>
      <c r="HS191" s="314"/>
      <c r="HT191" s="314"/>
      <c r="HU191" s="314"/>
      <c r="HV191" s="314"/>
      <c r="HW191" s="314"/>
      <c r="HX191" s="314"/>
      <c r="HY191" s="314"/>
      <c r="HZ191" s="314"/>
      <c r="IA191" s="314"/>
      <c r="IB191" s="314"/>
      <c r="IC191" s="314"/>
      <c r="ID191" s="314"/>
      <c r="IE191" s="314"/>
      <c r="IF191" s="314"/>
      <c r="IG191" s="314"/>
      <c r="IH191" s="314"/>
      <c r="II191" s="314"/>
      <c r="IJ191" s="314"/>
      <c r="IK191" s="314"/>
      <c r="IL191" s="314"/>
      <c r="IM191" s="314"/>
      <c r="IN191" s="314"/>
      <c r="IO191" s="314"/>
      <c r="IP191" s="314"/>
      <c r="IQ191" s="314"/>
      <c r="IR191" s="314"/>
      <c r="IS191" s="314"/>
      <c r="IT191" s="314"/>
      <c r="IU191" s="314"/>
      <c r="IV191" s="314"/>
      <c r="IW191" s="314"/>
      <c r="IX191" s="314"/>
      <c r="IY191" s="314"/>
      <c r="IZ191" s="314"/>
      <c r="JA191" s="314"/>
      <c r="JB191" s="314"/>
      <c r="JC191" s="314"/>
      <c r="JD191" s="314"/>
      <c r="JE191" s="314"/>
      <c r="JF191" s="314"/>
      <c r="JG191" s="314"/>
      <c r="JH191" s="314"/>
    </row>
    <row r="192" spans="1:269" x14ac:dyDescent="0.25">
      <c r="C192" s="314"/>
      <c r="D192" s="314"/>
      <c r="E192" s="314"/>
      <c r="F192" s="314"/>
      <c r="G192" s="314"/>
      <c r="H192" s="314"/>
      <c r="I192" s="314"/>
      <c r="J192" s="314"/>
      <c r="K192" s="314"/>
      <c r="L192" s="314"/>
      <c r="M192" s="314"/>
      <c r="N192" s="314"/>
      <c r="O192" s="314"/>
      <c r="P192" s="314"/>
      <c r="Q192" s="314"/>
      <c r="R192" s="314"/>
      <c r="S192" s="314"/>
      <c r="T192" s="314"/>
      <c r="U192" s="314"/>
      <c r="V192" s="314"/>
      <c r="W192" s="314"/>
      <c r="X192" s="314"/>
      <c r="Y192" s="314"/>
      <c r="Z192" s="314"/>
      <c r="AA192" s="314"/>
      <c r="AB192" s="314"/>
      <c r="AC192" s="314"/>
      <c r="AD192" s="314"/>
      <c r="AE192" s="314"/>
      <c r="AF192" s="314"/>
      <c r="AG192" s="314"/>
      <c r="AH192" s="314"/>
      <c r="AI192" s="314"/>
      <c r="AJ192" s="314"/>
      <c r="AK192" s="314"/>
      <c r="AL192" s="314"/>
      <c r="AM192" s="314"/>
      <c r="AN192" s="314"/>
      <c r="AO192" s="314"/>
      <c r="AP192" s="314"/>
      <c r="AQ192" s="314"/>
      <c r="AR192" s="314"/>
      <c r="AS192" s="314"/>
      <c r="AT192" s="314"/>
      <c r="AU192" s="314"/>
      <c r="AV192" s="314"/>
      <c r="AW192" s="314"/>
      <c r="AX192" s="314"/>
      <c r="AY192" s="314"/>
      <c r="AZ192" s="314"/>
      <c r="BA192" s="314"/>
      <c r="BB192" s="314"/>
      <c r="BC192" s="314"/>
      <c r="BD192" s="314"/>
      <c r="BE192" s="314"/>
      <c r="BF192" s="314"/>
      <c r="BG192" s="314"/>
      <c r="BH192" s="314"/>
      <c r="BI192" s="314"/>
      <c r="BJ192" s="314"/>
      <c r="BK192" s="314"/>
      <c r="BL192" s="314"/>
      <c r="BM192" s="314"/>
      <c r="BN192" s="314"/>
      <c r="BO192" s="314"/>
      <c r="BP192" s="314"/>
      <c r="BQ192" s="314"/>
      <c r="BR192" s="314"/>
      <c r="BS192" s="314"/>
      <c r="BT192" s="314"/>
      <c r="BU192" s="314"/>
      <c r="BV192" s="314"/>
      <c r="BW192" s="314"/>
      <c r="BX192" s="314"/>
      <c r="BY192" s="314"/>
      <c r="BZ192" s="314"/>
      <c r="CA192" s="314"/>
      <c r="CB192" s="314"/>
      <c r="CC192" s="314"/>
      <c r="CD192" s="314"/>
      <c r="CE192" s="314"/>
      <c r="CF192" s="314"/>
      <c r="CG192" s="314"/>
      <c r="CH192" s="314"/>
      <c r="CI192" s="314"/>
      <c r="CJ192" s="314"/>
      <c r="CK192" s="314"/>
      <c r="CL192" s="314"/>
      <c r="CM192" s="314"/>
      <c r="CN192" s="314"/>
      <c r="CO192" s="314"/>
      <c r="CP192" s="314"/>
      <c r="CQ192" s="314"/>
      <c r="CR192" s="314"/>
      <c r="CS192" s="314"/>
      <c r="CT192" s="314"/>
      <c r="CU192" s="314"/>
      <c r="CV192" s="314"/>
      <c r="CW192" s="314"/>
      <c r="CX192" s="314"/>
      <c r="CY192" s="314"/>
      <c r="CZ192" s="314"/>
      <c r="DA192" s="314"/>
      <c r="DB192" s="314"/>
      <c r="DC192" s="314"/>
      <c r="DD192" s="314"/>
      <c r="DE192" s="314"/>
      <c r="DF192" s="314"/>
      <c r="DG192" s="314"/>
      <c r="DH192" s="314"/>
      <c r="DI192" s="314"/>
      <c r="DJ192" s="314"/>
      <c r="DK192" s="314"/>
      <c r="DL192" s="314"/>
      <c r="DM192" s="314"/>
      <c r="DN192" s="314"/>
      <c r="DO192" s="314"/>
      <c r="DP192" s="314"/>
      <c r="DQ192" s="314"/>
      <c r="DR192" s="314"/>
      <c r="DS192" s="314"/>
      <c r="DT192" s="314"/>
      <c r="DU192" s="314"/>
      <c r="DV192" s="314"/>
      <c r="DW192" s="314"/>
      <c r="DX192" s="314"/>
      <c r="DY192" s="314"/>
      <c r="DZ192" s="314"/>
      <c r="EA192" s="314"/>
      <c r="EB192" s="314"/>
      <c r="EC192" s="314"/>
      <c r="ED192" s="314"/>
      <c r="EE192" s="314"/>
      <c r="EF192" s="314"/>
      <c r="EG192" s="314"/>
      <c r="EH192" s="314"/>
      <c r="EI192" s="314"/>
      <c r="EJ192" s="314"/>
      <c r="EK192" s="314"/>
      <c r="EL192" s="314"/>
      <c r="EM192" s="314"/>
      <c r="EN192" s="314"/>
      <c r="EO192" s="314"/>
      <c r="EP192" s="314"/>
      <c r="EQ192" s="314"/>
      <c r="ER192" s="314"/>
      <c r="ES192" s="314"/>
      <c r="ET192" s="314"/>
      <c r="EU192" s="314"/>
      <c r="EV192" s="314"/>
      <c r="EW192" s="314"/>
      <c r="EX192" s="314"/>
      <c r="EY192" s="314"/>
      <c r="EZ192" s="314"/>
      <c r="FA192" s="314"/>
      <c r="FB192" s="314"/>
      <c r="FC192" s="314"/>
      <c r="FD192" s="314"/>
      <c r="FE192" s="314"/>
      <c r="FF192" s="314"/>
      <c r="FG192" s="314"/>
      <c r="FH192" s="314"/>
      <c r="FI192" s="314"/>
      <c r="FJ192" s="314"/>
      <c r="FK192" s="314"/>
      <c r="FL192" s="314"/>
      <c r="FM192" s="314"/>
      <c r="FN192" s="314"/>
      <c r="FO192" s="314"/>
      <c r="FP192" s="314"/>
      <c r="FQ192" s="314"/>
      <c r="FR192" s="314"/>
      <c r="FS192" s="314"/>
      <c r="FT192" s="314"/>
      <c r="FU192" s="314"/>
      <c r="FV192" s="314"/>
      <c r="FW192" s="314"/>
      <c r="FX192" s="314"/>
      <c r="FY192" s="314"/>
      <c r="FZ192" s="314"/>
      <c r="GA192" s="314"/>
      <c r="GB192" s="314"/>
      <c r="GC192" s="314"/>
      <c r="GD192" s="314"/>
      <c r="GE192" s="314"/>
      <c r="GF192" s="314"/>
      <c r="GG192" s="314"/>
      <c r="GH192" s="314"/>
      <c r="GI192" s="314"/>
      <c r="GJ192" s="314"/>
      <c r="GK192" s="314"/>
      <c r="GL192" s="314"/>
      <c r="GM192" s="314"/>
      <c r="GN192" s="314"/>
      <c r="GO192" s="314"/>
      <c r="GP192" s="314"/>
      <c r="GQ192" s="314"/>
      <c r="GR192" s="314"/>
      <c r="GS192" s="314"/>
      <c r="GT192" s="314"/>
      <c r="GU192" s="314"/>
      <c r="GV192" s="314"/>
      <c r="GW192" s="314"/>
      <c r="GX192" s="314"/>
      <c r="GY192" s="314"/>
      <c r="GZ192" s="314"/>
      <c r="HA192" s="314"/>
      <c r="HB192" s="314"/>
      <c r="HC192" s="314"/>
      <c r="HD192" s="314"/>
      <c r="HE192" s="314"/>
      <c r="HF192" s="314"/>
      <c r="HG192" s="314"/>
      <c r="HH192" s="314"/>
      <c r="HI192" s="314"/>
      <c r="HJ192" s="314"/>
      <c r="HK192" s="314"/>
      <c r="HL192" s="314"/>
      <c r="HM192" s="314"/>
      <c r="HN192" s="314"/>
      <c r="HO192" s="314"/>
      <c r="HP192" s="314"/>
      <c r="HQ192" s="314"/>
      <c r="HR192" s="314"/>
      <c r="HS192" s="314"/>
      <c r="HT192" s="314"/>
      <c r="HU192" s="314"/>
      <c r="HV192" s="314"/>
      <c r="HW192" s="314"/>
      <c r="HX192" s="314"/>
      <c r="HY192" s="314"/>
      <c r="HZ192" s="314"/>
      <c r="IA192" s="314"/>
      <c r="IB192" s="314"/>
      <c r="IC192" s="314"/>
      <c r="ID192" s="314"/>
      <c r="IE192" s="314"/>
      <c r="IF192" s="314"/>
      <c r="IG192" s="314"/>
      <c r="IH192" s="314"/>
      <c r="II192" s="314"/>
      <c r="IJ192" s="314"/>
      <c r="IK192" s="314"/>
      <c r="IL192" s="314"/>
      <c r="IM192" s="314"/>
      <c r="IN192" s="314"/>
      <c r="IO192" s="314"/>
      <c r="IP192" s="314"/>
      <c r="IQ192" s="314"/>
      <c r="IR192" s="314"/>
      <c r="IS192" s="314"/>
      <c r="IT192" s="314"/>
      <c r="IU192" s="314"/>
      <c r="IV192" s="314"/>
      <c r="IW192" s="314"/>
      <c r="IX192" s="314"/>
      <c r="IY192" s="314"/>
      <c r="IZ192" s="314"/>
      <c r="JA192" s="314"/>
      <c r="JB192" s="314"/>
      <c r="JC192" s="314"/>
      <c r="JD192" s="314"/>
      <c r="JE192" s="314"/>
      <c r="JF192" s="314"/>
      <c r="JG192" s="314"/>
      <c r="JH192" s="314"/>
    </row>
  </sheetData>
  <conditionalFormatting sqref="C7:JH8">
    <cfRule type="cellIs" dxfId="206" priority="234" operator="equal">
      <formula>0</formula>
    </cfRule>
  </conditionalFormatting>
  <conditionalFormatting sqref="JL111:JO111">
    <cfRule type="cellIs" dxfId="205" priority="170" operator="lessThan">
      <formula>0</formula>
    </cfRule>
  </conditionalFormatting>
  <conditionalFormatting sqref="JL119:JO119">
    <cfRule type="cellIs" dxfId="204" priority="169" operator="lessThan">
      <formula>0</formula>
    </cfRule>
  </conditionalFormatting>
  <conditionalFormatting sqref="JL119:JP119">
    <cfRule type="cellIs" dxfId="203" priority="168" operator="lessThan">
      <formula>0</formula>
    </cfRule>
  </conditionalFormatting>
  <conditionalFormatting sqref="JL120:JO120">
    <cfRule type="cellIs" dxfId="202" priority="167" operator="lessThan">
      <formula>0</formula>
    </cfRule>
  </conditionalFormatting>
  <conditionalFormatting sqref="JL117:JP117">
    <cfRule type="cellIs" dxfId="201" priority="161" operator="lessThan">
      <formula>0</formula>
    </cfRule>
  </conditionalFormatting>
  <conditionalFormatting sqref="JL30:JO34">
    <cfRule type="cellIs" dxfId="200" priority="160" operator="lessThan">
      <formula>0</formula>
    </cfRule>
  </conditionalFormatting>
  <conditionalFormatting sqref="B60">
    <cfRule type="cellIs" dxfId="199" priority="214" operator="lessThan">
      <formula>0</formula>
    </cfRule>
  </conditionalFormatting>
  <conditionalFormatting sqref="B100 JQ100:XFD100 JJ100:JK100">
    <cfRule type="cellIs" dxfId="198" priority="212" operator="lessThan">
      <formula>0</formula>
    </cfRule>
    <cfRule type="cellIs" dxfId="197" priority="213" operator="equal">
      <formula>0</formula>
    </cfRule>
  </conditionalFormatting>
  <conditionalFormatting sqref="A104 JJ104:JK104 JQ104:XFD104">
    <cfRule type="cellIs" dxfId="196" priority="211" operator="greaterThan">
      <formula>1</formula>
    </cfRule>
  </conditionalFormatting>
  <conditionalFormatting sqref="A89:B89">
    <cfRule type="cellIs" dxfId="195" priority="209" operator="equal">
      <formula>0</formula>
    </cfRule>
  </conditionalFormatting>
  <conditionalFormatting sqref="A117:B117">
    <cfRule type="cellIs" dxfId="194" priority="207" operator="equal">
      <formula>0</formula>
    </cfRule>
  </conditionalFormatting>
  <conditionalFormatting sqref="JL7:JO7">
    <cfRule type="cellIs" dxfId="193" priority="206" operator="lessThan">
      <formula>0</formula>
    </cfRule>
  </conditionalFormatting>
  <conditionalFormatting sqref="JL8:JO8 JL10:JO16">
    <cfRule type="cellIs" dxfId="192" priority="205" operator="lessThan">
      <formula>0</formula>
    </cfRule>
  </conditionalFormatting>
  <conditionalFormatting sqref="JL24:JO24">
    <cfRule type="cellIs" dxfId="191" priority="204" operator="lessThan">
      <formula>0</formula>
    </cfRule>
  </conditionalFormatting>
  <conditionalFormatting sqref="JL37:JO37">
    <cfRule type="cellIs" dxfId="190" priority="203" operator="lessThan">
      <formula>0</formula>
    </cfRule>
  </conditionalFormatting>
  <conditionalFormatting sqref="JL38:JO38">
    <cfRule type="cellIs" dxfId="189" priority="202" operator="lessThan">
      <formula>0</formula>
    </cfRule>
  </conditionalFormatting>
  <conditionalFormatting sqref="JL40:JO44">
    <cfRule type="cellIs" dxfId="188" priority="201" operator="lessThan">
      <formula>0</formula>
    </cfRule>
  </conditionalFormatting>
  <conditionalFormatting sqref="JL46:JO46">
    <cfRule type="cellIs" dxfId="187" priority="200" operator="lessThan">
      <formula>0</formula>
    </cfRule>
  </conditionalFormatting>
  <conditionalFormatting sqref="JL50:JO53 JQ51:JQ53">
    <cfRule type="cellIs" dxfId="186" priority="199" operator="lessThan">
      <formula>0</formula>
    </cfRule>
  </conditionalFormatting>
  <conditionalFormatting sqref="JL58:JO62">
    <cfRule type="cellIs" dxfId="185" priority="198" operator="lessThan">
      <formula>0</formula>
    </cfRule>
  </conditionalFormatting>
  <conditionalFormatting sqref="JL72:JO82">
    <cfRule type="cellIs" dxfId="184" priority="197" operator="lessThan">
      <formula>0</formula>
    </cfRule>
  </conditionalFormatting>
  <conditionalFormatting sqref="JL69:JO69">
    <cfRule type="cellIs" dxfId="183" priority="196" operator="lessThan">
      <formula>0</formula>
    </cfRule>
  </conditionalFormatting>
  <conditionalFormatting sqref="JL68:JO68">
    <cfRule type="cellIs" dxfId="182" priority="195" operator="lessThan">
      <formula>0</formula>
    </cfRule>
  </conditionalFormatting>
  <conditionalFormatting sqref="JL87:JO87">
    <cfRule type="cellIs" dxfId="181" priority="194" operator="lessThan">
      <formula>0</formula>
    </cfRule>
  </conditionalFormatting>
  <conditionalFormatting sqref="JL91:JO91">
    <cfRule type="cellIs" dxfId="180" priority="193" operator="lessThan">
      <formula>0</formula>
    </cfRule>
  </conditionalFormatting>
  <conditionalFormatting sqref="JL93:JO93">
    <cfRule type="cellIs" dxfId="179" priority="192" operator="lessThan">
      <formula>0</formula>
    </cfRule>
  </conditionalFormatting>
  <conditionalFormatting sqref="JL94:JO94">
    <cfRule type="cellIs" dxfId="178" priority="191" operator="lessThan">
      <formula>0</formula>
    </cfRule>
  </conditionalFormatting>
  <conditionalFormatting sqref="JL97:JO97">
    <cfRule type="cellIs" dxfId="177" priority="190" operator="lessThan">
      <formula>0</formula>
    </cfRule>
  </conditionalFormatting>
  <conditionalFormatting sqref="JL98:JO98">
    <cfRule type="cellIs" dxfId="176" priority="189" operator="lessThan">
      <formula>0</formula>
    </cfRule>
  </conditionalFormatting>
  <conditionalFormatting sqref="JL99:JO99">
    <cfRule type="cellIs" dxfId="175" priority="188" operator="lessThan">
      <formula>0</formula>
    </cfRule>
  </conditionalFormatting>
  <conditionalFormatting sqref="JL100:JO100">
    <cfRule type="cellIs" dxfId="174" priority="187" operator="lessThan">
      <formula>0</formula>
    </cfRule>
  </conditionalFormatting>
  <conditionalFormatting sqref="JL105:JO105">
    <cfRule type="cellIs" dxfId="173" priority="186" operator="lessThan">
      <formula>0</formula>
    </cfRule>
  </conditionalFormatting>
  <conditionalFormatting sqref="JL106:JO106">
    <cfRule type="cellIs" dxfId="172" priority="185" operator="lessThan">
      <formula>0</formula>
    </cfRule>
  </conditionalFormatting>
  <conditionalFormatting sqref="JL107:JO107">
    <cfRule type="cellIs" dxfId="171" priority="184" operator="lessThan">
      <formula>0</formula>
    </cfRule>
  </conditionalFormatting>
  <conditionalFormatting sqref="JL108:JO108">
    <cfRule type="cellIs" dxfId="170" priority="183" operator="lessThan">
      <formula>0</formula>
    </cfRule>
  </conditionalFormatting>
  <conditionalFormatting sqref="JL109:JO110">
    <cfRule type="cellIs" dxfId="169" priority="182" operator="lessThan">
      <formula>0</formula>
    </cfRule>
  </conditionalFormatting>
  <conditionalFormatting sqref="JL104">
    <cfRule type="cellIs" dxfId="168" priority="181" operator="greaterThan">
      <formula>1</formula>
    </cfRule>
  </conditionalFormatting>
  <conditionalFormatting sqref="JM104">
    <cfRule type="cellIs" dxfId="167" priority="180" operator="greaterThan">
      <formula>1</formula>
    </cfRule>
  </conditionalFormatting>
  <conditionalFormatting sqref="JN104">
    <cfRule type="cellIs" dxfId="166" priority="179" operator="greaterThan">
      <formula>1</formula>
    </cfRule>
  </conditionalFormatting>
  <conditionalFormatting sqref="JO104">
    <cfRule type="cellIs" dxfId="165" priority="178" operator="greaterThan">
      <formula>1</formula>
    </cfRule>
  </conditionalFormatting>
  <conditionalFormatting sqref="JP104">
    <cfRule type="cellIs" dxfId="164" priority="177" operator="greaterThan">
      <formula>1</formula>
    </cfRule>
  </conditionalFormatting>
  <conditionalFormatting sqref="A107:B107 JJ107:XFD107">
    <cfRule type="cellIs" dxfId="163" priority="175" operator="lessThan">
      <formula>0</formula>
    </cfRule>
  </conditionalFormatting>
  <conditionalFormatting sqref="JL121:JO121">
    <cfRule type="cellIs" dxfId="162" priority="174" operator="lessThan">
      <formula>0</formula>
    </cfRule>
  </conditionalFormatting>
  <conditionalFormatting sqref="A121:B121 JJ121:XFD121">
    <cfRule type="cellIs" dxfId="161" priority="173" operator="lessThan">
      <formula>0</formula>
    </cfRule>
  </conditionalFormatting>
  <conditionalFormatting sqref="JL124:JO129">
    <cfRule type="cellIs" dxfId="160" priority="172" operator="lessThan">
      <formula>0</formula>
    </cfRule>
  </conditionalFormatting>
  <conditionalFormatting sqref="C27:AB27 AD27:JH27">
    <cfRule type="cellIs" dxfId="159" priority="116" operator="equal">
      <formula>0</formula>
    </cfRule>
  </conditionalFormatting>
  <conditionalFormatting sqref="JL132:JO132">
    <cfRule type="cellIs" dxfId="158" priority="164" operator="lessThan">
      <formula>0</formula>
    </cfRule>
  </conditionalFormatting>
  <conditionalFormatting sqref="JL132:JP132">
    <cfRule type="cellIs" dxfId="157" priority="163" operator="lessThan">
      <formula>0</formula>
    </cfRule>
  </conditionalFormatting>
  <conditionalFormatting sqref="JL117:JO117">
    <cfRule type="cellIs" dxfId="156" priority="162" operator="lessThan">
      <formula>0</formula>
    </cfRule>
  </conditionalFormatting>
  <conditionalFormatting sqref="JL120:JP120">
    <cfRule type="cellIs" dxfId="155" priority="166" operator="lessThan">
      <formula>0</formula>
    </cfRule>
  </conditionalFormatting>
  <conditionalFormatting sqref="C52:AB52 AD52:JH52">
    <cfRule type="cellIs" dxfId="154" priority="110" operator="lessThan">
      <formula>0</formula>
    </cfRule>
  </conditionalFormatting>
  <conditionalFormatting sqref="A158:B158 JJ158:XFD158 JJ159:JJ162">
    <cfRule type="cellIs" dxfId="153" priority="156" operator="lessThan">
      <formula>0</formula>
    </cfRule>
  </conditionalFormatting>
  <conditionalFormatting sqref="JL156:JO156">
    <cfRule type="cellIs" dxfId="152" priority="159" operator="lessThan">
      <formula>0</formula>
    </cfRule>
  </conditionalFormatting>
  <conditionalFormatting sqref="A156:B156 JJ156:XFD156">
    <cfRule type="cellIs" dxfId="151" priority="158" operator="lessThan">
      <formula>0</formula>
    </cfRule>
  </conditionalFormatting>
  <conditionalFormatting sqref="JL158:JO158">
    <cfRule type="cellIs" dxfId="150" priority="157" operator="lessThan">
      <formula>0</formula>
    </cfRule>
  </conditionalFormatting>
  <conditionalFormatting sqref="C117:AB117 AD117:JI117">
    <cfRule type="cellIs" dxfId="149" priority="95" operator="equal">
      <formula>0</formula>
    </cfRule>
  </conditionalFormatting>
  <conditionalFormatting sqref="A152:B152">
    <cfRule type="cellIs" dxfId="148" priority="154" operator="equal">
      <formula>0</formula>
    </cfRule>
  </conditionalFormatting>
  <conditionalFormatting sqref="JL152:JO152">
    <cfRule type="cellIs" dxfId="147" priority="153" operator="lessThan">
      <formula>0</formula>
    </cfRule>
  </conditionalFormatting>
  <conditionalFormatting sqref="JL152:JP152">
    <cfRule type="cellIs" dxfId="146" priority="152" operator="lessThan">
      <formula>0</formula>
    </cfRule>
  </conditionalFormatting>
  <conditionalFormatting sqref="GQ117">
    <cfRule type="cellIs" dxfId="145" priority="96" operator="equal">
      <formula>0</formula>
    </cfRule>
  </conditionalFormatting>
  <conditionalFormatting sqref="C156:AB156 AD156:JI156">
    <cfRule type="cellIs" dxfId="144" priority="89" operator="lessThan">
      <formula>0</formula>
    </cfRule>
  </conditionalFormatting>
  <conditionalFormatting sqref="JQ163:XFD163 A163:B163 JJ163:JK163">
    <cfRule type="cellIs" dxfId="143" priority="148" operator="lessThan">
      <formula>0</formula>
    </cfRule>
  </conditionalFormatting>
  <conditionalFormatting sqref="JL161:JO161">
    <cfRule type="cellIs" dxfId="142" priority="147" operator="lessThan">
      <formula>0</formula>
    </cfRule>
  </conditionalFormatting>
  <conditionalFormatting sqref="JL161:JP161">
    <cfRule type="cellIs" dxfId="141" priority="146" operator="lessThan">
      <formula>0</formula>
    </cfRule>
  </conditionalFormatting>
  <conditionalFormatting sqref="JL162:JO162">
    <cfRule type="cellIs" dxfId="140" priority="145" operator="lessThan">
      <formula>0</formula>
    </cfRule>
  </conditionalFormatting>
  <conditionalFormatting sqref="JL162:JP162">
    <cfRule type="cellIs" dxfId="139" priority="144" operator="lessThan">
      <formula>0</formula>
    </cfRule>
  </conditionalFormatting>
  <conditionalFormatting sqref="JL163:JO163">
    <cfRule type="cellIs" dxfId="138" priority="143" operator="lessThan">
      <formula>0</formula>
    </cfRule>
  </conditionalFormatting>
  <conditionalFormatting sqref="JL163:JP163">
    <cfRule type="cellIs" dxfId="137" priority="142" operator="lessThan">
      <formula>0</formula>
    </cfRule>
  </conditionalFormatting>
  <conditionalFormatting sqref="JI167:JI169">
    <cfRule type="cellIs" dxfId="136" priority="81" operator="lessThan">
      <formula>0</formula>
    </cfRule>
  </conditionalFormatting>
  <conditionalFormatting sqref="C137:AB137 AD137:JH137">
    <cfRule type="cellIs" dxfId="135" priority="80" operator="lessThan">
      <formula>0</formula>
    </cfRule>
  </conditionalFormatting>
  <conditionalFormatting sqref="JL164:JO164">
    <cfRule type="cellIs" dxfId="134" priority="134" operator="lessThan">
      <formula>0</formula>
    </cfRule>
  </conditionalFormatting>
  <conditionalFormatting sqref="JL165:JO165">
    <cfRule type="cellIs" dxfId="133" priority="133" operator="lessThan">
      <formula>0</formula>
    </cfRule>
  </conditionalFormatting>
  <conditionalFormatting sqref="A160:B160 JK160:XFD160">
    <cfRule type="cellIs" dxfId="132" priority="121" operator="lessThan">
      <formula>0</formula>
    </cfRule>
    <cfRule type="cellIs" dxfId="131" priority="137" operator="lessThan">
      <formula>0</formula>
    </cfRule>
  </conditionalFormatting>
  <conditionalFormatting sqref="A63:B63 JJ63:XFD63">
    <cfRule type="cellIs" dxfId="130" priority="131" operator="greaterThan">
      <formula>0.01</formula>
    </cfRule>
  </conditionalFormatting>
  <conditionalFormatting sqref="A67:B67 JJ67:XFD67">
    <cfRule type="cellIs" dxfId="129" priority="130" operator="greaterThan">
      <formula>0</formula>
    </cfRule>
  </conditionalFormatting>
  <conditionalFormatting sqref="C192:AB192 AD192:JH192">
    <cfRule type="cellIs" dxfId="128" priority="67" operator="lessThan">
      <formula>0</formula>
    </cfRule>
  </conditionalFormatting>
  <conditionalFormatting sqref="C186:AB186 AD186:ES186">
    <cfRule type="cellIs" dxfId="127" priority="71" operator="lessThan">
      <formula>0</formula>
    </cfRule>
  </conditionalFormatting>
  <conditionalFormatting sqref="JO9">
    <cfRule type="cellIs" dxfId="126" priority="125" operator="lessThan">
      <formula>0</formula>
    </cfRule>
  </conditionalFormatting>
  <conditionalFormatting sqref="EW191:HK191">
    <cfRule type="cellIs" dxfId="125" priority="69" operator="lessThan">
      <formula>0</formula>
    </cfRule>
  </conditionalFormatting>
  <conditionalFormatting sqref="HL191:JH191">
    <cfRule type="cellIs" dxfId="124" priority="68" operator="lessThan">
      <formula>0</formula>
    </cfRule>
  </conditionalFormatting>
  <conditionalFormatting sqref="C12:AB13 AD12:JH13">
    <cfRule type="cellIs" dxfId="123" priority="120" operator="equal">
      <formula>0</formula>
    </cfRule>
  </conditionalFormatting>
  <conditionalFormatting sqref="C29:AB34 AD29:JH34 JI34">
    <cfRule type="cellIs" dxfId="122" priority="119" operator="equal">
      <formula>0</formula>
    </cfRule>
  </conditionalFormatting>
  <conditionalFormatting sqref="C55:AB62 C70:AB71 AD70:JH71 AD55:JH62">
    <cfRule type="cellIs" dxfId="121" priority="118" operator="lessThan">
      <formula>0</formula>
    </cfRule>
  </conditionalFormatting>
  <conditionalFormatting sqref="C10:AB11 AD10:JH11">
    <cfRule type="cellIs" dxfId="120" priority="117" operator="equal">
      <formula>0</formula>
    </cfRule>
  </conditionalFormatting>
  <conditionalFormatting sqref="C28:AB28 AD28:JH28">
    <cfRule type="cellIs" dxfId="119" priority="115" operator="equal">
      <formula>0</formula>
    </cfRule>
  </conditionalFormatting>
  <conditionalFormatting sqref="C20:AB22 AD20:JH22">
    <cfRule type="cellIs" dxfId="118" priority="114" operator="equal">
      <formula>0</formula>
    </cfRule>
  </conditionalFormatting>
  <conditionalFormatting sqref="C19:AB19 AD19:JH19">
    <cfRule type="cellIs" dxfId="117" priority="113" operator="equal">
      <formula>0</formula>
    </cfRule>
  </conditionalFormatting>
  <conditionalFormatting sqref="C16:AB16 AD16:JH16">
    <cfRule type="cellIs" dxfId="116" priority="112" operator="lessThan">
      <formula>0</formula>
    </cfRule>
  </conditionalFormatting>
  <conditionalFormatting sqref="C15:AB15 AD15:JH15">
    <cfRule type="cellIs" dxfId="115" priority="111" operator="lessThan">
      <formula>0</formula>
    </cfRule>
  </conditionalFormatting>
  <conditionalFormatting sqref="C89:AB89 AD89:JH89">
    <cfRule type="cellIs" dxfId="114" priority="109" operator="lessThan">
      <formula>0</formula>
    </cfRule>
  </conditionalFormatting>
  <conditionalFormatting sqref="C50:AB50 AD50:JH50">
    <cfRule type="cellIs" dxfId="113" priority="108" operator="equal">
      <formula>0</formula>
    </cfRule>
  </conditionalFormatting>
  <conditionalFormatting sqref="C92:AB92 AD92:JH92">
    <cfRule type="cellIs" dxfId="112" priority="107" operator="equal">
      <formula>0</formula>
    </cfRule>
  </conditionalFormatting>
  <conditionalFormatting sqref="C93:AB93 AD93:JH93">
    <cfRule type="cellIs" dxfId="111" priority="106" operator="equal">
      <formula>0</formula>
    </cfRule>
  </conditionalFormatting>
  <conditionalFormatting sqref="C94:AB94 AD94:JH94">
    <cfRule type="cellIs" dxfId="110" priority="105" operator="equal">
      <formula>0</formula>
    </cfRule>
  </conditionalFormatting>
  <conditionalFormatting sqref="C96:AB96 AD96:JH96">
    <cfRule type="cellIs" dxfId="109" priority="104" operator="equal">
      <formula>0</formula>
    </cfRule>
  </conditionalFormatting>
  <conditionalFormatting sqref="C109:AB109 AD109:JH109">
    <cfRule type="cellIs" dxfId="108" priority="103" operator="lessThan">
      <formula>0</formula>
    </cfRule>
  </conditionalFormatting>
  <conditionalFormatting sqref="C108:AB108 AD108:JH108">
    <cfRule type="cellIs" dxfId="107" priority="102" operator="lessThan">
      <formula>0</formula>
    </cfRule>
  </conditionalFormatting>
  <conditionalFormatting sqref="C100:AB100 AD100:JI100">
    <cfRule type="cellIs" dxfId="106" priority="100" operator="lessThan">
      <formula>0</formula>
    </cfRule>
    <cfRule type="cellIs" dxfId="105" priority="101" operator="equal">
      <formula>0</formula>
    </cfRule>
  </conditionalFormatting>
  <conditionalFormatting sqref="C104:AB104 AD104:JI104">
    <cfRule type="cellIs" dxfId="104" priority="99" operator="greaterThan">
      <formula>1</formula>
    </cfRule>
  </conditionalFormatting>
  <conditionalFormatting sqref="C97:AB98 AD97:JH98">
    <cfRule type="cellIs" dxfId="103" priority="98" operator="equal">
      <formula>0</formula>
    </cfRule>
  </conditionalFormatting>
  <conditionalFormatting sqref="C89:AB89 AD89:JI89">
    <cfRule type="cellIs" dxfId="102" priority="97" operator="equal">
      <formula>0</formula>
    </cfRule>
  </conditionalFormatting>
  <conditionalFormatting sqref="C111:AB111 AD111:JH111">
    <cfRule type="cellIs" dxfId="101" priority="91" operator="equal">
      <formula>0</formula>
    </cfRule>
  </conditionalFormatting>
  <conditionalFormatting sqref="C110:AB110 AD110:JH110">
    <cfRule type="colorScale" priority="94">
      <colorScale>
        <cfvo type="min"/>
        <cfvo type="max"/>
        <color theme="7" tint="0.79998168889431442"/>
        <color theme="7" tint="-0.499984740745262"/>
      </colorScale>
    </cfRule>
  </conditionalFormatting>
  <conditionalFormatting sqref="C107:AB107 AD107:JI107">
    <cfRule type="cellIs" dxfId="100" priority="93" operator="lessThan">
      <formula>0</formula>
    </cfRule>
  </conditionalFormatting>
  <conditionalFormatting sqref="JI119:JI120 D121:AB121 AD121:JI121">
    <cfRule type="cellIs" dxfId="99" priority="92" operator="lessThan">
      <formula>0</formula>
    </cfRule>
  </conditionalFormatting>
  <conditionalFormatting sqref="C121:AB121 AD121:HL121">
    <cfRule type="cellIs" dxfId="98" priority="90" operator="lessThan">
      <formula>0</formula>
    </cfRule>
  </conditionalFormatting>
  <conditionalFormatting sqref="C158:AB158 AD158:JH158">
    <cfRule type="cellIs" dxfId="97" priority="88" operator="lessThan">
      <formula>0</formula>
    </cfRule>
  </conditionalFormatting>
  <conditionalFormatting sqref="GQ152">
    <cfRule type="cellIs" dxfId="96" priority="87" operator="equal">
      <formula>0</formula>
    </cfRule>
  </conditionalFormatting>
  <conditionalFormatting sqref="C152:AB152 AD152:JI152">
    <cfRule type="cellIs" dxfId="95" priority="86" operator="equal">
      <formula>0</formula>
    </cfRule>
  </conditionalFormatting>
  <conditionalFormatting sqref="C9:AB9 AD9:JH9">
    <cfRule type="cellIs" dxfId="94" priority="83" operator="lessThan">
      <formula>0</formula>
    </cfRule>
  </conditionalFormatting>
  <conditionalFormatting sqref="JI161:JI162 C163:AB163 AD163:JI163">
    <cfRule type="cellIs" dxfId="93" priority="82" operator="lessThan">
      <formula>0</formula>
    </cfRule>
  </conditionalFormatting>
  <conditionalFormatting sqref="C160:AB160 AD160:JH160">
    <cfRule type="cellIs" dxfId="92" priority="66" operator="lessThan">
      <formula>0</formula>
    </cfRule>
    <cfRule type="cellIs" dxfId="91" priority="79" operator="lessThan">
      <formula>0</formula>
    </cfRule>
  </conditionalFormatting>
  <conditionalFormatting sqref="C165:AB165 AD165:JH165">
    <cfRule type="cellIs" dxfId="90" priority="78" operator="lessThan">
      <formula>0</formula>
    </cfRule>
  </conditionalFormatting>
  <conditionalFormatting sqref="C164:AB164 AD164:JH164">
    <cfRule type="cellIs" dxfId="89" priority="77" operator="lessThan">
      <formula>0</formula>
    </cfRule>
  </conditionalFormatting>
  <conditionalFormatting sqref="C63:AB63 AD63:JI63">
    <cfRule type="cellIs" dxfId="88" priority="75" operator="greaterThan">
      <formula>0.01</formula>
    </cfRule>
  </conditionalFormatting>
  <conditionalFormatting sqref="C67:AB67 AD67:JI67">
    <cfRule type="cellIs" dxfId="87" priority="74" operator="greaterThan">
      <formula>0</formula>
    </cfRule>
  </conditionalFormatting>
  <conditionalFormatting sqref="JL159:JO159">
    <cfRule type="cellIs" dxfId="86" priority="62" operator="lessThan">
      <formula>0</formula>
    </cfRule>
  </conditionalFormatting>
  <conditionalFormatting sqref="JI159">
    <cfRule type="cellIs" dxfId="85" priority="65" operator="lessThan">
      <formula>0</formula>
    </cfRule>
  </conditionalFormatting>
  <conditionalFormatting sqref="GQ159">
    <cfRule type="cellIs" dxfId="84" priority="64" operator="equal">
      <formula>0</formula>
    </cfRule>
  </conditionalFormatting>
  <conditionalFormatting sqref="A159:AB159 AD159:JH159">
    <cfRule type="cellIs" dxfId="83" priority="63" operator="equal">
      <formula>0</formula>
    </cfRule>
  </conditionalFormatting>
  <conditionalFormatting sqref="JL159:JP159">
    <cfRule type="cellIs" dxfId="82" priority="61" operator="lessThan">
      <formula>0</formula>
    </cfRule>
  </conditionalFormatting>
  <conditionalFormatting sqref="A173:V173 X173:AB173 AD173:XFD173">
    <cfRule type="cellIs" dxfId="81" priority="56" operator="lessThan">
      <formula>0</formula>
    </cfRule>
  </conditionalFormatting>
  <conditionalFormatting sqref="A178:AB179 AD178:XFD179 B180:B182">
    <cfRule type="cellIs" dxfId="80" priority="54" operator="lessThan">
      <formula>0</formula>
    </cfRule>
    <cfRule type="cellIs" dxfId="79" priority="55" operator="greaterThan">
      <formula>0</formula>
    </cfRule>
  </conditionalFormatting>
  <conditionalFormatting sqref="W173">
    <cfRule type="cellIs" dxfId="78" priority="53" operator="lessThan">
      <formula>0</formula>
    </cfRule>
  </conditionalFormatting>
  <conditionalFormatting sqref="JL115:JP115">
    <cfRule type="cellIs" dxfId="77" priority="51" operator="lessThan">
      <formula>0</formula>
    </cfRule>
  </conditionalFormatting>
  <conditionalFormatting sqref="JL115:JO115">
    <cfRule type="cellIs" dxfId="76" priority="52" operator="lessThan">
      <formula>0</formula>
    </cfRule>
  </conditionalFormatting>
  <conditionalFormatting sqref="AC27">
    <cfRule type="cellIs" dxfId="75" priority="46" operator="equal">
      <formula>0</formula>
    </cfRule>
  </conditionalFormatting>
  <conditionalFormatting sqref="AC52">
    <cfRule type="cellIs" dxfId="74" priority="40" operator="lessThan">
      <formula>0</formula>
    </cfRule>
  </conditionalFormatting>
  <conditionalFormatting sqref="AC117">
    <cfRule type="cellIs" dxfId="73" priority="26" operator="equal">
      <formula>0</formula>
    </cfRule>
  </conditionalFormatting>
  <conditionalFormatting sqref="AC156">
    <cfRule type="cellIs" dxfId="72" priority="20" operator="lessThan">
      <formula>0</formula>
    </cfRule>
  </conditionalFormatting>
  <conditionalFormatting sqref="AC137">
    <cfRule type="cellIs" dxfId="71" priority="15" operator="lessThan">
      <formula>0</formula>
    </cfRule>
  </conditionalFormatting>
  <conditionalFormatting sqref="AC192">
    <cfRule type="cellIs" dxfId="70" priority="8" operator="lessThan">
      <formula>0</formula>
    </cfRule>
  </conditionalFormatting>
  <conditionalFormatting sqref="AC186">
    <cfRule type="cellIs" dxfId="69" priority="9" operator="lessThan">
      <formula>0</formula>
    </cfRule>
  </conditionalFormatting>
  <conditionalFormatting sqref="AC12:AC13">
    <cfRule type="cellIs" dxfId="68" priority="50" operator="equal">
      <formula>0</formula>
    </cfRule>
  </conditionalFormatting>
  <conditionalFormatting sqref="AC29:AC34">
    <cfRule type="cellIs" dxfId="67" priority="49" operator="equal">
      <formula>0</formula>
    </cfRule>
  </conditionalFormatting>
  <conditionalFormatting sqref="AC55:AC62 AC70:AC71">
    <cfRule type="cellIs" dxfId="66" priority="48" operator="lessThan">
      <formula>0</formula>
    </cfRule>
  </conditionalFormatting>
  <conditionalFormatting sqref="AC10:AC11">
    <cfRule type="cellIs" dxfId="65" priority="47" operator="equal">
      <formula>0</formula>
    </cfRule>
  </conditionalFormatting>
  <conditionalFormatting sqref="AC28">
    <cfRule type="cellIs" dxfId="64" priority="45" operator="equal">
      <formula>0</formula>
    </cfRule>
  </conditionalFormatting>
  <conditionalFormatting sqref="AC20:AC22">
    <cfRule type="cellIs" dxfId="63" priority="44" operator="equal">
      <formula>0</formula>
    </cfRule>
  </conditionalFormatting>
  <conditionalFormatting sqref="AC19">
    <cfRule type="cellIs" dxfId="62" priority="43" operator="equal">
      <formula>0</formula>
    </cfRule>
  </conditionalFormatting>
  <conditionalFormatting sqref="AC16">
    <cfRule type="cellIs" dxfId="61" priority="42" operator="lessThan">
      <formula>0</formula>
    </cfRule>
  </conditionalFormatting>
  <conditionalFormatting sqref="AC15">
    <cfRule type="cellIs" dxfId="60" priority="41" operator="lessThan">
      <formula>0</formula>
    </cfRule>
  </conditionalFormatting>
  <conditionalFormatting sqref="AC89">
    <cfRule type="cellIs" dxfId="59" priority="39" operator="lessThan">
      <formula>0</formula>
    </cfRule>
  </conditionalFormatting>
  <conditionalFormatting sqref="AC50">
    <cfRule type="cellIs" dxfId="58" priority="38" operator="equal">
      <formula>0</formula>
    </cfRule>
  </conditionalFormatting>
  <conditionalFormatting sqref="AC92">
    <cfRule type="cellIs" dxfId="57" priority="37" operator="equal">
      <formula>0</formula>
    </cfRule>
  </conditionalFormatting>
  <conditionalFormatting sqref="AC93">
    <cfRule type="cellIs" dxfId="56" priority="36" operator="equal">
      <formula>0</formula>
    </cfRule>
  </conditionalFormatting>
  <conditionalFormatting sqref="AC94">
    <cfRule type="cellIs" dxfId="55" priority="35" operator="equal">
      <formula>0</formula>
    </cfRule>
  </conditionalFormatting>
  <conditionalFormatting sqref="AC96">
    <cfRule type="cellIs" dxfId="54" priority="34" operator="equal">
      <formula>0</formula>
    </cfRule>
  </conditionalFormatting>
  <conditionalFormatting sqref="AC109">
    <cfRule type="cellIs" dxfId="53" priority="33" operator="lessThan">
      <formula>0</formula>
    </cfRule>
  </conditionalFormatting>
  <conditionalFormatting sqref="AC108">
    <cfRule type="cellIs" dxfId="52" priority="32" operator="lessThan">
      <formula>0</formula>
    </cfRule>
  </conditionalFormatting>
  <conditionalFormatting sqref="AC100">
    <cfRule type="cellIs" dxfId="51" priority="30" operator="lessThan">
      <formula>0</formula>
    </cfRule>
    <cfRule type="cellIs" dxfId="50" priority="31" operator="equal">
      <formula>0</formula>
    </cfRule>
  </conditionalFormatting>
  <conditionalFormatting sqref="AC104">
    <cfRule type="cellIs" dxfId="49" priority="29" operator="greaterThan">
      <formula>1</formula>
    </cfRule>
  </conditionalFormatting>
  <conditionalFormatting sqref="AC97:AC98">
    <cfRule type="cellIs" dxfId="48" priority="28" operator="equal">
      <formula>0</formula>
    </cfRule>
  </conditionalFormatting>
  <conditionalFormatting sqref="AC89">
    <cfRule type="cellIs" dxfId="47" priority="27" operator="equal">
      <formula>0</formula>
    </cfRule>
  </conditionalFormatting>
  <conditionalFormatting sqref="AC111">
    <cfRule type="cellIs" dxfId="46" priority="22" operator="equal">
      <formula>0</formula>
    </cfRule>
  </conditionalFormatting>
  <conditionalFormatting sqref="AC110">
    <cfRule type="colorScale" priority="25">
      <colorScale>
        <cfvo type="min"/>
        <cfvo type="max"/>
        <color theme="7" tint="0.79998168889431442"/>
        <color theme="7" tint="-0.499984740745262"/>
      </colorScale>
    </cfRule>
  </conditionalFormatting>
  <conditionalFormatting sqref="AC107">
    <cfRule type="cellIs" dxfId="45" priority="24" operator="lessThan">
      <formula>0</formula>
    </cfRule>
  </conditionalFormatting>
  <conditionalFormatting sqref="AC121">
    <cfRule type="cellIs" dxfId="44" priority="23" operator="lessThan">
      <formula>0</formula>
    </cfRule>
  </conditionalFormatting>
  <conditionalFormatting sqref="AC121">
    <cfRule type="cellIs" dxfId="43" priority="21" operator="lessThan">
      <formula>0</formula>
    </cfRule>
  </conditionalFormatting>
  <conditionalFormatting sqref="AC158">
    <cfRule type="cellIs" dxfId="42" priority="19" operator="lessThan">
      <formula>0</formula>
    </cfRule>
  </conditionalFormatting>
  <conditionalFormatting sqref="AC152">
    <cfRule type="cellIs" dxfId="41" priority="18" operator="equal">
      <formula>0</formula>
    </cfRule>
  </conditionalFormatting>
  <conditionalFormatting sqref="AC9">
    <cfRule type="cellIs" dxfId="40" priority="17" operator="lessThan">
      <formula>0</formula>
    </cfRule>
  </conditionalFormatting>
  <conditionalFormatting sqref="AC163">
    <cfRule type="cellIs" dxfId="39" priority="16" operator="lessThan">
      <formula>0</formula>
    </cfRule>
  </conditionalFormatting>
  <conditionalFormatting sqref="AC160">
    <cfRule type="cellIs" dxfId="38" priority="7" operator="lessThan">
      <formula>0</formula>
    </cfRule>
    <cfRule type="cellIs" dxfId="37" priority="14" operator="lessThan">
      <formula>0</formula>
    </cfRule>
  </conditionalFormatting>
  <conditionalFormatting sqref="AC165">
    <cfRule type="cellIs" dxfId="36" priority="13" operator="lessThan">
      <formula>0</formula>
    </cfRule>
  </conditionalFormatting>
  <conditionalFormatting sqref="AC164">
    <cfRule type="cellIs" dxfId="35" priority="12" operator="lessThan">
      <formula>0</formula>
    </cfRule>
  </conditionalFormatting>
  <conditionalFormatting sqref="AC63">
    <cfRule type="cellIs" dxfId="34" priority="11" operator="greaterThan">
      <formula>0.01</formula>
    </cfRule>
  </conditionalFormatting>
  <conditionalFormatting sqref="AC67">
    <cfRule type="cellIs" dxfId="33" priority="10" operator="greaterThan">
      <formula>0</formula>
    </cfRule>
  </conditionalFormatting>
  <conditionalFormatting sqref="AC159">
    <cfRule type="cellIs" dxfId="32" priority="6" operator="equal">
      <formula>0</formula>
    </cfRule>
  </conditionalFormatting>
  <conditionalFormatting sqref="AC173">
    <cfRule type="cellIs" dxfId="31" priority="5" operator="lessThan">
      <formula>0</formula>
    </cfRule>
  </conditionalFormatting>
  <conditionalFormatting sqref="AC178:AC179">
    <cfRule type="cellIs" dxfId="30" priority="3" operator="lessThan">
      <formula>0</formula>
    </cfRule>
    <cfRule type="cellIs" dxfId="29" priority="4" operator="greaterThan">
      <formula>0</formula>
    </cfRule>
  </conditionalFormatting>
  <conditionalFormatting sqref="B35:B36">
    <cfRule type="cellIs" dxfId="28" priority="1" operator="lessThan">
      <formula>0</formula>
    </cfRule>
    <cfRule type="cellIs" dxfId="27" priority="2" operator="greaterThan">
      <formula>0</formula>
    </cfRule>
  </conditionalFormatting>
  <pageMargins left="0.23622047244094491" right="0.23622047244094491" top="0.74803149606299213" bottom="0.74803149606299213" header="0.31496062992125984" footer="0.31496062992125984"/>
  <pageSetup paperSize="9" scale="75" fitToWidth="31" orientation="landscape" r:id="rId1"/>
  <headerFooter>
    <oddHeader>&amp;L&amp;F&amp;C&amp;A&amp;R&amp;D</oddHeader>
    <oddFooter>&amp;C&amp;P z &amp;N</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66"/>
  <sheetViews>
    <sheetView workbookViewId="0"/>
  </sheetViews>
  <sheetFormatPr defaultColWidth="8.85546875" defaultRowHeight="15" x14ac:dyDescent="0.25"/>
  <cols>
    <col min="1" max="1" width="8.85546875" style="843"/>
    <col min="2" max="2" width="17.85546875" style="843" customWidth="1"/>
    <col min="3" max="3" width="29.28515625" style="843" customWidth="1"/>
    <col min="4" max="4" width="15.7109375" style="843" customWidth="1"/>
    <col min="5" max="5" width="13.7109375" style="843" customWidth="1"/>
    <col min="6" max="6" width="12.85546875" style="843" customWidth="1"/>
    <col min="7" max="7" width="16.28515625" style="843" customWidth="1"/>
    <col min="8" max="8" width="10.28515625" style="843" customWidth="1"/>
    <col min="9" max="16384" width="8.85546875" style="843"/>
  </cols>
  <sheetData>
    <row r="1" spans="1:10" ht="45.75" thickBot="1" x14ac:dyDescent="0.3">
      <c r="A1" s="165" t="s">
        <v>37</v>
      </c>
      <c r="B1" s="166" t="s">
        <v>1040</v>
      </c>
      <c r="C1" s="166" t="s">
        <v>40</v>
      </c>
      <c r="D1" s="167" t="s">
        <v>38</v>
      </c>
      <c r="E1" s="165" t="s">
        <v>69</v>
      </c>
      <c r="F1" s="166" t="s">
        <v>2808</v>
      </c>
      <c r="G1" s="167" t="s">
        <v>80</v>
      </c>
    </row>
    <row r="2" spans="1:10" x14ac:dyDescent="0.25">
      <c r="A2" s="855">
        <v>3673053</v>
      </c>
      <c r="B2" s="856" t="s">
        <v>214</v>
      </c>
      <c r="C2" s="856" t="s">
        <v>219</v>
      </c>
      <c r="D2" s="857" t="s">
        <v>217</v>
      </c>
      <c r="E2" s="858">
        <v>10747751</v>
      </c>
      <c r="F2" s="859">
        <f>HLOOKUP($A2,'Hodnocení '!$C$1:$JI$183,155,FALSE)</f>
        <v>10328000</v>
      </c>
      <c r="G2" s="857"/>
      <c r="H2" s="848"/>
      <c r="J2" s="848"/>
    </row>
    <row r="3" spans="1:10" x14ac:dyDescent="0.25">
      <c r="A3" s="150">
        <v>6152074</v>
      </c>
      <c r="B3" s="151" t="s">
        <v>214</v>
      </c>
      <c r="C3" s="151" t="s">
        <v>226</v>
      </c>
      <c r="D3" s="152" t="s">
        <v>225</v>
      </c>
      <c r="E3" s="852">
        <v>4618835</v>
      </c>
      <c r="F3" s="851">
        <f>HLOOKUP($A3,'Hodnocení '!$C$1:$JI$183,155,FALSE)</f>
        <v>3616880</v>
      </c>
      <c r="G3" s="152"/>
      <c r="H3" s="848"/>
      <c r="J3" s="848"/>
    </row>
    <row r="4" spans="1:10" ht="45" x14ac:dyDescent="0.25">
      <c r="A4" s="150">
        <v>7365832</v>
      </c>
      <c r="B4" s="151" t="s">
        <v>214</v>
      </c>
      <c r="C4" s="151" t="s">
        <v>231</v>
      </c>
      <c r="D4" s="152" t="s">
        <v>229</v>
      </c>
      <c r="E4" s="852">
        <v>1157858</v>
      </c>
      <c r="F4" s="851">
        <f>HLOOKUP($A4,'Hodnocení '!$C$1:$JI$183,155,FALSE)</f>
        <v>0</v>
      </c>
      <c r="G4" s="152" t="s">
        <v>2466</v>
      </c>
      <c r="H4" s="848"/>
      <c r="J4" s="848"/>
    </row>
    <row r="5" spans="1:10" ht="30" x14ac:dyDescent="0.25">
      <c r="A5" s="150">
        <v>9767213</v>
      </c>
      <c r="B5" s="151" t="s">
        <v>214</v>
      </c>
      <c r="C5" s="151" t="s">
        <v>236</v>
      </c>
      <c r="D5" s="152" t="s">
        <v>235</v>
      </c>
      <c r="E5" s="852">
        <v>3164198</v>
      </c>
      <c r="F5" s="851">
        <f>HLOOKUP($A5,'Hodnocení '!$C$1:$JI$183,155,FALSE)</f>
        <v>0</v>
      </c>
      <c r="G5" s="152" t="s">
        <v>2466</v>
      </c>
      <c r="H5" s="848"/>
      <c r="J5" s="848"/>
    </row>
    <row r="6" spans="1:10" ht="30" x14ac:dyDescent="0.25">
      <c r="A6" s="150">
        <v>4885366</v>
      </c>
      <c r="B6" s="151" t="s">
        <v>240</v>
      </c>
      <c r="C6" s="151" t="s">
        <v>243</v>
      </c>
      <c r="D6" s="152" t="s">
        <v>235</v>
      </c>
      <c r="E6" s="852">
        <v>2915400</v>
      </c>
      <c r="F6" s="851">
        <f>HLOOKUP($A6,'Hodnocení '!$C$1:$JI$183,155,FALSE)</f>
        <v>0</v>
      </c>
      <c r="G6" s="152" t="s">
        <v>2466</v>
      </c>
      <c r="H6" s="848"/>
      <c r="J6" s="848"/>
    </row>
    <row r="7" spans="1:10" ht="30" x14ac:dyDescent="0.25">
      <c r="A7" s="150">
        <v>1758706</v>
      </c>
      <c r="B7" s="151" t="s">
        <v>249</v>
      </c>
      <c r="C7" s="151" t="s">
        <v>252</v>
      </c>
      <c r="D7" s="152" t="s">
        <v>251</v>
      </c>
      <c r="E7" s="852">
        <v>5988080</v>
      </c>
      <c r="F7" s="851">
        <f>HLOOKUP($A7,'Hodnocení '!$C$1:$JI$183,155,FALSE)</f>
        <v>5988080</v>
      </c>
      <c r="G7" s="152"/>
      <c r="H7" s="848"/>
      <c r="J7" s="848"/>
    </row>
    <row r="8" spans="1:10" ht="60" x14ac:dyDescent="0.25">
      <c r="A8" s="150">
        <v>5000179</v>
      </c>
      <c r="B8" s="151" t="s">
        <v>257</v>
      </c>
      <c r="C8" s="151" t="s">
        <v>261</v>
      </c>
      <c r="D8" s="152" t="s">
        <v>260</v>
      </c>
      <c r="E8" s="852">
        <v>50500000</v>
      </c>
      <c r="F8" s="851">
        <f>HLOOKUP($A8,'Hodnocení '!$C$1:$JI$183,155,FALSE)</f>
        <v>25331490</v>
      </c>
      <c r="G8" s="152"/>
      <c r="H8" s="848"/>
      <c r="J8" s="848"/>
    </row>
    <row r="9" spans="1:10" ht="45" x14ac:dyDescent="0.25">
      <c r="A9" s="150">
        <v>6163071</v>
      </c>
      <c r="B9" s="151" t="s">
        <v>257</v>
      </c>
      <c r="C9" s="151" t="s">
        <v>265</v>
      </c>
      <c r="D9" s="152" t="s">
        <v>229</v>
      </c>
      <c r="E9" s="852">
        <v>1010000</v>
      </c>
      <c r="F9" s="851">
        <f>HLOOKUP($A9,'Hodnocení '!$C$1:$JI$183,155,FALSE)</f>
        <v>0</v>
      </c>
      <c r="G9" s="152" t="s">
        <v>2466</v>
      </c>
      <c r="H9" s="848"/>
      <c r="J9" s="848"/>
    </row>
    <row r="10" spans="1:10" ht="30" x14ac:dyDescent="0.25">
      <c r="A10" s="150">
        <v>8504548</v>
      </c>
      <c r="B10" s="151" t="s">
        <v>257</v>
      </c>
      <c r="C10" s="151" t="s">
        <v>268</v>
      </c>
      <c r="D10" s="152" t="s">
        <v>267</v>
      </c>
      <c r="E10" s="852">
        <v>30959000</v>
      </c>
      <c r="F10" s="851">
        <f>HLOOKUP($A10,'Hodnocení '!$C$1:$JI$183,155,FALSE)</f>
        <v>18062110</v>
      </c>
      <c r="G10" s="152"/>
      <c r="H10" s="848"/>
      <c r="J10" s="848"/>
    </row>
    <row r="11" spans="1:10" x14ac:dyDescent="0.25">
      <c r="A11" s="150">
        <v>3346325</v>
      </c>
      <c r="B11" s="151" t="s">
        <v>270</v>
      </c>
      <c r="C11" s="151" t="s">
        <v>270</v>
      </c>
      <c r="D11" s="152" t="s">
        <v>273</v>
      </c>
      <c r="E11" s="852">
        <v>4702400</v>
      </c>
      <c r="F11" s="851">
        <f>HLOOKUP($A11,'Hodnocení '!$C$1:$JI$183,155,FALSE)</f>
        <v>3774970</v>
      </c>
      <c r="G11" s="152"/>
      <c r="H11" s="848"/>
      <c r="J11" s="848"/>
    </row>
    <row r="12" spans="1:10" ht="45" x14ac:dyDescent="0.25">
      <c r="A12" s="150">
        <v>2039109</v>
      </c>
      <c r="B12" s="151" t="s">
        <v>281</v>
      </c>
      <c r="C12" s="151" t="s">
        <v>283</v>
      </c>
      <c r="D12" s="152" t="s">
        <v>225</v>
      </c>
      <c r="E12" s="852">
        <v>4800000</v>
      </c>
      <c r="F12" s="851">
        <f>HLOOKUP($A12,'Hodnocení '!$C$1:$JI$183,155,FALSE)</f>
        <v>3667780</v>
      </c>
      <c r="G12" s="152"/>
      <c r="H12" s="848"/>
      <c r="J12" s="848"/>
    </row>
    <row r="13" spans="1:10" ht="30" x14ac:dyDescent="0.25">
      <c r="A13" s="150">
        <v>5020855</v>
      </c>
      <c r="B13" s="151" t="s">
        <v>281</v>
      </c>
      <c r="C13" s="151" t="s">
        <v>287</v>
      </c>
      <c r="D13" s="152" t="s">
        <v>286</v>
      </c>
      <c r="E13" s="852">
        <v>6300000</v>
      </c>
      <c r="F13" s="851">
        <f>HLOOKUP($A13,'Hodnocení '!$C$1:$JI$183,155,FALSE)</f>
        <v>5245000</v>
      </c>
      <c r="G13" s="152"/>
      <c r="H13" s="848"/>
      <c r="J13" s="848"/>
    </row>
    <row r="14" spans="1:10" ht="90" x14ac:dyDescent="0.25">
      <c r="A14" s="150">
        <v>6565086</v>
      </c>
      <c r="B14" s="151" t="s">
        <v>290</v>
      </c>
      <c r="C14" s="151" t="s">
        <v>294</v>
      </c>
      <c r="D14" s="152" t="s">
        <v>292</v>
      </c>
      <c r="E14" s="852">
        <v>4346141</v>
      </c>
      <c r="F14" s="851">
        <f>HLOOKUP($A14,'Hodnocení '!$C$1:$JI$183,155,FALSE)</f>
        <v>4306140</v>
      </c>
      <c r="G14" s="152"/>
      <c r="H14" s="848"/>
      <c r="J14" s="848"/>
    </row>
    <row r="15" spans="1:10" ht="90" x14ac:dyDescent="0.25">
      <c r="A15" s="150">
        <v>6630553</v>
      </c>
      <c r="B15" s="151" t="s">
        <v>290</v>
      </c>
      <c r="C15" s="151" t="s">
        <v>301</v>
      </c>
      <c r="D15" s="152" t="s">
        <v>300</v>
      </c>
      <c r="E15" s="852">
        <v>2694928</v>
      </c>
      <c r="F15" s="851">
        <f>HLOOKUP($A15,'Hodnocení '!$C$1:$JI$183,155,FALSE)</f>
        <v>2453030</v>
      </c>
      <c r="G15" s="152"/>
      <c r="H15" s="848"/>
      <c r="J15" s="848"/>
    </row>
    <row r="16" spans="1:10" ht="45" x14ac:dyDescent="0.25">
      <c r="A16" s="150">
        <v>8615860</v>
      </c>
      <c r="B16" s="151" t="s">
        <v>306</v>
      </c>
      <c r="C16" s="151" t="s">
        <v>306</v>
      </c>
      <c r="D16" s="152" t="s">
        <v>292</v>
      </c>
      <c r="E16" s="852">
        <v>2795000</v>
      </c>
      <c r="F16" s="851">
        <f>HLOOKUP($A16,'Hodnocení '!$C$1:$JI$183,155,FALSE)</f>
        <v>1836490</v>
      </c>
      <c r="G16" s="152"/>
      <c r="H16" s="848"/>
      <c r="J16" s="848"/>
    </row>
    <row r="17" spans="1:10" ht="45" x14ac:dyDescent="0.25">
      <c r="A17" s="150">
        <v>4309907</v>
      </c>
      <c r="B17" s="151" t="s">
        <v>312</v>
      </c>
      <c r="C17" s="151" t="s">
        <v>314</v>
      </c>
      <c r="D17" s="152" t="s">
        <v>292</v>
      </c>
      <c r="E17" s="852">
        <v>2091000</v>
      </c>
      <c r="F17" s="851">
        <f>HLOOKUP($A17,'Hodnocení '!$C$1:$JI$183,155,FALSE)</f>
        <v>2030000</v>
      </c>
      <c r="G17" s="152"/>
      <c r="H17" s="848"/>
      <c r="J17" s="848"/>
    </row>
    <row r="18" spans="1:10" ht="45" x14ac:dyDescent="0.25">
      <c r="A18" s="150">
        <v>5792625</v>
      </c>
      <c r="B18" s="151" t="s">
        <v>312</v>
      </c>
      <c r="C18" s="151" t="s">
        <v>318</v>
      </c>
      <c r="D18" s="152" t="s">
        <v>292</v>
      </c>
      <c r="E18" s="852">
        <v>1735000</v>
      </c>
      <c r="F18" s="851">
        <f>HLOOKUP($A18,'Hodnocení '!$C$1:$JI$183,155,FALSE)</f>
        <v>1637150</v>
      </c>
      <c r="G18" s="152"/>
      <c r="H18" s="848"/>
      <c r="J18" s="848"/>
    </row>
    <row r="19" spans="1:10" ht="45" x14ac:dyDescent="0.25">
      <c r="A19" s="150">
        <v>6191102</v>
      </c>
      <c r="B19" s="151" t="s">
        <v>312</v>
      </c>
      <c r="C19" s="151" t="s">
        <v>319</v>
      </c>
      <c r="D19" s="152" t="s">
        <v>292</v>
      </c>
      <c r="E19" s="852">
        <v>698000</v>
      </c>
      <c r="F19" s="851">
        <f>HLOOKUP($A19,'Hodnocení '!$C$1:$JI$183,155,FALSE)</f>
        <v>622770</v>
      </c>
      <c r="G19" s="152"/>
      <c r="H19" s="848"/>
      <c r="J19" s="848"/>
    </row>
    <row r="20" spans="1:10" ht="45" x14ac:dyDescent="0.25">
      <c r="A20" s="150">
        <v>7268793</v>
      </c>
      <c r="B20" s="151" t="s">
        <v>312</v>
      </c>
      <c r="C20" s="151" t="s">
        <v>321</v>
      </c>
      <c r="D20" s="152" t="s">
        <v>217</v>
      </c>
      <c r="E20" s="852">
        <v>2130000</v>
      </c>
      <c r="F20" s="851">
        <f>HLOOKUP($A20,'Hodnocení '!$C$1:$JI$183,155,FALSE)</f>
        <v>2130000</v>
      </c>
      <c r="G20" s="152"/>
      <c r="H20" s="848"/>
      <c r="J20" s="848"/>
    </row>
    <row r="21" spans="1:10" ht="45" x14ac:dyDescent="0.25">
      <c r="A21" s="150">
        <v>9684449</v>
      </c>
      <c r="B21" s="151" t="s">
        <v>312</v>
      </c>
      <c r="C21" s="151" t="s">
        <v>327</v>
      </c>
      <c r="D21" s="152" t="s">
        <v>292</v>
      </c>
      <c r="E21" s="852">
        <v>1087500</v>
      </c>
      <c r="F21" s="851">
        <f>HLOOKUP($A21,'Hodnocení '!$C$1:$JI$183,155,FALSE)</f>
        <v>1087500</v>
      </c>
      <c r="G21" s="152"/>
      <c r="H21" s="848"/>
      <c r="J21" s="848"/>
    </row>
    <row r="22" spans="1:10" ht="45" x14ac:dyDescent="0.25">
      <c r="A22" s="150">
        <v>9735411</v>
      </c>
      <c r="B22" s="151" t="s">
        <v>312</v>
      </c>
      <c r="C22" s="151" t="s">
        <v>329</v>
      </c>
      <c r="D22" s="152" t="s">
        <v>328</v>
      </c>
      <c r="E22" s="852">
        <v>9285000</v>
      </c>
      <c r="F22" s="851">
        <f>HLOOKUP($A22,'Hodnocení '!$C$1:$JI$183,155,FALSE)</f>
        <v>8493620</v>
      </c>
      <c r="G22" s="152"/>
      <c r="H22" s="848"/>
      <c r="J22" s="848"/>
    </row>
    <row r="23" spans="1:10" ht="45" x14ac:dyDescent="0.25">
      <c r="A23" s="150">
        <v>3597628</v>
      </c>
      <c r="B23" s="151" t="s">
        <v>332</v>
      </c>
      <c r="C23" s="151" t="s">
        <v>334</v>
      </c>
      <c r="D23" s="152" t="s">
        <v>328</v>
      </c>
      <c r="E23" s="852">
        <v>2800000</v>
      </c>
      <c r="F23" s="851">
        <f>HLOOKUP($A23,'Hodnocení '!$C$1:$JI$183,155,FALSE)</f>
        <v>2505060</v>
      </c>
      <c r="G23" s="152"/>
      <c r="H23" s="848"/>
      <c r="J23" s="848"/>
    </row>
    <row r="24" spans="1:10" ht="45" x14ac:dyDescent="0.25">
      <c r="A24" s="150">
        <v>4382191</v>
      </c>
      <c r="B24" s="151" t="s">
        <v>332</v>
      </c>
      <c r="C24" s="151" t="s">
        <v>332</v>
      </c>
      <c r="D24" s="152" t="s">
        <v>292</v>
      </c>
      <c r="E24" s="852">
        <v>650000</v>
      </c>
      <c r="F24" s="851">
        <f>HLOOKUP($A24,'Hodnocení '!$C$1:$JI$183,155,FALSE)</f>
        <v>443090</v>
      </c>
      <c r="G24" s="152"/>
      <c r="H24" s="848"/>
      <c r="J24" s="848"/>
    </row>
    <row r="25" spans="1:10" ht="60" x14ac:dyDescent="0.25">
      <c r="A25" s="150">
        <v>4987165</v>
      </c>
      <c r="B25" s="151" t="s">
        <v>332</v>
      </c>
      <c r="C25" s="151" t="s">
        <v>332</v>
      </c>
      <c r="D25" s="152" t="s">
        <v>342</v>
      </c>
      <c r="E25" s="852">
        <v>2500000</v>
      </c>
      <c r="F25" s="851">
        <f>HLOOKUP($A25,'Hodnocení '!$C$1:$JI$183,155,FALSE)</f>
        <v>2059170</v>
      </c>
      <c r="G25" s="152"/>
      <c r="H25" s="848"/>
      <c r="J25" s="848"/>
    </row>
    <row r="26" spans="1:10" ht="45" x14ac:dyDescent="0.25">
      <c r="A26" s="150">
        <v>7916274</v>
      </c>
      <c r="B26" s="151" t="s">
        <v>332</v>
      </c>
      <c r="C26" s="151" t="s">
        <v>349</v>
      </c>
      <c r="D26" s="152" t="s">
        <v>348</v>
      </c>
      <c r="E26" s="852">
        <v>7200000</v>
      </c>
      <c r="F26" s="851">
        <f>HLOOKUP($A26,'Hodnocení '!$C$1:$JI$183,155,FALSE)</f>
        <v>5574310</v>
      </c>
      <c r="G26" s="152"/>
      <c r="H26" s="848"/>
      <c r="J26" s="848"/>
    </row>
    <row r="27" spans="1:10" ht="30" x14ac:dyDescent="0.25">
      <c r="A27" s="150">
        <v>2333254</v>
      </c>
      <c r="B27" s="151" t="s">
        <v>353</v>
      </c>
      <c r="C27" s="151" t="s">
        <v>355</v>
      </c>
      <c r="D27" s="152" t="s">
        <v>217</v>
      </c>
      <c r="E27" s="852">
        <v>2988500</v>
      </c>
      <c r="F27" s="851">
        <f>HLOOKUP($A27,'Hodnocení '!$C$1:$JI$183,155,FALSE)</f>
        <v>2288190</v>
      </c>
      <c r="G27" s="152"/>
      <c r="H27" s="848"/>
      <c r="J27" s="848"/>
    </row>
    <row r="28" spans="1:10" ht="60" x14ac:dyDescent="0.25">
      <c r="A28" s="150">
        <v>5312119</v>
      </c>
      <c r="B28" s="151" t="s">
        <v>1268</v>
      </c>
      <c r="C28" s="151" t="s">
        <v>2420</v>
      </c>
      <c r="D28" s="152" t="s">
        <v>575</v>
      </c>
      <c r="E28" s="852">
        <v>2056000</v>
      </c>
      <c r="F28" s="851">
        <f>HLOOKUP($A28,'Hodnocení '!$C$1:$JI$183,155,FALSE)</f>
        <v>2056000</v>
      </c>
      <c r="G28" s="152"/>
      <c r="H28" s="848"/>
      <c r="J28" s="848"/>
    </row>
    <row r="29" spans="1:10" ht="60" x14ac:dyDescent="0.25">
      <c r="A29" s="150">
        <v>6907978</v>
      </c>
      <c r="B29" s="151" t="s">
        <v>1268</v>
      </c>
      <c r="C29" s="151" t="s">
        <v>1267</v>
      </c>
      <c r="D29" s="152" t="s">
        <v>361</v>
      </c>
      <c r="E29" s="852">
        <v>901340</v>
      </c>
      <c r="F29" s="851">
        <f>HLOOKUP($A29,'Hodnocení '!$C$1:$JI$183,155,FALSE)</f>
        <v>901340</v>
      </c>
      <c r="G29" s="152"/>
      <c r="H29" s="848"/>
      <c r="J29" s="848"/>
    </row>
    <row r="30" spans="1:10" ht="60" x14ac:dyDescent="0.25">
      <c r="A30" s="150">
        <v>9223411</v>
      </c>
      <c r="B30" s="151" t="s">
        <v>358</v>
      </c>
      <c r="C30" s="151" t="s">
        <v>358</v>
      </c>
      <c r="D30" s="152" t="s">
        <v>361</v>
      </c>
      <c r="E30" s="852">
        <v>1770700</v>
      </c>
      <c r="F30" s="851">
        <f>HLOOKUP($A30,'Hodnocení '!$C$1:$JI$183,155,FALSE)</f>
        <v>1770700</v>
      </c>
      <c r="G30" s="152"/>
      <c r="H30" s="848"/>
      <c r="J30" s="848"/>
    </row>
    <row r="31" spans="1:10" ht="60" x14ac:dyDescent="0.25">
      <c r="A31" s="150">
        <v>9264829</v>
      </c>
      <c r="B31" s="151" t="s">
        <v>358</v>
      </c>
      <c r="C31" s="151" t="s">
        <v>358</v>
      </c>
      <c r="D31" s="152" t="s">
        <v>260</v>
      </c>
      <c r="E31" s="852">
        <v>7231924</v>
      </c>
      <c r="F31" s="851">
        <f>HLOOKUP($A31,'Hodnocení '!$C$1:$JI$183,155,FALSE)</f>
        <v>7231920</v>
      </c>
      <c r="G31" s="152"/>
      <c r="H31" s="848"/>
      <c r="J31" s="848"/>
    </row>
    <row r="32" spans="1:10" ht="45" x14ac:dyDescent="0.25">
      <c r="A32" s="150">
        <v>8665490</v>
      </c>
      <c r="B32" s="151" t="s">
        <v>367</v>
      </c>
      <c r="C32" s="151" t="s">
        <v>369</v>
      </c>
      <c r="D32" s="152" t="s">
        <v>328</v>
      </c>
      <c r="E32" s="852">
        <v>652161</v>
      </c>
      <c r="F32" s="851">
        <v>0</v>
      </c>
      <c r="G32" s="152" t="s">
        <v>2836</v>
      </c>
      <c r="H32" s="848"/>
      <c r="J32" s="848"/>
    </row>
    <row r="33" spans="1:10" ht="60" x14ac:dyDescent="0.25">
      <c r="A33" s="150">
        <v>8946698</v>
      </c>
      <c r="B33" s="151" t="s">
        <v>367</v>
      </c>
      <c r="C33" s="151" t="s">
        <v>372</v>
      </c>
      <c r="D33" s="152" t="s">
        <v>342</v>
      </c>
      <c r="E33" s="852">
        <v>4621783</v>
      </c>
      <c r="F33" s="851">
        <f>HLOOKUP($A33,'Hodnocení '!$C$1:$JI$183,155,FALSE)</f>
        <v>4244710</v>
      </c>
      <c r="G33" s="152"/>
      <c r="H33" s="848"/>
      <c r="J33" s="848"/>
    </row>
    <row r="34" spans="1:10" ht="45" x14ac:dyDescent="0.25">
      <c r="A34" s="150">
        <v>1806042</v>
      </c>
      <c r="B34" s="151" t="s">
        <v>375</v>
      </c>
      <c r="C34" s="151" t="s">
        <v>377</v>
      </c>
      <c r="D34" s="152" t="s">
        <v>225</v>
      </c>
      <c r="E34" s="852">
        <v>4630000</v>
      </c>
      <c r="F34" s="851">
        <f>HLOOKUP($A34,'Hodnocení '!$C$1:$JI$183,155,FALSE)</f>
        <v>3314500</v>
      </c>
      <c r="G34" s="152"/>
      <c r="H34" s="848"/>
      <c r="J34" s="848"/>
    </row>
    <row r="35" spans="1:10" ht="60" x14ac:dyDescent="0.25">
      <c r="A35" s="150">
        <v>6361701</v>
      </c>
      <c r="B35" s="151" t="s">
        <v>375</v>
      </c>
      <c r="C35" s="151" t="s">
        <v>379</v>
      </c>
      <c r="D35" s="152" t="s">
        <v>342</v>
      </c>
      <c r="E35" s="852">
        <v>805640</v>
      </c>
      <c r="F35" s="851">
        <f>HLOOKUP($A35,'Hodnocení '!$C$1:$JI$183,155,FALSE)</f>
        <v>103740</v>
      </c>
      <c r="G35" s="152"/>
      <c r="H35" s="848"/>
      <c r="J35" s="848"/>
    </row>
    <row r="36" spans="1:10" ht="45" x14ac:dyDescent="0.25">
      <c r="A36" s="150">
        <v>6447139</v>
      </c>
      <c r="B36" s="151" t="s">
        <v>375</v>
      </c>
      <c r="C36" s="151" t="s">
        <v>380</v>
      </c>
      <c r="D36" s="152" t="s">
        <v>273</v>
      </c>
      <c r="E36" s="852">
        <v>2672000</v>
      </c>
      <c r="F36" s="851">
        <f>HLOOKUP($A36,'Hodnocení '!$C$1:$JI$183,155,FALSE)</f>
        <v>2590230</v>
      </c>
      <c r="G36" s="152"/>
      <c r="H36" s="848"/>
      <c r="J36" s="848"/>
    </row>
    <row r="37" spans="1:10" ht="45" x14ac:dyDescent="0.25">
      <c r="A37" s="150">
        <v>7790627</v>
      </c>
      <c r="B37" s="151" t="s">
        <v>375</v>
      </c>
      <c r="C37" s="151" t="s">
        <v>382</v>
      </c>
      <c r="D37" s="152" t="s">
        <v>235</v>
      </c>
      <c r="E37" s="852">
        <v>1425292</v>
      </c>
      <c r="F37" s="851">
        <f>HLOOKUP($A37,'Hodnocení '!$C$1:$JI$183,155,FALSE)</f>
        <v>1219240</v>
      </c>
      <c r="G37" s="152"/>
      <c r="H37" s="848"/>
      <c r="J37" s="848"/>
    </row>
    <row r="38" spans="1:10" ht="45" x14ac:dyDescent="0.25">
      <c r="A38" s="150">
        <v>8090757</v>
      </c>
      <c r="B38" s="151" t="s">
        <v>375</v>
      </c>
      <c r="C38" s="151" t="s">
        <v>287</v>
      </c>
      <c r="D38" s="152" t="s">
        <v>286</v>
      </c>
      <c r="E38" s="852">
        <v>749000</v>
      </c>
      <c r="F38" s="851">
        <v>0</v>
      </c>
      <c r="G38" s="152" t="s">
        <v>2836</v>
      </c>
      <c r="H38" s="848"/>
      <c r="J38" s="848"/>
    </row>
    <row r="39" spans="1:10" ht="60" x14ac:dyDescent="0.25">
      <c r="A39" s="150">
        <v>1008575</v>
      </c>
      <c r="B39" s="151" t="s">
        <v>384</v>
      </c>
      <c r="C39" s="151" t="s">
        <v>386</v>
      </c>
      <c r="D39" s="152" t="s">
        <v>328</v>
      </c>
      <c r="E39" s="852">
        <v>3596000</v>
      </c>
      <c r="F39" s="851">
        <f>HLOOKUP($A39,'Hodnocení '!$C$1:$JI$183,155,FALSE)</f>
        <v>3450810</v>
      </c>
      <c r="G39" s="152"/>
      <c r="H39" s="848"/>
      <c r="J39" s="848"/>
    </row>
    <row r="40" spans="1:10" ht="60" x14ac:dyDescent="0.25">
      <c r="A40" s="150">
        <v>1567065</v>
      </c>
      <c r="B40" s="151" t="s">
        <v>384</v>
      </c>
      <c r="C40" s="151" t="s">
        <v>389</v>
      </c>
      <c r="D40" s="152" t="s">
        <v>217</v>
      </c>
      <c r="E40" s="852">
        <v>760000</v>
      </c>
      <c r="F40" s="851">
        <f>HLOOKUP($A40,'Hodnocení '!$C$1:$JI$183,155,FALSE)</f>
        <v>760000</v>
      </c>
      <c r="G40" s="152"/>
      <c r="H40" s="848"/>
      <c r="J40" s="848"/>
    </row>
    <row r="41" spans="1:10" ht="60" x14ac:dyDescent="0.25">
      <c r="A41" s="150">
        <v>7857005</v>
      </c>
      <c r="B41" s="151" t="s">
        <v>384</v>
      </c>
      <c r="C41" s="151" t="s">
        <v>390</v>
      </c>
      <c r="D41" s="152" t="s">
        <v>348</v>
      </c>
      <c r="E41" s="852">
        <v>3404000</v>
      </c>
      <c r="F41" s="851">
        <f>HLOOKUP($A41,'Hodnocení '!$C$1:$JI$183,155,FALSE)</f>
        <v>3404000</v>
      </c>
      <c r="G41" s="152"/>
      <c r="H41" s="848"/>
      <c r="J41" s="848"/>
    </row>
    <row r="42" spans="1:10" ht="60" x14ac:dyDescent="0.25">
      <c r="A42" s="150">
        <v>8936486</v>
      </c>
      <c r="B42" s="151" t="s">
        <v>384</v>
      </c>
      <c r="C42" s="151" t="s">
        <v>393</v>
      </c>
      <c r="D42" s="152" t="s">
        <v>392</v>
      </c>
      <c r="E42" s="852">
        <v>2585000</v>
      </c>
      <c r="F42" s="851">
        <f>HLOOKUP($A42,'Hodnocení '!$C$1:$JI$183,155,FALSE)</f>
        <v>2585000</v>
      </c>
      <c r="G42" s="152"/>
      <c r="H42" s="848"/>
      <c r="J42" s="848"/>
    </row>
    <row r="43" spans="1:10" ht="45" x14ac:dyDescent="0.25">
      <c r="A43" s="150">
        <v>5646573</v>
      </c>
      <c r="B43" s="151" t="s">
        <v>396</v>
      </c>
      <c r="C43" s="151" t="s">
        <v>398</v>
      </c>
      <c r="D43" s="152" t="s">
        <v>292</v>
      </c>
      <c r="E43" s="852">
        <v>1251400</v>
      </c>
      <c r="F43" s="851">
        <f>HLOOKUP($A43,'Hodnocení '!$C$1:$JI$183,155,FALSE)</f>
        <v>1251400</v>
      </c>
      <c r="G43" s="152"/>
      <c r="H43" s="848"/>
      <c r="J43" s="848"/>
    </row>
    <row r="44" spans="1:10" ht="60" x14ac:dyDescent="0.25">
      <c r="A44" s="150">
        <v>8382823</v>
      </c>
      <c r="B44" s="151" t="s">
        <v>402</v>
      </c>
      <c r="C44" s="151" t="s">
        <v>404</v>
      </c>
      <c r="D44" s="152" t="s">
        <v>342</v>
      </c>
      <c r="E44" s="852">
        <v>2630000</v>
      </c>
      <c r="F44" s="851">
        <f>HLOOKUP($A44,'Hodnocení '!$C$1:$JI$183,155,FALSE)</f>
        <v>1952910</v>
      </c>
      <c r="G44" s="152"/>
      <c r="H44" s="848"/>
      <c r="J44" s="848"/>
    </row>
    <row r="45" spans="1:10" ht="30" x14ac:dyDescent="0.25">
      <c r="A45" s="150">
        <v>2583952</v>
      </c>
      <c r="B45" s="151" t="s">
        <v>405</v>
      </c>
      <c r="C45" s="151" t="s">
        <v>407</v>
      </c>
      <c r="D45" s="152" t="s">
        <v>292</v>
      </c>
      <c r="E45" s="852">
        <v>1634492</v>
      </c>
      <c r="F45" s="851">
        <f>HLOOKUP($A45,'Hodnocení '!$C$1:$JI$183,155,FALSE)</f>
        <v>1499710</v>
      </c>
      <c r="G45" s="152"/>
      <c r="H45" s="848"/>
      <c r="J45" s="848"/>
    </row>
    <row r="46" spans="1:10" ht="30" x14ac:dyDescent="0.25">
      <c r="A46" s="150">
        <v>1494293</v>
      </c>
      <c r="B46" s="151" t="s">
        <v>411</v>
      </c>
      <c r="C46" s="151" t="s">
        <v>413</v>
      </c>
      <c r="D46" s="152" t="s">
        <v>292</v>
      </c>
      <c r="E46" s="852">
        <v>1177000</v>
      </c>
      <c r="F46" s="851">
        <f>HLOOKUP($A46,'Hodnocení '!$C$1:$JI$183,155,FALSE)</f>
        <v>1027900</v>
      </c>
      <c r="G46" s="152"/>
      <c r="H46" s="848"/>
      <c r="J46" s="848"/>
    </row>
    <row r="47" spans="1:10" ht="30" x14ac:dyDescent="0.25">
      <c r="A47" s="150">
        <v>1905494</v>
      </c>
      <c r="B47" s="151" t="s">
        <v>415</v>
      </c>
      <c r="C47" s="151" t="s">
        <v>417</v>
      </c>
      <c r="D47" s="152" t="s">
        <v>361</v>
      </c>
      <c r="E47" s="852">
        <v>5500000</v>
      </c>
      <c r="F47" s="851">
        <f>HLOOKUP($A47,'Hodnocení '!$C$1:$JI$183,155,FALSE)</f>
        <v>4344440</v>
      </c>
      <c r="G47" s="152"/>
      <c r="H47" s="848"/>
      <c r="J47" s="848"/>
    </row>
    <row r="48" spans="1:10" ht="60" x14ac:dyDescent="0.25">
      <c r="A48" s="150">
        <v>4721932</v>
      </c>
      <c r="B48" s="151" t="s">
        <v>420</v>
      </c>
      <c r="C48" s="151" t="s">
        <v>420</v>
      </c>
      <c r="D48" s="152" t="s">
        <v>260</v>
      </c>
      <c r="E48" s="852">
        <v>27114000</v>
      </c>
      <c r="F48" s="851">
        <f>HLOOKUP($A48,'Hodnocení '!$C$1:$JI$183,155,FALSE)</f>
        <v>19303220</v>
      </c>
      <c r="G48" s="152"/>
      <c r="H48" s="848"/>
      <c r="J48" s="848"/>
    </row>
    <row r="49" spans="1:10" ht="30" x14ac:dyDescent="0.25">
      <c r="A49" s="150">
        <v>3446957</v>
      </c>
      <c r="B49" s="151" t="s">
        <v>425</v>
      </c>
      <c r="C49" s="151" t="s">
        <v>427</v>
      </c>
      <c r="D49" s="152" t="s">
        <v>217</v>
      </c>
      <c r="E49" s="852">
        <v>700000</v>
      </c>
      <c r="F49" s="851">
        <f>HLOOKUP($A49,'Hodnocení '!$C$1:$JI$183,155,FALSE)</f>
        <v>687360</v>
      </c>
      <c r="G49" s="152"/>
      <c r="H49" s="848"/>
      <c r="J49" s="848"/>
    </row>
    <row r="50" spans="1:10" ht="60" x14ac:dyDescent="0.25">
      <c r="A50" s="150">
        <v>3473171</v>
      </c>
      <c r="B50" s="151" t="s">
        <v>425</v>
      </c>
      <c r="C50" s="151" t="s">
        <v>429</v>
      </c>
      <c r="D50" s="152" t="s">
        <v>260</v>
      </c>
      <c r="E50" s="852">
        <v>27500000</v>
      </c>
      <c r="F50" s="851">
        <f>HLOOKUP($A50,'Hodnocení '!$C$1:$JI$183,155,FALSE)</f>
        <v>24026010</v>
      </c>
      <c r="G50" s="152"/>
      <c r="H50" s="848"/>
      <c r="J50" s="848"/>
    </row>
    <row r="51" spans="1:10" ht="30" x14ac:dyDescent="0.25">
      <c r="A51" s="150">
        <v>6514817</v>
      </c>
      <c r="B51" s="151" t="s">
        <v>425</v>
      </c>
      <c r="C51" s="151" t="s">
        <v>431</v>
      </c>
      <c r="D51" s="152" t="s">
        <v>267</v>
      </c>
      <c r="E51" s="852">
        <v>4600000</v>
      </c>
      <c r="F51" s="851">
        <f>HLOOKUP($A51,'Hodnocení '!$C$1:$JI$183,155,FALSE)</f>
        <v>4430600</v>
      </c>
      <c r="G51" s="152"/>
      <c r="H51" s="848"/>
      <c r="J51" s="848"/>
    </row>
    <row r="52" spans="1:10" ht="45" x14ac:dyDescent="0.25">
      <c r="A52" s="150">
        <v>5651221</v>
      </c>
      <c r="B52" s="151" t="s">
        <v>435</v>
      </c>
      <c r="C52" s="151" t="s">
        <v>435</v>
      </c>
      <c r="D52" s="152" t="s">
        <v>392</v>
      </c>
      <c r="E52" s="852">
        <v>21000000</v>
      </c>
      <c r="F52" s="851">
        <f>HLOOKUP($A52,'Hodnocení '!$C$1:$JI$183,155,FALSE)</f>
        <v>15937690</v>
      </c>
      <c r="G52" s="152"/>
      <c r="H52" s="848"/>
      <c r="J52" s="848"/>
    </row>
    <row r="53" spans="1:10" ht="45" x14ac:dyDescent="0.25">
      <c r="A53" s="150">
        <v>1450637</v>
      </c>
      <c r="B53" s="151" t="s">
        <v>440</v>
      </c>
      <c r="C53" s="151" t="s">
        <v>440</v>
      </c>
      <c r="D53" s="152" t="s">
        <v>392</v>
      </c>
      <c r="E53" s="852">
        <v>24100000</v>
      </c>
      <c r="F53" s="851">
        <f>HLOOKUP($A53,'Hodnocení '!$C$1:$JI$183,155,FALSE)</f>
        <v>15474990</v>
      </c>
      <c r="G53" s="152"/>
      <c r="H53" s="848"/>
      <c r="J53" s="848"/>
    </row>
    <row r="54" spans="1:10" ht="30" x14ac:dyDescent="0.25">
      <c r="A54" s="150">
        <v>6581899</v>
      </c>
      <c r="B54" s="151" t="s">
        <v>444</v>
      </c>
      <c r="C54" s="151" t="s">
        <v>444</v>
      </c>
      <c r="D54" s="152" t="s">
        <v>348</v>
      </c>
      <c r="E54" s="852">
        <v>17580000</v>
      </c>
      <c r="F54" s="851">
        <f>HLOOKUP($A54,'Hodnocení '!$C$1:$JI$183,155,FALSE)</f>
        <v>12916130</v>
      </c>
      <c r="G54" s="152"/>
      <c r="H54" s="848"/>
      <c r="J54" s="848"/>
    </row>
    <row r="55" spans="1:10" ht="30" x14ac:dyDescent="0.25">
      <c r="A55" s="150">
        <v>2837121</v>
      </c>
      <c r="B55" s="151" t="s">
        <v>447</v>
      </c>
      <c r="C55" s="151" t="s">
        <v>447</v>
      </c>
      <c r="D55" s="152" t="s">
        <v>348</v>
      </c>
      <c r="E55" s="852">
        <v>4562528</v>
      </c>
      <c r="F55" s="851">
        <f>HLOOKUP($A55,'Hodnocení '!$C$1:$JI$183,155,FALSE)</f>
        <v>3337990</v>
      </c>
      <c r="G55" s="152"/>
      <c r="H55" s="848"/>
      <c r="J55" s="848"/>
    </row>
    <row r="56" spans="1:10" ht="45" x14ac:dyDescent="0.25">
      <c r="A56" s="150">
        <v>3754207</v>
      </c>
      <c r="B56" s="151" t="s">
        <v>447</v>
      </c>
      <c r="C56" s="151" t="s">
        <v>447</v>
      </c>
      <c r="D56" s="152" t="s">
        <v>392</v>
      </c>
      <c r="E56" s="852">
        <v>23953272</v>
      </c>
      <c r="F56" s="851">
        <f>HLOOKUP($A56,'Hodnocení '!$C$1:$JI$183,155,FALSE)</f>
        <v>13208120</v>
      </c>
      <c r="G56" s="152"/>
      <c r="H56" s="848"/>
      <c r="J56" s="848"/>
    </row>
    <row r="57" spans="1:10" ht="45" x14ac:dyDescent="0.25">
      <c r="A57" s="150">
        <v>4753225</v>
      </c>
      <c r="B57" s="151" t="s">
        <v>453</v>
      </c>
      <c r="C57" s="151" t="s">
        <v>453</v>
      </c>
      <c r="D57" s="152" t="s">
        <v>348</v>
      </c>
      <c r="E57" s="852">
        <v>17351600</v>
      </c>
      <c r="F57" s="851">
        <f>HLOOKUP($A57,'Hodnocení '!$C$1:$JI$183,155,FALSE)</f>
        <v>14405760</v>
      </c>
      <c r="G57" s="152"/>
      <c r="H57" s="848"/>
      <c r="J57" s="848"/>
    </row>
    <row r="58" spans="1:10" ht="30" x14ac:dyDescent="0.25">
      <c r="A58" s="150">
        <v>5040302</v>
      </c>
      <c r="B58" s="151" t="s">
        <v>456</v>
      </c>
      <c r="C58" s="151" t="s">
        <v>456</v>
      </c>
      <c r="D58" s="152" t="s">
        <v>348</v>
      </c>
      <c r="E58" s="852">
        <v>11293100</v>
      </c>
      <c r="F58" s="851">
        <f>HLOOKUP($A58,'Hodnocení '!$C$1:$JI$183,155,FALSE)</f>
        <v>6797940</v>
      </c>
      <c r="G58" s="152"/>
      <c r="H58" s="848"/>
      <c r="J58" s="848"/>
    </row>
    <row r="59" spans="1:10" ht="30" x14ac:dyDescent="0.25">
      <c r="A59" s="150">
        <v>2125600</v>
      </c>
      <c r="B59" s="151" t="s">
        <v>459</v>
      </c>
      <c r="C59" s="151" t="s">
        <v>461</v>
      </c>
      <c r="D59" s="152" t="s">
        <v>348</v>
      </c>
      <c r="E59" s="852">
        <v>11200000</v>
      </c>
      <c r="F59" s="851">
        <f>HLOOKUP($A59,'Hodnocení '!$C$1:$JI$183,155,FALSE)</f>
        <v>5534660</v>
      </c>
      <c r="G59" s="152"/>
      <c r="H59" s="848"/>
      <c r="J59" s="848"/>
    </row>
    <row r="60" spans="1:10" ht="30" x14ac:dyDescent="0.25">
      <c r="A60" s="150">
        <v>3943362</v>
      </c>
      <c r="B60" s="151" t="s">
        <v>464</v>
      </c>
      <c r="C60" s="151" t="s">
        <v>464</v>
      </c>
      <c r="D60" s="152" t="s">
        <v>348</v>
      </c>
      <c r="E60" s="852">
        <v>8494730</v>
      </c>
      <c r="F60" s="851">
        <f>HLOOKUP($A60,'Hodnocení '!$C$1:$JI$183,155,FALSE)</f>
        <v>6429490</v>
      </c>
      <c r="G60" s="152"/>
      <c r="H60" s="848"/>
      <c r="J60" s="848"/>
    </row>
    <row r="61" spans="1:10" ht="30" x14ac:dyDescent="0.25">
      <c r="A61" s="150">
        <v>2749776</v>
      </c>
      <c r="B61" s="151" t="s">
        <v>467</v>
      </c>
      <c r="C61" s="151" t="s">
        <v>467</v>
      </c>
      <c r="D61" s="152" t="s">
        <v>348</v>
      </c>
      <c r="E61" s="852">
        <v>10442250</v>
      </c>
      <c r="F61" s="851">
        <f>HLOOKUP($A61,'Hodnocení '!$C$1:$JI$183,155,FALSE)</f>
        <v>6265180</v>
      </c>
      <c r="G61" s="152"/>
      <c r="H61" s="848"/>
      <c r="J61" s="848"/>
    </row>
    <row r="62" spans="1:10" ht="30" x14ac:dyDescent="0.25">
      <c r="A62" s="150">
        <v>1665958</v>
      </c>
      <c r="B62" s="151" t="s">
        <v>470</v>
      </c>
      <c r="C62" s="151" t="s">
        <v>470</v>
      </c>
      <c r="D62" s="152" t="s">
        <v>348</v>
      </c>
      <c r="E62" s="852">
        <v>9150000</v>
      </c>
      <c r="F62" s="851">
        <f>HLOOKUP($A62,'Hodnocení '!$C$1:$JI$183,155,FALSE)</f>
        <v>8884420</v>
      </c>
      <c r="G62" s="152"/>
      <c r="H62" s="848"/>
      <c r="J62" s="848"/>
    </row>
    <row r="63" spans="1:10" ht="45" x14ac:dyDescent="0.25">
      <c r="A63" s="150">
        <v>1991772</v>
      </c>
      <c r="B63" s="151" t="s">
        <v>472</v>
      </c>
      <c r="C63" s="151" t="s">
        <v>472</v>
      </c>
      <c r="D63" s="152" t="s">
        <v>392</v>
      </c>
      <c r="E63" s="852">
        <v>10036000</v>
      </c>
      <c r="F63" s="851">
        <f>HLOOKUP($A63,'Hodnocení '!$C$1:$JI$183,155,FALSE)</f>
        <v>6685280</v>
      </c>
      <c r="G63" s="152"/>
      <c r="H63" s="848"/>
      <c r="J63" s="848"/>
    </row>
    <row r="64" spans="1:10" ht="30" x14ac:dyDescent="0.25">
      <c r="A64" s="150">
        <v>8508078</v>
      </c>
      <c r="B64" s="151" t="s">
        <v>472</v>
      </c>
      <c r="C64" s="151" t="s">
        <v>472</v>
      </c>
      <c r="D64" s="152" t="s">
        <v>348</v>
      </c>
      <c r="E64" s="852">
        <v>11940000</v>
      </c>
      <c r="F64" s="851">
        <f>HLOOKUP($A64,'Hodnocení '!$C$1:$JI$183,155,FALSE)</f>
        <v>7418220</v>
      </c>
      <c r="G64" s="152"/>
      <c r="H64" s="848"/>
      <c r="J64" s="848"/>
    </row>
    <row r="65" spans="1:10" ht="30" x14ac:dyDescent="0.25">
      <c r="A65" s="150">
        <v>2801353</v>
      </c>
      <c r="B65" s="151" t="s">
        <v>477</v>
      </c>
      <c r="C65" s="151" t="s">
        <v>477</v>
      </c>
      <c r="D65" s="152" t="s">
        <v>348</v>
      </c>
      <c r="E65" s="852">
        <v>17118000</v>
      </c>
      <c r="F65" s="851">
        <f>HLOOKUP($A65,'Hodnocení '!$C$1:$JI$183,155,FALSE)</f>
        <v>13033890</v>
      </c>
      <c r="G65" s="152"/>
      <c r="H65" s="848"/>
      <c r="J65" s="848"/>
    </row>
    <row r="66" spans="1:10" ht="45" x14ac:dyDescent="0.25">
      <c r="A66" s="150">
        <v>7663376</v>
      </c>
      <c r="B66" s="151" t="s">
        <v>480</v>
      </c>
      <c r="C66" s="151" t="s">
        <v>480</v>
      </c>
      <c r="D66" s="152" t="s">
        <v>392</v>
      </c>
      <c r="E66" s="852">
        <v>8044600</v>
      </c>
      <c r="F66" s="851">
        <f>HLOOKUP($A66,'Hodnocení '!$C$1:$JI$183,155,FALSE)</f>
        <v>3089240</v>
      </c>
      <c r="G66" s="152"/>
      <c r="H66" s="848"/>
      <c r="J66" s="848"/>
    </row>
    <row r="67" spans="1:10" ht="30" x14ac:dyDescent="0.25">
      <c r="A67" s="150">
        <v>9593192</v>
      </c>
      <c r="B67" s="151" t="s">
        <v>480</v>
      </c>
      <c r="C67" s="151" t="s">
        <v>480</v>
      </c>
      <c r="D67" s="152" t="s">
        <v>348</v>
      </c>
      <c r="E67" s="852">
        <v>25404400</v>
      </c>
      <c r="F67" s="851">
        <f>HLOOKUP($A67,'Hodnocení '!$C$1:$JI$183,155,FALSE)</f>
        <v>12847830</v>
      </c>
      <c r="G67" s="152"/>
      <c r="H67" s="848"/>
      <c r="J67" s="848"/>
    </row>
    <row r="68" spans="1:10" ht="45" x14ac:dyDescent="0.25">
      <c r="A68" s="150">
        <v>4382500</v>
      </c>
      <c r="B68" s="151" t="s">
        <v>485</v>
      </c>
      <c r="C68" s="151" t="s">
        <v>485</v>
      </c>
      <c r="D68" s="152" t="s">
        <v>267</v>
      </c>
      <c r="E68" s="852">
        <v>1571800</v>
      </c>
      <c r="F68" s="851">
        <f>HLOOKUP($A68,'Hodnocení '!$C$1:$JI$183,155,FALSE)</f>
        <v>1090180</v>
      </c>
      <c r="G68" s="152"/>
      <c r="H68" s="848"/>
      <c r="J68" s="848"/>
    </row>
    <row r="69" spans="1:10" ht="45" x14ac:dyDescent="0.25">
      <c r="A69" s="150">
        <v>5220717</v>
      </c>
      <c r="B69" s="151" t="s">
        <v>485</v>
      </c>
      <c r="C69" s="151" t="s">
        <v>485</v>
      </c>
      <c r="D69" s="152" t="s">
        <v>392</v>
      </c>
      <c r="E69" s="852">
        <v>22880979</v>
      </c>
      <c r="F69" s="851">
        <f>HLOOKUP($A69,'Hodnocení '!$C$1:$JI$183,155,FALSE)</f>
        <v>15058470</v>
      </c>
      <c r="G69" s="152"/>
      <c r="H69" s="848"/>
      <c r="J69" s="848"/>
    </row>
    <row r="70" spans="1:10" ht="45" x14ac:dyDescent="0.25">
      <c r="A70" s="150">
        <v>7384495</v>
      </c>
      <c r="B70" s="151" t="s">
        <v>485</v>
      </c>
      <c r="C70" s="151" t="s">
        <v>485</v>
      </c>
      <c r="D70" s="152" t="s">
        <v>235</v>
      </c>
      <c r="E70" s="852">
        <v>609567</v>
      </c>
      <c r="F70" s="851">
        <f>HLOOKUP($A70,'Hodnocení '!$C$1:$JI$183,155,FALSE)</f>
        <v>150000</v>
      </c>
      <c r="G70" s="152"/>
      <c r="H70" s="848"/>
      <c r="J70" s="848"/>
    </row>
    <row r="71" spans="1:10" ht="60" x14ac:dyDescent="0.25">
      <c r="A71" s="150">
        <v>8338145</v>
      </c>
      <c r="B71" s="151" t="s">
        <v>485</v>
      </c>
      <c r="C71" s="151" t="s">
        <v>485</v>
      </c>
      <c r="D71" s="152" t="s">
        <v>260</v>
      </c>
      <c r="E71" s="852">
        <v>3681744</v>
      </c>
      <c r="F71" s="851">
        <f>HLOOKUP($A71,'Hodnocení '!$C$1:$JI$183,155,FALSE)</f>
        <v>1754310</v>
      </c>
      <c r="G71" s="152"/>
      <c r="H71" s="848"/>
      <c r="J71" s="848"/>
    </row>
    <row r="72" spans="1:10" ht="30" x14ac:dyDescent="0.25">
      <c r="A72" s="150">
        <v>8635813</v>
      </c>
      <c r="B72" s="151" t="s">
        <v>493</v>
      </c>
      <c r="C72" s="151" t="s">
        <v>493</v>
      </c>
      <c r="D72" s="152" t="s">
        <v>348</v>
      </c>
      <c r="E72" s="852">
        <v>7800000</v>
      </c>
      <c r="F72" s="851">
        <f>HLOOKUP($A72,'Hodnocení '!$C$1:$JI$183,155,FALSE)</f>
        <v>7582390</v>
      </c>
      <c r="G72" s="152"/>
      <c r="H72" s="848"/>
      <c r="J72" s="848"/>
    </row>
    <row r="73" spans="1:10" ht="30" x14ac:dyDescent="0.25">
      <c r="A73" s="150">
        <v>1872907</v>
      </c>
      <c r="B73" s="151" t="s">
        <v>496</v>
      </c>
      <c r="C73" s="151" t="s">
        <v>390</v>
      </c>
      <c r="D73" s="152" t="s">
        <v>348</v>
      </c>
      <c r="E73" s="852">
        <v>9900000</v>
      </c>
      <c r="F73" s="851">
        <f>HLOOKUP($A73,'Hodnocení '!$C$1:$JI$183,155,FALSE)</f>
        <v>7291660</v>
      </c>
      <c r="G73" s="152"/>
      <c r="H73" s="848"/>
      <c r="J73" s="848"/>
    </row>
    <row r="74" spans="1:10" ht="30" x14ac:dyDescent="0.25">
      <c r="A74" s="150">
        <v>9688838</v>
      </c>
      <c r="B74" s="151" t="s">
        <v>499</v>
      </c>
      <c r="C74" s="151" t="s">
        <v>499</v>
      </c>
      <c r="D74" s="152" t="s">
        <v>348</v>
      </c>
      <c r="E74" s="852">
        <v>16000000</v>
      </c>
      <c r="F74" s="851">
        <f>HLOOKUP($A74,'Hodnocení '!$C$1:$JI$183,155,FALSE)</f>
        <v>11169700</v>
      </c>
      <c r="G74" s="152"/>
      <c r="H74" s="848"/>
      <c r="J74" s="848"/>
    </row>
    <row r="75" spans="1:10" ht="30" x14ac:dyDescent="0.25">
      <c r="A75" s="150">
        <v>1878615</v>
      </c>
      <c r="B75" s="151" t="s">
        <v>502</v>
      </c>
      <c r="C75" s="151" t="s">
        <v>502</v>
      </c>
      <c r="D75" s="152" t="s">
        <v>361</v>
      </c>
      <c r="E75" s="852">
        <v>775000</v>
      </c>
      <c r="F75" s="851">
        <f>HLOOKUP($A75,'Hodnocení '!$C$1:$JI$183,155,FALSE)</f>
        <v>530840</v>
      </c>
      <c r="G75" s="152"/>
      <c r="H75" s="848"/>
      <c r="J75" s="848"/>
    </row>
    <row r="76" spans="1:10" ht="30" x14ac:dyDescent="0.25">
      <c r="A76" s="150">
        <v>6565956</v>
      </c>
      <c r="B76" s="151" t="s">
        <v>502</v>
      </c>
      <c r="C76" s="151" t="s">
        <v>502</v>
      </c>
      <c r="D76" s="152" t="s">
        <v>348</v>
      </c>
      <c r="E76" s="852">
        <v>11165000</v>
      </c>
      <c r="F76" s="851">
        <f>HLOOKUP($A76,'Hodnocení '!$C$1:$JI$183,155,FALSE)</f>
        <v>6957000</v>
      </c>
      <c r="G76" s="152"/>
      <c r="H76" s="848"/>
      <c r="J76" s="848"/>
    </row>
    <row r="77" spans="1:10" ht="45" x14ac:dyDescent="0.25">
      <c r="A77" s="150">
        <v>9924037</v>
      </c>
      <c r="B77" s="151" t="s">
        <v>502</v>
      </c>
      <c r="C77" s="151" t="s">
        <v>502</v>
      </c>
      <c r="D77" s="152" t="s">
        <v>392</v>
      </c>
      <c r="E77" s="852">
        <v>3560000</v>
      </c>
      <c r="F77" s="851">
        <f>HLOOKUP($A77,'Hodnocení '!$C$1:$JI$183,155,FALSE)</f>
        <v>2174450</v>
      </c>
      <c r="G77" s="152"/>
      <c r="H77" s="848"/>
      <c r="J77" s="848"/>
    </row>
    <row r="78" spans="1:10" ht="60" x14ac:dyDescent="0.25">
      <c r="A78" s="150">
        <v>9445282</v>
      </c>
      <c r="B78" s="151" t="s">
        <v>506</v>
      </c>
      <c r="C78" s="151" t="s">
        <v>506</v>
      </c>
      <c r="D78" s="152" t="s">
        <v>260</v>
      </c>
      <c r="E78" s="852">
        <v>18876000</v>
      </c>
      <c r="F78" s="851">
        <f>HLOOKUP($A78,'Hodnocení '!$C$1:$JI$183,155,FALSE)</f>
        <v>15916870</v>
      </c>
      <c r="G78" s="152"/>
      <c r="H78" s="848"/>
      <c r="J78" s="848"/>
    </row>
    <row r="79" spans="1:10" ht="60" x14ac:dyDescent="0.25">
      <c r="A79" s="150">
        <v>3713907</v>
      </c>
      <c r="B79" s="151" t="s">
        <v>509</v>
      </c>
      <c r="C79" s="151" t="s">
        <v>511</v>
      </c>
      <c r="D79" s="152" t="s">
        <v>260</v>
      </c>
      <c r="E79" s="852">
        <v>19626000</v>
      </c>
      <c r="F79" s="851">
        <f>HLOOKUP($A79,'Hodnocení '!$C$1:$JI$183,155,FALSE)</f>
        <v>15354810</v>
      </c>
      <c r="G79" s="152"/>
      <c r="H79" s="848"/>
      <c r="J79" s="848"/>
    </row>
    <row r="80" spans="1:10" ht="30" x14ac:dyDescent="0.25">
      <c r="A80" s="150">
        <v>4007320</v>
      </c>
      <c r="B80" s="151" t="s">
        <v>509</v>
      </c>
      <c r="C80" s="151" t="s">
        <v>514</v>
      </c>
      <c r="D80" s="152" t="s">
        <v>267</v>
      </c>
      <c r="E80" s="852">
        <v>835000</v>
      </c>
      <c r="F80" s="851">
        <f>HLOOKUP($A80,'Hodnocení '!$C$1:$JI$183,155,FALSE)</f>
        <v>661220</v>
      </c>
      <c r="G80" s="152"/>
      <c r="H80" s="848"/>
      <c r="J80" s="848"/>
    </row>
    <row r="81" spans="1:10" ht="45" x14ac:dyDescent="0.25">
      <c r="A81" s="150">
        <v>5804478</v>
      </c>
      <c r="B81" s="151" t="s">
        <v>515</v>
      </c>
      <c r="C81" s="151" t="s">
        <v>515</v>
      </c>
      <c r="D81" s="152" t="s">
        <v>392</v>
      </c>
      <c r="E81" s="852">
        <v>11542000</v>
      </c>
      <c r="F81" s="851">
        <f>HLOOKUP($A81,'Hodnocení '!$C$1:$JI$183,155,FALSE)</f>
        <v>8363390</v>
      </c>
      <c r="G81" s="152"/>
      <c r="H81" s="848"/>
      <c r="J81" s="848"/>
    </row>
    <row r="82" spans="1:10" ht="30" x14ac:dyDescent="0.25">
      <c r="A82" s="150">
        <v>7630615</v>
      </c>
      <c r="B82" s="151" t="s">
        <v>515</v>
      </c>
      <c r="C82" s="151" t="s">
        <v>515</v>
      </c>
      <c r="D82" s="152" t="s">
        <v>348</v>
      </c>
      <c r="E82" s="852">
        <v>46709000</v>
      </c>
      <c r="F82" s="851">
        <f>HLOOKUP($A82,'Hodnocení '!$C$1:$JI$183,155,FALSE)</f>
        <v>38158140</v>
      </c>
      <c r="G82" s="152"/>
      <c r="H82" s="848"/>
      <c r="J82" s="848"/>
    </row>
    <row r="83" spans="1:10" ht="30" x14ac:dyDescent="0.25">
      <c r="A83" s="150">
        <v>1576566</v>
      </c>
      <c r="B83" s="151" t="s">
        <v>519</v>
      </c>
      <c r="C83" s="151" t="s">
        <v>519</v>
      </c>
      <c r="D83" s="152" t="s">
        <v>267</v>
      </c>
      <c r="E83" s="852">
        <v>2238805</v>
      </c>
      <c r="F83" s="851">
        <f>HLOOKUP($A83,'Hodnocení '!$C$1:$JI$183,155,FALSE)</f>
        <v>1125730</v>
      </c>
      <c r="G83" s="152"/>
      <c r="H83" s="848"/>
      <c r="J83" s="848"/>
    </row>
    <row r="84" spans="1:10" ht="30" x14ac:dyDescent="0.25">
      <c r="A84" s="150">
        <v>3529182</v>
      </c>
      <c r="B84" s="151" t="s">
        <v>519</v>
      </c>
      <c r="C84" s="151" t="s">
        <v>519</v>
      </c>
      <c r="D84" s="152" t="s">
        <v>348</v>
      </c>
      <c r="E84" s="852">
        <v>8599386</v>
      </c>
      <c r="F84" s="851">
        <f>HLOOKUP($A84,'Hodnocení '!$C$1:$JI$183,155,FALSE)</f>
        <v>5685100</v>
      </c>
      <c r="G84" s="152"/>
      <c r="H84" s="848"/>
      <c r="J84" s="848"/>
    </row>
    <row r="85" spans="1:10" ht="45" x14ac:dyDescent="0.25">
      <c r="A85" s="150">
        <v>5638901</v>
      </c>
      <c r="B85" s="151" t="s">
        <v>519</v>
      </c>
      <c r="C85" s="151" t="s">
        <v>519</v>
      </c>
      <c r="D85" s="152" t="s">
        <v>392</v>
      </c>
      <c r="E85" s="852">
        <v>16499135</v>
      </c>
      <c r="F85" s="851">
        <f>HLOOKUP($A85,'Hodnocení '!$C$1:$JI$183,155,FALSE)</f>
        <v>11119520</v>
      </c>
      <c r="G85" s="152"/>
      <c r="H85" s="848"/>
      <c r="J85" s="848"/>
    </row>
    <row r="86" spans="1:10" ht="30" x14ac:dyDescent="0.25">
      <c r="A86" s="150">
        <v>7071797</v>
      </c>
      <c r="B86" s="151" t="s">
        <v>519</v>
      </c>
      <c r="C86" s="151" t="s">
        <v>519</v>
      </c>
      <c r="D86" s="152" t="s">
        <v>361</v>
      </c>
      <c r="E86" s="852">
        <v>3964128</v>
      </c>
      <c r="F86" s="851">
        <f>HLOOKUP($A86,'Hodnocení '!$C$1:$JI$183,155,FALSE)</f>
        <v>2009010</v>
      </c>
      <c r="G86" s="152"/>
      <c r="H86" s="848"/>
      <c r="J86" s="848"/>
    </row>
    <row r="87" spans="1:10" ht="30" x14ac:dyDescent="0.25">
      <c r="A87" s="150">
        <v>5869239</v>
      </c>
      <c r="B87" s="151" t="s">
        <v>523</v>
      </c>
      <c r="C87" s="151" t="s">
        <v>525</v>
      </c>
      <c r="D87" s="152" t="s">
        <v>348</v>
      </c>
      <c r="E87" s="852">
        <v>23410000</v>
      </c>
      <c r="F87" s="851">
        <f>HLOOKUP($A87,'Hodnocení '!$C$1:$JI$183,155,FALSE)</f>
        <v>15681490</v>
      </c>
      <c r="G87" s="152"/>
      <c r="H87" s="848"/>
      <c r="J87" s="848"/>
    </row>
    <row r="88" spans="1:10" ht="60" x14ac:dyDescent="0.25">
      <c r="A88" s="150">
        <v>6945387</v>
      </c>
      <c r="B88" s="151" t="s">
        <v>523</v>
      </c>
      <c r="C88" s="151" t="s">
        <v>528</v>
      </c>
      <c r="D88" s="152" t="s">
        <v>260</v>
      </c>
      <c r="E88" s="852">
        <v>10538000</v>
      </c>
      <c r="F88" s="851">
        <f>HLOOKUP($A88,'Hodnocení '!$C$1:$JI$183,155,FALSE)</f>
        <v>3266100</v>
      </c>
      <c r="G88" s="152"/>
      <c r="H88" s="848"/>
      <c r="J88" s="848"/>
    </row>
    <row r="89" spans="1:10" ht="30" x14ac:dyDescent="0.25">
      <c r="A89" s="150">
        <v>4547815</v>
      </c>
      <c r="B89" s="151" t="s">
        <v>531</v>
      </c>
      <c r="C89" s="151" t="s">
        <v>533</v>
      </c>
      <c r="D89" s="152" t="s">
        <v>286</v>
      </c>
      <c r="E89" s="852">
        <v>750000</v>
      </c>
      <c r="F89" s="851">
        <f>HLOOKUP($A89,'Hodnocení '!$C$1:$JI$183,155,FALSE)</f>
        <v>469950</v>
      </c>
      <c r="G89" s="152"/>
      <c r="H89" s="848"/>
      <c r="J89" s="848"/>
    </row>
    <row r="90" spans="1:10" ht="30" x14ac:dyDescent="0.25">
      <c r="A90" s="150">
        <v>6749255</v>
      </c>
      <c r="B90" s="151" t="s">
        <v>531</v>
      </c>
      <c r="C90" s="151" t="s">
        <v>536</v>
      </c>
      <c r="D90" s="152" t="s">
        <v>361</v>
      </c>
      <c r="E90" s="852">
        <v>1100000</v>
      </c>
      <c r="F90" s="851">
        <f>HLOOKUP($A90,'Hodnocení '!$C$1:$JI$183,155,FALSE)</f>
        <v>600000</v>
      </c>
      <c r="G90" s="152"/>
      <c r="H90" s="848"/>
      <c r="J90" s="848"/>
    </row>
    <row r="91" spans="1:10" ht="45" x14ac:dyDescent="0.25">
      <c r="A91" s="150">
        <v>6989404</v>
      </c>
      <c r="B91" s="151" t="s">
        <v>531</v>
      </c>
      <c r="C91" s="151" t="s">
        <v>539</v>
      </c>
      <c r="D91" s="152" t="s">
        <v>538</v>
      </c>
      <c r="E91" s="852">
        <v>930000</v>
      </c>
      <c r="F91" s="851">
        <f>HLOOKUP($A91,'Hodnocení '!$C$1:$JI$183,155,FALSE)</f>
        <v>692540</v>
      </c>
      <c r="G91" s="152"/>
      <c r="H91" s="848"/>
      <c r="J91" s="848"/>
    </row>
    <row r="92" spans="1:10" ht="30" x14ac:dyDescent="0.25">
      <c r="A92" s="150">
        <v>9199716</v>
      </c>
      <c r="B92" s="151" t="s">
        <v>531</v>
      </c>
      <c r="C92" s="151" t="s">
        <v>543</v>
      </c>
      <c r="D92" s="152" t="s">
        <v>328</v>
      </c>
      <c r="E92" s="852">
        <v>2195910</v>
      </c>
      <c r="F92" s="851">
        <f>HLOOKUP($A92,'Hodnocení '!$C$1:$JI$183,155,FALSE)</f>
        <v>1839200</v>
      </c>
      <c r="G92" s="152"/>
      <c r="H92" s="848"/>
      <c r="J92" s="848"/>
    </row>
    <row r="93" spans="1:10" ht="60" x14ac:dyDescent="0.25">
      <c r="A93" s="150">
        <v>2946425</v>
      </c>
      <c r="B93" s="151" t="s">
        <v>546</v>
      </c>
      <c r="C93" s="151" t="s">
        <v>546</v>
      </c>
      <c r="D93" s="152" t="s">
        <v>328</v>
      </c>
      <c r="E93" s="852">
        <v>1450000</v>
      </c>
      <c r="F93" s="851">
        <f>HLOOKUP($A93,'Hodnocení '!$C$1:$JI$183,155,FALSE)</f>
        <v>941720</v>
      </c>
      <c r="G93" s="152"/>
      <c r="H93" s="848"/>
      <c r="J93" s="848"/>
    </row>
    <row r="94" spans="1:10" ht="30" x14ac:dyDescent="0.25">
      <c r="A94" s="150">
        <v>8902089</v>
      </c>
      <c r="B94" s="151" t="s">
        <v>550</v>
      </c>
      <c r="C94" s="151" t="s">
        <v>377</v>
      </c>
      <c r="D94" s="152" t="s">
        <v>225</v>
      </c>
      <c r="E94" s="852">
        <v>2220000</v>
      </c>
      <c r="F94" s="851">
        <f>HLOOKUP($A94,'Hodnocení '!$C$1:$JI$183,155,FALSE)</f>
        <v>2220000</v>
      </c>
      <c r="G94" s="152"/>
      <c r="H94" s="848"/>
      <c r="J94" s="848"/>
    </row>
    <row r="95" spans="1:10" ht="45" x14ac:dyDescent="0.25">
      <c r="A95" s="150">
        <v>2392006</v>
      </c>
      <c r="B95" s="151" t="s">
        <v>553</v>
      </c>
      <c r="C95" s="151" t="s">
        <v>555</v>
      </c>
      <c r="D95" s="152" t="s">
        <v>225</v>
      </c>
      <c r="E95" s="852">
        <v>2900000</v>
      </c>
      <c r="F95" s="851">
        <f>HLOOKUP($A95,'Hodnocení '!$C$1:$JI$183,155,FALSE)</f>
        <v>2175750</v>
      </c>
      <c r="G95" s="152"/>
      <c r="H95" s="848"/>
      <c r="J95" s="848"/>
    </row>
    <row r="96" spans="1:10" ht="60" x14ac:dyDescent="0.25">
      <c r="A96" s="150">
        <v>4526227</v>
      </c>
      <c r="B96" s="151" t="s">
        <v>553</v>
      </c>
      <c r="C96" s="151" t="s">
        <v>559</v>
      </c>
      <c r="D96" s="152" t="s">
        <v>342</v>
      </c>
      <c r="E96" s="852">
        <v>2235500</v>
      </c>
      <c r="F96" s="851">
        <f>HLOOKUP($A96,'Hodnocení '!$C$1:$JI$183,155,FALSE)</f>
        <v>2003660</v>
      </c>
      <c r="G96" s="152"/>
      <c r="H96" s="848"/>
      <c r="J96" s="848"/>
    </row>
    <row r="97" spans="1:10" ht="45" x14ac:dyDescent="0.25">
      <c r="A97" s="150">
        <v>7634996</v>
      </c>
      <c r="B97" s="151" t="s">
        <v>553</v>
      </c>
      <c r="C97" s="151" t="s">
        <v>560</v>
      </c>
      <c r="D97" s="152" t="s">
        <v>292</v>
      </c>
      <c r="E97" s="852">
        <v>491000</v>
      </c>
      <c r="F97" s="851">
        <f>HLOOKUP($A97,'Hodnocení '!$C$1:$JI$183,155,FALSE)</f>
        <v>327940</v>
      </c>
      <c r="G97" s="152"/>
      <c r="H97" s="848"/>
      <c r="J97" s="848"/>
    </row>
    <row r="98" spans="1:10" ht="45" x14ac:dyDescent="0.25">
      <c r="A98" s="150">
        <v>7653065</v>
      </c>
      <c r="B98" s="151" t="s">
        <v>553</v>
      </c>
      <c r="C98" s="151" t="s">
        <v>562</v>
      </c>
      <c r="D98" s="152" t="s">
        <v>229</v>
      </c>
      <c r="E98" s="852">
        <v>3142100</v>
      </c>
      <c r="F98" s="851">
        <f>HLOOKUP($A98,'Hodnocení '!$C$1:$JI$183,155,FALSE)</f>
        <v>0</v>
      </c>
      <c r="G98" s="152" t="s">
        <v>2466</v>
      </c>
      <c r="H98" s="848"/>
      <c r="J98" s="848"/>
    </row>
    <row r="99" spans="1:10" ht="45" x14ac:dyDescent="0.25">
      <c r="A99" s="150">
        <v>8102124</v>
      </c>
      <c r="B99" s="151" t="s">
        <v>553</v>
      </c>
      <c r="C99" s="151" t="s">
        <v>563</v>
      </c>
      <c r="D99" s="152" t="s">
        <v>538</v>
      </c>
      <c r="E99" s="852">
        <v>1416300</v>
      </c>
      <c r="F99" s="851">
        <f>HLOOKUP($A99,'Hodnocení '!$C$1:$JI$183,155,FALSE)</f>
        <v>992220</v>
      </c>
      <c r="G99" s="152"/>
      <c r="H99" s="848"/>
      <c r="J99" s="848"/>
    </row>
    <row r="100" spans="1:10" ht="45" x14ac:dyDescent="0.25">
      <c r="A100" s="150">
        <v>8289298</v>
      </c>
      <c r="B100" s="151" t="s">
        <v>553</v>
      </c>
      <c r="C100" s="151" t="s">
        <v>560</v>
      </c>
      <c r="D100" s="152" t="s">
        <v>292</v>
      </c>
      <c r="E100" s="852">
        <v>1929000</v>
      </c>
      <c r="F100" s="851">
        <f>HLOOKUP($A100,'Hodnocení '!$C$1:$JI$183,155,FALSE)</f>
        <v>1531740</v>
      </c>
      <c r="G100" s="152"/>
      <c r="H100" s="848"/>
      <c r="J100" s="848"/>
    </row>
    <row r="101" spans="1:10" ht="45" x14ac:dyDescent="0.25">
      <c r="A101" s="150">
        <v>9503685</v>
      </c>
      <c r="B101" s="151" t="s">
        <v>553</v>
      </c>
      <c r="C101" s="151" t="s">
        <v>560</v>
      </c>
      <c r="D101" s="152" t="s">
        <v>292</v>
      </c>
      <c r="E101" s="852">
        <v>640200</v>
      </c>
      <c r="F101" s="851">
        <f>HLOOKUP($A101,'Hodnocení '!$C$1:$JI$183,155,FALSE)</f>
        <v>453230</v>
      </c>
      <c r="G101" s="152"/>
      <c r="H101" s="848"/>
      <c r="J101" s="848"/>
    </row>
    <row r="102" spans="1:10" ht="45" x14ac:dyDescent="0.25">
      <c r="A102" s="150">
        <v>1441233</v>
      </c>
      <c r="B102" s="151" t="s">
        <v>568</v>
      </c>
      <c r="C102" s="151" t="s">
        <v>570</v>
      </c>
      <c r="D102" s="152" t="s">
        <v>361</v>
      </c>
      <c r="E102" s="852">
        <v>3395000</v>
      </c>
      <c r="F102" s="851">
        <f>HLOOKUP($A102,'Hodnocení '!$C$1:$JI$183,155,FALSE)</f>
        <v>2970020</v>
      </c>
      <c r="G102" s="152"/>
      <c r="H102" s="848"/>
      <c r="J102" s="848"/>
    </row>
    <row r="103" spans="1:10" ht="45" x14ac:dyDescent="0.25">
      <c r="A103" s="150">
        <v>1961902</v>
      </c>
      <c r="B103" s="151" t="s">
        <v>568</v>
      </c>
      <c r="C103" s="151" t="s">
        <v>570</v>
      </c>
      <c r="D103" s="152" t="s">
        <v>217</v>
      </c>
      <c r="E103" s="852">
        <v>3471000</v>
      </c>
      <c r="F103" s="851">
        <f>HLOOKUP($A103,'Hodnocení '!$C$1:$JI$183,155,FALSE)</f>
        <v>3273950</v>
      </c>
      <c r="G103" s="152"/>
      <c r="H103" s="848"/>
      <c r="J103" s="848"/>
    </row>
    <row r="104" spans="1:10" ht="45" x14ac:dyDescent="0.25">
      <c r="A104" s="150">
        <v>2499134</v>
      </c>
      <c r="B104" s="151" t="s">
        <v>568</v>
      </c>
      <c r="C104" s="151" t="s">
        <v>570</v>
      </c>
      <c r="D104" s="152" t="s">
        <v>575</v>
      </c>
      <c r="E104" s="852">
        <v>2981000</v>
      </c>
      <c r="F104" s="851">
        <f>HLOOKUP($A104,'Hodnocení '!$C$1:$JI$183,155,FALSE)</f>
        <v>2981000</v>
      </c>
      <c r="G104" s="152"/>
      <c r="H104" s="848"/>
      <c r="J104" s="848"/>
    </row>
    <row r="105" spans="1:10" ht="45" x14ac:dyDescent="0.25">
      <c r="A105" s="150">
        <v>7399132</v>
      </c>
      <c r="B105" s="151" t="s">
        <v>576</v>
      </c>
      <c r="C105" s="151" t="s">
        <v>576</v>
      </c>
      <c r="D105" s="152" t="s">
        <v>328</v>
      </c>
      <c r="E105" s="852">
        <v>2188680</v>
      </c>
      <c r="F105" s="851">
        <f>HLOOKUP($A105,'Hodnocení '!$C$1:$JI$183,155,FALSE)</f>
        <v>1908550</v>
      </c>
      <c r="G105" s="152"/>
      <c r="H105" s="848"/>
      <c r="J105" s="848"/>
    </row>
    <row r="106" spans="1:10" ht="45" x14ac:dyDescent="0.25">
      <c r="A106" s="150">
        <v>8877013</v>
      </c>
      <c r="B106" s="151" t="s">
        <v>576</v>
      </c>
      <c r="C106" s="151" t="s">
        <v>576</v>
      </c>
      <c r="D106" s="152" t="s">
        <v>348</v>
      </c>
      <c r="E106" s="852">
        <v>4945200</v>
      </c>
      <c r="F106" s="851">
        <f>HLOOKUP($A106,'Hodnocení '!$C$1:$JI$183,155,FALSE)</f>
        <v>4945200</v>
      </c>
      <c r="G106" s="152"/>
      <c r="H106" s="848"/>
      <c r="J106" s="848"/>
    </row>
    <row r="107" spans="1:10" ht="30" x14ac:dyDescent="0.25">
      <c r="A107" s="150">
        <v>7566271</v>
      </c>
      <c r="B107" s="151" t="s">
        <v>580</v>
      </c>
      <c r="C107" s="151" t="s">
        <v>582</v>
      </c>
      <c r="D107" s="152" t="s">
        <v>225</v>
      </c>
      <c r="E107" s="852">
        <v>9230000</v>
      </c>
      <c r="F107" s="851">
        <f>HLOOKUP($A107,'Hodnocení '!$C$1:$JI$183,155,FALSE)</f>
        <v>9230000</v>
      </c>
      <c r="G107" s="152"/>
      <c r="H107" s="848"/>
      <c r="J107" s="848"/>
    </row>
    <row r="108" spans="1:10" ht="60" x14ac:dyDescent="0.25">
      <c r="A108" s="150">
        <v>8365172</v>
      </c>
      <c r="B108" s="151" t="s">
        <v>1118</v>
      </c>
      <c r="C108" s="151" t="s">
        <v>1378</v>
      </c>
      <c r="D108" s="152" t="s">
        <v>1893</v>
      </c>
      <c r="E108" s="852">
        <v>1668800</v>
      </c>
      <c r="F108" s="851">
        <f>HLOOKUP($A108,'Hodnocení '!$C$1:$JI$183,155,FALSE)</f>
        <v>1223740</v>
      </c>
      <c r="G108" s="152"/>
      <c r="H108" s="848"/>
      <c r="J108" s="848"/>
    </row>
    <row r="109" spans="1:10" ht="60" x14ac:dyDescent="0.25">
      <c r="A109" s="150">
        <v>9608144</v>
      </c>
      <c r="B109" s="151" t="s">
        <v>1118</v>
      </c>
      <c r="C109" s="151" t="s">
        <v>1028</v>
      </c>
      <c r="D109" s="152" t="s">
        <v>292</v>
      </c>
      <c r="E109" s="852">
        <v>1312920</v>
      </c>
      <c r="F109" s="851">
        <f>HLOOKUP($A109,'Hodnocení '!$C$1:$JI$183,155,FALSE)</f>
        <v>1312920</v>
      </c>
      <c r="G109" s="152"/>
      <c r="H109" s="848"/>
      <c r="J109" s="848"/>
    </row>
    <row r="110" spans="1:10" ht="45" x14ac:dyDescent="0.25">
      <c r="A110" s="150">
        <v>5943218</v>
      </c>
      <c r="B110" s="151" t="s">
        <v>585</v>
      </c>
      <c r="C110" s="151" t="s">
        <v>587</v>
      </c>
      <c r="D110" s="152" t="s">
        <v>235</v>
      </c>
      <c r="E110" s="852">
        <v>1290900</v>
      </c>
      <c r="F110" s="851">
        <f>HLOOKUP($A110,'Hodnocení '!$C$1:$JI$183,155,FALSE)</f>
        <v>0</v>
      </c>
      <c r="G110" s="152" t="s">
        <v>2466</v>
      </c>
      <c r="H110" s="848"/>
      <c r="J110" s="848"/>
    </row>
    <row r="111" spans="1:10" ht="45" x14ac:dyDescent="0.25">
      <c r="A111" s="150">
        <v>8299792</v>
      </c>
      <c r="B111" s="151" t="s">
        <v>585</v>
      </c>
      <c r="C111" s="151" t="s">
        <v>587</v>
      </c>
      <c r="D111" s="152" t="s">
        <v>292</v>
      </c>
      <c r="E111" s="852">
        <v>2208600</v>
      </c>
      <c r="F111" s="851">
        <f>HLOOKUP($A111,'Hodnocení '!$C$1:$JI$183,155,FALSE)</f>
        <v>1916260</v>
      </c>
      <c r="G111" s="152"/>
      <c r="H111" s="848"/>
      <c r="J111" s="848"/>
    </row>
    <row r="112" spans="1:10" ht="30" x14ac:dyDescent="0.25">
      <c r="A112" s="150">
        <v>1201932</v>
      </c>
      <c r="B112" s="151" t="s">
        <v>592</v>
      </c>
      <c r="C112" s="151" t="s">
        <v>594</v>
      </c>
      <c r="D112" s="152" t="s">
        <v>292</v>
      </c>
      <c r="E112" s="852">
        <v>2020000</v>
      </c>
      <c r="F112" s="851">
        <f>HLOOKUP($A112,'Hodnocení '!$C$1:$JI$183,155,FALSE)</f>
        <v>2020000</v>
      </c>
      <c r="G112" s="152"/>
      <c r="H112" s="848"/>
      <c r="J112" s="848"/>
    </row>
    <row r="113" spans="1:10" ht="30" x14ac:dyDescent="0.25">
      <c r="A113" s="150">
        <v>1537615</v>
      </c>
      <c r="B113" s="151" t="s">
        <v>592</v>
      </c>
      <c r="C113" s="151" t="s">
        <v>597</v>
      </c>
      <c r="D113" s="152" t="s">
        <v>251</v>
      </c>
      <c r="E113" s="852">
        <v>3206000</v>
      </c>
      <c r="F113" s="851">
        <f>HLOOKUP($A113,'Hodnocení '!$C$1:$JI$183,155,FALSE)</f>
        <v>3075110</v>
      </c>
      <c r="G113" s="152"/>
      <c r="H113" s="848"/>
      <c r="J113" s="848"/>
    </row>
    <row r="114" spans="1:10" x14ac:dyDescent="0.25">
      <c r="A114" s="150">
        <v>5814347</v>
      </c>
      <c r="B114" s="151" t="s">
        <v>592</v>
      </c>
      <c r="C114" s="151" t="s">
        <v>600</v>
      </c>
      <c r="D114" s="152" t="s">
        <v>599</v>
      </c>
      <c r="E114" s="852">
        <v>2499000</v>
      </c>
      <c r="F114" s="851">
        <f>HLOOKUP($A114,'Hodnocení '!$C$1:$JI$183,155,FALSE)</f>
        <v>2499000</v>
      </c>
      <c r="G114" s="152"/>
      <c r="H114" s="848"/>
      <c r="J114" s="848"/>
    </row>
    <row r="115" spans="1:10" ht="30" x14ac:dyDescent="0.25">
      <c r="A115" s="150">
        <v>6181040</v>
      </c>
      <c r="B115" s="151" t="s">
        <v>602</v>
      </c>
      <c r="C115" s="151" t="s">
        <v>605</v>
      </c>
      <c r="D115" s="152" t="s">
        <v>328</v>
      </c>
      <c r="E115" s="852">
        <v>270000</v>
      </c>
      <c r="F115" s="851">
        <f>HLOOKUP($A115,'Hodnocení '!$C$1:$JI$183,155,FALSE)</f>
        <v>0</v>
      </c>
      <c r="G115" s="152" t="s">
        <v>2837</v>
      </c>
      <c r="H115" s="848"/>
      <c r="J115" s="848"/>
    </row>
    <row r="116" spans="1:10" ht="30" x14ac:dyDescent="0.25">
      <c r="A116" s="150">
        <v>1647194</v>
      </c>
      <c r="B116" s="151" t="s">
        <v>606</v>
      </c>
      <c r="C116" s="151" t="s">
        <v>608</v>
      </c>
      <c r="D116" s="152" t="s">
        <v>328</v>
      </c>
      <c r="E116" s="852">
        <v>990000</v>
      </c>
      <c r="F116" s="851">
        <f>HLOOKUP($A116,'Hodnocení '!$C$1:$JI$183,155,FALSE)</f>
        <v>990000</v>
      </c>
      <c r="G116" s="152"/>
      <c r="H116" s="848"/>
      <c r="J116" s="848"/>
    </row>
    <row r="117" spans="1:10" ht="30" x14ac:dyDescent="0.25">
      <c r="A117" s="150">
        <v>6232669</v>
      </c>
      <c r="B117" s="151" t="s">
        <v>610</v>
      </c>
      <c r="C117" s="151" t="s">
        <v>610</v>
      </c>
      <c r="D117" s="152" t="s">
        <v>328</v>
      </c>
      <c r="E117" s="852">
        <v>2200000</v>
      </c>
      <c r="F117" s="851">
        <f>HLOOKUP($A117,'Hodnocení '!$C$1:$JI$183,155,FALSE)</f>
        <v>1854520</v>
      </c>
      <c r="G117" s="152"/>
      <c r="H117" s="848"/>
      <c r="J117" s="848"/>
    </row>
    <row r="118" spans="1:10" ht="30" x14ac:dyDescent="0.25">
      <c r="A118" s="150">
        <v>6428468</v>
      </c>
      <c r="B118" s="151" t="s">
        <v>613</v>
      </c>
      <c r="C118" s="151" t="s">
        <v>615</v>
      </c>
      <c r="D118" s="152" t="s">
        <v>328</v>
      </c>
      <c r="E118" s="852">
        <v>4500000</v>
      </c>
      <c r="F118" s="851">
        <f>HLOOKUP($A118,'Hodnocení '!$C$1:$JI$183,155,FALSE)</f>
        <v>943020</v>
      </c>
      <c r="G118" s="152"/>
      <c r="H118" s="848"/>
      <c r="J118" s="848"/>
    </row>
    <row r="119" spans="1:10" ht="30" x14ac:dyDescent="0.25">
      <c r="A119" s="150">
        <v>1172890</v>
      </c>
      <c r="B119" s="151" t="s">
        <v>618</v>
      </c>
      <c r="C119" s="151" t="s">
        <v>620</v>
      </c>
      <c r="D119" s="152" t="s">
        <v>328</v>
      </c>
      <c r="E119" s="852">
        <v>4812000</v>
      </c>
      <c r="F119" s="851">
        <f>HLOOKUP($A119,'Hodnocení '!$C$1:$JI$183,155,FALSE)</f>
        <v>3255890</v>
      </c>
      <c r="G119" s="152"/>
      <c r="H119" s="848"/>
      <c r="J119" s="848"/>
    </row>
    <row r="120" spans="1:10" ht="30" x14ac:dyDescent="0.25">
      <c r="A120" s="150">
        <v>4531517</v>
      </c>
      <c r="B120" s="151" t="s">
        <v>618</v>
      </c>
      <c r="C120" s="151" t="s">
        <v>623</v>
      </c>
      <c r="D120" s="152" t="s">
        <v>286</v>
      </c>
      <c r="E120" s="852">
        <v>552000</v>
      </c>
      <c r="F120" s="851">
        <f>HLOOKUP($A120,'Hodnocení '!$C$1:$JI$183,155,FALSE)</f>
        <v>465830</v>
      </c>
      <c r="G120" s="152"/>
      <c r="H120" s="848"/>
      <c r="J120" s="848"/>
    </row>
    <row r="121" spans="1:10" ht="30" x14ac:dyDescent="0.25">
      <c r="A121" s="150">
        <v>7702105</v>
      </c>
      <c r="B121" s="151" t="s">
        <v>626</v>
      </c>
      <c r="C121" s="151" t="s">
        <v>386</v>
      </c>
      <c r="D121" s="152" t="s">
        <v>328</v>
      </c>
      <c r="E121" s="852">
        <v>1800000</v>
      </c>
      <c r="F121" s="851">
        <f>HLOOKUP($A121,'Hodnocení '!$C$1:$JI$183,155,FALSE)</f>
        <v>937680</v>
      </c>
      <c r="G121" s="152"/>
      <c r="H121" s="848"/>
      <c r="J121" s="848"/>
    </row>
    <row r="122" spans="1:10" ht="30" x14ac:dyDescent="0.25">
      <c r="A122" s="150">
        <v>1671513</v>
      </c>
      <c r="B122" s="151" t="s">
        <v>630</v>
      </c>
      <c r="C122" s="151" t="s">
        <v>632</v>
      </c>
      <c r="D122" s="152" t="s">
        <v>328</v>
      </c>
      <c r="E122" s="852">
        <v>700000</v>
      </c>
      <c r="F122" s="851">
        <f>HLOOKUP($A122,'Hodnocení '!$C$1:$JI$183,155,FALSE)</f>
        <v>384530</v>
      </c>
      <c r="G122" s="152"/>
      <c r="H122" s="848"/>
      <c r="J122" s="848"/>
    </row>
    <row r="123" spans="1:10" ht="30" x14ac:dyDescent="0.25">
      <c r="A123" s="150">
        <v>5141443</v>
      </c>
      <c r="B123" s="151" t="s">
        <v>636</v>
      </c>
      <c r="C123" s="151" t="s">
        <v>638</v>
      </c>
      <c r="D123" s="152" t="s">
        <v>328</v>
      </c>
      <c r="E123" s="852">
        <v>200000</v>
      </c>
      <c r="F123" s="851">
        <f>HLOOKUP($A123,'Hodnocení '!$C$1:$JI$183,155,FALSE)</f>
        <v>200000</v>
      </c>
      <c r="G123" s="152"/>
      <c r="H123" s="848"/>
      <c r="J123" s="848"/>
    </row>
    <row r="124" spans="1:10" ht="30" x14ac:dyDescent="0.25">
      <c r="A124" s="150">
        <v>3994122</v>
      </c>
      <c r="B124" s="151" t="s">
        <v>640</v>
      </c>
      <c r="C124" s="151" t="s">
        <v>642</v>
      </c>
      <c r="D124" s="152" t="s">
        <v>235</v>
      </c>
      <c r="E124" s="852">
        <v>1800000</v>
      </c>
      <c r="F124" s="851">
        <f>HLOOKUP($A124,'Hodnocení '!$C$1:$JI$183,155,FALSE)</f>
        <v>0</v>
      </c>
      <c r="G124" s="152" t="s">
        <v>2466</v>
      </c>
      <c r="H124" s="848"/>
      <c r="J124" s="848"/>
    </row>
    <row r="125" spans="1:10" ht="60" x14ac:dyDescent="0.25">
      <c r="A125" s="150">
        <v>1272659</v>
      </c>
      <c r="B125" s="151" t="s">
        <v>647</v>
      </c>
      <c r="C125" s="151" t="s">
        <v>379</v>
      </c>
      <c r="D125" s="152" t="s">
        <v>342</v>
      </c>
      <c r="E125" s="852">
        <v>1018000</v>
      </c>
      <c r="F125" s="851">
        <f>HLOOKUP($A125,'Hodnocení '!$C$1:$JI$183,155,FALSE)</f>
        <v>788770</v>
      </c>
      <c r="G125" s="152"/>
      <c r="H125" s="848"/>
      <c r="J125" s="848"/>
    </row>
    <row r="126" spans="1:10" ht="30" x14ac:dyDescent="0.25">
      <c r="A126" s="150">
        <v>1514566</v>
      </c>
      <c r="B126" s="151" t="s">
        <v>652</v>
      </c>
      <c r="C126" s="151" t="s">
        <v>652</v>
      </c>
      <c r="D126" s="152" t="s">
        <v>328</v>
      </c>
      <c r="E126" s="852">
        <v>1000000</v>
      </c>
      <c r="F126" s="851">
        <f>HLOOKUP($A126,'Hodnocení '!$C$1:$JI$183,155,FALSE)</f>
        <v>309590</v>
      </c>
      <c r="G126" s="152"/>
      <c r="H126" s="848"/>
      <c r="J126" s="848"/>
    </row>
    <row r="127" spans="1:10" ht="30" x14ac:dyDescent="0.25">
      <c r="A127" s="150">
        <v>4936413</v>
      </c>
      <c r="B127" s="151" t="s">
        <v>655</v>
      </c>
      <c r="C127" s="151" t="s">
        <v>657</v>
      </c>
      <c r="D127" s="152" t="s">
        <v>328</v>
      </c>
      <c r="E127" s="852">
        <v>610000</v>
      </c>
      <c r="F127" s="851">
        <f>HLOOKUP($A127,'Hodnocení '!$C$1:$JI$183,155,FALSE)</f>
        <v>610000</v>
      </c>
      <c r="G127" s="152"/>
      <c r="H127" s="848"/>
      <c r="J127" s="848"/>
    </row>
    <row r="128" spans="1:10" ht="30" x14ac:dyDescent="0.25">
      <c r="A128" s="150">
        <v>8522302</v>
      </c>
      <c r="B128" s="151" t="s">
        <v>661</v>
      </c>
      <c r="C128" s="151" t="s">
        <v>386</v>
      </c>
      <c r="D128" s="152" t="s">
        <v>328</v>
      </c>
      <c r="E128" s="852">
        <v>180000</v>
      </c>
      <c r="F128" s="851">
        <f>HLOOKUP($A128,'Hodnocení '!$C$1:$JI$183,155,FALSE)</f>
        <v>0</v>
      </c>
      <c r="G128" s="152" t="s">
        <v>2837</v>
      </c>
      <c r="H128" s="848"/>
      <c r="J128" s="848"/>
    </row>
    <row r="129" spans="1:10" ht="30" x14ac:dyDescent="0.25">
      <c r="A129" s="150">
        <v>6697882</v>
      </c>
      <c r="B129" s="151" t="s">
        <v>663</v>
      </c>
      <c r="C129" s="151" t="s">
        <v>665</v>
      </c>
      <c r="D129" s="152" t="s">
        <v>328</v>
      </c>
      <c r="E129" s="852">
        <v>150000</v>
      </c>
      <c r="F129" s="851">
        <f>HLOOKUP($A129,'Hodnocení '!$C$1:$JI$183,155,FALSE)</f>
        <v>150000</v>
      </c>
      <c r="G129" s="152"/>
      <c r="H129" s="848"/>
      <c r="J129" s="848"/>
    </row>
    <row r="130" spans="1:10" ht="30" x14ac:dyDescent="0.25">
      <c r="A130" s="150">
        <v>2813433</v>
      </c>
      <c r="B130" s="151" t="s">
        <v>666</v>
      </c>
      <c r="C130" s="151" t="s">
        <v>668</v>
      </c>
      <c r="D130" s="152" t="s">
        <v>286</v>
      </c>
      <c r="E130" s="852">
        <v>865000</v>
      </c>
      <c r="F130" s="851">
        <f>HLOOKUP($A130,'Hodnocení '!$C$1:$JI$183,155,FALSE)</f>
        <v>483760</v>
      </c>
      <c r="G130" s="152"/>
      <c r="H130" s="848"/>
      <c r="J130" s="848"/>
    </row>
    <row r="131" spans="1:10" ht="30" x14ac:dyDescent="0.25">
      <c r="A131" s="150">
        <v>5204562</v>
      </c>
      <c r="B131" s="151" t="s">
        <v>666</v>
      </c>
      <c r="C131" s="151" t="s">
        <v>670</v>
      </c>
      <c r="D131" s="152" t="s">
        <v>328</v>
      </c>
      <c r="E131" s="852">
        <v>900000</v>
      </c>
      <c r="F131" s="851">
        <f>HLOOKUP($A131,'Hodnocení '!$C$1:$JI$183,155,FALSE)</f>
        <v>780920</v>
      </c>
      <c r="G131" s="152"/>
      <c r="H131" s="848"/>
      <c r="J131" s="848"/>
    </row>
    <row r="132" spans="1:10" ht="30" x14ac:dyDescent="0.25">
      <c r="A132" s="150">
        <v>9666094</v>
      </c>
      <c r="B132" s="151" t="s">
        <v>671</v>
      </c>
      <c r="C132" s="151" t="s">
        <v>386</v>
      </c>
      <c r="D132" s="152" t="s">
        <v>328</v>
      </c>
      <c r="E132" s="852">
        <v>3950000</v>
      </c>
      <c r="F132" s="851">
        <f>HLOOKUP($A132,'Hodnocení '!$C$1:$JI$183,155,FALSE)</f>
        <v>1870580</v>
      </c>
      <c r="G132" s="152"/>
      <c r="H132" s="848"/>
      <c r="J132" s="848"/>
    </row>
    <row r="133" spans="1:10" ht="30" x14ac:dyDescent="0.25">
      <c r="A133" s="150">
        <v>3810187</v>
      </c>
      <c r="B133" s="151" t="s">
        <v>674</v>
      </c>
      <c r="C133" s="151" t="s">
        <v>676</v>
      </c>
      <c r="D133" s="152" t="s">
        <v>328</v>
      </c>
      <c r="E133" s="852">
        <v>2500000</v>
      </c>
      <c r="F133" s="851">
        <f>HLOOKUP($A133,'Hodnocení '!$C$1:$JI$183,155,FALSE)</f>
        <v>1243940</v>
      </c>
      <c r="G133" s="152"/>
      <c r="H133" s="848"/>
      <c r="J133" s="848"/>
    </row>
    <row r="134" spans="1:10" ht="75" x14ac:dyDescent="0.25">
      <c r="A134" s="150">
        <v>9328941</v>
      </c>
      <c r="B134" s="151" t="s">
        <v>1526</v>
      </c>
      <c r="C134" s="151" t="s">
        <v>1364</v>
      </c>
      <c r="D134" s="152" t="s">
        <v>837</v>
      </c>
      <c r="E134" s="852">
        <v>1270000</v>
      </c>
      <c r="F134" s="851">
        <f>HLOOKUP($A134,'Hodnocení '!$C$1:$JI$183,155,FALSE)</f>
        <v>1270000</v>
      </c>
      <c r="G134" s="152"/>
      <c r="H134" s="848"/>
      <c r="J134" s="848"/>
    </row>
    <row r="135" spans="1:10" ht="45" x14ac:dyDescent="0.25">
      <c r="A135" s="150">
        <v>1817339</v>
      </c>
      <c r="B135" s="151" t="s">
        <v>678</v>
      </c>
      <c r="C135" s="151" t="s">
        <v>680</v>
      </c>
      <c r="D135" s="152" t="s">
        <v>348</v>
      </c>
      <c r="E135" s="852">
        <v>4746000</v>
      </c>
      <c r="F135" s="851">
        <f>HLOOKUP($A135,'Hodnocení '!$C$1:$JI$183,155,FALSE)</f>
        <v>2245960</v>
      </c>
      <c r="G135" s="152"/>
      <c r="H135" s="848"/>
      <c r="J135" s="848"/>
    </row>
    <row r="136" spans="1:10" ht="45" x14ac:dyDescent="0.25">
      <c r="A136" s="150">
        <v>3357963</v>
      </c>
      <c r="B136" s="151" t="s">
        <v>678</v>
      </c>
      <c r="C136" s="151" t="s">
        <v>680</v>
      </c>
      <c r="D136" s="152" t="s">
        <v>361</v>
      </c>
      <c r="E136" s="852">
        <v>978000</v>
      </c>
      <c r="F136" s="851">
        <f>HLOOKUP($A136,'Hodnocení '!$C$1:$JI$183,155,FALSE)</f>
        <v>235090</v>
      </c>
      <c r="G136" s="152"/>
      <c r="H136" s="848"/>
      <c r="J136" s="848"/>
    </row>
    <row r="137" spans="1:10" ht="45" x14ac:dyDescent="0.25">
      <c r="A137" s="150">
        <v>7259548</v>
      </c>
      <c r="B137" s="151" t="s">
        <v>678</v>
      </c>
      <c r="C137" s="151" t="s">
        <v>680</v>
      </c>
      <c r="D137" s="152" t="s">
        <v>328</v>
      </c>
      <c r="E137" s="852">
        <v>7690000</v>
      </c>
      <c r="F137" s="851">
        <f>HLOOKUP($A137,'Hodnocení '!$C$1:$JI$183,155,FALSE)</f>
        <v>2571150</v>
      </c>
      <c r="G137" s="152"/>
      <c r="H137" s="848"/>
      <c r="J137" s="848"/>
    </row>
    <row r="138" spans="1:10" ht="45" x14ac:dyDescent="0.25">
      <c r="A138" s="150">
        <v>2506443</v>
      </c>
      <c r="B138" s="151" t="s">
        <v>682</v>
      </c>
      <c r="C138" s="151" t="s">
        <v>287</v>
      </c>
      <c r="D138" s="152" t="s">
        <v>286</v>
      </c>
      <c r="E138" s="852">
        <v>1054717</v>
      </c>
      <c r="F138" s="851">
        <f>HLOOKUP($A138,'Hodnocení '!$C$1:$JI$183,155,FALSE)</f>
        <v>1054710</v>
      </c>
      <c r="G138" s="152"/>
      <c r="H138" s="848"/>
      <c r="J138" s="848"/>
    </row>
    <row r="139" spans="1:10" ht="45" x14ac:dyDescent="0.25">
      <c r="A139" s="150">
        <v>4075651</v>
      </c>
      <c r="B139" s="151" t="s">
        <v>682</v>
      </c>
      <c r="C139" s="151" t="s">
        <v>684</v>
      </c>
      <c r="D139" s="152" t="s">
        <v>361</v>
      </c>
      <c r="E139" s="852">
        <v>1284855</v>
      </c>
      <c r="F139" s="851">
        <f>HLOOKUP($A139,'Hodnocení '!$C$1:$JI$183,155,FALSE)</f>
        <v>1157420</v>
      </c>
      <c r="G139" s="152"/>
      <c r="H139" s="848"/>
      <c r="J139" s="848"/>
    </row>
    <row r="140" spans="1:10" ht="45" x14ac:dyDescent="0.25">
      <c r="A140" s="150">
        <v>4782003</v>
      </c>
      <c r="B140" s="151" t="s">
        <v>682</v>
      </c>
      <c r="C140" s="151" t="s">
        <v>687</v>
      </c>
      <c r="D140" s="152" t="s">
        <v>348</v>
      </c>
      <c r="E140" s="852">
        <v>10416974</v>
      </c>
      <c r="F140" s="851">
        <f>HLOOKUP($A140,'Hodnocení '!$C$1:$JI$183,155,FALSE)</f>
        <v>7754400</v>
      </c>
      <c r="G140" s="152"/>
      <c r="H140" s="848"/>
      <c r="J140" s="848"/>
    </row>
    <row r="141" spans="1:10" ht="45" x14ac:dyDescent="0.25">
      <c r="A141" s="150">
        <v>9940787</v>
      </c>
      <c r="B141" s="151" t="s">
        <v>682</v>
      </c>
      <c r="C141" s="151" t="s">
        <v>328</v>
      </c>
      <c r="D141" s="152" t="s">
        <v>328</v>
      </c>
      <c r="E141" s="852">
        <v>5289602</v>
      </c>
      <c r="F141" s="851">
        <f>HLOOKUP($A141,'Hodnocení '!$C$1:$JI$183,155,FALSE)</f>
        <v>3881580</v>
      </c>
      <c r="G141" s="152"/>
      <c r="H141" s="848"/>
      <c r="J141" s="848"/>
    </row>
    <row r="142" spans="1:10" ht="30" x14ac:dyDescent="0.25">
      <c r="A142" s="150">
        <v>9949795</v>
      </c>
      <c r="B142" s="151" t="s">
        <v>690</v>
      </c>
      <c r="C142" s="151" t="s">
        <v>692</v>
      </c>
      <c r="D142" s="152" t="s">
        <v>328</v>
      </c>
      <c r="E142" s="852">
        <v>1889000</v>
      </c>
      <c r="F142" s="851">
        <f>HLOOKUP($A142,'Hodnocení '!$C$1:$JI$183,155,FALSE)</f>
        <v>484460</v>
      </c>
      <c r="G142" s="152"/>
      <c r="H142" s="848"/>
      <c r="J142" s="848"/>
    </row>
    <row r="143" spans="1:10" ht="60" x14ac:dyDescent="0.25">
      <c r="A143" s="150">
        <v>2540162</v>
      </c>
      <c r="B143" s="151" t="s">
        <v>694</v>
      </c>
      <c r="C143" s="151" t="s">
        <v>694</v>
      </c>
      <c r="D143" s="152" t="s">
        <v>328</v>
      </c>
      <c r="E143" s="852">
        <v>3539000</v>
      </c>
      <c r="F143" s="851">
        <f>HLOOKUP($A143,'Hodnocení '!$C$1:$JI$183,155,FALSE)</f>
        <v>2734460</v>
      </c>
      <c r="G143" s="152"/>
      <c r="H143" s="848"/>
      <c r="J143" s="848"/>
    </row>
    <row r="144" spans="1:10" ht="30" x14ac:dyDescent="0.25">
      <c r="A144" s="150">
        <v>2390992</v>
      </c>
      <c r="B144" s="151" t="s">
        <v>698</v>
      </c>
      <c r="C144" s="151" t="s">
        <v>700</v>
      </c>
      <c r="D144" s="152" t="s">
        <v>235</v>
      </c>
      <c r="E144" s="852">
        <v>100000</v>
      </c>
      <c r="F144" s="851">
        <f>HLOOKUP($A144,'Hodnocení '!$C$1:$JI$183,155,FALSE)</f>
        <v>100000</v>
      </c>
      <c r="G144" s="152"/>
      <c r="H144" s="848"/>
      <c r="J144" s="848"/>
    </row>
    <row r="145" spans="1:10" ht="30" x14ac:dyDescent="0.25">
      <c r="A145" s="150">
        <v>5755112</v>
      </c>
      <c r="B145" s="151" t="s">
        <v>703</v>
      </c>
      <c r="C145" s="151" t="s">
        <v>703</v>
      </c>
      <c r="D145" s="152" t="s">
        <v>705</v>
      </c>
      <c r="E145" s="852">
        <v>2110821</v>
      </c>
      <c r="F145" s="851">
        <f>HLOOKUP($A145,'Hodnocení '!$C$1:$JI$183,155,FALSE)</f>
        <v>0</v>
      </c>
      <c r="G145" s="152" t="s">
        <v>2466</v>
      </c>
      <c r="H145" s="848"/>
      <c r="J145" s="848"/>
    </row>
    <row r="146" spans="1:10" ht="30" x14ac:dyDescent="0.25">
      <c r="A146" s="150">
        <v>4335979</v>
      </c>
      <c r="B146" s="151" t="s">
        <v>708</v>
      </c>
      <c r="C146" s="151" t="s">
        <v>710</v>
      </c>
      <c r="D146" s="152" t="s">
        <v>225</v>
      </c>
      <c r="E146" s="852">
        <v>1000000</v>
      </c>
      <c r="F146" s="851">
        <f>HLOOKUP($A146,'Hodnocení '!$C$1:$JI$183,155,FALSE)</f>
        <v>455140</v>
      </c>
      <c r="G146" s="152"/>
      <c r="H146" s="848"/>
      <c r="J146" s="848"/>
    </row>
    <row r="147" spans="1:10" ht="30" x14ac:dyDescent="0.25">
      <c r="A147" s="150">
        <v>3054253</v>
      </c>
      <c r="B147" s="151" t="s">
        <v>713</v>
      </c>
      <c r="C147" s="151" t="s">
        <v>715</v>
      </c>
      <c r="D147" s="152" t="s">
        <v>235</v>
      </c>
      <c r="E147" s="852">
        <v>1464826</v>
      </c>
      <c r="F147" s="851">
        <f>HLOOKUP($A147,'Hodnocení '!$C$1:$JI$183,155,FALSE)</f>
        <v>1464820</v>
      </c>
      <c r="G147" s="152"/>
      <c r="H147" s="848"/>
      <c r="J147" s="848"/>
    </row>
    <row r="148" spans="1:10" x14ac:dyDescent="0.25">
      <c r="A148" s="150">
        <v>2757263</v>
      </c>
      <c r="B148" s="151" t="s">
        <v>718</v>
      </c>
      <c r="C148" s="151" t="s">
        <v>721</v>
      </c>
      <c r="D148" s="152" t="s">
        <v>720</v>
      </c>
      <c r="E148" s="852">
        <v>1072000</v>
      </c>
      <c r="F148" s="851">
        <f>HLOOKUP($A148,'Hodnocení '!$C$1:$JI$183,155,FALSE)</f>
        <v>979330</v>
      </c>
      <c r="G148" s="152"/>
      <c r="H148" s="848"/>
      <c r="J148" s="848"/>
    </row>
    <row r="149" spans="1:10" ht="30" x14ac:dyDescent="0.25">
      <c r="A149" s="150">
        <v>5133257</v>
      </c>
      <c r="B149" s="151" t="s">
        <v>718</v>
      </c>
      <c r="C149" s="151" t="s">
        <v>725</v>
      </c>
      <c r="D149" s="152" t="s">
        <v>292</v>
      </c>
      <c r="E149" s="852">
        <v>1902000</v>
      </c>
      <c r="F149" s="851">
        <f>HLOOKUP($A149,'Hodnocení '!$C$1:$JI$183,155,FALSE)</f>
        <v>1641100</v>
      </c>
      <c r="G149" s="152"/>
      <c r="H149" s="848"/>
      <c r="J149" s="848"/>
    </row>
    <row r="150" spans="1:10" ht="60" x14ac:dyDescent="0.25">
      <c r="A150" s="150">
        <v>6684022</v>
      </c>
      <c r="B150" s="151" t="s">
        <v>728</v>
      </c>
      <c r="C150" s="151" t="s">
        <v>730</v>
      </c>
      <c r="D150" s="152" t="s">
        <v>217</v>
      </c>
      <c r="E150" s="852">
        <v>4739080</v>
      </c>
      <c r="F150" s="851">
        <f>HLOOKUP($A150,'Hodnocení '!$C$1:$JI$183,155,FALSE)</f>
        <v>4652080</v>
      </c>
      <c r="G150" s="152"/>
      <c r="H150" s="848"/>
      <c r="J150" s="848"/>
    </row>
    <row r="151" spans="1:10" ht="30" x14ac:dyDescent="0.25">
      <c r="A151" s="150">
        <v>7381195</v>
      </c>
      <c r="B151" s="151" t="s">
        <v>728</v>
      </c>
      <c r="C151" s="151" t="s">
        <v>731</v>
      </c>
      <c r="D151" s="152" t="s">
        <v>235</v>
      </c>
      <c r="E151" s="852">
        <v>112726</v>
      </c>
      <c r="F151" s="851">
        <f>HLOOKUP($A151,'Hodnocení '!$C$1:$JI$183,155,FALSE)</f>
        <v>0</v>
      </c>
      <c r="G151" s="152" t="s">
        <v>2466</v>
      </c>
      <c r="H151" s="848"/>
      <c r="J151" s="848"/>
    </row>
    <row r="152" spans="1:10" ht="45" x14ac:dyDescent="0.25">
      <c r="A152" s="150">
        <v>3040542</v>
      </c>
      <c r="B152" s="151" t="s">
        <v>733</v>
      </c>
      <c r="C152" s="151" t="s">
        <v>735</v>
      </c>
      <c r="D152" s="152" t="s">
        <v>292</v>
      </c>
      <c r="E152" s="852">
        <v>1013021</v>
      </c>
      <c r="F152" s="851">
        <f>HLOOKUP($A152,'Hodnocení '!$C$1:$JI$183,155,FALSE)</f>
        <v>1013020</v>
      </c>
      <c r="G152" s="152"/>
      <c r="H152" s="848"/>
      <c r="J152" s="848"/>
    </row>
    <row r="153" spans="1:10" ht="45" x14ac:dyDescent="0.25">
      <c r="A153" s="150">
        <v>8849001</v>
      </c>
      <c r="B153" s="151" t="s">
        <v>733</v>
      </c>
      <c r="C153" s="151" t="s">
        <v>740</v>
      </c>
      <c r="D153" s="152" t="s">
        <v>292</v>
      </c>
      <c r="E153" s="852">
        <v>1408027</v>
      </c>
      <c r="F153" s="851">
        <f>HLOOKUP($A153,'Hodnocení '!$C$1:$JI$183,155,FALSE)</f>
        <v>1287900</v>
      </c>
      <c r="G153" s="152"/>
      <c r="H153" s="848"/>
      <c r="J153" s="848"/>
    </row>
    <row r="154" spans="1:10" ht="45" x14ac:dyDescent="0.25">
      <c r="A154" s="150">
        <v>8984742</v>
      </c>
      <c r="B154" s="151" t="s">
        <v>733</v>
      </c>
      <c r="C154" s="151" t="s">
        <v>744</v>
      </c>
      <c r="D154" s="152" t="s">
        <v>292</v>
      </c>
      <c r="E154" s="852">
        <v>956642</v>
      </c>
      <c r="F154" s="851">
        <f>HLOOKUP($A154,'Hodnocení '!$C$1:$JI$183,155,FALSE)</f>
        <v>914160</v>
      </c>
      <c r="G154" s="152"/>
      <c r="H154" s="848"/>
      <c r="J154" s="848"/>
    </row>
    <row r="155" spans="1:10" ht="45" x14ac:dyDescent="0.25">
      <c r="A155" s="150">
        <v>9192436</v>
      </c>
      <c r="B155" s="151" t="s">
        <v>733</v>
      </c>
      <c r="C155" s="151" t="s">
        <v>745</v>
      </c>
      <c r="D155" s="152" t="s">
        <v>235</v>
      </c>
      <c r="E155" s="852">
        <v>209840</v>
      </c>
      <c r="F155" s="851">
        <v>0</v>
      </c>
      <c r="G155" s="152" t="s">
        <v>2836</v>
      </c>
      <c r="H155" s="848"/>
      <c r="J155" s="848"/>
    </row>
    <row r="156" spans="1:10" ht="30" x14ac:dyDescent="0.25">
      <c r="A156" s="150">
        <v>9196018</v>
      </c>
      <c r="B156" s="151" t="s">
        <v>748</v>
      </c>
      <c r="C156" s="151" t="s">
        <v>750</v>
      </c>
      <c r="D156" s="152" t="s">
        <v>328</v>
      </c>
      <c r="E156" s="852">
        <v>1105000</v>
      </c>
      <c r="F156" s="851">
        <f>HLOOKUP($A156,'Hodnocení '!$C$1:$JI$183,155,FALSE)</f>
        <v>559250</v>
      </c>
      <c r="G156" s="152"/>
      <c r="H156" s="848"/>
      <c r="J156" s="848"/>
    </row>
    <row r="157" spans="1:10" ht="45" x14ac:dyDescent="0.25">
      <c r="A157" s="150">
        <v>2189349</v>
      </c>
      <c r="B157" s="151" t="s">
        <v>753</v>
      </c>
      <c r="C157" s="151" t="s">
        <v>755</v>
      </c>
      <c r="D157" s="152" t="s">
        <v>361</v>
      </c>
      <c r="E157" s="852">
        <v>1310620</v>
      </c>
      <c r="F157" s="851">
        <f>HLOOKUP($A157,'Hodnocení '!$C$1:$JI$183,155,FALSE)</f>
        <v>1177910</v>
      </c>
      <c r="G157" s="152"/>
      <c r="H157" s="848"/>
      <c r="J157" s="848"/>
    </row>
    <row r="158" spans="1:10" ht="30" x14ac:dyDescent="0.25">
      <c r="A158" s="150">
        <v>9097155</v>
      </c>
      <c r="B158" s="151" t="s">
        <v>753</v>
      </c>
      <c r="C158" s="151" t="s">
        <v>758</v>
      </c>
      <c r="D158" s="152" t="s">
        <v>328</v>
      </c>
      <c r="E158" s="852">
        <v>5554950</v>
      </c>
      <c r="F158" s="851">
        <f>HLOOKUP($A158,'Hodnocení '!$C$1:$JI$183,155,FALSE)</f>
        <v>3939340</v>
      </c>
      <c r="G158" s="152"/>
      <c r="H158" s="848"/>
      <c r="J158" s="848"/>
    </row>
    <row r="159" spans="1:10" ht="30" x14ac:dyDescent="0.25">
      <c r="A159" s="150">
        <v>2028356</v>
      </c>
      <c r="B159" s="151" t="s">
        <v>760</v>
      </c>
      <c r="C159" s="151" t="s">
        <v>762</v>
      </c>
      <c r="D159" s="152" t="s">
        <v>328</v>
      </c>
      <c r="E159" s="852">
        <v>5228000</v>
      </c>
      <c r="F159" s="851">
        <f>HLOOKUP($A159,'Hodnocení '!$C$1:$JI$183,155,FALSE)</f>
        <v>4758700</v>
      </c>
      <c r="G159" s="152"/>
      <c r="H159" s="848"/>
      <c r="J159" s="848"/>
    </row>
    <row r="160" spans="1:10" ht="30" x14ac:dyDescent="0.25">
      <c r="A160" s="150">
        <v>5947102</v>
      </c>
      <c r="B160" s="151" t="s">
        <v>760</v>
      </c>
      <c r="C160" s="151" t="s">
        <v>765</v>
      </c>
      <c r="D160" s="152" t="s">
        <v>764</v>
      </c>
      <c r="E160" s="852">
        <v>398000</v>
      </c>
      <c r="F160" s="851">
        <f>HLOOKUP($A160,'Hodnocení '!$C$1:$JI$183,155,FALSE)</f>
        <v>324150</v>
      </c>
      <c r="G160" s="152"/>
      <c r="H160" s="848"/>
      <c r="J160" s="848"/>
    </row>
    <row r="161" spans="1:10" ht="30" x14ac:dyDescent="0.25">
      <c r="A161" s="150">
        <v>6466112</v>
      </c>
      <c r="B161" s="151" t="s">
        <v>760</v>
      </c>
      <c r="C161" s="151" t="s">
        <v>767</v>
      </c>
      <c r="D161" s="152" t="s">
        <v>292</v>
      </c>
      <c r="E161" s="852">
        <v>590000</v>
      </c>
      <c r="F161" s="851">
        <f>HLOOKUP($A161,'Hodnocení '!$C$1:$JI$183,155,FALSE)</f>
        <v>532680</v>
      </c>
      <c r="G161" s="152"/>
      <c r="H161" s="848"/>
      <c r="J161" s="848"/>
    </row>
    <row r="162" spans="1:10" ht="30" x14ac:dyDescent="0.25">
      <c r="A162" s="150">
        <v>6627771</v>
      </c>
      <c r="B162" s="151" t="s">
        <v>760</v>
      </c>
      <c r="C162" s="151" t="s">
        <v>769</v>
      </c>
      <c r="D162" s="152" t="s">
        <v>267</v>
      </c>
      <c r="E162" s="852">
        <v>695000</v>
      </c>
      <c r="F162" s="851">
        <f>HLOOKUP($A162,'Hodnocení '!$C$1:$JI$183,155,FALSE)</f>
        <v>532260</v>
      </c>
      <c r="G162" s="152"/>
      <c r="H162" s="848"/>
      <c r="J162" s="848"/>
    </row>
    <row r="163" spans="1:10" ht="30" x14ac:dyDescent="0.25">
      <c r="A163" s="150">
        <v>7741294</v>
      </c>
      <c r="B163" s="151" t="s">
        <v>760</v>
      </c>
      <c r="C163" s="151" t="s">
        <v>772</v>
      </c>
      <c r="D163" s="152" t="s">
        <v>328</v>
      </c>
      <c r="E163" s="852">
        <v>1945000</v>
      </c>
      <c r="F163" s="851">
        <f>HLOOKUP($A163,'Hodnocení '!$C$1:$JI$183,155,FALSE)</f>
        <v>1520140</v>
      </c>
      <c r="G163" s="152"/>
      <c r="H163" s="848"/>
      <c r="J163" s="848"/>
    </row>
    <row r="164" spans="1:10" ht="30" x14ac:dyDescent="0.25">
      <c r="A164" s="150">
        <v>1236570</v>
      </c>
      <c r="B164" s="151" t="s">
        <v>776</v>
      </c>
      <c r="C164" s="151" t="s">
        <v>778</v>
      </c>
      <c r="D164" s="152" t="s">
        <v>705</v>
      </c>
      <c r="E164" s="852">
        <v>1390000</v>
      </c>
      <c r="F164" s="851">
        <f>HLOOKUP($A164,'Hodnocení '!$C$1:$JI$183,155,FALSE)</f>
        <v>257160</v>
      </c>
      <c r="G164" s="152"/>
      <c r="H164" s="848"/>
      <c r="J164" s="848"/>
    </row>
    <row r="165" spans="1:10" ht="30" x14ac:dyDescent="0.25">
      <c r="A165" s="150">
        <v>1840658</v>
      </c>
      <c r="B165" s="151" t="s">
        <v>776</v>
      </c>
      <c r="C165" s="151" t="s">
        <v>780</v>
      </c>
      <c r="D165" s="152" t="s">
        <v>273</v>
      </c>
      <c r="E165" s="852">
        <v>4720790</v>
      </c>
      <c r="F165" s="851">
        <f>HLOOKUP($A165,'Hodnocení '!$C$1:$JI$183,155,FALSE)</f>
        <v>4453620</v>
      </c>
      <c r="G165" s="152"/>
      <c r="H165" s="848"/>
      <c r="J165" s="848"/>
    </row>
    <row r="166" spans="1:10" ht="30" x14ac:dyDescent="0.25">
      <c r="A166" s="150">
        <v>1968420</v>
      </c>
      <c r="B166" s="151" t="s">
        <v>776</v>
      </c>
      <c r="C166" s="151" t="s">
        <v>784</v>
      </c>
      <c r="D166" s="152" t="s">
        <v>783</v>
      </c>
      <c r="E166" s="852">
        <v>4542000</v>
      </c>
      <c r="F166" s="851">
        <f>HLOOKUP($A166,'Hodnocení '!$C$1:$JI$183,155,FALSE)</f>
        <v>4466000</v>
      </c>
      <c r="G166" s="152"/>
      <c r="H166" s="848"/>
      <c r="J166" s="848"/>
    </row>
    <row r="167" spans="1:10" ht="30" x14ac:dyDescent="0.25">
      <c r="A167" s="150">
        <v>2813024</v>
      </c>
      <c r="B167" s="151" t="s">
        <v>776</v>
      </c>
      <c r="C167" s="151" t="s">
        <v>787</v>
      </c>
      <c r="D167" s="152" t="s">
        <v>235</v>
      </c>
      <c r="E167" s="852">
        <v>3015000</v>
      </c>
      <c r="F167" s="851">
        <f>HLOOKUP($A167,'Hodnocení '!$C$1:$JI$183,155,FALSE)</f>
        <v>0</v>
      </c>
      <c r="G167" s="152" t="s">
        <v>2466</v>
      </c>
      <c r="H167" s="848"/>
      <c r="J167" s="848"/>
    </row>
    <row r="168" spans="1:10" ht="30" x14ac:dyDescent="0.25">
      <c r="A168" s="150">
        <v>2886510</v>
      </c>
      <c r="B168" s="151" t="s">
        <v>776</v>
      </c>
      <c r="C168" s="151" t="s">
        <v>789</v>
      </c>
      <c r="D168" s="152" t="s">
        <v>292</v>
      </c>
      <c r="E168" s="852">
        <v>2747000</v>
      </c>
      <c r="F168" s="851">
        <f>HLOOKUP($A168,'Hodnocení '!$C$1:$JI$183,155,FALSE)</f>
        <v>2238060</v>
      </c>
      <c r="G168" s="152"/>
      <c r="H168" s="848"/>
      <c r="J168" s="848"/>
    </row>
    <row r="169" spans="1:10" ht="30" x14ac:dyDescent="0.25">
      <c r="A169" s="150">
        <v>4699567</v>
      </c>
      <c r="B169" s="151" t="s">
        <v>776</v>
      </c>
      <c r="C169" s="151" t="s">
        <v>791</v>
      </c>
      <c r="D169" s="152" t="s">
        <v>705</v>
      </c>
      <c r="E169" s="852">
        <v>3703000</v>
      </c>
      <c r="F169" s="851">
        <f>HLOOKUP($A169,'Hodnocení '!$C$1:$JI$183,155,FALSE)</f>
        <v>0</v>
      </c>
      <c r="G169" s="152" t="s">
        <v>2466</v>
      </c>
      <c r="H169" s="848"/>
      <c r="J169" s="848"/>
    </row>
    <row r="170" spans="1:10" ht="30" x14ac:dyDescent="0.25">
      <c r="A170" s="150">
        <v>5376966</v>
      </c>
      <c r="B170" s="151" t="s">
        <v>776</v>
      </c>
      <c r="C170" s="151" t="s">
        <v>792</v>
      </c>
      <c r="D170" s="152" t="s">
        <v>328</v>
      </c>
      <c r="E170" s="852">
        <v>11492000</v>
      </c>
      <c r="F170" s="851">
        <f>HLOOKUP($A170,'Hodnocení '!$C$1:$JI$183,155,FALSE)</f>
        <v>9715050</v>
      </c>
      <c r="G170" s="152"/>
      <c r="H170" s="848"/>
      <c r="J170" s="848"/>
    </row>
    <row r="171" spans="1:10" ht="30" x14ac:dyDescent="0.25">
      <c r="A171" s="150">
        <v>5903063</v>
      </c>
      <c r="B171" s="151" t="s">
        <v>776</v>
      </c>
      <c r="C171" s="151" t="s">
        <v>794</v>
      </c>
      <c r="D171" s="152" t="s">
        <v>292</v>
      </c>
      <c r="E171" s="852">
        <v>991000</v>
      </c>
      <c r="F171" s="851">
        <f>HLOOKUP($A171,'Hodnocení '!$C$1:$JI$183,155,FALSE)</f>
        <v>637850</v>
      </c>
      <c r="G171" s="152"/>
      <c r="H171" s="848"/>
      <c r="J171" s="848"/>
    </row>
    <row r="172" spans="1:10" ht="30" x14ac:dyDescent="0.25">
      <c r="A172" s="150">
        <v>6585534</v>
      </c>
      <c r="B172" s="151" t="s">
        <v>776</v>
      </c>
      <c r="C172" s="151" t="s">
        <v>797</v>
      </c>
      <c r="D172" s="152" t="s">
        <v>796</v>
      </c>
      <c r="E172" s="852">
        <v>3270000</v>
      </c>
      <c r="F172" s="851">
        <f>HLOOKUP($A172,'Hodnocení '!$C$1:$JI$183,155,FALSE)</f>
        <v>0</v>
      </c>
      <c r="G172" s="152" t="s">
        <v>2466</v>
      </c>
      <c r="H172" s="848"/>
      <c r="J172" s="848"/>
    </row>
    <row r="173" spans="1:10" ht="30" x14ac:dyDescent="0.25">
      <c r="A173" s="150">
        <v>7832444</v>
      </c>
      <c r="B173" s="151" t="s">
        <v>776</v>
      </c>
      <c r="C173" s="151" t="s">
        <v>802</v>
      </c>
      <c r="D173" s="152" t="s">
        <v>801</v>
      </c>
      <c r="E173" s="852">
        <v>4513515</v>
      </c>
      <c r="F173" s="851">
        <f>HLOOKUP($A173,'Hodnocení '!$C$1:$JI$183,155,FALSE)</f>
        <v>3854200</v>
      </c>
      <c r="G173" s="152"/>
      <c r="H173" s="848"/>
      <c r="J173" s="848"/>
    </row>
    <row r="174" spans="1:10" ht="45" x14ac:dyDescent="0.25">
      <c r="A174" s="150">
        <v>1738957</v>
      </c>
      <c r="B174" s="151" t="s">
        <v>805</v>
      </c>
      <c r="C174" s="151" t="s">
        <v>807</v>
      </c>
      <c r="D174" s="152" t="s">
        <v>538</v>
      </c>
      <c r="E174" s="852">
        <v>1507362</v>
      </c>
      <c r="F174" s="851">
        <f>HLOOKUP($A174,'Hodnocení '!$C$1:$JI$183,155,FALSE)</f>
        <v>1282580</v>
      </c>
      <c r="G174" s="152"/>
      <c r="H174" s="848"/>
      <c r="J174" s="848"/>
    </row>
    <row r="175" spans="1:10" ht="60" x14ac:dyDescent="0.25">
      <c r="A175" s="150">
        <v>1907533</v>
      </c>
      <c r="B175" s="151" t="s">
        <v>805</v>
      </c>
      <c r="C175" s="151" t="s">
        <v>808</v>
      </c>
      <c r="D175" s="152" t="s">
        <v>342</v>
      </c>
      <c r="E175" s="852">
        <v>6470764</v>
      </c>
      <c r="F175" s="851">
        <f>HLOOKUP($A175,'Hodnocení '!$C$1:$JI$183,155,FALSE)</f>
        <v>5515040</v>
      </c>
      <c r="G175" s="152"/>
      <c r="H175" s="848"/>
      <c r="J175" s="848"/>
    </row>
    <row r="176" spans="1:10" ht="45" x14ac:dyDescent="0.25">
      <c r="A176" s="150">
        <v>2315315</v>
      </c>
      <c r="B176" s="151" t="s">
        <v>805</v>
      </c>
      <c r="C176" s="151" t="s">
        <v>809</v>
      </c>
      <c r="D176" s="152" t="s">
        <v>538</v>
      </c>
      <c r="E176" s="852">
        <v>1546768</v>
      </c>
      <c r="F176" s="851">
        <f>HLOOKUP($A176,'Hodnocení '!$C$1:$JI$183,155,FALSE)</f>
        <v>1214500</v>
      </c>
      <c r="G176" s="152"/>
      <c r="H176" s="848"/>
      <c r="J176" s="848"/>
    </row>
    <row r="177" spans="1:10" ht="45" x14ac:dyDescent="0.25">
      <c r="A177" s="150">
        <v>6607461</v>
      </c>
      <c r="B177" s="151" t="s">
        <v>805</v>
      </c>
      <c r="C177" s="151" t="s">
        <v>810</v>
      </c>
      <c r="D177" s="152" t="s">
        <v>538</v>
      </c>
      <c r="E177" s="852">
        <v>1478852</v>
      </c>
      <c r="F177" s="851">
        <f>HLOOKUP($A177,'Hodnocení '!$C$1:$JI$183,155,FALSE)</f>
        <v>1238430</v>
      </c>
      <c r="G177" s="152"/>
      <c r="H177" s="848"/>
      <c r="J177" s="848"/>
    </row>
    <row r="178" spans="1:10" ht="30" x14ac:dyDescent="0.25">
      <c r="A178" s="150">
        <v>9554713</v>
      </c>
      <c r="B178" s="151" t="s">
        <v>805</v>
      </c>
      <c r="C178" s="151" t="s">
        <v>792</v>
      </c>
      <c r="D178" s="152" t="s">
        <v>328</v>
      </c>
      <c r="E178" s="852">
        <v>7604514</v>
      </c>
      <c r="F178" s="851">
        <f>HLOOKUP($A178,'Hodnocení '!$C$1:$JI$183,155,FALSE)</f>
        <v>6012340</v>
      </c>
      <c r="G178" s="152"/>
      <c r="H178" s="848"/>
      <c r="J178" s="848"/>
    </row>
    <row r="179" spans="1:10" ht="30" x14ac:dyDescent="0.25">
      <c r="A179" s="150">
        <v>6161785</v>
      </c>
      <c r="B179" s="151" t="s">
        <v>812</v>
      </c>
      <c r="C179" s="151" t="s">
        <v>792</v>
      </c>
      <c r="D179" s="152" t="s">
        <v>328</v>
      </c>
      <c r="E179" s="852">
        <v>2331094</v>
      </c>
      <c r="F179" s="851">
        <f>HLOOKUP($A179,'Hodnocení '!$C$1:$JI$183,155,FALSE)</f>
        <v>2331090</v>
      </c>
      <c r="G179" s="152"/>
      <c r="H179" s="848"/>
      <c r="J179" s="848"/>
    </row>
    <row r="180" spans="1:10" ht="30" x14ac:dyDescent="0.25">
      <c r="A180" s="150">
        <v>8891712</v>
      </c>
      <c r="B180" s="151" t="s">
        <v>812</v>
      </c>
      <c r="C180" s="151" t="s">
        <v>814</v>
      </c>
      <c r="D180" s="152" t="s">
        <v>705</v>
      </c>
      <c r="E180" s="852">
        <v>3298929</v>
      </c>
      <c r="F180" s="851">
        <f>HLOOKUP($A180,'Hodnocení '!$C$1:$JI$183,155,FALSE)</f>
        <v>0</v>
      </c>
      <c r="G180" s="152" t="s">
        <v>2466</v>
      </c>
      <c r="H180" s="848"/>
      <c r="J180" s="848"/>
    </row>
    <row r="181" spans="1:10" ht="30" x14ac:dyDescent="0.25">
      <c r="A181" s="150">
        <v>9064643</v>
      </c>
      <c r="B181" s="151" t="s">
        <v>812</v>
      </c>
      <c r="C181" s="151" t="s">
        <v>818</v>
      </c>
      <c r="D181" s="152" t="s">
        <v>705</v>
      </c>
      <c r="E181" s="852">
        <v>5705918</v>
      </c>
      <c r="F181" s="851">
        <f>HLOOKUP($A181,'Hodnocení '!$C$1:$JI$183,155,FALSE)</f>
        <v>0</v>
      </c>
      <c r="G181" s="152" t="s">
        <v>2466</v>
      </c>
      <c r="H181" s="848"/>
      <c r="J181" s="848"/>
    </row>
    <row r="182" spans="1:10" ht="30" x14ac:dyDescent="0.25">
      <c r="A182" s="150">
        <v>1356155</v>
      </c>
      <c r="B182" s="151" t="s">
        <v>821</v>
      </c>
      <c r="C182" s="151" t="s">
        <v>823</v>
      </c>
      <c r="D182" s="152" t="s">
        <v>328</v>
      </c>
      <c r="E182" s="852">
        <v>1875000</v>
      </c>
      <c r="F182" s="851">
        <f>HLOOKUP($A182,'Hodnocení '!$C$1:$JI$183,155,FALSE)</f>
        <v>1875000</v>
      </c>
      <c r="G182" s="152"/>
      <c r="H182" s="848"/>
      <c r="J182" s="848"/>
    </row>
    <row r="183" spans="1:10" ht="30" x14ac:dyDescent="0.25">
      <c r="A183" s="150">
        <v>5894253</v>
      </c>
      <c r="B183" s="151" t="s">
        <v>821</v>
      </c>
      <c r="C183" s="151" t="s">
        <v>824</v>
      </c>
      <c r="D183" s="152" t="s">
        <v>348</v>
      </c>
      <c r="E183" s="852">
        <v>6960000</v>
      </c>
      <c r="F183" s="851">
        <f>HLOOKUP($A183,'Hodnocení '!$C$1:$JI$183,155,FALSE)</f>
        <v>5644990</v>
      </c>
      <c r="G183" s="152"/>
      <c r="H183" s="848"/>
      <c r="J183" s="848"/>
    </row>
    <row r="184" spans="1:10" ht="60" x14ac:dyDescent="0.25">
      <c r="A184" s="150">
        <v>2788586</v>
      </c>
      <c r="B184" s="151" t="s">
        <v>826</v>
      </c>
      <c r="C184" s="151" t="s">
        <v>828</v>
      </c>
      <c r="D184" s="152" t="s">
        <v>342</v>
      </c>
      <c r="E184" s="852">
        <v>371000</v>
      </c>
      <c r="F184" s="851">
        <f>HLOOKUP($A184,'Hodnocení '!$C$1:$JI$183,155,FALSE)</f>
        <v>371000</v>
      </c>
      <c r="G184" s="152"/>
      <c r="H184" s="848"/>
      <c r="J184" s="848"/>
    </row>
    <row r="185" spans="1:10" ht="30" x14ac:dyDescent="0.25">
      <c r="A185" s="150">
        <v>3110951</v>
      </c>
      <c r="B185" s="151" t="s">
        <v>826</v>
      </c>
      <c r="C185" s="151" t="s">
        <v>829</v>
      </c>
      <c r="D185" s="152" t="s">
        <v>328</v>
      </c>
      <c r="E185" s="852">
        <v>3240000</v>
      </c>
      <c r="F185" s="851">
        <f>HLOOKUP($A185,'Hodnocení '!$C$1:$JI$183,155,FALSE)</f>
        <v>2881080</v>
      </c>
      <c r="G185" s="152"/>
      <c r="H185" s="848"/>
      <c r="J185" s="848"/>
    </row>
    <row r="186" spans="1:10" ht="30" x14ac:dyDescent="0.25">
      <c r="A186" s="150">
        <v>7235281</v>
      </c>
      <c r="B186" s="151" t="s">
        <v>826</v>
      </c>
      <c r="C186" s="151" t="s">
        <v>831</v>
      </c>
      <c r="D186" s="152" t="s">
        <v>292</v>
      </c>
      <c r="E186" s="852">
        <v>400000</v>
      </c>
      <c r="F186" s="851">
        <f>HLOOKUP($A186,'Hodnocení '!$C$1:$JI$183,155,FALSE)</f>
        <v>400000</v>
      </c>
      <c r="G186" s="152"/>
      <c r="H186" s="848"/>
      <c r="J186" s="848"/>
    </row>
    <row r="187" spans="1:10" ht="30" x14ac:dyDescent="0.25">
      <c r="A187" s="150">
        <v>7459230</v>
      </c>
      <c r="B187" s="151" t="s">
        <v>826</v>
      </c>
      <c r="C187" s="151" t="s">
        <v>377</v>
      </c>
      <c r="D187" s="152" t="s">
        <v>225</v>
      </c>
      <c r="E187" s="852">
        <v>3457000</v>
      </c>
      <c r="F187" s="851">
        <f>HLOOKUP($A187,'Hodnocení '!$C$1:$JI$183,155,FALSE)</f>
        <v>3457000</v>
      </c>
      <c r="G187" s="152"/>
      <c r="H187" s="848"/>
      <c r="J187" s="848"/>
    </row>
    <row r="188" spans="1:10" ht="75" x14ac:dyDescent="0.25">
      <c r="A188" s="150">
        <v>9142033</v>
      </c>
      <c r="B188" s="151" t="s">
        <v>834</v>
      </c>
      <c r="C188" s="151" t="s">
        <v>838</v>
      </c>
      <c r="D188" s="152" t="s">
        <v>837</v>
      </c>
      <c r="E188" s="852">
        <v>7650000</v>
      </c>
      <c r="F188" s="851">
        <f>HLOOKUP($A188,'Hodnocení '!$C$1:$JI$183,155,FALSE)</f>
        <v>7650000</v>
      </c>
      <c r="G188" s="152"/>
      <c r="H188" s="848"/>
      <c r="J188" s="848"/>
    </row>
    <row r="189" spans="1:10" ht="30" x14ac:dyDescent="0.25">
      <c r="A189" s="150">
        <v>6698987</v>
      </c>
      <c r="B189" s="151" t="s">
        <v>842</v>
      </c>
      <c r="C189" s="151" t="s">
        <v>844</v>
      </c>
      <c r="D189" s="152" t="s">
        <v>292</v>
      </c>
      <c r="E189" s="852">
        <v>760808</v>
      </c>
      <c r="F189" s="851">
        <f>HLOOKUP($A189,'Hodnocení '!$C$1:$JI$183,155,FALSE)</f>
        <v>739610</v>
      </c>
      <c r="G189" s="152"/>
      <c r="H189" s="848"/>
      <c r="J189" s="848"/>
    </row>
    <row r="190" spans="1:10" ht="45" x14ac:dyDescent="0.25">
      <c r="A190" s="150">
        <v>8350990</v>
      </c>
      <c r="B190" s="151" t="s">
        <v>842</v>
      </c>
      <c r="C190" s="151" t="s">
        <v>846</v>
      </c>
      <c r="D190" s="152" t="s">
        <v>538</v>
      </c>
      <c r="E190" s="852">
        <v>2030000</v>
      </c>
      <c r="F190" s="851">
        <f>HLOOKUP($A190,'Hodnocení '!$C$1:$JI$183,155,FALSE)</f>
        <v>1904520</v>
      </c>
      <c r="G190" s="152"/>
      <c r="H190" s="848"/>
      <c r="J190" s="848"/>
    </row>
    <row r="191" spans="1:10" ht="30" x14ac:dyDescent="0.25">
      <c r="A191" s="150">
        <v>3741470</v>
      </c>
      <c r="B191" s="151" t="s">
        <v>849</v>
      </c>
      <c r="C191" s="151" t="s">
        <v>851</v>
      </c>
      <c r="D191" s="152" t="s">
        <v>235</v>
      </c>
      <c r="E191" s="852">
        <v>5300000</v>
      </c>
      <c r="F191" s="851">
        <f>HLOOKUP($A191,'Hodnocení '!$C$1:$JI$183,155,FALSE)</f>
        <v>0</v>
      </c>
      <c r="G191" s="152" t="s">
        <v>2466</v>
      </c>
      <c r="H191" s="848"/>
      <c r="J191" s="848"/>
    </row>
    <row r="192" spans="1:10" ht="30" x14ac:dyDescent="0.25">
      <c r="A192" s="150">
        <v>6948137</v>
      </c>
      <c r="B192" s="151" t="s">
        <v>849</v>
      </c>
      <c r="C192" s="151" t="s">
        <v>854</v>
      </c>
      <c r="D192" s="152" t="s">
        <v>235</v>
      </c>
      <c r="E192" s="852">
        <v>2810000</v>
      </c>
      <c r="F192" s="851">
        <f>HLOOKUP($A192,'Hodnocení '!$C$1:$JI$183,155,FALSE)</f>
        <v>1595400</v>
      </c>
      <c r="G192" s="152"/>
      <c r="H192" s="848"/>
      <c r="J192" s="848"/>
    </row>
    <row r="193" spans="1:10" ht="30" x14ac:dyDescent="0.25">
      <c r="A193" s="150">
        <v>8172268</v>
      </c>
      <c r="B193" s="151" t="s">
        <v>849</v>
      </c>
      <c r="C193" s="151" t="s">
        <v>855</v>
      </c>
      <c r="D193" s="152" t="s">
        <v>235</v>
      </c>
      <c r="E193" s="852">
        <v>4660760</v>
      </c>
      <c r="F193" s="851">
        <f>HLOOKUP($A193,'Hodnocení '!$C$1:$JI$183,155,FALSE)</f>
        <v>4660760</v>
      </c>
      <c r="G193" s="152"/>
      <c r="H193" s="848"/>
      <c r="J193" s="848"/>
    </row>
    <row r="194" spans="1:10" ht="60" x14ac:dyDescent="0.25">
      <c r="A194" s="150">
        <v>1696009</v>
      </c>
      <c r="B194" s="151" t="s">
        <v>857</v>
      </c>
      <c r="C194" s="151" t="s">
        <v>859</v>
      </c>
      <c r="D194" s="152" t="s">
        <v>783</v>
      </c>
      <c r="E194" s="852">
        <v>390000</v>
      </c>
      <c r="F194" s="851">
        <f>HLOOKUP($A194,'Hodnocení '!$C$1:$JI$183,155,FALSE)</f>
        <v>343250</v>
      </c>
      <c r="G194" s="152"/>
      <c r="H194" s="848"/>
      <c r="J194" s="848"/>
    </row>
    <row r="195" spans="1:10" ht="60" x14ac:dyDescent="0.25">
      <c r="A195" s="150">
        <v>2514714</v>
      </c>
      <c r="B195" s="151" t="s">
        <v>857</v>
      </c>
      <c r="C195" s="151" t="s">
        <v>860</v>
      </c>
      <c r="D195" s="152" t="s">
        <v>705</v>
      </c>
      <c r="E195" s="852">
        <v>1200000</v>
      </c>
      <c r="F195" s="851">
        <f>HLOOKUP($A195,'Hodnocení '!$C$1:$JI$183,155,FALSE)</f>
        <v>0</v>
      </c>
      <c r="G195" s="152" t="s">
        <v>2466</v>
      </c>
      <c r="H195" s="848"/>
      <c r="J195" s="848"/>
    </row>
    <row r="196" spans="1:10" ht="60" x14ac:dyDescent="0.25">
      <c r="A196" s="150">
        <v>9924639</v>
      </c>
      <c r="B196" s="151" t="s">
        <v>857</v>
      </c>
      <c r="C196" s="151" t="s">
        <v>857</v>
      </c>
      <c r="D196" s="152" t="s">
        <v>328</v>
      </c>
      <c r="E196" s="852">
        <v>5000000</v>
      </c>
      <c r="F196" s="851">
        <f>HLOOKUP($A196,'Hodnocení '!$C$1:$JI$183,155,FALSE)</f>
        <v>3042200</v>
      </c>
      <c r="G196" s="152"/>
      <c r="H196" s="848"/>
      <c r="J196" s="848"/>
    </row>
    <row r="197" spans="1:10" ht="30" x14ac:dyDescent="0.25">
      <c r="A197" s="150">
        <v>4383860</v>
      </c>
      <c r="B197" s="151" t="s">
        <v>864</v>
      </c>
      <c r="C197" s="151" t="s">
        <v>864</v>
      </c>
      <c r="D197" s="152" t="s">
        <v>328</v>
      </c>
      <c r="E197" s="852">
        <v>5200000</v>
      </c>
      <c r="F197" s="851">
        <f>HLOOKUP($A197,'Hodnocení '!$C$1:$JI$183,155,FALSE)</f>
        <v>5200000</v>
      </c>
      <c r="G197" s="152"/>
      <c r="H197" s="848"/>
      <c r="J197" s="848"/>
    </row>
    <row r="198" spans="1:10" ht="30" x14ac:dyDescent="0.25">
      <c r="A198" s="150">
        <v>9583114</v>
      </c>
      <c r="B198" s="151" t="s">
        <v>868</v>
      </c>
      <c r="C198" s="151" t="s">
        <v>868</v>
      </c>
      <c r="D198" s="152" t="s">
        <v>328</v>
      </c>
      <c r="E198" s="852">
        <v>209300</v>
      </c>
      <c r="F198" s="851">
        <f>HLOOKUP($A198,'Hodnocení '!$C$1:$JI$183,155,FALSE)</f>
        <v>0</v>
      </c>
      <c r="G198" s="152" t="s">
        <v>2837</v>
      </c>
      <c r="H198" s="848"/>
      <c r="J198" s="848"/>
    </row>
    <row r="199" spans="1:10" ht="30" x14ac:dyDescent="0.25">
      <c r="A199" s="150">
        <v>9775815</v>
      </c>
      <c r="B199" s="151" t="s">
        <v>871</v>
      </c>
      <c r="C199" s="151" t="s">
        <v>873</v>
      </c>
      <c r="D199" s="152" t="s">
        <v>292</v>
      </c>
      <c r="E199" s="852">
        <v>1865426</v>
      </c>
      <c r="F199" s="851">
        <f>HLOOKUP($A199,'Hodnocení '!$C$1:$JI$183,155,FALSE)</f>
        <v>802940</v>
      </c>
      <c r="G199" s="152"/>
      <c r="H199" s="848"/>
      <c r="J199" s="848"/>
    </row>
    <row r="200" spans="1:10" ht="45" x14ac:dyDescent="0.25">
      <c r="A200" s="150">
        <v>1378201</v>
      </c>
      <c r="B200" s="151" t="s">
        <v>874</v>
      </c>
      <c r="C200" s="151" t="s">
        <v>877</v>
      </c>
      <c r="D200" s="152" t="s">
        <v>876</v>
      </c>
      <c r="E200" s="852">
        <v>2425434</v>
      </c>
      <c r="F200" s="851">
        <f>HLOOKUP($A200,'Hodnocení '!$C$1:$JI$183,155,FALSE)</f>
        <v>908240</v>
      </c>
      <c r="G200" s="152"/>
      <c r="H200" s="848"/>
      <c r="J200" s="848"/>
    </row>
    <row r="201" spans="1:10" ht="45" x14ac:dyDescent="0.25">
      <c r="A201" s="150">
        <v>1552469</v>
      </c>
      <c r="B201" s="151" t="s">
        <v>874</v>
      </c>
      <c r="C201" s="151" t="s">
        <v>878</v>
      </c>
      <c r="D201" s="152" t="s">
        <v>229</v>
      </c>
      <c r="E201" s="852">
        <v>1393074</v>
      </c>
      <c r="F201" s="851">
        <f>HLOOKUP($A201,'Hodnocení '!$C$1:$JI$183,155,FALSE)</f>
        <v>0</v>
      </c>
      <c r="G201" s="152" t="s">
        <v>2466</v>
      </c>
      <c r="H201" s="848"/>
      <c r="J201" s="848"/>
    </row>
    <row r="202" spans="1:10" ht="30" x14ac:dyDescent="0.25">
      <c r="A202" s="150">
        <v>6473703</v>
      </c>
      <c r="B202" s="151" t="s">
        <v>874</v>
      </c>
      <c r="C202" s="151" t="s">
        <v>879</v>
      </c>
      <c r="D202" s="152" t="s">
        <v>235</v>
      </c>
      <c r="E202" s="852">
        <v>1920826</v>
      </c>
      <c r="F202" s="851">
        <f>HLOOKUP($A202,'Hodnocení '!$C$1:$JI$183,155,FALSE)</f>
        <v>0</v>
      </c>
      <c r="G202" s="152" t="s">
        <v>2466</v>
      </c>
      <c r="H202" s="848"/>
      <c r="J202" s="848"/>
    </row>
    <row r="203" spans="1:10" ht="30" x14ac:dyDescent="0.25">
      <c r="A203" s="150">
        <v>7805491</v>
      </c>
      <c r="B203" s="151" t="s">
        <v>874</v>
      </c>
      <c r="C203" s="151" t="s">
        <v>881</v>
      </c>
      <c r="D203" s="152" t="s">
        <v>235</v>
      </c>
      <c r="E203" s="852">
        <v>2417346</v>
      </c>
      <c r="F203" s="851">
        <f>HLOOKUP($A203,'Hodnocení '!$C$1:$JI$183,155,FALSE)</f>
        <v>0</v>
      </c>
      <c r="G203" s="152" t="s">
        <v>2466</v>
      </c>
      <c r="H203" s="848"/>
      <c r="J203" s="848"/>
    </row>
    <row r="204" spans="1:10" ht="45" x14ac:dyDescent="0.25">
      <c r="A204" s="150">
        <v>1826777</v>
      </c>
      <c r="B204" s="151" t="s">
        <v>883</v>
      </c>
      <c r="C204" s="151" t="s">
        <v>885</v>
      </c>
      <c r="D204" s="152" t="s">
        <v>328</v>
      </c>
      <c r="E204" s="852">
        <v>7306533</v>
      </c>
      <c r="F204" s="851">
        <f>HLOOKUP($A204,'Hodnocení '!$C$1:$JI$183,155,FALSE)</f>
        <v>3817220</v>
      </c>
      <c r="G204" s="152"/>
      <c r="H204" s="848"/>
      <c r="J204" s="848"/>
    </row>
    <row r="205" spans="1:10" ht="75" x14ac:dyDescent="0.25">
      <c r="A205" s="150">
        <v>5991938</v>
      </c>
      <c r="B205" s="151" t="s">
        <v>887</v>
      </c>
      <c r="C205" s="151" t="s">
        <v>377</v>
      </c>
      <c r="D205" s="152" t="s">
        <v>225</v>
      </c>
      <c r="E205" s="852">
        <v>2395000</v>
      </c>
      <c r="F205" s="851">
        <f>HLOOKUP($A205,'Hodnocení '!$C$1:$JI$183,155,FALSE)</f>
        <v>1905500</v>
      </c>
      <c r="G205" s="152"/>
      <c r="H205" s="848"/>
      <c r="J205" s="848"/>
    </row>
    <row r="206" spans="1:10" ht="45" x14ac:dyDescent="0.25">
      <c r="A206" s="150">
        <v>4396482</v>
      </c>
      <c r="B206" s="151" t="s">
        <v>891</v>
      </c>
      <c r="C206" s="151" t="s">
        <v>390</v>
      </c>
      <c r="D206" s="152" t="s">
        <v>348</v>
      </c>
      <c r="E206" s="852">
        <v>5000000</v>
      </c>
      <c r="F206" s="851">
        <f>HLOOKUP($A206,'Hodnocení '!$C$1:$JI$183,155,FALSE)</f>
        <v>5000000</v>
      </c>
      <c r="G206" s="152"/>
      <c r="H206" s="848"/>
      <c r="J206" s="848"/>
    </row>
    <row r="207" spans="1:10" ht="45" x14ac:dyDescent="0.25">
      <c r="A207" s="150">
        <v>5599785</v>
      </c>
      <c r="B207" s="151" t="s">
        <v>891</v>
      </c>
      <c r="C207" s="151" t="s">
        <v>893</v>
      </c>
      <c r="D207" s="152" t="s">
        <v>217</v>
      </c>
      <c r="E207" s="852">
        <v>807440</v>
      </c>
      <c r="F207" s="851">
        <f>HLOOKUP($A207,'Hodnocení '!$C$1:$JI$183,155,FALSE)</f>
        <v>807440</v>
      </c>
      <c r="G207" s="152"/>
      <c r="H207" s="848"/>
      <c r="J207" s="848"/>
    </row>
    <row r="208" spans="1:10" ht="45" x14ac:dyDescent="0.25">
      <c r="A208" s="150">
        <v>7201840</v>
      </c>
      <c r="B208" s="151" t="s">
        <v>891</v>
      </c>
      <c r="C208" s="151" t="s">
        <v>328</v>
      </c>
      <c r="D208" s="152" t="s">
        <v>328</v>
      </c>
      <c r="E208" s="852">
        <v>8922000</v>
      </c>
      <c r="F208" s="851">
        <f>HLOOKUP($A208,'Hodnocení '!$C$1:$JI$183,155,FALSE)</f>
        <v>8684790</v>
      </c>
      <c r="G208" s="152"/>
      <c r="H208" s="848"/>
      <c r="J208" s="848"/>
    </row>
    <row r="209" spans="1:10" ht="45" x14ac:dyDescent="0.25">
      <c r="A209" s="150">
        <v>2174839</v>
      </c>
      <c r="B209" s="151" t="s">
        <v>897</v>
      </c>
      <c r="C209" s="151" t="s">
        <v>899</v>
      </c>
      <c r="D209" s="152" t="s">
        <v>538</v>
      </c>
      <c r="E209" s="852">
        <v>3689667</v>
      </c>
      <c r="F209" s="851">
        <f>HLOOKUP($A209,'Hodnocení '!$C$1:$JI$183,155,FALSE)</f>
        <v>3604670</v>
      </c>
      <c r="G209" s="152"/>
      <c r="H209" s="848"/>
      <c r="J209" s="848"/>
    </row>
    <row r="210" spans="1:10" ht="60" x14ac:dyDescent="0.25">
      <c r="A210" s="150">
        <v>4659873</v>
      </c>
      <c r="B210" s="151" t="s">
        <v>902</v>
      </c>
      <c r="C210" s="151" t="s">
        <v>905</v>
      </c>
      <c r="D210" s="152" t="s">
        <v>235</v>
      </c>
      <c r="E210" s="852">
        <v>1734000</v>
      </c>
      <c r="F210" s="851">
        <f>HLOOKUP($A210,'Hodnocení '!$C$1:$JI$183,155,FALSE)</f>
        <v>1402300</v>
      </c>
      <c r="G210" s="152"/>
      <c r="H210" s="848"/>
      <c r="J210" s="848"/>
    </row>
    <row r="211" spans="1:10" ht="60" x14ac:dyDescent="0.25">
      <c r="A211" s="150">
        <v>4533728</v>
      </c>
      <c r="B211" s="151" t="s">
        <v>909</v>
      </c>
      <c r="C211" s="151" t="s">
        <v>911</v>
      </c>
      <c r="D211" s="152" t="s">
        <v>342</v>
      </c>
      <c r="E211" s="852">
        <v>4013645</v>
      </c>
      <c r="F211" s="851">
        <f>HLOOKUP($A211,'Hodnocení '!$C$1:$JI$183,155,FALSE)</f>
        <v>3939650</v>
      </c>
      <c r="G211" s="152"/>
      <c r="H211" s="848"/>
      <c r="J211" s="848"/>
    </row>
    <row r="212" spans="1:10" ht="45" x14ac:dyDescent="0.25">
      <c r="A212" s="150">
        <v>8411392</v>
      </c>
      <c r="B212" s="151" t="s">
        <v>909</v>
      </c>
      <c r="C212" s="151" t="s">
        <v>914</v>
      </c>
      <c r="D212" s="152" t="s">
        <v>538</v>
      </c>
      <c r="E212" s="852">
        <v>4315763</v>
      </c>
      <c r="F212" s="851">
        <f>HLOOKUP($A212,'Hodnocení '!$C$1:$JI$183,155,FALSE)</f>
        <v>4045360</v>
      </c>
      <c r="G212" s="152"/>
      <c r="H212" s="848"/>
      <c r="J212" s="848"/>
    </row>
    <row r="213" spans="1:10" ht="60" x14ac:dyDescent="0.25">
      <c r="A213" s="150">
        <v>9659243</v>
      </c>
      <c r="B213" s="151" t="s">
        <v>909</v>
      </c>
      <c r="C213" s="151" t="s">
        <v>918</v>
      </c>
      <c r="D213" s="152" t="s">
        <v>342</v>
      </c>
      <c r="E213" s="852">
        <v>4423025</v>
      </c>
      <c r="F213" s="851">
        <f>HLOOKUP($A213,'Hodnocení '!$C$1:$JI$183,155,FALSE)</f>
        <v>4423020</v>
      </c>
      <c r="G213" s="152"/>
      <c r="H213" s="848"/>
      <c r="J213" s="848"/>
    </row>
    <row r="214" spans="1:10" ht="30" x14ac:dyDescent="0.25">
      <c r="A214" s="150">
        <v>6041962</v>
      </c>
      <c r="B214" s="151" t="s">
        <v>922</v>
      </c>
      <c r="C214" s="151" t="s">
        <v>924</v>
      </c>
      <c r="D214" s="152" t="s">
        <v>217</v>
      </c>
      <c r="E214" s="852">
        <v>878000</v>
      </c>
      <c r="F214" s="851">
        <f>HLOOKUP($A214,'Hodnocení '!$C$1:$JI$183,155,FALSE)</f>
        <v>878000</v>
      </c>
      <c r="G214" s="152"/>
      <c r="H214" s="848"/>
      <c r="J214" s="848"/>
    </row>
    <row r="215" spans="1:10" ht="30" x14ac:dyDescent="0.25">
      <c r="A215" s="150">
        <v>8051895</v>
      </c>
      <c r="B215" s="151" t="s">
        <v>922</v>
      </c>
      <c r="C215" s="151" t="s">
        <v>927</v>
      </c>
      <c r="D215" s="152" t="s">
        <v>267</v>
      </c>
      <c r="E215" s="852">
        <v>3015000</v>
      </c>
      <c r="F215" s="851">
        <f>HLOOKUP($A215,'Hodnocení '!$C$1:$JI$183,155,FALSE)</f>
        <v>3015000</v>
      </c>
      <c r="G215" s="152"/>
      <c r="H215" s="848"/>
      <c r="J215" s="848"/>
    </row>
    <row r="216" spans="1:10" ht="60" x14ac:dyDescent="0.25">
      <c r="A216" s="150">
        <v>5922905</v>
      </c>
      <c r="B216" s="151" t="s">
        <v>928</v>
      </c>
      <c r="C216" s="151" t="s">
        <v>930</v>
      </c>
      <c r="D216" s="152" t="s">
        <v>538</v>
      </c>
      <c r="E216" s="852">
        <v>2290000</v>
      </c>
      <c r="F216" s="851">
        <f>HLOOKUP($A216,'Hodnocení '!$C$1:$JI$183,155,FALSE)</f>
        <v>1625000</v>
      </c>
      <c r="G216" s="152"/>
      <c r="H216" s="848"/>
      <c r="J216" s="848"/>
    </row>
    <row r="217" spans="1:10" ht="60" x14ac:dyDescent="0.25">
      <c r="A217" s="150">
        <v>8314639</v>
      </c>
      <c r="B217" s="151" t="s">
        <v>928</v>
      </c>
      <c r="C217" s="151" t="s">
        <v>931</v>
      </c>
      <c r="D217" s="152" t="s">
        <v>292</v>
      </c>
      <c r="E217" s="852">
        <v>2868000</v>
      </c>
      <c r="F217" s="851">
        <f>HLOOKUP($A217,'Hodnocení '!$C$1:$JI$183,155,FALSE)</f>
        <v>2298510</v>
      </c>
      <c r="G217" s="152"/>
      <c r="H217" s="848"/>
      <c r="J217" s="848"/>
    </row>
    <row r="218" spans="1:10" ht="60" x14ac:dyDescent="0.25">
      <c r="A218" s="150">
        <v>9379121</v>
      </c>
      <c r="B218" s="151" t="s">
        <v>928</v>
      </c>
      <c r="C218" s="151" t="s">
        <v>933</v>
      </c>
      <c r="D218" s="152" t="s">
        <v>235</v>
      </c>
      <c r="E218" s="852">
        <v>3000000</v>
      </c>
      <c r="F218" s="851">
        <f>HLOOKUP($A218,'Hodnocení '!$C$1:$JI$183,155,FALSE)</f>
        <v>3000000</v>
      </c>
      <c r="G218" s="152"/>
      <c r="H218" s="848"/>
      <c r="J218" s="848"/>
    </row>
    <row r="219" spans="1:10" ht="60" x14ac:dyDescent="0.25">
      <c r="A219" s="150">
        <v>9870958</v>
      </c>
      <c r="B219" s="151" t="s">
        <v>928</v>
      </c>
      <c r="C219" s="151" t="s">
        <v>935</v>
      </c>
      <c r="D219" s="152" t="s">
        <v>599</v>
      </c>
      <c r="E219" s="852">
        <v>2340000</v>
      </c>
      <c r="F219" s="851">
        <f>HLOOKUP($A219,'Hodnocení '!$C$1:$JI$183,155,FALSE)</f>
        <v>2067000</v>
      </c>
      <c r="G219" s="152"/>
      <c r="H219" s="848"/>
      <c r="J219" s="848"/>
    </row>
    <row r="220" spans="1:10" ht="45" x14ac:dyDescent="0.25">
      <c r="A220" s="150">
        <v>5600030</v>
      </c>
      <c r="B220" s="151" t="s">
        <v>936</v>
      </c>
      <c r="C220" s="151" t="s">
        <v>390</v>
      </c>
      <c r="D220" s="152" t="s">
        <v>348</v>
      </c>
      <c r="E220" s="852">
        <v>2959129</v>
      </c>
      <c r="F220" s="851">
        <v>0</v>
      </c>
      <c r="G220" s="152" t="s">
        <v>2836</v>
      </c>
      <c r="H220" s="848"/>
      <c r="J220" s="848"/>
    </row>
    <row r="221" spans="1:10" ht="45" x14ac:dyDescent="0.25">
      <c r="A221" s="150">
        <v>6984692</v>
      </c>
      <c r="B221" s="151" t="s">
        <v>936</v>
      </c>
      <c r="C221" s="151" t="s">
        <v>393</v>
      </c>
      <c r="D221" s="152" t="s">
        <v>392</v>
      </c>
      <c r="E221" s="852">
        <v>1977229</v>
      </c>
      <c r="F221" s="851">
        <v>0</v>
      </c>
      <c r="G221" s="152" t="s">
        <v>2836</v>
      </c>
      <c r="H221" s="848"/>
      <c r="J221" s="848"/>
    </row>
    <row r="222" spans="1:10" ht="30" x14ac:dyDescent="0.25">
      <c r="A222" s="150">
        <v>5871375</v>
      </c>
      <c r="B222" s="151" t="s">
        <v>2439</v>
      </c>
      <c r="C222" s="151" t="s">
        <v>2575</v>
      </c>
      <c r="D222" s="152" t="s">
        <v>267</v>
      </c>
      <c r="E222" s="852">
        <v>4423333</v>
      </c>
      <c r="F222" s="851">
        <f>HLOOKUP($A222,'Hodnocení '!$C$1:$JI$183,155,FALSE)</f>
        <v>4423330</v>
      </c>
      <c r="G222" s="152"/>
      <c r="H222" s="848"/>
      <c r="J222" s="848"/>
    </row>
    <row r="223" spans="1:10" ht="30" x14ac:dyDescent="0.25">
      <c r="A223" s="150">
        <v>9478716</v>
      </c>
      <c r="B223" s="151" t="s">
        <v>940</v>
      </c>
      <c r="C223" s="151" t="s">
        <v>940</v>
      </c>
      <c r="D223" s="152" t="s">
        <v>328</v>
      </c>
      <c r="E223" s="852">
        <v>233682</v>
      </c>
      <c r="F223" s="851">
        <f>HLOOKUP($A223,'Hodnocení '!$C$1:$JI$183,155,FALSE)</f>
        <v>177810</v>
      </c>
      <c r="G223" s="152"/>
      <c r="H223" s="848"/>
      <c r="J223" s="848"/>
    </row>
    <row r="224" spans="1:10" ht="45" x14ac:dyDescent="0.25">
      <c r="A224" s="150">
        <v>1642854</v>
      </c>
      <c r="B224" s="151" t="s">
        <v>942</v>
      </c>
      <c r="C224" s="151" t="s">
        <v>944</v>
      </c>
      <c r="D224" s="152" t="s">
        <v>392</v>
      </c>
      <c r="E224" s="852">
        <v>6594603</v>
      </c>
      <c r="F224" s="851">
        <f>HLOOKUP($A224,'Hodnocení '!$C$1:$JI$183,155,FALSE)</f>
        <v>5790610</v>
      </c>
      <c r="G224" s="152"/>
      <c r="H224" s="848"/>
      <c r="J224" s="848"/>
    </row>
    <row r="225" spans="1:10" ht="30" x14ac:dyDescent="0.25">
      <c r="A225" s="150">
        <v>4878719</v>
      </c>
      <c r="B225" s="151" t="s">
        <v>942</v>
      </c>
      <c r="C225" s="151" t="s">
        <v>328</v>
      </c>
      <c r="D225" s="152" t="s">
        <v>328</v>
      </c>
      <c r="E225" s="852">
        <v>1561200</v>
      </c>
      <c r="F225" s="851">
        <f>HLOOKUP($A225,'Hodnocení '!$C$1:$JI$183,155,FALSE)</f>
        <v>1441590</v>
      </c>
      <c r="G225" s="152"/>
      <c r="H225" s="848"/>
      <c r="J225" s="848"/>
    </row>
    <row r="226" spans="1:10" ht="30" x14ac:dyDescent="0.25">
      <c r="A226" s="150">
        <v>5344327</v>
      </c>
      <c r="B226" s="151" t="s">
        <v>942</v>
      </c>
      <c r="C226" s="151" t="s">
        <v>525</v>
      </c>
      <c r="D226" s="152" t="s">
        <v>348</v>
      </c>
      <c r="E226" s="852">
        <v>5703200</v>
      </c>
      <c r="F226" s="851">
        <f>HLOOKUP($A226,'Hodnocení '!$C$1:$JI$183,155,FALSE)</f>
        <v>5703200</v>
      </c>
      <c r="G226" s="152"/>
      <c r="H226" s="848"/>
      <c r="J226" s="848"/>
    </row>
    <row r="227" spans="1:10" ht="30" x14ac:dyDescent="0.25">
      <c r="A227" s="150">
        <v>1225073</v>
      </c>
      <c r="B227" s="151" t="s">
        <v>947</v>
      </c>
      <c r="C227" s="151" t="s">
        <v>386</v>
      </c>
      <c r="D227" s="152" t="s">
        <v>328</v>
      </c>
      <c r="E227" s="852">
        <v>8082419</v>
      </c>
      <c r="F227" s="851">
        <f>HLOOKUP($A227,'Hodnocení '!$C$1:$JI$183,155,FALSE)</f>
        <v>7003030</v>
      </c>
      <c r="G227" s="152"/>
      <c r="H227" s="848"/>
      <c r="J227" s="848"/>
    </row>
    <row r="228" spans="1:10" ht="30" x14ac:dyDescent="0.25">
      <c r="A228" s="150">
        <v>4381530</v>
      </c>
      <c r="B228" s="151" t="s">
        <v>947</v>
      </c>
      <c r="C228" s="151" t="s">
        <v>390</v>
      </c>
      <c r="D228" s="152" t="s">
        <v>348</v>
      </c>
      <c r="E228" s="852">
        <v>16758000</v>
      </c>
      <c r="F228" s="851">
        <f>HLOOKUP($A228,'Hodnocení '!$C$1:$JI$183,155,FALSE)</f>
        <v>12351200</v>
      </c>
      <c r="G228" s="152"/>
      <c r="H228" s="848"/>
      <c r="J228" s="848"/>
    </row>
    <row r="229" spans="1:10" ht="30" x14ac:dyDescent="0.25">
      <c r="A229" s="150">
        <v>4720531</v>
      </c>
      <c r="B229" s="151" t="s">
        <v>947</v>
      </c>
      <c r="C229" s="151" t="s">
        <v>859</v>
      </c>
      <c r="D229" s="152" t="s">
        <v>783</v>
      </c>
      <c r="E229" s="852">
        <v>601500</v>
      </c>
      <c r="F229" s="851">
        <f>HLOOKUP($A229,'Hodnocení '!$C$1:$JI$183,155,FALSE)</f>
        <v>464010</v>
      </c>
      <c r="G229" s="152"/>
      <c r="H229" s="848"/>
      <c r="J229" s="848"/>
    </row>
    <row r="230" spans="1:10" ht="30" x14ac:dyDescent="0.25">
      <c r="A230" s="150">
        <v>5703553</v>
      </c>
      <c r="B230" s="151" t="s">
        <v>947</v>
      </c>
      <c r="C230" s="151" t="s">
        <v>769</v>
      </c>
      <c r="D230" s="152" t="s">
        <v>267</v>
      </c>
      <c r="E230" s="852">
        <v>2142886</v>
      </c>
      <c r="F230" s="851">
        <f>HLOOKUP($A230,'Hodnocení '!$C$1:$JI$183,155,FALSE)</f>
        <v>1972280</v>
      </c>
      <c r="G230" s="152"/>
      <c r="H230" s="848"/>
      <c r="J230" s="848"/>
    </row>
    <row r="231" spans="1:10" ht="30" x14ac:dyDescent="0.25">
      <c r="A231" s="150">
        <v>7190506</v>
      </c>
      <c r="B231" s="151" t="s">
        <v>947</v>
      </c>
      <c r="C231" s="151" t="s">
        <v>952</v>
      </c>
      <c r="D231" s="152" t="s">
        <v>705</v>
      </c>
      <c r="E231" s="852">
        <v>3986708</v>
      </c>
      <c r="F231" s="851">
        <f>HLOOKUP($A231,'Hodnocení '!$C$1:$JI$183,155,FALSE)</f>
        <v>0</v>
      </c>
      <c r="G231" s="152" t="s">
        <v>2466</v>
      </c>
      <c r="H231" s="848"/>
      <c r="J231" s="848"/>
    </row>
    <row r="232" spans="1:10" ht="30" x14ac:dyDescent="0.25">
      <c r="A232" s="150">
        <v>9459250</v>
      </c>
      <c r="B232" s="151" t="s">
        <v>947</v>
      </c>
      <c r="C232" s="151" t="s">
        <v>954</v>
      </c>
      <c r="D232" s="152" t="s">
        <v>217</v>
      </c>
      <c r="E232" s="852">
        <v>2666678</v>
      </c>
      <c r="F232" s="851">
        <f>HLOOKUP($A232,'Hodnocení '!$C$1:$JI$183,155,FALSE)</f>
        <v>1654620</v>
      </c>
      <c r="G232" s="152"/>
      <c r="H232" s="848"/>
      <c r="J232" s="848"/>
    </row>
    <row r="233" spans="1:10" ht="30" x14ac:dyDescent="0.25">
      <c r="A233" s="150">
        <v>3619533</v>
      </c>
      <c r="B233" s="151" t="s">
        <v>955</v>
      </c>
      <c r="C233" s="151" t="s">
        <v>957</v>
      </c>
      <c r="D233" s="152" t="s">
        <v>348</v>
      </c>
      <c r="E233" s="852">
        <v>4777941</v>
      </c>
      <c r="F233" s="851">
        <f>HLOOKUP($A233,'Hodnocení '!$C$1:$JI$183,155,FALSE)</f>
        <v>4468800</v>
      </c>
      <c r="G233" s="152"/>
      <c r="H233" s="848"/>
      <c r="J233" s="848"/>
    </row>
    <row r="234" spans="1:10" ht="60" x14ac:dyDescent="0.25">
      <c r="A234" s="150">
        <v>8982230</v>
      </c>
      <c r="B234" s="151" t="s">
        <v>959</v>
      </c>
      <c r="C234" s="151" t="s">
        <v>959</v>
      </c>
      <c r="D234" s="152" t="s">
        <v>348</v>
      </c>
      <c r="E234" s="852">
        <v>7730000</v>
      </c>
      <c r="F234" s="851">
        <f>HLOOKUP($A234,'Hodnocení '!$C$1:$JI$183,155,FALSE)</f>
        <v>7730000</v>
      </c>
      <c r="G234" s="152"/>
      <c r="H234" s="848"/>
      <c r="J234" s="848"/>
    </row>
    <row r="235" spans="1:10" ht="30" x14ac:dyDescent="0.25">
      <c r="A235" s="150">
        <v>1715626</v>
      </c>
      <c r="B235" s="151" t="s">
        <v>962</v>
      </c>
      <c r="C235" s="151" t="s">
        <v>377</v>
      </c>
      <c r="D235" s="152" t="s">
        <v>225</v>
      </c>
      <c r="E235" s="852">
        <v>6070000</v>
      </c>
      <c r="F235" s="851">
        <f>HLOOKUP($A235,'Hodnocení '!$C$1:$JI$183,155,FALSE)</f>
        <v>4581140</v>
      </c>
      <c r="G235" s="152"/>
      <c r="H235" s="848"/>
      <c r="J235" s="848"/>
    </row>
    <row r="236" spans="1:10" ht="30" x14ac:dyDescent="0.25">
      <c r="A236" s="150">
        <v>3921078</v>
      </c>
      <c r="B236" s="151" t="s">
        <v>962</v>
      </c>
      <c r="C236" s="151" t="s">
        <v>386</v>
      </c>
      <c r="D236" s="152" t="s">
        <v>328</v>
      </c>
      <c r="E236" s="852">
        <v>924000</v>
      </c>
      <c r="F236" s="851">
        <f>HLOOKUP($A236,'Hodnocení '!$C$1:$JI$183,155,FALSE)</f>
        <v>723930</v>
      </c>
      <c r="G236" s="152"/>
      <c r="H236" s="848"/>
      <c r="J236" s="848"/>
    </row>
    <row r="237" spans="1:10" ht="30" x14ac:dyDescent="0.25">
      <c r="A237" s="150">
        <v>3198258</v>
      </c>
      <c r="B237" s="151" t="s">
        <v>965</v>
      </c>
      <c r="C237" s="151" t="s">
        <v>225</v>
      </c>
      <c r="D237" s="152" t="s">
        <v>225</v>
      </c>
      <c r="E237" s="852">
        <v>3910500</v>
      </c>
      <c r="F237" s="851">
        <f>HLOOKUP($A237,'Hodnocení '!$C$1:$JI$183,155,FALSE)</f>
        <v>3895190</v>
      </c>
      <c r="G237" s="152"/>
      <c r="H237" s="848"/>
      <c r="J237" s="848"/>
    </row>
    <row r="238" spans="1:10" ht="30" x14ac:dyDescent="0.25">
      <c r="A238" s="150">
        <v>4271738</v>
      </c>
      <c r="B238" s="151" t="s">
        <v>1141</v>
      </c>
      <c r="C238" s="151" t="s">
        <v>225</v>
      </c>
      <c r="D238" s="152" t="s">
        <v>225</v>
      </c>
      <c r="E238" s="852">
        <v>5674772</v>
      </c>
      <c r="F238" s="851">
        <f>HLOOKUP($A238,'Hodnocení '!$C$1:$JI$183,155,FALSE)</f>
        <v>4071610</v>
      </c>
      <c r="G238" s="152"/>
      <c r="H238" s="848"/>
      <c r="J238" s="848"/>
    </row>
    <row r="239" spans="1:10" ht="30" x14ac:dyDescent="0.25">
      <c r="A239" s="150">
        <v>1622964</v>
      </c>
      <c r="B239" s="151" t="s">
        <v>969</v>
      </c>
      <c r="C239" s="151" t="s">
        <v>417</v>
      </c>
      <c r="D239" s="152" t="s">
        <v>361</v>
      </c>
      <c r="E239" s="852">
        <v>4509620</v>
      </c>
      <c r="F239" s="851">
        <f>HLOOKUP($A239,'Hodnocení '!$C$1:$JI$183,155,FALSE)</f>
        <v>3507640</v>
      </c>
      <c r="G239" s="152"/>
      <c r="H239" s="848"/>
      <c r="J239" s="848"/>
    </row>
    <row r="240" spans="1:10" ht="30" x14ac:dyDescent="0.25">
      <c r="A240" s="150">
        <v>8979890</v>
      </c>
      <c r="B240" s="151" t="s">
        <v>969</v>
      </c>
      <c r="C240" s="151" t="s">
        <v>972</v>
      </c>
      <c r="D240" s="152" t="s">
        <v>217</v>
      </c>
      <c r="E240" s="852">
        <v>3945350</v>
      </c>
      <c r="F240" s="851">
        <f>HLOOKUP($A240,'Hodnocení '!$C$1:$JI$183,155,FALSE)</f>
        <v>3789860</v>
      </c>
      <c r="G240" s="152"/>
      <c r="H240" s="848"/>
      <c r="J240" s="848"/>
    </row>
    <row r="241" spans="1:10" ht="30" x14ac:dyDescent="0.25">
      <c r="A241" s="150">
        <v>5173305</v>
      </c>
      <c r="B241" s="151" t="s">
        <v>974</v>
      </c>
      <c r="C241" s="151" t="s">
        <v>974</v>
      </c>
      <c r="D241" s="152" t="s">
        <v>217</v>
      </c>
      <c r="E241" s="852">
        <v>5600000</v>
      </c>
      <c r="F241" s="851">
        <f>HLOOKUP($A241,'Hodnocení '!$C$1:$JI$183,155,FALSE)</f>
        <v>2241820</v>
      </c>
      <c r="G241" s="152"/>
      <c r="H241" s="848"/>
      <c r="J241" s="848"/>
    </row>
    <row r="242" spans="1:10" ht="60" x14ac:dyDescent="0.25">
      <c r="A242" s="150">
        <v>2015983</v>
      </c>
      <c r="B242" s="151" t="s">
        <v>977</v>
      </c>
      <c r="C242" s="151" t="s">
        <v>977</v>
      </c>
      <c r="D242" s="152" t="s">
        <v>286</v>
      </c>
      <c r="E242" s="852">
        <v>965000</v>
      </c>
      <c r="F242" s="851">
        <f>HLOOKUP($A242,'Hodnocení '!$C$1:$JI$183,155,FALSE)</f>
        <v>289530</v>
      </c>
      <c r="G242" s="152"/>
      <c r="H242" s="848"/>
      <c r="J242" s="848"/>
    </row>
    <row r="243" spans="1:10" ht="60" x14ac:dyDescent="0.25">
      <c r="A243" s="150">
        <v>5175408</v>
      </c>
      <c r="B243" s="151" t="s">
        <v>977</v>
      </c>
      <c r="C243" s="151" t="s">
        <v>977</v>
      </c>
      <c r="D243" s="152" t="s">
        <v>328</v>
      </c>
      <c r="E243" s="852">
        <v>937000</v>
      </c>
      <c r="F243" s="851">
        <f>HLOOKUP($A243,'Hodnocení '!$C$1:$JI$183,155,FALSE)</f>
        <v>117160</v>
      </c>
      <c r="G243" s="152"/>
      <c r="H243" s="848"/>
      <c r="J243" s="848"/>
    </row>
    <row r="244" spans="1:10" ht="90" x14ac:dyDescent="0.25">
      <c r="A244" s="150">
        <v>1792038</v>
      </c>
      <c r="B244" s="151" t="s">
        <v>979</v>
      </c>
      <c r="C244" s="151" t="s">
        <v>981</v>
      </c>
      <c r="D244" s="152" t="s">
        <v>300</v>
      </c>
      <c r="E244" s="852">
        <v>1025000</v>
      </c>
      <c r="F244" s="851">
        <f>HLOOKUP($A244,'Hodnocení '!$C$1:$JI$183,155,FALSE)</f>
        <v>1025000</v>
      </c>
      <c r="G244" s="152"/>
      <c r="H244" s="848"/>
      <c r="J244" s="848"/>
    </row>
    <row r="245" spans="1:10" ht="45" x14ac:dyDescent="0.25">
      <c r="A245" s="150">
        <v>2093343</v>
      </c>
      <c r="B245" s="151" t="s">
        <v>979</v>
      </c>
      <c r="C245" s="151" t="s">
        <v>985</v>
      </c>
      <c r="D245" s="152" t="s">
        <v>292</v>
      </c>
      <c r="E245" s="852">
        <v>610000</v>
      </c>
      <c r="F245" s="851">
        <f>HLOOKUP($A245,'Hodnocení '!$C$1:$JI$183,155,FALSE)</f>
        <v>610000</v>
      </c>
      <c r="G245" s="152"/>
      <c r="H245" s="848"/>
      <c r="J245" s="848"/>
    </row>
    <row r="246" spans="1:10" ht="45" x14ac:dyDescent="0.25">
      <c r="A246" s="150">
        <v>3736692</v>
      </c>
      <c r="B246" s="151" t="s">
        <v>979</v>
      </c>
      <c r="C246" s="151" t="s">
        <v>989</v>
      </c>
      <c r="D246" s="152" t="s">
        <v>989</v>
      </c>
      <c r="E246" s="852">
        <v>595000</v>
      </c>
      <c r="F246" s="851">
        <f>HLOOKUP($A246,'Hodnocení '!$C$1:$JI$183,155,FALSE)</f>
        <v>595000</v>
      </c>
      <c r="G246" s="152"/>
      <c r="H246" s="848"/>
      <c r="J246" s="848"/>
    </row>
    <row r="247" spans="1:10" ht="45" x14ac:dyDescent="0.25">
      <c r="A247" s="150">
        <v>4373225</v>
      </c>
      <c r="B247" s="151" t="s">
        <v>979</v>
      </c>
      <c r="C247" s="151" t="s">
        <v>991</v>
      </c>
      <c r="D247" s="152" t="s">
        <v>235</v>
      </c>
      <c r="E247" s="852">
        <v>1254497</v>
      </c>
      <c r="F247" s="851">
        <f>HLOOKUP($A247,'Hodnocení '!$C$1:$JI$183,155,FALSE)</f>
        <v>0</v>
      </c>
      <c r="G247" s="152" t="s">
        <v>2466</v>
      </c>
      <c r="H247" s="848"/>
      <c r="J247" s="848"/>
    </row>
    <row r="248" spans="1:10" ht="45" x14ac:dyDescent="0.25">
      <c r="A248" s="150">
        <v>5700178</v>
      </c>
      <c r="B248" s="151" t="s">
        <v>979</v>
      </c>
      <c r="C248" s="151" t="s">
        <v>985</v>
      </c>
      <c r="D248" s="152" t="s">
        <v>292</v>
      </c>
      <c r="E248" s="852">
        <v>666000</v>
      </c>
      <c r="F248" s="851">
        <f>HLOOKUP($A248,'Hodnocení '!$C$1:$JI$183,155,FALSE)</f>
        <v>666000</v>
      </c>
      <c r="G248" s="152"/>
      <c r="H248" s="848"/>
      <c r="J248" s="848"/>
    </row>
    <row r="249" spans="1:10" ht="45" x14ac:dyDescent="0.25">
      <c r="A249" s="150">
        <v>6811251</v>
      </c>
      <c r="B249" s="151" t="s">
        <v>979</v>
      </c>
      <c r="C249" s="151" t="s">
        <v>985</v>
      </c>
      <c r="D249" s="152" t="s">
        <v>292</v>
      </c>
      <c r="E249" s="852">
        <v>425000</v>
      </c>
      <c r="F249" s="851">
        <f>HLOOKUP($A249,'Hodnocení '!$C$1:$JI$183,155,FALSE)</f>
        <v>425000</v>
      </c>
      <c r="G249" s="152"/>
      <c r="H249" s="848"/>
      <c r="J249" s="848"/>
    </row>
    <row r="250" spans="1:10" ht="60" x14ac:dyDescent="0.25">
      <c r="A250" s="150">
        <v>1546097</v>
      </c>
      <c r="B250" s="151" t="s">
        <v>997</v>
      </c>
      <c r="C250" s="151" t="s">
        <v>999</v>
      </c>
      <c r="D250" s="152" t="s">
        <v>260</v>
      </c>
      <c r="E250" s="852">
        <v>34067800</v>
      </c>
      <c r="F250" s="851">
        <f>HLOOKUP($A250,'Hodnocení '!$C$1:$JI$183,155,FALSE)</f>
        <v>25223010</v>
      </c>
      <c r="G250" s="152"/>
      <c r="H250" s="848"/>
      <c r="J250" s="848"/>
    </row>
    <row r="251" spans="1:10" ht="45" x14ac:dyDescent="0.25">
      <c r="A251" s="150">
        <v>6375207</v>
      </c>
      <c r="B251" s="151" t="s">
        <v>997</v>
      </c>
      <c r="C251" s="151" t="s">
        <v>999</v>
      </c>
      <c r="D251" s="152" t="s">
        <v>361</v>
      </c>
      <c r="E251" s="852">
        <v>722500</v>
      </c>
      <c r="F251" s="851">
        <f>HLOOKUP($A251,'Hodnocení '!$C$1:$JI$183,155,FALSE)</f>
        <v>453690</v>
      </c>
      <c r="G251" s="152"/>
      <c r="H251" s="848"/>
      <c r="J251" s="848"/>
    </row>
    <row r="252" spans="1:10" ht="60" x14ac:dyDescent="0.25">
      <c r="A252" s="150">
        <v>2089762</v>
      </c>
      <c r="B252" s="151" t="s">
        <v>1001</v>
      </c>
      <c r="C252" s="151" t="s">
        <v>1001</v>
      </c>
      <c r="D252" s="152" t="s">
        <v>260</v>
      </c>
      <c r="E252" s="852">
        <v>29138040</v>
      </c>
      <c r="F252" s="851">
        <f>HLOOKUP($A252,'Hodnocení '!$C$1:$JI$183,155,FALSE)</f>
        <v>22890579</v>
      </c>
      <c r="G252" s="152"/>
      <c r="H252" s="848"/>
      <c r="J252" s="848"/>
    </row>
    <row r="253" spans="1:10" ht="45" x14ac:dyDescent="0.25">
      <c r="A253" s="150">
        <v>1109434</v>
      </c>
      <c r="B253" s="151" t="s">
        <v>1003</v>
      </c>
      <c r="C253" s="151" t="s">
        <v>390</v>
      </c>
      <c r="D253" s="152" t="s">
        <v>348</v>
      </c>
      <c r="E253" s="852">
        <v>11396000</v>
      </c>
      <c r="F253" s="851">
        <f>HLOOKUP($A253,'Hodnocení '!$C$1:$JI$183,155,FALSE)</f>
        <v>7928940</v>
      </c>
      <c r="G253" s="152"/>
      <c r="H253" s="848"/>
      <c r="J253" s="848"/>
    </row>
    <row r="254" spans="1:10" ht="45" x14ac:dyDescent="0.25">
      <c r="A254" s="150">
        <v>3095940</v>
      </c>
      <c r="B254" s="151" t="s">
        <v>1003</v>
      </c>
      <c r="C254" s="151" t="s">
        <v>386</v>
      </c>
      <c r="D254" s="152" t="s">
        <v>328</v>
      </c>
      <c r="E254" s="852">
        <v>2728000</v>
      </c>
      <c r="F254" s="851">
        <f>HLOOKUP($A254,'Hodnocení '!$C$1:$JI$183,155,FALSE)</f>
        <v>2171080</v>
      </c>
      <c r="G254" s="152"/>
      <c r="H254" s="848"/>
      <c r="J254" s="848"/>
    </row>
    <row r="255" spans="1:10" ht="30" x14ac:dyDescent="0.25">
      <c r="A255" s="150">
        <v>3135426</v>
      </c>
      <c r="B255" s="151" t="s">
        <v>1007</v>
      </c>
      <c r="C255" s="151" t="s">
        <v>1007</v>
      </c>
      <c r="D255" s="152" t="s">
        <v>348</v>
      </c>
      <c r="E255" s="852">
        <v>9300000</v>
      </c>
      <c r="F255" s="851">
        <f>HLOOKUP($A255,'Hodnocení '!$C$1:$JI$183,155,FALSE)</f>
        <v>8299180</v>
      </c>
      <c r="G255" s="152"/>
      <c r="H255" s="848"/>
      <c r="J255" s="848"/>
    </row>
    <row r="256" spans="1:10" ht="60" x14ac:dyDescent="0.25">
      <c r="A256" s="150">
        <v>2495303</v>
      </c>
      <c r="B256" s="151" t="s">
        <v>1010</v>
      </c>
      <c r="C256" s="151" t="s">
        <v>1012</v>
      </c>
      <c r="D256" s="152" t="s">
        <v>225</v>
      </c>
      <c r="E256" s="852">
        <v>5250700</v>
      </c>
      <c r="F256" s="851">
        <f>HLOOKUP($A256,'Hodnocení '!$C$1:$JI$183,155,FALSE)</f>
        <v>3773040</v>
      </c>
      <c r="G256" s="152"/>
      <c r="H256" s="848"/>
      <c r="J256" s="848"/>
    </row>
    <row r="257" spans="1:10" ht="60" x14ac:dyDescent="0.25">
      <c r="A257" s="150">
        <v>4497017</v>
      </c>
      <c r="B257" s="151" t="s">
        <v>1010</v>
      </c>
      <c r="C257" s="151" t="s">
        <v>1014</v>
      </c>
      <c r="D257" s="152" t="s">
        <v>267</v>
      </c>
      <c r="E257" s="852">
        <v>4256000</v>
      </c>
      <c r="F257" s="851">
        <f>HLOOKUP($A257,'Hodnocení '!$C$1:$JI$183,155,FALSE)</f>
        <v>2765690</v>
      </c>
      <c r="G257" s="152"/>
      <c r="H257" s="848"/>
      <c r="J257" s="848"/>
    </row>
    <row r="258" spans="1:10" ht="60" x14ac:dyDescent="0.25">
      <c r="A258" s="150">
        <v>9268423</v>
      </c>
      <c r="B258" s="151" t="s">
        <v>1010</v>
      </c>
      <c r="C258" s="151" t="s">
        <v>1016</v>
      </c>
      <c r="D258" s="152" t="s">
        <v>217</v>
      </c>
      <c r="E258" s="852">
        <v>10921600</v>
      </c>
      <c r="F258" s="851">
        <f>HLOOKUP($A258,'Hodnocení '!$C$1:$JI$183,155,FALSE)</f>
        <v>8896080</v>
      </c>
      <c r="G258" s="152"/>
      <c r="H258" s="848"/>
      <c r="J258" s="848"/>
    </row>
    <row r="259" spans="1:10" ht="105" x14ac:dyDescent="0.25">
      <c r="A259" s="150">
        <v>8430922</v>
      </c>
      <c r="B259" s="151" t="s">
        <v>1380</v>
      </c>
      <c r="C259" s="151" t="s">
        <v>1894</v>
      </c>
      <c r="D259" s="152" t="s">
        <v>1893</v>
      </c>
      <c r="E259" s="852">
        <v>3377272</v>
      </c>
      <c r="F259" s="851">
        <f>HLOOKUP($A259,'Hodnocení '!$C$1:$JI$183,155,FALSE)</f>
        <v>868740</v>
      </c>
      <c r="G259" s="152"/>
      <c r="H259" s="848"/>
      <c r="J259" s="848"/>
    </row>
    <row r="260" spans="1:10" ht="60" x14ac:dyDescent="0.25">
      <c r="A260" s="150">
        <v>5369609</v>
      </c>
      <c r="B260" s="151" t="s">
        <v>1018</v>
      </c>
      <c r="C260" s="151" t="s">
        <v>1020</v>
      </c>
      <c r="D260" s="152" t="s">
        <v>342</v>
      </c>
      <c r="E260" s="852">
        <v>2526602</v>
      </c>
      <c r="F260" s="851">
        <f>HLOOKUP($A260,'Hodnocení '!$C$1:$JI$183,155,FALSE)</f>
        <v>2526600</v>
      </c>
      <c r="G260" s="152"/>
      <c r="H260" s="848"/>
      <c r="J260" s="848"/>
    </row>
    <row r="261" spans="1:10" ht="30" x14ac:dyDescent="0.25">
      <c r="A261" s="150">
        <v>5539112</v>
      </c>
      <c r="B261" s="151" t="s">
        <v>1024</v>
      </c>
      <c r="C261" s="151" t="s">
        <v>389</v>
      </c>
      <c r="D261" s="152" t="s">
        <v>217</v>
      </c>
      <c r="E261" s="852">
        <v>2970065</v>
      </c>
      <c r="F261" s="851">
        <f>HLOOKUP($A261,'Hodnocení '!$C$1:$JI$183,155,FALSE)</f>
        <v>2970060</v>
      </c>
      <c r="G261" s="152"/>
      <c r="H261" s="848"/>
      <c r="J261" s="848"/>
    </row>
    <row r="262" spans="1:10" ht="30" x14ac:dyDescent="0.25">
      <c r="A262" s="150">
        <v>7218817</v>
      </c>
      <c r="B262" s="151" t="s">
        <v>1024</v>
      </c>
      <c r="C262" s="151" t="s">
        <v>700</v>
      </c>
      <c r="D262" s="152" t="s">
        <v>235</v>
      </c>
      <c r="E262" s="852">
        <v>2886486</v>
      </c>
      <c r="F262" s="851">
        <f>HLOOKUP($A262,'Hodnocení '!$C$1:$JI$183,155,FALSE)</f>
        <v>1939350</v>
      </c>
      <c r="G262" s="152"/>
      <c r="H262" s="848"/>
      <c r="J262" s="848"/>
    </row>
    <row r="263" spans="1:10" ht="30" x14ac:dyDescent="0.25">
      <c r="A263" s="150">
        <v>9223303</v>
      </c>
      <c r="B263" s="151" t="s">
        <v>1024</v>
      </c>
      <c r="C263" s="151" t="s">
        <v>1028</v>
      </c>
      <c r="D263" s="152" t="s">
        <v>292</v>
      </c>
      <c r="E263" s="852">
        <v>413760</v>
      </c>
      <c r="F263" s="851">
        <f>HLOOKUP($A263,'Hodnocení '!$C$1:$JI$183,155,FALSE)</f>
        <v>311820</v>
      </c>
      <c r="G263" s="152"/>
      <c r="H263" s="848"/>
      <c r="J263" s="848"/>
    </row>
    <row r="264" spans="1:10" ht="30" x14ac:dyDescent="0.25">
      <c r="A264" s="150">
        <v>1686476</v>
      </c>
      <c r="B264" s="151" t="s">
        <v>1030</v>
      </c>
      <c r="C264" s="151" t="s">
        <v>1032</v>
      </c>
      <c r="D264" s="152" t="s">
        <v>328</v>
      </c>
      <c r="E264" s="852">
        <v>6229000</v>
      </c>
      <c r="F264" s="851">
        <f>HLOOKUP($A264,'Hodnocení '!$C$1:$JI$183,155,FALSE)</f>
        <v>6229000</v>
      </c>
      <c r="G264" s="152"/>
      <c r="H264" s="848"/>
      <c r="J264" s="848"/>
    </row>
    <row r="265" spans="1:10" ht="30" x14ac:dyDescent="0.25">
      <c r="A265" s="150">
        <v>9577077</v>
      </c>
      <c r="B265" s="151" t="s">
        <v>1030</v>
      </c>
      <c r="C265" s="151" t="s">
        <v>1035</v>
      </c>
      <c r="D265" s="152" t="s">
        <v>764</v>
      </c>
      <c r="E265" s="852">
        <v>3480000</v>
      </c>
      <c r="F265" s="851">
        <f>HLOOKUP($A265,'Hodnocení '!$C$1:$JI$183,155,FALSE)</f>
        <v>2889370</v>
      </c>
      <c r="G265" s="152"/>
      <c r="H265" s="848"/>
      <c r="J265" s="848"/>
    </row>
    <row r="266" spans="1:10" ht="15.75" thickBot="1" x14ac:dyDescent="0.3">
      <c r="A266" s="157"/>
      <c r="B266" s="158"/>
      <c r="C266" s="158"/>
      <c r="D266" s="159"/>
      <c r="E266" s="853">
        <f>SUM(E2:E265)</f>
        <v>1340008783</v>
      </c>
      <c r="F266" s="854">
        <f>SUM(F2:F265)</f>
        <v>960178679</v>
      </c>
      <c r="G266" s="159"/>
    </row>
  </sheetData>
  <pageMargins left="0.23622047244094491" right="0.23622047244094491" top="0.74803149606299213" bottom="0.74803149606299213" header="0.31496062992125984" footer="0.31496062992125984"/>
  <pageSetup paperSize="9" scale="86" fitToHeight="14" orientation="portrait" r:id="rId1"/>
  <headerFooter>
    <oddHeader>&amp;L&amp;F&amp;C&amp;A&amp;R&amp;D</oddHeader>
    <oddFooter>&amp;C&amp;P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2"/>
  <sheetViews>
    <sheetView topLeftCell="B38" workbookViewId="0">
      <selection activeCell="G50" sqref="G50"/>
    </sheetView>
  </sheetViews>
  <sheetFormatPr defaultColWidth="9.28515625" defaultRowHeight="15" x14ac:dyDescent="0.25"/>
  <cols>
    <col min="1" max="1" width="5" style="634" hidden="1" customWidth="1"/>
    <col min="2" max="2" width="3.140625" style="640" customWidth="1"/>
    <col min="3" max="3" width="4.28515625" style="313" customWidth="1"/>
    <col min="4" max="4" width="16.7109375" style="263" customWidth="1"/>
    <col min="5" max="5" width="18.7109375" style="263" customWidth="1"/>
    <col min="6" max="6" width="9.28515625" style="313"/>
    <col min="7" max="7" width="16.28515625" style="263" customWidth="1"/>
    <col min="8" max="8" width="9.28515625" style="314" bestFit="1" customWidth="1"/>
    <col min="9" max="9" width="9.28515625" style="313"/>
    <col min="10" max="10" width="16.28515625" style="324" bestFit="1" customWidth="1"/>
    <col min="11" max="16384" width="9.28515625" style="313"/>
  </cols>
  <sheetData>
    <row r="1" spans="1:9" ht="110.25" customHeight="1" x14ac:dyDescent="0.25">
      <c r="A1" s="634" t="s">
        <v>2640</v>
      </c>
      <c r="B1" s="635" t="s">
        <v>2641</v>
      </c>
      <c r="C1" s="636" t="s">
        <v>2642</v>
      </c>
      <c r="D1" s="637" t="s">
        <v>2643</v>
      </c>
      <c r="E1" s="637" t="s">
        <v>2517</v>
      </c>
      <c r="F1" s="638" t="s">
        <v>1654</v>
      </c>
      <c r="G1" s="639" t="s">
        <v>2644</v>
      </c>
      <c r="I1" s="246"/>
    </row>
    <row r="2" spans="1:9" x14ac:dyDescent="0.25">
      <c r="C2" s="428"/>
      <c r="D2" s="641"/>
      <c r="E2" s="641"/>
      <c r="F2" s="642"/>
      <c r="G2" s="643"/>
    </row>
    <row r="3" spans="1:9" ht="90" x14ac:dyDescent="0.25">
      <c r="A3" s="634" t="s">
        <v>2645</v>
      </c>
      <c r="B3" s="644" t="s">
        <v>2646</v>
      </c>
      <c r="C3" s="645" t="s">
        <v>2647</v>
      </c>
      <c r="D3" s="646" t="s">
        <v>2648</v>
      </c>
      <c r="E3" s="646" t="s">
        <v>2649</v>
      </c>
      <c r="F3" s="647">
        <v>6565086</v>
      </c>
      <c r="G3" s="648">
        <v>173000</v>
      </c>
    </row>
    <row r="4" spans="1:9" ht="45" x14ac:dyDescent="0.25">
      <c r="A4" s="634" t="s">
        <v>2650</v>
      </c>
      <c r="B4" s="644" t="s">
        <v>2651</v>
      </c>
      <c r="C4" s="645" t="s">
        <v>2647</v>
      </c>
      <c r="D4" s="646" t="s">
        <v>2652</v>
      </c>
      <c r="E4" s="646" t="s">
        <v>314</v>
      </c>
      <c r="F4" s="647">
        <v>4309907</v>
      </c>
      <c r="G4" s="648">
        <v>456000</v>
      </c>
    </row>
    <row r="5" spans="1:9" ht="75" x14ac:dyDescent="0.25">
      <c r="A5" s="634" t="s">
        <v>2653</v>
      </c>
      <c r="B5" s="644" t="s">
        <v>2654</v>
      </c>
      <c r="C5" s="645" t="s">
        <v>2647</v>
      </c>
      <c r="D5" s="649" t="s">
        <v>1118</v>
      </c>
      <c r="E5" s="649" t="s">
        <v>1118</v>
      </c>
      <c r="F5" s="650">
        <v>9608144</v>
      </c>
      <c r="G5" s="648">
        <v>140000</v>
      </c>
    </row>
    <row r="6" spans="1:9" ht="45" x14ac:dyDescent="0.25">
      <c r="A6" s="634" t="s">
        <v>2655</v>
      </c>
      <c r="B6" s="644" t="s">
        <v>2656</v>
      </c>
      <c r="C6" s="651" t="s">
        <v>2647</v>
      </c>
      <c r="D6" s="652" t="s">
        <v>2657</v>
      </c>
      <c r="E6" s="652" t="s">
        <v>2657</v>
      </c>
      <c r="F6" s="653">
        <v>8299792</v>
      </c>
      <c r="G6" s="648">
        <v>216000</v>
      </c>
    </row>
    <row r="7" spans="1:9" ht="45" x14ac:dyDescent="0.25">
      <c r="A7" s="634" t="s">
        <v>2658</v>
      </c>
      <c r="B7" s="644" t="s">
        <v>2659</v>
      </c>
      <c r="C7" s="645" t="s">
        <v>2647</v>
      </c>
      <c r="D7" s="646" t="s">
        <v>2660</v>
      </c>
      <c r="E7" s="646" t="s">
        <v>2661</v>
      </c>
      <c r="F7" s="647">
        <v>1201932</v>
      </c>
      <c r="G7" s="648">
        <v>376000</v>
      </c>
    </row>
    <row r="8" spans="1:9" ht="45" x14ac:dyDescent="0.25">
      <c r="A8" s="634" t="s">
        <v>2662</v>
      </c>
      <c r="B8" s="644" t="s">
        <v>2663</v>
      </c>
      <c r="C8" s="645" t="s">
        <v>2647</v>
      </c>
      <c r="D8" s="646" t="s">
        <v>718</v>
      </c>
      <c r="E8" s="646" t="s">
        <v>725</v>
      </c>
      <c r="F8" s="647">
        <v>5133257</v>
      </c>
      <c r="G8" s="648">
        <v>326000</v>
      </c>
    </row>
    <row r="9" spans="1:9" ht="45" x14ac:dyDescent="0.25">
      <c r="A9" s="634" t="s">
        <v>2664</v>
      </c>
      <c r="B9" s="644" t="s">
        <v>2665</v>
      </c>
      <c r="C9" s="651" t="s">
        <v>2647</v>
      </c>
      <c r="D9" s="652" t="s">
        <v>776</v>
      </c>
      <c r="E9" s="652" t="s">
        <v>1092</v>
      </c>
      <c r="F9" s="638">
        <v>5903063</v>
      </c>
      <c r="G9" s="648">
        <v>124000</v>
      </c>
    </row>
    <row r="10" spans="1:9" ht="30" x14ac:dyDescent="0.25">
      <c r="A10" s="634" t="s">
        <v>2666</v>
      </c>
      <c r="B10" s="644" t="s">
        <v>2667</v>
      </c>
      <c r="C10" s="646" t="s">
        <v>2647</v>
      </c>
      <c r="D10" s="649" t="s">
        <v>776</v>
      </c>
      <c r="E10" s="649" t="s">
        <v>1075</v>
      </c>
      <c r="F10" s="650">
        <v>2886510</v>
      </c>
      <c r="G10" s="648">
        <v>404000</v>
      </c>
    </row>
    <row r="11" spans="1:9" ht="45" x14ac:dyDescent="0.25">
      <c r="B11" s="644" t="s">
        <v>2668</v>
      </c>
      <c r="C11" s="645" t="s">
        <v>2647</v>
      </c>
      <c r="D11" s="646" t="s">
        <v>733</v>
      </c>
      <c r="E11" s="646" t="s">
        <v>2669</v>
      </c>
      <c r="F11" s="647">
        <v>8849001</v>
      </c>
      <c r="G11" s="648">
        <v>230000</v>
      </c>
    </row>
    <row r="12" spans="1:9" ht="45" x14ac:dyDescent="0.25">
      <c r="A12" s="634" t="s">
        <v>2670</v>
      </c>
      <c r="B12" s="644" t="s">
        <v>2671</v>
      </c>
      <c r="C12" s="645" t="s">
        <v>2647</v>
      </c>
      <c r="D12" s="649" t="s">
        <v>2672</v>
      </c>
      <c r="E12" s="649" t="s">
        <v>2673</v>
      </c>
      <c r="F12" s="650">
        <v>5700178</v>
      </c>
      <c r="G12" s="648">
        <v>115000</v>
      </c>
    </row>
    <row r="13" spans="1:9" ht="45" x14ac:dyDescent="0.25">
      <c r="A13" s="634" t="s">
        <v>2674</v>
      </c>
      <c r="B13" s="644" t="s">
        <v>2675</v>
      </c>
      <c r="C13" s="651" t="s">
        <v>2676</v>
      </c>
      <c r="D13" s="652" t="s">
        <v>2677</v>
      </c>
      <c r="E13" s="652" t="s">
        <v>2677</v>
      </c>
      <c r="F13" s="651">
        <v>7566271</v>
      </c>
      <c r="G13" s="648">
        <v>1100000</v>
      </c>
    </row>
    <row r="14" spans="1:9" ht="60" x14ac:dyDescent="0.25">
      <c r="A14" s="634" t="s">
        <v>2678</v>
      </c>
      <c r="B14" s="644" t="s">
        <v>2679</v>
      </c>
      <c r="C14" s="645" t="s">
        <v>2676</v>
      </c>
      <c r="D14" s="646" t="s">
        <v>2680</v>
      </c>
      <c r="E14" s="646" t="s">
        <v>1010</v>
      </c>
      <c r="F14" s="647">
        <v>2495303</v>
      </c>
      <c r="G14" s="648">
        <v>659000</v>
      </c>
    </row>
    <row r="15" spans="1:9" ht="75" x14ac:dyDescent="0.25">
      <c r="A15" s="634" t="s">
        <v>2681</v>
      </c>
      <c r="B15" s="644" t="s">
        <v>2682</v>
      </c>
      <c r="C15" s="646" t="s">
        <v>2676</v>
      </c>
      <c r="D15" s="646" t="s">
        <v>887</v>
      </c>
      <c r="E15" s="646" t="s">
        <v>887</v>
      </c>
      <c r="F15" s="647">
        <v>5991938</v>
      </c>
      <c r="G15" s="648">
        <v>428000</v>
      </c>
    </row>
    <row r="16" spans="1:9" ht="45" x14ac:dyDescent="0.25">
      <c r="A16" s="634" t="s">
        <v>2683</v>
      </c>
      <c r="B16" s="644" t="s">
        <v>2684</v>
      </c>
      <c r="C16" s="645" t="s">
        <v>2685</v>
      </c>
      <c r="D16" s="646" t="s">
        <v>2652</v>
      </c>
      <c r="E16" s="646" t="s">
        <v>386</v>
      </c>
      <c r="F16" s="647">
        <v>9735411</v>
      </c>
      <c r="G16" s="648">
        <v>4317000</v>
      </c>
    </row>
    <row r="17" spans="1:7" ht="60" x14ac:dyDescent="0.25">
      <c r="A17" s="634" t="s">
        <v>2686</v>
      </c>
      <c r="B17" s="644" t="s">
        <v>2687</v>
      </c>
      <c r="C17" s="645" t="s">
        <v>2685</v>
      </c>
      <c r="D17" s="649" t="s">
        <v>776</v>
      </c>
      <c r="E17" s="649" t="s">
        <v>1200</v>
      </c>
      <c r="F17" s="650">
        <v>5376966</v>
      </c>
      <c r="G17" s="648">
        <v>3637000</v>
      </c>
    </row>
    <row r="18" spans="1:7" ht="45" x14ac:dyDescent="0.25">
      <c r="A18" s="634" t="s">
        <v>2688</v>
      </c>
      <c r="B18" s="644" t="s">
        <v>2689</v>
      </c>
      <c r="C18" s="651" t="s">
        <v>2685</v>
      </c>
      <c r="D18" s="652" t="s">
        <v>883</v>
      </c>
      <c r="E18" s="652" t="s">
        <v>883</v>
      </c>
      <c r="F18" s="651">
        <v>1826777</v>
      </c>
      <c r="G18" s="648">
        <v>1386000</v>
      </c>
    </row>
    <row r="19" spans="1:7" ht="30" x14ac:dyDescent="0.25">
      <c r="A19" s="634" t="s">
        <v>2690</v>
      </c>
      <c r="B19" s="644" t="s">
        <v>2691</v>
      </c>
      <c r="C19" s="645" t="s">
        <v>2685</v>
      </c>
      <c r="D19" s="646" t="s">
        <v>1175</v>
      </c>
      <c r="E19" s="646" t="s">
        <v>386</v>
      </c>
      <c r="F19" s="647">
        <v>1686476</v>
      </c>
      <c r="G19" s="648">
        <v>3872000</v>
      </c>
    </row>
    <row r="20" spans="1:7" ht="45" x14ac:dyDescent="0.25">
      <c r="A20" s="634" t="s">
        <v>2692</v>
      </c>
      <c r="B20" s="644" t="s">
        <v>2693</v>
      </c>
      <c r="C20" s="645" t="s">
        <v>2694</v>
      </c>
      <c r="D20" s="646" t="s">
        <v>1175</v>
      </c>
      <c r="E20" s="646" t="s">
        <v>2695</v>
      </c>
      <c r="F20" s="647">
        <v>9577077</v>
      </c>
      <c r="G20" s="648">
        <v>1466000</v>
      </c>
    </row>
    <row r="21" spans="1:7" ht="45" x14ac:dyDescent="0.25">
      <c r="A21" s="634" t="s">
        <v>2696</v>
      </c>
      <c r="B21" s="644" t="s">
        <v>2697</v>
      </c>
      <c r="C21" s="645" t="s">
        <v>2698</v>
      </c>
      <c r="D21" s="646" t="s">
        <v>2672</v>
      </c>
      <c r="E21" s="646" t="s">
        <v>979</v>
      </c>
      <c r="F21" s="647">
        <v>3736692</v>
      </c>
      <c r="G21" s="648">
        <v>80000</v>
      </c>
    </row>
    <row r="22" spans="1:7" ht="30" x14ac:dyDescent="0.25">
      <c r="A22" s="634" t="s">
        <v>2699</v>
      </c>
      <c r="B22" s="644" t="s">
        <v>2700</v>
      </c>
      <c r="C22" s="645" t="s">
        <v>2701</v>
      </c>
      <c r="D22" s="646" t="s">
        <v>2702</v>
      </c>
      <c r="E22" s="646" t="s">
        <v>2703</v>
      </c>
      <c r="F22" s="647">
        <v>7846871</v>
      </c>
      <c r="G22" s="648">
        <v>260000</v>
      </c>
    </row>
    <row r="23" spans="1:7" ht="30" x14ac:dyDescent="0.25">
      <c r="A23" s="634" t="s">
        <v>2704</v>
      </c>
      <c r="B23" s="644" t="s">
        <v>2705</v>
      </c>
      <c r="C23" s="645" t="s">
        <v>2706</v>
      </c>
      <c r="D23" s="649" t="s">
        <v>415</v>
      </c>
      <c r="E23" s="649" t="s">
        <v>415</v>
      </c>
      <c r="F23" s="650">
        <v>1905494</v>
      </c>
      <c r="G23" s="648">
        <v>2581000</v>
      </c>
    </row>
    <row r="24" spans="1:7" ht="45" x14ac:dyDescent="0.25">
      <c r="A24" s="634" t="s">
        <v>2707</v>
      </c>
      <c r="B24" s="644" t="s">
        <v>2708</v>
      </c>
      <c r="C24" s="645" t="s">
        <v>2709</v>
      </c>
      <c r="D24" s="649" t="s">
        <v>2652</v>
      </c>
      <c r="E24" s="649" t="s">
        <v>389</v>
      </c>
      <c r="F24" s="650">
        <v>7268793</v>
      </c>
      <c r="G24" s="648">
        <v>934000</v>
      </c>
    </row>
    <row r="25" spans="1:7" ht="60" x14ac:dyDescent="0.25">
      <c r="A25" s="634" t="s">
        <v>2710</v>
      </c>
      <c r="B25" s="644" t="s">
        <v>2711</v>
      </c>
      <c r="C25" s="645" t="s">
        <v>2709</v>
      </c>
      <c r="D25" s="649" t="s">
        <v>1010</v>
      </c>
      <c r="E25" s="649" t="s">
        <v>1010</v>
      </c>
      <c r="F25" s="650">
        <v>9268423</v>
      </c>
      <c r="G25" s="648">
        <v>2708000</v>
      </c>
    </row>
    <row r="26" spans="1:7" ht="30" x14ac:dyDescent="0.25">
      <c r="A26" s="634" t="s">
        <v>2712</v>
      </c>
      <c r="B26" s="644" t="s">
        <v>2713</v>
      </c>
      <c r="C26" s="645" t="s">
        <v>2714</v>
      </c>
      <c r="D26" s="649" t="s">
        <v>2702</v>
      </c>
      <c r="E26" s="649" t="s">
        <v>2575</v>
      </c>
      <c r="F26" s="650">
        <v>5871375</v>
      </c>
      <c r="G26" s="648">
        <v>600000</v>
      </c>
    </row>
    <row r="27" spans="1:7" ht="60" x14ac:dyDescent="0.25">
      <c r="A27" s="634" t="s">
        <v>2715</v>
      </c>
      <c r="B27" s="644" t="s">
        <v>2716</v>
      </c>
      <c r="C27" s="645" t="s">
        <v>2714</v>
      </c>
      <c r="D27" s="646" t="s">
        <v>2680</v>
      </c>
      <c r="E27" s="646" t="s">
        <v>1010</v>
      </c>
      <c r="F27" s="647">
        <v>4497017</v>
      </c>
      <c r="G27" s="648">
        <v>512000</v>
      </c>
    </row>
    <row r="28" spans="1:7" ht="30" x14ac:dyDescent="0.25">
      <c r="A28" s="634" t="s">
        <v>2717</v>
      </c>
      <c r="B28" s="644" t="s">
        <v>2718</v>
      </c>
      <c r="C28" s="646" t="s">
        <v>2719</v>
      </c>
      <c r="D28" s="646" t="s">
        <v>776</v>
      </c>
      <c r="E28" s="646" t="s">
        <v>780</v>
      </c>
      <c r="F28" s="647">
        <v>1840658</v>
      </c>
      <c r="G28" s="648">
        <v>255000</v>
      </c>
    </row>
    <row r="29" spans="1:7" ht="75" x14ac:dyDescent="0.25">
      <c r="A29" s="634" t="s">
        <v>2720</v>
      </c>
      <c r="B29" s="644" t="s">
        <v>2721</v>
      </c>
      <c r="C29" s="646" t="s">
        <v>2722</v>
      </c>
      <c r="D29" s="649" t="s">
        <v>1118</v>
      </c>
      <c r="E29" s="649" t="s">
        <v>1118</v>
      </c>
      <c r="F29" s="650">
        <v>8365172</v>
      </c>
      <c r="G29" s="648">
        <v>137000</v>
      </c>
    </row>
    <row r="30" spans="1:7" ht="45" x14ac:dyDescent="0.25">
      <c r="A30" s="634" t="s">
        <v>2723</v>
      </c>
      <c r="B30" s="644" t="s">
        <v>2724</v>
      </c>
      <c r="C30" s="645" t="s">
        <v>2725</v>
      </c>
      <c r="D30" s="649" t="s">
        <v>776</v>
      </c>
      <c r="E30" s="649" t="s">
        <v>1383</v>
      </c>
      <c r="F30" s="650">
        <v>1236570</v>
      </c>
      <c r="G30" s="648">
        <v>1774000</v>
      </c>
    </row>
    <row r="31" spans="1:7" ht="30" x14ac:dyDescent="0.25">
      <c r="A31" s="634" t="s">
        <v>2726</v>
      </c>
      <c r="B31" s="644" t="s">
        <v>2727</v>
      </c>
      <c r="C31" s="645" t="s">
        <v>2725</v>
      </c>
      <c r="D31" s="649" t="s">
        <v>776</v>
      </c>
      <c r="E31" s="649" t="s">
        <v>1388</v>
      </c>
      <c r="F31" s="650">
        <v>4699567</v>
      </c>
      <c r="G31" s="648">
        <v>734000</v>
      </c>
    </row>
    <row r="32" spans="1:7" ht="30" x14ac:dyDescent="0.25">
      <c r="A32" s="634" t="s">
        <v>2728</v>
      </c>
      <c r="B32" s="644" t="s">
        <v>2729</v>
      </c>
      <c r="C32" s="645" t="s">
        <v>2730</v>
      </c>
      <c r="D32" s="649" t="s">
        <v>1056</v>
      </c>
      <c r="E32" s="649" t="s">
        <v>600</v>
      </c>
      <c r="F32" s="650">
        <v>5814347</v>
      </c>
      <c r="G32" s="648">
        <v>490000</v>
      </c>
    </row>
    <row r="33" spans="1:10" ht="30" x14ac:dyDescent="0.25">
      <c r="A33" s="634" t="s">
        <v>2731</v>
      </c>
      <c r="B33" s="644" t="s">
        <v>2732</v>
      </c>
      <c r="C33" s="645" t="s">
        <v>2733</v>
      </c>
      <c r="D33" s="649" t="s">
        <v>718</v>
      </c>
      <c r="E33" s="649" t="s">
        <v>721</v>
      </c>
      <c r="F33" s="650">
        <v>2757263</v>
      </c>
      <c r="G33" s="648">
        <v>222000</v>
      </c>
    </row>
    <row r="34" spans="1:10" ht="45" x14ac:dyDescent="0.25">
      <c r="A34" s="634" t="s">
        <v>2734</v>
      </c>
      <c r="B34" s="644" t="s">
        <v>2735</v>
      </c>
      <c r="C34" s="645" t="s">
        <v>2736</v>
      </c>
      <c r="D34" s="646" t="s">
        <v>776</v>
      </c>
      <c r="E34" s="646" t="s">
        <v>1401</v>
      </c>
      <c r="F34" s="647">
        <v>6585534</v>
      </c>
      <c r="G34" s="648">
        <v>200000</v>
      </c>
    </row>
    <row r="35" spans="1:10" ht="105" x14ac:dyDescent="0.25">
      <c r="A35" s="634" t="s">
        <v>2737</v>
      </c>
      <c r="B35" s="644" t="s">
        <v>2738</v>
      </c>
      <c r="C35" s="645" t="s">
        <v>2739</v>
      </c>
      <c r="D35" s="649" t="s">
        <v>776</v>
      </c>
      <c r="E35" s="649" t="s">
        <v>2740</v>
      </c>
      <c r="F35" s="650">
        <v>7832444</v>
      </c>
      <c r="G35" s="648">
        <v>812000</v>
      </c>
    </row>
    <row r="36" spans="1:10" ht="30" x14ac:dyDescent="0.25">
      <c r="A36" s="634" t="s">
        <v>2741</v>
      </c>
      <c r="B36" s="644" t="s">
        <v>2742</v>
      </c>
      <c r="C36" s="645" t="s">
        <v>2743</v>
      </c>
      <c r="D36" s="649" t="s">
        <v>909</v>
      </c>
      <c r="E36" s="649" t="s">
        <v>914</v>
      </c>
      <c r="F36" s="650">
        <v>8411392</v>
      </c>
      <c r="G36" s="648">
        <v>415000</v>
      </c>
    </row>
    <row r="37" spans="1:10" ht="30" x14ac:dyDescent="0.25">
      <c r="A37" s="634" t="s">
        <v>2744</v>
      </c>
      <c r="B37" s="644" t="s">
        <v>2745</v>
      </c>
      <c r="C37" s="645" t="s">
        <v>2743</v>
      </c>
      <c r="D37" s="649" t="s">
        <v>897</v>
      </c>
      <c r="E37" s="649" t="s">
        <v>2746</v>
      </c>
      <c r="F37" s="650">
        <v>2174839</v>
      </c>
      <c r="G37" s="648">
        <v>554000</v>
      </c>
    </row>
    <row r="38" spans="1:10" ht="30" x14ac:dyDescent="0.25">
      <c r="A38" s="634" t="s">
        <v>2747</v>
      </c>
      <c r="B38" s="644" t="s">
        <v>2748</v>
      </c>
      <c r="C38" s="645" t="s">
        <v>2749</v>
      </c>
      <c r="D38" s="649" t="s">
        <v>776</v>
      </c>
      <c r="E38" s="649" t="s">
        <v>1388</v>
      </c>
      <c r="F38" s="650">
        <v>1968420</v>
      </c>
      <c r="G38" s="648">
        <v>599000</v>
      </c>
    </row>
    <row r="39" spans="1:10" ht="30" x14ac:dyDescent="0.25">
      <c r="A39" s="634" t="s">
        <v>2750</v>
      </c>
      <c r="B39" s="644" t="s">
        <v>2751</v>
      </c>
      <c r="C39" s="645" t="s">
        <v>2752</v>
      </c>
      <c r="D39" s="654" t="s">
        <v>909</v>
      </c>
      <c r="E39" s="654" t="s">
        <v>911</v>
      </c>
      <c r="F39" s="655">
        <v>4533728</v>
      </c>
      <c r="G39" s="648">
        <v>330000</v>
      </c>
    </row>
    <row r="40" spans="1:10" ht="30" x14ac:dyDescent="0.25">
      <c r="A40" s="634" t="s">
        <v>2753</v>
      </c>
      <c r="B40" s="644" t="s">
        <v>2754</v>
      </c>
      <c r="C40" s="645" t="s">
        <v>2752</v>
      </c>
      <c r="D40" s="652" t="s">
        <v>909</v>
      </c>
      <c r="E40" s="652" t="s">
        <v>918</v>
      </c>
      <c r="F40" s="650">
        <v>9659243</v>
      </c>
      <c r="G40" s="648">
        <v>54000</v>
      </c>
    </row>
    <row r="41" spans="1:10" ht="90" x14ac:dyDescent="0.25">
      <c r="A41" s="634" t="s">
        <v>2755</v>
      </c>
      <c r="B41" s="644" t="s">
        <v>2756</v>
      </c>
      <c r="C41" s="645" t="s">
        <v>2757</v>
      </c>
      <c r="D41" s="652" t="s">
        <v>2648</v>
      </c>
      <c r="E41" s="652" t="s">
        <v>2758</v>
      </c>
      <c r="F41" s="650">
        <v>6630553</v>
      </c>
      <c r="G41" s="648">
        <v>417000</v>
      </c>
    </row>
    <row r="42" spans="1:10" ht="45" x14ac:dyDescent="0.25">
      <c r="A42" s="634" t="s">
        <v>2759</v>
      </c>
      <c r="B42" s="644" t="s">
        <v>2760</v>
      </c>
      <c r="C42" s="646" t="s">
        <v>2757</v>
      </c>
      <c r="D42" s="652" t="s">
        <v>2672</v>
      </c>
      <c r="E42" s="652" t="s">
        <v>979</v>
      </c>
      <c r="F42" s="650">
        <v>1792038</v>
      </c>
      <c r="G42" s="648">
        <v>122000</v>
      </c>
    </row>
    <row r="43" spans="1:10" ht="60" hidden="1" x14ac:dyDescent="0.25">
      <c r="B43" s="644" t="s">
        <v>2761</v>
      </c>
      <c r="C43" s="656" t="s">
        <v>2762</v>
      </c>
      <c r="D43" s="657" t="s">
        <v>2763</v>
      </c>
      <c r="E43" s="657" t="s">
        <v>1460</v>
      </c>
      <c r="G43" s="648">
        <v>0</v>
      </c>
    </row>
    <row r="44" spans="1:10" s="172" customFormat="1" ht="30" x14ac:dyDescent="0.25">
      <c r="A44" s="658" t="s">
        <v>2764</v>
      </c>
      <c r="B44" s="644" t="s">
        <v>2765</v>
      </c>
      <c r="C44" s="645" t="s">
        <v>2766</v>
      </c>
      <c r="D44" s="652" t="s">
        <v>2702</v>
      </c>
      <c r="E44" s="652" t="s">
        <v>1455</v>
      </c>
      <c r="F44" s="650">
        <v>7263765</v>
      </c>
      <c r="G44" s="659">
        <v>165000</v>
      </c>
      <c r="H44" s="171"/>
      <c r="J44" s="660"/>
    </row>
    <row r="45" spans="1:10" ht="45" x14ac:dyDescent="0.25">
      <c r="A45" s="634" t="s">
        <v>2767</v>
      </c>
      <c r="B45" s="644" t="s">
        <v>2768</v>
      </c>
      <c r="C45" s="651" t="s">
        <v>2769</v>
      </c>
      <c r="D45" s="652" t="s">
        <v>2657</v>
      </c>
      <c r="E45" s="652" t="s">
        <v>2657</v>
      </c>
      <c r="F45" s="651">
        <v>5943218</v>
      </c>
      <c r="G45" s="648">
        <v>159000</v>
      </c>
    </row>
    <row r="46" spans="1:10" ht="30" x14ac:dyDescent="0.25">
      <c r="A46" s="634" t="s">
        <v>2770</v>
      </c>
      <c r="B46" s="644" t="s">
        <v>2771</v>
      </c>
      <c r="C46" s="645" t="s">
        <v>2769</v>
      </c>
      <c r="D46" s="652" t="s">
        <v>776</v>
      </c>
      <c r="E46" s="652" t="s">
        <v>1388</v>
      </c>
      <c r="F46" s="650">
        <v>2813024</v>
      </c>
      <c r="G46" s="648">
        <v>478000</v>
      </c>
    </row>
    <row r="47" spans="1:10" ht="60" x14ac:dyDescent="0.25">
      <c r="A47" s="634" t="s">
        <v>2772</v>
      </c>
      <c r="B47" s="644" t="s">
        <v>2773</v>
      </c>
      <c r="C47" s="645" t="s">
        <v>2769</v>
      </c>
      <c r="D47" s="652" t="s">
        <v>2774</v>
      </c>
      <c r="E47" s="652" t="s">
        <v>2775</v>
      </c>
      <c r="F47" s="650">
        <v>8172268</v>
      </c>
      <c r="G47" s="648">
        <v>450000</v>
      </c>
    </row>
    <row r="48" spans="1:10" ht="30" x14ac:dyDescent="0.25">
      <c r="A48" s="634" t="s">
        <v>2776</v>
      </c>
      <c r="B48" s="644" t="s">
        <v>2777</v>
      </c>
      <c r="C48" s="645" t="s">
        <v>2769</v>
      </c>
      <c r="D48" s="652" t="s">
        <v>2702</v>
      </c>
      <c r="E48" s="652" t="s">
        <v>2778</v>
      </c>
      <c r="F48" s="650">
        <v>3595008</v>
      </c>
      <c r="G48" s="648">
        <v>455000</v>
      </c>
    </row>
    <row r="49" spans="1:7" ht="45" x14ac:dyDescent="0.25">
      <c r="A49" s="634" t="s">
        <v>2779</v>
      </c>
      <c r="B49" s="644" t="s">
        <v>2780</v>
      </c>
      <c r="C49" s="645" t="s">
        <v>2769</v>
      </c>
      <c r="D49" s="652" t="s">
        <v>2672</v>
      </c>
      <c r="E49" s="652" t="s">
        <v>979</v>
      </c>
      <c r="F49" s="650">
        <v>4373225</v>
      </c>
      <c r="G49" s="648">
        <v>78000</v>
      </c>
    </row>
    <row r="50" spans="1:7" ht="18.75" x14ac:dyDescent="0.3">
      <c r="G50" s="661">
        <f>SUM(G3:G49)</f>
        <v>36000000</v>
      </c>
    </row>
    <row r="51" spans="1:7" x14ac:dyDescent="0.25">
      <c r="G51" s="662"/>
    </row>
    <row r="52" spans="1:7" x14ac:dyDescent="0.25">
      <c r="C52" s="663"/>
      <c r="D52" s="664"/>
      <c r="E52" s="664"/>
      <c r="G52" s="307"/>
    </row>
    <row r="53" spans="1:7" x14ac:dyDescent="0.25">
      <c r="C53" s="663"/>
      <c r="D53" s="664"/>
      <c r="E53" s="664"/>
    </row>
    <row r="54" spans="1:7" x14ac:dyDescent="0.25">
      <c r="C54" s="665"/>
      <c r="D54" s="664"/>
      <c r="E54" s="666"/>
      <c r="G54" s="307"/>
    </row>
    <row r="55" spans="1:7" x14ac:dyDescent="0.25">
      <c r="C55" s="667"/>
      <c r="D55" s="664"/>
      <c r="E55" s="666"/>
      <c r="G55" s="307"/>
    </row>
    <row r="56" spans="1:7" x14ac:dyDescent="0.25">
      <c r="C56" s="665"/>
      <c r="D56" s="666"/>
      <c r="E56" s="666"/>
      <c r="G56" s="307"/>
    </row>
    <row r="57" spans="1:7" x14ac:dyDescent="0.25">
      <c r="C57" s="665"/>
      <c r="D57" s="666"/>
      <c r="E57" s="666"/>
      <c r="G57" s="307"/>
    </row>
    <row r="58" spans="1:7" x14ac:dyDescent="0.25">
      <c r="C58" s="665"/>
      <c r="D58" s="666"/>
      <c r="E58" s="666"/>
      <c r="G58" s="307"/>
    </row>
    <row r="59" spans="1:7" ht="48.75" customHeight="1" x14ac:dyDescent="0.25">
      <c r="C59" s="665"/>
      <c r="D59" s="666"/>
      <c r="E59" s="666"/>
      <c r="G59" s="307"/>
    </row>
    <row r="60" spans="1:7" x14ac:dyDescent="0.25">
      <c r="C60" s="665"/>
      <c r="D60" s="666"/>
      <c r="E60" s="666"/>
      <c r="G60" s="307"/>
    </row>
    <row r="61" spans="1:7" x14ac:dyDescent="0.25">
      <c r="C61" s="668"/>
      <c r="D61" s="666"/>
      <c r="E61" s="669"/>
      <c r="G61" s="307"/>
    </row>
    <row r="62" spans="1:7" x14ac:dyDescent="0.25">
      <c r="D62" s="666"/>
      <c r="G62" s="307"/>
    </row>
    <row r="63" spans="1:7" x14ac:dyDescent="0.25">
      <c r="D63" s="669"/>
      <c r="G63" s="307"/>
    </row>
    <row r="64" spans="1:7" x14ac:dyDescent="0.25">
      <c r="G64" s="307"/>
    </row>
    <row r="65" spans="1:12" x14ac:dyDescent="0.25">
      <c r="G65" s="307"/>
    </row>
    <row r="66" spans="1:12" x14ac:dyDescent="0.25">
      <c r="G66" s="307"/>
    </row>
    <row r="67" spans="1:12" x14ac:dyDescent="0.25">
      <c r="G67" s="307"/>
    </row>
    <row r="68" spans="1:12" x14ac:dyDescent="0.25">
      <c r="G68" s="307"/>
    </row>
    <row r="79" spans="1:12" s="670" customFormat="1" x14ac:dyDescent="0.25">
      <c r="A79" s="634"/>
      <c r="B79" s="640"/>
      <c r="C79" s="313"/>
      <c r="D79" s="263"/>
      <c r="E79" s="263"/>
      <c r="F79" s="313"/>
      <c r="G79" s="263"/>
      <c r="H79" s="314"/>
      <c r="I79" s="313"/>
      <c r="J79" s="324"/>
      <c r="K79" s="313"/>
      <c r="L79" s="313"/>
    </row>
    <row r="80" spans="1:12" s="670" customFormat="1" x14ac:dyDescent="0.25">
      <c r="A80" s="634"/>
      <c r="B80" s="640"/>
      <c r="C80" s="313"/>
      <c r="D80" s="263"/>
      <c r="E80" s="263"/>
      <c r="F80" s="313"/>
      <c r="G80" s="263"/>
      <c r="H80" s="314"/>
      <c r="I80" s="313"/>
      <c r="J80" s="324"/>
      <c r="K80" s="313"/>
      <c r="L80" s="313"/>
    </row>
    <row r="81" spans="1:12" s="670" customFormat="1" x14ac:dyDescent="0.25">
      <c r="A81" s="634"/>
      <c r="B81" s="640"/>
      <c r="C81" s="313"/>
      <c r="D81" s="263"/>
      <c r="E81" s="263"/>
      <c r="F81" s="313"/>
      <c r="G81" s="263"/>
      <c r="H81" s="314"/>
      <c r="I81" s="313"/>
      <c r="J81" s="324"/>
      <c r="K81" s="313"/>
      <c r="L81" s="313"/>
    </row>
    <row r="82" spans="1:12" s="670" customFormat="1" x14ac:dyDescent="0.25">
      <c r="A82" s="634"/>
      <c r="B82" s="640"/>
      <c r="C82" s="313"/>
      <c r="D82" s="263"/>
      <c r="E82" s="263"/>
      <c r="F82" s="313"/>
      <c r="G82" s="263"/>
      <c r="H82" s="314"/>
      <c r="I82" s="313"/>
      <c r="J82" s="324"/>
      <c r="K82" s="313"/>
      <c r="L82" s="313"/>
    </row>
    <row r="83" spans="1:12" s="670" customFormat="1" x14ac:dyDescent="0.25">
      <c r="A83" s="634"/>
      <c r="B83" s="640"/>
      <c r="C83" s="313"/>
      <c r="D83" s="263"/>
      <c r="E83" s="263"/>
      <c r="F83" s="313"/>
      <c r="G83" s="263"/>
      <c r="H83" s="314"/>
      <c r="I83" s="313"/>
      <c r="J83" s="324"/>
      <c r="K83" s="313"/>
      <c r="L83" s="313"/>
    </row>
    <row r="84" spans="1:12" s="670" customFormat="1" x14ac:dyDescent="0.25">
      <c r="A84" s="634"/>
      <c r="B84" s="640"/>
      <c r="C84" s="313"/>
      <c r="D84" s="263"/>
      <c r="E84" s="263"/>
      <c r="F84" s="313"/>
      <c r="G84" s="263"/>
      <c r="H84" s="314"/>
      <c r="I84" s="313"/>
      <c r="J84" s="324"/>
      <c r="K84" s="313"/>
      <c r="L84" s="313"/>
    </row>
    <row r="85" spans="1:12" s="670" customFormat="1" x14ac:dyDescent="0.25">
      <c r="A85" s="634"/>
      <c r="B85" s="640"/>
      <c r="C85" s="313"/>
      <c r="D85" s="263"/>
      <c r="E85" s="263"/>
      <c r="F85" s="313"/>
      <c r="G85" s="263"/>
      <c r="H85" s="314"/>
      <c r="I85" s="313"/>
      <c r="J85" s="324"/>
      <c r="K85" s="313"/>
      <c r="L85" s="313"/>
    </row>
    <row r="86" spans="1:12" s="670" customFormat="1" x14ac:dyDescent="0.25">
      <c r="A86" s="634"/>
      <c r="B86" s="640"/>
      <c r="C86" s="313"/>
      <c r="D86" s="263"/>
      <c r="E86" s="263"/>
      <c r="F86" s="313"/>
      <c r="G86" s="263"/>
      <c r="H86" s="314"/>
      <c r="I86" s="313"/>
      <c r="J86" s="324"/>
      <c r="K86" s="313"/>
      <c r="L86" s="313"/>
    </row>
    <row r="87" spans="1:12" s="670" customFormat="1" x14ac:dyDescent="0.25">
      <c r="A87" s="634"/>
      <c r="B87" s="640"/>
      <c r="C87" s="313"/>
      <c r="D87" s="263"/>
      <c r="E87" s="263"/>
      <c r="F87" s="313"/>
      <c r="G87" s="263"/>
      <c r="H87" s="314"/>
      <c r="I87" s="313"/>
      <c r="J87" s="324"/>
      <c r="K87" s="313"/>
      <c r="L87" s="313"/>
    </row>
    <row r="88" spans="1:12" s="670" customFormat="1" x14ac:dyDescent="0.25">
      <c r="A88" s="634"/>
      <c r="B88" s="640"/>
      <c r="C88" s="313"/>
      <c r="D88" s="263"/>
      <c r="E88" s="263"/>
      <c r="F88" s="313"/>
      <c r="G88" s="263"/>
      <c r="H88" s="314"/>
      <c r="I88" s="313"/>
      <c r="J88" s="324"/>
      <c r="K88" s="313"/>
      <c r="L88" s="313"/>
    </row>
    <row r="89" spans="1:12" s="670" customFormat="1" x14ac:dyDescent="0.25">
      <c r="A89" s="634"/>
      <c r="B89" s="640"/>
      <c r="C89" s="313"/>
      <c r="D89" s="263"/>
      <c r="E89" s="263"/>
      <c r="F89" s="313"/>
      <c r="G89" s="263"/>
      <c r="H89" s="314"/>
      <c r="I89" s="313"/>
      <c r="J89" s="324"/>
      <c r="K89" s="313"/>
      <c r="L89" s="313"/>
    </row>
    <row r="90" spans="1:12" s="670" customFormat="1" x14ac:dyDescent="0.25">
      <c r="A90" s="634"/>
      <c r="B90" s="640"/>
      <c r="C90" s="313"/>
      <c r="D90" s="263"/>
      <c r="E90" s="263"/>
      <c r="F90" s="313"/>
      <c r="G90" s="263"/>
      <c r="H90" s="314"/>
      <c r="I90" s="313"/>
      <c r="J90" s="324"/>
      <c r="K90" s="313"/>
      <c r="L90" s="313"/>
    </row>
    <row r="91" spans="1:12" s="670" customFormat="1" x14ac:dyDescent="0.25">
      <c r="A91" s="634"/>
      <c r="B91" s="640"/>
      <c r="C91" s="313"/>
      <c r="D91" s="263"/>
      <c r="E91" s="263"/>
      <c r="F91" s="313"/>
      <c r="G91" s="263"/>
      <c r="H91" s="314"/>
      <c r="I91" s="313"/>
      <c r="J91" s="324"/>
      <c r="K91" s="313"/>
      <c r="L91" s="313"/>
    </row>
    <row r="92" spans="1:12" s="670" customFormat="1" x14ac:dyDescent="0.25">
      <c r="A92" s="634"/>
      <c r="B92" s="640"/>
      <c r="C92" s="313"/>
      <c r="D92" s="263"/>
      <c r="E92" s="263"/>
      <c r="F92" s="313"/>
      <c r="G92" s="263"/>
      <c r="H92" s="314"/>
      <c r="I92" s="313"/>
      <c r="J92" s="324"/>
      <c r="K92" s="313"/>
      <c r="L92" s="313"/>
    </row>
    <row r="93" spans="1:12" s="670" customFormat="1" x14ac:dyDescent="0.25">
      <c r="A93" s="634"/>
      <c r="B93" s="640"/>
      <c r="C93" s="313"/>
      <c r="D93" s="263"/>
      <c r="E93" s="263"/>
      <c r="F93" s="313"/>
      <c r="G93" s="263"/>
      <c r="H93" s="314"/>
      <c r="I93" s="313"/>
      <c r="J93" s="324"/>
      <c r="K93" s="313"/>
      <c r="L93" s="313"/>
    </row>
    <row r="94" spans="1:12" s="670" customFormat="1" x14ac:dyDescent="0.25">
      <c r="A94" s="634"/>
      <c r="B94" s="640"/>
      <c r="C94" s="313"/>
      <c r="D94" s="263"/>
      <c r="E94" s="263"/>
      <c r="F94" s="313"/>
      <c r="G94" s="263"/>
      <c r="H94" s="314"/>
      <c r="I94" s="313"/>
      <c r="J94" s="324"/>
      <c r="K94" s="313"/>
      <c r="L94" s="313"/>
    </row>
    <row r="95" spans="1:12" s="670" customFormat="1" x14ac:dyDescent="0.25">
      <c r="A95" s="634"/>
      <c r="B95" s="640"/>
      <c r="C95" s="313"/>
      <c r="D95" s="263"/>
      <c r="E95" s="263"/>
      <c r="F95" s="313"/>
      <c r="G95" s="263"/>
      <c r="H95" s="314"/>
      <c r="I95" s="313"/>
      <c r="J95" s="324"/>
      <c r="K95" s="313"/>
      <c r="L95" s="313"/>
    </row>
    <row r="96" spans="1:12" s="670" customFormat="1" x14ac:dyDescent="0.25">
      <c r="A96" s="634"/>
      <c r="B96" s="640"/>
      <c r="C96" s="313"/>
      <c r="D96" s="263"/>
      <c r="E96" s="263"/>
      <c r="F96" s="313"/>
      <c r="G96" s="263"/>
      <c r="H96" s="314"/>
      <c r="I96" s="313"/>
      <c r="J96" s="324"/>
      <c r="K96" s="313"/>
      <c r="L96" s="313"/>
    </row>
    <row r="97" spans="1:12" s="670" customFormat="1" x14ac:dyDescent="0.25">
      <c r="A97" s="634"/>
      <c r="B97" s="640"/>
      <c r="C97" s="313"/>
      <c r="D97" s="263"/>
      <c r="E97" s="263"/>
      <c r="F97" s="313"/>
      <c r="G97" s="263"/>
      <c r="H97" s="314"/>
      <c r="I97" s="313"/>
      <c r="J97" s="324"/>
      <c r="K97" s="313"/>
      <c r="L97" s="313"/>
    </row>
    <row r="98" spans="1:12" s="670" customFormat="1" x14ac:dyDescent="0.25">
      <c r="A98" s="634"/>
      <c r="B98" s="640"/>
      <c r="C98" s="313"/>
      <c r="D98" s="263"/>
      <c r="E98" s="263"/>
      <c r="F98" s="313"/>
      <c r="G98" s="263"/>
      <c r="H98" s="314"/>
      <c r="I98" s="313"/>
      <c r="J98" s="324"/>
      <c r="K98" s="313"/>
      <c r="L98" s="313"/>
    </row>
    <row r="99" spans="1:12" s="670" customFormat="1" x14ac:dyDescent="0.25">
      <c r="A99" s="634"/>
      <c r="B99" s="640"/>
      <c r="C99" s="313"/>
      <c r="D99" s="263"/>
      <c r="E99" s="263"/>
      <c r="F99" s="313"/>
      <c r="G99" s="263"/>
      <c r="H99" s="314"/>
      <c r="I99" s="313"/>
      <c r="J99" s="324"/>
      <c r="K99" s="313"/>
      <c r="L99" s="313"/>
    </row>
    <row r="100" spans="1:12" s="670" customFormat="1" x14ac:dyDescent="0.25">
      <c r="A100" s="634"/>
      <c r="B100" s="640"/>
      <c r="C100" s="313"/>
      <c r="D100" s="263"/>
      <c r="E100" s="263"/>
      <c r="F100" s="313"/>
      <c r="G100" s="263"/>
      <c r="H100" s="314"/>
      <c r="I100" s="313"/>
      <c r="J100" s="324"/>
      <c r="K100" s="313"/>
      <c r="L100" s="313"/>
    </row>
    <row r="101" spans="1:12" s="670" customFormat="1" x14ac:dyDescent="0.25">
      <c r="A101" s="634"/>
      <c r="B101" s="640"/>
      <c r="C101" s="313"/>
      <c r="D101" s="263"/>
      <c r="E101" s="263"/>
      <c r="F101" s="313"/>
      <c r="G101" s="263"/>
      <c r="H101" s="314"/>
      <c r="I101" s="313"/>
      <c r="J101" s="324"/>
      <c r="K101" s="313"/>
      <c r="L101" s="313"/>
    </row>
    <row r="102" spans="1:12" s="670" customFormat="1" x14ac:dyDescent="0.25">
      <c r="A102" s="634"/>
      <c r="B102" s="640"/>
      <c r="C102" s="313"/>
      <c r="D102" s="263"/>
      <c r="E102" s="263"/>
      <c r="F102" s="313"/>
      <c r="G102" s="263"/>
      <c r="H102" s="314"/>
      <c r="I102" s="313"/>
      <c r="J102" s="324"/>
      <c r="K102" s="313"/>
      <c r="L102" s="313"/>
    </row>
    <row r="103" spans="1:12" s="670" customFormat="1" x14ac:dyDescent="0.25">
      <c r="A103" s="634"/>
      <c r="B103" s="640"/>
      <c r="C103" s="313"/>
      <c r="D103" s="263"/>
      <c r="E103" s="263"/>
      <c r="F103" s="313"/>
      <c r="G103" s="263"/>
      <c r="H103" s="314"/>
      <c r="I103" s="313"/>
      <c r="J103" s="324"/>
      <c r="K103" s="313"/>
      <c r="L103" s="313"/>
    </row>
    <row r="104" spans="1:12" s="670" customFormat="1" x14ac:dyDescent="0.25">
      <c r="A104" s="634"/>
      <c r="B104" s="640"/>
      <c r="C104" s="313"/>
      <c r="D104" s="263"/>
      <c r="E104" s="263"/>
      <c r="F104" s="313"/>
      <c r="G104" s="263"/>
      <c r="H104" s="314"/>
      <c r="I104" s="313"/>
      <c r="J104" s="324"/>
      <c r="K104" s="313"/>
      <c r="L104" s="313"/>
    </row>
    <row r="105" spans="1:12" s="670" customFormat="1" x14ac:dyDescent="0.25">
      <c r="A105" s="634"/>
      <c r="B105" s="640"/>
      <c r="C105" s="313"/>
      <c r="D105" s="263"/>
      <c r="E105" s="263"/>
      <c r="F105" s="313"/>
      <c r="G105" s="263"/>
      <c r="H105" s="314"/>
      <c r="I105" s="313"/>
      <c r="J105" s="324"/>
      <c r="K105" s="313"/>
      <c r="L105" s="313"/>
    </row>
    <row r="106" spans="1:12" s="670" customFormat="1" x14ac:dyDescent="0.25">
      <c r="A106" s="634"/>
      <c r="B106" s="640"/>
      <c r="C106" s="313"/>
      <c r="D106" s="263"/>
      <c r="E106" s="263"/>
      <c r="F106" s="313"/>
      <c r="G106" s="263"/>
      <c r="H106" s="314"/>
      <c r="I106" s="313"/>
      <c r="J106" s="324"/>
      <c r="K106" s="313"/>
      <c r="L106" s="313"/>
    </row>
    <row r="107" spans="1:12" s="670" customFormat="1" x14ac:dyDescent="0.25">
      <c r="A107" s="634"/>
      <c r="B107" s="640"/>
      <c r="C107" s="313"/>
      <c r="D107" s="263"/>
      <c r="E107" s="263"/>
      <c r="F107" s="313"/>
      <c r="G107" s="263"/>
      <c r="H107" s="314"/>
      <c r="I107" s="313"/>
      <c r="J107" s="324"/>
      <c r="K107" s="313"/>
      <c r="L107" s="313"/>
    </row>
    <row r="108" spans="1:12" s="670" customFormat="1" x14ac:dyDescent="0.25">
      <c r="A108" s="634"/>
      <c r="B108" s="640"/>
      <c r="C108" s="313"/>
      <c r="D108" s="263"/>
      <c r="E108" s="263"/>
      <c r="F108" s="313"/>
      <c r="G108" s="263"/>
      <c r="H108" s="314"/>
      <c r="I108" s="313"/>
      <c r="J108" s="324"/>
      <c r="K108" s="313"/>
      <c r="L108" s="313"/>
    </row>
    <row r="109" spans="1:12" s="670" customFormat="1" x14ac:dyDescent="0.25">
      <c r="A109" s="634"/>
      <c r="B109" s="640"/>
      <c r="C109" s="313"/>
      <c r="D109" s="263"/>
      <c r="E109" s="263"/>
      <c r="F109" s="313"/>
      <c r="G109" s="263"/>
      <c r="H109" s="314"/>
      <c r="I109" s="313"/>
      <c r="J109" s="324"/>
      <c r="K109" s="313"/>
      <c r="L109" s="313"/>
    </row>
    <row r="110" spans="1:12" s="670" customFormat="1" x14ac:dyDescent="0.25">
      <c r="A110" s="634"/>
      <c r="B110" s="640"/>
      <c r="C110" s="313"/>
      <c r="D110" s="263"/>
      <c r="E110" s="263"/>
      <c r="F110" s="313"/>
      <c r="G110" s="263"/>
      <c r="H110" s="314"/>
      <c r="I110" s="313"/>
      <c r="J110" s="324"/>
      <c r="K110" s="313"/>
      <c r="L110" s="313"/>
    </row>
    <row r="111" spans="1:12" s="670" customFormat="1" x14ac:dyDescent="0.25">
      <c r="A111" s="634"/>
      <c r="B111" s="640"/>
      <c r="C111" s="313"/>
      <c r="D111" s="263"/>
      <c r="E111" s="263"/>
      <c r="F111" s="313"/>
      <c r="G111" s="263"/>
      <c r="H111" s="314"/>
      <c r="I111" s="313"/>
      <c r="J111" s="324"/>
      <c r="K111" s="313"/>
      <c r="L111" s="313"/>
    </row>
    <row r="112" spans="1:12" s="670" customFormat="1" x14ac:dyDescent="0.25">
      <c r="A112" s="634"/>
      <c r="B112" s="640"/>
      <c r="C112" s="313"/>
      <c r="D112" s="263"/>
      <c r="E112" s="263"/>
      <c r="F112" s="313"/>
      <c r="G112" s="263"/>
      <c r="H112" s="314"/>
      <c r="I112" s="313"/>
      <c r="J112" s="324"/>
      <c r="K112" s="313"/>
      <c r="L112" s="313"/>
    </row>
    <row r="113" spans="1:12" s="670" customFormat="1" x14ac:dyDescent="0.25">
      <c r="A113" s="634"/>
      <c r="B113" s="640"/>
      <c r="C113" s="313"/>
      <c r="D113" s="263"/>
      <c r="E113" s="263"/>
      <c r="F113" s="313"/>
      <c r="G113" s="263"/>
      <c r="H113" s="314"/>
      <c r="I113" s="313"/>
      <c r="J113" s="324"/>
      <c r="K113" s="313"/>
      <c r="L113" s="313"/>
    </row>
    <row r="114" spans="1:12" s="670" customFormat="1" x14ac:dyDescent="0.25">
      <c r="A114" s="634"/>
      <c r="B114" s="640"/>
      <c r="C114" s="313"/>
      <c r="D114" s="263"/>
      <c r="E114" s="263"/>
      <c r="F114" s="313"/>
      <c r="G114" s="263"/>
      <c r="H114" s="314"/>
      <c r="I114" s="313"/>
      <c r="J114" s="324"/>
      <c r="K114" s="313"/>
      <c r="L114" s="313"/>
    </row>
    <row r="115" spans="1:12" s="670" customFormat="1" x14ac:dyDescent="0.25">
      <c r="A115" s="634"/>
      <c r="B115" s="640"/>
      <c r="C115" s="313"/>
      <c r="D115" s="263"/>
      <c r="E115" s="263"/>
      <c r="F115" s="313"/>
      <c r="G115" s="263"/>
      <c r="H115" s="314"/>
      <c r="I115" s="313"/>
      <c r="J115" s="324"/>
      <c r="K115" s="313"/>
      <c r="L115" s="313"/>
    </row>
    <row r="116" spans="1:12" s="670" customFormat="1" x14ac:dyDescent="0.25">
      <c r="A116" s="634"/>
      <c r="B116" s="640"/>
      <c r="C116" s="313"/>
      <c r="D116" s="263"/>
      <c r="E116" s="263"/>
      <c r="F116" s="313"/>
      <c r="G116" s="263"/>
      <c r="H116" s="314"/>
      <c r="I116" s="313"/>
      <c r="J116" s="324"/>
      <c r="K116" s="313"/>
      <c r="L116" s="313"/>
    </row>
    <row r="117" spans="1:12" s="670" customFormat="1" x14ac:dyDescent="0.25">
      <c r="A117" s="634"/>
      <c r="B117" s="640"/>
      <c r="C117" s="313"/>
      <c r="D117" s="263"/>
      <c r="E117" s="263"/>
      <c r="F117" s="313"/>
      <c r="G117" s="263"/>
      <c r="H117" s="314"/>
      <c r="I117" s="313"/>
      <c r="J117" s="324"/>
      <c r="K117" s="313"/>
      <c r="L117" s="313"/>
    </row>
    <row r="118" spans="1:12" s="670" customFormat="1" x14ac:dyDescent="0.25">
      <c r="A118" s="634"/>
      <c r="B118" s="640"/>
      <c r="C118" s="313"/>
      <c r="D118" s="263"/>
      <c r="E118" s="263"/>
      <c r="F118" s="313"/>
      <c r="G118" s="263"/>
      <c r="H118" s="314"/>
      <c r="I118" s="313"/>
      <c r="J118" s="324"/>
      <c r="K118" s="313"/>
      <c r="L118" s="313"/>
    </row>
    <row r="119" spans="1:12" s="670" customFormat="1" x14ac:dyDescent="0.25">
      <c r="A119" s="634"/>
      <c r="B119" s="640"/>
      <c r="C119" s="313"/>
      <c r="D119" s="263"/>
      <c r="E119" s="263"/>
      <c r="F119" s="313"/>
      <c r="G119" s="263"/>
      <c r="H119" s="314"/>
      <c r="I119" s="313"/>
      <c r="J119" s="324"/>
      <c r="K119" s="313"/>
      <c r="L119" s="313"/>
    </row>
    <row r="120" spans="1:12" s="670" customFormat="1" x14ac:dyDescent="0.25">
      <c r="A120" s="634"/>
      <c r="B120" s="640"/>
      <c r="C120" s="313"/>
      <c r="D120" s="263"/>
      <c r="E120" s="263"/>
      <c r="F120" s="313"/>
      <c r="G120" s="263"/>
      <c r="H120" s="314"/>
      <c r="I120" s="313"/>
      <c r="J120" s="324"/>
      <c r="K120" s="313"/>
      <c r="L120" s="313"/>
    </row>
    <row r="121" spans="1:12" s="670" customFormat="1" x14ac:dyDescent="0.25">
      <c r="A121" s="634"/>
      <c r="B121" s="640"/>
      <c r="C121" s="313"/>
      <c r="D121" s="263"/>
      <c r="E121" s="263"/>
      <c r="F121" s="313"/>
      <c r="G121" s="263"/>
      <c r="H121" s="314"/>
      <c r="I121" s="313"/>
      <c r="J121" s="324"/>
      <c r="K121" s="313"/>
      <c r="L121" s="313"/>
    </row>
    <row r="122" spans="1:12" s="670" customFormat="1" x14ac:dyDescent="0.25">
      <c r="A122" s="634"/>
      <c r="B122" s="640"/>
      <c r="C122" s="313"/>
      <c r="D122" s="263"/>
      <c r="E122" s="263"/>
      <c r="F122" s="313"/>
      <c r="G122" s="263"/>
      <c r="H122" s="314"/>
      <c r="I122" s="313"/>
      <c r="J122" s="324"/>
      <c r="K122" s="313"/>
      <c r="L122" s="313"/>
    </row>
    <row r="123" spans="1:12" s="670" customFormat="1" x14ac:dyDescent="0.25">
      <c r="A123" s="634"/>
      <c r="B123" s="640"/>
      <c r="C123" s="313"/>
      <c r="D123" s="263"/>
      <c r="E123" s="263"/>
      <c r="F123" s="313"/>
      <c r="G123" s="263"/>
      <c r="H123" s="314"/>
      <c r="I123" s="313"/>
      <c r="J123" s="324"/>
      <c r="K123" s="313"/>
      <c r="L123" s="313"/>
    </row>
    <row r="124" spans="1:12" s="670" customFormat="1" x14ac:dyDescent="0.25">
      <c r="A124" s="634"/>
      <c r="B124" s="640"/>
      <c r="C124" s="313"/>
      <c r="D124" s="263"/>
      <c r="E124" s="263"/>
      <c r="F124" s="313"/>
      <c r="G124" s="263"/>
      <c r="H124" s="314"/>
      <c r="I124" s="313"/>
      <c r="J124" s="324"/>
      <c r="K124" s="313"/>
      <c r="L124" s="313"/>
    </row>
    <row r="125" spans="1:12" s="670" customFormat="1" x14ac:dyDescent="0.25">
      <c r="A125" s="634"/>
      <c r="B125" s="640"/>
      <c r="C125" s="313"/>
      <c r="D125" s="263"/>
      <c r="E125" s="263"/>
      <c r="F125" s="313"/>
      <c r="G125" s="263"/>
      <c r="H125" s="314"/>
      <c r="I125" s="313"/>
      <c r="J125" s="324"/>
      <c r="K125" s="313"/>
      <c r="L125" s="313"/>
    </row>
    <row r="126" spans="1:12" s="670" customFormat="1" x14ac:dyDescent="0.25">
      <c r="A126" s="634"/>
      <c r="B126" s="640"/>
      <c r="C126" s="313"/>
      <c r="D126" s="263"/>
      <c r="E126" s="263"/>
      <c r="F126" s="313"/>
      <c r="G126" s="263"/>
      <c r="H126" s="314"/>
      <c r="I126" s="313"/>
      <c r="J126" s="324"/>
      <c r="K126" s="313"/>
      <c r="L126" s="313"/>
    </row>
    <row r="127" spans="1:12" s="670" customFormat="1" x14ac:dyDescent="0.25">
      <c r="A127" s="634"/>
      <c r="B127" s="640"/>
      <c r="C127" s="313"/>
      <c r="D127" s="263"/>
      <c r="E127" s="263"/>
      <c r="F127" s="313"/>
      <c r="G127" s="263"/>
      <c r="H127" s="314"/>
      <c r="I127" s="313"/>
      <c r="J127" s="324"/>
      <c r="K127" s="313"/>
      <c r="L127" s="313"/>
    </row>
    <row r="128" spans="1:12" s="670" customFormat="1" x14ac:dyDescent="0.25">
      <c r="A128" s="634"/>
      <c r="B128" s="640"/>
      <c r="C128" s="313"/>
      <c r="D128" s="263"/>
      <c r="E128" s="263"/>
      <c r="F128" s="313"/>
      <c r="G128" s="263"/>
      <c r="H128" s="314"/>
      <c r="I128" s="313"/>
      <c r="J128" s="324"/>
      <c r="K128" s="313"/>
      <c r="L128" s="313"/>
    </row>
    <row r="129" spans="1:12" s="670" customFormat="1" x14ac:dyDescent="0.25">
      <c r="A129" s="634"/>
      <c r="B129" s="640"/>
      <c r="C129" s="313"/>
      <c r="D129" s="263"/>
      <c r="E129" s="263"/>
      <c r="F129" s="313"/>
      <c r="G129" s="263"/>
      <c r="H129" s="314"/>
      <c r="I129" s="313"/>
      <c r="J129" s="324"/>
      <c r="K129" s="313"/>
      <c r="L129" s="313"/>
    </row>
    <row r="130" spans="1:12" s="670" customFormat="1" x14ac:dyDescent="0.25">
      <c r="A130" s="634"/>
      <c r="B130" s="640"/>
      <c r="C130" s="313"/>
      <c r="D130" s="263"/>
      <c r="E130" s="263"/>
      <c r="F130" s="313"/>
      <c r="G130" s="263"/>
      <c r="H130" s="314"/>
      <c r="I130" s="313"/>
      <c r="J130" s="324"/>
      <c r="K130" s="313"/>
      <c r="L130" s="313"/>
    </row>
    <row r="131" spans="1:12" s="670" customFormat="1" x14ac:dyDescent="0.25">
      <c r="A131" s="634"/>
      <c r="B131" s="640"/>
      <c r="C131" s="313"/>
      <c r="D131" s="263"/>
      <c r="E131" s="263"/>
      <c r="F131" s="313"/>
      <c r="G131" s="263"/>
      <c r="H131" s="314"/>
      <c r="I131" s="313"/>
      <c r="J131" s="324"/>
      <c r="K131" s="313"/>
      <c r="L131" s="313"/>
    </row>
    <row r="132" spans="1:12" s="670" customFormat="1" x14ac:dyDescent="0.25">
      <c r="A132" s="634"/>
      <c r="B132" s="640"/>
      <c r="C132" s="313"/>
      <c r="D132" s="263"/>
      <c r="E132" s="263"/>
      <c r="F132" s="313"/>
      <c r="G132" s="263"/>
      <c r="H132" s="314"/>
      <c r="I132" s="313"/>
      <c r="J132" s="324"/>
      <c r="K132" s="313"/>
      <c r="L132" s="313"/>
    </row>
    <row r="133" spans="1:12" s="670" customFormat="1" x14ac:dyDescent="0.25">
      <c r="A133" s="634"/>
      <c r="B133" s="640"/>
      <c r="C133" s="313"/>
      <c r="D133" s="263"/>
      <c r="E133" s="263"/>
      <c r="F133" s="313"/>
      <c r="G133" s="263"/>
      <c r="H133" s="314"/>
      <c r="I133" s="313"/>
      <c r="J133" s="324"/>
      <c r="K133" s="313"/>
      <c r="L133" s="313"/>
    </row>
    <row r="134" spans="1:12" s="670" customFormat="1" x14ac:dyDescent="0.25">
      <c r="A134" s="634"/>
      <c r="B134" s="640"/>
      <c r="C134" s="313"/>
      <c r="D134" s="263"/>
      <c r="E134" s="263"/>
      <c r="F134" s="313"/>
      <c r="G134" s="263"/>
      <c r="H134" s="314"/>
      <c r="I134" s="313"/>
      <c r="J134" s="324"/>
      <c r="K134" s="313"/>
      <c r="L134" s="313"/>
    </row>
    <row r="135" spans="1:12" s="670" customFormat="1" x14ac:dyDescent="0.25">
      <c r="A135" s="634"/>
      <c r="B135" s="640"/>
      <c r="C135" s="313"/>
      <c r="D135" s="263"/>
      <c r="E135" s="263"/>
      <c r="F135" s="313"/>
      <c r="G135" s="263"/>
      <c r="H135" s="314"/>
      <c r="I135" s="313"/>
      <c r="J135" s="324"/>
      <c r="K135" s="313"/>
      <c r="L135" s="313"/>
    </row>
    <row r="136" spans="1:12" s="670" customFormat="1" x14ac:dyDescent="0.25">
      <c r="A136" s="634"/>
      <c r="B136" s="640"/>
      <c r="C136" s="313"/>
      <c r="D136" s="263"/>
      <c r="E136" s="263"/>
      <c r="F136" s="313"/>
      <c r="G136" s="263"/>
      <c r="H136" s="314"/>
      <c r="I136" s="313"/>
      <c r="J136" s="324"/>
      <c r="K136" s="313"/>
      <c r="L136" s="313"/>
    </row>
    <row r="137" spans="1:12" s="670" customFormat="1" x14ac:dyDescent="0.25">
      <c r="A137" s="634"/>
      <c r="B137" s="640"/>
      <c r="C137" s="313"/>
      <c r="D137" s="263"/>
      <c r="E137" s="263"/>
      <c r="F137" s="313"/>
      <c r="G137" s="263"/>
      <c r="H137" s="314"/>
      <c r="I137" s="313"/>
      <c r="J137" s="324"/>
      <c r="K137" s="313"/>
      <c r="L137" s="313"/>
    </row>
    <row r="138" spans="1:12" s="670" customFormat="1" x14ac:dyDescent="0.25">
      <c r="A138" s="634"/>
      <c r="B138" s="640"/>
      <c r="C138" s="313"/>
      <c r="D138" s="263"/>
      <c r="E138" s="263"/>
      <c r="F138" s="313"/>
      <c r="G138" s="263"/>
      <c r="H138" s="314"/>
      <c r="I138" s="313"/>
      <c r="J138" s="324"/>
      <c r="K138" s="313"/>
      <c r="L138" s="313"/>
    </row>
    <row r="139" spans="1:12" s="670" customFormat="1" x14ac:dyDescent="0.25">
      <c r="A139" s="634"/>
      <c r="B139" s="640"/>
      <c r="C139" s="313"/>
      <c r="D139" s="263"/>
      <c r="E139" s="263"/>
      <c r="F139" s="313"/>
      <c r="G139" s="263"/>
      <c r="H139" s="314"/>
      <c r="I139" s="313"/>
      <c r="J139" s="324"/>
      <c r="K139" s="313"/>
      <c r="L139" s="313"/>
    </row>
    <row r="140" spans="1:12" s="670" customFormat="1" x14ac:dyDescent="0.25">
      <c r="A140" s="634"/>
      <c r="B140" s="640"/>
      <c r="C140" s="313"/>
      <c r="D140" s="263"/>
      <c r="E140" s="263"/>
      <c r="F140" s="313"/>
      <c r="G140" s="263"/>
      <c r="H140" s="314"/>
      <c r="I140" s="313"/>
      <c r="J140" s="324"/>
      <c r="K140" s="313"/>
      <c r="L140" s="313"/>
    </row>
    <row r="141" spans="1:12" s="670" customFormat="1" x14ac:dyDescent="0.25">
      <c r="A141" s="634"/>
      <c r="B141" s="640"/>
      <c r="C141" s="313"/>
      <c r="D141" s="263"/>
      <c r="E141" s="263"/>
      <c r="F141" s="313"/>
      <c r="G141" s="263"/>
      <c r="H141" s="314"/>
      <c r="I141" s="313"/>
      <c r="J141" s="324"/>
      <c r="K141" s="313"/>
      <c r="L141" s="313"/>
    </row>
    <row r="142" spans="1:12" s="670" customFormat="1" x14ac:dyDescent="0.25">
      <c r="A142" s="634"/>
      <c r="B142" s="640"/>
      <c r="C142" s="313"/>
      <c r="D142" s="263"/>
      <c r="E142" s="263"/>
      <c r="F142" s="313"/>
      <c r="G142" s="263"/>
      <c r="H142" s="314"/>
      <c r="I142" s="313"/>
      <c r="J142" s="324"/>
      <c r="K142" s="313"/>
      <c r="L142" s="313"/>
    </row>
    <row r="143" spans="1:12" s="670" customFormat="1" x14ac:dyDescent="0.25">
      <c r="A143" s="634"/>
      <c r="B143" s="640"/>
      <c r="C143" s="313"/>
      <c r="D143" s="263"/>
      <c r="E143" s="263"/>
      <c r="F143" s="313"/>
      <c r="G143" s="263"/>
      <c r="H143" s="314"/>
      <c r="I143" s="313"/>
      <c r="J143" s="324"/>
      <c r="K143" s="313"/>
      <c r="L143" s="313"/>
    </row>
    <row r="144" spans="1:12" s="670" customFormat="1" x14ac:dyDescent="0.25">
      <c r="A144" s="634"/>
      <c r="B144" s="640"/>
      <c r="C144" s="313"/>
      <c r="D144" s="263"/>
      <c r="E144" s="263"/>
      <c r="F144" s="313"/>
      <c r="G144" s="263"/>
      <c r="H144" s="314"/>
      <c r="I144" s="313"/>
      <c r="J144" s="324"/>
      <c r="K144" s="313"/>
      <c r="L144" s="313"/>
    </row>
    <row r="145" spans="1:12" s="670" customFormat="1" x14ac:dyDescent="0.25">
      <c r="A145" s="634"/>
      <c r="B145" s="640"/>
      <c r="C145" s="313"/>
      <c r="D145" s="263"/>
      <c r="E145" s="263"/>
      <c r="F145" s="313"/>
      <c r="G145" s="263"/>
      <c r="H145" s="314"/>
      <c r="I145" s="313"/>
      <c r="J145" s="324"/>
      <c r="K145" s="313"/>
      <c r="L145" s="313"/>
    </row>
    <row r="146" spans="1:12" s="670" customFormat="1" x14ac:dyDescent="0.25">
      <c r="A146" s="634"/>
      <c r="B146" s="640"/>
      <c r="C146" s="313"/>
      <c r="D146" s="263"/>
      <c r="E146" s="263"/>
      <c r="F146" s="313"/>
      <c r="G146" s="263"/>
      <c r="H146" s="314"/>
      <c r="I146" s="313"/>
      <c r="J146" s="324"/>
      <c r="K146" s="313"/>
      <c r="L146" s="313"/>
    </row>
    <row r="147" spans="1:12" s="670" customFormat="1" x14ac:dyDescent="0.25">
      <c r="A147" s="634"/>
      <c r="B147" s="640"/>
      <c r="C147" s="313"/>
      <c r="D147" s="263"/>
      <c r="E147" s="263"/>
      <c r="F147" s="313"/>
      <c r="G147" s="263"/>
      <c r="H147" s="314"/>
      <c r="I147" s="313"/>
      <c r="J147" s="324"/>
      <c r="K147" s="313"/>
      <c r="L147" s="313"/>
    </row>
    <row r="148" spans="1:12" s="670" customFormat="1" x14ac:dyDescent="0.25">
      <c r="A148" s="634"/>
      <c r="B148" s="640"/>
      <c r="C148" s="313"/>
      <c r="D148" s="263"/>
      <c r="E148" s="263"/>
      <c r="F148" s="313"/>
      <c r="G148" s="263"/>
      <c r="H148" s="314"/>
      <c r="I148" s="313"/>
      <c r="J148" s="324"/>
      <c r="K148" s="313"/>
      <c r="L148" s="313"/>
    </row>
    <row r="149" spans="1:12" s="670" customFormat="1" x14ac:dyDescent="0.25">
      <c r="A149" s="634"/>
      <c r="B149" s="640"/>
      <c r="C149" s="313"/>
      <c r="D149" s="263"/>
      <c r="E149" s="263"/>
      <c r="F149" s="313"/>
      <c r="G149" s="263"/>
      <c r="H149" s="314"/>
      <c r="I149" s="313"/>
      <c r="J149" s="324"/>
      <c r="K149" s="313"/>
      <c r="L149" s="313"/>
    </row>
    <row r="150" spans="1:12" s="670" customFormat="1" x14ac:dyDescent="0.25">
      <c r="A150" s="634"/>
      <c r="B150" s="640"/>
      <c r="C150" s="313"/>
      <c r="D150" s="263"/>
      <c r="E150" s="263"/>
      <c r="F150" s="313"/>
      <c r="G150" s="263"/>
      <c r="H150" s="314"/>
      <c r="I150" s="313"/>
      <c r="J150" s="324"/>
      <c r="K150" s="313"/>
      <c r="L150" s="313"/>
    </row>
    <row r="151" spans="1:12" s="670" customFormat="1" x14ac:dyDescent="0.25">
      <c r="A151" s="634"/>
      <c r="B151" s="640"/>
      <c r="C151" s="313"/>
      <c r="D151" s="263"/>
      <c r="E151" s="263"/>
      <c r="F151" s="313"/>
      <c r="G151" s="263"/>
      <c r="H151" s="314"/>
      <c r="I151" s="313"/>
      <c r="J151" s="324"/>
      <c r="K151" s="313"/>
      <c r="L151" s="313"/>
    </row>
    <row r="152" spans="1:12" s="670" customFormat="1" x14ac:dyDescent="0.25">
      <c r="A152" s="634"/>
      <c r="B152" s="640"/>
      <c r="C152" s="313"/>
      <c r="D152" s="263"/>
      <c r="E152" s="263"/>
      <c r="F152" s="313"/>
      <c r="G152" s="263"/>
      <c r="H152" s="314"/>
      <c r="I152" s="313"/>
      <c r="J152" s="324"/>
      <c r="K152" s="313"/>
      <c r="L152" s="313"/>
    </row>
    <row r="153" spans="1:12" s="670" customFormat="1" x14ac:dyDescent="0.25">
      <c r="A153" s="634"/>
      <c r="B153" s="640"/>
      <c r="C153" s="313"/>
      <c r="D153" s="263"/>
      <c r="E153" s="263"/>
      <c r="F153" s="313"/>
      <c r="G153" s="263"/>
      <c r="H153" s="314"/>
      <c r="I153" s="313"/>
      <c r="J153" s="324"/>
      <c r="K153" s="313"/>
      <c r="L153" s="313"/>
    </row>
    <row r="154" spans="1:12" s="670" customFormat="1" x14ac:dyDescent="0.25">
      <c r="A154" s="634"/>
      <c r="B154" s="640"/>
      <c r="C154" s="313"/>
      <c r="D154" s="263"/>
      <c r="E154" s="263"/>
      <c r="F154" s="313"/>
      <c r="G154" s="263"/>
      <c r="H154" s="314"/>
      <c r="I154" s="313"/>
      <c r="J154" s="324"/>
      <c r="K154" s="313"/>
      <c r="L154" s="313"/>
    </row>
    <row r="155" spans="1:12" s="670" customFormat="1" x14ac:dyDescent="0.25">
      <c r="A155" s="634"/>
      <c r="B155" s="640"/>
      <c r="C155" s="313"/>
      <c r="D155" s="263"/>
      <c r="E155" s="263"/>
      <c r="F155" s="313"/>
      <c r="G155" s="263"/>
      <c r="H155" s="314"/>
      <c r="I155" s="313"/>
      <c r="J155" s="324"/>
      <c r="K155" s="313"/>
      <c r="L155" s="313"/>
    </row>
    <row r="156" spans="1:12" s="670" customFormat="1" x14ac:dyDescent="0.25">
      <c r="A156" s="634"/>
      <c r="B156" s="640"/>
      <c r="C156" s="313"/>
      <c r="D156" s="263"/>
      <c r="E156" s="263"/>
      <c r="F156" s="313"/>
      <c r="G156" s="263"/>
      <c r="H156" s="314"/>
      <c r="I156" s="313"/>
      <c r="J156" s="324"/>
      <c r="K156" s="313"/>
      <c r="L156" s="313"/>
    </row>
    <row r="157" spans="1:12" s="670" customFormat="1" x14ac:dyDescent="0.25">
      <c r="A157" s="634"/>
      <c r="B157" s="640"/>
      <c r="C157" s="313"/>
      <c r="D157" s="263"/>
      <c r="E157" s="263"/>
      <c r="F157" s="313"/>
      <c r="G157" s="263"/>
      <c r="H157" s="314"/>
      <c r="I157" s="313"/>
      <c r="J157" s="324"/>
      <c r="K157" s="313"/>
      <c r="L157" s="313"/>
    </row>
    <row r="158" spans="1:12" s="670" customFormat="1" x14ac:dyDescent="0.25">
      <c r="A158" s="634"/>
      <c r="B158" s="640"/>
      <c r="C158" s="313"/>
      <c r="D158" s="263"/>
      <c r="E158" s="263"/>
      <c r="F158" s="313"/>
      <c r="G158" s="263"/>
      <c r="H158" s="314"/>
      <c r="I158" s="313"/>
      <c r="J158" s="324"/>
      <c r="K158" s="313"/>
      <c r="L158" s="313"/>
    </row>
    <row r="159" spans="1:12" s="670" customFormat="1" x14ac:dyDescent="0.25">
      <c r="A159" s="634"/>
      <c r="B159" s="640"/>
      <c r="C159" s="313"/>
      <c r="D159" s="263"/>
      <c r="E159" s="263"/>
      <c r="F159" s="313"/>
      <c r="G159" s="263"/>
      <c r="H159" s="314"/>
      <c r="I159" s="313"/>
      <c r="J159" s="324"/>
      <c r="K159" s="313"/>
      <c r="L159" s="313"/>
    </row>
    <row r="160" spans="1:12" s="670" customFormat="1" x14ac:dyDescent="0.25">
      <c r="A160" s="634"/>
      <c r="B160" s="640"/>
      <c r="C160" s="313"/>
      <c r="D160" s="263"/>
      <c r="E160" s="263"/>
      <c r="F160" s="313"/>
      <c r="G160" s="263"/>
      <c r="H160" s="314"/>
      <c r="I160" s="313"/>
      <c r="J160" s="324"/>
      <c r="K160" s="313"/>
      <c r="L160" s="313"/>
    </row>
    <row r="161" spans="1:12" s="670" customFormat="1" x14ac:dyDescent="0.25">
      <c r="A161" s="634"/>
      <c r="B161" s="640"/>
      <c r="C161" s="313"/>
      <c r="D161" s="263"/>
      <c r="E161" s="263"/>
      <c r="F161" s="313"/>
      <c r="G161" s="263"/>
      <c r="H161" s="314"/>
      <c r="I161" s="313"/>
      <c r="J161" s="324"/>
      <c r="K161" s="313"/>
      <c r="L161" s="313"/>
    </row>
    <row r="162" spans="1:12" s="670" customFormat="1" x14ac:dyDescent="0.25">
      <c r="A162" s="634"/>
      <c r="B162" s="640"/>
      <c r="C162" s="313"/>
      <c r="D162" s="263"/>
      <c r="E162" s="263"/>
      <c r="F162" s="313"/>
      <c r="G162" s="263"/>
      <c r="H162" s="314"/>
      <c r="I162" s="313"/>
      <c r="J162" s="324"/>
      <c r="K162" s="313"/>
      <c r="L162" s="313"/>
    </row>
    <row r="163" spans="1:12" s="670" customFormat="1" x14ac:dyDescent="0.25">
      <c r="A163" s="634"/>
      <c r="B163" s="640"/>
      <c r="C163" s="313"/>
      <c r="D163" s="263"/>
      <c r="E163" s="263"/>
      <c r="F163" s="313"/>
      <c r="G163" s="263"/>
      <c r="H163" s="314"/>
      <c r="I163" s="313"/>
      <c r="J163" s="324"/>
      <c r="K163" s="313"/>
      <c r="L163" s="313"/>
    </row>
    <row r="164" spans="1:12" s="670" customFormat="1" x14ac:dyDescent="0.25">
      <c r="A164" s="634"/>
      <c r="B164" s="640"/>
      <c r="C164" s="313"/>
      <c r="D164" s="263"/>
      <c r="E164" s="263"/>
      <c r="F164" s="313"/>
      <c r="G164" s="263"/>
      <c r="H164" s="314"/>
      <c r="I164" s="313"/>
      <c r="J164" s="324"/>
      <c r="K164" s="313"/>
      <c r="L164" s="313"/>
    </row>
    <row r="165" spans="1:12" s="670" customFormat="1" x14ac:dyDescent="0.25">
      <c r="A165" s="634"/>
      <c r="B165" s="640"/>
      <c r="C165" s="313"/>
      <c r="D165" s="263"/>
      <c r="E165" s="263"/>
      <c r="F165" s="313"/>
      <c r="G165" s="263"/>
      <c r="H165" s="314"/>
      <c r="I165" s="313"/>
      <c r="J165" s="324"/>
      <c r="K165" s="313"/>
      <c r="L165" s="313"/>
    </row>
    <row r="166" spans="1:12" s="670" customFormat="1" x14ac:dyDescent="0.25">
      <c r="A166" s="634"/>
      <c r="B166" s="640"/>
      <c r="C166" s="313"/>
      <c r="D166" s="263"/>
      <c r="E166" s="263"/>
      <c r="F166" s="313"/>
      <c r="G166" s="263"/>
      <c r="H166" s="314"/>
      <c r="I166" s="313"/>
      <c r="J166" s="324"/>
      <c r="K166" s="313"/>
      <c r="L166" s="313"/>
    </row>
    <row r="167" spans="1:12" s="670" customFormat="1" x14ac:dyDescent="0.25">
      <c r="A167" s="634"/>
      <c r="B167" s="640"/>
      <c r="C167" s="313"/>
      <c r="D167" s="263"/>
      <c r="E167" s="263"/>
      <c r="F167" s="313"/>
      <c r="G167" s="263"/>
      <c r="H167" s="314"/>
      <c r="I167" s="313"/>
      <c r="J167" s="324"/>
      <c r="K167" s="313"/>
      <c r="L167" s="313"/>
    </row>
    <row r="168" spans="1:12" s="670" customFormat="1" x14ac:dyDescent="0.25">
      <c r="A168" s="634"/>
      <c r="B168" s="640"/>
      <c r="C168" s="313"/>
      <c r="D168" s="263"/>
      <c r="E168" s="263"/>
      <c r="F168" s="313"/>
      <c r="G168" s="263"/>
      <c r="H168" s="314"/>
      <c r="I168" s="313"/>
      <c r="J168" s="324"/>
      <c r="K168" s="313"/>
      <c r="L168" s="313"/>
    </row>
    <row r="169" spans="1:12" s="670" customFormat="1" x14ac:dyDescent="0.25">
      <c r="A169" s="634"/>
      <c r="B169" s="640"/>
      <c r="C169" s="313"/>
      <c r="D169" s="263"/>
      <c r="E169" s="263"/>
      <c r="F169" s="313"/>
      <c r="G169" s="263"/>
      <c r="H169" s="314"/>
      <c r="I169" s="313"/>
      <c r="J169" s="324"/>
      <c r="K169" s="313"/>
      <c r="L169" s="313"/>
    </row>
    <row r="170" spans="1:12" s="670" customFormat="1" x14ac:dyDescent="0.25">
      <c r="A170" s="634"/>
      <c r="B170" s="640"/>
      <c r="C170" s="313"/>
      <c r="D170" s="263"/>
      <c r="E170" s="263"/>
      <c r="F170" s="313"/>
      <c r="G170" s="263"/>
      <c r="H170" s="314"/>
      <c r="I170" s="313"/>
      <c r="J170" s="324"/>
      <c r="K170" s="313"/>
      <c r="L170" s="313"/>
    </row>
    <row r="171" spans="1:12" s="670" customFormat="1" x14ac:dyDescent="0.25">
      <c r="A171" s="634"/>
      <c r="B171" s="640"/>
      <c r="C171" s="313"/>
      <c r="D171" s="263"/>
      <c r="E171" s="263"/>
      <c r="F171" s="313"/>
      <c r="G171" s="263"/>
      <c r="H171" s="314"/>
      <c r="I171" s="313"/>
      <c r="J171" s="324"/>
      <c r="K171" s="313"/>
      <c r="L171" s="313"/>
    </row>
    <row r="172" spans="1:12" s="670" customFormat="1" x14ac:dyDescent="0.25">
      <c r="A172" s="634"/>
      <c r="B172" s="640"/>
      <c r="C172" s="313"/>
      <c r="D172" s="263"/>
      <c r="E172" s="263"/>
      <c r="F172" s="313"/>
      <c r="G172" s="263"/>
      <c r="H172" s="314"/>
      <c r="I172" s="313"/>
      <c r="J172" s="324"/>
      <c r="K172" s="313"/>
      <c r="L172" s="313"/>
    </row>
    <row r="173" spans="1:12" s="670" customFormat="1" x14ac:dyDescent="0.25">
      <c r="A173" s="634"/>
      <c r="B173" s="640"/>
      <c r="C173" s="313"/>
      <c r="D173" s="263"/>
      <c r="E173" s="263"/>
      <c r="F173" s="313"/>
      <c r="G173" s="263"/>
      <c r="H173" s="314"/>
      <c r="I173" s="313"/>
      <c r="J173" s="324"/>
      <c r="K173" s="313"/>
      <c r="L173" s="313"/>
    </row>
    <row r="174" spans="1:12" s="670" customFormat="1" x14ac:dyDescent="0.25">
      <c r="A174" s="634"/>
      <c r="B174" s="640"/>
      <c r="C174" s="313"/>
      <c r="D174" s="263"/>
      <c r="E174" s="263"/>
      <c r="F174" s="313"/>
      <c r="G174" s="263"/>
      <c r="H174" s="314"/>
      <c r="I174" s="313"/>
      <c r="J174" s="324"/>
      <c r="K174" s="313"/>
      <c r="L174" s="313"/>
    </row>
    <row r="175" spans="1:12" s="670" customFormat="1" x14ac:dyDescent="0.25">
      <c r="A175" s="634"/>
      <c r="B175" s="640"/>
      <c r="C175" s="313"/>
      <c r="D175" s="263"/>
      <c r="E175" s="263"/>
      <c r="F175" s="313"/>
      <c r="G175" s="263"/>
      <c r="H175" s="314"/>
      <c r="I175" s="313"/>
      <c r="J175" s="324"/>
      <c r="K175" s="313"/>
      <c r="L175" s="313"/>
    </row>
    <row r="176" spans="1:12" s="670" customFormat="1" x14ac:dyDescent="0.25">
      <c r="A176" s="634"/>
      <c r="B176" s="640"/>
      <c r="C176" s="313"/>
      <c r="D176" s="263"/>
      <c r="E176" s="263"/>
      <c r="F176" s="313"/>
      <c r="G176" s="263"/>
      <c r="H176" s="314"/>
      <c r="I176" s="313"/>
      <c r="J176" s="324"/>
      <c r="K176" s="313"/>
      <c r="L176" s="313"/>
    </row>
    <row r="177" spans="1:12" s="670" customFormat="1" x14ac:dyDescent="0.25">
      <c r="A177" s="634"/>
      <c r="B177" s="640"/>
      <c r="C177" s="313"/>
      <c r="D177" s="263"/>
      <c r="E177" s="263"/>
      <c r="F177" s="313"/>
      <c r="G177" s="263"/>
      <c r="H177" s="314"/>
      <c r="I177" s="313"/>
      <c r="J177" s="324"/>
      <c r="K177" s="313"/>
      <c r="L177" s="313"/>
    </row>
    <row r="178" spans="1:12" s="670" customFormat="1" x14ac:dyDescent="0.25">
      <c r="A178" s="634"/>
      <c r="B178" s="640"/>
      <c r="C178" s="313"/>
      <c r="D178" s="263"/>
      <c r="E178" s="263"/>
      <c r="F178" s="313"/>
      <c r="G178" s="263"/>
      <c r="H178" s="314"/>
      <c r="I178" s="313"/>
      <c r="J178" s="324"/>
      <c r="K178" s="313"/>
      <c r="L178" s="313"/>
    </row>
    <row r="179" spans="1:12" s="670" customFormat="1" x14ac:dyDescent="0.25">
      <c r="A179" s="634"/>
      <c r="B179" s="640"/>
      <c r="C179" s="313"/>
      <c r="D179" s="263"/>
      <c r="E179" s="263"/>
      <c r="F179" s="313"/>
      <c r="G179" s="263"/>
      <c r="H179" s="314"/>
      <c r="I179" s="313"/>
      <c r="J179" s="324"/>
      <c r="K179" s="313"/>
      <c r="L179" s="313"/>
    </row>
    <row r="180" spans="1:12" s="670" customFormat="1" x14ac:dyDescent="0.25">
      <c r="A180" s="634"/>
      <c r="B180" s="640"/>
      <c r="C180" s="313"/>
      <c r="D180" s="263"/>
      <c r="E180" s="263"/>
      <c r="F180" s="313"/>
      <c r="G180" s="263"/>
      <c r="H180" s="314"/>
      <c r="I180" s="313"/>
      <c r="J180" s="324"/>
      <c r="K180" s="313"/>
      <c r="L180" s="313"/>
    </row>
    <row r="181" spans="1:12" s="670" customFormat="1" x14ac:dyDescent="0.25">
      <c r="A181" s="634"/>
      <c r="B181" s="640"/>
      <c r="C181" s="313"/>
      <c r="D181" s="263"/>
      <c r="E181" s="263"/>
      <c r="F181" s="313"/>
      <c r="G181" s="263"/>
      <c r="H181" s="314"/>
      <c r="I181" s="313"/>
      <c r="J181" s="324"/>
      <c r="K181" s="313"/>
      <c r="L181" s="313"/>
    </row>
    <row r="182" spans="1:12" s="670" customFormat="1" x14ac:dyDescent="0.25">
      <c r="A182" s="634"/>
      <c r="B182" s="640"/>
      <c r="C182" s="313"/>
      <c r="D182" s="263"/>
      <c r="E182" s="263"/>
      <c r="F182" s="313"/>
      <c r="G182" s="263"/>
      <c r="H182" s="314"/>
      <c r="I182" s="313"/>
      <c r="J182" s="324"/>
      <c r="K182" s="313"/>
      <c r="L182" s="313"/>
    </row>
    <row r="183" spans="1:12" s="670" customFormat="1" x14ac:dyDescent="0.25">
      <c r="A183" s="634"/>
      <c r="B183" s="640"/>
      <c r="C183" s="313"/>
      <c r="D183" s="263"/>
      <c r="E183" s="263"/>
      <c r="F183" s="313"/>
      <c r="G183" s="263"/>
      <c r="H183" s="314"/>
      <c r="I183" s="313"/>
      <c r="J183" s="324"/>
      <c r="K183" s="313"/>
      <c r="L183" s="313"/>
    </row>
    <row r="184" spans="1:12" s="670" customFormat="1" x14ac:dyDescent="0.25">
      <c r="A184" s="634"/>
      <c r="B184" s="640"/>
      <c r="C184" s="313"/>
      <c r="D184" s="263"/>
      <c r="E184" s="263"/>
      <c r="F184" s="313"/>
      <c r="G184" s="263"/>
      <c r="H184" s="314"/>
      <c r="I184" s="313"/>
      <c r="J184" s="324"/>
      <c r="K184" s="313"/>
      <c r="L184" s="313"/>
    </row>
    <row r="185" spans="1:12" s="670" customFormat="1" x14ac:dyDescent="0.25">
      <c r="A185" s="634"/>
      <c r="B185" s="640"/>
      <c r="C185" s="313"/>
      <c r="D185" s="263"/>
      <c r="E185" s="263"/>
      <c r="F185" s="313"/>
      <c r="G185" s="263"/>
      <c r="H185" s="314"/>
      <c r="I185" s="313"/>
      <c r="J185" s="324"/>
      <c r="K185" s="313"/>
      <c r="L185" s="313"/>
    </row>
    <row r="186" spans="1:12" s="670" customFormat="1" x14ac:dyDescent="0.25">
      <c r="A186" s="634"/>
      <c r="B186" s="640"/>
      <c r="C186" s="313"/>
      <c r="D186" s="263"/>
      <c r="E186" s="263"/>
      <c r="F186" s="313"/>
      <c r="G186" s="263"/>
      <c r="H186" s="314"/>
      <c r="I186" s="313"/>
      <c r="J186" s="324"/>
      <c r="K186" s="313"/>
      <c r="L186" s="313"/>
    </row>
    <row r="187" spans="1:12" s="670" customFormat="1" x14ac:dyDescent="0.25">
      <c r="A187" s="634"/>
      <c r="B187" s="640"/>
      <c r="C187" s="313"/>
      <c r="D187" s="263"/>
      <c r="E187" s="263"/>
      <c r="F187" s="313"/>
      <c r="G187" s="263"/>
      <c r="H187" s="314"/>
      <c r="I187" s="313"/>
      <c r="J187" s="324"/>
      <c r="K187" s="313"/>
      <c r="L187" s="313"/>
    </row>
    <row r="188" spans="1:12" s="670" customFormat="1" x14ac:dyDescent="0.25">
      <c r="A188" s="634"/>
      <c r="B188" s="640"/>
      <c r="C188" s="313"/>
      <c r="D188" s="263"/>
      <c r="E188" s="263"/>
      <c r="F188" s="313"/>
      <c r="G188" s="263"/>
      <c r="H188" s="314"/>
      <c r="I188" s="313"/>
      <c r="J188" s="324"/>
      <c r="K188" s="313"/>
      <c r="L188" s="313"/>
    </row>
    <row r="189" spans="1:12" s="670" customFormat="1" x14ac:dyDescent="0.25">
      <c r="A189" s="634"/>
      <c r="B189" s="640"/>
      <c r="C189" s="313"/>
      <c r="D189" s="263"/>
      <c r="E189" s="263"/>
      <c r="F189" s="313"/>
      <c r="G189" s="263"/>
      <c r="H189" s="314"/>
      <c r="I189" s="313"/>
      <c r="J189" s="324"/>
      <c r="K189" s="313"/>
      <c r="L189" s="313"/>
    </row>
    <row r="190" spans="1:12" s="670" customFormat="1" x14ac:dyDescent="0.25">
      <c r="A190" s="634"/>
      <c r="B190" s="640"/>
      <c r="C190" s="313"/>
      <c r="D190" s="263"/>
      <c r="E190" s="263"/>
      <c r="F190" s="313"/>
      <c r="G190" s="263"/>
      <c r="H190" s="314"/>
      <c r="I190" s="313"/>
      <c r="J190" s="324"/>
      <c r="K190" s="313"/>
      <c r="L190" s="313"/>
    </row>
    <row r="191" spans="1:12" s="670" customFormat="1" x14ac:dyDescent="0.25">
      <c r="A191" s="634"/>
      <c r="B191" s="640"/>
      <c r="C191" s="313"/>
      <c r="D191" s="263"/>
      <c r="E191" s="263"/>
      <c r="F191" s="313"/>
      <c r="G191" s="263"/>
      <c r="H191" s="314"/>
      <c r="I191" s="313"/>
      <c r="J191" s="324"/>
      <c r="K191" s="313"/>
      <c r="L191" s="313"/>
    </row>
    <row r="192" spans="1:12" s="670" customFormat="1" x14ac:dyDescent="0.25">
      <c r="A192" s="634"/>
      <c r="B192" s="640"/>
      <c r="C192" s="313"/>
      <c r="D192" s="263"/>
      <c r="E192" s="263"/>
      <c r="F192" s="313"/>
      <c r="G192" s="263"/>
      <c r="H192" s="314"/>
      <c r="I192" s="313"/>
      <c r="J192" s="324"/>
      <c r="K192" s="313"/>
      <c r="L192" s="313"/>
    </row>
  </sheetData>
  <conditionalFormatting sqref="G51 G3:G49">
    <cfRule type="cellIs" dxfId="26" priority="1" operator="between">
      <formula>214</formula>
      <formula>225</formula>
    </cfRule>
    <cfRule type="cellIs" dxfId="25" priority="2" operator="between">
      <formula>192</formula>
      <formula>213</formula>
    </cfRule>
    <cfRule type="cellIs" dxfId="24" priority="3" operator="between">
      <formula>169</formula>
      <formula>191</formula>
    </cfRule>
    <cfRule type="cellIs" dxfId="23" priority="4" operator="between">
      <formula>158</formula>
      <formula>168</formula>
    </cfRule>
  </conditionalFormatting>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7"/>
  <sheetViews>
    <sheetView topLeftCell="A9" workbookViewId="0">
      <selection activeCell="B11" sqref="B11"/>
    </sheetView>
  </sheetViews>
  <sheetFormatPr defaultRowHeight="15" x14ac:dyDescent="0.25"/>
  <cols>
    <col min="1" max="1" width="12.28515625" customWidth="1"/>
    <col min="2" max="2" width="11.7109375" customWidth="1"/>
    <col min="3" max="3" width="12.140625" customWidth="1"/>
    <col min="4" max="4" width="14.28515625" customWidth="1"/>
    <col min="5" max="5" width="12.7109375" customWidth="1"/>
    <col min="6" max="6" width="12.140625" customWidth="1"/>
  </cols>
  <sheetData>
    <row r="1" spans="1:15" ht="45" x14ac:dyDescent="0.25">
      <c r="A1" s="481" t="s">
        <v>2547</v>
      </c>
      <c r="B1" s="481" t="s">
        <v>2548</v>
      </c>
      <c r="C1" s="481" t="s">
        <v>2549</v>
      </c>
      <c r="D1" s="481" t="s">
        <v>2550</v>
      </c>
      <c r="E1" s="481" t="s">
        <v>2551</v>
      </c>
      <c r="F1" s="481" t="s">
        <v>2552</v>
      </c>
      <c r="J1" t="s">
        <v>40</v>
      </c>
      <c r="K1" t="s">
        <v>1040</v>
      </c>
      <c r="L1" t="s">
        <v>1039</v>
      </c>
      <c r="M1">
        <v>27000000</v>
      </c>
      <c r="N1">
        <v>54600000</v>
      </c>
      <c r="O1" t="s">
        <v>1766</v>
      </c>
    </row>
    <row r="2" spans="1:15" x14ac:dyDescent="0.25">
      <c r="A2" s="482" t="s">
        <v>1772</v>
      </c>
      <c r="B2" s="483">
        <v>5842148.3300000001</v>
      </c>
      <c r="C2" s="483">
        <v>115012257.84</v>
      </c>
      <c r="D2" s="484">
        <v>5.0795875498134642E-2</v>
      </c>
      <c r="E2" s="483">
        <v>-2379503.1704750508</v>
      </c>
      <c r="F2" s="483">
        <v>0</v>
      </c>
      <c r="J2">
        <v>0</v>
      </c>
      <c r="M2">
        <v>7</v>
      </c>
      <c r="N2">
        <v>4</v>
      </c>
      <c r="O2">
        <v>0</v>
      </c>
    </row>
    <row r="3" spans="1:15" x14ac:dyDescent="0.25">
      <c r="A3" s="357" t="s">
        <v>1880</v>
      </c>
      <c r="B3" s="479">
        <v>1552000</v>
      </c>
      <c r="C3" s="479">
        <v>120853716.30000001</v>
      </c>
      <c r="D3" s="484">
        <v>1.2841971662231787E-2</v>
      </c>
      <c r="E3" s="479">
        <v>2086512.4821995797</v>
      </c>
      <c r="F3" s="479">
        <v>2086512.4821995797</v>
      </c>
      <c r="J3" t="s">
        <v>470</v>
      </c>
      <c r="K3" t="s">
        <v>470</v>
      </c>
      <c r="L3">
        <v>1665958</v>
      </c>
      <c r="M3" t="s">
        <v>1316</v>
      </c>
      <c r="N3" t="s">
        <v>1086</v>
      </c>
      <c r="O3" t="s">
        <v>1767</v>
      </c>
    </row>
    <row r="4" spans="1:15" x14ac:dyDescent="0.25">
      <c r="A4" s="485" t="s">
        <v>1773</v>
      </c>
      <c r="B4" s="486">
        <v>1244426.1599999999</v>
      </c>
      <c r="C4" s="486">
        <v>73721747.960000008</v>
      </c>
      <c r="D4" s="484">
        <v>1.6880041431942192E-2</v>
      </c>
      <c r="E4" s="486">
        <v>975095.98937416379</v>
      </c>
      <c r="F4" s="486">
        <v>975095.98937416379</v>
      </c>
      <c r="J4" t="s">
        <v>959</v>
      </c>
      <c r="K4" t="s">
        <v>959</v>
      </c>
      <c r="L4">
        <v>8982230</v>
      </c>
      <c r="M4" t="s">
        <v>1316</v>
      </c>
      <c r="N4" t="s">
        <v>1086</v>
      </c>
      <c r="O4" t="s">
        <v>1768</v>
      </c>
    </row>
    <row r="5" spans="1:15" x14ac:dyDescent="0.25">
      <c r="A5" s="357" t="s">
        <v>1774</v>
      </c>
      <c r="B5" s="479">
        <v>1054453.6599999997</v>
      </c>
      <c r="C5" s="479">
        <v>102180055.17</v>
      </c>
      <c r="D5" s="484">
        <v>1.0319564402717083E-2</v>
      </c>
      <c r="E5" s="479">
        <v>2021855.5967628942</v>
      </c>
      <c r="F5" s="479">
        <v>2021855.5967628942</v>
      </c>
      <c r="G5" s="314">
        <f>C5*D$46</f>
        <v>3076309.2567628943</v>
      </c>
      <c r="H5" s="314">
        <f>G5-B5</f>
        <v>2021855.5967628947</v>
      </c>
      <c r="J5" t="s">
        <v>1007</v>
      </c>
      <c r="K5" t="s">
        <v>1007</v>
      </c>
      <c r="L5">
        <v>3135426</v>
      </c>
      <c r="M5" t="s">
        <v>1316</v>
      </c>
      <c r="N5" t="s">
        <v>1086</v>
      </c>
      <c r="O5" t="s">
        <v>1769</v>
      </c>
    </row>
    <row r="6" spans="1:15" x14ac:dyDescent="0.25">
      <c r="A6" s="485" t="s">
        <v>1776</v>
      </c>
      <c r="B6" s="486">
        <v>11930000</v>
      </c>
      <c r="C6" s="486">
        <v>226926750.54999998</v>
      </c>
      <c r="D6" s="484">
        <v>5.2572030274462507E-2</v>
      </c>
      <c r="E6" s="486">
        <v>-5097973.3176631732</v>
      </c>
      <c r="F6" s="486">
        <v>0</v>
      </c>
      <c r="J6" t="s">
        <v>226</v>
      </c>
      <c r="K6" t="s">
        <v>1145</v>
      </c>
      <c r="L6">
        <v>6152074</v>
      </c>
      <c r="M6" t="s">
        <v>1124</v>
      </c>
      <c r="N6" t="s">
        <v>1770</v>
      </c>
      <c r="O6">
        <v>0</v>
      </c>
    </row>
    <row r="7" spans="1:15" x14ac:dyDescent="0.25">
      <c r="A7" s="357" t="s">
        <v>1777</v>
      </c>
      <c r="B7" s="479">
        <v>5333267</v>
      </c>
      <c r="C7" s="479">
        <v>123595167.43000002</v>
      </c>
      <c r="D7" s="484">
        <v>4.3151096526654859E-2</v>
      </c>
      <c r="E7" s="479">
        <v>-1612218.3371910928</v>
      </c>
      <c r="F7" s="479">
        <v>0</v>
      </c>
      <c r="J7" t="s">
        <v>219</v>
      </c>
      <c r="K7" t="s">
        <v>1145</v>
      </c>
      <c r="L7">
        <v>3673053</v>
      </c>
      <c r="M7" t="s">
        <v>1282</v>
      </c>
      <c r="N7" t="s">
        <v>1770</v>
      </c>
      <c r="O7">
        <v>0</v>
      </c>
    </row>
    <row r="8" spans="1:15" x14ac:dyDescent="0.25">
      <c r="A8" s="485" t="s">
        <v>1881</v>
      </c>
      <c r="B8" s="486">
        <v>763977</v>
      </c>
      <c r="C8" s="486">
        <v>63355513.25</v>
      </c>
      <c r="D8" s="484">
        <v>1.2058571713962084E-2</v>
      </c>
      <c r="E8" s="486">
        <v>1143451.5246144792</v>
      </c>
      <c r="F8" s="486">
        <v>1143451.5246144792</v>
      </c>
      <c r="J8" t="s">
        <v>231</v>
      </c>
      <c r="K8" t="s">
        <v>1145</v>
      </c>
      <c r="L8">
        <v>7365832</v>
      </c>
      <c r="M8" t="s">
        <v>1451</v>
      </c>
      <c r="N8" t="s">
        <v>1770</v>
      </c>
      <c r="O8">
        <v>0</v>
      </c>
    </row>
    <row r="9" spans="1:15" x14ac:dyDescent="0.25">
      <c r="A9" s="357" t="s">
        <v>1879</v>
      </c>
      <c r="B9" s="479">
        <v>35766850.68</v>
      </c>
      <c r="C9" s="479">
        <v>1706083796.6700001</v>
      </c>
      <c r="D9" s="484">
        <v>2.096429891064619E-2</v>
      </c>
      <c r="E9" s="479">
        <v>15597785.67468895</v>
      </c>
      <c r="F9" s="479">
        <v>15597785.67468895</v>
      </c>
      <c r="J9" t="s">
        <v>236</v>
      </c>
      <c r="K9" t="s">
        <v>1145</v>
      </c>
      <c r="L9">
        <v>9767213</v>
      </c>
      <c r="M9" t="s">
        <v>1472</v>
      </c>
      <c r="N9" t="s">
        <v>1770</v>
      </c>
      <c r="O9">
        <v>0</v>
      </c>
    </row>
    <row r="10" spans="1:15" x14ac:dyDescent="0.25">
      <c r="A10" s="485" t="s">
        <v>1778</v>
      </c>
      <c r="B10" s="486">
        <v>2160016.1900000004</v>
      </c>
      <c r="C10" s="486">
        <v>86979110.469999999</v>
      </c>
      <c r="D10" s="484">
        <v>2.4833735115571371E-2</v>
      </c>
      <c r="E10" s="486">
        <v>458642.04265304963</v>
      </c>
      <c r="F10" s="486">
        <v>458642.04265304963</v>
      </c>
      <c r="G10" s="314">
        <f>C10*D$46</f>
        <v>2618658.2326530502</v>
      </c>
      <c r="H10" s="314">
        <f>G10-B10</f>
        <v>458642.04265304981</v>
      </c>
      <c r="J10" t="s">
        <v>1488</v>
      </c>
      <c r="K10" t="s">
        <v>240</v>
      </c>
      <c r="L10">
        <v>4885366</v>
      </c>
      <c r="M10" t="s">
        <v>1472</v>
      </c>
      <c r="N10" t="s">
        <v>1770</v>
      </c>
      <c r="O10">
        <v>0</v>
      </c>
    </row>
    <row r="11" spans="1:15" x14ac:dyDescent="0.25">
      <c r="A11" s="357" t="s">
        <v>1779</v>
      </c>
      <c r="B11" s="563">
        <f>-12760.23+950000</f>
        <v>937239.77</v>
      </c>
      <c r="C11" s="479">
        <v>89304232.680000007</v>
      </c>
      <c r="D11" s="564">
        <f>B11/C11</f>
        <v>1.0494908716794765E-2</v>
      </c>
      <c r="E11" s="563">
        <f>(D46-D11)*C11</f>
        <v>1751420.333035951</v>
      </c>
      <c r="F11" s="563">
        <f>E11</f>
        <v>1751420.333035951</v>
      </c>
      <c r="J11" t="s">
        <v>1465</v>
      </c>
      <c r="K11" t="s">
        <v>249</v>
      </c>
      <c r="L11">
        <v>1758706</v>
      </c>
      <c r="M11" t="s">
        <v>1459</v>
      </c>
      <c r="N11" t="s">
        <v>1770</v>
      </c>
      <c r="O11">
        <v>0</v>
      </c>
    </row>
    <row r="12" spans="1:15" x14ac:dyDescent="0.25">
      <c r="A12" s="485" t="s">
        <v>1780</v>
      </c>
      <c r="B12" s="486">
        <v>2891426.4800000004</v>
      </c>
      <c r="C12" s="486">
        <v>186489379.76999998</v>
      </c>
      <c r="D12" s="484">
        <v>1.5504510141896756E-2</v>
      </c>
      <c r="E12" s="486">
        <v>2723162.4367895005</v>
      </c>
      <c r="F12" s="486">
        <v>2723162.4367895005</v>
      </c>
      <c r="J12" t="s">
        <v>1373</v>
      </c>
      <c r="K12" t="s">
        <v>1373</v>
      </c>
      <c r="L12">
        <v>3346325</v>
      </c>
      <c r="M12" t="s">
        <v>1366</v>
      </c>
      <c r="N12" t="s">
        <v>1770</v>
      </c>
      <c r="O12">
        <v>0</v>
      </c>
    </row>
    <row r="13" spans="1:15" x14ac:dyDescent="0.25">
      <c r="A13" s="357" t="s">
        <v>1781</v>
      </c>
      <c r="B13" s="479">
        <v>10021350</v>
      </c>
      <c r="C13" s="479">
        <v>270734385.37</v>
      </c>
      <c r="D13" s="484">
        <v>3.7015431144087181E-2</v>
      </c>
      <c r="E13" s="479">
        <v>-1870417.8591620908</v>
      </c>
      <c r="F13" s="479">
        <v>0</v>
      </c>
      <c r="J13" t="s">
        <v>1130</v>
      </c>
      <c r="K13" t="s">
        <v>281</v>
      </c>
      <c r="L13">
        <v>2039109</v>
      </c>
      <c r="M13" t="s">
        <v>1124</v>
      </c>
      <c r="N13" t="s">
        <v>1770</v>
      </c>
      <c r="O13">
        <v>0</v>
      </c>
    </row>
    <row r="14" spans="1:15" x14ac:dyDescent="0.25">
      <c r="A14" s="485" t="s">
        <v>1882</v>
      </c>
      <c r="B14" s="486">
        <v>408500</v>
      </c>
      <c r="C14" s="486">
        <v>35195190.710000008</v>
      </c>
      <c r="D14" s="484">
        <v>1.1606699431349662E-2</v>
      </c>
      <c r="E14" s="486">
        <v>651112.76684157457</v>
      </c>
      <c r="F14" s="486">
        <v>651112.76684157457</v>
      </c>
      <c r="J14" t="s">
        <v>1130</v>
      </c>
      <c r="K14" t="s">
        <v>281</v>
      </c>
      <c r="L14">
        <v>5020855</v>
      </c>
      <c r="M14" t="s">
        <v>1273</v>
      </c>
      <c r="N14" t="s">
        <v>1770</v>
      </c>
      <c r="O14">
        <v>0</v>
      </c>
    </row>
    <row r="15" spans="1:15" x14ac:dyDescent="0.25">
      <c r="A15" s="357" t="s">
        <v>1782</v>
      </c>
      <c r="B15" s="479">
        <v>2653262.6499999994</v>
      </c>
      <c r="C15" s="479">
        <v>95815141.809999987</v>
      </c>
      <c r="D15" s="484">
        <v>2.7691475479537254E-2</v>
      </c>
      <c r="E15" s="479">
        <v>231419.75888847062</v>
      </c>
      <c r="F15" s="479">
        <v>231419.75888847062</v>
      </c>
      <c r="J15" t="s">
        <v>1530</v>
      </c>
      <c r="K15" t="s">
        <v>1529</v>
      </c>
      <c r="L15">
        <v>5002625</v>
      </c>
      <c r="M15" t="s">
        <v>1366</v>
      </c>
      <c r="N15" t="s">
        <v>1770</v>
      </c>
      <c r="O15">
        <v>0</v>
      </c>
    </row>
    <row r="16" spans="1:15" x14ac:dyDescent="0.25">
      <c r="A16" s="485" t="s">
        <v>1784</v>
      </c>
      <c r="B16" s="486">
        <v>675006.45000000019</v>
      </c>
      <c r="C16" s="486">
        <v>60433097.549999997</v>
      </c>
      <c r="D16" s="484">
        <v>1.1169482905315685E-2</v>
      </c>
      <c r="E16" s="486">
        <v>1144437.6391484591</v>
      </c>
      <c r="F16" s="486">
        <v>1144437.6391484591</v>
      </c>
      <c r="J16" t="s">
        <v>379</v>
      </c>
      <c r="K16" t="s">
        <v>1529</v>
      </c>
      <c r="L16">
        <v>8535980</v>
      </c>
      <c r="M16" t="s">
        <v>1427</v>
      </c>
      <c r="N16" t="s">
        <v>1770</v>
      </c>
      <c r="O16">
        <v>0</v>
      </c>
    </row>
    <row r="17" spans="1:15" x14ac:dyDescent="0.25">
      <c r="A17" s="357" t="s">
        <v>1787</v>
      </c>
      <c r="B17" s="479">
        <v>10093500</v>
      </c>
      <c r="C17" s="479">
        <v>297356867.07999998</v>
      </c>
      <c r="D17" s="484">
        <v>3.394406222770862E-2</v>
      </c>
      <c r="E17" s="479">
        <v>-1141051.4890033952</v>
      </c>
      <c r="F17" s="479">
        <v>0</v>
      </c>
      <c r="J17" t="s">
        <v>294</v>
      </c>
      <c r="K17" t="s">
        <v>290</v>
      </c>
      <c r="L17">
        <v>6565086</v>
      </c>
      <c r="M17" t="s">
        <v>1055</v>
      </c>
      <c r="N17" t="s">
        <v>1770</v>
      </c>
      <c r="O17">
        <v>0</v>
      </c>
    </row>
    <row r="18" spans="1:15" x14ac:dyDescent="0.25">
      <c r="A18" s="485" t="s">
        <v>2553</v>
      </c>
      <c r="B18" s="486">
        <v>0</v>
      </c>
      <c r="C18" s="486">
        <v>44420856.82</v>
      </c>
      <c r="D18" s="484">
        <v>0</v>
      </c>
      <c r="E18" s="486">
        <v>1337367.5792340555</v>
      </c>
      <c r="F18" s="486">
        <v>1337367.5792340555</v>
      </c>
      <c r="J18" t="s">
        <v>294</v>
      </c>
      <c r="K18" t="s">
        <v>290</v>
      </c>
      <c r="L18">
        <v>6630553</v>
      </c>
      <c r="M18" t="s">
        <v>1447</v>
      </c>
      <c r="N18" t="s">
        <v>1770</v>
      </c>
      <c r="O18">
        <v>0</v>
      </c>
    </row>
    <row r="19" spans="1:15" x14ac:dyDescent="0.25">
      <c r="A19" s="357" t="s">
        <v>1788</v>
      </c>
      <c r="B19" s="479">
        <v>2837372.5</v>
      </c>
      <c r="C19" s="479">
        <v>127796386.84</v>
      </c>
      <c r="D19" s="484">
        <v>2.2202290457181442E-2</v>
      </c>
      <c r="E19" s="479">
        <v>1010161.2203788252</v>
      </c>
      <c r="F19" s="479">
        <v>1010161.2203788252</v>
      </c>
      <c r="J19" t="s">
        <v>931</v>
      </c>
      <c r="K19" t="s">
        <v>306</v>
      </c>
      <c r="L19">
        <v>8615860</v>
      </c>
      <c r="M19" t="s">
        <v>1055</v>
      </c>
      <c r="N19" t="s">
        <v>1770</v>
      </c>
      <c r="O19">
        <v>0</v>
      </c>
    </row>
    <row r="20" spans="1:15" x14ac:dyDescent="0.25">
      <c r="A20" s="485" t="s">
        <v>1789</v>
      </c>
      <c r="B20" s="486">
        <v>9933960.75</v>
      </c>
      <c r="C20" s="486">
        <v>139839274.12000003</v>
      </c>
      <c r="D20" s="484">
        <v>7.1038417587003397E-2</v>
      </c>
      <c r="E20" s="486">
        <v>-5723854.8470560061</v>
      </c>
      <c r="F20" s="486">
        <v>0</v>
      </c>
      <c r="J20" t="s">
        <v>1095</v>
      </c>
      <c r="K20" t="s">
        <v>312</v>
      </c>
      <c r="L20">
        <v>6191102</v>
      </c>
      <c r="M20" t="s">
        <v>1514</v>
      </c>
      <c r="N20" t="s">
        <v>1770</v>
      </c>
      <c r="O20">
        <v>0</v>
      </c>
    </row>
    <row r="21" spans="1:15" x14ac:dyDescent="0.25">
      <c r="A21" s="357" t="s">
        <v>1790</v>
      </c>
      <c r="B21" s="479">
        <v>2084562.46</v>
      </c>
      <c r="C21" s="479">
        <v>115908102.7</v>
      </c>
      <c r="D21" s="484">
        <v>1.7984613771095746E-2</v>
      </c>
      <c r="E21" s="479">
        <v>1405053.6757184574</v>
      </c>
      <c r="F21" s="479">
        <v>1405053.6757184574</v>
      </c>
      <c r="J21" t="s">
        <v>314</v>
      </c>
      <c r="K21" t="s">
        <v>312</v>
      </c>
      <c r="L21">
        <v>4309907</v>
      </c>
      <c r="M21" t="s">
        <v>1514</v>
      </c>
      <c r="N21" t="s">
        <v>1770</v>
      </c>
      <c r="O21">
        <v>0</v>
      </c>
    </row>
    <row r="22" spans="1:15" x14ac:dyDescent="0.25">
      <c r="A22" s="485" t="s">
        <v>1791</v>
      </c>
      <c r="B22" s="486">
        <v>1269490</v>
      </c>
      <c r="C22" s="486">
        <v>52170735.609999992</v>
      </c>
      <c r="D22" s="484">
        <v>2.4333373588787705E-2</v>
      </c>
      <c r="E22" s="486">
        <v>301201.23345211567</v>
      </c>
      <c r="F22" s="486">
        <v>301201.23345211567</v>
      </c>
      <c r="J22" t="s">
        <v>327</v>
      </c>
      <c r="K22" t="s">
        <v>312</v>
      </c>
      <c r="L22">
        <v>9684449</v>
      </c>
      <c r="M22" t="s">
        <v>1514</v>
      </c>
      <c r="N22" t="s">
        <v>1770</v>
      </c>
      <c r="O22">
        <v>0</v>
      </c>
    </row>
    <row r="23" spans="1:15" x14ac:dyDescent="0.25">
      <c r="A23" s="357" t="s">
        <v>1793</v>
      </c>
      <c r="B23" s="479">
        <v>606855.16000000015</v>
      </c>
      <c r="C23" s="479">
        <v>63849421.710000001</v>
      </c>
      <c r="D23" s="484">
        <v>9.5044738659701197E-3</v>
      </c>
      <c r="E23" s="479">
        <v>1315443.3425662778</v>
      </c>
      <c r="F23" s="479">
        <v>1315443.3425662778</v>
      </c>
      <c r="J23" t="s">
        <v>318</v>
      </c>
      <c r="K23" t="s">
        <v>312</v>
      </c>
      <c r="L23">
        <v>5792625</v>
      </c>
      <c r="M23" t="s">
        <v>1514</v>
      </c>
      <c r="N23" t="s">
        <v>1770</v>
      </c>
      <c r="O23">
        <v>0</v>
      </c>
    </row>
    <row r="24" spans="1:15" x14ac:dyDescent="0.25">
      <c r="A24" s="485" t="s">
        <v>1794</v>
      </c>
      <c r="B24" s="486">
        <v>1006763.98</v>
      </c>
      <c r="C24" s="486">
        <v>31154487.59</v>
      </c>
      <c r="D24" s="484">
        <v>3.2315215491560585E-2</v>
      </c>
      <c r="E24" s="486">
        <v>-68803.647101681912</v>
      </c>
      <c r="F24" s="486">
        <v>0</v>
      </c>
      <c r="J24" t="s">
        <v>386</v>
      </c>
      <c r="K24" t="s">
        <v>312</v>
      </c>
      <c r="L24">
        <v>9735411</v>
      </c>
      <c r="M24" t="s">
        <v>1155</v>
      </c>
      <c r="N24" t="s">
        <v>1770</v>
      </c>
      <c r="O24">
        <v>0</v>
      </c>
    </row>
    <row r="25" spans="1:15" x14ac:dyDescent="0.25">
      <c r="A25" s="357" t="s">
        <v>1796</v>
      </c>
      <c r="B25" s="479">
        <v>9060675.3200000003</v>
      </c>
      <c r="C25" s="479">
        <v>189823213.16999996</v>
      </c>
      <c r="D25" s="484">
        <v>4.7732177580860631E-2</v>
      </c>
      <c r="E25" s="479">
        <v>-3345715.5183850587</v>
      </c>
      <c r="F25" s="479">
        <v>0</v>
      </c>
      <c r="J25" t="s">
        <v>1299</v>
      </c>
      <c r="K25" t="s">
        <v>312</v>
      </c>
      <c r="L25">
        <v>7268793</v>
      </c>
      <c r="M25" t="s">
        <v>1282</v>
      </c>
      <c r="N25" t="s">
        <v>1770</v>
      </c>
      <c r="O25">
        <v>0</v>
      </c>
    </row>
    <row r="26" spans="1:15" x14ac:dyDescent="0.25">
      <c r="A26" s="485" t="s">
        <v>1883</v>
      </c>
      <c r="B26" s="486">
        <v>915000</v>
      </c>
      <c r="C26" s="486">
        <v>41634282.330000006</v>
      </c>
      <c r="D26" s="484">
        <v>2.1977081116651972E-2</v>
      </c>
      <c r="E26" s="486">
        <v>338472.88095870003</v>
      </c>
      <c r="F26" s="486">
        <v>338472.88095870003</v>
      </c>
      <c r="J26" t="s">
        <v>1287</v>
      </c>
      <c r="K26" t="s">
        <v>353</v>
      </c>
      <c r="L26">
        <v>2333254</v>
      </c>
      <c r="M26" t="s">
        <v>1282</v>
      </c>
      <c r="N26" t="s">
        <v>1770</v>
      </c>
      <c r="O26">
        <v>0</v>
      </c>
    </row>
    <row r="27" spans="1:15" x14ac:dyDescent="0.25">
      <c r="A27" s="357" t="s">
        <v>1884</v>
      </c>
      <c r="B27" s="479">
        <v>150500</v>
      </c>
      <c r="C27" s="479">
        <v>37403034.859999999</v>
      </c>
      <c r="D27" s="484">
        <v>4.0237376609497935E-3</v>
      </c>
      <c r="E27" s="479">
        <v>975583.7761284135</v>
      </c>
      <c r="F27" s="479">
        <v>975583.7761284135</v>
      </c>
      <c r="J27" t="s">
        <v>358</v>
      </c>
      <c r="K27" t="s">
        <v>358</v>
      </c>
      <c r="L27">
        <v>9223411</v>
      </c>
      <c r="M27" t="s">
        <v>1250</v>
      </c>
      <c r="N27" t="s">
        <v>1770</v>
      </c>
      <c r="O27">
        <v>0</v>
      </c>
    </row>
    <row r="28" spans="1:15" x14ac:dyDescent="0.25">
      <c r="A28" s="485" t="s">
        <v>1797</v>
      </c>
      <c r="B28" s="486">
        <v>366134</v>
      </c>
      <c r="C28" s="486">
        <v>28633014.920000002</v>
      </c>
      <c r="D28" s="484">
        <v>1.2787127063739887E-2</v>
      </c>
      <c r="E28" s="486">
        <v>495912.98853291944</v>
      </c>
      <c r="F28" s="486">
        <v>495912.98853291944</v>
      </c>
      <c r="J28" t="s">
        <v>358</v>
      </c>
      <c r="K28" t="s">
        <v>358</v>
      </c>
      <c r="L28">
        <v>9264829</v>
      </c>
      <c r="M28" t="s">
        <v>1311</v>
      </c>
      <c r="N28" t="s">
        <v>1770</v>
      </c>
      <c r="O28">
        <v>0</v>
      </c>
    </row>
    <row r="29" spans="1:15" x14ac:dyDescent="0.25">
      <c r="A29" s="357" t="s">
        <v>1798</v>
      </c>
      <c r="B29" s="479">
        <v>515618.85</v>
      </c>
      <c r="C29" s="479">
        <v>29938672.650000002</v>
      </c>
      <c r="D29" s="484">
        <v>1.7222502013628849E-2</v>
      </c>
      <c r="E29" s="479">
        <v>385737.24787211954</v>
      </c>
      <c r="F29" s="479">
        <v>385737.24787211954</v>
      </c>
      <c r="J29" t="s">
        <v>372</v>
      </c>
      <c r="K29" t="s">
        <v>367</v>
      </c>
      <c r="L29">
        <v>8946698</v>
      </c>
      <c r="M29" t="s">
        <v>1427</v>
      </c>
      <c r="N29" t="s">
        <v>1770</v>
      </c>
      <c r="O29">
        <v>0</v>
      </c>
    </row>
    <row r="30" spans="1:15" x14ac:dyDescent="0.25">
      <c r="A30" s="485" t="s">
        <v>1799</v>
      </c>
      <c r="B30" s="486">
        <v>27976447</v>
      </c>
      <c r="C30" s="486">
        <v>466426046.7100001</v>
      </c>
      <c r="D30" s="484">
        <v>5.9980456060152933E-2</v>
      </c>
      <c r="E30" s="486">
        <v>-13933875.162452467</v>
      </c>
      <c r="F30" s="486">
        <v>0</v>
      </c>
      <c r="J30" t="s">
        <v>225</v>
      </c>
      <c r="K30" t="s">
        <v>375</v>
      </c>
      <c r="L30">
        <v>1806042</v>
      </c>
      <c r="M30" t="s">
        <v>1124</v>
      </c>
      <c r="N30" t="s">
        <v>1770</v>
      </c>
      <c r="O30">
        <v>0</v>
      </c>
    </row>
    <row r="31" spans="1:15" x14ac:dyDescent="0.25">
      <c r="A31" s="357" t="s">
        <v>1800</v>
      </c>
      <c r="B31" s="479">
        <v>6540290.5499999998</v>
      </c>
      <c r="C31" s="479">
        <v>82870126.25</v>
      </c>
      <c r="D31" s="484">
        <v>7.8922174322136981E-2</v>
      </c>
      <c r="E31" s="479">
        <v>-4045340.4732179586</v>
      </c>
      <c r="F31" s="479">
        <v>0</v>
      </c>
      <c r="J31" t="s">
        <v>287</v>
      </c>
      <c r="K31" t="s">
        <v>375</v>
      </c>
      <c r="L31">
        <v>8090757</v>
      </c>
      <c r="M31" t="s">
        <v>1273</v>
      </c>
      <c r="N31" t="s">
        <v>1770</v>
      </c>
      <c r="O31">
        <v>0</v>
      </c>
    </row>
    <row r="32" spans="1:15" x14ac:dyDescent="0.25">
      <c r="A32" s="485" t="s">
        <v>1801</v>
      </c>
      <c r="B32" s="486">
        <v>4692500</v>
      </c>
      <c r="C32" s="486">
        <v>92681312.590000018</v>
      </c>
      <c r="D32" s="484">
        <v>5.0630487083825615E-2</v>
      </c>
      <c r="E32" s="486">
        <v>-1902167.0003241261</v>
      </c>
      <c r="F32" s="486">
        <v>0</v>
      </c>
      <c r="J32" t="s">
        <v>1375</v>
      </c>
      <c r="K32" t="s">
        <v>375</v>
      </c>
      <c r="L32">
        <v>6447139</v>
      </c>
      <c r="M32" t="s">
        <v>1366</v>
      </c>
      <c r="N32" t="s">
        <v>1770</v>
      </c>
      <c r="O32">
        <v>0</v>
      </c>
    </row>
    <row r="33" spans="1:15" x14ac:dyDescent="0.25">
      <c r="A33" s="357" t="s">
        <v>1802</v>
      </c>
      <c r="B33" s="479">
        <v>1727085.6899999995</v>
      </c>
      <c r="C33" s="479">
        <v>81372876.030000001</v>
      </c>
      <c r="D33" s="484">
        <v>2.122434125793058E-2</v>
      </c>
      <c r="E33" s="479">
        <v>722787.05046808964</v>
      </c>
      <c r="F33" s="479">
        <v>722787.05046808964</v>
      </c>
      <c r="J33" t="s">
        <v>1438</v>
      </c>
      <c r="K33" t="s">
        <v>375</v>
      </c>
      <c r="L33">
        <v>6361701</v>
      </c>
      <c r="M33" t="s">
        <v>1427</v>
      </c>
      <c r="N33" t="s">
        <v>1770</v>
      </c>
      <c r="O33">
        <v>0</v>
      </c>
    </row>
    <row r="34" spans="1:15" x14ac:dyDescent="0.25">
      <c r="A34" s="485" t="s">
        <v>1803</v>
      </c>
      <c r="B34" s="486">
        <v>2025894.3599999999</v>
      </c>
      <c r="C34" s="486">
        <v>67085427.32</v>
      </c>
      <c r="D34" s="484">
        <v>3.0198724833880954E-2</v>
      </c>
      <c r="E34" s="486">
        <v>-6170.2493107145638</v>
      </c>
      <c r="F34" s="486">
        <v>0</v>
      </c>
      <c r="J34" t="s">
        <v>700</v>
      </c>
      <c r="K34" t="s">
        <v>375</v>
      </c>
      <c r="L34">
        <v>7790627</v>
      </c>
      <c r="M34" t="s">
        <v>1472</v>
      </c>
      <c r="N34" t="s">
        <v>1770</v>
      </c>
      <c r="O34">
        <v>0</v>
      </c>
    </row>
    <row r="35" spans="1:15" x14ac:dyDescent="0.25">
      <c r="A35" s="357" t="s">
        <v>1804</v>
      </c>
      <c r="B35" s="479">
        <v>4933499.2199999988</v>
      </c>
      <c r="C35" s="479">
        <v>193438749.91999999</v>
      </c>
      <c r="D35" s="484">
        <v>2.5504193043226007E-2</v>
      </c>
      <c r="E35" s="479">
        <v>890312.63844429795</v>
      </c>
      <c r="F35" s="479">
        <v>890312.63844429795</v>
      </c>
      <c r="J35" t="s">
        <v>386</v>
      </c>
      <c r="K35" t="s">
        <v>384</v>
      </c>
      <c r="L35">
        <v>1008575</v>
      </c>
      <c r="M35" t="s">
        <v>1155</v>
      </c>
      <c r="N35" t="s">
        <v>1770</v>
      </c>
      <c r="O35">
        <v>0</v>
      </c>
    </row>
    <row r="36" spans="1:15" x14ac:dyDescent="0.25">
      <c r="A36" s="485" t="s">
        <v>1805</v>
      </c>
      <c r="B36" s="486">
        <v>729600</v>
      </c>
      <c r="C36" s="486">
        <v>45887960.140000001</v>
      </c>
      <c r="D36" s="484">
        <v>1.5899595400929931E-2</v>
      </c>
      <c r="E36" s="486">
        <v>651937.29040160892</v>
      </c>
      <c r="F36" s="486">
        <v>651937.29040160892</v>
      </c>
      <c r="J36" t="s">
        <v>1283</v>
      </c>
      <c r="K36" t="s">
        <v>384</v>
      </c>
      <c r="L36">
        <v>1567065</v>
      </c>
      <c r="M36" t="s">
        <v>1282</v>
      </c>
      <c r="N36" t="s">
        <v>1770</v>
      </c>
      <c r="O36">
        <v>0</v>
      </c>
    </row>
    <row r="37" spans="1:15" x14ac:dyDescent="0.25">
      <c r="A37" s="357" t="s">
        <v>1785</v>
      </c>
      <c r="B37" s="479">
        <v>597108.18000000017</v>
      </c>
      <c r="C37" s="479">
        <v>35290304.369999997</v>
      </c>
      <c r="D37" s="484">
        <v>1.6919893173480166E-2</v>
      </c>
      <c r="E37" s="479">
        <v>465368.1499137978</v>
      </c>
      <c r="F37" s="479">
        <v>465368.1499137978</v>
      </c>
      <c r="J37" t="s">
        <v>1332</v>
      </c>
      <c r="K37" t="s">
        <v>384</v>
      </c>
      <c r="L37">
        <v>7857005</v>
      </c>
      <c r="M37" t="s">
        <v>1316</v>
      </c>
      <c r="N37" t="s">
        <v>1770</v>
      </c>
      <c r="O37">
        <v>0</v>
      </c>
    </row>
    <row r="38" spans="1:15" x14ac:dyDescent="0.25">
      <c r="A38" s="485" t="s">
        <v>1795</v>
      </c>
      <c r="B38" s="486">
        <v>893161.17999999993</v>
      </c>
      <c r="C38" s="486">
        <v>40941125.07</v>
      </c>
      <c r="D38" s="484">
        <v>2.1815745866116228E-2</v>
      </c>
      <c r="E38" s="486">
        <v>339442.98942998989</v>
      </c>
      <c r="F38" s="486">
        <v>339442.98942998989</v>
      </c>
      <c r="J38" t="s">
        <v>1332</v>
      </c>
      <c r="K38" t="s">
        <v>384</v>
      </c>
      <c r="L38">
        <v>8936486</v>
      </c>
      <c r="M38" t="s">
        <v>1336</v>
      </c>
      <c r="N38" t="s">
        <v>1770</v>
      </c>
      <c r="O38">
        <v>0</v>
      </c>
    </row>
    <row r="39" spans="1:15" x14ac:dyDescent="0.25">
      <c r="A39" s="357" t="s">
        <v>1783</v>
      </c>
      <c r="B39" s="479">
        <v>1317525.6599999997</v>
      </c>
      <c r="C39" s="479">
        <v>32516218.07</v>
      </c>
      <c r="D39" s="484">
        <v>4.0519031369628151E-2</v>
      </c>
      <c r="E39" s="479">
        <v>-338568.0495618463</v>
      </c>
      <c r="F39" s="479">
        <v>0</v>
      </c>
      <c r="J39" t="s">
        <v>398</v>
      </c>
      <c r="K39" t="s">
        <v>396</v>
      </c>
      <c r="L39">
        <v>5646573</v>
      </c>
      <c r="M39" t="s">
        <v>1055</v>
      </c>
      <c r="N39" t="s">
        <v>1770</v>
      </c>
      <c r="O39">
        <v>0</v>
      </c>
    </row>
    <row r="40" spans="1:15" x14ac:dyDescent="0.25">
      <c r="A40" s="485" t="s">
        <v>1775</v>
      </c>
      <c r="B40" s="486">
        <v>57000</v>
      </c>
      <c r="C40" s="486">
        <v>9410855.9900000002</v>
      </c>
      <c r="D40" s="484">
        <v>6.056834793834732E-3</v>
      </c>
      <c r="E40" s="486">
        <v>226330.27759608647</v>
      </c>
      <c r="F40" s="486">
        <v>226330.27759608647</v>
      </c>
      <c r="G40" s="314">
        <f>C40*D$46</f>
        <v>283330.2775960865</v>
      </c>
      <c r="H40" s="314">
        <f>G40-B40</f>
        <v>226330.2775960865</v>
      </c>
      <c r="J40" t="s">
        <v>1440</v>
      </c>
      <c r="K40" t="s">
        <v>402</v>
      </c>
      <c r="L40">
        <v>8382823</v>
      </c>
      <c r="M40" t="s">
        <v>1427</v>
      </c>
      <c r="N40" t="s">
        <v>1770</v>
      </c>
      <c r="O40">
        <v>0</v>
      </c>
    </row>
    <row r="41" spans="1:15" x14ac:dyDescent="0.25">
      <c r="A41" s="357" t="s">
        <v>1792</v>
      </c>
      <c r="B41" s="479">
        <v>606986.05999999982</v>
      </c>
      <c r="C41" s="479">
        <v>19784331.079999998</v>
      </c>
      <c r="D41" s="484">
        <v>3.0680140639862356E-2</v>
      </c>
      <c r="E41" s="479">
        <v>-11344.173342112445</v>
      </c>
      <c r="F41" s="479">
        <v>0</v>
      </c>
      <c r="J41" t="s">
        <v>407</v>
      </c>
      <c r="K41" t="s">
        <v>1071</v>
      </c>
      <c r="L41">
        <v>2583952</v>
      </c>
      <c r="M41" t="s">
        <v>1055</v>
      </c>
      <c r="N41" t="s">
        <v>1770</v>
      </c>
      <c r="O41">
        <v>0</v>
      </c>
    </row>
    <row r="42" spans="1:15" x14ac:dyDescent="0.25">
      <c r="A42" s="485" t="s">
        <v>1768</v>
      </c>
      <c r="B42" s="480">
        <v>200000</v>
      </c>
      <c r="C42" s="480">
        <v>12296441.950000001</v>
      </c>
      <c r="D42" s="484">
        <v>1.6264867578218427E-2</v>
      </c>
      <c r="E42" s="480">
        <v>170205.88933033531</v>
      </c>
      <c r="F42" s="480">
        <v>170205.88933033531</v>
      </c>
      <c r="J42" t="s">
        <v>1554</v>
      </c>
      <c r="K42" t="s">
        <v>1071</v>
      </c>
      <c r="L42">
        <v>9000001</v>
      </c>
      <c r="M42" t="s">
        <v>1839</v>
      </c>
      <c r="N42" t="s">
        <v>1770</v>
      </c>
      <c r="O42">
        <v>0</v>
      </c>
    </row>
    <row r="43" spans="1:15" x14ac:dyDescent="0.25">
      <c r="A43" s="357" t="s">
        <v>1767</v>
      </c>
      <c r="B43" s="479">
        <v>20000</v>
      </c>
      <c r="C43" s="479">
        <v>7680632.3999999994</v>
      </c>
      <c r="D43" s="484">
        <v>2.6039522474737889E-3</v>
      </c>
      <c r="E43" s="479">
        <v>211238.87054672651</v>
      </c>
      <c r="F43" s="479">
        <v>211238.87054672651</v>
      </c>
      <c r="J43" t="s">
        <v>413</v>
      </c>
      <c r="K43" t="s">
        <v>411</v>
      </c>
      <c r="L43">
        <v>1494293</v>
      </c>
      <c r="M43" t="s">
        <v>1055</v>
      </c>
      <c r="N43" t="s">
        <v>1770</v>
      </c>
      <c r="O43">
        <v>0</v>
      </c>
    </row>
    <row r="44" spans="1:15" x14ac:dyDescent="0.25">
      <c r="A44" s="485" t="s">
        <v>1769</v>
      </c>
      <c r="B44" s="480">
        <v>43710.8</v>
      </c>
      <c r="C44" s="480">
        <v>9094927.2599999998</v>
      </c>
      <c r="D44" s="484">
        <v>4.8060637265613495E-3</v>
      </c>
      <c r="E44" s="480">
        <v>230107.89067279332</v>
      </c>
      <c r="F44" s="480">
        <v>230107.89067279332</v>
      </c>
      <c r="J44" t="s">
        <v>1546</v>
      </c>
      <c r="K44" t="s">
        <v>411</v>
      </c>
      <c r="L44">
        <v>9000002</v>
      </c>
      <c r="M44" t="s">
        <v>1839</v>
      </c>
      <c r="N44" t="s">
        <v>1770</v>
      </c>
      <c r="O44">
        <v>0</v>
      </c>
    </row>
    <row r="45" spans="1:15" x14ac:dyDescent="0.25">
      <c r="A45" s="487" t="s">
        <v>1786</v>
      </c>
      <c r="B45" s="488">
        <v>171190.15999999997</v>
      </c>
      <c r="C45" s="488">
        <v>14635662.59</v>
      </c>
      <c r="D45" s="489">
        <v>1.1696782359342432E-2</v>
      </c>
      <c r="E45" s="488">
        <v>269442.05760418822</v>
      </c>
      <c r="F45" s="488">
        <v>269442.05760418822</v>
      </c>
      <c r="J45" t="s">
        <v>415</v>
      </c>
      <c r="K45" t="s">
        <v>415</v>
      </c>
      <c r="L45">
        <v>1905494</v>
      </c>
      <c r="M45" t="s">
        <v>1250</v>
      </c>
      <c r="N45" t="s">
        <v>1770</v>
      </c>
      <c r="O45">
        <v>0</v>
      </c>
    </row>
    <row r="46" spans="1:15" x14ac:dyDescent="0.25">
      <c r="A46" s="313"/>
      <c r="B46" s="314">
        <v>173656356.25000003</v>
      </c>
      <c r="C46" s="314">
        <v>5768020891.6699982</v>
      </c>
      <c r="D46" s="484">
        <v>3.010674883317245E-2</v>
      </c>
      <c r="E46" s="314"/>
      <c r="F46" s="314">
        <f>SUM(F2:F45)</f>
        <v>40527003.29424686</v>
      </c>
      <c r="J46" t="s">
        <v>377</v>
      </c>
      <c r="K46" t="s">
        <v>550</v>
      </c>
      <c r="L46">
        <v>8902089</v>
      </c>
      <c r="M46" t="s">
        <v>1124</v>
      </c>
      <c r="N46" t="s">
        <v>1770</v>
      </c>
      <c r="O46">
        <v>0</v>
      </c>
    </row>
    <row r="47" spans="1:15" x14ac:dyDescent="0.25">
      <c r="J47" t="s">
        <v>1115</v>
      </c>
      <c r="K47" t="s">
        <v>553</v>
      </c>
      <c r="L47">
        <v>9503685</v>
      </c>
      <c r="M47" t="s">
        <v>1055</v>
      </c>
      <c r="N47" t="s">
        <v>1770</v>
      </c>
      <c r="O47">
        <v>0</v>
      </c>
    </row>
    <row r="48" spans="1:15" x14ac:dyDescent="0.25">
      <c r="J48" t="s">
        <v>1106</v>
      </c>
      <c r="K48" t="s">
        <v>553</v>
      </c>
      <c r="L48">
        <v>8289298</v>
      </c>
      <c r="M48" t="s">
        <v>1055</v>
      </c>
      <c r="N48" t="s">
        <v>1770</v>
      </c>
      <c r="O48">
        <v>0</v>
      </c>
    </row>
    <row r="49" spans="10:15" x14ac:dyDescent="0.25">
      <c r="J49" t="s">
        <v>1104</v>
      </c>
      <c r="K49" t="s">
        <v>553</v>
      </c>
      <c r="L49">
        <v>7634996</v>
      </c>
      <c r="M49" t="s">
        <v>1055</v>
      </c>
      <c r="N49" t="s">
        <v>1770</v>
      </c>
      <c r="O49">
        <v>0</v>
      </c>
    </row>
    <row r="50" spans="10:15" x14ac:dyDescent="0.25">
      <c r="J50" t="s">
        <v>377</v>
      </c>
      <c r="K50" t="s">
        <v>553</v>
      </c>
      <c r="L50">
        <v>2392006</v>
      </c>
      <c r="M50" t="s">
        <v>1124</v>
      </c>
      <c r="N50" t="s">
        <v>1770</v>
      </c>
      <c r="O50">
        <v>0</v>
      </c>
    </row>
    <row r="51" spans="10:15" x14ac:dyDescent="0.25">
      <c r="J51" t="s">
        <v>1418</v>
      </c>
      <c r="K51" t="s">
        <v>553</v>
      </c>
      <c r="L51">
        <v>8102124</v>
      </c>
      <c r="M51" t="s">
        <v>1405</v>
      </c>
      <c r="N51" t="s">
        <v>1770</v>
      </c>
      <c r="O51">
        <v>0</v>
      </c>
    </row>
    <row r="52" spans="10:15" x14ac:dyDescent="0.25">
      <c r="J52" t="s">
        <v>1433</v>
      </c>
      <c r="K52" t="s">
        <v>553</v>
      </c>
      <c r="L52">
        <v>4526227</v>
      </c>
      <c r="M52" t="s">
        <v>1427</v>
      </c>
      <c r="N52" t="s">
        <v>1770</v>
      </c>
      <c r="O52">
        <v>0</v>
      </c>
    </row>
    <row r="53" spans="10:15" x14ac:dyDescent="0.25">
      <c r="J53" t="s">
        <v>1457</v>
      </c>
      <c r="K53" t="s">
        <v>553</v>
      </c>
      <c r="L53">
        <v>7653065</v>
      </c>
      <c r="M53" t="s">
        <v>1451</v>
      </c>
      <c r="N53" t="s">
        <v>1770</v>
      </c>
      <c r="O53">
        <v>0</v>
      </c>
    </row>
    <row r="54" spans="10:15" x14ac:dyDescent="0.25">
      <c r="J54" t="s">
        <v>1251</v>
      </c>
      <c r="K54" t="s">
        <v>568</v>
      </c>
      <c r="L54">
        <v>1441233</v>
      </c>
      <c r="M54" t="s">
        <v>1250</v>
      </c>
      <c r="N54" t="s">
        <v>1770</v>
      </c>
      <c r="O54">
        <v>0</v>
      </c>
    </row>
    <row r="55" spans="10:15" x14ac:dyDescent="0.25">
      <c r="J55" t="s">
        <v>1251</v>
      </c>
      <c r="K55" t="s">
        <v>568</v>
      </c>
      <c r="L55">
        <v>1961902</v>
      </c>
      <c r="M55" t="s">
        <v>1282</v>
      </c>
      <c r="N55" t="s">
        <v>1770</v>
      </c>
      <c r="O55">
        <v>0</v>
      </c>
    </row>
    <row r="56" spans="10:15" x14ac:dyDescent="0.25">
      <c r="J56" t="s">
        <v>1251</v>
      </c>
      <c r="K56" t="s">
        <v>568</v>
      </c>
      <c r="L56">
        <v>2499134</v>
      </c>
      <c r="M56" t="s">
        <v>1307</v>
      </c>
      <c r="N56" t="s">
        <v>1770</v>
      </c>
      <c r="O56">
        <v>0</v>
      </c>
    </row>
    <row r="57" spans="10:15" x14ac:dyDescent="0.25">
      <c r="J57" t="s">
        <v>1147</v>
      </c>
      <c r="K57" t="s">
        <v>580</v>
      </c>
      <c r="L57">
        <v>7566271</v>
      </c>
      <c r="M57" t="s">
        <v>1124</v>
      </c>
      <c r="N57" t="s">
        <v>1770</v>
      </c>
      <c r="O57">
        <v>0</v>
      </c>
    </row>
    <row r="58" spans="10:15" x14ac:dyDescent="0.25">
      <c r="J58" t="s">
        <v>1117</v>
      </c>
      <c r="K58" t="s">
        <v>1118</v>
      </c>
      <c r="L58">
        <v>9608144</v>
      </c>
      <c r="M58" t="s">
        <v>1055</v>
      </c>
      <c r="N58" t="s">
        <v>1770</v>
      </c>
      <c r="O58">
        <v>0</v>
      </c>
    </row>
    <row r="59" spans="10:15" x14ac:dyDescent="0.25">
      <c r="J59" t="s">
        <v>1378</v>
      </c>
      <c r="K59" t="s">
        <v>1118</v>
      </c>
      <c r="L59">
        <v>8365172</v>
      </c>
      <c r="M59" t="s">
        <v>1377</v>
      </c>
      <c r="N59" t="s">
        <v>1770</v>
      </c>
      <c r="O59">
        <v>0</v>
      </c>
    </row>
    <row r="60" spans="10:15" x14ac:dyDescent="0.25">
      <c r="J60" t="s">
        <v>1516</v>
      </c>
      <c r="K60" t="s">
        <v>1515</v>
      </c>
      <c r="L60">
        <v>8098643</v>
      </c>
      <c r="M60" t="s">
        <v>1472</v>
      </c>
      <c r="N60" t="s">
        <v>1770</v>
      </c>
      <c r="O60">
        <v>0</v>
      </c>
    </row>
    <row r="61" spans="10:15" x14ac:dyDescent="0.25">
      <c r="J61" t="s">
        <v>1108</v>
      </c>
      <c r="K61" t="s">
        <v>585</v>
      </c>
      <c r="L61">
        <v>8299792</v>
      </c>
      <c r="M61" t="s">
        <v>1055</v>
      </c>
      <c r="N61" t="s">
        <v>1770</v>
      </c>
      <c r="O61">
        <v>0</v>
      </c>
    </row>
    <row r="62" spans="10:15" x14ac:dyDescent="0.25">
      <c r="J62" t="s">
        <v>585</v>
      </c>
      <c r="K62" t="s">
        <v>585</v>
      </c>
      <c r="L62">
        <v>5943218</v>
      </c>
      <c r="M62" t="s">
        <v>1472</v>
      </c>
      <c r="N62" t="s">
        <v>1770</v>
      </c>
      <c r="O62">
        <v>0</v>
      </c>
    </row>
    <row r="63" spans="10:15" x14ac:dyDescent="0.25">
      <c r="J63" t="s">
        <v>594</v>
      </c>
      <c r="K63" t="s">
        <v>1056</v>
      </c>
      <c r="L63">
        <v>1201932</v>
      </c>
      <c r="M63" t="s">
        <v>1055</v>
      </c>
      <c r="N63" t="s">
        <v>1770</v>
      </c>
      <c r="O63">
        <v>0</v>
      </c>
    </row>
    <row r="64" spans="10:15" x14ac:dyDescent="0.25">
      <c r="J64" t="s">
        <v>1395</v>
      </c>
      <c r="K64" t="s">
        <v>1056</v>
      </c>
      <c r="L64">
        <v>5814347</v>
      </c>
      <c r="M64" t="s">
        <v>1394</v>
      </c>
      <c r="N64" t="s">
        <v>1770</v>
      </c>
      <c r="O64">
        <v>0</v>
      </c>
    </row>
    <row r="65" spans="10:15" x14ac:dyDescent="0.25">
      <c r="J65" t="s">
        <v>594</v>
      </c>
      <c r="K65" t="s">
        <v>1056</v>
      </c>
      <c r="L65">
        <v>3454870</v>
      </c>
      <c r="M65" t="s">
        <v>1838</v>
      </c>
      <c r="N65" t="s">
        <v>1770</v>
      </c>
      <c r="O65">
        <v>0</v>
      </c>
    </row>
    <row r="66" spans="10:15" x14ac:dyDescent="0.25">
      <c r="J66" t="s">
        <v>1460</v>
      </c>
      <c r="K66" t="s">
        <v>1056</v>
      </c>
      <c r="L66">
        <v>1537615</v>
      </c>
      <c r="M66" t="s">
        <v>1459</v>
      </c>
      <c r="N66" t="s">
        <v>1770</v>
      </c>
      <c r="O66">
        <v>0</v>
      </c>
    </row>
    <row r="67" spans="10:15" x14ac:dyDescent="0.25">
      <c r="J67" t="s">
        <v>694</v>
      </c>
      <c r="K67" t="s">
        <v>694</v>
      </c>
      <c r="L67">
        <v>2540162</v>
      </c>
      <c r="M67" t="s">
        <v>1155</v>
      </c>
      <c r="N67" t="s">
        <v>1770</v>
      </c>
      <c r="O67">
        <v>0</v>
      </c>
    </row>
    <row r="68" spans="10:15" x14ac:dyDescent="0.25">
      <c r="J68" t="s">
        <v>1473</v>
      </c>
      <c r="K68" t="s">
        <v>698</v>
      </c>
      <c r="L68">
        <v>2390992</v>
      </c>
      <c r="M68" t="s">
        <v>1472</v>
      </c>
      <c r="N68" t="s">
        <v>1770</v>
      </c>
      <c r="O68">
        <v>0</v>
      </c>
    </row>
    <row r="69" spans="10:15" x14ac:dyDescent="0.25">
      <c r="J69" t="s">
        <v>1517</v>
      </c>
      <c r="K69" t="s">
        <v>1517</v>
      </c>
      <c r="L69">
        <v>3028344</v>
      </c>
      <c r="M69" t="s">
        <v>1382</v>
      </c>
      <c r="N69" t="s">
        <v>1770</v>
      </c>
      <c r="O69">
        <v>0</v>
      </c>
    </row>
    <row r="70" spans="10:15" x14ac:dyDescent="0.25">
      <c r="J70" t="s">
        <v>1531</v>
      </c>
      <c r="K70" t="s">
        <v>708</v>
      </c>
      <c r="L70">
        <v>3523407</v>
      </c>
      <c r="M70" t="s">
        <v>1336</v>
      </c>
      <c r="N70" t="s">
        <v>1770</v>
      </c>
      <c r="O70">
        <v>0</v>
      </c>
    </row>
    <row r="71" spans="10:15" x14ac:dyDescent="0.25">
      <c r="J71" t="s">
        <v>1476</v>
      </c>
      <c r="K71" t="s">
        <v>713</v>
      </c>
      <c r="L71">
        <v>3054253</v>
      </c>
      <c r="M71" t="s">
        <v>1472</v>
      </c>
      <c r="N71" t="s">
        <v>1770</v>
      </c>
      <c r="O71">
        <v>0</v>
      </c>
    </row>
    <row r="72" spans="10:15" x14ac:dyDescent="0.25">
      <c r="J72" t="s">
        <v>725</v>
      </c>
      <c r="K72" t="s">
        <v>718</v>
      </c>
      <c r="L72">
        <v>5133257</v>
      </c>
      <c r="M72" t="s">
        <v>1055</v>
      </c>
      <c r="N72" t="s">
        <v>1770</v>
      </c>
      <c r="O72">
        <v>0</v>
      </c>
    </row>
    <row r="73" spans="10:15" x14ac:dyDescent="0.25">
      <c r="J73" t="s">
        <v>721</v>
      </c>
      <c r="K73" t="s">
        <v>718</v>
      </c>
      <c r="L73">
        <v>2757263</v>
      </c>
      <c r="M73" t="s">
        <v>1518</v>
      </c>
      <c r="N73" t="s">
        <v>1770</v>
      </c>
      <c r="O73">
        <v>0</v>
      </c>
    </row>
    <row r="74" spans="10:15" x14ac:dyDescent="0.25">
      <c r="J74" t="s">
        <v>1296</v>
      </c>
      <c r="K74" t="s">
        <v>1297</v>
      </c>
      <c r="L74">
        <v>6684022</v>
      </c>
      <c r="M74" t="s">
        <v>1282</v>
      </c>
      <c r="N74" t="s">
        <v>1770</v>
      </c>
      <c r="O74">
        <v>0</v>
      </c>
    </row>
    <row r="75" spans="10:15" x14ac:dyDescent="0.25">
      <c r="J75" t="s">
        <v>731</v>
      </c>
      <c r="K75" t="s">
        <v>1297</v>
      </c>
      <c r="L75">
        <v>7381195</v>
      </c>
      <c r="M75" t="s">
        <v>1472</v>
      </c>
      <c r="N75" t="s">
        <v>1770</v>
      </c>
      <c r="O75">
        <v>0</v>
      </c>
    </row>
    <row r="76" spans="10:15" x14ac:dyDescent="0.25">
      <c r="J76" t="s">
        <v>735</v>
      </c>
      <c r="K76" t="s">
        <v>733</v>
      </c>
      <c r="L76">
        <v>3040542</v>
      </c>
      <c r="M76" t="s">
        <v>1055</v>
      </c>
      <c r="N76" t="s">
        <v>1770</v>
      </c>
      <c r="O76">
        <v>0</v>
      </c>
    </row>
    <row r="77" spans="10:15" x14ac:dyDescent="0.25">
      <c r="J77" t="s">
        <v>740</v>
      </c>
      <c r="K77" t="s">
        <v>733</v>
      </c>
      <c r="L77">
        <v>8849001</v>
      </c>
      <c r="M77" t="s">
        <v>1055</v>
      </c>
      <c r="N77" t="s">
        <v>1770</v>
      </c>
      <c r="O77">
        <v>0</v>
      </c>
    </row>
    <row r="78" spans="10:15" x14ac:dyDescent="0.25">
      <c r="J78" t="s">
        <v>744</v>
      </c>
      <c r="K78" t="s">
        <v>733</v>
      </c>
      <c r="L78">
        <v>8984742</v>
      </c>
      <c r="M78" t="s">
        <v>1055</v>
      </c>
      <c r="N78" t="s">
        <v>1770</v>
      </c>
      <c r="O78">
        <v>0</v>
      </c>
    </row>
    <row r="79" spans="10:15" x14ac:dyDescent="0.25">
      <c r="J79" t="s">
        <v>1219</v>
      </c>
      <c r="K79" t="s">
        <v>753</v>
      </c>
      <c r="L79">
        <v>9097155</v>
      </c>
      <c r="M79" t="s">
        <v>1155</v>
      </c>
      <c r="N79" t="s">
        <v>1770</v>
      </c>
      <c r="O79">
        <v>0</v>
      </c>
    </row>
    <row r="80" spans="10:15" x14ac:dyDescent="0.25">
      <c r="J80" t="s">
        <v>753</v>
      </c>
      <c r="K80" t="s">
        <v>753</v>
      </c>
      <c r="L80">
        <v>2189349</v>
      </c>
      <c r="M80" t="s">
        <v>1250</v>
      </c>
      <c r="N80" t="s">
        <v>1770</v>
      </c>
      <c r="O80">
        <v>0</v>
      </c>
    </row>
    <row r="81" spans="10:15" x14ac:dyDescent="0.25">
      <c r="J81" t="s">
        <v>760</v>
      </c>
      <c r="K81" t="s">
        <v>760</v>
      </c>
      <c r="L81">
        <v>6466112</v>
      </c>
      <c r="M81" t="s">
        <v>1055</v>
      </c>
      <c r="N81" t="s">
        <v>1770</v>
      </c>
      <c r="O81">
        <v>0</v>
      </c>
    </row>
    <row r="82" spans="10:15" x14ac:dyDescent="0.25">
      <c r="J82" t="s">
        <v>1179</v>
      </c>
      <c r="K82" t="s">
        <v>760</v>
      </c>
      <c r="L82">
        <v>2028356</v>
      </c>
      <c r="M82" t="s">
        <v>1155</v>
      </c>
      <c r="N82" t="s">
        <v>1770</v>
      </c>
      <c r="O82">
        <v>0</v>
      </c>
    </row>
    <row r="83" spans="10:15" x14ac:dyDescent="0.25">
      <c r="J83" t="s">
        <v>772</v>
      </c>
      <c r="K83" t="s">
        <v>760</v>
      </c>
      <c r="L83">
        <v>7741294</v>
      </c>
      <c r="M83" t="s">
        <v>1155</v>
      </c>
      <c r="N83" t="s">
        <v>1770</v>
      </c>
      <c r="O83">
        <v>0</v>
      </c>
    </row>
    <row r="84" spans="10:15" x14ac:dyDescent="0.25">
      <c r="J84" t="s">
        <v>760</v>
      </c>
      <c r="K84" t="s">
        <v>760</v>
      </c>
      <c r="L84">
        <v>5947102</v>
      </c>
      <c r="M84" t="s">
        <v>1232</v>
      </c>
      <c r="N84" t="s">
        <v>1770</v>
      </c>
      <c r="O84">
        <v>0</v>
      </c>
    </row>
    <row r="85" spans="10:15" x14ac:dyDescent="0.25">
      <c r="J85" t="s">
        <v>1355</v>
      </c>
      <c r="K85" t="s">
        <v>760</v>
      </c>
      <c r="L85">
        <v>3854293</v>
      </c>
      <c r="M85" t="s">
        <v>1250</v>
      </c>
      <c r="N85" t="s">
        <v>1770</v>
      </c>
      <c r="O85">
        <v>0</v>
      </c>
    </row>
    <row r="86" spans="10:15" x14ac:dyDescent="0.25">
      <c r="J86" t="s">
        <v>760</v>
      </c>
      <c r="K86" t="s">
        <v>760</v>
      </c>
      <c r="L86">
        <v>4461551</v>
      </c>
      <c r="M86" t="s">
        <v>1250</v>
      </c>
      <c r="N86" t="s">
        <v>1770</v>
      </c>
      <c r="O86">
        <v>0</v>
      </c>
    </row>
    <row r="87" spans="10:15" x14ac:dyDescent="0.25">
      <c r="J87" t="s">
        <v>1532</v>
      </c>
      <c r="K87" t="s">
        <v>760</v>
      </c>
      <c r="L87">
        <v>4167967</v>
      </c>
      <c r="M87" t="s">
        <v>1311</v>
      </c>
      <c r="N87" t="s">
        <v>1770</v>
      </c>
      <c r="O87">
        <v>0</v>
      </c>
    </row>
    <row r="88" spans="10:15" x14ac:dyDescent="0.25">
      <c r="J88" t="s">
        <v>1355</v>
      </c>
      <c r="K88" t="s">
        <v>760</v>
      </c>
      <c r="L88">
        <v>6627771</v>
      </c>
      <c r="M88" t="s">
        <v>1346</v>
      </c>
      <c r="N88" t="s">
        <v>1770</v>
      </c>
      <c r="O88">
        <v>0</v>
      </c>
    </row>
    <row r="89" spans="10:15" x14ac:dyDescent="0.25">
      <c r="J89" t="s">
        <v>1548</v>
      </c>
      <c r="K89" t="s">
        <v>760</v>
      </c>
      <c r="L89">
        <v>9000004</v>
      </c>
      <c r="M89" t="s">
        <v>1839</v>
      </c>
      <c r="N89" t="s">
        <v>1770</v>
      </c>
      <c r="O89">
        <v>0</v>
      </c>
    </row>
    <row r="90" spans="10:15" x14ac:dyDescent="0.25">
      <c r="J90" t="s">
        <v>1550</v>
      </c>
      <c r="K90" t="s">
        <v>760</v>
      </c>
      <c r="L90">
        <v>9000005</v>
      </c>
      <c r="M90" t="s">
        <v>1840</v>
      </c>
      <c r="N90" t="s">
        <v>1770</v>
      </c>
      <c r="O90">
        <v>0</v>
      </c>
    </row>
    <row r="91" spans="10:15" x14ac:dyDescent="0.25">
      <c r="J91" t="s">
        <v>1092</v>
      </c>
      <c r="K91" t="s">
        <v>776</v>
      </c>
      <c r="L91">
        <v>5903063</v>
      </c>
      <c r="M91" t="s">
        <v>1055</v>
      </c>
      <c r="N91" t="s">
        <v>1770</v>
      </c>
      <c r="O91">
        <v>0</v>
      </c>
    </row>
    <row r="92" spans="10:15" x14ac:dyDescent="0.25">
      <c r="J92" t="s">
        <v>1075</v>
      </c>
      <c r="K92" t="s">
        <v>776</v>
      </c>
      <c r="L92">
        <v>2886510</v>
      </c>
      <c r="M92" t="s">
        <v>1055</v>
      </c>
      <c r="N92" t="s">
        <v>1770</v>
      </c>
      <c r="O92">
        <v>0</v>
      </c>
    </row>
    <row r="93" spans="10:15" x14ac:dyDescent="0.25">
      <c r="J93" t="s">
        <v>1200</v>
      </c>
      <c r="K93" t="s">
        <v>776</v>
      </c>
      <c r="L93">
        <v>5376966</v>
      </c>
      <c r="M93" t="s">
        <v>1155</v>
      </c>
      <c r="N93" t="s">
        <v>1770</v>
      </c>
      <c r="O93">
        <v>0</v>
      </c>
    </row>
    <row r="94" spans="10:15" x14ac:dyDescent="0.25">
      <c r="J94" t="s">
        <v>780</v>
      </c>
      <c r="K94" t="s">
        <v>776</v>
      </c>
      <c r="L94">
        <v>1840658</v>
      </c>
      <c r="M94" t="s">
        <v>1366</v>
      </c>
      <c r="N94" t="s">
        <v>1770</v>
      </c>
      <c r="O94">
        <v>0</v>
      </c>
    </row>
    <row r="95" spans="10:15" x14ac:dyDescent="0.25">
      <c r="J95" t="s">
        <v>1383</v>
      </c>
      <c r="K95" t="s">
        <v>776</v>
      </c>
      <c r="L95">
        <v>1236570</v>
      </c>
      <c r="M95" t="s">
        <v>1382</v>
      </c>
      <c r="N95" t="s">
        <v>1770</v>
      </c>
      <c r="O95">
        <v>0</v>
      </c>
    </row>
    <row r="96" spans="10:15" x14ac:dyDescent="0.25">
      <c r="J96" t="s">
        <v>1388</v>
      </c>
      <c r="K96" t="s">
        <v>776</v>
      </c>
      <c r="L96">
        <v>4699567</v>
      </c>
      <c r="M96" t="s">
        <v>1382</v>
      </c>
      <c r="N96" t="s">
        <v>1770</v>
      </c>
      <c r="O96">
        <v>0</v>
      </c>
    </row>
    <row r="97" spans="10:15" x14ac:dyDescent="0.25">
      <c r="J97" t="s">
        <v>1401</v>
      </c>
      <c r="K97" t="s">
        <v>776</v>
      </c>
      <c r="L97">
        <v>6585534</v>
      </c>
      <c r="M97" t="s">
        <v>1400</v>
      </c>
      <c r="N97" t="s">
        <v>1770</v>
      </c>
      <c r="O97">
        <v>0</v>
      </c>
    </row>
    <row r="98" spans="10:15" x14ac:dyDescent="0.25">
      <c r="J98" t="s">
        <v>1388</v>
      </c>
      <c r="K98" t="s">
        <v>776</v>
      </c>
      <c r="L98">
        <v>7832444</v>
      </c>
      <c r="M98" t="s">
        <v>1403</v>
      </c>
      <c r="N98" t="s">
        <v>1770</v>
      </c>
      <c r="O98">
        <v>0</v>
      </c>
    </row>
    <row r="99" spans="10:15" x14ac:dyDescent="0.25">
      <c r="J99" t="s">
        <v>1388</v>
      </c>
      <c r="K99" t="s">
        <v>776</v>
      </c>
      <c r="L99">
        <v>1968420</v>
      </c>
      <c r="M99" t="s">
        <v>1423</v>
      </c>
      <c r="N99" t="s">
        <v>1770</v>
      </c>
      <c r="O99">
        <v>0</v>
      </c>
    </row>
    <row r="100" spans="10:15" x14ac:dyDescent="0.25">
      <c r="J100" t="s">
        <v>1388</v>
      </c>
      <c r="K100" t="s">
        <v>776</v>
      </c>
      <c r="L100">
        <v>2813024</v>
      </c>
      <c r="M100" t="s">
        <v>1472</v>
      </c>
      <c r="N100" t="s">
        <v>1770</v>
      </c>
      <c r="O100">
        <v>0</v>
      </c>
    </row>
    <row r="101" spans="10:15" x14ac:dyDescent="0.25">
      <c r="J101" t="s">
        <v>1547</v>
      </c>
      <c r="K101" t="s">
        <v>776</v>
      </c>
      <c r="L101">
        <v>9000003</v>
      </c>
      <c r="M101" t="s">
        <v>1839</v>
      </c>
      <c r="N101" t="s">
        <v>1770</v>
      </c>
      <c r="O101">
        <v>0</v>
      </c>
    </row>
    <row r="102" spans="10:15" x14ac:dyDescent="0.25">
      <c r="J102" t="s">
        <v>792</v>
      </c>
      <c r="K102" t="s">
        <v>805</v>
      </c>
      <c r="L102">
        <v>9554713</v>
      </c>
      <c r="M102" t="s">
        <v>1155</v>
      </c>
      <c r="N102" t="s">
        <v>1770</v>
      </c>
      <c r="O102">
        <v>0</v>
      </c>
    </row>
    <row r="103" spans="10:15" x14ac:dyDescent="0.25">
      <c r="J103" t="s">
        <v>1406</v>
      </c>
      <c r="K103" t="s">
        <v>805</v>
      </c>
      <c r="L103">
        <v>1738957</v>
      </c>
      <c r="M103" t="s">
        <v>1405</v>
      </c>
      <c r="N103" t="s">
        <v>1770</v>
      </c>
      <c r="O103">
        <v>0</v>
      </c>
    </row>
    <row r="104" spans="10:15" x14ac:dyDescent="0.25">
      <c r="J104" t="s">
        <v>1411</v>
      </c>
      <c r="K104" t="s">
        <v>805</v>
      </c>
      <c r="L104">
        <v>2315315</v>
      </c>
      <c r="M104" t="s">
        <v>1405</v>
      </c>
      <c r="N104" t="s">
        <v>1770</v>
      </c>
      <c r="O104">
        <v>0</v>
      </c>
    </row>
    <row r="105" spans="10:15" x14ac:dyDescent="0.25">
      <c r="J105" t="s">
        <v>810</v>
      </c>
      <c r="K105" t="s">
        <v>805</v>
      </c>
      <c r="L105">
        <v>6607461</v>
      </c>
      <c r="M105" t="s">
        <v>1405</v>
      </c>
      <c r="N105" t="s">
        <v>1770</v>
      </c>
      <c r="O105">
        <v>0</v>
      </c>
    </row>
    <row r="106" spans="10:15" x14ac:dyDescent="0.25">
      <c r="J106" t="s">
        <v>379</v>
      </c>
      <c r="K106" t="s">
        <v>805</v>
      </c>
      <c r="L106">
        <v>1907533</v>
      </c>
      <c r="M106" t="s">
        <v>1427</v>
      </c>
      <c r="N106" t="s">
        <v>1770</v>
      </c>
      <c r="O106">
        <v>0</v>
      </c>
    </row>
    <row r="107" spans="10:15" x14ac:dyDescent="0.25">
      <c r="J107" t="s">
        <v>1204</v>
      </c>
      <c r="K107" t="s">
        <v>812</v>
      </c>
      <c r="L107">
        <v>6161785</v>
      </c>
      <c r="M107" t="s">
        <v>1155</v>
      </c>
      <c r="N107" t="s">
        <v>1770</v>
      </c>
      <c r="O107">
        <v>0</v>
      </c>
    </row>
    <row r="108" spans="10:15" x14ac:dyDescent="0.25">
      <c r="J108" t="s">
        <v>818</v>
      </c>
      <c r="K108" t="s">
        <v>812</v>
      </c>
      <c r="L108">
        <v>9064643</v>
      </c>
      <c r="M108" t="s">
        <v>1382</v>
      </c>
      <c r="N108" t="s">
        <v>1770</v>
      </c>
      <c r="O108">
        <v>0</v>
      </c>
    </row>
    <row r="109" spans="10:15" x14ac:dyDescent="0.25">
      <c r="J109" t="s">
        <v>1519</v>
      </c>
      <c r="K109" t="s">
        <v>812</v>
      </c>
      <c r="L109">
        <v>3961063</v>
      </c>
      <c r="M109" t="s">
        <v>1520</v>
      </c>
      <c r="N109" t="s">
        <v>1770</v>
      </c>
      <c r="O109">
        <v>0</v>
      </c>
    </row>
    <row r="110" spans="10:15" x14ac:dyDescent="0.25">
      <c r="J110" t="s">
        <v>1166</v>
      </c>
      <c r="K110" t="s">
        <v>821</v>
      </c>
      <c r="L110">
        <v>1356155</v>
      </c>
      <c r="M110" t="s">
        <v>1155</v>
      </c>
      <c r="N110" t="s">
        <v>1770</v>
      </c>
      <c r="O110">
        <v>0</v>
      </c>
    </row>
    <row r="111" spans="10:15" x14ac:dyDescent="0.25">
      <c r="J111" t="s">
        <v>1328</v>
      </c>
      <c r="K111" t="s">
        <v>821</v>
      </c>
      <c r="L111">
        <v>5894253</v>
      </c>
      <c r="M111" t="s">
        <v>1316</v>
      </c>
      <c r="N111" t="s">
        <v>1770</v>
      </c>
      <c r="O111">
        <v>0</v>
      </c>
    </row>
    <row r="112" spans="10:15" x14ac:dyDescent="0.25">
      <c r="J112" t="s">
        <v>831</v>
      </c>
      <c r="K112" t="s">
        <v>831</v>
      </c>
      <c r="L112">
        <v>7235281</v>
      </c>
      <c r="M112" t="s">
        <v>1055</v>
      </c>
      <c r="N112" t="s">
        <v>1770</v>
      </c>
      <c r="O112">
        <v>0</v>
      </c>
    </row>
    <row r="113" spans="10:15" x14ac:dyDescent="0.25">
      <c r="J113" t="s">
        <v>377</v>
      </c>
      <c r="K113" t="s">
        <v>826</v>
      </c>
      <c r="L113">
        <v>7459230</v>
      </c>
      <c r="M113" t="s">
        <v>1124</v>
      </c>
      <c r="N113" t="s">
        <v>1770</v>
      </c>
      <c r="O113">
        <v>0</v>
      </c>
    </row>
    <row r="114" spans="10:15" x14ac:dyDescent="0.25">
      <c r="J114" t="s">
        <v>829</v>
      </c>
      <c r="K114" t="s">
        <v>826</v>
      </c>
      <c r="L114">
        <v>3110951</v>
      </c>
      <c r="M114" t="s">
        <v>1155</v>
      </c>
      <c r="N114" t="s">
        <v>1770</v>
      </c>
      <c r="O114">
        <v>0</v>
      </c>
    </row>
    <row r="115" spans="10:15" x14ac:dyDescent="0.25">
      <c r="J115" t="s">
        <v>828</v>
      </c>
      <c r="K115" t="s">
        <v>826</v>
      </c>
      <c r="L115">
        <v>2788586</v>
      </c>
      <c r="M115" t="s">
        <v>1427</v>
      </c>
      <c r="N115" t="s">
        <v>1770</v>
      </c>
      <c r="O115">
        <v>0</v>
      </c>
    </row>
    <row r="116" spans="10:15" x14ac:dyDescent="0.25">
      <c r="J116" t="s">
        <v>1362</v>
      </c>
      <c r="K116" t="s">
        <v>1362</v>
      </c>
      <c r="L116">
        <v>9142033</v>
      </c>
      <c r="M116" t="s">
        <v>1361</v>
      </c>
      <c r="N116" t="s">
        <v>1770</v>
      </c>
      <c r="O116">
        <v>0</v>
      </c>
    </row>
    <row r="117" spans="10:15" x14ac:dyDescent="0.25">
      <c r="J117" t="s">
        <v>1391</v>
      </c>
      <c r="K117" t="s">
        <v>1521</v>
      </c>
      <c r="L117">
        <v>2438469</v>
      </c>
      <c r="M117" t="s">
        <v>1382</v>
      </c>
      <c r="N117" t="s">
        <v>1770</v>
      </c>
      <c r="O117">
        <v>0</v>
      </c>
    </row>
    <row r="118" spans="10:15" x14ac:dyDescent="0.25">
      <c r="J118" t="s">
        <v>844</v>
      </c>
      <c r="K118" t="s">
        <v>842</v>
      </c>
      <c r="L118">
        <v>6698987</v>
      </c>
      <c r="M118" t="s">
        <v>1055</v>
      </c>
      <c r="N118" t="s">
        <v>1770</v>
      </c>
      <c r="O118">
        <v>0</v>
      </c>
    </row>
    <row r="119" spans="10:15" x14ac:dyDescent="0.25">
      <c r="J119" t="s">
        <v>846</v>
      </c>
      <c r="K119" t="s">
        <v>842</v>
      </c>
      <c r="L119">
        <v>8350990</v>
      </c>
      <c r="M119" t="s">
        <v>1405</v>
      </c>
      <c r="N119" t="s">
        <v>1770</v>
      </c>
      <c r="O119">
        <v>0</v>
      </c>
    </row>
    <row r="120" spans="10:15" x14ac:dyDescent="0.25">
      <c r="J120" t="s">
        <v>1504</v>
      </c>
      <c r="K120" t="s">
        <v>849</v>
      </c>
      <c r="L120">
        <v>8172268</v>
      </c>
      <c r="M120" t="s">
        <v>1472</v>
      </c>
      <c r="N120" t="s">
        <v>1770</v>
      </c>
      <c r="O120">
        <v>0</v>
      </c>
    </row>
    <row r="121" spans="10:15" x14ac:dyDescent="0.25">
      <c r="J121" t="s">
        <v>1482</v>
      </c>
      <c r="K121" t="s">
        <v>849</v>
      </c>
      <c r="L121">
        <v>3741470</v>
      </c>
      <c r="M121" t="s">
        <v>1472</v>
      </c>
      <c r="N121" t="s">
        <v>1770</v>
      </c>
      <c r="O121">
        <v>0</v>
      </c>
    </row>
    <row r="122" spans="10:15" x14ac:dyDescent="0.25">
      <c r="J122" t="s">
        <v>1495</v>
      </c>
      <c r="K122" t="s">
        <v>849</v>
      </c>
      <c r="L122">
        <v>6948137</v>
      </c>
      <c r="M122" t="s">
        <v>1472</v>
      </c>
      <c r="N122" t="s">
        <v>1770</v>
      </c>
      <c r="O122">
        <v>0</v>
      </c>
    </row>
    <row r="123" spans="10:15" x14ac:dyDescent="0.25">
      <c r="J123" t="s">
        <v>873</v>
      </c>
      <c r="K123" t="s">
        <v>871</v>
      </c>
      <c r="L123">
        <v>9775815</v>
      </c>
      <c r="M123" t="s">
        <v>1055</v>
      </c>
      <c r="N123" t="s">
        <v>1770</v>
      </c>
      <c r="O123">
        <v>0</v>
      </c>
    </row>
    <row r="124" spans="10:15" x14ac:dyDescent="0.25">
      <c r="J124" t="s">
        <v>877</v>
      </c>
      <c r="K124" t="s">
        <v>874</v>
      </c>
      <c r="L124">
        <v>1378201</v>
      </c>
      <c r="M124" t="s">
        <v>1241</v>
      </c>
      <c r="N124" t="s">
        <v>1770</v>
      </c>
      <c r="O124">
        <v>0</v>
      </c>
    </row>
    <row r="125" spans="10:15" x14ac:dyDescent="0.25">
      <c r="J125" t="s">
        <v>878</v>
      </c>
      <c r="K125" t="s">
        <v>874</v>
      </c>
      <c r="L125">
        <v>1552469</v>
      </c>
      <c r="M125" t="s">
        <v>1451</v>
      </c>
      <c r="N125" t="s">
        <v>1770</v>
      </c>
      <c r="O125">
        <v>0</v>
      </c>
    </row>
    <row r="126" spans="10:15" x14ac:dyDescent="0.25">
      <c r="J126" t="s">
        <v>1522</v>
      </c>
      <c r="K126" t="s">
        <v>874</v>
      </c>
      <c r="L126">
        <v>9818505</v>
      </c>
      <c r="M126" t="s">
        <v>1472</v>
      </c>
      <c r="N126" t="s">
        <v>1770</v>
      </c>
      <c r="O126">
        <v>0</v>
      </c>
    </row>
    <row r="127" spans="10:15" x14ac:dyDescent="0.25">
      <c r="J127" t="s">
        <v>1523</v>
      </c>
      <c r="K127" t="s">
        <v>874</v>
      </c>
      <c r="L127">
        <v>7805491</v>
      </c>
      <c r="M127" t="s">
        <v>1472</v>
      </c>
      <c r="N127" t="s">
        <v>1770</v>
      </c>
      <c r="O127">
        <v>0</v>
      </c>
    </row>
    <row r="128" spans="10:15" x14ac:dyDescent="0.25">
      <c r="J128" t="s">
        <v>879</v>
      </c>
      <c r="K128" t="s">
        <v>874</v>
      </c>
      <c r="L128">
        <v>6473703</v>
      </c>
      <c r="M128" t="s">
        <v>1472</v>
      </c>
      <c r="N128" t="s">
        <v>1770</v>
      </c>
      <c r="O128">
        <v>0</v>
      </c>
    </row>
    <row r="129" spans="10:15" x14ac:dyDescent="0.25">
      <c r="J129" t="s">
        <v>1176</v>
      </c>
      <c r="K129" t="s">
        <v>1176</v>
      </c>
      <c r="L129">
        <v>1826777</v>
      </c>
      <c r="M129" t="s">
        <v>1155</v>
      </c>
      <c r="N129" t="s">
        <v>1770</v>
      </c>
      <c r="O129">
        <v>0</v>
      </c>
    </row>
    <row r="130" spans="10:15" x14ac:dyDescent="0.25">
      <c r="J130" t="s">
        <v>1176</v>
      </c>
      <c r="K130" t="s">
        <v>1176</v>
      </c>
      <c r="L130">
        <v>5060032</v>
      </c>
      <c r="M130" t="s">
        <v>1250</v>
      </c>
      <c r="N130" t="s">
        <v>1770</v>
      </c>
      <c r="O130">
        <v>0</v>
      </c>
    </row>
    <row r="131" spans="10:15" x14ac:dyDescent="0.25">
      <c r="J131" t="s">
        <v>377</v>
      </c>
      <c r="K131" t="s">
        <v>887</v>
      </c>
      <c r="L131">
        <v>5991938</v>
      </c>
      <c r="M131" t="s">
        <v>1124</v>
      </c>
      <c r="N131" t="s">
        <v>1770</v>
      </c>
      <c r="O131">
        <v>0</v>
      </c>
    </row>
    <row r="132" spans="10:15" x14ac:dyDescent="0.25">
      <c r="J132" t="s">
        <v>899</v>
      </c>
      <c r="K132" t="s">
        <v>897</v>
      </c>
      <c r="L132">
        <v>2174839</v>
      </c>
      <c r="M132" t="s">
        <v>1405</v>
      </c>
      <c r="N132" t="s">
        <v>1770</v>
      </c>
      <c r="O132">
        <v>0</v>
      </c>
    </row>
    <row r="133" spans="10:15" x14ac:dyDescent="0.25">
      <c r="J133" t="s">
        <v>1551</v>
      </c>
      <c r="K133" t="s">
        <v>1552</v>
      </c>
      <c r="L133">
        <v>4441304</v>
      </c>
      <c r="M133" t="s">
        <v>1459</v>
      </c>
      <c r="N133" t="s">
        <v>1770</v>
      </c>
      <c r="O133">
        <v>0</v>
      </c>
    </row>
    <row r="134" spans="10:15" x14ac:dyDescent="0.25">
      <c r="J134" t="s">
        <v>905</v>
      </c>
      <c r="K134" t="s">
        <v>902</v>
      </c>
      <c r="L134">
        <v>4659873</v>
      </c>
      <c r="M134" t="s">
        <v>1472</v>
      </c>
      <c r="N134" t="s">
        <v>1770</v>
      </c>
      <c r="O134">
        <v>0</v>
      </c>
    </row>
    <row r="135" spans="10:15" x14ac:dyDescent="0.25">
      <c r="J135" t="s">
        <v>1421</v>
      </c>
      <c r="K135" t="s">
        <v>909</v>
      </c>
      <c r="L135">
        <v>8411392</v>
      </c>
      <c r="M135" t="s">
        <v>1405</v>
      </c>
      <c r="N135" t="s">
        <v>1770</v>
      </c>
      <c r="O135">
        <v>0</v>
      </c>
    </row>
    <row r="136" spans="10:15" x14ac:dyDescent="0.25">
      <c r="J136" t="s">
        <v>1549</v>
      </c>
      <c r="K136" t="s">
        <v>909</v>
      </c>
      <c r="L136">
        <v>3588592</v>
      </c>
      <c r="M136" t="s">
        <v>1427</v>
      </c>
      <c r="N136" t="s">
        <v>1770</v>
      </c>
      <c r="O136">
        <v>0</v>
      </c>
    </row>
    <row r="137" spans="10:15" x14ac:dyDescent="0.25">
      <c r="J137" t="s">
        <v>1524</v>
      </c>
      <c r="K137" t="s">
        <v>909</v>
      </c>
      <c r="L137">
        <v>4533728</v>
      </c>
      <c r="M137" t="s">
        <v>1427</v>
      </c>
      <c r="N137" t="s">
        <v>1770</v>
      </c>
      <c r="O137">
        <v>0</v>
      </c>
    </row>
    <row r="138" spans="10:15" x14ac:dyDescent="0.25">
      <c r="J138" t="s">
        <v>1553</v>
      </c>
      <c r="K138" t="s">
        <v>909</v>
      </c>
      <c r="L138">
        <v>4467429</v>
      </c>
      <c r="M138" t="s">
        <v>1427</v>
      </c>
      <c r="N138" t="s">
        <v>1770</v>
      </c>
      <c r="O138">
        <v>0</v>
      </c>
    </row>
    <row r="139" spans="10:15" x14ac:dyDescent="0.25">
      <c r="J139" t="s">
        <v>918</v>
      </c>
      <c r="K139" t="s">
        <v>909</v>
      </c>
      <c r="L139">
        <v>9659243</v>
      </c>
      <c r="M139" t="s">
        <v>1427</v>
      </c>
      <c r="N139" t="s">
        <v>1770</v>
      </c>
      <c r="O139">
        <v>0</v>
      </c>
    </row>
    <row r="140" spans="10:15" x14ac:dyDescent="0.25">
      <c r="J140" t="s">
        <v>1294</v>
      </c>
      <c r="K140" t="s">
        <v>922</v>
      </c>
      <c r="L140">
        <v>6041962</v>
      </c>
      <c r="M140" t="s">
        <v>1282</v>
      </c>
      <c r="N140" t="s">
        <v>1770</v>
      </c>
      <c r="O140">
        <v>0</v>
      </c>
    </row>
    <row r="141" spans="10:15" x14ac:dyDescent="0.25">
      <c r="J141" t="s">
        <v>1357</v>
      </c>
      <c r="K141" t="s">
        <v>922</v>
      </c>
      <c r="L141">
        <v>8051895</v>
      </c>
      <c r="M141" t="s">
        <v>1346</v>
      </c>
      <c r="N141" t="s">
        <v>1770</v>
      </c>
      <c r="O141">
        <v>0</v>
      </c>
    </row>
    <row r="142" spans="10:15" x14ac:dyDescent="0.25">
      <c r="J142" t="s">
        <v>1246</v>
      </c>
      <c r="K142" t="s">
        <v>1247</v>
      </c>
      <c r="L142">
        <v>7846871</v>
      </c>
      <c r="M142" t="s">
        <v>1241</v>
      </c>
      <c r="N142" t="s">
        <v>1770</v>
      </c>
      <c r="O142">
        <v>0</v>
      </c>
    </row>
    <row r="143" spans="10:15" x14ac:dyDescent="0.25">
      <c r="J143" t="s">
        <v>1351</v>
      </c>
      <c r="K143" t="s">
        <v>1247</v>
      </c>
      <c r="L143">
        <v>5871375</v>
      </c>
      <c r="M143" t="s">
        <v>1346</v>
      </c>
      <c r="N143" t="s">
        <v>1770</v>
      </c>
      <c r="O143">
        <v>0</v>
      </c>
    </row>
    <row r="144" spans="10:15" x14ac:dyDescent="0.25">
      <c r="J144" t="s">
        <v>1455</v>
      </c>
      <c r="K144" t="s">
        <v>1247</v>
      </c>
      <c r="L144">
        <v>7263765</v>
      </c>
      <c r="M144" t="s">
        <v>1451</v>
      </c>
      <c r="N144" t="s">
        <v>1770</v>
      </c>
      <c r="O144">
        <v>0</v>
      </c>
    </row>
    <row r="145" spans="10:15" x14ac:dyDescent="0.25">
      <c r="J145" t="s">
        <v>1479</v>
      </c>
      <c r="K145" t="s">
        <v>1247</v>
      </c>
      <c r="L145">
        <v>3595008</v>
      </c>
      <c r="M145" t="s">
        <v>1472</v>
      </c>
      <c r="N145" t="s">
        <v>1770</v>
      </c>
      <c r="O145">
        <v>0</v>
      </c>
    </row>
    <row r="146" spans="10:15" x14ac:dyDescent="0.25">
      <c r="J146" t="s">
        <v>962</v>
      </c>
      <c r="K146" t="s">
        <v>962</v>
      </c>
      <c r="L146">
        <v>1715626</v>
      </c>
      <c r="M146" t="s">
        <v>1124</v>
      </c>
      <c r="N146" t="s">
        <v>1770</v>
      </c>
      <c r="O146">
        <v>0</v>
      </c>
    </row>
    <row r="147" spans="10:15" x14ac:dyDescent="0.25">
      <c r="J147" t="s">
        <v>962</v>
      </c>
      <c r="K147" t="s">
        <v>962</v>
      </c>
      <c r="L147">
        <v>3921078</v>
      </c>
      <c r="M147" t="s">
        <v>1155</v>
      </c>
      <c r="N147" t="s">
        <v>1770</v>
      </c>
      <c r="O147">
        <v>0</v>
      </c>
    </row>
    <row r="148" spans="10:15" x14ac:dyDescent="0.25">
      <c r="J148" t="s">
        <v>1525</v>
      </c>
      <c r="K148" t="s">
        <v>965</v>
      </c>
      <c r="L148">
        <v>3198258</v>
      </c>
      <c r="M148" t="s">
        <v>1124</v>
      </c>
      <c r="N148" t="s">
        <v>1770</v>
      </c>
      <c r="O148">
        <v>0</v>
      </c>
    </row>
    <row r="149" spans="10:15" x14ac:dyDescent="0.25">
      <c r="J149" t="s">
        <v>1140</v>
      </c>
      <c r="K149" t="s">
        <v>1141</v>
      </c>
      <c r="L149">
        <v>4271738</v>
      </c>
      <c r="M149" t="s">
        <v>1124</v>
      </c>
      <c r="N149" t="s">
        <v>1770</v>
      </c>
      <c r="O149">
        <v>0</v>
      </c>
    </row>
    <row r="150" spans="10:15" x14ac:dyDescent="0.25">
      <c r="J150" t="s">
        <v>684</v>
      </c>
      <c r="K150" t="s">
        <v>969</v>
      </c>
      <c r="L150">
        <v>1622964</v>
      </c>
      <c r="M150" t="s">
        <v>1250</v>
      </c>
      <c r="N150" t="s">
        <v>1770</v>
      </c>
      <c r="O150">
        <v>0</v>
      </c>
    </row>
    <row r="151" spans="10:15" x14ac:dyDescent="0.25">
      <c r="J151" t="s">
        <v>389</v>
      </c>
      <c r="K151" t="s">
        <v>969</v>
      </c>
      <c r="L151">
        <v>8979890</v>
      </c>
      <c r="M151" t="s">
        <v>1282</v>
      </c>
      <c r="N151" t="s">
        <v>1770</v>
      </c>
      <c r="O151">
        <v>0</v>
      </c>
    </row>
    <row r="152" spans="10:15" x14ac:dyDescent="0.25">
      <c r="J152" t="s">
        <v>1534</v>
      </c>
      <c r="K152" t="s">
        <v>1533</v>
      </c>
      <c r="L152">
        <v>8477576</v>
      </c>
      <c r="M152" t="s">
        <v>1377</v>
      </c>
      <c r="N152" t="s">
        <v>1770</v>
      </c>
      <c r="O152">
        <v>0</v>
      </c>
    </row>
    <row r="153" spans="10:15" x14ac:dyDescent="0.25">
      <c r="J153" t="s">
        <v>1535</v>
      </c>
      <c r="K153" t="s">
        <v>1533</v>
      </c>
      <c r="L153">
        <v>4385424</v>
      </c>
      <c r="M153" t="s">
        <v>1472</v>
      </c>
      <c r="N153" t="s">
        <v>1770</v>
      </c>
      <c r="O153">
        <v>0</v>
      </c>
    </row>
    <row r="154" spans="10:15" x14ac:dyDescent="0.25">
      <c r="J154" t="s">
        <v>1066</v>
      </c>
      <c r="K154" t="s">
        <v>1067</v>
      </c>
      <c r="L154">
        <v>5700178</v>
      </c>
      <c r="M154" t="s">
        <v>1055</v>
      </c>
      <c r="N154" t="s">
        <v>1770</v>
      </c>
      <c r="O154">
        <v>0</v>
      </c>
    </row>
    <row r="155" spans="10:15" x14ac:dyDescent="0.25">
      <c r="J155" t="s">
        <v>1066</v>
      </c>
      <c r="K155" t="s">
        <v>1067</v>
      </c>
      <c r="L155">
        <v>6811251</v>
      </c>
      <c r="M155" t="s">
        <v>1055</v>
      </c>
      <c r="N155" t="s">
        <v>1770</v>
      </c>
      <c r="O155">
        <v>0</v>
      </c>
    </row>
    <row r="156" spans="10:15" x14ac:dyDescent="0.25">
      <c r="J156" t="s">
        <v>1066</v>
      </c>
      <c r="K156" t="s">
        <v>1067</v>
      </c>
      <c r="L156">
        <v>2093343</v>
      </c>
      <c r="M156" t="s">
        <v>1055</v>
      </c>
      <c r="N156" t="s">
        <v>1770</v>
      </c>
      <c r="O156">
        <v>0</v>
      </c>
    </row>
    <row r="157" spans="10:15" x14ac:dyDescent="0.25">
      <c r="J157" t="s">
        <v>1239</v>
      </c>
      <c r="K157" t="s">
        <v>1067</v>
      </c>
      <c r="L157">
        <v>3736692</v>
      </c>
      <c r="M157" t="s">
        <v>1238</v>
      </c>
      <c r="N157" t="s">
        <v>1770</v>
      </c>
      <c r="O157">
        <v>0</v>
      </c>
    </row>
    <row r="158" spans="10:15" x14ac:dyDescent="0.25">
      <c r="J158" t="s">
        <v>1448</v>
      </c>
      <c r="K158" t="s">
        <v>1067</v>
      </c>
      <c r="L158">
        <v>1792038</v>
      </c>
      <c r="M158" t="s">
        <v>1447</v>
      </c>
      <c r="N158" t="s">
        <v>1770</v>
      </c>
      <c r="O158">
        <v>0</v>
      </c>
    </row>
    <row r="159" spans="10:15" x14ac:dyDescent="0.25">
      <c r="J159" t="s">
        <v>1485</v>
      </c>
      <c r="K159" t="s">
        <v>1067</v>
      </c>
      <c r="L159">
        <v>4373225</v>
      </c>
      <c r="M159" t="s">
        <v>1472</v>
      </c>
      <c r="N159" t="s">
        <v>1770</v>
      </c>
      <c r="O159">
        <v>0</v>
      </c>
    </row>
    <row r="160" spans="10:15" x14ac:dyDescent="0.25">
      <c r="J160" t="s">
        <v>1537</v>
      </c>
      <c r="K160" t="s">
        <v>1536</v>
      </c>
      <c r="L160">
        <v>7175172</v>
      </c>
      <c r="M160" t="s">
        <v>1472</v>
      </c>
      <c r="N160" t="s">
        <v>1770</v>
      </c>
      <c r="O160">
        <v>0</v>
      </c>
    </row>
    <row r="161" spans="10:15" x14ac:dyDescent="0.25">
      <c r="J161" t="s">
        <v>1010</v>
      </c>
      <c r="K161" t="s">
        <v>1010</v>
      </c>
      <c r="L161">
        <v>2495303</v>
      </c>
      <c r="M161" t="s">
        <v>1124</v>
      </c>
      <c r="N161" t="s">
        <v>1770</v>
      </c>
      <c r="O161">
        <v>0</v>
      </c>
    </row>
    <row r="162" spans="10:15" x14ac:dyDescent="0.25">
      <c r="J162" t="s">
        <v>1010</v>
      </c>
      <c r="K162" t="s">
        <v>1010</v>
      </c>
      <c r="L162">
        <v>9268423</v>
      </c>
      <c r="M162" t="s">
        <v>1282</v>
      </c>
      <c r="N162" t="s">
        <v>1770</v>
      </c>
      <c r="O162">
        <v>0</v>
      </c>
    </row>
    <row r="163" spans="10:15" x14ac:dyDescent="0.25">
      <c r="J163" t="s">
        <v>1010</v>
      </c>
      <c r="K163" t="s">
        <v>1010</v>
      </c>
      <c r="L163">
        <v>4497017</v>
      </c>
      <c r="M163" t="s">
        <v>1346</v>
      </c>
      <c r="N163" t="s">
        <v>1770</v>
      </c>
      <c r="O163">
        <v>0</v>
      </c>
    </row>
    <row r="164" spans="10:15" x14ac:dyDescent="0.25">
      <c r="J164" t="s">
        <v>1020</v>
      </c>
      <c r="K164" t="s">
        <v>1018</v>
      </c>
      <c r="L164">
        <v>5369609</v>
      </c>
      <c r="M164" t="s">
        <v>1427</v>
      </c>
      <c r="N164" t="s">
        <v>1770</v>
      </c>
      <c r="O164">
        <v>0</v>
      </c>
    </row>
    <row r="165" spans="10:15" x14ac:dyDescent="0.25">
      <c r="J165" t="s">
        <v>1112</v>
      </c>
      <c r="K165" t="s">
        <v>1113</v>
      </c>
      <c r="L165">
        <v>9223303</v>
      </c>
      <c r="M165" t="s">
        <v>1055</v>
      </c>
      <c r="N165" t="s">
        <v>1770</v>
      </c>
      <c r="O165">
        <v>0</v>
      </c>
    </row>
    <row r="166" spans="10:15" x14ac:dyDescent="0.25">
      <c r="J166" t="s">
        <v>1113</v>
      </c>
      <c r="K166" t="s">
        <v>1113</v>
      </c>
      <c r="L166">
        <v>5539112</v>
      </c>
      <c r="M166" t="s">
        <v>1282</v>
      </c>
      <c r="N166" t="s">
        <v>1770</v>
      </c>
      <c r="O166">
        <v>0</v>
      </c>
    </row>
    <row r="167" spans="10:15" x14ac:dyDescent="0.25">
      <c r="J167" t="s">
        <v>1112</v>
      </c>
      <c r="K167" t="s">
        <v>1113</v>
      </c>
      <c r="L167">
        <v>7218817</v>
      </c>
      <c r="M167" t="s">
        <v>1472</v>
      </c>
      <c r="N167" t="s">
        <v>1770</v>
      </c>
      <c r="O167">
        <v>0</v>
      </c>
    </row>
    <row r="168" spans="10:15" x14ac:dyDescent="0.25">
      <c r="J168" t="s">
        <v>386</v>
      </c>
      <c r="K168" t="s">
        <v>1175</v>
      </c>
      <c r="L168">
        <v>1686476</v>
      </c>
      <c r="M168" t="s">
        <v>1155</v>
      </c>
      <c r="N168" t="s">
        <v>1770</v>
      </c>
      <c r="O168">
        <v>0</v>
      </c>
    </row>
    <row r="169" spans="10:15" x14ac:dyDescent="0.25">
      <c r="J169" t="s">
        <v>1035</v>
      </c>
      <c r="K169" t="s">
        <v>1175</v>
      </c>
      <c r="L169">
        <v>9577077</v>
      </c>
      <c r="M169" t="s">
        <v>1232</v>
      </c>
      <c r="N169" t="s">
        <v>1770</v>
      </c>
      <c r="O169">
        <v>0</v>
      </c>
    </row>
    <row r="170" spans="10:15" x14ac:dyDescent="0.25">
      <c r="J170" t="s">
        <v>1267</v>
      </c>
      <c r="K170" t="s">
        <v>1268</v>
      </c>
      <c r="L170">
        <v>6907978</v>
      </c>
      <c r="M170" t="s">
        <v>1250</v>
      </c>
      <c r="N170" t="s">
        <v>1771</v>
      </c>
      <c r="O170">
        <v>0</v>
      </c>
    </row>
    <row r="171" spans="10:15" x14ac:dyDescent="0.25">
      <c r="J171" t="s">
        <v>1309</v>
      </c>
      <c r="K171" t="s">
        <v>1268</v>
      </c>
      <c r="L171">
        <v>5312119</v>
      </c>
      <c r="M171" t="s">
        <v>1307</v>
      </c>
      <c r="N171" t="s">
        <v>1771</v>
      </c>
      <c r="O171">
        <v>0</v>
      </c>
    </row>
    <row r="172" spans="10:15" x14ac:dyDescent="0.25">
      <c r="J172" t="s">
        <v>1082</v>
      </c>
      <c r="K172" t="s">
        <v>332</v>
      </c>
      <c r="L172">
        <v>4382191</v>
      </c>
      <c r="M172" t="s">
        <v>1055</v>
      </c>
      <c r="N172" t="s">
        <v>1771</v>
      </c>
      <c r="O172" t="s">
        <v>1772</v>
      </c>
    </row>
    <row r="173" spans="10:15" x14ac:dyDescent="0.25">
      <c r="J173" t="s">
        <v>386</v>
      </c>
      <c r="K173" t="s">
        <v>332</v>
      </c>
      <c r="L173">
        <v>3597628</v>
      </c>
      <c r="M173" t="s">
        <v>1155</v>
      </c>
      <c r="N173" t="s">
        <v>1771</v>
      </c>
      <c r="O173" t="s">
        <v>1772</v>
      </c>
    </row>
    <row r="174" spans="10:15" x14ac:dyDescent="0.25">
      <c r="J174" t="s">
        <v>390</v>
      </c>
      <c r="K174" t="s">
        <v>332</v>
      </c>
      <c r="L174">
        <v>7916274</v>
      </c>
      <c r="M174" t="s">
        <v>1316</v>
      </c>
      <c r="N174" t="s">
        <v>1771</v>
      </c>
      <c r="O174" t="s">
        <v>1772</v>
      </c>
    </row>
    <row r="175" spans="10:15" x14ac:dyDescent="0.25">
      <c r="J175" t="s">
        <v>1436</v>
      </c>
      <c r="K175" t="s">
        <v>332</v>
      </c>
      <c r="L175">
        <v>4987165</v>
      </c>
      <c r="M175" t="s">
        <v>1427</v>
      </c>
      <c r="N175" t="s">
        <v>1771</v>
      </c>
      <c r="O175" t="s">
        <v>1772</v>
      </c>
    </row>
    <row r="176" spans="10:15" x14ac:dyDescent="0.25">
      <c r="J176" t="s">
        <v>605</v>
      </c>
      <c r="K176" t="s">
        <v>602</v>
      </c>
      <c r="L176">
        <v>6181040</v>
      </c>
      <c r="M176" t="s">
        <v>1155</v>
      </c>
      <c r="N176" t="s">
        <v>1771</v>
      </c>
      <c r="O176" t="s">
        <v>1773</v>
      </c>
    </row>
    <row r="177" spans="10:15" x14ac:dyDescent="0.25">
      <c r="J177" t="s">
        <v>608</v>
      </c>
      <c r="K177" t="s">
        <v>606</v>
      </c>
      <c r="L177">
        <v>1647194</v>
      </c>
      <c r="M177" t="s">
        <v>1155</v>
      </c>
      <c r="N177" t="s">
        <v>1771</v>
      </c>
      <c r="O177" t="s">
        <v>1774</v>
      </c>
    </row>
    <row r="178" spans="10:15" x14ac:dyDescent="0.25">
      <c r="J178" t="s">
        <v>940</v>
      </c>
      <c r="K178" t="s">
        <v>940</v>
      </c>
      <c r="L178">
        <v>9478716</v>
      </c>
      <c r="M178" t="s">
        <v>1155</v>
      </c>
      <c r="N178" t="s">
        <v>1771</v>
      </c>
      <c r="O178" t="s">
        <v>1775</v>
      </c>
    </row>
    <row r="179" spans="10:15" x14ac:dyDescent="0.25">
      <c r="J179" t="s">
        <v>857</v>
      </c>
      <c r="K179" t="s">
        <v>857</v>
      </c>
      <c r="L179">
        <v>9924639</v>
      </c>
      <c r="M179" t="s">
        <v>1155</v>
      </c>
      <c r="N179" t="s">
        <v>1771</v>
      </c>
      <c r="O179" t="s">
        <v>1776</v>
      </c>
    </row>
    <row r="180" spans="10:15" x14ac:dyDescent="0.25">
      <c r="J180" t="s">
        <v>860</v>
      </c>
      <c r="K180" t="s">
        <v>857</v>
      </c>
      <c r="L180">
        <v>2514714</v>
      </c>
      <c r="M180" t="s">
        <v>1382</v>
      </c>
      <c r="N180" t="s">
        <v>1771</v>
      </c>
      <c r="O180" t="s">
        <v>1776</v>
      </c>
    </row>
    <row r="181" spans="10:15" x14ac:dyDescent="0.25">
      <c r="J181" t="s">
        <v>859</v>
      </c>
      <c r="K181" t="s">
        <v>857</v>
      </c>
      <c r="L181">
        <v>1696009</v>
      </c>
      <c r="M181" t="s">
        <v>1423</v>
      </c>
      <c r="N181" t="s">
        <v>1771</v>
      </c>
      <c r="O181" t="s">
        <v>1776</v>
      </c>
    </row>
    <row r="182" spans="10:15" x14ac:dyDescent="0.25">
      <c r="J182" t="s">
        <v>942</v>
      </c>
      <c r="K182" t="s">
        <v>942</v>
      </c>
      <c r="L182">
        <v>4878719</v>
      </c>
      <c r="M182" t="s">
        <v>1155</v>
      </c>
      <c r="N182" t="s">
        <v>1771</v>
      </c>
      <c r="O182" t="s">
        <v>1777</v>
      </c>
    </row>
    <row r="183" spans="10:15" x14ac:dyDescent="0.25">
      <c r="J183" t="s">
        <v>942</v>
      </c>
      <c r="K183" t="s">
        <v>942</v>
      </c>
      <c r="L183">
        <v>5344327</v>
      </c>
      <c r="M183" t="s">
        <v>1316</v>
      </c>
      <c r="N183" t="s">
        <v>1771</v>
      </c>
      <c r="O183" t="s">
        <v>1777</v>
      </c>
    </row>
    <row r="184" spans="10:15" x14ac:dyDescent="0.25">
      <c r="J184" t="s">
        <v>942</v>
      </c>
      <c r="K184" t="s">
        <v>942</v>
      </c>
      <c r="L184">
        <v>1642854</v>
      </c>
      <c r="M184" t="s">
        <v>1336</v>
      </c>
      <c r="N184" t="s">
        <v>1771</v>
      </c>
      <c r="O184" t="s">
        <v>1777</v>
      </c>
    </row>
    <row r="185" spans="10:15" x14ac:dyDescent="0.25">
      <c r="J185" t="s">
        <v>1526</v>
      </c>
      <c r="K185" t="s">
        <v>1526</v>
      </c>
      <c r="L185">
        <v>9328941</v>
      </c>
      <c r="M185" t="s">
        <v>1361</v>
      </c>
      <c r="N185" t="s">
        <v>1771</v>
      </c>
      <c r="O185" t="s">
        <v>1777</v>
      </c>
    </row>
    <row r="186" spans="10:15" x14ac:dyDescent="0.25">
      <c r="J186" t="s">
        <v>1208</v>
      </c>
      <c r="K186" t="s">
        <v>610</v>
      </c>
      <c r="L186">
        <v>6232669</v>
      </c>
      <c r="M186" t="s">
        <v>1155</v>
      </c>
      <c r="N186" t="s">
        <v>1771</v>
      </c>
      <c r="O186" t="s">
        <v>1778</v>
      </c>
    </row>
    <row r="187" spans="10:15" x14ac:dyDescent="0.25">
      <c r="J187" t="s">
        <v>493</v>
      </c>
      <c r="K187" t="s">
        <v>493</v>
      </c>
      <c r="L187">
        <v>8635813</v>
      </c>
      <c r="M187" t="s">
        <v>1316</v>
      </c>
      <c r="N187" t="s">
        <v>1771</v>
      </c>
      <c r="O187" t="s">
        <v>1778</v>
      </c>
    </row>
    <row r="188" spans="10:15" x14ac:dyDescent="0.25">
      <c r="J188" t="s">
        <v>977</v>
      </c>
      <c r="K188" t="s">
        <v>977</v>
      </c>
      <c r="L188">
        <v>5175408</v>
      </c>
      <c r="M188" t="s">
        <v>1155</v>
      </c>
      <c r="N188" t="s">
        <v>1771</v>
      </c>
      <c r="O188" t="s">
        <v>1779</v>
      </c>
    </row>
    <row r="189" spans="10:15" x14ac:dyDescent="0.25">
      <c r="J189" t="s">
        <v>977</v>
      </c>
      <c r="K189" t="s">
        <v>977</v>
      </c>
      <c r="L189">
        <v>2015983</v>
      </c>
      <c r="M189" t="s">
        <v>1273</v>
      </c>
      <c r="N189" t="s">
        <v>1771</v>
      </c>
      <c r="O189" t="s">
        <v>1779</v>
      </c>
    </row>
    <row r="190" spans="10:15" x14ac:dyDescent="0.25">
      <c r="J190" t="s">
        <v>1210</v>
      </c>
      <c r="K190" t="s">
        <v>613</v>
      </c>
      <c r="L190">
        <v>6428468</v>
      </c>
      <c r="M190" t="s">
        <v>1155</v>
      </c>
      <c r="N190" t="s">
        <v>1771</v>
      </c>
      <c r="O190" t="s">
        <v>1780</v>
      </c>
    </row>
    <row r="191" spans="10:15" x14ac:dyDescent="0.25">
      <c r="J191" t="s">
        <v>1163</v>
      </c>
      <c r="K191" t="s">
        <v>947</v>
      </c>
      <c r="L191">
        <v>1225073</v>
      </c>
      <c r="M191" t="s">
        <v>1155</v>
      </c>
      <c r="N191" t="s">
        <v>1771</v>
      </c>
      <c r="O191" t="s">
        <v>1781</v>
      </c>
    </row>
    <row r="192" spans="10:15" x14ac:dyDescent="0.25">
      <c r="J192" t="s">
        <v>1304</v>
      </c>
      <c r="K192" t="s">
        <v>947</v>
      </c>
      <c r="L192">
        <v>9459250</v>
      </c>
      <c r="M192" t="s">
        <v>1282</v>
      </c>
      <c r="N192" t="s">
        <v>1771</v>
      </c>
      <c r="O192" t="s">
        <v>1781</v>
      </c>
    </row>
    <row r="193" spans="10:15" x14ac:dyDescent="0.25">
      <c r="J193" t="s">
        <v>390</v>
      </c>
      <c r="K193" t="s">
        <v>947</v>
      </c>
      <c r="L193">
        <v>4381530</v>
      </c>
      <c r="M193" t="s">
        <v>1316</v>
      </c>
      <c r="N193" t="s">
        <v>1771</v>
      </c>
      <c r="O193" t="s">
        <v>1781</v>
      </c>
    </row>
    <row r="194" spans="10:15" x14ac:dyDescent="0.25">
      <c r="J194" t="s">
        <v>769</v>
      </c>
      <c r="K194" t="s">
        <v>947</v>
      </c>
      <c r="L194">
        <v>5703553</v>
      </c>
      <c r="M194" t="s">
        <v>1346</v>
      </c>
      <c r="N194" t="s">
        <v>1771</v>
      </c>
      <c r="O194" t="s">
        <v>1781</v>
      </c>
    </row>
    <row r="195" spans="10:15" x14ac:dyDescent="0.25">
      <c r="J195" t="s">
        <v>859</v>
      </c>
      <c r="K195" t="s">
        <v>947</v>
      </c>
      <c r="L195">
        <v>4720531</v>
      </c>
      <c r="M195" t="s">
        <v>1423</v>
      </c>
      <c r="N195" t="s">
        <v>1771</v>
      </c>
      <c r="O195" t="s">
        <v>1781</v>
      </c>
    </row>
    <row r="196" spans="10:15" x14ac:dyDescent="0.25">
      <c r="J196" t="s">
        <v>620</v>
      </c>
      <c r="K196" t="s">
        <v>618</v>
      </c>
      <c r="L196">
        <v>1172890</v>
      </c>
      <c r="M196" t="s">
        <v>1155</v>
      </c>
      <c r="N196" t="s">
        <v>1771</v>
      </c>
      <c r="O196" t="s">
        <v>1782</v>
      </c>
    </row>
    <row r="197" spans="10:15" x14ac:dyDescent="0.25">
      <c r="J197" t="s">
        <v>623</v>
      </c>
      <c r="K197" t="s">
        <v>618</v>
      </c>
      <c r="L197">
        <v>4531517</v>
      </c>
      <c r="M197" t="s">
        <v>1273</v>
      </c>
      <c r="N197" t="s">
        <v>1771</v>
      </c>
      <c r="O197" t="s">
        <v>1782</v>
      </c>
    </row>
    <row r="198" spans="10:15" x14ac:dyDescent="0.25">
      <c r="J198" t="s">
        <v>750</v>
      </c>
      <c r="K198" t="s">
        <v>748</v>
      </c>
      <c r="L198">
        <v>9196018</v>
      </c>
      <c r="M198" t="s">
        <v>1155</v>
      </c>
      <c r="N198" t="s">
        <v>1771</v>
      </c>
      <c r="O198" t="s">
        <v>1783</v>
      </c>
    </row>
    <row r="199" spans="10:15" x14ac:dyDescent="0.25">
      <c r="J199" t="s">
        <v>386</v>
      </c>
      <c r="K199" t="s">
        <v>626</v>
      </c>
      <c r="L199">
        <v>7702105</v>
      </c>
      <c r="M199" t="s">
        <v>1155</v>
      </c>
      <c r="N199" t="s">
        <v>1771</v>
      </c>
      <c r="O199" t="s">
        <v>1784</v>
      </c>
    </row>
    <row r="200" spans="10:15" x14ac:dyDescent="0.25">
      <c r="J200" t="s">
        <v>632</v>
      </c>
      <c r="K200" t="s">
        <v>630</v>
      </c>
      <c r="L200">
        <v>1671513</v>
      </c>
      <c r="M200" t="s">
        <v>1155</v>
      </c>
      <c r="N200" t="s">
        <v>1771</v>
      </c>
      <c r="O200" t="s">
        <v>1785</v>
      </c>
    </row>
    <row r="201" spans="10:15" x14ac:dyDescent="0.25">
      <c r="J201" t="s">
        <v>1197</v>
      </c>
      <c r="K201" t="s">
        <v>636</v>
      </c>
      <c r="L201">
        <v>5141443</v>
      </c>
      <c r="M201" t="s">
        <v>1155</v>
      </c>
      <c r="N201" t="s">
        <v>1771</v>
      </c>
      <c r="O201" t="s">
        <v>1786</v>
      </c>
    </row>
    <row r="202" spans="10:15" x14ac:dyDescent="0.25">
      <c r="J202" t="s">
        <v>386</v>
      </c>
      <c r="K202" t="s">
        <v>678</v>
      </c>
      <c r="L202">
        <v>7259548</v>
      </c>
      <c r="M202" t="s">
        <v>1155</v>
      </c>
      <c r="N202" t="s">
        <v>1771</v>
      </c>
      <c r="O202" t="s">
        <v>1787</v>
      </c>
    </row>
    <row r="203" spans="10:15" x14ac:dyDescent="0.25">
      <c r="J203" t="s">
        <v>1259</v>
      </c>
      <c r="K203" t="s">
        <v>678</v>
      </c>
      <c r="L203">
        <v>3357963</v>
      </c>
      <c r="M203" t="s">
        <v>1250</v>
      </c>
      <c r="N203" t="s">
        <v>1771</v>
      </c>
      <c r="O203" t="s">
        <v>1787</v>
      </c>
    </row>
    <row r="204" spans="10:15" x14ac:dyDescent="0.25">
      <c r="J204" t="s">
        <v>1259</v>
      </c>
      <c r="K204" t="s">
        <v>678</v>
      </c>
      <c r="L204">
        <v>1817339</v>
      </c>
      <c r="M204" t="s">
        <v>1316</v>
      </c>
      <c r="N204" t="s">
        <v>1771</v>
      </c>
      <c r="O204" t="s">
        <v>1787</v>
      </c>
    </row>
    <row r="205" spans="10:15" x14ac:dyDescent="0.25">
      <c r="J205" t="s">
        <v>386</v>
      </c>
      <c r="K205" t="s">
        <v>1003</v>
      </c>
      <c r="L205">
        <v>3095940</v>
      </c>
      <c r="M205" t="s">
        <v>1155</v>
      </c>
      <c r="N205" t="s">
        <v>1771</v>
      </c>
      <c r="O205" t="s">
        <v>1788</v>
      </c>
    </row>
    <row r="206" spans="10:15" x14ac:dyDescent="0.25">
      <c r="J206" t="s">
        <v>390</v>
      </c>
      <c r="K206" t="s">
        <v>1003</v>
      </c>
      <c r="L206">
        <v>1109434</v>
      </c>
      <c r="M206" t="s">
        <v>1316</v>
      </c>
      <c r="N206" t="s">
        <v>1771</v>
      </c>
      <c r="O206" t="s">
        <v>1788</v>
      </c>
    </row>
    <row r="207" spans="10:15" x14ac:dyDescent="0.25">
      <c r="J207" t="s">
        <v>386</v>
      </c>
      <c r="K207" t="s">
        <v>682</v>
      </c>
      <c r="L207">
        <v>9940787</v>
      </c>
      <c r="M207" t="s">
        <v>1155</v>
      </c>
      <c r="N207" t="s">
        <v>1771</v>
      </c>
      <c r="O207" t="s">
        <v>1789</v>
      </c>
    </row>
    <row r="208" spans="10:15" x14ac:dyDescent="0.25">
      <c r="J208" t="s">
        <v>684</v>
      </c>
      <c r="K208" t="s">
        <v>682</v>
      </c>
      <c r="L208">
        <v>4075651</v>
      </c>
      <c r="M208" t="s">
        <v>1250</v>
      </c>
      <c r="N208" t="s">
        <v>1771</v>
      </c>
      <c r="O208" t="s">
        <v>1789</v>
      </c>
    </row>
    <row r="209" spans="10:15" x14ac:dyDescent="0.25">
      <c r="J209" t="s">
        <v>287</v>
      </c>
      <c r="K209" t="s">
        <v>682</v>
      </c>
      <c r="L209">
        <v>2506443</v>
      </c>
      <c r="M209" t="s">
        <v>1273</v>
      </c>
      <c r="N209" t="s">
        <v>1771</v>
      </c>
      <c r="O209" t="s">
        <v>1789</v>
      </c>
    </row>
    <row r="210" spans="10:15" x14ac:dyDescent="0.25">
      <c r="J210" t="s">
        <v>390</v>
      </c>
      <c r="K210" t="s">
        <v>682</v>
      </c>
      <c r="L210">
        <v>4782003</v>
      </c>
      <c r="M210" t="s">
        <v>1316</v>
      </c>
      <c r="N210" t="s">
        <v>1771</v>
      </c>
      <c r="O210" t="s">
        <v>1789</v>
      </c>
    </row>
    <row r="211" spans="10:15" x14ac:dyDescent="0.25">
      <c r="J211" t="s">
        <v>642</v>
      </c>
      <c r="K211" t="s">
        <v>640</v>
      </c>
      <c r="L211">
        <v>3994122</v>
      </c>
      <c r="M211" t="s">
        <v>1472</v>
      </c>
      <c r="N211" t="s">
        <v>1771</v>
      </c>
      <c r="O211" t="s">
        <v>1789</v>
      </c>
    </row>
    <row r="212" spans="10:15" x14ac:dyDescent="0.25">
      <c r="J212" t="s">
        <v>1222</v>
      </c>
      <c r="K212" t="s">
        <v>531</v>
      </c>
      <c r="L212">
        <v>9199716</v>
      </c>
      <c r="M212" t="s">
        <v>1155</v>
      </c>
      <c r="N212" t="s">
        <v>1771</v>
      </c>
      <c r="O212" t="s">
        <v>1790</v>
      </c>
    </row>
    <row r="213" spans="10:15" x14ac:dyDescent="0.25">
      <c r="J213" t="s">
        <v>1264</v>
      </c>
      <c r="K213" t="s">
        <v>531</v>
      </c>
      <c r="L213">
        <v>6749255</v>
      </c>
      <c r="M213" t="s">
        <v>1250</v>
      </c>
      <c r="N213" t="s">
        <v>1771</v>
      </c>
      <c r="O213" t="s">
        <v>1790</v>
      </c>
    </row>
    <row r="214" spans="10:15" x14ac:dyDescent="0.25">
      <c r="J214" t="s">
        <v>1279</v>
      </c>
      <c r="K214" t="s">
        <v>531</v>
      </c>
      <c r="L214">
        <v>4547815</v>
      </c>
      <c r="M214" t="s">
        <v>1273</v>
      </c>
      <c r="N214" t="s">
        <v>1771</v>
      </c>
      <c r="O214" t="s">
        <v>1790</v>
      </c>
    </row>
    <row r="215" spans="10:15" x14ac:dyDescent="0.25">
      <c r="J215" t="s">
        <v>1416</v>
      </c>
      <c r="K215" t="s">
        <v>531</v>
      </c>
      <c r="L215">
        <v>6989404</v>
      </c>
      <c r="M215" t="s">
        <v>1405</v>
      </c>
      <c r="N215" t="s">
        <v>1771</v>
      </c>
      <c r="O215" t="s">
        <v>1790</v>
      </c>
    </row>
    <row r="216" spans="10:15" x14ac:dyDescent="0.25">
      <c r="J216" t="s">
        <v>647</v>
      </c>
      <c r="K216" t="s">
        <v>647</v>
      </c>
      <c r="L216">
        <v>1272659</v>
      </c>
      <c r="M216" t="s">
        <v>1427</v>
      </c>
      <c r="N216" t="s">
        <v>1771</v>
      </c>
      <c r="O216" t="s">
        <v>1790</v>
      </c>
    </row>
    <row r="217" spans="10:15" x14ac:dyDescent="0.25">
      <c r="J217" t="s">
        <v>957</v>
      </c>
      <c r="K217" t="s">
        <v>955</v>
      </c>
      <c r="L217">
        <v>3619533</v>
      </c>
      <c r="M217" t="s">
        <v>1316</v>
      </c>
      <c r="N217" t="s">
        <v>1771</v>
      </c>
      <c r="O217" t="s">
        <v>1791</v>
      </c>
    </row>
    <row r="218" spans="10:15" x14ac:dyDescent="0.25">
      <c r="J218" t="s">
        <v>692</v>
      </c>
      <c r="K218" t="s">
        <v>690</v>
      </c>
      <c r="L218">
        <v>9949795</v>
      </c>
      <c r="M218" t="s">
        <v>1155</v>
      </c>
      <c r="N218" t="s">
        <v>1771</v>
      </c>
      <c r="O218" t="s">
        <v>1792</v>
      </c>
    </row>
    <row r="219" spans="10:15" x14ac:dyDescent="0.25">
      <c r="J219" t="s">
        <v>1169</v>
      </c>
      <c r="K219" t="s">
        <v>652</v>
      </c>
      <c r="L219">
        <v>1514566</v>
      </c>
      <c r="M219" t="s">
        <v>1155</v>
      </c>
      <c r="N219" t="s">
        <v>1771</v>
      </c>
      <c r="O219" t="s">
        <v>1793</v>
      </c>
    </row>
    <row r="220" spans="10:15" x14ac:dyDescent="0.25">
      <c r="J220" t="s">
        <v>657</v>
      </c>
      <c r="K220" t="s">
        <v>655</v>
      </c>
      <c r="L220">
        <v>4936413</v>
      </c>
      <c r="M220" t="s">
        <v>1155</v>
      </c>
      <c r="N220" t="s">
        <v>1771</v>
      </c>
      <c r="O220" t="s">
        <v>1794</v>
      </c>
    </row>
    <row r="221" spans="10:15" x14ac:dyDescent="0.25">
      <c r="J221" t="s">
        <v>386</v>
      </c>
      <c r="K221" t="s">
        <v>661</v>
      </c>
      <c r="L221">
        <v>8522302</v>
      </c>
      <c r="M221" t="s">
        <v>1155</v>
      </c>
      <c r="N221" t="s">
        <v>1771</v>
      </c>
      <c r="O221" t="s">
        <v>1795</v>
      </c>
    </row>
    <row r="222" spans="10:15" x14ac:dyDescent="0.25">
      <c r="J222" t="s">
        <v>1212</v>
      </c>
      <c r="K222" t="s">
        <v>1293</v>
      </c>
      <c r="L222">
        <v>7201840</v>
      </c>
      <c r="M222" t="s">
        <v>1155</v>
      </c>
      <c r="N222" t="s">
        <v>1771</v>
      </c>
      <c r="O222" t="s">
        <v>1796</v>
      </c>
    </row>
    <row r="223" spans="10:15" x14ac:dyDescent="0.25">
      <c r="J223" t="s">
        <v>1293</v>
      </c>
      <c r="K223" t="s">
        <v>1293</v>
      </c>
      <c r="L223">
        <v>5599785</v>
      </c>
      <c r="M223" t="s">
        <v>1282</v>
      </c>
      <c r="N223" t="s">
        <v>1771</v>
      </c>
      <c r="O223" t="s">
        <v>1796</v>
      </c>
    </row>
    <row r="224" spans="10:15" x14ac:dyDescent="0.25">
      <c r="J224" t="s">
        <v>390</v>
      </c>
      <c r="K224" t="s">
        <v>1293</v>
      </c>
      <c r="L224">
        <v>4396482</v>
      </c>
      <c r="M224" t="s">
        <v>1316</v>
      </c>
      <c r="N224" t="s">
        <v>1771</v>
      </c>
      <c r="O224" t="s">
        <v>1796</v>
      </c>
    </row>
    <row r="225" spans="10:15" x14ac:dyDescent="0.25">
      <c r="J225" t="s">
        <v>546</v>
      </c>
      <c r="K225" t="s">
        <v>546</v>
      </c>
      <c r="L225">
        <v>2946425</v>
      </c>
      <c r="M225" t="s">
        <v>1155</v>
      </c>
      <c r="N225" t="s">
        <v>1771</v>
      </c>
      <c r="O225" t="s">
        <v>1797</v>
      </c>
    </row>
    <row r="226" spans="10:15" x14ac:dyDescent="0.25">
      <c r="J226" t="s">
        <v>665</v>
      </c>
      <c r="K226" t="s">
        <v>663</v>
      </c>
      <c r="L226">
        <v>6697882</v>
      </c>
      <c r="M226" t="s">
        <v>1155</v>
      </c>
      <c r="N226" t="s">
        <v>1771</v>
      </c>
      <c r="O226" t="s">
        <v>1798</v>
      </c>
    </row>
    <row r="227" spans="10:15" x14ac:dyDescent="0.25">
      <c r="J227" t="s">
        <v>864</v>
      </c>
      <c r="K227" t="s">
        <v>864</v>
      </c>
      <c r="L227">
        <v>4383860</v>
      </c>
      <c r="M227" t="s">
        <v>1155</v>
      </c>
      <c r="N227" t="s">
        <v>1771</v>
      </c>
      <c r="O227" t="s">
        <v>1799</v>
      </c>
    </row>
    <row r="228" spans="10:15" x14ac:dyDescent="0.25">
      <c r="J228" t="s">
        <v>974</v>
      </c>
      <c r="K228" t="s">
        <v>974</v>
      </c>
      <c r="L228">
        <v>5173305</v>
      </c>
      <c r="M228" t="s">
        <v>1282</v>
      </c>
      <c r="N228" t="s">
        <v>1771</v>
      </c>
      <c r="O228" t="s">
        <v>1799</v>
      </c>
    </row>
    <row r="229" spans="10:15" x14ac:dyDescent="0.25">
      <c r="J229" t="s">
        <v>499</v>
      </c>
      <c r="K229" t="s">
        <v>499</v>
      </c>
      <c r="L229">
        <v>9688838</v>
      </c>
      <c r="M229" t="s">
        <v>1316</v>
      </c>
      <c r="N229" t="s">
        <v>1771</v>
      </c>
      <c r="O229" t="s">
        <v>1799</v>
      </c>
    </row>
    <row r="230" spans="10:15" x14ac:dyDescent="0.25">
      <c r="J230" t="s">
        <v>459</v>
      </c>
      <c r="K230" t="s">
        <v>459</v>
      </c>
      <c r="L230">
        <v>2125600</v>
      </c>
      <c r="M230" t="s">
        <v>1316</v>
      </c>
      <c r="N230" t="s">
        <v>1771</v>
      </c>
      <c r="O230" t="s">
        <v>1800</v>
      </c>
    </row>
    <row r="231" spans="10:15" x14ac:dyDescent="0.25">
      <c r="J231" t="s">
        <v>576</v>
      </c>
      <c r="K231" t="s">
        <v>576</v>
      </c>
      <c r="L231">
        <v>7399132</v>
      </c>
      <c r="M231" t="s">
        <v>1155</v>
      </c>
      <c r="N231" t="s">
        <v>1771</v>
      </c>
      <c r="O231" t="s">
        <v>1801</v>
      </c>
    </row>
    <row r="232" spans="10:15" x14ac:dyDescent="0.25">
      <c r="J232" t="s">
        <v>576</v>
      </c>
      <c r="K232" t="s">
        <v>576</v>
      </c>
      <c r="L232">
        <v>8877013</v>
      </c>
      <c r="M232" t="s">
        <v>1316</v>
      </c>
      <c r="N232" t="s">
        <v>1771</v>
      </c>
      <c r="O232" t="s">
        <v>1801</v>
      </c>
    </row>
    <row r="233" spans="10:15" x14ac:dyDescent="0.25">
      <c r="J233" t="s">
        <v>670</v>
      </c>
      <c r="K233" t="s">
        <v>666</v>
      </c>
      <c r="L233">
        <v>5204562</v>
      </c>
      <c r="M233" t="s">
        <v>1155</v>
      </c>
      <c r="N233" t="s">
        <v>1771</v>
      </c>
      <c r="O233" t="s">
        <v>1802</v>
      </c>
    </row>
    <row r="234" spans="10:15" x14ac:dyDescent="0.25">
      <c r="J234" t="s">
        <v>668</v>
      </c>
      <c r="K234" t="s">
        <v>666</v>
      </c>
      <c r="L234">
        <v>2813433</v>
      </c>
      <c r="M234" t="s">
        <v>1273</v>
      </c>
      <c r="N234" t="s">
        <v>1771</v>
      </c>
      <c r="O234" t="s">
        <v>1802</v>
      </c>
    </row>
    <row r="235" spans="10:15" x14ac:dyDescent="0.25">
      <c r="J235" t="s">
        <v>386</v>
      </c>
      <c r="K235" t="s">
        <v>671</v>
      </c>
      <c r="L235">
        <v>9666094</v>
      </c>
      <c r="M235" t="s">
        <v>1155</v>
      </c>
      <c r="N235" t="s">
        <v>1771</v>
      </c>
      <c r="O235" t="s">
        <v>1803</v>
      </c>
    </row>
    <row r="236" spans="10:15" x14ac:dyDescent="0.25">
      <c r="J236" t="s">
        <v>676</v>
      </c>
      <c r="K236" t="s">
        <v>674</v>
      </c>
      <c r="L236">
        <v>3810187</v>
      </c>
      <c r="M236" t="s">
        <v>1155</v>
      </c>
      <c r="N236" t="s">
        <v>1771</v>
      </c>
      <c r="O236" t="s">
        <v>1804</v>
      </c>
    </row>
    <row r="237" spans="10:15" x14ac:dyDescent="0.25">
      <c r="J237" t="s">
        <v>674</v>
      </c>
      <c r="K237" t="s">
        <v>674</v>
      </c>
      <c r="L237">
        <v>5945407</v>
      </c>
      <c r="M237" t="s">
        <v>1472</v>
      </c>
      <c r="N237" t="s">
        <v>1771</v>
      </c>
      <c r="O237" t="s">
        <v>1804</v>
      </c>
    </row>
    <row r="238" spans="10:15" x14ac:dyDescent="0.25">
      <c r="J238" t="s">
        <v>868</v>
      </c>
      <c r="K238" t="s">
        <v>868</v>
      </c>
      <c r="L238">
        <v>9583114</v>
      </c>
      <c r="M238" t="s">
        <v>1155</v>
      </c>
      <c r="N238" t="s">
        <v>1771</v>
      </c>
      <c r="O238" t="s">
        <v>1805</v>
      </c>
    </row>
    <row r="239" spans="10:15" x14ac:dyDescent="0.25">
      <c r="J239" t="s">
        <v>261</v>
      </c>
      <c r="K239" t="s">
        <v>257</v>
      </c>
      <c r="L239">
        <v>5000179</v>
      </c>
      <c r="M239" t="s">
        <v>1311</v>
      </c>
      <c r="N239" t="s">
        <v>1806</v>
      </c>
      <c r="O239">
        <v>0</v>
      </c>
    </row>
    <row r="240" spans="10:15" x14ac:dyDescent="0.25">
      <c r="J240" t="s">
        <v>769</v>
      </c>
      <c r="K240" t="s">
        <v>257</v>
      </c>
      <c r="L240">
        <v>8504548</v>
      </c>
      <c r="M240" t="s">
        <v>1346</v>
      </c>
      <c r="N240" t="s">
        <v>1806</v>
      </c>
      <c r="O240">
        <v>0</v>
      </c>
    </row>
    <row r="241" spans="10:15" x14ac:dyDescent="0.25">
      <c r="J241" t="s">
        <v>1453</v>
      </c>
      <c r="K241" t="s">
        <v>257</v>
      </c>
      <c r="L241">
        <v>6163071</v>
      </c>
      <c r="M241" t="s">
        <v>1451</v>
      </c>
      <c r="N241" t="s">
        <v>1806</v>
      </c>
      <c r="O241">
        <v>0</v>
      </c>
    </row>
    <row r="242" spans="10:15" x14ac:dyDescent="0.25">
      <c r="J242" t="s">
        <v>257</v>
      </c>
      <c r="K242" t="s">
        <v>257</v>
      </c>
      <c r="L242">
        <v>3650770</v>
      </c>
      <c r="M242" t="s">
        <v>1472</v>
      </c>
      <c r="N242" t="s">
        <v>1806</v>
      </c>
      <c r="O242">
        <v>0</v>
      </c>
    </row>
    <row r="243" spans="10:15" x14ac:dyDescent="0.25">
      <c r="J243" t="s">
        <v>420</v>
      </c>
      <c r="K243" t="s">
        <v>420</v>
      </c>
      <c r="L243">
        <v>4721932</v>
      </c>
      <c r="M243" t="s">
        <v>1311</v>
      </c>
      <c r="N243" t="s">
        <v>1806</v>
      </c>
      <c r="O243">
        <v>0</v>
      </c>
    </row>
    <row r="244" spans="10:15" x14ac:dyDescent="0.25">
      <c r="J244" t="s">
        <v>425</v>
      </c>
      <c r="K244" t="s">
        <v>425</v>
      </c>
      <c r="L244">
        <v>3446957</v>
      </c>
      <c r="M244" t="s">
        <v>1282</v>
      </c>
      <c r="N244" t="s">
        <v>1806</v>
      </c>
      <c r="O244">
        <v>0</v>
      </c>
    </row>
    <row r="245" spans="10:15" x14ac:dyDescent="0.25">
      <c r="J245" t="s">
        <v>425</v>
      </c>
      <c r="K245" t="s">
        <v>425</v>
      </c>
      <c r="L245">
        <v>3473171</v>
      </c>
      <c r="M245" t="s">
        <v>1311</v>
      </c>
      <c r="N245" t="s">
        <v>1806</v>
      </c>
      <c r="O245">
        <v>0</v>
      </c>
    </row>
    <row r="246" spans="10:15" x14ac:dyDescent="0.25">
      <c r="J246" t="s">
        <v>769</v>
      </c>
      <c r="K246" t="s">
        <v>425</v>
      </c>
      <c r="L246">
        <v>6514817</v>
      </c>
      <c r="M246" t="s">
        <v>1346</v>
      </c>
      <c r="N246" t="s">
        <v>1806</v>
      </c>
      <c r="O246">
        <v>0</v>
      </c>
    </row>
    <row r="247" spans="10:15" x14ac:dyDescent="0.25">
      <c r="J247" t="s">
        <v>435</v>
      </c>
      <c r="K247" t="s">
        <v>435</v>
      </c>
      <c r="L247">
        <v>5651221</v>
      </c>
      <c r="M247" t="s">
        <v>1336</v>
      </c>
      <c r="N247" t="s">
        <v>1806</v>
      </c>
      <c r="O247">
        <v>0</v>
      </c>
    </row>
    <row r="248" spans="10:15" x14ac:dyDescent="0.25">
      <c r="J248" t="s">
        <v>440</v>
      </c>
      <c r="K248" t="s">
        <v>440</v>
      </c>
      <c r="L248">
        <v>1450637</v>
      </c>
      <c r="M248" t="s">
        <v>1336</v>
      </c>
      <c r="N248" t="s">
        <v>1806</v>
      </c>
      <c r="O248">
        <v>0</v>
      </c>
    </row>
    <row r="249" spans="10:15" x14ac:dyDescent="0.25">
      <c r="J249" t="s">
        <v>444</v>
      </c>
      <c r="K249" t="s">
        <v>444</v>
      </c>
      <c r="L249">
        <v>6581899</v>
      </c>
      <c r="M249" t="s">
        <v>1316</v>
      </c>
      <c r="N249" t="s">
        <v>1806</v>
      </c>
      <c r="O249">
        <v>0</v>
      </c>
    </row>
    <row r="250" spans="10:15" x14ac:dyDescent="0.25">
      <c r="J250" t="s">
        <v>447</v>
      </c>
      <c r="K250" t="s">
        <v>447</v>
      </c>
      <c r="L250">
        <v>2837121</v>
      </c>
      <c r="M250" t="s">
        <v>1316</v>
      </c>
      <c r="N250" t="s">
        <v>1806</v>
      </c>
      <c r="O250">
        <v>0</v>
      </c>
    </row>
    <row r="251" spans="10:15" x14ac:dyDescent="0.25">
      <c r="J251" t="s">
        <v>447</v>
      </c>
      <c r="K251" t="s">
        <v>447</v>
      </c>
      <c r="L251">
        <v>3754207</v>
      </c>
      <c r="M251" t="s">
        <v>1336</v>
      </c>
      <c r="N251" t="s">
        <v>1806</v>
      </c>
      <c r="O251">
        <v>0</v>
      </c>
    </row>
    <row r="252" spans="10:15" x14ac:dyDescent="0.25">
      <c r="J252" t="s">
        <v>453</v>
      </c>
      <c r="K252" t="s">
        <v>453</v>
      </c>
      <c r="L252">
        <v>4753225</v>
      </c>
      <c r="M252" t="s">
        <v>1316</v>
      </c>
      <c r="N252" t="s">
        <v>1806</v>
      </c>
      <c r="O252">
        <v>0</v>
      </c>
    </row>
    <row r="253" spans="10:15" x14ac:dyDescent="0.25">
      <c r="J253" t="s">
        <v>456</v>
      </c>
      <c r="K253" t="s">
        <v>456</v>
      </c>
      <c r="L253">
        <v>5040302</v>
      </c>
      <c r="M253" t="s">
        <v>1316</v>
      </c>
      <c r="N253" t="s">
        <v>1806</v>
      </c>
      <c r="O253">
        <v>0</v>
      </c>
    </row>
    <row r="254" spans="10:15" x14ac:dyDescent="0.25">
      <c r="J254" t="s">
        <v>464</v>
      </c>
      <c r="K254" t="s">
        <v>464</v>
      </c>
      <c r="L254">
        <v>3943362</v>
      </c>
      <c r="M254" t="s">
        <v>1316</v>
      </c>
      <c r="N254" t="s">
        <v>1806</v>
      </c>
      <c r="O254">
        <v>0</v>
      </c>
    </row>
    <row r="255" spans="10:15" x14ac:dyDescent="0.25">
      <c r="J255" t="s">
        <v>467</v>
      </c>
      <c r="K255" t="s">
        <v>467</v>
      </c>
      <c r="L255">
        <v>2749776</v>
      </c>
      <c r="M255" t="s">
        <v>1316</v>
      </c>
      <c r="N255" t="s">
        <v>1806</v>
      </c>
      <c r="O255">
        <v>0</v>
      </c>
    </row>
    <row r="256" spans="10:15" x14ac:dyDescent="0.25">
      <c r="J256" t="s">
        <v>472</v>
      </c>
      <c r="K256" t="s">
        <v>472</v>
      </c>
      <c r="L256">
        <v>8508078</v>
      </c>
      <c r="M256" t="s">
        <v>1316</v>
      </c>
      <c r="N256" t="s">
        <v>1806</v>
      </c>
      <c r="O256">
        <v>0</v>
      </c>
    </row>
    <row r="257" spans="10:15" x14ac:dyDescent="0.25">
      <c r="J257" t="s">
        <v>472</v>
      </c>
      <c r="K257" t="s">
        <v>472</v>
      </c>
      <c r="L257">
        <v>1991772</v>
      </c>
      <c r="M257" t="s">
        <v>1336</v>
      </c>
      <c r="N257" t="s">
        <v>1806</v>
      </c>
      <c r="O257">
        <v>0</v>
      </c>
    </row>
    <row r="258" spans="10:15" x14ac:dyDescent="0.25">
      <c r="J258" t="s">
        <v>477</v>
      </c>
      <c r="K258" t="s">
        <v>477</v>
      </c>
      <c r="L258">
        <v>2801353</v>
      </c>
      <c r="M258" t="s">
        <v>1316</v>
      </c>
      <c r="N258" t="s">
        <v>1806</v>
      </c>
      <c r="O258">
        <v>0</v>
      </c>
    </row>
    <row r="259" spans="10:15" x14ac:dyDescent="0.25">
      <c r="J259" t="s">
        <v>480</v>
      </c>
      <c r="K259" t="s">
        <v>480</v>
      </c>
      <c r="L259">
        <v>9593192</v>
      </c>
      <c r="M259" t="s">
        <v>1316</v>
      </c>
      <c r="N259" t="s">
        <v>1806</v>
      </c>
      <c r="O259">
        <v>0</v>
      </c>
    </row>
    <row r="260" spans="10:15" x14ac:dyDescent="0.25">
      <c r="J260" t="s">
        <v>393</v>
      </c>
      <c r="K260" t="s">
        <v>480</v>
      </c>
      <c r="L260">
        <v>7663376</v>
      </c>
      <c r="M260" t="s">
        <v>1336</v>
      </c>
      <c r="N260" t="s">
        <v>1806</v>
      </c>
      <c r="O260">
        <v>0</v>
      </c>
    </row>
    <row r="261" spans="10:15" x14ac:dyDescent="0.25">
      <c r="J261" t="s">
        <v>485</v>
      </c>
      <c r="K261" t="s">
        <v>485</v>
      </c>
      <c r="L261">
        <v>8338145</v>
      </c>
      <c r="M261" t="s">
        <v>1311</v>
      </c>
      <c r="N261" t="s">
        <v>1806</v>
      </c>
      <c r="O261">
        <v>0</v>
      </c>
    </row>
    <row r="262" spans="10:15" x14ac:dyDescent="0.25">
      <c r="J262" t="s">
        <v>485</v>
      </c>
      <c r="K262" t="s">
        <v>485</v>
      </c>
      <c r="L262">
        <v>5220717</v>
      </c>
      <c r="M262" t="s">
        <v>1336</v>
      </c>
      <c r="N262" t="s">
        <v>1806</v>
      </c>
      <c r="O262">
        <v>0</v>
      </c>
    </row>
    <row r="263" spans="10:15" x14ac:dyDescent="0.25">
      <c r="J263" t="s">
        <v>485</v>
      </c>
      <c r="K263" t="s">
        <v>485</v>
      </c>
      <c r="L263">
        <v>4382500</v>
      </c>
      <c r="M263" t="s">
        <v>1346</v>
      </c>
      <c r="N263" t="s">
        <v>1806</v>
      </c>
      <c r="O263">
        <v>0</v>
      </c>
    </row>
    <row r="264" spans="10:15" x14ac:dyDescent="0.25">
      <c r="J264" t="s">
        <v>485</v>
      </c>
      <c r="K264" t="s">
        <v>485</v>
      </c>
      <c r="L264">
        <v>7384495</v>
      </c>
      <c r="M264" t="s">
        <v>1472</v>
      </c>
      <c r="N264" t="s">
        <v>1806</v>
      </c>
      <c r="O264">
        <v>0</v>
      </c>
    </row>
    <row r="265" spans="10:15" x14ac:dyDescent="0.25">
      <c r="J265" t="s">
        <v>496</v>
      </c>
      <c r="K265" t="s">
        <v>496</v>
      </c>
      <c r="L265">
        <v>1872907</v>
      </c>
      <c r="M265" t="s">
        <v>1316</v>
      </c>
      <c r="N265" t="s">
        <v>1806</v>
      </c>
      <c r="O265">
        <v>0</v>
      </c>
    </row>
    <row r="266" spans="10:15" x14ac:dyDescent="0.25">
      <c r="J266" t="s">
        <v>502</v>
      </c>
      <c r="K266" t="s">
        <v>502</v>
      </c>
      <c r="L266">
        <v>1878615</v>
      </c>
      <c r="M266" t="s">
        <v>1250</v>
      </c>
      <c r="N266" t="s">
        <v>1806</v>
      </c>
      <c r="O266">
        <v>0</v>
      </c>
    </row>
    <row r="267" spans="10:15" x14ac:dyDescent="0.25">
      <c r="J267" t="s">
        <v>502</v>
      </c>
      <c r="K267" t="s">
        <v>502</v>
      </c>
      <c r="L267">
        <v>6565956</v>
      </c>
      <c r="M267" t="s">
        <v>1316</v>
      </c>
      <c r="N267" t="s">
        <v>1806</v>
      </c>
      <c r="O267">
        <v>0</v>
      </c>
    </row>
    <row r="268" spans="10:15" x14ac:dyDescent="0.25">
      <c r="J268" t="s">
        <v>502</v>
      </c>
      <c r="K268" t="s">
        <v>502</v>
      </c>
      <c r="L268">
        <v>9924037</v>
      </c>
      <c r="M268" t="s">
        <v>1336</v>
      </c>
      <c r="N268" t="s">
        <v>1806</v>
      </c>
      <c r="O268">
        <v>0</v>
      </c>
    </row>
    <row r="269" spans="10:15" x14ac:dyDescent="0.25">
      <c r="J269" t="s">
        <v>506</v>
      </c>
      <c r="K269" t="s">
        <v>506</v>
      </c>
      <c r="L269">
        <v>9445282</v>
      </c>
      <c r="M269" t="s">
        <v>1311</v>
      </c>
      <c r="N269" t="s">
        <v>1806</v>
      </c>
      <c r="O269">
        <v>0</v>
      </c>
    </row>
    <row r="270" spans="10:15" x14ac:dyDescent="0.25">
      <c r="J270" t="s">
        <v>509</v>
      </c>
      <c r="K270" t="s">
        <v>509</v>
      </c>
      <c r="L270">
        <v>3713907</v>
      </c>
      <c r="M270" t="s">
        <v>1311</v>
      </c>
      <c r="N270" t="s">
        <v>1806</v>
      </c>
      <c r="O270">
        <v>0</v>
      </c>
    </row>
    <row r="271" spans="10:15" x14ac:dyDescent="0.25">
      <c r="J271" t="s">
        <v>509</v>
      </c>
      <c r="K271" t="s">
        <v>509</v>
      </c>
      <c r="L271">
        <v>4007320</v>
      </c>
      <c r="M271" t="s">
        <v>1346</v>
      </c>
      <c r="N271" t="s">
        <v>1806</v>
      </c>
      <c r="O271">
        <v>0</v>
      </c>
    </row>
    <row r="272" spans="10:15" x14ac:dyDescent="0.25">
      <c r="J272" t="s">
        <v>1331</v>
      </c>
      <c r="K272" t="s">
        <v>515</v>
      </c>
      <c r="L272">
        <v>7630615</v>
      </c>
      <c r="M272" t="s">
        <v>1316</v>
      </c>
      <c r="N272" t="s">
        <v>1806</v>
      </c>
      <c r="O272">
        <v>0</v>
      </c>
    </row>
    <row r="273" spans="10:15" x14ac:dyDescent="0.25">
      <c r="J273" t="s">
        <v>1343</v>
      </c>
      <c r="K273" t="s">
        <v>515</v>
      </c>
      <c r="L273">
        <v>5804478</v>
      </c>
      <c r="M273" t="s">
        <v>1336</v>
      </c>
      <c r="N273" t="s">
        <v>1806</v>
      </c>
      <c r="O273">
        <v>0</v>
      </c>
    </row>
    <row r="274" spans="10:15" x14ac:dyDescent="0.25">
      <c r="J274" t="s">
        <v>519</v>
      </c>
      <c r="K274" t="s">
        <v>519</v>
      </c>
      <c r="L274">
        <v>7071797</v>
      </c>
      <c r="M274" t="s">
        <v>1250</v>
      </c>
      <c r="N274" t="s">
        <v>1806</v>
      </c>
      <c r="O274">
        <v>0</v>
      </c>
    </row>
    <row r="275" spans="10:15" x14ac:dyDescent="0.25">
      <c r="J275" t="s">
        <v>519</v>
      </c>
      <c r="K275" t="s">
        <v>519</v>
      </c>
      <c r="L275">
        <v>3529182</v>
      </c>
      <c r="M275" t="s">
        <v>1316</v>
      </c>
      <c r="N275" t="s">
        <v>1806</v>
      </c>
      <c r="O275">
        <v>0</v>
      </c>
    </row>
    <row r="276" spans="10:15" x14ac:dyDescent="0.25">
      <c r="J276" t="s">
        <v>519</v>
      </c>
      <c r="K276" t="s">
        <v>519</v>
      </c>
      <c r="L276">
        <v>5638901</v>
      </c>
      <c r="M276" t="s">
        <v>1336</v>
      </c>
      <c r="N276" t="s">
        <v>1806</v>
      </c>
      <c r="O276">
        <v>0</v>
      </c>
    </row>
    <row r="277" spans="10:15" x14ac:dyDescent="0.25">
      <c r="J277" t="s">
        <v>519</v>
      </c>
      <c r="K277" t="s">
        <v>519</v>
      </c>
      <c r="L277">
        <v>1576566</v>
      </c>
      <c r="M277" t="s">
        <v>1346</v>
      </c>
      <c r="N277" t="s">
        <v>1806</v>
      </c>
      <c r="O277">
        <v>0</v>
      </c>
    </row>
    <row r="278" spans="10:15" x14ac:dyDescent="0.25">
      <c r="J278" t="s">
        <v>528</v>
      </c>
      <c r="K278" t="s">
        <v>523</v>
      </c>
      <c r="L278">
        <v>6945387</v>
      </c>
      <c r="M278" t="s">
        <v>1311</v>
      </c>
      <c r="N278" t="s">
        <v>1806</v>
      </c>
      <c r="O278">
        <v>0</v>
      </c>
    </row>
    <row r="279" spans="10:15" x14ac:dyDescent="0.25">
      <c r="J279" t="s">
        <v>525</v>
      </c>
      <c r="K279" t="s">
        <v>523</v>
      </c>
      <c r="L279">
        <v>5869239</v>
      </c>
      <c r="M279" t="s">
        <v>1316</v>
      </c>
      <c r="N279" t="s">
        <v>1806</v>
      </c>
      <c r="O279">
        <v>0</v>
      </c>
    </row>
    <row r="280" spans="10:15" x14ac:dyDescent="0.25">
      <c r="J280" t="s">
        <v>931</v>
      </c>
      <c r="K280" t="s">
        <v>928</v>
      </c>
      <c r="L280">
        <v>8314639</v>
      </c>
      <c r="M280" t="s">
        <v>1514</v>
      </c>
      <c r="N280" t="s">
        <v>1806</v>
      </c>
      <c r="O280">
        <v>0</v>
      </c>
    </row>
    <row r="281" spans="10:15" x14ac:dyDescent="0.25">
      <c r="J281" t="s">
        <v>935</v>
      </c>
      <c r="K281" t="s">
        <v>928</v>
      </c>
      <c r="L281">
        <v>9870958</v>
      </c>
      <c r="M281" t="s">
        <v>1394</v>
      </c>
      <c r="N281" t="s">
        <v>1806</v>
      </c>
      <c r="O281">
        <v>0</v>
      </c>
    </row>
    <row r="282" spans="10:15" x14ac:dyDescent="0.25">
      <c r="J282" t="s">
        <v>1413</v>
      </c>
      <c r="K282" t="s">
        <v>928</v>
      </c>
      <c r="L282">
        <v>5922905</v>
      </c>
      <c r="M282" t="s">
        <v>1405</v>
      </c>
      <c r="N282" t="s">
        <v>1806</v>
      </c>
      <c r="O282">
        <v>0</v>
      </c>
    </row>
    <row r="283" spans="10:15" x14ac:dyDescent="0.25">
      <c r="J283" t="s">
        <v>933</v>
      </c>
      <c r="K283" t="s">
        <v>928</v>
      </c>
      <c r="L283">
        <v>9379121</v>
      </c>
      <c r="M283" t="s">
        <v>1472</v>
      </c>
      <c r="N283" t="s">
        <v>1806</v>
      </c>
      <c r="O283">
        <v>0</v>
      </c>
    </row>
    <row r="284" spans="10:15" x14ac:dyDescent="0.25">
      <c r="J284" t="s">
        <v>997</v>
      </c>
      <c r="K284" t="s">
        <v>997</v>
      </c>
      <c r="L284">
        <v>6375207</v>
      </c>
      <c r="M284" t="s">
        <v>1250</v>
      </c>
      <c r="N284" t="s">
        <v>1806</v>
      </c>
      <c r="O284">
        <v>0</v>
      </c>
    </row>
    <row r="285" spans="10:15" x14ac:dyDescent="0.25">
      <c r="J285" t="s">
        <v>997</v>
      </c>
      <c r="K285" t="s">
        <v>997</v>
      </c>
      <c r="L285">
        <v>1546097</v>
      </c>
      <c r="M285" t="s">
        <v>1311</v>
      </c>
      <c r="N285" t="s">
        <v>1806</v>
      </c>
      <c r="O285">
        <v>0</v>
      </c>
    </row>
    <row r="286" spans="10:15" x14ac:dyDescent="0.25">
      <c r="J286" t="s">
        <v>1001</v>
      </c>
      <c r="K286" t="s">
        <v>1001</v>
      </c>
      <c r="L286">
        <v>2089762</v>
      </c>
      <c r="M286" t="s">
        <v>1311</v>
      </c>
      <c r="N286" t="s">
        <v>1806</v>
      </c>
      <c r="O286">
        <v>0</v>
      </c>
    </row>
    <row r="287" spans="10:15" x14ac:dyDescent="0.25">
      <c r="J287" t="s">
        <v>1379</v>
      </c>
      <c r="K287" t="s">
        <v>1380</v>
      </c>
      <c r="L287">
        <v>8430922</v>
      </c>
      <c r="M287" t="s">
        <v>1377</v>
      </c>
      <c r="N287" t="s">
        <v>1806</v>
      </c>
      <c r="O287">
        <v>0</v>
      </c>
    </row>
  </sheetData>
  <conditionalFormatting sqref="D2:D46">
    <cfRule type="colorScale" priority="1">
      <colorScale>
        <cfvo type="min"/>
        <cfvo type="max"/>
        <color theme="7" tint="0.79998168889431442"/>
        <color theme="5" tint="-0.249977111117893"/>
      </colorScale>
    </cfRule>
  </conditionalFormatting>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zoomScaleNormal="100" workbookViewId="0">
      <selection activeCell="I6" sqref="I6"/>
    </sheetView>
  </sheetViews>
  <sheetFormatPr defaultRowHeight="15" x14ac:dyDescent="0.25"/>
  <cols>
    <col min="2" max="2" width="12.28515625" bestFit="1" customWidth="1"/>
    <col min="3" max="3" width="12.7109375" style="313" customWidth="1"/>
    <col min="4" max="4" width="13.28515625" customWidth="1"/>
    <col min="7" max="9" width="13.7109375" customWidth="1"/>
    <col min="11" max="11" width="24" customWidth="1"/>
    <col min="12" max="12" width="12.140625" customWidth="1"/>
  </cols>
  <sheetData>
    <row r="1" spans="1:9" x14ac:dyDescent="0.25">
      <c r="A1" s="492" t="s">
        <v>2555</v>
      </c>
      <c r="B1" s="361">
        <v>2019</v>
      </c>
      <c r="C1" s="361">
        <v>2020</v>
      </c>
      <c r="D1" s="493" t="s">
        <v>1828</v>
      </c>
      <c r="F1" s="492" t="s">
        <v>2556</v>
      </c>
      <c r="G1" s="361">
        <v>2019</v>
      </c>
      <c r="H1" s="361">
        <v>2020</v>
      </c>
      <c r="I1" s="493" t="s">
        <v>1828</v>
      </c>
    </row>
    <row r="2" spans="1:9" x14ac:dyDescent="0.25">
      <c r="A2" s="494" t="s">
        <v>1086</v>
      </c>
      <c r="B2" s="465">
        <f>'KHK 2019'!H191</f>
        <v>27120030</v>
      </c>
      <c r="C2" s="465">
        <v>27000000</v>
      </c>
      <c r="D2" s="459">
        <f>C2-B2</f>
        <v>-120030</v>
      </c>
      <c r="F2" s="494" t="s">
        <v>1086</v>
      </c>
      <c r="G2" s="465">
        <f>B2</f>
        <v>27120030</v>
      </c>
      <c r="H2" s="465">
        <f>C2</f>
        <v>27000000</v>
      </c>
      <c r="I2" s="459">
        <f>H2-G2</f>
        <v>-120030</v>
      </c>
    </row>
    <row r="3" spans="1:9" x14ac:dyDescent="0.25">
      <c r="A3" s="494" t="s">
        <v>2465</v>
      </c>
      <c r="B3" s="465">
        <f>'MPSV 2019'!K257</f>
        <v>880403800</v>
      </c>
      <c r="C3" s="491">
        <f>B9*1000000000*0.054</f>
        <v>948294000</v>
      </c>
      <c r="D3" s="459">
        <f t="shared" ref="D3:D5" si="0">C3-B3</f>
        <v>67890200</v>
      </c>
      <c r="F3" s="494" t="s">
        <v>2465</v>
      </c>
      <c r="G3" s="465">
        <f>B3</f>
        <v>880403800</v>
      </c>
      <c r="H3" s="491">
        <f>G9*1000000000*0.0546</f>
        <v>947856000</v>
      </c>
      <c r="I3" s="459">
        <f t="shared" ref="I3:I5" si="1">H3-G3</f>
        <v>67452200</v>
      </c>
    </row>
    <row r="4" spans="1:9" x14ac:dyDescent="0.25">
      <c r="A4" s="494" t="s">
        <v>1811</v>
      </c>
      <c r="B4" s="465">
        <f>PnaPr2019!J30</f>
        <v>201520000</v>
      </c>
      <c r="C4" s="465">
        <v>190000000</v>
      </c>
      <c r="D4" s="459">
        <f t="shared" si="0"/>
        <v>-11520000</v>
      </c>
      <c r="F4" s="494" t="s">
        <v>1811</v>
      </c>
      <c r="G4" s="465">
        <f>B4</f>
        <v>201520000</v>
      </c>
      <c r="H4" s="465">
        <f>C4</f>
        <v>190000000</v>
      </c>
      <c r="I4" s="459">
        <f t="shared" si="1"/>
        <v>-11520000</v>
      </c>
    </row>
    <row r="5" spans="1:9" x14ac:dyDescent="0.25">
      <c r="A5" s="494" t="s">
        <v>2466</v>
      </c>
      <c r="B5" s="465">
        <f>GETPIVOTDATA("Platby 2019",'IP 2019'!$N$1)</f>
        <v>65248894.260000005</v>
      </c>
      <c r="C5" s="465">
        <f>GETPIVOTDATA("Součet z IP2020",IP5_2020!$D$73)</f>
        <v>87434175.375827283</v>
      </c>
      <c r="D5" s="459">
        <f t="shared" si="0"/>
        <v>22185281.115827277</v>
      </c>
      <c r="F5" s="494" t="s">
        <v>2466</v>
      </c>
      <c r="G5" s="465">
        <f>B5</f>
        <v>65248894.260000005</v>
      </c>
      <c r="H5" s="465">
        <f>C5</f>
        <v>87434175.375827283</v>
      </c>
      <c r="I5" s="459">
        <f t="shared" si="1"/>
        <v>22185281.115827277</v>
      </c>
    </row>
    <row r="6" spans="1:9" x14ac:dyDescent="0.25">
      <c r="A6" s="494"/>
      <c r="B6" s="465">
        <f>SUM(B2:B5)</f>
        <v>1174292724.26</v>
      </c>
      <c r="C6" s="465">
        <f>SUM(C2:C5)</f>
        <v>1252728175.3758273</v>
      </c>
      <c r="D6" s="459">
        <f>SUM(D2:D5)</f>
        <v>78435451.115827277</v>
      </c>
      <c r="F6" s="494"/>
      <c r="G6" s="465">
        <f>SUM(G2:G5)</f>
        <v>1174292724.26</v>
      </c>
      <c r="H6" s="465">
        <f>SUM(H2:H5)</f>
        <v>1252290175.3758273</v>
      </c>
      <c r="I6" s="459">
        <f>SUM(I2:I5)</f>
        <v>77997451.115827277</v>
      </c>
    </row>
    <row r="7" spans="1:9" x14ac:dyDescent="0.25">
      <c r="A7" s="477"/>
      <c r="B7" s="315"/>
      <c r="C7" s="315"/>
      <c r="D7" s="495"/>
      <c r="F7" s="477"/>
      <c r="G7" s="315"/>
      <c r="H7" s="315"/>
      <c r="I7" s="495"/>
    </row>
    <row r="8" spans="1:9" ht="15.75" thickBot="1" x14ac:dyDescent="0.3">
      <c r="A8" s="496" t="s">
        <v>1712</v>
      </c>
      <c r="B8" s="468" t="e">
        <f>#REF!</f>
        <v>#REF!</v>
      </c>
      <c r="C8" s="468" t="e">
        <f>#REF!</f>
        <v>#REF!</v>
      </c>
      <c r="D8" s="467" t="e">
        <f>C8-B8</f>
        <v>#REF!</v>
      </c>
      <c r="F8" s="496" t="s">
        <v>1712</v>
      </c>
      <c r="G8" s="468" t="e">
        <f>B8</f>
        <v>#REF!</v>
      </c>
      <c r="H8" s="468" t="e">
        <f>C8+13500000</f>
        <v>#REF!</v>
      </c>
      <c r="I8" s="467">
        <v>150000000</v>
      </c>
    </row>
    <row r="9" spans="1:9" x14ac:dyDescent="0.25">
      <c r="B9" s="497">
        <v>17.561</v>
      </c>
      <c r="C9" s="313" t="s">
        <v>2557</v>
      </c>
      <c r="D9" s="490" t="e">
        <f>D8-D6</f>
        <v>#REF!</v>
      </c>
      <c r="F9" s="313"/>
      <c r="G9" s="497">
        <f>18.06-0.7</f>
        <v>17.36</v>
      </c>
      <c r="H9" s="313" t="s">
        <v>2557</v>
      </c>
      <c r="I9" s="490">
        <f>I8-I6</f>
        <v>72002548.884172723</v>
      </c>
    </row>
    <row r="10" spans="1:9" x14ac:dyDescent="0.25">
      <c r="G10" s="497" t="s">
        <v>2566</v>
      </c>
    </row>
    <row r="11" spans="1:9" ht="15.75" thickBot="1" x14ac:dyDescent="0.3">
      <c r="G11" s="502" t="s">
        <v>2563</v>
      </c>
    </row>
    <row r="12" spans="1:9" ht="15.75" thickBot="1" x14ac:dyDescent="0.3">
      <c r="G12" s="503" t="s">
        <v>2558</v>
      </c>
      <c r="H12" s="498" t="s">
        <v>2559</v>
      </c>
    </row>
    <row r="13" spans="1:9" ht="15.75" thickBot="1" x14ac:dyDescent="0.3">
      <c r="G13" s="504" t="s">
        <v>2560</v>
      </c>
      <c r="H13" s="499">
        <v>580000000</v>
      </c>
    </row>
    <row r="14" spans="1:9" ht="15.75" thickBot="1" x14ac:dyDescent="0.3">
      <c r="G14" s="504" t="s">
        <v>2561</v>
      </c>
      <c r="H14" s="499">
        <v>89346458</v>
      </c>
    </row>
    <row r="15" spans="1:9" ht="15.75" thickBot="1" x14ac:dyDescent="0.3">
      <c r="G15" s="504" t="s">
        <v>2562</v>
      </c>
      <c r="H15" s="499">
        <v>9549855</v>
      </c>
    </row>
    <row r="16" spans="1:9" ht="15.75" thickBot="1" x14ac:dyDescent="0.3">
      <c r="G16" s="500" t="s">
        <v>48</v>
      </c>
      <c r="H16" s="501">
        <v>678896313</v>
      </c>
    </row>
  </sheetData>
  <pageMargins left="0.25" right="0.25" top="0.75" bottom="0.75"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6"/>
  <sheetViews>
    <sheetView topLeftCell="O1" workbookViewId="0">
      <selection activeCell="U4" sqref="U4:W4"/>
    </sheetView>
  </sheetViews>
  <sheetFormatPr defaultRowHeight="15" x14ac:dyDescent="0.25"/>
  <cols>
    <col min="1" max="1" width="9.28515625" style="313"/>
    <col min="2" max="2" width="4.7109375" style="313" customWidth="1"/>
    <col min="3" max="3" width="3.5703125" style="313" customWidth="1"/>
    <col min="4" max="4" width="38.140625" style="313" customWidth="1"/>
    <col min="5" max="5" width="11.5703125" style="313" customWidth="1"/>
    <col min="6" max="6" width="0.140625" style="313" customWidth="1"/>
    <col min="7" max="8" width="11.5703125" style="313" customWidth="1"/>
    <col min="9" max="9" width="9.28515625" style="313" customWidth="1"/>
    <col min="10" max="10" width="10.85546875" style="313" customWidth="1"/>
    <col min="11" max="16" width="9.28515625" style="313"/>
    <col min="17" max="17" width="14.7109375" style="313" bestFit="1" customWidth="1"/>
    <col min="18" max="18" width="17.7109375" style="313" customWidth="1"/>
    <col min="19" max="19" width="14.85546875" style="313" bestFit="1" customWidth="1"/>
    <col min="20" max="20" width="11.5703125" style="313" customWidth="1"/>
    <col min="21" max="21" width="10.7109375" style="313" customWidth="1"/>
    <col min="22" max="22" width="9.28515625" style="313"/>
    <col min="23" max="23" width="9.85546875" style="313" bestFit="1" customWidth="1"/>
    <col min="24" max="24" width="11.5703125" style="313" customWidth="1"/>
    <col min="25" max="217" width="9.28515625" style="313"/>
    <col min="218" max="218" width="4.7109375" style="313" customWidth="1"/>
    <col min="219" max="219" width="3.5703125" style="313" customWidth="1"/>
    <col min="220" max="220" width="38.140625" style="313" customWidth="1"/>
    <col min="221" max="221" width="11.5703125" style="313" customWidth="1"/>
    <col min="222" max="222" width="0.140625" style="313" customWidth="1"/>
    <col min="223" max="224" width="11.5703125" style="313" customWidth="1"/>
    <col min="225" max="225" width="9.28515625" style="313" customWidth="1"/>
    <col min="226" max="226" width="10.85546875" style="313" customWidth="1"/>
    <col min="227" max="473" width="9.28515625" style="313"/>
    <col min="474" max="474" width="4.7109375" style="313" customWidth="1"/>
    <col min="475" max="475" width="3.5703125" style="313" customWidth="1"/>
    <col min="476" max="476" width="38.140625" style="313" customWidth="1"/>
    <col min="477" max="477" width="11.5703125" style="313" customWidth="1"/>
    <col min="478" max="478" width="0.140625" style="313" customWidth="1"/>
    <col min="479" max="480" width="11.5703125" style="313" customWidth="1"/>
    <col min="481" max="481" width="9.28515625" style="313" customWidth="1"/>
    <col min="482" max="482" width="10.85546875" style="313" customWidth="1"/>
    <col min="483" max="729" width="9.28515625" style="313"/>
    <col min="730" max="730" width="4.7109375" style="313" customWidth="1"/>
    <col min="731" max="731" width="3.5703125" style="313" customWidth="1"/>
    <col min="732" max="732" width="38.140625" style="313" customWidth="1"/>
    <col min="733" max="733" width="11.5703125" style="313" customWidth="1"/>
    <col min="734" max="734" width="0.140625" style="313" customWidth="1"/>
    <col min="735" max="736" width="11.5703125" style="313" customWidth="1"/>
    <col min="737" max="737" width="9.28515625" style="313" customWidth="1"/>
    <col min="738" max="738" width="10.85546875" style="313" customWidth="1"/>
    <col min="739" max="985" width="9.28515625" style="313"/>
    <col min="986" max="986" width="4.7109375" style="313" customWidth="1"/>
    <col min="987" max="987" width="3.5703125" style="313" customWidth="1"/>
    <col min="988" max="988" width="38.140625" style="313" customWidth="1"/>
    <col min="989" max="989" width="11.5703125" style="313" customWidth="1"/>
    <col min="990" max="990" width="0.140625" style="313" customWidth="1"/>
    <col min="991" max="992" width="11.5703125" style="313" customWidth="1"/>
    <col min="993" max="993" width="9.28515625" style="313" customWidth="1"/>
    <col min="994" max="994" width="10.85546875" style="313" customWidth="1"/>
    <col min="995" max="1241" width="9.28515625" style="313"/>
    <col min="1242" max="1242" width="4.7109375" style="313" customWidth="1"/>
    <col min="1243" max="1243" width="3.5703125" style="313" customWidth="1"/>
    <col min="1244" max="1244" width="38.140625" style="313" customWidth="1"/>
    <col min="1245" max="1245" width="11.5703125" style="313" customWidth="1"/>
    <col min="1246" max="1246" width="0.140625" style="313" customWidth="1"/>
    <col min="1247" max="1248" width="11.5703125" style="313" customWidth="1"/>
    <col min="1249" max="1249" width="9.28515625" style="313" customWidth="1"/>
    <col min="1250" max="1250" width="10.85546875" style="313" customWidth="1"/>
    <col min="1251" max="1497" width="9.28515625" style="313"/>
    <col min="1498" max="1498" width="4.7109375" style="313" customWidth="1"/>
    <col min="1499" max="1499" width="3.5703125" style="313" customWidth="1"/>
    <col min="1500" max="1500" width="38.140625" style="313" customWidth="1"/>
    <col min="1501" max="1501" width="11.5703125" style="313" customWidth="1"/>
    <col min="1502" max="1502" width="0.140625" style="313" customWidth="1"/>
    <col min="1503" max="1504" width="11.5703125" style="313" customWidth="1"/>
    <col min="1505" max="1505" width="9.28515625" style="313" customWidth="1"/>
    <col min="1506" max="1506" width="10.85546875" style="313" customWidth="1"/>
    <col min="1507" max="1753" width="9.28515625" style="313"/>
    <col min="1754" max="1754" width="4.7109375" style="313" customWidth="1"/>
    <col min="1755" max="1755" width="3.5703125" style="313" customWidth="1"/>
    <col min="1756" max="1756" width="38.140625" style="313" customWidth="1"/>
    <col min="1757" max="1757" width="11.5703125" style="313" customWidth="1"/>
    <col min="1758" max="1758" width="0.140625" style="313" customWidth="1"/>
    <col min="1759" max="1760" width="11.5703125" style="313" customWidth="1"/>
    <col min="1761" max="1761" width="9.28515625" style="313" customWidth="1"/>
    <col min="1762" max="1762" width="10.85546875" style="313" customWidth="1"/>
    <col min="1763" max="2009" width="9.28515625" style="313"/>
    <col min="2010" max="2010" width="4.7109375" style="313" customWidth="1"/>
    <col min="2011" max="2011" width="3.5703125" style="313" customWidth="1"/>
    <col min="2012" max="2012" width="38.140625" style="313" customWidth="1"/>
    <col min="2013" max="2013" width="11.5703125" style="313" customWidth="1"/>
    <col min="2014" max="2014" width="0.140625" style="313" customWidth="1"/>
    <col min="2015" max="2016" width="11.5703125" style="313" customWidth="1"/>
    <col min="2017" max="2017" width="9.28515625" style="313" customWidth="1"/>
    <col min="2018" max="2018" width="10.85546875" style="313" customWidth="1"/>
    <col min="2019" max="2265" width="9.28515625" style="313"/>
    <col min="2266" max="2266" width="4.7109375" style="313" customWidth="1"/>
    <col min="2267" max="2267" width="3.5703125" style="313" customWidth="1"/>
    <col min="2268" max="2268" width="38.140625" style="313" customWidth="1"/>
    <col min="2269" max="2269" width="11.5703125" style="313" customWidth="1"/>
    <col min="2270" max="2270" width="0.140625" style="313" customWidth="1"/>
    <col min="2271" max="2272" width="11.5703125" style="313" customWidth="1"/>
    <col min="2273" max="2273" width="9.28515625" style="313" customWidth="1"/>
    <col min="2274" max="2274" width="10.85546875" style="313" customWidth="1"/>
    <col min="2275" max="2521" width="9.28515625" style="313"/>
    <col min="2522" max="2522" width="4.7109375" style="313" customWidth="1"/>
    <col min="2523" max="2523" width="3.5703125" style="313" customWidth="1"/>
    <col min="2524" max="2524" width="38.140625" style="313" customWidth="1"/>
    <col min="2525" max="2525" width="11.5703125" style="313" customWidth="1"/>
    <col min="2526" max="2526" width="0.140625" style="313" customWidth="1"/>
    <col min="2527" max="2528" width="11.5703125" style="313" customWidth="1"/>
    <col min="2529" max="2529" width="9.28515625" style="313" customWidth="1"/>
    <col min="2530" max="2530" width="10.85546875" style="313" customWidth="1"/>
    <col min="2531" max="2777" width="9.28515625" style="313"/>
    <col min="2778" max="2778" width="4.7109375" style="313" customWidth="1"/>
    <col min="2779" max="2779" width="3.5703125" style="313" customWidth="1"/>
    <col min="2780" max="2780" width="38.140625" style="313" customWidth="1"/>
    <col min="2781" max="2781" width="11.5703125" style="313" customWidth="1"/>
    <col min="2782" max="2782" width="0.140625" style="313" customWidth="1"/>
    <col min="2783" max="2784" width="11.5703125" style="313" customWidth="1"/>
    <col min="2785" max="2785" width="9.28515625" style="313" customWidth="1"/>
    <col min="2786" max="2786" width="10.85546875" style="313" customWidth="1"/>
    <col min="2787" max="3033" width="9.28515625" style="313"/>
    <col min="3034" max="3034" width="4.7109375" style="313" customWidth="1"/>
    <col min="3035" max="3035" width="3.5703125" style="313" customWidth="1"/>
    <col min="3036" max="3036" width="38.140625" style="313" customWidth="1"/>
    <col min="3037" max="3037" width="11.5703125" style="313" customWidth="1"/>
    <col min="3038" max="3038" width="0.140625" style="313" customWidth="1"/>
    <col min="3039" max="3040" width="11.5703125" style="313" customWidth="1"/>
    <col min="3041" max="3041" width="9.28515625" style="313" customWidth="1"/>
    <col min="3042" max="3042" width="10.85546875" style="313" customWidth="1"/>
    <col min="3043" max="3289" width="9.28515625" style="313"/>
    <col min="3290" max="3290" width="4.7109375" style="313" customWidth="1"/>
    <col min="3291" max="3291" width="3.5703125" style="313" customWidth="1"/>
    <col min="3292" max="3292" width="38.140625" style="313" customWidth="1"/>
    <col min="3293" max="3293" width="11.5703125" style="313" customWidth="1"/>
    <col min="3294" max="3294" width="0.140625" style="313" customWidth="1"/>
    <col min="3295" max="3296" width="11.5703125" style="313" customWidth="1"/>
    <col min="3297" max="3297" width="9.28515625" style="313" customWidth="1"/>
    <col min="3298" max="3298" width="10.85546875" style="313" customWidth="1"/>
    <col min="3299" max="3545" width="9.28515625" style="313"/>
    <col min="3546" max="3546" width="4.7109375" style="313" customWidth="1"/>
    <col min="3547" max="3547" width="3.5703125" style="313" customWidth="1"/>
    <col min="3548" max="3548" width="38.140625" style="313" customWidth="1"/>
    <col min="3549" max="3549" width="11.5703125" style="313" customWidth="1"/>
    <col min="3550" max="3550" width="0.140625" style="313" customWidth="1"/>
    <col min="3551" max="3552" width="11.5703125" style="313" customWidth="1"/>
    <col min="3553" max="3553" width="9.28515625" style="313" customWidth="1"/>
    <col min="3554" max="3554" width="10.85546875" style="313" customWidth="1"/>
    <col min="3555" max="3801" width="9.28515625" style="313"/>
    <col min="3802" max="3802" width="4.7109375" style="313" customWidth="1"/>
    <col min="3803" max="3803" width="3.5703125" style="313" customWidth="1"/>
    <col min="3804" max="3804" width="38.140625" style="313" customWidth="1"/>
    <col min="3805" max="3805" width="11.5703125" style="313" customWidth="1"/>
    <col min="3806" max="3806" width="0.140625" style="313" customWidth="1"/>
    <col min="3807" max="3808" width="11.5703125" style="313" customWidth="1"/>
    <col min="3809" max="3809" width="9.28515625" style="313" customWidth="1"/>
    <col min="3810" max="3810" width="10.85546875" style="313" customWidth="1"/>
    <col min="3811" max="4057" width="9.28515625" style="313"/>
    <col min="4058" max="4058" width="4.7109375" style="313" customWidth="1"/>
    <col min="4059" max="4059" width="3.5703125" style="313" customWidth="1"/>
    <col min="4060" max="4060" width="38.140625" style="313" customWidth="1"/>
    <col min="4061" max="4061" width="11.5703125" style="313" customWidth="1"/>
    <col min="4062" max="4062" width="0.140625" style="313" customWidth="1"/>
    <col min="4063" max="4064" width="11.5703125" style="313" customWidth="1"/>
    <col min="4065" max="4065" width="9.28515625" style="313" customWidth="1"/>
    <col min="4066" max="4066" width="10.85546875" style="313" customWidth="1"/>
    <col min="4067" max="4313" width="9.28515625" style="313"/>
    <col min="4314" max="4314" width="4.7109375" style="313" customWidth="1"/>
    <col min="4315" max="4315" width="3.5703125" style="313" customWidth="1"/>
    <col min="4316" max="4316" width="38.140625" style="313" customWidth="1"/>
    <col min="4317" max="4317" width="11.5703125" style="313" customWidth="1"/>
    <col min="4318" max="4318" width="0.140625" style="313" customWidth="1"/>
    <col min="4319" max="4320" width="11.5703125" style="313" customWidth="1"/>
    <col min="4321" max="4321" width="9.28515625" style="313" customWidth="1"/>
    <col min="4322" max="4322" width="10.85546875" style="313" customWidth="1"/>
    <col min="4323" max="4569" width="9.28515625" style="313"/>
    <col min="4570" max="4570" width="4.7109375" style="313" customWidth="1"/>
    <col min="4571" max="4571" width="3.5703125" style="313" customWidth="1"/>
    <col min="4572" max="4572" width="38.140625" style="313" customWidth="1"/>
    <col min="4573" max="4573" width="11.5703125" style="313" customWidth="1"/>
    <col min="4574" max="4574" width="0.140625" style="313" customWidth="1"/>
    <col min="4575" max="4576" width="11.5703125" style="313" customWidth="1"/>
    <col min="4577" max="4577" width="9.28515625" style="313" customWidth="1"/>
    <col min="4578" max="4578" width="10.85546875" style="313" customWidth="1"/>
    <col min="4579" max="4825" width="9.28515625" style="313"/>
    <col min="4826" max="4826" width="4.7109375" style="313" customWidth="1"/>
    <col min="4827" max="4827" width="3.5703125" style="313" customWidth="1"/>
    <col min="4828" max="4828" width="38.140625" style="313" customWidth="1"/>
    <col min="4829" max="4829" width="11.5703125" style="313" customWidth="1"/>
    <col min="4830" max="4830" width="0.140625" style="313" customWidth="1"/>
    <col min="4831" max="4832" width="11.5703125" style="313" customWidth="1"/>
    <col min="4833" max="4833" width="9.28515625" style="313" customWidth="1"/>
    <col min="4834" max="4834" width="10.85546875" style="313" customWidth="1"/>
    <col min="4835" max="5081" width="9.28515625" style="313"/>
    <col min="5082" max="5082" width="4.7109375" style="313" customWidth="1"/>
    <col min="5083" max="5083" width="3.5703125" style="313" customWidth="1"/>
    <col min="5084" max="5084" width="38.140625" style="313" customWidth="1"/>
    <col min="5085" max="5085" width="11.5703125" style="313" customWidth="1"/>
    <col min="5086" max="5086" width="0.140625" style="313" customWidth="1"/>
    <col min="5087" max="5088" width="11.5703125" style="313" customWidth="1"/>
    <col min="5089" max="5089" width="9.28515625" style="313" customWidth="1"/>
    <col min="5090" max="5090" width="10.85546875" style="313" customWidth="1"/>
    <col min="5091" max="5337" width="9.28515625" style="313"/>
    <col min="5338" max="5338" width="4.7109375" style="313" customWidth="1"/>
    <col min="5339" max="5339" width="3.5703125" style="313" customWidth="1"/>
    <col min="5340" max="5340" width="38.140625" style="313" customWidth="1"/>
    <col min="5341" max="5341" width="11.5703125" style="313" customWidth="1"/>
    <col min="5342" max="5342" width="0.140625" style="313" customWidth="1"/>
    <col min="5343" max="5344" width="11.5703125" style="313" customWidth="1"/>
    <col min="5345" max="5345" width="9.28515625" style="313" customWidth="1"/>
    <col min="5346" max="5346" width="10.85546875" style="313" customWidth="1"/>
    <col min="5347" max="5593" width="9.28515625" style="313"/>
    <col min="5594" max="5594" width="4.7109375" style="313" customWidth="1"/>
    <col min="5595" max="5595" width="3.5703125" style="313" customWidth="1"/>
    <col min="5596" max="5596" width="38.140625" style="313" customWidth="1"/>
    <col min="5597" max="5597" width="11.5703125" style="313" customWidth="1"/>
    <col min="5598" max="5598" width="0.140625" style="313" customWidth="1"/>
    <col min="5599" max="5600" width="11.5703125" style="313" customWidth="1"/>
    <col min="5601" max="5601" width="9.28515625" style="313" customWidth="1"/>
    <col min="5602" max="5602" width="10.85546875" style="313" customWidth="1"/>
    <col min="5603" max="5849" width="9.28515625" style="313"/>
    <col min="5850" max="5850" width="4.7109375" style="313" customWidth="1"/>
    <col min="5851" max="5851" width="3.5703125" style="313" customWidth="1"/>
    <col min="5852" max="5852" width="38.140625" style="313" customWidth="1"/>
    <col min="5853" max="5853" width="11.5703125" style="313" customWidth="1"/>
    <col min="5854" max="5854" width="0.140625" style="313" customWidth="1"/>
    <col min="5855" max="5856" width="11.5703125" style="313" customWidth="1"/>
    <col min="5857" max="5857" width="9.28515625" style="313" customWidth="1"/>
    <col min="5858" max="5858" width="10.85546875" style="313" customWidth="1"/>
    <col min="5859" max="6105" width="9.28515625" style="313"/>
    <col min="6106" max="6106" width="4.7109375" style="313" customWidth="1"/>
    <col min="6107" max="6107" width="3.5703125" style="313" customWidth="1"/>
    <col min="6108" max="6108" width="38.140625" style="313" customWidth="1"/>
    <col min="6109" max="6109" width="11.5703125" style="313" customWidth="1"/>
    <col min="6110" max="6110" width="0.140625" style="313" customWidth="1"/>
    <col min="6111" max="6112" width="11.5703125" style="313" customWidth="1"/>
    <col min="6113" max="6113" width="9.28515625" style="313" customWidth="1"/>
    <col min="6114" max="6114" width="10.85546875" style="313" customWidth="1"/>
    <col min="6115" max="6361" width="9.28515625" style="313"/>
    <col min="6362" max="6362" width="4.7109375" style="313" customWidth="1"/>
    <col min="6363" max="6363" width="3.5703125" style="313" customWidth="1"/>
    <col min="6364" max="6364" width="38.140625" style="313" customWidth="1"/>
    <col min="6365" max="6365" width="11.5703125" style="313" customWidth="1"/>
    <col min="6366" max="6366" width="0.140625" style="313" customWidth="1"/>
    <col min="6367" max="6368" width="11.5703125" style="313" customWidth="1"/>
    <col min="6369" max="6369" width="9.28515625" style="313" customWidth="1"/>
    <col min="6370" max="6370" width="10.85546875" style="313" customWidth="1"/>
    <col min="6371" max="6617" width="9.28515625" style="313"/>
    <col min="6618" max="6618" width="4.7109375" style="313" customWidth="1"/>
    <col min="6619" max="6619" width="3.5703125" style="313" customWidth="1"/>
    <col min="6620" max="6620" width="38.140625" style="313" customWidth="1"/>
    <col min="6621" max="6621" width="11.5703125" style="313" customWidth="1"/>
    <col min="6622" max="6622" width="0.140625" style="313" customWidth="1"/>
    <col min="6623" max="6624" width="11.5703125" style="313" customWidth="1"/>
    <col min="6625" max="6625" width="9.28515625" style="313" customWidth="1"/>
    <col min="6626" max="6626" width="10.85546875" style="313" customWidth="1"/>
    <col min="6627" max="6873" width="9.28515625" style="313"/>
    <col min="6874" max="6874" width="4.7109375" style="313" customWidth="1"/>
    <col min="6875" max="6875" width="3.5703125" style="313" customWidth="1"/>
    <col min="6876" max="6876" width="38.140625" style="313" customWidth="1"/>
    <col min="6877" max="6877" width="11.5703125" style="313" customWidth="1"/>
    <col min="6878" max="6878" width="0.140625" style="313" customWidth="1"/>
    <col min="6879" max="6880" width="11.5703125" style="313" customWidth="1"/>
    <col min="6881" max="6881" width="9.28515625" style="313" customWidth="1"/>
    <col min="6882" max="6882" width="10.85546875" style="313" customWidth="1"/>
    <col min="6883" max="7129" width="9.28515625" style="313"/>
    <col min="7130" max="7130" width="4.7109375" style="313" customWidth="1"/>
    <col min="7131" max="7131" width="3.5703125" style="313" customWidth="1"/>
    <col min="7132" max="7132" width="38.140625" style="313" customWidth="1"/>
    <col min="7133" max="7133" width="11.5703125" style="313" customWidth="1"/>
    <col min="7134" max="7134" width="0.140625" style="313" customWidth="1"/>
    <col min="7135" max="7136" width="11.5703125" style="313" customWidth="1"/>
    <col min="7137" max="7137" width="9.28515625" style="313" customWidth="1"/>
    <col min="7138" max="7138" width="10.85546875" style="313" customWidth="1"/>
    <col min="7139" max="7385" width="9.28515625" style="313"/>
    <col min="7386" max="7386" width="4.7109375" style="313" customWidth="1"/>
    <col min="7387" max="7387" width="3.5703125" style="313" customWidth="1"/>
    <col min="7388" max="7388" width="38.140625" style="313" customWidth="1"/>
    <col min="7389" max="7389" width="11.5703125" style="313" customWidth="1"/>
    <col min="7390" max="7390" width="0.140625" style="313" customWidth="1"/>
    <col min="7391" max="7392" width="11.5703125" style="313" customWidth="1"/>
    <col min="7393" max="7393" width="9.28515625" style="313" customWidth="1"/>
    <col min="7394" max="7394" width="10.85546875" style="313" customWidth="1"/>
    <col min="7395" max="7641" width="9.28515625" style="313"/>
    <col min="7642" max="7642" width="4.7109375" style="313" customWidth="1"/>
    <col min="7643" max="7643" width="3.5703125" style="313" customWidth="1"/>
    <col min="7644" max="7644" width="38.140625" style="313" customWidth="1"/>
    <col min="7645" max="7645" width="11.5703125" style="313" customWidth="1"/>
    <col min="7646" max="7646" width="0.140625" style="313" customWidth="1"/>
    <col min="7647" max="7648" width="11.5703125" style="313" customWidth="1"/>
    <col min="7649" max="7649" width="9.28515625" style="313" customWidth="1"/>
    <col min="7650" max="7650" width="10.85546875" style="313" customWidth="1"/>
    <col min="7651" max="7897" width="9.28515625" style="313"/>
    <col min="7898" max="7898" width="4.7109375" style="313" customWidth="1"/>
    <col min="7899" max="7899" width="3.5703125" style="313" customWidth="1"/>
    <col min="7900" max="7900" width="38.140625" style="313" customWidth="1"/>
    <col min="7901" max="7901" width="11.5703125" style="313" customWidth="1"/>
    <col min="7902" max="7902" width="0.140625" style="313" customWidth="1"/>
    <col min="7903" max="7904" width="11.5703125" style="313" customWidth="1"/>
    <col min="7905" max="7905" width="9.28515625" style="313" customWidth="1"/>
    <col min="7906" max="7906" width="10.85546875" style="313" customWidth="1"/>
    <col min="7907" max="8153" width="9.28515625" style="313"/>
    <col min="8154" max="8154" width="4.7109375" style="313" customWidth="1"/>
    <col min="8155" max="8155" width="3.5703125" style="313" customWidth="1"/>
    <col min="8156" max="8156" width="38.140625" style="313" customWidth="1"/>
    <col min="8157" max="8157" width="11.5703125" style="313" customWidth="1"/>
    <col min="8158" max="8158" width="0.140625" style="313" customWidth="1"/>
    <col min="8159" max="8160" width="11.5703125" style="313" customWidth="1"/>
    <col min="8161" max="8161" width="9.28515625" style="313" customWidth="1"/>
    <col min="8162" max="8162" width="10.85546875" style="313" customWidth="1"/>
    <col min="8163" max="8409" width="9.28515625" style="313"/>
    <col min="8410" max="8410" width="4.7109375" style="313" customWidth="1"/>
    <col min="8411" max="8411" width="3.5703125" style="313" customWidth="1"/>
    <col min="8412" max="8412" width="38.140625" style="313" customWidth="1"/>
    <col min="8413" max="8413" width="11.5703125" style="313" customWidth="1"/>
    <col min="8414" max="8414" width="0.140625" style="313" customWidth="1"/>
    <col min="8415" max="8416" width="11.5703125" style="313" customWidth="1"/>
    <col min="8417" max="8417" width="9.28515625" style="313" customWidth="1"/>
    <col min="8418" max="8418" width="10.85546875" style="313" customWidth="1"/>
    <col min="8419" max="8665" width="9.28515625" style="313"/>
    <col min="8666" max="8666" width="4.7109375" style="313" customWidth="1"/>
    <col min="8667" max="8667" width="3.5703125" style="313" customWidth="1"/>
    <col min="8668" max="8668" width="38.140625" style="313" customWidth="1"/>
    <col min="8669" max="8669" width="11.5703125" style="313" customWidth="1"/>
    <col min="8670" max="8670" width="0.140625" style="313" customWidth="1"/>
    <col min="8671" max="8672" width="11.5703125" style="313" customWidth="1"/>
    <col min="8673" max="8673" width="9.28515625" style="313" customWidth="1"/>
    <col min="8674" max="8674" width="10.85546875" style="313" customWidth="1"/>
    <col min="8675" max="8921" width="9.28515625" style="313"/>
    <col min="8922" max="8922" width="4.7109375" style="313" customWidth="1"/>
    <col min="8923" max="8923" width="3.5703125" style="313" customWidth="1"/>
    <col min="8924" max="8924" width="38.140625" style="313" customWidth="1"/>
    <col min="8925" max="8925" width="11.5703125" style="313" customWidth="1"/>
    <col min="8926" max="8926" width="0.140625" style="313" customWidth="1"/>
    <col min="8927" max="8928" width="11.5703125" style="313" customWidth="1"/>
    <col min="8929" max="8929" width="9.28515625" style="313" customWidth="1"/>
    <col min="8930" max="8930" width="10.85546875" style="313" customWidth="1"/>
    <col min="8931" max="9177" width="9.28515625" style="313"/>
    <col min="9178" max="9178" width="4.7109375" style="313" customWidth="1"/>
    <col min="9179" max="9179" width="3.5703125" style="313" customWidth="1"/>
    <col min="9180" max="9180" width="38.140625" style="313" customWidth="1"/>
    <col min="9181" max="9181" width="11.5703125" style="313" customWidth="1"/>
    <col min="9182" max="9182" width="0.140625" style="313" customWidth="1"/>
    <col min="9183" max="9184" width="11.5703125" style="313" customWidth="1"/>
    <col min="9185" max="9185" width="9.28515625" style="313" customWidth="1"/>
    <col min="9186" max="9186" width="10.85546875" style="313" customWidth="1"/>
    <col min="9187" max="9433" width="9.28515625" style="313"/>
    <col min="9434" max="9434" width="4.7109375" style="313" customWidth="1"/>
    <col min="9435" max="9435" width="3.5703125" style="313" customWidth="1"/>
    <col min="9436" max="9436" width="38.140625" style="313" customWidth="1"/>
    <col min="9437" max="9437" width="11.5703125" style="313" customWidth="1"/>
    <col min="9438" max="9438" width="0.140625" style="313" customWidth="1"/>
    <col min="9439" max="9440" width="11.5703125" style="313" customWidth="1"/>
    <col min="9441" max="9441" width="9.28515625" style="313" customWidth="1"/>
    <col min="9442" max="9442" width="10.85546875" style="313" customWidth="1"/>
    <col min="9443" max="9689" width="9.28515625" style="313"/>
    <col min="9690" max="9690" width="4.7109375" style="313" customWidth="1"/>
    <col min="9691" max="9691" width="3.5703125" style="313" customWidth="1"/>
    <col min="9692" max="9692" width="38.140625" style="313" customWidth="1"/>
    <col min="9693" max="9693" width="11.5703125" style="313" customWidth="1"/>
    <col min="9694" max="9694" width="0.140625" style="313" customWidth="1"/>
    <col min="9695" max="9696" width="11.5703125" style="313" customWidth="1"/>
    <col min="9697" max="9697" width="9.28515625" style="313" customWidth="1"/>
    <col min="9698" max="9698" width="10.85546875" style="313" customWidth="1"/>
    <col min="9699" max="9945" width="9.28515625" style="313"/>
    <col min="9946" max="9946" width="4.7109375" style="313" customWidth="1"/>
    <col min="9947" max="9947" width="3.5703125" style="313" customWidth="1"/>
    <col min="9948" max="9948" width="38.140625" style="313" customWidth="1"/>
    <col min="9949" max="9949" width="11.5703125" style="313" customWidth="1"/>
    <col min="9950" max="9950" width="0.140625" style="313" customWidth="1"/>
    <col min="9951" max="9952" width="11.5703125" style="313" customWidth="1"/>
    <col min="9953" max="9953" width="9.28515625" style="313" customWidth="1"/>
    <col min="9954" max="9954" width="10.85546875" style="313" customWidth="1"/>
    <col min="9955" max="10201" width="9.28515625" style="313"/>
    <col min="10202" max="10202" width="4.7109375" style="313" customWidth="1"/>
    <col min="10203" max="10203" width="3.5703125" style="313" customWidth="1"/>
    <col min="10204" max="10204" width="38.140625" style="313" customWidth="1"/>
    <col min="10205" max="10205" width="11.5703125" style="313" customWidth="1"/>
    <col min="10206" max="10206" width="0.140625" style="313" customWidth="1"/>
    <col min="10207" max="10208" width="11.5703125" style="313" customWidth="1"/>
    <col min="10209" max="10209" width="9.28515625" style="313" customWidth="1"/>
    <col min="10210" max="10210" width="10.85546875" style="313" customWidth="1"/>
    <col min="10211" max="10457" width="9.28515625" style="313"/>
    <col min="10458" max="10458" width="4.7109375" style="313" customWidth="1"/>
    <col min="10459" max="10459" width="3.5703125" style="313" customWidth="1"/>
    <col min="10460" max="10460" width="38.140625" style="313" customWidth="1"/>
    <col min="10461" max="10461" width="11.5703125" style="313" customWidth="1"/>
    <col min="10462" max="10462" width="0.140625" style="313" customWidth="1"/>
    <col min="10463" max="10464" width="11.5703125" style="313" customWidth="1"/>
    <col min="10465" max="10465" width="9.28515625" style="313" customWidth="1"/>
    <col min="10466" max="10466" width="10.85546875" style="313" customWidth="1"/>
    <col min="10467" max="10713" width="9.28515625" style="313"/>
    <col min="10714" max="10714" width="4.7109375" style="313" customWidth="1"/>
    <col min="10715" max="10715" width="3.5703125" style="313" customWidth="1"/>
    <col min="10716" max="10716" width="38.140625" style="313" customWidth="1"/>
    <col min="10717" max="10717" width="11.5703125" style="313" customWidth="1"/>
    <col min="10718" max="10718" width="0.140625" style="313" customWidth="1"/>
    <col min="10719" max="10720" width="11.5703125" style="313" customWidth="1"/>
    <col min="10721" max="10721" width="9.28515625" style="313" customWidth="1"/>
    <col min="10722" max="10722" width="10.85546875" style="313" customWidth="1"/>
    <col min="10723" max="10969" width="9.28515625" style="313"/>
    <col min="10970" max="10970" width="4.7109375" style="313" customWidth="1"/>
    <col min="10971" max="10971" width="3.5703125" style="313" customWidth="1"/>
    <col min="10972" max="10972" width="38.140625" style="313" customWidth="1"/>
    <col min="10973" max="10973" width="11.5703125" style="313" customWidth="1"/>
    <col min="10974" max="10974" width="0.140625" style="313" customWidth="1"/>
    <col min="10975" max="10976" width="11.5703125" style="313" customWidth="1"/>
    <col min="10977" max="10977" width="9.28515625" style="313" customWidth="1"/>
    <col min="10978" max="10978" width="10.85546875" style="313" customWidth="1"/>
    <col min="10979" max="11225" width="9.28515625" style="313"/>
    <col min="11226" max="11226" width="4.7109375" style="313" customWidth="1"/>
    <col min="11227" max="11227" width="3.5703125" style="313" customWidth="1"/>
    <col min="11228" max="11228" width="38.140625" style="313" customWidth="1"/>
    <col min="11229" max="11229" width="11.5703125" style="313" customWidth="1"/>
    <col min="11230" max="11230" width="0.140625" style="313" customWidth="1"/>
    <col min="11231" max="11232" width="11.5703125" style="313" customWidth="1"/>
    <col min="11233" max="11233" width="9.28515625" style="313" customWidth="1"/>
    <col min="11234" max="11234" width="10.85546875" style="313" customWidth="1"/>
    <col min="11235" max="11481" width="9.28515625" style="313"/>
    <col min="11482" max="11482" width="4.7109375" style="313" customWidth="1"/>
    <col min="11483" max="11483" width="3.5703125" style="313" customWidth="1"/>
    <col min="11484" max="11484" width="38.140625" style="313" customWidth="1"/>
    <col min="11485" max="11485" width="11.5703125" style="313" customWidth="1"/>
    <col min="11486" max="11486" width="0.140625" style="313" customWidth="1"/>
    <col min="11487" max="11488" width="11.5703125" style="313" customWidth="1"/>
    <col min="11489" max="11489" width="9.28515625" style="313" customWidth="1"/>
    <col min="11490" max="11490" width="10.85546875" style="313" customWidth="1"/>
    <col min="11491" max="11737" width="9.28515625" style="313"/>
    <col min="11738" max="11738" width="4.7109375" style="313" customWidth="1"/>
    <col min="11739" max="11739" width="3.5703125" style="313" customWidth="1"/>
    <col min="11740" max="11740" width="38.140625" style="313" customWidth="1"/>
    <col min="11741" max="11741" width="11.5703125" style="313" customWidth="1"/>
    <col min="11742" max="11742" width="0.140625" style="313" customWidth="1"/>
    <col min="11743" max="11744" width="11.5703125" style="313" customWidth="1"/>
    <col min="11745" max="11745" width="9.28515625" style="313" customWidth="1"/>
    <col min="11746" max="11746" width="10.85546875" style="313" customWidth="1"/>
    <col min="11747" max="11993" width="9.28515625" style="313"/>
    <col min="11994" max="11994" width="4.7109375" style="313" customWidth="1"/>
    <col min="11995" max="11995" width="3.5703125" style="313" customWidth="1"/>
    <col min="11996" max="11996" width="38.140625" style="313" customWidth="1"/>
    <col min="11997" max="11997" width="11.5703125" style="313" customWidth="1"/>
    <col min="11998" max="11998" width="0.140625" style="313" customWidth="1"/>
    <col min="11999" max="12000" width="11.5703125" style="313" customWidth="1"/>
    <col min="12001" max="12001" width="9.28515625" style="313" customWidth="1"/>
    <col min="12002" max="12002" width="10.85546875" style="313" customWidth="1"/>
    <col min="12003" max="12249" width="9.28515625" style="313"/>
    <col min="12250" max="12250" width="4.7109375" style="313" customWidth="1"/>
    <col min="12251" max="12251" width="3.5703125" style="313" customWidth="1"/>
    <col min="12252" max="12252" width="38.140625" style="313" customWidth="1"/>
    <col min="12253" max="12253" width="11.5703125" style="313" customWidth="1"/>
    <col min="12254" max="12254" width="0.140625" style="313" customWidth="1"/>
    <col min="12255" max="12256" width="11.5703125" style="313" customWidth="1"/>
    <col min="12257" max="12257" width="9.28515625" style="313" customWidth="1"/>
    <col min="12258" max="12258" width="10.85546875" style="313" customWidth="1"/>
    <col min="12259" max="12505" width="9.28515625" style="313"/>
    <col min="12506" max="12506" width="4.7109375" style="313" customWidth="1"/>
    <col min="12507" max="12507" width="3.5703125" style="313" customWidth="1"/>
    <col min="12508" max="12508" width="38.140625" style="313" customWidth="1"/>
    <col min="12509" max="12509" width="11.5703125" style="313" customWidth="1"/>
    <col min="12510" max="12510" width="0.140625" style="313" customWidth="1"/>
    <col min="12511" max="12512" width="11.5703125" style="313" customWidth="1"/>
    <col min="12513" max="12513" width="9.28515625" style="313" customWidth="1"/>
    <col min="12514" max="12514" width="10.85546875" style="313" customWidth="1"/>
    <col min="12515" max="12761" width="9.28515625" style="313"/>
    <col min="12762" max="12762" width="4.7109375" style="313" customWidth="1"/>
    <col min="12763" max="12763" width="3.5703125" style="313" customWidth="1"/>
    <col min="12764" max="12764" width="38.140625" style="313" customWidth="1"/>
    <col min="12765" max="12765" width="11.5703125" style="313" customWidth="1"/>
    <col min="12766" max="12766" width="0.140625" style="313" customWidth="1"/>
    <col min="12767" max="12768" width="11.5703125" style="313" customWidth="1"/>
    <col min="12769" max="12769" width="9.28515625" style="313" customWidth="1"/>
    <col min="12770" max="12770" width="10.85546875" style="313" customWidth="1"/>
    <col min="12771" max="13017" width="9.28515625" style="313"/>
    <col min="13018" max="13018" width="4.7109375" style="313" customWidth="1"/>
    <col min="13019" max="13019" width="3.5703125" style="313" customWidth="1"/>
    <col min="13020" max="13020" width="38.140625" style="313" customWidth="1"/>
    <col min="13021" max="13021" width="11.5703125" style="313" customWidth="1"/>
    <col min="13022" max="13022" width="0.140625" style="313" customWidth="1"/>
    <col min="13023" max="13024" width="11.5703125" style="313" customWidth="1"/>
    <col min="13025" max="13025" width="9.28515625" style="313" customWidth="1"/>
    <col min="13026" max="13026" width="10.85546875" style="313" customWidth="1"/>
    <col min="13027" max="13273" width="9.28515625" style="313"/>
    <col min="13274" max="13274" width="4.7109375" style="313" customWidth="1"/>
    <col min="13275" max="13275" width="3.5703125" style="313" customWidth="1"/>
    <col min="13276" max="13276" width="38.140625" style="313" customWidth="1"/>
    <col min="13277" max="13277" width="11.5703125" style="313" customWidth="1"/>
    <col min="13278" max="13278" width="0.140625" style="313" customWidth="1"/>
    <col min="13279" max="13280" width="11.5703125" style="313" customWidth="1"/>
    <col min="13281" max="13281" width="9.28515625" style="313" customWidth="1"/>
    <col min="13282" max="13282" width="10.85546875" style="313" customWidth="1"/>
    <col min="13283" max="13529" width="9.28515625" style="313"/>
    <col min="13530" max="13530" width="4.7109375" style="313" customWidth="1"/>
    <col min="13531" max="13531" width="3.5703125" style="313" customWidth="1"/>
    <col min="13532" max="13532" width="38.140625" style="313" customWidth="1"/>
    <col min="13533" max="13533" width="11.5703125" style="313" customWidth="1"/>
    <col min="13534" max="13534" width="0.140625" style="313" customWidth="1"/>
    <col min="13535" max="13536" width="11.5703125" style="313" customWidth="1"/>
    <col min="13537" max="13537" width="9.28515625" style="313" customWidth="1"/>
    <col min="13538" max="13538" width="10.85546875" style="313" customWidth="1"/>
    <col min="13539" max="13785" width="9.28515625" style="313"/>
    <col min="13786" max="13786" width="4.7109375" style="313" customWidth="1"/>
    <col min="13787" max="13787" width="3.5703125" style="313" customWidth="1"/>
    <col min="13788" max="13788" width="38.140625" style="313" customWidth="1"/>
    <col min="13789" max="13789" width="11.5703125" style="313" customWidth="1"/>
    <col min="13790" max="13790" width="0.140625" style="313" customWidth="1"/>
    <col min="13791" max="13792" width="11.5703125" style="313" customWidth="1"/>
    <col min="13793" max="13793" width="9.28515625" style="313" customWidth="1"/>
    <col min="13794" max="13794" width="10.85546875" style="313" customWidth="1"/>
    <col min="13795" max="14041" width="9.28515625" style="313"/>
    <col min="14042" max="14042" width="4.7109375" style="313" customWidth="1"/>
    <col min="14043" max="14043" width="3.5703125" style="313" customWidth="1"/>
    <col min="14044" max="14044" width="38.140625" style="313" customWidth="1"/>
    <col min="14045" max="14045" width="11.5703125" style="313" customWidth="1"/>
    <col min="14046" max="14046" width="0.140625" style="313" customWidth="1"/>
    <col min="14047" max="14048" width="11.5703125" style="313" customWidth="1"/>
    <col min="14049" max="14049" width="9.28515625" style="313" customWidth="1"/>
    <col min="14050" max="14050" width="10.85546875" style="313" customWidth="1"/>
    <col min="14051" max="14297" width="9.28515625" style="313"/>
    <col min="14298" max="14298" width="4.7109375" style="313" customWidth="1"/>
    <col min="14299" max="14299" width="3.5703125" style="313" customWidth="1"/>
    <col min="14300" max="14300" width="38.140625" style="313" customWidth="1"/>
    <col min="14301" max="14301" width="11.5703125" style="313" customWidth="1"/>
    <col min="14302" max="14302" width="0.140625" style="313" customWidth="1"/>
    <col min="14303" max="14304" width="11.5703125" style="313" customWidth="1"/>
    <col min="14305" max="14305" width="9.28515625" style="313" customWidth="1"/>
    <col min="14306" max="14306" width="10.85546875" style="313" customWidth="1"/>
    <col min="14307" max="14553" width="9.28515625" style="313"/>
    <col min="14554" max="14554" width="4.7109375" style="313" customWidth="1"/>
    <col min="14555" max="14555" width="3.5703125" style="313" customWidth="1"/>
    <col min="14556" max="14556" width="38.140625" style="313" customWidth="1"/>
    <col min="14557" max="14557" width="11.5703125" style="313" customWidth="1"/>
    <col min="14558" max="14558" width="0.140625" style="313" customWidth="1"/>
    <col min="14559" max="14560" width="11.5703125" style="313" customWidth="1"/>
    <col min="14561" max="14561" width="9.28515625" style="313" customWidth="1"/>
    <col min="14562" max="14562" width="10.85546875" style="313" customWidth="1"/>
    <col min="14563" max="14809" width="9.28515625" style="313"/>
    <col min="14810" max="14810" width="4.7109375" style="313" customWidth="1"/>
    <col min="14811" max="14811" width="3.5703125" style="313" customWidth="1"/>
    <col min="14812" max="14812" width="38.140625" style="313" customWidth="1"/>
    <col min="14813" max="14813" width="11.5703125" style="313" customWidth="1"/>
    <col min="14814" max="14814" width="0.140625" style="313" customWidth="1"/>
    <col min="14815" max="14816" width="11.5703125" style="313" customWidth="1"/>
    <col min="14817" max="14817" width="9.28515625" style="313" customWidth="1"/>
    <col min="14818" max="14818" width="10.85546875" style="313" customWidth="1"/>
    <col min="14819" max="15065" width="9.28515625" style="313"/>
    <col min="15066" max="15066" width="4.7109375" style="313" customWidth="1"/>
    <col min="15067" max="15067" width="3.5703125" style="313" customWidth="1"/>
    <col min="15068" max="15068" width="38.140625" style="313" customWidth="1"/>
    <col min="15069" max="15069" width="11.5703125" style="313" customWidth="1"/>
    <col min="15070" max="15070" width="0.140625" style="313" customWidth="1"/>
    <col min="15071" max="15072" width="11.5703125" style="313" customWidth="1"/>
    <col min="15073" max="15073" width="9.28515625" style="313" customWidth="1"/>
    <col min="15074" max="15074" width="10.85546875" style="313" customWidth="1"/>
    <col min="15075" max="15321" width="9.28515625" style="313"/>
    <col min="15322" max="15322" width="4.7109375" style="313" customWidth="1"/>
    <col min="15323" max="15323" width="3.5703125" style="313" customWidth="1"/>
    <col min="15324" max="15324" width="38.140625" style="313" customWidth="1"/>
    <col min="15325" max="15325" width="11.5703125" style="313" customWidth="1"/>
    <col min="15326" max="15326" width="0.140625" style="313" customWidth="1"/>
    <col min="15327" max="15328" width="11.5703125" style="313" customWidth="1"/>
    <col min="15329" max="15329" width="9.28515625" style="313" customWidth="1"/>
    <col min="15330" max="15330" width="10.85546875" style="313" customWidth="1"/>
    <col min="15331" max="15577" width="9.28515625" style="313"/>
    <col min="15578" max="15578" width="4.7109375" style="313" customWidth="1"/>
    <col min="15579" max="15579" width="3.5703125" style="313" customWidth="1"/>
    <col min="15580" max="15580" width="38.140625" style="313" customWidth="1"/>
    <col min="15581" max="15581" width="11.5703125" style="313" customWidth="1"/>
    <col min="15582" max="15582" width="0.140625" style="313" customWidth="1"/>
    <col min="15583" max="15584" width="11.5703125" style="313" customWidth="1"/>
    <col min="15585" max="15585" width="9.28515625" style="313" customWidth="1"/>
    <col min="15586" max="15586" width="10.85546875" style="313" customWidth="1"/>
    <col min="15587" max="15833" width="9.28515625" style="313"/>
    <col min="15834" max="15834" width="4.7109375" style="313" customWidth="1"/>
    <col min="15835" max="15835" width="3.5703125" style="313" customWidth="1"/>
    <col min="15836" max="15836" width="38.140625" style="313" customWidth="1"/>
    <col min="15837" max="15837" width="11.5703125" style="313" customWidth="1"/>
    <col min="15838" max="15838" width="0.140625" style="313" customWidth="1"/>
    <col min="15839" max="15840" width="11.5703125" style="313" customWidth="1"/>
    <col min="15841" max="15841" width="9.28515625" style="313" customWidth="1"/>
    <col min="15842" max="15842" width="10.85546875" style="313" customWidth="1"/>
    <col min="15843" max="16089" width="9.28515625" style="313"/>
    <col min="16090" max="16090" width="4.7109375" style="313" customWidth="1"/>
    <col min="16091" max="16091" width="3.5703125" style="313" customWidth="1"/>
    <col min="16092" max="16092" width="38.140625" style="313" customWidth="1"/>
    <col min="16093" max="16093" width="11.5703125" style="313" customWidth="1"/>
    <col min="16094" max="16094" width="0.140625" style="313" customWidth="1"/>
    <col min="16095" max="16096" width="11.5703125" style="313" customWidth="1"/>
    <col min="16097" max="16097" width="9.28515625" style="313" customWidth="1"/>
    <col min="16098" max="16098" width="10.85546875" style="313" customWidth="1"/>
    <col min="16099" max="16384" width="9.28515625" style="313"/>
  </cols>
  <sheetData>
    <row r="1" spans="1:24" ht="15.75" thickBot="1" x14ac:dyDescent="0.3">
      <c r="A1" s="397" t="s">
        <v>2467</v>
      </c>
      <c r="B1" s="398"/>
      <c r="C1" s="398"/>
      <c r="D1" s="398"/>
      <c r="E1" s="398"/>
      <c r="F1" s="398"/>
      <c r="G1" s="398"/>
      <c r="H1" s="398"/>
      <c r="I1" s="398"/>
    </row>
    <row r="2" spans="1:24" ht="59.1" customHeight="1" x14ac:dyDescent="0.25">
      <c r="A2" s="399" t="s">
        <v>34</v>
      </c>
      <c r="B2" s="400" t="s">
        <v>2468</v>
      </c>
      <c r="C2" s="401" t="s">
        <v>2469</v>
      </c>
      <c r="D2" s="402" t="s">
        <v>2470</v>
      </c>
      <c r="E2" s="403" t="s">
        <v>2471</v>
      </c>
      <c r="F2" s="404" t="s">
        <v>2472</v>
      </c>
      <c r="G2" s="405" t="s">
        <v>2473</v>
      </c>
      <c r="H2" s="406" t="s">
        <v>2474</v>
      </c>
      <c r="I2" s="407" t="s">
        <v>2475</v>
      </c>
      <c r="J2" s="313">
        <v>2019</v>
      </c>
      <c r="W2" s="313" t="s">
        <v>2524</v>
      </c>
    </row>
    <row r="3" spans="1:24" ht="14.1" customHeight="1" thickBot="1" x14ac:dyDescent="0.3">
      <c r="A3" s="408"/>
      <c r="B3" s="409"/>
      <c r="C3" s="410"/>
      <c r="D3" s="411" t="s">
        <v>2476</v>
      </c>
      <c r="E3" s="412">
        <f>SUM(E4:E28)</f>
        <v>179520</v>
      </c>
      <c r="F3" s="413">
        <f>SUM(F4:F28)</f>
        <v>0</v>
      </c>
      <c r="G3" s="413">
        <f>SUM(G4:G28)</f>
        <v>22000</v>
      </c>
      <c r="H3" s="414">
        <f>SUM(H4:H28)</f>
        <v>201520</v>
      </c>
      <c r="I3" s="414">
        <f>SUM(I4:I28)</f>
        <v>0</v>
      </c>
    </row>
    <row r="4" spans="1:24" ht="9.6" customHeight="1" x14ac:dyDescent="0.25">
      <c r="A4" s="415"/>
      <c r="B4" s="416"/>
      <c r="C4" s="417"/>
      <c r="D4" s="418" t="s">
        <v>2477</v>
      </c>
      <c r="E4" s="419"/>
      <c r="F4" s="420"/>
      <c r="G4" s="421"/>
      <c r="H4" s="422"/>
      <c r="I4" s="422"/>
      <c r="P4" s="313" t="s">
        <v>1654</v>
      </c>
      <c r="Q4" s="313" t="s">
        <v>2517</v>
      </c>
      <c r="R4" s="313" t="s">
        <v>2518</v>
      </c>
      <c r="S4" s="313" t="s">
        <v>2519</v>
      </c>
      <c r="T4" s="313" t="s">
        <v>2522</v>
      </c>
      <c r="U4" s="313" t="s">
        <v>2539</v>
      </c>
      <c r="V4" s="313" t="s">
        <v>2540</v>
      </c>
      <c r="W4" s="313" t="s">
        <v>2524</v>
      </c>
    </row>
    <row r="5" spans="1:24" x14ac:dyDescent="0.25">
      <c r="A5" s="423" t="s">
        <v>2478</v>
      </c>
      <c r="B5" s="424">
        <v>4357</v>
      </c>
      <c r="C5" s="425">
        <v>13</v>
      </c>
      <c r="D5" s="426" t="s">
        <v>257</v>
      </c>
      <c r="E5" s="427">
        <v>19773</v>
      </c>
      <c r="F5" s="428"/>
      <c r="G5" s="429">
        <v>1664</v>
      </c>
      <c r="H5" s="430">
        <f t="shared" ref="H5:H28" si="0">E5+G5</f>
        <v>21437</v>
      </c>
      <c r="I5" s="430">
        <v>-700</v>
      </c>
      <c r="J5" s="314">
        <f t="shared" ref="J5:J28" si="1">H5+I5</f>
        <v>20737</v>
      </c>
      <c r="L5" s="311" t="s">
        <v>257</v>
      </c>
      <c r="M5" s="314">
        <f>J5</f>
        <v>20737</v>
      </c>
      <c r="P5" s="292">
        <v>5000179</v>
      </c>
      <c r="Q5" s="292" t="s">
        <v>261</v>
      </c>
      <c r="R5" s="292" t="s">
        <v>257</v>
      </c>
      <c r="S5" s="292" t="s">
        <v>1310</v>
      </c>
      <c r="T5" s="291">
        <v>40392132.142589658</v>
      </c>
      <c r="U5" s="313">
        <f>VLOOKUP(R5,$R$53:$S$76,2,FALSE)</f>
        <v>67003602.10720019</v>
      </c>
      <c r="V5" s="313">
        <f>VLOOKUP(R5,$L$5:$M$28,2,FALSE)*1000</f>
        <v>20737000</v>
      </c>
      <c r="W5" s="314">
        <f>V5/U5*T5</f>
        <v>12500994.243574739</v>
      </c>
      <c r="X5" s="314"/>
    </row>
    <row r="6" spans="1:24" x14ac:dyDescent="0.25">
      <c r="A6" s="423" t="s">
        <v>2479</v>
      </c>
      <c r="B6" s="424">
        <v>4357</v>
      </c>
      <c r="C6" s="425">
        <v>14</v>
      </c>
      <c r="D6" s="431" t="s">
        <v>2480</v>
      </c>
      <c r="E6" s="432">
        <v>8176</v>
      </c>
      <c r="F6" s="428"/>
      <c r="G6" s="433">
        <v>822</v>
      </c>
      <c r="H6" s="434">
        <f t="shared" si="0"/>
        <v>8998</v>
      </c>
      <c r="I6" s="434"/>
      <c r="J6" s="314">
        <f t="shared" si="1"/>
        <v>8998</v>
      </c>
      <c r="L6" s="311" t="s">
        <v>420</v>
      </c>
      <c r="M6" s="314">
        <f t="shared" ref="M6:M28" si="2">J6</f>
        <v>8998</v>
      </c>
      <c r="P6" s="292">
        <v>8504548</v>
      </c>
      <c r="Q6" s="292" t="s">
        <v>769</v>
      </c>
      <c r="R6" s="292" t="s">
        <v>257</v>
      </c>
      <c r="S6" s="292" t="s">
        <v>1358</v>
      </c>
      <c r="T6" s="291">
        <v>23297668.272746839</v>
      </c>
      <c r="U6" s="313">
        <f t="shared" ref="U6:U50" si="3">VLOOKUP(R6,$R$53:$S$76,2,FALSE)</f>
        <v>67003602.10720019</v>
      </c>
      <c r="V6" s="313">
        <f t="shared" ref="V6:V50" si="4">VLOOKUP(R6,$L$5:$M$28,2,FALSE)*1000</f>
        <v>20737000</v>
      </c>
      <c r="W6" s="314">
        <f t="shared" ref="W6:W50" si="5">V6/U6*T6</f>
        <v>7210414.5415793229</v>
      </c>
      <c r="X6" s="314"/>
    </row>
    <row r="7" spans="1:24" x14ac:dyDescent="0.25">
      <c r="A7" s="423" t="s">
        <v>2481</v>
      </c>
      <c r="B7" s="424">
        <v>4357</v>
      </c>
      <c r="C7" s="425">
        <v>18</v>
      </c>
      <c r="D7" s="431" t="s">
        <v>2482</v>
      </c>
      <c r="E7" s="432">
        <v>11931</v>
      </c>
      <c r="F7" s="428"/>
      <c r="G7" s="433">
        <v>1458</v>
      </c>
      <c r="H7" s="434">
        <f t="shared" si="0"/>
        <v>13389</v>
      </c>
      <c r="I7" s="434"/>
      <c r="J7" s="314">
        <f t="shared" si="1"/>
        <v>13389</v>
      </c>
      <c r="L7" s="311" t="s">
        <v>425</v>
      </c>
      <c r="M7" s="314">
        <f t="shared" si="2"/>
        <v>13389</v>
      </c>
      <c r="P7" s="292">
        <v>6163071</v>
      </c>
      <c r="Q7" s="292" t="s">
        <v>1453</v>
      </c>
      <c r="R7" s="292" t="s">
        <v>257</v>
      </c>
      <c r="S7" s="292" t="s">
        <v>1452</v>
      </c>
      <c r="T7" s="291">
        <v>741932.87129098631</v>
      </c>
      <c r="U7" s="313">
        <f t="shared" si="3"/>
        <v>67003602.10720019</v>
      </c>
      <c r="V7" s="313">
        <f t="shared" si="4"/>
        <v>20737000</v>
      </c>
      <c r="W7" s="314">
        <f t="shared" si="5"/>
        <v>229621.41538817159</v>
      </c>
      <c r="X7" s="314"/>
    </row>
    <row r="8" spans="1:24" x14ac:dyDescent="0.25">
      <c r="A8" s="423" t="s">
        <v>2483</v>
      </c>
      <c r="B8" s="424">
        <v>4357</v>
      </c>
      <c r="C8" s="425">
        <v>28</v>
      </c>
      <c r="D8" s="431" t="s">
        <v>2484</v>
      </c>
      <c r="E8" s="432">
        <v>6441</v>
      </c>
      <c r="F8" s="428"/>
      <c r="G8" s="433">
        <v>625</v>
      </c>
      <c r="H8" s="434">
        <f t="shared" si="0"/>
        <v>7066</v>
      </c>
      <c r="I8" s="434"/>
      <c r="J8" s="314">
        <f t="shared" si="1"/>
        <v>7066</v>
      </c>
      <c r="L8" s="311" t="s">
        <v>435</v>
      </c>
      <c r="M8" s="314">
        <f t="shared" si="2"/>
        <v>7066</v>
      </c>
      <c r="P8" s="292">
        <v>3650770</v>
      </c>
      <c r="Q8" s="292" t="s">
        <v>257</v>
      </c>
      <c r="R8" s="292" t="s">
        <v>257</v>
      </c>
      <c r="S8" s="292" t="s">
        <v>1480</v>
      </c>
      <c r="T8" s="291">
        <v>2571868.8205727059</v>
      </c>
      <c r="U8" s="313">
        <f t="shared" si="3"/>
        <v>67003602.10720019</v>
      </c>
      <c r="V8" s="313">
        <f t="shared" si="4"/>
        <v>20737000</v>
      </c>
      <c r="W8" s="314">
        <f t="shared" si="5"/>
        <v>795969.79945776786</v>
      </c>
      <c r="X8" s="314"/>
    </row>
    <row r="9" spans="1:24" x14ac:dyDescent="0.25">
      <c r="A9" s="435">
        <v>42886171</v>
      </c>
      <c r="B9" s="424">
        <v>4357</v>
      </c>
      <c r="C9" s="425">
        <v>1</v>
      </c>
      <c r="D9" s="426" t="s">
        <v>440</v>
      </c>
      <c r="E9" s="436">
        <v>5257</v>
      </c>
      <c r="F9" s="428"/>
      <c r="G9" s="437">
        <v>1142</v>
      </c>
      <c r="H9" s="438">
        <f t="shared" si="0"/>
        <v>6399</v>
      </c>
      <c r="I9" s="438"/>
      <c r="J9" s="314">
        <f t="shared" si="1"/>
        <v>6399</v>
      </c>
      <c r="L9" s="311" t="s">
        <v>440</v>
      </c>
      <c r="M9" s="314">
        <f t="shared" si="2"/>
        <v>6399</v>
      </c>
      <c r="P9" s="264">
        <v>4721932</v>
      </c>
      <c r="Q9" s="264" t="s">
        <v>420</v>
      </c>
      <c r="R9" s="264" t="s">
        <v>420</v>
      </c>
      <c r="S9" s="264" t="s">
        <v>1312</v>
      </c>
      <c r="T9" s="291">
        <v>31671790.31466588</v>
      </c>
      <c r="U9" s="313">
        <f t="shared" si="3"/>
        <v>31671790.31466588</v>
      </c>
      <c r="V9" s="313">
        <f t="shared" si="4"/>
        <v>8998000</v>
      </c>
      <c r="W9" s="314">
        <f t="shared" si="5"/>
        <v>8998000</v>
      </c>
      <c r="X9" s="314"/>
    </row>
    <row r="10" spans="1:24" x14ac:dyDescent="0.25">
      <c r="A10" s="435">
        <v>42886180</v>
      </c>
      <c r="B10" s="424">
        <v>4350</v>
      </c>
      <c r="C10" s="425">
        <v>2</v>
      </c>
      <c r="D10" s="426" t="s">
        <v>444</v>
      </c>
      <c r="E10" s="432">
        <v>4590</v>
      </c>
      <c r="F10" s="428"/>
      <c r="G10" s="433">
        <v>1003</v>
      </c>
      <c r="H10" s="434">
        <f t="shared" si="0"/>
        <v>5593</v>
      </c>
      <c r="I10" s="434"/>
      <c r="J10" s="314">
        <f t="shared" si="1"/>
        <v>5593</v>
      </c>
      <c r="L10" s="311" t="s">
        <v>444</v>
      </c>
      <c r="M10" s="314">
        <f t="shared" si="2"/>
        <v>5593</v>
      </c>
      <c r="P10" s="264">
        <v>3446957</v>
      </c>
      <c r="Q10" s="264" t="s">
        <v>425</v>
      </c>
      <c r="R10" s="264" t="s">
        <v>425</v>
      </c>
      <c r="S10" s="264" t="s">
        <v>1288</v>
      </c>
      <c r="T10" s="291">
        <v>984249.59511118184</v>
      </c>
      <c r="U10" s="313">
        <f t="shared" si="3"/>
        <v>40171875.42824091</v>
      </c>
      <c r="V10" s="313">
        <f t="shared" si="4"/>
        <v>13389000</v>
      </c>
      <c r="W10" s="314">
        <f t="shared" si="5"/>
        <v>328043.38080963405</v>
      </c>
      <c r="X10" s="314"/>
    </row>
    <row r="11" spans="1:24" x14ac:dyDescent="0.25">
      <c r="A11" s="423" t="s">
        <v>2485</v>
      </c>
      <c r="B11" s="424">
        <v>4357</v>
      </c>
      <c r="C11" s="425">
        <v>3</v>
      </c>
      <c r="D11" s="426" t="s">
        <v>2486</v>
      </c>
      <c r="E11" s="432">
        <v>8845</v>
      </c>
      <c r="F11" s="428"/>
      <c r="G11" s="433">
        <v>884</v>
      </c>
      <c r="H11" s="434">
        <f t="shared" si="0"/>
        <v>9729</v>
      </c>
      <c r="I11" s="434">
        <v>-300</v>
      </c>
      <c r="J11" s="314">
        <f t="shared" si="1"/>
        <v>9429</v>
      </c>
      <c r="L11" s="311" t="s">
        <v>447</v>
      </c>
      <c r="M11" s="314">
        <f t="shared" si="2"/>
        <v>9429</v>
      </c>
      <c r="P11" s="264">
        <v>3473171</v>
      </c>
      <c r="Q11" s="264" t="s">
        <v>425</v>
      </c>
      <c r="R11" s="264" t="s">
        <v>425</v>
      </c>
      <c r="S11" s="264" t="s">
        <v>1310</v>
      </c>
      <c r="T11" s="291">
        <v>33358346.354309879</v>
      </c>
      <c r="U11" s="313">
        <f t="shared" si="3"/>
        <v>40171875.42824091</v>
      </c>
      <c r="V11" s="313">
        <f t="shared" si="4"/>
        <v>13389000</v>
      </c>
      <c r="W11" s="314">
        <f t="shared" si="5"/>
        <v>11118099.281565275</v>
      </c>
      <c r="X11" s="314"/>
    </row>
    <row r="12" spans="1:24" x14ac:dyDescent="0.25">
      <c r="A12" s="423" t="s">
        <v>2487</v>
      </c>
      <c r="B12" s="424">
        <v>4350</v>
      </c>
      <c r="C12" s="425">
        <v>4</v>
      </c>
      <c r="D12" s="426" t="s">
        <v>453</v>
      </c>
      <c r="E12" s="432">
        <v>5691</v>
      </c>
      <c r="F12" s="428"/>
      <c r="G12" s="433">
        <v>1415</v>
      </c>
      <c r="H12" s="434">
        <f t="shared" si="0"/>
        <v>7106</v>
      </c>
      <c r="I12" s="434"/>
      <c r="J12" s="314">
        <f t="shared" si="1"/>
        <v>7106</v>
      </c>
      <c r="L12" s="311" t="s">
        <v>453</v>
      </c>
      <c r="M12" s="314">
        <f t="shared" si="2"/>
        <v>7106</v>
      </c>
      <c r="P12" s="264">
        <v>6514817</v>
      </c>
      <c r="Q12" s="264" t="s">
        <v>769</v>
      </c>
      <c r="R12" s="264" t="s">
        <v>425</v>
      </c>
      <c r="S12" s="264" t="s">
        <v>1347</v>
      </c>
      <c r="T12" s="291">
        <v>789209.89231544826</v>
      </c>
      <c r="U12" s="313">
        <f t="shared" si="3"/>
        <v>40171875.42824091</v>
      </c>
      <c r="V12" s="313">
        <f t="shared" si="4"/>
        <v>13389000</v>
      </c>
      <c r="W12" s="314">
        <f t="shared" si="5"/>
        <v>263038.03682471602</v>
      </c>
      <c r="X12" s="314"/>
    </row>
    <row r="13" spans="1:24" x14ac:dyDescent="0.25">
      <c r="A13" s="423" t="s">
        <v>2488</v>
      </c>
      <c r="B13" s="424">
        <v>4350</v>
      </c>
      <c r="C13" s="425">
        <v>6</v>
      </c>
      <c r="D13" s="426" t="s">
        <v>456</v>
      </c>
      <c r="E13" s="432">
        <v>2548</v>
      </c>
      <c r="F13" s="428"/>
      <c r="G13" s="433">
        <v>388</v>
      </c>
      <c r="H13" s="434">
        <f t="shared" si="0"/>
        <v>2936</v>
      </c>
      <c r="I13" s="434"/>
      <c r="J13" s="314">
        <f t="shared" si="1"/>
        <v>2936</v>
      </c>
      <c r="L13" s="311" t="s">
        <v>456</v>
      </c>
      <c r="M13" s="314">
        <f t="shared" si="2"/>
        <v>2936</v>
      </c>
      <c r="P13" s="264">
        <v>6514817</v>
      </c>
      <c r="Q13" s="264" t="s">
        <v>769</v>
      </c>
      <c r="R13" s="264" t="s">
        <v>425</v>
      </c>
      <c r="S13" s="264" t="s">
        <v>1352</v>
      </c>
      <c r="T13" s="291">
        <v>3070091.5448081661</v>
      </c>
      <c r="U13" s="313">
        <f t="shared" si="3"/>
        <v>40171875.42824091</v>
      </c>
      <c r="V13" s="313">
        <f t="shared" si="4"/>
        <v>13389000</v>
      </c>
      <c r="W13" s="314">
        <f t="shared" si="5"/>
        <v>1023239.6485163677</v>
      </c>
      <c r="X13" s="314"/>
    </row>
    <row r="14" spans="1:24" x14ac:dyDescent="0.25">
      <c r="A14" s="423" t="s">
        <v>2489</v>
      </c>
      <c r="B14" s="424">
        <v>4350</v>
      </c>
      <c r="C14" s="425">
        <v>8</v>
      </c>
      <c r="D14" s="426" t="s">
        <v>464</v>
      </c>
      <c r="E14" s="432">
        <v>2555</v>
      </c>
      <c r="F14" s="428"/>
      <c r="G14" s="433">
        <v>285</v>
      </c>
      <c r="H14" s="434">
        <f t="shared" si="0"/>
        <v>2840</v>
      </c>
      <c r="I14" s="434"/>
      <c r="J14" s="314">
        <f t="shared" si="1"/>
        <v>2840</v>
      </c>
      <c r="L14" s="311" t="s">
        <v>464</v>
      </c>
      <c r="M14" s="314">
        <f t="shared" si="2"/>
        <v>2840</v>
      </c>
      <c r="P14" s="264">
        <v>6514817</v>
      </c>
      <c r="Q14" s="264" t="s">
        <v>769</v>
      </c>
      <c r="R14" s="264" t="s">
        <v>425</v>
      </c>
      <c r="S14" s="264" t="s">
        <v>1353</v>
      </c>
      <c r="T14" s="291">
        <v>1969978.0416962325</v>
      </c>
      <c r="U14" s="313">
        <f t="shared" si="3"/>
        <v>40171875.42824091</v>
      </c>
      <c r="V14" s="313">
        <f t="shared" si="4"/>
        <v>13389000</v>
      </c>
      <c r="W14" s="314">
        <f t="shared" si="5"/>
        <v>656579.65228400694</v>
      </c>
      <c r="X14" s="314"/>
    </row>
    <row r="15" spans="1:24" x14ac:dyDescent="0.25">
      <c r="A15" s="423" t="s">
        <v>2490</v>
      </c>
      <c r="B15" s="424">
        <v>4350</v>
      </c>
      <c r="C15" s="425">
        <v>25</v>
      </c>
      <c r="D15" s="431" t="s">
        <v>467</v>
      </c>
      <c r="E15" s="432">
        <v>2685</v>
      </c>
      <c r="F15" s="428"/>
      <c r="G15" s="433">
        <v>253</v>
      </c>
      <c r="H15" s="434">
        <f t="shared" si="0"/>
        <v>2938</v>
      </c>
      <c r="I15" s="434"/>
      <c r="J15" s="314">
        <f t="shared" si="1"/>
        <v>2938</v>
      </c>
      <c r="L15" s="311" t="s">
        <v>467</v>
      </c>
      <c r="M15" s="314">
        <f t="shared" si="2"/>
        <v>2938</v>
      </c>
      <c r="P15" s="264">
        <v>5651221</v>
      </c>
      <c r="Q15" s="264" t="s">
        <v>435</v>
      </c>
      <c r="R15" s="264" t="s">
        <v>435</v>
      </c>
      <c r="S15" s="264" t="s">
        <v>1342</v>
      </c>
      <c r="T15" s="291">
        <v>17599108.101580702</v>
      </c>
      <c r="U15" s="313">
        <f t="shared" si="3"/>
        <v>17599108.101580702</v>
      </c>
      <c r="V15" s="313">
        <f t="shared" si="4"/>
        <v>7066000</v>
      </c>
      <c r="W15" s="314">
        <f t="shared" si="5"/>
        <v>7066000</v>
      </c>
      <c r="X15" s="314"/>
    </row>
    <row r="16" spans="1:24" x14ac:dyDescent="0.25">
      <c r="A16" s="423" t="s">
        <v>2491</v>
      </c>
      <c r="B16" s="424">
        <v>4350</v>
      </c>
      <c r="C16" s="425">
        <v>26</v>
      </c>
      <c r="D16" s="431" t="s">
        <v>472</v>
      </c>
      <c r="E16" s="432">
        <v>6455</v>
      </c>
      <c r="F16" s="428"/>
      <c r="G16" s="433">
        <v>318</v>
      </c>
      <c r="H16" s="434">
        <f t="shared" si="0"/>
        <v>6773</v>
      </c>
      <c r="I16" s="434"/>
      <c r="J16" s="314">
        <f t="shared" si="1"/>
        <v>6773</v>
      </c>
      <c r="L16" s="311" t="s">
        <v>472</v>
      </c>
      <c r="M16" s="314">
        <f t="shared" si="2"/>
        <v>6773</v>
      </c>
      <c r="P16" s="264">
        <v>1450637</v>
      </c>
      <c r="Q16" s="264" t="s">
        <v>440</v>
      </c>
      <c r="R16" s="264" t="s">
        <v>440</v>
      </c>
      <c r="S16" s="264" t="s">
        <v>1335</v>
      </c>
      <c r="T16" s="291">
        <v>25979837.801661696</v>
      </c>
      <c r="U16" s="313">
        <f t="shared" si="3"/>
        <v>25979837.801661696</v>
      </c>
      <c r="V16" s="313">
        <f t="shared" si="4"/>
        <v>6399000</v>
      </c>
      <c r="W16" s="314">
        <f t="shared" si="5"/>
        <v>6399000</v>
      </c>
      <c r="X16" s="314"/>
    </row>
    <row r="17" spans="1:24" x14ac:dyDescent="0.25">
      <c r="A17" s="423" t="s">
        <v>2492</v>
      </c>
      <c r="B17" s="424">
        <v>4350</v>
      </c>
      <c r="C17" s="425">
        <v>27</v>
      </c>
      <c r="D17" s="431" t="s">
        <v>477</v>
      </c>
      <c r="E17" s="432">
        <v>3254</v>
      </c>
      <c r="F17" s="428"/>
      <c r="G17" s="433">
        <v>623</v>
      </c>
      <c r="H17" s="434">
        <f t="shared" si="0"/>
        <v>3877</v>
      </c>
      <c r="I17" s="434">
        <v>330</v>
      </c>
      <c r="J17" s="314">
        <f t="shared" si="1"/>
        <v>4207</v>
      </c>
      <c r="L17" s="311" t="s">
        <v>477</v>
      </c>
      <c r="M17" s="314">
        <f t="shared" si="2"/>
        <v>4207</v>
      </c>
      <c r="P17" s="264">
        <v>6581899</v>
      </c>
      <c r="Q17" s="264" t="s">
        <v>444</v>
      </c>
      <c r="R17" s="264" t="s">
        <v>444</v>
      </c>
      <c r="S17" s="264" t="s">
        <v>1330</v>
      </c>
      <c r="T17" s="291">
        <v>20133446.752144061</v>
      </c>
      <c r="U17" s="313">
        <f t="shared" si="3"/>
        <v>20133446.752144061</v>
      </c>
      <c r="V17" s="313">
        <f t="shared" si="4"/>
        <v>5593000</v>
      </c>
      <c r="W17" s="314">
        <f t="shared" si="5"/>
        <v>5593000</v>
      </c>
      <c r="X17" s="314"/>
    </row>
    <row r="18" spans="1:24" x14ac:dyDescent="0.25">
      <c r="A18" s="423" t="s">
        <v>2493</v>
      </c>
      <c r="B18" s="424">
        <v>4350</v>
      </c>
      <c r="C18" s="425">
        <v>9</v>
      </c>
      <c r="D18" s="426" t="s">
        <v>480</v>
      </c>
      <c r="E18" s="432">
        <v>8495</v>
      </c>
      <c r="F18" s="428"/>
      <c r="G18" s="433">
        <v>2131</v>
      </c>
      <c r="H18" s="434">
        <f t="shared" si="0"/>
        <v>10626</v>
      </c>
      <c r="I18" s="434">
        <v>800</v>
      </c>
      <c r="J18" s="314">
        <f t="shared" si="1"/>
        <v>11426</v>
      </c>
      <c r="L18" s="311" t="s">
        <v>480</v>
      </c>
      <c r="M18" s="314">
        <f t="shared" si="2"/>
        <v>11426</v>
      </c>
      <c r="P18" s="264">
        <v>2837121</v>
      </c>
      <c r="Q18" s="264" t="s">
        <v>447</v>
      </c>
      <c r="R18" s="264" t="s">
        <v>447</v>
      </c>
      <c r="S18" s="264" t="s">
        <v>1320</v>
      </c>
      <c r="T18" s="291">
        <v>7453452.1300035575</v>
      </c>
      <c r="U18" s="313">
        <f t="shared" si="3"/>
        <v>28807864.815676525</v>
      </c>
      <c r="V18" s="313">
        <f t="shared" si="4"/>
        <v>9429000</v>
      </c>
      <c r="W18" s="314">
        <f t="shared" si="5"/>
        <v>2439562.9659980796</v>
      </c>
      <c r="X18" s="314"/>
    </row>
    <row r="19" spans="1:24" x14ac:dyDescent="0.25">
      <c r="A19" s="423" t="s">
        <v>2494</v>
      </c>
      <c r="B19" s="424">
        <v>4357</v>
      </c>
      <c r="C19" s="425">
        <v>19</v>
      </c>
      <c r="D19" s="439" t="s">
        <v>2495</v>
      </c>
      <c r="E19" s="432">
        <v>8700</v>
      </c>
      <c r="F19" s="428"/>
      <c r="G19" s="433">
        <v>1095</v>
      </c>
      <c r="H19" s="434">
        <f t="shared" si="0"/>
        <v>9795</v>
      </c>
      <c r="I19" s="434">
        <v>500</v>
      </c>
      <c r="J19" s="314">
        <f t="shared" si="1"/>
        <v>10295</v>
      </c>
      <c r="L19" s="311" t="s">
        <v>485</v>
      </c>
      <c r="M19" s="314">
        <f t="shared" si="2"/>
        <v>10295</v>
      </c>
      <c r="P19" s="264">
        <v>3754207</v>
      </c>
      <c r="Q19" s="264" t="s">
        <v>447</v>
      </c>
      <c r="R19" s="264" t="s">
        <v>447</v>
      </c>
      <c r="S19" s="264" t="s">
        <v>1339</v>
      </c>
      <c r="T19" s="291">
        <v>21354412.685672969</v>
      </c>
      <c r="U19" s="313">
        <f t="shared" si="3"/>
        <v>28807864.815676525</v>
      </c>
      <c r="V19" s="313">
        <f t="shared" si="4"/>
        <v>9429000</v>
      </c>
      <c r="W19" s="314">
        <f t="shared" si="5"/>
        <v>6989437.0340019213</v>
      </c>
      <c r="X19" s="314"/>
    </row>
    <row r="20" spans="1:24" x14ac:dyDescent="0.25">
      <c r="A20" s="423" t="s">
        <v>2496</v>
      </c>
      <c r="B20" s="424">
        <v>4350</v>
      </c>
      <c r="C20" s="425">
        <v>10</v>
      </c>
      <c r="D20" s="426" t="s">
        <v>496</v>
      </c>
      <c r="E20" s="432">
        <v>2984</v>
      </c>
      <c r="F20" s="428"/>
      <c r="G20" s="433">
        <v>0</v>
      </c>
      <c r="H20" s="434">
        <f t="shared" si="0"/>
        <v>2984</v>
      </c>
      <c r="I20" s="434"/>
      <c r="J20" s="314">
        <f t="shared" si="1"/>
        <v>2984</v>
      </c>
      <c r="L20" s="311" t="s">
        <v>496</v>
      </c>
      <c r="M20" s="314">
        <f t="shared" si="2"/>
        <v>2984</v>
      </c>
      <c r="P20" s="264">
        <v>4753225</v>
      </c>
      <c r="Q20" s="264" t="s">
        <v>453</v>
      </c>
      <c r="R20" s="264" t="s">
        <v>453</v>
      </c>
      <c r="S20" s="264" t="s">
        <v>1325</v>
      </c>
      <c r="T20" s="291">
        <v>19206917.178216506</v>
      </c>
      <c r="U20" s="313">
        <f t="shared" si="3"/>
        <v>19206917.178216506</v>
      </c>
      <c r="V20" s="313">
        <f t="shared" si="4"/>
        <v>7106000</v>
      </c>
      <c r="W20" s="314">
        <f t="shared" si="5"/>
        <v>7106000</v>
      </c>
      <c r="X20" s="314"/>
    </row>
    <row r="21" spans="1:24" x14ac:dyDescent="0.25">
      <c r="A21" s="423" t="s">
        <v>2497</v>
      </c>
      <c r="B21" s="424">
        <v>4350</v>
      </c>
      <c r="C21" s="425">
        <v>11</v>
      </c>
      <c r="D21" s="426" t="s">
        <v>502</v>
      </c>
      <c r="E21" s="432">
        <v>4126</v>
      </c>
      <c r="F21" s="428"/>
      <c r="G21" s="433">
        <v>823</v>
      </c>
      <c r="H21" s="434">
        <f t="shared" si="0"/>
        <v>4949</v>
      </c>
      <c r="I21" s="434">
        <v>-400</v>
      </c>
      <c r="J21" s="314">
        <f t="shared" si="1"/>
        <v>4549</v>
      </c>
      <c r="L21" s="311" t="s">
        <v>502</v>
      </c>
      <c r="M21" s="314">
        <f t="shared" si="2"/>
        <v>4549</v>
      </c>
      <c r="P21" s="264">
        <v>5040302</v>
      </c>
      <c r="Q21" s="264" t="s">
        <v>456</v>
      </c>
      <c r="R21" s="264" t="s">
        <v>456</v>
      </c>
      <c r="S21" s="264" t="s">
        <v>1326</v>
      </c>
      <c r="T21" s="291">
        <v>10268946.099432442</v>
      </c>
      <c r="U21" s="313">
        <f t="shared" si="3"/>
        <v>10268946.099432442</v>
      </c>
      <c r="V21" s="313">
        <f t="shared" si="4"/>
        <v>2936000</v>
      </c>
      <c r="W21" s="314">
        <f t="shared" si="5"/>
        <v>2936000</v>
      </c>
      <c r="X21" s="314"/>
    </row>
    <row r="22" spans="1:24" x14ac:dyDescent="0.25">
      <c r="A22" s="423" t="s">
        <v>2498</v>
      </c>
      <c r="B22" s="424">
        <v>4357</v>
      </c>
      <c r="C22" s="425">
        <v>15</v>
      </c>
      <c r="D22" s="431" t="s">
        <v>506</v>
      </c>
      <c r="E22" s="432">
        <v>6340</v>
      </c>
      <c r="F22" s="428"/>
      <c r="G22" s="433">
        <v>659</v>
      </c>
      <c r="H22" s="434">
        <f t="shared" si="0"/>
        <v>6999</v>
      </c>
      <c r="I22" s="434"/>
      <c r="J22" s="314">
        <f t="shared" si="1"/>
        <v>6999</v>
      </c>
      <c r="L22" s="311" t="s">
        <v>506</v>
      </c>
      <c r="M22" s="314">
        <f t="shared" si="2"/>
        <v>6999</v>
      </c>
      <c r="P22" s="264">
        <v>3943362</v>
      </c>
      <c r="Q22" s="264" t="s">
        <v>464</v>
      </c>
      <c r="R22" s="264" t="s">
        <v>464</v>
      </c>
      <c r="S22" s="264" t="s">
        <v>1319</v>
      </c>
      <c r="T22" s="291">
        <v>11249310.04113538</v>
      </c>
      <c r="U22" s="313">
        <f t="shared" si="3"/>
        <v>11249310.04113538</v>
      </c>
      <c r="V22" s="313">
        <f t="shared" si="4"/>
        <v>2840000</v>
      </c>
      <c r="W22" s="314">
        <f t="shared" si="5"/>
        <v>2840000</v>
      </c>
      <c r="X22" s="314"/>
    </row>
    <row r="23" spans="1:24" x14ac:dyDescent="0.25">
      <c r="A23" s="423" t="s">
        <v>2499</v>
      </c>
      <c r="B23" s="424">
        <v>4357</v>
      </c>
      <c r="C23" s="425">
        <v>21</v>
      </c>
      <c r="D23" s="431" t="s">
        <v>509</v>
      </c>
      <c r="E23" s="432">
        <v>7249</v>
      </c>
      <c r="F23" s="428"/>
      <c r="G23" s="433">
        <v>760</v>
      </c>
      <c r="H23" s="434">
        <f t="shared" si="0"/>
        <v>8009</v>
      </c>
      <c r="I23" s="434"/>
      <c r="J23" s="314">
        <f t="shared" si="1"/>
        <v>8009</v>
      </c>
      <c r="L23" s="311" t="s">
        <v>509</v>
      </c>
      <c r="M23" s="314">
        <f t="shared" si="2"/>
        <v>8009</v>
      </c>
      <c r="P23" s="264">
        <v>2749776</v>
      </c>
      <c r="Q23" s="264" t="s">
        <v>467</v>
      </c>
      <c r="R23" s="264" t="s">
        <v>467</v>
      </c>
      <c r="S23" s="264" t="s">
        <v>1321</v>
      </c>
      <c r="T23" s="291">
        <v>8386120.1106851101</v>
      </c>
      <c r="U23" s="313">
        <f t="shared" si="3"/>
        <v>8386120.1106851101</v>
      </c>
      <c r="V23" s="313">
        <f t="shared" si="4"/>
        <v>2938000</v>
      </c>
      <c r="W23" s="314">
        <f t="shared" si="5"/>
        <v>2938000</v>
      </c>
      <c r="X23" s="314"/>
    </row>
    <row r="24" spans="1:24" x14ac:dyDescent="0.25">
      <c r="A24" s="423" t="s">
        <v>2500</v>
      </c>
      <c r="B24" s="424">
        <v>4350</v>
      </c>
      <c r="C24" s="425">
        <v>5</v>
      </c>
      <c r="D24" s="426" t="s">
        <v>515</v>
      </c>
      <c r="E24" s="440">
        <v>19678</v>
      </c>
      <c r="F24" s="428"/>
      <c r="G24" s="441">
        <v>2016</v>
      </c>
      <c r="H24" s="442">
        <f t="shared" si="0"/>
        <v>21694</v>
      </c>
      <c r="I24" s="442"/>
      <c r="J24" s="314">
        <f t="shared" si="1"/>
        <v>21694</v>
      </c>
      <c r="L24" s="311" t="s">
        <v>515</v>
      </c>
      <c r="M24" s="314">
        <f t="shared" si="2"/>
        <v>21694</v>
      </c>
      <c r="P24" s="264">
        <v>8508078</v>
      </c>
      <c r="Q24" s="264" t="s">
        <v>472</v>
      </c>
      <c r="R24" s="264" t="s">
        <v>472</v>
      </c>
      <c r="S24" s="264" t="s">
        <v>1321</v>
      </c>
      <c r="T24" s="291">
        <v>17305838.380118497</v>
      </c>
      <c r="U24" s="313">
        <f t="shared" si="3"/>
        <v>28955837.521905992</v>
      </c>
      <c r="V24" s="313">
        <f t="shared" si="4"/>
        <v>6773000</v>
      </c>
      <c r="W24" s="314">
        <f t="shared" si="5"/>
        <v>4047972.8227466298</v>
      </c>
      <c r="X24" s="314"/>
    </row>
    <row r="25" spans="1:24" x14ac:dyDescent="0.25">
      <c r="A25" s="423" t="s">
        <v>2501</v>
      </c>
      <c r="B25" s="424">
        <v>4357</v>
      </c>
      <c r="C25" s="425">
        <v>7</v>
      </c>
      <c r="D25" s="426" t="s">
        <v>2502</v>
      </c>
      <c r="E25" s="432">
        <v>9477</v>
      </c>
      <c r="F25" s="428"/>
      <c r="G25" s="433">
        <v>300</v>
      </c>
      <c r="H25" s="434">
        <f t="shared" si="0"/>
        <v>9777</v>
      </c>
      <c r="I25" s="434">
        <v>500</v>
      </c>
      <c r="J25" s="314">
        <f t="shared" si="1"/>
        <v>10277</v>
      </c>
      <c r="L25" s="311" t="s">
        <v>519</v>
      </c>
      <c r="M25" s="314">
        <f t="shared" si="2"/>
        <v>10277</v>
      </c>
      <c r="P25" s="264">
        <v>1991772</v>
      </c>
      <c r="Q25" s="264" t="s">
        <v>472</v>
      </c>
      <c r="R25" s="264" t="s">
        <v>472</v>
      </c>
      <c r="S25" s="264" t="s">
        <v>1338</v>
      </c>
      <c r="T25" s="291">
        <v>11649999.141787495</v>
      </c>
      <c r="U25" s="313">
        <f t="shared" si="3"/>
        <v>28955837.521905992</v>
      </c>
      <c r="V25" s="313">
        <f t="shared" si="4"/>
        <v>6773000</v>
      </c>
      <c r="W25" s="314">
        <f t="shared" si="5"/>
        <v>2725027.1772533702</v>
      </c>
      <c r="X25" s="314"/>
    </row>
    <row r="26" spans="1:24" x14ac:dyDescent="0.25">
      <c r="A26" s="423" t="s">
        <v>2503</v>
      </c>
      <c r="B26" s="424">
        <v>4350</v>
      </c>
      <c r="C26" s="425">
        <v>24</v>
      </c>
      <c r="D26" s="431" t="s">
        <v>2504</v>
      </c>
      <c r="E26" s="432">
        <v>6856</v>
      </c>
      <c r="F26" s="428"/>
      <c r="G26" s="433">
        <v>1136</v>
      </c>
      <c r="H26" s="434">
        <f t="shared" si="0"/>
        <v>7992</v>
      </c>
      <c r="I26" s="434">
        <v>-300</v>
      </c>
      <c r="J26" s="314">
        <f t="shared" si="1"/>
        <v>7692</v>
      </c>
      <c r="L26" s="311" t="s">
        <v>523</v>
      </c>
      <c r="M26" s="314">
        <f t="shared" si="2"/>
        <v>7692</v>
      </c>
      <c r="P26" s="264">
        <v>2801353</v>
      </c>
      <c r="Q26" s="264" t="s">
        <v>477</v>
      </c>
      <c r="R26" s="264" t="s">
        <v>477</v>
      </c>
      <c r="S26" s="264" t="s">
        <v>1321</v>
      </c>
      <c r="T26" s="291">
        <v>18233135.704357907</v>
      </c>
      <c r="U26" s="313">
        <f t="shared" si="3"/>
        <v>18233135.704357907</v>
      </c>
      <c r="V26" s="313">
        <f t="shared" si="4"/>
        <v>4207000</v>
      </c>
      <c r="W26" s="314">
        <f t="shared" si="5"/>
        <v>4207000</v>
      </c>
      <c r="X26" s="314"/>
    </row>
    <row r="27" spans="1:24" x14ac:dyDescent="0.25">
      <c r="A27" s="423" t="s">
        <v>2505</v>
      </c>
      <c r="B27" s="424">
        <v>4357</v>
      </c>
      <c r="C27" s="425">
        <v>20</v>
      </c>
      <c r="D27" s="431" t="s">
        <v>2506</v>
      </c>
      <c r="E27" s="432">
        <v>8351</v>
      </c>
      <c r="F27" s="428"/>
      <c r="G27" s="433">
        <v>1053</v>
      </c>
      <c r="H27" s="434">
        <f t="shared" si="0"/>
        <v>9404</v>
      </c>
      <c r="I27" s="434">
        <v>-130</v>
      </c>
      <c r="J27" s="314">
        <f t="shared" si="1"/>
        <v>9274</v>
      </c>
      <c r="L27" s="311" t="s">
        <v>997</v>
      </c>
      <c r="M27" s="314">
        <f t="shared" si="2"/>
        <v>9274</v>
      </c>
      <c r="P27" s="264">
        <v>9593192</v>
      </c>
      <c r="Q27" s="264" t="s">
        <v>480</v>
      </c>
      <c r="R27" s="264" t="s">
        <v>480</v>
      </c>
      <c r="S27" s="264" t="s">
        <v>1319</v>
      </c>
      <c r="T27" s="291">
        <v>15484441.558511592</v>
      </c>
      <c r="U27" s="313">
        <f t="shared" si="3"/>
        <v>20483153.494613413</v>
      </c>
      <c r="V27" s="313">
        <f t="shared" si="4"/>
        <v>11426000</v>
      </c>
      <c r="W27" s="314">
        <f t="shared" si="5"/>
        <v>8637597.1987946387</v>
      </c>
      <c r="X27" s="314"/>
    </row>
    <row r="28" spans="1:24" ht="15.75" thickBot="1" x14ac:dyDescent="0.3">
      <c r="A28" s="443" t="s">
        <v>2507</v>
      </c>
      <c r="B28" s="444">
        <v>4357</v>
      </c>
      <c r="C28" s="445">
        <v>16</v>
      </c>
      <c r="D28" s="446" t="s">
        <v>2508</v>
      </c>
      <c r="E28" s="447">
        <v>9063</v>
      </c>
      <c r="F28" s="448"/>
      <c r="G28" s="449">
        <v>1147</v>
      </c>
      <c r="H28" s="450">
        <f t="shared" si="0"/>
        <v>10210</v>
      </c>
      <c r="I28" s="450">
        <v>-300</v>
      </c>
      <c r="J28" s="314">
        <f t="shared" si="1"/>
        <v>9910</v>
      </c>
      <c r="L28" s="311" t="s">
        <v>1001</v>
      </c>
      <c r="M28" s="314">
        <f t="shared" si="2"/>
        <v>9910</v>
      </c>
      <c r="P28" s="264">
        <v>7663376</v>
      </c>
      <c r="Q28" s="264" t="s">
        <v>393</v>
      </c>
      <c r="R28" s="264" t="s">
        <v>480</v>
      </c>
      <c r="S28" s="264" t="s">
        <v>1344</v>
      </c>
      <c r="T28" s="291">
        <v>4998711.9361018194</v>
      </c>
      <c r="U28" s="313">
        <f t="shared" si="3"/>
        <v>20483153.494613413</v>
      </c>
      <c r="V28" s="313">
        <f t="shared" si="4"/>
        <v>11426000</v>
      </c>
      <c r="W28" s="314">
        <f t="shared" si="5"/>
        <v>2788402.8012053594</v>
      </c>
      <c r="X28" s="314"/>
    </row>
    <row r="29" spans="1:24" x14ac:dyDescent="0.25">
      <c r="A29" s="451" t="s">
        <v>2509</v>
      </c>
      <c r="B29" s="315"/>
      <c r="C29" s="315"/>
      <c r="E29" s="451"/>
      <c r="G29" s="451" t="s">
        <v>2510</v>
      </c>
      <c r="H29" s="451"/>
      <c r="I29" s="451"/>
      <c r="J29" s="314">
        <f>SUM(J5:J28)</f>
        <v>201520</v>
      </c>
      <c r="P29" s="264">
        <v>8338145</v>
      </c>
      <c r="Q29" s="264" t="s">
        <v>485</v>
      </c>
      <c r="R29" s="264" t="s">
        <v>485</v>
      </c>
      <c r="S29" s="264" t="s">
        <v>1310</v>
      </c>
      <c r="T29" s="291">
        <v>3669914.9293581066</v>
      </c>
      <c r="U29" s="313">
        <f t="shared" si="3"/>
        <v>26764329.322645847</v>
      </c>
      <c r="V29" s="313">
        <f t="shared" si="4"/>
        <v>10295000</v>
      </c>
      <c r="W29" s="314">
        <f t="shared" si="5"/>
        <v>1411646.589095501</v>
      </c>
      <c r="X29" s="314"/>
    </row>
    <row r="30" spans="1:24" x14ac:dyDescent="0.25">
      <c r="A30" s="451"/>
      <c r="D30" s="451" t="s">
        <v>2511</v>
      </c>
      <c r="J30" s="321">
        <f>J29*1000</f>
        <v>201520000</v>
      </c>
      <c r="P30" s="264">
        <v>5220717</v>
      </c>
      <c r="Q30" s="264" t="s">
        <v>485</v>
      </c>
      <c r="R30" s="264" t="s">
        <v>485</v>
      </c>
      <c r="S30" s="264" t="s">
        <v>1340</v>
      </c>
      <c r="T30" s="291">
        <v>18020746.728662439</v>
      </c>
      <c r="U30" s="313">
        <f t="shared" si="3"/>
        <v>26764329.322645847</v>
      </c>
      <c r="V30" s="313">
        <f t="shared" si="4"/>
        <v>10295000</v>
      </c>
      <c r="W30" s="314">
        <f t="shared" si="5"/>
        <v>6931748.0492442045</v>
      </c>
      <c r="X30" s="314"/>
    </row>
    <row r="31" spans="1:24" x14ac:dyDescent="0.25">
      <c r="D31" s="451"/>
      <c r="P31" s="264">
        <v>4382500</v>
      </c>
      <c r="Q31" s="264" t="s">
        <v>485</v>
      </c>
      <c r="R31" s="264" t="s">
        <v>485</v>
      </c>
      <c r="S31" s="264" t="s">
        <v>1348</v>
      </c>
      <c r="T31" s="291">
        <v>1994569.1599952015</v>
      </c>
      <c r="U31" s="313">
        <f t="shared" si="3"/>
        <v>26764329.322645847</v>
      </c>
      <c r="V31" s="313">
        <f t="shared" si="4"/>
        <v>10295000</v>
      </c>
      <c r="W31" s="314">
        <f t="shared" si="5"/>
        <v>767218.5338407224</v>
      </c>
      <c r="X31" s="314"/>
    </row>
    <row r="32" spans="1:24" x14ac:dyDescent="0.25">
      <c r="P32" s="264">
        <v>7384495</v>
      </c>
      <c r="Q32" s="264" t="s">
        <v>485</v>
      </c>
      <c r="R32" s="264" t="s">
        <v>485</v>
      </c>
      <c r="S32" s="264" t="s">
        <v>1496</v>
      </c>
      <c r="T32" s="291">
        <v>3079098.5046301004</v>
      </c>
      <c r="U32" s="313">
        <f t="shared" si="3"/>
        <v>26764329.322645847</v>
      </c>
      <c r="V32" s="313">
        <f t="shared" si="4"/>
        <v>10295000</v>
      </c>
      <c r="W32" s="314">
        <f t="shared" si="5"/>
        <v>1184386.8278195728</v>
      </c>
      <c r="X32" s="314"/>
    </row>
    <row r="33" spans="16:24" x14ac:dyDescent="0.25">
      <c r="P33" s="264">
        <v>1872907</v>
      </c>
      <c r="Q33" s="264" t="s">
        <v>496</v>
      </c>
      <c r="R33" s="264" t="s">
        <v>496</v>
      </c>
      <c r="S33" s="264" t="s">
        <v>1319</v>
      </c>
      <c r="T33" s="291">
        <v>8636577.5681834593</v>
      </c>
      <c r="U33" s="313">
        <f t="shared" si="3"/>
        <v>8636577.5681834593</v>
      </c>
      <c r="V33" s="313">
        <f t="shared" si="4"/>
        <v>2984000</v>
      </c>
      <c r="W33" s="314">
        <f t="shared" si="5"/>
        <v>2984000</v>
      </c>
      <c r="X33" s="314"/>
    </row>
    <row r="34" spans="16:24" x14ac:dyDescent="0.25">
      <c r="P34" s="264">
        <v>1878615</v>
      </c>
      <c r="Q34" s="264" t="s">
        <v>502</v>
      </c>
      <c r="R34" s="264" t="s">
        <v>502</v>
      </c>
      <c r="S34" s="264" t="s">
        <v>1254</v>
      </c>
      <c r="T34" s="291">
        <v>541180.99175528076</v>
      </c>
      <c r="U34" s="313">
        <f t="shared" si="3"/>
        <v>14795746.430564633</v>
      </c>
      <c r="V34" s="313">
        <f t="shared" si="4"/>
        <v>4549000</v>
      </c>
      <c r="W34" s="314">
        <f t="shared" si="5"/>
        <v>166387.84282009516</v>
      </c>
      <c r="X34" s="314"/>
    </row>
    <row r="35" spans="16:24" x14ac:dyDescent="0.25">
      <c r="P35" s="264">
        <v>6565956</v>
      </c>
      <c r="Q35" s="264" t="s">
        <v>502</v>
      </c>
      <c r="R35" s="264" t="s">
        <v>502</v>
      </c>
      <c r="S35" s="264" t="s">
        <v>1329</v>
      </c>
      <c r="T35" s="291">
        <v>10299220.229134614</v>
      </c>
      <c r="U35" s="313">
        <f t="shared" si="3"/>
        <v>14795746.430564633</v>
      </c>
      <c r="V35" s="313">
        <f t="shared" si="4"/>
        <v>4549000</v>
      </c>
      <c r="W35" s="314">
        <f t="shared" si="5"/>
        <v>3166528.5048106513</v>
      </c>
      <c r="X35" s="314"/>
    </row>
    <row r="36" spans="16:24" x14ac:dyDescent="0.25">
      <c r="P36" s="264">
        <v>9924037</v>
      </c>
      <c r="Q36" s="264" t="s">
        <v>502</v>
      </c>
      <c r="R36" s="264" t="s">
        <v>502</v>
      </c>
      <c r="S36" s="264" t="s">
        <v>1344</v>
      </c>
      <c r="T36" s="291">
        <v>3955345.2096747379</v>
      </c>
      <c r="U36" s="313">
        <f t="shared" si="3"/>
        <v>14795746.430564633</v>
      </c>
      <c r="V36" s="313">
        <f t="shared" si="4"/>
        <v>4549000</v>
      </c>
      <c r="W36" s="314">
        <f t="shared" si="5"/>
        <v>1216083.6523692533</v>
      </c>
      <c r="X36" s="314"/>
    </row>
    <row r="37" spans="16:24" x14ac:dyDescent="0.25">
      <c r="P37" s="264">
        <v>9445282</v>
      </c>
      <c r="Q37" s="264" t="s">
        <v>506</v>
      </c>
      <c r="R37" s="264" t="s">
        <v>506</v>
      </c>
      <c r="S37" s="264" t="s">
        <v>1310</v>
      </c>
      <c r="T37" s="291">
        <v>20978767.506009847</v>
      </c>
      <c r="U37" s="313">
        <f t="shared" si="3"/>
        <v>20978767.506009847</v>
      </c>
      <c r="V37" s="313">
        <f t="shared" si="4"/>
        <v>6999000</v>
      </c>
      <c r="W37" s="314">
        <f t="shared" si="5"/>
        <v>6999000</v>
      </c>
      <c r="X37" s="314"/>
    </row>
    <row r="38" spans="16:24" x14ac:dyDescent="0.25">
      <c r="P38" s="264">
        <v>3713907</v>
      </c>
      <c r="Q38" s="264" t="s">
        <v>509</v>
      </c>
      <c r="R38" s="264" t="s">
        <v>509</v>
      </c>
      <c r="S38" s="264" t="s">
        <v>1310</v>
      </c>
      <c r="T38" s="291">
        <v>20938711.74165323</v>
      </c>
      <c r="U38" s="313">
        <f t="shared" si="3"/>
        <v>21947681.184978858</v>
      </c>
      <c r="V38" s="313">
        <f t="shared" si="4"/>
        <v>8009000</v>
      </c>
      <c r="W38" s="314">
        <f t="shared" si="5"/>
        <v>7640813.6661687279</v>
      </c>
      <c r="X38" s="314"/>
    </row>
    <row r="39" spans="16:24" x14ac:dyDescent="0.25">
      <c r="P39" s="264">
        <v>4007320</v>
      </c>
      <c r="Q39" s="264" t="s">
        <v>509</v>
      </c>
      <c r="R39" s="264" t="s">
        <v>509</v>
      </c>
      <c r="S39" s="264" t="s">
        <v>1347</v>
      </c>
      <c r="T39" s="291">
        <v>1008969.4433256258</v>
      </c>
      <c r="U39" s="313">
        <f t="shared" si="3"/>
        <v>21947681.184978858</v>
      </c>
      <c r="V39" s="313">
        <f t="shared" si="4"/>
        <v>8009000</v>
      </c>
      <c r="W39" s="314">
        <f t="shared" si="5"/>
        <v>368186.33383127127</v>
      </c>
      <c r="X39" s="314"/>
    </row>
    <row r="40" spans="16:24" x14ac:dyDescent="0.25">
      <c r="P40" s="264">
        <v>7630615</v>
      </c>
      <c r="Q40" s="264" t="s">
        <v>1331</v>
      </c>
      <c r="R40" s="264" t="s">
        <v>515</v>
      </c>
      <c r="S40" s="264" t="s">
        <v>1320</v>
      </c>
      <c r="T40" s="291">
        <v>59904459.071403921</v>
      </c>
      <c r="U40" s="313">
        <f t="shared" si="3"/>
        <v>75043845.789273813</v>
      </c>
      <c r="V40" s="313">
        <f t="shared" si="4"/>
        <v>21694000</v>
      </c>
      <c r="W40" s="314">
        <f t="shared" si="5"/>
        <v>17317440.509968996</v>
      </c>
      <c r="X40" s="314"/>
    </row>
    <row r="41" spans="16:24" x14ac:dyDescent="0.25">
      <c r="P41" s="264">
        <v>5804478</v>
      </c>
      <c r="Q41" s="264" t="s">
        <v>1343</v>
      </c>
      <c r="R41" s="264" t="s">
        <v>515</v>
      </c>
      <c r="S41" s="264" t="s">
        <v>1339</v>
      </c>
      <c r="T41" s="291">
        <v>15139386.717869893</v>
      </c>
      <c r="U41" s="313">
        <f t="shared" si="3"/>
        <v>75043845.789273813</v>
      </c>
      <c r="V41" s="313">
        <f t="shared" si="4"/>
        <v>21694000</v>
      </c>
      <c r="W41" s="314">
        <f t="shared" si="5"/>
        <v>4376559.490031003</v>
      </c>
      <c r="X41" s="314"/>
    </row>
    <row r="42" spans="16:24" x14ac:dyDescent="0.25">
      <c r="P42" s="264">
        <v>7071797</v>
      </c>
      <c r="Q42" s="264" t="s">
        <v>519</v>
      </c>
      <c r="R42" s="264" t="s">
        <v>519</v>
      </c>
      <c r="S42" s="264" t="s">
        <v>1255</v>
      </c>
      <c r="T42" s="291">
        <v>3457940.4202906708</v>
      </c>
      <c r="U42" s="313">
        <f t="shared" si="3"/>
        <v>27017130.458833173</v>
      </c>
      <c r="V42" s="313">
        <f t="shared" si="4"/>
        <v>10277000</v>
      </c>
      <c r="W42" s="314">
        <f t="shared" si="5"/>
        <v>1315360.0362361365</v>
      </c>
      <c r="X42" s="314"/>
    </row>
    <row r="43" spans="16:24" x14ac:dyDescent="0.25">
      <c r="P43" s="264">
        <v>3529182</v>
      </c>
      <c r="Q43" s="264" t="s">
        <v>519</v>
      </c>
      <c r="R43" s="264" t="s">
        <v>519</v>
      </c>
      <c r="S43" s="264" t="s">
        <v>1320</v>
      </c>
      <c r="T43" s="291">
        <v>8300972.7665890958</v>
      </c>
      <c r="U43" s="313">
        <f t="shared" si="3"/>
        <v>27017130.458833173</v>
      </c>
      <c r="V43" s="313">
        <f t="shared" si="4"/>
        <v>10277000</v>
      </c>
      <c r="W43" s="314">
        <f t="shared" si="5"/>
        <v>3157592.8188311569</v>
      </c>
      <c r="X43" s="314"/>
    </row>
    <row r="44" spans="16:24" x14ac:dyDescent="0.25">
      <c r="P44" s="264">
        <v>5638901</v>
      </c>
      <c r="Q44" s="264" t="s">
        <v>519</v>
      </c>
      <c r="R44" s="264" t="s">
        <v>519</v>
      </c>
      <c r="S44" s="264" t="s">
        <v>1339</v>
      </c>
      <c r="T44" s="291">
        <v>13223884.306436174</v>
      </c>
      <c r="U44" s="313">
        <f t="shared" si="3"/>
        <v>27017130.458833173</v>
      </c>
      <c r="V44" s="313">
        <f t="shared" si="4"/>
        <v>10277000</v>
      </c>
      <c r="W44" s="314">
        <f t="shared" si="5"/>
        <v>5030210.711101328</v>
      </c>
      <c r="X44" s="314"/>
    </row>
    <row r="45" spans="16:24" x14ac:dyDescent="0.25">
      <c r="P45" s="264">
        <v>1576566</v>
      </c>
      <c r="Q45" s="264" t="s">
        <v>519</v>
      </c>
      <c r="R45" s="264" t="s">
        <v>519</v>
      </c>
      <c r="S45" s="264" t="s">
        <v>1345</v>
      </c>
      <c r="T45" s="291">
        <v>2034332.965517231</v>
      </c>
      <c r="U45" s="313">
        <f t="shared" si="3"/>
        <v>27017130.458833173</v>
      </c>
      <c r="V45" s="313">
        <f t="shared" si="4"/>
        <v>10277000</v>
      </c>
      <c r="W45" s="314">
        <f t="shared" si="5"/>
        <v>773836.43383137882</v>
      </c>
      <c r="X45" s="314"/>
    </row>
    <row r="46" spans="16:24" x14ac:dyDescent="0.25">
      <c r="P46" s="264">
        <v>6945387</v>
      </c>
      <c r="Q46" s="264" t="s">
        <v>528</v>
      </c>
      <c r="R46" s="264" t="s">
        <v>523</v>
      </c>
      <c r="S46" s="264" t="s">
        <v>1310</v>
      </c>
      <c r="T46" s="291">
        <v>12829712.392652031</v>
      </c>
      <c r="U46" s="313">
        <f t="shared" si="3"/>
        <v>33848947.512867585</v>
      </c>
      <c r="V46" s="313">
        <f t="shared" si="4"/>
        <v>7692000</v>
      </c>
      <c r="W46" s="314">
        <f t="shared" si="5"/>
        <v>2915486.4471565667</v>
      </c>
      <c r="X46" s="314"/>
    </row>
    <row r="47" spans="16:24" x14ac:dyDescent="0.25">
      <c r="P47" s="264">
        <v>5869239</v>
      </c>
      <c r="Q47" s="264" t="s">
        <v>525</v>
      </c>
      <c r="R47" s="264" t="s">
        <v>523</v>
      </c>
      <c r="S47" s="264" t="s">
        <v>1321</v>
      </c>
      <c r="T47" s="291">
        <v>21019235.120215554</v>
      </c>
      <c r="U47" s="313">
        <f t="shared" si="3"/>
        <v>33848947.512867585</v>
      </c>
      <c r="V47" s="313">
        <f t="shared" si="4"/>
        <v>7692000</v>
      </c>
      <c r="W47" s="314">
        <f t="shared" si="5"/>
        <v>4776513.5528434329</v>
      </c>
      <c r="X47" s="314"/>
    </row>
    <row r="48" spans="16:24" x14ac:dyDescent="0.25">
      <c r="P48" s="264">
        <v>6375207</v>
      </c>
      <c r="Q48" s="264" t="s">
        <v>997</v>
      </c>
      <c r="R48" s="264" t="s">
        <v>997</v>
      </c>
      <c r="S48" s="264" t="s">
        <v>1261</v>
      </c>
      <c r="T48" s="291">
        <v>3486446.1588010686</v>
      </c>
      <c r="U48" s="313">
        <f t="shared" si="3"/>
        <v>38998347.617580354</v>
      </c>
      <c r="V48" s="313">
        <f t="shared" si="4"/>
        <v>9274000</v>
      </c>
      <c r="W48" s="314">
        <f t="shared" si="5"/>
        <v>829094.14505924715</v>
      </c>
      <c r="X48" s="314"/>
    </row>
    <row r="49" spans="16:24" x14ac:dyDescent="0.25">
      <c r="P49" s="264">
        <v>1546097</v>
      </c>
      <c r="Q49" s="264" t="s">
        <v>997</v>
      </c>
      <c r="R49" s="264" t="s">
        <v>997</v>
      </c>
      <c r="S49" s="264" t="s">
        <v>1310</v>
      </c>
      <c r="T49" s="291">
        <v>35511901.458779283</v>
      </c>
      <c r="U49" s="313">
        <f t="shared" si="3"/>
        <v>38998347.617580354</v>
      </c>
      <c r="V49" s="313">
        <f t="shared" si="4"/>
        <v>9274000</v>
      </c>
      <c r="W49" s="314">
        <f t="shared" si="5"/>
        <v>8444905.8549407516</v>
      </c>
      <c r="X49" s="314"/>
    </row>
    <row r="50" spans="16:24" x14ac:dyDescent="0.25">
      <c r="P50" s="264">
        <v>2089762</v>
      </c>
      <c r="Q50" s="264" t="s">
        <v>1001</v>
      </c>
      <c r="R50" s="264" t="s">
        <v>1001</v>
      </c>
      <c r="S50" s="264" t="s">
        <v>1310</v>
      </c>
      <c r="T50" s="291">
        <v>28656626.799487174</v>
      </c>
      <c r="U50" s="313">
        <f t="shared" si="3"/>
        <v>28656626.799487174</v>
      </c>
      <c r="V50" s="313">
        <f t="shared" si="4"/>
        <v>9910000</v>
      </c>
      <c r="W50" s="314">
        <f t="shared" si="5"/>
        <v>9910000</v>
      </c>
      <c r="X50" s="314"/>
    </row>
    <row r="51" spans="16:24" x14ac:dyDescent="0.25">
      <c r="W51" s="313">
        <f>SUM(W5:W50)</f>
        <v>201519999.99999994</v>
      </c>
    </row>
    <row r="52" spans="16:24" x14ac:dyDescent="0.25">
      <c r="R52" s="310" t="s">
        <v>1807</v>
      </c>
      <c r="S52" t="s">
        <v>2523</v>
      </c>
      <c r="T52"/>
    </row>
    <row r="53" spans="16:24" x14ac:dyDescent="0.25">
      <c r="R53" s="311" t="s">
        <v>257</v>
      </c>
      <c r="S53" s="345">
        <v>67003602.10720019</v>
      </c>
      <c r="T53"/>
    </row>
    <row r="54" spans="16:24" x14ac:dyDescent="0.25">
      <c r="R54" s="311" t="s">
        <v>420</v>
      </c>
      <c r="S54" s="345">
        <v>31671790.31466588</v>
      </c>
      <c r="T54"/>
    </row>
    <row r="55" spans="16:24" x14ac:dyDescent="0.25">
      <c r="R55" s="311" t="s">
        <v>425</v>
      </c>
      <c r="S55" s="345">
        <v>40171875.42824091</v>
      </c>
      <c r="T55"/>
    </row>
    <row r="56" spans="16:24" x14ac:dyDescent="0.25">
      <c r="R56" s="311" t="s">
        <v>435</v>
      </c>
      <c r="S56" s="345">
        <v>17599108.101580702</v>
      </c>
      <c r="T56"/>
    </row>
    <row r="57" spans="16:24" x14ac:dyDescent="0.25">
      <c r="R57" s="311" t="s">
        <v>440</v>
      </c>
      <c r="S57" s="345">
        <v>25979837.801661696</v>
      </c>
      <c r="T57"/>
    </row>
    <row r="58" spans="16:24" x14ac:dyDescent="0.25">
      <c r="R58" s="311" t="s">
        <v>444</v>
      </c>
      <c r="S58" s="345">
        <v>20133446.752144061</v>
      </c>
      <c r="T58"/>
    </row>
    <row r="59" spans="16:24" x14ac:dyDescent="0.25">
      <c r="R59" s="311" t="s">
        <v>447</v>
      </c>
      <c r="S59" s="345">
        <v>28807864.815676525</v>
      </c>
      <c r="T59"/>
    </row>
    <row r="60" spans="16:24" x14ac:dyDescent="0.25">
      <c r="R60" s="311" t="s">
        <v>453</v>
      </c>
      <c r="S60" s="345">
        <v>19206917.178216506</v>
      </c>
      <c r="T60"/>
    </row>
    <row r="61" spans="16:24" x14ac:dyDescent="0.25">
      <c r="R61" s="311" t="s">
        <v>456</v>
      </c>
      <c r="S61" s="345">
        <v>10268946.099432442</v>
      </c>
      <c r="T61"/>
    </row>
    <row r="62" spans="16:24" x14ac:dyDescent="0.25">
      <c r="R62" s="311" t="s">
        <v>464</v>
      </c>
      <c r="S62" s="345">
        <v>11249310.04113538</v>
      </c>
      <c r="T62"/>
    </row>
    <row r="63" spans="16:24" x14ac:dyDescent="0.25">
      <c r="R63" s="311" t="s">
        <v>467</v>
      </c>
      <c r="S63" s="345">
        <v>8386120.1106851101</v>
      </c>
      <c r="T63"/>
    </row>
    <row r="64" spans="16:24" x14ac:dyDescent="0.25">
      <c r="R64" s="311" t="s">
        <v>472</v>
      </c>
      <c r="S64" s="345">
        <v>28955837.521905992</v>
      </c>
      <c r="T64"/>
    </row>
    <row r="65" spans="18:20" x14ac:dyDescent="0.25">
      <c r="R65" s="311" t="s">
        <v>477</v>
      </c>
      <c r="S65" s="345">
        <v>18233135.704357907</v>
      </c>
      <c r="T65"/>
    </row>
    <row r="66" spans="18:20" x14ac:dyDescent="0.25">
      <c r="R66" s="311" t="s">
        <v>480</v>
      </c>
      <c r="S66" s="345">
        <v>20483153.494613413</v>
      </c>
      <c r="T66"/>
    </row>
    <row r="67" spans="18:20" x14ac:dyDescent="0.25">
      <c r="R67" s="311" t="s">
        <v>485</v>
      </c>
      <c r="S67" s="345">
        <v>26764329.322645847</v>
      </c>
      <c r="T67"/>
    </row>
    <row r="68" spans="18:20" x14ac:dyDescent="0.25">
      <c r="R68" s="311" t="s">
        <v>496</v>
      </c>
      <c r="S68" s="345">
        <v>8636577.5681834593</v>
      </c>
      <c r="T68"/>
    </row>
    <row r="69" spans="18:20" x14ac:dyDescent="0.25">
      <c r="R69" s="311" t="s">
        <v>502</v>
      </c>
      <c r="S69" s="345">
        <v>14795746.430564633</v>
      </c>
      <c r="T69"/>
    </row>
    <row r="70" spans="18:20" x14ac:dyDescent="0.25">
      <c r="R70" s="311" t="s">
        <v>506</v>
      </c>
      <c r="S70" s="345">
        <v>20978767.506009847</v>
      </c>
    </row>
    <row r="71" spans="18:20" x14ac:dyDescent="0.25">
      <c r="R71" s="311" t="s">
        <v>509</v>
      </c>
      <c r="S71" s="345">
        <v>21947681.184978858</v>
      </c>
    </row>
    <row r="72" spans="18:20" x14ac:dyDescent="0.25">
      <c r="R72" s="311" t="s">
        <v>515</v>
      </c>
      <c r="S72" s="345">
        <v>75043845.789273813</v>
      </c>
    </row>
    <row r="73" spans="18:20" x14ac:dyDescent="0.25">
      <c r="R73" s="311" t="s">
        <v>519</v>
      </c>
      <c r="S73" s="345">
        <v>27017130.458833173</v>
      </c>
    </row>
    <row r="74" spans="18:20" x14ac:dyDescent="0.25">
      <c r="R74" s="311" t="s">
        <v>523</v>
      </c>
      <c r="S74" s="345">
        <v>33848947.512867585</v>
      </c>
    </row>
    <row r="75" spans="18:20" x14ac:dyDescent="0.25">
      <c r="R75" s="311" t="s">
        <v>997</v>
      </c>
      <c r="S75" s="345">
        <v>38998347.617580354</v>
      </c>
    </row>
    <row r="76" spans="18:20" x14ac:dyDescent="0.25">
      <c r="R76" s="311" t="s">
        <v>1001</v>
      </c>
      <c r="S76" s="345">
        <v>28656626.799487174</v>
      </c>
    </row>
    <row r="77" spans="18:20" x14ac:dyDescent="0.25">
      <c r="R77" s="311" t="s">
        <v>1808</v>
      </c>
      <c r="S77" s="345">
        <v>644838945.66194153</v>
      </c>
    </row>
    <row r="81" spans="17:19" x14ac:dyDescent="0.25">
      <c r="Q81" s="310" t="s">
        <v>1807</v>
      </c>
      <c r="R81" t="s">
        <v>2541</v>
      </c>
      <c r="S81"/>
    </row>
    <row r="82" spans="17:19" x14ac:dyDescent="0.25">
      <c r="Q82" s="311">
        <v>1450637</v>
      </c>
      <c r="R82" s="345">
        <v>6399000</v>
      </c>
      <c r="S82"/>
    </row>
    <row r="83" spans="17:19" x14ac:dyDescent="0.25">
      <c r="Q83" s="311">
        <v>1546097</v>
      </c>
      <c r="R83" s="345">
        <v>8444905.8549407516</v>
      </c>
      <c r="S83"/>
    </row>
    <row r="84" spans="17:19" x14ac:dyDescent="0.25">
      <c r="Q84" s="311">
        <v>1576566</v>
      </c>
      <c r="R84" s="345">
        <v>773836.43383137882</v>
      </c>
      <c r="S84"/>
    </row>
    <row r="85" spans="17:19" x14ac:dyDescent="0.25">
      <c r="Q85" s="311">
        <v>1872907</v>
      </c>
      <c r="R85" s="345">
        <v>2984000</v>
      </c>
      <c r="S85"/>
    </row>
    <row r="86" spans="17:19" x14ac:dyDescent="0.25">
      <c r="Q86" s="311">
        <v>1878615</v>
      </c>
      <c r="R86" s="345">
        <v>166387.84282009516</v>
      </c>
      <c r="S86"/>
    </row>
    <row r="87" spans="17:19" x14ac:dyDescent="0.25">
      <c r="Q87" s="311">
        <v>1991772</v>
      </c>
      <c r="R87" s="345">
        <v>2725027.1772533702</v>
      </c>
      <c r="S87"/>
    </row>
    <row r="88" spans="17:19" x14ac:dyDescent="0.25">
      <c r="Q88" s="311">
        <v>2089762</v>
      </c>
      <c r="R88" s="345">
        <v>9910000</v>
      </c>
      <c r="S88"/>
    </row>
    <row r="89" spans="17:19" x14ac:dyDescent="0.25">
      <c r="Q89" s="311">
        <v>2749776</v>
      </c>
      <c r="R89" s="345">
        <v>2938000</v>
      </c>
      <c r="S89"/>
    </row>
    <row r="90" spans="17:19" x14ac:dyDescent="0.25">
      <c r="Q90" s="311">
        <v>2801353</v>
      </c>
      <c r="R90" s="345">
        <v>4207000</v>
      </c>
      <c r="S90"/>
    </row>
    <row r="91" spans="17:19" x14ac:dyDescent="0.25">
      <c r="Q91" s="311">
        <v>2837121</v>
      </c>
      <c r="R91" s="345">
        <v>2439562.9659980796</v>
      </c>
      <c r="S91"/>
    </row>
    <row r="92" spans="17:19" x14ac:dyDescent="0.25">
      <c r="Q92" s="311">
        <v>3446957</v>
      </c>
      <c r="R92" s="345">
        <v>328043.38080963405</v>
      </c>
      <c r="S92"/>
    </row>
    <row r="93" spans="17:19" x14ac:dyDescent="0.25">
      <c r="Q93" s="311">
        <v>3473171</v>
      </c>
      <c r="R93" s="345">
        <v>11118099.281565275</v>
      </c>
      <c r="S93"/>
    </row>
    <row r="94" spans="17:19" x14ac:dyDescent="0.25">
      <c r="Q94" s="311">
        <v>3529182</v>
      </c>
      <c r="R94" s="345">
        <v>3157592.8188311569</v>
      </c>
      <c r="S94"/>
    </row>
    <row r="95" spans="17:19" x14ac:dyDescent="0.25">
      <c r="Q95" s="311">
        <v>3650770</v>
      </c>
      <c r="R95" s="345">
        <v>795969.79945776786</v>
      </c>
      <c r="S95"/>
    </row>
    <row r="96" spans="17:19" x14ac:dyDescent="0.25">
      <c r="Q96" s="311">
        <v>3713907</v>
      </c>
      <c r="R96" s="345">
        <v>7640813.6661687279</v>
      </c>
      <c r="S96"/>
    </row>
    <row r="97" spans="17:19" x14ac:dyDescent="0.25">
      <c r="Q97" s="311">
        <v>3754207</v>
      </c>
      <c r="R97" s="345">
        <v>6989437.0340019213</v>
      </c>
      <c r="S97"/>
    </row>
    <row r="98" spans="17:19" x14ac:dyDescent="0.25">
      <c r="Q98" s="311">
        <v>3943362</v>
      </c>
      <c r="R98" s="345">
        <v>2840000</v>
      </c>
      <c r="S98"/>
    </row>
    <row r="99" spans="17:19" x14ac:dyDescent="0.25">
      <c r="Q99" s="311">
        <v>4007320</v>
      </c>
      <c r="R99" s="345">
        <v>368186.33383127127</v>
      </c>
    </row>
    <row r="100" spans="17:19" x14ac:dyDescent="0.25">
      <c r="Q100" s="311">
        <v>4382500</v>
      </c>
      <c r="R100" s="345">
        <v>767218.5338407224</v>
      </c>
    </row>
    <row r="101" spans="17:19" x14ac:dyDescent="0.25">
      <c r="Q101" s="311">
        <v>4721932</v>
      </c>
      <c r="R101" s="345">
        <v>8998000</v>
      </c>
    </row>
    <row r="102" spans="17:19" x14ac:dyDescent="0.25">
      <c r="Q102" s="311">
        <v>4753225</v>
      </c>
      <c r="R102" s="345">
        <v>7106000</v>
      </c>
    </row>
    <row r="103" spans="17:19" x14ac:dyDescent="0.25">
      <c r="Q103" s="311">
        <v>5000179</v>
      </c>
      <c r="R103" s="345">
        <v>12500994.243574739</v>
      </c>
    </row>
    <row r="104" spans="17:19" x14ac:dyDescent="0.25">
      <c r="Q104" s="311">
        <v>5040302</v>
      </c>
      <c r="R104" s="345">
        <v>2936000</v>
      </c>
    </row>
    <row r="105" spans="17:19" x14ac:dyDescent="0.25">
      <c r="Q105" s="311">
        <v>5220717</v>
      </c>
      <c r="R105" s="345">
        <v>6931748.0492442045</v>
      </c>
    </row>
    <row r="106" spans="17:19" x14ac:dyDescent="0.25">
      <c r="Q106" s="311">
        <v>5638901</v>
      </c>
      <c r="R106" s="345">
        <v>5030210.711101328</v>
      </c>
    </row>
    <row r="107" spans="17:19" x14ac:dyDescent="0.25">
      <c r="Q107" s="311">
        <v>5651221</v>
      </c>
      <c r="R107" s="345">
        <v>7066000</v>
      </c>
    </row>
    <row r="108" spans="17:19" x14ac:dyDescent="0.25">
      <c r="Q108" s="311">
        <v>5804478</v>
      </c>
      <c r="R108" s="345">
        <v>4376559.490031003</v>
      </c>
    </row>
    <row r="109" spans="17:19" x14ac:dyDescent="0.25">
      <c r="Q109" s="311">
        <v>5869239</v>
      </c>
      <c r="R109" s="345">
        <v>4776513.5528434329</v>
      </c>
    </row>
    <row r="110" spans="17:19" x14ac:dyDescent="0.25">
      <c r="Q110" s="311">
        <v>6163071</v>
      </c>
      <c r="R110" s="345">
        <v>229621.41538817159</v>
      </c>
    </row>
    <row r="111" spans="17:19" x14ac:dyDescent="0.25">
      <c r="Q111" s="311">
        <v>6375207</v>
      </c>
      <c r="R111" s="345">
        <v>829094.14505924715</v>
      </c>
    </row>
    <row r="112" spans="17:19" x14ac:dyDescent="0.25">
      <c r="Q112" s="311">
        <v>6514817</v>
      </c>
      <c r="R112" s="345">
        <v>1942857.3376250905</v>
      </c>
    </row>
    <row r="113" spans="17:18" x14ac:dyDescent="0.25">
      <c r="Q113" s="311">
        <v>6565956</v>
      </c>
      <c r="R113" s="345">
        <v>3166528.5048106513</v>
      </c>
    </row>
    <row r="114" spans="17:18" x14ac:dyDescent="0.25">
      <c r="Q114" s="311">
        <v>6581899</v>
      </c>
      <c r="R114" s="345">
        <v>5593000</v>
      </c>
    </row>
    <row r="115" spans="17:18" x14ac:dyDescent="0.25">
      <c r="Q115" s="311">
        <v>6945387</v>
      </c>
      <c r="R115" s="345">
        <v>2915486.4471565667</v>
      </c>
    </row>
    <row r="116" spans="17:18" x14ac:dyDescent="0.25">
      <c r="Q116" s="311">
        <v>7071797</v>
      </c>
      <c r="R116" s="345">
        <v>1315360.0362361365</v>
      </c>
    </row>
    <row r="117" spans="17:18" x14ac:dyDescent="0.25">
      <c r="Q117" s="311">
        <v>7384495</v>
      </c>
      <c r="R117" s="345">
        <v>1184386.8278195728</v>
      </c>
    </row>
    <row r="118" spans="17:18" x14ac:dyDescent="0.25">
      <c r="Q118" s="311">
        <v>7630615</v>
      </c>
      <c r="R118" s="345">
        <v>17317440.509968996</v>
      </c>
    </row>
    <row r="119" spans="17:18" x14ac:dyDescent="0.25">
      <c r="Q119" s="311">
        <v>7663376</v>
      </c>
      <c r="R119" s="345">
        <v>2788402.8012053594</v>
      </c>
    </row>
    <row r="120" spans="17:18" x14ac:dyDescent="0.25">
      <c r="Q120" s="311">
        <v>8338145</v>
      </c>
      <c r="R120" s="345">
        <v>1411646.589095501</v>
      </c>
    </row>
    <row r="121" spans="17:18" x14ac:dyDescent="0.25">
      <c r="Q121" s="311">
        <v>8504548</v>
      </c>
      <c r="R121" s="345">
        <v>7210414.5415793229</v>
      </c>
    </row>
    <row r="122" spans="17:18" x14ac:dyDescent="0.25">
      <c r="Q122" s="311">
        <v>8508078</v>
      </c>
      <c r="R122" s="345">
        <v>4047972.8227466298</v>
      </c>
    </row>
    <row r="123" spans="17:18" x14ac:dyDescent="0.25">
      <c r="Q123" s="311">
        <v>9445282</v>
      </c>
      <c r="R123" s="345">
        <v>6999000</v>
      </c>
    </row>
    <row r="124" spans="17:18" x14ac:dyDescent="0.25">
      <c r="Q124" s="311">
        <v>9593192</v>
      </c>
      <c r="R124" s="345">
        <v>8637597.1987946387</v>
      </c>
    </row>
    <row r="125" spans="17:18" x14ac:dyDescent="0.25">
      <c r="Q125" s="311">
        <v>9924037</v>
      </c>
      <c r="R125" s="345">
        <v>1216083.6523692533</v>
      </c>
    </row>
    <row r="126" spans="17:18" x14ac:dyDescent="0.25">
      <c r="Q126" s="311" t="s">
        <v>1808</v>
      </c>
      <c r="R126" s="345">
        <v>201520000.00000006</v>
      </c>
    </row>
  </sheetData>
  <sortState ref="A5:J28">
    <sortCondition ref="D5:D28"/>
  </sortState>
  <conditionalFormatting sqref="I5:I28">
    <cfRule type="cellIs" dxfId="22" priority="7" stopIfTrue="1" operator="lessThan">
      <formula>0</formula>
    </cfRule>
  </conditionalFormatting>
  <pageMargins left="0.7" right="0.7" top="0.78740157499999996" bottom="0.78740157499999996"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9"/>
  <sheetViews>
    <sheetView topLeftCell="O111" workbookViewId="0">
      <selection activeCell="S129" sqref="S129"/>
    </sheetView>
  </sheetViews>
  <sheetFormatPr defaultRowHeight="15" x14ac:dyDescent="0.25"/>
  <cols>
    <col min="1" max="1" width="9.28515625" style="313"/>
    <col min="2" max="2" width="4.7109375" style="313" customWidth="1"/>
    <col min="3" max="3" width="3.5703125" style="313" customWidth="1"/>
    <col min="4" max="4" width="38.140625" style="313" customWidth="1"/>
    <col min="5" max="5" width="13" style="313" customWidth="1"/>
    <col min="6" max="7" width="0" style="313" hidden="1" customWidth="1"/>
    <col min="8" max="8" width="13" style="313" customWidth="1"/>
    <col min="9" max="9" width="0" style="313" hidden="1" customWidth="1"/>
    <col min="10" max="10" width="0.140625" style="313" hidden="1" customWidth="1"/>
    <col min="11" max="11" width="9.28515625" style="313"/>
    <col min="12" max="12" width="29.5703125" style="313" customWidth="1"/>
    <col min="13" max="14" width="13.7109375" style="313" customWidth="1"/>
    <col min="15" max="15" width="9.28515625" style="313"/>
    <col min="16" max="16" width="10.7109375" style="313" customWidth="1"/>
    <col min="17" max="17" width="14.7109375" style="313" bestFit="1" customWidth="1"/>
    <col min="18" max="18" width="17.7109375" style="313" customWidth="1"/>
    <col min="19" max="19" width="36.28515625" style="313" customWidth="1"/>
    <col min="20" max="20" width="14.85546875" style="313" bestFit="1" customWidth="1"/>
    <col min="21" max="21" width="10.85546875" style="313" customWidth="1"/>
    <col min="22" max="22" width="11.140625" style="313" customWidth="1"/>
    <col min="23" max="23" width="9.28515625" style="313"/>
    <col min="24" max="24" width="10.28515625" style="313" customWidth="1"/>
    <col min="25" max="224" width="9.28515625" style="313"/>
    <col min="225" max="225" width="4.7109375" style="313" customWidth="1"/>
    <col min="226" max="226" width="3.5703125" style="313" customWidth="1"/>
    <col min="227" max="227" width="38.140625" style="313" customWidth="1"/>
    <col min="228" max="228" width="13" style="313" customWidth="1"/>
    <col min="229" max="230" width="0" style="313" hidden="1" customWidth="1"/>
    <col min="231" max="231" width="13" style="313" customWidth="1"/>
    <col min="232" max="233" width="0" style="313" hidden="1" customWidth="1"/>
    <col min="234" max="236" width="9.28515625" style="313"/>
    <col min="237" max="237" width="10.7109375" style="313" customWidth="1"/>
    <col min="238" max="480" width="9.28515625" style="313"/>
    <col min="481" max="481" width="4.7109375" style="313" customWidth="1"/>
    <col min="482" max="482" width="3.5703125" style="313" customWidth="1"/>
    <col min="483" max="483" width="38.140625" style="313" customWidth="1"/>
    <col min="484" max="484" width="13" style="313" customWidth="1"/>
    <col min="485" max="486" width="0" style="313" hidden="1" customWidth="1"/>
    <col min="487" max="487" width="13" style="313" customWidth="1"/>
    <col min="488" max="489" width="0" style="313" hidden="1" customWidth="1"/>
    <col min="490" max="492" width="9.28515625" style="313"/>
    <col min="493" max="493" width="10.7109375" style="313" customWidth="1"/>
    <col min="494" max="736" width="9.28515625" style="313"/>
    <col min="737" max="737" width="4.7109375" style="313" customWidth="1"/>
    <col min="738" max="738" width="3.5703125" style="313" customWidth="1"/>
    <col min="739" max="739" width="38.140625" style="313" customWidth="1"/>
    <col min="740" max="740" width="13" style="313" customWidth="1"/>
    <col min="741" max="742" width="0" style="313" hidden="1" customWidth="1"/>
    <col min="743" max="743" width="13" style="313" customWidth="1"/>
    <col min="744" max="745" width="0" style="313" hidden="1" customWidth="1"/>
    <col min="746" max="748" width="9.28515625" style="313"/>
    <col min="749" max="749" width="10.7109375" style="313" customWidth="1"/>
    <col min="750" max="992" width="9.28515625" style="313"/>
    <col min="993" max="993" width="4.7109375" style="313" customWidth="1"/>
    <col min="994" max="994" width="3.5703125" style="313" customWidth="1"/>
    <col min="995" max="995" width="38.140625" style="313" customWidth="1"/>
    <col min="996" max="996" width="13" style="313" customWidth="1"/>
    <col min="997" max="998" width="0" style="313" hidden="1" customWidth="1"/>
    <col min="999" max="999" width="13" style="313" customWidth="1"/>
    <col min="1000" max="1001" width="0" style="313" hidden="1" customWidth="1"/>
    <col min="1002" max="1004" width="9.28515625" style="313"/>
    <col min="1005" max="1005" width="10.7109375" style="313" customWidth="1"/>
    <col min="1006" max="1248" width="9.28515625" style="313"/>
    <col min="1249" max="1249" width="4.7109375" style="313" customWidth="1"/>
    <col min="1250" max="1250" width="3.5703125" style="313" customWidth="1"/>
    <col min="1251" max="1251" width="38.140625" style="313" customWidth="1"/>
    <col min="1252" max="1252" width="13" style="313" customWidth="1"/>
    <col min="1253" max="1254" width="0" style="313" hidden="1" customWidth="1"/>
    <col min="1255" max="1255" width="13" style="313" customWidth="1"/>
    <col min="1256" max="1257" width="0" style="313" hidden="1" customWidth="1"/>
    <col min="1258" max="1260" width="9.28515625" style="313"/>
    <col min="1261" max="1261" width="10.7109375" style="313" customWidth="1"/>
    <col min="1262" max="1504" width="9.28515625" style="313"/>
    <col min="1505" max="1505" width="4.7109375" style="313" customWidth="1"/>
    <col min="1506" max="1506" width="3.5703125" style="313" customWidth="1"/>
    <col min="1507" max="1507" width="38.140625" style="313" customWidth="1"/>
    <col min="1508" max="1508" width="13" style="313" customWidth="1"/>
    <col min="1509" max="1510" width="0" style="313" hidden="1" customWidth="1"/>
    <col min="1511" max="1511" width="13" style="313" customWidth="1"/>
    <col min="1512" max="1513" width="0" style="313" hidden="1" customWidth="1"/>
    <col min="1514" max="1516" width="9.28515625" style="313"/>
    <col min="1517" max="1517" width="10.7109375" style="313" customWidth="1"/>
    <col min="1518" max="1760" width="9.28515625" style="313"/>
    <col min="1761" max="1761" width="4.7109375" style="313" customWidth="1"/>
    <col min="1762" max="1762" width="3.5703125" style="313" customWidth="1"/>
    <col min="1763" max="1763" width="38.140625" style="313" customWidth="1"/>
    <col min="1764" max="1764" width="13" style="313" customWidth="1"/>
    <col min="1765" max="1766" width="0" style="313" hidden="1" customWidth="1"/>
    <col min="1767" max="1767" width="13" style="313" customWidth="1"/>
    <col min="1768" max="1769" width="0" style="313" hidden="1" customWidth="1"/>
    <col min="1770" max="1772" width="9.28515625" style="313"/>
    <col min="1773" max="1773" width="10.7109375" style="313" customWidth="1"/>
    <col min="1774" max="2016" width="9.28515625" style="313"/>
    <col min="2017" max="2017" width="4.7109375" style="313" customWidth="1"/>
    <col min="2018" max="2018" width="3.5703125" style="313" customWidth="1"/>
    <col min="2019" max="2019" width="38.140625" style="313" customWidth="1"/>
    <col min="2020" max="2020" width="13" style="313" customWidth="1"/>
    <col min="2021" max="2022" width="0" style="313" hidden="1" customWidth="1"/>
    <col min="2023" max="2023" width="13" style="313" customWidth="1"/>
    <col min="2024" max="2025" width="0" style="313" hidden="1" customWidth="1"/>
    <col min="2026" max="2028" width="9.28515625" style="313"/>
    <col min="2029" max="2029" width="10.7109375" style="313" customWidth="1"/>
    <col min="2030" max="2272" width="9.28515625" style="313"/>
    <col min="2273" max="2273" width="4.7109375" style="313" customWidth="1"/>
    <col min="2274" max="2274" width="3.5703125" style="313" customWidth="1"/>
    <col min="2275" max="2275" width="38.140625" style="313" customWidth="1"/>
    <col min="2276" max="2276" width="13" style="313" customWidth="1"/>
    <col min="2277" max="2278" width="0" style="313" hidden="1" customWidth="1"/>
    <col min="2279" max="2279" width="13" style="313" customWidth="1"/>
    <col min="2280" max="2281" width="0" style="313" hidden="1" customWidth="1"/>
    <col min="2282" max="2284" width="9.28515625" style="313"/>
    <col min="2285" max="2285" width="10.7109375" style="313" customWidth="1"/>
    <col min="2286" max="2528" width="9.28515625" style="313"/>
    <col min="2529" max="2529" width="4.7109375" style="313" customWidth="1"/>
    <col min="2530" max="2530" width="3.5703125" style="313" customWidth="1"/>
    <col min="2531" max="2531" width="38.140625" style="313" customWidth="1"/>
    <col min="2532" max="2532" width="13" style="313" customWidth="1"/>
    <col min="2533" max="2534" width="0" style="313" hidden="1" customWidth="1"/>
    <col min="2535" max="2535" width="13" style="313" customWidth="1"/>
    <col min="2536" max="2537" width="0" style="313" hidden="1" customWidth="1"/>
    <col min="2538" max="2540" width="9.28515625" style="313"/>
    <col min="2541" max="2541" width="10.7109375" style="313" customWidth="1"/>
    <col min="2542" max="2784" width="9.28515625" style="313"/>
    <col min="2785" max="2785" width="4.7109375" style="313" customWidth="1"/>
    <col min="2786" max="2786" width="3.5703125" style="313" customWidth="1"/>
    <col min="2787" max="2787" width="38.140625" style="313" customWidth="1"/>
    <col min="2788" max="2788" width="13" style="313" customWidth="1"/>
    <col min="2789" max="2790" width="0" style="313" hidden="1" customWidth="1"/>
    <col min="2791" max="2791" width="13" style="313" customWidth="1"/>
    <col min="2792" max="2793" width="0" style="313" hidden="1" customWidth="1"/>
    <col min="2794" max="2796" width="9.28515625" style="313"/>
    <col min="2797" max="2797" width="10.7109375" style="313" customWidth="1"/>
    <col min="2798" max="3040" width="9.28515625" style="313"/>
    <col min="3041" max="3041" width="4.7109375" style="313" customWidth="1"/>
    <col min="3042" max="3042" width="3.5703125" style="313" customWidth="1"/>
    <col min="3043" max="3043" width="38.140625" style="313" customWidth="1"/>
    <col min="3044" max="3044" width="13" style="313" customWidth="1"/>
    <col min="3045" max="3046" width="0" style="313" hidden="1" customWidth="1"/>
    <col min="3047" max="3047" width="13" style="313" customWidth="1"/>
    <col min="3048" max="3049" width="0" style="313" hidden="1" customWidth="1"/>
    <col min="3050" max="3052" width="9.28515625" style="313"/>
    <col min="3053" max="3053" width="10.7109375" style="313" customWidth="1"/>
    <col min="3054" max="3296" width="9.28515625" style="313"/>
    <col min="3297" max="3297" width="4.7109375" style="313" customWidth="1"/>
    <col min="3298" max="3298" width="3.5703125" style="313" customWidth="1"/>
    <col min="3299" max="3299" width="38.140625" style="313" customWidth="1"/>
    <col min="3300" max="3300" width="13" style="313" customWidth="1"/>
    <col min="3301" max="3302" width="0" style="313" hidden="1" customWidth="1"/>
    <col min="3303" max="3303" width="13" style="313" customWidth="1"/>
    <col min="3304" max="3305" width="0" style="313" hidden="1" customWidth="1"/>
    <col min="3306" max="3308" width="9.28515625" style="313"/>
    <col min="3309" max="3309" width="10.7109375" style="313" customWidth="1"/>
    <col min="3310" max="3552" width="9.28515625" style="313"/>
    <col min="3553" max="3553" width="4.7109375" style="313" customWidth="1"/>
    <col min="3554" max="3554" width="3.5703125" style="313" customWidth="1"/>
    <col min="3555" max="3555" width="38.140625" style="313" customWidth="1"/>
    <col min="3556" max="3556" width="13" style="313" customWidth="1"/>
    <col min="3557" max="3558" width="0" style="313" hidden="1" customWidth="1"/>
    <col min="3559" max="3559" width="13" style="313" customWidth="1"/>
    <col min="3560" max="3561" width="0" style="313" hidden="1" customWidth="1"/>
    <col min="3562" max="3564" width="9.28515625" style="313"/>
    <col min="3565" max="3565" width="10.7109375" style="313" customWidth="1"/>
    <col min="3566" max="3808" width="9.28515625" style="313"/>
    <col min="3809" max="3809" width="4.7109375" style="313" customWidth="1"/>
    <col min="3810" max="3810" width="3.5703125" style="313" customWidth="1"/>
    <col min="3811" max="3811" width="38.140625" style="313" customWidth="1"/>
    <col min="3812" max="3812" width="13" style="313" customWidth="1"/>
    <col min="3813" max="3814" width="0" style="313" hidden="1" customWidth="1"/>
    <col min="3815" max="3815" width="13" style="313" customWidth="1"/>
    <col min="3816" max="3817" width="0" style="313" hidden="1" customWidth="1"/>
    <col min="3818" max="3820" width="9.28515625" style="313"/>
    <col min="3821" max="3821" width="10.7109375" style="313" customWidth="1"/>
    <col min="3822" max="4064" width="9.28515625" style="313"/>
    <col min="4065" max="4065" width="4.7109375" style="313" customWidth="1"/>
    <col min="4066" max="4066" width="3.5703125" style="313" customWidth="1"/>
    <col min="4067" max="4067" width="38.140625" style="313" customWidth="1"/>
    <col min="4068" max="4068" width="13" style="313" customWidth="1"/>
    <col min="4069" max="4070" width="0" style="313" hidden="1" customWidth="1"/>
    <col min="4071" max="4071" width="13" style="313" customWidth="1"/>
    <col min="4072" max="4073" width="0" style="313" hidden="1" customWidth="1"/>
    <col min="4074" max="4076" width="9.28515625" style="313"/>
    <col min="4077" max="4077" width="10.7109375" style="313" customWidth="1"/>
    <col min="4078" max="4320" width="9.28515625" style="313"/>
    <col min="4321" max="4321" width="4.7109375" style="313" customWidth="1"/>
    <col min="4322" max="4322" width="3.5703125" style="313" customWidth="1"/>
    <col min="4323" max="4323" width="38.140625" style="313" customWidth="1"/>
    <col min="4324" max="4324" width="13" style="313" customWidth="1"/>
    <col min="4325" max="4326" width="0" style="313" hidden="1" customWidth="1"/>
    <col min="4327" max="4327" width="13" style="313" customWidth="1"/>
    <col min="4328" max="4329" width="0" style="313" hidden="1" customWidth="1"/>
    <col min="4330" max="4332" width="9.28515625" style="313"/>
    <col min="4333" max="4333" width="10.7109375" style="313" customWidth="1"/>
    <col min="4334" max="4576" width="9.28515625" style="313"/>
    <col min="4577" max="4577" width="4.7109375" style="313" customWidth="1"/>
    <col min="4578" max="4578" width="3.5703125" style="313" customWidth="1"/>
    <col min="4579" max="4579" width="38.140625" style="313" customWidth="1"/>
    <col min="4580" max="4580" width="13" style="313" customWidth="1"/>
    <col min="4581" max="4582" width="0" style="313" hidden="1" customWidth="1"/>
    <col min="4583" max="4583" width="13" style="313" customWidth="1"/>
    <col min="4584" max="4585" width="0" style="313" hidden="1" customWidth="1"/>
    <col min="4586" max="4588" width="9.28515625" style="313"/>
    <col min="4589" max="4589" width="10.7109375" style="313" customWidth="1"/>
    <col min="4590" max="4832" width="9.28515625" style="313"/>
    <col min="4833" max="4833" width="4.7109375" style="313" customWidth="1"/>
    <col min="4834" max="4834" width="3.5703125" style="313" customWidth="1"/>
    <col min="4835" max="4835" width="38.140625" style="313" customWidth="1"/>
    <col min="4836" max="4836" width="13" style="313" customWidth="1"/>
    <col min="4837" max="4838" width="0" style="313" hidden="1" customWidth="1"/>
    <col min="4839" max="4839" width="13" style="313" customWidth="1"/>
    <col min="4840" max="4841" width="0" style="313" hidden="1" customWidth="1"/>
    <col min="4842" max="4844" width="9.28515625" style="313"/>
    <col min="4845" max="4845" width="10.7109375" style="313" customWidth="1"/>
    <col min="4846" max="5088" width="9.28515625" style="313"/>
    <col min="5089" max="5089" width="4.7109375" style="313" customWidth="1"/>
    <col min="5090" max="5090" width="3.5703125" style="313" customWidth="1"/>
    <col min="5091" max="5091" width="38.140625" style="313" customWidth="1"/>
    <col min="5092" max="5092" width="13" style="313" customWidth="1"/>
    <col min="5093" max="5094" width="0" style="313" hidden="1" customWidth="1"/>
    <col min="5095" max="5095" width="13" style="313" customWidth="1"/>
    <col min="5096" max="5097" width="0" style="313" hidden="1" customWidth="1"/>
    <col min="5098" max="5100" width="9.28515625" style="313"/>
    <col min="5101" max="5101" width="10.7109375" style="313" customWidth="1"/>
    <col min="5102" max="5344" width="9.28515625" style="313"/>
    <col min="5345" max="5345" width="4.7109375" style="313" customWidth="1"/>
    <col min="5346" max="5346" width="3.5703125" style="313" customWidth="1"/>
    <col min="5347" max="5347" width="38.140625" style="313" customWidth="1"/>
    <col min="5348" max="5348" width="13" style="313" customWidth="1"/>
    <col min="5349" max="5350" width="0" style="313" hidden="1" customWidth="1"/>
    <col min="5351" max="5351" width="13" style="313" customWidth="1"/>
    <col min="5352" max="5353" width="0" style="313" hidden="1" customWidth="1"/>
    <col min="5354" max="5356" width="9.28515625" style="313"/>
    <col min="5357" max="5357" width="10.7109375" style="313" customWidth="1"/>
    <col min="5358" max="5600" width="9.28515625" style="313"/>
    <col min="5601" max="5601" width="4.7109375" style="313" customWidth="1"/>
    <col min="5602" max="5602" width="3.5703125" style="313" customWidth="1"/>
    <col min="5603" max="5603" width="38.140625" style="313" customWidth="1"/>
    <col min="5604" max="5604" width="13" style="313" customWidth="1"/>
    <col min="5605" max="5606" width="0" style="313" hidden="1" customWidth="1"/>
    <col min="5607" max="5607" width="13" style="313" customWidth="1"/>
    <col min="5608" max="5609" width="0" style="313" hidden="1" customWidth="1"/>
    <col min="5610" max="5612" width="9.28515625" style="313"/>
    <col min="5613" max="5613" width="10.7109375" style="313" customWidth="1"/>
    <col min="5614" max="5856" width="9.28515625" style="313"/>
    <col min="5857" max="5857" width="4.7109375" style="313" customWidth="1"/>
    <col min="5858" max="5858" width="3.5703125" style="313" customWidth="1"/>
    <col min="5859" max="5859" width="38.140625" style="313" customWidth="1"/>
    <col min="5860" max="5860" width="13" style="313" customWidth="1"/>
    <col min="5861" max="5862" width="0" style="313" hidden="1" customWidth="1"/>
    <col min="5863" max="5863" width="13" style="313" customWidth="1"/>
    <col min="5864" max="5865" width="0" style="313" hidden="1" customWidth="1"/>
    <col min="5866" max="5868" width="9.28515625" style="313"/>
    <col min="5869" max="5869" width="10.7109375" style="313" customWidth="1"/>
    <col min="5870" max="6112" width="9.28515625" style="313"/>
    <col min="6113" max="6113" width="4.7109375" style="313" customWidth="1"/>
    <col min="6114" max="6114" width="3.5703125" style="313" customWidth="1"/>
    <col min="6115" max="6115" width="38.140625" style="313" customWidth="1"/>
    <col min="6116" max="6116" width="13" style="313" customWidth="1"/>
    <col min="6117" max="6118" width="0" style="313" hidden="1" customWidth="1"/>
    <col min="6119" max="6119" width="13" style="313" customWidth="1"/>
    <col min="6120" max="6121" width="0" style="313" hidden="1" customWidth="1"/>
    <col min="6122" max="6124" width="9.28515625" style="313"/>
    <col min="6125" max="6125" width="10.7109375" style="313" customWidth="1"/>
    <col min="6126" max="6368" width="9.28515625" style="313"/>
    <col min="6369" max="6369" width="4.7109375" style="313" customWidth="1"/>
    <col min="6370" max="6370" width="3.5703125" style="313" customWidth="1"/>
    <col min="6371" max="6371" width="38.140625" style="313" customWidth="1"/>
    <col min="6372" max="6372" width="13" style="313" customWidth="1"/>
    <col min="6373" max="6374" width="0" style="313" hidden="1" customWidth="1"/>
    <col min="6375" max="6375" width="13" style="313" customWidth="1"/>
    <col min="6376" max="6377" width="0" style="313" hidden="1" customWidth="1"/>
    <col min="6378" max="6380" width="9.28515625" style="313"/>
    <col min="6381" max="6381" width="10.7109375" style="313" customWidth="1"/>
    <col min="6382" max="6624" width="9.28515625" style="313"/>
    <col min="6625" max="6625" width="4.7109375" style="313" customWidth="1"/>
    <col min="6626" max="6626" width="3.5703125" style="313" customWidth="1"/>
    <col min="6627" max="6627" width="38.140625" style="313" customWidth="1"/>
    <col min="6628" max="6628" width="13" style="313" customWidth="1"/>
    <col min="6629" max="6630" width="0" style="313" hidden="1" customWidth="1"/>
    <col min="6631" max="6631" width="13" style="313" customWidth="1"/>
    <col min="6632" max="6633" width="0" style="313" hidden="1" customWidth="1"/>
    <col min="6634" max="6636" width="9.28515625" style="313"/>
    <col min="6637" max="6637" width="10.7109375" style="313" customWidth="1"/>
    <col min="6638" max="6880" width="9.28515625" style="313"/>
    <col min="6881" max="6881" width="4.7109375" style="313" customWidth="1"/>
    <col min="6882" max="6882" width="3.5703125" style="313" customWidth="1"/>
    <col min="6883" max="6883" width="38.140625" style="313" customWidth="1"/>
    <col min="6884" max="6884" width="13" style="313" customWidth="1"/>
    <col min="6885" max="6886" width="0" style="313" hidden="1" customWidth="1"/>
    <col min="6887" max="6887" width="13" style="313" customWidth="1"/>
    <col min="6888" max="6889" width="0" style="313" hidden="1" customWidth="1"/>
    <col min="6890" max="6892" width="9.28515625" style="313"/>
    <col min="6893" max="6893" width="10.7109375" style="313" customWidth="1"/>
    <col min="6894" max="7136" width="9.28515625" style="313"/>
    <col min="7137" max="7137" width="4.7109375" style="313" customWidth="1"/>
    <col min="7138" max="7138" width="3.5703125" style="313" customWidth="1"/>
    <col min="7139" max="7139" width="38.140625" style="313" customWidth="1"/>
    <col min="7140" max="7140" width="13" style="313" customWidth="1"/>
    <col min="7141" max="7142" width="0" style="313" hidden="1" customWidth="1"/>
    <col min="7143" max="7143" width="13" style="313" customWidth="1"/>
    <col min="7144" max="7145" width="0" style="313" hidden="1" customWidth="1"/>
    <col min="7146" max="7148" width="9.28515625" style="313"/>
    <col min="7149" max="7149" width="10.7109375" style="313" customWidth="1"/>
    <col min="7150" max="7392" width="9.28515625" style="313"/>
    <col min="7393" max="7393" width="4.7109375" style="313" customWidth="1"/>
    <col min="7394" max="7394" width="3.5703125" style="313" customWidth="1"/>
    <col min="7395" max="7395" width="38.140625" style="313" customWidth="1"/>
    <col min="7396" max="7396" width="13" style="313" customWidth="1"/>
    <col min="7397" max="7398" width="0" style="313" hidden="1" customWidth="1"/>
    <col min="7399" max="7399" width="13" style="313" customWidth="1"/>
    <col min="7400" max="7401" width="0" style="313" hidden="1" customWidth="1"/>
    <col min="7402" max="7404" width="9.28515625" style="313"/>
    <col min="7405" max="7405" width="10.7109375" style="313" customWidth="1"/>
    <col min="7406" max="7648" width="9.28515625" style="313"/>
    <col min="7649" max="7649" width="4.7109375" style="313" customWidth="1"/>
    <col min="7650" max="7650" width="3.5703125" style="313" customWidth="1"/>
    <col min="7651" max="7651" width="38.140625" style="313" customWidth="1"/>
    <col min="7652" max="7652" width="13" style="313" customWidth="1"/>
    <col min="7653" max="7654" width="0" style="313" hidden="1" customWidth="1"/>
    <col min="7655" max="7655" width="13" style="313" customWidth="1"/>
    <col min="7656" max="7657" width="0" style="313" hidden="1" customWidth="1"/>
    <col min="7658" max="7660" width="9.28515625" style="313"/>
    <col min="7661" max="7661" width="10.7109375" style="313" customWidth="1"/>
    <col min="7662" max="7904" width="9.28515625" style="313"/>
    <col min="7905" max="7905" width="4.7109375" style="313" customWidth="1"/>
    <col min="7906" max="7906" width="3.5703125" style="313" customWidth="1"/>
    <col min="7907" max="7907" width="38.140625" style="313" customWidth="1"/>
    <col min="7908" max="7908" width="13" style="313" customWidth="1"/>
    <col min="7909" max="7910" width="0" style="313" hidden="1" customWidth="1"/>
    <col min="7911" max="7911" width="13" style="313" customWidth="1"/>
    <col min="7912" max="7913" width="0" style="313" hidden="1" customWidth="1"/>
    <col min="7914" max="7916" width="9.28515625" style="313"/>
    <col min="7917" max="7917" width="10.7109375" style="313" customWidth="1"/>
    <col min="7918" max="8160" width="9.28515625" style="313"/>
    <col min="8161" max="8161" width="4.7109375" style="313" customWidth="1"/>
    <col min="8162" max="8162" width="3.5703125" style="313" customWidth="1"/>
    <col min="8163" max="8163" width="38.140625" style="313" customWidth="1"/>
    <col min="8164" max="8164" width="13" style="313" customWidth="1"/>
    <col min="8165" max="8166" width="0" style="313" hidden="1" customWidth="1"/>
    <col min="8167" max="8167" width="13" style="313" customWidth="1"/>
    <col min="8168" max="8169" width="0" style="313" hidden="1" customWidth="1"/>
    <col min="8170" max="8172" width="9.28515625" style="313"/>
    <col min="8173" max="8173" width="10.7109375" style="313" customWidth="1"/>
    <col min="8174" max="8416" width="9.28515625" style="313"/>
    <col min="8417" max="8417" width="4.7109375" style="313" customWidth="1"/>
    <col min="8418" max="8418" width="3.5703125" style="313" customWidth="1"/>
    <col min="8419" max="8419" width="38.140625" style="313" customWidth="1"/>
    <col min="8420" max="8420" width="13" style="313" customWidth="1"/>
    <col min="8421" max="8422" width="0" style="313" hidden="1" customWidth="1"/>
    <col min="8423" max="8423" width="13" style="313" customWidth="1"/>
    <col min="8424" max="8425" width="0" style="313" hidden="1" customWidth="1"/>
    <col min="8426" max="8428" width="9.28515625" style="313"/>
    <col min="8429" max="8429" width="10.7109375" style="313" customWidth="1"/>
    <col min="8430" max="8672" width="9.28515625" style="313"/>
    <col min="8673" max="8673" width="4.7109375" style="313" customWidth="1"/>
    <col min="8674" max="8674" width="3.5703125" style="313" customWidth="1"/>
    <col min="8675" max="8675" width="38.140625" style="313" customWidth="1"/>
    <col min="8676" max="8676" width="13" style="313" customWidth="1"/>
    <col min="8677" max="8678" width="0" style="313" hidden="1" customWidth="1"/>
    <col min="8679" max="8679" width="13" style="313" customWidth="1"/>
    <col min="8680" max="8681" width="0" style="313" hidden="1" customWidth="1"/>
    <col min="8682" max="8684" width="9.28515625" style="313"/>
    <col min="8685" max="8685" width="10.7109375" style="313" customWidth="1"/>
    <col min="8686" max="8928" width="9.28515625" style="313"/>
    <col min="8929" max="8929" width="4.7109375" style="313" customWidth="1"/>
    <col min="8930" max="8930" width="3.5703125" style="313" customWidth="1"/>
    <col min="8931" max="8931" width="38.140625" style="313" customWidth="1"/>
    <col min="8932" max="8932" width="13" style="313" customWidth="1"/>
    <col min="8933" max="8934" width="0" style="313" hidden="1" customWidth="1"/>
    <col min="8935" max="8935" width="13" style="313" customWidth="1"/>
    <col min="8936" max="8937" width="0" style="313" hidden="1" customWidth="1"/>
    <col min="8938" max="8940" width="9.28515625" style="313"/>
    <col min="8941" max="8941" width="10.7109375" style="313" customWidth="1"/>
    <col min="8942" max="9184" width="9.28515625" style="313"/>
    <col min="9185" max="9185" width="4.7109375" style="313" customWidth="1"/>
    <col min="9186" max="9186" width="3.5703125" style="313" customWidth="1"/>
    <col min="9187" max="9187" width="38.140625" style="313" customWidth="1"/>
    <col min="9188" max="9188" width="13" style="313" customWidth="1"/>
    <col min="9189" max="9190" width="0" style="313" hidden="1" customWidth="1"/>
    <col min="9191" max="9191" width="13" style="313" customWidth="1"/>
    <col min="9192" max="9193" width="0" style="313" hidden="1" customWidth="1"/>
    <col min="9194" max="9196" width="9.28515625" style="313"/>
    <col min="9197" max="9197" width="10.7109375" style="313" customWidth="1"/>
    <col min="9198" max="9440" width="9.28515625" style="313"/>
    <col min="9441" max="9441" width="4.7109375" style="313" customWidth="1"/>
    <col min="9442" max="9442" width="3.5703125" style="313" customWidth="1"/>
    <col min="9443" max="9443" width="38.140625" style="313" customWidth="1"/>
    <col min="9444" max="9444" width="13" style="313" customWidth="1"/>
    <col min="9445" max="9446" width="0" style="313" hidden="1" customWidth="1"/>
    <col min="9447" max="9447" width="13" style="313" customWidth="1"/>
    <col min="9448" max="9449" width="0" style="313" hidden="1" customWidth="1"/>
    <col min="9450" max="9452" width="9.28515625" style="313"/>
    <col min="9453" max="9453" width="10.7109375" style="313" customWidth="1"/>
    <col min="9454" max="9696" width="9.28515625" style="313"/>
    <col min="9697" max="9697" width="4.7109375" style="313" customWidth="1"/>
    <col min="9698" max="9698" width="3.5703125" style="313" customWidth="1"/>
    <col min="9699" max="9699" width="38.140625" style="313" customWidth="1"/>
    <col min="9700" max="9700" width="13" style="313" customWidth="1"/>
    <col min="9701" max="9702" width="0" style="313" hidden="1" customWidth="1"/>
    <col min="9703" max="9703" width="13" style="313" customWidth="1"/>
    <col min="9704" max="9705" width="0" style="313" hidden="1" customWidth="1"/>
    <col min="9706" max="9708" width="9.28515625" style="313"/>
    <col min="9709" max="9709" width="10.7109375" style="313" customWidth="1"/>
    <col min="9710" max="9952" width="9.28515625" style="313"/>
    <col min="9953" max="9953" width="4.7109375" style="313" customWidth="1"/>
    <col min="9954" max="9954" width="3.5703125" style="313" customWidth="1"/>
    <col min="9955" max="9955" width="38.140625" style="313" customWidth="1"/>
    <col min="9956" max="9956" width="13" style="313" customWidth="1"/>
    <col min="9957" max="9958" width="0" style="313" hidden="1" customWidth="1"/>
    <col min="9959" max="9959" width="13" style="313" customWidth="1"/>
    <col min="9960" max="9961" width="0" style="313" hidden="1" customWidth="1"/>
    <col min="9962" max="9964" width="9.28515625" style="313"/>
    <col min="9965" max="9965" width="10.7109375" style="313" customWidth="1"/>
    <col min="9966" max="10208" width="9.28515625" style="313"/>
    <col min="10209" max="10209" width="4.7109375" style="313" customWidth="1"/>
    <col min="10210" max="10210" width="3.5703125" style="313" customWidth="1"/>
    <col min="10211" max="10211" width="38.140625" style="313" customWidth="1"/>
    <col min="10212" max="10212" width="13" style="313" customWidth="1"/>
    <col min="10213" max="10214" width="0" style="313" hidden="1" customWidth="1"/>
    <col min="10215" max="10215" width="13" style="313" customWidth="1"/>
    <col min="10216" max="10217" width="0" style="313" hidden="1" customWidth="1"/>
    <col min="10218" max="10220" width="9.28515625" style="313"/>
    <col min="10221" max="10221" width="10.7109375" style="313" customWidth="1"/>
    <col min="10222" max="10464" width="9.28515625" style="313"/>
    <col min="10465" max="10465" width="4.7109375" style="313" customWidth="1"/>
    <col min="10466" max="10466" width="3.5703125" style="313" customWidth="1"/>
    <col min="10467" max="10467" width="38.140625" style="313" customWidth="1"/>
    <col min="10468" max="10468" width="13" style="313" customWidth="1"/>
    <col min="10469" max="10470" width="0" style="313" hidden="1" customWidth="1"/>
    <col min="10471" max="10471" width="13" style="313" customWidth="1"/>
    <col min="10472" max="10473" width="0" style="313" hidden="1" customWidth="1"/>
    <col min="10474" max="10476" width="9.28515625" style="313"/>
    <col min="10477" max="10477" width="10.7109375" style="313" customWidth="1"/>
    <col min="10478" max="10720" width="9.28515625" style="313"/>
    <col min="10721" max="10721" width="4.7109375" style="313" customWidth="1"/>
    <col min="10722" max="10722" width="3.5703125" style="313" customWidth="1"/>
    <col min="10723" max="10723" width="38.140625" style="313" customWidth="1"/>
    <col min="10724" max="10724" width="13" style="313" customWidth="1"/>
    <col min="10725" max="10726" width="0" style="313" hidden="1" customWidth="1"/>
    <col min="10727" max="10727" width="13" style="313" customWidth="1"/>
    <col min="10728" max="10729" width="0" style="313" hidden="1" customWidth="1"/>
    <col min="10730" max="10732" width="9.28515625" style="313"/>
    <col min="10733" max="10733" width="10.7109375" style="313" customWidth="1"/>
    <col min="10734" max="10976" width="9.28515625" style="313"/>
    <col min="10977" max="10977" width="4.7109375" style="313" customWidth="1"/>
    <col min="10978" max="10978" width="3.5703125" style="313" customWidth="1"/>
    <col min="10979" max="10979" width="38.140625" style="313" customWidth="1"/>
    <col min="10980" max="10980" width="13" style="313" customWidth="1"/>
    <col min="10981" max="10982" width="0" style="313" hidden="1" customWidth="1"/>
    <col min="10983" max="10983" width="13" style="313" customWidth="1"/>
    <col min="10984" max="10985" width="0" style="313" hidden="1" customWidth="1"/>
    <col min="10986" max="10988" width="9.28515625" style="313"/>
    <col min="10989" max="10989" width="10.7109375" style="313" customWidth="1"/>
    <col min="10990" max="11232" width="9.28515625" style="313"/>
    <col min="11233" max="11233" width="4.7109375" style="313" customWidth="1"/>
    <col min="11234" max="11234" width="3.5703125" style="313" customWidth="1"/>
    <col min="11235" max="11235" width="38.140625" style="313" customWidth="1"/>
    <col min="11236" max="11236" width="13" style="313" customWidth="1"/>
    <col min="11237" max="11238" width="0" style="313" hidden="1" customWidth="1"/>
    <col min="11239" max="11239" width="13" style="313" customWidth="1"/>
    <col min="11240" max="11241" width="0" style="313" hidden="1" customWidth="1"/>
    <col min="11242" max="11244" width="9.28515625" style="313"/>
    <col min="11245" max="11245" width="10.7109375" style="313" customWidth="1"/>
    <col min="11246" max="11488" width="9.28515625" style="313"/>
    <col min="11489" max="11489" width="4.7109375" style="313" customWidth="1"/>
    <col min="11490" max="11490" width="3.5703125" style="313" customWidth="1"/>
    <col min="11491" max="11491" width="38.140625" style="313" customWidth="1"/>
    <col min="11492" max="11492" width="13" style="313" customWidth="1"/>
    <col min="11493" max="11494" width="0" style="313" hidden="1" customWidth="1"/>
    <col min="11495" max="11495" width="13" style="313" customWidth="1"/>
    <col min="11496" max="11497" width="0" style="313" hidden="1" customWidth="1"/>
    <col min="11498" max="11500" width="9.28515625" style="313"/>
    <col min="11501" max="11501" width="10.7109375" style="313" customWidth="1"/>
    <col min="11502" max="11744" width="9.28515625" style="313"/>
    <col min="11745" max="11745" width="4.7109375" style="313" customWidth="1"/>
    <col min="11746" max="11746" width="3.5703125" style="313" customWidth="1"/>
    <col min="11747" max="11747" width="38.140625" style="313" customWidth="1"/>
    <col min="11748" max="11748" width="13" style="313" customWidth="1"/>
    <col min="11749" max="11750" width="0" style="313" hidden="1" customWidth="1"/>
    <col min="11751" max="11751" width="13" style="313" customWidth="1"/>
    <col min="11752" max="11753" width="0" style="313" hidden="1" customWidth="1"/>
    <col min="11754" max="11756" width="9.28515625" style="313"/>
    <col min="11757" max="11757" width="10.7109375" style="313" customWidth="1"/>
    <col min="11758" max="12000" width="9.28515625" style="313"/>
    <col min="12001" max="12001" width="4.7109375" style="313" customWidth="1"/>
    <col min="12002" max="12002" width="3.5703125" style="313" customWidth="1"/>
    <col min="12003" max="12003" width="38.140625" style="313" customWidth="1"/>
    <col min="12004" max="12004" width="13" style="313" customWidth="1"/>
    <col min="12005" max="12006" width="0" style="313" hidden="1" customWidth="1"/>
    <col min="12007" max="12007" width="13" style="313" customWidth="1"/>
    <col min="12008" max="12009" width="0" style="313" hidden="1" customWidth="1"/>
    <col min="12010" max="12012" width="9.28515625" style="313"/>
    <col min="12013" max="12013" width="10.7109375" style="313" customWidth="1"/>
    <col min="12014" max="12256" width="9.28515625" style="313"/>
    <col min="12257" max="12257" width="4.7109375" style="313" customWidth="1"/>
    <col min="12258" max="12258" width="3.5703125" style="313" customWidth="1"/>
    <col min="12259" max="12259" width="38.140625" style="313" customWidth="1"/>
    <col min="12260" max="12260" width="13" style="313" customWidth="1"/>
    <col min="12261" max="12262" width="0" style="313" hidden="1" customWidth="1"/>
    <col min="12263" max="12263" width="13" style="313" customWidth="1"/>
    <col min="12264" max="12265" width="0" style="313" hidden="1" customWidth="1"/>
    <col min="12266" max="12268" width="9.28515625" style="313"/>
    <col min="12269" max="12269" width="10.7109375" style="313" customWidth="1"/>
    <col min="12270" max="12512" width="9.28515625" style="313"/>
    <col min="12513" max="12513" width="4.7109375" style="313" customWidth="1"/>
    <col min="12514" max="12514" width="3.5703125" style="313" customWidth="1"/>
    <col min="12515" max="12515" width="38.140625" style="313" customWidth="1"/>
    <col min="12516" max="12516" width="13" style="313" customWidth="1"/>
    <col min="12517" max="12518" width="0" style="313" hidden="1" customWidth="1"/>
    <col min="12519" max="12519" width="13" style="313" customWidth="1"/>
    <col min="12520" max="12521" width="0" style="313" hidden="1" customWidth="1"/>
    <col min="12522" max="12524" width="9.28515625" style="313"/>
    <col min="12525" max="12525" width="10.7109375" style="313" customWidth="1"/>
    <col min="12526" max="12768" width="9.28515625" style="313"/>
    <col min="12769" max="12769" width="4.7109375" style="313" customWidth="1"/>
    <col min="12770" max="12770" width="3.5703125" style="313" customWidth="1"/>
    <col min="12771" max="12771" width="38.140625" style="313" customWidth="1"/>
    <col min="12772" max="12772" width="13" style="313" customWidth="1"/>
    <col min="12773" max="12774" width="0" style="313" hidden="1" customWidth="1"/>
    <col min="12775" max="12775" width="13" style="313" customWidth="1"/>
    <col min="12776" max="12777" width="0" style="313" hidden="1" customWidth="1"/>
    <col min="12778" max="12780" width="9.28515625" style="313"/>
    <col min="12781" max="12781" width="10.7109375" style="313" customWidth="1"/>
    <col min="12782" max="13024" width="9.28515625" style="313"/>
    <col min="13025" max="13025" width="4.7109375" style="313" customWidth="1"/>
    <col min="13026" max="13026" width="3.5703125" style="313" customWidth="1"/>
    <col min="13027" max="13027" width="38.140625" style="313" customWidth="1"/>
    <col min="13028" max="13028" width="13" style="313" customWidth="1"/>
    <col min="13029" max="13030" width="0" style="313" hidden="1" customWidth="1"/>
    <col min="13031" max="13031" width="13" style="313" customWidth="1"/>
    <col min="13032" max="13033" width="0" style="313" hidden="1" customWidth="1"/>
    <col min="13034" max="13036" width="9.28515625" style="313"/>
    <col min="13037" max="13037" width="10.7109375" style="313" customWidth="1"/>
    <col min="13038" max="13280" width="9.28515625" style="313"/>
    <col min="13281" max="13281" width="4.7109375" style="313" customWidth="1"/>
    <col min="13282" max="13282" width="3.5703125" style="313" customWidth="1"/>
    <col min="13283" max="13283" width="38.140625" style="313" customWidth="1"/>
    <col min="13284" max="13284" width="13" style="313" customWidth="1"/>
    <col min="13285" max="13286" width="0" style="313" hidden="1" customWidth="1"/>
    <col min="13287" max="13287" width="13" style="313" customWidth="1"/>
    <col min="13288" max="13289" width="0" style="313" hidden="1" customWidth="1"/>
    <col min="13290" max="13292" width="9.28515625" style="313"/>
    <col min="13293" max="13293" width="10.7109375" style="313" customWidth="1"/>
    <col min="13294" max="13536" width="9.28515625" style="313"/>
    <col min="13537" max="13537" width="4.7109375" style="313" customWidth="1"/>
    <col min="13538" max="13538" width="3.5703125" style="313" customWidth="1"/>
    <col min="13539" max="13539" width="38.140625" style="313" customWidth="1"/>
    <col min="13540" max="13540" width="13" style="313" customWidth="1"/>
    <col min="13541" max="13542" width="0" style="313" hidden="1" customWidth="1"/>
    <col min="13543" max="13543" width="13" style="313" customWidth="1"/>
    <col min="13544" max="13545" width="0" style="313" hidden="1" customWidth="1"/>
    <col min="13546" max="13548" width="9.28515625" style="313"/>
    <col min="13549" max="13549" width="10.7109375" style="313" customWidth="1"/>
    <col min="13550" max="13792" width="9.28515625" style="313"/>
    <col min="13793" max="13793" width="4.7109375" style="313" customWidth="1"/>
    <col min="13794" max="13794" width="3.5703125" style="313" customWidth="1"/>
    <col min="13795" max="13795" width="38.140625" style="313" customWidth="1"/>
    <col min="13796" max="13796" width="13" style="313" customWidth="1"/>
    <col min="13797" max="13798" width="0" style="313" hidden="1" customWidth="1"/>
    <col min="13799" max="13799" width="13" style="313" customWidth="1"/>
    <col min="13800" max="13801" width="0" style="313" hidden="1" customWidth="1"/>
    <col min="13802" max="13804" width="9.28515625" style="313"/>
    <col min="13805" max="13805" width="10.7109375" style="313" customWidth="1"/>
    <col min="13806" max="14048" width="9.28515625" style="313"/>
    <col min="14049" max="14049" width="4.7109375" style="313" customWidth="1"/>
    <col min="14050" max="14050" width="3.5703125" style="313" customWidth="1"/>
    <col min="14051" max="14051" width="38.140625" style="313" customWidth="1"/>
    <col min="14052" max="14052" width="13" style="313" customWidth="1"/>
    <col min="14053" max="14054" width="0" style="313" hidden="1" customWidth="1"/>
    <col min="14055" max="14055" width="13" style="313" customWidth="1"/>
    <col min="14056" max="14057" width="0" style="313" hidden="1" customWidth="1"/>
    <col min="14058" max="14060" width="9.28515625" style="313"/>
    <col min="14061" max="14061" width="10.7109375" style="313" customWidth="1"/>
    <col min="14062" max="14304" width="9.28515625" style="313"/>
    <col min="14305" max="14305" width="4.7109375" style="313" customWidth="1"/>
    <col min="14306" max="14306" width="3.5703125" style="313" customWidth="1"/>
    <col min="14307" max="14307" width="38.140625" style="313" customWidth="1"/>
    <col min="14308" max="14308" width="13" style="313" customWidth="1"/>
    <col min="14309" max="14310" width="0" style="313" hidden="1" customWidth="1"/>
    <col min="14311" max="14311" width="13" style="313" customWidth="1"/>
    <col min="14312" max="14313" width="0" style="313" hidden="1" customWidth="1"/>
    <col min="14314" max="14316" width="9.28515625" style="313"/>
    <col min="14317" max="14317" width="10.7109375" style="313" customWidth="1"/>
    <col min="14318" max="14560" width="9.28515625" style="313"/>
    <col min="14561" max="14561" width="4.7109375" style="313" customWidth="1"/>
    <col min="14562" max="14562" width="3.5703125" style="313" customWidth="1"/>
    <col min="14563" max="14563" width="38.140625" style="313" customWidth="1"/>
    <col min="14564" max="14564" width="13" style="313" customWidth="1"/>
    <col min="14565" max="14566" width="0" style="313" hidden="1" customWidth="1"/>
    <col min="14567" max="14567" width="13" style="313" customWidth="1"/>
    <col min="14568" max="14569" width="0" style="313" hidden="1" customWidth="1"/>
    <col min="14570" max="14572" width="9.28515625" style="313"/>
    <col min="14573" max="14573" width="10.7109375" style="313" customWidth="1"/>
    <col min="14574" max="14816" width="9.28515625" style="313"/>
    <col min="14817" max="14817" width="4.7109375" style="313" customWidth="1"/>
    <col min="14818" max="14818" width="3.5703125" style="313" customWidth="1"/>
    <col min="14819" max="14819" width="38.140625" style="313" customWidth="1"/>
    <col min="14820" max="14820" width="13" style="313" customWidth="1"/>
    <col min="14821" max="14822" width="0" style="313" hidden="1" customWidth="1"/>
    <col min="14823" max="14823" width="13" style="313" customWidth="1"/>
    <col min="14824" max="14825" width="0" style="313" hidden="1" customWidth="1"/>
    <col min="14826" max="14828" width="9.28515625" style="313"/>
    <col min="14829" max="14829" width="10.7109375" style="313" customWidth="1"/>
    <col min="14830" max="15072" width="9.28515625" style="313"/>
    <col min="15073" max="15073" width="4.7109375" style="313" customWidth="1"/>
    <col min="15074" max="15074" width="3.5703125" style="313" customWidth="1"/>
    <col min="15075" max="15075" width="38.140625" style="313" customWidth="1"/>
    <col min="15076" max="15076" width="13" style="313" customWidth="1"/>
    <col min="15077" max="15078" width="0" style="313" hidden="1" customWidth="1"/>
    <col min="15079" max="15079" width="13" style="313" customWidth="1"/>
    <col min="15080" max="15081" width="0" style="313" hidden="1" customWidth="1"/>
    <col min="15082" max="15084" width="9.28515625" style="313"/>
    <col min="15085" max="15085" width="10.7109375" style="313" customWidth="1"/>
    <col min="15086" max="15328" width="9.28515625" style="313"/>
    <col min="15329" max="15329" width="4.7109375" style="313" customWidth="1"/>
    <col min="15330" max="15330" width="3.5703125" style="313" customWidth="1"/>
    <col min="15331" max="15331" width="38.140625" style="313" customWidth="1"/>
    <col min="15332" max="15332" width="13" style="313" customWidth="1"/>
    <col min="15333" max="15334" width="0" style="313" hidden="1" customWidth="1"/>
    <col min="15335" max="15335" width="13" style="313" customWidth="1"/>
    <col min="15336" max="15337" width="0" style="313" hidden="1" customWidth="1"/>
    <col min="15338" max="15340" width="9.28515625" style="313"/>
    <col min="15341" max="15341" width="10.7109375" style="313" customWidth="1"/>
    <col min="15342" max="15584" width="9.28515625" style="313"/>
    <col min="15585" max="15585" width="4.7109375" style="313" customWidth="1"/>
    <col min="15586" max="15586" width="3.5703125" style="313" customWidth="1"/>
    <col min="15587" max="15587" width="38.140625" style="313" customWidth="1"/>
    <col min="15588" max="15588" width="13" style="313" customWidth="1"/>
    <col min="15589" max="15590" width="0" style="313" hidden="1" customWidth="1"/>
    <col min="15591" max="15591" width="13" style="313" customWidth="1"/>
    <col min="15592" max="15593" width="0" style="313" hidden="1" customWidth="1"/>
    <col min="15594" max="15596" width="9.28515625" style="313"/>
    <col min="15597" max="15597" width="10.7109375" style="313" customWidth="1"/>
    <col min="15598" max="15840" width="9.28515625" style="313"/>
    <col min="15841" max="15841" width="4.7109375" style="313" customWidth="1"/>
    <col min="15842" max="15842" width="3.5703125" style="313" customWidth="1"/>
    <col min="15843" max="15843" width="38.140625" style="313" customWidth="1"/>
    <col min="15844" max="15844" width="13" style="313" customWidth="1"/>
    <col min="15845" max="15846" width="0" style="313" hidden="1" customWidth="1"/>
    <col min="15847" max="15847" width="13" style="313" customWidth="1"/>
    <col min="15848" max="15849" width="0" style="313" hidden="1" customWidth="1"/>
    <col min="15850" max="15852" width="9.28515625" style="313"/>
    <col min="15853" max="15853" width="10.7109375" style="313" customWidth="1"/>
    <col min="15854" max="16096" width="9.28515625" style="313"/>
    <col min="16097" max="16097" width="4.7109375" style="313" customWidth="1"/>
    <col min="16098" max="16098" width="3.5703125" style="313" customWidth="1"/>
    <col min="16099" max="16099" width="38.140625" style="313" customWidth="1"/>
    <col min="16100" max="16100" width="13" style="313" customWidth="1"/>
    <col min="16101" max="16102" width="0" style="313" hidden="1" customWidth="1"/>
    <col min="16103" max="16103" width="13" style="313" customWidth="1"/>
    <col min="16104" max="16105" width="0" style="313" hidden="1" customWidth="1"/>
    <col min="16106" max="16108" width="9.28515625" style="313"/>
    <col min="16109" max="16109" width="10.7109375" style="313" customWidth="1"/>
    <col min="16110" max="16384" width="9.28515625" style="313"/>
  </cols>
  <sheetData>
    <row r="1" spans="1:24" ht="15.75" thickBot="1" x14ac:dyDescent="0.3">
      <c r="A1" s="397" t="s">
        <v>2512</v>
      </c>
      <c r="B1" s="398"/>
      <c r="C1" s="398"/>
      <c r="D1" s="398"/>
      <c r="E1" s="398"/>
      <c r="F1" s="398"/>
      <c r="G1" s="398"/>
      <c r="H1" s="398"/>
      <c r="I1" s="398"/>
      <c r="J1" s="398"/>
    </row>
    <row r="2" spans="1:24" ht="58.9" customHeight="1" x14ac:dyDescent="0.25">
      <c r="A2" s="399" t="s">
        <v>34</v>
      </c>
      <c r="B2" s="400" t="s">
        <v>2468</v>
      </c>
      <c r="C2" s="401" t="s">
        <v>2469</v>
      </c>
      <c r="D2" s="402" t="s">
        <v>2470</v>
      </c>
      <c r="E2" s="454" t="s">
        <v>1809</v>
      </c>
      <c r="F2" s="201" t="s">
        <v>2513</v>
      </c>
      <c r="G2" s="201" t="s">
        <v>2514</v>
      </c>
      <c r="H2" s="454" t="s">
        <v>2515</v>
      </c>
      <c r="I2" s="200" t="s">
        <v>2516</v>
      </c>
      <c r="J2" s="404" t="s">
        <v>2472</v>
      </c>
      <c r="U2" s="313" t="s">
        <v>1810</v>
      </c>
      <c r="X2" s="313" t="s">
        <v>2521</v>
      </c>
    </row>
    <row r="3" spans="1:24" ht="13.9" customHeight="1" thickBot="1" x14ac:dyDescent="0.3">
      <c r="A3" s="408"/>
      <c r="B3" s="409"/>
      <c r="C3" s="410"/>
      <c r="D3" s="411" t="s">
        <v>2476</v>
      </c>
      <c r="E3" s="455">
        <v>190000</v>
      </c>
      <c r="F3" s="448"/>
      <c r="G3" s="448"/>
      <c r="H3" s="455">
        <v>29938.9</v>
      </c>
      <c r="I3" s="456"/>
      <c r="J3" s="448"/>
    </row>
    <row r="4" spans="1:24" ht="9.6" customHeight="1" x14ac:dyDescent="0.25">
      <c r="A4" s="415"/>
      <c r="B4" s="416"/>
      <c r="C4" s="417"/>
      <c r="D4" s="418" t="s">
        <v>2477</v>
      </c>
      <c r="E4" s="457"/>
      <c r="F4" s="420"/>
      <c r="G4" s="420"/>
      <c r="H4" s="457"/>
      <c r="I4" s="458"/>
      <c r="J4" s="420"/>
      <c r="Q4" s="313" t="s">
        <v>1654</v>
      </c>
      <c r="R4" s="313" t="s">
        <v>2517</v>
      </c>
      <c r="S4" s="313" t="s">
        <v>2518</v>
      </c>
      <c r="T4" s="313" t="s">
        <v>2519</v>
      </c>
      <c r="U4" s="313" t="s">
        <v>1810</v>
      </c>
      <c r="V4" s="313" t="s">
        <v>2539</v>
      </c>
      <c r="W4" s="313" t="s">
        <v>2540</v>
      </c>
      <c r="X4" s="313" t="s">
        <v>2521</v>
      </c>
    </row>
    <row r="5" spans="1:24" ht="15.75" x14ac:dyDescent="0.25">
      <c r="A5" s="423" t="s">
        <v>2478</v>
      </c>
      <c r="B5" s="424">
        <v>4357</v>
      </c>
      <c r="C5" s="425">
        <v>13</v>
      </c>
      <c r="D5" s="426" t="s">
        <v>257</v>
      </c>
      <c r="E5" s="459">
        <v>20212</v>
      </c>
      <c r="F5" s="465">
        <v>5018.25</v>
      </c>
      <c r="G5" s="465">
        <v>5018.25</v>
      </c>
      <c r="H5" s="459">
        <v>964</v>
      </c>
      <c r="I5" s="461" t="e">
        <v>#REF!</v>
      </c>
      <c r="J5" s="428"/>
      <c r="L5" s="311" t="s">
        <v>257</v>
      </c>
      <c r="M5" s="459">
        <v>20212</v>
      </c>
      <c r="N5" s="470"/>
      <c r="O5" s="247">
        <v>5000179</v>
      </c>
      <c r="P5" s="313" t="s">
        <v>1806</v>
      </c>
      <c r="Q5" s="247">
        <v>5000179</v>
      </c>
      <c r="R5" s="247" t="s">
        <v>261</v>
      </c>
      <c r="S5" s="247" t="s">
        <v>257</v>
      </c>
      <c r="T5" s="247" t="s">
        <v>1310</v>
      </c>
      <c r="U5" s="291">
        <v>43047174.374081343</v>
      </c>
      <c r="V5" s="313">
        <f>VLOOKUP(S5,$S$55:$T$78,2,FALSE)</f>
        <v>70820956.828531101</v>
      </c>
      <c r="W5" s="313">
        <f>VLOOKUP(S5,$L$5:$M$28,2,FALSE)*1000</f>
        <v>20212000</v>
      </c>
      <c r="X5" s="313">
        <f>W5/V5*U5</f>
        <v>12285480.561290776</v>
      </c>
    </row>
    <row r="6" spans="1:24" ht="15.75" x14ac:dyDescent="0.25">
      <c r="A6" s="423" t="s">
        <v>2479</v>
      </c>
      <c r="B6" s="424">
        <v>4357</v>
      </c>
      <c r="C6" s="425">
        <v>14</v>
      </c>
      <c r="D6" s="431" t="s">
        <v>2480</v>
      </c>
      <c r="E6" s="459">
        <v>8484</v>
      </c>
      <c r="F6" s="465">
        <v>2002</v>
      </c>
      <c r="G6" s="465">
        <v>2002</v>
      </c>
      <c r="H6" s="459">
        <v>862</v>
      </c>
      <c r="I6" s="461" t="e">
        <v>#REF!</v>
      </c>
      <c r="J6" s="428"/>
      <c r="L6" s="311" t="s">
        <v>420</v>
      </c>
      <c r="M6" s="459">
        <v>8484</v>
      </c>
      <c r="N6" s="470"/>
      <c r="O6" s="256">
        <v>8504548</v>
      </c>
      <c r="P6" s="313" t="s">
        <v>1806</v>
      </c>
      <c r="Q6" s="256">
        <v>8504548</v>
      </c>
      <c r="R6" s="256" t="s">
        <v>769</v>
      </c>
      <c r="S6" s="256" t="s">
        <v>257</v>
      </c>
      <c r="T6" s="256" t="s">
        <v>1358</v>
      </c>
      <c r="U6" s="291">
        <v>24315023.422150649</v>
      </c>
      <c r="V6" s="313">
        <f t="shared" ref="V6:V51" si="0">VLOOKUP(S6,$S$55:$T$78,2,FALSE)</f>
        <v>70820956.828531101</v>
      </c>
      <c r="W6" s="313">
        <f t="shared" ref="W6:W51" si="1">VLOOKUP(S6,$L$5:$M$28,2,FALSE)*1000</f>
        <v>20212000</v>
      </c>
      <c r="X6" s="313">
        <f t="shared" ref="X6:X51" si="2">W6/V6*U6</f>
        <v>6939404.3150024218</v>
      </c>
    </row>
    <row r="7" spans="1:24" ht="15.75" x14ac:dyDescent="0.25">
      <c r="A7" s="423" t="s">
        <v>2481</v>
      </c>
      <c r="B7" s="424">
        <v>4357</v>
      </c>
      <c r="C7" s="425">
        <v>18</v>
      </c>
      <c r="D7" s="431" t="s">
        <v>2482</v>
      </c>
      <c r="E7" s="459">
        <v>12624</v>
      </c>
      <c r="F7" s="428">
        <v>2852.5</v>
      </c>
      <c r="G7" s="460">
        <v>2852.5</v>
      </c>
      <c r="H7" s="459">
        <v>1712</v>
      </c>
      <c r="I7" s="464" t="e">
        <v>#REF!</v>
      </c>
      <c r="J7" s="428"/>
      <c r="L7" s="311" t="s">
        <v>425</v>
      </c>
      <c r="M7" s="459">
        <v>12624</v>
      </c>
      <c r="N7" s="470"/>
      <c r="O7" s="247">
        <v>6163071</v>
      </c>
      <c r="P7" s="313" t="s">
        <v>1806</v>
      </c>
      <c r="Q7" s="247">
        <v>6163071</v>
      </c>
      <c r="R7" s="247" t="s">
        <v>1453</v>
      </c>
      <c r="S7" s="247" t="s">
        <v>257</v>
      </c>
      <c r="T7" s="247" t="s">
        <v>1452</v>
      </c>
      <c r="U7" s="291">
        <v>773502.96210955526</v>
      </c>
      <c r="V7" s="313">
        <f t="shared" si="0"/>
        <v>70820956.828531101</v>
      </c>
      <c r="W7" s="313">
        <f t="shared" si="1"/>
        <v>20212000</v>
      </c>
      <c r="X7" s="313">
        <f t="shared" si="2"/>
        <v>220754.45701772789</v>
      </c>
    </row>
    <row r="8" spans="1:24" ht="15.75" x14ac:dyDescent="0.25">
      <c r="A8" s="423" t="s">
        <v>2483</v>
      </c>
      <c r="B8" s="424">
        <v>4357</v>
      </c>
      <c r="C8" s="425">
        <v>28</v>
      </c>
      <c r="D8" s="431" t="s">
        <v>2484</v>
      </c>
      <c r="E8" s="459">
        <v>6662</v>
      </c>
      <c r="F8" s="465">
        <v>1850.5</v>
      </c>
      <c r="G8" s="465">
        <v>1850.5</v>
      </c>
      <c r="H8" s="459">
        <v>1184</v>
      </c>
      <c r="I8" s="461" t="e">
        <v>#REF!</v>
      </c>
      <c r="J8" s="428"/>
      <c r="L8" s="311" t="s">
        <v>435</v>
      </c>
      <c r="M8" s="459">
        <v>6662</v>
      </c>
      <c r="N8" s="470"/>
      <c r="O8" s="247">
        <v>3650770</v>
      </c>
      <c r="P8" s="313" t="s">
        <v>1806</v>
      </c>
      <c r="Q8" s="247">
        <v>3650770</v>
      </c>
      <c r="R8" s="247" t="s">
        <v>257</v>
      </c>
      <c r="S8" s="247" t="s">
        <v>257</v>
      </c>
      <c r="T8" s="247" t="s">
        <v>1480</v>
      </c>
      <c r="U8" s="291">
        <v>2685256.0701895705</v>
      </c>
      <c r="V8" s="313">
        <f t="shared" si="0"/>
        <v>70820956.828531101</v>
      </c>
      <c r="W8" s="313">
        <f t="shared" si="1"/>
        <v>20212000</v>
      </c>
      <c r="X8" s="313">
        <f t="shared" si="2"/>
        <v>766360.66668907937</v>
      </c>
    </row>
    <row r="9" spans="1:24" ht="15.75" x14ac:dyDescent="0.25">
      <c r="A9" s="435">
        <v>42886171</v>
      </c>
      <c r="B9" s="424">
        <v>4357</v>
      </c>
      <c r="C9" s="425">
        <v>1</v>
      </c>
      <c r="D9" s="426" t="s">
        <v>440</v>
      </c>
      <c r="E9" s="459">
        <v>6033</v>
      </c>
      <c r="F9" s="428">
        <v>1370.25</v>
      </c>
      <c r="G9" s="460">
        <v>1370.25</v>
      </c>
      <c r="H9" s="459">
        <v>1167</v>
      </c>
      <c r="I9" s="461" t="e">
        <v>#REF!</v>
      </c>
      <c r="J9" s="428"/>
      <c r="L9" s="311" t="s">
        <v>440</v>
      </c>
      <c r="M9" s="459">
        <v>6033</v>
      </c>
      <c r="N9" s="470"/>
      <c r="O9" s="247">
        <v>4721932</v>
      </c>
      <c r="P9" s="313" t="s">
        <v>1806</v>
      </c>
      <c r="Q9" s="247">
        <v>4721932</v>
      </c>
      <c r="R9" s="247" t="s">
        <v>420</v>
      </c>
      <c r="S9" s="247" t="s">
        <v>420</v>
      </c>
      <c r="T9" s="247" t="s">
        <v>1312</v>
      </c>
      <c r="U9" s="291">
        <v>33215261.641752195</v>
      </c>
      <c r="V9" s="313">
        <f t="shared" si="0"/>
        <v>33215261.641752195</v>
      </c>
      <c r="W9" s="313">
        <f t="shared" si="1"/>
        <v>8484000</v>
      </c>
      <c r="X9" s="313">
        <f t="shared" si="2"/>
        <v>8484000</v>
      </c>
    </row>
    <row r="10" spans="1:24" ht="15.75" x14ac:dyDescent="0.25">
      <c r="A10" s="435">
        <v>42886180</v>
      </c>
      <c r="B10" s="424">
        <v>4350</v>
      </c>
      <c r="C10" s="425">
        <v>2</v>
      </c>
      <c r="D10" s="426" t="s">
        <v>444</v>
      </c>
      <c r="E10" s="459">
        <v>5273</v>
      </c>
      <c r="F10" s="428">
        <v>1078.5</v>
      </c>
      <c r="G10" s="460">
        <v>1078.5</v>
      </c>
      <c r="H10" s="459">
        <v>514</v>
      </c>
      <c r="I10" s="461" t="e">
        <v>#REF!</v>
      </c>
      <c r="J10" s="428"/>
      <c r="L10" s="311" t="s">
        <v>444</v>
      </c>
      <c r="M10" s="459">
        <v>5273</v>
      </c>
      <c r="N10" s="470"/>
      <c r="O10" s="247">
        <v>3446957</v>
      </c>
      <c r="P10" s="313" t="s">
        <v>1806</v>
      </c>
      <c r="Q10" s="247">
        <v>3446957</v>
      </c>
      <c r="R10" s="247" t="s">
        <v>425</v>
      </c>
      <c r="S10" s="247" t="s">
        <v>425</v>
      </c>
      <c r="T10" s="247" t="s">
        <v>1288</v>
      </c>
      <c r="U10" s="291">
        <v>1032559.9409537764</v>
      </c>
      <c r="V10" s="313">
        <f t="shared" si="0"/>
        <v>44842781.124228522</v>
      </c>
      <c r="W10" s="313">
        <f t="shared" si="1"/>
        <v>12624000</v>
      </c>
      <c r="X10" s="313">
        <f t="shared" si="2"/>
        <v>290683.05684451963</v>
      </c>
    </row>
    <row r="11" spans="1:24" ht="15.75" x14ac:dyDescent="0.25">
      <c r="A11" s="423" t="s">
        <v>2485</v>
      </c>
      <c r="B11" s="424">
        <v>4357</v>
      </c>
      <c r="C11" s="425">
        <v>3</v>
      </c>
      <c r="D11" s="426" t="s">
        <v>2486</v>
      </c>
      <c r="E11" s="462">
        <v>9173</v>
      </c>
      <c r="F11" s="428">
        <v>2268.75</v>
      </c>
      <c r="G11" s="463">
        <v>2268.75</v>
      </c>
      <c r="H11" s="462">
        <v>1730</v>
      </c>
      <c r="I11" s="461" t="e">
        <v>#REF!</v>
      </c>
      <c r="J11" s="428"/>
      <c r="L11" s="311" t="s">
        <v>447</v>
      </c>
      <c r="M11" s="462">
        <v>9173</v>
      </c>
      <c r="N11" s="471"/>
      <c r="O11" s="247">
        <v>3473171</v>
      </c>
      <c r="P11" s="313" t="s">
        <v>1806</v>
      </c>
      <c r="Q11" s="247">
        <v>3473171</v>
      </c>
      <c r="R11" s="247" t="s">
        <v>425</v>
      </c>
      <c r="S11" s="247" t="s">
        <v>425</v>
      </c>
      <c r="T11" s="247" t="s">
        <v>1310</v>
      </c>
      <c r="U11" s="291">
        <v>36614806.545883656</v>
      </c>
      <c r="V11" s="313">
        <f t="shared" si="0"/>
        <v>44842781.124228522</v>
      </c>
      <c r="W11" s="313">
        <f t="shared" si="1"/>
        <v>12624000</v>
      </c>
      <c r="X11" s="313">
        <f t="shared" si="2"/>
        <v>10307686.237272542</v>
      </c>
    </row>
    <row r="12" spans="1:24" ht="15.75" x14ac:dyDescent="0.25">
      <c r="A12" s="423" t="s">
        <v>2487</v>
      </c>
      <c r="B12" s="424">
        <v>4350</v>
      </c>
      <c r="C12" s="425">
        <v>4</v>
      </c>
      <c r="D12" s="426" t="s">
        <v>453</v>
      </c>
      <c r="E12" s="459">
        <v>6700</v>
      </c>
      <c r="F12" s="465">
        <v>1410</v>
      </c>
      <c r="G12" s="465">
        <v>1410</v>
      </c>
      <c r="H12" s="459">
        <v>1037</v>
      </c>
      <c r="I12" s="461" t="e">
        <v>#REF!</v>
      </c>
      <c r="J12" s="428"/>
      <c r="L12" s="311" t="s">
        <v>453</v>
      </c>
      <c r="M12" s="459">
        <v>6700</v>
      </c>
      <c r="N12" s="470"/>
      <c r="O12" s="256">
        <v>6514817</v>
      </c>
      <c r="P12" s="313" t="s">
        <v>1806</v>
      </c>
      <c r="Q12" s="256">
        <v>6514817</v>
      </c>
      <c r="R12" s="256" t="s">
        <v>769</v>
      </c>
      <c r="S12" s="256" t="s">
        <v>425</v>
      </c>
      <c r="T12" s="256" t="s">
        <v>1347</v>
      </c>
      <c r="U12" s="291">
        <v>614210.56970961427</v>
      </c>
      <c r="V12" s="313">
        <f t="shared" si="0"/>
        <v>44842781.124228522</v>
      </c>
      <c r="W12" s="313">
        <f t="shared" si="1"/>
        <v>12624000</v>
      </c>
      <c r="X12" s="313">
        <f t="shared" si="2"/>
        <v>172910.64554033204</v>
      </c>
    </row>
    <row r="13" spans="1:24" ht="15.75" x14ac:dyDescent="0.25">
      <c r="A13" s="423" t="s">
        <v>2488</v>
      </c>
      <c r="B13" s="424">
        <v>4350</v>
      </c>
      <c r="C13" s="425">
        <v>6</v>
      </c>
      <c r="D13" s="426" t="s">
        <v>456</v>
      </c>
      <c r="E13" s="459">
        <v>2768</v>
      </c>
      <c r="F13" s="465">
        <v>637.5</v>
      </c>
      <c r="G13" s="465">
        <v>637.5</v>
      </c>
      <c r="H13" s="459">
        <v>438</v>
      </c>
      <c r="I13" s="464" t="e">
        <v>#REF!</v>
      </c>
      <c r="J13" s="428"/>
      <c r="L13" s="311" t="s">
        <v>456</v>
      </c>
      <c r="M13" s="459">
        <v>2768</v>
      </c>
      <c r="N13" s="470"/>
      <c r="O13" s="256">
        <v>6514817</v>
      </c>
      <c r="P13" s="313" t="s">
        <v>1806</v>
      </c>
      <c r="Q13" s="256">
        <v>6514817</v>
      </c>
      <c r="R13" s="256" t="s">
        <v>769</v>
      </c>
      <c r="S13" s="256" t="s">
        <v>425</v>
      </c>
      <c r="T13" s="256" t="s">
        <v>1352</v>
      </c>
      <c r="U13" s="291">
        <v>3237515.40291797</v>
      </c>
      <c r="V13" s="313">
        <f t="shared" si="0"/>
        <v>44842781.124228522</v>
      </c>
      <c r="W13" s="313">
        <f t="shared" si="1"/>
        <v>12624000</v>
      </c>
      <c r="X13" s="313">
        <f t="shared" si="2"/>
        <v>911415.24726605788</v>
      </c>
    </row>
    <row r="14" spans="1:24" ht="15.75" x14ac:dyDescent="0.25">
      <c r="A14" s="423" t="s">
        <v>2489</v>
      </c>
      <c r="B14" s="424">
        <v>4350</v>
      </c>
      <c r="C14" s="425">
        <v>8</v>
      </c>
      <c r="D14" s="426" t="s">
        <v>464</v>
      </c>
      <c r="E14" s="459">
        <v>2678</v>
      </c>
      <c r="F14" s="465">
        <v>659.75</v>
      </c>
      <c r="G14" s="465">
        <v>659.75</v>
      </c>
      <c r="H14" s="459">
        <v>369</v>
      </c>
      <c r="I14" s="461" t="e">
        <v>#REF!</v>
      </c>
      <c r="J14" s="428"/>
      <c r="L14" s="311" t="s">
        <v>464</v>
      </c>
      <c r="M14" s="459">
        <v>2678</v>
      </c>
      <c r="N14" s="470"/>
      <c r="O14" s="256">
        <v>6514817</v>
      </c>
      <c r="P14" s="313" t="s">
        <v>1806</v>
      </c>
      <c r="Q14" s="256">
        <v>6514817</v>
      </c>
      <c r="R14" s="256" t="s">
        <v>769</v>
      </c>
      <c r="S14" s="256" t="s">
        <v>425</v>
      </c>
      <c r="T14" s="256" t="s">
        <v>1353</v>
      </c>
      <c r="U14" s="291">
        <v>3343688.6647635116</v>
      </c>
      <c r="V14" s="313">
        <f t="shared" si="0"/>
        <v>44842781.124228522</v>
      </c>
      <c r="W14" s="313">
        <f t="shared" si="1"/>
        <v>12624000</v>
      </c>
      <c r="X14" s="313">
        <f t="shared" si="2"/>
        <v>941304.81307654991</v>
      </c>
    </row>
    <row r="15" spans="1:24" ht="15.75" x14ac:dyDescent="0.25">
      <c r="A15" s="423" t="s">
        <v>2490</v>
      </c>
      <c r="B15" s="424">
        <v>4350</v>
      </c>
      <c r="C15" s="425">
        <v>25</v>
      </c>
      <c r="D15" s="431" t="s">
        <v>467</v>
      </c>
      <c r="E15" s="459">
        <v>2770</v>
      </c>
      <c r="F15" s="465">
        <v>686.25</v>
      </c>
      <c r="G15" s="465">
        <v>686.25</v>
      </c>
      <c r="H15" s="459">
        <v>272.89999999999998</v>
      </c>
      <c r="I15" s="461" t="e">
        <v>#REF!</v>
      </c>
      <c r="J15" s="428"/>
      <c r="L15" s="311" t="s">
        <v>467</v>
      </c>
      <c r="M15" s="459">
        <v>2770</v>
      </c>
      <c r="N15" s="470"/>
      <c r="O15" s="247">
        <v>5651221</v>
      </c>
      <c r="P15" s="313" t="s">
        <v>1806</v>
      </c>
      <c r="Q15" s="247">
        <v>5651221</v>
      </c>
      <c r="R15" s="247" t="s">
        <v>435</v>
      </c>
      <c r="S15" s="247" t="s">
        <v>435</v>
      </c>
      <c r="T15" s="247" t="s">
        <v>1342</v>
      </c>
      <c r="U15" s="291">
        <v>18595469.590470783</v>
      </c>
      <c r="V15" s="313">
        <f t="shared" si="0"/>
        <v>18595469.590470783</v>
      </c>
      <c r="W15" s="313">
        <f t="shared" si="1"/>
        <v>6662000</v>
      </c>
      <c r="X15" s="313">
        <f t="shared" si="2"/>
        <v>6662000</v>
      </c>
    </row>
    <row r="16" spans="1:24" ht="15.75" x14ac:dyDescent="0.25">
      <c r="A16" s="423" t="s">
        <v>2491</v>
      </c>
      <c r="B16" s="424">
        <v>4350</v>
      </c>
      <c r="C16" s="425">
        <v>26</v>
      </c>
      <c r="D16" s="431" t="s">
        <v>472</v>
      </c>
      <c r="E16" s="459">
        <v>6386</v>
      </c>
      <c r="F16" s="465">
        <v>1596.75</v>
      </c>
      <c r="G16" s="466">
        <v>1596.75</v>
      </c>
      <c r="H16" s="459">
        <v>813</v>
      </c>
      <c r="I16" s="461" t="e">
        <v>#REF!</v>
      </c>
      <c r="J16" s="428"/>
      <c r="L16" s="311" t="s">
        <v>472</v>
      </c>
      <c r="M16" s="459">
        <v>6386</v>
      </c>
      <c r="N16" s="470"/>
      <c r="O16" s="247">
        <v>1450637</v>
      </c>
      <c r="P16" s="313" t="s">
        <v>1806</v>
      </c>
      <c r="Q16" s="247">
        <v>1450637</v>
      </c>
      <c r="R16" s="247" t="s">
        <v>440</v>
      </c>
      <c r="S16" s="247" t="s">
        <v>440</v>
      </c>
      <c r="T16" s="247" t="s">
        <v>1335</v>
      </c>
      <c r="U16" s="291">
        <v>27484085.005208258</v>
      </c>
      <c r="V16" s="313">
        <f t="shared" si="0"/>
        <v>27484085.005208258</v>
      </c>
      <c r="W16" s="313">
        <f t="shared" si="1"/>
        <v>6033000</v>
      </c>
      <c r="X16" s="313">
        <f t="shared" si="2"/>
        <v>6033000</v>
      </c>
    </row>
    <row r="17" spans="1:24" ht="15.75" x14ac:dyDescent="0.25">
      <c r="A17" s="423" t="s">
        <v>2492</v>
      </c>
      <c r="B17" s="424">
        <v>4350</v>
      </c>
      <c r="C17" s="425">
        <v>27</v>
      </c>
      <c r="D17" s="431" t="s">
        <v>477</v>
      </c>
      <c r="E17" s="459">
        <v>3655</v>
      </c>
      <c r="F17" s="465">
        <v>838.25</v>
      </c>
      <c r="G17" s="465">
        <v>838.25</v>
      </c>
      <c r="H17" s="459">
        <v>1344</v>
      </c>
      <c r="I17" s="461" t="e">
        <v>#REF!</v>
      </c>
      <c r="J17" s="428"/>
      <c r="L17" s="311" t="s">
        <v>477</v>
      </c>
      <c r="M17" s="459">
        <v>3655</v>
      </c>
      <c r="N17" s="470"/>
      <c r="O17" s="247">
        <v>6581899</v>
      </c>
      <c r="P17" s="313" t="s">
        <v>1806</v>
      </c>
      <c r="Q17" s="247">
        <v>6581899</v>
      </c>
      <c r="R17" s="247" t="s">
        <v>444</v>
      </c>
      <c r="S17" s="247" t="s">
        <v>444</v>
      </c>
      <c r="T17" s="247" t="s">
        <v>1330</v>
      </c>
      <c r="U17" s="291">
        <v>23544168.980021723</v>
      </c>
      <c r="V17" s="313">
        <f t="shared" si="0"/>
        <v>23544168.980021723</v>
      </c>
      <c r="W17" s="313">
        <f t="shared" si="1"/>
        <v>5273000</v>
      </c>
      <c r="X17" s="313">
        <f t="shared" si="2"/>
        <v>5273000</v>
      </c>
    </row>
    <row r="18" spans="1:24" ht="15.75" x14ac:dyDescent="0.25">
      <c r="A18" s="423" t="s">
        <v>2493</v>
      </c>
      <c r="B18" s="424">
        <v>4350</v>
      </c>
      <c r="C18" s="425">
        <v>9</v>
      </c>
      <c r="D18" s="426" t="s">
        <v>480</v>
      </c>
      <c r="E18" s="459">
        <v>10019</v>
      </c>
      <c r="F18" s="465">
        <v>1972.25</v>
      </c>
      <c r="G18" s="466">
        <v>1972.25</v>
      </c>
      <c r="H18" s="459">
        <v>662</v>
      </c>
      <c r="I18" s="461" t="e">
        <v>#REF!</v>
      </c>
      <c r="J18" s="428"/>
      <c r="L18" s="311" t="s">
        <v>480</v>
      </c>
      <c r="M18" s="459">
        <v>10019</v>
      </c>
      <c r="N18" s="470"/>
      <c r="O18" s="247">
        <v>2837121</v>
      </c>
      <c r="P18" s="313" t="s">
        <v>1806</v>
      </c>
      <c r="Q18" s="247">
        <v>2837121</v>
      </c>
      <c r="R18" s="247" t="s">
        <v>447</v>
      </c>
      <c r="S18" s="247" t="s">
        <v>447</v>
      </c>
      <c r="T18" s="247" t="s">
        <v>1320</v>
      </c>
      <c r="U18" s="291">
        <v>5603903.9405486807</v>
      </c>
      <c r="V18" s="313">
        <f t="shared" si="0"/>
        <v>31295625.281929575</v>
      </c>
      <c r="W18" s="313">
        <f t="shared" si="1"/>
        <v>9173000</v>
      </c>
      <c r="X18" s="313">
        <f t="shared" si="2"/>
        <v>1642549.4101354356</v>
      </c>
    </row>
    <row r="19" spans="1:24" ht="15.75" x14ac:dyDescent="0.25">
      <c r="A19" s="423" t="s">
        <v>2494</v>
      </c>
      <c r="B19" s="424">
        <v>4357</v>
      </c>
      <c r="C19" s="425">
        <v>19</v>
      </c>
      <c r="D19" s="439" t="s">
        <v>2495</v>
      </c>
      <c r="E19" s="459">
        <v>9235</v>
      </c>
      <c r="F19" s="465">
        <v>2103.5</v>
      </c>
      <c r="G19" s="465">
        <v>2103.5</v>
      </c>
      <c r="H19" s="459">
        <v>986</v>
      </c>
      <c r="I19" s="461" t="e">
        <v>#REF!</v>
      </c>
      <c r="J19" s="428"/>
      <c r="L19" s="311" t="s">
        <v>485</v>
      </c>
      <c r="M19" s="459">
        <v>9235</v>
      </c>
      <c r="N19" s="470"/>
      <c r="O19" s="247">
        <v>3754207</v>
      </c>
      <c r="P19" s="313" t="s">
        <v>1806</v>
      </c>
      <c r="Q19" s="247">
        <v>3754207</v>
      </c>
      <c r="R19" s="247" t="s">
        <v>447</v>
      </c>
      <c r="S19" s="247" t="s">
        <v>447</v>
      </c>
      <c r="T19" s="247" t="s">
        <v>1339</v>
      </c>
      <c r="U19" s="291">
        <v>25691721.341380894</v>
      </c>
      <c r="V19" s="313">
        <f t="shared" si="0"/>
        <v>31295625.281929575</v>
      </c>
      <c r="W19" s="313">
        <f t="shared" si="1"/>
        <v>9173000</v>
      </c>
      <c r="X19" s="313">
        <f t="shared" si="2"/>
        <v>7530450.5898645641</v>
      </c>
    </row>
    <row r="20" spans="1:24" ht="15.75" x14ac:dyDescent="0.25">
      <c r="A20" s="423" t="s">
        <v>2496</v>
      </c>
      <c r="B20" s="424">
        <v>4350</v>
      </c>
      <c r="C20" s="425">
        <v>10</v>
      </c>
      <c r="D20" s="426" t="s">
        <v>496</v>
      </c>
      <c r="E20" s="459">
        <v>2813</v>
      </c>
      <c r="F20" s="465">
        <v>751.5</v>
      </c>
      <c r="G20" s="465">
        <v>751.5</v>
      </c>
      <c r="H20" s="459">
        <v>269</v>
      </c>
      <c r="I20" s="461" t="e">
        <v>#REF!</v>
      </c>
      <c r="J20" s="428"/>
      <c r="L20" s="311" t="s">
        <v>496</v>
      </c>
      <c r="M20" s="459">
        <v>2813</v>
      </c>
      <c r="N20" s="470"/>
      <c r="O20" s="247">
        <v>4753225</v>
      </c>
      <c r="P20" s="313" t="s">
        <v>1806</v>
      </c>
      <c r="Q20" s="247">
        <v>4753225</v>
      </c>
      <c r="R20" s="247" t="s">
        <v>453</v>
      </c>
      <c r="S20" s="247" t="s">
        <v>453</v>
      </c>
      <c r="T20" s="247" t="s">
        <v>1325</v>
      </c>
      <c r="U20" s="291">
        <v>20392282.173444685</v>
      </c>
      <c r="V20" s="313">
        <f t="shared" si="0"/>
        <v>20392282.173444685</v>
      </c>
      <c r="W20" s="313">
        <f t="shared" si="1"/>
        <v>6700000</v>
      </c>
      <c r="X20" s="313">
        <f t="shared" si="2"/>
        <v>6700000</v>
      </c>
    </row>
    <row r="21" spans="1:24" ht="15.75" x14ac:dyDescent="0.25">
      <c r="A21" s="423" t="s">
        <v>2497</v>
      </c>
      <c r="B21" s="424">
        <v>4350</v>
      </c>
      <c r="C21" s="425">
        <v>11</v>
      </c>
      <c r="D21" s="426" t="s">
        <v>502</v>
      </c>
      <c r="E21" s="459">
        <v>4666</v>
      </c>
      <c r="F21" s="465">
        <v>991.5</v>
      </c>
      <c r="G21" s="465">
        <v>991.5</v>
      </c>
      <c r="H21" s="459">
        <v>972</v>
      </c>
      <c r="I21" s="461" t="e">
        <v>#REF!</v>
      </c>
      <c r="J21" s="428"/>
      <c r="L21" s="311" t="s">
        <v>502</v>
      </c>
      <c r="M21" s="459">
        <v>4666</v>
      </c>
      <c r="N21" s="470"/>
      <c r="O21" s="247">
        <v>5040302</v>
      </c>
      <c r="P21" s="313" t="s">
        <v>1806</v>
      </c>
      <c r="Q21" s="247">
        <v>5040302</v>
      </c>
      <c r="R21" s="247" t="s">
        <v>456</v>
      </c>
      <c r="S21" s="247" t="s">
        <v>456</v>
      </c>
      <c r="T21" s="247" t="s">
        <v>1326</v>
      </c>
      <c r="U21" s="291">
        <v>10920004.97769383</v>
      </c>
      <c r="V21" s="313">
        <f t="shared" si="0"/>
        <v>10920004.97769383</v>
      </c>
      <c r="W21" s="313">
        <f t="shared" si="1"/>
        <v>2768000</v>
      </c>
      <c r="X21" s="313">
        <f t="shared" si="2"/>
        <v>2768000</v>
      </c>
    </row>
    <row r="22" spans="1:24" ht="15.75" x14ac:dyDescent="0.25">
      <c r="A22" s="423" t="s">
        <v>2498</v>
      </c>
      <c r="B22" s="424">
        <v>4357</v>
      </c>
      <c r="C22" s="425">
        <v>15</v>
      </c>
      <c r="D22" s="431" t="s">
        <v>506</v>
      </c>
      <c r="E22" s="459">
        <v>6599</v>
      </c>
      <c r="F22" s="465">
        <v>1591.5</v>
      </c>
      <c r="G22" s="465">
        <v>1591.5</v>
      </c>
      <c r="H22" s="459">
        <v>1784</v>
      </c>
      <c r="I22" s="461" t="e">
        <v>#REF!</v>
      </c>
      <c r="J22" s="428"/>
      <c r="L22" s="311" t="s">
        <v>506</v>
      </c>
      <c r="M22" s="459">
        <v>6599</v>
      </c>
      <c r="N22" s="470"/>
      <c r="O22" s="247">
        <v>3943362</v>
      </c>
      <c r="P22" s="313" t="s">
        <v>1806</v>
      </c>
      <c r="Q22" s="247">
        <v>3943362</v>
      </c>
      <c r="R22" s="247" t="s">
        <v>464</v>
      </c>
      <c r="S22" s="247" t="s">
        <v>464</v>
      </c>
      <c r="T22" s="247" t="s">
        <v>1319</v>
      </c>
      <c r="U22" s="291">
        <v>11964721.15817537</v>
      </c>
      <c r="V22" s="313">
        <f t="shared" si="0"/>
        <v>11964721.15817537</v>
      </c>
      <c r="W22" s="313">
        <f t="shared" si="1"/>
        <v>2678000</v>
      </c>
      <c r="X22" s="313">
        <f t="shared" si="2"/>
        <v>2678000</v>
      </c>
    </row>
    <row r="23" spans="1:24" ht="15.75" x14ac:dyDescent="0.25">
      <c r="A23" s="423" t="s">
        <v>2499</v>
      </c>
      <c r="B23" s="424">
        <v>4357</v>
      </c>
      <c r="C23" s="425">
        <v>21</v>
      </c>
      <c r="D23" s="431" t="s">
        <v>509</v>
      </c>
      <c r="E23" s="459">
        <v>7551</v>
      </c>
      <c r="F23" s="465">
        <v>1766.75</v>
      </c>
      <c r="G23" s="465">
        <v>1766.75</v>
      </c>
      <c r="H23" s="459">
        <v>2846</v>
      </c>
      <c r="I23" s="461" t="e">
        <v>#REF!</v>
      </c>
      <c r="J23" s="428"/>
      <c r="L23" s="311" t="s">
        <v>509</v>
      </c>
      <c r="M23" s="459">
        <v>7551</v>
      </c>
      <c r="N23" s="470"/>
      <c r="O23" s="247">
        <v>2749776</v>
      </c>
      <c r="P23" s="313" t="s">
        <v>1806</v>
      </c>
      <c r="Q23" s="247">
        <v>2749776</v>
      </c>
      <c r="R23" s="247" t="s">
        <v>467</v>
      </c>
      <c r="S23" s="247" t="s">
        <v>467</v>
      </c>
      <c r="T23" s="247" t="s">
        <v>1321</v>
      </c>
      <c r="U23" s="291">
        <v>9823113.9004964307</v>
      </c>
      <c r="V23" s="313">
        <f t="shared" si="0"/>
        <v>9823113.9004964307</v>
      </c>
      <c r="W23" s="313">
        <f t="shared" si="1"/>
        <v>2770000</v>
      </c>
      <c r="X23" s="313">
        <f t="shared" si="2"/>
        <v>2770000</v>
      </c>
    </row>
    <row r="24" spans="1:24" ht="15.75" x14ac:dyDescent="0.25">
      <c r="A24" s="423" t="s">
        <v>2500</v>
      </c>
      <c r="B24" s="424">
        <v>4350</v>
      </c>
      <c r="C24" s="425">
        <v>5</v>
      </c>
      <c r="D24" s="426" t="s">
        <v>515</v>
      </c>
      <c r="E24" s="459">
        <v>20454</v>
      </c>
      <c r="F24" s="465">
        <v>5040.75</v>
      </c>
      <c r="G24" s="465">
        <v>5040.75</v>
      </c>
      <c r="H24" s="459">
        <v>3434</v>
      </c>
      <c r="I24" s="461" t="e">
        <v>#REF!</v>
      </c>
      <c r="J24" s="428"/>
      <c r="L24" s="311" t="s">
        <v>515</v>
      </c>
      <c r="M24" s="459">
        <v>20454</v>
      </c>
      <c r="N24" s="470"/>
      <c r="O24" s="247">
        <v>8508078</v>
      </c>
      <c r="P24" s="313" t="s">
        <v>1806</v>
      </c>
      <c r="Q24" s="247">
        <v>8508078</v>
      </c>
      <c r="R24" s="247" t="s">
        <v>472</v>
      </c>
      <c r="S24" s="247" t="s">
        <v>472</v>
      </c>
      <c r="T24" s="247" t="s">
        <v>1321</v>
      </c>
      <c r="U24" s="291">
        <v>18429766.354838438</v>
      </c>
      <c r="V24" s="313">
        <f t="shared" si="0"/>
        <v>30845957.672655992</v>
      </c>
      <c r="W24" s="313">
        <f t="shared" si="1"/>
        <v>6386000</v>
      </c>
      <c r="X24" s="313">
        <f t="shared" si="2"/>
        <v>3815491.4556706757</v>
      </c>
    </row>
    <row r="25" spans="1:24" ht="15.75" x14ac:dyDescent="0.25">
      <c r="A25" s="423" t="s">
        <v>2501</v>
      </c>
      <c r="B25" s="424">
        <v>4357</v>
      </c>
      <c r="C25" s="425">
        <v>7</v>
      </c>
      <c r="D25" s="426" t="s">
        <v>2502</v>
      </c>
      <c r="E25" s="459">
        <v>9218</v>
      </c>
      <c r="F25" s="465">
        <v>2343</v>
      </c>
      <c r="G25" s="465">
        <v>2343</v>
      </c>
      <c r="H25" s="459">
        <v>1513</v>
      </c>
      <c r="I25" s="461" t="e">
        <v>#REF!</v>
      </c>
      <c r="J25" s="428"/>
      <c r="L25" s="311" t="s">
        <v>519</v>
      </c>
      <c r="M25" s="459">
        <v>9218</v>
      </c>
      <c r="N25" s="470"/>
      <c r="O25" s="247">
        <v>1991772</v>
      </c>
      <c r="P25" s="313" t="s">
        <v>1806</v>
      </c>
      <c r="Q25" s="247">
        <v>1991772</v>
      </c>
      <c r="R25" s="247" t="s">
        <v>472</v>
      </c>
      <c r="S25" s="247" t="s">
        <v>472</v>
      </c>
      <c r="T25" s="247" t="s">
        <v>1338</v>
      </c>
      <c r="U25" s="291">
        <v>12416191.317817554</v>
      </c>
      <c r="V25" s="313">
        <f t="shared" si="0"/>
        <v>30845957.672655992</v>
      </c>
      <c r="W25" s="313">
        <f t="shared" si="1"/>
        <v>6386000</v>
      </c>
      <c r="X25" s="313">
        <f t="shared" si="2"/>
        <v>2570508.5443293238</v>
      </c>
    </row>
    <row r="26" spans="1:24" ht="15.75" x14ac:dyDescent="0.25">
      <c r="A26" s="423" t="s">
        <v>2503</v>
      </c>
      <c r="B26" s="424">
        <v>4350</v>
      </c>
      <c r="C26" s="425">
        <v>24</v>
      </c>
      <c r="D26" s="431" t="s">
        <v>2504</v>
      </c>
      <c r="E26" s="459">
        <v>7535</v>
      </c>
      <c r="F26" s="465">
        <v>1719.75</v>
      </c>
      <c r="G26" s="465">
        <v>1719.75</v>
      </c>
      <c r="H26" s="459">
        <v>1689</v>
      </c>
      <c r="I26" s="461" t="e">
        <v>#REF!</v>
      </c>
      <c r="J26" s="428"/>
      <c r="L26" s="311" t="s">
        <v>523</v>
      </c>
      <c r="M26" s="459">
        <v>7535</v>
      </c>
      <c r="N26" s="470"/>
      <c r="O26" s="247">
        <v>2801353</v>
      </c>
      <c r="P26" s="313" t="s">
        <v>1806</v>
      </c>
      <c r="Q26" s="247">
        <v>2801353</v>
      </c>
      <c r="R26" s="247" t="s">
        <v>477</v>
      </c>
      <c r="S26" s="247" t="s">
        <v>477</v>
      </c>
      <c r="T26" s="247" t="s">
        <v>1321</v>
      </c>
      <c r="U26" s="291">
        <v>19994059.517665572</v>
      </c>
      <c r="V26" s="313">
        <f t="shared" si="0"/>
        <v>19994059.517665572</v>
      </c>
      <c r="W26" s="313">
        <f t="shared" si="1"/>
        <v>3655000</v>
      </c>
      <c r="X26" s="313">
        <f t="shared" si="2"/>
        <v>3655000.0000000005</v>
      </c>
    </row>
    <row r="27" spans="1:24" ht="15.75" x14ac:dyDescent="0.25">
      <c r="A27" s="423" t="s">
        <v>2505</v>
      </c>
      <c r="B27" s="424">
        <v>4357</v>
      </c>
      <c r="C27" s="425">
        <v>20</v>
      </c>
      <c r="D27" s="431" t="s">
        <v>2506</v>
      </c>
      <c r="E27" s="459">
        <v>8866</v>
      </c>
      <c r="F27" s="465">
        <v>2079</v>
      </c>
      <c r="G27" s="465">
        <v>2079</v>
      </c>
      <c r="H27" s="459">
        <v>1893</v>
      </c>
      <c r="I27" s="461" t="e">
        <v>#REF!</v>
      </c>
      <c r="J27" s="428"/>
      <c r="L27" s="311" t="s">
        <v>997</v>
      </c>
      <c r="M27" s="459">
        <v>8866</v>
      </c>
      <c r="N27" s="470"/>
      <c r="O27" s="247">
        <v>9593192</v>
      </c>
      <c r="P27" s="313" t="s">
        <v>1806</v>
      </c>
      <c r="Q27" s="247">
        <v>9593192</v>
      </c>
      <c r="R27" s="247" t="s">
        <v>480</v>
      </c>
      <c r="S27" s="247" t="s">
        <v>480</v>
      </c>
      <c r="T27" s="247" t="s">
        <v>1319</v>
      </c>
      <c r="U27" s="291">
        <v>17198633.588044822</v>
      </c>
      <c r="V27" s="313">
        <f t="shared" si="0"/>
        <v>22488852.660769612</v>
      </c>
      <c r="W27" s="313">
        <f t="shared" si="1"/>
        <v>10019000</v>
      </c>
      <c r="X27" s="313">
        <f t="shared" si="2"/>
        <v>7662156.5589786824</v>
      </c>
    </row>
    <row r="28" spans="1:24" ht="16.5" thickBot="1" x14ac:dyDescent="0.3">
      <c r="A28" s="443" t="s">
        <v>2507</v>
      </c>
      <c r="B28" s="444">
        <v>4357</v>
      </c>
      <c r="C28" s="445">
        <v>16</v>
      </c>
      <c r="D28" s="446" t="s">
        <v>2508</v>
      </c>
      <c r="E28" s="467">
        <v>9626</v>
      </c>
      <c r="F28" s="468">
        <v>2251.25</v>
      </c>
      <c r="G28" s="468">
        <v>2251.25</v>
      </c>
      <c r="H28" s="467">
        <v>1484</v>
      </c>
      <c r="I28" s="469" t="e">
        <v>#REF!</v>
      </c>
      <c r="J28" s="448"/>
      <c r="L28" s="311" t="s">
        <v>1001</v>
      </c>
      <c r="M28" s="467">
        <v>9626</v>
      </c>
      <c r="N28" s="470"/>
      <c r="O28" s="247">
        <v>7663376</v>
      </c>
      <c r="P28" s="313" t="s">
        <v>1806</v>
      </c>
      <c r="Q28" s="247">
        <v>7663376</v>
      </c>
      <c r="R28" s="247" t="s">
        <v>393</v>
      </c>
      <c r="S28" s="247" t="s">
        <v>480</v>
      </c>
      <c r="T28" s="247" t="s">
        <v>1344</v>
      </c>
      <c r="U28" s="291">
        <v>5290219.0727247903</v>
      </c>
      <c r="V28" s="313">
        <f t="shared" si="0"/>
        <v>22488852.660769612</v>
      </c>
      <c r="W28" s="313">
        <f t="shared" si="1"/>
        <v>10019000</v>
      </c>
      <c r="X28" s="313">
        <f t="shared" si="2"/>
        <v>2356843.4410213181</v>
      </c>
    </row>
    <row r="29" spans="1:24" ht="15.75" x14ac:dyDescent="0.25">
      <c r="A29" s="451" t="s">
        <v>2509</v>
      </c>
      <c r="B29" s="315"/>
      <c r="C29" s="315"/>
      <c r="E29" s="451" t="s">
        <v>2510</v>
      </c>
      <c r="H29" s="451"/>
      <c r="O29" s="247">
        <v>8338145</v>
      </c>
      <c r="P29" s="313" t="s">
        <v>1806</v>
      </c>
      <c r="Q29" s="247">
        <v>8338145</v>
      </c>
      <c r="R29" s="247" t="s">
        <v>485</v>
      </c>
      <c r="S29" s="247" t="s">
        <v>485</v>
      </c>
      <c r="T29" s="247" t="s">
        <v>1310</v>
      </c>
      <c r="U29" s="291">
        <v>4013505.4274126575</v>
      </c>
      <c r="V29" s="313">
        <f t="shared" si="0"/>
        <v>29449635.075730875</v>
      </c>
      <c r="W29" s="313">
        <f t="shared" si="1"/>
        <v>9235000</v>
      </c>
      <c r="X29" s="313">
        <f t="shared" si="2"/>
        <v>1258580.0308507229</v>
      </c>
    </row>
    <row r="30" spans="1:24" ht="15.75" x14ac:dyDescent="0.25">
      <c r="A30" s="451"/>
      <c r="D30" s="451" t="s">
        <v>2511</v>
      </c>
      <c r="O30" s="247">
        <v>5220717</v>
      </c>
      <c r="P30" s="313" t="s">
        <v>1806</v>
      </c>
      <c r="Q30" s="247">
        <v>5220717</v>
      </c>
      <c r="R30" s="247" t="s">
        <v>485</v>
      </c>
      <c r="S30" s="247" t="s">
        <v>485</v>
      </c>
      <c r="T30" s="247" t="s">
        <v>1340</v>
      </c>
      <c r="U30" s="291">
        <v>19813983.129812181</v>
      </c>
      <c r="V30" s="313">
        <f t="shared" si="0"/>
        <v>29449635.075730875</v>
      </c>
      <c r="W30" s="313">
        <f t="shared" si="1"/>
        <v>9235000</v>
      </c>
      <c r="X30" s="313">
        <f t="shared" si="2"/>
        <v>6213392.2452101652</v>
      </c>
    </row>
    <row r="31" spans="1:24" ht="15.75" x14ac:dyDescent="0.25">
      <c r="D31" s="451"/>
      <c r="O31" s="256">
        <v>4382500</v>
      </c>
      <c r="P31" s="313" t="s">
        <v>1806</v>
      </c>
      <c r="Q31" s="256">
        <v>4382500</v>
      </c>
      <c r="R31" s="256" t="s">
        <v>485</v>
      </c>
      <c r="S31" s="256" t="s">
        <v>485</v>
      </c>
      <c r="T31" s="256" t="s">
        <v>1348</v>
      </c>
      <c r="U31" s="291">
        <v>2183526.9397355039</v>
      </c>
      <c r="V31" s="313">
        <f t="shared" si="0"/>
        <v>29449635.075730875</v>
      </c>
      <c r="W31" s="313">
        <f t="shared" si="1"/>
        <v>9235000</v>
      </c>
      <c r="X31" s="313">
        <f t="shared" si="2"/>
        <v>684723.97829727374</v>
      </c>
    </row>
    <row r="32" spans="1:24" ht="15.75" x14ac:dyDescent="0.25">
      <c r="O32" s="247">
        <v>7384495</v>
      </c>
      <c r="P32" s="313" t="s">
        <v>1806</v>
      </c>
      <c r="Q32" s="247">
        <v>7384495</v>
      </c>
      <c r="R32" s="247" t="s">
        <v>485</v>
      </c>
      <c r="S32" s="247" t="s">
        <v>485</v>
      </c>
      <c r="T32" s="247" t="s">
        <v>1496</v>
      </c>
      <c r="U32" s="291">
        <v>3438619.5787705323</v>
      </c>
      <c r="V32" s="313">
        <f t="shared" si="0"/>
        <v>29449635.075730875</v>
      </c>
      <c r="W32" s="313">
        <f t="shared" si="1"/>
        <v>9235000</v>
      </c>
      <c r="X32" s="313">
        <f t="shared" si="2"/>
        <v>1078303.7456418383</v>
      </c>
    </row>
    <row r="33" spans="15:24" ht="15.75" x14ac:dyDescent="0.25">
      <c r="O33" s="247">
        <v>1872907</v>
      </c>
      <c r="P33" s="313" t="s">
        <v>1806</v>
      </c>
      <c r="Q33" s="247">
        <v>1872907</v>
      </c>
      <c r="R33" s="247" t="s">
        <v>496</v>
      </c>
      <c r="S33" s="247" t="s">
        <v>496</v>
      </c>
      <c r="T33" s="247" t="s">
        <v>1319</v>
      </c>
      <c r="U33" s="291">
        <v>10265880.700098794</v>
      </c>
      <c r="V33" s="313">
        <f t="shared" si="0"/>
        <v>10265880.700098794</v>
      </c>
      <c r="W33" s="313">
        <f t="shared" si="1"/>
        <v>2813000</v>
      </c>
      <c r="X33" s="313">
        <f t="shared" si="2"/>
        <v>2813000</v>
      </c>
    </row>
    <row r="34" spans="15:24" ht="15.75" x14ac:dyDescent="0.25">
      <c r="O34" s="247">
        <v>1878615</v>
      </c>
      <c r="P34" s="313" t="s">
        <v>1806</v>
      </c>
      <c r="Q34" s="247">
        <v>1878615</v>
      </c>
      <c r="R34" s="247" t="s">
        <v>502</v>
      </c>
      <c r="S34" s="247" t="s">
        <v>502</v>
      </c>
      <c r="T34" s="247" t="s">
        <v>1254</v>
      </c>
      <c r="U34" s="291">
        <v>576689.35844624322</v>
      </c>
      <c r="V34" s="313">
        <f t="shared" si="0"/>
        <v>15735960.026725447</v>
      </c>
      <c r="W34" s="313">
        <f t="shared" si="1"/>
        <v>4666000</v>
      </c>
      <c r="X34" s="313">
        <f t="shared" si="2"/>
        <v>170998.94394368998</v>
      </c>
    </row>
    <row r="35" spans="15:24" ht="15.75" x14ac:dyDescent="0.25">
      <c r="O35" s="247">
        <v>6565956</v>
      </c>
      <c r="P35" s="313" t="s">
        <v>1806</v>
      </c>
      <c r="Q35" s="247">
        <v>6565956</v>
      </c>
      <c r="R35" s="247" t="s">
        <v>502</v>
      </c>
      <c r="S35" s="247" t="s">
        <v>502</v>
      </c>
      <c r="T35" s="247" t="s">
        <v>1329</v>
      </c>
      <c r="U35" s="291">
        <v>10983989.105203958</v>
      </c>
      <c r="V35" s="313">
        <f t="shared" si="0"/>
        <v>15735960.026725447</v>
      </c>
      <c r="W35" s="313">
        <f t="shared" si="1"/>
        <v>4666000</v>
      </c>
      <c r="X35" s="313">
        <f t="shared" si="2"/>
        <v>3256953.6957286447</v>
      </c>
    </row>
    <row r="36" spans="15:24" ht="15.75" x14ac:dyDescent="0.25">
      <c r="O36" s="247">
        <v>9924037</v>
      </c>
      <c r="P36" s="313" t="s">
        <v>1806</v>
      </c>
      <c r="Q36" s="247">
        <v>9924037</v>
      </c>
      <c r="R36" s="247" t="s">
        <v>502</v>
      </c>
      <c r="S36" s="247" t="s">
        <v>502</v>
      </c>
      <c r="T36" s="247" t="s">
        <v>1344</v>
      </c>
      <c r="U36" s="291">
        <v>4175281.5630752468</v>
      </c>
      <c r="V36" s="313">
        <f t="shared" si="0"/>
        <v>15735960.026725447</v>
      </c>
      <c r="W36" s="313">
        <f t="shared" si="1"/>
        <v>4666000</v>
      </c>
      <c r="X36" s="313">
        <f t="shared" si="2"/>
        <v>1238047.3603276657</v>
      </c>
    </row>
    <row r="37" spans="15:24" ht="15.75" x14ac:dyDescent="0.25">
      <c r="O37" s="247">
        <v>9445282</v>
      </c>
      <c r="P37" s="313" t="s">
        <v>1806</v>
      </c>
      <c r="Q37" s="247">
        <v>9445282</v>
      </c>
      <c r="R37" s="247" t="s">
        <v>506</v>
      </c>
      <c r="S37" s="247" t="s">
        <v>506</v>
      </c>
      <c r="T37" s="247" t="s">
        <v>1310</v>
      </c>
      <c r="U37" s="291">
        <v>22497527.177580558</v>
      </c>
      <c r="V37" s="313">
        <f t="shared" si="0"/>
        <v>22497527.177580558</v>
      </c>
      <c r="W37" s="313">
        <f t="shared" si="1"/>
        <v>6599000</v>
      </c>
      <c r="X37" s="313">
        <f t="shared" si="2"/>
        <v>6599000</v>
      </c>
    </row>
    <row r="38" spans="15:24" ht="15.75" x14ac:dyDescent="0.25">
      <c r="O38" s="247">
        <v>3713907</v>
      </c>
      <c r="P38" s="313" t="s">
        <v>1806</v>
      </c>
      <c r="Q38" s="247">
        <v>3713907</v>
      </c>
      <c r="R38" s="247" t="s">
        <v>509</v>
      </c>
      <c r="S38" s="247" t="s">
        <v>509</v>
      </c>
      <c r="T38" s="247" t="s">
        <v>1310</v>
      </c>
      <c r="U38" s="291">
        <v>22486957.282894928</v>
      </c>
      <c r="V38" s="313">
        <f t="shared" si="0"/>
        <v>23553259.89192979</v>
      </c>
      <c r="W38" s="313">
        <f t="shared" si="1"/>
        <v>7551000</v>
      </c>
      <c r="X38" s="313">
        <f t="shared" si="2"/>
        <v>7209151.311633043</v>
      </c>
    </row>
    <row r="39" spans="15:24" ht="15.75" x14ac:dyDescent="0.25">
      <c r="O39" s="256">
        <v>4007320</v>
      </c>
      <c r="P39" s="313" t="s">
        <v>1806</v>
      </c>
      <c r="Q39" s="256">
        <v>4007320</v>
      </c>
      <c r="R39" s="256" t="s">
        <v>509</v>
      </c>
      <c r="S39" s="256" t="s">
        <v>509</v>
      </c>
      <c r="T39" s="256" t="s">
        <v>1347</v>
      </c>
      <c r="U39" s="291">
        <v>1066302.6090348614</v>
      </c>
      <c r="V39" s="313">
        <f t="shared" si="0"/>
        <v>23553259.89192979</v>
      </c>
      <c r="W39" s="313">
        <f t="shared" si="1"/>
        <v>7551000</v>
      </c>
      <c r="X39" s="313">
        <f t="shared" si="2"/>
        <v>341848.68836695631</v>
      </c>
    </row>
    <row r="40" spans="15:24" ht="15.75" x14ac:dyDescent="0.25">
      <c r="O40" s="247">
        <v>7630615</v>
      </c>
      <c r="P40" s="313" t="s">
        <v>1806</v>
      </c>
      <c r="Q40" s="247">
        <v>7630615</v>
      </c>
      <c r="R40" s="247" t="s">
        <v>1331</v>
      </c>
      <c r="S40" s="247" t="s">
        <v>515</v>
      </c>
      <c r="T40" s="247" t="s">
        <v>1320</v>
      </c>
      <c r="U40" s="291">
        <v>65767680.859087437</v>
      </c>
      <c r="V40" s="313">
        <f t="shared" si="0"/>
        <v>82490246.203651205</v>
      </c>
      <c r="W40" s="313">
        <f t="shared" si="1"/>
        <v>20454000</v>
      </c>
      <c r="X40" s="313">
        <f t="shared" si="2"/>
        <v>16307529.752920441</v>
      </c>
    </row>
    <row r="41" spans="15:24" ht="15.75" x14ac:dyDescent="0.25">
      <c r="O41" s="247">
        <v>5804478</v>
      </c>
      <c r="P41" s="313" t="s">
        <v>1806</v>
      </c>
      <c r="Q41" s="247">
        <v>5804478</v>
      </c>
      <c r="R41" s="247" t="s">
        <v>1343</v>
      </c>
      <c r="S41" s="247" t="s">
        <v>515</v>
      </c>
      <c r="T41" s="247" t="s">
        <v>1339</v>
      </c>
      <c r="U41" s="291">
        <v>16722565.344563767</v>
      </c>
      <c r="V41" s="313">
        <f t="shared" si="0"/>
        <v>82490246.203651205</v>
      </c>
      <c r="W41" s="313">
        <f t="shared" si="1"/>
        <v>20454000</v>
      </c>
      <c r="X41" s="313">
        <f t="shared" si="2"/>
        <v>4146470.2470795596</v>
      </c>
    </row>
    <row r="42" spans="15:24" ht="15.75" x14ac:dyDescent="0.25">
      <c r="O42" s="247">
        <v>7071797</v>
      </c>
      <c r="P42" s="313" t="s">
        <v>1806</v>
      </c>
      <c r="Q42" s="247">
        <v>7071797</v>
      </c>
      <c r="R42" s="247" t="s">
        <v>519</v>
      </c>
      <c r="S42" s="247" t="s">
        <v>519</v>
      </c>
      <c r="T42" s="247" t="s">
        <v>1255</v>
      </c>
      <c r="U42" s="291">
        <v>3667436.7806406175</v>
      </c>
      <c r="V42" s="313">
        <f t="shared" si="0"/>
        <v>28805308.235910956</v>
      </c>
      <c r="W42" s="313">
        <f t="shared" si="1"/>
        <v>9218000</v>
      </c>
      <c r="X42" s="313">
        <f t="shared" si="2"/>
        <v>1173618.1389581335</v>
      </c>
    </row>
    <row r="43" spans="15:24" ht="15.75" x14ac:dyDescent="0.25">
      <c r="O43" s="247">
        <v>3529182</v>
      </c>
      <c r="P43" s="313" t="s">
        <v>1806</v>
      </c>
      <c r="Q43" s="247">
        <v>3529182</v>
      </c>
      <c r="R43" s="247" t="s">
        <v>519</v>
      </c>
      <c r="S43" s="247" t="s">
        <v>519</v>
      </c>
      <c r="T43" s="247" t="s">
        <v>1320</v>
      </c>
      <c r="U43" s="291">
        <v>8866275.6764279809</v>
      </c>
      <c r="V43" s="313">
        <f t="shared" si="0"/>
        <v>28805308.235910956</v>
      </c>
      <c r="W43" s="313">
        <f t="shared" si="1"/>
        <v>9218000</v>
      </c>
      <c r="X43" s="313">
        <f t="shared" si="2"/>
        <v>2837300.9764715149</v>
      </c>
    </row>
    <row r="44" spans="15:24" ht="15.75" x14ac:dyDescent="0.25">
      <c r="O44" s="247">
        <v>5638901</v>
      </c>
      <c r="P44" s="313" t="s">
        <v>1806</v>
      </c>
      <c r="Q44" s="247">
        <v>5638901</v>
      </c>
      <c r="R44" s="247" t="s">
        <v>519</v>
      </c>
      <c r="S44" s="247" t="s">
        <v>519</v>
      </c>
      <c r="T44" s="247" t="s">
        <v>1339</v>
      </c>
      <c r="U44" s="291">
        <v>14122596.481906652</v>
      </c>
      <c r="V44" s="313">
        <f t="shared" si="0"/>
        <v>28805308.235910956</v>
      </c>
      <c r="W44" s="313">
        <f t="shared" si="1"/>
        <v>9218000</v>
      </c>
      <c r="X44" s="313">
        <f t="shared" si="2"/>
        <v>4519378.6264685867</v>
      </c>
    </row>
    <row r="45" spans="15:24" ht="15.75" x14ac:dyDescent="0.25">
      <c r="O45" s="256">
        <v>1576566</v>
      </c>
      <c r="P45" s="313" t="s">
        <v>1806</v>
      </c>
      <c r="Q45" s="256">
        <v>1576566</v>
      </c>
      <c r="R45" s="256" t="s">
        <v>519</v>
      </c>
      <c r="S45" s="256" t="s">
        <v>519</v>
      </c>
      <c r="T45" s="256" t="s">
        <v>1345</v>
      </c>
      <c r="U45" s="291">
        <v>2148999.2969357027</v>
      </c>
      <c r="V45" s="313">
        <f t="shared" si="0"/>
        <v>28805308.235910956</v>
      </c>
      <c r="W45" s="313">
        <f t="shared" si="1"/>
        <v>9218000</v>
      </c>
      <c r="X45" s="313">
        <f t="shared" si="2"/>
        <v>687702.25810176414</v>
      </c>
    </row>
    <row r="46" spans="15:24" ht="15.75" x14ac:dyDescent="0.25">
      <c r="O46" s="247">
        <v>6945387</v>
      </c>
      <c r="P46" s="313" t="s">
        <v>1806</v>
      </c>
      <c r="Q46" s="247">
        <v>6945387</v>
      </c>
      <c r="R46" s="247" t="s">
        <v>528</v>
      </c>
      <c r="S46" s="247" t="s">
        <v>523</v>
      </c>
      <c r="T46" s="247" t="s">
        <v>1310</v>
      </c>
      <c r="U46" s="291">
        <v>11376964.50882945</v>
      </c>
      <c r="V46" s="313">
        <f t="shared" si="0"/>
        <v>36657560.505585201</v>
      </c>
      <c r="W46" s="313">
        <f t="shared" si="1"/>
        <v>7535000</v>
      </c>
      <c r="X46" s="313">
        <f t="shared" si="2"/>
        <v>2338546.9843517998</v>
      </c>
    </row>
    <row r="47" spans="15:24" ht="15.75" x14ac:dyDescent="0.25">
      <c r="O47" s="247">
        <v>5869239</v>
      </c>
      <c r="P47" s="313" t="s">
        <v>1806</v>
      </c>
      <c r="Q47" s="247">
        <v>5869239</v>
      </c>
      <c r="R47" s="247" t="s">
        <v>525</v>
      </c>
      <c r="S47" s="247" t="s">
        <v>523</v>
      </c>
      <c r="T47" s="247" t="s">
        <v>1321</v>
      </c>
      <c r="U47" s="291">
        <v>25280595.996755749</v>
      </c>
      <c r="V47" s="313">
        <f t="shared" si="0"/>
        <v>36657560.505585201</v>
      </c>
      <c r="W47" s="313">
        <f t="shared" si="1"/>
        <v>7535000</v>
      </c>
      <c r="X47" s="313">
        <f t="shared" si="2"/>
        <v>5196453.0156482002</v>
      </c>
    </row>
    <row r="48" spans="15:24" ht="15.75" x14ac:dyDescent="0.25">
      <c r="O48" s="247">
        <v>6375207</v>
      </c>
      <c r="P48" s="313" t="s">
        <v>1806</v>
      </c>
      <c r="Q48" s="247">
        <v>6375207</v>
      </c>
      <c r="R48" s="247" t="s">
        <v>997</v>
      </c>
      <c r="S48" s="247" t="s">
        <v>997</v>
      </c>
      <c r="T48" s="247" t="s">
        <v>1261</v>
      </c>
      <c r="U48" s="291">
        <v>3693178.4081448922</v>
      </c>
      <c r="V48" s="313">
        <f t="shared" si="0"/>
        <v>46417938.556305185</v>
      </c>
      <c r="W48" s="313">
        <f t="shared" si="1"/>
        <v>8866000</v>
      </c>
      <c r="X48" s="313">
        <f t="shared" si="2"/>
        <v>705410.89899747109</v>
      </c>
    </row>
    <row r="49" spans="15:24" ht="15.75" x14ac:dyDescent="0.25">
      <c r="O49" s="247">
        <v>1546097</v>
      </c>
      <c r="P49" s="313" t="s">
        <v>1806</v>
      </c>
      <c r="Q49" s="247">
        <v>1546097</v>
      </c>
      <c r="R49" s="247" t="s">
        <v>997</v>
      </c>
      <c r="S49" s="247" t="s">
        <v>997</v>
      </c>
      <c r="T49" s="247" t="s">
        <v>1310</v>
      </c>
      <c r="U49" s="291">
        <v>42724760.148160294</v>
      </c>
      <c r="V49" s="313">
        <f t="shared" si="0"/>
        <v>46417938.556305185</v>
      </c>
      <c r="W49" s="313">
        <f t="shared" si="1"/>
        <v>8866000</v>
      </c>
      <c r="X49" s="313">
        <f t="shared" si="2"/>
        <v>8160589.1010025293</v>
      </c>
    </row>
    <row r="50" spans="15:24" ht="15.75" x14ac:dyDescent="0.25">
      <c r="O50" s="247">
        <v>2089762</v>
      </c>
      <c r="P50" s="313" t="s">
        <v>1806</v>
      </c>
      <c r="Q50" s="247">
        <v>2089762</v>
      </c>
      <c r="R50" s="247" t="s">
        <v>1001</v>
      </c>
      <c r="S50" s="247" t="s">
        <v>1001</v>
      </c>
      <c r="T50" s="247" t="s">
        <v>1310</v>
      </c>
      <c r="U50" s="291">
        <v>30609469.164951172</v>
      </c>
      <c r="V50" s="313">
        <f t="shared" si="0"/>
        <v>40980518.785224542</v>
      </c>
      <c r="W50" s="313">
        <f t="shared" si="1"/>
        <v>9626000</v>
      </c>
      <c r="X50" s="313">
        <f t="shared" si="2"/>
        <v>7189922.4049856197</v>
      </c>
    </row>
    <row r="51" spans="15:24" ht="15.75" x14ac:dyDescent="0.25">
      <c r="O51" s="318" t="s">
        <v>1153</v>
      </c>
      <c r="P51" s="313" t="s">
        <v>1806</v>
      </c>
      <c r="Q51" s="318" t="s">
        <v>1153</v>
      </c>
      <c r="R51" s="254" t="s">
        <v>1001</v>
      </c>
      <c r="S51" s="254" t="s">
        <v>1001</v>
      </c>
      <c r="T51" s="254" t="s">
        <v>1359</v>
      </c>
      <c r="U51" s="291">
        <v>10371049.620273374</v>
      </c>
      <c r="V51" s="313">
        <f t="shared" si="0"/>
        <v>40980518.785224542</v>
      </c>
      <c r="W51" s="313">
        <f t="shared" si="1"/>
        <v>9626000</v>
      </c>
      <c r="X51" s="313">
        <f t="shared" si="2"/>
        <v>2436077.5950143817</v>
      </c>
    </row>
    <row r="52" spans="15:24" x14ac:dyDescent="0.25">
      <c r="X52" s="313">
        <f>SUM(X5:X51)</f>
        <v>190000000</v>
      </c>
    </row>
    <row r="54" spans="15:24" x14ac:dyDescent="0.25">
      <c r="S54" s="310" t="s">
        <v>1807</v>
      </c>
      <c r="T54" t="s">
        <v>2520</v>
      </c>
      <c r="U54"/>
    </row>
    <row r="55" spans="15:24" x14ac:dyDescent="0.25">
      <c r="S55" s="311" t="s">
        <v>257</v>
      </c>
      <c r="T55" s="345">
        <v>70820956.828531101</v>
      </c>
      <c r="U55"/>
    </row>
    <row r="56" spans="15:24" x14ac:dyDescent="0.25">
      <c r="S56" s="311" t="s">
        <v>420</v>
      </c>
      <c r="T56" s="345">
        <v>33215261.641752195</v>
      </c>
      <c r="U56"/>
    </row>
    <row r="57" spans="15:24" x14ac:dyDescent="0.25">
      <c r="S57" s="311" t="s">
        <v>425</v>
      </c>
      <c r="T57" s="345">
        <v>44842781.124228522</v>
      </c>
      <c r="U57"/>
    </row>
    <row r="58" spans="15:24" x14ac:dyDescent="0.25">
      <c r="S58" s="311" t="s">
        <v>435</v>
      </c>
      <c r="T58" s="345">
        <v>18595469.590470783</v>
      </c>
      <c r="U58"/>
    </row>
    <row r="59" spans="15:24" x14ac:dyDescent="0.25">
      <c r="S59" s="311" t="s">
        <v>440</v>
      </c>
      <c r="T59" s="345">
        <v>27484085.005208258</v>
      </c>
      <c r="U59"/>
    </row>
    <row r="60" spans="15:24" x14ac:dyDescent="0.25">
      <c r="S60" s="311" t="s">
        <v>444</v>
      </c>
      <c r="T60" s="345">
        <v>23544168.980021723</v>
      </c>
      <c r="U60"/>
    </row>
    <row r="61" spans="15:24" x14ac:dyDescent="0.25">
      <c r="S61" s="311" t="s">
        <v>447</v>
      </c>
      <c r="T61" s="345">
        <v>31295625.281929575</v>
      </c>
      <c r="U61"/>
    </row>
    <row r="62" spans="15:24" x14ac:dyDescent="0.25">
      <c r="S62" s="311" t="s">
        <v>453</v>
      </c>
      <c r="T62" s="345">
        <v>20392282.173444685</v>
      </c>
      <c r="U62"/>
    </row>
    <row r="63" spans="15:24" x14ac:dyDescent="0.25">
      <c r="S63" s="311" t="s">
        <v>456</v>
      </c>
      <c r="T63" s="345">
        <v>10920004.97769383</v>
      </c>
      <c r="U63"/>
    </row>
    <row r="64" spans="15:24" x14ac:dyDescent="0.25">
      <c r="S64" s="311" t="s">
        <v>464</v>
      </c>
      <c r="T64" s="345">
        <v>11964721.15817537</v>
      </c>
      <c r="U64"/>
    </row>
    <row r="65" spans="19:21" x14ac:dyDescent="0.25">
      <c r="S65" s="311" t="s">
        <v>467</v>
      </c>
      <c r="T65" s="345">
        <v>9823113.9004964307</v>
      </c>
      <c r="U65"/>
    </row>
    <row r="66" spans="19:21" x14ac:dyDescent="0.25">
      <c r="S66" s="311" t="s">
        <v>472</v>
      </c>
      <c r="T66" s="345">
        <v>30845957.672655992</v>
      </c>
      <c r="U66"/>
    </row>
    <row r="67" spans="19:21" x14ac:dyDescent="0.25">
      <c r="S67" s="311" t="s">
        <v>477</v>
      </c>
      <c r="T67" s="345">
        <v>19994059.517665572</v>
      </c>
      <c r="U67"/>
    </row>
    <row r="68" spans="19:21" x14ac:dyDescent="0.25">
      <c r="S68" s="311" t="s">
        <v>480</v>
      </c>
      <c r="T68" s="345">
        <v>22488852.660769612</v>
      </c>
      <c r="U68"/>
    </row>
    <row r="69" spans="19:21" x14ac:dyDescent="0.25">
      <c r="S69" s="311" t="s">
        <v>485</v>
      </c>
      <c r="T69" s="345">
        <v>29449635.075730875</v>
      </c>
      <c r="U69"/>
    </row>
    <row r="70" spans="19:21" x14ac:dyDescent="0.25">
      <c r="S70" s="311" t="s">
        <v>496</v>
      </c>
      <c r="T70" s="345">
        <v>10265880.700098794</v>
      </c>
      <c r="U70"/>
    </row>
    <row r="71" spans="19:21" x14ac:dyDescent="0.25">
      <c r="S71" s="311" t="s">
        <v>502</v>
      </c>
      <c r="T71" s="345">
        <v>15735960.026725447</v>
      </c>
      <c r="U71"/>
    </row>
    <row r="72" spans="19:21" x14ac:dyDescent="0.25">
      <c r="S72" s="311" t="s">
        <v>506</v>
      </c>
      <c r="T72" s="345">
        <v>22497527.177580558</v>
      </c>
    </row>
    <row r="73" spans="19:21" x14ac:dyDescent="0.25">
      <c r="S73" s="311" t="s">
        <v>509</v>
      </c>
      <c r="T73" s="345">
        <v>23553259.89192979</v>
      </c>
    </row>
    <row r="74" spans="19:21" x14ac:dyDescent="0.25">
      <c r="S74" s="311" t="s">
        <v>515</v>
      </c>
      <c r="T74" s="345">
        <v>82490246.203651205</v>
      </c>
    </row>
    <row r="75" spans="19:21" x14ac:dyDescent="0.25">
      <c r="S75" s="311" t="s">
        <v>519</v>
      </c>
      <c r="T75" s="345">
        <v>28805308.235910956</v>
      </c>
    </row>
    <row r="76" spans="19:21" x14ac:dyDescent="0.25">
      <c r="S76" s="311" t="s">
        <v>523</v>
      </c>
      <c r="T76" s="345">
        <v>36657560.505585201</v>
      </c>
    </row>
    <row r="77" spans="19:21" x14ac:dyDescent="0.25">
      <c r="S77" s="311" t="s">
        <v>997</v>
      </c>
      <c r="T77" s="345">
        <v>46417938.556305185</v>
      </c>
    </row>
    <row r="78" spans="19:21" x14ac:dyDescent="0.25">
      <c r="S78" s="311" t="s">
        <v>1001</v>
      </c>
      <c r="T78" s="345">
        <v>40980518.785224542</v>
      </c>
    </row>
    <row r="79" spans="19:21" x14ac:dyDescent="0.25">
      <c r="S79" s="311" t="s">
        <v>1808</v>
      </c>
      <c r="T79" s="345">
        <v>713081175.67178631</v>
      </c>
    </row>
    <row r="83" spans="17:19" x14ac:dyDescent="0.25">
      <c r="Q83" s="310" t="s">
        <v>1807</v>
      </c>
      <c r="R83" t="s">
        <v>2543</v>
      </c>
      <c r="S83"/>
    </row>
    <row r="84" spans="17:19" x14ac:dyDescent="0.25">
      <c r="Q84" s="311">
        <v>1450637</v>
      </c>
      <c r="R84" s="345">
        <v>6033000</v>
      </c>
      <c r="S84"/>
    </row>
    <row r="85" spans="17:19" x14ac:dyDescent="0.25">
      <c r="Q85" s="311">
        <v>1546097</v>
      </c>
      <c r="R85" s="345">
        <v>8160589.1010025293</v>
      </c>
      <c r="S85"/>
    </row>
    <row r="86" spans="17:19" x14ac:dyDescent="0.25">
      <c r="Q86" s="311">
        <v>1576566</v>
      </c>
      <c r="R86" s="345">
        <v>687702.25810176414</v>
      </c>
      <c r="S86"/>
    </row>
    <row r="87" spans="17:19" x14ac:dyDescent="0.25">
      <c r="Q87" s="311">
        <v>1872907</v>
      </c>
      <c r="R87" s="345">
        <v>2813000</v>
      </c>
      <c r="S87"/>
    </row>
    <row r="88" spans="17:19" x14ac:dyDescent="0.25">
      <c r="Q88" s="311">
        <v>1878615</v>
      </c>
      <c r="R88" s="345">
        <v>170998.94394368998</v>
      </c>
      <c r="S88"/>
    </row>
    <row r="89" spans="17:19" x14ac:dyDescent="0.25">
      <c r="Q89" s="311">
        <v>1991772</v>
      </c>
      <c r="R89" s="345">
        <v>2570508.5443293238</v>
      </c>
      <c r="S89"/>
    </row>
    <row r="90" spans="17:19" x14ac:dyDescent="0.25">
      <c r="Q90" s="311">
        <v>2089762</v>
      </c>
      <c r="R90" s="345">
        <v>7189922.4049856197</v>
      </c>
      <c r="S90"/>
    </row>
    <row r="91" spans="17:19" x14ac:dyDescent="0.25">
      <c r="Q91" s="311">
        <v>2749776</v>
      </c>
      <c r="R91" s="345">
        <v>2770000</v>
      </c>
      <c r="S91"/>
    </row>
    <row r="92" spans="17:19" x14ac:dyDescent="0.25">
      <c r="Q92" s="311">
        <v>2801353</v>
      </c>
      <c r="R92" s="345">
        <v>3655000.0000000005</v>
      </c>
      <c r="S92"/>
    </row>
    <row r="93" spans="17:19" x14ac:dyDescent="0.25">
      <c r="Q93" s="311">
        <v>2837121</v>
      </c>
      <c r="R93" s="345">
        <v>1642549.4101354356</v>
      </c>
      <c r="S93"/>
    </row>
    <row r="94" spans="17:19" x14ac:dyDescent="0.25">
      <c r="Q94" s="311">
        <v>3446957</v>
      </c>
      <c r="R94" s="345">
        <v>290683.05684451963</v>
      </c>
      <c r="S94"/>
    </row>
    <row r="95" spans="17:19" x14ac:dyDescent="0.25">
      <c r="Q95" s="311">
        <v>3473171</v>
      </c>
      <c r="R95" s="345">
        <v>10307686.237272542</v>
      </c>
      <c r="S95"/>
    </row>
    <row r="96" spans="17:19" x14ac:dyDescent="0.25">
      <c r="Q96" s="311">
        <v>3529182</v>
      </c>
      <c r="R96" s="345">
        <v>2837300.9764715149</v>
      </c>
      <c r="S96"/>
    </row>
    <row r="97" spans="17:19" x14ac:dyDescent="0.25">
      <c r="Q97" s="311">
        <v>3650770</v>
      </c>
      <c r="R97" s="345">
        <v>766360.66668907937</v>
      </c>
      <c r="S97"/>
    </row>
    <row r="98" spans="17:19" x14ac:dyDescent="0.25">
      <c r="Q98" s="311">
        <v>3713907</v>
      </c>
      <c r="R98" s="345">
        <v>7209151.311633043</v>
      </c>
      <c r="S98"/>
    </row>
    <row r="99" spans="17:19" x14ac:dyDescent="0.25">
      <c r="Q99" s="311">
        <v>3754207</v>
      </c>
      <c r="R99" s="345">
        <v>7530450.5898645641</v>
      </c>
      <c r="S99"/>
    </row>
    <row r="100" spans="17:19" x14ac:dyDescent="0.25">
      <c r="Q100" s="311">
        <v>3943362</v>
      </c>
      <c r="R100" s="345">
        <v>2678000</v>
      </c>
      <c r="S100"/>
    </row>
    <row r="101" spans="17:19" x14ac:dyDescent="0.25">
      <c r="Q101" s="311">
        <v>4007320</v>
      </c>
      <c r="R101" s="345">
        <v>341848.68836695631</v>
      </c>
    </row>
    <row r="102" spans="17:19" x14ac:dyDescent="0.25">
      <c r="Q102" s="311">
        <v>4382500</v>
      </c>
      <c r="R102" s="345">
        <v>684723.97829727374</v>
      </c>
    </row>
    <row r="103" spans="17:19" x14ac:dyDescent="0.25">
      <c r="Q103" s="311">
        <v>4721932</v>
      </c>
      <c r="R103" s="345">
        <v>8484000</v>
      </c>
    </row>
    <row r="104" spans="17:19" x14ac:dyDescent="0.25">
      <c r="Q104" s="311">
        <v>4753225</v>
      </c>
      <c r="R104" s="345">
        <v>6700000</v>
      </c>
    </row>
    <row r="105" spans="17:19" x14ac:dyDescent="0.25">
      <c r="Q105" s="311">
        <v>5000179</v>
      </c>
      <c r="R105" s="345">
        <v>12285480.561290776</v>
      </c>
    </row>
    <row r="106" spans="17:19" x14ac:dyDescent="0.25">
      <c r="Q106" s="311">
        <v>5040302</v>
      </c>
      <c r="R106" s="345">
        <v>2768000</v>
      </c>
    </row>
    <row r="107" spans="17:19" x14ac:dyDescent="0.25">
      <c r="Q107" s="311">
        <v>5220717</v>
      </c>
      <c r="R107" s="345">
        <v>6213392.2452101652</v>
      </c>
    </row>
    <row r="108" spans="17:19" x14ac:dyDescent="0.25">
      <c r="Q108" s="311">
        <v>5638901</v>
      </c>
      <c r="R108" s="345">
        <v>4519378.6264685867</v>
      </c>
    </row>
    <row r="109" spans="17:19" x14ac:dyDescent="0.25">
      <c r="Q109" s="311">
        <v>5651221</v>
      </c>
      <c r="R109" s="345">
        <v>6662000</v>
      </c>
    </row>
    <row r="110" spans="17:19" x14ac:dyDescent="0.25">
      <c r="Q110" s="311">
        <v>5804478</v>
      </c>
      <c r="R110" s="345">
        <v>4146470.2470795596</v>
      </c>
    </row>
    <row r="111" spans="17:19" x14ac:dyDescent="0.25">
      <c r="Q111" s="311">
        <v>5869239</v>
      </c>
      <c r="R111" s="345">
        <v>5196453.0156482002</v>
      </c>
    </row>
    <row r="112" spans="17:19" x14ac:dyDescent="0.25">
      <c r="Q112" s="311">
        <v>6163071</v>
      </c>
      <c r="R112" s="345">
        <v>220754.45701772789</v>
      </c>
    </row>
    <row r="113" spans="17:18" x14ac:dyDescent="0.25">
      <c r="Q113" s="311">
        <v>6375207</v>
      </c>
      <c r="R113" s="345">
        <v>705410.89899747109</v>
      </c>
    </row>
    <row r="114" spans="17:18" x14ac:dyDescent="0.25">
      <c r="Q114" s="311">
        <v>6514817</v>
      </c>
      <c r="R114" s="345">
        <v>2025630.7058829397</v>
      </c>
    </row>
    <row r="115" spans="17:18" x14ac:dyDescent="0.25">
      <c r="Q115" s="311">
        <v>6565956</v>
      </c>
      <c r="R115" s="345">
        <v>3256953.6957286447</v>
      </c>
    </row>
    <row r="116" spans="17:18" x14ac:dyDescent="0.25">
      <c r="Q116" s="311">
        <v>6581899</v>
      </c>
      <c r="R116" s="345">
        <v>5273000</v>
      </c>
    </row>
    <row r="117" spans="17:18" x14ac:dyDescent="0.25">
      <c r="Q117" s="311">
        <v>6945387</v>
      </c>
      <c r="R117" s="345">
        <v>2338546.9843517998</v>
      </c>
    </row>
    <row r="118" spans="17:18" x14ac:dyDescent="0.25">
      <c r="Q118" s="311">
        <v>7071797</v>
      </c>
      <c r="R118" s="345">
        <v>1173618.1389581335</v>
      </c>
    </row>
    <row r="119" spans="17:18" x14ac:dyDescent="0.25">
      <c r="Q119" s="311">
        <v>7384495</v>
      </c>
      <c r="R119" s="345">
        <v>1078303.7456418383</v>
      </c>
    </row>
    <row r="120" spans="17:18" x14ac:dyDescent="0.25">
      <c r="Q120" s="311">
        <v>7630615</v>
      </c>
      <c r="R120" s="345">
        <v>16307529.752920441</v>
      </c>
    </row>
    <row r="121" spans="17:18" x14ac:dyDescent="0.25">
      <c r="Q121" s="311">
        <v>7663376</v>
      </c>
      <c r="R121" s="345">
        <v>2356843.4410213181</v>
      </c>
    </row>
    <row r="122" spans="17:18" x14ac:dyDescent="0.25">
      <c r="Q122" s="311">
        <v>8338145</v>
      </c>
      <c r="R122" s="345">
        <v>1258580.0308507229</v>
      </c>
    </row>
    <row r="123" spans="17:18" x14ac:dyDescent="0.25">
      <c r="Q123" s="311">
        <v>8504548</v>
      </c>
      <c r="R123" s="345">
        <v>6939404.3150024218</v>
      </c>
    </row>
    <row r="124" spans="17:18" x14ac:dyDescent="0.25">
      <c r="Q124" s="311">
        <v>8508078</v>
      </c>
      <c r="R124" s="345">
        <v>3815491.4556706757</v>
      </c>
    </row>
    <row r="125" spans="17:18" x14ac:dyDescent="0.25">
      <c r="Q125" s="311">
        <v>9445282</v>
      </c>
      <c r="R125" s="345">
        <v>6599000</v>
      </c>
    </row>
    <row r="126" spans="17:18" x14ac:dyDescent="0.25">
      <c r="Q126" s="311">
        <v>9593192</v>
      </c>
      <c r="R126" s="345">
        <v>7662156.5589786824</v>
      </c>
    </row>
    <row r="127" spans="17:18" x14ac:dyDescent="0.25">
      <c r="Q127" s="311">
        <v>9924037</v>
      </c>
      <c r="R127" s="345">
        <v>1238047.3603276657</v>
      </c>
    </row>
    <row r="128" spans="17:18" x14ac:dyDescent="0.25">
      <c r="Q128" s="311" t="s">
        <v>1153</v>
      </c>
      <c r="R128" s="345">
        <v>2436077.5950143817</v>
      </c>
    </row>
    <row r="129" spans="17:18" x14ac:dyDescent="0.25">
      <c r="Q129" s="311" t="s">
        <v>1808</v>
      </c>
      <c r="R129" s="345">
        <v>190000000.00000003</v>
      </c>
    </row>
  </sheetData>
  <sortState ref="A5:H28">
    <sortCondition ref="D5:D28"/>
  </sortState>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23</vt:i4>
      </vt:variant>
      <vt:variant>
        <vt:lpstr>Pojmenované oblasti</vt:lpstr>
      </vt:variant>
      <vt:variant>
        <vt:i4>3</vt:i4>
      </vt:variant>
    </vt:vector>
  </HeadingPairs>
  <TitlesOfParts>
    <vt:vector size="26" baseType="lpstr">
      <vt:lpstr>žádosti MPSV 2020</vt:lpstr>
      <vt:lpstr>Hodnocení </vt:lpstr>
      <vt:lpstr>Hodnocení  pro  komisi a výbor</vt:lpstr>
      <vt:lpstr>Příloha MPSV</vt:lpstr>
      <vt:lpstr>HK-dotace 2020</vt:lpstr>
      <vt:lpstr>Výdaje obcí 2018</vt:lpstr>
      <vt:lpstr>Zdroje 2019 a 2020</vt:lpstr>
      <vt:lpstr>PnaPr2019</vt:lpstr>
      <vt:lpstr>PnaPr2020</vt:lpstr>
      <vt:lpstr>Náklady na ppp ER 2018</vt:lpstr>
      <vt:lpstr>ER VP 2018</vt:lpstr>
      <vt:lpstr>Průměrné mzdy 2018</vt:lpstr>
      <vt:lpstr>síť 2020</vt:lpstr>
      <vt:lpstr>Výpočet VP 2018</vt:lpstr>
      <vt:lpstr>Výpočet VP 2019</vt:lpstr>
      <vt:lpstr>Výpočet VP 2020</vt:lpstr>
      <vt:lpstr>MPSV 2019</vt:lpstr>
      <vt:lpstr>KHK 2019</vt:lpstr>
      <vt:lpstr>PZ 2019</vt:lpstr>
      <vt:lpstr>PZ 2018</vt:lpstr>
      <vt:lpstr>IP 2019</vt:lpstr>
      <vt:lpstr>IP5_2020</vt:lpstr>
      <vt:lpstr>IP6_2020</vt:lpstr>
      <vt:lpstr>'Hodnocení  pro  komisi a výbor'!Názvy_tisku</vt:lpstr>
      <vt:lpstr>'Příloha MPSV'!Názvy_tisku</vt:lpstr>
      <vt:lpstr>'Hodnocení  pro  komisi a výbor'!Oblast_tisku</vt:lpstr>
    </vt:vector>
  </TitlesOfParts>
  <Company>Krajský úřad Královéhradeckého kraje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Guman Ivan Ing.</dc:creator>
  <cp:lastModifiedBy>Zeman Jiří Mgr.</cp:lastModifiedBy>
  <cp:lastPrinted>2020-07-17T12:33:51Z</cp:lastPrinted>
  <dcterms:created xsi:type="dcterms:W3CDTF">2019-11-08T13:43:09Z</dcterms:created>
  <dcterms:modified xsi:type="dcterms:W3CDTF">2020-07-17T12:42:01Z</dcterms:modified>
</cp:coreProperties>
</file>